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ftab Hussain\Downloads\"/>
    </mc:Choice>
  </mc:AlternateContent>
  <bookViews>
    <workbookView xWindow="0" yWindow="0" windowWidth="20490" windowHeight="7620" firstSheet="1" activeTab="1"/>
  </bookViews>
  <sheets>
    <sheet name="Copy of Insights" sheetId="2" state="hidden" r:id="rId1"/>
    <sheet name="From Woocommerce" sheetId="3" r:id="rId2"/>
    <sheet name="Insights" sheetId="4" r:id="rId3"/>
    <sheet name="Insights (Completed)" sheetId="5" r:id="rId4"/>
    <sheet name="Insights (Created)" sheetId="6" r:id="rId5"/>
    <sheet name="Insights (Processing)" sheetId="7" r:id="rId6"/>
    <sheet name="Insights (Refund)" sheetId="8" r:id="rId7"/>
    <sheet name="From Woocommerce 1 - BU 181223" sheetId="9" state="hidden" r:id="rId8"/>
    <sheet name="5-Sep-23 From Woocommerce 1" sheetId="10" state="hidden" r:id="rId9"/>
    <sheet name="For Insights Old" sheetId="11" state="hidden" r:id="rId10"/>
    <sheet name="Copy of For Insights" sheetId="12" state="hidden" r:id="rId11"/>
    <sheet name="Copy of From Woocommerce Micro" sheetId="13" state="hidden" r:id="rId12"/>
    <sheet name="From Woocommerce Micro" sheetId="14" state="hidden" r:id="rId13"/>
    <sheet name="Settings" sheetId="15" state="hidden" r:id="rId14"/>
    <sheet name="Profit By League Graph" sheetId="16" r:id="rId15"/>
    <sheet name="Micro Helper Sheet" sheetId="17" state="hidden" r:id="rId16"/>
    <sheet name="Data Validation" sheetId="18" state="hidden" r:id="rId17"/>
    <sheet name="Copy of Copy of From Woocommerc" sheetId="19" state="hidden" r:id="rId18"/>
    <sheet name="Name Troubleshooting" sheetId="20" state="hidden" r:id="rId19"/>
  </sheets>
  <definedNames>
    <definedName name="_xlnm._FilterDatabase" localSheetId="8" hidden="1">'5-Sep-23 From Woocommerce 1'!$A$1:$E$2969</definedName>
    <definedName name="_xlnm._FilterDatabase" localSheetId="10" hidden="1">'Copy of For Insights'!$A$1:$J$13337</definedName>
    <definedName name="_xlnm._FilterDatabase" localSheetId="11" hidden="1">'Copy of From Woocommerce Micro'!$A$1:$H$3975</definedName>
    <definedName name="_xlnm._FilterDatabase" localSheetId="9" hidden="1">'For Insights Old'!$A$1:$F$231</definedName>
    <definedName name="_xlnm._FilterDatabase" localSheetId="1" hidden="1">'From Woocommerce'!$A$1:$E$20053</definedName>
    <definedName name="_xlnm._FilterDatabase" localSheetId="7" hidden="1">'From Woocommerce 1 - BU 181223'!$A$1:$E$20036</definedName>
    <definedName name="_xlnm._FilterDatabase" localSheetId="12" hidden="1">'From Woocommerce Micro'!$A$1:$H$3975</definedName>
    <definedName name="GA_RESULTS">#REF!</definedName>
    <definedName name="Z_5135A060_DEBC_4A23_B096_6F5DC7F9F3A7_.wvu.FilterData" localSheetId="11" hidden="1">'Copy of From Woocommerce Micro'!$A$1:$H$3975</definedName>
    <definedName name="Z_5135A060_DEBC_4A23_B096_6F5DC7F9F3A7_.wvu.FilterData" localSheetId="12" hidden="1">'From Woocommerce Micro'!$A$1:$H$3975</definedName>
  </definedNames>
  <calcPr calcId="162913"/>
  <customWorkbookViews>
    <customWorkbookView name="Filter 1" guid="{5135A060-DEBC-4A23-B096-6F5DC7F9F3A7}" maximized="1" windowWidth="0" windowHeight="0" activeSheetId="0"/>
  </customWorkbookViews>
</workbook>
</file>

<file path=xl/calcChain.xml><?xml version="1.0" encoding="utf-8"?>
<calcChain xmlns="http://schemas.openxmlformats.org/spreadsheetml/2006/main">
  <c r="D24" i="17" l="1"/>
  <c r="C24" i="17"/>
  <c r="D23" i="17"/>
  <c r="C23" i="17"/>
  <c r="D22" i="17"/>
  <c r="C22" i="17"/>
  <c r="D21" i="17"/>
  <c r="C21" i="17"/>
  <c r="D20" i="17"/>
  <c r="C20" i="17"/>
  <c r="D19" i="17"/>
  <c r="C19" i="17"/>
  <c r="D18" i="17"/>
  <c r="C18" i="17"/>
  <c r="D17" i="17"/>
  <c r="C17" i="17"/>
  <c r="D16" i="17"/>
  <c r="C16" i="17"/>
  <c r="D15" i="17"/>
  <c r="C15" i="17"/>
  <c r="D14" i="17"/>
  <c r="C14" i="17"/>
  <c r="D13" i="17"/>
  <c r="C13" i="17"/>
  <c r="D12" i="17"/>
  <c r="C12" i="17"/>
  <c r="D11" i="17"/>
  <c r="C11" i="17"/>
  <c r="D10" i="17"/>
  <c r="C10" i="17"/>
  <c r="D9" i="17"/>
  <c r="C9" i="17"/>
  <c r="D8" i="17"/>
  <c r="C8" i="17"/>
  <c r="H4368" i="14"/>
  <c r="H3666" i="14"/>
  <c r="H3258" i="14"/>
  <c r="H2987" i="14"/>
  <c r="H2802" i="14"/>
  <c r="H2646" i="14"/>
  <c r="H2494" i="14"/>
  <c r="H2370" i="14"/>
  <c r="H2294" i="14"/>
  <c r="H2216" i="14"/>
  <c r="H2142" i="14"/>
  <c r="H2066" i="14"/>
  <c r="H2004" i="14"/>
  <c r="H1948" i="14"/>
  <c r="H1891" i="14"/>
  <c r="H1834" i="14"/>
  <c r="H1788" i="14"/>
  <c r="H1746" i="14"/>
  <c r="H1703" i="14"/>
  <c r="H1660" i="14"/>
  <c r="H1618" i="14"/>
  <c r="H1575" i="14"/>
  <c r="H1532" i="14"/>
  <c r="H1490" i="14"/>
  <c r="H1447" i="14"/>
  <c r="H1404" i="14"/>
  <c r="H1362" i="14"/>
  <c r="H1319" i="14"/>
  <c r="H1276" i="14"/>
  <c r="H1234" i="14"/>
  <c r="H1191" i="14"/>
  <c r="H1148" i="14"/>
  <c r="H1106" i="14"/>
  <c r="H1063" i="14"/>
  <c r="H1020" i="14"/>
  <c r="H978" i="14"/>
  <c r="H935" i="14"/>
  <c r="H892" i="14"/>
  <c r="H850" i="14"/>
  <c r="H807" i="14"/>
  <c r="H764" i="14"/>
  <c r="H722" i="14"/>
  <c r="H679" i="14"/>
  <c r="H636" i="14"/>
  <c r="H594" i="14"/>
  <c r="H551" i="14"/>
  <c r="H508" i="14"/>
  <c r="H466" i="14"/>
  <c r="H423" i="14"/>
  <c r="H380" i="14"/>
  <c r="H338" i="14"/>
  <c r="H306" i="14"/>
  <c r="H274" i="14"/>
  <c r="H242" i="14"/>
  <c r="H210" i="14"/>
  <c r="H178" i="14"/>
  <c r="H146" i="14"/>
  <c r="H114" i="14"/>
  <c r="H82" i="14"/>
  <c r="H50" i="14"/>
  <c r="H18" i="14"/>
  <c r="H2" i="14" a="1"/>
  <c r="H4950" i="14" s="1"/>
  <c r="H3969" i="13"/>
  <c r="H3961" i="13"/>
  <c r="H3953" i="13"/>
  <c r="H3945" i="13"/>
  <c r="H3937" i="13"/>
  <c r="H3929" i="13"/>
  <c r="H3921" i="13"/>
  <c r="H3913" i="13"/>
  <c r="H3905" i="13"/>
  <c r="H3897" i="13"/>
  <c r="H3889" i="13"/>
  <c r="H3881" i="13"/>
  <c r="H3873" i="13"/>
  <c r="H3865" i="13"/>
  <c r="H3857" i="13"/>
  <c r="H3849" i="13"/>
  <c r="H3841" i="13"/>
  <c r="H3833" i="13"/>
  <c r="H3825" i="13"/>
  <c r="H3817" i="13"/>
  <c r="H3809" i="13"/>
  <c r="H3801" i="13"/>
  <c r="H3793" i="13"/>
  <c r="H3785" i="13"/>
  <c r="H3777" i="13"/>
  <c r="H3769" i="13"/>
  <c r="H3761" i="13"/>
  <c r="H3753" i="13"/>
  <c r="H3745" i="13"/>
  <c r="H3737" i="13"/>
  <c r="H3729" i="13"/>
  <c r="H3721" i="13"/>
  <c r="H3713" i="13"/>
  <c r="H3705" i="13"/>
  <c r="H3697" i="13"/>
  <c r="H3689" i="13"/>
  <c r="H3681" i="13"/>
  <c r="H3673" i="13"/>
  <c r="H3665" i="13"/>
  <c r="H3657" i="13"/>
  <c r="H3649" i="13"/>
  <c r="H3641" i="13"/>
  <c r="H3633" i="13"/>
  <c r="H3625" i="13"/>
  <c r="H3617" i="13"/>
  <c r="H3609" i="13"/>
  <c r="H3601" i="13"/>
  <c r="H3593" i="13"/>
  <c r="H3585" i="13"/>
  <c r="H3577" i="13"/>
  <c r="H3569" i="13"/>
  <c r="H3561" i="13"/>
  <c r="H3553" i="13"/>
  <c r="H3545" i="13"/>
  <c r="H3537" i="13"/>
  <c r="H3529" i="13"/>
  <c r="H3521" i="13"/>
  <c r="H3513" i="13"/>
  <c r="H3505" i="13"/>
  <c r="H3497" i="13"/>
  <c r="H3489" i="13"/>
  <c r="H3481" i="13"/>
  <c r="H3473" i="13"/>
  <c r="H3465" i="13"/>
  <c r="H3457" i="13"/>
  <c r="H3449" i="13"/>
  <c r="H3441" i="13"/>
  <c r="H3433" i="13"/>
  <c r="H3425" i="13"/>
  <c r="H3417" i="13"/>
  <c r="H3409" i="13"/>
  <c r="H3401" i="13"/>
  <c r="H3393" i="13"/>
  <c r="H3385" i="13"/>
  <c r="H3377" i="13"/>
  <c r="H3369" i="13"/>
  <c r="H3361" i="13"/>
  <c r="H3353" i="13"/>
  <c r="H3345" i="13"/>
  <c r="H3337" i="13"/>
  <c r="H3329" i="13"/>
  <c r="H3321" i="13"/>
  <c r="H3313" i="13"/>
  <c r="H3305" i="13"/>
  <c r="H3297" i="13"/>
  <c r="H3289" i="13"/>
  <c r="H3281" i="13"/>
  <c r="H3273" i="13"/>
  <c r="H3265" i="13"/>
  <c r="H3257" i="13"/>
  <c r="H3249" i="13"/>
  <c r="H3241" i="13"/>
  <c r="H3233" i="13"/>
  <c r="H3225" i="13"/>
  <c r="H3217" i="13"/>
  <c r="H3209" i="13"/>
  <c r="H3201" i="13"/>
  <c r="H3194" i="13"/>
  <c r="H3193" i="13"/>
  <c r="H3189" i="13"/>
  <c r="H3187" i="13"/>
  <c r="H3183" i="13"/>
  <c r="H3182" i="13"/>
  <c r="H3178" i="13"/>
  <c r="H3177" i="13"/>
  <c r="H3173" i="13"/>
  <c r="H3171" i="13"/>
  <c r="H3167" i="13"/>
  <c r="H3166" i="13"/>
  <c r="H3162" i="13"/>
  <c r="H3161" i="13"/>
  <c r="H3157" i="13"/>
  <c r="H3155" i="13"/>
  <c r="H3151" i="13"/>
  <c r="H3150" i="13"/>
  <c r="H3146" i="13"/>
  <c r="H3145" i="13"/>
  <c r="H3141" i="13"/>
  <c r="H3139" i="13"/>
  <c r="H3135" i="13"/>
  <c r="H3134" i="13"/>
  <c r="H3130" i="13"/>
  <c r="H3129" i="13"/>
  <c r="H3125" i="13"/>
  <c r="H3124" i="13"/>
  <c r="H3121" i="13"/>
  <c r="H3120" i="13"/>
  <c r="H3117" i="13"/>
  <c r="H3116" i="13"/>
  <c r="H3113" i="13"/>
  <c r="H3112" i="13"/>
  <c r="H3109" i="13"/>
  <c r="H3108" i="13"/>
  <c r="H3105" i="13"/>
  <c r="H3104" i="13"/>
  <c r="H3101" i="13"/>
  <c r="H3100" i="13"/>
  <c r="H3097" i="13"/>
  <c r="H3096" i="13"/>
  <c r="H3093" i="13"/>
  <c r="H3092" i="13"/>
  <c r="H3089" i="13"/>
  <c r="H3088" i="13"/>
  <c r="H3085" i="13"/>
  <c r="H3084" i="13"/>
  <c r="H3081" i="13"/>
  <c r="H3080" i="13"/>
  <c r="H3077" i="13"/>
  <c r="H3076" i="13"/>
  <c r="H3073" i="13"/>
  <c r="H3072" i="13"/>
  <c r="H3069" i="13"/>
  <c r="H3068" i="13"/>
  <c r="H3065" i="13"/>
  <c r="H3064" i="13"/>
  <c r="H3061" i="13"/>
  <c r="H3060" i="13"/>
  <c r="H3057" i="13"/>
  <c r="H3056" i="13"/>
  <c r="H3053" i="13"/>
  <c r="H3052" i="13"/>
  <c r="H3049" i="13"/>
  <c r="H3048" i="13"/>
  <c r="H3045" i="13"/>
  <c r="H3044" i="13"/>
  <c r="H3041" i="13"/>
  <c r="H3040" i="13"/>
  <c r="H3037" i="13"/>
  <c r="H3036" i="13"/>
  <c r="H3033" i="13"/>
  <c r="H3032" i="13"/>
  <c r="H3029" i="13"/>
  <c r="H3028" i="13"/>
  <c r="H3025" i="13"/>
  <c r="H3024" i="13"/>
  <c r="H3021" i="13"/>
  <c r="H3020" i="13"/>
  <c r="H3017" i="13"/>
  <c r="H3016" i="13"/>
  <c r="H3013" i="13"/>
  <c r="H3012" i="13"/>
  <c r="H3009" i="13"/>
  <c r="H3008" i="13"/>
  <c r="H3005" i="13"/>
  <c r="H3004" i="13"/>
  <c r="H3001" i="13"/>
  <c r="H3000" i="13"/>
  <c r="H2997" i="13"/>
  <c r="H2996" i="13"/>
  <c r="H2993" i="13"/>
  <c r="H2992" i="13"/>
  <c r="H2989" i="13"/>
  <c r="H2988" i="13"/>
  <c r="H2985" i="13"/>
  <c r="H2984" i="13"/>
  <c r="H2981" i="13"/>
  <c r="H2980" i="13"/>
  <c r="H2977" i="13"/>
  <c r="H2976" i="13"/>
  <c r="H2973" i="13"/>
  <c r="H2972" i="13"/>
  <c r="H2969" i="13"/>
  <c r="H2968" i="13"/>
  <c r="H2965" i="13"/>
  <c r="H2964" i="13"/>
  <c r="H2961" i="13"/>
  <c r="H2960" i="13"/>
  <c r="H2957" i="13"/>
  <c r="H2956" i="13"/>
  <c r="H2953" i="13"/>
  <c r="H2952" i="13"/>
  <c r="H2949" i="13"/>
  <c r="H2948" i="13"/>
  <c r="H2945" i="13"/>
  <c r="H2944" i="13"/>
  <c r="H2941" i="13"/>
  <c r="H2940" i="13"/>
  <c r="H2937" i="13"/>
  <c r="H2936" i="13"/>
  <c r="H2933" i="13"/>
  <c r="H2932" i="13"/>
  <c r="H2929" i="13"/>
  <c r="H2928" i="13"/>
  <c r="H2925" i="13"/>
  <c r="H2924" i="13"/>
  <c r="H2921" i="13"/>
  <c r="H2920" i="13"/>
  <c r="H2917" i="13"/>
  <c r="H2916" i="13"/>
  <c r="H2913" i="13"/>
  <c r="H2912" i="13"/>
  <c r="H2909" i="13"/>
  <c r="H2908" i="13"/>
  <c r="H2905" i="13"/>
  <c r="H2904" i="13"/>
  <c r="H2901" i="13"/>
  <c r="H2900" i="13"/>
  <c r="H2897" i="13"/>
  <c r="H2896" i="13"/>
  <c r="H2893" i="13"/>
  <c r="H2892" i="13"/>
  <c r="H2889" i="13"/>
  <c r="H2888" i="13"/>
  <c r="H2885" i="13"/>
  <c r="H2884" i="13"/>
  <c r="H2881" i="13"/>
  <c r="H2880" i="13"/>
  <c r="H2877" i="13"/>
  <c r="H2876" i="13"/>
  <c r="H2873" i="13"/>
  <c r="H2872" i="13"/>
  <c r="H2869" i="13"/>
  <c r="H2868" i="13"/>
  <c r="H2865" i="13"/>
  <c r="H2864" i="13"/>
  <c r="H2861" i="13"/>
  <c r="H2860" i="13"/>
  <c r="H2857" i="13"/>
  <c r="H2856" i="13"/>
  <c r="H2853" i="13"/>
  <c r="H2852" i="13"/>
  <c r="H2849" i="13"/>
  <c r="H2848" i="13"/>
  <c r="H2845" i="13"/>
  <c r="H2844" i="13"/>
  <c r="H2841" i="13"/>
  <c r="H2840" i="13"/>
  <c r="H2837" i="13"/>
  <c r="H2836" i="13"/>
  <c r="H2833" i="13"/>
  <c r="H2832" i="13"/>
  <c r="H2829" i="13"/>
  <c r="H2828" i="13"/>
  <c r="H2825" i="13"/>
  <c r="H2824" i="13"/>
  <c r="H2821" i="13"/>
  <c r="H2820" i="13"/>
  <c r="H2817" i="13"/>
  <c r="H2816" i="13"/>
  <c r="H2813" i="13"/>
  <c r="H2812" i="13"/>
  <c r="H2809" i="13"/>
  <c r="H2808" i="13"/>
  <c r="H2805" i="13"/>
  <c r="H2804" i="13"/>
  <c r="H2801" i="13"/>
  <c r="H2800" i="13"/>
  <c r="H2797" i="13"/>
  <c r="H2796" i="13"/>
  <c r="H2793" i="13"/>
  <c r="H2792" i="13"/>
  <c r="H2789" i="13"/>
  <c r="H2788" i="13"/>
  <c r="H2785" i="13"/>
  <c r="H2784" i="13"/>
  <c r="H2781" i="13"/>
  <c r="H2780" i="13"/>
  <c r="H2777" i="13"/>
  <c r="H2776" i="13"/>
  <c r="H2773" i="13"/>
  <c r="H2772" i="13"/>
  <c r="H2769" i="13"/>
  <c r="H2768" i="13"/>
  <c r="H2765" i="13"/>
  <c r="H2764" i="13"/>
  <c r="H2761" i="13"/>
  <c r="H2760" i="13"/>
  <c r="H2757" i="13"/>
  <c r="H2756" i="13"/>
  <c r="H2753" i="13"/>
  <c r="H2752" i="13"/>
  <c r="H2749" i="13"/>
  <c r="H2748" i="13"/>
  <c r="H2745" i="13"/>
  <c r="H2744" i="13"/>
  <c r="H2741" i="13"/>
  <c r="H2740" i="13"/>
  <c r="H2737" i="13"/>
  <c r="H2736" i="13"/>
  <c r="H2733" i="13"/>
  <c r="H2732" i="13"/>
  <c r="H2729" i="13"/>
  <c r="H2728" i="13"/>
  <c r="H2725" i="13"/>
  <c r="H2724" i="13"/>
  <c r="H2721" i="13"/>
  <c r="H2720" i="13"/>
  <c r="H2717" i="13"/>
  <c r="H2716" i="13"/>
  <c r="H2713" i="13"/>
  <c r="H2712" i="13"/>
  <c r="H2709" i="13"/>
  <c r="H2708" i="13"/>
  <c r="H2705" i="13"/>
  <c r="H2704" i="13"/>
  <c r="H2701" i="13"/>
  <c r="H2700" i="13"/>
  <c r="H2697" i="13"/>
  <c r="H2696" i="13"/>
  <c r="H2693" i="13"/>
  <c r="H2692" i="13"/>
  <c r="H2689" i="13"/>
  <c r="H2688" i="13"/>
  <c r="H2685" i="13"/>
  <c r="H2684" i="13"/>
  <c r="H2681" i="13"/>
  <c r="H2680" i="13"/>
  <c r="H2677" i="13"/>
  <c r="H2676" i="13"/>
  <c r="H2673" i="13"/>
  <c r="H2672" i="13"/>
  <c r="H2669" i="13"/>
  <c r="H2668" i="13"/>
  <c r="H2665" i="13"/>
  <c r="H2664" i="13"/>
  <c r="H2661" i="13"/>
  <c r="H2660" i="13"/>
  <c r="H2657" i="13"/>
  <c r="H2656" i="13"/>
  <c r="H2653" i="13"/>
  <c r="H2652" i="13"/>
  <c r="H2649" i="13"/>
  <c r="H2648" i="13"/>
  <c r="H2645" i="13"/>
  <c r="H2644" i="13"/>
  <c r="H2641" i="13"/>
  <c r="H2640" i="13"/>
  <c r="H2637" i="13"/>
  <c r="H2636" i="13"/>
  <c r="H2633" i="13"/>
  <c r="H2632" i="13"/>
  <c r="H2629" i="13"/>
  <c r="H2628" i="13"/>
  <c r="H2625" i="13"/>
  <c r="H2624" i="13"/>
  <c r="H2621" i="13"/>
  <c r="H2620" i="13"/>
  <c r="H2617" i="13"/>
  <c r="H2616" i="13"/>
  <c r="H2613" i="13"/>
  <c r="H2612" i="13"/>
  <c r="H2609" i="13"/>
  <c r="H2608" i="13"/>
  <c r="H2605" i="13"/>
  <c r="H2604" i="13"/>
  <c r="H2601" i="13"/>
  <c r="H2600" i="13"/>
  <c r="H2597" i="13"/>
  <c r="H2596" i="13"/>
  <c r="H2593" i="13"/>
  <c r="H2592" i="13"/>
  <c r="H2589" i="13"/>
  <c r="H2588" i="13"/>
  <c r="H2585" i="13"/>
  <c r="H2584" i="13"/>
  <c r="H2581" i="13"/>
  <c r="H2580" i="13"/>
  <c r="H2577" i="13"/>
  <c r="H2576" i="13"/>
  <c r="H2573" i="13"/>
  <c r="H2572" i="13"/>
  <c r="H2569" i="13"/>
  <c r="H2568" i="13"/>
  <c r="H2565" i="13"/>
  <c r="H2564" i="13"/>
  <c r="H2561" i="13"/>
  <c r="H2560" i="13"/>
  <c r="H2557" i="13"/>
  <c r="H2556" i="13"/>
  <c r="H2553" i="13"/>
  <c r="H2552" i="13"/>
  <c r="H2549" i="13"/>
  <c r="H2548" i="13"/>
  <c r="H2545" i="13"/>
  <c r="H2544" i="13"/>
  <c r="H2541" i="13"/>
  <c r="H2540" i="13"/>
  <c r="H2537" i="13"/>
  <c r="H2536" i="13"/>
  <c r="H2533" i="13"/>
  <c r="H2532" i="13"/>
  <c r="H2529" i="13"/>
  <c r="H2528" i="13"/>
  <c r="H2525" i="13"/>
  <c r="H2524" i="13"/>
  <c r="H2521" i="13"/>
  <c r="H2520" i="13"/>
  <c r="H2517" i="13"/>
  <c r="H2516" i="13"/>
  <c r="H2513" i="13"/>
  <c r="H2512" i="13"/>
  <c r="H2509" i="13"/>
  <c r="H2508" i="13"/>
  <c r="H2505" i="13"/>
  <c r="H2504" i="13"/>
  <c r="H2501" i="13"/>
  <c r="H2500" i="13"/>
  <c r="H2497" i="13"/>
  <c r="H2496" i="13"/>
  <c r="H2493" i="13"/>
  <c r="H2492" i="13"/>
  <c r="H2489" i="13"/>
  <c r="H2488" i="13"/>
  <c r="H2485" i="13"/>
  <c r="H2484" i="13"/>
  <c r="H2481" i="13"/>
  <c r="H2480" i="13"/>
  <c r="H2477" i="13"/>
  <c r="H2476" i="13"/>
  <c r="H2473" i="13"/>
  <c r="H2472" i="13"/>
  <c r="H2469" i="13"/>
  <c r="H2468" i="13"/>
  <c r="H2465" i="13"/>
  <c r="H2464" i="13"/>
  <c r="H2461" i="13"/>
  <c r="H2460" i="13"/>
  <c r="H2457" i="13"/>
  <c r="H2456" i="13"/>
  <c r="H2453" i="13"/>
  <c r="H2452" i="13"/>
  <c r="H2449" i="13"/>
  <c r="H2448" i="13"/>
  <c r="H2445" i="13"/>
  <c r="H2444" i="13"/>
  <c r="H2441" i="13"/>
  <c r="H2440" i="13"/>
  <c r="H2437" i="13"/>
  <c r="H2436" i="13"/>
  <c r="H2433" i="13"/>
  <c r="H2432" i="13"/>
  <c r="H2429" i="13"/>
  <c r="H2428" i="13"/>
  <c r="H2425" i="13"/>
  <c r="H2424" i="13"/>
  <c r="H2421" i="13"/>
  <c r="H2420" i="13"/>
  <c r="H2417" i="13"/>
  <c r="H2416" i="13"/>
  <c r="H2413" i="13"/>
  <c r="H2412" i="13"/>
  <c r="H2409" i="13"/>
  <c r="H2408" i="13"/>
  <c r="H2405" i="13"/>
  <c r="H2404" i="13"/>
  <c r="H2401" i="13"/>
  <c r="H2400" i="13"/>
  <c r="H2397" i="13"/>
  <c r="H2396" i="13"/>
  <c r="H2393" i="13"/>
  <c r="H2392" i="13"/>
  <c r="H2389" i="13"/>
  <c r="H2388" i="13"/>
  <c r="H2385" i="13"/>
  <c r="H2384" i="13"/>
  <c r="H2381" i="13"/>
  <c r="H2380" i="13"/>
  <c r="H2377" i="13"/>
  <c r="H2376" i="13"/>
  <c r="H2373" i="13"/>
  <c r="H2372" i="13"/>
  <c r="H2369" i="13"/>
  <c r="H2368" i="13"/>
  <c r="H2365" i="13"/>
  <c r="H2364" i="13"/>
  <c r="H2361" i="13"/>
  <c r="H2360" i="13"/>
  <c r="H2357" i="13"/>
  <c r="H2356" i="13"/>
  <c r="H2353" i="13"/>
  <c r="H2352" i="13"/>
  <c r="H2349" i="13"/>
  <c r="H2348" i="13"/>
  <c r="H2345" i="13"/>
  <c r="H2344" i="13"/>
  <c r="H2341" i="13"/>
  <c r="H2340" i="13"/>
  <c r="H2337" i="13"/>
  <c r="H2336" i="13"/>
  <c r="H2333" i="13"/>
  <c r="H2332" i="13"/>
  <c r="H2329" i="13"/>
  <c r="H2328" i="13"/>
  <c r="H2325" i="13"/>
  <c r="H2324" i="13"/>
  <c r="H2321" i="13"/>
  <c r="H2320" i="13"/>
  <c r="H2317" i="13"/>
  <c r="H2316" i="13"/>
  <c r="H2313" i="13"/>
  <c r="H2312" i="13"/>
  <c r="H2309" i="13"/>
  <c r="H2308" i="13"/>
  <c r="H2305" i="13"/>
  <c r="H2304" i="13"/>
  <c r="H2301" i="13"/>
  <c r="H2300" i="13"/>
  <c r="H2297" i="13"/>
  <c r="H2296" i="13"/>
  <c r="H2293" i="13"/>
  <c r="H2292" i="13"/>
  <c r="H2289" i="13"/>
  <c r="H2288" i="13"/>
  <c r="H2285" i="13"/>
  <c r="H2284" i="13"/>
  <c r="H2281" i="13"/>
  <c r="H2280" i="13"/>
  <c r="H2277" i="13"/>
  <c r="H2276" i="13"/>
  <c r="H2273" i="13"/>
  <c r="H2272" i="13"/>
  <c r="H2269" i="13"/>
  <c r="H2268" i="13"/>
  <c r="H2265" i="13"/>
  <c r="H2264" i="13"/>
  <c r="H2261" i="13"/>
  <c r="H2260" i="13"/>
  <c r="H2257" i="13"/>
  <c r="H2256" i="13"/>
  <c r="H2253" i="13"/>
  <c r="H2252" i="13"/>
  <c r="H2249" i="13"/>
  <c r="H2248" i="13"/>
  <c r="H2245" i="13"/>
  <c r="H2244" i="13"/>
  <c r="H2241" i="13"/>
  <c r="H2240" i="13"/>
  <c r="H2237" i="13"/>
  <c r="H2236" i="13"/>
  <c r="H2233" i="13"/>
  <c r="H2232" i="13"/>
  <c r="H2229" i="13"/>
  <c r="H2228" i="13"/>
  <c r="H2225" i="13"/>
  <c r="H2224" i="13"/>
  <c r="H2221" i="13"/>
  <c r="H2220" i="13"/>
  <c r="H2217" i="13"/>
  <c r="H2216" i="13"/>
  <c r="H2213" i="13"/>
  <c r="H2212" i="13"/>
  <c r="H2209" i="13"/>
  <c r="H2208" i="13"/>
  <c r="H2205" i="13"/>
  <c r="H2204" i="13"/>
  <c r="H2201" i="13"/>
  <c r="H2200" i="13"/>
  <c r="H2197" i="13"/>
  <c r="H2196" i="13"/>
  <c r="H2193" i="13"/>
  <c r="H2192" i="13"/>
  <c r="H2189" i="13"/>
  <c r="H2188" i="13"/>
  <c r="H2185" i="13"/>
  <c r="H2184" i="13"/>
  <c r="H2181" i="13"/>
  <c r="H2180" i="13"/>
  <c r="H2177" i="13"/>
  <c r="H2176" i="13"/>
  <c r="H2173" i="13"/>
  <c r="H2172" i="13"/>
  <c r="H2169" i="13"/>
  <c r="H2168" i="13"/>
  <c r="H2165" i="13"/>
  <c r="H2164" i="13"/>
  <c r="H2161" i="13"/>
  <c r="H2160" i="13"/>
  <c r="H2157" i="13"/>
  <c r="H2156" i="13"/>
  <c r="H2153" i="13"/>
  <c r="H2152" i="13"/>
  <c r="H2149" i="13"/>
  <c r="H2148" i="13"/>
  <c r="H2145" i="13"/>
  <c r="H2144" i="13"/>
  <c r="H2141" i="13"/>
  <c r="H2140" i="13"/>
  <c r="H2137" i="13"/>
  <c r="H2136" i="13"/>
  <c r="H2133" i="13"/>
  <c r="H2132" i="13"/>
  <c r="H2129" i="13"/>
  <c r="H2128" i="13"/>
  <c r="H2125" i="13"/>
  <c r="H2124" i="13"/>
  <c r="H2121" i="13"/>
  <c r="H2120" i="13"/>
  <c r="H2117" i="13"/>
  <c r="H2116" i="13"/>
  <c r="H2113" i="13"/>
  <c r="H2112" i="13"/>
  <c r="H2109" i="13"/>
  <c r="H2108" i="13"/>
  <c r="H2105" i="13"/>
  <c r="H2104" i="13"/>
  <c r="H2101" i="13"/>
  <c r="H2100" i="13"/>
  <c r="H2097" i="13"/>
  <c r="H2096" i="13"/>
  <c r="H2093" i="13"/>
  <c r="H2092" i="13"/>
  <c r="H2089" i="13"/>
  <c r="H2088" i="13"/>
  <c r="H2085" i="13"/>
  <c r="H2084" i="13"/>
  <c r="H2081" i="13"/>
  <c r="H2080" i="13"/>
  <c r="H2077" i="13"/>
  <c r="H2076" i="13"/>
  <c r="H2073" i="13"/>
  <c r="H2072" i="13"/>
  <c r="H2069" i="13"/>
  <c r="H2068" i="13"/>
  <c r="H2065" i="13"/>
  <c r="H2064" i="13"/>
  <c r="H2061" i="13"/>
  <c r="H2060" i="13"/>
  <c r="H2057" i="13"/>
  <c r="H2056" i="13"/>
  <c r="H2053" i="13"/>
  <c r="H2052" i="13"/>
  <c r="H2049" i="13"/>
  <c r="H2048" i="13"/>
  <c r="H2045" i="13"/>
  <c r="H2044" i="13"/>
  <c r="H2041" i="13"/>
  <c r="H2040" i="13"/>
  <c r="H2037" i="13"/>
  <c r="H2036" i="13"/>
  <c r="H2033" i="13"/>
  <c r="H2032" i="13"/>
  <c r="H2029" i="13"/>
  <c r="H2028" i="13"/>
  <c r="H2025" i="13"/>
  <c r="H2024" i="13"/>
  <c r="H2021" i="13"/>
  <c r="H2020" i="13"/>
  <c r="H2017" i="13"/>
  <c r="H2016" i="13"/>
  <c r="H2013" i="13"/>
  <c r="H2012" i="13"/>
  <c r="H2009" i="13"/>
  <c r="H2008" i="13"/>
  <c r="H2005" i="13"/>
  <c r="H2004" i="13"/>
  <c r="H2001" i="13"/>
  <c r="H2000" i="13"/>
  <c r="H1997" i="13"/>
  <c r="H1996" i="13"/>
  <c r="H1993" i="13"/>
  <c r="H1992" i="13"/>
  <c r="H1989" i="13"/>
  <c r="H1988" i="13"/>
  <c r="H1985" i="13"/>
  <c r="H1984" i="13"/>
  <c r="H1981" i="13"/>
  <c r="H1980" i="13"/>
  <c r="H1977" i="13"/>
  <c r="H1976" i="13"/>
  <c r="H1973" i="13"/>
  <c r="H1972" i="13"/>
  <c r="H1969" i="13"/>
  <c r="H1968" i="13"/>
  <c r="H1965" i="13"/>
  <c r="H1964" i="13"/>
  <c r="H1961" i="13"/>
  <c r="H1960" i="13"/>
  <c r="H1957" i="13"/>
  <c r="H1956" i="13"/>
  <c r="H1953" i="13"/>
  <c r="H1952" i="13"/>
  <c r="H1949" i="13"/>
  <c r="H1948" i="13"/>
  <c r="H1945" i="13"/>
  <c r="H1944" i="13"/>
  <c r="H1941" i="13"/>
  <c r="H1940" i="13"/>
  <c r="H1937" i="13"/>
  <c r="H1936" i="13"/>
  <c r="H1933" i="13"/>
  <c r="H1932" i="13"/>
  <c r="H1929" i="13"/>
  <c r="H1928" i="13"/>
  <c r="H1925" i="13"/>
  <c r="H1924" i="13"/>
  <c r="H1921" i="13"/>
  <c r="H1920" i="13"/>
  <c r="H1917" i="13"/>
  <c r="H1916" i="13"/>
  <c r="H1913" i="13"/>
  <c r="H1912" i="13"/>
  <c r="H1909" i="13"/>
  <c r="H1908" i="13"/>
  <c r="H1905" i="13"/>
  <c r="H1904" i="13"/>
  <c r="H1901" i="13"/>
  <c r="H1900" i="13"/>
  <c r="H1897" i="13"/>
  <c r="H1896" i="13"/>
  <c r="H1893" i="13"/>
  <c r="H1892" i="13"/>
  <c r="H1889" i="13"/>
  <c r="H1888" i="13"/>
  <c r="H1885" i="13"/>
  <c r="H1884" i="13"/>
  <c r="H1881" i="13"/>
  <c r="H1880" i="13"/>
  <c r="H1877" i="13"/>
  <c r="H1876" i="13"/>
  <c r="H1873" i="13"/>
  <c r="H1872" i="13"/>
  <c r="H1869" i="13"/>
  <c r="H1868" i="13"/>
  <c r="H1865" i="13"/>
  <c r="H1864" i="13"/>
  <c r="H1861" i="13"/>
  <c r="H1860" i="13"/>
  <c r="H1857" i="13"/>
  <c r="H1856" i="13"/>
  <c r="H1853" i="13"/>
  <c r="H1852" i="13"/>
  <c r="H1849" i="13"/>
  <c r="H1848" i="13"/>
  <c r="H1845" i="13"/>
  <c r="H1844" i="13"/>
  <c r="H1841" i="13"/>
  <c r="H1840" i="13"/>
  <c r="H1837" i="13"/>
  <c r="H1836" i="13"/>
  <c r="H1833" i="13"/>
  <c r="H1832" i="13"/>
  <c r="H1829" i="13"/>
  <c r="H1828" i="13"/>
  <c r="H1825" i="13"/>
  <c r="H1824" i="13"/>
  <c r="H1821" i="13"/>
  <c r="H1820" i="13"/>
  <c r="H1817" i="13"/>
  <c r="H1816" i="13"/>
  <c r="H1813" i="13"/>
  <c r="H1812" i="13"/>
  <c r="H1809" i="13"/>
  <c r="H1808" i="13"/>
  <c r="H1805" i="13"/>
  <c r="H1804" i="13"/>
  <c r="H1801" i="13"/>
  <c r="H1800" i="13"/>
  <c r="H1797" i="13"/>
  <c r="H1796" i="13"/>
  <c r="H1793" i="13"/>
  <c r="H1792" i="13"/>
  <c r="H1789" i="13"/>
  <c r="H1788" i="13"/>
  <c r="H1785" i="13"/>
  <c r="H1784" i="13"/>
  <c r="H1781" i="13"/>
  <c r="H1780" i="13"/>
  <c r="H1777" i="13"/>
  <c r="H1776" i="13"/>
  <c r="H1773" i="13"/>
  <c r="H1772" i="13"/>
  <c r="H1769" i="13"/>
  <c r="H1768" i="13"/>
  <c r="H1765" i="13"/>
  <c r="H1764" i="13"/>
  <c r="H1761" i="13"/>
  <c r="H1760" i="13"/>
  <c r="H1757" i="13"/>
  <c r="H1756" i="13"/>
  <c r="H1753" i="13"/>
  <c r="H1752" i="13"/>
  <c r="H1749" i="13"/>
  <c r="H1748" i="13"/>
  <c r="H1745" i="13"/>
  <c r="H1744" i="13"/>
  <c r="H1741" i="13"/>
  <c r="H1740" i="13"/>
  <c r="H1737" i="13"/>
  <c r="H1736" i="13"/>
  <c r="H1733" i="13"/>
  <c r="H1732" i="13"/>
  <c r="H1729" i="13"/>
  <c r="H1728" i="13"/>
  <c r="H1725" i="13"/>
  <c r="H1724" i="13"/>
  <c r="H1721" i="13"/>
  <c r="H1720" i="13"/>
  <c r="H1717" i="13"/>
  <c r="H1716" i="13"/>
  <c r="H1713" i="13"/>
  <c r="H1712" i="13"/>
  <c r="H1709" i="13"/>
  <c r="H1708" i="13"/>
  <c r="H1705" i="13"/>
  <c r="H1704" i="13"/>
  <c r="H1701" i="13"/>
  <c r="H1700" i="13"/>
  <c r="H1697" i="13"/>
  <c r="H1696" i="13"/>
  <c r="H1693" i="13"/>
  <c r="H1692" i="13"/>
  <c r="H1689" i="13"/>
  <c r="H1688" i="13"/>
  <c r="H1685" i="13"/>
  <c r="H1684" i="13"/>
  <c r="H1681" i="13"/>
  <c r="H1680" i="13"/>
  <c r="H1677" i="13"/>
  <c r="H1676" i="13"/>
  <c r="H1673" i="13"/>
  <c r="H1672" i="13"/>
  <c r="H1669" i="13"/>
  <c r="H1668" i="13"/>
  <c r="H1665" i="13"/>
  <c r="H1664" i="13"/>
  <c r="H1661" i="13"/>
  <c r="H1660" i="13"/>
  <c r="H1657" i="13"/>
  <c r="H1656" i="13"/>
  <c r="H1653" i="13"/>
  <c r="H1652" i="13"/>
  <c r="H1649" i="13"/>
  <c r="H1648" i="13"/>
  <c r="H1645" i="13"/>
  <c r="H1644" i="13"/>
  <c r="H1641" i="13"/>
  <c r="H1640" i="13"/>
  <c r="H1637" i="13"/>
  <c r="H1636" i="13"/>
  <c r="H1633" i="13"/>
  <c r="H1632" i="13"/>
  <c r="H1629" i="13"/>
  <c r="H1628" i="13"/>
  <c r="H1625" i="13"/>
  <c r="H1624" i="13"/>
  <c r="H1621" i="13"/>
  <c r="H1620" i="13"/>
  <c r="H1617" i="13"/>
  <c r="H1616" i="13"/>
  <c r="H1613" i="13"/>
  <c r="H1612" i="13"/>
  <c r="H1609" i="13"/>
  <c r="H1608" i="13"/>
  <c r="H1605" i="13"/>
  <c r="H1604" i="13"/>
  <c r="H1601" i="13"/>
  <c r="H1600" i="13"/>
  <c r="H1597" i="13"/>
  <c r="H1596" i="13"/>
  <c r="H1593" i="13"/>
  <c r="H1592" i="13"/>
  <c r="H1589" i="13"/>
  <c r="H1588" i="13"/>
  <c r="H1585" i="13"/>
  <c r="H1584" i="13"/>
  <c r="H1581" i="13"/>
  <c r="H1580" i="13"/>
  <c r="H1577" i="13"/>
  <c r="H1576" i="13"/>
  <c r="H1573" i="13"/>
  <c r="H1572" i="13"/>
  <c r="H1569" i="13"/>
  <c r="H1568" i="13"/>
  <c r="H1565" i="13"/>
  <c r="H1564" i="13"/>
  <c r="H1561" i="13"/>
  <c r="H1560" i="13"/>
  <c r="H1557" i="13"/>
  <c r="H1556" i="13"/>
  <c r="H1553" i="13"/>
  <c r="H1552" i="13"/>
  <c r="H1549" i="13"/>
  <c r="H1548" i="13"/>
  <c r="H1545" i="13"/>
  <c r="H1544" i="13"/>
  <c r="H1541" i="13"/>
  <c r="H1540" i="13"/>
  <c r="H1537" i="13"/>
  <c r="H1536" i="13"/>
  <c r="H1533" i="13"/>
  <c r="H1532" i="13"/>
  <c r="H1529" i="13"/>
  <c r="H1528" i="13"/>
  <c r="H1525" i="13"/>
  <c r="H1524" i="13"/>
  <c r="H1521" i="13"/>
  <c r="H1520" i="13"/>
  <c r="H1517" i="13"/>
  <c r="H1516" i="13"/>
  <c r="H1513" i="13"/>
  <c r="H1512" i="13"/>
  <c r="H1509" i="13"/>
  <c r="H1508" i="13"/>
  <c r="H1505" i="13"/>
  <c r="H1504" i="13"/>
  <c r="H1501" i="13"/>
  <c r="H1500" i="13"/>
  <c r="H1497" i="13"/>
  <c r="H1496" i="13"/>
  <c r="H1493" i="13"/>
  <c r="H1492" i="13"/>
  <c r="H1489" i="13"/>
  <c r="H1488" i="13"/>
  <c r="H1485" i="13"/>
  <c r="H1484" i="13"/>
  <c r="H1481" i="13"/>
  <c r="H1480" i="13"/>
  <c r="H1477" i="13"/>
  <c r="H1476" i="13"/>
  <c r="H1473" i="13"/>
  <c r="H1472" i="13"/>
  <c r="H1469" i="13"/>
  <c r="H1468" i="13"/>
  <c r="H1465" i="13"/>
  <c r="H1464" i="13"/>
  <c r="H1461" i="13"/>
  <c r="H1460" i="13"/>
  <c r="H1457" i="13"/>
  <c r="H1456" i="13"/>
  <c r="H1453" i="13"/>
  <c r="H1452" i="13"/>
  <c r="H1449" i="13"/>
  <c r="H1448" i="13"/>
  <c r="H1445" i="13"/>
  <c r="H1444" i="13"/>
  <c r="H1441" i="13"/>
  <c r="H1440" i="13"/>
  <c r="H1437" i="13"/>
  <c r="H1436" i="13"/>
  <c r="H1433" i="13"/>
  <c r="H1432" i="13"/>
  <c r="H1429" i="13"/>
  <c r="H1428" i="13"/>
  <c r="H1425" i="13"/>
  <c r="H1424" i="13"/>
  <c r="H1421" i="13"/>
  <c r="H1420" i="13"/>
  <c r="H1417" i="13"/>
  <c r="H1416" i="13"/>
  <c r="H1413" i="13"/>
  <c r="H1412" i="13"/>
  <c r="H1409" i="13"/>
  <c r="H1408" i="13"/>
  <c r="H1405" i="13"/>
  <c r="H1404" i="13"/>
  <c r="H1401" i="13"/>
  <c r="H1400" i="13"/>
  <c r="H1397" i="13"/>
  <c r="H1396" i="13"/>
  <c r="H1393" i="13"/>
  <c r="H1392" i="13"/>
  <c r="H1389" i="13"/>
  <c r="H1388" i="13"/>
  <c r="H1385" i="13"/>
  <c r="H1384" i="13"/>
  <c r="H1381" i="13"/>
  <c r="H1380" i="13"/>
  <c r="H1377" i="13"/>
  <c r="H1376" i="13"/>
  <c r="H1373" i="13"/>
  <c r="H1372" i="13"/>
  <c r="H1369" i="13"/>
  <c r="H1368" i="13"/>
  <c r="H1365" i="13"/>
  <c r="H1364" i="13"/>
  <c r="H1361" i="13"/>
  <c r="H1360" i="13"/>
  <c r="H1357" i="13"/>
  <c r="H1356" i="13"/>
  <c r="H1353" i="13"/>
  <c r="H1352" i="13"/>
  <c r="H1349" i="13"/>
  <c r="H1348" i="13"/>
  <c r="H1345" i="13"/>
  <c r="H1344" i="13"/>
  <c r="H1341" i="13"/>
  <c r="H1340" i="13"/>
  <c r="H1337" i="13"/>
  <c r="H1336" i="13"/>
  <c r="H1333" i="13"/>
  <c r="H1332" i="13"/>
  <c r="H1329" i="13"/>
  <c r="H1328" i="13"/>
  <c r="H1325" i="13"/>
  <c r="H1324" i="13"/>
  <c r="H1321" i="13"/>
  <c r="H1320" i="13"/>
  <c r="H1317" i="13"/>
  <c r="H1316" i="13"/>
  <c r="H1313" i="13"/>
  <c r="H1312" i="13"/>
  <c r="H1309" i="13"/>
  <c r="H1308" i="13"/>
  <c r="H1305" i="13"/>
  <c r="H1304" i="13"/>
  <c r="H1301" i="13"/>
  <c r="H1300" i="13"/>
  <c r="H1297" i="13"/>
  <c r="H1296" i="13"/>
  <c r="H1293" i="13"/>
  <c r="H1292" i="13"/>
  <c r="H1289" i="13"/>
  <c r="H1288" i="13"/>
  <c r="H1285" i="13"/>
  <c r="H1284" i="13"/>
  <c r="H1281" i="13"/>
  <c r="H1280" i="13"/>
  <c r="H1277" i="13"/>
  <c r="H1276" i="13"/>
  <c r="H1273" i="13"/>
  <c r="H1272" i="13"/>
  <c r="H1269" i="13"/>
  <c r="H1268" i="13"/>
  <c r="H1265" i="13"/>
  <c r="H1264" i="13"/>
  <c r="H1261" i="13"/>
  <c r="H1260" i="13"/>
  <c r="H1257" i="13"/>
  <c r="H1256" i="13"/>
  <c r="H1253" i="13"/>
  <c r="H1252" i="13"/>
  <c r="H1249" i="13"/>
  <c r="H1248" i="13"/>
  <c r="H1245" i="13"/>
  <c r="H1244" i="13"/>
  <c r="H1241" i="13"/>
  <c r="H1240" i="13"/>
  <c r="H1237" i="13"/>
  <c r="H1236" i="13"/>
  <c r="H1233" i="13"/>
  <c r="H1232" i="13"/>
  <c r="H1229" i="13"/>
  <c r="H1228" i="13"/>
  <c r="H1225" i="13"/>
  <c r="H1224" i="13"/>
  <c r="H1221" i="13"/>
  <c r="H1220" i="13"/>
  <c r="H1217" i="13"/>
  <c r="H1216" i="13"/>
  <c r="H1213" i="13"/>
  <c r="H1212" i="13"/>
  <c r="H1209" i="13"/>
  <c r="H1208" i="13"/>
  <c r="H1205" i="13"/>
  <c r="H1204" i="13"/>
  <c r="H1201" i="13"/>
  <c r="H1200" i="13"/>
  <c r="H1197" i="13"/>
  <c r="H1196" i="13"/>
  <c r="H1193" i="13"/>
  <c r="H1192" i="13"/>
  <c r="H1189" i="13"/>
  <c r="H1188" i="13"/>
  <c r="H1185" i="13"/>
  <c r="H1184" i="13"/>
  <c r="H1181" i="13"/>
  <c r="H1180" i="13"/>
  <c r="H1177" i="13"/>
  <c r="H1176" i="13"/>
  <c r="H1173" i="13"/>
  <c r="H1172" i="13"/>
  <c r="H1169" i="13"/>
  <c r="H1168" i="13"/>
  <c r="H1165" i="13"/>
  <c r="H1164" i="13"/>
  <c r="H1161" i="13"/>
  <c r="H1160" i="13"/>
  <c r="H1157" i="13"/>
  <c r="H1156" i="13"/>
  <c r="H1153" i="13"/>
  <c r="H1152" i="13"/>
  <c r="H1149" i="13"/>
  <c r="H1148" i="13"/>
  <c r="H1145" i="13"/>
  <c r="H1144" i="13"/>
  <c r="H1141" i="13"/>
  <c r="H1140" i="13"/>
  <c r="H1137" i="13"/>
  <c r="H1136" i="13"/>
  <c r="H1133" i="13"/>
  <c r="H1132" i="13"/>
  <c r="H1129" i="13"/>
  <c r="H1128" i="13"/>
  <c r="H1125" i="13"/>
  <c r="H1124" i="13"/>
  <c r="H1121" i="13"/>
  <c r="H1120" i="13"/>
  <c r="H1117" i="13"/>
  <c r="H1116" i="13"/>
  <c r="H1113" i="13"/>
  <c r="H1112" i="13"/>
  <c r="H1109" i="13"/>
  <c r="H1108" i="13"/>
  <c r="H1105" i="13"/>
  <c r="H1104" i="13"/>
  <c r="H1101" i="13"/>
  <c r="H1100" i="13"/>
  <c r="H1097" i="13"/>
  <c r="H1096" i="13"/>
  <c r="H1093" i="13"/>
  <c r="H1092" i="13"/>
  <c r="H1089" i="13"/>
  <c r="H1088" i="13"/>
  <c r="H1085" i="13"/>
  <c r="H1084" i="13"/>
  <c r="H1081" i="13"/>
  <c r="H1080" i="13"/>
  <c r="H1077" i="13"/>
  <c r="H1076" i="13"/>
  <c r="H1073" i="13"/>
  <c r="H1072" i="13"/>
  <c r="H1069" i="13"/>
  <c r="H1068" i="13"/>
  <c r="H1065" i="13"/>
  <c r="H1064" i="13"/>
  <c r="H1061" i="13"/>
  <c r="H1060" i="13"/>
  <c r="H1057" i="13"/>
  <c r="H1056" i="13"/>
  <c r="H1053" i="13"/>
  <c r="H1052" i="13"/>
  <c r="H1049" i="13"/>
  <c r="H1048" i="13"/>
  <c r="H1045" i="13"/>
  <c r="H1044" i="13"/>
  <c r="H1041" i="13"/>
  <c r="H1040" i="13"/>
  <c r="H1037" i="13"/>
  <c r="H1036" i="13"/>
  <c r="H1033" i="13"/>
  <c r="H1032" i="13"/>
  <c r="H1029" i="13"/>
  <c r="H1028" i="13"/>
  <c r="H1025" i="13"/>
  <c r="H1024" i="13"/>
  <c r="H1021" i="13"/>
  <c r="H1020" i="13"/>
  <c r="H1017" i="13"/>
  <c r="H1016" i="13"/>
  <c r="H1013" i="13"/>
  <c r="H1012" i="13"/>
  <c r="H1009" i="13"/>
  <c r="H1008" i="13"/>
  <c r="H1005" i="13"/>
  <c r="H1004" i="13"/>
  <c r="H1001" i="13"/>
  <c r="H1000" i="13"/>
  <c r="H997" i="13"/>
  <c r="H996" i="13"/>
  <c r="H993" i="13"/>
  <c r="H992" i="13"/>
  <c r="H989" i="13"/>
  <c r="H988" i="13"/>
  <c r="H985" i="13"/>
  <c r="H984" i="13"/>
  <c r="H981" i="13"/>
  <c r="H980" i="13"/>
  <c r="H977" i="13"/>
  <c r="H976" i="13"/>
  <c r="H973" i="13"/>
  <c r="H972" i="13"/>
  <c r="H969" i="13"/>
  <c r="H968" i="13"/>
  <c r="H965" i="13"/>
  <c r="H964" i="13"/>
  <c r="H961" i="13"/>
  <c r="H960" i="13"/>
  <c r="H957" i="13"/>
  <c r="H956" i="13"/>
  <c r="H953" i="13"/>
  <c r="H952" i="13"/>
  <c r="H949" i="13"/>
  <c r="H948" i="13"/>
  <c r="H945" i="13"/>
  <c r="H944" i="13"/>
  <c r="H941" i="13"/>
  <c r="H940" i="13"/>
  <c r="H937" i="13"/>
  <c r="H936" i="13"/>
  <c r="H933" i="13"/>
  <c r="H932" i="13"/>
  <c r="H929" i="13"/>
  <c r="H928" i="13"/>
  <c r="H925" i="13"/>
  <c r="H924" i="13"/>
  <c r="H921" i="13"/>
  <c r="H920" i="13"/>
  <c r="H917" i="13"/>
  <c r="H916" i="13"/>
  <c r="H913" i="13"/>
  <c r="H912" i="13"/>
  <c r="H909" i="13"/>
  <c r="H908" i="13"/>
  <c r="H905" i="13"/>
  <c r="H904" i="13"/>
  <c r="H901" i="13"/>
  <c r="H900" i="13"/>
  <c r="H897" i="13"/>
  <c r="H896" i="13"/>
  <c r="H893" i="13"/>
  <c r="H892" i="13"/>
  <c r="H889" i="13"/>
  <c r="H888" i="13"/>
  <c r="H885" i="13"/>
  <c r="H884" i="13"/>
  <c r="H881" i="13"/>
  <c r="H880" i="13"/>
  <c r="H877" i="13"/>
  <c r="H876" i="13"/>
  <c r="H873" i="13"/>
  <c r="H872" i="13"/>
  <c r="H869" i="13"/>
  <c r="H868" i="13"/>
  <c r="H865" i="13"/>
  <c r="H864" i="13"/>
  <c r="H861" i="13"/>
  <c r="H860" i="13"/>
  <c r="H857" i="13"/>
  <c r="H856" i="13"/>
  <c r="H853" i="13"/>
  <c r="H852" i="13"/>
  <c r="H849" i="13"/>
  <c r="H848" i="13"/>
  <c r="H845" i="13"/>
  <c r="H844" i="13"/>
  <c r="H841" i="13"/>
  <c r="H840" i="13"/>
  <c r="H837" i="13"/>
  <c r="H836" i="13"/>
  <c r="H833" i="13"/>
  <c r="H832" i="13"/>
  <c r="H829" i="13"/>
  <c r="H828" i="13"/>
  <c r="H825" i="13"/>
  <c r="H824" i="13"/>
  <c r="H821" i="13"/>
  <c r="H820" i="13"/>
  <c r="H817" i="13"/>
  <c r="H816" i="13"/>
  <c r="H813" i="13"/>
  <c r="H812" i="13"/>
  <c r="H809" i="13"/>
  <c r="H808" i="13"/>
  <c r="H805" i="13"/>
  <c r="H804" i="13"/>
  <c r="H801" i="13"/>
  <c r="H800" i="13"/>
  <c r="H797" i="13"/>
  <c r="H796" i="13"/>
  <c r="H793" i="13"/>
  <c r="H792" i="13"/>
  <c r="H789" i="13"/>
  <c r="H788" i="13"/>
  <c r="H785" i="13"/>
  <c r="H784" i="13"/>
  <c r="H781" i="13"/>
  <c r="H780" i="13"/>
  <c r="H777" i="13"/>
  <c r="H776" i="13"/>
  <c r="H773" i="13"/>
  <c r="H772" i="13"/>
  <c r="H769" i="13"/>
  <c r="H768" i="13"/>
  <c r="H765" i="13"/>
  <c r="H764" i="13"/>
  <c r="H761" i="13"/>
  <c r="H760" i="13"/>
  <c r="H757" i="13"/>
  <c r="H756" i="13"/>
  <c r="H753" i="13"/>
  <c r="H752" i="13"/>
  <c r="H749" i="13"/>
  <c r="H748" i="13"/>
  <c r="H745" i="13"/>
  <c r="H744" i="13"/>
  <c r="H741" i="13"/>
  <c r="H740" i="13"/>
  <c r="H737" i="13"/>
  <c r="H736" i="13"/>
  <c r="H733" i="13"/>
  <c r="H732" i="13"/>
  <c r="H729" i="13"/>
  <c r="H728" i="13"/>
  <c r="H725" i="13"/>
  <c r="H724" i="13"/>
  <c r="H721" i="13"/>
  <c r="H720" i="13"/>
  <c r="H717" i="13"/>
  <c r="H716" i="13"/>
  <c r="H713" i="13"/>
  <c r="H712" i="13"/>
  <c r="H709" i="13"/>
  <c r="H708" i="13"/>
  <c r="H705" i="13"/>
  <c r="H704" i="13"/>
  <c r="H701" i="13"/>
  <c r="H700" i="13"/>
  <c r="H697" i="13"/>
  <c r="H696" i="13"/>
  <c r="H693" i="13"/>
  <c r="H692" i="13"/>
  <c r="H689" i="13"/>
  <c r="H688" i="13"/>
  <c r="H685" i="13"/>
  <c r="H684" i="13"/>
  <c r="H681" i="13"/>
  <c r="H680" i="13"/>
  <c r="H677" i="13"/>
  <c r="H676" i="13"/>
  <c r="H673" i="13"/>
  <c r="H672" i="13"/>
  <c r="H669" i="13"/>
  <c r="H668" i="13"/>
  <c r="H665" i="13"/>
  <c r="H664" i="13"/>
  <c r="H661" i="13"/>
  <c r="H660" i="13"/>
  <c r="H657" i="13"/>
  <c r="H656" i="13"/>
  <c r="H653" i="13"/>
  <c r="H652" i="13"/>
  <c r="H649" i="13"/>
  <c r="H648" i="13"/>
  <c r="H645" i="13"/>
  <c r="H644" i="13"/>
  <c r="H641" i="13"/>
  <c r="H640" i="13"/>
  <c r="H637" i="13"/>
  <c r="H636" i="13"/>
  <c r="H633" i="13"/>
  <c r="H632" i="13"/>
  <c r="H629" i="13"/>
  <c r="H628" i="13"/>
  <c r="H625" i="13"/>
  <c r="H624" i="13"/>
  <c r="H621" i="13"/>
  <c r="H620" i="13"/>
  <c r="H617" i="13"/>
  <c r="H616" i="13"/>
  <c r="H613" i="13"/>
  <c r="H612" i="13"/>
  <c r="H609" i="13"/>
  <c r="H608" i="13"/>
  <c r="H605" i="13"/>
  <c r="H604" i="13"/>
  <c r="H601" i="13"/>
  <c r="H600" i="13"/>
  <c r="H597" i="13"/>
  <c r="H596" i="13"/>
  <c r="H593" i="13"/>
  <c r="H592" i="13"/>
  <c r="H589" i="13"/>
  <c r="H588" i="13"/>
  <c r="H585" i="13"/>
  <c r="H584" i="13"/>
  <c r="H581" i="13"/>
  <c r="H580" i="13"/>
  <c r="H577" i="13"/>
  <c r="H576" i="13"/>
  <c r="H573" i="13"/>
  <c r="H572" i="13"/>
  <c r="H569" i="13"/>
  <c r="H568" i="13"/>
  <c r="H565" i="13"/>
  <c r="H564" i="13"/>
  <c r="H561" i="13"/>
  <c r="H560" i="13"/>
  <c r="H557" i="13"/>
  <c r="H556" i="13"/>
  <c r="H553" i="13"/>
  <c r="H552" i="13"/>
  <c r="H549" i="13"/>
  <c r="H548" i="13"/>
  <c r="H545" i="13"/>
  <c r="H544" i="13"/>
  <c r="H541" i="13"/>
  <c r="H540" i="13"/>
  <c r="H537" i="13"/>
  <c r="H536" i="13"/>
  <c r="H533" i="13"/>
  <c r="H532" i="13"/>
  <c r="H529" i="13"/>
  <c r="H528" i="13"/>
  <c r="H525" i="13"/>
  <c r="H524" i="13"/>
  <c r="H521" i="13"/>
  <c r="H520" i="13"/>
  <c r="H517" i="13"/>
  <c r="H516" i="13"/>
  <c r="H513" i="13"/>
  <c r="H512" i="13"/>
  <c r="H509" i="13"/>
  <c r="H508" i="13"/>
  <c r="H505" i="13"/>
  <c r="H504" i="13"/>
  <c r="H501" i="13"/>
  <c r="H500" i="13"/>
  <c r="H497" i="13"/>
  <c r="H496" i="13"/>
  <c r="H493" i="13"/>
  <c r="H492" i="13"/>
  <c r="H489" i="13"/>
  <c r="H488" i="13"/>
  <c r="H485" i="13"/>
  <c r="H484" i="13"/>
  <c r="H481" i="13"/>
  <c r="H480" i="13"/>
  <c r="H477" i="13"/>
  <c r="H476" i="13"/>
  <c r="H473" i="13"/>
  <c r="H472" i="13"/>
  <c r="H469" i="13"/>
  <c r="H468" i="13"/>
  <c r="H465" i="13"/>
  <c r="H464" i="13"/>
  <c r="H461" i="13"/>
  <c r="H460" i="13"/>
  <c r="H457" i="13"/>
  <c r="H456" i="13"/>
  <c r="H453" i="13"/>
  <c r="H452" i="13"/>
  <c r="H449" i="13"/>
  <c r="H448" i="13"/>
  <c r="H445" i="13"/>
  <c r="H444" i="13"/>
  <c r="H441" i="13"/>
  <c r="H440" i="13"/>
  <c r="H437" i="13"/>
  <c r="H436" i="13"/>
  <c r="H433" i="13"/>
  <c r="H432" i="13"/>
  <c r="H429" i="13"/>
  <c r="H428" i="13"/>
  <c r="H425" i="13"/>
  <c r="H424" i="13"/>
  <c r="H421" i="13"/>
  <c r="H420" i="13"/>
  <c r="H417" i="13"/>
  <c r="H416" i="13"/>
  <c r="H413" i="13"/>
  <c r="H412" i="13"/>
  <c r="H409" i="13"/>
  <c r="H408" i="13"/>
  <c r="H405" i="13"/>
  <c r="H404" i="13"/>
  <c r="H401" i="13"/>
  <c r="H400" i="13"/>
  <c r="H397" i="13"/>
  <c r="H396" i="13"/>
  <c r="H393" i="13"/>
  <c r="H392" i="13"/>
  <c r="H389" i="13"/>
  <c r="H388" i="13"/>
  <c r="H385" i="13"/>
  <c r="H384" i="13"/>
  <c r="H381" i="13"/>
  <c r="H380" i="13"/>
  <c r="H377" i="13"/>
  <c r="H376" i="13"/>
  <c r="H373" i="13"/>
  <c r="H372" i="13"/>
  <c r="H369" i="13"/>
  <c r="H368" i="13"/>
  <c r="H365" i="13"/>
  <c r="H364" i="13"/>
  <c r="H361" i="13"/>
  <c r="H360" i="13"/>
  <c r="H357" i="13"/>
  <c r="H356" i="13"/>
  <c r="H353" i="13"/>
  <c r="H352" i="13"/>
  <c r="H349" i="13"/>
  <c r="H348" i="13"/>
  <c r="H345" i="13"/>
  <c r="H344" i="13"/>
  <c r="H341" i="13"/>
  <c r="H340" i="13"/>
  <c r="H337" i="13"/>
  <c r="H336" i="13"/>
  <c r="H333" i="13"/>
  <c r="H332" i="13"/>
  <c r="H329" i="13"/>
  <c r="H328" i="13"/>
  <c r="H325" i="13"/>
  <c r="H324" i="13"/>
  <c r="H321" i="13"/>
  <c r="H320" i="13"/>
  <c r="H317" i="13"/>
  <c r="H316" i="13"/>
  <c r="H313" i="13"/>
  <c r="H312" i="13"/>
  <c r="H309" i="13"/>
  <c r="H308" i="13"/>
  <c r="H305" i="13"/>
  <c r="H304" i="13"/>
  <c r="H301" i="13"/>
  <c r="H300" i="13"/>
  <c r="H297" i="13"/>
  <c r="H296" i="13"/>
  <c r="H293" i="13"/>
  <c r="H292" i="13"/>
  <c r="H289" i="13"/>
  <c r="H288" i="13"/>
  <c r="H285" i="13"/>
  <c r="H284" i="13"/>
  <c r="H281" i="13"/>
  <c r="H280" i="13"/>
  <c r="H277" i="13"/>
  <c r="H276" i="13"/>
  <c r="H273" i="13"/>
  <c r="H272" i="13"/>
  <c r="H269" i="13"/>
  <c r="H268" i="13"/>
  <c r="H265" i="13"/>
  <c r="H264" i="13"/>
  <c r="H261" i="13"/>
  <c r="H260" i="13"/>
  <c r="H257" i="13"/>
  <c r="H256" i="13"/>
  <c r="H253" i="13"/>
  <c r="H252" i="13"/>
  <c r="H249" i="13"/>
  <c r="H248" i="13"/>
  <c r="H245" i="13"/>
  <c r="H244" i="13"/>
  <c r="H241" i="13"/>
  <c r="H240" i="13"/>
  <c r="H237" i="13"/>
  <c r="H236" i="13"/>
  <c r="H233" i="13"/>
  <c r="H232" i="13"/>
  <c r="H229" i="13"/>
  <c r="H228" i="13"/>
  <c r="H225" i="13"/>
  <c r="H224" i="13"/>
  <c r="H221" i="13"/>
  <c r="H220" i="13"/>
  <c r="H217" i="13"/>
  <c r="H216" i="13"/>
  <c r="H213" i="13"/>
  <c r="H212" i="13"/>
  <c r="H209" i="13"/>
  <c r="H208" i="13"/>
  <c r="H205" i="13"/>
  <c r="H204" i="13"/>
  <c r="H201" i="13"/>
  <c r="H200" i="13"/>
  <c r="H197" i="13"/>
  <c r="H196" i="13"/>
  <c r="H193" i="13"/>
  <c r="H192" i="13"/>
  <c r="H189" i="13"/>
  <c r="H188" i="13"/>
  <c r="H185" i="13"/>
  <c r="H184" i="13"/>
  <c r="H181" i="13"/>
  <c r="H180" i="13"/>
  <c r="H177" i="13"/>
  <c r="H176" i="13"/>
  <c r="H173" i="13"/>
  <c r="H172" i="13"/>
  <c r="H169" i="13"/>
  <c r="H168" i="13"/>
  <c r="H165" i="13"/>
  <c r="H164" i="13"/>
  <c r="H161" i="13"/>
  <c r="H160" i="13"/>
  <c r="H157" i="13"/>
  <c r="H156" i="13"/>
  <c r="H153" i="13"/>
  <c r="H152" i="13"/>
  <c r="H149" i="13"/>
  <c r="H148" i="13"/>
  <c r="H145" i="13"/>
  <c r="H144" i="13"/>
  <c r="H141" i="13"/>
  <c r="H140" i="13"/>
  <c r="H137" i="13"/>
  <c r="H136" i="13"/>
  <c r="H133" i="13"/>
  <c r="H132" i="13"/>
  <c r="H129" i="13"/>
  <c r="H128" i="13"/>
  <c r="H125" i="13"/>
  <c r="H124" i="13"/>
  <c r="H121" i="13"/>
  <c r="H120" i="13"/>
  <c r="H117" i="13"/>
  <c r="H116" i="13"/>
  <c r="H113" i="13"/>
  <c r="H112" i="13"/>
  <c r="H109" i="13"/>
  <c r="H108" i="13"/>
  <c r="H105" i="13"/>
  <c r="H104" i="13"/>
  <c r="H101" i="13"/>
  <c r="H100" i="13"/>
  <c r="H97" i="13"/>
  <c r="H96" i="13"/>
  <c r="H93" i="13"/>
  <c r="H92" i="13"/>
  <c r="H89" i="13"/>
  <c r="H88" i="13"/>
  <c r="H85" i="13"/>
  <c r="H84" i="13"/>
  <c r="H81" i="13"/>
  <c r="H80" i="13"/>
  <c r="H77" i="13"/>
  <c r="H76" i="13"/>
  <c r="H73" i="13"/>
  <c r="H72" i="13"/>
  <c r="H69" i="13"/>
  <c r="H68" i="13"/>
  <c r="H65" i="13"/>
  <c r="H64" i="13"/>
  <c r="H61" i="13"/>
  <c r="H60" i="13"/>
  <c r="H57" i="13"/>
  <c r="H56" i="13"/>
  <c r="H53" i="13"/>
  <c r="H52" i="13"/>
  <c r="H49" i="13"/>
  <c r="H48" i="13"/>
  <c r="H45" i="13"/>
  <c r="H44" i="13"/>
  <c r="H41" i="13"/>
  <c r="H40" i="13"/>
  <c r="H37" i="13"/>
  <c r="H36" i="13"/>
  <c r="H33" i="13"/>
  <c r="H32" i="13"/>
  <c r="H29" i="13"/>
  <c r="H28" i="13"/>
  <c r="H25" i="13"/>
  <c r="H24" i="13"/>
  <c r="H21" i="13"/>
  <c r="H20" i="13"/>
  <c r="H17" i="13"/>
  <c r="H16" i="13"/>
  <c r="H13" i="13"/>
  <c r="H12" i="13"/>
  <c r="H9" i="13"/>
  <c r="H8" i="13"/>
  <c r="H5" i="13"/>
  <c r="H4" i="13"/>
  <c r="H2" i="13" a="1"/>
  <c r="H3970" i="13" s="1"/>
  <c r="H2" i="13"/>
  <c r="J13337" i="12"/>
  <c r="I13337" i="12"/>
  <c r="H13337" i="12"/>
  <c r="F13337" i="12"/>
  <c r="J13336" i="12"/>
  <c r="I13336" i="12"/>
  <c r="H13336" i="12"/>
  <c r="F13336" i="12"/>
  <c r="J13335" i="12"/>
  <c r="I13335" i="12"/>
  <c r="H13335" i="12"/>
  <c r="F13335" i="12"/>
  <c r="J13334" i="12"/>
  <c r="I13334" i="12"/>
  <c r="H13334" i="12"/>
  <c r="F13334" i="12"/>
  <c r="J13333" i="12"/>
  <c r="I13333" i="12"/>
  <c r="H13333" i="12"/>
  <c r="F13333" i="12"/>
  <c r="J13332" i="12"/>
  <c r="I13332" i="12"/>
  <c r="H13332" i="12"/>
  <c r="F13332" i="12"/>
  <c r="J13331" i="12"/>
  <c r="I13331" i="12"/>
  <c r="H13331" i="12"/>
  <c r="F13331" i="12"/>
  <c r="J13330" i="12"/>
  <c r="I13330" i="12"/>
  <c r="H13330" i="12"/>
  <c r="F13330" i="12"/>
  <c r="J13329" i="12"/>
  <c r="I13329" i="12"/>
  <c r="H13329" i="12"/>
  <c r="F13329" i="12"/>
  <c r="J13328" i="12"/>
  <c r="I13328" i="12"/>
  <c r="H13328" i="12"/>
  <c r="F13328" i="12"/>
  <c r="J13327" i="12"/>
  <c r="I13327" i="12"/>
  <c r="H13327" i="12"/>
  <c r="F13327" i="12"/>
  <c r="J13326" i="12"/>
  <c r="I13326" i="12"/>
  <c r="H13326" i="12"/>
  <c r="F13326" i="12"/>
  <c r="J13325" i="12"/>
  <c r="I13325" i="12"/>
  <c r="H13325" i="12"/>
  <c r="F13325" i="12"/>
  <c r="J13324" i="12"/>
  <c r="I13324" i="12"/>
  <c r="H13324" i="12"/>
  <c r="F13324" i="12"/>
  <c r="J13323" i="12"/>
  <c r="I13323" i="12"/>
  <c r="H13323" i="12"/>
  <c r="F13323" i="12"/>
  <c r="J13322" i="12"/>
  <c r="I13322" i="12"/>
  <c r="H13322" i="12"/>
  <c r="F13322" i="12"/>
  <c r="J13321" i="12"/>
  <c r="I13321" i="12"/>
  <c r="H13321" i="12"/>
  <c r="F13321" i="12"/>
  <c r="J13320" i="12"/>
  <c r="I13320" i="12"/>
  <c r="H13320" i="12"/>
  <c r="F13320" i="12"/>
  <c r="J13319" i="12"/>
  <c r="I13319" i="12"/>
  <c r="H13319" i="12"/>
  <c r="F13319" i="12"/>
  <c r="J13318" i="12"/>
  <c r="I13318" i="12"/>
  <c r="H13318" i="12"/>
  <c r="F13318" i="12"/>
  <c r="J13317" i="12"/>
  <c r="I13317" i="12"/>
  <c r="H13317" i="12"/>
  <c r="F13317" i="12"/>
  <c r="J13316" i="12"/>
  <c r="I13316" i="12"/>
  <c r="H13316" i="12"/>
  <c r="F13316" i="12"/>
  <c r="J13315" i="12"/>
  <c r="I13315" i="12"/>
  <c r="H13315" i="12"/>
  <c r="F13315" i="12"/>
  <c r="J13314" i="12"/>
  <c r="I13314" i="12"/>
  <c r="H13314" i="12"/>
  <c r="F13314" i="12"/>
  <c r="J13313" i="12"/>
  <c r="I13313" i="12"/>
  <c r="H13313" i="12"/>
  <c r="F13313" i="12"/>
  <c r="J13312" i="12"/>
  <c r="I13312" i="12"/>
  <c r="H13312" i="12"/>
  <c r="F13312" i="12"/>
  <c r="J13311" i="12"/>
  <c r="I13311" i="12"/>
  <c r="H13311" i="12"/>
  <c r="F13311" i="12"/>
  <c r="J13310" i="12"/>
  <c r="I13310" i="12"/>
  <c r="H13310" i="12"/>
  <c r="F13310" i="12"/>
  <c r="J13309" i="12"/>
  <c r="I13309" i="12"/>
  <c r="H13309" i="12"/>
  <c r="F13309" i="12"/>
  <c r="J13308" i="12"/>
  <c r="I13308" i="12"/>
  <c r="H13308" i="12"/>
  <c r="F13308" i="12"/>
  <c r="J13307" i="12"/>
  <c r="I13307" i="12"/>
  <c r="H13307" i="12"/>
  <c r="F13307" i="12"/>
  <c r="J13306" i="12"/>
  <c r="I13306" i="12"/>
  <c r="H13306" i="12"/>
  <c r="F13306" i="12"/>
  <c r="J13305" i="12"/>
  <c r="I13305" i="12"/>
  <c r="H13305" i="12"/>
  <c r="F13305" i="12"/>
  <c r="J13304" i="12"/>
  <c r="I13304" i="12"/>
  <c r="H13304" i="12"/>
  <c r="F13304" i="12"/>
  <c r="J13303" i="12"/>
  <c r="I13303" i="12"/>
  <c r="H13303" i="12"/>
  <c r="F13303" i="12"/>
  <c r="J13302" i="12"/>
  <c r="I13302" i="12"/>
  <c r="H13302" i="12"/>
  <c r="F13302" i="12"/>
  <c r="J13301" i="12"/>
  <c r="I13301" i="12"/>
  <c r="H13301" i="12"/>
  <c r="F13301" i="12"/>
  <c r="J13300" i="12"/>
  <c r="I13300" i="12"/>
  <c r="H13300" i="12"/>
  <c r="F13300" i="12"/>
  <c r="J13299" i="12"/>
  <c r="I13299" i="12"/>
  <c r="H13299" i="12"/>
  <c r="F13299" i="12"/>
  <c r="J13298" i="12"/>
  <c r="I13298" i="12"/>
  <c r="H13298" i="12"/>
  <c r="F13298" i="12"/>
  <c r="J13297" i="12"/>
  <c r="I13297" i="12"/>
  <c r="H13297" i="12"/>
  <c r="F13297" i="12"/>
  <c r="J13296" i="12"/>
  <c r="I13296" i="12"/>
  <c r="H13296" i="12"/>
  <c r="F13296" i="12"/>
  <c r="J13295" i="12"/>
  <c r="I13295" i="12"/>
  <c r="H13295" i="12"/>
  <c r="F13295" i="12"/>
  <c r="J13294" i="12"/>
  <c r="I13294" i="12"/>
  <c r="H13294" i="12"/>
  <c r="F13294" i="12"/>
  <c r="J13293" i="12"/>
  <c r="I13293" i="12"/>
  <c r="H13293" i="12"/>
  <c r="F13293" i="12"/>
  <c r="J13292" i="12"/>
  <c r="I13292" i="12"/>
  <c r="H13292" i="12"/>
  <c r="F13292" i="12"/>
  <c r="J13291" i="12"/>
  <c r="I13291" i="12"/>
  <c r="H13291" i="12"/>
  <c r="F13291" i="12"/>
  <c r="J13290" i="12"/>
  <c r="I13290" i="12"/>
  <c r="H13290" i="12"/>
  <c r="F13290" i="12"/>
  <c r="J13289" i="12"/>
  <c r="I13289" i="12"/>
  <c r="H13289" i="12"/>
  <c r="F13289" i="12"/>
  <c r="J13288" i="12"/>
  <c r="I13288" i="12"/>
  <c r="H13288" i="12"/>
  <c r="F13288" i="12"/>
  <c r="J13287" i="12"/>
  <c r="I13287" i="12"/>
  <c r="H13287" i="12"/>
  <c r="F13287" i="12"/>
  <c r="J13286" i="12"/>
  <c r="I13286" i="12"/>
  <c r="H13286" i="12"/>
  <c r="F13286" i="12"/>
  <c r="J13285" i="12"/>
  <c r="I13285" i="12"/>
  <c r="H13285" i="12"/>
  <c r="F13285" i="12"/>
  <c r="J13284" i="12"/>
  <c r="I13284" i="12"/>
  <c r="H13284" i="12"/>
  <c r="F13284" i="12"/>
  <c r="J13283" i="12"/>
  <c r="I13283" i="12"/>
  <c r="H13283" i="12"/>
  <c r="F13283" i="12"/>
  <c r="J13282" i="12"/>
  <c r="I13282" i="12"/>
  <c r="H13282" i="12"/>
  <c r="F13282" i="12"/>
  <c r="J13281" i="12"/>
  <c r="I13281" i="12"/>
  <c r="H13281" i="12"/>
  <c r="F13281" i="12"/>
  <c r="J13280" i="12"/>
  <c r="I13280" i="12"/>
  <c r="H13280" i="12"/>
  <c r="F13280" i="12"/>
  <c r="J13279" i="12"/>
  <c r="I13279" i="12"/>
  <c r="H13279" i="12"/>
  <c r="F13279" i="12"/>
  <c r="J13278" i="12"/>
  <c r="I13278" i="12"/>
  <c r="H13278" i="12"/>
  <c r="F13278" i="12"/>
  <c r="J13277" i="12"/>
  <c r="I13277" i="12"/>
  <c r="H13277" i="12"/>
  <c r="F13277" i="12"/>
  <c r="J13276" i="12"/>
  <c r="I13276" i="12"/>
  <c r="H13276" i="12"/>
  <c r="F13276" i="12"/>
  <c r="J13275" i="12"/>
  <c r="I13275" i="12"/>
  <c r="H13275" i="12"/>
  <c r="F13275" i="12"/>
  <c r="J13274" i="12"/>
  <c r="I13274" i="12"/>
  <c r="H13274" i="12"/>
  <c r="F13274" i="12"/>
  <c r="J13273" i="12"/>
  <c r="I13273" i="12"/>
  <c r="H13273" i="12"/>
  <c r="F13273" i="12"/>
  <c r="J13272" i="12"/>
  <c r="I13272" i="12"/>
  <c r="H13272" i="12"/>
  <c r="F13272" i="12"/>
  <c r="J13271" i="12"/>
  <c r="I13271" i="12"/>
  <c r="H13271" i="12"/>
  <c r="F13271" i="12"/>
  <c r="J13270" i="12"/>
  <c r="I13270" i="12"/>
  <c r="H13270" i="12"/>
  <c r="F13270" i="12"/>
  <c r="J13269" i="12"/>
  <c r="I13269" i="12"/>
  <c r="H13269" i="12"/>
  <c r="F13269" i="12"/>
  <c r="J13268" i="12"/>
  <c r="I13268" i="12"/>
  <c r="H13268" i="12"/>
  <c r="F13268" i="12"/>
  <c r="J13267" i="12"/>
  <c r="I13267" i="12"/>
  <c r="H13267" i="12"/>
  <c r="F13267" i="12"/>
  <c r="J13266" i="12"/>
  <c r="I13266" i="12"/>
  <c r="H13266" i="12"/>
  <c r="F13266" i="12"/>
  <c r="J13265" i="12"/>
  <c r="I13265" i="12"/>
  <c r="H13265" i="12"/>
  <c r="F13265" i="12"/>
  <c r="J13264" i="12"/>
  <c r="I13264" i="12"/>
  <c r="H13264" i="12"/>
  <c r="F13264" i="12"/>
  <c r="J13263" i="12"/>
  <c r="I13263" i="12"/>
  <c r="H13263" i="12"/>
  <c r="F13263" i="12"/>
  <c r="J13262" i="12"/>
  <c r="I13262" i="12"/>
  <c r="H13262" i="12"/>
  <c r="F13262" i="12"/>
  <c r="J13261" i="12"/>
  <c r="I13261" i="12"/>
  <c r="H13261" i="12"/>
  <c r="F13261" i="12"/>
  <c r="J13260" i="12"/>
  <c r="I13260" i="12"/>
  <c r="H13260" i="12"/>
  <c r="F13260" i="12"/>
  <c r="J13259" i="12"/>
  <c r="I13259" i="12"/>
  <c r="H13259" i="12"/>
  <c r="F13259" i="12"/>
  <c r="J13258" i="12"/>
  <c r="I13258" i="12"/>
  <c r="H13258" i="12"/>
  <c r="F13258" i="12"/>
  <c r="J13257" i="12"/>
  <c r="I13257" i="12"/>
  <c r="H13257" i="12"/>
  <c r="F13257" i="12"/>
  <c r="J13256" i="12"/>
  <c r="I13256" i="12"/>
  <c r="H13256" i="12"/>
  <c r="F13256" i="12"/>
  <c r="J13255" i="12"/>
  <c r="I13255" i="12"/>
  <c r="H13255" i="12"/>
  <c r="F13255" i="12"/>
  <c r="J13254" i="12"/>
  <c r="I13254" i="12"/>
  <c r="H13254" i="12"/>
  <c r="F13254" i="12"/>
  <c r="J13253" i="12"/>
  <c r="I13253" i="12"/>
  <c r="H13253" i="12"/>
  <c r="F13253" i="12"/>
  <c r="J13252" i="12"/>
  <c r="I13252" i="12"/>
  <c r="H13252" i="12"/>
  <c r="F13252" i="12"/>
  <c r="J13251" i="12"/>
  <c r="I13251" i="12"/>
  <c r="H13251" i="12"/>
  <c r="F13251" i="12"/>
  <c r="J13250" i="12"/>
  <c r="I13250" i="12"/>
  <c r="H13250" i="12"/>
  <c r="F13250" i="12"/>
  <c r="J13249" i="12"/>
  <c r="I13249" i="12"/>
  <c r="H13249" i="12"/>
  <c r="F13249" i="12"/>
  <c r="J13248" i="12"/>
  <c r="I13248" i="12"/>
  <c r="H13248" i="12"/>
  <c r="F13248" i="12"/>
  <c r="J13247" i="12"/>
  <c r="I13247" i="12"/>
  <c r="H13247" i="12"/>
  <c r="F13247" i="12"/>
  <c r="J13246" i="12"/>
  <c r="I13246" i="12"/>
  <c r="H13246" i="12"/>
  <c r="F13246" i="12"/>
  <c r="J13245" i="12"/>
  <c r="I13245" i="12"/>
  <c r="H13245" i="12"/>
  <c r="F13245" i="12"/>
  <c r="J13244" i="12"/>
  <c r="I13244" i="12"/>
  <c r="H13244" i="12"/>
  <c r="F13244" i="12"/>
  <c r="J13243" i="12"/>
  <c r="I13243" i="12"/>
  <c r="H13243" i="12"/>
  <c r="F13243" i="12"/>
  <c r="J13242" i="12"/>
  <c r="I13242" i="12"/>
  <c r="H13242" i="12"/>
  <c r="F13242" i="12"/>
  <c r="J13241" i="12"/>
  <c r="I13241" i="12"/>
  <c r="H13241" i="12"/>
  <c r="F13241" i="12"/>
  <c r="J13240" i="12"/>
  <c r="I13240" i="12"/>
  <c r="H13240" i="12"/>
  <c r="F13240" i="12"/>
  <c r="J13239" i="12"/>
  <c r="I13239" i="12"/>
  <c r="H13239" i="12"/>
  <c r="F13239" i="12"/>
  <c r="J13238" i="12"/>
  <c r="I13238" i="12"/>
  <c r="H13238" i="12"/>
  <c r="F13238" i="12"/>
  <c r="J13237" i="12"/>
  <c r="I13237" i="12"/>
  <c r="H13237" i="12"/>
  <c r="F13237" i="12"/>
  <c r="J13236" i="12"/>
  <c r="I13236" i="12"/>
  <c r="H13236" i="12"/>
  <c r="F13236" i="12"/>
  <c r="J13235" i="12"/>
  <c r="I13235" i="12"/>
  <c r="H13235" i="12"/>
  <c r="F13235" i="12"/>
  <c r="J13234" i="12"/>
  <c r="I13234" i="12"/>
  <c r="H13234" i="12"/>
  <c r="F13234" i="12"/>
  <c r="J13233" i="12"/>
  <c r="I13233" i="12"/>
  <c r="H13233" i="12"/>
  <c r="F13233" i="12"/>
  <c r="J13232" i="12"/>
  <c r="I13232" i="12"/>
  <c r="H13232" i="12"/>
  <c r="F13232" i="12"/>
  <c r="J13231" i="12"/>
  <c r="I13231" i="12"/>
  <c r="H13231" i="12"/>
  <c r="F13231" i="12"/>
  <c r="J13230" i="12"/>
  <c r="I13230" i="12"/>
  <c r="H13230" i="12"/>
  <c r="F13230" i="12"/>
  <c r="J13229" i="12"/>
  <c r="I13229" i="12"/>
  <c r="H13229" i="12"/>
  <c r="F13229" i="12"/>
  <c r="J13228" i="12"/>
  <c r="I13228" i="12"/>
  <c r="H13228" i="12"/>
  <c r="F13228" i="12"/>
  <c r="J13227" i="12"/>
  <c r="I13227" i="12"/>
  <c r="H13227" i="12"/>
  <c r="F13227" i="12"/>
  <c r="J13226" i="12"/>
  <c r="I13226" i="12"/>
  <c r="H13226" i="12"/>
  <c r="F13226" i="12"/>
  <c r="J13225" i="12"/>
  <c r="I13225" i="12"/>
  <c r="H13225" i="12"/>
  <c r="F13225" i="12"/>
  <c r="J13224" i="12"/>
  <c r="I13224" i="12"/>
  <c r="H13224" i="12"/>
  <c r="F13224" i="12"/>
  <c r="J13223" i="12"/>
  <c r="I13223" i="12"/>
  <c r="H13223" i="12"/>
  <c r="F13223" i="12"/>
  <c r="J13222" i="12"/>
  <c r="I13222" i="12"/>
  <c r="H13222" i="12"/>
  <c r="F13222" i="12"/>
  <c r="J13221" i="12"/>
  <c r="I13221" i="12"/>
  <c r="H13221" i="12"/>
  <c r="F13221" i="12"/>
  <c r="J13220" i="12"/>
  <c r="I13220" i="12"/>
  <c r="H13220" i="12"/>
  <c r="F13220" i="12"/>
  <c r="J13219" i="12"/>
  <c r="I13219" i="12"/>
  <c r="H13219" i="12"/>
  <c r="F13219" i="12"/>
  <c r="J13218" i="12"/>
  <c r="I13218" i="12"/>
  <c r="H13218" i="12"/>
  <c r="F13218" i="12"/>
  <c r="J13217" i="12"/>
  <c r="I13217" i="12"/>
  <c r="H13217" i="12"/>
  <c r="F13217" i="12"/>
  <c r="J13216" i="12"/>
  <c r="I13216" i="12"/>
  <c r="H13216" i="12"/>
  <c r="F13216" i="12"/>
  <c r="J13215" i="12"/>
  <c r="I13215" i="12"/>
  <c r="H13215" i="12"/>
  <c r="F13215" i="12"/>
  <c r="J13214" i="12"/>
  <c r="I13214" i="12"/>
  <c r="H13214" i="12"/>
  <c r="F13214" i="12"/>
  <c r="J13213" i="12"/>
  <c r="I13213" i="12"/>
  <c r="H13213" i="12"/>
  <c r="F13213" i="12"/>
  <c r="J13212" i="12"/>
  <c r="I13212" i="12"/>
  <c r="H13212" i="12"/>
  <c r="F13212" i="12"/>
  <c r="J13211" i="12"/>
  <c r="I13211" i="12"/>
  <c r="H13211" i="12"/>
  <c r="F13211" i="12"/>
  <c r="J13210" i="12"/>
  <c r="I13210" i="12"/>
  <c r="H13210" i="12"/>
  <c r="F13210" i="12"/>
  <c r="J13209" i="12"/>
  <c r="I13209" i="12"/>
  <c r="H13209" i="12"/>
  <c r="F13209" i="12"/>
  <c r="J13208" i="12"/>
  <c r="I13208" i="12"/>
  <c r="H13208" i="12"/>
  <c r="F13208" i="12"/>
  <c r="J13207" i="12"/>
  <c r="I13207" i="12"/>
  <c r="H13207" i="12"/>
  <c r="F13207" i="12"/>
  <c r="J13206" i="12"/>
  <c r="I13206" i="12"/>
  <c r="H13206" i="12"/>
  <c r="F13206" i="12"/>
  <c r="J13205" i="12"/>
  <c r="I13205" i="12"/>
  <c r="H13205" i="12"/>
  <c r="F13205" i="12"/>
  <c r="J13204" i="12"/>
  <c r="I13204" i="12"/>
  <c r="H13204" i="12"/>
  <c r="F13204" i="12"/>
  <c r="J13203" i="12"/>
  <c r="I13203" i="12"/>
  <c r="H13203" i="12"/>
  <c r="F13203" i="12"/>
  <c r="J13202" i="12"/>
  <c r="I13202" i="12"/>
  <c r="H13202" i="12"/>
  <c r="F13202" i="12"/>
  <c r="J13201" i="12"/>
  <c r="I13201" i="12"/>
  <c r="H13201" i="12"/>
  <c r="F13201" i="12"/>
  <c r="J13200" i="12"/>
  <c r="I13200" i="12"/>
  <c r="H13200" i="12"/>
  <c r="F13200" i="12"/>
  <c r="J13199" i="12"/>
  <c r="I13199" i="12"/>
  <c r="H13199" i="12"/>
  <c r="F13199" i="12"/>
  <c r="J13198" i="12"/>
  <c r="I13198" i="12"/>
  <c r="H13198" i="12"/>
  <c r="F13198" i="12"/>
  <c r="J13197" i="12"/>
  <c r="I13197" i="12"/>
  <c r="H13197" i="12"/>
  <c r="F13197" i="12"/>
  <c r="J13196" i="12"/>
  <c r="I13196" i="12"/>
  <c r="H13196" i="12"/>
  <c r="F13196" i="12"/>
  <c r="J13195" i="12"/>
  <c r="I13195" i="12"/>
  <c r="H13195" i="12"/>
  <c r="F13195" i="12"/>
  <c r="J13194" i="12"/>
  <c r="I13194" i="12"/>
  <c r="H13194" i="12"/>
  <c r="F13194" i="12"/>
  <c r="J13193" i="12"/>
  <c r="I13193" i="12"/>
  <c r="H13193" i="12"/>
  <c r="F13193" i="12"/>
  <c r="J13192" i="12"/>
  <c r="I13192" i="12"/>
  <c r="H13192" i="12"/>
  <c r="F13192" i="12"/>
  <c r="J13191" i="12"/>
  <c r="I13191" i="12"/>
  <c r="H13191" i="12"/>
  <c r="F13191" i="12"/>
  <c r="J13190" i="12"/>
  <c r="I13190" i="12"/>
  <c r="H13190" i="12"/>
  <c r="F13190" i="12"/>
  <c r="J13189" i="12"/>
  <c r="I13189" i="12"/>
  <c r="H13189" i="12"/>
  <c r="F13189" i="12"/>
  <c r="J13188" i="12"/>
  <c r="I13188" i="12"/>
  <c r="H13188" i="12"/>
  <c r="F13188" i="12"/>
  <c r="J13187" i="12"/>
  <c r="I13187" i="12"/>
  <c r="H13187" i="12"/>
  <c r="F13187" i="12"/>
  <c r="J13186" i="12"/>
  <c r="I13186" i="12"/>
  <c r="H13186" i="12"/>
  <c r="F13186" i="12"/>
  <c r="J13185" i="12"/>
  <c r="I13185" i="12"/>
  <c r="H13185" i="12"/>
  <c r="F13185" i="12"/>
  <c r="J13184" i="12"/>
  <c r="I13184" i="12"/>
  <c r="H13184" i="12"/>
  <c r="F13184" i="12"/>
  <c r="J13183" i="12"/>
  <c r="I13183" i="12"/>
  <c r="H13183" i="12"/>
  <c r="F13183" i="12"/>
  <c r="J13182" i="12"/>
  <c r="I13182" i="12"/>
  <c r="H13182" i="12"/>
  <c r="F13182" i="12"/>
  <c r="J13181" i="12"/>
  <c r="I13181" i="12"/>
  <c r="H13181" i="12"/>
  <c r="F13181" i="12"/>
  <c r="J13180" i="12"/>
  <c r="I13180" i="12"/>
  <c r="H13180" i="12"/>
  <c r="F13180" i="12"/>
  <c r="J13179" i="12"/>
  <c r="I13179" i="12"/>
  <c r="H13179" i="12"/>
  <c r="F13179" i="12"/>
  <c r="J13178" i="12"/>
  <c r="I13178" i="12"/>
  <c r="H13178" i="12"/>
  <c r="F13178" i="12"/>
  <c r="J13177" i="12"/>
  <c r="I13177" i="12"/>
  <c r="H13177" i="12"/>
  <c r="F13177" i="12"/>
  <c r="J13176" i="12"/>
  <c r="I13176" i="12"/>
  <c r="H13176" i="12"/>
  <c r="F13176" i="12"/>
  <c r="J13175" i="12"/>
  <c r="I13175" i="12"/>
  <c r="H13175" i="12"/>
  <c r="F13175" i="12"/>
  <c r="J13174" i="12"/>
  <c r="I13174" i="12"/>
  <c r="H13174" i="12"/>
  <c r="F13174" i="12"/>
  <c r="J13173" i="12"/>
  <c r="I13173" i="12"/>
  <c r="H13173" i="12"/>
  <c r="F13173" i="12"/>
  <c r="J13172" i="12"/>
  <c r="I13172" i="12"/>
  <c r="H13172" i="12"/>
  <c r="F13172" i="12"/>
  <c r="J13171" i="12"/>
  <c r="I13171" i="12"/>
  <c r="H13171" i="12"/>
  <c r="F13171" i="12"/>
  <c r="J13170" i="12"/>
  <c r="I13170" i="12"/>
  <c r="H13170" i="12"/>
  <c r="F13170" i="12"/>
  <c r="J13169" i="12"/>
  <c r="I13169" i="12"/>
  <c r="H13169" i="12"/>
  <c r="F13169" i="12"/>
  <c r="J13168" i="12"/>
  <c r="I13168" i="12"/>
  <c r="H13168" i="12"/>
  <c r="F13168" i="12"/>
  <c r="J13167" i="12"/>
  <c r="I13167" i="12"/>
  <c r="H13167" i="12"/>
  <c r="F13167" i="12"/>
  <c r="J13166" i="12"/>
  <c r="I13166" i="12"/>
  <c r="H13166" i="12"/>
  <c r="F13166" i="12"/>
  <c r="J13165" i="12"/>
  <c r="I13165" i="12"/>
  <c r="H13165" i="12"/>
  <c r="F13165" i="12"/>
  <c r="J13164" i="12"/>
  <c r="I13164" i="12"/>
  <c r="H13164" i="12"/>
  <c r="F13164" i="12"/>
  <c r="J13163" i="12"/>
  <c r="I13163" i="12"/>
  <c r="H13163" i="12"/>
  <c r="F13163" i="12"/>
  <c r="J13162" i="12"/>
  <c r="I13162" i="12"/>
  <c r="H13162" i="12"/>
  <c r="F13162" i="12"/>
  <c r="J13161" i="12"/>
  <c r="I13161" i="12"/>
  <c r="H13161" i="12"/>
  <c r="F13161" i="12"/>
  <c r="J13160" i="12"/>
  <c r="I13160" i="12"/>
  <c r="H13160" i="12"/>
  <c r="F13160" i="12"/>
  <c r="J13159" i="12"/>
  <c r="I13159" i="12"/>
  <c r="H13159" i="12"/>
  <c r="F13159" i="12"/>
  <c r="J13158" i="12"/>
  <c r="I13158" i="12"/>
  <c r="H13158" i="12"/>
  <c r="F13158" i="12"/>
  <c r="J13157" i="12"/>
  <c r="I13157" i="12"/>
  <c r="H13157" i="12"/>
  <c r="F13157" i="12"/>
  <c r="J13156" i="12"/>
  <c r="I13156" i="12"/>
  <c r="H13156" i="12"/>
  <c r="F13156" i="12"/>
  <c r="J13155" i="12"/>
  <c r="I13155" i="12"/>
  <c r="H13155" i="12"/>
  <c r="F13155" i="12"/>
  <c r="J13154" i="12"/>
  <c r="I13154" i="12"/>
  <c r="H13154" i="12"/>
  <c r="F13154" i="12"/>
  <c r="J13153" i="12"/>
  <c r="I13153" i="12"/>
  <c r="H13153" i="12"/>
  <c r="F13153" i="12"/>
  <c r="J13152" i="12"/>
  <c r="I13152" i="12"/>
  <c r="H13152" i="12"/>
  <c r="F13152" i="12"/>
  <c r="J13151" i="12"/>
  <c r="I13151" i="12"/>
  <c r="H13151" i="12"/>
  <c r="F13151" i="12"/>
  <c r="J13150" i="12"/>
  <c r="I13150" i="12"/>
  <c r="H13150" i="12"/>
  <c r="F13150" i="12"/>
  <c r="J13149" i="12"/>
  <c r="I13149" i="12"/>
  <c r="H13149" i="12"/>
  <c r="F13149" i="12"/>
  <c r="J13148" i="12"/>
  <c r="I13148" i="12"/>
  <c r="H13148" i="12"/>
  <c r="F13148" i="12"/>
  <c r="J13147" i="12"/>
  <c r="I13147" i="12"/>
  <c r="H13147" i="12"/>
  <c r="F13147" i="12"/>
  <c r="J13146" i="12"/>
  <c r="I13146" i="12"/>
  <c r="H13146" i="12"/>
  <c r="F13146" i="12"/>
  <c r="J13145" i="12"/>
  <c r="I13145" i="12"/>
  <c r="H13145" i="12"/>
  <c r="F13145" i="12"/>
  <c r="J13144" i="12"/>
  <c r="I13144" i="12"/>
  <c r="H13144" i="12"/>
  <c r="F13144" i="12"/>
  <c r="J13143" i="12"/>
  <c r="I13143" i="12"/>
  <c r="H13143" i="12"/>
  <c r="F13143" i="12"/>
  <c r="J13142" i="12"/>
  <c r="I13142" i="12"/>
  <c r="H13142" i="12"/>
  <c r="F13142" i="12"/>
  <c r="J13141" i="12"/>
  <c r="I13141" i="12"/>
  <c r="H13141" i="12"/>
  <c r="F13141" i="12"/>
  <c r="J13140" i="12"/>
  <c r="I13140" i="12"/>
  <c r="H13140" i="12"/>
  <c r="F13140" i="12"/>
  <c r="J13139" i="12"/>
  <c r="I13139" i="12"/>
  <c r="H13139" i="12"/>
  <c r="F13139" i="12"/>
  <c r="J13138" i="12"/>
  <c r="I13138" i="12"/>
  <c r="H13138" i="12"/>
  <c r="F13138" i="12"/>
  <c r="J13137" i="12"/>
  <c r="I13137" i="12"/>
  <c r="H13137" i="12"/>
  <c r="F13137" i="12"/>
  <c r="J13136" i="12"/>
  <c r="I13136" i="12"/>
  <c r="H13136" i="12"/>
  <c r="F13136" i="12"/>
  <c r="J13135" i="12"/>
  <c r="I13135" i="12"/>
  <c r="H13135" i="12"/>
  <c r="F13135" i="12"/>
  <c r="J13134" i="12"/>
  <c r="I13134" i="12"/>
  <c r="H13134" i="12"/>
  <c r="F13134" i="12"/>
  <c r="J13133" i="12"/>
  <c r="I13133" i="12"/>
  <c r="H13133" i="12"/>
  <c r="F13133" i="12"/>
  <c r="J13132" i="12"/>
  <c r="I13132" i="12"/>
  <c r="H13132" i="12"/>
  <c r="F13132" i="12"/>
  <c r="J13131" i="12"/>
  <c r="I13131" i="12"/>
  <c r="H13131" i="12"/>
  <c r="F13131" i="12"/>
  <c r="J13130" i="12"/>
  <c r="I13130" i="12"/>
  <c r="H13130" i="12"/>
  <c r="F13130" i="12"/>
  <c r="J13129" i="12"/>
  <c r="I13129" i="12"/>
  <c r="H13129" i="12"/>
  <c r="F13129" i="12"/>
  <c r="J13128" i="12"/>
  <c r="I13128" i="12"/>
  <c r="H13128" i="12"/>
  <c r="F13128" i="12"/>
  <c r="J13127" i="12"/>
  <c r="I13127" i="12"/>
  <c r="H13127" i="12"/>
  <c r="F13127" i="12"/>
  <c r="J13126" i="12"/>
  <c r="I13126" i="12"/>
  <c r="H13126" i="12"/>
  <c r="F13126" i="12"/>
  <c r="J13125" i="12"/>
  <c r="I13125" i="12"/>
  <c r="H13125" i="12"/>
  <c r="F13125" i="12"/>
  <c r="J13124" i="12"/>
  <c r="I13124" i="12"/>
  <c r="H13124" i="12"/>
  <c r="F13124" i="12"/>
  <c r="J13123" i="12"/>
  <c r="I13123" i="12"/>
  <c r="H13123" i="12"/>
  <c r="F13123" i="12"/>
  <c r="J13122" i="12"/>
  <c r="I13122" i="12"/>
  <c r="H13122" i="12"/>
  <c r="F13122" i="12"/>
  <c r="J13121" i="12"/>
  <c r="I13121" i="12"/>
  <c r="H13121" i="12"/>
  <c r="F13121" i="12"/>
  <c r="J13120" i="12"/>
  <c r="I13120" i="12"/>
  <c r="H13120" i="12"/>
  <c r="F13120" i="12"/>
  <c r="J13119" i="12"/>
  <c r="I13119" i="12"/>
  <c r="H13119" i="12"/>
  <c r="F13119" i="12"/>
  <c r="J13118" i="12"/>
  <c r="I13118" i="12"/>
  <c r="H13118" i="12"/>
  <c r="F13118" i="12"/>
  <c r="J13117" i="12"/>
  <c r="I13117" i="12"/>
  <c r="H13117" i="12"/>
  <c r="F13117" i="12"/>
  <c r="J13116" i="12"/>
  <c r="I13116" i="12"/>
  <c r="H13116" i="12"/>
  <c r="F13116" i="12"/>
  <c r="J13115" i="12"/>
  <c r="I13115" i="12"/>
  <c r="H13115" i="12"/>
  <c r="F13115" i="12"/>
  <c r="J13114" i="12"/>
  <c r="I13114" i="12"/>
  <c r="H13114" i="12"/>
  <c r="F13114" i="12"/>
  <c r="J13113" i="12"/>
  <c r="I13113" i="12"/>
  <c r="H13113" i="12"/>
  <c r="F13113" i="12"/>
  <c r="J13112" i="12"/>
  <c r="I13112" i="12"/>
  <c r="H13112" i="12"/>
  <c r="F13112" i="12"/>
  <c r="J13111" i="12"/>
  <c r="I13111" i="12"/>
  <c r="H13111" i="12"/>
  <c r="F13111" i="12"/>
  <c r="J13110" i="12"/>
  <c r="I13110" i="12"/>
  <c r="H13110" i="12"/>
  <c r="F13110" i="12"/>
  <c r="J13109" i="12"/>
  <c r="I13109" i="12"/>
  <c r="H13109" i="12"/>
  <c r="F13109" i="12"/>
  <c r="J13108" i="12"/>
  <c r="I13108" i="12"/>
  <c r="H13108" i="12"/>
  <c r="F13108" i="12"/>
  <c r="J13107" i="12"/>
  <c r="I13107" i="12"/>
  <c r="H13107" i="12"/>
  <c r="F13107" i="12"/>
  <c r="J13106" i="12"/>
  <c r="I13106" i="12"/>
  <c r="H13106" i="12"/>
  <c r="F13106" i="12"/>
  <c r="J13105" i="12"/>
  <c r="I13105" i="12"/>
  <c r="H13105" i="12"/>
  <c r="F13105" i="12"/>
  <c r="J13104" i="12"/>
  <c r="I13104" i="12"/>
  <c r="H13104" i="12"/>
  <c r="F13104" i="12"/>
  <c r="J13103" i="12"/>
  <c r="I13103" i="12"/>
  <c r="H13103" i="12"/>
  <c r="F13103" i="12"/>
  <c r="J13102" i="12"/>
  <c r="I13102" i="12"/>
  <c r="H13102" i="12"/>
  <c r="F13102" i="12"/>
  <c r="J13101" i="12"/>
  <c r="I13101" i="12"/>
  <c r="H13101" i="12"/>
  <c r="F13101" i="12"/>
  <c r="J13100" i="12"/>
  <c r="I13100" i="12"/>
  <c r="H13100" i="12"/>
  <c r="F13100" i="12"/>
  <c r="J13099" i="12"/>
  <c r="I13099" i="12"/>
  <c r="H13099" i="12"/>
  <c r="F13099" i="12"/>
  <c r="J13098" i="12"/>
  <c r="I13098" i="12"/>
  <c r="H13098" i="12"/>
  <c r="F13098" i="12"/>
  <c r="J13097" i="12"/>
  <c r="I13097" i="12"/>
  <c r="H13097" i="12"/>
  <c r="F13097" i="12"/>
  <c r="J13096" i="12"/>
  <c r="I13096" i="12"/>
  <c r="H13096" i="12"/>
  <c r="F13096" i="12"/>
  <c r="J13095" i="12"/>
  <c r="I13095" i="12"/>
  <c r="H13095" i="12"/>
  <c r="F13095" i="12"/>
  <c r="J13094" i="12"/>
  <c r="I13094" i="12"/>
  <c r="H13094" i="12"/>
  <c r="F13094" i="12"/>
  <c r="J13093" i="12"/>
  <c r="I13093" i="12"/>
  <c r="H13093" i="12"/>
  <c r="F13093" i="12"/>
  <c r="J13092" i="12"/>
  <c r="I13092" i="12"/>
  <c r="H13092" i="12"/>
  <c r="F13092" i="12"/>
  <c r="J13091" i="12"/>
  <c r="I13091" i="12"/>
  <c r="H13091" i="12"/>
  <c r="F13091" i="12"/>
  <c r="J13090" i="12"/>
  <c r="I13090" i="12"/>
  <c r="H13090" i="12"/>
  <c r="F13090" i="12"/>
  <c r="J13089" i="12"/>
  <c r="I13089" i="12"/>
  <c r="H13089" i="12"/>
  <c r="F13089" i="12"/>
  <c r="J13088" i="12"/>
  <c r="I13088" i="12"/>
  <c r="H13088" i="12"/>
  <c r="F13088" i="12"/>
  <c r="J13087" i="12"/>
  <c r="I13087" i="12"/>
  <c r="H13087" i="12"/>
  <c r="F13087" i="12"/>
  <c r="J13086" i="12"/>
  <c r="I13086" i="12"/>
  <c r="H13086" i="12"/>
  <c r="F13086" i="12"/>
  <c r="J13085" i="12"/>
  <c r="I13085" i="12"/>
  <c r="H13085" i="12"/>
  <c r="F13085" i="12"/>
  <c r="J13084" i="12"/>
  <c r="I13084" i="12"/>
  <c r="H13084" i="12"/>
  <c r="F13084" i="12"/>
  <c r="J13083" i="12"/>
  <c r="I13083" i="12"/>
  <c r="H13083" i="12"/>
  <c r="F13083" i="12"/>
  <c r="J13082" i="12"/>
  <c r="I13082" i="12"/>
  <c r="H13082" i="12"/>
  <c r="F13082" i="12"/>
  <c r="J13081" i="12"/>
  <c r="I13081" i="12"/>
  <c r="H13081" i="12"/>
  <c r="F13081" i="12"/>
  <c r="J13080" i="12"/>
  <c r="I13080" i="12"/>
  <c r="H13080" i="12"/>
  <c r="F13080" i="12"/>
  <c r="J13079" i="12"/>
  <c r="I13079" i="12"/>
  <c r="H13079" i="12"/>
  <c r="F13079" i="12"/>
  <c r="J13078" i="12"/>
  <c r="I13078" i="12"/>
  <c r="H13078" i="12"/>
  <c r="F13078" i="12"/>
  <c r="J13077" i="12"/>
  <c r="I13077" i="12"/>
  <c r="H13077" i="12"/>
  <c r="F13077" i="12"/>
  <c r="J13076" i="12"/>
  <c r="I13076" i="12"/>
  <c r="H13076" i="12"/>
  <c r="F13076" i="12"/>
  <c r="J13075" i="12"/>
  <c r="I13075" i="12"/>
  <c r="H13075" i="12"/>
  <c r="F13075" i="12"/>
  <c r="J13074" i="12"/>
  <c r="I13074" i="12"/>
  <c r="H13074" i="12"/>
  <c r="F13074" i="12"/>
  <c r="J13073" i="12"/>
  <c r="I13073" i="12"/>
  <c r="H13073" i="12"/>
  <c r="F13073" i="12"/>
  <c r="J13072" i="12"/>
  <c r="I13072" i="12"/>
  <c r="H13072" i="12"/>
  <c r="F13072" i="12"/>
  <c r="J13071" i="12"/>
  <c r="I13071" i="12"/>
  <c r="H13071" i="12"/>
  <c r="F13071" i="12"/>
  <c r="J13070" i="12"/>
  <c r="I13070" i="12"/>
  <c r="H13070" i="12"/>
  <c r="F13070" i="12"/>
  <c r="J13069" i="12"/>
  <c r="I13069" i="12"/>
  <c r="H13069" i="12"/>
  <c r="F13069" i="12"/>
  <c r="J13068" i="12"/>
  <c r="I13068" i="12"/>
  <c r="H13068" i="12"/>
  <c r="F13068" i="12"/>
  <c r="J13067" i="12"/>
  <c r="I13067" i="12"/>
  <c r="H13067" i="12"/>
  <c r="F13067" i="12"/>
  <c r="J13066" i="12"/>
  <c r="I13066" i="12"/>
  <c r="H13066" i="12"/>
  <c r="F13066" i="12"/>
  <c r="J13065" i="12"/>
  <c r="I13065" i="12"/>
  <c r="H13065" i="12"/>
  <c r="F13065" i="12"/>
  <c r="J13064" i="12"/>
  <c r="I13064" i="12"/>
  <c r="H13064" i="12"/>
  <c r="F13064" i="12"/>
  <c r="J13063" i="12"/>
  <c r="I13063" i="12"/>
  <c r="H13063" i="12"/>
  <c r="F13063" i="12"/>
  <c r="J13062" i="12"/>
  <c r="I13062" i="12"/>
  <c r="H13062" i="12"/>
  <c r="F13062" i="12"/>
  <c r="J13061" i="12"/>
  <c r="I13061" i="12"/>
  <c r="H13061" i="12"/>
  <c r="F13061" i="12"/>
  <c r="J13060" i="12"/>
  <c r="I13060" i="12"/>
  <c r="H13060" i="12"/>
  <c r="F13060" i="12"/>
  <c r="J13059" i="12"/>
  <c r="I13059" i="12"/>
  <c r="H13059" i="12"/>
  <c r="F13059" i="12"/>
  <c r="J13058" i="12"/>
  <c r="I13058" i="12"/>
  <c r="H13058" i="12"/>
  <c r="F13058" i="12"/>
  <c r="J13057" i="12"/>
  <c r="I13057" i="12"/>
  <c r="H13057" i="12"/>
  <c r="F13057" i="12"/>
  <c r="J13056" i="12"/>
  <c r="I13056" i="12"/>
  <c r="H13056" i="12"/>
  <c r="F13056" i="12"/>
  <c r="J13055" i="12"/>
  <c r="I13055" i="12"/>
  <c r="H13055" i="12"/>
  <c r="F13055" i="12"/>
  <c r="J13054" i="12"/>
  <c r="I13054" i="12"/>
  <c r="H13054" i="12"/>
  <c r="F13054" i="12"/>
  <c r="J13053" i="12"/>
  <c r="I13053" i="12"/>
  <c r="H13053" i="12"/>
  <c r="F13053" i="12"/>
  <c r="J13052" i="12"/>
  <c r="I13052" i="12"/>
  <c r="H13052" i="12"/>
  <c r="F13052" i="12"/>
  <c r="J13051" i="12"/>
  <c r="I13051" i="12"/>
  <c r="H13051" i="12"/>
  <c r="F13051" i="12"/>
  <c r="J13050" i="12"/>
  <c r="I13050" i="12"/>
  <c r="H13050" i="12"/>
  <c r="F13050" i="12"/>
  <c r="J13049" i="12"/>
  <c r="I13049" i="12"/>
  <c r="H13049" i="12"/>
  <c r="F13049" i="12"/>
  <c r="J13048" i="12"/>
  <c r="I13048" i="12"/>
  <c r="H13048" i="12"/>
  <c r="F13048" i="12"/>
  <c r="J13047" i="12"/>
  <c r="I13047" i="12"/>
  <c r="H13047" i="12"/>
  <c r="F13047" i="12"/>
  <c r="J13046" i="12"/>
  <c r="I13046" i="12"/>
  <c r="H13046" i="12"/>
  <c r="F13046" i="12"/>
  <c r="J13045" i="12"/>
  <c r="I13045" i="12"/>
  <c r="H13045" i="12"/>
  <c r="F13045" i="12"/>
  <c r="J13044" i="12"/>
  <c r="I13044" i="12"/>
  <c r="H13044" i="12"/>
  <c r="F13044" i="12"/>
  <c r="J13043" i="12"/>
  <c r="I13043" i="12"/>
  <c r="H13043" i="12"/>
  <c r="F13043" i="12"/>
  <c r="J13042" i="12"/>
  <c r="I13042" i="12"/>
  <c r="H13042" i="12"/>
  <c r="F13042" i="12"/>
  <c r="J13041" i="12"/>
  <c r="I13041" i="12"/>
  <c r="H13041" i="12"/>
  <c r="F13041" i="12"/>
  <c r="J13040" i="12"/>
  <c r="I13040" i="12"/>
  <c r="H13040" i="12"/>
  <c r="F13040" i="12"/>
  <c r="J13039" i="12"/>
  <c r="I13039" i="12"/>
  <c r="H13039" i="12"/>
  <c r="F13039" i="12"/>
  <c r="J13038" i="12"/>
  <c r="I13038" i="12"/>
  <c r="H13038" i="12"/>
  <c r="F13038" i="12"/>
  <c r="J13037" i="12"/>
  <c r="I13037" i="12"/>
  <c r="H13037" i="12"/>
  <c r="F13037" i="12"/>
  <c r="J13036" i="12"/>
  <c r="I13036" i="12"/>
  <c r="H13036" i="12"/>
  <c r="F13036" i="12"/>
  <c r="J13035" i="12"/>
  <c r="I13035" i="12"/>
  <c r="H13035" i="12"/>
  <c r="F13035" i="12"/>
  <c r="J13034" i="12"/>
  <c r="I13034" i="12"/>
  <c r="H13034" i="12"/>
  <c r="F13034" i="12"/>
  <c r="J13033" i="12"/>
  <c r="I13033" i="12"/>
  <c r="H13033" i="12"/>
  <c r="F13033" i="12"/>
  <c r="J13032" i="12"/>
  <c r="I13032" i="12"/>
  <c r="H13032" i="12"/>
  <c r="F13032" i="12"/>
  <c r="J13031" i="12"/>
  <c r="I13031" i="12"/>
  <c r="H13031" i="12"/>
  <c r="F13031" i="12"/>
  <c r="J13030" i="12"/>
  <c r="I13030" i="12"/>
  <c r="H13030" i="12"/>
  <c r="F13030" i="12"/>
  <c r="J13029" i="12"/>
  <c r="I13029" i="12"/>
  <c r="H13029" i="12"/>
  <c r="F13029" i="12"/>
  <c r="J13028" i="12"/>
  <c r="I13028" i="12"/>
  <c r="H13028" i="12"/>
  <c r="F13028" i="12"/>
  <c r="J13027" i="12"/>
  <c r="I13027" i="12"/>
  <c r="H13027" i="12"/>
  <c r="F13027" i="12"/>
  <c r="J13026" i="12"/>
  <c r="I13026" i="12"/>
  <c r="H13026" i="12"/>
  <c r="F13026" i="12"/>
  <c r="J13025" i="12"/>
  <c r="I13025" i="12"/>
  <c r="H13025" i="12"/>
  <c r="F13025" i="12"/>
  <c r="J13024" i="12"/>
  <c r="I13024" i="12"/>
  <c r="H13024" i="12"/>
  <c r="F13024" i="12"/>
  <c r="J13023" i="12"/>
  <c r="I13023" i="12"/>
  <c r="H13023" i="12"/>
  <c r="F13023" i="12"/>
  <c r="J13022" i="12"/>
  <c r="I13022" i="12"/>
  <c r="H13022" i="12"/>
  <c r="F13022" i="12"/>
  <c r="J13021" i="12"/>
  <c r="I13021" i="12"/>
  <c r="H13021" i="12"/>
  <c r="F13021" i="12"/>
  <c r="J13020" i="12"/>
  <c r="I13020" i="12"/>
  <c r="H13020" i="12"/>
  <c r="F13020" i="12"/>
  <c r="J13019" i="12"/>
  <c r="I13019" i="12"/>
  <c r="H13019" i="12"/>
  <c r="F13019" i="12"/>
  <c r="J13018" i="12"/>
  <c r="I13018" i="12"/>
  <c r="H13018" i="12"/>
  <c r="F13018" i="12"/>
  <c r="J13017" i="12"/>
  <c r="I13017" i="12"/>
  <c r="H13017" i="12"/>
  <c r="F13017" i="12"/>
  <c r="J13016" i="12"/>
  <c r="I13016" i="12"/>
  <c r="H13016" i="12"/>
  <c r="F13016" i="12"/>
  <c r="J13015" i="12"/>
  <c r="I13015" i="12"/>
  <c r="H13015" i="12"/>
  <c r="F13015" i="12"/>
  <c r="J13014" i="12"/>
  <c r="I13014" i="12"/>
  <c r="H13014" i="12"/>
  <c r="F13014" i="12"/>
  <c r="J13013" i="12"/>
  <c r="I13013" i="12"/>
  <c r="H13013" i="12"/>
  <c r="F13013" i="12"/>
  <c r="J13012" i="12"/>
  <c r="I13012" i="12"/>
  <c r="H13012" i="12"/>
  <c r="F13012" i="12"/>
  <c r="J13011" i="12"/>
  <c r="I13011" i="12"/>
  <c r="H13011" i="12"/>
  <c r="F13011" i="12"/>
  <c r="J13010" i="12"/>
  <c r="I13010" i="12"/>
  <c r="H13010" i="12"/>
  <c r="F13010" i="12"/>
  <c r="J13009" i="12"/>
  <c r="I13009" i="12"/>
  <c r="H13009" i="12"/>
  <c r="F13009" i="12"/>
  <c r="J13008" i="12"/>
  <c r="I13008" i="12"/>
  <c r="H13008" i="12"/>
  <c r="F13008" i="12"/>
  <c r="J13007" i="12"/>
  <c r="I13007" i="12"/>
  <c r="H13007" i="12"/>
  <c r="F13007" i="12"/>
  <c r="J13006" i="12"/>
  <c r="I13006" i="12"/>
  <c r="H13006" i="12"/>
  <c r="F13006" i="12"/>
  <c r="J13005" i="12"/>
  <c r="I13005" i="12"/>
  <c r="H13005" i="12"/>
  <c r="F13005" i="12"/>
  <c r="J13004" i="12"/>
  <c r="I13004" i="12"/>
  <c r="H13004" i="12"/>
  <c r="F13004" i="12"/>
  <c r="J13003" i="12"/>
  <c r="I13003" i="12"/>
  <c r="H13003" i="12"/>
  <c r="F13003" i="12"/>
  <c r="J13002" i="12"/>
  <c r="I13002" i="12"/>
  <c r="H13002" i="12"/>
  <c r="F13002" i="12"/>
  <c r="J13001" i="12"/>
  <c r="I13001" i="12"/>
  <c r="H13001" i="12"/>
  <c r="F13001" i="12"/>
  <c r="J13000" i="12"/>
  <c r="I13000" i="12"/>
  <c r="H13000" i="12"/>
  <c r="F13000" i="12"/>
  <c r="J12999" i="12"/>
  <c r="I12999" i="12"/>
  <c r="H12999" i="12"/>
  <c r="F12999" i="12"/>
  <c r="J12998" i="12"/>
  <c r="I12998" i="12"/>
  <c r="H12998" i="12"/>
  <c r="F12998" i="12"/>
  <c r="J12997" i="12"/>
  <c r="I12997" i="12"/>
  <c r="H12997" i="12"/>
  <c r="F12997" i="12"/>
  <c r="J12996" i="12"/>
  <c r="I12996" i="12"/>
  <c r="H12996" i="12"/>
  <c r="F12996" i="12"/>
  <c r="J12995" i="12"/>
  <c r="I12995" i="12"/>
  <c r="H12995" i="12"/>
  <c r="F12995" i="12"/>
  <c r="J12994" i="12"/>
  <c r="I12994" i="12"/>
  <c r="H12994" i="12"/>
  <c r="F12994" i="12"/>
  <c r="J12993" i="12"/>
  <c r="I12993" i="12"/>
  <c r="H12993" i="12"/>
  <c r="F12993" i="12"/>
  <c r="J12992" i="12"/>
  <c r="I12992" i="12"/>
  <c r="H12992" i="12"/>
  <c r="F12992" i="12"/>
  <c r="J12991" i="12"/>
  <c r="I12991" i="12"/>
  <c r="H12991" i="12"/>
  <c r="F12991" i="12"/>
  <c r="J12990" i="12"/>
  <c r="I12990" i="12"/>
  <c r="H12990" i="12"/>
  <c r="F12990" i="12"/>
  <c r="J12989" i="12"/>
  <c r="I12989" i="12"/>
  <c r="H12989" i="12"/>
  <c r="F12989" i="12"/>
  <c r="J12988" i="12"/>
  <c r="I12988" i="12"/>
  <c r="H12988" i="12"/>
  <c r="F12988" i="12"/>
  <c r="J12987" i="12"/>
  <c r="I12987" i="12"/>
  <c r="H12987" i="12"/>
  <c r="F12987" i="12"/>
  <c r="J12986" i="12"/>
  <c r="I12986" i="12"/>
  <c r="H12986" i="12"/>
  <c r="F12986" i="12"/>
  <c r="J12985" i="12"/>
  <c r="I12985" i="12"/>
  <c r="H12985" i="12"/>
  <c r="F12985" i="12"/>
  <c r="J12984" i="12"/>
  <c r="I12984" i="12"/>
  <c r="H12984" i="12"/>
  <c r="F12984" i="12"/>
  <c r="J12983" i="12"/>
  <c r="I12983" i="12"/>
  <c r="H12983" i="12"/>
  <c r="F12983" i="12"/>
  <c r="J12982" i="12"/>
  <c r="I12982" i="12"/>
  <c r="H12982" i="12"/>
  <c r="F12982" i="12"/>
  <c r="J12981" i="12"/>
  <c r="I12981" i="12"/>
  <c r="H12981" i="12"/>
  <c r="F12981" i="12"/>
  <c r="J12980" i="12"/>
  <c r="I12980" i="12"/>
  <c r="H12980" i="12"/>
  <c r="F12980" i="12"/>
  <c r="J12979" i="12"/>
  <c r="I12979" i="12"/>
  <c r="H12979" i="12"/>
  <c r="F12979" i="12"/>
  <c r="J12978" i="12"/>
  <c r="I12978" i="12"/>
  <c r="H12978" i="12"/>
  <c r="F12978" i="12"/>
  <c r="J12977" i="12"/>
  <c r="I12977" i="12"/>
  <c r="H12977" i="12"/>
  <c r="F12977" i="12"/>
  <c r="J12976" i="12"/>
  <c r="I12976" i="12"/>
  <c r="H12976" i="12"/>
  <c r="F12976" i="12"/>
  <c r="J12975" i="12"/>
  <c r="I12975" i="12"/>
  <c r="H12975" i="12"/>
  <c r="F12975" i="12"/>
  <c r="J12974" i="12"/>
  <c r="I12974" i="12"/>
  <c r="H12974" i="12"/>
  <c r="F12974" i="12"/>
  <c r="J12973" i="12"/>
  <c r="I12973" i="12"/>
  <c r="H12973" i="12"/>
  <c r="F12973" i="12"/>
  <c r="J12972" i="12"/>
  <c r="I12972" i="12"/>
  <c r="H12972" i="12"/>
  <c r="F12972" i="12"/>
  <c r="J12971" i="12"/>
  <c r="I12971" i="12"/>
  <c r="H12971" i="12"/>
  <c r="F12971" i="12"/>
  <c r="J12970" i="12"/>
  <c r="I12970" i="12"/>
  <c r="H12970" i="12"/>
  <c r="F12970" i="12"/>
  <c r="J12969" i="12"/>
  <c r="I12969" i="12"/>
  <c r="H12969" i="12"/>
  <c r="F12969" i="12"/>
  <c r="J12968" i="12"/>
  <c r="I12968" i="12"/>
  <c r="H12968" i="12"/>
  <c r="F12968" i="12"/>
  <c r="J12967" i="12"/>
  <c r="I12967" i="12"/>
  <c r="H12967" i="12"/>
  <c r="F12967" i="12"/>
  <c r="J12966" i="12"/>
  <c r="I12966" i="12"/>
  <c r="H12966" i="12"/>
  <c r="F12966" i="12"/>
  <c r="J12965" i="12"/>
  <c r="I12965" i="12"/>
  <c r="H12965" i="12"/>
  <c r="F12965" i="12"/>
  <c r="J12964" i="12"/>
  <c r="I12964" i="12"/>
  <c r="H12964" i="12"/>
  <c r="F12964" i="12"/>
  <c r="J12963" i="12"/>
  <c r="I12963" i="12"/>
  <c r="H12963" i="12"/>
  <c r="F12963" i="12"/>
  <c r="J12962" i="12"/>
  <c r="I12962" i="12"/>
  <c r="H12962" i="12"/>
  <c r="F12962" i="12"/>
  <c r="J12961" i="12"/>
  <c r="I12961" i="12"/>
  <c r="H12961" i="12"/>
  <c r="F12961" i="12"/>
  <c r="J12960" i="12"/>
  <c r="I12960" i="12"/>
  <c r="H12960" i="12"/>
  <c r="F12960" i="12"/>
  <c r="J12959" i="12"/>
  <c r="I12959" i="12"/>
  <c r="H12959" i="12"/>
  <c r="F12959" i="12"/>
  <c r="J12958" i="12"/>
  <c r="I12958" i="12"/>
  <c r="H12958" i="12"/>
  <c r="F12958" i="12"/>
  <c r="J12957" i="12"/>
  <c r="I12957" i="12"/>
  <c r="H12957" i="12"/>
  <c r="F12957" i="12"/>
  <c r="J12956" i="12"/>
  <c r="I12956" i="12"/>
  <c r="H12956" i="12"/>
  <c r="F12956" i="12"/>
  <c r="J12955" i="12"/>
  <c r="I12955" i="12"/>
  <c r="H12955" i="12"/>
  <c r="F12955" i="12"/>
  <c r="J12954" i="12"/>
  <c r="I12954" i="12"/>
  <c r="H12954" i="12"/>
  <c r="F12954" i="12"/>
  <c r="J12953" i="12"/>
  <c r="I12953" i="12"/>
  <c r="H12953" i="12"/>
  <c r="F12953" i="12"/>
  <c r="J12952" i="12"/>
  <c r="I12952" i="12"/>
  <c r="H12952" i="12"/>
  <c r="F12952" i="12"/>
  <c r="J12951" i="12"/>
  <c r="I12951" i="12"/>
  <c r="H12951" i="12"/>
  <c r="F12951" i="12"/>
  <c r="J12950" i="12"/>
  <c r="I12950" i="12"/>
  <c r="H12950" i="12"/>
  <c r="F12950" i="12"/>
  <c r="J12949" i="12"/>
  <c r="I12949" i="12"/>
  <c r="H12949" i="12"/>
  <c r="F12949" i="12"/>
  <c r="J12948" i="12"/>
  <c r="I12948" i="12"/>
  <c r="H12948" i="12"/>
  <c r="F12948" i="12"/>
  <c r="J12947" i="12"/>
  <c r="I12947" i="12"/>
  <c r="H12947" i="12"/>
  <c r="F12947" i="12"/>
  <c r="J12946" i="12"/>
  <c r="I12946" i="12"/>
  <c r="H12946" i="12"/>
  <c r="F12946" i="12"/>
  <c r="J12945" i="12"/>
  <c r="I12945" i="12"/>
  <c r="H12945" i="12"/>
  <c r="F12945" i="12"/>
  <c r="J12944" i="12"/>
  <c r="I12944" i="12"/>
  <c r="H12944" i="12"/>
  <c r="F12944" i="12"/>
  <c r="J12943" i="12"/>
  <c r="I12943" i="12"/>
  <c r="H12943" i="12"/>
  <c r="F12943" i="12"/>
  <c r="J12942" i="12"/>
  <c r="I12942" i="12"/>
  <c r="H12942" i="12"/>
  <c r="F12942" i="12"/>
  <c r="J12941" i="12"/>
  <c r="I12941" i="12"/>
  <c r="H12941" i="12"/>
  <c r="F12941" i="12"/>
  <c r="J12940" i="12"/>
  <c r="I12940" i="12"/>
  <c r="H12940" i="12"/>
  <c r="F12940" i="12"/>
  <c r="J12939" i="12"/>
  <c r="I12939" i="12"/>
  <c r="H12939" i="12"/>
  <c r="F12939" i="12"/>
  <c r="J12938" i="12"/>
  <c r="I12938" i="12"/>
  <c r="H12938" i="12"/>
  <c r="F12938" i="12"/>
  <c r="J12937" i="12"/>
  <c r="I12937" i="12"/>
  <c r="H12937" i="12"/>
  <c r="F12937" i="12"/>
  <c r="J12936" i="12"/>
  <c r="I12936" i="12"/>
  <c r="H12936" i="12"/>
  <c r="F12936" i="12"/>
  <c r="J12935" i="12"/>
  <c r="I12935" i="12"/>
  <c r="H12935" i="12"/>
  <c r="F12935" i="12"/>
  <c r="J12934" i="12"/>
  <c r="I12934" i="12"/>
  <c r="H12934" i="12"/>
  <c r="F12934" i="12"/>
  <c r="J12933" i="12"/>
  <c r="I12933" i="12"/>
  <c r="H12933" i="12"/>
  <c r="F12933" i="12"/>
  <c r="J12932" i="12"/>
  <c r="I12932" i="12"/>
  <c r="H12932" i="12"/>
  <c r="F12932" i="12"/>
  <c r="J12931" i="12"/>
  <c r="I12931" i="12"/>
  <c r="H12931" i="12"/>
  <c r="F12931" i="12"/>
  <c r="J12930" i="12"/>
  <c r="I12930" i="12"/>
  <c r="H12930" i="12"/>
  <c r="F12930" i="12"/>
  <c r="J12929" i="12"/>
  <c r="I12929" i="12"/>
  <c r="H12929" i="12"/>
  <c r="F12929" i="12"/>
  <c r="J12928" i="12"/>
  <c r="I12928" i="12"/>
  <c r="H12928" i="12"/>
  <c r="F12928" i="12"/>
  <c r="J12927" i="12"/>
  <c r="I12927" i="12"/>
  <c r="H12927" i="12"/>
  <c r="F12927" i="12"/>
  <c r="J12926" i="12"/>
  <c r="I12926" i="12"/>
  <c r="H12926" i="12"/>
  <c r="F12926" i="12"/>
  <c r="J12925" i="12"/>
  <c r="I12925" i="12"/>
  <c r="H12925" i="12"/>
  <c r="F12925" i="12"/>
  <c r="J12924" i="12"/>
  <c r="I12924" i="12"/>
  <c r="H12924" i="12"/>
  <c r="F12924" i="12"/>
  <c r="J12923" i="12"/>
  <c r="I12923" i="12"/>
  <c r="H12923" i="12"/>
  <c r="F12923" i="12"/>
  <c r="J12922" i="12"/>
  <c r="I12922" i="12"/>
  <c r="H12922" i="12"/>
  <c r="F12922" i="12"/>
  <c r="J12921" i="12"/>
  <c r="I12921" i="12"/>
  <c r="H12921" i="12"/>
  <c r="F12921" i="12"/>
  <c r="J12920" i="12"/>
  <c r="I12920" i="12"/>
  <c r="H12920" i="12"/>
  <c r="F12920" i="12"/>
  <c r="J12919" i="12"/>
  <c r="I12919" i="12"/>
  <c r="H12919" i="12"/>
  <c r="F12919" i="12"/>
  <c r="J12918" i="12"/>
  <c r="I12918" i="12"/>
  <c r="H12918" i="12"/>
  <c r="F12918" i="12"/>
  <c r="J12917" i="12"/>
  <c r="I12917" i="12"/>
  <c r="H12917" i="12"/>
  <c r="F12917" i="12"/>
  <c r="J12916" i="12"/>
  <c r="I12916" i="12"/>
  <c r="H12916" i="12"/>
  <c r="F12916" i="12"/>
  <c r="J12915" i="12"/>
  <c r="I12915" i="12"/>
  <c r="H12915" i="12"/>
  <c r="F12915" i="12"/>
  <c r="J12914" i="12"/>
  <c r="I12914" i="12"/>
  <c r="H12914" i="12"/>
  <c r="F12914" i="12"/>
  <c r="J12913" i="12"/>
  <c r="I12913" i="12"/>
  <c r="H12913" i="12"/>
  <c r="F12913" i="12"/>
  <c r="J12912" i="12"/>
  <c r="I12912" i="12"/>
  <c r="H12912" i="12"/>
  <c r="F12912" i="12"/>
  <c r="J12911" i="12"/>
  <c r="I12911" i="12"/>
  <c r="H12911" i="12"/>
  <c r="F12911" i="12"/>
  <c r="J12910" i="12"/>
  <c r="I12910" i="12"/>
  <c r="H12910" i="12"/>
  <c r="F12910" i="12"/>
  <c r="J12909" i="12"/>
  <c r="I12909" i="12"/>
  <c r="H12909" i="12"/>
  <c r="F12909" i="12"/>
  <c r="J12908" i="12"/>
  <c r="I12908" i="12"/>
  <c r="H12908" i="12"/>
  <c r="F12908" i="12"/>
  <c r="J12907" i="12"/>
  <c r="I12907" i="12"/>
  <c r="H12907" i="12"/>
  <c r="F12907" i="12"/>
  <c r="J12906" i="12"/>
  <c r="I12906" i="12"/>
  <c r="H12906" i="12"/>
  <c r="F12906" i="12"/>
  <c r="J12905" i="12"/>
  <c r="I12905" i="12"/>
  <c r="H12905" i="12"/>
  <c r="F12905" i="12"/>
  <c r="J12904" i="12"/>
  <c r="I12904" i="12"/>
  <c r="H12904" i="12"/>
  <c r="F12904" i="12"/>
  <c r="J12903" i="12"/>
  <c r="I12903" i="12"/>
  <c r="H12903" i="12"/>
  <c r="F12903" i="12"/>
  <c r="J12902" i="12"/>
  <c r="I12902" i="12"/>
  <c r="H12902" i="12"/>
  <c r="F12902" i="12"/>
  <c r="J12901" i="12"/>
  <c r="I12901" i="12"/>
  <c r="H12901" i="12"/>
  <c r="F12901" i="12"/>
  <c r="J12900" i="12"/>
  <c r="I12900" i="12"/>
  <c r="H12900" i="12"/>
  <c r="F12900" i="12"/>
  <c r="J12899" i="12"/>
  <c r="I12899" i="12"/>
  <c r="H12899" i="12"/>
  <c r="F12899" i="12"/>
  <c r="J12898" i="12"/>
  <c r="I12898" i="12"/>
  <c r="H12898" i="12"/>
  <c r="F12898" i="12"/>
  <c r="J12897" i="12"/>
  <c r="I12897" i="12"/>
  <c r="H12897" i="12"/>
  <c r="F12897" i="12"/>
  <c r="J12896" i="12"/>
  <c r="I12896" i="12"/>
  <c r="H12896" i="12"/>
  <c r="F12896" i="12"/>
  <c r="J12895" i="12"/>
  <c r="I12895" i="12"/>
  <c r="H12895" i="12"/>
  <c r="F12895" i="12"/>
  <c r="J12894" i="12"/>
  <c r="I12894" i="12"/>
  <c r="H12894" i="12"/>
  <c r="F12894" i="12"/>
  <c r="J12893" i="12"/>
  <c r="I12893" i="12"/>
  <c r="H12893" i="12"/>
  <c r="F12893" i="12"/>
  <c r="J12892" i="12"/>
  <c r="I12892" i="12"/>
  <c r="H12892" i="12"/>
  <c r="F12892" i="12"/>
  <c r="J12891" i="12"/>
  <c r="I12891" i="12"/>
  <c r="H12891" i="12"/>
  <c r="F12891" i="12"/>
  <c r="J12890" i="12"/>
  <c r="I12890" i="12"/>
  <c r="H12890" i="12"/>
  <c r="F12890" i="12"/>
  <c r="J12889" i="12"/>
  <c r="I12889" i="12"/>
  <c r="H12889" i="12"/>
  <c r="F12889" i="12"/>
  <c r="J12888" i="12"/>
  <c r="I12888" i="12"/>
  <c r="H12888" i="12"/>
  <c r="F12888" i="12"/>
  <c r="J12887" i="12"/>
  <c r="I12887" i="12"/>
  <c r="H12887" i="12"/>
  <c r="F12887" i="12"/>
  <c r="J12886" i="12"/>
  <c r="I12886" i="12"/>
  <c r="H12886" i="12"/>
  <c r="F12886" i="12"/>
  <c r="J12885" i="12"/>
  <c r="I12885" i="12"/>
  <c r="H12885" i="12"/>
  <c r="F12885" i="12"/>
  <c r="J12884" i="12"/>
  <c r="I12884" i="12"/>
  <c r="H12884" i="12"/>
  <c r="F12884" i="12"/>
  <c r="J12883" i="12"/>
  <c r="I12883" i="12"/>
  <c r="H12883" i="12"/>
  <c r="F12883" i="12"/>
  <c r="J12882" i="12"/>
  <c r="I12882" i="12"/>
  <c r="H12882" i="12"/>
  <c r="F12882" i="12"/>
  <c r="J12881" i="12"/>
  <c r="I12881" i="12"/>
  <c r="H12881" i="12"/>
  <c r="F12881" i="12"/>
  <c r="J12880" i="12"/>
  <c r="I12880" i="12"/>
  <c r="H12880" i="12"/>
  <c r="F12880" i="12"/>
  <c r="J12879" i="12"/>
  <c r="I12879" i="12"/>
  <c r="H12879" i="12"/>
  <c r="F12879" i="12"/>
  <c r="J12878" i="12"/>
  <c r="I12878" i="12"/>
  <c r="H12878" i="12"/>
  <c r="F12878" i="12"/>
  <c r="J12877" i="12"/>
  <c r="I12877" i="12"/>
  <c r="H12877" i="12"/>
  <c r="F12877" i="12"/>
  <c r="J12876" i="12"/>
  <c r="I12876" i="12"/>
  <c r="H12876" i="12"/>
  <c r="F12876" i="12"/>
  <c r="J12875" i="12"/>
  <c r="I12875" i="12"/>
  <c r="H12875" i="12"/>
  <c r="F12875" i="12"/>
  <c r="J12874" i="12"/>
  <c r="I12874" i="12"/>
  <c r="H12874" i="12"/>
  <c r="F12874" i="12"/>
  <c r="J12873" i="12"/>
  <c r="I12873" i="12"/>
  <c r="H12873" i="12"/>
  <c r="F12873" i="12"/>
  <c r="J12872" i="12"/>
  <c r="I12872" i="12"/>
  <c r="H12872" i="12"/>
  <c r="F12872" i="12"/>
  <c r="J12871" i="12"/>
  <c r="I12871" i="12"/>
  <c r="H12871" i="12"/>
  <c r="F12871" i="12"/>
  <c r="J12870" i="12"/>
  <c r="I12870" i="12"/>
  <c r="H12870" i="12"/>
  <c r="F12870" i="12"/>
  <c r="J12869" i="12"/>
  <c r="I12869" i="12"/>
  <c r="H12869" i="12"/>
  <c r="F12869" i="12"/>
  <c r="J12868" i="12"/>
  <c r="I12868" i="12"/>
  <c r="H12868" i="12"/>
  <c r="F12868" i="12"/>
  <c r="J12867" i="12"/>
  <c r="I12867" i="12"/>
  <c r="H12867" i="12"/>
  <c r="F12867" i="12"/>
  <c r="J12866" i="12"/>
  <c r="I12866" i="12"/>
  <c r="H12866" i="12"/>
  <c r="F12866" i="12"/>
  <c r="J12865" i="12"/>
  <c r="I12865" i="12"/>
  <c r="H12865" i="12"/>
  <c r="F12865" i="12"/>
  <c r="J12864" i="12"/>
  <c r="I12864" i="12"/>
  <c r="H12864" i="12"/>
  <c r="F12864" i="12"/>
  <c r="J12863" i="12"/>
  <c r="I12863" i="12"/>
  <c r="H12863" i="12"/>
  <c r="F12863" i="12"/>
  <c r="J12862" i="12"/>
  <c r="I12862" i="12"/>
  <c r="H12862" i="12"/>
  <c r="F12862" i="12"/>
  <c r="J12861" i="12"/>
  <c r="I12861" i="12"/>
  <c r="H12861" i="12"/>
  <c r="F12861" i="12"/>
  <c r="J12860" i="12"/>
  <c r="I12860" i="12"/>
  <c r="H12860" i="12"/>
  <c r="F12860" i="12"/>
  <c r="J12859" i="12"/>
  <c r="I12859" i="12"/>
  <c r="H12859" i="12"/>
  <c r="F12859" i="12"/>
  <c r="J12858" i="12"/>
  <c r="I12858" i="12"/>
  <c r="H12858" i="12"/>
  <c r="F12858" i="12"/>
  <c r="J12857" i="12"/>
  <c r="I12857" i="12"/>
  <c r="H12857" i="12"/>
  <c r="F12857" i="12"/>
  <c r="J12856" i="12"/>
  <c r="I12856" i="12"/>
  <c r="H12856" i="12"/>
  <c r="F12856" i="12"/>
  <c r="J12855" i="12"/>
  <c r="I12855" i="12"/>
  <c r="H12855" i="12"/>
  <c r="F12855" i="12"/>
  <c r="J12854" i="12"/>
  <c r="I12854" i="12"/>
  <c r="H12854" i="12"/>
  <c r="F12854" i="12"/>
  <c r="J12853" i="12"/>
  <c r="I12853" i="12"/>
  <c r="H12853" i="12"/>
  <c r="F12853" i="12"/>
  <c r="J12852" i="12"/>
  <c r="I12852" i="12"/>
  <c r="H12852" i="12"/>
  <c r="F12852" i="12"/>
  <c r="J12851" i="12"/>
  <c r="I12851" i="12"/>
  <c r="H12851" i="12"/>
  <c r="F12851" i="12"/>
  <c r="J12850" i="12"/>
  <c r="I12850" i="12"/>
  <c r="H12850" i="12"/>
  <c r="F12850" i="12"/>
  <c r="J12849" i="12"/>
  <c r="I12849" i="12"/>
  <c r="H12849" i="12"/>
  <c r="F12849" i="12"/>
  <c r="J12848" i="12"/>
  <c r="I12848" i="12"/>
  <c r="H12848" i="12"/>
  <c r="F12848" i="12"/>
  <c r="J12847" i="12"/>
  <c r="I12847" i="12"/>
  <c r="H12847" i="12"/>
  <c r="F12847" i="12"/>
  <c r="J12846" i="12"/>
  <c r="I12846" i="12"/>
  <c r="H12846" i="12"/>
  <c r="F12846" i="12"/>
  <c r="J12845" i="12"/>
  <c r="I12845" i="12"/>
  <c r="H12845" i="12"/>
  <c r="F12845" i="12"/>
  <c r="J12844" i="12"/>
  <c r="I12844" i="12"/>
  <c r="H12844" i="12"/>
  <c r="F12844" i="12"/>
  <c r="J12843" i="12"/>
  <c r="I12843" i="12"/>
  <c r="H12843" i="12"/>
  <c r="F12843" i="12"/>
  <c r="J12842" i="12"/>
  <c r="I12842" i="12"/>
  <c r="H12842" i="12"/>
  <c r="F12842" i="12"/>
  <c r="J12841" i="12"/>
  <c r="I12841" i="12"/>
  <c r="H12841" i="12"/>
  <c r="F12841" i="12"/>
  <c r="J12840" i="12"/>
  <c r="I12840" i="12"/>
  <c r="H12840" i="12"/>
  <c r="F12840" i="12"/>
  <c r="J12839" i="12"/>
  <c r="I12839" i="12"/>
  <c r="H12839" i="12"/>
  <c r="F12839" i="12"/>
  <c r="J12838" i="12"/>
  <c r="I12838" i="12"/>
  <c r="H12838" i="12"/>
  <c r="F12838" i="12"/>
  <c r="J12837" i="12"/>
  <c r="I12837" i="12"/>
  <c r="H12837" i="12"/>
  <c r="F12837" i="12"/>
  <c r="J12836" i="12"/>
  <c r="I12836" i="12"/>
  <c r="H12836" i="12"/>
  <c r="F12836" i="12"/>
  <c r="J12835" i="12"/>
  <c r="I12835" i="12"/>
  <c r="H12835" i="12"/>
  <c r="F12835" i="12"/>
  <c r="J12834" i="12"/>
  <c r="I12834" i="12"/>
  <c r="H12834" i="12"/>
  <c r="F12834" i="12"/>
  <c r="J12833" i="12"/>
  <c r="I12833" i="12"/>
  <c r="H12833" i="12"/>
  <c r="F12833" i="12"/>
  <c r="J12832" i="12"/>
  <c r="I12832" i="12"/>
  <c r="H12832" i="12"/>
  <c r="F12832" i="12"/>
  <c r="J12831" i="12"/>
  <c r="I12831" i="12"/>
  <c r="H12831" i="12"/>
  <c r="F12831" i="12"/>
  <c r="J12830" i="12"/>
  <c r="I12830" i="12"/>
  <c r="H12830" i="12"/>
  <c r="F12830" i="12"/>
  <c r="J12829" i="12"/>
  <c r="I12829" i="12"/>
  <c r="H12829" i="12"/>
  <c r="F12829" i="12"/>
  <c r="J12828" i="12"/>
  <c r="I12828" i="12"/>
  <c r="H12828" i="12"/>
  <c r="F12828" i="12"/>
  <c r="J12827" i="12"/>
  <c r="I12827" i="12"/>
  <c r="H12827" i="12"/>
  <c r="F12827" i="12"/>
  <c r="J12826" i="12"/>
  <c r="I12826" i="12"/>
  <c r="H12826" i="12"/>
  <c r="F12826" i="12"/>
  <c r="J12825" i="12"/>
  <c r="I12825" i="12"/>
  <c r="H12825" i="12"/>
  <c r="F12825" i="12"/>
  <c r="J12824" i="12"/>
  <c r="I12824" i="12"/>
  <c r="H12824" i="12"/>
  <c r="F12824" i="12"/>
  <c r="J12823" i="12"/>
  <c r="I12823" i="12"/>
  <c r="H12823" i="12"/>
  <c r="F12823" i="12"/>
  <c r="J12822" i="12"/>
  <c r="I12822" i="12"/>
  <c r="H12822" i="12"/>
  <c r="F12822" i="12"/>
  <c r="J12821" i="12"/>
  <c r="I12821" i="12"/>
  <c r="H12821" i="12"/>
  <c r="F12821" i="12"/>
  <c r="J12820" i="12"/>
  <c r="I12820" i="12"/>
  <c r="H12820" i="12"/>
  <c r="F12820" i="12"/>
  <c r="J12819" i="12"/>
  <c r="I12819" i="12"/>
  <c r="H12819" i="12"/>
  <c r="F12819" i="12"/>
  <c r="J12818" i="12"/>
  <c r="I12818" i="12"/>
  <c r="H12818" i="12"/>
  <c r="F12818" i="12"/>
  <c r="J12817" i="12"/>
  <c r="I12817" i="12"/>
  <c r="H12817" i="12"/>
  <c r="F12817" i="12"/>
  <c r="J12816" i="12"/>
  <c r="I12816" i="12"/>
  <c r="H12816" i="12"/>
  <c r="F12816" i="12"/>
  <c r="J12815" i="12"/>
  <c r="I12815" i="12"/>
  <c r="H12815" i="12"/>
  <c r="F12815" i="12"/>
  <c r="J12814" i="12"/>
  <c r="I12814" i="12"/>
  <c r="H12814" i="12"/>
  <c r="F12814" i="12"/>
  <c r="J12813" i="12"/>
  <c r="I12813" i="12"/>
  <c r="H12813" i="12"/>
  <c r="F12813" i="12"/>
  <c r="J12812" i="12"/>
  <c r="I12812" i="12"/>
  <c r="H12812" i="12"/>
  <c r="F12812" i="12"/>
  <c r="J12811" i="12"/>
  <c r="I12811" i="12"/>
  <c r="H12811" i="12"/>
  <c r="F12811" i="12"/>
  <c r="J12810" i="12"/>
  <c r="I12810" i="12"/>
  <c r="H12810" i="12"/>
  <c r="F12810" i="12"/>
  <c r="J12809" i="12"/>
  <c r="I12809" i="12"/>
  <c r="H12809" i="12"/>
  <c r="F12809" i="12"/>
  <c r="J12808" i="12"/>
  <c r="I12808" i="12"/>
  <c r="H12808" i="12"/>
  <c r="F12808" i="12"/>
  <c r="J12807" i="12"/>
  <c r="I12807" i="12"/>
  <c r="H12807" i="12"/>
  <c r="F12807" i="12"/>
  <c r="J12806" i="12"/>
  <c r="I12806" i="12"/>
  <c r="H12806" i="12"/>
  <c r="F12806" i="12"/>
  <c r="J12805" i="12"/>
  <c r="I12805" i="12"/>
  <c r="H12805" i="12"/>
  <c r="F12805" i="12"/>
  <c r="J12804" i="12"/>
  <c r="I12804" i="12"/>
  <c r="H12804" i="12"/>
  <c r="F12804" i="12"/>
  <c r="J12803" i="12"/>
  <c r="I12803" i="12"/>
  <c r="H12803" i="12"/>
  <c r="F12803" i="12"/>
  <c r="J12802" i="12"/>
  <c r="I12802" i="12"/>
  <c r="H12802" i="12"/>
  <c r="F12802" i="12"/>
  <c r="J12801" i="12"/>
  <c r="I12801" i="12"/>
  <c r="H12801" i="12"/>
  <c r="F12801" i="12"/>
  <c r="J12800" i="12"/>
  <c r="I12800" i="12"/>
  <c r="H12800" i="12"/>
  <c r="F12800" i="12"/>
  <c r="J12799" i="12"/>
  <c r="I12799" i="12"/>
  <c r="H12799" i="12"/>
  <c r="F12799" i="12"/>
  <c r="J12798" i="12"/>
  <c r="I12798" i="12"/>
  <c r="H12798" i="12"/>
  <c r="F12798" i="12"/>
  <c r="J12797" i="12"/>
  <c r="I12797" i="12"/>
  <c r="H12797" i="12"/>
  <c r="F12797" i="12"/>
  <c r="J12796" i="12"/>
  <c r="I12796" i="12"/>
  <c r="H12796" i="12"/>
  <c r="F12796" i="12"/>
  <c r="J12795" i="12"/>
  <c r="I12795" i="12"/>
  <c r="H12795" i="12"/>
  <c r="F12795" i="12"/>
  <c r="J12794" i="12"/>
  <c r="I12794" i="12"/>
  <c r="H12794" i="12"/>
  <c r="F12794" i="12"/>
  <c r="J12793" i="12"/>
  <c r="I12793" i="12"/>
  <c r="H12793" i="12"/>
  <c r="F12793" i="12"/>
  <c r="J12792" i="12"/>
  <c r="I12792" i="12"/>
  <c r="H12792" i="12"/>
  <c r="F12792" i="12"/>
  <c r="J12791" i="12"/>
  <c r="I12791" i="12"/>
  <c r="H12791" i="12"/>
  <c r="F12791" i="12"/>
  <c r="J12790" i="12"/>
  <c r="I12790" i="12"/>
  <c r="H12790" i="12"/>
  <c r="F12790" i="12"/>
  <c r="J12789" i="12"/>
  <c r="I12789" i="12"/>
  <c r="H12789" i="12"/>
  <c r="F12789" i="12"/>
  <c r="J12788" i="12"/>
  <c r="I12788" i="12"/>
  <c r="H12788" i="12"/>
  <c r="F12788" i="12"/>
  <c r="J12787" i="12"/>
  <c r="I12787" i="12"/>
  <c r="H12787" i="12"/>
  <c r="F12787" i="12"/>
  <c r="J12786" i="12"/>
  <c r="I12786" i="12"/>
  <c r="H12786" i="12"/>
  <c r="F12786" i="12"/>
  <c r="J12785" i="12"/>
  <c r="I12785" i="12"/>
  <c r="H12785" i="12"/>
  <c r="F12785" i="12"/>
  <c r="J12784" i="12"/>
  <c r="I12784" i="12"/>
  <c r="H12784" i="12"/>
  <c r="F12784" i="12"/>
  <c r="J12783" i="12"/>
  <c r="I12783" i="12"/>
  <c r="H12783" i="12"/>
  <c r="F12783" i="12"/>
  <c r="J12782" i="12"/>
  <c r="I12782" i="12"/>
  <c r="H12782" i="12"/>
  <c r="F12782" i="12"/>
  <c r="J12781" i="12"/>
  <c r="I12781" i="12"/>
  <c r="H12781" i="12"/>
  <c r="F12781" i="12"/>
  <c r="J12780" i="12"/>
  <c r="I12780" i="12"/>
  <c r="H12780" i="12"/>
  <c r="F12780" i="12"/>
  <c r="J12779" i="12"/>
  <c r="I12779" i="12"/>
  <c r="H12779" i="12"/>
  <c r="F12779" i="12"/>
  <c r="J12778" i="12"/>
  <c r="I12778" i="12"/>
  <c r="H12778" i="12"/>
  <c r="F12778" i="12"/>
  <c r="J12777" i="12"/>
  <c r="I12777" i="12"/>
  <c r="H12777" i="12"/>
  <c r="F12777" i="12"/>
  <c r="J12776" i="12"/>
  <c r="I12776" i="12"/>
  <c r="H12776" i="12"/>
  <c r="F12776" i="12"/>
  <c r="J12775" i="12"/>
  <c r="I12775" i="12"/>
  <c r="H12775" i="12"/>
  <c r="F12775" i="12"/>
  <c r="J12774" i="12"/>
  <c r="I12774" i="12"/>
  <c r="H12774" i="12"/>
  <c r="F12774" i="12"/>
  <c r="J12773" i="12"/>
  <c r="I12773" i="12"/>
  <c r="H12773" i="12"/>
  <c r="F12773" i="12"/>
  <c r="J12772" i="12"/>
  <c r="I12772" i="12"/>
  <c r="H12772" i="12"/>
  <c r="F12772" i="12"/>
  <c r="J12771" i="12"/>
  <c r="I12771" i="12"/>
  <c r="H12771" i="12"/>
  <c r="F12771" i="12"/>
  <c r="J12770" i="12"/>
  <c r="I12770" i="12"/>
  <c r="H12770" i="12"/>
  <c r="F12770" i="12"/>
  <c r="J12769" i="12"/>
  <c r="I12769" i="12"/>
  <c r="H12769" i="12"/>
  <c r="F12769" i="12"/>
  <c r="J12768" i="12"/>
  <c r="I12768" i="12"/>
  <c r="H12768" i="12"/>
  <c r="F12768" i="12"/>
  <c r="J12767" i="12"/>
  <c r="I12767" i="12"/>
  <c r="H12767" i="12"/>
  <c r="F12767" i="12"/>
  <c r="J12766" i="12"/>
  <c r="I12766" i="12"/>
  <c r="H12766" i="12"/>
  <c r="F12766" i="12"/>
  <c r="J12765" i="12"/>
  <c r="I12765" i="12"/>
  <c r="H12765" i="12"/>
  <c r="F12765" i="12"/>
  <c r="J12764" i="12"/>
  <c r="I12764" i="12"/>
  <c r="H12764" i="12"/>
  <c r="F12764" i="12"/>
  <c r="J12763" i="12"/>
  <c r="I12763" i="12"/>
  <c r="H12763" i="12"/>
  <c r="F12763" i="12"/>
  <c r="J12762" i="12"/>
  <c r="I12762" i="12"/>
  <c r="H12762" i="12"/>
  <c r="F12762" i="12"/>
  <c r="J12761" i="12"/>
  <c r="I12761" i="12"/>
  <c r="H12761" i="12"/>
  <c r="F12761" i="12"/>
  <c r="J12760" i="12"/>
  <c r="I12760" i="12"/>
  <c r="H12760" i="12"/>
  <c r="F12760" i="12"/>
  <c r="J12759" i="12"/>
  <c r="I12759" i="12"/>
  <c r="H12759" i="12"/>
  <c r="F12759" i="12"/>
  <c r="J12758" i="12"/>
  <c r="I12758" i="12"/>
  <c r="H12758" i="12"/>
  <c r="F12758" i="12"/>
  <c r="J12757" i="12"/>
  <c r="I12757" i="12"/>
  <c r="H12757" i="12"/>
  <c r="F12757" i="12"/>
  <c r="J12756" i="12"/>
  <c r="I12756" i="12"/>
  <c r="H12756" i="12"/>
  <c r="F12756" i="12"/>
  <c r="J12755" i="12"/>
  <c r="I12755" i="12"/>
  <c r="H12755" i="12"/>
  <c r="F12755" i="12"/>
  <c r="J12754" i="12"/>
  <c r="I12754" i="12"/>
  <c r="H12754" i="12"/>
  <c r="F12754" i="12"/>
  <c r="J12753" i="12"/>
  <c r="I12753" i="12"/>
  <c r="H12753" i="12"/>
  <c r="F12753" i="12"/>
  <c r="J12752" i="12"/>
  <c r="I12752" i="12"/>
  <c r="H12752" i="12"/>
  <c r="F12752" i="12"/>
  <c r="J12751" i="12"/>
  <c r="I12751" i="12"/>
  <c r="H12751" i="12"/>
  <c r="F12751" i="12"/>
  <c r="J12750" i="12"/>
  <c r="I12750" i="12"/>
  <c r="H12750" i="12"/>
  <c r="F12750" i="12"/>
  <c r="J12749" i="12"/>
  <c r="I12749" i="12"/>
  <c r="H12749" i="12"/>
  <c r="F12749" i="12"/>
  <c r="J12748" i="12"/>
  <c r="I12748" i="12"/>
  <c r="H12748" i="12"/>
  <c r="F12748" i="12"/>
  <c r="J12747" i="12"/>
  <c r="I12747" i="12"/>
  <c r="H12747" i="12"/>
  <c r="F12747" i="12"/>
  <c r="J12746" i="12"/>
  <c r="I12746" i="12"/>
  <c r="H12746" i="12"/>
  <c r="F12746" i="12"/>
  <c r="J12745" i="12"/>
  <c r="I12745" i="12"/>
  <c r="H12745" i="12"/>
  <c r="F12745" i="12"/>
  <c r="J12744" i="12"/>
  <c r="I12744" i="12"/>
  <c r="H12744" i="12"/>
  <c r="F12744" i="12"/>
  <c r="J12743" i="12"/>
  <c r="I12743" i="12"/>
  <c r="H12743" i="12"/>
  <c r="F12743" i="12"/>
  <c r="J12742" i="12"/>
  <c r="I12742" i="12"/>
  <c r="H12742" i="12"/>
  <c r="F12742" i="12"/>
  <c r="J12741" i="12"/>
  <c r="I12741" i="12"/>
  <c r="H12741" i="12"/>
  <c r="F12741" i="12"/>
  <c r="J12740" i="12"/>
  <c r="I12740" i="12"/>
  <c r="H12740" i="12"/>
  <c r="F12740" i="12"/>
  <c r="J12739" i="12"/>
  <c r="I12739" i="12"/>
  <c r="H12739" i="12"/>
  <c r="F12739" i="12"/>
  <c r="J12738" i="12"/>
  <c r="I12738" i="12"/>
  <c r="H12738" i="12"/>
  <c r="F12738" i="12"/>
  <c r="J12737" i="12"/>
  <c r="I12737" i="12"/>
  <c r="H12737" i="12"/>
  <c r="F12737" i="12"/>
  <c r="J12736" i="12"/>
  <c r="I12736" i="12"/>
  <c r="H12736" i="12"/>
  <c r="F12736" i="12"/>
  <c r="J12735" i="12"/>
  <c r="I12735" i="12"/>
  <c r="H12735" i="12"/>
  <c r="F12735" i="12"/>
  <c r="J12734" i="12"/>
  <c r="I12734" i="12"/>
  <c r="H12734" i="12"/>
  <c r="F12734" i="12"/>
  <c r="J12733" i="12"/>
  <c r="I12733" i="12"/>
  <c r="H12733" i="12"/>
  <c r="F12733" i="12"/>
  <c r="J12732" i="12"/>
  <c r="I12732" i="12"/>
  <c r="H12732" i="12"/>
  <c r="F12732" i="12"/>
  <c r="J12731" i="12"/>
  <c r="I12731" i="12"/>
  <c r="H12731" i="12"/>
  <c r="F12731" i="12"/>
  <c r="J12730" i="12"/>
  <c r="I12730" i="12"/>
  <c r="H12730" i="12"/>
  <c r="F12730" i="12"/>
  <c r="J12729" i="12"/>
  <c r="I12729" i="12"/>
  <c r="H12729" i="12"/>
  <c r="F12729" i="12"/>
  <c r="J12728" i="12"/>
  <c r="I12728" i="12"/>
  <c r="H12728" i="12"/>
  <c r="F12728" i="12"/>
  <c r="J12727" i="12"/>
  <c r="I12727" i="12"/>
  <c r="H12727" i="12"/>
  <c r="F12727" i="12"/>
  <c r="J12726" i="12"/>
  <c r="I12726" i="12"/>
  <c r="H12726" i="12"/>
  <c r="F12726" i="12"/>
  <c r="J12725" i="12"/>
  <c r="I12725" i="12"/>
  <c r="H12725" i="12"/>
  <c r="F12725" i="12"/>
  <c r="J12724" i="12"/>
  <c r="I12724" i="12"/>
  <c r="H12724" i="12"/>
  <c r="F12724" i="12"/>
  <c r="J12723" i="12"/>
  <c r="I12723" i="12"/>
  <c r="H12723" i="12"/>
  <c r="F12723" i="12"/>
  <c r="J12722" i="12"/>
  <c r="I12722" i="12"/>
  <c r="H12722" i="12"/>
  <c r="F12722" i="12"/>
  <c r="J12721" i="12"/>
  <c r="I12721" i="12"/>
  <c r="H12721" i="12"/>
  <c r="F12721" i="12"/>
  <c r="J12720" i="12"/>
  <c r="I12720" i="12"/>
  <c r="H12720" i="12"/>
  <c r="F12720" i="12"/>
  <c r="J12719" i="12"/>
  <c r="I12719" i="12"/>
  <c r="H12719" i="12"/>
  <c r="F12719" i="12"/>
  <c r="J12718" i="12"/>
  <c r="I12718" i="12"/>
  <c r="H12718" i="12"/>
  <c r="F12718" i="12"/>
  <c r="J12717" i="12"/>
  <c r="I12717" i="12"/>
  <c r="H12717" i="12"/>
  <c r="F12717" i="12"/>
  <c r="J12716" i="12"/>
  <c r="I12716" i="12"/>
  <c r="H12716" i="12"/>
  <c r="F12716" i="12"/>
  <c r="J12715" i="12"/>
  <c r="I12715" i="12"/>
  <c r="H12715" i="12"/>
  <c r="F12715" i="12"/>
  <c r="J12714" i="12"/>
  <c r="I12714" i="12"/>
  <c r="H12714" i="12"/>
  <c r="F12714" i="12"/>
  <c r="J12713" i="12"/>
  <c r="I12713" i="12"/>
  <c r="H12713" i="12"/>
  <c r="F12713" i="12"/>
  <c r="J12712" i="12"/>
  <c r="I12712" i="12"/>
  <c r="H12712" i="12"/>
  <c r="F12712" i="12"/>
  <c r="J12711" i="12"/>
  <c r="I12711" i="12"/>
  <c r="H12711" i="12"/>
  <c r="F12711" i="12"/>
  <c r="J12710" i="12"/>
  <c r="I12710" i="12"/>
  <c r="H12710" i="12"/>
  <c r="F12710" i="12"/>
  <c r="J12709" i="12"/>
  <c r="I12709" i="12"/>
  <c r="H12709" i="12"/>
  <c r="F12709" i="12"/>
  <c r="J12708" i="12"/>
  <c r="I12708" i="12"/>
  <c r="H12708" i="12"/>
  <c r="F12708" i="12"/>
  <c r="J12707" i="12"/>
  <c r="I12707" i="12"/>
  <c r="H12707" i="12"/>
  <c r="F12707" i="12"/>
  <c r="J12706" i="12"/>
  <c r="I12706" i="12"/>
  <c r="H12706" i="12"/>
  <c r="F12706" i="12"/>
  <c r="J12705" i="12"/>
  <c r="I12705" i="12"/>
  <c r="H12705" i="12"/>
  <c r="F12705" i="12"/>
  <c r="J12704" i="12"/>
  <c r="I12704" i="12"/>
  <c r="H12704" i="12"/>
  <c r="F12704" i="12"/>
  <c r="J12703" i="12"/>
  <c r="I12703" i="12"/>
  <c r="H12703" i="12"/>
  <c r="F12703" i="12"/>
  <c r="J12702" i="12"/>
  <c r="I12702" i="12"/>
  <c r="H12702" i="12"/>
  <c r="F12702" i="12"/>
  <c r="J12701" i="12"/>
  <c r="I12701" i="12"/>
  <c r="H12701" i="12"/>
  <c r="F12701" i="12"/>
  <c r="J12700" i="12"/>
  <c r="I12700" i="12"/>
  <c r="H12700" i="12"/>
  <c r="F12700" i="12"/>
  <c r="J12699" i="12"/>
  <c r="I12699" i="12"/>
  <c r="H12699" i="12"/>
  <c r="F12699" i="12"/>
  <c r="J12698" i="12"/>
  <c r="I12698" i="12"/>
  <c r="H12698" i="12"/>
  <c r="F12698" i="12"/>
  <c r="J12697" i="12"/>
  <c r="I12697" i="12"/>
  <c r="H12697" i="12"/>
  <c r="F12697" i="12"/>
  <c r="J12696" i="12"/>
  <c r="I12696" i="12"/>
  <c r="H12696" i="12"/>
  <c r="F12696" i="12"/>
  <c r="J12695" i="12"/>
  <c r="I12695" i="12"/>
  <c r="H12695" i="12"/>
  <c r="F12695" i="12"/>
  <c r="J12694" i="12"/>
  <c r="I12694" i="12"/>
  <c r="H12694" i="12"/>
  <c r="F12694" i="12"/>
  <c r="J12693" i="12"/>
  <c r="I12693" i="12"/>
  <c r="H12693" i="12"/>
  <c r="F12693" i="12"/>
  <c r="J12692" i="12"/>
  <c r="I12692" i="12"/>
  <c r="H12692" i="12"/>
  <c r="F12692" i="12"/>
  <c r="J12691" i="12"/>
  <c r="I12691" i="12"/>
  <c r="H12691" i="12"/>
  <c r="F12691" i="12"/>
  <c r="J12690" i="12"/>
  <c r="I12690" i="12"/>
  <c r="H12690" i="12"/>
  <c r="F12690" i="12"/>
  <c r="J12689" i="12"/>
  <c r="I12689" i="12"/>
  <c r="H12689" i="12"/>
  <c r="F12689" i="12"/>
  <c r="J12688" i="12"/>
  <c r="I12688" i="12"/>
  <c r="H12688" i="12"/>
  <c r="F12688" i="12"/>
  <c r="J12687" i="12"/>
  <c r="I12687" i="12"/>
  <c r="H12687" i="12"/>
  <c r="F12687" i="12"/>
  <c r="J12686" i="12"/>
  <c r="I12686" i="12"/>
  <c r="H12686" i="12"/>
  <c r="F12686" i="12"/>
  <c r="J12685" i="12"/>
  <c r="I12685" i="12"/>
  <c r="H12685" i="12"/>
  <c r="F12685" i="12"/>
  <c r="J12684" i="12"/>
  <c r="I12684" i="12"/>
  <c r="H12684" i="12"/>
  <c r="F12684" i="12"/>
  <c r="J12683" i="12"/>
  <c r="I12683" i="12"/>
  <c r="H12683" i="12"/>
  <c r="F12683" i="12"/>
  <c r="J12682" i="12"/>
  <c r="I12682" i="12"/>
  <c r="H12682" i="12"/>
  <c r="F12682" i="12"/>
  <c r="J12681" i="12"/>
  <c r="I12681" i="12"/>
  <c r="H12681" i="12"/>
  <c r="F12681" i="12"/>
  <c r="J12680" i="12"/>
  <c r="I12680" i="12"/>
  <c r="H12680" i="12"/>
  <c r="F12680" i="12"/>
  <c r="J12679" i="12"/>
  <c r="I12679" i="12"/>
  <c r="H12679" i="12"/>
  <c r="F12679" i="12"/>
  <c r="J12678" i="12"/>
  <c r="I12678" i="12"/>
  <c r="H12678" i="12"/>
  <c r="F12678" i="12"/>
  <c r="J12677" i="12"/>
  <c r="I12677" i="12"/>
  <c r="H12677" i="12"/>
  <c r="F12677" i="12"/>
  <c r="J12676" i="12"/>
  <c r="I12676" i="12"/>
  <c r="H12676" i="12"/>
  <c r="F12676" i="12"/>
  <c r="J12675" i="12"/>
  <c r="I12675" i="12"/>
  <c r="H12675" i="12"/>
  <c r="F12675" i="12"/>
  <c r="J12674" i="12"/>
  <c r="I12674" i="12"/>
  <c r="H12674" i="12"/>
  <c r="F12674" i="12"/>
  <c r="J12673" i="12"/>
  <c r="I12673" i="12"/>
  <c r="H12673" i="12"/>
  <c r="F12673" i="12"/>
  <c r="J12672" i="12"/>
  <c r="I12672" i="12"/>
  <c r="H12672" i="12"/>
  <c r="F12672" i="12"/>
  <c r="J12671" i="12"/>
  <c r="I12671" i="12"/>
  <c r="H12671" i="12"/>
  <c r="F12671" i="12"/>
  <c r="J12670" i="12"/>
  <c r="I12670" i="12"/>
  <c r="H12670" i="12"/>
  <c r="F12670" i="12"/>
  <c r="J12669" i="12"/>
  <c r="I12669" i="12"/>
  <c r="H12669" i="12"/>
  <c r="F12669" i="12"/>
  <c r="J12668" i="12"/>
  <c r="I12668" i="12"/>
  <c r="H12668" i="12"/>
  <c r="F12668" i="12"/>
  <c r="J12667" i="12"/>
  <c r="I12667" i="12"/>
  <c r="H12667" i="12"/>
  <c r="F12667" i="12"/>
  <c r="J12666" i="12"/>
  <c r="I12666" i="12"/>
  <c r="H12666" i="12"/>
  <c r="F12666" i="12"/>
  <c r="J12665" i="12"/>
  <c r="I12665" i="12"/>
  <c r="H12665" i="12"/>
  <c r="F12665" i="12"/>
  <c r="J12664" i="12"/>
  <c r="I12664" i="12"/>
  <c r="H12664" i="12"/>
  <c r="F12664" i="12"/>
  <c r="J12663" i="12"/>
  <c r="I12663" i="12"/>
  <c r="H12663" i="12"/>
  <c r="F12663" i="12"/>
  <c r="J12662" i="12"/>
  <c r="I12662" i="12"/>
  <c r="H12662" i="12"/>
  <c r="F12662" i="12"/>
  <c r="J12661" i="12"/>
  <c r="I12661" i="12"/>
  <c r="H12661" i="12"/>
  <c r="F12661" i="12"/>
  <c r="J12660" i="12"/>
  <c r="I12660" i="12"/>
  <c r="H12660" i="12"/>
  <c r="F12660" i="12"/>
  <c r="J12659" i="12"/>
  <c r="I12659" i="12"/>
  <c r="H12659" i="12"/>
  <c r="F12659" i="12"/>
  <c r="J12658" i="12"/>
  <c r="I12658" i="12"/>
  <c r="H12658" i="12"/>
  <c r="F12658" i="12"/>
  <c r="J12657" i="12"/>
  <c r="I12657" i="12"/>
  <c r="H12657" i="12"/>
  <c r="F12657" i="12"/>
  <c r="J12656" i="12"/>
  <c r="I12656" i="12"/>
  <c r="H12656" i="12"/>
  <c r="F12656" i="12"/>
  <c r="J12655" i="12"/>
  <c r="I12655" i="12"/>
  <c r="H12655" i="12"/>
  <c r="F12655" i="12"/>
  <c r="J12654" i="12"/>
  <c r="I12654" i="12"/>
  <c r="H12654" i="12"/>
  <c r="F12654" i="12"/>
  <c r="J12653" i="12"/>
  <c r="I12653" i="12"/>
  <c r="H12653" i="12"/>
  <c r="F12653" i="12"/>
  <c r="J12652" i="12"/>
  <c r="I12652" i="12"/>
  <c r="H12652" i="12"/>
  <c r="F12652" i="12"/>
  <c r="J12651" i="12"/>
  <c r="I12651" i="12"/>
  <c r="H12651" i="12"/>
  <c r="F12651" i="12"/>
  <c r="J12650" i="12"/>
  <c r="I12650" i="12"/>
  <c r="H12650" i="12"/>
  <c r="F12650" i="12"/>
  <c r="J12649" i="12"/>
  <c r="I12649" i="12"/>
  <c r="H12649" i="12"/>
  <c r="F12649" i="12"/>
  <c r="J12648" i="12"/>
  <c r="I12648" i="12"/>
  <c r="H12648" i="12"/>
  <c r="F12648" i="12"/>
  <c r="J12647" i="12"/>
  <c r="I12647" i="12"/>
  <c r="H12647" i="12"/>
  <c r="F12647" i="12"/>
  <c r="J12646" i="12"/>
  <c r="I12646" i="12"/>
  <c r="H12646" i="12"/>
  <c r="F12646" i="12"/>
  <c r="J12645" i="12"/>
  <c r="I12645" i="12"/>
  <c r="H12645" i="12"/>
  <c r="F12645" i="12"/>
  <c r="J12644" i="12"/>
  <c r="I12644" i="12"/>
  <c r="H12644" i="12"/>
  <c r="F12644" i="12"/>
  <c r="J12643" i="12"/>
  <c r="I12643" i="12"/>
  <c r="H12643" i="12"/>
  <c r="F12643" i="12"/>
  <c r="J12642" i="12"/>
  <c r="I12642" i="12"/>
  <c r="H12642" i="12"/>
  <c r="F12642" i="12"/>
  <c r="J12641" i="12"/>
  <c r="I12641" i="12"/>
  <c r="H12641" i="12"/>
  <c r="F12641" i="12"/>
  <c r="J12640" i="12"/>
  <c r="I12640" i="12"/>
  <c r="H12640" i="12"/>
  <c r="F12640" i="12"/>
  <c r="J12639" i="12"/>
  <c r="I12639" i="12"/>
  <c r="H12639" i="12"/>
  <c r="F12639" i="12"/>
  <c r="J12638" i="12"/>
  <c r="I12638" i="12"/>
  <c r="H12638" i="12"/>
  <c r="F12638" i="12"/>
  <c r="J12637" i="12"/>
  <c r="I12637" i="12"/>
  <c r="H12637" i="12"/>
  <c r="F12637" i="12"/>
  <c r="J12636" i="12"/>
  <c r="I12636" i="12"/>
  <c r="H12636" i="12"/>
  <c r="F12636" i="12"/>
  <c r="J12635" i="12"/>
  <c r="I12635" i="12"/>
  <c r="H12635" i="12"/>
  <c r="F12635" i="12"/>
  <c r="J12634" i="12"/>
  <c r="I12634" i="12"/>
  <c r="H12634" i="12"/>
  <c r="F12634" i="12"/>
  <c r="J12633" i="12"/>
  <c r="I12633" i="12"/>
  <c r="H12633" i="12"/>
  <c r="F12633" i="12"/>
  <c r="J12632" i="12"/>
  <c r="I12632" i="12"/>
  <c r="H12632" i="12"/>
  <c r="F12632" i="12"/>
  <c r="J12631" i="12"/>
  <c r="I12631" i="12"/>
  <c r="H12631" i="12"/>
  <c r="F12631" i="12"/>
  <c r="J12630" i="12"/>
  <c r="I12630" i="12"/>
  <c r="H12630" i="12"/>
  <c r="F12630" i="12"/>
  <c r="J12629" i="12"/>
  <c r="I12629" i="12"/>
  <c r="H12629" i="12"/>
  <c r="F12629" i="12"/>
  <c r="J12628" i="12"/>
  <c r="I12628" i="12"/>
  <c r="H12628" i="12"/>
  <c r="F12628" i="12"/>
  <c r="J12627" i="12"/>
  <c r="I12627" i="12"/>
  <c r="H12627" i="12"/>
  <c r="F12627" i="12"/>
  <c r="J12626" i="12"/>
  <c r="I12626" i="12"/>
  <c r="H12626" i="12"/>
  <c r="F12626" i="12"/>
  <c r="J12625" i="12"/>
  <c r="I12625" i="12"/>
  <c r="H12625" i="12"/>
  <c r="F12625" i="12"/>
  <c r="J12624" i="12"/>
  <c r="I12624" i="12"/>
  <c r="H12624" i="12"/>
  <c r="F12624" i="12"/>
  <c r="J12623" i="12"/>
  <c r="I12623" i="12"/>
  <c r="H12623" i="12"/>
  <c r="F12623" i="12"/>
  <c r="J12622" i="12"/>
  <c r="I12622" i="12"/>
  <c r="H12622" i="12"/>
  <c r="F12622" i="12"/>
  <c r="J12621" i="12"/>
  <c r="I12621" i="12"/>
  <c r="H12621" i="12"/>
  <c r="F12621" i="12"/>
  <c r="J12620" i="12"/>
  <c r="I12620" i="12"/>
  <c r="H12620" i="12"/>
  <c r="F12620" i="12"/>
  <c r="J12619" i="12"/>
  <c r="I12619" i="12"/>
  <c r="H12619" i="12"/>
  <c r="F12619" i="12"/>
  <c r="J12618" i="12"/>
  <c r="I12618" i="12"/>
  <c r="H12618" i="12"/>
  <c r="F12618" i="12"/>
  <c r="J12617" i="12"/>
  <c r="I12617" i="12"/>
  <c r="H12617" i="12"/>
  <c r="F12617" i="12"/>
  <c r="J12616" i="12"/>
  <c r="I12616" i="12"/>
  <c r="H12616" i="12"/>
  <c r="F12616" i="12"/>
  <c r="J12615" i="12"/>
  <c r="I12615" i="12"/>
  <c r="H12615" i="12"/>
  <c r="F12615" i="12"/>
  <c r="J12614" i="12"/>
  <c r="I12614" i="12"/>
  <c r="H12614" i="12"/>
  <c r="F12614" i="12"/>
  <c r="J12613" i="12"/>
  <c r="I12613" i="12"/>
  <c r="H12613" i="12"/>
  <c r="F12613" i="12"/>
  <c r="J12612" i="12"/>
  <c r="I12612" i="12"/>
  <c r="H12612" i="12"/>
  <c r="F12612" i="12"/>
  <c r="J12611" i="12"/>
  <c r="I12611" i="12"/>
  <c r="H12611" i="12"/>
  <c r="F12611" i="12"/>
  <c r="J12610" i="12"/>
  <c r="I12610" i="12"/>
  <c r="H12610" i="12"/>
  <c r="F12610" i="12"/>
  <c r="J12609" i="12"/>
  <c r="I12609" i="12"/>
  <c r="H12609" i="12"/>
  <c r="F12609" i="12"/>
  <c r="J12608" i="12"/>
  <c r="I12608" i="12"/>
  <c r="H12608" i="12"/>
  <c r="F12608" i="12"/>
  <c r="J12607" i="12"/>
  <c r="I12607" i="12"/>
  <c r="H12607" i="12"/>
  <c r="F12607" i="12"/>
  <c r="J12606" i="12"/>
  <c r="I12606" i="12"/>
  <c r="H12606" i="12"/>
  <c r="F12606" i="12"/>
  <c r="J12605" i="12"/>
  <c r="I12605" i="12"/>
  <c r="H12605" i="12"/>
  <c r="F12605" i="12"/>
  <c r="J12604" i="12"/>
  <c r="I12604" i="12"/>
  <c r="H12604" i="12"/>
  <c r="F12604" i="12"/>
  <c r="J12603" i="12"/>
  <c r="I12603" i="12"/>
  <c r="H12603" i="12"/>
  <c r="F12603" i="12"/>
  <c r="J12602" i="12"/>
  <c r="I12602" i="12"/>
  <c r="H12602" i="12"/>
  <c r="F12602" i="12"/>
  <c r="J12601" i="12"/>
  <c r="I12601" i="12"/>
  <c r="H12601" i="12"/>
  <c r="F12601" i="12"/>
  <c r="J12600" i="12"/>
  <c r="I12600" i="12"/>
  <c r="H12600" i="12"/>
  <c r="F12600" i="12"/>
  <c r="J12599" i="12"/>
  <c r="I12599" i="12"/>
  <c r="H12599" i="12"/>
  <c r="F12599" i="12"/>
  <c r="J12598" i="12"/>
  <c r="I12598" i="12"/>
  <c r="H12598" i="12"/>
  <c r="F12598" i="12"/>
  <c r="J12597" i="12"/>
  <c r="I12597" i="12"/>
  <c r="H12597" i="12"/>
  <c r="F12597" i="12"/>
  <c r="J12596" i="12"/>
  <c r="I12596" i="12"/>
  <c r="H12596" i="12"/>
  <c r="F12596" i="12"/>
  <c r="J12595" i="12"/>
  <c r="I12595" i="12"/>
  <c r="H12595" i="12"/>
  <c r="F12595" i="12"/>
  <c r="J12594" i="12"/>
  <c r="I12594" i="12"/>
  <c r="H12594" i="12"/>
  <c r="F12594" i="12"/>
  <c r="J12593" i="12"/>
  <c r="I12593" i="12"/>
  <c r="H12593" i="12"/>
  <c r="F12593" i="12"/>
  <c r="J12592" i="12"/>
  <c r="I12592" i="12"/>
  <c r="H12592" i="12"/>
  <c r="F12592" i="12"/>
  <c r="J12591" i="12"/>
  <c r="I12591" i="12"/>
  <c r="H12591" i="12"/>
  <c r="F12591" i="12"/>
  <c r="J12590" i="12"/>
  <c r="I12590" i="12"/>
  <c r="H12590" i="12"/>
  <c r="F12590" i="12"/>
  <c r="J12589" i="12"/>
  <c r="I12589" i="12"/>
  <c r="H12589" i="12"/>
  <c r="F12589" i="12"/>
  <c r="J12588" i="12"/>
  <c r="I12588" i="12"/>
  <c r="H12588" i="12"/>
  <c r="F12588" i="12"/>
  <c r="J12587" i="12"/>
  <c r="I12587" i="12"/>
  <c r="H12587" i="12"/>
  <c r="F12587" i="12"/>
  <c r="J12586" i="12"/>
  <c r="I12586" i="12"/>
  <c r="H12586" i="12"/>
  <c r="F12586" i="12"/>
  <c r="J12585" i="12"/>
  <c r="I12585" i="12"/>
  <c r="H12585" i="12"/>
  <c r="F12585" i="12"/>
  <c r="J12584" i="12"/>
  <c r="I12584" i="12"/>
  <c r="H12584" i="12"/>
  <c r="F12584" i="12"/>
  <c r="J12583" i="12"/>
  <c r="I12583" i="12"/>
  <c r="H12583" i="12"/>
  <c r="F12583" i="12"/>
  <c r="J12582" i="12"/>
  <c r="I12582" i="12"/>
  <c r="H12582" i="12"/>
  <c r="F12582" i="12"/>
  <c r="J12581" i="12"/>
  <c r="I12581" i="12"/>
  <c r="H12581" i="12"/>
  <c r="F12581" i="12"/>
  <c r="J12580" i="12"/>
  <c r="I12580" i="12"/>
  <c r="H12580" i="12"/>
  <c r="F12580" i="12"/>
  <c r="J12579" i="12"/>
  <c r="I12579" i="12"/>
  <c r="H12579" i="12"/>
  <c r="F12579" i="12"/>
  <c r="J12578" i="12"/>
  <c r="I12578" i="12"/>
  <c r="H12578" i="12"/>
  <c r="F12578" i="12"/>
  <c r="J12577" i="12"/>
  <c r="I12577" i="12"/>
  <c r="H12577" i="12"/>
  <c r="F12577" i="12"/>
  <c r="J12576" i="12"/>
  <c r="I12576" i="12"/>
  <c r="H12576" i="12"/>
  <c r="F12576" i="12"/>
  <c r="J12575" i="12"/>
  <c r="I12575" i="12"/>
  <c r="H12575" i="12"/>
  <c r="F12575" i="12"/>
  <c r="J12574" i="12"/>
  <c r="I12574" i="12"/>
  <c r="H12574" i="12"/>
  <c r="F12574" i="12"/>
  <c r="J12573" i="12"/>
  <c r="I12573" i="12"/>
  <c r="H12573" i="12"/>
  <c r="F12573" i="12"/>
  <c r="J12572" i="12"/>
  <c r="I12572" i="12"/>
  <c r="H12572" i="12"/>
  <c r="F12572" i="12"/>
  <c r="J12571" i="12"/>
  <c r="I12571" i="12"/>
  <c r="H12571" i="12"/>
  <c r="F12571" i="12"/>
  <c r="J12570" i="12"/>
  <c r="I12570" i="12"/>
  <c r="H12570" i="12"/>
  <c r="F12570" i="12"/>
  <c r="J12569" i="12"/>
  <c r="I12569" i="12"/>
  <c r="H12569" i="12"/>
  <c r="F12569" i="12"/>
  <c r="J12568" i="12"/>
  <c r="I12568" i="12"/>
  <c r="H12568" i="12"/>
  <c r="F12568" i="12"/>
  <c r="J12567" i="12"/>
  <c r="I12567" i="12"/>
  <c r="H12567" i="12"/>
  <c r="F12567" i="12"/>
  <c r="J12566" i="12"/>
  <c r="I12566" i="12"/>
  <c r="H12566" i="12"/>
  <c r="F12566" i="12"/>
  <c r="J12565" i="12"/>
  <c r="I12565" i="12"/>
  <c r="H12565" i="12"/>
  <c r="F12565" i="12"/>
  <c r="J12564" i="12"/>
  <c r="I12564" i="12"/>
  <c r="H12564" i="12"/>
  <c r="F12564" i="12"/>
  <c r="J12563" i="12"/>
  <c r="I12563" i="12"/>
  <c r="H12563" i="12"/>
  <c r="F12563" i="12"/>
  <c r="J12562" i="12"/>
  <c r="I12562" i="12"/>
  <c r="H12562" i="12"/>
  <c r="F12562" i="12"/>
  <c r="J12561" i="12"/>
  <c r="I12561" i="12"/>
  <c r="H12561" i="12"/>
  <c r="F12561" i="12"/>
  <c r="J12560" i="12"/>
  <c r="I12560" i="12"/>
  <c r="H12560" i="12"/>
  <c r="F12560" i="12"/>
  <c r="J12559" i="12"/>
  <c r="I12559" i="12"/>
  <c r="H12559" i="12"/>
  <c r="F12559" i="12"/>
  <c r="J12558" i="12"/>
  <c r="I12558" i="12"/>
  <c r="H12558" i="12"/>
  <c r="F12558" i="12"/>
  <c r="J12557" i="12"/>
  <c r="I12557" i="12"/>
  <c r="H12557" i="12"/>
  <c r="F12557" i="12"/>
  <c r="J12556" i="12"/>
  <c r="I12556" i="12"/>
  <c r="H12556" i="12"/>
  <c r="F12556" i="12"/>
  <c r="J12555" i="12"/>
  <c r="I12555" i="12"/>
  <c r="H12555" i="12"/>
  <c r="F12555" i="12"/>
  <c r="J12554" i="12"/>
  <c r="I12554" i="12"/>
  <c r="H12554" i="12"/>
  <c r="F12554" i="12"/>
  <c r="J12553" i="12"/>
  <c r="I12553" i="12"/>
  <c r="H12553" i="12"/>
  <c r="F12553" i="12"/>
  <c r="J12552" i="12"/>
  <c r="I12552" i="12"/>
  <c r="H12552" i="12"/>
  <c r="F12552" i="12"/>
  <c r="J12551" i="12"/>
  <c r="I12551" i="12"/>
  <c r="H12551" i="12"/>
  <c r="F12551" i="12"/>
  <c r="J12550" i="12"/>
  <c r="I12550" i="12"/>
  <c r="H12550" i="12"/>
  <c r="F12550" i="12"/>
  <c r="J12549" i="12"/>
  <c r="I12549" i="12"/>
  <c r="H12549" i="12"/>
  <c r="F12549" i="12"/>
  <c r="J12548" i="12"/>
  <c r="I12548" i="12"/>
  <c r="H12548" i="12"/>
  <c r="F12548" i="12"/>
  <c r="J12547" i="12"/>
  <c r="I12547" i="12"/>
  <c r="H12547" i="12"/>
  <c r="F12547" i="12"/>
  <c r="J12546" i="12"/>
  <c r="I12546" i="12"/>
  <c r="H12546" i="12"/>
  <c r="F12546" i="12"/>
  <c r="J12545" i="12"/>
  <c r="I12545" i="12"/>
  <c r="H12545" i="12"/>
  <c r="F12545" i="12"/>
  <c r="J12544" i="12"/>
  <c r="I12544" i="12"/>
  <c r="H12544" i="12"/>
  <c r="F12544" i="12"/>
  <c r="J12543" i="12"/>
  <c r="I12543" i="12"/>
  <c r="H12543" i="12"/>
  <c r="F12543" i="12"/>
  <c r="J12542" i="12"/>
  <c r="I12542" i="12"/>
  <c r="H12542" i="12"/>
  <c r="F12542" i="12"/>
  <c r="J12541" i="12"/>
  <c r="I12541" i="12"/>
  <c r="H12541" i="12"/>
  <c r="F12541" i="12"/>
  <c r="J12540" i="12"/>
  <c r="I12540" i="12"/>
  <c r="H12540" i="12"/>
  <c r="F12540" i="12"/>
  <c r="J12539" i="12"/>
  <c r="I12539" i="12"/>
  <c r="H12539" i="12"/>
  <c r="F12539" i="12"/>
  <c r="J12538" i="12"/>
  <c r="I12538" i="12"/>
  <c r="H12538" i="12"/>
  <c r="F12538" i="12"/>
  <c r="J12537" i="12"/>
  <c r="I12537" i="12"/>
  <c r="H12537" i="12"/>
  <c r="F12537" i="12"/>
  <c r="J12536" i="12"/>
  <c r="I12536" i="12"/>
  <c r="H12536" i="12"/>
  <c r="F12536" i="12"/>
  <c r="J12535" i="12"/>
  <c r="I12535" i="12"/>
  <c r="H12535" i="12"/>
  <c r="F12535" i="12"/>
  <c r="J12534" i="12"/>
  <c r="I12534" i="12"/>
  <c r="H12534" i="12"/>
  <c r="F12534" i="12"/>
  <c r="J12533" i="12"/>
  <c r="I12533" i="12"/>
  <c r="H12533" i="12"/>
  <c r="F12533" i="12"/>
  <c r="J12532" i="12"/>
  <c r="I12532" i="12"/>
  <c r="H12532" i="12"/>
  <c r="F12532" i="12"/>
  <c r="J12531" i="12"/>
  <c r="I12531" i="12"/>
  <c r="H12531" i="12"/>
  <c r="F12531" i="12"/>
  <c r="J12530" i="12"/>
  <c r="I12530" i="12"/>
  <c r="H12530" i="12"/>
  <c r="F12530" i="12"/>
  <c r="J12529" i="12"/>
  <c r="I12529" i="12"/>
  <c r="H12529" i="12"/>
  <c r="F12529" i="12"/>
  <c r="J12528" i="12"/>
  <c r="I12528" i="12"/>
  <c r="H12528" i="12"/>
  <c r="F12528" i="12"/>
  <c r="J12527" i="12"/>
  <c r="I12527" i="12"/>
  <c r="H12527" i="12"/>
  <c r="F12527" i="12"/>
  <c r="J12526" i="12"/>
  <c r="I12526" i="12"/>
  <c r="H12526" i="12"/>
  <c r="F12526" i="12"/>
  <c r="J12525" i="12"/>
  <c r="I12525" i="12"/>
  <c r="H12525" i="12"/>
  <c r="F12525" i="12"/>
  <c r="J12524" i="12"/>
  <c r="I12524" i="12"/>
  <c r="H12524" i="12"/>
  <c r="F12524" i="12"/>
  <c r="J12523" i="12"/>
  <c r="I12523" i="12"/>
  <c r="H12523" i="12"/>
  <c r="F12523" i="12"/>
  <c r="J12522" i="12"/>
  <c r="I12522" i="12"/>
  <c r="H12522" i="12"/>
  <c r="F12522" i="12"/>
  <c r="J12521" i="12"/>
  <c r="I12521" i="12"/>
  <c r="H12521" i="12"/>
  <c r="F12521" i="12"/>
  <c r="J12520" i="12"/>
  <c r="I12520" i="12"/>
  <c r="H12520" i="12"/>
  <c r="F12520" i="12"/>
  <c r="J12519" i="12"/>
  <c r="I12519" i="12"/>
  <c r="H12519" i="12"/>
  <c r="F12519" i="12"/>
  <c r="J12518" i="12"/>
  <c r="I12518" i="12"/>
  <c r="H12518" i="12"/>
  <c r="F12518" i="12"/>
  <c r="J12517" i="12"/>
  <c r="I12517" i="12"/>
  <c r="H12517" i="12"/>
  <c r="F12517" i="12"/>
  <c r="J12516" i="12"/>
  <c r="I12516" i="12"/>
  <c r="H12516" i="12"/>
  <c r="F12516" i="12"/>
  <c r="J12515" i="12"/>
  <c r="I12515" i="12"/>
  <c r="H12515" i="12"/>
  <c r="F12515" i="12"/>
  <c r="J12514" i="12"/>
  <c r="I12514" i="12"/>
  <c r="H12514" i="12"/>
  <c r="F12514" i="12"/>
  <c r="J12513" i="12"/>
  <c r="I12513" i="12"/>
  <c r="H12513" i="12"/>
  <c r="F12513" i="12"/>
  <c r="J12512" i="12"/>
  <c r="I12512" i="12"/>
  <c r="H12512" i="12"/>
  <c r="F12512" i="12"/>
  <c r="J12511" i="12"/>
  <c r="I12511" i="12"/>
  <c r="H12511" i="12"/>
  <c r="F12511" i="12"/>
  <c r="J12510" i="12"/>
  <c r="I12510" i="12"/>
  <c r="H12510" i="12"/>
  <c r="F12510" i="12"/>
  <c r="J12509" i="12"/>
  <c r="I12509" i="12"/>
  <c r="H12509" i="12"/>
  <c r="F12509" i="12"/>
  <c r="J12508" i="12"/>
  <c r="I12508" i="12"/>
  <c r="H12508" i="12"/>
  <c r="F12508" i="12"/>
  <c r="J12507" i="12"/>
  <c r="I12507" i="12"/>
  <c r="H12507" i="12"/>
  <c r="F12507" i="12"/>
  <c r="J12506" i="12"/>
  <c r="I12506" i="12"/>
  <c r="H12506" i="12"/>
  <c r="F12506" i="12"/>
  <c r="J12505" i="12"/>
  <c r="I12505" i="12"/>
  <c r="H12505" i="12"/>
  <c r="F12505" i="12"/>
  <c r="J12504" i="12"/>
  <c r="I12504" i="12"/>
  <c r="H12504" i="12"/>
  <c r="F12504" i="12"/>
  <c r="J12503" i="12"/>
  <c r="I12503" i="12"/>
  <c r="H12503" i="12"/>
  <c r="F12503" i="12"/>
  <c r="J12502" i="12"/>
  <c r="I12502" i="12"/>
  <c r="H12502" i="12"/>
  <c r="F12502" i="12"/>
  <c r="J12501" i="12"/>
  <c r="I12501" i="12"/>
  <c r="H12501" i="12"/>
  <c r="F12501" i="12"/>
  <c r="J12500" i="12"/>
  <c r="I12500" i="12"/>
  <c r="H12500" i="12"/>
  <c r="F12500" i="12"/>
  <c r="J12499" i="12"/>
  <c r="I12499" i="12"/>
  <c r="H12499" i="12"/>
  <c r="F12499" i="12"/>
  <c r="J12498" i="12"/>
  <c r="I12498" i="12"/>
  <c r="H12498" i="12"/>
  <c r="F12498" i="12"/>
  <c r="J12497" i="12"/>
  <c r="I12497" i="12"/>
  <c r="H12497" i="12"/>
  <c r="F12497" i="12"/>
  <c r="J12496" i="12"/>
  <c r="I12496" i="12"/>
  <c r="H12496" i="12"/>
  <c r="F12496" i="12"/>
  <c r="J12495" i="12"/>
  <c r="I12495" i="12"/>
  <c r="H12495" i="12"/>
  <c r="F12495" i="12"/>
  <c r="J12494" i="12"/>
  <c r="I12494" i="12"/>
  <c r="H12494" i="12"/>
  <c r="F12494" i="12"/>
  <c r="J12493" i="12"/>
  <c r="I12493" i="12"/>
  <c r="H12493" i="12"/>
  <c r="F12493" i="12"/>
  <c r="J12492" i="12"/>
  <c r="I12492" i="12"/>
  <c r="H12492" i="12"/>
  <c r="F12492" i="12"/>
  <c r="J12491" i="12"/>
  <c r="I12491" i="12"/>
  <c r="H12491" i="12"/>
  <c r="F12491" i="12"/>
  <c r="J12490" i="12"/>
  <c r="I12490" i="12"/>
  <c r="H12490" i="12"/>
  <c r="F12490" i="12"/>
  <c r="J12489" i="12"/>
  <c r="I12489" i="12"/>
  <c r="H12489" i="12"/>
  <c r="F12489" i="12"/>
  <c r="J12488" i="12"/>
  <c r="I12488" i="12"/>
  <c r="H12488" i="12"/>
  <c r="F12488" i="12"/>
  <c r="J12487" i="12"/>
  <c r="I12487" i="12"/>
  <c r="H12487" i="12"/>
  <c r="F12487" i="12"/>
  <c r="J12486" i="12"/>
  <c r="I12486" i="12"/>
  <c r="H12486" i="12"/>
  <c r="F12486" i="12"/>
  <c r="J12485" i="12"/>
  <c r="I12485" i="12"/>
  <c r="H12485" i="12"/>
  <c r="F12485" i="12"/>
  <c r="J12484" i="12"/>
  <c r="I12484" i="12"/>
  <c r="H12484" i="12"/>
  <c r="F12484" i="12"/>
  <c r="J12483" i="12"/>
  <c r="I12483" i="12"/>
  <c r="H12483" i="12"/>
  <c r="F12483" i="12"/>
  <c r="J12482" i="12"/>
  <c r="I12482" i="12"/>
  <c r="H12482" i="12"/>
  <c r="F12482" i="12"/>
  <c r="J12481" i="12"/>
  <c r="I12481" i="12"/>
  <c r="H12481" i="12"/>
  <c r="F12481" i="12"/>
  <c r="J12480" i="12"/>
  <c r="I12480" i="12"/>
  <c r="H12480" i="12"/>
  <c r="F12480" i="12"/>
  <c r="J12479" i="12"/>
  <c r="I12479" i="12"/>
  <c r="H12479" i="12"/>
  <c r="F12479" i="12"/>
  <c r="J12478" i="12"/>
  <c r="I12478" i="12"/>
  <c r="H12478" i="12"/>
  <c r="F12478" i="12"/>
  <c r="J12477" i="12"/>
  <c r="I12477" i="12"/>
  <c r="H12477" i="12"/>
  <c r="F12477" i="12"/>
  <c r="J12476" i="12"/>
  <c r="I12476" i="12"/>
  <c r="H12476" i="12"/>
  <c r="F12476" i="12"/>
  <c r="J12475" i="12"/>
  <c r="I12475" i="12"/>
  <c r="H12475" i="12"/>
  <c r="F12475" i="12"/>
  <c r="J12474" i="12"/>
  <c r="I12474" i="12"/>
  <c r="H12474" i="12"/>
  <c r="F12474" i="12"/>
  <c r="J12473" i="12"/>
  <c r="I12473" i="12"/>
  <c r="H12473" i="12"/>
  <c r="F12473" i="12"/>
  <c r="J12472" i="12"/>
  <c r="I12472" i="12"/>
  <c r="H12472" i="12"/>
  <c r="F12472" i="12"/>
  <c r="J12471" i="12"/>
  <c r="I12471" i="12"/>
  <c r="H12471" i="12"/>
  <c r="F12471" i="12"/>
  <c r="J12470" i="12"/>
  <c r="I12470" i="12"/>
  <c r="H12470" i="12"/>
  <c r="F12470" i="12"/>
  <c r="J12469" i="12"/>
  <c r="I12469" i="12"/>
  <c r="H12469" i="12"/>
  <c r="F12469" i="12"/>
  <c r="J12468" i="12"/>
  <c r="I12468" i="12"/>
  <c r="H12468" i="12"/>
  <c r="F12468" i="12"/>
  <c r="J12467" i="12"/>
  <c r="I12467" i="12"/>
  <c r="H12467" i="12"/>
  <c r="F12467" i="12"/>
  <c r="J12466" i="12"/>
  <c r="I12466" i="12"/>
  <c r="H12466" i="12"/>
  <c r="F12466" i="12"/>
  <c r="J12465" i="12"/>
  <c r="I12465" i="12"/>
  <c r="H12465" i="12"/>
  <c r="F12465" i="12"/>
  <c r="J12464" i="12"/>
  <c r="I12464" i="12"/>
  <c r="H12464" i="12"/>
  <c r="F12464" i="12"/>
  <c r="J12463" i="12"/>
  <c r="I12463" i="12"/>
  <c r="H12463" i="12"/>
  <c r="F12463" i="12"/>
  <c r="J12462" i="12"/>
  <c r="I12462" i="12"/>
  <c r="H12462" i="12"/>
  <c r="F12462" i="12"/>
  <c r="J12461" i="12"/>
  <c r="I12461" i="12"/>
  <c r="H12461" i="12"/>
  <c r="F12461" i="12"/>
  <c r="J12460" i="12"/>
  <c r="I12460" i="12"/>
  <c r="H12460" i="12"/>
  <c r="F12460" i="12"/>
  <c r="J12459" i="12"/>
  <c r="I12459" i="12"/>
  <c r="H12459" i="12"/>
  <c r="F12459" i="12"/>
  <c r="J12458" i="12"/>
  <c r="I12458" i="12"/>
  <c r="H12458" i="12"/>
  <c r="F12458" i="12"/>
  <c r="J12457" i="12"/>
  <c r="I12457" i="12"/>
  <c r="H12457" i="12"/>
  <c r="F12457" i="12"/>
  <c r="J12456" i="12"/>
  <c r="I12456" i="12"/>
  <c r="H12456" i="12"/>
  <c r="F12456" i="12"/>
  <c r="J12455" i="12"/>
  <c r="I12455" i="12"/>
  <c r="H12455" i="12"/>
  <c r="F12455" i="12"/>
  <c r="J12454" i="12"/>
  <c r="I12454" i="12"/>
  <c r="H12454" i="12"/>
  <c r="F12454" i="12"/>
  <c r="J12453" i="12"/>
  <c r="I12453" i="12"/>
  <c r="H12453" i="12"/>
  <c r="F12453" i="12"/>
  <c r="J12452" i="12"/>
  <c r="I12452" i="12"/>
  <c r="H12452" i="12"/>
  <c r="F12452" i="12"/>
  <c r="J12451" i="12"/>
  <c r="I12451" i="12"/>
  <c r="H12451" i="12"/>
  <c r="F12451" i="12"/>
  <c r="J12450" i="12"/>
  <c r="I12450" i="12"/>
  <c r="H12450" i="12"/>
  <c r="F12450" i="12"/>
  <c r="J12449" i="12"/>
  <c r="I12449" i="12"/>
  <c r="H12449" i="12"/>
  <c r="F12449" i="12"/>
  <c r="J12448" i="12"/>
  <c r="I12448" i="12"/>
  <c r="H12448" i="12"/>
  <c r="F12448" i="12"/>
  <c r="J12447" i="12"/>
  <c r="I12447" i="12"/>
  <c r="H12447" i="12"/>
  <c r="F12447" i="12"/>
  <c r="J12446" i="12"/>
  <c r="I12446" i="12"/>
  <c r="H12446" i="12"/>
  <c r="F12446" i="12"/>
  <c r="J12445" i="12"/>
  <c r="I12445" i="12"/>
  <c r="H12445" i="12"/>
  <c r="F12445" i="12"/>
  <c r="J12444" i="12"/>
  <c r="I12444" i="12"/>
  <c r="H12444" i="12"/>
  <c r="F12444" i="12"/>
  <c r="J12443" i="12"/>
  <c r="I12443" i="12"/>
  <c r="H12443" i="12"/>
  <c r="F12443" i="12"/>
  <c r="J12442" i="12"/>
  <c r="I12442" i="12"/>
  <c r="H12442" i="12"/>
  <c r="F12442" i="12"/>
  <c r="J12441" i="12"/>
  <c r="I12441" i="12"/>
  <c r="H12441" i="12"/>
  <c r="F12441" i="12"/>
  <c r="J12440" i="12"/>
  <c r="I12440" i="12"/>
  <c r="H12440" i="12"/>
  <c r="F12440" i="12"/>
  <c r="J12439" i="12"/>
  <c r="I12439" i="12"/>
  <c r="H12439" i="12"/>
  <c r="F12439" i="12"/>
  <c r="J12438" i="12"/>
  <c r="I12438" i="12"/>
  <c r="H12438" i="12"/>
  <c r="F12438" i="12"/>
  <c r="J12437" i="12"/>
  <c r="I12437" i="12"/>
  <c r="H12437" i="12"/>
  <c r="F12437" i="12"/>
  <c r="J12436" i="12"/>
  <c r="I12436" i="12"/>
  <c r="H12436" i="12"/>
  <c r="F12436" i="12"/>
  <c r="J12435" i="12"/>
  <c r="I12435" i="12"/>
  <c r="H12435" i="12"/>
  <c r="F12435" i="12"/>
  <c r="J12434" i="12"/>
  <c r="I12434" i="12"/>
  <c r="H12434" i="12"/>
  <c r="F12434" i="12"/>
  <c r="J12433" i="12"/>
  <c r="I12433" i="12"/>
  <c r="H12433" i="12"/>
  <c r="F12433" i="12"/>
  <c r="J12432" i="12"/>
  <c r="I12432" i="12"/>
  <c r="H12432" i="12"/>
  <c r="F12432" i="12"/>
  <c r="J12431" i="12"/>
  <c r="I12431" i="12"/>
  <c r="H12431" i="12"/>
  <c r="F12431" i="12"/>
  <c r="J12430" i="12"/>
  <c r="I12430" i="12"/>
  <c r="H12430" i="12"/>
  <c r="F12430" i="12"/>
  <c r="J12429" i="12"/>
  <c r="I12429" i="12"/>
  <c r="H12429" i="12"/>
  <c r="F12429" i="12"/>
  <c r="J12428" i="12"/>
  <c r="I12428" i="12"/>
  <c r="H12428" i="12"/>
  <c r="F12428" i="12"/>
  <c r="J12427" i="12"/>
  <c r="I12427" i="12"/>
  <c r="H12427" i="12"/>
  <c r="F12427" i="12"/>
  <c r="J12426" i="12"/>
  <c r="I12426" i="12"/>
  <c r="H12426" i="12"/>
  <c r="F12426" i="12"/>
  <c r="J12425" i="12"/>
  <c r="I12425" i="12"/>
  <c r="H12425" i="12"/>
  <c r="F12425" i="12"/>
  <c r="J12424" i="12"/>
  <c r="I12424" i="12"/>
  <c r="H12424" i="12"/>
  <c r="F12424" i="12"/>
  <c r="J12423" i="12"/>
  <c r="I12423" i="12"/>
  <c r="H12423" i="12"/>
  <c r="F12423" i="12"/>
  <c r="J12422" i="12"/>
  <c r="I12422" i="12"/>
  <c r="H12422" i="12"/>
  <c r="F12422" i="12"/>
  <c r="J12421" i="12"/>
  <c r="I12421" i="12"/>
  <c r="H12421" i="12"/>
  <c r="F12421" i="12"/>
  <c r="J12420" i="12"/>
  <c r="I12420" i="12"/>
  <c r="H12420" i="12"/>
  <c r="F12420" i="12"/>
  <c r="J12419" i="12"/>
  <c r="I12419" i="12"/>
  <c r="H12419" i="12"/>
  <c r="F12419" i="12"/>
  <c r="J12418" i="12"/>
  <c r="I12418" i="12"/>
  <c r="H12418" i="12"/>
  <c r="F12418" i="12"/>
  <c r="J12417" i="12"/>
  <c r="I12417" i="12"/>
  <c r="H12417" i="12"/>
  <c r="F12417" i="12"/>
  <c r="J12416" i="12"/>
  <c r="I12416" i="12"/>
  <c r="H12416" i="12"/>
  <c r="F12416" i="12"/>
  <c r="J12415" i="12"/>
  <c r="I12415" i="12"/>
  <c r="H12415" i="12"/>
  <c r="F12415" i="12"/>
  <c r="J12414" i="12"/>
  <c r="I12414" i="12"/>
  <c r="H12414" i="12"/>
  <c r="F12414" i="12"/>
  <c r="J12413" i="12"/>
  <c r="I12413" i="12"/>
  <c r="H12413" i="12"/>
  <c r="F12413" i="12"/>
  <c r="J12412" i="12"/>
  <c r="I12412" i="12"/>
  <c r="H12412" i="12"/>
  <c r="F12412" i="12"/>
  <c r="J12411" i="12"/>
  <c r="I12411" i="12"/>
  <c r="H12411" i="12"/>
  <c r="F12411" i="12"/>
  <c r="J12410" i="12"/>
  <c r="I12410" i="12"/>
  <c r="H12410" i="12"/>
  <c r="F12410" i="12"/>
  <c r="J12409" i="12"/>
  <c r="I12409" i="12"/>
  <c r="H12409" i="12"/>
  <c r="F12409" i="12"/>
  <c r="J12408" i="12"/>
  <c r="I12408" i="12"/>
  <c r="H12408" i="12"/>
  <c r="F12408" i="12"/>
  <c r="J12407" i="12"/>
  <c r="I12407" i="12"/>
  <c r="H12407" i="12"/>
  <c r="F12407" i="12"/>
  <c r="J12406" i="12"/>
  <c r="I12406" i="12"/>
  <c r="H12406" i="12"/>
  <c r="F12406" i="12"/>
  <c r="J12405" i="12"/>
  <c r="I12405" i="12"/>
  <c r="H12405" i="12"/>
  <c r="F12405" i="12"/>
  <c r="J12404" i="12"/>
  <c r="I12404" i="12"/>
  <c r="H12404" i="12"/>
  <c r="F12404" i="12"/>
  <c r="J12403" i="12"/>
  <c r="I12403" i="12"/>
  <c r="H12403" i="12"/>
  <c r="F12403" i="12"/>
  <c r="J12402" i="12"/>
  <c r="I12402" i="12"/>
  <c r="H12402" i="12"/>
  <c r="F12402" i="12"/>
  <c r="J12401" i="12"/>
  <c r="I12401" i="12"/>
  <c r="H12401" i="12"/>
  <c r="F12401" i="12"/>
  <c r="J12400" i="12"/>
  <c r="I12400" i="12"/>
  <c r="H12400" i="12"/>
  <c r="F12400" i="12"/>
  <c r="J12399" i="12"/>
  <c r="I12399" i="12"/>
  <c r="H12399" i="12"/>
  <c r="F12399" i="12"/>
  <c r="J12398" i="12"/>
  <c r="I12398" i="12"/>
  <c r="H12398" i="12"/>
  <c r="F12398" i="12"/>
  <c r="J12397" i="12"/>
  <c r="I12397" i="12"/>
  <c r="H12397" i="12"/>
  <c r="F12397" i="12"/>
  <c r="J12396" i="12"/>
  <c r="I12396" i="12"/>
  <c r="H12396" i="12"/>
  <c r="F12396" i="12"/>
  <c r="J12395" i="12"/>
  <c r="I12395" i="12"/>
  <c r="H12395" i="12"/>
  <c r="F12395" i="12"/>
  <c r="J12394" i="12"/>
  <c r="I12394" i="12"/>
  <c r="H12394" i="12"/>
  <c r="F12394" i="12"/>
  <c r="J12393" i="12"/>
  <c r="I12393" i="12"/>
  <c r="H12393" i="12"/>
  <c r="F12393" i="12"/>
  <c r="J12392" i="12"/>
  <c r="I12392" i="12"/>
  <c r="H12392" i="12"/>
  <c r="F12392" i="12"/>
  <c r="J12391" i="12"/>
  <c r="I12391" i="12"/>
  <c r="H12391" i="12"/>
  <c r="F12391" i="12"/>
  <c r="J12390" i="12"/>
  <c r="I12390" i="12"/>
  <c r="H12390" i="12"/>
  <c r="F12390" i="12"/>
  <c r="J12389" i="12"/>
  <c r="I12389" i="12"/>
  <c r="H12389" i="12"/>
  <c r="F12389" i="12"/>
  <c r="J12388" i="12"/>
  <c r="I12388" i="12"/>
  <c r="H12388" i="12"/>
  <c r="F12388" i="12"/>
  <c r="J12387" i="12"/>
  <c r="I12387" i="12"/>
  <c r="H12387" i="12"/>
  <c r="F12387" i="12"/>
  <c r="J12386" i="12"/>
  <c r="I12386" i="12"/>
  <c r="H12386" i="12"/>
  <c r="F12386" i="12"/>
  <c r="J12385" i="12"/>
  <c r="I12385" i="12"/>
  <c r="H12385" i="12"/>
  <c r="F12385" i="12"/>
  <c r="J12384" i="12"/>
  <c r="I12384" i="12"/>
  <c r="H12384" i="12"/>
  <c r="F12384" i="12"/>
  <c r="J12383" i="12"/>
  <c r="I12383" i="12"/>
  <c r="H12383" i="12"/>
  <c r="F12383" i="12"/>
  <c r="J12382" i="12"/>
  <c r="I12382" i="12"/>
  <c r="H12382" i="12"/>
  <c r="F12382" i="12"/>
  <c r="J12381" i="12"/>
  <c r="I12381" i="12"/>
  <c r="H12381" i="12"/>
  <c r="F12381" i="12"/>
  <c r="J12380" i="12"/>
  <c r="I12380" i="12"/>
  <c r="H12380" i="12"/>
  <c r="F12380" i="12"/>
  <c r="J12379" i="12"/>
  <c r="I12379" i="12"/>
  <c r="H12379" i="12"/>
  <c r="F12379" i="12"/>
  <c r="J12378" i="12"/>
  <c r="I12378" i="12"/>
  <c r="H12378" i="12"/>
  <c r="F12378" i="12"/>
  <c r="J12377" i="12"/>
  <c r="I12377" i="12"/>
  <c r="H12377" i="12"/>
  <c r="F12377" i="12"/>
  <c r="J12376" i="12"/>
  <c r="I12376" i="12"/>
  <c r="H12376" i="12"/>
  <c r="F12376" i="12"/>
  <c r="J12375" i="12"/>
  <c r="I12375" i="12"/>
  <c r="H12375" i="12"/>
  <c r="F12375" i="12"/>
  <c r="J12374" i="12"/>
  <c r="I12374" i="12"/>
  <c r="H12374" i="12"/>
  <c r="F12374" i="12"/>
  <c r="J12373" i="12"/>
  <c r="I12373" i="12"/>
  <c r="H12373" i="12"/>
  <c r="F12373" i="12"/>
  <c r="J12372" i="12"/>
  <c r="I12372" i="12"/>
  <c r="H12372" i="12"/>
  <c r="F12372" i="12"/>
  <c r="J12371" i="12"/>
  <c r="I12371" i="12"/>
  <c r="H12371" i="12"/>
  <c r="F12371" i="12"/>
  <c r="J12370" i="12"/>
  <c r="I12370" i="12"/>
  <c r="H12370" i="12"/>
  <c r="F12370" i="12"/>
  <c r="J12369" i="12"/>
  <c r="I12369" i="12"/>
  <c r="H12369" i="12"/>
  <c r="F12369" i="12"/>
  <c r="J12368" i="12"/>
  <c r="I12368" i="12"/>
  <c r="H12368" i="12"/>
  <c r="F12368" i="12"/>
  <c r="J12367" i="12"/>
  <c r="I12367" i="12"/>
  <c r="H12367" i="12"/>
  <c r="F12367" i="12"/>
  <c r="J12366" i="12"/>
  <c r="I12366" i="12"/>
  <c r="H12366" i="12"/>
  <c r="F12366" i="12"/>
  <c r="J12365" i="12"/>
  <c r="I12365" i="12"/>
  <c r="H12365" i="12"/>
  <c r="F12365" i="12"/>
  <c r="J12364" i="12"/>
  <c r="I12364" i="12"/>
  <c r="H12364" i="12"/>
  <c r="F12364" i="12"/>
  <c r="J12363" i="12"/>
  <c r="I12363" i="12"/>
  <c r="H12363" i="12"/>
  <c r="F12363" i="12"/>
  <c r="J12362" i="12"/>
  <c r="I12362" i="12"/>
  <c r="H12362" i="12"/>
  <c r="F12362" i="12"/>
  <c r="J12361" i="12"/>
  <c r="I12361" i="12"/>
  <c r="H12361" i="12"/>
  <c r="F12361" i="12"/>
  <c r="J12360" i="12"/>
  <c r="I12360" i="12"/>
  <c r="H12360" i="12"/>
  <c r="F12360" i="12"/>
  <c r="J12359" i="12"/>
  <c r="I12359" i="12"/>
  <c r="H12359" i="12"/>
  <c r="F12359" i="12"/>
  <c r="J12358" i="12"/>
  <c r="I12358" i="12"/>
  <c r="H12358" i="12"/>
  <c r="F12358" i="12"/>
  <c r="J12357" i="12"/>
  <c r="I12357" i="12"/>
  <c r="H12357" i="12"/>
  <c r="F12357" i="12"/>
  <c r="J12356" i="12"/>
  <c r="I12356" i="12"/>
  <c r="H12356" i="12"/>
  <c r="F12356" i="12"/>
  <c r="J12355" i="12"/>
  <c r="I12355" i="12"/>
  <c r="H12355" i="12"/>
  <c r="F12355" i="12"/>
  <c r="J12354" i="12"/>
  <c r="I12354" i="12"/>
  <c r="H12354" i="12"/>
  <c r="F12354" i="12"/>
  <c r="J12353" i="12"/>
  <c r="I12353" i="12"/>
  <c r="H12353" i="12"/>
  <c r="F12353" i="12"/>
  <c r="J12352" i="12"/>
  <c r="I12352" i="12"/>
  <c r="H12352" i="12"/>
  <c r="F12352" i="12"/>
  <c r="J12351" i="12"/>
  <c r="I12351" i="12"/>
  <c r="H12351" i="12"/>
  <c r="F12351" i="12"/>
  <c r="J12350" i="12"/>
  <c r="I12350" i="12"/>
  <c r="H12350" i="12"/>
  <c r="F12350" i="12"/>
  <c r="J12349" i="12"/>
  <c r="I12349" i="12"/>
  <c r="H12349" i="12"/>
  <c r="F12349" i="12"/>
  <c r="J12348" i="12"/>
  <c r="I12348" i="12"/>
  <c r="H12348" i="12"/>
  <c r="F12348" i="12"/>
  <c r="J12347" i="12"/>
  <c r="I12347" i="12"/>
  <c r="H12347" i="12"/>
  <c r="F12347" i="12"/>
  <c r="J12346" i="12"/>
  <c r="I12346" i="12"/>
  <c r="H12346" i="12"/>
  <c r="F12346" i="12"/>
  <c r="J12345" i="12"/>
  <c r="I12345" i="12"/>
  <c r="H12345" i="12"/>
  <c r="F12345" i="12"/>
  <c r="J12344" i="12"/>
  <c r="I12344" i="12"/>
  <c r="H12344" i="12"/>
  <c r="F12344" i="12"/>
  <c r="J12343" i="12"/>
  <c r="I12343" i="12"/>
  <c r="H12343" i="12"/>
  <c r="F12343" i="12"/>
  <c r="J12342" i="12"/>
  <c r="I12342" i="12"/>
  <c r="H12342" i="12"/>
  <c r="F12342" i="12"/>
  <c r="J12341" i="12"/>
  <c r="I12341" i="12"/>
  <c r="H12341" i="12"/>
  <c r="F12341" i="12"/>
  <c r="J12340" i="12"/>
  <c r="I12340" i="12"/>
  <c r="H12340" i="12"/>
  <c r="F12340" i="12"/>
  <c r="J12339" i="12"/>
  <c r="I12339" i="12"/>
  <c r="H12339" i="12"/>
  <c r="F12339" i="12"/>
  <c r="J12338" i="12"/>
  <c r="I12338" i="12"/>
  <c r="H12338" i="12"/>
  <c r="F12338" i="12"/>
  <c r="J12337" i="12"/>
  <c r="I12337" i="12"/>
  <c r="H12337" i="12"/>
  <c r="F12337" i="12"/>
  <c r="J12336" i="12"/>
  <c r="I12336" i="12"/>
  <c r="H12336" i="12"/>
  <c r="F12336" i="12"/>
  <c r="J12335" i="12"/>
  <c r="I12335" i="12"/>
  <c r="H12335" i="12"/>
  <c r="F12335" i="12"/>
  <c r="J12334" i="12"/>
  <c r="I12334" i="12"/>
  <c r="H12334" i="12"/>
  <c r="F12334" i="12"/>
  <c r="J12333" i="12"/>
  <c r="I12333" i="12"/>
  <c r="H12333" i="12"/>
  <c r="F12333" i="12"/>
  <c r="J12332" i="12"/>
  <c r="I12332" i="12"/>
  <c r="H12332" i="12"/>
  <c r="F12332" i="12"/>
  <c r="J12331" i="12"/>
  <c r="I12331" i="12"/>
  <c r="H12331" i="12"/>
  <c r="F12331" i="12"/>
  <c r="J12330" i="12"/>
  <c r="I12330" i="12"/>
  <c r="H12330" i="12"/>
  <c r="F12330" i="12"/>
  <c r="J12329" i="12"/>
  <c r="I12329" i="12"/>
  <c r="H12329" i="12"/>
  <c r="F12329" i="12"/>
  <c r="J12328" i="12"/>
  <c r="I12328" i="12"/>
  <c r="H12328" i="12"/>
  <c r="F12328" i="12"/>
  <c r="J12327" i="12"/>
  <c r="I12327" i="12"/>
  <c r="H12327" i="12"/>
  <c r="F12327" i="12"/>
  <c r="J12326" i="12"/>
  <c r="I12326" i="12"/>
  <c r="H12326" i="12"/>
  <c r="F12326" i="12"/>
  <c r="J12325" i="12"/>
  <c r="I12325" i="12"/>
  <c r="H12325" i="12"/>
  <c r="F12325" i="12"/>
  <c r="J12324" i="12"/>
  <c r="I12324" i="12"/>
  <c r="H12324" i="12"/>
  <c r="F12324" i="12"/>
  <c r="J12323" i="12"/>
  <c r="I12323" i="12"/>
  <c r="H12323" i="12"/>
  <c r="F12323" i="12"/>
  <c r="J12322" i="12"/>
  <c r="I12322" i="12"/>
  <c r="H12322" i="12"/>
  <c r="F12322" i="12"/>
  <c r="J12321" i="12"/>
  <c r="I12321" i="12"/>
  <c r="H12321" i="12"/>
  <c r="F12321" i="12"/>
  <c r="J12320" i="12"/>
  <c r="I12320" i="12"/>
  <c r="H12320" i="12"/>
  <c r="F12320" i="12"/>
  <c r="J12319" i="12"/>
  <c r="I12319" i="12"/>
  <c r="H12319" i="12"/>
  <c r="F12319" i="12"/>
  <c r="J12318" i="12"/>
  <c r="I12318" i="12"/>
  <c r="H12318" i="12"/>
  <c r="F12318" i="12"/>
  <c r="J12317" i="12"/>
  <c r="I12317" i="12"/>
  <c r="H12317" i="12"/>
  <c r="F12317" i="12"/>
  <c r="J12316" i="12"/>
  <c r="I12316" i="12"/>
  <c r="H12316" i="12"/>
  <c r="F12316" i="12"/>
  <c r="J12315" i="12"/>
  <c r="I12315" i="12"/>
  <c r="H12315" i="12"/>
  <c r="F12315" i="12"/>
  <c r="J12314" i="12"/>
  <c r="I12314" i="12"/>
  <c r="H12314" i="12"/>
  <c r="F12314" i="12"/>
  <c r="J12313" i="12"/>
  <c r="I12313" i="12"/>
  <c r="H12313" i="12"/>
  <c r="F12313" i="12"/>
  <c r="J12312" i="12"/>
  <c r="I12312" i="12"/>
  <c r="H12312" i="12"/>
  <c r="F12312" i="12"/>
  <c r="J12311" i="12"/>
  <c r="I12311" i="12"/>
  <c r="H12311" i="12"/>
  <c r="F12311" i="12"/>
  <c r="J12310" i="12"/>
  <c r="I12310" i="12"/>
  <c r="H12310" i="12"/>
  <c r="F12310" i="12"/>
  <c r="J12309" i="12"/>
  <c r="I12309" i="12"/>
  <c r="H12309" i="12"/>
  <c r="F12309" i="12"/>
  <c r="J12308" i="12"/>
  <c r="I12308" i="12"/>
  <c r="H12308" i="12"/>
  <c r="F12308" i="12"/>
  <c r="J12307" i="12"/>
  <c r="I12307" i="12"/>
  <c r="H12307" i="12"/>
  <c r="F12307" i="12"/>
  <c r="J12306" i="12"/>
  <c r="I12306" i="12"/>
  <c r="H12306" i="12"/>
  <c r="F12306" i="12"/>
  <c r="J12305" i="12"/>
  <c r="I12305" i="12"/>
  <c r="H12305" i="12"/>
  <c r="F12305" i="12"/>
  <c r="J12304" i="12"/>
  <c r="I12304" i="12"/>
  <c r="H12304" i="12"/>
  <c r="F12304" i="12"/>
  <c r="J12303" i="12"/>
  <c r="I12303" i="12"/>
  <c r="H12303" i="12"/>
  <c r="F12303" i="12"/>
  <c r="J12302" i="12"/>
  <c r="I12302" i="12"/>
  <c r="H12302" i="12"/>
  <c r="F12302" i="12"/>
  <c r="J12301" i="12"/>
  <c r="I12301" i="12"/>
  <c r="H12301" i="12"/>
  <c r="F12301" i="12"/>
  <c r="J12300" i="12"/>
  <c r="I12300" i="12"/>
  <c r="H12300" i="12"/>
  <c r="F12300" i="12"/>
  <c r="J12299" i="12"/>
  <c r="I12299" i="12"/>
  <c r="H12299" i="12"/>
  <c r="F12299" i="12"/>
  <c r="J12298" i="12"/>
  <c r="I12298" i="12"/>
  <c r="H12298" i="12"/>
  <c r="F12298" i="12"/>
  <c r="J12297" i="12"/>
  <c r="I12297" i="12"/>
  <c r="H12297" i="12"/>
  <c r="F12297" i="12"/>
  <c r="J12296" i="12"/>
  <c r="I12296" i="12"/>
  <c r="H12296" i="12"/>
  <c r="F12296" i="12"/>
  <c r="J12295" i="12"/>
  <c r="I12295" i="12"/>
  <c r="H12295" i="12"/>
  <c r="F12295" i="12"/>
  <c r="J12294" i="12"/>
  <c r="I12294" i="12"/>
  <c r="H12294" i="12"/>
  <c r="F12294" i="12"/>
  <c r="J12293" i="12"/>
  <c r="I12293" i="12"/>
  <c r="H12293" i="12"/>
  <c r="F12293" i="12"/>
  <c r="J12292" i="12"/>
  <c r="I12292" i="12"/>
  <c r="H12292" i="12"/>
  <c r="F12292" i="12"/>
  <c r="J12291" i="12"/>
  <c r="I12291" i="12"/>
  <c r="H12291" i="12"/>
  <c r="F12291" i="12"/>
  <c r="J12290" i="12"/>
  <c r="I12290" i="12"/>
  <c r="H12290" i="12"/>
  <c r="F12290" i="12"/>
  <c r="J12289" i="12"/>
  <c r="I12289" i="12"/>
  <c r="H12289" i="12"/>
  <c r="F12289" i="12"/>
  <c r="J12288" i="12"/>
  <c r="I12288" i="12"/>
  <c r="H12288" i="12"/>
  <c r="F12288" i="12"/>
  <c r="J12287" i="12"/>
  <c r="I12287" i="12"/>
  <c r="H12287" i="12"/>
  <c r="F12287" i="12"/>
  <c r="J12286" i="12"/>
  <c r="I12286" i="12"/>
  <c r="H12286" i="12"/>
  <c r="F12286" i="12"/>
  <c r="J12285" i="12"/>
  <c r="I12285" i="12"/>
  <c r="H12285" i="12"/>
  <c r="F12285" i="12"/>
  <c r="J12284" i="12"/>
  <c r="I12284" i="12"/>
  <c r="H12284" i="12"/>
  <c r="F12284" i="12"/>
  <c r="J12283" i="12"/>
  <c r="I12283" i="12"/>
  <c r="H12283" i="12"/>
  <c r="F12283" i="12"/>
  <c r="J12282" i="12"/>
  <c r="I12282" i="12"/>
  <c r="H12282" i="12"/>
  <c r="F12282" i="12"/>
  <c r="J12281" i="12"/>
  <c r="I12281" i="12"/>
  <c r="H12281" i="12"/>
  <c r="F12281" i="12"/>
  <c r="J12280" i="12"/>
  <c r="I12280" i="12"/>
  <c r="H12280" i="12"/>
  <c r="F12280" i="12"/>
  <c r="J12279" i="12"/>
  <c r="I12279" i="12"/>
  <c r="H12279" i="12"/>
  <c r="F12279" i="12"/>
  <c r="J12278" i="12"/>
  <c r="I12278" i="12"/>
  <c r="H12278" i="12"/>
  <c r="F12278" i="12"/>
  <c r="J12277" i="12"/>
  <c r="I12277" i="12"/>
  <c r="H12277" i="12"/>
  <c r="F12277" i="12"/>
  <c r="J12276" i="12"/>
  <c r="I12276" i="12"/>
  <c r="H12276" i="12"/>
  <c r="F12276" i="12"/>
  <c r="J12275" i="12"/>
  <c r="I12275" i="12"/>
  <c r="H12275" i="12"/>
  <c r="F12275" i="12"/>
  <c r="J12274" i="12"/>
  <c r="I12274" i="12"/>
  <c r="H12274" i="12"/>
  <c r="F12274" i="12"/>
  <c r="J12273" i="12"/>
  <c r="I12273" i="12"/>
  <c r="H12273" i="12"/>
  <c r="F12273" i="12"/>
  <c r="J12272" i="12"/>
  <c r="I12272" i="12"/>
  <c r="H12272" i="12"/>
  <c r="F12272" i="12"/>
  <c r="J12271" i="12"/>
  <c r="I12271" i="12"/>
  <c r="H12271" i="12"/>
  <c r="F12271" i="12"/>
  <c r="J12270" i="12"/>
  <c r="I12270" i="12"/>
  <c r="H12270" i="12"/>
  <c r="F12270" i="12"/>
  <c r="J12269" i="12"/>
  <c r="I12269" i="12"/>
  <c r="H12269" i="12"/>
  <c r="F12269" i="12"/>
  <c r="J12268" i="12"/>
  <c r="I12268" i="12"/>
  <c r="H12268" i="12"/>
  <c r="F12268" i="12"/>
  <c r="J12267" i="12"/>
  <c r="I12267" i="12"/>
  <c r="H12267" i="12"/>
  <c r="F12267" i="12"/>
  <c r="J12266" i="12"/>
  <c r="I12266" i="12"/>
  <c r="H12266" i="12"/>
  <c r="F12266" i="12"/>
  <c r="J12265" i="12"/>
  <c r="I12265" i="12"/>
  <c r="H12265" i="12"/>
  <c r="F12265" i="12"/>
  <c r="J12264" i="12"/>
  <c r="I12264" i="12"/>
  <c r="H12264" i="12"/>
  <c r="F12264" i="12"/>
  <c r="J12263" i="12"/>
  <c r="I12263" i="12"/>
  <c r="H12263" i="12"/>
  <c r="F12263" i="12"/>
  <c r="J12262" i="12"/>
  <c r="I12262" i="12"/>
  <c r="H12262" i="12"/>
  <c r="F12262" i="12"/>
  <c r="J12261" i="12"/>
  <c r="I12261" i="12"/>
  <c r="H12261" i="12"/>
  <c r="F12261" i="12"/>
  <c r="J12260" i="12"/>
  <c r="I12260" i="12"/>
  <c r="H12260" i="12"/>
  <c r="F12260" i="12"/>
  <c r="J12259" i="12"/>
  <c r="I12259" i="12"/>
  <c r="H12259" i="12"/>
  <c r="F12259" i="12"/>
  <c r="J12258" i="12"/>
  <c r="I12258" i="12"/>
  <c r="H12258" i="12"/>
  <c r="F12258" i="12"/>
  <c r="J12257" i="12"/>
  <c r="I12257" i="12"/>
  <c r="H12257" i="12"/>
  <c r="F12257" i="12"/>
  <c r="J12256" i="12"/>
  <c r="I12256" i="12"/>
  <c r="H12256" i="12"/>
  <c r="F12256" i="12"/>
  <c r="J12255" i="12"/>
  <c r="I12255" i="12"/>
  <c r="H12255" i="12"/>
  <c r="F12255" i="12"/>
  <c r="J12254" i="12"/>
  <c r="I12254" i="12"/>
  <c r="H12254" i="12"/>
  <c r="F12254" i="12"/>
  <c r="J12253" i="12"/>
  <c r="I12253" i="12"/>
  <c r="H12253" i="12"/>
  <c r="F12253" i="12"/>
  <c r="J12252" i="12"/>
  <c r="I12252" i="12"/>
  <c r="H12252" i="12"/>
  <c r="F12252" i="12"/>
  <c r="J12251" i="12"/>
  <c r="I12251" i="12"/>
  <c r="H12251" i="12"/>
  <c r="F12251" i="12"/>
  <c r="J12250" i="12"/>
  <c r="I12250" i="12"/>
  <c r="H12250" i="12"/>
  <c r="F12250" i="12"/>
  <c r="J12249" i="12"/>
  <c r="I12249" i="12"/>
  <c r="H12249" i="12"/>
  <c r="F12249" i="12"/>
  <c r="J12248" i="12"/>
  <c r="I12248" i="12"/>
  <c r="H12248" i="12"/>
  <c r="F12248" i="12"/>
  <c r="J12247" i="12"/>
  <c r="I12247" i="12"/>
  <c r="H12247" i="12"/>
  <c r="F12247" i="12"/>
  <c r="J12246" i="12"/>
  <c r="I12246" i="12"/>
  <c r="H12246" i="12"/>
  <c r="F12246" i="12"/>
  <c r="J12245" i="12"/>
  <c r="I12245" i="12"/>
  <c r="H12245" i="12"/>
  <c r="F12245" i="12"/>
  <c r="J12244" i="12"/>
  <c r="I12244" i="12"/>
  <c r="H12244" i="12"/>
  <c r="F12244" i="12"/>
  <c r="J12243" i="12"/>
  <c r="I12243" i="12"/>
  <c r="H12243" i="12"/>
  <c r="F12243" i="12"/>
  <c r="J12242" i="12"/>
  <c r="I12242" i="12"/>
  <c r="H12242" i="12"/>
  <c r="F12242" i="12"/>
  <c r="J12241" i="12"/>
  <c r="I12241" i="12"/>
  <c r="H12241" i="12"/>
  <c r="F12241" i="12"/>
  <c r="J12240" i="12"/>
  <c r="I12240" i="12"/>
  <c r="H12240" i="12"/>
  <c r="F12240" i="12"/>
  <c r="J12239" i="12"/>
  <c r="I12239" i="12"/>
  <c r="H12239" i="12"/>
  <c r="F12239" i="12"/>
  <c r="J12238" i="12"/>
  <c r="I12238" i="12"/>
  <c r="H12238" i="12"/>
  <c r="F12238" i="12"/>
  <c r="J12237" i="12"/>
  <c r="I12237" i="12"/>
  <c r="H12237" i="12"/>
  <c r="F12237" i="12"/>
  <c r="J12236" i="12"/>
  <c r="I12236" i="12"/>
  <c r="H12236" i="12"/>
  <c r="F12236" i="12"/>
  <c r="J12235" i="12"/>
  <c r="I12235" i="12"/>
  <c r="H12235" i="12"/>
  <c r="F12235" i="12"/>
  <c r="J12234" i="12"/>
  <c r="I12234" i="12"/>
  <c r="H12234" i="12"/>
  <c r="F12234" i="12"/>
  <c r="J12233" i="12"/>
  <c r="I12233" i="12"/>
  <c r="H12233" i="12"/>
  <c r="F12233" i="12"/>
  <c r="J12232" i="12"/>
  <c r="I12232" i="12"/>
  <c r="H12232" i="12"/>
  <c r="F12232" i="12"/>
  <c r="J12231" i="12"/>
  <c r="I12231" i="12"/>
  <c r="H12231" i="12"/>
  <c r="F12231" i="12"/>
  <c r="J12230" i="12"/>
  <c r="I12230" i="12"/>
  <c r="H12230" i="12"/>
  <c r="F12230" i="12"/>
  <c r="J12229" i="12"/>
  <c r="I12229" i="12"/>
  <c r="H12229" i="12"/>
  <c r="F12229" i="12"/>
  <c r="J12228" i="12"/>
  <c r="I12228" i="12"/>
  <c r="H12228" i="12"/>
  <c r="F12228" i="12"/>
  <c r="J12227" i="12"/>
  <c r="I12227" i="12"/>
  <c r="H12227" i="12"/>
  <c r="F12227" i="12"/>
  <c r="J12226" i="12"/>
  <c r="I12226" i="12"/>
  <c r="H12226" i="12"/>
  <c r="F12226" i="12"/>
  <c r="J12225" i="12"/>
  <c r="I12225" i="12"/>
  <c r="H12225" i="12"/>
  <c r="F12225" i="12"/>
  <c r="J12224" i="12"/>
  <c r="I12224" i="12"/>
  <c r="H12224" i="12"/>
  <c r="F12224" i="12"/>
  <c r="J12223" i="12"/>
  <c r="I12223" i="12"/>
  <c r="H12223" i="12"/>
  <c r="F12223" i="12"/>
  <c r="J12222" i="12"/>
  <c r="I12222" i="12"/>
  <c r="H12222" i="12"/>
  <c r="F12222" i="12"/>
  <c r="J12221" i="12"/>
  <c r="I12221" i="12"/>
  <c r="H12221" i="12"/>
  <c r="F12221" i="12"/>
  <c r="J12220" i="12"/>
  <c r="I12220" i="12"/>
  <c r="H12220" i="12"/>
  <c r="F12220" i="12"/>
  <c r="J12219" i="12"/>
  <c r="I12219" i="12"/>
  <c r="H12219" i="12"/>
  <c r="F12219" i="12"/>
  <c r="J12218" i="12"/>
  <c r="I12218" i="12"/>
  <c r="H12218" i="12"/>
  <c r="F12218" i="12"/>
  <c r="J12217" i="12"/>
  <c r="I12217" i="12"/>
  <c r="H12217" i="12"/>
  <c r="F12217" i="12"/>
  <c r="J12216" i="12"/>
  <c r="I12216" i="12"/>
  <c r="H12216" i="12"/>
  <c r="F12216" i="12"/>
  <c r="J12215" i="12"/>
  <c r="I12215" i="12"/>
  <c r="H12215" i="12"/>
  <c r="F12215" i="12"/>
  <c r="J12214" i="12"/>
  <c r="I12214" i="12"/>
  <c r="H12214" i="12"/>
  <c r="F12214" i="12"/>
  <c r="J12213" i="12"/>
  <c r="I12213" i="12"/>
  <c r="H12213" i="12"/>
  <c r="F12213" i="12"/>
  <c r="J12212" i="12"/>
  <c r="I12212" i="12"/>
  <c r="H12212" i="12"/>
  <c r="F12212" i="12"/>
  <c r="J12211" i="12"/>
  <c r="I12211" i="12"/>
  <c r="H12211" i="12"/>
  <c r="F12211" i="12"/>
  <c r="J12210" i="12"/>
  <c r="I12210" i="12"/>
  <c r="H12210" i="12"/>
  <c r="F12210" i="12"/>
  <c r="J12209" i="12"/>
  <c r="I12209" i="12"/>
  <c r="H12209" i="12"/>
  <c r="F12209" i="12"/>
  <c r="J12208" i="12"/>
  <c r="I12208" i="12"/>
  <c r="H12208" i="12"/>
  <c r="F12208" i="12"/>
  <c r="J12207" i="12"/>
  <c r="I12207" i="12"/>
  <c r="H12207" i="12"/>
  <c r="F12207" i="12"/>
  <c r="J12206" i="12"/>
  <c r="I12206" i="12"/>
  <c r="H12206" i="12"/>
  <c r="F12206" i="12"/>
  <c r="J12205" i="12"/>
  <c r="I12205" i="12"/>
  <c r="H12205" i="12"/>
  <c r="F12205" i="12"/>
  <c r="J12204" i="12"/>
  <c r="I12204" i="12"/>
  <c r="H12204" i="12"/>
  <c r="F12204" i="12"/>
  <c r="J12203" i="12"/>
  <c r="I12203" i="12"/>
  <c r="H12203" i="12"/>
  <c r="F12203" i="12"/>
  <c r="J12202" i="12"/>
  <c r="I12202" i="12"/>
  <c r="H12202" i="12"/>
  <c r="F12202" i="12"/>
  <c r="J12201" i="12"/>
  <c r="I12201" i="12"/>
  <c r="H12201" i="12"/>
  <c r="F12201" i="12"/>
  <c r="J12200" i="12"/>
  <c r="I12200" i="12"/>
  <c r="H12200" i="12"/>
  <c r="F12200" i="12"/>
  <c r="J12199" i="12"/>
  <c r="I12199" i="12"/>
  <c r="H12199" i="12"/>
  <c r="F12199" i="12"/>
  <c r="J12198" i="12"/>
  <c r="I12198" i="12"/>
  <c r="H12198" i="12"/>
  <c r="F12198" i="12"/>
  <c r="J12197" i="12"/>
  <c r="I12197" i="12"/>
  <c r="H12197" i="12"/>
  <c r="F12197" i="12"/>
  <c r="J12196" i="12"/>
  <c r="I12196" i="12"/>
  <c r="H12196" i="12"/>
  <c r="F12196" i="12"/>
  <c r="J12195" i="12"/>
  <c r="I12195" i="12"/>
  <c r="H12195" i="12"/>
  <c r="F12195" i="12"/>
  <c r="J12194" i="12"/>
  <c r="I12194" i="12"/>
  <c r="H12194" i="12"/>
  <c r="F12194" i="12"/>
  <c r="J12193" i="12"/>
  <c r="I12193" i="12"/>
  <c r="H12193" i="12"/>
  <c r="F12193" i="12"/>
  <c r="J12192" i="12"/>
  <c r="I12192" i="12"/>
  <c r="H12192" i="12"/>
  <c r="F12192" i="12"/>
  <c r="J12191" i="12"/>
  <c r="I12191" i="12"/>
  <c r="H12191" i="12"/>
  <c r="F12191" i="12"/>
  <c r="J12190" i="12"/>
  <c r="I12190" i="12"/>
  <c r="H12190" i="12"/>
  <c r="F12190" i="12"/>
  <c r="J12189" i="12"/>
  <c r="I12189" i="12"/>
  <c r="H12189" i="12"/>
  <c r="F12189" i="12"/>
  <c r="J12188" i="12"/>
  <c r="I12188" i="12"/>
  <c r="H12188" i="12"/>
  <c r="F12188" i="12"/>
  <c r="J12187" i="12"/>
  <c r="I12187" i="12"/>
  <c r="H12187" i="12"/>
  <c r="F12187" i="12"/>
  <c r="J12186" i="12"/>
  <c r="I12186" i="12"/>
  <c r="H12186" i="12"/>
  <c r="F12186" i="12"/>
  <c r="J12185" i="12"/>
  <c r="I12185" i="12"/>
  <c r="H12185" i="12"/>
  <c r="F12185" i="12"/>
  <c r="J12184" i="12"/>
  <c r="I12184" i="12"/>
  <c r="H12184" i="12"/>
  <c r="F12184" i="12"/>
  <c r="J12183" i="12"/>
  <c r="I12183" i="12"/>
  <c r="H12183" i="12"/>
  <c r="F12183" i="12"/>
  <c r="J12182" i="12"/>
  <c r="I12182" i="12"/>
  <c r="H12182" i="12"/>
  <c r="F12182" i="12"/>
  <c r="J12181" i="12"/>
  <c r="I12181" i="12"/>
  <c r="H12181" i="12"/>
  <c r="F12181" i="12"/>
  <c r="J12180" i="12"/>
  <c r="I12180" i="12"/>
  <c r="H12180" i="12"/>
  <c r="F12180" i="12"/>
  <c r="J12179" i="12"/>
  <c r="I12179" i="12"/>
  <c r="H12179" i="12"/>
  <c r="F12179" i="12"/>
  <c r="J12178" i="12"/>
  <c r="I12178" i="12"/>
  <c r="H12178" i="12"/>
  <c r="F12178" i="12"/>
  <c r="J12177" i="12"/>
  <c r="I12177" i="12"/>
  <c r="H12177" i="12"/>
  <c r="F12177" i="12"/>
  <c r="J12176" i="12"/>
  <c r="I12176" i="12"/>
  <c r="H12176" i="12"/>
  <c r="F12176" i="12"/>
  <c r="J12175" i="12"/>
  <c r="I12175" i="12"/>
  <c r="H12175" i="12"/>
  <c r="F12175" i="12"/>
  <c r="J12174" i="12"/>
  <c r="I12174" i="12"/>
  <c r="H12174" i="12"/>
  <c r="F12174" i="12"/>
  <c r="J12173" i="12"/>
  <c r="I12173" i="12"/>
  <c r="H12173" i="12"/>
  <c r="F12173" i="12"/>
  <c r="J12172" i="12"/>
  <c r="I12172" i="12"/>
  <c r="H12172" i="12"/>
  <c r="F12172" i="12"/>
  <c r="J12171" i="12"/>
  <c r="I12171" i="12"/>
  <c r="H12171" i="12"/>
  <c r="F12171" i="12"/>
  <c r="J12170" i="12"/>
  <c r="I12170" i="12"/>
  <c r="H12170" i="12"/>
  <c r="F12170" i="12"/>
  <c r="J12169" i="12"/>
  <c r="I12169" i="12"/>
  <c r="H12169" i="12"/>
  <c r="F12169" i="12"/>
  <c r="J12168" i="12"/>
  <c r="I12168" i="12"/>
  <c r="H12168" i="12"/>
  <c r="F12168" i="12"/>
  <c r="J12167" i="12"/>
  <c r="I12167" i="12"/>
  <c r="H12167" i="12"/>
  <c r="F12167" i="12"/>
  <c r="J12166" i="12"/>
  <c r="I12166" i="12"/>
  <c r="H12166" i="12"/>
  <c r="F12166" i="12"/>
  <c r="J12165" i="12"/>
  <c r="I12165" i="12"/>
  <c r="H12165" i="12"/>
  <c r="F12165" i="12"/>
  <c r="J12164" i="12"/>
  <c r="I12164" i="12"/>
  <c r="H12164" i="12"/>
  <c r="F12164" i="12"/>
  <c r="J12163" i="12"/>
  <c r="I12163" i="12"/>
  <c r="H12163" i="12"/>
  <c r="F12163" i="12"/>
  <c r="J12162" i="12"/>
  <c r="I12162" i="12"/>
  <c r="H12162" i="12"/>
  <c r="F12162" i="12"/>
  <c r="J12161" i="12"/>
  <c r="I12161" i="12"/>
  <c r="H12161" i="12"/>
  <c r="F12161" i="12"/>
  <c r="J12160" i="12"/>
  <c r="I12160" i="12"/>
  <c r="H12160" i="12"/>
  <c r="F12160" i="12"/>
  <c r="J12159" i="12"/>
  <c r="I12159" i="12"/>
  <c r="H12159" i="12"/>
  <c r="F12159" i="12"/>
  <c r="J12158" i="12"/>
  <c r="I12158" i="12"/>
  <c r="H12158" i="12"/>
  <c r="F12158" i="12"/>
  <c r="J12157" i="12"/>
  <c r="I12157" i="12"/>
  <c r="H12157" i="12"/>
  <c r="F12157" i="12"/>
  <c r="J12156" i="12"/>
  <c r="I12156" i="12"/>
  <c r="H12156" i="12"/>
  <c r="F12156" i="12"/>
  <c r="J12155" i="12"/>
  <c r="I12155" i="12"/>
  <c r="H12155" i="12"/>
  <c r="F12155" i="12"/>
  <c r="J12154" i="12"/>
  <c r="I12154" i="12"/>
  <c r="H12154" i="12"/>
  <c r="F12154" i="12"/>
  <c r="J12153" i="12"/>
  <c r="I12153" i="12"/>
  <c r="H12153" i="12"/>
  <c r="F12153" i="12"/>
  <c r="J12152" i="12"/>
  <c r="I12152" i="12"/>
  <c r="H12152" i="12"/>
  <c r="F12152" i="12"/>
  <c r="J12151" i="12"/>
  <c r="I12151" i="12"/>
  <c r="H12151" i="12"/>
  <c r="F12151" i="12"/>
  <c r="J12150" i="12"/>
  <c r="I12150" i="12"/>
  <c r="H12150" i="12"/>
  <c r="F12150" i="12"/>
  <c r="J12149" i="12"/>
  <c r="I12149" i="12"/>
  <c r="H12149" i="12"/>
  <c r="F12149" i="12"/>
  <c r="J12148" i="12"/>
  <c r="I12148" i="12"/>
  <c r="H12148" i="12"/>
  <c r="F12148" i="12"/>
  <c r="J12147" i="12"/>
  <c r="I12147" i="12"/>
  <c r="H12147" i="12"/>
  <c r="F12147" i="12"/>
  <c r="J12146" i="12"/>
  <c r="I12146" i="12"/>
  <c r="H12146" i="12"/>
  <c r="F12146" i="12"/>
  <c r="J12145" i="12"/>
  <c r="I12145" i="12"/>
  <c r="H12145" i="12"/>
  <c r="F12145" i="12"/>
  <c r="J12144" i="12"/>
  <c r="I12144" i="12"/>
  <c r="H12144" i="12"/>
  <c r="F12144" i="12"/>
  <c r="J12143" i="12"/>
  <c r="I12143" i="12"/>
  <c r="H12143" i="12"/>
  <c r="F12143" i="12"/>
  <c r="J12142" i="12"/>
  <c r="I12142" i="12"/>
  <c r="H12142" i="12"/>
  <c r="F12142" i="12"/>
  <c r="J12141" i="12"/>
  <c r="I12141" i="12"/>
  <c r="H12141" i="12"/>
  <c r="F12141" i="12"/>
  <c r="J12140" i="12"/>
  <c r="I12140" i="12"/>
  <c r="H12140" i="12"/>
  <c r="F12140" i="12"/>
  <c r="J12139" i="12"/>
  <c r="I12139" i="12"/>
  <c r="H12139" i="12"/>
  <c r="F12139" i="12"/>
  <c r="J12138" i="12"/>
  <c r="I12138" i="12"/>
  <c r="H12138" i="12"/>
  <c r="F12138" i="12"/>
  <c r="J12137" i="12"/>
  <c r="I12137" i="12"/>
  <c r="H12137" i="12"/>
  <c r="F12137" i="12"/>
  <c r="J12136" i="12"/>
  <c r="I12136" i="12"/>
  <c r="H12136" i="12"/>
  <c r="F12136" i="12"/>
  <c r="J12135" i="12"/>
  <c r="I12135" i="12"/>
  <c r="H12135" i="12"/>
  <c r="F12135" i="12"/>
  <c r="J12134" i="12"/>
  <c r="I12134" i="12"/>
  <c r="H12134" i="12"/>
  <c r="F12134" i="12"/>
  <c r="J12133" i="12"/>
  <c r="I12133" i="12"/>
  <c r="H12133" i="12"/>
  <c r="F12133" i="12"/>
  <c r="J12132" i="12"/>
  <c r="I12132" i="12"/>
  <c r="H12132" i="12"/>
  <c r="F12132" i="12"/>
  <c r="J12131" i="12"/>
  <c r="I12131" i="12"/>
  <c r="H12131" i="12"/>
  <c r="F12131" i="12"/>
  <c r="J12130" i="12"/>
  <c r="I12130" i="12"/>
  <c r="H12130" i="12"/>
  <c r="F12130" i="12"/>
  <c r="J12129" i="12"/>
  <c r="I12129" i="12"/>
  <c r="H12129" i="12"/>
  <c r="F12129" i="12"/>
  <c r="J12128" i="12"/>
  <c r="I12128" i="12"/>
  <c r="H12128" i="12"/>
  <c r="F12128" i="12"/>
  <c r="J12127" i="12"/>
  <c r="I12127" i="12"/>
  <c r="H12127" i="12"/>
  <c r="F12127" i="12"/>
  <c r="J12126" i="12"/>
  <c r="I12126" i="12"/>
  <c r="H12126" i="12"/>
  <c r="F12126" i="12"/>
  <c r="J12125" i="12"/>
  <c r="I12125" i="12"/>
  <c r="H12125" i="12"/>
  <c r="F12125" i="12"/>
  <c r="J12124" i="12"/>
  <c r="I12124" i="12"/>
  <c r="H12124" i="12"/>
  <c r="F12124" i="12"/>
  <c r="J12123" i="12"/>
  <c r="I12123" i="12"/>
  <c r="H12123" i="12"/>
  <c r="F12123" i="12"/>
  <c r="J12122" i="12"/>
  <c r="I12122" i="12"/>
  <c r="H12122" i="12"/>
  <c r="F12122" i="12"/>
  <c r="J12121" i="12"/>
  <c r="I12121" i="12"/>
  <c r="H12121" i="12"/>
  <c r="F12121" i="12"/>
  <c r="J12120" i="12"/>
  <c r="I12120" i="12"/>
  <c r="H12120" i="12"/>
  <c r="F12120" i="12"/>
  <c r="J12119" i="12"/>
  <c r="I12119" i="12"/>
  <c r="H12119" i="12"/>
  <c r="F12119" i="12"/>
  <c r="J12118" i="12"/>
  <c r="I12118" i="12"/>
  <c r="H12118" i="12"/>
  <c r="F12118" i="12"/>
  <c r="J12117" i="12"/>
  <c r="I12117" i="12"/>
  <c r="H12117" i="12"/>
  <c r="F12117" i="12"/>
  <c r="J12116" i="12"/>
  <c r="I12116" i="12"/>
  <c r="H12116" i="12"/>
  <c r="F12116" i="12"/>
  <c r="J12115" i="12"/>
  <c r="I12115" i="12"/>
  <c r="H12115" i="12"/>
  <c r="F12115" i="12"/>
  <c r="J12114" i="12"/>
  <c r="I12114" i="12"/>
  <c r="H12114" i="12"/>
  <c r="F12114" i="12"/>
  <c r="J12113" i="12"/>
  <c r="I12113" i="12"/>
  <c r="H12113" i="12"/>
  <c r="F12113" i="12"/>
  <c r="J12112" i="12"/>
  <c r="I12112" i="12"/>
  <c r="H12112" i="12"/>
  <c r="F12112" i="12"/>
  <c r="J12111" i="12"/>
  <c r="I12111" i="12"/>
  <c r="H12111" i="12"/>
  <c r="F12111" i="12"/>
  <c r="J12110" i="12"/>
  <c r="I12110" i="12"/>
  <c r="H12110" i="12"/>
  <c r="F12110" i="12"/>
  <c r="J12109" i="12"/>
  <c r="I12109" i="12"/>
  <c r="H12109" i="12"/>
  <c r="F12109" i="12"/>
  <c r="J12108" i="12"/>
  <c r="I12108" i="12"/>
  <c r="H12108" i="12"/>
  <c r="F12108" i="12"/>
  <c r="J12107" i="12"/>
  <c r="I12107" i="12"/>
  <c r="H12107" i="12"/>
  <c r="F12107" i="12"/>
  <c r="J12106" i="12"/>
  <c r="I12106" i="12"/>
  <c r="H12106" i="12"/>
  <c r="F12106" i="12"/>
  <c r="J12105" i="12"/>
  <c r="I12105" i="12"/>
  <c r="H12105" i="12"/>
  <c r="F12105" i="12"/>
  <c r="J12104" i="12"/>
  <c r="I12104" i="12"/>
  <c r="H12104" i="12"/>
  <c r="F12104" i="12"/>
  <c r="J12103" i="12"/>
  <c r="I12103" i="12"/>
  <c r="H12103" i="12"/>
  <c r="F12103" i="12"/>
  <c r="J12102" i="12"/>
  <c r="I12102" i="12"/>
  <c r="H12102" i="12"/>
  <c r="F12102" i="12"/>
  <c r="J12101" i="12"/>
  <c r="I12101" i="12"/>
  <c r="H12101" i="12"/>
  <c r="F12101" i="12"/>
  <c r="J12100" i="12"/>
  <c r="I12100" i="12"/>
  <c r="H12100" i="12"/>
  <c r="F12100" i="12"/>
  <c r="J12099" i="12"/>
  <c r="I12099" i="12"/>
  <c r="H12099" i="12"/>
  <c r="F12099" i="12"/>
  <c r="J12098" i="12"/>
  <c r="I12098" i="12"/>
  <c r="H12098" i="12"/>
  <c r="F12098" i="12"/>
  <c r="J12097" i="12"/>
  <c r="I12097" i="12"/>
  <c r="H12097" i="12"/>
  <c r="F12097" i="12"/>
  <c r="J12096" i="12"/>
  <c r="I12096" i="12"/>
  <c r="H12096" i="12"/>
  <c r="F12096" i="12"/>
  <c r="J12095" i="12"/>
  <c r="I12095" i="12"/>
  <c r="H12095" i="12"/>
  <c r="F12095" i="12"/>
  <c r="J12094" i="12"/>
  <c r="I12094" i="12"/>
  <c r="H12094" i="12"/>
  <c r="F12094" i="12"/>
  <c r="J12093" i="12"/>
  <c r="I12093" i="12"/>
  <c r="H12093" i="12"/>
  <c r="F12093" i="12"/>
  <c r="J12092" i="12"/>
  <c r="I12092" i="12"/>
  <c r="H12092" i="12"/>
  <c r="F12092" i="12"/>
  <c r="J12091" i="12"/>
  <c r="I12091" i="12"/>
  <c r="H12091" i="12"/>
  <c r="F12091" i="12"/>
  <c r="J12090" i="12"/>
  <c r="I12090" i="12"/>
  <c r="H12090" i="12"/>
  <c r="F12090" i="12"/>
  <c r="J12089" i="12"/>
  <c r="I12089" i="12"/>
  <c r="H12089" i="12"/>
  <c r="F12089" i="12"/>
  <c r="J12088" i="12"/>
  <c r="I12088" i="12"/>
  <c r="H12088" i="12"/>
  <c r="F12088" i="12"/>
  <c r="J12087" i="12"/>
  <c r="I12087" i="12"/>
  <c r="H12087" i="12"/>
  <c r="F12087" i="12"/>
  <c r="J12086" i="12"/>
  <c r="I12086" i="12"/>
  <c r="H12086" i="12"/>
  <c r="F12086" i="12"/>
  <c r="J12085" i="12"/>
  <c r="I12085" i="12"/>
  <c r="H12085" i="12"/>
  <c r="F12085" i="12"/>
  <c r="J12084" i="12"/>
  <c r="I12084" i="12"/>
  <c r="H12084" i="12"/>
  <c r="F12084" i="12"/>
  <c r="J12083" i="12"/>
  <c r="I12083" i="12"/>
  <c r="H12083" i="12"/>
  <c r="F12083" i="12"/>
  <c r="J12082" i="12"/>
  <c r="I12082" i="12"/>
  <c r="H12082" i="12"/>
  <c r="F12082" i="12"/>
  <c r="J12081" i="12"/>
  <c r="I12081" i="12"/>
  <c r="H12081" i="12"/>
  <c r="F12081" i="12"/>
  <c r="J12080" i="12"/>
  <c r="I12080" i="12"/>
  <c r="H12080" i="12"/>
  <c r="F12080" i="12"/>
  <c r="J12079" i="12"/>
  <c r="I12079" i="12"/>
  <c r="H12079" i="12"/>
  <c r="F12079" i="12"/>
  <c r="J12078" i="12"/>
  <c r="I12078" i="12"/>
  <c r="H12078" i="12"/>
  <c r="F12078" i="12"/>
  <c r="J12077" i="12"/>
  <c r="I12077" i="12"/>
  <c r="H12077" i="12"/>
  <c r="F12077" i="12"/>
  <c r="J12076" i="12"/>
  <c r="I12076" i="12"/>
  <c r="H12076" i="12"/>
  <c r="F12076" i="12"/>
  <c r="J12075" i="12"/>
  <c r="I12075" i="12"/>
  <c r="H12075" i="12"/>
  <c r="F12075" i="12"/>
  <c r="J12074" i="12"/>
  <c r="I12074" i="12"/>
  <c r="H12074" i="12"/>
  <c r="F12074" i="12"/>
  <c r="J12073" i="12"/>
  <c r="I12073" i="12"/>
  <c r="H12073" i="12"/>
  <c r="F12073" i="12"/>
  <c r="J12072" i="12"/>
  <c r="I12072" i="12"/>
  <c r="H12072" i="12"/>
  <c r="F12072" i="12"/>
  <c r="J12071" i="12"/>
  <c r="I12071" i="12"/>
  <c r="H12071" i="12"/>
  <c r="F12071" i="12"/>
  <c r="J12070" i="12"/>
  <c r="I12070" i="12"/>
  <c r="H12070" i="12"/>
  <c r="F12070" i="12"/>
  <c r="J12069" i="12"/>
  <c r="I12069" i="12"/>
  <c r="H12069" i="12"/>
  <c r="F12069" i="12"/>
  <c r="J12068" i="12"/>
  <c r="I12068" i="12"/>
  <c r="H12068" i="12"/>
  <c r="F12068" i="12"/>
  <c r="J12067" i="12"/>
  <c r="I12067" i="12"/>
  <c r="H12067" i="12"/>
  <c r="F12067" i="12"/>
  <c r="J12066" i="12"/>
  <c r="I12066" i="12"/>
  <c r="H12066" i="12"/>
  <c r="F12066" i="12"/>
  <c r="J12065" i="12"/>
  <c r="I12065" i="12"/>
  <c r="H12065" i="12"/>
  <c r="F12065" i="12"/>
  <c r="J12064" i="12"/>
  <c r="I12064" i="12"/>
  <c r="H12064" i="12"/>
  <c r="F12064" i="12"/>
  <c r="J12063" i="12"/>
  <c r="I12063" i="12"/>
  <c r="H12063" i="12"/>
  <c r="F12063" i="12"/>
  <c r="J12062" i="12"/>
  <c r="I12062" i="12"/>
  <c r="H12062" i="12"/>
  <c r="F12062" i="12"/>
  <c r="J12061" i="12"/>
  <c r="I12061" i="12"/>
  <c r="H12061" i="12"/>
  <c r="F12061" i="12"/>
  <c r="J12060" i="12"/>
  <c r="I12060" i="12"/>
  <c r="H12060" i="12"/>
  <c r="F12060" i="12"/>
  <c r="J12059" i="12"/>
  <c r="I12059" i="12"/>
  <c r="H12059" i="12"/>
  <c r="F12059" i="12"/>
  <c r="J12058" i="12"/>
  <c r="I12058" i="12"/>
  <c r="H12058" i="12"/>
  <c r="F12058" i="12"/>
  <c r="J12057" i="12"/>
  <c r="I12057" i="12"/>
  <c r="H12057" i="12"/>
  <c r="F12057" i="12"/>
  <c r="J12056" i="12"/>
  <c r="I12056" i="12"/>
  <c r="H12056" i="12"/>
  <c r="F12056" i="12"/>
  <c r="J12055" i="12"/>
  <c r="I12055" i="12"/>
  <c r="H12055" i="12"/>
  <c r="F12055" i="12"/>
  <c r="J12054" i="12"/>
  <c r="I12054" i="12"/>
  <c r="H12054" i="12"/>
  <c r="F12054" i="12"/>
  <c r="J12053" i="12"/>
  <c r="I12053" i="12"/>
  <c r="H12053" i="12"/>
  <c r="F12053" i="12"/>
  <c r="J12052" i="12"/>
  <c r="I12052" i="12"/>
  <c r="H12052" i="12"/>
  <c r="F12052" i="12"/>
  <c r="J12051" i="12"/>
  <c r="I12051" i="12"/>
  <c r="H12051" i="12"/>
  <c r="F12051" i="12"/>
  <c r="J12050" i="12"/>
  <c r="I12050" i="12"/>
  <c r="H12050" i="12"/>
  <c r="F12050" i="12"/>
  <c r="J12049" i="12"/>
  <c r="I12049" i="12"/>
  <c r="H12049" i="12"/>
  <c r="F12049" i="12"/>
  <c r="J12048" i="12"/>
  <c r="I12048" i="12"/>
  <c r="H12048" i="12"/>
  <c r="F12048" i="12"/>
  <c r="J12047" i="12"/>
  <c r="I12047" i="12"/>
  <c r="H12047" i="12"/>
  <c r="F12047" i="12"/>
  <c r="J12046" i="12"/>
  <c r="I12046" i="12"/>
  <c r="H12046" i="12"/>
  <c r="F12046" i="12"/>
  <c r="J12045" i="12"/>
  <c r="I12045" i="12"/>
  <c r="H12045" i="12"/>
  <c r="F12045" i="12"/>
  <c r="J12044" i="12"/>
  <c r="I12044" i="12"/>
  <c r="H12044" i="12"/>
  <c r="F12044" i="12"/>
  <c r="J12043" i="12"/>
  <c r="I12043" i="12"/>
  <c r="H12043" i="12"/>
  <c r="F12043" i="12"/>
  <c r="J12042" i="12"/>
  <c r="I12042" i="12"/>
  <c r="H12042" i="12"/>
  <c r="F12042" i="12"/>
  <c r="J12041" i="12"/>
  <c r="I12041" i="12"/>
  <c r="H12041" i="12"/>
  <c r="F12041" i="12"/>
  <c r="J12040" i="12"/>
  <c r="I12040" i="12"/>
  <c r="H12040" i="12"/>
  <c r="F12040" i="12"/>
  <c r="J12039" i="12"/>
  <c r="I12039" i="12"/>
  <c r="H12039" i="12"/>
  <c r="F12039" i="12"/>
  <c r="J12038" i="12"/>
  <c r="I12038" i="12"/>
  <c r="H12038" i="12"/>
  <c r="F12038" i="12"/>
  <c r="J12037" i="12"/>
  <c r="I12037" i="12"/>
  <c r="H12037" i="12"/>
  <c r="F12037" i="12"/>
  <c r="J12036" i="12"/>
  <c r="I12036" i="12"/>
  <c r="H12036" i="12"/>
  <c r="F12036" i="12"/>
  <c r="J12035" i="12"/>
  <c r="I12035" i="12"/>
  <c r="H12035" i="12"/>
  <c r="F12035" i="12"/>
  <c r="J12034" i="12"/>
  <c r="I12034" i="12"/>
  <c r="H12034" i="12"/>
  <c r="F12034" i="12"/>
  <c r="J12033" i="12"/>
  <c r="I12033" i="12"/>
  <c r="H12033" i="12"/>
  <c r="F12033" i="12"/>
  <c r="J12032" i="12"/>
  <c r="I12032" i="12"/>
  <c r="H12032" i="12"/>
  <c r="F12032" i="12"/>
  <c r="J12031" i="12"/>
  <c r="I12031" i="12"/>
  <c r="H12031" i="12"/>
  <c r="F12031" i="12"/>
  <c r="J12030" i="12"/>
  <c r="I12030" i="12"/>
  <c r="H12030" i="12"/>
  <c r="F12030" i="12"/>
  <c r="J12029" i="12"/>
  <c r="I12029" i="12"/>
  <c r="H12029" i="12"/>
  <c r="F12029" i="12"/>
  <c r="J12028" i="12"/>
  <c r="I12028" i="12"/>
  <c r="H12028" i="12"/>
  <c r="F12028" i="12"/>
  <c r="J12027" i="12"/>
  <c r="I12027" i="12"/>
  <c r="H12027" i="12"/>
  <c r="F12027" i="12"/>
  <c r="J12026" i="12"/>
  <c r="I12026" i="12"/>
  <c r="H12026" i="12"/>
  <c r="F12026" i="12"/>
  <c r="J12025" i="12"/>
  <c r="I12025" i="12"/>
  <c r="H12025" i="12"/>
  <c r="F12025" i="12"/>
  <c r="J12024" i="12"/>
  <c r="I12024" i="12"/>
  <c r="H12024" i="12"/>
  <c r="F12024" i="12"/>
  <c r="J12023" i="12"/>
  <c r="I12023" i="12"/>
  <c r="H12023" i="12"/>
  <c r="F12023" i="12"/>
  <c r="J12022" i="12"/>
  <c r="I12022" i="12"/>
  <c r="H12022" i="12"/>
  <c r="F12022" i="12"/>
  <c r="J12021" i="12"/>
  <c r="I12021" i="12"/>
  <c r="H12021" i="12"/>
  <c r="F12021" i="12"/>
  <c r="J12020" i="12"/>
  <c r="I12020" i="12"/>
  <c r="H12020" i="12"/>
  <c r="F12020" i="12"/>
  <c r="J12019" i="12"/>
  <c r="I12019" i="12"/>
  <c r="H12019" i="12"/>
  <c r="F12019" i="12"/>
  <c r="J12018" i="12"/>
  <c r="I12018" i="12"/>
  <c r="H12018" i="12"/>
  <c r="F12018" i="12"/>
  <c r="J12017" i="12"/>
  <c r="I12017" i="12"/>
  <c r="H12017" i="12"/>
  <c r="F12017" i="12"/>
  <c r="J12016" i="12"/>
  <c r="I12016" i="12"/>
  <c r="H12016" i="12"/>
  <c r="F12016" i="12"/>
  <c r="J12015" i="12"/>
  <c r="I12015" i="12"/>
  <c r="H12015" i="12"/>
  <c r="F12015" i="12"/>
  <c r="J12014" i="12"/>
  <c r="I12014" i="12"/>
  <c r="H12014" i="12"/>
  <c r="F12014" i="12"/>
  <c r="J12013" i="12"/>
  <c r="I12013" i="12"/>
  <c r="H12013" i="12"/>
  <c r="F12013" i="12"/>
  <c r="J12012" i="12"/>
  <c r="I12012" i="12"/>
  <c r="H12012" i="12"/>
  <c r="F12012" i="12"/>
  <c r="J12011" i="12"/>
  <c r="I12011" i="12"/>
  <c r="H12011" i="12"/>
  <c r="F12011" i="12"/>
  <c r="J12010" i="12"/>
  <c r="I12010" i="12"/>
  <c r="H12010" i="12"/>
  <c r="F12010" i="12"/>
  <c r="J12009" i="12"/>
  <c r="I12009" i="12"/>
  <c r="H12009" i="12"/>
  <c r="F12009" i="12"/>
  <c r="J12008" i="12"/>
  <c r="I12008" i="12"/>
  <c r="H12008" i="12"/>
  <c r="F12008" i="12"/>
  <c r="J12007" i="12"/>
  <c r="I12007" i="12"/>
  <c r="H12007" i="12"/>
  <c r="F12007" i="12"/>
  <c r="J12006" i="12"/>
  <c r="I12006" i="12"/>
  <c r="H12006" i="12"/>
  <c r="F12006" i="12"/>
  <c r="J12005" i="12"/>
  <c r="I12005" i="12"/>
  <c r="H12005" i="12"/>
  <c r="F12005" i="12"/>
  <c r="J12004" i="12"/>
  <c r="I12004" i="12"/>
  <c r="H12004" i="12"/>
  <c r="F12004" i="12"/>
  <c r="J12003" i="12"/>
  <c r="I12003" i="12"/>
  <c r="H12003" i="12"/>
  <c r="F12003" i="12"/>
  <c r="J12002" i="12"/>
  <c r="I12002" i="12"/>
  <c r="H12002" i="12"/>
  <c r="F12002" i="12"/>
  <c r="J12001" i="12"/>
  <c r="I12001" i="12"/>
  <c r="H12001" i="12"/>
  <c r="F12001" i="12"/>
  <c r="J12000" i="12"/>
  <c r="I12000" i="12"/>
  <c r="H12000" i="12"/>
  <c r="F12000" i="12"/>
  <c r="J11999" i="12"/>
  <c r="I11999" i="12"/>
  <c r="H11999" i="12"/>
  <c r="F11999" i="12"/>
  <c r="J11998" i="12"/>
  <c r="I11998" i="12"/>
  <c r="H11998" i="12"/>
  <c r="F11998" i="12"/>
  <c r="J11997" i="12"/>
  <c r="I11997" i="12"/>
  <c r="H11997" i="12"/>
  <c r="F11997" i="12"/>
  <c r="J11996" i="12"/>
  <c r="I11996" i="12"/>
  <c r="H11996" i="12"/>
  <c r="F11996" i="12"/>
  <c r="J11995" i="12"/>
  <c r="I11995" i="12"/>
  <c r="H11995" i="12"/>
  <c r="F11995" i="12"/>
  <c r="J11994" i="12"/>
  <c r="I11994" i="12"/>
  <c r="H11994" i="12"/>
  <c r="F11994" i="12"/>
  <c r="J11993" i="12"/>
  <c r="I11993" i="12"/>
  <c r="H11993" i="12"/>
  <c r="F11993" i="12"/>
  <c r="J11992" i="12"/>
  <c r="I11992" i="12"/>
  <c r="H11992" i="12"/>
  <c r="F11992" i="12"/>
  <c r="J11991" i="12"/>
  <c r="I11991" i="12"/>
  <c r="H11991" i="12"/>
  <c r="F11991" i="12"/>
  <c r="J11990" i="12"/>
  <c r="I11990" i="12"/>
  <c r="H11990" i="12"/>
  <c r="F11990" i="12"/>
  <c r="J11989" i="12"/>
  <c r="I11989" i="12"/>
  <c r="H11989" i="12"/>
  <c r="F11989" i="12"/>
  <c r="J11988" i="12"/>
  <c r="I11988" i="12"/>
  <c r="H11988" i="12"/>
  <c r="F11988" i="12"/>
  <c r="J11987" i="12"/>
  <c r="I11987" i="12"/>
  <c r="H11987" i="12"/>
  <c r="F11987" i="12"/>
  <c r="J11986" i="12"/>
  <c r="I11986" i="12"/>
  <c r="H11986" i="12"/>
  <c r="F11986" i="12"/>
  <c r="J11985" i="12"/>
  <c r="I11985" i="12"/>
  <c r="H11985" i="12"/>
  <c r="F11985" i="12"/>
  <c r="J11984" i="12"/>
  <c r="I11984" i="12"/>
  <c r="H11984" i="12"/>
  <c r="F11984" i="12"/>
  <c r="J11983" i="12"/>
  <c r="I11983" i="12"/>
  <c r="H11983" i="12"/>
  <c r="F11983" i="12"/>
  <c r="J11982" i="12"/>
  <c r="I11982" i="12"/>
  <c r="H11982" i="12"/>
  <c r="F11982" i="12"/>
  <c r="J11981" i="12"/>
  <c r="I11981" i="12"/>
  <c r="H11981" i="12"/>
  <c r="F11981" i="12"/>
  <c r="J11980" i="12"/>
  <c r="I11980" i="12"/>
  <c r="H11980" i="12"/>
  <c r="F11980" i="12"/>
  <c r="J11979" i="12"/>
  <c r="I11979" i="12"/>
  <c r="H11979" i="12"/>
  <c r="F11979" i="12"/>
  <c r="J11978" i="12"/>
  <c r="I11978" i="12"/>
  <c r="H11978" i="12"/>
  <c r="F11978" i="12"/>
  <c r="J11977" i="12"/>
  <c r="I11977" i="12"/>
  <c r="H11977" i="12"/>
  <c r="F11977" i="12"/>
  <c r="J11976" i="12"/>
  <c r="I11976" i="12"/>
  <c r="H11976" i="12"/>
  <c r="F11976" i="12"/>
  <c r="J11975" i="12"/>
  <c r="I11975" i="12"/>
  <c r="H11975" i="12"/>
  <c r="F11975" i="12"/>
  <c r="J11974" i="12"/>
  <c r="I11974" i="12"/>
  <c r="H11974" i="12"/>
  <c r="F11974" i="12"/>
  <c r="J11973" i="12"/>
  <c r="I11973" i="12"/>
  <c r="H11973" i="12"/>
  <c r="F11973" i="12"/>
  <c r="J11972" i="12"/>
  <c r="I11972" i="12"/>
  <c r="H11972" i="12"/>
  <c r="F11972" i="12"/>
  <c r="J11971" i="12"/>
  <c r="I11971" i="12"/>
  <c r="H11971" i="12"/>
  <c r="F11971" i="12"/>
  <c r="J11970" i="12"/>
  <c r="I11970" i="12"/>
  <c r="H11970" i="12"/>
  <c r="F11970" i="12"/>
  <c r="J11969" i="12"/>
  <c r="I11969" i="12"/>
  <c r="H11969" i="12"/>
  <c r="F11969" i="12"/>
  <c r="J11968" i="12"/>
  <c r="I11968" i="12"/>
  <c r="H11968" i="12"/>
  <c r="F11968" i="12"/>
  <c r="J11967" i="12"/>
  <c r="I11967" i="12"/>
  <c r="H11967" i="12"/>
  <c r="F11967" i="12"/>
  <c r="J11966" i="12"/>
  <c r="I11966" i="12"/>
  <c r="H11966" i="12"/>
  <c r="F11966" i="12"/>
  <c r="J11965" i="12"/>
  <c r="I11965" i="12"/>
  <c r="H11965" i="12"/>
  <c r="F11965" i="12"/>
  <c r="J11964" i="12"/>
  <c r="I11964" i="12"/>
  <c r="H11964" i="12"/>
  <c r="F11964" i="12"/>
  <c r="J11963" i="12"/>
  <c r="I11963" i="12"/>
  <c r="H11963" i="12"/>
  <c r="F11963" i="12"/>
  <c r="J11962" i="12"/>
  <c r="I11962" i="12"/>
  <c r="H11962" i="12"/>
  <c r="F11962" i="12"/>
  <c r="J11961" i="12"/>
  <c r="I11961" i="12"/>
  <c r="H11961" i="12"/>
  <c r="F11961" i="12"/>
  <c r="J11960" i="12"/>
  <c r="I11960" i="12"/>
  <c r="H11960" i="12"/>
  <c r="F11960" i="12"/>
  <c r="J11959" i="12"/>
  <c r="I11959" i="12"/>
  <c r="H11959" i="12"/>
  <c r="F11959" i="12"/>
  <c r="J11958" i="12"/>
  <c r="I11958" i="12"/>
  <c r="H11958" i="12"/>
  <c r="F11958" i="12"/>
  <c r="J11957" i="12"/>
  <c r="I11957" i="12"/>
  <c r="H11957" i="12"/>
  <c r="F11957" i="12"/>
  <c r="J11956" i="12"/>
  <c r="I11956" i="12"/>
  <c r="H11956" i="12"/>
  <c r="F11956" i="12"/>
  <c r="J11955" i="12"/>
  <c r="I11955" i="12"/>
  <c r="H11955" i="12"/>
  <c r="F11955" i="12"/>
  <c r="J11954" i="12"/>
  <c r="I11954" i="12"/>
  <c r="H11954" i="12"/>
  <c r="F11954" i="12"/>
  <c r="J11953" i="12"/>
  <c r="I11953" i="12"/>
  <c r="H11953" i="12"/>
  <c r="F11953" i="12"/>
  <c r="J11952" i="12"/>
  <c r="I11952" i="12"/>
  <c r="H11952" i="12"/>
  <c r="F11952" i="12"/>
  <c r="J11951" i="12"/>
  <c r="I11951" i="12"/>
  <c r="H11951" i="12"/>
  <c r="F11951" i="12"/>
  <c r="J11950" i="12"/>
  <c r="I11950" i="12"/>
  <c r="H11950" i="12"/>
  <c r="F11950" i="12"/>
  <c r="J11949" i="12"/>
  <c r="I11949" i="12"/>
  <c r="H11949" i="12"/>
  <c r="F11949" i="12"/>
  <c r="J11948" i="12"/>
  <c r="I11948" i="12"/>
  <c r="H11948" i="12"/>
  <c r="F11948" i="12"/>
  <c r="J11947" i="12"/>
  <c r="I11947" i="12"/>
  <c r="H11947" i="12"/>
  <c r="F11947" i="12"/>
  <c r="J11946" i="12"/>
  <c r="I11946" i="12"/>
  <c r="H11946" i="12"/>
  <c r="F11946" i="12"/>
  <c r="J11945" i="12"/>
  <c r="I11945" i="12"/>
  <c r="H11945" i="12"/>
  <c r="F11945" i="12"/>
  <c r="J11944" i="12"/>
  <c r="I11944" i="12"/>
  <c r="H11944" i="12"/>
  <c r="F11944" i="12"/>
  <c r="J11943" i="12"/>
  <c r="I11943" i="12"/>
  <c r="H11943" i="12"/>
  <c r="F11943" i="12"/>
  <c r="J11942" i="12"/>
  <c r="I11942" i="12"/>
  <c r="H11942" i="12"/>
  <c r="F11942" i="12"/>
  <c r="J11941" i="12"/>
  <c r="I11941" i="12"/>
  <c r="H11941" i="12"/>
  <c r="F11941" i="12"/>
  <c r="J11940" i="12"/>
  <c r="I11940" i="12"/>
  <c r="H11940" i="12"/>
  <c r="F11940" i="12"/>
  <c r="J11939" i="12"/>
  <c r="I11939" i="12"/>
  <c r="H11939" i="12"/>
  <c r="F11939" i="12"/>
  <c r="J11938" i="12"/>
  <c r="I11938" i="12"/>
  <c r="H11938" i="12"/>
  <c r="F11938" i="12"/>
  <c r="J11937" i="12"/>
  <c r="I11937" i="12"/>
  <c r="H11937" i="12"/>
  <c r="F11937" i="12"/>
  <c r="J11936" i="12"/>
  <c r="I11936" i="12"/>
  <c r="H11936" i="12"/>
  <c r="F11936" i="12"/>
  <c r="J11935" i="12"/>
  <c r="I11935" i="12"/>
  <c r="H11935" i="12"/>
  <c r="F11935" i="12"/>
  <c r="J11934" i="12"/>
  <c r="I11934" i="12"/>
  <c r="H11934" i="12"/>
  <c r="F11934" i="12"/>
  <c r="J11933" i="12"/>
  <c r="I11933" i="12"/>
  <c r="H11933" i="12"/>
  <c r="F11933" i="12"/>
  <c r="J11932" i="12"/>
  <c r="I11932" i="12"/>
  <c r="H11932" i="12"/>
  <c r="F11932" i="12"/>
  <c r="J11931" i="12"/>
  <c r="I11931" i="12"/>
  <c r="H11931" i="12"/>
  <c r="F11931" i="12"/>
  <c r="J11930" i="12"/>
  <c r="I11930" i="12"/>
  <c r="H11930" i="12"/>
  <c r="F11930" i="12"/>
  <c r="J11929" i="12"/>
  <c r="I11929" i="12"/>
  <c r="H11929" i="12"/>
  <c r="F11929" i="12"/>
  <c r="J11928" i="12"/>
  <c r="I11928" i="12"/>
  <c r="H11928" i="12"/>
  <c r="F11928" i="12"/>
  <c r="J11927" i="12"/>
  <c r="I11927" i="12"/>
  <c r="H11927" i="12"/>
  <c r="F11927" i="12"/>
  <c r="J11926" i="12"/>
  <c r="I11926" i="12"/>
  <c r="H11926" i="12"/>
  <c r="F11926" i="12"/>
  <c r="J11925" i="12"/>
  <c r="I11925" i="12"/>
  <c r="H11925" i="12"/>
  <c r="F11925" i="12"/>
  <c r="J11924" i="12"/>
  <c r="I11924" i="12"/>
  <c r="H11924" i="12"/>
  <c r="F11924" i="12"/>
  <c r="J11923" i="12"/>
  <c r="I11923" i="12"/>
  <c r="H11923" i="12"/>
  <c r="F11923" i="12"/>
  <c r="J11922" i="12"/>
  <c r="I11922" i="12"/>
  <c r="H11922" i="12"/>
  <c r="F11922" i="12"/>
  <c r="J11921" i="12"/>
  <c r="I11921" i="12"/>
  <c r="H11921" i="12"/>
  <c r="F11921" i="12"/>
  <c r="J11920" i="12"/>
  <c r="I11920" i="12"/>
  <c r="H11920" i="12"/>
  <c r="F11920" i="12"/>
  <c r="J11919" i="12"/>
  <c r="I11919" i="12"/>
  <c r="H11919" i="12"/>
  <c r="F11919" i="12"/>
  <c r="J11918" i="12"/>
  <c r="I11918" i="12"/>
  <c r="H11918" i="12"/>
  <c r="F11918" i="12"/>
  <c r="J11917" i="12"/>
  <c r="I11917" i="12"/>
  <c r="H11917" i="12"/>
  <c r="F11917" i="12"/>
  <c r="J11916" i="12"/>
  <c r="I11916" i="12"/>
  <c r="H11916" i="12"/>
  <c r="F11916" i="12"/>
  <c r="J11915" i="12"/>
  <c r="I11915" i="12"/>
  <c r="H11915" i="12"/>
  <c r="F11915" i="12"/>
  <c r="J11914" i="12"/>
  <c r="I11914" i="12"/>
  <c r="H11914" i="12"/>
  <c r="F11914" i="12"/>
  <c r="J11913" i="12"/>
  <c r="I11913" i="12"/>
  <c r="H11913" i="12"/>
  <c r="F11913" i="12"/>
  <c r="J11912" i="12"/>
  <c r="I11912" i="12"/>
  <c r="H11912" i="12"/>
  <c r="F11912" i="12"/>
  <c r="J11911" i="12"/>
  <c r="I11911" i="12"/>
  <c r="H11911" i="12"/>
  <c r="F11911" i="12"/>
  <c r="J11910" i="12"/>
  <c r="I11910" i="12"/>
  <c r="H11910" i="12"/>
  <c r="F11910" i="12"/>
  <c r="J11909" i="12"/>
  <c r="I11909" i="12"/>
  <c r="H11909" i="12"/>
  <c r="F11909" i="12"/>
  <c r="J11908" i="12"/>
  <c r="I11908" i="12"/>
  <c r="H11908" i="12"/>
  <c r="F11908" i="12"/>
  <c r="J11907" i="12"/>
  <c r="I11907" i="12"/>
  <c r="H11907" i="12"/>
  <c r="F11907" i="12"/>
  <c r="J11906" i="12"/>
  <c r="I11906" i="12"/>
  <c r="H11906" i="12"/>
  <c r="F11906" i="12"/>
  <c r="J11905" i="12"/>
  <c r="I11905" i="12"/>
  <c r="H11905" i="12"/>
  <c r="F11905" i="12"/>
  <c r="J11904" i="12"/>
  <c r="I11904" i="12"/>
  <c r="H11904" i="12"/>
  <c r="F11904" i="12"/>
  <c r="J11903" i="12"/>
  <c r="I11903" i="12"/>
  <c r="H11903" i="12"/>
  <c r="F11903" i="12"/>
  <c r="J11902" i="12"/>
  <c r="I11902" i="12"/>
  <c r="H11902" i="12"/>
  <c r="F11902" i="12"/>
  <c r="J11901" i="12"/>
  <c r="I11901" i="12"/>
  <c r="H11901" i="12"/>
  <c r="F11901" i="12"/>
  <c r="J11900" i="12"/>
  <c r="I11900" i="12"/>
  <c r="H11900" i="12"/>
  <c r="F11900" i="12"/>
  <c r="J11899" i="12"/>
  <c r="I11899" i="12"/>
  <c r="H11899" i="12"/>
  <c r="F11899" i="12"/>
  <c r="J11898" i="12"/>
  <c r="I11898" i="12"/>
  <c r="H11898" i="12"/>
  <c r="F11898" i="12"/>
  <c r="J11897" i="12"/>
  <c r="I11897" i="12"/>
  <c r="H11897" i="12"/>
  <c r="F11897" i="12"/>
  <c r="J11896" i="12"/>
  <c r="I11896" i="12"/>
  <c r="H11896" i="12"/>
  <c r="F11896" i="12"/>
  <c r="J11895" i="12"/>
  <c r="I11895" i="12"/>
  <c r="H11895" i="12"/>
  <c r="F11895" i="12"/>
  <c r="J11894" i="12"/>
  <c r="I11894" i="12"/>
  <c r="H11894" i="12"/>
  <c r="F11894" i="12"/>
  <c r="J11893" i="12"/>
  <c r="I11893" i="12"/>
  <c r="H11893" i="12"/>
  <c r="F11893" i="12"/>
  <c r="J11892" i="12"/>
  <c r="I11892" i="12"/>
  <c r="H11892" i="12"/>
  <c r="F11892" i="12"/>
  <c r="J11891" i="12"/>
  <c r="I11891" i="12"/>
  <c r="H11891" i="12"/>
  <c r="F11891" i="12"/>
  <c r="J11890" i="12"/>
  <c r="I11890" i="12"/>
  <c r="H11890" i="12"/>
  <c r="F11890" i="12"/>
  <c r="J11889" i="12"/>
  <c r="I11889" i="12"/>
  <c r="H11889" i="12"/>
  <c r="F11889" i="12"/>
  <c r="J11888" i="12"/>
  <c r="I11888" i="12"/>
  <c r="H11888" i="12"/>
  <c r="F11888" i="12"/>
  <c r="J11887" i="12"/>
  <c r="I11887" i="12"/>
  <c r="H11887" i="12"/>
  <c r="F11887" i="12"/>
  <c r="J11886" i="12"/>
  <c r="I11886" i="12"/>
  <c r="H11886" i="12"/>
  <c r="F11886" i="12"/>
  <c r="J11885" i="12"/>
  <c r="I11885" i="12"/>
  <c r="H11885" i="12"/>
  <c r="F11885" i="12"/>
  <c r="J11884" i="12"/>
  <c r="I11884" i="12"/>
  <c r="H11884" i="12"/>
  <c r="F11884" i="12"/>
  <c r="J11883" i="12"/>
  <c r="I11883" i="12"/>
  <c r="H11883" i="12"/>
  <c r="F11883" i="12"/>
  <c r="J11882" i="12"/>
  <c r="I11882" i="12"/>
  <c r="H11882" i="12"/>
  <c r="F11882" i="12"/>
  <c r="J11881" i="12"/>
  <c r="I11881" i="12"/>
  <c r="H11881" i="12"/>
  <c r="F11881" i="12"/>
  <c r="J11880" i="12"/>
  <c r="I11880" i="12"/>
  <c r="H11880" i="12"/>
  <c r="F11880" i="12"/>
  <c r="J11879" i="12"/>
  <c r="I11879" i="12"/>
  <c r="H11879" i="12"/>
  <c r="F11879" i="12"/>
  <c r="J11878" i="12"/>
  <c r="I11878" i="12"/>
  <c r="H11878" i="12"/>
  <c r="F11878" i="12"/>
  <c r="J11877" i="12"/>
  <c r="I11877" i="12"/>
  <c r="H11877" i="12"/>
  <c r="F11877" i="12"/>
  <c r="J11876" i="12"/>
  <c r="I11876" i="12"/>
  <c r="H11876" i="12"/>
  <c r="F11876" i="12"/>
  <c r="J11875" i="12"/>
  <c r="I11875" i="12"/>
  <c r="H11875" i="12"/>
  <c r="F11875" i="12"/>
  <c r="J11874" i="12"/>
  <c r="I11874" i="12"/>
  <c r="H11874" i="12"/>
  <c r="F11874" i="12"/>
  <c r="J11873" i="12"/>
  <c r="I11873" i="12"/>
  <c r="H11873" i="12"/>
  <c r="F11873" i="12"/>
  <c r="J11872" i="12"/>
  <c r="I11872" i="12"/>
  <c r="H11872" i="12"/>
  <c r="F11872" i="12"/>
  <c r="J11871" i="12"/>
  <c r="I11871" i="12"/>
  <c r="H11871" i="12"/>
  <c r="F11871" i="12"/>
  <c r="J11870" i="12"/>
  <c r="I11870" i="12"/>
  <c r="H11870" i="12"/>
  <c r="F11870" i="12"/>
  <c r="J11869" i="12"/>
  <c r="I11869" i="12"/>
  <c r="H11869" i="12"/>
  <c r="F11869" i="12"/>
  <c r="J11868" i="12"/>
  <c r="I11868" i="12"/>
  <c r="H11868" i="12"/>
  <c r="F11868" i="12"/>
  <c r="J11867" i="12"/>
  <c r="I11867" i="12"/>
  <c r="H11867" i="12"/>
  <c r="F11867" i="12"/>
  <c r="J11866" i="12"/>
  <c r="I11866" i="12"/>
  <c r="H11866" i="12"/>
  <c r="F11866" i="12"/>
  <c r="J11865" i="12"/>
  <c r="I11865" i="12"/>
  <c r="H11865" i="12"/>
  <c r="F11865" i="12"/>
  <c r="J11864" i="12"/>
  <c r="I11864" i="12"/>
  <c r="H11864" i="12"/>
  <c r="F11864" i="12"/>
  <c r="J11863" i="12"/>
  <c r="I11863" i="12"/>
  <c r="H11863" i="12"/>
  <c r="F11863" i="12"/>
  <c r="J11862" i="12"/>
  <c r="I11862" i="12"/>
  <c r="H11862" i="12"/>
  <c r="F11862" i="12"/>
  <c r="J11861" i="12"/>
  <c r="I11861" i="12"/>
  <c r="H11861" i="12"/>
  <c r="F11861" i="12"/>
  <c r="J11860" i="12"/>
  <c r="I11860" i="12"/>
  <c r="H11860" i="12"/>
  <c r="F11860" i="12"/>
  <c r="J11859" i="12"/>
  <c r="I11859" i="12"/>
  <c r="H11859" i="12"/>
  <c r="F11859" i="12"/>
  <c r="J11858" i="12"/>
  <c r="I11858" i="12"/>
  <c r="H11858" i="12"/>
  <c r="F11858" i="12"/>
  <c r="J11857" i="12"/>
  <c r="I11857" i="12"/>
  <c r="H11857" i="12"/>
  <c r="F11857" i="12"/>
  <c r="J11856" i="12"/>
  <c r="I11856" i="12"/>
  <c r="H11856" i="12"/>
  <c r="F11856" i="12"/>
  <c r="J11855" i="12"/>
  <c r="I11855" i="12"/>
  <c r="H11855" i="12"/>
  <c r="F11855" i="12"/>
  <c r="J11854" i="12"/>
  <c r="I11854" i="12"/>
  <c r="H11854" i="12"/>
  <c r="F11854" i="12"/>
  <c r="J11853" i="12"/>
  <c r="I11853" i="12"/>
  <c r="H11853" i="12"/>
  <c r="F11853" i="12"/>
  <c r="J11852" i="12"/>
  <c r="I11852" i="12"/>
  <c r="H11852" i="12"/>
  <c r="F11852" i="12"/>
  <c r="J11851" i="12"/>
  <c r="I11851" i="12"/>
  <c r="H11851" i="12"/>
  <c r="F11851" i="12"/>
  <c r="J11850" i="12"/>
  <c r="I11850" i="12"/>
  <c r="H11850" i="12"/>
  <c r="F11850" i="12"/>
  <c r="J11849" i="12"/>
  <c r="I11849" i="12"/>
  <c r="H11849" i="12"/>
  <c r="F11849" i="12"/>
  <c r="J11848" i="12"/>
  <c r="I11848" i="12"/>
  <c r="H11848" i="12"/>
  <c r="F11848" i="12"/>
  <c r="J11847" i="12"/>
  <c r="I11847" i="12"/>
  <c r="H11847" i="12"/>
  <c r="F11847" i="12"/>
  <c r="J11846" i="12"/>
  <c r="I11846" i="12"/>
  <c r="H11846" i="12"/>
  <c r="F11846" i="12"/>
  <c r="J11845" i="12"/>
  <c r="I11845" i="12"/>
  <c r="H11845" i="12"/>
  <c r="F11845" i="12"/>
  <c r="J11844" i="12"/>
  <c r="I11844" i="12"/>
  <c r="H11844" i="12"/>
  <c r="F11844" i="12"/>
  <c r="J11843" i="12"/>
  <c r="I11843" i="12"/>
  <c r="H11843" i="12"/>
  <c r="F11843" i="12"/>
  <c r="J11842" i="12"/>
  <c r="I11842" i="12"/>
  <c r="H11842" i="12"/>
  <c r="F11842" i="12"/>
  <c r="J11841" i="12"/>
  <c r="I11841" i="12"/>
  <c r="H11841" i="12"/>
  <c r="F11841" i="12"/>
  <c r="J11840" i="12"/>
  <c r="I11840" i="12"/>
  <c r="H11840" i="12"/>
  <c r="F11840" i="12"/>
  <c r="J11839" i="12"/>
  <c r="I11839" i="12"/>
  <c r="H11839" i="12"/>
  <c r="F11839" i="12"/>
  <c r="J11838" i="12"/>
  <c r="I11838" i="12"/>
  <c r="H11838" i="12"/>
  <c r="F11838" i="12"/>
  <c r="J11837" i="12"/>
  <c r="I11837" i="12"/>
  <c r="H11837" i="12"/>
  <c r="F11837" i="12"/>
  <c r="J11836" i="12"/>
  <c r="I11836" i="12"/>
  <c r="H11836" i="12"/>
  <c r="F11836" i="12"/>
  <c r="J11835" i="12"/>
  <c r="I11835" i="12"/>
  <c r="H11835" i="12"/>
  <c r="F11835" i="12"/>
  <c r="J11834" i="12"/>
  <c r="I11834" i="12"/>
  <c r="H11834" i="12"/>
  <c r="F11834" i="12"/>
  <c r="J11833" i="12"/>
  <c r="I11833" i="12"/>
  <c r="H11833" i="12"/>
  <c r="F11833" i="12"/>
  <c r="J11832" i="12"/>
  <c r="I11832" i="12"/>
  <c r="H11832" i="12"/>
  <c r="F11832" i="12"/>
  <c r="J11831" i="12"/>
  <c r="I11831" i="12"/>
  <c r="H11831" i="12"/>
  <c r="F11831" i="12"/>
  <c r="J11830" i="12"/>
  <c r="I11830" i="12"/>
  <c r="H11830" i="12"/>
  <c r="F11830" i="12"/>
  <c r="J11829" i="12"/>
  <c r="I11829" i="12"/>
  <c r="H11829" i="12"/>
  <c r="F11829" i="12"/>
  <c r="J11828" i="12"/>
  <c r="I11828" i="12"/>
  <c r="H11828" i="12"/>
  <c r="F11828" i="12"/>
  <c r="J11827" i="12"/>
  <c r="I11827" i="12"/>
  <c r="H11827" i="12"/>
  <c r="F11827" i="12"/>
  <c r="J11826" i="12"/>
  <c r="I11826" i="12"/>
  <c r="H11826" i="12"/>
  <c r="F11826" i="12"/>
  <c r="J11825" i="12"/>
  <c r="I11825" i="12"/>
  <c r="H11825" i="12"/>
  <c r="F11825" i="12"/>
  <c r="J11824" i="12"/>
  <c r="I11824" i="12"/>
  <c r="H11824" i="12"/>
  <c r="F11824" i="12"/>
  <c r="J11823" i="12"/>
  <c r="I11823" i="12"/>
  <c r="H11823" i="12"/>
  <c r="F11823" i="12"/>
  <c r="J11822" i="12"/>
  <c r="I11822" i="12"/>
  <c r="H11822" i="12"/>
  <c r="F11822" i="12"/>
  <c r="J11821" i="12"/>
  <c r="I11821" i="12"/>
  <c r="H11821" i="12"/>
  <c r="F11821" i="12"/>
  <c r="J11820" i="12"/>
  <c r="I11820" i="12"/>
  <c r="H11820" i="12"/>
  <c r="F11820" i="12"/>
  <c r="J11819" i="12"/>
  <c r="I11819" i="12"/>
  <c r="H11819" i="12"/>
  <c r="F11819" i="12"/>
  <c r="J11818" i="12"/>
  <c r="I11818" i="12"/>
  <c r="H11818" i="12"/>
  <c r="F11818" i="12"/>
  <c r="J11817" i="12"/>
  <c r="I11817" i="12"/>
  <c r="H11817" i="12"/>
  <c r="F11817" i="12"/>
  <c r="J11816" i="12"/>
  <c r="I11816" i="12"/>
  <c r="H11816" i="12"/>
  <c r="F11816" i="12"/>
  <c r="J11815" i="12"/>
  <c r="I11815" i="12"/>
  <c r="H11815" i="12"/>
  <c r="F11815" i="12"/>
  <c r="J11814" i="12"/>
  <c r="I11814" i="12"/>
  <c r="H11814" i="12"/>
  <c r="F11814" i="12"/>
  <c r="J11813" i="12"/>
  <c r="I11813" i="12"/>
  <c r="H11813" i="12"/>
  <c r="F11813" i="12"/>
  <c r="J11812" i="12"/>
  <c r="I11812" i="12"/>
  <c r="H11812" i="12"/>
  <c r="F11812" i="12"/>
  <c r="J11811" i="12"/>
  <c r="I11811" i="12"/>
  <c r="H11811" i="12"/>
  <c r="F11811" i="12"/>
  <c r="J11810" i="12"/>
  <c r="I11810" i="12"/>
  <c r="H11810" i="12"/>
  <c r="F11810" i="12"/>
  <c r="J11809" i="12"/>
  <c r="I11809" i="12"/>
  <c r="H11809" i="12"/>
  <c r="F11809" i="12"/>
  <c r="J11808" i="12"/>
  <c r="I11808" i="12"/>
  <c r="H11808" i="12"/>
  <c r="F11808" i="12"/>
  <c r="J11807" i="12"/>
  <c r="I11807" i="12"/>
  <c r="H11807" i="12"/>
  <c r="F11807" i="12"/>
  <c r="J11806" i="12"/>
  <c r="I11806" i="12"/>
  <c r="H11806" i="12"/>
  <c r="F11806" i="12"/>
  <c r="J11805" i="12"/>
  <c r="I11805" i="12"/>
  <c r="H11805" i="12"/>
  <c r="F11805" i="12"/>
  <c r="J11804" i="12"/>
  <c r="I11804" i="12"/>
  <c r="H11804" i="12"/>
  <c r="F11804" i="12"/>
  <c r="J11803" i="12"/>
  <c r="I11803" i="12"/>
  <c r="H11803" i="12"/>
  <c r="F11803" i="12"/>
  <c r="J11802" i="12"/>
  <c r="I11802" i="12"/>
  <c r="H11802" i="12"/>
  <c r="F11802" i="12"/>
  <c r="J11801" i="12"/>
  <c r="I11801" i="12"/>
  <c r="H11801" i="12"/>
  <c r="F11801" i="12"/>
  <c r="J11800" i="12"/>
  <c r="I11800" i="12"/>
  <c r="H11800" i="12"/>
  <c r="F11800" i="12"/>
  <c r="J11799" i="12"/>
  <c r="I11799" i="12"/>
  <c r="H11799" i="12"/>
  <c r="F11799" i="12"/>
  <c r="J11798" i="12"/>
  <c r="I11798" i="12"/>
  <c r="H11798" i="12"/>
  <c r="F11798" i="12"/>
  <c r="J11797" i="12"/>
  <c r="I11797" i="12"/>
  <c r="H11797" i="12"/>
  <c r="F11797" i="12"/>
  <c r="J11796" i="12"/>
  <c r="I11796" i="12"/>
  <c r="H11796" i="12"/>
  <c r="F11796" i="12"/>
  <c r="J11795" i="12"/>
  <c r="I11795" i="12"/>
  <c r="H11795" i="12"/>
  <c r="F11795" i="12"/>
  <c r="J11794" i="12"/>
  <c r="I11794" i="12"/>
  <c r="H11794" i="12"/>
  <c r="F11794" i="12"/>
  <c r="J11793" i="12"/>
  <c r="I11793" i="12"/>
  <c r="H11793" i="12"/>
  <c r="F11793" i="12"/>
  <c r="J11792" i="12"/>
  <c r="I11792" i="12"/>
  <c r="H11792" i="12"/>
  <c r="F11792" i="12"/>
  <c r="J11791" i="12"/>
  <c r="I11791" i="12"/>
  <c r="H11791" i="12"/>
  <c r="F11791" i="12"/>
  <c r="J11790" i="12"/>
  <c r="I11790" i="12"/>
  <c r="H11790" i="12"/>
  <c r="F11790" i="12"/>
  <c r="J11789" i="12"/>
  <c r="I11789" i="12"/>
  <c r="H11789" i="12"/>
  <c r="F11789" i="12"/>
  <c r="J11788" i="12"/>
  <c r="I11788" i="12"/>
  <c r="H11788" i="12"/>
  <c r="F11788" i="12"/>
  <c r="J11787" i="12"/>
  <c r="I11787" i="12"/>
  <c r="H11787" i="12"/>
  <c r="F11787" i="12"/>
  <c r="J11786" i="12"/>
  <c r="I11786" i="12"/>
  <c r="H11786" i="12"/>
  <c r="F11786" i="12"/>
  <c r="J11785" i="12"/>
  <c r="I11785" i="12"/>
  <c r="H11785" i="12"/>
  <c r="F11785" i="12"/>
  <c r="J11784" i="12"/>
  <c r="I11784" i="12"/>
  <c r="H11784" i="12"/>
  <c r="F11784" i="12"/>
  <c r="J11783" i="12"/>
  <c r="I11783" i="12"/>
  <c r="H11783" i="12"/>
  <c r="F11783" i="12"/>
  <c r="J11782" i="12"/>
  <c r="I11782" i="12"/>
  <c r="H11782" i="12"/>
  <c r="F11782" i="12"/>
  <c r="J11781" i="12"/>
  <c r="I11781" i="12"/>
  <c r="H11781" i="12"/>
  <c r="F11781" i="12"/>
  <c r="J11780" i="12"/>
  <c r="I11780" i="12"/>
  <c r="H11780" i="12"/>
  <c r="F11780" i="12"/>
  <c r="J11779" i="12"/>
  <c r="I11779" i="12"/>
  <c r="H11779" i="12"/>
  <c r="F11779" i="12"/>
  <c r="J11778" i="12"/>
  <c r="I11778" i="12"/>
  <c r="H11778" i="12"/>
  <c r="F11778" i="12"/>
  <c r="J11777" i="12"/>
  <c r="I11777" i="12"/>
  <c r="H11777" i="12"/>
  <c r="F11777" i="12"/>
  <c r="J11776" i="12"/>
  <c r="I11776" i="12"/>
  <c r="H11776" i="12"/>
  <c r="F11776" i="12"/>
  <c r="J11775" i="12"/>
  <c r="I11775" i="12"/>
  <c r="H11775" i="12"/>
  <c r="F11775" i="12"/>
  <c r="J11774" i="12"/>
  <c r="I11774" i="12"/>
  <c r="H11774" i="12"/>
  <c r="F11774" i="12"/>
  <c r="J11773" i="12"/>
  <c r="I11773" i="12"/>
  <c r="H11773" i="12"/>
  <c r="F11773" i="12"/>
  <c r="J11772" i="12"/>
  <c r="I11772" i="12"/>
  <c r="H11772" i="12"/>
  <c r="F11772" i="12"/>
  <c r="J11771" i="12"/>
  <c r="I11771" i="12"/>
  <c r="H11771" i="12"/>
  <c r="F11771" i="12"/>
  <c r="J11770" i="12"/>
  <c r="I11770" i="12"/>
  <c r="H11770" i="12"/>
  <c r="F11770" i="12"/>
  <c r="J11769" i="12"/>
  <c r="I11769" i="12"/>
  <c r="H11769" i="12"/>
  <c r="F11769" i="12"/>
  <c r="J11768" i="12"/>
  <c r="I11768" i="12"/>
  <c r="H11768" i="12"/>
  <c r="F11768" i="12"/>
  <c r="J11767" i="12"/>
  <c r="I11767" i="12"/>
  <c r="H11767" i="12"/>
  <c r="F11767" i="12"/>
  <c r="J11766" i="12"/>
  <c r="I11766" i="12"/>
  <c r="H11766" i="12"/>
  <c r="F11766" i="12"/>
  <c r="J11765" i="12"/>
  <c r="I11765" i="12"/>
  <c r="H11765" i="12"/>
  <c r="F11765" i="12"/>
  <c r="J11764" i="12"/>
  <c r="I11764" i="12"/>
  <c r="H11764" i="12"/>
  <c r="F11764" i="12"/>
  <c r="J11763" i="12"/>
  <c r="I11763" i="12"/>
  <c r="H11763" i="12"/>
  <c r="F11763" i="12"/>
  <c r="J11762" i="12"/>
  <c r="I11762" i="12"/>
  <c r="H11762" i="12"/>
  <c r="F11762" i="12"/>
  <c r="J11761" i="12"/>
  <c r="I11761" i="12"/>
  <c r="H11761" i="12"/>
  <c r="F11761" i="12"/>
  <c r="J11760" i="12"/>
  <c r="I11760" i="12"/>
  <c r="H11760" i="12"/>
  <c r="F11760" i="12"/>
  <c r="J11759" i="12"/>
  <c r="I11759" i="12"/>
  <c r="H11759" i="12"/>
  <c r="F11759" i="12"/>
  <c r="J11758" i="12"/>
  <c r="I11758" i="12"/>
  <c r="H11758" i="12"/>
  <c r="F11758" i="12"/>
  <c r="J11757" i="12"/>
  <c r="I11757" i="12"/>
  <c r="H11757" i="12"/>
  <c r="F11757" i="12"/>
  <c r="J11756" i="12"/>
  <c r="I11756" i="12"/>
  <c r="H11756" i="12"/>
  <c r="F11756" i="12"/>
  <c r="J11755" i="12"/>
  <c r="I11755" i="12"/>
  <c r="H11755" i="12"/>
  <c r="F11755" i="12"/>
  <c r="J11754" i="12"/>
  <c r="I11754" i="12"/>
  <c r="H11754" i="12"/>
  <c r="F11754" i="12"/>
  <c r="J11753" i="12"/>
  <c r="I11753" i="12"/>
  <c r="H11753" i="12"/>
  <c r="F11753" i="12"/>
  <c r="J11752" i="12"/>
  <c r="I11752" i="12"/>
  <c r="H11752" i="12"/>
  <c r="F11752" i="12"/>
  <c r="J11751" i="12"/>
  <c r="I11751" i="12"/>
  <c r="H11751" i="12"/>
  <c r="F11751" i="12"/>
  <c r="J11750" i="12"/>
  <c r="I11750" i="12"/>
  <c r="H11750" i="12"/>
  <c r="F11750" i="12"/>
  <c r="J11749" i="12"/>
  <c r="I11749" i="12"/>
  <c r="H11749" i="12"/>
  <c r="F11749" i="12"/>
  <c r="J11748" i="12"/>
  <c r="I11748" i="12"/>
  <c r="H11748" i="12"/>
  <c r="F11748" i="12"/>
  <c r="J11747" i="12"/>
  <c r="I11747" i="12"/>
  <c r="H11747" i="12"/>
  <c r="F11747" i="12"/>
  <c r="J11746" i="12"/>
  <c r="I11746" i="12"/>
  <c r="H11746" i="12"/>
  <c r="F11746" i="12"/>
  <c r="J11745" i="12"/>
  <c r="I11745" i="12"/>
  <c r="H11745" i="12"/>
  <c r="F11745" i="12"/>
  <c r="J11744" i="12"/>
  <c r="I11744" i="12"/>
  <c r="H11744" i="12"/>
  <c r="F11744" i="12"/>
  <c r="J11743" i="12"/>
  <c r="I11743" i="12"/>
  <c r="H11743" i="12"/>
  <c r="F11743" i="12"/>
  <c r="J11742" i="12"/>
  <c r="I11742" i="12"/>
  <c r="H11742" i="12"/>
  <c r="F11742" i="12"/>
  <c r="J11741" i="12"/>
  <c r="I11741" i="12"/>
  <c r="H11741" i="12"/>
  <c r="F11741" i="12"/>
  <c r="J11740" i="12"/>
  <c r="I11740" i="12"/>
  <c r="H11740" i="12"/>
  <c r="F11740" i="12"/>
  <c r="J11739" i="12"/>
  <c r="I11739" i="12"/>
  <c r="H11739" i="12"/>
  <c r="F11739" i="12"/>
  <c r="J11738" i="12"/>
  <c r="I11738" i="12"/>
  <c r="H11738" i="12"/>
  <c r="F11738" i="12"/>
  <c r="J11737" i="12"/>
  <c r="I11737" i="12"/>
  <c r="H11737" i="12"/>
  <c r="F11737" i="12"/>
  <c r="J11736" i="12"/>
  <c r="I11736" i="12"/>
  <c r="H11736" i="12"/>
  <c r="F11736" i="12"/>
  <c r="J11735" i="12"/>
  <c r="I11735" i="12"/>
  <c r="H11735" i="12"/>
  <c r="F11735" i="12"/>
  <c r="J11734" i="12"/>
  <c r="I11734" i="12"/>
  <c r="H11734" i="12"/>
  <c r="F11734" i="12"/>
  <c r="J11733" i="12"/>
  <c r="I11733" i="12"/>
  <c r="H11733" i="12"/>
  <c r="F11733" i="12"/>
  <c r="J11732" i="12"/>
  <c r="I11732" i="12"/>
  <c r="H11732" i="12"/>
  <c r="F11732" i="12"/>
  <c r="J11731" i="12"/>
  <c r="I11731" i="12"/>
  <c r="H11731" i="12"/>
  <c r="F11731" i="12"/>
  <c r="J11730" i="12"/>
  <c r="I11730" i="12"/>
  <c r="H11730" i="12"/>
  <c r="F11730" i="12"/>
  <c r="J11729" i="12"/>
  <c r="I11729" i="12"/>
  <c r="H11729" i="12"/>
  <c r="F11729" i="12"/>
  <c r="J11728" i="12"/>
  <c r="I11728" i="12"/>
  <c r="H11728" i="12"/>
  <c r="F11728" i="12"/>
  <c r="J11727" i="12"/>
  <c r="I11727" i="12"/>
  <c r="H11727" i="12"/>
  <c r="F11727" i="12"/>
  <c r="J11726" i="12"/>
  <c r="I11726" i="12"/>
  <c r="H11726" i="12"/>
  <c r="F11726" i="12"/>
  <c r="J11725" i="12"/>
  <c r="I11725" i="12"/>
  <c r="H11725" i="12"/>
  <c r="F11725" i="12"/>
  <c r="J11724" i="12"/>
  <c r="I11724" i="12"/>
  <c r="H11724" i="12"/>
  <c r="F11724" i="12"/>
  <c r="J11723" i="12"/>
  <c r="I11723" i="12"/>
  <c r="H11723" i="12"/>
  <c r="F11723" i="12"/>
  <c r="J11722" i="12"/>
  <c r="I11722" i="12"/>
  <c r="H11722" i="12"/>
  <c r="F11722" i="12"/>
  <c r="J11721" i="12"/>
  <c r="I11721" i="12"/>
  <c r="H11721" i="12"/>
  <c r="F11721" i="12"/>
  <c r="J11720" i="12"/>
  <c r="I11720" i="12"/>
  <c r="H11720" i="12"/>
  <c r="F11720" i="12"/>
  <c r="J11719" i="12"/>
  <c r="I11719" i="12"/>
  <c r="H11719" i="12"/>
  <c r="F11719" i="12"/>
  <c r="J11718" i="12"/>
  <c r="I11718" i="12"/>
  <c r="H11718" i="12"/>
  <c r="F11718" i="12"/>
  <c r="J11717" i="12"/>
  <c r="I11717" i="12"/>
  <c r="H11717" i="12"/>
  <c r="F11717" i="12"/>
  <c r="J11716" i="12"/>
  <c r="I11716" i="12"/>
  <c r="H11716" i="12"/>
  <c r="F11716" i="12"/>
  <c r="J11715" i="12"/>
  <c r="I11715" i="12"/>
  <c r="H11715" i="12"/>
  <c r="F11715" i="12"/>
  <c r="J11714" i="12"/>
  <c r="I11714" i="12"/>
  <c r="H11714" i="12"/>
  <c r="F11714" i="12"/>
  <c r="J11713" i="12"/>
  <c r="I11713" i="12"/>
  <c r="H11713" i="12"/>
  <c r="F11713" i="12"/>
  <c r="J11712" i="12"/>
  <c r="I11712" i="12"/>
  <c r="H11712" i="12"/>
  <c r="F11712" i="12"/>
  <c r="J11711" i="12"/>
  <c r="I11711" i="12"/>
  <c r="H11711" i="12"/>
  <c r="F11711" i="12"/>
  <c r="J11710" i="12"/>
  <c r="I11710" i="12"/>
  <c r="H11710" i="12"/>
  <c r="F11710" i="12"/>
  <c r="J11709" i="12"/>
  <c r="I11709" i="12"/>
  <c r="H11709" i="12"/>
  <c r="F11709" i="12"/>
  <c r="J11708" i="12"/>
  <c r="I11708" i="12"/>
  <c r="H11708" i="12"/>
  <c r="F11708" i="12"/>
  <c r="J11707" i="12"/>
  <c r="I11707" i="12"/>
  <c r="H11707" i="12"/>
  <c r="F11707" i="12"/>
  <c r="J11706" i="12"/>
  <c r="I11706" i="12"/>
  <c r="H11706" i="12"/>
  <c r="F11706" i="12"/>
  <c r="J11705" i="12"/>
  <c r="I11705" i="12"/>
  <c r="H11705" i="12"/>
  <c r="F11705" i="12"/>
  <c r="J11704" i="12"/>
  <c r="I11704" i="12"/>
  <c r="H11704" i="12"/>
  <c r="F11704" i="12"/>
  <c r="J11703" i="12"/>
  <c r="I11703" i="12"/>
  <c r="H11703" i="12"/>
  <c r="F11703" i="12"/>
  <c r="J11702" i="12"/>
  <c r="I11702" i="12"/>
  <c r="H11702" i="12"/>
  <c r="F11702" i="12"/>
  <c r="J11701" i="12"/>
  <c r="I11701" i="12"/>
  <c r="H11701" i="12"/>
  <c r="F11701" i="12"/>
  <c r="J11700" i="12"/>
  <c r="I11700" i="12"/>
  <c r="H11700" i="12"/>
  <c r="F11700" i="12"/>
  <c r="J11699" i="12"/>
  <c r="I11699" i="12"/>
  <c r="H11699" i="12"/>
  <c r="F11699" i="12"/>
  <c r="J11698" i="12"/>
  <c r="I11698" i="12"/>
  <c r="H11698" i="12"/>
  <c r="F11698" i="12"/>
  <c r="J11697" i="12"/>
  <c r="I11697" i="12"/>
  <c r="H11697" i="12"/>
  <c r="F11697" i="12"/>
  <c r="J11696" i="12"/>
  <c r="I11696" i="12"/>
  <c r="H11696" i="12"/>
  <c r="F11696" i="12"/>
  <c r="J11695" i="12"/>
  <c r="I11695" i="12"/>
  <c r="H11695" i="12"/>
  <c r="F11695" i="12"/>
  <c r="J11694" i="12"/>
  <c r="I11694" i="12"/>
  <c r="H11694" i="12"/>
  <c r="F11694" i="12"/>
  <c r="J11693" i="12"/>
  <c r="I11693" i="12"/>
  <c r="H11693" i="12"/>
  <c r="F11693" i="12"/>
  <c r="J11692" i="12"/>
  <c r="I11692" i="12"/>
  <c r="H11692" i="12"/>
  <c r="F11692" i="12"/>
  <c r="J11691" i="12"/>
  <c r="I11691" i="12"/>
  <c r="H11691" i="12"/>
  <c r="F11691" i="12"/>
  <c r="J11690" i="12"/>
  <c r="I11690" i="12"/>
  <c r="H11690" i="12"/>
  <c r="F11690" i="12"/>
  <c r="J11689" i="12"/>
  <c r="I11689" i="12"/>
  <c r="H11689" i="12"/>
  <c r="F11689" i="12"/>
  <c r="J11688" i="12"/>
  <c r="I11688" i="12"/>
  <c r="H11688" i="12"/>
  <c r="F11688" i="12"/>
  <c r="J11687" i="12"/>
  <c r="I11687" i="12"/>
  <c r="H11687" i="12"/>
  <c r="F11687" i="12"/>
  <c r="J11686" i="12"/>
  <c r="I11686" i="12"/>
  <c r="H11686" i="12"/>
  <c r="F11686" i="12"/>
  <c r="J11685" i="12"/>
  <c r="I11685" i="12"/>
  <c r="H11685" i="12"/>
  <c r="F11685" i="12"/>
  <c r="J11684" i="12"/>
  <c r="I11684" i="12"/>
  <c r="H11684" i="12"/>
  <c r="F11684" i="12"/>
  <c r="J11683" i="12"/>
  <c r="I11683" i="12"/>
  <c r="H11683" i="12"/>
  <c r="F11683" i="12"/>
  <c r="J11682" i="12"/>
  <c r="I11682" i="12"/>
  <c r="H11682" i="12"/>
  <c r="F11682" i="12"/>
  <c r="J11681" i="12"/>
  <c r="I11681" i="12"/>
  <c r="H11681" i="12"/>
  <c r="F11681" i="12"/>
  <c r="J11680" i="12"/>
  <c r="I11680" i="12"/>
  <c r="H11680" i="12"/>
  <c r="F11680" i="12"/>
  <c r="J11679" i="12"/>
  <c r="I11679" i="12"/>
  <c r="H11679" i="12"/>
  <c r="F11679" i="12"/>
  <c r="J11678" i="12"/>
  <c r="I11678" i="12"/>
  <c r="H11678" i="12"/>
  <c r="F11678" i="12"/>
  <c r="J11677" i="12"/>
  <c r="I11677" i="12"/>
  <c r="H11677" i="12"/>
  <c r="F11677" i="12"/>
  <c r="J11676" i="12"/>
  <c r="I11676" i="12"/>
  <c r="H11676" i="12"/>
  <c r="F11676" i="12"/>
  <c r="J11675" i="12"/>
  <c r="I11675" i="12"/>
  <c r="H11675" i="12"/>
  <c r="F11675" i="12"/>
  <c r="J11674" i="12"/>
  <c r="I11674" i="12"/>
  <c r="H11674" i="12"/>
  <c r="F11674" i="12"/>
  <c r="J11673" i="12"/>
  <c r="I11673" i="12"/>
  <c r="H11673" i="12"/>
  <c r="F11673" i="12"/>
  <c r="J11672" i="12"/>
  <c r="I11672" i="12"/>
  <c r="H11672" i="12"/>
  <c r="F11672" i="12"/>
  <c r="J11671" i="12"/>
  <c r="I11671" i="12"/>
  <c r="H11671" i="12"/>
  <c r="F11671" i="12"/>
  <c r="J11670" i="12"/>
  <c r="I11670" i="12"/>
  <c r="H11670" i="12"/>
  <c r="F11670" i="12"/>
  <c r="J11669" i="12"/>
  <c r="I11669" i="12"/>
  <c r="H11669" i="12"/>
  <c r="F11669" i="12"/>
  <c r="J11668" i="12"/>
  <c r="I11668" i="12"/>
  <c r="H11668" i="12"/>
  <c r="F11668" i="12"/>
  <c r="J11667" i="12"/>
  <c r="I11667" i="12"/>
  <c r="H11667" i="12"/>
  <c r="F11667" i="12"/>
  <c r="J11666" i="12"/>
  <c r="I11666" i="12"/>
  <c r="H11666" i="12"/>
  <c r="F11666" i="12"/>
  <c r="J11665" i="12"/>
  <c r="I11665" i="12"/>
  <c r="H11665" i="12"/>
  <c r="F11665" i="12"/>
  <c r="J11664" i="12"/>
  <c r="I11664" i="12"/>
  <c r="H11664" i="12"/>
  <c r="F11664" i="12"/>
  <c r="J11663" i="12"/>
  <c r="I11663" i="12"/>
  <c r="H11663" i="12"/>
  <c r="F11663" i="12"/>
  <c r="J11662" i="12"/>
  <c r="I11662" i="12"/>
  <c r="H11662" i="12"/>
  <c r="F11662" i="12"/>
  <c r="J11661" i="12"/>
  <c r="I11661" i="12"/>
  <c r="H11661" i="12"/>
  <c r="F11661" i="12"/>
  <c r="J11660" i="12"/>
  <c r="I11660" i="12"/>
  <c r="H11660" i="12"/>
  <c r="F11660" i="12"/>
  <c r="J11659" i="12"/>
  <c r="I11659" i="12"/>
  <c r="H11659" i="12"/>
  <c r="F11659" i="12"/>
  <c r="J11658" i="12"/>
  <c r="I11658" i="12"/>
  <c r="H11658" i="12"/>
  <c r="F11658" i="12"/>
  <c r="J11657" i="12"/>
  <c r="I11657" i="12"/>
  <c r="H11657" i="12"/>
  <c r="F11657" i="12"/>
  <c r="J11656" i="12"/>
  <c r="I11656" i="12"/>
  <c r="H11656" i="12"/>
  <c r="F11656" i="12"/>
  <c r="J11655" i="12"/>
  <c r="I11655" i="12"/>
  <c r="H11655" i="12"/>
  <c r="F11655" i="12"/>
  <c r="J11654" i="12"/>
  <c r="I11654" i="12"/>
  <c r="H11654" i="12"/>
  <c r="F11654" i="12"/>
  <c r="J11653" i="12"/>
  <c r="I11653" i="12"/>
  <c r="H11653" i="12"/>
  <c r="F11653" i="12"/>
  <c r="J11652" i="12"/>
  <c r="I11652" i="12"/>
  <c r="H11652" i="12"/>
  <c r="F11652" i="12"/>
  <c r="J11651" i="12"/>
  <c r="I11651" i="12"/>
  <c r="H11651" i="12"/>
  <c r="F11651" i="12"/>
  <c r="J11650" i="12"/>
  <c r="I11650" i="12"/>
  <c r="H11650" i="12"/>
  <c r="F11650" i="12"/>
  <c r="J11649" i="12"/>
  <c r="I11649" i="12"/>
  <c r="H11649" i="12"/>
  <c r="F11649" i="12"/>
  <c r="J11648" i="12"/>
  <c r="I11648" i="12"/>
  <c r="H11648" i="12"/>
  <c r="F11648" i="12"/>
  <c r="J11647" i="12"/>
  <c r="I11647" i="12"/>
  <c r="H11647" i="12"/>
  <c r="F11647" i="12"/>
  <c r="J11646" i="12"/>
  <c r="I11646" i="12"/>
  <c r="H11646" i="12"/>
  <c r="F11646" i="12"/>
  <c r="J11645" i="12"/>
  <c r="I11645" i="12"/>
  <c r="H11645" i="12"/>
  <c r="F11645" i="12"/>
  <c r="J11644" i="12"/>
  <c r="I11644" i="12"/>
  <c r="H11644" i="12"/>
  <c r="F11644" i="12"/>
  <c r="J11643" i="12"/>
  <c r="I11643" i="12"/>
  <c r="H11643" i="12"/>
  <c r="F11643" i="12"/>
  <c r="J11642" i="12"/>
  <c r="I11642" i="12"/>
  <c r="H11642" i="12"/>
  <c r="F11642" i="12"/>
  <c r="J11641" i="12"/>
  <c r="I11641" i="12"/>
  <c r="H11641" i="12"/>
  <c r="F11641" i="12"/>
  <c r="J11640" i="12"/>
  <c r="I11640" i="12"/>
  <c r="H11640" i="12"/>
  <c r="F11640" i="12"/>
  <c r="J11639" i="12"/>
  <c r="I11639" i="12"/>
  <c r="H11639" i="12"/>
  <c r="F11639" i="12"/>
  <c r="J11638" i="12"/>
  <c r="I11638" i="12"/>
  <c r="H11638" i="12"/>
  <c r="F11638" i="12"/>
  <c r="J11637" i="12"/>
  <c r="I11637" i="12"/>
  <c r="H11637" i="12"/>
  <c r="F11637" i="12"/>
  <c r="J11636" i="12"/>
  <c r="I11636" i="12"/>
  <c r="H11636" i="12"/>
  <c r="F11636" i="12"/>
  <c r="J11635" i="12"/>
  <c r="I11635" i="12"/>
  <c r="H11635" i="12"/>
  <c r="F11635" i="12"/>
  <c r="J11634" i="12"/>
  <c r="I11634" i="12"/>
  <c r="H11634" i="12"/>
  <c r="F11634" i="12"/>
  <c r="J11633" i="12"/>
  <c r="I11633" i="12"/>
  <c r="H11633" i="12"/>
  <c r="F11633" i="12"/>
  <c r="J11632" i="12"/>
  <c r="I11632" i="12"/>
  <c r="H11632" i="12"/>
  <c r="F11632" i="12"/>
  <c r="J11631" i="12"/>
  <c r="I11631" i="12"/>
  <c r="H11631" i="12"/>
  <c r="F11631" i="12"/>
  <c r="J11630" i="12"/>
  <c r="I11630" i="12"/>
  <c r="H11630" i="12"/>
  <c r="F11630" i="12"/>
  <c r="J11629" i="12"/>
  <c r="I11629" i="12"/>
  <c r="H11629" i="12"/>
  <c r="F11629" i="12"/>
  <c r="J11628" i="12"/>
  <c r="I11628" i="12"/>
  <c r="H11628" i="12"/>
  <c r="F11628" i="12"/>
  <c r="J11627" i="12"/>
  <c r="I11627" i="12"/>
  <c r="H11627" i="12"/>
  <c r="F11627" i="12"/>
  <c r="J11626" i="12"/>
  <c r="I11626" i="12"/>
  <c r="H11626" i="12"/>
  <c r="F11626" i="12"/>
  <c r="J11625" i="12"/>
  <c r="I11625" i="12"/>
  <c r="H11625" i="12"/>
  <c r="F11625" i="12"/>
  <c r="J11624" i="12"/>
  <c r="I11624" i="12"/>
  <c r="H11624" i="12"/>
  <c r="F11624" i="12"/>
  <c r="J11623" i="12"/>
  <c r="I11623" i="12"/>
  <c r="H11623" i="12"/>
  <c r="F11623" i="12"/>
  <c r="J11622" i="12"/>
  <c r="I11622" i="12"/>
  <c r="H11622" i="12"/>
  <c r="F11622" i="12"/>
  <c r="J11621" i="12"/>
  <c r="I11621" i="12"/>
  <c r="H11621" i="12"/>
  <c r="F11621" i="12"/>
  <c r="J11620" i="12"/>
  <c r="I11620" i="12"/>
  <c r="H11620" i="12"/>
  <c r="F11620" i="12"/>
  <c r="J11619" i="12"/>
  <c r="I11619" i="12"/>
  <c r="H11619" i="12"/>
  <c r="F11619" i="12"/>
  <c r="J11618" i="12"/>
  <c r="I11618" i="12"/>
  <c r="H11618" i="12"/>
  <c r="F11618" i="12"/>
  <c r="J11617" i="12"/>
  <c r="I11617" i="12"/>
  <c r="H11617" i="12"/>
  <c r="F11617" i="12"/>
  <c r="J11616" i="12"/>
  <c r="I11616" i="12"/>
  <c r="H11616" i="12"/>
  <c r="F11616" i="12"/>
  <c r="J11615" i="12"/>
  <c r="I11615" i="12"/>
  <c r="H11615" i="12"/>
  <c r="F11615" i="12"/>
  <c r="J11614" i="12"/>
  <c r="I11614" i="12"/>
  <c r="H11614" i="12"/>
  <c r="F11614" i="12"/>
  <c r="J11613" i="12"/>
  <c r="I11613" i="12"/>
  <c r="H11613" i="12"/>
  <c r="F11613" i="12"/>
  <c r="J11612" i="12"/>
  <c r="I11612" i="12"/>
  <c r="H11612" i="12"/>
  <c r="F11612" i="12"/>
  <c r="J11611" i="12"/>
  <c r="I11611" i="12"/>
  <c r="H11611" i="12"/>
  <c r="F11611" i="12"/>
  <c r="J11610" i="12"/>
  <c r="I11610" i="12"/>
  <c r="H11610" i="12"/>
  <c r="F11610" i="12"/>
  <c r="J11609" i="12"/>
  <c r="I11609" i="12"/>
  <c r="H11609" i="12"/>
  <c r="F11609" i="12"/>
  <c r="J11608" i="12"/>
  <c r="I11608" i="12"/>
  <c r="H11608" i="12"/>
  <c r="F11608" i="12"/>
  <c r="J11607" i="12"/>
  <c r="I11607" i="12"/>
  <c r="H11607" i="12"/>
  <c r="F11607" i="12"/>
  <c r="J11606" i="12"/>
  <c r="I11606" i="12"/>
  <c r="H11606" i="12"/>
  <c r="F11606" i="12"/>
  <c r="J11605" i="12"/>
  <c r="I11605" i="12"/>
  <c r="H11605" i="12"/>
  <c r="F11605" i="12"/>
  <c r="J11604" i="12"/>
  <c r="I11604" i="12"/>
  <c r="H11604" i="12"/>
  <c r="F11604" i="12"/>
  <c r="J11603" i="12"/>
  <c r="I11603" i="12"/>
  <c r="H11603" i="12"/>
  <c r="F11603" i="12"/>
  <c r="J11602" i="12"/>
  <c r="I11602" i="12"/>
  <c r="H11602" i="12"/>
  <c r="F11602" i="12"/>
  <c r="J11601" i="12"/>
  <c r="I11601" i="12"/>
  <c r="H11601" i="12"/>
  <c r="F11601" i="12"/>
  <c r="J11600" i="12"/>
  <c r="I11600" i="12"/>
  <c r="H11600" i="12"/>
  <c r="F11600" i="12"/>
  <c r="J11599" i="12"/>
  <c r="I11599" i="12"/>
  <c r="H11599" i="12"/>
  <c r="F11599" i="12"/>
  <c r="J11598" i="12"/>
  <c r="I11598" i="12"/>
  <c r="H11598" i="12"/>
  <c r="F11598" i="12"/>
  <c r="J11597" i="12"/>
  <c r="I11597" i="12"/>
  <c r="H11597" i="12"/>
  <c r="F11597" i="12"/>
  <c r="J11596" i="12"/>
  <c r="I11596" i="12"/>
  <c r="H11596" i="12"/>
  <c r="F11596" i="12"/>
  <c r="J11595" i="12"/>
  <c r="I11595" i="12"/>
  <c r="H11595" i="12"/>
  <c r="F11595" i="12"/>
  <c r="J11594" i="12"/>
  <c r="I11594" i="12"/>
  <c r="H11594" i="12"/>
  <c r="F11594" i="12"/>
  <c r="J11593" i="12"/>
  <c r="I11593" i="12"/>
  <c r="H11593" i="12"/>
  <c r="F11593" i="12"/>
  <c r="J11592" i="12"/>
  <c r="I11592" i="12"/>
  <c r="H11592" i="12"/>
  <c r="F11592" i="12"/>
  <c r="J11591" i="12"/>
  <c r="I11591" i="12"/>
  <c r="H11591" i="12"/>
  <c r="F11591" i="12"/>
  <c r="J11590" i="12"/>
  <c r="I11590" i="12"/>
  <c r="H11590" i="12"/>
  <c r="F11590" i="12"/>
  <c r="J11589" i="12"/>
  <c r="I11589" i="12"/>
  <c r="H11589" i="12"/>
  <c r="F11589" i="12"/>
  <c r="J11588" i="12"/>
  <c r="I11588" i="12"/>
  <c r="H11588" i="12"/>
  <c r="F11588" i="12"/>
  <c r="J11587" i="12"/>
  <c r="I11587" i="12"/>
  <c r="H11587" i="12"/>
  <c r="F11587" i="12"/>
  <c r="J11586" i="12"/>
  <c r="I11586" i="12"/>
  <c r="H11586" i="12"/>
  <c r="F11586" i="12"/>
  <c r="J11585" i="12"/>
  <c r="I11585" i="12"/>
  <c r="H11585" i="12"/>
  <c r="F11585" i="12"/>
  <c r="J11584" i="12"/>
  <c r="I11584" i="12"/>
  <c r="H11584" i="12"/>
  <c r="F11584" i="12"/>
  <c r="J11583" i="12"/>
  <c r="I11583" i="12"/>
  <c r="H11583" i="12"/>
  <c r="F11583" i="12"/>
  <c r="J11582" i="12"/>
  <c r="I11582" i="12"/>
  <c r="H11582" i="12"/>
  <c r="F11582" i="12"/>
  <c r="J11581" i="12"/>
  <c r="I11581" i="12"/>
  <c r="H11581" i="12"/>
  <c r="F11581" i="12"/>
  <c r="J11580" i="12"/>
  <c r="I11580" i="12"/>
  <c r="H11580" i="12"/>
  <c r="F11580" i="12"/>
  <c r="J11579" i="12"/>
  <c r="I11579" i="12"/>
  <c r="H11579" i="12"/>
  <c r="F11579" i="12"/>
  <c r="J11578" i="12"/>
  <c r="I11578" i="12"/>
  <c r="H11578" i="12"/>
  <c r="F11578" i="12"/>
  <c r="J11577" i="12"/>
  <c r="I11577" i="12"/>
  <c r="H11577" i="12"/>
  <c r="F11577" i="12"/>
  <c r="J11576" i="12"/>
  <c r="I11576" i="12"/>
  <c r="H11576" i="12"/>
  <c r="F11576" i="12"/>
  <c r="J11575" i="12"/>
  <c r="I11575" i="12"/>
  <c r="H11575" i="12"/>
  <c r="F11575" i="12"/>
  <c r="J11574" i="12"/>
  <c r="I11574" i="12"/>
  <c r="H11574" i="12"/>
  <c r="F11574" i="12"/>
  <c r="J11573" i="12"/>
  <c r="I11573" i="12"/>
  <c r="H11573" i="12"/>
  <c r="F11573" i="12"/>
  <c r="J11572" i="12"/>
  <c r="I11572" i="12"/>
  <c r="H11572" i="12"/>
  <c r="F11572" i="12"/>
  <c r="J11571" i="12"/>
  <c r="I11571" i="12"/>
  <c r="H11571" i="12"/>
  <c r="F11571" i="12"/>
  <c r="J11570" i="12"/>
  <c r="I11570" i="12"/>
  <c r="H11570" i="12"/>
  <c r="F11570" i="12"/>
  <c r="J11569" i="12"/>
  <c r="I11569" i="12"/>
  <c r="H11569" i="12"/>
  <c r="F11569" i="12"/>
  <c r="J11568" i="12"/>
  <c r="I11568" i="12"/>
  <c r="H11568" i="12"/>
  <c r="F11568" i="12"/>
  <c r="J11567" i="12"/>
  <c r="I11567" i="12"/>
  <c r="H11567" i="12"/>
  <c r="F11567" i="12"/>
  <c r="J11566" i="12"/>
  <c r="I11566" i="12"/>
  <c r="H11566" i="12"/>
  <c r="F11566" i="12"/>
  <c r="J11565" i="12"/>
  <c r="I11565" i="12"/>
  <c r="H11565" i="12"/>
  <c r="F11565" i="12"/>
  <c r="J11564" i="12"/>
  <c r="I11564" i="12"/>
  <c r="H11564" i="12"/>
  <c r="F11564" i="12"/>
  <c r="J11563" i="12"/>
  <c r="I11563" i="12"/>
  <c r="H11563" i="12"/>
  <c r="F11563" i="12"/>
  <c r="J11562" i="12"/>
  <c r="I11562" i="12"/>
  <c r="H11562" i="12"/>
  <c r="F11562" i="12"/>
  <c r="J11561" i="12"/>
  <c r="I11561" i="12"/>
  <c r="H11561" i="12"/>
  <c r="F11561" i="12"/>
  <c r="J11560" i="12"/>
  <c r="I11560" i="12"/>
  <c r="H11560" i="12"/>
  <c r="F11560" i="12"/>
  <c r="J11559" i="12"/>
  <c r="I11559" i="12"/>
  <c r="H11559" i="12"/>
  <c r="F11559" i="12"/>
  <c r="J11558" i="12"/>
  <c r="I11558" i="12"/>
  <c r="H11558" i="12"/>
  <c r="F11558" i="12"/>
  <c r="J11557" i="12"/>
  <c r="I11557" i="12"/>
  <c r="H11557" i="12"/>
  <c r="F11557" i="12"/>
  <c r="J11556" i="12"/>
  <c r="I11556" i="12"/>
  <c r="H11556" i="12"/>
  <c r="F11556" i="12"/>
  <c r="J11555" i="12"/>
  <c r="I11555" i="12"/>
  <c r="H11555" i="12"/>
  <c r="F11555" i="12"/>
  <c r="J11554" i="12"/>
  <c r="I11554" i="12"/>
  <c r="H11554" i="12"/>
  <c r="F11554" i="12"/>
  <c r="J11553" i="12"/>
  <c r="I11553" i="12"/>
  <c r="H11553" i="12"/>
  <c r="F11553" i="12"/>
  <c r="J11552" i="12"/>
  <c r="I11552" i="12"/>
  <c r="H11552" i="12"/>
  <c r="F11552" i="12"/>
  <c r="J11551" i="12"/>
  <c r="I11551" i="12"/>
  <c r="H11551" i="12"/>
  <c r="F11551" i="12"/>
  <c r="J11550" i="12"/>
  <c r="I11550" i="12"/>
  <c r="H11550" i="12"/>
  <c r="F11550" i="12"/>
  <c r="J11549" i="12"/>
  <c r="I11549" i="12"/>
  <c r="H11549" i="12"/>
  <c r="F11549" i="12"/>
  <c r="J11548" i="12"/>
  <c r="I11548" i="12"/>
  <c r="H11548" i="12"/>
  <c r="F11548" i="12"/>
  <c r="J11547" i="12"/>
  <c r="I11547" i="12"/>
  <c r="H11547" i="12"/>
  <c r="F11547" i="12"/>
  <c r="J11546" i="12"/>
  <c r="I11546" i="12"/>
  <c r="H11546" i="12"/>
  <c r="F11546" i="12"/>
  <c r="J11545" i="12"/>
  <c r="I11545" i="12"/>
  <c r="H11545" i="12"/>
  <c r="F11545" i="12"/>
  <c r="J11544" i="12"/>
  <c r="I11544" i="12"/>
  <c r="H11544" i="12"/>
  <c r="F11544" i="12"/>
  <c r="J11543" i="12"/>
  <c r="I11543" i="12"/>
  <c r="H11543" i="12"/>
  <c r="F11543" i="12"/>
  <c r="J11542" i="12"/>
  <c r="I11542" i="12"/>
  <c r="H11542" i="12"/>
  <c r="F11542" i="12"/>
  <c r="J11541" i="12"/>
  <c r="I11541" i="12"/>
  <c r="H11541" i="12"/>
  <c r="F11541" i="12"/>
  <c r="J11540" i="12"/>
  <c r="I11540" i="12"/>
  <c r="H11540" i="12"/>
  <c r="F11540" i="12"/>
  <c r="J11539" i="12"/>
  <c r="I11539" i="12"/>
  <c r="H11539" i="12"/>
  <c r="F11539" i="12"/>
  <c r="J11538" i="12"/>
  <c r="I11538" i="12"/>
  <c r="H11538" i="12"/>
  <c r="F11538" i="12"/>
  <c r="J11537" i="12"/>
  <c r="I11537" i="12"/>
  <c r="H11537" i="12"/>
  <c r="F11537" i="12"/>
  <c r="J11536" i="12"/>
  <c r="I11536" i="12"/>
  <c r="H11536" i="12"/>
  <c r="F11536" i="12"/>
  <c r="J11535" i="12"/>
  <c r="I11535" i="12"/>
  <c r="H11535" i="12"/>
  <c r="F11535" i="12"/>
  <c r="J11534" i="12"/>
  <c r="I11534" i="12"/>
  <c r="H11534" i="12"/>
  <c r="F11534" i="12"/>
  <c r="J11533" i="12"/>
  <c r="I11533" i="12"/>
  <c r="H11533" i="12"/>
  <c r="F11533" i="12"/>
  <c r="J11532" i="12"/>
  <c r="I11532" i="12"/>
  <c r="H11532" i="12"/>
  <c r="F11532" i="12"/>
  <c r="J11531" i="12"/>
  <c r="I11531" i="12"/>
  <c r="H11531" i="12"/>
  <c r="F11531" i="12"/>
  <c r="J11530" i="12"/>
  <c r="I11530" i="12"/>
  <c r="H11530" i="12"/>
  <c r="F11530" i="12"/>
  <c r="J11529" i="12"/>
  <c r="I11529" i="12"/>
  <c r="H11529" i="12"/>
  <c r="F11529" i="12"/>
  <c r="J11528" i="12"/>
  <c r="I11528" i="12"/>
  <c r="H11528" i="12"/>
  <c r="F11528" i="12"/>
  <c r="J11527" i="12"/>
  <c r="I11527" i="12"/>
  <c r="H11527" i="12"/>
  <c r="F11527" i="12"/>
  <c r="J11526" i="12"/>
  <c r="I11526" i="12"/>
  <c r="H11526" i="12"/>
  <c r="F11526" i="12"/>
  <c r="J11525" i="12"/>
  <c r="I11525" i="12"/>
  <c r="H11525" i="12"/>
  <c r="F11525" i="12"/>
  <c r="J11524" i="12"/>
  <c r="I11524" i="12"/>
  <c r="H11524" i="12"/>
  <c r="F11524" i="12"/>
  <c r="J11523" i="12"/>
  <c r="I11523" i="12"/>
  <c r="H11523" i="12"/>
  <c r="F11523" i="12"/>
  <c r="J11522" i="12"/>
  <c r="I11522" i="12"/>
  <c r="H11522" i="12"/>
  <c r="F11522" i="12"/>
  <c r="J11521" i="12"/>
  <c r="I11521" i="12"/>
  <c r="H11521" i="12"/>
  <c r="F11521" i="12"/>
  <c r="J11520" i="12"/>
  <c r="I11520" i="12"/>
  <c r="H11520" i="12"/>
  <c r="F11520" i="12"/>
  <c r="J11519" i="12"/>
  <c r="I11519" i="12"/>
  <c r="H11519" i="12"/>
  <c r="F11519" i="12"/>
  <c r="J11518" i="12"/>
  <c r="I11518" i="12"/>
  <c r="H11518" i="12"/>
  <c r="F11518" i="12"/>
  <c r="J11517" i="12"/>
  <c r="I11517" i="12"/>
  <c r="H11517" i="12"/>
  <c r="F11517" i="12"/>
  <c r="J11516" i="12"/>
  <c r="I11516" i="12"/>
  <c r="H11516" i="12"/>
  <c r="F11516" i="12"/>
  <c r="J11515" i="12"/>
  <c r="I11515" i="12"/>
  <c r="H11515" i="12"/>
  <c r="F11515" i="12"/>
  <c r="J11514" i="12"/>
  <c r="I11514" i="12"/>
  <c r="H11514" i="12"/>
  <c r="F11514" i="12"/>
  <c r="J11513" i="12"/>
  <c r="I11513" i="12"/>
  <c r="H11513" i="12"/>
  <c r="F11513" i="12"/>
  <c r="J11512" i="12"/>
  <c r="I11512" i="12"/>
  <c r="H11512" i="12"/>
  <c r="F11512" i="12"/>
  <c r="J11511" i="12"/>
  <c r="I11511" i="12"/>
  <c r="H11511" i="12"/>
  <c r="F11511" i="12"/>
  <c r="J11510" i="12"/>
  <c r="I11510" i="12"/>
  <c r="H11510" i="12"/>
  <c r="F11510" i="12"/>
  <c r="J11509" i="12"/>
  <c r="I11509" i="12"/>
  <c r="H11509" i="12"/>
  <c r="F11509" i="12"/>
  <c r="J11508" i="12"/>
  <c r="I11508" i="12"/>
  <c r="H11508" i="12"/>
  <c r="F11508" i="12"/>
  <c r="J11507" i="12"/>
  <c r="I11507" i="12"/>
  <c r="H11507" i="12"/>
  <c r="F11507" i="12"/>
  <c r="J11506" i="12"/>
  <c r="I11506" i="12"/>
  <c r="H11506" i="12"/>
  <c r="F11506" i="12"/>
  <c r="J11505" i="12"/>
  <c r="I11505" i="12"/>
  <c r="H11505" i="12"/>
  <c r="F11505" i="12"/>
  <c r="J11504" i="12"/>
  <c r="I11504" i="12"/>
  <c r="H11504" i="12"/>
  <c r="F11504" i="12"/>
  <c r="J11503" i="12"/>
  <c r="I11503" i="12"/>
  <c r="H11503" i="12"/>
  <c r="F11503" i="12"/>
  <c r="J11502" i="12"/>
  <c r="I11502" i="12"/>
  <c r="H11502" i="12"/>
  <c r="F11502" i="12"/>
  <c r="J11501" i="12"/>
  <c r="I11501" i="12"/>
  <c r="H11501" i="12"/>
  <c r="F11501" i="12"/>
  <c r="J11500" i="12"/>
  <c r="I11500" i="12"/>
  <c r="H11500" i="12"/>
  <c r="F11500" i="12"/>
  <c r="J11499" i="12"/>
  <c r="I11499" i="12"/>
  <c r="H11499" i="12"/>
  <c r="F11499" i="12"/>
  <c r="J11498" i="12"/>
  <c r="I11498" i="12"/>
  <c r="H11498" i="12"/>
  <c r="F11498" i="12"/>
  <c r="J11497" i="12"/>
  <c r="I11497" i="12"/>
  <c r="H11497" i="12"/>
  <c r="F11497" i="12"/>
  <c r="J11496" i="12"/>
  <c r="I11496" i="12"/>
  <c r="H11496" i="12"/>
  <c r="F11496" i="12"/>
  <c r="J11495" i="12"/>
  <c r="I11495" i="12"/>
  <c r="H11495" i="12"/>
  <c r="F11495" i="12"/>
  <c r="J11494" i="12"/>
  <c r="I11494" i="12"/>
  <c r="H11494" i="12"/>
  <c r="F11494" i="12"/>
  <c r="J11493" i="12"/>
  <c r="I11493" i="12"/>
  <c r="H11493" i="12"/>
  <c r="F11493" i="12"/>
  <c r="J11492" i="12"/>
  <c r="I11492" i="12"/>
  <c r="H11492" i="12"/>
  <c r="F11492" i="12"/>
  <c r="J11491" i="12"/>
  <c r="I11491" i="12"/>
  <c r="H11491" i="12"/>
  <c r="F11491" i="12"/>
  <c r="J11490" i="12"/>
  <c r="I11490" i="12"/>
  <c r="H11490" i="12"/>
  <c r="F11490" i="12"/>
  <c r="J11489" i="12"/>
  <c r="I11489" i="12"/>
  <c r="H11489" i="12"/>
  <c r="F11489" i="12"/>
  <c r="J11488" i="12"/>
  <c r="I11488" i="12"/>
  <c r="H11488" i="12"/>
  <c r="F11488" i="12"/>
  <c r="J11487" i="12"/>
  <c r="I11487" i="12"/>
  <c r="H11487" i="12"/>
  <c r="F11487" i="12"/>
  <c r="J11486" i="12"/>
  <c r="I11486" i="12"/>
  <c r="H11486" i="12"/>
  <c r="F11486" i="12"/>
  <c r="J11485" i="12"/>
  <c r="I11485" i="12"/>
  <c r="H11485" i="12"/>
  <c r="F11485" i="12"/>
  <c r="J11484" i="12"/>
  <c r="I11484" i="12"/>
  <c r="H11484" i="12"/>
  <c r="F11484" i="12"/>
  <c r="J11483" i="12"/>
  <c r="I11483" i="12"/>
  <c r="H11483" i="12"/>
  <c r="F11483" i="12"/>
  <c r="J11482" i="12"/>
  <c r="I11482" i="12"/>
  <c r="H11482" i="12"/>
  <c r="F11482" i="12"/>
  <c r="J11481" i="12"/>
  <c r="I11481" i="12"/>
  <c r="H11481" i="12"/>
  <c r="F11481" i="12"/>
  <c r="J11480" i="12"/>
  <c r="I11480" i="12"/>
  <c r="H11480" i="12"/>
  <c r="F11480" i="12"/>
  <c r="J11479" i="12"/>
  <c r="I11479" i="12"/>
  <c r="H11479" i="12"/>
  <c r="F11479" i="12"/>
  <c r="J11478" i="12"/>
  <c r="I11478" i="12"/>
  <c r="H11478" i="12"/>
  <c r="F11478" i="12"/>
  <c r="J11477" i="12"/>
  <c r="I11477" i="12"/>
  <c r="H11477" i="12"/>
  <c r="F11477" i="12"/>
  <c r="J11476" i="12"/>
  <c r="I11476" i="12"/>
  <c r="H11476" i="12"/>
  <c r="F11476" i="12"/>
  <c r="J11475" i="12"/>
  <c r="I11475" i="12"/>
  <c r="H11475" i="12"/>
  <c r="F11475" i="12"/>
  <c r="J11474" i="12"/>
  <c r="I11474" i="12"/>
  <c r="H11474" i="12"/>
  <c r="F11474" i="12"/>
  <c r="J11473" i="12"/>
  <c r="I11473" i="12"/>
  <c r="H11473" i="12"/>
  <c r="F11473" i="12"/>
  <c r="J11472" i="12"/>
  <c r="I11472" i="12"/>
  <c r="H11472" i="12"/>
  <c r="F11472" i="12"/>
  <c r="J11471" i="12"/>
  <c r="I11471" i="12"/>
  <c r="H11471" i="12"/>
  <c r="F11471" i="12"/>
  <c r="J11470" i="12"/>
  <c r="I11470" i="12"/>
  <c r="H11470" i="12"/>
  <c r="F11470" i="12"/>
  <c r="J11469" i="12"/>
  <c r="I11469" i="12"/>
  <c r="H11469" i="12"/>
  <c r="F11469" i="12"/>
  <c r="J11468" i="12"/>
  <c r="I11468" i="12"/>
  <c r="H11468" i="12"/>
  <c r="F11468" i="12"/>
  <c r="J11467" i="12"/>
  <c r="I11467" i="12"/>
  <c r="H11467" i="12"/>
  <c r="F11467" i="12"/>
  <c r="J11466" i="12"/>
  <c r="I11466" i="12"/>
  <c r="H11466" i="12"/>
  <c r="F11466" i="12"/>
  <c r="J11465" i="12"/>
  <c r="I11465" i="12"/>
  <c r="H11465" i="12"/>
  <c r="F11465" i="12"/>
  <c r="J11464" i="12"/>
  <c r="I11464" i="12"/>
  <c r="H11464" i="12"/>
  <c r="F11464" i="12"/>
  <c r="J11463" i="12"/>
  <c r="I11463" i="12"/>
  <c r="H11463" i="12"/>
  <c r="F11463" i="12"/>
  <c r="J11462" i="12"/>
  <c r="I11462" i="12"/>
  <c r="H11462" i="12"/>
  <c r="F11462" i="12"/>
  <c r="J11461" i="12"/>
  <c r="I11461" i="12"/>
  <c r="H11461" i="12"/>
  <c r="F11461" i="12"/>
  <c r="J11460" i="12"/>
  <c r="I11460" i="12"/>
  <c r="H11460" i="12"/>
  <c r="F11460" i="12"/>
  <c r="J11459" i="12"/>
  <c r="I11459" i="12"/>
  <c r="H11459" i="12"/>
  <c r="F11459" i="12"/>
  <c r="J11458" i="12"/>
  <c r="I11458" i="12"/>
  <c r="H11458" i="12"/>
  <c r="F11458" i="12"/>
  <c r="J11457" i="12"/>
  <c r="I11457" i="12"/>
  <c r="H11457" i="12"/>
  <c r="F11457" i="12"/>
  <c r="J11456" i="12"/>
  <c r="I11456" i="12"/>
  <c r="H11456" i="12"/>
  <c r="F11456" i="12"/>
  <c r="J11455" i="12"/>
  <c r="I11455" i="12"/>
  <c r="H11455" i="12"/>
  <c r="F11455" i="12"/>
  <c r="J11454" i="12"/>
  <c r="I11454" i="12"/>
  <c r="H11454" i="12"/>
  <c r="F11454" i="12"/>
  <c r="J11453" i="12"/>
  <c r="I11453" i="12"/>
  <c r="H11453" i="12"/>
  <c r="F11453" i="12"/>
  <c r="J11452" i="12"/>
  <c r="I11452" i="12"/>
  <c r="H11452" i="12"/>
  <c r="F11452" i="12"/>
  <c r="J11451" i="12"/>
  <c r="I11451" i="12"/>
  <c r="H11451" i="12"/>
  <c r="F11451" i="12"/>
  <c r="J11450" i="12"/>
  <c r="I11450" i="12"/>
  <c r="H11450" i="12"/>
  <c r="F11450" i="12"/>
  <c r="J11449" i="12"/>
  <c r="I11449" i="12"/>
  <c r="H11449" i="12"/>
  <c r="F11449" i="12"/>
  <c r="J11448" i="12"/>
  <c r="I11448" i="12"/>
  <c r="H11448" i="12"/>
  <c r="F11448" i="12"/>
  <c r="J11447" i="12"/>
  <c r="I11447" i="12"/>
  <c r="H11447" i="12"/>
  <c r="F11447" i="12"/>
  <c r="J11446" i="12"/>
  <c r="I11446" i="12"/>
  <c r="H11446" i="12"/>
  <c r="F11446" i="12"/>
  <c r="J11445" i="12"/>
  <c r="I11445" i="12"/>
  <c r="H11445" i="12"/>
  <c r="F11445" i="12"/>
  <c r="J11444" i="12"/>
  <c r="I11444" i="12"/>
  <c r="H11444" i="12"/>
  <c r="F11444" i="12"/>
  <c r="J11443" i="12"/>
  <c r="I11443" i="12"/>
  <c r="H11443" i="12"/>
  <c r="F11443" i="12"/>
  <c r="J11442" i="12"/>
  <c r="I11442" i="12"/>
  <c r="H11442" i="12"/>
  <c r="F11442" i="12"/>
  <c r="J11441" i="12"/>
  <c r="I11441" i="12"/>
  <c r="H11441" i="12"/>
  <c r="F11441" i="12"/>
  <c r="J11440" i="12"/>
  <c r="I11440" i="12"/>
  <c r="H11440" i="12"/>
  <c r="F11440" i="12"/>
  <c r="J11439" i="12"/>
  <c r="I11439" i="12"/>
  <c r="H11439" i="12"/>
  <c r="F11439" i="12"/>
  <c r="J11438" i="12"/>
  <c r="I11438" i="12"/>
  <c r="H11438" i="12"/>
  <c r="F11438" i="12"/>
  <c r="J11437" i="12"/>
  <c r="I11437" i="12"/>
  <c r="H11437" i="12"/>
  <c r="F11437" i="12"/>
  <c r="J11436" i="12"/>
  <c r="I11436" i="12"/>
  <c r="H11436" i="12"/>
  <c r="F11436" i="12"/>
  <c r="J11435" i="12"/>
  <c r="I11435" i="12"/>
  <c r="H11435" i="12"/>
  <c r="F11435" i="12"/>
  <c r="J11434" i="12"/>
  <c r="I11434" i="12"/>
  <c r="H11434" i="12"/>
  <c r="F11434" i="12"/>
  <c r="J11433" i="12"/>
  <c r="I11433" i="12"/>
  <c r="H11433" i="12"/>
  <c r="F11433" i="12"/>
  <c r="J11432" i="12"/>
  <c r="I11432" i="12"/>
  <c r="H11432" i="12"/>
  <c r="F11432" i="12"/>
  <c r="J11431" i="12"/>
  <c r="I11431" i="12"/>
  <c r="H11431" i="12"/>
  <c r="F11431" i="12"/>
  <c r="J11430" i="12"/>
  <c r="I11430" i="12"/>
  <c r="H11430" i="12"/>
  <c r="F11430" i="12"/>
  <c r="J11429" i="12"/>
  <c r="I11429" i="12"/>
  <c r="H11429" i="12"/>
  <c r="F11429" i="12"/>
  <c r="J11428" i="12"/>
  <c r="I11428" i="12"/>
  <c r="H11428" i="12"/>
  <c r="F11428" i="12"/>
  <c r="J11427" i="12"/>
  <c r="I11427" i="12"/>
  <c r="H11427" i="12"/>
  <c r="F11427" i="12"/>
  <c r="J11426" i="12"/>
  <c r="I11426" i="12"/>
  <c r="H11426" i="12"/>
  <c r="F11426" i="12"/>
  <c r="J11425" i="12"/>
  <c r="I11425" i="12"/>
  <c r="H11425" i="12"/>
  <c r="F11425" i="12"/>
  <c r="J11424" i="12"/>
  <c r="I11424" i="12"/>
  <c r="H11424" i="12"/>
  <c r="F11424" i="12"/>
  <c r="J11423" i="12"/>
  <c r="I11423" i="12"/>
  <c r="H11423" i="12"/>
  <c r="F11423" i="12"/>
  <c r="J11422" i="12"/>
  <c r="I11422" i="12"/>
  <c r="H11422" i="12"/>
  <c r="F11422" i="12"/>
  <c r="J11421" i="12"/>
  <c r="I11421" i="12"/>
  <c r="H11421" i="12"/>
  <c r="F11421" i="12"/>
  <c r="J11420" i="12"/>
  <c r="I11420" i="12"/>
  <c r="H11420" i="12"/>
  <c r="F11420" i="12"/>
  <c r="J11419" i="12"/>
  <c r="I11419" i="12"/>
  <c r="H11419" i="12"/>
  <c r="F11419" i="12"/>
  <c r="J11418" i="12"/>
  <c r="I11418" i="12"/>
  <c r="H11418" i="12"/>
  <c r="F11418" i="12"/>
  <c r="J11417" i="12"/>
  <c r="I11417" i="12"/>
  <c r="H11417" i="12"/>
  <c r="F11417" i="12"/>
  <c r="J11416" i="12"/>
  <c r="I11416" i="12"/>
  <c r="H11416" i="12"/>
  <c r="F11416" i="12"/>
  <c r="J11415" i="12"/>
  <c r="I11415" i="12"/>
  <c r="H11415" i="12"/>
  <c r="F11415" i="12"/>
  <c r="J11414" i="12"/>
  <c r="I11414" i="12"/>
  <c r="H11414" i="12"/>
  <c r="F11414" i="12"/>
  <c r="J11413" i="12"/>
  <c r="I11413" i="12"/>
  <c r="H11413" i="12"/>
  <c r="F11413" i="12"/>
  <c r="J11412" i="12"/>
  <c r="I11412" i="12"/>
  <c r="H11412" i="12"/>
  <c r="F11412" i="12"/>
  <c r="J11411" i="12"/>
  <c r="I11411" i="12"/>
  <c r="H11411" i="12"/>
  <c r="F11411" i="12"/>
  <c r="J11410" i="12"/>
  <c r="I11410" i="12"/>
  <c r="H11410" i="12"/>
  <c r="F11410" i="12"/>
  <c r="J11409" i="12"/>
  <c r="I11409" i="12"/>
  <c r="H11409" i="12"/>
  <c r="F11409" i="12"/>
  <c r="J11408" i="12"/>
  <c r="I11408" i="12"/>
  <c r="H11408" i="12"/>
  <c r="F11408" i="12"/>
  <c r="J11407" i="12"/>
  <c r="I11407" i="12"/>
  <c r="H11407" i="12"/>
  <c r="F11407" i="12"/>
  <c r="J11406" i="12"/>
  <c r="I11406" i="12"/>
  <c r="H11406" i="12"/>
  <c r="F11406" i="12"/>
  <c r="J11405" i="12"/>
  <c r="I11405" i="12"/>
  <c r="H11405" i="12"/>
  <c r="F11405" i="12"/>
  <c r="J11404" i="12"/>
  <c r="I11404" i="12"/>
  <c r="H11404" i="12"/>
  <c r="F11404" i="12"/>
  <c r="J11403" i="12"/>
  <c r="I11403" i="12"/>
  <c r="H11403" i="12"/>
  <c r="F11403" i="12"/>
  <c r="J11402" i="12"/>
  <c r="I11402" i="12"/>
  <c r="H11402" i="12"/>
  <c r="F11402" i="12"/>
  <c r="J11401" i="12"/>
  <c r="I11401" i="12"/>
  <c r="H11401" i="12"/>
  <c r="F11401" i="12"/>
  <c r="J11400" i="12"/>
  <c r="I11400" i="12"/>
  <c r="H11400" i="12"/>
  <c r="F11400" i="12"/>
  <c r="J11399" i="12"/>
  <c r="I11399" i="12"/>
  <c r="H11399" i="12"/>
  <c r="F11399" i="12"/>
  <c r="J11398" i="12"/>
  <c r="I11398" i="12"/>
  <c r="H11398" i="12"/>
  <c r="F11398" i="12"/>
  <c r="J11397" i="12"/>
  <c r="I11397" i="12"/>
  <c r="H11397" i="12"/>
  <c r="F11397" i="12"/>
  <c r="J11396" i="12"/>
  <c r="I11396" i="12"/>
  <c r="H11396" i="12"/>
  <c r="F11396" i="12"/>
  <c r="J11395" i="12"/>
  <c r="I11395" i="12"/>
  <c r="H11395" i="12"/>
  <c r="F11395" i="12"/>
  <c r="J11394" i="12"/>
  <c r="I11394" i="12"/>
  <c r="H11394" i="12"/>
  <c r="F11394" i="12"/>
  <c r="J11393" i="12"/>
  <c r="I11393" i="12"/>
  <c r="H11393" i="12"/>
  <c r="F11393" i="12"/>
  <c r="J11392" i="12"/>
  <c r="I11392" i="12"/>
  <c r="H11392" i="12"/>
  <c r="F11392" i="12"/>
  <c r="J11391" i="12"/>
  <c r="I11391" i="12"/>
  <c r="H11391" i="12"/>
  <c r="F11391" i="12"/>
  <c r="J11390" i="12"/>
  <c r="I11390" i="12"/>
  <c r="H11390" i="12"/>
  <c r="F11390" i="12"/>
  <c r="J11389" i="12"/>
  <c r="I11389" i="12"/>
  <c r="H11389" i="12"/>
  <c r="F11389" i="12"/>
  <c r="J11388" i="12"/>
  <c r="I11388" i="12"/>
  <c r="H11388" i="12"/>
  <c r="F11388" i="12"/>
  <c r="J11387" i="12"/>
  <c r="I11387" i="12"/>
  <c r="H11387" i="12"/>
  <c r="F11387" i="12"/>
  <c r="J11386" i="12"/>
  <c r="I11386" i="12"/>
  <c r="H11386" i="12"/>
  <c r="F11386" i="12"/>
  <c r="J11385" i="12"/>
  <c r="I11385" i="12"/>
  <c r="H11385" i="12"/>
  <c r="F11385" i="12"/>
  <c r="J11384" i="12"/>
  <c r="I11384" i="12"/>
  <c r="H11384" i="12"/>
  <c r="F11384" i="12"/>
  <c r="J11383" i="12"/>
  <c r="I11383" i="12"/>
  <c r="H11383" i="12"/>
  <c r="F11383" i="12"/>
  <c r="J11382" i="12"/>
  <c r="I11382" i="12"/>
  <c r="H11382" i="12"/>
  <c r="F11382" i="12"/>
  <c r="J11381" i="12"/>
  <c r="I11381" i="12"/>
  <c r="H11381" i="12"/>
  <c r="F11381" i="12"/>
  <c r="J11380" i="12"/>
  <c r="I11380" i="12"/>
  <c r="H11380" i="12"/>
  <c r="F11380" i="12"/>
  <c r="J11379" i="12"/>
  <c r="I11379" i="12"/>
  <c r="H11379" i="12"/>
  <c r="F11379" i="12"/>
  <c r="J11378" i="12"/>
  <c r="I11378" i="12"/>
  <c r="H11378" i="12"/>
  <c r="F11378" i="12"/>
  <c r="J11377" i="12"/>
  <c r="I11377" i="12"/>
  <c r="H11377" i="12"/>
  <c r="F11377" i="12"/>
  <c r="J11376" i="12"/>
  <c r="I11376" i="12"/>
  <c r="H11376" i="12"/>
  <c r="F11376" i="12"/>
  <c r="J11375" i="12"/>
  <c r="I11375" i="12"/>
  <c r="H11375" i="12"/>
  <c r="F11375" i="12"/>
  <c r="J11374" i="12"/>
  <c r="I11374" i="12"/>
  <c r="H11374" i="12"/>
  <c r="F11374" i="12"/>
  <c r="J11373" i="12"/>
  <c r="I11373" i="12"/>
  <c r="H11373" i="12"/>
  <c r="F11373" i="12"/>
  <c r="J11372" i="12"/>
  <c r="I11372" i="12"/>
  <c r="H11372" i="12"/>
  <c r="F11372" i="12"/>
  <c r="J11371" i="12"/>
  <c r="I11371" i="12"/>
  <c r="H11371" i="12"/>
  <c r="F11371" i="12"/>
  <c r="J11370" i="12"/>
  <c r="I11370" i="12"/>
  <c r="H11370" i="12"/>
  <c r="F11370" i="12"/>
  <c r="J11369" i="12"/>
  <c r="I11369" i="12"/>
  <c r="H11369" i="12"/>
  <c r="F11369" i="12"/>
  <c r="J11368" i="12"/>
  <c r="I11368" i="12"/>
  <c r="H11368" i="12"/>
  <c r="F11368" i="12"/>
  <c r="J11367" i="12"/>
  <c r="I11367" i="12"/>
  <c r="H11367" i="12"/>
  <c r="F11367" i="12"/>
  <c r="J11366" i="12"/>
  <c r="I11366" i="12"/>
  <c r="H11366" i="12"/>
  <c r="F11366" i="12"/>
  <c r="J11365" i="12"/>
  <c r="I11365" i="12"/>
  <c r="H11365" i="12"/>
  <c r="F11365" i="12"/>
  <c r="J11364" i="12"/>
  <c r="I11364" i="12"/>
  <c r="H11364" i="12"/>
  <c r="F11364" i="12"/>
  <c r="J11363" i="12"/>
  <c r="I11363" i="12"/>
  <c r="H11363" i="12"/>
  <c r="F11363" i="12"/>
  <c r="J11362" i="12"/>
  <c r="I11362" i="12"/>
  <c r="H11362" i="12"/>
  <c r="F11362" i="12"/>
  <c r="J11361" i="12"/>
  <c r="I11361" i="12"/>
  <c r="H11361" i="12"/>
  <c r="F11361" i="12"/>
  <c r="J11360" i="12"/>
  <c r="I11360" i="12"/>
  <c r="H11360" i="12"/>
  <c r="F11360" i="12"/>
  <c r="J11359" i="12"/>
  <c r="I11359" i="12"/>
  <c r="H11359" i="12"/>
  <c r="F11359" i="12"/>
  <c r="J11358" i="12"/>
  <c r="I11358" i="12"/>
  <c r="H11358" i="12"/>
  <c r="F11358" i="12"/>
  <c r="J11357" i="12"/>
  <c r="I11357" i="12"/>
  <c r="H11357" i="12"/>
  <c r="F11357" i="12"/>
  <c r="J11356" i="12"/>
  <c r="I11356" i="12"/>
  <c r="H11356" i="12"/>
  <c r="F11356" i="12"/>
  <c r="J11355" i="12"/>
  <c r="I11355" i="12"/>
  <c r="H11355" i="12"/>
  <c r="F11355" i="12"/>
  <c r="J11354" i="12"/>
  <c r="I11354" i="12"/>
  <c r="H11354" i="12"/>
  <c r="F11354" i="12"/>
  <c r="J11353" i="12"/>
  <c r="I11353" i="12"/>
  <c r="H11353" i="12"/>
  <c r="F11353" i="12"/>
  <c r="J11352" i="12"/>
  <c r="I11352" i="12"/>
  <c r="H11352" i="12"/>
  <c r="F11352" i="12"/>
  <c r="J11351" i="12"/>
  <c r="I11351" i="12"/>
  <c r="H11351" i="12"/>
  <c r="F11351" i="12"/>
  <c r="J11350" i="12"/>
  <c r="I11350" i="12"/>
  <c r="H11350" i="12"/>
  <c r="F11350" i="12"/>
  <c r="J11349" i="12"/>
  <c r="I11349" i="12"/>
  <c r="H11349" i="12"/>
  <c r="F11349" i="12"/>
  <c r="J11348" i="12"/>
  <c r="I11348" i="12"/>
  <c r="H11348" i="12"/>
  <c r="F11348" i="12"/>
  <c r="J11347" i="12"/>
  <c r="I11347" i="12"/>
  <c r="H11347" i="12"/>
  <c r="F11347" i="12"/>
  <c r="J11346" i="12"/>
  <c r="I11346" i="12"/>
  <c r="H11346" i="12"/>
  <c r="F11346" i="12"/>
  <c r="J11345" i="12"/>
  <c r="I11345" i="12"/>
  <c r="H11345" i="12"/>
  <c r="F11345" i="12"/>
  <c r="J11344" i="12"/>
  <c r="I11344" i="12"/>
  <c r="H11344" i="12"/>
  <c r="F11344" i="12"/>
  <c r="J11343" i="12"/>
  <c r="I11343" i="12"/>
  <c r="H11343" i="12"/>
  <c r="F11343" i="12"/>
  <c r="J11342" i="12"/>
  <c r="I11342" i="12"/>
  <c r="H11342" i="12"/>
  <c r="F11342" i="12"/>
  <c r="J11341" i="12"/>
  <c r="I11341" i="12"/>
  <c r="H11341" i="12"/>
  <c r="F11341" i="12"/>
  <c r="J11340" i="12"/>
  <c r="I11340" i="12"/>
  <c r="H11340" i="12"/>
  <c r="F11340" i="12"/>
  <c r="J11339" i="12"/>
  <c r="I11339" i="12"/>
  <c r="H11339" i="12"/>
  <c r="F11339" i="12"/>
  <c r="J11338" i="12"/>
  <c r="I11338" i="12"/>
  <c r="H11338" i="12"/>
  <c r="F11338" i="12"/>
  <c r="J11337" i="12"/>
  <c r="I11337" i="12"/>
  <c r="H11337" i="12"/>
  <c r="F11337" i="12"/>
  <c r="J11336" i="12"/>
  <c r="I11336" i="12"/>
  <c r="H11336" i="12"/>
  <c r="F11336" i="12"/>
  <c r="J11335" i="12"/>
  <c r="I11335" i="12"/>
  <c r="H11335" i="12"/>
  <c r="F11335" i="12"/>
  <c r="J11334" i="12"/>
  <c r="I11334" i="12"/>
  <c r="H11334" i="12"/>
  <c r="F11334" i="12"/>
  <c r="J11333" i="12"/>
  <c r="I11333" i="12"/>
  <c r="H11333" i="12"/>
  <c r="F11333" i="12"/>
  <c r="J11332" i="12"/>
  <c r="I11332" i="12"/>
  <c r="H11332" i="12"/>
  <c r="F11332" i="12"/>
  <c r="J11331" i="12"/>
  <c r="I11331" i="12"/>
  <c r="H11331" i="12"/>
  <c r="F11331" i="12"/>
  <c r="J11330" i="12"/>
  <c r="I11330" i="12"/>
  <c r="H11330" i="12"/>
  <c r="F11330" i="12"/>
  <c r="J11329" i="12"/>
  <c r="I11329" i="12"/>
  <c r="H11329" i="12"/>
  <c r="F11329" i="12"/>
  <c r="J11328" i="12"/>
  <c r="I11328" i="12"/>
  <c r="H11328" i="12"/>
  <c r="F11328" i="12"/>
  <c r="J11327" i="12"/>
  <c r="I11327" i="12"/>
  <c r="H11327" i="12"/>
  <c r="F11327" i="12"/>
  <c r="J11326" i="12"/>
  <c r="I11326" i="12"/>
  <c r="H11326" i="12"/>
  <c r="F11326" i="12"/>
  <c r="J11325" i="12"/>
  <c r="I11325" i="12"/>
  <c r="H11325" i="12"/>
  <c r="F11325" i="12"/>
  <c r="J11324" i="12"/>
  <c r="I11324" i="12"/>
  <c r="H11324" i="12"/>
  <c r="F11324" i="12"/>
  <c r="J11323" i="12"/>
  <c r="I11323" i="12"/>
  <c r="H11323" i="12"/>
  <c r="F11323" i="12"/>
  <c r="J11322" i="12"/>
  <c r="I11322" i="12"/>
  <c r="H11322" i="12"/>
  <c r="F11322" i="12"/>
  <c r="J11321" i="12"/>
  <c r="I11321" i="12"/>
  <c r="H11321" i="12"/>
  <c r="F11321" i="12"/>
  <c r="J11320" i="12"/>
  <c r="I11320" i="12"/>
  <c r="H11320" i="12"/>
  <c r="F11320" i="12"/>
  <c r="J11319" i="12"/>
  <c r="I11319" i="12"/>
  <c r="H11319" i="12"/>
  <c r="F11319" i="12"/>
  <c r="J11318" i="12"/>
  <c r="I11318" i="12"/>
  <c r="H11318" i="12"/>
  <c r="F11318" i="12"/>
  <c r="J11317" i="12"/>
  <c r="I11317" i="12"/>
  <c r="H11317" i="12"/>
  <c r="F11317" i="12"/>
  <c r="J11316" i="12"/>
  <c r="I11316" i="12"/>
  <c r="H11316" i="12"/>
  <c r="F11316" i="12"/>
  <c r="J11315" i="12"/>
  <c r="I11315" i="12"/>
  <c r="H11315" i="12"/>
  <c r="F11315" i="12"/>
  <c r="J11314" i="12"/>
  <c r="I11314" i="12"/>
  <c r="H11314" i="12"/>
  <c r="F11314" i="12"/>
  <c r="J11313" i="12"/>
  <c r="I11313" i="12"/>
  <c r="H11313" i="12"/>
  <c r="F11313" i="12"/>
  <c r="J11312" i="12"/>
  <c r="I11312" i="12"/>
  <c r="H11312" i="12"/>
  <c r="F11312" i="12"/>
  <c r="J11311" i="12"/>
  <c r="I11311" i="12"/>
  <c r="H11311" i="12"/>
  <c r="F11311" i="12"/>
  <c r="J11310" i="12"/>
  <c r="I11310" i="12"/>
  <c r="H11310" i="12"/>
  <c r="F11310" i="12"/>
  <c r="J11309" i="12"/>
  <c r="I11309" i="12"/>
  <c r="H11309" i="12"/>
  <c r="F11309" i="12"/>
  <c r="J11308" i="12"/>
  <c r="I11308" i="12"/>
  <c r="H11308" i="12"/>
  <c r="F11308" i="12"/>
  <c r="J11307" i="12"/>
  <c r="I11307" i="12"/>
  <c r="H11307" i="12"/>
  <c r="F11307" i="12"/>
  <c r="J11306" i="12"/>
  <c r="I11306" i="12"/>
  <c r="H11306" i="12"/>
  <c r="F11306" i="12"/>
  <c r="J11305" i="12"/>
  <c r="I11305" i="12"/>
  <c r="H11305" i="12"/>
  <c r="F11305" i="12"/>
  <c r="J11304" i="12"/>
  <c r="I11304" i="12"/>
  <c r="H11304" i="12"/>
  <c r="F11304" i="12"/>
  <c r="J11303" i="12"/>
  <c r="I11303" i="12"/>
  <c r="H11303" i="12"/>
  <c r="F11303" i="12"/>
  <c r="J11302" i="12"/>
  <c r="I11302" i="12"/>
  <c r="H11302" i="12"/>
  <c r="F11302" i="12"/>
  <c r="J11301" i="12"/>
  <c r="I11301" i="12"/>
  <c r="H11301" i="12"/>
  <c r="F11301" i="12"/>
  <c r="J11300" i="12"/>
  <c r="I11300" i="12"/>
  <c r="H11300" i="12"/>
  <c r="F11300" i="12"/>
  <c r="J11299" i="12"/>
  <c r="I11299" i="12"/>
  <c r="H11299" i="12"/>
  <c r="F11299" i="12"/>
  <c r="J11298" i="12"/>
  <c r="I11298" i="12"/>
  <c r="H11298" i="12"/>
  <c r="F11298" i="12"/>
  <c r="J11297" i="12"/>
  <c r="I11297" i="12"/>
  <c r="H11297" i="12"/>
  <c r="F11297" i="12"/>
  <c r="J11296" i="12"/>
  <c r="I11296" i="12"/>
  <c r="H11296" i="12"/>
  <c r="F11296" i="12"/>
  <c r="J11295" i="12"/>
  <c r="I11295" i="12"/>
  <c r="H11295" i="12"/>
  <c r="F11295" i="12"/>
  <c r="J11294" i="12"/>
  <c r="I11294" i="12"/>
  <c r="H11294" i="12"/>
  <c r="F11294" i="12"/>
  <c r="J11293" i="12"/>
  <c r="I11293" i="12"/>
  <c r="H11293" i="12"/>
  <c r="F11293" i="12"/>
  <c r="J11292" i="12"/>
  <c r="I11292" i="12"/>
  <c r="H11292" i="12"/>
  <c r="F11292" i="12"/>
  <c r="J11291" i="12"/>
  <c r="I11291" i="12"/>
  <c r="H11291" i="12"/>
  <c r="F11291" i="12"/>
  <c r="J11290" i="12"/>
  <c r="I11290" i="12"/>
  <c r="H11290" i="12"/>
  <c r="F11290" i="12"/>
  <c r="J11289" i="12"/>
  <c r="I11289" i="12"/>
  <c r="H11289" i="12"/>
  <c r="F11289" i="12"/>
  <c r="J11288" i="12"/>
  <c r="I11288" i="12"/>
  <c r="H11288" i="12"/>
  <c r="F11288" i="12"/>
  <c r="J11287" i="12"/>
  <c r="I11287" i="12"/>
  <c r="H11287" i="12"/>
  <c r="F11287" i="12"/>
  <c r="J11286" i="12"/>
  <c r="I11286" i="12"/>
  <c r="H11286" i="12"/>
  <c r="F11286" i="12"/>
  <c r="J11285" i="12"/>
  <c r="I11285" i="12"/>
  <c r="H11285" i="12"/>
  <c r="F11285" i="12"/>
  <c r="J11284" i="12"/>
  <c r="I11284" i="12"/>
  <c r="H11284" i="12"/>
  <c r="F11284" i="12"/>
  <c r="J11283" i="12"/>
  <c r="I11283" i="12"/>
  <c r="H11283" i="12"/>
  <c r="F11283" i="12"/>
  <c r="J11282" i="12"/>
  <c r="I11282" i="12"/>
  <c r="H11282" i="12"/>
  <c r="F11282" i="12"/>
  <c r="J11281" i="12"/>
  <c r="I11281" i="12"/>
  <c r="H11281" i="12"/>
  <c r="F11281" i="12"/>
  <c r="J11280" i="12"/>
  <c r="I11280" i="12"/>
  <c r="H11280" i="12"/>
  <c r="F11280" i="12"/>
  <c r="J11279" i="12"/>
  <c r="I11279" i="12"/>
  <c r="H11279" i="12"/>
  <c r="F11279" i="12"/>
  <c r="J11278" i="12"/>
  <c r="I11278" i="12"/>
  <c r="H11278" i="12"/>
  <c r="F11278" i="12"/>
  <c r="J11277" i="12"/>
  <c r="I11277" i="12"/>
  <c r="H11277" i="12"/>
  <c r="F11277" i="12"/>
  <c r="J11276" i="12"/>
  <c r="I11276" i="12"/>
  <c r="H11276" i="12"/>
  <c r="F11276" i="12"/>
  <c r="J11275" i="12"/>
  <c r="I11275" i="12"/>
  <c r="H11275" i="12"/>
  <c r="F11275" i="12"/>
  <c r="J11274" i="12"/>
  <c r="I11274" i="12"/>
  <c r="H11274" i="12"/>
  <c r="F11274" i="12"/>
  <c r="J11273" i="12"/>
  <c r="I11273" i="12"/>
  <c r="H11273" i="12"/>
  <c r="F11273" i="12"/>
  <c r="J11272" i="12"/>
  <c r="I11272" i="12"/>
  <c r="H11272" i="12"/>
  <c r="F11272" i="12"/>
  <c r="J11271" i="12"/>
  <c r="I11271" i="12"/>
  <c r="H11271" i="12"/>
  <c r="F11271" i="12"/>
  <c r="J11270" i="12"/>
  <c r="I11270" i="12"/>
  <c r="H11270" i="12"/>
  <c r="F11270" i="12"/>
  <c r="J11269" i="12"/>
  <c r="I11269" i="12"/>
  <c r="H11269" i="12"/>
  <c r="F11269" i="12"/>
  <c r="J11268" i="12"/>
  <c r="I11268" i="12"/>
  <c r="H11268" i="12"/>
  <c r="F11268" i="12"/>
  <c r="J11267" i="12"/>
  <c r="I11267" i="12"/>
  <c r="H11267" i="12"/>
  <c r="F11267" i="12"/>
  <c r="J11266" i="12"/>
  <c r="I11266" i="12"/>
  <c r="H11266" i="12"/>
  <c r="F11266" i="12"/>
  <c r="J11265" i="12"/>
  <c r="I11265" i="12"/>
  <c r="H11265" i="12"/>
  <c r="F11265" i="12"/>
  <c r="J11264" i="12"/>
  <c r="I11264" i="12"/>
  <c r="H11264" i="12"/>
  <c r="F11264" i="12"/>
  <c r="J11263" i="12"/>
  <c r="I11263" i="12"/>
  <c r="H11263" i="12"/>
  <c r="F11263" i="12"/>
  <c r="J11262" i="12"/>
  <c r="I11262" i="12"/>
  <c r="H11262" i="12"/>
  <c r="F11262" i="12"/>
  <c r="J11261" i="12"/>
  <c r="I11261" i="12"/>
  <c r="H11261" i="12"/>
  <c r="F11261" i="12"/>
  <c r="J11260" i="12"/>
  <c r="I11260" i="12"/>
  <c r="H11260" i="12"/>
  <c r="F11260" i="12"/>
  <c r="J11259" i="12"/>
  <c r="I11259" i="12"/>
  <c r="H11259" i="12"/>
  <c r="F11259" i="12"/>
  <c r="J11258" i="12"/>
  <c r="I11258" i="12"/>
  <c r="H11258" i="12"/>
  <c r="F11258" i="12"/>
  <c r="J11257" i="12"/>
  <c r="I11257" i="12"/>
  <c r="H11257" i="12"/>
  <c r="F11257" i="12"/>
  <c r="J11256" i="12"/>
  <c r="I11256" i="12"/>
  <c r="H11256" i="12"/>
  <c r="F11256" i="12"/>
  <c r="J11255" i="12"/>
  <c r="I11255" i="12"/>
  <c r="H11255" i="12"/>
  <c r="F11255" i="12"/>
  <c r="J11254" i="12"/>
  <c r="I11254" i="12"/>
  <c r="H11254" i="12"/>
  <c r="F11254" i="12"/>
  <c r="J11253" i="12"/>
  <c r="I11253" i="12"/>
  <c r="H11253" i="12"/>
  <c r="F11253" i="12"/>
  <c r="J11252" i="12"/>
  <c r="I11252" i="12"/>
  <c r="H11252" i="12"/>
  <c r="F11252" i="12"/>
  <c r="J11251" i="12"/>
  <c r="I11251" i="12"/>
  <c r="H11251" i="12"/>
  <c r="F11251" i="12"/>
  <c r="J11250" i="12"/>
  <c r="I11250" i="12"/>
  <c r="H11250" i="12"/>
  <c r="F11250" i="12"/>
  <c r="J11249" i="12"/>
  <c r="I11249" i="12"/>
  <c r="H11249" i="12"/>
  <c r="F11249" i="12"/>
  <c r="J11248" i="12"/>
  <c r="I11248" i="12"/>
  <c r="H11248" i="12"/>
  <c r="F11248" i="12"/>
  <c r="J11247" i="12"/>
  <c r="I11247" i="12"/>
  <c r="H11247" i="12"/>
  <c r="F11247" i="12"/>
  <c r="J11246" i="12"/>
  <c r="I11246" i="12"/>
  <c r="H11246" i="12"/>
  <c r="F11246" i="12"/>
  <c r="J11245" i="12"/>
  <c r="I11245" i="12"/>
  <c r="H11245" i="12"/>
  <c r="F11245" i="12"/>
  <c r="J11244" i="12"/>
  <c r="I11244" i="12"/>
  <c r="H11244" i="12"/>
  <c r="F11244" i="12"/>
  <c r="J11243" i="12"/>
  <c r="I11243" i="12"/>
  <c r="H11243" i="12"/>
  <c r="F11243" i="12"/>
  <c r="J11242" i="12"/>
  <c r="I11242" i="12"/>
  <c r="H11242" i="12"/>
  <c r="F11242" i="12"/>
  <c r="J11241" i="12"/>
  <c r="I11241" i="12"/>
  <c r="H11241" i="12"/>
  <c r="F11241" i="12"/>
  <c r="J11240" i="12"/>
  <c r="I11240" i="12"/>
  <c r="H11240" i="12"/>
  <c r="F11240" i="12"/>
  <c r="J11239" i="12"/>
  <c r="I11239" i="12"/>
  <c r="H11239" i="12"/>
  <c r="F11239" i="12"/>
  <c r="J11238" i="12"/>
  <c r="I11238" i="12"/>
  <c r="H11238" i="12"/>
  <c r="F11238" i="12"/>
  <c r="J11237" i="12"/>
  <c r="I11237" i="12"/>
  <c r="H11237" i="12"/>
  <c r="F11237" i="12"/>
  <c r="J11236" i="12"/>
  <c r="I11236" i="12"/>
  <c r="H11236" i="12"/>
  <c r="F11236" i="12"/>
  <c r="J11235" i="12"/>
  <c r="I11235" i="12"/>
  <c r="H11235" i="12"/>
  <c r="F11235" i="12"/>
  <c r="J11234" i="12"/>
  <c r="I11234" i="12"/>
  <c r="H11234" i="12"/>
  <c r="F11234" i="12"/>
  <c r="J11233" i="12"/>
  <c r="I11233" i="12"/>
  <c r="H11233" i="12"/>
  <c r="F11233" i="12"/>
  <c r="J11232" i="12"/>
  <c r="I11232" i="12"/>
  <c r="H11232" i="12"/>
  <c r="F11232" i="12"/>
  <c r="J11231" i="12"/>
  <c r="I11231" i="12"/>
  <c r="H11231" i="12"/>
  <c r="F11231" i="12"/>
  <c r="J11230" i="12"/>
  <c r="I11230" i="12"/>
  <c r="H11230" i="12"/>
  <c r="F11230" i="12"/>
  <c r="J11229" i="12"/>
  <c r="I11229" i="12"/>
  <c r="H11229" i="12"/>
  <c r="F11229" i="12"/>
  <c r="J11228" i="12"/>
  <c r="I11228" i="12"/>
  <c r="H11228" i="12"/>
  <c r="F11228" i="12"/>
  <c r="J11227" i="12"/>
  <c r="I11227" i="12"/>
  <c r="H11227" i="12"/>
  <c r="F11227" i="12"/>
  <c r="J11226" i="12"/>
  <c r="I11226" i="12"/>
  <c r="H11226" i="12"/>
  <c r="F11226" i="12"/>
  <c r="J11225" i="12"/>
  <c r="I11225" i="12"/>
  <c r="H11225" i="12"/>
  <c r="F11225" i="12"/>
  <c r="J11224" i="12"/>
  <c r="I11224" i="12"/>
  <c r="H11224" i="12"/>
  <c r="F11224" i="12"/>
  <c r="J11223" i="12"/>
  <c r="I11223" i="12"/>
  <c r="H11223" i="12"/>
  <c r="F11223" i="12"/>
  <c r="J11222" i="12"/>
  <c r="I11222" i="12"/>
  <c r="H11222" i="12"/>
  <c r="F11222" i="12"/>
  <c r="J11221" i="12"/>
  <c r="I11221" i="12"/>
  <c r="H11221" i="12"/>
  <c r="F11221" i="12"/>
  <c r="J11220" i="12"/>
  <c r="I11220" i="12"/>
  <c r="H11220" i="12"/>
  <c r="F11220" i="12"/>
  <c r="J11219" i="12"/>
  <c r="I11219" i="12"/>
  <c r="H11219" i="12"/>
  <c r="F11219" i="12"/>
  <c r="J11218" i="12"/>
  <c r="I11218" i="12"/>
  <c r="H11218" i="12"/>
  <c r="F11218" i="12"/>
  <c r="J11217" i="12"/>
  <c r="I11217" i="12"/>
  <c r="H11217" i="12"/>
  <c r="F11217" i="12"/>
  <c r="J11216" i="12"/>
  <c r="I11216" i="12"/>
  <c r="H11216" i="12"/>
  <c r="F11216" i="12"/>
  <c r="J11215" i="12"/>
  <c r="I11215" i="12"/>
  <c r="H11215" i="12"/>
  <c r="F11215" i="12"/>
  <c r="J11214" i="12"/>
  <c r="I11214" i="12"/>
  <c r="H11214" i="12"/>
  <c r="F11214" i="12"/>
  <c r="J11213" i="12"/>
  <c r="I11213" i="12"/>
  <c r="H11213" i="12"/>
  <c r="F11213" i="12"/>
  <c r="J11212" i="12"/>
  <c r="I11212" i="12"/>
  <c r="H11212" i="12"/>
  <c r="F11212" i="12"/>
  <c r="J11211" i="12"/>
  <c r="I11211" i="12"/>
  <c r="H11211" i="12"/>
  <c r="F11211" i="12"/>
  <c r="J11210" i="12"/>
  <c r="I11210" i="12"/>
  <c r="H11210" i="12"/>
  <c r="F11210" i="12"/>
  <c r="J11209" i="12"/>
  <c r="I11209" i="12"/>
  <c r="H11209" i="12"/>
  <c r="F11209" i="12"/>
  <c r="J11208" i="12"/>
  <c r="I11208" i="12"/>
  <c r="H11208" i="12"/>
  <c r="F11208" i="12"/>
  <c r="J11207" i="12"/>
  <c r="I11207" i="12"/>
  <c r="H11207" i="12"/>
  <c r="F11207" i="12"/>
  <c r="J11206" i="12"/>
  <c r="I11206" i="12"/>
  <c r="H11206" i="12"/>
  <c r="F11206" i="12"/>
  <c r="J11205" i="12"/>
  <c r="I11205" i="12"/>
  <c r="H11205" i="12"/>
  <c r="F11205" i="12"/>
  <c r="J11204" i="12"/>
  <c r="I11204" i="12"/>
  <c r="H11204" i="12"/>
  <c r="F11204" i="12"/>
  <c r="J11203" i="12"/>
  <c r="I11203" i="12"/>
  <c r="H11203" i="12"/>
  <c r="F11203" i="12"/>
  <c r="J11202" i="12"/>
  <c r="I11202" i="12"/>
  <c r="H11202" i="12"/>
  <c r="F11202" i="12"/>
  <c r="J11201" i="12"/>
  <c r="I11201" i="12"/>
  <c r="H11201" i="12"/>
  <c r="F11201" i="12"/>
  <c r="J11200" i="12"/>
  <c r="I11200" i="12"/>
  <c r="H11200" i="12"/>
  <c r="F11200" i="12"/>
  <c r="J11199" i="12"/>
  <c r="I11199" i="12"/>
  <c r="H11199" i="12"/>
  <c r="F11199" i="12"/>
  <c r="J11198" i="12"/>
  <c r="I11198" i="12"/>
  <c r="H11198" i="12"/>
  <c r="F11198" i="12"/>
  <c r="J11197" i="12"/>
  <c r="I11197" i="12"/>
  <c r="H11197" i="12"/>
  <c r="F11197" i="12"/>
  <c r="J11196" i="12"/>
  <c r="I11196" i="12"/>
  <c r="H11196" i="12"/>
  <c r="F11196" i="12"/>
  <c r="J11195" i="12"/>
  <c r="I11195" i="12"/>
  <c r="H11195" i="12"/>
  <c r="F11195" i="12"/>
  <c r="J11194" i="12"/>
  <c r="I11194" i="12"/>
  <c r="H11194" i="12"/>
  <c r="F11194" i="12"/>
  <c r="J11193" i="12"/>
  <c r="I11193" i="12"/>
  <c r="H11193" i="12"/>
  <c r="F11193" i="12"/>
  <c r="J11192" i="12"/>
  <c r="I11192" i="12"/>
  <c r="H11192" i="12"/>
  <c r="F11192" i="12"/>
  <c r="J11191" i="12"/>
  <c r="I11191" i="12"/>
  <c r="H11191" i="12"/>
  <c r="F11191" i="12"/>
  <c r="J11190" i="12"/>
  <c r="I11190" i="12"/>
  <c r="H11190" i="12"/>
  <c r="F11190" i="12"/>
  <c r="J11189" i="12"/>
  <c r="I11189" i="12"/>
  <c r="H11189" i="12"/>
  <c r="F11189" i="12"/>
  <c r="J11188" i="12"/>
  <c r="I11188" i="12"/>
  <c r="H11188" i="12"/>
  <c r="F11188" i="12"/>
  <c r="J11187" i="12"/>
  <c r="I11187" i="12"/>
  <c r="H11187" i="12"/>
  <c r="F11187" i="12"/>
  <c r="J11186" i="12"/>
  <c r="I11186" i="12"/>
  <c r="H11186" i="12"/>
  <c r="F11186" i="12"/>
  <c r="J11185" i="12"/>
  <c r="I11185" i="12"/>
  <c r="H11185" i="12"/>
  <c r="F11185" i="12"/>
  <c r="J11184" i="12"/>
  <c r="I11184" i="12"/>
  <c r="H11184" i="12"/>
  <c r="F11184" i="12"/>
  <c r="J11183" i="12"/>
  <c r="I11183" i="12"/>
  <c r="H11183" i="12"/>
  <c r="F11183" i="12"/>
  <c r="J11182" i="12"/>
  <c r="I11182" i="12"/>
  <c r="H11182" i="12"/>
  <c r="F11182" i="12"/>
  <c r="J11181" i="12"/>
  <c r="I11181" i="12"/>
  <c r="H11181" i="12"/>
  <c r="F11181" i="12"/>
  <c r="J11180" i="12"/>
  <c r="I11180" i="12"/>
  <c r="H11180" i="12"/>
  <c r="F11180" i="12"/>
  <c r="J11179" i="12"/>
  <c r="I11179" i="12"/>
  <c r="H11179" i="12"/>
  <c r="F11179" i="12"/>
  <c r="J11178" i="12"/>
  <c r="I11178" i="12"/>
  <c r="H11178" i="12"/>
  <c r="F11178" i="12"/>
  <c r="J11177" i="12"/>
  <c r="I11177" i="12"/>
  <c r="H11177" i="12"/>
  <c r="F11177" i="12"/>
  <c r="J11176" i="12"/>
  <c r="I11176" i="12"/>
  <c r="H11176" i="12"/>
  <c r="F11176" i="12"/>
  <c r="J11175" i="12"/>
  <c r="I11175" i="12"/>
  <c r="H11175" i="12"/>
  <c r="F11175" i="12"/>
  <c r="J11174" i="12"/>
  <c r="I11174" i="12"/>
  <c r="H11174" i="12"/>
  <c r="F11174" i="12"/>
  <c r="J11173" i="12"/>
  <c r="I11173" i="12"/>
  <c r="H11173" i="12"/>
  <c r="F11173" i="12"/>
  <c r="J11172" i="12"/>
  <c r="I11172" i="12"/>
  <c r="H11172" i="12"/>
  <c r="F11172" i="12"/>
  <c r="J11171" i="12"/>
  <c r="I11171" i="12"/>
  <c r="H11171" i="12"/>
  <c r="F11171" i="12"/>
  <c r="J11170" i="12"/>
  <c r="I11170" i="12"/>
  <c r="H11170" i="12"/>
  <c r="F11170" i="12"/>
  <c r="J11169" i="12"/>
  <c r="I11169" i="12"/>
  <c r="H11169" i="12"/>
  <c r="F11169" i="12"/>
  <c r="J11168" i="12"/>
  <c r="I11168" i="12"/>
  <c r="H11168" i="12"/>
  <c r="F11168" i="12"/>
  <c r="J11167" i="12"/>
  <c r="I11167" i="12"/>
  <c r="H11167" i="12"/>
  <c r="F11167" i="12"/>
  <c r="J11166" i="12"/>
  <c r="I11166" i="12"/>
  <c r="H11166" i="12"/>
  <c r="F11166" i="12"/>
  <c r="J11165" i="12"/>
  <c r="I11165" i="12"/>
  <c r="H11165" i="12"/>
  <c r="F11165" i="12"/>
  <c r="J11164" i="12"/>
  <c r="I11164" i="12"/>
  <c r="H11164" i="12"/>
  <c r="F11164" i="12"/>
  <c r="J11163" i="12"/>
  <c r="I11163" i="12"/>
  <c r="H11163" i="12"/>
  <c r="F11163" i="12"/>
  <c r="J11162" i="12"/>
  <c r="I11162" i="12"/>
  <c r="H11162" i="12"/>
  <c r="F11162" i="12"/>
  <c r="J11161" i="12"/>
  <c r="I11161" i="12"/>
  <c r="H11161" i="12"/>
  <c r="F11161" i="12"/>
  <c r="J11160" i="12"/>
  <c r="I11160" i="12"/>
  <c r="H11160" i="12"/>
  <c r="F11160" i="12"/>
  <c r="J11159" i="12"/>
  <c r="I11159" i="12"/>
  <c r="H11159" i="12"/>
  <c r="F11159" i="12"/>
  <c r="J11158" i="12"/>
  <c r="I11158" i="12"/>
  <c r="H11158" i="12"/>
  <c r="F11158" i="12"/>
  <c r="J11157" i="12"/>
  <c r="I11157" i="12"/>
  <c r="H11157" i="12"/>
  <c r="F11157" i="12"/>
  <c r="J11156" i="12"/>
  <c r="I11156" i="12"/>
  <c r="H11156" i="12"/>
  <c r="F11156" i="12"/>
  <c r="J11155" i="12"/>
  <c r="I11155" i="12"/>
  <c r="H11155" i="12"/>
  <c r="F11155" i="12"/>
  <c r="J11154" i="12"/>
  <c r="I11154" i="12"/>
  <c r="H11154" i="12"/>
  <c r="F11154" i="12"/>
  <c r="J11153" i="12"/>
  <c r="I11153" i="12"/>
  <c r="H11153" i="12"/>
  <c r="F11153" i="12"/>
  <c r="J11152" i="12"/>
  <c r="I11152" i="12"/>
  <c r="H11152" i="12"/>
  <c r="F11152" i="12"/>
  <c r="J11151" i="12"/>
  <c r="I11151" i="12"/>
  <c r="H11151" i="12"/>
  <c r="F11151" i="12"/>
  <c r="J11150" i="12"/>
  <c r="I11150" i="12"/>
  <c r="H11150" i="12"/>
  <c r="F11150" i="12"/>
  <c r="J11149" i="12"/>
  <c r="I11149" i="12"/>
  <c r="H11149" i="12"/>
  <c r="F11149" i="12"/>
  <c r="J11148" i="12"/>
  <c r="I11148" i="12"/>
  <c r="H11148" i="12"/>
  <c r="F11148" i="12"/>
  <c r="J11147" i="12"/>
  <c r="I11147" i="12"/>
  <c r="H11147" i="12"/>
  <c r="F11147" i="12"/>
  <c r="J11146" i="12"/>
  <c r="I11146" i="12"/>
  <c r="H11146" i="12"/>
  <c r="F11146" i="12"/>
  <c r="J11145" i="12"/>
  <c r="I11145" i="12"/>
  <c r="H11145" i="12"/>
  <c r="F11145" i="12"/>
  <c r="J11144" i="12"/>
  <c r="I11144" i="12"/>
  <c r="H11144" i="12"/>
  <c r="F11144" i="12"/>
  <c r="J11143" i="12"/>
  <c r="I11143" i="12"/>
  <c r="H11143" i="12"/>
  <c r="F11143" i="12"/>
  <c r="J11142" i="12"/>
  <c r="I11142" i="12"/>
  <c r="H11142" i="12"/>
  <c r="F11142" i="12"/>
  <c r="J11141" i="12"/>
  <c r="I11141" i="12"/>
  <c r="H11141" i="12"/>
  <c r="F11141" i="12"/>
  <c r="J11140" i="12"/>
  <c r="I11140" i="12"/>
  <c r="H11140" i="12"/>
  <c r="F11140" i="12"/>
  <c r="J11139" i="12"/>
  <c r="I11139" i="12"/>
  <c r="H11139" i="12"/>
  <c r="F11139" i="12"/>
  <c r="J11138" i="12"/>
  <c r="I11138" i="12"/>
  <c r="H11138" i="12"/>
  <c r="F11138" i="12"/>
  <c r="J11137" i="12"/>
  <c r="I11137" i="12"/>
  <c r="H11137" i="12"/>
  <c r="F11137" i="12"/>
  <c r="J11136" i="12"/>
  <c r="I11136" i="12"/>
  <c r="H11136" i="12"/>
  <c r="F11136" i="12"/>
  <c r="J11135" i="12"/>
  <c r="I11135" i="12"/>
  <c r="H11135" i="12"/>
  <c r="F11135" i="12"/>
  <c r="J11134" i="12"/>
  <c r="I11134" i="12"/>
  <c r="H11134" i="12"/>
  <c r="F11134" i="12"/>
  <c r="J11133" i="12"/>
  <c r="I11133" i="12"/>
  <c r="H11133" i="12"/>
  <c r="F11133" i="12"/>
  <c r="J11132" i="12"/>
  <c r="I11132" i="12"/>
  <c r="H11132" i="12"/>
  <c r="F11132" i="12"/>
  <c r="J11131" i="12"/>
  <c r="I11131" i="12"/>
  <c r="H11131" i="12"/>
  <c r="F11131" i="12"/>
  <c r="J11130" i="12"/>
  <c r="I11130" i="12"/>
  <c r="H11130" i="12"/>
  <c r="F11130" i="12"/>
  <c r="J11129" i="12"/>
  <c r="I11129" i="12"/>
  <c r="H11129" i="12"/>
  <c r="F11129" i="12"/>
  <c r="J11128" i="12"/>
  <c r="I11128" i="12"/>
  <c r="H11128" i="12"/>
  <c r="F11128" i="12"/>
  <c r="J11127" i="12"/>
  <c r="I11127" i="12"/>
  <c r="H11127" i="12"/>
  <c r="F11127" i="12"/>
  <c r="J11126" i="12"/>
  <c r="I11126" i="12"/>
  <c r="H11126" i="12"/>
  <c r="F11126" i="12"/>
  <c r="J11125" i="12"/>
  <c r="I11125" i="12"/>
  <c r="H11125" i="12"/>
  <c r="F11125" i="12"/>
  <c r="J11124" i="12"/>
  <c r="I11124" i="12"/>
  <c r="H11124" i="12"/>
  <c r="F11124" i="12"/>
  <c r="J11123" i="12"/>
  <c r="I11123" i="12"/>
  <c r="H11123" i="12"/>
  <c r="F11123" i="12"/>
  <c r="J11122" i="12"/>
  <c r="I11122" i="12"/>
  <c r="H11122" i="12"/>
  <c r="F11122" i="12"/>
  <c r="J11121" i="12"/>
  <c r="I11121" i="12"/>
  <c r="H11121" i="12"/>
  <c r="F11121" i="12"/>
  <c r="J11120" i="12"/>
  <c r="I11120" i="12"/>
  <c r="H11120" i="12"/>
  <c r="F11120" i="12"/>
  <c r="J11119" i="12"/>
  <c r="I11119" i="12"/>
  <c r="H11119" i="12"/>
  <c r="F11119" i="12"/>
  <c r="J11118" i="12"/>
  <c r="I11118" i="12"/>
  <c r="H11118" i="12"/>
  <c r="F11118" i="12"/>
  <c r="J11117" i="12"/>
  <c r="I11117" i="12"/>
  <c r="H11117" i="12"/>
  <c r="F11117" i="12"/>
  <c r="J11116" i="12"/>
  <c r="I11116" i="12"/>
  <c r="H11116" i="12"/>
  <c r="F11116" i="12"/>
  <c r="J11115" i="12"/>
  <c r="I11115" i="12"/>
  <c r="H11115" i="12"/>
  <c r="F11115" i="12"/>
  <c r="J11114" i="12"/>
  <c r="I11114" i="12"/>
  <c r="H11114" i="12"/>
  <c r="F11114" i="12"/>
  <c r="J11113" i="12"/>
  <c r="I11113" i="12"/>
  <c r="H11113" i="12"/>
  <c r="F11113" i="12"/>
  <c r="J11112" i="12"/>
  <c r="I11112" i="12"/>
  <c r="H11112" i="12"/>
  <c r="F11112" i="12"/>
  <c r="J11111" i="12"/>
  <c r="I11111" i="12"/>
  <c r="H11111" i="12"/>
  <c r="F11111" i="12"/>
  <c r="J11110" i="12"/>
  <c r="I11110" i="12"/>
  <c r="H11110" i="12"/>
  <c r="F11110" i="12"/>
  <c r="J11109" i="12"/>
  <c r="I11109" i="12"/>
  <c r="H11109" i="12"/>
  <c r="F11109" i="12"/>
  <c r="J11108" i="12"/>
  <c r="I11108" i="12"/>
  <c r="H11108" i="12"/>
  <c r="F11108" i="12"/>
  <c r="J11107" i="12"/>
  <c r="I11107" i="12"/>
  <c r="H11107" i="12"/>
  <c r="F11107" i="12"/>
  <c r="J11106" i="12"/>
  <c r="I11106" i="12"/>
  <c r="H11106" i="12"/>
  <c r="F11106" i="12"/>
  <c r="J11105" i="12"/>
  <c r="I11105" i="12"/>
  <c r="H11105" i="12"/>
  <c r="F11105" i="12"/>
  <c r="J11104" i="12"/>
  <c r="I11104" i="12"/>
  <c r="H11104" i="12"/>
  <c r="F11104" i="12"/>
  <c r="J11103" i="12"/>
  <c r="I11103" i="12"/>
  <c r="H11103" i="12"/>
  <c r="F11103" i="12"/>
  <c r="J11102" i="12"/>
  <c r="I11102" i="12"/>
  <c r="H11102" i="12"/>
  <c r="F11102" i="12"/>
  <c r="J11101" i="12"/>
  <c r="I11101" i="12"/>
  <c r="H11101" i="12"/>
  <c r="F11101" i="12"/>
  <c r="J11100" i="12"/>
  <c r="I11100" i="12"/>
  <c r="H11100" i="12"/>
  <c r="F11100" i="12"/>
  <c r="J11099" i="12"/>
  <c r="I11099" i="12"/>
  <c r="H11099" i="12"/>
  <c r="F11099" i="12"/>
  <c r="J11098" i="12"/>
  <c r="I11098" i="12"/>
  <c r="H11098" i="12"/>
  <c r="F11098" i="12"/>
  <c r="J11097" i="12"/>
  <c r="I11097" i="12"/>
  <c r="H11097" i="12"/>
  <c r="F11097" i="12"/>
  <c r="J11096" i="12"/>
  <c r="I11096" i="12"/>
  <c r="H11096" i="12"/>
  <c r="F11096" i="12"/>
  <c r="J11095" i="12"/>
  <c r="I11095" i="12"/>
  <c r="H11095" i="12"/>
  <c r="F11095" i="12"/>
  <c r="J11094" i="12"/>
  <c r="I11094" i="12"/>
  <c r="H11094" i="12"/>
  <c r="F11094" i="12"/>
  <c r="J11093" i="12"/>
  <c r="I11093" i="12"/>
  <c r="H11093" i="12"/>
  <c r="F11093" i="12"/>
  <c r="J11092" i="12"/>
  <c r="I11092" i="12"/>
  <c r="H11092" i="12"/>
  <c r="F11092" i="12"/>
  <c r="J11091" i="12"/>
  <c r="I11091" i="12"/>
  <c r="H11091" i="12"/>
  <c r="F11091" i="12"/>
  <c r="J11090" i="12"/>
  <c r="I11090" i="12"/>
  <c r="H11090" i="12"/>
  <c r="F11090" i="12"/>
  <c r="J11089" i="12"/>
  <c r="I11089" i="12"/>
  <c r="H11089" i="12"/>
  <c r="F11089" i="12"/>
  <c r="J11088" i="12"/>
  <c r="I11088" i="12"/>
  <c r="H11088" i="12"/>
  <c r="F11088" i="12"/>
  <c r="J11087" i="12"/>
  <c r="I11087" i="12"/>
  <c r="H11087" i="12"/>
  <c r="F11087" i="12"/>
  <c r="J11086" i="12"/>
  <c r="I11086" i="12"/>
  <c r="H11086" i="12"/>
  <c r="F11086" i="12"/>
  <c r="J11085" i="12"/>
  <c r="I11085" i="12"/>
  <c r="H11085" i="12"/>
  <c r="F11085" i="12"/>
  <c r="J11084" i="12"/>
  <c r="I11084" i="12"/>
  <c r="H11084" i="12"/>
  <c r="F11084" i="12"/>
  <c r="J11083" i="12"/>
  <c r="I11083" i="12"/>
  <c r="H11083" i="12"/>
  <c r="F11083" i="12"/>
  <c r="J11082" i="12"/>
  <c r="I11082" i="12"/>
  <c r="H11082" i="12"/>
  <c r="F11082" i="12"/>
  <c r="J11081" i="12"/>
  <c r="I11081" i="12"/>
  <c r="H11081" i="12"/>
  <c r="F11081" i="12"/>
  <c r="J11080" i="12"/>
  <c r="I11080" i="12"/>
  <c r="H11080" i="12"/>
  <c r="F11080" i="12"/>
  <c r="J11079" i="12"/>
  <c r="I11079" i="12"/>
  <c r="H11079" i="12"/>
  <c r="F11079" i="12"/>
  <c r="J11078" i="12"/>
  <c r="I11078" i="12"/>
  <c r="H11078" i="12"/>
  <c r="F11078" i="12"/>
  <c r="J11077" i="12"/>
  <c r="I11077" i="12"/>
  <c r="H11077" i="12"/>
  <c r="F11077" i="12"/>
  <c r="J11076" i="12"/>
  <c r="I11076" i="12"/>
  <c r="H11076" i="12"/>
  <c r="F11076" i="12"/>
  <c r="J11075" i="12"/>
  <c r="I11075" i="12"/>
  <c r="H11075" i="12"/>
  <c r="F11075" i="12"/>
  <c r="J11074" i="12"/>
  <c r="I11074" i="12"/>
  <c r="H11074" i="12"/>
  <c r="F11074" i="12"/>
  <c r="J11073" i="12"/>
  <c r="I11073" i="12"/>
  <c r="H11073" i="12"/>
  <c r="F11073" i="12"/>
  <c r="J11072" i="12"/>
  <c r="I11072" i="12"/>
  <c r="H11072" i="12"/>
  <c r="F11072" i="12"/>
  <c r="J11071" i="12"/>
  <c r="I11071" i="12"/>
  <c r="H11071" i="12"/>
  <c r="F11071" i="12"/>
  <c r="J11070" i="12"/>
  <c r="I11070" i="12"/>
  <c r="H11070" i="12"/>
  <c r="F11070" i="12"/>
  <c r="J11069" i="12"/>
  <c r="I11069" i="12"/>
  <c r="H11069" i="12"/>
  <c r="F11069" i="12"/>
  <c r="J11068" i="12"/>
  <c r="I11068" i="12"/>
  <c r="H11068" i="12"/>
  <c r="F11068" i="12"/>
  <c r="J11067" i="12"/>
  <c r="I11067" i="12"/>
  <c r="H11067" i="12"/>
  <c r="F11067" i="12"/>
  <c r="J11066" i="12"/>
  <c r="I11066" i="12"/>
  <c r="H11066" i="12"/>
  <c r="F11066" i="12"/>
  <c r="J11065" i="12"/>
  <c r="I11065" i="12"/>
  <c r="H11065" i="12"/>
  <c r="F11065" i="12"/>
  <c r="J11064" i="12"/>
  <c r="I11064" i="12"/>
  <c r="H11064" i="12"/>
  <c r="F11064" i="12"/>
  <c r="J11063" i="12"/>
  <c r="I11063" i="12"/>
  <c r="H11063" i="12"/>
  <c r="F11063" i="12"/>
  <c r="J11062" i="12"/>
  <c r="I11062" i="12"/>
  <c r="H11062" i="12"/>
  <c r="F11062" i="12"/>
  <c r="J11061" i="12"/>
  <c r="I11061" i="12"/>
  <c r="H11061" i="12"/>
  <c r="F11061" i="12"/>
  <c r="J11060" i="12"/>
  <c r="I11060" i="12"/>
  <c r="H11060" i="12"/>
  <c r="F11060" i="12"/>
  <c r="J11059" i="12"/>
  <c r="I11059" i="12"/>
  <c r="H11059" i="12"/>
  <c r="F11059" i="12"/>
  <c r="J11058" i="12"/>
  <c r="I11058" i="12"/>
  <c r="H11058" i="12"/>
  <c r="F11058" i="12"/>
  <c r="J11057" i="12"/>
  <c r="I11057" i="12"/>
  <c r="H11057" i="12"/>
  <c r="F11057" i="12"/>
  <c r="J11056" i="12"/>
  <c r="I11056" i="12"/>
  <c r="H11056" i="12"/>
  <c r="F11056" i="12"/>
  <c r="J11055" i="12"/>
  <c r="I11055" i="12"/>
  <c r="H11055" i="12"/>
  <c r="F11055" i="12"/>
  <c r="J11054" i="12"/>
  <c r="I11054" i="12"/>
  <c r="H11054" i="12"/>
  <c r="F11054" i="12"/>
  <c r="J11053" i="12"/>
  <c r="I11053" i="12"/>
  <c r="H11053" i="12"/>
  <c r="F11053" i="12"/>
  <c r="J11052" i="12"/>
  <c r="I11052" i="12"/>
  <c r="H11052" i="12"/>
  <c r="F11052" i="12"/>
  <c r="J11051" i="12"/>
  <c r="I11051" i="12"/>
  <c r="H11051" i="12"/>
  <c r="F11051" i="12"/>
  <c r="J11050" i="12"/>
  <c r="I11050" i="12"/>
  <c r="H11050" i="12"/>
  <c r="F11050" i="12"/>
  <c r="J11049" i="12"/>
  <c r="I11049" i="12"/>
  <c r="H11049" i="12"/>
  <c r="F11049" i="12"/>
  <c r="J11048" i="12"/>
  <c r="I11048" i="12"/>
  <c r="H11048" i="12"/>
  <c r="F11048" i="12"/>
  <c r="J11047" i="12"/>
  <c r="I11047" i="12"/>
  <c r="H11047" i="12"/>
  <c r="F11047" i="12"/>
  <c r="J11046" i="12"/>
  <c r="I11046" i="12"/>
  <c r="H11046" i="12"/>
  <c r="F11046" i="12"/>
  <c r="J11045" i="12"/>
  <c r="I11045" i="12"/>
  <c r="H11045" i="12"/>
  <c r="F11045" i="12"/>
  <c r="J11044" i="12"/>
  <c r="I11044" i="12"/>
  <c r="H11044" i="12"/>
  <c r="F11044" i="12"/>
  <c r="J11043" i="12"/>
  <c r="I11043" i="12"/>
  <c r="H11043" i="12"/>
  <c r="F11043" i="12"/>
  <c r="J11042" i="12"/>
  <c r="I11042" i="12"/>
  <c r="H11042" i="12"/>
  <c r="F11042" i="12"/>
  <c r="J11041" i="12"/>
  <c r="I11041" i="12"/>
  <c r="H11041" i="12"/>
  <c r="F11041" i="12"/>
  <c r="J11040" i="12"/>
  <c r="I11040" i="12"/>
  <c r="H11040" i="12"/>
  <c r="F11040" i="12"/>
  <c r="J11039" i="12"/>
  <c r="I11039" i="12"/>
  <c r="H11039" i="12"/>
  <c r="F11039" i="12"/>
  <c r="J11038" i="12"/>
  <c r="I11038" i="12"/>
  <c r="H11038" i="12"/>
  <c r="F11038" i="12"/>
  <c r="J11037" i="12"/>
  <c r="I11037" i="12"/>
  <c r="H11037" i="12"/>
  <c r="F11037" i="12"/>
  <c r="J11036" i="12"/>
  <c r="I11036" i="12"/>
  <c r="H11036" i="12"/>
  <c r="F11036" i="12"/>
  <c r="J11035" i="12"/>
  <c r="I11035" i="12"/>
  <c r="H11035" i="12"/>
  <c r="F11035" i="12"/>
  <c r="J11034" i="12"/>
  <c r="I11034" i="12"/>
  <c r="H11034" i="12"/>
  <c r="F11034" i="12"/>
  <c r="J11033" i="12"/>
  <c r="I11033" i="12"/>
  <c r="H11033" i="12"/>
  <c r="F11033" i="12"/>
  <c r="J11032" i="12"/>
  <c r="I11032" i="12"/>
  <c r="H11032" i="12"/>
  <c r="F11032" i="12"/>
  <c r="J11031" i="12"/>
  <c r="I11031" i="12"/>
  <c r="H11031" i="12"/>
  <c r="F11031" i="12"/>
  <c r="J11030" i="12"/>
  <c r="I11030" i="12"/>
  <c r="H11030" i="12"/>
  <c r="F11030" i="12"/>
  <c r="J11029" i="12"/>
  <c r="I11029" i="12"/>
  <c r="H11029" i="12"/>
  <c r="F11029" i="12"/>
  <c r="J11028" i="12"/>
  <c r="I11028" i="12"/>
  <c r="H11028" i="12"/>
  <c r="F11028" i="12"/>
  <c r="J11027" i="12"/>
  <c r="I11027" i="12"/>
  <c r="H11027" i="12"/>
  <c r="F11027" i="12"/>
  <c r="J11026" i="12"/>
  <c r="I11026" i="12"/>
  <c r="H11026" i="12"/>
  <c r="F11026" i="12"/>
  <c r="J11025" i="12"/>
  <c r="I11025" i="12"/>
  <c r="H11025" i="12"/>
  <c r="F11025" i="12"/>
  <c r="J11024" i="12"/>
  <c r="I11024" i="12"/>
  <c r="H11024" i="12"/>
  <c r="F11024" i="12"/>
  <c r="J11023" i="12"/>
  <c r="I11023" i="12"/>
  <c r="H11023" i="12"/>
  <c r="F11023" i="12"/>
  <c r="J11022" i="12"/>
  <c r="I11022" i="12"/>
  <c r="H11022" i="12"/>
  <c r="F11022" i="12"/>
  <c r="J11021" i="12"/>
  <c r="I11021" i="12"/>
  <c r="H11021" i="12"/>
  <c r="F11021" i="12"/>
  <c r="J11020" i="12"/>
  <c r="I11020" i="12"/>
  <c r="H11020" i="12"/>
  <c r="F11020" i="12"/>
  <c r="J11019" i="12"/>
  <c r="I11019" i="12"/>
  <c r="H11019" i="12"/>
  <c r="F11019" i="12"/>
  <c r="J11018" i="12"/>
  <c r="I11018" i="12"/>
  <c r="H11018" i="12"/>
  <c r="F11018" i="12"/>
  <c r="J11017" i="12"/>
  <c r="I11017" i="12"/>
  <c r="H11017" i="12"/>
  <c r="F11017" i="12"/>
  <c r="J11016" i="12"/>
  <c r="I11016" i="12"/>
  <c r="H11016" i="12"/>
  <c r="F11016" i="12"/>
  <c r="J11015" i="12"/>
  <c r="I11015" i="12"/>
  <c r="H11015" i="12"/>
  <c r="F11015" i="12"/>
  <c r="J11014" i="12"/>
  <c r="I11014" i="12"/>
  <c r="H11014" i="12"/>
  <c r="F11014" i="12"/>
  <c r="J11013" i="12"/>
  <c r="I11013" i="12"/>
  <c r="H11013" i="12"/>
  <c r="F11013" i="12"/>
  <c r="J11012" i="12"/>
  <c r="I11012" i="12"/>
  <c r="H11012" i="12"/>
  <c r="F11012" i="12"/>
  <c r="J11011" i="12"/>
  <c r="I11011" i="12"/>
  <c r="H11011" i="12"/>
  <c r="F11011" i="12"/>
  <c r="J11010" i="12"/>
  <c r="I11010" i="12"/>
  <c r="H11010" i="12"/>
  <c r="F11010" i="12"/>
  <c r="J11009" i="12"/>
  <c r="I11009" i="12"/>
  <c r="H11009" i="12"/>
  <c r="F11009" i="12"/>
  <c r="J11008" i="12"/>
  <c r="I11008" i="12"/>
  <c r="H11008" i="12"/>
  <c r="F11008" i="12"/>
  <c r="J11007" i="12"/>
  <c r="I11007" i="12"/>
  <c r="H11007" i="12"/>
  <c r="F11007" i="12"/>
  <c r="J11006" i="12"/>
  <c r="I11006" i="12"/>
  <c r="H11006" i="12"/>
  <c r="F11006" i="12"/>
  <c r="J11005" i="12"/>
  <c r="I11005" i="12"/>
  <c r="H11005" i="12"/>
  <c r="F11005" i="12"/>
  <c r="J11004" i="12"/>
  <c r="I11004" i="12"/>
  <c r="H11004" i="12"/>
  <c r="F11004" i="12"/>
  <c r="J11003" i="12"/>
  <c r="I11003" i="12"/>
  <c r="H11003" i="12"/>
  <c r="F11003" i="12"/>
  <c r="J11002" i="12"/>
  <c r="I11002" i="12"/>
  <c r="H11002" i="12"/>
  <c r="F11002" i="12"/>
  <c r="J11001" i="12"/>
  <c r="I11001" i="12"/>
  <c r="H11001" i="12"/>
  <c r="F11001" i="12"/>
  <c r="J11000" i="12"/>
  <c r="I11000" i="12"/>
  <c r="H11000" i="12"/>
  <c r="F11000" i="12"/>
  <c r="J10999" i="12"/>
  <c r="I10999" i="12"/>
  <c r="H10999" i="12"/>
  <c r="F10999" i="12"/>
  <c r="J10998" i="12"/>
  <c r="I10998" i="12"/>
  <c r="H10998" i="12"/>
  <c r="F10998" i="12"/>
  <c r="J10997" i="12"/>
  <c r="I10997" i="12"/>
  <c r="H10997" i="12"/>
  <c r="F10997" i="12"/>
  <c r="J10996" i="12"/>
  <c r="I10996" i="12"/>
  <c r="H10996" i="12"/>
  <c r="F10996" i="12"/>
  <c r="J10995" i="12"/>
  <c r="I10995" i="12"/>
  <c r="H10995" i="12"/>
  <c r="F10995" i="12"/>
  <c r="J10994" i="12"/>
  <c r="I10994" i="12"/>
  <c r="H10994" i="12"/>
  <c r="F10994" i="12"/>
  <c r="J10993" i="12"/>
  <c r="I10993" i="12"/>
  <c r="H10993" i="12"/>
  <c r="F10993" i="12"/>
  <c r="J10992" i="12"/>
  <c r="I10992" i="12"/>
  <c r="H10992" i="12"/>
  <c r="F10992" i="12"/>
  <c r="J10991" i="12"/>
  <c r="I10991" i="12"/>
  <c r="H10991" i="12"/>
  <c r="F10991" i="12"/>
  <c r="J10990" i="12"/>
  <c r="I10990" i="12"/>
  <c r="H10990" i="12"/>
  <c r="F10990" i="12"/>
  <c r="J10989" i="12"/>
  <c r="I10989" i="12"/>
  <c r="H10989" i="12"/>
  <c r="F10989" i="12"/>
  <c r="J10988" i="12"/>
  <c r="I10988" i="12"/>
  <c r="H10988" i="12"/>
  <c r="F10988" i="12"/>
  <c r="J10987" i="12"/>
  <c r="I10987" i="12"/>
  <c r="H10987" i="12"/>
  <c r="F10987" i="12"/>
  <c r="J10986" i="12"/>
  <c r="I10986" i="12"/>
  <c r="H10986" i="12"/>
  <c r="F10986" i="12"/>
  <c r="J10985" i="12"/>
  <c r="I10985" i="12"/>
  <c r="H10985" i="12"/>
  <c r="F10985" i="12"/>
  <c r="J10984" i="12"/>
  <c r="I10984" i="12"/>
  <c r="H10984" i="12"/>
  <c r="F10984" i="12"/>
  <c r="J10983" i="12"/>
  <c r="I10983" i="12"/>
  <c r="H10983" i="12"/>
  <c r="F10983" i="12"/>
  <c r="J10982" i="12"/>
  <c r="I10982" i="12"/>
  <c r="H10982" i="12"/>
  <c r="F10982" i="12"/>
  <c r="J10981" i="12"/>
  <c r="I10981" i="12"/>
  <c r="H10981" i="12"/>
  <c r="F10981" i="12"/>
  <c r="J10980" i="12"/>
  <c r="I10980" i="12"/>
  <c r="H10980" i="12"/>
  <c r="F10980" i="12"/>
  <c r="J10979" i="12"/>
  <c r="I10979" i="12"/>
  <c r="H10979" i="12"/>
  <c r="F10979" i="12"/>
  <c r="J10978" i="12"/>
  <c r="I10978" i="12"/>
  <c r="H10978" i="12"/>
  <c r="F10978" i="12"/>
  <c r="J10977" i="12"/>
  <c r="I10977" i="12"/>
  <c r="H10977" i="12"/>
  <c r="F10977" i="12"/>
  <c r="J10976" i="12"/>
  <c r="I10976" i="12"/>
  <c r="H10976" i="12"/>
  <c r="F10976" i="12"/>
  <c r="J10975" i="12"/>
  <c r="I10975" i="12"/>
  <c r="H10975" i="12"/>
  <c r="F10975" i="12"/>
  <c r="J10974" i="12"/>
  <c r="I10974" i="12"/>
  <c r="H10974" i="12"/>
  <c r="F10974" i="12"/>
  <c r="J10973" i="12"/>
  <c r="I10973" i="12"/>
  <c r="H10973" i="12"/>
  <c r="F10973" i="12"/>
  <c r="J10972" i="12"/>
  <c r="I10972" i="12"/>
  <c r="H10972" i="12"/>
  <c r="F10972" i="12"/>
  <c r="J10971" i="12"/>
  <c r="I10971" i="12"/>
  <c r="H10971" i="12"/>
  <c r="F10971" i="12"/>
  <c r="J10970" i="12"/>
  <c r="I10970" i="12"/>
  <c r="H10970" i="12"/>
  <c r="F10970" i="12"/>
  <c r="J10969" i="12"/>
  <c r="I10969" i="12"/>
  <c r="H10969" i="12"/>
  <c r="F10969" i="12"/>
  <c r="J10968" i="12"/>
  <c r="I10968" i="12"/>
  <c r="H10968" i="12"/>
  <c r="F10968" i="12"/>
  <c r="J10967" i="12"/>
  <c r="I10967" i="12"/>
  <c r="H10967" i="12"/>
  <c r="F10967" i="12"/>
  <c r="J10966" i="12"/>
  <c r="I10966" i="12"/>
  <c r="H10966" i="12"/>
  <c r="F10966" i="12"/>
  <c r="J10965" i="12"/>
  <c r="I10965" i="12"/>
  <c r="H10965" i="12"/>
  <c r="F10965" i="12"/>
  <c r="J10964" i="12"/>
  <c r="I10964" i="12"/>
  <c r="H10964" i="12"/>
  <c r="F10964" i="12"/>
  <c r="J10963" i="12"/>
  <c r="I10963" i="12"/>
  <c r="H10963" i="12"/>
  <c r="F10963" i="12"/>
  <c r="J10962" i="12"/>
  <c r="I10962" i="12"/>
  <c r="H10962" i="12"/>
  <c r="F10962" i="12"/>
  <c r="J10961" i="12"/>
  <c r="I10961" i="12"/>
  <c r="H10961" i="12"/>
  <c r="F10961" i="12"/>
  <c r="J10960" i="12"/>
  <c r="I10960" i="12"/>
  <c r="H10960" i="12"/>
  <c r="F10960" i="12"/>
  <c r="J10959" i="12"/>
  <c r="I10959" i="12"/>
  <c r="H10959" i="12"/>
  <c r="F10959" i="12"/>
  <c r="J10958" i="12"/>
  <c r="I10958" i="12"/>
  <c r="H10958" i="12"/>
  <c r="F10958" i="12"/>
  <c r="J10957" i="12"/>
  <c r="I10957" i="12"/>
  <c r="H10957" i="12"/>
  <c r="F10957" i="12"/>
  <c r="J10956" i="12"/>
  <c r="I10956" i="12"/>
  <c r="H10956" i="12"/>
  <c r="F10956" i="12"/>
  <c r="J10955" i="12"/>
  <c r="I10955" i="12"/>
  <c r="H10955" i="12"/>
  <c r="F10955" i="12"/>
  <c r="J10954" i="12"/>
  <c r="I10954" i="12"/>
  <c r="H10954" i="12"/>
  <c r="F10954" i="12"/>
  <c r="J10953" i="12"/>
  <c r="I10953" i="12"/>
  <c r="H10953" i="12"/>
  <c r="F10953" i="12"/>
  <c r="J10952" i="12"/>
  <c r="I10952" i="12"/>
  <c r="H10952" i="12"/>
  <c r="F10952" i="12"/>
  <c r="J10951" i="12"/>
  <c r="I10951" i="12"/>
  <c r="H10951" i="12"/>
  <c r="F10951" i="12"/>
  <c r="J10950" i="12"/>
  <c r="I10950" i="12"/>
  <c r="H10950" i="12"/>
  <c r="F10950" i="12"/>
  <c r="J10949" i="12"/>
  <c r="I10949" i="12"/>
  <c r="H10949" i="12"/>
  <c r="F10949" i="12"/>
  <c r="J10948" i="12"/>
  <c r="I10948" i="12"/>
  <c r="H10948" i="12"/>
  <c r="F10948" i="12"/>
  <c r="J10947" i="12"/>
  <c r="I10947" i="12"/>
  <c r="H10947" i="12"/>
  <c r="F10947" i="12"/>
  <c r="J10946" i="12"/>
  <c r="I10946" i="12"/>
  <c r="H10946" i="12"/>
  <c r="F10946" i="12"/>
  <c r="J10945" i="12"/>
  <c r="I10945" i="12"/>
  <c r="H10945" i="12"/>
  <c r="F10945" i="12"/>
  <c r="J10944" i="12"/>
  <c r="I10944" i="12"/>
  <c r="H10944" i="12"/>
  <c r="F10944" i="12"/>
  <c r="J10943" i="12"/>
  <c r="I10943" i="12"/>
  <c r="H10943" i="12"/>
  <c r="F10943" i="12"/>
  <c r="J10942" i="12"/>
  <c r="I10942" i="12"/>
  <c r="H10942" i="12"/>
  <c r="F10942" i="12"/>
  <c r="J10941" i="12"/>
  <c r="I10941" i="12"/>
  <c r="H10941" i="12"/>
  <c r="F10941" i="12"/>
  <c r="J10940" i="12"/>
  <c r="I10940" i="12"/>
  <c r="H10940" i="12"/>
  <c r="F10940" i="12"/>
  <c r="J10939" i="12"/>
  <c r="I10939" i="12"/>
  <c r="H10939" i="12"/>
  <c r="F10939" i="12"/>
  <c r="J10938" i="12"/>
  <c r="I10938" i="12"/>
  <c r="H10938" i="12"/>
  <c r="F10938" i="12"/>
  <c r="J10937" i="12"/>
  <c r="I10937" i="12"/>
  <c r="H10937" i="12"/>
  <c r="F10937" i="12"/>
  <c r="J10936" i="12"/>
  <c r="I10936" i="12"/>
  <c r="H10936" i="12"/>
  <c r="F10936" i="12"/>
  <c r="J10935" i="12"/>
  <c r="I10935" i="12"/>
  <c r="H10935" i="12"/>
  <c r="F10935" i="12"/>
  <c r="J10934" i="12"/>
  <c r="I10934" i="12"/>
  <c r="H10934" i="12"/>
  <c r="F10934" i="12"/>
  <c r="J10933" i="12"/>
  <c r="I10933" i="12"/>
  <c r="H10933" i="12"/>
  <c r="F10933" i="12"/>
  <c r="J10932" i="12"/>
  <c r="I10932" i="12"/>
  <c r="H10932" i="12"/>
  <c r="F10932" i="12"/>
  <c r="J10931" i="12"/>
  <c r="I10931" i="12"/>
  <c r="H10931" i="12"/>
  <c r="F10931" i="12"/>
  <c r="J10930" i="12"/>
  <c r="I10930" i="12"/>
  <c r="H10930" i="12"/>
  <c r="F10930" i="12"/>
  <c r="J10929" i="12"/>
  <c r="I10929" i="12"/>
  <c r="H10929" i="12"/>
  <c r="F10929" i="12"/>
  <c r="J10928" i="12"/>
  <c r="I10928" i="12"/>
  <c r="H10928" i="12"/>
  <c r="F10928" i="12"/>
  <c r="J10927" i="12"/>
  <c r="I10927" i="12"/>
  <c r="H10927" i="12"/>
  <c r="F10927" i="12"/>
  <c r="J10926" i="12"/>
  <c r="I10926" i="12"/>
  <c r="H10926" i="12"/>
  <c r="F10926" i="12"/>
  <c r="J10925" i="12"/>
  <c r="I10925" i="12"/>
  <c r="H10925" i="12"/>
  <c r="F10925" i="12"/>
  <c r="J10924" i="12"/>
  <c r="I10924" i="12"/>
  <c r="H10924" i="12"/>
  <c r="F10924" i="12"/>
  <c r="J10923" i="12"/>
  <c r="I10923" i="12"/>
  <c r="H10923" i="12"/>
  <c r="F10923" i="12"/>
  <c r="J10922" i="12"/>
  <c r="I10922" i="12"/>
  <c r="H10922" i="12"/>
  <c r="F10922" i="12"/>
  <c r="J10921" i="12"/>
  <c r="I10921" i="12"/>
  <c r="H10921" i="12"/>
  <c r="F10921" i="12"/>
  <c r="J10920" i="12"/>
  <c r="I10920" i="12"/>
  <c r="H10920" i="12"/>
  <c r="F10920" i="12"/>
  <c r="J10919" i="12"/>
  <c r="I10919" i="12"/>
  <c r="H10919" i="12"/>
  <c r="F10919" i="12"/>
  <c r="J10918" i="12"/>
  <c r="I10918" i="12"/>
  <c r="H10918" i="12"/>
  <c r="F10918" i="12"/>
  <c r="J10917" i="12"/>
  <c r="I10917" i="12"/>
  <c r="H10917" i="12"/>
  <c r="F10917" i="12"/>
  <c r="J10916" i="12"/>
  <c r="I10916" i="12"/>
  <c r="H10916" i="12"/>
  <c r="F10916" i="12"/>
  <c r="J10915" i="12"/>
  <c r="I10915" i="12"/>
  <c r="H10915" i="12"/>
  <c r="F10915" i="12"/>
  <c r="J10914" i="12"/>
  <c r="I10914" i="12"/>
  <c r="H10914" i="12"/>
  <c r="F10914" i="12"/>
  <c r="J10913" i="12"/>
  <c r="I10913" i="12"/>
  <c r="H10913" i="12"/>
  <c r="F10913" i="12"/>
  <c r="J10912" i="12"/>
  <c r="I10912" i="12"/>
  <c r="H10912" i="12"/>
  <c r="F10912" i="12"/>
  <c r="J10911" i="12"/>
  <c r="I10911" i="12"/>
  <c r="H10911" i="12"/>
  <c r="F10911" i="12"/>
  <c r="J10910" i="12"/>
  <c r="I10910" i="12"/>
  <c r="H10910" i="12"/>
  <c r="F10910" i="12"/>
  <c r="J10909" i="12"/>
  <c r="I10909" i="12"/>
  <c r="H10909" i="12"/>
  <c r="F10909" i="12"/>
  <c r="J10908" i="12"/>
  <c r="I10908" i="12"/>
  <c r="H10908" i="12"/>
  <c r="F10908" i="12"/>
  <c r="J10907" i="12"/>
  <c r="I10907" i="12"/>
  <c r="H10907" i="12"/>
  <c r="F10907" i="12"/>
  <c r="J10906" i="12"/>
  <c r="I10906" i="12"/>
  <c r="H10906" i="12"/>
  <c r="F10906" i="12"/>
  <c r="J10905" i="12"/>
  <c r="I10905" i="12"/>
  <c r="H10905" i="12"/>
  <c r="F10905" i="12"/>
  <c r="J10904" i="12"/>
  <c r="I10904" i="12"/>
  <c r="H10904" i="12"/>
  <c r="F10904" i="12"/>
  <c r="J10903" i="12"/>
  <c r="I10903" i="12"/>
  <c r="H10903" i="12"/>
  <c r="F10903" i="12"/>
  <c r="J10902" i="12"/>
  <c r="I10902" i="12"/>
  <c r="H10902" i="12"/>
  <c r="F10902" i="12"/>
  <c r="J10901" i="12"/>
  <c r="I10901" i="12"/>
  <c r="H10901" i="12"/>
  <c r="F10901" i="12"/>
  <c r="J10900" i="12"/>
  <c r="I10900" i="12"/>
  <c r="H10900" i="12"/>
  <c r="F10900" i="12"/>
  <c r="J10899" i="12"/>
  <c r="I10899" i="12"/>
  <c r="H10899" i="12"/>
  <c r="F10899" i="12"/>
  <c r="J10898" i="12"/>
  <c r="I10898" i="12"/>
  <c r="H10898" i="12"/>
  <c r="F10898" i="12"/>
  <c r="J10897" i="12"/>
  <c r="I10897" i="12"/>
  <c r="H10897" i="12"/>
  <c r="F10897" i="12"/>
  <c r="J10896" i="12"/>
  <c r="I10896" i="12"/>
  <c r="H10896" i="12"/>
  <c r="F10896" i="12"/>
  <c r="J10895" i="12"/>
  <c r="I10895" i="12"/>
  <c r="H10895" i="12"/>
  <c r="F10895" i="12"/>
  <c r="J10894" i="12"/>
  <c r="I10894" i="12"/>
  <c r="H10894" i="12"/>
  <c r="F10894" i="12"/>
  <c r="J10893" i="12"/>
  <c r="I10893" i="12"/>
  <c r="H10893" i="12"/>
  <c r="F10893" i="12"/>
  <c r="J10892" i="12"/>
  <c r="I10892" i="12"/>
  <c r="H10892" i="12"/>
  <c r="F10892" i="12"/>
  <c r="J10891" i="12"/>
  <c r="I10891" i="12"/>
  <c r="H10891" i="12"/>
  <c r="F10891" i="12"/>
  <c r="J10890" i="12"/>
  <c r="I10890" i="12"/>
  <c r="H10890" i="12"/>
  <c r="F10890" i="12"/>
  <c r="J10889" i="12"/>
  <c r="I10889" i="12"/>
  <c r="H10889" i="12"/>
  <c r="F10889" i="12"/>
  <c r="J10888" i="12"/>
  <c r="I10888" i="12"/>
  <c r="H10888" i="12"/>
  <c r="F10888" i="12"/>
  <c r="J10887" i="12"/>
  <c r="I10887" i="12"/>
  <c r="H10887" i="12"/>
  <c r="F10887" i="12"/>
  <c r="J10886" i="12"/>
  <c r="I10886" i="12"/>
  <c r="H10886" i="12"/>
  <c r="F10886" i="12"/>
  <c r="J10885" i="12"/>
  <c r="I10885" i="12"/>
  <c r="H10885" i="12"/>
  <c r="F10885" i="12"/>
  <c r="J10884" i="12"/>
  <c r="I10884" i="12"/>
  <c r="H10884" i="12"/>
  <c r="F10884" i="12"/>
  <c r="J10883" i="12"/>
  <c r="I10883" i="12"/>
  <c r="H10883" i="12"/>
  <c r="F10883" i="12"/>
  <c r="J10882" i="12"/>
  <c r="I10882" i="12"/>
  <c r="H10882" i="12"/>
  <c r="F10882" i="12"/>
  <c r="J10881" i="12"/>
  <c r="I10881" i="12"/>
  <c r="H10881" i="12"/>
  <c r="F10881" i="12"/>
  <c r="J10880" i="12"/>
  <c r="I10880" i="12"/>
  <c r="H10880" i="12"/>
  <c r="F10880" i="12"/>
  <c r="J10879" i="12"/>
  <c r="I10879" i="12"/>
  <c r="H10879" i="12"/>
  <c r="F10879" i="12"/>
  <c r="J10878" i="12"/>
  <c r="I10878" i="12"/>
  <c r="H10878" i="12"/>
  <c r="F10878" i="12"/>
  <c r="J10877" i="12"/>
  <c r="I10877" i="12"/>
  <c r="H10877" i="12"/>
  <c r="F10877" i="12"/>
  <c r="J10876" i="12"/>
  <c r="I10876" i="12"/>
  <c r="H10876" i="12"/>
  <c r="F10876" i="12"/>
  <c r="J10875" i="12"/>
  <c r="I10875" i="12"/>
  <c r="H10875" i="12"/>
  <c r="F10875" i="12"/>
  <c r="J10874" i="12"/>
  <c r="I10874" i="12"/>
  <c r="H10874" i="12"/>
  <c r="F10874" i="12"/>
  <c r="J10873" i="12"/>
  <c r="I10873" i="12"/>
  <c r="H10873" i="12"/>
  <c r="F10873" i="12"/>
  <c r="J10872" i="12"/>
  <c r="I10872" i="12"/>
  <c r="H10872" i="12"/>
  <c r="F10872" i="12"/>
  <c r="J10871" i="12"/>
  <c r="I10871" i="12"/>
  <c r="H10871" i="12"/>
  <c r="F10871" i="12"/>
  <c r="J10870" i="12"/>
  <c r="I10870" i="12"/>
  <c r="H10870" i="12"/>
  <c r="F10870" i="12"/>
  <c r="J10869" i="12"/>
  <c r="I10869" i="12"/>
  <c r="H10869" i="12"/>
  <c r="F10869" i="12"/>
  <c r="J10868" i="12"/>
  <c r="I10868" i="12"/>
  <c r="H10868" i="12"/>
  <c r="F10868" i="12"/>
  <c r="J10867" i="12"/>
  <c r="I10867" i="12"/>
  <c r="H10867" i="12"/>
  <c r="F10867" i="12"/>
  <c r="J10866" i="12"/>
  <c r="I10866" i="12"/>
  <c r="H10866" i="12"/>
  <c r="F10866" i="12"/>
  <c r="J10865" i="12"/>
  <c r="I10865" i="12"/>
  <c r="H10865" i="12"/>
  <c r="F10865" i="12"/>
  <c r="J10864" i="12"/>
  <c r="I10864" i="12"/>
  <c r="H10864" i="12"/>
  <c r="F10864" i="12"/>
  <c r="J10863" i="12"/>
  <c r="I10863" i="12"/>
  <c r="H10863" i="12"/>
  <c r="F10863" i="12"/>
  <c r="J10862" i="12"/>
  <c r="I10862" i="12"/>
  <c r="H10862" i="12"/>
  <c r="F10862" i="12"/>
  <c r="J10861" i="12"/>
  <c r="I10861" i="12"/>
  <c r="H10861" i="12"/>
  <c r="F10861" i="12"/>
  <c r="J10860" i="12"/>
  <c r="I10860" i="12"/>
  <c r="H10860" i="12"/>
  <c r="F10860" i="12"/>
  <c r="J10859" i="12"/>
  <c r="I10859" i="12"/>
  <c r="H10859" i="12"/>
  <c r="F10859" i="12"/>
  <c r="J10858" i="12"/>
  <c r="I10858" i="12"/>
  <c r="H10858" i="12"/>
  <c r="F10858" i="12"/>
  <c r="J10857" i="12"/>
  <c r="I10857" i="12"/>
  <c r="H10857" i="12"/>
  <c r="F10857" i="12"/>
  <c r="J10856" i="12"/>
  <c r="I10856" i="12"/>
  <c r="H10856" i="12"/>
  <c r="F10856" i="12"/>
  <c r="J10855" i="12"/>
  <c r="I10855" i="12"/>
  <c r="H10855" i="12"/>
  <c r="F10855" i="12"/>
  <c r="J10854" i="12"/>
  <c r="I10854" i="12"/>
  <c r="H10854" i="12"/>
  <c r="F10854" i="12"/>
  <c r="J10853" i="12"/>
  <c r="I10853" i="12"/>
  <c r="H10853" i="12"/>
  <c r="F10853" i="12"/>
  <c r="J10852" i="12"/>
  <c r="I10852" i="12"/>
  <c r="H10852" i="12"/>
  <c r="F10852" i="12"/>
  <c r="J10851" i="12"/>
  <c r="I10851" i="12"/>
  <c r="H10851" i="12"/>
  <c r="F10851" i="12"/>
  <c r="J10850" i="12"/>
  <c r="I10850" i="12"/>
  <c r="H10850" i="12"/>
  <c r="F10850" i="12"/>
  <c r="J10849" i="12"/>
  <c r="I10849" i="12"/>
  <c r="H10849" i="12"/>
  <c r="F10849" i="12"/>
  <c r="J10848" i="12"/>
  <c r="I10848" i="12"/>
  <c r="H10848" i="12"/>
  <c r="F10848" i="12"/>
  <c r="J10847" i="12"/>
  <c r="I10847" i="12"/>
  <c r="H10847" i="12"/>
  <c r="F10847" i="12"/>
  <c r="J10846" i="12"/>
  <c r="I10846" i="12"/>
  <c r="H10846" i="12"/>
  <c r="F10846" i="12"/>
  <c r="J10845" i="12"/>
  <c r="I10845" i="12"/>
  <c r="H10845" i="12"/>
  <c r="F10845" i="12"/>
  <c r="J10844" i="12"/>
  <c r="I10844" i="12"/>
  <c r="H10844" i="12"/>
  <c r="F10844" i="12"/>
  <c r="J10843" i="12"/>
  <c r="I10843" i="12"/>
  <c r="H10843" i="12"/>
  <c r="F10843" i="12"/>
  <c r="J10842" i="12"/>
  <c r="I10842" i="12"/>
  <c r="H10842" i="12"/>
  <c r="F10842" i="12"/>
  <c r="J10841" i="12"/>
  <c r="I10841" i="12"/>
  <c r="H10841" i="12"/>
  <c r="F10841" i="12"/>
  <c r="J10840" i="12"/>
  <c r="I10840" i="12"/>
  <c r="H10840" i="12"/>
  <c r="F10840" i="12"/>
  <c r="J10839" i="12"/>
  <c r="I10839" i="12"/>
  <c r="H10839" i="12"/>
  <c r="F10839" i="12"/>
  <c r="J10838" i="12"/>
  <c r="I10838" i="12"/>
  <c r="H10838" i="12"/>
  <c r="F10838" i="12"/>
  <c r="J10837" i="12"/>
  <c r="I10837" i="12"/>
  <c r="H10837" i="12"/>
  <c r="F10837" i="12"/>
  <c r="J10836" i="12"/>
  <c r="I10836" i="12"/>
  <c r="H10836" i="12"/>
  <c r="F10836" i="12"/>
  <c r="J10835" i="12"/>
  <c r="I10835" i="12"/>
  <c r="H10835" i="12"/>
  <c r="F10835" i="12"/>
  <c r="J10834" i="12"/>
  <c r="I10834" i="12"/>
  <c r="H10834" i="12"/>
  <c r="F10834" i="12"/>
  <c r="J10833" i="12"/>
  <c r="I10833" i="12"/>
  <c r="H10833" i="12"/>
  <c r="F10833" i="12"/>
  <c r="J10832" i="12"/>
  <c r="I10832" i="12"/>
  <c r="H10832" i="12"/>
  <c r="F10832" i="12"/>
  <c r="J10831" i="12"/>
  <c r="I10831" i="12"/>
  <c r="H10831" i="12"/>
  <c r="F10831" i="12"/>
  <c r="J10830" i="12"/>
  <c r="I10830" i="12"/>
  <c r="H10830" i="12"/>
  <c r="F10830" i="12"/>
  <c r="J10829" i="12"/>
  <c r="I10829" i="12"/>
  <c r="H10829" i="12"/>
  <c r="F10829" i="12"/>
  <c r="J10828" i="12"/>
  <c r="I10828" i="12"/>
  <c r="H10828" i="12"/>
  <c r="F10828" i="12"/>
  <c r="J10827" i="12"/>
  <c r="I10827" i="12"/>
  <c r="H10827" i="12"/>
  <c r="F10827" i="12"/>
  <c r="J10826" i="12"/>
  <c r="I10826" i="12"/>
  <c r="H10826" i="12"/>
  <c r="F10826" i="12"/>
  <c r="J10825" i="12"/>
  <c r="I10825" i="12"/>
  <c r="H10825" i="12"/>
  <c r="F10825" i="12"/>
  <c r="J10824" i="12"/>
  <c r="I10824" i="12"/>
  <c r="H10824" i="12"/>
  <c r="F10824" i="12"/>
  <c r="J10823" i="12"/>
  <c r="I10823" i="12"/>
  <c r="H10823" i="12"/>
  <c r="F10823" i="12"/>
  <c r="J10822" i="12"/>
  <c r="I10822" i="12"/>
  <c r="H10822" i="12"/>
  <c r="F10822" i="12"/>
  <c r="J10821" i="12"/>
  <c r="I10821" i="12"/>
  <c r="H10821" i="12"/>
  <c r="F10821" i="12"/>
  <c r="J10820" i="12"/>
  <c r="I10820" i="12"/>
  <c r="H10820" i="12"/>
  <c r="F10820" i="12"/>
  <c r="J10819" i="12"/>
  <c r="I10819" i="12"/>
  <c r="H10819" i="12"/>
  <c r="F10819" i="12"/>
  <c r="J10818" i="12"/>
  <c r="I10818" i="12"/>
  <c r="H10818" i="12"/>
  <c r="F10818" i="12"/>
  <c r="J10817" i="12"/>
  <c r="I10817" i="12"/>
  <c r="H10817" i="12"/>
  <c r="F10817" i="12"/>
  <c r="J10816" i="12"/>
  <c r="I10816" i="12"/>
  <c r="H10816" i="12"/>
  <c r="F10816" i="12"/>
  <c r="J10815" i="12"/>
  <c r="I10815" i="12"/>
  <c r="H10815" i="12"/>
  <c r="F10815" i="12"/>
  <c r="J10814" i="12"/>
  <c r="I10814" i="12"/>
  <c r="H10814" i="12"/>
  <c r="F10814" i="12"/>
  <c r="J10813" i="12"/>
  <c r="I10813" i="12"/>
  <c r="H10813" i="12"/>
  <c r="F10813" i="12"/>
  <c r="J10812" i="12"/>
  <c r="I10812" i="12"/>
  <c r="H10812" i="12"/>
  <c r="F10812" i="12"/>
  <c r="J10811" i="12"/>
  <c r="I10811" i="12"/>
  <c r="H10811" i="12"/>
  <c r="F10811" i="12"/>
  <c r="J10810" i="12"/>
  <c r="I10810" i="12"/>
  <c r="H10810" i="12"/>
  <c r="F10810" i="12"/>
  <c r="J10809" i="12"/>
  <c r="I10809" i="12"/>
  <c r="H10809" i="12"/>
  <c r="F10809" i="12"/>
  <c r="J10808" i="12"/>
  <c r="I10808" i="12"/>
  <c r="H10808" i="12"/>
  <c r="F10808" i="12"/>
  <c r="J10807" i="12"/>
  <c r="I10807" i="12"/>
  <c r="H10807" i="12"/>
  <c r="F10807" i="12"/>
  <c r="J10806" i="12"/>
  <c r="I10806" i="12"/>
  <c r="H10806" i="12"/>
  <c r="F10806" i="12"/>
  <c r="J10805" i="12"/>
  <c r="I10805" i="12"/>
  <c r="H10805" i="12"/>
  <c r="F10805" i="12"/>
  <c r="J10804" i="12"/>
  <c r="I10804" i="12"/>
  <c r="H10804" i="12"/>
  <c r="F10804" i="12"/>
  <c r="J10803" i="12"/>
  <c r="I10803" i="12"/>
  <c r="H10803" i="12"/>
  <c r="F10803" i="12"/>
  <c r="J10802" i="12"/>
  <c r="I10802" i="12"/>
  <c r="H10802" i="12"/>
  <c r="F10802" i="12"/>
  <c r="J10801" i="12"/>
  <c r="I10801" i="12"/>
  <c r="H10801" i="12"/>
  <c r="F10801" i="12"/>
  <c r="J10800" i="12"/>
  <c r="I10800" i="12"/>
  <c r="H10800" i="12"/>
  <c r="F10800" i="12"/>
  <c r="J10799" i="12"/>
  <c r="I10799" i="12"/>
  <c r="H10799" i="12"/>
  <c r="F10799" i="12"/>
  <c r="J10798" i="12"/>
  <c r="I10798" i="12"/>
  <c r="H10798" i="12"/>
  <c r="F10798" i="12"/>
  <c r="J10797" i="12"/>
  <c r="I10797" i="12"/>
  <c r="H10797" i="12"/>
  <c r="F10797" i="12"/>
  <c r="J10796" i="12"/>
  <c r="I10796" i="12"/>
  <c r="H10796" i="12"/>
  <c r="F10796" i="12"/>
  <c r="J10795" i="12"/>
  <c r="I10795" i="12"/>
  <c r="H10795" i="12"/>
  <c r="F10795" i="12"/>
  <c r="J10794" i="12"/>
  <c r="I10794" i="12"/>
  <c r="H10794" i="12"/>
  <c r="F10794" i="12"/>
  <c r="J10793" i="12"/>
  <c r="I10793" i="12"/>
  <c r="H10793" i="12"/>
  <c r="F10793" i="12"/>
  <c r="J10792" i="12"/>
  <c r="I10792" i="12"/>
  <c r="H10792" i="12"/>
  <c r="F10792" i="12"/>
  <c r="J10791" i="12"/>
  <c r="I10791" i="12"/>
  <c r="H10791" i="12"/>
  <c r="F10791" i="12"/>
  <c r="J10790" i="12"/>
  <c r="I10790" i="12"/>
  <c r="H10790" i="12"/>
  <c r="F10790" i="12"/>
  <c r="J10789" i="12"/>
  <c r="I10789" i="12"/>
  <c r="H10789" i="12"/>
  <c r="F10789" i="12"/>
  <c r="J10788" i="12"/>
  <c r="I10788" i="12"/>
  <c r="H10788" i="12"/>
  <c r="F10788" i="12"/>
  <c r="J10787" i="12"/>
  <c r="I10787" i="12"/>
  <c r="H10787" i="12"/>
  <c r="F10787" i="12"/>
  <c r="J10786" i="12"/>
  <c r="I10786" i="12"/>
  <c r="H10786" i="12"/>
  <c r="F10786" i="12"/>
  <c r="J10785" i="12"/>
  <c r="I10785" i="12"/>
  <c r="H10785" i="12"/>
  <c r="F10785" i="12"/>
  <c r="J10784" i="12"/>
  <c r="I10784" i="12"/>
  <c r="H10784" i="12"/>
  <c r="F10784" i="12"/>
  <c r="J10783" i="12"/>
  <c r="I10783" i="12"/>
  <c r="H10783" i="12"/>
  <c r="F10783" i="12"/>
  <c r="J10782" i="12"/>
  <c r="I10782" i="12"/>
  <c r="H10782" i="12"/>
  <c r="F10782" i="12"/>
  <c r="J10781" i="12"/>
  <c r="I10781" i="12"/>
  <c r="H10781" i="12"/>
  <c r="F10781" i="12"/>
  <c r="J10780" i="12"/>
  <c r="I10780" i="12"/>
  <c r="H10780" i="12"/>
  <c r="F10780" i="12"/>
  <c r="J10779" i="12"/>
  <c r="I10779" i="12"/>
  <c r="H10779" i="12"/>
  <c r="F10779" i="12"/>
  <c r="J10778" i="12"/>
  <c r="I10778" i="12"/>
  <c r="H10778" i="12"/>
  <c r="F10778" i="12"/>
  <c r="J10777" i="12"/>
  <c r="I10777" i="12"/>
  <c r="H10777" i="12"/>
  <c r="F10777" i="12"/>
  <c r="J10776" i="12"/>
  <c r="I10776" i="12"/>
  <c r="H10776" i="12"/>
  <c r="F10776" i="12"/>
  <c r="J10775" i="12"/>
  <c r="I10775" i="12"/>
  <c r="H10775" i="12"/>
  <c r="F10775" i="12"/>
  <c r="J10774" i="12"/>
  <c r="I10774" i="12"/>
  <c r="H10774" i="12"/>
  <c r="F10774" i="12"/>
  <c r="J10773" i="12"/>
  <c r="I10773" i="12"/>
  <c r="H10773" i="12"/>
  <c r="F10773" i="12"/>
  <c r="J10772" i="12"/>
  <c r="I10772" i="12"/>
  <c r="H10772" i="12"/>
  <c r="F10772" i="12"/>
  <c r="J10771" i="12"/>
  <c r="I10771" i="12"/>
  <c r="H10771" i="12"/>
  <c r="F10771" i="12"/>
  <c r="J10770" i="12"/>
  <c r="I10770" i="12"/>
  <c r="H10770" i="12"/>
  <c r="F10770" i="12"/>
  <c r="J10769" i="12"/>
  <c r="I10769" i="12"/>
  <c r="H10769" i="12"/>
  <c r="F10769" i="12"/>
  <c r="J10768" i="12"/>
  <c r="I10768" i="12"/>
  <c r="H10768" i="12"/>
  <c r="F10768" i="12"/>
  <c r="J10767" i="12"/>
  <c r="I10767" i="12"/>
  <c r="H10767" i="12"/>
  <c r="F10767" i="12"/>
  <c r="J10766" i="12"/>
  <c r="I10766" i="12"/>
  <c r="H10766" i="12"/>
  <c r="F10766" i="12"/>
  <c r="J10765" i="12"/>
  <c r="I10765" i="12"/>
  <c r="H10765" i="12"/>
  <c r="F10765" i="12"/>
  <c r="J10764" i="12"/>
  <c r="I10764" i="12"/>
  <c r="H10764" i="12"/>
  <c r="F10764" i="12"/>
  <c r="J10763" i="12"/>
  <c r="I10763" i="12"/>
  <c r="H10763" i="12"/>
  <c r="F10763" i="12"/>
  <c r="J10762" i="12"/>
  <c r="I10762" i="12"/>
  <c r="H10762" i="12"/>
  <c r="F10762" i="12"/>
  <c r="J10761" i="12"/>
  <c r="I10761" i="12"/>
  <c r="H10761" i="12"/>
  <c r="F10761" i="12"/>
  <c r="J10760" i="12"/>
  <c r="I10760" i="12"/>
  <c r="H10760" i="12"/>
  <c r="F10760" i="12"/>
  <c r="J10759" i="12"/>
  <c r="I10759" i="12"/>
  <c r="H10759" i="12"/>
  <c r="F10759" i="12"/>
  <c r="J10758" i="12"/>
  <c r="I10758" i="12"/>
  <c r="H10758" i="12"/>
  <c r="F10758" i="12"/>
  <c r="J10757" i="12"/>
  <c r="I10757" i="12"/>
  <c r="H10757" i="12"/>
  <c r="F10757" i="12"/>
  <c r="J10756" i="12"/>
  <c r="I10756" i="12"/>
  <c r="H10756" i="12"/>
  <c r="F10756" i="12"/>
  <c r="J10755" i="12"/>
  <c r="I10755" i="12"/>
  <c r="H10755" i="12"/>
  <c r="F10755" i="12"/>
  <c r="J10754" i="12"/>
  <c r="I10754" i="12"/>
  <c r="H10754" i="12"/>
  <c r="F10754" i="12"/>
  <c r="J10753" i="12"/>
  <c r="I10753" i="12"/>
  <c r="H10753" i="12"/>
  <c r="F10753" i="12"/>
  <c r="J10752" i="12"/>
  <c r="I10752" i="12"/>
  <c r="H10752" i="12"/>
  <c r="F10752" i="12"/>
  <c r="J10751" i="12"/>
  <c r="I10751" i="12"/>
  <c r="H10751" i="12"/>
  <c r="F10751" i="12"/>
  <c r="J10750" i="12"/>
  <c r="I10750" i="12"/>
  <c r="H10750" i="12"/>
  <c r="F10750" i="12"/>
  <c r="J10749" i="12"/>
  <c r="I10749" i="12"/>
  <c r="H10749" i="12"/>
  <c r="F10749" i="12"/>
  <c r="J10748" i="12"/>
  <c r="I10748" i="12"/>
  <c r="H10748" i="12"/>
  <c r="F10748" i="12"/>
  <c r="J10747" i="12"/>
  <c r="I10747" i="12"/>
  <c r="H10747" i="12"/>
  <c r="F10747" i="12"/>
  <c r="J10746" i="12"/>
  <c r="I10746" i="12"/>
  <c r="H10746" i="12"/>
  <c r="F10746" i="12"/>
  <c r="J10745" i="12"/>
  <c r="I10745" i="12"/>
  <c r="H10745" i="12"/>
  <c r="F10745" i="12"/>
  <c r="J10744" i="12"/>
  <c r="I10744" i="12"/>
  <c r="H10744" i="12"/>
  <c r="F10744" i="12"/>
  <c r="J10743" i="12"/>
  <c r="I10743" i="12"/>
  <c r="H10743" i="12"/>
  <c r="F10743" i="12"/>
  <c r="J10742" i="12"/>
  <c r="I10742" i="12"/>
  <c r="H10742" i="12"/>
  <c r="F10742" i="12"/>
  <c r="J10741" i="12"/>
  <c r="I10741" i="12"/>
  <c r="H10741" i="12"/>
  <c r="F10741" i="12"/>
  <c r="J10740" i="12"/>
  <c r="I10740" i="12"/>
  <c r="H10740" i="12"/>
  <c r="F10740" i="12"/>
  <c r="J10739" i="12"/>
  <c r="I10739" i="12"/>
  <c r="H10739" i="12"/>
  <c r="F10739" i="12"/>
  <c r="J10738" i="12"/>
  <c r="I10738" i="12"/>
  <c r="H10738" i="12"/>
  <c r="F10738" i="12"/>
  <c r="J10737" i="12"/>
  <c r="I10737" i="12"/>
  <c r="H10737" i="12"/>
  <c r="F10737" i="12"/>
  <c r="J10736" i="12"/>
  <c r="I10736" i="12"/>
  <c r="H10736" i="12"/>
  <c r="F10736" i="12"/>
  <c r="J10735" i="12"/>
  <c r="I10735" i="12"/>
  <c r="H10735" i="12"/>
  <c r="F10735" i="12"/>
  <c r="J10734" i="12"/>
  <c r="I10734" i="12"/>
  <c r="H10734" i="12"/>
  <c r="F10734" i="12"/>
  <c r="J10733" i="12"/>
  <c r="I10733" i="12"/>
  <c r="H10733" i="12"/>
  <c r="F10733" i="12"/>
  <c r="J10732" i="12"/>
  <c r="I10732" i="12"/>
  <c r="H10732" i="12"/>
  <c r="F10732" i="12"/>
  <c r="J10731" i="12"/>
  <c r="I10731" i="12"/>
  <c r="H10731" i="12"/>
  <c r="F10731" i="12"/>
  <c r="J10730" i="12"/>
  <c r="I10730" i="12"/>
  <c r="H10730" i="12"/>
  <c r="F10730" i="12"/>
  <c r="J10729" i="12"/>
  <c r="I10729" i="12"/>
  <c r="H10729" i="12"/>
  <c r="F10729" i="12"/>
  <c r="J10728" i="12"/>
  <c r="I10728" i="12"/>
  <c r="H10728" i="12"/>
  <c r="F10728" i="12"/>
  <c r="J10727" i="12"/>
  <c r="I10727" i="12"/>
  <c r="H10727" i="12"/>
  <c r="F10727" i="12"/>
  <c r="J10726" i="12"/>
  <c r="I10726" i="12"/>
  <c r="H10726" i="12"/>
  <c r="F10726" i="12"/>
  <c r="J10725" i="12"/>
  <c r="I10725" i="12"/>
  <c r="H10725" i="12"/>
  <c r="F10725" i="12"/>
  <c r="J10724" i="12"/>
  <c r="I10724" i="12"/>
  <c r="H10724" i="12"/>
  <c r="F10724" i="12"/>
  <c r="J10723" i="12"/>
  <c r="I10723" i="12"/>
  <c r="H10723" i="12"/>
  <c r="F10723" i="12"/>
  <c r="J10722" i="12"/>
  <c r="I10722" i="12"/>
  <c r="H10722" i="12"/>
  <c r="F10722" i="12"/>
  <c r="J10721" i="12"/>
  <c r="I10721" i="12"/>
  <c r="H10721" i="12"/>
  <c r="F10721" i="12"/>
  <c r="J10720" i="12"/>
  <c r="I10720" i="12"/>
  <c r="H10720" i="12"/>
  <c r="F10720" i="12"/>
  <c r="J10719" i="12"/>
  <c r="I10719" i="12"/>
  <c r="H10719" i="12"/>
  <c r="F10719" i="12"/>
  <c r="J10718" i="12"/>
  <c r="I10718" i="12"/>
  <c r="H10718" i="12"/>
  <c r="F10718" i="12"/>
  <c r="J10717" i="12"/>
  <c r="I10717" i="12"/>
  <c r="H10717" i="12"/>
  <c r="F10717" i="12"/>
  <c r="J10716" i="12"/>
  <c r="I10716" i="12"/>
  <c r="H10716" i="12"/>
  <c r="F10716" i="12"/>
  <c r="J10715" i="12"/>
  <c r="I10715" i="12"/>
  <c r="H10715" i="12"/>
  <c r="F10715" i="12"/>
  <c r="J10714" i="12"/>
  <c r="I10714" i="12"/>
  <c r="H10714" i="12"/>
  <c r="F10714" i="12"/>
  <c r="J10713" i="12"/>
  <c r="I10713" i="12"/>
  <c r="H10713" i="12"/>
  <c r="F10713" i="12"/>
  <c r="J10712" i="12"/>
  <c r="I10712" i="12"/>
  <c r="H10712" i="12"/>
  <c r="F10712" i="12"/>
  <c r="J10711" i="12"/>
  <c r="I10711" i="12"/>
  <c r="H10711" i="12"/>
  <c r="F10711" i="12"/>
  <c r="J10710" i="12"/>
  <c r="I10710" i="12"/>
  <c r="H10710" i="12"/>
  <c r="F10710" i="12"/>
  <c r="J10709" i="12"/>
  <c r="I10709" i="12"/>
  <c r="H10709" i="12"/>
  <c r="F10709" i="12"/>
  <c r="J10708" i="12"/>
  <c r="I10708" i="12"/>
  <c r="H10708" i="12"/>
  <c r="F10708" i="12"/>
  <c r="J10707" i="12"/>
  <c r="I10707" i="12"/>
  <c r="H10707" i="12"/>
  <c r="F10707" i="12"/>
  <c r="J10706" i="12"/>
  <c r="I10706" i="12"/>
  <c r="H10706" i="12"/>
  <c r="F10706" i="12"/>
  <c r="J10705" i="12"/>
  <c r="I10705" i="12"/>
  <c r="H10705" i="12"/>
  <c r="F10705" i="12"/>
  <c r="J10704" i="12"/>
  <c r="I10704" i="12"/>
  <c r="H10704" i="12"/>
  <c r="F10704" i="12"/>
  <c r="J10703" i="12"/>
  <c r="I10703" i="12"/>
  <c r="H10703" i="12"/>
  <c r="F10703" i="12"/>
  <c r="J10702" i="12"/>
  <c r="I10702" i="12"/>
  <c r="H10702" i="12"/>
  <c r="F10702" i="12"/>
  <c r="J10701" i="12"/>
  <c r="I10701" i="12"/>
  <c r="H10701" i="12"/>
  <c r="F10701" i="12"/>
  <c r="J10700" i="12"/>
  <c r="I10700" i="12"/>
  <c r="H10700" i="12"/>
  <c r="F10700" i="12"/>
  <c r="J10699" i="12"/>
  <c r="I10699" i="12"/>
  <c r="H10699" i="12"/>
  <c r="F10699" i="12"/>
  <c r="J10698" i="12"/>
  <c r="I10698" i="12"/>
  <c r="H10698" i="12"/>
  <c r="F10698" i="12"/>
  <c r="J10697" i="12"/>
  <c r="I10697" i="12"/>
  <c r="H10697" i="12"/>
  <c r="F10697" i="12"/>
  <c r="J10696" i="12"/>
  <c r="I10696" i="12"/>
  <c r="H10696" i="12"/>
  <c r="F10696" i="12"/>
  <c r="J10695" i="12"/>
  <c r="I10695" i="12"/>
  <c r="H10695" i="12"/>
  <c r="F10695" i="12"/>
  <c r="J10694" i="12"/>
  <c r="I10694" i="12"/>
  <c r="H10694" i="12"/>
  <c r="F10694" i="12"/>
  <c r="J10693" i="12"/>
  <c r="I10693" i="12"/>
  <c r="H10693" i="12"/>
  <c r="F10693" i="12"/>
  <c r="J10692" i="12"/>
  <c r="I10692" i="12"/>
  <c r="H10692" i="12"/>
  <c r="F10692" i="12"/>
  <c r="J10691" i="12"/>
  <c r="I10691" i="12"/>
  <c r="H10691" i="12"/>
  <c r="F10691" i="12"/>
  <c r="J10690" i="12"/>
  <c r="I10690" i="12"/>
  <c r="H10690" i="12"/>
  <c r="F10690" i="12"/>
  <c r="J10689" i="12"/>
  <c r="I10689" i="12"/>
  <c r="H10689" i="12"/>
  <c r="F10689" i="12"/>
  <c r="J10688" i="12"/>
  <c r="I10688" i="12"/>
  <c r="H10688" i="12"/>
  <c r="F10688" i="12"/>
  <c r="J10687" i="12"/>
  <c r="I10687" i="12"/>
  <c r="H10687" i="12"/>
  <c r="F10687" i="12"/>
  <c r="J10686" i="12"/>
  <c r="I10686" i="12"/>
  <c r="H10686" i="12"/>
  <c r="F10686" i="12"/>
  <c r="J10685" i="12"/>
  <c r="I10685" i="12"/>
  <c r="H10685" i="12"/>
  <c r="F10685" i="12"/>
  <c r="J10684" i="12"/>
  <c r="I10684" i="12"/>
  <c r="H10684" i="12"/>
  <c r="F10684" i="12"/>
  <c r="J10683" i="12"/>
  <c r="I10683" i="12"/>
  <c r="H10683" i="12"/>
  <c r="F10683" i="12"/>
  <c r="J10682" i="12"/>
  <c r="I10682" i="12"/>
  <c r="H10682" i="12"/>
  <c r="F10682" i="12"/>
  <c r="J10681" i="12"/>
  <c r="I10681" i="12"/>
  <c r="H10681" i="12"/>
  <c r="F10681" i="12"/>
  <c r="J10680" i="12"/>
  <c r="I10680" i="12"/>
  <c r="H10680" i="12"/>
  <c r="F10680" i="12"/>
  <c r="J10679" i="12"/>
  <c r="I10679" i="12"/>
  <c r="H10679" i="12"/>
  <c r="F10679" i="12"/>
  <c r="J10678" i="12"/>
  <c r="I10678" i="12"/>
  <c r="H10678" i="12"/>
  <c r="F10678" i="12"/>
  <c r="J10677" i="12"/>
  <c r="I10677" i="12"/>
  <c r="H10677" i="12"/>
  <c r="F10677" i="12"/>
  <c r="J10676" i="12"/>
  <c r="I10676" i="12"/>
  <c r="H10676" i="12"/>
  <c r="F10676" i="12"/>
  <c r="J10675" i="12"/>
  <c r="I10675" i="12"/>
  <c r="H10675" i="12"/>
  <c r="F10675" i="12"/>
  <c r="J10674" i="12"/>
  <c r="I10674" i="12"/>
  <c r="H10674" i="12"/>
  <c r="F10674" i="12"/>
  <c r="J10673" i="12"/>
  <c r="I10673" i="12"/>
  <c r="H10673" i="12"/>
  <c r="F10673" i="12"/>
  <c r="J10672" i="12"/>
  <c r="I10672" i="12"/>
  <c r="H10672" i="12"/>
  <c r="F10672" i="12"/>
  <c r="J10671" i="12"/>
  <c r="I10671" i="12"/>
  <c r="H10671" i="12"/>
  <c r="F10671" i="12"/>
  <c r="J10670" i="12"/>
  <c r="I10670" i="12"/>
  <c r="H10670" i="12"/>
  <c r="F10670" i="12"/>
  <c r="J10669" i="12"/>
  <c r="I10669" i="12"/>
  <c r="H10669" i="12"/>
  <c r="F10669" i="12"/>
  <c r="J10668" i="12"/>
  <c r="I10668" i="12"/>
  <c r="H10668" i="12"/>
  <c r="F10668" i="12"/>
  <c r="J10667" i="12"/>
  <c r="I10667" i="12"/>
  <c r="H10667" i="12"/>
  <c r="F10667" i="12"/>
  <c r="J10666" i="12"/>
  <c r="I10666" i="12"/>
  <c r="H10666" i="12"/>
  <c r="F10666" i="12"/>
  <c r="J10665" i="12"/>
  <c r="I10665" i="12"/>
  <c r="H10665" i="12"/>
  <c r="F10665" i="12"/>
  <c r="J10664" i="12"/>
  <c r="I10664" i="12"/>
  <c r="H10664" i="12"/>
  <c r="F10664" i="12"/>
  <c r="J10663" i="12"/>
  <c r="I10663" i="12"/>
  <c r="H10663" i="12"/>
  <c r="F10663" i="12"/>
  <c r="J10662" i="12"/>
  <c r="I10662" i="12"/>
  <c r="H10662" i="12"/>
  <c r="F10662" i="12"/>
  <c r="J10661" i="12"/>
  <c r="I10661" i="12"/>
  <c r="H10661" i="12"/>
  <c r="F10661" i="12"/>
  <c r="J10660" i="12"/>
  <c r="I10660" i="12"/>
  <c r="H10660" i="12"/>
  <c r="F10660" i="12"/>
  <c r="J10659" i="12"/>
  <c r="I10659" i="12"/>
  <c r="H10659" i="12"/>
  <c r="F10659" i="12"/>
  <c r="J10658" i="12"/>
  <c r="I10658" i="12"/>
  <c r="H10658" i="12"/>
  <c r="F10658" i="12"/>
  <c r="J10657" i="12"/>
  <c r="I10657" i="12"/>
  <c r="H10657" i="12"/>
  <c r="F10657" i="12"/>
  <c r="J10656" i="12"/>
  <c r="I10656" i="12"/>
  <c r="H10656" i="12"/>
  <c r="F10656" i="12"/>
  <c r="J10655" i="12"/>
  <c r="I10655" i="12"/>
  <c r="H10655" i="12"/>
  <c r="F10655" i="12"/>
  <c r="J10654" i="12"/>
  <c r="I10654" i="12"/>
  <c r="H10654" i="12"/>
  <c r="F10654" i="12"/>
  <c r="J10653" i="12"/>
  <c r="I10653" i="12"/>
  <c r="H10653" i="12"/>
  <c r="F10653" i="12"/>
  <c r="J10652" i="12"/>
  <c r="I10652" i="12"/>
  <c r="H10652" i="12"/>
  <c r="F10652" i="12"/>
  <c r="J10651" i="12"/>
  <c r="I10651" i="12"/>
  <c r="H10651" i="12"/>
  <c r="F10651" i="12"/>
  <c r="J10650" i="12"/>
  <c r="I10650" i="12"/>
  <c r="H10650" i="12"/>
  <c r="F10650" i="12"/>
  <c r="J10649" i="12"/>
  <c r="I10649" i="12"/>
  <c r="H10649" i="12"/>
  <c r="F10649" i="12"/>
  <c r="J10648" i="12"/>
  <c r="I10648" i="12"/>
  <c r="H10648" i="12"/>
  <c r="F10648" i="12"/>
  <c r="J10647" i="12"/>
  <c r="I10647" i="12"/>
  <c r="H10647" i="12"/>
  <c r="F10647" i="12"/>
  <c r="J10646" i="12"/>
  <c r="I10646" i="12"/>
  <c r="H10646" i="12"/>
  <c r="F10646" i="12"/>
  <c r="J10645" i="12"/>
  <c r="I10645" i="12"/>
  <c r="H10645" i="12"/>
  <c r="F10645" i="12"/>
  <c r="J10644" i="12"/>
  <c r="I10644" i="12"/>
  <c r="H10644" i="12"/>
  <c r="F10644" i="12"/>
  <c r="J10643" i="12"/>
  <c r="I10643" i="12"/>
  <c r="H10643" i="12"/>
  <c r="F10643" i="12"/>
  <c r="J10642" i="12"/>
  <c r="I10642" i="12"/>
  <c r="H10642" i="12"/>
  <c r="F10642" i="12"/>
  <c r="J10641" i="12"/>
  <c r="I10641" i="12"/>
  <c r="H10641" i="12"/>
  <c r="F10641" i="12"/>
  <c r="J10640" i="12"/>
  <c r="I10640" i="12"/>
  <c r="H10640" i="12"/>
  <c r="F10640" i="12"/>
  <c r="J10639" i="12"/>
  <c r="I10639" i="12"/>
  <c r="H10639" i="12"/>
  <c r="F10639" i="12"/>
  <c r="J10638" i="12"/>
  <c r="I10638" i="12"/>
  <c r="H10638" i="12"/>
  <c r="F10638" i="12"/>
  <c r="J10637" i="12"/>
  <c r="I10637" i="12"/>
  <c r="H10637" i="12"/>
  <c r="F10637" i="12"/>
  <c r="J10636" i="12"/>
  <c r="I10636" i="12"/>
  <c r="H10636" i="12"/>
  <c r="F10636" i="12"/>
  <c r="J10635" i="12"/>
  <c r="I10635" i="12"/>
  <c r="H10635" i="12"/>
  <c r="F10635" i="12"/>
  <c r="J10634" i="12"/>
  <c r="I10634" i="12"/>
  <c r="H10634" i="12"/>
  <c r="F10634" i="12"/>
  <c r="J10633" i="12"/>
  <c r="I10633" i="12"/>
  <c r="H10633" i="12"/>
  <c r="F10633" i="12"/>
  <c r="J10632" i="12"/>
  <c r="I10632" i="12"/>
  <c r="H10632" i="12"/>
  <c r="F10632" i="12"/>
  <c r="J10631" i="12"/>
  <c r="I10631" i="12"/>
  <c r="H10631" i="12"/>
  <c r="F10631" i="12"/>
  <c r="J10630" i="12"/>
  <c r="I10630" i="12"/>
  <c r="H10630" i="12"/>
  <c r="F10630" i="12"/>
  <c r="J10629" i="12"/>
  <c r="I10629" i="12"/>
  <c r="H10629" i="12"/>
  <c r="F10629" i="12"/>
  <c r="J10628" i="12"/>
  <c r="I10628" i="12"/>
  <c r="H10628" i="12"/>
  <c r="F10628" i="12"/>
  <c r="J10627" i="12"/>
  <c r="I10627" i="12"/>
  <c r="H10627" i="12"/>
  <c r="F10627" i="12"/>
  <c r="J10626" i="12"/>
  <c r="I10626" i="12"/>
  <c r="H10626" i="12"/>
  <c r="F10626" i="12"/>
  <c r="J10625" i="12"/>
  <c r="I10625" i="12"/>
  <c r="H10625" i="12"/>
  <c r="F10625" i="12"/>
  <c r="J10624" i="12"/>
  <c r="I10624" i="12"/>
  <c r="H10624" i="12"/>
  <c r="F10624" i="12"/>
  <c r="J10623" i="12"/>
  <c r="I10623" i="12"/>
  <c r="H10623" i="12"/>
  <c r="F10623" i="12"/>
  <c r="J10622" i="12"/>
  <c r="I10622" i="12"/>
  <c r="H10622" i="12"/>
  <c r="F10622" i="12"/>
  <c r="J10621" i="12"/>
  <c r="I10621" i="12"/>
  <c r="H10621" i="12"/>
  <c r="F10621" i="12"/>
  <c r="J10620" i="12"/>
  <c r="I10620" i="12"/>
  <c r="H10620" i="12"/>
  <c r="F10620" i="12"/>
  <c r="J10619" i="12"/>
  <c r="I10619" i="12"/>
  <c r="H10619" i="12"/>
  <c r="F10619" i="12"/>
  <c r="J10618" i="12"/>
  <c r="I10618" i="12"/>
  <c r="H10618" i="12"/>
  <c r="F10618" i="12"/>
  <c r="J10617" i="12"/>
  <c r="I10617" i="12"/>
  <c r="H10617" i="12"/>
  <c r="F10617" i="12"/>
  <c r="J10616" i="12"/>
  <c r="I10616" i="12"/>
  <c r="H10616" i="12"/>
  <c r="F10616" i="12"/>
  <c r="J10615" i="12"/>
  <c r="I10615" i="12"/>
  <c r="H10615" i="12"/>
  <c r="F10615" i="12"/>
  <c r="J10614" i="12"/>
  <c r="I10614" i="12"/>
  <c r="H10614" i="12"/>
  <c r="F10614" i="12"/>
  <c r="J10613" i="12"/>
  <c r="I10613" i="12"/>
  <c r="H10613" i="12"/>
  <c r="F10613" i="12"/>
  <c r="J10612" i="12"/>
  <c r="I10612" i="12"/>
  <c r="H10612" i="12"/>
  <c r="F10612" i="12"/>
  <c r="J10611" i="12"/>
  <c r="I10611" i="12"/>
  <c r="H10611" i="12"/>
  <c r="F10611" i="12"/>
  <c r="J10610" i="12"/>
  <c r="I10610" i="12"/>
  <c r="H10610" i="12"/>
  <c r="F10610" i="12"/>
  <c r="J10609" i="12"/>
  <c r="I10609" i="12"/>
  <c r="H10609" i="12"/>
  <c r="F10609" i="12"/>
  <c r="J10608" i="12"/>
  <c r="I10608" i="12"/>
  <c r="H10608" i="12"/>
  <c r="F10608" i="12"/>
  <c r="J10607" i="12"/>
  <c r="I10607" i="12"/>
  <c r="H10607" i="12"/>
  <c r="F10607" i="12"/>
  <c r="J10606" i="12"/>
  <c r="I10606" i="12"/>
  <c r="H10606" i="12"/>
  <c r="F10606" i="12"/>
  <c r="J10605" i="12"/>
  <c r="I10605" i="12"/>
  <c r="H10605" i="12"/>
  <c r="F10605" i="12"/>
  <c r="J10604" i="12"/>
  <c r="I10604" i="12"/>
  <c r="H10604" i="12"/>
  <c r="F10604" i="12"/>
  <c r="J10603" i="12"/>
  <c r="I10603" i="12"/>
  <c r="H10603" i="12"/>
  <c r="F10603" i="12"/>
  <c r="J10602" i="12"/>
  <c r="I10602" i="12"/>
  <c r="H10602" i="12"/>
  <c r="F10602" i="12"/>
  <c r="J10601" i="12"/>
  <c r="I10601" i="12"/>
  <c r="H10601" i="12"/>
  <c r="F10601" i="12"/>
  <c r="J10600" i="12"/>
  <c r="I10600" i="12"/>
  <c r="H10600" i="12"/>
  <c r="F10600" i="12"/>
  <c r="J10599" i="12"/>
  <c r="I10599" i="12"/>
  <c r="H10599" i="12"/>
  <c r="F10599" i="12"/>
  <c r="J10598" i="12"/>
  <c r="I10598" i="12"/>
  <c r="H10598" i="12"/>
  <c r="F10598" i="12"/>
  <c r="J10597" i="12"/>
  <c r="I10597" i="12"/>
  <c r="H10597" i="12"/>
  <c r="F10597" i="12"/>
  <c r="J10596" i="12"/>
  <c r="I10596" i="12"/>
  <c r="H10596" i="12"/>
  <c r="F10596" i="12"/>
  <c r="J10595" i="12"/>
  <c r="I10595" i="12"/>
  <c r="H10595" i="12"/>
  <c r="F10595" i="12"/>
  <c r="J10594" i="12"/>
  <c r="I10594" i="12"/>
  <c r="H10594" i="12"/>
  <c r="F10594" i="12"/>
  <c r="J10593" i="12"/>
  <c r="I10593" i="12"/>
  <c r="H10593" i="12"/>
  <c r="F10593" i="12"/>
  <c r="J10592" i="12"/>
  <c r="I10592" i="12"/>
  <c r="H10592" i="12"/>
  <c r="F10592" i="12"/>
  <c r="J10591" i="12"/>
  <c r="I10591" i="12"/>
  <c r="H10591" i="12"/>
  <c r="F10591" i="12"/>
  <c r="J10590" i="12"/>
  <c r="I10590" i="12"/>
  <c r="H10590" i="12"/>
  <c r="F10590" i="12"/>
  <c r="J10589" i="12"/>
  <c r="I10589" i="12"/>
  <c r="H10589" i="12"/>
  <c r="F10589" i="12"/>
  <c r="J10588" i="12"/>
  <c r="I10588" i="12"/>
  <c r="H10588" i="12"/>
  <c r="F10588" i="12"/>
  <c r="J10587" i="12"/>
  <c r="I10587" i="12"/>
  <c r="H10587" i="12"/>
  <c r="F10587" i="12"/>
  <c r="J10586" i="12"/>
  <c r="I10586" i="12"/>
  <c r="H10586" i="12"/>
  <c r="F10586" i="12"/>
  <c r="J10585" i="12"/>
  <c r="I10585" i="12"/>
  <c r="H10585" i="12"/>
  <c r="F10585" i="12"/>
  <c r="J10584" i="12"/>
  <c r="I10584" i="12"/>
  <c r="H10584" i="12"/>
  <c r="F10584" i="12"/>
  <c r="J10583" i="12"/>
  <c r="I10583" i="12"/>
  <c r="H10583" i="12"/>
  <c r="F10583" i="12"/>
  <c r="J10582" i="12"/>
  <c r="I10582" i="12"/>
  <c r="H10582" i="12"/>
  <c r="F10582" i="12"/>
  <c r="J10581" i="12"/>
  <c r="I10581" i="12"/>
  <c r="H10581" i="12"/>
  <c r="F10581" i="12"/>
  <c r="J10580" i="12"/>
  <c r="I10580" i="12"/>
  <c r="H10580" i="12"/>
  <c r="F10580" i="12"/>
  <c r="J10579" i="12"/>
  <c r="I10579" i="12"/>
  <c r="H10579" i="12"/>
  <c r="F10579" i="12"/>
  <c r="J10578" i="12"/>
  <c r="I10578" i="12"/>
  <c r="H10578" i="12"/>
  <c r="F10578" i="12"/>
  <c r="J10577" i="12"/>
  <c r="I10577" i="12"/>
  <c r="H10577" i="12"/>
  <c r="F10577" i="12"/>
  <c r="J10576" i="12"/>
  <c r="I10576" i="12"/>
  <c r="H10576" i="12"/>
  <c r="F10576" i="12"/>
  <c r="J10575" i="12"/>
  <c r="I10575" i="12"/>
  <c r="H10575" i="12"/>
  <c r="F10575" i="12"/>
  <c r="J10574" i="12"/>
  <c r="I10574" i="12"/>
  <c r="H10574" i="12"/>
  <c r="F10574" i="12"/>
  <c r="J10573" i="12"/>
  <c r="I10573" i="12"/>
  <c r="H10573" i="12"/>
  <c r="F10573" i="12"/>
  <c r="J10572" i="12"/>
  <c r="I10572" i="12"/>
  <c r="H10572" i="12"/>
  <c r="F10572" i="12"/>
  <c r="J10571" i="12"/>
  <c r="I10571" i="12"/>
  <c r="H10571" i="12"/>
  <c r="F10571" i="12"/>
  <c r="J10570" i="12"/>
  <c r="I10570" i="12"/>
  <c r="H10570" i="12"/>
  <c r="F10570" i="12"/>
  <c r="J10569" i="12"/>
  <c r="I10569" i="12"/>
  <c r="H10569" i="12"/>
  <c r="F10569" i="12"/>
  <c r="J10568" i="12"/>
  <c r="I10568" i="12"/>
  <c r="H10568" i="12"/>
  <c r="F10568" i="12"/>
  <c r="J10567" i="12"/>
  <c r="I10567" i="12"/>
  <c r="H10567" i="12"/>
  <c r="F10567" i="12"/>
  <c r="J10566" i="12"/>
  <c r="I10566" i="12"/>
  <c r="H10566" i="12"/>
  <c r="F10566" i="12"/>
  <c r="J10565" i="12"/>
  <c r="I10565" i="12"/>
  <c r="H10565" i="12"/>
  <c r="F10565" i="12"/>
  <c r="J10564" i="12"/>
  <c r="I10564" i="12"/>
  <c r="H10564" i="12"/>
  <c r="F10564" i="12"/>
  <c r="J10563" i="12"/>
  <c r="I10563" i="12"/>
  <c r="H10563" i="12"/>
  <c r="F10563" i="12"/>
  <c r="J10562" i="12"/>
  <c r="I10562" i="12"/>
  <c r="H10562" i="12"/>
  <c r="F10562" i="12"/>
  <c r="J10561" i="12"/>
  <c r="I10561" i="12"/>
  <c r="H10561" i="12"/>
  <c r="F10561" i="12"/>
  <c r="J10560" i="12"/>
  <c r="I10560" i="12"/>
  <c r="H10560" i="12"/>
  <c r="F10560" i="12"/>
  <c r="J10559" i="12"/>
  <c r="I10559" i="12"/>
  <c r="H10559" i="12"/>
  <c r="F10559" i="12"/>
  <c r="J10558" i="12"/>
  <c r="I10558" i="12"/>
  <c r="H10558" i="12"/>
  <c r="F10558" i="12"/>
  <c r="J10557" i="12"/>
  <c r="I10557" i="12"/>
  <c r="H10557" i="12"/>
  <c r="F10557" i="12"/>
  <c r="J10556" i="12"/>
  <c r="I10556" i="12"/>
  <c r="H10556" i="12"/>
  <c r="F10556" i="12"/>
  <c r="J10555" i="12"/>
  <c r="I10555" i="12"/>
  <c r="H10555" i="12"/>
  <c r="F10555" i="12"/>
  <c r="J10554" i="12"/>
  <c r="I10554" i="12"/>
  <c r="H10554" i="12"/>
  <c r="F10554" i="12"/>
  <c r="J10553" i="12"/>
  <c r="I10553" i="12"/>
  <c r="H10553" i="12"/>
  <c r="F10553" i="12"/>
  <c r="J10552" i="12"/>
  <c r="I10552" i="12"/>
  <c r="H10552" i="12"/>
  <c r="F10552" i="12"/>
  <c r="J10551" i="12"/>
  <c r="I10551" i="12"/>
  <c r="H10551" i="12"/>
  <c r="F10551" i="12"/>
  <c r="J10550" i="12"/>
  <c r="I10550" i="12"/>
  <c r="H10550" i="12"/>
  <c r="F10550" i="12"/>
  <c r="J10549" i="12"/>
  <c r="I10549" i="12"/>
  <c r="H10549" i="12"/>
  <c r="F10549" i="12"/>
  <c r="J10548" i="12"/>
  <c r="I10548" i="12"/>
  <c r="H10548" i="12"/>
  <c r="F10548" i="12"/>
  <c r="J10547" i="12"/>
  <c r="I10547" i="12"/>
  <c r="H10547" i="12"/>
  <c r="F10547" i="12"/>
  <c r="J10546" i="12"/>
  <c r="I10546" i="12"/>
  <c r="H10546" i="12"/>
  <c r="F10546" i="12"/>
  <c r="J10545" i="12"/>
  <c r="I10545" i="12"/>
  <c r="H10545" i="12"/>
  <c r="F10545" i="12"/>
  <c r="J10544" i="12"/>
  <c r="I10544" i="12"/>
  <c r="H10544" i="12"/>
  <c r="F10544" i="12"/>
  <c r="J10543" i="12"/>
  <c r="I10543" i="12"/>
  <c r="H10543" i="12"/>
  <c r="F10543" i="12"/>
  <c r="J10542" i="12"/>
  <c r="I10542" i="12"/>
  <c r="H10542" i="12"/>
  <c r="F10542" i="12"/>
  <c r="J10541" i="12"/>
  <c r="I10541" i="12"/>
  <c r="H10541" i="12"/>
  <c r="F10541" i="12"/>
  <c r="J10540" i="12"/>
  <c r="I10540" i="12"/>
  <c r="H10540" i="12"/>
  <c r="F10540" i="12"/>
  <c r="J10539" i="12"/>
  <c r="I10539" i="12"/>
  <c r="H10539" i="12"/>
  <c r="F10539" i="12"/>
  <c r="J10538" i="12"/>
  <c r="I10538" i="12"/>
  <c r="H10538" i="12"/>
  <c r="F10538" i="12"/>
  <c r="J10537" i="12"/>
  <c r="I10537" i="12"/>
  <c r="H10537" i="12"/>
  <c r="F10537" i="12"/>
  <c r="J10536" i="12"/>
  <c r="I10536" i="12"/>
  <c r="H10536" i="12"/>
  <c r="F10536" i="12"/>
  <c r="J10535" i="12"/>
  <c r="I10535" i="12"/>
  <c r="H10535" i="12"/>
  <c r="F10535" i="12"/>
  <c r="J10534" i="12"/>
  <c r="I10534" i="12"/>
  <c r="H10534" i="12"/>
  <c r="F10534" i="12"/>
  <c r="J10533" i="12"/>
  <c r="I10533" i="12"/>
  <c r="H10533" i="12"/>
  <c r="F10533" i="12"/>
  <c r="J10532" i="12"/>
  <c r="I10532" i="12"/>
  <c r="H10532" i="12"/>
  <c r="F10532" i="12"/>
  <c r="J10531" i="12"/>
  <c r="I10531" i="12"/>
  <c r="H10531" i="12"/>
  <c r="F10531" i="12"/>
  <c r="J10530" i="12"/>
  <c r="I10530" i="12"/>
  <c r="H10530" i="12"/>
  <c r="F10530" i="12"/>
  <c r="J10529" i="12"/>
  <c r="I10529" i="12"/>
  <c r="H10529" i="12"/>
  <c r="F10529" i="12"/>
  <c r="J10528" i="12"/>
  <c r="I10528" i="12"/>
  <c r="H10528" i="12"/>
  <c r="F10528" i="12"/>
  <c r="J10527" i="12"/>
  <c r="I10527" i="12"/>
  <c r="H10527" i="12"/>
  <c r="F10527" i="12"/>
  <c r="J10526" i="12"/>
  <c r="I10526" i="12"/>
  <c r="H10526" i="12"/>
  <c r="F10526" i="12"/>
  <c r="J10525" i="12"/>
  <c r="I10525" i="12"/>
  <c r="H10525" i="12"/>
  <c r="F10525" i="12"/>
  <c r="J10524" i="12"/>
  <c r="I10524" i="12"/>
  <c r="H10524" i="12"/>
  <c r="F10524" i="12"/>
  <c r="J10523" i="12"/>
  <c r="I10523" i="12"/>
  <c r="H10523" i="12"/>
  <c r="F10523" i="12"/>
  <c r="J10522" i="12"/>
  <c r="I10522" i="12"/>
  <c r="H10522" i="12"/>
  <c r="F10522" i="12"/>
  <c r="J10521" i="12"/>
  <c r="I10521" i="12"/>
  <c r="H10521" i="12"/>
  <c r="F10521" i="12"/>
  <c r="J10520" i="12"/>
  <c r="I10520" i="12"/>
  <c r="H10520" i="12"/>
  <c r="F10520" i="12"/>
  <c r="J10519" i="12"/>
  <c r="I10519" i="12"/>
  <c r="H10519" i="12"/>
  <c r="F10519" i="12"/>
  <c r="J10518" i="12"/>
  <c r="I10518" i="12"/>
  <c r="H10518" i="12"/>
  <c r="F10518" i="12"/>
  <c r="J10517" i="12"/>
  <c r="I10517" i="12"/>
  <c r="H10517" i="12"/>
  <c r="F10517" i="12"/>
  <c r="J10516" i="12"/>
  <c r="I10516" i="12"/>
  <c r="H10516" i="12"/>
  <c r="F10516" i="12"/>
  <c r="J10515" i="12"/>
  <c r="I10515" i="12"/>
  <c r="H10515" i="12"/>
  <c r="F10515" i="12"/>
  <c r="J10514" i="12"/>
  <c r="I10514" i="12"/>
  <c r="H10514" i="12"/>
  <c r="F10514" i="12"/>
  <c r="J10513" i="12"/>
  <c r="I10513" i="12"/>
  <c r="H10513" i="12"/>
  <c r="F10513" i="12"/>
  <c r="J10512" i="12"/>
  <c r="I10512" i="12"/>
  <c r="H10512" i="12"/>
  <c r="F10512" i="12"/>
  <c r="J10511" i="12"/>
  <c r="I10511" i="12"/>
  <c r="H10511" i="12"/>
  <c r="F10511" i="12"/>
  <c r="J10510" i="12"/>
  <c r="I10510" i="12"/>
  <c r="H10510" i="12"/>
  <c r="F10510" i="12"/>
  <c r="J10509" i="12"/>
  <c r="I10509" i="12"/>
  <c r="H10509" i="12"/>
  <c r="F10509" i="12"/>
  <c r="J10508" i="12"/>
  <c r="I10508" i="12"/>
  <c r="H10508" i="12"/>
  <c r="F10508" i="12"/>
  <c r="J10507" i="12"/>
  <c r="I10507" i="12"/>
  <c r="H10507" i="12"/>
  <c r="F10507" i="12"/>
  <c r="J10506" i="12"/>
  <c r="I10506" i="12"/>
  <c r="H10506" i="12"/>
  <c r="F10506" i="12"/>
  <c r="J10505" i="12"/>
  <c r="I10505" i="12"/>
  <c r="H10505" i="12"/>
  <c r="F10505" i="12"/>
  <c r="J10504" i="12"/>
  <c r="I10504" i="12"/>
  <c r="H10504" i="12"/>
  <c r="F10504" i="12"/>
  <c r="J10503" i="12"/>
  <c r="I10503" i="12"/>
  <c r="H10503" i="12"/>
  <c r="F10503" i="12"/>
  <c r="J10502" i="12"/>
  <c r="I10502" i="12"/>
  <c r="H10502" i="12"/>
  <c r="F10502" i="12"/>
  <c r="J10501" i="12"/>
  <c r="I10501" i="12"/>
  <c r="H10501" i="12"/>
  <c r="F10501" i="12"/>
  <c r="J10500" i="12"/>
  <c r="I10500" i="12"/>
  <c r="H10500" i="12"/>
  <c r="F10500" i="12"/>
  <c r="J10499" i="12"/>
  <c r="I10499" i="12"/>
  <c r="H10499" i="12"/>
  <c r="F10499" i="12"/>
  <c r="J10498" i="12"/>
  <c r="I10498" i="12"/>
  <c r="H10498" i="12"/>
  <c r="F10498" i="12"/>
  <c r="J10497" i="12"/>
  <c r="I10497" i="12"/>
  <c r="H10497" i="12"/>
  <c r="F10497" i="12"/>
  <c r="J10496" i="12"/>
  <c r="I10496" i="12"/>
  <c r="H10496" i="12"/>
  <c r="F10496" i="12"/>
  <c r="J10495" i="12"/>
  <c r="I10495" i="12"/>
  <c r="H10495" i="12"/>
  <c r="F10495" i="12"/>
  <c r="J10494" i="12"/>
  <c r="I10494" i="12"/>
  <c r="H10494" i="12"/>
  <c r="F10494" i="12"/>
  <c r="J10493" i="12"/>
  <c r="I10493" i="12"/>
  <c r="H10493" i="12"/>
  <c r="F10493" i="12"/>
  <c r="J10492" i="12"/>
  <c r="I10492" i="12"/>
  <c r="H10492" i="12"/>
  <c r="F10492" i="12"/>
  <c r="J10491" i="12"/>
  <c r="I10491" i="12"/>
  <c r="H10491" i="12"/>
  <c r="F10491" i="12"/>
  <c r="J10490" i="12"/>
  <c r="I10490" i="12"/>
  <c r="H10490" i="12"/>
  <c r="F10490" i="12"/>
  <c r="J10489" i="12"/>
  <c r="I10489" i="12"/>
  <c r="H10489" i="12"/>
  <c r="F10489" i="12"/>
  <c r="J10488" i="12"/>
  <c r="I10488" i="12"/>
  <c r="H10488" i="12"/>
  <c r="F10488" i="12"/>
  <c r="J10487" i="12"/>
  <c r="I10487" i="12"/>
  <c r="H10487" i="12"/>
  <c r="F10487" i="12"/>
  <c r="J10486" i="12"/>
  <c r="I10486" i="12"/>
  <c r="H10486" i="12"/>
  <c r="F10486" i="12"/>
  <c r="J10485" i="12"/>
  <c r="I10485" i="12"/>
  <c r="H10485" i="12"/>
  <c r="F10485" i="12"/>
  <c r="J10484" i="12"/>
  <c r="I10484" i="12"/>
  <c r="H10484" i="12"/>
  <c r="F10484" i="12"/>
  <c r="J10483" i="12"/>
  <c r="I10483" i="12"/>
  <c r="H10483" i="12"/>
  <c r="F10483" i="12"/>
  <c r="J10482" i="12"/>
  <c r="I10482" i="12"/>
  <c r="H10482" i="12"/>
  <c r="F10482" i="12"/>
  <c r="J10481" i="12"/>
  <c r="I10481" i="12"/>
  <c r="H10481" i="12"/>
  <c r="F10481" i="12"/>
  <c r="J10480" i="12"/>
  <c r="I10480" i="12"/>
  <c r="H10480" i="12"/>
  <c r="F10480" i="12"/>
  <c r="J10479" i="12"/>
  <c r="I10479" i="12"/>
  <c r="H10479" i="12"/>
  <c r="F10479" i="12"/>
  <c r="J10478" i="12"/>
  <c r="I10478" i="12"/>
  <c r="H10478" i="12"/>
  <c r="F10478" i="12"/>
  <c r="J10477" i="12"/>
  <c r="I10477" i="12"/>
  <c r="H10477" i="12"/>
  <c r="F10477" i="12"/>
  <c r="J10476" i="12"/>
  <c r="I10476" i="12"/>
  <c r="H10476" i="12"/>
  <c r="F10476" i="12"/>
  <c r="J10475" i="12"/>
  <c r="I10475" i="12"/>
  <c r="H10475" i="12"/>
  <c r="F10475" i="12"/>
  <c r="J10474" i="12"/>
  <c r="I10474" i="12"/>
  <c r="H10474" i="12"/>
  <c r="F10474" i="12"/>
  <c r="J10473" i="12"/>
  <c r="I10473" i="12"/>
  <c r="H10473" i="12"/>
  <c r="F10473" i="12"/>
  <c r="J10472" i="12"/>
  <c r="I10472" i="12"/>
  <c r="H10472" i="12"/>
  <c r="F10472" i="12"/>
  <c r="J10471" i="12"/>
  <c r="I10471" i="12"/>
  <c r="H10471" i="12"/>
  <c r="F10471" i="12"/>
  <c r="J10470" i="12"/>
  <c r="I10470" i="12"/>
  <c r="H10470" i="12"/>
  <c r="F10470" i="12"/>
  <c r="J10469" i="12"/>
  <c r="I10469" i="12"/>
  <c r="H10469" i="12"/>
  <c r="F10469" i="12"/>
  <c r="J10468" i="12"/>
  <c r="I10468" i="12"/>
  <c r="H10468" i="12"/>
  <c r="F10468" i="12"/>
  <c r="J10467" i="12"/>
  <c r="I10467" i="12"/>
  <c r="H10467" i="12"/>
  <c r="F10467" i="12"/>
  <c r="J10466" i="12"/>
  <c r="I10466" i="12"/>
  <c r="H10466" i="12"/>
  <c r="F10466" i="12"/>
  <c r="J10465" i="12"/>
  <c r="I10465" i="12"/>
  <c r="H10465" i="12"/>
  <c r="F10465" i="12"/>
  <c r="J10464" i="12"/>
  <c r="I10464" i="12"/>
  <c r="H10464" i="12"/>
  <c r="F10464" i="12"/>
  <c r="J10463" i="12"/>
  <c r="I10463" i="12"/>
  <c r="H10463" i="12"/>
  <c r="F10463" i="12"/>
  <c r="J10462" i="12"/>
  <c r="I10462" i="12"/>
  <c r="H10462" i="12"/>
  <c r="F10462" i="12"/>
  <c r="J10461" i="12"/>
  <c r="I10461" i="12"/>
  <c r="H10461" i="12"/>
  <c r="F10461" i="12"/>
  <c r="J10460" i="12"/>
  <c r="I10460" i="12"/>
  <c r="H10460" i="12"/>
  <c r="F10460" i="12"/>
  <c r="J10459" i="12"/>
  <c r="I10459" i="12"/>
  <c r="H10459" i="12"/>
  <c r="F10459" i="12"/>
  <c r="J10458" i="12"/>
  <c r="I10458" i="12"/>
  <c r="H10458" i="12"/>
  <c r="F10458" i="12"/>
  <c r="J10457" i="12"/>
  <c r="I10457" i="12"/>
  <c r="H10457" i="12"/>
  <c r="F10457" i="12"/>
  <c r="J10456" i="12"/>
  <c r="I10456" i="12"/>
  <c r="H10456" i="12"/>
  <c r="F10456" i="12"/>
  <c r="J10455" i="12"/>
  <c r="I10455" i="12"/>
  <c r="H10455" i="12"/>
  <c r="F10455" i="12"/>
  <c r="J10454" i="12"/>
  <c r="I10454" i="12"/>
  <c r="H10454" i="12"/>
  <c r="F10454" i="12"/>
  <c r="J10453" i="12"/>
  <c r="I10453" i="12"/>
  <c r="H10453" i="12"/>
  <c r="F10453" i="12"/>
  <c r="J10452" i="12"/>
  <c r="I10452" i="12"/>
  <c r="H10452" i="12"/>
  <c r="F10452" i="12"/>
  <c r="J10451" i="12"/>
  <c r="I10451" i="12"/>
  <c r="H10451" i="12"/>
  <c r="F10451" i="12"/>
  <c r="J10450" i="12"/>
  <c r="I10450" i="12"/>
  <c r="H10450" i="12"/>
  <c r="F10450" i="12"/>
  <c r="J10449" i="12"/>
  <c r="I10449" i="12"/>
  <c r="H10449" i="12"/>
  <c r="F10449" i="12"/>
  <c r="J10448" i="12"/>
  <c r="I10448" i="12"/>
  <c r="H10448" i="12"/>
  <c r="F10448" i="12"/>
  <c r="J10447" i="12"/>
  <c r="I10447" i="12"/>
  <c r="H10447" i="12"/>
  <c r="F10447" i="12"/>
  <c r="J10446" i="12"/>
  <c r="I10446" i="12"/>
  <c r="H10446" i="12"/>
  <c r="F10446" i="12"/>
  <c r="J10445" i="12"/>
  <c r="I10445" i="12"/>
  <c r="H10445" i="12"/>
  <c r="F10445" i="12"/>
  <c r="J10444" i="12"/>
  <c r="I10444" i="12"/>
  <c r="H10444" i="12"/>
  <c r="F10444" i="12"/>
  <c r="J10443" i="12"/>
  <c r="I10443" i="12"/>
  <c r="H10443" i="12"/>
  <c r="F10443" i="12"/>
  <c r="J10442" i="12"/>
  <c r="I10442" i="12"/>
  <c r="H10442" i="12"/>
  <c r="F10442" i="12"/>
  <c r="J10441" i="12"/>
  <c r="I10441" i="12"/>
  <c r="H10441" i="12"/>
  <c r="F10441" i="12"/>
  <c r="J10440" i="12"/>
  <c r="I10440" i="12"/>
  <c r="H10440" i="12"/>
  <c r="F10440" i="12"/>
  <c r="J10439" i="12"/>
  <c r="I10439" i="12"/>
  <c r="H10439" i="12"/>
  <c r="F10439" i="12"/>
  <c r="J10438" i="12"/>
  <c r="I10438" i="12"/>
  <c r="H10438" i="12"/>
  <c r="F10438" i="12"/>
  <c r="J10437" i="12"/>
  <c r="I10437" i="12"/>
  <c r="H10437" i="12"/>
  <c r="F10437" i="12"/>
  <c r="J10436" i="12"/>
  <c r="I10436" i="12"/>
  <c r="H10436" i="12"/>
  <c r="F10436" i="12"/>
  <c r="J10435" i="12"/>
  <c r="I10435" i="12"/>
  <c r="H10435" i="12"/>
  <c r="F10435" i="12"/>
  <c r="J10434" i="12"/>
  <c r="I10434" i="12"/>
  <c r="H10434" i="12"/>
  <c r="F10434" i="12"/>
  <c r="J10433" i="12"/>
  <c r="I10433" i="12"/>
  <c r="H10433" i="12"/>
  <c r="F10433" i="12"/>
  <c r="J10432" i="12"/>
  <c r="I10432" i="12"/>
  <c r="H10432" i="12"/>
  <c r="F10432" i="12"/>
  <c r="J10431" i="12"/>
  <c r="I10431" i="12"/>
  <c r="H10431" i="12"/>
  <c r="F10431" i="12"/>
  <c r="J10430" i="12"/>
  <c r="I10430" i="12"/>
  <c r="H10430" i="12"/>
  <c r="F10430" i="12"/>
  <c r="J10429" i="12"/>
  <c r="I10429" i="12"/>
  <c r="H10429" i="12"/>
  <c r="F10429" i="12"/>
  <c r="J10428" i="12"/>
  <c r="I10428" i="12"/>
  <c r="H10428" i="12"/>
  <c r="F10428" i="12"/>
  <c r="J10427" i="12"/>
  <c r="I10427" i="12"/>
  <c r="H10427" i="12"/>
  <c r="F10427" i="12"/>
  <c r="J10426" i="12"/>
  <c r="I10426" i="12"/>
  <c r="H10426" i="12"/>
  <c r="F10426" i="12"/>
  <c r="J10425" i="12"/>
  <c r="I10425" i="12"/>
  <c r="H10425" i="12"/>
  <c r="F10425" i="12"/>
  <c r="J10424" i="12"/>
  <c r="I10424" i="12"/>
  <c r="H10424" i="12"/>
  <c r="F10424" i="12"/>
  <c r="J10423" i="12"/>
  <c r="I10423" i="12"/>
  <c r="H10423" i="12"/>
  <c r="F10423" i="12"/>
  <c r="J10422" i="12"/>
  <c r="I10422" i="12"/>
  <c r="H10422" i="12"/>
  <c r="F10422" i="12"/>
  <c r="J10421" i="12"/>
  <c r="I10421" i="12"/>
  <c r="H10421" i="12"/>
  <c r="F10421" i="12"/>
  <c r="J10420" i="12"/>
  <c r="I10420" i="12"/>
  <c r="H10420" i="12"/>
  <c r="F10420" i="12"/>
  <c r="J10419" i="12"/>
  <c r="I10419" i="12"/>
  <c r="H10419" i="12"/>
  <c r="F10419" i="12"/>
  <c r="J10418" i="12"/>
  <c r="I10418" i="12"/>
  <c r="H10418" i="12"/>
  <c r="F10418" i="12"/>
  <c r="J10417" i="12"/>
  <c r="I10417" i="12"/>
  <c r="H10417" i="12"/>
  <c r="F10417" i="12"/>
  <c r="J10416" i="12"/>
  <c r="I10416" i="12"/>
  <c r="H10416" i="12"/>
  <c r="F10416" i="12"/>
  <c r="J10415" i="12"/>
  <c r="I10415" i="12"/>
  <c r="H10415" i="12"/>
  <c r="F10415" i="12"/>
  <c r="J10414" i="12"/>
  <c r="I10414" i="12"/>
  <c r="H10414" i="12"/>
  <c r="F10414" i="12"/>
  <c r="J10413" i="12"/>
  <c r="I10413" i="12"/>
  <c r="H10413" i="12"/>
  <c r="F10413" i="12"/>
  <c r="J10412" i="12"/>
  <c r="I10412" i="12"/>
  <c r="H10412" i="12"/>
  <c r="F10412" i="12"/>
  <c r="J10411" i="12"/>
  <c r="I10411" i="12"/>
  <c r="H10411" i="12"/>
  <c r="F10411" i="12"/>
  <c r="J10410" i="12"/>
  <c r="I10410" i="12"/>
  <c r="H10410" i="12"/>
  <c r="F10410" i="12"/>
  <c r="J10409" i="12"/>
  <c r="I10409" i="12"/>
  <c r="H10409" i="12"/>
  <c r="F10409" i="12"/>
  <c r="J10408" i="12"/>
  <c r="I10408" i="12"/>
  <c r="H10408" i="12"/>
  <c r="F10408" i="12"/>
  <c r="J10407" i="12"/>
  <c r="I10407" i="12"/>
  <c r="H10407" i="12"/>
  <c r="F10407" i="12"/>
  <c r="J10406" i="12"/>
  <c r="I10406" i="12"/>
  <c r="H10406" i="12"/>
  <c r="F10406" i="12"/>
  <c r="J10405" i="12"/>
  <c r="I10405" i="12"/>
  <c r="H10405" i="12"/>
  <c r="F10405" i="12"/>
  <c r="J10404" i="12"/>
  <c r="I10404" i="12"/>
  <c r="H10404" i="12"/>
  <c r="F10404" i="12"/>
  <c r="J10403" i="12"/>
  <c r="I10403" i="12"/>
  <c r="H10403" i="12"/>
  <c r="F10403" i="12"/>
  <c r="J10402" i="12"/>
  <c r="I10402" i="12"/>
  <c r="H10402" i="12"/>
  <c r="F10402" i="12"/>
  <c r="J10401" i="12"/>
  <c r="I10401" i="12"/>
  <c r="H10401" i="12"/>
  <c r="F10401" i="12"/>
  <c r="J10400" i="12"/>
  <c r="I10400" i="12"/>
  <c r="H10400" i="12"/>
  <c r="F10400" i="12"/>
  <c r="J10399" i="12"/>
  <c r="I10399" i="12"/>
  <c r="H10399" i="12"/>
  <c r="F10399" i="12"/>
  <c r="J10398" i="12"/>
  <c r="I10398" i="12"/>
  <c r="H10398" i="12"/>
  <c r="F10398" i="12"/>
  <c r="J10397" i="12"/>
  <c r="I10397" i="12"/>
  <c r="H10397" i="12"/>
  <c r="F10397" i="12"/>
  <c r="J10396" i="12"/>
  <c r="I10396" i="12"/>
  <c r="H10396" i="12"/>
  <c r="F10396" i="12"/>
  <c r="J10395" i="12"/>
  <c r="I10395" i="12"/>
  <c r="H10395" i="12"/>
  <c r="F10395" i="12"/>
  <c r="J10394" i="12"/>
  <c r="I10394" i="12"/>
  <c r="H10394" i="12"/>
  <c r="F10394" i="12"/>
  <c r="J10393" i="12"/>
  <c r="I10393" i="12"/>
  <c r="H10393" i="12"/>
  <c r="F10393" i="12"/>
  <c r="J10392" i="12"/>
  <c r="I10392" i="12"/>
  <c r="H10392" i="12"/>
  <c r="F10392" i="12"/>
  <c r="J10391" i="12"/>
  <c r="I10391" i="12"/>
  <c r="H10391" i="12"/>
  <c r="F10391" i="12"/>
  <c r="J10390" i="12"/>
  <c r="I10390" i="12"/>
  <c r="H10390" i="12"/>
  <c r="F10390" i="12"/>
  <c r="J10389" i="12"/>
  <c r="I10389" i="12"/>
  <c r="H10389" i="12"/>
  <c r="F10389" i="12"/>
  <c r="J10388" i="12"/>
  <c r="I10388" i="12"/>
  <c r="H10388" i="12"/>
  <c r="F10388" i="12"/>
  <c r="J10387" i="12"/>
  <c r="I10387" i="12"/>
  <c r="H10387" i="12"/>
  <c r="F10387" i="12"/>
  <c r="J10386" i="12"/>
  <c r="I10386" i="12"/>
  <c r="H10386" i="12"/>
  <c r="F10386" i="12"/>
  <c r="J10385" i="12"/>
  <c r="I10385" i="12"/>
  <c r="H10385" i="12"/>
  <c r="F10385" i="12"/>
  <c r="J10384" i="12"/>
  <c r="I10384" i="12"/>
  <c r="H10384" i="12"/>
  <c r="F10384" i="12"/>
  <c r="J10383" i="12"/>
  <c r="I10383" i="12"/>
  <c r="H10383" i="12"/>
  <c r="F10383" i="12"/>
  <c r="J10382" i="12"/>
  <c r="I10382" i="12"/>
  <c r="H10382" i="12"/>
  <c r="F10382" i="12"/>
  <c r="J10381" i="12"/>
  <c r="I10381" i="12"/>
  <c r="H10381" i="12"/>
  <c r="F10381" i="12"/>
  <c r="J10380" i="12"/>
  <c r="I10380" i="12"/>
  <c r="H10380" i="12"/>
  <c r="F10380" i="12"/>
  <c r="J10379" i="12"/>
  <c r="I10379" i="12"/>
  <c r="H10379" i="12"/>
  <c r="F10379" i="12"/>
  <c r="J10378" i="12"/>
  <c r="I10378" i="12"/>
  <c r="H10378" i="12"/>
  <c r="F10378" i="12"/>
  <c r="J10377" i="12"/>
  <c r="I10377" i="12"/>
  <c r="H10377" i="12"/>
  <c r="F10377" i="12"/>
  <c r="J10376" i="12"/>
  <c r="I10376" i="12"/>
  <c r="H10376" i="12"/>
  <c r="F10376" i="12"/>
  <c r="J10375" i="12"/>
  <c r="I10375" i="12"/>
  <c r="H10375" i="12"/>
  <c r="F10375" i="12"/>
  <c r="J10374" i="12"/>
  <c r="I10374" i="12"/>
  <c r="H10374" i="12"/>
  <c r="F10374" i="12"/>
  <c r="J10373" i="12"/>
  <c r="I10373" i="12"/>
  <c r="H10373" i="12"/>
  <c r="F10373" i="12"/>
  <c r="J10372" i="12"/>
  <c r="I10372" i="12"/>
  <c r="H10372" i="12"/>
  <c r="F10372" i="12"/>
  <c r="J10371" i="12"/>
  <c r="I10371" i="12"/>
  <c r="H10371" i="12"/>
  <c r="F10371" i="12"/>
  <c r="J10370" i="12"/>
  <c r="I10370" i="12"/>
  <c r="H10370" i="12"/>
  <c r="F10370" i="12"/>
  <c r="J10369" i="12"/>
  <c r="I10369" i="12"/>
  <c r="H10369" i="12"/>
  <c r="F10369" i="12"/>
  <c r="J10368" i="12"/>
  <c r="I10368" i="12"/>
  <c r="H10368" i="12"/>
  <c r="F10368" i="12"/>
  <c r="J10367" i="12"/>
  <c r="I10367" i="12"/>
  <c r="H10367" i="12"/>
  <c r="F10367" i="12"/>
  <c r="J10366" i="12"/>
  <c r="I10366" i="12"/>
  <c r="H10366" i="12"/>
  <c r="F10366" i="12"/>
  <c r="J10365" i="12"/>
  <c r="I10365" i="12"/>
  <c r="H10365" i="12"/>
  <c r="F10365" i="12"/>
  <c r="J10364" i="12"/>
  <c r="I10364" i="12"/>
  <c r="H10364" i="12"/>
  <c r="F10364" i="12"/>
  <c r="J10363" i="12"/>
  <c r="I10363" i="12"/>
  <c r="H10363" i="12"/>
  <c r="F10363" i="12"/>
  <c r="J10362" i="12"/>
  <c r="I10362" i="12"/>
  <c r="H10362" i="12"/>
  <c r="F10362" i="12"/>
  <c r="J10361" i="12"/>
  <c r="I10361" i="12"/>
  <c r="H10361" i="12"/>
  <c r="F10361" i="12"/>
  <c r="J10360" i="12"/>
  <c r="I10360" i="12"/>
  <c r="H10360" i="12"/>
  <c r="F10360" i="12"/>
  <c r="J10359" i="12"/>
  <c r="I10359" i="12"/>
  <c r="H10359" i="12"/>
  <c r="F10359" i="12"/>
  <c r="J10358" i="12"/>
  <c r="I10358" i="12"/>
  <c r="H10358" i="12"/>
  <c r="F10358" i="12"/>
  <c r="J10357" i="12"/>
  <c r="I10357" i="12"/>
  <c r="H10357" i="12"/>
  <c r="F10357" i="12"/>
  <c r="J10356" i="12"/>
  <c r="I10356" i="12"/>
  <c r="H10356" i="12"/>
  <c r="F10356" i="12"/>
  <c r="J10355" i="12"/>
  <c r="I10355" i="12"/>
  <c r="H10355" i="12"/>
  <c r="F10355" i="12"/>
  <c r="J10354" i="12"/>
  <c r="I10354" i="12"/>
  <c r="H10354" i="12"/>
  <c r="F10354" i="12"/>
  <c r="J10353" i="12"/>
  <c r="I10353" i="12"/>
  <c r="H10353" i="12"/>
  <c r="F10353" i="12"/>
  <c r="J10352" i="12"/>
  <c r="I10352" i="12"/>
  <c r="H10352" i="12"/>
  <c r="F10352" i="12"/>
  <c r="J10351" i="12"/>
  <c r="I10351" i="12"/>
  <c r="H10351" i="12"/>
  <c r="F10351" i="12"/>
  <c r="J10350" i="12"/>
  <c r="I10350" i="12"/>
  <c r="H10350" i="12"/>
  <c r="F10350" i="12"/>
  <c r="J10349" i="12"/>
  <c r="I10349" i="12"/>
  <c r="H10349" i="12"/>
  <c r="F10349" i="12"/>
  <c r="J10348" i="12"/>
  <c r="I10348" i="12"/>
  <c r="H10348" i="12"/>
  <c r="F10348" i="12"/>
  <c r="J10347" i="12"/>
  <c r="I10347" i="12"/>
  <c r="H10347" i="12"/>
  <c r="F10347" i="12"/>
  <c r="J10346" i="12"/>
  <c r="I10346" i="12"/>
  <c r="H10346" i="12"/>
  <c r="F10346" i="12"/>
  <c r="J10345" i="12"/>
  <c r="I10345" i="12"/>
  <c r="H10345" i="12"/>
  <c r="F10345" i="12"/>
  <c r="J10344" i="12"/>
  <c r="I10344" i="12"/>
  <c r="H10344" i="12"/>
  <c r="F10344" i="12"/>
  <c r="J10343" i="12"/>
  <c r="I10343" i="12"/>
  <c r="H10343" i="12"/>
  <c r="F10343" i="12"/>
  <c r="J10342" i="12"/>
  <c r="I10342" i="12"/>
  <c r="H10342" i="12"/>
  <c r="F10342" i="12"/>
  <c r="J10341" i="12"/>
  <c r="I10341" i="12"/>
  <c r="H10341" i="12"/>
  <c r="F10341" i="12"/>
  <c r="J10340" i="12"/>
  <c r="I10340" i="12"/>
  <c r="H10340" i="12"/>
  <c r="F10340" i="12"/>
  <c r="J10339" i="12"/>
  <c r="I10339" i="12"/>
  <c r="H10339" i="12"/>
  <c r="F10339" i="12"/>
  <c r="J10338" i="12"/>
  <c r="I10338" i="12"/>
  <c r="H10338" i="12"/>
  <c r="F10338" i="12"/>
  <c r="J10337" i="12"/>
  <c r="I10337" i="12"/>
  <c r="H10337" i="12"/>
  <c r="F10337" i="12"/>
  <c r="J10336" i="12"/>
  <c r="I10336" i="12"/>
  <c r="H10336" i="12"/>
  <c r="F10336" i="12"/>
  <c r="J10335" i="12"/>
  <c r="I10335" i="12"/>
  <c r="H10335" i="12"/>
  <c r="F10335" i="12"/>
  <c r="J10334" i="12"/>
  <c r="I10334" i="12"/>
  <c r="H10334" i="12"/>
  <c r="F10334" i="12"/>
  <c r="J10333" i="12"/>
  <c r="I10333" i="12"/>
  <c r="H10333" i="12"/>
  <c r="F10333" i="12"/>
  <c r="J10332" i="12"/>
  <c r="I10332" i="12"/>
  <c r="H10332" i="12"/>
  <c r="F10332" i="12"/>
  <c r="J10331" i="12"/>
  <c r="I10331" i="12"/>
  <c r="H10331" i="12"/>
  <c r="F10331" i="12"/>
  <c r="J10330" i="12"/>
  <c r="I10330" i="12"/>
  <c r="H10330" i="12"/>
  <c r="F10330" i="12"/>
  <c r="J10329" i="12"/>
  <c r="I10329" i="12"/>
  <c r="H10329" i="12"/>
  <c r="F10329" i="12"/>
  <c r="J10328" i="12"/>
  <c r="I10328" i="12"/>
  <c r="H10328" i="12"/>
  <c r="F10328" i="12"/>
  <c r="J10327" i="12"/>
  <c r="I10327" i="12"/>
  <c r="H10327" i="12"/>
  <c r="F10327" i="12"/>
  <c r="J10326" i="12"/>
  <c r="I10326" i="12"/>
  <c r="H10326" i="12"/>
  <c r="F10326" i="12"/>
  <c r="J10325" i="12"/>
  <c r="I10325" i="12"/>
  <c r="H10325" i="12"/>
  <c r="F10325" i="12"/>
  <c r="J10324" i="12"/>
  <c r="I10324" i="12"/>
  <c r="H10324" i="12"/>
  <c r="F10324" i="12"/>
  <c r="J10323" i="12"/>
  <c r="I10323" i="12"/>
  <c r="H10323" i="12"/>
  <c r="F10323" i="12"/>
  <c r="J10322" i="12"/>
  <c r="I10322" i="12"/>
  <c r="H10322" i="12"/>
  <c r="F10322" i="12"/>
  <c r="J10321" i="12"/>
  <c r="I10321" i="12"/>
  <c r="H10321" i="12"/>
  <c r="F10321" i="12"/>
  <c r="J10320" i="12"/>
  <c r="I10320" i="12"/>
  <c r="H10320" i="12"/>
  <c r="F10320" i="12"/>
  <c r="J10319" i="12"/>
  <c r="I10319" i="12"/>
  <c r="H10319" i="12"/>
  <c r="F10319" i="12"/>
  <c r="J10318" i="12"/>
  <c r="I10318" i="12"/>
  <c r="H10318" i="12"/>
  <c r="F10318" i="12"/>
  <c r="J10317" i="12"/>
  <c r="I10317" i="12"/>
  <c r="H10317" i="12"/>
  <c r="F10317" i="12"/>
  <c r="J10316" i="12"/>
  <c r="I10316" i="12"/>
  <c r="H10316" i="12"/>
  <c r="F10316" i="12"/>
  <c r="J10315" i="12"/>
  <c r="I10315" i="12"/>
  <c r="H10315" i="12"/>
  <c r="F10315" i="12"/>
  <c r="J10314" i="12"/>
  <c r="I10314" i="12"/>
  <c r="H10314" i="12"/>
  <c r="F10314" i="12"/>
  <c r="J10313" i="12"/>
  <c r="I10313" i="12"/>
  <c r="H10313" i="12"/>
  <c r="F10313" i="12"/>
  <c r="J10312" i="12"/>
  <c r="I10312" i="12"/>
  <c r="H10312" i="12"/>
  <c r="F10312" i="12"/>
  <c r="J10311" i="12"/>
  <c r="I10311" i="12"/>
  <c r="H10311" i="12"/>
  <c r="F10311" i="12"/>
  <c r="J10310" i="12"/>
  <c r="I10310" i="12"/>
  <c r="H10310" i="12"/>
  <c r="F10310" i="12"/>
  <c r="J10309" i="12"/>
  <c r="I10309" i="12"/>
  <c r="H10309" i="12"/>
  <c r="F10309" i="12"/>
  <c r="J10308" i="12"/>
  <c r="I10308" i="12"/>
  <c r="H10308" i="12"/>
  <c r="F10308" i="12"/>
  <c r="J10307" i="12"/>
  <c r="I10307" i="12"/>
  <c r="H10307" i="12"/>
  <c r="F10307" i="12"/>
  <c r="J10306" i="12"/>
  <c r="I10306" i="12"/>
  <c r="H10306" i="12"/>
  <c r="F10306" i="12"/>
  <c r="J10305" i="12"/>
  <c r="I10305" i="12"/>
  <c r="H10305" i="12"/>
  <c r="F10305" i="12"/>
  <c r="J10304" i="12"/>
  <c r="I10304" i="12"/>
  <c r="H10304" i="12"/>
  <c r="F10304" i="12"/>
  <c r="J10303" i="12"/>
  <c r="I10303" i="12"/>
  <c r="H10303" i="12"/>
  <c r="F10303" i="12"/>
  <c r="J10302" i="12"/>
  <c r="I10302" i="12"/>
  <c r="H10302" i="12"/>
  <c r="F10302" i="12"/>
  <c r="J10301" i="12"/>
  <c r="I10301" i="12"/>
  <c r="H10301" i="12"/>
  <c r="F10301" i="12"/>
  <c r="J10300" i="12"/>
  <c r="I10300" i="12"/>
  <c r="H10300" i="12"/>
  <c r="F10300" i="12"/>
  <c r="J10299" i="12"/>
  <c r="I10299" i="12"/>
  <c r="H10299" i="12"/>
  <c r="F10299" i="12"/>
  <c r="J10298" i="12"/>
  <c r="I10298" i="12"/>
  <c r="H10298" i="12"/>
  <c r="F10298" i="12"/>
  <c r="J10297" i="12"/>
  <c r="I10297" i="12"/>
  <c r="H10297" i="12"/>
  <c r="F10297" i="12"/>
  <c r="J10296" i="12"/>
  <c r="I10296" i="12"/>
  <c r="H10296" i="12"/>
  <c r="F10296" i="12"/>
  <c r="J10295" i="12"/>
  <c r="I10295" i="12"/>
  <c r="H10295" i="12"/>
  <c r="F10295" i="12"/>
  <c r="J10294" i="12"/>
  <c r="I10294" i="12"/>
  <c r="H10294" i="12"/>
  <c r="F10294" i="12"/>
  <c r="J10293" i="12"/>
  <c r="I10293" i="12"/>
  <c r="H10293" i="12"/>
  <c r="F10293" i="12"/>
  <c r="J10292" i="12"/>
  <c r="I10292" i="12"/>
  <c r="H10292" i="12"/>
  <c r="F10292" i="12"/>
  <c r="J10291" i="12"/>
  <c r="I10291" i="12"/>
  <c r="H10291" i="12"/>
  <c r="F10291" i="12"/>
  <c r="J10290" i="12"/>
  <c r="I10290" i="12"/>
  <c r="H10290" i="12"/>
  <c r="F10290" i="12"/>
  <c r="J10289" i="12"/>
  <c r="I10289" i="12"/>
  <c r="H10289" i="12"/>
  <c r="F10289" i="12"/>
  <c r="J10288" i="12"/>
  <c r="I10288" i="12"/>
  <c r="H10288" i="12"/>
  <c r="F10288" i="12"/>
  <c r="J10287" i="12"/>
  <c r="I10287" i="12"/>
  <c r="H10287" i="12"/>
  <c r="F10287" i="12"/>
  <c r="J10286" i="12"/>
  <c r="I10286" i="12"/>
  <c r="H10286" i="12"/>
  <c r="F10286" i="12"/>
  <c r="J10285" i="12"/>
  <c r="I10285" i="12"/>
  <c r="H10285" i="12"/>
  <c r="F10285" i="12"/>
  <c r="J10284" i="12"/>
  <c r="I10284" i="12"/>
  <c r="H10284" i="12"/>
  <c r="F10284" i="12"/>
  <c r="J10283" i="12"/>
  <c r="I10283" i="12"/>
  <c r="H10283" i="12"/>
  <c r="F10283" i="12"/>
  <c r="J10282" i="12"/>
  <c r="I10282" i="12"/>
  <c r="H10282" i="12"/>
  <c r="F10282" i="12"/>
  <c r="J10281" i="12"/>
  <c r="I10281" i="12"/>
  <c r="H10281" i="12"/>
  <c r="F10281" i="12"/>
  <c r="J10280" i="12"/>
  <c r="I10280" i="12"/>
  <c r="H10280" i="12"/>
  <c r="F10280" i="12"/>
  <c r="J10279" i="12"/>
  <c r="I10279" i="12"/>
  <c r="H10279" i="12"/>
  <c r="F10279" i="12"/>
  <c r="J10278" i="12"/>
  <c r="I10278" i="12"/>
  <c r="H10278" i="12"/>
  <c r="F10278" i="12"/>
  <c r="J10277" i="12"/>
  <c r="I10277" i="12"/>
  <c r="H10277" i="12"/>
  <c r="F10277" i="12"/>
  <c r="J10276" i="12"/>
  <c r="I10276" i="12"/>
  <c r="H10276" i="12"/>
  <c r="F10276" i="12"/>
  <c r="J10275" i="12"/>
  <c r="I10275" i="12"/>
  <c r="H10275" i="12"/>
  <c r="F10275" i="12"/>
  <c r="J10274" i="12"/>
  <c r="I10274" i="12"/>
  <c r="H10274" i="12"/>
  <c r="F10274" i="12"/>
  <c r="J10273" i="12"/>
  <c r="I10273" i="12"/>
  <c r="H10273" i="12"/>
  <c r="F10273" i="12"/>
  <c r="J10272" i="12"/>
  <c r="I10272" i="12"/>
  <c r="H10272" i="12"/>
  <c r="F10272" i="12"/>
  <c r="J10271" i="12"/>
  <c r="I10271" i="12"/>
  <c r="H10271" i="12"/>
  <c r="F10271" i="12"/>
  <c r="J10270" i="12"/>
  <c r="I10270" i="12"/>
  <c r="H10270" i="12"/>
  <c r="F10270" i="12"/>
  <c r="J10269" i="12"/>
  <c r="I10269" i="12"/>
  <c r="H10269" i="12"/>
  <c r="F10269" i="12"/>
  <c r="J10268" i="12"/>
  <c r="I10268" i="12"/>
  <c r="H10268" i="12"/>
  <c r="F10268" i="12"/>
  <c r="J10267" i="12"/>
  <c r="I10267" i="12"/>
  <c r="H10267" i="12"/>
  <c r="F10267" i="12"/>
  <c r="J10266" i="12"/>
  <c r="I10266" i="12"/>
  <c r="H10266" i="12"/>
  <c r="F10266" i="12"/>
  <c r="J10265" i="12"/>
  <c r="I10265" i="12"/>
  <c r="H10265" i="12"/>
  <c r="F10265" i="12"/>
  <c r="J10264" i="12"/>
  <c r="I10264" i="12"/>
  <c r="H10264" i="12"/>
  <c r="F10264" i="12"/>
  <c r="J10263" i="12"/>
  <c r="I10263" i="12"/>
  <c r="H10263" i="12"/>
  <c r="F10263" i="12"/>
  <c r="J10262" i="12"/>
  <c r="I10262" i="12"/>
  <c r="H10262" i="12"/>
  <c r="F10262" i="12"/>
  <c r="J10261" i="12"/>
  <c r="I10261" i="12"/>
  <c r="H10261" i="12"/>
  <c r="F10261" i="12"/>
  <c r="J10260" i="12"/>
  <c r="I10260" i="12"/>
  <c r="H10260" i="12"/>
  <c r="F10260" i="12"/>
  <c r="J10259" i="12"/>
  <c r="I10259" i="12"/>
  <c r="H10259" i="12"/>
  <c r="F10259" i="12"/>
  <c r="J10258" i="12"/>
  <c r="I10258" i="12"/>
  <c r="H10258" i="12"/>
  <c r="F10258" i="12"/>
  <c r="J10257" i="12"/>
  <c r="I10257" i="12"/>
  <c r="H10257" i="12"/>
  <c r="F10257" i="12"/>
  <c r="J10256" i="12"/>
  <c r="I10256" i="12"/>
  <c r="H10256" i="12"/>
  <c r="F10256" i="12"/>
  <c r="J10255" i="12"/>
  <c r="I10255" i="12"/>
  <c r="H10255" i="12"/>
  <c r="F10255" i="12"/>
  <c r="J10254" i="12"/>
  <c r="I10254" i="12"/>
  <c r="H10254" i="12"/>
  <c r="F10254" i="12"/>
  <c r="J10253" i="12"/>
  <c r="I10253" i="12"/>
  <c r="H10253" i="12"/>
  <c r="F10253" i="12"/>
  <c r="J10252" i="12"/>
  <c r="I10252" i="12"/>
  <c r="H10252" i="12"/>
  <c r="F10252" i="12"/>
  <c r="J10251" i="12"/>
  <c r="I10251" i="12"/>
  <c r="H10251" i="12"/>
  <c r="F10251" i="12"/>
  <c r="J10250" i="12"/>
  <c r="I10250" i="12"/>
  <c r="H10250" i="12"/>
  <c r="F10250" i="12"/>
  <c r="J10249" i="12"/>
  <c r="I10249" i="12"/>
  <c r="H10249" i="12"/>
  <c r="F10249" i="12"/>
  <c r="J10248" i="12"/>
  <c r="I10248" i="12"/>
  <c r="H10248" i="12"/>
  <c r="F10248" i="12"/>
  <c r="J10247" i="12"/>
  <c r="I10247" i="12"/>
  <c r="H10247" i="12"/>
  <c r="F10247" i="12"/>
  <c r="J10246" i="12"/>
  <c r="I10246" i="12"/>
  <c r="H10246" i="12"/>
  <c r="F10246" i="12"/>
  <c r="J10245" i="12"/>
  <c r="I10245" i="12"/>
  <c r="H10245" i="12"/>
  <c r="F10245" i="12"/>
  <c r="J10244" i="12"/>
  <c r="I10244" i="12"/>
  <c r="H10244" i="12"/>
  <c r="F10244" i="12"/>
  <c r="J10243" i="12"/>
  <c r="I10243" i="12"/>
  <c r="H10243" i="12"/>
  <c r="F10243" i="12"/>
  <c r="J10242" i="12"/>
  <c r="I10242" i="12"/>
  <c r="H10242" i="12"/>
  <c r="F10242" i="12"/>
  <c r="J10241" i="12"/>
  <c r="I10241" i="12"/>
  <c r="H10241" i="12"/>
  <c r="F10241" i="12"/>
  <c r="J10240" i="12"/>
  <c r="I10240" i="12"/>
  <c r="H10240" i="12"/>
  <c r="F10240" i="12"/>
  <c r="J10239" i="12"/>
  <c r="I10239" i="12"/>
  <c r="H10239" i="12"/>
  <c r="F10239" i="12"/>
  <c r="J10238" i="12"/>
  <c r="I10238" i="12"/>
  <c r="H10238" i="12"/>
  <c r="F10238" i="12"/>
  <c r="J10237" i="12"/>
  <c r="I10237" i="12"/>
  <c r="H10237" i="12"/>
  <c r="F10237" i="12"/>
  <c r="J10236" i="12"/>
  <c r="I10236" i="12"/>
  <c r="H10236" i="12"/>
  <c r="F10236" i="12"/>
  <c r="J10235" i="12"/>
  <c r="I10235" i="12"/>
  <c r="H10235" i="12"/>
  <c r="F10235" i="12"/>
  <c r="J10234" i="12"/>
  <c r="I10234" i="12"/>
  <c r="H10234" i="12"/>
  <c r="F10234" i="12"/>
  <c r="J10233" i="12"/>
  <c r="I10233" i="12"/>
  <c r="H10233" i="12"/>
  <c r="F10233" i="12"/>
  <c r="J10232" i="12"/>
  <c r="I10232" i="12"/>
  <c r="H10232" i="12"/>
  <c r="F10232" i="12"/>
  <c r="J10231" i="12"/>
  <c r="I10231" i="12"/>
  <c r="H10231" i="12"/>
  <c r="F10231" i="12"/>
  <c r="J10230" i="12"/>
  <c r="I10230" i="12"/>
  <c r="H10230" i="12"/>
  <c r="F10230" i="12"/>
  <c r="J10229" i="12"/>
  <c r="I10229" i="12"/>
  <c r="H10229" i="12"/>
  <c r="F10229" i="12"/>
  <c r="J10228" i="12"/>
  <c r="I10228" i="12"/>
  <c r="H10228" i="12"/>
  <c r="F10228" i="12"/>
  <c r="J10227" i="12"/>
  <c r="I10227" i="12"/>
  <c r="H10227" i="12"/>
  <c r="F10227" i="12"/>
  <c r="J10226" i="12"/>
  <c r="I10226" i="12"/>
  <c r="H10226" i="12"/>
  <c r="F10226" i="12"/>
  <c r="J10225" i="12"/>
  <c r="I10225" i="12"/>
  <c r="H10225" i="12"/>
  <c r="F10225" i="12"/>
  <c r="J10224" i="12"/>
  <c r="I10224" i="12"/>
  <c r="H10224" i="12"/>
  <c r="F10224" i="12"/>
  <c r="J10223" i="12"/>
  <c r="I10223" i="12"/>
  <c r="H10223" i="12"/>
  <c r="F10223" i="12"/>
  <c r="J10222" i="12"/>
  <c r="I10222" i="12"/>
  <c r="H10222" i="12"/>
  <c r="F10222" i="12"/>
  <c r="J10221" i="12"/>
  <c r="I10221" i="12"/>
  <c r="H10221" i="12"/>
  <c r="F10221" i="12"/>
  <c r="J10220" i="12"/>
  <c r="I10220" i="12"/>
  <c r="H10220" i="12"/>
  <c r="F10220" i="12"/>
  <c r="J10219" i="12"/>
  <c r="I10219" i="12"/>
  <c r="H10219" i="12"/>
  <c r="F10219" i="12"/>
  <c r="J10218" i="12"/>
  <c r="I10218" i="12"/>
  <c r="H10218" i="12"/>
  <c r="F10218" i="12"/>
  <c r="J10217" i="12"/>
  <c r="I10217" i="12"/>
  <c r="H10217" i="12"/>
  <c r="F10217" i="12"/>
  <c r="J10216" i="12"/>
  <c r="I10216" i="12"/>
  <c r="H10216" i="12"/>
  <c r="F10216" i="12"/>
  <c r="J10215" i="12"/>
  <c r="I10215" i="12"/>
  <c r="H10215" i="12"/>
  <c r="F10215" i="12"/>
  <c r="J10214" i="12"/>
  <c r="I10214" i="12"/>
  <c r="H10214" i="12"/>
  <c r="F10214" i="12"/>
  <c r="J10213" i="12"/>
  <c r="I10213" i="12"/>
  <c r="H10213" i="12"/>
  <c r="F10213" i="12"/>
  <c r="J10212" i="12"/>
  <c r="I10212" i="12"/>
  <c r="H10212" i="12"/>
  <c r="F10212" i="12"/>
  <c r="J10211" i="12"/>
  <c r="I10211" i="12"/>
  <c r="H10211" i="12"/>
  <c r="F10211" i="12"/>
  <c r="J10210" i="12"/>
  <c r="I10210" i="12"/>
  <c r="H10210" i="12"/>
  <c r="F10210" i="12"/>
  <c r="J10209" i="12"/>
  <c r="I10209" i="12"/>
  <c r="H10209" i="12"/>
  <c r="F10209" i="12"/>
  <c r="J10208" i="12"/>
  <c r="I10208" i="12"/>
  <c r="H10208" i="12"/>
  <c r="F10208" i="12"/>
  <c r="J10207" i="12"/>
  <c r="I10207" i="12"/>
  <c r="H10207" i="12"/>
  <c r="F10207" i="12"/>
  <c r="J10206" i="12"/>
  <c r="I10206" i="12"/>
  <c r="H10206" i="12"/>
  <c r="F10206" i="12"/>
  <c r="J10205" i="12"/>
  <c r="I10205" i="12"/>
  <c r="H10205" i="12"/>
  <c r="F10205" i="12"/>
  <c r="J10204" i="12"/>
  <c r="I10204" i="12"/>
  <c r="H10204" i="12"/>
  <c r="F10204" i="12"/>
  <c r="J10203" i="12"/>
  <c r="I10203" i="12"/>
  <c r="H10203" i="12"/>
  <c r="F10203" i="12"/>
  <c r="J10202" i="12"/>
  <c r="I10202" i="12"/>
  <c r="H10202" i="12"/>
  <c r="F10202" i="12"/>
  <c r="J10201" i="12"/>
  <c r="I10201" i="12"/>
  <c r="H10201" i="12"/>
  <c r="F10201" i="12"/>
  <c r="J10200" i="12"/>
  <c r="I10200" i="12"/>
  <c r="H10200" i="12"/>
  <c r="F10200" i="12"/>
  <c r="J10199" i="12"/>
  <c r="I10199" i="12"/>
  <c r="H10199" i="12"/>
  <c r="F10199" i="12"/>
  <c r="J10198" i="12"/>
  <c r="I10198" i="12"/>
  <c r="H10198" i="12"/>
  <c r="F10198" i="12"/>
  <c r="J10197" i="12"/>
  <c r="I10197" i="12"/>
  <c r="H10197" i="12"/>
  <c r="F10197" i="12"/>
  <c r="J10196" i="12"/>
  <c r="I10196" i="12"/>
  <c r="H10196" i="12"/>
  <c r="F10196" i="12"/>
  <c r="J10195" i="12"/>
  <c r="I10195" i="12"/>
  <c r="H10195" i="12"/>
  <c r="F10195" i="12"/>
  <c r="J10194" i="12"/>
  <c r="I10194" i="12"/>
  <c r="H10194" i="12"/>
  <c r="F10194" i="12"/>
  <c r="J10193" i="12"/>
  <c r="I10193" i="12"/>
  <c r="H10193" i="12"/>
  <c r="F10193" i="12"/>
  <c r="J10192" i="12"/>
  <c r="I10192" i="12"/>
  <c r="H10192" i="12"/>
  <c r="F10192" i="12"/>
  <c r="J10191" i="12"/>
  <c r="I10191" i="12"/>
  <c r="H10191" i="12"/>
  <c r="F10191" i="12"/>
  <c r="J10190" i="12"/>
  <c r="I10190" i="12"/>
  <c r="H10190" i="12"/>
  <c r="F10190" i="12"/>
  <c r="J10189" i="12"/>
  <c r="I10189" i="12"/>
  <c r="H10189" i="12"/>
  <c r="F10189" i="12"/>
  <c r="J10188" i="12"/>
  <c r="I10188" i="12"/>
  <c r="H10188" i="12"/>
  <c r="F10188" i="12"/>
  <c r="J10187" i="12"/>
  <c r="I10187" i="12"/>
  <c r="H10187" i="12"/>
  <c r="F10187" i="12"/>
  <c r="J10186" i="12"/>
  <c r="I10186" i="12"/>
  <c r="H10186" i="12"/>
  <c r="F10186" i="12"/>
  <c r="J10185" i="12"/>
  <c r="I10185" i="12"/>
  <c r="H10185" i="12"/>
  <c r="F10185" i="12"/>
  <c r="J10184" i="12"/>
  <c r="I10184" i="12"/>
  <c r="H10184" i="12"/>
  <c r="F10184" i="12"/>
  <c r="J10183" i="12"/>
  <c r="I10183" i="12"/>
  <c r="H10183" i="12"/>
  <c r="F10183" i="12"/>
  <c r="J10182" i="12"/>
  <c r="I10182" i="12"/>
  <c r="H10182" i="12"/>
  <c r="F10182" i="12"/>
  <c r="J10181" i="12"/>
  <c r="I10181" i="12"/>
  <c r="H10181" i="12"/>
  <c r="F10181" i="12"/>
  <c r="J10180" i="12"/>
  <c r="I10180" i="12"/>
  <c r="H10180" i="12"/>
  <c r="F10180" i="12"/>
  <c r="J10179" i="12"/>
  <c r="I10179" i="12"/>
  <c r="H10179" i="12"/>
  <c r="F10179" i="12"/>
  <c r="J10178" i="12"/>
  <c r="I10178" i="12"/>
  <c r="H10178" i="12"/>
  <c r="F10178" i="12"/>
  <c r="J10177" i="12"/>
  <c r="I10177" i="12"/>
  <c r="H10177" i="12"/>
  <c r="F10177" i="12"/>
  <c r="J10176" i="12"/>
  <c r="I10176" i="12"/>
  <c r="H10176" i="12"/>
  <c r="F10176" i="12"/>
  <c r="J10175" i="12"/>
  <c r="I10175" i="12"/>
  <c r="H10175" i="12"/>
  <c r="F10175" i="12"/>
  <c r="J10174" i="12"/>
  <c r="I10174" i="12"/>
  <c r="H10174" i="12"/>
  <c r="F10174" i="12"/>
  <c r="J10173" i="12"/>
  <c r="I10173" i="12"/>
  <c r="H10173" i="12"/>
  <c r="F10173" i="12"/>
  <c r="J10172" i="12"/>
  <c r="I10172" i="12"/>
  <c r="H10172" i="12"/>
  <c r="F10172" i="12"/>
  <c r="J10171" i="12"/>
  <c r="I10171" i="12"/>
  <c r="H10171" i="12"/>
  <c r="F10171" i="12"/>
  <c r="J10170" i="12"/>
  <c r="I10170" i="12"/>
  <c r="H10170" i="12"/>
  <c r="F10170" i="12"/>
  <c r="J10169" i="12"/>
  <c r="I10169" i="12"/>
  <c r="H10169" i="12"/>
  <c r="F10169" i="12"/>
  <c r="J10168" i="12"/>
  <c r="I10168" i="12"/>
  <c r="H10168" i="12"/>
  <c r="F10168" i="12"/>
  <c r="J10167" i="12"/>
  <c r="I10167" i="12"/>
  <c r="H10167" i="12"/>
  <c r="F10167" i="12"/>
  <c r="J10166" i="12"/>
  <c r="I10166" i="12"/>
  <c r="H10166" i="12"/>
  <c r="F10166" i="12"/>
  <c r="J10165" i="12"/>
  <c r="I10165" i="12"/>
  <c r="H10165" i="12"/>
  <c r="F10165" i="12"/>
  <c r="J10164" i="12"/>
  <c r="I10164" i="12"/>
  <c r="H10164" i="12"/>
  <c r="F10164" i="12"/>
  <c r="J10163" i="12"/>
  <c r="I10163" i="12"/>
  <c r="H10163" i="12"/>
  <c r="F10163" i="12"/>
  <c r="J10162" i="12"/>
  <c r="I10162" i="12"/>
  <c r="H10162" i="12"/>
  <c r="F10162" i="12"/>
  <c r="J10161" i="12"/>
  <c r="I10161" i="12"/>
  <c r="H10161" i="12"/>
  <c r="F10161" i="12"/>
  <c r="J10160" i="12"/>
  <c r="I10160" i="12"/>
  <c r="H10160" i="12"/>
  <c r="F10160" i="12"/>
  <c r="J10159" i="12"/>
  <c r="I10159" i="12"/>
  <c r="H10159" i="12"/>
  <c r="F10159" i="12"/>
  <c r="J10158" i="12"/>
  <c r="I10158" i="12"/>
  <c r="H10158" i="12"/>
  <c r="F10158" i="12"/>
  <c r="J10157" i="12"/>
  <c r="I10157" i="12"/>
  <c r="H10157" i="12"/>
  <c r="F10157" i="12"/>
  <c r="J10156" i="12"/>
  <c r="I10156" i="12"/>
  <c r="H10156" i="12"/>
  <c r="F10156" i="12"/>
  <c r="J10155" i="12"/>
  <c r="I10155" i="12"/>
  <c r="H10155" i="12"/>
  <c r="F10155" i="12"/>
  <c r="J10154" i="12"/>
  <c r="I10154" i="12"/>
  <c r="H10154" i="12"/>
  <c r="F10154" i="12"/>
  <c r="J10153" i="12"/>
  <c r="I10153" i="12"/>
  <c r="H10153" i="12"/>
  <c r="F10153" i="12"/>
  <c r="J10152" i="12"/>
  <c r="I10152" i="12"/>
  <c r="H10152" i="12"/>
  <c r="F10152" i="12"/>
  <c r="J10151" i="12"/>
  <c r="I10151" i="12"/>
  <c r="H10151" i="12"/>
  <c r="F10151" i="12"/>
  <c r="J10150" i="12"/>
  <c r="I10150" i="12"/>
  <c r="H10150" i="12"/>
  <c r="F10150" i="12"/>
  <c r="J10149" i="12"/>
  <c r="I10149" i="12"/>
  <c r="H10149" i="12"/>
  <c r="F10149" i="12"/>
  <c r="J10148" i="12"/>
  <c r="I10148" i="12"/>
  <c r="H10148" i="12"/>
  <c r="F10148" i="12"/>
  <c r="J10147" i="12"/>
  <c r="I10147" i="12"/>
  <c r="H10147" i="12"/>
  <c r="F10147" i="12"/>
  <c r="J10146" i="12"/>
  <c r="I10146" i="12"/>
  <c r="H10146" i="12"/>
  <c r="F10146" i="12"/>
  <c r="J10145" i="12"/>
  <c r="I10145" i="12"/>
  <c r="H10145" i="12"/>
  <c r="F10145" i="12"/>
  <c r="J10144" i="12"/>
  <c r="I10144" i="12"/>
  <c r="H10144" i="12"/>
  <c r="F10144" i="12"/>
  <c r="J10143" i="12"/>
  <c r="I10143" i="12"/>
  <c r="H10143" i="12"/>
  <c r="F10143" i="12"/>
  <c r="J10142" i="12"/>
  <c r="I10142" i="12"/>
  <c r="H10142" i="12"/>
  <c r="F10142" i="12"/>
  <c r="J10141" i="12"/>
  <c r="I10141" i="12"/>
  <c r="H10141" i="12"/>
  <c r="F10141" i="12"/>
  <c r="J10140" i="12"/>
  <c r="I10140" i="12"/>
  <c r="H10140" i="12"/>
  <c r="F10140" i="12"/>
  <c r="J10139" i="12"/>
  <c r="I10139" i="12"/>
  <c r="H10139" i="12"/>
  <c r="F10139" i="12"/>
  <c r="J10138" i="12"/>
  <c r="I10138" i="12"/>
  <c r="H10138" i="12"/>
  <c r="F10138" i="12"/>
  <c r="J10137" i="12"/>
  <c r="I10137" i="12"/>
  <c r="H10137" i="12"/>
  <c r="F10137" i="12"/>
  <c r="J10136" i="12"/>
  <c r="I10136" i="12"/>
  <c r="H10136" i="12"/>
  <c r="F10136" i="12"/>
  <c r="J10135" i="12"/>
  <c r="I10135" i="12"/>
  <c r="H10135" i="12"/>
  <c r="F10135" i="12"/>
  <c r="J10134" i="12"/>
  <c r="I10134" i="12"/>
  <c r="H10134" i="12"/>
  <c r="F10134" i="12"/>
  <c r="J10133" i="12"/>
  <c r="I10133" i="12"/>
  <c r="H10133" i="12"/>
  <c r="F10133" i="12"/>
  <c r="J10132" i="12"/>
  <c r="I10132" i="12"/>
  <c r="H10132" i="12"/>
  <c r="F10132" i="12"/>
  <c r="J10131" i="12"/>
  <c r="I10131" i="12"/>
  <c r="H10131" i="12"/>
  <c r="F10131" i="12"/>
  <c r="J10130" i="12"/>
  <c r="I10130" i="12"/>
  <c r="H10130" i="12"/>
  <c r="F10130" i="12"/>
  <c r="J10129" i="12"/>
  <c r="I10129" i="12"/>
  <c r="H10129" i="12"/>
  <c r="F10129" i="12"/>
  <c r="J10128" i="12"/>
  <c r="I10128" i="12"/>
  <c r="H10128" i="12"/>
  <c r="F10128" i="12"/>
  <c r="J10127" i="12"/>
  <c r="I10127" i="12"/>
  <c r="H10127" i="12"/>
  <c r="F10127" i="12"/>
  <c r="J10126" i="12"/>
  <c r="I10126" i="12"/>
  <c r="H10126" i="12"/>
  <c r="F10126" i="12"/>
  <c r="J10125" i="12"/>
  <c r="I10125" i="12"/>
  <c r="H10125" i="12"/>
  <c r="F10125" i="12"/>
  <c r="J10124" i="12"/>
  <c r="I10124" i="12"/>
  <c r="H10124" i="12"/>
  <c r="F10124" i="12"/>
  <c r="J10123" i="12"/>
  <c r="I10123" i="12"/>
  <c r="H10123" i="12"/>
  <c r="F10123" i="12"/>
  <c r="J10122" i="12"/>
  <c r="I10122" i="12"/>
  <c r="H10122" i="12"/>
  <c r="F10122" i="12"/>
  <c r="J10121" i="12"/>
  <c r="I10121" i="12"/>
  <c r="H10121" i="12"/>
  <c r="F10121" i="12"/>
  <c r="J10120" i="12"/>
  <c r="I10120" i="12"/>
  <c r="H10120" i="12"/>
  <c r="F10120" i="12"/>
  <c r="J10119" i="12"/>
  <c r="I10119" i="12"/>
  <c r="H10119" i="12"/>
  <c r="F10119" i="12"/>
  <c r="J10118" i="12"/>
  <c r="I10118" i="12"/>
  <c r="H10118" i="12"/>
  <c r="F10118" i="12"/>
  <c r="J10117" i="12"/>
  <c r="I10117" i="12"/>
  <c r="H10117" i="12"/>
  <c r="F10117" i="12"/>
  <c r="J10116" i="12"/>
  <c r="I10116" i="12"/>
  <c r="H10116" i="12"/>
  <c r="F10116" i="12"/>
  <c r="J10115" i="12"/>
  <c r="I10115" i="12"/>
  <c r="H10115" i="12"/>
  <c r="F10115" i="12"/>
  <c r="J10114" i="12"/>
  <c r="I10114" i="12"/>
  <c r="H10114" i="12"/>
  <c r="F10114" i="12"/>
  <c r="J10113" i="12"/>
  <c r="I10113" i="12"/>
  <c r="H10113" i="12"/>
  <c r="F10113" i="12"/>
  <c r="J10112" i="12"/>
  <c r="I10112" i="12"/>
  <c r="H10112" i="12"/>
  <c r="F10112" i="12"/>
  <c r="J10111" i="12"/>
  <c r="I10111" i="12"/>
  <c r="H10111" i="12"/>
  <c r="F10111" i="12"/>
  <c r="J10110" i="12"/>
  <c r="I10110" i="12"/>
  <c r="H10110" i="12"/>
  <c r="F10110" i="12"/>
  <c r="J10109" i="12"/>
  <c r="I10109" i="12"/>
  <c r="H10109" i="12"/>
  <c r="F10109" i="12"/>
  <c r="J10108" i="12"/>
  <c r="I10108" i="12"/>
  <c r="H10108" i="12"/>
  <c r="F10108" i="12"/>
  <c r="J10107" i="12"/>
  <c r="I10107" i="12"/>
  <c r="H10107" i="12"/>
  <c r="F10107" i="12"/>
  <c r="J10106" i="12"/>
  <c r="I10106" i="12"/>
  <c r="H10106" i="12"/>
  <c r="F10106" i="12"/>
  <c r="J10105" i="12"/>
  <c r="I10105" i="12"/>
  <c r="H10105" i="12"/>
  <c r="F10105" i="12"/>
  <c r="J10104" i="12"/>
  <c r="I10104" i="12"/>
  <c r="H10104" i="12"/>
  <c r="F10104" i="12"/>
  <c r="J10103" i="12"/>
  <c r="I10103" i="12"/>
  <c r="H10103" i="12"/>
  <c r="F10103" i="12"/>
  <c r="J10102" i="12"/>
  <c r="I10102" i="12"/>
  <c r="H10102" i="12"/>
  <c r="F10102" i="12"/>
  <c r="J10101" i="12"/>
  <c r="I10101" i="12"/>
  <c r="H10101" i="12"/>
  <c r="F10101" i="12"/>
  <c r="J10100" i="12"/>
  <c r="I10100" i="12"/>
  <c r="H10100" i="12"/>
  <c r="F10100" i="12"/>
  <c r="J10099" i="12"/>
  <c r="I10099" i="12"/>
  <c r="H10099" i="12"/>
  <c r="F10099" i="12"/>
  <c r="J10098" i="12"/>
  <c r="I10098" i="12"/>
  <c r="H10098" i="12"/>
  <c r="F10098" i="12"/>
  <c r="J10097" i="12"/>
  <c r="I10097" i="12"/>
  <c r="H10097" i="12"/>
  <c r="F10097" i="12"/>
  <c r="J10096" i="12"/>
  <c r="I10096" i="12"/>
  <c r="H10096" i="12"/>
  <c r="F10096" i="12"/>
  <c r="J10095" i="12"/>
  <c r="I10095" i="12"/>
  <c r="H10095" i="12"/>
  <c r="F10095" i="12"/>
  <c r="J10094" i="12"/>
  <c r="I10094" i="12"/>
  <c r="H10094" i="12"/>
  <c r="F10094" i="12"/>
  <c r="J10093" i="12"/>
  <c r="I10093" i="12"/>
  <c r="H10093" i="12"/>
  <c r="F10093" i="12"/>
  <c r="J10092" i="12"/>
  <c r="I10092" i="12"/>
  <c r="H10092" i="12"/>
  <c r="F10092" i="12"/>
  <c r="J10091" i="12"/>
  <c r="I10091" i="12"/>
  <c r="H10091" i="12"/>
  <c r="F10091" i="12"/>
  <c r="J10090" i="12"/>
  <c r="I10090" i="12"/>
  <c r="H10090" i="12"/>
  <c r="F10090" i="12"/>
  <c r="J10089" i="12"/>
  <c r="I10089" i="12"/>
  <c r="H10089" i="12"/>
  <c r="F10089" i="12"/>
  <c r="J10088" i="12"/>
  <c r="I10088" i="12"/>
  <c r="H10088" i="12"/>
  <c r="F10088" i="12"/>
  <c r="J10087" i="12"/>
  <c r="I10087" i="12"/>
  <c r="H10087" i="12"/>
  <c r="F10087" i="12"/>
  <c r="J10086" i="12"/>
  <c r="I10086" i="12"/>
  <c r="H10086" i="12"/>
  <c r="F10086" i="12"/>
  <c r="J10085" i="12"/>
  <c r="I10085" i="12"/>
  <c r="H10085" i="12"/>
  <c r="F10085" i="12"/>
  <c r="J10084" i="12"/>
  <c r="I10084" i="12"/>
  <c r="H10084" i="12"/>
  <c r="F10084" i="12"/>
  <c r="J10083" i="12"/>
  <c r="I10083" i="12"/>
  <c r="H10083" i="12"/>
  <c r="F10083" i="12"/>
  <c r="J10082" i="12"/>
  <c r="I10082" i="12"/>
  <c r="H10082" i="12"/>
  <c r="F10082" i="12"/>
  <c r="J10081" i="12"/>
  <c r="I10081" i="12"/>
  <c r="H10081" i="12"/>
  <c r="F10081" i="12"/>
  <c r="J10080" i="12"/>
  <c r="I10080" i="12"/>
  <c r="H10080" i="12"/>
  <c r="F10080" i="12"/>
  <c r="J10079" i="12"/>
  <c r="I10079" i="12"/>
  <c r="H10079" i="12"/>
  <c r="F10079" i="12"/>
  <c r="J10078" i="12"/>
  <c r="I10078" i="12"/>
  <c r="H10078" i="12"/>
  <c r="F10078" i="12"/>
  <c r="J10077" i="12"/>
  <c r="I10077" i="12"/>
  <c r="H10077" i="12"/>
  <c r="F10077" i="12"/>
  <c r="J10076" i="12"/>
  <c r="I10076" i="12"/>
  <c r="H10076" i="12"/>
  <c r="F10076" i="12"/>
  <c r="J10075" i="12"/>
  <c r="I10075" i="12"/>
  <c r="H10075" i="12"/>
  <c r="F10075" i="12"/>
  <c r="J10074" i="12"/>
  <c r="I10074" i="12"/>
  <c r="H10074" i="12"/>
  <c r="F10074" i="12"/>
  <c r="J10073" i="12"/>
  <c r="I10073" i="12"/>
  <c r="H10073" i="12"/>
  <c r="F10073" i="12"/>
  <c r="J10072" i="12"/>
  <c r="I10072" i="12"/>
  <c r="H10072" i="12"/>
  <c r="F10072" i="12"/>
  <c r="J10071" i="12"/>
  <c r="I10071" i="12"/>
  <c r="H10071" i="12"/>
  <c r="F10071" i="12"/>
  <c r="J10070" i="12"/>
  <c r="I10070" i="12"/>
  <c r="H10070" i="12"/>
  <c r="F10070" i="12"/>
  <c r="J10069" i="12"/>
  <c r="I10069" i="12"/>
  <c r="H10069" i="12"/>
  <c r="F10069" i="12"/>
  <c r="J10068" i="12"/>
  <c r="I10068" i="12"/>
  <c r="H10068" i="12"/>
  <c r="F10068" i="12"/>
  <c r="J10067" i="12"/>
  <c r="I10067" i="12"/>
  <c r="H10067" i="12"/>
  <c r="F10067" i="12"/>
  <c r="J10066" i="12"/>
  <c r="I10066" i="12"/>
  <c r="H10066" i="12"/>
  <c r="F10066" i="12"/>
  <c r="J10065" i="12"/>
  <c r="I10065" i="12"/>
  <c r="H10065" i="12"/>
  <c r="F10065" i="12"/>
  <c r="J10064" i="12"/>
  <c r="I10064" i="12"/>
  <c r="H10064" i="12"/>
  <c r="F10064" i="12"/>
  <c r="J10063" i="12"/>
  <c r="I10063" i="12"/>
  <c r="H10063" i="12"/>
  <c r="F10063" i="12"/>
  <c r="J10062" i="12"/>
  <c r="I10062" i="12"/>
  <c r="H10062" i="12"/>
  <c r="F10062" i="12"/>
  <c r="J10061" i="12"/>
  <c r="I10061" i="12"/>
  <c r="H10061" i="12"/>
  <c r="F10061" i="12"/>
  <c r="J10060" i="12"/>
  <c r="I10060" i="12"/>
  <c r="H10060" i="12"/>
  <c r="F10060" i="12"/>
  <c r="J10059" i="12"/>
  <c r="I10059" i="12"/>
  <c r="H10059" i="12"/>
  <c r="F10059" i="12"/>
  <c r="J10058" i="12"/>
  <c r="I10058" i="12"/>
  <c r="H10058" i="12"/>
  <c r="F10058" i="12"/>
  <c r="J10057" i="12"/>
  <c r="I10057" i="12"/>
  <c r="H10057" i="12"/>
  <c r="F10057" i="12"/>
  <c r="J10056" i="12"/>
  <c r="I10056" i="12"/>
  <c r="H10056" i="12"/>
  <c r="F10056" i="12"/>
  <c r="J10055" i="12"/>
  <c r="I10055" i="12"/>
  <c r="H10055" i="12"/>
  <c r="F10055" i="12"/>
  <c r="J10054" i="12"/>
  <c r="I10054" i="12"/>
  <c r="H10054" i="12"/>
  <c r="F10054" i="12"/>
  <c r="J10053" i="12"/>
  <c r="I10053" i="12"/>
  <c r="H10053" i="12"/>
  <c r="F10053" i="12"/>
  <c r="J10052" i="12"/>
  <c r="I10052" i="12"/>
  <c r="H10052" i="12"/>
  <c r="F10052" i="12"/>
  <c r="J10051" i="12"/>
  <c r="I10051" i="12"/>
  <c r="H10051" i="12"/>
  <c r="F10051" i="12"/>
  <c r="J10050" i="12"/>
  <c r="I10050" i="12"/>
  <c r="H10050" i="12"/>
  <c r="F10050" i="12"/>
  <c r="J10049" i="12"/>
  <c r="I10049" i="12"/>
  <c r="H10049" i="12"/>
  <c r="F10049" i="12"/>
  <c r="J10048" i="12"/>
  <c r="I10048" i="12"/>
  <c r="H10048" i="12"/>
  <c r="F10048" i="12"/>
  <c r="J10047" i="12"/>
  <c r="I10047" i="12"/>
  <c r="H10047" i="12"/>
  <c r="F10047" i="12"/>
  <c r="J10046" i="12"/>
  <c r="I10046" i="12"/>
  <c r="H10046" i="12"/>
  <c r="F10046" i="12"/>
  <c r="J10045" i="12"/>
  <c r="I10045" i="12"/>
  <c r="H10045" i="12"/>
  <c r="F10045" i="12"/>
  <c r="J10044" i="12"/>
  <c r="I10044" i="12"/>
  <c r="H10044" i="12"/>
  <c r="F10044" i="12"/>
  <c r="J10043" i="12"/>
  <c r="I10043" i="12"/>
  <c r="H10043" i="12"/>
  <c r="F10043" i="12"/>
  <c r="J10042" i="12"/>
  <c r="I10042" i="12"/>
  <c r="H10042" i="12"/>
  <c r="F10042" i="12"/>
  <c r="J10041" i="12"/>
  <c r="I10041" i="12"/>
  <c r="H10041" i="12"/>
  <c r="F10041" i="12"/>
  <c r="J10040" i="12"/>
  <c r="I10040" i="12"/>
  <c r="H10040" i="12"/>
  <c r="F10040" i="12"/>
  <c r="J10039" i="12"/>
  <c r="I10039" i="12"/>
  <c r="H10039" i="12"/>
  <c r="F10039" i="12"/>
  <c r="J10038" i="12"/>
  <c r="I10038" i="12"/>
  <c r="H10038" i="12"/>
  <c r="F10038" i="12"/>
  <c r="J10037" i="12"/>
  <c r="I10037" i="12"/>
  <c r="H10037" i="12"/>
  <c r="F10037" i="12"/>
  <c r="J10036" i="12"/>
  <c r="I10036" i="12"/>
  <c r="H10036" i="12"/>
  <c r="F10036" i="12"/>
  <c r="J10035" i="12"/>
  <c r="I10035" i="12"/>
  <c r="H10035" i="12"/>
  <c r="F10035" i="12"/>
  <c r="J10034" i="12"/>
  <c r="I10034" i="12"/>
  <c r="H10034" i="12"/>
  <c r="F10034" i="12"/>
  <c r="J10033" i="12"/>
  <c r="I10033" i="12"/>
  <c r="H10033" i="12"/>
  <c r="F10033" i="12"/>
  <c r="J10032" i="12"/>
  <c r="I10032" i="12"/>
  <c r="H10032" i="12"/>
  <c r="F10032" i="12"/>
  <c r="J10031" i="12"/>
  <c r="I10031" i="12"/>
  <c r="H10031" i="12"/>
  <c r="F10031" i="12"/>
  <c r="J10030" i="12"/>
  <c r="I10030" i="12"/>
  <c r="H10030" i="12"/>
  <c r="F10030" i="12"/>
  <c r="J10029" i="12"/>
  <c r="I10029" i="12"/>
  <c r="H10029" i="12"/>
  <c r="F10029" i="12"/>
  <c r="J10028" i="12"/>
  <c r="I10028" i="12"/>
  <c r="H10028" i="12"/>
  <c r="F10028" i="12"/>
  <c r="J10027" i="12"/>
  <c r="I10027" i="12"/>
  <c r="H10027" i="12"/>
  <c r="F10027" i="12"/>
  <c r="J10026" i="12"/>
  <c r="I10026" i="12"/>
  <c r="H10026" i="12"/>
  <c r="F10026" i="12"/>
  <c r="J10025" i="12"/>
  <c r="I10025" i="12"/>
  <c r="H10025" i="12"/>
  <c r="F10025" i="12"/>
  <c r="J10024" i="12"/>
  <c r="I10024" i="12"/>
  <c r="H10024" i="12"/>
  <c r="F10024" i="12"/>
  <c r="J10023" i="12"/>
  <c r="I10023" i="12"/>
  <c r="H10023" i="12"/>
  <c r="F10023" i="12"/>
  <c r="J10022" i="12"/>
  <c r="I10022" i="12"/>
  <c r="H10022" i="12"/>
  <c r="F10022" i="12"/>
  <c r="J10021" i="12"/>
  <c r="I10021" i="12"/>
  <c r="H10021" i="12"/>
  <c r="F10021" i="12"/>
  <c r="J10020" i="12"/>
  <c r="I10020" i="12"/>
  <c r="H10020" i="12"/>
  <c r="F10020" i="12"/>
  <c r="J10019" i="12"/>
  <c r="I10019" i="12"/>
  <c r="H10019" i="12"/>
  <c r="F10019" i="12"/>
  <c r="J10018" i="12"/>
  <c r="I10018" i="12"/>
  <c r="H10018" i="12"/>
  <c r="F10018" i="12"/>
  <c r="J10017" i="12"/>
  <c r="I10017" i="12"/>
  <c r="H10017" i="12"/>
  <c r="F10017" i="12"/>
  <c r="J10016" i="12"/>
  <c r="I10016" i="12"/>
  <c r="H10016" i="12"/>
  <c r="F10016" i="12"/>
  <c r="J10015" i="12"/>
  <c r="I10015" i="12"/>
  <c r="H10015" i="12"/>
  <c r="F10015" i="12"/>
  <c r="J10014" i="12"/>
  <c r="I10014" i="12"/>
  <c r="H10014" i="12"/>
  <c r="F10014" i="12"/>
  <c r="J10013" i="12"/>
  <c r="I10013" i="12"/>
  <c r="H10013" i="12"/>
  <c r="F10013" i="12"/>
  <c r="J10012" i="12"/>
  <c r="I10012" i="12"/>
  <c r="H10012" i="12"/>
  <c r="F10012" i="12"/>
  <c r="J10011" i="12"/>
  <c r="I10011" i="12"/>
  <c r="H10011" i="12"/>
  <c r="F10011" i="12"/>
  <c r="J10010" i="12"/>
  <c r="I10010" i="12"/>
  <c r="H10010" i="12"/>
  <c r="F10010" i="12"/>
  <c r="J10009" i="12"/>
  <c r="I10009" i="12"/>
  <c r="H10009" i="12"/>
  <c r="F10009" i="12"/>
  <c r="J10008" i="12"/>
  <c r="I10008" i="12"/>
  <c r="H10008" i="12"/>
  <c r="F10008" i="12"/>
  <c r="J10007" i="12"/>
  <c r="I10007" i="12"/>
  <c r="H10007" i="12"/>
  <c r="F10007" i="12"/>
  <c r="J10006" i="12"/>
  <c r="I10006" i="12"/>
  <c r="H10006" i="12"/>
  <c r="F10006" i="12"/>
  <c r="J10005" i="12"/>
  <c r="I10005" i="12"/>
  <c r="H10005" i="12"/>
  <c r="F10005" i="12"/>
  <c r="J10004" i="12"/>
  <c r="I10004" i="12"/>
  <c r="H10004" i="12"/>
  <c r="F10004" i="12"/>
  <c r="J10003" i="12"/>
  <c r="I10003" i="12"/>
  <c r="H10003" i="12"/>
  <c r="F10003" i="12"/>
  <c r="J10002" i="12"/>
  <c r="I10002" i="12"/>
  <c r="H10002" i="12"/>
  <c r="F10002" i="12"/>
  <c r="J10001" i="12"/>
  <c r="I10001" i="12"/>
  <c r="H10001" i="12"/>
  <c r="F10001" i="12"/>
  <c r="J10000" i="12"/>
  <c r="I10000" i="12"/>
  <c r="H10000" i="12"/>
  <c r="F10000" i="12"/>
  <c r="J9999" i="12"/>
  <c r="I9999" i="12"/>
  <c r="H9999" i="12"/>
  <c r="F9999" i="12"/>
  <c r="J9998" i="12"/>
  <c r="I9998" i="12"/>
  <c r="H9998" i="12"/>
  <c r="F9998" i="12"/>
  <c r="J9997" i="12"/>
  <c r="I9997" i="12"/>
  <c r="H9997" i="12"/>
  <c r="F9997" i="12"/>
  <c r="J9996" i="12"/>
  <c r="I9996" i="12"/>
  <c r="H9996" i="12"/>
  <c r="F9996" i="12"/>
  <c r="J9995" i="12"/>
  <c r="I9995" i="12"/>
  <c r="H9995" i="12"/>
  <c r="F9995" i="12"/>
  <c r="J9994" i="12"/>
  <c r="I9994" i="12"/>
  <c r="H9994" i="12"/>
  <c r="F9994" i="12"/>
  <c r="J9993" i="12"/>
  <c r="I9993" i="12"/>
  <c r="H9993" i="12"/>
  <c r="F9993" i="12"/>
  <c r="J9992" i="12"/>
  <c r="I9992" i="12"/>
  <c r="H9992" i="12"/>
  <c r="F9992" i="12"/>
  <c r="J9991" i="12"/>
  <c r="I9991" i="12"/>
  <c r="H9991" i="12"/>
  <c r="F9991" i="12"/>
  <c r="J9990" i="12"/>
  <c r="I9990" i="12"/>
  <c r="H9990" i="12"/>
  <c r="F9990" i="12"/>
  <c r="J9989" i="12"/>
  <c r="I9989" i="12"/>
  <c r="H9989" i="12"/>
  <c r="F9989" i="12"/>
  <c r="J9988" i="12"/>
  <c r="I9988" i="12"/>
  <c r="H9988" i="12"/>
  <c r="F9988" i="12"/>
  <c r="J9987" i="12"/>
  <c r="I9987" i="12"/>
  <c r="H9987" i="12"/>
  <c r="F9987" i="12"/>
  <c r="J9986" i="12"/>
  <c r="I9986" i="12"/>
  <c r="H9986" i="12"/>
  <c r="F9986" i="12"/>
  <c r="J9985" i="12"/>
  <c r="I9985" i="12"/>
  <c r="H9985" i="12"/>
  <c r="F9985" i="12"/>
  <c r="J9984" i="12"/>
  <c r="I9984" i="12"/>
  <c r="H9984" i="12"/>
  <c r="F9984" i="12"/>
  <c r="J9983" i="12"/>
  <c r="I9983" i="12"/>
  <c r="H9983" i="12"/>
  <c r="F9983" i="12"/>
  <c r="J9982" i="12"/>
  <c r="I9982" i="12"/>
  <c r="H9982" i="12"/>
  <c r="F9982" i="12"/>
  <c r="J9981" i="12"/>
  <c r="I9981" i="12"/>
  <c r="H9981" i="12"/>
  <c r="F9981" i="12"/>
  <c r="J9980" i="12"/>
  <c r="I9980" i="12"/>
  <c r="H9980" i="12"/>
  <c r="F9980" i="12"/>
  <c r="J9979" i="12"/>
  <c r="I9979" i="12"/>
  <c r="H9979" i="12"/>
  <c r="F9979" i="12"/>
  <c r="J9978" i="12"/>
  <c r="I9978" i="12"/>
  <c r="H9978" i="12"/>
  <c r="F9978" i="12"/>
  <c r="J9977" i="12"/>
  <c r="I9977" i="12"/>
  <c r="H9977" i="12"/>
  <c r="F9977" i="12"/>
  <c r="J9976" i="12"/>
  <c r="I9976" i="12"/>
  <c r="H9976" i="12"/>
  <c r="F9976" i="12"/>
  <c r="J9975" i="12"/>
  <c r="I9975" i="12"/>
  <c r="H9975" i="12"/>
  <c r="F9975" i="12"/>
  <c r="J9974" i="12"/>
  <c r="I9974" i="12"/>
  <c r="H9974" i="12"/>
  <c r="F9974" i="12"/>
  <c r="J9973" i="12"/>
  <c r="I9973" i="12"/>
  <c r="H9973" i="12"/>
  <c r="F9973" i="12"/>
  <c r="J9972" i="12"/>
  <c r="I9972" i="12"/>
  <c r="H9972" i="12"/>
  <c r="F9972" i="12"/>
  <c r="J9971" i="12"/>
  <c r="I9971" i="12"/>
  <c r="H9971" i="12"/>
  <c r="F9971" i="12"/>
  <c r="J9970" i="12"/>
  <c r="I9970" i="12"/>
  <c r="H9970" i="12"/>
  <c r="F9970" i="12"/>
  <c r="J9969" i="12"/>
  <c r="I9969" i="12"/>
  <c r="H9969" i="12"/>
  <c r="F9969" i="12"/>
  <c r="J9968" i="12"/>
  <c r="I9968" i="12"/>
  <c r="H9968" i="12"/>
  <c r="F9968" i="12"/>
  <c r="J9967" i="12"/>
  <c r="I9967" i="12"/>
  <c r="H9967" i="12"/>
  <c r="F9967" i="12"/>
  <c r="J9966" i="12"/>
  <c r="I9966" i="12"/>
  <c r="H9966" i="12"/>
  <c r="F9966" i="12"/>
  <c r="J9965" i="12"/>
  <c r="I9965" i="12"/>
  <c r="H9965" i="12"/>
  <c r="F9965" i="12"/>
  <c r="J9964" i="12"/>
  <c r="I9964" i="12"/>
  <c r="H9964" i="12"/>
  <c r="F9964" i="12"/>
  <c r="J9963" i="12"/>
  <c r="I9963" i="12"/>
  <c r="H9963" i="12"/>
  <c r="F9963" i="12"/>
  <c r="J9962" i="12"/>
  <c r="I9962" i="12"/>
  <c r="H9962" i="12"/>
  <c r="F9962" i="12"/>
  <c r="J9961" i="12"/>
  <c r="I9961" i="12"/>
  <c r="H9961" i="12"/>
  <c r="F9961" i="12"/>
  <c r="J9960" i="12"/>
  <c r="I9960" i="12"/>
  <c r="H9960" i="12"/>
  <c r="F9960" i="12"/>
  <c r="J9959" i="12"/>
  <c r="I9959" i="12"/>
  <c r="H9959" i="12"/>
  <c r="F9959" i="12"/>
  <c r="J9958" i="12"/>
  <c r="I9958" i="12"/>
  <c r="H9958" i="12"/>
  <c r="F9958" i="12"/>
  <c r="J9957" i="12"/>
  <c r="I9957" i="12"/>
  <c r="H9957" i="12"/>
  <c r="F9957" i="12"/>
  <c r="J9956" i="12"/>
  <c r="I9956" i="12"/>
  <c r="H9956" i="12"/>
  <c r="F9956" i="12"/>
  <c r="J9955" i="12"/>
  <c r="I9955" i="12"/>
  <c r="H9955" i="12"/>
  <c r="F9955" i="12"/>
  <c r="J9954" i="12"/>
  <c r="I9954" i="12"/>
  <c r="H9954" i="12"/>
  <c r="F9954" i="12"/>
  <c r="J9953" i="12"/>
  <c r="I9953" i="12"/>
  <c r="H9953" i="12"/>
  <c r="F9953" i="12"/>
  <c r="J9952" i="12"/>
  <c r="I9952" i="12"/>
  <c r="H9952" i="12"/>
  <c r="F9952" i="12"/>
  <c r="J9951" i="12"/>
  <c r="I9951" i="12"/>
  <c r="H9951" i="12"/>
  <c r="F9951" i="12"/>
  <c r="J9950" i="12"/>
  <c r="I9950" i="12"/>
  <c r="H9950" i="12"/>
  <c r="F9950" i="12"/>
  <c r="J9949" i="12"/>
  <c r="I9949" i="12"/>
  <c r="H9949" i="12"/>
  <c r="F9949" i="12"/>
  <c r="J9948" i="12"/>
  <c r="I9948" i="12"/>
  <c r="H9948" i="12"/>
  <c r="F9948" i="12"/>
  <c r="J9947" i="12"/>
  <c r="I9947" i="12"/>
  <c r="H9947" i="12"/>
  <c r="F9947" i="12"/>
  <c r="J9946" i="12"/>
  <c r="I9946" i="12"/>
  <c r="H9946" i="12"/>
  <c r="F9946" i="12"/>
  <c r="J9945" i="12"/>
  <c r="I9945" i="12"/>
  <c r="H9945" i="12"/>
  <c r="F9945" i="12"/>
  <c r="J9944" i="12"/>
  <c r="I9944" i="12"/>
  <c r="H9944" i="12"/>
  <c r="F9944" i="12"/>
  <c r="J9943" i="12"/>
  <c r="I9943" i="12"/>
  <c r="H9943" i="12"/>
  <c r="F9943" i="12"/>
  <c r="J9942" i="12"/>
  <c r="I9942" i="12"/>
  <c r="H9942" i="12"/>
  <c r="F9942" i="12"/>
  <c r="J9941" i="12"/>
  <c r="I9941" i="12"/>
  <c r="H9941" i="12"/>
  <c r="F9941" i="12"/>
  <c r="J9940" i="12"/>
  <c r="I9940" i="12"/>
  <c r="H9940" i="12"/>
  <c r="F9940" i="12"/>
  <c r="J9939" i="12"/>
  <c r="I9939" i="12"/>
  <c r="H9939" i="12"/>
  <c r="F9939" i="12"/>
  <c r="J9938" i="12"/>
  <c r="I9938" i="12"/>
  <c r="H9938" i="12"/>
  <c r="F9938" i="12"/>
  <c r="J9937" i="12"/>
  <c r="I9937" i="12"/>
  <c r="H9937" i="12"/>
  <c r="F9937" i="12"/>
  <c r="J9936" i="12"/>
  <c r="I9936" i="12"/>
  <c r="H9936" i="12"/>
  <c r="F9936" i="12"/>
  <c r="J9935" i="12"/>
  <c r="I9935" i="12"/>
  <c r="H9935" i="12"/>
  <c r="F9935" i="12"/>
  <c r="J9934" i="12"/>
  <c r="I9934" i="12"/>
  <c r="H9934" i="12"/>
  <c r="F9934" i="12"/>
  <c r="J9933" i="12"/>
  <c r="I9933" i="12"/>
  <c r="H9933" i="12"/>
  <c r="F9933" i="12"/>
  <c r="J9932" i="12"/>
  <c r="I9932" i="12"/>
  <c r="H9932" i="12"/>
  <c r="F9932" i="12"/>
  <c r="J9931" i="12"/>
  <c r="I9931" i="12"/>
  <c r="H9931" i="12"/>
  <c r="F9931" i="12"/>
  <c r="J9930" i="12"/>
  <c r="I9930" i="12"/>
  <c r="H9930" i="12"/>
  <c r="F9930" i="12"/>
  <c r="J9929" i="12"/>
  <c r="I9929" i="12"/>
  <c r="H9929" i="12"/>
  <c r="F9929" i="12"/>
  <c r="J9928" i="12"/>
  <c r="I9928" i="12"/>
  <c r="H9928" i="12"/>
  <c r="F9928" i="12"/>
  <c r="J9927" i="12"/>
  <c r="I9927" i="12"/>
  <c r="H9927" i="12"/>
  <c r="F9927" i="12"/>
  <c r="J9926" i="12"/>
  <c r="I9926" i="12"/>
  <c r="H9926" i="12"/>
  <c r="F9926" i="12"/>
  <c r="J9925" i="12"/>
  <c r="I9925" i="12"/>
  <c r="H9925" i="12"/>
  <c r="F9925" i="12"/>
  <c r="J9924" i="12"/>
  <c r="I9924" i="12"/>
  <c r="H9924" i="12"/>
  <c r="F9924" i="12"/>
  <c r="J9923" i="12"/>
  <c r="I9923" i="12"/>
  <c r="H9923" i="12"/>
  <c r="F9923" i="12"/>
  <c r="J9922" i="12"/>
  <c r="I9922" i="12"/>
  <c r="H9922" i="12"/>
  <c r="F9922" i="12"/>
  <c r="J9921" i="12"/>
  <c r="I9921" i="12"/>
  <c r="H9921" i="12"/>
  <c r="F9921" i="12"/>
  <c r="J9920" i="12"/>
  <c r="I9920" i="12"/>
  <c r="H9920" i="12"/>
  <c r="F9920" i="12"/>
  <c r="J9919" i="12"/>
  <c r="I9919" i="12"/>
  <c r="H9919" i="12"/>
  <c r="F9919" i="12"/>
  <c r="J9918" i="12"/>
  <c r="I9918" i="12"/>
  <c r="H9918" i="12"/>
  <c r="F9918" i="12"/>
  <c r="J9917" i="12"/>
  <c r="I9917" i="12"/>
  <c r="H9917" i="12"/>
  <c r="F9917" i="12"/>
  <c r="J9916" i="12"/>
  <c r="I9916" i="12"/>
  <c r="H9916" i="12"/>
  <c r="F9916" i="12"/>
  <c r="J9915" i="12"/>
  <c r="I9915" i="12"/>
  <c r="H9915" i="12"/>
  <c r="F9915" i="12"/>
  <c r="J9914" i="12"/>
  <c r="I9914" i="12"/>
  <c r="H9914" i="12"/>
  <c r="F9914" i="12"/>
  <c r="J9913" i="12"/>
  <c r="I9913" i="12"/>
  <c r="H9913" i="12"/>
  <c r="F9913" i="12"/>
  <c r="J9912" i="12"/>
  <c r="I9912" i="12"/>
  <c r="H9912" i="12"/>
  <c r="F9912" i="12"/>
  <c r="J9911" i="12"/>
  <c r="I9911" i="12"/>
  <c r="H9911" i="12"/>
  <c r="F9911" i="12"/>
  <c r="J9910" i="12"/>
  <c r="I9910" i="12"/>
  <c r="H9910" i="12"/>
  <c r="F9910" i="12"/>
  <c r="J9909" i="12"/>
  <c r="I9909" i="12"/>
  <c r="H9909" i="12"/>
  <c r="F9909" i="12"/>
  <c r="J9908" i="12"/>
  <c r="I9908" i="12"/>
  <c r="H9908" i="12"/>
  <c r="F9908" i="12"/>
  <c r="J9907" i="12"/>
  <c r="I9907" i="12"/>
  <c r="H9907" i="12"/>
  <c r="F9907" i="12"/>
  <c r="J9906" i="12"/>
  <c r="I9906" i="12"/>
  <c r="H9906" i="12"/>
  <c r="F9906" i="12"/>
  <c r="J9905" i="12"/>
  <c r="I9905" i="12"/>
  <c r="H9905" i="12"/>
  <c r="F9905" i="12"/>
  <c r="J9904" i="12"/>
  <c r="I9904" i="12"/>
  <c r="H9904" i="12"/>
  <c r="F9904" i="12"/>
  <c r="J9903" i="12"/>
  <c r="I9903" i="12"/>
  <c r="H9903" i="12"/>
  <c r="F9903" i="12"/>
  <c r="J9902" i="12"/>
  <c r="I9902" i="12"/>
  <c r="H9902" i="12"/>
  <c r="F9902" i="12"/>
  <c r="J9901" i="12"/>
  <c r="I9901" i="12"/>
  <c r="H9901" i="12"/>
  <c r="F9901" i="12"/>
  <c r="J9900" i="12"/>
  <c r="I9900" i="12"/>
  <c r="H9900" i="12"/>
  <c r="F9900" i="12"/>
  <c r="J9899" i="12"/>
  <c r="I9899" i="12"/>
  <c r="H9899" i="12"/>
  <c r="F9899" i="12"/>
  <c r="J9898" i="12"/>
  <c r="I9898" i="12"/>
  <c r="H9898" i="12"/>
  <c r="F9898" i="12"/>
  <c r="J9897" i="12"/>
  <c r="I9897" i="12"/>
  <c r="H9897" i="12"/>
  <c r="F9897" i="12"/>
  <c r="J9896" i="12"/>
  <c r="I9896" i="12"/>
  <c r="H9896" i="12"/>
  <c r="F9896" i="12"/>
  <c r="J9895" i="12"/>
  <c r="I9895" i="12"/>
  <c r="H9895" i="12"/>
  <c r="F9895" i="12"/>
  <c r="J9894" i="12"/>
  <c r="I9894" i="12"/>
  <c r="H9894" i="12"/>
  <c r="F9894" i="12"/>
  <c r="J9893" i="12"/>
  <c r="I9893" i="12"/>
  <c r="H9893" i="12"/>
  <c r="F9893" i="12"/>
  <c r="J9892" i="12"/>
  <c r="I9892" i="12"/>
  <c r="H9892" i="12"/>
  <c r="F9892" i="12"/>
  <c r="J9891" i="12"/>
  <c r="I9891" i="12"/>
  <c r="H9891" i="12"/>
  <c r="F9891" i="12"/>
  <c r="J9890" i="12"/>
  <c r="I9890" i="12"/>
  <c r="H9890" i="12"/>
  <c r="F9890" i="12"/>
  <c r="J9889" i="12"/>
  <c r="I9889" i="12"/>
  <c r="H9889" i="12"/>
  <c r="F9889" i="12"/>
  <c r="J9888" i="12"/>
  <c r="I9888" i="12"/>
  <c r="H9888" i="12"/>
  <c r="F9888" i="12"/>
  <c r="J9887" i="12"/>
  <c r="I9887" i="12"/>
  <c r="H9887" i="12"/>
  <c r="F9887" i="12"/>
  <c r="J9886" i="12"/>
  <c r="I9886" i="12"/>
  <c r="H9886" i="12"/>
  <c r="F9886" i="12"/>
  <c r="J9885" i="12"/>
  <c r="I9885" i="12"/>
  <c r="H9885" i="12"/>
  <c r="F9885" i="12"/>
  <c r="J9884" i="12"/>
  <c r="I9884" i="12"/>
  <c r="H9884" i="12"/>
  <c r="F9884" i="12"/>
  <c r="J9883" i="12"/>
  <c r="I9883" i="12"/>
  <c r="H9883" i="12"/>
  <c r="F9883" i="12"/>
  <c r="J9882" i="12"/>
  <c r="I9882" i="12"/>
  <c r="H9882" i="12"/>
  <c r="F9882" i="12"/>
  <c r="J9881" i="12"/>
  <c r="I9881" i="12"/>
  <c r="H9881" i="12"/>
  <c r="F9881" i="12"/>
  <c r="J9880" i="12"/>
  <c r="I9880" i="12"/>
  <c r="H9880" i="12"/>
  <c r="F9880" i="12"/>
  <c r="J9879" i="12"/>
  <c r="I9879" i="12"/>
  <c r="H9879" i="12"/>
  <c r="F9879" i="12"/>
  <c r="J9878" i="12"/>
  <c r="I9878" i="12"/>
  <c r="H9878" i="12"/>
  <c r="F9878" i="12"/>
  <c r="J9877" i="12"/>
  <c r="I9877" i="12"/>
  <c r="H9877" i="12"/>
  <c r="F9877" i="12"/>
  <c r="J9876" i="12"/>
  <c r="I9876" i="12"/>
  <c r="H9876" i="12"/>
  <c r="F9876" i="12"/>
  <c r="J9875" i="12"/>
  <c r="I9875" i="12"/>
  <c r="H9875" i="12"/>
  <c r="F9875" i="12"/>
  <c r="J9874" i="12"/>
  <c r="I9874" i="12"/>
  <c r="H9874" i="12"/>
  <c r="F9874" i="12"/>
  <c r="J9873" i="12"/>
  <c r="I9873" i="12"/>
  <c r="H9873" i="12"/>
  <c r="F9873" i="12"/>
  <c r="J9872" i="12"/>
  <c r="I9872" i="12"/>
  <c r="H9872" i="12"/>
  <c r="F9872" i="12"/>
  <c r="J9871" i="12"/>
  <c r="I9871" i="12"/>
  <c r="H9871" i="12"/>
  <c r="F9871" i="12"/>
  <c r="J9870" i="12"/>
  <c r="I9870" i="12"/>
  <c r="H9870" i="12"/>
  <c r="F9870" i="12"/>
  <c r="J9869" i="12"/>
  <c r="I9869" i="12"/>
  <c r="H9869" i="12"/>
  <c r="F9869" i="12"/>
  <c r="J9868" i="12"/>
  <c r="I9868" i="12"/>
  <c r="H9868" i="12"/>
  <c r="F9868" i="12"/>
  <c r="J9867" i="12"/>
  <c r="I9867" i="12"/>
  <c r="H9867" i="12"/>
  <c r="F9867" i="12"/>
  <c r="J9866" i="12"/>
  <c r="I9866" i="12"/>
  <c r="H9866" i="12"/>
  <c r="F9866" i="12"/>
  <c r="J9865" i="12"/>
  <c r="I9865" i="12"/>
  <c r="H9865" i="12"/>
  <c r="F9865" i="12"/>
  <c r="J9864" i="12"/>
  <c r="I9864" i="12"/>
  <c r="H9864" i="12"/>
  <c r="F9864" i="12"/>
  <c r="J9863" i="12"/>
  <c r="I9863" i="12"/>
  <c r="H9863" i="12"/>
  <c r="F9863" i="12"/>
  <c r="J9862" i="12"/>
  <c r="I9862" i="12"/>
  <c r="H9862" i="12"/>
  <c r="F9862" i="12"/>
  <c r="J9861" i="12"/>
  <c r="I9861" i="12"/>
  <c r="H9861" i="12"/>
  <c r="F9861" i="12"/>
  <c r="J9860" i="12"/>
  <c r="I9860" i="12"/>
  <c r="H9860" i="12"/>
  <c r="F9860" i="12"/>
  <c r="J9859" i="12"/>
  <c r="I9859" i="12"/>
  <c r="H9859" i="12"/>
  <c r="F9859" i="12"/>
  <c r="J9858" i="12"/>
  <c r="I9858" i="12"/>
  <c r="H9858" i="12"/>
  <c r="F9858" i="12"/>
  <c r="J9857" i="12"/>
  <c r="I9857" i="12"/>
  <c r="H9857" i="12"/>
  <c r="F9857" i="12"/>
  <c r="J9856" i="12"/>
  <c r="I9856" i="12"/>
  <c r="H9856" i="12"/>
  <c r="F9856" i="12"/>
  <c r="J9855" i="12"/>
  <c r="I9855" i="12"/>
  <c r="H9855" i="12"/>
  <c r="F9855" i="12"/>
  <c r="J9854" i="12"/>
  <c r="I9854" i="12"/>
  <c r="H9854" i="12"/>
  <c r="F9854" i="12"/>
  <c r="J9853" i="12"/>
  <c r="I9853" i="12"/>
  <c r="H9853" i="12"/>
  <c r="F9853" i="12"/>
  <c r="J9852" i="12"/>
  <c r="I9852" i="12"/>
  <c r="H9852" i="12"/>
  <c r="F9852" i="12"/>
  <c r="J9851" i="12"/>
  <c r="I9851" i="12"/>
  <c r="H9851" i="12"/>
  <c r="F9851" i="12"/>
  <c r="J9850" i="12"/>
  <c r="I9850" i="12"/>
  <c r="H9850" i="12"/>
  <c r="F9850" i="12"/>
  <c r="J9849" i="12"/>
  <c r="I9849" i="12"/>
  <c r="H9849" i="12"/>
  <c r="F9849" i="12"/>
  <c r="J9848" i="12"/>
  <c r="I9848" i="12"/>
  <c r="H9848" i="12"/>
  <c r="F9848" i="12"/>
  <c r="J9847" i="12"/>
  <c r="I9847" i="12"/>
  <c r="H9847" i="12"/>
  <c r="F9847" i="12"/>
  <c r="J9846" i="12"/>
  <c r="I9846" i="12"/>
  <c r="H9846" i="12"/>
  <c r="F9846" i="12"/>
  <c r="J9845" i="12"/>
  <c r="I9845" i="12"/>
  <c r="H9845" i="12"/>
  <c r="F9845" i="12"/>
  <c r="J9844" i="12"/>
  <c r="I9844" i="12"/>
  <c r="H9844" i="12"/>
  <c r="F9844" i="12"/>
  <c r="J9843" i="12"/>
  <c r="I9843" i="12"/>
  <c r="H9843" i="12"/>
  <c r="F9843" i="12"/>
  <c r="J9842" i="12"/>
  <c r="I9842" i="12"/>
  <c r="H9842" i="12"/>
  <c r="F9842" i="12"/>
  <c r="J9841" i="12"/>
  <c r="I9841" i="12"/>
  <c r="H9841" i="12"/>
  <c r="F9841" i="12"/>
  <c r="J9840" i="12"/>
  <c r="I9840" i="12"/>
  <c r="H9840" i="12"/>
  <c r="F9840" i="12"/>
  <c r="J9839" i="12"/>
  <c r="I9839" i="12"/>
  <c r="H9839" i="12"/>
  <c r="F9839" i="12"/>
  <c r="J9838" i="12"/>
  <c r="I9838" i="12"/>
  <c r="H9838" i="12"/>
  <c r="F9838" i="12"/>
  <c r="J9837" i="12"/>
  <c r="I9837" i="12"/>
  <c r="H9837" i="12"/>
  <c r="F9837" i="12"/>
  <c r="J9836" i="12"/>
  <c r="I9836" i="12"/>
  <c r="H9836" i="12"/>
  <c r="F9836" i="12"/>
  <c r="J9835" i="12"/>
  <c r="I9835" i="12"/>
  <c r="H9835" i="12"/>
  <c r="F9835" i="12"/>
  <c r="J9834" i="12"/>
  <c r="I9834" i="12"/>
  <c r="H9834" i="12"/>
  <c r="F9834" i="12"/>
  <c r="J9833" i="12"/>
  <c r="I9833" i="12"/>
  <c r="H9833" i="12"/>
  <c r="F9833" i="12"/>
  <c r="J9832" i="12"/>
  <c r="I9832" i="12"/>
  <c r="H9832" i="12"/>
  <c r="F9832" i="12"/>
  <c r="J9831" i="12"/>
  <c r="I9831" i="12"/>
  <c r="H9831" i="12"/>
  <c r="F9831" i="12"/>
  <c r="J9830" i="12"/>
  <c r="I9830" i="12"/>
  <c r="H9830" i="12"/>
  <c r="F9830" i="12"/>
  <c r="J9829" i="12"/>
  <c r="I9829" i="12"/>
  <c r="H9829" i="12"/>
  <c r="F9829" i="12"/>
  <c r="J9828" i="12"/>
  <c r="I9828" i="12"/>
  <c r="H9828" i="12"/>
  <c r="F9828" i="12"/>
  <c r="J9827" i="12"/>
  <c r="I9827" i="12"/>
  <c r="H9827" i="12"/>
  <c r="F9827" i="12"/>
  <c r="J9826" i="12"/>
  <c r="I9826" i="12"/>
  <c r="H9826" i="12"/>
  <c r="F9826" i="12"/>
  <c r="J9825" i="12"/>
  <c r="I9825" i="12"/>
  <c r="H9825" i="12"/>
  <c r="F9825" i="12"/>
  <c r="J9824" i="12"/>
  <c r="I9824" i="12"/>
  <c r="H9824" i="12"/>
  <c r="F9824" i="12"/>
  <c r="J9823" i="12"/>
  <c r="I9823" i="12"/>
  <c r="H9823" i="12"/>
  <c r="F9823" i="12"/>
  <c r="J9822" i="12"/>
  <c r="I9822" i="12"/>
  <c r="H9822" i="12"/>
  <c r="F9822" i="12"/>
  <c r="J9821" i="12"/>
  <c r="I9821" i="12"/>
  <c r="H9821" i="12"/>
  <c r="F9821" i="12"/>
  <c r="J9820" i="12"/>
  <c r="I9820" i="12"/>
  <c r="H9820" i="12"/>
  <c r="F9820" i="12"/>
  <c r="J9819" i="12"/>
  <c r="I9819" i="12"/>
  <c r="H9819" i="12"/>
  <c r="F9819" i="12"/>
  <c r="J9818" i="12"/>
  <c r="I9818" i="12"/>
  <c r="H9818" i="12"/>
  <c r="F9818" i="12"/>
  <c r="J9817" i="12"/>
  <c r="I9817" i="12"/>
  <c r="H9817" i="12"/>
  <c r="F9817" i="12"/>
  <c r="J9816" i="12"/>
  <c r="I9816" i="12"/>
  <c r="H9816" i="12"/>
  <c r="F9816" i="12"/>
  <c r="J9815" i="12"/>
  <c r="I9815" i="12"/>
  <c r="H9815" i="12"/>
  <c r="F9815" i="12"/>
  <c r="J9814" i="12"/>
  <c r="I9814" i="12"/>
  <c r="H9814" i="12"/>
  <c r="F9814" i="12"/>
  <c r="J9813" i="12"/>
  <c r="I9813" i="12"/>
  <c r="H9813" i="12"/>
  <c r="F9813" i="12"/>
  <c r="J9812" i="12"/>
  <c r="I9812" i="12"/>
  <c r="H9812" i="12"/>
  <c r="F9812" i="12"/>
  <c r="J9811" i="12"/>
  <c r="I9811" i="12"/>
  <c r="H9811" i="12"/>
  <c r="F9811" i="12"/>
  <c r="J9810" i="12"/>
  <c r="I9810" i="12"/>
  <c r="H9810" i="12"/>
  <c r="F9810" i="12"/>
  <c r="J9809" i="12"/>
  <c r="I9809" i="12"/>
  <c r="H9809" i="12"/>
  <c r="F9809" i="12"/>
  <c r="J9808" i="12"/>
  <c r="I9808" i="12"/>
  <c r="H9808" i="12"/>
  <c r="F9808" i="12"/>
  <c r="J9807" i="12"/>
  <c r="I9807" i="12"/>
  <c r="H9807" i="12"/>
  <c r="F9807" i="12"/>
  <c r="J9806" i="12"/>
  <c r="I9806" i="12"/>
  <c r="H9806" i="12"/>
  <c r="F9806" i="12"/>
  <c r="J9805" i="12"/>
  <c r="I9805" i="12"/>
  <c r="H9805" i="12"/>
  <c r="F9805" i="12"/>
  <c r="J9804" i="12"/>
  <c r="I9804" i="12"/>
  <c r="H9804" i="12"/>
  <c r="F9804" i="12"/>
  <c r="J9803" i="12"/>
  <c r="I9803" i="12"/>
  <c r="H9803" i="12"/>
  <c r="F9803" i="12"/>
  <c r="J9802" i="12"/>
  <c r="I9802" i="12"/>
  <c r="H9802" i="12"/>
  <c r="F9802" i="12"/>
  <c r="J9801" i="12"/>
  <c r="I9801" i="12"/>
  <c r="H9801" i="12"/>
  <c r="F9801" i="12"/>
  <c r="J9800" i="12"/>
  <c r="I9800" i="12"/>
  <c r="H9800" i="12"/>
  <c r="F9800" i="12"/>
  <c r="J9799" i="12"/>
  <c r="I9799" i="12"/>
  <c r="H9799" i="12"/>
  <c r="F9799" i="12"/>
  <c r="J9798" i="12"/>
  <c r="I9798" i="12"/>
  <c r="H9798" i="12"/>
  <c r="F9798" i="12"/>
  <c r="J9797" i="12"/>
  <c r="I9797" i="12"/>
  <c r="H9797" i="12"/>
  <c r="F9797" i="12"/>
  <c r="J9796" i="12"/>
  <c r="I9796" i="12"/>
  <c r="H9796" i="12"/>
  <c r="F9796" i="12"/>
  <c r="J9795" i="12"/>
  <c r="I9795" i="12"/>
  <c r="H9795" i="12"/>
  <c r="F9795" i="12"/>
  <c r="J9794" i="12"/>
  <c r="I9794" i="12"/>
  <c r="H9794" i="12"/>
  <c r="F9794" i="12"/>
  <c r="J9793" i="12"/>
  <c r="I9793" i="12"/>
  <c r="H9793" i="12"/>
  <c r="F9793" i="12"/>
  <c r="J9792" i="12"/>
  <c r="I9792" i="12"/>
  <c r="H9792" i="12"/>
  <c r="F9792" i="12"/>
  <c r="J9791" i="12"/>
  <c r="I9791" i="12"/>
  <c r="H9791" i="12"/>
  <c r="F9791" i="12"/>
  <c r="J9790" i="12"/>
  <c r="I9790" i="12"/>
  <c r="H9790" i="12"/>
  <c r="F9790" i="12"/>
  <c r="J9789" i="12"/>
  <c r="I9789" i="12"/>
  <c r="H9789" i="12"/>
  <c r="F9789" i="12"/>
  <c r="J9788" i="12"/>
  <c r="I9788" i="12"/>
  <c r="H9788" i="12"/>
  <c r="F9788" i="12"/>
  <c r="J9787" i="12"/>
  <c r="I9787" i="12"/>
  <c r="H9787" i="12"/>
  <c r="F9787" i="12"/>
  <c r="J9786" i="12"/>
  <c r="I9786" i="12"/>
  <c r="H9786" i="12"/>
  <c r="F9786" i="12"/>
  <c r="J9785" i="12"/>
  <c r="I9785" i="12"/>
  <c r="H9785" i="12"/>
  <c r="F9785" i="12"/>
  <c r="J9784" i="12"/>
  <c r="I9784" i="12"/>
  <c r="H9784" i="12"/>
  <c r="F9784" i="12"/>
  <c r="J9783" i="12"/>
  <c r="I9783" i="12"/>
  <c r="H9783" i="12"/>
  <c r="F9783" i="12"/>
  <c r="J9782" i="12"/>
  <c r="I9782" i="12"/>
  <c r="H9782" i="12"/>
  <c r="F9782" i="12"/>
  <c r="J9781" i="12"/>
  <c r="I9781" i="12"/>
  <c r="H9781" i="12"/>
  <c r="F9781" i="12"/>
  <c r="J9780" i="12"/>
  <c r="I9780" i="12"/>
  <c r="H9780" i="12"/>
  <c r="F9780" i="12"/>
  <c r="J9779" i="12"/>
  <c r="I9779" i="12"/>
  <c r="H9779" i="12"/>
  <c r="F9779" i="12"/>
  <c r="J9778" i="12"/>
  <c r="I9778" i="12"/>
  <c r="H9778" i="12"/>
  <c r="F9778" i="12"/>
  <c r="J9777" i="12"/>
  <c r="I9777" i="12"/>
  <c r="H9777" i="12"/>
  <c r="F9777" i="12"/>
  <c r="J9776" i="12"/>
  <c r="I9776" i="12"/>
  <c r="H9776" i="12"/>
  <c r="F9776" i="12"/>
  <c r="J9775" i="12"/>
  <c r="I9775" i="12"/>
  <c r="H9775" i="12"/>
  <c r="F9775" i="12"/>
  <c r="J9774" i="12"/>
  <c r="I9774" i="12"/>
  <c r="H9774" i="12"/>
  <c r="F9774" i="12"/>
  <c r="J9773" i="12"/>
  <c r="I9773" i="12"/>
  <c r="H9773" i="12"/>
  <c r="F9773" i="12"/>
  <c r="J9772" i="12"/>
  <c r="I9772" i="12"/>
  <c r="H9772" i="12"/>
  <c r="F9772" i="12"/>
  <c r="J9771" i="12"/>
  <c r="I9771" i="12"/>
  <c r="H9771" i="12"/>
  <c r="F9771" i="12"/>
  <c r="J9770" i="12"/>
  <c r="I9770" i="12"/>
  <c r="H9770" i="12"/>
  <c r="F9770" i="12"/>
  <c r="J9769" i="12"/>
  <c r="I9769" i="12"/>
  <c r="H9769" i="12"/>
  <c r="F9769" i="12"/>
  <c r="J9768" i="12"/>
  <c r="I9768" i="12"/>
  <c r="H9768" i="12"/>
  <c r="F9768" i="12"/>
  <c r="J9767" i="12"/>
  <c r="I9767" i="12"/>
  <c r="H9767" i="12"/>
  <c r="F9767" i="12"/>
  <c r="J9766" i="12"/>
  <c r="I9766" i="12"/>
  <c r="H9766" i="12"/>
  <c r="F9766" i="12"/>
  <c r="J9765" i="12"/>
  <c r="I9765" i="12"/>
  <c r="H9765" i="12"/>
  <c r="F9765" i="12"/>
  <c r="J9764" i="12"/>
  <c r="I9764" i="12"/>
  <c r="H9764" i="12"/>
  <c r="F9764" i="12"/>
  <c r="J9763" i="12"/>
  <c r="I9763" i="12"/>
  <c r="H9763" i="12"/>
  <c r="F9763" i="12"/>
  <c r="J9762" i="12"/>
  <c r="I9762" i="12"/>
  <c r="H9762" i="12"/>
  <c r="F9762" i="12"/>
  <c r="J9761" i="12"/>
  <c r="I9761" i="12"/>
  <c r="H9761" i="12"/>
  <c r="F9761" i="12"/>
  <c r="J9760" i="12"/>
  <c r="I9760" i="12"/>
  <c r="H9760" i="12"/>
  <c r="F9760" i="12"/>
  <c r="J9759" i="12"/>
  <c r="I9759" i="12"/>
  <c r="H9759" i="12"/>
  <c r="F9759" i="12"/>
  <c r="J9758" i="12"/>
  <c r="I9758" i="12"/>
  <c r="H9758" i="12"/>
  <c r="F9758" i="12"/>
  <c r="J9757" i="12"/>
  <c r="I9757" i="12"/>
  <c r="H9757" i="12"/>
  <c r="F9757" i="12"/>
  <c r="J9756" i="12"/>
  <c r="I9756" i="12"/>
  <c r="H9756" i="12"/>
  <c r="F9756" i="12"/>
  <c r="J9755" i="12"/>
  <c r="I9755" i="12"/>
  <c r="H9755" i="12"/>
  <c r="F9755" i="12"/>
  <c r="J9754" i="12"/>
  <c r="I9754" i="12"/>
  <c r="H9754" i="12"/>
  <c r="F9754" i="12"/>
  <c r="J9753" i="12"/>
  <c r="I9753" i="12"/>
  <c r="H9753" i="12"/>
  <c r="F9753" i="12"/>
  <c r="J9752" i="12"/>
  <c r="I9752" i="12"/>
  <c r="H9752" i="12"/>
  <c r="F9752" i="12"/>
  <c r="J9751" i="12"/>
  <c r="I9751" i="12"/>
  <c r="H9751" i="12"/>
  <c r="F9751" i="12"/>
  <c r="J9750" i="12"/>
  <c r="I9750" i="12"/>
  <c r="H9750" i="12"/>
  <c r="F9750" i="12"/>
  <c r="J9749" i="12"/>
  <c r="I9749" i="12"/>
  <c r="H9749" i="12"/>
  <c r="F9749" i="12"/>
  <c r="J9748" i="12"/>
  <c r="I9748" i="12"/>
  <c r="H9748" i="12"/>
  <c r="F9748" i="12"/>
  <c r="J9747" i="12"/>
  <c r="I9747" i="12"/>
  <c r="H9747" i="12"/>
  <c r="F9747" i="12"/>
  <c r="J9746" i="12"/>
  <c r="I9746" i="12"/>
  <c r="H9746" i="12"/>
  <c r="F9746" i="12"/>
  <c r="J9745" i="12"/>
  <c r="I9745" i="12"/>
  <c r="H9745" i="12"/>
  <c r="F9745" i="12"/>
  <c r="J9744" i="12"/>
  <c r="I9744" i="12"/>
  <c r="H9744" i="12"/>
  <c r="F9744" i="12"/>
  <c r="J9743" i="12"/>
  <c r="I9743" i="12"/>
  <c r="H9743" i="12"/>
  <c r="F9743" i="12"/>
  <c r="J9742" i="12"/>
  <c r="I9742" i="12"/>
  <c r="H9742" i="12"/>
  <c r="F9742" i="12"/>
  <c r="J9741" i="12"/>
  <c r="I9741" i="12"/>
  <c r="H9741" i="12"/>
  <c r="F9741" i="12"/>
  <c r="J9740" i="12"/>
  <c r="I9740" i="12"/>
  <c r="H9740" i="12"/>
  <c r="F9740" i="12"/>
  <c r="J9739" i="12"/>
  <c r="I9739" i="12"/>
  <c r="H9739" i="12"/>
  <c r="F9739" i="12"/>
  <c r="J9738" i="12"/>
  <c r="I9738" i="12"/>
  <c r="H9738" i="12"/>
  <c r="F9738" i="12"/>
  <c r="J9737" i="12"/>
  <c r="I9737" i="12"/>
  <c r="H9737" i="12"/>
  <c r="F9737" i="12"/>
  <c r="J9736" i="12"/>
  <c r="I9736" i="12"/>
  <c r="H9736" i="12"/>
  <c r="F9736" i="12"/>
  <c r="J9735" i="12"/>
  <c r="I9735" i="12"/>
  <c r="H9735" i="12"/>
  <c r="F9735" i="12"/>
  <c r="J9734" i="12"/>
  <c r="I9734" i="12"/>
  <c r="H9734" i="12"/>
  <c r="F9734" i="12"/>
  <c r="J9733" i="12"/>
  <c r="I9733" i="12"/>
  <c r="H9733" i="12"/>
  <c r="F9733" i="12"/>
  <c r="J9732" i="12"/>
  <c r="I9732" i="12"/>
  <c r="H9732" i="12"/>
  <c r="F9732" i="12"/>
  <c r="J9731" i="12"/>
  <c r="I9731" i="12"/>
  <c r="H9731" i="12"/>
  <c r="F9731" i="12"/>
  <c r="J9730" i="12"/>
  <c r="I9730" i="12"/>
  <c r="H9730" i="12"/>
  <c r="F9730" i="12"/>
  <c r="J9729" i="12"/>
  <c r="I9729" i="12"/>
  <c r="H9729" i="12"/>
  <c r="F9729" i="12"/>
  <c r="J9728" i="12"/>
  <c r="I9728" i="12"/>
  <c r="H9728" i="12"/>
  <c r="F9728" i="12"/>
  <c r="J9727" i="12"/>
  <c r="I9727" i="12"/>
  <c r="H9727" i="12"/>
  <c r="F9727" i="12"/>
  <c r="J9726" i="12"/>
  <c r="I9726" i="12"/>
  <c r="H9726" i="12"/>
  <c r="F9726" i="12"/>
  <c r="J9725" i="12"/>
  <c r="I9725" i="12"/>
  <c r="H9725" i="12"/>
  <c r="F9725" i="12"/>
  <c r="J9724" i="12"/>
  <c r="I9724" i="12"/>
  <c r="H9724" i="12"/>
  <c r="F9724" i="12"/>
  <c r="J9723" i="12"/>
  <c r="I9723" i="12"/>
  <c r="H9723" i="12"/>
  <c r="F9723" i="12"/>
  <c r="J9722" i="12"/>
  <c r="I9722" i="12"/>
  <c r="H9722" i="12"/>
  <c r="F9722" i="12"/>
  <c r="J9721" i="12"/>
  <c r="I9721" i="12"/>
  <c r="H9721" i="12"/>
  <c r="F9721" i="12"/>
  <c r="J9720" i="12"/>
  <c r="I9720" i="12"/>
  <c r="H9720" i="12"/>
  <c r="F9720" i="12"/>
  <c r="J9719" i="12"/>
  <c r="I9719" i="12"/>
  <c r="H9719" i="12"/>
  <c r="F9719" i="12"/>
  <c r="J9718" i="12"/>
  <c r="I9718" i="12"/>
  <c r="H9718" i="12"/>
  <c r="F9718" i="12"/>
  <c r="J9717" i="12"/>
  <c r="I9717" i="12"/>
  <c r="H9717" i="12"/>
  <c r="F9717" i="12"/>
  <c r="J9716" i="12"/>
  <c r="I9716" i="12"/>
  <c r="H9716" i="12"/>
  <c r="F9716" i="12"/>
  <c r="J9715" i="12"/>
  <c r="I9715" i="12"/>
  <c r="H9715" i="12"/>
  <c r="F9715" i="12"/>
  <c r="J9714" i="12"/>
  <c r="I9714" i="12"/>
  <c r="H9714" i="12"/>
  <c r="F9714" i="12"/>
  <c r="J9713" i="12"/>
  <c r="I9713" i="12"/>
  <c r="H9713" i="12"/>
  <c r="F9713" i="12"/>
  <c r="J9712" i="12"/>
  <c r="I9712" i="12"/>
  <c r="H9712" i="12"/>
  <c r="F9712" i="12"/>
  <c r="J9711" i="12"/>
  <c r="I9711" i="12"/>
  <c r="H9711" i="12"/>
  <c r="F9711" i="12"/>
  <c r="J9710" i="12"/>
  <c r="I9710" i="12"/>
  <c r="H9710" i="12"/>
  <c r="F9710" i="12"/>
  <c r="J9709" i="12"/>
  <c r="I9709" i="12"/>
  <c r="H9709" i="12"/>
  <c r="F9709" i="12"/>
  <c r="J9708" i="12"/>
  <c r="I9708" i="12"/>
  <c r="H9708" i="12"/>
  <c r="F9708" i="12"/>
  <c r="J9707" i="12"/>
  <c r="I9707" i="12"/>
  <c r="H9707" i="12"/>
  <c r="F9707" i="12"/>
  <c r="J9706" i="12"/>
  <c r="I9706" i="12"/>
  <c r="H9706" i="12"/>
  <c r="F9706" i="12"/>
  <c r="J9705" i="12"/>
  <c r="I9705" i="12"/>
  <c r="H9705" i="12"/>
  <c r="F9705" i="12"/>
  <c r="J9704" i="12"/>
  <c r="I9704" i="12"/>
  <c r="H9704" i="12"/>
  <c r="F9704" i="12"/>
  <c r="J9703" i="12"/>
  <c r="I9703" i="12"/>
  <c r="H9703" i="12"/>
  <c r="F9703" i="12"/>
  <c r="J9702" i="12"/>
  <c r="I9702" i="12"/>
  <c r="H9702" i="12"/>
  <c r="F9702" i="12"/>
  <c r="J9701" i="12"/>
  <c r="I9701" i="12"/>
  <c r="H9701" i="12"/>
  <c r="F9701" i="12"/>
  <c r="J9700" i="12"/>
  <c r="I9700" i="12"/>
  <c r="H9700" i="12"/>
  <c r="F9700" i="12"/>
  <c r="J9699" i="12"/>
  <c r="I9699" i="12"/>
  <c r="H9699" i="12"/>
  <c r="F9699" i="12"/>
  <c r="J9698" i="12"/>
  <c r="I9698" i="12"/>
  <c r="H9698" i="12"/>
  <c r="F9698" i="12"/>
  <c r="J9697" i="12"/>
  <c r="I9697" i="12"/>
  <c r="H9697" i="12"/>
  <c r="F9697" i="12"/>
  <c r="J9696" i="12"/>
  <c r="I9696" i="12"/>
  <c r="H9696" i="12"/>
  <c r="F9696" i="12"/>
  <c r="J9695" i="12"/>
  <c r="I9695" i="12"/>
  <c r="H9695" i="12"/>
  <c r="F9695" i="12"/>
  <c r="J9694" i="12"/>
  <c r="I9694" i="12"/>
  <c r="H9694" i="12"/>
  <c r="F9694" i="12"/>
  <c r="J9693" i="12"/>
  <c r="I9693" i="12"/>
  <c r="H9693" i="12"/>
  <c r="F9693" i="12"/>
  <c r="J9692" i="12"/>
  <c r="I9692" i="12"/>
  <c r="H9692" i="12"/>
  <c r="F9692" i="12"/>
  <c r="J9691" i="12"/>
  <c r="I9691" i="12"/>
  <c r="H9691" i="12"/>
  <c r="F9691" i="12"/>
  <c r="J9690" i="12"/>
  <c r="I9690" i="12"/>
  <c r="H9690" i="12"/>
  <c r="F9690" i="12"/>
  <c r="J9689" i="12"/>
  <c r="I9689" i="12"/>
  <c r="H9689" i="12"/>
  <c r="F9689" i="12"/>
  <c r="J9688" i="12"/>
  <c r="I9688" i="12"/>
  <c r="H9688" i="12"/>
  <c r="F9688" i="12"/>
  <c r="J9687" i="12"/>
  <c r="I9687" i="12"/>
  <c r="H9687" i="12"/>
  <c r="F9687" i="12"/>
  <c r="J9686" i="12"/>
  <c r="I9686" i="12"/>
  <c r="H9686" i="12"/>
  <c r="F9686" i="12"/>
  <c r="J9685" i="12"/>
  <c r="I9685" i="12"/>
  <c r="H9685" i="12"/>
  <c r="F9685" i="12"/>
  <c r="J9684" i="12"/>
  <c r="I9684" i="12"/>
  <c r="H9684" i="12"/>
  <c r="F9684" i="12"/>
  <c r="J9683" i="12"/>
  <c r="I9683" i="12"/>
  <c r="H9683" i="12"/>
  <c r="F9683" i="12"/>
  <c r="J9682" i="12"/>
  <c r="I9682" i="12"/>
  <c r="H9682" i="12"/>
  <c r="F9682" i="12"/>
  <c r="J9681" i="12"/>
  <c r="I9681" i="12"/>
  <c r="H9681" i="12"/>
  <c r="F9681" i="12"/>
  <c r="J9680" i="12"/>
  <c r="I9680" i="12"/>
  <c r="H9680" i="12"/>
  <c r="F9680" i="12"/>
  <c r="J9679" i="12"/>
  <c r="I9679" i="12"/>
  <c r="H9679" i="12"/>
  <c r="F9679" i="12"/>
  <c r="J9678" i="12"/>
  <c r="I9678" i="12"/>
  <c r="H9678" i="12"/>
  <c r="F9678" i="12"/>
  <c r="J9677" i="12"/>
  <c r="I9677" i="12"/>
  <c r="H9677" i="12"/>
  <c r="F9677" i="12"/>
  <c r="J9676" i="12"/>
  <c r="I9676" i="12"/>
  <c r="H9676" i="12"/>
  <c r="F9676" i="12"/>
  <c r="J9675" i="12"/>
  <c r="I9675" i="12"/>
  <c r="H9675" i="12"/>
  <c r="F9675" i="12"/>
  <c r="J9674" i="12"/>
  <c r="I9674" i="12"/>
  <c r="H9674" i="12"/>
  <c r="F9674" i="12"/>
  <c r="J9673" i="12"/>
  <c r="I9673" i="12"/>
  <c r="H9673" i="12"/>
  <c r="F9673" i="12"/>
  <c r="J9672" i="12"/>
  <c r="I9672" i="12"/>
  <c r="H9672" i="12"/>
  <c r="F9672" i="12"/>
  <c r="J9671" i="12"/>
  <c r="I9671" i="12"/>
  <c r="H9671" i="12"/>
  <c r="F9671" i="12"/>
  <c r="J9670" i="12"/>
  <c r="I9670" i="12"/>
  <c r="H9670" i="12"/>
  <c r="F9670" i="12"/>
  <c r="J9669" i="12"/>
  <c r="I9669" i="12"/>
  <c r="H9669" i="12"/>
  <c r="F9669" i="12"/>
  <c r="J9668" i="12"/>
  <c r="I9668" i="12"/>
  <c r="H9668" i="12"/>
  <c r="F9668" i="12"/>
  <c r="J9667" i="12"/>
  <c r="I9667" i="12"/>
  <c r="H9667" i="12"/>
  <c r="F9667" i="12"/>
  <c r="J9666" i="12"/>
  <c r="I9666" i="12"/>
  <c r="H9666" i="12"/>
  <c r="F9666" i="12"/>
  <c r="J9665" i="12"/>
  <c r="I9665" i="12"/>
  <c r="H9665" i="12"/>
  <c r="F9665" i="12"/>
  <c r="J9664" i="12"/>
  <c r="I9664" i="12"/>
  <c r="H9664" i="12"/>
  <c r="F9664" i="12"/>
  <c r="J9663" i="12"/>
  <c r="I9663" i="12"/>
  <c r="H9663" i="12"/>
  <c r="F9663" i="12"/>
  <c r="J9662" i="12"/>
  <c r="I9662" i="12"/>
  <c r="H9662" i="12"/>
  <c r="F9662" i="12"/>
  <c r="J9661" i="12"/>
  <c r="I9661" i="12"/>
  <c r="H9661" i="12"/>
  <c r="F9661" i="12"/>
  <c r="J9660" i="12"/>
  <c r="I9660" i="12"/>
  <c r="H9660" i="12"/>
  <c r="F9660" i="12"/>
  <c r="J9659" i="12"/>
  <c r="I9659" i="12"/>
  <c r="H9659" i="12"/>
  <c r="F9659" i="12"/>
  <c r="J9658" i="12"/>
  <c r="I9658" i="12"/>
  <c r="H9658" i="12"/>
  <c r="F9658" i="12"/>
  <c r="J9657" i="12"/>
  <c r="I9657" i="12"/>
  <c r="H9657" i="12"/>
  <c r="F9657" i="12"/>
  <c r="J9656" i="12"/>
  <c r="I9656" i="12"/>
  <c r="H9656" i="12"/>
  <c r="F9656" i="12"/>
  <c r="J9655" i="12"/>
  <c r="I9655" i="12"/>
  <c r="H9655" i="12"/>
  <c r="F9655" i="12"/>
  <c r="J9654" i="12"/>
  <c r="I9654" i="12"/>
  <c r="H9654" i="12"/>
  <c r="F9654" i="12"/>
  <c r="J9653" i="12"/>
  <c r="I9653" i="12"/>
  <c r="H9653" i="12"/>
  <c r="F9653" i="12"/>
  <c r="J9652" i="12"/>
  <c r="I9652" i="12"/>
  <c r="H9652" i="12"/>
  <c r="F9652" i="12"/>
  <c r="J9651" i="12"/>
  <c r="I9651" i="12"/>
  <c r="H9651" i="12"/>
  <c r="F9651" i="12"/>
  <c r="J9650" i="12"/>
  <c r="I9650" i="12"/>
  <c r="H9650" i="12"/>
  <c r="F9650" i="12"/>
  <c r="J9649" i="12"/>
  <c r="I9649" i="12"/>
  <c r="H9649" i="12"/>
  <c r="F9649" i="12"/>
  <c r="J9648" i="12"/>
  <c r="I9648" i="12"/>
  <c r="H9648" i="12"/>
  <c r="F9648" i="12"/>
  <c r="J9647" i="12"/>
  <c r="I9647" i="12"/>
  <c r="H9647" i="12"/>
  <c r="F9647" i="12"/>
  <c r="J9646" i="12"/>
  <c r="I9646" i="12"/>
  <c r="H9646" i="12"/>
  <c r="F9646" i="12"/>
  <c r="J9645" i="12"/>
  <c r="I9645" i="12"/>
  <c r="H9645" i="12"/>
  <c r="F9645" i="12"/>
  <c r="J9644" i="12"/>
  <c r="I9644" i="12"/>
  <c r="H9644" i="12"/>
  <c r="F9644" i="12"/>
  <c r="J9643" i="12"/>
  <c r="I9643" i="12"/>
  <c r="H9643" i="12"/>
  <c r="F9643" i="12"/>
  <c r="J9642" i="12"/>
  <c r="I9642" i="12"/>
  <c r="H9642" i="12"/>
  <c r="F9642" i="12"/>
  <c r="J9641" i="12"/>
  <c r="I9641" i="12"/>
  <c r="H9641" i="12"/>
  <c r="F9641" i="12"/>
  <c r="J9640" i="12"/>
  <c r="I9640" i="12"/>
  <c r="H9640" i="12"/>
  <c r="F9640" i="12"/>
  <c r="J9639" i="12"/>
  <c r="I9639" i="12"/>
  <c r="H9639" i="12"/>
  <c r="F9639" i="12"/>
  <c r="J9638" i="12"/>
  <c r="I9638" i="12"/>
  <c r="H9638" i="12"/>
  <c r="F9638" i="12"/>
  <c r="J9637" i="12"/>
  <c r="I9637" i="12"/>
  <c r="H9637" i="12"/>
  <c r="F9637" i="12"/>
  <c r="J9636" i="12"/>
  <c r="I9636" i="12"/>
  <c r="H9636" i="12"/>
  <c r="F9636" i="12"/>
  <c r="J9635" i="12"/>
  <c r="I9635" i="12"/>
  <c r="H9635" i="12"/>
  <c r="F9635" i="12"/>
  <c r="J9634" i="12"/>
  <c r="I9634" i="12"/>
  <c r="H9634" i="12"/>
  <c r="F9634" i="12"/>
  <c r="J9633" i="12"/>
  <c r="I9633" i="12"/>
  <c r="H9633" i="12"/>
  <c r="F9633" i="12"/>
  <c r="J9632" i="12"/>
  <c r="I9632" i="12"/>
  <c r="H9632" i="12"/>
  <c r="F9632" i="12"/>
  <c r="J9631" i="12"/>
  <c r="I9631" i="12"/>
  <c r="H9631" i="12"/>
  <c r="F9631" i="12"/>
  <c r="J9630" i="12"/>
  <c r="I9630" i="12"/>
  <c r="H9630" i="12"/>
  <c r="F9630" i="12"/>
  <c r="J9629" i="12"/>
  <c r="I9629" i="12"/>
  <c r="H9629" i="12"/>
  <c r="F9629" i="12"/>
  <c r="J9628" i="12"/>
  <c r="I9628" i="12"/>
  <c r="H9628" i="12"/>
  <c r="F9628" i="12"/>
  <c r="J9627" i="12"/>
  <c r="I9627" i="12"/>
  <c r="H9627" i="12"/>
  <c r="F9627" i="12"/>
  <c r="J9626" i="12"/>
  <c r="I9626" i="12"/>
  <c r="H9626" i="12"/>
  <c r="F9626" i="12"/>
  <c r="J9625" i="12"/>
  <c r="I9625" i="12"/>
  <c r="H9625" i="12"/>
  <c r="F9625" i="12"/>
  <c r="J9624" i="12"/>
  <c r="I9624" i="12"/>
  <c r="H9624" i="12"/>
  <c r="F9624" i="12"/>
  <c r="J9623" i="12"/>
  <c r="I9623" i="12"/>
  <c r="H9623" i="12"/>
  <c r="F9623" i="12"/>
  <c r="J9622" i="12"/>
  <c r="I9622" i="12"/>
  <c r="H9622" i="12"/>
  <c r="F9622" i="12"/>
  <c r="J9621" i="12"/>
  <c r="I9621" i="12"/>
  <c r="H9621" i="12"/>
  <c r="F9621" i="12"/>
  <c r="J9620" i="12"/>
  <c r="I9620" i="12"/>
  <c r="H9620" i="12"/>
  <c r="F9620" i="12"/>
  <c r="J9619" i="12"/>
  <c r="I9619" i="12"/>
  <c r="H9619" i="12"/>
  <c r="F9619" i="12"/>
  <c r="J9618" i="12"/>
  <c r="I9618" i="12"/>
  <c r="H9618" i="12"/>
  <c r="F9618" i="12"/>
  <c r="J9617" i="12"/>
  <c r="I9617" i="12"/>
  <c r="H9617" i="12"/>
  <c r="F9617" i="12"/>
  <c r="J9616" i="12"/>
  <c r="I9616" i="12"/>
  <c r="H9616" i="12"/>
  <c r="F9616" i="12"/>
  <c r="J9615" i="12"/>
  <c r="I9615" i="12"/>
  <c r="H9615" i="12"/>
  <c r="F9615" i="12"/>
  <c r="J9614" i="12"/>
  <c r="I9614" i="12"/>
  <c r="H9614" i="12"/>
  <c r="F9614" i="12"/>
  <c r="J9613" i="12"/>
  <c r="I9613" i="12"/>
  <c r="H9613" i="12"/>
  <c r="F9613" i="12"/>
  <c r="J9612" i="12"/>
  <c r="I9612" i="12"/>
  <c r="H9612" i="12"/>
  <c r="F9612" i="12"/>
  <c r="J9611" i="12"/>
  <c r="I9611" i="12"/>
  <c r="H9611" i="12"/>
  <c r="F9611" i="12"/>
  <c r="J9610" i="12"/>
  <c r="I9610" i="12"/>
  <c r="H9610" i="12"/>
  <c r="F9610" i="12"/>
  <c r="J9609" i="12"/>
  <c r="I9609" i="12"/>
  <c r="H9609" i="12"/>
  <c r="F9609" i="12"/>
  <c r="J9608" i="12"/>
  <c r="I9608" i="12"/>
  <c r="H9608" i="12"/>
  <c r="F9608" i="12"/>
  <c r="J9607" i="12"/>
  <c r="I9607" i="12"/>
  <c r="H9607" i="12"/>
  <c r="F9607" i="12"/>
  <c r="J9606" i="12"/>
  <c r="I9606" i="12"/>
  <c r="H9606" i="12"/>
  <c r="F9606" i="12"/>
  <c r="J9605" i="12"/>
  <c r="I9605" i="12"/>
  <c r="H9605" i="12"/>
  <c r="F9605" i="12"/>
  <c r="J9604" i="12"/>
  <c r="I9604" i="12"/>
  <c r="H9604" i="12"/>
  <c r="F9604" i="12"/>
  <c r="J9603" i="12"/>
  <c r="I9603" i="12"/>
  <c r="H9603" i="12"/>
  <c r="F9603" i="12"/>
  <c r="J9602" i="12"/>
  <c r="I9602" i="12"/>
  <c r="H9602" i="12"/>
  <c r="F9602" i="12"/>
  <c r="J9601" i="12"/>
  <c r="I9601" i="12"/>
  <c r="H9601" i="12"/>
  <c r="F9601" i="12"/>
  <c r="J9600" i="12"/>
  <c r="I9600" i="12"/>
  <c r="H9600" i="12"/>
  <c r="F9600" i="12"/>
  <c r="J9599" i="12"/>
  <c r="I9599" i="12"/>
  <c r="H9599" i="12"/>
  <c r="F9599" i="12"/>
  <c r="J9598" i="12"/>
  <c r="I9598" i="12"/>
  <c r="H9598" i="12"/>
  <c r="F9598" i="12"/>
  <c r="J9597" i="12"/>
  <c r="I9597" i="12"/>
  <c r="H9597" i="12"/>
  <c r="F9597" i="12"/>
  <c r="J9596" i="12"/>
  <c r="I9596" i="12"/>
  <c r="H9596" i="12"/>
  <c r="F9596" i="12"/>
  <c r="J9595" i="12"/>
  <c r="I9595" i="12"/>
  <c r="H9595" i="12"/>
  <c r="F9595" i="12"/>
  <c r="J9594" i="12"/>
  <c r="I9594" i="12"/>
  <c r="H9594" i="12"/>
  <c r="F9594" i="12"/>
  <c r="J9593" i="12"/>
  <c r="I9593" i="12"/>
  <c r="H9593" i="12"/>
  <c r="F9593" i="12"/>
  <c r="J9592" i="12"/>
  <c r="I9592" i="12"/>
  <c r="H9592" i="12"/>
  <c r="F9592" i="12"/>
  <c r="J9591" i="12"/>
  <c r="I9591" i="12"/>
  <c r="H9591" i="12"/>
  <c r="F9591" i="12"/>
  <c r="J9590" i="12"/>
  <c r="I9590" i="12"/>
  <c r="H9590" i="12"/>
  <c r="F9590" i="12"/>
  <c r="J9589" i="12"/>
  <c r="I9589" i="12"/>
  <c r="H9589" i="12"/>
  <c r="F9589" i="12"/>
  <c r="J9588" i="12"/>
  <c r="I9588" i="12"/>
  <c r="H9588" i="12"/>
  <c r="F9588" i="12"/>
  <c r="J9587" i="12"/>
  <c r="I9587" i="12"/>
  <c r="H9587" i="12"/>
  <c r="F9587" i="12"/>
  <c r="J9586" i="12"/>
  <c r="I9586" i="12"/>
  <c r="H9586" i="12"/>
  <c r="F9586" i="12"/>
  <c r="J9585" i="12"/>
  <c r="I9585" i="12"/>
  <c r="H9585" i="12"/>
  <c r="F9585" i="12"/>
  <c r="J9584" i="12"/>
  <c r="I9584" i="12"/>
  <c r="H9584" i="12"/>
  <c r="F9584" i="12"/>
  <c r="J9583" i="12"/>
  <c r="I9583" i="12"/>
  <c r="H9583" i="12"/>
  <c r="F9583" i="12"/>
  <c r="J9582" i="12"/>
  <c r="I9582" i="12"/>
  <c r="H9582" i="12"/>
  <c r="F9582" i="12"/>
  <c r="J9581" i="12"/>
  <c r="I9581" i="12"/>
  <c r="H9581" i="12"/>
  <c r="F9581" i="12"/>
  <c r="J9580" i="12"/>
  <c r="I9580" i="12"/>
  <c r="H9580" i="12"/>
  <c r="F9580" i="12"/>
  <c r="J9579" i="12"/>
  <c r="I9579" i="12"/>
  <c r="H9579" i="12"/>
  <c r="F9579" i="12"/>
  <c r="J9578" i="12"/>
  <c r="I9578" i="12"/>
  <c r="H9578" i="12"/>
  <c r="F9578" i="12"/>
  <c r="J9577" i="12"/>
  <c r="I9577" i="12"/>
  <c r="H9577" i="12"/>
  <c r="F9577" i="12"/>
  <c r="J9576" i="12"/>
  <c r="I9576" i="12"/>
  <c r="H9576" i="12"/>
  <c r="F9576" i="12"/>
  <c r="J9575" i="12"/>
  <c r="I9575" i="12"/>
  <c r="H9575" i="12"/>
  <c r="F9575" i="12"/>
  <c r="J9574" i="12"/>
  <c r="I9574" i="12"/>
  <c r="H9574" i="12"/>
  <c r="F9574" i="12"/>
  <c r="J9573" i="12"/>
  <c r="I9573" i="12"/>
  <c r="H9573" i="12"/>
  <c r="F9573" i="12"/>
  <c r="J9572" i="12"/>
  <c r="I9572" i="12"/>
  <c r="H9572" i="12"/>
  <c r="F9572" i="12"/>
  <c r="J9571" i="12"/>
  <c r="I9571" i="12"/>
  <c r="H9571" i="12"/>
  <c r="F9571" i="12"/>
  <c r="J9570" i="12"/>
  <c r="I9570" i="12"/>
  <c r="H9570" i="12"/>
  <c r="F9570" i="12"/>
  <c r="J9569" i="12"/>
  <c r="I9569" i="12"/>
  <c r="H9569" i="12"/>
  <c r="F9569" i="12"/>
  <c r="J9568" i="12"/>
  <c r="I9568" i="12"/>
  <c r="H9568" i="12"/>
  <c r="F9568" i="12"/>
  <c r="J9567" i="12"/>
  <c r="I9567" i="12"/>
  <c r="H9567" i="12"/>
  <c r="F9567" i="12"/>
  <c r="J9566" i="12"/>
  <c r="I9566" i="12"/>
  <c r="H9566" i="12"/>
  <c r="F9566" i="12"/>
  <c r="J9565" i="12"/>
  <c r="I9565" i="12"/>
  <c r="H9565" i="12"/>
  <c r="F9565" i="12"/>
  <c r="J9564" i="12"/>
  <c r="I9564" i="12"/>
  <c r="H9564" i="12"/>
  <c r="F9564" i="12"/>
  <c r="J9563" i="12"/>
  <c r="I9563" i="12"/>
  <c r="H9563" i="12"/>
  <c r="F9563" i="12"/>
  <c r="J9562" i="12"/>
  <c r="I9562" i="12"/>
  <c r="H9562" i="12"/>
  <c r="F9562" i="12"/>
  <c r="J9561" i="12"/>
  <c r="I9561" i="12"/>
  <c r="H9561" i="12"/>
  <c r="F9561" i="12"/>
  <c r="J9560" i="12"/>
  <c r="I9560" i="12"/>
  <c r="H9560" i="12"/>
  <c r="F9560" i="12"/>
  <c r="J9559" i="12"/>
  <c r="I9559" i="12"/>
  <c r="H9559" i="12"/>
  <c r="F9559" i="12"/>
  <c r="J9558" i="12"/>
  <c r="I9558" i="12"/>
  <c r="H9558" i="12"/>
  <c r="F9558" i="12"/>
  <c r="J9557" i="12"/>
  <c r="I9557" i="12"/>
  <c r="H9557" i="12"/>
  <c r="F9557" i="12"/>
  <c r="J9556" i="12"/>
  <c r="I9556" i="12"/>
  <c r="H9556" i="12"/>
  <c r="F9556" i="12"/>
  <c r="J9555" i="12"/>
  <c r="I9555" i="12"/>
  <c r="H9555" i="12"/>
  <c r="F9555" i="12"/>
  <c r="J9554" i="12"/>
  <c r="I9554" i="12"/>
  <c r="H9554" i="12"/>
  <c r="F9554" i="12"/>
  <c r="J9553" i="12"/>
  <c r="I9553" i="12"/>
  <c r="H9553" i="12"/>
  <c r="F9553" i="12"/>
  <c r="J9552" i="12"/>
  <c r="I9552" i="12"/>
  <c r="H9552" i="12"/>
  <c r="F9552" i="12"/>
  <c r="J9551" i="12"/>
  <c r="I9551" i="12"/>
  <c r="H9551" i="12"/>
  <c r="F9551" i="12"/>
  <c r="J9550" i="12"/>
  <c r="I9550" i="12"/>
  <c r="H9550" i="12"/>
  <c r="F9550" i="12"/>
  <c r="J9549" i="12"/>
  <c r="I9549" i="12"/>
  <c r="H9549" i="12"/>
  <c r="F9549" i="12"/>
  <c r="J9548" i="12"/>
  <c r="I9548" i="12"/>
  <c r="H9548" i="12"/>
  <c r="F9548" i="12"/>
  <c r="J9547" i="12"/>
  <c r="I9547" i="12"/>
  <c r="H9547" i="12"/>
  <c r="F9547" i="12"/>
  <c r="J9546" i="12"/>
  <c r="I9546" i="12"/>
  <c r="H9546" i="12"/>
  <c r="F9546" i="12"/>
  <c r="J9545" i="12"/>
  <c r="I9545" i="12"/>
  <c r="H9545" i="12"/>
  <c r="F9545" i="12"/>
  <c r="J9544" i="12"/>
  <c r="I9544" i="12"/>
  <c r="H9544" i="12"/>
  <c r="F9544" i="12"/>
  <c r="J9543" i="12"/>
  <c r="I9543" i="12"/>
  <c r="H9543" i="12"/>
  <c r="F9543" i="12"/>
  <c r="J9542" i="12"/>
  <c r="I9542" i="12"/>
  <c r="H9542" i="12"/>
  <c r="F9542" i="12"/>
  <c r="J9541" i="12"/>
  <c r="I9541" i="12"/>
  <c r="H9541" i="12"/>
  <c r="F9541" i="12"/>
  <c r="J9540" i="12"/>
  <c r="I9540" i="12"/>
  <c r="H9540" i="12"/>
  <c r="F9540" i="12"/>
  <c r="J9539" i="12"/>
  <c r="I9539" i="12"/>
  <c r="H9539" i="12"/>
  <c r="F9539" i="12"/>
  <c r="J9538" i="12"/>
  <c r="I9538" i="12"/>
  <c r="H9538" i="12"/>
  <c r="F9538" i="12"/>
  <c r="J9537" i="12"/>
  <c r="I9537" i="12"/>
  <c r="H9537" i="12"/>
  <c r="F9537" i="12"/>
  <c r="J9536" i="12"/>
  <c r="I9536" i="12"/>
  <c r="H9536" i="12"/>
  <c r="F9536" i="12"/>
  <c r="J9535" i="12"/>
  <c r="I9535" i="12"/>
  <c r="H9535" i="12"/>
  <c r="F9535" i="12"/>
  <c r="J9534" i="12"/>
  <c r="I9534" i="12"/>
  <c r="H9534" i="12"/>
  <c r="F9534" i="12"/>
  <c r="J9533" i="12"/>
  <c r="I9533" i="12"/>
  <c r="H9533" i="12"/>
  <c r="F9533" i="12"/>
  <c r="J9532" i="12"/>
  <c r="I9532" i="12"/>
  <c r="H9532" i="12"/>
  <c r="F9532" i="12"/>
  <c r="J9531" i="12"/>
  <c r="I9531" i="12"/>
  <c r="H9531" i="12"/>
  <c r="F9531" i="12"/>
  <c r="J9530" i="12"/>
  <c r="I9530" i="12"/>
  <c r="H9530" i="12"/>
  <c r="F9530" i="12"/>
  <c r="J9529" i="12"/>
  <c r="I9529" i="12"/>
  <c r="H9529" i="12"/>
  <c r="F9529" i="12"/>
  <c r="J9528" i="12"/>
  <c r="I9528" i="12"/>
  <c r="H9528" i="12"/>
  <c r="F9528" i="12"/>
  <c r="J9527" i="12"/>
  <c r="I9527" i="12"/>
  <c r="H9527" i="12"/>
  <c r="F9527" i="12"/>
  <c r="J9526" i="12"/>
  <c r="I9526" i="12"/>
  <c r="H9526" i="12"/>
  <c r="F9526" i="12"/>
  <c r="J9525" i="12"/>
  <c r="I9525" i="12"/>
  <c r="H9525" i="12"/>
  <c r="F9525" i="12"/>
  <c r="J9524" i="12"/>
  <c r="I9524" i="12"/>
  <c r="H9524" i="12"/>
  <c r="F9524" i="12"/>
  <c r="J9523" i="12"/>
  <c r="I9523" i="12"/>
  <c r="H9523" i="12"/>
  <c r="F9523" i="12"/>
  <c r="J9522" i="12"/>
  <c r="I9522" i="12"/>
  <c r="H9522" i="12"/>
  <c r="F9522" i="12"/>
  <c r="J9521" i="12"/>
  <c r="I9521" i="12"/>
  <c r="H9521" i="12"/>
  <c r="F9521" i="12"/>
  <c r="J9520" i="12"/>
  <c r="I9520" i="12"/>
  <c r="H9520" i="12"/>
  <c r="F9520" i="12"/>
  <c r="J9519" i="12"/>
  <c r="I9519" i="12"/>
  <c r="H9519" i="12"/>
  <c r="F9519" i="12"/>
  <c r="J9518" i="12"/>
  <c r="I9518" i="12"/>
  <c r="H9518" i="12"/>
  <c r="F9518" i="12"/>
  <c r="J9517" i="12"/>
  <c r="I9517" i="12"/>
  <c r="H9517" i="12"/>
  <c r="F9517" i="12"/>
  <c r="J9516" i="12"/>
  <c r="I9516" i="12"/>
  <c r="H9516" i="12"/>
  <c r="F9516" i="12"/>
  <c r="J9515" i="12"/>
  <c r="I9515" i="12"/>
  <c r="H9515" i="12"/>
  <c r="F9515" i="12"/>
  <c r="J9514" i="12"/>
  <c r="I9514" i="12"/>
  <c r="H9514" i="12"/>
  <c r="F9514" i="12"/>
  <c r="J9513" i="12"/>
  <c r="I9513" i="12"/>
  <c r="H9513" i="12"/>
  <c r="F9513" i="12"/>
  <c r="J9512" i="12"/>
  <c r="I9512" i="12"/>
  <c r="H9512" i="12"/>
  <c r="F9512" i="12"/>
  <c r="J9511" i="12"/>
  <c r="I9511" i="12"/>
  <c r="H9511" i="12"/>
  <c r="F9511" i="12"/>
  <c r="J9510" i="12"/>
  <c r="I9510" i="12"/>
  <c r="H9510" i="12"/>
  <c r="F9510" i="12"/>
  <c r="J9509" i="12"/>
  <c r="I9509" i="12"/>
  <c r="H9509" i="12"/>
  <c r="F9509" i="12"/>
  <c r="J9508" i="12"/>
  <c r="I9508" i="12"/>
  <c r="H9508" i="12"/>
  <c r="F9508" i="12"/>
  <c r="J9507" i="12"/>
  <c r="I9507" i="12"/>
  <c r="H9507" i="12"/>
  <c r="F9507" i="12"/>
  <c r="J9506" i="12"/>
  <c r="I9506" i="12"/>
  <c r="H9506" i="12"/>
  <c r="F9506" i="12"/>
  <c r="J9505" i="12"/>
  <c r="I9505" i="12"/>
  <c r="H9505" i="12"/>
  <c r="F9505" i="12"/>
  <c r="J9504" i="12"/>
  <c r="I9504" i="12"/>
  <c r="H9504" i="12"/>
  <c r="F9504" i="12"/>
  <c r="J9503" i="12"/>
  <c r="I9503" i="12"/>
  <c r="H9503" i="12"/>
  <c r="F9503" i="12"/>
  <c r="J9502" i="12"/>
  <c r="I9502" i="12"/>
  <c r="H9502" i="12"/>
  <c r="F9502" i="12"/>
  <c r="J9501" i="12"/>
  <c r="I9501" i="12"/>
  <c r="H9501" i="12"/>
  <c r="F9501" i="12"/>
  <c r="J9500" i="12"/>
  <c r="I9500" i="12"/>
  <c r="H9500" i="12"/>
  <c r="F9500" i="12"/>
  <c r="J9499" i="12"/>
  <c r="I9499" i="12"/>
  <c r="H9499" i="12"/>
  <c r="F9499" i="12"/>
  <c r="J9498" i="12"/>
  <c r="I9498" i="12"/>
  <c r="H9498" i="12"/>
  <c r="F9498" i="12"/>
  <c r="J9497" i="12"/>
  <c r="I9497" i="12"/>
  <c r="H9497" i="12"/>
  <c r="F9497" i="12"/>
  <c r="J9496" i="12"/>
  <c r="I9496" i="12"/>
  <c r="H9496" i="12"/>
  <c r="F9496" i="12"/>
  <c r="J9495" i="12"/>
  <c r="I9495" i="12"/>
  <c r="H9495" i="12"/>
  <c r="F9495" i="12"/>
  <c r="J9494" i="12"/>
  <c r="I9494" i="12"/>
  <c r="H9494" i="12"/>
  <c r="F9494" i="12"/>
  <c r="J9493" i="12"/>
  <c r="I9493" i="12"/>
  <c r="H9493" i="12"/>
  <c r="F9493" i="12"/>
  <c r="J9492" i="12"/>
  <c r="I9492" i="12"/>
  <c r="H9492" i="12"/>
  <c r="F9492" i="12"/>
  <c r="J9491" i="12"/>
  <c r="I9491" i="12"/>
  <c r="H9491" i="12"/>
  <c r="F9491" i="12"/>
  <c r="J9490" i="12"/>
  <c r="I9490" i="12"/>
  <c r="H9490" i="12"/>
  <c r="F9490" i="12"/>
  <c r="J9489" i="12"/>
  <c r="I9489" i="12"/>
  <c r="H9489" i="12"/>
  <c r="F9489" i="12"/>
  <c r="J9488" i="12"/>
  <c r="I9488" i="12"/>
  <c r="H9488" i="12"/>
  <c r="F9488" i="12"/>
  <c r="J9487" i="12"/>
  <c r="I9487" i="12"/>
  <c r="H9487" i="12"/>
  <c r="F9487" i="12"/>
  <c r="J9486" i="12"/>
  <c r="I9486" i="12"/>
  <c r="H9486" i="12"/>
  <c r="F9486" i="12"/>
  <c r="J9485" i="12"/>
  <c r="I9485" i="12"/>
  <c r="H9485" i="12"/>
  <c r="F9485" i="12"/>
  <c r="J9484" i="12"/>
  <c r="I9484" i="12"/>
  <c r="H9484" i="12"/>
  <c r="F9484" i="12"/>
  <c r="J9483" i="12"/>
  <c r="I9483" i="12"/>
  <c r="H9483" i="12"/>
  <c r="F9483" i="12"/>
  <c r="J9482" i="12"/>
  <c r="I9482" i="12"/>
  <c r="H9482" i="12"/>
  <c r="F9482" i="12"/>
  <c r="J9481" i="12"/>
  <c r="I9481" i="12"/>
  <c r="H9481" i="12"/>
  <c r="F9481" i="12"/>
  <c r="J9480" i="12"/>
  <c r="I9480" i="12"/>
  <c r="H9480" i="12"/>
  <c r="F9480" i="12"/>
  <c r="J9479" i="12"/>
  <c r="I9479" i="12"/>
  <c r="H9479" i="12"/>
  <c r="F9479" i="12"/>
  <c r="J9478" i="12"/>
  <c r="I9478" i="12"/>
  <c r="H9478" i="12"/>
  <c r="F9478" i="12"/>
  <c r="J9477" i="12"/>
  <c r="I9477" i="12"/>
  <c r="H9477" i="12"/>
  <c r="F9477" i="12"/>
  <c r="J9476" i="12"/>
  <c r="I9476" i="12"/>
  <c r="H9476" i="12"/>
  <c r="F9476" i="12"/>
  <c r="J9475" i="12"/>
  <c r="I9475" i="12"/>
  <c r="H9475" i="12"/>
  <c r="F9475" i="12"/>
  <c r="J9474" i="12"/>
  <c r="I9474" i="12"/>
  <c r="H9474" i="12"/>
  <c r="F9474" i="12"/>
  <c r="J9473" i="12"/>
  <c r="I9473" i="12"/>
  <c r="H9473" i="12"/>
  <c r="F9473" i="12"/>
  <c r="J9472" i="12"/>
  <c r="I9472" i="12"/>
  <c r="H9472" i="12"/>
  <c r="F9472" i="12"/>
  <c r="J9471" i="12"/>
  <c r="I9471" i="12"/>
  <c r="H9471" i="12"/>
  <c r="F9471" i="12"/>
  <c r="J9470" i="12"/>
  <c r="I9470" i="12"/>
  <c r="H9470" i="12"/>
  <c r="F9470" i="12"/>
  <c r="J9469" i="12"/>
  <c r="I9469" i="12"/>
  <c r="H9469" i="12"/>
  <c r="F9469" i="12"/>
  <c r="J9468" i="12"/>
  <c r="I9468" i="12"/>
  <c r="H9468" i="12"/>
  <c r="F9468" i="12"/>
  <c r="J9467" i="12"/>
  <c r="I9467" i="12"/>
  <c r="H9467" i="12"/>
  <c r="F9467" i="12"/>
  <c r="J9466" i="12"/>
  <c r="I9466" i="12"/>
  <c r="H9466" i="12"/>
  <c r="F9466" i="12"/>
  <c r="J9465" i="12"/>
  <c r="I9465" i="12"/>
  <c r="H9465" i="12"/>
  <c r="F9465" i="12"/>
  <c r="J9464" i="12"/>
  <c r="I9464" i="12"/>
  <c r="H9464" i="12"/>
  <c r="F9464" i="12"/>
  <c r="J9463" i="12"/>
  <c r="I9463" i="12"/>
  <c r="H9463" i="12"/>
  <c r="F9463" i="12"/>
  <c r="J9462" i="12"/>
  <c r="I9462" i="12"/>
  <c r="H9462" i="12"/>
  <c r="F9462" i="12"/>
  <c r="J9461" i="12"/>
  <c r="I9461" i="12"/>
  <c r="H9461" i="12"/>
  <c r="F9461" i="12"/>
  <c r="J9460" i="12"/>
  <c r="I9460" i="12"/>
  <c r="H9460" i="12"/>
  <c r="F9460" i="12"/>
  <c r="J9459" i="12"/>
  <c r="I9459" i="12"/>
  <c r="H9459" i="12"/>
  <c r="F9459" i="12"/>
  <c r="J9458" i="12"/>
  <c r="I9458" i="12"/>
  <c r="H9458" i="12"/>
  <c r="F9458" i="12"/>
  <c r="J9457" i="12"/>
  <c r="I9457" i="12"/>
  <c r="H9457" i="12"/>
  <c r="F9457" i="12"/>
  <c r="J9456" i="12"/>
  <c r="I9456" i="12"/>
  <c r="H9456" i="12"/>
  <c r="F9456" i="12"/>
  <c r="J9455" i="12"/>
  <c r="I9455" i="12"/>
  <c r="H9455" i="12"/>
  <c r="F9455" i="12"/>
  <c r="J9454" i="12"/>
  <c r="I9454" i="12"/>
  <c r="H9454" i="12"/>
  <c r="F9454" i="12"/>
  <c r="J9453" i="12"/>
  <c r="I9453" i="12"/>
  <c r="H9453" i="12"/>
  <c r="F9453" i="12"/>
  <c r="J9452" i="12"/>
  <c r="I9452" i="12"/>
  <c r="H9452" i="12"/>
  <c r="F9452" i="12"/>
  <c r="J9451" i="12"/>
  <c r="I9451" i="12"/>
  <c r="H9451" i="12"/>
  <c r="F9451" i="12"/>
  <c r="J9450" i="12"/>
  <c r="I9450" i="12"/>
  <c r="H9450" i="12"/>
  <c r="F9450" i="12"/>
  <c r="J9449" i="12"/>
  <c r="I9449" i="12"/>
  <c r="H9449" i="12"/>
  <c r="F9449" i="12"/>
  <c r="J9448" i="12"/>
  <c r="I9448" i="12"/>
  <c r="H9448" i="12"/>
  <c r="F9448" i="12"/>
  <c r="J9447" i="12"/>
  <c r="I9447" i="12"/>
  <c r="H9447" i="12"/>
  <c r="F9447" i="12"/>
  <c r="J9446" i="12"/>
  <c r="I9446" i="12"/>
  <c r="H9446" i="12"/>
  <c r="F9446" i="12"/>
  <c r="J9445" i="12"/>
  <c r="I9445" i="12"/>
  <c r="H9445" i="12"/>
  <c r="F9445" i="12"/>
  <c r="J9444" i="12"/>
  <c r="I9444" i="12"/>
  <c r="H9444" i="12"/>
  <c r="F9444" i="12"/>
  <c r="J9443" i="12"/>
  <c r="I9443" i="12"/>
  <c r="H9443" i="12"/>
  <c r="F9443" i="12"/>
  <c r="J9442" i="12"/>
  <c r="I9442" i="12"/>
  <c r="H9442" i="12"/>
  <c r="F9442" i="12"/>
  <c r="J9441" i="12"/>
  <c r="I9441" i="12"/>
  <c r="H9441" i="12"/>
  <c r="F9441" i="12"/>
  <c r="J9440" i="12"/>
  <c r="I9440" i="12"/>
  <c r="H9440" i="12"/>
  <c r="F9440" i="12"/>
  <c r="J9439" i="12"/>
  <c r="I9439" i="12"/>
  <c r="H9439" i="12"/>
  <c r="F9439" i="12"/>
  <c r="J9438" i="12"/>
  <c r="I9438" i="12"/>
  <c r="H9438" i="12"/>
  <c r="F9438" i="12"/>
  <c r="J9437" i="12"/>
  <c r="I9437" i="12"/>
  <c r="H9437" i="12"/>
  <c r="F9437" i="12"/>
  <c r="J9436" i="12"/>
  <c r="I9436" i="12"/>
  <c r="H9436" i="12"/>
  <c r="F9436" i="12"/>
  <c r="J9435" i="12"/>
  <c r="I9435" i="12"/>
  <c r="H9435" i="12"/>
  <c r="F9435" i="12"/>
  <c r="J9434" i="12"/>
  <c r="I9434" i="12"/>
  <c r="H9434" i="12"/>
  <c r="F9434" i="12"/>
  <c r="J9433" i="12"/>
  <c r="I9433" i="12"/>
  <c r="H9433" i="12"/>
  <c r="F9433" i="12"/>
  <c r="J9432" i="12"/>
  <c r="I9432" i="12"/>
  <c r="H9432" i="12"/>
  <c r="F9432" i="12"/>
  <c r="J9431" i="12"/>
  <c r="I9431" i="12"/>
  <c r="H9431" i="12"/>
  <c r="F9431" i="12"/>
  <c r="J9430" i="12"/>
  <c r="I9430" i="12"/>
  <c r="H9430" i="12"/>
  <c r="F9430" i="12"/>
  <c r="J9429" i="12"/>
  <c r="I9429" i="12"/>
  <c r="H9429" i="12"/>
  <c r="F9429" i="12"/>
  <c r="J9428" i="12"/>
  <c r="I9428" i="12"/>
  <c r="H9428" i="12"/>
  <c r="F9428" i="12"/>
  <c r="J9427" i="12"/>
  <c r="I9427" i="12"/>
  <c r="H9427" i="12"/>
  <c r="F9427" i="12"/>
  <c r="J9426" i="12"/>
  <c r="I9426" i="12"/>
  <c r="H9426" i="12"/>
  <c r="F9426" i="12"/>
  <c r="J9425" i="12"/>
  <c r="I9425" i="12"/>
  <c r="H9425" i="12"/>
  <c r="F9425" i="12"/>
  <c r="J9424" i="12"/>
  <c r="I9424" i="12"/>
  <c r="H9424" i="12"/>
  <c r="F9424" i="12"/>
  <c r="J9423" i="12"/>
  <c r="I9423" i="12"/>
  <c r="H9423" i="12"/>
  <c r="F9423" i="12"/>
  <c r="J9422" i="12"/>
  <c r="I9422" i="12"/>
  <c r="H9422" i="12"/>
  <c r="F9422" i="12"/>
  <c r="J9421" i="12"/>
  <c r="I9421" i="12"/>
  <c r="H9421" i="12"/>
  <c r="F9421" i="12"/>
  <c r="J9420" i="12"/>
  <c r="I9420" i="12"/>
  <c r="H9420" i="12"/>
  <c r="F9420" i="12"/>
  <c r="J9419" i="12"/>
  <c r="I9419" i="12"/>
  <c r="H9419" i="12"/>
  <c r="F9419" i="12"/>
  <c r="J9418" i="12"/>
  <c r="I9418" i="12"/>
  <c r="H9418" i="12"/>
  <c r="F9418" i="12"/>
  <c r="J9417" i="12"/>
  <c r="I9417" i="12"/>
  <c r="H9417" i="12"/>
  <c r="F9417" i="12"/>
  <c r="J9416" i="12"/>
  <c r="I9416" i="12"/>
  <c r="H9416" i="12"/>
  <c r="F9416" i="12"/>
  <c r="J9415" i="12"/>
  <c r="I9415" i="12"/>
  <c r="H9415" i="12"/>
  <c r="F9415" i="12"/>
  <c r="J9414" i="12"/>
  <c r="I9414" i="12"/>
  <c r="H9414" i="12"/>
  <c r="F9414" i="12"/>
  <c r="J9413" i="12"/>
  <c r="I9413" i="12"/>
  <c r="H9413" i="12"/>
  <c r="F9413" i="12"/>
  <c r="J9412" i="12"/>
  <c r="I9412" i="12"/>
  <c r="H9412" i="12"/>
  <c r="F9412" i="12"/>
  <c r="J9411" i="12"/>
  <c r="I9411" i="12"/>
  <c r="H9411" i="12"/>
  <c r="F9411" i="12"/>
  <c r="J9410" i="12"/>
  <c r="I9410" i="12"/>
  <c r="H9410" i="12"/>
  <c r="F9410" i="12"/>
  <c r="J9409" i="12"/>
  <c r="I9409" i="12"/>
  <c r="H9409" i="12"/>
  <c r="F9409" i="12"/>
  <c r="J9408" i="12"/>
  <c r="I9408" i="12"/>
  <c r="H9408" i="12"/>
  <c r="F9408" i="12"/>
  <c r="J9407" i="12"/>
  <c r="I9407" i="12"/>
  <c r="H9407" i="12"/>
  <c r="F9407" i="12"/>
  <c r="J9406" i="12"/>
  <c r="I9406" i="12"/>
  <c r="H9406" i="12"/>
  <c r="F9406" i="12"/>
  <c r="J9405" i="12"/>
  <c r="I9405" i="12"/>
  <c r="H9405" i="12"/>
  <c r="F9405" i="12"/>
  <c r="J9404" i="12"/>
  <c r="I9404" i="12"/>
  <c r="H9404" i="12"/>
  <c r="F9404" i="12"/>
  <c r="J9403" i="12"/>
  <c r="I9403" i="12"/>
  <c r="H9403" i="12"/>
  <c r="F9403" i="12"/>
  <c r="J9402" i="12"/>
  <c r="I9402" i="12"/>
  <c r="H9402" i="12"/>
  <c r="F9402" i="12"/>
  <c r="J9401" i="12"/>
  <c r="I9401" i="12"/>
  <c r="H9401" i="12"/>
  <c r="F9401" i="12"/>
  <c r="J9400" i="12"/>
  <c r="I9400" i="12"/>
  <c r="H9400" i="12"/>
  <c r="F9400" i="12"/>
  <c r="J9399" i="12"/>
  <c r="I9399" i="12"/>
  <c r="H9399" i="12"/>
  <c r="F9399" i="12"/>
  <c r="J9398" i="12"/>
  <c r="I9398" i="12"/>
  <c r="H9398" i="12"/>
  <c r="F9398" i="12"/>
  <c r="J9397" i="12"/>
  <c r="I9397" i="12"/>
  <c r="H9397" i="12"/>
  <c r="F9397" i="12"/>
  <c r="J9396" i="12"/>
  <c r="I9396" i="12"/>
  <c r="H9396" i="12"/>
  <c r="F9396" i="12"/>
  <c r="J9395" i="12"/>
  <c r="I9395" i="12"/>
  <c r="H9395" i="12"/>
  <c r="F9395" i="12"/>
  <c r="J9394" i="12"/>
  <c r="I9394" i="12"/>
  <c r="H9394" i="12"/>
  <c r="F9394" i="12"/>
  <c r="J9393" i="12"/>
  <c r="I9393" i="12"/>
  <c r="H9393" i="12"/>
  <c r="F9393" i="12"/>
  <c r="J9392" i="12"/>
  <c r="I9392" i="12"/>
  <c r="H9392" i="12"/>
  <c r="F9392" i="12"/>
  <c r="J9391" i="12"/>
  <c r="I9391" i="12"/>
  <c r="H9391" i="12"/>
  <c r="F9391" i="12"/>
  <c r="J9390" i="12"/>
  <c r="I9390" i="12"/>
  <c r="H9390" i="12"/>
  <c r="F9390" i="12"/>
  <c r="J9389" i="12"/>
  <c r="I9389" i="12"/>
  <c r="H9389" i="12"/>
  <c r="F9389" i="12"/>
  <c r="J9388" i="12"/>
  <c r="I9388" i="12"/>
  <c r="H9388" i="12"/>
  <c r="F9388" i="12"/>
  <c r="J9387" i="12"/>
  <c r="I9387" i="12"/>
  <c r="H9387" i="12"/>
  <c r="F9387" i="12"/>
  <c r="J9386" i="12"/>
  <c r="I9386" i="12"/>
  <c r="H9386" i="12"/>
  <c r="F9386" i="12"/>
  <c r="J9385" i="12"/>
  <c r="I9385" i="12"/>
  <c r="H9385" i="12"/>
  <c r="F9385" i="12"/>
  <c r="J9384" i="12"/>
  <c r="I9384" i="12"/>
  <c r="H9384" i="12"/>
  <c r="F9384" i="12"/>
  <c r="J9383" i="12"/>
  <c r="I9383" i="12"/>
  <c r="H9383" i="12"/>
  <c r="F9383" i="12"/>
  <c r="J9382" i="12"/>
  <c r="I9382" i="12"/>
  <c r="H9382" i="12"/>
  <c r="F9382" i="12"/>
  <c r="J9381" i="12"/>
  <c r="I9381" i="12"/>
  <c r="H9381" i="12"/>
  <c r="F9381" i="12"/>
  <c r="J9380" i="12"/>
  <c r="I9380" i="12"/>
  <c r="H9380" i="12"/>
  <c r="F9380" i="12"/>
  <c r="J9379" i="12"/>
  <c r="I9379" i="12"/>
  <c r="H9379" i="12"/>
  <c r="F9379" i="12"/>
  <c r="J9378" i="12"/>
  <c r="I9378" i="12"/>
  <c r="H9378" i="12"/>
  <c r="F9378" i="12"/>
  <c r="J9377" i="12"/>
  <c r="I9377" i="12"/>
  <c r="H9377" i="12"/>
  <c r="F9377" i="12"/>
  <c r="J9376" i="12"/>
  <c r="I9376" i="12"/>
  <c r="H9376" i="12"/>
  <c r="F9376" i="12"/>
  <c r="J9375" i="12"/>
  <c r="I9375" i="12"/>
  <c r="H9375" i="12"/>
  <c r="F9375" i="12"/>
  <c r="J9374" i="12"/>
  <c r="I9374" i="12"/>
  <c r="H9374" i="12"/>
  <c r="F9374" i="12"/>
  <c r="J9373" i="12"/>
  <c r="I9373" i="12"/>
  <c r="H9373" i="12"/>
  <c r="F9373" i="12"/>
  <c r="J9372" i="12"/>
  <c r="I9372" i="12"/>
  <c r="H9372" i="12"/>
  <c r="F9372" i="12"/>
  <c r="J9371" i="12"/>
  <c r="I9371" i="12"/>
  <c r="H9371" i="12"/>
  <c r="F9371" i="12"/>
  <c r="J9370" i="12"/>
  <c r="I9370" i="12"/>
  <c r="H9370" i="12"/>
  <c r="F9370" i="12"/>
  <c r="J9369" i="12"/>
  <c r="I9369" i="12"/>
  <c r="H9369" i="12"/>
  <c r="F9369" i="12"/>
  <c r="J9368" i="12"/>
  <c r="I9368" i="12"/>
  <c r="H9368" i="12"/>
  <c r="F9368" i="12"/>
  <c r="J9367" i="12"/>
  <c r="I9367" i="12"/>
  <c r="H9367" i="12"/>
  <c r="F9367" i="12"/>
  <c r="J9366" i="12"/>
  <c r="I9366" i="12"/>
  <c r="H9366" i="12"/>
  <c r="F9366" i="12"/>
  <c r="J9365" i="12"/>
  <c r="I9365" i="12"/>
  <c r="H9365" i="12"/>
  <c r="F9365" i="12"/>
  <c r="J9364" i="12"/>
  <c r="I9364" i="12"/>
  <c r="H9364" i="12"/>
  <c r="F9364" i="12"/>
  <c r="J9363" i="12"/>
  <c r="I9363" i="12"/>
  <c r="H9363" i="12"/>
  <c r="F9363" i="12"/>
  <c r="J9362" i="12"/>
  <c r="I9362" i="12"/>
  <c r="H9362" i="12"/>
  <c r="F9362" i="12"/>
  <c r="J9361" i="12"/>
  <c r="I9361" i="12"/>
  <c r="H9361" i="12"/>
  <c r="F9361" i="12"/>
  <c r="J9360" i="12"/>
  <c r="I9360" i="12"/>
  <c r="H9360" i="12"/>
  <c r="F9360" i="12"/>
  <c r="J9359" i="12"/>
  <c r="I9359" i="12"/>
  <c r="H9359" i="12"/>
  <c r="F9359" i="12"/>
  <c r="J9358" i="12"/>
  <c r="I9358" i="12"/>
  <c r="H9358" i="12"/>
  <c r="F9358" i="12"/>
  <c r="J9357" i="12"/>
  <c r="I9357" i="12"/>
  <c r="H9357" i="12"/>
  <c r="F9357" i="12"/>
  <c r="J9356" i="12"/>
  <c r="I9356" i="12"/>
  <c r="H9356" i="12"/>
  <c r="F9356" i="12"/>
  <c r="J9355" i="12"/>
  <c r="I9355" i="12"/>
  <c r="H9355" i="12"/>
  <c r="F9355" i="12"/>
  <c r="J9354" i="12"/>
  <c r="I9354" i="12"/>
  <c r="H9354" i="12"/>
  <c r="F9354" i="12"/>
  <c r="J9353" i="12"/>
  <c r="I9353" i="12"/>
  <c r="H9353" i="12"/>
  <c r="F9353" i="12"/>
  <c r="J9352" i="12"/>
  <c r="I9352" i="12"/>
  <c r="H9352" i="12"/>
  <c r="F9352" i="12"/>
  <c r="J9351" i="12"/>
  <c r="I9351" i="12"/>
  <c r="H9351" i="12"/>
  <c r="F9351" i="12"/>
  <c r="J9350" i="12"/>
  <c r="I9350" i="12"/>
  <c r="H9350" i="12"/>
  <c r="F9350" i="12"/>
  <c r="J9349" i="12"/>
  <c r="I9349" i="12"/>
  <c r="H9349" i="12"/>
  <c r="F9349" i="12"/>
  <c r="J9348" i="12"/>
  <c r="I9348" i="12"/>
  <c r="H9348" i="12"/>
  <c r="F9348" i="12"/>
  <c r="J9347" i="12"/>
  <c r="I9347" i="12"/>
  <c r="H9347" i="12"/>
  <c r="F9347" i="12"/>
  <c r="J9346" i="12"/>
  <c r="I9346" i="12"/>
  <c r="H9346" i="12"/>
  <c r="F9346" i="12"/>
  <c r="J9345" i="12"/>
  <c r="I9345" i="12"/>
  <c r="H9345" i="12"/>
  <c r="F9345" i="12"/>
  <c r="J9344" i="12"/>
  <c r="I9344" i="12"/>
  <c r="H9344" i="12"/>
  <c r="F9344" i="12"/>
  <c r="J9343" i="12"/>
  <c r="I9343" i="12"/>
  <c r="H9343" i="12"/>
  <c r="F9343" i="12"/>
  <c r="J9342" i="12"/>
  <c r="I9342" i="12"/>
  <c r="H9342" i="12"/>
  <c r="F9342" i="12"/>
  <c r="J9341" i="12"/>
  <c r="I9341" i="12"/>
  <c r="H9341" i="12"/>
  <c r="F9341" i="12"/>
  <c r="J9340" i="12"/>
  <c r="I9340" i="12"/>
  <c r="H9340" i="12"/>
  <c r="F9340" i="12"/>
  <c r="J9339" i="12"/>
  <c r="I9339" i="12"/>
  <c r="H9339" i="12"/>
  <c r="F9339" i="12"/>
  <c r="J9338" i="12"/>
  <c r="I9338" i="12"/>
  <c r="H9338" i="12"/>
  <c r="F9338" i="12"/>
  <c r="J9337" i="12"/>
  <c r="I9337" i="12"/>
  <c r="H9337" i="12"/>
  <c r="F9337" i="12"/>
  <c r="J9336" i="12"/>
  <c r="I9336" i="12"/>
  <c r="H9336" i="12"/>
  <c r="F9336" i="12"/>
  <c r="J9335" i="12"/>
  <c r="I9335" i="12"/>
  <c r="H9335" i="12"/>
  <c r="F9335" i="12"/>
  <c r="J9334" i="12"/>
  <c r="I9334" i="12"/>
  <c r="H9334" i="12"/>
  <c r="F9334" i="12"/>
  <c r="J9333" i="12"/>
  <c r="I9333" i="12"/>
  <c r="H9333" i="12"/>
  <c r="F9333" i="12"/>
  <c r="J9332" i="12"/>
  <c r="I9332" i="12"/>
  <c r="H9332" i="12"/>
  <c r="F9332" i="12"/>
  <c r="J9331" i="12"/>
  <c r="I9331" i="12"/>
  <c r="H9331" i="12"/>
  <c r="F9331" i="12"/>
  <c r="J9330" i="12"/>
  <c r="I9330" i="12"/>
  <c r="H9330" i="12"/>
  <c r="F9330" i="12"/>
  <c r="J9329" i="12"/>
  <c r="I9329" i="12"/>
  <c r="H9329" i="12"/>
  <c r="F9329" i="12"/>
  <c r="J9328" i="12"/>
  <c r="I9328" i="12"/>
  <c r="H9328" i="12"/>
  <c r="F9328" i="12"/>
  <c r="J9327" i="12"/>
  <c r="I9327" i="12"/>
  <c r="H9327" i="12"/>
  <c r="F9327" i="12"/>
  <c r="J9326" i="12"/>
  <c r="I9326" i="12"/>
  <c r="H9326" i="12"/>
  <c r="F9326" i="12"/>
  <c r="J9325" i="12"/>
  <c r="I9325" i="12"/>
  <c r="H9325" i="12"/>
  <c r="F9325" i="12"/>
  <c r="J9324" i="12"/>
  <c r="I9324" i="12"/>
  <c r="H9324" i="12"/>
  <c r="F9324" i="12"/>
  <c r="J9323" i="12"/>
  <c r="I9323" i="12"/>
  <c r="H9323" i="12"/>
  <c r="F9323" i="12"/>
  <c r="J9322" i="12"/>
  <c r="I9322" i="12"/>
  <c r="H9322" i="12"/>
  <c r="F9322" i="12"/>
  <c r="J9321" i="12"/>
  <c r="I9321" i="12"/>
  <c r="H9321" i="12"/>
  <c r="F9321" i="12"/>
  <c r="J9320" i="12"/>
  <c r="I9320" i="12"/>
  <c r="H9320" i="12"/>
  <c r="F9320" i="12"/>
  <c r="J9319" i="12"/>
  <c r="I9319" i="12"/>
  <c r="H9319" i="12"/>
  <c r="F9319" i="12"/>
  <c r="J9318" i="12"/>
  <c r="I9318" i="12"/>
  <c r="H9318" i="12"/>
  <c r="F9318" i="12"/>
  <c r="J9317" i="12"/>
  <c r="I9317" i="12"/>
  <c r="H9317" i="12"/>
  <c r="F9317" i="12"/>
  <c r="J9316" i="12"/>
  <c r="I9316" i="12"/>
  <c r="H9316" i="12"/>
  <c r="F9316" i="12"/>
  <c r="J9315" i="12"/>
  <c r="I9315" i="12"/>
  <c r="H9315" i="12"/>
  <c r="F9315" i="12"/>
  <c r="J9314" i="12"/>
  <c r="I9314" i="12"/>
  <c r="H9314" i="12"/>
  <c r="F9314" i="12"/>
  <c r="J9313" i="12"/>
  <c r="I9313" i="12"/>
  <c r="H9313" i="12"/>
  <c r="F9313" i="12"/>
  <c r="J9312" i="12"/>
  <c r="I9312" i="12"/>
  <c r="H9312" i="12"/>
  <c r="F9312" i="12"/>
  <c r="J9311" i="12"/>
  <c r="I9311" i="12"/>
  <c r="H9311" i="12"/>
  <c r="F9311" i="12"/>
  <c r="J9310" i="12"/>
  <c r="I9310" i="12"/>
  <c r="H9310" i="12"/>
  <c r="F9310" i="12"/>
  <c r="J9309" i="12"/>
  <c r="I9309" i="12"/>
  <c r="H9309" i="12"/>
  <c r="F9309" i="12"/>
  <c r="J9308" i="12"/>
  <c r="I9308" i="12"/>
  <c r="H9308" i="12"/>
  <c r="F9308" i="12"/>
  <c r="J9307" i="12"/>
  <c r="I9307" i="12"/>
  <c r="H9307" i="12"/>
  <c r="F9307" i="12"/>
  <c r="J9306" i="12"/>
  <c r="I9306" i="12"/>
  <c r="H9306" i="12"/>
  <c r="F9306" i="12"/>
  <c r="J9305" i="12"/>
  <c r="I9305" i="12"/>
  <c r="H9305" i="12"/>
  <c r="F9305" i="12"/>
  <c r="J9304" i="12"/>
  <c r="I9304" i="12"/>
  <c r="H9304" i="12"/>
  <c r="F9304" i="12"/>
  <c r="J9303" i="12"/>
  <c r="I9303" i="12"/>
  <c r="H9303" i="12"/>
  <c r="F9303" i="12"/>
  <c r="J9302" i="12"/>
  <c r="I9302" i="12"/>
  <c r="H9302" i="12"/>
  <c r="F9302" i="12"/>
  <c r="J9301" i="12"/>
  <c r="I9301" i="12"/>
  <c r="H9301" i="12"/>
  <c r="F9301" i="12"/>
  <c r="J9300" i="12"/>
  <c r="I9300" i="12"/>
  <c r="H9300" i="12"/>
  <c r="F9300" i="12"/>
  <c r="J9299" i="12"/>
  <c r="I9299" i="12"/>
  <c r="H9299" i="12"/>
  <c r="F9299" i="12"/>
  <c r="J9298" i="12"/>
  <c r="I9298" i="12"/>
  <c r="H9298" i="12"/>
  <c r="F9298" i="12"/>
  <c r="J9297" i="12"/>
  <c r="I9297" i="12"/>
  <c r="H9297" i="12"/>
  <c r="F9297" i="12"/>
  <c r="J9296" i="12"/>
  <c r="I9296" i="12"/>
  <c r="H9296" i="12"/>
  <c r="F9296" i="12"/>
  <c r="J9295" i="12"/>
  <c r="I9295" i="12"/>
  <c r="H9295" i="12"/>
  <c r="F9295" i="12"/>
  <c r="J9294" i="12"/>
  <c r="I9294" i="12"/>
  <c r="H9294" i="12"/>
  <c r="F9294" i="12"/>
  <c r="J9293" i="12"/>
  <c r="I9293" i="12"/>
  <c r="H9293" i="12"/>
  <c r="F9293" i="12"/>
  <c r="J9292" i="12"/>
  <c r="I9292" i="12"/>
  <c r="H9292" i="12"/>
  <c r="F9292" i="12"/>
  <c r="J9291" i="12"/>
  <c r="I9291" i="12"/>
  <c r="H9291" i="12"/>
  <c r="F9291" i="12"/>
  <c r="J9290" i="12"/>
  <c r="I9290" i="12"/>
  <c r="H9290" i="12"/>
  <c r="F9290" i="12"/>
  <c r="J9289" i="12"/>
  <c r="I9289" i="12"/>
  <c r="H9289" i="12"/>
  <c r="F9289" i="12"/>
  <c r="J9288" i="12"/>
  <c r="I9288" i="12"/>
  <c r="H9288" i="12"/>
  <c r="F9288" i="12"/>
  <c r="J9287" i="12"/>
  <c r="I9287" i="12"/>
  <c r="H9287" i="12"/>
  <c r="F9287" i="12"/>
  <c r="J9286" i="12"/>
  <c r="I9286" i="12"/>
  <c r="H9286" i="12"/>
  <c r="F9286" i="12"/>
  <c r="J9285" i="12"/>
  <c r="I9285" i="12"/>
  <c r="H9285" i="12"/>
  <c r="F9285" i="12"/>
  <c r="J9284" i="12"/>
  <c r="I9284" i="12"/>
  <c r="H9284" i="12"/>
  <c r="F9284" i="12"/>
  <c r="J9283" i="12"/>
  <c r="I9283" i="12"/>
  <c r="H9283" i="12"/>
  <c r="F9283" i="12"/>
  <c r="J9282" i="12"/>
  <c r="I9282" i="12"/>
  <c r="H9282" i="12"/>
  <c r="F9282" i="12"/>
  <c r="J9281" i="12"/>
  <c r="I9281" i="12"/>
  <c r="H9281" i="12"/>
  <c r="F9281" i="12"/>
  <c r="J9280" i="12"/>
  <c r="I9280" i="12"/>
  <c r="H9280" i="12"/>
  <c r="F9280" i="12"/>
  <c r="J9279" i="12"/>
  <c r="I9279" i="12"/>
  <c r="H9279" i="12"/>
  <c r="F9279" i="12"/>
  <c r="J9278" i="12"/>
  <c r="I9278" i="12"/>
  <c r="H9278" i="12"/>
  <c r="F9278" i="12"/>
  <c r="J9277" i="12"/>
  <c r="I9277" i="12"/>
  <c r="H9277" i="12"/>
  <c r="F9277" i="12"/>
  <c r="J9276" i="12"/>
  <c r="I9276" i="12"/>
  <c r="H9276" i="12"/>
  <c r="F9276" i="12"/>
  <c r="J9275" i="12"/>
  <c r="I9275" i="12"/>
  <c r="H9275" i="12"/>
  <c r="F9275" i="12"/>
  <c r="J9274" i="12"/>
  <c r="I9274" i="12"/>
  <c r="H9274" i="12"/>
  <c r="F9274" i="12"/>
  <c r="J9273" i="12"/>
  <c r="I9273" i="12"/>
  <c r="H9273" i="12"/>
  <c r="F9273" i="12"/>
  <c r="J9272" i="12"/>
  <c r="I9272" i="12"/>
  <c r="H9272" i="12"/>
  <c r="F9272" i="12"/>
  <c r="J9271" i="12"/>
  <c r="I9271" i="12"/>
  <c r="H9271" i="12"/>
  <c r="F9271" i="12"/>
  <c r="J9270" i="12"/>
  <c r="I9270" i="12"/>
  <c r="H9270" i="12"/>
  <c r="F9270" i="12"/>
  <c r="J9269" i="12"/>
  <c r="I9269" i="12"/>
  <c r="H9269" i="12"/>
  <c r="F9269" i="12"/>
  <c r="J9268" i="12"/>
  <c r="I9268" i="12"/>
  <c r="H9268" i="12"/>
  <c r="F9268" i="12"/>
  <c r="J9267" i="12"/>
  <c r="I9267" i="12"/>
  <c r="H9267" i="12"/>
  <c r="F9267" i="12"/>
  <c r="J9266" i="12"/>
  <c r="I9266" i="12"/>
  <c r="H9266" i="12"/>
  <c r="F9266" i="12"/>
  <c r="J9265" i="12"/>
  <c r="I9265" i="12"/>
  <c r="H9265" i="12"/>
  <c r="F9265" i="12"/>
  <c r="J9264" i="12"/>
  <c r="I9264" i="12"/>
  <c r="H9264" i="12"/>
  <c r="F9264" i="12"/>
  <c r="J9263" i="12"/>
  <c r="I9263" i="12"/>
  <c r="H9263" i="12"/>
  <c r="F9263" i="12"/>
  <c r="J9262" i="12"/>
  <c r="I9262" i="12"/>
  <c r="H9262" i="12"/>
  <c r="F9262" i="12"/>
  <c r="J9261" i="12"/>
  <c r="I9261" i="12"/>
  <c r="H9261" i="12"/>
  <c r="F9261" i="12"/>
  <c r="J9260" i="12"/>
  <c r="I9260" i="12"/>
  <c r="H9260" i="12"/>
  <c r="F9260" i="12"/>
  <c r="J9259" i="12"/>
  <c r="I9259" i="12"/>
  <c r="H9259" i="12"/>
  <c r="F9259" i="12"/>
  <c r="J9258" i="12"/>
  <c r="I9258" i="12"/>
  <c r="H9258" i="12"/>
  <c r="F9258" i="12"/>
  <c r="J9257" i="12"/>
  <c r="I9257" i="12"/>
  <c r="H9257" i="12"/>
  <c r="F9257" i="12"/>
  <c r="J9256" i="12"/>
  <c r="I9256" i="12"/>
  <c r="H9256" i="12"/>
  <c r="F9256" i="12"/>
  <c r="J9255" i="12"/>
  <c r="I9255" i="12"/>
  <c r="H9255" i="12"/>
  <c r="F9255" i="12"/>
  <c r="J9254" i="12"/>
  <c r="I9254" i="12"/>
  <c r="H9254" i="12"/>
  <c r="F9254" i="12"/>
  <c r="J9253" i="12"/>
  <c r="I9253" i="12"/>
  <c r="H9253" i="12"/>
  <c r="F9253" i="12"/>
  <c r="J9252" i="12"/>
  <c r="I9252" i="12"/>
  <c r="H9252" i="12"/>
  <c r="F9252" i="12"/>
  <c r="J9251" i="12"/>
  <c r="I9251" i="12"/>
  <c r="H9251" i="12"/>
  <c r="F9251" i="12"/>
  <c r="J9250" i="12"/>
  <c r="I9250" i="12"/>
  <c r="H9250" i="12"/>
  <c r="F9250" i="12"/>
  <c r="J9249" i="12"/>
  <c r="I9249" i="12"/>
  <c r="H9249" i="12"/>
  <c r="F9249" i="12"/>
  <c r="J9248" i="12"/>
  <c r="I9248" i="12"/>
  <c r="H9248" i="12"/>
  <c r="F9248" i="12"/>
  <c r="J9247" i="12"/>
  <c r="I9247" i="12"/>
  <c r="H9247" i="12"/>
  <c r="F9247" i="12"/>
  <c r="J9246" i="12"/>
  <c r="I9246" i="12"/>
  <c r="H9246" i="12"/>
  <c r="F9246" i="12"/>
  <c r="J9245" i="12"/>
  <c r="I9245" i="12"/>
  <c r="H9245" i="12"/>
  <c r="F9245" i="12"/>
  <c r="J9244" i="12"/>
  <c r="I9244" i="12"/>
  <c r="H9244" i="12"/>
  <c r="F9244" i="12"/>
  <c r="J9243" i="12"/>
  <c r="I9243" i="12"/>
  <c r="H9243" i="12"/>
  <c r="F9243" i="12"/>
  <c r="J9242" i="12"/>
  <c r="I9242" i="12"/>
  <c r="H9242" i="12"/>
  <c r="F9242" i="12"/>
  <c r="J9241" i="12"/>
  <c r="I9241" i="12"/>
  <c r="H9241" i="12"/>
  <c r="F9241" i="12"/>
  <c r="J9240" i="12"/>
  <c r="I9240" i="12"/>
  <c r="H9240" i="12"/>
  <c r="F9240" i="12"/>
  <c r="J9239" i="12"/>
  <c r="I9239" i="12"/>
  <c r="H9239" i="12"/>
  <c r="F9239" i="12"/>
  <c r="J9238" i="12"/>
  <c r="I9238" i="12"/>
  <c r="H9238" i="12"/>
  <c r="F9238" i="12"/>
  <c r="J9237" i="12"/>
  <c r="I9237" i="12"/>
  <c r="H9237" i="12"/>
  <c r="F9237" i="12"/>
  <c r="J9236" i="12"/>
  <c r="I9236" i="12"/>
  <c r="H9236" i="12"/>
  <c r="F9236" i="12"/>
  <c r="J9235" i="12"/>
  <c r="I9235" i="12"/>
  <c r="H9235" i="12"/>
  <c r="F9235" i="12"/>
  <c r="J9234" i="12"/>
  <c r="I9234" i="12"/>
  <c r="H9234" i="12"/>
  <c r="F9234" i="12"/>
  <c r="J9233" i="12"/>
  <c r="I9233" i="12"/>
  <c r="H9233" i="12"/>
  <c r="F9233" i="12"/>
  <c r="J9232" i="12"/>
  <c r="I9232" i="12"/>
  <c r="H9232" i="12"/>
  <c r="F9232" i="12"/>
  <c r="J9231" i="12"/>
  <c r="I9231" i="12"/>
  <c r="H9231" i="12"/>
  <c r="F9231" i="12"/>
  <c r="J9230" i="12"/>
  <c r="I9230" i="12"/>
  <c r="H9230" i="12"/>
  <c r="F9230" i="12"/>
  <c r="J9229" i="12"/>
  <c r="I9229" i="12"/>
  <c r="H9229" i="12"/>
  <c r="F9229" i="12"/>
  <c r="J9228" i="12"/>
  <c r="I9228" i="12"/>
  <c r="H9228" i="12"/>
  <c r="F9228" i="12"/>
  <c r="J9227" i="12"/>
  <c r="I9227" i="12"/>
  <c r="H9227" i="12"/>
  <c r="F9227" i="12"/>
  <c r="J9226" i="12"/>
  <c r="I9226" i="12"/>
  <c r="H9226" i="12"/>
  <c r="F9226" i="12"/>
  <c r="J9225" i="12"/>
  <c r="I9225" i="12"/>
  <c r="H9225" i="12"/>
  <c r="F9225" i="12"/>
  <c r="J9224" i="12"/>
  <c r="I9224" i="12"/>
  <c r="H9224" i="12"/>
  <c r="F9224" i="12"/>
  <c r="J9223" i="12"/>
  <c r="I9223" i="12"/>
  <c r="H9223" i="12"/>
  <c r="F9223" i="12"/>
  <c r="J9222" i="12"/>
  <c r="I9222" i="12"/>
  <c r="H9222" i="12"/>
  <c r="F9222" i="12"/>
  <c r="J9221" i="12"/>
  <c r="I9221" i="12"/>
  <c r="H9221" i="12"/>
  <c r="F9221" i="12"/>
  <c r="J9220" i="12"/>
  <c r="I9220" i="12"/>
  <c r="H9220" i="12"/>
  <c r="F9220" i="12"/>
  <c r="J9219" i="12"/>
  <c r="I9219" i="12"/>
  <c r="H9219" i="12"/>
  <c r="F9219" i="12"/>
  <c r="J9218" i="12"/>
  <c r="I9218" i="12"/>
  <c r="H9218" i="12"/>
  <c r="F9218" i="12"/>
  <c r="J9217" i="12"/>
  <c r="I9217" i="12"/>
  <c r="H9217" i="12"/>
  <c r="F9217" i="12"/>
  <c r="J9216" i="12"/>
  <c r="I9216" i="12"/>
  <c r="H9216" i="12"/>
  <c r="F9216" i="12"/>
  <c r="J9215" i="12"/>
  <c r="I9215" i="12"/>
  <c r="H9215" i="12"/>
  <c r="F9215" i="12"/>
  <c r="J9214" i="12"/>
  <c r="I9214" i="12"/>
  <c r="H9214" i="12"/>
  <c r="F9214" i="12"/>
  <c r="J9213" i="12"/>
  <c r="I9213" i="12"/>
  <c r="H9213" i="12"/>
  <c r="F9213" i="12"/>
  <c r="J9212" i="12"/>
  <c r="I9212" i="12"/>
  <c r="H9212" i="12"/>
  <c r="F9212" i="12"/>
  <c r="J9211" i="12"/>
  <c r="I9211" i="12"/>
  <c r="H9211" i="12"/>
  <c r="F9211" i="12"/>
  <c r="J9210" i="12"/>
  <c r="I9210" i="12"/>
  <c r="H9210" i="12"/>
  <c r="F9210" i="12"/>
  <c r="J9209" i="12"/>
  <c r="I9209" i="12"/>
  <c r="H9209" i="12"/>
  <c r="F9209" i="12"/>
  <c r="J9208" i="12"/>
  <c r="I9208" i="12"/>
  <c r="H9208" i="12"/>
  <c r="F9208" i="12"/>
  <c r="J9207" i="12"/>
  <c r="I9207" i="12"/>
  <c r="H9207" i="12"/>
  <c r="F9207" i="12"/>
  <c r="J9206" i="12"/>
  <c r="I9206" i="12"/>
  <c r="H9206" i="12"/>
  <c r="F9206" i="12"/>
  <c r="J9205" i="12"/>
  <c r="I9205" i="12"/>
  <c r="H9205" i="12"/>
  <c r="F9205" i="12"/>
  <c r="J9204" i="12"/>
  <c r="I9204" i="12"/>
  <c r="H9204" i="12"/>
  <c r="F9204" i="12"/>
  <c r="J9203" i="12"/>
  <c r="I9203" i="12"/>
  <c r="H9203" i="12"/>
  <c r="F9203" i="12"/>
  <c r="J9202" i="12"/>
  <c r="I9202" i="12"/>
  <c r="H9202" i="12"/>
  <c r="F9202" i="12"/>
  <c r="J9201" i="12"/>
  <c r="I9201" i="12"/>
  <c r="H9201" i="12"/>
  <c r="F9201" i="12"/>
  <c r="J9200" i="12"/>
  <c r="I9200" i="12"/>
  <c r="H9200" i="12"/>
  <c r="F9200" i="12"/>
  <c r="J9199" i="12"/>
  <c r="I9199" i="12"/>
  <c r="H9199" i="12"/>
  <c r="F9199" i="12"/>
  <c r="J9198" i="12"/>
  <c r="I9198" i="12"/>
  <c r="H9198" i="12"/>
  <c r="F9198" i="12"/>
  <c r="J9197" i="12"/>
  <c r="I9197" i="12"/>
  <c r="H9197" i="12"/>
  <c r="F9197" i="12"/>
  <c r="J9196" i="12"/>
  <c r="I9196" i="12"/>
  <c r="H9196" i="12"/>
  <c r="F9196" i="12"/>
  <c r="J9195" i="12"/>
  <c r="I9195" i="12"/>
  <c r="H9195" i="12"/>
  <c r="F9195" i="12"/>
  <c r="J9194" i="12"/>
  <c r="I9194" i="12"/>
  <c r="H9194" i="12"/>
  <c r="F9194" i="12"/>
  <c r="J9193" i="12"/>
  <c r="I9193" i="12"/>
  <c r="H9193" i="12"/>
  <c r="F9193" i="12"/>
  <c r="J9192" i="12"/>
  <c r="I9192" i="12"/>
  <c r="H9192" i="12"/>
  <c r="F9192" i="12"/>
  <c r="J9191" i="12"/>
  <c r="I9191" i="12"/>
  <c r="H9191" i="12"/>
  <c r="F9191" i="12"/>
  <c r="J9190" i="12"/>
  <c r="I9190" i="12"/>
  <c r="H9190" i="12"/>
  <c r="F9190" i="12"/>
  <c r="J9189" i="12"/>
  <c r="I9189" i="12"/>
  <c r="H9189" i="12"/>
  <c r="F9189" i="12"/>
  <c r="J9188" i="12"/>
  <c r="I9188" i="12"/>
  <c r="H9188" i="12"/>
  <c r="F9188" i="12"/>
  <c r="J9187" i="12"/>
  <c r="I9187" i="12"/>
  <c r="H9187" i="12"/>
  <c r="F9187" i="12"/>
  <c r="J9186" i="12"/>
  <c r="I9186" i="12"/>
  <c r="H9186" i="12"/>
  <c r="F9186" i="12"/>
  <c r="J9185" i="12"/>
  <c r="I9185" i="12"/>
  <c r="H9185" i="12"/>
  <c r="F9185" i="12"/>
  <c r="J9184" i="12"/>
  <c r="I9184" i="12"/>
  <c r="H9184" i="12"/>
  <c r="F9184" i="12"/>
  <c r="J9183" i="12"/>
  <c r="I9183" i="12"/>
  <c r="H9183" i="12"/>
  <c r="F9183" i="12"/>
  <c r="J9182" i="12"/>
  <c r="I9182" i="12"/>
  <c r="H9182" i="12"/>
  <c r="F9182" i="12"/>
  <c r="J9181" i="12"/>
  <c r="I9181" i="12"/>
  <c r="H9181" i="12"/>
  <c r="F9181" i="12"/>
  <c r="J9180" i="12"/>
  <c r="I9180" i="12"/>
  <c r="H9180" i="12"/>
  <c r="F9180" i="12"/>
  <c r="J9179" i="12"/>
  <c r="I9179" i="12"/>
  <c r="H9179" i="12"/>
  <c r="F9179" i="12"/>
  <c r="J9178" i="12"/>
  <c r="I9178" i="12"/>
  <c r="H9178" i="12"/>
  <c r="F9178" i="12"/>
  <c r="J9177" i="12"/>
  <c r="I9177" i="12"/>
  <c r="H9177" i="12"/>
  <c r="F9177" i="12"/>
  <c r="J9176" i="12"/>
  <c r="I9176" i="12"/>
  <c r="H9176" i="12"/>
  <c r="F9176" i="12"/>
  <c r="J9175" i="12"/>
  <c r="I9175" i="12"/>
  <c r="H9175" i="12"/>
  <c r="F9175" i="12"/>
  <c r="J9174" i="12"/>
  <c r="I9174" i="12"/>
  <c r="H9174" i="12"/>
  <c r="F9174" i="12"/>
  <c r="J9173" i="12"/>
  <c r="I9173" i="12"/>
  <c r="H9173" i="12"/>
  <c r="F9173" i="12"/>
  <c r="J9172" i="12"/>
  <c r="I9172" i="12"/>
  <c r="H9172" i="12"/>
  <c r="F9172" i="12"/>
  <c r="J9171" i="12"/>
  <c r="I9171" i="12"/>
  <c r="H9171" i="12"/>
  <c r="F9171" i="12"/>
  <c r="J9170" i="12"/>
  <c r="I9170" i="12"/>
  <c r="H9170" i="12"/>
  <c r="F9170" i="12"/>
  <c r="J9169" i="12"/>
  <c r="I9169" i="12"/>
  <c r="H9169" i="12"/>
  <c r="F9169" i="12"/>
  <c r="J9168" i="12"/>
  <c r="I9168" i="12"/>
  <c r="H9168" i="12"/>
  <c r="F9168" i="12"/>
  <c r="J9167" i="12"/>
  <c r="I9167" i="12"/>
  <c r="H9167" i="12"/>
  <c r="F9167" i="12"/>
  <c r="J9166" i="12"/>
  <c r="I9166" i="12"/>
  <c r="H9166" i="12"/>
  <c r="F9166" i="12"/>
  <c r="J9165" i="12"/>
  <c r="I9165" i="12"/>
  <c r="H9165" i="12"/>
  <c r="F9165" i="12"/>
  <c r="J9164" i="12"/>
  <c r="I9164" i="12"/>
  <c r="H9164" i="12"/>
  <c r="F9164" i="12"/>
  <c r="J9163" i="12"/>
  <c r="I9163" i="12"/>
  <c r="H9163" i="12"/>
  <c r="F9163" i="12"/>
  <c r="J9162" i="12"/>
  <c r="I9162" i="12"/>
  <c r="H9162" i="12"/>
  <c r="F9162" i="12"/>
  <c r="J9161" i="12"/>
  <c r="I9161" i="12"/>
  <c r="H9161" i="12"/>
  <c r="F9161" i="12"/>
  <c r="J9160" i="12"/>
  <c r="I9160" i="12"/>
  <c r="H9160" i="12"/>
  <c r="F9160" i="12"/>
  <c r="J9159" i="12"/>
  <c r="I9159" i="12"/>
  <c r="H9159" i="12"/>
  <c r="F9159" i="12"/>
  <c r="J9158" i="12"/>
  <c r="I9158" i="12"/>
  <c r="H9158" i="12"/>
  <c r="F9158" i="12"/>
  <c r="J9157" i="12"/>
  <c r="I9157" i="12"/>
  <c r="H9157" i="12"/>
  <c r="F9157" i="12"/>
  <c r="J9156" i="12"/>
  <c r="I9156" i="12"/>
  <c r="H9156" i="12"/>
  <c r="F9156" i="12"/>
  <c r="J9155" i="12"/>
  <c r="I9155" i="12"/>
  <c r="H9155" i="12"/>
  <c r="F9155" i="12"/>
  <c r="J9154" i="12"/>
  <c r="I9154" i="12"/>
  <c r="H9154" i="12"/>
  <c r="F9154" i="12"/>
  <c r="J9153" i="12"/>
  <c r="I9153" i="12"/>
  <c r="H9153" i="12"/>
  <c r="F9153" i="12"/>
  <c r="J9152" i="12"/>
  <c r="I9152" i="12"/>
  <c r="H9152" i="12"/>
  <c r="F9152" i="12"/>
  <c r="J9151" i="12"/>
  <c r="I9151" i="12"/>
  <c r="H9151" i="12"/>
  <c r="F9151" i="12"/>
  <c r="J9150" i="12"/>
  <c r="I9150" i="12"/>
  <c r="H9150" i="12"/>
  <c r="F9150" i="12"/>
  <c r="J9149" i="12"/>
  <c r="I9149" i="12"/>
  <c r="H9149" i="12"/>
  <c r="F9149" i="12"/>
  <c r="J9148" i="12"/>
  <c r="I9148" i="12"/>
  <c r="H9148" i="12"/>
  <c r="F9148" i="12"/>
  <c r="J9147" i="12"/>
  <c r="I9147" i="12"/>
  <c r="H9147" i="12"/>
  <c r="F9147" i="12"/>
  <c r="J9146" i="12"/>
  <c r="I9146" i="12"/>
  <c r="H9146" i="12"/>
  <c r="F9146" i="12"/>
  <c r="J9145" i="12"/>
  <c r="I9145" i="12"/>
  <c r="H9145" i="12"/>
  <c r="F9145" i="12"/>
  <c r="J9144" i="12"/>
  <c r="I9144" i="12"/>
  <c r="H9144" i="12"/>
  <c r="F9144" i="12"/>
  <c r="J9143" i="12"/>
  <c r="I9143" i="12"/>
  <c r="H9143" i="12"/>
  <c r="F9143" i="12"/>
  <c r="J9142" i="12"/>
  <c r="I9142" i="12"/>
  <c r="H9142" i="12"/>
  <c r="F9142" i="12"/>
  <c r="J9141" i="12"/>
  <c r="I9141" i="12"/>
  <c r="H9141" i="12"/>
  <c r="F9141" i="12"/>
  <c r="J9140" i="12"/>
  <c r="I9140" i="12"/>
  <c r="H9140" i="12"/>
  <c r="F9140" i="12"/>
  <c r="J9139" i="12"/>
  <c r="I9139" i="12"/>
  <c r="H9139" i="12"/>
  <c r="F9139" i="12"/>
  <c r="J9138" i="12"/>
  <c r="I9138" i="12"/>
  <c r="H9138" i="12"/>
  <c r="F9138" i="12"/>
  <c r="J9137" i="12"/>
  <c r="I9137" i="12"/>
  <c r="H9137" i="12"/>
  <c r="F9137" i="12"/>
  <c r="J9136" i="12"/>
  <c r="I9136" i="12"/>
  <c r="H9136" i="12"/>
  <c r="F9136" i="12"/>
  <c r="J9135" i="12"/>
  <c r="I9135" i="12"/>
  <c r="H9135" i="12"/>
  <c r="F9135" i="12"/>
  <c r="J9134" i="12"/>
  <c r="I9134" i="12"/>
  <c r="H9134" i="12"/>
  <c r="F9134" i="12"/>
  <c r="J9133" i="12"/>
  <c r="I9133" i="12"/>
  <c r="H9133" i="12"/>
  <c r="F9133" i="12"/>
  <c r="J9132" i="12"/>
  <c r="I9132" i="12"/>
  <c r="H9132" i="12"/>
  <c r="F9132" i="12"/>
  <c r="J9131" i="12"/>
  <c r="I9131" i="12"/>
  <c r="H9131" i="12"/>
  <c r="F9131" i="12"/>
  <c r="J9130" i="12"/>
  <c r="I9130" i="12"/>
  <c r="H9130" i="12"/>
  <c r="F9130" i="12"/>
  <c r="J9129" i="12"/>
  <c r="I9129" i="12"/>
  <c r="H9129" i="12"/>
  <c r="F9129" i="12"/>
  <c r="J9128" i="12"/>
  <c r="I9128" i="12"/>
  <c r="H9128" i="12"/>
  <c r="F9128" i="12"/>
  <c r="J9127" i="12"/>
  <c r="I9127" i="12"/>
  <c r="H9127" i="12"/>
  <c r="F9127" i="12"/>
  <c r="J9126" i="12"/>
  <c r="I9126" i="12"/>
  <c r="H9126" i="12"/>
  <c r="F9126" i="12"/>
  <c r="J9125" i="12"/>
  <c r="I9125" i="12"/>
  <c r="H9125" i="12"/>
  <c r="F9125" i="12"/>
  <c r="J9124" i="12"/>
  <c r="I9124" i="12"/>
  <c r="H9124" i="12"/>
  <c r="F9124" i="12"/>
  <c r="J9123" i="12"/>
  <c r="I9123" i="12"/>
  <c r="H9123" i="12"/>
  <c r="F9123" i="12"/>
  <c r="J9122" i="12"/>
  <c r="I9122" i="12"/>
  <c r="H9122" i="12"/>
  <c r="F9122" i="12"/>
  <c r="J9121" i="12"/>
  <c r="I9121" i="12"/>
  <c r="H9121" i="12"/>
  <c r="F9121" i="12"/>
  <c r="J9120" i="12"/>
  <c r="I9120" i="12"/>
  <c r="H9120" i="12"/>
  <c r="F9120" i="12"/>
  <c r="J9119" i="12"/>
  <c r="I9119" i="12"/>
  <c r="H9119" i="12"/>
  <c r="F9119" i="12"/>
  <c r="J9118" i="12"/>
  <c r="I9118" i="12"/>
  <c r="H9118" i="12"/>
  <c r="F9118" i="12"/>
  <c r="J9117" i="12"/>
  <c r="I9117" i="12"/>
  <c r="H9117" i="12"/>
  <c r="F9117" i="12"/>
  <c r="J9116" i="12"/>
  <c r="I9116" i="12"/>
  <c r="H9116" i="12"/>
  <c r="F9116" i="12"/>
  <c r="J9115" i="12"/>
  <c r="I9115" i="12"/>
  <c r="H9115" i="12"/>
  <c r="F9115" i="12"/>
  <c r="J9114" i="12"/>
  <c r="I9114" i="12"/>
  <c r="H9114" i="12"/>
  <c r="F9114" i="12"/>
  <c r="J9113" i="12"/>
  <c r="I9113" i="12"/>
  <c r="H9113" i="12"/>
  <c r="F9113" i="12"/>
  <c r="J9112" i="12"/>
  <c r="I9112" i="12"/>
  <c r="H9112" i="12"/>
  <c r="F9112" i="12"/>
  <c r="J9111" i="12"/>
  <c r="I9111" i="12"/>
  <c r="H9111" i="12"/>
  <c r="F9111" i="12"/>
  <c r="J9110" i="12"/>
  <c r="I9110" i="12"/>
  <c r="H9110" i="12"/>
  <c r="F9110" i="12"/>
  <c r="J9109" i="12"/>
  <c r="I9109" i="12"/>
  <c r="H9109" i="12"/>
  <c r="F9109" i="12"/>
  <c r="J9108" i="12"/>
  <c r="I9108" i="12"/>
  <c r="H9108" i="12"/>
  <c r="F9108" i="12"/>
  <c r="J9107" i="12"/>
  <c r="I9107" i="12"/>
  <c r="H9107" i="12"/>
  <c r="F9107" i="12"/>
  <c r="J9106" i="12"/>
  <c r="I9106" i="12"/>
  <c r="H9106" i="12"/>
  <c r="F9106" i="12"/>
  <c r="J9105" i="12"/>
  <c r="I9105" i="12"/>
  <c r="H9105" i="12"/>
  <c r="F9105" i="12"/>
  <c r="J9104" i="12"/>
  <c r="I9104" i="12"/>
  <c r="H9104" i="12"/>
  <c r="F9104" i="12"/>
  <c r="J9103" i="12"/>
  <c r="I9103" i="12"/>
  <c r="H9103" i="12"/>
  <c r="F9103" i="12"/>
  <c r="J9102" i="12"/>
  <c r="I9102" i="12"/>
  <c r="H9102" i="12"/>
  <c r="F9102" i="12"/>
  <c r="J9101" i="12"/>
  <c r="I9101" i="12"/>
  <c r="H9101" i="12"/>
  <c r="F9101" i="12"/>
  <c r="J9100" i="12"/>
  <c r="I9100" i="12"/>
  <c r="H9100" i="12"/>
  <c r="F9100" i="12"/>
  <c r="J9099" i="12"/>
  <c r="I9099" i="12"/>
  <c r="H9099" i="12"/>
  <c r="F9099" i="12"/>
  <c r="J9098" i="12"/>
  <c r="I9098" i="12"/>
  <c r="H9098" i="12"/>
  <c r="F9098" i="12"/>
  <c r="J9097" i="12"/>
  <c r="I9097" i="12"/>
  <c r="H9097" i="12"/>
  <c r="F9097" i="12"/>
  <c r="J9096" i="12"/>
  <c r="I9096" i="12"/>
  <c r="H9096" i="12"/>
  <c r="F9096" i="12"/>
  <c r="J9095" i="12"/>
  <c r="I9095" i="12"/>
  <c r="H9095" i="12"/>
  <c r="F9095" i="12"/>
  <c r="J9094" i="12"/>
  <c r="I9094" i="12"/>
  <c r="H9094" i="12"/>
  <c r="F9094" i="12"/>
  <c r="J9093" i="12"/>
  <c r="I9093" i="12"/>
  <c r="H9093" i="12"/>
  <c r="F9093" i="12"/>
  <c r="J9092" i="12"/>
  <c r="I9092" i="12"/>
  <c r="H9092" i="12"/>
  <c r="F9092" i="12"/>
  <c r="J9091" i="12"/>
  <c r="I9091" i="12"/>
  <c r="H9091" i="12"/>
  <c r="F9091" i="12"/>
  <c r="J9090" i="12"/>
  <c r="I9090" i="12"/>
  <c r="H9090" i="12"/>
  <c r="F9090" i="12"/>
  <c r="J9089" i="12"/>
  <c r="I9089" i="12"/>
  <c r="H9089" i="12"/>
  <c r="F9089" i="12"/>
  <c r="J9088" i="12"/>
  <c r="I9088" i="12"/>
  <c r="H9088" i="12"/>
  <c r="F9088" i="12"/>
  <c r="J9087" i="12"/>
  <c r="I9087" i="12"/>
  <c r="H9087" i="12"/>
  <c r="F9087" i="12"/>
  <c r="J9086" i="12"/>
  <c r="I9086" i="12"/>
  <c r="H9086" i="12"/>
  <c r="F9086" i="12"/>
  <c r="J9085" i="12"/>
  <c r="I9085" i="12"/>
  <c r="H9085" i="12"/>
  <c r="F9085" i="12"/>
  <c r="J9084" i="12"/>
  <c r="I9084" i="12"/>
  <c r="H9084" i="12"/>
  <c r="F9084" i="12"/>
  <c r="J9083" i="12"/>
  <c r="I9083" i="12"/>
  <c r="H9083" i="12"/>
  <c r="F9083" i="12"/>
  <c r="J9082" i="12"/>
  <c r="I9082" i="12"/>
  <c r="H9082" i="12"/>
  <c r="F9082" i="12"/>
  <c r="J9081" i="12"/>
  <c r="I9081" i="12"/>
  <c r="H9081" i="12"/>
  <c r="F9081" i="12"/>
  <c r="J9080" i="12"/>
  <c r="I9080" i="12"/>
  <c r="H9080" i="12"/>
  <c r="F9080" i="12"/>
  <c r="J9079" i="12"/>
  <c r="I9079" i="12"/>
  <c r="H9079" i="12"/>
  <c r="F9079" i="12"/>
  <c r="J9078" i="12"/>
  <c r="I9078" i="12"/>
  <c r="H9078" i="12"/>
  <c r="F9078" i="12"/>
  <c r="J9077" i="12"/>
  <c r="I9077" i="12"/>
  <c r="H9077" i="12"/>
  <c r="F9077" i="12"/>
  <c r="J9076" i="12"/>
  <c r="I9076" i="12"/>
  <c r="H9076" i="12"/>
  <c r="F9076" i="12"/>
  <c r="J9075" i="12"/>
  <c r="I9075" i="12"/>
  <c r="H9075" i="12"/>
  <c r="F9075" i="12"/>
  <c r="J9074" i="12"/>
  <c r="I9074" i="12"/>
  <c r="H9074" i="12"/>
  <c r="F9074" i="12"/>
  <c r="J9073" i="12"/>
  <c r="I9073" i="12"/>
  <c r="H9073" i="12"/>
  <c r="F9073" i="12"/>
  <c r="J9072" i="12"/>
  <c r="I9072" i="12"/>
  <c r="H9072" i="12"/>
  <c r="F9072" i="12"/>
  <c r="J9071" i="12"/>
  <c r="I9071" i="12"/>
  <c r="H9071" i="12"/>
  <c r="F9071" i="12"/>
  <c r="J9070" i="12"/>
  <c r="I9070" i="12"/>
  <c r="H9070" i="12"/>
  <c r="F9070" i="12"/>
  <c r="J9069" i="12"/>
  <c r="I9069" i="12"/>
  <c r="H9069" i="12"/>
  <c r="F9069" i="12"/>
  <c r="J9068" i="12"/>
  <c r="I9068" i="12"/>
  <c r="H9068" i="12"/>
  <c r="F9068" i="12"/>
  <c r="J9067" i="12"/>
  <c r="I9067" i="12"/>
  <c r="H9067" i="12"/>
  <c r="F9067" i="12"/>
  <c r="J9066" i="12"/>
  <c r="I9066" i="12"/>
  <c r="H9066" i="12"/>
  <c r="F9066" i="12"/>
  <c r="J9065" i="12"/>
  <c r="I9065" i="12"/>
  <c r="H9065" i="12"/>
  <c r="F9065" i="12"/>
  <c r="J9064" i="12"/>
  <c r="I9064" i="12"/>
  <c r="H9064" i="12"/>
  <c r="F9064" i="12"/>
  <c r="J9063" i="12"/>
  <c r="I9063" i="12"/>
  <c r="H9063" i="12"/>
  <c r="F9063" i="12"/>
  <c r="J9062" i="12"/>
  <c r="I9062" i="12"/>
  <c r="H9062" i="12"/>
  <c r="F9062" i="12"/>
  <c r="J9061" i="12"/>
  <c r="I9061" i="12"/>
  <c r="H9061" i="12"/>
  <c r="F9061" i="12"/>
  <c r="J9060" i="12"/>
  <c r="I9060" i="12"/>
  <c r="H9060" i="12"/>
  <c r="F9060" i="12"/>
  <c r="J9059" i="12"/>
  <c r="I9059" i="12"/>
  <c r="H9059" i="12"/>
  <c r="F9059" i="12"/>
  <c r="J9058" i="12"/>
  <c r="I9058" i="12"/>
  <c r="H9058" i="12"/>
  <c r="F9058" i="12"/>
  <c r="J9057" i="12"/>
  <c r="I9057" i="12"/>
  <c r="H9057" i="12"/>
  <c r="F9057" i="12"/>
  <c r="J9056" i="12"/>
  <c r="I9056" i="12"/>
  <c r="H9056" i="12"/>
  <c r="F9056" i="12"/>
  <c r="J9055" i="12"/>
  <c r="I9055" i="12"/>
  <c r="H9055" i="12"/>
  <c r="F9055" i="12"/>
  <c r="J9054" i="12"/>
  <c r="I9054" i="12"/>
  <c r="H9054" i="12"/>
  <c r="F9054" i="12"/>
  <c r="J9053" i="12"/>
  <c r="I9053" i="12"/>
  <c r="H9053" i="12"/>
  <c r="F9053" i="12"/>
  <c r="J9052" i="12"/>
  <c r="I9052" i="12"/>
  <c r="H9052" i="12"/>
  <c r="F9052" i="12"/>
  <c r="J9051" i="12"/>
  <c r="I9051" i="12"/>
  <c r="H9051" i="12"/>
  <c r="F9051" i="12"/>
  <c r="J9050" i="12"/>
  <c r="I9050" i="12"/>
  <c r="H9050" i="12"/>
  <c r="F9050" i="12"/>
  <c r="J9049" i="12"/>
  <c r="I9049" i="12"/>
  <c r="H9049" i="12"/>
  <c r="F9049" i="12"/>
  <c r="J9048" i="12"/>
  <c r="I9048" i="12"/>
  <c r="H9048" i="12"/>
  <c r="F9048" i="12"/>
  <c r="J9047" i="12"/>
  <c r="I9047" i="12"/>
  <c r="H9047" i="12"/>
  <c r="F9047" i="12"/>
  <c r="J9046" i="12"/>
  <c r="I9046" i="12"/>
  <c r="H9046" i="12"/>
  <c r="F9046" i="12"/>
  <c r="J9045" i="12"/>
  <c r="I9045" i="12"/>
  <c r="H9045" i="12"/>
  <c r="F9045" i="12"/>
  <c r="J9044" i="12"/>
  <c r="I9044" i="12"/>
  <c r="H9044" i="12"/>
  <c r="F9044" i="12"/>
  <c r="J9043" i="12"/>
  <c r="I9043" i="12"/>
  <c r="H9043" i="12"/>
  <c r="F9043" i="12"/>
  <c r="J9042" i="12"/>
  <c r="I9042" i="12"/>
  <c r="H9042" i="12"/>
  <c r="F9042" i="12"/>
  <c r="J9041" i="12"/>
  <c r="I9041" i="12"/>
  <c r="H9041" i="12"/>
  <c r="F9041" i="12"/>
  <c r="J9040" i="12"/>
  <c r="I9040" i="12"/>
  <c r="H9040" i="12"/>
  <c r="F9040" i="12"/>
  <c r="J9039" i="12"/>
  <c r="I9039" i="12"/>
  <c r="H9039" i="12"/>
  <c r="F9039" i="12"/>
  <c r="J9038" i="12"/>
  <c r="I9038" i="12"/>
  <c r="H9038" i="12"/>
  <c r="F9038" i="12"/>
  <c r="J9037" i="12"/>
  <c r="I9037" i="12"/>
  <c r="H9037" i="12"/>
  <c r="F9037" i="12"/>
  <c r="J9036" i="12"/>
  <c r="I9036" i="12"/>
  <c r="H9036" i="12"/>
  <c r="F9036" i="12"/>
  <c r="J9035" i="12"/>
  <c r="I9035" i="12"/>
  <c r="H9035" i="12"/>
  <c r="F9035" i="12"/>
  <c r="J9034" i="12"/>
  <c r="I9034" i="12"/>
  <c r="H9034" i="12"/>
  <c r="F9034" i="12"/>
  <c r="J9033" i="12"/>
  <c r="I9033" i="12"/>
  <c r="H9033" i="12"/>
  <c r="F9033" i="12"/>
  <c r="J9032" i="12"/>
  <c r="I9032" i="12"/>
  <c r="H9032" i="12"/>
  <c r="F9032" i="12"/>
  <c r="J9031" i="12"/>
  <c r="I9031" i="12"/>
  <c r="H9031" i="12"/>
  <c r="F9031" i="12"/>
  <c r="J9030" i="12"/>
  <c r="I9030" i="12"/>
  <c r="H9030" i="12"/>
  <c r="F9030" i="12"/>
  <c r="J9029" i="12"/>
  <c r="I9029" i="12"/>
  <c r="H9029" i="12"/>
  <c r="F9029" i="12"/>
  <c r="J9028" i="12"/>
  <c r="I9028" i="12"/>
  <c r="H9028" i="12"/>
  <c r="F9028" i="12"/>
  <c r="J9027" i="12"/>
  <c r="I9027" i="12"/>
  <c r="H9027" i="12"/>
  <c r="F9027" i="12"/>
  <c r="J9026" i="12"/>
  <c r="I9026" i="12"/>
  <c r="H9026" i="12"/>
  <c r="F9026" i="12"/>
  <c r="J9025" i="12"/>
  <c r="I9025" i="12"/>
  <c r="H9025" i="12"/>
  <c r="F9025" i="12"/>
  <c r="J9024" i="12"/>
  <c r="I9024" i="12"/>
  <c r="H9024" i="12"/>
  <c r="F9024" i="12"/>
  <c r="J9023" i="12"/>
  <c r="I9023" i="12"/>
  <c r="H9023" i="12"/>
  <c r="F9023" i="12"/>
  <c r="J9022" i="12"/>
  <c r="I9022" i="12"/>
  <c r="H9022" i="12"/>
  <c r="F9022" i="12"/>
  <c r="J9021" i="12"/>
  <c r="I9021" i="12"/>
  <c r="H9021" i="12"/>
  <c r="F9021" i="12"/>
  <c r="J9020" i="12"/>
  <c r="I9020" i="12"/>
  <c r="H9020" i="12"/>
  <c r="F9020" i="12"/>
  <c r="J9019" i="12"/>
  <c r="I9019" i="12"/>
  <c r="H9019" i="12"/>
  <c r="F9019" i="12"/>
  <c r="J9018" i="12"/>
  <c r="I9018" i="12"/>
  <c r="H9018" i="12"/>
  <c r="F9018" i="12"/>
  <c r="J9017" i="12"/>
  <c r="I9017" i="12"/>
  <c r="H9017" i="12"/>
  <c r="F9017" i="12"/>
  <c r="J9016" i="12"/>
  <c r="I9016" i="12"/>
  <c r="H9016" i="12"/>
  <c r="F9016" i="12"/>
  <c r="J9015" i="12"/>
  <c r="I9015" i="12"/>
  <c r="H9015" i="12"/>
  <c r="F9015" i="12"/>
  <c r="J9014" i="12"/>
  <c r="I9014" i="12"/>
  <c r="H9014" i="12"/>
  <c r="F9014" i="12"/>
  <c r="J9013" i="12"/>
  <c r="I9013" i="12"/>
  <c r="H9013" i="12"/>
  <c r="F9013" i="12"/>
  <c r="J9012" i="12"/>
  <c r="I9012" i="12"/>
  <c r="H9012" i="12"/>
  <c r="F9012" i="12"/>
  <c r="J9011" i="12"/>
  <c r="I9011" i="12"/>
  <c r="H9011" i="12"/>
  <c r="F9011" i="12"/>
  <c r="J9010" i="12"/>
  <c r="I9010" i="12"/>
  <c r="H9010" i="12"/>
  <c r="F9010" i="12"/>
  <c r="J9009" i="12"/>
  <c r="I9009" i="12"/>
  <c r="H9009" i="12"/>
  <c r="F9009" i="12"/>
  <c r="J9008" i="12"/>
  <c r="I9008" i="12"/>
  <c r="H9008" i="12"/>
  <c r="F9008" i="12"/>
  <c r="J9007" i="12"/>
  <c r="I9007" i="12"/>
  <c r="H9007" i="12"/>
  <c r="F9007" i="12"/>
  <c r="J9006" i="12"/>
  <c r="I9006" i="12"/>
  <c r="H9006" i="12"/>
  <c r="F9006" i="12"/>
  <c r="J9005" i="12"/>
  <c r="I9005" i="12"/>
  <c r="H9005" i="12"/>
  <c r="F9005" i="12"/>
  <c r="J9004" i="12"/>
  <c r="I9004" i="12"/>
  <c r="H9004" i="12"/>
  <c r="F9004" i="12"/>
  <c r="J9003" i="12"/>
  <c r="I9003" i="12"/>
  <c r="H9003" i="12"/>
  <c r="F9003" i="12"/>
  <c r="J9002" i="12"/>
  <c r="I9002" i="12"/>
  <c r="H9002" i="12"/>
  <c r="F9002" i="12"/>
  <c r="J9001" i="12"/>
  <c r="I9001" i="12"/>
  <c r="H9001" i="12"/>
  <c r="F9001" i="12"/>
  <c r="J9000" i="12"/>
  <c r="I9000" i="12"/>
  <c r="H9000" i="12"/>
  <c r="F9000" i="12"/>
  <c r="J8999" i="12"/>
  <c r="I8999" i="12"/>
  <c r="H8999" i="12"/>
  <c r="F8999" i="12"/>
  <c r="J8998" i="12"/>
  <c r="I8998" i="12"/>
  <c r="H8998" i="12"/>
  <c r="F8998" i="12"/>
  <c r="J8997" i="12"/>
  <c r="I8997" i="12"/>
  <c r="H8997" i="12"/>
  <c r="F8997" i="12"/>
  <c r="J8996" i="12"/>
  <c r="I8996" i="12"/>
  <c r="H8996" i="12"/>
  <c r="F8996" i="12"/>
  <c r="J8995" i="12"/>
  <c r="I8995" i="12"/>
  <c r="H8995" i="12"/>
  <c r="F8995" i="12"/>
  <c r="J8994" i="12"/>
  <c r="I8994" i="12"/>
  <c r="H8994" i="12"/>
  <c r="F8994" i="12"/>
  <c r="J8993" i="12"/>
  <c r="I8993" i="12"/>
  <c r="H8993" i="12"/>
  <c r="F8993" i="12"/>
  <c r="J8992" i="12"/>
  <c r="I8992" i="12"/>
  <c r="H8992" i="12"/>
  <c r="F8992" i="12"/>
  <c r="J8991" i="12"/>
  <c r="I8991" i="12"/>
  <c r="H8991" i="12"/>
  <c r="F8991" i="12"/>
  <c r="J8990" i="12"/>
  <c r="I8990" i="12"/>
  <c r="H8990" i="12"/>
  <c r="F8990" i="12"/>
  <c r="J8989" i="12"/>
  <c r="I8989" i="12"/>
  <c r="H8989" i="12"/>
  <c r="F8989" i="12"/>
  <c r="J8988" i="12"/>
  <c r="I8988" i="12"/>
  <c r="H8988" i="12"/>
  <c r="F8988" i="12"/>
  <c r="J8987" i="12"/>
  <c r="I8987" i="12"/>
  <c r="H8987" i="12"/>
  <c r="F8987" i="12"/>
  <c r="J8986" i="12"/>
  <c r="I8986" i="12"/>
  <c r="H8986" i="12"/>
  <c r="F8986" i="12"/>
  <c r="J8985" i="12"/>
  <c r="I8985" i="12"/>
  <c r="H8985" i="12"/>
  <c r="F8985" i="12"/>
  <c r="J8984" i="12"/>
  <c r="I8984" i="12"/>
  <c r="H8984" i="12"/>
  <c r="F8984" i="12"/>
  <c r="J8983" i="12"/>
  <c r="I8983" i="12"/>
  <c r="H8983" i="12"/>
  <c r="F8983" i="12"/>
  <c r="J8982" i="12"/>
  <c r="I8982" i="12"/>
  <c r="H8982" i="12"/>
  <c r="F8982" i="12"/>
  <c r="J8981" i="12"/>
  <c r="I8981" i="12"/>
  <c r="H8981" i="12"/>
  <c r="F8981" i="12"/>
  <c r="J8980" i="12"/>
  <c r="I8980" i="12"/>
  <c r="H8980" i="12"/>
  <c r="F8980" i="12"/>
  <c r="J8979" i="12"/>
  <c r="I8979" i="12"/>
  <c r="H8979" i="12"/>
  <c r="F8979" i="12"/>
  <c r="J8978" i="12"/>
  <c r="I8978" i="12"/>
  <c r="H8978" i="12"/>
  <c r="F8978" i="12"/>
  <c r="J8977" i="12"/>
  <c r="I8977" i="12"/>
  <c r="H8977" i="12"/>
  <c r="F8977" i="12"/>
  <c r="J8976" i="12"/>
  <c r="I8976" i="12"/>
  <c r="H8976" i="12"/>
  <c r="F8976" i="12"/>
  <c r="J8975" i="12"/>
  <c r="I8975" i="12"/>
  <c r="H8975" i="12"/>
  <c r="F8975" i="12"/>
  <c r="J8974" i="12"/>
  <c r="I8974" i="12"/>
  <c r="H8974" i="12"/>
  <c r="F8974" i="12"/>
  <c r="J8973" i="12"/>
  <c r="I8973" i="12"/>
  <c r="H8973" i="12"/>
  <c r="F8973" i="12"/>
  <c r="J8972" i="12"/>
  <c r="I8972" i="12"/>
  <c r="H8972" i="12"/>
  <c r="F8972" i="12"/>
  <c r="J8971" i="12"/>
  <c r="I8971" i="12"/>
  <c r="H8971" i="12"/>
  <c r="F8971" i="12"/>
  <c r="J8970" i="12"/>
  <c r="I8970" i="12"/>
  <c r="H8970" i="12"/>
  <c r="F8970" i="12"/>
  <c r="J8969" i="12"/>
  <c r="I8969" i="12"/>
  <c r="H8969" i="12"/>
  <c r="F8969" i="12"/>
  <c r="J8968" i="12"/>
  <c r="I8968" i="12"/>
  <c r="H8968" i="12"/>
  <c r="F8968" i="12"/>
  <c r="J8967" i="12"/>
  <c r="I8967" i="12"/>
  <c r="H8967" i="12"/>
  <c r="F8967" i="12"/>
  <c r="J8966" i="12"/>
  <c r="I8966" i="12"/>
  <c r="H8966" i="12"/>
  <c r="F8966" i="12"/>
  <c r="J8965" i="12"/>
  <c r="I8965" i="12"/>
  <c r="H8965" i="12"/>
  <c r="F8965" i="12"/>
  <c r="J8964" i="12"/>
  <c r="I8964" i="12"/>
  <c r="H8964" i="12"/>
  <c r="F8964" i="12"/>
  <c r="J8963" i="12"/>
  <c r="I8963" i="12"/>
  <c r="H8963" i="12"/>
  <c r="F8963" i="12"/>
  <c r="J8962" i="12"/>
  <c r="I8962" i="12"/>
  <c r="H8962" i="12"/>
  <c r="F8962" i="12"/>
  <c r="J8961" i="12"/>
  <c r="I8961" i="12"/>
  <c r="H8961" i="12"/>
  <c r="F8961" i="12"/>
  <c r="J8960" i="12"/>
  <c r="I8960" i="12"/>
  <c r="H8960" i="12"/>
  <c r="F8960" i="12"/>
  <c r="J8959" i="12"/>
  <c r="I8959" i="12"/>
  <c r="H8959" i="12"/>
  <c r="F8959" i="12"/>
  <c r="J8958" i="12"/>
  <c r="I8958" i="12"/>
  <c r="H8958" i="12"/>
  <c r="F8958" i="12"/>
  <c r="J8957" i="12"/>
  <c r="I8957" i="12"/>
  <c r="H8957" i="12"/>
  <c r="F8957" i="12"/>
  <c r="J8956" i="12"/>
  <c r="I8956" i="12"/>
  <c r="H8956" i="12"/>
  <c r="F8956" i="12"/>
  <c r="J8955" i="12"/>
  <c r="I8955" i="12"/>
  <c r="H8955" i="12"/>
  <c r="F8955" i="12"/>
  <c r="J8954" i="12"/>
  <c r="I8954" i="12"/>
  <c r="H8954" i="12"/>
  <c r="F8954" i="12"/>
  <c r="J8953" i="12"/>
  <c r="I8953" i="12"/>
  <c r="H8953" i="12"/>
  <c r="F8953" i="12"/>
  <c r="J8952" i="12"/>
  <c r="I8952" i="12"/>
  <c r="H8952" i="12"/>
  <c r="F8952" i="12"/>
  <c r="J8951" i="12"/>
  <c r="I8951" i="12"/>
  <c r="H8951" i="12"/>
  <c r="F8951" i="12"/>
  <c r="J8950" i="12"/>
  <c r="I8950" i="12"/>
  <c r="H8950" i="12"/>
  <c r="F8950" i="12"/>
  <c r="J8949" i="12"/>
  <c r="I8949" i="12"/>
  <c r="H8949" i="12"/>
  <c r="F8949" i="12"/>
  <c r="J8948" i="12"/>
  <c r="I8948" i="12"/>
  <c r="H8948" i="12"/>
  <c r="F8948" i="12"/>
  <c r="J8947" i="12"/>
  <c r="I8947" i="12"/>
  <c r="H8947" i="12"/>
  <c r="F8947" i="12"/>
  <c r="J8946" i="12"/>
  <c r="I8946" i="12"/>
  <c r="H8946" i="12"/>
  <c r="F8946" i="12"/>
  <c r="J8945" i="12"/>
  <c r="I8945" i="12"/>
  <c r="H8945" i="12"/>
  <c r="F8945" i="12"/>
  <c r="J8944" i="12"/>
  <c r="I8944" i="12"/>
  <c r="H8944" i="12"/>
  <c r="F8944" i="12"/>
  <c r="J8943" i="12"/>
  <c r="I8943" i="12"/>
  <c r="H8943" i="12"/>
  <c r="F8943" i="12"/>
  <c r="J8942" i="12"/>
  <c r="I8942" i="12"/>
  <c r="H8942" i="12"/>
  <c r="F8942" i="12"/>
  <c r="J8941" i="12"/>
  <c r="I8941" i="12"/>
  <c r="H8941" i="12"/>
  <c r="F8941" i="12"/>
  <c r="J8940" i="12"/>
  <c r="I8940" i="12"/>
  <c r="H8940" i="12"/>
  <c r="F8940" i="12"/>
  <c r="J8939" i="12"/>
  <c r="I8939" i="12"/>
  <c r="H8939" i="12"/>
  <c r="F8939" i="12"/>
  <c r="J8938" i="12"/>
  <c r="I8938" i="12"/>
  <c r="H8938" i="12"/>
  <c r="F8938" i="12"/>
  <c r="J8937" i="12"/>
  <c r="I8937" i="12"/>
  <c r="H8937" i="12"/>
  <c r="F8937" i="12"/>
  <c r="J8936" i="12"/>
  <c r="I8936" i="12"/>
  <c r="H8936" i="12"/>
  <c r="F8936" i="12"/>
  <c r="J8935" i="12"/>
  <c r="I8935" i="12"/>
  <c r="H8935" i="12"/>
  <c r="F8935" i="12"/>
  <c r="J8934" i="12"/>
  <c r="I8934" i="12"/>
  <c r="H8934" i="12"/>
  <c r="F8934" i="12"/>
  <c r="J8933" i="12"/>
  <c r="I8933" i="12"/>
  <c r="H8933" i="12"/>
  <c r="F8933" i="12"/>
  <c r="J8932" i="12"/>
  <c r="I8932" i="12"/>
  <c r="H8932" i="12"/>
  <c r="F8932" i="12"/>
  <c r="J8931" i="12"/>
  <c r="I8931" i="12"/>
  <c r="H8931" i="12"/>
  <c r="F8931" i="12"/>
  <c r="J8930" i="12"/>
  <c r="I8930" i="12"/>
  <c r="H8930" i="12"/>
  <c r="F8930" i="12"/>
  <c r="J8929" i="12"/>
  <c r="I8929" i="12"/>
  <c r="H8929" i="12"/>
  <c r="F8929" i="12"/>
  <c r="J8928" i="12"/>
  <c r="I8928" i="12"/>
  <c r="H8928" i="12"/>
  <c r="F8928" i="12"/>
  <c r="J8927" i="12"/>
  <c r="I8927" i="12"/>
  <c r="H8927" i="12"/>
  <c r="F8927" i="12"/>
  <c r="J8926" i="12"/>
  <c r="I8926" i="12"/>
  <c r="H8926" i="12"/>
  <c r="F8926" i="12"/>
  <c r="J8925" i="12"/>
  <c r="I8925" i="12"/>
  <c r="H8925" i="12"/>
  <c r="F8925" i="12"/>
  <c r="J8924" i="12"/>
  <c r="I8924" i="12"/>
  <c r="H8924" i="12"/>
  <c r="F8924" i="12"/>
  <c r="J8923" i="12"/>
  <c r="I8923" i="12"/>
  <c r="H8923" i="12"/>
  <c r="F8923" i="12"/>
  <c r="J8922" i="12"/>
  <c r="I8922" i="12"/>
  <c r="H8922" i="12"/>
  <c r="F8922" i="12"/>
  <c r="J8921" i="12"/>
  <c r="I8921" i="12"/>
  <c r="H8921" i="12"/>
  <c r="F8921" i="12"/>
  <c r="J8920" i="12"/>
  <c r="I8920" i="12"/>
  <c r="H8920" i="12"/>
  <c r="F8920" i="12"/>
  <c r="J8919" i="12"/>
  <c r="I8919" i="12"/>
  <c r="H8919" i="12"/>
  <c r="F8919" i="12"/>
  <c r="J8918" i="12"/>
  <c r="I8918" i="12"/>
  <c r="H8918" i="12"/>
  <c r="F8918" i="12"/>
  <c r="J8917" i="12"/>
  <c r="I8917" i="12"/>
  <c r="H8917" i="12"/>
  <c r="F8917" i="12"/>
  <c r="J8916" i="12"/>
  <c r="I8916" i="12"/>
  <c r="H8916" i="12"/>
  <c r="F8916" i="12"/>
  <c r="J8915" i="12"/>
  <c r="I8915" i="12"/>
  <c r="H8915" i="12"/>
  <c r="F8915" i="12"/>
  <c r="J8914" i="12"/>
  <c r="I8914" i="12"/>
  <c r="H8914" i="12"/>
  <c r="F8914" i="12"/>
  <c r="J8913" i="12"/>
  <c r="I8913" i="12"/>
  <c r="H8913" i="12"/>
  <c r="F8913" i="12"/>
  <c r="J8912" i="12"/>
  <c r="I8912" i="12"/>
  <c r="H8912" i="12"/>
  <c r="F8912" i="12"/>
  <c r="J8911" i="12"/>
  <c r="I8911" i="12"/>
  <c r="H8911" i="12"/>
  <c r="F8911" i="12"/>
  <c r="J8910" i="12"/>
  <c r="I8910" i="12"/>
  <c r="H8910" i="12"/>
  <c r="F8910" i="12"/>
  <c r="J8909" i="12"/>
  <c r="I8909" i="12"/>
  <c r="H8909" i="12"/>
  <c r="F8909" i="12"/>
  <c r="J8908" i="12"/>
  <c r="I8908" i="12"/>
  <c r="H8908" i="12"/>
  <c r="F8908" i="12"/>
  <c r="J8907" i="12"/>
  <c r="I8907" i="12"/>
  <c r="H8907" i="12"/>
  <c r="F8907" i="12"/>
  <c r="J8906" i="12"/>
  <c r="I8906" i="12"/>
  <c r="H8906" i="12"/>
  <c r="F8906" i="12"/>
  <c r="J8905" i="12"/>
  <c r="I8905" i="12"/>
  <c r="H8905" i="12"/>
  <c r="F8905" i="12"/>
  <c r="J8904" i="12"/>
  <c r="I8904" i="12"/>
  <c r="H8904" i="12"/>
  <c r="F8904" i="12"/>
  <c r="J8903" i="12"/>
  <c r="I8903" i="12"/>
  <c r="H8903" i="12"/>
  <c r="F8903" i="12"/>
  <c r="J8902" i="12"/>
  <c r="I8902" i="12"/>
  <c r="H8902" i="12"/>
  <c r="F8902" i="12"/>
  <c r="J8901" i="12"/>
  <c r="I8901" i="12"/>
  <c r="H8901" i="12"/>
  <c r="F8901" i="12"/>
  <c r="J8900" i="12"/>
  <c r="I8900" i="12"/>
  <c r="H8900" i="12"/>
  <c r="F8900" i="12"/>
  <c r="J8899" i="12"/>
  <c r="I8899" i="12"/>
  <c r="H8899" i="12"/>
  <c r="F8899" i="12"/>
  <c r="J8898" i="12"/>
  <c r="I8898" i="12"/>
  <c r="H8898" i="12"/>
  <c r="F8898" i="12"/>
  <c r="J8897" i="12"/>
  <c r="I8897" i="12"/>
  <c r="H8897" i="12"/>
  <c r="F8897" i="12"/>
  <c r="J8896" i="12"/>
  <c r="I8896" i="12"/>
  <c r="H8896" i="12"/>
  <c r="F8896" i="12"/>
  <c r="J8895" i="12"/>
  <c r="I8895" i="12"/>
  <c r="H8895" i="12"/>
  <c r="F8895" i="12"/>
  <c r="J8894" i="12"/>
  <c r="I8894" i="12"/>
  <c r="H8894" i="12"/>
  <c r="F8894" i="12"/>
  <c r="J8893" i="12"/>
  <c r="I8893" i="12"/>
  <c r="H8893" i="12"/>
  <c r="F8893" i="12"/>
  <c r="J8892" i="12"/>
  <c r="I8892" i="12"/>
  <c r="H8892" i="12"/>
  <c r="F8892" i="12"/>
  <c r="J8891" i="12"/>
  <c r="I8891" i="12"/>
  <c r="H8891" i="12"/>
  <c r="F8891" i="12"/>
  <c r="J8890" i="12"/>
  <c r="I8890" i="12"/>
  <c r="H8890" i="12"/>
  <c r="F8890" i="12"/>
  <c r="J8889" i="12"/>
  <c r="I8889" i="12"/>
  <c r="H8889" i="12"/>
  <c r="F8889" i="12"/>
  <c r="J8888" i="12"/>
  <c r="I8888" i="12"/>
  <c r="H8888" i="12"/>
  <c r="F8888" i="12"/>
  <c r="J8887" i="12"/>
  <c r="I8887" i="12"/>
  <c r="H8887" i="12"/>
  <c r="F8887" i="12"/>
  <c r="J8886" i="12"/>
  <c r="I8886" i="12"/>
  <c r="H8886" i="12"/>
  <c r="F8886" i="12"/>
  <c r="J8885" i="12"/>
  <c r="I8885" i="12"/>
  <c r="H8885" i="12"/>
  <c r="F8885" i="12"/>
  <c r="J8884" i="12"/>
  <c r="I8884" i="12"/>
  <c r="H8884" i="12"/>
  <c r="F8884" i="12"/>
  <c r="J8883" i="12"/>
  <c r="I8883" i="12"/>
  <c r="H8883" i="12"/>
  <c r="F8883" i="12"/>
  <c r="J8882" i="12"/>
  <c r="I8882" i="12"/>
  <c r="H8882" i="12"/>
  <c r="F8882" i="12"/>
  <c r="J8881" i="12"/>
  <c r="I8881" i="12"/>
  <c r="H8881" i="12"/>
  <c r="F8881" i="12"/>
  <c r="J8880" i="12"/>
  <c r="I8880" i="12"/>
  <c r="H8880" i="12"/>
  <c r="F8880" i="12"/>
  <c r="J8879" i="12"/>
  <c r="I8879" i="12"/>
  <c r="H8879" i="12"/>
  <c r="F8879" i="12"/>
  <c r="J8878" i="12"/>
  <c r="I8878" i="12"/>
  <c r="H8878" i="12"/>
  <c r="F8878" i="12"/>
  <c r="J8877" i="12"/>
  <c r="I8877" i="12"/>
  <c r="H8877" i="12"/>
  <c r="F8877" i="12"/>
  <c r="J8876" i="12"/>
  <c r="I8876" i="12"/>
  <c r="H8876" i="12"/>
  <c r="F8876" i="12"/>
  <c r="J8875" i="12"/>
  <c r="I8875" i="12"/>
  <c r="H8875" i="12"/>
  <c r="F8875" i="12"/>
  <c r="J8874" i="12"/>
  <c r="I8874" i="12"/>
  <c r="H8874" i="12"/>
  <c r="F8874" i="12"/>
  <c r="J8873" i="12"/>
  <c r="I8873" i="12"/>
  <c r="H8873" i="12"/>
  <c r="F8873" i="12"/>
  <c r="J8872" i="12"/>
  <c r="I8872" i="12"/>
  <c r="H8872" i="12"/>
  <c r="F8872" i="12"/>
  <c r="J8871" i="12"/>
  <c r="I8871" i="12"/>
  <c r="H8871" i="12"/>
  <c r="F8871" i="12"/>
  <c r="J8870" i="12"/>
  <c r="I8870" i="12"/>
  <c r="H8870" i="12"/>
  <c r="F8870" i="12"/>
  <c r="J8869" i="12"/>
  <c r="I8869" i="12"/>
  <c r="H8869" i="12"/>
  <c r="F8869" i="12"/>
  <c r="J8868" i="12"/>
  <c r="I8868" i="12"/>
  <c r="H8868" i="12"/>
  <c r="F8868" i="12"/>
  <c r="J8867" i="12"/>
  <c r="I8867" i="12"/>
  <c r="H8867" i="12"/>
  <c r="F8867" i="12"/>
  <c r="J8866" i="12"/>
  <c r="I8866" i="12"/>
  <c r="H8866" i="12"/>
  <c r="F8866" i="12"/>
  <c r="J8865" i="12"/>
  <c r="I8865" i="12"/>
  <c r="H8865" i="12"/>
  <c r="F8865" i="12"/>
  <c r="J8864" i="12"/>
  <c r="I8864" i="12"/>
  <c r="H8864" i="12"/>
  <c r="F8864" i="12"/>
  <c r="J8863" i="12"/>
  <c r="I8863" i="12"/>
  <c r="H8863" i="12"/>
  <c r="F8863" i="12"/>
  <c r="J8862" i="12"/>
  <c r="I8862" i="12"/>
  <c r="H8862" i="12"/>
  <c r="F8862" i="12"/>
  <c r="J8861" i="12"/>
  <c r="I8861" i="12"/>
  <c r="H8861" i="12"/>
  <c r="F8861" i="12"/>
  <c r="J8860" i="12"/>
  <c r="I8860" i="12"/>
  <c r="H8860" i="12"/>
  <c r="F8860" i="12"/>
  <c r="J8859" i="12"/>
  <c r="I8859" i="12"/>
  <c r="H8859" i="12"/>
  <c r="F8859" i="12"/>
  <c r="J8858" i="12"/>
  <c r="I8858" i="12"/>
  <c r="H8858" i="12"/>
  <c r="F8858" i="12"/>
  <c r="J8857" i="12"/>
  <c r="I8857" i="12"/>
  <c r="H8857" i="12"/>
  <c r="F8857" i="12"/>
  <c r="J8856" i="12"/>
  <c r="I8856" i="12"/>
  <c r="H8856" i="12"/>
  <c r="F8856" i="12"/>
  <c r="J8855" i="12"/>
  <c r="I8855" i="12"/>
  <c r="H8855" i="12"/>
  <c r="F8855" i="12"/>
  <c r="J8854" i="12"/>
  <c r="I8854" i="12"/>
  <c r="H8854" i="12"/>
  <c r="F8854" i="12"/>
  <c r="J8853" i="12"/>
  <c r="I8853" i="12"/>
  <c r="H8853" i="12"/>
  <c r="F8853" i="12"/>
  <c r="J8852" i="12"/>
  <c r="I8852" i="12"/>
  <c r="H8852" i="12"/>
  <c r="F8852" i="12"/>
  <c r="J8851" i="12"/>
  <c r="I8851" i="12"/>
  <c r="H8851" i="12"/>
  <c r="F8851" i="12"/>
  <c r="J8850" i="12"/>
  <c r="I8850" i="12"/>
  <c r="H8850" i="12"/>
  <c r="F8850" i="12"/>
  <c r="J8849" i="12"/>
  <c r="I8849" i="12"/>
  <c r="H8849" i="12"/>
  <c r="F8849" i="12"/>
  <c r="J8848" i="12"/>
  <c r="I8848" i="12"/>
  <c r="H8848" i="12"/>
  <c r="F8848" i="12"/>
  <c r="J8847" i="12"/>
  <c r="I8847" i="12"/>
  <c r="H8847" i="12"/>
  <c r="F8847" i="12"/>
  <c r="J8846" i="12"/>
  <c r="I8846" i="12"/>
  <c r="H8846" i="12"/>
  <c r="F8846" i="12"/>
  <c r="J8845" i="12"/>
  <c r="I8845" i="12"/>
  <c r="H8845" i="12"/>
  <c r="F8845" i="12"/>
  <c r="J8844" i="12"/>
  <c r="I8844" i="12"/>
  <c r="H8844" i="12"/>
  <c r="F8844" i="12"/>
  <c r="J8843" i="12"/>
  <c r="I8843" i="12"/>
  <c r="H8843" i="12"/>
  <c r="F8843" i="12"/>
  <c r="J8842" i="12"/>
  <c r="I8842" i="12"/>
  <c r="H8842" i="12"/>
  <c r="F8842" i="12"/>
  <c r="J8841" i="12"/>
  <c r="I8841" i="12"/>
  <c r="H8841" i="12"/>
  <c r="F8841" i="12"/>
  <c r="J8840" i="12"/>
  <c r="I8840" i="12"/>
  <c r="H8840" i="12"/>
  <c r="F8840" i="12"/>
  <c r="J8839" i="12"/>
  <c r="I8839" i="12"/>
  <c r="H8839" i="12"/>
  <c r="F8839" i="12"/>
  <c r="J8838" i="12"/>
  <c r="I8838" i="12"/>
  <c r="H8838" i="12"/>
  <c r="F8838" i="12"/>
  <c r="J8837" i="12"/>
  <c r="I8837" i="12"/>
  <c r="H8837" i="12"/>
  <c r="F8837" i="12"/>
  <c r="J8836" i="12"/>
  <c r="I8836" i="12"/>
  <c r="H8836" i="12"/>
  <c r="F8836" i="12"/>
  <c r="J8835" i="12"/>
  <c r="I8835" i="12"/>
  <c r="H8835" i="12"/>
  <c r="F8835" i="12"/>
  <c r="J8834" i="12"/>
  <c r="I8834" i="12"/>
  <c r="H8834" i="12"/>
  <c r="F8834" i="12"/>
  <c r="J8833" i="12"/>
  <c r="I8833" i="12"/>
  <c r="H8833" i="12"/>
  <c r="F8833" i="12"/>
  <c r="J8832" i="12"/>
  <c r="I8832" i="12"/>
  <c r="H8832" i="12"/>
  <c r="F8832" i="12"/>
  <c r="J8831" i="12"/>
  <c r="I8831" i="12"/>
  <c r="H8831" i="12"/>
  <c r="F8831" i="12"/>
  <c r="J8830" i="12"/>
  <c r="I8830" i="12"/>
  <c r="H8830" i="12"/>
  <c r="F8830" i="12"/>
  <c r="J8829" i="12"/>
  <c r="I8829" i="12"/>
  <c r="H8829" i="12"/>
  <c r="F8829" i="12"/>
  <c r="J8828" i="12"/>
  <c r="I8828" i="12"/>
  <c r="H8828" i="12"/>
  <c r="F8828" i="12"/>
  <c r="J8827" i="12"/>
  <c r="I8827" i="12"/>
  <c r="H8827" i="12"/>
  <c r="F8827" i="12"/>
  <c r="J8826" i="12"/>
  <c r="I8826" i="12"/>
  <c r="H8826" i="12"/>
  <c r="F8826" i="12"/>
  <c r="J8825" i="12"/>
  <c r="I8825" i="12"/>
  <c r="H8825" i="12"/>
  <c r="F8825" i="12"/>
  <c r="J8824" i="12"/>
  <c r="I8824" i="12"/>
  <c r="H8824" i="12"/>
  <c r="F8824" i="12"/>
  <c r="J8823" i="12"/>
  <c r="I8823" i="12"/>
  <c r="H8823" i="12"/>
  <c r="F8823" i="12"/>
  <c r="J8822" i="12"/>
  <c r="I8822" i="12"/>
  <c r="H8822" i="12"/>
  <c r="F8822" i="12"/>
  <c r="J8821" i="12"/>
  <c r="I8821" i="12"/>
  <c r="H8821" i="12"/>
  <c r="F8821" i="12"/>
  <c r="J8820" i="12"/>
  <c r="I8820" i="12"/>
  <c r="H8820" i="12"/>
  <c r="F8820" i="12"/>
  <c r="J8819" i="12"/>
  <c r="I8819" i="12"/>
  <c r="H8819" i="12"/>
  <c r="F8819" i="12"/>
  <c r="J8818" i="12"/>
  <c r="I8818" i="12"/>
  <c r="H8818" i="12"/>
  <c r="F8818" i="12"/>
  <c r="J8817" i="12"/>
  <c r="I8817" i="12"/>
  <c r="H8817" i="12"/>
  <c r="F8817" i="12"/>
  <c r="J8816" i="12"/>
  <c r="I8816" i="12"/>
  <c r="H8816" i="12"/>
  <c r="F8816" i="12"/>
  <c r="J8815" i="12"/>
  <c r="I8815" i="12"/>
  <c r="H8815" i="12"/>
  <c r="F8815" i="12"/>
  <c r="J8814" i="12"/>
  <c r="I8814" i="12"/>
  <c r="H8814" i="12"/>
  <c r="F8814" i="12"/>
  <c r="J8813" i="12"/>
  <c r="I8813" i="12"/>
  <c r="H8813" i="12"/>
  <c r="F8813" i="12"/>
  <c r="J8812" i="12"/>
  <c r="I8812" i="12"/>
  <c r="H8812" i="12"/>
  <c r="F8812" i="12"/>
  <c r="J8811" i="12"/>
  <c r="I8811" i="12"/>
  <c r="H8811" i="12"/>
  <c r="F8811" i="12"/>
  <c r="J8810" i="12"/>
  <c r="I8810" i="12"/>
  <c r="H8810" i="12"/>
  <c r="F8810" i="12"/>
  <c r="J8809" i="12"/>
  <c r="I8809" i="12"/>
  <c r="H8809" i="12"/>
  <c r="F8809" i="12"/>
  <c r="J8808" i="12"/>
  <c r="I8808" i="12"/>
  <c r="H8808" i="12"/>
  <c r="F8808" i="12"/>
  <c r="J8807" i="12"/>
  <c r="I8807" i="12"/>
  <c r="H8807" i="12"/>
  <c r="F8807" i="12"/>
  <c r="J8806" i="12"/>
  <c r="I8806" i="12"/>
  <c r="H8806" i="12"/>
  <c r="F8806" i="12"/>
  <c r="J8805" i="12"/>
  <c r="I8805" i="12"/>
  <c r="H8805" i="12"/>
  <c r="F8805" i="12"/>
  <c r="J8804" i="12"/>
  <c r="I8804" i="12"/>
  <c r="H8804" i="12"/>
  <c r="F8804" i="12"/>
  <c r="J8803" i="12"/>
  <c r="I8803" i="12"/>
  <c r="H8803" i="12"/>
  <c r="F8803" i="12"/>
  <c r="J8802" i="12"/>
  <c r="I8802" i="12"/>
  <c r="H8802" i="12"/>
  <c r="F8802" i="12"/>
  <c r="J8801" i="12"/>
  <c r="I8801" i="12"/>
  <c r="H8801" i="12"/>
  <c r="F8801" i="12"/>
  <c r="J8800" i="12"/>
  <c r="I8800" i="12"/>
  <c r="H8800" i="12"/>
  <c r="F8800" i="12"/>
  <c r="J8799" i="12"/>
  <c r="I8799" i="12"/>
  <c r="H8799" i="12"/>
  <c r="F8799" i="12"/>
  <c r="J8798" i="12"/>
  <c r="I8798" i="12"/>
  <c r="H8798" i="12"/>
  <c r="F8798" i="12"/>
  <c r="J8797" i="12"/>
  <c r="I8797" i="12"/>
  <c r="H8797" i="12"/>
  <c r="F8797" i="12"/>
  <c r="J8796" i="12"/>
  <c r="I8796" i="12"/>
  <c r="H8796" i="12"/>
  <c r="F8796" i="12"/>
  <c r="J8795" i="12"/>
  <c r="I8795" i="12"/>
  <c r="H8795" i="12"/>
  <c r="F8795" i="12"/>
  <c r="J8794" i="12"/>
  <c r="I8794" i="12"/>
  <c r="H8794" i="12"/>
  <c r="F8794" i="12"/>
  <c r="J8793" i="12"/>
  <c r="I8793" i="12"/>
  <c r="H8793" i="12"/>
  <c r="F8793" i="12"/>
  <c r="J8792" i="12"/>
  <c r="I8792" i="12"/>
  <c r="H8792" i="12"/>
  <c r="F8792" i="12"/>
  <c r="J8791" i="12"/>
  <c r="I8791" i="12"/>
  <c r="H8791" i="12"/>
  <c r="F8791" i="12"/>
  <c r="J8790" i="12"/>
  <c r="I8790" i="12"/>
  <c r="H8790" i="12"/>
  <c r="F8790" i="12"/>
  <c r="J8789" i="12"/>
  <c r="I8789" i="12"/>
  <c r="H8789" i="12"/>
  <c r="F8789" i="12"/>
  <c r="J8788" i="12"/>
  <c r="I8788" i="12"/>
  <c r="H8788" i="12"/>
  <c r="F8788" i="12"/>
  <c r="J8787" i="12"/>
  <c r="I8787" i="12"/>
  <c r="H8787" i="12"/>
  <c r="F8787" i="12"/>
  <c r="J8786" i="12"/>
  <c r="I8786" i="12"/>
  <c r="H8786" i="12"/>
  <c r="F8786" i="12"/>
  <c r="J8785" i="12"/>
  <c r="I8785" i="12"/>
  <c r="H8785" i="12"/>
  <c r="F8785" i="12"/>
  <c r="J8784" i="12"/>
  <c r="I8784" i="12"/>
  <c r="H8784" i="12"/>
  <c r="F8784" i="12"/>
  <c r="J8783" i="12"/>
  <c r="I8783" i="12"/>
  <c r="H8783" i="12"/>
  <c r="F8783" i="12"/>
  <c r="J8782" i="12"/>
  <c r="I8782" i="12"/>
  <c r="H8782" i="12"/>
  <c r="F8782" i="12"/>
  <c r="J8781" i="12"/>
  <c r="I8781" i="12"/>
  <c r="H8781" i="12"/>
  <c r="F8781" i="12"/>
  <c r="J8780" i="12"/>
  <c r="I8780" i="12"/>
  <c r="H8780" i="12"/>
  <c r="F8780" i="12"/>
  <c r="J8779" i="12"/>
  <c r="I8779" i="12"/>
  <c r="H8779" i="12"/>
  <c r="F8779" i="12"/>
  <c r="J8778" i="12"/>
  <c r="I8778" i="12"/>
  <c r="H8778" i="12"/>
  <c r="F8778" i="12"/>
  <c r="J8777" i="12"/>
  <c r="I8777" i="12"/>
  <c r="H8777" i="12"/>
  <c r="F8777" i="12"/>
  <c r="J8776" i="12"/>
  <c r="I8776" i="12"/>
  <c r="H8776" i="12"/>
  <c r="F8776" i="12"/>
  <c r="J8775" i="12"/>
  <c r="I8775" i="12"/>
  <c r="H8775" i="12"/>
  <c r="F8775" i="12"/>
  <c r="J8774" i="12"/>
  <c r="I8774" i="12"/>
  <c r="H8774" i="12"/>
  <c r="F8774" i="12"/>
  <c r="J8773" i="12"/>
  <c r="I8773" i="12"/>
  <c r="H8773" i="12"/>
  <c r="F8773" i="12"/>
  <c r="J8772" i="12"/>
  <c r="I8772" i="12"/>
  <c r="H8772" i="12"/>
  <c r="F8772" i="12"/>
  <c r="J8771" i="12"/>
  <c r="I8771" i="12"/>
  <c r="H8771" i="12"/>
  <c r="F8771" i="12"/>
  <c r="J8770" i="12"/>
  <c r="I8770" i="12"/>
  <c r="H8770" i="12"/>
  <c r="F8770" i="12"/>
  <c r="J8769" i="12"/>
  <c r="I8769" i="12"/>
  <c r="H8769" i="12"/>
  <c r="F8769" i="12"/>
  <c r="J8768" i="12"/>
  <c r="I8768" i="12"/>
  <c r="H8768" i="12"/>
  <c r="F8768" i="12"/>
  <c r="J8767" i="12"/>
  <c r="I8767" i="12"/>
  <c r="H8767" i="12"/>
  <c r="F8767" i="12"/>
  <c r="J8766" i="12"/>
  <c r="I8766" i="12"/>
  <c r="H8766" i="12"/>
  <c r="F8766" i="12"/>
  <c r="J8765" i="12"/>
  <c r="I8765" i="12"/>
  <c r="H8765" i="12"/>
  <c r="F8765" i="12"/>
  <c r="J8764" i="12"/>
  <c r="I8764" i="12"/>
  <c r="H8764" i="12"/>
  <c r="F8764" i="12"/>
  <c r="J8763" i="12"/>
  <c r="I8763" i="12"/>
  <c r="H8763" i="12"/>
  <c r="F8763" i="12"/>
  <c r="J8762" i="12"/>
  <c r="I8762" i="12"/>
  <c r="H8762" i="12"/>
  <c r="F8762" i="12"/>
  <c r="J8761" i="12"/>
  <c r="I8761" i="12"/>
  <c r="H8761" i="12"/>
  <c r="F8761" i="12"/>
  <c r="J8760" i="12"/>
  <c r="I8760" i="12"/>
  <c r="H8760" i="12"/>
  <c r="F8760" i="12"/>
  <c r="J8759" i="12"/>
  <c r="I8759" i="12"/>
  <c r="H8759" i="12"/>
  <c r="F8759" i="12"/>
  <c r="J8758" i="12"/>
  <c r="I8758" i="12"/>
  <c r="H8758" i="12"/>
  <c r="F8758" i="12"/>
  <c r="J8757" i="12"/>
  <c r="I8757" i="12"/>
  <c r="H8757" i="12"/>
  <c r="F8757" i="12"/>
  <c r="J8756" i="12"/>
  <c r="I8756" i="12"/>
  <c r="H8756" i="12"/>
  <c r="F8756" i="12"/>
  <c r="J8755" i="12"/>
  <c r="I8755" i="12"/>
  <c r="H8755" i="12"/>
  <c r="F8755" i="12"/>
  <c r="J8754" i="12"/>
  <c r="I8754" i="12"/>
  <c r="H8754" i="12"/>
  <c r="F8754" i="12"/>
  <c r="J8753" i="12"/>
  <c r="I8753" i="12"/>
  <c r="H8753" i="12"/>
  <c r="F8753" i="12"/>
  <c r="J8752" i="12"/>
  <c r="I8752" i="12"/>
  <c r="H8752" i="12"/>
  <c r="F8752" i="12"/>
  <c r="J8751" i="12"/>
  <c r="I8751" i="12"/>
  <c r="H8751" i="12"/>
  <c r="F8751" i="12"/>
  <c r="J8750" i="12"/>
  <c r="I8750" i="12"/>
  <c r="H8750" i="12"/>
  <c r="F8750" i="12"/>
  <c r="J8749" i="12"/>
  <c r="I8749" i="12"/>
  <c r="H8749" i="12"/>
  <c r="F8749" i="12"/>
  <c r="J8748" i="12"/>
  <c r="I8748" i="12"/>
  <c r="H8748" i="12"/>
  <c r="F8748" i="12"/>
  <c r="J8747" i="12"/>
  <c r="I8747" i="12"/>
  <c r="H8747" i="12"/>
  <c r="F8747" i="12"/>
  <c r="J8746" i="12"/>
  <c r="I8746" i="12"/>
  <c r="H8746" i="12"/>
  <c r="F8746" i="12"/>
  <c r="J8745" i="12"/>
  <c r="I8745" i="12"/>
  <c r="H8745" i="12"/>
  <c r="F8745" i="12"/>
  <c r="J8744" i="12"/>
  <c r="I8744" i="12"/>
  <c r="H8744" i="12"/>
  <c r="F8744" i="12"/>
  <c r="J8743" i="12"/>
  <c r="I8743" i="12"/>
  <c r="H8743" i="12"/>
  <c r="F8743" i="12"/>
  <c r="J8742" i="12"/>
  <c r="I8742" i="12"/>
  <c r="H8742" i="12"/>
  <c r="F8742" i="12"/>
  <c r="J8741" i="12"/>
  <c r="I8741" i="12"/>
  <c r="H8741" i="12"/>
  <c r="F8741" i="12"/>
  <c r="J8740" i="12"/>
  <c r="I8740" i="12"/>
  <c r="H8740" i="12"/>
  <c r="F8740" i="12"/>
  <c r="J8739" i="12"/>
  <c r="I8739" i="12"/>
  <c r="H8739" i="12"/>
  <c r="F8739" i="12"/>
  <c r="J8738" i="12"/>
  <c r="I8738" i="12"/>
  <c r="H8738" i="12"/>
  <c r="F8738" i="12"/>
  <c r="J8737" i="12"/>
  <c r="I8737" i="12"/>
  <c r="H8737" i="12"/>
  <c r="F8737" i="12"/>
  <c r="J8736" i="12"/>
  <c r="I8736" i="12"/>
  <c r="H8736" i="12"/>
  <c r="F8736" i="12"/>
  <c r="J8735" i="12"/>
  <c r="I8735" i="12"/>
  <c r="H8735" i="12"/>
  <c r="F8735" i="12"/>
  <c r="J8734" i="12"/>
  <c r="I8734" i="12"/>
  <c r="H8734" i="12"/>
  <c r="F8734" i="12"/>
  <c r="J8733" i="12"/>
  <c r="I8733" i="12"/>
  <c r="H8733" i="12"/>
  <c r="F8733" i="12"/>
  <c r="J8732" i="12"/>
  <c r="I8732" i="12"/>
  <c r="H8732" i="12"/>
  <c r="F8732" i="12"/>
  <c r="J8731" i="12"/>
  <c r="I8731" i="12"/>
  <c r="H8731" i="12"/>
  <c r="F8731" i="12"/>
  <c r="J8730" i="12"/>
  <c r="I8730" i="12"/>
  <c r="H8730" i="12"/>
  <c r="F8730" i="12"/>
  <c r="J8729" i="12"/>
  <c r="I8729" i="12"/>
  <c r="H8729" i="12"/>
  <c r="F8729" i="12"/>
  <c r="J8728" i="12"/>
  <c r="I8728" i="12"/>
  <c r="H8728" i="12"/>
  <c r="F8728" i="12"/>
  <c r="J8727" i="12"/>
  <c r="I8727" i="12"/>
  <c r="H8727" i="12"/>
  <c r="F8727" i="12"/>
  <c r="J8726" i="12"/>
  <c r="I8726" i="12"/>
  <c r="H8726" i="12"/>
  <c r="F8726" i="12"/>
  <c r="J8725" i="12"/>
  <c r="I8725" i="12"/>
  <c r="H8725" i="12"/>
  <c r="F8725" i="12"/>
  <c r="J8724" i="12"/>
  <c r="I8724" i="12"/>
  <c r="H8724" i="12"/>
  <c r="F8724" i="12"/>
  <c r="J8723" i="12"/>
  <c r="I8723" i="12"/>
  <c r="H8723" i="12"/>
  <c r="F8723" i="12"/>
  <c r="J8722" i="12"/>
  <c r="I8722" i="12"/>
  <c r="H8722" i="12"/>
  <c r="F8722" i="12"/>
  <c r="J8721" i="12"/>
  <c r="I8721" i="12"/>
  <c r="H8721" i="12"/>
  <c r="F8721" i="12"/>
  <c r="J8720" i="12"/>
  <c r="I8720" i="12"/>
  <c r="H8720" i="12"/>
  <c r="F8720" i="12"/>
  <c r="J8719" i="12"/>
  <c r="I8719" i="12"/>
  <c r="H8719" i="12"/>
  <c r="F8719" i="12"/>
  <c r="J8718" i="12"/>
  <c r="I8718" i="12"/>
  <c r="H8718" i="12"/>
  <c r="F8718" i="12"/>
  <c r="J8717" i="12"/>
  <c r="I8717" i="12"/>
  <c r="H8717" i="12"/>
  <c r="F8717" i="12"/>
  <c r="J8716" i="12"/>
  <c r="I8716" i="12"/>
  <c r="H8716" i="12"/>
  <c r="F8716" i="12"/>
  <c r="J8715" i="12"/>
  <c r="I8715" i="12"/>
  <c r="H8715" i="12"/>
  <c r="F8715" i="12"/>
  <c r="J8714" i="12"/>
  <c r="I8714" i="12"/>
  <c r="H8714" i="12"/>
  <c r="F8714" i="12"/>
  <c r="J8713" i="12"/>
  <c r="I8713" i="12"/>
  <c r="H8713" i="12"/>
  <c r="F8713" i="12"/>
  <c r="J8712" i="12"/>
  <c r="I8712" i="12"/>
  <c r="H8712" i="12"/>
  <c r="F8712" i="12"/>
  <c r="J8711" i="12"/>
  <c r="I8711" i="12"/>
  <c r="H8711" i="12"/>
  <c r="F8711" i="12"/>
  <c r="J8710" i="12"/>
  <c r="I8710" i="12"/>
  <c r="H8710" i="12"/>
  <c r="F8710" i="12"/>
  <c r="J8709" i="12"/>
  <c r="I8709" i="12"/>
  <c r="H8709" i="12"/>
  <c r="F8709" i="12"/>
  <c r="J8708" i="12"/>
  <c r="I8708" i="12"/>
  <c r="H8708" i="12"/>
  <c r="F8708" i="12"/>
  <c r="J8707" i="12"/>
  <c r="I8707" i="12"/>
  <c r="H8707" i="12"/>
  <c r="F8707" i="12"/>
  <c r="J8706" i="12"/>
  <c r="I8706" i="12"/>
  <c r="H8706" i="12"/>
  <c r="F8706" i="12"/>
  <c r="J8705" i="12"/>
  <c r="I8705" i="12"/>
  <c r="H8705" i="12"/>
  <c r="F8705" i="12"/>
  <c r="J8704" i="12"/>
  <c r="I8704" i="12"/>
  <c r="H8704" i="12"/>
  <c r="F8704" i="12"/>
  <c r="J8703" i="12"/>
  <c r="I8703" i="12"/>
  <c r="H8703" i="12"/>
  <c r="F8703" i="12"/>
  <c r="J8702" i="12"/>
  <c r="I8702" i="12"/>
  <c r="H8702" i="12"/>
  <c r="F8702" i="12"/>
  <c r="J8701" i="12"/>
  <c r="I8701" i="12"/>
  <c r="H8701" i="12"/>
  <c r="F8701" i="12"/>
  <c r="J8700" i="12"/>
  <c r="I8700" i="12"/>
  <c r="H8700" i="12"/>
  <c r="F8700" i="12"/>
  <c r="J8699" i="12"/>
  <c r="I8699" i="12"/>
  <c r="H8699" i="12"/>
  <c r="F8699" i="12"/>
  <c r="J8698" i="12"/>
  <c r="I8698" i="12"/>
  <c r="H8698" i="12"/>
  <c r="F8698" i="12"/>
  <c r="J8697" i="12"/>
  <c r="I8697" i="12"/>
  <c r="H8697" i="12"/>
  <c r="F8697" i="12"/>
  <c r="J8696" i="12"/>
  <c r="I8696" i="12"/>
  <c r="H8696" i="12"/>
  <c r="F8696" i="12"/>
  <c r="J8695" i="12"/>
  <c r="I8695" i="12"/>
  <c r="H8695" i="12"/>
  <c r="F8695" i="12"/>
  <c r="J8694" i="12"/>
  <c r="I8694" i="12"/>
  <c r="H8694" i="12"/>
  <c r="F8694" i="12"/>
  <c r="J8693" i="12"/>
  <c r="I8693" i="12"/>
  <c r="H8693" i="12"/>
  <c r="F8693" i="12"/>
  <c r="J8692" i="12"/>
  <c r="I8692" i="12"/>
  <c r="H8692" i="12"/>
  <c r="F8692" i="12"/>
  <c r="J8691" i="12"/>
  <c r="I8691" i="12"/>
  <c r="H8691" i="12"/>
  <c r="F8691" i="12"/>
  <c r="J8690" i="12"/>
  <c r="I8690" i="12"/>
  <c r="H8690" i="12"/>
  <c r="F8690" i="12"/>
  <c r="J8689" i="12"/>
  <c r="I8689" i="12"/>
  <c r="H8689" i="12"/>
  <c r="F8689" i="12"/>
  <c r="J8688" i="12"/>
  <c r="I8688" i="12"/>
  <c r="H8688" i="12"/>
  <c r="F8688" i="12"/>
  <c r="J8687" i="12"/>
  <c r="I8687" i="12"/>
  <c r="H8687" i="12"/>
  <c r="F8687" i="12"/>
  <c r="J8686" i="12"/>
  <c r="I8686" i="12"/>
  <c r="H8686" i="12"/>
  <c r="F8686" i="12"/>
  <c r="J8685" i="12"/>
  <c r="I8685" i="12"/>
  <c r="H8685" i="12"/>
  <c r="F8685" i="12"/>
  <c r="J8684" i="12"/>
  <c r="I8684" i="12"/>
  <c r="H8684" i="12"/>
  <c r="F8684" i="12"/>
  <c r="J8683" i="12"/>
  <c r="I8683" i="12"/>
  <c r="H8683" i="12"/>
  <c r="F8683" i="12"/>
  <c r="J8682" i="12"/>
  <c r="I8682" i="12"/>
  <c r="H8682" i="12"/>
  <c r="F8682" i="12"/>
  <c r="J8681" i="12"/>
  <c r="I8681" i="12"/>
  <c r="H8681" i="12"/>
  <c r="F8681" i="12"/>
  <c r="J8680" i="12"/>
  <c r="I8680" i="12"/>
  <c r="H8680" i="12"/>
  <c r="F8680" i="12"/>
  <c r="J8679" i="12"/>
  <c r="I8679" i="12"/>
  <c r="H8679" i="12"/>
  <c r="F8679" i="12"/>
  <c r="J8678" i="12"/>
  <c r="I8678" i="12"/>
  <c r="H8678" i="12"/>
  <c r="F8678" i="12"/>
  <c r="J8677" i="12"/>
  <c r="I8677" i="12"/>
  <c r="H8677" i="12"/>
  <c r="F8677" i="12"/>
  <c r="J8676" i="12"/>
  <c r="I8676" i="12"/>
  <c r="H8676" i="12"/>
  <c r="F8676" i="12"/>
  <c r="J8675" i="12"/>
  <c r="I8675" i="12"/>
  <c r="H8675" i="12"/>
  <c r="F8675" i="12"/>
  <c r="J8674" i="12"/>
  <c r="I8674" i="12"/>
  <c r="H8674" i="12"/>
  <c r="F8674" i="12"/>
  <c r="J8673" i="12"/>
  <c r="I8673" i="12"/>
  <c r="H8673" i="12"/>
  <c r="F8673" i="12"/>
  <c r="J8672" i="12"/>
  <c r="I8672" i="12"/>
  <c r="H8672" i="12"/>
  <c r="F8672" i="12"/>
  <c r="J8671" i="12"/>
  <c r="I8671" i="12"/>
  <c r="H8671" i="12"/>
  <c r="F8671" i="12"/>
  <c r="J8670" i="12"/>
  <c r="I8670" i="12"/>
  <c r="H8670" i="12"/>
  <c r="F8670" i="12"/>
  <c r="J8669" i="12"/>
  <c r="I8669" i="12"/>
  <c r="H8669" i="12"/>
  <c r="F8669" i="12"/>
  <c r="J8668" i="12"/>
  <c r="I8668" i="12"/>
  <c r="H8668" i="12"/>
  <c r="F8668" i="12"/>
  <c r="J8667" i="12"/>
  <c r="I8667" i="12"/>
  <c r="H8667" i="12"/>
  <c r="F8667" i="12"/>
  <c r="J8666" i="12"/>
  <c r="I8666" i="12"/>
  <c r="H8666" i="12"/>
  <c r="F8666" i="12"/>
  <c r="J8665" i="12"/>
  <c r="I8665" i="12"/>
  <c r="H8665" i="12"/>
  <c r="F8665" i="12"/>
  <c r="J8664" i="12"/>
  <c r="I8664" i="12"/>
  <c r="H8664" i="12"/>
  <c r="F8664" i="12"/>
  <c r="J8663" i="12"/>
  <c r="I8663" i="12"/>
  <c r="H8663" i="12"/>
  <c r="F8663" i="12"/>
  <c r="J8662" i="12"/>
  <c r="I8662" i="12"/>
  <c r="H8662" i="12"/>
  <c r="F8662" i="12"/>
  <c r="J8661" i="12"/>
  <c r="I8661" i="12"/>
  <c r="H8661" i="12"/>
  <c r="F8661" i="12"/>
  <c r="J8660" i="12"/>
  <c r="I8660" i="12"/>
  <c r="H8660" i="12"/>
  <c r="F8660" i="12"/>
  <c r="J8659" i="12"/>
  <c r="I8659" i="12"/>
  <c r="H8659" i="12"/>
  <c r="F8659" i="12"/>
  <c r="J8658" i="12"/>
  <c r="I8658" i="12"/>
  <c r="H8658" i="12"/>
  <c r="F8658" i="12"/>
  <c r="J8657" i="12"/>
  <c r="I8657" i="12"/>
  <c r="H8657" i="12"/>
  <c r="F8657" i="12"/>
  <c r="J8656" i="12"/>
  <c r="I8656" i="12"/>
  <c r="H8656" i="12"/>
  <c r="F8656" i="12"/>
  <c r="J8655" i="12"/>
  <c r="I8655" i="12"/>
  <c r="H8655" i="12"/>
  <c r="F8655" i="12"/>
  <c r="J8654" i="12"/>
  <c r="I8654" i="12"/>
  <c r="H8654" i="12"/>
  <c r="F8654" i="12"/>
  <c r="J8653" i="12"/>
  <c r="I8653" i="12"/>
  <c r="H8653" i="12"/>
  <c r="F8653" i="12"/>
  <c r="J8652" i="12"/>
  <c r="I8652" i="12"/>
  <c r="H8652" i="12"/>
  <c r="F8652" i="12"/>
  <c r="J8651" i="12"/>
  <c r="I8651" i="12"/>
  <c r="H8651" i="12"/>
  <c r="F8651" i="12"/>
  <c r="J8650" i="12"/>
  <c r="I8650" i="12"/>
  <c r="H8650" i="12"/>
  <c r="F8650" i="12"/>
  <c r="J8649" i="12"/>
  <c r="I8649" i="12"/>
  <c r="H8649" i="12"/>
  <c r="F8649" i="12"/>
  <c r="J8648" i="12"/>
  <c r="I8648" i="12"/>
  <c r="H8648" i="12"/>
  <c r="F8648" i="12"/>
  <c r="J8647" i="12"/>
  <c r="I8647" i="12"/>
  <c r="H8647" i="12"/>
  <c r="F8647" i="12"/>
  <c r="J8646" i="12"/>
  <c r="I8646" i="12"/>
  <c r="H8646" i="12"/>
  <c r="F8646" i="12"/>
  <c r="J8645" i="12"/>
  <c r="I8645" i="12"/>
  <c r="H8645" i="12"/>
  <c r="F8645" i="12"/>
  <c r="J8644" i="12"/>
  <c r="I8644" i="12"/>
  <c r="H8644" i="12"/>
  <c r="F8644" i="12"/>
  <c r="J8643" i="12"/>
  <c r="I8643" i="12"/>
  <c r="H8643" i="12"/>
  <c r="F8643" i="12"/>
  <c r="J8642" i="12"/>
  <c r="I8642" i="12"/>
  <c r="H8642" i="12"/>
  <c r="F8642" i="12"/>
  <c r="J8641" i="12"/>
  <c r="I8641" i="12"/>
  <c r="H8641" i="12"/>
  <c r="F8641" i="12"/>
  <c r="J8640" i="12"/>
  <c r="I8640" i="12"/>
  <c r="H8640" i="12"/>
  <c r="F8640" i="12"/>
  <c r="J8639" i="12"/>
  <c r="I8639" i="12"/>
  <c r="H8639" i="12"/>
  <c r="F8639" i="12"/>
  <c r="J8638" i="12"/>
  <c r="I8638" i="12"/>
  <c r="H8638" i="12"/>
  <c r="F8638" i="12"/>
  <c r="J8637" i="12"/>
  <c r="I8637" i="12"/>
  <c r="H8637" i="12"/>
  <c r="F8637" i="12"/>
  <c r="J8636" i="12"/>
  <c r="I8636" i="12"/>
  <c r="H8636" i="12"/>
  <c r="F8636" i="12"/>
  <c r="J8635" i="12"/>
  <c r="I8635" i="12"/>
  <c r="H8635" i="12"/>
  <c r="F8635" i="12"/>
  <c r="J8634" i="12"/>
  <c r="I8634" i="12"/>
  <c r="H8634" i="12"/>
  <c r="F8634" i="12"/>
  <c r="J8633" i="12"/>
  <c r="I8633" i="12"/>
  <c r="H8633" i="12"/>
  <c r="F8633" i="12"/>
  <c r="J8632" i="12"/>
  <c r="I8632" i="12"/>
  <c r="H8632" i="12"/>
  <c r="F8632" i="12"/>
  <c r="J8631" i="12"/>
  <c r="I8631" i="12"/>
  <c r="H8631" i="12"/>
  <c r="F8631" i="12"/>
  <c r="J8630" i="12"/>
  <c r="I8630" i="12"/>
  <c r="H8630" i="12"/>
  <c r="F8630" i="12"/>
  <c r="J8629" i="12"/>
  <c r="I8629" i="12"/>
  <c r="H8629" i="12"/>
  <c r="F8629" i="12"/>
  <c r="J8628" i="12"/>
  <c r="I8628" i="12"/>
  <c r="H8628" i="12"/>
  <c r="F8628" i="12"/>
  <c r="J8627" i="12"/>
  <c r="I8627" i="12"/>
  <c r="H8627" i="12"/>
  <c r="F8627" i="12"/>
  <c r="J8626" i="12"/>
  <c r="I8626" i="12"/>
  <c r="H8626" i="12"/>
  <c r="F8626" i="12"/>
  <c r="J8625" i="12"/>
  <c r="I8625" i="12"/>
  <c r="H8625" i="12"/>
  <c r="F8625" i="12"/>
  <c r="J8624" i="12"/>
  <c r="I8624" i="12"/>
  <c r="H8624" i="12"/>
  <c r="F8624" i="12"/>
  <c r="J8623" i="12"/>
  <c r="I8623" i="12"/>
  <c r="H8623" i="12"/>
  <c r="F8623" i="12"/>
  <c r="J8622" i="12"/>
  <c r="I8622" i="12"/>
  <c r="H8622" i="12"/>
  <c r="F8622" i="12"/>
  <c r="J8621" i="12"/>
  <c r="I8621" i="12"/>
  <c r="H8621" i="12"/>
  <c r="F8621" i="12"/>
  <c r="J8620" i="12"/>
  <c r="I8620" i="12"/>
  <c r="H8620" i="12"/>
  <c r="F8620" i="12"/>
  <c r="J8619" i="12"/>
  <c r="I8619" i="12"/>
  <c r="H8619" i="12"/>
  <c r="F8619" i="12"/>
  <c r="J8618" i="12"/>
  <c r="I8618" i="12"/>
  <c r="H8618" i="12"/>
  <c r="F8618" i="12"/>
  <c r="J8617" i="12"/>
  <c r="I8617" i="12"/>
  <c r="H8617" i="12"/>
  <c r="F8617" i="12"/>
  <c r="J8616" i="12"/>
  <c r="I8616" i="12"/>
  <c r="H8616" i="12"/>
  <c r="F8616" i="12"/>
  <c r="J8615" i="12"/>
  <c r="I8615" i="12"/>
  <c r="H8615" i="12"/>
  <c r="F8615" i="12"/>
  <c r="J8614" i="12"/>
  <c r="I8614" i="12"/>
  <c r="H8614" i="12"/>
  <c r="F8614" i="12"/>
  <c r="J8613" i="12"/>
  <c r="I8613" i="12"/>
  <c r="H8613" i="12"/>
  <c r="F8613" i="12"/>
  <c r="J8612" i="12"/>
  <c r="I8612" i="12"/>
  <c r="H8612" i="12"/>
  <c r="F8612" i="12"/>
  <c r="J8611" i="12"/>
  <c r="I8611" i="12"/>
  <c r="H8611" i="12"/>
  <c r="F8611" i="12"/>
  <c r="J8610" i="12"/>
  <c r="I8610" i="12"/>
  <c r="H8610" i="12"/>
  <c r="F8610" i="12"/>
  <c r="J8609" i="12"/>
  <c r="I8609" i="12"/>
  <c r="H8609" i="12"/>
  <c r="F8609" i="12"/>
  <c r="J8608" i="12"/>
  <c r="I8608" i="12"/>
  <c r="H8608" i="12"/>
  <c r="F8608" i="12"/>
  <c r="J8607" i="12"/>
  <c r="I8607" i="12"/>
  <c r="H8607" i="12"/>
  <c r="F8607" i="12"/>
  <c r="J8606" i="12"/>
  <c r="I8606" i="12"/>
  <c r="H8606" i="12"/>
  <c r="F8606" i="12"/>
  <c r="J8605" i="12"/>
  <c r="I8605" i="12"/>
  <c r="H8605" i="12"/>
  <c r="F8605" i="12"/>
  <c r="J8604" i="12"/>
  <c r="I8604" i="12"/>
  <c r="H8604" i="12"/>
  <c r="F8604" i="12"/>
  <c r="J8603" i="12"/>
  <c r="I8603" i="12"/>
  <c r="H8603" i="12"/>
  <c r="F8603" i="12"/>
  <c r="J8602" i="12"/>
  <c r="I8602" i="12"/>
  <c r="H8602" i="12"/>
  <c r="F8602" i="12"/>
  <c r="J8601" i="12"/>
  <c r="I8601" i="12"/>
  <c r="H8601" i="12"/>
  <c r="F8601" i="12"/>
  <c r="J8600" i="12"/>
  <c r="I8600" i="12"/>
  <c r="H8600" i="12"/>
  <c r="F8600" i="12"/>
  <c r="J8599" i="12"/>
  <c r="I8599" i="12"/>
  <c r="H8599" i="12"/>
  <c r="F8599" i="12"/>
  <c r="J8598" i="12"/>
  <c r="I8598" i="12"/>
  <c r="H8598" i="12"/>
  <c r="F8598" i="12"/>
  <c r="J8597" i="12"/>
  <c r="I8597" i="12"/>
  <c r="H8597" i="12"/>
  <c r="F8597" i="12"/>
  <c r="J8596" i="12"/>
  <c r="I8596" i="12"/>
  <c r="H8596" i="12"/>
  <c r="F8596" i="12"/>
  <c r="J8595" i="12"/>
  <c r="I8595" i="12"/>
  <c r="H8595" i="12"/>
  <c r="F8595" i="12"/>
  <c r="J8594" i="12"/>
  <c r="I8594" i="12"/>
  <c r="H8594" i="12"/>
  <c r="F8594" i="12"/>
  <c r="J8593" i="12"/>
  <c r="I8593" i="12"/>
  <c r="H8593" i="12"/>
  <c r="F8593" i="12"/>
  <c r="J8592" i="12"/>
  <c r="I8592" i="12"/>
  <c r="H8592" i="12"/>
  <c r="F8592" i="12"/>
  <c r="J8591" i="12"/>
  <c r="I8591" i="12"/>
  <c r="H8591" i="12"/>
  <c r="F8591" i="12"/>
  <c r="J8590" i="12"/>
  <c r="I8590" i="12"/>
  <c r="H8590" i="12"/>
  <c r="F8590" i="12"/>
  <c r="J8589" i="12"/>
  <c r="I8589" i="12"/>
  <c r="H8589" i="12"/>
  <c r="F8589" i="12"/>
  <c r="J8588" i="12"/>
  <c r="I8588" i="12"/>
  <c r="H8588" i="12"/>
  <c r="F8588" i="12"/>
  <c r="J8587" i="12"/>
  <c r="I8587" i="12"/>
  <c r="H8587" i="12"/>
  <c r="F8587" i="12"/>
  <c r="J8586" i="12"/>
  <c r="I8586" i="12"/>
  <c r="H8586" i="12"/>
  <c r="F8586" i="12"/>
  <c r="J8585" i="12"/>
  <c r="I8585" i="12"/>
  <c r="H8585" i="12"/>
  <c r="F8585" i="12"/>
  <c r="J8584" i="12"/>
  <c r="I8584" i="12"/>
  <c r="H8584" i="12"/>
  <c r="F8584" i="12"/>
  <c r="J8583" i="12"/>
  <c r="I8583" i="12"/>
  <c r="H8583" i="12"/>
  <c r="F8583" i="12"/>
  <c r="J8582" i="12"/>
  <c r="I8582" i="12"/>
  <c r="H8582" i="12"/>
  <c r="F8582" i="12"/>
  <c r="J8581" i="12"/>
  <c r="I8581" i="12"/>
  <c r="H8581" i="12"/>
  <c r="F8581" i="12"/>
  <c r="J8580" i="12"/>
  <c r="I8580" i="12"/>
  <c r="H8580" i="12"/>
  <c r="F8580" i="12"/>
  <c r="J8579" i="12"/>
  <c r="I8579" i="12"/>
  <c r="H8579" i="12"/>
  <c r="F8579" i="12"/>
  <c r="J8578" i="12"/>
  <c r="I8578" i="12"/>
  <c r="H8578" i="12"/>
  <c r="F8578" i="12"/>
  <c r="J8577" i="12"/>
  <c r="I8577" i="12"/>
  <c r="H8577" i="12"/>
  <c r="F8577" i="12"/>
  <c r="J8576" i="12"/>
  <c r="I8576" i="12"/>
  <c r="H8576" i="12"/>
  <c r="F8576" i="12"/>
  <c r="J8575" i="12"/>
  <c r="I8575" i="12"/>
  <c r="H8575" i="12"/>
  <c r="F8575" i="12"/>
  <c r="J8574" i="12"/>
  <c r="I8574" i="12"/>
  <c r="H8574" i="12"/>
  <c r="F8574" i="12"/>
  <c r="J8573" i="12"/>
  <c r="I8573" i="12"/>
  <c r="H8573" i="12"/>
  <c r="F8573" i="12"/>
  <c r="J8572" i="12"/>
  <c r="I8572" i="12"/>
  <c r="H8572" i="12"/>
  <c r="F8572" i="12"/>
  <c r="J8571" i="12"/>
  <c r="I8571" i="12"/>
  <c r="H8571" i="12"/>
  <c r="F8571" i="12"/>
  <c r="J8570" i="12"/>
  <c r="I8570" i="12"/>
  <c r="H8570" i="12"/>
  <c r="F8570" i="12"/>
  <c r="J8569" i="12"/>
  <c r="I8569" i="12"/>
  <c r="H8569" i="12"/>
  <c r="F8569" i="12"/>
  <c r="J8568" i="12"/>
  <c r="I8568" i="12"/>
  <c r="H8568" i="12"/>
  <c r="F8568" i="12"/>
  <c r="J8567" i="12"/>
  <c r="I8567" i="12"/>
  <c r="H8567" i="12"/>
  <c r="F8567" i="12"/>
  <c r="J8566" i="12"/>
  <c r="I8566" i="12"/>
  <c r="H8566" i="12"/>
  <c r="F8566" i="12"/>
  <c r="J8565" i="12"/>
  <c r="I8565" i="12"/>
  <c r="H8565" i="12"/>
  <c r="F8565" i="12"/>
  <c r="J8564" i="12"/>
  <c r="I8564" i="12"/>
  <c r="H8564" i="12"/>
  <c r="F8564" i="12"/>
  <c r="J8563" i="12"/>
  <c r="I8563" i="12"/>
  <c r="H8563" i="12"/>
  <c r="F8563" i="12"/>
  <c r="J8562" i="12"/>
  <c r="I8562" i="12"/>
  <c r="H8562" i="12"/>
  <c r="F8562" i="12"/>
  <c r="J8561" i="12"/>
  <c r="I8561" i="12"/>
  <c r="H8561" i="12"/>
  <c r="F8561" i="12"/>
  <c r="J8560" i="12"/>
  <c r="I8560" i="12"/>
  <c r="H8560" i="12"/>
  <c r="F8560" i="12"/>
  <c r="J8559" i="12"/>
  <c r="I8559" i="12"/>
  <c r="H8559" i="12"/>
  <c r="F8559" i="12"/>
  <c r="J8558" i="12"/>
  <c r="I8558" i="12"/>
  <c r="H8558" i="12"/>
  <c r="F8558" i="12"/>
  <c r="J8557" i="12"/>
  <c r="I8557" i="12"/>
  <c r="H8557" i="12"/>
  <c r="F8557" i="12"/>
  <c r="J8556" i="12"/>
  <c r="I8556" i="12"/>
  <c r="H8556" i="12"/>
  <c r="F8556" i="12"/>
  <c r="J8555" i="12"/>
  <c r="I8555" i="12"/>
  <c r="H8555" i="12"/>
  <c r="F8555" i="12"/>
  <c r="J8554" i="12"/>
  <c r="I8554" i="12"/>
  <c r="H8554" i="12"/>
  <c r="F8554" i="12"/>
  <c r="J8553" i="12"/>
  <c r="I8553" i="12"/>
  <c r="H8553" i="12"/>
  <c r="F8553" i="12"/>
  <c r="J8552" i="12"/>
  <c r="I8552" i="12"/>
  <c r="H8552" i="12"/>
  <c r="F8552" i="12"/>
  <c r="J8551" i="12"/>
  <c r="I8551" i="12"/>
  <c r="H8551" i="12"/>
  <c r="F8551" i="12"/>
  <c r="J8550" i="12"/>
  <c r="I8550" i="12"/>
  <c r="H8550" i="12"/>
  <c r="F8550" i="12"/>
  <c r="J8549" i="12"/>
  <c r="I8549" i="12"/>
  <c r="H8549" i="12"/>
  <c r="F8549" i="12"/>
  <c r="J8548" i="12"/>
  <c r="I8548" i="12"/>
  <c r="H8548" i="12"/>
  <c r="F8548" i="12"/>
  <c r="J8547" i="12"/>
  <c r="I8547" i="12"/>
  <c r="H8547" i="12"/>
  <c r="F8547" i="12"/>
  <c r="J8546" i="12"/>
  <c r="I8546" i="12"/>
  <c r="H8546" i="12"/>
  <c r="F8546" i="12"/>
  <c r="J8545" i="12"/>
  <c r="I8545" i="12"/>
  <c r="H8545" i="12"/>
  <c r="F8545" i="12"/>
  <c r="J8544" i="12"/>
  <c r="I8544" i="12"/>
  <c r="H8544" i="12"/>
  <c r="F8544" i="12"/>
  <c r="J8543" i="12"/>
  <c r="I8543" i="12"/>
  <c r="H8543" i="12"/>
  <c r="F8543" i="12"/>
  <c r="J8542" i="12"/>
  <c r="I8542" i="12"/>
  <c r="H8542" i="12"/>
  <c r="F8542" i="12"/>
  <c r="J8541" i="12"/>
  <c r="I8541" i="12"/>
  <c r="H8541" i="12"/>
  <c r="F8541" i="12"/>
  <c r="J8540" i="12"/>
  <c r="I8540" i="12"/>
  <c r="H8540" i="12"/>
  <c r="F8540" i="12"/>
  <c r="J8539" i="12"/>
  <c r="I8539" i="12"/>
  <c r="H8539" i="12"/>
  <c r="F8539" i="12"/>
  <c r="J8538" i="12"/>
  <c r="I8538" i="12"/>
  <c r="H8538" i="12"/>
  <c r="F8538" i="12"/>
  <c r="J8537" i="12"/>
  <c r="I8537" i="12"/>
  <c r="H8537" i="12"/>
  <c r="F8537" i="12"/>
  <c r="J8536" i="12"/>
  <c r="I8536" i="12"/>
  <c r="H8536" i="12"/>
  <c r="F8536" i="12"/>
  <c r="J8535" i="12"/>
  <c r="I8535" i="12"/>
  <c r="H8535" i="12"/>
  <c r="F8535" i="12"/>
  <c r="J8534" i="12"/>
  <c r="I8534" i="12"/>
  <c r="H8534" i="12"/>
  <c r="F8534" i="12"/>
  <c r="J8533" i="12"/>
  <c r="I8533" i="12"/>
  <c r="H8533" i="12"/>
  <c r="F8533" i="12"/>
  <c r="J8532" i="12"/>
  <c r="I8532" i="12"/>
  <c r="H8532" i="12"/>
  <c r="F8532" i="12"/>
  <c r="J8531" i="12"/>
  <c r="I8531" i="12"/>
  <c r="H8531" i="12"/>
  <c r="F8531" i="12"/>
  <c r="J8530" i="12"/>
  <c r="I8530" i="12"/>
  <c r="H8530" i="12"/>
  <c r="F8530" i="12"/>
  <c r="J8529" i="12"/>
  <c r="I8529" i="12"/>
  <c r="H8529" i="12"/>
  <c r="F8529" i="12"/>
  <c r="J8528" i="12"/>
  <c r="I8528" i="12"/>
  <c r="H8528" i="12"/>
  <c r="F8528" i="12"/>
  <c r="J8527" i="12"/>
  <c r="I8527" i="12"/>
  <c r="H8527" i="12"/>
  <c r="F8527" i="12"/>
  <c r="J8526" i="12"/>
  <c r="I8526" i="12"/>
  <c r="H8526" i="12"/>
  <c r="F8526" i="12"/>
  <c r="J8525" i="12"/>
  <c r="I8525" i="12"/>
  <c r="H8525" i="12"/>
  <c r="F8525" i="12"/>
  <c r="J8524" i="12"/>
  <c r="I8524" i="12"/>
  <c r="H8524" i="12"/>
  <c r="F8524" i="12"/>
  <c r="J8523" i="12"/>
  <c r="I8523" i="12"/>
  <c r="H8523" i="12"/>
  <c r="F8523" i="12"/>
  <c r="J8522" i="12"/>
  <c r="I8522" i="12"/>
  <c r="H8522" i="12"/>
  <c r="F8522" i="12"/>
  <c r="J8521" i="12"/>
  <c r="I8521" i="12"/>
  <c r="H8521" i="12"/>
  <c r="F8521" i="12"/>
  <c r="J8520" i="12"/>
  <c r="I8520" i="12"/>
  <c r="H8520" i="12"/>
  <c r="F8520" i="12"/>
  <c r="J8519" i="12"/>
  <c r="I8519" i="12"/>
  <c r="H8519" i="12"/>
  <c r="F8519" i="12"/>
  <c r="J8518" i="12"/>
  <c r="I8518" i="12"/>
  <c r="H8518" i="12"/>
  <c r="F8518" i="12"/>
  <c r="J8517" i="12"/>
  <c r="I8517" i="12"/>
  <c r="H8517" i="12"/>
  <c r="F8517" i="12"/>
  <c r="J8516" i="12"/>
  <c r="I8516" i="12"/>
  <c r="H8516" i="12"/>
  <c r="F8516" i="12"/>
  <c r="J8515" i="12"/>
  <c r="I8515" i="12"/>
  <c r="H8515" i="12"/>
  <c r="F8515" i="12"/>
  <c r="J8514" i="12"/>
  <c r="I8514" i="12"/>
  <c r="H8514" i="12"/>
  <c r="F8514" i="12"/>
  <c r="J8513" i="12"/>
  <c r="I8513" i="12"/>
  <c r="H8513" i="12"/>
  <c r="F8513" i="12"/>
  <c r="J8512" i="12"/>
  <c r="I8512" i="12"/>
  <c r="H8512" i="12"/>
  <c r="F8512" i="12"/>
  <c r="J8511" i="12"/>
  <c r="I8511" i="12"/>
  <c r="H8511" i="12"/>
  <c r="F8511" i="12"/>
  <c r="J8510" i="12"/>
  <c r="I8510" i="12"/>
  <c r="H8510" i="12"/>
  <c r="F8510" i="12"/>
  <c r="J8509" i="12"/>
  <c r="I8509" i="12"/>
  <c r="H8509" i="12"/>
  <c r="F8509" i="12"/>
  <c r="J8508" i="12"/>
  <c r="I8508" i="12"/>
  <c r="H8508" i="12"/>
  <c r="F8508" i="12"/>
  <c r="J8507" i="12"/>
  <c r="I8507" i="12"/>
  <c r="H8507" i="12"/>
  <c r="F8507" i="12"/>
  <c r="J8506" i="12"/>
  <c r="I8506" i="12"/>
  <c r="H8506" i="12"/>
  <c r="F8506" i="12"/>
  <c r="J8505" i="12"/>
  <c r="I8505" i="12"/>
  <c r="H8505" i="12"/>
  <c r="F8505" i="12"/>
  <c r="J8504" i="12"/>
  <c r="I8504" i="12"/>
  <c r="H8504" i="12"/>
  <c r="F8504" i="12"/>
  <c r="J8503" i="12"/>
  <c r="I8503" i="12"/>
  <c r="H8503" i="12"/>
  <c r="F8503" i="12"/>
  <c r="J8502" i="12"/>
  <c r="I8502" i="12"/>
  <c r="H8502" i="12"/>
  <c r="F8502" i="12"/>
  <c r="J8501" i="12"/>
  <c r="I8501" i="12"/>
  <c r="H8501" i="12"/>
  <c r="F8501" i="12"/>
  <c r="J8500" i="12"/>
  <c r="I8500" i="12"/>
  <c r="H8500" i="12"/>
  <c r="F8500" i="12"/>
  <c r="J8499" i="12"/>
  <c r="I8499" i="12"/>
  <c r="H8499" i="12"/>
  <c r="F8499" i="12"/>
  <c r="J8498" i="12"/>
  <c r="I8498" i="12"/>
  <c r="H8498" i="12"/>
  <c r="F8498" i="12"/>
  <c r="J8497" i="12"/>
  <c r="I8497" i="12"/>
  <c r="H8497" i="12"/>
  <c r="F8497" i="12"/>
  <c r="J8496" i="12"/>
  <c r="I8496" i="12"/>
  <c r="H8496" i="12"/>
  <c r="F8496" i="12"/>
  <c r="J8495" i="12"/>
  <c r="I8495" i="12"/>
  <c r="H8495" i="12"/>
  <c r="F8495" i="12"/>
  <c r="J8494" i="12"/>
  <c r="I8494" i="12"/>
  <c r="H8494" i="12"/>
  <c r="F8494" i="12"/>
  <c r="J8493" i="12"/>
  <c r="I8493" i="12"/>
  <c r="H8493" i="12"/>
  <c r="F8493" i="12"/>
  <c r="J8492" i="12"/>
  <c r="I8492" i="12"/>
  <c r="H8492" i="12"/>
  <c r="F8492" i="12"/>
  <c r="J8491" i="12"/>
  <c r="I8491" i="12"/>
  <c r="H8491" i="12"/>
  <c r="F8491" i="12"/>
  <c r="J8490" i="12"/>
  <c r="I8490" i="12"/>
  <c r="H8490" i="12"/>
  <c r="F8490" i="12"/>
  <c r="J8489" i="12"/>
  <c r="I8489" i="12"/>
  <c r="H8489" i="12"/>
  <c r="F8489" i="12"/>
  <c r="J8488" i="12"/>
  <c r="I8488" i="12"/>
  <c r="H8488" i="12"/>
  <c r="F8488" i="12"/>
  <c r="J8487" i="12"/>
  <c r="I8487" i="12"/>
  <c r="H8487" i="12"/>
  <c r="F8487" i="12"/>
  <c r="J8486" i="12"/>
  <c r="I8486" i="12"/>
  <c r="H8486" i="12"/>
  <c r="F8486" i="12"/>
  <c r="J8485" i="12"/>
  <c r="I8485" i="12"/>
  <c r="H8485" i="12"/>
  <c r="F8485" i="12"/>
  <c r="J8484" i="12"/>
  <c r="I8484" i="12"/>
  <c r="H8484" i="12"/>
  <c r="F8484" i="12"/>
  <c r="J8483" i="12"/>
  <c r="I8483" i="12"/>
  <c r="H8483" i="12"/>
  <c r="F8483" i="12"/>
  <c r="J8482" i="12"/>
  <c r="I8482" i="12"/>
  <c r="H8482" i="12"/>
  <c r="F8482" i="12"/>
  <c r="J8481" i="12"/>
  <c r="I8481" i="12"/>
  <c r="H8481" i="12"/>
  <c r="F8481" i="12"/>
  <c r="J8480" i="12"/>
  <c r="I8480" i="12"/>
  <c r="H8480" i="12"/>
  <c r="F8480" i="12"/>
  <c r="J8479" i="12"/>
  <c r="I8479" i="12"/>
  <c r="H8479" i="12"/>
  <c r="F8479" i="12"/>
  <c r="J8478" i="12"/>
  <c r="I8478" i="12"/>
  <c r="H8478" i="12"/>
  <c r="F8478" i="12"/>
  <c r="J8477" i="12"/>
  <c r="I8477" i="12"/>
  <c r="H8477" i="12"/>
  <c r="F8477" i="12"/>
  <c r="J8476" i="12"/>
  <c r="I8476" i="12"/>
  <c r="H8476" i="12"/>
  <c r="F8476" i="12"/>
  <c r="J8475" i="12"/>
  <c r="I8475" i="12"/>
  <c r="H8475" i="12"/>
  <c r="F8475" i="12"/>
  <c r="J8474" i="12"/>
  <c r="I8474" i="12"/>
  <c r="H8474" i="12"/>
  <c r="F8474" i="12"/>
  <c r="J8473" i="12"/>
  <c r="I8473" i="12"/>
  <c r="H8473" i="12"/>
  <c r="F8473" i="12"/>
  <c r="J8472" i="12"/>
  <c r="I8472" i="12"/>
  <c r="H8472" i="12"/>
  <c r="F8472" i="12"/>
  <c r="J8471" i="12"/>
  <c r="I8471" i="12"/>
  <c r="H8471" i="12"/>
  <c r="F8471" i="12"/>
  <c r="J8470" i="12"/>
  <c r="I8470" i="12"/>
  <c r="H8470" i="12"/>
  <c r="F8470" i="12"/>
  <c r="J8469" i="12"/>
  <c r="I8469" i="12"/>
  <c r="H8469" i="12"/>
  <c r="F8469" i="12"/>
  <c r="J8468" i="12"/>
  <c r="I8468" i="12"/>
  <c r="H8468" i="12"/>
  <c r="F8468" i="12"/>
  <c r="J8467" i="12"/>
  <c r="I8467" i="12"/>
  <c r="H8467" i="12"/>
  <c r="F8467" i="12"/>
  <c r="J8466" i="12"/>
  <c r="I8466" i="12"/>
  <c r="H8466" i="12"/>
  <c r="F8466" i="12"/>
  <c r="J8465" i="12"/>
  <c r="I8465" i="12"/>
  <c r="H8465" i="12"/>
  <c r="F8465" i="12"/>
  <c r="J8464" i="12"/>
  <c r="I8464" i="12"/>
  <c r="H8464" i="12"/>
  <c r="F8464" i="12"/>
  <c r="J8463" i="12"/>
  <c r="I8463" i="12"/>
  <c r="H8463" i="12"/>
  <c r="F8463" i="12"/>
  <c r="J8462" i="12"/>
  <c r="I8462" i="12"/>
  <c r="H8462" i="12"/>
  <c r="F8462" i="12"/>
  <c r="J8461" i="12"/>
  <c r="I8461" i="12"/>
  <c r="H8461" i="12"/>
  <c r="F8461" i="12"/>
  <c r="J8460" i="12"/>
  <c r="I8460" i="12"/>
  <c r="H8460" i="12"/>
  <c r="F8460" i="12"/>
  <c r="J8459" i="12"/>
  <c r="I8459" i="12"/>
  <c r="H8459" i="12"/>
  <c r="F8459" i="12"/>
  <c r="J8458" i="12"/>
  <c r="I8458" i="12"/>
  <c r="H8458" i="12"/>
  <c r="F8458" i="12"/>
  <c r="J8457" i="12"/>
  <c r="I8457" i="12"/>
  <c r="H8457" i="12"/>
  <c r="F8457" i="12"/>
  <c r="J8456" i="12"/>
  <c r="I8456" i="12"/>
  <c r="H8456" i="12"/>
  <c r="F8456" i="12"/>
  <c r="J8455" i="12"/>
  <c r="I8455" i="12"/>
  <c r="H8455" i="12"/>
  <c r="F8455" i="12"/>
  <c r="J8454" i="12"/>
  <c r="I8454" i="12"/>
  <c r="H8454" i="12"/>
  <c r="F8454" i="12"/>
  <c r="J8453" i="12"/>
  <c r="I8453" i="12"/>
  <c r="H8453" i="12"/>
  <c r="F8453" i="12"/>
  <c r="J8452" i="12"/>
  <c r="I8452" i="12"/>
  <c r="H8452" i="12"/>
  <c r="F8452" i="12"/>
  <c r="J8451" i="12"/>
  <c r="I8451" i="12"/>
  <c r="H8451" i="12"/>
  <c r="F8451" i="12"/>
  <c r="J8450" i="12"/>
  <c r="I8450" i="12"/>
  <c r="H8450" i="12"/>
  <c r="F8450" i="12"/>
  <c r="J8449" i="12"/>
  <c r="I8449" i="12"/>
  <c r="H8449" i="12"/>
  <c r="F8449" i="12"/>
  <c r="J8448" i="12"/>
  <c r="I8448" i="12"/>
  <c r="H8448" i="12"/>
  <c r="F8448" i="12"/>
  <c r="J8447" i="12"/>
  <c r="I8447" i="12"/>
  <c r="H8447" i="12"/>
  <c r="F8447" i="12"/>
  <c r="J8446" i="12"/>
  <c r="I8446" i="12"/>
  <c r="H8446" i="12"/>
  <c r="F8446" i="12"/>
  <c r="J8445" i="12"/>
  <c r="I8445" i="12"/>
  <c r="H8445" i="12"/>
  <c r="F8445" i="12"/>
  <c r="J8444" i="12"/>
  <c r="I8444" i="12"/>
  <c r="H8444" i="12"/>
  <c r="F8444" i="12"/>
  <c r="J8443" i="12"/>
  <c r="I8443" i="12"/>
  <c r="H8443" i="12"/>
  <c r="F8443" i="12"/>
  <c r="J8442" i="12"/>
  <c r="I8442" i="12"/>
  <c r="H8442" i="12"/>
  <c r="F8442" i="12"/>
  <c r="J8441" i="12"/>
  <c r="I8441" i="12"/>
  <c r="H8441" i="12"/>
  <c r="F8441" i="12"/>
  <c r="J8440" i="12"/>
  <c r="I8440" i="12"/>
  <c r="H8440" i="12"/>
  <c r="F8440" i="12"/>
  <c r="J8439" i="12"/>
  <c r="I8439" i="12"/>
  <c r="H8439" i="12"/>
  <c r="F8439" i="12"/>
  <c r="J8438" i="12"/>
  <c r="I8438" i="12"/>
  <c r="H8438" i="12"/>
  <c r="F8438" i="12"/>
  <c r="J8437" i="12"/>
  <c r="I8437" i="12"/>
  <c r="H8437" i="12"/>
  <c r="F8437" i="12"/>
  <c r="J8436" i="12"/>
  <c r="I8436" i="12"/>
  <c r="H8436" i="12"/>
  <c r="F8436" i="12"/>
  <c r="J8435" i="12"/>
  <c r="I8435" i="12"/>
  <c r="H8435" i="12"/>
  <c r="F8435" i="12"/>
  <c r="J8434" i="12"/>
  <c r="I8434" i="12"/>
  <c r="H8434" i="12"/>
  <c r="F8434" i="12"/>
  <c r="J8433" i="12"/>
  <c r="I8433" i="12"/>
  <c r="H8433" i="12"/>
  <c r="F8433" i="12"/>
  <c r="J8432" i="12"/>
  <c r="I8432" i="12"/>
  <c r="H8432" i="12"/>
  <c r="F8432" i="12"/>
  <c r="J8431" i="12"/>
  <c r="I8431" i="12"/>
  <c r="H8431" i="12"/>
  <c r="F8431" i="12"/>
  <c r="J8430" i="12"/>
  <c r="I8430" i="12"/>
  <c r="H8430" i="12"/>
  <c r="F8430" i="12"/>
  <c r="J8429" i="12"/>
  <c r="I8429" i="12"/>
  <c r="H8429" i="12"/>
  <c r="F8429" i="12"/>
  <c r="J8428" i="12"/>
  <c r="I8428" i="12"/>
  <c r="H8428" i="12"/>
  <c r="F8428" i="12"/>
  <c r="J8427" i="12"/>
  <c r="I8427" i="12"/>
  <c r="H8427" i="12"/>
  <c r="F8427" i="12"/>
  <c r="J8426" i="12"/>
  <c r="I8426" i="12"/>
  <c r="H8426" i="12"/>
  <c r="F8426" i="12"/>
  <c r="J8425" i="12"/>
  <c r="I8425" i="12"/>
  <c r="H8425" i="12"/>
  <c r="F8425" i="12"/>
  <c r="J8424" i="12"/>
  <c r="I8424" i="12"/>
  <c r="H8424" i="12"/>
  <c r="F8424" i="12"/>
  <c r="J8423" i="12"/>
  <c r="I8423" i="12"/>
  <c r="H8423" i="12"/>
  <c r="F8423" i="12"/>
  <c r="J8422" i="12"/>
  <c r="I8422" i="12"/>
  <c r="H8422" i="12"/>
  <c r="F8422" i="12"/>
  <c r="J8421" i="12"/>
  <c r="I8421" i="12"/>
  <c r="H8421" i="12"/>
  <c r="F8421" i="12"/>
  <c r="J8420" i="12"/>
  <c r="I8420" i="12"/>
  <c r="H8420" i="12"/>
  <c r="F8420" i="12"/>
  <c r="J8419" i="12"/>
  <c r="I8419" i="12"/>
  <c r="H8419" i="12"/>
  <c r="F8419" i="12"/>
  <c r="J8418" i="12"/>
  <c r="I8418" i="12"/>
  <c r="H8418" i="12"/>
  <c r="F8418" i="12"/>
  <c r="J8417" i="12"/>
  <c r="I8417" i="12"/>
  <c r="H8417" i="12"/>
  <c r="F8417" i="12"/>
  <c r="J8416" i="12"/>
  <c r="I8416" i="12"/>
  <c r="H8416" i="12"/>
  <c r="F8416" i="12"/>
  <c r="J8415" i="12"/>
  <c r="I8415" i="12"/>
  <c r="H8415" i="12"/>
  <c r="F8415" i="12"/>
  <c r="J8414" i="12"/>
  <c r="I8414" i="12"/>
  <c r="H8414" i="12"/>
  <c r="F8414" i="12"/>
  <c r="J8413" i="12"/>
  <c r="I8413" i="12"/>
  <c r="H8413" i="12"/>
  <c r="F8413" i="12"/>
  <c r="J8412" i="12"/>
  <c r="I8412" i="12"/>
  <c r="H8412" i="12"/>
  <c r="F8412" i="12"/>
  <c r="J8411" i="12"/>
  <c r="I8411" i="12"/>
  <c r="H8411" i="12"/>
  <c r="F8411" i="12"/>
  <c r="J8410" i="12"/>
  <c r="I8410" i="12"/>
  <c r="H8410" i="12"/>
  <c r="F8410" i="12"/>
  <c r="J8409" i="12"/>
  <c r="I8409" i="12"/>
  <c r="H8409" i="12"/>
  <c r="F8409" i="12"/>
  <c r="J8408" i="12"/>
  <c r="I8408" i="12"/>
  <c r="H8408" i="12"/>
  <c r="F8408" i="12"/>
  <c r="J8407" i="12"/>
  <c r="I8407" i="12"/>
  <c r="H8407" i="12"/>
  <c r="F8407" i="12"/>
  <c r="J8406" i="12"/>
  <c r="I8406" i="12"/>
  <c r="H8406" i="12"/>
  <c r="F8406" i="12"/>
  <c r="J8405" i="12"/>
  <c r="I8405" i="12"/>
  <c r="H8405" i="12"/>
  <c r="F8405" i="12"/>
  <c r="J8404" i="12"/>
  <c r="I8404" i="12"/>
  <c r="H8404" i="12"/>
  <c r="F8404" i="12"/>
  <c r="J8403" i="12"/>
  <c r="I8403" i="12"/>
  <c r="H8403" i="12"/>
  <c r="F8403" i="12"/>
  <c r="J8402" i="12"/>
  <c r="I8402" i="12"/>
  <c r="H8402" i="12"/>
  <c r="F8402" i="12"/>
  <c r="J8401" i="12"/>
  <c r="I8401" i="12"/>
  <c r="H8401" i="12"/>
  <c r="F8401" i="12"/>
  <c r="J8400" i="12"/>
  <c r="I8400" i="12"/>
  <c r="H8400" i="12"/>
  <c r="F8400" i="12"/>
  <c r="J8399" i="12"/>
  <c r="I8399" i="12"/>
  <c r="H8399" i="12"/>
  <c r="F8399" i="12"/>
  <c r="J8398" i="12"/>
  <c r="I8398" i="12"/>
  <c r="H8398" i="12"/>
  <c r="F8398" i="12"/>
  <c r="J8397" i="12"/>
  <c r="I8397" i="12"/>
  <c r="H8397" i="12"/>
  <c r="F8397" i="12"/>
  <c r="J8396" i="12"/>
  <c r="I8396" i="12"/>
  <c r="H8396" i="12"/>
  <c r="F8396" i="12"/>
  <c r="J8395" i="12"/>
  <c r="I8395" i="12"/>
  <c r="H8395" i="12"/>
  <c r="F8395" i="12"/>
  <c r="J8394" i="12"/>
  <c r="I8394" i="12"/>
  <c r="H8394" i="12"/>
  <c r="F8394" i="12"/>
  <c r="J8393" i="12"/>
  <c r="I8393" i="12"/>
  <c r="H8393" i="12"/>
  <c r="F8393" i="12"/>
  <c r="J8392" i="12"/>
  <c r="I8392" i="12"/>
  <c r="H8392" i="12"/>
  <c r="F8392" i="12"/>
  <c r="J8391" i="12"/>
  <c r="I8391" i="12"/>
  <c r="H8391" i="12"/>
  <c r="F8391" i="12"/>
  <c r="J8390" i="12"/>
  <c r="I8390" i="12"/>
  <c r="H8390" i="12"/>
  <c r="F8390" i="12"/>
  <c r="J8389" i="12"/>
  <c r="I8389" i="12"/>
  <c r="H8389" i="12"/>
  <c r="F8389" i="12"/>
  <c r="J8388" i="12"/>
  <c r="I8388" i="12"/>
  <c r="H8388" i="12"/>
  <c r="F8388" i="12"/>
  <c r="J8387" i="12"/>
  <c r="I8387" i="12"/>
  <c r="H8387" i="12"/>
  <c r="F8387" i="12"/>
  <c r="J8386" i="12"/>
  <c r="I8386" i="12"/>
  <c r="H8386" i="12"/>
  <c r="F8386" i="12"/>
  <c r="J8385" i="12"/>
  <c r="I8385" i="12"/>
  <c r="H8385" i="12"/>
  <c r="F8385" i="12"/>
  <c r="J8384" i="12"/>
  <c r="I8384" i="12"/>
  <c r="H8384" i="12"/>
  <c r="F8384" i="12"/>
  <c r="J8383" i="12"/>
  <c r="I8383" i="12"/>
  <c r="H8383" i="12"/>
  <c r="F8383" i="12"/>
  <c r="J8382" i="12"/>
  <c r="I8382" i="12"/>
  <c r="H8382" i="12"/>
  <c r="F8382" i="12"/>
  <c r="J8381" i="12"/>
  <c r="I8381" i="12"/>
  <c r="H8381" i="12"/>
  <c r="F8381" i="12"/>
  <c r="J8380" i="12"/>
  <c r="I8380" i="12"/>
  <c r="H8380" i="12"/>
  <c r="F8380" i="12"/>
  <c r="J8379" i="12"/>
  <c r="I8379" i="12"/>
  <c r="H8379" i="12"/>
  <c r="F8379" i="12"/>
  <c r="J8378" i="12"/>
  <c r="I8378" i="12"/>
  <c r="H8378" i="12"/>
  <c r="F8378" i="12"/>
  <c r="J8377" i="12"/>
  <c r="I8377" i="12"/>
  <c r="H8377" i="12"/>
  <c r="F8377" i="12"/>
  <c r="J8376" i="12"/>
  <c r="I8376" i="12"/>
  <c r="H8376" i="12"/>
  <c r="F8376" i="12"/>
  <c r="J8375" i="12"/>
  <c r="I8375" i="12"/>
  <c r="H8375" i="12"/>
  <c r="F8375" i="12"/>
  <c r="J8374" i="12"/>
  <c r="I8374" i="12"/>
  <c r="H8374" i="12"/>
  <c r="F8374" i="12"/>
  <c r="J8373" i="12"/>
  <c r="I8373" i="12"/>
  <c r="H8373" i="12"/>
  <c r="F8373" i="12"/>
  <c r="J8372" i="12"/>
  <c r="I8372" i="12"/>
  <c r="H8372" i="12"/>
  <c r="F8372" i="12"/>
  <c r="J8371" i="12"/>
  <c r="I8371" i="12"/>
  <c r="H8371" i="12"/>
  <c r="F8371" i="12"/>
  <c r="J8370" i="12"/>
  <c r="I8370" i="12"/>
  <c r="H8370" i="12"/>
  <c r="F8370" i="12"/>
  <c r="J8369" i="12"/>
  <c r="I8369" i="12"/>
  <c r="H8369" i="12"/>
  <c r="F8369" i="12"/>
  <c r="J8368" i="12"/>
  <c r="I8368" i="12"/>
  <c r="H8368" i="12"/>
  <c r="F8368" i="12"/>
  <c r="J8367" i="12"/>
  <c r="I8367" i="12"/>
  <c r="H8367" i="12"/>
  <c r="F8367" i="12"/>
  <c r="J8366" i="12"/>
  <c r="I8366" i="12"/>
  <c r="H8366" i="12"/>
  <c r="F8366" i="12"/>
  <c r="J8365" i="12"/>
  <c r="I8365" i="12"/>
  <c r="H8365" i="12"/>
  <c r="F8365" i="12"/>
  <c r="J8364" i="12"/>
  <c r="I8364" i="12"/>
  <c r="H8364" i="12"/>
  <c r="F8364" i="12"/>
  <c r="J8363" i="12"/>
  <c r="I8363" i="12"/>
  <c r="H8363" i="12"/>
  <c r="F8363" i="12"/>
  <c r="J8362" i="12"/>
  <c r="I8362" i="12"/>
  <c r="H8362" i="12"/>
  <c r="F8362" i="12"/>
  <c r="J8361" i="12"/>
  <c r="I8361" i="12"/>
  <c r="H8361" i="12"/>
  <c r="F8361" i="12"/>
  <c r="J8360" i="12"/>
  <c r="I8360" i="12"/>
  <c r="H8360" i="12"/>
  <c r="F8360" i="12"/>
  <c r="J8359" i="12"/>
  <c r="I8359" i="12"/>
  <c r="H8359" i="12"/>
  <c r="F8359" i="12"/>
  <c r="J8358" i="12"/>
  <c r="I8358" i="12"/>
  <c r="H8358" i="12"/>
  <c r="F8358" i="12"/>
  <c r="J8357" i="12"/>
  <c r="I8357" i="12"/>
  <c r="H8357" i="12"/>
  <c r="F8357" i="12"/>
  <c r="J8356" i="12"/>
  <c r="I8356" i="12"/>
  <c r="H8356" i="12"/>
  <c r="F8356" i="12"/>
  <c r="J8355" i="12"/>
  <c r="I8355" i="12"/>
  <c r="H8355" i="12"/>
  <c r="F8355" i="12"/>
  <c r="J8354" i="12"/>
  <c r="I8354" i="12"/>
  <c r="H8354" i="12"/>
  <c r="F8354" i="12"/>
  <c r="J8353" i="12"/>
  <c r="I8353" i="12"/>
  <c r="H8353" i="12"/>
  <c r="F8353" i="12"/>
  <c r="J8352" i="12"/>
  <c r="I8352" i="12"/>
  <c r="H8352" i="12"/>
  <c r="F8352" i="12"/>
  <c r="J8351" i="12"/>
  <c r="I8351" i="12"/>
  <c r="H8351" i="12"/>
  <c r="F8351" i="12"/>
  <c r="J8350" i="12"/>
  <c r="I8350" i="12"/>
  <c r="H8350" i="12"/>
  <c r="F8350" i="12"/>
  <c r="J8349" i="12"/>
  <c r="I8349" i="12"/>
  <c r="H8349" i="12"/>
  <c r="F8349" i="12"/>
  <c r="J8348" i="12"/>
  <c r="I8348" i="12"/>
  <c r="H8348" i="12"/>
  <c r="F8348" i="12"/>
  <c r="J8347" i="12"/>
  <c r="I8347" i="12"/>
  <c r="H8347" i="12"/>
  <c r="F8347" i="12"/>
  <c r="J8346" i="12"/>
  <c r="I8346" i="12"/>
  <c r="H8346" i="12"/>
  <c r="F8346" i="12"/>
  <c r="J8345" i="12"/>
  <c r="I8345" i="12"/>
  <c r="H8345" i="12"/>
  <c r="F8345" i="12"/>
  <c r="J8344" i="12"/>
  <c r="I8344" i="12"/>
  <c r="H8344" i="12"/>
  <c r="F8344" i="12"/>
  <c r="J8343" i="12"/>
  <c r="I8343" i="12"/>
  <c r="H8343" i="12"/>
  <c r="F8343" i="12"/>
  <c r="J8342" i="12"/>
  <c r="I8342" i="12"/>
  <c r="H8342" i="12"/>
  <c r="F8342" i="12"/>
  <c r="J8341" i="12"/>
  <c r="I8341" i="12"/>
  <c r="H8341" i="12"/>
  <c r="F8341" i="12"/>
  <c r="J8340" i="12"/>
  <c r="I8340" i="12"/>
  <c r="H8340" i="12"/>
  <c r="F8340" i="12"/>
  <c r="J8339" i="12"/>
  <c r="I8339" i="12"/>
  <c r="H8339" i="12"/>
  <c r="F8339" i="12"/>
  <c r="J8338" i="12"/>
  <c r="I8338" i="12"/>
  <c r="H8338" i="12"/>
  <c r="F8338" i="12"/>
  <c r="J8337" i="12"/>
  <c r="I8337" i="12"/>
  <c r="H8337" i="12"/>
  <c r="F8337" i="12"/>
  <c r="J8336" i="12"/>
  <c r="I8336" i="12"/>
  <c r="H8336" i="12"/>
  <c r="F8336" i="12"/>
  <c r="J8335" i="12"/>
  <c r="I8335" i="12"/>
  <c r="H8335" i="12"/>
  <c r="F8335" i="12"/>
  <c r="J8334" i="12"/>
  <c r="I8334" i="12"/>
  <c r="H8334" i="12"/>
  <c r="F8334" i="12"/>
  <c r="J8333" i="12"/>
  <c r="I8333" i="12"/>
  <c r="H8333" i="12"/>
  <c r="F8333" i="12"/>
  <c r="J8332" i="12"/>
  <c r="I8332" i="12"/>
  <c r="H8332" i="12"/>
  <c r="F8332" i="12"/>
  <c r="J8331" i="12"/>
  <c r="I8331" i="12"/>
  <c r="H8331" i="12"/>
  <c r="F8331" i="12"/>
  <c r="J8330" i="12"/>
  <c r="I8330" i="12"/>
  <c r="H8330" i="12"/>
  <c r="F8330" i="12"/>
  <c r="J8329" i="12"/>
  <c r="I8329" i="12"/>
  <c r="H8329" i="12"/>
  <c r="F8329" i="12"/>
  <c r="J8328" i="12"/>
  <c r="I8328" i="12"/>
  <c r="H8328" i="12"/>
  <c r="F8328" i="12"/>
  <c r="J8327" i="12"/>
  <c r="I8327" i="12"/>
  <c r="H8327" i="12"/>
  <c r="F8327" i="12"/>
  <c r="J8326" i="12"/>
  <c r="I8326" i="12"/>
  <c r="H8326" i="12"/>
  <c r="F8326" i="12"/>
  <c r="J8325" i="12"/>
  <c r="I8325" i="12"/>
  <c r="H8325" i="12"/>
  <c r="F8325" i="12"/>
  <c r="J8324" i="12"/>
  <c r="I8324" i="12"/>
  <c r="H8324" i="12"/>
  <c r="F8324" i="12"/>
  <c r="J8323" i="12"/>
  <c r="I8323" i="12"/>
  <c r="H8323" i="12"/>
  <c r="F8323" i="12"/>
  <c r="J8322" i="12"/>
  <c r="I8322" i="12"/>
  <c r="H8322" i="12"/>
  <c r="F8322" i="12"/>
  <c r="J8321" i="12"/>
  <c r="I8321" i="12"/>
  <c r="H8321" i="12"/>
  <c r="F8321" i="12"/>
  <c r="J8320" i="12"/>
  <c r="I8320" i="12"/>
  <c r="H8320" i="12"/>
  <c r="F8320" i="12"/>
  <c r="J8319" i="12"/>
  <c r="I8319" i="12"/>
  <c r="H8319" i="12"/>
  <c r="F8319" i="12"/>
  <c r="J8318" i="12"/>
  <c r="I8318" i="12"/>
  <c r="H8318" i="12"/>
  <c r="F8318" i="12"/>
  <c r="J8317" i="12"/>
  <c r="I8317" i="12"/>
  <c r="H8317" i="12"/>
  <c r="F8317" i="12"/>
  <c r="J8316" i="12"/>
  <c r="I8316" i="12"/>
  <c r="H8316" i="12"/>
  <c r="F8316" i="12"/>
  <c r="J8315" i="12"/>
  <c r="I8315" i="12"/>
  <c r="H8315" i="12"/>
  <c r="F8315" i="12"/>
  <c r="J8314" i="12"/>
  <c r="I8314" i="12"/>
  <c r="H8314" i="12"/>
  <c r="F8314" i="12"/>
  <c r="J8313" i="12"/>
  <c r="I8313" i="12"/>
  <c r="H8313" i="12"/>
  <c r="F8313" i="12"/>
  <c r="J8312" i="12"/>
  <c r="I8312" i="12"/>
  <c r="H8312" i="12"/>
  <c r="F8312" i="12"/>
  <c r="J8311" i="12"/>
  <c r="I8311" i="12"/>
  <c r="H8311" i="12"/>
  <c r="F8311" i="12"/>
  <c r="J8310" i="12"/>
  <c r="I8310" i="12"/>
  <c r="H8310" i="12"/>
  <c r="F8310" i="12"/>
  <c r="J8309" i="12"/>
  <c r="I8309" i="12"/>
  <c r="H8309" i="12"/>
  <c r="F8309" i="12"/>
  <c r="J8308" i="12"/>
  <c r="I8308" i="12"/>
  <c r="H8308" i="12"/>
  <c r="F8308" i="12"/>
  <c r="J8307" i="12"/>
  <c r="I8307" i="12"/>
  <c r="H8307" i="12"/>
  <c r="F8307" i="12"/>
  <c r="J8306" i="12"/>
  <c r="I8306" i="12"/>
  <c r="H8306" i="12"/>
  <c r="F8306" i="12"/>
  <c r="J8305" i="12"/>
  <c r="I8305" i="12"/>
  <c r="H8305" i="12"/>
  <c r="F8305" i="12"/>
  <c r="J8304" i="12"/>
  <c r="I8304" i="12"/>
  <c r="H8304" i="12"/>
  <c r="F8304" i="12"/>
  <c r="J8303" i="12"/>
  <c r="I8303" i="12"/>
  <c r="H8303" i="12"/>
  <c r="F8303" i="12"/>
  <c r="J8302" i="12"/>
  <c r="I8302" i="12"/>
  <c r="H8302" i="12"/>
  <c r="F8302" i="12"/>
  <c r="J8301" i="12"/>
  <c r="I8301" i="12"/>
  <c r="H8301" i="12"/>
  <c r="F8301" i="12"/>
  <c r="J8300" i="12"/>
  <c r="I8300" i="12"/>
  <c r="H8300" i="12"/>
  <c r="F8300" i="12"/>
  <c r="J8299" i="12"/>
  <c r="I8299" i="12"/>
  <c r="H8299" i="12"/>
  <c r="F8299" i="12"/>
  <c r="J8298" i="12"/>
  <c r="I8298" i="12"/>
  <c r="H8298" i="12"/>
  <c r="F8298" i="12"/>
  <c r="J8297" i="12"/>
  <c r="I8297" i="12"/>
  <c r="H8297" i="12"/>
  <c r="F8297" i="12"/>
  <c r="J8296" i="12"/>
  <c r="I8296" i="12"/>
  <c r="H8296" i="12"/>
  <c r="F8296" i="12"/>
  <c r="J8295" i="12"/>
  <c r="I8295" i="12"/>
  <c r="H8295" i="12"/>
  <c r="F8295" i="12"/>
  <c r="J8294" i="12"/>
  <c r="I8294" i="12"/>
  <c r="H8294" i="12"/>
  <c r="F8294" i="12"/>
  <c r="J8293" i="12"/>
  <c r="I8293" i="12"/>
  <c r="H8293" i="12"/>
  <c r="F8293" i="12"/>
  <c r="J8292" i="12"/>
  <c r="I8292" i="12"/>
  <c r="H8292" i="12"/>
  <c r="F8292" i="12"/>
  <c r="J8291" i="12"/>
  <c r="I8291" i="12"/>
  <c r="H8291" i="12"/>
  <c r="F8291" i="12"/>
  <c r="J8290" i="12"/>
  <c r="I8290" i="12"/>
  <c r="H8290" i="12"/>
  <c r="F8290" i="12"/>
  <c r="J8289" i="12"/>
  <c r="I8289" i="12"/>
  <c r="H8289" i="12"/>
  <c r="F8289" i="12"/>
  <c r="J8288" i="12"/>
  <c r="I8288" i="12"/>
  <c r="H8288" i="12"/>
  <c r="F8288" i="12"/>
  <c r="J8287" i="12"/>
  <c r="I8287" i="12"/>
  <c r="H8287" i="12"/>
  <c r="F8287" i="12"/>
  <c r="J8286" i="12"/>
  <c r="I8286" i="12"/>
  <c r="H8286" i="12"/>
  <c r="F8286" i="12"/>
  <c r="J8285" i="12"/>
  <c r="I8285" i="12"/>
  <c r="H8285" i="12"/>
  <c r="F8285" i="12"/>
  <c r="J8284" i="12"/>
  <c r="I8284" i="12"/>
  <c r="H8284" i="12"/>
  <c r="F8284" i="12"/>
  <c r="J8283" i="12"/>
  <c r="I8283" i="12"/>
  <c r="H8283" i="12"/>
  <c r="F8283" i="12"/>
  <c r="J8282" i="12"/>
  <c r="I8282" i="12"/>
  <c r="H8282" i="12"/>
  <c r="F8282" i="12"/>
  <c r="J8281" i="12"/>
  <c r="I8281" i="12"/>
  <c r="H8281" i="12"/>
  <c r="F8281" i="12"/>
  <c r="J8280" i="12"/>
  <c r="I8280" i="12"/>
  <c r="H8280" i="12"/>
  <c r="F8280" i="12"/>
  <c r="J8279" i="12"/>
  <c r="I8279" i="12"/>
  <c r="H8279" i="12"/>
  <c r="F8279" i="12"/>
  <c r="J8278" i="12"/>
  <c r="I8278" i="12"/>
  <c r="H8278" i="12"/>
  <c r="F8278" i="12"/>
  <c r="J8277" i="12"/>
  <c r="I8277" i="12"/>
  <c r="H8277" i="12"/>
  <c r="F8277" i="12"/>
  <c r="J8276" i="12"/>
  <c r="I8276" i="12"/>
  <c r="H8276" i="12"/>
  <c r="F8276" i="12"/>
  <c r="J8275" i="12"/>
  <c r="I8275" i="12"/>
  <c r="H8275" i="12"/>
  <c r="F8275" i="12"/>
  <c r="J8274" i="12"/>
  <c r="I8274" i="12"/>
  <c r="H8274" i="12"/>
  <c r="F8274" i="12"/>
  <c r="J8273" i="12"/>
  <c r="I8273" i="12"/>
  <c r="H8273" i="12"/>
  <c r="F8273" i="12"/>
  <c r="J8272" i="12"/>
  <c r="I8272" i="12"/>
  <c r="H8272" i="12"/>
  <c r="F8272" i="12"/>
  <c r="J8271" i="12"/>
  <c r="I8271" i="12"/>
  <c r="H8271" i="12"/>
  <c r="F8271" i="12"/>
  <c r="J8270" i="12"/>
  <c r="I8270" i="12"/>
  <c r="H8270" i="12"/>
  <c r="F8270" i="12"/>
  <c r="J8269" i="12"/>
  <c r="I8269" i="12"/>
  <c r="H8269" i="12"/>
  <c r="F8269" i="12"/>
  <c r="J8268" i="12"/>
  <c r="I8268" i="12"/>
  <c r="H8268" i="12"/>
  <c r="F8268" i="12"/>
  <c r="J8267" i="12"/>
  <c r="I8267" i="12"/>
  <c r="H8267" i="12"/>
  <c r="F8267" i="12"/>
  <c r="J8266" i="12"/>
  <c r="I8266" i="12"/>
  <c r="H8266" i="12"/>
  <c r="F8266" i="12"/>
  <c r="J8265" i="12"/>
  <c r="I8265" i="12"/>
  <c r="H8265" i="12"/>
  <c r="F8265" i="12"/>
  <c r="J8264" i="12"/>
  <c r="I8264" i="12"/>
  <c r="H8264" i="12"/>
  <c r="F8264" i="12"/>
  <c r="J8263" i="12"/>
  <c r="I8263" i="12"/>
  <c r="H8263" i="12"/>
  <c r="F8263" i="12"/>
  <c r="J8262" i="12"/>
  <c r="I8262" i="12"/>
  <c r="H8262" i="12"/>
  <c r="F8262" i="12"/>
  <c r="J8261" i="12"/>
  <c r="I8261" i="12"/>
  <c r="H8261" i="12"/>
  <c r="F8261" i="12"/>
  <c r="J8260" i="12"/>
  <c r="I8260" i="12"/>
  <c r="H8260" i="12"/>
  <c r="F8260" i="12"/>
  <c r="J8259" i="12"/>
  <c r="I8259" i="12"/>
  <c r="H8259" i="12"/>
  <c r="F8259" i="12"/>
  <c r="J8258" i="12"/>
  <c r="I8258" i="12"/>
  <c r="H8258" i="12"/>
  <c r="F8258" i="12"/>
  <c r="J8257" i="12"/>
  <c r="I8257" i="12"/>
  <c r="H8257" i="12"/>
  <c r="F8257" i="12"/>
  <c r="J8256" i="12"/>
  <c r="I8256" i="12"/>
  <c r="H8256" i="12"/>
  <c r="F8256" i="12"/>
  <c r="J8255" i="12"/>
  <c r="I8255" i="12"/>
  <c r="H8255" i="12"/>
  <c r="F8255" i="12"/>
  <c r="J8254" i="12"/>
  <c r="I8254" i="12"/>
  <c r="H8254" i="12"/>
  <c r="F8254" i="12"/>
  <c r="J8253" i="12"/>
  <c r="I8253" i="12"/>
  <c r="H8253" i="12"/>
  <c r="F8253" i="12"/>
  <c r="J8252" i="12"/>
  <c r="I8252" i="12"/>
  <c r="H8252" i="12"/>
  <c r="F8252" i="12"/>
  <c r="J8251" i="12"/>
  <c r="I8251" i="12"/>
  <c r="H8251" i="12"/>
  <c r="F8251" i="12"/>
  <c r="J8250" i="12"/>
  <c r="I8250" i="12"/>
  <c r="H8250" i="12"/>
  <c r="F8250" i="12"/>
  <c r="J8249" i="12"/>
  <c r="I8249" i="12"/>
  <c r="H8249" i="12"/>
  <c r="F8249" i="12"/>
  <c r="J8248" i="12"/>
  <c r="I8248" i="12"/>
  <c r="H8248" i="12"/>
  <c r="F8248" i="12"/>
  <c r="J8247" i="12"/>
  <c r="I8247" i="12"/>
  <c r="H8247" i="12"/>
  <c r="F8247" i="12"/>
  <c r="J8246" i="12"/>
  <c r="I8246" i="12"/>
  <c r="H8246" i="12"/>
  <c r="F8246" i="12"/>
  <c r="J8245" i="12"/>
  <c r="I8245" i="12"/>
  <c r="H8245" i="12"/>
  <c r="F8245" i="12"/>
  <c r="J8244" i="12"/>
  <c r="I8244" i="12"/>
  <c r="H8244" i="12"/>
  <c r="F8244" i="12"/>
  <c r="J8243" i="12"/>
  <c r="I8243" i="12"/>
  <c r="H8243" i="12"/>
  <c r="F8243" i="12"/>
  <c r="J8242" i="12"/>
  <c r="I8242" i="12"/>
  <c r="H8242" i="12"/>
  <c r="F8242" i="12"/>
  <c r="J8241" i="12"/>
  <c r="I8241" i="12"/>
  <c r="H8241" i="12"/>
  <c r="F8241" i="12"/>
  <c r="J8240" i="12"/>
  <c r="I8240" i="12"/>
  <c r="H8240" i="12"/>
  <c r="F8240" i="12"/>
  <c r="J8239" i="12"/>
  <c r="I8239" i="12"/>
  <c r="H8239" i="12"/>
  <c r="F8239" i="12"/>
  <c r="J8238" i="12"/>
  <c r="I8238" i="12"/>
  <c r="H8238" i="12"/>
  <c r="F8238" i="12"/>
  <c r="J8237" i="12"/>
  <c r="I8237" i="12"/>
  <c r="H8237" i="12"/>
  <c r="F8237" i="12"/>
  <c r="J8236" i="12"/>
  <c r="I8236" i="12"/>
  <c r="H8236" i="12"/>
  <c r="F8236" i="12"/>
  <c r="J8235" i="12"/>
  <c r="I8235" i="12"/>
  <c r="H8235" i="12"/>
  <c r="F8235" i="12"/>
  <c r="J8234" i="12"/>
  <c r="I8234" i="12"/>
  <c r="H8234" i="12"/>
  <c r="F8234" i="12"/>
  <c r="J8233" i="12"/>
  <c r="I8233" i="12"/>
  <c r="H8233" i="12"/>
  <c r="F8233" i="12"/>
  <c r="J8232" i="12"/>
  <c r="I8232" i="12"/>
  <c r="H8232" i="12"/>
  <c r="F8232" i="12"/>
  <c r="J8231" i="12"/>
  <c r="I8231" i="12"/>
  <c r="H8231" i="12"/>
  <c r="F8231" i="12"/>
  <c r="J8230" i="12"/>
  <c r="I8230" i="12"/>
  <c r="H8230" i="12"/>
  <c r="F8230" i="12"/>
  <c r="J8229" i="12"/>
  <c r="I8229" i="12"/>
  <c r="H8229" i="12"/>
  <c r="F8229" i="12"/>
  <c r="J8228" i="12"/>
  <c r="I8228" i="12"/>
  <c r="H8228" i="12"/>
  <c r="F8228" i="12"/>
  <c r="J8227" i="12"/>
  <c r="I8227" i="12"/>
  <c r="H8227" i="12"/>
  <c r="F8227" i="12"/>
  <c r="J8226" i="12"/>
  <c r="I8226" i="12"/>
  <c r="H8226" i="12"/>
  <c r="F8226" i="12"/>
  <c r="J8225" i="12"/>
  <c r="I8225" i="12"/>
  <c r="H8225" i="12"/>
  <c r="F8225" i="12"/>
  <c r="J8224" i="12"/>
  <c r="I8224" i="12"/>
  <c r="H8224" i="12"/>
  <c r="F8224" i="12"/>
  <c r="J8223" i="12"/>
  <c r="I8223" i="12"/>
  <c r="H8223" i="12"/>
  <c r="F8223" i="12"/>
  <c r="J8222" i="12"/>
  <c r="I8222" i="12"/>
  <c r="H8222" i="12"/>
  <c r="F8222" i="12"/>
  <c r="J8221" i="12"/>
  <c r="I8221" i="12"/>
  <c r="H8221" i="12"/>
  <c r="F8221" i="12"/>
  <c r="J8220" i="12"/>
  <c r="I8220" i="12"/>
  <c r="H8220" i="12"/>
  <c r="F8220" i="12"/>
  <c r="J8219" i="12"/>
  <c r="I8219" i="12"/>
  <c r="H8219" i="12"/>
  <c r="F8219" i="12"/>
  <c r="J8218" i="12"/>
  <c r="I8218" i="12"/>
  <c r="H8218" i="12"/>
  <c r="F8218" i="12"/>
  <c r="J8217" i="12"/>
  <c r="I8217" i="12"/>
  <c r="H8217" i="12"/>
  <c r="F8217" i="12"/>
  <c r="J8216" i="12"/>
  <c r="I8216" i="12"/>
  <c r="H8216" i="12"/>
  <c r="F8216" i="12"/>
  <c r="J8215" i="12"/>
  <c r="I8215" i="12"/>
  <c r="H8215" i="12"/>
  <c r="F8215" i="12"/>
  <c r="J8214" i="12"/>
  <c r="I8214" i="12"/>
  <c r="H8214" i="12"/>
  <c r="F8214" i="12"/>
  <c r="J8213" i="12"/>
  <c r="I8213" i="12"/>
  <c r="H8213" i="12"/>
  <c r="F8213" i="12"/>
  <c r="J8212" i="12"/>
  <c r="I8212" i="12"/>
  <c r="H8212" i="12"/>
  <c r="F8212" i="12"/>
  <c r="J8211" i="12"/>
  <c r="I8211" i="12"/>
  <c r="H8211" i="12"/>
  <c r="F8211" i="12"/>
  <c r="J8210" i="12"/>
  <c r="I8210" i="12"/>
  <c r="H8210" i="12"/>
  <c r="F8210" i="12"/>
  <c r="J8209" i="12"/>
  <c r="I8209" i="12"/>
  <c r="H8209" i="12"/>
  <c r="F8209" i="12"/>
  <c r="J8208" i="12"/>
  <c r="I8208" i="12"/>
  <c r="H8208" i="12"/>
  <c r="F8208" i="12"/>
  <c r="J8207" i="12"/>
  <c r="I8207" i="12"/>
  <c r="H8207" i="12"/>
  <c r="F8207" i="12"/>
  <c r="J8206" i="12"/>
  <c r="I8206" i="12"/>
  <c r="H8206" i="12"/>
  <c r="F8206" i="12"/>
  <c r="J8205" i="12"/>
  <c r="I8205" i="12"/>
  <c r="H8205" i="12"/>
  <c r="F8205" i="12"/>
  <c r="J8204" i="12"/>
  <c r="I8204" i="12"/>
  <c r="H8204" i="12"/>
  <c r="F8204" i="12"/>
  <c r="J8203" i="12"/>
  <c r="I8203" i="12"/>
  <c r="H8203" i="12"/>
  <c r="F8203" i="12"/>
  <c r="J8202" i="12"/>
  <c r="I8202" i="12"/>
  <c r="H8202" i="12"/>
  <c r="F8202" i="12"/>
  <c r="J8201" i="12"/>
  <c r="I8201" i="12"/>
  <c r="H8201" i="12"/>
  <c r="F8201" i="12"/>
  <c r="J8200" i="12"/>
  <c r="I8200" i="12"/>
  <c r="H8200" i="12"/>
  <c r="F8200" i="12"/>
  <c r="J8199" i="12"/>
  <c r="I8199" i="12"/>
  <c r="H8199" i="12"/>
  <c r="F8199" i="12"/>
  <c r="J8198" i="12"/>
  <c r="I8198" i="12"/>
  <c r="H8198" i="12"/>
  <c r="F8198" i="12"/>
  <c r="J8197" i="12"/>
  <c r="I8197" i="12"/>
  <c r="H8197" i="12"/>
  <c r="F8197" i="12"/>
  <c r="J8196" i="12"/>
  <c r="I8196" i="12"/>
  <c r="H8196" i="12"/>
  <c r="F8196" i="12"/>
  <c r="J8195" i="12"/>
  <c r="I8195" i="12"/>
  <c r="H8195" i="12"/>
  <c r="F8195" i="12"/>
  <c r="J8194" i="12"/>
  <c r="I8194" i="12"/>
  <c r="H8194" i="12"/>
  <c r="F8194" i="12"/>
  <c r="J8193" i="12"/>
  <c r="I8193" i="12"/>
  <c r="H8193" i="12"/>
  <c r="F8193" i="12"/>
  <c r="J8192" i="12"/>
  <c r="I8192" i="12"/>
  <c r="H8192" i="12"/>
  <c r="F8192" i="12"/>
  <c r="J8191" i="12"/>
  <c r="I8191" i="12"/>
  <c r="H8191" i="12"/>
  <c r="F8191" i="12"/>
  <c r="J8190" i="12"/>
  <c r="I8190" i="12"/>
  <c r="H8190" i="12"/>
  <c r="F8190" i="12"/>
  <c r="J8189" i="12"/>
  <c r="I8189" i="12"/>
  <c r="H8189" i="12"/>
  <c r="F8189" i="12"/>
  <c r="J8188" i="12"/>
  <c r="I8188" i="12"/>
  <c r="H8188" i="12"/>
  <c r="F8188" i="12"/>
  <c r="J8187" i="12"/>
  <c r="I8187" i="12"/>
  <c r="H8187" i="12"/>
  <c r="F8187" i="12"/>
  <c r="J8186" i="12"/>
  <c r="I8186" i="12"/>
  <c r="H8186" i="12"/>
  <c r="F8186" i="12"/>
  <c r="J8185" i="12"/>
  <c r="I8185" i="12"/>
  <c r="H8185" i="12"/>
  <c r="F8185" i="12"/>
  <c r="J8184" i="12"/>
  <c r="I8184" i="12"/>
  <c r="H8184" i="12"/>
  <c r="F8184" i="12"/>
  <c r="J8183" i="12"/>
  <c r="I8183" i="12"/>
  <c r="H8183" i="12"/>
  <c r="F8183" i="12"/>
  <c r="J8182" i="12"/>
  <c r="I8182" i="12"/>
  <c r="H8182" i="12"/>
  <c r="F8182" i="12"/>
  <c r="J8181" i="12"/>
  <c r="I8181" i="12"/>
  <c r="H8181" i="12"/>
  <c r="F8181" i="12"/>
  <c r="J8180" i="12"/>
  <c r="I8180" i="12"/>
  <c r="H8180" i="12"/>
  <c r="F8180" i="12"/>
  <c r="J8179" i="12"/>
  <c r="I8179" i="12"/>
  <c r="H8179" i="12"/>
  <c r="F8179" i="12"/>
  <c r="J8178" i="12"/>
  <c r="I8178" i="12"/>
  <c r="H8178" i="12"/>
  <c r="F8178" i="12"/>
  <c r="J8177" i="12"/>
  <c r="I8177" i="12"/>
  <c r="H8177" i="12"/>
  <c r="F8177" i="12"/>
  <c r="J8176" i="12"/>
  <c r="I8176" i="12"/>
  <c r="H8176" i="12"/>
  <c r="F8176" i="12"/>
  <c r="J8175" i="12"/>
  <c r="I8175" i="12"/>
  <c r="H8175" i="12"/>
  <c r="F8175" i="12"/>
  <c r="J8174" i="12"/>
  <c r="I8174" i="12"/>
  <c r="H8174" i="12"/>
  <c r="F8174" i="12"/>
  <c r="J8173" i="12"/>
  <c r="I8173" i="12"/>
  <c r="H8173" i="12"/>
  <c r="F8173" i="12"/>
  <c r="J8172" i="12"/>
  <c r="I8172" i="12"/>
  <c r="H8172" i="12"/>
  <c r="F8172" i="12"/>
  <c r="J8171" i="12"/>
  <c r="I8171" i="12"/>
  <c r="H8171" i="12"/>
  <c r="F8171" i="12"/>
  <c r="J8170" i="12"/>
  <c r="I8170" i="12"/>
  <c r="H8170" i="12"/>
  <c r="F8170" i="12"/>
  <c r="J8169" i="12"/>
  <c r="I8169" i="12"/>
  <c r="H8169" i="12"/>
  <c r="F8169" i="12"/>
  <c r="J8168" i="12"/>
  <c r="I8168" i="12"/>
  <c r="H8168" i="12"/>
  <c r="F8168" i="12"/>
  <c r="J8167" i="12"/>
  <c r="I8167" i="12"/>
  <c r="H8167" i="12"/>
  <c r="F8167" i="12"/>
  <c r="J8166" i="12"/>
  <c r="I8166" i="12"/>
  <c r="H8166" i="12"/>
  <c r="F8166" i="12"/>
  <c r="J8165" i="12"/>
  <c r="I8165" i="12"/>
  <c r="H8165" i="12"/>
  <c r="F8165" i="12"/>
  <c r="J8164" i="12"/>
  <c r="I8164" i="12"/>
  <c r="H8164" i="12"/>
  <c r="F8164" i="12"/>
  <c r="J8163" i="12"/>
  <c r="I8163" i="12"/>
  <c r="H8163" i="12"/>
  <c r="F8163" i="12"/>
  <c r="J8162" i="12"/>
  <c r="I8162" i="12"/>
  <c r="H8162" i="12"/>
  <c r="F8162" i="12"/>
  <c r="J8161" i="12"/>
  <c r="I8161" i="12"/>
  <c r="H8161" i="12"/>
  <c r="F8161" i="12"/>
  <c r="J8160" i="12"/>
  <c r="I8160" i="12"/>
  <c r="H8160" i="12"/>
  <c r="F8160" i="12"/>
  <c r="J8159" i="12"/>
  <c r="I8159" i="12"/>
  <c r="H8159" i="12"/>
  <c r="F8159" i="12"/>
  <c r="J8158" i="12"/>
  <c r="I8158" i="12"/>
  <c r="H8158" i="12"/>
  <c r="F8158" i="12"/>
  <c r="J8157" i="12"/>
  <c r="I8157" i="12"/>
  <c r="H8157" i="12"/>
  <c r="F8157" i="12"/>
  <c r="J8156" i="12"/>
  <c r="I8156" i="12"/>
  <c r="H8156" i="12"/>
  <c r="F8156" i="12"/>
  <c r="J8155" i="12"/>
  <c r="I8155" i="12"/>
  <c r="H8155" i="12"/>
  <c r="F8155" i="12"/>
  <c r="J8154" i="12"/>
  <c r="I8154" i="12"/>
  <c r="H8154" i="12"/>
  <c r="F8154" i="12"/>
  <c r="J8153" i="12"/>
  <c r="I8153" i="12"/>
  <c r="H8153" i="12"/>
  <c r="F8153" i="12"/>
  <c r="J8152" i="12"/>
  <c r="I8152" i="12"/>
  <c r="H8152" i="12"/>
  <c r="F8152" i="12"/>
  <c r="J8151" i="12"/>
  <c r="I8151" i="12"/>
  <c r="H8151" i="12"/>
  <c r="F8151" i="12"/>
  <c r="J8150" i="12"/>
  <c r="I8150" i="12"/>
  <c r="H8150" i="12"/>
  <c r="F8150" i="12"/>
  <c r="J8149" i="12"/>
  <c r="I8149" i="12"/>
  <c r="H8149" i="12"/>
  <c r="F8149" i="12"/>
  <c r="J8148" i="12"/>
  <c r="I8148" i="12"/>
  <c r="H8148" i="12"/>
  <c r="F8148" i="12"/>
  <c r="J8147" i="12"/>
  <c r="I8147" i="12"/>
  <c r="H8147" i="12"/>
  <c r="F8147" i="12"/>
  <c r="J8146" i="12"/>
  <c r="I8146" i="12"/>
  <c r="H8146" i="12"/>
  <c r="F8146" i="12"/>
  <c r="J8145" i="12"/>
  <c r="I8145" i="12"/>
  <c r="H8145" i="12"/>
  <c r="F8145" i="12"/>
  <c r="J8144" i="12"/>
  <c r="I8144" i="12"/>
  <c r="H8144" i="12"/>
  <c r="F8144" i="12"/>
  <c r="J8143" i="12"/>
  <c r="I8143" i="12"/>
  <c r="H8143" i="12"/>
  <c r="F8143" i="12"/>
  <c r="J8142" i="12"/>
  <c r="I8142" i="12"/>
  <c r="H8142" i="12"/>
  <c r="F8142" i="12"/>
  <c r="J8141" i="12"/>
  <c r="I8141" i="12"/>
  <c r="H8141" i="12"/>
  <c r="F8141" i="12"/>
  <c r="J8140" i="12"/>
  <c r="I8140" i="12"/>
  <c r="H8140" i="12"/>
  <c r="F8140" i="12"/>
  <c r="J8139" i="12"/>
  <c r="I8139" i="12"/>
  <c r="H8139" i="12"/>
  <c r="F8139" i="12"/>
  <c r="J8138" i="12"/>
  <c r="I8138" i="12"/>
  <c r="H8138" i="12"/>
  <c r="F8138" i="12"/>
  <c r="J8137" i="12"/>
  <c r="I8137" i="12"/>
  <c r="H8137" i="12"/>
  <c r="F8137" i="12"/>
  <c r="J8136" i="12"/>
  <c r="I8136" i="12"/>
  <c r="H8136" i="12"/>
  <c r="F8136" i="12"/>
  <c r="J8135" i="12"/>
  <c r="I8135" i="12"/>
  <c r="H8135" i="12"/>
  <c r="F8135" i="12"/>
  <c r="J8134" i="12"/>
  <c r="I8134" i="12"/>
  <c r="H8134" i="12"/>
  <c r="F8134" i="12"/>
  <c r="J8133" i="12"/>
  <c r="I8133" i="12"/>
  <c r="H8133" i="12"/>
  <c r="F8133" i="12"/>
  <c r="J8132" i="12"/>
  <c r="I8132" i="12"/>
  <c r="H8132" i="12"/>
  <c r="F8132" i="12"/>
  <c r="J8131" i="12"/>
  <c r="I8131" i="12"/>
  <c r="H8131" i="12"/>
  <c r="F8131" i="12"/>
  <c r="J8130" i="12"/>
  <c r="I8130" i="12"/>
  <c r="H8130" i="12"/>
  <c r="F8130" i="12"/>
  <c r="J8129" i="12"/>
  <c r="I8129" i="12"/>
  <c r="H8129" i="12"/>
  <c r="F8129" i="12"/>
  <c r="J8128" i="12"/>
  <c r="I8128" i="12"/>
  <c r="H8128" i="12"/>
  <c r="F8128" i="12"/>
  <c r="J8127" i="12"/>
  <c r="I8127" i="12"/>
  <c r="H8127" i="12"/>
  <c r="F8127" i="12"/>
  <c r="J8126" i="12"/>
  <c r="I8126" i="12"/>
  <c r="H8126" i="12"/>
  <c r="F8126" i="12"/>
  <c r="J8125" i="12"/>
  <c r="I8125" i="12"/>
  <c r="H8125" i="12"/>
  <c r="F8125" i="12"/>
  <c r="J8124" i="12"/>
  <c r="I8124" i="12"/>
  <c r="H8124" i="12"/>
  <c r="F8124" i="12"/>
  <c r="J8123" i="12"/>
  <c r="I8123" i="12"/>
  <c r="H8123" i="12"/>
  <c r="F8123" i="12"/>
  <c r="J8122" i="12"/>
  <c r="I8122" i="12"/>
  <c r="H8122" i="12"/>
  <c r="F8122" i="12"/>
  <c r="J8121" i="12"/>
  <c r="I8121" i="12"/>
  <c r="H8121" i="12"/>
  <c r="F8121" i="12"/>
  <c r="J8120" i="12"/>
  <c r="I8120" i="12"/>
  <c r="H8120" i="12"/>
  <c r="F8120" i="12"/>
  <c r="J8119" i="12"/>
  <c r="I8119" i="12"/>
  <c r="H8119" i="12"/>
  <c r="F8119" i="12"/>
  <c r="J8118" i="12"/>
  <c r="I8118" i="12"/>
  <c r="H8118" i="12"/>
  <c r="F8118" i="12"/>
  <c r="J8117" i="12"/>
  <c r="I8117" i="12"/>
  <c r="H8117" i="12"/>
  <c r="F8117" i="12"/>
  <c r="J8116" i="12"/>
  <c r="I8116" i="12"/>
  <c r="H8116" i="12"/>
  <c r="F8116" i="12"/>
  <c r="J8115" i="12"/>
  <c r="I8115" i="12"/>
  <c r="H8115" i="12"/>
  <c r="F8115" i="12"/>
  <c r="J8114" i="12"/>
  <c r="I8114" i="12"/>
  <c r="H8114" i="12"/>
  <c r="F8114" i="12"/>
  <c r="J8113" i="12"/>
  <c r="I8113" i="12"/>
  <c r="H8113" i="12"/>
  <c r="F8113" i="12"/>
  <c r="J8112" i="12"/>
  <c r="I8112" i="12"/>
  <c r="H8112" i="12"/>
  <c r="F8112" i="12"/>
  <c r="J8111" i="12"/>
  <c r="I8111" i="12"/>
  <c r="H8111" i="12"/>
  <c r="F8111" i="12"/>
  <c r="J8110" i="12"/>
  <c r="I8110" i="12"/>
  <c r="H8110" i="12"/>
  <c r="F8110" i="12"/>
  <c r="J8109" i="12"/>
  <c r="I8109" i="12"/>
  <c r="H8109" i="12"/>
  <c r="F8109" i="12"/>
  <c r="J8108" i="12"/>
  <c r="I8108" i="12"/>
  <c r="H8108" i="12"/>
  <c r="F8108" i="12"/>
  <c r="J8107" i="12"/>
  <c r="I8107" i="12"/>
  <c r="H8107" i="12"/>
  <c r="F8107" i="12"/>
  <c r="J8106" i="12"/>
  <c r="I8106" i="12"/>
  <c r="H8106" i="12"/>
  <c r="F8106" i="12"/>
  <c r="J8105" i="12"/>
  <c r="I8105" i="12"/>
  <c r="H8105" i="12"/>
  <c r="F8105" i="12"/>
  <c r="J8104" i="12"/>
  <c r="I8104" i="12"/>
  <c r="H8104" i="12"/>
  <c r="F8104" i="12"/>
  <c r="J8103" i="12"/>
  <c r="I8103" i="12"/>
  <c r="H8103" i="12"/>
  <c r="F8103" i="12"/>
  <c r="J8102" i="12"/>
  <c r="I8102" i="12"/>
  <c r="H8102" i="12"/>
  <c r="F8102" i="12"/>
  <c r="J8101" i="12"/>
  <c r="I8101" i="12"/>
  <c r="H8101" i="12"/>
  <c r="F8101" i="12"/>
  <c r="J8100" i="12"/>
  <c r="I8100" i="12"/>
  <c r="H8100" i="12"/>
  <c r="F8100" i="12"/>
  <c r="J8099" i="12"/>
  <c r="I8099" i="12"/>
  <c r="H8099" i="12"/>
  <c r="F8099" i="12"/>
  <c r="J8098" i="12"/>
  <c r="I8098" i="12"/>
  <c r="H8098" i="12"/>
  <c r="F8098" i="12"/>
  <c r="J8097" i="12"/>
  <c r="I8097" i="12"/>
  <c r="H8097" i="12"/>
  <c r="F8097" i="12"/>
  <c r="J8096" i="12"/>
  <c r="I8096" i="12"/>
  <c r="H8096" i="12"/>
  <c r="F8096" i="12"/>
  <c r="J8095" i="12"/>
  <c r="I8095" i="12"/>
  <c r="H8095" i="12"/>
  <c r="F8095" i="12"/>
  <c r="J8094" i="12"/>
  <c r="I8094" i="12"/>
  <c r="H8094" i="12"/>
  <c r="F8094" i="12"/>
  <c r="J8093" i="12"/>
  <c r="I8093" i="12"/>
  <c r="H8093" i="12"/>
  <c r="F8093" i="12"/>
  <c r="J8092" i="12"/>
  <c r="I8092" i="12"/>
  <c r="H8092" i="12"/>
  <c r="F8092" i="12"/>
  <c r="J8091" i="12"/>
  <c r="I8091" i="12"/>
  <c r="H8091" i="12"/>
  <c r="F8091" i="12"/>
  <c r="J8090" i="12"/>
  <c r="I8090" i="12"/>
  <c r="H8090" i="12"/>
  <c r="F8090" i="12"/>
  <c r="J8089" i="12"/>
  <c r="I8089" i="12"/>
  <c r="H8089" i="12"/>
  <c r="F8089" i="12"/>
  <c r="J8088" i="12"/>
  <c r="I8088" i="12"/>
  <c r="H8088" i="12"/>
  <c r="F8088" i="12"/>
  <c r="J8087" i="12"/>
  <c r="I8087" i="12"/>
  <c r="H8087" i="12"/>
  <c r="F8087" i="12"/>
  <c r="J8086" i="12"/>
  <c r="I8086" i="12"/>
  <c r="H8086" i="12"/>
  <c r="F8086" i="12"/>
  <c r="J8085" i="12"/>
  <c r="I8085" i="12"/>
  <c r="H8085" i="12"/>
  <c r="F8085" i="12"/>
  <c r="J8084" i="12"/>
  <c r="I8084" i="12"/>
  <c r="H8084" i="12"/>
  <c r="F8084" i="12"/>
  <c r="J8083" i="12"/>
  <c r="I8083" i="12"/>
  <c r="H8083" i="12"/>
  <c r="F8083" i="12"/>
  <c r="J8082" i="12"/>
  <c r="I8082" i="12"/>
  <c r="H8082" i="12"/>
  <c r="F8082" i="12"/>
  <c r="J8081" i="12"/>
  <c r="I8081" i="12"/>
  <c r="H8081" i="12"/>
  <c r="F8081" i="12"/>
  <c r="J8080" i="12"/>
  <c r="I8080" i="12"/>
  <c r="H8080" i="12"/>
  <c r="F8080" i="12"/>
  <c r="J8079" i="12"/>
  <c r="I8079" i="12"/>
  <c r="H8079" i="12"/>
  <c r="F8079" i="12"/>
  <c r="J8078" i="12"/>
  <c r="I8078" i="12"/>
  <c r="H8078" i="12"/>
  <c r="F8078" i="12"/>
  <c r="J8077" i="12"/>
  <c r="I8077" i="12"/>
  <c r="H8077" i="12"/>
  <c r="F8077" i="12"/>
  <c r="J8076" i="12"/>
  <c r="I8076" i="12"/>
  <c r="H8076" i="12"/>
  <c r="F8076" i="12"/>
  <c r="J8075" i="12"/>
  <c r="I8075" i="12"/>
  <c r="H8075" i="12"/>
  <c r="F8075" i="12"/>
  <c r="J8074" i="12"/>
  <c r="I8074" i="12"/>
  <c r="H8074" i="12"/>
  <c r="F8074" i="12"/>
  <c r="J8073" i="12"/>
  <c r="I8073" i="12"/>
  <c r="H8073" i="12"/>
  <c r="F8073" i="12"/>
  <c r="J8072" i="12"/>
  <c r="I8072" i="12"/>
  <c r="H8072" i="12"/>
  <c r="F8072" i="12"/>
  <c r="J8071" i="12"/>
  <c r="I8071" i="12"/>
  <c r="H8071" i="12"/>
  <c r="F8071" i="12"/>
  <c r="J8070" i="12"/>
  <c r="I8070" i="12"/>
  <c r="H8070" i="12"/>
  <c r="F8070" i="12"/>
  <c r="J8069" i="12"/>
  <c r="I8069" i="12"/>
  <c r="H8069" i="12"/>
  <c r="F8069" i="12"/>
  <c r="J8068" i="12"/>
  <c r="I8068" i="12"/>
  <c r="H8068" i="12"/>
  <c r="F8068" i="12"/>
  <c r="J8067" i="12"/>
  <c r="I8067" i="12"/>
  <c r="H8067" i="12"/>
  <c r="F8067" i="12"/>
  <c r="J8066" i="12"/>
  <c r="I8066" i="12"/>
  <c r="H8066" i="12"/>
  <c r="F8066" i="12"/>
  <c r="J8065" i="12"/>
  <c r="I8065" i="12"/>
  <c r="H8065" i="12"/>
  <c r="F8065" i="12"/>
  <c r="J8064" i="12"/>
  <c r="I8064" i="12"/>
  <c r="H8064" i="12"/>
  <c r="F8064" i="12"/>
  <c r="J8063" i="12"/>
  <c r="I8063" i="12"/>
  <c r="H8063" i="12"/>
  <c r="F8063" i="12"/>
  <c r="J8062" i="12"/>
  <c r="I8062" i="12"/>
  <c r="H8062" i="12"/>
  <c r="F8062" i="12"/>
  <c r="J8061" i="12"/>
  <c r="I8061" i="12"/>
  <c r="H8061" i="12"/>
  <c r="F8061" i="12"/>
  <c r="J8060" i="12"/>
  <c r="I8060" i="12"/>
  <c r="H8060" i="12"/>
  <c r="F8060" i="12"/>
  <c r="J8059" i="12"/>
  <c r="I8059" i="12"/>
  <c r="H8059" i="12"/>
  <c r="F8059" i="12"/>
  <c r="J8058" i="12"/>
  <c r="I8058" i="12"/>
  <c r="H8058" i="12"/>
  <c r="F8058" i="12"/>
  <c r="J8057" i="12"/>
  <c r="I8057" i="12"/>
  <c r="H8057" i="12"/>
  <c r="F8057" i="12"/>
  <c r="J8056" i="12"/>
  <c r="I8056" i="12"/>
  <c r="H8056" i="12"/>
  <c r="F8056" i="12"/>
  <c r="J8055" i="12"/>
  <c r="I8055" i="12"/>
  <c r="H8055" i="12"/>
  <c r="F8055" i="12"/>
  <c r="J8054" i="12"/>
  <c r="I8054" i="12"/>
  <c r="H8054" i="12"/>
  <c r="F8054" i="12"/>
  <c r="J8053" i="12"/>
  <c r="I8053" i="12"/>
  <c r="H8053" i="12"/>
  <c r="F8053" i="12"/>
  <c r="J8052" i="12"/>
  <c r="I8052" i="12"/>
  <c r="H8052" i="12"/>
  <c r="F8052" i="12"/>
  <c r="J8051" i="12"/>
  <c r="I8051" i="12"/>
  <c r="H8051" i="12"/>
  <c r="F8051" i="12"/>
  <c r="J8050" i="12"/>
  <c r="I8050" i="12"/>
  <c r="H8050" i="12"/>
  <c r="F8050" i="12"/>
  <c r="J8049" i="12"/>
  <c r="I8049" i="12"/>
  <c r="H8049" i="12"/>
  <c r="F8049" i="12"/>
  <c r="J8048" i="12"/>
  <c r="I8048" i="12"/>
  <c r="H8048" i="12"/>
  <c r="F8048" i="12"/>
  <c r="J8047" i="12"/>
  <c r="I8047" i="12"/>
  <c r="H8047" i="12"/>
  <c r="F8047" i="12"/>
  <c r="J8046" i="12"/>
  <c r="I8046" i="12"/>
  <c r="H8046" i="12"/>
  <c r="F8046" i="12"/>
  <c r="J8045" i="12"/>
  <c r="I8045" i="12"/>
  <c r="H8045" i="12"/>
  <c r="F8045" i="12"/>
  <c r="J8044" i="12"/>
  <c r="I8044" i="12"/>
  <c r="H8044" i="12"/>
  <c r="F8044" i="12"/>
  <c r="J8043" i="12"/>
  <c r="I8043" i="12"/>
  <c r="H8043" i="12"/>
  <c r="F8043" i="12"/>
  <c r="J8042" i="12"/>
  <c r="I8042" i="12"/>
  <c r="H8042" i="12"/>
  <c r="F8042" i="12"/>
  <c r="J8041" i="12"/>
  <c r="I8041" i="12"/>
  <c r="H8041" i="12"/>
  <c r="F8041" i="12"/>
  <c r="J8040" i="12"/>
  <c r="I8040" i="12"/>
  <c r="H8040" i="12"/>
  <c r="F8040" i="12"/>
  <c r="J8039" i="12"/>
  <c r="I8039" i="12"/>
  <c r="H8039" i="12"/>
  <c r="F8039" i="12"/>
  <c r="J8038" i="12"/>
  <c r="I8038" i="12"/>
  <c r="H8038" i="12"/>
  <c r="F8038" i="12"/>
  <c r="J8037" i="12"/>
  <c r="I8037" i="12"/>
  <c r="H8037" i="12"/>
  <c r="F8037" i="12"/>
  <c r="J8036" i="12"/>
  <c r="I8036" i="12"/>
  <c r="H8036" i="12"/>
  <c r="F8036" i="12"/>
  <c r="J8035" i="12"/>
  <c r="I8035" i="12"/>
  <c r="H8035" i="12"/>
  <c r="F8035" i="12"/>
  <c r="J8034" i="12"/>
  <c r="I8034" i="12"/>
  <c r="H8034" i="12"/>
  <c r="F8034" i="12"/>
  <c r="J8033" i="12"/>
  <c r="I8033" i="12"/>
  <c r="H8033" i="12"/>
  <c r="F8033" i="12"/>
  <c r="J8032" i="12"/>
  <c r="I8032" i="12"/>
  <c r="H8032" i="12"/>
  <c r="F8032" i="12"/>
  <c r="J8031" i="12"/>
  <c r="I8031" i="12"/>
  <c r="H8031" i="12"/>
  <c r="F8031" i="12"/>
  <c r="J8030" i="12"/>
  <c r="I8030" i="12"/>
  <c r="H8030" i="12"/>
  <c r="F8030" i="12"/>
  <c r="J8029" i="12"/>
  <c r="I8029" i="12"/>
  <c r="H8029" i="12"/>
  <c r="F8029" i="12"/>
  <c r="J8028" i="12"/>
  <c r="I8028" i="12"/>
  <c r="H8028" i="12"/>
  <c r="F8028" i="12"/>
  <c r="J8027" i="12"/>
  <c r="I8027" i="12"/>
  <c r="H8027" i="12"/>
  <c r="F8027" i="12"/>
  <c r="J8026" i="12"/>
  <c r="I8026" i="12"/>
  <c r="H8026" i="12"/>
  <c r="F8026" i="12"/>
  <c r="J8025" i="12"/>
  <c r="I8025" i="12"/>
  <c r="H8025" i="12"/>
  <c r="F8025" i="12"/>
  <c r="J8024" i="12"/>
  <c r="I8024" i="12"/>
  <c r="H8024" i="12"/>
  <c r="F8024" i="12"/>
  <c r="J8023" i="12"/>
  <c r="I8023" i="12"/>
  <c r="H8023" i="12"/>
  <c r="F8023" i="12"/>
  <c r="J8022" i="12"/>
  <c r="I8022" i="12"/>
  <c r="H8022" i="12"/>
  <c r="F8022" i="12"/>
  <c r="J8021" i="12"/>
  <c r="I8021" i="12"/>
  <c r="H8021" i="12"/>
  <c r="F8021" i="12"/>
  <c r="J8020" i="12"/>
  <c r="I8020" i="12"/>
  <c r="H8020" i="12"/>
  <c r="F8020" i="12"/>
  <c r="J8019" i="12"/>
  <c r="I8019" i="12"/>
  <c r="H8019" i="12"/>
  <c r="F8019" i="12"/>
  <c r="J8018" i="12"/>
  <c r="I8018" i="12"/>
  <c r="H8018" i="12"/>
  <c r="F8018" i="12"/>
  <c r="J8017" i="12"/>
  <c r="I8017" i="12"/>
  <c r="H8017" i="12"/>
  <c r="F8017" i="12"/>
  <c r="J8016" i="12"/>
  <c r="I8016" i="12"/>
  <c r="H8016" i="12"/>
  <c r="F8016" i="12"/>
  <c r="J8015" i="12"/>
  <c r="I8015" i="12"/>
  <c r="H8015" i="12"/>
  <c r="F8015" i="12"/>
  <c r="J8014" i="12"/>
  <c r="I8014" i="12"/>
  <c r="H8014" i="12"/>
  <c r="F8014" i="12"/>
  <c r="J8013" i="12"/>
  <c r="I8013" i="12"/>
  <c r="H8013" i="12"/>
  <c r="F8013" i="12"/>
  <c r="J8012" i="12"/>
  <c r="I8012" i="12"/>
  <c r="H8012" i="12"/>
  <c r="F8012" i="12"/>
  <c r="J8011" i="12"/>
  <c r="I8011" i="12"/>
  <c r="H8011" i="12"/>
  <c r="F8011" i="12"/>
  <c r="J8010" i="12"/>
  <c r="I8010" i="12"/>
  <c r="H8010" i="12"/>
  <c r="F8010" i="12"/>
  <c r="J8009" i="12"/>
  <c r="I8009" i="12"/>
  <c r="H8009" i="12"/>
  <c r="F8009" i="12"/>
  <c r="J8008" i="12"/>
  <c r="I8008" i="12"/>
  <c r="H8008" i="12"/>
  <c r="F8008" i="12"/>
  <c r="J8007" i="12"/>
  <c r="I8007" i="12"/>
  <c r="H8007" i="12"/>
  <c r="F8007" i="12"/>
  <c r="J8006" i="12"/>
  <c r="I8006" i="12"/>
  <c r="H8006" i="12"/>
  <c r="F8006" i="12"/>
  <c r="J8005" i="12"/>
  <c r="I8005" i="12"/>
  <c r="H8005" i="12"/>
  <c r="F8005" i="12"/>
  <c r="J8004" i="12"/>
  <c r="I8004" i="12"/>
  <c r="H8004" i="12"/>
  <c r="F8004" i="12"/>
  <c r="J8003" i="12"/>
  <c r="I8003" i="12"/>
  <c r="H8003" i="12"/>
  <c r="F8003" i="12"/>
  <c r="J8002" i="12"/>
  <c r="I8002" i="12"/>
  <c r="H8002" i="12"/>
  <c r="F8002" i="12"/>
  <c r="J8001" i="12"/>
  <c r="I8001" i="12"/>
  <c r="H8001" i="12"/>
  <c r="F8001" i="12"/>
  <c r="J8000" i="12"/>
  <c r="I8000" i="12"/>
  <c r="H8000" i="12"/>
  <c r="F8000" i="12"/>
  <c r="J7999" i="12"/>
  <c r="I7999" i="12"/>
  <c r="H7999" i="12"/>
  <c r="F7999" i="12"/>
  <c r="J7998" i="12"/>
  <c r="I7998" i="12"/>
  <c r="H7998" i="12"/>
  <c r="F7998" i="12"/>
  <c r="J7997" i="12"/>
  <c r="I7997" i="12"/>
  <c r="H7997" i="12"/>
  <c r="F7997" i="12"/>
  <c r="J7996" i="12"/>
  <c r="I7996" i="12"/>
  <c r="H7996" i="12"/>
  <c r="F7996" i="12"/>
  <c r="J7995" i="12"/>
  <c r="I7995" i="12"/>
  <c r="H7995" i="12"/>
  <c r="F7995" i="12"/>
  <c r="J7994" i="12"/>
  <c r="I7994" i="12"/>
  <c r="H7994" i="12"/>
  <c r="F7994" i="12"/>
  <c r="J7993" i="12"/>
  <c r="I7993" i="12"/>
  <c r="H7993" i="12"/>
  <c r="F7993" i="12"/>
  <c r="J7992" i="12"/>
  <c r="I7992" i="12"/>
  <c r="H7992" i="12"/>
  <c r="F7992" i="12"/>
  <c r="J7991" i="12"/>
  <c r="I7991" i="12"/>
  <c r="H7991" i="12"/>
  <c r="F7991" i="12"/>
  <c r="J7990" i="12"/>
  <c r="I7990" i="12"/>
  <c r="H7990" i="12"/>
  <c r="F7990" i="12"/>
  <c r="J7989" i="12"/>
  <c r="I7989" i="12"/>
  <c r="H7989" i="12"/>
  <c r="F7989" i="12"/>
  <c r="J7988" i="12"/>
  <c r="I7988" i="12"/>
  <c r="H7988" i="12"/>
  <c r="F7988" i="12"/>
  <c r="J7987" i="12"/>
  <c r="I7987" i="12"/>
  <c r="H7987" i="12"/>
  <c r="F7987" i="12"/>
  <c r="J7986" i="12"/>
  <c r="I7986" i="12"/>
  <c r="H7986" i="12"/>
  <c r="F7986" i="12"/>
  <c r="J7985" i="12"/>
  <c r="I7985" i="12"/>
  <c r="H7985" i="12"/>
  <c r="F7985" i="12"/>
  <c r="J7984" i="12"/>
  <c r="I7984" i="12"/>
  <c r="H7984" i="12"/>
  <c r="F7984" i="12"/>
  <c r="J7983" i="12"/>
  <c r="I7983" i="12"/>
  <c r="H7983" i="12"/>
  <c r="F7983" i="12"/>
  <c r="J7982" i="12"/>
  <c r="I7982" i="12"/>
  <c r="H7982" i="12"/>
  <c r="F7982" i="12"/>
  <c r="J7981" i="12"/>
  <c r="I7981" i="12"/>
  <c r="H7981" i="12"/>
  <c r="F7981" i="12"/>
  <c r="J7980" i="12"/>
  <c r="I7980" i="12"/>
  <c r="H7980" i="12"/>
  <c r="F7980" i="12"/>
  <c r="J7979" i="12"/>
  <c r="I7979" i="12"/>
  <c r="H7979" i="12"/>
  <c r="F7979" i="12"/>
  <c r="J7978" i="12"/>
  <c r="I7978" i="12"/>
  <c r="H7978" i="12"/>
  <c r="F7978" i="12"/>
  <c r="J7977" i="12"/>
  <c r="I7977" i="12"/>
  <c r="H7977" i="12"/>
  <c r="F7977" i="12"/>
  <c r="J7976" i="12"/>
  <c r="I7976" i="12"/>
  <c r="H7976" i="12"/>
  <c r="F7976" i="12"/>
  <c r="J7975" i="12"/>
  <c r="I7975" i="12"/>
  <c r="H7975" i="12"/>
  <c r="F7975" i="12"/>
  <c r="J7974" i="12"/>
  <c r="I7974" i="12"/>
  <c r="H7974" i="12"/>
  <c r="F7974" i="12"/>
  <c r="J7973" i="12"/>
  <c r="I7973" i="12"/>
  <c r="H7973" i="12"/>
  <c r="F7973" i="12"/>
  <c r="J7972" i="12"/>
  <c r="I7972" i="12"/>
  <c r="H7972" i="12"/>
  <c r="F7972" i="12"/>
  <c r="J7971" i="12"/>
  <c r="I7971" i="12"/>
  <c r="H7971" i="12"/>
  <c r="F7971" i="12"/>
  <c r="J7970" i="12"/>
  <c r="I7970" i="12"/>
  <c r="H7970" i="12"/>
  <c r="F7970" i="12"/>
  <c r="J7969" i="12"/>
  <c r="I7969" i="12"/>
  <c r="H7969" i="12"/>
  <c r="F7969" i="12"/>
  <c r="J7968" i="12"/>
  <c r="I7968" i="12"/>
  <c r="H7968" i="12"/>
  <c r="F7968" i="12"/>
  <c r="J7967" i="12"/>
  <c r="I7967" i="12"/>
  <c r="H7967" i="12"/>
  <c r="F7967" i="12"/>
  <c r="J7966" i="12"/>
  <c r="I7966" i="12"/>
  <c r="H7966" i="12"/>
  <c r="F7966" i="12"/>
  <c r="J7965" i="12"/>
  <c r="I7965" i="12"/>
  <c r="H7965" i="12"/>
  <c r="F7965" i="12"/>
  <c r="J7964" i="12"/>
  <c r="I7964" i="12"/>
  <c r="H7964" i="12"/>
  <c r="F7964" i="12"/>
  <c r="J7963" i="12"/>
  <c r="I7963" i="12"/>
  <c r="H7963" i="12"/>
  <c r="F7963" i="12"/>
  <c r="J7962" i="12"/>
  <c r="I7962" i="12"/>
  <c r="H7962" i="12"/>
  <c r="F7962" i="12"/>
  <c r="J7961" i="12"/>
  <c r="I7961" i="12"/>
  <c r="H7961" i="12"/>
  <c r="F7961" i="12"/>
  <c r="J7960" i="12"/>
  <c r="I7960" i="12"/>
  <c r="H7960" i="12"/>
  <c r="F7960" i="12"/>
  <c r="J7959" i="12"/>
  <c r="I7959" i="12"/>
  <c r="H7959" i="12"/>
  <c r="F7959" i="12"/>
  <c r="J7958" i="12"/>
  <c r="I7958" i="12"/>
  <c r="H7958" i="12"/>
  <c r="F7958" i="12"/>
  <c r="J7957" i="12"/>
  <c r="I7957" i="12"/>
  <c r="H7957" i="12"/>
  <c r="F7957" i="12"/>
  <c r="J7956" i="12"/>
  <c r="I7956" i="12"/>
  <c r="H7956" i="12"/>
  <c r="F7956" i="12"/>
  <c r="J7955" i="12"/>
  <c r="I7955" i="12"/>
  <c r="H7955" i="12"/>
  <c r="F7955" i="12"/>
  <c r="J7954" i="12"/>
  <c r="I7954" i="12"/>
  <c r="H7954" i="12"/>
  <c r="F7954" i="12"/>
  <c r="J7953" i="12"/>
  <c r="I7953" i="12"/>
  <c r="H7953" i="12"/>
  <c r="F7953" i="12"/>
  <c r="J7952" i="12"/>
  <c r="I7952" i="12"/>
  <c r="H7952" i="12"/>
  <c r="F7952" i="12"/>
  <c r="J7951" i="12"/>
  <c r="I7951" i="12"/>
  <c r="H7951" i="12"/>
  <c r="F7951" i="12"/>
  <c r="J7950" i="12"/>
  <c r="I7950" i="12"/>
  <c r="H7950" i="12"/>
  <c r="F7950" i="12"/>
  <c r="J7949" i="12"/>
  <c r="I7949" i="12"/>
  <c r="H7949" i="12"/>
  <c r="F7949" i="12"/>
  <c r="J7948" i="12"/>
  <c r="I7948" i="12"/>
  <c r="H7948" i="12"/>
  <c r="F7948" i="12"/>
  <c r="J7947" i="12"/>
  <c r="I7947" i="12"/>
  <c r="H7947" i="12"/>
  <c r="F7947" i="12"/>
  <c r="J7946" i="12"/>
  <c r="I7946" i="12"/>
  <c r="H7946" i="12"/>
  <c r="F7946" i="12"/>
  <c r="J7945" i="12"/>
  <c r="I7945" i="12"/>
  <c r="H7945" i="12"/>
  <c r="F7945" i="12"/>
  <c r="J7944" i="12"/>
  <c r="I7944" i="12"/>
  <c r="H7944" i="12"/>
  <c r="F7944" i="12"/>
  <c r="J7943" i="12"/>
  <c r="I7943" i="12"/>
  <c r="H7943" i="12"/>
  <c r="F7943" i="12"/>
  <c r="J7942" i="12"/>
  <c r="I7942" i="12"/>
  <c r="H7942" i="12"/>
  <c r="F7942" i="12"/>
  <c r="J7941" i="12"/>
  <c r="I7941" i="12"/>
  <c r="H7941" i="12"/>
  <c r="F7941" i="12"/>
  <c r="J7940" i="12"/>
  <c r="I7940" i="12"/>
  <c r="H7940" i="12"/>
  <c r="F7940" i="12"/>
  <c r="J7939" i="12"/>
  <c r="I7939" i="12"/>
  <c r="H7939" i="12"/>
  <c r="F7939" i="12"/>
  <c r="J7938" i="12"/>
  <c r="I7938" i="12"/>
  <c r="H7938" i="12"/>
  <c r="F7938" i="12"/>
  <c r="J7937" i="12"/>
  <c r="I7937" i="12"/>
  <c r="H7937" i="12"/>
  <c r="F7937" i="12"/>
  <c r="J7936" i="12"/>
  <c r="I7936" i="12"/>
  <c r="H7936" i="12"/>
  <c r="F7936" i="12"/>
  <c r="J7935" i="12"/>
  <c r="I7935" i="12"/>
  <c r="H7935" i="12"/>
  <c r="F7935" i="12"/>
  <c r="J7934" i="12"/>
  <c r="I7934" i="12"/>
  <c r="H7934" i="12"/>
  <c r="F7934" i="12"/>
  <c r="J7933" i="12"/>
  <c r="I7933" i="12"/>
  <c r="H7933" i="12"/>
  <c r="F7933" i="12"/>
  <c r="J7932" i="12"/>
  <c r="I7932" i="12"/>
  <c r="H7932" i="12"/>
  <c r="F7932" i="12"/>
  <c r="J7931" i="12"/>
  <c r="I7931" i="12"/>
  <c r="H7931" i="12"/>
  <c r="F7931" i="12"/>
  <c r="J7930" i="12"/>
  <c r="I7930" i="12"/>
  <c r="H7930" i="12"/>
  <c r="F7930" i="12"/>
  <c r="J7929" i="12"/>
  <c r="I7929" i="12"/>
  <c r="H7929" i="12"/>
  <c r="F7929" i="12"/>
  <c r="J7928" i="12"/>
  <c r="I7928" i="12"/>
  <c r="H7928" i="12"/>
  <c r="F7928" i="12"/>
  <c r="J7927" i="12"/>
  <c r="I7927" i="12"/>
  <c r="H7927" i="12"/>
  <c r="F7927" i="12"/>
  <c r="J7926" i="12"/>
  <c r="I7926" i="12"/>
  <c r="H7926" i="12"/>
  <c r="F7926" i="12"/>
  <c r="J7925" i="12"/>
  <c r="I7925" i="12"/>
  <c r="H7925" i="12"/>
  <c r="F7925" i="12"/>
  <c r="J7924" i="12"/>
  <c r="I7924" i="12"/>
  <c r="H7924" i="12"/>
  <c r="F7924" i="12"/>
  <c r="J7923" i="12"/>
  <c r="I7923" i="12"/>
  <c r="H7923" i="12"/>
  <c r="F7923" i="12"/>
  <c r="J7922" i="12"/>
  <c r="I7922" i="12"/>
  <c r="H7922" i="12"/>
  <c r="F7922" i="12"/>
  <c r="J7921" i="12"/>
  <c r="I7921" i="12"/>
  <c r="H7921" i="12"/>
  <c r="F7921" i="12"/>
  <c r="J7920" i="12"/>
  <c r="I7920" i="12"/>
  <c r="H7920" i="12"/>
  <c r="F7920" i="12"/>
  <c r="J7919" i="12"/>
  <c r="I7919" i="12"/>
  <c r="H7919" i="12"/>
  <c r="F7919" i="12"/>
  <c r="J7918" i="12"/>
  <c r="I7918" i="12"/>
  <c r="H7918" i="12"/>
  <c r="F7918" i="12"/>
  <c r="J7917" i="12"/>
  <c r="I7917" i="12"/>
  <c r="H7917" i="12"/>
  <c r="F7917" i="12"/>
  <c r="J7916" i="12"/>
  <c r="I7916" i="12"/>
  <c r="H7916" i="12"/>
  <c r="F7916" i="12"/>
  <c r="J7915" i="12"/>
  <c r="I7915" i="12"/>
  <c r="H7915" i="12"/>
  <c r="F7915" i="12"/>
  <c r="J7914" i="12"/>
  <c r="I7914" i="12"/>
  <c r="H7914" i="12"/>
  <c r="F7914" i="12"/>
  <c r="J7913" i="12"/>
  <c r="I7913" i="12"/>
  <c r="H7913" i="12"/>
  <c r="F7913" i="12"/>
  <c r="J7912" i="12"/>
  <c r="I7912" i="12"/>
  <c r="H7912" i="12"/>
  <c r="F7912" i="12"/>
  <c r="J7911" i="12"/>
  <c r="I7911" i="12"/>
  <c r="H7911" i="12"/>
  <c r="F7911" i="12"/>
  <c r="J7910" i="12"/>
  <c r="I7910" i="12"/>
  <c r="H7910" i="12"/>
  <c r="F7910" i="12"/>
  <c r="J7909" i="12"/>
  <c r="I7909" i="12"/>
  <c r="H7909" i="12"/>
  <c r="F7909" i="12"/>
  <c r="J7908" i="12"/>
  <c r="I7908" i="12"/>
  <c r="H7908" i="12"/>
  <c r="F7908" i="12"/>
  <c r="J7907" i="12"/>
  <c r="I7907" i="12"/>
  <c r="H7907" i="12"/>
  <c r="F7907" i="12"/>
  <c r="J7906" i="12"/>
  <c r="I7906" i="12"/>
  <c r="H7906" i="12"/>
  <c r="F7906" i="12"/>
  <c r="J7905" i="12"/>
  <c r="I7905" i="12"/>
  <c r="H7905" i="12"/>
  <c r="F7905" i="12"/>
  <c r="J7904" i="12"/>
  <c r="I7904" i="12"/>
  <c r="H7904" i="12"/>
  <c r="F7904" i="12"/>
  <c r="J7903" i="12"/>
  <c r="I7903" i="12"/>
  <c r="H7903" i="12"/>
  <c r="F7903" i="12"/>
  <c r="J7902" i="12"/>
  <c r="I7902" i="12"/>
  <c r="H7902" i="12"/>
  <c r="F7902" i="12"/>
  <c r="J7901" i="12"/>
  <c r="I7901" i="12"/>
  <c r="H7901" i="12"/>
  <c r="F7901" i="12"/>
  <c r="J7900" i="12"/>
  <c r="I7900" i="12"/>
  <c r="H7900" i="12"/>
  <c r="F7900" i="12"/>
  <c r="J7899" i="12"/>
  <c r="I7899" i="12"/>
  <c r="H7899" i="12"/>
  <c r="F7899" i="12"/>
  <c r="J7898" i="12"/>
  <c r="I7898" i="12"/>
  <c r="H7898" i="12"/>
  <c r="F7898" i="12"/>
  <c r="J7897" i="12"/>
  <c r="I7897" i="12"/>
  <c r="H7897" i="12"/>
  <c r="F7897" i="12"/>
  <c r="J7896" i="12"/>
  <c r="I7896" i="12"/>
  <c r="H7896" i="12"/>
  <c r="F7896" i="12"/>
  <c r="J7895" i="12"/>
  <c r="I7895" i="12"/>
  <c r="H7895" i="12"/>
  <c r="F7895" i="12"/>
  <c r="J7894" i="12"/>
  <c r="I7894" i="12"/>
  <c r="H7894" i="12"/>
  <c r="F7894" i="12"/>
  <c r="J7893" i="12"/>
  <c r="I7893" i="12"/>
  <c r="H7893" i="12"/>
  <c r="F7893" i="12"/>
  <c r="J7892" i="12"/>
  <c r="I7892" i="12"/>
  <c r="H7892" i="12"/>
  <c r="F7892" i="12"/>
  <c r="J7891" i="12"/>
  <c r="I7891" i="12"/>
  <c r="H7891" i="12"/>
  <c r="F7891" i="12"/>
  <c r="J7890" i="12"/>
  <c r="I7890" i="12"/>
  <c r="H7890" i="12"/>
  <c r="F7890" i="12"/>
  <c r="J7889" i="12"/>
  <c r="I7889" i="12"/>
  <c r="H7889" i="12"/>
  <c r="F7889" i="12"/>
  <c r="J7888" i="12"/>
  <c r="I7888" i="12"/>
  <c r="H7888" i="12"/>
  <c r="F7888" i="12"/>
  <c r="J7887" i="12"/>
  <c r="I7887" i="12"/>
  <c r="H7887" i="12"/>
  <c r="F7887" i="12"/>
  <c r="J7886" i="12"/>
  <c r="I7886" i="12"/>
  <c r="H7886" i="12"/>
  <c r="F7886" i="12"/>
  <c r="J7885" i="12"/>
  <c r="I7885" i="12"/>
  <c r="H7885" i="12"/>
  <c r="F7885" i="12"/>
  <c r="J7884" i="12"/>
  <c r="I7884" i="12"/>
  <c r="H7884" i="12"/>
  <c r="F7884" i="12"/>
  <c r="J7883" i="12"/>
  <c r="I7883" i="12"/>
  <c r="H7883" i="12"/>
  <c r="F7883" i="12"/>
  <c r="J7882" i="12"/>
  <c r="I7882" i="12"/>
  <c r="H7882" i="12"/>
  <c r="F7882" i="12"/>
  <c r="J7881" i="12"/>
  <c r="I7881" i="12"/>
  <c r="H7881" i="12"/>
  <c r="F7881" i="12"/>
  <c r="J7880" i="12"/>
  <c r="I7880" i="12"/>
  <c r="H7880" i="12"/>
  <c r="F7880" i="12"/>
  <c r="J7879" i="12"/>
  <c r="I7879" i="12"/>
  <c r="H7879" i="12"/>
  <c r="F7879" i="12"/>
  <c r="J7878" i="12"/>
  <c r="I7878" i="12"/>
  <c r="H7878" i="12"/>
  <c r="F7878" i="12"/>
  <c r="J7877" i="12"/>
  <c r="I7877" i="12"/>
  <c r="H7877" i="12"/>
  <c r="F7877" i="12"/>
  <c r="J7876" i="12"/>
  <c r="I7876" i="12"/>
  <c r="H7876" i="12"/>
  <c r="F7876" i="12"/>
  <c r="J7875" i="12"/>
  <c r="I7875" i="12"/>
  <c r="H7875" i="12"/>
  <c r="F7875" i="12"/>
  <c r="J7874" i="12"/>
  <c r="I7874" i="12"/>
  <c r="H7874" i="12"/>
  <c r="F7874" i="12"/>
  <c r="J7873" i="12"/>
  <c r="I7873" i="12"/>
  <c r="H7873" i="12"/>
  <c r="F7873" i="12"/>
  <c r="J7872" i="12"/>
  <c r="I7872" i="12"/>
  <c r="H7872" i="12"/>
  <c r="F7872" i="12"/>
  <c r="J7871" i="12"/>
  <c r="I7871" i="12"/>
  <c r="H7871" i="12"/>
  <c r="F7871" i="12"/>
  <c r="J7870" i="12"/>
  <c r="I7870" i="12"/>
  <c r="H7870" i="12"/>
  <c r="F7870" i="12"/>
  <c r="J7869" i="12"/>
  <c r="I7869" i="12"/>
  <c r="H7869" i="12"/>
  <c r="F7869" i="12"/>
  <c r="J7868" i="12"/>
  <c r="I7868" i="12"/>
  <c r="H7868" i="12"/>
  <c r="F7868" i="12"/>
  <c r="J7867" i="12"/>
  <c r="I7867" i="12"/>
  <c r="H7867" i="12"/>
  <c r="F7867" i="12"/>
  <c r="J7866" i="12"/>
  <c r="I7866" i="12"/>
  <c r="H7866" i="12"/>
  <c r="F7866" i="12"/>
  <c r="J7865" i="12"/>
  <c r="I7865" i="12"/>
  <c r="H7865" i="12"/>
  <c r="F7865" i="12"/>
  <c r="J7864" i="12"/>
  <c r="I7864" i="12"/>
  <c r="H7864" i="12"/>
  <c r="F7864" i="12"/>
  <c r="J7863" i="12"/>
  <c r="I7863" i="12"/>
  <c r="H7863" i="12"/>
  <c r="F7863" i="12"/>
  <c r="J7862" i="12"/>
  <c r="I7862" i="12"/>
  <c r="H7862" i="12"/>
  <c r="F7862" i="12"/>
  <c r="J7861" i="12"/>
  <c r="I7861" i="12"/>
  <c r="H7861" i="12"/>
  <c r="F7861" i="12"/>
  <c r="J7860" i="12"/>
  <c r="I7860" i="12"/>
  <c r="H7860" i="12"/>
  <c r="F7860" i="12"/>
  <c r="J7859" i="12"/>
  <c r="I7859" i="12"/>
  <c r="H7859" i="12"/>
  <c r="F7859" i="12"/>
  <c r="J7858" i="12"/>
  <c r="I7858" i="12"/>
  <c r="H7858" i="12"/>
  <c r="F7858" i="12"/>
  <c r="J7857" i="12"/>
  <c r="I7857" i="12"/>
  <c r="H7857" i="12"/>
  <c r="F7857" i="12"/>
  <c r="J7856" i="12"/>
  <c r="I7856" i="12"/>
  <c r="H7856" i="12"/>
  <c r="F7856" i="12"/>
  <c r="J7855" i="12"/>
  <c r="I7855" i="12"/>
  <c r="H7855" i="12"/>
  <c r="F7855" i="12"/>
  <c r="J7854" i="12"/>
  <c r="I7854" i="12"/>
  <c r="H7854" i="12"/>
  <c r="F7854" i="12"/>
  <c r="J7853" i="12"/>
  <c r="I7853" i="12"/>
  <c r="H7853" i="12"/>
  <c r="F7853" i="12"/>
  <c r="J7852" i="12"/>
  <c r="I7852" i="12"/>
  <c r="H7852" i="12"/>
  <c r="F7852" i="12"/>
  <c r="J7851" i="12"/>
  <c r="I7851" i="12"/>
  <c r="H7851" i="12"/>
  <c r="F7851" i="12"/>
  <c r="J7850" i="12"/>
  <c r="I7850" i="12"/>
  <c r="H7850" i="12"/>
  <c r="F7850" i="12"/>
  <c r="J7849" i="12"/>
  <c r="I7849" i="12"/>
  <c r="H7849" i="12"/>
  <c r="F7849" i="12"/>
  <c r="J7848" i="12"/>
  <c r="I7848" i="12"/>
  <c r="H7848" i="12"/>
  <c r="F7848" i="12"/>
  <c r="J7847" i="12"/>
  <c r="I7847" i="12"/>
  <c r="H7847" i="12"/>
  <c r="F7847" i="12"/>
  <c r="J7846" i="12"/>
  <c r="I7846" i="12"/>
  <c r="H7846" i="12"/>
  <c r="F7846" i="12"/>
  <c r="J7845" i="12"/>
  <c r="I7845" i="12"/>
  <c r="H7845" i="12"/>
  <c r="F7845" i="12"/>
  <c r="J7844" i="12"/>
  <c r="I7844" i="12"/>
  <c r="H7844" i="12"/>
  <c r="F7844" i="12"/>
  <c r="J7843" i="12"/>
  <c r="I7843" i="12"/>
  <c r="H7843" i="12"/>
  <c r="F7843" i="12"/>
  <c r="J7842" i="12"/>
  <c r="I7842" i="12"/>
  <c r="H7842" i="12"/>
  <c r="F7842" i="12"/>
  <c r="J7841" i="12"/>
  <c r="I7841" i="12"/>
  <c r="H7841" i="12"/>
  <c r="F7841" i="12"/>
  <c r="J7840" i="12"/>
  <c r="I7840" i="12"/>
  <c r="H7840" i="12"/>
  <c r="F7840" i="12"/>
  <c r="J7839" i="12"/>
  <c r="I7839" i="12"/>
  <c r="H7839" i="12"/>
  <c r="F7839" i="12"/>
  <c r="J7838" i="12"/>
  <c r="I7838" i="12"/>
  <c r="H7838" i="12"/>
  <c r="F7838" i="12"/>
  <c r="J7837" i="12"/>
  <c r="I7837" i="12"/>
  <c r="H7837" i="12"/>
  <c r="F7837" i="12"/>
  <c r="J7836" i="12"/>
  <c r="I7836" i="12"/>
  <c r="H7836" i="12"/>
  <c r="F7836" i="12"/>
  <c r="J7835" i="12"/>
  <c r="I7835" i="12"/>
  <c r="H7835" i="12"/>
  <c r="F7835" i="12"/>
  <c r="J7834" i="12"/>
  <c r="I7834" i="12"/>
  <c r="H7834" i="12"/>
  <c r="F7834" i="12"/>
  <c r="J7833" i="12"/>
  <c r="I7833" i="12"/>
  <c r="H7833" i="12"/>
  <c r="F7833" i="12"/>
  <c r="J7832" i="12"/>
  <c r="I7832" i="12"/>
  <c r="H7832" i="12"/>
  <c r="F7832" i="12"/>
  <c r="J7831" i="12"/>
  <c r="I7831" i="12"/>
  <c r="H7831" i="12"/>
  <c r="F7831" i="12"/>
  <c r="J7830" i="12"/>
  <c r="I7830" i="12"/>
  <c r="H7830" i="12"/>
  <c r="F7830" i="12"/>
  <c r="J7829" i="12"/>
  <c r="I7829" i="12"/>
  <c r="H7829" i="12"/>
  <c r="F7829" i="12"/>
  <c r="J7828" i="12"/>
  <c r="I7828" i="12"/>
  <c r="H7828" i="12"/>
  <c r="F7828" i="12"/>
  <c r="J7827" i="12"/>
  <c r="I7827" i="12"/>
  <c r="H7827" i="12"/>
  <c r="F7827" i="12"/>
  <c r="J7826" i="12"/>
  <c r="I7826" i="12"/>
  <c r="H7826" i="12"/>
  <c r="F7826" i="12"/>
  <c r="J7825" i="12"/>
  <c r="I7825" i="12"/>
  <c r="H7825" i="12"/>
  <c r="F7825" i="12"/>
  <c r="J7824" i="12"/>
  <c r="I7824" i="12"/>
  <c r="H7824" i="12"/>
  <c r="F7824" i="12"/>
  <c r="J7823" i="12"/>
  <c r="I7823" i="12"/>
  <c r="H7823" i="12"/>
  <c r="F7823" i="12"/>
  <c r="J7822" i="12"/>
  <c r="I7822" i="12"/>
  <c r="H7822" i="12"/>
  <c r="F7822" i="12"/>
  <c r="J7821" i="12"/>
  <c r="I7821" i="12"/>
  <c r="H7821" i="12"/>
  <c r="F7821" i="12"/>
  <c r="J7820" i="12"/>
  <c r="I7820" i="12"/>
  <c r="H7820" i="12"/>
  <c r="F7820" i="12"/>
  <c r="J7819" i="12"/>
  <c r="I7819" i="12"/>
  <c r="H7819" i="12"/>
  <c r="F7819" i="12"/>
  <c r="J7818" i="12"/>
  <c r="I7818" i="12"/>
  <c r="H7818" i="12"/>
  <c r="F7818" i="12"/>
  <c r="J7817" i="12"/>
  <c r="I7817" i="12"/>
  <c r="H7817" i="12"/>
  <c r="F7817" i="12"/>
  <c r="J7816" i="12"/>
  <c r="I7816" i="12"/>
  <c r="H7816" i="12"/>
  <c r="F7816" i="12"/>
  <c r="J7815" i="12"/>
  <c r="I7815" i="12"/>
  <c r="H7815" i="12"/>
  <c r="F7815" i="12"/>
  <c r="J7814" i="12"/>
  <c r="I7814" i="12"/>
  <c r="H7814" i="12"/>
  <c r="F7814" i="12"/>
  <c r="J7813" i="12"/>
  <c r="I7813" i="12"/>
  <c r="H7813" i="12"/>
  <c r="F7813" i="12"/>
  <c r="J7812" i="12"/>
  <c r="I7812" i="12"/>
  <c r="H7812" i="12"/>
  <c r="F7812" i="12"/>
  <c r="J7811" i="12"/>
  <c r="I7811" i="12"/>
  <c r="H7811" i="12"/>
  <c r="F7811" i="12"/>
  <c r="J7810" i="12"/>
  <c r="I7810" i="12"/>
  <c r="H7810" i="12"/>
  <c r="F7810" i="12"/>
  <c r="J7809" i="12"/>
  <c r="I7809" i="12"/>
  <c r="H7809" i="12"/>
  <c r="F7809" i="12"/>
  <c r="J7808" i="12"/>
  <c r="I7808" i="12"/>
  <c r="H7808" i="12"/>
  <c r="F7808" i="12"/>
  <c r="J7807" i="12"/>
  <c r="I7807" i="12"/>
  <c r="H7807" i="12"/>
  <c r="F7807" i="12"/>
  <c r="J7806" i="12"/>
  <c r="I7806" i="12"/>
  <c r="H7806" i="12"/>
  <c r="F7806" i="12"/>
  <c r="J7805" i="12"/>
  <c r="I7805" i="12"/>
  <c r="H7805" i="12"/>
  <c r="F7805" i="12"/>
  <c r="J7804" i="12"/>
  <c r="I7804" i="12"/>
  <c r="H7804" i="12"/>
  <c r="F7804" i="12"/>
  <c r="J7803" i="12"/>
  <c r="I7803" i="12"/>
  <c r="H7803" i="12"/>
  <c r="F7803" i="12"/>
  <c r="J7802" i="12"/>
  <c r="I7802" i="12"/>
  <c r="H7802" i="12"/>
  <c r="F7802" i="12"/>
  <c r="J7801" i="12"/>
  <c r="I7801" i="12"/>
  <c r="H7801" i="12"/>
  <c r="F7801" i="12"/>
  <c r="J7800" i="12"/>
  <c r="I7800" i="12"/>
  <c r="H7800" i="12"/>
  <c r="F7800" i="12"/>
  <c r="J7799" i="12"/>
  <c r="I7799" i="12"/>
  <c r="H7799" i="12"/>
  <c r="F7799" i="12"/>
  <c r="J7798" i="12"/>
  <c r="I7798" i="12"/>
  <c r="H7798" i="12"/>
  <c r="F7798" i="12"/>
  <c r="J7797" i="12"/>
  <c r="I7797" i="12"/>
  <c r="H7797" i="12"/>
  <c r="F7797" i="12"/>
  <c r="J7796" i="12"/>
  <c r="I7796" i="12"/>
  <c r="H7796" i="12"/>
  <c r="F7796" i="12"/>
  <c r="J7795" i="12"/>
  <c r="I7795" i="12"/>
  <c r="H7795" i="12"/>
  <c r="F7795" i="12"/>
  <c r="J7794" i="12"/>
  <c r="I7794" i="12"/>
  <c r="H7794" i="12"/>
  <c r="F7794" i="12"/>
  <c r="J7793" i="12"/>
  <c r="I7793" i="12"/>
  <c r="H7793" i="12"/>
  <c r="F7793" i="12"/>
  <c r="J7792" i="12"/>
  <c r="I7792" i="12"/>
  <c r="H7792" i="12"/>
  <c r="F7792" i="12"/>
  <c r="J7791" i="12"/>
  <c r="I7791" i="12"/>
  <c r="H7791" i="12"/>
  <c r="F7791" i="12"/>
  <c r="J7790" i="12"/>
  <c r="I7790" i="12"/>
  <c r="H7790" i="12"/>
  <c r="F7790" i="12"/>
  <c r="J7789" i="12"/>
  <c r="I7789" i="12"/>
  <c r="H7789" i="12"/>
  <c r="F7789" i="12"/>
  <c r="J7788" i="12"/>
  <c r="I7788" i="12"/>
  <c r="H7788" i="12"/>
  <c r="F7788" i="12"/>
  <c r="J7787" i="12"/>
  <c r="I7787" i="12"/>
  <c r="H7787" i="12"/>
  <c r="F7787" i="12"/>
  <c r="J7786" i="12"/>
  <c r="I7786" i="12"/>
  <c r="H7786" i="12"/>
  <c r="F7786" i="12"/>
  <c r="J7785" i="12"/>
  <c r="I7785" i="12"/>
  <c r="H7785" i="12"/>
  <c r="F7785" i="12"/>
  <c r="J7784" i="12"/>
  <c r="I7784" i="12"/>
  <c r="H7784" i="12"/>
  <c r="F7784" i="12"/>
  <c r="J7783" i="12"/>
  <c r="I7783" i="12"/>
  <c r="H7783" i="12"/>
  <c r="F7783" i="12"/>
  <c r="J7782" i="12"/>
  <c r="I7782" i="12"/>
  <c r="H7782" i="12"/>
  <c r="F7782" i="12"/>
  <c r="J7781" i="12"/>
  <c r="I7781" i="12"/>
  <c r="H7781" i="12"/>
  <c r="F7781" i="12"/>
  <c r="J7780" i="12"/>
  <c r="I7780" i="12"/>
  <c r="H7780" i="12"/>
  <c r="F7780" i="12"/>
  <c r="J7779" i="12"/>
  <c r="I7779" i="12"/>
  <c r="H7779" i="12"/>
  <c r="F7779" i="12"/>
  <c r="J7778" i="12"/>
  <c r="I7778" i="12"/>
  <c r="H7778" i="12"/>
  <c r="F7778" i="12"/>
  <c r="J7777" i="12"/>
  <c r="I7777" i="12"/>
  <c r="H7777" i="12"/>
  <c r="F7777" i="12"/>
  <c r="J7776" i="12"/>
  <c r="I7776" i="12"/>
  <c r="H7776" i="12"/>
  <c r="F7776" i="12"/>
  <c r="J7775" i="12"/>
  <c r="I7775" i="12"/>
  <c r="H7775" i="12"/>
  <c r="F7775" i="12"/>
  <c r="J7774" i="12"/>
  <c r="I7774" i="12"/>
  <c r="H7774" i="12"/>
  <c r="F7774" i="12"/>
  <c r="J7773" i="12"/>
  <c r="I7773" i="12"/>
  <c r="H7773" i="12"/>
  <c r="F7773" i="12"/>
  <c r="J7772" i="12"/>
  <c r="I7772" i="12"/>
  <c r="H7772" i="12"/>
  <c r="F7772" i="12"/>
  <c r="J7771" i="12"/>
  <c r="I7771" i="12"/>
  <c r="H7771" i="12"/>
  <c r="F7771" i="12"/>
  <c r="J7770" i="12"/>
  <c r="I7770" i="12"/>
  <c r="H7770" i="12"/>
  <c r="F7770" i="12"/>
  <c r="J7769" i="12"/>
  <c r="I7769" i="12"/>
  <c r="H7769" i="12"/>
  <c r="F7769" i="12"/>
  <c r="J7768" i="12"/>
  <c r="I7768" i="12"/>
  <c r="H7768" i="12"/>
  <c r="F7768" i="12"/>
  <c r="J7767" i="12"/>
  <c r="I7767" i="12"/>
  <c r="H7767" i="12"/>
  <c r="F7767" i="12"/>
  <c r="J7766" i="12"/>
  <c r="I7766" i="12"/>
  <c r="H7766" i="12"/>
  <c r="F7766" i="12"/>
  <c r="J7765" i="12"/>
  <c r="I7765" i="12"/>
  <c r="H7765" i="12"/>
  <c r="F7765" i="12"/>
  <c r="J7764" i="12"/>
  <c r="I7764" i="12"/>
  <c r="H7764" i="12"/>
  <c r="F7764" i="12"/>
  <c r="J7763" i="12"/>
  <c r="I7763" i="12"/>
  <c r="H7763" i="12"/>
  <c r="F7763" i="12"/>
  <c r="J7762" i="12"/>
  <c r="I7762" i="12"/>
  <c r="H7762" i="12"/>
  <c r="F7762" i="12"/>
  <c r="J7761" i="12"/>
  <c r="I7761" i="12"/>
  <c r="H7761" i="12"/>
  <c r="F7761" i="12"/>
  <c r="J7760" i="12"/>
  <c r="I7760" i="12"/>
  <c r="H7760" i="12"/>
  <c r="F7760" i="12"/>
  <c r="J7759" i="12"/>
  <c r="I7759" i="12"/>
  <c r="H7759" i="12"/>
  <c r="F7759" i="12"/>
  <c r="J7758" i="12"/>
  <c r="I7758" i="12"/>
  <c r="H7758" i="12"/>
  <c r="F7758" i="12"/>
  <c r="J7757" i="12"/>
  <c r="I7757" i="12"/>
  <c r="H7757" i="12"/>
  <c r="F7757" i="12"/>
  <c r="J7756" i="12"/>
  <c r="I7756" i="12"/>
  <c r="H7756" i="12"/>
  <c r="F7756" i="12"/>
  <c r="J7755" i="12"/>
  <c r="I7755" i="12"/>
  <c r="H7755" i="12"/>
  <c r="F7755" i="12"/>
  <c r="J7754" i="12"/>
  <c r="I7754" i="12"/>
  <c r="H7754" i="12"/>
  <c r="F7754" i="12"/>
  <c r="J7753" i="12"/>
  <c r="I7753" i="12"/>
  <c r="H7753" i="12"/>
  <c r="F7753" i="12"/>
  <c r="J7752" i="12"/>
  <c r="I7752" i="12"/>
  <c r="H7752" i="12"/>
  <c r="F7752" i="12"/>
  <c r="J7751" i="12"/>
  <c r="I7751" i="12"/>
  <c r="H7751" i="12"/>
  <c r="F7751" i="12"/>
  <c r="J7750" i="12"/>
  <c r="I7750" i="12"/>
  <c r="H7750" i="12"/>
  <c r="F7750" i="12"/>
  <c r="J7749" i="12"/>
  <c r="I7749" i="12"/>
  <c r="H7749" i="12"/>
  <c r="F7749" i="12"/>
  <c r="J7748" i="12"/>
  <c r="I7748" i="12"/>
  <c r="H7748" i="12"/>
  <c r="F7748" i="12"/>
  <c r="J7747" i="12"/>
  <c r="I7747" i="12"/>
  <c r="H7747" i="12"/>
  <c r="F7747" i="12"/>
  <c r="J7746" i="12"/>
  <c r="I7746" i="12"/>
  <c r="H7746" i="12"/>
  <c r="F7746" i="12"/>
  <c r="J7745" i="12"/>
  <c r="I7745" i="12"/>
  <c r="H7745" i="12"/>
  <c r="F7745" i="12"/>
  <c r="J7744" i="12"/>
  <c r="I7744" i="12"/>
  <c r="H7744" i="12"/>
  <c r="F7744" i="12"/>
  <c r="J7743" i="12"/>
  <c r="I7743" i="12"/>
  <c r="H7743" i="12"/>
  <c r="F7743" i="12"/>
  <c r="J7742" i="12"/>
  <c r="I7742" i="12"/>
  <c r="H7742" i="12"/>
  <c r="F7742" i="12"/>
  <c r="J7741" i="12"/>
  <c r="I7741" i="12"/>
  <c r="H7741" i="12"/>
  <c r="F7741" i="12"/>
  <c r="J7740" i="12"/>
  <c r="I7740" i="12"/>
  <c r="H7740" i="12"/>
  <c r="F7740" i="12"/>
  <c r="J7739" i="12"/>
  <c r="I7739" i="12"/>
  <c r="H7739" i="12"/>
  <c r="F7739" i="12"/>
  <c r="J7738" i="12"/>
  <c r="I7738" i="12"/>
  <c r="H7738" i="12"/>
  <c r="F7738" i="12"/>
  <c r="J7737" i="12"/>
  <c r="I7737" i="12"/>
  <c r="H7737" i="12"/>
  <c r="F7737" i="12"/>
  <c r="J7736" i="12"/>
  <c r="I7736" i="12"/>
  <c r="H7736" i="12"/>
  <c r="F7736" i="12"/>
  <c r="J7735" i="12"/>
  <c r="I7735" i="12"/>
  <c r="H7735" i="12"/>
  <c r="F7735" i="12"/>
  <c r="J7734" i="12"/>
  <c r="I7734" i="12"/>
  <c r="H7734" i="12"/>
  <c r="F7734" i="12"/>
  <c r="J7733" i="12"/>
  <c r="I7733" i="12"/>
  <c r="H7733" i="12"/>
  <c r="F7733" i="12"/>
  <c r="J7732" i="12"/>
  <c r="I7732" i="12"/>
  <c r="H7732" i="12"/>
  <c r="F7732" i="12"/>
  <c r="J7731" i="12"/>
  <c r="I7731" i="12"/>
  <c r="H7731" i="12"/>
  <c r="F7731" i="12"/>
  <c r="J7730" i="12"/>
  <c r="I7730" i="12"/>
  <c r="H7730" i="12"/>
  <c r="F7730" i="12"/>
  <c r="J7729" i="12"/>
  <c r="I7729" i="12"/>
  <c r="H7729" i="12"/>
  <c r="F7729" i="12"/>
  <c r="J7728" i="12"/>
  <c r="I7728" i="12"/>
  <c r="H7728" i="12"/>
  <c r="F7728" i="12"/>
  <c r="J7727" i="12"/>
  <c r="I7727" i="12"/>
  <c r="H7727" i="12"/>
  <c r="F7727" i="12"/>
  <c r="J7726" i="12"/>
  <c r="I7726" i="12"/>
  <c r="H7726" i="12"/>
  <c r="F7726" i="12"/>
  <c r="J7725" i="12"/>
  <c r="I7725" i="12"/>
  <c r="H7725" i="12"/>
  <c r="F7725" i="12"/>
  <c r="J7724" i="12"/>
  <c r="I7724" i="12"/>
  <c r="H7724" i="12"/>
  <c r="F7724" i="12"/>
  <c r="J7723" i="12"/>
  <c r="I7723" i="12"/>
  <c r="H7723" i="12"/>
  <c r="F7723" i="12"/>
  <c r="J7722" i="12"/>
  <c r="I7722" i="12"/>
  <c r="H7722" i="12"/>
  <c r="F7722" i="12"/>
  <c r="J7721" i="12"/>
  <c r="I7721" i="12"/>
  <c r="H7721" i="12"/>
  <c r="F7721" i="12"/>
  <c r="J7720" i="12"/>
  <c r="I7720" i="12"/>
  <c r="H7720" i="12"/>
  <c r="F7720" i="12"/>
  <c r="J7719" i="12"/>
  <c r="I7719" i="12"/>
  <c r="H7719" i="12"/>
  <c r="F7719" i="12"/>
  <c r="J7718" i="12"/>
  <c r="I7718" i="12"/>
  <c r="H7718" i="12"/>
  <c r="F7718" i="12"/>
  <c r="J7717" i="12"/>
  <c r="I7717" i="12"/>
  <c r="H7717" i="12"/>
  <c r="F7717" i="12"/>
  <c r="J7716" i="12"/>
  <c r="I7716" i="12"/>
  <c r="H7716" i="12"/>
  <c r="F7716" i="12"/>
  <c r="J7715" i="12"/>
  <c r="I7715" i="12"/>
  <c r="H7715" i="12"/>
  <c r="F7715" i="12"/>
  <c r="J7714" i="12"/>
  <c r="I7714" i="12"/>
  <c r="H7714" i="12"/>
  <c r="F7714" i="12"/>
  <c r="J7713" i="12"/>
  <c r="I7713" i="12"/>
  <c r="H7713" i="12"/>
  <c r="F7713" i="12"/>
  <c r="J7712" i="12"/>
  <c r="I7712" i="12"/>
  <c r="H7712" i="12"/>
  <c r="F7712" i="12"/>
  <c r="J7711" i="12"/>
  <c r="I7711" i="12"/>
  <c r="H7711" i="12"/>
  <c r="F7711" i="12"/>
  <c r="J7710" i="12"/>
  <c r="I7710" i="12"/>
  <c r="H7710" i="12"/>
  <c r="F7710" i="12"/>
  <c r="J7709" i="12"/>
  <c r="I7709" i="12"/>
  <c r="H7709" i="12"/>
  <c r="F7709" i="12"/>
  <c r="J7708" i="12"/>
  <c r="I7708" i="12"/>
  <c r="H7708" i="12"/>
  <c r="F7708" i="12"/>
  <c r="J7707" i="12"/>
  <c r="I7707" i="12"/>
  <c r="H7707" i="12"/>
  <c r="F7707" i="12"/>
  <c r="J7706" i="12"/>
  <c r="I7706" i="12"/>
  <c r="H7706" i="12"/>
  <c r="F7706" i="12"/>
  <c r="J7705" i="12"/>
  <c r="I7705" i="12"/>
  <c r="H7705" i="12"/>
  <c r="F7705" i="12"/>
  <c r="J7704" i="12"/>
  <c r="I7704" i="12"/>
  <c r="H7704" i="12"/>
  <c r="F7704" i="12"/>
  <c r="J7703" i="12"/>
  <c r="I7703" i="12"/>
  <c r="H7703" i="12"/>
  <c r="F7703" i="12"/>
  <c r="J7702" i="12"/>
  <c r="I7702" i="12"/>
  <c r="H7702" i="12"/>
  <c r="F7702" i="12"/>
  <c r="J7701" i="12"/>
  <c r="I7701" i="12"/>
  <c r="H7701" i="12"/>
  <c r="F7701" i="12"/>
  <c r="J7700" i="12"/>
  <c r="I7700" i="12"/>
  <c r="H7700" i="12"/>
  <c r="F7700" i="12"/>
  <c r="J7699" i="12"/>
  <c r="I7699" i="12"/>
  <c r="H7699" i="12"/>
  <c r="F7699" i="12"/>
  <c r="J7698" i="12"/>
  <c r="I7698" i="12"/>
  <c r="H7698" i="12"/>
  <c r="F7698" i="12"/>
  <c r="J7697" i="12"/>
  <c r="I7697" i="12"/>
  <c r="H7697" i="12"/>
  <c r="F7697" i="12"/>
  <c r="J7696" i="12"/>
  <c r="I7696" i="12"/>
  <c r="H7696" i="12"/>
  <c r="F7696" i="12"/>
  <c r="J7695" i="12"/>
  <c r="I7695" i="12"/>
  <c r="H7695" i="12"/>
  <c r="F7695" i="12"/>
  <c r="J7694" i="12"/>
  <c r="I7694" i="12"/>
  <c r="H7694" i="12"/>
  <c r="F7694" i="12"/>
  <c r="J7693" i="12"/>
  <c r="I7693" i="12"/>
  <c r="H7693" i="12"/>
  <c r="F7693" i="12"/>
  <c r="J7692" i="12"/>
  <c r="I7692" i="12"/>
  <c r="H7692" i="12"/>
  <c r="F7692" i="12"/>
  <c r="J7691" i="12"/>
  <c r="I7691" i="12"/>
  <c r="H7691" i="12"/>
  <c r="F7691" i="12"/>
  <c r="J7690" i="12"/>
  <c r="I7690" i="12"/>
  <c r="H7690" i="12"/>
  <c r="F7690" i="12"/>
  <c r="J7689" i="12"/>
  <c r="I7689" i="12"/>
  <c r="H7689" i="12"/>
  <c r="F7689" i="12"/>
  <c r="J7688" i="12"/>
  <c r="I7688" i="12"/>
  <c r="H7688" i="12"/>
  <c r="F7688" i="12"/>
  <c r="J7687" i="12"/>
  <c r="I7687" i="12"/>
  <c r="H7687" i="12"/>
  <c r="F7687" i="12"/>
  <c r="J7686" i="12"/>
  <c r="I7686" i="12"/>
  <c r="H7686" i="12"/>
  <c r="F7686" i="12"/>
  <c r="J7685" i="12"/>
  <c r="I7685" i="12"/>
  <c r="H7685" i="12"/>
  <c r="F7685" i="12"/>
  <c r="J7684" i="12"/>
  <c r="I7684" i="12"/>
  <c r="H7684" i="12"/>
  <c r="F7684" i="12"/>
  <c r="J7683" i="12"/>
  <c r="I7683" i="12"/>
  <c r="H7683" i="12"/>
  <c r="F7683" i="12"/>
  <c r="J7682" i="12"/>
  <c r="I7682" i="12"/>
  <c r="H7682" i="12"/>
  <c r="F7682" i="12"/>
  <c r="J7681" i="12"/>
  <c r="I7681" i="12"/>
  <c r="H7681" i="12"/>
  <c r="F7681" i="12"/>
  <c r="J7680" i="12"/>
  <c r="I7680" i="12"/>
  <c r="H7680" i="12"/>
  <c r="F7680" i="12"/>
  <c r="J7679" i="12"/>
  <c r="I7679" i="12"/>
  <c r="H7679" i="12"/>
  <c r="F7679" i="12"/>
  <c r="J7678" i="12"/>
  <c r="I7678" i="12"/>
  <c r="H7678" i="12"/>
  <c r="F7678" i="12"/>
  <c r="J7677" i="12"/>
  <c r="I7677" i="12"/>
  <c r="H7677" i="12"/>
  <c r="F7677" i="12"/>
  <c r="J7676" i="12"/>
  <c r="I7676" i="12"/>
  <c r="H7676" i="12"/>
  <c r="F7676" i="12"/>
  <c r="J7675" i="12"/>
  <c r="I7675" i="12"/>
  <c r="H7675" i="12"/>
  <c r="F7675" i="12"/>
  <c r="J7674" i="12"/>
  <c r="I7674" i="12"/>
  <c r="H7674" i="12"/>
  <c r="F7674" i="12"/>
  <c r="J7673" i="12"/>
  <c r="I7673" i="12"/>
  <c r="H7673" i="12"/>
  <c r="F7673" i="12"/>
  <c r="J7672" i="12"/>
  <c r="I7672" i="12"/>
  <c r="H7672" i="12"/>
  <c r="F7672" i="12"/>
  <c r="J7671" i="12"/>
  <c r="I7671" i="12"/>
  <c r="H7671" i="12"/>
  <c r="F7671" i="12"/>
  <c r="J7670" i="12"/>
  <c r="I7670" i="12"/>
  <c r="H7670" i="12"/>
  <c r="F7670" i="12"/>
  <c r="J7669" i="12"/>
  <c r="I7669" i="12"/>
  <c r="H7669" i="12"/>
  <c r="F7669" i="12"/>
  <c r="J7668" i="12"/>
  <c r="I7668" i="12"/>
  <c r="H7668" i="12"/>
  <c r="F7668" i="12"/>
  <c r="J7667" i="12"/>
  <c r="I7667" i="12"/>
  <c r="H7667" i="12"/>
  <c r="F7667" i="12"/>
  <c r="J7666" i="12"/>
  <c r="I7666" i="12"/>
  <c r="H7666" i="12"/>
  <c r="F7666" i="12"/>
  <c r="J7665" i="12"/>
  <c r="I7665" i="12"/>
  <c r="H7665" i="12"/>
  <c r="F7665" i="12"/>
  <c r="J7664" i="12"/>
  <c r="I7664" i="12"/>
  <c r="H7664" i="12"/>
  <c r="F7664" i="12"/>
  <c r="J7663" i="12"/>
  <c r="I7663" i="12"/>
  <c r="H7663" i="12"/>
  <c r="F7663" i="12"/>
  <c r="J7662" i="12"/>
  <c r="I7662" i="12"/>
  <c r="H7662" i="12"/>
  <c r="F7662" i="12"/>
  <c r="J7661" i="12"/>
  <c r="I7661" i="12"/>
  <c r="H7661" i="12"/>
  <c r="F7661" i="12"/>
  <c r="J7660" i="12"/>
  <c r="I7660" i="12"/>
  <c r="H7660" i="12"/>
  <c r="F7660" i="12"/>
  <c r="J7659" i="12"/>
  <c r="I7659" i="12"/>
  <c r="H7659" i="12"/>
  <c r="F7659" i="12"/>
  <c r="J7658" i="12"/>
  <c r="I7658" i="12"/>
  <c r="H7658" i="12"/>
  <c r="F7658" i="12"/>
  <c r="J7657" i="12"/>
  <c r="I7657" i="12"/>
  <c r="H7657" i="12"/>
  <c r="F7657" i="12"/>
  <c r="J7656" i="12"/>
  <c r="I7656" i="12"/>
  <c r="H7656" i="12"/>
  <c r="F7656" i="12"/>
  <c r="J7655" i="12"/>
  <c r="I7655" i="12"/>
  <c r="H7655" i="12"/>
  <c r="F7655" i="12"/>
  <c r="J7654" i="12"/>
  <c r="I7654" i="12"/>
  <c r="H7654" i="12"/>
  <c r="F7654" i="12"/>
  <c r="J7653" i="12"/>
  <c r="I7653" i="12"/>
  <c r="H7653" i="12"/>
  <c r="F7653" i="12"/>
  <c r="J7652" i="12"/>
  <c r="I7652" i="12"/>
  <c r="H7652" i="12"/>
  <c r="F7652" i="12"/>
  <c r="J7651" i="12"/>
  <c r="I7651" i="12"/>
  <c r="H7651" i="12"/>
  <c r="F7651" i="12"/>
  <c r="J7650" i="12"/>
  <c r="I7650" i="12"/>
  <c r="H7650" i="12"/>
  <c r="F7650" i="12"/>
  <c r="J7649" i="12"/>
  <c r="I7649" i="12"/>
  <c r="H7649" i="12"/>
  <c r="F7649" i="12"/>
  <c r="J7648" i="12"/>
  <c r="I7648" i="12"/>
  <c r="H7648" i="12"/>
  <c r="F7648" i="12"/>
  <c r="J7647" i="12"/>
  <c r="I7647" i="12"/>
  <c r="H7647" i="12"/>
  <c r="F7647" i="12"/>
  <c r="J7646" i="12"/>
  <c r="I7646" i="12"/>
  <c r="H7646" i="12"/>
  <c r="F7646" i="12"/>
  <c r="J7645" i="12"/>
  <c r="I7645" i="12"/>
  <c r="H7645" i="12"/>
  <c r="F7645" i="12"/>
  <c r="J7644" i="12"/>
  <c r="I7644" i="12"/>
  <c r="H7644" i="12"/>
  <c r="F7644" i="12"/>
  <c r="J7643" i="12"/>
  <c r="I7643" i="12"/>
  <c r="H7643" i="12"/>
  <c r="F7643" i="12"/>
  <c r="J7642" i="12"/>
  <c r="I7642" i="12"/>
  <c r="H7642" i="12"/>
  <c r="F7642" i="12"/>
  <c r="J7641" i="12"/>
  <c r="I7641" i="12"/>
  <c r="H7641" i="12"/>
  <c r="F7641" i="12"/>
  <c r="J7640" i="12"/>
  <c r="I7640" i="12"/>
  <c r="H7640" i="12"/>
  <c r="F7640" i="12"/>
  <c r="J7639" i="12"/>
  <c r="I7639" i="12"/>
  <c r="H7639" i="12"/>
  <c r="F7639" i="12"/>
  <c r="J7638" i="12"/>
  <c r="I7638" i="12"/>
  <c r="H7638" i="12"/>
  <c r="F7638" i="12"/>
  <c r="J7637" i="12"/>
  <c r="I7637" i="12"/>
  <c r="H7637" i="12"/>
  <c r="F7637" i="12"/>
  <c r="J7636" i="12"/>
  <c r="I7636" i="12"/>
  <c r="H7636" i="12"/>
  <c r="F7636" i="12"/>
  <c r="J7635" i="12"/>
  <c r="I7635" i="12"/>
  <c r="H7635" i="12"/>
  <c r="F7635" i="12"/>
  <c r="J7634" i="12"/>
  <c r="I7634" i="12"/>
  <c r="H7634" i="12"/>
  <c r="F7634" i="12"/>
  <c r="J7633" i="12"/>
  <c r="I7633" i="12"/>
  <c r="H7633" i="12"/>
  <c r="F7633" i="12"/>
  <c r="J7632" i="12"/>
  <c r="I7632" i="12"/>
  <c r="H7632" i="12"/>
  <c r="F7632" i="12"/>
  <c r="J7631" i="12"/>
  <c r="I7631" i="12"/>
  <c r="H7631" i="12"/>
  <c r="F7631" i="12"/>
  <c r="J7630" i="12"/>
  <c r="I7630" i="12"/>
  <c r="H7630" i="12"/>
  <c r="F7630" i="12"/>
  <c r="J7629" i="12"/>
  <c r="I7629" i="12"/>
  <c r="H7629" i="12"/>
  <c r="F7629" i="12"/>
  <c r="J7628" i="12"/>
  <c r="I7628" i="12"/>
  <c r="H7628" i="12"/>
  <c r="F7628" i="12"/>
  <c r="J7627" i="12"/>
  <c r="I7627" i="12"/>
  <c r="H7627" i="12"/>
  <c r="F7627" i="12"/>
  <c r="J7626" i="12"/>
  <c r="I7626" i="12"/>
  <c r="H7626" i="12"/>
  <c r="F7626" i="12"/>
  <c r="J7625" i="12"/>
  <c r="I7625" i="12"/>
  <c r="H7625" i="12"/>
  <c r="F7625" i="12"/>
  <c r="J7624" i="12"/>
  <c r="I7624" i="12"/>
  <c r="H7624" i="12"/>
  <c r="F7624" i="12"/>
  <c r="J7623" i="12"/>
  <c r="I7623" i="12"/>
  <c r="H7623" i="12"/>
  <c r="F7623" i="12"/>
  <c r="J7622" i="12"/>
  <c r="I7622" i="12"/>
  <c r="H7622" i="12"/>
  <c r="F7622" i="12"/>
  <c r="J7621" i="12"/>
  <c r="I7621" i="12"/>
  <c r="H7621" i="12"/>
  <c r="F7621" i="12"/>
  <c r="J7620" i="12"/>
  <c r="I7620" i="12"/>
  <c r="H7620" i="12"/>
  <c r="F7620" i="12"/>
  <c r="J7619" i="12"/>
  <c r="I7619" i="12"/>
  <c r="H7619" i="12"/>
  <c r="F7619" i="12"/>
  <c r="J7618" i="12"/>
  <c r="I7618" i="12"/>
  <c r="H7618" i="12"/>
  <c r="F7618" i="12"/>
  <c r="J7617" i="12"/>
  <c r="I7617" i="12"/>
  <c r="H7617" i="12"/>
  <c r="F7617" i="12"/>
  <c r="J7616" i="12"/>
  <c r="I7616" i="12"/>
  <c r="H7616" i="12"/>
  <c r="F7616" i="12"/>
  <c r="J7615" i="12"/>
  <c r="I7615" i="12"/>
  <c r="H7615" i="12"/>
  <c r="F7615" i="12"/>
  <c r="J7614" i="12"/>
  <c r="I7614" i="12"/>
  <c r="H7614" i="12"/>
  <c r="F7614" i="12"/>
  <c r="J7613" i="12"/>
  <c r="I7613" i="12"/>
  <c r="H7613" i="12"/>
  <c r="F7613" i="12"/>
  <c r="J7612" i="12"/>
  <c r="I7612" i="12"/>
  <c r="H7612" i="12"/>
  <c r="F7612" i="12"/>
  <c r="J7611" i="12"/>
  <c r="I7611" i="12"/>
  <c r="H7611" i="12"/>
  <c r="F7611" i="12"/>
  <c r="J7610" i="12"/>
  <c r="I7610" i="12"/>
  <c r="H7610" i="12"/>
  <c r="F7610" i="12"/>
  <c r="J7609" i="12"/>
  <c r="I7609" i="12"/>
  <c r="H7609" i="12"/>
  <c r="F7609" i="12"/>
  <c r="J7608" i="12"/>
  <c r="I7608" i="12"/>
  <c r="H7608" i="12"/>
  <c r="F7608" i="12"/>
  <c r="J7607" i="12"/>
  <c r="I7607" i="12"/>
  <c r="H7607" i="12"/>
  <c r="F7607" i="12"/>
  <c r="J7606" i="12"/>
  <c r="I7606" i="12"/>
  <c r="H7606" i="12"/>
  <c r="F7606" i="12"/>
  <c r="J7605" i="12"/>
  <c r="I7605" i="12"/>
  <c r="H7605" i="12"/>
  <c r="F7605" i="12"/>
  <c r="J7604" i="12"/>
  <c r="I7604" i="12"/>
  <c r="H7604" i="12"/>
  <c r="F7604" i="12"/>
  <c r="J7603" i="12"/>
  <c r="I7603" i="12"/>
  <c r="H7603" i="12"/>
  <c r="F7603" i="12"/>
  <c r="J7602" i="12"/>
  <c r="I7602" i="12"/>
  <c r="H7602" i="12"/>
  <c r="F7602" i="12"/>
  <c r="J7601" i="12"/>
  <c r="I7601" i="12"/>
  <c r="H7601" i="12"/>
  <c r="F7601" i="12"/>
  <c r="J7600" i="12"/>
  <c r="I7600" i="12"/>
  <c r="H7600" i="12"/>
  <c r="F7600" i="12"/>
  <c r="J7599" i="12"/>
  <c r="I7599" i="12"/>
  <c r="H7599" i="12"/>
  <c r="F7599" i="12"/>
  <c r="J7598" i="12"/>
  <c r="I7598" i="12"/>
  <c r="H7598" i="12"/>
  <c r="F7598" i="12"/>
  <c r="J7597" i="12"/>
  <c r="I7597" i="12"/>
  <c r="H7597" i="12"/>
  <c r="F7597" i="12"/>
  <c r="J7596" i="12"/>
  <c r="I7596" i="12"/>
  <c r="H7596" i="12"/>
  <c r="F7596" i="12"/>
  <c r="J7595" i="12"/>
  <c r="I7595" i="12"/>
  <c r="H7595" i="12"/>
  <c r="F7595" i="12"/>
  <c r="J7594" i="12"/>
  <c r="I7594" i="12"/>
  <c r="H7594" i="12"/>
  <c r="F7594" i="12"/>
  <c r="J7593" i="12"/>
  <c r="I7593" i="12"/>
  <c r="H7593" i="12"/>
  <c r="F7593" i="12"/>
  <c r="J7592" i="12"/>
  <c r="I7592" i="12"/>
  <c r="H7592" i="12"/>
  <c r="F7592" i="12"/>
  <c r="J7591" i="12"/>
  <c r="I7591" i="12"/>
  <c r="H7591" i="12"/>
  <c r="F7591" i="12"/>
  <c r="J7590" i="12"/>
  <c r="I7590" i="12"/>
  <c r="H7590" i="12"/>
  <c r="F7590" i="12"/>
  <c r="J7589" i="12"/>
  <c r="I7589" i="12"/>
  <c r="H7589" i="12"/>
  <c r="F7589" i="12"/>
  <c r="J7588" i="12"/>
  <c r="I7588" i="12"/>
  <c r="H7588" i="12"/>
  <c r="F7588" i="12"/>
  <c r="J7587" i="12"/>
  <c r="I7587" i="12"/>
  <c r="H7587" i="12"/>
  <c r="F7587" i="12"/>
  <c r="J7586" i="12"/>
  <c r="I7586" i="12"/>
  <c r="H7586" i="12"/>
  <c r="F7586" i="12"/>
  <c r="J7585" i="12"/>
  <c r="I7585" i="12"/>
  <c r="H7585" i="12"/>
  <c r="F7585" i="12"/>
  <c r="J7584" i="12"/>
  <c r="I7584" i="12"/>
  <c r="H7584" i="12"/>
  <c r="F7584" i="12"/>
  <c r="J7583" i="12"/>
  <c r="I7583" i="12"/>
  <c r="H7583" i="12"/>
  <c r="F7583" i="12"/>
  <c r="J7582" i="12"/>
  <c r="I7582" i="12"/>
  <c r="H7582" i="12"/>
  <c r="F7582" i="12"/>
  <c r="J7581" i="12"/>
  <c r="I7581" i="12"/>
  <c r="H7581" i="12"/>
  <c r="F7581" i="12"/>
  <c r="J7580" i="12"/>
  <c r="I7580" i="12"/>
  <c r="H7580" i="12"/>
  <c r="F7580" i="12"/>
  <c r="J7579" i="12"/>
  <c r="I7579" i="12"/>
  <c r="H7579" i="12"/>
  <c r="F7579" i="12"/>
  <c r="J7578" i="12"/>
  <c r="I7578" i="12"/>
  <c r="H7578" i="12"/>
  <c r="F7578" i="12"/>
  <c r="J7577" i="12"/>
  <c r="I7577" i="12"/>
  <c r="H7577" i="12"/>
  <c r="F7577" i="12"/>
  <c r="J7576" i="12"/>
  <c r="I7576" i="12"/>
  <c r="H7576" i="12"/>
  <c r="F7576" i="12"/>
  <c r="J7575" i="12"/>
  <c r="I7575" i="12"/>
  <c r="H7575" i="12"/>
  <c r="F7575" i="12"/>
  <c r="J7574" i="12"/>
  <c r="I7574" i="12"/>
  <c r="H7574" i="12"/>
  <c r="F7574" i="12"/>
  <c r="J7573" i="12"/>
  <c r="I7573" i="12"/>
  <c r="H7573" i="12"/>
  <c r="F7573" i="12"/>
  <c r="J7572" i="12"/>
  <c r="I7572" i="12"/>
  <c r="H7572" i="12"/>
  <c r="F7572" i="12"/>
  <c r="J7571" i="12"/>
  <c r="I7571" i="12"/>
  <c r="H7571" i="12"/>
  <c r="F7571" i="12"/>
  <c r="J7570" i="12"/>
  <c r="I7570" i="12"/>
  <c r="H7570" i="12"/>
  <c r="F7570" i="12"/>
  <c r="J7569" i="12"/>
  <c r="I7569" i="12"/>
  <c r="H7569" i="12"/>
  <c r="F7569" i="12"/>
  <c r="J7568" i="12"/>
  <c r="I7568" i="12"/>
  <c r="H7568" i="12"/>
  <c r="F7568" i="12"/>
  <c r="J7567" i="12"/>
  <c r="I7567" i="12"/>
  <c r="H7567" i="12"/>
  <c r="F7567" i="12"/>
  <c r="J7566" i="12"/>
  <c r="I7566" i="12"/>
  <c r="H7566" i="12"/>
  <c r="F7566" i="12"/>
  <c r="J7565" i="12"/>
  <c r="I7565" i="12"/>
  <c r="H7565" i="12"/>
  <c r="F7565" i="12"/>
  <c r="J7564" i="12"/>
  <c r="I7564" i="12"/>
  <c r="H7564" i="12"/>
  <c r="F7564" i="12"/>
  <c r="J7563" i="12"/>
  <c r="I7563" i="12"/>
  <c r="H7563" i="12"/>
  <c r="F7563" i="12"/>
  <c r="J7562" i="12"/>
  <c r="I7562" i="12"/>
  <c r="H7562" i="12"/>
  <c r="F7562" i="12"/>
  <c r="J7561" i="12"/>
  <c r="I7561" i="12"/>
  <c r="H7561" i="12"/>
  <c r="F7561" i="12"/>
  <c r="J7560" i="12"/>
  <c r="I7560" i="12"/>
  <c r="H7560" i="12"/>
  <c r="F7560" i="12"/>
  <c r="J7559" i="12"/>
  <c r="I7559" i="12"/>
  <c r="H7559" i="12"/>
  <c r="F7559" i="12"/>
  <c r="J7558" i="12"/>
  <c r="I7558" i="12"/>
  <c r="H7558" i="12"/>
  <c r="F7558" i="12"/>
  <c r="J7557" i="12"/>
  <c r="I7557" i="12"/>
  <c r="H7557" i="12"/>
  <c r="F7557" i="12"/>
  <c r="J7556" i="12"/>
  <c r="I7556" i="12"/>
  <c r="H7556" i="12"/>
  <c r="F7556" i="12"/>
  <c r="J7555" i="12"/>
  <c r="I7555" i="12"/>
  <c r="H7555" i="12"/>
  <c r="F7555" i="12"/>
  <c r="J7554" i="12"/>
  <c r="I7554" i="12"/>
  <c r="H7554" i="12"/>
  <c r="F7554" i="12"/>
  <c r="J7553" i="12"/>
  <c r="I7553" i="12"/>
  <c r="H7553" i="12"/>
  <c r="F7553" i="12"/>
  <c r="J7552" i="12"/>
  <c r="I7552" i="12"/>
  <c r="H7552" i="12"/>
  <c r="F7552" i="12"/>
  <c r="J7551" i="12"/>
  <c r="I7551" i="12"/>
  <c r="H7551" i="12"/>
  <c r="F7551" i="12"/>
  <c r="J7550" i="12"/>
  <c r="I7550" i="12"/>
  <c r="H7550" i="12"/>
  <c r="F7550" i="12"/>
  <c r="J7549" i="12"/>
  <c r="I7549" i="12"/>
  <c r="H7549" i="12"/>
  <c r="F7549" i="12"/>
  <c r="J7548" i="12"/>
  <c r="I7548" i="12"/>
  <c r="H7548" i="12"/>
  <c r="F7548" i="12"/>
  <c r="J7547" i="12"/>
  <c r="I7547" i="12"/>
  <c r="H7547" i="12"/>
  <c r="F7547" i="12"/>
  <c r="J7546" i="12"/>
  <c r="I7546" i="12"/>
  <c r="H7546" i="12"/>
  <c r="F7546" i="12"/>
  <c r="J7545" i="12"/>
  <c r="I7545" i="12"/>
  <c r="H7545" i="12"/>
  <c r="F7545" i="12"/>
  <c r="J7544" i="12"/>
  <c r="I7544" i="12"/>
  <c r="H7544" i="12"/>
  <c r="F7544" i="12"/>
  <c r="J7543" i="12"/>
  <c r="I7543" i="12"/>
  <c r="H7543" i="12"/>
  <c r="F7543" i="12"/>
  <c r="J7542" i="12"/>
  <c r="I7542" i="12"/>
  <c r="H7542" i="12"/>
  <c r="F7542" i="12"/>
  <c r="J7541" i="12"/>
  <c r="I7541" i="12"/>
  <c r="H7541" i="12"/>
  <c r="F7541" i="12"/>
  <c r="J7540" i="12"/>
  <c r="I7540" i="12"/>
  <c r="H7540" i="12"/>
  <c r="F7540" i="12"/>
  <c r="J7539" i="12"/>
  <c r="I7539" i="12"/>
  <c r="H7539" i="12"/>
  <c r="F7539" i="12"/>
  <c r="J7538" i="12"/>
  <c r="I7538" i="12"/>
  <c r="H7538" i="12"/>
  <c r="F7538" i="12"/>
  <c r="J7537" i="12"/>
  <c r="I7537" i="12"/>
  <c r="H7537" i="12"/>
  <c r="F7537" i="12"/>
  <c r="J7536" i="12"/>
  <c r="I7536" i="12"/>
  <c r="H7536" i="12"/>
  <c r="F7536" i="12"/>
  <c r="J7535" i="12"/>
  <c r="I7535" i="12"/>
  <c r="H7535" i="12"/>
  <c r="F7535" i="12"/>
  <c r="J7534" i="12"/>
  <c r="I7534" i="12"/>
  <c r="H7534" i="12"/>
  <c r="F7534" i="12"/>
  <c r="J7533" i="12"/>
  <c r="I7533" i="12"/>
  <c r="H7533" i="12"/>
  <c r="F7533" i="12"/>
  <c r="J7532" i="12"/>
  <c r="I7532" i="12"/>
  <c r="H7532" i="12"/>
  <c r="F7532" i="12"/>
  <c r="J7531" i="12"/>
  <c r="I7531" i="12"/>
  <c r="H7531" i="12"/>
  <c r="F7531" i="12"/>
  <c r="J7530" i="12"/>
  <c r="I7530" i="12"/>
  <c r="H7530" i="12"/>
  <c r="F7530" i="12"/>
  <c r="J7529" i="12"/>
  <c r="I7529" i="12"/>
  <c r="H7529" i="12"/>
  <c r="F7529" i="12"/>
  <c r="J7528" i="12"/>
  <c r="I7528" i="12"/>
  <c r="H7528" i="12"/>
  <c r="F7528" i="12"/>
  <c r="J7527" i="12"/>
  <c r="I7527" i="12"/>
  <c r="H7527" i="12"/>
  <c r="F7527" i="12"/>
  <c r="J7526" i="12"/>
  <c r="I7526" i="12"/>
  <c r="H7526" i="12"/>
  <c r="F7526" i="12"/>
  <c r="J7525" i="12"/>
  <c r="I7525" i="12"/>
  <c r="H7525" i="12"/>
  <c r="F7525" i="12"/>
  <c r="J7524" i="12"/>
  <c r="I7524" i="12"/>
  <c r="H7524" i="12"/>
  <c r="F7524" i="12"/>
  <c r="J7523" i="12"/>
  <c r="I7523" i="12"/>
  <c r="H7523" i="12"/>
  <c r="F7523" i="12"/>
  <c r="J7522" i="12"/>
  <c r="I7522" i="12"/>
  <c r="H7522" i="12"/>
  <c r="F7522" i="12"/>
  <c r="J7521" i="12"/>
  <c r="I7521" i="12"/>
  <c r="H7521" i="12"/>
  <c r="F7521" i="12"/>
  <c r="J7520" i="12"/>
  <c r="I7520" i="12"/>
  <c r="H7520" i="12"/>
  <c r="F7520" i="12"/>
  <c r="J7519" i="12"/>
  <c r="I7519" i="12"/>
  <c r="H7519" i="12"/>
  <c r="F7519" i="12"/>
  <c r="J7518" i="12"/>
  <c r="I7518" i="12"/>
  <c r="H7518" i="12"/>
  <c r="F7518" i="12"/>
  <c r="J7517" i="12"/>
  <c r="I7517" i="12"/>
  <c r="H7517" i="12"/>
  <c r="F7517" i="12"/>
  <c r="J7516" i="12"/>
  <c r="I7516" i="12"/>
  <c r="H7516" i="12"/>
  <c r="F7516" i="12"/>
  <c r="J7515" i="12"/>
  <c r="I7515" i="12"/>
  <c r="H7515" i="12"/>
  <c r="F7515" i="12"/>
  <c r="J7514" i="12"/>
  <c r="I7514" i="12"/>
  <c r="H7514" i="12"/>
  <c r="F7514" i="12"/>
  <c r="J7513" i="12"/>
  <c r="I7513" i="12"/>
  <c r="H7513" i="12"/>
  <c r="F7513" i="12"/>
  <c r="J7512" i="12"/>
  <c r="I7512" i="12"/>
  <c r="H7512" i="12"/>
  <c r="F7512" i="12"/>
  <c r="J7511" i="12"/>
  <c r="I7511" i="12"/>
  <c r="H7511" i="12"/>
  <c r="F7511" i="12"/>
  <c r="J7510" i="12"/>
  <c r="I7510" i="12"/>
  <c r="H7510" i="12"/>
  <c r="F7510" i="12"/>
  <c r="J7509" i="12"/>
  <c r="I7509" i="12"/>
  <c r="H7509" i="12"/>
  <c r="F7509" i="12"/>
  <c r="J7508" i="12"/>
  <c r="I7508" i="12"/>
  <c r="H7508" i="12"/>
  <c r="F7508" i="12"/>
  <c r="J7507" i="12"/>
  <c r="I7507" i="12"/>
  <c r="H7507" i="12"/>
  <c r="F7507" i="12"/>
  <c r="J7506" i="12"/>
  <c r="I7506" i="12"/>
  <c r="H7506" i="12"/>
  <c r="F7506" i="12"/>
  <c r="J7505" i="12"/>
  <c r="I7505" i="12"/>
  <c r="H7505" i="12"/>
  <c r="F7505" i="12"/>
  <c r="J7504" i="12"/>
  <c r="I7504" i="12"/>
  <c r="H7504" i="12"/>
  <c r="F7504" i="12"/>
  <c r="J7503" i="12"/>
  <c r="I7503" i="12"/>
  <c r="H7503" i="12"/>
  <c r="F7503" i="12"/>
  <c r="J7502" i="12"/>
  <c r="I7502" i="12"/>
  <c r="H7502" i="12"/>
  <c r="F7502" i="12"/>
  <c r="J7501" i="12"/>
  <c r="I7501" i="12"/>
  <c r="H7501" i="12"/>
  <c r="F7501" i="12"/>
  <c r="J7500" i="12"/>
  <c r="I7500" i="12"/>
  <c r="H7500" i="12"/>
  <c r="F7500" i="12"/>
  <c r="J7499" i="12"/>
  <c r="I7499" i="12"/>
  <c r="H7499" i="12"/>
  <c r="F7499" i="12"/>
  <c r="J7498" i="12"/>
  <c r="I7498" i="12"/>
  <c r="H7498" i="12"/>
  <c r="F7498" i="12"/>
  <c r="J7497" i="12"/>
  <c r="I7497" i="12"/>
  <c r="H7497" i="12"/>
  <c r="F7497" i="12"/>
  <c r="J7496" i="12"/>
  <c r="I7496" i="12"/>
  <c r="H7496" i="12"/>
  <c r="F7496" i="12"/>
  <c r="J7495" i="12"/>
  <c r="I7495" i="12"/>
  <c r="H7495" i="12"/>
  <c r="F7495" i="12"/>
  <c r="J7494" i="12"/>
  <c r="I7494" i="12"/>
  <c r="H7494" i="12"/>
  <c r="F7494" i="12"/>
  <c r="J7493" i="12"/>
  <c r="I7493" i="12"/>
  <c r="H7493" i="12"/>
  <c r="F7493" i="12"/>
  <c r="J7492" i="12"/>
  <c r="I7492" i="12"/>
  <c r="H7492" i="12"/>
  <c r="F7492" i="12"/>
  <c r="J7491" i="12"/>
  <c r="I7491" i="12"/>
  <c r="H7491" i="12"/>
  <c r="F7491" i="12"/>
  <c r="J7490" i="12"/>
  <c r="I7490" i="12"/>
  <c r="H7490" i="12"/>
  <c r="F7490" i="12"/>
  <c r="J7489" i="12"/>
  <c r="I7489" i="12"/>
  <c r="H7489" i="12"/>
  <c r="F7489" i="12"/>
  <c r="J7488" i="12"/>
  <c r="I7488" i="12"/>
  <c r="H7488" i="12"/>
  <c r="F7488" i="12"/>
  <c r="J7487" i="12"/>
  <c r="I7487" i="12"/>
  <c r="H7487" i="12"/>
  <c r="F7487" i="12"/>
  <c r="J7486" i="12"/>
  <c r="I7486" i="12"/>
  <c r="H7486" i="12"/>
  <c r="F7486" i="12"/>
  <c r="J7485" i="12"/>
  <c r="I7485" i="12"/>
  <c r="H7485" i="12"/>
  <c r="F7485" i="12"/>
  <c r="J7484" i="12"/>
  <c r="I7484" i="12"/>
  <c r="H7484" i="12"/>
  <c r="F7484" i="12"/>
  <c r="J7483" i="12"/>
  <c r="I7483" i="12"/>
  <c r="H7483" i="12"/>
  <c r="F7483" i="12"/>
  <c r="J7482" i="12"/>
  <c r="I7482" i="12"/>
  <c r="H7482" i="12"/>
  <c r="F7482" i="12"/>
  <c r="J7481" i="12"/>
  <c r="I7481" i="12"/>
  <c r="H7481" i="12"/>
  <c r="F7481" i="12"/>
  <c r="J7480" i="12"/>
  <c r="I7480" i="12"/>
  <c r="H7480" i="12"/>
  <c r="F7480" i="12"/>
  <c r="J7479" i="12"/>
  <c r="I7479" i="12"/>
  <c r="H7479" i="12"/>
  <c r="F7479" i="12"/>
  <c r="J7478" i="12"/>
  <c r="I7478" i="12"/>
  <c r="H7478" i="12"/>
  <c r="F7478" i="12"/>
  <c r="J7477" i="12"/>
  <c r="I7477" i="12"/>
  <c r="H7477" i="12"/>
  <c r="F7477" i="12"/>
  <c r="J7476" i="12"/>
  <c r="I7476" i="12"/>
  <c r="H7476" i="12"/>
  <c r="F7476" i="12"/>
  <c r="J7475" i="12"/>
  <c r="I7475" i="12"/>
  <c r="H7475" i="12"/>
  <c r="F7475" i="12"/>
  <c r="J7474" i="12"/>
  <c r="I7474" i="12"/>
  <c r="H7474" i="12"/>
  <c r="F7474" i="12"/>
  <c r="J7473" i="12"/>
  <c r="I7473" i="12"/>
  <c r="H7473" i="12"/>
  <c r="F7473" i="12"/>
  <c r="J7472" i="12"/>
  <c r="I7472" i="12"/>
  <c r="H7472" i="12"/>
  <c r="F7472" i="12"/>
  <c r="J7471" i="12"/>
  <c r="I7471" i="12"/>
  <c r="H7471" i="12"/>
  <c r="F7471" i="12"/>
  <c r="J7470" i="12"/>
  <c r="I7470" i="12"/>
  <c r="H7470" i="12"/>
  <c r="F7470" i="12"/>
  <c r="J7469" i="12"/>
  <c r="I7469" i="12"/>
  <c r="H7469" i="12"/>
  <c r="F7469" i="12"/>
  <c r="J7468" i="12"/>
  <c r="I7468" i="12"/>
  <c r="H7468" i="12"/>
  <c r="F7468" i="12"/>
  <c r="J7467" i="12"/>
  <c r="I7467" i="12"/>
  <c r="H7467" i="12"/>
  <c r="F7467" i="12"/>
  <c r="J7466" i="12"/>
  <c r="I7466" i="12"/>
  <c r="H7466" i="12"/>
  <c r="F7466" i="12"/>
  <c r="J7465" i="12"/>
  <c r="I7465" i="12"/>
  <c r="H7465" i="12"/>
  <c r="F7465" i="12"/>
  <c r="J7464" i="12"/>
  <c r="I7464" i="12"/>
  <c r="H7464" i="12"/>
  <c r="F7464" i="12"/>
  <c r="J7463" i="12"/>
  <c r="I7463" i="12"/>
  <c r="H7463" i="12"/>
  <c r="F7463" i="12"/>
  <c r="J7462" i="12"/>
  <c r="I7462" i="12"/>
  <c r="H7462" i="12"/>
  <c r="F7462" i="12"/>
  <c r="J7461" i="12"/>
  <c r="I7461" i="12"/>
  <c r="H7461" i="12"/>
  <c r="F7461" i="12"/>
  <c r="J7460" i="12"/>
  <c r="I7460" i="12"/>
  <c r="H7460" i="12"/>
  <c r="F7460" i="12"/>
  <c r="J7459" i="12"/>
  <c r="I7459" i="12"/>
  <c r="H7459" i="12"/>
  <c r="F7459" i="12"/>
  <c r="J7458" i="12"/>
  <c r="I7458" i="12"/>
  <c r="H7458" i="12"/>
  <c r="F7458" i="12"/>
  <c r="J7457" i="12"/>
  <c r="I7457" i="12"/>
  <c r="H7457" i="12"/>
  <c r="F7457" i="12"/>
  <c r="J7456" i="12"/>
  <c r="I7456" i="12"/>
  <c r="H7456" i="12"/>
  <c r="F7456" i="12"/>
  <c r="J7455" i="12"/>
  <c r="I7455" i="12"/>
  <c r="H7455" i="12"/>
  <c r="F7455" i="12"/>
  <c r="J7454" i="12"/>
  <c r="I7454" i="12"/>
  <c r="H7454" i="12"/>
  <c r="F7454" i="12"/>
  <c r="J7453" i="12"/>
  <c r="I7453" i="12"/>
  <c r="H7453" i="12"/>
  <c r="F7453" i="12"/>
  <c r="J7452" i="12"/>
  <c r="I7452" i="12"/>
  <c r="H7452" i="12"/>
  <c r="F7452" i="12"/>
  <c r="J7451" i="12"/>
  <c r="I7451" i="12"/>
  <c r="H7451" i="12"/>
  <c r="F7451" i="12"/>
  <c r="J7450" i="12"/>
  <c r="I7450" i="12"/>
  <c r="H7450" i="12"/>
  <c r="F7450" i="12"/>
  <c r="J7449" i="12"/>
  <c r="I7449" i="12"/>
  <c r="H7449" i="12"/>
  <c r="F7449" i="12"/>
  <c r="J7448" i="12"/>
  <c r="I7448" i="12"/>
  <c r="H7448" i="12"/>
  <c r="F7448" i="12"/>
  <c r="J7447" i="12"/>
  <c r="I7447" i="12"/>
  <c r="H7447" i="12"/>
  <c r="F7447" i="12"/>
  <c r="J7446" i="12"/>
  <c r="I7446" i="12"/>
  <c r="H7446" i="12"/>
  <c r="F7446" i="12"/>
  <c r="J7445" i="12"/>
  <c r="I7445" i="12"/>
  <c r="H7445" i="12"/>
  <c r="F7445" i="12"/>
  <c r="J7444" i="12"/>
  <c r="I7444" i="12"/>
  <c r="H7444" i="12"/>
  <c r="F7444" i="12"/>
  <c r="J7443" i="12"/>
  <c r="I7443" i="12"/>
  <c r="H7443" i="12"/>
  <c r="F7443" i="12"/>
  <c r="J7442" i="12"/>
  <c r="I7442" i="12"/>
  <c r="H7442" i="12"/>
  <c r="F7442" i="12"/>
  <c r="J7441" i="12"/>
  <c r="I7441" i="12"/>
  <c r="H7441" i="12"/>
  <c r="F7441" i="12"/>
  <c r="J7440" i="12"/>
  <c r="I7440" i="12"/>
  <c r="H7440" i="12"/>
  <c r="F7440" i="12"/>
  <c r="J7439" i="12"/>
  <c r="I7439" i="12"/>
  <c r="H7439" i="12"/>
  <c r="F7439" i="12"/>
  <c r="J7438" i="12"/>
  <c r="I7438" i="12"/>
  <c r="H7438" i="12"/>
  <c r="F7438" i="12"/>
  <c r="J7437" i="12"/>
  <c r="I7437" i="12"/>
  <c r="H7437" i="12"/>
  <c r="F7437" i="12"/>
  <c r="J7436" i="12"/>
  <c r="I7436" i="12"/>
  <c r="H7436" i="12"/>
  <c r="F7436" i="12"/>
  <c r="J7435" i="12"/>
  <c r="I7435" i="12"/>
  <c r="H7435" i="12"/>
  <c r="F7435" i="12"/>
  <c r="J7434" i="12"/>
  <c r="I7434" i="12"/>
  <c r="H7434" i="12"/>
  <c r="F7434" i="12"/>
  <c r="J7433" i="12"/>
  <c r="I7433" i="12"/>
  <c r="H7433" i="12"/>
  <c r="F7433" i="12"/>
  <c r="J7432" i="12"/>
  <c r="I7432" i="12"/>
  <c r="H7432" i="12"/>
  <c r="F7432" i="12"/>
  <c r="J7431" i="12"/>
  <c r="I7431" i="12"/>
  <c r="H7431" i="12"/>
  <c r="F7431" i="12"/>
  <c r="J7430" i="12"/>
  <c r="I7430" i="12"/>
  <c r="H7430" i="12"/>
  <c r="F7430" i="12"/>
  <c r="J7429" i="12"/>
  <c r="I7429" i="12"/>
  <c r="H7429" i="12"/>
  <c r="F7429" i="12"/>
  <c r="J7428" i="12"/>
  <c r="I7428" i="12"/>
  <c r="H7428" i="12"/>
  <c r="F7428" i="12"/>
  <c r="J7427" i="12"/>
  <c r="I7427" i="12"/>
  <c r="H7427" i="12"/>
  <c r="F7427" i="12"/>
  <c r="J7426" i="12"/>
  <c r="I7426" i="12"/>
  <c r="H7426" i="12"/>
  <c r="F7426" i="12"/>
  <c r="J7425" i="12"/>
  <c r="I7425" i="12"/>
  <c r="H7425" i="12"/>
  <c r="F7425" i="12"/>
  <c r="J7424" i="12"/>
  <c r="I7424" i="12"/>
  <c r="H7424" i="12"/>
  <c r="F7424" i="12"/>
  <c r="J7423" i="12"/>
  <c r="I7423" i="12"/>
  <c r="H7423" i="12"/>
  <c r="F7423" i="12"/>
  <c r="J7422" i="12"/>
  <c r="I7422" i="12"/>
  <c r="H7422" i="12"/>
  <c r="F7422" i="12"/>
  <c r="J7421" i="12"/>
  <c r="I7421" i="12"/>
  <c r="H7421" i="12"/>
  <c r="F7421" i="12"/>
  <c r="J7420" i="12"/>
  <c r="I7420" i="12"/>
  <c r="H7420" i="12"/>
  <c r="F7420" i="12"/>
  <c r="J7419" i="12"/>
  <c r="I7419" i="12"/>
  <c r="H7419" i="12"/>
  <c r="F7419" i="12"/>
  <c r="J7418" i="12"/>
  <c r="I7418" i="12"/>
  <c r="H7418" i="12"/>
  <c r="F7418" i="12"/>
  <c r="J7417" i="12"/>
  <c r="I7417" i="12"/>
  <c r="H7417" i="12"/>
  <c r="F7417" i="12"/>
  <c r="J7416" i="12"/>
  <c r="I7416" i="12"/>
  <c r="H7416" i="12"/>
  <c r="F7416" i="12"/>
  <c r="J7415" i="12"/>
  <c r="I7415" i="12"/>
  <c r="H7415" i="12"/>
  <c r="F7415" i="12"/>
  <c r="J7414" i="12"/>
  <c r="I7414" i="12"/>
  <c r="H7414" i="12"/>
  <c r="F7414" i="12"/>
  <c r="J7413" i="12"/>
  <c r="I7413" i="12"/>
  <c r="H7413" i="12"/>
  <c r="F7413" i="12"/>
  <c r="J7412" i="12"/>
  <c r="I7412" i="12"/>
  <c r="H7412" i="12"/>
  <c r="F7412" i="12"/>
  <c r="J7411" i="12"/>
  <c r="I7411" i="12"/>
  <c r="H7411" i="12"/>
  <c r="F7411" i="12"/>
  <c r="J7410" i="12"/>
  <c r="I7410" i="12"/>
  <c r="H7410" i="12"/>
  <c r="F7410" i="12"/>
  <c r="J7409" i="12"/>
  <c r="I7409" i="12"/>
  <c r="H7409" i="12"/>
  <c r="F7409" i="12"/>
  <c r="J7408" i="12"/>
  <c r="I7408" i="12"/>
  <c r="H7408" i="12"/>
  <c r="F7408" i="12"/>
  <c r="J7407" i="12"/>
  <c r="I7407" i="12"/>
  <c r="H7407" i="12"/>
  <c r="F7407" i="12"/>
  <c r="J7406" i="12"/>
  <c r="I7406" i="12"/>
  <c r="H7406" i="12"/>
  <c r="F7406" i="12"/>
  <c r="J7405" i="12"/>
  <c r="I7405" i="12"/>
  <c r="H7405" i="12"/>
  <c r="F7405" i="12"/>
  <c r="J7404" i="12"/>
  <c r="I7404" i="12"/>
  <c r="H7404" i="12"/>
  <c r="F7404" i="12"/>
  <c r="J7403" i="12"/>
  <c r="I7403" i="12"/>
  <c r="H7403" i="12"/>
  <c r="F7403" i="12"/>
  <c r="J7402" i="12"/>
  <c r="I7402" i="12"/>
  <c r="H7402" i="12"/>
  <c r="F7402" i="12"/>
  <c r="J7401" i="12"/>
  <c r="I7401" i="12"/>
  <c r="H7401" i="12"/>
  <c r="F7401" i="12"/>
  <c r="J7400" i="12"/>
  <c r="I7400" i="12"/>
  <c r="H7400" i="12"/>
  <c r="F7400" i="12"/>
  <c r="J7399" i="12"/>
  <c r="I7399" i="12"/>
  <c r="H7399" i="12"/>
  <c r="F7399" i="12"/>
  <c r="J7398" i="12"/>
  <c r="I7398" i="12"/>
  <c r="H7398" i="12"/>
  <c r="F7398" i="12"/>
  <c r="J7397" i="12"/>
  <c r="I7397" i="12"/>
  <c r="H7397" i="12"/>
  <c r="F7397" i="12"/>
  <c r="J7396" i="12"/>
  <c r="I7396" i="12"/>
  <c r="H7396" i="12"/>
  <c r="F7396" i="12"/>
  <c r="J7395" i="12"/>
  <c r="I7395" i="12"/>
  <c r="H7395" i="12"/>
  <c r="F7395" i="12"/>
  <c r="J7394" i="12"/>
  <c r="I7394" i="12"/>
  <c r="H7394" i="12"/>
  <c r="F7394" i="12"/>
  <c r="J7393" i="12"/>
  <c r="I7393" i="12"/>
  <c r="H7393" i="12"/>
  <c r="F7393" i="12"/>
  <c r="J7392" i="12"/>
  <c r="I7392" i="12"/>
  <c r="H7392" i="12"/>
  <c r="F7392" i="12"/>
  <c r="J7391" i="12"/>
  <c r="I7391" i="12"/>
  <c r="H7391" i="12"/>
  <c r="F7391" i="12"/>
  <c r="J7390" i="12"/>
  <c r="I7390" i="12"/>
  <c r="H7390" i="12"/>
  <c r="F7390" i="12"/>
  <c r="J7389" i="12"/>
  <c r="I7389" i="12"/>
  <c r="H7389" i="12"/>
  <c r="F7389" i="12"/>
  <c r="J7388" i="12"/>
  <c r="I7388" i="12"/>
  <c r="H7388" i="12"/>
  <c r="F7388" i="12"/>
  <c r="J7387" i="12"/>
  <c r="I7387" i="12"/>
  <c r="H7387" i="12"/>
  <c r="F7387" i="12"/>
  <c r="J7386" i="12"/>
  <c r="I7386" i="12"/>
  <c r="H7386" i="12"/>
  <c r="F7386" i="12"/>
  <c r="J7385" i="12"/>
  <c r="I7385" i="12"/>
  <c r="H7385" i="12"/>
  <c r="F7385" i="12"/>
  <c r="J7384" i="12"/>
  <c r="I7384" i="12"/>
  <c r="H7384" i="12"/>
  <c r="F7384" i="12"/>
  <c r="J7383" i="12"/>
  <c r="I7383" i="12"/>
  <c r="H7383" i="12"/>
  <c r="F7383" i="12"/>
  <c r="J7382" i="12"/>
  <c r="I7382" i="12"/>
  <c r="H7382" i="12"/>
  <c r="F7382" i="12"/>
  <c r="J7381" i="12"/>
  <c r="I7381" i="12"/>
  <c r="H7381" i="12"/>
  <c r="F7381" i="12"/>
  <c r="J7380" i="12"/>
  <c r="I7380" i="12"/>
  <c r="H7380" i="12"/>
  <c r="F7380" i="12"/>
  <c r="J7379" i="12"/>
  <c r="I7379" i="12"/>
  <c r="H7379" i="12"/>
  <c r="F7379" i="12"/>
  <c r="J7378" i="12"/>
  <c r="I7378" i="12"/>
  <c r="H7378" i="12"/>
  <c r="F7378" i="12"/>
  <c r="J7377" i="12"/>
  <c r="I7377" i="12"/>
  <c r="H7377" i="12"/>
  <c r="F7377" i="12"/>
  <c r="J7376" i="12"/>
  <c r="I7376" i="12"/>
  <c r="H7376" i="12"/>
  <c r="F7376" i="12"/>
  <c r="J7375" i="12"/>
  <c r="I7375" i="12"/>
  <c r="H7375" i="12"/>
  <c r="F7375" i="12"/>
  <c r="J7374" i="12"/>
  <c r="I7374" i="12"/>
  <c r="H7374" i="12"/>
  <c r="F7374" i="12"/>
  <c r="J7373" i="12"/>
  <c r="I7373" i="12"/>
  <c r="H7373" i="12"/>
  <c r="F7373" i="12"/>
  <c r="J7372" i="12"/>
  <c r="I7372" i="12"/>
  <c r="H7372" i="12"/>
  <c r="F7372" i="12"/>
  <c r="J7371" i="12"/>
  <c r="I7371" i="12"/>
  <c r="H7371" i="12"/>
  <c r="F7371" i="12"/>
  <c r="J7370" i="12"/>
  <c r="I7370" i="12"/>
  <c r="H7370" i="12"/>
  <c r="F7370" i="12"/>
  <c r="J7369" i="12"/>
  <c r="I7369" i="12"/>
  <c r="H7369" i="12"/>
  <c r="F7369" i="12"/>
  <c r="J7368" i="12"/>
  <c r="I7368" i="12"/>
  <c r="H7368" i="12"/>
  <c r="F7368" i="12"/>
  <c r="J7367" i="12"/>
  <c r="I7367" i="12"/>
  <c r="H7367" i="12"/>
  <c r="F7367" i="12"/>
  <c r="J7366" i="12"/>
  <c r="I7366" i="12"/>
  <c r="H7366" i="12"/>
  <c r="F7366" i="12"/>
  <c r="J7365" i="12"/>
  <c r="I7365" i="12"/>
  <c r="H7365" i="12"/>
  <c r="F7365" i="12"/>
  <c r="J7364" i="12"/>
  <c r="I7364" i="12"/>
  <c r="H7364" i="12"/>
  <c r="F7364" i="12"/>
  <c r="J7363" i="12"/>
  <c r="I7363" i="12"/>
  <c r="H7363" i="12"/>
  <c r="F7363" i="12"/>
  <c r="J7362" i="12"/>
  <c r="I7362" i="12"/>
  <c r="H7362" i="12"/>
  <c r="F7362" i="12"/>
  <c r="J7361" i="12"/>
  <c r="I7361" i="12"/>
  <c r="H7361" i="12"/>
  <c r="F7361" i="12"/>
  <c r="J7360" i="12"/>
  <c r="I7360" i="12"/>
  <c r="H7360" i="12"/>
  <c r="F7360" i="12"/>
  <c r="J7359" i="12"/>
  <c r="I7359" i="12"/>
  <c r="H7359" i="12"/>
  <c r="F7359" i="12"/>
  <c r="J7358" i="12"/>
  <c r="I7358" i="12"/>
  <c r="H7358" i="12"/>
  <c r="F7358" i="12"/>
  <c r="J7357" i="12"/>
  <c r="I7357" i="12"/>
  <c r="H7357" i="12"/>
  <c r="F7357" i="12"/>
  <c r="J7356" i="12"/>
  <c r="I7356" i="12"/>
  <c r="H7356" i="12"/>
  <c r="F7356" i="12"/>
  <c r="J7355" i="12"/>
  <c r="I7355" i="12"/>
  <c r="H7355" i="12"/>
  <c r="F7355" i="12"/>
  <c r="J7354" i="12"/>
  <c r="I7354" i="12"/>
  <c r="H7354" i="12"/>
  <c r="F7354" i="12"/>
  <c r="J7353" i="12"/>
  <c r="I7353" i="12"/>
  <c r="H7353" i="12"/>
  <c r="F7353" i="12"/>
  <c r="J7352" i="12"/>
  <c r="I7352" i="12"/>
  <c r="H7352" i="12"/>
  <c r="F7352" i="12"/>
  <c r="J7351" i="12"/>
  <c r="I7351" i="12"/>
  <c r="H7351" i="12"/>
  <c r="F7351" i="12"/>
  <c r="J7350" i="12"/>
  <c r="I7350" i="12"/>
  <c r="H7350" i="12"/>
  <c r="F7350" i="12"/>
  <c r="J7349" i="12"/>
  <c r="I7349" i="12"/>
  <c r="H7349" i="12"/>
  <c r="F7349" i="12"/>
  <c r="J7348" i="12"/>
  <c r="I7348" i="12"/>
  <c r="H7348" i="12"/>
  <c r="F7348" i="12"/>
  <c r="J7347" i="12"/>
  <c r="I7347" i="12"/>
  <c r="H7347" i="12"/>
  <c r="F7347" i="12"/>
  <c r="J7346" i="12"/>
  <c r="I7346" i="12"/>
  <c r="H7346" i="12"/>
  <c r="F7346" i="12"/>
  <c r="J7345" i="12"/>
  <c r="I7345" i="12"/>
  <c r="H7345" i="12"/>
  <c r="F7345" i="12"/>
  <c r="J7344" i="12"/>
  <c r="I7344" i="12"/>
  <c r="H7344" i="12"/>
  <c r="F7344" i="12"/>
  <c r="J7343" i="12"/>
  <c r="I7343" i="12"/>
  <c r="H7343" i="12"/>
  <c r="F7343" i="12"/>
  <c r="J7342" i="12"/>
  <c r="I7342" i="12"/>
  <c r="H7342" i="12"/>
  <c r="F7342" i="12"/>
  <c r="J7341" i="12"/>
  <c r="I7341" i="12"/>
  <c r="H7341" i="12"/>
  <c r="F7341" i="12"/>
  <c r="J7340" i="12"/>
  <c r="I7340" i="12"/>
  <c r="H7340" i="12"/>
  <c r="F7340" i="12"/>
  <c r="J7339" i="12"/>
  <c r="I7339" i="12"/>
  <c r="H7339" i="12"/>
  <c r="F7339" i="12"/>
  <c r="J7338" i="12"/>
  <c r="I7338" i="12"/>
  <c r="H7338" i="12"/>
  <c r="F7338" i="12"/>
  <c r="J7337" i="12"/>
  <c r="I7337" i="12"/>
  <c r="H7337" i="12"/>
  <c r="F7337" i="12"/>
  <c r="J7336" i="12"/>
  <c r="I7336" i="12"/>
  <c r="H7336" i="12"/>
  <c r="F7336" i="12"/>
  <c r="J7335" i="12"/>
  <c r="I7335" i="12"/>
  <c r="H7335" i="12"/>
  <c r="F7335" i="12"/>
  <c r="J7334" i="12"/>
  <c r="I7334" i="12"/>
  <c r="H7334" i="12"/>
  <c r="F7334" i="12"/>
  <c r="J7333" i="12"/>
  <c r="I7333" i="12"/>
  <c r="H7333" i="12"/>
  <c r="F7333" i="12"/>
  <c r="J7332" i="12"/>
  <c r="I7332" i="12"/>
  <c r="H7332" i="12"/>
  <c r="F7332" i="12"/>
  <c r="J7331" i="12"/>
  <c r="I7331" i="12"/>
  <c r="H7331" i="12"/>
  <c r="F7331" i="12"/>
  <c r="J7330" i="12"/>
  <c r="I7330" i="12"/>
  <c r="H7330" i="12"/>
  <c r="F7330" i="12"/>
  <c r="J7329" i="12"/>
  <c r="I7329" i="12"/>
  <c r="H7329" i="12"/>
  <c r="F7329" i="12"/>
  <c r="J7328" i="12"/>
  <c r="I7328" i="12"/>
  <c r="H7328" i="12"/>
  <c r="F7328" i="12"/>
  <c r="J7327" i="12"/>
  <c r="I7327" i="12"/>
  <c r="H7327" i="12"/>
  <c r="F7327" i="12"/>
  <c r="J7326" i="12"/>
  <c r="I7326" i="12"/>
  <c r="H7326" i="12"/>
  <c r="F7326" i="12"/>
  <c r="J7325" i="12"/>
  <c r="I7325" i="12"/>
  <c r="H7325" i="12"/>
  <c r="F7325" i="12"/>
  <c r="J7324" i="12"/>
  <c r="I7324" i="12"/>
  <c r="H7324" i="12"/>
  <c r="F7324" i="12"/>
  <c r="J7323" i="12"/>
  <c r="I7323" i="12"/>
  <c r="H7323" i="12"/>
  <c r="F7323" i="12"/>
  <c r="J7322" i="12"/>
  <c r="I7322" i="12"/>
  <c r="H7322" i="12"/>
  <c r="F7322" i="12"/>
  <c r="J7321" i="12"/>
  <c r="I7321" i="12"/>
  <c r="H7321" i="12"/>
  <c r="F7321" i="12"/>
  <c r="J7320" i="12"/>
  <c r="I7320" i="12"/>
  <c r="H7320" i="12"/>
  <c r="F7320" i="12"/>
  <c r="J7319" i="12"/>
  <c r="I7319" i="12"/>
  <c r="H7319" i="12"/>
  <c r="F7319" i="12"/>
  <c r="J7318" i="12"/>
  <c r="I7318" i="12"/>
  <c r="H7318" i="12"/>
  <c r="F7318" i="12"/>
  <c r="J7317" i="12"/>
  <c r="I7317" i="12"/>
  <c r="H7317" i="12"/>
  <c r="F7317" i="12"/>
  <c r="J7316" i="12"/>
  <c r="I7316" i="12"/>
  <c r="H7316" i="12"/>
  <c r="F7316" i="12"/>
  <c r="J7315" i="12"/>
  <c r="I7315" i="12"/>
  <c r="H7315" i="12"/>
  <c r="F7315" i="12"/>
  <c r="J7314" i="12"/>
  <c r="I7314" i="12"/>
  <c r="H7314" i="12"/>
  <c r="F7314" i="12"/>
  <c r="J7313" i="12"/>
  <c r="I7313" i="12"/>
  <c r="H7313" i="12"/>
  <c r="F7313" i="12"/>
  <c r="J7312" i="12"/>
  <c r="I7312" i="12"/>
  <c r="H7312" i="12"/>
  <c r="F7312" i="12"/>
  <c r="J7311" i="12"/>
  <c r="I7311" i="12"/>
  <c r="H7311" i="12"/>
  <c r="F7311" i="12"/>
  <c r="J7310" i="12"/>
  <c r="I7310" i="12"/>
  <c r="H7310" i="12"/>
  <c r="F7310" i="12"/>
  <c r="J7309" i="12"/>
  <c r="I7309" i="12"/>
  <c r="H7309" i="12"/>
  <c r="F7309" i="12"/>
  <c r="J7308" i="12"/>
  <c r="I7308" i="12"/>
  <c r="H7308" i="12"/>
  <c r="F7308" i="12"/>
  <c r="J7307" i="12"/>
  <c r="I7307" i="12"/>
  <c r="H7307" i="12"/>
  <c r="F7307" i="12"/>
  <c r="J7306" i="12"/>
  <c r="I7306" i="12"/>
  <c r="H7306" i="12"/>
  <c r="F7306" i="12"/>
  <c r="J7305" i="12"/>
  <c r="I7305" i="12"/>
  <c r="H7305" i="12"/>
  <c r="F7305" i="12"/>
  <c r="J7304" i="12"/>
  <c r="I7304" i="12"/>
  <c r="H7304" i="12"/>
  <c r="F7304" i="12"/>
  <c r="J7303" i="12"/>
  <c r="I7303" i="12"/>
  <c r="H7303" i="12"/>
  <c r="F7303" i="12"/>
  <c r="J7302" i="12"/>
  <c r="I7302" i="12"/>
  <c r="H7302" i="12"/>
  <c r="F7302" i="12"/>
  <c r="J7301" i="12"/>
  <c r="I7301" i="12"/>
  <c r="H7301" i="12"/>
  <c r="F7301" i="12"/>
  <c r="J7300" i="12"/>
  <c r="I7300" i="12"/>
  <c r="H7300" i="12"/>
  <c r="F7300" i="12"/>
  <c r="J7299" i="12"/>
  <c r="I7299" i="12"/>
  <c r="H7299" i="12"/>
  <c r="F7299" i="12"/>
  <c r="J7298" i="12"/>
  <c r="I7298" i="12"/>
  <c r="H7298" i="12"/>
  <c r="F7298" i="12"/>
  <c r="J7297" i="12"/>
  <c r="I7297" i="12"/>
  <c r="H7297" i="12"/>
  <c r="F7297" i="12"/>
  <c r="J7296" i="12"/>
  <c r="I7296" i="12"/>
  <c r="H7296" i="12"/>
  <c r="F7296" i="12"/>
  <c r="J7295" i="12"/>
  <c r="I7295" i="12"/>
  <c r="H7295" i="12"/>
  <c r="F7295" i="12"/>
  <c r="J7294" i="12"/>
  <c r="I7294" i="12"/>
  <c r="H7294" i="12"/>
  <c r="F7294" i="12"/>
  <c r="J7293" i="12"/>
  <c r="I7293" i="12"/>
  <c r="H7293" i="12"/>
  <c r="F7293" i="12"/>
  <c r="J7292" i="12"/>
  <c r="I7292" i="12"/>
  <c r="H7292" i="12"/>
  <c r="F7292" i="12"/>
  <c r="J7291" i="12"/>
  <c r="I7291" i="12"/>
  <c r="H7291" i="12"/>
  <c r="F7291" i="12"/>
  <c r="J7290" i="12"/>
  <c r="I7290" i="12"/>
  <c r="H7290" i="12"/>
  <c r="F7290" i="12"/>
  <c r="J7289" i="12"/>
  <c r="I7289" i="12"/>
  <c r="H7289" i="12"/>
  <c r="F7289" i="12"/>
  <c r="J7288" i="12"/>
  <c r="I7288" i="12"/>
  <c r="H7288" i="12"/>
  <c r="F7288" i="12"/>
  <c r="J7287" i="12"/>
  <c r="I7287" i="12"/>
  <c r="H7287" i="12"/>
  <c r="F7287" i="12"/>
  <c r="J7286" i="12"/>
  <c r="I7286" i="12"/>
  <c r="H7286" i="12"/>
  <c r="F7286" i="12"/>
  <c r="J7285" i="12"/>
  <c r="I7285" i="12"/>
  <c r="H7285" i="12"/>
  <c r="F7285" i="12"/>
  <c r="J7284" i="12"/>
  <c r="I7284" i="12"/>
  <c r="H7284" i="12"/>
  <c r="F7284" i="12"/>
  <c r="J7283" i="12"/>
  <c r="I7283" i="12"/>
  <c r="H7283" i="12"/>
  <c r="F7283" i="12"/>
  <c r="J7282" i="12"/>
  <c r="I7282" i="12"/>
  <c r="H7282" i="12"/>
  <c r="F7282" i="12"/>
  <c r="J7281" i="12"/>
  <c r="I7281" i="12"/>
  <c r="H7281" i="12"/>
  <c r="F7281" i="12"/>
  <c r="J7280" i="12"/>
  <c r="I7280" i="12"/>
  <c r="H7280" i="12"/>
  <c r="F7280" i="12"/>
  <c r="J7279" i="12"/>
  <c r="I7279" i="12"/>
  <c r="H7279" i="12"/>
  <c r="F7279" i="12"/>
  <c r="J7278" i="12"/>
  <c r="I7278" i="12"/>
  <c r="H7278" i="12"/>
  <c r="F7278" i="12"/>
  <c r="J7277" i="12"/>
  <c r="I7277" i="12"/>
  <c r="H7277" i="12"/>
  <c r="F7277" i="12"/>
  <c r="J7276" i="12"/>
  <c r="I7276" i="12"/>
  <c r="H7276" i="12"/>
  <c r="F7276" i="12"/>
  <c r="J7275" i="12"/>
  <c r="I7275" i="12"/>
  <c r="H7275" i="12"/>
  <c r="F7275" i="12"/>
  <c r="J7274" i="12"/>
  <c r="I7274" i="12"/>
  <c r="H7274" i="12"/>
  <c r="F7274" i="12"/>
  <c r="J7273" i="12"/>
  <c r="I7273" i="12"/>
  <c r="H7273" i="12"/>
  <c r="F7273" i="12"/>
  <c r="J7272" i="12"/>
  <c r="I7272" i="12"/>
  <c r="H7272" i="12"/>
  <c r="F7272" i="12"/>
  <c r="J7271" i="12"/>
  <c r="I7271" i="12"/>
  <c r="H7271" i="12"/>
  <c r="F7271" i="12"/>
  <c r="J7270" i="12"/>
  <c r="I7270" i="12"/>
  <c r="H7270" i="12"/>
  <c r="F7270" i="12"/>
  <c r="J7269" i="12"/>
  <c r="I7269" i="12"/>
  <c r="H7269" i="12"/>
  <c r="F7269" i="12"/>
  <c r="J7268" i="12"/>
  <c r="I7268" i="12"/>
  <c r="H7268" i="12"/>
  <c r="F7268" i="12"/>
  <c r="J7267" i="12"/>
  <c r="I7267" i="12"/>
  <c r="H7267" i="12"/>
  <c r="F7267" i="12"/>
  <c r="J7266" i="12"/>
  <c r="I7266" i="12"/>
  <c r="H7266" i="12"/>
  <c r="F7266" i="12"/>
  <c r="J7265" i="12"/>
  <c r="I7265" i="12"/>
  <c r="H7265" i="12"/>
  <c r="F7265" i="12"/>
  <c r="J7264" i="12"/>
  <c r="I7264" i="12"/>
  <c r="H7264" i="12"/>
  <c r="F7264" i="12"/>
  <c r="J7263" i="12"/>
  <c r="I7263" i="12"/>
  <c r="H7263" i="12"/>
  <c r="F7263" i="12"/>
  <c r="J7262" i="12"/>
  <c r="I7262" i="12"/>
  <c r="H7262" i="12"/>
  <c r="F7262" i="12"/>
  <c r="J7261" i="12"/>
  <c r="I7261" i="12"/>
  <c r="H7261" i="12"/>
  <c r="F7261" i="12"/>
  <c r="J7260" i="12"/>
  <c r="I7260" i="12"/>
  <c r="H7260" i="12"/>
  <c r="F7260" i="12"/>
  <c r="J7259" i="12"/>
  <c r="I7259" i="12"/>
  <c r="H7259" i="12"/>
  <c r="F7259" i="12"/>
  <c r="J7258" i="12"/>
  <c r="I7258" i="12"/>
  <c r="H7258" i="12"/>
  <c r="F7258" i="12"/>
  <c r="J7257" i="12"/>
  <c r="I7257" i="12"/>
  <c r="H7257" i="12"/>
  <c r="F7257" i="12"/>
  <c r="J7256" i="12"/>
  <c r="I7256" i="12"/>
  <c r="H7256" i="12"/>
  <c r="F7256" i="12"/>
  <c r="J7255" i="12"/>
  <c r="I7255" i="12"/>
  <c r="H7255" i="12"/>
  <c r="F7255" i="12"/>
  <c r="J7254" i="12"/>
  <c r="I7254" i="12"/>
  <c r="H7254" i="12"/>
  <c r="F7254" i="12"/>
  <c r="J7253" i="12"/>
  <c r="I7253" i="12"/>
  <c r="H7253" i="12"/>
  <c r="F7253" i="12"/>
  <c r="J7252" i="12"/>
  <c r="I7252" i="12"/>
  <c r="H7252" i="12"/>
  <c r="F7252" i="12"/>
  <c r="J7251" i="12"/>
  <c r="I7251" i="12"/>
  <c r="H7251" i="12"/>
  <c r="F7251" i="12"/>
  <c r="J7250" i="12"/>
  <c r="I7250" i="12"/>
  <c r="H7250" i="12"/>
  <c r="F7250" i="12"/>
  <c r="J7249" i="12"/>
  <c r="I7249" i="12"/>
  <c r="H7249" i="12"/>
  <c r="F7249" i="12"/>
  <c r="J7248" i="12"/>
  <c r="I7248" i="12"/>
  <c r="H7248" i="12"/>
  <c r="F7248" i="12"/>
  <c r="J7247" i="12"/>
  <c r="I7247" i="12"/>
  <c r="H7247" i="12"/>
  <c r="F7247" i="12"/>
  <c r="J7246" i="12"/>
  <c r="I7246" i="12"/>
  <c r="H7246" i="12"/>
  <c r="F7246" i="12"/>
  <c r="J7245" i="12"/>
  <c r="I7245" i="12"/>
  <c r="H7245" i="12"/>
  <c r="F7245" i="12"/>
  <c r="J7244" i="12"/>
  <c r="I7244" i="12"/>
  <c r="H7244" i="12"/>
  <c r="F7244" i="12"/>
  <c r="J7243" i="12"/>
  <c r="I7243" i="12"/>
  <c r="H7243" i="12"/>
  <c r="F7243" i="12"/>
  <c r="J7242" i="12"/>
  <c r="I7242" i="12"/>
  <c r="H7242" i="12"/>
  <c r="F7242" i="12"/>
  <c r="J7241" i="12"/>
  <c r="I7241" i="12"/>
  <c r="H7241" i="12"/>
  <c r="F7241" i="12"/>
  <c r="J7240" i="12"/>
  <c r="I7240" i="12"/>
  <c r="H7240" i="12"/>
  <c r="F7240" i="12"/>
  <c r="J7239" i="12"/>
  <c r="I7239" i="12"/>
  <c r="H7239" i="12"/>
  <c r="F7239" i="12"/>
  <c r="J7238" i="12"/>
  <c r="I7238" i="12"/>
  <c r="H7238" i="12"/>
  <c r="F7238" i="12"/>
  <c r="J7237" i="12"/>
  <c r="I7237" i="12"/>
  <c r="H7237" i="12"/>
  <c r="F7237" i="12"/>
  <c r="J7236" i="12"/>
  <c r="I7236" i="12"/>
  <c r="H7236" i="12"/>
  <c r="F7236" i="12"/>
  <c r="J7235" i="12"/>
  <c r="I7235" i="12"/>
  <c r="H7235" i="12"/>
  <c r="F7235" i="12"/>
  <c r="J7234" i="12"/>
  <c r="I7234" i="12"/>
  <c r="H7234" i="12"/>
  <c r="F7234" i="12"/>
  <c r="J7233" i="12"/>
  <c r="I7233" i="12"/>
  <c r="H7233" i="12"/>
  <c r="F7233" i="12"/>
  <c r="J7232" i="12"/>
  <c r="I7232" i="12"/>
  <c r="H7232" i="12"/>
  <c r="F7232" i="12"/>
  <c r="J7231" i="12"/>
  <c r="I7231" i="12"/>
  <c r="H7231" i="12"/>
  <c r="F7231" i="12"/>
  <c r="J7230" i="12"/>
  <c r="I7230" i="12"/>
  <c r="H7230" i="12"/>
  <c r="F7230" i="12"/>
  <c r="J7229" i="12"/>
  <c r="I7229" i="12"/>
  <c r="H7229" i="12"/>
  <c r="F7229" i="12"/>
  <c r="J7228" i="12"/>
  <c r="I7228" i="12"/>
  <c r="H7228" i="12"/>
  <c r="F7228" i="12"/>
  <c r="J7227" i="12"/>
  <c r="I7227" i="12"/>
  <c r="H7227" i="12"/>
  <c r="F7227" i="12"/>
  <c r="J7226" i="12"/>
  <c r="I7226" i="12"/>
  <c r="H7226" i="12"/>
  <c r="F7226" i="12"/>
  <c r="J7225" i="12"/>
  <c r="I7225" i="12"/>
  <c r="H7225" i="12"/>
  <c r="F7225" i="12"/>
  <c r="J7224" i="12"/>
  <c r="I7224" i="12"/>
  <c r="H7224" i="12"/>
  <c r="F7224" i="12"/>
  <c r="J7223" i="12"/>
  <c r="I7223" i="12"/>
  <c r="H7223" i="12"/>
  <c r="F7223" i="12"/>
  <c r="J7222" i="12"/>
  <c r="I7222" i="12"/>
  <c r="H7222" i="12"/>
  <c r="F7222" i="12"/>
  <c r="J7221" i="12"/>
  <c r="I7221" i="12"/>
  <c r="H7221" i="12"/>
  <c r="F7221" i="12"/>
  <c r="J7220" i="12"/>
  <c r="I7220" i="12"/>
  <c r="H7220" i="12"/>
  <c r="F7220" i="12"/>
  <c r="J7219" i="12"/>
  <c r="I7219" i="12"/>
  <c r="H7219" i="12"/>
  <c r="F7219" i="12"/>
  <c r="J7218" i="12"/>
  <c r="I7218" i="12"/>
  <c r="H7218" i="12"/>
  <c r="F7218" i="12"/>
  <c r="J7217" i="12"/>
  <c r="I7217" i="12"/>
  <c r="H7217" i="12"/>
  <c r="F7217" i="12"/>
  <c r="J7216" i="12"/>
  <c r="I7216" i="12"/>
  <c r="H7216" i="12"/>
  <c r="F7216" i="12"/>
  <c r="J7215" i="12"/>
  <c r="I7215" i="12"/>
  <c r="H7215" i="12"/>
  <c r="F7215" i="12"/>
  <c r="J7214" i="12"/>
  <c r="I7214" i="12"/>
  <c r="H7214" i="12"/>
  <c r="F7214" i="12"/>
  <c r="J7213" i="12"/>
  <c r="I7213" i="12"/>
  <c r="H7213" i="12"/>
  <c r="F7213" i="12"/>
  <c r="J7212" i="12"/>
  <c r="I7212" i="12"/>
  <c r="H7212" i="12"/>
  <c r="F7212" i="12"/>
  <c r="J7211" i="12"/>
  <c r="I7211" i="12"/>
  <c r="H7211" i="12"/>
  <c r="F7211" i="12"/>
  <c r="J7210" i="12"/>
  <c r="I7210" i="12"/>
  <c r="H7210" i="12"/>
  <c r="F7210" i="12"/>
  <c r="J7209" i="12"/>
  <c r="I7209" i="12"/>
  <c r="H7209" i="12"/>
  <c r="F7209" i="12"/>
  <c r="J7208" i="12"/>
  <c r="I7208" i="12"/>
  <c r="H7208" i="12"/>
  <c r="F7208" i="12"/>
  <c r="J7207" i="12"/>
  <c r="I7207" i="12"/>
  <c r="H7207" i="12"/>
  <c r="F7207" i="12"/>
  <c r="J7206" i="12"/>
  <c r="I7206" i="12"/>
  <c r="H7206" i="12"/>
  <c r="F7206" i="12"/>
  <c r="J7205" i="12"/>
  <c r="I7205" i="12"/>
  <c r="H7205" i="12"/>
  <c r="F7205" i="12"/>
  <c r="J7204" i="12"/>
  <c r="I7204" i="12"/>
  <c r="H7204" i="12"/>
  <c r="F7204" i="12"/>
  <c r="J7203" i="12"/>
  <c r="I7203" i="12"/>
  <c r="H7203" i="12"/>
  <c r="F7203" i="12"/>
  <c r="J7202" i="12"/>
  <c r="I7202" i="12"/>
  <c r="H7202" i="12"/>
  <c r="F7202" i="12"/>
  <c r="J7201" i="12"/>
  <c r="I7201" i="12"/>
  <c r="H7201" i="12"/>
  <c r="F7201" i="12"/>
  <c r="J7200" i="12"/>
  <c r="I7200" i="12"/>
  <c r="H7200" i="12"/>
  <c r="F7200" i="12"/>
  <c r="J7199" i="12"/>
  <c r="I7199" i="12"/>
  <c r="H7199" i="12"/>
  <c r="F7199" i="12"/>
  <c r="J7198" i="12"/>
  <c r="I7198" i="12"/>
  <c r="H7198" i="12"/>
  <c r="F7198" i="12"/>
  <c r="J7197" i="12"/>
  <c r="I7197" i="12"/>
  <c r="H7197" i="12"/>
  <c r="F7197" i="12"/>
  <c r="J7196" i="12"/>
  <c r="I7196" i="12"/>
  <c r="H7196" i="12"/>
  <c r="F7196" i="12"/>
  <c r="J7195" i="12"/>
  <c r="I7195" i="12"/>
  <c r="H7195" i="12"/>
  <c r="F7195" i="12"/>
  <c r="J7194" i="12"/>
  <c r="I7194" i="12"/>
  <c r="H7194" i="12"/>
  <c r="F7194" i="12"/>
  <c r="J7193" i="12"/>
  <c r="I7193" i="12"/>
  <c r="H7193" i="12"/>
  <c r="F7193" i="12"/>
  <c r="J7192" i="12"/>
  <c r="I7192" i="12"/>
  <c r="H7192" i="12"/>
  <c r="F7192" i="12"/>
  <c r="J7191" i="12"/>
  <c r="I7191" i="12"/>
  <c r="H7191" i="12"/>
  <c r="F7191" i="12"/>
  <c r="J7190" i="12"/>
  <c r="I7190" i="12"/>
  <c r="H7190" i="12"/>
  <c r="F7190" i="12"/>
  <c r="J7189" i="12"/>
  <c r="I7189" i="12"/>
  <c r="H7189" i="12"/>
  <c r="F7189" i="12"/>
  <c r="J7188" i="12"/>
  <c r="I7188" i="12"/>
  <c r="H7188" i="12"/>
  <c r="F7188" i="12"/>
  <c r="J7187" i="12"/>
  <c r="I7187" i="12"/>
  <c r="H7187" i="12"/>
  <c r="F7187" i="12"/>
  <c r="J7186" i="12"/>
  <c r="I7186" i="12"/>
  <c r="H7186" i="12"/>
  <c r="F7186" i="12"/>
  <c r="J7185" i="12"/>
  <c r="I7185" i="12"/>
  <c r="H7185" i="12"/>
  <c r="F7185" i="12"/>
  <c r="J7184" i="12"/>
  <c r="I7184" i="12"/>
  <c r="H7184" i="12"/>
  <c r="F7184" i="12"/>
  <c r="J7183" i="12"/>
  <c r="I7183" i="12"/>
  <c r="H7183" i="12"/>
  <c r="F7183" i="12"/>
  <c r="J7182" i="12"/>
  <c r="I7182" i="12"/>
  <c r="H7182" i="12"/>
  <c r="F7182" i="12"/>
  <c r="J7181" i="12"/>
  <c r="I7181" i="12"/>
  <c r="H7181" i="12"/>
  <c r="F7181" i="12"/>
  <c r="J7180" i="12"/>
  <c r="I7180" i="12"/>
  <c r="H7180" i="12"/>
  <c r="F7180" i="12"/>
  <c r="J7179" i="12"/>
  <c r="I7179" i="12"/>
  <c r="H7179" i="12"/>
  <c r="F7179" i="12"/>
  <c r="J7178" i="12"/>
  <c r="I7178" i="12"/>
  <c r="H7178" i="12"/>
  <c r="F7178" i="12"/>
  <c r="J7177" i="12"/>
  <c r="I7177" i="12"/>
  <c r="H7177" i="12"/>
  <c r="F7177" i="12"/>
  <c r="J7176" i="12"/>
  <c r="I7176" i="12"/>
  <c r="H7176" i="12"/>
  <c r="F7176" i="12"/>
  <c r="J7175" i="12"/>
  <c r="I7175" i="12"/>
  <c r="H7175" i="12"/>
  <c r="F7175" i="12"/>
  <c r="J7174" i="12"/>
  <c r="I7174" i="12"/>
  <c r="H7174" i="12"/>
  <c r="F7174" i="12"/>
  <c r="J7173" i="12"/>
  <c r="I7173" i="12"/>
  <c r="H7173" i="12"/>
  <c r="F7173" i="12"/>
  <c r="J7172" i="12"/>
  <c r="I7172" i="12"/>
  <c r="H7172" i="12"/>
  <c r="F7172" i="12"/>
  <c r="J7171" i="12"/>
  <c r="I7171" i="12"/>
  <c r="H7171" i="12"/>
  <c r="F7171" i="12"/>
  <c r="J7170" i="12"/>
  <c r="I7170" i="12"/>
  <c r="H7170" i="12"/>
  <c r="F7170" i="12"/>
  <c r="J7169" i="12"/>
  <c r="I7169" i="12"/>
  <c r="H7169" i="12"/>
  <c r="F7169" i="12"/>
  <c r="J7168" i="12"/>
  <c r="I7168" i="12"/>
  <c r="H7168" i="12"/>
  <c r="F7168" i="12"/>
  <c r="J7167" i="12"/>
  <c r="I7167" i="12"/>
  <c r="H7167" i="12"/>
  <c r="F7167" i="12"/>
  <c r="J7166" i="12"/>
  <c r="I7166" i="12"/>
  <c r="H7166" i="12"/>
  <c r="F7166" i="12"/>
  <c r="J7165" i="12"/>
  <c r="I7165" i="12"/>
  <c r="H7165" i="12"/>
  <c r="F7165" i="12"/>
  <c r="J7164" i="12"/>
  <c r="I7164" i="12"/>
  <c r="H7164" i="12"/>
  <c r="F7164" i="12"/>
  <c r="J7163" i="12"/>
  <c r="I7163" i="12"/>
  <c r="H7163" i="12"/>
  <c r="F7163" i="12"/>
  <c r="J7162" i="12"/>
  <c r="I7162" i="12"/>
  <c r="H7162" i="12"/>
  <c r="F7162" i="12"/>
  <c r="J7161" i="12"/>
  <c r="I7161" i="12"/>
  <c r="H7161" i="12"/>
  <c r="F7161" i="12"/>
  <c r="J7160" i="12"/>
  <c r="I7160" i="12"/>
  <c r="H7160" i="12"/>
  <c r="F7160" i="12"/>
  <c r="J7159" i="12"/>
  <c r="I7159" i="12"/>
  <c r="H7159" i="12"/>
  <c r="F7159" i="12"/>
  <c r="J7158" i="12"/>
  <c r="I7158" i="12"/>
  <c r="H7158" i="12"/>
  <c r="F7158" i="12"/>
  <c r="J7157" i="12"/>
  <c r="I7157" i="12"/>
  <c r="H7157" i="12"/>
  <c r="F7157" i="12"/>
  <c r="J7156" i="12"/>
  <c r="I7156" i="12"/>
  <c r="H7156" i="12"/>
  <c r="F7156" i="12"/>
  <c r="J7155" i="12"/>
  <c r="I7155" i="12"/>
  <c r="H7155" i="12"/>
  <c r="F7155" i="12"/>
  <c r="J7154" i="12"/>
  <c r="I7154" i="12"/>
  <c r="H7154" i="12"/>
  <c r="F7154" i="12"/>
  <c r="J7153" i="12"/>
  <c r="I7153" i="12"/>
  <c r="H7153" i="12"/>
  <c r="F7153" i="12"/>
  <c r="J7152" i="12"/>
  <c r="I7152" i="12"/>
  <c r="H7152" i="12"/>
  <c r="F7152" i="12"/>
  <c r="J7151" i="12"/>
  <c r="I7151" i="12"/>
  <c r="H7151" i="12"/>
  <c r="F7151" i="12"/>
  <c r="J7150" i="12"/>
  <c r="I7150" i="12"/>
  <c r="H7150" i="12"/>
  <c r="F7150" i="12"/>
  <c r="J7149" i="12"/>
  <c r="I7149" i="12"/>
  <c r="H7149" i="12"/>
  <c r="F7149" i="12"/>
  <c r="J7148" i="12"/>
  <c r="I7148" i="12"/>
  <c r="H7148" i="12"/>
  <c r="F7148" i="12"/>
  <c r="J7147" i="12"/>
  <c r="I7147" i="12"/>
  <c r="H7147" i="12"/>
  <c r="F7147" i="12"/>
  <c r="J7146" i="12"/>
  <c r="I7146" i="12"/>
  <c r="H7146" i="12"/>
  <c r="F7146" i="12"/>
  <c r="J7145" i="12"/>
  <c r="I7145" i="12"/>
  <c r="H7145" i="12"/>
  <c r="F7145" i="12"/>
  <c r="J7144" i="12"/>
  <c r="I7144" i="12"/>
  <c r="H7144" i="12"/>
  <c r="F7144" i="12"/>
  <c r="J7143" i="12"/>
  <c r="I7143" i="12"/>
  <c r="H7143" i="12"/>
  <c r="F7143" i="12"/>
  <c r="J7142" i="12"/>
  <c r="I7142" i="12"/>
  <c r="H7142" i="12"/>
  <c r="F7142" i="12"/>
  <c r="J7141" i="12"/>
  <c r="I7141" i="12"/>
  <c r="H7141" i="12"/>
  <c r="F7141" i="12"/>
  <c r="J7140" i="12"/>
  <c r="I7140" i="12"/>
  <c r="H7140" i="12"/>
  <c r="F7140" i="12"/>
  <c r="J7139" i="12"/>
  <c r="I7139" i="12"/>
  <c r="H7139" i="12"/>
  <c r="F7139" i="12"/>
  <c r="J7138" i="12"/>
  <c r="I7138" i="12"/>
  <c r="H7138" i="12"/>
  <c r="F7138" i="12"/>
  <c r="J7137" i="12"/>
  <c r="I7137" i="12"/>
  <c r="H7137" i="12"/>
  <c r="F7137" i="12"/>
  <c r="J7136" i="12"/>
  <c r="I7136" i="12"/>
  <c r="H7136" i="12"/>
  <c r="F7136" i="12"/>
  <c r="J7135" i="12"/>
  <c r="I7135" i="12"/>
  <c r="H7135" i="12"/>
  <c r="F7135" i="12"/>
  <c r="J7134" i="12"/>
  <c r="I7134" i="12"/>
  <c r="H7134" i="12"/>
  <c r="F7134" i="12"/>
  <c r="J7133" i="12"/>
  <c r="I7133" i="12"/>
  <c r="H7133" i="12"/>
  <c r="F7133" i="12"/>
  <c r="J7132" i="12"/>
  <c r="I7132" i="12"/>
  <c r="H7132" i="12"/>
  <c r="F7132" i="12"/>
  <c r="J7131" i="12"/>
  <c r="I7131" i="12"/>
  <c r="H7131" i="12"/>
  <c r="F7131" i="12"/>
  <c r="J7130" i="12"/>
  <c r="I7130" i="12"/>
  <c r="H7130" i="12"/>
  <c r="F7130" i="12"/>
  <c r="J7129" i="12"/>
  <c r="I7129" i="12"/>
  <c r="H7129" i="12"/>
  <c r="F7129" i="12"/>
  <c r="J7128" i="12"/>
  <c r="I7128" i="12"/>
  <c r="H7128" i="12"/>
  <c r="F7128" i="12"/>
  <c r="J7127" i="12"/>
  <c r="I7127" i="12"/>
  <c r="H7127" i="12"/>
  <c r="F7127" i="12"/>
  <c r="J7126" i="12"/>
  <c r="I7126" i="12"/>
  <c r="H7126" i="12"/>
  <c r="F7126" i="12"/>
  <c r="J7125" i="12"/>
  <c r="I7125" i="12"/>
  <c r="H7125" i="12"/>
  <c r="F7125" i="12"/>
  <c r="J7124" i="12"/>
  <c r="I7124" i="12"/>
  <c r="H7124" i="12"/>
  <c r="F7124" i="12"/>
  <c r="J7123" i="12"/>
  <c r="I7123" i="12"/>
  <c r="H7123" i="12"/>
  <c r="F7123" i="12"/>
  <c r="J7122" i="12"/>
  <c r="I7122" i="12"/>
  <c r="H7122" i="12"/>
  <c r="F7122" i="12"/>
  <c r="J7121" i="12"/>
  <c r="I7121" i="12"/>
  <c r="H7121" i="12"/>
  <c r="F7121" i="12"/>
  <c r="J7120" i="12"/>
  <c r="I7120" i="12"/>
  <c r="H7120" i="12"/>
  <c r="F7120" i="12"/>
  <c r="J7119" i="12"/>
  <c r="I7119" i="12"/>
  <c r="H7119" i="12"/>
  <c r="F7119" i="12"/>
  <c r="J7118" i="12"/>
  <c r="I7118" i="12"/>
  <c r="H7118" i="12"/>
  <c r="F7118" i="12"/>
  <c r="J7117" i="12"/>
  <c r="I7117" i="12"/>
  <c r="H7117" i="12"/>
  <c r="F7117" i="12"/>
  <c r="J7116" i="12"/>
  <c r="I7116" i="12"/>
  <c r="H7116" i="12"/>
  <c r="F7116" i="12"/>
  <c r="J7115" i="12"/>
  <c r="I7115" i="12"/>
  <c r="H7115" i="12"/>
  <c r="F7115" i="12"/>
  <c r="J7114" i="12"/>
  <c r="I7114" i="12"/>
  <c r="H7114" i="12"/>
  <c r="F7114" i="12"/>
  <c r="J7113" i="12"/>
  <c r="I7113" i="12"/>
  <c r="H7113" i="12"/>
  <c r="F7113" i="12"/>
  <c r="J7112" i="12"/>
  <c r="I7112" i="12"/>
  <c r="H7112" i="12"/>
  <c r="F7112" i="12"/>
  <c r="J7111" i="12"/>
  <c r="I7111" i="12"/>
  <c r="H7111" i="12"/>
  <c r="F7111" i="12"/>
  <c r="J7110" i="12"/>
  <c r="I7110" i="12"/>
  <c r="H7110" i="12"/>
  <c r="F7110" i="12"/>
  <c r="J7109" i="12"/>
  <c r="I7109" i="12"/>
  <c r="H7109" i="12"/>
  <c r="F7109" i="12"/>
  <c r="J7108" i="12"/>
  <c r="I7108" i="12"/>
  <c r="H7108" i="12"/>
  <c r="F7108" i="12"/>
  <c r="J7107" i="12"/>
  <c r="I7107" i="12"/>
  <c r="H7107" i="12"/>
  <c r="F7107" i="12"/>
  <c r="J7106" i="12"/>
  <c r="I7106" i="12"/>
  <c r="H7106" i="12"/>
  <c r="F7106" i="12"/>
  <c r="J7105" i="12"/>
  <c r="I7105" i="12"/>
  <c r="H7105" i="12"/>
  <c r="F7105" i="12"/>
  <c r="J7104" i="12"/>
  <c r="I7104" i="12"/>
  <c r="H7104" i="12"/>
  <c r="F7104" i="12"/>
  <c r="J7103" i="12"/>
  <c r="I7103" i="12"/>
  <c r="H7103" i="12"/>
  <c r="F7103" i="12"/>
  <c r="J7102" i="12"/>
  <c r="I7102" i="12"/>
  <c r="H7102" i="12"/>
  <c r="F7102" i="12"/>
  <c r="J7101" i="12"/>
  <c r="I7101" i="12"/>
  <c r="H7101" i="12"/>
  <c r="F7101" i="12"/>
  <c r="J7100" i="12"/>
  <c r="I7100" i="12"/>
  <c r="H7100" i="12"/>
  <c r="F7100" i="12"/>
  <c r="J7099" i="12"/>
  <c r="I7099" i="12"/>
  <c r="H7099" i="12"/>
  <c r="F7099" i="12"/>
  <c r="J7098" i="12"/>
  <c r="I7098" i="12"/>
  <c r="H7098" i="12"/>
  <c r="F7098" i="12"/>
  <c r="J7097" i="12"/>
  <c r="I7097" i="12"/>
  <c r="H7097" i="12"/>
  <c r="F7097" i="12"/>
  <c r="J7096" i="12"/>
  <c r="I7096" i="12"/>
  <c r="H7096" i="12"/>
  <c r="F7096" i="12"/>
  <c r="J7095" i="12"/>
  <c r="I7095" i="12"/>
  <c r="H7095" i="12"/>
  <c r="F7095" i="12"/>
  <c r="J7094" i="12"/>
  <c r="I7094" i="12"/>
  <c r="H7094" i="12"/>
  <c r="F7094" i="12"/>
  <c r="J7093" i="12"/>
  <c r="I7093" i="12"/>
  <c r="H7093" i="12"/>
  <c r="F7093" i="12"/>
  <c r="J7092" i="12"/>
  <c r="I7092" i="12"/>
  <c r="H7092" i="12"/>
  <c r="F7092" i="12"/>
  <c r="J7091" i="12"/>
  <c r="I7091" i="12"/>
  <c r="H7091" i="12"/>
  <c r="F7091" i="12"/>
  <c r="J7090" i="12"/>
  <c r="I7090" i="12"/>
  <c r="H7090" i="12"/>
  <c r="F7090" i="12"/>
  <c r="J7089" i="12"/>
  <c r="I7089" i="12"/>
  <c r="H7089" i="12"/>
  <c r="F7089" i="12"/>
  <c r="J7088" i="12"/>
  <c r="I7088" i="12"/>
  <c r="H7088" i="12"/>
  <c r="F7088" i="12"/>
  <c r="J7087" i="12"/>
  <c r="I7087" i="12"/>
  <c r="H7087" i="12"/>
  <c r="F7087" i="12"/>
  <c r="J7086" i="12"/>
  <c r="I7086" i="12"/>
  <c r="H7086" i="12"/>
  <c r="F7086" i="12"/>
  <c r="J7085" i="12"/>
  <c r="I7085" i="12"/>
  <c r="H7085" i="12"/>
  <c r="F7085" i="12"/>
  <c r="J7084" i="12"/>
  <c r="I7084" i="12"/>
  <c r="H7084" i="12"/>
  <c r="F7084" i="12"/>
  <c r="J7083" i="12"/>
  <c r="I7083" i="12"/>
  <c r="H7083" i="12"/>
  <c r="F7083" i="12"/>
  <c r="J7082" i="12"/>
  <c r="I7082" i="12"/>
  <c r="H7082" i="12"/>
  <c r="F7082" i="12"/>
  <c r="J7081" i="12"/>
  <c r="I7081" i="12"/>
  <c r="H7081" i="12"/>
  <c r="F7081" i="12"/>
  <c r="J7080" i="12"/>
  <c r="I7080" i="12"/>
  <c r="H7080" i="12"/>
  <c r="F7080" i="12"/>
  <c r="J7079" i="12"/>
  <c r="I7079" i="12"/>
  <c r="H7079" i="12"/>
  <c r="F7079" i="12"/>
  <c r="J7078" i="12"/>
  <c r="I7078" i="12"/>
  <c r="H7078" i="12"/>
  <c r="F7078" i="12"/>
  <c r="J7077" i="12"/>
  <c r="I7077" i="12"/>
  <c r="H7077" i="12"/>
  <c r="F7077" i="12"/>
  <c r="J7076" i="12"/>
  <c r="I7076" i="12"/>
  <c r="H7076" i="12"/>
  <c r="F7076" i="12"/>
  <c r="J7075" i="12"/>
  <c r="I7075" i="12"/>
  <c r="H7075" i="12"/>
  <c r="F7075" i="12"/>
  <c r="J7074" i="12"/>
  <c r="I7074" i="12"/>
  <c r="H7074" i="12"/>
  <c r="F7074" i="12"/>
  <c r="J7073" i="12"/>
  <c r="I7073" i="12"/>
  <c r="H7073" i="12"/>
  <c r="F7073" i="12"/>
  <c r="J7072" i="12"/>
  <c r="I7072" i="12"/>
  <c r="H7072" i="12"/>
  <c r="F7072" i="12"/>
  <c r="J7071" i="12"/>
  <c r="I7071" i="12"/>
  <c r="H7071" i="12"/>
  <c r="F7071" i="12"/>
  <c r="J7070" i="12"/>
  <c r="I7070" i="12"/>
  <c r="H7070" i="12"/>
  <c r="F7070" i="12"/>
  <c r="J7069" i="12"/>
  <c r="I7069" i="12"/>
  <c r="H7069" i="12"/>
  <c r="F7069" i="12"/>
  <c r="J7068" i="12"/>
  <c r="I7068" i="12"/>
  <c r="H7068" i="12"/>
  <c r="F7068" i="12"/>
  <c r="J7067" i="12"/>
  <c r="I7067" i="12"/>
  <c r="H7067" i="12"/>
  <c r="F7067" i="12"/>
  <c r="J7066" i="12"/>
  <c r="I7066" i="12"/>
  <c r="H7066" i="12"/>
  <c r="F7066" i="12"/>
  <c r="J7065" i="12"/>
  <c r="I7065" i="12"/>
  <c r="H7065" i="12"/>
  <c r="F7065" i="12"/>
  <c r="J7064" i="12"/>
  <c r="I7064" i="12"/>
  <c r="H7064" i="12"/>
  <c r="F7064" i="12"/>
  <c r="J7063" i="12"/>
  <c r="I7063" i="12"/>
  <c r="H7063" i="12"/>
  <c r="F7063" i="12"/>
  <c r="J7062" i="12"/>
  <c r="I7062" i="12"/>
  <c r="H7062" i="12"/>
  <c r="F7062" i="12"/>
  <c r="J7061" i="12"/>
  <c r="I7061" i="12"/>
  <c r="H7061" i="12"/>
  <c r="F7061" i="12"/>
  <c r="J7060" i="12"/>
  <c r="I7060" i="12"/>
  <c r="H7060" i="12"/>
  <c r="F7060" i="12"/>
  <c r="J7059" i="12"/>
  <c r="I7059" i="12"/>
  <c r="H7059" i="12"/>
  <c r="F7059" i="12"/>
  <c r="J7058" i="12"/>
  <c r="I7058" i="12"/>
  <c r="H7058" i="12"/>
  <c r="F7058" i="12"/>
  <c r="J7057" i="12"/>
  <c r="I7057" i="12"/>
  <c r="H7057" i="12"/>
  <c r="F7057" i="12"/>
  <c r="J7056" i="12"/>
  <c r="I7056" i="12"/>
  <c r="H7056" i="12"/>
  <c r="F7056" i="12"/>
  <c r="J7055" i="12"/>
  <c r="I7055" i="12"/>
  <c r="H7055" i="12"/>
  <c r="F7055" i="12"/>
  <c r="J7054" i="12"/>
  <c r="I7054" i="12"/>
  <c r="H7054" i="12"/>
  <c r="F7054" i="12"/>
  <c r="J7053" i="12"/>
  <c r="I7053" i="12"/>
  <c r="H7053" i="12"/>
  <c r="F7053" i="12"/>
  <c r="J7052" i="12"/>
  <c r="I7052" i="12"/>
  <c r="H7052" i="12"/>
  <c r="F7052" i="12"/>
  <c r="J7051" i="12"/>
  <c r="I7051" i="12"/>
  <c r="H7051" i="12"/>
  <c r="F7051" i="12"/>
  <c r="J7050" i="12"/>
  <c r="I7050" i="12"/>
  <c r="H7050" i="12"/>
  <c r="F7050" i="12"/>
  <c r="J7049" i="12"/>
  <c r="I7049" i="12"/>
  <c r="H7049" i="12"/>
  <c r="F7049" i="12"/>
  <c r="J7048" i="12"/>
  <c r="I7048" i="12"/>
  <c r="H7048" i="12"/>
  <c r="F7048" i="12"/>
  <c r="J7047" i="12"/>
  <c r="I7047" i="12"/>
  <c r="H7047" i="12"/>
  <c r="F7047" i="12"/>
  <c r="J7046" i="12"/>
  <c r="I7046" i="12"/>
  <c r="H7046" i="12"/>
  <c r="F7046" i="12"/>
  <c r="J7045" i="12"/>
  <c r="I7045" i="12"/>
  <c r="H7045" i="12"/>
  <c r="F7045" i="12"/>
  <c r="J7044" i="12"/>
  <c r="I7044" i="12"/>
  <c r="H7044" i="12"/>
  <c r="F7044" i="12"/>
  <c r="J7043" i="12"/>
  <c r="I7043" i="12"/>
  <c r="H7043" i="12"/>
  <c r="F7043" i="12"/>
  <c r="J7042" i="12"/>
  <c r="I7042" i="12"/>
  <c r="H7042" i="12"/>
  <c r="F7042" i="12"/>
  <c r="J7041" i="12"/>
  <c r="I7041" i="12"/>
  <c r="H7041" i="12"/>
  <c r="F7041" i="12"/>
  <c r="J7040" i="12"/>
  <c r="I7040" i="12"/>
  <c r="H7040" i="12"/>
  <c r="F7040" i="12"/>
  <c r="J7039" i="12"/>
  <c r="I7039" i="12"/>
  <c r="H7039" i="12"/>
  <c r="F7039" i="12"/>
  <c r="J7038" i="12"/>
  <c r="I7038" i="12"/>
  <c r="H7038" i="12"/>
  <c r="F7038" i="12"/>
  <c r="J7037" i="12"/>
  <c r="I7037" i="12"/>
  <c r="H7037" i="12"/>
  <c r="F7037" i="12"/>
  <c r="J7036" i="12"/>
  <c r="I7036" i="12"/>
  <c r="H7036" i="12"/>
  <c r="F7036" i="12"/>
  <c r="J7035" i="12"/>
  <c r="I7035" i="12"/>
  <c r="H7035" i="12"/>
  <c r="F7035" i="12"/>
  <c r="J7034" i="12"/>
  <c r="I7034" i="12"/>
  <c r="H7034" i="12"/>
  <c r="F7034" i="12"/>
  <c r="J7033" i="12"/>
  <c r="I7033" i="12"/>
  <c r="H7033" i="12"/>
  <c r="F7033" i="12"/>
  <c r="J7032" i="12"/>
  <c r="I7032" i="12"/>
  <c r="H7032" i="12"/>
  <c r="F7032" i="12"/>
  <c r="J7031" i="12"/>
  <c r="I7031" i="12"/>
  <c r="H7031" i="12"/>
  <c r="F7031" i="12"/>
  <c r="J7030" i="12"/>
  <c r="I7030" i="12"/>
  <c r="H7030" i="12"/>
  <c r="F7030" i="12"/>
  <c r="J7029" i="12"/>
  <c r="I7029" i="12"/>
  <c r="H7029" i="12"/>
  <c r="F7029" i="12"/>
  <c r="J7028" i="12"/>
  <c r="I7028" i="12"/>
  <c r="H7028" i="12"/>
  <c r="F7028" i="12"/>
  <c r="J7027" i="12"/>
  <c r="I7027" i="12"/>
  <c r="H7027" i="12"/>
  <c r="F7027" i="12"/>
  <c r="J7026" i="12"/>
  <c r="I7026" i="12"/>
  <c r="H7026" i="12"/>
  <c r="F7026" i="12"/>
  <c r="J7025" i="12"/>
  <c r="I7025" i="12"/>
  <c r="H7025" i="12"/>
  <c r="F7025" i="12"/>
  <c r="J7024" i="12"/>
  <c r="I7024" i="12"/>
  <c r="H7024" i="12"/>
  <c r="F7024" i="12"/>
  <c r="J7023" i="12"/>
  <c r="I7023" i="12"/>
  <c r="H7023" i="12"/>
  <c r="F7023" i="12"/>
  <c r="J7022" i="12"/>
  <c r="I7022" i="12"/>
  <c r="H7022" i="12"/>
  <c r="F7022" i="12"/>
  <c r="J7021" i="12"/>
  <c r="I7021" i="12"/>
  <c r="H7021" i="12"/>
  <c r="F7021" i="12"/>
  <c r="J7020" i="12"/>
  <c r="I7020" i="12"/>
  <c r="H7020" i="12"/>
  <c r="F7020" i="12"/>
  <c r="J7019" i="12"/>
  <c r="I7019" i="12"/>
  <c r="H7019" i="12"/>
  <c r="F7019" i="12"/>
  <c r="J7018" i="12"/>
  <c r="I7018" i="12"/>
  <c r="H7018" i="12"/>
  <c r="F7018" i="12"/>
  <c r="J7017" i="12"/>
  <c r="I7017" i="12"/>
  <c r="H7017" i="12"/>
  <c r="F7017" i="12"/>
  <c r="J7016" i="12"/>
  <c r="I7016" i="12"/>
  <c r="H7016" i="12"/>
  <c r="F7016" i="12"/>
  <c r="J7015" i="12"/>
  <c r="I7015" i="12"/>
  <c r="H7015" i="12"/>
  <c r="F7015" i="12"/>
  <c r="J7014" i="12"/>
  <c r="I7014" i="12"/>
  <c r="H7014" i="12"/>
  <c r="F7014" i="12"/>
  <c r="J7013" i="12"/>
  <c r="I7013" i="12"/>
  <c r="H7013" i="12"/>
  <c r="F7013" i="12"/>
  <c r="J7012" i="12"/>
  <c r="I7012" i="12"/>
  <c r="H7012" i="12"/>
  <c r="F7012" i="12"/>
  <c r="J7011" i="12"/>
  <c r="I7011" i="12"/>
  <c r="H7011" i="12"/>
  <c r="F7011" i="12"/>
  <c r="J7010" i="12"/>
  <c r="I7010" i="12"/>
  <c r="H7010" i="12"/>
  <c r="F7010" i="12"/>
  <c r="J7009" i="12"/>
  <c r="I7009" i="12"/>
  <c r="H7009" i="12"/>
  <c r="F7009" i="12"/>
  <c r="J7008" i="12"/>
  <c r="I7008" i="12"/>
  <c r="H7008" i="12"/>
  <c r="F7008" i="12"/>
  <c r="J7007" i="12"/>
  <c r="I7007" i="12"/>
  <c r="H7007" i="12"/>
  <c r="F7007" i="12"/>
  <c r="J7006" i="12"/>
  <c r="I7006" i="12"/>
  <c r="H7006" i="12"/>
  <c r="F7006" i="12"/>
  <c r="J7005" i="12"/>
  <c r="I7005" i="12"/>
  <c r="H7005" i="12"/>
  <c r="F7005" i="12"/>
  <c r="J7004" i="12"/>
  <c r="I7004" i="12"/>
  <c r="H7004" i="12"/>
  <c r="F7004" i="12"/>
  <c r="J7003" i="12"/>
  <c r="I7003" i="12"/>
  <c r="H7003" i="12"/>
  <c r="F7003" i="12"/>
  <c r="J7002" i="12"/>
  <c r="I7002" i="12"/>
  <c r="H7002" i="12"/>
  <c r="F7002" i="12"/>
  <c r="J7001" i="12"/>
  <c r="I7001" i="12"/>
  <c r="H7001" i="12"/>
  <c r="F7001" i="12"/>
  <c r="J7000" i="12"/>
  <c r="I7000" i="12"/>
  <c r="H7000" i="12"/>
  <c r="F7000" i="12"/>
  <c r="J6999" i="12"/>
  <c r="I6999" i="12"/>
  <c r="H6999" i="12"/>
  <c r="F6999" i="12"/>
  <c r="J6998" i="12"/>
  <c r="I6998" i="12"/>
  <c r="H6998" i="12"/>
  <c r="F6998" i="12"/>
  <c r="J6997" i="12"/>
  <c r="I6997" i="12"/>
  <c r="H6997" i="12"/>
  <c r="F6997" i="12"/>
  <c r="J6996" i="12"/>
  <c r="I6996" i="12"/>
  <c r="H6996" i="12"/>
  <c r="F6996" i="12"/>
  <c r="J6995" i="12"/>
  <c r="I6995" i="12"/>
  <c r="H6995" i="12"/>
  <c r="F6995" i="12"/>
  <c r="J6994" i="12"/>
  <c r="I6994" i="12"/>
  <c r="H6994" i="12"/>
  <c r="F6994" i="12"/>
  <c r="J6993" i="12"/>
  <c r="I6993" i="12"/>
  <c r="H6993" i="12"/>
  <c r="F6993" i="12"/>
  <c r="J6992" i="12"/>
  <c r="I6992" i="12"/>
  <c r="H6992" i="12"/>
  <c r="F6992" i="12"/>
  <c r="J6991" i="12"/>
  <c r="I6991" i="12"/>
  <c r="H6991" i="12"/>
  <c r="F6991" i="12"/>
  <c r="J6990" i="12"/>
  <c r="I6990" i="12"/>
  <c r="H6990" i="12"/>
  <c r="F6990" i="12"/>
  <c r="J6989" i="12"/>
  <c r="I6989" i="12"/>
  <c r="H6989" i="12"/>
  <c r="F6989" i="12"/>
  <c r="J6988" i="12"/>
  <c r="I6988" i="12"/>
  <c r="H6988" i="12"/>
  <c r="F6988" i="12"/>
  <c r="J6987" i="12"/>
  <c r="I6987" i="12"/>
  <c r="H6987" i="12"/>
  <c r="F6987" i="12"/>
  <c r="J6986" i="12"/>
  <c r="I6986" i="12"/>
  <c r="H6986" i="12"/>
  <c r="F6986" i="12"/>
  <c r="J6985" i="12"/>
  <c r="I6985" i="12"/>
  <c r="H6985" i="12"/>
  <c r="F6985" i="12"/>
  <c r="J6984" i="12"/>
  <c r="I6984" i="12"/>
  <c r="H6984" i="12"/>
  <c r="F6984" i="12"/>
  <c r="J6983" i="12"/>
  <c r="I6983" i="12"/>
  <c r="H6983" i="12"/>
  <c r="F6983" i="12"/>
  <c r="J6982" i="12"/>
  <c r="I6982" i="12"/>
  <c r="H6982" i="12"/>
  <c r="F6982" i="12"/>
  <c r="J6981" i="12"/>
  <c r="I6981" i="12"/>
  <c r="H6981" i="12"/>
  <c r="F6981" i="12"/>
  <c r="J6980" i="12"/>
  <c r="I6980" i="12"/>
  <c r="H6980" i="12"/>
  <c r="F6980" i="12"/>
  <c r="J6979" i="12"/>
  <c r="I6979" i="12"/>
  <c r="H6979" i="12"/>
  <c r="F6979" i="12"/>
  <c r="J6978" i="12"/>
  <c r="I6978" i="12"/>
  <c r="H6978" i="12"/>
  <c r="F6978" i="12"/>
  <c r="J6977" i="12"/>
  <c r="I6977" i="12"/>
  <c r="H6977" i="12"/>
  <c r="F6977" i="12"/>
  <c r="J6976" i="12"/>
  <c r="I6976" i="12"/>
  <c r="H6976" i="12"/>
  <c r="F6976" i="12"/>
  <c r="J6975" i="12"/>
  <c r="I6975" i="12"/>
  <c r="H6975" i="12"/>
  <c r="F6975" i="12"/>
  <c r="J6974" i="12"/>
  <c r="I6974" i="12"/>
  <c r="H6974" i="12"/>
  <c r="F6974" i="12"/>
  <c r="J6973" i="12"/>
  <c r="I6973" i="12"/>
  <c r="H6973" i="12"/>
  <c r="F6973" i="12"/>
  <c r="J6972" i="12"/>
  <c r="I6972" i="12"/>
  <c r="H6972" i="12"/>
  <c r="F6972" i="12"/>
  <c r="J6971" i="12"/>
  <c r="I6971" i="12"/>
  <c r="H6971" i="12"/>
  <c r="F6971" i="12"/>
  <c r="J6970" i="12"/>
  <c r="I6970" i="12"/>
  <c r="H6970" i="12"/>
  <c r="F6970" i="12"/>
  <c r="J6969" i="12"/>
  <c r="I6969" i="12"/>
  <c r="H6969" i="12"/>
  <c r="F6969" i="12"/>
  <c r="J6968" i="12"/>
  <c r="I6968" i="12"/>
  <c r="H6968" i="12"/>
  <c r="F6968" i="12"/>
  <c r="J6967" i="12"/>
  <c r="I6967" i="12"/>
  <c r="H6967" i="12"/>
  <c r="F6967" i="12"/>
  <c r="J6966" i="12"/>
  <c r="I6966" i="12"/>
  <c r="H6966" i="12"/>
  <c r="F6966" i="12"/>
  <c r="J6965" i="12"/>
  <c r="I6965" i="12"/>
  <c r="H6965" i="12"/>
  <c r="F6965" i="12"/>
  <c r="J6964" i="12"/>
  <c r="I6964" i="12"/>
  <c r="H6964" i="12"/>
  <c r="F6964" i="12"/>
  <c r="J6963" i="12"/>
  <c r="I6963" i="12"/>
  <c r="H6963" i="12"/>
  <c r="F6963" i="12"/>
  <c r="J6962" i="12"/>
  <c r="I6962" i="12"/>
  <c r="H6962" i="12"/>
  <c r="F6962" i="12"/>
  <c r="J6961" i="12"/>
  <c r="I6961" i="12"/>
  <c r="H6961" i="12"/>
  <c r="F6961" i="12"/>
  <c r="J6960" i="12"/>
  <c r="I6960" i="12"/>
  <c r="H6960" i="12"/>
  <c r="F6960" i="12"/>
  <c r="J6959" i="12"/>
  <c r="I6959" i="12"/>
  <c r="H6959" i="12"/>
  <c r="F6959" i="12"/>
  <c r="J6958" i="12"/>
  <c r="I6958" i="12"/>
  <c r="H6958" i="12"/>
  <c r="F6958" i="12"/>
  <c r="J6957" i="12"/>
  <c r="I6957" i="12"/>
  <c r="H6957" i="12"/>
  <c r="F6957" i="12"/>
  <c r="J6956" i="12"/>
  <c r="I6956" i="12"/>
  <c r="H6956" i="12"/>
  <c r="F6956" i="12"/>
  <c r="J6955" i="12"/>
  <c r="I6955" i="12"/>
  <c r="H6955" i="12"/>
  <c r="F6955" i="12"/>
  <c r="J6954" i="12"/>
  <c r="I6954" i="12"/>
  <c r="H6954" i="12"/>
  <c r="F6954" i="12"/>
  <c r="J6953" i="12"/>
  <c r="I6953" i="12"/>
  <c r="H6953" i="12"/>
  <c r="F6953" i="12"/>
  <c r="J6952" i="12"/>
  <c r="I6952" i="12"/>
  <c r="H6952" i="12"/>
  <c r="F6952" i="12"/>
  <c r="J6951" i="12"/>
  <c r="I6951" i="12"/>
  <c r="H6951" i="12"/>
  <c r="F6951" i="12"/>
  <c r="J6950" i="12"/>
  <c r="I6950" i="12"/>
  <c r="H6950" i="12"/>
  <c r="F6950" i="12"/>
  <c r="J6949" i="12"/>
  <c r="I6949" i="12"/>
  <c r="H6949" i="12"/>
  <c r="F6949" i="12"/>
  <c r="J6948" i="12"/>
  <c r="I6948" i="12"/>
  <c r="H6948" i="12"/>
  <c r="F6948" i="12"/>
  <c r="J6947" i="12"/>
  <c r="I6947" i="12"/>
  <c r="H6947" i="12"/>
  <c r="F6947" i="12"/>
  <c r="J6946" i="12"/>
  <c r="I6946" i="12"/>
  <c r="H6946" i="12"/>
  <c r="F6946" i="12"/>
  <c r="J6945" i="12"/>
  <c r="I6945" i="12"/>
  <c r="H6945" i="12"/>
  <c r="F6945" i="12"/>
  <c r="J6944" i="12"/>
  <c r="I6944" i="12"/>
  <c r="H6944" i="12"/>
  <c r="F6944" i="12"/>
  <c r="J6943" i="12"/>
  <c r="I6943" i="12"/>
  <c r="H6943" i="12"/>
  <c r="F6943" i="12"/>
  <c r="J6942" i="12"/>
  <c r="I6942" i="12"/>
  <c r="H6942" i="12"/>
  <c r="F6942" i="12"/>
  <c r="J6941" i="12"/>
  <c r="I6941" i="12"/>
  <c r="H6941" i="12"/>
  <c r="F6941" i="12"/>
  <c r="J6940" i="12"/>
  <c r="I6940" i="12"/>
  <c r="H6940" i="12"/>
  <c r="F6940" i="12"/>
  <c r="J6939" i="12"/>
  <c r="I6939" i="12"/>
  <c r="H6939" i="12"/>
  <c r="F6939" i="12"/>
  <c r="J6938" i="12"/>
  <c r="I6938" i="12"/>
  <c r="H6938" i="12"/>
  <c r="F6938" i="12"/>
  <c r="J6937" i="12"/>
  <c r="I6937" i="12"/>
  <c r="H6937" i="12"/>
  <c r="F6937" i="12"/>
  <c r="J6936" i="12"/>
  <c r="I6936" i="12"/>
  <c r="H6936" i="12"/>
  <c r="F6936" i="12"/>
  <c r="J6935" i="12"/>
  <c r="I6935" i="12"/>
  <c r="H6935" i="12"/>
  <c r="F6935" i="12"/>
  <c r="J6934" i="12"/>
  <c r="I6934" i="12"/>
  <c r="H6934" i="12"/>
  <c r="F6934" i="12"/>
  <c r="J6933" i="12"/>
  <c r="I6933" i="12"/>
  <c r="H6933" i="12"/>
  <c r="F6933" i="12"/>
  <c r="J6932" i="12"/>
  <c r="I6932" i="12"/>
  <c r="H6932" i="12"/>
  <c r="F6932" i="12"/>
  <c r="J6931" i="12"/>
  <c r="I6931" i="12"/>
  <c r="H6931" i="12"/>
  <c r="F6931" i="12"/>
  <c r="J6930" i="12"/>
  <c r="I6930" i="12"/>
  <c r="H6930" i="12"/>
  <c r="F6930" i="12"/>
  <c r="J6929" i="12"/>
  <c r="I6929" i="12"/>
  <c r="H6929" i="12"/>
  <c r="F6929" i="12"/>
  <c r="J6928" i="12"/>
  <c r="I6928" i="12"/>
  <c r="H6928" i="12"/>
  <c r="F6928" i="12"/>
  <c r="J6927" i="12"/>
  <c r="I6927" i="12"/>
  <c r="H6927" i="12"/>
  <c r="F6927" i="12"/>
  <c r="J6926" i="12"/>
  <c r="I6926" i="12"/>
  <c r="H6926" i="12"/>
  <c r="F6926" i="12"/>
  <c r="J6925" i="12"/>
  <c r="I6925" i="12"/>
  <c r="H6925" i="12"/>
  <c r="F6925" i="12"/>
  <c r="J6924" i="12"/>
  <c r="I6924" i="12"/>
  <c r="H6924" i="12"/>
  <c r="F6924" i="12"/>
  <c r="J6923" i="12"/>
  <c r="I6923" i="12"/>
  <c r="H6923" i="12"/>
  <c r="F6923" i="12"/>
  <c r="J6922" i="12"/>
  <c r="I6922" i="12"/>
  <c r="H6922" i="12"/>
  <c r="F6922" i="12"/>
  <c r="J6921" i="12"/>
  <c r="I6921" i="12"/>
  <c r="H6921" i="12"/>
  <c r="F6921" i="12"/>
  <c r="J6920" i="12"/>
  <c r="I6920" i="12"/>
  <c r="H6920" i="12"/>
  <c r="F6920" i="12"/>
  <c r="J6919" i="12"/>
  <c r="I6919" i="12"/>
  <c r="H6919" i="12"/>
  <c r="F6919" i="12"/>
  <c r="J6918" i="12"/>
  <c r="I6918" i="12"/>
  <c r="H6918" i="12"/>
  <c r="F6918" i="12"/>
  <c r="J6917" i="12"/>
  <c r="I6917" i="12"/>
  <c r="H6917" i="12"/>
  <c r="F6917" i="12"/>
  <c r="J6916" i="12"/>
  <c r="I6916" i="12"/>
  <c r="H6916" i="12"/>
  <c r="F6916" i="12"/>
  <c r="J6915" i="12"/>
  <c r="I6915" i="12"/>
  <c r="H6915" i="12"/>
  <c r="F6915" i="12"/>
  <c r="J6914" i="12"/>
  <c r="I6914" i="12"/>
  <c r="H6914" i="12"/>
  <c r="F6914" i="12"/>
  <c r="J6913" i="12"/>
  <c r="I6913" i="12"/>
  <c r="H6913" i="12"/>
  <c r="F6913" i="12"/>
  <c r="J6912" i="12"/>
  <c r="I6912" i="12"/>
  <c r="H6912" i="12"/>
  <c r="F6912" i="12"/>
  <c r="J6911" i="12"/>
  <c r="I6911" i="12"/>
  <c r="H6911" i="12"/>
  <c r="F6911" i="12"/>
  <c r="J6910" i="12"/>
  <c r="I6910" i="12"/>
  <c r="H6910" i="12"/>
  <c r="F6910" i="12"/>
  <c r="J6909" i="12"/>
  <c r="I6909" i="12"/>
  <c r="H6909" i="12"/>
  <c r="F6909" i="12"/>
  <c r="J6908" i="12"/>
  <c r="I6908" i="12"/>
  <c r="H6908" i="12"/>
  <c r="F6908" i="12"/>
  <c r="J6907" i="12"/>
  <c r="I6907" i="12"/>
  <c r="H6907" i="12"/>
  <c r="F6907" i="12"/>
  <c r="J6906" i="12"/>
  <c r="I6906" i="12"/>
  <c r="H6906" i="12"/>
  <c r="F6906" i="12"/>
  <c r="J6905" i="12"/>
  <c r="I6905" i="12"/>
  <c r="H6905" i="12"/>
  <c r="F6905" i="12"/>
  <c r="J6904" i="12"/>
  <c r="I6904" i="12"/>
  <c r="H6904" i="12"/>
  <c r="F6904" i="12"/>
  <c r="J6903" i="12"/>
  <c r="I6903" i="12"/>
  <c r="H6903" i="12"/>
  <c r="F6903" i="12"/>
  <c r="J6902" i="12"/>
  <c r="I6902" i="12"/>
  <c r="H6902" i="12"/>
  <c r="F6902" i="12"/>
  <c r="J6901" i="12"/>
  <c r="I6901" i="12"/>
  <c r="H6901" i="12"/>
  <c r="F6901" i="12"/>
  <c r="J6900" i="12"/>
  <c r="I6900" i="12"/>
  <c r="H6900" i="12"/>
  <c r="F6900" i="12"/>
  <c r="J6899" i="12"/>
  <c r="I6899" i="12"/>
  <c r="H6899" i="12"/>
  <c r="F6899" i="12"/>
  <c r="J6898" i="12"/>
  <c r="I6898" i="12"/>
  <c r="H6898" i="12"/>
  <c r="F6898" i="12"/>
  <c r="J6897" i="12"/>
  <c r="I6897" i="12"/>
  <c r="H6897" i="12"/>
  <c r="F6897" i="12"/>
  <c r="J6896" i="12"/>
  <c r="I6896" i="12"/>
  <c r="H6896" i="12"/>
  <c r="F6896" i="12"/>
  <c r="J6895" i="12"/>
  <c r="I6895" i="12"/>
  <c r="H6895" i="12"/>
  <c r="F6895" i="12"/>
  <c r="J6894" i="12"/>
  <c r="I6894" i="12"/>
  <c r="H6894" i="12"/>
  <c r="F6894" i="12"/>
  <c r="J6893" i="12"/>
  <c r="I6893" i="12"/>
  <c r="H6893" i="12"/>
  <c r="F6893" i="12"/>
  <c r="J6892" i="12"/>
  <c r="I6892" i="12"/>
  <c r="H6892" i="12"/>
  <c r="F6892" i="12"/>
  <c r="J6891" i="12"/>
  <c r="I6891" i="12"/>
  <c r="H6891" i="12"/>
  <c r="F6891" i="12"/>
  <c r="J6890" i="12"/>
  <c r="I6890" i="12"/>
  <c r="H6890" i="12"/>
  <c r="F6890" i="12"/>
  <c r="J6889" i="12"/>
  <c r="I6889" i="12"/>
  <c r="H6889" i="12"/>
  <c r="F6889" i="12"/>
  <c r="J6888" i="12"/>
  <c r="I6888" i="12"/>
  <c r="H6888" i="12"/>
  <c r="F6888" i="12"/>
  <c r="J6887" i="12"/>
  <c r="I6887" i="12"/>
  <c r="H6887" i="12"/>
  <c r="F6887" i="12"/>
  <c r="J6886" i="12"/>
  <c r="I6886" i="12"/>
  <c r="H6886" i="12"/>
  <c r="F6886" i="12"/>
  <c r="J6885" i="12"/>
  <c r="I6885" i="12"/>
  <c r="H6885" i="12"/>
  <c r="F6885" i="12"/>
  <c r="J6884" i="12"/>
  <c r="I6884" i="12"/>
  <c r="H6884" i="12"/>
  <c r="F6884" i="12"/>
  <c r="J6883" i="12"/>
  <c r="I6883" i="12"/>
  <c r="H6883" i="12"/>
  <c r="F6883" i="12"/>
  <c r="J6882" i="12"/>
  <c r="I6882" i="12"/>
  <c r="H6882" i="12"/>
  <c r="F6882" i="12"/>
  <c r="J6881" i="12"/>
  <c r="I6881" i="12"/>
  <c r="H6881" i="12"/>
  <c r="F6881" i="12"/>
  <c r="J6880" i="12"/>
  <c r="I6880" i="12"/>
  <c r="H6880" i="12"/>
  <c r="F6880" i="12"/>
  <c r="J6879" i="12"/>
  <c r="I6879" i="12"/>
  <c r="H6879" i="12"/>
  <c r="F6879" i="12"/>
  <c r="J6878" i="12"/>
  <c r="I6878" i="12"/>
  <c r="H6878" i="12"/>
  <c r="F6878" i="12"/>
  <c r="J6877" i="12"/>
  <c r="I6877" i="12"/>
  <c r="H6877" i="12"/>
  <c r="F6877" i="12"/>
  <c r="J6876" i="12"/>
  <c r="I6876" i="12"/>
  <c r="H6876" i="12"/>
  <c r="F6876" i="12"/>
  <c r="J6875" i="12"/>
  <c r="I6875" i="12"/>
  <c r="H6875" i="12"/>
  <c r="F6875" i="12"/>
  <c r="J6874" i="12"/>
  <c r="I6874" i="12"/>
  <c r="H6874" i="12"/>
  <c r="F6874" i="12"/>
  <c r="J6873" i="12"/>
  <c r="I6873" i="12"/>
  <c r="H6873" i="12"/>
  <c r="F6873" i="12"/>
  <c r="J6872" i="12"/>
  <c r="I6872" i="12"/>
  <c r="H6872" i="12"/>
  <c r="F6872" i="12"/>
  <c r="J6871" i="12"/>
  <c r="I6871" i="12"/>
  <c r="H6871" i="12"/>
  <c r="F6871" i="12"/>
  <c r="J6870" i="12"/>
  <c r="I6870" i="12"/>
  <c r="H6870" i="12"/>
  <c r="F6870" i="12"/>
  <c r="J6869" i="12"/>
  <c r="I6869" i="12"/>
  <c r="H6869" i="12"/>
  <c r="F6869" i="12"/>
  <c r="J6868" i="12"/>
  <c r="I6868" i="12"/>
  <c r="H6868" i="12"/>
  <c r="F6868" i="12"/>
  <c r="J6867" i="12"/>
  <c r="I6867" i="12"/>
  <c r="H6867" i="12"/>
  <c r="F6867" i="12"/>
  <c r="J6866" i="12"/>
  <c r="I6866" i="12"/>
  <c r="H6866" i="12"/>
  <c r="F6866" i="12"/>
  <c r="J6865" i="12"/>
  <c r="I6865" i="12"/>
  <c r="H6865" i="12"/>
  <c r="F6865" i="12"/>
  <c r="J6864" i="12"/>
  <c r="I6864" i="12"/>
  <c r="H6864" i="12"/>
  <c r="F6864" i="12"/>
  <c r="J6863" i="12"/>
  <c r="I6863" i="12"/>
  <c r="H6863" i="12"/>
  <c r="F6863" i="12"/>
  <c r="J6862" i="12"/>
  <c r="I6862" i="12"/>
  <c r="H6862" i="12"/>
  <c r="F6862" i="12"/>
  <c r="J6861" i="12"/>
  <c r="I6861" i="12"/>
  <c r="H6861" i="12"/>
  <c r="F6861" i="12"/>
  <c r="J6860" i="12"/>
  <c r="I6860" i="12"/>
  <c r="H6860" i="12"/>
  <c r="F6860" i="12"/>
  <c r="J6859" i="12"/>
  <c r="I6859" i="12"/>
  <c r="H6859" i="12"/>
  <c r="F6859" i="12"/>
  <c r="J6858" i="12"/>
  <c r="I6858" i="12"/>
  <c r="H6858" i="12"/>
  <c r="F6858" i="12"/>
  <c r="J6857" i="12"/>
  <c r="I6857" i="12"/>
  <c r="H6857" i="12"/>
  <c r="F6857" i="12"/>
  <c r="J6856" i="12"/>
  <c r="I6856" i="12"/>
  <c r="H6856" i="12"/>
  <c r="F6856" i="12"/>
  <c r="J6855" i="12"/>
  <c r="I6855" i="12"/>
  <c r="H6855" i="12"/>
  <c r="F6855" i="12"/>
  <c r="J6854" i="12"/>
  <c r="I6854" i="12"/>
  <c r="H6854" i="12"/>
  <c r="F6854" i="12"/>
  <c r="J6853" i="12"/>
  <c r="I6853" i="12"/>
  <c r="H6853" i="12"/>
  <c r="F6853" i="12"/>
  <c r="J6852" i="12"/>
  <c r="I6852" i="12"/>
  <c r="H6852" i="12"/>
  <c r="F6852" i="12"/>
  <c r="J6851" i="12"/>
  <c r="I6851" i="12"/>
  <c r="H6851" i="12"/>
  <c r="F6851" i="12"/>
  <c r="J6850" i="12"/>
  <c r="I6850" i="12"/>
  <c r="H6850" i="12"/>
  <c r="F6850" i="12"/>
  <c r="J6849" i="12"/>
  <c r="I6849" i="12"/>
  <c r="H6849" i="12"/>
  <c r="F6849" i="12"/>
  <c r="J6848" i="12"/>
  <c r="I6848" i="12"/>
  <c r="H6848" i="12"/>
  <c r="F6848" i="12"/>
  <c r="J6847" i="12"/>
  <c r="I6847" i="12"/>
  <c r="H6847" i="12"/>
  <c r="F6847" i="12"/>
  <c r="J6846" i="12"/>
  <c r="I6846" i="12"/>
  <c r="H6846" i="12"/>
  <c r="F6846" i="12"/>
  <c r="J6845" i="12"/>
  <c r="I6845" i="12"/>
  <c r="H6845" i="12"/>
  <c r="F6845" i="12"/>
  <c r="J6844" i="12"/>
  <c r="I6844" i="12"/>
  <c r="H6844" i="12"/>
  <c r="F6844" i="12"/>
  <c r="J6843" i="12"/>
  <c r="I6843" i="12"/>
  <c r="H6843" i="12"/>
  <c r="F6843" i="12"/>
  <c r="J6842" i="12"/>
  <c r="I6842" i="12"/>
  <c r="H6842" i="12"/>
  <c r="F6842" i="12"/>
  <c r="J6841" i="12"/>
  <c r="I6841" i="12"/>
  <c r="H6841" i="12"/>
  <c r="F6841" i="12"/>
  <c r="J6840" i="12"/>
  <c r="I6840" i="12"/>
  <c r="H6840" i="12"/>
  <c r="F6840" i="12"/>
  <c r="J6839" i="12"/>
  <c r="I6839" i="12"/>
  <c r="H6839" i="12"/>
  <c r="F6839" i="12"/>
  <c r="J6838" i="12"/>
  <c r="I6838" i="12"/>
  <c r="H6838" i="12"/>
  <c r="F6838" i="12"/>
  <c r="J6837" i="12"/>
  <c r="I6837" i="12"/>
  <c r="H6837" i="12"/>
  <c r="F6837" i="12"/>
  <c r="J6836" i="12"/>
  <c r="I6836" i="12"/>
  <c r="H6836" i="12"/>
  <c r="F6836" i="12"/>
  <c r="J6835" i="12"/>
  <c r="I6835" i="12"/>
  <c r="H6835" i="12"/>
  <c r="F6835" i="12"/>
  <c r="J6834" i="12"/>
  <c r="I6834" i="12"/>
  <c r="H6834" i="12"/>
  <c r="F6834" i="12"/>
  <c r="J6833" i="12"/>
  <c r="I6833" i="12"/>
  <c r="H6833" i="12"/>
  <c r="F6833" i="12"/>
  <c r="J6832" i="12"/>
  <c r="I6832" i="12"/>
  <c r="H6832" i="12"/>
  <c r="F6832" i="12"/>
  <c r="J6831" i="12"/>
  <c r="I6831" i="12"/>
  <c r="H6831" i="12"/>
  <c r="F6831" i="12"/>
  <c r="J6830" i="12"/>
  <c r="I6830" i="12"/>
  <c r="H6830" i="12"/>
  <c r="F6830" i="12"/>
  <c r="J6829" i="12"/>
  <c r="I6829" i="12"/>
  <c r="H6829" i="12"/>
  <c r="F6829" i="12"/>
  <c r="J6828" i="12"/>
  <c r="I6828" i="12"/>
  <c r="H6828" i="12"/>
  <c r="F6828" i="12"/>
  <c r="J6827" i="12"/>
  <c r="I6827" i="12"/>
  <c r="H6827" i="12"/>
  <c r="F6827" i="12"/>
  <c r="J6826" i="12"/>
  <c r="I6826" i="12"/>
  <c r="H6826" i="12"/>
  <c r="F6826" i="12"/>
  <c r="J6825" i="12"/>
  <c r="I6825" i="12"/>
  <c r="H6825" i="12"/>
  <c r="F6825" i="12"/>
  <c r="J6824" i="12"/>
  <c r="I6824" i="12"/>
  <c r="H6824" i="12"/>
  <c r="F6824" i="12"/>
  <c r="J6823" i="12"/>
  <c r="I6823" i="12"/>
  <c r="H6823" i="12"/>
  <c r="F6823" i="12"/>
  <c r="J6822" i="12"/>
  <c r="I6822" i="12"/>
  <c r="H6822" i="12"/>
  <c r="F6822" i="12"/>
  <c r="J6821" i="12"/>
  <c r="I6821" i="12"/>
  <c r="H6821" i="12"/>
  <c r="F6821" i="12"/>
  <c r="J6820" i="12"/>
  <c r="I6820" i="12"/>
  <c r="H6820" i="12"/>
  <c r="F6820" i="12"/>
  <c r="J6819" i="12"/>
  <c r="I6819" i="12"/>
  <c r="H6819" i="12"/>
  <c r="F6819" i="12"/>
  <c r="J6818" i="12"/>
  <c r="I6818" i="12"/>
  <c r="H6818" i="12"/>
  <c r="F6818" i="12"/>
  <c r="J6817" i="12"/>
  <c r="I6817" i="12"/>
  <c r="H6817" i="12"/>
  <c r="F6817" i="12"/>
  <c r="J6816" i="12"/>
  <c r="I6816" i="12"/>
  <c r="H6816" i="12"/>
  <c r="F6816" i="12"/>
  <c r="J6815" i="12"/>
  <c r="I6815" i="12"/>
  <c r="H6815" i="12"/>
  <c r="F6815" i="12"/>
  <c r="J6814" i="12"/>
  <c r="I6814" i="12"/>
  <c r="H6814" i="12"/>
  <c r="F6814" i="12"/>
  <c r="J6813" i="12"/>
  <c r="I6813" i="12"/>
  <c r="H6813" i="12"/>
  <c r="F6813" i="12"/>
  <c r="J6812" i="12"/>
  <c r="I6812" i="12"/>
  <c r="H6812" i="12"/>
  <c r="F6812" i="12"/>
  <c r="J6811" i="12"/>
  <c r="I6811" i="12"/>
  <c r="H6811" i="12"/>
  <c r="F6811" i="12"/>
  <c r="J6810" i="12"/>
  <c r="I6810" i="12"/>
  <c r="H6810" i="12"/>
  <c r="F6810" i="12"/>
  <c r="J6809" i="12"/>
  <c r="I6809" i="12"/>
  <c r="H6809" i="12"/>
  <c r="F6809" i="12"/>
  <c r="J6808" i="12"/>
  <c r="I6808" i="12"/>
  <c r="H6808" i="12"/>
  <c r="F6808" i="12"/>
  <c r="J6807" i="12"/>
  <c r="I6807" i="12"/>
  <c r="H6807" i="12"/>
  <c r="F6807" i="12"/>
  <c r="J6806" i="12"/>
  <c r="I6806" i="12"/>
  <c r="H6806" i="12"/>
  <c r="F6806" i="12"/>
  <c r="J6805" i="12"/>
  <c r="I6805" i="12"/>
  <c r="H6805" i="12"/>
  <c r="F6805" i="12"/>
  <c r="J6804" i="12"/>
  <c r="I6804" i="12"/>
  <c r="H6804" i="12"/>
  <c r="F6804" i="12"/>
  <c r="J6803" i="12"/>
  <c r="I6803" i="12"/>
  <c r="H6803" i="12"/>
  <c r="F6803" i="12"/>
  <c r="J6802" i="12"/>
  <c r="I6802" i="12"/>
  <c r="H6802" i="12"/>
  <c r="F6802" i="12"/>
  <c r="J6801" i="12"/>
  <c r="I6801" i="12"/>
  <c r="H6801" i="12"/>
  <c r="F6801" i="12"/>
  <c r="J6800" i="12"/>
  <c r="I6800" i="12"/>
  <c r="H6800" i="12"/>
  <c r="F6800" i="12"/>
  <c r="J6799" i="12"/>
  <c r="I6799" i="12"/>
  <c r="H6799" i="12"/>
  <c r="F6799" i="12"/>
  <c r="J6798" i="12"/>
  <c r="I6798" i="12"/>
  <c r="H6798" i="12"/>
  <c r="F6798" i="12"/>
  <c r="J6797" i="12"/>
  <c r="I6797" i="12"/>
  <c r="H6797" i="12"/>
  <c r="F6797" i="12"/>
  <c r="J6796" i="12"/>
  <c r="I6796" i="12"/>
  <c r="H6796" i="12"/>
  <c r="F6796" i="12"/>
  <c r="J6795" i="12"/>
  <c r="I6795" i="12"/>
  <c r="H6795" i="12"/>
  <c r="F6795" i="12"/>
  <c r="J6794" i="12"/>
  <c r="I6794" i="12"/>
  <c r="H6794" i="12"/>
  <c r="F6794" i="12"/>
  <c r="J6793" i="12"/>
  <c r="I6793" i="12"/>
  <c r="H6793" i="12"/>
  <c r="F6793" i="12"/>
  <c r="J6792" i="12"/>
  <c r="I6792" i="12"/>
  <c r="H6792" i="12"/>
  <c r="F6792" i="12"/>
  <c r="J6791" i="12"/>
  <c r="I6791" i="12"/>
  <c r="H6791" i="12"/>
  <c r="F6791" i="12"/>
  <c r="J6790" i="12"/>
  <c r="I6790" i="12"/>
  <c r="H6790" i="12"/>
  <c r="F6790" i="12"/>
  <c r="J6789" i="12"/>
  <c r="I6789" i="12"/>
  <c r="H6789" i="12"/>
  <c r="F6789" i="12"/>
  <c r="J6788" i="12"/>
  <c r="I6788" i="12"/>
  <c r="H6788" i="12"/>
  <c r="F6788" i="12"/>
  <c r="J6787" i="12"/>
  <c r="I6787" i="12"/>
  <c r="H6787" i="12"/>
  <c r="F6787" i="12"/>
  <c r="J6786" i="12"/>
  <c r="I6786" i="12"/>
  <c r="H6786" i="12"/>
  <c r="F6786" i="12"/>
  <c r="J6785" i="12"/>
  <c r="I6785" i="12"/>
  <c r="H6785" i="12"/>
  <c r="F6785" i="12"/>
  <c r="J6784" i="12"/>
  <c r="I6784" i="12"/>
  <c r="H6784" i="12"/>
  <c r="F6784" i="12"/>
  <c r="J6783" i="12"/>
  <c r="I6783" i="12"/>
  <c r="H6783" i="12"/>
  <c r="F6783" i="12"/>
  <c r="J6782" i="12"/>
  <c r="I6782" i="12"/>
  <c r="H6782" i="12"/>
  <c r="F6782" i="12"/>
  <c r="J6781" i="12"/>
  <c r="I6781" i="12"/>
  <c r="H6781" i="12"/>
  <c r="F6781" i="12"/>
  <c r="J6780" i="12"/>
  <c r="I6780" i="12"/>
  <c r="H6780" i="12"/>
  <c r="F6780" i="12"/>
  <c r="J6779" i="12"/>
  <c r="I6779" i="12"/>
  <c r="H6779" i="12"/>
  <c r="F6779" i="12"/>
  <c r="J6778" i="12"/>
  <c r="I6778" i="12"/>
  <c r="H6778" i="12"/>
  <c r="F6778" i="12"/>
  <c r="J6777" i="12"/>
  <c r="I6777" i="12"/>
  <c r="H6777" i="12"/>
  <c r="F6777" i="12"/>
  <c r="J6776" i="12"/>
  <c r="I6776" i="12"/>
  <c r="H6776" i="12"/>
  <c r="F6776" i="12"/>
  <c r="J6775" i="12"/>
  <c r="I6775" i="12"/>
  <c r="H6775" i="12"/>
  <c r="F6775" i="12"/>
  <c r="J6774" i="12"/>
  <c r="I6774" i="12"/>
  <c r="H6774" i="12"/>
  <c r="F6774" i="12"/>
  <c r="J6773" i="12"/>
  <c r="I6773" i="12"/>
  <c r="H6773" i="12"/>
  <c r="F6773" i="12"/>
  <c r="J6772" i="12"/>
  <c r="I6772" i="12"/>
  <c r="H6772" i="12"/>
  <c r="F6772" i="12"/>
  <c r="J6771" i="12"/>
  <c r="I6771" i="12"/>
  <c r="H6771" i="12"/>
  <c r="F6771" i="12"/>
  <c r="J6770" i="12"/>
  <c r="I6770" i="12"/>
  <c r="H6770" i="12"/>
  <c r="F6770" i="12"/>
  <c r="J6769" i="12"/>
  <c r="I6769" i="12"/>
  <c r="H6769" i="12"/>
  <c r="F6769" i="12"/>
  <c r="J6768" i="12"/>
  <c r="I6768" i="12"/>
  <c r="H6768" i="12"/>
  <c r="F6768" i="12"/>
  <c r="J6767" i="12"/>
  <c r="I6767" i="12"/>
  <c r="H6767" i="12"/>
  <c r="F6767" i="12"/>
  <c r="J6766" i="12"/>
  <c r="I6766" i="12"/>
  <c r="H6766" i="12"/>
  <c r="F6766" i="12"/>
  <c r="J6765" i="12"/>
  <c r="I6765" i="12"/>
  <c r="H6765" i="12"/>
  <c r="F6765" i="12"/>
  <c r="J6764" i="12"/>
  <c r="I6764" i="12"/>
  <c r="H6764" i="12"/>
  <c r="F6764" i="12"/>
  <c r="J6763" i="12"/>
  <c r="I6763" i="12"/>
  <c r="H6763" i="12"/>
  <c r="F6763" i="12"/>
  <c r="J6762" i="12"/>
  <c r="I6762" i="12"/>
  <c r="H6762" i="12"/>
  <c r="F6762" i="12"/>
  <c r="J6761" i="12"/>
  <c r="I6761" i="12"/>
  <c r="H6761" i="12"/>
  <c r="F6761" i="12"/>
  <c r="J6760" i="12"/>
  <c r="I6760" i="12"/>
  <c r="H6760" i="12"/>
  <c r="F6760" i="12"/>
  <c r="J6759" i="12"/>
  <c r="I6759" i="12"/>
  <c r="H6759" i="12"/>
  <c r="F6759" i="12"/>
  <c r="J6758" i="12"/>
  <c r="I6758" i="12"/>
  <c r="H6758" i="12"/>
  <c r="F6758" i="12"/>
  <c r="J6757" i="12"/>
  <c r="I6757" i="12"/>
  <c r="H6757" i="12"/>
  <c r="F6757" i="12"/>
  <c r="J6756" i="12"/>
  <c r="I6756" i="12"/>
  <c r="H6756" i="12"/>
  <c r="F6756" i="12"/>
  <c r="J6755" i="12"/>
  <c r="I6755" i="12"/>
  <c r="H6755" i="12"/>
  <c r="F6755" i="12"/>
  <c r="J6754" i="12"/>
  <c r="I6754" i="12"/>
  <c r="H6754" i="12"/>
  <c r="F6754" i="12"/>
  <c r="J6753" i="12"/>
  <c r="I6753" i="12"/>
  <c r="H6753" i="12"/>
  <c r="F6753" i="12"/>
  <c r="J6752" i="12"/>
  <c r="I6752" i="12"/>
  <c r="H6752" i="12"/>
  <c r="F6752" i="12"/>
  <c r="J6751" i="12"/>
  <c r="I6751" i="12"/>
  <c r="H6751" i="12"/>
  <c r="F6751" i="12"/>
  <c r="J6750" i="12"/>
  <c r="I6750" i="12"/>
  <c r="H6750" i="12"/>
  <c r="F6750" i="12"/>
  <c r="J6749" i="12"/>
  <c r="I6749" i="12"/>
  <c r="H6749" i="12"/>
  <c r="F6749" i="12"/>
  <c r="J6748" i="12"/>
  <c r="I6748" i="12"/>
  <c r="H6748" i="12"/>
  <c r="F6748" i="12"/>
  <c r="J6747" i="12"/>
  <c r="I6747" i="12"/>
  <c r="H6747" i="12"/>
  <c r="F6747" i="12"/>
  <c r="J6746" i="12"/>
  <c r="I6746" i="12"/>
  <c r="H6746" i="12"/>
  <c r="F6746" i="12"/>
  <c r="J6745" i="12"/>
  <c r="I6745" i="12"/>
  <c r="H6745" i="12"/>
  <c r="F6745" i="12"/>
  <c r="J6744" i="12"/>
  <c r="I6744" i="12"/>
  <c r="H6744" i="12"/>
  <c r="F6744" i="12"/>
  <c r="J6743" i="12"/>
  <c r="I6743" i="12"/>
  <c r="H6743" i="12"/>
  <c r="F6743" i="12"/>
  <c r="J6742" i="12"/>
  <c r="I6742" i="12"/>
  <c r="H6742" i="12"/>
  <c r="F6742" i="12"/>
  <c r="J6741" i="12"/>
  <c r="I6741" i="12"/>
  <c r="H6741" i="12"/>
  <c r="F6741" i="12"/>
  <c r="J6740" i="12"/>
  <c r="I6740" i="12"/>
  <c r="H6740" i="12"/>
  <c r="F6740" i="12"/>
  <c r="J6739" i="12"/>
  <c r="I6739" i="12"/>
  <c r="H6739" i="12"/>
  <c r="F6739" i="12"/>
  <c r="J6738" i="12"/>
  <c r="I6738" i="12"/>
  <c r="H6738" i="12"/>
  <c r="F6738" i="12"/>
  <c r="J6737" i="12"/>
  <c r="I6737" i="12"/>
  <c r="H6737" i="12"/>
  <c r="F6737" i="12"/>
  <c r="J6736" i="12"/>
  <c r="I6736" i="12"/>
  <c r="H6736" i="12"/>
  <c r="F6736" i="12"/>
  <c r="J6735" i="12"/>
  <c r="I6735" i="12"/>
  <c r="H6735" i="12"/>
  <c r="F6735" i="12"/>
  <c r="J6734" i="12"/>
  <c r="I6734" i="12"/>
  <c r="H6734" i="12"/>
  <c r="F6734" i="12"/>
  <c r="J6733" i="12"/>
  <c r="I6733" i="12"/>
  <c r="H6733" i="12"/>
  <c r="F6733" i="12"/>
  <c r="J6732" i="12"/>
  <c r="I6732" i="12"/>
  <c r="H6732" i="12"/>
  <c r="F6732" i="12"/>
  <c r="J6731" i="12"/>
  <c r="I6731" i="12"/>
  <c r="H6731" i="12"/>
  <c r="F6731" i="12"/>
  <c r="J6730" i="12"/>
  <c r="I6730" i="12"/>
  <c r="H6730" i="12"/>
  <c r="F6730" i="12"/>
  <c r="J6729" i="12"/>
  <c r="I6729" i="12"/>
  <c r="H6729" i="12"/>
  <c r="F6729" i="12"/>
  <c r="J6728" i="12"/>
  <c r="I6728" i="12"/>
  <c r="H6728" i="12"/>
  <c r="F6728" i="12"/>
  <c r="J6727" i="12"/>
  <c r="I6727" i="12"/>
  <c r="H6727" i="12"/>
  <c r="F6727" i="12"/>
  <c r="J6726" i="12"/>
  <c r="I6726" i="12"/>
  <c r="H6726" i="12"/>
  <c r="F6726" i="12"/>
  <c r="J6725" i="12"/>
  <c r="I6725" i="12"/>
  <c r="H6725" i="12"/>
  <c r="F6725" i="12"/>
  <c r="J6724" i="12"/>
  <c r="I6724" i="12"/>
  <c r="H6724" i="12"/>
  <c r="F6724" i="12"/>
  <c r="J6723" i="12"/>
  <c r="I6723" i="12"/>
  <c r="H6723" i="12"/>
  <c r="F6723" i="12"/>
  <c r="J6722" i="12"/>
  <c r="I6722" i="12"/>
  <c r="H6722" i="12"/>
  <c r="F6722" i="12"/>
  <c r="J6721" i="12"/>
  <c r="I6721" i="12"/>
  <c r="H6721" i="12"/>
  <c r="F6721" i="12"/>
  <c r="J6720" i="12"/>
  <c r="I6720" i="12"/>
  <c r="H6720" i="12"/>
  <c r="F6720" i="12"/>
  <c r="J6719" i="12"/>
  <c r="I6719" i="12"/>
  <c r="H6719" i="12"/>
  <c r="F6719" i="12"/>
  <c r="J6718" i="12"/>
  <c r="I6718" i="12"/>
  <c r="H6718" i="12"/>
  <c r="F6718" i="12"/>
  <c r="J6717" i="12"/>
  <c r="I6717" i="12"/>
  <c r="H6717" i="12"/>
  <c r="F6717" i="12"/>
  <c r="J6716" i="12"/>
  <c r="I6716" i="12"/>
  <c r="H6716" i="12"/>
  <c r="F6716" i="12"/>
  <c r="J6715" i="12"/>
  <c r="I6715" i="12"/>
  <c r="H6715" i="12"/>
  <c r="F6715" i="12"/>
  <c r="J6714" i="12"/>
  <c r="I6714" i="12"/>
  <c r="H6714" i="12"/>
  <c r="F6714" i="12"/>
  <c r="J6713" i="12"/>
  <c r="I6713" i="12"/>
  <c r="H6713" i="12"/>
  <c r="F6713" i="12"/>
  <c r="J6712" i="12"/>
  <c r="I6712" i="12"/>
  <c r="H6712" i="12"/>
  <c r="F6712" i="12"/>
  <c r="J6711" i="12"/>
  <c r="I6711" i="12"/>
  <c r="H6711" i="12"/>
  <c r="F6711" i="12"/>
  <c r="J6710" i="12"/>
  <c r="I6710" i="12"/>
  <c r="H6710" i="12"/>
  <c r="F6710" i="12"/>
  <c r="J6709" i="12"/>
  <c r="I6709" i="12"/>
  <c r="H6709" i="12"/>
  <c r="F6709" i="12"/>
  <c r="J6708" i="12"/>
  <c r="I6708" i="12"/>
  <c r="H6708" i="12"/>
  <c r="F6708" i="12"/>
  <c r="J6707" i="12"/>
  <c r="I6707" i="12"/>
  <c r="H6707" i="12"/>
  <c r="F6707" i="12"/>
  <c r="J6706" i="12"/>
  <c r="I6706" i="12"/>
  <c r="H6706" i="12"/>
  <c r="F6706" i="12"/>
  <c r="J6705" i="12"/>
  <c r="I6705" i="12"/>
  <c r="H6705" i="12"/>
  <c r="F6705" i="12"/>
  <c r="J6704" i="12"/>
  <c r="I6704" i="12"/>
  <c r="H6704" i="12"/>
  <c r="F6704" i="12"/>
  <c r="J6703" i="12"/>
  <c r="I6703" i="12"/>
  <c r="H6703" i="12"/>
  <c r="F6703" i="12"/>
  <c r="J6702" i="12"/>
  <c r="I6702" i="12"/>
  <c r="H6702" i="12"/>
  <c r="F6702" i="12"/>
  <c r="J6701" i="12"/>
  <c r="I6701" i="12"/>
  <c r="H6701" i="12"/>
  <c r="F6701" i="12"/>
  <c r="J6700" i="12"/>
  <c r="I6700" i="12"/>
  <c r="H6700" i="12"/>
  <c r="F6700" i="12"/>
  <c r="J6699" i="12"/>
  <c r="I6699" i="12"/>
  <c r="H6699" i="12"/>
  <c r="F6699" i="12"/>
  <c r="J6698" i="12"/>
  <c r="I6698" i="12"/>
  <c r="H6698" i="12"/>
  <c r="F6698" i="12"/>
  <c r="J6697" i="12"/>
  <c r="I6697" i="12"/>
  <c r="H6697" i="12"/>
  <c r="F6697" i="12"/>
  <c r="J6696" i="12"/>
  <c r="I6696" i="12"/>
  <c r="H6696" i="12"/>
  <c r="F6696" i="12"/>
  <c r="J6695" i="12"/>
  <c r="I6695" i="12"/>
  <c r="H6695" i="12"/>
  <c r="F6695" i="12"/>
  <c r="J6694" i="12"/>
  <c r="I6694" i="12"/>
  <c r="H6694" i="12"/>
  <c r="F6694" i="12"/>
  <c r="J6693" i="12"/>
  <c r="I6693" i="12"/>
  <c r="H6693" i="12"/>
  <c r="F6693" i="12"/>
  <c r="J6692" i="12"/>
  <c r="I6692" i="12"/>
  <c r="H6692" i="12"/>
  <c r="F6692" i="12"/>
  <c r="J6691" i="12"/>
  <c r="I6691" i="12"/>
  <c r="H6691" i="12"/>
  <c r="F6691" i="12"/>
  <c r="J6690" i="12"/>
  <c r="I6690" i="12"/>
  <c r="H6690" i="12"/>
  <c r="F6690" i="12"/>
  <c r="J6689" i="12"/>
  <c r="I6689" i="12"/>
  <c r="H6689" i="12"/>
  <c r="F6689" i="12"/>
  <c r="J6688" i="12"/>
  <c r="I6688" i="12"/>
  <c r="H6688" i="12"/>
  <c r="F6688" i="12"/>
  <c r="J6687" i="12"/>
  <c r="I6687" i="12"/>
  <c r="H6687" i="12"/>
  <c r="F6687" i="12"/>
  <c r="J6686" i="12"/>
  <c r="I6686" i="12"/>
  <c r="H6686" i="12"/>
  <c r="F6686" i="12"/>
  <c r="J6685" i="12"/>
  <c r="I6685" i="12"/>
  <c r="H6685" i="12"/>
  <c r="F6685" i="12"/>
  <c r="J6684" i="12"/>
  <c r="I6684" i="12"/>
  <c r="H6684" i="12"/>
  <c r="F6684" i="12"/>
  <c r="J6683" i="12"/>
  <c r="I6683" i="12"/>
  <c r="H6683" i="12"/>
  <c r="F6683" i="12"/>
  <c r="J6682" i="12"/>
  <c r="I6682" i="12"/>
  <c r="H6682" i="12"/>
  <c r="F6682" i="12"/>
  <c r="J6681" i="12"/>
  <c r="I6681" i="12"/>
  <c r="H6681" i="12"/>
  <c r="F6681" i="12"/>
  <c r="J6680" i="12"/>
  <c r="I6680" i="12"/>
  <c r="H6680" i="12"/>
  <c r="F6680" i="12"/>
  <c r="J6679" i="12"/>
  <c r="I6679" i="12"/>
  <c r="H6679" i="12"/>
  <c r="F6679" i="12"/>
  <c r="J6678" i="12"/>
  <c r="I6678" i="12"/>
  <c r="H6678" i="12"/>
  <c r="F6678" i="12"/>
  <c r="J6677" i="12"/>
  <c r="I6677" i="12"/>
  <c r="H6677" i="12"/>
  <c r="F6677" i="12"/>
  <c r="J6676" i="12"/>
  <c r="I6676" i="12"/>
  <c r="H6676" i="12"/>
  <c r="F6676" i="12"/>
  <c r="J6675" i="12"/>
  <c r="I6675" i="12"/>
  <c r="H6675" i="12"/>
  <c r="F6675" i="12"/>
  <c r="J6674" i="12"/>
  <c r="I6674" i="12"/>
  <c r="H6674" i="12"/>
  <c r="F6674" i="12"/>
  <c r="J6673" i="12"/>
  <c r="I6673" i="12"/>
  <c r="H6673" i="12"/>
  <c r="F6673" i="12"/>
  <c r="J6672" i="12"/>
  <c r="I6672" i="12"/>
  <c r="H6672" i="12"/>
  <c r="F6672" i="12"/>
  <c r="J6671" i="12"/>
  <c r="I6671" i="12"/>
  <c r="H6671" i="12"/>
  <c r="F6671" i="12"/>
  <c r="J6670" i="12"/>
  <c r="I6670" i="12"/>
  <c r="H6670" i="12"/>
  <c r="F6670" i="12"/>
  <c r="J6669" i="12"/>
  <c r="I6669" i="12"/>
  <c r="H6669" i="12"/>
  <c r="F6669" i="12"/>
  <c r="J6668" i="12"/>
  <c r="I6668" i="12"/>
  <c r="H6668" i="12"/>
  <c r="F6668" i="12"/>
  <c r="J6667" i="12"/>
  <c r="I6667" i="12"/>
  <c r="H6667" i="12"/>
  <c r="F6667" i="12"/>
  <c r="J6666" i="12"/>
  <c r="I6666" i="12"/>
  <c r="H6666" i="12"/>
  <c r="F6666" i="12"/>
  <c r="J6665" i="12"/>
  <c r="I6665" i="12"/>
  <c r="H6665" i="12"/>
  <c r="F6665" i="12"/>
  <c r="J6664" i="12"/>
  <c r="I6664" i="12"/>
  <c r="H6664" i="12"/>
  <c r="F6664" i="12"/>
  <c r="J6663" i="12"/>
  <c r="I6663" i="12"/>
  <c r="H6663" i="12"/>
  <c r="F6663" i="12"/>
  <c r="J6662" i="12"/>
  <c r="I6662" i="12"/>
  <c r="H6662" i="12"/>
  <c r="F6662" i="12"/>
  <c r="J6661" i="12"/>
  <c r="I6661" i="12"/>
  <c r="H6661" i="12"/>
  <c r="F6661" i="12"/>
  <c r="J6660" i="12"/>
  <c r="I6660" i="12"/>
  <c r="H6660" i="12"/>
  <c r="F6660" i="12"/>
  <c r="J6659" i="12"/>
  <c r="I6659" i="12"/>
  <c r="H6659" i="12"/>
  <c r="F6659" i="12"/>
  <c r="J6658" i="12"/>
  <c r="I6658" i="12"/>
  <c r="H6658" i="12"/>
  <c r="F6658" i="12"/>
  <c r="J6657" i="12"/>
  <c r="I6657" i="12"/>
  <c r="H6657" i="12"/>
  <c r="F6657" i="12"/>
  <c r="J6656" i="12"/>
  <c r="I6656" i="12"/>
  <c r="H6656" i="12"/>
  <c r="F6656" i="12"/>
  <c r="J6655" i="12"/>
  <c r="I6655" i="12"/>
  <c r="H6655" i="12"/>
  <c r="F6655" i="12"/>
  <c r="J6654" i="12"/>
  <c r="I6654" i="12"/>
  <c r="H6654" i="12"/>
  <c r="F6654" i="12"/>
  <c r="J6653" i="12"/>
  <c r="I6653" i="12"/>
  <c r="H6653" i="12"/>
  <c r="F6653" i="12"/>
  <c r="J6652" i="12"/>
  <c r="I6652" i="12"/>
  <c r="H6652" i="12"/>
  <c r="F6652" i="12"/>
  <c r="J6651" i="12"/>
  <c r="I6651" i="12"/>
  <c r="H6651" i="12"/>
  <c r="F6651" i="12"/>
  <c r="J6650" i="12"/>
  <c r="I6650" i="12"/>
  <c r="H6650" i="12"/>
  <c r="F6650" i="12"/>
  <c r="J6649" i="12"/>
  <c r="I6649" i="12"/>
  <c r="H6649" i="12"/>
  <c r="F6649" i="12"/>
  <c r="J6648" i="12"/>
  <c r="I6648" i="12"/>
  <c r="H6648" i="12"/>
  <c r="F6648" i="12"/>
  <c r="J6647" i="12"/>
  <c r="I6647" i="12"/>
  <c r="H6647" i="12"/>
  <c r="F6647" i="12"/>
  <c r="J6646" i="12"/>
  <c r="I6646" i="12"/>
  <c r="H6646" i="12"/>
  <c r="F6646" i="12"/>
  <c r="J6645" i="12"/>
  <c r="I6645" i="12"/>
  <c r="H6645" i="12"/>
  <c r="F6645" i="12"/>
  <c r="J6644" i="12"/>
  <c r="I6644" i="12"/>
  <c r="H6644" i="12"/>
  <c r="F6644" i="12"/>
  <c r="J6643" i="12"/>
  <c r="I6643" i="12"/>
  <c r="H6643" i="12"/>
  <c r="F6643" i="12"/>
  <c r="J6642" i="12"/>
  <c r="I6642" i="12"/>
  <c r="H6642" i="12"/>
  <c r="F6642" i="12"/>
  <c r="J6641" i="12"/>
  <c r="I6641" i="12"/>
  <c r="H6641" i="12"/>
  <c r="F6641" i="12"/>
  <c r="J6640" i="12"/>
  <c r="I6640" i="12"/>
  <c r="H6640" i="12"/>
  <c r="F6640" i="12"/>
  <c r="J6639" i="12"/>
  <c r="I6639" i="12"/>
  <c r="H6639" i="12"/>
  <c r="F6639" i="12"/>
  <c r="J6638" i="12"/>
  <c r="I6638" i="12"/>
  <c r="H6638" i="12"/>
  <c r="F6638" i="12"/>
  <c r="J6637" i="12"/>
  <c r="I6637" i="12"/>
  <c r="H6637" i="12"/>
  <c r="F6637" i="12"/>
  <c r="J6636" i="12"/>
  <c r="I6636" i="12"/>
  <c r="H6636" i="12"/>
  <c r="F6636" i="12"/>
  <c r="J6635" i="12"/>
  <c r="I6635" i="12"/>
  <c r="H6635" i="12"/>
  <c r="F6635" i="12"/>
  <c r="J6634" i="12"/>
  <c r="I6634" i="12"/>
  <c r="H6634" i="12"/>
  <c r="F6634" i="12"/>
  <c r="J6633" i="12"/>
  <c r="I6633" i="12"/>
  <c r="H6633" i="12"/>
  <c r="F6633" i="12"/>
  <c r="J6632" i="12"/>
  <c r="I6632" i="12"/>
  <c r="H6632" i="12"/>
  <c r="F6632" i="12"/>
  <c r="J6631" i="12"/>
  <c r="I6631" i="12"/>
  <c r="H6631" i="12"/>
  <c r="F6631" i="12"/>
  <c r="J6630" i="12"/>
  <c r="I6630" i="12"/>
  <c r="H6630" i="12"/>
  <c r="F6630" i="12"/>
  <c r="J6629" i="12"/>
  <c r="I6629" i="12"/>
  <c r="H6629" i="12"/>
  <c r="F6629" i="12"/>
  <c r="J6628" i="12"/>
  <c r="I6628" i="12"/>
  <c r="H6628" i="12"/>
  <c r="F6628" i="12"/>
  <c r="J6627" i="12"/>
  <c r="I6627" i="12"/>
  <c r="H6627" i="12"/>
  <c r="F6627" i="12"/>
  <c r="J6626" i="12"/>
  <c r="I6626" i="12"/>
  <c r="H6626" i="12"/>
  <c r="F6626" i="12"/>
  <c r="J6625" i="12"/>
  <c r="I6625" i="12"/>
  <c r="H6625" i="12"/>
  <c r="F6625" i="12"/>
  <c r="J6624" i="12"/>
  <c r="I6624" i="12"/>
  <c r="H6624" i="12"/>
  <c r="F6624" i="12"/>
  <c r="J6623" i="12"/>
  <c r="I6623" i="12"/>
  <c r="H6623" i="12"/>
  <c r="F6623" i="12"/>
  <c r="J6622" i="12"/>
  <c r="I6622" i="12"/>
  <c r="H6622" i="12"/>
  <c r="F6622" i="12"/>
  <c r="J6621" i="12"/>
  <c r="I6621" i="12"/>
  <c r="H6621" i="12"/>
  <c r="F6621" i="12"/>
  <c r="J6620" i="12"/>
  <c r="I6620" i="12"/>
  <c r="H6620" i="12"/>
  <c r="F6620" i="12"/>
  <c r="J6619" i="12"/>
  <c r="I6619" i="12"/>
  <c r="H6619" i="12"/>
  <c r="F6619" i="12"/>
  <c r="J6618" i="12"/>
  <c r="I6618" i="12"/>
  <c r="H6618" i="12"/>
  <c r="F6618" i="12"/>
  <c r="J6617" i="12"/>
  <c r="I6617" i="12"/>
  <c r="H6617" i="12"/>
  <c r="F6617" i="12"/>
  <c r="J6616" i="12"/>
  <c r="I6616" i="12"/>
  <c r="H6616" i="12"/>
  <c r="F6616" i="12"/>
  <c r="J6615" i="12"/>
  <c r="I6615" i="12"/>
  <c r="H6615" i="12"/>
  <c r="F6615" i="12"/>
  <c r="J6614" i="12"/>
  <c r="I6614" i="12"/>
  <c r="H6614" i="12"/>
  <c r="F6614" i="12"/>
  <c r="J6613" i="12"/>
  <c r="I6613" i="12"/>
  <c r="H6613" i="12"/>
  <c r="F6613" i="12"/>
  <c r="J6612" i="12"/>
  <c r="I6612" i="12"/>
  <c r="H6612" i="12"/>
  <c r="F6612" i="12"/>
  <c r="J6611" i="12"/>
  <c r="I6611" i="12"/>
  <c r="H6611" i="12"/>
  <c r="F6611" i="12"/>
  <c r="J6610" i="12"/>
  <c r="I6610" i="12"/>
  <c r="H6610" i="12"/>
  <c r="F6610" i="12"/>
  <c r="J6609" i="12"/>
  <c r="I6609" i="12"/>
  <c r="H6609" i="12"/>
  <c r="F6609" i="12"/>
  <c r="J6608" i="12"/>
  <c r="I6608" i="12"/>
  <c r="H6608" i="12"/>
  <c r="F6608" i="12"/>
  <c r="J6607" i="12"/>
  <c r="I6607" i="12"/>
  <c r="H6607" i="12"/>
  <c r="F6607" i="12"/>
  <c r="J6606" i="12"/>
  <c r="I6606" i="12"/>
  <c r="H6606" i="12"/>
  <c r="F6606" i="12"/>
  <c r="J6605" i="12"/>
  <c r="I6605" i="12"/>
  <c r="H6605" i="12"/>
  <c r="F6605" i="12"/>
  <c r="J6604" i="12"/>
  <c r="I6604" i="12"/>
  <c r="H6604" i="12"/>
  <c r="F6604" i="12"/>
  <c r="J6603" i="12"/>
  <c r="I6603" i="12"/>
  <c r="H6603" i="12"/>
  <c r="F6603" i="12"/>
  <c r="J6602" i="12"/>
  <c r="I6602" i="12"/>
  <c r="H6602" i="12"/>
  <c r="F6602" i="12"/>
  <c r="J6601" i="12"/>
  <c r="I6601" i="12"/>
  <c r="H6601" i="12"/>
  <c r="F6601" i="12"/>
  <c r="J6600" i="12"/>
  <c r="I6600" i="12"/>
  <c r="H6600" i="12"/>
  <c r="F6600" i="12"/>
  <c r="J6599" i="12"/>
  <c r="I6599" i="12"/>
  <c r="H6599" i="12"/>
  <c r="F6599" i="12"/>
  <c r="J6598" i="12"/>
  <c r="I6598" i="12"/>
  <c r="H6598" i="12"/>
  <c r="F6598" i="12"/>
  <c r="J6597" i="12"/>
  <c r="I6597" i="12"/>
  <c r="H6597" i="12"/>
  <c r="F6597" i="12"/>
  <c r="J6596" i="12"/>
  <c r="I6596" i="12"/>
  <c r="H6596" i="12"/>
  <c r="F6596" i="12"/>
  <c r="J6595" i="12"/>
  <c r="I6595" i="12"/>
  <c r="H6595" i="12"/>
  <c r="F6595" i="12"/>
  <c r="J6594" i="12"/>
  <c r="I6594" i="12"/>
  <c r="H6594" i="12"/>
  <c r="F6594" i="12"/>
  <c r="J6593" i="12"/>
  <c r="I6593" i="12"/>
  <c r="H6593" i="12"/>
  <c r="F6593" i="12"/>
  <c r="J6592" i="12"/>
  <c r="I6592" i="12"/>
  <c r="H6592" i="12"/>
  <c r="F6592" i="12"/>
  <c r="J6591" i="12"/>
  <c r="I6591" i="12"/>
  <c r="H6591" i="12"/>
  <c r="F6591" i="12"/>
  <c r="J6590" i="12"/>
  <c r="I6590" i="12"/>
  <c r="H6590" i="12"/>
  <c r="F6590" i="12"/>
  <c r="J6589" i="12"/>
  <c r="I6589" i="12"/>
  <c r="H6589" i="12"/>
  <c r="F6589" i="12"/>
  <c r="J6588" i="12"/>
  <c r="I6588" i="12"/>
  <c r="H6588" i="12"/>
  <c r="F6588" i="12"/>
  <c r="J6587" i="12"/>
  <c r="I6587" i="12"/>
  <c r="H6587" i="12"/>
  <c r="F6587" i="12"/>
  <c r="J6586" i="12"/>
  <c r="I6586" i="12"/>
  <c r="H6586" i="12"/>
  <c r="F6586" i="12"/>
  <c r="J6585" i="12"/>
  <c r="I6585" i="12"/>
  <c r="H6585" i="12"/>
  <c r="F6585" i="12"/>
  <c r="J6584" i="12"/>
  <c r="I6584" i="12"/>
  <c r="H6584" i="12"/>
  <c r="F6584" i="12"/>
  <c r="J6583" i="12"/>
  <c r="I6583" i="12"/>
  <c r="H6583" i="12"/>
  <c r="F6583" i="12"/>
  <c r="J6582" i="12"/>
  <c r="I6582" i="12"/>
  <c r="H6582" i="12"/>
  <c r="F6582" i="12"/>
  <c r="J6581" i="12"/>
  <c r="I6581" i="12"/>
  <c r="H6581" i="12"/>
  <c r="F6581" i="12"/>
  <c r="J6580" i="12"/>
  <c r="I6580" i="12"/>
  <c r="H6580" i="12"/>
  <c r="F6580" i="12"/>
  <c r="J6579" i="12"/>
  <c r="I6579" i="12"/>
  <c r="H6579" i="12"/>
  <c r="F6579" i="12"/>
  <c r="J6578" i="12"/>
  <c r="I6578" i="12"/>
  <c r="H6578" i="12"/>
  <c r="F6578" i="12"/>
  <c r="J6577" i="12"/>
  <c r="I6577" i="12"/>
  <c r="H6577" i="12"/>
  <c r="F6577" i="12"/>
  <c r="J6576" i="12"/>
  <c r="I6576" i="12"/>
  <c r="H6576" i="12"/>
  <c r="F6576" i="12"/>
  <c r="J6575" i="12"/>
  <c r="I6575" i="12"/>
  <c r="H6575" i="12"/>
  <c r="F6575" i="12"/>
  <c r="J6574" i="12"/>
  <c r="I6574" i="12"/>
  <c r="H6574" i="12"/>
  <c r="F6574" i="12"/>
  <c r="J6573" i="12"/>
  <c r="I6573" i="12"/>
  <c r="H6573" i="12"/>
  <c r="F6573" i="12"/>
  <c r="J6572" i="12"/>
  <c r="I6572" i="12"/>
  <c r="H6572" i="12"/>
  <c r="F6572" i="12"/>
  <c r="J6571" i="12"/>
  <c r="I6571" i="12"/>
  <c r="H6571" i="12"/>
  <c r="F6571" i="12"/>
  <c r="J6570" i="12"/>
  <c r="I6570" i="12"/>
  <c r="H6570" i="12"/>
  <c r="F6570" i="12"/>
  <c r="J6569" i="12"/>
  <c r="I6569" i="12"/>
  <c r="H6569" i="12"/>
  <c r="F6569" i="12"/>
  <c r="J6568" i="12"/>
  <c r="I6568" i="12"/>
  <c r="H6568" i="12"/>
  <c r="F6568" i="12"/>
  <c r="J6567" i="12"/>
  <c r="I6567" i="12"/>
  <c r="H6567" i="12"/>
  <c r="F6567" i="12"/>
  <c r="J6566" i="12"/>
  <c r="I6566" i="12"/>
  <c r="H6566" i="12"/>
  <c r="F6566" i="12"/>
  <c r="J6565" i="12"/>
  <c r="I6565" i="12"/>
  <c r="H6565" i="12"/>
  <c r="F6565" i="12"/>
  <c r="J6564" i="12"/>
  <c r="I6564" i="12"/>
  <c r="H6564" i="12"/>
  <c r="F6564" i="12"/>
  <c r="J6563" i="12"/>
  <c r="I6563" i="12"/>
  <c r="H6563" i="12"/>
  <c r="F6563" i="12"/>
  <c r="J6562" i="12"/>
  <c r="I6562" i="12"/>
  <c r="H6562" i="12"/>
  <c r="F6562" i="12"/>
  <c r="J6561" i="12"/>
  <c r="I6561" i="12"/>
  <c r="H6561" i="12"/>
  <c r="F6561" i="12"/>
  <c r="J6560" i="12"/>
  <c r="I6560" i="12"/>
  <c r="H6560" i="12"/>
  <c r="F6560" i="12"/>
  <c r="J6559" i="12"/>
  <c r="I6559" i="12"/>
  <c r="H6559" i="12"/>
  <c r="F6559" i="12"/>
  <c r="J6558" i="12"/>
  <c r="I6558" i="12"/>
  <c r="H6558" i="12"/>
  <c r="F6558" i="12"/>
  <c r="J6557" i="12"/>
  <c r="I6557" i="12"/>
  <c r="H6557" i="12"/>
  <c r="F6557" i="12"/>
  <c r="J6556" i="12"/>
  <c r="I6556" i="12"/>
  <c r="H6556" i="12"/>
  <c r="F6556" i="12"/>
  <c r="J6555" i="12"/>
  <c r="I6555" i="12"/>
  <c r="H6555" i="12"/>
  <c r="F6555" i="12"/>
  <c r="J6554" i="12"/>
  <c r="I6554" i="12"/>
  <c r="H6554" i="12"/>
  <c r="F6554" i="12"/>
  <c r="J6553" i="12"/>
  <c r="I6553" i="12"/>
  <c r="H6553" i="12"/>
  <c r="F6553" i="12"/>
  <c r="J6552" i="12"/>
  <c r="I6552" i="12"/>
  <c r="H6552" i="12"/>
  <c r="F6552" i="12"/>
  <c r="J6551" i="12"/>
  <c r="I6551" i="12"/>
  <c r="H6551" i="12"/>
  <c r="F6551" i="12"/>
  <c r="J6550" i="12"/>
  <c r="I6550" i="12"/>
  <c r="H6550" i="12"/>
  <c r="F6550" i="12"/>
  <c r="J6549" i="12"/>
  <c r="I6549" i="12"/>
  <c r="H6549" i="12"/>
  <c r="F6549" i="12"/>
  <c r="J6548" i="12"/>
  <c r="I6548" i="12"/>
  <c r="H6548" i="12"/>
  <c r="F6548" i="12"/>
  <c r="J6547" i="12"/>
  <c r="I6547" i="12"/>
  <c r="H6547" i="12"/>
  <c r="F6547" i="12"/>
  <c r="J6546" i="12"/>
  <c r="I6546" i="12"/>
  <c r="H6546" i="12"/>
  <c r="F6546" i="12"/>
  <c r="J6545" i="12"/>
  <c r="I6545" i="12"/>
  <c r="H6545" i="12"/>
  <c r="F6545" i="12"/>
  <c r="J6544" i="12"/>
  <c r="I6544" i="12"/>
  <c r="H6544" i="12"/>
  <c r="F6544" i="12"/>
  <c r="J6543" i="12"/>
  <c r="I6543" i="12"/>
  <c r="H6543" i="12"/>
  <c r="F6543" i="12"/>
  <c r="J6542" i="12"/>
  <c r="I6542" i="12"/>
  <c r="H6542" i="12"/>
  <c r="F6542" i="12"/>
  <c r="J6541" i="12"/>
  <c r="I6541" i="12"/>
  <c r="H6541" i="12"/>
  <c r="F6541" i="12"/>
  <c r="J6540" i="12"/>
  <c r="I6540" i="12"/>
  <c r="H6540" i="12"/>
  <c r="F6540" i="12"/>
  <c r="J6539" i="12"/>
  <c r="I6539" i="12"/>
  <c r="H6539" i="12"/>
  <c r="F6539" i="12"/>
  <c r="J6538" i="12"/>
  <c r="I6538" i="12"/>
  <c r="H6538" i="12"/>
  <c r="F6538" i="12"/>
  <c r="J6537" i="12"/>
  <c r="I6537" i="12"/>
  <c r="H6537" i="12"/>
  <c r="F6537" i="12"/>
  <c r="J6536" i="12"/>
  <c r="I6536" i="12"/>
  <c r="H6536" i="12"/>
  <c r="F6536" i="12"/>
  <c r="J6535" i="12"/>
  <c r="I6535" i="12"/>
  <c r="H6535" i="12"/>
  <c r="F6535" i="12"/>
  <c r="J6534" i="12"/>
  <c r="I6534" i="12"/>
  <c r="H6534" i="12"/>
  <c r="F6534" i="12"/>
  <c r="J6533" i="12"/>
  <c r="I6533" i="12"/>
  <c r="H6533" i="12"/>
  <c r="F6533" i="12"/>
  <c r="J6532" i="12"/>
  <c r="I6532" i="12"/>
  <c r="H6532" i="12"/>
  <c r="F6532" i="12"/>
  <c r="J6531" i="12"/>
  <c r="I6531" i="12"/>
  <c r="H6531" i="12"/>
  <c r="F6531" i="12"/>
  <c r="J6530" i="12"/>
  <c r="I6530" i="12"/>
  <c r="H6530" i="12"/>
  <c r="F6530" i="12"/>
  <c r="J6529" i="12"/>
  <c r="I6529" i="12"/>
  <c r="H6529" i="12"/>
  <c r="F6529" i="12"/>
  <c r="J6528" i="12"/>
  <c r="I6528" i="12"/>
  <c r="H6528" i="12"/>
  <c r="F6528" i="12"/>
  <c r="J6527" i="12"/>
  <c r="I6527" i="12"/>
  <c r="H6527" i="12"/>
  <c r="F6527" i="12"/>
  <c r="J6526" i="12"/>
  <c r="I6526" i="12"/>
  <c r="H6526" i="12"/>
  <c r="F6526" i="12"/>
  <c r="J6525" i="12"/>
  <c r="I6525" i="12"/>
  <c r="H6525" i="12"/>
  <c r="F6525" i="12"/>
  <c r="J6524" i="12"/>
  <c r="I6524" i="12"/>
  <c r="H6524" i="12"/>
  <c r="F6524" i="12"/>
  <c r="J6523" i="12"/>
  <c r="I6523" i="12"/>
  <c r="H6523" i="12"/>
  <c r="F6523" i="12"/>
  <c r="J6522" i="12"/>
  <c r="I6522" i="12"/>
  <c r="H6522" i="12"/>
  <c r="F6522" i="12"/>
  <c r="J6521" i="12"/>
  <c r="I6521" i="12"/>
  <c r="H6521" i="12"/>
  <c r="F6521" i="12"/>
  <c r="J6520" i="12"/>
  <c r="I6520" i="12"/>
  <c r="H6520" i="12"/>
  <c r="F6520" i="12"/>
  <c r="J6519" i="12"/>
  <c r="I6519" i="12"/>
  <c r="H6519" i="12"/>
  <c r="F6519" i="12"/>
  <c r="J6518" i="12"/>
  <c r="I6518" i="12"/>
  <c r="H6518" i="12"/>
  <c r="F6518" i="12"/>
  <c r="J6517" i="12"/>
  <c r="I6517" i="12"/>
  <c r="H6517" i="12"/>
  <c r="F6517" i="12"/>
  <c r="J6516" i="12"/>
  <c r="I6516" i="12"/>
  <c r="H6516" i="12"/>
  <c r="F6516" i="12"/>
  <c r="J6515" i="12"/>
  <c r="I6515" i="12"/>
  <c r="H6515" i="12"/>
  <c r="F6515" i="12"/>
  <c r="J6514" i="12"/>
  <c r="I6514" i="12"/>
  <c r="H6514" i="12"/>
  <c r="F6514" i="12"/>
  <c r="J6513" i="12"/>
  <c r="I6513" i="12"/>
  <c r="H6513" i="12"/>
  <c r="F6513" i="12"/>
  <c r="J6512" i="12"/>
  <c r="I6512" i="12"/>
  <c r="H6512" i="12"/>
  <c r="F6512" i="12"/>
  <c r="J6511" i="12"/>
  <c r="I6511" i="12"/>
  <c r="H6511" i="12"/>
  <c r="F6511" i="12"/>
  <c r="J6510" i="12"/>
  <c r="I6510" i="12"/>
  <c r="H6510" i="12"/>
  <c r="F6510" i="12"/>
  <c r="J6509" i="12"/>
  <c r="I6509" i="12"/>
  <c r="H6509" i="12"/>
  <c r="F6509" i="12"/>
  <c r="J6508" i="12"/>
  <c r="I6508" i="12"/>
  <c r="H6508" i="12"/>
  <c r="F6508" i="12"/>
  <c r="J6507" i="12"/>
  <c r="I6507" i="12"/>
  <c r="H6507" i="12"/>
  <c r="F6507" i="12"/>
  <c r="J6506" i="12"/>
  <c r="I6506" i="12"/>
  <c r="H6506" i="12"/>
  <c r="F6506" i="12"/>
  <c r="J6505" i="12"/>
  <c r="I6505" i="12"/>
  <c r="H6505" i="12"/>
  <c r="F6505" i="12"/>
  <c r="J6504" i="12"/>
  <c r="I6504" i="12"/>
  <c r="H6504" i="12"/>
  <c r="F6504" i="12"/>
  <c r="J6503" i="12"/>
  <c r="I6503" i="12"/>
  <c r="H6503" i="12"/>
  <c r="F6503" i="12"/>
  <c r="J6502" i="12"/>
  <c r="I6502" i="12"/>
  <c r="H6502" i="12"/>
  <c r="F6502" i="12"/>
  <c r="J6501" i="12"/>
  <c r="I6501" i="12"/>
  <c r="H6501" i="12"/>
  <c r="F6501" i="12"/>
  <c r="J6500" i="12"/>
  <c r="I6500" i="12"/>
  <c r="H6500" i="12"/>
  <c r="F6500" i="12"/>
  <c r="J6499" i="12"/>
  <c r="I6499" i="12"/>
  <c r="H6499" i="12"/>
  <c r="F6499" i="12"/>
  <c r="J6498" i="12"/>
  <c r="I6498" i="12"/>
  <c r="H6498" i="12"/>
  <c r="F6498" i="12"/>
  <c r="J6497" i="12"/>
  <c r="I6497" i="12"/>
  <c r="H6497" i="12"/>
  <c r="F6497" i="12"/>
  <c r="J6496" i="12"/>
  <c r="I6496" i="12"/>
  <c r="H6496" i="12"/>
  <c r="F6496" i="12"/>
  <c r="J6495" i="12"/>
  <c r="I6495" i="12"/>
  <c r="H6495" i="12"/>
  <c r="F6495" i="12"/>
  <c r="J6494" i="12"/>
  <c r="I6494" i="12"/>
  <c r="H6494" i="12"/>
  <c r="F6494" i="12"/>
  <c r="J6493" i="12"/>
  <c r="I6493" i="12"/>
  <c r="H6493" i="12"/>
  <c r="F6493" i="12"/>
  <c r="J6492" i="12"/>
  <c r="I6492" i="12"/>
  <c r="H6492" i="12"/>
  <c r="F6492" i="12"/>
  <c r="J6491" i="12"/>
  <c r="I6491" i="12"/>
  <c r="H6491" i="12"/>
  <c r="F6491" i="12"/>
  <c r="J6490" i="12"/>
  <c r="I6490" i="12"/>
  <c r="H6490" i="12"/>
  <c r="F6490" i="12"/>
  <c r="J6489" i="12"/>
  <c r="I6489" i="12"/>
  <c r="H6489" i="12"/>
  <c r="F6489" i="12"/>
  <c r="J6488" i="12"/>
  <c r="I6488" i="12"/>
  <c r="H6488" i="12"/>
  <c r="F6488" i="12"/>
  <c r="J6487" i="12"/>
  <c r="I6487" i="12"/>
  <c r="H6487" i="12"/>
  <c r="F6487" i="12"/>
  <c r="J6486" i="12"/>
  <c r="I6486" i="12"/>
  <c r="H6486" i="12"/>
  <c r="F6486" i="12"/>
  <c r="J6485" i="12"/>
  <c r="I6485" i="12"/>
  <c r="H6485" i="12"/>
  <c r="F6485" i="12"/>
  <c r="J6484" i="12"/>
  <c r="I6484" i="12"/>
  <c r="H6484" i="12"/>
  <c r="F6484" i="12"/>
  <c r="J6483" i="12"/>
  <c r="I6483" i="12"/>
  <c r="H6483" i="12"/>
  <c r="F6483" i="12"/>
  <c r="J6482" i="12"/>
  <c r="I6482" i="12"/>
  <c r="H6482" i="12"/>
  <c r="F6482" i="12"/>
  <c r="J6481" i="12"/>
  <c r="I6481" i="12"/>
  <c r="H6481" i="12"/>
  <c r="F6481" i="12"/>
  <c r="J6480" i="12"/>
  <c r="I6480" i="12"/>
  <c r="H6480" i="12"/>
  <c r="F6480" i="12"/>
  <c r="J6479" i="12"/>
  <c r="I6479" i="12"/>
  <c r="H6479" i="12"/>
  <c r="F6479" i="12"/>
  <c r="J6478" i="12"/>
  <c r="I6478" i="12"/>
  <c r="H6478" i="12"/>
  <c r="F6478" i="12"/>
  <c r="J6477" i="12"/>
  <c r="I6477" i="12"/>
  <c r="H6477" i="12"/>
  <c r="F6477" i="12"/>
  <c r="J6476" i="12"/>
  <c r="I6476" i="12"/>
  <c r="H6476" i="12"/>
  <c r="F6476" i="12"/>
  <c r="J6475" i="12"/>
  <c r="I6475" i="12"/>
  <c r="H6475" i="12"/>
  <c r="F6475" i="12"/>
  <c r="J6474" i="12"/>
  <c r="I6474" i="12"/>
  <c r="H6474" i="12"/>
  <c r="F6474" i="12"/>
  <c r="J6473" i="12"/>
  <c r="I6473" i="12"/>
  <c r="H6473" i="12"/>
  <c r="F6473" i="12"/>
  <c r="J6472" i="12"/>
  <c r="I6472" i="12"/>
  <c r="H6472" i="12"/>
  <c r="F6472" i="12"/>
  <c r="J6471" i="12"/>
  <c r="I6471" i="12"/>
  <c r="H6471" i="12"/>
  <c r="F6471" i="12"/>
  <c r="J6470" i="12"/>
  <c r="I6470" i="12"/>
  <c r="H6470" i="12"/>
  <c r="F6470" i="12"/>
  <c r="J6469" i="12"/>
  <c r="I6469" i="12"/>
  <c r="H6469" i="12"/>
  <c r="F6469" i="12"/>
  <c r="J6468" i="12"/>
  <c r="I6468" i="12"/>
  <c r="H6468" i="12"/>
  <c r="F6468" i="12"/>
  <c r="J6467" i="12"/>
  <c r="I6467" i="12"/>
  <c r="H6467" i="12"/>
  <c r="F6467" i="12"/>
  <c r="J6466" i="12"/>
  <c r="I6466" i="12"/>
  <c r="H6466" i="12"/>
  <c r="F6466" i="12"/>
  <c r="J6465" i="12"/>
  <c r="I6465" i="12"/>
  <c r="H6465" i="12"/>
  <c r="F6465" i="12"/>
  <c r="J6464" i="12"/>
  <c r="I6464" i="12"/>
  <c r="H6464" i="12"/>
  <c r="F6464" i="12"/>
  <c r="J6463" i="12"/>
  <c r="I6463" i="12"/>
  <c r="H6463" i="12"/>
  <c r="F6463" i="12"/>
  <c r="J6462" i="12"/>
  <c r="I6462" i="12"/>
  <c r="H6462" i="12"/>
  <c r="F6462" i="12"/>
  <c r="J6461" i="12"/>
  <c r="I6461" i="12"/>
  <c r="H6461" i="12"/>
  <c r="F6461" i="12"/>
  <c r="J6460" i="12"/>
  <c r="I6460" i="12"/>
  <c r="H6460" i="12"/>
  <c r="F6460" i="12"/>
  <c r="J6459" i="12"/>
  <c r="I6459" i="12"/>
  <c r="H6459" i="12"/>
  <c r="F6459" i="12"/>
  <c r="J6458" i="12"/>
  <c r="I6458" i="12"/>
  <c r="H6458" i="12"/>
  <c r="F6458" i="12"/>
  <c r="J6457" i="12"/>
  <c r="I6457" i="12"/>
  <c r="H6457" i="12"/>
  <c r="F6457" i="12"/>
  <c r="J6456" i="12"/>
  <c r="I6456" i="12"/>
  <c r="H6456" i="12"/>
  <c r="F6456" i="12"/>
  <c r="J6455" i="12"/>
  <c r="I6455" i="12"/>
  <c r="H6455" i="12"/>
  <c r="F6455" i="12"/>
  <c r="J6454" i="12"/>
  <c r="I6454" i="12"/>
  <c r="H6454" i="12"/>
  <c r="F6454" i="12"/>
  <c r="J6453" i="12"/>
  <c r="I6453" i="12"/>
  <c r="H6453" i="12"/>
  <c r="F6453" i="12"/>
  <c r="J6452" i="12"/>
  <c r="I6452" i="12"/>
  <c r="H6452" i="12"/>
  <c r="F6452" i="12"/>
  <c r="J6451" i="12"/>
  <c r="I6451" i="12"/>
  <c r="H6451" i="12"/>
  <c r="F6451" i="12"/>
  <c r="J6450" i="12"/>
  <c r="I6450" i="12"/>
  <c r="H6450" i="12"/>
  <c r="F6450" i="12"/>
  <c r="J6449" i="12"/>
  <c r="I6449" i="12"/>
  <c r="H6449" i="12"/>
  <c r="F6449" i="12"/>
  <c r="J6448" i="12"/>
  <c r="I6448" i="12"/>
  <c r="H6448" i="12"/>
  <c r="F6448" i="12"/>
  <c r="J6447" i="12"/>
  <c r="I6447" i="12"/>
  <c r="H6447" i="12"/>
  <c r="F6447" i="12"/>
  <c r="J6446" i="12"/>
  <c r="I6446" i="12"/>
  <c r="H6446" i="12"/>
  <c r="F6446" i="12"/>
  <c r="J6445" i="12"/>
  <c r="I6445" i="12"/>
  <c r="H6445" i="12"/>
  <c r="F6445" i="12"/>
  <c r="J6444" i="12"/>
  <c r="I6444" i="12"/>
  <c r="H6444" i="12"/>
  <c r="F6444" i="12"/>
  <c r="J6443" i="12"/>
  <c r="I6443" i="12"/>
  <c r="H6443" i="12"/>
  <c r="F6443" i="12"/>
  <c r="J6442" i="12"/>
  <c r="I6442" i="12"/>
  <c r="H6442" i="12"/>
  <c r="F6442" i="12"/>
  <c r="J6441" i="12"/>
  <c r="I6441" i="12"/>
  <c r="H6441" i="12"/>
  <c r="F6441" i="12"/>
  <c r="J6440" i="12"/>
  <c r="I6440" i="12"/>
  <c r="H6440" i="12"/>
  <c r="F6440" i="12"/>
  <c r="J6439" i="12"/>
  <c r="I6439" i="12"/>
  <c r="H6439" i="12"/>
  <c r="F6439" i="12"/>
  <c r="J6438" i="12"/>
  <c r="I6438" i="12"/>
  <c r="H6438" i="12"/>
  <c r="F6438" i="12"/>
  <c r="J6437" i="12"/>
  <c r="I6437" i="12"/>
  <c r="H6437" i="12"/>
  <c r="F6437" i="12"/>
  <c r="J6436" i="12"/>
  <c r="I6436" i="12"/>
  <c r="H6436" i="12"/>
  <c r="F6436" i="12"/>
  <c r="J6435" i="12"/>
  <c r="I6435" i="12"/>
  <c r="H6435" i="12"/>
  <c r="F6435" i="12"/>
  <c r="J6434" i="12"/>
  <c r="I6434" i="12"/>
  <c r="H6434" i="12"/>
  <c r="F6434" i="12"/>
  <c r="J6433" i="12"/>
  <c r="I6433" i="12"/>
  <c r="H6433" i="12"/>
  <c r="F6433" i="12"/>
  <c r="J6432" i="12"/>
  <c r="I6432" i="12"/>
  <c r="H6432" i="12"/>
  <c r="F6432" i="12"/>
  <c r="J6431" i="12"/>
  <c r="I6431" i="12"/>
  <c r="H6431" i="12"/>
  <c r="F6431" i="12"/>
  <c r="J6430" i="12"/>
  <c r="I6430" i="12"/>
  <c r="H6430" i="12"/>
  <c r="F6430" i="12"/>
  <c r="J6429" i="12"/>
  <c r="I6429" i="12"/>
  <c r="H6429" i="12"/>
  <c r="F6429" i="12"/>
  <c r="J6428" i="12"/>
  <c r="I6428" i="12"/>
  <c r="H6428" i="12"/>
  <c r="F6428" i="12"/>
  <c r="J6427" i="12"/>
  <c r="I6427" i="12"/>
  <c r="H6427" i="12"/>
  <c r="F6427" i="12"/>
  <c r="J6426" i="12"/>
  <c r="I6426" i="12"/>
  <c r="H6426" i="12"/>
  <c r="F6426" i="12"/>
  <c r="J6425" i="12"/>
  <c r="I6425" i="12"/>
  <c r="H6425" i="12"/>
  <c r="F6425" i="12"/>
  <c r="J6424" i="12"/>
  <c r="I6424" i="12"/>
  <c r="H6424" i="12"/>
  <c r="F6424" i="12"/>
  <c r="J6423" i="12"/>
  <c r="I6423" i="12"/>
  <c r="H6423" i="12"/>
  <c r="F6423" i="12"/>
  <c r="J6422" i="12"/>
  <c r="I6422" i="12"/>
  <c r="H6422" i="12"/>
  <c r="F6422" i="12"/>
  <c r="J6421" i="12"/>
  <c r="I6421" i="12"/>
  <c r="H6421" i="12"/>
  <c r="F6421" i="12"/>
  <c r="J6420" i="12"/>
  <c r="I6420" i="12"/>
  <c r="H6420" i="12"/>
  <c r="F6420" i="12"/>
  <c r="J6419" i="12"/>
  <c r="I6419" i="12"/>
  <c r="H6419" i="12"/>
  <c r="F6419" i="12"/>
  <c r="J6418" i="12"/>
  <c r="I6418" i="12"/>
  <c r="H6418" i="12"/>
  <c r="F6418" i="12"/>
  <c r="J6417" i="12"/>
  <c r="I6417" i="12"/>
  <c r="H6417" i="12"/>
  <c r="F6417" i="12"/>
  <c r="J6416" i="12"/>
  <c r="I6416" i="12"/>
  <c r="H6416" i="12"/>
  <c r="F6416" i="12"/>
  <c r="J6415" i="12"/>
  <c r="I6415" i="12"/>
  <c r="H6415" i="12"/>
  <c r="F6415" i="12"/>
  <c r="J6414" i="12"/>
  <c r="I6414" i="12"/>
  <c r="H6414" i="12"/>
  <c r="F6414" i="12"/>
  <c r="J6413" i="12"/>
  <c r="I6413" i="12"/>
  <c r="H6413" i="12"/>
  <c r="F6413" i="12"/>
  <c r="J6412" i="12"/>
  <c r="I6412" i="12"/>
  <c r="H6412" i="12"/>
  <c r="F6412" i="12"/>
  <c r="J6411" i="12"/>
  <c r="I6411" i="12"/>
  <c r="H6411" i="12"/>
  <c r="F6411" i="12"/>
  <c r="J6410" i="12"/>
  <c r="I6410" i="12"/>
  <c r="H6410" i="12"/>
  <c r="F6410" i="12"/>
  <c r="J6409" i="12"/>
  <c r="I6409" i="12"/>
  <c r="H6409" i="12"/>
  <c r="F6409" i="12"/>
  <c r="J6408" i="12"/>
  <c r="I6408" i="12"/>
  <c r="H6408" i="12"/>
  <c r="F6408" i="12"/>
  <c r="J6407" i="12"/>
  <c r="I6407" i="12"/>
  <c r="H6407" i="12"/>
  <c r="F6407" i="12"/>
  <c r="J6406" i="12"/>
  <c r="I6406" i="12"/>
  <c r="H6406" i="12"/>
  <c r="F6406" i="12"/>
  <c r="J6405" i="12"/>
  <c r="I6405" i="12"/>
  <c r="H6405" i="12"/>
  <c r="F6405" i="12"/>
  <c r="J6404" i="12"/>
  <c r="I6404" i="12"/>
  <c r="H6404" i="12"/>
  <c r="F6404" i="12"/>
  <c r="J6403" i="12"/>
  <c r="I6403" i="12"/>
  <c r="H6403" i="12"/>
  <c r="F6403" i="12"/>
  <c r="J6402" i="12"/>
  <c r="I6402" i="12"/>
  <c r="H6402" i="12"/>
  <c r="F6402" i="12"/>
  <c r="J6401" i="12"/>
  <c r="I6401" i="12"/>
  <c r="H6401" i="12"/>
  <c r="F6401" i="12"/>
  <c r="J6400" i="12"/>
  <c r="I6400" i="12"/>
  <c r="H6400" i="12"/>
  <c r="F6400" i="12"/>
  <c r="J6399" i="12"/>
  <c r="I6399" i="12"/>
  <c r="H6399" i="12"/>
  <c r="F6399" i="12"/>
  <c r="J6398" i="12"/>
  <c r="I6398" i="12"/>
  <c r="H6398" i="12"/>
  <c r="F6398" i="12"/>
  <c r="J6397" i="12"/>
  <c r="I6397" i="12"/>
  <c r="H6397" i="12"/>
  <c r="F6397" i="12"/>
  <c r="J6396" i="12"/>
  <c r="I6396" i="12"/>
  <c r="H6396" i="12"/>
  <c r="F6396" i="12"/>
  <c r="J6395" i="12"/>
  <c r="I6395" i="12"/>
  <c r="H6395" i="12"/>
  <c r="F6395" i="12"/>
  <c r="J6394" i="12"/>
  <c r="I6394" i="12"/>
  <c r="H6394" i="12"/>
  <c r="F6394" i="12"/>
  <c r="J6393" i="12"/>
  <c r="I6393" i="12"/>
  <c r="H6393" i="12"/>
  <c r="F6393" i="12"/>
  <c r="J6392" i="12"/>
  <c r="I6392" i="12"/>
  <c r="H6392" i="12"/>
  <c r="F6392" i="12"/>
  <c r="J6391" i="12"/>
  <c r="I6391" i="12"/>
  <c r="H6391" i="12"/>
  <c r="F6391" i="12"/>
  <c r="J6390" i="12"/>
  <c r="I6390" i="12"/>
  <c r="H6390" i="12"/>
  <c r="F6390" i="12"/>
  <c r="J6389" i="12"/>
  <c r="I6389" i="12"/>
  <c r="H6389" i="12"/>
  <c r="F6389" i="12"/>
  <c r="J6388" i="12"/>
  <c r="I6388" i="12"/>
  <c r="H6388" i="12"/>
  <c r="F6388" i="12"/>
  <c r="J6387" i="12"/>
  <c r="I6387" i="12"/>
  <c r="H6387" i="12"/>
  <c r="F6387" i="12"/>
  <c r="J6386" i="12"/>
  <c r="I6386" i="12"/>
  <c r="H6386" i="12"/>
  <c r="F6386" i="12"/>
  <c r="J6385" i="12"/>
  <c r="I6385" i="12"/>
  <c r="H6385" i="12"/>
  <c r="F6385" i="12"/>
  <c r="J6384" i="12"/>
  <c r="I6384" i="12"/>
  <c r="H6384" i="12"/>
  <c r="F6384" i="12"/>
  <c r="J6383" i="12"/>
  <c r="I6383" i="12"/>
  <c r="H6383" i="12"/>
  <c r="F6383" i="12"/>
  <c r="J6382" i="12"/>
  <c r="I6382" i="12"/>
  <c r="H6382" i="12"/>
  <c r="F6382" i="12"/>
  <c r="J6381" i="12"/>
  <c r="I6381" i="12"/>
  <c r="H6381" i="12"/>
  <c r="F6381" i="12"/>
  <c r="J6380" i="12"/>
  <c r="I6380" i="12"/>
  <c r="H6380" i="12"/>
  <c r="F6380" i="12"/>
  <c r="J6379" i="12"/>
  <c r="I6379" i="12"/>
  <c r="H6379" i="12"/>
  <c r="F6379" i="12"/>
  <c r="J6378" i="12"/>
  <c r="I6378" i="12"/>
  <c r="H6378" i="12"/>
  <c r="F6378" i="12"/>
  <c r="J6377" i="12"/>
  <c r="I6377" i="12"/>
  <c r="H6377" i="12"/>
  <c r="F6377" i="12"/>
  <c r="J6376" i="12"/>
  <c r="I6376" i="12"/>
  <c r="H6376" i="12"/>
  <c r="F6376" i="12"/>
  <c r="J6375" i="12"/>
  <c r="I6375" i="12"/>
  <c r="H6375" i="12"/>
  <c r="F6375" i="12"/>
  <c r="J6374" i="12"/>
  <c r="I6374" i="12"/>
  <c r="H6374" i="12"/>
  <c r="F6374" i="12"/>
  <c r="J6373" i="12"/>
  <c r="I6373" i="12"/>
  <c r="H6373" i="12"/>
  <c r="F6373" i="12"/>
  <c r="J6372" i="12"/>
  <c r="I6372" i="12"/>
  <c r="H6372" i="12"/>
  <c r="F6372" i="12"/>
  <c r="J6371" i="12"/>
  <c r="I6371" i="12"/>
  <c r="H6371" i="12"/>
  <c r="F6371" i="12"/>
  <c r="J6370" i="12"/>
  <c r="I6370" i="12"/>
  <c r="H6370" i="12"/>
  <c r="F6370" i="12"/>
  <c r="J6369" i="12"/>
  <c r="I6369" i="12"/>
  <c r="H6369" i="12"/>
  <c r="F6369" i="12"/>
  <c r="J6368" i="12"/>
  <c r="I6368" i="12"/>
  <c r="H6368" i="12"/>
  <c r="F6368" i="12"/>
  <c r="J6367" i="12"/>
  <c r="I6367" i="12"/>
  <c r="H6367" i="12"/>
  <c r="F6367" i="12"/>
  <c r="J6366" i="12"/>
  <c r="I6366" i="12"/>
  <c r="H6366" i="12"/>
  <c r="F6366" i="12"/>
  <c r="J6365" i="12"/>
  <c r="I6365" i="12"/>
  <c r="H6365" i="12"/>
  <c r="F6365" i="12"/>
  <c r="J6364" i="12"/>
  <c r="I6364" i="12"/>
  <c r="H6364" i="12"/>
  <c r="F6364" i="12"/>
  <c r="J6363" i="12"/>
  <c r="I6363" i="12"/>
  <c r="H6363" i="12"/>
  <c r="F6363" i="12"/>
  <c r="J6362" i="12"/>
  <c r="I6362" i="12"/>
  <c r="H6362" i="12"/>
  <c r="F6362" i="12"/>
  <c r="J6361" i="12"/>
  <c r="I6361" i="12"/>
  <c r="H6361" i="12"/>
  <c r="F6361" i="12"/>
  <c r="J6360" i="12"/>
  <c r="I6360" i="12"/>
  <c r="H6360" i="12"/>
  <c r="F6360" i="12"/>
  <c r="J6359" i="12"/>
  <c r="I6359" i="12"/>
  <c r="H6359" i="12"/>
  <c r="F6359" i="12"/>
  <c r="J6358" i="12"/>
  <c r="I6358" i="12"/>
  <c r="H6358" i="12"/>
  <c r="F6358" i="12"/>
  <c r="J6357" i="12"/>
  <c r="I6357" i="12"/>
  <c r="H6357" i="12"/>
  <c r="F6357" i="12"/>
  <c r="J6356" i="12"/>
  <c r="I6356" i="12"/>
  <c r="H6356" i="12"/>
  <c r="F6356" i="12"/>
  <c r="J6355" i="12"/>
  <c r="I6355" i="12"/>
  <c r="H6355" i="12"/>
  <c r="F6355" i="12"/>
  <c r="J6354" i="12"/>
  <c r="I6354" i="12"/>
  <c r="H6354" i="12"/>
  <c r="F6354" i="12"/>
  <c r="J6353" i="12"/>
  <c r="I6353" i="12"/>
  <c r="H6353" i="12"/>
  <c r="F6353" i="12"/>
  <c r="J6352" i="12"/>
  <c r="I6352" i="12"/>
  <c r="H6352" i="12"/>
  <c r="F6352" i="12"/>
  <c r="J6351" i="12"/>
  <c r="I6351" i="12"/>
  <c r="H6351" i="12"/>
  <c r="F6351" i="12"/>
  <c r="J6350" i="12"/>
  <c r="I6350" i="12"/>
  <c r="H6350" i="12"/>
  <c r="F6350" i="12"/>
  <c r="J6349" i="12"/>
  <c r="I6349" i="12"/>
  <c r="H6349" i="12"/>
  <c r="F6349" i="12"/>
  <c r="J6348" i="12"/>
  <c r="I6348" i="12"/>
  <c r="H6348" i="12"/>
  <c r="F6348" i="12"/>
  <c r="J6347" i="12"/>
  <c r="I6347" i="12"/>
  <c r="H6347" i="12"/>
  <c r="F6347" i="12"/>
  <c r="J6346" i="12"/>
  <c r="I6346" i="12"/>
  <c r="H6346" i="12"/>
  <c r="F6346" i="12"/>
  <c r="J6345" i="12"/>
  <c r="I6345" i="12"/>
  <c r="H6345" i="12"/>
  <c r="F6345" i="12"/>
  <c r="J6344" i="12"/>
  <c r="I6344" i="12"/>
  <c r="H6344" i="12"/>
  <c r="F6344" i="12"/>
  <c r="J6343" i="12"/>
  <c r="I6343" i="12"/>
  <c r="H6343" i="12"/>
  <c r="F6343" i="12"/>
  <c r="J6342" i="12"/>
  <c r="I6342" i="12"/>
  <c r="H6342" i="12"/>
  <c r="F6342" i="12"/>
  <c r="J6341" i="12"/>
  <c r="I6341" i="12"/>
  <c r="H6341" i="12"/>
  <c r="F6341" i="12"/>
  <c r="J6340" i="12"/>
  <c r="I6340" i="12"/>
  <c r="H6340" i="12"/>
  <c r="F6340" i="12"/>
  <c r="J6339" i="12"/>
  <c r="I6339" i="12"/>
  <c r="H6339" i="12"/>
  <c r="F6339" i="12"/>
  <c r="J6338" i="12"/>
  <c r="I6338" i="12"/>
  <c r="H6338" i="12"/>
  <c r="F6338" i="12"/>
  <c r="J6337" i="12"/>
  <c r="I6337" i="12"/>
  <c r="H6337" i="12"/>
  <c r="F6337" i="12"/>
  <c r="J6336" i="12"/>
  <c r="I6336" i="12"/>
  <c r="H6336" i="12"/>
  <c r="F6336" i="12"/>
  <c r="J6335" i="12"/>
  <c r="I6335" i="12"/>
  <c r="H6335" i="12"/>
  <c r="F6335" i="12"/>
  <c r="J6334" i="12"/>
  <c r="I6334" i="12"/>
  <c r="H6334" i="12"/>
  <c r="F6334" i="12"/>
  <c r="J6333" i="12"/>
  <c r="I6333" i="12"/>
  <c r="H6333" i="12"/>
  <c r="F6333" i="12"/>
  <c r="J6332" i="12"/>
  <c r="I6332" i="12"/>
  <c r="H6332" i="12"/>
  <c r="F6332" i="12"/>
  <c r="J6331" i="12"/>
  <c r="I6331" i="12"/>
  <c r="H6331" i="12"/>
  <c r="F6331" i="12"/>
  <c r="J6330" i="12"/>
  <c r="I6330" i="12"/>
  <c r="H6330" i="12"/>
  <c r="F6330" i="12"/>
  <c r="J6329" i="12"/>
  <c r="I6329" i="12"/>
  <c r="H6329" i="12"/>
  <c r="F6329" i="12"/>
  <c r="J6328" i="12"/>
  <c r="I6328" i="12"/>
  <c r="H6328" i="12"/>
  <c r="F6328" i="12"/>
  <c r="J6327" i="12"/>
  <c r="I6327" i="12"/>
  <c r="H6327" i="12"/>
  <c r="F6327" i="12"/>
  <c r="J6326" i="12"/>
  <c r="I6326" i="12"/>
  <c r="H6326" i="12"/>
  <c r="F6326" i="12"/>
  <c r="J6325" i="12"/>
  <c r="I6325" i="12"/>
  <c r="H6325" i="12"/>
  <c r="F6325" i="12"/>
  <c r="J6324" i="12"/>
  <c r="I6324" i="12"/>
  <c r="H6324" i="12"/>
  <c r="F6324" i="12"/>
  <c r="J6323" i="12"/>
  <c r="I6323" i="12"/>
  <c r="H6323" i="12"/>
  <c r="F6323" i="12"/>
  <c r="J6322" i="12"/>
  <c r="I6322" i="12"/>
  <c r="H6322" i="12"/>
  <c r="F6322" i="12"/>
  <c r="J6321" i="12"/>
  <c r="I6321" i="12"/>
  <c r="H6321" i="12"/>
  <c r="F6321" i="12"/>
  <c r="J6320" i="12"/>
  <c r="I6320" i="12"/>
  <c r="H6320" i="12"/>
  <c r="F6320" i="12"/>
  <c r="J6319" i="12"/>
  <c r="I6319" i="12"/>
  <c r="H6319" i="12"/>
  <c r="F6319" i="12"/>
  <c r="J6318" i="12"/>
  <c r="I6318" i="12"/>
  <c r="H6318" i="12"/>
  <c r="F6318" i="12"/>
  <c r="J6317" i="12"/>
  <c r="I6317" i="12"/>
  <c r="H6317" i="12"/>
  <c r="F6317" i="12"/>
  <c r="J6316" i="12"/>
  <c r="I6316" i="12"/>
  <c r="H6316" i="12"/>
  <c r="F6316" i="12"/>
  <c r="J6315" i="12"/>
  <c r="I6315" i="12"/>
  <c r="H6315" i="12"/>
  <c r="F6315" i="12"/>
  <c r="J6314" i="12"/>
  <c r="I6314" i="12"/>
  <c r="H6314" i="12"/>
  <c r="F6314" i="12"/>
  <c r="J6313" i="12"/>
  <c r="I6313" i="12"/>
  <c r="H6313" i="12"/>
  <c r="F6313" i="12"/>
  <c r="J6312" i="12"/>
  <c r="I6312" i="12"/>
  <c r="H6312" i="12"/>
  <c r="F6312" i="12"/>
  <c r="J6311" i="12"/>
  <c r="I6311" i="12"/>
  <c r="H6311" i="12"/>
  <c r="F6311" i="12"/>
  <c r="J6310" i="12"/>
  <c r="I6310" i="12"/>
  <c r="H6310" i="12"/>
  <c r="F6310" i="12"/>
  <c r="J6309" i="12"/>
  <c r="I6309" i="12"/>
  <c r="H6309" i="12"/>
  <c r="F6309" i="12"/>
  <c r="J6308" i="12"/>
  <c r="I6308" i="12"/>
  <c r="H6308" i="12"/>
  <c r="F6308" i="12"/>
  <c r="J6307" i="12"/>
  <c r="I6307" i="12"/>
  <c r="H6307" i="12"/>
  <c r="F6307" i="12"/>
  <c r="J6306" i="12"/>
  <c r="I6306" i="12"/>
  <c r="H6306" i="12"/>
  <c r="F6306" i="12"/>
  <c r="J6305" i="12"/>
  <c r="I6305" i="12"/>
  <c r="H6305" i="12"/>
  <c r="F6305" i="12"/>
  <c r="J6304" i="12"/>
  <c r="I6304" i="12"/>
  <c r="H6304" i="12"/>
  <c r="F6304" i="12"/>
  <c r="J6303" i="12"/>
  <c r="I6303" i="12"/>
  <c r="H6303" i="12"/>
  <c r="F6303" i="12"/>
  <c r="J6302" i="12"/>
  <c r="I6302" i="12"/>
  <c r="H6302" i="12"/>
  <c r="F6302" i="12"/>
  <c r="J6301" i="12"/>
  <c r="I6301" i="12"/>
  <c r="H6301" i="12"/>
  <c r="F6301" i="12"/>
  <c r="J6300" i="12"/>
  <c r="I6300" i="12"/>
  <c r="H6300" i="12"/>
  <c r="F6300" i="12"/>
  <c r="J6299" i="12"/>
  <c r="I6299" i="12"/>
  <c r="H6299" i="12"/>
  <c r="F6299" i="12"/>
  <c r="J6298" i="12"/>
  <c r="I6298" i="12"/>
  <c r="H6298" i="12"/>
  <c r="F6298" i="12"/>
  <c r="J6297" i="12"/>
  <c r="I6297" i="12"/>
  <c r="H6297" i="12"/>
  <c r="F6297" i="12"/>
  <c r="J6296" i="12"/>
  <c r="I6296" i="12"/>
  <c r="H6296" i="12"/>
  <c r="F6296" i="12"/>
  <c r="J6295" i="12"/>
  <c r="I6295" i="12"/>
  <c r="H6295" i="12"/>
  <c r="F6295" i="12"/>
  <c r="J6294" i="12"/>
  <c r="I6294" i="12"/>
  <c r="H6294" i="12"/>
  <c r="F6294" i="12"/>
  <c r="J6293" i="12"/>
  <c r="I6293" i="12"/>
  <c r="H6293" i="12"/>
  <c r="F6293" i="12"/>
  <c r="J6292" i="12"/>
  <c r="I6292" i="12"/>
  <c r="H6292" i="12"/>
  <c r="F6292" i="12"/>
  <c r="J6291" i="12"/>
  <c r="I6291" i="12"/>
  <c r="H6291" i="12"/>
  <c r="F6291" i="12"/>
  <c r="J6290" i="12"/>
  <c r="I6290" i="12"/>
  <c r="H6290" i="12"/>
  <c r="F6290" i="12"/>
  <c r="J6289" i="12"/>
  <c r="I6289" i="12"/>
  <c r="H6289" i="12"/>
  <c r="F6289" i="12"/>
  <c r="J6288" i="12"/>
  <c r="I6288" i="12"/>
  <c r="H6288" i="12"/>
  <c r="F6288" i="12"/>
  <c r="J6287" i="12"/>
  <c r="I6287" i="12"/>
  <c r="H6287" i="12"/>
  <c r="F6287" i="12"/>
  <c r="J6286" i="12"/>
  <c r="I6286" i="12"/>
  <c r="H6286" i="12"/>
  <c r="F6286" i="12"/>
  <c r="J6285" i="12"/>
  <c r="I6285" i="12"/>
  <c r="H6285" i="12"/>
  <c r="F6285" i="12"/>
  <c r="J6284" i="12"/>
  <c r="I6284" i="12"/>
  <c r="H6284" i="12"/>
  <c r="F6284" i="12"/>
  <c r="J6283" i="12"/>
  <c r="I6283" i="12"/>
  <c r="H6283" i="12"/>
  <c r="F6283" i="12"/>
  <c r="J6282" i="12"/>
  <c r="I6282" i="12"/>
  <c r="H6282" i="12"/>
  <c r="F6282" i="12"/>
  <c r="J6281" i="12"/>
  <c r="I6281" i="12"/>
  <c r="H6281" i="12"/>
  <c r="F6281" i="12"/>
  <c r="J6280" i="12"/>
  <c r="I6280" i="12"/>
  <c r="H6280" i="12"/>
  <c r="F6280" i="12"/>
  <c r="J6279" i="12"/>
  <c r="I6279" i="12"/>
  <c r="H6279" i="12"/>
  <c r="F6279" i="12"/>
  <c r="J6278" i="12"/>
  <c r="I6278" i="12"/>
  <c r="H6278" i="12"/>
  <c r="F6278" i="12"/>
  <c r="J6277" i="12"/>
  <c r="I6277" i="12"/>
  <c r="H6277" i="12"/>
  <c r="F6277" i="12"/>
  <c r="J6276" i="12"/>
  <c r="I6276" i="12"/>
  <c r="H6276" i="12"/>
  <c r="F6276" i="12"/>
  <c r="J6275" i="12"/>
  <c r="I6275" i="12"/>
  <c r="H6275" i="12"/>
  <c r="F6275" i="12"/>
  <c r="J6274" i="12"/>
  <c r="I6274" i="12"/>
  <c r="H6274" i="12"/>
  <c r="F6274" i="12"/>
  <c r="J6273" i="12"/>
  <c r="I6273" i="12"/>
  <c r="H6273" i="12"/>
  <c r="F6273" i="12"/>
  <c r="J6272" i="12"/>
  <c r="I6272" i="12"/>
  <c r="H6272" i="12"/>
  <c r="F6272" i="12"/>
  <c r="J6271" i="12"/>
  <c r="I6271" i="12"/>
  <c r="H6271" i="12"/>
  <c r="F6271" i="12"/>
  <c r="J6270" i="12"/>
  <c r="I6270" i="12"/>
  <c r="H6270" i="12"/>
  <c r="F6270" i="12"/>
  <c r="J6269" i="12"/>
  <c r="I6269" i="12"/>
  <c r="H6269" i="12"/>
  <c r="F6269" i="12"/>
  <c r="J6268" i="12"/>
  <c r="I6268" i="12"/>
  <c r="H6268" i="12"/>
  <c r="F6268" i="12"/>
  <c r="J6267" i="12"/>
  <c r="I6267" i="12"/>
  <c r="H6267" i="12"/>
  <c r="F6267" i="12"/>
  <c r="J6266" i="12"/>
  <c r="I6266" i="12"/>
  <c r="H6266" i="12"/>
  <c r="F6266" i="12"/>
  <c r="J6265" i="12"/>
  <c r="I6265" i="12"/>
  <c r="H6265" i="12"/>
  <c r="F6265" i="12"/>
  <c r="J6264" i="12"/>
  <c r="I6264" i="12"/>
  <c r="H6264" i="12"/>
  <c r="F6264" i="12"/>
  <c r="J6263" i="12"/>
  <c r="I6263" i="12"/>
  <c r="H6263" i="12"/>
  <c r="F6263" i="12"/>
  <c r="J6262" i="12"/>
  <c r="I6262" i="12"/>
  <c r="H6262" i="12"/>
  <c r="F6262" i="12"/>
  <c r="J6261" i="12"/>
  <c r="I6261" i="12"/>
  <c r="H6261" i="12"/>
  <c r="F6261" i="12"/>
  <c r="J6260" i="12"/>
  <c r="I6260" i="12"/>
  <c r="H6260" i="12"/>
  <c r="F6260" i="12"/>
  <c r="J6259" i="12"/>
  <c r="I6259" i="12"/>
  <c r="H6259" i="12"/>
  <c r="F6259" i="12"/>
  <c r="J6258" i="12"/>
  <c r="I6258" i="12"/>
  <c r="H6258" i="12"/>
  <c r="F6258" i="12"/>
  <c r="J6257" i="12"/>
  <c r="I6257" i="12"/>
  <c r="H6257" i="12"/>
  <c r="F6257" i="12"/>
  <c r="J6256" i="12"/>
  <c r="I6256" i="12"/>
  <c r="H6256" i="12"/>
  <c r="F6256" i="12"/>
  <c r="J6255" i="12"/>
  <c r="I6255" i="12"/>
  <c r="H6255" i="12"/>
  <c r="F6255" i="12"/>
  <c r="J6254" i="12"/>
  <c r="I6254" i="12"/>
  <c r="H6254" i="12"/>
  <c r="F6254" i="12"/>
  <c r="J6253" i="12"/>
  <c r="I6253" i="12"/>
  <c r="H6253" i="12"/>
  <c r="F6253" i="12"/>
  <c r="J6252" i="12"/>
  <c r="I6252" i="12"/>
  <c r="H6252" i="12"/>
  <c r="F6252" i="12"/>
  <c r="J6251" i="12"/>
  <c r="I6251" i="12"/>
  <c r="H6251" i="12"/>
  <c r="F6251" i="12"/>
  <c r="J6250" i="12"/>
  <c r="I6250" i="12"/>
  <c r="H6250" i="12"/>
  <c r="F6250" i="12"/>
  <c r="J6249" i="12"/>
  <c r="I6249" i="12"/>
  <c r="H6249" i="12"/>
  <c r="F6249" i="12"/>
  <c r="J6248" i="12"/>
  <c r="I6248" i="12"/>
  <c r="H6248" i="12"/>
  <c r="F6248" i="12"/>
  <c r="J6247" i="12"/>
  <c r="I6247" i="12"/>
  <c r="H6247" i="12"/>
  <c r="F6247" i="12"/>
  <c r="J6246" i="12"/>
  <c r="I6246" i="12"/>
  <c r="H6246" i="12"/>
  <c r="F6246" i="12"/>
  <c r="J6245" i="12"/>
  <c r="I6245" i="12"/>
  <c r="H6245" i="12"/>
  <c r="F6245" i="12"/>
  <c r="J6244" i="12"/>
  <c r="I6244" i="12"/>
  <c r="H6244" i="12"/>
  <c r="F6244" i="12"/>
  <c r="J6243" i="12"/>
  <c r="I6243" i="12"/>
  <c r="H6243" i="12"/>
  <c r="F6243" i="12"/>
  <c r="J6242" i="12"/>
  <c r="I6242" i="12"/>
  <c r="H6242" i="12"/>
  <c r="F6242" i="12"/>
  <c r="J6241" i="12"/>
  <c r="I6241" i="12"/>
  <c r="H6241" i="12"/>
  <c r="F6241" i="12"/>
  <c r="J6240" i="12"/>
  <c r="I6240" i="12"/>
  <c r="H6240" i="12"/>
  <c r="F6240" i="12"/>
  <c r="J6239" i="12"/>
  <c r="I6239" i="12"/>
  <c r="H6239" i="12"/>
  <c r="F6239" i="12"/>
  <c r="J6238" i="12"/>
  <c r="I6238" i="12"/>
  <c r="H6238" i="12"/>
  <c r="F6238" i="12"/>
  <c r="J6237" i="12"/>
  <c r="I6237" i="12"/>
  <c r="H6237" i="12"/>
  <c r="F6237" i="12"/>
  <c r="J6236" i="12"/>
  <c r="I6236" i="12"/>
  <c r="H6236" i="12"/>
  <c r="F6236" i="12"/>
  <c r="J6235" i="12"/>
  <c r="I6235" i="12"/>
  <c r="H6235" i="12"/>
  <c r="F6235" i="12"/>
  <c r="J6234" i="12"/>
  <c r="I6234" i="12"/>
  <c r="H6234" i="12"/>
  <c r="F6234" i="12"/>
  <c r="J6233" i="12"/>
  <c r="I6233" i="12"/>
  <c r="H6233" i="12"/>
  <c r="F6233" i="12"/>
  <c r="J6232" i="12"/>
  <c r="I6232" i="12"/>
  <c r="H6232" i="12"/>
  <c r="F6232" i="12"/>
  <c r="J6231" i="12"/>
  <c r="I6231" i="12"/>
  <c r="H6231" i="12"/>
  <c r="F6231" i="12"/>
  <c r="J6230" i="12"/>
  <c r="I6230" i="12"/>
  <c r="H6230" i="12"/>
  <c r="F6230" i="12"/>
  <c r="J6229" i="12"/>
  <c r="I6229" i="12"/>
  <c r="H6229" i="12"/>
  <c r="F6229" i="12"/>
  <c r="J6228" i="12"/>
  <c r="I6228" i="12"/>
  <c r="H6228" i="12"/>
  <c r="F6228" i="12"/>
  <c r="J6227" i="12"/>
  <c r="I6227" i="12"/>
  <c r="H6227" i="12"/>
  <c r="F6227" i="12"/>
  <c r="J6226" i="12"/>
  <c r="I6226" i="12"/>
  <c r="H6226" i="12"/>
  <c r="F6226" i="12"/>
  <c r="J6225" i="12"/>
  <c r="I6225" i="12"/>
  <c r="H6225" i="12"/>
  <c r="F6225" i="12"/>
  <c r="J6224" i="12"/>
  <c r="I6224" i="12"/>
  <c r="H6224" i="12"/>
  <c r="F6224" i="12"/>
  <c r="J6223" i="12"/>
  <c r="I6223" i="12"/>
  <c r="H6223" i="12"/>
  <c r="F6223" i="12"/>
  <c r="J6222" i="12"/>
  <c r="I6222" i="12"/>
  <c r="H6222" i="12"/>
  <c r="F6222" i="12"/>
  <c r="J6221" i="12"/>
  <c r="I6221" i="12"/>
  <c r="H6221" i="12"/>
  <c r="F6221" i="12"/>
  <c r="J6220" i="12"/>
  <c r="I6220" i="12"/>
  <c r="H6220" i="12"/>
  <c r="F6220" i="12"/>
  <c r="J6219" i="12"/>
  <c r="I6219" i="12"/>
  <c r="H6219" i="12"/>
  <c r="F6219" i="12"/>
  <c r="J6218" i="12"/>
  <c r="I6218" i="12"/>
  <c r="H6218" i="12"/>
  <c r="F6218" i="12"/>
  <c r="J6217" i="12"/>
  <c r="I6217" i="12"/>
  <c r="H6217" i="12"/>
  <c r="F6217" i="12"/>
  <c r="J6216" i="12"/>
  <c r="I6216" i="12"/>
  <c r="H6216" i="12"/>
  <c r="F6216" i="12"/>
  <c r="J6215" i="12"/>
  <c r="I6215" i="12"/>
  <c r="H6215" i="12"/>
  <c r="F6215" i="12"/>
  <c r="J6214" i="12"/>
  <c r="I6214" i="12"/>
  <c r="H6214" i="12"/>
  <c r="F6214" i="12"/>
  <c r="J6213" i="12"/>
  <c r="I6213" i="12"/>
  <c r="H6213" i="12"/>
  <c r="F6213" i="12"/>
  <c r="J6212" i="12"/>
  <c r="I6212" i="12"/>
  <c r="H6212" i="12"/>
  <c r="F6212" i="12"/>
  <c r="J6211" i="12"/>
  <c r="I6211" i="12"/>
  <c r="H6211" i="12"/>
  <c r="F6211" i="12"/>
  <c r="J6210" i="12"/>
  <c r="I6210" i="12"/>
  <c r="H6210" i="12"/>
  <c r="F6210" i="12"/>
  <c r="J6209" i="12"/>
  <c r="I6209" i="12"/>
  <c r="H6209" i="12"/>
  <c r="F6209" i="12"/>
  <c r="J6208" i="12"/>
  <c r="I6208" i="12"/>
  <c r="H6208" i="12"/>
  <c r="F6208" i="12"/>
  <c r="J6207" i="12"/>
  <c r="I6207" i="12"/>
  <c r="H6207" i="12"/>
  <c r="F6207" i="12"/>
  <c r="J6206" i="12"/>
  <c r="I6206" i="12"/>
  <c r="H6206" i="12"/>
  <c r="F6206" i="12"/>
  <c r="J6205" i="12"/>
  <c r="I6205" i="12"/>
  <c r="H6205" i="12"/>
  <c r="F6205" i="12"/>
  <c r="J6204" i="12"/>
  <c r="I6204" i="12"/>
  <c r="H6204" i="12"/>
  <c r="F6204" i="12"/>
  <c r="J6203" i="12"/>
  <c r="I6203" i="12"/>
  <c r="H6203" i="12"/>
  <c r="F6203" i="12"/>
  <c r="J6202" i="12"/>
  <c r="I6202" i="12"/>
  <c r="H6202" i="12"/>
  <c r="F6202" i="12"/>
  <c r="J6201" i="12"/>
  <c r="I6201" i="12"/>
  <c r="H6201" i="12"/>
  <c r="F6201" i="12"/>
  <c r="J6200" i="12"/>
  <c r="I6200" i="12"/>
  <c r="H6200" i="12"/>
  <c r="F6200" i="12"/>
  <c r="J6199" i="12"/>
  <c r="I6199" i="12"/>
  <c r="H6199" i="12"/>
  <c r="F6199" i="12"/>
  <c r="J6198" i="12"/>
  <c r="I6198" i="12"/>
  <c r="H6198" i="12"/>
  <c r="F6198" i="12"/>
  <c r="J6197" i="12"/>
  <c r="I6197" i="12"/>
  <c r="H6197" i="12"/>
  <c r="F6197" i="12"/>
  <c r="J6196" i="12"/>
  <c r="I6196" i="12"/>
  <c r="H6196" i="12"/>
  <c r="F6196" i="12"/>
  <c r="J6195" i="12"/>
  <c r="I6195" i="12"/>
  <c r="H6195" i="12"/>
  <c r="F6195" i="12"/>
  <c r="J6194" i="12"/>
  <c r="I6194" i="12"/>
  <c r="H6194" i="12"/>
  <c r="F6194" i="12"/>
  <c r="J6193" i="12"/>
  <c r="I6193" i="12"/>
  <c r="H6193" i="12"/>
  <c r="F6193" i="12"/>
  <c r="J6192" i="12"/>
  <c r="I6192" i="12"/>
  <c r="H6192" i="12"/>
  <c r="F6192" i="12"/>
  <c r="J6191" i="12"/>
  <c r="I6191" i="12"/>
  <c r="H6191" i="12"/>
  <c r="F6191" i="12"/>
  <c r="J6190" i="12"/>
  <c r="I6190" i="12"/>
  <c r="H6190" i="12"/>
  <c r="F6190" i="12"/>
  <c r="J6189" i="12"/>
  <c r="I6189" i="12"/>
  <c r="H6189" i="12"/>
  <c r="F6189" i="12"/>
  <c r="J6188" i="12"/>
  <c r="I6188" i="12"/>
  <c r="H6188" i="12"/>
  <c r="F6188" i="12"/>
  <c r="J6187" i="12"/>
  <c r="I6187" i="12"/>
  <c r="H6187" i="12"/>
  <c r="F6187" i="12"/>
  <c r="J6186" i="12"/>
  <c r="I6186" i="12"/>
  <c r="H6186" i="12"/>
  <c r="F6186" i="12"/>
  <c r="J6185" i="12"/>
  <c r="I6185" i="12"/>
  <c r="H6185" i="12"/>
  <c r="F6185" i="12"/>
  <c r="J6184" i="12"/>
  <c r="I6184" i="12"/>
  <c r="H6184" i="12"/>
  <c r="F6184" i="12"/>
  <c r="J6183" i="12"/>
  <c r="I6183" i="12"/>
  <c r="H6183" i="12"/>
  <c r="F6183" i="12"/>
  <c r="J6182" i="12"/>
  <c r="I6182" i="12"/>
  <c r="H6182" i="12"/>
  <c r="F6182" i="12"/>
  <c r="J6181" i="12"/>
  <c r="I6181" i="12"/>
  <c r="H6181" i="12"/>
  <c r="F6181" i="12"/>
  <c r="J6180" i="12"/>
  <c r="I6180" i="12"/>
  <c r="H6180" i="12"/>
  <c r="F6180" i="12"/>
  <c r="J6179" i="12"/>
  <c r="I6179" i="12"/>
  <c r="H6179" i="12"/>
  <c r="F6179" i="12"/>
  <c r="J6178" i="12"/>
  <c r="I6178" i="12"/>
  <c r="H6178" i="12"/>
  <c r="F6178" i="12"/>
  <c r="J6177" i="12"/>
  <c r="I6177" i="12"/>
  <c r="H6177" i="12"/>
  <c r="F6177" i="12"/>
  <c r="J6176" i="12"/>
  <c r="I6176" i="12"/>
  <c r="H6176" i="12"/>
  <c r="F6176" i="12"/>
  <c r="J6175" i="12"/>
  <c r="I6175" i="12"/>
  <c r="H6175" i="12"/>
  <c r="F6175" i="12"/>
  <c r="J6174" i="12"/>
  <c r="I6174" i="12"/>
  <c r="H6174" i="12"/>
  <c r="F6174" i="12"/>
  <c r="J6173" i="12"/>
  <c r="I6173" i="12"/>
  <c r="H6173" i="12"/>
  <c r="F6173" i="12"/>
  <c r="J6172" i="12"/>
  <c r="I6172" i="12"/>
  <c r="H6172" i="12"/>
  <c r="F6172" i="12"/>
  <c r="J6171" i="12"/>
  <c r="I6171" i="12"/>
  <c r="H6171" i="12"/>
  <c r="F6171" i="12"/>
  <c r="J6170" i="12"/>
  <c r="I6170" i="12"/>
  <c r="H6170" i="12"/>
  <c r="F6170" i="12"/>
  <c r="J6169" i="12"/>
  <c r="I6169" i="12"/>
  <c r="H6169" i="12"/>
  <c r="F6169" i="12"/>
  <c r="J6168" i="12"/>
  <c r="I6168" i="12"/>
  <c r="H6168" i="12"/>
  <c r="F6168" i="12"/>
  <c r="J6167" i="12"/>
  <c r="I6167" i="12"/>
  <c r="H6167" i="12"/>
  <c r="F6167" i="12"/>
  <c r="J6166" i="12"/>
  <c r="I6166" i="12"/>
  <c r="H6166" i="12"/>
  <c r="F6166" i="12"/>
  <c r="J6165" i="12"/>
  <c r="I6165" i="12"/>
  <c r="H6165" i="12"/>
  <c r="F6165" i="12"/>
  <c r="J6164" i="12"/>
  <c r="I6164" i="12"/>
  <c r="H6164" i="12"/>
  <c r="F6164" i="12"/>
  <c r="J6163" i="12"/>
  <c r="I6163" i="12"/>
  <c r="H6163" i="12"/>
  <c r="F6163" i="12"/>
  <c r="J6162" i="12"/>
  <c r="I6162" i="12"/>
  <c r="H6162" i="12"/>
  <c r="F6162" i="12"/>
  <c r="J6161" i="12"/>
  <c r="I6161" i="12"/>
  <c r="H6161" i="12"/>
  <c r="F6161" i="12"/>
  <c r="J6160" i="12"/>
  <c r="I6160" i="12"/>
  <c r="H6160" i="12"/>
  <c r="F6160" i="12"/>
  <c r="J6159" i="12"/>
  <c r="I6159" i="12"/>
  <c r="H6159" i="12"/>
  <c r="F6159" i="12"/>
  <c r="J6158" i="12"/>
  <c r="I6158" i="12"/>
  <c r="H6158" i="12"/>
  <c r="F6158" i="12"/>
  <c r="J6157" i="12"/>
  <c r="I6157" i="12"/>
  <c r="H6157" i="12"/>
  <c r="F6157" i="12"/>
  <c r="J6156" i="12"/>
  <c r="I6156" i="12"/>
  <c r="H6156" i="12"/>
  <c r="F6156" i="12"/>
  <c r="J6155" i="12"/>
  <c r="I6155" i="12"/>
  <c r="H6155" i="12"/>
  <c r="F6155" i="12"/>
  <c r="J6154" i="12"/>
  <c r="I6154" i="12"/>
  <c r="H6154" i="12"/>
  <c r="F6154" i="12"/>
  <c r="J6153" i="12"/>
  <c r="I6153" i="12"/>
  <c r="H6153" i="12"/>
  <c r="F6153" i="12"/>
  <c r="J6152" i="12"/>
  <c r="I6152" i="12"/>
  <c r="H6152" i="12"/>
  <c r="F6152" i="12"/>
  <c r="J6151" i="12"/>
  <c r="I6151" i="12"/>
  <c r="H6151" i="12"/>
  <c r="F6151" i="12"/>
  <c r="J6150" i="12"/>
  <c r="I6150" i="12"/>
  <c r="H6150" i="12"/>
  <c r="F6150" i="12"/>
  <c r="J6149" i="12"/>
  <c r="I6149" i="12"/>
  <c r="H6149" i="12"/>
  <c r="F6149" i="12"/>
  <c r="J6148" i="12"/>
  <c r="I6148" i="12"/>
  <c r="H6148" i="12"/>
  <c r="F6148" i="12"/>
  <c r="J6147" i="12"/>
  <c r="I6147" i="12"/>
  <c r="H6147" i="12"/>
  <c r="F6147" i="12"/>
  <c r="J6146" i="12"/>
  <c r="I6146" i="12"/>
  <c r="H6146" i="12"/>
  <c r="F6146" i="12"/>
  <c r="J6145" i="12"/>
  <c r="I6145" i="12"/>
  <c r="H6145" i="12"/>
  <c r="F6145" i="12"/>
  <c r="J6144" i="12"/>
  <c r="I6144" i="12"/>
  <c r="H6144" i="12"/>
  <c r="F6144" i="12"/>
  <c r="J6143" i="12"/>
  <c r="I6143" i="12"/>
  <c r="H6143" i="12"/>
  <c r="F6143" i="12"/>
  <c r="J6142" i="12"/>
  <c r="I6142" i="12"/>
  <c r="H6142" i="12"/>
  <c r="F6142" i="12"/>
  <c r="J6141" i="12"/>
  <c r="I6141" i="12"/>
  <c r="H6141" i="12"/>
  <c r="F6141" i="12"/>
  <c r="J6140" i="12"/>
  <c r="I6140" i="12"/>
  <c r="H6140" i="12"/>
  <c r="F6140" i="12"/>
  <c r="J6139" i="12"/>
  <c r="I6139" i="12"/>
  <c r="H6139" i="12"/>
  <c r="F6139" i="12"/>
  <c r="J6138" i="12"/>
  <c r="I6138" i="12"/>
  <c r="H6138" i="12"/>
  <c r="F6138" i="12"/>
  <c r="J6137" i="12"/>
  <c r="I6137" i="12"/>
  <c r="H6137" i="12"/>
  <c r="F6137" i="12"/>
  <c r="J6136" i="12"/>
  <c r="I6136" i="12"/>
  <c r="H6136" i="12"/>
  <c r="F6136" i="12"/>
  <c r="J6135" i="12"/>
  <c r="I6135" i="12"/>
  <c r="H6135" i="12"/>
  <c r="F6135" i="12"/>
  <c r="J6134" i="12"/>
  <c r="I6134" i="12"/>
  <c r="H6134" i="12"/>
  <c r="F6134" i="12"/>
  <c r="J6133" i="12"/>
  <c r="I6133" i="12"/>
  <c r="H6133" i="12"/>
  <c r="F6133" i="12"/>
  <c r="J6132" i="12"/>
  <c r="I6132" i="12"/>
  <c r="H6132" i="12"/>
  <c r="F6132" i="12"/>
  <c r="J6131" i="12"/>
  <c r="I6131" i="12"/>
  <c r="H6131" i="12"/>
  <c r="F6131" i="12"/>
  <c r="J6130" i="12"/>
  <c r="I6130" i="12"/>
  <c r="H6130" i="12"/>
  <c r="F6130" i="12"/>
  <c r="J6129" i="12"/>
  <c r="I6129" i="12"/>
  <c r="H6129" i="12"/>
  <c r="F6129" i="12"/>
  <c r="J6128" i="12"/>
  <c r="I6128" i="12"/>
  <c r="H6128" i="12"/>
  <c r="F6128" i="12"/>
  <c r="J6127" i="12"/>
  <c r="I6127" i="12"/>
  <c r="H6127" i="12"/>
  <c r="F6127" i="12"/>
  <c r="J6126" i="12"/>
  <c r="I6126" i="12"/>
  <c r="H6126" i="12"/>
  <c r="F6126" i="12"/>
  <c r="J6125" i="12"/>
  <c r="I6125" i="12"/>
  <c r="H6125" i="12"/>
  <c r="F6125" i="12"/>
  <c r="J6124" i="12"/>
  <c r="I6124" i="12"/>
  <c r="H6124" i="12"/>
  <c r="F6124" i="12"/>
  <c r="J6123" i="12"/>
  <c r="I6123" i="12"/>
  <c r="H6123" i="12"/>
  <c r="F6123" i="12"/>
  <c r="J6122" i="12"/>
  <c r="I6122" i="12"/>
  <c r="H6122" i="12"/>
  <c r="F6122" i="12"/>
  <c r="J6121" i="12"/>
  <c r="I6121" i="12"/>
  <c r="H6121" i="12"/>
  <c r="F6121" i="12"/>
  <c r="J6120" i="12"/>
  <c r="I6120" i="12"/>
  <c r="H6120" i="12"/>
  <c r="F6120" i="12"/>
  <c r="J6119" i="12"/>
  <c r="I6119" i="12"/>
  <c r="H6119" i="12"/>
  <c r="F6119" i="12"/>
  <c r="J6118" i="12"/>
  <c r="I6118" i="12"/>
  <c r="H6118" i="12"/>
  <c r="F6118" i="12"/>
  <c r="J6117" i="12"/>
  <c r="I6117" i="12"/>
  <c r="H6117" i="12"/>
  <c r="F6117" i="12"/>
  <c r="J6116" i="12"/>
  <c r="I6116" i="12"/>
  <c r="H6116" i="12"/>
  <c r="F6116" i="12"/>
  <c r="J6115" i="12"/>
  <c r="I6115" i="12"/>
  <c r="H6115" i="12"/>
  <c r="F6115" i="12"/>
  <c r="J6114" i="12"/>
  <c r="I6114" i="12"/>
  <c r="H6114" i="12"/>
  <c r="F6114" i="12"/>
  <c r="J6113" i="12"/>
  <c r="I6113" i="12"/>
  <c r="H6113" i="12"/>
  <c r="F6113" i="12"/>
  <c r="J6112" i="12"/>
  <c r="I6112" i="12"/>
  <c r="H6112" i="12"/>
  <c r="F6112" i="12"/>
  <c r="J6111" i="12"/>
  <c r="I6111" i="12"/>
  <c r="H6111" i="12"/>
  <c r="F6111" i="12"/>
  <c r="J6110" i="12"/>
  <c r="I6110" i="12"/>
  <c r="H6110" i="12"/>
  <c r="F6110" i="12"/>
  <c r="J6109" i="12"/>
  <c r="I6109" i="12"/>
  <c r="H6109" i="12"/>
  <c r="F6109" i="12"/>
  <c r="J6108" i="12"/>
  <c r="I6108" i="12"/>
  <c r="H6108" i="12"/>
  <c r="F6108" i="12"/>
  <c r="J6107" i="12"/>
  <c r="I6107" i="12"/>
  <c r="H6107" i="12"/>
  <c r="F6107" i="12"/>
  <c r="J6106" i="12"/>
  <c r="I6106" i="12"/>
  <c r="H6106" i="12"/>
  <c r="F6106" i="12"/>
  <c r="J6105" i="12"/>
  <c r="I6105" i="12"/>
  <c r="H6105" i="12"/>
  <c r="F6105" i="12"/>
  <c r="J6104" i="12"/>
  <c r="I6104" i="12"/>
  <c r="H6104" i="12"/>
  <c r="F6104" i="12"/>
  <c r="J6103" i="12"/>
  <c r="I6103" i="12"/>
  <c r="H6103" i="12"/>
  <c r="F6103" i="12"/>
  <c r="J6102" i="12"/>
  <c r="I6102" i="12"/>
  <c r="H6102" i="12"/>
  <c r="F6102" i="12"/>
  <c r="J6101" i="12"/>
  <c r="I6101" i="12"/>
  <c r="H6101" i="12"/>
  <c r="F6101" i="12"/>
  <c r="J6100" i="12"/>
  <c r="I6100" i="12"/>
  <c r="H6100" i="12"/>
  <c r="F6100" i="12"/>
  <c r="J6099" i="12"/>
  <c r="I6099" i="12"/>
  <c r="H6099" i="12"/>
  <c r="F6099" i="12"/>
  <c r="J6098" i="12"/>
  <c r="I6098" i="12"/>
  <c r="H6098" i="12"/>
  <c r="F6098" i="12"/>
  <c r="J6097" i="12"/>
  <c r="I6097" i="12"/>
  <c r="H6097" i="12"/>
  <c r="F6097" i="12"/>
  <c r="J6096" i="12"/>
  <c r="I6096" i="12"/>
  <c r="H6096" i="12"/>
  <c r="F6096" i="12"/>
  <c r="J6095" i="12"/>
  <c r="I6095" i="12"/>
  <c r="H6095" i="12"/>
  <c r="F6095" i="12"/>
  <c r="J6094" i="12"/>
  <c r="I6094" i="12"/>
  <c r="H6094" i="12"/>
  <c r="F6094" i="12"/>
  <c r="J6093" i="12"/>
  <c r="I6093" i="12"/>
  <c r="H6093" i="12"/>
  <c r="F6093" i="12"/>
  <c r="J6092" i="12"/>
  <c r="I6092" i="12"/>
  <c r="H6092" i="12"/>
  <c r="F6092" i="12"/>
  <c r="J6091" i="12"/>
  <c r="I6091" i="12"/>
  <c r="H6091" i="12"/>
  <c r="F6091" i="12"/>
  <c r="J6090" i="12"/>
  <c r="I6090" i="12"/>
  <c r="H6090" i="12"/>
  <c r="F6090" i="12"/>
  <c r="J6089" i="12"/>
  <c r="I6089" i="12"/>
  <c r="H6089" i="12"/>
  <c r="F6089" i="12"/>
  <c r="J6088" i="12"/>
  <c r="I6088" i="12"/>
  <c r="H6088" i="12"/>
  <c r="F6088" i="12"/>
  <c r="J6087" i="12"/>
  <c r="I6087" i="12"/>
  <c r="H6087" i="12"/>
  <c r="F6087" i="12"/>
  <c r="J6086" i="12"/>
  <c r="I6086" i="12"/>
  <c r="H6086" i="12"/>
  <c r="F6086" i="12"/>
  <c r="J6085" i="12"/>
  <c r="I6085" i="12"/>
  <c r="H6085" i="12"/>
  <c r="F6085" i="12"/>
  <c r="J6084" i="12"/>
  <c r="I6084" i="12"/>
  <c r="H6084" i="12"/>
  <c r="F6084" i="12"/>
  <c r="J6083" i="12"/>
  <c r="I6083" i="12"/>
  <c r="H6083" i="12"/>
  <c r="F6083" i="12"/>
  <c r="J6082" i="12"/>
  <c r="I6082" i="12"/>
  <c r="H6082" i="12"/>
  <c r="F6082" i="12"/>
  <c r="J6081" i="12"/>
  <c r="I6081" i="12"/>
  <c r="H6081" i="12"/>
  <c r="F6081" i="12"/>
  <c r="J6080" i="12"/>
  <c r="I6080" i="12"/>
  <c r="H6080" i="12"/>
  <c r="F6080" i="12"/>
  <c r="J6079" i="12"/>
  <c r="I6079" i="12"/>
  <c r="H6079" i="12"/>
  <c r="F6079" i="12"/>
  <c r="J6078" i="12"/>
  <c r="I6078" i="12"/>
  <c r="H6078" i="12"/>
  <c r="F6078" i="12"/>
  <c r="J6077" i="12"/>
  <c r="I6077" i="12"/>
  <c r="H6077" i="12"/>
  <c r="F6077" i="12"/>
  <c r="J6076" i="12"/>
  <c r="I6076" i="12"/>
  <c r="H6076" i="12"/>
  <c r="F6076" i="12"/>
  <c r="J6075" i="12"/>
  <c r="I6075" i="12"/>
  <c r="H6075" i="12"/>
  <c r="F6075" i="12"/>
  <c r="J6074" i="12"/>
  <c r="I6074" i="12"/>
  <c r="H6074" i="12"/>
  <c r="F6074" i="12"/>
  <c r="J6073" i="12"/>
  <c r="I6073" i="12"/>
  <c r="H6073" i="12"/>
  <c r="F6073" i="12"/>
  <c r="J6072" i="12"/>
  <c r="I6072" i="12"/>
  <c r="H6072" i="12"/>
  <c r="F6072" i="12"/>
  <c r="J6071" i="12"/>
  <c r="I6071" i="12"/>
  <c r="H6071" i="12"/>
  <c r="F6071" i="12"/>
  <c r="J6070" i="12"/>
  <c r="I6070" i="12"/>
  <c r="H6070" i="12"/>
  <c r="F6070" i="12"/>
  <c r="J6069" i="12"/>
  <c r="I6069" i="12"/>
  <c r="H6069" i="12"/>
  <c r="F6069" i="12"/>
  <c r="J6068" i="12"/>
  <c r="I6068" i="12"/>
  <c r="H6068" i="12"/>
  <c r="F6068" i="12"/>
  <c r="J6067" i="12"/>
  <c r="I6067" i="12"/>
  <c r="H6067" i="12"/>
  <c r="F6067" i="12"/>
  <c r="J6066" i="12"/>
  <c r="I6066" i="12"/>
  <c r="H6066" i="12"/>
  <c r="F6066" i="12"/>
  <c r="J6065" i="12"/>
  <c r="I6065" i="12"/>
  <c r="H6065" i="12"/>
  <c r="F6065" i="12"/>
  <c r="J6064" i="12"/>
  <c r="I6064" i="12"/>
  <c r="H6064" i="12"/>
  <c r="F6064" i="12"/>
  <c r="J6063" i="12"/>
  <c r="I6063" i="12"/>
  <c r="H6063" i="12"/>
  <c r="F6063" i="12"/>
  <c r="J6062" i="12"/>
  <c r="I6062" i="12"/>
  <c r="H6062" i="12"/>
  <c r="F6062" i="12"/>
  <c r="J6061" i="12"/>
  <c r="I6061" i="12"/>
  <c r="H6061" i="12"/>
  <c r="F6061" i="12"/>
  <c r="J6060" i="12"/>
  <c r="I6060" i="12"/>
  <c r="H6060" i="12"/>
  <c r="F6060" i="12"/>
  <c r="J6059" i="12"/>
  <c r="I6059" i="12"/>
  <c r="H6059" i="12"/>
  <c r="F6059" i="12"/>
  <c r="J6058" i="12"/>
  <c r="I6058" i="12"/>
  <c r="H6058" i="12"/>
  <c r="F6058" i="12"/>
  <c r="J6057" i="12"/>
  <c r="I6057" i="12"/>
  <c r="H6057" i="12"/>
  <c r="F6057" i="12"/>
  <c r="J6056" i="12"/>
  <c r="I6056" i="12"/>
  <c r="H6056" i="12"/>
  <c r="F6056" i="12"/>
  <c r="J6055" i="12"/>
  <c r="I6055" i="12"/>
  <c r="H6055" i="12"/>
  <c r="F6055" i="12"/>
  <c r="J6054" i="12"/>
  <c r="I6054" i="12"/>
  <c r="H6054" i="12"/>
  <c r="F6054" i="12"/>
  <c r="J6053" i="12"/>
  <c r="I6053" i="12"/>
  <c r="H6053" i="12"/>
  <c r="F6053" i="12"/>
  <c r="J6052" i="12"/>
  <c r="I6052" i="12"/>
  <c r="H6052" i="12"/>
  <c r="F6052" i="12"/>
  <c r="J6051" i="12"/>
  <c r="I6051" i="12"/>
  <c r="H6051" i="12"/>
  <c r="F6051" i="12"/>
  <c r="J6050" i="12"/>
  <c r="I6050" i="12"/>
  <c r="H6050" i="12"/>
  <c r="F6050" i="12"/>
  <c r="J6049" i="12"/>
  <c r="I6049" i="12"/>
  <c r="H6049" i="12"/>
  <c r="F6049" i="12"/>
  <c r="J6048" i="12"/>
  <c r="I6048" i="12"/>
  <c r="H6048" i="12"/>
  <c r="F6048" i="12"/>
  <c r="J6047" i="12"/>
  <c r="I6047" i="12"/>
  <c r="H6047" i="12"/>
  <c r="F6047" i="12"/>
  <c r="J6046" i="12"/>
  <c r="I6046" i="12"/>
  <c r="H6046" i="12"/>
  <c r="F6046" i="12"/>
  <c r="J6045" i="12"/>
  <c r="I6045" i="12"/>
  <c r="H6045" i="12"/>
  <c r="F6045" i="12"/>
  <c r="J6044" i="12"/>
  <c r="I6044" i="12"/>
  <c r="H6044" i="12"/>
  <c r="F6044" i="12"/>
  <c r="J6043" i="12"/>
  <c r="I6043" i="12"/>
  <c r="H6043" i="12"/>
  <c r="F6043" i="12"/>
  <c r="J6042" i="12"/>
  <c r="I6042" i="12"/>
  <c r="H6042" i="12"/>
  <c r="F6042" i="12"/>
  <c r="J6041" i="12"/>
  <c r="I6041" i="12"/>
  <c r="H6041" i="12"/>
  <c r="F6041" i="12"/>
  <c r="J6040" i="12"/>
  <c r="I6040" i="12"/>
  <c r="H6040" i="12"/>
  <c r="F6040" i="12"/>
  <c r="J6039" i="12"/>
  <c r="I6039" i="12"/>
  <c r="H6039" i="12"/>
  <c r="F6039" i="12"/>
  <c r="J6038" i="12"/>
  <c r="I6038" i="12"/>
  <c r="H6038" i="12"/>
  <c r="F6038" i="12"/>
  <c r="J6037" i="12"/>
  <c r="I6037" i="12"/>
  <c r="H6037" i="12"/>
  <c r="F6037" i="12"/>
  <c r="J6036" i="12"/>
  <c r="I6036" i="12"/>
  <c r="H6036" i="12"/>
  <c r="F6036" i="12"/>
  <c r="J6035" i="12"/>
  <c r="I6035" i="12"/>
  <c r="H6035" i="12"/>
  <c r="F6035" i="12"/>
  <c r="J6034" i="12"/>
  <c r="I6034" i="12"/>
  <c r="H6034" i="12"/>
  <c r="F6034" i="12"/>
  <c r="J6033" i="12"/>
  <c r="I6033" i="12"/>
  <c r="H6033" i="12"/>
  <c r="F6033" i="12"/>
  <c r="J6032" i="12"/>
  <c r="I6032" i="12"/>
  <c r="H6032" i="12"/>
  <c r="F6032" i="12"/>
  <c r="J6031" i="12"/>
  <c r="I6031" i="12"/>
  <c r="H6031" i="12"/>
  <c r="F6031" i="12"/>
  <c r="J6030" i="12"/>
  <c r="I6030" i="12"/>
  <c r="H6030" i="12"/>
  <c r="F6030" i="12"/>
  <c r="J6029" i="12"/>
  <c r="I6029" i="12"/>
  <c r="H6029" i="12"/>
  <c r="F6029" i="12"/>
  <c r="J6028" i="12"/>
  <c r="I6028" i="12"/>
  <c r="H6028" i="12"/>
  <c r="F6028" i="12"/>
  <c r="J6027" i="12"/>
  <c r="I6027" i="12"/>
  <c r="H6027" i="12"/>
  <c r="F6027" i="12"/>
  <c r="J6026" i="12"/>
  <c r="I6026" i="12"/>
  <c r="H6026" i="12"/>
  <c r="F6026" i="12"/>
  <c r="J6025" i="12"/>
  <c r="I6025" i="12"/>
  <c r="H6025" i="12"/>
  <c r="F6025" i="12"/>
  <c r="J6024" i="12"/>
  <c r="I6024" i="12"/>
  <c r="H6024" i="12"/>
  <c r="F6024" i="12"/>
  <c r="J6023" i="12"/>
  <c r="I6023" i="12"/>
  <c r="H6023" i="12"/>
  <c r="F6023" i="12"/>
  <c r="J6022" i="12"/>
  <c r="I6022" i="12"/>
  <c r="H6022" i="12"/>
  <c r="F6022" i="12"/>
  <c r="J6021" i="12"/>
  <c r="I6021" i="12"/>
  <c r="H6021" i="12"/>
  <c r="F6021" i="12"/>
  <c r="J6020" i="12"/>
  <c r="I6020" i="12"/>
  <c r="H6020" i="12"/>
  <c r="F6020" i="12"/>
  <c r="J6019" i="12"/>
  <c r="I6019" i="12"/>
  <c r="H6019" i="12"/>
  <c r="F6019" i="12"/>
  <c r="J6018" i="12"/>
  <c r="I6018" i="12"/>
  <c r="H6018" i="12"/>
  <c r="F6018" i="12"/>
  <c r="J6017" i="12"/>
  <c r="I6017" i="12"/>
  <c r="H6017" i="12"/>
  <c r="F6017" i="12"/>
  <c r="J6016" i="12"/>
  <c r="I6016" i="12"/>
  <c r="H6016" i="12"/>
  <c r="F6016" i="12"/>
  <c r="J6015" i="12"/>
  <c r="I6015" i="12"/>
  <c r="H6015" i="12"/>
  <c r="F6015" i="12"/>
  <c r="J6014" i="12"/>
  <c r="I6014" i="12"/>
  <c r="H6014" i="12"/>
  <c r="F6014" i="12"/>
  <c r="J6013" i="12"/>
  <c r="I6013" i="12"/>
  <c r="H6013" i="12"/>
  <c r="F6013" i="12"/>
  <c r="J6012" i="12"/>
  <c r="I6012" i="12"/>
  <c r="H6012" i="12"/>
  <c r="F6012" i="12"/>
  <c r="J6011" i="12"/>
  <c r="I6011" i="12"/>
  <c r="H6011" i="12"/>
  <c r="F6011" i="12"/>
  <c r="J6010" i="12"/>
  <c r="I6010" i="12"/>
  <c r="H6010" i="12"/>
  <c r="F6010" i="12"/>
  <c r="J6009" i="12"/>
  <c r="I6009" i="12"/>
  <c r="H6009" i="12"/>
  <c r="F6009" i="12"/>
  <c r="J6008" i="12"/>
  <c r="I6008" i="12"/>
  <c r="H6008" i="12"/>
  <c r="F6008" i="12"/>
  <c r="J6007" i="12"/>
  <c r="I6007" i="12"/>
  <c r="H6007" i="12"/>
  <c r="F6007" i="12"/>
  <c r="J6006" i="12"/>
  <c r="I6006" i="12"/>
  <c r="H6006" i="12"/>
  <c r="F6006" i="12"/>
  <c r="J6005" i="12"/>
  <c r="I6005" i="12"/>
  <c r="H6005" i="12"/>
  <c r="F6005" i="12"/>
  <c r="J6004" i="12"/>
  <c r="I6004" i="12"/>
  <c r="H6004" i="12"/>
  <c r="F6004" i="12"/>
  <c r="J6003" i="12"/>
  <c r="I6003" i="12"/>
  <c r="H6003" i="12"/>
  <c r="F6003" i="12"/>
  <c r="J6002" i="12"/>
  <c r="I6002" i="12"/>
  <c r="H6002" i="12"/>
  <c r="F6002" i="12"/>
  <c r="J6001" i="12"/>
  <c r="I6001" i="12"/>
  <c r="H6001" i="12"/>
  <c r="F6001" i="12"/>
  <c r="J6000" i="12"/>
  <c r="I6000" i="12"/>
  <c r="H6000" i="12"/>
  <c r="F6000" i="12"/>
  <c r="J5999" i="12"/>
  <c r="I5999" i="12"/>
  <c r="H5999" i="12"/>
  <c r="F5999" i="12"/>
  <c r="J5998" i="12"/>
  <c r="I5998" i="12"/>
  <c r="H5998" i="12"/>
  <c r="F5998" i="12"/>
  <c r="J5997" i="12"/>
  <c r="I5997" i="12"/>
  <c r="H5997" i="12"/>
  <c r="F5997" i="12"/>
  <c r="J5996" i="12"/>
  <c r="I5996" i="12"/>
  <c r="H5996" i="12"/>
  <c r="F5996" i="12"/>
  <c r="J5995" i="12"/>
  <c r="I5995" i="12"/>
  <c r="H5995" i="12"/>
  <c r="F5995" i="12"/>
  <c r="J5994" i="12"/>
  <c r="I5994" i="12"/>
  <c r="H5994" i="12"/>
  <c r="F5994" i="12"/>
  <c r="J5993" i="12"/>
  <c r="I5993" i="12"/>
  <c r="H5993" i="12"/>
  <c r="F5993" i="12"/>
  <c r="J5992" i="12"/>
  <c r="I5992" i="12"/>
  <c r="H5992" i="12"/>
  <c r="F5992" i="12"/>
  <c r="J5991" i="12"/>
  <c r="I5991" i="12"/>
  <c r="H5991" i="12"/>
  <c r="F5991" i="12"/>
  <c r="J5990" i="12"/>
  <c r="I5990" i="12"/>
  <c r="H5990" i="12"/>
  <c r="F5990" i="12"/>
  <c r="J5989" i="12"/>
  <c r="I5989" i="12"/>
  <c r="H5989" i="12"/>
  <c r="F5989" i="12"/>
  <c r="J5988" i="12"/>
  <c r="I5988" i="12"/>
  <c r="H5988" i="12"/>
  <c r="F5988" i="12"/>
  <c r="J5987" i="12"/>
  <c r="I5987" i="12"/>
  <c r="H5987" i="12"/>
  <c r="F5987" i="12"/>
  <c r="J5986" i="12"/>
  <c r="I5986" i="12"/>
  <c r="H5986" i="12"/>
  <c r="F5986" i="12"/>
  <c r="J5985" i="12"/>
  <c r="I5985" i="12"/>
  <c r="H5985" i="12"/>
  <c r="F5985" i="12"/>
  <c r="J5984" i="12"/>
  <c r="I5984" i="12"/>
  <c r="H5984" i="12"/>
  <c r="F5984" i="12"/>
  <c r="J5983" i="12"/>
  <c r="I5983" i="12"/>
  <c r="H5983" i="12"/>
  <c r="F5983" i="12"/>
  <c r="J5982" i="12"/>
  <c r="I5982" i="12"/>
  <c r="H5982" i="12"/>
  <c r="F5982" i="12"/>
  <c r="J5981" i="12"/>
  <c r="I5981" i="12"/>
  <c r="H5981" i="12"/>
  <c r="F5981" i="12"/>
  <c r="J5980" i="12"/>
  <c r="I5980" i="12"/>
  <c r="H5980" i="12"/>
  <c r="F5980" i="12"/>
  <c r="J5979" i="12"/>
  <c r="I5979" i="12"/>
  <c r="H5979" i="12"/>
  <c r="F5979" i="12"/>
  <c r="J5978" i="12"/>
  <c r="I5978" i="12"/>
  <c r="H5978" i="12"/>
  <c r="F5978" i="12"/>
  <c r="J5977" i="12"/>
  <c r="I5977" i="12"/>
  <c r="H5977" i="12"/>
  <c r="F5977" i="12"/>
  <c r="J5976" i="12"/>
  <c r="I5976" i="12"/>
  <c r="H5976" i="12"/>
  <c r="F5976" i="12"/>
  <c r="J5975" i="12"/>
  <c r="I5975" i="12"/>
  <c r="H5975" i="12"/>
  <c r="F5975" i="12"/>
  <c r="J5974" i="12"/>
  <c r="I5974" i="12"/>
  <c r="H5974" i="12"/>
  <c r="F5974" i="12"/>
  <c r="J5973" i="12"/>
  <c r="I5973" i="12"/>
  <c r="H5973" i="12"/>
  <c r="F5973" i="12"/>
  <c r="J5972" i="12"/>
  <c r="I5972" i="12"/>
  <c r="H5972" i="12"/>
  <c r="F5972" i="12"/>
  <c r="J5971" i="12"/>
  <c r="I5971" i="12"/>
  <c r="H5971" i="12"/>
  <c r="F5971" i="12"/>
  <c r="J5970" i="12"/>
  <c r="I5970" i="12"/>
  <c r="H5970" i="12"/>
  <c r="F5970" i="12"/>
  <c r="J5969" i="12"/>
  <c r="I5969" i="12"/>
  <c r="H5969" i="12"/>
  <c r="F5969" i="12"/>
  <c r="J5968" i="12"/>
  <c r="I5968" i="12"/>
  <c r="H5968" i="12"/>
  <c r="F5968" i="12"/>
  <c r="J5967" i="12"/>
  <c r="I5967" i="12"/>
  <c r="H5967" i="12"/>
  <c r="F5967" i="12"/>
  <c r="J5966" i="12"/>
  <c r="I5966" i="12"/>
  <c r="H5966" i="12"/>
  <c r="F5966" i="12"/>
  <c r="J5965" i="12"/>
  <c r="I5965" i="12"/>
  <c r="H5965" i="12"/>
  <c r="F5965" i="12"/>
  <c r="J5964" i="12"/>
  <c r="I5964" i="12"/>
  <c r="H5964" i="12"/>
  <c r="F5964" i="12"/>
  <c r="J5963" i="12"/>
  <c r="I5963" i="12"/>
  <c r="H5963" i="12"/>
  <c r="F5963" i="12"/>
  <c r="J5962" i="12"/>
  <c r="I5962" i="12"/>
  <c r="H5962" i="12"/>
  <c r="F5962" i="12"/>
  <c r="J5961" i="12"/>
  <c r="I5961" i="12"/>
  <c r="H5961" i="12"/>
  <c r="F5961" i="12"/>
  <c r="J5960" i="12"/>
  <c r="I5960" i="12"/>
  <c r="H5960" i="12"/>
  <c r="F5960" i="12"/>
  <c r="J5959" i="12"/>
  <c r="I5959" i="12"/>
  <c r="H5959" i="12"/>
  <c r="F5959" i="12"/>
  <c r="J5958" i="12"/>
  <c r="I5958" i="12"/>
  <c r="H5958" i="12"/>
  <c r="F5958" i="12"/>
  <c r="J5957" i="12"/>
  <c r="I5957" i="12"/>
  <c r="H5957" i="12"/>
  <c r="F5957" i="12"/>
  <c r="J5956" i="12"/>
  <c r="I5956" i="12"/>
  <c r="H5956" i="12"/>
  <c r="F5956" i="12"/>
  <c r="J5955" i="12"/>
  <c r="I5955" i="12"/>
  <c r="H5955" i="12"/>
  <c r="F5955" i="12"/>
  <c r="J5954" i="12"/>
  <c r="I5954" i="12"/>
  <c r="H5954" i="12"/>
  <c r="F5954" i="12"/>
  <c r="J5953" i="12"/>
  <c r="I5953" i="12"/>
  <c r="H5953" i="12"/>
  <c r="F5953" i="12"/>
  <c r="J5952" i="12"/>
  <c r="I5952" i="12"/>
  <c r="H5952" i="12"/>
  <c r="F5952" i="12"/>
  <c r="J5951" i="12"/>
  <c r="I5951" i="12"/>
  <c r="H5951" i="12"/>
  <c r="F5951" i="12"/>
  <c r="J5950" i="12"/>
  <c r="I5950" i="12"/>
  <c r="H5950" i="12"/>
  <c r="F5950" i="12"/>
  <c r="J5949" i="12"/>
  <c r="I5949" i="12"/>
  <c r="H5949" i="12"/>
  <c r="F5949" i="12"/>
  <c r="J5948" i="12"/>
  <c r="I5948" i="12"/>
  <c r="H5948" i="12"/>
  <c r="F5948" i="12"/>
  <c r="J5947" i="12"/>
  <c r="I5947" i="12"/>
  <c r="H5947" i="12"/>
  <c r="F5947" i="12"/>
  <c r="J5946" i="12"/>
  <c r="I5946" i="12"/>
  <c r="H5946" i="12"/>
  <c r="F5946" i="12"/>
  <c r="J5945" i="12"/>
  <c r="I5945" i="12"/>
  <c r="H5945" i="12"/>
  <c r="F5945" i="12"/>
  <c r="J5944" i="12"/>
  <c r="I5944" i="12"/>
  <c r="H5944" i="12"/>
  <c r="F5944" i="12"/>
  <c r="J5943" i="12"/>
  <c r="I5943" i="12"/>
  <c r="H5943" i="12"/>
  <c r="F5943" i="12"/>
  <c r="J5942" i="12"/>
  <c r="I5942" i="12"/>
  <c r="H5942" i="12"/>
  <c r="F5942" i="12"/>
  <c r="J5941" i="12"/>
  <c r="I5941" i="12"/>
  <c r="H5941" i="12"/>
  <c r="F5941" i="12"/>
  <c r="J5940" i="12"/>
  <c r="I5940" i="12"/>
  <c r="H5940" i="12"/>
  <c r="F5940" i="12"/>
  <c r="J5939" i="12"/>
  <c r="I5939" i="12"/>
  <c r="H5939" i="12"/>
  <c r="F5939" i="12"/>
  <c r="J5938" i="12"/>
  <c r="I5938" i="12"/>
  <c r="H5938" i="12"/>
  <c r="F5938" i="12"/>
  <c r="J5937" i="12"/>
  <c r="I5937" i="12"/>
  <c r="H5937" i="12"/>
  <c r="F5937" i="12"/>
  <c r="J5936" i="12"/>
  <c r="I5936" i="12"/>
  <c r="H5936" i="12"/>
  <c r="F5936" i="12"/>
  <c r="J5935" i="12"/>
  <c r="I5935" i="12"/>
  <c r="H5935" i="12"/>
  <c r="F5935" i="12"/>
  <c r="J5934" i="12"/>
  <c r="I5934" i="12"/>
  <c r="H5934" i="12"/>
  <c r="F5934" i="12"/>
  <c r="J5933" i="12"/>
  <c r="I5933" i="12"/>
  <c r="H5933" i="12"/>
  <c r="F5933" i="12"/>
  <c r="J5932" i="12"/>
  <c r="I5932" i="12"/>
  <c r="H5932" i="12"/>
  <c r="F5932" i="12"/>
  <c r="J5931" i="12"/>
  <c r="I5931" i="12"/>
  <c r="H5931" i="12"/>
  <c r="F5931" i="12"/>
  <c r="J5930" i="12"/>
  <c r="I5930" i="12"/>
  <c r="H5930" i="12"/>
  <c r="F5930" i="12"/>
  <c r="J5929" i="12"/>
  <c r="I5929" i="12"/>
  <c r="H5929" i="12"/>
  <c r="F5929" i="12"/>
  <c r="J5928" i="12"/>
  <c r="I5928" i="12"/>
  <c r="H5928" i="12"/>
  <c r="F5928" i="12"/>
  <c r="J5927" i="12"/>
  <c r="I5927" i="12"/>
  <c r="H5927" i="12"/>
  <c r="F5927" i="12"/>
  <c r="J5926" i="12"/>
  <c r="I5926" i="12"/>
  <c r="H5926" i="12"/>
  <c r="F5926" i="12"/>
  <c r="J5925" i="12"/>
  <c r="I5925" i="12"/>
  <c r="H5925" i="12"/>
  <c r="F5925" i="12"/>
  <c r="J5924" i="12"/>
  <c r="I5924" i="12"/>
  <c r="H5924" i="12"/>
  <c r="F5924" i="12"/>
  <c r="J5923" i="12"/>
  <c r="I5923" i="12"/>
  <c r="H5923" i="12"/>
  <c r="F5923" i="12"/>
  <c r="J5922" i="12"/>
  <c r="I5922" i="12"/>
  <c r="H5922" i="12"/>
  <c r="F5922" i="12"/>
  <c r="J5921" i="12"/>
  <c r="I5921" i="12"/>
  <c r="H5921" i="12"/>
  <c r="F5921" i="12"/>
  <c r="J5920" i="12"/>
  <c r="I5920" i="12"/>
  <c r="H5920" i="12"/>
  <c r="F5920" i="12"/>
  <c r="J5919" i="12"/>
  <c r="I5919" i="12"/>
  <c r="H5919" i="12"/>
  <c r="F5919" i="12"/>
  <c r="J5918" i="12"/>
  <c r="I5918" i="12"/>
  <c r="H5918" i="12"/>
  <c r="F5918" i="12"/>
  <c r="J5917" i="12"/>
  <c r="I5917" i="12"/>
  <c r="H5917" i="12"/>
  <c r="F5917" i="12"/>
  <c r="J5916" i="12"/>
  <c r="I5916" i="12"/>
  <c r="H5916" i="12"/>
  <c r="F5916" i="12"/>
  <c r="J5915" i="12"/>
  <c r="I5915" i="12"/>
  <c r="H5915" i="12"/>
  <c r="F5915" i="12"/>
  <c r="J5914" i="12"/>
  <c r="I5914" i="12"/>
  <c r="H5914" i="12"/>
  <c r="F5914" i="12"/>
  <c r="J5913" i="12"/>
  <c r="I5913" i="12"/>
  <c r="H5913" i="12"/>
  <c r="F5913" i="12"/>
  <c r="J5912" i="12"/>
  <c r="I5912" i="12"/>
  <c r="H5912" i="12"/>
  <c r="F5912" i="12"/>
  <c r="J5911" i="12"/>
  <c r="I5911" i="12"/>
  <c r="H5911" i="12"/>
  <c r="F5911" i="12"/>
  <c r="J5910" i="12"/>
  <c r="I5910" i="12"/>
  <c r="H5910" i="12"/>
  <c r="F5910" i="12"/>
  <c r="J5909" i="12"/>
  <c r="I5909" i="12"/>
  <c r="H5909" i="12"/>
  <c r="F5909" i="12"/>
  <c r="J5908" i="12"/>
  <c r="I5908" i="12"/>
  <c r="H5908" i="12"/>
  <c r="F5908" i="12"/>
  <c r="J5907" i="12"/>
  <c r="I5907" i="12"/>
  <c r="H5907" i="12"/>
  <c r="F5907" i="12"/>
  <c r="J5906" i="12"/>
  <c r="I5906" i="12"/>
  <c r="H5906" i="12"/>
  <c r="F5906" i="12"/>
  <c r="J5905" i="12"/>
  <c r="I5905" i="12"/>
  <c r="H5905" i="12"/>
  <c r="F5905" i="12"/>
  <c r="J5904" i="12"/>
  <c r="I5904" i="12"/>
  <c r="H5904" i="12"/>
  <c r="F5904" i="12"/>
  <c r="J5903" i="12"/>
  <c r="I5903" i="12"/>
  <c r="H5903" i="12"/>
  <c r="F5903" i="12"/>
  <c r="J5902" i="12"/>
  <c r="I5902" i="12"/>
  <c r="H5902" i="12"/>
  <c r="F5902" i="12"/>
  <c r="J5901" i="12"/>
  <c r="I5901" i="12"/>
  <c r="H5901" i="12"/>
  <c r="F5901" i="12"/>
  <c r="J5900" i="12"/>
  <c r="I5900" i="12"/>
  <c r="H5900" i="12"/>
  <c r="F5900" i="12"/>
  <c r="J5899" i="12"/>
  <c r="I5899" i="12"/>
  <c r="H5899" i="12"/>
  <c r="F5899" i="12"/>
  <c r="J5898" i="12"/>
  <c r="I5898" i="12"/>
  <c r="H5898" i="12"/>
  <c r="F5898" i="12"/>
  <c r="J5897" i="12"/>
  <c r="I5897" i="12"/>
  <c r="H5897" i="12"/>
  <c r="F5897" i="12"/>
  <c r="J5896" i="12"/>
  <c r="I5896" i="12"/>
  <c r="H5896" i="12"/>
  <c r="F5896" i="12"/>
  <c r="J5895" i="12"/>
  <c r="I5895" i="12"/>
  <c r="H5895" i="12"/>
  <c r="F5895" i="12"/>
  <c r="J5894" i="12"/>
  <c r="I5894" i="12"/>
  <c r="H5894" i="12"/>
  <c r="F5894" i="12"/>
  <c r="J5893" i="12"/>
  <c r="I5893" i="12"/>
  <c r="H5893" i="12"/>
  <c r="F5893" i="12"/>
  <c r="J5892" i="12"/>
  <c r="I5892" i="12"/>
  <c r="H5892" i="12"/>
  <c r="F5892" i="12"/>
  <c r="J5891" i="12"/>
  <c r="I5891" i="12"/>
  <c r="H5891" i="12"/>
  <c r="F5891" i="12"/>
  <c r="J5890" i="12"/>
  <c r="I5890" i="12"/>
  <c r="H5890" i="12"/>
  <c r="F5890" i="12"/>
  <c r="J5889" i="12"/>
  <c r="I5889" i="12"/>
  <c r="H5889" i="12"/>
  <c r="F5889" i="12"/>
  <c r="J5888" i="12"/>
  <c r="I5888" i="12"/>
  <c r="H5888" i="12"/>
  <c r="F5888" i="12"/>
  <c r="J5887" i="12"/>
  <c r="I5887" i="12"/>
  <c r="H5887" i="12"/>
  <c r="F5887" i="12"/>
  <c r="J5886" i="12"/>
  <c r="I5886" i="12"/>
  <c r="H5886" i="12"/>
  <c r="F5886" i="12"/>
  <c r="J5885" i="12"/>
  <c r="I5885" i="12"/>
  <c r="H5885" i="12"/>
  <c r="F5885" i="12"/>
  <c r="J5884" i="12"/>
  <c r="I5884" i="12"/>
  <c r="H5884" i="12"/>
  <c r="F5884" i="12"/>
  <c r="J5883" i="12"/>
  <c r="I5883" i="12"/>
  <c r="H5883" i="12"/>
  <c r="F5883" i="12"/>
  <c r="J5882" i="12"/>
  <c r="I5882" i="12"/>
  <c r="H5882" i="12"/>
  <c r="F5882" i="12"/>
  <c r="J5881" i="12"/>
  <c r="I5881" i="12"/>
  <c r="H5881" i="12"/>
  <c r="F5881" i="12"/>
  <c r="J5880" i="12"/>
  <c r="I5880" i="12"/>
  <c r="H5880" i="12"/>
  <c r="F5880" i="12"/>
  <c r="J5879" i="12"/>
  <c r="I5879" i="12"/>
  <c r="H5879" i="12"/>
  <c r="F5879" i="12"/>
  <c r="J5878" i="12"/>
  <c r="I5878" i="12"/>
  <c r="H5878" i="12"/>
  <c r="F5878" i="12"/>
  <c r="J5877" i="12"/>
  <c r="I5877" i="12"/>
  <c r="H5877" i="12"/>
  <c r="F5877" i="12"/>
  <c r="J5876" i="12"/>
  <c r="I5876" i="12"/>
  <c r="H5876" i="12"/>
  <c r="F5876" i="12"/>
  <c r="J5875" i="12"/>
  <c r="I5875" i="12"/>
  <c r="H5875" i="12"/>
  <c r="F5875" i="12"/>
  <c r="J5874" i="12"/>
  <c r="I5874" i="12"/>
  <c r="H5874" i="12"/>
  <c r="F5874" i="12"/>
  <c r="J5873" i="12"/>
  <c r="I5873" i="12"/>
  <c r="H5873" i="12"/>
  <c r="F5873" i="12"/>
  <c r="J5872" i="12"/>
  <c r="I5872" i="12"/>
  <c r="H5872" i="12"/>
  <c r="F5872" i="12"/>
  <c r="J5871" i="12"/>
  <c r="I5871" i="12"/>
  <c r="H5871" i="12"/>
  <c r="F5871" i="12"/>
  <c r="J5870" i="12"/>
  <c r="I5870" i="12"/>
  <c r="H5870" i="12"/>
  <c r="F5870" i="12"/>
  <c r="J5869" i="12"/>
  <c r="I5869" i="12"/>
  <c r="H5869" i="12"/>
  <c r="F5869" i="12"/>
  <c r="J5868" i="12"/>
  <c r="I5868" i="12"/>
  <c r="H5868" i="12"/>
  <c r="F5868" i="12"/>
  <c r="J5867" i="12"/>
  <c r="I5867" i="12"/>
  <c r="H5867" i="12"/>
  <c r="F5867" i="12"/>
  <c r="J5866" i="12"/>
  <c r="I5866" i="12"/>
  <c r="H5866" i="12"/>
  <c r="F5866" i="12"/>
  <c r="J5865" i="12"/>
  <c r="I5865" i="12"/>
  <c r="H5865" i="12"/>
  <c r="F5865" i="12"/>
  <c r="J5864" i="12"/>
  <c r="I5864" i="12"/>
  <c r="H5864" i="12"/>
  <c r="F5864" i="12"/>
  <c r="J5863" i="12"/>
  <c r="I5863" i="12"/>
  <c r="H5863" i="12"/>
  <c r="F5863" i="12"/>
  <c r="J5862" i="12"/>
  <c r="I5862" i="12"/>
  <c r="H5862" i="12"/>
  <c r="F5862" i="12"/>
  <c r="J5861" i="12"/>
  <c r="I5861" i="12"/>
  <c r="H5861" i="12"/>
  <c r="F5861" i="12"/>
  <c r="J5860" i="12"/>
  <c r="I5860" i="12"/>
  <c r="H5860" i="12"/>
  <c r="F5860" i="12"/>
  <c r="J5859" i="12"/>
  <c r="I5859" i="12"/>
  <c r="H5859" i="12"/>
  <c r="F5859" i="12"/>
  <c r="J5858" i="12"/>
  <c r="I5858" i="12"/>
  <c r="H5858" i="12"/>
  <c r="F5858" i="12"/>
  <c r="J5857" i="12"/>
  <c r="I5857" i="12"/>
  <c r="H5857" i="12"/>
  <c r="F5857" i="12"/>
  <c r="J5856" i="12"/>
  <c r="I5856" i="12"/>
  <c r="H5856" i="12"/>
  <c r="F5856" i="12"/>
  <c r="J5855" i="12"/>
  <c r="I5855" i="12"/>
  <c r="H5855" i="12"/>
  <c r="F5855" i="12"/>
  <c r="J5854" i="12"/>
  <c r="I5854" i="12"/>
  <c r="H5854" i="12"/>
  <c r="F5854" i="12"/>
  <c r="J5853" i="12"/>
  <c r="I5853" i="12"/>
  <c r="H5853" i="12"/>
  <c r="F5853" i="12"/>
  <c r="J5852" i="12"/>
  <c r="I5852" i="12"/>
  <c r="H5852" i="12"/>
  <c r="F5852" i="12"/>
  <c r="J5851" i="12"/>
  <c r="I5851" i="12"/>
  <c r="H5851" i="12"/>
  <c r="F5851" i="12"/>
  <c r="J5850" i="12"/>
  <c r="I5850" i="12"/>
  <c r="H5850" i="12"/>
  <c r="F5850" i="12"/>
  <c r="J5849" i="12"/>
  <c r="I5849" i="12"/>
  <c r="H5849" i="12"/>
  <c r="F5849" i="12"/>
  <c r="J5848" i="12"/>
  <c r="I5848" i="12"/>
  <c r="H5848" i="12"/>
  <c r="F5848" i="12"/>
  <c r="J5847" i="12"/>
  <c r="I5847" i="12"/>
  <c r="H5847" i="12"/>
  <c r="F5847" i="12"/>
  <c r="J5846" i="12"/>
  <c r="I5846" i="12"/>
  <c r="H5846" i="12"/>
  <c r="F5846" i="12"/>
  <c r="J5845" i="12"/>
  <c r="I5845" i="12"/>
  <c r="H5845" i="12"/>
  <c r="F5845" i="12"/>
  <c r="J5844" i="12"/>
  <c r="I5844" i="12"/>
  <c r="H5844" i="12"/>
  <c r="F5844" i="12"/>
  <c r="J5843" i="12"/>
  <c r="I5843" i="12"/>
  <c r="H5843" i="12"/>
  <c r="F5843" i="12"/>
  <c r="J5842" i="12"/>
  <c r="I5842" i="12"/>
  <c r="H5842" i="12"/>
  <c r="F5842" i="12"/>
  <c r="J5841" i="12"/>
  <c r="I5841" i="12"/>
  <c r="H5841" i="12"/>
  <c r="F5841" i="12"/>
  <c r="J5840" i="12"/>
  <c r="I5840" i="12"/>
  <c r="H5840" i="12"/>
  <c r="F5840" i="12"/>
  <c r="J5839" i="12"/>
  <c r="I5839" i="12"/>
  <c r="H5839" i="12"/>
  <c r="F5839" i="12"/>
  <c r="J5838" i="12"/>
  <c r="I5838" i="12"/>
  <c r="H5838" i="12"/>
  <c r="F5838" i="12"/>
  <c r="J5837" i="12"/>
  <c r="I5837" i="12"/>
  <c r="H5837" i="12"/>
  <c r="F5837" i="12"/>
  <c r="J5836" i="12"/>
  <c r="I5836" i="12"/>
  <c r="H5836" i="12"/>
  <c r="F5836" i="12"/>
  <c r="J5835" i="12"/>
  <c r="I5835" i="12"/>
  <c r="H5835" i="12"/>
  <c r="F5835" i="12"/>
  <c r="J5834" i="12"/>
  <c r="I5834" i="12"/>
  <c r="H5834" i="12"/>
  <c r="F5834" i="12"/>
  <c r="J5833" i="12"/>
  <c r="I5833" i="12"/>
  <c r="H5833" i="12"/>
  <c r="F5833" i="12"/>
  <c r="J5832" i="12"/>
  <c r="I5832" i="12"/>
  <c r="H5832" i="12"/>
  <c r="F5832" i="12"/>
  <c r="J5831" i="12"/>
  <c r="I5831" i="12"/>
  <c r="H5831" i="12"/>
  <c r="F5831" i="12"/>
  <c r="J5830" i="12"/>
  <c r="I5830" i="12"/>
  <c r="H5830" i="12"/>
  <c r="F5830" i="12"/>
  <c r="J5829" i="12"/>
  <c r="I5829" i="12"/>
  <c r="H5829" i="12"/>
  <c r="F5829" i="12"/>
  <c r="J5828" i="12"/>
  <c r="I5828" i="12"/>
  <c r="H5828" i="12"/>
  <c r="F5828" i="12"/>
  <c r="J5827" i="12"/>
  <c r="I5827" i="12"/>
  <c r="H5827" i="12"/>
  <c r="F5827" i="12"/>
  <c r="J5826" i="12"/>
  <c r="I5826" i="12"/>
  <c r="H5826" i="12"/>
  <c r="F5826" i="12"/>
  <c r="J5825" i="12"/>
  <c r="I5825" i="12"/>
  <c r="H5825" i="12"/>
  <c r="F5825" i="12"/>
  <c r="J5824" i="12"/>
  <c r="I5824" i="12"/>
  <c r="H5824" i="12"/>
  <c r="F5824" i="12"/>
  <c r="J5823" i="12"/>
  <c r="I5823" i="12"/>
  <c r="H5823" i="12"/>
  <c r="F5823" i="12"/>
  <c r="J5822" i="12"/>
  <c r="I5822" i="12"/>
  <c r="H5822" i="12"/>
  <c r="F5822" i="12"/>
  <c r="J5821" i="12"/>
  <c r="I5821" i="12"/>
  <c r="H5821" i="12"/>
  <c r="F5821" i="12"/>
  <c r="J5820" i="12"/>
  <c r="I5820" i="12"/>
  <c r="H5820" i="12"/>
  <c r="F5820" i="12"/>
  <c r="J5819" i="12"/>
  <c r="I5819" i="12"/>
  <c r="H5819" i="12"/>
  <c r="F5819" i="12"/>
  <c r="J5818" i="12"/>
  <c r="I5818" i="12"/>
  <c r="H5818" i="12"/>
  <c r="F5818" i="12"/>
  <c r="J5817" i="12"/>
  <c r="I5817" i="12"/>
  <c r="H5817" i="12"/>
  <c r="F5817" i="12"/>
  <c r="J5816" i="12"/>
  <c r="I5816" i="12"/>
  <c r="H5816" i="12"/>
  <c r="F5816" i="12"/>
  <c r="J5815" i="12"/>
  <c r="I5815" i="12"/>
  <c r="H5815" i="12"/>
  <c r="F5815" i="12"/>
  <c r="J5814" i="12"/>
  <c r="I5814" i="12"/>
  <c r="H5814" i="12"/>
  <c r="F5814" i="12"/>
  <c r="J5813" i="12"/>
  <c r="I5813" i="12"/>
  <c r="H5813" i="12"/>
  <c r="F5813" i="12"/>
  <c r="J5812" i="12"/>
  <c r="I5812" i="12"/>
  <c r="H5812" i="12"/>
  <c r="F5812" i="12"/>
  <c r="J5811" i="12"/>
  <c r="I5811" i="12"/>
  <c r="H5811" i="12"/>
  <c r="F5811" i="12"/>
  <c r="J5810" i="12"/>
  <c r="I5810" i="12"/>
  <c r="H5810" i="12"/>
  <c r="F5810" i="12"/>
  <c r="J5809" i="12"/>
  <c r="I5809" i="12"/>
  <c r="H5809" i="12"/>
  <c r="F5809" i="12"/>
  <c r="J5808" i="12"/>
  <c r="I5808" i="12"/>
  <c r="H5808" i="12"/>
  <c r="F5808" i="12"/>
  <c r="J5807" i="12"/>
  <c r="I5807" i="12"/>
  <c r="H5807" i="12"/>
  <c r="F5807" i="12"/>
  <c r="J5806" i="12"/>
  <c r="I5806" i="12"/>
  <c r="H5806" i="12"/>
  <c r="F5806" i="12"/>
  <c r="J5805" i="12"/>
  <c r="I5805" i="12"/>
  <c r="H5805" i="12"/>
  <c r="F5805" i="12"/>
  <c r="J5804" i="12"/>
  <c r="I5804" i="12"/>
  <c r="H5804" i="12"/>
  <c r="F5804" i="12"/>
  <c r="J5803" i="12"/>
  <c r="I5803" i="12"/>
  <c r="H5803" i="12"/>
  <c r="F5803" i="12"/>
  <c r="J5802" i="12"/>
  <c r="I5802" i="12"/>
  <c r="H5802" i="12"/>
  <c r="F5802" i="12"/>
  <c r="J5801" i="12"/>
  <c r="I5801" i="12"/>
  <c r="H5801" i="12"/>
  <c r="F5801" i="12"/>
  <c r="J5800" i="12"/>
  <c r="I5800" i="12"/>
  <c r="H5800" i="12"/>
  <c r="F5800" i="12"/>
  <c r="J5799" i="12"/>
  <c r="I5799" i="12"/>
  <c r="H5799" i="12"/>
  <c r="F5799" i="12"/>
  <c r="J5798" i="12"/>
  <c r="I5798" i="12"/>
  <c r="H5798" i="12"/>
  <c r="F5798" i="12"/>
  <c r="J5797" i="12"/>
  <c r="I5797" i="12"/>
  <c r="H5797" i="12"/>
  <c r="F5797" i="12"/>
  <c r="J5796" i="12"/>
  <c r="I5796" i="12"/>
  <c r="H5796" i="12"/>
  <c r="F5796" i="12"/>
  <c r="J5795" i="12"/>
  <c r="I5795" i="12"/>
  <c r="H5795" i="12"/>
  <c r="F5795" i="12"/>
  <c r="J5794" i="12"/>
  <c r="I5794" i="12"/>
  <c r="H5794" i="12"/>
  <c r="F5794" i="12"/>
  <c r="J5793" i="12"/>
  <c r="I5793" i="12"/>
  <c r="H5793" i="12"/>
  <c r="F5793" i="12"/>
  <c r="J5792" i="12"/>
  <c r="I5792" i="12"/>
  <c r="H5792" i="12"/>
  <c r="F5792" i="12"/>
  <c r="J5791" i="12"/>
  <c r="I5791" i="12"/>
  <c r="H5791" i="12"/>
  <c r="F5791" i="12"/>
  <c r="J5790" i="12"/>
  <c r="I5790" i="12"/>
  <c r="H5790" i="12"/>
  <c r="F5790" i="12"/>
  <c r="J5789" i="12"/>
  <c r="I5789" i="12"/>
  <c r="H5789" i="12"/>
  <c r="F5789" i="12"/>
  <c r="J5788" i="12"/>
  <c r="I5788" i="12"/>
  <c r="H5788" i="12"/>
  <c r="F5788" i="12"/>
  <c r="J5787" i="12"/>
  <c r="I5787" i="12"/>
  <c r="H5787" i="12"/>
  <c r="F5787" i="12"/>
  <c r="J5786" i="12"/>
  <c r="I5786" i="12"/>
  <c r="H5786" i="12"/>
  <c r="F5786" i="12"/>
  <c r="J5785" i="12"/>
  <c r="I5785" i="12"/>
  <c r="H5785" i="12"/>
  <c r="F5785" i="12"/>
  <c r="J5784" i="12"/>
  <c r="I5784" i="12"/>
  <c r="H5784" i="12"/>
  <c r="F5784" i="12"/>
  <c r="J5783" i="12"/>
  <c r="I5783" i="12"/>
  <c r="H5783" i="12"/>
  <c r="F5783" i="12"/>
  <c r="J5782" i="12"/>
  <c r="I5782" i="12"/>
  <c r="H5782" i="12"/>
  <c r="F5782" i="12"/>
  <c r="J5781" i="12"/>
  <c r="I5781" i="12"/>
  <c r="H5781" i="12"/>
  <c r="F5781" i="12"/>
  <c r="J5780" i="12"/>
  <c r="I5780" i="12"/>
  <c r="H5780" i="12"/>
  <c r="F5780" i="12"/>
  <c r="J5779" i="12"/>
  <c r="I5779" i="12"/>
  <c r="H5779" i="12"/>
  <c r="F5779" i="12"/>
  <c r="J5778" i="12"/>
  <c r="I5778" i="12"/>
  <c r="H5778" i="12"/>
  <c r="F5778" i="12"/>
  <c r="J5777" i="12"/>
  <c r="I5777" i="12"/>
  <c r="H5777" i="12"/>
  <c r="F5777" i="12"/>
  <c r="J5776" i="12"/>
  <c r="I5776" i="12"/>
  <c r="H5776" i="12"/>
  <c r="F5776" i="12"/>
  <c r="J5775" i="12"/>
  <c r="I5775" i="12"/>
  <c r="H5775" i="12"/>
  <c r="F5775" i="12"/>
  <c r="J5774" i="12"/>
  <c r="I5774" i="12"/>
  <c r="H5774" i="12"/>
  <c r="F5774" i="12"/>
  <c r="J5773" i="12"/>
  <c r="I5773" i="12"/>
  <c r="H5773" i="12"/>
  <c r="F5773" i="12"/>
  <c r="J5772" i="12"/>
  <c r="I5772" i="12"/>
  <c r="H5772" i="12"/>
  <c r="F5772" i="12"/>
  <c r="J5771" i="12"/>
  <c r="I5771" i="12"/>
  <c r="H5771" i="12"/>
  <c r="F5771" i="12"/>
  <c r="J5770" i="12"/>
  <c r="I5770" i="12"/>
  <c r="H5770" i="12"/>
  <c r="F5770" i="12"/>
  <c r="J5769" i="12"/>
  <c r="I5769" i="12"/>
  <c r="H5769" i="12"/>
  <c r="F5769" i="12"/>
  <c r="J5768" i="12"/>
  <c r="I5768" i="12"/>
  <c r="H5768" i="12"/>
  <c r="F5768" i="12"/>
  <c r="J5767" i="12"/>
  <c r="I5767" i="12"/>
  <c r="H5767" i="12"/>
  <c r="F5767" i="12"/>
  <c r="J5766" i="12"/>
  <c r="I5766" i="12"/>
  <c r="H5766" i="12"/>
  <c r="F5766" i="12"/>
  <c r="J5765" i="12"/>
  <c r="I5765" i="12"/>
  <c r="H5765" i="12"/>
  <c r="F5765" i="12"/>
  <c r="J5764" i="12"/>
  <c r="I5764" i="12"/>
  <c r="H5764" i="12"/>
  <c r="F5764" i="12"/>
  <c r="J5763" i="12"/>
  <c r="I5763" i="12"/>
  <c r="H5763" i="12"/>
  <c r="F5763" i="12"/>
  <c r="J5762" i="12"/>
  <c r="I5762" i="12"/>
  <c r="H5762" i="12"/>
  <c r="F5762" i="12"/>
  <c r="J5761" i="12"/>
  <c r="I5761" i="12"/>
  <c r="H5761" i="12"/>
  <c r="F5761" i="12"/>
  <c r="J5760" i="12"/>
  <c r="I5760" i="12"/>
  <c r="H5760" i="12"/>
  <c r="F5760" i="12"/>
  <c r="J5759" i="12"/>
  <c r="I5759" i="12"/>
  <c r="H5759" i="12"/>
  <c r="F5759" i="12"/>
  <c r="J5758" i="12"/>
  <c r="I5758" i="12"/>
  <c r="H5758" i="12"/>
  <c r="F5758" i="12"/>
  <c r="J5757" i="12"/>
  <c r="I5757" i="12"/>
  <c r="H5757" i="12"/>
  <c r="F5757" i="12"/>
  <c r="J5756" i="12"/>
  <c r="I5756" i="12"/>
  <c r="H5756" i="12"/>
  <c r="F5756" i="12"/>
  <c r="J5755" i="12"/>
  <c r="I5755" i="12"/>
  <c r="H5755" i="12"/>
  <c r="F5755" i="12"/>
  <c r="J5754" i="12"/>
  <c r="I5754" i="12"/>
  <c r="H5754" i="12"/>
  <c r="F5754" i="12"/>
  <c r="J5753" i="12"/>
  <c r="I5753" i="12"/>
  <c r="H5753" i="12"/>
  <c r="F5753" i="12"/>
  <c r="J5752" i="12"/>
  <c r="I5752" i="12"/>
  <c r="H5752" i="12"/>
  <c r="F5752" i="12"/>
  <c r="J5751" i="12"/>
  <c r="I5751" i="12"/>
  <c r="H5751" i="12"/>
  <c r="F5751" i="12"/>
  <c r="J5750" i="12"/>
  <c r="I5750" i="12"/>
  <c r="H5750" i="12"/>
  <c r="F5750" i="12"/>
  <c r="J5749" i="12"/>
  <c r="I5749" i="12"/>
  <c r="H5749" i="12"/>
  <c r="F5749" i="12"/>
  <c r="J5748" i="12"/>
  <c r="I5748" i="12"/>
  <c r="H5748" i="12"/>
  <c r="F5748" i="12"/>
  <c r="J5747" i="12"/>
  <c r="I5747" i="12"/>
  <c r="H5747" i="12"/>
  <c r="F5747" i="12"/>
  <c r="J5746" i="12"/>
  <c r="I5746" i="12"/>
  <c r="H5746" i="12"/>
  <c r="F5746" i="12"/>
  <c r="J5745" i="12"/>
  <c r="I5745" i="12"/>
  <c r="H5745" i="12"/>
  <c r="F5745" i="12"/>
  <c r="J5744" i="12"/>
  <c r="I5744" i="12"/>
  <c r="H5744" i="12"/>
  <c r="F5744" i="12"/>
  <c r="J5743" i="12"/>
  <c r="I5743" i="12"/>
  <c r="H5743" i="12"/>
  <c r="F5743" i="12"/>
  <c r="J5742" i="12"/>
  <c r="I5742" i="12"/>
  <c r="H5742" i="12"/>
  <c r="F5742" i="12"/>
  <c r="J5741" i="12"/>
  <c r="I5741" i="12"/>
  <c r="H5741" i="12"/>
  <c r="F5741" i="12"/>
  <c r="J5740" i="12"/>
  <c r="I5740" i="12"/>
  <c r="H5740" i="12"/>
  <c r="F5740" i="12"/>
  <c r="J5739" i="12"/>
  <c r="I5739" i="12"/>
  <c r="H5739" i="12"/>
  <c r="F5739" i="12"/>
  <c r="J5738" i="12"/>
  <c r="I5738" i="12"/>
  <c r="H5738" i="12"/>
  <c r="F5738" i="12"/>
  <c r="J5737" i="12"/>
  <c r="I5737" i="12"/>
  <c r="H5737" i="12"/>
  <c r="F5737" i="12"/>
  <c r="J5736" i="12"/>
  <c r="I5736" i="12"/>
  <c r="H5736" i="12"/>
  <c r="F5736" i="12"/>
  <c r="J5735" i="12"/>
  <c r="I5735" i="12"/>
  <c r="H5735" i="12"/>
  <c r="F5735" i="12"/>
  <c r="J5734" i="12"/>
  <c r="I5734" i="12"/>
  <c r="H5734" i="12"/>
  <c r="F5734" i="12"/>
  <c r="J5733" i="12"/>
  <c r="I5733" i="12"/>
  <c r="H5733" i="12"/>
  <c r="F5733" i="12"/>
  <c r="J5732" i="12"/>
  <c r="I5732" i="12"/>
  <c r="H5732" i="12"/>
  <c r="F5732" i="12"/>
  <c r="J5731" i="12"/>
  <c r="I5731" i="12"/>
  <c r="H5731" i="12"/>
  <c r="F5731" i="12"/>
  <c r="J5730" i="12"/>
  <c r="I5730" i="12"/>
  <c r="H5730" i="12"/>
  <c r="F5730" i="12"/>
  <c r="J5729" i="12"/>
  <c r="I5729" i="12"/>
  <c r="H5729" i="12"/>
  <c r="F5729" i="12"/>
  <c r="J5728" i="12"/>
  <c r="I5728" i="12"/>
  <c r="H5728" i="12"/>
  <c r="F5728" i="12"/>
  <c r="J5727" i="12"/>
  <c r="I5727" i="12"/>
  <c r="H5727" i="12"/>
  <c r="F5727" i="12"/>
  <c r="J5726" i="12"/>
  <c r="I5726" i="12"/>
  <c r="H5726" i="12"/>
  <c r="F5726" i="12"/>
  <c r="J5725" i="12"/>
  <c r="I5725" i="12"/>
  <c r="H5725" i="12"/>
  <c r="F5725" i="12"/>
  <c r="J5724" i="12"/>
  <c r="I5724" i="12"/>
  <c r="H5724" i="12"/>
  <c r="F5724" i="12"/>
  <c r="J5723" i="12"/>
  <c r="I5723" i="12"/>
  <c r="H5723" i="12"/>
  <c r="F5723" i="12"/>
  <c r="J5722" i="12"/>
  <c r="I5722" i="12"/>
  <c r="H5722" i="12"/>
  <c r="F5722" i="12"/>
  <c r="J5721" i="12"/>
  <c r="I5721" i="12"/>
  <c r="H5721" i="12"/>
  <c r="F5721" i="12"/>
  <c r="J5720" i="12"/>
  <c r="I5720" i="12"/>
  <c r="H5720" i="12"/>
  <c r="F5720" i="12"/>
  <c r="J5719" i="12"/>
  <c r="I5719" i="12"/>
  <c r="H5719" i="12"/>
  <c r="F5719" i="12"/>
  <c r="J5718" i="12"/>
  <c r="I5718" i="12"/>
  <c r="H5718" i="12"/>
  <c r="F5718" i="12"/>
  <c r="J5717" i="12"/>
  <c r="I5717" i="12"/>
  <c r="H5717" i="12"/>
  <c r="F5717" i="12"/>
  <c r="J5716" i="12"/>
  <c r="I5716" i="12"/>
  <c r="H5716" i="12"/>
  <c r="F5716" i="12"/>
  <c r="J5715" i="12"/>
  <c r="I5715" i="12"/>
  <c r="H5715" i="12"/>
  <c r="F5715" i="12"/>
  <c r="J5714" i="12"/>
  <c r="I5714" i="12"/>
  <c r="H5714" i="12"/>
  <c r="F5714" i="12"/>
  <c r="J5713" i="12"/>
  <c r="I5713" i="12"/>
  <c r="H5713" i="12"/>
  <c r="F5713" i="12"/>
  <c r="J5712" i="12"/>
  <c r="I5712" i="12"/>
  <c r="H5712" i="12"/>
  <c r="F5712" i="12"/>
  <c r="J5711" i="12"/>
  <c r="I5711" i="12"/>
  <c r="H5711" i="12"/>
  <c r="F5711" i="12"/>
  <c r="J5710" i="12"/>
  <c r="I5710" i="12"/>
  <c r="H5710" i="12"/>
  <c r="F5710" i="12"/>
  <c r="J5709" i="12"/>
  <c r="I5709" i="12"/>
  <c r="H5709" i="12"/>
  <c r="F5709" i="12"/>
  <c r="J5708" i="12"/>
  <c r="I5708" i="12"/>
  <c r="H5708" i="12"/>
  <c r="F5708" i="12"/>
  <c r="J5707" i="12"/>
  <c r="I5707" i="12"/>
  <c r="H5707" i="12"/>
  <c r="F5707" i="12"/>
  <c r="J5706" i="12"/>
  <c r="I5706" i="12"/>
  <c r="H5706" i="12"/>
  <c r="F5706" i="12"/>
  <c r="J5705" i="12"/>
  <c r="I5705" i="12"/>
  <c r="H5705" i="12"/>
  <c r="F5705" i="12"/>
  <c r="J5704" i="12"/>
  <c r="I5704" i="12"/>
  <c r="H5704" i="12"/>
  <c r="F5704" i="12"/>
  <c r="J5703" i="12"/>
  <c r="I5703" i="12"/>
  <c r="H5703" i="12"/>
  <c r="F5703" i="12"/>
  <c r="J5702" i="12"/>
  <c r="I5702" i="12"/>
  <c r="H5702" i="12"/>
  <c r="F5702" i="12"/>
  <c r="J5701" i="12"/>
  <c r="I5701" i="12"/>
  <c r="H5701" i="12"/>
  <c r="F5701" i="12"/>
  <c r="J5700" i="12"/>
  <c r="I5700" i="12"/>
  <c r="H5700" i="12"/>
  <c r="F5700" i="12"/>
  <c r="J5699" i="12"/>
  <c r="I5699" i="12"/>
  <c r="H5699" i="12"/>
  <c r="F5699" i="12"/>
  <c r="J5698" i="12"/>
  <c r="I5698" i="12"/>
  <c r="H5698" i="12"/>
  <c r="F5698" i="12"/>
  <c r="J5697" i="12"/>
  <c r="I5697" i="12"/>
  <c r="H5697" i="12"/>
  <c r="F5697" i="12"/>
  <c r="J5696" i="12"/>
  <c r="I5696" i="12"/>
  <c r="H5696" i="12"/>
  <c r="F5696" i="12"/>
  <c r="J5695" i="12"/>
  <c r="I5695" i="12"/>
  <c r="H5695" i="12"/>
  <c r="F5695" i="12"/>
  <c r="J5694" i="12"/>
  <c r="I5694" i="12"/>
  <c r="H5694" i="12"/>
  <c r="F5694" i="12"/>
  <c r="J5693" i="12"/>
  <c r="I5693" i="12"/>
  <c r="H5693" i="12"/>
  <c r="F5693" i="12"/>
  <c r="J5692" i="12"/>
  <c r="I5692" i="12"/>
  <c r="H5692" i="12"/>
  <c r="F5692" i="12"/>
  <c r="J5691" i="12"/>
  <c r="I5691" i="12"/>
  <c r="H5691" i="12"/>
  <c r="F5691" i="12"/>
  <c r="J5690" i="12"/>
  <c r="I5690" i="12"/>
  <c r="H5690" i="12"/>
  <c r="F5690" i="12"/>
  <c r="J5689" i="12"/>
  <c r="I5689" i="12"/>
  <c r="H5689" i="12"/>
  <c r="F5689" i="12"/>
  <c r="J5688" i="12"/>
  <c r="I5688" i="12"/>
  <c r="H5688" i="12"/>
  <c r="F5688" i="12"/>
  <c r="J5687" i="12"/>
  <c r="I5687" i="12"/>
  <c r="H5687" i="12"/>
  <c r="F5687" i="12"/>
  <c r="J5686" i="12"/>
  <c r="I5686" i="12"/>
  <c r="H5686" i="12"/>
  <c r="F5686" i="12"/>
  <c r="J5685" i="12"/>
  <c r="I5685" i="12"/>
  <c r="H5685" i="12"/>
  <c r="F5685" i="12"/>
  <c r="J5684" i="12"/>
  <c r="I5684" i="12"/>
  <c r="H5684" i="12"/>
  <c r="F5684" i="12"/>
  <c r="J5683" i="12"/>
  <c r="I5683" i="12"/>
  <c r="H5683" i="12"/>
  <c r="F5683" i="12"/>
  <c r="J5682" i="12"/>
  <c r="I5682" i="12"/>
  <c r="H5682" i="12"/>
  <c r="F5682" i="12"/>
  <c r="J5681" i="12"/>
  <c r="I5681" i="12"/>
  <c r="H5681" i="12"/>
  <c r="F5681" i="12"/>
  <c r="J5680" i="12"/>
  <c r="I5680" i="12"/>
  <c r="H5680" i="12"/>
  <c r="F5680" i="12"/>
  <c r="J5679" i="12"/>
  <c r="I5679" i="12"/>
  <c r="H5679" i="12"/>
  <c r="F5679" i="12"/>
  <c r="J5678" i="12"/>
  <c r="I5678" i="12"/>
  <c r="H5678" i="12"/>
  <c r="F5678" i="12"/>
  <c r="J5677" i="12"/>
  <c r="I5677" i="12"/>
  <c r="H5677" i="12"/>
  <c r="F5677" i="12"/>
  <c r="J5676" i="12"/>
  <c r="I5676" i="12"/>
  <c r="H5676" i="12"/>
  <c r="F5676" i="12"/>
  <c r="J5675" i="12"/>
  <c r="I5675" i="12"/>
  <c r="H5675" i="12"/>
  <c r="F5675" i="12"/>
  <c r="J5674" i="12"/>
  <c r="I5674" i="12"/>
  <c r="H5674" i="12"/>
  <c r="F5674" i="12"/>
  <c r="J5673" i="12"/>
  <c r="I5673" i="12"/>
  <c r="H5673" i="12"/>
  <c r="F5673" i="12"/>
  <c r="J5672" i="12"/>
  <c r="I5672" i="12"/>
  <c r="H5672" i="12"/>
  <c r="F5672" i="12"/>
  <c r="J5671" i="12"/>
  <c r="I5671" i="12"/>
  <c r="H5671" i="12"/>
  <c r="F5671" i="12"/>
  <c r="J5670" i="12"/>
  <c r="I5670" i="12"/>
  <c r="H5670" i="12"/>
  <c r="F5670" i="12"/>
  <c r="J5669" i="12"/>
  <c r="I5669" i="12"/>
  <c r="H5669" i="12"/>
  <c r="F5669" i="12"/>
  <c r="J5668" i="12"/>
  <c r="I5668" i="12"/>
  <c r="H5668" i="12"/>
  <c r="F5668" i="12"/>
  <c r="J5667" i="12"/>
  <c r="I5667" i="12"/>
  <c r="H5667" i="12"/>
  <c r="F5667" i="12"/>
  <c r="J5666" i="12"/>
  <c r="I5666" i="12"/>
  <c r="H5666" i="12"/>
  <c r="F5666" i="12"/>
  <c r="J5665" i="12"/>
  <c r="I5665" i="12"/>
  <c r="H5665" i="12"/>
  <c r="F5665" i="12"/>
  <c r="J5664" i="12"/>
  <c r="I5664" i="12"/>
  <c r="H5664" i="12"/>
  <c r="F5664" i="12"/>
  <c r="J5663" i="12"/>
  <c r="I5663" i="12"/>
  <c r="H5663" i="12"/>
  <c r="F5663" i="12"/>
  <c r="J5662" i="12"/>
  <c r="I5662" i="12"/>
  <c r="H5662" i="12"/>
  <c r="F5662" i="12"/>
  <c r="J5661" i="12"/>
  <c r="I5661" i="12"/>
  <c r="H5661" i="12"/>
  <c r="F5661" i="12"/>
  <c r="J5660" i="12"/>
  <c r="I5660" i="12"/>
  <c r="H5660" i="12"/>
  <c r="F5660" i="12"/>
  <c r="J5659" i="12"/>
  <c r="I5659" i="12"/>
  <c r="H5659" i="12"/>
  <c r="F5659" i="12"/>
  <c r="J5658" i="12"/>
  <c r="I5658" i="12"/>
  <c r="H5658" i="12"/>
  <c r="F5658" i="12"/>
  <c r="J5657" i="12"/>
  <c r="I5657" i="12"/>
  <c r="H5657" i="12"/>
  <c r="F5657" i="12"/>
  <c r="J5656" i="12"/>
  <c r="I5656" i="12"/>
  <c r="H5656" i="12"/>
  <c r="F5656" i="12"/>
  <c r="J5655" i="12"/>
  <c r="I5655" i="12"/>
  <c r="H5655" i="12"/>
  <c r="F5655" i="12"/>
  <c r="J5654" i="12"/>
  <c r="I5654" i="12"/>
  <c r="H5654" i="12"/>
  <c r="F5654" i="12"/>
  <c r="J5653" i="12"/>
  <c r="I5653" i="12"/>
  <c r="H5653" i="12"/>
  <c r="F5653" i="12"/>
  <c r="J5652" i="12"/>
  <c r="I5652" i="12"/>
  <c r="H5652" i="12"/>
  <c r="F5652" i="12"/>
  <c r="J5651" i="12"/>
  <c r="I5651" i="12"/>
  <c r="H5651" i="12"/>
  <c r="F5651" i="12"/>
  <c r="J5650" i="12"/>
  <c r="I5650" i="12"/>
  <c r="H5650" i="12"/>
  <c r="F5650" i="12"/>
  <c r="J5649" i="12"/>
  <c r="I5649" i="12"/>
  <c r="H5649" i="12"/>
  <c r="F5649" i="12"/>
  <c r="J5648" i="12"/>
  <c r="I5648" i="12"/>
  <c r="H5648" i="12"/>
  <c r="F5648" i="12"/>
  <c r="J5647" i="12"/>
  <c r="I5647" i="12"/>
  <c r="H5647" i="12"/>
  <c r="F5647" i="12"/>
  <c r="J5646" i="12"/>
  <c r="I5646" i="12"/>
  <c r="H5646" i="12"/>
  <c r="F5646" i="12"/>
  <c r="J5645" i="12"/>
  <c r="I5645" i="12"/>
  <c r="H5645" i="12"/>
  <c r="F5645" i="12"/>
  <c r="J5644" i="12"/>
  <c r="I5644" i="12"/>
  <c r="H5644" i="12"/>
  <c r="F5644" i="12"/>
  <c r="J5643" i="12"/>
  <c r="I5643" i="12"/>
  <c r="H5643" i="12"/>
  <c r="F5643" i="12"/>
  <c r="J5642" i="12"/>
  <c r="I5642" i="12"/>
  <c r="H5642" i="12"/>
  <c r="F5642" i="12"/>
  <c r="J5641" i="12"/>
  <c r="I5641" i="12"/>
  <c r="H5641" i="12"/>
  <c r="F5641" i="12"/>
  <c r="J5640" i="12"/>
  <c r="I5640" i="12"/>
  <c r="H5640" i="12"/>
  <c r="F5640" i="12"/>
  <c r="J5639" i="12"/>
  <c r="I5639" i="12"/>
  <c r="H5639" i="12"/>
  <c r="F5639" i="12"/>
  <c r="J5638" i="12"/>
  <c r="I5638" i="12"/>
  <c r="H5638" i="12"/>
  <c r="F5638" i="12"/>
  <c r="J5637" i="12"/>
  <c r="I5637" i="12"/>
  <c r="H5637" i="12"/>
  <c r="F5637" i="12"/>
  <c r="J5636" i="12"/>
  <c r="I5636" i="12"/>
  <c r="H5636" i="12"/>
  <c r="F5636" i="12"/>
  <c r="J5635" i="12"/>
  <c r="I5635" i="12"/>
  <c r="H5635" i="12"/>
  <c r="F5635" i="12"/>
  <c r="J5634" i="12"/>
  <c r="I5634" i="12"/>
  <c r="H5634" i="12"/>
  <c r="F5634" i="12"/>
  <c r="J5633" i="12"/>
  <c r="I5633" i="12"/>
  <c r="H5633" i="12"/>
  <c r="F5633" i="12"/>
  <c r="J5632" i="12"/>
  <c r="I5632" i="12"/>
  <c r="H5632" i="12"/>
  <c r="F5632" i="12"/>
  <c r="J5631" i="12"/>
  <c r="I5631" i="12"/>
  <c r="H5631" i="12"/>
  <c r="F5631" i="12"/>
  <c r="J5630" i="12"/>
  <c r="I5630" i="12"/>
  <c r="H5630" i="12"/>
  <c r="F5630" i="12"/>
  <c r="J5629" i="12"/>
  <c r="I5629" i="12"/>
  <c r="H5629" i="12"/>
  <c r="F5629" i="12"/>
  <c r="J5628" i="12"/>
  <c r="I5628" i="12"/>
  <c r="H5628" i="12"/>
  <c r="F5628" i="12"/>
  <c r="J5627" i="12"/>
  <c r="I5627" i="12"/>
  <c r="H5627" i="12"/>
  <c r="F5627" i="12"/>
  <c r="J5626" i="12"/>
  <c r="I5626" i="12"/>
  <c r="H5626" i="12"/>
  <c r="F5626" i="12"/>
  <c r="J5625" i="12"/>
  <c r="I5625" i="12"/>
  <c r="H5625" i="12"/>
  <c r="F5625" i="12"/>
  <c r="J5624" i="12"/>
  <c r="I5624" i="12"/>
  <c r="H5624" i="12"/>
  <c r="F5624" i="12"/>
  <c r="J5623" i="12"/>
  <c r="I5623" i="12"/>
  <c r="H5623" i="12"/>
  <c r="F5623" i="12"/>
  <c r="J5622" i="12"/>
  <c r="I5622" i="12"/>
  <c r="H5622" i="12"/>
  <c r="F5622" i="12"/>
  <c r="J5621" i="12"/>
  <c r="I5621" i="12"/>
  <c r="H5621" i="12"/>
  <c r="F5621" i="12"/>
  <c r="J5620" i="12"/>
  <c r="I5620" i="12"/>
  <c r="H5620" i="12"/>
  <c r="F5620" i="12"/>
  <c r="J5619" i="12"/>
  <c r="I5619" i="12"/>
  <c r="H5619" i="12"/>
  <c r="F5619" i="12"/>
  <c r="J5618" i="12"/>
  <c r="I5618" i="12"/>
  <c r="H5618" i="12"/>
  <c r="F5618" i="12"/>
  <c r="J5617" i="12"/>
  <c r="I5617" i="12"/>
  <c r="H5617" i="12"/>
  <c r="F5617" i="12"/>
  <c r="J5616" i="12"/>
  <c r="I5616" i="12"/>
  <c r="H5616" i="12"/>
  <c r="F5616" i="12"/>
  <c r="J5615" i="12"/>
  <c r="I5615" i="12"/>
  <c r="H5615" i="12"/>
  <c r="F5615" i="12"/>
  <c r="J5614" i="12"/>
  <c r="I5614" i="12"/>
  <c r="H5614" i="12"/>
  <c r="F5614" i="12"/>
  <c r="J5613" i="12"/>
  <c r="I5613" i="12"/>
  <c r="H5613" i="12"/>
  <c r="F5613" i="12"/>
  <c r="J5612" i="12"/>
  <c r="I5612" i="12"/>
  <c r="H5612" i="12"/>
  <c r="F5612" i="12"/>
  <c r="J5611" i="12"/>
  <c r="I5611" i="12"/>
  <c r="H5611" i="12"/>
  <c r="F5611" i="12"/>
  <c r="J5610" i="12"/>
  <c r="I5610" i="12"/>
  <c r="H5610" i="12"/>
  <c r="F5610" i="12"/>
  <c r="J5609" i="12"/>
  <c r="I5609" i="12"/>
  <c r="H5609" i="12"/>
  <c r="F5609" i="12"/>
  <c r="J5608" i="12"/>
  <c r="I5608" i="12"/>
  <c r="H5608" i="12"/>
  <c r="F5608" i="12"/>
  <c r="J5607" i="12"/>
  <c r="I5607" i="12"/>
  <c r="H5607" i="12"/>
  <c r="F5607" i="12"/>
  <c r="J5606" i="12"/>
  <c r="I5606" i="12"/>
  <c r="H5606" i="12"/>
  <c r="F5606" i="12"/>
  <c r="J5605" i="12"/>
  <c r="I5605" i="12"/>
  <c r="H5605" i="12"/>
  <c r="F5605" i="12"/>
  <c r="J5604" i="12"/>
  <c r="I5604" i="12"/>
  <c r="H5604" i="12"/>
  <c r="F5604" i="12"/>
  <c r="J5603" i="12"/>
  <c r="I5603" i="12"/>
  <c r="H5603" i="12"/>
  <c r="F5603" i="12"/>
  <c r="J5602" i="12"/>
  <c r="I5602" i="12"/>
  <c r="H5602" i="12"/>
  <c r="F5602" i="12"/>
  <c r="J5601" i="12"/>
  <c r="I5601" i="12"/>
  <c r="H5601" i="12"/>
  <c r="F5601" i="12"/>
  <c r="J5600" i="12"/>
  <c r="I5600" i="12"/>
  <c r="H5600" i="12"/>
  <c r="F5600" i="12"/>
  <c r="J5599" i="12"/>
  <c r="I5599" i="12"/>
  <c r="H5599" i="12"/>
  <c r="F5599" i="12"/>
  <c r="J5598" i="12"/>
  <c r="I5598" i="12"/>
  <c r="H5598" i="12"/>
  <c r="F5598" i="12"/>
  <c r="J5597" i="12"/>
  <c r="I5597" i="12"/>
  <c r="H5597" i="12"/>
  <c r="F5597" i="12"/>
  <c r="J5596" i="12"/>
  <c r="I5596" i="12"/>
  <c r="H5596" i="12"/>
  <c r="F5596" i="12"/>
  <c r="J5595" i="12"/>
  <c r="I5595" i="12"/>
  <c r="H5595" i="12"/>
  <c r="F5595" i="12"/>
  <c r="J5594" i="12"/>
  <c r="I5594" i="12"/>
  <c r="H5594" i="12"/>
  <c r="F5594" i="12"/>
  <c r="J5593" i="12"/>
  <c r="I5593" i="12"/>
  <c r="H5593" i="12"/>
  <c r="F5593" i="12"/>
  <c r="J5592" i="12"/>
  <c r="I5592" i="12"/>
  <c r="H5592" i="12"/>
  <c r="F5592" i="12"/>
  <c r="J5591" i="12"/>
  <c r="I5591" i="12"/>
  <c r="H5591" i="12"/>
  <c r="F5591" i="12"/>
  <c r="J5590" i="12"/>
  <c r="I5590" i="12"/>
  <c r="H5590" i="12"/>
  <c r="F5590" i="12"/>
  <c r="J5589" i="12"/>
  <c r="I5589" i="12"/>
  <c r="H5589" i="12"/>
  <c r="F5589" i="12"/>
  <c r="J5588" i="12"/>
  <c r="I5588" i="12"/>
  <c r="H5588" i="12"/>
  <c r="F5588" i="12"/>
  <c r="J5587" i="12"/>
  <c r="I5587" i="12"/>
  <c r="H5587" i="12"/>
  <c r="F5587" i="12"/>
  <c r="J5586" i="12"/>
  <c r="I5586" i="12"/>
  <c r="H5586" i="12"/>
  <c r="F5586" i="12"/>
  <c r="J5585" i="12"/>
  <c r="I5585" i="12"/>
  <c r="H5585" i="12"/>
  <c r="F5585" i="12"/>
  <c r="J5584" i="12"/>
  <c r="I5584" i="12"/>
  <c r="H5584" i="12"/>
  <c r="F5584" i="12"/>
  <c r="J5583" i="12"/>
  <c r="I5583" i="12"/>
  <c r="H5583" i="12"/>
  <c r="F5583" i="12"/>
  <c r="J5582" i="12"/>
  <c r="I5582" i="12"/>
  <c r="H5582" i="12"/>
  <c r="F5582" i="12"/>
  <c r="J5581" i="12"/>
  <c r="I5581" i="12"/>
  <c r="H5581" i="12"/>
  <c r="F5581" i="12"/>
  <c r="J5580" i="12"/>
  <c r="I5580" i="12"/>
  <c r="H5580" i="12"/>
  <c r="F5580" i="12"/>
  <c r="J5579" i="12"/>
  <c r="I5579" i="12"/>
  <c r="H5579" i="12"/>
  <c r="F5579" i="12"/>
  <c r="J5578" i="12"/>
  <c r="I5578" i="12"/>
  <c r="H5578" i="12"/>
  <c r="F5578" i="12"/>
  <c r="J5577" i="12"/>
  <c r="I5577" i="12"/>
  <c r="H5577" i="12"/>
  <c r="F5577" i="12"/>
  <c r="J5576" i="12"/>
  <c r="I5576" i="12"/>
  <c r="H5576" i="12"/>
  <c r="F5576" i="12"/>
  <c r="J5575" i="12"/>
  <c r="I5575" i="12"/>
  <c r="H5575" i="12"/>
  <c r="F5575" i="12"/>
  <c r="J5574" i="12"/>
  <c r="I5574" i="12"/>
  <c r="H5574" i="12"/>
  <c r="F5574" i="12"/>
  <c r="J5573" i="12"/>
  <c r="I5573" i="12"/>
  <c r="H5573" i="12"/>
  <c r="F5573" i="12"/>
  <c r="J5572" i="12"/>
  <c r="I5572" i="12"/>
  <c r="H5572" i="12"/>
  <c r="F5572" i="12"/>
  <c r="J5571" i="12"/>
  <c r="I5571" i="12"/>
  <c r="H5571" i="12"/>
  <c r="F5571" i="12"/>
  <c r="J5570" i="12"/>
  <c r="I5570" i="12"/>
  <c r="H5570" i="12"/>
  <c r="F5570" i="12"/>
  <c r="J5569" i="12"/>
  <c r="I5569" i="12"/>
  <c r="H5569" i="12"/>
  <c r="F5569" i="12"/>
  <c r="J5568" i="12"/>
  <c r="I5568" i="12"/>
  <c r="H5568" i="12"/>
  <c r="F5568" i="12"/>
  <c r="J5567" i="12"/>
  <c r="I5567" i="12"/>
  <c r="H5567" i="12"/>
  <c r="F5567" i="12"/>
  <c r="J5566" i="12"/>
  <c r="I5566" i="12"/>
  <c r="H5566" i="12"/>
  <c r="F5566" i="12"/>
  <c r="J5565" i="12"/>
  <c r="I5565" i="12"/>
  <c r="H5565" i="12"/>
  <c r="F5565" i="12"/>
  <c r="J5564" i="12"/>
  <c r="I5564" i="12"/>
  <c r="H5564" i="12"/>
  <c r="F5564" i="12"/>
  <c r="J5563" i="12"/>
  <c r="I5563" i="12"/>
  <c r="H5563" i="12"/>
  <c r="F5563" i="12"/>
  <c r="J5562" i="12"/>
  <c r="I5562" i="12"/>
  <c r="H5562" i="12"/>
  <c r="F5562" i="12"/>
  <c r="J5561" i="12"/>
  <c r="I5561" i="12"/>
  <c r="H5561" i="12"/>
  <c r="F5561" i="12"/>
  <c r="J5560" i="12"/>
  <c r="I5560" i="12"/>
  <c r="H5560" i="12"/>
  <c r="F5560" i="12"/>
  <c r="J5559" i="12"/>
  <c r="I5559" i="12"/>
  <c r="H5559" i="12"/>
  <c r="F5559" i="12"/>
  <c r="J5558" i="12"/>
  <c r="I5558" i="12"/>
  <c r="H5558" i="12"/>
  <c r="F5558" i="12"/>
  <c r="J5557" i="12"/>
  <c r="I5557" i="12"/>
  <c r="H5557" i="12"/>
  <c r="F5557" i="12"/>
  <c r="J5556" i="12"/>
  <c r="I5556" i="12"/>
  <c r="H5556" i="12"/>
  <c r="F5556" i="12"/>
  <c r="J5555" i="12"/>
  <c r="I5555" i="12"/>
  <c r="H5555" i="12"/>
  <c r="F5555" i="12"/>
  <c r="J5554" i="12"/>
  <c r="I5554" i="12"/>
  <c r="H5554" i="12"/>
  <c r="F5554" i="12"/>
  <c r="J5553" i="12"/>
  <c r="I5553" i="12"/>
  <c r="H5553" i="12"/>
  <c r="F5553" i="12"/>
  <c r="J5552" i="12"/>
  <c r="I5552" i="12"/>
  <c r="H5552" i="12"/>
  <c r="F5552" i="12"/>
  <c r="J5551" i="12"/>
  <c r="I5551" i="12"/>
  <c r="H5551" i="12"/>
  <c r="F5551" i="12"/>
  <c r="J5550" i="12"/>
  <c r="I5550" i="12"/>
  <c r="H5550" i="12"/>
  <c r="F5550" i="12"/>
  <c r="J5549" i="12"/>
  <c r="I5549" i="12"/>
  <c r="H5549" i="12"/>
  <c r="F5549" i="12"/>
  <c r="J5548" i="12"/>
  <c r="I5548" i="12"/>
  <c r="H5548" i="12"/>
  <c r="F5548" i="12"/>
  <c r="J5547" i="12"/>
  <c r="I5547" i="12"/>
  <c r="H5547" i="12"/>
  <c r="F5547" i="12"/>
  <c r="J5546" i="12"/>
  <c r="I5546" i="12"/>
  <c r="H5546" i="12"/>
  <c r="F5546" i="12"/>
  <c r="J5545" i="12"/>
  <c r="I5545" i="12"/>
  <c r="H5545" i="12"/>
  <c r="F5545" i="12"/>
  <c r="J5544" i="12"/>
  <c r="I5544" i="12"/>
  <c r="H5544" i="12"/>
  <c r="F5544" i="12"/>
  <c r="J5543" i="12"/>
  <c r="I5543" i="12"/>
  <c r="H5543" i="12"/>
  <c r="F5543" i="12"/>
  <c r="J5542" i="12"/>
  <c r="I5542" i="12"/>
  <c r="H5542" i="12"/>
  <c r="F5542" i="12"/>
  <c r="J5541" i="12"/>
  <c r="I5541" i="12"/>
  <c r="H5541" i="12"/>
  <c r="F5541" i="12"/>
  <c r="J5540" i="12"/>
  <c r="I5540" i="12"/>
  <c r="H5540" i="12"/>
  <c r="F5540" i="12"/>
  <c r="J5539" i="12"/>
  <c r="I5539" i="12"/>
  <c r="H5539" i="12"/>
  <c r="F5539" i="12"/>
  <c r="J5538" i="12"/>
  <c r="I5538" i="12"/>
  <c r="H5538" i="12"/>
  <c r="F5538" i="12"/>
  <c r="J5537" i="12"/>
  <c r="I5537" i="12"/>
  <c r="H5537" i="12"/>
  <c r="F5537" i="12"/>
  <c r="J5536" i="12"/>
  <c r="I5536" i="12"/>
  <c r="H5536" i="12"/>
  <c r="F5536" i="12"/>
  <c r="J5535" i="12"/>
  <c r="I5535" i="12"/>
  <c r="H5535" i="12"/>
  <c r="F5535" i="12"/>
  <c r="J5534" i="12"/>
  <c r="I5534" i="12"/>
  <c r="H5534" i="12"/>
  <c r="F5534" i="12"/>
  <c r="J5533" i="12"/>
  <c r="I5533" i="12"/>
  <c r="H5533" i="12"/>
  <c r="F5533" i="12"/>
  <c r="J5532" i="12"/>
  <c r="I5532" i="12"/>
  <c r="H5532" i="12"/>
  <c r="F5532" i="12"/>
  <c r="J5531" i="12"/>
  <c r="I5531" i="12"/>
  <c r="H5531" i="12"/>
  <c r="F5531" i="12"/>
  <c r="J5530" i="12"/>
  <c r="I5530" i="12"/>
  <c r="H5530" i="12"/>
  <c r="F5530" i="12"/>
  <c r="J5529" i="12"/>
  <c r="I5529" i="12"/>
  <c r="H5529" i="12"/>
  <c r="F5529" i="12"/>
  <c r="J5528" i="12"/>
  <c r="I5528" i="12"/>
  <c r="H5528" i="12"/>
  <c r="F5528" i="12"/>
  <c r="J5527" i="12"/>
  <c r="I5527" i="12"/>
  <c r="H5527" i="12"/>
  <c r="F5527" i="12"/>
  <c r="J5526" i="12"/>
  <c r="I5526" i="12"/>
  <c r="H5526" i="12"/>
  <c r="F5526" i="12"/>
  <c r="J5525" i="12"/>
  <c r="I5525" i="12"/>
  <c r="H5525" i="12"/>
  <c r="F5525" i="12"/>
  <c r="J5524" i="12"/>
  <c r="I5524" i="12"/>
  <c r="H5524" i="12"/>
  <c r="F5524" i="12"/>
  <c r="J5523" i="12"/>
  <c r="I5523" i="12"/>
  <c r="H5523" i="12"/>
  <c r="F5523" i="12"/>
  <c r="J5522" i="12"/>
  <c r="I5522" i="12"/>
  <c r="H5522" i="12"/>
  <c r="F5522" i="12"/>
  <c r="J5521" i="12"/>
  <c r="I5521" i="12"/>
  <c r="H5521" i="12"/>
  <c r="F5521" i="12"/>
  <c r="J5520" i="12"/>
  <c r="I5520" i="12"/>
  <c r="H5520" i="12"/>
  <c r="F5520" i="12"/>
  <c r="J5519" i="12"/>
  <c r="I5519" i="12"/>
  <c r="H5519" i="12"/>
  <c r="F5519" i="12"/>
  <c r="J5518" i="12"/>
  <c r="I5518" i="12"/>
  <c r="H5518" i="12"/>
  <c r="F5518" i="12"/>
  <c r="J5517" i="12"/>
  <c r="I5517" i="12"/>
  <c r="H5517" i="12"/>
  <c r="F5517" i="12"/>
  <c r="J5516" i="12"/>
  <c r="I5516" i="12"/>
  <c r="H5516" i="12"/>
  <c r="F5516" i="12"/>
  <c r="J5515" i="12"/>
  <c r="I5515" i="12"/>
  <c r="H5515" i="12"/>
  <c r="F5515" i="12"/>
  <c r="J5514" i="12"/>
  <c r="I5514" i="12"/>
  <c r="H5514" i="12"/>
  <c r="F5514" i="12"/>
  <c r="J5513" i="12"/>
  <c r="I5513" i="12"/>
  <c r="H5513" i="12"/>
  <c r="F5513" i="12"/>
  <c r="J5512" i="12"/>
  <c r="I5512" i="12"/>
  <c r="H5512" i="12"/>
  <c r="F5512" i="12"/>
  <c r="J5511" i="12"/>
  <c r="I5511" i="12"/>
  <c r="H5511" i="12"/>
  <c r="F5511" i="12"/>
  <c r="J5510" i="12"/>
  <c r="I5510" i="12"/>
  <c r="H5510" i="12"/>
  <c r="F5510" i="12"/>
  <c r="J5509" i="12"/>
  <c r="I5509" i="12"/>
  <c r="H5509" i="12"/>
  <c r="F5509" i="12"/>
  <c r="J5508" i="12"/>
  <c r="I5508" i="12"/>
  <c r="H5508" i="12"/>
  <c r="F5508" i="12"/>
  <c r="J5507" i="12"/>
  <c r="I5507" i="12"/>
  <c r="H5507" i="12"/>
  <c r="F5507" i="12"/>
  <c r="J5506" i="12"/>
  <c r="I5506" i="12"/>
  <c r="H5506" i="12"/>
  <c r="F5506" i="12"/>
  <c r="J5505" i="12"/>
  <c r="I5505" i="12"/>
  <c r="H5505" i="12"/>
  <c r="F5505" i="12"/>
  <c r="J5504" i="12"/>
  <c r="I5504" i="12"/>
  <c r="H5504" i="12"/>
  <c r="F5504" i="12"/>
  <c r="J5503" i="12"/>
  <c r="I5503" i="12"/>
  <c r="H5503" i="12"/>
  <c r="F5503" i="12"/>
  <c r="J5502" i="12"/>
  <c r="I5502" i="12"/>
  <c r="H5502" i="12"/>
  <c r="F5502" i="12"/>
  <c r="J5501" i="12"/>
  <c r="I5501" i="12"/>
  <c r="H5501" i="12"/>
  <c r="F5501" i="12"/>
  <c r="J5500" i="12"/>
  <c r="I5500" i="12"/>
  <c r="H5500" i="12"/>
  <c r="F5500" i="12"/>
  <c r="J5499" i="12"/>
  <c r="I5499" i="12"/>
  <c r="H5499" i="12"/>
  <c r="F5499" i="12"/>
  <c r="J5498" i="12"/>
  <c r="I5498" i="12"/>
  <c r="H5498" i="12"/>
  <c r="F5498" i="12"/>
  <c r="J5497" i="12"/>
  <c r="I5497" i="12"/>
  <c r="H5497" i="12"/>
  <c r="F5497" i="12"/>
  <c r="J5496" i="12"/>
  <c r="I5496" i="12"/>
  <c r="H5496" i="12"/>
  <c r="F5496" i="12"/>
  <c r="J5495" i="12"/>
  <c r="I5495" i="12"/>
  <c r="H5495" i="12"/>
  <c r="F5495" i="12"/>
  <c r="J5494" i="12"/>
  <c r="I5494" i="12"/>
  <c r="H5494" i="12"/>
  <c r="F5494" i="12"/>
  <c r="J5493" i="12"/>
  <c r="I5493" i="12"/>
  <c r="H5493" i="12"/>
  <c r="F5493" i="12"/>
  <c r="J5492" i="12"/>
  <c r="I5492" i="12"/>
  <c r="H5492" i="12"/>
  <c r="F5492" i="12"/>
  <c r="J5491" i="12"/>
  <c r="I5491" i="12"/>
  <c r="H5491" i="12"/>
  <c r="F5491" i="12"/>
  <c r="J5490" i="12"/>
  <c r="I5490" i="12"/>
  <c r="H5490" i="12"/>
  <c r="F5490" i="12"/>
  <c r="J5489" i="12"/>
  <c r="I5489" i="12"/>
  <c r="H5489" i="12"/>
  <c r="F5489" i="12"/>
  <c r="J5488" i="12"/>
  <c r="I5488" i="12"/>
  <c r="H5488" i="12"/>
  <c r="F5488" i="12"/>
  <c r="J5487" i="12"/>
  <c r="I5487" i="12"/>
  <c r="H5487" i="12"/>
  <c r="F5487" i="12"/>
  <c r="J5486" i="12"/>
  <c r="I5486" i="12"/>
  <c r="H5486" i="12"/>
  <c r="F5486" i="12"/>
  <c r="J5485" i="12"/>
  <c r="I5485" i="12"/>
  <c r="H5485" i="12"/>
  <c r="F5485" i="12"/>
  <c r="J5484" i="12"/>
  <c r="I5484" i="12"/>
  <c r="H5484" i="12"/>
  <c r="F5484" i="12"/>
  <c r="J5483" i="12"/>
  <c r="I5483" i="12"/>
  <c r="H5483" i="12"/>
  <c r="F5483" i="12"/>
  <c r="J5482" i="12"/>
  <c r="I5482" i="12"/>
  <c r="H5482" i="12"/>
  <c r="F5482" i="12"/>
  <c r="J5481" i="12"/>
  <c r="I5481" i="12"/>
  <c r="H5481" i="12"/>
  <c r="F5481" i="12"/>
  <c r="J5480" i="12"/>
  <c r="I5480" i="12"/>
  <c r="H5480" i="12"/>
  <c r="F5480" i="12"/>
  <c r="J5479" i="12"/>
  <c r="I5479" i="12"/>
  <c r="H5479" i="12"/>
  <c r="F5479" i="12"/>
  <c r="J5478" i="12"/>
  <c r="I5478" i="12"/>
  <c r="H5478" i="12"/>
  <c r="F5478" i="12"/>
  <c r="J5477" i="12"/>
  <c r="I5477" i="12"/>
  <c r="H5477" i="12"/>
  <c r="F5477" i="12"/>
  <c r="J5476" i="12"/>
  <c r="I5476" i="12"/>
  <c r="H5476" i="12"/>
  <c r="F5476" i="12"/>
  <c r="J5475" i="12"/>
  <c r="I5475" i="12"/>
  <c r="H5475" i="12"/>
  <c r="F5475" i="12"/>
  <c r="J5474" i="12"/>
  <c r="I5474" i="12"/>
  <c r="H5474" i="12"/>
  <c r="F5474" i="12"/>
  <c r="J5473" i="12"/>
  <c r="I5473" i="12"/>
  <c r="H5473" i="12"/>
  <c r="F5473" i="12"/>
  <c r="J5472" i="12"/>
  <c r="I5472" i="12"/>
  <c r="H5472" i="12"/>
  <c r="F5472" i="12"/>
  <c r="J5471" i="12"/>
  <c r="I5471" i="12"/>
  <c r="H5471" i="12"/>
  <c r="F5471" i="12"/>
  <c r="J5470" i="12"/>
  <c r="I5470" i="12"/>
  <c r="H5470" i="12"/>
  <c r="F5470" i="12"/>
  <c r="J5469" i="12"/>
  <c r="I5469" i="12"/>
  <c r="H5469" i="12"/>
  <c r="F5469" i="12"/>
  <c r="J5468" i="12"/>
  <c r="I5468" i="12"/>
  <c r="H5468" i="12"/>
  <c r="F5468" i="12"/>
  <c r="J5467" i="12"/>
  <c r="I5467" i="12"/>
  <c r="H5467" i="12"/>
  <c r="F5467" i="12"/>
  <c r="J5466" i="12"/>
  <c r="I5466" i="12"/>
  <c r="H5466" i="12"/>
  <c r="F5466" i="12"/>
  <c r="J5465" i="12"/>
  <c r="I5465" i="12"/>
  <c r="H5465" i="12"/>
  <c r="F5465" i="12"/>
  <c r="J5464" i="12"/>
  <c r="I5464" i="12"/>
  <c r="H5464" i="12"/>
  <c r="F5464" i="12"/>
  <c r="J5463" i="12"/>
  <c r="I5463" i="12"/>
  <c r="H5463" i="12"/>
  <c r="F5463" i="12"/>
  <c r="J5462" i="12"/>
  <c r="I5462" i="12"/>
  <c r="H5462" i="12"/>
  <c r="F5462" i="12"/>
  <c r="J5461" i="12"/>
  <c r="I5461" i="12"/>
  <c r="H5461" i="12"/>
  <c r="F5461" i="12"/>
  <c r="J5460" i="12"/>
  <c r="I5460" i="12"/>
  <c r="H5460" i="12"/>
  <c r="F5460" i="12"/>
  <c r="J5459" i="12"/>
  <c r="I5459" i="12"/>
  <c r="H5459" i="12"/>
  <c r="F5459" i="12"/>
  <c r="J5458" i="12"/>
  <c r="I5458" i="12"/>
  <c r="H5458" i="12"/>
  <c r="F5458" i="12"/>
  <c r="J5457" i="12"/>
  <c r="I5457" i="12"/>
  <c r="H5457" i="12"/>
  <c r="F5457" i="12"/>
  <c r="J5456" i="12"/>
  <c r="I5456" i="12"/>
  <c r="H5456" i="12"/>
  <c r="F5456" i="12"/>
  <c r="J5455" i="12"/>
  <c r="I5455" i="12"/>
  <c r="H5455" i="12"/>
  <c r="F5455" i="12"/>
  <c r="J5454" i="12"/>
  <c r="I5454" i="12"/>
  <c r="H5454" i="12"/>
  <c r="F5454" i="12"/>
  <c r="J5453" i="12"/>
  <c r="I5453" i="12"/>
  <c r="H5453" i="12"/>
  <c r="F5453" i="12"/>
  <c r="J5452" i="12"/>
  <c r="I5452" i="12"/>
  <c r="H5452" i="12"/>
  <c r="F5452" i="12"/>
  <c r="J5451" i="12"/>
  <c r="I5451" i="12"/>
  <c r="H5451" i="12"/>
  <c r="F5451" i="12"/>
  <c r="J5450" i="12"/>
  <c r="I5450" i="12"/>
  <c r="H5450" i="12"/>
  <c r="F5450" i="12"/>
  <c r="J5449" i="12"/>
  <c r="I5449" i="12"/>
  <c r="H5449" i="12"/>
  <c r="F5449" i="12"/>
  <c r="J5448" i="12"/>
  <c r="I5448" i="12"/>
  <c r="H5448" i="12"/>
  <c r="F5448" i="12"/>
  <c r="J5447" i="12"/>
  <c r="I5447" i="12"/>
  <c r="H5447" i="12"/>
  <c r="F5447" i="12"/>
  <c r="J5446" i="12"/>
  <c r="I5446" i="12"/>
  <c r="H5446" i="12"/>
  <c r="F5446" i="12"/>
  <c r="J5445" i="12"/>
  <c r="I5445" i="12"/>
  <c r="H5445" i="12"/>
  <c r="F5445" i="12"/>
  <c r="J5444" i="12"/>
  <c r="I5444" i="12"/>
  <c r="H5444" i="12"/>
  <c r="F5444" i="12"/>
  <c r="J5443" i="12"/>
  <c r="I5443" i="12"/>
  <c r="H5443" i="12"/>
  <c r="F5443" i="12"/>
  <c r="J5442" i="12"/>
  <c r="I5442" i="12"/>
  <c r="H5442" i="12"/>
  <c r="F5442" i="12"/>
  <c r="J5441" i="12"/>
  <c r="I5441" i="12"/>
  <c r="H5441" i="12"/>
  <c r="F5441" i="12"/>
  <c r="J5440" i="12"/>
  <c r="I5440" i="12"/>
  <c r="H5440" i="12"/>
  <c r="F5440" i="12"/>
  <c r="J5439" i="12"/>
  <c r="I5439" i="12"/>
  <c r="H5439" i="12"/>
  <c r="F5439" i="12"/>
  <c r="J5438" i="12"/>
  <c r="I5438" i="12"/>
  <c r="H5438" i="12"/>
  <c r="F5438" i="12"/>
  <c r="J5437" i="12"/>
  <c r="I5437" i="12"/>
  <c r="H5437" i="12"/>
  <c r="F5437" i="12"/>
  <c r="J5436" i="12"/>
  <c r="I5436" i="12"/>
  <c r="H5436" i="12"/>
  <c r="F5436" i="12"/>
  <c r="J5435" i="12"/>
  <c r="I5435" i="12"/>
  <c r="H5435" i="12"/>
  <c r="F5435" i="12"/>
  <c r="J5434" i="12"/>
  <c r="I5434" i="12"/>
  <c r="H5434" i="12"/>
  <c r="F5434" i="12"/>
  <c r="J5433" i="12"/>
  <c r="I5433" i="12"/>
  <c r="H5433" i="12"/>
  <c r="F5433" i="12"/>
  <c r="J5432" i="12"/>
  <c r="I5432" i="12"/>
  <c r="H5432" i="12"/>
  <c r="F5432" i="12"/>
  <c r="J5431" i="12"/>
  <c r="I5431" i="12"/>
  <c r="H5431" i="12"/>
  <c r="F5431" i="12"/>
  <c r="J5430" i="12"/>
  <c r="I5430" i="12"/>
  <c r="H5430" i="12"/>
  <c r="F5430" i="12"/>
  <c r="J5429" i="12"/>
  <c r="I5429" i="12"/>
  <c r="H5429" i="12"/>
  <c r="F5429" i="12"/>
  <c r="J5428" i="12"/>
  <c r="I5428" i="12"/>
  <c r="H5428" i="12"/>
  <c r="F5428" i="12"/>
  <c r="J5427" i="12"/>
  <c r="I5427" i="12"/>
  <c r="H5427" i="12"/>
  <c r="F5427" i="12"/>
  <c r="J5426" i="12"/>
  <c r="I5426" i="12"/>
  <c r="H5426" i="12"/>
  <c r="F5426" i="12"/>
  <c r="J5425" i="12"/>
  <c r="I5425" i="12"/>
  <c r="H5425" i="12"/>
  <c r="F5425" i="12"/>
  <c r="J5424" i="12"/>
  <c r="I5424" i="12"/>
  <c r="H5424" i="12"/>
  <c r="F5424" i="12"/>
  <c r="J5423" i="12"/>
  <c r="I5423" i="12"/>
  <c r="H5423" i="12"/>
  <c r="F5423" i="12"/>
  <c r="J5422" i="12"/>
  <c r="I5422" i="12"/>
  <c r="H5422" i="12"/>
  <c r="F5422" i="12"/>
  <c r="J5421" i="12"/>
  <c r="I5421" i="12"/>
  <c r="H5421" i="12"/>
  <c r="F5421" i="12"/>
  <c r="J5420" i="12"/>
  <c r="I5420" i="12"/>
  <c r="H5420" i="12"/>
  <c r="F5420" i="12"/>
  <c r="J5419" i="12"/>
  <c r="I5419" i="12"/>
  <c r="H5419" i="12"/>
  <c r="F5419" i="12"/>
  <c r="J5418" i="12"/>
  <c r="I5418" i="12"/>
  <c r="H5418" i="12"/>
  <c r="F5418" i="12"/>
  <c r="J5417" i="12"/>
  <c r="I5417" i="12"/>
  <c r="H5417" i="12"/>
  <c r="F5417" i="12"/>
  <c r="J5416" i="12"/>
  <c r="I5416" i="12"/>
  <c r="H5416" i="12"/>
  <c r="F5416" i="12"/>
  <c r="J5415" i="12"/>
  <c r="I5415" i="12"/>
  <c r="H5415" i="12"/>
  <c r="F5415" i="12"/>
  <c r="J5414" i="12"/>
  <c r="I5414" i="12"/>
  <c r="H5414" i="12"/>
  <c r="F5414" i="12"/>
  <c r="J5413" i="12"/>
  <c r="I5413" i="12"/>
  <c r="H5413" i="12"/>
  <c r="F5413" i="12"/>
  <c r="J5412" i="12"/>
  <c r="I5412" i="12"/>
  <c r="H5412" i="12"/>
  <c r="F5412" i="12"/>
  <c r="J5411" i="12"/>
  <c r="I5411" i="12"/>
  <c r="H5411" i="12"/>
  <c r="F5411" i="12"/>
  <c r="J5410" i="12"/>
  <c r="I5410" i="12"/>
  <c r="H5410" i="12"/>
  <c r="F5410" i="12"/>
  <c r="J5409" i="12"/>
  <c r="I5409" i="12"/>
  <c r="H5409" i="12"/>
  <c r="F5409" i="12"/>
  <c r="J5408" i="12"/>
  <c r="I5408" i="12"/>
  <c r="H5408" i="12"/>
  <c r="F5408" i="12"/>
  <c r="J5407" i="12"/>
  <c r="I5407" i="12"/>
  <c r="H5407" i="12"/>
  <c r="F5407" i="12"/>
  <c r="J5406" i="12"/>
  <c r="I5406" i="12"/>
  <c r="H5406" i="12"/>
  <c r="F5406" i="12"/>
  <c r="J5405" i="12"/>
  <c r="I5405" i="12"/>
  <c r="H5405" i="12"/>
  <c r="F5405" i="12"/>
  <c r="J5404" i="12"/>
  <c r="I5404" i="12"/>
  <c r="H5404" i="12"/>
  <c r="F5404" i="12"/>
  <c r="J5403" i="12"/>
  <c r="I5403" i="12"/>
  <c r="H5403" i="12"/>
  <c r="F5403" i="12"/>
  <c r="J5402" i="12"/>
  <c r="I5402" i="12"/>
  <c r="H5402" i="12"/>
  <c r="F5402" i="12"/>
  <c r="J5401" i="12"/>
  <c r="I5401" i="12"/>
  <c r="H5401" i="12"/>
  <c r="F5401" i="12"/>
  <c r="J5400" i="12"/>
  <c r="I5400" i="12"/>
  <c r="H5400" i="12"/>
  <c r="F5400" i="12"/>
  <c r="J5399" i="12"/>
  <c r="I5399" i="12"/>
  <c r="H5399" i="12"/>
  <c r="F5399" i="12"/>
  <c r="J5398" i="12"/>
  <c r="I5398" i="12"/>
  <c r="H5398" i="12"/>
  <c r="F5398" i="12"/>
  <c r="J5397" i="12"/>
  <c r="I5397" i="12"/>
  <c r="H5397" i="12"/>
  <c r="F5397" i="12"/>
  <c r="J5396" i="12"/>
  <c r="I5396" i="12"/>
  <c r="H5396" i="12"/>
  <c r="F5396" i="12"/>
  <c r="J5395" i="12"/>
  <c r="I5395" i="12"/>
  <c r="H5395" i="12"/>
  <c r="F5395" i="12"/>
  <c r="J5394" i="12"/>
  <c r="I5394" i="12"/>
  <c r="H5394" i="12"/>
  <c r="F5394" i="12"/>
  <c r="J5393" i="12"/>
  <c r="I5393" i="12"/>
  <c r="H5393" i="12"/>
  <c r="F5393" i="12"/>
  <c r="J5392" i="12"/>
  <c r="I5392" i="12"/>
  <c r="H5392" i="12"/>
  <c r="F5392" i="12"/>
  <c r="J5391" i="12"/>
  <c r="I5391" i="12"/>
  <c r="H5391" i="12"/>
  <c r="F5391" i="12"/>
  <c r="J5390" i="12"/>
  <c r="I5390" i="12"/>
  <c r="H5390" i="12"/>
  <c r="F5390" i="12"/>
  <c r="J5389" i="12"/>
  <c r="I5389" i="12"/>
  <c r="H5389" i="12"/>
  <c r="F5389" i="12"/>
  <c r="J5388" i="12"/>
  <c r="I5388" i="12"/>
  <c r="H5388" i="12"/>
  <c r="F5388" i="12"/>
  <c r="J5387" i="12"/>
  <c r="I5387" i="12"/>
  <c r="H5387" i="12"/>
  <c r="F5387" i="12"/>
  <c r="J5386" i="12"/>
  <c r="I5386" i="12"/>
  <c r="H5386" i="12"/>
  <c r="F5386" i="12"/>
  <c r="J5385" i="12"/>
  <c r="I5385" i="12"/>
  <c r="H5385" i="12"/>
  <c r="F5385" i="12"/>
  <c r="J5384" i="12"/>
  <c r="I5384" i="12"/>
  <c r="H5384" i="12"/>
  <c r="F5384" i="12"/>
  <c r="J5383" i="12"/>
  <c r="I5383" i="12"/>
  <c r="H5383" i="12"/>
  <c r="F5383" i="12"/>
  <c r="J5382" i="12"/>
  <c r="I5382" i="12"/>
  <c r="H5382" i="12"/>
  <c r="F5382" i="12"/>
  <c r="J5381" i="12"/>
  <c r="I5381" i="12"/>
  <c r="H5381" i="12"/>
  <c r="F5381" i="12"/>
  <c r="J5380" i="12"/>
  <c r="I5380" i="12"/>
  <c r="H5380" i="12"/>
  <c r="F5380" i="12"/>
  <c r="J5379" i="12"/>
  <c r="I5379" i="12"/>
  <c r="H5379" i="12"/>
  <c r="F5379" i="12"/>
  <c r="J5378" i="12"/>
  <c r="I5378" i="12"/>
  <c r="H5378" i="12"/>
  <c r="F5378" i="12"/>
  <c r="J5377" i="12"/>
  <c r="I5377" i="12"/>
  <c r="H5377" i="12"/>
  <c r="F5377" i="12"/>
  <c r="J5376" i="12"/>
  <c r="I5376" i="12"/>
  <c r="H5376" i="12"/>
  <c r="F5376" i="12"/>
  <c r="J5375" i="12"/>
  <c r="I5375" i="12"/>
  <c r="H5375" i="12"/>
  <c r="F5375" i="12"/>
  <c r="J5374" i="12"/>
  <c r="I5374" i="12"/>
  <c r="H5374" i="12"/>
  <c r="F5374" i="12"/>
  <c r="J5373" i="12"/>
  <c r="I5373" i="12"/>
  <c r="H5373" i="12"/>
  <c r="F5373" i="12"/>
  <c r="J5372" i="12"/>
  <c r="I5372" i="12"/>
  <c r="H5372" i="12"/>
  <c r="F5372" i="12"/>
  <c r="J5371" i="12"/>
  <c r="I5371" i="12"/>
  <c r="H5371" i="12"/>
  <c r="F5371" i="12"/>
  <c r="J5370" i="12"/>
  <c r="I5370" i="12"/>
  <c r="H5370" i="12"/>
  <c r="F5370" i="12"/>
  <c r="J5369" i="12"/>
  <c r="I5369" i="12"/>
  <c r="H5369" i="12"/>
  <c r="F5369" i="12"/>
  <c r="J5368" i="12"/>
  <c r="I5368" i="12"/>
  <c r="H5368" i="12"/>
  <c r="F5368" i="12"/>
  <c r="J5367" i="12"/>
  <c r="I5367" i="12"/>
  <c r="H5367" i="12"/>
  <c r="F5367" i="12"/>
  <c r="J5366" i="12"/>
  <c r="I5366" i="12"/>
  <c r="H5366" i="12"/>
  <c r="F5366" i="12"/>
  <c r="J5365" i="12"/>
  <c r="I5365" i="12"/>
  <c r="H5365" i="12"/>
  <c r="F5365" i="12"/>
  <c r="J5364" i="12"/>
  <c r="I5364" i="12"/>
  <c r="H5364" i="12"/>
  <c r="F5364" i="12"/>
  <c r="J5363" i="12"/>
  <c r="I5363" i="12"/>
  <c r="H5363" i="12"/>
  <c r="F5363" i="12"/>
  <c r="J5362" i="12"/>
  <c r="I5362" i="12"/>
  <c r="H5362" i="12"/>
  <c r="F5362" i="12"/>
  <c r="J5361" i="12"/>
  <c r="I5361" i="12"/>
  <c r="H5361" i="12"/>
  <c r="F5361" i="12"/>
  <c r="J5360" i="12"/>
  <c r="I5360" i="12"/>
  <c r="H5360" i="12"/>
  <c r="F5360" i="12"/>
  <c r="J5359" i="12"/>
  <c r="I5359" i="12"/>
  <c r="H5359" i="12"/>
  <c r="F5359" i="12"/>
  <c r="J5358" i="12"/>
  <c r="I5358" i="12"/>
  <c r="H5358" i="12"/>
  <c r="F5358" i="12"/>
  <c r="J5357" i="12"/>
  <c r="I5357" i="12"/>
  <c r="H5357" i="12"/>
  <c r="F5357" i="12"/>
  <c r="J5356" i="12"/>
  <c r="I5356" i="12"/>
  <c r="H5356" i="12"/>
  <c r="F5356" i="12"/>
  <c r="J5355" i="12"/>
  <c r="I5355" i="12"/>
  <c r="H5355" i="12"/>
  <c r="F5355" i="12"/>
  <c r="J5354" i="12"/>
  <c r="I5354" i="12"/>
  <c r="H5354" i="12"/>
  <c r="F5354" i="12"/>
  <c r="J5353" i="12"/>
  <c r="I5353" i="12"/>
  <c r="H5353" i="12"/>
  <c r="F5353" i="12"/>
  <c r="J5352" i="12"/>
  <c r="I5352" i="12"/>
  <c r="H5352" i="12"/>
  <c r="F5352" i="12"/>
  <c r="J5351" i="12"/>
  <c r="I5351" i="12"/>
  <c r="H5351" i="12"/>
  <c r="F5351" i="12"/>
  <c r="J5350" i="12"/>
  <c r="I5350" i="12"/>
  <c r="H5350" i="12"/>
  <c r="F5350" i="12"/>
  <c r="J5349" i="12"/>
  <c r="I5349" i="12"/>
  <c r="H5349" i="12"/>
  <c r="F5349" i="12"/>
  <c r="J5348" i="12"/>
  <c r="I5348" i="12"/>
  <c r="H5348" i="12"/>
  <c r="F5348" i="12"/>
  <c r="J5347" i="12"/>
  <c r="I5347" i="12"/>
  <c r="H5347" i="12"/>
  <c r="F5347" i="12"/>
  <c r="J5346" i="12"/>
  <c r="I5346" i="12"/>
  <c r="H5346" i="12"/>
  <c r="F5346" i="12"/>
  <c r="J5345" i="12"/>
  <c r="I5345" i="12"/>
  <c r="H5345" i="12"/>
  <c r="F5345" i="12"/>
  <c r="J5344" i="12"/>
  <c r="I5344" i="12"/>
  <c r="H5344" i="12"/>
  <c r="F5344" i="12"/>
  <c r="J5343" i="12"/>
  <c r="I5343" i="12"/>
  <c r="H5343" i="12"/>
  <c r="F5343" i="12"/>
  <c r="J5342" i="12"/>
  <c r="I5342" i="12"/>
  <c r="H5342" i="12"/>
  <c r="F5342" i="12"/>
  <c r="J5341" i="12"/>
  <c r="I5341" i="12"/>
  <c r="H5341" i="12"/>
  <c r="F5341" i="12"/>
  <c r="J5340" i="12"/>
  <c r="I5340" i="12"/>
  <c r="H5340" i="12"/>
  <c r="F5340" i="12"/>
  <c r="J5339" i="12"/>
  <c r="I5339" i="12"/>
  <c r="H5339" i="12"/>
  <c r="F5339" i="12"/>
  <c r="J5338" i="12"/>
  <c r="I5338" i="12"/>
  <c r="H5338" i="12"/>
  <c r="F5338" i="12"/>
  <c r="J5337" i="12"/>
  <c r="I5337" i="12"/>
  <c r="H5337" i="12"/>
  <c r="F5337" i="12"/>
  <c r="J5336" i="12"/>
  <c r="I5336" i="12"/>
  <c r="H5336" i="12"/>
  <c r="F5336" i="12"/>
  <c r="J5335" i="12"/>
  <c r="I5335" i="12"/>
  <c r="H5335" i="12"/>
  <c r="F5335" i="12"/>
  <c r="J5334" i="12"/>
  <c r="I5334" i="12"/>
  <c r="H5334" i="12"/>
  <c r="F5334" i="12"/>
  <c r="J5333" i="12"/>
  <c r="I5333" i="12"/>
  <c r="H5333" i="12"/>
  <c r="F5333" i="12"/>
  <c r="J5332" i="12"/>
  <c r="I5332" i="12"/>
  <c r="H5332" i="12"/>
  <c r="F5332" i="12"/>
  <c r="J5331" i="12"/>
  <c r="I5331" i="12"/>
  <c r="H5331" i="12"/>
  <c r="F5331" i="12"/>
  <c r="J5330" i="12"/>
  <c r="I5330" i="12"/>
  <c r="H5330" i="12"/>
  <c r="F5330" i="12"/>
  <c r="J5329" i="12"/>
  <c r="I5329" i="12"/>
  <c r="H5329" i="12"/>
  <c r="F5329" i="12"/>
  <c r="J5328" i="12"/>
  <c r="I5328" i="12"/>
  <c r="H5328" i="12"/>
  <c r="F5328" i="12"/>
  <c r="J5327" i="12"/>
  <c r="I5327" i="12"/>
  <c r="H5327" i="12"/>
  <c r="F5327" i="12"/>
  <c r="J5326" i="12"/>
  <c r="I5326" i="12"/>
  <c r="H5326" i="12"/>
  <c r="F5326" i="12"/>
  <c r="J5325" i="12"/>
  <c r="I5325" i="12"/>
  <c r="H5325" i="12"/>
  <c r="F5325" i="12"/>
  <c r="J5324" i="12"/>
  <c r="I5324" i="12"/>
  <c r="H5324" i="12"/>
  <c r="F5324" i="12"/>
  <c r="J5323" i="12"/>
  <c r="I5323" i="12"/>
  <c r="H5323" i="12"/>
  <c r="F5323" i="12"/>
  <c r="J5322" i="12"/>
  <c r="I5322" i="12"/>
  <c r="H5322" i="12"/>
  <c r="F5322" i="12"/>
  <c r="J5321" i="12"/>
  <c r="I5321" i="12"/>
  <c r="H5321" i="12"/>
  <c r="F5321" i="12"/>
  <c r="J5320" i="12"/>
  <c r="I5320" i="12"/>
  <c r="H5320" i="12"/>
  <c r="F5320" i="12"/>
  <c r="J5319" i="12"/>
  <c r="I5319" i="12"/>
  <c r="H5319" i="12"/>
  <c r="F5319" i="12"/>
  <c r="J5318" i="12"/>
  <c r="I5318" i="12"/>
  <c r="H5318" i="12"/>
  <c r="F5318" i="12"/>
  <c r="J5317" i="12"/>
  <c r="I5317" i="12"/>
  <c r="H5317" i="12"/>
  <c r="F5317" i="12"/>
  <c r="J5316" i="12"/>
  <c r="I5316" i="12"/>
  <c r="H5316" i="12"/>
  <c r="F5316" i="12"/>
  <c r="J5315" i="12"/>
  <c r="I5315" i="12"/>
  <c r="H5315" i="12"/>
  <c r="F5315" i="12"/>
  <c r="J5314" i="12"/>
  <c r="I5314" i="12"/>
  <c r="H5314" i="12"/>
  <c r="F5314" i="12"/>
  <c r="J5313" i="12"/>
  <c r="I5313" i="12"/>
  <c r="H5313" i="12"/>
  <c r="F5313" i="12"/>
  <c r="J5312" i="12"/>
  <c r="I5312" i="12"/>
  <c r="H5312" i="12"/>
  <c r="F5312" i="12"/>
  <c r="J5311" i="12"/>
  <c r="I5311" i="12"/>
  <c r="H5311" i="12"/>
  <c r="F5311" i="12"/>
  <c r="J5310" i="12"/>
  <c r="I5310" i="12"/>
  <c r="H5310" i="12"/>
  <c r="F5310" i="12"/>
  <c r="J5309" i="12"/>
  <c r="I5309" i="12"/>
  <c r="H5309" i="12"/>
  <c r="F5309" i="12"/>
  <c r="J5308" i="12"/>
  <c r="I5308" i="12"/>
  <c r="H5308" i="12"/>
  <c r="F5308" i="12"/>
  <c r="J5307" i="12"/>
  <c r="I5307" i="12"/>
  <c r="H5307" i="12"/>
  <c r="F5307" i="12"/>
  <c r="J5306" i="12"/>
  <c r="I5306" i="12"/>
  <c r="H5306" i="12"/>
  <c r="F5306" i="12"/>
  <c r="J5305" i="12"/>
  <c r="I5305" i="12"/>
  <c r="H5305" i="12"/>
  <c r="F5305" i="12"/>
  <c r="J5304" i="12"/>
  <c r="I5304" i="12"/>
  <c r="H5304" i="12"/>
  <c r="F5304" i="12"/>
  <c r="J5303" i="12"/>
  <c r="I5303" i="12"/>
  <c r="H5303" i="12"/>
  <c r="F5303" i="12"/>
  <c r="J5302" i="12"/>
  <c r="I5302" i="12"/>
  <c r="H5302" i="12"/>
  <c r="F5302" i="12"/>
  <c r="J5301" i="12"/>
  <c r="I5301" i="12"/>
  <c r="H5301" i="12"/>
  <c r="F5301" i="12"/>
  <c r="J5300" i="12"/>
  <c r="I5300" i="12"/>
  <c r="H5300" i="12"/>
  <c r="F5300" i="12"/>
  <c r="J5299" i="12"/>
  <c r="I5299" i="12"/>
  <c r="H5299" i="12"/>
  <c r="F5299" i="12"/>
  <c r="J5298" i="12"/>
  <c r="I5298" i="12"/>
  <c r="H5298" i="12"/>
  <c r="F5298" i="12"/>
  <c r="J5297" i="12"/>
  <c r="I5297" i="12"/>
  <c r="H5297" i="12"/>
  <c r="F5297" i="12"/>
  <c r="J5296" i="12"/>
  <c r="I5296" i="12"/>
  <c r="H5296" i="12"/>
  <c r="F5296" i="12"/>
  <c r="J5295" i="12"/>
  <c r="I5295" i="12"/>
  <c r="H5295" i="12"/>
  <c r="F5295" i="12"/>
  <c r="J5294" i="12"/>
  <c r="I5294" i="12"/>
  <c r="H5294" i="12"/>
  <c r="F5294" i="12"/>
  <c r="J5293" i="12"/>
  <c r="I5293" i="12"/>
  <c r="H5293" i="12"/>
  <c r="F5293" i="12"/>
  <c r="J5292" i="12"/>
  <c r="I5292" i="12"/>
  <c r="H5292" i="12"/>
  <c r="F5292" i="12"/>
  <c r="J5291" i="12"/>
  <c r="I5291" i="12"/>
  <c r="H5291" i="12"/>
  <c r="F5291" i="12"/>
  <c r="J5290" i="12"/>
  <c r="I5290" i="12"/>
  <c r="H5290" i="12"/>
  <c r="F5290" i="12"/>
  <c r="J5289" i="12"/>
  <c r="I5289" i="12"/>
  <c r="H5289" i="12"/>
  <c r="F5289" i="12"/>
  <c r="J5288" i="12"/>
  <c r="I5288" i="12"/>
  <c r="H5288" i="12"/>
  <c r="F5288" i="12"/>
  <c r="J5287" i="12"/>
  <c r="I5287" i="12"/>
  <c r="H5287" i="12"/>
  <c r="F5287" i="12"/>
  <c r="J5286" i="12"/>
  <c r="I5286" i="12"/>
  <c r="H5286" i="12"/>
  <c r="F5286" i="12"/>
  <c r="J5285" i="12"/>
  <c r="I5285" i="12"/>
  <c r="H5285" i="12"/>
  <c r="F5285" i="12"/>
  <c r="J5284" i="12"/>
  <c r="I5284" i="12"/>
  <c r="H5284" i="12"/>
  <c r="F5284" i="12"/>
  <c r="J5283" i="12"/>
  <c r="I5283" i="12"/>
  <c r="H5283" i="12"/>
  <c r="F5283" i="12"/>
  <c r="J5282" i="12"/>
  <c r="I5282" i="12"/>
  <c r="H5282" i="12"/>
  <c r="F5282" i="12"/>
  <c r="J5281" i="12"/>
  <c r="I5281" i="12"/>
  <c r="H5281" i="12"/>
  <c r="F5281" i="12"/>
  <c r="J5280" i="12"/>
  <c r="I5280" i="12"/>
  <c r="H5280" i="12"/>
  <c r="F5280" i="12"/>
  <c r="J5279" i="12"/>
  <c r="I5279" i="12"/>
  <c r="H5279" i="12"/>
  <c r="F5279" i="12"/>
  <c r="J5278" i="12"/>
  <c r="I5278" i="12"/>
  <c r="H5278" i="12"/>
  <c r="F5278" i="12"/>
  <c r="J5277" i="12"/>
  <c r="I5277" i="12"/>
  <c r="H5277" i="12"/>
  <c r="F5277" i="12"/>
  <c r="J5276" i="12"/>
  <c r="I5276" i="12"/>
  <c r="H5276" i="12"/>
  <c r="F5276" i="12"/>
  <c r="J5275" i="12"/>
  <c r="I5275" i="12"/>
  <c r="H5275" i="12"/>
  <c r="F5275" i="12"/>
  <c r="J5274" i="12"/>
  <c r="I5274" i="12"/>
  <c r="H5274" i="12"/>
  <c r="F5274" i="12"/>
  <c r="J5273" i="12"/>
  <c r="I5273" i="12"/>
  <c r="H5273" i="12"/>
  <c r="F5273" i="12"/>
  <c r="J5272" i="12"/>
  <c r="I5272" i="12"/>
  <c r="H5272" i="12"/>
  <c r="F5272" i="12"/>
  <c r="J5271" i="12"/>
  <c r="I5271" i="12"/>
  <c r="H5271" i="12"/>
  <c r="F5271" i="12"/>
  <c r="J5270" i="12"/>
  <c r="I5270" i="12"/>
  <c r="H5270" i="12"/>
  <c r="F5270" i="12"/>
  <c r="J5269" i="12"/>
  <c r="I5269" i="12"/>
  <c r="H5269" i="12"/>
  <c r="F5269" i="12"/>
  <c r="J5268" i="12"/>
  <c r="I5268" i="12"/>
  <c r="H5268" i="12"/>
  <c r="F5268" i="12"/>
  <c r="J5267" i="12"/>
  <c r="I5267" i="12"/>
  <c r="H5267" i="12"/>
  <c r="F5267" i="12"/>
  <c r="J5266" i="12"/>
  <c r="I5266" i="12"/>
  <c r="H5266" i="12"/>
  <c r="F5266" i="12"/>
  <c r="J5265" i="12"/>
  <c r="I5265" i="12"/>
  <c r="H5265" i="12"/>
  <c r="F5265" i="12"/>
  <c r="J5264" i="12"/>
  <c r="I5264" i="12"/>
  <c r="H5264" i="12"/>
  <c r="F5264" i="12"/>
  <c r="J5263" i="12"/>
  <c r="I5263" i="12"/>
  <c r="H5263" i="12"/>
  <c r="F5263" i="12"/>
  <c r="J5262" i="12"/>
  <c r="I5262" i="12"/>
  <c r="H5262" i="12"/>
  <c r="F5262" i="12"/>
  <c r="J5261" i="12"/>
  <c r="I5261" i="12"/>
  <c r="H5261" i="12"/>
  <c r="F5261" i="12"/>
  <c r="J5260" i="12"/>
  <c r="I5260" i="12"/>
  <c r="H5260" i="12"/>
  <c r="F5260" i="12"/>
  <c r="J5259" i="12"/>
  <c r="I5259" i="12"/>
  <c r="H5259" i="12"/>
  <c r="F5259" i="12"/>
  <c r="J5258" i="12"/>
  <c r="I5258" i="12"/>
  <c r="H5258" i="12"/>
  <c r="F5258" i="12"/>
  <c r="J5257" i="12"/>
  <c r="I5257" i="12"/>
  <c r="H5257" i="12"/>
  <c r="F5257" i="12"/>
  <c r="J5256" i="12"/>
  <c r="I5256" i="12"/>
  <c r="H5256" i="12"/>
  <c r="F5256" i="12"/>
  <c r="J5255" i="12"/>
  <c r="I5255" i="12"/>
  <c r="H5255" i="12"/>
  <c r="F5255" i="12"/>
  <c r="J5254" i="12"/>
  <c r="I5254" i="12"/>
  <c r="H5254" i="12"/>
  <c r="F5254" i="12"/>
  <c r="J5253" i="12"/>
  <c r="I5253" i="12"/>
  <c r="H5253" i="12"/>
  <c r="F5253" i="12"/>
  <c r="J5252" i="12"/>
  <c r="I5252" i="12"/>
  <c r="H5252" i="12"/>
  <c r="F5252" i="12"/>
  <c r="J5251" i="12"/>
  <c r="I5251" i="12"/>
  <c r="H5251" i="12"/>
  <c r="F5251" i="12"/>
  <c r="J5250" i="12"/>
  <c r="I5250" i="12"/>
  <c r="H5250" i="12"/>
  <c r="F5250" i="12"/>
  <c r="J5249" i="12"/>
  <c r="I5249" i="12"/>
  <c r="H5249" i="12"/>
  <c r="F5249" i="12"/>
  <c r="J5248" i="12"/>
  <c r="I5248" i="12"/>
  <c r="H5248" i="12"/>
  <c r="F5248" i="12"/>
  <c r="J5247" i="12"/>
  <c r="I5247" i="12"/>
  <c r="H5247" i="12"/>
  <c r="F5247" i="12"/>
  <c r="J5246" i="12"/>
  <c r="I5246" i="12"/>
  <c r="H5246" i="12"/>
  <c r="F5246" i="12"/>
  <c r="J5245" i="12"/>
  <c r="I5245" i="12"/>
  <c r="H5245" i="12"/>
  <c r="F5245" i="12"/>
  <c r="J5244" i="12"/>
  <c r="I5244" i="12"/>
  <c r="H5244" i="12"/>
  <c r="F5244" i="12"/>
  <c r="J5243" i="12"/>
  <c r="I5243" i="12"/>
  <c r="H5243" i="12"/>
  <c r="F5243" i="12"/>
  <c r="J5242" i="12"/>
  <c r="I5242" i="12"/>
  <c r="H5242" i="12"/>
  <c r="F5242" i="12"/>
  <c r="J5241" i="12"/>
  <c r="I5241" i="12"/>
  <c r="H5241" i="12"/>
  <c r="F5241" i="12"/>
  <c r="J5240" i="12"/>
  <c r="I5240" i="12"/>
  <c r="H5240" i="12"/>
  <c r="F5240" i="12"/>
  <c r="J5239" i="12"/>
  <c r="I5239" i="12"/>
  <c r="H5239" i="12"/>
  <c r="F5239" i="12"/>
  <c r="J5238" i="12"/>
  <c r="I5238" i="12"/>
  <c r="H5238" i="12"/>
  <c r="F5238" i="12"/>
  <c r="J5237" i="12"/>
  <c r="I5237" i="12"/>
  <c r="H5237" i="12"/>
  <c r="F5237" i="12"/>
  <c r="J5236" i="12"/>
  <c r="I5236" i="12"/>
  <c r="H5236" i="12"/>
  <c r="F5236" i="12"/>
  <c r="J5235" i="12"/>
  <c r="I5235" i="12"/>
  <c r="H5235" i="12"/>
  <c r="F5235" i="12"/>
  <c r="J5234" i="12"/>
  <c r="I5234" i="12"/>
  <c r="H5234" i="12"/>
  <c r="F5234" i="12"/>
  <c r="J5233" i="12"/>
  <c r="I5233" i="12"/>
  <c r="H5233" i="12"/>
  <c r="F5233" i="12"/>
  <c r="J5232" i="12"/>
  <c r="I5232" i="12"/>
  <c r="H5232" i="12"/>
  <c r="F5232" i="12"/>
  <c r="J5231" i="12"/>
  <c r="I5231" i="12"/>
  <c r="H5231" i="12"/>
  <c r="F5231" i="12"/>
  <c r="J5230" i="12"/>
  <c r="I5230" i="12"/>
  <c r="H5230" i="12"/>
  <c r="F5230" i="12"/>
  <c r="J5229" i="12"/>
  <c r="I5229" i="12"/>
  <c r="H5229" i="12"/>
  <c r="F5229" i="12"/>
  <c r="J5228" i="12"/>
  <c r="I5228" i="12"/>
  <c r="H5228" i="12"/>
  <c r="F5228" i="12"/>
  <c r="J5227" i="12"/>
  <c r="I5227" i="12"/>
  <c r="H5227" i="12"/>
  <c r="F5227" i="12"/>
  <c r="J5226" i="12"/>
  <c r="I5226" i="12"/>
  <c r="H5226" i="12"/>
  <c r="F5226" i="12"/>
  <c r="J5225" i="12"/>
  <c r="I5225" i="12"/>
  <c r="H5225" i="12"/>
  <c r="F5225" i="12"/>
  <c r="J5224" i="12"/>
  <c r="I5224" i="12"/>
  <c r="H5224" i="12"/>
  <c r="F5224" i="12"/>
  <c r="J5223" i="12"/>
  <c r="I5223" i="12"/>
  <c r="H5223" i="12"/>
  <c r="F5223" i="12"/>
  <c r="J5222" i="12"/>
  <c r="I5222" i="12"/>
  <c r="H5222" i="12"/>
  <c r="F5222" i="12"/>
  <c r="J5221" i="12"/>
  <c r="I5221" i="12"/>
  <c r="H5221" i="12"/>
  <c r="F5221" i="12"/>
  <c r="J5220" i="12"/>
  <c r="I5220" i="12"/>
  <c r="H5220" i="12"/>
  <c r="F5220" i="12"/>
  <c r="J5219" i="12"/>
  <c r="I5219" i="12"/>
  <c r="H5219" i="12"/>
  <c r="F5219" i="12"/>
  <c r="J5218" i="12"/>
  <c r="I5218" i="12"/>
  <c r="H5218" i="12"/>
  <c r="F5218" i="12"/>
  <c r="J5217" i="12"/>
  <c r="I5217" i="12"/>
  <c r="H5217" i="12"/>
  <c r="F5217" i="12"/>
  <c r="J5216" i="12"/>
  <c r="I5216" i="12"/>
  <c r="H5216" i="12"/>
  <c r="F5216" i="12"/>
  <c r="J5215" i="12"/>
  <c r="I5215" i="12"/>
  <c r="H5215" i="12"/>
  <c r="F5215" i="12"/>
  <c r="J5214" i="12"/>
  <c r="I5214" i="12"/>
  <c r="H5214" i="12"/>
  <c r="F5214" i="12"/>
  <c r="J5213" i="12"/>
  <c r="I5213" i="12"/>
  <c r="H5213" i="12"/>
  <c r="F5213" i="12"/>
  <c r="J5212" i="12"/>
  <c r="I5212" i="12"/>
  <c r="H5212" i="12"/>
  <c r="F5212" i="12"/>
  <c r="J5211" i="12"/>
  <c r="I5211" i="12"/>
  <c r="H5211" i="12"/>
  <c r="F5211" i="12"/>
  <c r="J5210" i="12"/>
  <c r="I5210" i="12"/>
  <c r="H5210" i="12"/>
  <c r="F5210" i="12"/>
  <c r="J5209" i="12"/>
  <c r="I5209" i="12"/>
  <c r="H5209" i="12"/>
  <c r="F5209" i="12"/>
  <c r="J5208" i="12"/>
  <c r="I5208" i="12"/>
  <c r="H5208" i="12"/>
  <c r="F5208" i="12"/>
  <c r="J5207" i="12"/>
  <c r="I5207" i="12"/>
  <c r="H5207" i="12"/>
  <c r="F5207" i="12"/>
  <c r="J5206" i="12"/>
  <c r="I5206" i="12"/>
  <c r="H5206" i="12"/>
  <c r="F5206" i="12"/>
  <c r="J5205" i="12"/>
  <c r="I5205" i="12"/>
  <c r="H5205" i="12"/>
  <c r="F5205" i="12"/>
  <c r="J5204" i="12"/>
  <c r="I5204" i="12"/>
  <c r="H5204" i="12"/>
  <c r="F5204" i="12"/>
  <c r="J5203" i="12"/>
  <c r="I5203" i="12"/>
  <c r="H5203" i="12"/>
  <c r="F5203" i="12"/>
  <c r="J5202" i="12"/>
  <c r="I5202" i="12"/>
  <c r="H5202" i="12"/>
  <c r="F5202" i="12"/>
  <c r="J5201" i="12"/>
  <c r="I5201" i="12"/>
  <c r="H5201" i="12"/>
  <c r="F5201" i="12"/>
  <c r="J5200" i="12"/>
  <c r="I5200" i="12"/>
  <c r="H5200" i="12"/>
  <c r="F5200" i="12"/>
  <c r="J5199" i="12"/>
  <c r="I5199" i="12"/>
  <c r="H5199" i="12"/>
  <c r="F5199" i="12"/>
  <c r="J5198" i="12"/>
  <c r="I5198" i="12"/>
  <c r="H5198" i="12"/>
  <c r="F5198" i="12"/>
  <c r="J5197" i="12"/>
  <c r="I5197" i="12"/>
  <c r="H5197" i="12"/>
  <c r="F5197" i="12"/>
  <c r="J5196" i="12"/>
  <c r="I5196" i="12"/>
  <c r="H5196" i="12"/>
  <c r="F5196" i="12"/>
  <c r="J5195" i="12"/>
  <c r="I5195" i="12"/>
  <c r="H5195" i="12"/>
  <c r="F5195" i="12"/>
  <c r="J5194" i="12"/>
  <c r="I5194" i="12"/>
  <c r="H5194" i="12"/>
  <c r="F5194" i="12"/>
  <c r="J5193" i="12"/>
  <c r="I5193" i="12"/>
  <c r="H5193" i="12"/>
  <c r="F5193" i="12"/>
  <c r="J5192" i="12"/>
  <c r="I5192" i="12"/>
  <c r="H5192" i="12"/>
  <c r="F5192" i="12"/>
  <c r="J5191" i="12"/>
  <c r="I5191" i="12"/>
  <c r="H5191" i="12"/>
  <c r="F5191" i="12"/>
  <c r="J5190" i="12"/>
  <c r="I5190" i="12"/>
  <c r="H5190" i="12"/>
  <c r="F5190" i="12"/>
  <c r="J5189" i="12"/>
  <c r="I5189" i="12"/>
  <c r="H5189" i="12"/>
  <c r="F5189" i="12"/>
  <c r="J5188" i="12"/>
  <c r="I5188" i="12"/>
  <c r="H5188" i="12"/>
  <c r="F5188" i="12"/>
  <c r="J5187" i="12"/>
  <c r="I5187" i="12"/>
  <c r="H5187" i="12"/>
  <c r="F5187" i="12"/>
  <c r="J5186" i="12"/>
  <c r="I5186" i="12"/>
  <c r="H5186" i="12"/>
  <c r="F5186" i="12"/>
  <c r="J5185" i="12"/>
  <c r="I5185" i="12"/>
  <c r="H5185" i="12"/>
  <c r="F5185" i="12"/>
  <c r="J5184" i="12"/>
  <c r="I5184" i="12"/>
  <c r="H5184" i="12"/>
  <c r="F5184" i="12"/>
  <c r="J5183" i="12"/>
  <c r="I5183" i="12"/>
  <c r="H5183" i="12"/>
  <c r="F5183" i="12"/>
  <c r="J5182" i="12"/>
  <c r="I5182" i="12"/>
  <c r="H5182" i="12"/>
  <c r="F5182" i="12"/>
  <c r="J5181" i="12"/>
  <c r="I5181" i="12"/>
  <c r="H5181" i="12"/>
  <c r="F5181" i="12"/>
  <c r="J5180" i="12"/>
  <c r="I5180" i="12"/>
  <c r="H5180" i="12"/>
  <c r="F5180" i="12"/>
  <c r="J5179" i="12"/>
  <c r="I5179" i="12"/>
  <c r="H5179" i="12"/>
  <c r="F5179" i="12"/>
  <c r="J5178" i="12"/>
  <c r="I5178" i="12"/>
  <c r="H5178" i="12"/>
  <c r="F5178" i="12"/>
  <c r="J5177" i="12"/>
  <c r="I5177" i="12"/>
  <c r="H5177" i="12"/>
  <c r="F5177" i="12"/>
  <c r="J5176" i="12"/>
  <c r="I5176" i="12"/>
  <c r="H5176" i="12"/>
  <c r="F5176" i="12"/>
  <c r="J5175" i="12"/>
  <c r="I5175" i="12"/>
  <c r="H5175" i="12"/>
  <c r="F5175" i="12"/>
  <c r="J5174" i="12"/>
  <c r="I5174" i="12"/>
  <c r="H5174" i="12"/>
  <c r="F5174" i="12"/>
  <c r="J5173" i="12"/>
  <c r="I5173" i="12"/>
  <c r="H5173" i="12"/>
  <c r="F5173" i="12"/>
  <c r="J5172" i="12"/>
  <c r="I5172" i="12"/>
  <c r="H5172" i="12"/>
  <c r="F5172" i="12"/>
  <c r="J5171" i="12"/>
  <c r="I5171" i="12"/>
  <c r="H5171" i="12"/>
  <c r="F5171" i="12"/>
  <c r="J5170" i="12"/>
  <c r="I5170" i="12"/>
  <c r="H5170" i="12"/>
  <c r="F5170" i="12"/>
  <c r="J5169" i="12"/>
  <c r="I5169" i="12"/>
  <c r="H5169" i="12"/>
  <c r="F5169" i="12"/>
  <c r="J5168" i="12"/>
  <c r="I5168" i="12"/>
  <c r="H5168" i="12"/>
  <c r="F5168" i="12"/>
  <c r="J5167" i="12"/>
  <c r="I5167" i="12"/>
  <c r="H5167" i="12"/>
  <c r="F5167" i="12"/>
  <c r="J5166" i="12"/>
  <c r="I5166" i="12"/>
  <c r="H5166" i="12"/>
  <c r="F5166" i="12"/>
  <c r="J5165" i="12"/>
  <c r="I5165" i="12"/>
  <c r="H5165" i="12"/>
  <c r="F5165" i="12"/>
  <c r="J5164" i="12"/>
  <c r="I5164" i="12"/>
  <c r="H5164" i="12"/>
  <c r="F5164" i="12"/>
  <c r="J5163" i="12"/>
  <c r="I5163" i="12"/>
  <c r="H5163" i="12"/>
  <c r="F5163" i="12"/>
  <c r="J5162" i="12"/>
  <c r="I5162" i="12"/>
  <c r="H5162" i="12"/>
  <c r="F5162" i="12"/>
  <c r="J5161" i="12"/>
  <c r="I5161" i="12"/>
  <c r="H5161" i="12"/>
  <c r="F5161" i="12"/>
  <c r="J5160" i="12"/>
  <c r="I5160" i="12"/>
  <c r="H5160" i="12"/>
  <c r="F5160" i="12"/>
  <c r="J5159" i="12"/>
  <c r="I5159" i="12"/>
  <c r="H5159" i="12"/>
  <c r="F5159" i="12"/>
  <c r="J5158" i="12"/>
  <c r="I5158" i="12"/>
  <c r="H5158" i="12"/>
  <c r="F5158" i="12"/>
  <c r="J5157" i="12"/>
  <c r="I5157" i="12"/>
  <c r="H5157" i="12"/>
  <c r="F5157" i="12"/>
  <c r="J5156" i="12"/>
  <c r="I5156" i="12"/>
  <c r="H5156" i="12"/>
  <c r="F5156" i="12"/>
  <c r="J5155" i="12"/>
  <c r="I5155" i="12"/>
  <c r="H5155" i="12"/>
  <c r="F5155" i="12"/>
  <c r="J5154" i="12"/>
  <c r="I5154" i="12"/>
  <c r="H5154" i="12"/>
  <c r="F5154" i="12"/>
  <c r="J5153" i="12"/>
  <c r="I5153" i="12"/>
  <c r="H5153" i="12"/>
  <c r="F5153" i="12"/>
  <c r="J5152" i="12"/>
  <c r="I5152" i="12"/>
  <c r="H5152" i="12"/>
  <c r="F5152" i="12"/>
  <c r="J5151" i="12"/>
  <c r="I5151" i="12"/>
  <c r="H5151" i="12"/>
  <c r="F5151" i="12"/>
  <c r="J5150" i="12"/>
  <c r="I5150" i="12"/>
  <c r="H5150" i="12"/>
  <c r="F5150" i="12"/>
  <c r="J5149" i="12"/>
  <c r="I5149" i="12"/>
  <c r="H5149" i="12"/>
  <c r="F5149" i="12"/>
  <c r="J5148" i="12"/>
  <c r="I5148" i="12"/>
  <c r="H5148" i="12"/>
  <c r="F5148" i="12"/>
  <c r="J5147" i="12"/>
  <c r="I5147" i="12"/>
  <c r="H5147" i="12"/>
  <c r="F5147" i="12"/>
  <c r="J5146" i="12"/>
  <c r="I5146" i="12"/>
  <c r="H5146" i="12"/>
  <c r="F5146" i="12"/>
  <c r="J5145" i="12"/>
  <c r="I5145" i="12"/>
  <c r="H5145" i="12"/>
  <c r="F5145" i="12"/>
  <c r="J5144" i="12"/>
  <c r="I5144" i="12"/>
  <c r="H5144" i="12"/>
  <c r="F5144" i="12"/>
  <c r="J5143" i="12"/>
  <c r="I5143" i="12"/>
  <c r="H5143" i="12"/>
  <c r="F5143" i="12"/>
  <c r="J5142" i="12"/>
  <c r="I5142" i="12"/>
  <c r="H5142" i="12"/>
  <c r="F5142" i="12"/>
  <c r="J5141" i="12"/>
  <c r="I5141" i="12"/>
  <c r="H5141" i="12"/>
  <c r="F5141" i="12"/>
  <c r="J5140" i="12"/>
  <c r="I5140" i="12"/>
  <c r="H5140" i="12"/>
  <c r="F5140" i="12"/>
  <c r="J5139" i="12"/>
  <c r="I5139" i="12"/>
  <c r="H5139" i="12"/>
  <c r="F5139" i="12"/>
  <c r="J5138" i="12"/>
  <c r="I5138" i="12"/>
  <c r="H5138" i="12"/>
  <c r="F5138" i="12"/>
  <c r="J5137" i="12"/>
  <c r="I5137" i="12"/>
  <c r="H5137" i="12"/>
  <c r="F5137" i="12"/>
  <c r="J5136" i="12"/>
  <c r="I5136" i="12"/>
  <c r="H5136" i="12"/>
  <c r="F5136" i="12"/>
  <c r="J5135" i="12"/>
  <c r="I5135" i="12"/>
  <c r="H5135" i="12"/>
  <c r="F5135" i="12"/>
  <c r="J5134" i="12"/>
  <c r="I5134" i="12"/>
  <c r="H5134" i="12"/>
  <c r="F5134" i="12"/>
  <c r="J5133" i="12"/>
  <c r="I5133" i="12"/>
  <c r="H5133" i="12"/>
  <c r="F5133" i="12"/>
  <c r="J5132" i="12"/>
  <c r="I5132" i="12"/>
  <c r="H5132" i="12"/>
  <c r="F5132" i="12"/>
  <c r="J5131" i="12"/>
  <c r="I5131" i="12"/>
  <c r="H5131" i="12"/>
  <c r="F5131" i="12"/>
  <c r="J5130" i="12"/>
  <c r="I5130" i="12"/>
  <c r="H5130" i="12"/>
  <c r="F5130" i="12"/>
  <c r="J5129" i="12"/>
  <c r="I5129" i="12"/>
  <c r="H5129" i="12"/>
  <c r="F5129" i="12"/>
  <c r="J5128" i="12"/>
  <c r="I5128" i="12"/>
  <c r="H5128" i="12"/>
  <c r="F5128" i="12"/>
  <c r="J5127" i="12"/>
  <c r="I5127" i="12"/>
  <c r="H5127" i="12"/>
  <c r="F5127" i="12"/>
  <c r="J5126" i="12"/>
  <c r="I5126" i="12"/>
  <c r="H5126" i="12"/>
  <c r="F5126" i="12"/>
  <c r="J5125" i="12"/>
  <c r="I5125" i="12"/>
  <c r="H5125" i="12"/>
  <c r="F5125" i="12"/>
  <c r="J5124" i="12"/>
  <c r="I5124" i="12"/>
  <c r="H5124" i="12"/>
  <c r="F5124" i="12"/>
  <c r="J5123" i="12"/>
  <c r="I5123" i="12"/>
  <c r="H5123" i="12"/>
  <c r="F5123" i="12"/>
  <c r="J5122" i="12"/>
  <c r="I5122" i="12"/>
  <c r="H5122" i="12"/>
  <c r="F5122" i="12"/>
  <c r="J5121" i="12"/>
  <c r="I5121" i="12"/>
  <c r="H5121" i="12"/>
  <c r="F5121" i="12"/>
  <c r="J5120" i="12"/>
  <c r="I5120" i="12"/>
  <c r="H5120" i="12"/>
  <c r="F5120" i="12"/>
  <c r="J5119" i="12"/>
  <c r="I5119" i="12"/>
  <c r="H5119" i="12"/>
  <c r="F5119" i="12"/>
  <c r="J5118" i="12"/>
  <c r="I5118" i="12"/>
  <c r="H5118" i="12"/>
  <c r="F5118" i="12"/>
  <c r="J5117" i="12"/>
  <c r="I5117" i="12"/>
  <c r="H5117" i="12"/>
  <c r="F5117" i="12"/>
  <c r="J5116" i="12"/>
  <c r="I5116" i="12"/>
  <c r="H5116" i="12"/>
  <c r="F5116" i="12"/>
  <c r="J5115" i="12"/>
  <c r="I5115" i="12"/>
  <c r="H5115" i="12"/>
  <c r="F5115" i="12"/>
  <c r="J5114" i="12"/>
  <c r="I5114" i="12"/>
  <c r="H5114" i="12"/>
  <c r="F5114" i="12"/>
  <c r="J5113" i="12"/>
  <c r="I5113" i="12"/>
  <c r="H5113" i="12"/>
  <c r="F5113" i="12"/>
  <c r="J5112" i="12"/>
  <c r="I5112" i="12"/>
  <c r="H5112" i="12"/>
  <c r="F5112" i="12"/>
  <c r="J5111" i="12"/>
  <c r="I5111" i="12"/>
  <c r="H5111" i="12"/>
  <c r="F5111" i="12"/>
  <c r="J5110" i="12"/>
  <c r="I5110" i="12"/>
  <c r="H5110" i="12"/>
  <c r="F5110" i="12"/>
  <c r="J5109" i="12"/>
  <c r="I5109" i="12"/>
  <c r="H5109" i="12"/>
  <c r="F5109" i="12"/>
  <c r="J5108" i="12"/>
  <c r="I5108" i="12"/>
  <c r="H5108" i="12"/>
  <c r="F5108" i="12"/>
  <c r="J5107" i="12"/>
  <c r="I5107" i="12"/>
  <c r="H5107" i="12"/>
  <c r="F5107" i="12"/>
  <c r="J5106" i="12"/>
  <c r="I5106" i="12"/>
  <c r="H5106" i="12"/>
  <c r="F5106" i="12"/>
  <c r="J5105" i="12"/>
  <c r="I5105" i="12"/>
  <c r="H5105" i="12"/>
  <c r="F5105" i="12"/>
  <c r="J5104" i="12"/>
  <c r="I5104" i="12"/>
  <c r="H5104" i="12"/>
  <c r="F5104" i="12"/>
  <c r="J5103" i="12"/>
  <c r="I5103" i="12"/>
  <c r="H5103" i="12"/>
  <c r="F5103" i="12"/>
  <c r="J5102" i="12"/>
  <c r="I5102" i="12"/>
  <c r="H5102" i="12"/>
  <c r="F5102" i="12"/>
  <c r="J5101" i="12"/>
  <c r="I5101" i="12"/>
  <c r="H5101" i="12"/>
  <c r="F5101" i="12"/>
  <c r="J5100" i="12"/>
  <c r="I5100" i="12"/>
  <c r="H5100" i="12"/>
  <c r="F5100" i="12"/>
  <c r="J5099" i="12"/>
  <c r="I5099" i="12"/>
  <c r="H5099" i="12"/>
  <c r="F5099" i="12"/>
  <c r="J5098" i="12"/>
  <c r="I5098" i="12"/>
  <c r="H5098" i="12"/>
  <c r="F5098" i="12"/>
  <c r="J5097" i="12"/>
  <c r="I5097" i="12"/>
  <c r="H5097" i="12"/>
  <c r="F5097" i="12"/>
  <c r="J5096" i="12"/>
  <c r="I5096" i="12"/>
  <c r="H5096" i="12"/>
  <c r="F5096" i="12"/>
  <c r="J5095" i="12"/>
  <c r="I5095" i="12"/>
  <c r="H5095" i="12"/>
  <c r="F5095" i="12"/>
  <c r="J5094" i="12"/>
  <c r="I5094" i="12"/>
  <c r="H5094" i="12"/>
  <c r="F5094" i="12"/>
  <c r="J5093" i="12"/>
  <c r="I5093" i="12"/>
  <c r="H5093" i="12"/>
  <c r="F5093" i="12"/>
  <c r="J5092" i="12"/>
  <c r="I5092" i="12"/>
  <c r="H5092" i="12"/>
  <c r="F5092" i="12"/>
  <c r="J5091" i="12"/>
  <c r="I5091" i="12"/>
  <c r="H5091" i="12"/>
  <c r="F5091" i="12"/>
  <c r="J5090" i="12"/>
  <c r="I5090" i="12"/>
  <c r="H5090" i="12"/>
  <c r="F5090" i="12"/>
  <c r="J5089" i="12"/>
  <c r="I5089" i="12"/>
  <c r="H5089" i="12"/>
  <c r="F5089" i="12"/>
  <c r="J5088" i="12"/>
  <c r="I5088" i="12"/>
  <c r="H5088" i="12"/>
  <c r="F5088" i="12"/>
  <c r="J5087" i="12"/>
  <c r="I5087" i="12"/>
  <c r="H5087" i="12"/>
  <c r="F5087" i="12"/>
  <c r="J5086" i="12"/>
  <c r="I5086" i="12"/>
  <c r="H5086" i="12"/>
  <c r="F5086" i="12"/>
  <c r="J5085" i="12"/>
  <c r="I5085" i="12"/>
  <c r="H5085" i="12"/>
  <c r="F5085" i="12"/>
  <c r="J5084" i="12"/>
  <c r="I5084" i="12"/>
  <c r="H5084" i="12"/>
  <c r="F5084" i="12"/>
  <c r="J5083" i="12"/>
  <c r="I5083" i="12"/>
  <c r="H5083" i="12"/>
  <c r="F5083" i="12"/>
  <c r="J5082" i="12"/>
  <c r="I5082" i="12"/>
  <c r="H5082" i="12"/>
  <c r="F5082" i="12"/>
  <c r="J5081" i="12"/>
  <c r="I5081" i="12"/>
  <c r="H5081" i="12"/>
  <c r="F5081" i="12"/>
  <c r="J5080" i="12"/>
  <c r="I5080" i="12"/>
  <c r="H5080" i="12"/>
  <c r="F5080" i="12"/>
  <c r="J5079" i="12"/>
  <c r="I5079" i="12"/>
  <c r="H5079" i="12"/>
  <c r="F5079" i="12"/>
  <c r="J5078" i="12"/>
  <c r="I5078" i="12"/>
  <c r="H5078" i="12"/>
  <c r="F5078" i="12"/>
  <c r="J5077" i="12"/>
  <c r="I5077" i="12"/>
  <c r="H5077" i="12"/>
  <c r="F5077" i="12"/>
  <c r="J5076" i="12"/>
  <c r="I5076" i="12"/>
  <c r="H5076" i="12"/>
  <c r="F5076" i="12"/>
  <c r="J5075" i="12"/>
  <c r="I5075" i="12"/>
  <c r="H5075" i="12"/>
  <c r="F5075" i="12"/>
  <c r="J5074" i="12"/>
  <c r="I5074" i="12"/>
  <c r="H5074" i="12"/>
  <c r="F5074" i="12"/>
  <c r="J5073" i="12"/>
  <c r="I5073" i="12"/>
  <c r="H5073" i="12"/>
  <c r="F5073" i="12"/>
  <c r="J5072" i="12"/>
  <c r="I5072" i="12"/>
  <c r="H5072" i="12"/>
  <c r="F5072" i="12"/>
  <c r="J5071" i="12"/>
  <c r="I5071" i="12"/>
  <c r="H5071" i="12"/>
  <c r="F5071" i="12"/>
  <c r="J5070" i="12"/>
  <c r="I5070" i="12"/>
  <c r="H5070" i="12"/>
  <c r="F5070" i="12"/>
  <c r="J5069" i="12"/>
  <c r="I5069" i="12"/>
  <c r="H5069" i="12"/>
  <c r="F5069" i="12"/>
  <c r="J5068" i="12"/>
  <c r="I5068" i="12"/>
  <c r="H5068" i="12"/>
  <c r="F5068" i="12"/>
  <c r="J5067" i="12"/>
  <c r="I5067" i="12"/>
  <c r="H5067" i="12"/>
  <c r="F5067" i="12"/>
  <c r="J5066" i="12"/>
  <c r="I5066" i="12"/>
  <c r="H5066" i="12"/>
  <c r="F5066" i="12"/>
  <c r="J5065" i="12"/>
  <c r="I5065" i="12"/>
  <c r="H5065" i="12"/>
  <c r="F5065" i="12"/>
  <c r="J5064" i="12"/>
  <c r="I5064" i="12"/>
  <c r="H5064" i="12"/>
  <c r="F5064" i="12"/>
  <c r="J5063" i="12"/>
  <c r="I5063" i="12"/>
  <c r="H5063" i="12"/>
  <c r="F5063" i="12"/>
  <c r="J5062" i="12"/>
  <c r="I5062" i="12"/>
  <c r="H5062" i="12"/>
  <c r="F5062" i="12"/>
  <c r="J5061" i="12"/>
  <c r="I5061" i="12"/>
  <c r="H5061" i="12"/>
  <c r="F5061" i="12"/>
  <c r="J5060" i="12"/>
  <c r="I5060" i="12"/>
  <c r="H5060" i="12"/>
  <c r="F5060" i="12"/>
  <c r="J5059" i="12"/>
  <c r="I5059" i="12"/>
  <c r="H5059" i="12"/>
  <c r="F5059" i="12"/>
  <c r="J5058" i="12"/>
  <c r="I5058" i="12"/>
  <c r="H5058" i="12"/>
  <c r="F5058" i="12"/>
  <c r="J5057" i="12"/>
  <c r="I5057" i="12"/>
  <c r="H5057" i="12"/>
  <c r="F5057" i="12"/>
  <c r="J5056" i="12"/>
  <c r="I5056" i="12"/>
  <c r="H5056" i="12"/>
  <c r="F5056" i="12"/>
  <c r="J5055" i="12"/>
  <c r="I5055" i="12"/>
  <c r="H5055" i="12"/>
  <c r="F5055" i="12"/>
  <c r="J5054" i="12"/>
  <c r="I5054" i="12"/>
  <c r="H5054" i="12"/>
  <c r="F5054" i="12"/>
  <c r="J5053" i="12"/>
  <c r="I5053" i="12"/>
  <c r="H5053" i="12"/>
  <c r="F5053" i="12"/>
  <c r="J5052" i="12"/>
  <c r="I5052" i="12"/>
  <c r="H5052" i="12"/>
  <c r="F5052" i="12"/>
  <c r="J5051" i="12"/>
  <c r="I5051" i="12"/>
  <c r="H5051" i="12"/>
  <c r="F5051" i="12"/>
  <c r="J5050" i="12"/>
  <c r="I5050" i="12"/>
  <c r="H5050" i="12"/>
  <c r="F5050" i="12"/>
  <c r="J5049" i="12"/>
  <c r="I5049" i="12"/>
  <c r="H5049" i="12"/>
  <c r="F5049" i="12"/>
  <c r="J5048" i="12"/>
  <c r="I5048" i="12"/>
  <c r="H5048" i="12"/>
  <c r="F5048" i="12"/>
  <c r="J5047" i="12"/>
  <c r="I5047" i="12"/>
  <c r="H5047" i="12"/>
  <c r="F5047" i="12"/>
  <c r="J5046" i="12"/>
  <c r="I5046" i="12"/>
  <c r="H5046" i="12"/>
  <c r="F5046" i="12"/>
  <c r="J5045" i="12"/>
  <c r="I5045" i="12"/>
  <c r="H5045" i="12"/>
  <c r="F5045" i="12"/>
  <c r="J5044" i="12"/>
  <c r="I5044" i="12"/>
  <c r="H5044" i="12"/>
  <c r="F5044" i="12"/>
  <c r="J5043" i="12"/>
  <c r="I5043" i="12"/>
  <c r="H5043" i="12"/>
  <c r="F5043" i="12"/>
  <c r="J5042" i="12"/>
  <c r="I5042" i="12"/>
  <c r="H5042" i="12"/>
  <c r="F5042" i="12"/>
  <c r="J5041" i="12"/>
  <c r="I5041" i="12"/>
  <c r="H5041" i="12"/>
  <c r="F5041" i="12"/>
  <c r="J5040" i="12"/>
  <c r="I5040" i="12"/>
  <c r="H5040" i="12"/>
  <c r="F5040" i="12"/>
  <c r="J5039" i="12"/>
  <c r="I5039" i="12"/>
  <c r="H5039" i="12"/>
  <c r="F5039" i="12"/>
  <c r="J5038" i="12"/>
  <c r="I5038" i="12"/>
  <c r="H5038" i="12"/>
  <c r="F5038" i="12"/>
  <c r="J5037" i="12"/>
  <c r="I5037" i="12"/>
  <c r="H5037" i="12"/>
  <c r="F5037" i="12"/>
  <c r="J5036" i="12"/>
  <c r="I5036" i="12"/>
  <c r="H5036" i="12"/>
  <c r="F5036" i="12"/>
  <c r="J5035" i="12"/>
  <c r="I5035" i="12"/>
  <c r="H5035" i="12"/>
  <c r="F5035" i="12"/>
  <c r="J5034" i="12"/>
  <c r="I5034" i="12"/>
  <c r="H5034" i="12"/>
  <c r="F5034" i="12"/>
  <c r="J5033" i="12"/>
  <c r="I5033" i="12"/>
  <c r="H5033" i="12"/>
  <c r="F5033" i="12"/>
  <c r="J5032" i="12"/>
  <c r="I5032" i="12"/>
  <c r="H5032" i="12"/>
  <c r="F5032" i="12"/>
  <c r="J5031" i="12"/>
  <c r="I5031" i="12"/>
  <c r="H5031" i="12"/>
  <c r="F5031" i="12"/>
  <c r="J5030" i="12"/>
  <c r="I5030" i="12"/>
  <c r="H5030" i="12"/>
  <c r="F5030" i="12"/>
  <c r="J5029" i="12"/>
  <c r="I5029" i="12"/>
  <c r="H5029" i="12"/>
  <c r="F5029" i="12"/>
  <c r="J5028" i="12"/>
  <c r="I5028" i="12"/>
  <c r="H5028" i="12"/>
  <c r="F5028" i="12"/>
  <c r="J5027" i="12"/>
  <c r="I5027" i="12"/>
  <c r="H5027" i="12"/>
  <c r="F5027" i="12"/>
  <c r="J5026" i="12"/>
  <c r="I5026" i="12"/>
  <c r="H5026" i="12"/>
  <c r="F5026" i="12"/>
  <c r="J5025" i="12"/>
  <c r="I5025" i="12"/>
  <c r="H5025" i="12"/>
  <c r="F5025" i="12"/>
  <c r="J5024" i="12"/>
  <c r="I5024" i="12"/>
  <c r="H5024" i="12"/>
  <c r="F5024" i="12"/>
  <c r="J5023" i="12"/>
  <c r="I5023" i="12"/>
  <c r="H5023" i="12"/>
  <c r="F5023" i="12"/>
  <c r="J5022" i="12"/>
  <c r="I5022" i="12"/>
  <c r="H5022" i="12"/>
  <c r="F5022" i="12"/>
  <c r="J5021" i="12"/>
  <c r="I5021" i="12"/>
  <c r="H5021" i="12"/>
  <c r="F5021" i="12"/>
  <c r="J5020" i="12"/>
  <c r="I5020" i="12"/>
  <c r="H5020" i="12"/>
  <c r="F5020" i="12"/>
  <c r="J5019" i="12"/>
  <c r="I5019" i="12"/>
  <c r="H5019" i="12"/>
  <c r="F5019" i="12"/>
  <c r="J5018" i="12"/>
  <c r="I5018" i="12"/>
  <c r="H5018" i="12"/>
  <c r="F5018" i="12"/>
  <c r="J5017" i="12"/>
  <c r="I5017" i="12"/>
  <c r="H5017" i="12"/>
  <c r="F5017" i="12"/>
  <c r="J5016" i="12"/>
  <c r="I5016" i="12"/>
  <c r="H5016" i="12"/>
  <c r="F5016" i="12"/>
  <c r="J5015" i="12"/>
  <c r="I5015" i="12"/>
  <c r="H5015" i="12"/>
  <c r="F5015" i="12"/>
  <c r="J5014" i="12"/>
  <c r="I5014" i="12"/>
  <c r="H5014" i="12"/>
  <c r="F5014" i="12"/>
  <c r="J5013" i="12"/>
  <c r="I5013" i="12"/>
  <c r="H5013" i="12"/>
  <c r="F5013" i="12"/>
  <c r="J5012" i="12"/>
  <c r="I5012" i="12"/>
  <c r="H5012" i="12"/>
  <c r="F5012" i="12"/>
  <c r="J5011" i="12"/>
  <c r="I5011" i="12"/>
  <c r="H5011" i="12"/>
  <c r="F5011" i="12"/>
  <c r="J5010" i="12"/>
  <c r="I5010" i="12"/>
  <c r="H5010" i="12"/>
  <c r="F5010" i="12"/>
  <c r="J5009" i="12"/>
  <c r="I5009" i="12"/>
  <c r="H5009" i="12"/>
  <c r="F5009" i="12"/>
  <c r="J5008" i="12"/>
  <c r="I5008" i="12"/>
  <c r="H5008" i="12"/>
  <c r="F5008" i="12"/>
  <c r="J5007" i="12"/>
  <c r="I5007" i="12"/>
  <c r="H5007" i="12"/>
  <c r="F5007" i="12"/>
  <c r="J5006" i="12"/>
  <c r="I5006" i="12"/>
  <c r="H5006" i="12"/>
  <c r="F5006" i="12"/>
  <c r="J5005" i="12"/>
  <c r="I5005" i="12"/>
  <c r="H5005" i="12"/>
  <c r="F5005" i="12"/>
  <c r="J5004" i="12"/>
  <c r="I5004" i="12"/>
  <c r="H5004" i="12"/>
  <c r="F5004" i="12"/>
  <c r="J5003" i="12"/>
  <c r="I5003" i="12"/>
  <c r="H5003" i="12"/>
  <c r="F5003" i="12"/>
  <c r="J5002" i="12"/>
  <c r="I5002" i="12"/>
  <c r="H5002" i="12"/>
  <c r="F5002" i="12"/>
  <c r="J5001" i="12"/>
  <c r="I5001" i="12"/>
  <c r="H5001" i="12"/>
  <c r="F5001" i="12"/>
  <c r="J5000" i="12"/>
  <c r="I5000" i="12"/>
  <c r="H5000" i="12"/>
  <c r="F5000" i="12"/>
  <c r="J4999" i="12"/>
  <c r="I4999" i="12"/>
  <c r="H4999" i="12"/>
  <c r="F4999" i="12"/>
  <c r="J4998" i="12"/>
  <c r="I4998" i="12"/>
  <c r="H4998" i="12"/>
  <c r="F4998" i="12"/>
  <c r="J4997" i="12"/>
  <c r="I4997" i="12"/>
  <c r="H4997" i="12"/>
  <c r="F4997" i="12"/>
  <c r="J4996" i="12"/>
  <c r="I4996" i="12"/>
  <c r="H4996" i="12"/>
  <c r="F4996" i="12"/>
  <c r="J4995" i="12"/>
  <c r="I4995" i="12"/>
  <c r="H4995" i="12"/>
  <c r="F4995" i="12"/>
  <c r="J4994" i="12"/>
  <c r="I4994" i="12"/>
  <c r="H4994" i="12"/>
  <c r="F4994" i="12"/>
  <c r="J4993" i="12"/>
  <c r="I4993" i="12"/>
  <c r="H4993" i="12"/>
  <c r="F4993" i="12"/>
  <c r="J4992" i="12"/>
  <c r="I4992" i="12"/>
  <c r="H4992" i="12"/>
  <c r="F4992" i="12"/>
  <c r="J4991" i="12"/>
  <c r="I4991" i="12"/>
  <c r="H4991" i="12"/>
  <c r="F4991" i="12"/>
  <c r="J4990" i="12"/>
  <c r="I4990" i="12"/>
  <c r="H4990" i="12"/>
  <c r="F4990" i="12"/>
  <c r="J4989" i="12"/>
  <c r="I4989" i="12"/>
  <c r="H4989" i="12"/>
  <c r="F4989" i="12"/>
  <c r="J4988" i="12"/>
  <c r="I4988" i="12"/>
  <c r="H4988" i="12"/>
  <c r="F4988" i="12"/>
  <c r="J4987" i="12"/>
  <c r="I4987" i="12"/>
  <c r="H4987" i="12"/>
  <c r="F4987" i="12"/>
  <c r="J4986" i="12"/>
  <c r="I4986" i="12"/>
  <c r="H4986" i="12"/>
  <c r="F4986" i="12"/>
  <c r="J4985" i="12"/>
  <c r="I4985" i="12"/>
  <c r="H4985" i="12"/>
  <c r="F4985" i="12"/>
  <c r="J4984" i="12"/>
  <c r="I4984" i="12"/>
  <c r="H4984" i="12"/>
  <c r="F4984" i="12"/>
  <c r="J4983" i="12"/>
  <c r="I4983" i="12"/>
  <c r="H4983" i="12"/>
  <c r="F4983" i="12"/>
  <c r="J4982" i="12"/>
  <c r="I4982" i="12"/>
  <c r="H4982" i="12"/>
  <c r="F4982" i="12"/>
  <c r="J4981" i="12"/>
  <c r="I4981" i="12"/>
  <c r="H4981" i="12"/>
  <c r="F4981" i="12"/>
  <c r="J4980" i="12"/>
  <c r="I4980" i="12"/>
  <c r="H4980" i="12"/>
  <c r="F4980" i="12"/>
  <c r="J4979" i="12"/>
  <c r="I4979" i="12"/>
  <c r="H4979" i="12"/>
  <c r="F4979" i="12"/>
  <c r="J4978" i="12"/>
  <c r="I4978" i="12"/>
  <c r="H4978" i="12"/>
  <c r="F4978" i="12"/>
  <c r="J4977" i="12"/>
  <c r="I4977" i="12"/>
  <c r="H4977" i="12"/>
  <c r="F4977" i="12"/>
  <c r="J4976" i="12"/>
  <c r="I4976" i="12"/>
  <c r="H4976" i="12"/>
  <c r="F4976" i="12"/>
  <c r="J4975" i="12"/>
  <c r="I4975" i="12"/>
  <c r="H4975" i="12"/>
  <c r="F4975" i="12"/>
  <c r="J4974" i="12"/>
  <c r="I4974" i="12"/>
  <c r="H4974" i="12"/>
  <c r="F4974" i="12"/>
  <c r="J4973" i="12"/>
  <c r="I4973" i="12"/>
  <c r="H4973" i="12"/>
  <c r="F4973" i="12"/>
  <c r="J4972" i="12"/>
  <c r="I4972" i="12"/>
  <c r="H4972" i="12"/>
  <c r="F4972" i="12"/>
  <c r="J4971" i="12"/>
  <c r="I4971" i="12"/>
  <c r="H4971" i="12"/>
  <c r="F4971" i="12"/>
  <c r="J4970" i="12"/>
  <c r="I4970" i="12"/>
  <c r="H4970" i="12"/>
  <c r="F4970" i="12"/>
  <c r="J4969" i="12"/>
  <c r="I4969" i="12"/>
  <c r="H4969" i="12"/>
  <c r="F4969" i="12"/>
  <c r="J4968" i="12"/>
  <c r="I4968" i="12"/>
  <c r="H4968" i="12"/>
  <c r="F4968" i="12"/>
  <c r="J4967" i="12"/>
  <c r="I4967" i="12"/>
  <c r="H4967" i="12"/>
  <c r="F4967" i="12"/>
  <c r="J4966" i="12"/>
  <c r="I4966" i="12"/>
  <c r="H4966" i="12"/>
  <c r="F4966" i="12"/>
  <c r="J4965" i="12"/>
  <c r="I4965" i="12"/>
  <c r="H4965" i="12"/>
  <c r="F4965" i="12"/>
  <c r="J4964" i="12"/>
  <c r="I4964" i="12"/>
  <c r="H4964" i="12"/>
  <c r="F4964" i="12"/>
  <c r="J4963" i="12"/>
  <c r="I4963" i="12"/>
  <c r="H4963" i="12"/>
  <c r="F4963" i="12"/>
  <c r="J4962" i="12"/>
  <c r="I4962" i="12"/>
  <c r="H4962" i="12"/>
  <c r="F4962" i="12"/>
  <c r="J4961" i="12"/>
  <c r="I4961" i="12"/>
  <c r="H4961" i="12"/>
  <c r="F4961" i="12"/>
  <c r="J4960" i="12"/>
  <c r="I4960" i="12"/>
  <c r="H4960" i="12"/>
  <c r="F4960" i="12"/>
  <c r="J4959" i="12"/>
  <c r="I4959" i="12"/>
  <c r="H4959" i="12"/>
  <c r="F4959" i="12"/>
  <c r="J4958" i="12"/>
  <c r="I4958" i="12"/>
  <c r="H4958" i="12"/>
  <c r="F4958" i="12"/>
  <c r="J4957" i="12"/>
  <c r="I4957" i="12"/>
  <c r="H4957" i="12"/>
  <c r="F4957" i="12"/>
  <c r="J4956" i="12"/>
  <c r="I4956" i="12"/>
  <c r="H4956" i="12"/>
  <c r="F4956" i="12"/>
  <c r="J4955" i="12"/>
  <c r="I4955" i="12"/>
  <c r="H4955" i="12"/>
  <c r="F4955" i="12"/>
  <c r="J4954" i="12"/>
  <c r="I4954" i="12"/>
  <c r="H4954" i="12"/>
  <c r="F4954" i="12"/>
  <c r="J4953" i="12"/>
  <c r="I4953" i="12"/>
  <c r="H4953" i="12"/>
  <c r="F4953" i="12"/>
  <c r="J4952" i="12"/>
  <c r="I4952" i="12"/>
  <c r="H4952" i="12"/>
  <c r="F4952" i="12"/>
  <c r="J4951" i="12"/>
  <c r="I4951" i="12"/>
  <c r="H4951" i="12"/>
  <c r="F4951" i="12"/>
  <c r="J4950" i="12"/>
  <c r="I4950" i="12"/>
  <c r="H4950" i="12"/>
  <c r="F4950" i="12"/>
  <c r="J4949" i="12"/>
  <c r="I4949" i="12"/>
  <c r="H4949" i="12"/>
  <c r="F4949" i="12"/>
  <c r="J4948" i="12"/>
  <c r="I4948" i="12"/>
  <c r="H4948" i="12"/>
  <c r="F4948" i="12"/>
  <c r="J4947" i="12"/>
  <c r="I4947" i="12"/>
  <c r="H4947" i="12"/>
  <c r="F4947" i="12"/>
  <c r="J4946" i="12"/>
  <c r="I4946" i="12"/>
  <c r="H4946" i="12"/>
  <c r="F4946" i="12"/>
  <c r="J4945" i="12"/>
  <c r="I4945" i="12"/>
  <c r="H4945" i="12"/>
  <c r="F4945" i="12"/>
  <c r="J4944" i="12"/>
  <c r="I4944" i="12"/>
  <c r="H4944" i="12"/>
  <c r="F4944" i="12"/>
  <c r="J4943" i="12"/>
  <c r="I4943" i="12"/>
  <c r="H4943" i="12"/>
  <c r="F4943" i="12"/>
  <c r="J4942" i="12"/>
  <c r="I4942" i="12"/>
  <c r="H4942" i="12"/>
  <c r="F4942" i="12"/>
  <c r="J4941" i="12"/>
  <c r="I4941" i="12"/>
  <c r="H4941" i="12"/>
  <c r="F4941" i="12"/>
  <c r="J4940" i="12"/>
  <c r="I4940" i="12"/>
  <c r="H4940" i="12"/>
  <c r="F4940" i="12"/>
  <c r="J4939" i="12"/>
  <c r="I4939" i="12"/>
  <c r="H4939" i="12"/>
  <c r="F4939" i="12"/>
  <c r="J4938" i="12"/>
  <c r="I4938" i="12"/>
  <c r="H4938" i="12"/>
  <c r="F4938" i="12"/>
  <c r="J4937" i="12"/>
  <c r="I4937" i="12"/>
  <c r="H4937" i="12"/>
  <c r="F4937" i="12"/>
  <c r="J4936" i="12"/>
  <c r="I4936" i="12"/>
  <c r="H4936" i="12"/>
  <c r="F4936" i="12"/>
  <c r="J4935" i="12"/>
  <c r="I4935" i="12"/>
  <c r="H4935" i="12"/>
  <c r="F4935" i="12"/>
  <c r="J4934" i="12"/>
  <c r="I4934" i="12"/>
  <c r="H4934" i="12"/>
  <c r="F4934" i="12"/>
  <c r="J4933" i="12"/>
  <c r="I4933" i="12"/>
  <c r="H4933" i="12"/>
  <c r="F4933" i="12"/>
  <c r="J4932" i="12"/>
  <c r="I4932" i="12"/>
  <c r="H4932" i="12"/>
  <c r="F4932" i="12"/>
  <c r="J4931" i="12"/>
  <c r="I4931" i="12"/>
  <c r="H4931" i="12"/>
  <c r="F4931" i="12"/>
  <c r="J4930" i="12"/>
  <c r="I4930" i="12"/>
  <c r="H4930" i="12"/>
  <c r="F4930" i="12"/>
  <c r="J4929" i="12"/>
  <c r="I4929" i="12"/>
  <c r="H4929" i="12"/>
  <c r="F4929" i="12"/>
  <c r="J4928" i="12"/>
  <c r="I4928" i="12"/>
  <c r="H4928" i="12"/>
  <c r="F4928" i="12"/>
  <c r="J4927" i="12"/>
  <c r="I4927" i="12"/>
  <c r="H4927" i="12"/>
  <c r="F4927" i="12"/>
  <c r="J4926" i="12"/>
  <c r="I4926" i="12"/>
  <c r="H4926" i="12"/>
  <c r="F4926" i="12"/>
  <c r="J4925" i="12"/>
  <c r="I4925" i="12"/>
  <c r="H4925" i="12"/>
  <c r="F4925" i="12"/>
  <c r="J4924" i="12"/>
  <c r="I4924" i="12"/>
  <c r="H4924" i="12"/>
  <c r="F4924" i="12"/>
  <c r="J4923" i="12"/>
  <c r="I4923" i="12"/>
  <c r="H4923" i="12"/>
  <c r="F4923" i="12"/>
  <c r="J4922" i="12"/>
  <c r="I4922" i="12"/>
  <c r="H4922" i="12"/>
  <c r="F4922" i="12"/>
  <c r="J4921" i="12"/>
  <c r="I4921" i="12"/>
  <c r="H4921" i="12"/>
  <c r="F4921" i="12"/>
  <c r="J4920" i="12"/>
  <c r="I4920" i="12"/>
  <c r="H4920" i="12"/>
  <c r="F4920" i="12"/>
  <c r="J4919" i="12"/>
  <c r="I4919" i="12"/>
  <c r="H4919" i="12"/>
  <c r="F4919" i="12"/>
  <c r="J4918" i="12"/>
  <c r="I4918" i="12"/>
  <c r="H4918" i="12"/>
  <c r="F4918" i="12"/>
  <c r="J4917" i="12"/>
  <c r="I4917" i="12"/>
  <c r="H4917" i="12"/>
  <c r="F4917" i="12"/>
  <c r="J4916" i="12"/>
  <c r="I4916" i="12"/>
  <c r="H4916" i="12"/>
  <c r="F4916" i="12"/>
  <c r="J4915" i="12"/>
  <c r="I4915" i="12"/>
  <c r="H4915" i="12"/>
  <c r="F4915" i="12"/>
  <c r="J4914" i="12"/>
  <c r="I4914" i="12"/>
  <c r="H4914" i="12"/>
  <c r="F4914" i="12"/>
  <c r="J4913" i="12"/>
  <c r="I4913" i="12"/>
  <c r="H4913" i="12"/>
  <c r="F4913" i="12"/>
  <c r="J4912" i="12"/>
  <c r="I4912" i="12"/>
  <c r="H4912" i="12"/>
  <c r="F4912" i="12"/>
  <c r="J4911" i="12"/>
  <c r="I4911" i="12"/>
  <c r="H4911" i="12"/>
  <c r="F4911" i="12"/>
  <c r="J4910" i="12"/>
  <c r="I4910" i="12"/>
  <c r="H4910" i="12"/>
  <c r="F4910" i="12"/>
  <c r="J4909" i="12"/>
  <c r="I4909" i="12"/>
  <c r="H4909" i="12"/>
  <c r="F4909" i="12"/>
  <c r="J4908" i="12"/>
  <c r="I4908" i="12"/>
  <c r="H4908" i="12"/>
  <c r="F4908" i="12"/>
  <c r="J4907" i="12"/>
  <c r="I4907" i="12"/>
  <c r="H4907" i="12"/>
  <c r="F4907" i="12"/>
  <c r="J4906" i="12"/>
  <c r="I4906" i="12"/>
  <c r="H4906" i="12"/>
  <c r="F4906" i="12"/>
  <c r="J4905" i="12"/>
  <c r="I4905" i="12"/>
  <c r="H4905" i="12"/>
  <c r="F4905" i="12"/>
  <c r="J4904" i="12"/>
  <c r="I4904" i="12"/>
  <c r="H4904" i="12"/>
  <c r="F4904" i="12"/>
  <c r="J4903" i="12"/>
  <c r="I4903" i="12"/>
  <c r="H4903" i="12"/>
  <c r="F4903" i="12"/>
  <c r="J4902" i="12"/>
  <c r="I4902" i="12"/>
  <c r="H4902" i="12"/>
  <c r="F4902" i="12"/>
  <c r="J4901" i="12"/>
  <c r="I4901" i="12"/>
  <c r="H4901" i="12"/>
  <c r="F4901" i="12"/>
  <c r="J4900" i="12"/>
  <c r="I4900" i="12"/>
  <c r="H4900" i="12"/>
  <c r="F4900" i="12"/>
  <c r="J4899" i="12"/>
  <c r="I4899" i="12"/>
  <c r="H4899" i="12"/>
  <c r="F4899" i="12"/>
  <c r="J4898" i="12"/>
  <c r="I4898" i="12"/>
  <c r="H4898" i="12"/>
  <c r="F4898" i="12"/>
  <c r="J4897" i="12"/>
  <c r="I4897" i="12"/>
  <c r="H4897" i="12"/>
  <c r="F4897" i="12"/>
  <c r="J4896" i="12"/>
  <c r="I4896" i="12"/>
  <c r="H4896" i="12"/>
  <c r="F4896" i="12"/>
  <c r="J4895" i="12"/>
  <c r="I4895" i="12"/>
  <c r="H4895" i="12"/>
  <c r="F4895" i="12"/>
  <c r="J4894" i="12"/>
  <c r="I4894" i="12"/>
  <c r="H4894" i="12"/>
  <c r="F4894" i="12"/>
  <c r="J4893" i="12"/>
  <c r="I4893" i="12"/>
  <c r="H4893" i="12"/>
  <c r="F4893" i="12"/>
  <c r="J4892" i="12"/>
  <c r="I4892" i="12"/>
  <c r="H4892" i="12"/>
  <c r="F4892" i="12"/>
  <c r="J4891" i="12"/>
  <c r="I4891" i="12"/>
  <c r="H4891" i="12"/>
  <c r="F4891" i="12"/>
  <c r="J4890" i="12"/>
  <c r="I4890" i="12"/>
  <c r="H4890" i="12"/>
  <c r="F4890" i="12"/>
  <c r="J4889" i="12"/>
  <c r="I4889" i="12"/>
  <c r="H4889" i="12"/>
  <c r="F4889" i="12"/>
  <c r="J4888" i="12"/>
  <c r="I4888" i="12"/>
  <c r="H4888" i="12"/>
  <c r="F4888" i="12"/>
  <c r="J4887" i="12"/>
  <c r="I4887" i="12"/>
  <c r="H4887" i="12"/>
  <c r="F4887" i="12"/>
  <c r="J4886" i="12"/>
  <c r="I4886" i="12"/>
  <c r="H4886" i="12"/>
  <c r="F4886" i="12"/>
  <c r="J4885" i="12"/>
  <c r="I4885" i="12"/>
  <c r="H4885" i="12"/>
  <c r="F4885" i="12"/>
  <c r="J4884" i="12"/>
  <c r="I4884" i="12"/>
  <c r="H4884" i="12"/>
  <c r="F4884" i="12"/>
  <c r="J4883" i="12"/>
  <c r="I4883" i="12"/>
  <c r="H4883" i="12"/>
  <c r="F4883" i="12"/>
  <c r="J4882" i="12"/>
  <c r="I4882" i="12"/>
  <c r="H4882" i="12"/>
  <c r="F4882" i="12"/>
  <c r="J4881" i="12"/>
  <c r="I4881" i="12"/>
  <c r="H4881" i="12"/>
  <c r="F4881" i="12"/>
  <c r="J4880" i="12"/>
  <c r="I4880" i="12"/>
  <c r="H4880" i="12"/>
  <c r="F4880" i="12"/>
  <c r="J4879" i="12"/>
  <c r="I4879" i="12"/>
  <c r="H4879" i="12"/>
  <c r="F4879" i="12"/>
  <c r="J4878" i="12"/>
  <c r="I4878" i="12"/>
  <c r="H4878" i="12"/>
  <c r="F4878" i="12"/>
  <c r="J4877" i="12"/>
  <c r="I4877" i="12"/>
  <c r="H4877" i="12"/>
  <c r="F4877" i="12"/>
  <c r="J4876" i="12"/>
  <c r="I4876" i="12"/>
  <c r="H4876" i="12"/>
  <c r="F4876" i="12"/>
  <c r="J4875" i="12"/>
  <c r="I4875" i="12"/>
  <c r="H4875" i="12"/>
  <c r="F4875" i="12"/>
  <c r="J4874" i="12"/>
  <c r="I4874" i="12"/>
  <c r="H4874" i="12"/>
  <c r="F4874" i="12"/>
  <c r="J4873" i="12"/>
  <c r="I4873" i="12"/>
  <c r="H4873" i="12"/>
  <c r="F4873" i="12"/>
  <c r="J4872" i="12"/>
  <c r="I4872" i="12"/>
  <c r="H4872" i="12"/>
  <c r="F4872" i="12"/>
  <c r="J4871" i="12"/>
  <c r="I4871" i="12"/>
  <c r="H4871" i="12"/>
  <c r="F4871" i="12"/>
  <c r="J4870" i="12"/>
  <c r="I4870" i="12"/>
  <c r="H4870" i="12"/>
  <c r="F4870" i="12"/>
  <c r="J4869" i="12"/>
  <c r="I4869" i="12"/>
  <c r="H4869" i="12"/>
  <c r="F4869" i="12"/>
  <c r="J4868" i="12"/>
  <c r="I4868" i="12"/>
  <c r="H4868" i="12"/>
  <c r="F4868" i="12"/>
  <c r="J4867" i="12"/>
  <c r="I4867" i="12"/>
  <c r="H4867" i="12"/>
  <c r="F4867" i="12"/>
  <c r="J4866" i="12"/>
  <c r="I4866" i="12"/>
  <c r="H4866" i="12"/>
  <c r="F4866" i="12"/>
  <c r="J4865" i="12"/>
  <c r="I4865" i="12"/>
  <c r="H4865" i="12"/>
  <c r="F4865" i="12"/>
  <c r="J4864" i="12"/>
  <c r="I4864" i="12"/>
  <c r="H4864" i="12"/>
  <c r="F4864" i="12"/>
  <c r="J4863" i="12"/>
  <c r="I4863" i="12"/>
  <c r="H4863" i="12"/>
  <c r="F4863" i="12"/>
  <c r="J4862" i="12"/>
  <c r="I4862" i="12"/>
  <c r="H4862" i="12"/>
  <c r="F4862" i="12"/>
  <c r="J4861" i="12"/>
  <c r="I4861" i="12"/>
  <c r="H4861" i="12"/>
  <c r="F4861" i="12"/>
  <c r="J4860" i="12"/>
  <c r="I4860" i="12"/>
  <c r="H4860" i="12"/>
  <c r="F4860" i="12"/>
  <c r="J4859" i="12"/>
  <c r="I4859" i="12"/>
  <c r="H4859" i="12"/>
  <c r="F4859" i="12"/>
  <c r="J4858" i="12"/>
  <c r="I4858" i="12"/>
  <c r="H4858" i="12"/>
  <c r="F4858" i="12"/>
  <c r="J4857" i="12"/>
  <c r="I4857" i="12"/>
  <c r="H4857" i="12"/>
  <c r="F4857" i="12"/>
  <c r="J4856" i="12"/>
  <c r="I4856" i="12"/>
  <c r="H4856" i="12"/>
  <c r="F4856" i="12"/>
  <c r="J4855" i="12"/>
  <c r="I4855" i="12"/>
  <c r="H4855" i="12"/>
  <c r="F4855" i="12"/>
  <c r="J4854" i="12"/>
  <c r="I4854" i="12"/>
  <c r="H4854" i="12"/>
  <c r="F4854" i="12"/>
  <c r="J4853" i="12"/>
  <c r="I4853" i="12"/>
  <c r="H4853" i="12"/>
  <c r="F4853" i="12"/>
  <c r="J4852" i="12"/>
  <c r="I4852" i="12"/>
  <c r="H4852" i="12"/>
  <c r="F4852" i="12"/>
  <c r="J4851" i="12"/>
  <c r="I4851" i="12"/>
  <c r="H4851" i="12"/>
  <c r="F4851" i="12"/>
  <c r="J4850" i="12"/>
  <c r="I4850" i="12"/>
  <c r="H4850" i="12"/>
  <c r="F4850" i="12"/>
  <c r="J4849" i="12"/>
  <c r="I4849" i="12"/>
  <c r="H4849" i="12"/>
  <c r="F4849" i="12"/>
  <c r="J4848" i="12"/>
  <c r="I4848" i="12"/>
  <c r="H4848" i="12"/>
  <c r="F4848" i="12"/>
  <c r="J4847" i="12"/>
  <c r="I4847" i="12"/>
  <c r="H4847" i="12"/>
  <c r="F4847" i="12"/>
  <c r="J4846" i="12"/>
  <c r="I4846" i="12"/>
  <c r="H4846" i="12"/>
  <c r="F4846" i="12"/>
  <c r="J4845" i="12"/>
  <c r="I4845" i="12"/>
  <c r="H4845" i="12"/>
  <c r="F4845" i="12"/>
  <c r="J4844" i="12"/>
  <c r="I4844" i="12"/>
  <c r="H4844" i="12"/>
  <c r="F4844" i="12"/>
  <c r="J4843" i="12"/>
  <c r="I4843" i="12"/>
  <c r="H4843" i="12"/>
  <c r="F4843" i="12"/>
  <c r="J4842" i="12"/>
  <c r="I4842" i="12"/>
  <c r="H4842" i="12"/>
  <c r="F4842" i="12"/>
  <c r="J4841" i="12"/>
  <c r="I4841" i="12"/>
  <c r="H4841" i="12"/>
  <c r="F4841" i="12"/>
  <c r="J4840" i="12"/>
  <c r="I4840" i="12"/>
  <c r="H4840" i="12"/>
  <c r="F4840" i="12"/>
  <c r="J4839" i="12"/>
  <c r="I4839" i="12"/>
  <c r="H4839" i="12"/>
  <c r="F4839" i="12"/>
  <c r="J4838" i="12"/>
  <c r="I4838" i="12"/>
  <c r="H4838" i="12"/>
  <c r="F4838" i="12"/>
  <c r="J4837" i="12"/>
  <c r="I4837" i="12"/>
  <c r="H4837" i="12"/>
  <c r="F4837" i="12"/>
  <c r="J4836" i="12"/>
  <c r="I4836" i="12"/>
  <c r="H4836" i="12"/>
  <c r="F4836" i="12"/>
  <c r="J4835" i="12"/>
  <c r="I4835" i="12"/>
  <c r="H4835" i="12"/>
  <c r="F4835" i="12"/>
  <c r="J4834" i="12"/>
  <c r="I4834" i="12"/>
  <c r="H4834" i="12"/>
  <c r="F4834" i="12"/>
  <c r="J4833" i="12"/>
  <c r="I4833" i="12"/>
  <c r="H4833" i="12"/>
  <c r="F4833" i="12"/>
  <c r="J4832" i="12"/>
  <c r="I4832" i="12"/>
  <c r="H4832" i="12"/>
  <c r="F4832" i="12"/>
  <c r="J4831" i="12"/>
  <c r="I4831" i="12"/>
  <c r="H4831" i="12"/>
  <c r="F4831" i="12"/>
  <c r="J4830" i="12"/>
  <c r="I4830" i="12"/>
  <c r="H4830" i="12"/>
  <c r="F4830" i="12"/>
  <c r="J4829" i="12"/>
  <c r="I4829" i="12"/>
  <c r="H4829" i="12"/>
  <c r="F4829" i="12"/>
  <c r="J4828" i="12"/>
  <c r="I4828" i="12"/>
  <c r="H4828" i="12"/>
  <c r="F4828" i="12"/>
  <c r="J4827" i="12"/>
  <c r="I4827" i="12"/>
  <c r="H4827" i="12"/>
  <c r="F4827" i="12"/>
  <c r="J4826" i="12"/>
  <c r="I4826" i="12"/>
  <c r="H4826" i="12"/>
  <c r="F4826" i="12"/>
  <c r="J4825" i="12"/>
  <c r="I4825" i="12"/>
  <c r="H4825" i="12"/>
  <c r="F4825" i="12"/>
  <c r="J4824" i="12"/>
  <c r="I4824" i="12"/>
  <c r="H4824" i="12"/>
  <c r="F4824" i="12"/>
  <c r="J4823" i="12"/>
  <c r="I4823" i="12"/>
  <c r="H4823" i="12"/>
  <c r="F4823" i="12"/>
  <c r="J4822" i="12"/>
  <c r="I4822" i="12"/>
  <c r="H4822" i="12"/>
  <c r="F4822" i="12"/>
  <c r="J4821" i="12"/>
  <c r="I4821" i="12"/>
  <c r="H4821" i="12"/>
  <c r="F4821" i="12"/>
  <c r="J4820" i="12"/>
  <c r="I4820" i="12"/>
  <c r="H4820" i="12"/>
  <c r="F4820" i="12"/>
  <c r="J4819" i="12"/>
  <c r="I4819" i="12"/>
  <c r="H4819" i="12"/>
  <c r="F4819" i="12"/>
  <c r="J4818" i="12"/>
  <c r="I4818" i="12"/>
  <c r="H4818" i="12"/>
  <c r="F4818" i="12"/>
  <c r="J4817" i="12"/>
  <c r="I4817" i="12"/>
  <c r="H4817" i="12"/>
  <c r="F4817" i="12"/>
  <c r="J4816" i="12"/>
  <c r="I4816" i="12"/>
  <c r="H4816" i="12"/>
  <c r="F4816" i="12"/>
  <c r="J4815" i="12"/>
  <c r="I4815" i="12"/>
  <c r="H4815" i="12"/>
  <c r="F4815" i="12"/>
  <c r="J4814" i="12"/>
  <c r="I4814" i="12"/>
  <c r="H4814" i="12"/>
  <c r="F4814" i="12"/>
  <c r="J4813" i="12"/>
  <c r="I4813" i="12"/>
  <c r="H4813" i="12"/>
  <c r="F4813" i="12"/>
  <c r="J4812" i="12"/>
  <c r="I4812" i="12"/>
  <c r="H4812" i="12"/>
  <c r="F4812" i="12"/>
  <c r="J4811" i="12"/>
  <c r="I4811" i="12"/>
  <c r="H4811" i="12"/>
  <c r="F4811" i="12"/>
  <c r="J4810" i="12"/>
  <c r="I4810" i="12"/>
  <c r="H4810" i="12"/>
  <c r="F4810" i="12"/>
  <c r="J4809" i="12"/>
  <c r="I4809" i="12"/>
  <c r="H4809" i="12"/>
  <c r="F4809" i="12"/>
  <c r="J4808" i="12"/>
  <c r="I4808" i="12"/>
  <c r="H4808" i="12"/>
  <c r="F4808" i="12"/>
  <c r="J4807" i="12"/>
  <c r="I4807" i="12"/>
  <c r="H4807" i="12"/>
  <c r="F4807" i="12"/>
  <c r="J4806" i="12"/>
  <c r="I4806" i="12"/>
  <c r="H4806" i="12"/>
  <c r="F4806" i="12"/>
  <c r="J4805" i="12"/>
  <c r="I4805" i="12"/>
  <c r="H4805" i="12"/>
  <c r="F4805" i="12"/>
  <c r="J4804" i="12"/>
  <c r="I4804" i="12"/>
  <c r="H4804" i="12"/>
  <c r="F4804" i="12"/>
  <c r="J4803" i="12"/>
  <c r="I4803" i="12"/>
  <c r="H4803" i="12"/>
  <c r="F4803" i="12"/>
  <c r="J4802" i="12"/>
  <c r="I4802" i="12"/>
  <c r="H4802" i="12"/>
  <c r="F4802" i="12"/>
  <c r="J4801" i="12"/>
  <c r="I4801" i="12"/>
  <c r="H4801" i="12"/>
  <c r="F4801" i="12"/>
  <c r="J4800" i="12"/>
  <c r="I4800" i="12"/>
  <c r="H4800" i="12"/>
  <c r="F4800" i="12"/>
  <c r="J4799" i="12"/>
  <c r="I4799" i="12"/>
  <c r="H4799" i="12"/>
  <c r="F4799" i="12"/>
  <c r="J4798" i="12"/>
  <c r="I4798" i="12"/>
  <c r="H4798" i="12"/>
  <c r="F4798" i="12"/>
  <c r="J4797" i="12"/>
  <c r="I4797" i="12"/>
  <c r="H4797" i="12"/>
  <c r="F4797" i="12"/>
  <c r="J4796" i="12"/>
  <c r="I4796" i="12"/>
  <c r="H4796" i="12"/>
  <c r="F4796" i="12"/>
  <c r="J4795" i="12"/>
  <c r="I4795" i="12"/>
  <c r="H4795" i="12"/>
  <c r="F4795" i="12"/>
  <c r="J4794" i="12"/>
  <c r="I4794" i="12"/>
  <c r="H4794" i="12"/>
  <c r="F4794" i="12"/>
  <c r="J4793" i="12"/>
  <c r="I4793" i="12"/>
  <c r="H4793" i="12"/>
  <c r="F4793" i="12"/>
  <c r="J4792" i="12"/>
  <c r="I4792" i="12"/>
  <c r="H4792" i="12"/>
  <c r="F4792" i="12"/>
  <c r="J4791" i="12"/>
  <c r="I4791" i="12"/>
  <c r="H4791" i="12"/>
  <c r="F4791" i="12"/>
  <c r="J4790" i="12"/>
  <c r="I4790" i="12"/>
  <c r="H4790" i="12"/>
  <c r="F4790" i="12"/>
  <c r="J4789" i="12"/>
  <c r="I4789" i="12"/>
  <c r="H4789" i="12"/>
  <c r="F4789" i="12"/>
  <c r="J4788" i="12"/>
  <c r="I4788" i="12"/>
  <c r="H4788" i="12"/>
  <c r="F4788" i="12"/>
  <c r="J4787" i="12"/>
  <c r="I4787" i="12"/>
  <c r="H4787" i="12"/>
  <c r="F4787" i="12"/>
  <c r="J4786" i="12"/>
  <c r="I4786" i="12"/>
  <c r="H4786" i="12"/>
  <c r="F4786" i="12"/>
  <c r="J4785" i="12"/>
  <c r="I4785" i="12"/>
  <c r="H4785" i="12"/>
  <c r="F4785" i="12"/>
  <c r="J4784" i="12"/>
  <c r="I4784" i="12"/>
  <c r="H4784" i="12"/>
  <c r="F4784" i="12"/>
  <c r="J4783" i="12"/>
  <c r="I4783" i="12"/>
  <c r="H4783" i="12"/>
  <c r="F4783" i="12"/>
  <c r="J4782" i="12"/>
  <c r="I4782" i="12"/>
  <c r="H4782" i="12"/>
  <c r="F4782" i="12"/>
  <c r="J4781" i="12"/>
  <c r="I4781" i="12"/>
  <c r="H4781" i="12"/>
  <c r="F4781" i="12"/>
  <c r="J4780" i="12"/>
  <c r="I4780" i="12"/>
  <c r="H4780" i="12"/>
  <c r="F4780" i="12"/>
  <c r="J4779" i="12"/>
  <c r="I4779" i="12"/>
  <c r="H4779" i="12"/>
  <c r="F4779" i="12"/>
  <c r="J4778" i="12"/>
  <c r="I4778" i="12"/>
  <c r="H4778" i="12"/>
  <c r="F4778" i="12"/>
  <c r="J4777" i="12"/>
  <c r="I4777" i="12"/>
  <c r="H4777" i="12"/>
  <c r="F4777" i="12"/>
  <c r="J4776" i="12"/>
  <c r="I4776" i="12"/>
  <c r="H4776" i="12"/>
  <c r="F4776" i="12"/>
  <c r="J4775" i="12"/>
  <c r="I4775" i="12"/>
  <c r="H4775" i="12"/>
  <c r="F4775" i="12"/>
  <c r="J4774" i="12"/>
  <c r="I4774" i="12"/>
  <c r="H4774" i="12"/>
  <c r="F4774" i="12"/>
  <c r="J4773" i="12"/>
  <c r="I4773" i="12"/>
  <c r="H4773" i="12"/>
  <c r="F4773" i="12"/>
  <c r="J4772" i="12"/>
  <c r="I4772" i="12"/>
  <c r="H4772" i="12"/>
  <c r="F4772" i="12"/>
  <c r="J4771" i="12"/>
  <c r="I4771" i="12"/>
  <c r="H4771" i="12"/>
  <c r="F4771" i="12"/>
  <c r="J4770" i="12"/>
  <c r="I4770" i="12"/>
  <c r="H4770" i="12"/>
  <c r="F4770" i="12"/>
  <c r="J4769" i="12"/>
  <c r="I4769" i="12"/>
  <c r="H4769" i="12"/>
  <c r="F4769" i="12"/>
  <c r="J4768" i="12"/>
  <c r="I4768" i="12"/>
  <c r="H4768" i="12"/>
  <c r="F4768" i="12"/>
  <c r="J4767" i="12"/>
  <c r="I4767" i="12"/>
  <c r="H4767" i="12"/>
  <c r="F4767" i="12"/>
  <c r="J4766" i="12"/>
  <c r="I4766" i="12"/>
  <c r="H4766" i="12"/>
  <c r="F4766" i="12"/>
  <c r="J4765" i="12"/>
  <c r="I4765" i="12"/>
  <c r="H4765" i="12"/>
  <c r="F4765" i="12"/>
  <c r="J4764" i="12"/>
  <c r="I4764" i="12"/>
  <c r="H4764" i="12"/>
  <c r="F4764" i="12"/>
  <c r="J4763" i="12"/>
  <c r="I4763" i="12"/>
  <c r="H4763" i="12"/>
  <c r="F4763" i="12"/>
  <c r="J4762" i="12"/>
  <c r="I4762" i="12"/>
  <c r="H4762" i="12"/>
  <c r="F4762" i="12"/>
  <c r="J4761" i="12"/>
  <c r="I4761" i="12"/>
  <c r="H4761" i="12"/>
  <c r="F4761" i="12"/>
  <c r="J4760" i="12"/>
  <c r="I4760" i="12"/>
  <c r="H4760" i="12"/>
  <c r="F4760" i="12"/>
  <c r="J4759" i="12"/>
  <c r="I4759" i="12"/>
  <c r="H4759" i="12"/>
  <c r="F4759" i="12"/>
  <c r="J4758" i="12"/>
  <c r="I4758" i="12"/>
  <c r="H4758" i="12"/>
  <c r="F4758" i="12"/>
  <c r="J4757" i="12"/>
  <c r="I4757" i="12"/>
  <c r="H4757" i="12"/>
  <c r="F4757" i="12"/>
  <c r="J4756" i="12"/>
  <c r="I4756" i="12"/>
  <c r="H4756" i="12"/>
  <c r="F4756" i="12"/>
  <c r="J4755" i="12"/>
  <c r="I4755" i="12"/>
  <c r="H4755" i="12"/>
  <c r="F4755" i="12"/>
  <c r="J4754" i="12"/>
  <c r="I4754" i="12"/>
  <c r="H4754" i="12"/>
  <c r="F4754" i="12"/>
  <c r="J4753" i="12"/>
  <c r="I4753" i="12"/>
  <c r="H4753" i="12"/>
  <c r="F4753" i="12"/>
  <c r="J4752" i="12"/>
  <c r="I4752" i="12"/>
  <c r="H4752" i="12"/>
  <c r="F4752" i="12"/>
  <c r="J4751" i="12"/>
  <c r="I4751" i="12"/>
  <c r="H4751" i="12"/>
  <c r="F4751" i="12"/>
  <c r="J4750" i="12"/>
  <c r="I4750" i="12"/>
  <c r="H4750" i="12"/>
  <c r="F4750" i="12"/>
  <c r="J4749" i="12"/>
  <c r="I4749" i="12"/>
  <c r="H4749" i="12"/>
  <c r="F4749" i="12"/>
  <c r="J4748" i="12"/>
  <c r="I4748" i="12"/>
  <c r="H4748" i="12"/>
  <c r="F4748" i="12"/>
  <c r="J4747" i="12"/>
  <c r="I4747" i="12"/>
  <c r="H4747" i="12"/>
  <c r="F4747" i="12"/>
  <c r="J4746" i="12"/>
  <c r="I4746" i="12"/>
  <c r="H4746" i="12"/>
  <c r="F4746" i="12"/>
  <c r="J4745" i="12"/>
  <c r="I4745" i="12"/>
  <c r="H4745" i="12"/>
  <c r="F4745" i="12"/>
  <c r="J4744" i="12"/>
  <c r="I4744" i="12"/>
  <c r="H4744" i="12"/>
  <c r="F4744" i="12"/>
  <c r="J4743" i="12"/>
  <c r="I4743" i="12"/>
  <c r="H4743" i="12"/>
  <c r="F4743" i="12"/>
  <c r="J4742" i="12"/>
  <c r="I4742" i="12"/>
  <c r="H4742" i="12"/>
  <c r="F4742" i="12"/>
  <c r="J4741" i="12"/>
  <c r="I4741" i="12"/>
  <c r="H4741" i="12"/>
  <c r="F4741" i="12"/>
  <c r="J4740" i="12"/>
  <c r="I4740" i="12"/>
  <c r="H4740" i="12"/>
  <c r="F4740" i="12"/>
  <c r="J4739" i="12"/>
  <c r="I4739" i="12"/>
  <c r="H4739" i="12"/>
  <c r="F4739" i="12"/>
  <c r="J4738" i="12"/>
  <c r="I4738" i="12"/>
  <c r="H4738" i="12"/>
  <c r="F4738" i="12"/>
  <c r="J4737" i="12"/>
  <c r="I4737" i="12"/>
  <c r="H4737" i="12"/>
  <c r="F4737" i="12"/>
  <c r="J4736" i="12"/>
  <c r="I4736" i="12"/>
  <c r="H4736" i="12"/>
  <c r="F4736" i="12"/>
  <c r="J4735" i="12"/>
  <c r="I4735" i="12"/>
  <c r="H4735" i="12"/>
  <c r="F4735" i="12"/>
  <c r="J4734" i="12"/>
  <c r="I4734" i="12"/>
  <c r="H4734" i="12"/>
  <c r="F4734" i="12"/>
  <c r="J4733" i="12"/>
  <c r="I4733" i="12"/>
  <c r="H4733" i="12"/>
  <c r="F4733" i="12"/>
  <c r="J4732" i="12"/>
  <c r="I4732" i="12"/>
  <c r="H4732" i="12"/>
  <c r="F4732" i="12"/>
  <c r="J4731" i="12"/>
  <c r="I4731" i="12"/>
  <c r="H4731" i="12"/>
  <c r="F4731" i="12"/>
  <c r="J4730" i="12"/>
  <c r="I4730" i="12"/>
  <c r="H4730" i="12"/>
  <c r="F4730" i="12"/>
  <c r="J4729" i="12"/>
  <c r="I4729" i="12"/>
  <c r="H4729" i="12"/>
  <c r="F4729" i="12"/>
  <c r="J4728" i="12"/>
  <c r="I4728" i="12"/>
  <c r="H4728" i="12"/>
  <c r="F4728" i="12"/>
  <c r="J4727" i="12"/>
  <c r="I4727" i="12"/>
  <c r="H4727" i="12"/>
  <c r="F4727" i="12"/>
  <c r="J4726" i="12"/>
  <c r="I4726" i="12"/>
  <c r="H4726" i="12"/>
  <c r="F4726" i="12"/>
  <c r="J4725" i="12"/>
  <c r="I4725" i="12"/>
  <c r="H4725" i="12"/>
  <c r="F4725" i="12"/>
  <c r="J4724" i="12"/>
  <c r="I4724" i="12"/>
  <c r="H4724" i="12"/>
  <c r="F4724" i="12"/>
  <c r="J4723" i="12"/>
  <c r="I4723" i="12"/>
  <c r="H4723" i="12"/>
  <c r="F4723" i="12"/>
  <c r="J4722" i="12"/>
  <c r="I4722" i="12"/>
  <c r="H4722" i="12"/>
  <c r="F4722" i="12"/>
  <c r="J4721" i="12"/>
  <c r="I4721" i="12"/>
  <c r="H4721" i="12"/>
  <c r="F4721" i="12"/>
  <c r="J4720" i="12"/>
  <c r="I4720" i="12"/>
  <c r="H4720" i="12"/>
  <c r="F4720" i="12"/>
  <c r="J4719" i="12"/>
  <c r="I4719" i="12"/>
  <c r="H4719" i="12"/>
  <c r="F4719" i="12"/>
  <c r="J4718" i="12"/>
  <c r="I4718" i="12"/>
  <c r="H4718" i="12"/>
  <c r="F4718" i="12"/>
  <c r="J4717" i="12"/>
  <c r="I4717" i="12"/>
  <c r="H4717" i="12"/>
  <c r="F4717" i="12"/>
  <c r="J4716" i="12"/>
  <c r="I4716" i="12"/>
  <c r="H4716" i="12"/>
  <c r="F4716" i="12"/>
  <c r="J4715" i="12"/>
  <c r="I4715" i="12"/>
  <c r="H4715" i="12"/>
  <c r="F4715" i="12"/>
  <c r="J4714" i="12"/>
  <c r="I4714" i="12"/>
  <c r="H4714" i="12"/>
  <c r="F4714" i="12"/>
  <c r="J4713" i="12"/>
  <c r="I4713" i="12"/>
  <c r="H4713" i="12"/>
  <c r="F4713" i="12"/>
  <c r="J4712" i="12"/>
  <c r="I4712" i="12"/>
  <c r="H4712" i="12"/>
  <c r="F4712" i="12"/>
  <c r="J4711" i="12"/>
  <c r="I4711" i="12"/>
  <c r="H4711" i="12"/>
  <c r="F4711" i="12"/>
  <c r="J4710" i="12"/>
  <c r="I4710" i="12"/>
  <c r="H4710" i="12"/>
  <c r="F4710" i="12"/>
  <c r="J4709" i="12"/>
  <c r="I4709" i="12"/>
  <c r="H4709" i="12"/>
  <c r="F4709" i="12"/>
  <c r="J4708" i="12"/>
  <c r="I4708" i="12"/>
  <c r="H4708" i="12"/>
  <c r="F4708" i="12"/>
  <c r="J4707" i="12"/>
  <c r="I4707" i="12"/>
  <c r="H4707" i="12"/>
  <c r="F4707" i="12"/>
  <c r="J4706" i="12"/>
  <c r="I4706" i="12"/>
  <c r="H4706" i="12"/>
  <c r="F4706" i="12"/>
  <c r="J4705" i="12"/>
  <c r="I4705" i="12"/>
  <c r="H4705" i="12"/>
  <c r="F4705" i="12"/>
  <c r="J4704" i="12"/>
  <c r="I4704" i="12"/>
  <c r="H4704" i="12"/>
  <c r="F4704" i="12"/>
  <c r="J4703" i="12"/>
  <c r="I4703" i="12"/>
  <c r="H4703" i="12"/>
  <c r="F4703" i="12"/>
  <c r="J4702" i="12"/>
  <c r="I4702" i="12"/>
  <c r="H4702" i="12"/>
  <c r="F4702" i="12"/>
  <c r="J4701" i="12"/>
  <c r="I4701" i="12"/>
  <c r="H4701" i="12"/>
  <c r="F4701" i="12"/>
  <c r="J4700" i="12"/>
  <c r="I4700" i="12"/>
  <c r="H4700" i="12"/>
  <c r="F4700" i="12"/>
  <c r="J4699" i="12"/>
  <c r="I4699" i="12"/>
  <c r="H4699" i="12"/>
  <c r="F4699" i="12"/>
  <c r="J4698" i="12"/>
  <c r="I4698" i="12"/>
  <c r="H4698" i="12"/>
  <c r="F4698" i="12"/>
  <c r="J4697" i="12"/>
  <c r="I4697" i="12"/>
  <c r="H4697" i="12"/>
  <c r="F4697" i="12"/>
  <c r="J4696" i="12"/>
  <c r="I4696" i="12"/>
  <c r="H4696" i="12"/>
  <c r="F4696" i="12"/>
  <c r="J4695" i="12"/>
  <c r="I4695" i="12"/>
  <c r="H4695" i="12"/>
  <c r="F4695" i="12"/>
  <c r="J4694" i="12"/>
  <c r="I4694" i="12"/>
  <c r="H4694" i="12"/>
  <c r="F4694" i="12"/>
  <c r="J4693" i="12"/>
  <c r="I4693" i="12"/>
  <c r="H4693" i="12"/>
  <c r="F4693" i="12"/>
  <c r="J4692" i="12"/>
  <c r="I4692" i="12"/>
  <c r="H4692" i="12"/>
  <c r="F4692" i="12"/>
  <c r="J4691" i="12"/>
  <c r="I4691" i="12"/>
  <c r="H4691" i="12"/>
  <c r="F4691" i="12"/>
  <c r="J4690" i="12"/>
  <c r="I4690" i="12"/>
  <c r="H4690" i="12"/>
  <c r="F4690" i="12"/>
  <c r="J4689" i="12"/>
  <c r="I4689" i="12"/>
  <c r="H4689" i="12"/>
  <c r="F4689" i="12"/>
  <c r="J4688" i="12"/>
  <c r="I4688" i="12"/>
  <c r="H4688" i="12"/>
  <c r="F4688" i="12"/>
  <c r="J4687" i="12"/>
  <c r="I4687" i="12"/>
  <c r="H4687" i="12"/>
  <c r="F4687" i="12"/>
  <c r="J4686" i="12"/>
  <c r="I4686" i="12"/>
  <c r="H4686" i="12"/>
  <c r="F4686" i="12"/>
  <c r="J4685" i="12"/>
  <c r="I4685" i="12"/>
  <c r="H4685" i="12"/>
  <c r="F4685" i="12"/>
  <c r="J4684" i="12"/>
  <c r="I4684" i="12"/>
  <c r="H4684" i="12"/>
  <c r="F4684" i="12"/>
  <c r="J4683" i="12"/>
  <c r="I4683" i="12"/>
  <c r="H4683" i="12"/>
  <c r="F4683" i="12"/>
  <c r="J4682" i="12"/>
  <c r="I4682" i="12"/>
  <c r="H4682" i="12"/>
  <c r="F4682" i="12"/>
  <c r="J4681" i="12"/>
  <c r="I4681" i="12"/>
  <c r="H4681" i="12"/>
  <c r="F4681" i="12"/>
  <c r="J4680" i="12"/>
  <c r="I4680" i="12"/>
  <c r="H4680" i="12"/>
  <c r="F4680" i="12"/>
  <c r="J4679" i="12"/>
  <c r="I4679" i="12"/>
  <c r="H4679" i="12"/>
  <c r="F4679" i="12"/>
  <c r="J4678" i="12"/>
  <c r="I4678" i="12"/>
  <c r="H4678" i="12"/>
  <c r="F4678" i="12"/>
  <c r="J4677" i="12"/>
  <c r="I4677" i="12"/>
  <c r="H4677" i="12"/>
  <c r="F4677" i="12"/>
  <c r="J4676" i="12"/>
  <c r="I4676" i="12"/>
  <c r="H4676" i="12"/>
  <c r="F4676" i="12"/>
  <c r="J4675" i="12"/>
  <c r="I4675" i="12"/>
  <c r="H4675" i="12"/>
  <c r="F4675" i="12"/>
  <c r="J4674" i="12"/>
  <c r="I4674" i="12"/>
  <c r="H4674" i="12"/>
  <c r="F4674" i="12"/>
  <c r="J4673" i="12"/>
  <c r="I4673" i="12"/>
  <c r="H4673" i="12"/>
  <c r="F4673" i="12"/>
  <c r="J4672" i="12"/>
  <c r="I4672" i="12"/>
  <c r="H4672" i="12"/>
  <c r="F4672" i="12"/>
  <c r="J4671" i="12"/>
  <c r="I4671" i="12"/>
  <c r="H4671" i="12"/>
  <c r="F4671" i="12"/>
  <c r="J4670" i="12"/>
  <c r="I4670" i="12"/>
  <c r="H4670" i="12"/>
  <c r="F4670" i="12"/>
  <c r="J4669" i="12"/>
  <c r="I4669" i="12"/>
  <c r="H4669" i="12"/>
  <c r="F4669" i="12"/>
  <c r="J4668" i="12"/>
  <c r="I4668" i="12"/>
  <c r="H4668" i="12"/>
  <c r="F4668" i="12"/>
  <c r="J4667" i="12"/>
  <c r="I4667" i="12"/>
  <c r="H4667" i="12"/>
  <c r="F4667" i="12"/>
  <c r="J4666" i="12"/>
  <c r="I4666" i="12"/>
  <c r="H4666" i="12"/>
  <c r="F4666" i="12"/>
  <c r="J4665" i="12"/>
  <c r="I4665" i="12"/>
  <c r="H4665" i="12"/>
  <c r="F4665" i="12"/>
  <c r="J4664" i="12"/>
  <c r="I4664" i="12"/>
  <c r="H4664" i="12"/>
  <c r="F4664" i="12"/>
  <c r="J4663" i="12"/>
  <c r="I4663" i="12"/>
  <c r="H4663" i="12"/>
  <c r="F4663" i="12"/>
  <c r="J4662" i="12"/>
  <c r="I4662" i="12"/>
  <c r="H4662" i="12"/>
  <c r="F4662" i="12"/>
  <c r="J4661" i="12"/>
  <c r="I4661" i="12"/>
  <c r="H4661" i="12"/>
  <c r="F4661" i="12"/>
  <c r="J4660" i="12"/>
  <c r="I4660" i="12"/>
  <c r="H4660" i="12"/>
  <c r="F4660" i="12"/>
  <c r="J4659" i="12"/>
  <c r="I4659" i="12"/>
  <c r="H4659" i="12"/>
  <c r="F4659" i="12"/>
  <c r="J4658" i="12"/>
  <c r="I4658" i="12"/>
  <c r="H4658" i="12"/>
  <c r="F4658" i="12"/>
  <c r="J4657" i="12"/>
  <c r="I4657" i="12"/>
  <c r="H4657" i="12"/>
  <c r="F4657" i="12"/>
  <c r="J4656" i="12"/>
  <c r="I4656" i="12"/>
  <c r="H4656" i="12"/>
  <c r="F4656" i="12"/>
  <c r="J4655" i="12"/>
  <c r="I4655" i="12"/>
  <c r="H4655" i="12"/>
  <c r="F4655" i="12"/>
  <c r="J4654" i="12"/>
  <c r="I4654" i="12"/>
  <c r="H4654" i="12"/>
  <c r="F4654" i="12"/>
  <c r="J4653" i="12"/>
  <c r="I4653" i="12"/>
  <c r="H4653" i="12"/>
  <c r="F4653" i="12"/>
  <c r="J4652" i="12"/>
  <c r="I4652" i="12"/>
  <c r="H4652" i="12"/>
  <c r="F4652" i="12"/>
  <c r="J4651" i="12"/>
  <c r="I4651" i="12"/>
  <c r="H4651" i="12"/>
  <c r="F4651" i="12"/>
  <c r="J4650" i="12"/>
  <c r="I4650" i="12"/>
  <c r="H4650" i="12"/>
  <c r="F4650" i="12"/>
  <c r="J4649" i="12"/>
  <c r="I4649" i="12"/>
  <c r="H4649" i="12"/>
  <c r="F4649" i="12"/>
  <c r="J4648" i="12"/>
  <c r="I4648" i="12"/>
  <c r="H4648" i="12"/>
  <c r="F4648" i="12"/>
  <c r="J4647" i="12"/>
  <c r="I4647" i="12"/>
  <c r="H4647" i="12"/>
  <c r="F4647" i="12"/>
  <c r="J4646" i="12"/>
  <c r="I4646" i="12"/>
  <c r="H4646" i="12"/>
  <c r="F4646" i="12"/>
  <c r="J4645" i="12"/>
  <c r="I4645" i="12"/>
  <c r="H4645" i="12"/>
  <c r="F4645" i="12"/>
  <c r="J4644" i="12"/>
  <c r="I4644" i="12"/>
  <c r="H4644" i="12"/>
  <c r="F4644" i="12"/>
  <c r="J4643" i="12"/>
  <c r="I4643" i="12"/>
  <c r="H4643" i="12"/>
  <c r="F4643" i="12"/>
  <c r="J4642" i="12"/>
  <c r="I4642" i="12"/>
  <c r="H4642" i="12"/>
  <c r="F4642" i="12"/>
  <c r="J4641" i="12"/>
  <c r="I4641" i="12"/>
  <c r="H4641" i="12"/>
  <c r="F4641" i="12"/>
  <c r="J4640" i="12"/>
  <c r="I4640" i="12"/>
  <c r="H4640" i="12"/>
  <c r="F4640" i="12"/>
  <c r="J4639" i="12"/>
  <c r="I4639" i="12"/>
  <c r="H4639" i="12"/>
  <c r="F4639" i="12"/>
  <c r="J4638" i="12"/>
  <c r="I4638" i="12"/>
  <c r="H4638" i="12"/>
  <c r="F4638" i="12"/>
  <c r="J4637" i="12"/>
  <c r="I4637" i="12"/>
  <c r="H4637" i="12"/>
  <c r="F4637" i="12"/>
  <c r="J4636" i="12"/>
  <c r="I4636" i="12"/>
  <c r="H4636" i="12"/>
  <c r="F4636" i="12"/>
  <c r="J4635" i="12"/>
  <c r="I4635" i="12"/>
  <c r="H4635" i="12"/>
  <c r="F4635" i="12"/>
  <c r="J4634" i="12"/>
  <c r="I4634" i="12"/>
  <c r="H4634" i="12"/>
  <c r="F4634" i="12"/>
  <c r="J4633" i="12"/>
  <c r="I4633" i="12"/>
  <c r="H4633" i="12"/>
  <c r="F4633" i="12"/>
  <c r="J4632" i="12"/>
  <c r="I4632" i="12"/>
  <c r="H4632" i="12"/>
  <c r="F4632" i="12"/>
  <c r="J4631" i="12"/>
  <c r="I4631" i="12"/>
  <c r="H4631" i="12"/>
  <c r="F4631" i="12"/>
  <c r="J4630" i="12"/>
  <c r="I4630" i="12"/>
  <c r="H4630" i="12"/>
  <c r="F4630" i="12"/>
  <c r="J4629" i="12"/>
  <c r="I4629" i="12"/>
  <c r="H4629" i="12"/>
  <c r="F4629" i="12"/>
  <c r="J4628" i="12"/>
  <c r="I4628" i="12"/>
  <c r="H4628" i="12"/>
  <c r="F4628" i="12"/>
  <c r="J4627" i="12"/>
  <c r="I4627" i="12"/>
  <c r="H4627" i="12"/>
  <c r="F4627" i="12"/>
  <c r="J4626" i="12"/>
  <c r="I4626" i="12"/>
  <c r="H4626" i="12"/>
  <c r="F4626" i="12"/>
  <c r="J4625" i="12"/>
  <c r="I4625" i="12"/>
  <c r="H4625" i="12"/>
  <c r="F4625" i="12"/>
  <c r="J4624" i="12"/>
  <c r="I4624" i="12"/>
  <c r="H4624" i="12"/>
  <c r="F4624" i="12"/>
  <c r="J4623" i="12"/>
  <c r="I4623" i="12"/>
  <c r="H4623" i="12"/>
  <c r="F4623" i="12"/>
  <c r="J4622" i="12"/>
  <c r="I4622" i="12"/>
  <c r="H4622" i="12"/>
  <c r="F4622" i="12"/>
  <c r="J4621" i="12"/>
  <c r="I4621" i="12"/>
  <c r="H4621" i="12"/>
  <c r="F4621" i="12"/>
  <c r="J4620" i="12"/>
  <c r="I4620" i="12"/>
  <c r="H4620" i="12"/>
  <c r="F4620" i="12"/>
  <c r="J4619" i="12"/>
  <c r="I4619" i="12"/>
  <c r="H4619" i="12"/>
  <c r="F4619" i="12"/>
  <c r="J4618" i="12"/>
  <c r="I4618" i="12"/>
  <c r="H4618" i="12"/>
  <c r="F4618" i="12"/>
  <c r="J4617" i="12"/>
  <c r="I4617" i="12"/>
  <c r="H4617" i="12"/>
  <c r="F4617" i="12"/>
  <c r="J4616" i="12"/>
  <c r="I4616" i="12"/>
  <c r="H4616" i="12"/>
  <c r="F4616" i="12"/>
  <c r="J4615" i="12"/>
  <c r="I4615" i="12"/>
  <c r="H4615" i="12"/>
  <c r="F4615" i="12"/>
  <c r="J4614" i="12"/>
  <c r="I4614" i="12"/>
  <c r="H4614" i="12"/>
  <c r="F4614" i="12"/>
  <c r="J4613" i="12"/>
  <c r="I4613" i="12"/>
  <c r="H4613" i="12"/>
  <c r="F4613" i="12"/>
  <c r="J4612" i="12"/>
  <c r="I4612" i="12"/>
  <c r="H4612" i="12"/>
  <c r="F4612" i="12"/>
  <c r="J4611" i="12"/>
  <c r="I4611" i="12"/>
  <c r="H4611" i="12"/>
  <c r="F4611" i="12"/>
  <c r="J4610" i="12"/>
  <c r="I4610" i="12"/>
  <c r="H4610" i="12"/>
  <c r="F4610" i="12"/>
  <c r="J4609" i="12"/>
  <c r="I4609" i="12"/>
  <c r="H4609" i="12"/>
  <c r="F4609" i="12"/>
  <c r="J4608" i="12"/>
  <c r="I4608" i="12"/>
  <c r="H4608" i="12"/>
  <c r="F4608" i="12"/>
  <c r="J4607" i="12"/>
  <c r="I4607" i="12"/>
  <c r="H4607" i="12"/>
  <c r="F4607" i="12"/>
  <c r="J4606" i="12"/>
  <c r="I4606" i="12"/>
  <c r="H4606" i="12"/>
  <c r="F4606" i="12"/>
  <c r="J4605" i="12"/>
  <c r="I4605" i="12"/>
  <c r="H4605" i="12"/>
  <c r="F4605" i="12"/>
  <c r="J4604" i="12"/>
  <c r="I4604" i="12"/>
  <c r="H4604" i="12"/>
  <c r="F4604" i="12"/>
  <c r="J4603" i="12"/>
  <c r="I4603" i="12"/>
  <c r="H4603" i="12"/>
  <c r="F4603" i="12"/>
  <c r="J4602" i="12"/>
  <c r="I4602" i="12"/>
  <c r="H4602" i="12"/>
  <c r="F4602" i="12"/>
  <c r="J4601" i="12"/>
  <c r="I4601" i="12"/>
  <c r="H4601" i="12"/>
  <c r="F4601" i="12"/>
  <c r="J4600" i="12"/>
  <c r="I4600" i="12"/>
  <c r="H4600" i="12"/>
  <c r="F4600" i="12"/>
  <c r="J4599" i="12"/>
  <c r="I4599" i="12"/>
  <c r="H4599" i="12"/>
  <c r="F4599" i="12"/>
  <c r="J4598" i="12"/>
  <c r="I4598" i="12"/>
  <c r="H4598" i="12"/>
  <c r="F4598" i="12"/>
  <c r="J4597" i="12"/>
  <c r="I4597" i="12"/>
  <c r="H4597" i="12"/>
  <c r="F4597" i="12"/>
  <c r="J4596" i="12"/>
  <c r="I4596" i="12"/>
  <c r="H4596" i="12"/>
  <c r="F4596" i="12"/>
  <c r="J4595" i="12"/>
  <c r="I4595" i="12"/>
  <c r="H4595" i="12"/>
  <c r="F4595" i="12"/>
  <c r="J4594" i="12"/>
  <c r="I4594" i="12"/>
  <c r="H4594" i="12"/>
  <c r="F4594" i="12"/>
  <c r="J4593" i="12"/>
  <c r="I4593" i="12"/>
  <c r="H4593" i="12"/>
  <c r="F4593" i="12"/>
  <c r="J4592" i="12"/>
  <c r="I4592" i="12"/>
  <c r="H4592" i="12"/>
  <c r="F4592" i="12"/>
  <c r="J4591" i="12"/>
  <c r="I4591" i="12"/>
  <c r="H4591" i="12"/>
  <c r="F4591" i="12"/>
  <c r="J4590" i="12"/>
  <c r="I4590" i="12"/>
  <c r="H4590" i="12"/>
  <c r="F4590" i="12"/>
  <c r="J4589" i="12"/>
  <c r="I4589" i="12"/>
  <c r="H4589" i="12"/>
  <c r="F4589" i="12"/>
  <c r="J4588" i="12"/>
  <c r="I4588" i="12"/>
  <c r="H4588" i="12"/>
  <c r="F4588" i="12"/>
  <c r="J4587" i="12"/>
  <c r="I4587" i="12"/>
  <c r="H4587" i="12"/>
  <c r="F4587" i="12"/>
  <c r="J4586" i="12"/>
  <c r="I4586" i="12"/>
  <c r="H4586" i="12"/>
  <c r="F4586" i="12"/>
  <c r="J4585" i="12"/>
  <c r="I4585" i="12"/>
  <c r="H4585" i="12"/>
  <c r="F4585" i="12"/>
  <c r="J4584" i="12"/>
  <c r="I4584" i="12"/>
  <c r="H4584" i="12"/>
  <c r="F4584" i="12"/>
  <c r="J4583" i="12"/>
  <c r="I4583" i="12"/>
  <c r="H4583" i="12"/>
  <c r="F4583" i="12"/>
  <c r="J4582" i="12"/>
  <c r="I4582" i="12"/>
  <c r="H4582" i="12"/>
  <c r="F4582" i="12"/>
  <c r="J4581" i="12"/>
  <c r="I4581" i="12"/>
  <c r="H4581" i="12"/>
  <c r="F4581" i="12"/>
  <c r="J4580" i="12"/>
  <c r="I4580" i="12"/>
  <c r="H4580" i="12"/>
  <c r="F4580" i="12"/>
  <c r="J4579" i="12"/>
  <c r="I4579" i="12"/>
  <c r="H4579" i="12"/>
  <c r="F4579" i="12"/>
  <c r="J4578" i="12"/>
  <c r="I4578" i="12"/>
  <c r="H4578" i="12"/>
  <c r="F4578" i="12"/>
  <c r="J4577" i="12"/>
  <c r="I4577" i="12"/>
  <c r="H4577" i="12"/>
  <c r="F4577" i="12"/>
  <c r="J4576" i="12"/>
  <c r="I4576" i="12"/>
  <c r="H4576" i="12"/>
  <c r="F4576" i="12"/>
  <c r="J4575" i="12"/>
  <c r="I4575" i="12"/>
  <c r="H4575" i="12"/>
  <c r="F4575" i="12"/>
  <c r="J4574" i="12"/>
  <c r="I4574" i="12"/>
  <c r="H4574" i="12"/>
  <c r="F4574" i="12"/>
  <c r="J4573" i="12"/>
  <c r="I4573" i="12"/>
  <c r="H4573" i="12"/>
  <c r="F4573" i="12"/>
  <c r="J4572" i="12"/>
  <c r="I4572" i="12"/>
  <c r="H4572" i="12"/>
  <c r="F4572" i="12"/>
  <c r="J4571" i="12"/>
  <c r="I4571" i="12"/>
  <c r="H4571" i="12"/>
  <c r="F4571" i="12"/>
  <c r="J4570" i="12"/>
  <c r="I4570" i="12"/>
  <c r="H4570" i="12"/>
  <c r="F4570" i="12"/>
  <c r="J4569" i="12"/>
  <c r="I4569" i="12"/>
  <c r="H4569" i="12"/>
  <c r="F4569" i="12"/>
  <c r="J4568" i="12"/>
  <c r="I4568" i="12"/>
  <c r="H4568" i="12"/>
  <c r="F4568" i="12"/>
  <c r="J4567" i="12"/>
  <c r="I4567" i="12"/>
  <c r="H4567" i="12"/>
  <c r="F4567" i="12"/>
  <c r="J4566" i="12"/>
  <c r="I4566" i="12"/>
  <c r="H4566" i="12"/>
  <c r="F4566" i="12"/>
  <c r="J4565" i="12"/>
  <c r="I4565" i="12"/>
  <c r="H4565" i="12"/>
  <c r="F4565" i="12"/>
  <c r="J4564" i="12"/>
  <c r="I4564" i="12"/>
  <c r="H4564" i="12"/>
  <c r="F4564" i="12"/>
  <c r="J4563" i="12"/>
  <c r="I4563" i="12"/>
  <c r="H4563" i="12"/>
  <c r="F4563" i="12"/>
  <c r="J4562" i="12"/>
  <c r="I4562" i="12"/>
  <c r="H4562" i="12"/>
  <c r="F4562" i="12"/>
  <c r="J4561" i="12"/>
  <c r="I4561" i="12"/>
  <c r="H4561" i="12"/>
  <c r="F4561" i="12"/>
  <c r="J4560" i="12"/>
  <c r="I4560" i="12"/>
  <c r="H4560" i="12"/>
  <c r="F4560" i="12"/>
  <c r="J4559" i="12"/>
  <c r="I4559" i="12"/>
  <c r="H4559" i="12"/>
  <c r="F4559" i="12"/>
  <c r="J4558" i="12"/>
  <c r="I4558" i="12"/>
  <c r="H4558" i="12"/>
  <c r="F4558" i="12"/>
  <c r="J4557" i="12"/>
  <c r="I4557" i="12"/>
  <c r="H4557" i="12"/>
  <c r="F4557" i="12"/>
  <c r="J4556" i="12"/>
  <c r="I4556" i="12"/>
  <c r="H4556" i="12"/>
  <c r="F4556" i="12"/>
  <c r="J4555" i="12"/>
  <c r="I4555" i="12"/>
  <c r="H4555" i="12"/>
  <c r="F4555" i="12"/>
  <c r="J4554" i="12"/>
  <c r="I4554" i="12"/>
  <c r="H4554" i="12"/>
  <c r="F4554" i="12"/>
  <c r="J4553" i="12"/>
  <c r="I4553" i="12"/>
  <c r="H4553" i="12"/>
  <c r="F4553" i="12"/>
  <c r="J4552" i="12"/>
  <c r="I4552" i="12"/>
  <c r="H4552" i="12"/>
  <c r="F4552" i="12"/>
  <c r="J4551" i="12"/>
  <c r="I4551" i="12"/>
  <c r="H4551" i="12"/>
  <c r="F4551" i="12"/>
  <c r="J4550" i="12"/>
  <c r="I4550" i="12"/>
  <c r="H4550" i="12"/>
  <c r="F4550" i="12"/>
  <c r="J4549" i="12"/>
  <c r="I4549" i="12"/>
  <c r="H4549" i="12"/>
  <c r="F4549" i="12"/>
  <c r="J4548" i="12"/>
  <c r="I4548" i="12"/>
  <c r="H4548" i="12"/>
  <c r="F4548" i="12"/>
  <c r="J4547" i="12"/>
  <c r="I4547" i="12"/>
  <c r="H4547" i="12"/>
  <c r="F4547" i="12"/>
  <c r="J4546" i="12"/>
  <c r="I4546" i="12"/>
  <c r="H4546" i="12"/>
  <c r="F4546" i="12"/>
  <c r="J4545" i="12"/>
  <c r="I4545" i="12"/>
  <c r="H4545" i="12"/>
  <c r="F4545" i="12"/>
  <c r="J4544" i="12"/>
  <c r="I4544" i="12"/>
  <c r="H4544" i="12"/>
  <c r="F4544" i="12"/>
  <c r="J4543" i="12"/>
  <c r="I4543" i="12"/>
  <c r="H4543" i="12"/>
  <c r="F4543" i="12"/>
  <c r="J4542" i="12"/>
  <c r="I4542" i="12"/>
  <c r="H4542" i="12"/>
  <c r="F4542" i="12"/>
  <c r="J4541" i="12"/>
  <c r="I4541" i="12"/>
  <c r="H4541" i="12"/>
  <c r="F4541" i="12"/>
  <c r="J4540" i="12"/>
  <c r="I4540" i="12"/>
  <c r="H4540" i="12"/>
  <c r="F4540" i="12"/>
  <c r="J4539" i="12"/>
  <c r="I4539" i="12"/>
  <c r="H4539" i="12"/>
  <c r="F4539" i="12"/>
  <c r="J4538" i="12"/>
  <c r="I4538" i="12"/>
  <c r="H4538" i="12"/>
  <c r="F4538" i="12"/>
  <c r="J4537" i="12"/>
  <c r="I4537" i="12"/>
  <c r="H4537" i="12"/>
  <c r="F4537" i="12"/>
  <c r="J4536" i="12"/>
  <c r="I4536" i="12"/>
  <c r="H4536" i="12"/>
  <c r="F4536" i="12"/>
  <c r="J4535" i="12"/>
  <c r="I4535" i="12"/>
  <c r="H4535" i="12"/>
  <c r="F4535" i="12"/>
  <c r="J4534" i="12"/>
  <c r="I4534" i="12"/>
  <c r="H4534" i="12"/>
  <c r="F4534" i="12"/>
  <c r="J4533" i="12"/>
  <c r="I4533" i="12"/>
  <c r="H4533" i="12"/>
  <c r="F4533" i="12"/>
  <c r="J4532" i="12"/>
  <c r="I4532" i="12"/>
  <c r="H4532" i="12"/>
  <c r="F4532" i="12"/>
  <c r="J4531" i="12"/>
  <c r="I4531" i="12"/>
  <c r="H4531" i="12"/>
  <c r="F4531" i="12"/>
  <c r="J4530" i="12"/>
  <c r="I4530" i="12"/>
  <c r="H4530" i="12"/>
  <c r="F4530" i="12"/>
  <c r="J4529" i="12"/>
  <c r="I4529" i="12"/>
  <c r="H4529" i="12"/>
  <c r="F4529" i="12"/>
  <c r="J4528" i="12"/>
  <c r="I4528" i="12"/>
  <c r="H4528" i="12"/>
  <c r="F4528" i="12"/>
  <c r="J4527" i="12"/>
  <c r="I4527" i="12"/>
  <c r="H4527" i="12"/>
  <c r="F4527" i="12"/>
  <c r="J4526" i="12"/>
  <c r="I4526" i="12"/>
  <c r="H4526" i="12"/>
  <c r="F4526" i="12"/>
  <c r="J4525" i="12"/>
  <c r="I4525" i="12"/>
  <c r="H4525" i="12"/>
  <c r="F4525" i="12"/>
  <c r="J4524" i="12"/>
  <c r="I4524" i="12"/>
  <c r="H4524" i="12"/>
  <c r="F4524" i="12"/>
  <c r="J4523" i="12"/>
  <c r="I4523" i="12"/>
  <c r="H4523" i="12"/>
  <c r="F4523" i="12"/>
  <c r="J4522" i="12"/>
  <c r="I4522" i="12"/>
  <c r="H4522" i="12"/>
  <c r="F4522" i="12"/>
  <c r="J4521" i="12"/>
  <c r="I4521" i="12"/>
  <c r="H4521" i="12"/>
  <c r="F4521" i="12"/>
  <c r="J4520" i="12"/>
  <c r="I4520" i="12"/>
  <c r="H4520" i="12"/>
  <c r="F4520" i="12"/>
  <c r="J4519" i="12"/>
  <c r="I4519" i="12"/>
  <c r="H4519" i="12"/>
  <c r="F4519" i="12"/>
  <c r="J4518" i="12"/>
  <c r="I4518" i="12"/>
  <c r="H4518" i="12"/>
  <c r="F4518" i="12"/>
  <c r="J4517" i="12"/>
  <c r="I4517" i="12"/>
  <c r="H4517" i="12"/>
  <c r="F4517" i="12"/>
  <c r="J4516" i="12"/>
  <c r="I4516" i="12"/>
  <c r="H4516" i="12"/>
  <c r="F4516" i="12"/>
  <c r="J4515" i="12"/>
  <c r="I4515" i="12"/>
  <c r="H4515" i="12"/>
  <c r="F4515" i="12"/>
  <c r="J4514" i="12"/>
  <c r="I4514" i="12"/>
  <c r="H4514" i="12"/>
  <c r="F4514" i="12"/>
  <c r="J4513" i="12"/>
  <c r="I4513" i="12"/>
  <c r="H4513" i="12"/>
  <c r="F4513" i="12"/>
  <c r="J4512" i="12"/>
  <c r="I4512" i="12"/>
  <c r="H4512" i="12"/>
  <c r="F4512" i="12"/>
  <c r="J4511" i="12"/>
  <c r="I4511" i="12"/>
  <c r="H4511" i="12"/>
  <c r="F4511" i="12"/>
  <c r="J4510" i="12"/>
  <c r="I4510" i="12"/>
  <c r="H4510" i="12"/>
  <c r="F4510" i="12"/>
  <c r="J4509" i="12"/>
  <c r="I4509" i="12"/>
  <c r="H4509" i="12"/>
  <c r="F4509" i="12"/>
  <c r="J4508" i="12"/>
  <c r="I4508" i="12"/>
  <c r="H4508" i="12"/>
  <c r="F4508" i="12"/>
  <c r="J4507" i="12"/>
  <c r="I4507" i="12"/>
  <c r="H4507" i="12"/>
  <c r="F4507" i="12"/>
  <c r="J4506" i="12"/>
  <c r="I4506" i="12"/>
  <c r="H4506" i="12"/>
  <c r="F4506" i="12"/>
  <c r="J4505" i="12"/>
  <c r="I4505" i="12"/>
  <c r="H4505" i="12"/>
  <c r="F4505" i="12"/>
  <c r="J4504" i="12"/>
  <c r="I4504" i="12"/>
  <c r="H4504" i="12"/>
  <c r="F4504" i="12"/>
  <c r="J4503" i="12"/>
  <c r="I4503" i="12"/>
  <c r="H4503" i="12"/>
  <c r="F4503" i="12"/>
  <c r="J4502" i="12"/>
  <c r="I4502" i="12"/>
  <c r="H4502" i="12"/>
  <c r="F4502" i="12"/>
  <c r="J4501" i="12"/>
  <c r="I4501" i="12"/>
  <c r="H4501" i="12"/>
  <c r="F4501" i="12"/>
  <c r="J4500" i="12"/>
  <c r="I4500" i="12"/>
  <c r="H4500" i="12"/>
  <c r="F4500" i="12"/>
  <c r="J4499" i="12"/>
  <c r="I4499" i="12"/>
  <c r="H4499" i="12"/>
  <c r="F4499" i="12"/>
  <c r="J4498" i="12"/>
  <c r="I4498" i="12"/>
  <c r="H4498" i="12"/>
  <c r="F4498" i="12"/>
  <c r="J4497" i="12"/>
  <c r="I4497" i="12"/>
  <c r="H4497" i="12"/>
  <c r="F4497" i="12"/>
  <c r="J4496" i="12"/>
  <c r="I4496" i="12"/>
  <c r="H4496" i="12"/>
  <c r="F4496" i="12"/>
  <c r="J4495" i="12"/>
  <c r="I4495" i="12"/>
  <c r="H4495" i="12"/>
  <c r="F4495" i="12"/>
  <c r="J4494" i="12"/>
  <c r="I4494" i="12"/>
  <c r="H4494" i="12"/>
  <c r="F4494" i="12"/>
  <c r="J4493" i="12"/>
  <c r="I4493" i="12"/>
  <c r="H4493" i="12"/>
  <c r="F4493" i="12"/>
  <c r="J4492" i="12"/>
  <c r="I4492" i="12"/>
  <c r="H4492" i="12"/>
  <c r="F4492" i="12"/>
  <c r="J4491" i="12"/>
  <c r="I4491" i="12"/>
  <c r="H4491" i="12"/>
  <c r="F4491" i="12"/>
  <c r="J4490" i="12"/>
  <c r="I4490" i="12"/>
  <c r="H4490" i="12"/>
  <c r="F4490" i="12"/>
  <c r="J4489" i="12"/>
  <c r="I4489" i="12"/>
  <c r="H4489" i="12"/>
  <c r="F4489" i="12"/>
  <c r="J4488" i="12"/>
  <c r="I4488" i="12"/>
  <c r="H4488" i="12"/>
  <c r="F4488" i="12"/>
  <c r="J4487" i="12"/>
  <c r="I4487" i="12"/>
  <c r="H4487" i="12"/>
  <c r="F4487" i="12"/>
  <c r="J4486" i="12"/>
  <c r="I4486" i="12"/>
  <c r="H4486" i="12"/>
  <c r="F4486" i="12"/>
  <c r="J4485" i="12"/>
  <c r="I4485" i="12"/>
  <c r="H4485" i="12"/>
  <c r="F4485" i="12"/>
  <c r="J4484" i="12"/>
  <c r="I4484" i="12"/>
  <c r="H4484" i="12"/>
  <c r="F4484" i="12"/>
  <c r="J4483" i="12"/>
  <c r="I4483" i="12"/>
  <c r="H4483" i="12"/>
  <c r="F4483" i="12"/>
  <c r="J4482" i="12"/>
  <c r="I4482" i="12"/>
  <c r="H4482" i="12"/>
  <c r="F4482" i="12"/>
  <c r="J4481" i="12"/>
  <c r="I4481" i="12"/>
  <c r="H4481" i="12"/>
  <c r="F4481" i="12"/>
  <c r="J4480" i="12"/>
  <c r="I4480" i="12"/>
  <c r="H4480" i="12"/>
  <c r="F4480" i="12"/>
  <c r="J4479" i="12"/>
  <c r="I4479" i="12"/>
  <c r="H4479" i="12"/>
  <c r="F4479" i="12"/>
  <c r="J4478" i="12"/>
  <c r="I4478" i="12"/>
  <c r="H4478" i="12"/>
  <c r="F4478" i="12"/>
  <c r="J4477" i="12"/>
  <c r="I4477" i="12"/>
  <c r="H4477" i="12"/>
  <c r="F4477" i="12"/>
  <c r="J4476" i="12"/>
  <c r="I4476" i="12"/>
  <c r="H4476" i="12"/>
  <c r="F4476" i="12"/>
  <c r="J4475" i="12"/>
  <c r="I4475" i="12"/>
  <c r="H4475" i="12"/>
  <c r="F4475" i="12"/>
  <c r="J4474" i="12"/>
  <c r="I4474" i="12"/>
  <c r="H4474" i="12"/>
  <c r="F4474" i="12"/>
  <c r="J4473" i="12"/>
  <c r="I4473" i="12"/>
  <c r="H4473" i="12"/>
  <c r="F4473" i="12"/>
  <c r="J4472" i="12"/>
  <c r="I4472" i="12"/>
  <c r="H4472" i="12"/>
  <c r="F4472" i="12"/>
  <c r="J4471" i="12"/>
  <c r="I4471" i="12"/>
  <c r="H4471" i="12"/>
  <c r="F4471" i="12"/>
  <c r="J4470" i="12"/>
  <c r="I4470" i="12"/>
  <c r="H4470" i="12"/>
  <c r="F4470" i="12"/>
  <c r="J4469" i="12"/>
  <c r="I4469" i="12"/>
  <c r="H4469" i="12"/>
  <c r="F4469" i="12"/>
  <c r="J4468" i="12"/>
  <c r="I4468" i="12"/>
  <c r="H4468" i="12"/>
  <c r="F4468" i="12"/>
  <c r="J4467" i="12"/>
  <c r="I4467" i="12"/>
  <c r="H4467" i="12"/>
  <c r="F4467" i="12"/>
  <c r="J4466" i="12"/>
  <c r="I4466" i="12"/>
  <c r="H4466" i="12"/>
  <c r="F4466" i="12"/>
  <c r="J4465" i="12"/>
  <c r="I4465" i="12"/>
  <c r="H4465" i="12"/>
  <c r="F4465" i="12"/>
  <c r="J4464" i="12"/>
  <c r="I4464" i="12"/>
  <c r="H4464" i="12"/>
  <c r="F4464" i="12"/>
  <c r="J4463" i="12"/>
  <c r="I4463" i="12"/>
  <c r="H4463" i="12"/>
  <c r="F4463" i="12"/>
  <c r="J4462" i="12"/>
  <c r="I4462" i="12"/>
  <c r="H4462" i="12"/>
  <c r="F4462" i="12"/>
  <c r="J4461" i="12"/>
  <c r="I4461" i="12"/>
  <c r="H4461" i="12"/>
  <c r="F4461" i="12"/>
  <c r="J4460" i="12"/>
  <c r="I4460" i="12"/>
  <c r="H4460" i="12"/>
  <c r="F4460" i="12"/>
  <c r="J4459" i="12"/>
  <c r="I4459" i="12"/>
  <c r="H4459" i="12"/>
  <c r="F4459" i="12"/>
  <c r="J4458" i="12"/>
  <c r="I4458" i="12"/>
  <c r="H4458" i="12"/>
  <c r="F4458" i="12"/>
  <c r="J4457" i="12"/>
  <c r="I4457" i="12"/>
  <c r="H4457" i="12"/>
  <c r="F4457" i="12"/>
  <c r="J4456" i="12"/>
  <c r="I4456" i="12"/>
  <c r="H4456" i="12"/>
  <c r="F4456" i="12"/>
  <c r="J4455" i="12"/>
  <c r="I4455" i="12"/>
  <c r="H4455" i="12"/>
  <c r="F4455" i="12"/>
  <c r="J4454" i="12"/>
  <c r="I4454" i="12"/>
  <c r="H4454" i="12"/>
  <c r="F4454" i="12"/>
  <c r="J4453" i="12"/>
  <c r="I4453" i="12"/>
  <c r="H4453" i="12"/>
  <c r="F4453" i="12"/>
  <c r="J4452" i="12"/>
  <c r="I4452" i="12"/>
  <c r="H4452" i="12"/>
  <c r="F4452" i="12"/>
  <c r="J4451" i="12"/>
  <c r="I4451" i="12"/>
  <c r="H4451" i="12"/>
  <c r="F4451" i="12"/>
  <c r="J4450" i="12"/>
  <c r="I4450" i="12"/>
  <c r="H4450" i="12"/>
  <c r="F4450" i="12"/>
  <c r="J4449" i="12"/>
  <c r="I4449" i="12"/>
  <c r="H4449" i="12"/>
  <c r="F4449" i="12"/>
  <c r="J4448" i="12"/>
  <c r="I4448" i="12"/>
  <c r="H4448" i="12"/>
  <c r="F4448" i="12"/>
  <c r="J4447" i="12"/>
  <c r="I4447" i="12"/>
  <c r="H4447" i="12"/>
  <c r="F4447" i="12"/>
  <c r="J4446" i="12"/>
  <c r="I4446" i="12"/>
  <c r="H4446" i="12"/>
  <c r="F4446" i="12"/>
  <c r="J4445" i="12"/>
  <c r="I4445" i="12"/>
  <c r="H4445" i="12"/>
  <c r="F4445" i="12"/>
  <c r="J4444" i="12"/>
  <c r="I4444" i="12"/>
  <c r="H4444" i="12"/>
  <c r="F4444" i="12"/>
  <c r="J4443" i="12"/>
  <c r="I4443" i="12"/>
  <c r="H4443" i="12"/>
  <c r="F4443" i="12"/>
  <c r="J4442" i="12"/>
  <c r="I4442" i="12"/>
  <c r="H4442" i="12"/>
  <c r="F4442" i="12"/>
  <c r="J4441" i="12"/>
  <c r="I4441" i="12"/>
  <c r="H4441" i="12"/>
  <c r="F4441" i="12"/>
  <c r="J4440" i="12"/>
  <c r="I4440" i="12"/>
  <c r="H4440" i="12"/>
  <c r="F4440" i="12"/>
  <c r="J4439" i="12"/>
  <c r="I4439" i="12"/>
  <c r="H4439" i="12"/>
  <c r="F4439" i="12"/>
  <c r="J4438" i="12"/>
  <c r="I4438" i="12"/>
  <c r="H4438" i="12"/>
  <c r="F4438" i="12"/>
  <c r="J4437" i="12"/>
  <c r="I4437" i="12"/>
  <c r="H4437" i="12"/>
  <c r="F4437" i="12"/>
  <c r="J4436" i="12"/>
  <c r="I4436" i="12"/>
  <c r="H4436" i="12"/>
  <c r="F4436" i="12"/>
  <c r="J4435" i="12"/>
  <c r="I4435" i="12"/>
  <c r="H4435" i="12"/>
  <c r="F4435" i="12"/>
  <c r="J4434" i="12"/>
  <c r="I4434" i="12"/>
  <c r="H4434" i="12"/>
  <c r="F4434" i="12"/>
  <c r="J4433" i="12"/>
  <c r="I4433" i="12"/>
  <c r="H4433" i="12"/>
  <c r="F4433" i="12"/>
  <c r="J4432" i="12"/>
  <c r="I4432" i="12"/>
  <c r="H4432" i="12"/>
  <c r="F4432" i="12"/>
  <c r="J4431" i="12"/>
  <c r="I4431" i="12"/>
  <c r="H4431" i="12"/>
  <c r="F4431" i="12"/>
  <c r="J4430" i="12"/>
  <c r="I4430" i="12"/>
  <c r="H4430" i="12"/>
  <c r="F4430" i="12"/>
  <c r="J4429" i="12"/>
  <c r="I4429" i="12"/>
  <c r="H4429" i="12"/>
  <c r="F4429" i="12"/>
  <c r="J4428" i="12"/>
  <c r="I4428" i="12"/>
  <c r="H4428" i="12"/>
  <c r="F4428" i="12"/>
  <c r="J4427" i="12"/>
  <c r="I4427" i="12"/>
  <c r="H4427" i="12"/>
  <c r="F4427" i="12"/>
  <c r="J4426" i="12"/>
  <c r="I4426" i="12"/>
  <c r="H4426" i="12"/>
  <c r="F4426" i="12"/>
  <c r="J4425" i="12"/>
  <c r="I4425" i="12"/>
  <c r="H4425" i="12"/>
  <c r="F4425" i="12"/>
  <c r="J4424" i="12"/>
  <c r="I4424" i="12"/>
  <c r="H4424" i="12"/>
  <c r="F4424" i="12"/>
  <c r="J4423" i="12"/>
  <c r="I4423" i="12"/>
  <c r="H4423" i="12"/>
  <c r="F4423" i="12"/>
  <c r="J4422" i="12"/>
  <c r="I4422" i="12"/>
  <c r="H4422" i="12"/>
  <c r="F4422" i="12"/>
  <c r="J4421" i="12"/>
  <c r="I4421" i="12"/>
  <c r="H4421" i="12"/>
  <c r="F4421" i="12"/>
  <c r="J4420" i="12"/>
  <c r="I4420" i="12"/>
  <c r="H4420" i="12"/>
  <c r="F4420" i="12"/>
  <c r="J4419" i="12"/>
  <c r="I4419" i="12"/>
  <c r="H4419" i="12"/>
  <c r="F4419" i="12"/>
  <c r="J4418" i="12"/>
  <c r="I4418" i="12"/>
  <c r="H4418" i="12"/>
  <c r="F4418" i="12"/>
  <c r="J4417" i="12"/>
  <c r="I4417" i="12"/>
  <c r="H4417" i="12"/>
  <c r="F4417" i="12"/>
  <c r="J4416" i="12"/>
  <c r="I4416" i="12"/>
  <c r="H4416" i="12"/>
  <c r="F4416" i="12"/>
  <c r="J4415" i="12"/>
  <c r="I4415" i="12"/>
  <c r="H4415" i="12"/>
  <c r="F4415" i="12"/>
  <c r="J4414" i="12"/>
  <c r="I4414" i="12"/>
  <c r="H4414" i="12"/>
  <c r="F4414" i="12"/>
  <c r="J4413" i="12"/>
  <c r="I4413" i="12"/>
  <c r="H4413" i="12"/>
  <c r="F4413" i="12"/>
  <c r="J4412" i="12"/>
  <c r="I4412" i="12"/>
  <c r="H4412" i="12"/>
  <c r="F4412" i="12"/>
  <c r="J4411" i="12"/>
  <c r="I4411" i="12"/>
  <c r="H4411" i="12"/>
  <c r="F4411" i="12"/>
  <c r="J4410" i="12"/>
  <c r="I4410" i="12"/>
  <c r="H4410" i="12"/>
  <c r="F4410" i="12"/>
  <c r="J4409" i="12"/>
  <c r="I4409" i="12"/>
  <c r="H4409" i="12"/>
  <c r="F4409" i="12"/>
  <c r="J4408" i="12"/>
  <c r="I4408" i="12"/>
  <c r="H4408" i="12"/>
  <c r="F4408" i="12"/>
  <c r="J4407" i="12"/>
  <c r="I4407" i="12"/>
  <c r="H4407" i="12"/>
  <c r="F4407" i="12"/>
  <c r="J4406" i="12"/>
  <c r="I4406" i="12"/>
  <c r="H4406" i="12"/>
  <c r="F4406" i="12"/>
  <c r="J4405" i="12"/>
  <c r="I4405" i="12"/>
  <c r="H4405" i="12"/>
  <c r="F4405" i="12"/>
  <c r="J4404" i="12"/>
  <c r="I4404" i="12"/>
  <c r="H4404" i="12"/>
  <c r="F4404" i="12"/>
  <c r="J4403" i="12"/>
  <c r="I4403" i="12"/>
  <c r="H4403" i="12"/>
  <c r="F4403" i="12"/>
  <c r="J4402" i="12"/>
  <c r="I4402" i="12"/>
  <c r="H4402" i="12"/>
  <c r="F4402" i="12"/>
  <c r="J4401" i="12"/>
  <c r="I4401" i="12"/>
  <c r="H4401" i="12"/>
  <c r="F4401" i="12"/>
  <c r="J4400" i="12"/>
  <c r="I4400" i="12"/>
  <c r="H4400" i="12"/>
  <c r="F4400" i="12"/>
  <c r="J4399" i="12"/>
  <c r="I4399" i="12"/>
  <c r="H4399" i="12"/>
  <c r="F4399" i="12"/>
  <c r="J4398" i="12"/>
  <c r="I4398" i="12"/>
  <c r="H4398" i="12"/>
  <c r="F4398" i="12"/>
  <c r="J4397" i="12"/>
  <c r="I4397" i="12"/>
  <c r="H4397" i="12"/>
  <c r="F4397" i="12"/>
  <c r="J4396" i="12"/>
  <c r="I4396" i="12"/>
  <c r="H4396" i="12"/>
  <c r="F4396" i="12"/>
  <c r="J4395" i="12"/>
  <c r="I4395" i="12"/>
  <c r="H4395" i="12"/>
  <c r="F4395" i="12"/>
  <c r="J4394" i="12"/>
  <c r="I4394" i="12"/>
  <c r="H4394" i="12"/>
  <c r="F4394" i="12"/>
  <c r="J4393" i="12"/>
  <c r="I4393" i="12"/>
  <c r="H4393" i="12"/>
  <c r="F4393" i="12"/>
  <c r="J4392" i="12"/>
  <c r="I4392" i="12"/>
  <c r="H4392" i="12"/>
  <c r="F4392" i="12"/>
  <c r="J4391" i="12"/>
  <c r="I4391" i="12"/>
  <c r="H4391" i="12"/>
  <c r="F4391" i="12"/>
  <c r="J4390" i="12"/>
  <c r="I4390" i="12"/>
  <c r="H4390" i="12"/>
  <c r="F4390" i="12"/>
  <c r="J4389" i="12"/>
  <c r="I4389" i="12"/>
  <c r="H4389" i="12"/>
  <c r="F4389" i="12"/>
  <c r="J4388" i="12"/>
  <c r="I4388" i="12"/>
  <c r="H4388" i="12"/>
  <c r="F4388" i="12"/>
  <c r="J4387" i="12"/>
  <c r="I4387" i="12"/>
  <c r="H4387" i="12"/>
  <c r="F4387" i="12"/>
  <c r="J4386" i="12"/>
  <c r="I4386" i="12"/>
  <c r="H4386" i="12"/>
  <c r="F4386" i="12"/>
  <c r="J4385" i="12"/>
  <c r="I4385" i="12"/>
  <c r="H4385" i="12"/>
  <c r="F4385" i="12"/>
  <c r="J4384" i="12"/>
  <c r="I4384" i="12"/>
  <c r="H4384" i="12"/>
  <c r="F4384" i="12"/>
  <c r="J4383" i="12"/>
  <c r="I4383" i="12"/>
  <c r="H4383" i="12"/>
  <c r="F4383" i="12"/>
  <c r="J4382" i="12"/>
  <c r="I4382" i="12"/>
  <c r="H4382" i="12"/>
  <c r="F4382" i="12"/>
  <c r="J4381" i="12"/>
  <c r="I4381" i="12"/>
  <c r="H4381" i="12"/>
  <c r="F4381" i="12"/>
  <c r="J4380" i="12"/>
  <c r="I4380" i="12"/>
  <c r="H4380" i="12"/>
  <c r="F4380" i="12"/>
  <c r="J4379" i="12"/>
  <c r="I4379" i="12"/>
  <c r="H4379" i="12"/>
  <c r="F4379" i="12"/>
  <c r="J4378" i="12"/>
  <c r="I4378" i="12"/>
  <c r="H4378" i="12"/>
  <c r="F4378" i="12"/>
  <c r="J4377" i="12"/>
  <c r="I4377" i="12"/>
  <c r="H4377" i="12"/>
  <c r="F4377" i="12"/>
  <c r="J4376" i="12"/>
  <c r="I4376" i="12"/>
  <c r="H4376" i="12"/>
  <c r="F4376" i="12"/>
  <c r="J4375" i="12"/>
  <c r="I4375" i="12"/>
  <c r="H4375" i="12"/>
  <c r="F4375" i="12"/>
  <c r="J4374" i="12"/>
  <c r="I4374" i="12"/>
  <c r="H4374" i="12"/>
  <c r="F4374" i="12"/>
  <c r="J4373" i="12"/>
  <c r="I4373" i="12"/>
  <c r="H4373" i="12"/>
  <c r="F4373" i="12"/>
  <c r="J4372" i="12"/>
  <c r="I4372" i="12"/>
  <c r="H4372" i="12"/>
  <c r="F4372" i="12"/>
  <c r="J4371" i="12"/>
  <c r="I4371" i="12"/>
  <c r="H4371" i="12"/>
  <c r="F4371" i="12"/>
  <c r="J4370" i="12"/>
  <c r="I4370" i="12"/>
  <c r="H4370" i="12"/>
  <c r="F4370" i="12"/>
  <c r="J4369" i="12"/>
  <c r="I4369" i="12"/>
  <c r="H4369" i="12"/>
  <c r="F4369" i="12"/>
  <c r="J4368" i="12"/>
  <c r="I4368" i="12"/>
  <c r="H4368" i="12"/>
  <c r="F4368" i="12"/>
  <c r="J4367" i="12"/>
  <c r="I4367" i="12"/>
  <c r="H4367" i="12"/>
  <c r="F4367" i="12"/>
  <c r="J4366" i="12"/>
  <c r="I4366" i="12"/>
  <c r="H4366" i="12"/>
  <c r="F4366" i="12"/>
  <c r="J4365" i="12"/>
  <c r="I4365" i="12"/>
  <c r="H4365" i="12"/>
  <c r="F4365" i="12"/>
  <c r="J4364" i="12"/>
  <c r="I4364" i="12"/>
  <c r="H4364" i="12"/>
  <c r="F4364" i="12"/>
  <c r="J4363" i="12"/>
  <c r="I4363" i="12"/>
  <c r="H4363" i="12"/>
  <c r="F4363" i="12"/>
  <c r="J4362" i="12"/>
  <c r="I4362" i="12"/>
  <c r="H4362" i="12"/>
  <c r="F4362" i="12"/>
  <c r="J4361" i="12"/>
  <c r="I4361" i="12"/>
  <c r="H4361" i="12"/>
  <c r="F4361" i="12"/>
  <c r="J4360" i="12"/>
  <c r="I4360" i="12"/>
  <c r="H4360" i="12"/>
  <c r="F4360" i="12"/>
  <c r="J4359" i="12"/>
  <c r="I4359" i="12"/>
  <c r="H4359" i="12"/>
  <c r="F4359" i="12"/>
  <c r="J4358" i="12"/>
  <c r="I4358" i="12"/>
  <c r="H4358" i="12"/>
  <c r="F4358" i="12"/>
  <c r="J4357" i="12"/>
  <c r="I4357" i="12"/>
  <c r="H4357" i="12"/>
  <c r="F4357" i="12"/>
  <c r="J4356" i="12"/>
  <c r="I4356" i="12"/>
  <c r="H4356" i="12"/>
  <c r="F4356" i="12"/>
  <c r="J4355" i="12"/>
  <c r="I4355" i="12"/>
  <c r="H4355" i="12"/>
  <c r="F4355" i="12"/>
  <c r="J4354" i="12"/>
  <c r="I4354" i="12"/>
  <c r="H4354" i="12"/>
  <c r="F4354" i="12"/>
  <c r="J4353" i="12"/>
  <c r="I4353" i="12"/>
  <c r="H4353" i="12"/>
  <c r="F4353" i="12"/>
  <c r="J4352" i="12"/>
  <c r="I4352" i="12"/>
  <c r="H4352" i="12"/>
  <c r="F4352" i="12"/>
  <c r="J4351" i="12"/>
  <c r="I4351" i="12"/>
  <c r="H4351" i="12"/>
  <c r="F4351" i="12"/>
  <c r="J4350" i="12"/>
  <c r="I4350" i="12"/>
  <c r="H4350" i="12"/>
  <c r="F4350" i="12"/>
  <c r="J4349" i="12"/>
  <c r="I4349" i="12"/>
  <c r="H4349" i="12"/>
  <c r="F4349" i="12"/>
  <c r="J4348" i="12"/>
  <c r="I4348" i="12"/>
  <c r="H4348" i="12"/>
  <c r="F4348" i="12"/>
  <c r="J4347" i="12"/>
  <c r="I4347" i="12"/>
  <c r="H4347" i="12"/>
  <c r="F4347" i="12"/>
  <c r="J4346" i="12"/>
  <c r="I4346" i="12"/>
  <c r="H4346" i="12"/>
  <c r="F4346" i="12"/>
  <c r="J4345" i="12"/>
  <c r="I4345" i="12"/>
  <c r="H4345" i="12"/>
  <c r="F4345" i="12"/>
  <c r="J4344" i="12"/>
  <c r="I4344" i="12"/>
  <c r="H4344" i="12"/>
  <c r="F4344" i="12"/>
  <c r="J4343" i="12"/>
  <c r="I4343" i="12"/>
  <c r="H4343" i="12"/>
  <c r="F4343" i="12"/>
  <c r="J4342" i="12"/>
  <c r="I4342" i="12"/>
  <c r="H4342" i="12"/>
  <c r="F4342" i="12"/>
  <c r="J4341" i="12"/>
  <c r="I4341" i="12"/>
  <c r="H4341" i="12"/>
  <c r="F4341" i="12"/>
  <c r="J4340" i="12"/>
  <c r="I4340" i="12"/>
  <c r="H4340" i="12"/>
  <c r="F4340" i="12"/>
  <c r="J4339" i="12"/>
  <c r="I4339" i="12"/>
  <c r="H4339" i="12"/>
  <c r="F4339" i="12"/>
  <c r="J4338" i="12"/>
  <c r="I4338" i="12"/>
  <c r="H4338" i="12"/>
  <c r="F4338" i="12"/>
  <c r="J4337" i="12"/>
  <c r="I4337" i="12"/>
  <c r="H4337" i="12"/>
  <c r="F4337" i="12"/>
  <c r="J4336" i="12"/>
  <c r="I4336" i="12"/>
  <c r="H4336" i="12"/>
  <c r="F4336" i="12"/>
  <c r="J4335" i="12"/>
  <c r="I4335" i="12"/>
  <c r="H4335" i="12"/>
  <c r="F4335" i="12"/>
  <c r="J4334" i="12"/>
  <c r="I4334" i="12"/>
  <c r="H4334" i="12"/>
  <c r="F4334" i="12"/>
  <c r="J4333" i="12"/>
  <c r="I4333" i="12"/>
  <c r="H4333" i="12"/>
  <c r="F4333" i="12"/>
  <c r="J4332" i="12"/>
  <c r="I4332" i="12"/>
  <c r="H4332" i="12"/>
  <c r="F4332" i="12"/>
  <c r="J4331" i="12"/>
  <c r="I4331" i="12"/>
  <c r="H4331" i="12"/>
  <c r="F4331" i="12"/>
  <c r="J4330" i="12"/>
  <c r="I4330" i="12"/>
  <c r="H4330" i="12"/>
  <c r="F4330" i="12"/>
  <c r="J4329" i="12"/>
  <c r="I4329" i="12"/>
  <c r="H4329" i="12"/>
  <c r="F4329" i="12"/>
  <c r="J4328" i="12"/>
  <c r="I4328" i="12"/>
  <c r="H4328" i="12"/>
  <c r="F4328" i="12"/>
  <c r="J4327" i="12"/>
  <c r="I4327" i="12"/>
  <c r="H4327" i="12"/>
  <c r="F4327" i="12"/>
  <c r="J4326" i="12"/>
  <c r="I4326" i="12"/>
  <c r="H4326" i="12"/>
  <c r="F4326" i="12"/>
  <c r="J4325" i="12"/>
  <c r="I4325" i="12"/>
  <c r="H4325" i="12"/>
  <c r="F4325" i="12"/>
  <c r="J4324" i="12"/>
  <c r="I4324" i="12"/>
  <c r="H4324" i="12"/>
  <c r="F4324" i="12"/>
  <c r="J4323" i="12"/>
  <c r="I4323" i="12"/>
  <c r="H4323" i="12"/>
  <c r="F4323" i="12"/>
  <c r="J4322" i="12"/>
  <c r="I4322" i="12"/>
  <c r="H4322" i="12"/>
  <c r="F4322" i="12"/>
  <c r="J4321" i="12"/>
  <c r="I4321" i="12"/>
  <c r="H4321" i="12"/>
  <c r="F4321" i="12"/>
  <c r="J4320" i="12"/>
  <c r="I4320" i="12"/>
  <c r="H4320" i="12"/>
  <c r="F4320" i="12"/>
  <c r="J4319" i="12"/>
  <c r="I4319" i="12"/>
  <c r="H4319" i="12"/>
  <c r="F4319" i="12"/>
  <c r="J4318" i="12"/>
  <c r="I4318" i="12"/>
  <c r="H4318" i="12"/>
  <c r="F4318" i="12"/>
  <c r="J4317" i="12"/>
  <c r="I4317" i="12"/>
  <c r="H4317" i="12"/>
  <c r="F4317" i="12"/>
  <c r="J4316" i="12"/>
  <c r="I4316" i="12"/>
  <c r="H4316" i="12"/>
  <c r="F4316" i="12"/>
  <c r="J4315" i="12"/>
  <c r="I4315" i="12"/>
  <c r="H4315" i="12"/>
  <c r="F4315" i="12"/>
  <c r="J4314" i="12"/>
  <c r="I4314" i="12"/>
  <c r="H4314" i="12"/>
  <c r="F4314" i="12"/>
  <c r="J4313" i="12"/>
  <c r="I4313" i="12"/>
  <c r="H4313" i="12"/>
  <c r="F4313" i="12"/>
  <c r="J4312" i="12"/>
  <c r="I4312" i="12"/>
  <c r="H4312" i="12"/>
  <c r="F4312" i="12"/>
  <c r="J4311" i="12"/>
  <c r="I4311" i="12"/>
  <c r="H4311" i="12"/>
  <c r="F4311" i="12"/>
  <c r="J4310" i="12"/>
  <c r="I4310" i="12"/>
  <c r="H4310" i="12"/>
  <c r="F4310" i="12"/>
  <c r="J4309" i="12"/>
  <c r="I4309" i="12"/>
  <c r="H4309" i="12"/>
  <c r="F4309" i="12"/>
  <c r="J4308" i="12"/>
  <c r="I4308" i="12"/>
  <c r="H4308" i="12"/>
  <c r="F4308" i="12"/>
  <c r="J4307" i="12"/>
  <c r="I4307" i="12"/>
  <c r="H4307" i="12"/>
  <c r="F4307" i="12"/>
  <c r="J4306" i="12"/>
  <c r="I4306" i="12"/>
  <c r="H4306" i="12"/>
  <c r="F4306" i="12"/>
  <c r="J4305" i="12"/>
  <c r="I4305" i="12"/>
  <c r="H4305" i="12"/>
  <c r="F4305" i="12"/>
  <c r="J4304" i="12"/>
  <c r="I4304" i="12"/>
  <c r="H4304" i="12"/>
  <c r="F4304" i="12"/>
  <c r="J4303" i="12"/>
  <c r="I4303" i="12"/>
  <c r="H4303" i="12"/>
  <c r="F4303" i="12"/>
  <c r="J4302" i="12"/>
  <c r="I4302" i="12"/>
  <c r="H4302" i="12"/>
  <c r="F4302" i="12"/>
  <c r="J4301" i="12"/>
  <c r="I4301" i="12"/>
  <c r="H4301" i="12"/>
  <c r="F4301" i="12"/>
  <c r="J4300" i="12"/>
  <c r="I4300" i="12"/>
  <c r="H4300" i="12"/>
  <c r="F4300" i="12"/>
  <c r="J4299" i="12"/>
  <c r="I4299" i="12"/>
  <c r="H4299" i="12"/>
  <c r="F4299" i="12"/>
  <c r="J4298" i="12"/>
  <c r="I4298" i="12"/>
  <c r="H4298" i="12"/>
  <c r="F4298" i="12"/>
  <c r="J4297" i="12"/>
  <c r="I4297" i="12"/>
  <c r="H4297" i="12"/>
  <c r="F4297" i="12"/>
  <c r="J4296" i="12"/>
  <c r="I4296" i="12"/>
  <c r="H4296" i="12"/>
  <c r="F4296" i="12"/>
  <c r="J4295" i="12"/>
  <c r="I4295" i="12"/>
  <c r="H4295" i="12"/>
  <c r="F4295" i="12"/>
  <c r="J4294" i="12"/>
  <c r="I4294" i="12"/>
  <c r="H4294" i="12"/>
  <c r="F4294" i="12"/>
  <c r="J4293" i="12"/>
  <c r="I4293" i="12"/>
  <c r="H4293" i="12"/>
  <c r="F4293" i="12"/>
  <c r="J4292" i="12"/>
  <c r="I4292" i="12"/>
  <c r="H4292" i="12"/>
  <c r="F4292" i="12"/>
  <c r="J4291" i="12"/>
  <c r="I4291" i="12"/>
  <c r="H4291" i="12"/>
  <c r="F4291" i="12"/>
  <c r="J4290" i="12"/>
  <c r="I4290" i="12"/>
  <c r="H4290" i="12"/>
  <c r="F4290" i="12"/>
  <c r="J4289" i="12"/>
  <c r="I4289" i="12"/>
  <c r="H4289" i="12"/>
  <c r="F4289" i="12"/>
  <c r="J4288" i="12"/>
  <c r="I4288" i="12"/>
  <c r="H4288" i="12"/>
  <c r="F4288" i="12"/>
  <c r="J4287" i="12"/>
  <c r="I4287" i="12"/>
  <c r="H4287" i="12"/>
  <c r="F4287" i="12"/>
  <c r="J4286" i="12"/>
  <c r="I4286" i="12"/>
  <c r="H4286" i="12"/>
  <c r="F4286" i="12"/>
  <c r="J4285" i="12"/>
  <c r="I4285" i="12"/>
  <c r="H4285" i="12"/>
  <c r="F4285" i="12"/>
  <c r="J4284" i="12"/>
  <c r="I4284" i="12"/>
  <c r="H4284" i="12"/>
  <c r="F4284" i="12"/>
  <c r="J4283" i="12"/>
  <c r="I4283" i="12"/>
  <c r="H4283" i="12"/>
  <c r="F4283" i="12"/>
  <c r="J4282" i="12"/>
  <c r="I4282" i="12"/>
  <c r="H4282" i="12"/>
  <c r="F4282" i="12"/>
  <c r="J4281" i="12"/>
  <c r="I4281" i="12"/>
  <c r="H4281" i="12"/>
  <c r="F4281" i="12"/>
  <c r="J4280" i="12"/>
  <c r="I4280" i="12"/>
  <c r="H4280" i="12"/>
  <c r="F4280" i="12"/>
  <c r="J4279" i="12"/>
  <c r="I4279" i="12"/>
  <c r="H4279" i="12"/>
  <c r="F4279" i="12"/>
  <c r="J4278" i="12"/>
  <c r="I4278" i="12"/>
  <c r="H4278" i="12"/>
  <c r="F4278" i="12"/>
  <c r="J4277" i="12"/>
  <c r="I4277" i="12"/>
  <c r="H4277" i="12"/>
  <c r="F4277" i="12"/>
  <c r="J4276" i="12"/>
  <c r="I4276" i="12"/>
  <c r="H4276" i="12"/>
  <c r="F4276" i="12"/>
  <c r="J4275" i="12"/>
  <c r="I4275" i="12"/>
  <c r="H4275" i="12"/>
  <c r="F4275" i="12"/>
  <c r="J4274" i="12"/>
  <c r="I4274" i="12"/>
  <c r="H4274" i="12"/>
  <c r="F4274" i="12"/>
  <c r="J4273" i="12"/>
  <c r="I4273" i="12"/>
  <c r="H4273" i="12"/>
  <c r="F4273" i="12"/>
  <c r="J4272" i="12"/>
  <c r="I4272" i="12"/>
  <c r="H4272" i="12"/>
  <c r="F4272" i="12"/>
  <c r="J4271" i="12"/>
  <c r="I4271" i="12"/>
  <c r="H4271" i="12"/>
  <c r="F4271" i="12"/>
  <c r="J4270" i="12"/>
  <c r="I4270" i="12"/>
  <c r="H4270" i="12"/>
  <c r="F4270" i="12"/>
  <c r="J4269" i="12"/>
  <c r="I4269" i="12"/>
  <c r="H4269" i="12"/>
  <c r="F4269" i="12"/>
  <c r="J4268" i="12"/>
  <c r="I4268" i="12"/>
  <c r="H4268" i="12"/>
  <c r="F4268" i="12"/>
  <c r="J4267" i="12"/>
  <c r="I4267" i="12"/>
  <c r="H4267" i="12"/>
  <c r="F4267" i="12"/>
  <c r="J4266" i="12"/>
  <c r="I4266" i="12"/>
  <c r="H4266" i="12"/>
  <c r="F4266" i="12"/>
  <c r="J4265" i="12"/>
  <c r="I4265" i="12"/>
  <c r="H4265" i="12"/>
  <c r="F4265" i="12"/>
  <c r="J4264" i="12"/>
  <c r="I4264" i="12"/>
  <c r="H4264" i="12"/>
  <c r="F4264" i="12"/>
  <c r="J4263" i="12"/>
  <c r="I4263" i="12"/>
  <c r="H4263" i="12"/>
  <c r="F4263" i="12"/>
  <c r="J4262" i="12"/>
  <c r="I4262" i="12"/>
  <c r="H4262" i="12"/>
  <c r="F4262" i="12"/>
  <c r="J4261" i="12"/>
  <c r="I4261" i="12"/>
  <c r="H4261" i="12"/>
  <c r="F4261" i="12"/>
  <c r="J4260" i="12"/>
  <c r="I4260" i="12"/>
  <c r="H4260" i="12"/>
  <c r="F4260" i="12"/>
  <c r="J4259" i="12"/>
  <c r="I4259" i="12"/>
  <c r="H4259" i="12"/>
  <c r="F4259" i="12"/>
  <c r="J4258" i="12"/>
  <c r="I4258" i="12"/>
  <c r="H4258" i="12"/>
  <c r="F4258" i="12"/>
  <c r="J4257" i="12"/>
  <c r="I4257" i="12"/>
  <c r="H4257" i="12"/>
  <c r="F4257" i="12"/>
  <c r="J4256" i="12"/>
  <c r="I4256" i="12"/>
  <c r="H4256" i="12"/>
  <c r="F4256" i="12"/>
  <c r="J4255" i="12"/>
  <c r="I4255" i="12"/>
  <c r="H4255" i="12"/>
  <c r="F4255" i="12"/>
  <c r="J4254" i="12"/>
  <c r="I4254" i="12"/>
  <c r="H4254" i="12"/>
  <c r="F4254" i="12"/>
  <c r="J4253" i="12"/>
  <c r="I4253" i="12"/>
  <c r="H4253" i="12"/>
  <c r="F4253" i="12"/>
  <c r="J4252" i="12"/>
  <c r="I4252" i="12"/>
  <c r="H4252" i="12"/>
  <c r="F4252" i="12"/>
  <c r="J4251" i="12"/>
  <c r="I4251" i="12"/>
  <c r="H4251" i="12"/>
  <c r="F4251" i="12"/>
  <c r="J4250" i="12"/>
  <c r="I4250" i="12"/>
  <c r="H4250" i="12"/>
  <c r="F4250" i="12"/>
  <c r="J4249" i="12"/>
  <c r="I4249" i="12"/>
  <c r="H4249" i="12"/>
  <c r="F4249" i="12"/>
  <c r="J4248" i="12"/>
  <c r="I4248" i="12"/>
  <c r="H4248" i="12"/>
  <c r="F4248" i="12"/>
  <c r="J4247" i="12"/>
  <c r="I4247" i="12"/>
  <c r="H4247" i="12"/>
  <c r="F4247" i="12"/>
  <c r="J4246" i="12"/>
  <c r="I4246" i="12"/>
  <c r="H4246" i="12"/>
  <c r="F4246" i="12"/>
  <c r="J4245" i="12"/>
  <c r="I4245" i="12"/>
  <c r="H4245" i="12"/>
  <c r="F4245" i="12"/>
  <c r="J4244" i="12"/>
  <c r="I4244" i="12"/>
  <c r="H4244" i="12"/>
  <c r="F4244" i="12"/>
  <c r="J4243" i="12"/>
  <c r="I4243" i="12"/>
  <c r="H4243" i="12"/>
  <c r="F4243" i="12"/>
  <c r="J4242" i="12"/>
  <c r="I4242" i="12"/>
  <c r="H4242" i="12"/>
  <c r="F4242" i="12"/>
  <c r="J4241" i="12"/>
  <c r="I4241" i="12"/>
  <c r="H4241" i="12"/>
  <c r="F4241" i="12"/>
  <c r="J4240" i="12"/>
  <c r="I4240" i="12"/>
  <c r="H4240" i="12"/>
  <c r="F4240" i="12"/>
  <c r="J4239" i="12"/>
  <c r="I4239" i="12"/>
  <c r="H4239" i="12"/>
  <c r="F4239" i="12"/>
  <c r="J4238" i="12"/>
  <c r="I4238" i="12"/>
  <c r="H4238" i="12"/>
  <c r="F4238" i="12"/>
  <c r="J4237" i="12"/>
  <c r="I4237" i="12"/>
  <c r="H4237" i="12"/>
  <c r="F4237" i="12"/>
  <c r="J4236" i="12"/>
  <c r="I4236" i="12"/>
  <c r="H4236" i="12"/>
  <c r="F4236" i="12"/>
  <c r="J4235" i="12"/>
  <c r="I4235" i="12"/>
  <c r="H4235" i="12"/>
  <c r="F4235" i="12"/>
  <c r="J4234" i="12"/>
  <c r="I4234" i="12"/>
  <c r="H4234" i="12"/>
  <c r="F4234" i="12"/>
  <c r="J4233" i="12"/>
  <c r="I4233" i="12"/>
  <c r="H4233" i="12"/>
  <c r="F4233" i="12"/>
  <c r="J4232" i="12"/>
  <c r="I4232" i="12"/>
  <c r="H4232" i="12"/>
  <c r="F4232" i="12"/>
  <c r="J4231" i="12"/>
  <c r="I4231" i="12"/>
  <c r="H4231" i="12"/>
  <c r="F4231" i="12"/>
  <c r="J4230" i="12"/>
  <c r="I4230" i="12"/>
  <c r="H4230" i="12"/>
  <c r="F4230" i="12"/>
  <c r="J4229" i="12"/>
  <c r="I4229" i="12"/>
  <c r="H4229" i="12"/>
  <c r="F4229" i="12"/>
  <c r="J4228" i="12"/>
  <c r="I4228" i="12"/>
  <c r="H4228" i="12"/>
  <c r="F4228" i="12"/>
  <c r="J4227" i="12"/>
  <c r="I4227" i="12"/>
  <c r="H4227" i="12"/>
  <c r="F4227" i="12"/>
  <c r="J4226" i="12"/>
  <c r="I4226" i="12"/>
  <c r="H4226" i="12"/>
  <c r="F4226" i="12"/>
  <c r="J4225" i="12"/>
  <c r="I4225" i="12"/>
  <c r="H4225" i="12"/>
  <c r="F4225" i="12"/>
  <c r="J4224" i="12"/>
  <c r="I4224" i="12"/>
  <c r="H4224" i="12"/>
  <c r="F4224" i="12"/>
  <c r="J4223" i="12"/>
  <c r="I4223" i="12"/>
  <c r="H4223" i="12"/>
  <c r="F4223" i="12"/>
  <c r="J4222" i="12"/>
  <c r="I4222" i="12"/>
  <c r="H4222" i="12"/>
  <c r="F4222" i="12"/>
  <c r="J4221" i="12"/>
  <c r="I4221" i="12"/>
  <c r="H4221" i="12"/>
  <c r="F4221" i="12"/>
  <c r="J4220" i="12"/>
  <c r="I4220" i="12"/>
  <c r="H4220" i="12"/>
  <c r="F4220" i="12"/>
  <c r="J4219" i="12"/>
  <c r="I4219" i="12"/>
  <c r="H4219" i="12"/>
  <c r="F4219" i="12"/>
  <c r="J4218" i="12"/>
  <c r="I4218" i="12"/>
  <c r="H4218" i="12"/>
  <c r="F4218" i="12"/>
  <c r="J4217" i="12"/>
  <c r="I4217" i="12"/>
  <c r="H4217" i="12"/>
  <c r="F4217" i="12"/>
  <c r="J4216" i="12"/>
  <c r="I4216" i="12"/>
  <c r="H4216" i="12"/>
  <c r="F4216" i="12"/>
  <c r="J4215" i="12"/>
  <c r="I4215" i="12"/>
  <c r="H4215" i="12"/>
  <c r="F4215" i="12"/>
  <c r="J4214" i="12"/>
  <c r="I4214" i="12"/>
  <c r="H4214" i="12"/>
  <c r="F4214" i="12"/>
  <c r="J4213" i="12"/>
  <c r="I4213" i="12"/>
  <c r="H4213" i="12"/>
  <c r="F4213" i="12"/>
  <c r="J4212" i="12"/>
  <c r="I4212" i="12"/>
  <c r="H4212" i="12"/>
  <c r="F4212" i="12"/>
  <c r="J4211" i="12"/>
  <c r="I4211" i="12"/>
  <c r="H4211" i="12"/>
  <c r="F4211" i="12"/>
  <c r="J4210" i="12"/>
  <c r="I4210" i="12"/>
  <c r="H4210" i="12"/>
  <c r="F4210" i="12"/>
  <c r="J4209" i="12"/>
  <c r="I4209" i="12"/>
  <c r="H4209" i="12"/>
  <c r="F4209" i="12"/>
  <c r="J4208" i="12"/>
  <c r="I4208" i="12"/>
  <c r="H4208" i="12"/>
  <c r="F4208" i="12"/>
  <c r="J4207" i="12"/>
  <c r="I4207" i="12"/>
  <c r="H4207" i="12"/>
  <c r="F4207" i="12"/>
  <c r="J4206" i="12"/>
  <c r="I4206" i="12"/>
  <c r="H4206" i="12"/>
  <c r="F4206" i="12"/>
  <c r="J4205" i="12"/>
  <c r="I4205" i="12"/>
  <c r="H4205" i="12"/>
  <c r="F4205" i="12"/>
  <c r="J4204" i="12"/>
  <c r="I4204" i="12"/>
  <c r="H4204" i="12"/>
  <c r="F4204" i="12"/>
  <c r="J4203" i="12"/>
  <c r="I4203" i="12"/>
  <c r="H4203" i="12"/>
  <c r="F4203" i="12"/>
  <c r="J4202" i="12"/>
  <c r="I4202" i="12"/>
  <c r="H4202" i="12"/>
  <c r="F4202" i="12"/>
  <c r="J4201" i="12"/>
  <c r="I4201" i="12"/>
  <c r="H4201" i="12"/>
  <c r="F4201" i="12"/>
  <c r="J4200" i="12"/>
  <c r="I4200" i="12"/>
  <c r="H4200" i="12"/>
  <c r="F4200" i="12"/>
  <c r="J4199" i="12"/>
  <c r="I4199" i="12"/>
  <c r="H4199" i="12"/>
  <c r="F4199" i="12"/>
  <c r="J4198" i="12"/>
  <c r="I4198" i="12"/>
  <c r="H4198" i="12"/>
  <c r="F4198" i="12"/>
  <c r="J4197" i="12"/>
  <c r="I4197" i="12"/>
  <c r="H4197" i="12"/>
  <c r="F4197" i="12"/>
  <c r="J4196" i="12"/>
  <c r="I4196" i="12"/>
  <c r="H4196" i="12"/>
  <c r="F4196" i="12"/>
  <c r="J4195" i="12"/>
  <c r="I4195" i="12"/>
  <c r="H4195" i="12"/>
  <c r="F4195" i="12"/>
  <c r="J4194" i="12"/>
  <c r="I4194" i="12"/>
  <c r="H4194" i="12"/>
  <c r="F4194" i="12"/>
  <c r="J4193" i="12"/>
  <c r="I4193" i="12"/>
  <c r="H4193" i="12"/>
  <c r="F4193" i="12"/>
  <c r="J4192" i="12"/>
  <c r="I4192" i="12"/>
  <c r="H4192" i="12"/>
  <c r="F4192" i="12"/>
  <c r="J4191" i="12"/>
  <c r="I4191" i="12"/>
  <c r="H4191" i="12"/>
  <c r="F4191" i="12"/>
  <c r="J4190" i="12"/>
  <c r="I4190" i="12"/>
  <c r="H4190" i="12"/>
  <c r="F4190" i="12"/>
  <c r="J4189" i="12"/>
  <c r="I4189" i="12"/>
  <c r="H4189" i="12"/>
  <c r="F4189" i="12"/>
  <c r="J4188" i="12"/>
  <c r="I4188" i="12"/>
  <c r="H4188" i="12"/>
  <c r="F4188" i="12"/>
  <c r="J4187" i="12"/>
  <c r="I4187" i="12"/>
  <c r="H4187" i="12"/>
  <c r="F4187" i="12"/>
  <c r="J4186" i="12"/>
  <c r="I4186" i="12"/>
  <c r="H4186" i="12"/>
  <c r="F4186" i="12"/>
  <c r="J4185" i="12"/>
  <c r="I4185" i="12"/>
  <c r="H4185" i="12"/>
  <c r="F4185" i="12"/>
  <c r="J4184" i="12"/>
  <c r="I4184" i="12"/>
  <c r="H4184" i="12"/>
  <c r="F4184" i="12"/>
  <c r="J4183" i="12"/>
  <c r="I4183" i="12"/>
  <c r="H4183" i="12"/>
  <c r="F4183" i="12"/>
  <c r="J4182" i="12"/>
  <c r="I4182" i="12"/>
  <c r="H4182" i="12"/>
  <c r="F4182" i="12"/>
  <c r="J4181" i="12"/>
  <c r="I4181" i="12"/>
  <c r="H4181" i="12"/>
  <c r="F4181" i="12"/>
  <c r="J4180" i="12"/>
  <c r="I4180" i="12"/>
  <c r="H4180" i="12"/>
  <c r="F4180" i="12"/>
  <c r="J4179" i="12"/>
  <c r="I4179" i="12"/>
  <c r="H4179" i="12"/>
  <c r="F4179" i="12"/>
  <c r="J4178" i="12"/>
  <c r="I4178" i="12"/>
  <c r="H4178" i="12"/>
  <c r="F4178" i="12"/>
  <c r="J4177" i="12"/>
  <c r="I4177" i="12"/>
  <c r="H4177" i="12"/>
  <c r="F4177" i="12"/>
  <c r="J4176" i="12"/>
  <c r="I4176" i="12"/>
  <c r="H4176" i="12"/>
  <c r="F4176" i="12"/>
  <c r="J4175" i="12"/>
  <c r="I4175" i="12"/>
  <c r="H4175" i="12"/>
  <c r="F4175" i="12"/>
  <c r="J4174" i="12"/>
  <c r="I4174" i="12"/>
  <c r="H4174" i="12"/>
  <c r="F4174" i="12"/>
  <c r="J4173" i="12"/>
  <c r="I4173" i="12"/>
  <c r="H4173" i="12"/>
  <c r="F4173" i="12"/>
  <c r="J4172" i="12"/>
  <c r="I4172" i="12"/>
  <c r="H4172" i="12"/>
  <c r="F4172" i="12"/>
  <c r="J4171" i="12"/>
  <c r="I4171" i="12"/>
  <c r="H4171" i="12"/>
  <c r="F4171" i="12"/>
  <c r="J4170" i="12"/>
  <c r="I4170" i="12"/>
  <c r="H4170" i="12"/>
  <c r="F4170" i="12"/>
  <c r="J4169" i="12"/>
  <c r="I4169" i="12"/>
  <c r="H4169" i="12"/>
  <c r="F4169" i="12"/>
  <c r="J4168" i="12"/>
  <c r="I4168" i="12"/>
  <c r="H4168" i="12"/>
  <c r="F4168" i="12"/>
  <c r="J4167" i="12"/>
  <c r="I4167" i="12"/>
  <c r="H4167" i="12"/>
  <c r="F4167" i="12"/>
  <c r="J4166" i="12"/>
  <c r="I4166" i="12"/>
  <c r="H4166" i="12"/>
  <c r="F4166" i="12"/>
  <c r="J4165" i="12"/>
  <c r="I4165" i="12"/>
  <c r="H4165" i="12"/>
  <c r="F4165" i="12"/>
  <c r="J4164" i="12"/>
  <c r="I4164" i="12"/>
  <c r="H4164" i="12"/>
  <c r="F4164" i="12"/>
  <c r="J4163" i="12"/>
  <c r="I4163" i="12"/>
  <c r="H4163" i="12"/>
  <c r="F4163" i="12"/>
  <c r="J4162" i="12"/>
  <c r="I4162" i="12"/>
  <c r="H4162" i="12"/>
  <c r="F4162" i="12"/>
  <c r="J4161" i="12"/>
  <c r="I4161" i="12"/>
  <c r="H4161" i="12"/>
  <c r="F4161" i="12"/>
  <c r="J4160" i="12"/>
  <c r="I4160" i="12"/>
  <c r="H4160" i="12"/>
  <c r="F4160" i="12"/>
  <c r="J4159" i="12"/>
  <c r="I4159" i="12"/>
  <c r="H4159" i="12"/>
  <c r="F4159" i="12"/>
  <c r="J4158" i="12"/>
  <c r="I4158" i="12"/>
  <c r="H4158" i="12"/>
  <c r="F4158" i="12"/>
  <c r="J4157" i="12"/>
  <c r="I4157" i="12"/>
  <c r="H4157" i="12"/>
  <c r="F4157" i="12"/>
  <c r="J4156" i="12"/>
  <c r="I4156" i="12"/>
  <c r="H4156" i="12"/>
  <c r="F4156" i="12"/>
  <c r="J4155" i="12"/>
  <c r="I4155" i="12"/>
  <c r="H4155" i="12"/>
  <c r="F4155" i="12"/>
  <c r="J4154" i="12"/>
  <c r="I4154" i="12"/>
  <c r="H4154" i="12"/>
  <c r="F4154" i="12"/>
  <c r="J4153" i="12"/>
  <c r="I4153" i="12"/>
  <c r="H4153" i="12"/>
  <c r="F4153" i="12"/>
  <c r="J4152" i="12"/>
  <c r="I4152" i="12"/>
  <c r="H4152" i="12"/>
  <c r="F4152" i="12"/>
  <c r="J4151" i="12"/>
  <c r="I4151" i="12"/>
  <c r="H4151" i="12"/>
  <c r="F4151" i="12"/>
  <c r="J4150" i="12"/>
  <c r="I4150" i="12"/>
  <c r="H4150" i="12"/>
  <c r="F4150" i="12"/>
  <c r="J4149" i="12"/>
  <c r="I4149" i="12"/>
  <c r="H4149" i="12"/>
  <c r="F4149" i="12"/>
  <c r="J4148" i="12"/>
  <c r="I4148" i="12"/>
  <c r="H4148" i="12"/>
  <c r="F4148" i="12"/>
  <c r="J4147" i="12"/>
  <c r="I4147" i="12"/>
  <c r="H4147" i="12"/>
  <c r="F4147" i="12"/>
  <c r="J4146" i="12"/>
  <c r="I4146" i="12"/>
  <c r="H4146" i="12"/>
  <c r="F4146" i="12"/>
  <c r="J4145" i="12"/>
  <c r="I4145" i="12"/>
  <c r="H4145" i="12"/>
  <c r="F4145" i="12"/>
  <c r="J4144" i="12"/>
  <c r="I4144" i="12"/>
  <c r="H4144" i="12"/>
  <c r="F4144" i="12"/>
  <c r="J4143" i="12"/>
  <c r="I4143" i="12"/>
  <c r="H4143" i="12"/>
  <c r="F4143" i="12"/>
  <c r="J4142" i="12"/>
  <c r="I4142" i="12"/>
  <c r="H4142" i="12"/>
  <c r="F4142" i="12"/>
  <c r="J4141" i="12"/>
  <c r="I4141" i="12"/>
  <c r="H4141" i="12"/>
  <c r="F4141" i="12"/>
  <c r="J4140" i="12"/>
  <c r="I4140" i="12"/>
  <c r="H4140" i="12"/>
  <c r="F4140" i="12"/>
  <c r="J4139" i="12"/>
  <c r="I4139" i="12"/>
  <c r="H4139" i="12"/>
  <c r="F4139" i="12"/>
  <c r="J4138" i="12"/>
  <c r="I4138" i="12"/>
  <c r="H4138" i="12"/>
  <c r="F4138" i="12"/>
  <c r="J4137" i="12"/>
  <c r="I4137" i="12"/>
  <c r="H4137" i="12"/>
  <c r="F4137" i="12"/>
  <c r="J4136" i="12"/>
  <c r="I4136" i="12"/>
  <c r="H4136" i="12"/>
  <c r="F4136" i="12"/>
  <c r="J4135" i="12"/>
  <c r="I4135" i="12"/>
  <c r="H4135" i="12"/>
  <c r="F4135" i="12"/>
  <c r="J4134" i="12"/>
  <c r="I4134" i="12"/>
  <c r="H4134" i="12"/>
  <c r="F4134" i="12"/>
  <c r="J4133" i="12"/>
  <c r="I4133" i="12"/>
  <c r="H4133" i="12"/>
  <c r="F4133" i="12"/>
  <c r="J4132" i="12"/>
  <c r="I4132" i="12"/>
  <c r="H4132" i="12"/>
  <c r="F4132" i="12"/>
  <c r="J4131" i="12"/>
  <c r="I4131" i="12"/>
  <c r="H4131" i="12"/>
  <c r="F4131" i="12"/>
  <c r="J4130" i="12"/>
  <c r="I4130" i="12"/>
  <c r="H4130" i="12"/>
  <c r="F4130" i="12"/>
  <c r="J4129" i="12"/>
  <c r="I4129" i="12"/>
  <c r="H4129" i="12"/>
  <c r="F4129" i="12"/>
  <c r="J4128" i="12"/>
  <c r="I4128" i="12"/>
  <c r="H4128" i="12"/>
  <c r="F4128" i="12"/>
  <c r="J4127" i="12"/>
  <c r="I4127" i="12"/>
  <c r="H4127" i="12"/>
  <c r="F4127" i="12"/>
  <c r="J4126" i="12"/>
  <c r="I4126" i="12"/>
  <c r="H4126" i="12"/>
  <c r="F4126" i="12"/>
  <c r="J4125" i="12"/>
  <c r="I4125" i="12"/>
  <c r="H4125" i="12"/>
  <c r="F4125" i="12"/>
  <c r="J4124" i="12"/>
  <c r="I4124" i="12"/>
  <c r="H4124" i="12"/>
  <c r="F4124" i="12"/>
  <c r="J4123" i="12"/>
  <c r="I4123" i="12"/>
  <c r="H4123" i="12"/>
  <c r="F4123" i="12"/>
  <c r="J4122" i="12"/>
  <c r="I4122" i="12"/>
  <c r="H4122" i="12"/>
  <c r="F4122" i="12"/>
  <c r="J4121" i="12"/>
  <c r="I4121" i="12"/>
  <c r="H4121" i="12"/>
  <c r="F4121" i="12"/>
  <c r="J4120" i="12"/>
  <c r="I4120" i="12"/>
  <c r="H4120" i="12"/>
  <c r="F4120" i="12"/>
  <c r="J4119" i="12"/>
  <c r="I4119" i="12"/>
  <c r="H4119" i="12"/>
  <c r="F4119" i="12"/>
  <c r="J4118" i="12"/>
  <c r="I4118" i="12"/>
  <c r="H4118" i="12"/>
  <c r="F4118" i="12"/>
  <c r="J4117" i="12"/>
  <c r="I4117" i="12"/>
  <c r="H4117" i="12"/>
  <c r="F4117" i="12"/>
  <c r="J4116" i="12"/>
  <c r="I4116" i="12"/>
  <c r="H4116" i="12"/>
  <c r="F4116" i="12"/>
  <c r="J4115" i="12"/>
  <c r="I4115" i="12"/>
  <c r="H4115" i="12"/>
  <c r="F4115" i="12"/>
  <c r="J4114" i="12"/>
  <c r="I4114" i="12"/>
  <c r="H4114" i="12"/>
  <c r="F4114" i="12"/>
  <c r="J4113" i="12"/>
  <c r="I4113" i="12"/>
  <c r="H4113" i="12"/>
  <c r="F4113" i="12"/>
  <c r="J4112" i="12"/>
  <c r="I4112" i="12"/>
  <c r="H4112" i="12"/>
  <c r="F4112" i="12"/>
  <c r="J4111" i="12"/>
  <c r="I4111" i="12"/>
  <c r="H4111" i="12"/>
  <c r="F4111" i="12"/>
  <c r="J4110" i="12"/>
  <c r="I4110" i="12"/>
  <c r="H4110" i="12"/>
  <c r="F4110" i="12"/>
  <c r="J4109" i="12"/>
  <c r="I4109" i="12"/>
  <c r="H4109" i="12"/>
  <c r="F4109" i="12"/>
  <c r="J4108" i="12"/>
  <c r="I4108" i="12"/>
  <c r="H4108" i="12"/>
  <c r="F4108" i="12"/>
  <c r="J4107" i="12"/>
  <c r="I4107" i="12"/>
  <c r="H4107" i="12"/>
  <c r="F4107" i="12"/>
  <c r="J4106" i="12"/>
  <c r="I4106" i="12"/>
  <c r="H4106" i="12"/>
  <c r="F4106" i="12"/>
  <c r="J4105" i="12"/>
  <c r="I4105" i="12"/>
  <c r="H4105" i="12"/>
  <c r="F4105" i="12"/>
  <c r="J4104" i="12"/>
  <c r="I4104" i="12"/>
  <c r="H4104" i="12"/>
  <c r="F4104" i="12"/>
  <c r="J4103" i="12"/>
  <c r="I4103" i="12"/>
  <c r="H4103" i="12"/>
  <c r="F4103" i="12"/>
  <c r="J4102" i="12"/>
  <c r="I4102" i="12"/>
  <c r="H4102" i="12"/>
  <c r="F4102" i="12"/>
  <c r="J4101" i="12"/>
  <c r="I4101" i="12"/>
  <c r="H4101" i="12"/>
  <c r="F4101" i="12"/>
  <c r="J4100" i="12"/>
  <c r="I4100" i="12"/>
  <c r="H4100" i="12"/>
  <c r="F4100" i="12"/>
  <c r="J4099" i="12"/>
  <c r="I4099" i="12"/>
  <c r="H4099" i="12"/>
  <c r="F4099" i="12"/>
  <c r="J4098" i="12"/>
  <c r="I4098" i="12"/>
  <c r="H4098" i="12"/>
  <c r="F4098" i="12"/>
  <c r="J4097" i="12"/>
  <c r="I4097" i="12"/>
  <c r="H4097" i="12"/>
  <c r="F4097" i="12"/>
  <c r="J4096" i="12"/>
  <c r="I4096" i="12"/>
  <c r="H4096" i="12"/>
  <c r="F4096" i="12"/>
  <c r="J4095" i="12"/>
  <c r="I4095" i="12"/>
  <c r="H4095" i="12"/>
  <c r="F4095" i="12"/>
  <c r="J4094" i="12"/>
  <c r="I4094" i="12"/>
  <c r="H4094" i="12"/>
  <c r="F4094" i="12"/>
  <c r="J4093" i="12"/>
  <c r="I4093" i="12"/>
  <c r="H4093" i="12"/>
  <c r="F4093" i="12"/>
  <c r="J4092" i="12"/>
  <c r="I4092" i="12"/>
  <c r="H4092" i="12"/>
  <c r="F4092" i="12"/>
  <c r="J4091" i="12"/>
  <c r="I4091" i="12"/>
  <c r="H4091" i="12"/>
  <c r="F4091" i="12"/>
  <c r="J4090" i="12"/>
  <c r="I4090" i="12"/>
  <c r="H4090" i="12"/>
  <c r="F4090" i="12"/>
  <c r="J4089" i="12"/>
  <c r="I4089" i="12"/>
  <c r="H4089" i="12"/>
  <c r="F4089" i="12"/>
  <c r="J4088" i="12"/>
  <c r="I4088" i="12"/>
  <c r="H4088" i="12"/>
  <c r="F4088" i="12"/>
  <c r="J4087" i="12"/>
  <c r="I4087" i="12"/>
  <c r="H4087" i="12"/>
  <c r="F4087" i="12"/>
  <c r="J4086" i="12"/>
  <c r="I4086" i="12"/>
  <c r="H4086" i="12"/>
  <c r="F4086" i="12"/>
  <c r="J4085" i="12"/>
  <c r="I4085" i="12"/>
  <c r="H4085" i="12"/>
  <c r="F4085" i="12"/>
  <c r="J4084" i="12"/>
  <c r="I4084" i="12"/>
  <c r="H4084" i="12"/>
  <c r="F4084" i="12"/>
  <c r="J4083" i="12"/>
  <c r="I4083" i="12"/>
  <c r="H4083" i="12"/>
  <c r="F4083" i="12"/>
  <c r="J4082" i="12"/>
  <c r="I4082" i="12"/>
  <c r="H4082" i="12"/>
  <c r="F4082" i="12"/>
  <c r="J4081" i="12"/>
  <c r="I4081" i="12"/>
  <c r="H4081" i="12"/>
  <c r="F4081" i="12"/>
  <c r="J4080" i="12"/>
  <c r="I4080" i="12"/>
  <c r="H4080" i="12"/>
  <c r="F4080" i="12"/>
  <c r="J4079" i="12"/>
  <c r="I4079" i="12"/>
  <c r="H4079" i="12"/>
  <c r="F4079" i="12"/>
  <c r="J4078" i="12"/>
  <c r="I4078" i="12"/>
  <c r="H4078" i="12"/>
  <c r="F4078" i="12"/>
  <c r="J4077" i="12"/>
  <c r="I4077" i="12"/>
  <c r="H4077" i="12"/>
  <c r="F4077" i="12"/>
  <c r="J4076" i="12"/>
  <c r="I4076" i="12"/>
  <c r="H4076" i="12"/>
  <c r="F4076" i="12"/>
  <c r="J4075" i="12"/>
  <c r="I4075" i="12"/>
  <c r="H4075" i="12"/>
  <c r="F4075" i="12"/>
  <c r="J4074" i="12"/>
  <c r="I4074" i="12"/>
  <c r="H4074" i="12"/>
  <c r="F4074" i="12"/>
  <c r="J4073" i="12"/>
  <c r="I4073" i="12"/>
  <c r="H4073" i="12"/>
  <c r="F4073" i="12"/>
  <c r="J4072" i="12"/>
  <c r="I4072" i="12"/>
  <c r="H4072" i="12"/>
  <c r="F4072" i="12"/>
  <c r="J4071" i="12"/>
  <c r="I4071" i="12"/>
  <c r="H4071" i="12"/>
  <c r="F4071" i="12"/>
  <c r="J4070" i="12"/>
  <c r="I4070" i="12"/>
  <c r="H4070" i="12"/>
  <c r="F4070" i="12"/>
  <c r="J4069" i="12"/>
  <c r="I4069" i="12"/>
  <c r="H4069" i="12"/>
  <c r="F4069" i="12"/>
  <c r="J4068" i="12"/>
  <c r="I4068" i="12"/>
  <c r="H4068" i="12"/>
  <c r="F4068" i="12"/>
  <c r="J4067" i="12"/>
  <c r="I4067" i="12"/>
  <c r="H4067" i="12"/>
  <c r="F4067" i="12"/>
  <c r="J4066" i="12"/>
  <c r="I4066" i="12"/>
  <c r="H4066" i="12"/>
  <c r="F4066" i="12"/>
  <c r="J4065" i="12"/>
  <c r="I4065" i="12"/>
  <c r="H4065" i="12"/>
  <c r="F4065" i="12"/>
  <c r="J4064" i="12"/>
  <c r="I4064" i="12"/>
  <c r="H4064" i="12"/>
  <c r="F4064" i="12"/>
  <c r="J4063" i="12"/>
  <c r="I4063" i="12"/>
  <c r="H4063" i="12"/>
  <c r="F4063" i="12"/>
  <c r="J4062" i="12"/>
  <c r="I4062" i="12"/>
  <c r="H4062" i="12"/>
  <c r="F4062" i="12"/>
  <c r="J4061" i="12"/>
  <c r="I4061" i="12"/>
  <c r="H4061" i="12"/>
  <c r="F4061" i="12"/>
  <c r="J4060" i="12"/>
  <c r="I4060" i="12"/>
  <c r="H4060" i="12"/>
  <c r="F4060" i="12"/>
  <c r="J4059" i="12"/>
  <c r="I4059" i="12"/>
  <c r="H4059" i="12"/>
  <c r="F4059" i="12"/>
  <c r="J4058" i="12"/>
  <c r="I4058" i="12"/>
  <c r="H4058" i="12"/>
  <c r="F4058" i="12"/>
  <c r="J4057" i="12"/>
  <c r="I4057" i="12"/>
  <c r="H4057" i="12"/>
  <c r="F4057" i="12"/>
  <c r="J4056" i="12"/>
  <c r="I4056" i="12"/>
  <c r="H4056" i="12"/>
  <c r="F4056" i="12"/>
  <c r="J4055" i="12"/>
  <c r="I4055" i="12"/>
  <c r="H4055" i="12"/>
  <c r="F4055" i="12"/>
  <c r="J4054" i="12"/>
  <c r="I4054" i="12"/>
  <c r="H4054" i="12"/>
  <c r="F4054" i="12"/>
  <c r="J4053" i="12"/>
  <c r="I4053" i="12"/>
  <c r="H4053" i="12"/>
  <c r="F4053" i="12"/>
  <c r="J4052" i="12"/>
  <c r="I4052" i="12"/>
  <c r="H4052" i="12"/>
  <c r="F4052" i="12"/>
  <c r="J4051" i="12"/>
  <c r="I4051" i="12"/>
  <c r="H4051" i="12"/>
  <c r="F4051" i="12"/>
  <c r="J4050" i="12"/>
  <c r="I4050" i="12"/>
  <c r="H4050" i="12"/>
  <c r="F4050" i="12"/>
  <c r="J4049" i="12"/>
  <c r="I4049" i="12"/>
  <c r="H4049" i="12"/>
  <c r="F4049" i="12"/>
  <c r="J4048" i="12"/>
  <c r="I4048" i="12"/>
  <c r="H4048" i="12"/>
  <c r="F4048" i="12"/>
  <c r="J4047" i="12"/>
  <c r="I4047" i="12"/>
  <c r="H4047" i="12"/>
  <c r="F4047" i="12"/>
  <c r="J4046" i="12"/>
  <c r="I4046" i="12"/>
  <c r="H4046" i="12"/>
  <c r="F4046" i="12"/>
  <c r="J4045" i="12"/>
  <c r="I4045" i="12"/>
  <c r="H4045" i="12"/>
  <c r="F4045" i="12"/>
  <c r="J4044" i="12"/>
  <c r="I4044" i="12"/>
  <c r="H4044" i="12"/>
  <c r="F4044" i="12"/>
  <c r="J4043" i="12"/>
  <c r="I4043" i="12"/>
  <c r="H4043" i="12"/>
  <c r="F4043" i="12"/>
  <c r="J4042" i="12"/>
  <c r="I4042" i="12"/>
  <c r="H4042" i="12"/>
  <c r="F4042" i="12"/>
  <c r="J4041" i="12"/>
  <c r="I4041" i="12"/>
  <c r="H4041" i="12"/>
  <c r="F4041" i="12"/>
  <c r="J4040" i="12"/>
  <c r="I4040" i="12"/>
  <c r="H4040" i="12"/>
  <c r="F4040" i="12"/>
  <c r="J4039" i="12"/>
  <c r="I4039" i="12"/>
  <c r="H4039" i="12"/>
  <c r="F4039" i="12"/>
  <c r="J4038" i="12"/>
  <c r="I4038" i="12"/>
  <c r="H4038" i="12"/>
  <c r="F4038" i="12"/>
  <c r="J4037" i="12"/>
  <c r="I4037" i="12"/>
  <c r="H4037" i="12"/>
  <c r="F4037" i="12"/>
  <c r="J4036" i="12"/>
  <c r="I4036" i="12"/>
  <c r="H4036" i="12"/>
  <c r="F4036" i="12"/>
  <c r="J4035" i="12"/>
  <c r="I4035" i="12"/>
  <c r="H4035" i="12"/>
  <c r="F4035" i="12"/>
  <c r="J4034" i="12"/>
  <c r="I4034" i="12"/>
  <c r="H4034" i="12"/>
  <c r="F4034" i="12"/>
  <c r="J4033" i="12"/>
  <c r="I4033" i="12"/>
  <c r="H4033" i="12"/>
  <c r="F4033" i="12"/>
  <c r="J4032" i="12"/>
  <c r="I4032" i="12"/>
  <c r="H4032" i="12"/>
  <c r="F4032" i="12"/>
  <c r="J4031" i="12"/>
  <c r="I4031" i="12"/>
  <c r="H4031" i="12"/>
  <c r="F4031" i="12"/>
  <c r="J4030" i="12"/>
  <c r="I4030" i="12"/>
  <c r="H4030" i="12"/>
  <c r="F4030" i="12"/>
  <c r="J4029" i="12"/>
  <c r="I4029" i="12"/>
  <c r="H4029" i="12"/>
  <c r="F4029" i="12"/>
  <c r="J4028" i="12"/>
  <c r="I4028" i="12"/>
  <c r="H4028" i="12"/>
  <c r="F4028" i="12"/>
  <c r="J4027" i="12"/>
  <c r="I4027" i="12"/>
  <c r="H4027" i="12"/>
  <c r="F4027" i="12"/>
  <c r="J4026" i="12"/>
  <c r="I4026" i="12"/>
  <c r="H4026" i="12"/>
  <c r="F4026" i="12"/>
  <c r="J4025" i="12"/>
  <c r="I4025" i="12"/>
  <c r="H4025" i="12"/>
  <c r="F4025" i="12"/>
  <c r="J4024" i="12"/>
  <c r="I4024" i="12"/>
  <c r="H4024" i="12"/>
  <c r="F4024" i="12"/>
  <c r="J4023" i="12"/>
  <c r="I4023" i="12"/>
  <c r="H4023" i="12"/>
  <c r="F4023" i="12"/>
  <c r="J4022" i="12"/>
  <c r="I4022" i="12"/>
  <c r="H4022" i="12"/>
  <c r="F4022" i="12"/>
  <c r="J4021" i="12"/>
  <c r="I4021" i="12"/>
  <c r="H4021" i="12"/>
  <c r="F4021" i="12"/>
  <c r="J4020" i="12"/>
  <c r="I4020" i="12"/>
  <c r="H4020" i="12"/>
  <c r="F4020" i="12"/>
  <c r="J4019" i="12"/>
  <c r="I4019" i="12"/>
  <c r="H4019" i="12"/>
  <c r="F4019" i="12"/>
  <c r="J4018" i="12"/>
  <c r="I4018" i="12"/>
  <c r="H4018" i="12"/>
  <c r="F4018" i="12"/>
  <c r="J4017" i="12"/>
  <c r="I4017" i="12"/>
  <c r="H4017" i="12"/>
  <c r="F4017" i="12"/>
  <c r="J4016" i="12"/>
  <c r="I4016" i="12"/>
  <c r="H4016" i="12"/>
  <c r="F4016" i="12"/>
  <c r="J4015" i="12"/>
  <c r="I4015" i="12"/>
  <c r="H4015" i="12"/>
  <c r="F4015" i="12"/>
  <c r="J4014" i="12"/>
  <c r="I4014" i="12"/>
  <c r="H4014" i="12"/>
  <c r="F4014" i="12"/>
  <c r="J4013" i="12"/>
  <c r="I4013" i="12"/>
  <c r="H4013" i="12"/>
  <c r="F4013" i="12"/>
  <c r="J4012" i="12"/>
  <c r="I4012" i="12"/>
  <c r="H4012" i="12"/>
  <c r="F4012" i="12"/>
  <c r="J4011" i="12"/>
  <c r="I4011" i="12"/>
  <c r="H4011" i="12"/>
  <c r="F4011" i="12"/>
  <c r="J4010" i="12"/>
  <c r="I4010" i="12"/>
  <c r="H4010" i="12"/>
  <c r="F4010" i="12"/>
  <c r="J4009" i="12"/>
  <c r="I4009" i="12"/>
  <c r="H4009" i="12"/>
  <c r="F4009" i="12"/>
  <c r="J4008" i="12"/>
  <c r="I4008" i="12"/>
  <c r="H4008" i="12"/>
  <c r="F4008" i="12"/>
  <c r="J4007" i="12"/>
  <c r="I4007" i="12"/>
  <c r="H4007" i="12"/>
  <c r="F4007" i="12"/>
  <c r="J4006" i="12"/>
  <c r="I4006" i="12"/>
  <c r="H4006" i="12"/>
  <c r="F4006" i="12"/>
  <c r="J4005" i="12"/>
  <c r="I4005" i="12"/>
  <c r="H4005" i="12"/>
  <c r="F4005" i="12"/>
  <c r="J4004" i="12"/>
  <c r="I4004" i="12"/>
  <c r="H4004" i="12"/>
  <c r="F4004" i="12"/>
  <c r="J4003" i="12"/>
  <c r="I4003" i="12"/>
  <c r="H4003" i="12"/>
  <c r="F4003" i="12"/>
  <c r="J4002" i="12"/>
  <c r="I4002" i="12"/>
  <c r="H4002" i="12"/>
  <c r="F4002" i="12"/>
  <c r="J4001" i="12"/>
  <c r="I4001" i="12"/>
  <c r="H4001" i="12"/>
  <c r="F4001" i="12"/>
  <c r="J4000" i="12"/>
  <c r="I4000" i="12"/>
  <c r="H4000" i="12"/>
  <c r="F4000" i="12"/>
  <c r="J3999" i="12"/>
  <c r="I3999" i="12"/>
  <c r="H3999" i="12"/>
  <c r="F3999" i="12"/>
  <c r="J3998" i="12"/>
  <c r="I3998" i="12"/>
  <c r="H3998" i="12"/>
  <c r="F3998" i="12"/>
  <c r="J3997" i="12"/>
  <c r="I3997" i="12"/>
  <c r="H3997" i="12"/>
  <c r="F3997" i="12"/>
  <c r="J3996" i="12"/>
  <c r="I3996" i="12"/>
  <c r="H3996" i="12"/>
  <c r="F3996" i="12"/>
  <c r="J3995" i="12"/>
  <c r="I3995" i="12"/>
  <c r="H3995" i="12"/>
  <c r="F3995" i="12"/>
  <c r="J3994" i="12"/>
  <c r="I3994" i="12"/>
  <c r="H3994" i="12"/>
  <c r="F3994" i="12"/>
  <c r="J3993" i="12"/>
  <c r="I3993" i="12"/>
  <c r="H3993" i="12"/>
  <c r="F3993" i="12"/>
  <c r="J3992" i="12"/>
  <c r="I3992" i="12"/>
  <c r="H3992" i="12"/>
  <c r="F3992" i="12"/>
  <c r="J3991" i="12"/>
  <c r="I3991" i="12"/>
  <c r="H3991" i="12"/>
  <c r="F3991" i="12"/>
  <c r="J3990" i="12"/>
  <c r="I3990" i="12"/>
  <c r="H3990" i="12"/>
  <c r="F3990" i="12"/>
  <c r="J3989" i="12"/>
  <c r="I3989" i="12"/>
  <c r="H3989" i="12"/>
  <c r="F3989" i="12"/>
  <c r="J3988" i="12"/>
  <c r="I3988" i="12"/>
  <c r="H3988" i="12"/>
  <c r="F3988" i="12"/>
  <c r="J3987" i="12"/>
  <c r="I3987" i="12"/>
  <c r="H3987" i="12"/>
  <c r="F3987" i="12"/>
  <c r="J3986" i="12"/>
  <c r="I3986" i="12"/>
  <c r="H3986" i="12"/>
  <c r="F3986" i="12"/>
  <c r="J3985" i="12"/>
  <c r="I3985" i="12"/>
  <c r="H3985" i="12"/>
  <c r="F3985" i="12"/>
  <c r="J3984" i="12"/>
  <c r="I3984" i="12"/>
  <c r="H3984" i="12"/>
  <c r="F3984" i="12"/>
  <c r="J3983" i="12"/>
  <c r="I3983" i="12"/>
  <c r="H3983" i="12"/>
  <c r="F3983" i="12"/>
  <c r="J3982" i="12"/>
  <c r="I3982" i="12"/>
  <c r="H3982" i="12"/>
  <c r="F3982" i="12"/>
  <c r="J3981" i="12"/>
  <c r="I3981" i="12"/>
  <c r="H3981" i="12"/>
  <c r="F3981" i="12"/>
  <c r="J3980" i="12"/>
  <c r="I3980" i="12"/>
  <c r="H3980" i="12"/>
  <c r="F3980" i="12"/>
  <c r="J3979" i="12"/>
  <c r="I3979" i="12"/>
  <c r="H3979" i="12"/>
  <c r="F3979" i="12"/>
  <c r="J3978" i="12"/>
  <c r="I3978" i="12"/>
  <c r="H3978" i="12"/>
  <c r="F3978" i="12"/>
  <c r="J3977" i="12"/>
  <c r="I3977" i="12"/>
  <c r="H3977" i="12"/>
  <c r="F3977" i="12"/>
  <c r="J3976" i="12"/>
  <c r="I3976" i="12"/>
  <c r="H3976" i="12"/>
  <c r="F3976" i="12"/>
  <c r="J3975" i="12"/>
  <c r="I3975" i="12"/>
  <c r="H3975" i="12"/>
  <c r="F3975" i="12"/>
  <c r="J3974" i="12"/>
  <c r="I3974" i="12"/>
  <c r="H3974" i="12"/>
  <c r="F3974" i="12"/>
  <c r="J3973" i="12"/>
  <c r="I3973" i="12"/>
  <c r="H3973" i="12"/>
  <c r="F3973" i="12"/>
  <c r="J3972" i="12"/>
  <c r="I3972" i="12"/>
  <c r="H3972" i="12"/>
  <c r="F3972" i="12"/>
  <c r="J3971" i="12"/>
  <c r="I3971" i="12"/>
  <c r="H3971" i="12"/>
  <c r="F3971" i="12"/>
  <c r="J3970" i="12"/>
  <c r="I3970" i="12"/>
  <c r="H3970" i="12"/>
  <c r="F3970" i="12"/>
  <c r="J3969" i="12"/>
  <c r="I3969" i="12"/>
  <c r="H3969" i="12"/>
  <c r="F3969" i="12"/>
  <c r="J3968" i="12"/>
  <c r="I3968" i="12"/>
  <c r="H3968" i="12"/>
  <c r="F3968" i="12"/>
  <c r="J3967" i="12"/>
  <c r="I3967" i="12"/>
  <c r="H3967" i="12"/>
  <c r="F3967" i="12"/>
  <c r="J3966" i="12"/>
  <c r="I3966" i="12"/>
  <c r="H3966" i="12"/>
  <c r="F3966" i="12"/>
  <c r="J3965" i="12"/>
  <c r="I3965" i="12"/>
  <c r="H3965" i="12"/>
  <c r="F3965" i="12"/>
  <c r="J3964" i="12"/>
  <c r="I3964" i="12"/>
  <c r="H3964" i="12"/>
  <c r="F3964" i="12"/>
  <c r="J3963" i="12"/>
  <c r="I3963" i="12"/>
  <c r="H3963" i="12"/>
  <c r="F3963" i="12"/>
  <c r="J3962" i="12"/>
  <c r="I3962" i="12"/>
  <c r="H3962" i="12"/>
  <c r="F3962" i="12"/>
  <c r="J3961" i="12"/>
  <c r="I3961" i="12"/>
  <c r="H3961" i="12"/>
  <c r="F3961" i="12"/>
  <c r="J3960" i="12"/>
  <c r="I3960" i="12"/>
  <c r="H3960" i="12"/>
  <c r="F3960" i="12"/>
  <c r="J3959" i="12"/>
  <c r="I3959" i="12"/>
  <c r="H3959" i="12"/>
  <c r="F3959" i="12"/>
  <c r="J3958" i="12"/>
  <c r="I3958" i="12"/>
  <c r="H3958" i="12"/>
  <c r="F3958" i="12"/>
  <c r="J3957" i="12"/>
  <c r="I3957" i="12"/>
  <c r="H3957" i="12"/>
  <c r="F3957" i="12"/>
  <c r="J3956" i="12"/>
  <c r="I3956" i="12"/>
  <c r="H3956" i="12"/>
  <c r="F3956" i="12"/>
  <c r="J3955" i="12"/>
  <c r="I3955" i="12"/>
  <c r="H3955" i="12"/>
  <c r="F3955" i="12"/>
  <c r="J3954" i="12"/>
  <c r="I3954" i="12"/>
  <c r="H3954" i="12"/>
  <c r="F3954" i="12"/>
  <c r="J3953" i="12"/>
  <c r="I3953" i="12"/>
  <c r="H3953" i="12"/>
  <c r="F3953" i="12"/>
  <c r="J3952" i="12"/>
  <c r="I3952" i="12"/>
  <c r="H3952" i="12"/>
  <c r="F3952" i="12"/>
  <c r="J3951" i="12"/>
  <c r="I3951" i="12"/>
  <c r="H3951" i="12"/>
  <c r="F3951" i="12"/>
  <c r="J3950" i="12"/>
  <c r="I3950" i="12"/>
  <c r="H3950" i="12"/>
  <c r="F3950" i="12"/>
  <c r="J3949" i="12"/>
  <c r="I3949" i="12"/>
  <c r="H3949" i="12"/>
  <c r="F3949" i="12"/>
  <c r="J3948" i="12"/>
  <c r="I3948" i="12"/>
  <c r="H3948" i="12"/>
  <c r="F3948" i="12"/>
  <c r="J3947" i="12"/>
  <c r="I3947" i="12"/>
  <c r="H3947" i="12"/>
  <c r="F3947" i="12"/>
  <c r="J3946" i="12"/>
  <c r="I3946" i="12"/>
  <c r="H3946" i="12"/>
  <c r="F3946" i="12"/>
  <c r="J3945" i="12"/>
  <c r="I3945" i="12"/>
  <c r="H3945" i="12"/>
  <c r="F3945" i="12"/>
  <c r="J3944" i="12"/>
  <c r="I3944" i="12"/>
  <c r="H3944" i="12"/>
  <c r="F3944" i="12"/>
  <c r="J3943" i="12"/>
  <c r="I3943" i="12"/>
  <c r="H3943" i="12"/>
  <c r="F3943" i="12"/>
  <c r="J3942" i="12"/>
  <c r="I3942" i="12"/>
  <c r="H3942" i="12"/>
  <c r="F3942" i="12"/>
  <c r="J3941" i="12"/>
  <c r="I3941" i="12"/>
  <c r="H3941" i="12"/>
  <c r="F3941" i="12"/>
  <c r="J3940" i="12"/>
  <c r="I3940" i="12"/>
  <c r="H3940" i="12"/>
  <c r="F3940" i="12"/>
  <c r="J3939" i="12"/>
  <c r="I3939" i="12"/>
  <c r="H3939" i="12"/>
  <c r="F3939" i="12"/>
  <c r="J3938" i="12"/>
  <c r="I3938" i="12"/>
  <c r="H3938" i="12"/>
  <c r="F3938" i="12"/>
  <c r="J3937" i="12"/>
  <c r="I3937" i="12"/>
  <c r="H3937" i="12"/>
  <c r="F3937" i="12"/>
  <c r="J3936" i="12"/>
  <c r="I3936" i="12"/>
  <c r="H3936" i="12"/>
  <c r="F3936" i="12"/>
  <c r="J3935" i="12"/>
  <c r="I3935" i="12"/>
  <c r="H3935" i="12"/>
  <c r="F3935" i="12"/>
  <c r="J3934" i="12"/>
  <c r="I3934" i="12"/>
  <c r="H3934" i="12"/>
  <c r="F3934" i="12"/>
  <c r="J3933" i="12"/>
  <c r="I3933" i="12"/>
  <c r="H3933" i="12"/>
  <c r="F3933" i="12"/>
  <c r="J3932" i="12"/>
  <c r="I3932" i="12"/>
  <c r="H3932" i="12"/>
  <c r="F3932" i="12"/>
  <c r="J3931" i="12"/>
  <c r="I3931" i="12"/>
  <c r="H3931" i="12"/>
  <c r="F3931" i="12"/>
  <c r="J3930" i="12"/>
  <c r="I3930" i="12"/>
  <c r="H3930" i="12"/>
  <c r="F3930" i="12"/>
  <c r="J3929" i="12"/>
  <c r="I3929" i="12"/>
  <c r="H3929" i="12"/>
  <c r="F3929" i="12"/>
  <c r="J3928" i="12"/>
  <c r="I3928" i="12"/>
  <c r="H3928" i="12"/>
  <c r="F3928" i="12"/>
  <c r="J3927" i="12"/>
  <c r="I3927" i="12"/>
  <c r="H3927" i="12"/>
  <c r="F3927" i="12"/>
  <c r="J3926" i="12"/>
  <c r="I3926" i="12"/>
  <c r="H3926" i="12"/>
  <c r="F3926" i="12"/>
  <c r="J3925" i="12"/>
  <c r="I3925" i="12"/>
  <c r="H3925" i="12"/>
  <c r="F3925" i="12"/>
  <c r="J3924" i="12"/>
  <c r="I3924" i="12"/>
  <c r="H3924" i="12"/>
  <c r="F3924" i="12"/>
  <c r="J3923" i="12"/>
  <c r="I3923" i="12"/>
  <c r="H3923" i="12"/>
  <c r="F3923" i="12"/>
  <c r="J3922" i="12"/>
  <c r="I3922" i="12"/>
  <c r="H3922" i="12"/>
  <c r="F3922" i="12"/>
  <c r="J3921" i="12"/>
  <c r="I3921" i="12"/>
  <c r="H3921" i="12"/>
  <c r="F3921" i="12"/>
  <c r="J3920" i="12"/>
  <c r="I3920" i="12"/>
  <c r="H3920" i="12"/>
  <c r="F3920" i="12"/>
  <c r="J3919" i="12"/>
  <c r="I3919" i="12"/>
  <c r="H3919" i="12"/>
  <c r="F3919" i="12"/>
  <c r="J3918" i="12"/>
  <c r="I3918" i="12"/>
  <c r="H3918" i="12"/>
  <c r="F3918" i="12"/>
  <c r="J3917" i="12"/>
  <c r="I3917" i="12"/>
  <c r="H3917" i="12"/>
  <c r="F3917" i="12"/>
  <c r="J3916" i="12"/>
  <c r="I3916" i="12"/>
  <c r="H3916" i="12"/>
  <c r="F3916" i="12"/>
  <c r="J3915" i="12"/>
  <c r="I3915" i="12"/>
  <c r="H3915" i="12"/>
  <c r="F3915" i="12"/>
  <c r="J3914" i="12"/>
  <c r="I3914" i="12"/>
  <c r="H3914" i="12"/>
  <c r="F3914" i="12"/>
  <c r="J3913" i="12"/>
  <c r="I3913" i="12"/>
  <c r="H3913" i="12"/>
  <c r="F3913" i="12"/>
  <c r="J3912" i="12"/>
  <c r="I3912" i="12"/>
  <c r="H3912" i="12"/>
  <c r="F3912" i="12"/>
  <c r="J3911" i="12"/>
  <c r="I3911" i="12"/>
  <c r="H3911" i="12"/>
  <c r="F3911" i="12"/>
  <c r="J3910" i="12"/>
  <c r="I3910" i="12"/>
  <c r="H3910" i="12"/>
  <c r="F3910" i="12"/>
  <c r="J3909" i="12"/>
  <c r="I3909" i="12"/>
  <c r="H3909" i="12"/>
  <c r="F3909" i="12"/>
  <c r="J3908" i="12"/>
  <c r="I3908" i="12"/>
  <c r="H3908" i="12"/>
  <c r="F3908" i="12"/>
  <c r="J3907" i="12"/>
  <c r="I3907" i="12"/>
  <c r="H3907" i="12"/>
  <c r="F3907" i="12"/>
  <c r="J3906" i="12"/>
  <c r="I3906" i="12"/>
  <c r="H3906" i="12"/>
  <c r="F3906" i="12"/>
  <c r="J3905" i="12"/>
  <c r="I3905" i="12"/>
  <c r="H3905" i="12"/>
  <c r="F3905" i="12"/>
  <c r="J3904" i="12"/>
  <c r="I3904" i="12"/>
  <c r="H3904" i="12"/>
  <c r="F3904" i="12"/>
  <c r="J3903" i="12"/>
  <c r="I3903" i="12"/>
  <c r="H3903" i="12"/>
  <c r="F3903" i="12"/>
  <c r="J3902" i="12"/>
  <c r="I3902" i="12"/>
  <c r="H3902" i="12"/>
  <c r="F3902" i="12"/>
  <c r="J3901" i="12"/>
  <c r="I3901" i="12"/>
  <c r="H3901" i="12"/>
  <c r="F3901" i="12"/>
  <c r="J3900" i="12"/>
  <c r="I3900" i="12"/>
  <c r="H3900" i="12"/>
  <c r="F3900" i="12"/>
  <c r="J3899" i="12"/>
  <c r="I3899" i="12"/>
  <c r="H3899" i="12"/>
  <c r="F3899" i="12"/>
  <c r="J3898" i="12"/>
  <c r="I3898" i="12"/>
  <c r="H3898" i="12"/>
  <c r="F3898" i="12"/>
  <c r="J3897" i="12"/>
  <c r="I3897" i="12"/>
  <c r="H3897" i="12"/>
  <c r="F3897" i="12"/>
  <c r="J3896" i="12"/>
  <c r="I3896" i="12"/>
  <c r="H3896" i="12"/>
  <c r="F3896" i="12"/>
  <c r="J3895" i="12"/>
  <c r="I3895" i="12"/>
  <c r="H3895" i="12"/>
  <c r="F3895" i="12"/>
  <c r="J3894" i="12"/>
  <c r="I3894" i="12"/>
  <c r="H3894" i="12"/>
  <c r="F3894" i="12"/>
  <c r="J3893" i="12"/>
  <c r="I3893" i="12"/>
  <c r="H3893" i="12"/>
  <c r="F3893" i="12"/>
  <c r="J3892" i="12"/>
  <c r="I3892" i="12"/>
  <c r="H3892" i="12"/>
  <c r="F3892" i="12"/>
  <c r="J3891" i="12"/>
  <c r="I3891" i="12"/>
  <c r="H3891" i="12"/>
  <c r="F3891" i="12"/>
  <c r="J3890" i="12"/>
  <c r="I3890" i="12"/>
  <c r="H3890" i="12"/>
  <c r="F3890" i="12"/>
  <c r="J3889" i="12"/>
  <c r="I3889" i="12"/>
  <c r="H3889" i="12"/>
  <c r="F3889" i="12"/>
  <c r="J3888" i="12"/>
  <c r="I3888" i="12"/>
  <c r="H3888" i="12"/>
  <c r="F3888" i="12"/>
  <c r="J3887" i="12"/>
  <c r="I3887" i="12"/>
  <c r="H3887" i="12"/>
  <c r="F3887" i="12"/>
  <c r="J3886" i="12"/>
  <c r="I3886" i="12"/>
  <c r="H3886" i="12"/>
  <c r="F3886" i="12"/>
  <c r="J3885" i="12"/>
  <c r="I3885" i="12"/>
  <c r="H3885" i="12"/>
  <c r="F3885" i="12"/>
  <c r="J3884" i="12"/>
  <c r="I3884" i="12"/>
  <c r="H3884" i="12"/>
  <c r="F3884" i="12"/>
  <c r="J3883" i="12"/>
  <c r="I3883" i="12"/>
  <c r="H3883" i="12"/>
  <c r="F3883" i="12"/>
  <c r="J3882" i="12"/>
  <c r="I3882" i="12"/>
  <c r="H3882" i="12"/>
  <c r="F3882" i="12"/>
  <c r="J3881" i="12"/>
  <c r="I3881" i="12"/>
  <c r="H3881" i="12"/>
  <c r="F3881" i="12"/>
  <c r="J3880" i="12"/>
  <c r="I3880" i="12"/>
  <c r="H3880" i="12"/>
  <c r="F3880" i="12"/>
  <c r="J3879" i="12"/>
  <c r="I3879" i="12"/>
  <c r="H3879" i="12"/>
  <c r="F3879" i="12"/>
  <c r="J3878" i="12"/>
  <c r="I3878" i="12"/>
  <c r="H3878" i="12"/>
  <c r="F3878" i="12"/>
  <c r="J3877" i="12"/>
  <c r="I3877" i="12"/>
  <c r="H3877" i="12"/>
  <c r="F3877" i="12"/>
  <c r="J3876" i="12"/>
  <c r="I3876" i="12"/>
  <c r="H3876" i="12"/>
  <c r="F3876" i="12"/>
  <c r="J3875" i="12"/>
  <c r="I3875" i="12"/>
  <c r="H3875" i="12"/>
  <c r="F3875" i="12"/>
  <c r="J3874" i="12"/>
  <c r="I3874" i="12"/>
  <c r="H3874" i="12"/>
  <c r="F3874" i="12"/>
  <c r="J3873" i="12"/>
  <c r="I3873" i="12"/>
  <c r="H3873" i="12"/>
  <c r="F3873" i="12"/>
  <c r="J3872" i="12"/>
  <c r="I3872" i="12"/>
  <c r="H3872" i="12"/>
  <c r="F3872" i="12"/>
  <c r="J3871" i="12"/>
  <c r="I3871" i="12"/>
  <c r="H3871" i="12"/>
  <c r="F3871" i="12"/>
  <c r="J3870" i="12"/>
  <c r="I3870" i="12"/>
  <c r="H3870" i="12"/>
  <c r="F3870" i="12"/>
  <c r="J3869" i="12"/>
  <c r="I3869" i="12"/>
  <c r="H3869" i="12"/>
  <c r="F3869" i="12"/>
  <c r="J3868" i="12"/>
  <c r="I3868" i="12"/>
  <c r="H3868" i="12"/>
  <c r="F3868" i="12"/>
  <c r="J3867" i="12"/>
  <c r="I3867" i="12"/>
  <c r="H3867" i="12"/>
  <c r="F3867" i="12"/>
  <c r="J3866" i="12"/>
  <c r="I3866" i="12"/>
  <c r="H3866" i="12"/>
  <c r="F3866" i="12"/>
  <c r="J3865" i="12"/>
  <c r="I3865" i="12"/>
  <c r="H3865" i="12"/>
  <c r="F3865" i="12"/>
  <c r="J3864" i="12"/>
  <c r="I3864" i="12"/>
  <c r="H3864" i="12"/>
  <c r="F3864" i="12"/>
  <c r="J3863" i="12"/>
  <c r="I3863" i="12"/>
  <c r="H3863" i="12"/>
  <c r="F3863" i="12"/>
  <c r="J3862" i="12"/>
  <c r="I3862" i="12"/>
  <c r="H3862" i="12"/>
  <c r="F3862" i="12"/>
  <c r="J3861" i="12"/>
  <c r="I3861" i="12"/>
  <c r="H3861" i="12"/>
  <c r="F3861" i="12"/>
  <c r="J3860" i="12"/>
  <c r="I3860" i="12"/>
  <c r="H3860" i="12"/>
  <c r="F3860" i="12"/>
  <c r="J3859" i="12"/>
  <c r="I3859" i="12"/>
  <c r="H3859" i="12"/>
  <c r="F3859" i="12"/>
  <c r="J3858" i="12"/>
  <c r="I3858" i="12"/>
  <c r="H3858" i="12"/>
  <c r="F3858" i="12"/>
  <c r="J3857" i="12"/>
  <c r="I3857" i="12"/>
  <c r="H3857" i="12"/>
  <c r="F3857" i="12"/>
  <c r="J3856" i="12"/>
  <c r="I3856" i="12"/>
  <c r="H3856" i="12"/>
  <c r="F3856" i="12"/>
  <c r="J3855" i="12"/>
  <c r="I3855" i="12"/>
  <c r="H3855" i="12"/>
  <c r="F3855" i="12"/>
  <c r="J3854" i="12"/>
  <c r="I3854" i="12"/>
  <c r="H3854" i="12"/>
  <c r="F3854" i="12"/>
  <c r="J3853" i="12"/>
  <c r="I3853" i="12"/>
  <c r="H3853" i="12"/>
  <c r="F3853" i="12"/>
  <c r="J3852" i="12"/>
  <c r="I3852" i="12"/>
  <c r="H3852" i="12"/>
  <c r="F3852" i="12"/>
  <c r="J3851" i="12"/>
  <c r="I3851" i="12"/>
  <c r="H3851" i="12"/>
  <c r="F3851" i="12"/>
  <c r="J3850" i="12"/>
  <c r="I3850" i="12"/>
  <c r="H3850" i="12"/>
  <c r="F3850" i="12"/>
  <c r="J3849" i="12"/>
  <c r="I3849" i="12"/>
  <c r="H3849" i="12"/>
  <c r="F3849" i="12"/>
  <c r="J3848" i="12"/>
  <c r="I3848" i="12"/>
  <c r="H3848" i="12"/>
  <c r="F3848" i="12"/>
  <c r="J3847" i="12"/>
  <c r="I3847" i="12"/>
  <c r="H3847" i="12"/>
  <c r="F3847" i="12"/>
  <c r="J3846" i="12"/>
  <c r="I3846" i="12"/>
  <c r="H3846" i="12"/>
  <c r="F3846" i="12"/>
  <c r="J3845" i="12"/>
  <c r="I3845" i="12"/>
  <c r="H3845" i="12"/>
  <c r="F3845" i="12"/>
  <c r="J3844" i="12"/>
  <c r="I3844" i="12"/>
  <c r="H3844" i="12"/>
  <c r="F3844" i="12"/>
  <c r="J3843" i="12"/>
  <c r="I3843" i="12"/>
  <c r="H3843" i="12"/>
  <c r="F3843" i="12"/>
  <c r="J3842" i="12"/>
  <c r="I3842" i="12"/>
  <c r="H3842" i="12"/>
  <c r="F3842" i="12"/>
  <c r="J3841" i="12"/>
  <c r="I3841" i="12"/>
  <c r="H3841" i="12"/>
  <c r="F3841" i="12"/>
  <c r="J3840" i="12"/>
  <c r="I3840" i="12"/>
  <c r="H3840" i="12"/>
  <c r="F3840" i="12"/>
  <c r="J3839" i="12"/>
  <c r="I3839" i="12"/>
  <c r="H3839" i="12"/>
  <c r="F3839" i="12"/>
  <c r="J3838" i="12"/>
  <c r="I3838" i="12"/>
  <c r="H3838" i="12"/>
  <c r="F3838" i="12"/>
  <c r="J3837" i="12"/>
  <c r="I3837" i="12"/>
  <c r="H3837" i="12"/>
  <c r="F3837" i="12"/>
  <c r="J3836" i="12"/>
  <c r="I3836" i="12"/>
  <c r="H3836" i="12"/>
  <c r="F3836" i="12"/>
  <c r="J3835" i="12"/>
  <c r="I3835" i="12"/>
  <c r="H3835" i="12"/>
  <c r="F3835" i="12"/>
  <c r="J3834" i="12"/>
  <c r="I3834" i="12"/>
  <c r="H3834" i="12"/>
  <c r="F3834" i="12"/>
  <c r="J3833" i="12"/>
  <c r="I3833" i="12"/>
  <c r="H3833" i="12"/>
  <c r="F3833" i="12"/>
  <c r="J3832" i="12"/>
  <c r="I3832" i="12"/>
  <c r="H3832" i="12"/>
  <c r="F3832" i="12"/>
  <c r="J3831" i="12"/>
  <c r="I3831" i="12"/>
  <c r="H3831" i="12"/>
  <c r="F3831" i="12"/>
  <c r="J3830" i="12"/>
  <c r="I3830" i="12"/>
  <c r="H3830" i="12"/>
  <c r="F3830" i="12"/>
  <c r="J3829" i="12"/>
  <c r="I3829" i="12"/>
  <c r="H3829" i="12"/>
  <c r="F3829" i="12"/>
  <c r="J3828" i="12"/>
  <c r="I3828" i="12"/>
  <c r="H3828" i="12"/>
  <c r="F3828" i="12"/>
  <c r="J3827" i="12"/>
  <c r="I3827" i="12"/>
  <c r="H3827" i="12"/>
  <c r="F3827" i="12"/>
  <c r="J3826" i="12"/>
  <c r="I3826" i="12"/>
  <c r="H3826" i="12"/>
  <c r="F3826" i="12"/>
  <c r="J3825" i="12"/>
  <c r="I3825" i="12"/>
  <c r="H3825" i="12"/>
  <c r="F3825" i="12"/>
  <c r="J3824" i="12"/>
  <c r="I3824" i="12"/>
  <c r="H3824" i="12"/>
  <c r="F3824" i="12"/>
  <c r="J3823" i="12"/>
  <c r="I3823" i="12"/>
  <c r="H3823" i="12"/>
  <c r="F3823" i="12"/>
  <c r="J3822" i="12"/>
  <c r="I3822" i="12"/>
  <c r="H3822" i="12"/>
  <c r="F3822" i="12"/>
  <c r="J3821" i="12"/>
  <c r="I3821" i="12"/>
  <c r="H3821" i="12"/>
  <c r="F3821" i="12"/>
  <c r="J3820" i="12"/>
  <c r="I3820" i="12"/>
  <c r="H3820" i="12"/>
  <c r="F3820" i="12"/>
  <c r="J3819" i="12"/>
  <c r="I3819" i="12"/>
  <c r="H3819" i="12"/>
  <c r="F3819" i="12"/>
  <c r="J3818" i="12"/>
  <c r="I3818" i="12"/>
  <c r="H3818" i="12"/>
  <c r="F3818" i="12"/>
  <c r="J3817" i="12"/>
  <c r="I3817" i="12"/>
  <c r="H3817" i="12"/>
  <c r="F3817" i="12"/>
  <c r="J3816" i="12"/>
  <c r="I3816" i="12"/>
  <c r="H3816" i="12"/>
  <c r="F3816" i="12"/>
  <c r="J3815" i="12"/>
  <c r="I3815" i="12"/>
  <c r="H3815" i="12"/>
  <c r="F3815" i="12"/>
  <c r="J3814" i="12"/>
  <c r="I3814" i="12"/>
  <c r="H3814" i="12"/>
  <c r="F3814" i="12"/>
  <c r="J3813" i="12"/>
  <c r="I3813" i="12"/>
  <c r="H3813" i="12"/>
  <c r="F3813" i="12"/>
  <c r="J3812" i="12"/>
  <c r="I3812" i="12"/>
  <c r="H3812" i="12"/>
  <c r="F3812" i="12"/>
  <c r="J3811" i="12"/>
  <c r="I3811" i="12"/>
  <c r="H3811" i="12"/>
  <c r="F3811" i="12"/>
  <c r="J3810" i="12"/>
  <c r="I3810" i="12"/>
  <c r="H3810" i="12"/>
  <c r="F3810" i="12"/>
  <c r="J3809" i="12"/>
  <c r="I3809" i="12"/>
  <c r="H3809" i="12"/>
  <c r="F3809" i="12"/>
  <c r="J3808" i="12"/>
  <c r="I3808" i="12"/>
  <c r="H3808" i="12"/>
  <c r="F3808" i="12"/>
  <c r="J3807" i="12"/>
  <c r="I3807" i="12"/>
  <c r="H3807" i="12"/>
  <c r="F3807" i="12"/>
  <c r="J3806" i="12"/>
  <c r="I3806" i="12"/>
  <c r="H3806" i="12"/>
  <c r="F3806" i="12"/>
  <c r="J3805" i="12"/>
  <c r="I3805" i="12"/>
  <c r="H3805" i="12"/>
  <c r="F3805" i="12"/>
  <c r="J3804" i="12"/>
  <c r="I3804" i="12"/>
  <c r="H3804" i="12"/>
  <c r="F3804" i="12"/>
  <c r="J3803" i="12"/>
  <c r="I3803" i="12"/>
  <c r="H3803" i="12"/>
  <c r="F3803" i="12"/>
  <c r="J3802" i="12"/>
  <c r="I3802" i="12"/>
  <c r="H3802" i="12"/>
  <c r="F3802" i="12"/>
  <c r="J3801" i="12"/>
  <c r="I3801" i="12"/>
  <c r="H3801" i="12"/>
  <c r="F3801" i="12"/>
  <c r="J3800" i="12"/>
  <c r="I3800" i="12"/>
  <c r="H3800" i="12"/>
  <c r="F3800" i="12"/>
  <c r="J3799" i="12"/>
  <c r="I3799" i="12"/>
  <c r="H3799" i="12"/>
  <c r="F3799" i="12"/>
  <c r="J3798" i="12"/>
  <c r="I3798" i="12"/>
  <c r="H3798" i="12"/>
  <c r="F3798" i="12"/>
  <c r="J3797" i="12"/>
  <c r="I3797" i="12"/>
  <c r="H3797" i="12"/>
  <c r="F3797" i="12"/>
  <c r="J3796" i="12"/>
  <c r="I3796" i="12"/>
  <c r="H3796" i="12"/>
  <c r="F3796" i="12"/>
  <c r="J3795" i="12"/>
  <c r="I3795" i="12"/>
  <c r="H3795" i="12"/>
  <c r="F3795" i="12"/>
  <c r="J3794" i="12"/>
  <c r="I3794" i="12"/>
  <c r="H3794" i="12"/>
  <c r="F3794" i="12"/>
  <c r="J3793" i="12"/>
  <c r="I3793" i="12"/>
  <c r="H3793" i="12"/>
  <c r="F3793" i="12"/>
  <c r="J3792" i="12"/>
  <c r="I3792" i="12"/>
  <c r="H3792" i="12"/>
  <c r="F3792" i="12"/>
  <c r="J3791" i="12"/>
  <c r="I3791" i="12"/>
  <c r="H3791" i="12"/>
  <c r="F3791" i="12"/>
  <c r="J3790" i="12"/>
  <c r="I3790" i="12"/>
  <c r="H3790" i="12"/>
  <c r="F3790" i="12"/>
  <c r="J3789" i="12"/>
  <c r="I3789" i="12"/>
  <c r="H3789" i="12"/>
  <c r="F3789" i="12"/>
  <c r="J3788" i="12"/>
  <c r="I3788" i="12"/>
  <c r="H3788" i="12"/>
  <c r="F3788" i="12"/>
  <c r="J3787" i="12"/>
  <c r="I3787" i="12"/>
  <c r="H3787" i="12"/>
  <c r="F3787" i="12"/>
  <c r="J3786" i="12"/>
  <c r="I3786" i="12"/>
  <c r="H3786" i="12"/>
  <c r="F3786" i="12"/>
  <c r="J3785" i="12"/>
  <c r="I3785" i="12"/>
  <c r="H3785" i="12"/>
  <c r="F3785" i="12"/>
  <c r="J3784" i="12"/>
  <c r="I3784" i="12"/>
  <c r="H3784" i="12"/>
  <c r="F3784" i="12"/>
  <c r="J3783" i="12"/>
  <c r="I3783" i="12"/>
  <c r="H3783" i="12"/>
  <c r="F3783" i="12"/>
  <c r="J3782" i="12"/>
  <c r="I3782" i="12"/>
  <c r="H3782" i="12"/>
  <c r="F3782" i="12"/>
  <c r="J3781" i="12"/>
  <c r="I3781" i="12"/>
  <c r="H3781" i="12"/>
  <c r="F3781" i="12"/>
  <c r="J3780" i="12"/>
  <c r="I3780" i="12"/>
  <c r="H3780" i="12"/>
  <c r="F3780" i="12"/>
  <c r="J3779" i="12"/>
  <c r="I3779" i="12"/>
  <c r="H3779" i="12"/>
  <c r="F3779" i="12"/>
  <c r="J3778" i="12"/>
  <c r="I3778" i="12"/>
  <c r="H3778" i="12"/>
  <c r="F3778" i="12"/>
  <c r="J3777" i="12"/>
  <c r="I3777" i="12"/>
  <c r="H3777" i="12"/>
  <c r="F3777" i="12"/>
  <c r="J3776" i="12"/>
  <c r="I3776" i="12"/>
  <c r="H3776" i="12"/>
  <c r="F3776" i="12"/>
  <c r="J3775" i="12"/>
  <c r="I3775" i="12"/>
  <c r="H3775" i="12"/>
  <c r="F3775" i="12"/>
  <c r="J3774" i="12"/>
  <c r="I3774" i="12"/>
  <c r="H3774" i="12"/>
  <c r="F3774" i="12"/>
  <c r="J3773" i="12"/>
  <c r="I3773" i="12"/>
  <c r="H3773" i="12"/>
  <c r="F3773" i="12"/>
  <c r="J3772" i="12"/>
  <c r="I3772" i="12"/>
  <c r="H3772" i="12"/>
  <c r="F3772" i="12"/>
  <c r="J3771" i="12"/>
  <c r="I3771" i="12"/>
  <c r="H3771" i="12"/>
  <c r="F3771" i="12"/>
  <c r="J3770" i="12"/>
  <c r="I3770" i="12"/>
  <c r="H3770" i="12"/>
  <c r="F3770" i="12"/>
  <c r="J3769" i="12"/>
  <c r="I3769" i="12"/>
  <c r="H3769" i="12"/>
  <c r="F3769" i="12"/>
  <c r="J3768" i="12"/>
  <c r="I3768" i="12"/>
  <c r="H3768" i="12"/>
  <c r="F3768" i="12"/>
  <c r="J3767" i="12"/>
  <c r="I3767" i="12"/>
  <c r="H3767" i="12"/>
  <c r="F3767" i="12"/>
  <c r="J3766" i="12"/>
  <c r="I3766" i="12"/>
  <c r="H3766" i="12"/>
  <c r="F3766" i="12"/>
  <c r="J3765" i="12"/>
  <c r="I3765" i="12"/>
  <c r="H3765" i="12"/>
  <c r="F3765" i="12"/>
  <c r="J3764" i="12"/>
  <c r="I3764" i="12"/>
  <c r="H3764" i="12"/>
  <c r="F3764" i="12"/>
  <c r="J3763" i="12"/>
  <c r="I3763" i="12"/>
  <c r="H3763" i="12"/>
  <c r="F3763" i="12"/>
  <c r="J3762" i="12"/>
  <c r="I3762" i="12"/>
  <c r="H3762" i="12"/>
  <c r="F3762" i="12"/>
  <c r="J3761" i="12"/>
  <c r="I3761" i="12"/>
  <c r="H3761" i="12"/>
  <c r="F3761" i="12"/>
  <c r="J3760" i="12"/>
  <c r="I3760" i="12"/>
  <c r="H3760" i="12"/>
  <c r="F3760" i="12"/>
  <c r="J3759" i="12"/>
  <c r="I3759" i="12"/>
  <c r="H3759" i="12"/>
  <c r="F3759" i="12"/>
  <c r="J3758" i="12"/>
  <c r="I3758" i="12"/>
  <c r="H3758" i="12"/>
  <c r="F3758" i="12"/>
  <c r="J3757" i="12"/>
  <c r="I3757" i="12"/>
  <c r="H3757" i="12"/>
  <c r="F3757" i="12"/>
  <c r="J3756" i="12"/>
  <c r="I3756" i="12"/>
  <c r="H3756" i="12"/>
  <c r="F3756" i="12"/>
  <c r="J3755" i="12"/>
  <c r="I3755" i="12"/>
  <c r="H3755" i="12"/>
  <c r="F3755" i="12"/>
  <c r="J3754" i="12"/>
  <c r="I3754" i="12"/>
  <c r="H3754" i="12"/>
  <c r="F3754" i="12"/>
  <c r="J3753" i="12"/>
  <c r="I3753" i="12"/>
  <c r="H3753" i="12"/>
  <c r="F3753" i="12"/>
  <c r="J3752" i="12"/>
  <c r="I3752" i="12"/>
  <c r="H3752" i="12"/>
  <c r="F3752" i="12"/>
  <c r="J3751" i="12"/>
  <c r="I3751" i="12"/>
  <c r="H3751" i="12"/>
  <c r="F3751" i="12"/>
  <c r="J3750" i="12"/>
  <c r="I3750" i="12"/>
  <c r="H3750" i="12"/>
  <c r="F3750" i="12"/>
  <c r="J3749" i="12"/>
  <c r="I3749" i="12"/>
  <c r="H3749" i="12"/>
  <c r="F3749" i="12"/>
  <c r="J3748" i="12"/>
  <c r="I3748" i="12"/>
  <c r="H3748" i="12"/>
  <c r="F3748" i="12"/>
  <c r="J3747" i="12"/>
  <c r="I3747" i="12"/>
  <c r="H3747" i="12"/>
  <c r="F3747" i="12"/>
  <c r="J3746" i="12"/>
  <c r="I3746" i="12"/>
  <c r="H3746" i="12"/>
  <c r="F3746" i="12"/>
  <c r="J3745" i="12"/>
  <c r="I3745" i="12"/>
  <c r="H3745" i="12"/>
  <c r="F3745" i="12"/>
  <c r="J3744" i="12"/>
  <c r="I3744" i="12"/>
  <c r="H3744" i="12"/>
  <c r="F3744" i="12"/>
  <c r="J3743" i="12"/>
  <c r="I3743" i="12"/>
  <c r="H3743" i="12"/>
  <c r="F3743" i="12"/>
  <c r="J3742" i="12"/>
  <c r="I3742" i="12"/>
  <c r="H3742" i="12"/>
  <c r="F3742" i="12"/>
  <c r="J3741" i="12"/>
  <c r="I3741" i="12"/>
  <c r="H3741" i="12"/>
  <c r="F3741" i="12"/>
  <c r="J3740" i="12"/>
  <c r="I3740" i="12"/>
  <c r="H3740" i="12"/>
  <c r="F3740" i="12"/>
  <c r="J3739" i="12"/>
  <c r="I3739" i="12"/>
  <c r="H3739" i="12"/>
  <c r="F3739" i="12"/>
  <c r="J3738" i="12"/>
  <c r="I3738" i="12"/>
  <c r="H3738" i="12"/>
  <c r="F3738" i="12"/>
  <c r="J3737" i="12"/>
  <c r="I3737" i="12"/>
  <c r="H3737" i="12"/>
  <c r="F3737" i="12"/>
  <c r="J3736" i="12"/>
  <c r="I3736" i="12"/>
  <c r="H3736" i="12"/>
  <c r="F3736" i="12"/>
  <c r="J3735" i="12"/>
  <c r="I3735" i="12"/>
  <c r="H3735" i="12"/>
  <c r="F3735" i="12"/>
  <c r="J3734" i="12"/>
  <c r="I3734" i="12"/>
  <c r="H3734" i="12"/>
  <c r="F3734" i="12"/>
  <c r="J3733" i="12"/>
  <c r="I3733" i="12"/>
  <c r="H3733" i="12"/>
  <c r="F3733" i="12"/>
  <c r="J3732" i="12"/>
  <c r="I3732" i="12"/>
  <c r="H3732" i="12"/>
  <c r="F3732" i="12"/>
  <c r="J3731" i="12"/>
  <c r="I3731" i="12"/>
  <c r="H3731" i="12"/>
  <c r="F3731" i="12"/>
  <c r="J3730" i="12"/>
  <c r="I3730" i="12"/>
  <c r="H3730" i="12"/>
  <c r="F3730" i="12"/>
  <c r="J3729" i="12"/>
  <c r="I3729" i="12"/>
  <c r="H3729" i="12"/>
  <c r="F3729" i="12"/>
  <c r="J3728" i="12"/>
  <c r="I3728" i="12"/>
  <c r="H3728" i="12"/>
  <c r="F3728" i="12"/>
  <c r="J3727" i="12"/>
  <c r="I3727" i="12"/>
  <c r="H3727" i="12"/>
  <c r="F3727" i="12"/>
  <c r="J3726" i="12"/>
  <c r="I3726" i="12"/>
  <c r="H3726" i="12"/>
  <c r="F3726" i="12"/>
  <c r="J3725" i="12"/>
  <c r="I3725" i="12"/>
  <c r="H3725" i="12"/>
  <c r="F3725" i="12"/>
  <c r="J3724" i="12"/>
  <c r="I3724" i="12"/>
  <c r="H3724" i="12"/>
  <c r="F3724" i="12"/>
  <c r="J3723" i="12"/>
  <c r="I3723" i="12"/>
  <c r="H3723" i="12"/>
  <c r="F3723" i="12"/>
  <c r="J3722" i="12"/>
  <c r="I3722" i="12"/>
  <c r="H3722" i="12"/>
  <c r="F3722" i="12"/>
  <c r="J3721" i="12"/>
  <c r="I3721" i="12"/>
  <c r="H3721" i="12"/>
  <c r="F3721" i="12"/>
  <c r="J3720" i="12"/>
  <c r="I3720" i="12"/>
  <c r="H3720" i="12"/>
  <c r="F3720" i="12"/>
  <c r="J3719" i="12"/>
  <c r="I3719" i="12"/>
  <c r="H3719" i="12"/>
  <c r="F3719" i="12"/>
  <c r="J3718" i="12"/>
  <c r="I3718" i="12"/>
  <c r="H3718" i="12"/>
  <c r="F3718" i="12"/>
  <c r="J3717" i="12"/>
  <c r="I3717" i="12"/>
  <c r="H3717" i="12"/>
  <c r="F3717" i="12"/>
  <c r="J3716" i="12"/>
  <c r="I3716" i="12"/>
  <c r="H3716" i="12"/>
  <c r="F3716" i="12"/>
  <c r="J3715" i="12"/>
  <c r="I3715" i="12"/>
  <c r="H3715" i="12"/>
  <c r="F3715" i="12"/>
  <c r="J3714" i="12"/>
  <c r="I3714" i="12"/>
  <c r="H3714" i="12"/>
  <c r="F3714" i="12"/>
  <c r="J3713" i="12"/>
  <c r="I3713" i="12"/>
  <c r="H3713" i="12"/>
  <c r="F3713" i="12"/>
  <c r="J3712" i="12"/>
  <c r="I3712" i="12"/>
  <c r="H3712" i="12"/>
  <c r="F3712" i="12"/>
  <c r="J3711" i="12"/>
  <c r="I3711" i="12"/>
  <c r="H3711" i="12"/>
  <c r="F3711" i="12"/>
  <c r="J3710" i="12"/>
  <c r="I3710" i="12"/>
  <c r="H3710" i="12"/>
  <c r="F3710" i="12"/>
  <c r="J3709" i="12"/>
  <c r="I3709" i="12"/>
  <c r="H3709" i="12"/>
  <c r="F3709" i="12"/>
  <c r="J3708" i="12"/>
  <c r="I3708" i="12"/>
  <c r="H3708" i="12"/>
  <c r="F3708" i="12"/>
  <c r="J3707" i="12"/>
  <c r="I3707" i="12"/>
  <c r="H3707" i="12"/>
  <c r="F3707" i="12"/>
  <c r="J3706" i="12"/>
  <c r="I3706" i="12"/>
  <c r="H3706" i="12"/>
  <c r="F3706" i="12"/>
  <c r="J3705" i="12"/>
  <c r="I3705" i="12"/>
  <c r="H3705" i="12"/>
  <c r="F3705" i="12"/>
  <c r="J3704" i="12"/>
  <c r="I3704" i="12"/>
  <c r="H3704" i="12"/>
  <c r="F3704" i="12"/>
  <c r="J3703" i="12"/>
  <c r="I3703" i="12"/>
  <c r="H3703" i="12"/>
  <c r="F3703" i="12"/>
  <c r="J3702" i="12"/>
  <c r="I3702" i="12"/>
  <c r="H3702" i="12"/>
  <c r="F3702" i="12"/>
  <c r="J3701" i="12"/>
  <c r="I3701" i="12"/>
  <c r="H3701" i="12"/>
  <c r="F3701" i="12"/>
  <c r="J3700" i="12"/>
  <c r="I3700" i="12"/>
  <c r="H3700" i="12"/>
  <c r="F3700" i="12"/>
  <c r="J3699" i="12"/>
  <c r="I3699" i="12"/>
  <c r="H3699" i="12"/>
  <c r="F3699" i="12"/>
  <c r="J3698" i="12"/>
  <c r="I3698" i="12"/>
  <c r="H3698" i="12"/>
  <c r="F3698" i="12"/>
  <c r="J3697" i="12"/>
  <c r="I3697" i="12"/>
  <c r="H3697" i="12"/>
  <c r="F3697" i="12"/>
  <c r="J3696" i="12"/>
  <c r="I3696" i="12"/>
  <c r="H3696" i="12"/>
  <c r="F3696" i="12"/>
  <c r="J3695" i="12"/>
  <c r="I3695" i="12"/>
  <c r="H3695" i="12"/>
  <c r="F3695" i="12"/>
  <c r="J3694" i="12"/>
  <c r="I3694" i="12"/>
  <c r="H3694" i="12"/>
  <c r="F3694" i="12"/>
  <c r="J3693" i="12"/>
  <c r="I3693" i="12"/>
  <c r="H3693" i="12"/>
  <c r="F3693" i="12"/>
  <c r="J3692" i="12"/>
  <c r="I3692" i="12"/>
  <c r="H3692" i="12"/>
  <c r="F3692" i="12"/>
  <c r="J3691" i="12"/>
  <c r="I3691" i="12"/>
  <c r="H3691" i="12"/>
  <c r="F3691" i="12"/>
  <c r="J3690" i="12"/>
  <c r="I3690" i="12"/>
  <c r="H3690" i="12"/>
  <c r="F3690" i="12"/>
  <c r="J3689" i="12"/>
  <c r="I3689" i="12"/>
  <c r="H3689" i="12"/>
  <c r="F3689" i="12"/>
  <c r="J3688" i="12"/>
  <c r="I3688" i="12"/>
  <c r="H3688" i="12"/>
  <c r="F3688" i="12"/>
  <c r="J3687" i="12"/>
  <c r="I3687" i="12"/>
  <c r="H3687" i="12"/>
  <c r="F3687" i="12"/>
  <c r="J3686" i="12"/>
  <c r="I3686" i="12"/>
  <c r="H3686" i="12"/>
  <c r="F3686" i="12"/>
  <c r="J3685" i="12"/>
  <c r="I3685" i="12"/>
  <c r="H3685" i="12"/>
  <c r="F3685" i="12"/>
  <c r="J3684" i="12"/>
  <c r="I3684" i="12"/>
  <c r="H3684" i="12"/>
  <c r="F3684" i="12"/>
  <c r="J3683" i="12"/>
  <c r="I3683" i="12"/>
  <c r="H3683" i="12"/>
  <c r="F3683" i="12"/>
  <c r="J3682" i="12"/>
  <c r="I3682" i="12"/>
  <c r="H3682" i="12"/>
  <c r="F3682" i="12"/>
  <c r="J3681" i="12"/>
  <c r="I3681" i="12"/>
  <c r="H3681" i="12"/>
  <c r="F3681" i="12"/>
  <c r="J3680" i="12"/>
  <c r="I3680" i="12"/>
  <c r="H3680" i="12"/>
  <c r="F3680" i="12"/>
  <c r="J3679" i="12"/>
  <c r="I3679" i="12"/>
  <c r="H3679" i="12"/>
  <c r="F3679" i="12"/>
  <c r="J3678" i="12"/>
  <c r="I3678" i="12"/>
  <c r="H3678" i="12"/>
  <c r="F3678" i="12"/>
  <c r="J3677" i="12"/>
  <c r="I3677" i="12"/>
  <c r="H3677" i="12"/>
  <c r="F3677" i="12"/>
  <c r="J3676" i="12"/>
  <c r="I3676" i="12"/>
  <c r="H3676" i="12"/>
  <c r="F3676" i="12"/>
  <c r="J3675" i="12"/>
  <c r="I3675" i="12"/>
  <c r="H3675" i="12"/>
  <c r="F3675" i="12"/>
  <c r="J3674" i="12"/>
  <c r="I3674" i="12"/>
  <c r="H3674" i="12"/>
  <c r="F3674" i="12"/>
  <c r="J3673" i="12"/>
  <c r="I3673" i="12"/>
  <c r="H3673" i="12"/>
  <c r="F3673" i="12"/>
  <c r="J3672" i="12"/>
  <c r="I3672" i="12"/>
  <c r="H3672" i="12"/>
  <c r="F3672" i="12"/>
  <c r="J3671" i="12"/>
  <c r="I3671" i="12"/>
  <c r="H3671" i="12"/>
  <c r="F3671" i="12"/>
  <c r="J3670" i="12"/>
  <c r="I3670" i="12"/>
  <c r="H3670" i="12"/>
  <c r="F3670" i="12"/>
  <c r="J3669" i="12"/>
  <c r="I3669" i="12"/>
  <c r="H3669" i="12"/>
  <c r="F3669" i="12"/>
  <c r="J3668" i="12"/>
  <c r="I3668" i="12"/>
  <c r="H3668" i="12"/>
  <c r="F3668" i="12"/>
  <c r="J3667" i="12"/>
  <c r="I3667" i="12"/>
  <c r="H3667" i="12"/>
  <c r="F3667" i="12"/>
  <c r="J3666" i="12"/>
  <c r="I3666" i="12"/>
  <c r="H3666" i="12"/>
  <c r="F3666" i="12"/>
  <c r="J3665" i="12"/>
  <c r="I3665" i="12"/>
  <c r="H3665" i="12"/>
  <c r="F3665" i="12"/>
  <c r="J3664" i="12"/>
  <c r="I3664" i="12"/>
  <c r="H3664" i="12"/>
  <c r="F3664" i="12"/>
  <c r="J3663" i="12"/>
  <c r="I3663" i="12"/>
  <c r="H3663" i="12"/>
  <c r="F3663" i="12"/>
  <c r="J3662" i="12"/>
  <c r="I3662" i="12"/>
  <c r="H3662" i="12"/>
  <c r="F3662" i="12"/>
  <c r="J3661" i="12"/>
  <c r="I3661" i="12"/>
  <c r="H3661" i="12"/>
  <c r="F3661" i="12"/>
  <c r="J3660" i="12"/>
  <c r="I3660" i="12"/>
  <c r="H3660" i="12"/>
  <c r="F3660" i="12"/>
  <c r="J3659" i="12"/>
  <c r="I3659" i="12"/>
  <c r="H3659" i="12"/>
  <c r="F3659" i="12"/>
  <c r="J3658" i="12"/>
  <c r="I3658" i="12"/>
  <c r="H3658" i="12"/>
  <c r="F3658" i="12"/>
  <c r="J3657" i="12"/>
  <c r="I3657" i="12"/>
  <c r="H3657" i="12"/>
  <c r="F3657" i="12"/>
  <c r="J3656" i="12"/>
  <c r="I3656" i="12"/>
  <c r="H3656" i="12"/>
  <c r="F3656" i="12"/>
  <c r="J3655" i="12"/>
  <c r="I3655" i="12"/>
  <c r="H3655" i="12"/>
  <c r="F3655" i="12"/>
  <c r="J3654" i="12"/>
  <c r="I3654" i="12"/>
  <c r="H3654" i="12"/>
  <c r="F3654" i="12"/>
  <c r="J3653" i="12"/>
  <c r="I3653" i="12"/>
  <c r="H3653" i="12"/>
  <c r="F3653" i="12"/>
  <c r="J3652" i="12"/>
  <c r="I3652" i="12"/>
  <c r="H3652" i="12"/>
  <c r="F3652" i="12"/>
  <c r="J3651" i="12"/>
  <c r="I3651" i="12"/>
  <c r="H3651" i="12"/>
  <c r="F3651" i="12"/>
  <c r="J3650" i="12"/>
  <c r="I3650" i="12"/>
  <c r="H3650" i="12"/>
  <c r="F3650" i="12"/>
  <c r="J3649" i="12"/>
  <c r="I3649" i="12"/>
  <c r="H3649" i="12"/>
  <c r="F3649" i="12"/>
  <c r="J3648" i="12"/>
  <c r="I3648" i="12"/>
  <c r="H3648" i="12"/>
  <c r="F3648" i="12"/>
  <c r="J3647" i="12"/>
  <c r="I3647" i="12"/>
  <c r="H3647" i="12"/>
  <c r="F3647" i="12"/>
  <c r="J3646" i="12"/>
  <c r="I3646" i="12"/>
  <c r="H3646" i="12"/>
  <c r="F3646" i="12"/>
  <c r="J3645" i="12"/>
  <c r="I3645" i="12"/>
  <c r="H3645" i="12"/>
  <c r="F3645" i="12"/>
  <c r="J3644" i="12"/>
  <c r="I3644" i="12"/>
  <c r="H3644" i="12"/>
  <c r="F3644" i="12"/>
  <c r="J3643" i="12"/>
  <c r="I3643" i="12"/>
  <c r="H3643" i="12"/>
  <c r="F3643" i="12"/>
  <c r="J3642" i="12"/>
  <c r="I3642" i="12"/>
  <c r="H3642" i="12"/>
  <c r="F3642" i="12"/>
  <c r="J3641" i="12"/>
  <c r="I3641" i="12"/>
  <c r="H3641" i="12"/>
  <c r="F3641" i="12"/>
  <c r="J3640" i="12"/>
  <c r="I3640" i="12"/>
  <c r="H3640" i="12"/>
  <c r="F3640" i="12"/>
  <c r="J3639" i="12"/>
  <c r="I3639" i="12"/>
  <c r="H3639" i="12"/>
  <c r="F3639" i="12"/>
  <c r="J3638" i="12"/>
  <c r="I3638" i="12"/>
  <c r="H3638" i="12"/>
  <c r="F3638" i="12"/>
  <c r="J3637" i="12"/>
  <c r="I3637" i="12"/>
  <c r="H3637" i="12"/>
  <c r="F3637" i="12"/>
  <c r="J3636" i="12"/>
  <c r="I3636" i="12"/>
  <c r="H3636" i="12"/>
  <c r="F3636" i="12"/>
  <c r="J3635" i="12"/>
  <c r="I3635" i="12"/>
  <c r="H3635" i="12"/>
  <c r="F3635" i="12"/>
  <c r="J3634" i="12"/>
  <c r="I3634" i="12"/>
  <c r="H3634" i="12"/>
  <c r="F3634" i="12"/>
  <c r="J3633" i="12"/>
  <c r="I3633" i="12"/>
  <c r="H3633" i="12"/>
  <c r="F3633" i="12"/>
  <c r="J3632" i="12"/>
  <c r="I3632" i="12"/>
  <c r="H3632" i="12"/>
  <c r="F3632" i="12"/>
  <c r="J3631" i="12"/>
  <c r="I3631" i="12"/>
  <c r="H3631" i="12"/>
  <c r="F3631" i="12"/>
  <c r="J3630" i="12"/>
  <c r="I3630" i="12"/>
  <c r="H3630" i="12"/>
  <c r="F3630" i="12"/>
  <c r="J3629" i="12"/>
  <c r="I3629" i="12"/>
  <c r="H3629" i="12"/>
  <c r="F3629" i="12"/>
  <c r="J3628" i="12"/>
  <c r="I3628" i="12"/>
  <c r="H3628" i="12"/>
  <c r="F3628" i="12"/>
  <c r="J3627" i="12"/>
  <c r="I3627" i="12"/>
  <c r="H3627" i="12"/>
  <c r="F3627" i="12"/>
  <c r="J3626" i="12"/>
  <c r="I3626" i="12"/>
  <c r="H3626" i="12"/>
  <c r="F3626" i="12"/>
  <c r="J3625" i="12"/>
  <c r="I3625" i="12"/>
  <c r="H3625" i="12"/>
  <c r="F3625" i="12"/>
  <c r="J3624" i="12"/>
  <c r="I3624" i="12"/>
  <c r="H3624" i="12"/>
  <c r="F3624" i="12"/>
  <c r="J3623" i="12"/>
  <c r="I3623" i="12"/>
  <c r="H3623" i="12"/>
  <c r="F3623" i="12"/>
  <c r="J3622" i="12"/>
  <c r="I3622" i="12"/>
  <c r="H3622" i="12"/>
  <c r="F3622" i="12"/>
  <c r="J3621" i="12"/>
  <c r="I3621" i="12"/>
  <c r="H3621" i="12"/>
  <c r="F3621" i="12"/>
  <c r="J3620" i="12"/>
  <c r="I3620" i="12"/>
  <c r="H3620" i="12"/>
  <c r="F3620" i="12"/>
  <c r="J3619" i="12"/>
  <c r="I3619" i="12"/>
  <c r="H3619" i="12"/>
  <c r="F3619" i="12"/>
  <c r="J3618" i="12"/>
  <c r="I3618" i="12"/>
  <c r="H3618" i="12"/>
  <c r="F3618" i="12"/>
  <c r="J3617" i="12"/>
  <c r="I3617" i="12"/>
  <c r="H3617" i="12"/>
  <c r="F3617" i="12"/>
  <c r="J3616" i="12"/>
  <c r="I3616" i="12"/>
  <c r="H3616" i="12"/>
  <c r="F3616" i="12"/>
  <c r="J3615" i="12"/>
  <c r="I3615" i="12"/>
  <c r="H3615" i="12"/>
  <c r="F3615" i="12"/>
  <c r="J3614" i="12"/>
  <c r="I3614" i="12"/>
  <c r="H3614" i="12"/>
  <c r="F3614" i="12"/>
  <c r="J3613" i="12"/>
  <c r="I3613" i="12"/>
  <c r="H3613" i="12"/>
  <c r="F3613" i="12"/>
  <c r="J3612" i="12"/>
  <c r="I3612" i="12"/>
  <c r="H3612" i="12"/>
  <c r="F3612" i="12"/>
  <c r="J3611" i="12"/>
  <c r="I3611" i="12"/>
  <c r="H3611" i="12"/>
  <c r="F3611" i="12"/>
  <c r="J3610" i="12"/>
  <c r="I3610" i="12"/>
  <c r="H3610" i="12"/>
  <c r="F3610" i="12"/>
  <c r="J3609" i="12"/>
  <c r="I3609" i="12"/>
  <c r="H3609" i="12"/>
  <c r="F3609" i="12"/>
  <c r="J3608" i="12"/>
  <c r="I3608" i="12"/>
  <c r="H3608" i="12"/>
  <c r="F3608" i="12"/>
  <c r="J3607" i="12"/>
  <c r="I3607" i="12"/>
  <c r="H3607" i="12"/>
  <c r="F3607" i="12"/>
  <c r="J3606" i="12"/>
  <c r="I3606" i="12"/>
  <c r="H3606" i="12"/>
  <c r="F3606" i="12"/>
  <c r="J3605" i="12"/>
  <c r="I3605" i="12"/>
  <c r="H3605" i="12"/>
  <c r="F3605" i="12"/>
  <c r="J3604" i="12"/>
  <c r="I3604" i="12"/>
  <c r="H3604" i="12"/>
  <c r="F3604" i="12"/>
  <c r="J3603" i="12"/>
  <c r="I3603" i="12"/>
  <c r="H3603" i="12"/>
  <c r="F3603" i="12"/>
  <c r="J3602" i="12"/>
  <c r="I3602" i="12"/>
  <c r="H3602" i="12"/>
  <c r="F3602" i="12"/>
  <c r="J3601" i="12"/>
  <c r="I3601" i="12"/>
  <c r="H3601" i="12"/>
  <c r="F3601" i="12"/>
  <c r="J3600" i="12"/>
  <c r="I3600" i="12"/>
  <c r="H3600" i="12"/>
  <c r="F3600" i="12"/>
  <c r="J3599" i="12"/>
  <c r="I3599" i="12"/>
  <c r="H3599" i="12"/>
  <c r="F3599" i="12"/>
  <c r="J3598" i="12"/>
  <c r="I3598" i="12"/>
  <c r="H3598" i="12"/>
  <c r="F3598" i="12"/>
  <c r="J3597" i="12"/>
  <c r="I3597" i="12"/>
  <c r="H3597" i="12"/>
  <c r="F3597" i="12"/>
  <c r="J3596" i="12"/>
  <c r="I3596" i="12"/>
  <c r="H3596" i="12"/>
  <c r="F3596" i="12"/>
  <c r="J3595" i="12"/>
  <c r="I3595" i="12"/>
  <c r="H3595" i="12"/>
  <c r="F3595" i="12"/>
  <c r="J3594" i="12"/>
  <c r="I3594" i="12"/>
  <c r="H3594" i="12"/>
  <c r="F3594" i="12"/>
  <c r="J3593" i="12"/>
  <c r="I3593" i="12"/>
  <c r="H3593" i="12"/>
  <c r="F3593" i="12"/>
  <c r="J3592" i="12"/>
  <c r="I3592" i="12"/>
  <c r="H3592" i="12"/>
  <c r="F3592" i="12"/>
  <c r="J3591" i="12"/>
  <c r="I3591" i="12"/>
  <c r="H3591" i="12"/>
  <c r="F3591" i="12"/>
  <c r="J3590" i="12"/>
  <c r="I3590" i="12"/>
  <c r="H3590" i="12"/>
  <c r="F3590" i="12"/>
  <c r="J3589" i="12"/>
  <c r="I3589" i="12"/>
  <c r="H3589" i="12"/>
  <c r="F3589" i="12"/>
  <c r="J3588" i="12"/>
  <c r="I3588" i="12"/>
  <c r="H3588" i="12"/>
  <c r="F3588" i="12"/>
  <c r="J3587" i="12"/>
  <c r="I3587" i="12"/>
  <c r="H3587" i="12"/>
  <c r="F3587" i="12"/>
  <c r="J3586" i="12"/>
  <c r="I3586" i="12"/>
  <c r="H3586" i="12"/>
  <c r="F3586" i="12"/>
  <c r="J3585" i="12"/>
  <c r="I3585" i="12"/>
  <c r="H3585" i="12"/>
  <c r="F3585" i="12"/>
  <c r="J3584" i="12"/>
  <c r="I3584" i="12"/>
  <c r="H3584" i="12"/>
  <c r="F3584" i="12"/>
  <c r="J3583" i="12"/>
  <c r="I3583" i="12"/>
  <c r="H3583" i="12"/>
  <c r="F3583" i="12"/>
  <c r="J3582" i="12"/>
  <c r="I3582" i="12"/>
  <c r="H3582" i="12"/>
  <c r="F3582" i="12"/>
  <c r="J3581" i="12"/>
  <c r="I3581" i="12"/>
  <c r="H3581" i="12"/>
  <c r="F3581" i="12"/>
  <c r="J3580" i="12"/>
  <c r="I3580" i="12"/>
  <c r="H3580" i="12"/>
  <c r="F3580" i="12"/>
  <c r="J3579" i="12"/>
  <c r="I3579" i="12"/>
  <c r="H3579" i="12"/>
  <c r="F3579" i="12"/>
  <c r="J3578" i="12"/>
  <c r="I3578" i="12"/>
  <c r="H3578" i="12"/>
  <c r="F3578" i="12"/>
  <c r="J3577" i="12"/>
  <c r="I3577" i="12"/>
  <c r="H3577" i="12"/>
  <c r="F3577" i="12"/>
  <c r="J3576" i="12"/>
  <c r="I3576" i="12"/>
  <c r="H3576" i="12"/>
  <c r="F3576" i="12"/>
  <c r="J3575" i="12"/>
  <c r="I3575" i="12"/>
  <c r="H3575" i="12"/>
  <c r="F3575" i="12"/>
  <c r="J3574" i="12"/>
  <c r="I3574" i="12"/>
  <c r="H3574" i="12"/>
  <c r="F3574" i="12"/>
  <c r="J3573" i="12"/>
  <c r="I3573" i="12"/>
  <c r="H3573" i="12"/>
  <c r="F3573" i="12"/>
  <c r="J3572" i="12"/>
  <c r="I3572" i="12"/>
  <c r="H3572" i="12"/>
  <c r="F3572" i="12"/>
  <c r="J3571" i="12"/>
  <c r="I3571" i="12"/>
  <c r="H3571" i="12"/>
  <c r="F3571" i="12"/>
  <c r="J3570" i="12"/>
  <c r="I3570" i="12"/>
  <c r="H3570" i="12"/>
  <c r="F3570" i="12"/>
  <c r="J3569" i="12"/>
  <c r="I3569" i="12"/>
  <c r="H3569" i="12"/>
  <c r="F3569" i="12"/>
  <c r="J3568" i="12"/>
  <c r="I3568" i="12"/>
  <c r="H3568" i="12"/>
  <c r="F3568" i="12"/>
  <c r="J3567" i="12"/>
  <c r="I3567" i="12"/>
  <c r="H3567" i="12"/>
  <c r="F3567" i="12"/>
  <c r="J3566" i="12"/>
  <c r="I3566" i="12"/>
  <c r="H3566" i="12"/>
  <c r="F3566" i="12"/>
  <c r="J3565" i="12"/>
  <c r="I3565" i="12"/>
  <c r="H3565" i="12"/>
  <c r="F3565" i="12"/>
  <c r="J3564" i="12"/>
  <c r="I3564" i="12"/>
  <c r="H3564" i="12"/>
  <c r="F3564" i="12"/>
  <c r="J3563" i="12"/>
  <c r="I3563" i="12"/>
  <c r="H3563" i="12"/>
  <c r="F3563" i="12"/>
  <c r="J3562" i="12"/>
  <c r="I3562" i="12"/>
  <c r="H3562" i="12"/>
  <c r="F3562" i="12"/>
  <c r="J3561" i="12"/>
  <c r="I3561" i="12"/>
  <c r="H3561" i="12"/>
  <c r="F3561" i="12"/>
  <c r="J3560" i="12"/>
  <c r="I3560" i="12"/>
  <c r="H3560" i="12"/>
  <c r="F3560" i="12"/>
  <c r="J3559" i="12"/>
  <c r="I3559" i="12"/>
  <c r="H3559" i="12"/>
  <c r="F3559" i="12"/>
  <c r="J3558" i="12"/>
  <c r="I3558" i="12"/>
  <c r="H3558" i="12"/>
  <c r="F3558" i="12"/>
  <c r="J3557" i="12"/>
  <c r="I3557" i="12"/>
  <c r="H3557" i="12"/>
  <c r="F3557" i="12"/>
  <c r="J3556" i="12"/>
  <c r="I3556" i="12"/>
  <c r="H3556" i="12"/>
  <c r="F3556" i="12"/>
  <c r="J3555" i="12"/>
  <c r="I3555" i="12"/>
  <c r="H3555" i="12"/>
  <c r="F3555" i="12"/>
  <c r="J3554" i="12"/>
  <c r="I3554" i="12"/>
  <c r="H3554" i="12"/>
  <c r="F3554" i="12"/>
  <c r="J3553" i="12"/>
  <c r="I3553" i="12"/>
  <c r="H3553" i="12"/>
  <c r="F3553" i="12"/>
  <c r="J3552" i="12"/>
  <c r="I3552" i="12"/>
  <c r="H3552" i="12"/>
  <c r="F3552" i="12"/>
  <c r="J3551" i="12"/>
  <c r="I3551" i="12"/>
  <c r="H3551" i="12"/>
  <c r="F3551" i="12"/>
  <c r="J3550" i="12"/>
  <c r="I3550" i="12"/>
  <c r="H3550" i="12"/>
  <c r="F3550" i="12"/>
  <c r="J3549" i="12"/>
  <c r="I3549" i="12"/>
  <c r="H3549" i="12"/>
  <c r="F3549" i="12"/>
  <c r="J3548" i="12"/>
  <c r="I3548" i="12"/>
  <c r="H3548" i="12"/>
  <c r="F3548" i="12"/>
  <c r="J3547" i="12"/>
  <c r="I3547" i="12"/>
  <c r="H3547" i="12"/>
  <c r="F3547" i="12"/>
  <c r="J3546" i="12"/>
  <c r="I3546" i="12"/>
  <c r="H3546" i="12"/>
  <c r="F3546" i="12"/>
  <c r="J3545" i="12"/>
  <c r="I3545" i="12"/>
  <c r="H3545" i="12"/>
  <c r="F3545" i="12"/>
  <c r="J3544" i="12"/>
  <c r="I3544" i="12"/>
  <c r="H3544" i="12"/>
  <c r="F3544" i="12"/>
  <c r="J3543" i="12"/>
  <c r="I3543" i="12"/>
  <c r="H3543" i="12"/>
  <c r="F3543" i="12"/>
  <c r="J3542" i="12"/>
  <c r="I3542" i="12"/>
  <c r="H3542" i="12"/>
  <c r="F3542" i="12"/>
  <c r="J3541" i="12"/>
  <c r="I3541" i="12"/>
  <c r="H3541" i="12"/>
  <c r="F3541" i="12"/>
  <c r="J3540" i="12"/>
  <c r="I3540" i="12"/>
  <c r="H3540" i="12"/>
  <c r="F3540" i="12"/>
  <c r="J3539" i="12"/>
  <c r="I3539" i="12"/>
  <c r="H3539" i="12"/>
  <c r="F3539" i="12"/>
  <c r="J3538" i="12"/>
  <c r="I3538" i="12"/>
  <c r="H3538" i="12"/>
  <c r="F3538" i="12"/>
  <c r="J3537" i="12"/>
  <c r="I3537" i="12"/>
  <c r="H3537" i="12"/>
  <c r="F3537" i="12"/>
  <c r="J3536" i="12"/>
  <c r="I3536" i="12"/>
  <c r="H3536" i="12"/>
  <c r="F3536" i="12"/>
  <c r="J3535" i="12"/>
  <c r="I3535" i="12"/>
  <c r="H3535" i="12"/>
  <c r="F3535" i="12"/>
  <c r="J3534" i="12"/>
  <c r="I3534" i="12"/>
  <c r="H3534" i="12"/>
  <c r="F3534" i="12"/>
  <c r="J3533" i="12"/>
  <c r="I3533" i="12"/>
  <c r="H3533" i="12"/>
  <c r="F3533" i="12"/>
  <c r="J3532" i="12"/>
  <c r="I3532" i="12"/>
  <c r="H3532" i="12"/>
  <c r="F3532" i="12"/>
  <c r="J3531" i="12"/>
  <c r="I3531" i="12"/>
  <c r="H3531" i="12"/>
  <c r="F3531" i="12"/>
  <c r="J3530" i="12"/>
  <c r="I3530" i="12"/>
  <c r="H3530" i="12"/>
  <c r="F3530" i="12"/>
  <c r="J3529" i="12"/>
  <c r="I3529" i="12"/>
  <c r="H3529" i="12"/>
  <c r="F3529" i="12"/>
  <c r="J3528" i="12"/>
  <c r="I3528" i="12"/>
  <c r="H3528" i="12"/>
  <c r="F3528" i="12"/>
  <c r="J3527" i="12"/>
  <c r="I3527" i="12"/>
  <c r="H3527" i="12"/>
  <c r="F3527" i="12"/>
  <c r="J3526" i="12"/>
  <c r="I3526" i="12"/>
  <c r="H3526" i="12"/>
  <c r="F3526" i="12"/>
  <c r="J3525" i="12"/>
  <c r="I3525" i="12"/>
  <c r="H3525" i="12"/>
  <c r="F3525" i="12"/>
  <c r="J3524" i="12"/>
  <c r="I3524" i="12"/>
  <c r="H3524" i="12"/>
  <c r="F3524" i="12"/>
  <c r="J3523" i="12"/>
  <c r="I3523" i="12"/>
  <c r="H3523" i="12"/>
  <c r="F3523" i="12"/>
  <c r="J3522" i="12"/>
  <c r="I3522" i="12"/>
  <c r="H3522" i="12"/>
  <c r="F3522" i="12"/>
  <c r="J3521" i="12"/>
  <c r="I3521" i="12"/>
  <c r="H3521" i="12"/>
  <c r="F3521" i="12"/>
  <c r="J3520" i="12"/>
  <c r="I3520" i="12"/>
  <c r="H3520" i="12"/>
  <c r="F3520" i="12"/>
  <c r="J3519" i="12"/>
  <c r="I3519" i="12"/>
  <c r="H3519" i="12"/>
  <c r="F3519" i="12"/>
  <c r="J3518" i="12"/>
  <c r="I3518" i="12"/>
  <c r="H3518" i="12"/>
  <c r="F3518" i="12"/>
  <c r="J3517" i="12"/>
  <c r="I3517" i="12"/>
  <c r="H3517" i="12"/>
  <c r="F3517" i="12"/>
  <c r="J3516" i="12"/>
  <c r="I3516" i="12"/>
  <c r="H3516" i="12"/>
  <c r="F3516" i="12"/>
  <c r="J3515" i="12"/>
  <c r="I3515" i="12"/>
  <c r="H3515" i="12"/>
  <c r="F3515" i="12"/>
  <c r="J3514" i="12"/>
  <c r="I3514" i="12"/>
  <c r="H3514" i="12"/>
  <c r="F3514" i="12"/>
  <c r="J3513" i="12"/>
  <c r="I3513" i="12"/>
  <c r="H3513" i="12"/>
  <c r="F3513" i="12"/>
  <c r="J3512" i="12"/>
  <c r="I3512" i="12"/>
  <c r="H3512" i="12"/>
  <c r="F3512" i="12"/>
  <c r="J3511" i="12"/>
  <c r="I3511" i="12"/>
  <c r="H3511" i="12"/>
  <c r="F3511" i="12"/>
  <c r="J3510" i="12"/>
  <c r="I3510" i="12"/>
  <c r="H3510" i="12"/>
  <c r="F3510" i="12"/>
  <c r="J3509" i="12"/>
  <c r="I3509" i="12"/>
  <c r="H3509" i="12"/>
  <c r="F3509" i="12"/>
  <c r="J3508" i="12"/>
  <c r="I3508" i="12"/>
  <c r="H3508" i="12"/>
  <c r="F3508" i="12"/>
  <c r="J3507" i="12"/>
  <c r="I3507" i="12"/>
  <c r="H3507" i="12"/>
  <c r="F3507" i="12"/>
  <c r="J3506" i="12"/>
  <c r="I3506" i="12"/>
  <c r="H3506" i="12"/>
  <c r="F3506" i="12"/>
  <c r="J3505" i="12"/>
  <c r="I3505" i="12"/>
  <c r="H3505" i="12"/>
  <c r="F3505" i="12"/>
  <c r="J3504" i="12"/>
  <c r="I3504" i="12"/>
  <c r="H3504" i="12"/>
  <c r="F3504" i="12"/>
  <c r="J3503" i="12"/>
  <c r="I3503" i="12"/>
  <c r="H3503" i="12"/>
  <c r="F3503" i="12"/>
  <c r="J3502" i="12"/>
  <c r="I3502" i="12"/>
  <c r="H3502" i="12"/>
  <c r="F3502" i="12"/>
  <c r="J3501" i="12"/>
  <c r="I3501" i="12"/>
  <c r="H3501" i="12"/>
  <c r="F3501" i="12"/>
  <c r="J3500" i="12"/>
  <c r="I3500" i="12"/>
  <c r="H3500" i="12"/>
  <c r="F3500" i="12"/>
  <c r="J3499" i="12"/>
  <c r="I3499" i="12"/>
  <c r="H3499" i="12"/>
  <c r="F3499" i="12"/>
  <c r="J3498" i="12"/>
  <c r="I3498" i="12"/>
  <c r="H3498" i="12"/>
  <c r="F3498" i="12"/>
  <c r="J3497" i="12"/>
  <c r="I3497" i="12"/>
  <c r="H3497" i="12"/>
  <c r="F3497" i="12"/>
  <c r="J3496" i="12"/>
  <c r="I3496" i="12"/>
  <c r="H3496" i="12"/>
  <c r="F3496" i="12"/>
  <c r="J3495" i="12"/>
  <c r="I3495" i="12"/>
  <c r="H3495" i="12"/>
  <c r="F3495" i="12"/>
  <c r="J3494" i="12"/>
  <c r="I3494" i="12"/>
  <c r="H3494" i="12"/>
  <c r="F3494" i="12"/>
  <c r="J3493" i="12"/>
  <c r="I3493" i="12"/>
  <c r="H3493" i="12"/>
  <c r="F3493" i="12"/>
  <c r="J3492" i="12"/>
  <c r="I3492" i="12"/>
  <c r="H3492" i="12"/>
  <c r="F3492" i="12"/>
  <c r="J3491" i="12"/>
  <c r="I3491" i="12"/>
  <c r="H3491" i="12"/>
  <c r="F3491" i="12"/>
  <c r="J3490" i="12"/>
  <c r="I3490" i="12"/>
  <c r="H3490" i="12"/>
  <c r="F3490" i="12"/>
  <c r="J3489" i="12"/>
  <c r="I3489" i="12"/>
  <c r="H3489" i="12"/>
  <c r="F3489" i="12"/>
  <c r="J3488" i="12"/>
  <c r="I3488" i="12"/>
  <c r="H3488" i="12"/>
  <c r="F3488" i="12"/>
  <c r="J3487" i="12"/>
  <c r="I3487" i="12"/>
  <c r="H3487" i="12"/>
  <c r="F3487" i="12"/>
  <c r="J3486" i="12"/>
  <c r="I3486" i="12"/>
  <c r="H3486" i="12"/>
  <c r="F3486" i="12"/>
  <c r="J3485" i="12"/>
  <c r="I3485" i="12"/>
  <c r="H3485" i="12"/>
  <c r="F3485" i="12"/>
  <c r="J3484" i="12"/>
  <c r="I3484" i="12"/>
  <c r="H3484" i="12"/>
  <c r="F3484" i="12"/>
  <c r="J3483" i="12"/>
  <c r="I3483" i="12"/>
  <c r="H3483" i="12"/>
  <c r="F3483" i="12"/>
  <c r="J3482" i="12"/>
  <c r="I3482" i="12"/>
  <c r="H3482" i="12"/>
  <c r="F3482" i="12"/>
  <c r="J3481" i="12"/>
  <c r="I3481" i="12"/>
  <c r="H3481" i="12"/>
  <c r="F3481" i="12"/>
  <c r="J3480" i="12"/>
  <c r="I3480" i="12"/>
  <c r="H3480" i="12"/>
  <c r="F3480" i="12"/>
  <c r="J3479" i="12"/>
  <c r="I3479" i="12"/>
  <c r="H3479" i="12"/>
  <c r="F3479" i="12"/>
  <c r="J3478" i="12"/>
  <c r="I3478" i="12"/>
  <c r="H3478" i="12"/>
  <c r="F3478" i="12"/>
  <c r="J3477" i="12"/>
  <c r="I3477" i="12"/>
  <c r="H3477" i="12"/>
  <c r="F3477" i="12"/>
  <c r="J3476" i="12"/>
  <c r="I3476" i="12"/>
  <c r="H3476" i="12"/>
  <c r="F3476" i="12"/>
  <c r="J3475" i="12"/>
  <c r="I3475" i="12"/>
  <c r="H3475" i="12"/>
  <c r="F3475" i="12"/>
  <c r="J3474" i="12"/>
  <c r="I3474" i="12"/>
  <c r="H3474" i="12"/>
  <c r="F3474" i="12"/>
  <c r="J3473" i="12"/>
  <c r="I3473" i="12"/>
  <c r="H3473" i="12"/>
  <c r="F3473" i="12"/>
  <c r="J3472" i="12"/>
  <c r="I3472" i="12"/>
  <c r="H3472" i="12"/>
  <c r="F3472" i="12"/>
  <c r="J3471" i="12"/>
  <c r="I3471" i="12"/>
  <c r="H3471" i="12"/>
  <c r="F3471" i="12"/>
  <c r="J3470" i="12"/>
  <c r="I3470" i="12"/>
  <c r="H3470" i="12"/>
  <c r="F3470" i="12"/>
  <c r="J3469" i="12"/>
  <c r="I3469" i="12"/>
  <c r="H3469" i="12"/>
  <c r="F3469" i="12"/>
  <c r="J3468" i="12"/>
  <c r="I3468" i="12"/>
  <c r="H3468" i="12"/>
  <c r="F3468" i="12"/>
  <c r="J3467" i="12"/>
  <c r="I3467" i="12"/>
  <c r="H3467" i="12"/>
  <c r="F3467" i="12"/>
  <c r="J3466" i="12"/>
  <c r="I3466" i="12"/>
  <c r="H3466" i="12"/>
  <c r="F3466" i="12"/>
  <c r="J3465" i="12"/>
  <c r="I3465" i="12"/>
  <c r="H3465" i="12"/>
  <c r="F3465" i="12"/>
  <c r="J3464" i="12"/>
  <c r="I3464" i="12"/>
  <c r="H3464" i="12"/>
  <c r="F3464" i="12"/>
  <c r="J3463" i="12"/>
  <c r="I3463" i="12"/>
  <c r="H3463" i="12"/>
  <c r="F3463" i="12"/>
  <c r="J3462" i="12"/>
  <c r="I3462" i="12"/>
  <c r="H3462" i="12"/>
  <c r="F3462" i="12"/>
  <c r="J3461" i="12"/>
  <c r="I3461" i="12"/>
  <c r="H3461" i="12"/>
  <c r="F3461" i="12"/>
  <c r="J3460" i="12"/>
  <c r="I3460" i="12"/>
  <c r="H3460" i="12"/>
  <c r="F3460" i="12"/>
  <c r="J3459" i="12"/>
  <c r="I3459" i="12"/>
  <c r="H3459" i="12"/>
  <c r="F3459" i="12"/>
  <c r="J3458" i="12"/>
  <c r="I3458" i="12"/>
  <c r="H3458" i="12"/>
  <c r="F3458" i="12"/>
  <c r="J3457" i="12"/>
  <c r="I3457" i="12"/>
  <c r="H3457" i="12"/>
  <c r="F3457" i="12"/>
  <c r="J3456" i="12"/>
  <c r="I3456" i="12"/>
  <c r="H3456" i="12"/>
  <c r="F3456" i="12"/>
  <c r="J3455" i="12"/>
  <c r="I3455" i="12"/>
  <c r="H3455" i="12"/>
  <c r="F3455" i="12"/>
  <c r="J3454" i="12"/>
  <c r="I3454" i="12"/>
  <c r="H3454" i="12"/>
  <c r="F3454" i="12"/>
  <c r="J3453" i="12"/>
  <c r="I3453" i="12"/>
  <c r="H3453" i="12"/>
  <c r="F3453" i="12"/>
  <c r="J3452" i="12"/>
  <c r="I3452" i="12"/>
  <c r="H3452" i="12"/>
  <c r="F3452" i="12"/>
  <c r="J3451" i="12"/>
  <c r="I3451" i="12"/>
  <c r="H3451" i="12"/>
  <c r="F3451" i="12"/>
  <c r="J3450" i="12"/>
  <c r="I3450" i="12"/>
  <c r="H3450" i="12"/>
  <c r="F3450" i="12"/>
  <c r="J3449" i="12"/>
  <c r="I3449" i="12"/>
  <c r="H3449" i="12"/>
  <c r="F3449" i="12"/>
  <c r="J3448" i="12"/>
  <c r="I3448" i="12"/>
  <c r="H3448" i="12"/>
  <c r="F3448" i="12"/>
  <c r="J3447" i="12"/>
  <c r="I3447" i="12"/>
  <c r="H3447" i="12"/>
  <c r="F3447" i="12"/>
  <c r="J3446" i="12"/>
  <c r="I3446" i="12"/>
  <c r="H3446" i="12"/>
  <c r="F3446" i="12"/>
  <c r="J3445" i="12"/>
  <c r="I3445" i="12"/>
  <c r="H3445" i="12"/>
  <c r="F3445" i="12"/>
  <c r="J3444" i="12"/>
  <c r="I3444" i="12"/>
  <c r="H3444" i="12"/>
  <c r="F3444" i="12"/>
  <c r="J3443" i="12"/>
  <c r="I3443" i="12"/>
  <c r="H3443" i="12"/>
  <c r="F3443" i="12"/>
  <c r="J3442" i="12"/>
  <c r="I3442" i="12"/>
  <c r="H3442" i="12"/>
  <c r="F3442" i="12"/>
  <c r="J3441" i="12"/>
  <c r="I3441" i="12"/>
  <c r="H3441" i="12"/>
  <c r="F3441" i="12"/>
  <c r="J3440" i="12"/>
  <c r="I3440" i="12"/>
  <c r="H3440" i="12"/>
  <c r="F3440" i="12"/>
  <c r="J3439" i="12"/>
  <c r="I3439" i="12"/>
  <c r="H3439" i="12"/>
  <c r="F3439" i="12"/>
  <c r="J3438" i="12"/>
  <c r="I3438" i="12"/>
  <c r="H3438" i="12"/>
  <c r="F3438" i="12"/>
  <c r="J3437" i="12"/>
  <c r="I3437" i="12"/>
  <c r="H3437" i="12"/>
  <c r="F3437" i="12"/>
  <c r="J3436" i="12"/>
  <c r="I3436" i="12"/>
  <c r="H3436" i="12"/>
  <c r="F3436" i="12"/>
  <c r="J3435" i="12"/>
  <c r="I3435" i="12"/>
  <c r="H3435" i="12"/>
  <c r="F3435" i="12"/>
  <c r="J3434" i="12"/>
  <c r="I3434" i="12"/>
  <c r="H3434" i="12"/>
  <c r="F3434" i="12"/>
  <c r="J3433" i="12"/>
  <c r="I3433" i="12"/>
  <c r="H3433" i="12"/>
  <c r="F3433" i="12"/>
  <c r="J3432" i="12"/>
  <c r="I3432" i="12"/>
  <c r="H3432" i="12"/>
  <c r="F3432" i="12"/>
  <c r="J3431" i="12"/>
  <c r="I3431" i="12"/>
  <c r="H3431" i="12"/>
  <c r="F3431" i="12"/>
  <c r="J3430" i="12"/>
  <c r="I3430" i="12"/>
  <c r="H3430" i="12"/>
  <c r="F3430" i="12"/>
  <c r="J3429" i="12"/>
  <c r="I3429" i="12"/>
  <c r="H3429" i="12"/>
  <c r="F3429" i="12"/>
  <c r="J3428" i="12"/>
  <c r="I3428" i="12"/>
  <c r="H3428" i="12"/>
  <c r="F3428" i="12"/>
  <c r="J3427" i="12"/>
  <c r="I3427" i="12"/>
  <c r="H3427" i="12"/>
  <c r="F3427" i="12"/>
  <c r="J3426" i="12"/>
  <c r="I3426" i="12"/>
  <c r="H3426" i="12"/>
  <c r="F3426" i="12"/>
  <c r="J3425" i="12"/>
  <c r="I3425" i="12"/>
  <c r="H3425" i="12"/>
  <c r="F3425" i="12"/>
  <c r="J3424" i="12"/>
  <c r="I3424" i="12"/>
  <c r="H3424" i="12"/>
  <c r="F3424" i="12"/>
  <c r="J3423" i="12"/>
  <c r="I3423" i="12"/>
  <c r="H3423" i="12"/>
  <c r="F3423" i="12"/>
  <c r="J3422" i="12"/>
  <c r="I3422" i="12"/>
  <c r="H3422" i="12"/>
  <c r="F3422" i="12"/>
  <c r="J3421" i="12"/>
  <c r="I3421" i="12"/>
  <c r="H3421" i="12"/>
  <c r="F3421" i="12"/>
  <c r="J3420" i="12"/>
  <c r="I3420" i="12"/>
  <c r="H3420" i="12"/>
  <c r="F3420" i="12"/>
  <c r="J3419" i="12"/>
  <c r="I3419" i="12"/>
  <c r="H3419" i="12"/>
  <c r="F3419" i="12"/>
  <c r="J3418" i="12"/>
  <c r="I3418" i="12"/>
  <c r="H3418" i="12"/>
  <c r="F3418" i="12"/>
  <c r="J3417" i="12"/>
  <c r="I3417" i="12"/>
  <c r="H3417" i="12"/>
  <c r="F3417" i="12"/>
  <c r="J3416" i="12"/>
  <c r="I3416" i="12"/>
  <c r="H3416" i="12"/>
  <c r="F3416" i="12"/>
  <c r="J3415" i="12"/>
  <c r="I3415" i="12"/>
  <c r="H3415" i="12"/>
  <c r="F3415" i="12"/>
  <c r="J3414" i="12"/>
  <c r="I3414" i="12"/>
  <c r="H3414" i="12"/>
  <c r="F3414" i="12"/>
  <c r="J3413" i="12"/>
  <c r="I3413" i="12"/>
  <c r="H3413" i="12"/>
  <c r="F3413" i="12"/>
  <c r="J3412" i="12"/>
  <c r="I3412" i="12"/>
  <c r="H3412" i="12"/>
  <c r="F3412" i="12"/>
  <c r="J3411" i="12"/>
  <c r="I3411" i="12"/>
  <c r="H3411" i="12"/>
  <c r="F3411" i="12"/>
  <c r="J3410" i="12"/>
  <c r="I3410" i="12"/>
  <c r="H3410" i="12"/>
  <c r="F3410" i="12"/>
  <c r="J3409" i="12"/>
  <c r="I3409" i="12"/>
  <c r="H3409" i="12"/>
  <c r="F3409" i="12"/>
  <c r="J3408" i="12"/>
  <c r="I3408" i="12"/>
  <c r="H3408" i="12"/>
  <c r="F3408" i="12"/>
  <c r="J3407" i="12"/>
  <c r="I3407" i="12"/>
  <c r="H3407" i="12"/>
  <c r="F3407" i="12"/>
  <c r="J3406" i="12"/>
  <c r="I3406" i="12"/>
  <c r="H3406" i="12"/>
  <c r="F3406" i="12"/>
  <c r="J3405" i="12"/>
  <c r="I3405" i="12"/>
  <c r="H3405" i="12"/>
  <c r="F3405" i="12"/>
  <c r="J3404" i="12"/>
  <c r="I3404" i="12"/>
  <c r="H3404" i="12"/>
  <c r="F3404" i="12"/>
  <c r="J3403" i="12"/>
  <c r="I3403" i="12"/>
  <c r="H3403" i="12"/>
  <c r="F3403" i="12"/>
  <c r="J3402" i="12"/>
  <c r="I3402" i="12"/>
  <c r="H3402" i="12"/>
  <c r="F3402" i="12"/>
  <c r="J3401" i="12"/>
  <c r="I3401" i="12"/>
  <c r="H3401" i="12"/>
  <c r="F3401" i="12"/>
  <c r="J3400" i="12"/>
  <c r="I3400" i="12"/>
  <c r="H3400" i="12"/>
  <c r="F3400" i="12"/>
  <c r="J3399" i="12"/>
  <c r="I3399" i="12"/>
  <c r="H3399" i="12"/>
  <c r="F3399" i="12"/>
  <c r="J3398" i="12"/>
  <c r="I3398" i="12"/>
  <c r="H3398" i="12"/>
  <c r="F3398" i="12"/>
  <c r="J3397" i="12"/>
  <c r="I3397" i="12"/>
  <c r="H3397" i="12"/>
  <c r="F3397" i="12"/>
  <c r="J3396" i="12"/>
  <c r="I3396" i="12"/>
  <c r="H3396" i="12"/>
  <c r="F3396" i="12"/>
  <c r="J3395" i="12"/>
  <c r="I3395" i="12"/>
  <c r="H3395" i="12"/>
  <c r="F3395" i="12"/>
  <c r="J3394" i="12"/>
  <c r="I3394" i="12"/>
  <c r="H3394" i="12"/>
  <c r="F3394" i="12"/>
  <c r="J3393" i="12"/>
  <c r="I3393" i="12"/>
  <c r="H3393" i="12"/>
  <c r="F3393" i="12"/>
  <c r="J3392" i="12"/>
  <c r="I3392" i="12"/>
  <c r="H3392" i="12"/>
  <c r="F3392" i="12"/>
  <c r="J3391" i="12"/>
  <c r="I3391" i="12"/>
  <c r="H3391" i="12"/>
  <c r="F3391" i="12"/>
  <c r="J3390" i="12"/>
  <c r="I3390" i="12"/>
  <c r="H3390" i="12"/>
  <c r="F3390" i="12"/>
  <c r="J3389" i="12"/>
  <c r="I3389" i="12"/>
  <c r="H3389" i="12"/>
  <c r="F3389" i="12"/>
  <c r="J3388" i="12"/>
  <c r="I3388" i="12"/>
  <c r="H3388" i="12"/>
  <c r="F3388" i="12"/>
  <c r="J3387" i="12"/>
  <c r="I3387" i="12"/>
  <c r="H3387" i="12"/>
  <c r="F3387" i="12"/>
  <c r="J3386" i="12"/>
  <c r="I3386" i="12"/>
  <c r="H3386" i="12"/>
  <c r="F3386" i="12"/>
  <c r="J3385" i="12"/>
  <c r="I3385" i="12"/>
  <c r="H3385" i="12"/>
  <c r="F3385" i="12"/>
  <c r="J3384" i="12"/>
  <c r="I3384" i="12"/>
  <c r="H3384" i="12"/>
  <c r="F3384" i="12"/>
  <c r="J3383" i="12"/>
  <c r="I3383" i="12"/>
  <c r="H3383" i="12"/>
  <c r="F3383" i="12"/>
  <c r="J3382" i="12"/>
  <c r="I3382" i="12"/>
  <c r="H3382" i="12"/>
  <c r="F3382" i="12"/>
  <c r="J3381" i="12"/>
  <c r="I3381" i="12"/>
  <c r="H3381" i="12"/>
  <c r="F3381" i="12"/>
  <c r="J3380" i="12"/>
  <c r="I3380" i="12"/>
  <c r="H3380" i="12"/>
  <c r="F3380" i="12"/>
  <c r="J3379" i="12"/>
  <c r="I3379" i="12"/>
  <c r="H3379" i="12"/>
  <c r="F3379" i="12"/>
  <c r="J3378" i="12"/>
  <c r="I3378" i="12"/>
  <c r="H3378" i="12"/>
  <c r="F3378" i="12"/>
  <c r="J3377" i="12"/>
  <c r="I3377" i="12"/>
  <c r="H3377" i="12"/>
  <c r="F3377" i="12"/>
  <c r="J3376" i="12"/>
  <c r="I3376" i="12"/>
  <c r="H3376" i="12"/>
  <c r="F3376" i="12"/>
  <c r="J3375" i="12"/>
  <c r="I3375" i="12"/>
  <c r="H3375" i="12"/>
  <c r="F3375" i="12"/>
  <c r="J3374" i="12"/>
  <c r="I3374" i="12"/>
  <c r="H3374" i="12"/>
  <c r="F3374" i="12"/>
  <c r="J3373" i="12"/>
  <c r="I3373" i="12"/>
  <c r="H3373" i="12"/>
  <c r="F3373" i="12"/>
  <c r="J3372" i="12"/>
  <c r="I3372" i="12"/>
  <c r="H3372" i="12"/>
  <c r="F3372" i="12"/>
  <c r="J3371" i="12"/>
  <c r="I3371" i="12"/>
  <c r="H3371" i="12"/>
  <c r="F3371" i="12"/>
  <c r="J3370" i="12"/>
  <c r="I3370" i="12"/>
  <c r="H3370" i="12"/>
  <c r="F3370" i="12"/>
  <c r="J3369" i="12"/>
  <c r="I3369" i="12"/>
  <c r="H3369" i="12"/>
  <c r="F3369" i="12"/>
  <c r="J3368" i="12"/>
  <c r="I3368" i="12"/>
  <c r="H3368" i="12"/>
  <c r="F3368" i="12"/>
  <c r="J3367" i="12"/>
  <c r="I3367" i="12"/>
  <c r="H3367" i="12"/>
  <c r="F3367" i="12"/>
  <c r="J3366" i="12"/>
  <c r="I3366" i="12"/>
  <c r="H3366" i="12"/>
  <c r="F3366" i="12"/>
  <c r="J3365" i="12"/>
  <c r="I3365" i="12"/>
  <c r="H3365" i="12"/>
  <c r="F3365" i="12"/>
  <c r="J3364" i="12"/>
  <c r="I3364" i="12"/>
  <c r="H3364" i="12"/>
  <c r="F3364" i="12"/>
  <c r="J3363" i="12"/>
  <c r="I3363" i="12"/>
  <c r="H3363" i="12"/>
  <c r="F3363" i="12"/>
  <c r="J3362" i="12"/>
  <c r="I3362" i="12"/>
  <c r="H3362" i="12"/>
  <c r="F3362" i="12"/>
  <c r="J3361" i="12"/>
  <c r="I3361" i="12"/>
  <c r="H3361" i="12"/>
  <c r="F3361" i="12"/>
  <c r="J3360" i="12"/>
  <c r="I3360" i="12"/>
  <c r="H3360" i="12"/>
  <c r="F3360" i="12"/>
  <c r="J3359" i="12"/>
  <c r="I3359" i="12"/>
  <c r="H3359" i="12"/>
  <c r="F3359" i="12"/>
  <c r="J3358" i="12"/>
  <c r="I3358" i="12"/>
  <c r="H3358" i="12"/>
  <c r="F3358" i="12"/>
  <c r="J3357" i="12"/>
  <c r="I3357" i="12"/>
  <c r="H3357" i="12"/>
  <c r="F3357" i="12"/>
  <c r="J3356" i="12"/>
  <c r="I3356" i="12"/>
  <c r="H3356" i="12"/>
  <c r="F3356" i="12"/>
  <c r="J3355" i="12"/>
  <c r="I3355" i="12"/>
  <c r="H3355" i="12"/>
  <c r="F3355" i="12"/>
  <c r="J3354" i="12"/>
  <c r="I3354" i="12"/>
  <c r="H3354" i="12"/>
  <c r="F3354" i="12"/>
  <c r="J3353" i="12"/>
  <c r="I3353" i="12"/>
  <c r="H3353" i="12"/>
  <c r="F3353" i="12"/>
  <c r="J3352" i="12"/>
  <c r="I3352" i="12"/>
  <c r="H3352" i="12"/>
  <c r="F3352" i="12"/>
  <c r="J3351" i="12"/>
  <c r="I3351" i="12"/>
  <c r="H3351" i="12"/>
  <c r="F3351" i="12"/>
  <c r="J3350" i="12"/>
  <c r="I3350" i="12"/>
  <c r="H3350" i="12"/>
  <c r="F3350" i="12"/>
  <c r="J3349" i="12"/>
  <c r="I3349" i="12"/>
  <c r="H3349" i="12"/>
  <c r="F3349" i="12"/>
  <c r="J3348" i="12"/>
  <c r="I3348" i="12"/>
  <c r="H3348" i="12"/>
  <c r="F3348" i="12"/>
  <c r="J3347" i="12"/>
  <c r="I3347" i="12"/>
  <c r="H3347" i="12"/>
  <c r="F3347" i="12"/>
  <c r="J3346" i="12"/>
  <c r="I3346" i="12"/>
  <c r="H3346" i="12"/>
  <c r="F3346" i="12"/>
  <c r="J3345" i="12"/>
  <c r="I3345" i="12"/>
  <c r="H3345" i="12"/>
  <c r="F3345" i="12"/>
  <c r="J3344" i="12"/>
  <c r="I3344" i="12"/>
  <c r="H3344" i="12"/>
  <c r="F3344" i="12"/>
  <c r="J3343" i="12"/>
  <c r="I3343" i="12"/>
  <c r="H3343" i="12"/>
  <c r="F3343" i="12"/>
  <c r="J3342" i="12"/>
  <c r="I3342" i="12"/>
  <c r="H3342" i="12"/>
  <c r="F3342" i="12"/>
  <c r="J3341" i="12"/>
  <c r="I3341" i="12"/>
  <c r="H3341" i="12"/>
  <c r="F3341" i="12"/>
  <c r="J3340" i="12"/>
  <c r="I3340" i="12"/>
  <c r="H3340" i="12"/>
  <c r="F3340" i="12"/>
  <c r="J3339" i="12"/>
  <c r="I3339" i="12"/>
  <c r="H3339" i="12"/>
  <c r="F3339" i="12"/>
  <c r="J3338" i="12"/>
  <c r="I3338" i="12"/>
  <c r="H3338" i="12"/>
  <c r="F3338" i="12"/>
  <c r="J3337" i="12"/>
  <c r="I3337" i="12"/>
  <c r="H3337" i="12"/>
  <c r="F3337" i="12"/>
  <c r="J3336" i="12"/>
  <c r="I3336" i="12"/>
  <c r="H3336" i="12"/>
  <c r="F3336" i="12"/>
  <c r="J3335" i="12"/>
  <c r="I3335" i="12"/>
  <c r="H3335" i="12"/>
  <c r="F3335" i="12"/>
  <c r="J3334" i="12"/>
  <c r="I3334" i="12"/>
  <c r="H3334" i="12"/>
  <c r="F3334" i="12"/>
  <c r="J3333" i="12"/>
  <c r="I3333" i="12"/>
  <c r="H3333" i="12"/>
  <c r="F3333" i="12"/>
  <c r="J3332" i="12"/>
  <c r="I3332" i="12"/>
  <c r="H3332" i="12"/>
  <c r="F3332" i="12"/>
  <c r="J3331" i="12"/>
  <c r="I3331" i="12"/>
  <c r="H3331" i="12"/>
  <c r="F3331" i="12"/>
  <c r="J3330" i="12"/>
  <c r="I3330" i="12"/>
  <c r="H3330" i="12"/>
  <c r="F3330" i="12"/>
  <c r="J3329" i="12"/>
  <c r="I3329" i="12"/>
  <c r="H3329" i="12"/>
  <c r="F3329" i="12"/>
  <c r="J3328" i="12"/>
  <c r="I3328" i="12"/>
  <c r="H3328" i="12"/>
  <c r="F3328" i="12"/>
  <c r="J3327" i="12"/>
  <c r="I3327" i="12"/>
  <c r="H3327" i="12"/>
  <c r="F3327" i="12"/>
  <c r="J3326" i="12"/>
  <c r="I3326" i="12"/>
  <c r="H3326" i="12"/>
  <c r="F3326" i="12"/>
  <c r="J3325" i="12"/>
  <c r="I3325" i="12"/>
  <c r="H3325" i="12"/>
  <c r="F3325" i="12"/>
  <c r="J3324" i="12"/>
  <c r="I3324" i="12"/>
  <c r="H3324" i="12"/>
  <c r="F3324" i="12"/>
  <c r="J3323" i="12"/>
  <c r="I3323" i="12"/>
  <c r="H3323" i="12"/>
  <c r="F3323" i="12"/>
  <c r="J3322" i="12"/>
  <c r="I3322" i="12"/>
  <c r="H3322" i="12"/>
  <c r="F3322" i="12"/>
  <c r="J3321" i="12"/>
  <c r="I3321" i="12"/>
  <c r="H3321" i="12"/>
  <c r="F3321" i="12"/>
  <c r="J3320" i="12"/>
  <c r="I3320" i="12"/>
  <c r="H3320" i="12"/>
  <c r="F3320" i="12"/>
  <c r="J3319" i="12"/>
  <c r="I3319" i="12"/>
  <c r="H3319" i="12"/>
  <c r="F3319" i="12"/>
  <c r="J3318" i="12"/>
  <c r="I3318" i="12"/>
  <c r="H3318" i="12"/>
  <c r="F3318" i="12"/>
  <c r="J3317" i="12"/>
  <c r="I3317" i="12"/>
  <c r="H3317" i="12"/>
  <c r="F3317" i="12"/>
  <c r="J3316" i="12"/>
  <c r="I3316" i="12"/>
  <c r="H3316" i="12"/>
  <c r="F3316" i="12"/>
  <c r="J3315" i="12"/>
  <c r="I3315" i="12"/>
  <c r="H3315" i="12"/>
  <c r="F3315" i="12"/>
  <c r="J3314" i="12"/>
  <c r="I3314" i="12"/>
  <c r="H3314" i="12"/>
  <c r="F3314" i="12"/>
  <c r="J3313" i="12"/>
  <c r="I3313" i="12"/>
  <c r="H3313" i="12"/>
  <c r="F3313" i="12"/>
  <c r="J3312" i="12"/>
  <c r="I3312" i="12"/>
  <c r="H3312" i="12"/>
  <c r="F3312" i="12"/>
  <c r="J3311" i="12"/>
  <c r="I3311" i="12"/>
  <c r="H3311" i="12"/>
  <c r="F3311" i="12"/>
  <c r="J3310" i="12"/>
  <c r="I3310" i="12"/>
  <c r="H3310" i="12"/>
  <c r="F3310" i="12"/>
  <c r="J3309" i="12"/>
  <c r="I3309" i="12"/>
  <c r="H3309" i="12"/>
  <c r="F3309" i="12"/>
  <c r="J3308" i="12"/>
  <c r="I3308" i="12"/>
  <c r="H3308" i="12"/>
  <c r="F3308" i="12"/>
  <c r="J3307" i="12"/>
  <c r="I3307" i="12"/>
  <c r="H3307" i="12"/>
  <c r="F3307" i="12"/>
  <c r="J3306" i="12"/>
  <c r="I3306" i="12"/>
  <c r="H3306" i="12"/>
  <c r="F3306" i="12"/>
  <c r="J3305" i="12"/>
  <c r="I3305" i="12"/>
  <c r="H3305" i="12"/>
  <c r="F3305" i="12"/>
  <c r="J3304" i="12"/>
  <c r="I3304" i="12"/>
  <c r="H3304" i="12"/>
  <c r="F3304" i="12"/>
  <c r="J3303" i="12"/>
  <c r="I3303" i="12"/>
  <c r="H3303" i="12"/>
  <c r="F3303" i="12"/>
  <c r="J3302" i="12"/>
  <c r="I3302" i="12"/>
  <c r="H3302" i="12"/>
  <c r="F3302" i="12"/>
  <c r="J3301" i="12"/>
  <c r="I3301" i="12"/>
  <c r="H3301" i="12"/>
  <c r="F3301" i="12"/>
  <c r="J3300" i="12"/>
  <c r="I3300" i="12"/>
  <c r="H3300" i="12"/>
  <c r="F3300" i="12"/>
  <c r="J3299" i="12"/>
  <c r="I3299" i="12"/>
  <c r="H3299" i="12"/>
  <c r="F3299" i="12"/>
  <c r="J3298" i="12"/>
  <c r="I3298" i="12"/>
  <c r="H3298" i="12"/>
  <c r="F3298" i="12"/>
  <c r="J3297" i="12"/>
  <c r="I3297" i="12"/>
  <c r="H3297" i="12"/>
  <c r="F3297" i="12"/>
  <c r="J3296" i="12"/>
  <c r="I3296" i="12"/>
  <c r="H3296" i="12"/>
  <c r="F3296" i="12"/>
  <c r="J3295" i="12"/>
  <c r="I3295" i="12"/>
  <c r="H3295" i="12"/>
  <c r="F3295" i="12"/>
  <c r="J3294" i="12"/>
  <c r="I3294" i="12"/>
  <c r="H3294" i="12"/>
  <c r="F3294" i="12"/>
  <c r="J3293" i="12"/>
  <c r="I3293" i="12"/>
  <c r="H3293" i="12"/>
  <c r="F3293" i="12"/>
  <c r="J3292" i="12"/>
  <c r="I3292" i="12"/>
  <c r="H3292" i="12"/>
  <c r="F3292" i="12"/>
  <c r="J3291" i="12"/>
  <c r="I3291" i="12"/>
  <c r="H3291" i="12"/>
  <c r="F3291" i="12"/>
  <c r="J3290" i="12"/>
  <c r="I3290" i="12"/>
  <c r="H3290" i="12"/>
  <c r="F3290" i="12"/>
  <c r="J3289" i="12"/>
  <c r="I3289" i="12"/>
  <c r="H3289" i="12"/>
  <c r="F3289" i="12"/>
  <c r="J3288" i="12"/>
  <c r="I3288" i="12"/>
  <c r="H3288" i="12"/>
  <c r="F3288" i="12"/>
  <c r="J3287" i="12"/>
  <c r="I3287" i="12"/>
  <c r="H3287" i="12"/>
  <c r="F3287" i="12"/>
  <c r="J3286" i="12"/>
  <c r="I3286" i="12"/>
  <c r="H3286" i="12"/>
  <c r="F3286" i="12"/>
  <c r="J3285" i="12"/>
  <c r="I3285" i="12"/>
  <c r="H3285" i="12"/>
  <c r="F3285" i="12"/>
  <c r="J3284" i="12"/>
  <c r="I3284" i="12"/>
  <c r="H3284" i="12"/>
  <c r="F3284" i="12"/>
  <c r="J3283" i="12"/>
  <c r="I3283" i="12"/>
  <c r="H3283" i="12"/>
  <c r="F3283" i="12"/>
  <c r="J3282" i="12"/>
  <c r="I3282" i="12"/>
  <c r="H3282" i="12"/>
  <c r="F3282" i="12"/>
  <c r="J3281" i="12"/>
  <c r="I3281" i="12"/>
  <c r="H3281" i="12"/>
  <c r="F3281" i="12"/>
  <c r="J3280" i="12"/>
  <c r="I3280" i="12"/>
  <c r="H3280" i="12"/>
  <c r="F3280" i="12"/>
  <c r="J3279" i="12"/>
  <c r="I3279" i="12"/>
  <c r="H3279" i="12"/>
  <c r="F3279" i="12"/>
  <c r="J3278" i="12"/>
  <c r="I3278" i="12"/>
  <c r="H3278" i="12"/>
  <c r="F3278" i="12"/>
  <c r="J3277" i="12"/>
  <c r="I3277" i="12"/>
  <c r="H3277" i="12"/>
  <c r="F3277" i="12"/>
  <c r="J3276" i="12"/>
  <c r="I3276" i="12"/>
  <c r="H3276" i="12"/>
  <c r="F3276" i="12"/>
  <c r="J3275" i="12"/>
  <c r="I3275" i="12"/>
  <c r="H3275" i="12"/>
  <c r="F3275" i="12"/>
  <c r="J3274" i="12"/>
  <c r="I3274" i="12"/>
  <c r="H3274" i="12"/>
  <c r="F3274" i="12"/>
  <c r="J3273" i="12"/>
  <c r="I3273" i="12"/>
  <c r="H3273" i="12"/>
  <c r="F3273" i="12"/>
  <c r="J3272" i="12"/>
  <c r="I3272" i="12"/>
  <c r="H3272" i="12"/>
  <c r="F3272" i="12"/>
  <c r="J3271" i="12"/>
  <c r="I3271" i="12"/>
  <c r="H3271" i="12"/>
  <c r="F3271" i="12"/>
  <c r="J3270" i="12"/>
  <c r="I3270" i="12"/>
  <c r="H3270" i="12"/>
  <c r="F3270" i="12"/>
  <c r="J3269" i="12"/>
  <c r="I3269" i="12"/>
  <c r="H3269" i="12"/>
  <c r="F3269" i="12"/>
  <c r="J3268" i="12"/>
  <c r="I3268" i="12"/>
  <c r="H3268" i="12"/>
  <c r="F3268" i="12"/>
  <c r="J3267" i="12"/>
  <c r="I3267" i="12"/>
  <c r="H3267" i="12"/>
  <c r="F3267" i="12"/>
  <c r="J3266" i="12"/>
  <c r="I3266" i="12"/>
  <c r="H3266" i="12"/>
  <c r="F3266" i="12"/>
  <c r="J3265" i="12"/>
  <c r="I3265" i="12"/>
  <c r="H3265" i="12"/>
  <c r="F3265" i="12"/>
  <c r="J3264" i="12"/>
  <c r="I3264" i="12"/>
  <c r="H3264" i="12"/>
  <c r="F3264" i="12"/>
  <c r="J3263" i="12"/>
  <c r="I3263" i="12"/>
  <c r="H3263" i="12"/>
  <c r="F3263" i="12"/>
  <c r="J3262" i="12"/>
  <c r="I3262" i="12"/>
  <c r="H3262" i="12"/>
  <c r="F3262" i="12"/>
  <c r="J3261" i="12"/>
  <c r="I3261" i="12"/>
  <c r="H3261" i="12"/>
  <c r="F3261" i="12"/>
  <c r="J3260" i="12"/>
  <c r="I3260" i="12"/>
  <c r="H3260" i="12"/>
  <c r="F3260" i="12"/>
  <c r="J3259" i="12"/>
  <c r="I3259" i="12"/>
  <c r="H3259" i="12"/>
  <c r="F3259" i="12"/>
  <c r="J3258" i="12"/>
  <c r="I3258" i="12"/>
  <c r="H3258" i="12"/>
  <c r="F3258" i="12"/>
  <c r="J3257" i="12"/>
  <c r="I3257" i="12"/>
  <c r="H3257" i="12"/>
  <c r="F3257" i="12"/>
  <c r="J3256" i="12"/>
  <c r="I3256" i="12"/>
  <c r="H3256" i="12"/>
  <c r="F3256" i="12"/>
  <c r="J3255" i="12"/>
  <c r="I3255" i="12"/>
  <c r="H3255" i="12"/>
  <c r="F3255" i="12"/>
  <c r="J3254" i="12"/>
  <c r="I3254" i="12"/>
  <c r="H3254" i="12"/>
  <c r="F3254" i="12"/>
  <c r="J3253" i="12"/>
  <c r="I3253" i="12"/>
  <c r="H3253" i="12"/>
  <c r="F3253" i="12"/>
  <c r="J3252" i="12"/>
  <c r="I3252" i="12"/>
  <c r="H3252" i="12"/>
  <c r="F3252" i="12"/>
  <c r="J3251" i="12"/>
  <c r="I3251" i="12"/>
  <c r="H3251" i="12"/>
  <c r="F3251" i="12"/>
  <c r="J3250" i="12"/>
  <c r="I3250" i="12"/>
  <c r="H3250" i="12"/>
  <c r="F3250" i="12"/>
  <c r="J3249" i="12"/>
  <c r="I3249" i="12"/>
  <c r="H3249" i="12"/>
  <c r="F3249" i="12"/>
  <c r="J3248" i="12"/>
  <c r="I3248" i="12"/>
  <c r="H3248" i="12"/>
  <c r="F3248" i="12"/>
  <c r="J3247" i="12"/>
  <c r="I3247" i="12"/>
  <c r="H3247" i="12"/>
  <c r="F3247" i="12"/>
  <c r="J3246" i="12"/>
  <c r="I3246" i="12"/>
  <c r="H3246" i="12"/>
  <c r="F3246" i="12"/>
  <c r="J3245" i="12"/>
  <c r="I3245" i="12"/>
  <c r="H3245" i="12"/>
  <c r="F3245" i="12"/>
  <c r="J3244" i="12"/>
  <c r="I3244" i="12"/>
  <c r="H3244" i="12"/>
  <c r="F3244" i="12"/>
  <c r="J3243" i="12"/>
  <c r="I3243" i="12"/>
  <c r="H3243" i="12"/>
  <c r="F3243" i="12"/>
  <c r="J3242" i="12"/>
  <c r="I3242" i="12"/>
  <c r="H3242" i="12"/>
  <c r="F3242" i="12"/>
  <c r="J3241" i="12"/>
  <c r="I3241" i="12"/>
  <c r="H3241" i="12"/>
  <c r="F3241" i="12"/>
  <c r="J3240" i="12"/>
  <c r="I3240" i="12"/>
  <c r="H3240" i="12"/>
  <c r="F3240" i="12"/>
  <c r="J3239" i="12"/>
  <c r="I3239" i="12"/>
  <c r="H3239" i="12"/>
  <c r="F3239" i="12"/>
  <c r="J3238" i="12"/>
  <c r="I3238" i="12"/>
  <c r="H3238" i="12"/>
  <c r="F3238" i="12"/>
  <c r="J3237" i="12"/>
  <c r="I3237" i="12"/>
  <c r="H3237" i="12"/>
  <c r="F3237" i="12"/>
  <c r="J3236" i="12"/>
  <c r="I3236" i="12"/>
  <c r="H3236" i="12"/>
  <c r="F3236" i="12"/>
  <c r="J3235" i="12"/>
  <c r="I3235" i="12"/>
  <c r="H3235" i="12"/>
  <c r="F3235" i="12"/>
  <c r="J3234" i="12"/>
  <c r="I3234" i="12"/>
  <c r="H3234" i="12"/>
  <c r="F3234" i="12"/>
  <c r="J3233" i="12"/>
  <c r="I3233" i="12"/>
  <c r="H3233" i="12"/>
  <c r="F3233" i="12"/>
  <c r="J3232" i="12"/>
  <c r="I3232" i="12"/>
  <c r="H3232" i="12"/>
  <c r="F3232" i="12"/>
  <c r="J3231" i="12"/>
  <c r="I3231" i="12"/>
  <c r="H3231" i="12"/>
  <c r="F3231" i="12"/>
  <c r="J3230" i="12"/>
  <c r="I3230" i="12"/>
  <c r="H3230" i="12"/>
  <c r="F3230" i="12"/>
  <c r="J3229" i="12"/>
  <c r="I3229" i="12"/>
  <c r="H3229" i="12"/>
  <c r="F3229" i="12"/>
  <c r="J3228" i="12"/>
  <c r="I3228" i="12"/>
  <c r="H3228" i="12"/>
  <c r="F3228" i="12"/>
  <c r="J3227" i="12"/>
  <c r="I3227" i="12"/>
  <c r="H3227" i="12"/>
  <c r="F3227" i="12"/>
  <c r="J3226" i="12"/>
  <c r="I3226" i="12"/>
  <c r="H3226" i="12"/>
  <c r="F3226" i="12"/>
  <c r="J3225" i="12"/>
  <c r="I3225" i="12"/>
  <c r="H3225" i="12"/>
  <c r="F3225" i="12"/>
  <c r="J3224" i="12"/>
  <c r="I3224" i="12"/>
  <c r="H3224" i="12"/>
  <c r="F3224" i="12"/>
  <c r="J3223" i="12"/>
  <c r="I3223" i="12"/>
  <c r="H3223" i="12"/>
  <c r="F3223" i="12"/>
  <c r="J3222" i="12"/>
  <c r="I3222" i="12"/>
  <c r="H3222" i="12"/>
  <c r="F3222" i="12"/>
  <c r="J3221" i="12"/>
  <c r="I3221" i="12"/>
  <c r="H3221" i="12"/>
  <c r="F3221" i="12"/>
  <c r="J3220" i="12"/>
  <c r="I3220" i="12"/>
  <c r="H3220" i="12"/>
  <c r="F3220" i="12"/>
  <c r="J3219" i="12"/>
  <c r="I3219" i="12"/>
  <c r="H3219" i="12"/>
  <c r="F3219" i="12"/>
  <c r="J3218" i="12"/>
  <c r="I3218" i="12"/>
  <c r="H3218" i="12"/>
  <c r="F3218" i="12"/>
  <c r="J3217" i="12"/>
  <c r="I3217" i="12"/>
  <c r="H3217" i="12"/>
  <c r="F3217" i="12"/>
  <c r="J3216" i="12"/>
  <c r="I3216" i="12"/>
  <c r="H3216" i="12"/>
  <c r="F3216" i="12"/>
  <c r="J3215" i="12"/>
  <c r="I3215" i="12"/>
  <c r="H3215" i="12"/>
  <c r="F3215" i="12"/>
  <c r="J3214" i="12"/>
  <c r="I3214" i="12"/>
  <c r="H3214" i="12"/>
  <c r="F3214" i="12"/>
  <c r="J3213" i="12"/>
  <c r="I3213" i="12"/>
  <c r="H3213" i="12"/>
  <c r="F3213" i="12"/>
  <c r="J3212" i="12"/>
  <c r="I3212" i="12"/>
  <c r="H3212" i="12"/>
  <c r="F3212" i="12"/>
  <c r="J3211" i="12"/>
  <c r="I3211" i="12"/>
  <c r="H3211" i="12"/>
  <c r="F3211" i="12"/>
  <c r="J3210" i="12"/>
  <c r="I3210" i="12"/>
  <c r="H3210" i="12"/>
  <c r="F3210" i="12"/>
  <c r="J3209" i="12"/>
  <c r="I3209" i="12"/>
  <c r="H3209" i="12"/>
  <c r="F3209" i="12"/>
  <c r="J3208" i="12"/>
  <c r="I3208" i="12"/>
  <c r="H3208" i="12"/>
  <c r="F3208" i="12"/>
  <c r="J3207" i="12"/>
  <c r="I3207" i="12"/>
  <c r="H3207" i="12"/>
  <c r="F3207" i="12"/>
  <c r="J3206" i="12"/>
  <c r="I3206" i="12"/>
  <c r="H3206" i="12"/>
  <c r="F3206" i="12"/>
  <c r="J3205" i="12"/>
  <c r="I3205" i="12"/>
  <c r="H3205" i="12"/>
  <c r="F3205" i="12"/>
  <c r="J3204" i="12"/>
  <c r="I3204" i="12"/>
  <c r="H3204" i="12"/>
  <c r="F3204" i="12"/>
  <c r="J3203" i="12"/>
  <c r="I3203" i="12"/>
  <c r="H3203" i="12"/>
  <c r="F3203" i="12"/>
  <c r="J3202" i="12"/>
  <c r="I3202" i="12"/>
  <c r="H3202" i="12"/>
  <c r="F3202" i="12"/>
  <c r="J3201" i="12"/>
  <c r="I3201" i="12"/>
  <c r="H3201" i="12"/>
  <c r="F3201" i="12"/>
  <c r="J3200" i="12"/>
  <c r="I3200" i="12"/>
  <c r="H3200" i="12"/>
  <c r="F3200" i="12"/>
  <c r="J3199" i="12"/>
  <c r="I3199" i="12"/>
  <c r="H3199" i="12"/>
  <c r="F3199" i="12"/>
  <c r="J3198" i="12"/>
  <c r="I3198" i="12"/>
  <c r="H3198" i="12"/>
  <c r="F3198" i="12"/>
  <c r="J3197" i="12"/>
  <c r="I3197" i="12"/>
  <c r="H3197" i="12"/>
  <c r="F3197" i="12"/>
  <c r="J3196" i="12"/>
  <c r="I3196" i="12"/>
  <c r="H3196" i="12"/>
  <c r="F3196" i="12"/>
  <c r="J3195" i="12"/>
  <c r="I3195" i="12"/>
  <c r="H3195" i="12"/>
  <c r="F3195" i="12"/>
  <c r="J3194" i="12"/>
  <c r="I3194" i="12"/>
  <c r="H3194" i="12"/>
  <c r="F3194" i="12"/>
  <c r="J3193" i="12"/>
  <c r="I3193" i="12"/>
  <c r="H3193" i="12"/>
  <c r="F3193" i="12"/>
  <c r="J3192" i="12"/>
  <c r="I3192" i="12"/>
  <c r="H3192" i="12"/>
  <c r="F3192" i="12"/>
  <c r="J3191" i="12"/>
  <c r="I3191" i="12"/>
  <c r="H3191" i="12"/>
  <c r="F3191" i="12"/>
  <c r="J3190" i="12"/>
  <c r="I3190" i="12"/>
  <c r="H3190" i="12"/>
  <c r="F3190" i="12"/>
  <c r="J3189" i="12"/>
  <c r="I3189" i="12"/>
  <c r="H3189" i="12"/>
  <c r="F3189" i="12"/>
  <c r="J3188" i="12"/>
  <c r="I3188" i="12"/>
  <c r="H3188" i="12"/>
  <c r="F3188" i="12"/>
  <c r="J3187" i="12"/>
  <c r="I3187" i="12"/>
  <c r="H3187" i="12"/>
  <c r="F3187" i="12"/>
  <c r="J3186" i="12"/>
  <c r="I3186" i="12"/>
  <c r="H3186" i="12"/>
  <c r="F3186" i="12"/>
  <c r="J3185" i="12"/>
  <c r="I3185" i="12"/>
  <c r="H3185" i="12"/>
  <c r="F3185" i="12"/>
  <c r="J3184" i="12"/>
  <c r="I3184" i="12"/>
  <c r="H3184" i="12"/>
  <c r="F3184" i="12"/>
  <c r="J3183" i="12"/>
  <c r="I3183" i="12"/>
  <c r="H3183" i="12"/>
  <c r="F3183" i="12"/>
  <c r="J3182" i="12"/>
  <c r="I3182" i="12"/>
  <c r="H3182" i="12"/>
  <c r="F3182" i="12"/>
  <c r="J3181" i="12"/>
  <c r="I3181" i="12"/>
  <c r="H3181" i="12"/>
  <c r="F3181" i="12"/>
  <c r="J3180" i="12"/>
  <c r="I3180" i="12"/>
  <c r="H3180" i="12"/>
  <c r="F3180" i="12"/>
  <c r="J3179" i="12"/>
  <c r="I3179" i="12"/>
  <c r="H3179" i="12"/>
  <c r="F3179" i="12"/>
  <c r="J3178" i="12"/>
  <c r="I3178" i="12"/>
  <c r="H3178" i="12"/>
  <c r="F3178" i="12"/>
  <c r="J3177" i="12"/>
  <c r="I3177" i="12"/>
  <c r="H3177" i="12"/>
  <c r="F3177" i="12"/>
  <c r="J3176" i="12"/>
  <c r="I3176" i="12"/>
  <c r="H3176" i="12"/>
  <c r="F3176" i="12"/>
  <c r="J3175" i="12"/>
  <c r="I3175" i="12"/>
  <c r="H3175" i="12"/>
  <c r="F3175" i="12"/>
  <c r="J3174" i="12"/>
  <c r="I3174" i="12"/>
  <c r="H3174" i="12"/>
  <c r="F3174" i="12"/>
  <c r="J3173" i="12"/>
  <c r="I3173" i="12"/>
  <c r="H3173" i="12"/>
  <c r="F3173" i="12"/>
  <c r="J3172" i="12"/>
  <c r="I3172" i="12"/>
  <c r="H3172" i="12"/>
  <c r="F3172" i="12"/>
  <c r="J3171" i="12"/>
  <c r="I3171" i="12"/>
  <c r="H3171" i="12"/>
  <c r="F3171" i="12"/>
  <c r="J3170" i="12"/>
  <c r="I3170" i="12"/>
  <c r="H3170" i="12"/>
  <c r="F3170" i="12"/>
  <c r="J3169" i="12"/>
  <c r="I3169" i="12"/>
  <c r="H3169" i="12"/>
  <c r="F3169" i="12"/>
  <c r="J3168" i="12"/>
  <c r="I3168" i="12"/>
  <c r="H3168" i="12"/>
  <c r="F3168" i="12"/>
  <c r="J3167" i="12"/>
  <c r="I3167" i="12"/>
  <c r="H3167" i="12"/>
  <c r="F3167" i="12"/>
  <c r="J3166" i="12"/>
  <c r="I3166" i="12"/>
  <c r="H3166" i="12"/>
  <c r="F3166" i="12"/>
  <c r="J3165" i="12"/>
  <c r="I3165" i="12"/>
  <c r="H3165" i="12"/>
  <c r="F3165" i="12"/>
  <c r="J3164" i="12"/>
  <c r="I3164" i="12"/>
  <c r="H3164" i="12"/>
  <c r="F3164" i="12"/>
  <c r="J3163" i="12"/>
  <c r="I3163" i="12"/>
  <c r="H3163" i="12"/>
  <c r="F3163" i="12"/>
  <c r="J3162" i="12"/>
  <c r="I3162" i="12"/>
  <c r="H3162" i="12"/>
  <c r="F3162" i="12"/>
  <c r="J3161" i="12"/>
  <c r="I3161" i="12"/>
  <c r="H3161" i="12"/>
  <c r="F3161" i="12"/>
  <c r="J3160" i="12"/>
  <c r="I3160" i="12"/>
  <c r="H3160" i="12"/>
  <c r="F3160" i="12"/>
  <c r="J3159" i="12"/>
  <c r="I3159" i="12"/>
  <c r="H3159" i="12"/>
  <c r="F3159" i="12"/>
  <c r="J3158" i="12"/>
  <c r="I3158" i="12"/>
  <c r="H3158" i="12"/>
  <c r="F3158" i="12"/>
  <c r="J3157" i="12"/>
  <c r="I3157" i="12"/>
  <c r="H3157" i="12"/>
  <c r="F3157" i="12"/>
  <c r="J3156" i="12"/>
  <c r="I3156" i="12"/>
  <c r="H3156" i="12"/>
  <c r="F3156" i="12"/>
  <c r="J3155" i="12"/>
  <c r="I3155" i="12"/>
  <c r="H3155" i="12"/>
  <c r="F3155" i="12"/>
  <c r="J3154" i="12"/>
  <c r="I3154" i="12"/>
  <c r="H3154" i="12"/>
  <c r="F3154" i="12"/>
  <c r="J3153" i="12"/>
  <c r="I3153" i="12"/>
  <c r="H3153" i="12"/>
  <c r="F3153" i="12"/>
  <c r="J3152" i="12"/>
  <c r="I3152" i="12"/>
  <c r="H3152" i="12"/>
  <c r="F3152" i="12"/>
  <c r="J3151" i="12"/>
  <c r="I3151" i="12"/>
  <c r="H3151" i="12"/>
  <c r="F3151" i="12"/>
  <c r="J3150" i="12"/>
  <c r="I3150" i="12"/>
  <c r="H3150" i="12"/>
  <c r="F3150" i="12"/>
  <c r="J3149" i="12"/>
  <c r="I3149" i="12"/>
  <c r="H3149" i="12"/>
  <c r="F3149" i="12"/>
  <c r="J3148" i="12"/>
  <c r="I3148" i="12"/>
  <c r="H3148" i="12"/>
  <c r="F3148" i="12"/>
  <c r="J3147" i="12"/>
  <c r="I3147" i="12"/>
  <c r="H3147" i="12"/>
  <c r="F3147" i="12"/>
  <c r="J3146" i="12"/>
  <c r="I3146" i="12"/>
  <c r="H3146" i="12"/>
  <c r="F3146" i="12"/>
  <c r="J3145" i="12"/>
  <c r="I3145" i="12"/>
  <c r="H3145" i="12"/>
  <c r="F3145" i="12"/>
  <c r="J3144" i="12"/>
  <c r="I3144" i="12"/>
  <c r="H3144" i="12"/>
  <c r="F3144" i="12"/>
  <c r="J3143" i="12"/>
  <c r="I3143" i="12"/>
  <c r="H3143" i="12"/>
  <c r="F3143" i="12"/>
  <c r="J3142" i="12"/>
  <c r="I3142" i="12"/>
  <c r="H3142" i="12"/>
  <c r="F3142" i="12"/>
  <c r="J3141" i="12"/>
  <c r="I3141" i="12"/>
  <c r="H3141" i="12"/>
  <c r="F3141" i="12"/>
  <c r="J3140" i="12"/>
  <c r="I3140" i="12"/>
  <c r="H3140" i="12"/>
  <c r="F3140" i="12"/>
  <c r="J3139" i="12"/>
  <c r="I3139" i="12"/>
  <c r="H3139" i="12"/>
  <c r="F3139" i="12"/>
  <c r="J3138" i="12"/>
  <c r="I3138" i="12"/>
  <c r="H3138" i="12"/>
  <c r="F3138" i="12"/>
  <c r="J3137" i="12"/>
  <c r="I3137" i="12"/>
  <c r="H3137" i="12"/>
  <c r="F3137" i="12"/>
  <c r="J3136" i="12"/>
  <c r="I3136" i="12"/>
  <c r="H3136" i="12"/>
  <c r="F3136" i="12"/>
  <c r="J3135" i="12"/>
  <c r="I3135" i="12"/>
  <c r="H3135" i="12"/>
  <c r="F3135" i="12"/>
  <c r="J3134" i="12"/>
  <c r="I3134" i="12"/>
  <c r="H3134" i="12"/>
  <c r="F3134" i="12"/>
  <c r="J3133" i="12"/>
  <c r="I3133" i="12"/>
  <c r="H3133" i="12"/>
  <c r="F3133" i="12"/>
  <c r="J3132" i="12"/>
  <c r="I3132" i="12"/>
  <c r="H3132" i="12"/>
  <c r="F3132" i="12"/>
  <c r="J3131" i="12"/>
  <c r="I3131" i="12"/>
  <c r="H3131" i="12"/>
  <c r="F3131" i="12"/>
  <c r="J3130" i="12"/>
  <c r="I3130" i="12"/>
  <c r="H3130" i="12"/>
  <c r="F3130" i="12"/>
  <c r="J3129" i="12"/>
  <c r="I3129" i="12"/>
  <c r="H3129" i="12"/>
  <c r="F3129" i="12"/>
  <c r="J3128" i="12"/>
  <c r="I3128" i="12"/>
  <c r="H3128" i="12"/>
  <c r="F3128" i="12"/>
  <c r="J3127" i="12"/>
  <c r="I3127" i="12"/>
  <c r="H3127" i="12"/>
  <c r="F3127" i="12"/>
  <c r="J3126" i="12"/>
  <c r="I3126" i="12"/>
  <c r="H3126" i="12"/>
  <c r="F3126" i="12"/>
  <c r="J3125" i="12"/>
  <c r="I3125" i="12"/>
  <c r="H3125" i="12"/>
  <c r="F3125" i="12"/>
  <c r="J3124" i="12"/>
  <c r="I3124" i="12"/>
  <c r="H3124" i="12"/>
  <c r="F3124" i="12"/>
  <c r="J3123" i="12"/>
  <c r="I3123" i="12"/>
  <c r="H3123" i="12"/>
  <c r="F3123" i="12"/>
  <c r="J3122" i="12"/>
  <c r="I3122" i="12"/>
  <c r="H3122" i="12"/>
  <c r="F3122" i="12"/>
  <c r="J3121" i="12"/>
  <c r="I3121" i="12"/>
  <c r="H3121" i="12"/>
  <c r="F3121" i="12"/>
  <c r="J3120" i="12"/>
  <c r="I3120" i="12"/>
  <c r="H3120" i="12"/>
  <c r="F3120" i="12"/>
  <c r="J3119" i="12"/>
  <c r="I3119" i="12"/>
  <c r="H3119" i="12"/>
  <c r="F3119" i="12"/>
  <c r="J3118" i="12"/>
  <c r="I3118" i="12"/>
  <c r="H3118" i="12"/>
  <c r="F3118" i="12"/>
  <c r="J3117" i="12"/>
  <c r="I3117" i="12"/>
  <c r="H3117" i="12"/>
  <c r="F3117" i="12"/>
  <c r="J3116" i="12"/>
  <c r="I3116" i="12"/>
  <c r="H3116" i="12"/>
  <c r="F3116" i="12"/>
  <c r="J3115" i="12"/>
  <c r="I3115" i="12"/>
  <c r="H3115" i="12"/>
  <c r="F3115" i="12"/>
  <c r="J3114" i="12"/>
  <c r="I3114" i="12"/>
  <c r="H3114" i="12"/>
  <c r="F3114" i="12"/>
  <c r="J3113" i="12"/>
  <c r="I3113" i="12"/>
  <c r="H3113" i="12"/>
  <c r="F3113" i="12"/>
  <c r="J3112" i="12"/>
  <c r="I3112" i="12"/>
  <c r="H3112" i="12"/>
  <c r="F3112" i="12"/>
  <c r="J3111" i="12"/>
  <c r="I3111" i="12"/>
  <c r="H3111" i="12"/>
  <c r="F3111" i="12"/>
  <c r="J3110" i="12"/>
  <c r="I3110" i="12"/>
  <c r="H3110" i="12"/>
  <c r="F3110" i="12"/>
  <c r="J3109" i="12"/>
  <c r="I3109" i="12"/>
  <c r="H3109" i="12"/>
  <c r="F3109" i="12"/>
  <c r="J3108" i="12"/>
  <c r="I3108" i="12"/>
  <c r="H3108" i="12"/>
  <c r="F3108" i="12"/>
  <c r="J3107" i="12"/>
  <c r="I3107" i="12"/>
  <c r="H3107" i="12"/>
  <c r="F3107" i="12"/>
  <c r="J3106" i="12"/>
  <c r="I3106" i="12"/>
  <c r="H3106" i="12"/>
  <c r="F3106" i="12"/>
  <c r="J3105" i="12"/>
  <c r="I3105" i="12"/>
  <c r="H3105" i="12"/>
  <c r="F3105" i="12"/>
  <c r="J3104" i="12"/>
  <c r="I3104" i="12"/>
  <c r="H3104" i="12"/>
  <c r="F3104" i="12"/>
  <c r="J3103" i="12"/>
  <c r="I3103" i="12"/>
  <c r="H3103" i="12"/>
  <c r="F3103" i="12"/>
  <c r="J3102" i="12"/>
  <c r="I3102" i="12"/>
  <c r="H3102" i="12"/>
  <c r="F3102" i="12"/>
  <c r="J3101" i="12"/>
  <c r="I3101" i="12"/>
  <c r="H3101" i="12"/>
  <c r="F3101" i="12"/>
  <c r="J3100" i="12"/>
  <c r="I3100" i="12"/>
  <c r="H3100" i="12"/>
  <c r="F3100" i="12"/>
  <c r="J3099" i="12"/>
  <c r="I3099" i="12"/>
  <c r="H3099" i="12"/>
  <c r="F3099" i="12"/>
  <c r="J3098" i="12"/>
  <c r="I3098" i="12"/>
  <c r="H3098" i="12"/>
  <c r="F3098" i="12"/>
  <c r="J3097" i="12"/>
  <c r="I3097" i="12"/>
  <c r="H3097" i="12"/>
  <c r="F3097" i="12"/>
  <c r="J3096" i="12"/>
  <c r="I3096" i="12"/>
  <c r="H3096" i="12"/>
  <c r="F3096" i="12"/>
  <c r="J3095" i="12"/>
  <c r="I3095" i="12"/>
  <c r="H3095" i="12"/>
  <c r="F3095" i="12"/>
  <c r="J3094" i="12"/>
  <c r="I3094" i="12"/>
  <c r="H3094" i="12"/>
  <c r="F3094" i="12"/>
  <c r="J3093" i="12"/>
  <c r="I3093" i="12"/>
  <c r="H3093" i="12"/>
  <c r="F3093" i="12"/>
  <c r="J3092" i="12"/>
  <c r="I3092" i="12"/>
  <c r="H3092" i="12"/>
  <c r="F3092" i="12"/>
  <c r="J3091" i="12"/>
  <c r="I3091" i="12"/>
  <c r="H3091" i="12"/>
  <c r="F3091" i="12"/>
  <c r="J3090" i="12"/>
  <c r="I3090" i="12"/>
  <c r="H3090" i="12"/>
  <c r="F3090" i="12"/>
  <c r="J3089" i="12"/>
  <c r="I3089" i="12"/>
  <c r="H3089" i="12"/>
  <c r="F3089" i="12"/>
  <c r="J3088" i="12"/>
  <c r="I3088" i="12"/>
  <c r="H3088" i="12"/>
  <c r="F3088" i="12"/>
  <c r="J3087" i="12"/>
  <c r="I3087" i="12"/>
  <c r="H3087" i="12"/>
  <c r="F3087" i="12"/>
  <c r="J3086" i="12"/>
  <c r="I3086" i="12"/>
  <c r="H3086" i="12"/>
  <c r="F3086" i="12"/>
  <c r="J3085" i="12"/>
  <c r="I3085" i="12"/>
  <c r="H3085" i="12"/>
  <c r="F3085" i="12"/>
  <c r="J3084" i="12"/>
  <c r="I3084" i="12"/>
  <c r="H3084" i="12"/>
  <c r="F3084" i="12"/>
  <c r="J3083" i="12"/>
  <c r="I3083" i="12"/>
  <c r="H3083" i="12"/>
  <c r="F3083" i="12"/>
  <c r="J3082" i="12"/>
  <c r="I3082" i="12"/>
  <c r="H3082" i="12"/>
  <c r="F3082" i="12"/>
  <c r="J3081" i="12"/>
  <c r="I3081" i="12"/>
  <c r="H3081" i="12"/>
  <c r="F3081" i="12"/>
  <c r="J3080" i="12"/>
  <c r="I3080" i="12"/>
  <c r="H3080" i="12"/>
  <c r="F3080" i="12"/>
  <c r="J3079" i="12"/>
  <c r="I3079" i="12"/>
  <c r="H3079" i="12"/>
  <c r="F3079" i="12"/>
  <c r="J3078" i="12"/>
  <c r="I3078" i="12"/>
  <c r="H3078" i="12"/>
  <c r="F3078" i="12"/>
  <c r="J3077" i="12"/>
  <c r="I3077" i="12"/>
  <c r="H3077" i="12"/>
  <c r="F3077" i="12"/>
  <c r="J3076" i="12"/>
  <c r="I3076" i="12"/>
  <c r="H3076" i="12"/>
  <c r="F3076" i="12"/>
  <c r="J3075" i="12"/>
  <c r="I3075" i="12"/>
  <c r="H3075" i="12"/>
  <c r="F3075" i="12"/>
  <c r="J3074" i="12"/>
  <c r="I3074" i="12"/>
  <c r="H3074" i="12"/>
  <c r="F3074" i="12"/>
  <c r="J3073" i="12"/>
  <c r="I3073" i="12"/>
  <c r="H3073" i="12"/>
  <c r="F3073" i="12"/>
  <c r="J3072" i="12"/>
  <c r="I3072" i="12"/>
  <c r="H3072" i="12"/>
  <c r="F3072" i="12"/>
  <c r="J3071" i="12"/>
  <c r="I3071" i="12"/>
  <c r="H3071" i="12"/>
  <c r="F3071" i="12"/>
  <c r="J3070" i="12"/>
  <c r="I3070" i="12"/>
  <c r="H3070" i="12"/>
  <c r="F3070" i="12"/>
  <c r="J3069" i="12"/>
  <c r="I3069" i="12"/>
  <c r="H3069" i="12"/>
  <c r="F3069" i="12"/>
  <c r="J3068" i="12"/>
  <c r="I3068" i="12"/>
  <c r="H3068" i="12"/>
  <c r="F3068" i="12"/>
  <c r="J3067" i="12"/>
  <c r="I3067" i="12"/>
  <c r="H3067" i="12"/>
  <c r="F3067" i="12"/>
  <c r="J3066" i="12"/>
  <c r="I3066" i="12"/>
  <c r="H3066" i="12"/>
  <c r="F3066" i="12"/>
  <c r="J3065" i="12"/>
  <c r="I3065" i="12"/>
  <c r="H3065" i="12"/>
  <c r="F3065" i="12"/>
  <c r="J3064" i="12"/>
  <c r="I3064" i="12"/>
  <c r="H3064" i="12"/>
  <c r="F3064" i="12"/>
  <c r="J3063" i="12"/>
  <c r="I3063" i="12"/>
  <c r="H3063" i="12"/>
  <c r="F3063" i="12"/>
  <c r="J3062" i="12"/>
  <c r="I3062" i="12"/>
  <c r="H3062" i="12"/>
  <c r="F3062" i="12"/>
  <c r="J3061" i="12"/>
  <c r="I3061" i="12"/>
  <c r="H3061" i="12"/>
  <c r="F3061" i="12"/>
  <c r="J3060" i="12"/>
  <c r="I3060" i="12"/>
  <c r="H3060" i="12"/>
  <c r="F3060" i="12"/>
  <c r="J3059" i="12"/>
  <c r="I3059" i="12"/>
  <c r="H3059" i="12"/>
  <c r="F3059" i="12"/>
  <c r="J3058" i="12"/>
  <c r="I3058" i="12"/>
  <c r="H3058" i="12"/>
  <c r="F3058" i="12"/>
  <c r="J3057" i="12"/>
  <c r="I3057" i="12"/>
  <c r="H3057" i="12"/>
  <c r="F3057" i="12"/>
  <c r="J3056" i="12"/>
  <c r="I3056" i="12"/>
  <c r="H3056" i="12"/>
  <c r="F3056" i="12"/>
  <c r="J3055" i="12"/>
  <c r="I3055" i="12"/>
  <c r="H3055" i="12"/>
  <c r="F3055" i="12"/>
  <c r="J3054" i="12"/>
  <c r="I3054" i="12"/>
  <c r="H3054" i="12"/>
  <c r="F3054" i="12"/>
  <c r="J3053" i="12"/>
  <c r="I3053" i="12"/>
  <c r="H3053" i="12"/>
  <c r="F3053" i="12"/>
  <c r="J3052" i="12"/>
  <c r="I3052" i="12"/>
  <c r="H3052" i="12"/>
  <c r="F3052" i="12"/>
  <c r="J3051" i="12"/>
  <c r="I3051" i="12"/>
  <c r="H3051" i="12"/>
  <c r="F3051" i="12"/>
  <c r="J3050" i="12"/>
  <c r="I3050" i="12"/>
  <c r="H3050" i="12"/>
  <c r="F3050" i="12"/>
  <c r="J3049" i="12"/>
  <c r="I3049" i="12"/>
  <c r="H3049" i="12"/>
  <c r="F3049" i="12"/>
  <c r="J3048" i="12"/>
  <c r="I3048" i="12"/>
  <c r="H3048" i="12"/>
  <c r="F3048" i="12"/>
  <c r="J3047" i="12"/>
  <c r="I3047" i="12"/>
  <c r="H3047" i="12"/>
  <c r="F3047" i="12"/>
  <c r="J3046" i="12"/>
  <c r="I3046" i="12"/>
  <c r="H3046" i="12"/>
  <c r="F3046" i="12"/>
  <c r="J3045" i="12"/>
  <c r="I3045" i="12"/>
  <c r="H3045" i="12"/>
  <c r="F3045" i="12"/>
  <c r="J3044" i="12"/>
  <c r="I3044" i="12"/>
  <c r="H3044" i="12"/>
  <c r="F3044" i="12"/>
  <c r="J3043" i="12"/>
  <c r="I3043" i="12"/>
  <c r="H3043" i="12"/>
  <c r="F3043" i="12"/>
  <c r="J3042" i="12"/>
  <c r="I3042" i="12"/>
  <c r="H3042" i="12"/>
  <c r="F3042" i="12"/>
  <c r="J3041" i="12"/>
  <c r="I3041" i="12"/>
  <c r="H3041" i="12"/>
  <c r="F3041" i="12"/>
  <c r="J3040" i="12"/>
  <c r="I3040" i="12"/>
  <c r="H3040" i="12"/>
  <c r="F3040" i="12"/>
  <c r="J3039" i="12"/>
  <c r="I3039" i="12"/>
  <c r="H3039" i="12"/>
  <c r="F3039" i="12"/>
  <c r="J3038" i="12"/>
  <c r="I3038" i="12"/>
  <c r="H3038" i="12"/>
  <c r="F3038" i="12"/>
  <c r="J3037" i="12"/>
  <c r="I3037" i="12"/>
  <c r="H3037" i="12"/>
  <c r="F3037" i="12"/>
  <c r="J3036" i="12"/>
  <c r="I3036" i="12"/>
  <c r="H3036" i="12"/>
  <c r="F3036" i="12"/>
  <c r="J3035" i="12"/>
  <c r="I3035" i="12"/>
  <c r="H3035" i="12"/>
  <c r="F3035" i="12"/>
  <c r="J3034" i="12"/>
  <c r="I3034" i="12"/>
  <c r="H3034" i="12"/>
  <c r="F3034" i="12"/>
  <c r="J3033" i="12"/>
  <c r="I3033" i="12"/>
  <c r="H3033" i="12"/>
  <c r="F3033" i="12"/>
  <c r="J3032" i="12"/>
  <c r="I3032" i="12"/>
  <c r="H3032" i="12"/>
  <c r="F3032" i="12"/>
  <c r="J3031" i="12"/>
  <c r="I3031" i="12"/>
  <c r="H3031" i="12"/>
  <c r="F3031" i="12"/>
  <c r="J3030" i="12"/>
  <c r="I3030" i="12"/>
  <c r="H3030" i="12"/>
  <c r="F3030" i="12"/>
  <c r="J3029" i="12"/>
  <c r="I3029" i="12"/>
  <c r="H3029" i="12"/>
  <c r="F3029" i="12"/>
  <c r="J3028" i="12"/>
  <c r="I3028" i="12"/>
  <c r="H3028" i="12"/>
  <c r="F3028" i="12"/>
  <c r="J3027" i="12"/>
  <c r="I3027" i="12"/>
  <c r="H3027" i="12"/>
  <c r="F3027" i="12"/>
  <c r="J3026" i="12"/>
  <c r="I3026" i="12"/>
  <c r="H3026" i="12"/>
  <c r="F3026" i="12"/>
  <c r="J3025" i="12"/>
  <c r="I3025" i="12"/>
  <c r="H3025" i="12"/>
  <c r="F3025" i="12"/>
  <c r="J3024" i="12"/>
  <c r="I3024" i="12"/>
  <c r="H3024" i="12"/>
  <c r="F3024" i="12"/>
  <c r="J3023" i="12"/>
  <c r="I3023" i="12"/>
  <c r="H3023" i="12"/>
  <c r="F3023" i="12"/>
  <c r="J3022" i="12"/>
  <c r="I3022" i="12"/>
  <c r="H3022" i="12"/>
  <c r="F3022" i="12"/>
  <c r="J3021" i="12"/>
  <c r="I3021" i="12"/>
  <c r="H3021" i="12"/>
  <c r="F3021" i="12"/>
  <c r="J3020" i="12"/>
  <c r="I3020" i="12"/>
  <c r="H3020" i="12"/>
  <c r="F3020" i="12"/>
  <c r="J3019" i="12"/>
  <c r="I3019" i="12"/>
  <c r="H3019" i="12"/>
  <c r="F3019" i="12"/>
  <c r="J3018" i="12"/>
  <c r="I3018" i="12"/>
  <c r="H3018" i="12"/>
  <c r="F3018" i="12"/>
  <c r="J3017" i="12"/>
  <c r="I3017" i="12"/>
  <c r="H3017" i="12"/>
  <c r="F3017" i="12"/>
  <c r="J3016" i="12"/>
  <c r="I3016" i="12"/>
  <c r="H3016" i="12"/>
  <c r="F3016" i="12"/>
  <c r="J3015" i="12"/>
  <c r="I3015" i="12"/>
  <c r="H3015" i="12"/>
  <c r="F3015" i="12"/>
  <c r="J3014" i="12"/>
  <c r="I3014" i="12"/>
  <c r="H3014" i="12"/>
  <c r="F3014" i="12"/>
  <c r="J3013" i="12"/>
  <c r="I3013" i="12"/>
  <c r="H3013" i="12"/>
  <c r="F3013" i="12"/>
  <c r="J3012" i="12"/>
  <c r="I3012" i="12"/>
  <c r="H3012" i="12"/>
  <c r="F3012" i="12"/>
  <c r="J3011" i="12"/>
  <c r="I3011" i="12"/>
  <c r="H3011" i="12"/>
  <c r="F3011" i="12"/>
  <c r="J3010" i="12"/>
  <c r="I3010" i="12"/>
  <c r="H3010" i="12"/>
  <c r="F3010" i="12"/>
  <c r="J3009" i="12"/>
  <c r="I3009" i="12"/>
  <c r="H3009" i="12"/>
  <c r="F3009" i="12"/>
  <c r="J3008" i="12"/>
  <c r="I3008" i="12"/>
  <c r="H3008" i="12"/>
  <c r="F3008" i="12"/>
  <c r="J3007" i="12"/>
  <c r="I3007" i="12"/>
  <c r="H3007" i="12"/>
  <c r="F3007" i="12"/>
  <c r="J3006" i="12"/>
  <c r="I3006" i="12"/>
  <c r="H3006" i="12"/>
  <c r="F3006" i="12"/>
  <c r="J3005" i="12"/>
  <c r="I3005" i="12"/>
  <c r="H3005" i="12"/>
  <c r="F3005" i="12"/>
  <c r="J3004" i="12"/>
  <c r="I3004" i="12"/>
  <c r="H3004" i="12"/>
  <c r="F3004" i="12"/>
  <c r="J3003" i="12"/>
  <c r="I3003" i="12"/>
  <c r="H3003" i="12"/>
  <c r="F3003" i="12"/>
  <c r="J3002" i="12"/>
  <c r="I3002" i="12"/>
  <c r="H3002" i="12"/>
  <c r="F3002" i="12"/>
  <c r="J3001" i="12"/>
  <c r="I3001" i="12"/>
  <c r="H3001" i="12"/>
  <c r="F3001" i="12"/>
  <c r="J3000" i="12"/>
  <c r="I3000" i="12"/>
  <c r="H3000" i="12"/>
  <c r="F3000" i="12"/>
  <c r="J2999" i="12"/>
  <c r="I2999" i="12"/>
  <c r="H2999" i="12"/>
  <c r="F2999" i="12"/>
  <c r="J2998" i="12"/>
  <c r="I2998" i="12"/>
  <c r="H2998" i="12"/>
  <c r="F2998" i="12"/>
  <c r="J2997" i="12"/>
  <c r="I2997" i="12"/>
  <c r="H2997" i="12"/>
  <c r="F2997" i="12"/>
  <c r="J2996" i="12"/>
  <c r="I2996" i="12"/>
  <c r="H2996" i="12"/>
  <c r="F2996" i="12"/>
  <c r="J2995" i="12"/>
  <c r="I2995" i="12"/>
  <c r="H2995" i="12"/>
  <c r="F2995" i="12"/>
  <c r="J2994" i="12"/>
  <c r="I2994" i="12"/>
  <c r="H2994" i="12"/>
  <c r="F2994" i="12"/>
  <c r="J2993" i="12"/>
  <c r="I2993" i="12"/>
  <c r="H2993" i="12"/>
  <c r="F2993" i="12"/>
  <c r="J2992" i="12"/>
  <c r="I2992" i="12"/>
  <c r="H2992" i="12"/>
  <c r="F2992" i="12"/>
  <c r="J2991" i="12"/>
  <c r="I2991" i="12"/>
  <c r="H2991" i="12"/>
  <c r="F2991" i="12"/>
  <c r="J2990" i="12"/>
  <c r="I2990" i="12"/>
  <c r="H2990" i="12"/>
  <c r="F2990" i="12"/>
  <c r="J2989" i="12"/>
  <c r="I2989" i="12"/>
  <c r="H2989" i="12"/>
  <c r="F2989" i="12"/>
  <c r="J2988" i="12"/>
  <c r="I2988" i="12"/>
  <c r="H2988" i="12"/>
  <c r="F2988" i="12"/>
  <c r="J2987" i="12"/>
  <c r="I2987" i="12"/>
  <c r="H2987" i="12"/>
  <c r="F2987" i="12"/>
  <c r="J2986" i="12"/>
  <c r="I2986" i="12"/>
  <c r="H2986" i="12"/>
  <c r="F2986" i="12"/>
  <c r="J2985" i="12"/>
  <c r="I2985" i="12"/>
  <c r="H2985" i="12"/>
  <c r="F2985" i="12"/>
  <c r="J2984" i="12"/>
  <c r="I2984" i="12"/>
  <c r="H2984" i="12"/>
  <c r="F2984" i="12"/>
  <c r="J2983" i="12"/>
  <c r="I2983" i="12"/>
  <c r="H2983" i="12"/>
  <c r="F2983" i="12"/>
  <c r="J2982" i="12"/>
  <c r="I2982" i="12"/>
  <c r="H2982" i="12"/>
  <c r="F2982" i="12"/>
  <c r="J2981" i="12"/>
  <c r="I2981" i="12"/>
  <c r="H2981" i="12"/>
  <c r="F2981" i="12"/>
  <c r="J2980" i="12"/>
  <c r="I2980" i="12"/>
  <c r="H2980" i="12"/>
  <c r="F2980" i="12"/>
  <c r="J2979" i="12"/>
  <c r="I2979" i="12"/>
  <c r="H2979" i="12"/>
  <c r="F2979" i="12"/>
  <c r="J2978" i="12"/>
  <c r="I2978" i="12"/>
  <c r="H2978" i="12"/>
  <c r="F2978" i="12"/>
  <c r="J2977" i="12"/>
  <c r="I2977" i="12"/>
  <c r="H2977" i="12"/>
  <c r="F2977" i="12"/>
  <c r="J2976" i="12"/>
  <c r="I2976" i="12"/>
  <c r="H2976" i="12"/>
  <c r="F2976" i="12"/>
  <c r="J2975" i="12"/>
  <c r="I2975" i="12"/>
  <c r="H2975" i="12"/>
  <c r="F2975" i="12"/>
  <c r="J2974" i="12"/>
  <c r="I2974" i="12"/>
  <c r="H2974" i="12"/>
  <c r="F2974" i="12"/>
  <c r="J2973" i="12"/>
  <c r="I2973" i="12"/>
  <c r="H2973" i="12"/>
  <c r="F2973" i="12"/>
  <c r="J2972" i="12"/>
  <c r="I2972" i="12"/>
  <c r="H2972" i="12"/>
  <c r="F2972" i="12"/>
  <c r="J2971" i="12"/>
  <c r="I2971" i="12"/>
  <c r="H2971" i="12"/>
  <c r="F2971" i="12"/>
  <c r="J2970" i="12"/>
  <c r="I2970" i="12"/>
  <c r="H2970" i="12"/>
  <c r="F2970" i="12"/>
  <c r="J2969" i="12"/>
  <c r="I2969" i="12"/>
  <c r="H2969" i="12"/>
  <c r="F2969" i="12"/>
  <c r="J2968" i="12"/>
  <c r="I2968" i="12"/>
  <c r="H2968" i="12"/>
  <c r="F2968" i="12"/>
  <c r="J2967" i="12"/>
  <c r="I2967" i="12"/>
  <c r="H2967" i="12"/>
  <c r="F2967" i="12"/>
  <c r="J2966" i="12"/>
  <c r="I2966" i="12"/>
  <c r="H2966" i="12"/>
  <c r="F2966" i="12"/>
  <c r="J2965" i="12"/>
  <c r="I2965" i="12"/>
  <c r="H2965" i="12"/>
  <c r="F2965" i="12"/>
  <c r="J2964" i="12"/>
  <c r="I2964" i="12"/>
  <c r="H2964" i="12"/>
  <c r="F2964" i="12"/>
  <c r="J2963" i="12"/>
  <c r="I2963" i="12"/>
  <c r="H2963" i="12"/>
  <c r="F2963" i="12"/>
  <c r="J2962" i="12"/>
  <c r="I2962" i="12"/>
  <c r="H2962" i="12"/>
  <c r="F2962" i="12"/>
  <c r="J2961" i="12"/>
  <c r="I2961" i="12"/>
  <c r="H2961" i="12"/>
  <c r="F2961" i="12"/>
  <c r="J2960" i="12"/>
  <c r="I2960" i="12"/>
  <c r="H2960" i="12"/>
  <c r="F2960" i="12"/>
  <c r="J2959" i="12"/>
  <c r="I2959" i="12"/>
  <c r="H2959" i="12"/>
  <c r="F2959" i="12"/>
  <c r="J2958" i="12"/>
  <c r="I2958" i="12"/>
  <c r="H2958" i="12"/>
  <c r="F2958" i="12"/>
  <c r="J2957" i="12"/>
  <c r="I2957" i="12"/>
  <c r="H2957" i="12"/>
  <c r="F2957" i="12"/>
  <c r="J2956" i="12"/>
  <c r="I2956" i="12"/>
  <c r="H2956" i="12"/>
  <c r="F2956" i="12"/>
  <c r="J2955" i="12"/>
  <c r="I2955" i="12"/>
  <c r="H2955" i="12"/>
  <c r="F2955" i="12"/>
  <c r="J2954" i="12"/>
  <c r="I2954" i="12"/>
  <c r="H2954" i="12"/>
  <c r="F2954" i="12"/>
  <c r="J2953" i="12"/>
  <c r="I2953" i="12"/>
  <c r="H2953" i="12"/>
  <c r="F2953" i="12"/>
  <c r="J2952" i="12"/>
  <c r="I2952" i="12"/>
  <c r="H2952" i="12"/>
  <c r="F2952" i="12"/>
  <c r="J2951" i="12"/>
  <c r="I2951" i="12"/>
  <c r="H2951" i="12"/>
  <c r="F2951" i="12"/>
  <c r="J2950" i="12"/>
  <c r="I2950" i="12"/>
  <c r="H2950" i="12"/>
  <c r="F2950" i="12"/>
  <c r="J2949" i="12"/>
  <c r="I2949" i="12"/>
  <c r="H2949" i="12"/>
  <c r="F2949" i="12"/>
  <c r="J2948" i="12"/>
  <c r="I2948" i="12"/>
  <c r="H2948" i="12"/>
  <c r="F2948" i="12"/>
  <c r="J2947" i="12"/>
  <c r="I2947" i="12"/>
  <c r="H2947" i="12"/>
  <c r="F2947" i="12"/>
  <c r="J2946" i="12"/>
  <c r="I2946" i="12"/>
  <c r="H2946" i="12"/>
  <c r="F2946" i="12"/>
  <c r="J2945" i="12"/>
  <c r="I2945" i="12"/>
  <c r="H2945" i="12"/>
  <c r="F2945" i="12"/>
  <c r="J2944" i="12"/>
  <c r="I2944" i="12"/>
  <c r="H2944" i="12"/>
  <c r="F2944" i="12"/>
  <c r="J2943" i="12"/>
  <c r="I2943" i="12"/>
  <c r="H2943" i="12"/>
  <c r="F2943" i="12"/>
  <c r="J2942" i="12"/>
  <c r="I2942" i="12"/>
  <c r="H2942" i="12"/>
  <c r="F2942" i="12"/>
  <c r="J2941" i="12"/>
  <c r="I2941" i="12"/>
  <c r="H2941" i="12"/>
  <c r="F2941" i="12"/>
  <c r="J2940" i="12"/>
  <c r="I2940" i="12"/>
  <c r="H2940" i="12"/>
  <c r="F2940" i="12"/>
  <c r="J2939" i="12"/>
  <c r="I2939" i="12"/>
  <c r="H2939" i="12"/>
  <c r="F2939" i="12"/>
  <c r="J2938" i="12"/>
  <c r="I2938" i="12"/>
  <c r="H2938" i="12"/>
  <c r="F2938" i="12"/>
  <c r="J2937" i="12"/>
  <c r="I2937" i="12"/>
  <c r="H2937" i="12"/>
  <c r="F2937" i="12"/>
  <c r="J2936" i="12"/>
  <c r="I2936" i="12"/>
  <c r="H2936" i="12"/>
  <c r="F2936" i="12"/>
  <c r="J2935" i="12"/>
  <c r="I2935" i="12"/>
  <c r="H2935" i="12"/>
  <c r="F2935" i="12"/>
  <c r="J2934" i="12"/>
  <c r="I2934" i="12"/>
  <c r="H2934" i="12"/>
  <c r="F2934" i="12"/>
  <c r="J2933" i="12"/>
  <c r="I2933" i="12"/>
  <c r="H2933" i="12"/>
  <c r="F2933" i="12"/>
  <c r="J2932" i="12"/>
  <c r="I2932" i="12"/>
  <c r="H2932" i="12"/>
  <c r="F2932" i="12"/>
  <c r="J2931" i="12"/>
  <c r="I2931" i="12"/>
  <c r="H2931" i="12"/>
  <c r="F2931" i="12"/>
  <c r="J2930" i="12"/>
  <c r="I2930" i="12"/>
  <c r="H2930" i="12"/>
  <c r="F2930" i="12"/>
  <c r="J2929" i="12"/>
  <c r="I2929" i="12"/>
  <c r="H2929" i="12"/>
  <c r="F2929" i="12"/>
  <c r="J2928" i="12"/>
  <c r="I2928" i="12"/>
  <c r="H2928" i="12"/>
  <c r="F2928" i="12"/>
  <c r="J2927" i="12"/>
  <c r="I2927" i="12"/>
  <c r="H2927" i="12"/>
  <c r="F2927" i="12"/>
  <c r="J2926" i="12"/>
  <c r="I2926" i="12"/>
  <c r="H2926" i="12"/>
  <c r="F2926" i="12"/>
  <c r="J2925" i="12"/>
  <c r="I2925" i="12"/>
  <c r="H2925" i="12"/>
  <c r="F2925" i="12"/>
  <c r="J2924" i="12"/>
  <c r="I2924" i="12"/>
  <c r="H2924" i="12"/>
  <c r="F2924" i="12"/>
  <c r="J2923" i="12"/>
  <c r="I2923" i="12"/>
  <c r="H2923" i="12"/>
  <c r="F2923" i="12"/>
  <c r="J2922" i="12"/>
  <c r="I2922" i="12"/>
  <c r="H2922" i="12"/>
  <c r="F2922" i="12"/>
  <c r="J2921" i="12"/>
  <c r="I2921" i="12"/>
  <c r="H2921" i="12"/>
  <c r="F2921" i="12"/>
  <c r="J2920" i="12"/>
  <c r="I2920" i="12"/>
  <c r="H2920" i="12"/>
  <c r="F2920" i="12"/>
  <c r="J2919" i="12"/>
  <c r="I2919" i="12"/>
  <c r="H2919" i="12"/>
  <c r="F2919" i="12"/>
  <c r="J2918" i="12"/>
  <c r="I2918" i="12"/>
  <c r="H2918" i="12"/>
  <c r="F2918" i="12"/>
  <c r="J2917" i="12"/>
  <c r="I2917" i="12"/>
  <c r="H2917" i="12"/>
  <c r="F2917" i="12"/>
  <c r="J2916" i="12"/>
  <c r="I2916" i="12"/>
  <c r="H2916" i="12"/>
  <c r="F2916" i="12"/>
  <c r="J2915" i="12"/>
  <c r="I2915" i="12"/>
  <c r="H2915" i="12"/>
  <c r="F2915" i="12"/>
  <c r="J2914" i="12"/>
  <c r="I2914" i="12"/>
  <c r="H2914" i="12"/>
  <c r="F2914" i="12"/>
  <c r="J2913" i="12"/>
  <c r="I2913" i="12"/>
  <c r="H2913" i="12"/>
  <c r="F2913" i="12"/>
  <c r="J2912" i="12"/>
  <c r="I2912" i="12"/>
  <c r="H2912" i="12"/>
  <c r="F2912" i="12"/>
  <c r="J2911" i="12"/>
  <c r="I2911" i="12"/>
  <c r="H2911" i="12"/>
  <c r="F2911" i="12"/>
  <c r="J2910" i="12"/>
  <c r="I2910" i="12"/>
  <c r="H2910" i="12"/>
  <c r="F2910" i="12"/>
  <c r="J2909" i="12"/>
  <c r="I2909" i="12"/>
  <c r="H2909" i="12"/>
  <c r="F2909" i="12"/>
  <c r="J2908" i="12"/>
  <c r="I2908" i="12"/>
  <c r="H2908" i="12"/>
  <c r="F2908" i="12"/>
  <c r="J2907" i="12"/>
  <c r="I2907" i="12"/>
  <c r="H2907" i="12"/>
  <c r="F2907" i="12"/>
  <c r="J2906" i="12"/>
  <c r="I2906" i="12"/>
  <c r="H2906" i="12"/>
  <c r="F2906" i="12"/>
  <c r="J2905" i="12"/>
  <c r="I2905" i="12"/>
  <c r="H2905" i="12"/>
  <c r="F2905" i="12"/>
  <c r="J2904" i="12"/>
  <c r="I2904" i="12"/>
  <c r="H2904" i="12"/>
  <c r="F2904" i="12"/>
  <c r="J2903" i="12"/>
  <c r="I2903" i="12"/>
  <c r="H2903" i="12"/>
  <c r="F2903" i="12"/>
  <c r="J2902" i="12"/>
  <c r="I2902" i="12"/>
  <c r="H2902" i="12"/>
  <c r="F2902" i="12"/>
  <c r="J2901" i="12"/>
  <c r="I2901" i="12"/>
  <c r="H2901" i="12"/>
  <c r="F2901" i="12"/>
  <c r="J2900" i="12"/>
  <c r="I2900" i="12"/>
  <c r="H2900" i="12"/>
  <c r="F2900" i="12"/>
  <c r="J2899" i="12"/>
  <c r="I2899" i="12"/>
  <c r="H2899" i="12"/>
  <c r="F2899" i="12"/>
  <c r="J2898" i="12"/>
  <c r="I2898" i="12"/>
  <c r="H2898" i="12"/>
  <c r="F2898" i="12"/>
  <c r="J2897" i="12"/>
  <c r="I2897" i="12"/>
  <c r="H2897" i="12"/>
  <c r="F2897" i="12"/>
  <c r="J2896" i="12"/>
  <c r="I2896" i="12"/>
  <c r="H2896" i="12"/>
  <c r="F2896" i="12"/>
  <c r="J2895" i="12"/>
  <c r="I2895" i="12"/>
  <c r="H2895" i="12"/>
  <c r="F2895" i="12"/>
  <c r="J2894" i="12"/>
  <c r="I2894" i="12"/>
  <c r="H2894" i="12"/>
  <c r="F2894" i="12"/>
  <c r="J2893" i="12"/>
  <c r="I2893" i="12"/>
  <c r="H2893" i="12"/>
  <c r="F2893" i="12"/>
  <c r="J2892" i="12"/>
  <c r="I2892" i="12"/>
  <c r="H2892" i="12"/>
  <c r="F2892" i="12"/>
  <c r="J2891" i="12"/>
  <c r="I2891" i="12"/>
  <c r="H2891" i="12"/>
  <c r="F2891" i="12"/>
  <c r="J2890" i="12"/>
  <c r="I2890" i="12"/>
  <c r="H2890" i="12"/>
  <c r="F2890" i="12"/>
  <c r="J2889" i="12"/>
  <c r="I2889" i="12"/>
  <c r="H2889" i="12"/>
  <c r="F2889" i="12"/>
  <c r="J2888" i="12"/>
  <c r="I2888" i="12"/>
  <c r="H2888" i="12"/>
  <c r="F2888" i="12"/>
  <c r="J2887" i="12"/>
  <c r="I2887" i="12"/>
  <c r="H2887" i="12"/>
  <c r="F2887" i="12"/>
  <c r="J2886" i="12"/>
  <c r="I2886" i="12"/>
  <c r="H2886" i="12"/>
  <c r="F2886" i="12"/>
  <c r="J2885" i="12"/>
  <c r="I2885" i="12"/>
  <c r="H2885" i="12"/>
  <c r="F2885" i="12"/>
  <c r="J2884" i="12"/>
  <c r="I2884" i="12"/>
  <c r="H2884" i="12"/>
  <c r="F2884" i="12"/>
  <c r="J2883" i="12"/>
  <c r="I2883" i="12"/>
  <c r="H2883" i="12"/>
  <c r="F2883" i="12"/>
  <c r="J2882" i="12"/>
  <c r="I2882" i="12"/>
  <c r="H2882" i="12"/>
  <c r="F2882" i="12"/>
  <c r="J2881" i="12"/>
  <c r="I2881" i="12"/>
  <c r="H2881" i="12"/>
  <c r="F2881" i="12"/>
  <c r="J2880" i="12"/>
  <c r="I2880" i="12"/>
  <c r="H2880" i="12"/>
  <c r="F2880" i="12"/>
  <c r="J2879" i="12"/>
  <c r="I2879" i="12"/>
  <c r="H2879" i="12"/>
  <c r="F2879" i="12"/>
  <c r="J2878" i="12"/>
  <c r="I2878" i="12"/>
  <c r="H2878" i="12"/>
  <c r="F2878" i="12"/>
  <c r="J2877" i="12"/>
  <c r="I2877" i="12"/>
  <c r="H2877" i="12"/>
  <c r="F2877" i="12"/>
  <c r="J2876" i="12"/>
  <c r="I2876" i="12"/>
  <c r="H2876" i="12"/>
  <c r="F2876" i="12"/>
  <c r="J2875" i="12"/>
  <c r="I2875" i="12"/>
  <c r="H2875" i="12"/>
  <c r="F2875" i="12"/>
  <c r="J2874" i="12"/>
  <c r="I2874" i="12"/>
  <c r="H2874" i="12"/>
  <c r="F2874" i="12"/>
  <c r="J2873" i="12"/>
  <c r="I2873" i="12"/>
  <c r="H2873" i="12"/>
  <c r="F2873" i="12"/>
  <c r="J2872" i="12"/>
  <c r="I2872" i="12"/>
  <c r="H2872" i="12"/>
  <c r="F2872" i="12"/>
  <c r="J2871" i="12"/>
  <c r="I2871" i="12"/>
  <c r="H2871" i="12"/>
  <c r="F2871" i="12"/>
  <c r="J2870" i="12"/>
  <c r="I2870" i="12"/>
  <c r="H2870" i="12"/>
  <c r="F2870" i="12"/>
  <c r="J2869" i="12"/>
  <c r="I2869" i="12"/>
  <c r="H2869" i="12"/>
  <c r="F2869" i="12"/>
  <c r="J2868" i="12"/>
  <c r="I2868" i="12"/>
  <c r="H2868" i="12"/>
  <c r="F2868" i="12"/>
  <c r="J2867" i="12"/>
  <c r="I2867" i="12"/>
  <c r="H2867" i="12"/>
  <c r="F2867" i="12"/>
  <c r="J2866" i="12"/>
  <c r="I2866" i="12"/>
  <c r="H2866" i="12"/>
  <c r="F2866" i="12"/>
  <c r="J2865" i="12"/>
  <c r="I2865" i="12"/>
  <c r="H2865" i="12"/>
  <c r="F2865" i="12"/>
  <c r="J2864" i="12"/>
  <c r="I2864" i="12"/>
  <c r="H2864" i="12"/>
  <c r="F2864" i="12"/>
  <c r="J2863" i="12"/>
  <c r="I2863" i="12"/>
  <c r="H2863" i="12"/>
  <c r="F2863" i="12"/>
  <c r="J2862" i="12"/>
  <c r="I2862" i="12"/>
  <c r="H2862" i="12"/>
  <c r="F2862" i="12"/>
  <c r="J2861" i="12"/>
  <c r="I2861" i="12"/>
  <c r="H2861" i="12"/>
  <c r="F2861" i="12"/>
  <c r="J2860" i="12"/>
  <c r="I2860" i="12"/>
  <c r="H2860" i="12"/>
  <c r="F2860" i="12"/>
  <c r="J2859" i="12"/>
  <c r="I2859" i="12"/>
  <c r="H2859" i="12"/>
  <c r="F2859" i="12"/>
  <c r="J2858" i="12"/>
  <c r="I2858" i="12"/>
  <c r="H2858" i="12"/>
  <c r="F2858" i="12"/>
  <c r="J2857" i="12"/>
  <c r="I2857" i="12"/>
  <c r="H2857" i="12"/>
  <c r="F2857" i="12"/>
  <c r="J2856" i="12"/>
  <c r="I2856" i="12"/>
  <c r="H2856" i="12"/>
  <c r="F2856" i="12"/>
  <c r="J2855" i="12"/>
  <c r="I2855" i="12"/>
  <c r="H2855" i="12"/>
  <c r="F2855" i="12"/>
  <c r="J2854" i="12"/>
  <c r="I2854" i="12"/>
  <c r="H2854" i="12"/>
  <c r="F2854" i="12"/>
  <c r="J2853" i="12"/>
  <c r="I2853" i="12"/>
  <c r="H2853" i="12"/>
  <c r="F2853" i="12"/>
  <c r="J2852" i="12"/>
  <c r="I2852" i="12"/>
  <c r="H2852" i="12"/>
  <c r="F2852" i="12"/>
  <c r="J2851" i="12"/>
  <c r="I2851" i="12"/>
  <c r="H2851" i="12"/>
  <c r="F2851" i="12"/>
  <c r="J2850" i="12"/>
  <c r="I2850" i="12"/>
  <c r="H2850" i="12"/>
  <c r="F2850" i="12"/>
  <c r="J2849" i="12"/>
  <c r="I2849" i="12"/>
  <c r="H2849" i="12"/>
  <c r="F2849" i="12"/>
  <c r="J2848" i="12"/>
  <c r="I2848" i="12"/>
  <c r="H2848" i="12"/>
  <c r="F2848" i="12"/>
  <c r="J2847" i="12"/>
  <c r="I2847" i="12"/>
  <c r="H2847" i="12"/>
  <c r="F2847" i="12"/>
  <c r="J2846" i="12"/>
  <c r="I2846" i="12"/>
  <c r="H2846" i="12"/>
  <c r="F2846" i="12"/>
  <c r="J2845" i="12"/>
  <c r="I2845" i="12"/>
  <c r="H2845" i="12"/>
  <c r="F2845" i="12"/>
  <c r="J2844" i="12"/>
  <c r="I2844" i="12"/>
  <c r="H2844" i="12"/>
  <c r="F2844" i="12"/>
  <c r="J2843" i="12"/>
  <c r="I2843" i="12"/>
  <c r="H2843" i="12"/>
  <c r="F2843" i="12"/>
  <c r="J2842" i="12"/>
  <c r="I2842" i="12"/>
  <c r="H2842" i="12"/>
  <c r="F2842" i="12"/>
  <c r="J2841" i="12"/>
  <c r="I2841" i="12"/>
  <c r="H2841" i="12"/>
  <c r="F2841" i="12"/>
  <c r="J2840" i="12"/>
  <c r="I2840" i="12"/>
  <c r="H2840" i="12"/>
  <c r="F2840" i="12"/>
  <c r="J2839" i="12"/>
  <c r="I2839" i="12"/>
  <c r="H2839" i="12"/>
  <c r="F2839" i="12"/>
  <c r="J2838" i="12"/>
  <c r="I2838" i="12"/>
  <c r="H2838" i="12"/>
  <c r="F2838" i="12"/>
  <c r="J2837" i="12"/>
  <c r="I2837" i="12"/>
  <c r="H2837" i="12"/>
  <c r="F2837" i="12"/>
  <c r="J2836" i="12"/>
  <c r="I2836" i="12"/>
  <c r="H2836" i="12"/>
  <c r="F2836" i="12"/>
  <c r="J2835" i="12"/>
  <c r="I2835" i="12"/>
  <c r="H2835" i="12"/>
  <c r="F2835" i="12"/>
  <c r="J2834" i="12"/>
  <c r="I2834" i="12"/>
  <c r="H2834" i="12"/>
  <c r="F2834" i="12"/>
  <c r="J2833" i="12"/>
  <c r="I2833" i="12"/>
  <c r="H2833" i="12"/>
  <c r="F2833" i="12"/>
  <c r="J2832" i="12"/>
  <c r="I2832" i="12"/>
  <c r="H2832" i="12"/>
  <c r="F2832" i="12"/>
  <c r="J2831" i="12"/>
  <c r="I2831" i="12"/>
  <c r="H2831" i="12"/>
  <c r="F2831" i="12"/>
  <c r="J2830" i="12"/>
  <c r="I2830" i="12"/>
  <c r="H2830" i="12"/>
  <c r="F2830" i="12"/>
  <c r="J2829" i="12"/>
  <c r="I2829" i="12"/>
  <c r="H2829" i="12"/>
  <c r="F2829" i="12"/>
  <c r="J2828" i="12"/>
  <c r="I2828" i="12"/>
  <c r="H2828" i="12"/>
  <c r="F2828" i="12"/>
  <c r="J2827" i="12"/>
  <c r="I2827" i="12"/>
  <c r="H2827" i="12"/>
  <c r="F2827" i="12"/>
  <c r="J2826" i="12"/>
  <c r="I2826" i="12"/>
  <c r="H2826" i="12"/>
  <c r="F2826" i="12"/>
  <c r="J2825" i="12"/>
  <c r="I2825" i="12"/>
  <c r="H2825" i="12"/>
  <c r="F2825" i="12"/>
  <c r="J2824" i="12"/>
  <c r="I2824" i="12"/>
  <c r="H2824" i="12"/>
  <c r="F2824" i="12"/>
  <c r="J2823" i="12"/>
  <c r="I2823" i="12"/>
  <c r="H2823" i="12"/>
  <c r="F2823" i="12"/>
  <c r="J2822" i="12"/>
  <c r="I2822" i="12"/>
  <c r="H2822" i="12"/>
  <c r="F2822" i="12"/>
  <c r="J2821" i="12"/>
  <c r="I2821" i="12"/>
  <c r="H2821" i="12"/>
  <c r="F2821" i="12"/>
  <c r="J2820" i="12"/>
  <c r="I2820" i="12"/>
  <c r="H2820" i="12"/>
  <c r="F2820" i="12"/>
  <c r="J2819" i="12"/>
  <c r="I2819" i="12"/>
  <c r="H2819" i="12"/>
  <c r="F2819" i="12"/>
  <c r="J2818" i="12"/>
  <c r="I2818" i="12"/>
  <c r="H2818" i="12"/>
  <c r="F2818" i="12"/>
  <c r="J2817" i="12"/>
  <c r="I2817" i="12"/>
  <c r="H2817" i="12"/>
  <c r="F2817" i="12"/>
  <c r="J2816" i="12"/>
  <c r="I2816" i="12"/>
  <c r="H2816" i="12"/>
  <c r="F2816" i="12"/>
  <c r="J2815" i="12"/>
  <c r="I2815" i="12"/>
  <c r="H2815" i="12"/>
  <c r="F2815" i="12"/>
  <c r="J2814" i="12"/>
  <c r="I2814" i="12"/>
  <c r="H2814" i="12"/>
  <c r="F2814" i="12"/>
  <c r="J2813" i="12"/>
  <c r="I2813" i="12"/>
  <c r="H2813" i="12"/>
  <c r="F2813" i="12"/>
  <c r="J2812" i="12"/>
  <c r="I2812" i="12"/>
  <c r="H2812" i="12"/>
  <c r="F2812" i="12"/>
  <c r="J2811" i="12"/>
  <c r="I2811" i="12"/>
  <c r="H2811" i="12"/>
  <c r="F2811" i="12"/>
  <c r="J2810" i="12"/>
  <c r="I2810" i="12"/>
  <c r="H2810" i="12"/>
  <c r="F2810" i="12"/>
  <c r="J2809" i="12"/>
  <c r="I2809" i="12"/>
  <c r="H2809" i="12"/>
  <c r="F2809" i="12"/>
  <c r="J2808" i="12"/>
  <c r="I2808" i="12"/>
  <c r="H2808" i="12"/>
  <c r="F2808" i="12"/>
  <c r="J2807" i="12"/>
  <c r="I2807" i="12"/>
  <c r="H2807" i="12"/>
  <c r="F2807" i="12"/>
  <c r="J2806" i="12"/>
  <c r="I2806" i="12"/>
  <c r="H2806" i="12"/>
  <c r="F2806" i="12"/>
  <c r="J2805" i="12"/>
  <c r="I2805" i="12"/>
  <c r="H2805" i="12"/>
  <c r="F2805" i="12"/>
  <c r="J2804" i="12"/>
  <c r="I2804" i="12"/>
  <c r="H2804" i="12"/>
  <c r="F2804" i="12"/>
  <c r="J2803" i="12"/>
  <c r="I2803" i="12"/>
  <c r="H2803" i="12"/>
  <c r="F2803" i="12"/>
  <c r="J2802" i="12"/>
  <c r="I2802" i="12"/>
  <c r="H2802" i="12"/>
  <c r="F2802" i="12"/>
  <c r="J2801" i="12"/>
  <c r="I2801" i="12"/>
  <c r="H2801" i="12"/>
  <c r="F2801" i="12"/>
  <c r="J2800" i="12"/>
  <c r="I2800" i="12"/>
  <c r="H2800" i="12"/>
  <c r="F2800" i="12"/>
  <c r="J2799" i="12"/>
  <c r="I2799" i="12"/>
  <c r="H2799" i="12"/>
  <c r="F2799" i="12"/>
  <c r="J2798" i="12"/>
  <c r="I2798" i="12"/>
  <c r="H2798" i="12"/>
  <c r="F2798" i="12"/>
  <c r="J2797" i="12"/>
  <c r="I2797" i="12"/>
  <c r="H2797" i="12"/>
  <c r="F2797" i="12"/>
  <c r="J2796" i="12"/>
  <c r="I2796" i="12"/>
  <c r="H2796" i="12"/>
  <c r="F2796" i="12"/>
  <c r="J2795" i="12"/>
  <c r="I2795" i="12"/>
  <c r="H2795" i="12"/>
  <c r="F2795" i="12"/>
  <c r="J2794" i="12"/>
  <c r="I2794" i="12"/>
  <c r="H2794" i="12"/>
  <c r="F2794" i="12"/>
  <c r="J2793" i="12"/>
  <c r="I2793" i="12"/>
  <c r="H2793" i="12"/>
  <c r="F2793" i="12"/>
  <c r="J2792" i="12"/>
  <c r="I2792" i="12"/>
  <c r="H2792" i="12"/>
  <c r="F2792" i="12"/>
  <c r="J2791" i="12"/>
  <c r="I2791" i="12"/>
  <c r="H2791" i="12"/>
  <c r="F2791" i="12"/>
  <c r="J2790" i="12"/>
  <c r="I2790" i="12"/>
  <c r="H2790" i="12"/>
  <c r="F2790" i="12"/>
  <c r="J2789" i="12"/>
  <c r="I2789" i="12"/>
  <c r="H2789" i="12"/>
  <c r="F2789" i="12"/>
  <c r="J2788" i="12"/>
  <c r="I2788" i="12"/>
  <c r="H2788" i="12"/>
  <c r="F2788" i="12"/>
  <c r="J2787" i="12"/>
  <c r="I2787" i="12"/>
  <c r="H2787" i="12"/>
  <c r="F2787" i="12"/>
  <c r="J2786" i="12"/>
  <c r="I2786" i="12"/>
  <c r="H2786" i="12"/>
  <c r="F2786" i="12"/>
  <c r="J2785" i="12"/>
  <c r="I2785" i="12"/>
  <c r="H2785" i="12"/>
  <c r="F2785" i="12"/>
  <c r="J2784" i="12"/>
  <c r="I2784" i="12"/>
  <c r="H2784" i="12"/>
  <c r="F2784" i="12"/>
  <c r="J2783" i="12"/>
  <c r="I2783" i="12"/>
  <c r="H2783" i="12"/>
  <c r="F2783" i="12"/>
  <c r="J2782" i="12"/>
  <c r="I2782" i="12"/>
  <c r="H2782" i="12"/>
  <c r="F2782" i="12"/>
  <c r="J2781" i="12"/>
  <c r="I2781" i="12"/>
  <c r="H2781" i="12"/>
  <c r="F2781" i="12"/>
  <c r="J2780" i="12"/>
  <c r="I2780" i="12"/>
  <c r="H2780" i="12"/>
  <c r="F2780" i="12"/>
  <c r="J2779" i="12"/>
  <c r="I2779" i="12"/>
  <c r="H2779" i="12"/>
  <c r="F2779" i="12"/>
  <c r="J2778" i="12"/>
  <c r="I2778" i="12"/>
  <c r="H2778" i="12"/>
  <c r="F2778" i="12"/>
  <c r="J2777" i="12"/>
  <c r="I2777" i="12"/>
  <c r="H2777" i="12"/>
  <c r="F2777" i="12"/>
  <c r="J2776" i="12"/>
  <c r="I2776" i="12"/>
  <c r="H2776" i="12"/>
  <c r="F2776" i="12"/>
  <c r="J2775" i="12"/>
  <c r="I2775" i="12"/>
  <c r="H2775" i="12"/>
  <c r="F2775" i="12"/>
  <c r="J2774" i="12"/>
  <c r="I2774" i="12"/>
  <c r="H2774" i="12"/>
  <c r="F2774" i="12"/>
  <c r="J2773" i="12"/>
  <c r="I2773" i="12"/>
  <c r="H2773" i="12"/>
  <c r="F2773" i="12"/>
  <c r="J2772" i="12"/>
  <c r="I2772" i="12"/>
  <c r="H2772" i="12"/>
  <c r="F2772" i="12"/>
  <c r="J2771" i="12"/>
  <c r="I2771" i="12"/>
  <c r="H2771" i="12"/>
  <c r="F2771" i="12"/>
  <c r="J2770" i="12"/>
  <c r="I2770" i="12"/>
  <c r="H2770" i="12"/>
  <c r="F2770" i="12"/>
  <c r="J2769" i="12"/>
  <c r="I2769" i="12"/>
  <c r="H2769" i="12"/>
  <c r="F2769" i="12"/>
  <c r="J2768" i="12"/>
  <c r="I2768" i="12"/>
  <c r="H2768" i="12"/>
  <c r="F2768" i="12"/>
  <c r="J2767" i="12"/>
  <c r="I2767" i="12"/>
  <c r="H2767" i="12"/>
  <c r="F2767" i="12"/>
  <c r="J2766" i="12"/>
  <c r="I2766" i="12"/>
  <c r="H2766" i="12"/>
  <c r="F2766" i="12"/>
  <c r="J2765" i="12"/>
  <c r="I2765" i="12"/>
  <c r="H2765" i="12"/>
  <c r="F2765" i="12"/>
  <c r="J2764" i="12"/>
  <c r="I2764" i="12"/>
  <c r="H2764" i="12"/>
  <c r="F2764" i="12"/>
  <c r="J2763" i="12"/>
  <c r="I2763" i="12"/>
  <c r="H2763" i="12"/>
  <c r="F2763" i="12"/>
  <c r="J2762" i="12"/>
  <c r="I2762" i="12"/>
  <c r="H2762" i="12"/>
  <c r="F2762" i="12"/>
  <c r="J2761" i="12"/>
  <c r="I2761" i="12"/>
  <c r="H2761" i="12"/>
  <c r="F2761" i="12"/>
  <c r="J2760" i="12"/>
  <c r="I2760" i="12"/>
  <c r="H2760" i="12"/>
  <c r="F2760" i="12"/>
  <c r="J2759" i="12"/>
  <c r="I2759" i="12"/>
  <c r="H2759" i="12"/>
  <c r="F2759" i="12"/>
  <c r="J2758" i="12"/>
  <c r="I2758" i="12"/>
  <c r="H2758" i="12"/>
  <c r="F2758" i="12"/>
  <c r="J2757" i="12"/>
  <c r="I2757" i="12"/>
  <c r="H2757" i="12"/>
  <c r="F2757" i="12"/>
  <c r="J2756" i="12"/>
  <c r="I2756" i="12"/>
  <c r="H2756" i="12"/>
  <c r="F2756" i="12"/>
  <c r="J2755" i="12"/>
  <c r="I2755" i="12"/>
  <c r="H2755" i="12"/>
  <c r="F2755" i="12"/>
  <c r="J2754" i="12"/>
  <c r="I2754" i="12"/>
  <c r="H2754" i="12"/>
  <c r="F2754" i="12"/>
  <c r="J2753" i="12"/>
  <c r="I2753" i="12"/>
  <c r="H2753" i="12"/>
  <c r="F2753" i="12"/>
  <c r="J2752" i="12"/>
  <c r="I2752" i="12"/>
  <c r="H2752" i="12"/>
  <c r="F2752" i="12"/>
  <c r="J2751" i="12"/>
  <c r="I2751" i="12"/>
  <c r="H2751" i="12"/>
  <c r="F2751" i="12"/>
  <c r="J2750" i="12"/>
  <c r="I2750" i="12"/>
  <c r="H2750" i="12"/>
  <c r="F2750" i="12"/>
  <c r="I2749" i="12"/>
  <c r="H2749" i="12"/>
  <c r="I2748" i="12"/>
  <c r="H2748" i="12"/>
  <c r="I2747" i="12"/>
  <c r="H2747" i="12"/>
  <c r="I2746" i="12"/>
  <c r="H2746" i="12"/>
  <c r="I2745" i="12"/>
  <c r="H2745" i="12"/>
  <c r="I2744" i="12"/>
  <c r="H2744" i="12"/>
  <c r="I2743" i="12"/>
  <c r="H2743" i="12"/>
  <c r="I2742" i="12"/>
  <c r="H2742" i="12"/>
  <c r="I2741" i="12"/>
  <c r="H2741" i="12"/>
  <c r="I2740" i="12"/>
  <c r="H2740" i="12"/>
  <c r="I2739" i="12"/>
  <c r="H2739" i="12"/>
  <c r="I2738" i="12"/>
  <c r="H2738" i="12"/>
  <c r="I2737" i="12"/>
  <c r="H2737" i="12"/>
  <c r="I2736" i="12"/>
  <c r="H2736" i="12"/>
  <c r="I2735" i="12"/>
  <c r="H2735" i="12"/>
  <c r="I2734" i="12"/>
  <c r="H2734" i="12"/>
  <c r="I2733" i="12"/>
  <c r="H2733" i="12"/>
  <c r="I2732" i="12"/>
  <c r="H2732" i="12"/>
  <c r="I2731" i="12"/>
  <c r="H2731" i="12"/>
  <c r="I2730" i="12"/>
  <c r="H2730" i="12"/>
  <c r="I2729" i="12"/>
  <c r="H2729" i="12"/>
  <c r="I2728" i="12"/>
  <c r="H2728" i="12"/>
  <c r="I2727" i="12"/>
  <c r="H2727" i="12"/>
  <c r="I2726" i="12"/>
  <c r="H2726" i="12"/>
  <c r="I2725" i="12"/>
  <c r="H2725" i="12"/>
  <c r="I2724" i="12"/>
  <c r="H2724" i="12"/>
  <c r="I2723" i="12"/>
  <c r="H2723" i="12"/>
  <c r="I2722" i="12"/>
  <c r="H2722" i="12"/>
  <c r="I2721" i="12"/>
  <c r="H2721" i="12"/>
  <c r="I2720" i="12"/>
  <c r="H2720" i="12"/>
  <c r="I2719" i="12"/>
  <c r="H2719" i="12"/>
  <c r="I2718" i="12"/>
  <c r="H2718" i="12"/>
  <c r="I2717" i="12"/>
  <c r="H2717" i="12"/>
  <c r="I2716" i="12"/>
  <c r="H2716" i="12"/>
  <c r="I2715" i="12"/>
  <c r="H2715" i="12"/>
  <c r="I2714" i="12"/>
  <c r="H2714" i="12"/>
  <c r="I2713" i="12"/>
  <c r="H2713" i="12"/>
  <c r="I2712" i="12"/>
  <c r="H2712" i="12"/>
  <c r="I2711" i="12"/>
  <c r="H2711" i="12"/>
  <c r="I2710" i="12"/>
  <c r="H2710" i="12"/>
  <c r="I2709" i="12"/>
  <c r="H2709" i="12"/>
  <c r="I2708" i="12"/>
  <c r="H2708" i="12"/>
  <c r="I2707" i="12"/>
  <c r="H2707" i="12"/>
  <c r="I2706" i="12"/>
  <c r="H2706" i="12"/>
  <c r="I2705" i="12"/>
  <c r="H2705" i="12"/>
  <c r="I2704" i="12"/>
  <c r="H2704" i="12"/>
  <c r="I2703" i="12"/>
  <c r="H2703" i="12"/>
  <c r="I2702" i="12"/>
  <c r="H2702" i="12"/>
  <c r="I2701" i="12"/>
  <c r="H2701" i="12"/>
  <c r="I2700" i="12"/>
  <c r="H2700" i="12"/>
  <c r="I2699" i="12"/>
  <c r="H2699" i="12"/>
  <c r="I2698" i="12"/>
  <c r="H2698" i="12"/>
  <c r="I2697" i="12"/>
  <c r="H2697" i="12"/>
  <c r="I2696" i="12"/>
  <c r="H2696" i="12"/>
  <c r="I2695" i="12"/>
  <c r="H2695" i="12"/>
  <c r="I2694" i="12"/>
  <c r="H2694" i="12"/>
  <c r="I2693" i="12"/>
  <c r="H2693" i="12"/>
  <c r="I2692" i="12"/>
  <c r="H2692" i="12"/>
  <c r="I2691" i="12"/>
  <c r="H2691" i="12"/>
  <c r="I2690" i="12"/>
  <c r="H2690" i="12"/>
  <c r="I2689" i="12"/>
  <c r="H2689" i="12"/>
  <c r="I2688" i="12"/>
  <c r="H2688" i="12"/>
  <c r="I2687" i="12"/>
  <c r="H2687" i="12"/>
  <c r="I2686" i="12"/>
  <c r="H2686" i="12"/>
  <c r="I2685" i="12"/>
  <c r="H2685" i="12"/>
  <c r="I2684" i="12"/>
  <c r="H2684" i="12"/>
  <c r="I2683" i="12"/>
  <c r="H2683" i="12"/>
  <c r="I2682" i="12"/>
  <c r="H2682" i="12"/>
  <c r="I2681" i="12"/>
  <c r="H2681" i="12"/>
  <c r="I2680" i="12"/>
  <c r="H2680" i="12"/>
  <c r="I2679" i="12"/>
  <c r="H2679" i="12"/>
  <c r="I2678" i="12"/>
  <c r="H2678" i="12"/>
  <c r="I2677" i="12"/>
  <c r="H2677" i="12"/>
  <c r="I2676" i="12"/>
  <c r="H2676" i="12"/>
  <c r="I2675" i="12"/>
  <c r="H2675" i="12"/>
  <c r="I2674" i="12"/>
  <c r="H2674" i="12"/>
  <c r="I2673" i="12"/>
  <c r="H2673" i="12"/>
  <c r="I2672" i="12"/>
  <c r="H2672" i="12"/>
  <c r="I2671" i="12"/>
  <c r="H2671" i="12"/>
  <c r="I2670" i="12"/>
  <c r="H2670" i="12"/>
  <c r="I2669" i="12"/>
  <c r="H2669" i="12"/>
  <c r="I2668" i="12"/>
  <c r="H2668" i="12"/>
  <c r="I2667" i="12"/>
  <c r="H2667" i="12"/>
  <c r="I2666" i="12"/>
  <c r="H2666" i="12"/>
  <c r="I2665" i="12"/>
  <c r="H2665" i="12"/>
  <c r="I2664" i="12"/>
  <c r="H2664" i="12"/>
  <c r="I2663" i="12"/>
  <c r="H2663" i="12"/>
  <c r="I2662" i="12"/>
  <c r="H2662" i="12"/>
  <c r="I2661" i="12"/>
  <c r="H2661" i="12"/>
  <c r="I2660" i="12"/>
  <c r="H2660" i="12"/>
  <c r="I2659" i="12"/>
  <c r="H2659" i="12"/>
  <c r="I2658" i="12"/>
  <c r="H2658" i="12"/>
  <c r="I2657" i="12"/>
  <c r="H2657" i="12"/>
  <c r="I2656" i="12"/>
  <c r="H2656" i="12"/>
  <c r="I2655" i="12"/>
  <c r="H2655" i="12"/>
  <c r="I2654" i="12"/>
  <c r="H2654" i="12"/>
  <c r="I2653" i="12"/>
  <c r="H2653" i="12"/>
  <c r="I2652" i="12"/>
  <c r="H2652" i="12"/>
  <c r="I2651" i="12"/>
  <c r="H2651" i="12"/>
  <c r="I2650" i="12"/>
  <c r="H2650" i="12"/>
  <c r="I2649" i="12"/>
  <c r="H2649" i="12"/>
  <c r="I2648" i="12"/>
  <c r="H2648" i="12"/>
  <c r="I2647" i="12"/>
  <c r="H2647" i="12"/>
  <c r="I2646" i="12"/>
  <c r="H2646" i="12"/>
  <c r="I2645" i="12"/>
  <c r="H2645" i="12"/>
  <c r="I2644" i="12"/>
  <c r="H2644" i="12"/>
  <c r="I2643" i="12"/>
  <c r="H2643" i="12"/>
  <c r="I2642" i="12"/>
  <c r="H2642" i="12"/>
  <c r="I2641" i="12"/>
  <c r="H2641" i="12"/>
  <c r="I2640" i="12"/>
  <c r="H2640" i="12"/>
  <c r="I2639" i="12"/>
  <c r="H2639" i="12"/>
  <c r="I2638" i="12"/>
  <c r="H2638" i="12"/>
  <c r="I2637" i="12"/>
  <c r="H2637" i="12"/>
  <c r="I2636" i="12"/>
  <c r="H2636" i="12"/>
  <c r="I2635" i="12"/>
  <c r="H2635" i="12"/>
  <c r="I2634" i="12"/>
  <c r="H2634" i="12"/>
  <c r="I2633" i="12"/>
  <c r="H2633" i="12"/>
  <c r="I2632" i="12"/>
  <c r="H2632" i="12"/>
  <c r="I2631" i="12"/>
  <c r="H2631" i="12"/>
  <c r="I2630" i="12"/>
  <c r="H2630" i="12"/>
  <c r="I2629" i="12"/>
  <c r="H2629" i="12"/>
  <c r="I2628" i="12"/>
  <c r="H2628" i="12"/>
  <c r="I2627" i="12"/>
  <c r="H2627" i="12"/>
  <c r="I2626" i="12"/>
  <c r="H2626" i="12"/>
  <c r="I2625" i="12"/>
  <c r="H2625" i="12"/>
  <c r="I2624" i="12"/>
  <c r="H2624" i="12"/>
  <c r="I2623" i="12"/>
  <c r="H2623" i="12"/>
  <c r="I2622" i="12"/>
  <c r="H2622" i="12"/>
  <c r="I2621" i="12"/>
  <c r="H2621" i="12"/>
  <c r="I2620" i="12"/>
  <c r="H2620" i="12"/>
  <c r="I2619" i="12"/>
  <c r="H2619" i="12"/>
  <c r="I2618" i="12"/>
  <c r="H2618" i="12"/>
  <c r="I2617" i="12"/>
  <c r="H2617" i="12"/>
  <c r="I2616" i="12"/>
  <c r="H2616" i="12"/>
  <c r="I2615" i="12"/>
  <c r="H2615" i="12"/>
  <c r="I2614" i="12"/>
  <c r="H2614" i="12"/>
  <c r="I2613" i="12"/>
  <c r="H2613" i="12"/>
  <c r="I2612" i="12"/>
  <c r="H2612" i="12"/>
  <c r="I2611" i="12"/>
  <c r="H2611" i="12"/>
  <c r="I2610" i="12"/>
  <c r="H2610" i="12"/>
  <c r="I2609" i="12"/>
  <c r="H2609" i="12"/>
  <c r="I2608" i="12"/>
  <c r="H2608" i="12"/>
  <c r="I2607" i="12"/>
  <c r="H2607" i="12"/>
  <c r="I2606" i="12"/>
  <c r="H2606" i="12"/>
  <c r="I2605" i="12"/>
  <c r="H2605" i="12"/>
  <c r="I2604" i="12"/>
  <c r="H2604" i="12"/>
  <c r="I2603" i="12"/>
  <c r="H2603" i="12"/>
  <c r="I2602" i="12"/>
  <c r="H2602" i="12"/>
  <c r="I2601" i="12"/>
  <c r="H2601" i="12"/>
  <c r="I2600" i="12"/>
  <c r="H2600" i="12"/>
  <c r="I2599" i="12"/>
  <c r="H2599" i="12"/>
  <c r="I2598" i="12"/>
  <c r="H2598" i="12"/>
  <c r="I2597" i="12"/>
  <c r="H2597" i="12"/>
  <c r="I2596" i="12"/>
  <c r="H2596" i="12"/>
  <c r="I2595" i="12"/>
  <c r="H2595" i="12"/>
  <c r="I2594" i="12"/>
  <c r="H2594" i="12"/>
  <c r="I2593" i="12"/>
  <c r="H2593" i="12"/>
  <c r="I2592" i="12"/>
  <c r="H2592" i="12"/>
  <c r="I2591" i="12"/>
  <c r="H2591" i="12"/>
  <c r="I2590" i="12"/>
  <c r="H2590" i="12"/>
  <c r="I2589" i="12"/>
  <c r="H2589" i="12"/>
  <c r="I2588" i="12"/>
  <c r="H2588" i="12"/>
  <c r="I2587" i="12"/>
  <c r="H2587" i="12"/>
  <c r="I2586" i="12"/>
  <c r="H2586" i="12"/>
  <c r="I2585" i="12"/>
  <c r="H2585" i="12"/>
  <c r="I2584" i="12"/>
  <c r="H2584" i="12"/>
  <c r="I2583" i="12"/>
  <c r="H2583" i="12"/>
  <c r="I2582" i="12"/>
  <c r="H2582" i="12"/>
  <c r="I2581" i="12"/>
  <c r="H2581" i="12"/>
  <c r="I2580" i="12"/>
  <c r="H2580" i="12"/>
  <c r="I2579" i="12"/>
  <c r="H2579" i="12"/>
  <c r="I2578" i="12"/>
  <c r="H2578" i="12"/>
  <c r="I2577" i="12"/>
  <c r="H2577" i="12"/>
  <c r="I2576" i="12"/>
  <c r="H2576" i="12"/>
  <c r="I2575" i="12"/>
  <c r="H2575" i="12"/>
  <c r="I2574" i="12"/>
  <c r="H2574" i="12"/>
  <c r="I2573" i="12"/>
  <c r="H2573" i="12"/>
  <c r="I2572" i="12"/>
  <c r="H2572" i="12"/>
  <c r="I2571" i="12"/>
  <c r="H2571" i="12"/>
  <c r="I2570" i="12"/>
  <c r="H2570" i="12"/>
  <c r="I2569" i="12"/>
  <c r="H2569" i="12"/>
  <c r="I2568" i="12"/>
  <c r="H2568" i="12"/>
  <c r="I2567" i="12"/>
  <c r="H2567" i="12"/>
  <c r="I2566" i="12"/>
  <c r="H2566" i="12"/>
  <c r="I2565" i="12"/>
  <c r="H2565" i="12"/>
  <c r="I2564" i="12"/>
  <c r="H2564" i="12"/>
  <c r="I2563" i="12"/>
  <c r="H2563" i="12"/>
  <c r="I2562" i="12"/>
  <c r="H2562" i="12"/>
  <c r="I2561" i="12"/>
  <c r="H2561" i="12"/>
  <c r="I2560" i="12"/>
  <c r="H2560" i="12"/>
  <c r="I2559" i="12"/>
  <c r="H2559" i="12"/>
  <c r="I2558" i="12"/>
  <c r="H2558" i="12"/>
  <c r="I2557" i="12"/>
  <c r="H2557" i="12"/>
  <c r="I2556" i="12"/>
  <c r="H2556" i="12"/>
  <c r="I2555" i="12"/>
  <c r="H2555" i="12"/>
  <c r="I2554" i="12"/>
  <c r="H2554" i="12"/>
  <c r="I2553" i="12"/>
  <c r="H2553" i="12"/>
  <c r="I2552" i="12"/>
  <c r="H2552" i="12"/>
  <c r="I2551" i="12"/>
  <c r="H2551" i="12"/>
  <c r="I2550" i="12"/>
  <c r="H2550" i="12"/>
  <c r="I2549" i="12"/>
  <c r="H2549" i="12"/>
  <c r="I2548" i="12"/>
  <c r="H2548" i="12"/>
  <c r="I2547" i="12"/>
  <c r="H2547" i="12"/>
  <c r="I2546" i="12"/>
  <c r="H2546" i="12"/>
  <c r="I2545" i="12"/>
  <c r="H2545" i="12"/>
  <c r="I2544" i="12"/>
  <c r="H2544" i="12"/>
  <c r="I2543" i="12"/>
  <c r="H2543" i="12"/>
  <c r="I2542" i="12"/>
  <c r="H2542" i="12"/>
  <c r="I2541" i="12"/>
  <c r="H2541" i="12"/>
  <c r="I2540" i="12"/>
  <c r="H2540" i="12"/>
  <c r="I2539" i="12"/>
  <c r="H2539" i="12"/>
  <c r="I2538" i="12"/>
  <c r="H2538" i="12"/>
  <c r="I2537" i="12"/>
  <c r="H2537" i="12"/>
  <c r="I2536" i="12"/>
  <c r="H2536" i="12"/>
  <c r="I2535" i="12"/>
  <c r="H2535" i="12"/>
  <c r="I2534" i="12"/>
  <c r="H2534" i="12"/>
  <c r="I2533" i="12"/>
  <c r="H2533" i="12"/>
  <c r="I2532" i="12"/>
  <c r="H2532" i="12"/>
  <c r="I2531" i="12"/>
  <c r="H2531" i="12"/>
  <c r="I2530" i="12"/>
  <c r="H2530" i="12"/>
  <c r="I2529" i="12"/>
  <c r="H2529" i="12"/>
  <c r="I2528" i="12"/>
  <c r="H2528" i="12"/>
  <c r="I2527" i="12"/>
  <c r="H2527" i="12"/>
  <c r="I2526" i="12"/>
  <c r="H2526" i="12"/>
  <c r="I2525" i="12"/>
  <c r="H2525" i="12"/>
  <c r="I2524" i="12"/>
  <c r="H2524" i="12"/>
  <c r="I2523" i="12"/>
  <c r="H2523" i="12"/>
  <c r="I2522" i="12"/>
  <c r="H2522" i="12"/>
  <c r="I2521" i="12"/>
  <c r="H2521" i="12"/>
  <c r="I2520" i="12"/>
  <c r="H2520" i="12"/>
  <c r="I2519" i="12"/>
  <c r="H2519" i="12"/>
  <c r="I2518" i="12"/>
  <c r="H2518" i="12"/>
  <c r="I2517" i="12"/>
  <c r="H2517" i="12"/>
  <c r="I2516" i="12"/>
  <c r="H2516" i="12"/>
  <c r="I2515" i="12"/>
  <c r="H2515" i="12"/>
  <c r="I2514" i="12"/>
  <c r="H2514" i="12"/>
  <c r="I2513" i="12"/>
  <c r="H2513" i="12"/>
  <c r="I2512" i="12"/>
  <c r="H2512" i="12"/>
  <c r="I2511" i="12"/>
  <c r="H2511" i="12"/>
  <c r="I2510" i="12"/>
  <c r="H2510" i="12"/>
  <c r="I2509" i="12"/>
  <c r="H2509" i="12"/>
  <c r="I2508" i="12"/>
  <c r="H2508" i="12"/>
  <c r="I2507" i="12"/>
  <c r="H2507" i="12"/>
  <c r="I2506" i="12"/>
  <c r="H2506" i="12"/>
  <c r="I2505" i="12"/>
  <c r="H2505" i="12"/>
  <c r="I2504" i="12"/>
  <c r="H2504" i="12"/>
  <c r="I2503" i="12"/>
  <c r="H2503" i="12"/>
  <c r="I2502" i="12"/>
  <c r="H2502" i="12"/>
  <c r="I2501" i="12"/>
  <c r="H2501" i="12"/>
  <c r="I2500" i="12"/>
  <c r="H2500" i="12"/>
  <c r="I2499" i="12"/>
  <c r="H2499" i="12"/>
  <c r="I2498" i="12"/>
  <c r="H2498" i="12"/>
  <c r="I2497" i="12"/>
  <c r="H2497" i="12"/>
  <c r="I2496" i="12"/>
  <c r="H2496" i="12"/>
  <c r="I2495" i="12"/>
  <c r="H2495" i="12"/>
  <c r="I2494" i="12"/>
  <c r="H2494" i="12"/>
  <c r="I2493" i="12"/>
  <c r="H2493" i="12"/>
  <c r="I2492" i="12"/>
  <c r="H2492" i="12"/>
  <c r="I2491" i="12"/>
  <c r="H2491" i="12"/>
  <c r="I2490" i="12"/>
  <c r="H2490" i="12"/>
  <c r="I2489" i="12"/>
  <c r="H2489" i="12"/>
  <c r="I2488" i="12"/>
  <c r="H2488" i="12"/>
  <c r="I2487" i="12"/>
  <c r="H2487" i="12"/>
  <c r="I2486" i="12"/>
  <c r="H2486" i="12"/>
  <c r="I2485" i="12"/>
  <c r="H2485" i="12"/>
  <c r="I2484" i="12"/>
  <c r="H2484" i="12"/>
  <c r="I2483" i="12"/>
  <c r="H2483" i="12"/>
  <c r="I2482" i="12"/>
  <c r="H2482" i="12"/>
  <c r="I2481" i="12"/>
  <c r="H2481" i="12"/>
  <c r="I2480" i="12"/>
  <c r="H2480" i="12"/>
  <c r="I2479" i="12"/>
  <c r="H2479" i="12"/>
  <c r="I2478" i="12"/>
  <c r="H2478" i="12"/>
  <c r="I2477" i="12"/>
  <c r="H2477" i="12"/>
  <c r="I2476" i="12"/>
  <c r="H2476" i="12"/>
  <c r="I2475" i="12"/>
  <c r="H2475" i="12"/>
  <c r="I2474" i="12"/>
  <c r="H2474" i="12"/>
  <c r="I2473" i="12"/>
  <c r="H2473" i="12"/>
  <c r="I2472" i="12"/>
  <c r="H2472" i="12"/>
  <c r="I2471" i="12"/>
  <c r="H2471" i="12"/>
  <c r="I2470" i="12"/>
  <c r="H2470" i="12"/>
  <c r="I2469" i="12"/>
  <c r="H2469" i="12"/>
  <c r="I2468" i="12"/>
  <c r="H2468" i="12"/>
  <c r="I2467" i="12"/>
  <c r="H2467" i="12"/>
  <c r="I2466" i="12"/>
  <c r="H2466" i="12"/>
  <c r="I2465" i="12"/>
  <c r="H2465" i="12"/>
  <c r="I2464" i="12"/>
  <c r="H2464" i="12"/>
  <c r="I2463" i="12"/>
  <c r="H2463" i="12"/>
  <c r="I2462" i="12"/>
  <c r="H2462" i="12"/>
  <c r="I2461" i="12"/>
  <c r="H2461" i="12"/>
  <c r="I2460" i="12"/>
  <c r="H2460" i="12"/>
  <c r="I2459" i="12"/>
  <c r="H2459" i="12"/>
  <c r="I2458" i="12"/>
  <c r="H2458" i="12"/>
  <c r="I2457" i="12"/>
  <c r="H2457" i="12"/>
  <c r="I2456" i="12"/>
  <c r="H2456" i="12"/>
  <c r="I2455" i="12"/>
  <c r="H2455" i="12"/>
  <c r="I2454" i="12"/>
  <c r="H2454" i="12"/>
  <c r="I2453" i="12"/>
  <c r="H2453" i="12"/>
  <c r="I2452" i="12"/>
  <c r="H2452" i="12"/>
  <c r="I2451" i="12"/>
  <c r="H2451" i="12"/>
  <c r="I2450" i="12"/>
  <c r="H2450" i="12"/>
  <c r="I2449" i="12"/>
  <c r="H2449" i="12"/>
  <c r="I2448" i="12"/>
  <c r="H2448" i="12"/>
  <c r="I2447" i="12"/>
  <c r="H2447" i="12"/>
  <c r="I2446" i="12"/>
  <c r="H2446" i="12"/>
  <c r="I2445" i="12"/>
  <c r="H2445" i="12"/>
  <c r="I2444" i="12"/>
  <c r="H2444" i="12"/>
  <c r="I2443" i="12"/>
  <c r="H2443" i="12"/>
  <c r="I2442" i="12"/>
  <c r="H2442" i="12"/>
  <c r="I2441" i="12"/>
  <c r="H2441" i="12"/>
  <c r="I2440" i="12"/>
  <c r="H2440" i="12"/>
  <c r="I2439" i="12"/>
  <c r="H2439" i="12"/>
  <c r="I2438" i="12"/>
  <c r="H2438" i="12"/>
  <c r="I2437" i="12"/>
  <c r="H2437" i="12"/>
  <c r="I2436" i="12"/>
  <c r="H2436" i="12"/>
  <c r="I2435" i="12"/>
  <c r="H2435" i="12"/>
  <c r="I2434" i="12"/>
  <c r="H2434" i="12"/>
  <c r="I2433" i="12"/>
  <c r="H2433" i="12"/>
  <c r="I2432" i="12"/>
  <c r="H2432" i="12"/>
  <c r="I2431" i="12"/>
  <c r="H2431" i="12"/>
  <c r="I2430" i="12"/>
  <c r="H2430" i="12"/>
  <c r="I2429" i="12"/>
  <c r="H2429" i="12"/>
  <c r="I2428" i="12"/>
  <c r="H2428" i="12"/>
  <c r="I2427" i="12"/>
  <c r="H2427" i="12"/>
  <c r="I2426" i="12"/>
  <c r="H2426" i="12"/>
  <c r="I2425" i="12"/>
  <c r="H2425" i="12"/>
  <c r="I2424" i="12"/>
  <c r="H2424" i="12"/>
  <c r="I2423" i="12"/>
  <c r="H2423" i="12"/>
  <c r="I2422" i="12"/>
  <c r="H2422" i="12"/>
  <c r="I2421" i="12"/>
  <c r="H2421" i="12"/>
  <c r="I2420" i="12"/>
  <c r="H2420" i="12"/>
  <c r="I2419" i="12"/>
  <c r="H2419" i="12"/>
  <c r="I2418" i="12"/>
  <c r="H2418" i="12"/>
  <c r="I2417" i="12"/>
  <c r="H2417" i="12"/>
  <c r="I2416" i="12"/>
  <c r="H2416" i="12"/>
  <c r="I2415" i="12"/>
  <c r="H2415" i="12"/>
  <c r="I2414" i="12"/>
  <c r="H2414" i="12"/>
  <c r="I2413" i="12"/>
  <c r="H2413" i="12"/>
  <c r="I2412" i="12"/>
  <c r="H2412" i="12"/>
  <c r="I2411" i="12"/>
  <c r="H2411" i="12"/>
  <c r="I2410" i="12"/>
  <c r="H2410" i="12"/>
  <c r="I2409" i="12"/>
  <c r="H2409" i="12"/>
  <c r="I2408" i="12"/>
  <c r="H2408" i="12"/>
  <c r="I2407" i="12"/>
  <c r="H2407" i="12"/>
  <c r="I2406" i="12"/>
  <c r="H2406" i="12"/>
  <c r="I2405" i="12"/>
  <c r="H2405" i="12"/>
  <c r="I2404" i="12"/>
  <c r="H2404" i="12"/>
  <c r="I2403" i="12"/>
  <c r="H2403" i="12"/>
  <c r="I2402" i="12"/>
  <c r="H2402" i="12"/>
  <c r="I2401" i="12"/>
  <c r="H2401" i="12"/>
  <c r="I2400" i="12"/>
  <c r="H2400" i="12"/>
  <c r="I2399" i="12"/>
  <c r="H2399" i="12"/>
  <c r="I2398" i="12"/>
  <c r="H2398" i="12"/>
  <c r="I2397" i="12"/>
  <c r="H2397" i="12"/>
  <c r="I2396" i="12"/>
  <c r="H2396" i="12"/>
  <c r="I2395" i="12"/>
  <c r="H2395" i="12"/>
  <c r="I2394" i="12"/>
  <c r="H2394" i="12"/>
  <c r="I2393" i="12"/>
  <c r="H2393" i="12"/>
  <c r="I2392" i="12"/>
  <c r="H2392" i="12"/>
  <c r="I2391" i="12"/>
  <c r="H2391" i="12"/>
  <c r="I2390" i="12"/>
  <c r="H2390" i="12"/>
  <c r="I2389" i="12"/>
  <c r="H2389" i="12"/>
  <c r="I2388" i="12"/>
  <c r="H2388" i="12"/>
  <c r="I2387" i="12"/>
  <c r="H2387" i="12"/>
  <c r="I2386" i="12"/>
  <c r="H2386" i="12"/>
  <c r="I2385" i="12"/>
  <c r="H2385" i="12"/>
  <c r="I2384" i="12"/>
  <c r="H2384" i="12"/>
  <c r="I2383" i="12"/>
  <c r="H2383" i="12"/>
  <c r="I2382" i="12"/>
  <c r="H2382" i="12"/>
  <c r="I2381" i="12"/>
  <c r="H2381" i="12"/>
  <c r="I2380" i="12"/>
  <c r="H2380" i="12"/>
  <c r="I2379" i="12"/>
  <c r="H2379" i="12"/>
  <c r="I2378" i="12"/>
  <c r="H2378" i="12"/>
  <c r="I2377" i="12"/>
  <c r="H2377" i="12"/>
  <c r="I2376" i="12"/>
  <c r="H2376" i="12"/>
  <c r="I2375" i="12"/>
  <c r="H2375" i="12"/>
  <c r="I2374" i="12"/>
  <c r="H2374" i="12"/>
  <c r="I2373" i="12"/>
  <c r="H2373" i="12"/>
  <c r="I2372" i="12"/>
  <c r="H2372" i="12"/>
  <c r="I2371" i="12"/>
  <c r="H2371" i="12"/>
  <c r="I2370" i="12"/>
  <c r="H2370" i="12"/>
  <c r="I2369" i="12"/>
  <c r="H2369" i="12"/>
  <c r="I2368" i="12"/>
  <c r="H2368" i="12"/>
  <c r="I2367" i="12"/>
  <c r="H2367" i="12"/>
  <c r="I2366" i="12"/>
  <c r="H2366" i="12"/>
  <c r="I2365" i="12"/>
  <c r="H2365" i="12"/>
  <c r="I2364" i="12"/>
  <c r="H2364" i="12"/>
  <c r="I2363" i="12"/>
  <c r="H2363" i="12"/>
  <c r="I2362" i="12"/>
  <c r="H2362" i="12"/>
  <c r="I2361" i="12"/>
  <c r="H2361" i="12"/>
  <c r="I2360" i="12"/>
  <c r="H2360" i="12"/>
  <c r="I2359" i="12"/>
  <c r="H2359" i="12"/>
  <c r="I2358" i="12"/>
  <c r="H2358" i="12"/>
  <c r="I2357" i="12"/>
  <c r="H2357" i="12"/>
  <c r="I2356" i="12"/>
  <c r="H2356" i="12"/>
  <c r="I2355" i="12"/>
  <c r="H2355" i="12"/>
  <c r="I2354" i="12"/>
  <c r="H2354" i="12"/>
  <c r="I2353" i="12"/>
  <c r="H2353" i="12"/>
  <c r="I2352" i="12"/>
  <c r="H2352" i="12"/>
  <c r="I2351" i="12"/>
  <c r="H2351" i="12"/>
  <c r="I2350" i="12"/>
  <c r="H2350" i="12"/>
  <c r="I2349" i="12"/>
  <c r="H2349" i="12"/>
  <c r="I2348" i="12"/>
  <c r="H2348" i="12"/>
  <c r="I2347" i="12"/>
  <c r="H2347" i="12"/>
  <c r="I2346" i="12"/>
  <c r="H2346" i="12"/>
  <c r="I2345" i="12"/>
  <c r="H2345" i="12"/>
  <c r="I2344" i="12"/>
  <c r="H2344" i="12"/>
  <c r="I2343" i="12"/>
  <c r="H2343" i="12"/>
  <c r="I2342" i="12"/>
  <c r="H2342" i="12"/>
  <c r="I2341" i="12"/>
  <c r="H2341" i="12"/>
  <c r="I2340" i="12"/>
  <c r="H2340" i="12"/>
  <c r="I2339" i="12"/>
  <c r="H2339" i="12"/>
  <c r="I2338" i="12"/>
  <c r="H2338" i="12"/>
  <c r="I2337" i="12"/>
  <c r="H2337" i="12"/>
  <c r="I2336" i="12"/>
  <c r="H2336" i="12"/>
  <c r="I2335" i="12"/>
  <c r="H2335" i="12"/>
  <c r="I2334" i="12"/>
  <c r="H2334" i="12"/>
  <c r="I2333" i="12"/>
  <c r="H2333" i="12"/>
  <c r="I2332" i="12"/>
  <c r="H2332" i="12"/>
  <c r="I2331" i="12"/>
  <c r="H2331" i="12"/>
  <c r="I2330" i="12"/>
  <c r="H2330" i="12"/>
  <c r="I2329" i="12"/>
  <c r="H2329" i="12"/>
  <c r="I2328" i="12"/>
  <c r="H2328" i="12"/>
  <c r="I2327" i="12"/>
  <c r="H2327" i="12"/>
  <c r="I2326" i="12"/>
  <c r="H2326" i="12"/>
  <c r="I2325" i="12"/>
  <c r="H2325" i="12"/>
  <c r="I2324" i="12"/>
  <c r="H2324" i="12"/>
  <c r="I2323" i="12"/>
  <c r="H2323" i="12"/>
  <c r="I2322" i="12"/>
  <c r="H2322" i="12"/>
  <c r="I2321" i="12"/>
  <c r="H2321" i="12"/>
  <c r="I2320" i="12"/>
  <c r="H2320" i="12"/>
  <c r="I2319" i="12"/>
  <c r="H2319" i="12"/>
  <c r="I2318" i="12"/>
  <c r="H2318" i="12"/>
  <c r="I2317" i="12"/>
  <c r="H2317" i="12"/>
  <c r="I2316" i="12"/>
  <c r="H2316" i="12"/>
  <c r="I2315" i="12"/>
  <c r="H2315" i="12"/>
  <c r="I2314" i="12"/>
  <c r="H2314" i="12"/>
  <c r="I2313" i="12"/>
  <c r="H2313" i="12"/>
  <c r="I2312" i="12"/>
  <c r="H2312" i="12"/>
  <c r="I2311" i="12"/>
  <c r="H2311" i="12"/>
  <c r="I2310" i="12"/>
  <c r="H2310" i="12"/>
  <c r="I2309" i="12"/>
  <c r="H2309" i="12"/>
  <c r="I2308" i="12"/>
  <c r="H2308" i="12"/>
  <c r="I2307" i="12"/>
  <c r="H2307" i="12"/>
  <c r="I2306" i="12"/>
  <c r="H2306" i="12"/>
  <c r="I2305" i="12"/>
  <c r="H2305" i="12"/>
  <c r="I2304" i="12"/>
  <c r="H2304" i="12"/>
  <c r="I2303" i="12"/>
  <c r="H2303" i="12"/>
  <c r="I2302" i="12"/>
  <c r="H2302" i="12"/>
  <c r="I2301" i="12"/>
  <c r="H2301" i="12"/>
  <c r="I2300" i="12"/>
  <c r="H2300" i="12"/>
  <c r="I2299" i="12"/>
  <c r="H2299" i="12"/>
  <c r="I2298" i="12"/>
  <c r="H2298" i="12"/>
  <c r="I2297" i="12"/>
  <c r="H2297" i="12"/>
  <c r="I2296" i="12"/>
  <c r="H2296" i="12"/>
  <c r="I2295" i="12"/>
  <c r="H2295" i="12"/>
  <c r="I2294" i="12"/>
  <c r="H2294" i="12"/>
  <c r="I2293" i="12"/>
  <c r="H2293" i="12"/>
  <c r="I2292" i="12"/>
  <c r="H2292" i="12"/>
  <c r="I2291" i="12"/>
  <c r="H2291" i="12"/>
  <c r="I2290" i="12"/>
  <c r="H2290" i="12"/>
  <c r="I2289" i="12"/>
  <c r="H2289" i="12"/>
  <c r="I2288" i="12"/>
  <c r="H2288" i="12"/>
  <c r="I2287" i="12"/>
  <c r="H2287" i="12"/>
  <c r="I2286" i="12"/>
  <c r="H2286" i="12"/>
  <c r="I2285" i="12"/>
  <c r="H2285" i="12"/>
  <c r="I2284" i="12"/>
  <c r="H2284" i="12"/>
  <c r="I2283" i="12"/>
  <c r="H2283" i="12"/>
  <c r="I2282" i="12"/>
  <c r="H2282" i="12"/>
  <c r="I2281" i="12"/>
  <c r="H2281" i="12"/>
  <c r="I2280" i="12"/>
  <c r="H2280" i="12"/>
  <c r="I2279" i="12"/>
  <c r="H2279" i="12"/>
  <c r="I2278" i="12"/>
  <c r="H2278" i="12"/>
  <c r="I2277" i="12"/>
  <c r="H2277" i="12"/>
  <c r="I2276" i="12"/>
  <c r="H2276" i="12"/>
  <c r="I2275" i="12"/>
  <c r="H2275" i="12"/>
  <c r="I2274" i="12"/>
  <c r="H2274" i="12"/>
  <c r="I2273" i="12"/>
  <c r="H2273" i="12"/>
  <c r="I2272" i="12"/>
  <c r="H2272" i="12"/>
  <c r="I2271" i="12"/>
  <c r="H2271" i="12"/>
  <c r="I2270" i="12"/>
  <c r="H2270" i="12"/>
  <c r="I2269" i="12"/>
  <c r="H2269" i="12"/>
  <c r="I2268" i="12"/>
  <c r="H2268" i="12"/>
  <c r="I2267" i="12"/>
  <c r="H2267" i="12"/>
  <c r="I2266" i="12"/>
  <c r="H2266" i="12"/>
  <c r="I2265" i="12"/>
  <c r="H2265" i="12"/>
  <c r="I2264" i="12"/>
  <c r="H2264" i="12"/>
  <c r="I2263" i="12"/>
  <c r="H2263" i="12"/>
  <c r="I2262" i="12"/>
  <c r="H2262" i="12"/>
  <c r="I2261" i="12"/>
  <c r="H2261" i="12"/>
  <c r="I2260" i="12"/>
  <c r="H2260" i="12"/>
  <c r="I2259" i="12"/>
  <c r="H2259" i="12"/>
  <c r="I2258" i="12"/>
  <c r="H2258" i="12"/>
  <c r="I2257" i="12"/>
  <c r="H2257" i="12"/>
  <c r="I2256" i="12"/>
  <c r="H2256" i="12"/>
  <c r="I2255" i="12"/>
  <c r="H2255" i="12"/>
  <c r="I2254" i="12"/>
  <c r="H2254" i="12"/>
  <c r="I2253" i="12"/>
  <c r="H2253" i="12"/>
  <c r="I2252" i="12"/>
  <c r="H2252" i="12"/>
  <c r="I2251" i="12"/>
  <c r="H2251" i="12"/>
  <c r="I2250" i="12"/>
  <c r="H2250" i="12"/>
  <c r="I2249" i="12"/>
  <c r="H2249" i="12"/>
  <c r="I2248" i="12"/>
  <c r="H2248" i="12"/>
  <c r="I2247" i="12"/>
  <c r="H2247" i="12"/>
  <c r="I2246" i="12"/>
  <c r="H2246" i="12"/>
  <c r="I2245" i="12"/>
  <c r="H2245" i="12"/>
  <c r="I2244" i="12"/>
  <c r="H2244" i="12"/>
  <c r="I2243" i="12"/>
  <c r="H2243" i="12"/>
  <c r="I2242" i="12"/>
  <c r="H2242" i="12"/>
  <c r="I2241" i="12"/>
  <c r="H2241" i="12"/>
  <c r="I2240" i="12"/>
  <c r="H2240" i="12"/>
  <c r="I2239" i="12"/>
  <c r="H2239" i="12"/>
  <c r="I2238" i="12"/>
  <c r="H2238" i="12"/>
  <c r="I2237" i="12"/>
  <c r="H2237" i="12"/>
  <c r="I2236" i="12"/>
  <c r="H2236" i="12"/>
  <c r="I2235" i="12"/>
  <c r="H2235" i="12"/>
  <c r="I2234" i="12"/>
  <c r="H2234" i="12"/>
  <c r="I2233" i="12"/>
  <c r="H2233" i="12"/>
  <c r="I2232" i="12"/>
  <c r="H2232" i="12"/>
  <c r="I2231" i="12"/>
  <c r="H2231" i="12"/>
  <c r="I2230" i="12"/>
  <c r="H2230" i="12"/>
  <c r="I2229" i="12"/>
  <c r="H2229" i="12"/>
  <c r="I2228" i="12"/>
  <c r="H2228" i="12"/>
  <c r="I2227" i="12"/>
  <c r="H2227" i="12"/>
  <c r="I2226" i="12"/>
  <c r="H2226" i="12"/>
  <c r="I2225" i="12"/>
  <c r="H2225" i="12"/>
  <c r="I2224" i="12"/>
  <c r="H2224" i="12"/>
  <c r="I2223" i="12"/>
  <c r="H2223" i="12"/>
  <c r="I2222" i="12"/>
  <c r="H2222" i="12"/>
  <c r="I2221" i="12"/>
  <c r="H2221" i="12"/>
  <c r="I2220" i="12"/>
  <c r="H2220" i="12"/>
  <c r="I2219" i="12"/>
  <c r="H2219" i="12"/>
  <c r="I2218" i="12"/>
  <c r="H2218" i="12"/>
  <c r="I2217" i="12"/>
  <c r="H2217" i="12"/>
  <c r="I2216" i="12"/>
  <c r="H2216" i="12"/>
  <c r="I2215" i="12"/>
  <c r="H2215" i="12"/>
  <c r="I2214" i="12"/>
  <c r="H2214" i="12"/>
  <c r="I2213" i="12"/>
  <c r="H2213" i="12"/>
  <c r="I2212" i="12"/>
  <c r="H2212" i="12"/>
  <c r="I2211" i="12"/>
  <c r="H2211" i="12"/>
  <c r="I2210" i="12"/>
  <c r="H2210" i="12"/>
  <c r="I2209" i="12"/>
  <c r="H2209" i="12"/>
  <c r="I2208" i="12"/>
  <c r="H2208" i="12"/>
  <c r="I2207" i="12"/>
  <c r="H2207" i="12"/>
  <c r="I2206" i="12"/>
  <c r="H2206" i="12"/>
  <c r="I2205" i="12"/>
  <c r="H2205" i="12"/>
  <c r="I2204" i="12"/>
  <c r="H2204" i="12"/>
  <c r="I2203" i="12"/>
  <c r="H2203" i="12"/>
  <c r="I2202" i="12"/>
  <c r="H2202" i="12"/>
  <c r="I2201" i="12"/>
  <c r="H2201" i="12"/>
  <c r="I2200" i="12"/>
  <c r="H2200" i="12"/>
  <c r="I2199" i="12"/>
  <c r="H2199" i="12"/>
  <c r="I2198" i="12"/>
  <c r="H2198" i="12"/>
  <c r="I2197" i="12"/>
  <c r="H2197" i="12"/>
  <c r="I2196" i="12"/>
  <c r="H2196" i="12"/>
  <c r="I2195" i="12"/>
  <c r="H2195" i="12"/>
  <c r="I2194" i="12"/>
  <c r="H2194" i="12"/>
  <c r="I2193" i="12"/>
  <c r="H2193" i="12"/>
  <c r="I2192" i="12"/>
  <c r="H2192" i="12"/>
  <c r="I2191" i="12"/>
  <c r="H2191" i="12"/>
  <c r="I2190" i="12"/>
  <c r="H2190" i="12"/>
  <c r="I2189" i="12"/>
  <c r="H2189" i="12"/>
  <c r="I2188" i="12"/>
  <c r="H2188" i="12"/>
  <c r="I2187" i="12"/>
  <c r="H2187" i="12"/>
  <c r="I2186" i="12"/>
  <c r="H2186" i="12"/>
  <c r="I2185" i="12"/>
  <c r="H2185" i="12"/>
  <c r="I2184" i="12"/>
  <c r="H2184" i="12"/>
  <c r="I2183" i="12"/>
  <c r="H2183" i="12"/>
  <c r="I2182" i="12"/>
  <c r="H2182" i="12"/>
  <c r="I2181" i="12"/>
  <c r="H2181" i="12"/>
  <c r="I2180" i="12"/>
  <c r="H2180" i="12"/>
  <c r="I2179" i="12"/>
  <c r="H2179" i="12"/>
  <c r="I2178" i="12"/>
  <c r="H2178" i="12"/>
  <c r="I2177" i="12"/>
  <c r="H2177" i="12"/>
  <c r="I2176" i="12"/>
  <c r="H2176" i="12"/>
  <c r="I2175" i="12"/>
  <c r="H2175" i="12"/>
  <c r="I2174" i="12"/>
  <c r="H2174" i="12"/>
  <c r="I2173" i="12"/>
  <c r="H2173" i="12"/>
  <c r="I2172" i="12"/>
  <c r="H2172" i="12"/>
  <c r="I2171" i="12"/>
  <c r="H2171" i="12"/>
  <c r="I2170" i="12"/>
  <c r="H2170" i="12"/>
  <c r="I2169" i="12"/>
  <c r="H2169" i="12"/>
  <c r="I2168" i="12"/>
  <c r="H2168" i="12"/>
  <c r="I2167" i="12"/>
  <c r="H2167" i="12"/>
  <c r="I2166" i="12"/>
  <c r="H2166" i="12"/>
  <c r="I2165" i="12"/>
  <c r="H2165" i="12"/>
  <c r="I2164" i="12"/>
  <c r="H2164" i="12"/>
  <c r="I2163" i="12"/>
  <c r="H2163" i="12"/>
  <c r="I2162" i="12"/>
  <c r="H2162" i="12"/>
  <c r="I2161" i="12"/>
  <c r="H2161" i="12"/>
  <c r="I2160" i="12"/>
  <c r="H2160" i="12"/>
  <c r="I2159" i="12"/>
  <c r="H2159" i="12"/>
  <c r="I2158" i="12"/>
  <c r="H2158" i="12"/>
  <c r="I2157" i="12"/>
  <c r="H2157" i="12"/>
  <c r="I2156" i="12"/>
  <c r="H2156" i="12"/>
  <c r="I2155" i="12"/>
  <c r="H2155" i="12"/>
  <c r="I2154" i="12"/>
  <c r="H2154" i="12"/>
  <c r="I2153" i="12"/>
  <c r="H2153" i="12"/>
  <c r="I2152" i="12"/>
  <c r="H2152" i="12"/>
  <c r="I2151" i="12"/>
  <c r="H2151" i="12"/>
  <c r="I2150" i="12"/>
  <c r="H2150" i="12"/>
  <c r="I2149" i="12"/>
  <c r="H2149" i="12"/>
  <c r="I2148" i="12"/>
  <c r="H2148" i="12"/>
  <c r="I2147" i="12"/>
  <c r="H2147" i="12"/>
  <c r="I2146" i="12"/>
  <c r="H2146" i="12"/>
  <c r="I2145" i="12"/>
  <c r="H2145" i="12"/>
  <c r="I2144" i="12"/>
  <c r="H2144" i="12"/>
  <c r="I2143" i="12"/>
  <c r="H2143" i="12"/>
  <c r="I2142" i="12"/>
  <c r="H2142" i="12"/>
  <c r="I2141" i="12"/>
  <c r="H2141" i="12"/>
  <c r="I2140" i="12"/>
  <c r="H2140" i="12"/>
  <c r="I2139" i="12"/>
  <c r="H2139" i="12"/>
  <c r="I2138" i="12"/>
  <c r="H2138" i="12"/>
  <c r="I2137" i="12"/>
  <c r="H2137" i="12"/>
  <c r="I2136" i="12"/>
  <c r="H2136" i="12"/>
  <c r="I2135" i="12"/>
  <c r="H2135" i="12"/>
  <c r="I2134" i="12"/>
  <c r="H2134" i="12"/>
  <c r="I2133" i="12"/>
  <c r="H2133" i="12"/>
  <c r="I2132" i="12"/>
  <c r="H2132" i="12"/>
  <c r="I2131" i="12"/>
  <c r="H2131" i="12"/>
  <c r="I2130" i="12"/>
  <c r="H2130" i="12"/>
  <c r="I2129" i="12"/>
  <c r="H2129" i="12"/>
  <c r="I2128" i="12"/>
  <c r="H2128" i="12"/>
  <c r="I2127" i="12"/>
  <c r="H2127" i="12"/>
  <c r="I2126" i="12"/>
  <c r="H2126" i="12"/>
  <c r="I2125" i="12"/>
  <c r="H2125" i="12"/>
  <c r="I2124" i="12"/>
  <c r="H2124" i="12"/>
  <c r="I2123" i="12"/>
  <c r="H2123" i="12"/>
  <c r="I2122" i="12"/>
  <c r="H2122" i="12"/>
  <c r="I2121" i="12"/>
  <c r="H2121" i="12"/>
  <c r="I2120" i="12"/>
  <c r="H2120" i="12"/>
  <c r="I2119" i="12"/>
  <c r="H2119" i="12"/>
  <c r="I2118" i="12"/>
  <c r="H2118" i="12"/>
  <c r="I2117" i="12"/>
  <c r="H2117" i="12"/>
  <c r="I2116" i="12"/>
  <c r="H2116" i="12"/>
  <c r="I2115" i="12"/>
  <c r="H2115" i="12"/>
  <c r="I2114" i="12"/>
  <c r="H2114" i="12"/>
  <c r="I2113" i="12"/>
  <c r="H2113" i="12"/>
  <c r="I2112" i="12"/>
  <c r="H2112" i="12"/>
  <c r="I2111" i="12"/>
  <c r="H2111" i="12"/>
  <c r="I2110" i="12"/>
  <c r="H2110" i="12"/>
  <c r="I2109" i="12"/>
  <c r="H2109" i="12"/>
  <c r="I2108" i="12"/>
  <c r="H2108" i="12"/>
  <c r="I2107" i="12"/>
  <c r="H2107" i="12"/>
  <c r="I2106" i="12"/>
  <c r="H2106" i="12"/>
  <c r="I2105" i="12"/>
  <c r="H2105" i="12"/>
  <c r="I2104" i="12"/>
  <c r="H2104" i="12"/>
  <c r="I2103" i="12"/>
  <c r="H2103" i="12"/>
  <c r="I2102" i="12"/>
  <c r="H2102" i="12"/>
  <c r="I2101" i="12"/>
  <c r="H2101" i="12"/>
  <c r="I2100" i="12"/>
  <c r="H2100" i="12"/>
  <c r="I2099" i="12"/>
  <c r="H2099" i="12"/>
  <c r="I2098" i="12"/>
  <c r="H2098" i="12"/>
  <c r="I2097" i="12"/>
  <c r="H2097" i="12"/>
  <c r="I2096" i="12"/>
  <c r="H2096" i="12"/>
  <c r="I2095" i="12"/>
  <c r="H2095" i="12"/>
  <c r="I2094" i="12"/>
  <c r="H2094" i="12"/>
  <c r="I2093" i="12"/>
  <c r="H2093" i="12"/>
  <c r="I2092" i="12"/>
  <c r="H2092" i="12"/>
  <c r="I2091" i="12"/>
  <c r="H2091" i="12"/>
  <c r="I2090" i="12"/>
  <c r="H2090" i="12"/>
  <c r="I2089" i="12"/>
  <c r="H2089" i="12"/>
  <c r="I2088" i="12"/>
  <c r="H2088" i="12"/>
  <c r="I2087" i="12"/>
  <c r="H2087" i="12"/>
  <c r="I2086" i="12"/>
  <c r="H2086" i="12"/>
  <c r="I2085" i="12"/>
  <c r="H2085" i="12"/>
  <c r="I2084" i="12"/>
  <c r="H2084" i="12"/>
  <c r="I2083" i="12"/>
  <c r="H2083" i="12"/>
  <c r="I2082" i="12"/>
  <c r="H2082" i="12"/>
  <c r="I2081" i="12"/>
  <c r="H2081" i="12"/>
  <c r="I2080" i="12"/>
  <c r="H2080" i="12"/>
  <c r="I2079" i="12"/>
  <c r="H2079" i="12"/>
  <c r="I2078" i="12"/>
  <c r="H2078" i="12"/>
  <c r="I2077" i="12"/>
  <c r="H2077" i="12"/>
  <c r="I2076" i="12"/>
  <c r="H2076" i="12"/>
  <c r="I2075" i="12"/>
  <c r="H2075" i="12"/>
  <c r="I2074" i="12"/>
  <c r="H2074" i="12"/>
  <c r="I2073" i="12"/>
  <c r="H2073" i="12"/>
  <c r="I2072" i="12"/>
  <c r="H2072" i="12"/>
  <c r="I2071" i="12"/>
  <c r="H2071" i="12"/>
  <c r="I2070" i="12"/>
  <c r="H2070" i="12"/>
  <c r="I2069" i="12"/>
  <c r="H2069" i="12"/>
  <c r="I2068" i="12"/>
  <c r="H2068" i="12"/>
  <c r="I2067" i="12"/>
  <c r="H2067" i="12"/>
  <c r="I2066" i="12"/>
  <c r="H2066" i="12"/>
  <c r="I2065" i="12"/>
  <c r="H2065" i="12"/>
  <c r="I2064" i="12"/>
  <c r="H2064" i="12"/>
  <c r="I2063" i="12"/>
  <c r="H2063" i="12"/>
  <c r="I2062" i="12"/>
  <c r="H2062" i="12"/>
  <c r="I2061" i="12"/>
  <c r="H2061" i="12"/>
  <c r="I2060" i="12"/>
  <c r="H2060" i="12"/>
  <c r="I2059" i="12"/>
  <c r="H2059" i="12"/>
  <c r="I2058" i="12"/>
  <c r="H2058" i="12"/>
  <c r="I2057" i="12"/>
  <c r="H2057" i="12"/>
  <c r="I2056" i="12"/>
  <c r="H2056" i="12"/>
  <c r="I2055" i="12"/>
  <c r="H2055" i="12"/>
  <c r="I2054" i="12"/>
  <c r="H2054" i="12"/>
  <c r="I2053" i="12"/>
  <c r="H2053" i="12"/>
  <c r="I2052" i="12"/>
  <c r="H2052" i="12"/>
  <c r="I2051" i="12"/>
  <c r="H2051" i="12"/>
  <c r="I2050" i="12"/>
  <c r="H2050" i="12"/>
  <c r="I2049" i="12"/>
  <c r="H2049" i="12"/>
  <c r="I2048" i="12"/>
  <c r="H2048" i="12"/>
  <c r="I2047" i="12"/>
  <c r="H2047" i="12"/>
  <c r="I2046" i="12"/>
  <c r="H2046" i="12"/>
  <c r="I2045" i="12"/>
  <c r="H2045" i="12"/>
  <c r="I2044" i="12"/>
  <c r="H2044" i="12"/>
  <c r="I2043" i="12"/>
  <c r="H2043" i="12"/>
  <c r="I2042" i="12"/>
  <c r="H2042" i="12"/>
  <c r="I2041" i="12"/>
  <c r="H2041" i="12"/>
  <c r="I2040" i="12"/>
  <c r="H2040" i="12"/>
  <c r="I2039" i="12"/>
  <c r="H2039" i="12"/>
  <c r="I2038" i="12"/>
  <c r="H2038" i="12"/>
  <c r="I2037" i="12"/>
  <c r="H2037" i="12"/>
  <c r="I2036" i="12"/>
  <c r="H2036" i="12"/>
  <c r="I2035" i="12"/>
  <c r="H2035" i="12"/>
  <c r="I2034" i="12"/>
  <c r="H2034" i="12"/>
  <c r="I2033" i="12"/>
  <c r="H2033" i="12"/>
  <c r="I2032" i="12"/>
  <c r="H2032" i="12"/>
  <c r="I2031" i="12"/>
  <c r="H2031" i="12"/>
  <c r="I2030" i="12"/>
  <c r="H2030" i="12"/>
  <c r="I2029" i="12"/>
  <c r="H2029" i="12"/>
  <c r="I2028" i="12"/>
  <c r="H2028" i="12"/>
  <c r="I2027" i="12"/>
  <c r="H2027" i="12"/>
  <c r="I2026" i="12"/>
  <c r="H2026" i="12"/>
  <c r="I2025" i="12"/>
  <c r="H2025" i="12"/>
  <c r="I2024" i="12"/>
  <c r="H2024" i="12"/>
  <c r="I2023" i="12"/>
  <c r="H2023" i="12"/>
  <c r="I2022" i="12"/>
  <c r="H2022" i="12"/>
  <c r="I2021" i="12"/>
  <c r="H2021" i="12"/>
  <c r="I2020" i="12"/>
  <c r="H2020" i="12"/>
  <c r="I2019" i="12"/>
  <c r="H2019" i="12"/>
  <c r="I2018" i="12"/>
  <c r="H2018" i="12"/>
  <c r="I2017" i="12"/>
  <c r="H2017" i="12"/>
  <c r="I2016" i="12"/>
  <c r="H2016" i="12"/>
  <c r="I2015" i="12"/>
  <c r="H2015" i="12"/>
  <c r="I2014" i="12"/>
  <c r="H2014" i="12"/>
  <c r="I2013" i="12"/>
  <c r="H2013" i="12"/>
  <c r="I2012" i="12"/>
  <c r="H2012" i="12"/>
  <c r="I2011" i="12"/>
  <c r="H2011" i="12"/>
  <c r="I2010" i="12"/>
  <c r="H2010" i="12"/>
  <c r="I2009" i="12"/>
  <c r="H2009" i="12"/>
  <c r="I2008" i="12"/>
  <c r="H2008" i="12"/>
  <c r="I2007" i="12"/>
  <c r="H2007" i="12"/>
  <c r="I2006" i="12"/>
  <c r="H2006" i="12"/>
  <c r="I2005" i="12"/>
  <c r="H2005" i="12"/>
  <c r="I2004" i="12"/>
  <c r="H2004" i="12"/>
  <c r="I2003" i="12"/>
  <c r="H2003" i="12"/>
  <c r="I2002" i="12"/>
  <c r="H2002" i="12"/>
  <c r="I2001" i="12"/>
  <c r="H2001" i="12"/>
  <c r="I2000" i="12"/>
  <c r="H2000" i="12"/>
  <c r="I1999" i="12"/>
  <c r="H1999" i="12"/>
  <c r="I1998" i="12"/>
  <c r="H1998" i="12"/>
  <c r="I1997" i="12"/>
  <c r="H1997" i="12"/>
  <c r="I1996" i="12"/>
  <c r="H1996" i="12"/>
  <c r="I1995" i="12"/>
  <c r="H1995" i="12"/>
  <c r="I1994" i="12"/>
  <c r="H1994" i="12"/>
  <c r="I1993" i="12"/>
  <c r="H1993" i="12"/>
  <c r="I1992" i="12"/>
  <c r="H1992" i="12"/>
  <c r="I1991" i="12"/>
  <c r="H1991" i="12"/>
  <c r="I1990" i="12"/>
  <c r="H1990" i="12"/>
  <c r="I1989" i="12"/>
  <c r="H1989" i="12"/>
  <c r="I1988" i="12"/>
  <c r="H1988" i="12"/>
  <c r="I1987" i="12"/>
  <c r="H1987" i="12"/>
  <c r="I1986" i="12"/>
  <c r="H1986" i="12"/>
  <c r="I1985" i="12"/>
  <c r="H1985" i="12"/>
  <c r="I1984" i="12"/>
  <c r="H1984" i="12"/>
  <c r="I1983" i="12"/>
  <c r="H1983" i="12"/>
  <c r="I1982" i="12"/>
  <c r="H1982" i="12"/>
  <c r="I1981" i="12"/>
  <c r="H1981" i="12"/>
  <c r="I1980" i="12"/>
  <c r="H1980" i="12"/>
  <c r="I1979" i="12"/>
  <c r="H1979" i="12"/>
  <c r="I1978" i="12"/>
  <c r="H1978" i="12"/>
  <c r="I1977" i="12"/>
  <c r="H1977" i="12"/>
  <c r="I1976" i="12"/>
  <c r="H1976" i="12"/>
  <c r="I1975" i="12"/>
  <c r="H1975" i="12"/>
  <c r="I1974" i="12"/>
  <c r="H1974" i="12"/>
  <c r="I1973" i="12"/>
  <c r="H1973" i="12"/>
  <c r="I1972" i="12"/>
  <c r="H1972" i="12"/>
  <c r="I1971" i="12"/>
  <c r="H1971" i="12"/>
  <c r="I1970" i="12"/>
  <c r="H1970" i="12"/>
  <c r="I1969" i="12"/>
  <c r="H1969" i="12"/>
  <c r="I1968" i="12"/>
  <c r="H1968" i="12"/>
  <c r="I1967" i="12"/>
  <c r="H1967" i="12"/>
  <c r="I1966" i="12"/>
  <c r="H1966" i="12"/>
  <c r="I1965" i="12"/>
  <c r="H1965" i="12"/>
  <c r="I1964" i="12"/>
  <c r="H1964" i="12"/>
  <c r="I1963" i="12"/>
  <c r="H1963" i="12"/>
  <c r="I1962" i="12"/>
  <c r="H1962" i="12"/>
  <c r="I1961" i="12"/>
  <c r="H1961" i="12"/>
  <c r="I1960" i="12"/>
  <c r="H1960" i="12"/>
  <c r="I1959" i="12"/>
  <c r="H1959" i="12"/>
  <c r="I1958" i="12"/>
  <c r="H1958" i="12"/>
  <c r="I1957" i="12"/>
  <c r="H1957" i="12"/>
  <c r="I1956" i="12"/>
  <c r="H1956" i="12"/>
  <c r="I1955" i="12"/>
  <c r="H1955" i="12"/>
  <c r="I1954" i="12"/>
  <c r="H1954" i="12"/>
  <c r="I1953" i="12"/>
  <c r="H1953" i="12"/>
  <c r="I1952" i="12"/>
  <c r="H1952" i="12"/>
  <c r="I1951" i="12"/>
  <c r="H1951" i="12"/>
  <c r="I1950" i="12"/>
  <c r="H1950" i="12"/>
  <c r="I1949" i="12"/>
  <c r="H1949" i="12"/>
  <c r="I1948" i="12"/>
  <c r="H1948" i="12"/>
  <c r="I1947" i="12"/>
  <c r="H1947" i="12"/>
  <c r="I1946" i="12"/>
  <c r="H1946" i="12"/>
  <c r="I1945" i="12"/>
  <c r="H1945" i="12"/>
  <c r="I1944" i="12"/>
  <c r="H1944" i="12"/>
  <c r="I1943" i="12"/>
  <c r="H1943" i="12"/>
  <c r="I1942" i="12"/>
  <c r="H1942" i="12"/>
  <c r="I1941" i="12"/>
  <c r="H1941" i="12"/>
  <c r="I1940" i="12"/>
  <c r="H1940" i="12"/>
  <c r="I1939" i="12"/>
  <c r="H1939" i="12"/>
  <c r="I1938" i="12"/>
  <c r="H1938" i="12"/>
  <c r="I1937" i="12"/>
  <c r="H1937" i="12"/>
  <c r="I1936" i="12"/>
  <c r="H1936" i="12"/>
  <c r="I1935" i="12"/>
  <c r="H1935" i="12"/>
  <c r="I1934" i="12"/>
  <c r="H1934" i="12"/>
  <c r="I1933" i="12"/>
  <c r="H1933" i="12"/>
  <c r="I1932" i="12"/>
  <c r="H1932" i="12"/>
  <c r="I1931" i="12"/>
  <c r="H1931" i="12"/>
  <c r="I1930" i="12"/>
  <c r="H1930" i="12"/>
  <c r="I1929" i="12"/>
  <c r="H1929" i="12"/>
  <c r="I1928" i="12"/>
  <c r="H1928" i="12"/>
  <c r="I1927" i="12"/>
  <c r="H1927" i="12"/>
  <c r="I1926" i="12"/>
  <c r="H1926" i="12"/>
  <c r="I1925" i="12"/>
  <c r="H1925" i="12"/>
  <c r="I1924" i="12"/>
  <c r="H1924" i="12"/>
  <c r="I1923" i="12"/>
  <c r="H1923" i="12"/>
  <c r="I1922" i="12"/>
  <c r="H1922" i="12"/>
  <c r="I1921" i="12"/>
  <c r="H1921" i="12"/>
  <c r="I1920" i="12"/>
  <c r="H1920" i="12"/>
  <c r="I1919" i="12"/>
  <c r="H1919" i="12"/>
  <c r="I1918" i="12"/>
  <c r="H1918" i="12"/>
  <c r="I1917" i="12"/>
  <c r="H1917" i="12"/>
  <c r="I1916" i="12"/>
  <c r="H1916" i="12"/>
  <c r="I1915" i="12"/>
  <c r="H1915" i="12"/>
  <c r="I1914" i="12"/>
  <c r="H1914" i="12"/>
  <c r="I1913" i="12"/>
  <c r="H1913" i="12"/>
  <c r="I1912" i="12"/>
  <c r="H1912" i="12"/>
  <c r="I1911" i="12"/>
  <c r="H1911" i="12"/>
  <c r="I1910" i="12"/>
  <c r="H1910" i="12"/>
  <c r="I1909" i="12"/>
  <c r="H1909" i="12"/>
  <c r="I1908" i="12"/>
  <c r="H1908" i="12"/>
  <c r="I1907" i="12"/>
  <c r="H1907" i="12"/>
  <c r="I1906" i="12"/>
  <c r="H1906" i="12"/>
  <c r="I1905" i="12"/>
  <c r="H1905" i="12"/>
  <c r="I1904" i="12"/>
  <c r="H1904" i="12"/>
  <c r="I1903" i="12"/>
  <c r="H1903" i="12"/>
  <c r="I1902" i="12"/>
  <c r="H1902" i="12"/>
  <c r="I1901" i="12"/>
  <c r="H1901" i="12"/>
  <c r="I1900" i="12"/>
  <c r="H1900" i="12"/>
  <c r="I1899" i="12"/>
  <c r="H1899" i="12"/>
  <c r="I1898" i="12"/>
  <c r="H1898" i="12"/>
  <c r="I1897" i="12"/>
  <c r="H1897" i="12"/>
  <c r="I1896" i="12"/>
  <c r="H1896" i="12"/>
  <c r="I1895" i="12"/>
  <c r="H1895" i="12"/>
  <c r="I1894" i="12"/>
  <c r="H1894" i="12"/>
  <c r="I1893" i="12"/>
  <c r="H1893" i="12"/>
  <c r="I1892" i="12"/>
  <c r="H1892" i="12"/>
  <c r="I1891" i="12"/>
  <c r="H1891" i="12"/>
  <c r="I1890" i="12"/>
  <c r="H1890" i="12"/>
  <c r="I1889" i="12"/>
  <c r="H1889" i="12"/>
  <c r="I1888" i="12"/>
  <c r="H1888" i="12"/>
  <c r="I1887" i="12"/>
  <c r="H1887" i="12"/>
  <c r="I1886" i="12"/>
  <c r="H1886" i="12"/>
  <c r="I1885" i="12"/>
  <c r="H1885" i="12"/>
  <c r="I1884" i="12"/>
  <c r="H1884" i="12"/>
  <c r="I1883" i="12"/>
  <c r="H1883" i="12"/>
  <c r="I1882" i="12"/>
  <c r="H1882" i="12"/>
  <c r="I1881" i="12"/>
  <c r="H1881" i="12"/>
  <c r="I1880" i="12"/>
  <c r="H1880" i="12"/>
  <c r="I1879" i="12"/>
  <c r="H1879" i="12"/>
  <c r="I1878" i="12"/>
  <c r="H1878" i="12"/>
  <c r="I1877" i="12"/>
  <c r="H1877" i="12"/>
  <c r="I1876" i="12"/>
  <c r="H1876" i="12"/>
  <c r="I1875" i="12"/>
  <c r="H1875" i="12"/>
  <c r="I1874" i="12"/>
  <c r="H1874" i="12"/>
  <c r="I1873" i="12"/>
  <c r="H1873" i="12"/>
  <c r="I1872" i="12"/>
  <c r="H1872" i="12"/>
  <c r="I1871" i="12"/>
  <c r="H1871" i="12"/>
  <c r="I1870" i="12"/>
  <c r="H1870" i="12"/>
  <c r="I1869" i="12"/>
  <c r="H1869" i="12"/>
  <c r="I1868" i="12"/>
  <c r="H1868" i="12"/>
  <c r="I1867" i="12"/>
  <c r="H1867" i="12"/>
  <c r="I1866" i="12"/>
  <c r="H1866" i="12"/>
  <c r="I1865" i="12"/>
  <c r="H1865" i="12"/>
  <c r="I1864" i="12"/>
  <c r="H1864" i="12"/>
  <c r="I1863" i="12"/>
  <c r="H1863" i="12"/>
  <c r="I1862" i="12"/>
  <c r="H1862" i="12"/>
  <c r="I1861" i="12"/>
  <c r="H1861" i="12"/>
  <c r="I1860" i="12"/>
  <c r="H1860" i="12"/>
  <c r="I1859" i="12"/>
  <c r="H1859" i="12"/>
  <c r="I1858" i="12"/>
  <c r="H1858" i="12"/>
  <c r="I1857" i="12"/>
  <c r="H1857" i="12"/>
  <c r="I1856" i="12"/>
  <c r="H1856" i="12"/>
  <c r="I1855" i="12"/>
  <c r="H1855" i="12"/>
  <c r="I1854" i="12"/>
  <c r="H1854" i="12"/>
  <c r="I1853" i="12"/>
  <c r="H1853" i="12"/>
  <c r="I1852" i="12"/>
  <c r="H1852" i="12"/>
  <c r="I1851" i="12"/>
  <c r="H1851" i="12"/>
  <c r="I1850" i="12"/>
  <c r="H1850" i="12"/>
  <c r="I1849" i="12"/>
  <c r="H1849" i="12"/>
  <c r="I1848" i="12"/>
  <c r="H1848" i="12"/>
  <c r="I1847" i="12"/>
  <c r="H1847" i="12"/>
  <c r="I1846" i="12"/>
  <c r="H1846" i="12"/>
  <c r="I1845" i="12"/>
  <c r="H1845" i="12"/>
  <c r="I1844" i="12"/>
  <c r="H1844" i="12"/>
  <c r="I1843" i="12"/>
  <c r="H1843" i="12"/>
  <c r="I1842" i="12"/>
  <c r="H1842" i="12"/>
  <c r="I1841" i="12"/>
  <c r="H1841" i="12"/>
  <c r="I1840" i="12"/>
  <c r="H1840" i="12"/>
  <c r="I1839" i="12"/>
  <c r="H1839" i="12"/>
  <c r="I1838" i="12"/>
  <c r="H1838" i="12"/>
  <c r="I1837" i="12"/>
  <c r="H1837" i="12"/>
  <c r="I1836" i="12"/>
  <c r="H1836" i="12"/>
  <c r="I1835" i="12"/>
  <c r="H1835" i="12"/>
  <c r="I1834" i="12"/>
  <c r="H1834" i="12"/>
  <c r="I1833" i="12"/>
  <c r="H1833" i="12"/>
  <c r="I1832" i="12"/>
  <c r="H1832" i="12"/>
  <c r="I1831" i="12"/>
  <c r="H1831" i="12"/>
  <c r="I1830" i="12"/>
  <c r="H1830" i="12"/>
  <c r="I1829" i="12"/>
  <c r="H1829" i="12"/>
  <c r="I1828" i="12"/>
  <c r="H1828" i="12"/>
  <c r="I1827" i="12"/>
  <c r="H1827" i="12"/>
  <c r="I1826" i="12"/>
  <c r="H1826" i="12"/>
  <c r="I1825" i="12"/>
  <c r="H1825" i="12"/>
  <c r="I1824" i="12"/>
  <c r="H1824" i="12"/>
  <c r="I1823" i="12"/>
  <c r="H1823" i="12"/>
  <c r="I1822" i="12"/>
  <c r="H1822" i="12"/>
  <c r="I1821" i="12"/>
  <c r="H1821" i="12"/>
  <c r="I1820" i="12"/>
  <c r="H1820" i="12"/>
  <c r="I1819" i="12"/>
  <c r="H1819" i="12"/>
  <c r="I1818" i="12"/>
  <c r="H1818" i="12"/>
  <c r="I1817" i="12"/>
  <c r="H1817" i="12"/>
  <c r="I1816" i="12"/>
  <c r="H1816" i="12"/>
  <c r="I1815" i="12"/>
  <c r="H1815" i="12"/>
  <c r="I1814" i="12"/>
  <c r="H1814" i="12"/>
  <c r="I1813" i="12"/>
  <c r="H1813" i="12"/>
  <c r="I1812" i="12"/>
  <c r="H1812" i="12"/>
  <c r="I1811" i="12"/>
  <c r="H1811" i="12"/>
  <c r="I1810" i="12"/>
  <c r="H1810" i="12"/>
  <c r="I1809" i="12"/>
  <c r="H1809" i="12"/>
  <c r="I1808" i="12"/>
  <c r="H1808" i="12"/>
  <c r="I1807" i="12"/>
  <c r="H1807" i="12"/>
  <c r="I1806" i="12"/>
  <c r="H1806" i="12"/>
  <c r="I1805" i="12"/>
  <c r="H1805" i="12"/>
  <c r="I1804" i="12"/>
  <c r="H1804" i="12"/>
  <c r="I1803" i="12"/>
  <c r="H1803" i="12"/>
  <c r="I1802" i="12"/>
  <c r="H1802" i="12"/>
  <c r="I1801" i="12"/>
  <c r="H1801" i="12"/>
  <c r="I1800" i="12"/>
  <c r="H1800" i="12"/>
  <c r="I1799" i="12"/>
  <c r="H1799" i="12"/>
  <c r="I1798" i="12"/>
  <c r="H1798" i="12"/>
  <c r="I1797" i="12"/>
  <c r="H1797" i="12"/>
  <c r="I1796" i="12"/>
  <c r="H1796" i="12"/>
  <c r="I1795" i="12"/>
  <c r="H1795" i="12"/>
  <c r="I1794" i="12"/>
  <c r="H1794" i="12"/>
  <c r="I1793" i="12"/>
  <c r="H1793" i="12"/>
  <c r="I1792" i="12"/>
  <c r="H1792" i="12"/>
  <c r="I1791" i="12"/>
  <c r="H1791" i="12"/>
  <c r="I1790" i="12"/>
  <c r="H1790" i="12"/>
  <c r="I1789" i="12"/>
  <c r="H1789" i="12"/>
  <c r="I1788" i="12"/>
  <c r="H1788" i="12"/>
  <c r="I1787" i="12"/>
  <c r="H1787" i="12"/>
  <c r="I1786" i="12"/>
  <c r="H1786" i="12"/>
  <c r="I1785" i="12"/>
  <c r="H1785" i="12"/>
  <c r="I1784" i="12"/>
  <c r="H1784" i="12"/>
  <c r="I1783" i="12"/>
  <c r="H1783" i="12"/>
  <c r="I1782" i="12"/>
  <c r="H1782" i="12"/>
  <c r="I1781" i="12"/>
  <c r="H1781" i="12"/>
  <c r="I1780" i="12"/>
  <c r="H1780" i="12"/>
  <c r="I1779" i="12"/>
  <c r="H1779" i="12"/>
  <c r="I1778" i="12"/>
  <c r="H1778" i="12"/>
  <c r="I1777" i="12"/>
  <c r="H1777" i="12"/>
  <c r="I1776" i="12"/>
  <c r="H1776" i="12"/>
  <c r="I1775" i="12"/>
  <c r="H1775" i="12"/>
  <c r="I1774" i="12"/>
  <c r="H1774" i="12"/>
  <c r="I1773" i="12"/>
  <c r="H1773" i="12"/>
  <c r="I1772" i="12"/>
  <c r="H1772" i="12"/>
  <c r="I1771" i="12"/>
  <c r="H1771" i="12"/>
  <c r="I1770" i="12"/>
  <c r="H1770" i="12"/>
  <c r="I1769" i="12"/>
  <c r="H1769" i="12"/>
  <c r="I1768" i="12"/>
  <c r="H1768" i="12"/>
  <c r="I1767" i="12"/>
  <c r="H1767" i="12"/>
  <c r="I1766" i="12"/>
  <c r="H1766" i="12"/>
  <c r="I1765" i="12"/>
  <c r="H1765" i="12"/>
  <c r="I1764" i="12"/>
  <c r="H1764" i="12"/>
  <c r="I1763" i="12"/>
  <c r="H1763" i="12"/>
  <c r="I1762" i="12"/>
  <c r="H1762" i="12"/>
  <c r="I1761" i="12"/>
  <c r="H1761" i="12"/>
  <c r="I1760" i="12"/>
  <c r="H1760" i="12"/>
  <c r="I1759" i="12"/>
  <c r="H1759" i="12"/>
  <c r="I1758" i="12"/>
  <c r="H1758" i="12"/>
  <c r="I1757" i="12"/>
  <c r="H1757" i="12"/>
  <c r="I1756" i="12"/>
  <c r="H1756" i="12"/>
  <c r="I1755" i="12"/>
  <c r="H1755" i="12"/>
  <c r="I1754" i="12"/>
  <c r="H1754" i="12"/>
  <c r="I1753" i="12"/>
  <c r="H1753" i="12"/>
  <c r="I1752" i="12"/>
  <c r="H1752" i="12"/>
  <c r="I1751" i="12"/>
  <c r="H1751" i="12"/>
  <c r="I1750" i="12"/>
  <c r="H1750" i="12"/>
  <c r="I1749" i="12"/>
  <c r="H1749" i="12"/>
  <c r="I1748" i="12"/>
  <c r="H1748" i="12"/>
  <c r="I1747" i="12"/>
  <c r="H1747" i="12"/>
  <c r="I1746" i="12"/>
  <c r="H1746" i="12"/>
  <c r="I1745" i="12"/>
  <c r="H1745" i="12"/>
  <c r="I1744" i="12"/>
  <c r="H1744" i="12"/>
  <c r="I1743" i="12"/>
  <c r="H1743" i="12"/>
  <c r="I1742" i="12"/>
  <c r="H1742" i="12"/>
  <c r="I1741" i="12"/>
  <c r="H1741" i="12"/>
  <c r="I1740" i="12"/>
  <c r="H1740" i="12"/>
  <c r="I1739" i="12"/>
  <c r="H1739" i="12"/>
  <c r="I1738" i="12"/>
  <c r="H1738" i="12"/>
  <c r="I1737" i="12"/>
  <c r="H1737" i="12"/>
  <c r="I1736" i="12"/>
  <c r="H1736" i="12"/>
  <c r="I1735" i="12"/>
  <c r="H1735" i="12"/>
  <c r="I1734" i="12"/>
  <c r="H1734" i="12"/>
  <c r="I1733" i="12"/>
  <c r="H1733" i="12"/>
  <c r="I1732" i="12"/>
  <c r="H1732" i="12"/>
  <c r="I1731" i="12"/>
  <c r="H1731" i="12"/>
  <c r="I1730" i="12"/>
  <c r="H1730" i="12"/>
  <c r="I1729" i="12"/>
  <c r="H1729" i="12"/>
  <c r="I1728" i="12"/>
  <c r="H1728" i="12"/>
  <c r="I1727" i="12"/>
  <c r="H1727" i="12"/>
  <c r="I1726" i="12"/>
  <c r="H1726" i="12"/>
  <c r="I1725" i="12"/>
  <c r="H1725" i="12"/>
  <c r="I1724" i="12"/>
  <c r="H1724" i="12"/>
  <c r="I1723" i="12"/>
  <c r="H1723" i="12"/>
  <c r="I1722" i="12"/>
  <c r="H1722" i="12"/>
  <c r="I1721" i="12"/>
  <c r="H1721" i="12"/>
  <c r="I1720" i="12"/>
  <c r="H1720" i="12"/>
  <c r="I1719" i="12"/>
  <c r="H1719" i="12"/>
  <c r="I1718" i="12"/>
  <c r="H1718" i="12"/>
  <c r="I1717" i="12"/>
  <c r="H1717" i="12"/>
  <c r="I1716" i="12"/>
  <c r="H1716" i="12"/>
  <c r="I1715" i="12"/>
  <c r="H1715" i="12"/>
  <c r="I1714" i="12"/>
  <c r="H1714" i="12"/>
  <c r="I1713" i="12"/>
  <c r="H1713" i="12"/>
  <c r="I1712" i="12"/>
  <c r="H1712" i="12"/>
  <c r="I1711" i="12"/>
  <c r="H1711" i="12"/>
  <c r="I1710" i="12"/>
  <c r="H1710" i="12"/>
  <c r="I1709" i="12"/>
  <c r="H1709" i="12"/>
  <c r="I1708" i="12"/>
  <c r="H1708" i="12"/>
  <c r="I1707" i="12"/>
  <c r="H1707" i="12"/>
  <c r="I1706" i="12"/>
  <c r="H1706" i="12"/>
  <c r="I1705" i="12"/>
  <c r="H1705" i="12"/>
  <c r="I1704" i="12"/>
  <c r="H1704" i="12"/>
  <c r="I1703" i="12"/>
  <c r="H1703" i="12"/>
  <c r="I1702" i="12"/>
  <c r="H1702" i="12"/>
  <c r="I1701" i="12"/>
  <c r="H1701" i="12"/>
  <c r="I1700" i="12"/>
  <c r="H1700" i="12"/>
  <c r="I1699" i="12"/>
  <c r="H1699" i="12"/>
  <c r="I1698" i="12"/>
  <c r="H1698" i="12"/>
  <c r="I1697" i="12"/>
  <c r="H1697" i="12"/>
  <c r="I1696" i="12"/>
  <c r="H1696" i="12"/>
  <c r="I1695" i="12"/>
  <c r="H1695" i="12"/>
  <c r="I1694" i="12"/>
  <c r="H1694" i="12"/>
  <c r="I1693" i="12"/>
  <c r="H1693" i="12"/>
  <c r="I1692" i="12"/>
  <c r="H1692" i="12"/>
  <c r="I1691" i="12"/>
  <c r="H1691" i="12"/>
  <c r="I1690" i="12"/>
  <c r="H1690" i="12"/>
  <c r="I1689" i="12"/>
  <c r="H1689" i="12"/>
  <c r="I1688" i="12"/>
  <c r="H1688" i="12"/>
  <c r="I1687" i="12"/>
  <c r="H1687" i="12"/>
  <c r="I1686" i="12"/>
  <c r="H1686" i="12"/>
  <c r="I1685" i="12"/>
  <c r="H1685" i="12"/>
  <c r="I1684" i="12"/>
  <c r="H1684" i="12"/>
  <c r="I1683" i="12"/>
  <c r="H1683" i="12"/>
  <c r="I1682" i="12"/>
  <c r="H1682" i="12"/>
  <c r="I1681" i="12"/>
  <c r="H1681" i="12"/>
  <c r="I1680" i="12"/>
  <c r="H1680" i="12"/>
  <c r="I1679" i="12"/>
  <c r="H1679" i="12"/>
  <c r="I1678" i="12"/>
  <c r="H1678" i="12"/>
  <c r="I1677" i="12"/>
  <c r="H1677" i="12"/>
  <c r="I1676" i="12"/>
  <c r="H1676" i="12"/>
  <c r="I1675" i="12"/>
  <c r="H1675" i="12"/>
  <c r="I1674" i="12"/>
  <c r="H1674" i="12"/>
  <c r="I1673" i="12"/>
  <c r="H1673" i="12"/>
  <c r="I1672" i="12"/>
  <c r="H1672" i="12"/>
  <c r="I1671" i="12"/>
  <c r="H1671" i="12"/>
  <c r="I1670" i="12"/>
  <c r="H1670" i="12"/>
  <c r="I1669" i="12"/>
  <c r="H1669" i="12"/>
  <c r="I1668" i="12"/>
  <c r="H1668" i="12"/>
  <c r="I1667" i="12"/>
  <c r="H1667" i="12"/>
  <c r="I1666" i="12"/>
  <c r="H1666" i="12"/>
  <c r="I1665" i="12"/>
  <c r="H1665" i="12"/>
  <c r="I1664" i="12"/>
  <c r="H1664" i="12"/>
  <c r="I1663" i="12"/>
  <c r="H1663" i="12"/>
  <c r="I1662" i="12"/>
  <c r="H1662" i="12"/>
  <c r="I1661" i="12"/>
  <c r="H1661" i="12"/>
  <c r="I1660" i="12"/>
  <c r="H1660" i="12"/>
  <c r="I1659" i="12"/>
  <c r="H1659" i="12"/>
  <c r="I1658" i="12"/>
  <c r="H1658" i="12"/>
  <c r="I1657" i="12"/>
  <c r="H1657" i="12"/>
  <c r="I1656" i="12"/>
  <c r="H1656" i="12"/>
  <c r="I1655" i="12"/>
  <c r="H1655" i="12"/>
  <c r="I1654" i="12"/>
  <c r="H1654" i="12"/>
  <c r="I1653" i="12"/>
  <c r="H1653" i="12"/>
  <c r="I1652" i="12"/>
  <c r="H1652" i="12"/>
  <c r="I1651" i="12"/>
  <c r="H1651" i="12"/>
  <c r="I1650" i="12"/>
  <c r="H1650" i="12"/>
  <c r="I1649" i="12"/>
  <c r="H1649" i="12"/>
  <c r="I1648" i="12"/>
  <c r="H1648" i="12"/>
  <c r="I1647" i="12"/>
  <c r="H1647" i="12"/>
  <c r="I1646" i="12"/>
  <c r="H1646" i="12"/>
  <c r="I1645" i="12"/>
  <c r="H1645" i="12"/>
  <c r="I1644" i="12"/>
  <c r="H1644" i="12"/>
  <c r="I1643" i="12"/>
  <c r="H1643" i="12"/>
  <c r="I1642" i="12"/>
  <c r="H1642" i="12"/>
  <c r="I1641" i="12"/>
  <c r="H1641" i="12"/>
  <c r="I1640" i="12"/>
  <c r="H1640" i="12"/>
  <c r="I1639" i="12"/>
  <c r="H1639" i="12"/>
  <c r="I1638" i="12"/>
  <c r="H1638" i="12"/>
  <c r="I1637" i="12"/>
  <c r="H1637" i="12"/>
  <c r="I1636" i="12"/>
  <c r="H1636" i="12"/>
  <c r="I1635" i="12"/>
  <c r="H1635" i="12"/>
  <c r="I1634" i="12"/>
  <c r="H1634" i="12"/>
  <c r="I1633" i="12"/>
  <c r="H1633" i="12"/>
  <c r="I1632" i="12"/>
  <c r="H1632" i="12"/>
  <c r="I1631" i="12"/>
  <c r="H1631" i="12"/>
  <c r="I1630" i="12"/>
  <c r="H1630" i="12"/>
  <c r="I1629" i="12"/>
  <c r="H1629" i="12"/>
  <c r="I1628" i="12"/>
  <c r="H1628" i="12"/>
  <c r="I1627" i="12"/>
  <c r="H1627" i="12"/>
  <c r="I1626" i="12"/>
  <c r="H1626" i="12"/>
  <c r="I1625" i="12"/>
  <c r="H1625" i="12"/>
  <c r="P2" i="12"/>
  <c r="F10000" i="11"/>
  <c r="G10000" i="11" s="1"/>
  <c r="F9999" i="11"/>
  <c r="G9999" i="11" s="1"/>
  <c r="F9998" i="11"/>
  <c r="G9998" i="11" s="1"/>
  <c r="F9997" i="11"/>
  <c r="G9997" i="11" s="1"/>
  <c r="F9996" i="11"/>
  <c r="G9996" i="11" s="1"/>
  <c r="F9995" i="11"/>
  <c r="G9995" i="11" s="1"/>
  <c r="F9994" i="11"/>
  <c r="G9994" i="11" s="1"/>
  <c r="F9993" i="11"/>
  <c r="G9993" i="11" s="1"/>
  <c r="F9992" i="11"/>
  <c r="G9992" i="11" s="1"/>
  <c r="F9991" i="11"/>
  <c r="G9991" i="11" s="1"/>
  <c r="F9990" i="11"/>
  <c r="G9990" i="11" s="1"/>
  <c r="F9989" i="11"/>
  <c r="G9989" i="11" s="1"/>
  <c r="F9988" i="11"/>
  <c r="G9988" i="11" s="1"/>
  <c r="F9987" i="11"/>
  <c r="G9987" i="11" s="1"/>
  <c r="F9986" i="11"/>
  <c r="G9986" i="11" s="1"/>
  <c r="F9985" i="11"/>
  <c r="G9985" i="11" s="1"/>
  <c r="F9984" i="11"/>
  <c r="G9984" i="11" s="1"/>
  <c r="F9983" i="11"/>
  <c r="G9983" i="11" s="1"/>
  <c r="F9982" i="11"/>
  <c r="G9982" i="11" s="1"/>
  <c r="F9981" i="11"/>
  <c r="G9981" i="11" s="1"/>
  <c r="F9980" i="11"/>
  <c r="G9980" i="11" s="1"/>
  <c r="F9979" i="11"/>
  <c r="G9979" i="11" s="1"/>
  <c r="F9978" i="11"/>
  <c r="G9978" i="11" s="1"/>
  <c r="F9977" i="11"/>
  <c r="G9977" i="11" s="1"/>
  <c r="F9976" i="11"/>
  <c r="G9976" i="11" s="1"/>
  <c r="F9975" i="11"/>
  <c r="G9975" i="11" s="1"/>
  <c r="F9974" i="11"/>
  <c r="G9974" i="11" s="1"/>
  <c r="F9973" i="11"/>
  <c r="G9973" i="11" s="1"/>
  <c r="F9972" i="11"/>
  <c r="G9972" i="11" s="1"/>
  <c r="F9971" i="11"/>
  <c r="G9971" i="11" s="1"/>
  <c r="F9970" i="11"/>
  <c r="G9970" i="11" s="1"/>
  <c r="F9969" i="11"/>
  <c r="G9969" i="11" s="1"/>
  <c r="F9968" i="11"/>
  <c r="G9968" i="11" s="1"/>
  <c r="F9967" i="11"/>
  <c r="G9967" i="11" s="1"/>
  <c r="F9966" i="11"/>
  <c r="G9966" i="11" s="1"/>
  <c r="F9965" i="11"/>
  <c r="G9965" i="11" s="1"/>
  <c r="F9964" i="11"/>
  <c r="G9964" i="11" s="1"/>
  <c r="F9963" i="11"/>
  <c r="G9963" i="11" s="1"/>
  <c r="F9962" i="11"/>
  <c r="G9962" i="11" s="1"/>
  <c r="F9961" i="11"/>
  <c r="G9961" i="11" s="1"/>
  <c r="F9960" i="11"/>
  <c r="G9960" i="11" s="1"/>
  <c r="F9959" i="11"/>
  <c r="G9959" i="11" s="1"/>
  <c r="F9958" i="11"/>
  <c r="G9958" i="11" s="1"/>
  <c r="F9957" i="11"/>
  <c r="G9957" i="11" s="1"/>
  <c r="F9956" i="11"/>
  <c r="G9956" i="11" s="1"/>
  <c r="F9955" i="11"/>
  <c r="G9955" i="11" s="1"/>
  <c r="F9954" i="11"/>
  <c r="G9954" i="11" s="1"/>
  <c r="F9953" i="11"/>
  <c r="G9953" i="11" s="1"/>
  <c r="F9952" i="11"/>
  <c r="G9952" i="11" s="1"/>
  <c r="F9951" i="11"/>
  <c r="G9951" i="11" s="1"/>
  <c r="F9950" i="11"/>
  <c r="G9950" i="11" s="1"/>
  <c r="F9949" i="11"/>
  <c r="G9949" i="11" s="1"/>
  <c r="F9948" i="11"/>
  <c r="G9948" i="11" s="1"/>
  <c r="F9947" i="11"/>
  <c r="G9947" i="11" s="1"/>
  <c r="F9946" i="11"/>
  <c r="G9946" i="11" s="1"/>
  <c r="F9945" i="11"/>
  <c r="G9945" i="11" s="1"/>
  <c r="F9944" i="11"/>
  <c r="G9944" i="11" s="1"/>
  <c r="F9943" i="11"/>
  <c r="G9943" i="11" s="1"/>
  <c r="F9942" i="11"/>
  <c r="G9942" i="11" s="1"/>
  <c r="F9941" i="11"/>
  <c r="G9941" i="11" s="1"/>
  <c r="F9940" i="11"/>
  <c r="G9940" i="11" s="1"/>
  <c r="F9939" i="11"/>
  <c r="G9939" i="11" s="1"/>
  <c r="F9938" i="11"/>
  <c r="G9938" i="11" s="1"/>
  <c r="F9937" i="11"/>
  <c r="G9937" i="11" s="1"/>
  <c r="F9936" i="11"/>
  <c r="G9936" i="11" s="1"/>
  <c r="F9935" i="11"/>
  <c r="G9935" i="11" s="1"/>
  <c r="F9934" i="11"/>
  <c r="G9934" i="11" s="1"/>
  <c r="F9933" i="11"/>
  <c r="G9933" i="11" s="1"/>
  <c r="F9932" i="11"/>
  <c r="G9932" i="11" s="1"/>
  <c r="F9931" i="11"/>
  <c r="G9931" i="11" s="1"/>
  <c r="F9930" i="11"/>
  <c r="G9930" i="11" s="1"/>
  <c r="F9929" i="11"/>
  <c r="G9929" i="11" s="1"/>
  <c r="F9928" i="11"/>
  <c r="G9928" i="11" s="1"/>
  <c r="F9927" i="11"/>
  <c r="G9927" i="11" s="1"/>
  <c r="F9926" i="11"/>
  <c r="G9926" i="11" s="1"/>
  <c r="F9925" i="11"/>
  <c r="G9925" i="11" s="1"/>
  <c r="F9924" i="11"/>
  <c r="G9924" i="11" s="1"/>
  <c r="F9923" i="11"/>
  <c r="G9923" i="11" s="1"/>
  <c r="F9922" i="11"/>
  <c r="G9922" i="11" s="1"/>
  <c r="F9921" i="11"/>
  <c r="G9921" i="11" s="1"/>
  <c r="F9920" i="11"/>
  <c r="G9920" i="11" s="1"/>
  <c r="F9919" i="11"/>
  <c r="G9919" i="11" s="1"/>
  <c r="F9918" i="11"/>
  <c r="G9918" i="11" s="1"/>
  <c r="F9917" i="11"/>
  <c r="G9917" i="11" s="1"/>
  <c r="F9916" i="11"/>
  <c r="G9916" i="11" s="1"/>
  <c r="F9915" i="11"/>
  <c r="G9915" i="11" s="1"/>
  <c r="F9914" i="11"/>
  <c r="G9914" i="11" s="1"/>
  <c r="F9913" i="11"/>
  <c r="G9913" i="11" s="1"/>
  <c r="F9912" i="11"/>
  <c r="G9912" i="11" s="1"/>
  <c r="F9911" i="11"/>
  <c r="G9911" i="11" s="1"/>
  <c r="F9910" i="11"/>
  <c r="G9910" i="11" s="1"/>
  <c r="F9909" i="11"/>
  <c r="G9909" i="11" s="1"/>
  <c r="F9908" i="11"/>
  <c r="G9908" i="11" s="1"/>
  <c r="F9907" i="11"/>
  <c r="G9907" i="11" s="1"/>
  <c r="F9906" i="11"/>
  <c r="G9906" i="11" s="1"/>
  <c r="F9905" i="11"/>
  <c r="G9905" i="11" s="1"/>
  <c r="F9904" i="11"/>
  <c r="G9904" i="11" s="1"/>
  <c r="F9903" i="11"/>
  <c r="G9903" i="11" s="1"/>
  <c r="F9902" i="11"/>
  <c r="G9902" i="11" s="1"/>
  <c r="F9901" i="11"/>
  <c r="G9901" i="11" s="1"/>
  <c r="F9900" i="11"/>
  <c r="G9900" i="11" s="1"/>
  <c r="F9899" i="11"/>
  <c r="G9899" i="11" s="1"/>
  <c r="F9898" i="11"/>
  <c r="G9898" i="11" s="1"/>
  <c r="F9897" i="11"/>
  <c r="G9897" i="11" s="1"/>
  <c r="F9896" i="11"/>
  <c r="G9896" i="11" s="1"/>
  <c r="F9895" i="11"/>
  <c r="G9895" i="11" s="1"/>
  <c r="F9894" i="11"/>
  <c r="G9894" i="11" s="1"/>
  <c r="F9893" i="11"/>
  <c r="G9893" i="11" s="1"/>
  <c r="F9892" i="11"/>
  <c r="G9892" i="11" s="1"/>
  <c r="F9891" i="11"/>
  <c r="G9891" i="11" s="1"/>
  <c r="F9890" i="11"/>
  <c r="G9890" i="11" s="1"/>
  <c r="F9889" i="11"/>
  <c r="G9889" i="11" s="1"/>
  <c r="F9888" i="11"/>
  <c r="G9888" i="11" s="1"/>
  <c r="F9887" i="11"/>
  <c r="G9887" i="11" s="1"/>
  <c r="F9886" i="11"/>
  <c r="G9886" i="11" s="1"/>
  <c r="F9885" i="11"/>
  <c r="G9885" i="11" s="1"/>
  <c r="F9884" i="11"/>
  <c r="G9884" i="11" s="1"/>
  <c r="F9883" i="11"/>
  <c r="G9883" i="11" s="1"/>
  <c r="F9882" i="11"/>
  <c r="G9882" i="11" s="1"/>
  <c r="F9881" i="11"/>
  <c r="G9881" i="11" s="1"/>
  <c r="F9880" i="11"/>
  <c r="G9880" i="11" s="1"/>
  <c r="F9879" i="11"/>
  <c r="G9879" i="11" s="1"/>
  <c r="F9878" i="11"/>
  <c r="G9878" i="11" s="1"/>
  <c r="F9877" i="11"/>
  <c r="G9877" i="11" s="1"/>
  <c r="F9876" i="11"/>
  <c r="G9876" i="11" s="1"/>
  <c r="F9875" i="11"/>
  <c r="G9875" i="11" s="1"/>
  <c r="F9874" i="11"/>
  <c r="G9874" i="11" s="1"/>
  <c r="F9873" i="11"/>
  <c r="G9873" i="11" s="1"/>
  <c r="F9872" i="11"/>
  <c r="G9872" i="11" s="1"/>
  <c r="F9871" i="11"/>
  <c r="G9871" i="11" s="1"/>
  <c r="F9870" i="11"/>
  <c r="G9870" i="11" s="1"/>
  <c r="F9869" i="11"/>
  <c r="G9869" i="11" s="1"/>
  <c r="F9868" i="11"/>
  <c r="G9868" i="11" s="1"/>
  <c r="F9867" i="11"/>
  <c r="G9867" i="11" s="1"/>
  <c r="F9866" i="11"/>
  <c r="G9866" i="11" s="1"/>
  <c r="F9865" i="11"/>
  <c r="G9865" i="11" s="1"/>
  <c r="F9864" i="11"/>
  <c r="G9864" i="11" s="1"/>
  <c r="F9863" i="11"/>
  <c r="G9863" i="11" s="1"/>
  <c r="F9862" i="11"/>
  <c r="G9862" i="11" s="1"/>
  <c r="F9861" i="11"/>
  <c r="G9861" i="11" s="1"/>
  <c r="F9860" i="11"/>
  <c r="G9860" i="11" s="1"/>
  <c r="F9859" i="11"/>
  <c r="G9859" i="11" s="1"/>
  <c r="F9858" i="11"/>
  <c r="G9858" i="11" s="1"/>
  <c r="F9857" i="11"/>
  <c r="G9857" i="11" s="1"/>
  <c r="F9856" i="11"/>
  <c r="G9856" i="11" s="1"/>
  <c r="F9855" i="11"/>
  <c r="G9855" i="11" s="1"/>
  <c r="F9854" i="11"/>
  <c r="G9854" i="11" s="1"/>
  <c r="F9853" i="11"/>
  <c r="G9853" i="11" s="1"/>
  <c r="F9852" i="11"/>
  <c r="G9852" i="11" s="1"/>
  <c r="F9851" i="11"/>
  <c r="G9851" i="11" s="1"/>
  <c r="F9850" i="11"/>
  <c r="G9850" i="11" s="1"/>
  <c r="F9849" i="11"/>
  <c r="G9849" i="11" s="1"/>
  <c r="F9848" i="11"/>
  <c r="G9848" i="11" s="1"/>
  <c r="F9847" i="11"/>
  <c r="G9847" i="11" s="1"/>
  <c r="F9846" i="11"/>
  <c r="G9846" i="11" s="1"/>
  <c r="F9845" i="11"/>
  <c r="G9845" i="11" s="1"/>
  <c r="F9844" i="11"/>
  <c r="G9844" i="11" s="1"/>
  <c r="F9843" i="11"/>
  <c r="G9843" i="11" s="1"/>
  <c r="F9842" i="11"/>
  <c r="G9842" i="11" s="1"/>
  <c r="F9841" i="11"/>
  <c r="G9841" i="11" s="1"/>
  <c r="F9840" i="11"/>
  <c r="G9840" i="11" s="1"/>
  <c r="F9839" i="11"/>
  <c r="G9839" i="11" s="1"/>
  <c r="F9838" i="11"/>
  <c r="G9838" i="11" s="1"/>
  <c r="F9837" i="11"/>
  <c r="G9837" i="11" s="1"/>
  <c r="F9836" i="11"/>
  <c r="G9836" i="11" s="1"/>
  <c r="F9835" i="11"/>
  <c r="G9835" i="11" s="1"/>
  <c r="F9834" i="11"/>
  <c r="G9834" i="11" s="1"/>
  <c r="F9833" i="11"/>
  <c r="G9833" i="11" s="1"/>
  <c r="F9832" i="11"/>
  <c r="G9832" i="11" s="1"/>
  <c r="F9831" i="11"/>
  <c r="G9831" i="11" s="1"/>
  <c r="F9830" i="11"/>
  <c r="G9830" i="11" s="1"/>
  <c r="F9829" i="11"/>
  <c r="G9829" i="11" s="1"/>
  <c r="F9828" i="11"/>
  <c r="G9828" i="11" s="1"/>
  <c r="F9827" i="11"/>
  <c r="G9827" i="11" s="1"/>
  <c r="F9826" i="11"/>
  <c r="G9826" i="11" s="1"/>
  <c r="F9825" i="11"/>
  <c r="G9825" i="11" s="1"/>
  <c r="F9824" i="11"/>
  <c r="G9824" i="11" s="1"/>
  <c r="F9823" i="11"/>
  <c r="G9823" i="11" s="1"/>
  <c r="F9822" i="11"/>
  <c r="G9822" i="11" s="1"/>
  <c r="F9821" i="11"/>
  <c r="G9821" i="11" s="1"/>
  <c r="F9820" i="11"/>
  <c r="G9820" i="11" s="1"/>
  <c r="F9819" i="11"/>
  <c r="G9819" i="11" s="1"/>
  <c r="F9818" i="11"/>
  <c r="G9818" i="11" s="1"/>
  <c r="F9817" i="11"/>
  <c r="G9817" i="11" s="1"/>
  <c r="F9816" i="11"/>
  <c r="G9816" i="11" s="1"/>
  <c r="F9815" i="11"/>
  <c r="G9815" i="11" s="1"/>
  <c r="F9814" i="11"/>
  <c r="G9814" i="11" s="1"/>
  <c r="F9813" i="11"/>
  <c r="G9813" i="11" s="1"/>
  <c r="F9812" i="11"/>
  <c r="G9812" i="11" s="1"/>
  <c r="F9811" i="11"/>
  <c r="G9811" i="11" s="1"/>
  <c r="F9810" i="11"/>
  <c r="G9810" i="11" s="1"/>
  <c r="F9809" i="11"/>
  <c r="G9809" i="11" s="1"/>
  <c r="F9808" i="11"/>
  <c r="G9808" i="11" s="1"/>
  <c r="F9807" i="11"/>
  <c r="G9807" i="11" s="1"/>
  <c r="F9806" i="11"/>
  <c r="G9806" i="11" s="1"/>
  <c r="F9805" i="11"/>
  <c r="G9805" i="11" s="1"/>
  <c r="F9804" i="11"/>
  <c r="G9804" i="11" s="1"/>
  <c r="F9803" i="11"/>
  <c r="G9803" i="11" s="1"/>
  <c r="F9802" i="11"/>
  <c r="G9802" i="11" s="1"/>
  <c r="F9801" i="11"/>
  <c r="G9801" i="11" s="1"/>
  <c r="F9800" i="11"/>
  <c r="G9800" i="11" s="1"/>
  <c r="F9799" i="11"/>
  <c r="G9799" i="11" s="1"/>
  <c r="F9798" i="11"/>
  <c r="G9798" i="11" s="1"/>
  <c r="F9797" i="11"/>
  <c r="G9797" i="11" s="1"/>
  <c r="F9796" i="11"/>
  <c r="G9796" i="11" s="1"/>
  <c r="F9795" i="11"/>
  <c r="G9795" i="11" s="1"/>
  <c r="F9794" i="11"/>
  <c r="G9794" i="11" s="1"/>
  <c r="F9793" i="11"/>
  <c r="G9793" i="11" s="1"/>
  <c r="F9792" i="11"/>
  <c r="G9792" i="11" s="1"/>
  <c r="F9791" i="11"/>
  <c r="G9791" i="11" s="1"/>
  <c r="F9790" i="11"/>
  <c r="G9790" i="11" s="1"/>
  <c r="F9789" i="11"/>
  <c r="G9789" i="11" s="1"/>
  <c r="F9788" i="11"/>
  <c r="G9788" i="11" s="1"/>
  <c r="F9787" i="11"/>
  <c r="G9787" i="11" s="1"/>
  <c r="F9786" i="11"/>
  <c r="G9786" i="11" s="1"/>
  <c r="F9785" i="11"/>
  <c r="G9785" i="11" s="1"/>
  <c r="F9784" i="11"/>
  <c r="G9784" i="11" s="1"/>
  <c r="F9783" i="11"/>
  <c r="G9783" i="11" s="1"/>
  <c r="F9782" i="11"/>
  <c r="G9782" i="11" s="1"/>
  <c r="F9781" i="11"/>
  <c r="G9781" i="11" s="1"/>
  <c r="F9780" i="11"/>
  <c r="G9780" i="11" s="1"/>
  <c r="F9779" i="11"/>
  <c r="G9779" i="11" s="1"/>
  <c r="F9778" i="11"/>
  <c r="G9778" i="11" s="1"/>
  <c r="F9777" i="11"/>
  <c r="G9777" i="11" s="1"/>
  <c r="F9776" i="11"/>
  <c r="G9776" i="11" s="1"/>
  <c r="F9775" i="11"/>
  <c r="G9775" i="11" s="1"/>
  <c r="F9774" i="11"/>
  <c r="G9774" i="11" s="1"/>
  <c r="F9773" i="11"/>
  <c r="G9773" i="11" s="1"/>
  <c r="F9772" i="11"/>
  <c r="G9772" i="11" s="1"/>
  <c r="F9771" i="11"/>
  <c r="G9771" i="11" s="1"/>
  <c r="F9770" i="11"/>
  <c r="G9770" i="11" s="1"/>
  <c r="F9769" i="11"/>
  <c r="G9769" i="11" s="1"/>
  <c r="F9768" i="11"/>
  <c r="G9768" i="11" s="1"/>
  <c r="F9767" i="11"/>
  <c r="G9767" i="11" s="1"/>
  <c r="F9766" i="11"/>
  <c r="G9766" i="11" s="1"/>
  <c r="F9765" i="11"/>
  <c r="G9765" i="11" s="1"/>
  <c r="F9764" i="11"/>
  <c r="G9764" i="11" s="1"/>
  <c r="F9763" i="11"/>
  <c r="G9763" i="11" s="1"/>
  <c r="F9762" i="11"/>
  <c r="G9762" i="11" s="1"/>
  <c r="F9761" i="11"/>
  <c r="G9761" i="11" s="1"/>
  <c r="F9760" i="11"/>
  <c r="G9760" i="11" s="1"/>
  <c r="F9759" i="11"/>
  <c r="G9759" i="11" s="1"/>
  <c r="F9758" i="11"/>
  <c r="G9758" i="11" s="1"/>
  <c r="F9757" i="11"/>
  <c r="G9757" i="11" s="1"/>
  <c r="F9756" i="11"/>
  <c r="G9756" i="11" s="1"/>
  <c r="F9755" i="11"/>
  <c r="G9755" i="11" s="1"/>
  <c r="F9754" i="11"/>
  <c r="G9754" i="11" s="1"/>
  <c r="F9753" i="11"/>
  <c r="G9753" i="11" s="1"/>
  <c r="F9752" i="11"/>
  <c r="G9752" i="11" s="1"/>
  <c r="F9751" i="11"/>
  <c r="G9751" i="11" s="1"/>
  <c r="F9750" i="11"/>
  <c r="G9750" i="11" s="1"/>
  <c r="F9749" i="11"/>
  <c r="G9749" i="11" s="1"/>
  <c r="F9748" i="11"/>
  <c r="G9748" i="11" s="1"/>
  <c r="F9747" i="11"/>
  <c r="G9747" i="11" s="1"/>
  <c r="F9746" i="11"/>
  <c r="G9746" i="11" s="1"/>
  <c r="F9745" i="11"/>
  <c r="G9745" i="11" s="1"/>
  <c r="F9744" i="11"/>
  <c r="G9744" i="11" s="1"/>
  <c r="F9743" i="11"/>
  <c r="G9743" i="11" s="1"/>
  <c r="F9742" i="11"/>
  <c r="G9742" i="11" s="1"/>
  <c r="F9741" i="11"/>
  <c r="G9741" i="11" s="1"/>
  <c r="F9740" i="11"/>
  <c r="G9740" i="11" s="1"/>
  <c r="F9739" i="11"/>
  <c r="G9739" i="11" s="1"/>
  <c r="F9738" i="11"/>
  <c r="G9738" i="11" s="1"/>
  <c r="F9737" i="11"/>
  <c r="G9737" i="11" s="1"/>
  <c r="F9736" i="11"/>
  <c r="G9736" i="11" s="1"/>
  <c r="F9735" i="11"/>
  <c r="G9735" i="11" s="1"/>
  <c r="F9734" i="11"/>
  <c r="G9734" i="11" s="1"/>
  <c r="F9733" i="11"/>
  <c r="G9733" i="11" s="1"/>
  <c r="F9732" i="11"/>
  <c r="G9732" i="11" s="1"/>
  <c r="F9731" i="11"/>
  <c r="G9731" i="11" s="1"/>
  <c r="F9730" i="11"/>
  <c r="G9730" i="11" s="1"/>
  <c r="F9729" i="11"/>
  <c r="G9729" i="11" s="1"/>
  <c r="F9728" i="11"/>
  <c r="G9728" i="11" s="1"/>
  <c r="F9727" i="11"/>
  <c r="G9727" i="11" s="1"/>
  <c r="F9726" i="11"/>
  <c r="G9726" i="11" s="1"/>
  <c r="F9725" i="11"/>
  <c r="G9725" i="11" s="1"/>
  <c r="F9724" i="11"/>
  <c r="G9724" i="11" s="1"/>
  <c r="F9723" i="11"/>
  <c r="G9723" i="11" s="1"/>
  <c r="F9722" i="11"/>
  <c r="G9722" i="11" s="1"/>
  <c r="F9721" i="11"/>
  <c r="G9721" i="11" s="1"/>
  <c r="F9720" i="11"/>
  <c r="G9720" i="11" s="1"/>
  <c r="F9719" i="11"/>
  <c r="G9719" i="11" s="1"/>
  <c r="F9718" i="11"/>
  <c r="G9718" i="11" s="1"/>
  <c r="F9717" i="11"/>
  <c r="G9717" i="11" s="1"/>
  <c r="F9716" i="11"/>
  <c r="G9716" i="11" s="1"/>
  <c r="F9715" i="11"/>
  <c r="G9715" i="11" s="1"/>
  <c r="F9714" i="11"/>
  <c r="G9714" i="11" s="1"/>
  <c r="F9713" i="11"/>
  <c r="G9713" i="11" s="1"/>
  <c r="F9712" i="11"/>
  <c r="G9712" i="11" s="1"/>
  <c r="F9711" i="11"/>
  <c r="G9711" i="11" s="1"/>
  <c r="F9710" i="11"/>
  <c r="G9710" i="11" s="1"/>
  <c r="F9709" i="11"/>
  <c r="G9709" i="11" s="1"/>
  <c r="F9708" i="11"/>
  <c r="G9708" i="11" s="1"/>
  <c r="F9707" i="11"/>
  <c r="G9707" i="11" s="1"/>
  <c r="F9706" i="11"/>
  <c r="G9706" i="11" s="1"/>
  <c r="F9705" i="11"/>
  <c r="G9705" i="11" s="1"/>
  <c r="F9704" i="11"/>
  <c r="G9704" i="11" s="1"/>
  <c r="F9703" i="11"/>
  <c r="G9703" i="11" s="1"/>
  <c r="F9702" i="11"/>
  <c r="G9702" i="11" s="1"/>
  <c r="F9701" i="11"/>
  <c r="G9701" i="11" s="1"/>
  <c r="F9700" i="11"/>
  <c r="G9700" i="11" s="1"/>
  <c r="F9699" i="11"/>
  <c r="G9699" i="11" s="1"/>
  <c r="F9698" i="11"/>
  <c r="G9698" i="11" s="1"/>
  <c r="F9697" i="11"/>
  <c r="G9697" i="11" s="1"/>
  <c r="F9696" i="11"/>
  <c r="G9696" i="11" s="1"/>
  <c r="F9695" i="11"/>
  <c r="G9695" i="11" s="1"/>
  <c r="F9694" i="11"/>
  <c r="G9694" i="11" s="1"/>
  <c r="F9693" i="11"/>
  <c r="G9693" i="11" s="1"/>
  <c r="F9692" i="11"/>
  <c r="G9692" i="11" s="1"/>
  <c r="F9691" i="11"/>
  <c r="G9691" i="11" s="1"/>
  <c r="F9690" i="11"/>
  <c r="G9690" i="11" s="1"/>
  <c r="F9689" i="11"/>
  <c r="G9689" i="11" s="1"/>
  <c r="F9688" i="11"/>
  <c r="G9688" i="11" s="1"/>
  <c r="F9687" i="11"/>
  <c r="G9687" i="11" s="1"/>
  <c r="F9686" i="11"/>
  <c r="G9686" i="11" s="1"/>
  <c r="F9685" i="11"/>
  <c r="G9685" i="11" s="1"/>
  <c r="F9684" i="11"/>
  <c r="G9684" i="11" s="1"/>
  <c r="F9683" i="11"/>
  <c r="G9683" i="11" s="1"/>
  <c r="F9682" i="11"/>
  <c r="G9682" i="11" s="1"/>
  <c r="F9681" i="11"/>
  <c r="G9681" i="11" s="1"/>
  <c r="F9680" i="11"/>
  <c r="G9680" i="11" s="1"/>
  <c r="F9679" i="11"/>
  <c r="G9679" i="11" s="1"/>
  <c r="F9678" i="11"/>
  <c r="G9678" i="11" s="1"/>
  <c r="F9677" i="11"/>
  <c r="G9677" i="11" s="1"/>
  <c r="F9676" i="11"/>
  <c r="G9676" i="11" s="1"/>
  <c r="F9675" i="11"/>
  <c r="G9675" i="11" s="1"/>
  <c r="F9674" i="11"/>
  <c r="G9674" i="11" s="1"/>
  <c r="F9673" i="11"/>
  <c r="G9673" i="11" s="1"/>
  <c r="F9672" i="11"/>
  <c r="G9672" i="11" s="1"/>
  <c r="F9671" i="11"/>
  <c r="G9671" i="11" s="1"/>
  <c r="F9670" i="11"/>
  <c r="G9670" i="11" s="1"/>
  <c r="F9669" i="11"/>
  <c r="G9669" i="11" s="1"/>
  <c r="F9668" i="11"/>
  <c r="G9668" i="11" s="1"/>
  <c r="F9667" i="11"/>
  <c r="G9667" i="11" s="1"/>
  <c r="F9666" i="11"/>
  <c r="G9666" i="11" s="1"/>
  <c r="F9665" i="11"/>
  <c r="G9665" i="11" s="1"/>
  <c r="F9664" i="11"/>
  <c r="G9664" i="11" s="1"/>
  <c r="F9663" i="11"/>
  <c r="G9663" i="11" s="1"/>
  <c r="F9662" i="11"/>
  <c r="G9662" i="11" s="1"/>
  <c r="F9661" i="11"/>
  <c r="G9661" i="11" s="1"/>
  <c r="F9660" i="11"/>
  <c r="G9660" i="11" s="1"/>
  <c r="F9659" i="11"/>
  <c r="G9659" i="11" s="1"/>
  <c r="F9658" i="11"/>
  <c r="G9658" i="11" s="1"/>
  <c r="F9657" i="11"/>
  <c r="G9657" i="11" s="1"/>
  <c r="F9656" i="11"/>
  <c r="G9656" i="11" s="1"/>
  <c r="F9655" i="11"/>
  <c r="G9655" i="11" s="1"/>
  <c r="F9654" i="11"/>
  <c r="G9654" i="11" s="1"/>
  <c r="F9653" i="11"/>
  <c r="G9653" i="11" s="1"/>
  <c r="F9652" i="11"/>
  <c r="G9652" i="11" s="1"/>
  <c r="F9651" i="11"/>
  <c r="G9651" i="11" s="1"/>
  <c r="F9650" i="11"/>
  <c r="G9650" i="11" s="1"/>
  <c r="F9649" i="11"/>
  <c r="G9649" i="11" s="1"/>
  <c r="F9648" i="11"/>
  <c r="G9648" i="11" s="1"/>
  <c r="F9647" i="11"/>
  <c r="G9647" i="11" s="1"/>
  <c r="F9646" i="11"/>
  <c r="G9646" i="11" s="1"/>
  <c r="F9645" i="11"/>
  <c r="G9645" i="11" s="1"/>
  <c r="F9644" i="11"/>
  <c r="G9644" i="11" s="1"/>
  <c r="F9643" i="11"/>
  <c r="G9643" i="11" s="1"/>
  <c r="F9642" i="11"/>
  <c r="G9642" i="11" s="1"/>
  <c r="F9641" i="11"/>
  <c r="G9641" i="11" s="1"/>
  <c r="F9640" i="11"/>
  <c r="G9640" i="11" s="1"/>
  <c r="F9639" i="11"/>
  <c r="G9639" i="11" s="1"/>
  <c r="F9638" i="11"/>
  <c r="G9638" i="11" s="1"/>
  <c r="F9637" i="11"/>
  <c r="G9637" i="11" s="1"/>
  <c r="F9636" i="11"/>
  <c r="G9636" i="11" s="1"/>
  <c r="F9635" i="11"/>
  <c r="G9635" i="11" s="1"/>
  <c r="F9634" i="11"/>
  <c r="G9634" i="11" s="1"/>
  <c r="F9633" i="11"/>
  <c r="G9633" i="11" s="1"/>
  <c r="F9632" i="11"/>
  <c r="G9632" i="11" s="1"/>
  <c r="F9631" i="11"/>
  <c r="G9631" i="11" s="1"/>
  <c r="F9630" i="11"/>
  <c r="G9630" i="11" s="1"/>
  <c r="F9629" i="11"/>
  <c r="G9629" i="11" s="1"/>
  <c r="F9628" i="11"/>
  <c r="G9628" i="11" s="1"/>
  <c r="F9627" i="11"/>
  <c r="G9627" i="11" s="1"/>
  <c r="F9626" i="11"/>
  <c r="G9626" i="11" s="1"/>
  <c r="F9625" i="11"/>
  <c r="G9625" i="11" s="1"/>
  <c r="F9624" i="11"/>
  <c r="G9624" i="11" s="1"/>
  <c r="F9623" i="11"/>
  <c r="G9623" i="11" s="1"/>
  <c r="F9622" i="11"/>
  <c r="G9622" i="11" s="1"/>
  <c r="F9621" i="11"/>
  <c r="G9621" i="11" s="1"/>
  <c r="F9620" i="11"/>
  <c r="G9620" i="11" s="1"/>
  <c r="F9619" i="11"/>
  <c r="G9619" i="11" s="1"/>
  <c r="F9618" i="11"/>
  <c r="G9618" i="11" s="1"/>
  <c r="F9617" i="11"/>
  <c r="G9617" i="11" s="1"/>
  <c r="F9616" i="11"/>
  <c r="G9616" i="11" s="1"/>
  <c r="F9615" i="11"/>
  <c r="G9615" i="11" s="1"/>
  <c r="F9614" i="11"/>
  <c r="G9614" i="11" s="1"/>
  <c r="F9613" i="11"/>
  <c r="G9613" i="11" s="1"/>
  <c r="F9612" i="11"/>
  <c r="G9612" i="11" s="1"/>
  <c r="F9611" i="11"/>
  <c r="G9611" i="11" s="1"/>
  <c r="F9610" i="11"/>
  <c r="G9610" i="11" s="1"/>
  <c r="F9609" i="11"/>
  <c r="G9609" i="11" s="1"/>
  <c r="F9608" i="11"/>
  <c r="G9608" i="11" s="1"/>
  <c r="F9607" i="11"/>
  <c r="G9607" i="11" s="1"/>
  <c r="F9606" i="11"/>
  <c r="G9606" i="11" s="1"/>
  <c r="F9605" i="11"/>
  <c r="G9605" i="11" s="1"/>
  <c r="F9604" i="11"/>
  <c r="G9604" i="11" s="1"/>
  <c r="F9603" i="11"/>
  <c r="G9603" i="11" s="1"/>
  <c r="F9602" i="11"/>
  <c r="G9602" i="11" s="1"/>
  <c r="F9601" i="11"/>
  <c r="G9601" i="11" s="1"/>
  <c r="F9600" i="11"/>
  <c r="G9600" i="11" s="1"/>
  <c r="F9599" i="11"/>
  <c r="G9599" i="11" s="1"/>
  <c r="F9598" i="11"/>
  <c r="G9598" i="11" s="1"/>
  <c r="F9597" i="11"/>
  <c r="G9597" i="11" s="1"/>
  <c r="F9596" i="11"/>
  <c r="G9596" i="11" s="1"/>
  <c r="F9595" i="11"/>
  <c r="G9595" i="11" s="1"/>
  <c r="F9594" i="11"/>
  <c r="G9594" i="11" s="1"/>
  <c r="F9593" i="11"/>
  <c r="G9593" i="11" s="1"/>
  <c r="F9592" i="11"/>
  <c r="G9592" i="11" s="1"/>
  <c r="F9591" i="11"/>
  <c r="G9591" i="11" s="1"/>
  <c r="F9590" i="11"/>
  <c r="G9590" i="11" s="1"/>
  <c r="F9589" i="11"/>
  <c r="G9589" i="11" s="1"/>
  <c r="F9588" i="11"/>
  <c r="G9588" i="11" s="1"/>
  <c r="F9587" i="11"/>
  <c r="G9587" i="11" s="1"/>
  <c r="F9586" i="11"/>
  <c r="G9586" i="11" s="1"/>
  <c r="F9585" i="11"/>
  <c r="G9585" i="11" s="1"/>
  <c r="F9584" i="11"/>
  <c r="G9584" i="11" s="1"/>
  <c r="F9583" i="11"/>
  <c r="G9583" i="11" s="1"/>
  <c r="F9582" i="11"/>
  <c r="G9582" i="11" s="1"/>
  <c r="F9581" i="11"/>
  <c r="G9581" i="11" s="1"/>
  <c r="F9580" i="11"/>
  <c r="G9580" i="11" s="1"/>
  <c r="F9579" i="11"/>
  <c r="G9579" i="11" s="1"/>
  <c r="F9578" i="11"/>
  <c r="G9578" i="11" s="1"/>
  <c r="F9577" i="11"/>
  <c r="G9577" i="11" s="1"/>
  <c r="F9576" i="11"/>
  <c r="G9576" i="11" s="1"/>
  <c r="F9575" i="11"/>
  <c r="G9575" i="11" s="1"/>
  <c r="F9574" i="11"/>
  <c r="G9574" i="11" s="1"/>
  <c r="F9573" i="11"/>
  <c r="G9573" i="11" s="1"/>
  <c r="F9572" i="11"/>
  <c r="G9572" i="11" s="1"/>
  <c r="F9571" i="11"/>
  <c r="G9571" i="11" s="1"/>
  <c r="F9570" i="11"/>
  <c r="G9570" i="11" s="1"/>
  <c r="F9569" i="11"/>
  <c r="G9569" i="11" s="1"/>
  <c r="F9568" i="11"/>
  <c r="G9568" i="11" s="1"/>
  <c r="F9567" i="11"/>
  <c r="G9567" i="11" s="1"/>
  <c r="F9566" i="11"/>
  <c r="G9566" i="11" s="1"/>
  <c r="F9565" i="11"/>
  <c r="G9565" i="11" s="1"/>
  <c r="F9564" i="11"/>
  <c r="G9564" i="11" s="1"/>
  <c r="F9563" i="11"/>
  <c r="G9563" i="11" s="1"/>
  <c r="F9562" i="11"/>
  <c r="G9562" i="11" s="1"/>
  <c r="F9561" i="11"/>
  <c r="G9561" i="11" s="1"/>
  <c r="F9560" i="11"/>
  <c r="G9560" i="11" s="1"/>
  <c r="F9559" i="11"/>
  <c r="G9559" i="11" s="1"/>
  <c r="F9558" i="11"/>
  <c r="G9558" i="11" s="1"/>
  <c r="F9557" i="11"/>
  <c r="G9557" i="11" s="1"/>
  <c r="F9556" i="11"/>
  <c r="G9556" i="11" s="1"/>
  <c r="F9555" i="11"/>
  <c r="G9555" i="11" s="1"/>
  <c r="F9554" i="11"/>
  <c r="G9554" i="11" s="1"/>
  <c r="F9553" i="11"/>
  <c r="G9553" i="11" s="1"/>
  <c r="F9552" i="11"/>
  <c r="G9552" i="11" s="1"/>
  <c r="F9551" i="11"/>
  <c r="G9551" i="11" s="1"/>
  <c r="F9550" i="11"/>
  <c r="G9550" i="11" s="1"/>
  <c r="F9549" i="11"/>
  <c r="G9549" i="11" s="1"/>
  <c r="F9548" i="11"/>
  <c r="G9548" i="11" s="1"/>
  <c r="F9547" i="11"/>
  <c r="G9547" i="11" s="1"/>
  <c r="F9546" i="11"/>
  <c r="G9546" i="11" s="1"/>
  <c r="F9545" i="11"/>
  <c r="G9545" i="11" s="1"/>
  <c r="F9544" i="11"/>
  <c r="G9544" i="11" s="1"/>
  <c r="F9543" i="11"/>
  <c r="G9543" i="11" s="1"/>
  <c r="F9542" i="11"/>
  <c r="G9542" i="11" s="1"/>
  <c r="F9541" i="11"/>
  <c r="G9541" i="11" s="1"/>
  <c r="F9540" i="11"/>
  <c r="G9540" i="11" s="1"/>
  <c r="F9539" i="11"/>
  <c r="G9539" i="11" s="1"/>
  <c r="F9538" i="11"/>
  <c r="G9538" i="11" s="1"/>
  <c r="F9537" i="11"/>
  <c r="G9537" i="11" s="1"/>
  <c r="F9536" i="11"/>
  <c r="G9536" i="11" s="1"/>
  <c r="F9535" i="11"/>
  <c r="G9535" i="11" s="1"/>
  <c r="F9534" i="11"/>
  <c r="G9534" i="11" s="1"/>
  <c r="F9533" i="11"/>
  <c r="G9533" i="11" s="1"/>
  <c r="F9532" i="11"/>
  <c r="G9532" i="11" s="1"/>
  <c r="F9531" i="11"/>
  <c r="G9531" i="11" s="1"/>
  <c r="F9530" i="11"/>
  <c r="G9530" i="11" s="1"/>
  <c r="F9529" i="11"/>
  <c r="G9529" i="11" s="1"/>
  <c r="F9528" i="11"/>
  <c r="G9528" i="11" s="1"/>
  <c r="F9527" i="11"/>
  <c r="G9527" i="11" s="1"/>
  <c r="F9526" i="11"/>
  <c r="G9526" i="11" s="1"/>
  <c r="F9525" i="11"/>
  <c r="G9525" i="11" s="1"/>
  <c r="F9524" i="11"/>
  <c r="G9524" i="11" s="1"/>
  <c r="F9523" i="11"/>
  <c r="G9523" i="11" s="1"/>
  <c r="F9522" i="11"/>
  <c r="G9522" i="11" s="1"/>
  <c r="F9521" i="11"/>
  <c r="G9521" i="11" s="1"/>
  <c r="F9520" i="11"/>
  <c r="G9520" i="11" s="1"/>
  <c r="F9519" i="11"/>
  <c r="G9519" i="11" s="1"/>
  <c r="F9518" i="11"/>
  <c r="G9518" i="11" s="1"/>
  <c r="F9517" i="11"/>
  <c r="G9517" i="11" s="1"/>
  <c r="F9516" i="11"/>
  <c r="G9516" i="11" s="1"/>
  <c r="F9515" i="11"/>
  <c r="G9515" i="11" s="1"/>
  <c r="F9514" i="11"/>
  <c r="G9514" i="11" s="1"/>
  <c r="F9513" i="11"/>
  <c r="G9513" i="11" s="1"/>
  <c r="F9512" i="11"/>
  <c r="G9512" i="11" s="1"/>
  <c r="F9511" i="11"/>
  <c r="G9511" i="11" s="1"/>
  <c r="F9510" i="11"/>
  <c r="G9510" i="11" s="1"/>
  <c r="F9509" i="11"/>
  <c r="G9509" i="11" s="1"/>
  <c r="F9508" i="11"/>
  <c r="G9508" i="11" s="1"/>
  <c r="F9507" i="11"/>
  <c r="G9507" i="11" s="1"/>
  <c r="F9506" i="11"/>
  <c r="G9506" i="11" s="1"/>
  <c r="F9505" i="11"/>
  <c r="G9505" i="11" s="1"/>
  <c r="F9504" i="11"/>
  <c r="G9504" i="11" s="1"/>
  <c r="F9503" i="11"/>
  <c r="G9503" i="11" s="1"/>
  <c r="F9502" i="11"/>
  <c r="G9502" i="11" s="1"/>
  <c r="F9501" i="11"/>
  <c r="G9501" i="11" s="1"/>
  <c r="F9500" i="11"/>
  <c r="G9500" i="11" s="1"/>
  <c r="F9499" i="11"/>
  <c r="G9499" i="11" s="1"/>
  <c r="F9498" i="11"/>
  <c r="G9498" i="11" s="1"/>
  <c r="F9497" i="11"/>
  <c r="G9497" i="11" s="1"/>
  <c r="F9496" i="11"/>
  <c r="G9496" i="11" s="1"/>
  <c r="F9495" i="11"/>
  <c r="G9495" i="11" s="1"/>
  <c r="F9494" i="11"/>
  <c r="G9494" i="11" s="1"/>
  <c r="F9493" i="11"/>
  <c r="G9493" i="11" s="1"/>
  <c r="F9492" i="11"/>
  <c r="G9492" i="11" s="1"/>
  <c r="F9491" i="11"/>
  <c r="G9491" i="11" s="1"/>
  <c r="F9490" i="11"/>
  <c r="G9490" i="11" s="1"/>
  <c r="F9489" i="11"/>
  <c r="G9489" i="11" s="1"/>
  <c r="F9488" i="11"/>
  <c r="G9488" i="11" s="1"/>
  <c r="F9487" i="11"/>
  <c r="G9487" i="11" s="1"/>
  <c r="F9486" i="11"/>
  <c r="G9486" i="11" s="1"/>
  <c r="F9485" i="11"/>
  <c r="G9485" i="11" s="1"/>
  <c r="F9484" i="11"/>
  <c r="G9484" i="11" s="1"/>
  <c r="F9483" i="11"/>
  <c r="G9483" i="11" s="1"/>
  <c r="F9482" i="11"/>
  <c r="G9482" i="11" s="1"/>
  <c r="F9481" i="11"/>
  <c r="G9481" i="11" s="1"/>
  <c r="F9480" i="11"/>
  <c r="G9480" i="11" s="1"/>
  <c r="F9479" i="11"/>
  <c r="G9479" i="11" s="1"/>
  <c r="F9478" i="11"/>
  <c r="G9478" i="11" s="1"/>
  <c r="F9477" i="11"/>
  <c r="G9477" i="11" s="1"/>
  <c r="F9476" i="11"/>
  <c r="G9476" i="11" s="1"/>
  <c r="F9475" i="11"/>
  <c r="G9475" i="11" s="1"/>
  <c r="F9474" i="11"/>
  <c r="G9474" i="11" s="1"/>
  <c r="F9473" i="11"/>
  <c r="G9473" i="11" s="1"/>
  <c r="F9472" i="11"/>
  <c r="G9472" i="11" s="1"/>
  <c r="F9471" i="11"/>
  <c r="G9471" i="11" s="1"/>
  <c r="F9470" i="11"/>
  <c r="G9470" i="11" s="1"/>
  <c r="F9469" i="11"/>
  <c r="G9469" i="11" s="1"/>
  <c r="F9468" i="11"/>
  <c r="G9468" i="11" s="1"/>
  <c r="F9467" i="11"/>
  <c r="G9467" i="11" s="1"/>
  <c r="F9466" i="11"/>
  <c r="G9466" i="11" s="1"/>
  <c r="F9465" i="11"/>
  <c r="G9465" i="11" s="1"/>
  <c r="F9464" i="11"/>
  <c r="G9464" i="11" s="1"/>
  <c r="F9463" i="11"/>
  <c r="G9463" i="11" s="1"/>
  <c r="F9462" i="11"/>
  <c r="G9462" i="11" s="1"/>
  <c r="F9461" i="11"/>
  <c r="G9461" i="11" s="1"/>
  <c r="F9460" i="11"/>
  <c r="G9460" i="11" s="1"/>
  <c r="F9459" i="11"/>
  <c r="G9459" i="11" s="1"/>
  <c r="F9458" i="11"/>
  <c r="G9458" i="11" s="1"/>
  <c r="F9457" i="11"/>
  <c r="G9457" i="11" s="1"/>
  <c r="F9456" i="11"/>
  <c r="G9456" i="11" s="1"/>
  <c r="F9455" i="11"/>
  <c r="G9455" i="11" s="1"/>
  <c r="F9454" i="11"/>
  <c r="G9454" i="11" s="1"/>
  <c r="F9453" i="11"/>
  <c r="G9453" i="11" s="1"/>
  <c r="F9452" i="11"/>
  <c r="G9452" i="11" s="1"/>
  <c r="F9451" i="11"/>
  <c r="G9451" i="11" s="1"/>
  <c r="F9450" i="11"/>
  <c r="G9450" i="11" s="1"/>
  <c r="F9449" i="11"/>
  <c r="G9449" i="11" s="1"/>
  <c r="F9448" i="11"/>
  <c r="G9448" i="11" s="1"/>
  <c r="F9447" i="11"/>
  <c r="G9447" i="11" s="1"/>
  <c r="F9446" i="11"/>
  <c r="G9446" i="11" s="1"/>
  <c r="F9445" i="11"/>
  <c r="G9445" i="11" s="1"/>
  <c r="F9444" i="11"/>
  <c r="G9444" i="11" s="1"/>
  <c r="F9443" i="11"/>
  <c r="G9443" i="11" s="1"/>
  <c r="F9442" i="11"/>
  <c r="G9442" i="11" s="1"/>
  <c r="F9441" i="11"/>
  <c r="G9441" i="11" s="1"/>
  <c r="F9440" i="11"/>
  <c r="G9440" i="11" s="1"/>
  <c r="F9439" i="11"/>
  <c r="G9439" i="11" s="1"/>
  <c r="F9438" i="11"/>
  <c r="G9438" i="11" s="1"/>
  <c r="F9437" i="11"/>
  <c r="G9437" i="11" s="1"/>
  <c r="F9436" i="11"/>
  <c r="G9436" i="11" s="1"/>
  <c r="F9435" i="11"/>
  <c r="G9435" i="11" s="1"/>
  <c r="F9434" i="11"/>
  <c r="G9434" i="11" s="1"/>
  <c r="F9433" i="11"/>
  <c r="G9433" i="11" s="1"/>
  <c r="F9432" i="11"/>
  <c r="G9432" i="11" s="1"/>
  <c r="F9431" i="11"/>
  <c r="G9431" i="11" s="1"/>
  <c r="F9430" i="11"/>
  <c r="G9430" i="11" s="1"/>
  <c r="F9429" i="11"/>
  <c r="G9429" i="11" s="1"/>
  <c r="F9428" i="11"/>
  <c r="G9428" i="11" s="1"/>
  <c r="F9427" i="11"/>
  <c r="G9427" i="11" s="1"/>
  <c r="F9426" i="11"/>
  <c r="G9426" i="11" s="1"/>
  <c r="F9425" i="11"/>
  <c r="G9425" i="11" s="1"/>
  <c r="F9424" i="11"/>
  <c r="G9424" i="11" s="1"/>
  <c r="F9423" i="11"/>
  <c r="G9423" i="11" s="1"/>
  <c r="F9422" i="11"/>
  <c r="G9422" i="11" s="1"/>
  <c r="F9421" i="11"/>
  <c r="G9421" i="11" s="1"/>
  <c r="F9420" i="11"/>
  <c r="G9420" i="11" s="1"/>
  <c r="F9419" i="11"/>
  <c r="G9419" i="11" s="1"/>
  <c r="F9418" i="11"/>
  <c r="G9418" i="11" s="1"/>
  <c r="F9417" i="11"/>
  <c r="G9417" i="11" s="1"/>
  <c r="F9416" i="11"/>
  <c r="G9416" i="11" s="1"/>
  <c r="F9415" i="11"/>
  <c r="G9415" i="11" s="1"/>
  <c r="F9414" i="11"/>
  <c r="G9414" i="11" s="1"/>
  <c r="F9413" i="11"/>
  <c r="G9413" i="11" s="1"/>
  <c r="F9412" i="11"/>
  <c r="G9412" i="11" s="1"/>
  <c r="F9411" i="11"/>
  <c r="G9411" i="11" s="1"/>
  <c r="F9410" i="11"/>
  <c r="G9410" i="11" s="1"/>
  <c r="F9409" i="11"/>
  <c r="G9409" i="11" s="1"/>
  <c r="F9408" i="11"/>
  <c r="G9408" i="11" s="1"/>
  <c r="F9407" i="11"/>
  <c r="G9407" i="11" s="1"/>
  <c r="F9406" i="11"/>
  <c r="G9406" i="11" s="1"/>
  <c r="F9405" i="11"/>
  <c r="G9405" i="11" s="1"/>
  <c r="F9404" i="11"/>
  <c r="G9404" i="11" s="1"/>
  <c r="F9403" i="11"/>
  <c r="G9403" i="11" s="1"/>
  <c r="F9402" i="11"/>
  <c r="G9402" i="11" s="1"/>
  <c r="F9401" i="11"/>
  <c r="G9401" i="11" s="1"/>
  <c r="F9400" i="11"/>
  <c r="G9400" i="11" s="1"/>
  <c r="F9399" i="11"/>
  <c r="G9399" i="11" s="1"/>
  <c r="F9398" i="11"/>
  <c r="G9398" i="11" s="1"/>
  <c r="F9397" i="11"/>
  <c r="G9397" i="11" s="1"/>
  <c r="F9396" i="11"/>
  <c r="G9396" i="11" s="1"/>
  <c r="F9395" i="11"/>
  <c r="G9395" i="11" s="1"/>
  <c r="F9394" i="11"/>
  <c r="G9394" i="11" s="1"/>
  <c r="F9393" i="11"/>
  <c r="G9393" i="11" s="1"/>
  <c r="F9392" i="11"/>
  <c r="G9392" i="11" s="1"/>
  <c r="F9391" i="11"/>
  <c r="G9391" i="11" s="1"/>
  <c r="F9390" i="11"/>
  <c r="G9390" i="11" s="1"/>
  <c r="F9389" i="11"/>
  <c r="G9389" i="11" s="1"/>
  <c r="F9388" i="11"/>
  <c r="G9388" i="11" s="1"/>
  <c r="F9387" i="11"/>
  <c r="G9387" i="11" s="1"/>
  <c r="F9386" i="11"/>
  <c r="G9386" i="11" s="1"/>
  <c r="F9385" i="11"/>
  <c r="G9385" i="11" s="1"/>
  <c r="F9384" i="11"/>
  <c r="G9384" i="11" s="1"/>
  <c r="F9383" i="11"/>
  <c r="G9383" i="11" s="1"/>
  <c r="F9382" i="11"/>
  <c r="G9382" i="11" s="1"/>
  <c r="F9381" i="11"/>
  <c r="G9381" i="11" s="1"/>
  <c r="F9380" i="11"/>
  <c r="G9380" i="11" s="1"/>
  <c r="F9379" i="11"/>
  <c r="G9379" i="11" s="1"/>
  <c r="F9378" i="11"/>
  <c r="G9378" i="11" s="1"/>
  <c r="F9377" i="11"/>
  <c r="G9377" i="11" s="1"/>
  <c r="F9376" i="11"/>
  <c r="G9376" i="11" s="1"/>
  <c r="F9375" i="11"/>
  <c r="G9375" i="11" s="1"/>
  <c r="F9374" i="11"/>
  <c r="G9374" i="11" s="1"/>
  <c r="F9373" i="11"/>
  <c r="G9373" i="11" s="1"/>
  <c r="H9372" i="11"/>
  <c r="F9372" i="11"/>
  <c r="G9372" i="11" s="1"/>
  <c r="I9372" i="11" s="1"/>
  <c r="F9371" i="11"/>
  <c r="G9371" i="11" s="1"/>
  <c r="I9371" i="11" s="1"/>
  <c r="H9370" i="11"/>
  <c r="F9370" i="11"/>
  <c r="G9370" i="11" s="1"/>
  <c r="I9370" i="11" s="1"/>
  <c r="F9369" i="11"/>
  <c r="G9369" i="11" s="1"/>
  <c r="I9369" i="11" s="1"/>
  <c r="H9368" i="11"/>
  <c r="F9368" i="11"/>
  <c r="G9368" i="11" s="1"/>
  <c r="I9368" i="11" s="1"/>
  <c r="F9367" i="11"/>
  <c r="G9367" i="11" s="1"/>
  <c r="I9367" i="11" s="1"/>
  <c r="H9366" i="11"/>
  <c r="F9366" i="11"/>
  <c r="G9366" i="11" s="1"/>
  <c r="I9366" i="11" s="1"/>
  <c r="F9365" i="11"/>
  <c r="G9365" i="11" s="1"/>
  <c r="I9365" i="11" s="1"/>
  <c r="H9364" i="11"/>
  <c r="F9364" i="11"/>
  <c r="G9364" i="11" s="1"/>
  <c r="I9364" i="11" s="1"/>
  <c r="F9363" i="11"/>
  <c r="G9363" i="11" s="1"/>
  <c r="I9363" i="11" s="1"/>
  <c r="H9362" i="11"/>
  <c r="F9362" i="11"/>
  <c r="G9362" i="11" s="1"/>
  <c r="I9362" i="11" s="1"/>
  <c r="F9361" i="11"/>
  <c r="G9361" i="11" s="1"/>
  <c r="I9361" i="11" s="1"/>
  <c r="H9360" i="11"/>
  <c r="F9360" i="11"/>
  <c r="G9360" i="11" s="1"/>
  <c r="I9360" i="11" s="1"/>
  <c r="F9359" i="11"/>
  <c r="G9359" i="11" s="1"/>
  <c r="I9359" i="11" s="1"/>
  <c r="H9358" i="11"/>
  <c r="F9358" i="11"/>
  <c r="G9358" i="11" s="1"/>
  <c r="I9358" i="11" s="1"/>
  <c r="F9357" i="11"/>
  <c r="G9357" i="11" s="1"/>
  <c r="I9357" i="11" s="1"/>
  <c r="H9356" i="11"/>
  <c r="F9356" i="11"/>
  <c r="G9356" i="11" s="1"/>
  <c r="I9356" i="11" s="1"/>
  <c r="F9355" i="11"/>
  <c r="G9355" i="11" s="1"/>
  <c r="I9355" i="11" s="1"/>
  <c r="H9354" i="11"/>
  <c r="F9354" i="11"/>
  <c r="G9354" i="11" s="1"/>
  <c r="I9354" i="11" s="1"/>
  <c r="F9353" i="11"/>
  <c r="G9353" i="11" s="1"/>
  <c r="I9353" i="11" s="1"/>
  <c r="H9352" i="11"/>
  <c r="F9352" i="11"/>
  <c r="G9352" i="11" s="1"/>
  <c r="I9352" i="11" s="1"/>
  <c r="F9351" i="11"/>
  <c r="G9351" i="11" s="1"/>
  <c r="I9351" i="11" s="1"/>
  <c r="H9350" i="11"/>
  <c r="F9350" i="11"/>
  <c r="G9350" i="11" s="1"/>
  <c r="I9350" i="11" s="1"/>
  <c r="F9349" i="11"/>
  <c r="G9349" i="11" s="1"/>
  <c r="I9349" i="11" s="1"/>
  <c r="H9348" i="11"/>
  <c r="F9348" i="11"/>
  <c r="G9348" i="11" s="1"/>
  <c r="I9348" i="11" s="1"/>
  <c r="F9347" i="11"/>
  <c r="G9347" i="11" s="1"/>
  <c r="I9347" i="11" s="1"/>
  <c r="H9346" i="11"/>
  <c r="F9346" i="11"/>
  <c r="G9346" i="11" s="1"/>
  <c r="I9346" i="11" s="1"/>
  <c r="F9345" i="11"/>
  <c r="G9345" i="11" s="1"/>
  <c r="I9345" i="11" s="1"/>
  <c r="H9344" i="11"/>
  <c r="F9344" i="11"/>
  <c r="G9344" i="11" s="1"/>
  <c r="I9344" i="11" s="1"/>
  <c r="F9343" i="11"/>
  <c r="G9343" i="11" s="1"/>
  <c r="I9343" i="11" s="1"/>
  <c r="H9342" i="11"/>
  <c r="F9342" i="11"/>
  <c r="G9342" i="11" s="1"/>
  <c r="I9342" i="11" s="1"/>
  <c r="F9341" i="11"/>
  <c r="G9341" i="11" s="1"/>
  <c r="I9341" i="11" s="1"/>
  <c r="H9340" i="11"/>
  <c r="F9340" i="11"/>
  <c r="G9340" i="11" s="1"/>
  <c r="I9340" i="11" s="1"/>
  <c r="F9339" i="11"/>
  <c r="G9339" i="11" s="1"/>
  <c r="I9339" i="11" s="1"/>
  <c r="H9338" i="11"/>
  <c r="F9338" i="11"/>
  <c r="G9338" i="11" s="1"/>
  <c r="I9338" i="11" s="1"/>
  <c r="F9337" i="11"/>
  <c r="G9337" i="11" s="1"/>
  <c r="I9337" i="11" s="1"/>
  <c r="H9336" i="11"/>
  <c r="F9336" i="11"/>
  <c r="G9336" i="11" s="1"/>
  <c r="I9336" i="11" s="1"/>
  <c r="F9335" i="11"/>
  <c r="G9335" i="11" s="1"/>
  <c r="I9335" i="11" s="1"/>
  <c r="H9334" i="11"/>
  <c r="F9334" i="11"/>
  <c r="G9334" i="11" s="1"/>
  <c r="I9334" i="11" s="1"/>
  <c r="F9333" i="11"/>
  <c r="G9333" i="11" s="1"/>
  <c r="I9333" i="11" s="1"/>
  <c r="H9332" i="11"/>
  <c r="F9332" i="11"/>
  <c r="G9332" i="11" s="1"/>
  <c r="I9332" i="11" s="1"/>
  <c r="F9331" i="11"/>
  <c r="G9331" i="11" s="1"/>
  <c r="I9331" i="11" s="1"/>
  <c r="H9330" i="11"/>
  <c r="F9330" i="11"/>
  <c r="G9330" i="11" s="1"/>
  <c r="I9330" i="11" s="1"/>
  <c r="F9329" i="11"/>
  <c r="G9329" i="11" s="1"/>
  <c r="I9329" i="11" s="1"/>
  <c r="H9328" i="11"/>
  <c r="F9328" i="11"/>
  <c r="G9328" i="11" s="1"/>
  <c r="I9328" i="11" s="1"/>
  <c r="F9327" i="11"/>
  <c r="G9327" i="11" s="1"/>
  <c r="I9327" i="11" s="1"/>
  <c r="H9326" i="11"/>
  <c r="F9326" i="11"/>
  <c r="G9326" i="11" s="1"/>
  <c r="I9326" i="11" s="1"/>
  <c r="F9325" i="11"/>
  <c r="G9325" i="11" s="1"/>
  <c r="I9325" i="11" s="1"/>
  <c r="H9324" i="11"/>
  <c r="F9324" i="11"/>
  <c r="G9324" i="11" s="1"/>
  <c r="I9324" i="11" s="1"/>
  <c r="F9323" i="11"/>
  <c r="G9323" i="11" s="1"/>
  <c r="I9323" i="11" s="1"/>
  <c r="H9322" i="11"/>
  <c r="F9322" i="11"/>
  <c r="G9322" i="11" s="1"/>
  <c r="I9322" i="11" s="1"/>
  <c r="F9321" i="11"/>
  <c r="G9321" i="11" s="1"/>
  <c r="I9321" i="11" s="1"/>
  <c r="H9320" i="11"/>
  <c r="F9320" i="11"/>
  <c r="G9320" i="11" s="1"/>
  <c r="I9320" i="11" s="1"/>
  <c r="F9319" i="11"/>
  <c r="G9319" i="11" s="1"/>
  <c r="I9319" i="11" s="1"/>
  <c r="H9318" i="11"/>
  <c r="F9318" i="11"/>
  <c r="G9318" i="11" s="1"/>
  <c r="I9318" i="11" s="1"/>
  <c r="F9317" i="11"/>
  <c r="G9317" i="11" s="1"/>
  <c r="I9317" i="11" s="1"/>
  <c r="H9316" i="11"/>
  <c r="F9316" i="11"/>
  <c r="G9316" i="11" s="1"/>
  <c r="I9316" i="11" s="1"/>
  <c r="F9315" i="11"/>
  <c r="G9315" i="11" s="1"/>
  <c r="I9315" i="11" s="1"/>
  <c r="H9314" i="11"/>
  <c r="F9314" i="11"/>
  <c r="G9314" i="11" s="1"/>
  <c r="I9314" i="11" s="1"/>
  <c r="F9313" i="11"/>
  <c r="G9313" i="11" s="1"/>
  <c r="I9313" i="11" s="1"/>
  <c r="H9312" i="11"/>
  <c r="F9312" i="11"/>
  <c r="G9312" i="11" s="1"/>
  <c r="I9312" i="11" s="1"/>
  <c r="F9311" i="11"/>
  <c r="G9311" i="11" s="1"/>
  <c r="I9311" i="11" s="1"/>
  <c r="H9310" i="11"/>
  <c r="F9310" i="11"/>
  <c r="G9310" i="11" s="1"/>
  <c r="I9310" i="11" s="1"/>
  <c r="F9309" i="11"/>
  <c r="G9309" i="11" s="1"/>
  <c r="I9309" i="11" s="1"/>
  <c r="H9308" i="11"/>
  <c r="F9308" i="11"/>
  <c r="G9308" i="11" s="1"/>
  <c r="I9308" i="11" s="1"/>
  <c r="F9307" i="11"/>
  <c r="G9307" i="11" s="1"/>
  <c r="I9307" i="11" s="1"/>
  <c r="H9306" i="11"/>
  <c r="F9306" i="11"/>
  <c r="G9306" i="11" s="1"/>
  <c r="I9306" i="11" s="1"/>
  <c r="F9305" i="11"/>
  <c r="G9305" i="11" s="1"/>
  <c r="I9305" i="11" s="1"/>
  <c r="H9304" i="11"/>
  <c r="F9304" i="11"/>
  <c r="G9304" i="11" s="1"/>
  <c r="I9304" i="11" s="1"/>
  <c r="F9303" i="11"/>
  <c r="G9303" i="11" s="1"/>
  <c r="I9303" i="11" s="1"/>
  <c r="H9302" i="11"/>
  <c r="F9302" i="11"/>
  <c r="G9302" i="11" s="1"/>
  <c r="I9302" i="11" s="1"/>
  <c r="F9301" i="11"/>
  <c r="G9301" i="11" s="1"/>
  <c r="I9301" i="11" s="1"/>
  <c r="H9300" i="11"/>
  <c r="F9300" i="11"/>
  <c r="G9300" i="11" s="1"/>
  <c r="I9300" i="11" s="1"/>
  <c r="F9299" i="11"/>
  <c r="G9299" i="11" s="1"/>
  <c r="I9299" i="11" s="1"/>
  <c r="H9298" i="11"/>
  <c r="F9298" i="11"/>
  <c r="G9298" i="11" s="1"/>
  <c r="I9298" i="11" s="1"/>
  <c r="F9297" i="11"/>
  <c r="G9297" i="11" s="1"/>
  <c r="I9297" i="11" s="1"/>
  <c r="H9296" i="11"/>
  <c r="F9296" i="11"/>
  <c r="G9296" i="11" s="1"/>
  <c r="I9296" i="11" s="1"/>
  <c r="F9295" i="11"/>
  <c r="G9295" i="11" s="1"/>
  <c r="I9295" i="11" s="1"/>
  <c r="H9294" i="11"/>
  <c r="F9294" i="11"/>
  <c r="G9294" i="11" s="1"/>
  <c r="I9294" i="11" s="1"/>
  <c r="F9293" i="11"/>
  <c r="G9293" i="11" s="1"/>
  <c r="I9293" i="11" s="1"/>
  <c r="H9292" i="11"/>
  <c r="F9292" i="11"/>
  <c r="G9292" i="11" s="1"/>
  <c r="I9292" i="11" s="1"/>
  <c r="F9291" i="11"/>
  <c r="G9291" i="11" s="1"/>
  <c r="I9291" i="11" s="1"/>
  <c r="H9290" i="11"/>
  <c r="F9290" i="11"/>
  <c r="G9290" i="11" s="1"/>
  <c r="I9290" i="11" s="1"/>
  <c r="F9289" i="11"/>
  <c r="G9289" i="11" s="1"/>
  <c r="I9289" i="11" s="1"/>
  <c r="H9288" i="11"/>
  <c r="F9288" i="11"/>
  <c r="G9288" i="11" s="1"/>
  <c r="I9288" i="11" s="1"/>
  <c r="F9287" i="11"/>
  <c r="G9287" i="11" s="1"/>
  <c r="I9287" i="11" s="1"/>
  <c r="H9286" i="11"/>
  <c r="F9286" i="11"/>
  <c r="G9286" i="11" s="1"/>
  <c r="I9286" i="11" s="1"/>
  <c r="F9285" i="11"/>
  <c r="G9285" i="11" s="1"/>
  <c r="I9285" i="11" s="1"/>
  <c r="H9284" i="11"/>
  <c r="F9284" i="11"/>
  <c r="G9284" i="11" s="1"/>
  <c r="I9284" i="11" s="1"/>
  <c r="F9283" i="11"/>
  <c r="G9283" i="11" s="1"/>
  <c r="I9283" i="11" s="1"/>
  <c r="H9282" i="11"/>
  <c r="F9282" i="11"/>
  <c r="G9282" i="11" s="1"/>
  <c r="I9282" i="11" s="1"/>
  <c r="F9281" i="11"/>
  <c r="G9281" i="11" s="1"/>
  <c r="I9281" i="11" s="1"/>
  <c r="H9280" i="11"/>
  <c r="F9280" i="11"/>
  <c r="G9280" i="11" s="1"/>
  <c r="I9280" i="11" s="1"/>
  <c r="F9279" i="11"/>
  <c r="G9279" i="11" s="1"/>
  <c r="I9279" i="11" s="1"/>
  <c r="H9278" i="11"/>
  <c r="F9278" i="11"/>
  <c r="G9278" i="11" s="1"/>
  <c r="I9278" i="11" s="1"/>
  <c r="F9277" i="11"/>
  <c r="G9277" i="11" s="1"/>
  <c r="I9277" i="11" s="1"/>
  <c r="H9276" i="11"/>
  <c r="F9276" i="11"/>
  <c r="G9276" i="11" s="1"/>
  <c r="I9276" i="11" s="1"/>
  <c r="F9275" i="11"/>
  <c r="G9275" i="11" s="1"/>
  <c r="I9275" i="11" s="1"/>
  <c r="H9274" i="11"/>
  <c r="F9274" i="11"/>
  <c r="G9274" i="11" s="1"/>
  <c r="I9274" i="11" s="1"/>
  <c r="F9273" i="11"/>
  <c r="G9273" i="11" s="1"/>
  <c r="I9273" i="11" s="1"/>
  <c r="H9272" i="11"/>
  <c r="F9272" i="11"/>
  <c r="G9272" i="11" s="1"/>
  <c r="I9272" i="11" s="1"/>
  <c r="F9271" i="11"/>
  <c r="G9271" i="11" s="1"/>
  <c r="I9271" i="11" s="1"/>
  <c r="H9270" i="11"/>
  <c r="F9270" i="11"/>
  <c r="G9270" i="11" s="1"/>
  <c r="I9270" i="11" s="1"/>
  <c r="F9269" i="11"/>
  <c r="G9269" i="11" s="1"/>
  <c r="I9269" i="11" s="1"/>
  <c r="H9268" i="11"/>
  <c r="F9268" i="11"/>
  <c r="G9268" i="11" s="1"/>
  <c r="I9268" i="11" s="1"/>
  <c r="F9267" i="11"/>
  <c r="G9267" i="11" s="1"/>
  <c r="I9267" i="11" s="1"/>
  <c r="H9266" i="11"/>
  <c r="F9266" i="11"/>
  <c r="G9266" i="11" s="1"/>
  <c r="I9266" i="11" s="1"/>
  <c r="F9265" i="11"/>
  <c r="G9265" i="11" s="1"/>
  <c r="I9265" i="11" s="1"/>
  <c r="H9264" i="11"/>
  <c r="F9264" i="11"/>
  <c r="G9264" i="11" s="1"/>
  <c r="I9264" i="11" s="1"/>
  <c r="F9263" i="11"/>
  <c r="G9263" i="11" s="1"/>
  <c r="I9263" i="11" s="1"/>
  <c r="H9262" i="11"/>
  <c r="F9262" i="11"/>
  <c r="G9262" i="11" s="1"/>
  <c r="I9262" i="11" s="1"/>
  <c r="F9261" i="11"/>
  <c r="G9261" i="11" s="1"/>
  <c r="I9261" i="11" s="1"/>
  <c r="H9260" i="11"/>
  <c r="F9260" i="11"/>
  <c r="G9260" i="11" s="1"/>
  <c r="I9260" i="11" s="1"/>
  <c r="F9259" i="11"/>
  <c r="G9259" i="11" s="1"/>
  <c r="I9259" i="11" s="1"/>
  <c r="H9258" i="11"/>
  <c r="F9258" i="11"/>
  <c r="G9258" i="11" s="1"/>
  <c r="I9258" i="11" s="1"/>
  <c r="F9257" i="11"/>
  <c r="G9257" i="11" s="1"/>
  <c r="I9257" i="11" s="1"/>
  <c r="H9256" i="11"/>
  <c r="F9256" i="11"/>
  <c r="G9256" i="11" s="1"/>
  <c r="I9256" i="11" s="1"/>
  <c r="F9255" i="11"/>
  <c r="G9255" i="11" s="1"/>
  <c r="I9255" i="11" s="1"/>
  <c r="H9254" i="11"/>
  <c r="F9254" i="11"/>
  <c r="G9254" i="11" s="1"/>
  <c r="I9254" i="11" s="1"/>
  <c r="F9253" i="11"/>
  <c r="G9253" i="11" s="1"/>
  <c r="I9253" i="11" s="1"/>
  <c r="H9252" i="11"/>
  <c r="F9252" i="11"/>
  <c r="G9252" i="11" s="1"/>
  <c r="I9252" i="11" s="1"/>
  <c r="F9251" i="11"/>
  <c r="G9251" i="11" s="1"/>
  <c r="I9251" i="11" s="1"/>
  <c r="H9250" i="11"/>
  <c r="F9250" i="11"/>
  <c r="G9250" i="11" s="1"/>
  <c r="I9250" i="11" s="1"/>
  <c r="F9249" i="11"/>
  <c r="G9249" i="11" s="1"/>
  <c r="I9249" i="11" s="1"/>
  <c r="H9248" i="11"/>
  <c r="F9248" i="11"/>
  <c r="G9248" i="11" s="1"/>
  <c r="I9248" i="11" s="1"/>
  <c r="F9247" i="11"/>
  <c r="G9247" i="11" s="1"/>
  <c r="I9247" i="11" s="1"/>
  <c r="H9246" i="11"/>
  <c r="F9246" i="11"/>
  <c r="G9246" i="11" s="1"/>
  <c r="I9246" i="11" s="1"/>
  <c r="F9245" i="11"/>
  <c r="G9245" i="11" s="1"/>
  <c r="I9245" i="11" s="1"/>
  <c r="H9244" i="11"/>
  <c r="F9244" i="11"/>
  <c r="G9244" i="11" s="1"/>
  <c r="I9244" i="11" s="1"/>
  <c r="F9243" i="11"/>
  <c r="G9243" i="11" s="1"/>
  <c r="I9243" i="11" s="1"/>
  <c r="H9242" i="11"/>
  <c r="F9242" i="11"/>
  <c r="G9242" i="11" s="1"/>
  <c r="I9242" i="11" s="1"/>
  <c r="F9241" i="11"/>
  <c r="G9241" i="11" s="1"/>
  <c r="I9241" i="11" s="1"/>
  <c r="H9240" i="11"/>
  <c r="F9240" i="11"/>
  <c r="G9240" i="11" s="1"/>
  <c r="I9240" i="11" s="1"/>
  <c r="F9239" i="11"/>
  <c r="G9239" i="11" s="1"/>
  <c r="I9239" i="11" s="1"/>
  <c r="H9238" i="11"/>
  <c r="F9238" i="11"/>
  <c r="G9238" i="11" s="1"/>
  <c r="I9238" i="11" s="1"/>
  <c r="F9237" i="11"/>
  <c r="G9237" i="11" s="1"/>
  <c r="I9237" i="11" s="1"/>
  <c r="H9236" i="11"/>
  <c r="F9236" i="11"/>
  <c r="G9236" i="11" s="1"/>
  <c r="I9236" i="11" s="1"/>
  <c r="F9235" i="11"/>
  <c r="G9235" i="11" s="1"/>
  <c r="F9234" i="11"/>
  <c r="G9234" i="11" s="1"/>
  <c r="H9233" i="11"/>
  <c r="G9233" i="11"/>
  <c r="I9233" i="11" s="1"/>
  <c r="F9233" i="11"/>
  <c r="G9232" i="11"/>
  <c r="I9232" i="11" s="1"/>
  <c r="F9232" i="11"/>
  <c r="F9231" i="11"/>
  <c r="G9231" i="11" s="1"/>
  <c r="F9230" i="11"/>
  <c r="G9230" i="11" s="1"/>
  <c r="H9229" i="11"/>
  <c r="G9229" i="11"/>
  <c r="I9229" i="11" s="1"/>
  <c r="F9229" i="11"/>
  <c r="G9228" i="11"/>
  <c r="I9228" i="11" s="1"/>
  <c r="F9228" i="11"/>
  <c r="F9227" i="11"/>
  <c r="G9227" i="11" s="1"/>
  <c r="F9226" i="11"/>
  <c r="G9226" i="11" s="1"/>
  <c r="H9225" i="11"/>
  <c r="G9225" i="11"/>
  <c r="I9225" i="11" s="1"/>
  <c r="F9225" i="11"/>
  <c r="G9224" i="11"/>
  <c r="I9224" i="11" s="1"/>
  <c r="F9224" i="11"/>
  <c r="F9223" i="11"/>
  <c r="G9223" i="11" s="1"/>
  <c r="F9222" i="11"/>
  <c r="G9222" i="11" s="1"/>
  <c r="H9221" i="11"/>
  <c r="G9221" i="11"/>
  <c r="I9221" i="11" s="1"/>
  <c r="F9221" i="11"/>
  <c r="G9220" i="11"/>
  <c r="I9220" i="11" s="1"/>
  <c r="F9220" i="11"/>
  <c r="F9219" i="11"/>
  <c r="G9219" i="11" s="1"/>
  <c r="F9218" i="11"/>
  <c r="G9218" i="11" s="1"/>
  <c r="H9217" i="11"/>
  <c r="G9217" i="11"/>
  <c r="I9217" i="11" s="1"/>
  <c r="F9217" i="11"/>
  <c r="G9216" i="11"/>
  <c r="I9216" i="11" s="1"/>
  <c r="F9216" i="11"/>
  <c r="F9215" i="11"/>
  <c r="G9215" i="11" s="1"/>
  <c r="F9214" i="11"/>
  <c r="G9214" i="11" s="1"/>
  <c r="H9213" i="11"/>
  <c r="G9213" i="11"/>
  <c r="I9213" i="11" s="1"/>
  <c r="F9213" i="11"/>
  <c r="G9212" i="11"/>
  <c r="I9212" i="11" s="1"/>
  <c r="F9212" i="11"/>
  <c r="F9211" i="11"/>
  <c r="G9211" i="11" s="1"/>
  <c r="F9210" i="11"/>
  <c r="G9210" i="11" s="1"/>
  <c r="H9209" i="11"/>
  <c r="G9209" i="11"/>
  <c r="I9209" i="11" s="1"/>
  <c r="F9209" i="11"/>
  <c r="G9208" i="11"/>
  <c r="I9208" i="11" s="1"/>
  <c r="F9208" i="11"/>
  <c r="F9207" i="11"/>
  <c r="G9207" i="11" s="1"/>
  <c r="F9206" i="11"/>
  <c r="G9206" i="11" s="1"/>
  <c r="H9205" i="11"/>
  <c r="G9205" i="11"/>
  <c r="I9205" i="11" s="1"/>
  <c r="F9205" i="11"/>
  <c r="G9204" i="11"/>
  <c r="I9204" i="11" s="1"/>
  <c r="F9204" i="11"/>
  <c r="F9203" i="11"/>
  <c r="G9203" i="11" s="1"/>
  <c r="F9202" i="11"/>
  <c r="G9202" i="11" s="1"/>
  <c r="H9201" i="11"/>
  <c r="G9201" i="11"/>
  <c r="I9201" i="11" s="1"/>
  <c r="F9201" i="11"/>
  <c r="G9200" i="11"/>
  <c r="I9200" i="11" s="1"/>
  <c r="F9200" i="11"/>
  <c r="F9199" i="11"/>
  <c r="G9199" i="11" s="1"/>
  <c r="F9198" i="11"/>
  <c r="G9198" i="11" s="1"/>
  <c r="H9197" i="11"/>
  <c r="G9197" i="11"/>
  <c r="I9197" i="11" s="1"/>
  <c r="F9197" i="11"/>
  <c r="G9196" i="11"/>
  <c r="I9196" i="11" s="1"/>
  <c r="F9196" i="11"/>
  <c r="F9195" i="11"/>
  <c r="G9195" i="11" s="1"/>
  <c r="F9194" i="11"/>
  <c r="G9194" i="11" s="1"/>
  <c r="H9193" i="11"/>
  <c r="G9193" i="11"/>
  <c r="I9193" i="11" s="1"/>
  <c r="F9193" i="11"/>
  <c r="G9192" i="11"/>
  <c r="I9192" i="11" s="1"/>
  <c r="F9192" i="11"/>
  <c r="F9191" i="11"/>
  <c r="G9191" i="11" s="1"/>
  <c r="F9190" i="11"/>
  <c r="G9190" i="11" s="1"/>
  <c r="H9189" i="11"/>
  <c r="G9189" i="11"/>
  <c r="I9189" i="11" s="1"/>
  <c r="F9189" i="11"/>
  <c r="G9188" i="11"/>
  <c r="I9188" i="11" s="1"/>
  <c r="F9188" i="11"/>
  <c r="F9187" i="11"/>
  <c r="G9187" i="11" s="1"/>
  <c r="F9186" i="11"/>
  <c r="G9186" i="11" s="1"/>
  <c r="H9185" i="11"/>
  <c r="G9185" i="11"/>
  <c r="I9185" i="11" s="1"/>
  <c r="F9185" i="11"/>
  <c r="G9184" i="11"/>
  <c r="I9184" i="11" s="1"/>
  <c r="F9184" i="11"/>
  <c r="F9183" i="11"/>
  <c r="G9183" i="11" s="1"/>
  <c r="F9182" i="11"/>
  <c r="G9182" i="11" s="1"/>
  <c r="H9181" i="11"/>
  <c r="G9181" i="11"/>
  <c r="I9181" i="11" s="1"/>
  <c r="F9181" i="11"/>
  <c r="G9180" i="11"/>
  <c r="I9180" i="11" s="1"/>
  <c r="F9180" i="11"/>
  <c r="F9179" i="11"/>
  <c r="G9179" i="11" s="1"/>
  <c r="F9178" i="11"/>
  <c r="G9178" i="11" s="1"/>
  <c r="H9177" i="11"/>
  <c r="G9177" i="11"/>
  <c r="I9177" i="11" s="1"/>
  <c r="F9177" i="11"/>
  <c r="G9176" i="11"/>
  <c r="I9176" i="11" s="1"/>
  <c r="F9176" i="11"/>
  <c r="F9175" i="11"/>
  <c r="G9175" i="11" s="1"/>
  <c r="F9174" i="11"/>
  <c r="G9174" i="11" s="1"/>
  <c r="H9173" i="11"/>
  <c r="G9173" i="11"/>
  <c r="I9173" i="11" s="1"/>
  <c r="F9173" i="11"/>
  <c r="G9172" i="11"/>
  <c r="I9172" i="11" s="1"/>
  <c r="F9172" i="11"/>
  <c r="F9171" i="11"/>
  <c r="G9171" i="11" s="1"/>
  <c r="F9170" i="11"/>
  <c r="G9170" i="11" s="1"/>
  <c r="H9169" i="11"/>
  <c r="G9169" i="11"/>
  <c r="I9169" i="11" s="1"/>
  <c r="F9169" i="11"/>
  <c r="G9168" i="11"/>
  <c r="I9168" i="11" s="1"/>
  <c r="F9168" i="11"/>
  <c r="F9167" i="11"/>
  <c r="G9167" i="11" s="1"/>
  <c r="F9166" i="11"/>
  <c r="G9166" i="11" s="1"/>
  <c r="H9165" i="11"/>
  <c r="G9165" i="11"/>
  <c r="I9165" i="11" s="1"/>
  <c r="F9165" i="11"/>
  <c r="G9164" i="11"/>
  <c r="I9164" i="11" s="1"/>
  <c r="F9164" i="11"/>
  <c r="F9163" i="11"/>
  <c r="G9163" i="11" s="1"/>
  <c r="F9162" i="11"/>
  <c r="G9162" i="11" s="1"/>
  <c r="H9161" i="11"/>
  <c r="G9161" i="11"/>
  <c r="I9161" i="11" s="1"/>
  <c r="F9161" i="11"/>
  <c r="G9160" i="11"/>
  <c r="I9160" i="11" s="1"/>
  <c r="F9160" i="11"/>
  <c r="F9159" i="11"/>
  <c r="G9159" i="11" s="1"/>
  <c r="F9158" i="11"/>
  <c r="G9158" i="11" s="1"/>
  <c r="H9157" i="11"/>
  <c r="G9157" i="11"/>
  <c r="I9157" i="11" s="1"/>
  <c r="F9157" i="11"/>
  <c r="H9156" i="11"/>
  <c r="G9156" i="11"/>
  <c r="I9156" i="11" s="1"/>
  <c r="F9156" i="11"/>
  <c r="H9155" i="11"/>
  <c r="G9155" i="11"/>
  <c r="I9155" i="11" s="1"/>
  <c r="F9155" i="11"/>
  <c r="H9154" i="11"/>
  <c r="G9154" i="11"/>
  <c r="I9154" i="11" s="1"/>
  <c r="F9154" i="11"/>
  <c r="H9153" i="11"/>
  <c r="G9153" i="11"/>
  <c r="I9153" i="11" s="1"/>
  <c r="F9153" i="11"/>
  <c r="H9152" i="11"/>
  <c r="G9152" i="11"/>
  <c r="I9152" i="11" s="1"/>
  <c r="F9152" i="11"/>
  <c r="H9151" i="11"/>
  <c r="G9151" i="11"/>
  <c r="I9151" i="11" s="1"/>
  <c r="F9151" i="11"/>
  <c r="H9150" i="11"/>
  <c r="G9150" i="11"/>
  <c r="I9150" i="11" s="1"/>
  <c r="F9150" i="11"/>
  <c r="H9149" i="11"/>
  <c r="G9149" i="11"/>
  <c r="I9149" i="11" s="1"/>
  <c r="F9149" i="11"/>
  <c r="H9148" i="11"/>
  <c r="G9148" i="11"/>
  <c r="I9148" i="11" s="1"/>
  <c r="F9148" i="11"/>
  <c r="H9147" i="11"/>
  <c r="G9147" i="11"/>
  <c r="I9147" i="11" s="1"/>
  <c r="F9147" i="11"/>
  <c r="H9146" i="11"/>
  <c r="G9146" i="11"/>
  <c r="I9146" i="11" s="1"/>
  <c r="F9146" i="11"/>
  <c r="H9145" i="11"/>
  <c r="G9145" i="11"/>
  <c r="I9145" i="11" s="1"/>
  <c r="F9145" i="11"/>
  <c r="H9144" i="11"/>
  <c r="G9144" i="11"/>
  <c r="I9144" i="11" s="1"/>
  <c r="F9144" i="11"/>
  <c r="H9143" i="11"/>
  <c r="G9143" i="11"/>
  <c r="I9143" i="11" s="1"/>
  <c r="F9143" i="11"/>
  <c r="H9142" i="11"/>
  <c r="G9142" i="11"/>
  <c r="I9142" i="11" s="1"/>
  <c r="F9142" i="11"/>
  <c r="H9141" i="11"/>
  <c r="G9141" i="11"/>
  <c r="I9141" i="11" s="1"/>
  <c r="F9141" i="11"/>
  <c r="H9140" i="11"/>
  <c r="G9140" i="11"/>
  <c r="I9140" i="11" s="1"/>
  <c r="F9140" i="11"/>
  <c r="H9139" i="11"/>
  <c r="G9139" i="11"/>
  <c r="I9139" i="11" s="1"/>
  <c r="F9139" i="11"/>
  <c r="H9138" i="11"/>
  <c r="G9138" i="11"/>
  <c r="I9138" i="11" s="1"/>
  <c r="F9138" i="11"/>
  <c r="H9137" i="11"/>
  <c r="G9137" i="11"/>
  <c r="I9137" i="11" s="1"/>
  <c r="F9137" i="11"/>
  <c r="H9136" i="11"/>
  <c r="G9136" i="11"/>
  <c r="I9136" i="11" s="1"/>
  <c r="F9136" i="11"/>
  <c r="H9135" i="11"/>
  <c r="G9135" i="11"/>
  <c r="I9135" i="11" s="1"/>
  <c r="F9135" i="11"/>
  <c r="H9134" i="11"/>
  <c r="G9134" i="11"/>
  <c r="I9134" i="11" s="1"/>
  <c r="F9134" i="11"/>
  <c r="H9133" i="11"/>
  <c r="G9133" i="11"/>
  <c r="I9133" i="11" s="1"/>
  <c r="F9133" i="11"/>
  <c r="H9132" i="11"/>
  <c r="G9132" i="11"/>
  <c r="I9132" i="11" s="1"/>
  <c r="F9132" i="11"/>
  <c r="H9131" i="11"/>
  <c r="G9131" i="11"/>
  <c r="I9131" i="11" s="1"/>
  <c r="F9131" i="11"/>
  <c r="H9130" i="11"/>
  <c r="G9130" i="11"/>
  <c r="I9130" i="11" s="1"/>
  <c r="F9130" i="11"/>
  <c r="H9129" i="11"/>
  <c r="G9129" i="11"/>
  <c r="I9129" i="11" s="1"/>
  <c r="F9129" i="11"/>
  <c r="H9128" i="11"/>
  <c r="G9128" i="11"/>
  <c r="I9128" i="11" s="1"/>
  <c r="F9128" i="11"/>
  <c r="H9127" i="11"/>
  <c r="G9127" i="11"/>
  <c r="I9127" i="11" s="1"/>
  <c r="F9127" i="11"/>
  <c r="H9126" i="11"/>
  <c r="G9126" i="11"/>
  <c r="I9126" i="11" s="1"/>
  <c r="F9126" i="11"/>
  <c r="H9125" i="11"/>
  <c r="G9125" i="11"/>
  <c r="I9125" i="11" s="1"/>
  <c r="F9125" i="11"/>
  <c r="H9124" i="11"/>
  <c r="G9124" i="11"/>
  <c r="I9124" i="11" s="1"/>
  <c r="F9124" i="11"/>
  <c r="H9123" i="11"/>
  <c r="G9123" i="11"/>
  <c r="I9123" i="11" s="1"/>
  <c r="F9123" i="11"/>
  <c r="H9122" i="11"/>
  <c r="G9122" i="11"/>
  <c r="I9122" i="11" s="1"/>
  <c r="F9122" i="11"/>
  <c r="H9121" i="11"/>
  <c r="G9121" i="11"/>
  <c r="I9121" i="11" s="1"/>
  <c r="F9121" i="11"/>
  <c r="H9120" i="11"/>
  <c r="G9120" i="11"/>
  <c r="I9120" i="11" s="1"/>
  <c r="F9120" i="11"/>
  <c r="H9119" i="11"/>
  <c r="G9119" i="11"/>
  <c r="I9119" i="11" s="1"/>
  <c r="F9119" i="11"/>
  <c r="H9118" i="11"/>
  <c r="G9118" i="11"/>
  <c r="I9118" i="11" s="1"/>
  <c r="F9118" i="11"/>
  <c r="H9117" i="11"/>
  <c r="G9117" i="11"/>
  <c r="I9117" i="11" s="1"/>
  <c r="F9117" i="11"/>
  <c r="H9116" i="11"/>
  <c r="G9116" i="11"/>
  <c r="I9116" i="11" s="1"/>
  <c r="F9116" i="11"/>
  <c r="H9115" i="11"/>
  <c r="G9115" i="11"/>
  <c r="I9115" i="11" s="1"/>
  <c r="F9115" i="11"/>
  <c r="H9114" i="11"/>
  <c r="G9114" i="11"/>
  <c r="I9114" i="11" s="1"/>
  <c r="F9114" i="11"/>
  <c r="H9113" i="11"/>
  <c r="G9113" i="11"/>
  <c r="I9113" i="11" s="1"/>
  <c r="F9113" i="11"/>
  <c r="H9112" i="11"/>
  <c r="G9112" i="11"/>
  <c r="I9112" i="11" s="1"/>
  <c r="F9112" i="11"/>
  <c r="H9111" i="11"/>
  <c r="G9111" i="11"/>
  <c r="I9111" i="11" s="1"/>
  <c r="F9111" i="11"/>
  <c r="H9110" i="11"/>
  <c r="G9110" i="11"/>
  <c r="I9110" i="11" s="1"/>
  <c r="F9110" i="11"/>
  <c r="H9109" i="11"/>
  <c r="G9109" i="11"/>
  <c r="I9109" i="11" s="1"/>
  <c r="F9109" i="11"/>
  <c r="H9108" i="11"/>
  <c r="G9108" i="11"/>
  <c r="I9108" i="11" s="1"/>
  <c r="F9108" i="11"/>
  <c r="H9107" i="11"/>
  <c r="G9107" i="11"/>
  <c r="I9107" i="11" s="1"/>
  <c r="F9107" i="11"/>
  <c r="H9106" i="11"/>
  <c r="G9106" i="11"/>
  <c r="I9106" i="11" s="1"/>
  <c r="F9106" i="11"/>
  <c r="H9105" i="11"/>
  <c r="G9105" i="11"/>
  <c r="I9105" i="11" s="1"/>
  <c r="F9105" i="11"/>
  <c r="H9104" i="11"/>
  <c r="G9104" i="11"/>
  <c r="I9104" i="11" s="1"/>
  <c r="F9104" i="11"/>
  <c r="H9103" i="11"/>
  <c r="G9103" i="11"/>
  <c r="I9103" i="11" s="1"/>
  <c r="F9103" i="11"/>
  <c r="H9102" i="11"/>
  <c r="G9102" i="11"/>
  <c r="I9102" i="11" s="1"/>
  <c r="F9102" i="11"/>
  <c r="H9101" i="11"/>
  <c r="G9101" i="11"/>
  <c r="I9101" i="11" s="1"/>
  <c r="F9101" i="11"/>
  <c r="H9100" i="11"/>
  <c r="G9100" i="11"/>
  <c r="I9100" i="11" s="1"/>
  <c r="F9100" i="11"/>
  <c r="H9099" i="11"/>
  <c r="G9099" i="11"/>
  <c r="I9099" i="11" s="1"/>
  <c r="F9099" i="11"/>
  <c r="H9098" i="11"/>
  <c r="G9098" i="11"/>
  <c r="I9098" i="11" s="1"/>
  <c r="F9098" i="11"/>
  <c r="H9097" i="11"/>
  <c r="G9097" i="11"/>
  <c r="I9097" i="11" s="1"/>
  <c r="F9097" i="11"/>
  <c r="H9096" i="11"/>
  <c r="G9096" i="11"/>
  <c r="I9096" i="11" s="1"/>
  <c r="F9096" i="11"/>
  <c r="H9095" i="11"/>
  <c r="G9095" i="11"/>
  <c r="I9095" i="11" s="1"/>
  <c r="F9095" i="11"/>
  <c r="H9094" i="11"/>
  <c r="G9094" i="11"/>
  <c r="I9094" i="11" s="1"/>
  <c r="F9094" i="11"/>
  <c r="H9093" i="11"/>
  <c r="G9093" i="11"/>
  <c r="I9093" i="11" s="1"/>
  <c r="F9093" i="11"/>
  <c r="H9092" i="11"/>
  <c r="G9092" i="11"/>
  <c r="I9092" i="11" s="1"/>
  <c r="F9092" i="11"/>
  <c r="H9091" i="11"/>
  <c r="G9091" i="11"/>
  <c r="I9091" i="11" s="1"/>
  <c r="F9091" i="11"/>
  <c r="H9090" i="11"/>
  <c r="G9090" i="11"/>
  <c r="I9090" i="11" s="1"/>
  <c r="F9090" i="11"/>
  <c r="H9089" i="11"/>
  <c r="G9089" i="11"/>
  <c r="I9089" i="11" s="1"/>
  <c r="F9089" i="11"/>
  <c r="H9088" i="11"/>
  <c r="G9088" i="11"/>
  <c r="I9088" i="11" s="1"/>
  <c r="F9088" i="11"/>
  <c r="H9087" i="11"/>
  <c r="G9087" i="11"/>
  <c r="I9087" i="11" s="1"/>
  <c r="F9087" i="11"/>
  <c r="H9086" i="11"/>
  <c r="G9086" i="11"/>
  <c r="I9086" i="11" s="1"/>
  <c r="F9086" i="11"/>
  <c r="H9085" i="11"/>
  <c r="G9085" i="11"/>
  <c r="I9085" i="11" s="1"/>
  <c r="F9085" i="11"/>
  <c r="H9084" i="11"/>
  <c r="G9084" i="11"/>
  <c r="I9084" i="11" s="1"/>
  <c r="F9084" i="11"/>
  <c r="H9083" i="11"/>
  <c r="G9083" i="11"/>
  <c r="I9083" i="11" s="1"/>
  <c r="F9083" i="11"/>
  <c r="H9082" i="11"/>
  <c r="G9082" i="11"/>
  <c r="I9082" i="11" s="1"/>
  <c r="F9082" i="11"/>
  <c r="H9081" i="11"/>
  <c r="G9081" i="11"/>
  <c r="I9081" i="11" s="1"/>
  <c r="F9081" i="11"/>
  <c r="H9080" i="11"/>
  <c r="G9080" i="11"/>
  <c r="I9080" i="11" s="1"/>
  <c r="F9080" i="11"/>
  <c r="H9079" i="11"/>
  <c r="G9079" i="11"/>
  <c r="I9079" i="11" s="1"/>
  <c r="F9079" i="11"/>
  <c r="G9078" i="11"/>
  <c r="I9078" i="11" s="1"/>
  <c r="F9078" i="11"/>
  <c r="G9077" i="11"/>
  <c r="I9077" i="11" s="1"/>
  <c r="F9077" i="11"/>
  <c r="G9076" i="11"/>
  <c r="I9076" i="11" s="1"/>
  <c r="F9076" i="11"/>
  <c r="G9075" i="11"/>
  <c r="I9075" i="11" s="1"/>
  <c r="F9075" i="11"/>
  <c r="G9074" i="11"/>
  <c r="I9074" i="11" s="1"/>
  <c r="F9074" i="11"/>
  <c r="G9073" i="11"/>
  <c r="I9073" i="11" s="1"/>
  <c r="F9073" i="11"/>
  <c r="G9072" i="11"/>
  <c r="I9072" i="11" s="1"/>
  <c r="F9072" i="11"/>
  <c r="G9071" i="11"/>
  <c r="I9071" i="11" s="1"/>
  <c r="F9071" i="11"/>
  <c r="G9070" i="11"/>
  <c r="I9070" i="11" s="1"/>
  <c r="F9070" i="11"/>
  <c r="G9069" i="11"/>
  <c r="I9069" i="11" s="1"/>
  <c r="F9069" i="11"/>
  <c r="G9068" i="11"/>
  <c r="I9068" i="11" s="1"/>
  <c r="F9068" i="11"/>
  <c r="G9067" i="11"/>
  <c r="I9067" i="11" s="1"/>
  <c r="F9067" i="11"/>
  <c r="G9066" i="11"/>
  <c r="I9066" i="11" s="1"/>
  <c r="F9066" i="11"/>
  <c r="G9065" i="11"/>
  <c r="I9065" i="11" s="1"/>
  <c r="F9065" i="11"/>
  <c r="G9064" i="11"/>
  <c r="I9064" i="11" s="1"/>
  <c r="F9064" i="11"/>
  <c r="G9063" i="11"/>
  <c r="I9063" i="11" s="1"/>
  <c r="F9063" i="11"/>
  <c r="G9062" i="11"/>
  <c r="I9062" i="11" s="1"/>
  <c r="F9062" i="11"/>
  <c r="G9061" i="11"/>
  <c r="I9061" i="11" s="1"/>
  <c r="F9061" i="11"/>
  <c r="G9060" i="11"/>
  <c r="I9060" i="11" s="1"/>
  <c r="F9060" i="11"/>
  <c r="G9059" i="11"/>
  <c r="I9059" i="11" s="1"/>
  <c r="F9059" i="11"/>
  <c r="G9058" i="11"/>
  <c r="I9058" i="11" s="1"/>
  <c r="F9058" i="11"/>
  <c r="G9057" i="11"/>
  <c r="I9057" i="11" s="1"/>
  <c r="F9057" i="11"/>
  <c r="G9056" i="11"/>
  <c r="I9056" i="11" s="1"/>
  <c r="F9056" i="11"/>
  <c r="G9055" i="11"/>
  <c r="I9055" i="11" s="1"/>
  <c r="F9055" i="11"/>
  <c r="G9054" i="11"/>
  <c r="I9054" i="11" s="1"/>
  <c r="F9054" i="11"/>
  <c r="G9053" i="11"/>
  <c r="I9053" i="11" s="1"/>
  <c r="F9053" i="11"/>
  <c r="G9052" i="11"/>
  <c r="I9052" i="11" s="1"/>
  <c r="F9052" i="11"/>
  <c r="G9051" i="11"/>
  <c r="I9051" i="11" s="1"/>
  <c r="F9051" i="11"/>
  <c r="G9050" i="11"/>
  <c r="I9050" i="11" s="1"/>
  <c r="F9050" i="11"/>
  <c r="G9049" i="11"/>
  <c r="I9049" i="11" s="1"/>
  <c r="F9049" i="11"/>
  <c r="G9048" i="11"/>
  <c r="I9048" i="11" s="1"/>
  <c r="F9048" i="11"/>
  <c r="G9047" i="11"/>
  <c r="I9047" i="11" s="1"/>
  <c r="F9047" i="11"/>
  <c r="G9046" i="11"/>
  <c r="I9046" i="11" s="1"/>
  <c r="F9046" i="11"/>
  <c r="G9045" i="11"/>
  <c r="I9045" i="11" s="1"/>
  <c r="F9045" i="11"/>
  <c r="G9044" i="11"/>
  <c r="I9044" i="11" s="1"/>
  <c r="F9044" i="11"/>
  <c r="G9043" i="11"/>
  <c r="I9043" i="11" s="1"/>
  <c r="F9043" i="11"/>
  <c r="G9042" i="11"/>
  <c r="I9042" i="11" s="1"/>
  <c r="F9042" i="11"/>
  <c r="G9041" i="11"/>
  <c r="I9041" i="11" s="1"/>
  <c r="F9041" i="11"/>
  <c r="G9040" i="11"/>
  <c r="I9040" i="11" s="1"/>
  <c r="F9040" i="11"/>
  <c r="G9039" i="11"/>
  <c r="I9039" i="11" s="1"/>
  <c r="F9039" i="11"/>
  <c r="G9038" i="11"/>
  <c r="I9038" i="11" s="1"/>
  <c r="F9038" i="11"/>
  <c r="G9037" i="11"/>
  <c r="I9037" i="11" s="1"/>
  <c r="F9037" i="11"/>
  <c r="G9036" i="11"/>
  <c r="I9036" i="11" s="1"/>
  <c r="F9036" i="11"/>
  <c r="G9035" i="11"/>
  <c r="I9035" i="11" s="1"/>
  <c r="F9035" i="11"/>
  <c r="G9034" i="11"/>
  <c r="I9034" i="11" s="1"/>
  <c r="F9034" i="11"/>
  <c r="G9033" i="11"/>
  <c r="I9033" i="11" s="1"/>
  <c r="F9033" i="11"/>
  <c r="G9032" i="11"/>
  <c r="I9032" i="11" s="1"/>
  <c r="F9032" i="11"/>
  <c r="G9031" i="11"/>
  <c r="I9031" i="11" s="1"/>
  <c r="F9031" i="11"/>
  <c r="G9030" i="11"/>
  <c r="I9030" i="11" s="1"/>
  <c r="F9030" i="11"/>
  <c r="G9029" i="11"/>
  <c r="I9029" i="11" s="1"/>
  <c r="F9029" i="11"/>
  <c r="G9028" i="11"/>
  <c r="I9028" i="11" s="1"/>
  <c r="F9028" i="11"/>
  <c r="G9027" i="11"/>
  <c r="I9027" i="11" s="1"/>
  <c r="F9027" i="11"/>
  <c r="G9026" i="11"/>
  <c r="I9026" i="11" s="1"/>
  <c r="F9026" i="11"/>
  <c r="G9025" i="11"/>
  <c r="I9025" i="11" s="1"/>
  <c r="F9025" i="11"/>
  <c r="G9024" i="11"/>
  <c r="I9024" i="11" s="1"/>
  <c r="F9024" i="11"/>
  <c r="G9023" i="11"/>
  <c r="I9023" i="11" s="1"/>
  <c r="F9023" i="11"/>
  <c r="G9022" i="11"/>
  <c r="I9022" i="11" s="1"/>
  <c r="F9022" i="11"/>
  <c r="G9021" i="11"/>
  <c r="I9021" i="11" s="1"/>
  <c r="F9021" i="11"/>
  <c r="G9020" i="11"/>
  <c r="I9020" i="11" s="1"/>
  <c r="F9020" i="11"/>
  <c r="G9019" i="11"/>
  <c r="I9019" i="11" s="1"/>
  <c r="F9019" i="11"/>
  <c r="G9018" i="11"/>
  <c r="I9018" i="11" s="1"/>
  <c r="F9018" i="11"/>
  <c r="G9017" i="11"/>
  <c r="I9017" i="11" s="1"/>
  <c r="F9017" i="11"/>
  <c r="G9016" i="11"/>
  <c r="I9016" i="11" s="1"/>
  <c r="F9016" i="11"/>
  <c r="G9015" i="11"/>
  <c r="I9015" i="11" s="1"/>
  <c r="F9015" i="11"/>
  <c r="G9014" i="11"/>
  <c r="I9014" i="11" s="1"/>
  <c r="F9014" i="11"/>
  <c r="G9013" i="11"/>
  <c r="I9013" i="11" s="1"/>
  <c r="F9013" i="11"/>
  <c r="G9012" i="11"/>
  <c r="I9012" i="11" s="1"/>
  <c r="F9012" i="11"/>
  <c r="G9011" i="11"/>
  <c r="I9011" i="11" s="1"/>
  <c r="F9011" i="11"/>
  <c r="G9010" i="11"/>
  <c r="I9010" i="11" s="1"/>
  <c r="F9010" i="11"/>
  <c r="G9009" i="11"/>
  <c r="I9009" i="11" s="1"/>
  <c r="F9009" i="11"/>
  <c r="G9008" i="11"/>
  <c r="I9008" i="11" s="1"/>
  <c r="F9008" i="11"/>
  <c r="G9007" i="11"/>
  <c r="I9007" i="11" s="1"/>
  <c r="F9007" i="11"/>
  <c r="G9006" i="11"/>
  <c r="I9006" i="11" s="1"/>
  <c r="F9006" i="11"/>
  <c r="G9005" i="11"/>
  <c r="I9005" i="11" s="1"/>
  <c r="F9005" i="11"/>
  <c r="G9004" i="11"/>
  <c r="I9004" i="11" s="1"/>
  <c r="F9004" i="11"/>
  <c r="G9003" i="11"/>
  <c r="I9003" i="11" s="1"/>
  <c r="F9003" i="11"/>
  <c r="G9002" i="11"/>
  <c r="I9002" i="11" s="1"/>
  <c r="F9002" i="11"/>
  <c r="G9001" i="11"/>
  <c r="I9001" i="11" s="1"/>
  <c r="F9001" i="11"/>
  <c r="G9000" i="11"/>
  <c r="I9000" i="11" s="1"/>
  <c r="F9000" i="11"/>
  <c r="G8999" i="11"/>
  <c r="I8999" i="11" s="1"/>
  <c r="F8999" i="11"/>
  <c r="G8998" i="11"/>
  <c r="I8998" i="11" s="1"/>
  <c r="F8998" i="11"/>
  <c r="G8997" i="11"/>
  <c r="I8997" i="11" s="1"/>
  <c r="F8997" i="11"/>
  <c r="G8996" i="11"/>
  <c r="I8996" i="11" s="1"/>
  <c r="F8996" i="11"/>
  <c r="G8995" i="11"/>
  <c r="I8995" i="11" s="1"/>
  <c r="F8995" i="11"/>
  <c r="G8994" i="11"/>
  <c r="I8994" i="11" s="1"/>
  <c r="F8994" i="11"/>
  <c r="G8993" i="11"/>
  <c r="I8993" i="11" s="1"/>
  <c r="F8993" i="11"/>
  <c r="G8992" i="11"/>
  <c r="I8992" i="11" s="1"/>
  <c r="F8992" i="11"/>
  <c r="G8991" i="11"/>
  <c r="I8991" i="11" s="1"/>
  <c r="F8991" i="11"/>
  <c r="G8990" i="11"/>
  <c r="I8990" i="11" s="1"/>
  <c r="F8990" i="11"/>
  <c r="G8989" i="11"/>
  <c r="I8989" i="11" s="1"/>
  <c r="F8989" i="11"/>
  <c r="G8988" i="11"/>
  <c r="I8988" i="11" s="1"/>
  <c r="F8988" i="11"/>
  <c r="G8987" i="11"/>
  <c r="I8987" i="11" s="1"/>
  <c r="F8987" i="11"/>
  <c r="G8986" i="11"/>
  <c r="I8986" i="11" s="1"/>
  <c r="F8986" i="11"/>
  <c r="G8985" i="11"/>
  <c r="I8985" i="11" s="1"/>
  <c r="F8985" i="11"/>
  <c r="G8984" i="11"/>
  <c r="I8984" i="11" s="1"/>
  <c r="F8984" i="11"/>
  <c r="G8983" i="11"/>
  <c r="I8983" i="11" s="1"/>
  <c r="F8983" i="11"/>
  <c r="G8982" i="11"/>
  <c r="I8982" i="11" s="1"/>
  <c r="F8982" i="11"/>
  <c r="G8981" i="11"/>
  <c r="I8981" i="11" s="1"/>
  <c r="F8981" i="11"/>
  <c r="G8980" i="11"/>
  <c r="I8980" i="11" s="1"/>
  <c r="F8980" i="11"/>
  <c r="G8979" i="11"/>
  <c r="I8979" i="11" s="1"/>
  <c r="F8979" i="11"/>
  <c r="G8978" i="11"/>
  <c r="I8978" i="11" s="1"/>
  <c r="F8978" i="11"/>
  <c r="G8977" i="11"/>
  <c r="I8977" i="11" s="1"/>
  <c r="F8977" i="11"/>
  <c r="G8976" i="11"/>
  <c r="I8976" i="11" s="1"/>
  <c r="F8976" i="11"/>
  <c r="G8975" i="11"/>
  <c r="I8975" i="11" s="1"/>
  <c r="F8975" i="11"/>
  <c r="G8974" i="11"/>
  <c r="I8974" i="11" s="1"/>
  <c r="F8974" i="11"/>
  <c r="G8973" i="11"/>
  <c r="I8973" i="11" s="1"/>
  <c r="F8973" i="11"/>
  <c r="G8972" i="11"/>
  <c r="I8972" i="11" s="1"/>
  <c r="F8972" i="11"/>
  <c r="G8971" i="11"/>
  <c r="I8971" i="11" s="1"/>
  <c r="F8971" i="11"/>
  <c r="G8970" i="11"/>
  <c r="I8970" i="11" s="1"/>
  <c r="F8970" i="11"/>
  <c r="G8969" i="11"/>
  <c r="I8969" i="11" s="1"/>
  <c r="F8969" i="11"/>
  <c r="G8968" i="11"/>
  <c r="I8968" i="11" s="1"/>
  <c r="F8968" i="11"/>
  <c r="G8967" i="11"/>
  <c r="I8967" i="11" s="1"/>
  <c r="F8967" i="11"/>
  <c r="G8966" i="11"/>
  <c r="I8966" i="11" s="1"/>
  <c r="F8966" i="11"/>
  <c r="G8965" i="11"/>
  <c r="I8965" i="11" s="1"/>
  <c r="F8965" i="11"/>
  <c r="G8964" i="11"/>
  <c r="I8964" i="11" s="1"/>
  <c r="F8964" i="11"/>
  <c r="G8963" i="11"/>
  <c r="I8963" i="11" s="1"/>
  <c r="F8963" i="11"/>
  <c r="G8962" i="11"/>
  <c r="I8962" i="11" s="1"/>
  <c r="F8962" i="11"/>
  <c r="G8961" i="11"/>
  <c r="I8961" i="11" s="1"/>
  <c r="F8961" i="11"/>
  <c r="G8960" i="11"/>
  <c r="I8960" i="11" s="1"/>
  <c r="F8960" i="11"/>
  <c r="G8959" i="11"/>
  <c r="I8959" i="11" s="1"/>
  <c r="F8959" i="11"/>
  <c r="G8958" i="11"/>
  <c r="I8958" i="11" s="1"/>
  <c r="F8958" i="11"/>
  <c r="G8957" i="11"/>
  <c r="I8957" i="11" s="1"/>
  <c r="F8957" i="11"/>
  <c r="G8956" i="11"/>
  <c r="I8956" i="11" s="1"/>
  <c r="F8956" i="11"/>
  <c r="G8955" i="11"/>
  <c r="I8955" i="11" s="1"/>
  <c r="F8955" i="11"/>
  <c r="G8954" i="11"/>
  <c r="I8954" i="11" s="1"/>
  <c r="F8954" i="11"/>
  <c r="G8953" i="11"/>
  <c r="I8953" i="11" s="1"/>
  <c r="F8953" i="11"/>
  <c r="G8952" i="11"/>
  <c r="I8952" i="11" s="1"/>
  <c r="F8952" i="11"/>
  <c r="G8951" i="11"/>
  <c r="I8951" i="11" s="1"/>
  <c r="F8951" i="11"/>
  <c r="G8950" i="11"/>
  <c r="I8950" i="11" s="1"/>
  <c r="F8950" i="11"/>
  <c r="G8949" i="11"/>
  <c r="I8949" i="11" s="1"/>
  <c r="F8949" i="11"/>
  <c r="G8948" i="11"/>
  <c r="I8948" i="11" s="1"/>
  <c r="F8948" i="11"/>
  <c r="G8947" i="11"/>
  <c r="I8947" i="11" s="1"/>
  <c r="F8947" i="11"/>
  <c r="G8946" i="11"/>
  <c r="I8946" i="11" s="1"/>
  <c r="F8946" i="11"/>
  <c r="G8945" i="11"/>
  <c r="I8945" i="11" s="1"/>
  <c r="F8945" i="11"/>
  <c r="G8944" i="11"/>
  <c r="I8944" i="11" s="1"/>
  <c r="F8944" i="11"/>
  <c r="G8943" i="11"/>
  <c r="I8943" i="11" s="1"/>
  <c r="F8943" i="11"/>
  <c r="G8942" i="11"/>
  <c r="I8942" i="11" s="1"/>
  <c r="F8942" i="11"/>
  <c r="G8941" i="11"/>
  <c r="I8941" i="11" s="1"/>
  <c r="F8941" i="11"/>
  <c r="G8940" i="11"/>
  <c r="I8940" i="11" s="1"/>
  <c r="F8940" i="11"/>
  <c r="G8939" i="11"/>
  <c r="I8939" i="11" s="1"/>
  <c r="F8939" i="11"/>
  <c r="G8938" i="11"/>
  <c r="I8938" i="11" s="1"/>
  <c r="F8938" i="11"/>
  <c r="G8937" i="11"/>
  <c r="I8937" i="11" s="1"/>
  <c r="F8937" i="11"/>
  <c r="G8936" i="11"/>
  <c r="I8936" i="11" s="1"/>
  <c r="F8936" i="11"/>
  <c r="G8935" i="11"/>
  <c r="I8935" i="11" s="1"/>
  <c r="F8935" i="11"/>
  <c r="G8934" i="11"/>
  <c r="I8934" i="11" s="1"/>
  <c r="F8934" i="11"/>
  <c r="G8933" i="11"/>
  <c r="I8933" i="11" s="1"/>
  <c r="F8933" i="11"/>
  <c r="G8932" i="11"/>
  <c r="I8932" i="11" s="1"/>
  <c r="F8932" i="11"/>
  <c r="G8931" i="11"/>
  <c r="I8931" i="11" s="1"/>
  <c r="F8931" i="11"/>
  <c r="G8930" i="11"/>
  <c r="I8930" i="11" s="1"/>
  <c r="F8930" i="11"/>
  <c r="G8929" i="11"/>
  <c r="I8929" i="11" s="1"/>
  <c r="F8929" i="11"/>
  <c r="G8928" i="11"/>
  <c r="I8928" i="11" s="1"/>
  <c r="F8928" i="11"/>
  <c r="G8927" i="11"/>
  <c r="I8927" i="11" s="1"/>
  <c r="F8927" i="11"/>
  <c r="G8926" i="11"/>
  <c r="I8926" i="11" s="1"/>
  <c r="F8926" i="11"/>
  <c r="G8925" i="11"/>
  <c r="I8925" i="11" s="1"/>
  <c r="F8925" i="11"/>
  <c r="G8924" i="11"/>
  <c r="I8924" i="11" s="1"/>
  <c r="F8924" i="11"/>
  <c r="G8923" i="11"/>
  <c r="I8923" i="11" s="1"/>
  <c r="F8923" i="11"/>
  <c r="G8922" i="11"/>
  <c r="I8922" i="11" s="1"/>
  <c r="F8922" i="11"/>
  <c r="G8921" i="11"/>
  <c r="I8921" i="11" s="1"/>
  <c r="F8921" i="11"/>
  <c r="G8920" i="11"/>
  <c r="I8920" i="11" s="1"/>
  <c r="F8920" i="11"/>
  <c r="G8919" i="11"/>
  <c r="I8919" i="11" s="1"/>
  <c r="F8919" i="11"/>
  <c r="G8918" i="11"/>
  <c r="I8918" i="11" s="1"/>
  <c r="F8918" i="11"/>
  <c r="G8917" i="11"/>
  <c r="I8917" i="11" s="1"/>
  <c r="F8917" i="11"/>
  <c r="G8916" i="11"/>
  <c r="I8916" i="11" s="1"/>
  <c r="F8916" i="11"/>
  <c r="G8915" i="11"/>
  <c r="I8915" i="11" s="1"/>
  <c r="F8915" i="11"/>
  <c r="G8914" i="11"/>
  <c r="I8914" i="11" s="1"/>
  <c r="F8914" i="11"/>
  <c r="G8913" i="11"/>
  <c r="I8913" i="11" s="1"/>
  <c r="F8913" i="11"/>
  <c r="G8912" i="11"/>
  <c r="I8912" i="11" s="1"/>
  <c r="F8912" i="11"/>
  <c r="G8911" i="11"/>
  <c r="I8911" i="11" s="1"/>
  <c r="F8911" i="11"/>
  <c r="G8910" i="11"/>
  <c r="I8910" i="11" s="1"/>
  <c r="F8910" i="11"/>
  <c r="G8909" i="11"/>
  <c r="I8909" i="11" s="1"/>
  <c r="F8909" i="11"/>
  <c r="G8908" i="11"/>
  <c r="I8908" i="11" s="1"/>
  <c r="F8908" i="11"/>
  <c r="G8907" i="11"/>
  <c r="I8907" i="11" s="1"/>
  <c r="F8907" i="11"/>
  <c r="G8906" i="11"/>
  <c r="I8906" i="11" s="1"/>
  <c r="F8906" i="11"/>
  <c r="G8905" i="11"/>
  <c r="I8905" i="11" s="1"/>
  <c r="F8905" i="11"/>
  <c r="G8904" i="11"/>
  <c r="I8904" i="11" s="1"/>
  <c r="F8904" i="11"/>
  <c r="G8903" i="11"/>
  <c r="I8903" i="11" s="1"/>
  <c r="F8903" i="11"/>
  <c r="G8902" i="11"/>
  <c r="I8902" i="11" s="1"/>
  <c r="F8902" i="11"/>
  <c r="G8901" i="11"/>
  <c r="I8901" i="11" s="1"/>
  <c r="F8901" i="11"/>
  <c r="G8900" i="11"/>
  <c r="I8900" i="11" s="1"/>
  <c r="F8900" i="11"/>
  <c r="G8899" i="11"/>
  <c r="I8899" i="11" s="1"/>
  <c r="F8899" i="11"/>
  <c r="G8898" i="11"/>
  <c r="I8898" i="11" s="1"/>
  <c r="F8898" i="11"/>
  <c r="G8897" i="11"/>
  <c r="I8897" i="11" s="1"/>
  <c r="F8897" i="11"/>
  <c r="G8896" i="11"/>
  <c r="I8896" i="11" s="1"/>
  <c r="F8896" i="11"/>
  <c r="G8895" i="11"/>
  <c r="I8895" i="11" s="1"/>
  <c r="F8895" i="11"/>
  <c r="G8894" i="11"/>
  <c r="I8894" i="11" s="1"/>
  <c r="F8894" i="11"/>
  <c r="G8893" i="11"/>
  <c r="I8893" i="11" s="1"/>
  <c r="F8893" i="11"/>
  <c r="G8892" i="11"/>
  <c r="I8892" i="11" s="1"/>
  <c r="F8892" i="11"/>
  <c r="G8891" i="11"/>
  <c r="I8891" i="11" s="1"/>
  <c r="F8891" i="11"/>
  <c r="G8890" i="11"/>
  <c r="I8890" i="11" s="1"/>
  <c r="F8890" i="11"/>
  <c r="G8889" i="11"/>
  <c r="I8889" i="11" s="1"/>
  <c r="F8889" i="11"/>
  <c r="G8888" i="11"/>
  <c r="I8888" i="11" s="1"/>
  <c r="F8888" i="11"/>
  <c r="G8887" i="11"/>
  <c r="I8887" i="11" s="1"/>
  <c r="F8887" i="11"/>
  <c r="G8886" i="11"/>
  <c r="I8886" i="11" s="1"/>
  <c r="F8886" i="11"/>
  <c r="G8885" i="11"/>
  <c r="I8885" i="11" s="1"/>
  <c r="F8885" i="11"/>
  <c r="G8884" i="11"/>
  <c r="I8884" i="11" s="1"/>
  <c r="F8884" i="11"/>
  <c r="G8883" i="11"/>
  <c r="I8883" i="11" s="1"/>
  <c r="F8883" i="11"/>
  <c r="G8882" i="11"/>
  <c r="I8882" i="11" s="1"/>
  <c r="F8882" i="11"/>
  <c r="G8881" i="11"/>
  <c r="I8881" i="11" s="1"/>
  <c r="F8881" i="11"/>
  <c r="G8880" i="11"/>
  <c r="I8880" i="11" s="1"/>
  <c r="F8880" i="11"/>
  <c r="G8879" i="11"/>
  <c r="I8879" i="11" s="1"/>
  <c r="F8879" i="11"/>
  <c r="G8878" i="11"/>
  <c r="I8878" i="11" s="1"/>
  <c r="F8878" i="11"/>
  <c r="G8877" i="11"/>
  <c r="I8877" i="11" s="1"/>
  <c r="F8877" i="11"/>
  <c r="G8876" i="11"/>
  <c r="I8876" i="11" s="1"/>
  <c r="F8876" i="11"/>
  <c r="G8875" i="11"/>
  <c r="I8875" i="11" s="1"/>
  <c r="F8875" i="11"/>
  <c r="G8874" i="11"/>
  <c r="I8874" i="11" s="1"/>
  <c r="F8874" i="11"/>
  <c r="G8873" i="11"/>
  <c r="I8873" i="11" s="1"/>
  <c r="F8873" i="11"/>
  <c r="G8872" i="11"/>
  <c r="I8872" i="11" s="1"/>
  <c r="F8872" i="11"/>
  <c r="G8871" i="11"/>
  <c r="I8871" i="11" s="1"/>
  <c r="F8871" i="11"/>
  <c r="G8870" i="11"/>
  <c r="I8870" i="11" s="1"/>
  <c r="F8870" i="11"/>
  <c r="G8869" i="11"/>
  <c r="I8869" i="11" s="1"/>
  <c r="F8869" i="11"/>
  <c r="G8868" i="11"/>
  <c r="I8868" i="11" s="1"/>
  <c r="F8868" i="11"/>
  <c r="G8867" i="11"/>
  <c r="I8867" i="11" s="1"/>
  <c r="F8867" i="11"/>
  <c r="G8866" i="11"/>
  <c r="I8866" i="11" s="1"/>
  <c r="F8866" i="11"/>
  <c r="G8865" i="11"/>
  <c r="I8865" i="11" s="1"/>
  <c r="F8865" i="11"/>
  <c r="G8864" i="11"/>
  <c r="I8864" i="11" s="1"/>
  <c r="F8864" i="11"/>
  <c r="G8863" i="11"/>
  <c r="I8863" i="11" s="1"/>
  <c r="F8863" i="11"/>
  <c r="G8862" i="11"/>
  <c r="I8862" i="11" s="1"/>
  <c r="F8862" i="11"/>
  <c r="G8861" i="11"/>
  <c r="I8861" i="11" s="1"/>
  <c r="F8861" i="11"/>
  <c r="G8860" i="11"/>
  <c r="I8860" i="11" s="1"/>
  <c r="F8860" i="11"/>
  <c r="G8859" i="11"/>
  <c r="I8859" i="11" s="1"/>
  <c r="F8859" i="11"/>
  <c r="G8858" i="11"/>
  <c r="I8858" i="11" s="1"/>
  <c r="F8858" i="11"/>
  <c r="G8857" i="11"/>
  <c r="I8857" i="11" s="1"/>
  <c r="F8857" i="11"/>
  <c r="G8856" i="11"/>
  <c r="I8856" i="11" s="1"/>
  <c r="F8856" i="11"/>
  <c r="G8855" i="11"/>
  <c r="I8855" i="11" s="1"/>
  <c r="F8855" i="11"/>
  <c r="G8854" i="11"/>
  <c r="I8854" i="11" s="1"/>
  <c r="F8854" i="11"/>
  <c r="G8853" i="11"/>
  <c r="I8853" i="11" s="1"/>
  <c r="F8853" i="11"/>
  <c r="G8852" i="11"/>
  <c r="I8852" i="11" s="1"/>
  <c r="F8852" i="11"/>
  <c r="G8851" i="11"/>
  <c r="I8851" i="11" s="1"/>
  <c r="F8851" i="11"/>
  <c r="G8850" i="11"/>
  <c r="I8850" i="11" s="1"/>
  <c r="F8850" i="11"/>
  <c r="G8849" i="11"/>
  <c r="I8849" i="11" s="1"/>
  <c r="F8849" i="11"/>
  <c r="G8848" i="11"/>
  <c r="I8848" i="11" s="1"/>
  <c r="F8848" i="11"/>
  <c r="G8847" i="11"/>
  <c r="I8847" i="11" s="1"/>
  <c r="F8847" i="11"/>
  <c r="G8846" i="11"/>
  <c r="I8846" i="11" s="1"/>
  <c r="F8846" i="11"/>
  <c r="G8845" i="11"/>
  <c r="I8845" i="11" s="1"/>
  <c r="F8845" i="11"/>
  <c r="G8844" i="11"/>
  <c r="I8844" i="11" s="1"/>
  <c r="F8844" i="11"/>
  <c r="G8843" i="11"/>
  <c r="I8843" i="11" s="1"/>
  <c r="F8843" i="11"/>
  <c r="G8842" i="11"/>
  <c r="I8842" i="11" s="1"/>
  <c r="F8842" i="11"/>
  <c r="G8841" i="11"/>
  <c r="I8841" i="11" s="1"/>
  <c r="F8841" i="11"/>
  <c r="G8840" i="11"/>
  <c r="I8840" i="11" s="1"/>
  <c r="F8840" i="11"/>
  <c r="G8839" i="11"/>
  <c r="I8839" i="11" s="1"/>
  <c r="F8839" i="11"/>
  <c r="G8838" i="11"/>
  <c r="I8838" i="11" s="1"/>
  <c r="F8838" i="11"/>
  <c r="G8837" i="11"/>
  <c r="I8837" i="11" s="1"/>
  <c r="F8837" i="11"/>
  <c r="G8836" i="11"/>
  <c r="I8836" i="11" s="1"/>
  <c r="F8836" i="11"/>
  <c r="G8835" i="11"/>
  <c r="I8835" i="11" s="1"/>
  <c r="F8835" i="11"/>
  <c r="G8834" i="11"/>
  <c r="I8834" i="11" s="1"/>
  <c r="F8834" i="11"/>
  <c r="G8833" i="11"/>
  <c r="I8833" i="11" s="1"/>
  <c r="F8833" i="11"/>
  <c r="G8832" i="11"/>
  <c r="I8832" i="11" s="1"/>
  <c r="F8832" i="11"/>
  <c r="G8831" i="11"/>
  <c r="I8831" i="11" s="1"/>
  <c r="F8831" i="11"/>
  <c r="G8830" i="11"/>
  <c r="I8830" i="11" s="1"/>
  <c r="F8830" i="11"/>
  <c r="G8829" i="11"/>
  <c r="I8829" i="11" s="1"/>
  <c r="F8829" i="11"/>
  <c r="G8828" i="11"/>
  <c r="I8828" i="11" s="1"/>
  <c r="F8828" i="11"/>
  <c r="G8827" i="11"/>
  <c r="I8827" i="11" s="1"/>
  <c r="F8827" i="11"/>
  <c r="G8826" i="11"/>
  <c r="I8826" i="11" s="1"/>
  <c r="F8826" i="11"/>
  <c r="G8825" i="11"/>
  <c r="I8825" i="11" s="1"/>
  <c r="F8825" i="11"/>
  <c r="G8824" i="11"/>
  <c r="I8824" i="11" s="1"/>
  <c r="F8824" i="11"/>
  <c r="G8823" i="11"/>
  <c r="I8823" i="11" s="1"/>
  <c r="F8823" i="11"/>
  <c r="G8822" i="11"/>
  <c r="I8822" i="11" s="1"/>
  <c r="F8822" i="11"/>
  <c r="G8821" i="11"/>
  <c r="I8821" i="11" s="1"/>
  <c r="F8821" i="11"/>
  <c r="G8820" i="11"/>
  <c r="I8820" i="11" s="1"/>
  <c r="F8820" i="11"/>
  <c r="G8819" i="11"/>
  <c r="I8819" i="11" s="1"/>
  <c r="F8819" i="11"/>
  <c r="G8818" i="11"/>
  <c r="I8818" i="11" s="1"/>
  <c r="F8818" i="11"/>
  <c r="G8817" i="11"/>
  <c r="I8817" i="11" s="1"/>
  <c r="F8817" i="11"/>
  <c r="G8816" i="11"/>
  <c r="I8816" i="11" s="1"/>
  <c r="F8816" i="11"/>
  <c r="G8815" i="11"/>
  <c r="I8815" i="11" s="1"/>
  <c r="F8815" i="11"/>
  <c r="G8814" i="11"/>
  <c r="I8814" i="11" s="1"/>
  <c r="F8814" i="11"/>
  <c r="G8813" i="11"/>
  <c r="I8813" i="11" s="1"/>
  <c r="F8813" i="11"/>
  <c r="G8812" i="11"/>
  <c r="I8812" i="11" s="1"/>
  <c r="F8812" i="11"/>
  <c r="G8811" i="11"/>
  <c r="I8811" i="11" s="1"/>
  <c r="F8811" i="11"/>
  <c r="G8810" i="11"/>
  <c r="I8810" i="11" s="1"/>
  <c r="F8810" i="11"/>
  <c r="G8809" i="11"/>
  <c r="I8809" i="11" s="1"/>
  <c r="F8809" i="11"/>
  <c r="G8808" i="11"/>
  <c r="I8808" i="11" s="1"/>
  <c r="F8808" i="11"/>
  <c r="G8807" i="11"/>
  <c r="I8807" i="11" s="1"/>
  <c r="F8807" i="11"/>
  <c r="G8806" i="11"/>
  <c r="I8806" i="11" s="1"/>
  <c r="F8806" i="11"/>
  <c r="G8805" i="11"/>
  <c r="F8805" i="11"/>
  <c r="G8804" i="11"/>
  <c r="F8804" i="11"/>
  <c r="G8803" i="11"/>
  <c r="F8803" i="11"/>
  <c r="G8802" i="11"/>
  <c r="F8802" i="11"/>
  <c r="G8801" i="11"/>
  <c r="F8801" i="11"/>
  <c r="G8800" i="11"/>
  <c r="F8800" i="11"/>
  <c r="G8799" i="11"/>
  <c r="F8799" i="11"/>
  <c r="G8798" i="11"/>
  <c r="F8798" i="11"/>
  <c r="G8797" i="11"/>
  <c r="F8797" i="11"/>
  <c r="G8796" i="11"/>
  <c r="F8796" i="11"/>
  <c r="G8795" i="11"/>
  <c r="F8795" i="11"/>
  <c r="G8794" i="11"/>
  <c r="F8794" i="11"/>
  <c r="G8793" i="11"/>
  <c r="F8793" i="11"/>
  <c r="G8792" i="11"/>
  <c r="F8792" i="11"/>
  <c r="G8791" i="11"/>
  <c r="F8791" i="11"/>
  <c r="G8790" i="11"/>
  <c r="F8790" i="11"/>
  <c r="G8789" i="11"/>
  <c r="F8789" i="11"/>
  <c r="G8788" i="11"/>
  <c r="F8788" i="11"/>
  <c r="G8787" i="11"/>
  <c r="F8787" i="11"/>
  <c r="G8786" i="11"/>
  <c r="F8786" i="11"/>
  <c r="G8785" i="11"/>
  <c r="F8785" i="11"/>
  <c r="G8784" i="11"/>
  <c r="F8784" i="11"/>
  <c r="G8783" i="11"/>
  <c r="F8783" i="11"/>
  <c r="G8782" i="11"/>
  <c r="F8782" i="11"/>
  <c r="G8781" i="11"/>
  <c r="F8781" i="11"/>
  <c r="G8780" i="11"/>
  <c r="F8780" i="11"/>
  <c r="G8779" i="11"/>
  <c r="F8779" i="11"/>
  <c r="G8778" i="11"/>
  <c r="F8778" i="11"/>
  <c r="G8777" i="11"/>
  <c r="F8777" i="11"/>
  <c r="G8776" i="11"/>
  <c r="F8776" i="11"/>
  <c r="G8775" i="11"/>
  <c r="F8775" i="11"/>
  <c r="G8774" i="11"/>
  <c r="F8774" i="11"/>
  <c r="G8773" i="11"/>
  <c r="F8773" i="11"/>
  <c r="G8772" i="11"/>
  <c r="F8772" i="11"/>
  <c r="G8771" i="11"/>
  <c r="F8771" i="11"/>
  <c r="G8770" i="11"/>
  <c r="F8770" i="11"/>
  <c r="G8769" i="11"/>
  <c r="F8769" i="11"/>
  <c r="G8768" i="11"/>
  <c r="F8768" i="11"/>
  <c r="G8767" i="11"/>
  <c r="F8767" i="11"/>
  <c r="G8766" i="11"/>
  <c r="F8766" i="11"/>
  <c r="G8765" i="11"/>
  <c r="F8765" i="11"/>
  <c r="G8764" i="11"/>
  <c r="F8764" i="11"/>
  <c r="G8763" i="11"/>
  <c r="F8763" i="11"/>
  <c r="G8762" i="11"/>
  <c r="F8762" i="11"/>
  <c r="G8761" i="11"/>
  <c r="F8761" i="11"/>
  <c r="G8760" i="11"/>
  <c r="F8760" i="11"/>
  <c r="G8759" i="11"/>
  <c r="F8759" i="11"/>
  <c r="G8758" i="11"/>
  <c r="F8758" i="11"/>
  <c r="G8757" i="11"/>
  <c r="F8757" i="11"/>
  <c r="G8756" i="11"/>
  <c r="F8756" i="11"/>
  <c r="G8755" i="11"/>
  <c r="F8755" i="11"/>
  <c r="G8754" i="11"/>
  <c r="F8754" i="11"/>
  <c r="G8753" i="11"/>
  <c r="F8753" i="11"/>
  <c r="G8752" i="11"/>
  <c r="F8752" i="11"/>
  <c r="G8751" i="11"/>
  <c r="F8751" i="11"/>
  <c r="G8750" i="11"/>
  <c r="F8750" i="11"/>
  <c r="G8749" i="11"/>
  <c r="F8749" i="11"/>
  <c r="G8748" i="11"/>
  <c r="F8748" i="11"/>
  <c r="G8747" i="11"/>
  <c r="F8747" i="11"/>
  <c r="G8746" i="11"/>
  <c r="F8746" i="11"/>
  <c r="G8745" i="11"/>
  <c r="F8745" i="11"/>
  <c r="G8744" i="11"/>
  <c r="F8744" i="11"/>
  <c r="G8743" i="11"/>
  <c r="F8743" i="11"/>
  <c r="G8742" i="11"/>
  <c r="F8742" i="11"/>
  <c r="G8741" i="11"/>
  <c r="F8741" i="11"/>
  <c r="G8740" i="11"/>
  <c r="F8740" i="11"/>
  <c r="G8739" i="11"/>
  <c r="F8739" i="11"/>
  <c r="G8738" i="11"/>
  <c r="F8738" i="11"/>
  <c r="G8737" i="11"/>
  <c r="F8737" i="11"/>
  <c r="G8736" i="11"/>
  <c r="F8736" i="11"/>
  <c r="G8735" i="11"/>
  <c r="F8735" i="11"/>
  <c r="G8734" i="11"/>
  <c r="F8734" i="11"/>
  <c r="G8733" i="11"/>
  <c r="F8733" i="11"/>
  <c r="G8732" i="11"/>
  <c r="F8732" i="11"/>
  <c r="G8731" i="11"/>
  <c r="F8731" i="11"/>
  <c r="G8730" i="11"/>
  <c r="F8730" i="11"/>
  <c r="G8729" i="11"/>
  <c r="F8729" i="11"/>
  <c r="G8728" i="11"/>
  <c r="F8728" i="11"/>
  <c r="G8727" i="11"/>
  <c r="F8727" i="11"/>
  <c r="G8726" i="11"/>
  <c r="F8726" i="11"/>
  <c r="G8725" i="11"/>
  <c r="F8725" i="11"/>
  <c r="G8724" i="11"/>
  <c r="F8724" i="11"/>
  <c r="G8723" i="11"/>
  <c r="F8723" i="11"/>
  <c r="G8722" i="11"/>
  <c r="F8722" i="11"/>
  <c r="G8721" i="11"/>
  <c r="F8721" i="11"/>
  <c r="G8720" i="11"/>
  <c r="F8720" i="11"/>
  <c r="G8719" i="11"/>
  <c r="F8719" i="11"/>
  <c r="G8718" i="11"/>
  <c r="F8718" i="11"/>
  <c r="G8717" i="11"/>
  <c r="F8717" i="11"/>
  <c r="G8716" i="11"/>
  <c r="F8716" i="11"/>
  <c r="G8715" i="11"/>
  <c r="F8715" i="11"/>
  <c r="G8714" i="11"/>
  <c r="F8714" i="11"/>
  <c r="G8713" i="11"/>
  <c r="F8713" i="11"/>
  <c r="G8712" i="11"/>
  <c r="F8712" i="11"/>
  <c r="G8711" i="11"/>
  <c r="F8711" i="11"/>
  <c r="G8710" i="11"/>
  <c r="F8710" i="11"/>
  <c r="G8709" i="11"/>
  <c r="F8709" i="11"/>
  <c r="G8708" i="11"/>
  <c r="F8708" i="11"/>
  <c r="G8707" i="11"/>
  <c r="F8707" i="11"/>
  <c r="G8706" i="11"/>
  <c r="F8706" i="11"/>
  <c r="G8705" i="11"/>
  <c r="F8705" i="11"/>
  <c r="G8704" i="11"/>
  <c r="F8704" i="11"/>
  <c r="G8703" i="11"/>
  <c r="F8703" i="11"/>
  <c r="G8702" i="11"/>
  <c r="F8702" i="11"/>
  <c r="G8701" i="11"/>
  <c r="F8701" i="11"/>
  <c r="G8700" i="11"/>
  <c r="F8700" i="11"/>
  <c r="G8699" i="11"/>
  <c r="F8699" i="11"/>
  <c r="G8698" i="11"/>
  <c r="F8698" i="11"/>
  <c r="G8697" i="11"/>
  <c r="F8697" i="11"/>
  <c r="G8696" i="11"/>
  <c r="F8696" i="11"/>
  <c r="G8695" i="11"/>
  <c r="F8695" i="11"/>
  <c r="G8694" i="11"/>
  <c r="F8694" i="11"/>
  <c r="G8693" i="11"/>
  <c r="F8693" i="11"/>
  <c r="G8692" i="11"/>
  <c r="F8692" i="11"/>
  <c r="G8691" i="11"/>
  <c r="F8691" i="11"/>
  <c r="G8690" i="11"/>
  <c r="F8690" i="11"/>
  <c r="G8689" i="11"/>
  <c r="F8689" i="11"/>
  <c r="G8688" i="11"/>
  <c r="F8688" i="11"/>
  <c r="G8687" i="11"/>
  <c r="F8687" i="11"/>
  <c r="G8686" i="11"/>
  <c r="F8686" i="11"/>
  <c r="G8685" i="11"/>
  <c r="F8685" i="11"/>
  <c r="G8684" i="11"/>
  <c r="F8684" i="11"/>
  <c r="G8683" i="11"/>
  <c r="F8683" i="11"/>
  <c r="G8682" i="11"/>
  <c r="F8682" i="11"/>
  <c r="G8681" i="11"/>
  <c r="F8681" i="11"/>
  <c r="G8680" i="11"/>
  <c r="F8680" i="11"/>
  <c r="G8679" i="11"/>
  <c r="F8679" i="11"/>
  <c r="G8678" i="11"/>
  <c r="F8678" i="11"/>
  <c r="G8677" i="11"/>
  <c r="F8677" i="11"/>
  <c r="G8676" i="11"/>
  <c r="F8676" i="11"/>
  <c r="G8675" i="11"/>
  <c r="F8675" i="11"/>
  <c r="G8674" i="11"/>
  <c r="F8674" i="11"/>
  <c r="G8673" i="11"/>
  <c r="F8673" i="11"/>
  <c r="G8672" i="11"/>
  <c r="F8672" i="11"/>
  <c r="G8671" i="11"/>
  <c r="F8671" i="11"/>
  <c r="G8670" i="11"/>
  <c r="F8670" i="11"/>
  <c r="G8669" i="11"/>
  <c r="F8669" i="11"/>
  <c r="G8668" i="11"/>
  <c r="F8668" i="11"/>
  <c r="G8667" i="11"/>
  <c r="F8667" i="11"/>
  <c r="G8666" i="11"/>
  <c r="F8666" i="11"/>
  <c r="G8665" i="11"/>
  <c r="F8665" i="11"/>
  <c r="G8664" i="11"/>
  <c r="F8664" i="11"/>
  <c r="G8663" i="11"/>
  <c r="F8663" i="11"/>
  <c r="G8662" i="11"/>
  <c r="F8662" i="11"/>
  <c r="G8661" i="11"/>
  <c r="F8661" i="11"/>
  <c r="G8660" i="11"/>
  <c r="F8660" i="11"/>
  <c r="G8659" i="11"/>
  <c r="F8659" i="11"/>
  <c r="G8658" i="11"/>
  <c r="F8658" i="11"/>
  <c r="G8657" i="11"/>
  <c r="F8657" i="11"/>
  <c r="G8656" i="11"/>
  <c r="F8656" i="11"/>
  <c r="G8655" i="11"/>
  <c r="F8655" i="11"/>
  <c r="G8654" i="11"/>
  <c r="F8654" i="11"/>
  <c r="G8653" i="11"/>
  <c r="F8653" i="11"/>
  <c r="G8652" i="11"/>
  <c r="F8652" i="11"/>
  <c r="G8651" i="11"/>
  <c r="F8651" i="11"/>
  <c r="G8650" i="11"/>
  <c r="F8650" i="11"/>
  <c r="G8649" i="11"/>
  <c r="F8649" i="11"/>
  <c r="G8648" i="11"/>
  <c r="F8648" i="11"/>
  <c r="G8647" i="11"/>
  <c r="F8647" i="11"/>
  <c r="G8646" i="11"/>
  <c r="F8646" i="11"/>
  <c r="G8645" i="11"/>
  <c r="F8645" i="11"/>
  <c r="G8644" i="11"/>
  <c r="F8644" i="11"/>
  <c r="G8643" i="11"/>
  <c r="F8643" i="11"/>
  <c r="G8642" i="11"/>
  <c r="F8642" i="11"/>
  <c r="G8641" i="11"/>
  <c r="F8641" i="11"/>
  <c r="G8640" i="11"/>
  <c r="F8640" i="11"/>
  <c r="G8639" i="11"/>
  <c r="F8639" i="11"/>
  <c r="G8638" i="11"/>
  <c r="F8638" i="11"/>
  <c r="G8637" i="11"/>
  <c r="F8637" i="11"/>
  <c r="G8636" i="11"/>
  <c r="F8636" i="11"/>
  <c r="G8635" i="11"/>
  <c r="F8635" i="11"/>
  <c r="G8634" i="11"/>
  <c r="F8634" i="11"/>
  <c r="G8633" i="11"/>
  <c r="F8633" i="11"/>
  <c r="G8632" i="11"/>
  <c r="F8632" i="11"/>
  <c r="G8631" i="11"/>
  <c r="F8631" i="11"/>
  <c r="G8630" i="11"/>
  <c r="F8630" i="11"/>
  <c r="G8629" i="11"/>
  <c r="F8629" i="11"/>
  <c r="G8628" i="11"/>
  <c r="F8628" i="11"/>
  <c r="G8627" i="11"/>
  <c r="F8627" i="11"/>
  <c r="G8626" i="11"/>
  <c r="F8626" i="11"/>
  <c r="G8625" i="11"/>
  <c r="F8625" i="11"/>
  <c r="G8624" i="11"/>
  <c r="F8624" i="11"/>
  <c r="G8623" i="11"/>
  <c r="F8623" i="11"/>
  <c r="G8622" i="11"/>
  <c r="F8622" i="11"/>
  <c r="G8621" i="11"/>
  <c r="F8621" i="11"/>
  <c r="G8620" i="11"/>
  <c r="F8620" i="11"/>
  <c r="G8619" i="11"/>
  <c r="F8619" i="11"/>
  <c r="G8618" i="11"/>
  <c r="F8618" i="11"/>
  <c r="G8617" i="11"/>
  <c r="F8617" i="11"/>
  <c r="G8616" i="11"/>
  <c r="F8616" i="11"/>
  <c r="G8615" i="11"/>
  <c r="F8615" i="11"/>
  <c r="G8614" i="11"/>
  <c r="F8614" i="11"/>
  <c r="G8613" i="11"/>
  <c r="F8613" i="11"/>
  <c r="G8612" i="11"/>
  <c r="F8612" i="11"/>
  <c r="G8611" i="11"/>
  <c r="F8611" i="11"/>
  <c r="G8610" i="11"/>
  <c r="F8610" i="11"/>
  <c r="G8609" i="11"/>
  <c r="F8609" i="11"/>
  <c r="G8608" i="11"/>
  <c r="F8608" i="11"/>
  <c r="G8607" i="11"/>
  <c r="F8607" i="11"/>
  <c r="G8606" i="11"/>
  <c r="F8606" i="11"/>
  <c r="G8605" i="11"/>
  <c r="F8605" i="11"/>
  <c r="G8604" i="11"/>
  <c r="F8604" i="11"/>
  <c r="G8603" i="11"/>
  <c r="F8603" i="11"/>
  <c r="G8602" i="11"/>
  <c r="F8602" i="11"/>
  <c r="G8601" i="11"/>
  <c r="F8601" i="11"/>
  <c r="G8600" i="11"/>
  <c r="F8600" i="11"/>
  <c r="G8599" i="11"/>
  <c r="F8599" i="11"/>
  <c r="G8598" i="11"/>
  <c r="F8598" i="11"/>
  <c r="G8597" i="11"/>
  <c r="F8597" i="11"/>
  <c r="G8596" i="11"/>
  <c r="F8596" i="11"/>
  <c r="G8595" i="11"/>
  <c r="F8595" i="11"/>
  <c r="G8594" i="11"/>
  <c r="F8594" i="11"/>
  <c r="G8593" i="11"/>
  <c r="F8593" i="11"/>
  <c r="G8592" i="11"/>
  <c r="F8592" i="11"/>
  <c r="G8591" i="11"/>
  <c r="F8591" i="11"/>
  <c r="G8590" i="11"/>
  <c r="F8590" i="11"/>
  <c r="G8589" i="11"/>
  <c r="F8589" i="11"/>
  <c r="G8588" i="11"/>
  <c r="F8588" i="11"/>
  <c r="G8587" i="11"/>
  <c r="F8587" i="11"/>
  <c r="G8586" i="11"/>
  <c r="F8586" i="11"/>
  <c r="G8585" i="11"/>
  <c r="F8585" i="11"/>
  <c r="G8584" i="11"/>
  <c r="F8584" i="11"/>
  <c r="G8583" i="11"/>
  <c r="F8583" i="11"/>
  <c r="G8582" i="11"/>
  <c r="F8582" i="11"/>
  <c r="G8581" i="11"/>
  <c r="F8581" i="11"/>
  <c r="G8580" i="11"/>
  <c r="F8580" i="11"/>
  <c r="G8579" i="11"/>
  <c r="F8579" i="11"/>
  <c r="G8578" i="11"/>
  <c r="F8578" i="11"/>
  <c r="G8577" i="11"/>
  <c r="F8577" i="11"/>
  <c r="G8576" i="11"/>
  <c r="F8576" i="11"/>
  <c r="G8575" i="11"/>
  <c r="F8575" i="11"/>
  <c r="G8574" i="11"/>
  <c r="F8574" i="11"/>
  <c r="G8573" i="11"/>
  <c r="F8573" i="11"/>
  <c r="G8572" i="11"/>
  <c r="F8572" i="11"/>
  <c r="G8571" i="11"/>
  <c r="F8571" i="11"/>
  <c r="G8570" i="11"/>
  <c r="F8570" i="11"/>
  <c r="G8569" i="11"/>
  <c r="F8569" i="11"/>
  <c r="G8568" i="11"/>
  <c r="F8568" i="11"/>
  <c r="G8567" i="11"/>
  <c r="F8567" i="11"/>
  <c r="G8566" i="11"/>
  <c r="F8566" i="11"/>
  <c r="G8565" i="11"/>
  <c r="F8565" i="11"/>
  <c r="G8564" i="11"/>
  <c r="F8564" i="11"/>
  <c r="G8563" i="11"/>
  <c r="F8563" i="11"/>
  <c r="G8562" i="11"/>
  <c r="F8562" i="11"/>
  <c r="G8561" i="11"/>
  <c r="F8561" i="11"/>
  <c r="G8560" i="11"/>
  <c r="F8560" i="11"/>
  <c r="G8559" i="11"/>
  <c r="F8559" i="11"/>
  <c r="G8558" i="11"/>
  <c r="F8558" i="11"/>
  <c r="G8557" i="11"/>
  <c r="F8557" i="11"/>
  <c r="G8556" i="11"/>
  <c r="F8556" i="11"/>
  <c r="G8555" i="11"/>
  <c r="F8555" i="11"/>
  <c r="G8554" i="11"/>
  <c r="F8554" i="11"/>
  <c r="G8553" i="11"/>
  <c r="F8553" i="11"/>
  <c r="G8552" i="11"/>
  <c r="F8552" i="11"/>
  <c r="G8551" i="11"/>
  <c r="F8551" i="11"/>
  <c r="G8550" i="11"/>
  <c r="F8550" i="11"/>
  <c r="G8549" i="11"/>
  <c r="F8549" i="11"/>
  <c r="G8548" i="11"/>
  <c r="F8548" i="11"/>
  <c r="G8547" i="11"/>
  <c r="F8547" i="11"/>
  <c r="G8546" i="11"/>
  <c r="F8546" i="11"/>
  <c r="G8545" i="11"/>
  <c r="F8545" i="11"/>
  <c r="G8544" i="11"/>
  <c r="F8544" i="11"/>
  <c r="G8543" i="11"/>
  <c r="F8543" i="11"/>
  <c r="G8542" i="11"/>
  <c r="F8542" i="11"/>
  <c r="G8541" i="11"/>
  <c r="F8541" i="11"/>
  <c r="G8540" i="11"/>
  <c r="F8540" i="11"/>
  <c r="G8539" i="11"/>
  <c r="F8539" i="11"/>
  <c r="G8538" i="11"/>
  <c r="F8538" i="11"/>
  <c r="G8537" i="11"/>
  <c r="F8537" i="11"/>
  <c r="G8536" i="11"/>
  <c r="F8536" i="11"/>
  <c r="G8535" i="11"/>
  <c r="F8535" i="11"/>
  <c r="G8534" i="11"/>
  <c r="F8534" i="11"/>
  <c r="G8533" i="11"/>
  <c r="F8533" i="11"/>
  <c r="G8532" i="11"/>
  <c r="F8532" i="11"/>
  <c r="G8531" i="11"/>
  <c r="F8531" i="11"/>
  <c r="G8530" i="11"/>
  <c r="F8530" i="11"/>
  <c r="G8529" i="11"/>
  <c r="F8529" i="11"/>
  <c r="G8528" i="11"/>
  <c r="F8528" i="11"/>
  <c r="G8527" i="11"/>
  <c r="F8527" i="11"/>
  <c r="G8526" i="11"/>
  <c r="F8526" i="11"/>
  <c r="G8525" i="11"/>
  <c r="F8525" i="11"/>
  <c r="G8524" i="11"/>
  <c r="F8524" i="11"/>
  <c r="G8523" i="11"/>
  <c r="F8523" i="11"/>
  <c r="G8522" i="11"/>
  <c r="F8522" i="11"/>
  <c r="G8521" i="11"/>
  <c r="F8521" i="11"/>
  <c r="G8520" i="11"/>
  <c r="F8520" i="11"/>
  <c r="G8519" i="11"/>
  <c r="F8519" i="11"/>
  <c r="G8518" i="11"/>
  <c r="F8518" i="11"/>
  <c r="G8517" i="11"/>
  <c r="F8517" i="11"/>
  <c r="G8516" i="11"/>
  <c r="F8516" i="11"/>
  <c r="G8515" i="11"/>
  <c r="F8515" i="11"/>
  <c r="G8514" i="11"/>
  <c r="F8514" i="11"/>
  <c r="G8513" i="11"/>
  <c r="F8513" i="11"/>
  <c r="G8512" i="11"/>
  <c r="F8512" i="11"/>
  <c r="G8511" i="11"/>
  <c r="F8511" i="11"/>
  <c r="G8510" i="11"/>
  <c r="F8510" i="11"/>
  <c r="G8509" i="11"/>
  <c r="F8509" i="11"/>
  <c r="G8508" i="11"/>
  <c r="F8508" i="11"/>
  <c r="G8507" i="11"/>
  <c r="F8507" i="11"/>
  <c r="G8506" i="11"/>
  <c r="F8506" i="11"/>
  <c r="G8505" i="11"/>
  <c r="F8505" i="11"/>
  <c r="G8504" i="11"/>
  <c r="F8504" i="11"/>
  <c r="G8503" i="11"/>
  <c r="F8503" i="11"/>
  <c r="G8502" i="11"/>
  <c r="F8502" i="11"/>
  <c r="G8501" i="11"/>
  <c r="F8501" i="11"/>
  <c r="G8500" i="11"/>
  <c r="F8500" i="11"/>
  <c r="G8499" i="11"/>
  <c r="F8499" i="11"/>
  <c r="G8498" i="11"/>
  <c r="F8498" i="11"/>
  <c r="G8497" i="11"/>
  <c r="F8497" i="11"/>
  <c r="G8496" i="11"/>
  <c r="F8496" i="11"/>
  <c r="G8495" i="11"/>
  <c r="F8495" i="11"/>
  <c r="G8494" i="11"/>
  <c r="F8494" i="11"/>
  <c r="G8493" i="11"/>
  <c r="F8493" i="11"/>
  <c r="G8492" i="11"/>
  <c r="F8492" i="11"/>
  <c r="G8491" i="11"/>
  <c r="F8491" i="11"/>
  <c r="G8490" i="11"/>
  <c r="F8490" i="11"/>
  <c r="G8489" i="11"/>
  <c r="F8489" i="11"/>
  <c r="G8488" i="11"/>
  <c r="F8488" i="11"/>
  <c r="G8487" i="11"/>
  <c r="F8487" i="11"/>
  <c r="G8486" i="11"/>
  <c r="F8486" i="11"/>
  <c r="G8485" i="11"/>
  <c r="F8485" i="11"/>
  <c r="G8484" i="11"/>
  <c r="F8484" i="11"/>
  <c r="G8483" i="11"/>
  <c r="F8483" i="11"/>
  <c r="G8482" i="11"/>
  <c r="F8482" i="11"/>
  <c r="G8481" i="11"/>
  <c r="F8481" i="11"/>
  <c r="G8480" i="11"/>
  <c r="F8480" i="11"/>
  <c r="G8479" i="11"/>
  <c r="F8479" i="11"/>
  <c r="G8478" i="11"/>
  <c r="F8478" i="11"/>
  <c r="G8477" i="11"/>
  <c r="F8477" i="11"/>
  <c r="G8476" i="11"/>
  <c r="F8476" i="11"/>
  <c r="G8475" i="11"/>
  <c r="F8475" i="11"/>
  <c r="G8474" i="11"/>
  <c r="F8474" i="11"/>
  <c r="G8473" i="11"/>
  <c r="F8473" i="11"/>
  <c r="G8472" i="11"/>
  <c r="F8472" i="11"/>
  <c r="G8471" i="11"/>
  <c r="F8471" i="11"/>
  <c r="G8470" i="11"/>
  <c r="F8470" i="11"/>
  <c r="G8469" i="11"/>
  <c r="F8469" i="11"/>
  <c r="G8468" i="11"/>
  <c r="F8468" i="11"/>
  <c r="G8467" i="11"/>
  <c r="F8467" i="11"/>
  <c r="G8466" i="11"/>
  <c r="F8466" i="11"/>
  <c r="G8465" i="11"/>
  <c r="F8465" i="11"/>
  <c r="G8464" i="11"/>
  <c r="F8464" i="11"/>
  <c r="G8463" i="11"/>
  <c r="F8463" i="11"/>
  <c r="G8462" i="11"/>
  <c r="F8462" i="11"/>
  <c r="G8461" i="11"/>
  <c r="F8461" i="11"/>
  <c r="G8460" i="11"/>
  <c r="F8460" i="11"/>
  <c r="G8459" i="11"/>
  <c r="F8459" i="11"/>
  <c r="G8458" i="11"/>
  <c r="F8458" i="11"/>
  <c r="G8457" i="11"/>
  <c r="F8457" i="11"/>
  <c r="G8456" i="11"/>
  <c r="F8456" i="11"/>
  <c r="G8455" i="11"/>
  <c r="F8455" i="11"/>
  <c r="G8454" i="11"/>
  <c r="F8454" i="11"/>
  <c r="G8453" i="11"/>
  <c r="F8453" i="11"/>
  <c r="G8452" i="11"/>
  <c r="F8452" i="11"/>
  <c r="G8451" i="11"/>
  <c r="F8451" i="11"/>
  <c r="G8450" i="11"/>
  <c r="F8450" i="11"/>
  <c r="G8449" i="11"/>
  <c r="F8449" i="11"/>
  <c r="G8448" i="11"/>
  <c r="F8448" i="11"/>
  <c r="G8447" i="11"/>
  <c r="F8447" i="11"/>
  <c r="G8446" i="11"/>
  <c r="F8446" i="11"/>
  <c r="G8445" i="11"/>
  <c r="F8445" i="11"/>
  <c r="G8444" i="11"/>
  <c r="F8444" i="11"/>
  <c r="G8443" i="11"/>
  <c r="F8443" i="11"/>
  <c r="G8442" i="11"/>
  <c r="F8442" i="11"/>
  <c r="G8441" i="11"/>
  <c r="F8441" i="11"/>
  <c r="G8440" i="11"/>
  <c r="F8440" i="11"/>
  <c r="G8439" i="11"/>
  <c r="F8439" i="11"/>
  <c r="G8438" i="11"/>
  <c r="F8438" i="11"/>
  <c r="G8437" i="11"/>
  <c r="F8437" i="11"/>
  <c r="G8436" i="11"/>
  <c r="F8436" i="11"/>
  <c r="G8435" i="11"/>
  <c r="F8435" i="11"/>
  <c r="G8434" i="11"/>
  <c r="F8434" i="11"/>
  <c r="G8433" i="11"/>
  <c r="F8433" i="11"/>
  <c r="G8432" i="11"/>
  <c r="F8432" i="11"/>
  <c r="G8431" i="11"/>
  <c r="F8431" i="11"/>
  <c r="G8430" i="11"/>
  <c r="F8430" i="11"/>
  <c r="G8429" i="11"/>
  <c r="F8429" i="11"/>
  <c r="G8428" i="11"/>
  <c r="F8428" i="11"/>
  <c r="G8427" i="11"/>
  <c r="F8427" i="11"/>
  <c r="G8426" i="11"/>
  <c r="F8426" i="11"/>
  <c r="G8425" i="11"/>
  <c r="F8425" i="11"/>
  <c r="G8424" i="11"/>
  <c r="F8424" i="11"/>
  <c r="G8423" i="11"/>
  <c r="F8423" i="11"/>
  <c r="G8422" i="11"/>
  <c r="F8422" i="11"/>
  <c r="G8421" i="11"/>
  <c r="F8421" i="11"/>
  <c r="G8420" i="11"/>
  <c r="F8420" i="11"/>
  <c r="G8419" i="11"/>
  <c r="F8419" i="11"/>
  <c r="G8418" i="11"/>
  <c r="F8418" i="11"/>
  <c r="G8417" i="11"/>
  <c r="F8417" i="11"/>
  <c r="G8416" i="11"/>
  <c r="F8416" i="11"/>
  <c r="G8415" i="11"/>
  <c r="F8415" i="11"/>
  <c r="G8414" i="11"/>
  <c r="F8414" i="11"/>
  <c r="G8413" i="11"/>
  <c r="F8413" i="11"/>
  <c r="G8412" i="11"/>
  <c r="F8412" i="11"/>
  <c r="G8411" i="11"/>
  <c r="F8411" i="11"/>
  <c r="G8410" i="11"/>
  <c r="F8410" i="11"/>
  <c r="G8409" i="11"/>
  <c r="F8409" i="11"/>
  <c r="G8408" i="11"/>
  <c r="F8408" i="11"/>
  <c r="G8407" i="11"/>
  <c r="F8407" i="11"/>
  <c r="G8406" i="11"/>
  <c r="F8406" i="11"/>
  <c r="G8405" i="11"/>
  <c r="F8405" i="11"/>
  <c r="G8404" i="11"/>
  <c r="F8404" i="11"/>
  <c r="G8403" i="11"/>
  <c r="F8403" i="11"/>
  <c r="G8402" i="11"/>
  <c r="F8402" i="11"/>
  <c r="G8401" i="11"/>
  <c r="F8401" i="11"/>
  <c r="G8400" i="11"/>
  <c r="F8400" i="11"/>
  <c r="G8399" i="11"/>
  <c r="F8399" i="11"/>
  <c r="G8398" i="11"/>
  <c r="F8398" i="11"/>
  <c r="G8397" i="11"/>
  <c r="F8397" i="11"/>
  <c r="G8396" i="11"/>
  <c r="F8396" i="11"/>
  <c r="G8395" i="11"/>
  <c r="F8395" i="11"/>
  <c r="G8394" i="11"/>
  <c r="F8394" i="11"/>
  <c r="G8393" i="11"/>
  <c r="F8393" i="11"/>
  <c r="G8392" i="11"/>
  <c r="F8392" i="11"/>
  <c r="G8391" i="11"/>
  <c r="F8391" i="11"/>
  <c r="G8390" i="11"/>
  <c r="F8390" i="11"/>
  <c r="G8389" i="11"/>
  <c r="F8389" i="11"/>
  <c r="G8388" i="11"/>
  <c r="F8388" i="11"/>
  <c r="G8387" i="11"/>
  <c r="F8387" i="11"/>
  <c r="G8386" i="11"/>
  <c r="F8386" i="11"/>
  <c r="G8385" i="11"/>
  <c r="F8385" i="11"/>
  <c r="G8384" i="11"/>
  <c r="F8384" i="11"/>
  <c r="G8383" i="11"/>
  <c r="F8383" i="11"/>
  <c r="G8382" i="11"/>
  <c r="F8382" i="11"/>
  <c r="G8381" i="11"/>
  <c r="F8381" i="11"/>
  <c r="G8380" i="11"/>
  <c r="F8380" i="11"/>
  <c r="G8379" i="11"/>
  <c r="F8379" i="11"/>
  <c r="G8378" i="11"/>
  <c r="F8378" i="11"/>
  <c r="G8377" i="11"/>
  <c r="F8377" i="11"/>
  <c r="G8376" i="11"/>
  <c r="F8376" i="11"/>
  <c r="G8375" i="11"/>
  <c r="F8375" i="11"/>
  <c r="G8374" i="11"/>
  <c r="F8374" i="11"/>
  <c r="G8373" i="11"/>
  <c r="F8373" i="11"/>
  <c r="G8372" i="11"/>
  <c r="F8372" i="11"/>
  <c r="G8371" i="11"/>
  <c r="F8371" i="11"/>
  <c r="G8370" i="11"/>
  <c r="F8370" i="11"/>
  <c r="G8369" i="11"/>
  <c r="F8369" i="11"/>
  <c r="G8368" i="11"/>
  <c r="F8368" i="11"/>
  <c r="G8367" i="11"/>
  <c r="F8367" i="11"/>
  <c r="G8366" i="11"/>
  <c r="F8366" i="11"/>
  <c r="G8365" i="11"/>
  <c r="F8365" i="11"/>
  <c r="G8364" i="11"/>
  <c r="F8364" i="11"/>
  <c r="G8363" i="11"/>
  <c r="F8363" i="11"/>
  <c r="G8362" i="11"/>
  <c r="F8362" i="11"/>
  <c r="G8361" i="11"/>
  <c r="F8361" i="11"/>
  <c r="G8360" i="11"/>
  <c r="F8360" i="11"/>
  <c r="G8359" i="11"/>
  <c r="F8359" i="11"/>
  <c r="G8358" i="11"/>
  <c r="F8358" i="11"/>
  <c r="G8357" i="11"/>
  <c r="F8357" i="11"/>
  <c r="G8356" i="11"/>
  <c r="F8356" i="11"/>
  <c r="G8355" i="11"/>
  <c r="F8355" i="11"/>
  <c r="G8354" i="11"/>
  <c r="F8354" i="11"/>
  <c r="G8353" i="11"/>
  <c r="F8353" i="11"/>
  <c r="G8352" i="11"/>
  <c r="F8352" i="11"/>
  <c r="G8351" i="11"/>
  <c r="F8351" i="11"/>
  <c r="G8350" i="11"/>
  <c r="F8350" i="11"/>
  <c r="G8349" i="11"/>
  <c r="F8349" i="11"/>
  <c r="G8348" i="11"/>
  <c r="F8348" i="11"/>
  <c r="G8347" i="11"/>
  <c r="F8347" i="11"/>
  <c r="G8346" i="11"/>
  <c r="F8346" i="11"/>
  <c r="G8345" i="11"/>
  <c r="F8345" i="11"/>
  <c r="G8344" i="11"/>
  <c r="F8344" i="11"/>
  <c r="G8343" i="11"/>
  <c r="F8343" i="11"/>
  <c r="G8342" i="11"/>
  <c r="F8342" i="11"/>
  <c r="G8341" i="11"/>
  <c r="F8341" i="11"/>
  <c r="G8340" i="11"/>
  <c r="F8340" i="11"/>
  <c r="G8339" i="11"/>
  <c r="F8339" i="11"/>
  <c r="G8338" i="11"/>
  <c r="F8338" i="11"/>
  <c r="G8337" i="11"/>
  <c r="F8337" i="11"/>
  <c r="G8336" i="11"/>
  <c r="F8336" i="11"/>
  <c r="G8335" i="11"/>
  <c r="F8335" i="11"/>
  <c r="G8334" i="11"/>
  <c r="F8334" i="11"/>
  <c r="G8333" i="11"/>
  <c r="F8333" i="11"/>
  <c r="G8332" i="11"/>
  <c r="F8332" i="11"/>
  <c r="G8331" i="11"/>
  <c r="F8331" i="11"/>
  <c r="G8330" i="11"/>
  <c r="F8330" i="11"/>
  <c r="G8329" i="11"/>
  <c r="F8329" i="11"/>
  <c r="G8328" i="11"/>
  <c r="F8328" i="11"/>
  <c r="G8327" i="11"/>
  <c r="F8327" i="11"/>
  <c r="G8326" i="11"/>
  <c r="F8326" i="11"/>
  <c r="G8325" i="11"/>
  <c r="F8325" i="11"/>
  <c r="G8324" i="11"/>
  <c r="F8324" i="11"/>
  <c r="G8323" i="11"/>
  <c r="F8323" i="11"/>
  <c r="G8322" i="11"/>
  <c r="F8322" i="11"/>
  <c r="G8321" i="11"/>
  <c r="F8321" i="11"/>
  <c r="G8320" i="11"/>
  <c r="F8320" i="11"/>
  <c r="G8319" i="11"/>
  <c r="F8319" i="11"/>
  <c r="G8318" i="11"/>
  <c r="F8318" i="11"/>
  <c r="G8317" i="11"/>
  <c r="F8317" i="11"/>
  <c r="G8316" i="11"/>
  <c r="F8316" i="11"/>
  <c r="G8315" i="11"/>
  <c r="F8315" i="11"/>
  <c r="G8314" i="11"/>
  <c r="F8314" i="11"/>
  <c r="G8313" i="11"/>
  <c r="F8313" i="11"/>
  <c r="G8312" i="11"/>
  <c r="F8312" i="11"/>
  <c r="G8311" i="11"/>
  <c r="F8311" i="11"/>
  <c r="G8310" i="11"/>
  <c r="F8310" i="11"/>
  <c r="G8309" i="11"/>
  <c r="F8309" i="11"/>
  <c r="G8308" i="11"/>
  <c r="F8308" i="11"/>
  <c r="G8307" i="11"/>
  <c r="F8307" i="11"/>
  <c r="G8306" i="11"/>
  <c r="F8306" i="11"/>
  <c r="G8305" i="11"/>
  <c r="F8305" i="11"/>
  <c r="G8304" i="11"/>
  <c r="F8304" i="11"/>
  <c r="G8303" i="11"/>
  <c r="F8303" i="11"/>
  <c r="G8302" i="11"/>
  <c r="F8302" i="11"/>
  <c r="G8301" i="11"/>
  <c r="F8301" i="11"/>
  <c r="G8300" i="11"/>
  <c r="F8300" i="11"/>
  <c r="G8299" i="11"/>
  <c r="F8299" i="11"/>
  <c r="G8298" i="11"/>
  <c r="F8298" i="11"/>
  <c r="G8297" i="11"/>
  <c r="F8297" i="11"/>
  <c r="G8296" i="11"/>
  <c r="F8296" i="11"/>
  <c r="G8295" i="11"/>
  <c r="F8295" i="11"/>
  <c r="G8294" i="11"/>
  <c r="F8294" i="11"/>
  <c r="G8293" i="11"/>
  <c r="F8293" i="11"/>
  <c r="G8292" i="11"/>
  <c r="F8292" i="11"/>
  <c r="G8291" i="11"/>
  <c r="F8291" i="11"/>
  <c r="G8290" i="11"/>
  <c r="F8290" i="11"/>
  <c r="G8289" i="11"/>
  <c r="F8289" i="11"/>
  <c r="G8288" i="11"/>
  <c r="F8288" i="11"/>
  <c r="G8287" i="11"/>
  <c r="F8287" i="11"/>
  <c r="G8286" i="11"/>
  <c r="F8286" i="11"/>
  <c r="G8285" i="11"/>
  <c r="F8285" i="11"/>
  <c r="G8284" i="11"/>
  <c r="F8284" i="11"/>
  <c r="G8283" i="11"/>
  <c r="F8283" i="11"/>
  <c r="G8282" i="11"/>
  <c r="F8282" i="11"/>
  <c r="G8281" i="11"/>
  <c r="F8281" i="11"/>
  <c r="G8280" i="11"/>
  <c r="F8280" i="11"/>
  <c r="G8279" i="11"/>
  <c r="F8279" i="11"/>
  <c r="G8278" i="11"/>
  <c r="F8278" i="11"/>
  <c r="G8277" i="11"/>
  <c r="F8277" i="11"/>
  <c r="G8276" i="11"/>
  <c r="F8276" i="11"/>
  <c r="G8275" i="11"/>
  <c r="F8275" i="11"/>
  <c r="G8274" i="11"/>
  <c r="F8274" i="11"/>
  <c r="G8273" i="11"/>
  <c r="F8273" i="11"/>
  <c r="G8272" i="11"/>
  <c r="F8272" i="11"/>
  <c r="G8271" i="11"/>
  <c r="F8271" i="11"/>
  <c r="G8270" i="11"/>
  <c r="F8270" i="11"/>
  <c r="G8269" i="11"/>
  <c r="F8269" i="11"/>
  <c r="G8268" i="11"/>
  <c r="F8268" i="11"/>
  <c r="G8267" i="11"/>
  <c r="F8267" i="11"/>
  <c r="G8266" i="11"/>
  <c r="F8266" i="11"/>
  <c r="G8265" i="11"/>
  <c r="F8265" i="11"/>
  <c r="G8264" i="11"/>
  <c r="F8264" i="11"/>
  <c r="G8263" i="11"/>
  <c r="F8263" i="11"/>
  <c r="G8262" i="11"/>
  <c r="F8262" i="11"/>
  <c r="G8261" i="11"/>
  <c r="F8261" i="11"/>
  <c r="G8260" i="11"/>
  <c r="F8260" i="11"/>
  <c r="G8259" i="11"/>
  <c r="F8259" i="11"/>
  <c r="G8258" i="11"/>
  <c r="F8258" i="11"/>
  <c r="G8257" i="11"/>
  <c r="F8257" i="11"/>
  <c r="G8256" i="11"/>
  <c r="F8256" i="11"/>
  <c r="G8255" i="11"/>
  <c r="F8255" i="11"/>
  <c r="G8254" i="11"/>
  <c r="F8254" i="11"/>
  <c r="G8253" i="11"/>
  <c r="F8253" i="11"/>
  <c r="G8252" i="11"/>
  <c r="F8252" i="11"/>
  <c r="G8251" i="11"/>
  <c r="F8251" i="11"/>
  <c r="G8250" i="11"/>
  <c r="F8250" i="11"/>
  <c r="G8249" i="11"/>
  <c r="F8249" i="11"/>
  <c r="G8248" i="11"/>
  <c r="F8248" i="11"/>
  <c r="G8247" i="11"/>
  <c r="F8247" i="11"/>
  <c r="G8246" i="11"/>
  <c r="F8246" i="11"/>
  <c r="G8245" i="11"/>
  <c r="F8245" i="11"/>
  <c r="G8244" i="11"/>
  <c r="F8244" i="11"/>
  <c r="G8243" i="11"/>
  <c r="F8243" i="11"/>
  <c r="G8242" i="11"/>
  <c r="F8242" i="11"/>
  <c r="G8241" i="11"/>
  <c r="F8241" i="11"/>
  <c r="G8240" i="11"/>
  <c r="F8240" i="11"/>
  <c r="G8239" i="11"/>
  <c r="F8239" i="11"/>
  <c r="G8238" i="11"/>
  <c r="F8238" i="11"/>
  <c r="G8237" i="11"/>
  <c r="F8237" i="11"/>
  <c r="G8236" i="11"/>
  <c r="F8236" i="11"/>
  <c r="G8235" i="11"/>
  <c r="F8235" i="11"/>
  <c r="G8234" i="11"/>
  <c r="F8234" i="11"/>
  <c r="G8233" i="11"/>
  <c r="F8233" i="11"/>
  <c r="G8232" i="11"/>
  <c r="F8232" i="11"/>
  <c r="G8231" i="11"/>
  <c r="F8231" i="11"/>
  <c r="G8230" i="11"/>
  <c r="F8230" i="11"/>
  <c r="G8229" i="11"/>
  <c r="F8229" i="11"/>
  <c r="G8228" i="11"/>
  <c r="F8228" i="11"/>
  <c r="G8227" i="11"/>
  <c r="F8227" i="11"/>
  <c r="G8226" i="11"/>
  <c r="F8226" i="11"/>
  <c r="G8225" i="11"/>
  <c r="F8225" i="11"/>
  <c r="G8224" i="11"/>
  <c r="F8224" i="11"/>
  <c r="G8223" i="11"/>
  <c r="F8223" i="11"/>
  <c r="G8222" i="11"/>
  <c r="F8222" i="11"/>
  <c r="G8221" i="11"/>
  <c r="F8221" i="11"/>
  <c r="G8220" i="11"/>
  <c r="F8220" i="11"/>
  <c r="G8219" i="11"/>
  <c r="F8219" i="11"/>
  <c r="G8218" i="11"/>
  <c r="F8218" i="11"/>
  <c r="G8217" i="11"/>
  <c r="F8217" i="11"/>
  <c r="G8216" i="11"/>
  <c r="F8216" i="11"/>
  <c r="G8215" i="11"/>
  <c r="F8215" i="11"/>
  <c r="G8214" i="11"/>
  <c r="F8214" i="11"/>
  <c r="G8213" i="11"/>
  <c r="F8213" i="11"/>
  <c r="G8212" i="11"/>
  <c r="F8212" i="11"/>
  <c r="G8211" i="11"/>
  <c r="F8211" i="11"/>
  <c r="G8210" i="11"/>
  <c r="F8210" i="11"/>
  <c r="G8209" i="11"/>
  <c r="F8209" i="11"/>
  <c r="G8208" i="11"/>
  <c r="F8208" i="11"/>
  <c r="G8207" i="11"/>
  <c r="F8207" i="11"/>
  <c r="G8206" i="11"/>
  <c r="F8206" i="11"/>
  <c r="G8205" i="11"/>
  <c r="F8205" i="11"/>
  <c r="G8204" i="11"/>
  <c r="F8204" i="11"/>
  <c r="G8203" i="11"/>
  <c r="F8203" i="11"/>
  <c r="G8202" i="11"/>
  <c r="F8202" i="11"/>
  <c r="G8201" i="11"/>
  <c r="F8201" i="11"/>
  <c r="G8200" i="11"/>
  <c r="F8200" i="11"/>
  <c r="G8199" i="11"/>
  <c r="F8199" i="11"/>
  <c r="G8198" i="11"/>
  <c r="F8198" i="11"/>
  <c r="G8197" i="11"/>
  <c r="F8197" i="11"/>
  <c r="G8196" i="11"/>
  <c r="F8196" i="11"/>
  <c r="G8195" i="11"/>
  <c r="F8195" i="11"/>
  <c r="G8194" i="11"/>
  <c r="F8194" i="11"/>
  <c r="G8193" i="11"/>
  <c r="F8193" i="11"/>
  <c r="G8192" i="11"/>
  <c r="F8192" i="11"/>
  <c r="G8191" i="11"/>
  <c r="F8191" i="11"/>
  <c r="G8190" i="11"/>
  <c r="F8190" i="11"/>
  <c r="G8189" i="11"/>
  <c r="F8189" i="11"/>
  <c r="G8188" i="11"/>
  <c r="F8188" i="11"/>
  <c r="G8187" i="11"/>
  <c r="F8187" i="11"/>
  <c r="G8186" i="11"/>
  <c r="F8186" i="11"/>
  <c r="G8185" i="11"/>
  <c r="F8185" i="11"/>
  <c r="G8184" i="11"/>
  <c r="F8184" i="11"/>
  <c r="G8183" i="11"/>
  <c r="F8183" i="11"/>
  <c r="G8182" i="11"/>
  <c r="F8182" i="11"/>
  <c r="G8181" i="11"/>
  <c r="F8181" i="11"/>
  <c r="G8180" i="11"/>
  <c r="F8180" i="11"/>
  <c r="G8179" i="11"/>
  <c r="F8179" i="11"/>
  <c r="G8178" i="11"/>
  <c r="F8178" i="11"/>
  <c r="G8177" i="11"/>
  <c r="F8177" i="11"/>
  <c r="G8176" i="11"/>
  <c r="F8176" i="11"/>
  <c r="G8175" i="11"/>
  <c r="F8175" i="11"/>
  <c r="G8174" i="11"/>
  <c r="F8174" i="11"/>
  <c r="G8173" i="11"/>
  <c r="F8173" i="11"/>
  <c r="G8172" i="11"/>
  <c r="F8172" i="11"/>
  <c r="G8171" i="11"/>
  <c r="F8171" i="11"/>
  <c r="G8170" i="11"/>
  <c r="F8170" i="11"/>
  <c r="G8169" i="11"/>
  <c r="F8169" i="11"/>
  <c r="G8168" i="11"/>
  <c r="F8168" i="11"/>
  <c r="G8167" i="11"/>
  <c r="F8167" i="11"/>
  <c r="G8166" i="11"/>
  <c r="F8166" i="11"/>
  <c r="G8165" i="11"/>
  <c r="F8165" i="11"/>
  <c r="G8164" i="11"/>
  <c r="F8164" i="11"/>
  <c r="G8163" i="11"/>
  <c r="F8163" i="11"/>
  <c r="G8162" i="11"/>
  <c r="F8162" i="11"/>
  <c r="G8161" i="11"/>
  <c r="F8161" i="11"/>
  <c r="G8160" i="11"/>
  <c r="F8160" i="11"/>
  <c r="G8159" i="11"/>
  <c r="F8159" i="11"/>
  <c r="G8158" i="11"/>
  <c r="F8158" i="11"/>
  <c r="G8157" i="11"/>
  <c r="F8157" i="11"/>
  <c r="G8156" i="11"/>
  <c r="F8156" i="11"/>
  <c r="G8155" i="11"/>
  <c r="F8155" i="11"/>
  <c r="G8154" i="11"/>
  <c r="F8154" i="11"/>
  <c r="G8153" i="11"/>
  <c r="F8153" i="11"/>
  <c r="G8152" i="11"/>
  <c r="F8152" i="11"/>
  <c r="G8151" i="11"/>
  <c r="F8151" i="11"/>
  <c r="G8150" i="11"/>
  <c r="F8150" i="11"/>
  <c r="G8149" i="11"/>
  <c r="F8149" i="11"/>
  <c r="G8148" i="11"/>
  <c r="F8148" i="11"/>
  <c r="G8147" i="11"/>
  <c r="F8147" i="11"/>
  <c r="G8146" i="11"/>
  <c r="F8146" i="11"/>
  <c r="G8145" i="11"/>
  <c r="F8145" i="11"/>
  <c r="G8144" i="11"/>
  <c r="F8144" i="11"/>
  <c r="G8143" i="11"/>
  <c r="F8143" i="11"/>
  <c r="G8142" i="11"/>
  <c r="F8142" i="11"/>
  <c r="G8141" i="11"/>
  <c r="F8141" i="11"/>
  <c r="G8140" i="11"/>
  <c r="F8140" i="11"/>
  <c r="G8139" i="11"/>
  <c r="F8139" i="11"/>
  <c r="G8138" i="11"/>
  <c r="F8138" i="11"/>
  <c r="G8137" i="11"/>
  <c r="F8137" i="11"/>
  <c r="G8136" i="11"/>
  <c r="F8136" i="11"/>
  <c r="G8135" i="11"/>
  <c r="F8135" i="11"/>
  <c r="G8134" i="11"/>
  <c r="F8134" i="11"/>
  <c r="G8133" i="11"/>
  <c r="F8133" i="11"/>
  <c r="G8132" i="11"/>
  <c r="F8132" i="11"/>
  <c r="G8131" i="11"/>
  <c r="F8131" i="11"/>
  <c r="G8130" i="11"/>
  <c r="F8130" i="11"/>
  <c r="G8129" i="11"/>
  <c r="F8129" i="11"/>
  <c r="G8128" i="11"/>
  <c r="F8128" i="11"/>
  <c r="G8127" i="11"/>
  <c r="F8127" i="11"/>
  <c r="G8126" i="11"/>
  <c r="F8126" i="11"/>
  <c r="G8125" i="11"/>
  <c r="F8125" i="11"/>
  <c r="G8124" i="11"/>
  <c r="F8124" i="11"/>
  <c r="G8123" i="11"/>
  <c r="F8123" i="11"/>
  <c r="G8122" i="11"/>
  <c r="F8122" i="11"/>
  <c r="G8121" i="11"/>
  <c r="F8121" i="11"/>
  <c r="G8120" i="11"/>
  <c r="F8120" i="11"/>
  <c r="G8119" i="11"/>
  <c r="F8119" i="11"/>
  <c r="G8118" i="11"/>
  <c r="F8118" i="11"/>
  <c r="G8117" i="11"/>
  <c r="F8117" i="11"/>
  <c r="G8116" i="11"/>
  <c r="F8116" i="11"/>
  <c r="G8115" i="11"/>
  <c r="F8115" i="11"/>
  <c r="G8114" i="11"/>
  <c r="F8114" i="11"/>
  <c r="G8113" i="11"/>
  <c r="F8113" i="11"/>
  <c r="G8112" i="11"/>
  <c r="F8112" i="11"/>
  <c r="G8111" i="11"/>
  <c r="F8111" i="11"/>
  <c r="G8110" i="11"/>
  <c r="F8110" i="11"/>
  <c r="G8109" i="11"/>
  <c r="F8109" i="11"/>
  <c r="G8108" i="11"/>
  <c r="F8108" i="11"/>
  <c r="G8107" i="11"/>
  <c r="F8107" i="11"/>
  <c r="G8106" i="11"/>
  <c r="F8106" i="11"/>
  <c r="G8105" i="11"/>
  <c r="F8105" i="11"/>
  <c r="G8104" i="11"/>
  <c r="F8104" i="11"/>
  <c r="G8103" i="11"/>
  <c r="F8103" i="11"/>
  <c r="G8102" i="11"/>
  <c r="F8102" i="11"/>
  <c r="G8101" i="11"/>
  <c r="F8101" i="11"/>
  <c r="G8100" i="11"/>
  <c r="F8100" i="11"/>
  <c r="G8099" i="11"/>
  <c r="F8099" i="11"/>
  <c r="G8098" i="11"/>
  <c r="F8098" i="11"/>
  <c r="G8097" i="11"/>
  <c r="F8097" i="11"/>
  <c r="G8096" i="11"/>
  <c r="F8096" i="11"/>
  <c r="G8095" i="11"/>
  <c r="F8095" i="11"/>
  <c r="G8094" i="11"/>
  <c r="F8094" i="11"/>
  <c r="G8093" i="11"/>
  <c r="F8093" i="11"/>
  <c r="G8092" i="11"/>
  <c r="F8092" i="11"/>
  <c r="G8091" i="11"/>
  <c r="F8091" i="11"/>
  <c r="G8090" i="11"/>
  <c r="F8090" i="11"/>
  <c r="G8089" i="11"/>
  <c r="F8089" i="11"/>
  <c r="G8088" i="11"/>
  <c r="F8088" i="11"/>
  <c r="G8087" i="11"/>
  <c r="F8087" i="11"/>
  <c r="G8086" i="11"/>
  <c r="F8086" i="11"/>
  <c r="G8085" i="11"/>
  <c r="F8085" i="11"/>
  <c r="G8084" i="11"/>
  <c r="F8084" i="11"/>
  <c r="G8083" i="11"/>
  <c r="F8083" i="11"/>
  <c r="G8082" i="11"/>
  <c r="F8082" i="11"/>
  <c r="G8081" i="11"/>
  <c r="F8081" i="11"/>
  <c r="G8080" i="11"/>
  <c r="F8080" i="11"/>
  <c r="G8079" i="11"/>
  <c r="F8079" i="11"/>
  <c r="G8078" i="11"/>
  <c r="F8078" i="11"/>
  <c r="G8077" i="11"/>
  <c r="F8077" i="11"/>
  <c r="G8076" i="11"/>
  <c r="F8076" i="11"/>
  <c r="G8075" i="11"/>
  <c r="F8075" i="11"/>
  <c r="G8074" i="11"/>
  <c r="F8074" i="11"/>
  <c r="G8073" i="11"/>
  <c r="F8073" i="11"/>
  <c r="G8072" i="11"/>
  <c r="F8072" i="11"/>
  <c r="G8071" i="11"/>
  <c r="F8071" i="11"/>
  <c r="G8070" i="11"/>
  <c r="F8070" i="11"/>
  <c r="G8069" i="11"/>
  <c r="F8069" i="11"/>
  <c r="G8068" i="11"/>
  <c r="F8068" i="11"/>
  <c r="G8067" i="11"/>
  <c r="F8067" i="11"/>
  <c r="G8066" i="11"/>
  <c r="F8066" i="11"/>
  <c r="G8065" i="11"/>
  <c r="F8065" i="11"/>
  <c r="G8064" i="11"/>
  <c r="F8064" i="11"/>
  <c r="G8063" i="11"/>
  <c r="F8063" i="11"/>
  <c r="G8062" i="11"/>
  <c r="F8062" i="11"/>
  <c r="G8061" i="11"/>
  <c r="F8061" i="11"/>
  <c r="G8060" i="11"/>
  <c r="F8060" i="11"/>
  <c r="G8059" i="11"/>
  <c r="F8059" i="11"/>
  <c r="G8058" i="11"/>
  <c r="F8058" i="11"/>
  <c r="G8057" i="11"/>
  <c r="F8057" i="11"/>
  <c r="G8056" i="11"/>
  <c r="F8056" i="11"/>
  <c r="G8055" i="11"/>
  <c r="F8055" i="11"/>
  <c r="G8054" i="11"/>
  <c r="F8054" i="11"/>
  <c r="G8053" i="11"/>
  <c r="F8053" i="11"/>
  <c r="G8052" i="11"/>
  <c r="F8052" i="11"/>
  <c r="G8051" i="11"/>
  <c r="F8051" i="11"/>
  <c r="G8050" i="11"/>
  <c r="F8050" i="11"/>
  <c r="G8049" i="11"/>
  <c r="F8049" i="11"/>
  <c r="G8048" i="11"/>
  <c r="F8048" i="11"/>
  <c r="G8047" i="11"/>
  <c r="F8047" i="11"/>
  <c r="G8046" i="11"/>
  <c r="F8046" i="11"/>
  <c r="G8045" i="11"/>
  <c r="F8045" i="11"/>
  <c r="G8044" i="11"/>
  <c r="F8044" i="11"/>
  <c r="G8043" i="11"/>
  <c r="F8043" i="11"/>
  <c r="G8042" i="11"/>
  <c r="F8042" i="11"/>
  <c r="G8041" i="11"/>
  <c r="F8041" i="11"/>
  <c r="G8040" i="11"/>
  <c r="F8040" i="11"/>
  <c r="G8039" i="11"/>
  <c r="F8039" i="11"/>
  <c r="G8038" i="11"/>
  <c r="F8038" i="11"/>
  <c r="G8037" i="11"/>
  <c r="F8037" i="11"/>
  <c r="G8036" i="11"/>
  <c r="F8036" i="11"/>
  <c r="G8035" i="11"/>
  <c r="F8035" i="11"/>
  <c r="G8034" i="11"/>
  <c r="F8034" i="11"/>
  <c r="G8033" i="11"/>
  <c r="F8033" i="11"/>
  <c r="G8032" i="11"/>
  <c r="F8032" i="11"/>
  <c r="G8031" i="11"/>
  <c r="F8031" i="11"/>
  <c r="G8030" i="11"/>
  <c r="F8030" i="11"/>
  <c r="G8029" i="11"/>
  <c r="F8029" i="11"/>
  <c r="G8028" i="11"/>
  <c r="F8028" i="11"/>
  <c r="G8027" i="11"/>
  <c r="F8027" i="11"/>
  <c r="G8026" i="11"/>
  <c r="F8026" i="11"/>
  <c r="G8025" i="11"/>
  <c r="F8025" i="11"/>
  <c r="G8024" i="11"/>
  <c r="F8024" i="11"/>
  <c r="G8023" i="11"/>
  <c r="F8023" i="11"/>
  <c r="G8022" i="11"/>
  <c r="F8022" i="11"/>
  <c r="G8021" i="11"/>
  <c r="F8021" i="11"/>
  <c r="G8020" i="11"/>
  <c r="F8020" i="11"/>
  <c r="G8019" i="11"/>
  <c r="F8019" i="11"/>
  <c r="G8018" i="11"/>
  <c r="F8018" i="11"/>
  <c r="G8017" i="11"/>
  <c r="F8017" i="11"/>
  <c r="G8016" i="11"/>
  <c r="F8016" i="11"/>
  <c r="G8015" i="11"/>
  <c r="F8015" i="11"/>
  <c r="G8014" i="11"/>
  <c r="F8014" i="11"/>
  <c r="G8013" i="11"/>
  <c r="F8013" i="11"/>
  <c r="G8012" i="11"/>
  <c r="F8012" i="11"/>
  <c r="G8011" i="11"/>
  <c r="F8011" i="11"/>
  <c r="G8010" i="11"/>
  <c r="F8010" i="11"/>
  <c r="G8009" i="11"/>
  <c r="F8009" i="11"/>
  <c r="G8008" i="11"/>
  <c r="F8008" i="11"/>
  <c r="G8007" i="11"/>
  <c r="F8007" i="11"/>
  <c r="G8006" i="11"/>
  <c r="F8006" i="11"/>
  <c r="G8005" i="11"/>
  <c r="F8005" i="11"/>
  <c r="G8004" i="11"/>
  <c r="F8004" i="11"/>
  <c r="G8003" i="11"/>
  <c r="F8003" i="11"/>
  <c r="G8002" i="11"/>
  <c r="F8002" i="11"/>
  <c r="G8001" i="11"/>
  <c r="F8001" i="11"/>
  <c r="G8000" i="11"/>
  <c r="F8000" i="11"/>
  <c r="G7999" i="11"/>
  <c r="F7999" i="11"/>
  <c r="G7998" i="11"/>
  <c r="F7998" i="11"/>
  <c r="G7997" i="11"/>
  <c r="F7997" i="11"/>
  <c r="G7996" i="11"/>
  <c r="F7996" i="11"/>
  <c r="G7995" i="11"/>
  <c r="F7995" i="11"/>
  <c r="G7994" i="11"/>
  <c r="F7994" i="11"/>
  <c r="G7993" i="11"/>
  <c r="F7993" i="11"/>
  <c r="G7992" i="11"/>
  <c r="F7992" i="11"/>
  <c r="G7991" i="11"/>
  <c r="F7991" i="11"/>
  <c r="G7990" i="11"/>
  <c r="F7990" i="11"/>
  <c r="G7989" i="11"/>
  <c r="F7989" i="11"/>
  <c r="G7988" i="11"/>
  <c r="F7988" i="11"/>
  <c r="G7987" i="11"/>
  <c r="F7987" i="11"/>
  <c r="G7986" i="11"/>
  <c r="F7986" i="11"/>
  <c r="G7985" i="11"/>
  <c r="F7985" i="11"/>
  <c r="G7984" i="11"/>
  <c r="F7984" i="11"/>
  <c r="G7983" i="11"/>
  <c r="F7983" i="11"/>
  <c r="G7982" i="11"/>
  <c r="F7982" i="11"/>
  <c r="G7981" i="11"/>
  <c r="F7981" i="11"/>
  <c r="G7980" i="11"/>
  <c r="F7980" i="11"/>
  <c r="G7979" i="11"/>
  <c r="F7979" i="11"/>
  <c r="G7978" i="11"/>
  <c r="F7978" i="11"/>
  <c r="G7977" i="11"/>
  <c r="F7977" i="11"/>
  <c r="G7976" i="11"/>
  <c r="F7976" i="11"/>
  <c r="G7975" i="11"/>
  <c r="F7975" i="11"/>
  <c r="G7974" i="11"/>
  <c r="F7974" i="11"/>
  <c r="G7973" i="11"/>
  <c r="F7973" i="11"/>
  <c r="G7972" i="11"/>
  <c r="F7972" i="11"/>
  <c r="G7971" i="11"/>
  <c r="F7971" i="11"/>
  <c r="G7970" i="11"/>
  <c r="F7970" i="11"/>
  <c r="G7969" i="11"/>
  <c r="F7969" i="11"/>
  <c r="G7968" i="11"/>
  <c r="F7968" i="11"/>
  <c r="G7967" i="11"/>
  <c r="F7967" i="11"/>
  <c r="G7966" i="11"/>
  <c r="F7966" i="11"/>
  <c r="G7965" i="11"/>
  <c r="F7965" i="11"/>
  <c r="G7964" i="11"/>
  <c r="F7964" i="11"/>
  <c r="G7963" i="11"/>
  <c r="F7963" i="11"/>
  <c r="G7962" i="11"/>
  <c r="F7962" i="11"/>
  <c r="G7961" i="11"/>
  <c r="F7961" i="11"/>
  <c r="G7960" i="11"/>
  <c r="F7960" i="11"/>
  <c r="G7959" i="11"/>
  <c r="F7959" i="11"/>
  <c r="G7958" i="11"/>
  <c r="F7958" i="11"/>
  <c r="G7957" i="11"/>
  <c r="F7957" i="11"/>
  <c r="G7956" i="11"/>
  <c r="F7956" i="11"/>
  <c r="G7955" i="11"/>
  <c r="F7955" i="11"/>
  <c r="G7954" i="11"/>
  <c r="F7954" i="11"/>
  <c r="G7953" i="11"/>
  <c r="F7953" i="11"/>
  <c r="G7952" i="11"/>
  <c r="F7952" i="11"/>
  <c r="G7951" i="11"/>
  <c r="F7951" i="11"/>
  <c r="G7950" i="11"/>
  <c r="F7950" i="11"/>
  <c r="G7949" i="11"/>
  <c r="F7949" i="11"/>
  <c r="G7948" i="11"/>
  <c r="F7948" i="11"/>
  <c r="G7947" i="11"/>
  <c r="F7947" i="11"/>
  <c r="G7946" i="11"/>
  <c r="F7946" i="11"/>
  <c r="G7945" i="11"/>
  <c r="F7945" i="11"/>
  <c r="G7944" i="11"/>
  <c r="F7944" i="11"/>
  <c r="G7943" i="11"/>
  <c r="F7943" i="11"/>
  <c r="G7942" i="11"/>
  <c r="F7942" i="11"/>
  <c r="G7941" i="11"/>
  <c r="F7941" i="11"/>
  <c r="G7940" i="11"/>
  <c r="F7940" i="11"/>
  <c r="G7939" i="11"/>
  <c r="F7939" i="11"/>
  <c r="G7938" i="11"/>
  <c r="F7938" i="11"/>
  <c r="G7937" i="11"/>
  <c r="F7937" i="11"/>
  <c r="G7936" i="11"/>
  <c r="F7936" i="11"/>
  <c r="G7935" i="11"/>
  <c r="F7935" i="11"/>
  <c r="G7934" i="11"/>
  <c r="F7934" i="11"/>
  <c r="G7933" i="11"/>
  <c r="F7933" i="11"/>
  <c r="G7932" i="11"/>
  <c r="F7932" i="11"/>
  <c r="G7931" i="11"/>
  <c r="F7931" i="11"/>
  <c r="G7930" i="11"/>
  <c r="F7930" i="11"/>
  <c r="G7929" i="11"/>
  <c r="F7929" i="11"/>
  <c r="G7928" i="11"/>
  <c r="F7928" i="11"/>
  <c r="G7927" i="11"/>
  <c r="F7927" i="11"/>
  <c r="G7926" i="11"/>
  <c r="F7926" i="11"/>
  <c r="G7925" i="11"/>
  <c r="F7925" i="11"/>
  <c r="G7924" i="11"/>
  <c r="F7924" i="11"/>
  <c r="G7923" i="11"/>
  <c r="F7923" i="11"/>
  <c r="G7922" i="11"/>
  <c r="F7922" i="11"/>
  <c r="G7921" i="11"/>
  <c r="F7921" i="11"/>
  <c r="G7920" i="11"/>
  <c r="F7920" i="11"/>
  <c r="G7919" i="11"/>
  <c r="F7919" i="11"/>
  <c r="G7918" i="11"/>
  <c r="F7918" i="11"/>
  <c r="G7917" i="11"/>
  <c r="F7917" i="11"/>
  <c r="G7916" i="11"/>
  <c r="F7916" i="11"/>
  <c r="G7915" i="11"/>
  <c r="F7915" i="11"/>
  <c r="G7914" i="11"/>
  <c r="F7914" i="11"/>
  <c r="G7913" i="11"/>
  <c r="F7913" i="11"/>
  <c r="G7912" i="11"/>
  <c r="F7912" i="11"/>
  <c r="G7911" i="11"/>
  <c r="F7911" i="11"/>
  <c r="G7910" i="11"/>
  <c r="F7910" i="11"/>
  <c r="G7909" i="11"/>
  <c r="F7909" i="11"/>
  <c r="G7908" i="11"/>
  <c r="F7908" i="11"/>
  <c r="G7907" i="11"/>
  <c r="F7907" i="11"/>
  <c r="G7906" i="11"/>
  <c r="F7906" i="11"/>
  <c r="G7905" i="11"/>
  <c r="F7905" i="11"/>
  <c r="G7904" i="11"/>
  <c r="F7904" i="11"/>
  <c r="G7903" i="11"/>
  <c r="F7903" i="11"/>
  <c r="G7902" i="11"/>
  <c r="F7902" i="11"/>
  <c r="G7901" i="11"/>
  <c r="F7901" i="11"/>
  <c r="G7900" i="11"/>
  <c r="F7900" i="11"/>
  <c r="G7899" i="11"/>
  <c r="F7899" i="11"/>
  <c r="G7898" i="11"/>
  <c r="F7898" i="11"/>
  <c r="G7897" i="11"/>
  <c r="F7897" i="11"/>
  <c r="G7896" i="11"/>
  <c r="F7896" i="11"/>
  <c r="G7895" i="11"/>
  <c r="F7895" i="11"/>
  <c r="G7894" i="11"/>
  <c r="F7894" i="11"/>
  <c r="G7893" i="11"/>
  <c r="F7893" i="11"/>
  <c r="G7892" i="11"/>
  <c r="F7892" i="11"/>
  <c r="G7891" i="11"/>
  <c r="F7891" i="11"/>
  <c r="G7890" i="11"/>
  <c r="F7890" i="11"/>
  <c r="G7889" i="11"/>
  <c r="F7889" i="11"/>
  <c r="G7888" i="11"/>
  <c r="F7888" i="11"/>
  <c r="G7887" i="11"/>
  <c r="F7887" i="11"/>
  <c r="G7886" i="11"/>
  <c r="F7886" i="11"/>
  <c r="G7885" i="11"/>
  <c r="F7885" i="11"/>
  <c r="G7884" i="11"/>
  <c r="F7884" i="11"/>
  <c r="G7883" i="11"/>
  <c r="F7883" i="11"/>
  <c r="G7882" i="11"/>
  <c r="F7882" i="11"/>
  <c r="G7881" i="11"/>
  <c r="F7881" i="11"/>
  <c r="G7880" i="11"/>
  <c r="F7880" i="11"/>
  <c r="G7879" i="11"/>
  <c r="F7879" i="11"/>
  <c r="G7878" i="11"/>
  <c r="F7878" i="11"/>
  <c r="G7877" i="11"/>
  <c r="F7877" i="11"/>
  <c r="G7876" i="11"/>
  <c r="F7876" i="11"/>
  <c r="G7875" i="11"/>
  <c r="F7875" i="11"/>
  <c r="G7874" i="11"/>
  <c r="F7874" i="11"/>
  <c r="G7873" i="11"/>
  <c r="F7873" i="11"/>
  <c r="G7872" i="11"/>
  <c r="F7872" i="11"/>
  <c r="G7871" i="11"/>
  <c r="F7871" i="11"/>
  <c r="G7870" i="11"/>
  <c r="F7870" i="11"/>
  <c r="G7869" i="11"/>
  <c r="F7869" i="11"/>
  <c r="G7868" i="11"/>
  <c r="F7868" i="11"/>
  <c r="G7867" i="11"/>
  <c r="F7867" i="11"/>
  <c r="G7866" i="11"/>
  <c r="F7866" i="11"/>
  <c r="G7865" i="11"/>
  <c r="F7865" i="11"/>
  <c r="G7864" i="11"/>
  <c r="F7864" i="11"/>
  <c r="G7863" i="11"/>
  <c r="F7863" i="11"/>
  <c r="G7862" i="11"/>
  <c r="F7862" i="11"/>
  <c r="G7861" i="11"/>
  <c r="F7861" i="11"/>
  <c r="G7860" i="11"/>
  <c r="F7860" i="11"/>
  <c r="G7859" i="11"/>
  <c r="F7859" i="11"/>
  <c r="G7858" i="11"/>
  <c r="F7858" i="11"/>
  <c r="G7857" i="11"/>
  <c r="F7857" i="11"/>
  <c r="G7856" i="11"/>
  <c r="F7856" i="11"/>
  <c r="G7855" i="11"/>
  <c r="F7855" i="11"/>
  <c r="G7854" i="11"/>
  <c r="F7854" i="11"/>
  <c r="G7853" i="11"/>
  <c r="F7853" i="11"/>
  <c r="G7852" i="11"/>
  <c r="F7852" i="11"/>
  <c r="G7851" i="11"/>
  <c r="F7851" i="11"/>
  <c r="G7850" i="11"/>
  <c r="F7850" i="11"/>
  <c r="G7849" i="11"/>
  <c r="F7849" i="11"/>
  <c r="G7848" i="11"/>
  <c r="F7848" i="11"/>
  <c r="G7847" i="11"/>
  <c r="F7847" i="11"/>
  <c r="G7846" i="11"/>
  <c r="F7846" i="11"/>
  <c r="G7845" i="11"/>
  <c r="F7845" i="11"/>
  <c r="G7844" i="11"/>
  <c r="F7844" i="11"/>
  <c r="G7843" i="11"/>
  <c r="F7843" i="11"/>
  <c r="G7842" i="11"/>
  <c r="F7842" i="11"/>
  <c r="G7841" i="11"/>
  <c r="F7841" i="11"/>
  <c r="G7840" i="11"/>
  <c r="F7840" i="11"/>
  <c r="G7839" i="11"/>
  <c r="F7839" i="11"/>
  <c r="G7838" i="11"/>
  <c r="F7838" i="11"/>
  <c r="G7837" i="11"/>
  <c r="F7837" i="11"/>
  <c r="G7836" i="11"/>
  <c r="F7836" i="11"/>
  <c r="G7835" i="11"/>
  <c r="F7835" i="11"/>
  <c r="G7834" i="11"/>
  <c r="F7834" i="11"/>
  <c r="G7833" i="11"/>
  <c r="F7833" i="11"/>
  <c r="G7832" i="11"/>
  <c r="F7832" i="11"/>
  <c r="G7831" i="11"/>
  <c r="F7831" i="11"/>
  <c r="G7830" i="11"/>
  <c r="F7830" i="11"/>
  <c r="G7829" i="11"/>
  <c r="F7829" i="11"/>
  <c r="G7828" i="11"/>
  <c r="F7828" i="11"/>
  <c r="G7827" i="11"/>
  <c r="F7827" i="11"/>
  <c r="G7826" i="11"/>
  <c r="F7826" i="11"/>
  <c r="G7825" i="11"/>
  <c r="F7825" i="11"/>
  <c r="G7824" i="11"/>
  <c r="F7824" i="11"/>
  <c r="G7823" i="11"/>
  <c r="F7823" i="11"/>
  <c r="G7822" i="11"/>
  <c r="F7822" i="11"/>
  <c r="G7821" i="11"/>
  <c r="F7821" i="11"/>
  <c r="G7820" i="11"/>
  <c r="F7820" i="11"/>
  <c r="G7819" i="11"/>
  <c r="F7819" i="11"/>
  <c r="G7818" i="11"/>
  <c r="F7818" i="11"/>
  <c r="G7817" i="11"/>
  <c r="F7817" i="11"/>
  <c r="G7816" i="11"/>
  <c r="F7816" i="11"/>
  <c r="G7815" i="11"/>
  <c r="F7815" i="11"/>
  <c r="G7814" i="11"/>
  <c r="F7814" i="11"/>
  <c r="G7813" i="11"/>
  <c r="F7813" i="11"/>
  <c r="G7812" i="11"/>
  <c r="F7812" i="11"/>
  <c r="G7811" i="11"/>
  <c r="F7811" i="11"/>
  <c r="G7810" i="11"/>
  <c r="F7810" i="11"/>
  <c r="G7809" i="11"/>
  <c r="F7809" i="11"/>
  <c r="G7808" i="11"/>
  <c r="F7808" i="11"/>
  <c r="G7807" i="11"/>
  <c r="F7807" i="11"/>
  <c r="G7806" i="11"/>
  <c r="F7806" i="11"/>
  <c r="G7805" i="11"/>
  <c r="F7805" i="11"/>
  <c r="G7804" i="11"/>
  <c r="F7804" i="11"/>
  <c r="G7803" i="11"/>
  <c r="F7803" i="11"/>
  <c r="G7802" i="11"/>
  <c r="F7802" i="11"/>
  <c r="G7801" i="11"/>
  <c r="F7801" i="11"/>
  <c r="G7800" i="11"/>
  <c r="F7800" i="11"/>
  <c r="G7799" i="11"/>
  <c r="F7799" i="11"/>
  <c r="G7798" i="11"/>
  <c r="F7798" i="11"/>
  <c r="G7797" i="11"/>
  <c r="F7797" i="11"/>
  <c r="G7796" i="11"/>
  <c r="F7796" i="11"/>
  <c r="G7795" i="11"/>
  <c r="F7795" i="11"/>
  <c r="G7794" i="11"/>
  <c r="F7794" i="11"/>
  <c r="G7793" i="11"/>
  <c r="F7793" i="11"/>
  <c r="G7792" i="11"/>
  <c r="F7792" i="11"/>
  <c r="G7791" i="11"/>
  <c r="F7791" i="11"/>
  <c r="G7790" i="11"/>
  <c r="F7790" i="11"/>
  <c r="G7789" i="11"/>
  <c r="F7789" i="11"/>
  <c r="G7788" i="11"/>
  <c r="F7788" i="11"/>
  <c r="G7787" i="11"/>
  <c r="F7787" i="11"/>
  <c r="G7786" i="11"/>
  <c r="F7786" i="11"/>
  <c r="G7785" i="11"/>
  <c r="F7785" i="11"/>
  <c r="G7784" i="11"/>
  <c r="F7784" i="11"/>
  <c r="G7783" i="11"/>
  <c r="F7783" i="11"/>
  <c r="G7782" i="11"/>
  <c r="F7782" i="11"/>
  <c r="G7781" i="11"/>
  <c r="F7781" i="11"/>
  <c r="G7780" i="11"/>
  <c r="F7780" i="11"/>
  <c r="G7779" i="11"/>
  <c r="F7779" i="11"/>
  <c r="G7778" i="11"/>
  <c r="F7778" i="11"/>
  <c r="G7777" i="11"/>
  <c r="F7777" i="11"/>
  <c r="G7776" i="11"/>
  <c r="F7776" i="11"/>
  <c r="G7775" i="11"/>
  <c r="F7775" i="11"/>
  <c r="G7774" i="11"/>
  <c r="F7774" i="11"/>
  <c r="G7773" i="11"/>
  <c r="F7773" i="11"/>
  <c r="G7772" i="11"/>
  <c r="F7772" i="11"/>
  <c r="G7771" i="11"/>
  <c r="F7771" i="11"/>
  <c r="G7770" i="11"/>
  <c r="F7770" i="11"/>
  <c r="G7769" i="11"/>
  <c r="F7769" i="11"/>
  <c r="G7768" i="11"/>
  <c r="F7768" i="11"/>
  <c r="G7767" i="11"/>
  <c r="F7767" i="11"/>
  <c r="G7766" i="11"/>
  <c r="F7766" i="11"/>
  <c r="G7765" i="11"/>
  <c r="F7765" i="11"/>
  <c r="G7764" i="11"/>
  <c r="F7764" i="11"/>
  <c r="G7763" i="11"/>
  <c r="F7763" i="11"/>
  <c r="G7762" i="11"/>
  <c r="F7762" i="11"/>
  <c r="G7761" i="11"/>
  <c r="F7761" i="11"/>
  <c r="G7760" i="11"/>
  <c r="F7760" i="11"/>
  <c r="G7759" i="11"/>
  <c r="F7759" i="11"/>
  <c r="G7758" i="11"/>
  <c r="F7758" i="11"/>
  <c r="G7757" i="11"/>
  <c r="F7757" i="11"/>
  <c r="G7756" i="11"/>
  <c r="F7756" i="11"/>
  <c r="G7755" i="11"/>
  <c r="F7755" i="11"/>
  <c r="G7754" i="11"/>
  <c r="F7754" i="11"/>
  <c r="G7753" i="11"/>
  <c r="F7753" i="11"/>
  <c r="G7752" i="11"/>
  <c r="F7752" i="11"/>
  <c r="G7751" i="11"/>
  <c r="F7751" i="11"/>
  <c r="G7750" i="11"/>
  <c r="F7750" i="11"/>
  <c r="G7749" i="11"/>
  <c r="F7749" i="11"/>
  <c r="G7748" i="11"/>
  <c r="F7748" i="11"/>
  <c r="G7747" i="11"/>
  <c r="F7747" i="11"/>
  <c r="G7746" i="11"/>
  <c r="F7746" i="11"/>
  <c r="G7745" i="11"/>
  <c r="F7745" i="11"/>
  <c r="G7744" i="11"/>
  <c r="F7744" i="11"/>
  <c r="G7743" i="11"/>
  <c r="F7743" i="11"/>
  <c r="G7742" i="11"/>
  <c r="F7742" i="11"/>
  <c r="G7741" i="11"/>
  <c r="F7741" i="11"/>
  <c r="G7740" i="11"/>
  <c r="F7740" i="11"/>
  <c r="G7739" i="11"/>
  <c r="F7739" i="11"/>
  <c r="G7738" i="11"/>
  <c r="F7738" i="11"/>
  <c r="G7737" i="11"/>
  <c r="F7737" i="11"/>
  <c r="G7736" i="11"/>
  <c r="F7736" i="11"/>
  <c r="G7735" i="11"/>
  <c r="F7735" i="11"/>
  <c r="G7734" i="11"/>
  <c r="F7734" i="11"/>
  <c r="G7733" i="11"/>
  <c r="F7733" i="11"/>
  <c r="G7732" i="11"/>
  <c r="F7732" i="11"/>
  <c r="G7731" i="11"/>
  <c r="F7731" i="11"/>
  <c r="G7730" i="11"/>
  <c r="F7730" i="11"/>
  <c r="G7729" i="11"/>
  <c r="F7729" i="11"/>
  <c r="G7728" i="11"/>
  <c r="F7728" i="11"/>
  <c r="G7727" i="11"/>
  <c r="F7727" i="11"/>
  <c r="G7726" i="11"/>
  <c r="F7726" i="11"/>
  <c r="G7725" i="11"/>
  <c r="F7725" i="11"/>
  <c r="G7724" i="11"/>
  <c r="F7724" i="11"/>
  <c r="G7723" i="11"/>
  <c r="F7723" i="11"/>
  <c r="G7722" i="11"/>
  <c r="F7722" i="11"/>
  <c r="G7721" i="11"/>
  <c r="F7721" i="11"/>
  <c r="G7720" i="11"/>
  <c r="F7720" i="11"/>
  <c r="G7719" i="11"/>
  <c r="F7719" i="11"/>
  <c r="G7718" i="11"/>
  <c r="F7718" i="11"/>
  <c r="G7717" i="11"/>
  <c r="F7717" i="11"/>
  <c r="G7716" i="11"/>
  <c r="F7716" i="11"/>
  <c r="G7715" i="11"/>
  <c r="F7715" i="11"/>
  <c r="G7714" i="11"/>
  <c r="F7714" i="11"/>
  <c r="G7713" i="11"/>
  <c r="F7713" i="11"/>
  <c r="G7712" i="11"/>
  <c r="F7712" i="11"/>
  <c r="G7711" i="11"/>
  <c r="F7711" i="11"/>
  <c r="G7710" i="11"/>
  <c r="F7710" i="11"/>
  <c r="G7709" i="11"/>
  <c r="F7709" i="11"/>
  <c r="G7708" i="11"/>
  <c r="F7708" i="11"/>
  <c r="G7707" i="11"/>
  <c r="F7707" i="11"/>
  <c r="G7706" i="11"/>
  <c r="F7706" i="11"/>
  <c r="G7705" i="11"/>
  <c r="F7705" i="11"/>
  <c r="G7704" i="11"/>
  <c r="F7704" i="11"/>
  <c r="G7703" i="11"/>
  <c r="F7703" i="11"/>
  <c r="G7702" i="11"/>
  <c r="F7702" i="11"/>
  <c r="G7701" i="11"/>
  <c r="F7701" i="11"/>
  <c r="G7700" i="11"/>
  <c r="F7700" i="11"/>
  <c r="G7699" i="11"/>
  <c r="F7699" i="11"/>
  <c r="G7698" i="11"/>
  <c r="F7698" i="11"/>
  <c r="G7697" i="11"/>
  <c r="F7697" i="11"/>
  <c r="G7696" i="11"/>
  <c r="F7696" i="11"/>
  <c r="G7695" i="11"/>
  <c r="F7695" i="11"/>
  <c r="G7694" i="11"/>
  <c r="F7694" i="11"/>
  <c r="G7693" i="11"/>
  <c r="F7693" i="11"/>
  <c r="G7692" i="11"/>
  <c r="F7692" i="11"/>
  <c r="G7691" i="11"/>
  <c r="F7691" i="11"/>
  <c r="G7690" i="11"/>
  <c r="F7690" i="11"/>
  <c r="G7689" i="11"/>
  <c r="F7689" i="11"/>
  <c r="G7688" i="11"/>
  <c r="F7688" i="11"/>
  <c r="G7687" i="11"/>
  <c r="F7687" i="11"/>
  <c r="G7686" i="11"/>
  <c r="F7686" i="11"/>
  <c r="G7685" i="11"/>
  <c r="F7685" i="11"/>
  <c r="G7684" i="11"/>
  <c r="F7684" i="11"/>
  <c r="G7683" i="11"/>
  <c r="F7683" i="11"/>
  <c r="G7682" i="11"/>
  <c r="F7682" i="11"/>
  <c r="G7681" i="11"/>
  <c r="F7681" i="11"/>
  <c r="G7680" i="11"/>
  <c r="F7680" i="11"/>
  <c r="G7679" i="11"/>
  <c r="F7679" i="11"/>
  <c r="G7678" i="11"/>
  <c r="F7678" i="11"/>
  <c r="G7677" i="11"/>
  <c r="F7677" i="11"/>
  <c r="G7676" i="11"/>
  <c r="F7676" i="11"/>
  <c r="G7675" i="11"/>
  <c r="F7675" i="11"/>
  <c r="G7674" i="11"/>
  <c r="F7674" i="11"/>
  <c r="G7673" i="11"/>
  <c r="F7673" i="11"/>
  <c r="G7672" i="11"/>
  <c r="F7672" i="11"/>
  <c r="G7671" i="11"/>
  <c r="F7671" i="11"/>
  <c r="G7670" i="11"/>
  <c r="F7670" i="11"/>
  <c r="G7669" i="11"/>
  <c r="F7669" i="11"/>
  <c r="G7668" i="11"/>
  <c r="F7668" i="11"/>
  <c r="G7667" i="11"/>
  <c r="F7667" i="11"/>
  <c r="G7666" i="11"/>
  <c r="F7666" i="11"/>
  <c r="G7665" i="11"/>
  <c r="F7665" i="11"/>
  <c r="G7664" i="11"/>
  <c r="F7664" i="11"/>
  <c r="G7663" i="11"/>
  <c r="F7663" i="11"/>
  <c r="G7662" i="11"/>
  <c r="F7662" i="11"/>
  <c r="G7661" i="11"/>
  <c r="F7661" i="11"/>
  <c r="G7660" i="11"/>
  <c r="F7660" i="11"/>
  <c r="G7659" i="11"/>
  <c r="F7659" i="11"/>
  <c r="G7658" i="11"/>
  <c r="F7658" i="11"/>
  <c r="G7657" i="11"/>
  <c r="F7657" i="11"/>
  <c r="G7656" i="11"/>
  <c r="F7656" i="11"/>
  <c r="G7655" i="11"/>
  <c r="F7655" i="11"/>
  <c r="G7654" i="11"/>
  <c r="F7654" i="11"/>
  <c r="G7653" i="11"/>
  <c r="F7653" i="11"/>
  <c r="G7652" i="11"/>
  <c r="F7652" i="11"/>
  <c r="G7651" i="11"/>
  <c r="F7651" i="11"/>
  <c r="G7650" i="11"/>
  <c r="F7650" i="11"/>
  <c r="G7649" i="11"/>
  <c r="F7649" i="11"/>
  <c r="G7648" i="11"/>
  <c r="F7648" i="11"/>
  <c r="G7647" i="11"/>
  <c r="F7647" i="11"/>
  <c r="G7646" i="11"/>
  <c r="F7646" i="11"/>
  <c r="G7645" i="11"/>
  <c r="F7645" i="11"/>
  <c r="G7644" i="11"/>
  <c r="F7644" i="11"/>
  <c r="G7643" i="11"/>
  <c r="F7643" i="11"/>
  <c r="G7642" i="11"/>
  <c r="F7642" i="11"/>
  <c r="G7641" i="11"/>
  <c r="F7641" i="11"/>
  <c r="H7640" i="11"/>
  <c r="G7640" i="11"/>
  <c r="I7640" i="11" s="1"/>
  <c r="F7640" i="11"/>
  <c r="H7639" i="11"/>
  <c r="G7639" i="11"/>
  <c r="I7639" i="11" s="1"/>
  <c r="F7639" i="11"/>
  <c r="G7638" i="11"/>
  <c r="I7638" i="11" s="1"/>
  <c r="F7638" i="11"/>
  <c r="G7637" i="11"/>
  <c r="F7637" i="11"/>
  <c r="H7636" i="11"/>
  <c r="G7636" i="11"/>
  <c r="I7636" i="11" s="1"/>
  <c r="F7636" i="11"/>
  <c r="H7635" i="11"/>
  <c r="G7635" i="11"/>
  <c r="I7635" i="11" s="1"/>
  <c r="F7635" i="11"/>
  <c r="G7634" i="11"/>
  <c r="I7634" i="11" s="1"/>
  <c r="F7634" i="11"/>
  <c r="G7633" i="11"/>
  <c r="F7633" i="11"/>
  <c r="H7632" i="11"/>
  <c r="G7632" i="11"/>
  <c r="I7632" i="11" s="1"/>
  <c r="F7632" i="11"/>
  <c r="H7631" i="11"/>
  <c r="G7631" i="11"/>
  <c r="I7631" i="11" s="1"/>
  <c r="F7631" i="11"/>
  <c r="G7630" i="11"/>
  <c r="I7630" i="11" s="1"/>
  <c r="F7630" i="11"/>
  <c r="G7629" i="11"/>
  <c r="F7629" i="11"/>
  <c r="H7628" i="11"/>
  <c r="G7628" i="11"/>
  <c r="I7628" i="11" s="1"/>
  <c r="F7628" i="11"/>
  <c r="H7627" i="11"/>
  <c r="G7627" i="11"/>
  <c r="I7627" i="11" s="1"/>
  <c r="F7627" i="11"/>
  <c r="H7626" i="11"/>
  <c r="G7626" i="11"/>
  <c r="I7626" i="11" s="1"/>
  <c r="F7626" i="11"/>
  <c r="G7625" i="11"/>
  <c r="F7625" i="11"/>
  <c r="H7624" i="11"/>
  <c r="G7624" i="11"/>
  <c r="I7624" i="11" s="1"/>
  <c r="F7624" i="11"/>
  <c r="H7623" i="11"/>
  <c r="G7623" i="11"/>
  <c r="I7623" i="11" s="1"/>
  <c r="F7623" i="11"/>
  <c r="G7622" i="11"/>
  <c r="I7622" i="11" s="1"/>
  <c r="F7622" i="11"/>
  <c r="G7621" i="11"/>
  <c r="F7621" i="11"/>
  <c r="H7620" i="11"/>
  <c r="G7620" i="11"/>
  <c r="I7620" i="11" s="1"/>
  <c r="F7620" i="11"/>
  <c r="H7619" i="11"/>
  <c r="G7619" i="11"/>
  <c r="I7619" i="11" s="1"/>
  <c r="F7619" i="11"/>
  <c r="G7618" i="11"/>
  <c r="I7618" i="11" s="1"/>
  <c r="F7618" i="11"/>
  <c r="G7617" i="11"/>
  <c r="F7617" i="11"/>
  <c r="H7616" i="11"/>
  <c r="G7616" i="11"/>
  <c r="I7616" i="11" s="1"/>
  <c r="F7616" i="11"/>
  <c r="H7615" i="11"/>
  <c r="G7615" i="11"/>
  <c r="I7615" i="11" s="1"/>
  <c r="F7615" i="11"/>
  <c r="G7614" i="11"/>
  <c r="I7614" i="11" s="1"/>
  <c r="F7614" i="11"/>
  <c r="G7613" i="11"/>
  <c r="F7613" i="11"/>
  <c r="H7612" i="11"/>
  <c r="G7612" i="11"/>
  <c r="I7612" i="11" s="1"/>
  <c r="F7612" i="11"/>
  <c r="H7611" i="11"/>
  <c r="G7611" i="11"/>
  <c r="I7611" i="11" s="1"/>
  <c r="F7611" i="11"/>
  <c r="H7610" i="11"/>
  <c r="G7610" i="11"/>
  <c r="I7610" i="11" s="1"/>
  <c r="F7610" i="11"/>
  <c r="G7609" i="11"/>
  <c r="F7609" i="11"/>
  <c r="H7608" i="11"/>
  <c r="G7608" i="11"/>
  <c r="I7608" i="11" s="1"/>
  <c r="F7608" i="11"/>
  <c r="H7607" i="11"/>
  <c r="G7607" i="11"/>
  <c r="I7607" i="11" s="1"/>
  <c r="F7607" i="11"/>
  <c r="G7606" i="11"/>
  <c r="I7606" i="11" s="1"/>
  <c r="F7606" i="11"/>
  <c r="G7605" i="11"/>
  <c r="F7605" i="11"/>
  <c r="H7604" i="11"/>
  <c r="G7604" i="11"/>
  <c r="I7604" i="11" s="1"/>
  <c r="F7604" i="11"/>
  <c r="H7603" i="11"/>
  <c r="G7603" i="11"/>
  <c r="I7603" i="11" s="1"/>
  <c r="F7603" i="11"/>
  <c r="G7602" i="11"/>
  <c r="I7602" i="11" s="1"/>
  <c r="F7602" i="11"/>
  <c r="G7601" i="11"/>
  <c r="F7601" i="11"/>
  <c r="H7600" i="11"/>
  <c r="G7600" i="11"/>
  <c r="I7600" i="11" s="1"/>
  <c r="F7600" i="11"/>
  <c r="H7599" i="11"/>
  <c r="G7599" i="11"/>
  <c r="I7599" i="11" s="1"/>
  <c r="F7599" i="11"/>
  <c r="G7598" i="11"/>
  <c r="I7598" i="11" s="1"/>
  <c r="F7598" i="11"/>
  <c r="G7597" i="11"/>
  <c r="F7597" i="11"/>
  <c r="H7596" i="11"/>
  <c r="G7596" i="11"/>
  <c r="I7596" i="11" s="1"/>
  <c r="F7596" i="11"/>
  <c r="H7595" i="11"/>
  <c r="G7595" i="11"/>
  <c r="I7595" i="11" s="1"/>
  <c r="F7595" i="11"/>
  <c r="H7594" i="11"/>
  <c r="G7594" i="11"/>
  <c r="I7594" i="11" s="1"/>
  <c r="F7594" i="11"/>
  <c r="G7593" i="11"/>
  <c r="F7593" i="11"/>
  <c r="H7592" i="11"/>
  <c r="G7592" i="11"/>
  <c r="I7592" i="11" s="1"/>
  <c r="F7592" i="11"/>
  <c r="H7591" i="11"/>
  <c r="G7591" i="11"/>
  <c r="I7591" i="11" s="1"/>
  <c r="F7591" i="11"/>
  <c r="G7590" i="11"/>
  <c r="I7590" i="11" s="1"/>
  <c r="F7590" i="11"/>
  <c r="G7589" i="11"/>
  <c r="F7589" i="11"/>
  <c r="H7588" i="11"/>
  <c r="G7588" i="11"/>
  <c r="I7588" i="11" s="1"/>
  <c r="F7588" i="11"/>
  <c r="H7587" i="11"/>
  <c r="G7587" i="11"/>
  <c r="I7587" i="11" s="1"/>
  <c r="F7587" i="11"/>
  <c r="G7586" i="11"/>
  <c r="I7586" i="11" s="1"/>
  <c r="F7586" i="11"/>
  <c r="G7585" i="11"/>
  <c r="F7585" i="11"/>
  <c r="H7584" i="11"/>
  <c r="G7584" i="11"/>
  <c r="I7584" i="11" s="1"/>
  <c r="F7584" i="11"/>
  <c r="H7583" i="11"/>
  <c r="G7583" i="11"/>
  <c r="I7583" i="11" s="1"/>
  <c r="F7583" i="11"/>
  <c r="G7582" i="11"/>
  <c r="I7582" i="11" s="1"/>
  <c r="F7582" i="11"/>
  <c r="G7581" i="11"/>
  <c r="F7581" i="11"/>
  <c r="H7580" i="11"/>
  <c r="G7580" i="11"/>
  <c r="I7580" i="11" s="1"/>
  <c r="F7580" i="11"/>
  <c r="H7579" i="11"/>
  <c r="G7579" i="11"/>
  <c r="I7579" i="11" s="1"/>
  <c r="F7579" i="11"/>
  <c r="H7578" i="11"/>
  <c r="G7578" i="11"/>
  <c r="I7578" i="11" s="1"/>
  <c r="F7578" i="11"/>
  <c r="G7577" i="11"/>
  <c r="F7577" i="11"/>
  <c r="H7576" i="11"/>
  <c r="G7576" i="11"/>
  <c r="I7576" i="11" s="1"/>
  <c r="F7576" i="11"/>
  <c r="H7575" i="11"/>
  <c r="G7575" i="11"/>
  <c r="I7575" i="11" s="1"/>
  <c r="F7575" i="11"/>
  <c r="G7574" i="11"/>
  <c r="I7574" i="11" s="1"/>
  <c r="F7574" i="11"/>
  <c r="G7573" i="11"/>
  <c r="F7573" i="11"/>
  <c r="H7572" i="11"/>
  <c r="G7572" i="11"/>
  <c r="I7572" i="11" s="1"/>
  <c r="F7572" i="11"/>
  <c r="H7571" i="11"/>
  <c r="G7571" i="11"/>
  <c r="I7571" i="11" s="1"/>
  <c r="F7571" i="11"/>
  <c r="G7570" i="11"/>
  <c r="I7570" i="11" s="1"/>
  <c r="F7570" i="11"/>
  <c r="G7569" i="11"/>
  <c r="F7569" i="11"/>
  <c r="H7568" i="11"/>
  <c r="G7568" i="11"/>
  <c r="I7568" i="11" s="1"/>
  <c r="F7568" i="11"/>
  <c r="H7567" i="11"/>
  <c r="G7567" i="11"/>
  <c r="I7567" i="11" s="1"/>
  <c r="F7567" i="11"/>
  <c r="G7566" i="11"/>
  <c r="I7566" i="11" s="1"/>
  <c r="F7566" i="11"/>
  <c r="G7565" i="11"/>
  <c r="F7565" i="11"/>
  <c r="H7564" i="11"/>
  <c r="G7564" i="11"/>
  <c r="I7564" i="11" s="1"/>
  <c r="F7564" i="11"/>
  <c r="H7563" i="11"/>
  <c r="G7563" i="11"/>
  <c r="I7563" i="11" s="1"/>
  <c r="F7563" i="11"/>
  <c r="H7562" i="11"/>
  <c r="G7562" i="11"/>
  <c r="I7562" i="11" s="1"/>
  <c r="F7562" i="11"/>
  <c r="G7561" i="11"/>
  <c r="F7561" i="11"/>
  <c r="H7560" i="11"/>
  <c r="G7560" i="11"/>
  <c r="I7560" i="11" s="1"/>
  <c r="F7560" i="11"/>
  <c r="H7559" i="11"/>
  <c r="G7559" i="11"/>
  <c r="I7559" i="11" s="1"/>
  <c r="F7559" i="11"/>
  <c r="G7558" i="11"/>
  <c r="I7558" i="11" s="1"/>
  <c r="F7558" i="11"/>
  <c r="G7557" i="11"/>
  <c r="F7557" i="11"/>
  <c r="H7556" i="11"/>
  <c r="G7556" i="11"/>
  <c r="I7556" i="11" s="1"/>
  <c r="F7556" i="11"/>
  <c r="H7555" i="11"/>
  <c r="G7555" i="11"/>
  <c r="I7555" i="11" s="1"/>
  <c r="F7555" i="11"/>
  <c r="G7554" i="11"/>
  <c r="I7554" i="11" s="1"/>
  <c r="F7554" i="11"/>
  <c r="G7553" i="11"/>
  <c r="F7553" i="11"/>
  <c r="H7552" i="11"/>
  <c r="G7552" i="11"/>
  <c r="I7552" i="11" s="1"/>
  <c r="F7552" i="11"/>
  <c r="H7551" i="11"/>
  <c r="G7551" i="11"/>
  <c r="I7551" i="11" s="1"/>
  <c r="F7551" i="11"/>
  <c r="G7550" i="11"/>
  <c r="I7550" i="11" s="1"/>
  <c r="F7550" i="11"/>
  <c r="G7549" i="11"/>
  <c r="F7549" i="11"/>
  <c r="H7548" i="11"/>
  <c r="G7548" i="11"/>
  <c r="I7548" i="11" s="1"/>
  <c r="F7548" i="11"/>
  <c r="H7547" i="11"/>
  <c r="G7547" i="11"/>
  <c r="I7547" i="11" s="1"/>
  <c r="F7547" i="11"/>
  <c r="H7546" i="11"/>
  <c r="G7546" i="11"/>
  <c r="I7546" i="11" s="1"/>
  <c r="F7546" i="11"/>
  <c r="G7545" i="11"/>
  <c r="F7545" i="11"/>
  <c r="H7544" i="11"/>
  <c r="G7544" i="11"/>
  <c r="I7544" i="11" s="1"/>
  <c r="F7544" i="11"/>
  <c r="H7543" i="11"/>
  <c r="G7543" i="11"/>
  <c r="I7543" i="11" s="1"/>
  <c r="F7543" i="11"/>
  <c r="G7542" i="11"/>
  <c r="I7542" i="11" s="1"/>
  <c r="F7542" i="11"/>
  <c r="G7541" i="11"/>
  <c r="F7541" i="11"/>
  <c r="H7540" i="11"/>
  <c r="G7540" i="11"/>
  <c r="I7540" i="11" s="1"/>
  <c r="F7540" i="11"/>
  <c r="H7539" i="11"/>
  <c r="G7539" i="11"/>
  <c r="I7539" i="11" s="1"/>
  <c r="F7539" i="11"/>
  <c r="G7538" i="11"/>
  <c r="I7538" i="11" s="1"/>
  <c r="F7538" i="11"/>
  <c r="G7537" i="11"/>
  <c r="F7537" i="11"/>
  <c r="H7536" i="11"/>
  <c r="G7536" i="11"/>
  <c r="I7536" i="11" s="1"/>
  <c r="F7536" i="11"/>
  <c r="H7535" i="11"/>
  <c r="G7535" i="11"/>
  <c r="I7535" i="11" s="1"/>
  <c r="F7535" i="11"/>
  <c r="G7534" i="11"/>
  <c r="I7534" i="11" s="1"/>
  <c r="F7534" i="11"/>
  <c r="G7533" i="11"/>
  <c r="F7533" i="11"/>
  <c r="H7532" i="11"/>
  <c r="G7532" i="11"/>
  <c r="I7532" i="11" s="1"/>
  <c r="F7532" i="11"/>
  <c r="H7531" i="11"/>
  <c r="G7531" i="11"/>
  <c r="I7531" i="11" s="1"/>
  <c r="F7531" i="11"/>
  <c r="H7530" i="11"/>
  <c r="G7530" i="11"/>
  <c r="I7530" i="11" s="1"/>
  <c r="F7530" i="11"/>
  <c r="G7529" i="11"/>
  <c r="F7529" i="11"/>
  <c r="H7528" i="11"/>
  <c r="G7528" i="11"/>
  <c r="I7528" i="11" s="1"/>
  <c r="F7528" i="11"/>
  <c r="H7527" i="11"/>
  <c r="G7527" i="11"/>
  <c r="I7527" i="11" s="1"/>
  <c r="F7527" i="11"/>
  <c r="G7526" i="11"/>
  <c r="I7526" i="11" s="1"/>
  <c r="F7526" i="11"/>
  <c r="G7525" i="11"/>
  <c r="F7525" i="11"/>
  <c r="H7524" i="11"/>
  <c r="G7524" i="11"/>
  <c r="I7524" i="11" s="1"/>
  <c r="F7524" i="11"/>
  <c r="H7523" i="11"/>
  <c r="G7523" i="11"/>
  <c r="I7523" i="11" s="1"/>
  <c r="F7523" i="11"/>
  <c r="G7522" i="11"/>
  <c r="I7522" i="11" s="1"/>
  <c r="F7522" i="11"/>
  <c r="G7521" i="11"/>
  <c r="F7521" i="11"/>
  <c r="H7520" i="11"/>
  <c r="G7520" i="11"/>
  <c r="I7520" i="11" s="1"/>
  <c r="F7520" i="11"/>
  <c r="H7519" i="11"/>
  <c r="G7519" i="11"/>
  <c r="I7519" i="11" s="1"/>
  <c r="F7519" i="11"/>
  <c r="G7518" i="11"/>
  <c r="I7518" i="11" s="1"/>
  <c r="F7518" i="11"/>
  <c r="G7517" i="11"/>
  <c r="F7517" i="11"/>
  <c r="H7516" i="11"/>
  <c r="G7516" i="11"/>
  <c r="I7516" i="11" s="1"/>
  <c r="F7516" i="11"/>
  <c r="H7515" i="11"/>
  <c r="G7515" i="11"/>
  <c r="I7515" i="11" s="1"/>
  <c r="F7515" i="11"/>
  <c r="H7514" i="11"/>
  <c r="G7514" i="11"/>
  <c r="I7514" i="11" s="1"/>
  <c r="F7514" i="11"/>
  <c r="G7513" i="11"/>
  <c r="F7513" i="11"/>
  <c r="H7512" i="11"/>
  <c r="G7512" i="11"/>
  <c r="I7512" i="11" s="1"/>
  <c r="F7512" i="11"/>
  <c r="H7511" i="11"/>
  <c r="G7511" i="11"/>
  <c r="I7511" i="11" s="1"/>
  <c r="F7511" i="11"/>
  <c r="G7510" i="11"/>
  <c r="I7510" i="11" s="1"/>
  <c r="F7510" i="11"/>
  <c r="G7509" i="11"/>
  <c r="F7509" i="11"/>
  <c r="H7508" i="11"/>
  <c r="G7508" i="11"/>
  <c r="I7508" i="11" s="1"/>
  <c r="F7508" i="11"/>
  <c r="H7507" i="11"/>
  <c r="G7507" i="11"/>
  <c r="I7507" i="11" s="1"/>
  <c r="F7507" i="11"/>
  <c r="G7506" i="11"/>
  <c r="I7506" i="11" s="1"/>
  <c r="F7506" i="11"/>
  <c r="G7505" i="11"/>
  <c r="F7505" i="11"/>
  <c r="H7504" i="11"/>
  <c r="G7504" i="11"/>
  <c r="I7504" i="11" s="1"/>
  <c r="F7504" i="11"/>
  <c r="H7503" i="11"/>
  <c r="G7503" i="11"/>
  <c r="I7503" i="11" s="1"/>
  <c r="F7503" i="11"/>
  <c r="G7502" i="11"/>
  <c r="I7502" i="11" s="1"/>
  <c r="F7502" i="11"/>
  <c r="G7501" i="11"/>
  <c r="F7501" i="11"/>
  <c r="H7500" i="11"/>
  <c r="G7500" i="11"/>
  <c r="I7500" i="11" s="1"/>
  <c r="F7500" i="11"/>
  <c r="H7499" i="11"/>
  <c r="G7499" i="11"/>
  <c r="I7499" i="11" s="1"/>
  <c r="F7499" i="11"/>
  <c r="H7498" i="11"/>
  <c r="G7498" i="11"/>
  <c r="I7498" i="11" s="1"/>
  <c r="F7498" i="11"/>
  <c r="G7497" i="11"/>
  <c r="F7497" i="11"/>
  <c r="H7496" i="11"/>
  <c r="G7496" i="11"/>
  <c r="I7496" i="11" s="1"/>
  <c r="F7496" i="11"/>
  <c r="H7495" i="11"/>
  <c r="G7495" i="11"/>
  <c r="I7495" i="11" s="1"/>
  <c r="F7495" i="11"/>
  <c r="G7494" i="11"/>
  <c r="I7494" i="11" s="1"/>
  <c r="F7494" i="11"/>
  <c r="G7493" i="11"/>
  <c r="F7493" i="11"/>
  <c r="H7492" i="11"/>
  <c r="G7492" i="11"/>
  <c r="I7492" i="11" s="1"/>
  <c r="F7492" i="11"/>
  <c r="H7491" i="11"/>
  <c r="G7491" i="11"/>
  <c r="I7491" i="11" s="1"/>
  <c r="F7491" i="11"/>
  <c r="G7490" i="11"/>
  <c r="I7490" i="11" s="1"/>
  <c r="F7490" i="11"/>
  <c r="G7489" i="11"/>
  <c r="F7489" i="11"/>
  <c r="H7488" i="11"/>
  <c r="G7488" i="11"/>
  <c r="I7488" i="11" s="1"/>
  <c r="F7488" i="11"/>
  <c r="H7487" i="11"/>
  <c r="G7487" i="11"/>
  <c r="I7487" i="11" s="1"/>
  <c r="F7487" i="11"/>
  <c r="G7486" i="11"/>
  <c r="I7486" i="11" s="1"/>
  <c r="F7486" i="11"/>
  <c r="G7485" i="11"/>
  <c r="F7485" i="11"/>
  <c r="H7484" i="11"/>
  <c r="G7484" i="11"/>
  <c r="I7484" i="11" s="1"/>
  <c r="F7484" i="11"/>
  <c r="H7483" i="11"/>
  <c r="G7483" i="11"/>
  <c r="I7483" i="11" s="1"/>
  <c r="F7483" i="11"/>
  <c r="H7482" i="11"/>
  <c r="G7482" i="11"/>
  <c r="I7482" i="11" s="1"/>
  <c r="F7482" i="11"/>
  <c r="G7481" i="11"/>
  <c r="F7481" i="11"/>
  <c r="H7480" i="11"/>
  <c r="G7480" i="11"/>
  <c r="I7480" i="11" s="1"/>
  <c r="F7480" i="11"/>
  <c r="H7479" i="11"/>
  <c r="G7479" i="11"/>
  <c r="I7479" i="11" s="1"/>
  <c r="F7479" i="11"/>
  <c r="G7478" i="11"/>
  <c r="I7478" i="11" s="1"/>
  <c r="F7478" i="11"/>
  <c r="G7477" i="11"/>
  <c r="F7477" i="11"/>
  <c r="H7476" i="11"/>
  <c r="G7476" i="11"/>
  <c r="I7476" i="11" s="1"/>
  <c r="F7476" i="11"/>
  <c r="H7475" i="11"/>
  <c r="G7475" i="11"/>
  <c r="I7475" i="11" s="1"/>
  <c r="F7475" i="11"/>
  <c r="G7474" i="11"/>
  <c r="I7474" i="11" s="1"/>
  <c r="F7474" i="11"/>
  <c r="G7473" i="11"/>
  <c r="F7473" i="11"/>
  <c r="H7472" i="11"/>
  <c r="G7472" i="11"/>
  <c r="I7472" i="11" s="1"/>
  <c r="F7472" i="11"/>
  <c r="H7471" i="11"/>
  <c r="G7471" i="11"/>
  <c r="I7471" i="11" s="1"/>
  <c r="F7471" i="11"/>
  <c r="G7470" i="11"/>
  <c r="I7470" i="11" s="1"/>
  <c r="F7470" i="11"/>
  <c r="G7469" i="11"/>
  <c r="F7469" i="11"/>
  <c r="H7468" i="11"/>
  <c r="G7468" i="11"/>
  <c r="I7468" i="11" s="1"/>
  <c r="F7468" i="11"/>
  <c r="H7467" i="11"/>
  <c r="G7467" i="11"/>
  <c r="I7467" i="11" s="1"/>
  <c r="F7467" i="11"/>
  <c r="H7466" i="11"/>
  <c r="G7466" i="11"/>
  <c r="I7466" i="11" s="1"/>
  <c r="F7466" i="11"/>
  <c r="G7465" i="11"/>
  <c r="F7465" i="11"/>
  <c r="H7464" i="11"/>
  <c r="G7464" i="11"/>
  <c r="I7464" i="11" s="1"/>
  <c r="F7464" i="11"/>
  <c r="H7463" i="11"/>
  <c r="G7463" i="11"/>
  <c r="I7463" i="11" s="1"/>
  <c r="F7463" i="11"/>
  <c r="G7462" i="11"/>
  <c r="I7462" i="11" s="1"/>
  <c r="F7462" i="11"/>
  <c r="G7461" i="11"/>
  <c r="F7461" i="11"/>
  <c r="H7460" i="11"/>
  <c r="G7460" i="11"/>
  <c r="I7460" i="11" s="1"/>
  <c r="F7460" i="11"/>
  <c r="H7459" i="11"/>
  <c r="G7459" i="11"/>
  <c r="I7459" i="11" s="1"/>
  <c r="F7459" i="11"/>
  <c r="G7458" i="11"/>
  <c r="I7458" i="11" s="1"/>
  <c r="F7458" i="11"/>
  <c r="G7457" i="11"/>
  <c r="F7457" i="11"/>
  <c r="H7456" i="11"/>
  <c r="G7456" i="11"/>
  <c r="I7456" i="11" s="1"/>
  <c r="F7456" i="11"/>
  <c r="H7455" i="11"/>
  <c r="G7455" i="11"/>
  <c r="I7455" i="11" s="1"/>
  <c r="F7455" i="11"/>
  <c r="G7454" i="11"/>
  <c r="I7454" i="11" s="1"/>
  <c r="F7454" i="11"/>
  <c r="G7453" i="11"/>
  <c r="F7453" i="11"/>
  <c r="H7452" i="11"/>
  <c r="G7452" i="11"/>
  <c r="I7452" i="11" s="1"/>
  <c r="F7452" i="11"/>
  <c r="H7451" i="11"/>
  <c r="G7451" i="11"/>
  <c r="I7451" i="11" s="1"/>
  <c r="F7451" i="11"/>
  <c r="H7450" i="11"/>
  <c r="G7450" i="11"/>
  <c r="I7450" i="11" s="1"/>
  <c r="F7450" i="11"/>
  <c r="G7449" i="11"/>
  <c r="F7449" i="11"/>
  <c r="H7448" i="11"/>
  <c r="G7448" i="11"/>
  <c r="I7448" i="11" s="1"/>
  <c r="F7448" i="11"/>
  <c r="H7447" i="11"/>
  <c r="G7447" i="11"/>
  <c r="I7447" i="11" s="1"/>
  <c r="F7447" i="11"/>
  <c r="G7446" i="11"/>
  <c r="I7446" i="11" s="1"/>
  <c r="F7446" i="11"/>
  <c r="G7445" i="11"/>
  <c r="F7445" i="11"/>
  <c r="H7444" i="11"/>
  <c r="G7444" i="11"/>
  <c r="I7444" i="11" s="1"/>
  <c r="F7444" i="11"/>
  <c r="H7443" i="11"/>
  <c r="G7443" i="11"/>
  <c r="I7443" i="11" s="1"/>
  <c r="F7443" i="11"/>
  <c r="G7442" i="11"/>
  <c r="I7442" i="11" s="1"/>
  <c r="F7442" i="11"/>
  <c r="G7441" i="11"/>
  <c r="F7441" i="11"/>
  <c r="H7440" i="11"/>
  <c r="G7440" i="11"/>
  <c r="I7440" i="11" s="1"/>
  <c r="F7440" i="11"/>
  <c r="H7439" i="11"/>
  <c r="G7439" i="11"/>
  <c r="I7439" i="11" s="1"/>
  <c r="F7439" i="11"/>
  <c r="G7438" i="11"/>
  <c r="I7438" i="11" s="1"/>
  <c r="F7438" i="11"/>
  <c r="G7437" i="11"/>
  <c r="F7437" i="11"/>
  <c r="H7436" i="11"/>
  <c r="G7436" i="11"/>
  <c r="I7436" i="11" s="1"/>
  <c r="F7436" i="11"/>
  <c r="H7435" i="11"/>
  <c r="G7435" i="11"/>
  <c r="I7435" i="11" s="1"/>
  <c r="F7435" i="11"/>
  <c r="H7434" i="11"/>
  <c r="G7434" i="11"/>
  <c r="I7434" i="11" s="1"/>
  <c r="F7434" i="11"/>
  <c r="G7433" i="11"/>
  <c r="F7433" i="11"/>
  <c r="H7432" i="11"/>
  <c r="G7432" i="11"/>
  <c r="I7432" i="11" s="1"/>
  <c r="F7432" i="11"/>
  <c r="H7431" i="11"/>
  <c r="G7431" i="11"/>
  <c r="I7431" i="11" s="1"/>
  <c r="F7431" i="11"/>
  <c r="G7430" i="11"/>
  <c r="I7430" i="11" s="1"/>
  <c r="F7430" i="11"/>
  <c r="G7429" i="11"/>
  <c r="F7429" i="11"/>
  <c r="H7428" i="11"/>
  <c r="G7428" i="11"/>
  <c r="I7428" i="11" s="1"/>
  <c r="F7428" i="11"/>
  <c r="H7427" i="11"/>
  <c r="G7427" i="11"/>
  <c r="I7427" i="11" s="1"/>
  <c r="F7427" i="11"/>
  <c r="G7426" i="11"/>
  <c r="I7426" i="11" s="1"/>
  <c r="F7426" i="11"/>
  <c r="G7425" i="11"/>
  <c r="F7425" i="11"/>
  <c r="H7424" i="11"/>
  <c r="G7424" i="11"/>
  <c r="I7424" i="11" s="1"/>
  <c r="F7424" i="11"/>
  <c r="H7423" i="11"/>
  <c r="G7423" i="11"/>
  <c r="I7423" i="11" s="1"/>
  <c r="F7423" i="11"/>
  <c r="G7422" i="11"/>
  <c r="I7422" i="11" s="1"/>
  <c r="F7422" i="11"/>
  <c r="G7421" i="11"/>
  <c r="F7421" i="11"/>
  <c r="H7420" i="11"/>
  <c r="G7420" i="11"/>
  <c r="I7420" i="11" s="1"/>
  <c r="F7420" i="11"/>
  <c r="H7419" i="11"/>
  <c r="G7419" i="11"/>
  <c r="I7419" i="11" s="1"/>
  <c r="F7419" i="11"/>
  <c r="H7418" i="11"/>
  <c r="G7418" i="11"/>
  <c r="I7418" i="11" s="1"/>
  <c r="F7418" i="11"/>
  <c r="G7417" i="11"/>
  <c r="F7417" i="11"/>
  <c r="H7416" i="11"/>
  <c r="G7416" i="11"/>
  <c r="I7416" i="11" s="1"/>
  <c r="F7416" i="11"/>
  <c r="H7415" i="11"/>
  <c r="G7415" i="11"/>
  <c r="I7415" i="11" s="1"/>
  <c r="F7415" i="11"/>
  <c r="G7414" i="11"/>
  <c r="I7414" i="11" s="1"/>
  <c r="F7414" i="11"/>
  <c r="G7413" i="11"/>
  <c r="F7413" i="11"/>
  <c r="H7412" i="11"/>
  <c r="G7412" i="11"/>
  <c r="I7412" i="11" s="1"/>
  <c r="F7412" i="11"/>
  <c r="H7411" i="11"/>
  <c r="G7411" i="11"/>
  <c r="I7411" i="11" s="1"/>
  <c r="F7411" i="11"/>
  <c r="G7410" i="11"/>
  <c r="I7410" i="11" s="1"/>
  <c r="F7410" i="11"/>
  <c r="G7409" i="11"/>
  <c r="F7409" i="11"/>
  <c r="H7408" i="11"/>
  <c r="G7408" i="11"/>
  <c r="I7408" i="11" s="1"/>
  <c r="F7408" i="11"/>
  <c r="H7407" i="11"/>
  <c r="G7407" i="11"/>
  <c r="I7407" i="11" s="1"/>
  <c r="F7407" i="11"/>
  <c r="G7406" i="11"/>
  <c r="I7406" i="11" s="1"/>
  <c r="F7406" i="11"/>
  <c r="G7405" i="11"/>
  <c r="F7405" i="11"/>
  <c r="H7404" i="11"/>
  <c r="G7404" i="11"/>
  <c r="I7404" i="11" s="1"/>
  <c r="F7404" i="11"/>
  <c r="H7403" i="11"/>
  <c r="G7403" i="11"/>
  <c r="I7403" i="11" s="1"/>
  <c r="F7403" i="11"/>
  <c r="H7402" i="11"/>
  <c r="G7402" i="11"/>
  <c r="I7402" i="11" s="1"/>
  <c r="F7402" i="11"/>
  <c r="G7401" i="11"/>
  <c r="F7401" i="11"/>
  <c r="H7400" i="11"/>
  <c r="G7400" i="11"/>
  <c r="I7400" i="11" s="1"/>
  <c r="F7400" i="11"/>
  <c r="H7399" i="11"/>
  <c r="G7399" i="11"/>
  <c r="I7399" i="11" s="1"/>
  <c r="F7399" i="11"/>
  <c r="G7398" i="11"/>
  <c r="I7398" i="11" s="1"/>
  <c r="F7398" i="11"/>
  <c r="G7397" i="11"/>
  <c r="F7397" i="11"/>
  <c r="H7396" i="11"/>
  <c r="G7396" i="11"/>
  <c r="I7396" i="11" s="1"/>
  <c r="F7396" i="11"/>
  <c r="H7395" i="11"/>
  <c r="G7395" i="11"/>
  <c r="I7395" i="11" s="1"/>
  <c r="F7395" i="11"/>
  <c r="G7394" i="11"/>
  <c r="I7394" i="11" s="1"/>
  <c r="F7394" i="11"/>
  <c r="G7393" i="11"/>
  <c r="F7393" i="11"/>
  <c r="H7392" i="11"/>
  <c r="G7392" i="11"/>
  <c r="I7392" i="11" s="1"/>
  <c r="F7392" i="11"/>
  <c r="H7391" i="11"/>
  <c r="G7391" i="11"/>
  <c r="I7391" i="11" s="1"/>
  <c r="F7391" i="11"/>
  <c r="G7390" i="11"/>
  <c r="I7390" i="11" s="1"/>
  <c r="F7390" i="11"/>
  <c r="G7389" i="11"/>
  <c r="F7389" i="11"/>
  <c r="H7388" i="11"/>
  <c r="G7388" i="11"/>
  <c r="I7388" i="11" s="1"/>
  <c r="F7388" i="11"/>
  <c r="H7387" i="11"/>
  <c r="G7387" i="11"/>
  <c r="I7387" i="11" s="1"/>
  <c r="F7387" i="11"/>
  <c r="H7386" i="11"/>
  <c r="G7386" i="11"/>
  <c r="I7386" i="11" s="1"/>
  <c r="F7386" i="11"/>
  <c r="G7385" i="11"/>
  <c r="F7385" i="11"/>
  <c r="H7384" i="11"/>
  <c r="G7384" i="11"/>
  <c r="I7384" i="11" s="1"/>
  <c r="F7384" i="11"/>
  <c r="H7383" i="11"/>
  <c r="G7383" i="11"/>
  <c r="I7383" i="11" s="1"/>
  <c r="F7383" i="11"/>
  <c r="G7382" i="11"/>
  <c r="I7382" i="11" s="1"/>
  <c r="F7382" i="11"/>
  <c r="G7381" i="11"/>
  <c r="F7381" i="11"/>
  <c r="H7380" i="11"/>
  <c r="G7380" i="11"/>
  <c r="I7380" i="11" s="1"/>
  <c r="F7380" i="11"/>
  <c r="H7379" i="11"/>
  <c r="G7379" i="11"/>
  <c r="I7379" i="11" s="1"/>
  <c r="F7379" i="11"/>
  <c r="G7378" i="11"/>
  <c r="I7378" i="11" s="1"/>
  <c r="F7378" i="11"/>
  <c r="G7377" i="11"/>
  <c r="F7377" i="11"/>
  <c r="H7376" i="11"/>
  <c r="G7376" i="11"/>
  <c r="I7376" i="11" s="1"/>
  <c r="F7376" i="11"/>
  <c r="H7375" i="11"/>
  <c r="G7375" i="11"/>
  <c r="I7375" i="11" s="1"/>
  <c r="F7375" i="11"/>
  <c r="G7374" i="11"/>
  <c r="I7374" i="11" s="1"/>
  <c r="F7374" i="11"/>
  <c r="G7373" i="11"/>
  <c r="F7373" i="11"/>
  <c r="H7372" i="11"/>
  <c r="G7372" i="11"/>
  <c r="I7372" i="11" s="1"/>
  <c r="F7372" i="11"/>
  <c r="H7371" i="11"/>
  <c r="G7371" i="11"/>
  <c r="I7371" i="11" s="1"/>
  <c r="F7371" i="11"/>
  <c r="H7370" i="11"/>
  <c r="G7370" i="11"/>
  <c r="I7370" i="11" s="1"/>
  <c r="F7370" i="11"/>
  <c r="G7369" i="11"/>
  <c r="F7369" i="11"/>
  <c r="H7368" i="11"/>
  <c r="G7368" i="11"/>
  <c r="I7368" i="11" s="1"/>
  <c r="F7368" i="11"/>
  <c r="H7367" i="11"/>
  <c r="G7367" i="11"/>
  <c r="I7367" i="11" s="1"/>
  <c r="F7367" i="11"/>
  <c r="G7366" i="11"/>
  <c r="I7366" i="11" s="1"/>
  <c r="F7366" i="11"/>
  <c r="G7365" i="11"/>
  <c r="F7365" i="11"/>
  <c r="H7364" i="11"/>
  <c r="G7364" i="11"/>
  <c r="I7364" i="11" s="1"/>
  <c r="F7364" i="11"/>
  <c r="H7363" i="11"/>
  <c r="G7363" i="11"/>
  <c r="I7363" i="11" s="1"/>
  <c r="F7363" i="11"/>
  <c r="G7362" i="11"/>
  <c r="I7362" i="11" s="1"/>
  <c r="F7362" i="11"/>
  <c r="G7361" i="11"/>
  <c r="F7361" i="11"/>
  <c r="F7360" i="11"/>
  <c r="G7360" i="11" s="1"/>
  <c r="H7359" i="11"/>
  <c r="G7359" i="11"/>
  <c r="I7359" i="11" s="1"/>
  <c r="F7359" i="11"/>
  <c r="G7358" i="11"/>
  <c r="I7358" i="11" s="1"/>
  <c r="F7358" i="11"/>
  <c r="F7357" i="11"/>
  <c r="G7357" i="11" s="1"/>
  <c r="F7356" i="11"/>
  <c r="G7356" i="11" s="1"/>
  <c r="H7355" i="11"/>
  <c r="G7355" i="11"/>
  <c r="I7355" i="11" s="1"/>
  <c r="F7355" i="11"/>
  <c r="H7354" i="11"/>
  <c r="G7354" i="11"/>
  <c r="I7354" i="11" s="1"/>
  <c r="F7354" i="11"/>
  <c r="F7353" i="11"/>
  <c r="G7353" i="11" s="1"/>
  <c r="F7352" i="11"/>
  <c r="G7352" i="11" s="1"/>
  <c r="H7351" i="11"/>
  <c r="G7351" i="11"/>
  <c r="I7351" i="11" s="1"/>
  <c r="F7351" i="11"/>
  <c r="H7350" i="11"/>
  <c r="G7350" i="11"/>
  <c r="I7350" i="11" s="1"/>
  <c r="F7350" i="11"/>
  <c r="G7349" i="11"/>
  <c r="F7349" i="11"/>
  <c r="F7348" i="11"/>
  <c r="G7348" i="11" s="1"/>
  <c r="H7347" i="11"/>
  <c r="G7347" i="11"/>
  <c r="I7347" i="11" s="1"/>
  <c r="F7347" i="11"/>
  <c r="G7346" i="11"/>
  <c r="I7346" i="11" s="1"/>
  <c r="F7346" i="11"/>
  <c r="G7345" i="11"/>
  <c r="F7345" i="11"/>
  <c r="F7344" i="11"/>
  <c r="G7344" i="11" s="1"/>
  <c r="H7343" i="11"/>
  <c r="G7343" i="11"/>
  <c r="I7343" i="11" s="1"/>
  <c r="F7343" i="11"/>
  <c r="G7342" i="11"/>
  <c r="I7342" i="11" s="1"/>
  <c r="F7342" i="11"/>
  <c r="F7341" i="11"/>
  <c r="G7341" i="11" s="1"/>
  <c r="F7340" i="11"/>
  <c r="G7340" i="11" s="1"/>
  <c r="H7339" i="11"/>
  <c r="G7339" i="11"/>
  <c r="I7339" i="11" s="1"/>
  <c r="F7339" i="11"/>
  <c r="H7338" i="11"/>
  <c r="G7338" i="11"/>
  <c r="I7338" i="11" s="1"/>
  <c r="F7338" i="11"/>
  <c r="F7337" i="11"/>
  <c r="G7337" i="11" s="1"/>
  <c r="F7336" i="11"/>
  <c r="G7336" i="11" s="1"/>
  <c r="H7335" i="11"/>
  <c r="G7335" i="11"/>
  <c r="I7335" i="11" s="1"/>
  <c r="F7335" i="11"/>
  <c r="H7334" i="11"/>
  <c r="G7334" i="11"/>
  <c r="I7334" i="11" s="1"/>
  <c r="F7334" i="11"/>
  <c r="G7333" i="11"/>
  <c r="F7333" i="11"/>
  <c r="F7332" i="11"/>
  <c r="G7332" i="11" s="1"/>
  <c r="H7331" i="11"/>
  <c r="G7331" i="11"/>
  <c r="I7331" i="11" s="1"/>
  <c r="F7331" i="11"/>
  <c r="G7330" i="11"/>
  <c r="I7330" i="11" s="1"/>
  <c r="F7330" i="11"/>
  <c r="G7329" i="11"/>
  <c r="F7329" i="11"/>
  <c r="F7328" i="11"/>
  <c r="G7328" i="11" s="1"/>
  <c r="H7327" i="11"/>
  <c r="G7327" i="11"/>
  <c r="I7327" i="11" s="1"/>
  <c r="F7327" i="11"/>
  <c r="G7326" i="11"/>
  <c r="I7326" i="11" s="1"/>
  <c r="F7326" i="11"/>
  <c r="F7325" i="11"/>
  <c r="G7325" i="11" s="1"/>
  <c r="F7324" i="11"/>
  <c r="G7324" i="11" s="1"/>
  <c r="H7323" i="11"/>
  <c r="G7323" i="11"/>
  <c r="I7323" i="11" s="1"/>
  <c r="F7323" i="11"/>
  <c r="H7322" i="11"/>
  <c r="G7322" i="11"/>
  <c r="I7322" i="11" s="1"/>
  <c r="F7322" i="11"/>
  <c r="F7321" i="11"/>
  <c r="G7321" i="11" s="1"/>
  <c r="F7320" i="11"/>
  <c r="G7320" i="11" s="1"/>
  <c r="H7319" i="11"/>
  <c r="G7319" i="11"/>
  <c r="I7319" i="11" s="1"/>
  <c r="F7319" i="11"/>
  <c r="H7318" i="11"/>
  <c r="G7318" i="11"/>
  <c r="I7318" i="11" s="1"/>
  <c r="F7318" i="11"/>
  <c r="G7317" i="11"/>
  <c r="F7317" i="11"/>
  <c r="F7316" i="11"/>
  <c r="G7316" i="11" s="1"/>
  <c r="H7315" i="11"/>
  <c r="G7315" i="11"/>
  <c r="I7315" i="11" s="1"/>
  <c r="F7315" i="11"/>
  <c r="G7314" i="11"/>
  <c r="I7314" i="11" s="1"/>
  <c r="F7314" i="11"/>
  <c r="G7313" i="11"/>
  <c r="F7313" i="11"/>
  <c r="F7312" i="11"/>
  <c r="G7312" i="11" s="1"/>
  <c r="H7311" i="11"/>
  <c r="G7311" i="11"/>
  <c r="I7311" i="11" s="1"/>
  <c r="F7311" i="11"/>
  <c r="G7310" i="11"/>
  <c r="I7310" i="11" s="1"/>
  <c r="F7310" i="11"/>
  <c r="F7309" i="11"/>
  <c r="G7309" i="11" s="1"/>
  <c r="F7308" i="11"/>
  <c r="G7308" i="11" s="1"/>
  <c r="H7307" i="11"/>
  <c r="G7307" i="11"/>
  <c r="I7307" i="11" s="1"/>
  <c r="F7307" i="11"/>
  <c r="H7306" i="11"/>
  <c r="G7306" i="11"/>
  <c r="I7306" i="11" s="1"/>
  <c r="F7306" i="11"/>
  <c r="F7305" i="11"/>
  <c r="G7305" i="11" s="1"/>
  <c r="F7304" i="11"/>
  <c r="G7304" i="11" s="1"/>
  <c r="H7303" i="11"/>
  <c r="G7303" i="11"/>
  <c r="I7303" i="11" s="1"/>
  <c r="F7303" i="11"/>
  <c r="H7302" i="11"/>
  <c r="G7302" i="11"/>
  <c r="I7302" i="11" s="1"/>
  <c r="F7302" i="11"/>
  <c r="G7301" i="11"/>
  <c r="F7301" i="11"/>
  <c r="F7300" i="11"/>
  <c r="G7300" i="11" s="1"/>
  <c r="H7299" i="11"/>
  <c r="G7299" i="11"/>
  <c r="I7299" i="11" s="1"/>
  <c r="F7299" i="11"/>
  <c r="G7298" i="11"/>
  <c r="I7298" i="11" s="1"/>
  <c r="F7298" i="11"/>
  <c r="G7297" i="11"/>
  <c r="F7297" i="11"/>
  <c r="F7296" i="11"/>
  <c r="G7296" i="11" s="1"/>
  <c r="H7295" i="11"/>
  <c r="G7295" i="11"/>
  <c r="I7295" i="11" s="1"/>
  <c r="F7295" i="11"/>
  <c r="G7294" i="11"/>
  <c r="I7294" i="11" s="1"/>
  <c r="F7294" i="11"/>
  <c r="F7293" i="11"/>
  <c r="G7293" i="11" s="1"/>
  <c r="F7292" i="11"/>
  <c r="G7292" i="11" s="1"/>
  <c r="H7291" i="11"/>
  <c r="G7291" i="11"/>
  <c r="I7291" i="11" s="1"/>
  <c r="F7291" i="11"/>
  <c r="H7290" i="11"/>
  <c r="G7290" i="11"/>
  <c r="I7290" i="11" s="1"/>
  <c r="F7290" i="11"/>
  <c r="F7289" i="11"/>
  <c r="G7289" i="11" s="1"/>
  <c r="F7288" i="11"/>
  <c r="G7288" i="11" s="1"/>
  <c r="H7287" i="11"/>
  <c r="G7287" i="11"/>
  <c r="I7287" i="11" s="1"/>
  <c r="F7287" i="11"/>
  <c r="H7286" i="11"/>
  <c r="G7286" i="11"/>
  <c r="I7286" i="11" s="1"/>
  <c r="F7286" i="11"/>
  <c r="G7285" i="11"/>
  <c r="F7285" i="11"/>
  <c r="F7284" i="11"/>
  <c r="G7284" i="11" s="1"/>
  <c r="H7283" i="11"/>
  <c r="G7283" i="11"/>
  <c r="I7283" i="11" s="1"/>
  <c r="F7283" i="11"/>
  <c r="G7282" i="11"/>
  <c r="I7282" i="11" s="1"/>
  <c r="F7282" i="11"/>
  <c r="G7281" i="11"/>
  <c r="F7281" i="11"/>
  <c r="F7280" i="11"/>
  <c r="G7280" i="11" s="1"/>
  <c r="H7279" i="11"/>
  <c r="G7279" i="11"/>
  <c r="I7279" i="11" s="1"/>
  <c r="F7279" i="11"/>
  <c r="G7278" i="11"/>
  <c r="I7278" i="11" s="1"/>
  <c r="F7278" i="11"/>
  <c r="F7277" i="11"/>
  <c r="G7277" i="11" s="1"/>
  <c r="F7276" i="11"/>
  <c r="G7276" i="11" s="1"/>
  <c r="H7275" i="11"/>
  <c r="G7275" i="11"/>
  <c r="I7275" i="11" s="1"/>
  <c r="F7275" i="11"/>
  <c r="H7274" i="11"/>
  <c r="G7274" i="11"/>
  <c r="I7274" i="11" s="1"/>
  <c r="F7274" i="11"/>
  <c r="F7273" i="11"/>
  <c r="G7273" i="11" s="1"/>
  <c r="F7272" i="11"/>
  <c r="G7272" i="11" s="1"/>
  <c r="H7271" i="11"/>
  <c r="G7271" i="11"/>
  <c r="I7271" i="11" s="1"/>
  <c r="F7271" i="11"/>
  <c r="H7270" i="11"/>
  <c r="G7270" i="11"/>
  <c r="I7270" i="11" s="1"/>
  <c r="F7270" i="11"/>
  <c r="G7269" i="11"/>
  <c r="F7269" i="11"/>
  <c r="F7268" i="11"/>
  <c r="G7268" i="11" s="1"/>
  <c r="H7267" i="11"/>
  <c r="G7267" i="11"/>
  <c r="I7267" i="11" s="1"/>
  <c r="F7267" i="11"/>
  <c r="G7266" i="11"/>
  <c r="I7266" i="11" s="1"/>
  <c r="F7266" i="11"/>
  <c r="G7265" i="11"/>
  <c r="F7265" i="11"/>
  <c r="F7264" i="11"/>
  <c r="G7264" i="11" s="1"/>
  <c r="H7263" i="11"/>
  <c r="G7263" i="11"/>
  <c r="I7263" i="11" s="1"/>
  <c r="F7263" i="11"/>
  <c r="G7262" i="11"/>
  <c r="I7262" i="11" s="1"/>
  <c r="F7262" i="11"/>
  <c r="F7261" i="11"/>
  <c r="G7261" i="11" s="1"/>
  <c r="F7260" i="11"/>
  <c r="G7260" i="11" s="1"/>
  <c r="H7259" i="11"/>
  <c r="G7259" i="11"/>
  <c r="I7259" i="11" s="1"/>
  <c r="F7259" i="11"/>
  <c r="H7258" i="11"/>
  <c r="G7258" i="11"/>
  <c r="I7258" i="11" s="1"/>
  <c r="F7258" i="11"/>
  <c r="F7257" i="11"/>
  <c r="G7257" i="11" s="1"/>
  <c r="F7256" i="11"/>
  <c r="G7256" i="11" s="1"/>
  <c r="H7255" i="11"/>
  <c r="G7255" i="11"/>
  <c r="I7255" i="11" s="1"/>
  <c r="F7255" i="11"/>
  <c r="H7254" i="11"/>
  <c r="G7254" i="11"/>
  <c r="I7254" i="11" s="1"/>
  <c r="F7254" i="11"/>
  <c r="G7253" i="11"/>
  <c r="F7253" i="11"/>
  <c r="F7252" i="11"/>
  <c r="G7252" i="11" s="1"/>
  <c r="H7251" i="11"/>
  <c r="G7251" i="11"/>
  <c r="I7251" i="11" s="1"/>
  <c r="F7251" i="11"/>
  <c r="G7250" i="11"/>
  <c r="I7250" i="11" s="1"/>
  <c r="F7250" i="11"/>
  <c r="G7249" i="11"/>
  <c r="F7249" i="11"/>
  <c r="F7248" i="11"/>
  <c r="G7248" i="11" s="1"/>
  <c r="H7247" i="11"/>
  <c r="G7247" i="11"/>
  <c r="I7247" i="11" s="1"/>
  <c r="F7247" i="11"/>
  <c r="G7246" i="11"/>
  <c r="I7246" i="11" s="1"/>
  <c r="F7246" i="11"/>
  <c r="F7245" i="11"/>
  <c r="G7245" i="11" s="1"/>
  <c r="F7244" i="11"/>
  <c r="G7244" i="11" s="1"/>
  <c r="H7243" i="11"/>
  <c r="G7243" i="11"/>
  <c r="I7243" i="11" s="1"/>
  <c r="F7243" i="11"/>
  <c r="H7242" i="11"/>
  <c r="G7242" i="11"/>
  <c r="I7242" i="11" s="1"/>
  <c r="F7242" i="11"/>
  <c r="F7241" i="11"/>
  <c r="G7241" i="11" s="1"/>
  <c r="F7240" i="11"/>
  <c r="G7240" i="11" s="1"/>
  <c r="H7239" i="11"/>
  <c r="G7239" i="11"/>
  <c r="I7239" i="11" s="1"/>
  <c r="F7239" i="11"/>
  <c r="H7238" i="11"/>
  <c r="G7238" i="11"/>
  <c r="I7238" i="11" s="1"/>
  <c r="F7238" i="11"/>
  <c r="G7237" i="11"/>
  <c r="F7237" i="11"/>
  <c r="F7236" i="11"/>
  <c r="G7236" i="11" s="1"/>
  <c r="H7235" i="11"/>
  <c r="G7235" i="11"/>
  <c r="I7235" i="11" s="1"/>
  <c r="F7235" i="11"/>
  <c r="G7234" i="11"/>
  <c r="I7234" i="11" s="1"/>
  <c r="F7234" i="11"/>
  <c r="G7233" i="11"/>
  <c r="F7233" i="11"/>
  <c r="F7232" i="11"/>
  <c r="G7232" i="11" s="1"/>
  <c r="H7231" i="11"/>
  <c r="G7231" i="11"/>
  <c r="I7231" i="11" s="1"/>
  <c r="F7231" i="11"/>
  <c r="G7230" i="11"/>
  <c r="I7230" i="11" s="1"/>
  <c r="F7230" i="11"/>
  <c r="F7229" i="11"/>
  <c r="G7229" i="11" s="1"/>
  <c r="F7228" i="11"/>
  <c r="G7228" i="11" s="1"/>
  <c r="H7227" i="11"/>
  <c r="G7227" i="11"/>
  <c r="I7227" i="11" s="1"/>
  <c r="F7227" i="11"/>
  <c r="H7226" i="11"/>
  <c r="G7226" i="11"/>
  <c r="I7226" i="11" s="1"/>
  <c r="F7226" i="11"/>
  <c r="F7225" i="11"/>
  <c r="G7225" i="11" s="1"/>
  <c r="F7224" i="11"/>
  <c r="G7224" i="11" s="1"/>
  <c r="H7223" i="11"/>
  <c r="G7223" i="11"/>
  <c r="I7223" i="11" s="1"/>
  <c r="F7223" i="11"/>
  <c r="H7222" i="11"/>
  <c r="G7222" i="11"/>
  <c r="I7222" i="11" s="1"/>
  <c r="F7222" i="11"/>
  <c r="G7221" i="11"/>
  <c r="F7221" i="11"/>
  <c r="F7220" i="11"/>
  <c r="G7220" i="11" s="1"/>
  <c r="H7219" i="11"/>
  <c r="G7219" i="11"/>
  <c r="I7219" i="11" s="1"/>
  <c r="F7219" i="11"/>
  <c r="G7218" i="11"/>
  <c r="I7218" i="11" s="1"/>
  <c r="F7218" i="11"/>
  <c r="G7217" i="11"/>
  <c r="F7217" i="11"/>
  <c r="F7216" i="11"/>
  <c r="G7216" i="11" s="1"/>
  <c r="H7215" i="11"/>
  <c r="G7215" i="11"/>
  <c r="I7215" i="11" s="1"/>
  <c r="F7215" i="11"/>
  <c r="G7214" i="11"/>
  <c r="I7214" i="11" s="1"/>
  <c r="F7214" i="11"/>
  <c r="F7213" i="11"/>
  <c r="G7213" i="11" s="1"/>
  <c r="H7212" i="11"/>
  <c r="F7212" i="11"/>
  <c r="G7212" i="11" s="1"/>
  <c r="I7212" i="11" s="1"/>
  <c r="G7211" i="11"/>
  <c r="I7211" i="11" s="1"/>
  <c r="F7211" i="11"/>
  <c r="F7210" i="11"/>
  <c r="G7210" i="11" s="1"/>
  <c r="G7209" i="11"/>
  <c r="F7209" i="11"/>
  <c r="F7208" i="11"/>
  <c r="G7208" i="11" s="1"/>
  <c r="I7208" i="11" s="1"/>
  <c r="H7207" i="11"/>
  <c r="G7207" i="11"/>
  <c r="I7207" i="11" s="1"/>
  <c r="F7207" i="11"/>
  <c r="G7206" i="11"/>
  <c r="I7206" i="11" s="1"/>
  <c r="F7206" i="11"/>
  <c r="F7205" i="11"/>
  <c r="G7205" i="11" s="1"/>
  <c r="H7204" i="11"/>
  <c r="F7204" i="11"/>
  <c r="G7204" i="11" s="1"/>
  <c r="I7204" i="11" s="1"/>
  <c r="G7203" i="11"/>
  <c r="I7203" i="11" s="1"/>
  <c r="F7203" i="11"/>
  <c r="F7202" i="11"/>
  <c r="G7202" i="11" s="1"/>
  <c r="G7201" i="11"/>
  <c r="F7201" i="11"/>
  <c r="F7200" i="11"/>
  <c r="G7200" i="11" s="1"/>
  <c r="I7200" i="11" s="1"/>
  <c r="H7199" i="11"/>
  <c r="G7199" i="11"/>
  <c r="I7199" i="11" s="1"/>
  <c r="F7199" i="11"/>
  <c r="G7198" i="11"/>
  <c r="I7198" i="11" s="1"/>
  <c r="F7198" i="11"/>
  <c r="F7197" i="11"/>
  <c r="G7197" i="11" s="1"/>
  <c r="H7196" i="11"/>
  <c r="F7196" i="11"/>
  <c r="G7196" i="11" s="1"/>
  <c r="I7196" i="11" s="1"/>
  <c r="G7195" i="11"/>
  <c r="I7195" i="11" s="1"/>
  <c r="F7195" i="11"/>
  <c r="F7194" i="11"/>
  <c r="G7194" i="11" s="1"/>
  <c r="G7193" i="11"/>
  <c r="F7193" i="11"/>
  <c r="F7192" i="11"/>
  <c r="G7192" i="11" s="1"/>
  <c r="I7192" i="11" s="1"/>
  <c r="H7191" i="11"/>
  <c r="G7191" i="11"/>
  <c r="I7191" i="11" s="1"/>
  <c r="F7191" i="11"/>
  <c r="G7190" i="11"/>
  <c r="I7190" i="11" s="1"/>
  <c r="F7190" i="11"/>
  <c r="F7189" i="11"/>
  <c r="G7189" i="11" s="1"/>
  <c r="H7188" i="11"/>
  <c r="F7188" i="11"/>
  <c r="G7188" i="11" s="1"/>
  <c r="I7188" i="11" s="1"/>
  <c r="G7187" i="11"/>
  <c r="I7187" i="11" s="1"/>
  <c r="F7187" i="11"/>
  <c r="F7186" i="11"/>
  <c r="G7186" i="11" s="1"/>
  <c r="G7185" i="11"/>
  <c r="F7185" i="11"/>
  <c r="F7184" i="11"/>
  <c r="G7184" i="11" s="1"/>
  <c r="I7184" i="11" s="1"/>
  <c r="H7183" i="11"/>
  <c r="G7183" i="11"/>
  <c r="I7183" i="11" s="1"/>
  <c r="F7183" i="11"/>
  <c r="G7182" i="11"/>
  <c r="I7182" i="11" s="1"/>
  <c r="F7182" i="11"/>
  <c r="F7181" i="11"/>
  <c r="G7181" i="11" s="1"/>
  <c r="H7180" i="11"/>
  <c r="F7180" i="11"/>
  <c r="G7180" i="11" s="1"/>
  <c r="I7180" i="11" s="1"/>
  <c r="G7179" i="11"/>
  <c r="I7179" i="11" s="1"/>
  <c r="F7179" i="11"/>
  <c r="F7178" i="11"/>
  <c r="G7178" i="11" s="1"/>
  <c r="G7177" i="11"/>
  <c r="F7177" i="11"/>
  <c r="F7176" i="11"/>
  <c r="G7176" i="11" s="1"/>
  <c r="I7176" i="11" s="1"/>
  <c r="H7175" i="11"/>
  <c r="G7175" i="11"/>
  <c r="I7175" i="11" s="1"/>
  <c r="F7175" i="11"/>
  <c r="G7174" i="11"/>
  <c r="I7174" i="11" s="1"/>
  <c r="F7174" i="11"/>
  <c r="F7173" i="11"/>
  <c r="G7173" i="11" s="1"/>
  <c r="H7172" i="11"/>
  <c r="F7172" i="11"/>
  <c r="G7172" i="11" s="1"/>
  <c r="I7172" i="11" s="1"/>
  <c r="G7171" i="11"/>
  <c r="I7171" i="11" s="1"/>
  <c r="F7171" i="11"/>
  <c r="F7170" i="11"/>
  <c r="G7170" i="11" s="1"/>
  <c r="G7169" i="11"/>
  <c r="F7169" i="11"/>
  <c r="F7168" i="11"/>
  <c r="G7168" i="11" s="1"/>
  <c r="I7168" i="11" s="1"/>
  <c r="H7167" i="11"/>
  <c r="G7167" i="11"/>
  <c r="I7167" i="11" s="1"/>
  <c r="F7167" i="11"/>
  <c r="G7166" i="11"/>
  <c r="I7166" i="11" s="1"/>
  <c r="F7166" i="11"/>
  <c r="F7165" i="11"/>
  <c r="G7165" i="11" s="1"/>
  <c r="H7164" i="11"/>
  <c r="F7164" i="11"/>
  <c r="G7164" i="11" s="1"/>
  <c r="I7164" i="11" s="1"/>
  <c r="G7163" i="11"/>
  <c r="I7163" i="11" s="1"/>
  <c r="F7163" i="11"/>
  <c r="F7162" i="11"/>
  <c r="G7162" i="11" s="1"/>
  <c r="G7161" i="11"/>
  <c r="F7161" i="11"/>
  <c r="F7160" i="11"/>
  <c r="G7160" i="11" s="1"/>
  <c r="I7160" i="11" s="1"/>
  <c r="H7159" i="11"/>
  <c r="G7159" i="11"/>
  <c r="I7159" i="11" s="1"/>
  <c r="F7159" i="11"/>
  <c r="G7158" i="11"/>
  <c r="I7158" i="11" s="1"/>
  <c r="F7158" i="11"/>
  <c r="F7157" i="11"/>
  <c r="G7157" i="11" s="1"/>
  <c r="H7156" i="11"/>
  <c r="F7156" i="11"/>
  <c r="G7156" i="11" s="1"/>
  <c r="I7156" i="11" s="1"/>
  <c r="G7155" i="11"/>
  <c r="I7155" i="11" s="1"/>
  <c r="F7155" i="11"/>
  <c r="F7154" i="11"/>
  <c r="G7154" i="11" s="1"/>
  <c r="G7153" i="11"/>
  <c r="F7153" i="11"/>
  <c r="F7152" i="11"/>
  <c r="G7152" i="11" s="1"/>
  <c r="I7152" i="11" s="1"/>
  <c r="H7151" i="11"/>
  <c r="G7151" i="11"/>
  <c r="I7151" i="11" s="1"/>
  <c r="F7151" i="11"/>
  <c r="G7150" i="11"/>
  <c r="I7150" i="11" s="1"/>
  <c r="F7150" i="11"/>
  <c r="F7149" i="11"/>
  <c r="G7149" i="11" s="1"/>
  <c r="H7148" i="11"/>
  <c r="F7148" i="11"/>
  <c r="G7148" i="11" s="1"/>
  <c r="I7148" i="11" s="1"/>
  <c r="G7147" i="11"/>
  <c r="I7147" i="11" s="1"/>
  <c r="F7147" i="11"/>
  <c r="F7146" i="11"/>
  <c r="G7146" i="11" s="1"/>
  <c r="G7145" i="11"/>
  <c r="F7145" i="11"/>
  <c r="F7144" i="11"/>
  <c r="G7144" i="11" s="1"/>
  <c r="I7144" i="11" s="1"/>
  <c r="H7143" i="11"/>
  <c r="G7143" i="11"/>
  <c r="I7143" i="11" s="1"/>
  <c r="F7143" i="11"/>
  <c r="G7142" i="11"/>
  <c r="I7142" i="11" s="1"/>
  <c r="F7142" i="11"/>
  <c r="F7141" i="11"/>
  <c r="G7141" i="11" s="1"/>
  <c r="H7140" i="11"/>
  <c r="F7140" i="11"/>
  <c r="G7140" i="11" s="1"/>
  <c r="I7140" i="11" s="1"/>
  <c r="G7139" i="11"/>
  <c r="I7139" i="11" s="1"/>
  <c r="F7139" i="11"/>
  <c r="F7138" i="11"/>
  <c r="G7138" i="11" s="1"/>
  <c r="G7137" i="11"/>
  <c r="F7137" i="11"/>
  <c r="F7136" i="11"/>
  <c r="G7136" i="11" s="1"/>
  <c r="I7136" i="11" s="1"/>
  <c r="H7135" i="11"/>
  <c r="G7135" i="11"/>
  <c r="I7135" i="11" s="1"/>
  <c r="F7135" i="11"/>
  <c r="G7134" i="11"/>
  <c r="I7134" i="11" s="1"/>
  <c r="F7134" i="11"/>
  <c r="F7133" i="11"/>
  <c r="G7133" i="11" s="1"/>
  <c r="H7132" i="11"/>
  <c r="F7132" i="11"/>
  <c r="G7132" i="11" s="1"/>
  <c r="I7132" i="11" s="1"/>
  <c r="G7131" i="11"/>
  <c r="I7131" i="11" s="1"/>
  <c r="F7131" i="11"/>
  <c r="F7130" i="11"/>
  <c r="G7130" i="11" s="1"/>
  <c r="G7129" i="11"/>
  <c r="F7129" i="11"/>
  <c r="F7128" i="11"/>
  <c r="G7128" i="11" s="1"/>
  <c r="I7128" i="11" s="1"/>
  <c r="H7127" i="11"/>
  <c r="G7127" i="11"/>
  <c r="I7127" i="11" s="1"/>
  <c r="F7127" i="11"/>
  <c r="G7126" i="11"/>
  <c r="I7126" i="11" s="1"/>
  <c r="F7126" i="11"/>
  <c r="F7125" i="11"/>
  <c r="G7125" i="11" s="1"/>
  <c r="H7124" i="11"/>
  <c r="F7124" i="11"/>
  <c r="G7124" i="11" s="1"/>
  <c r="I7124" i="11" s="1"/>
  <c r="G7123" i="11"/>
  <c r="I7123" i="11" s="1"/>
  <c r="F7123" i="11"/>
  <c r="F7122" i="11"/>
  <c r="G7122" i="11" s="1"/>
  <c r="G7121" i="11"/>
  <c r="F7121" i="11"/>
  <c r="F7120" i="11"/>
  <c r="G7120" i="11" s="1"/>
  <c r="I7120" i="11" s="1"/>
  <c r="H7119" i="11"/>
  <c r="G7119" i="11"/>
  <c r="I7119" i="11" s="1"/>
  <c r="F7119" i="11"/>
  <c r="G7118" i="11"/>
  <c r="I7118" i="11" s="1"/>
  <c r="F7118" i="11"/>
  <c r="F7117" i="11"/>
  <c r="G7117" i="11" s="1"/>
  <c r="H7116" i="11"/>
  <c r="F7116" i="11"/>
  <c r="G7116" i="11" s="1"/>
  <c r="I7116" i="11" s="1"/>
  <c r="G7115" i="11"/>
  <c r="I7115" i="11" s="1"/>
  <c r="F7115" i="11"/>
  <c r="F7114" i="11"/>
  <c r="G7114" i="11" s="1"/>
  <c r="G7113" i="11"/>
  <c r="F7113" i="11"/>
  <c r="F7112" i="11"/>
  <c r="G7112" i="11" s="1"/>
  <c r="I7112" i="11" s="1"/>
  <c r="H7111" i="11"/>
  <c r="G7111" i="11"/>
  <c r="I7111" i="11" s="1"/>
  <c r="F7111" i="11"/>
  <c r="G7110" i="11"/>
  <c r="I7110" i="11" s="1"/>
  <c r="F7110" i="11"/>
  <c r="F7109" i="11"/>
  <c r="G7109" i="11" s="1"/>
  <c r="H7108" i="11"/>
  <c r="F7108" i="11"/>
  <c r="G7108" i="11" s="1"/>
  <c r="I7108" i="11" s="1"/>
  <c r="G7107" i="11"/>
  <c r="I7107" i="11" s="1"/>
  <c r="F7107" i="11"/>
  <c r="F7106" i="11"/>
  <c r="G7106" i="11" s="1"/>
  <c r="G7105" i="11"/>
  <c r="F7105" i="11"/>
  <c r="F7104" i="11"/>
  <c r="G7104" i="11" s="1"/>
  <c r="I7104" i="11" s="1"/>
  <c r="H7103" i="11"/>
  <c r="G7103" i="11"/>
  <c r="I7103" i="11" s="1"/>
  <c r="F7103" i="11"/>
  <c r="G7102" i="11"/>
  <c r="I7102" i="11" s="1"/>
  <c r="F7102" i="11"/>
  <c r="F7101" i="11"/>
  <c r="G7101" i="11" s="1"/>
  <c r="H7100" i="11"/>
  <c r="F7100" i="11"/>
  <c r="G7100" i="11" s="1"/>
  <c r="I7100" i="11" s="1"/>
  <c r="G7099" i="11"/>
  <c r="I7099" i="11" s="1"/>
  <c r="F7099" i="11"/>
  <c r="F7098" i="11"/>
  <c r="G7098" i="11" s="1"/>
  <c r="G7097" i="11"/>
  <c r="F7097" i="11"/>
  <c r="F7096" i="11"/>
  <c r="G7096" i="11" s="1"/>
  <c r="I7096" i="11" s="1"/>
  <c r="H7095" i="11"/>
  <c r="G7095" i="11"/>
  <c r="I7095" i="11" s="1"/>
  <c r="F7095" i="11"/>
  <c r="G7094" i="11"/>
  <c r="I7094" i="11" s="1"/>
  <c r="F7094" i="11"/>
  <c r="F7093" i="11"/>
  <c r="G7093" i="11" s="1"/>
  <c r="H7092" i="11"/>
  <c r="F7092" i="11"/>
  <c r="G7092" i="11" s="1"/>
  <c r="I7092" i="11" s="1"/>
  <c r="G7091" i="11"/>
  <c r="I7091" i="11" s="1"/>
  <c r="F7091" i="11"/>
  <c r="F7090" i="11"/>
  <c r="G7090" i="11" s="1"/>
  <c r="G7089" i="11"/>
  <c r="F7089" i="11"/>
  <c r="F7088" i="11"/>
  <c r="G7088" i="11" s="1"/>
  <c r="I7088" i="11" s="1"/>
  <c r="H7087" i="11"/>
  <c r="G7087" i="11"/>
  <c r="I7087" i="11" s="1"/>
  <c r="F7087" i="11"/>
  <c r="G7086" i="11"/>
  <c r="I7086" i="11" s="1"/>
  <c r="F7086" i="11"/>
  <c r="F7085" i="11"/>
  <c r="G7085" i="11" s="1"/>
  <c r="H7084" i="11"/>
  <c r="F7084" i="11"/>
  <c r="G7084" i="11" s="1"/>
  <c r="I7084" i="11" s="1"/>
  <c r="G7083" i="11"/>
  <c r="I7083" i="11" s="1"/>
  <c r="F7083" i="11"/>
  <c r="F7082" i="11"/>
  <c r="G7082" i="11" s="1"/>
  <c r="G7081" i="11"/>
  <c r="F7081" i="11"/>
  <c r="F7080" i="11"/>
  <c r="G7080" i="11" s="1"/>
  <c r="I7080" i="11" s="1"/>
  <c r="H7079" i="11"/>
  <c r="G7079" i="11"/>
  <c r="I7079" i="11" s="1"/>
  <c r="F7079" i="11"/>
  <c r="G7078" i="11"/>
  <c r="I7078" i="11" s="1"/>
  <c r="F7078" i="11"/>
  <c r="F7077" i="11"/>
  <c r="G7077" i="11" s="1"/>
  <c r="H7076" i="11"/>
  <c r="F7076" i="11"/>
  <c r="G7076" i="11" s="1"/>
  <c r="I7076" i="11" s="1"/>
  <c r="G7075" i="11"/>
  <c r="I7075" i="11" s="1"/>
  <c r="F7075" i="11"/>
  <c r="F7074" i="11"/>
  <c r="G7074" i="11" s="1"/>
  <c r="G7073" i="11"/>
  <c r="F7073" i="11"/>
  <c r="F7072" i="11"/>
  <c r="G7072" i="11" s="1"/>
  <c r="I7072" i="11" s="1"/>
  <c r="H7071" i="11"/>
  <c r="G7071" i="11"/>
  <c r="I7071" i="11" s="1"/>
  <c r="F7071" i="11"/>
  <c r="G7070" i="11"/>
  <c r="I7070" i="11" s="1"/>
  <c r="F7070" i="11"/>
  <c r="F7069" i="11"/>
  <c r="G7069" i="11" s="1"/>
  <c r="H7068" i="11"/>
  <c r="F7068" i="11"/>
  <c r="G7068" i="11" s="1"/>
  <c r="I7068" i="11" s="1"/>
  <c r="G7067" i="11"/>
  <c r="I7067" i="11" s="1"/>
  <c r="F7067" i="11"/>
  <c r="F7066" i="11"/>
  <c r="G7066" i="11" s="1"/>
  <c r="G7065" i="11"/>
  <c r="F7065" i="11"/>
  <c r="F7064" i="11"/>
  <c r="G7064" i="11" s="1"/>
  <c r="I7064" i="11" s="1"/>
  <c r="H7063" i="11"/>
  <c r="G7063" i="11"/>
  <c r="I7063" i="11" s="1"/>
  <c r="F7063" i="11"/>
  <c r="G7062" i="11"/>
  <c r="I7062" i="11" s="1"/>
  <c r="F7062" i="11"/>
  <c r="F7061" i="11"/>
  <c r="G7061" i="11" s="1"/>
  <c r="H7060" i="11"/>
  <c r="F7060" i="11"/>
  <c r="G7060" i="11" s="1"/>
  <c r="I7060" i="11" s="1"/>
  <c r="G7059" i="11"/>
  <c r="I7059" i="11" s="1"/>
  <c r="F7059" i="11"/>
  <c r="F7058" i="11"/>
  <c r="G7058" i="11" s="1"/>
  <c r="G7057" i="11"/>
  <c r="F7057" i="11"/>
  <c r="F7056" i="11"/>
  <c r="G7056" i="11" s="1"/>
  <c r="I7056" i="11" s="1"/>
  <c r="H7055" i="11"/>
  <c r="G7055" i="11"/>
  <c r="I7055" i="11" s="1"/>
  <c r="F7055" i="11"/>
  <c r="G7054" i="11"/>
  <c r="I7054" i="11" s="1"/>
  <c r="F7054" i="11"/>
  <c r="F7053" i="11"/>
  <c r="G7053" i="11" s="1"/>
  <c r="H7052" i="11"/>
  <c r="F7052" i="11"/>
  <c r="G7052" i="11" s="1"/>
  <c r="I7052" i="11" s="1"/>
  <c r="G7051" i="11"/>
  <c r="I7051" i="11" s="1"/>
  <c r="F7051" i="11"/>
  <c r="F7050" i="11"/>
  <c r="G7050" i="11" s="1"/>
  <c r="G7049" i="11"/>
  <c r="F7049" i="11"/>
  <c r="F7048" i="11"/>
  <c r="G7048" i="11" s="1"/>
  <c r="I7048" i="11" s="1"/>
  <c r="H7047" i="11"/>
  <c r="G7047" i="11"/>
  <c r="I7047" i="11" s="1"/>
  <c r="F7047" i="11"/>
  <c r="G7046" i="11"/>
  <c r="I7046" i="11" s="1"/>
  <c r="F7046" i="11"/>
  <c r="F7045" i="11"/>
  <c r="G7045" i="11" s="1"/>
  <c r="H7044" i="11"/>
  <c r="F7044" i="11"/>
  <c r="G7044" i="11" s="1"/>
  <c r="I7044" i="11" s="1"/>
  <c r="G7043" i="11"/>
  <c r="I7043" i="11" s="1"/>
  <c r="F7043" i="11"/>
  <c r="F7042" i="11"/>
  <c r="G7042" i="11" s="1"/>
  <c r="G7041" i="11"/>
  <c r="F7041" i="11"/>
  <c r="F7040" i="11"/>
  <c r="G7040" i="11" s="1"/>
  <c r="I7040" i="11" s="1"/>
  <c r="H7039" i="11"/>
  <c r="G7039" i="11"/>
  <c r="I7039" i="11" s="1"/>
  <c r="F7039" i="11"/>
  <c r="G7038" i="11"/>
  <c r="I7038" i="11" s="1"/>
  <c r="F7038" i="11"/>
  <c r="F7037" i="11"/>
  <c r="G7037" i="11" s="1"/>
  <c r="H7036" i="11"/>
  <c r="F7036" i="11"/>
  <c r="G7036" i="11" s="1"/>
  <c r="I7036" i="11" s="1"/>
  <c r="G7035" i="11"/>
  <c r="I7035" i="11" s="1"/>
  <c r="F7035" i="11"/>
  <c r="F7034" i="11"/>
  <c r="G7034" i="11" s="1"/>
  <c r="G7033" i="11"/>
  <c r="F7033" i="11"/>
  <c r="F7032" i="11"/>
  <c r="G7032" i="11" s="1"/>
  <c r="I7032" i="11" s="1"/>
  <c r="H7031" i="11"/>
  <c r="G7031" i="11"/>
  <c r="I7031" i="11" s="1"/>
  <c r="F7031" i="11"/>
  <c r="G7030" i="11"/>
  <c r="I7030" i="11" s="1"/>
  <c r="F7030" i="11"/>
  <c r="F7029" i="11"/>
  <c r="G7029" i="11" s="1"/>
  <c r="H7028" i="11"/>
  <c r="F7028" i="11"/>
  <c r="G7028" i="11" s="1"/>
  <c r="I7028" i="11" s="1"/>
  <c r="G7027" i="11"/>
  <c r="I7027" i="11" s="1"/>
  <c r="F7027" i="11"/>
  <c r="F7026" i="11"/>
  <c r="G7026" i="11" s="1"/>
  <c r="G7025" i="11"/>
  <c r="F7025" i="11"/>
  <c r="F7024" i="11"/>
  <c r="G7024" i="11" s="1"/>
  <c r="I7024" i="11" s="1"/>
  <c r="H7023" i="11"/>
  <c r="G7023" i="11"/>
  <c r="I7023" i="11" s="1"/>
  <c r="F7023" i="11"/>
  <c r="G7022" i="11"/>
  <c r="I7022" i="11" s="1"/>
  <c r="F7022" i="11"/>
  <c r="F7021" i="11"/>
  <c r="G7021" i="11" s="1"/>
  <c r="H7020" i="11"/>
  <c r="F7020" i="11"/>
  <c r="G7020" i="11" s="1"/>
  <c r="I7020" i="11" s="1"/>
  <c r="G7019" i="11"/>
  <c r="I7019" i="11" s="1"/>
  <c r="F7019" i="11"/>
  <c r="F7018" i="11"/>
  <c r="G7018" i="11" s="1"/>
  <c r="G7017" i="11"/>
  <c r="F7017" i="11"/>
  <c r="F7016" i="11"/>
  <c r="G7016" i="11" s="1"/>
  <c r="I7016" i="11" s="1"/>
  <c r="H7015" i="11"/>
  <c r="G7015" i="11"/>
  <c r="I7015" i="11" s="1"/>
  <c r="F7015" i="11"/>
  <c r="G7014" i="11"/>
  <c r="I7014" i="11" s="1"/>
  <c r="F7014" i="11"/>
  <c r="F7013" i="11"/>
  <c r="G7013" i="11" s="1"/>
  <c r="H7012" i="11"/>
  <c r="F7012" i="11"/>
  <c r="G7012" i="11" s="1"/>
  <c r="I7012" i="11" s="1"/>
  <c r="G7011" i="11"/>
  <c r="I7011" i="11" s="1"/>
  <c r="F7011" i="11"/>
  <c r="F7010" i="11"/>
  <c r="G7010" i="11" s="1"/>
  <c r="G7009" i="11"/>
  <c r="F7009" i="11"/>
  <c r="F7008" i="11"/>
  <c r="G7008" i="11" s="1"/>
  <c r="I7008" i="11" s="1"/>
  <c r="H7007" i="11"/>
  <c r="G7007" i="11"/>
  <c r="I7007" i="11" s="1"/>
  <c r="F7007" i="11"/>
  <c r="G7006" i="11"/>
  <c r="I7006" i="11" s="1"/>
  <c r="F7006" i="11"/>
  <c r="F7005" i="11"/>
  <c r="G7005" i="11" s="1"/>
  <c r="H7004" i="11"/>
  <c r="F7004" i="11"/>
  <c r="G7004" i="11" s="1"/>
  <c r="I7004" i="11" s="1"/>
  <c r="G7003" i="11"/>
  <c r="I7003" i="11" s="1"/>
  <c r="F7003" i="11"/>
  <c r="F7002" i="11"/>
  <c r="G7002" i="11" s="1"/>
  <c r="G7001" i="11"/>
  <c r="F7001" i="11"/>
  <c r="F7000" i="11"/>
  <c r="G7000" i="11" s="1"/>
  <c r="I7000" i="11" s="1"/>
  <c r="H6999" i="11"/>
  <c r="G6999" i="11"/>
  <c r="I6999" i="11" s="1"/>
  <c r="F6999" i="11"/>
  <c r="G6998" i="11"/>
  <c r="I6998" i="11" s="1"/>
  <c r="F6998" i="11"/>
  <c r="F6997" i="11"/>
  <c r="G6997" i="11" s="1"/>
  <c r="H6996" i="11"/>
  <c r="F6996" i="11"/>
  <c r="G6996" i="11" s="1"/>
  <c r="I6996" i="11" s="1"/>
  <c r="G6995" i="11"/>
  <c r="I6995" i="11" s="1"/>
  <c r="F6995" i="11"/>
  <c r="F6994" i="11"/>
  <c r="G6994" i="11" s="1"/>
  <c r="G6993" i="11"/>
  <c r="F6993" i="11"/>
  <c r="F6992" i="11"/>
  <c r="G6992" i="11" s="1"/>
  <c r="I6992" i="11" s="1"/>
  <c r="H6991" i="11"/>
  <c r="G6991" i="11"/>
  <c r="I6991" i="11" s="1"/>
  <c r="F6991" i="11"/>
  <c r="G6990" i="11"/>
  <c r="I6990" i="11" s="1"/>
  <c r="F6990" i="11"/>
  <c r="F6989" i="11"/>
  <c r="G6989" i="11" s="1"/>
  <c r="H6988" i="11"/>
  <c r="F6988" i="11"/>
  <c r="G6988" i="11" s="1"/>
  <c r="I6988" i="11" s="1"/>
  <c r="G6987" i="11"/>
  <c r="I6987" i="11" s="1"/>
  <c r="F6987" i="11"/>
  <c r="F6986" i="11"/>
  <c r="G6986" i="11" s="1"/>
  <c r="G6985" i="11"/>
  <c r="F6985" i="11"/>
  <c r="F6984" i="11"/>
  <c r="G6984" i="11" s="1"/>
  <c r="I6984" i="11" s="1"/>
  <c r="H6983" i="11"/>
  <c r="G6983" i="11"/>
  <c r="I6983" i="11" s="1"/>
  <c r="F6983" i="11"/>
  <c r="G6982" i="11"/>
  <c r="I6982" i="11" s="1"/>
  <c r="F6982" i="11"/>
  <c r="F6981" i="11"/>
  <c r="G6981" i="11" s="1"/>
  <c r="H6980" i="11"/>
  <c r="F6980" i="11"/>
  <c r="G6980" i="11" s="1"/>
  <c r="I6980" i="11" s="1"/>
  <c r="G6979" i="11"/>
  <c r="I6979" i="11" s="1"/>
  <c r="F6979" i="11"/>
  <c r="F6978" i="11"/>
  <c r="G6978" i="11" s="1"/>
  <c r="G6977" i="11"/>
  <c r="F6977" i="11"/>
  <c r="F6976" i="11"/>
  <c r="G6976" i="11" s="1"/>
  <c r="I6976" i="11" s="1"/>
  <c r="H6975" i="11"/>
  <c r="G6975" i="11"/>
  <c r="I6975" i="11" s="1"/>
  <c r="F6975" i="11"/>
  <c r="G6974" i="11"/>
  <c r="I6974" i="11" s="1"/>
  <c r="F6974" i="11"/>
  <c r="F6973" i="11"/>
  <c r="G6973" i="11" s="1"/>
  <c r="H6972" i="11"/>
  <c r="F6972" i="11"/>
  <c r="G6972" i="11" s="1"/>
  <c r="I6972" i="11" s="1"/>
  <c r="G6971" i="11"/>
  <c r="I6971" i="11" s="1"/>
  <c r="F6971" i="11"/>
  <c r="F6970" i="11"/>
  <c r="G6970" i="11" s="1"/>
  <c r="G6969" i="11"/>
  <c r="F6969" i="11"/>
  <c r="F6968" i="11"/>
  <c r="G6968" i="11" s="1"/>
  <c r="I6968" i="11" s="1"/>
  <c r="H6967" i="11"/>
  <c r="G6967" i="11"/>
  <c r="I6967" i="11" s="1"/>
  <c r="F6967" i="11"/>
  <c r="G6966" i="11"/>
  <c r="I6966" i="11" s="1"/>
  <c r="F6966" i="11"/>
  <c r="F6965" i="11"/>
  <c r="G6965" i="11" s="1"/>
  <c r="H6964" i="11"/>
  <c r="F6964" i="11"/>
  <c r="G6964" i="11" s="1"/>
  <c r="I6964" i="11" s="1"/>
  <c r="G6963" i="11"/>
  <c r="I6963" i="11" s="1"/>
  <c r="F6963" i="11"/>
  <c r="F6962" i="11"/>
  <c r="G6962" i="11" s="1"/>
  <c r="G6961" i="11"/>
  <c r="F6961" i="11"/>
  <c r="F6960" i="11"/>
  <c r="G6960" i="11" s="1"/>
  <c r="I6960" i="11" s="1"/>
  <c r="H6959" i="11"/>
  <c r="G6959" i="11"/>
  <c r="I6959" i="11" s="1"/>
  <c r="F6959" i="11"/>
  <c r="G6958" i="11"/>
  <c r="I6958" i="11" s="1"/>
  <c r="F6958" i="11"/>
  <c r="F6957" i="11"/>
  <c r="G6957" i="11" s="1"/>
  <c r="H6956" i="11"/>
  <c r="F6956" i="11"/>
  <c r="G6956" i="11" s="1"/>
  <c r="I6956" i="11" s="1"/>
  <c r="G6955" i="11"/>
  <c r="I6955" i="11" s="1"/>
  <c r="F6955" i="11"/>
  <c r="F6954" i="11"/>
  <c r="G6954" i="11" s="1"/>
  <c r="G6953" i="11"/>
  <c r="F6953" i="11"/>
  <c r="F6952" i="11"/>
  <c r="G6952" i="11" s="1"/>
  <c r="I6952" i="11" s="1"/>
  <c r="H6951" i="11"/>
  <c r="G6951" i="11"/>
  <c r="I6951" i="11" s="1"/>
  <c r="F6951" i="11"/>
  <c r="G6950" i="11"/>
  <c r="I6950" i="11" s="1"/>
  <c r="F6950" i="11"/>
  <c r="F6949" i="11"/>
  <c r="G6949" i="11" s="1"/>
  <c r="H6948" i="11"/>
  <c r="F6948" i="11"/>
  <c r="G6948" i="11" s="1"/>
  <c r="I6948" i="11" s="1"/>
  <c r="G6947" i="11"/>
  <c r="I6947" i="11" s="1"/>
  <c r="F6947" i="11"/>
  <c r="F6946" i="11"/>
  <c r="G6946" i="11" s="1"/>
  <c r="G6945" i="11"/>
  <c r="F6945" i="11"/>
  <c r="F6944" i="11"/>
  <c r="G6944" i="11" s="1"/>
  <c r="I6944" i="11" s="1"/>
  <c r="H6943" i="11"/>
  <c r="G6943" i="11"/>
  <c r="I6943" i="11" s="1"/>
  <c r="F6943" i="11"/>
  <c r="G6942" i="11"/>
  <c r="I6942" i="11" s="1"/>
  <c r="F6942" i="11"/>
  <c r="F6941" i="11"/>
  <c r="G6941" i="11" s="1"/>
  <c r="H6940" i="11"/>
  <c r="F6940" i="11"/>
  <c r="G6940" i="11" s="1"/>
  <c r="I6940" i="11" s="1"/>
  <c r="G6939" i="11"/>
  <c r="I6939" i="11" s="1"/>
  <c r="F6939" i="11"/>
  <c r="F6938" i="11"/>
  <c r="G6938" i="11" s="1"/>
  <c r="G6937" i="11"/>
  <c r="F6937" i="11"/>
  <c r="F6936" i="11"/>
  <c r="G6936" i="11" s="1"/>
  <c r="I6936" i="11" s="1"/>
  <c r="H6935" i="11"/>
  <c r="G6935" i="11"/>
  <c r="I6935" i="11" s="1"/>
  <c r="F6935" i="11"/>
  <c r="G6934" i="11"/>
  <c r="I6934" i="11" s="1"/>
  <c r="F6934" i="11"/>
  <c r="F6933" i="11"/>
  <c r="G6933" i="11" s="1"/>
  <c r="H6932" i="11"/>
  <c r="F6932" i="11"/>
  <c r="G6932" i="11" s="1"/>
  <c r="I6932" i="11" s="1"/>
  <c r="G6931" i="11"/>
  <c r="I6931" i="11" s="1"/>
  <c r="F6931" i="11"/>
  <c r="F6930" i="11"/>
  <c r="G6930" i="11" s="1"/>
  <c r="G6929" i="11"/>
  <c r="F6929" i="11"/>
  <c r="F6928" i="11"/>
  <c r="G6928" i="11" s="1"/>
  <c r="I6928" i="11" s="1"/>
  <c r="H6927" i="11"/>
  <c r="G6927" i="11"/>
  <c r="I6927" i="11" s="1"/>
  <c r="F6927" i="11"/>
  <c r="G6926" i="11"/>
  <c r="I6926" i="11" s="1"/>
  <c r="F6926" i="11"/>
  <c r="F6925" i="11"/>
  <c r="G6925" i="11" s="1"/>
  <c r="H6924" i="11"/>
  <c r="F6924" i="11"/>
  <c r="G6924" i="11" s="1"/>
  <c r="I6924" i="11" s="1"/>
  <c r="G6923" i="11"/>
  <c r="I6923" i="11" s="1"/>
  <c r="F6923" i="11"/>
  <c r="F6922" i="11"/>
  <c r="G6922" i="11" s="1"/>
  <c r="G6921" i="11"/>
  <c r="F6921" i="11"/>
  <c r="F6920" i="11"/>
  <c r="G6920" i="11" s="1"/>
  <c r="I6920" i="11" s="1"/>
  <c r="H6919" i="11"/>
  <c r="G6919" i="11"/>
  <c r="I6919" i="11" s="1"/>
  <c r="F6919" i="11"/>
  <c r="G6918" i="11"/>
  <c r="I6918" i="11" s="1"/>
  <c r="F6918" i="11"/>
  <c r="F6917" i="11"/>
  <c r="G6917" i="11" s="1"/>
  <c r="H6916" i="11"/>
  <c r="F6916" i="11"/>
  <c r="G6916" i="11" s="1"/>
  <c r="I6916" i="11" s="1"/>
  <c r="G6915" i="11"/>
  <c r="I6915" i="11" s="1"/>
  <c r="F6915" i="11"/>
  <c r="F6914" i="11"/>
  <c r="G6914" i="11" s="1"/>
  <c r="G6913" i="11"/>
  <c r="F6913" i="11"/>
  <c r="F6912" i="11"/>
  <c r="G6912" i="11" s="1"/>
  <c r="I6912" i="11" s="1"/>
  <c r="H6911" i="11"/>
  <c r="G6911" i="11"/>
  <c r="I6911" i="11" s="1"/>
  <c r="F6911" i="11"/>
  <c r="G6910" i="11"/>
  <c r="I6910" i="11" s="1"/>
  <c r="F6910" i="11"/>
  <c r="F6909" i="11"/>
  <c r="G6909" i="11" s="1"/>
  <c r="H6908" i="11"/>
  <c r="F6908" i="11"/>
  <c r="G6908" i="11" s="1"/>
  <c r="I6908" i="11" s="1"/>
  <c r="G6907" i="11"/>
  <c r="I6907" i="11" s="1"/>
  <c r="F6907" i="11"/>
  <c r="F6906" i="11"/>
  <c r="G6906" i="11" s="1"/>
  <c r="G6905" i="11"/>
  <c r="F6905" i="11"/>
  <c r="F6904" i="11"/>
  <c r="G6904" i="11" s="1"/>
  <c r="I6904" i="11" s="1"/>
  <c r="H6903" i="11"/>
  <c r="G6903" i="11"/>
  <c r="I6903" i="11" s="1"/>
  <c r="F6903" i="11"/>
  <c r="G6902" i="11"/>
  <c r="I6902" i="11" s="1"/>
  <c r="F6902" i="11"/>
  <c r="F6901" i="11"/>
  <c r="G6901" i="11" s="1"/>
  <c r="H6900" i="11"/>
  <c r="F6900" i="11"/>
  <c r="G6900" i="11" s="1"/>
  <c r="I6900" i="11" s="1"/>
  <c r="G6899" i="11"/>
  <c r="I6899" i="11" s="1"/>
  <c r="F6899" i="11"/>
  <c r="F6898" i="11"/>
  <c r="G6898" i="11" s="1"/>
  <c r="G6897" i="11"/>
  <c r="F6897" i="11"/>
  <c r="F6896" i="11"/>
  <c r="G6896" i="11" s="1"/>
  <c r="I6896" i="11" s="1"/>
  <c r="H6895" i="11"/>
  <c r="G6895" i="11"/>
  <c r="I6895" i="11" s="1"/>
  <c r="F6895" i="11"/>
  <c r="G6894" i="11"/>
  <c r="I6894" i="11" s="1"/>
  <c r="F6894" i="11"/>
  <c r="F6893" i="11"/>
  <c r="G6893" i="11" s="1"/>
  <c r="H6892" i="11"/>
  <c r="F6892" i="11"/>
  <c r="G6892" i="11" s="1"/>
  <c r="I6892" i="11" s="1"/>
  <c r="G6891" i="11"/>
  <c r="I6891" i="11" s="1"/>
  <c r="F6891" i="11"/>
  <c r="F6890" i="11"/>
  <c r="G6890" i="11" s="1"/>
  <c r="G6889" i="11"/>
  <c r="F6889" i="11"/>
  <c r="F6888" i="11"/>
  <c r="G6888" i="11" s="1"/>
  <c r="I6888" i="11" s="1"/>
  <c r="H6887" i="11"/>
  <c r="G6887" i="11"/>
  <c r="I6887" i="11" s="1"/>
  <c r="F6887" i="11"/>
  <c r="G6886" i="11"/>
  <c r="I6886" i="11" s="1"/>
  <c r="F6886" i="11"/>
  <c r="F6885" i="11"/>
  <c r="G6885" i="11" s="1"/>
  <c r="H6884" i="11"/>
  <c r="F6884" i="11"/>
  <c r="G6884" i="11" s="1"/>
  <c r="I6884" i="11" s="1"/>
  <c r="G6883" i="11"/>
  <c r="I6883" i="11" s="1"/>
  <c r="F6883" i="11"/>
  <c r="F6882" i="11"/>
  <c r="G6882" i="11" s="1"/>
  <c r="G6881" i="11"/>
  <c r="F6881" i="11"/>
  <c r="F6880" i="11"/>
  <c r="G6880" i="11" s="1"/>
  <c r="I6880" i="11" s="1"/>
  <c r="H6879" i="11"/>
  <c r="G6879" i="11"/>
  <c r="I6879" i="11" s="1"/>
  <c r="F6879" i="11"/>
  <c r="G6878" i="11"/>
  <c r="I6878" i="11" s="1"/>
  <c r="F6878" i="11"/>
  <c r="F6877" i="11"/>
  <c r="G6877" i="11" s="1"/>
  <c r="H6876" i="11"/>
  <c r="F6876" i="11"/>
  <c r="G6876" i="11" s="1"/>
  <c r="I6876" i="11" s="1"/>
  <c r="G6875" i="11"/>
  <c r="I6875" i="11" s="1"/>
  <c r="F6875" i="11"/>
  <c r="F6874" i="11"/>
  <c r="G6874" i="11" s="1"/>
  <c r="G6873" i="11"/>
  <c r="F6873" i="11"/>
  <c r="F6872" i="11"/>
  <c r="G6872" i="11" s="1"/>
  <c r="I6872" i="11" s="1"/>
  <c r="H6871" i="11"/>
  <c r="G6871" i="11"/>
  <c r="I6871" i="11" s="1"/>
  <c r="F6871" i="11"/>
  <c r="G6870" i="11"/>
  <c r="I6870" i="11" s="1"/>
  <c r="F6870" i="11"/>
  <c r="F6869" i="11"/>
  <c r="G6869" i="11" s="1"/>
  <c r="H6868" i="11"/>
  <c r="F6868" i="11"/>
  <c r="G6868" i="11" s="1"/>
  <c r="I6868" i="11" s="1"/>
  <c r="G6867" i="11"/>
  <c r="I6867" i="11" s="1"/>
  <c r="F6867" i="11"/>
  <c r="F6866" i="11"/>
  <c r="G6866" i="11" s="1"/>
  <c r="G6865" i="11"/>
  <c r="F6865" i="11"/>
  <c r="F6864" i="11"/>
  <c r="G6864" i="11" s="1"/>
  <c r="I6864" i="11" s="1"/>
  <c r="H6863" i="11"/>
  <c r="G6863" i="11"/>
  <c r="I6863" i="11" s="1"/>
  <c r="F6863" i="11"/>
  <c r="G6862" i="11"/>
  <c r="I6862" i="11" s="1"/>
  <c r="F6862" i="11"/>
  <c r="F6861" i="11"/>
  <c r="G6861" i="11" s="1"/>
  <c r="H6860" i="11"/>
  <c r="F6860" i="11"/>
  <c r="G6860" i="11" s="1"/>
  <c r="I6860" i="11" s="1"/>
  <c r="G6859" i="11"/>
  <c r="I6859" i="11" s="1"/>
  <c r="F6859" i="11"/>
  <c r="F6858" i="11"/>
  <c r="G6858" i="11" s="1"/>
  <c r="G6857" i="11"/>
  <c r="F6857" i="11"/>
  <c r="F6856" i="11"/>
  <c r="G6856" i="11" s="1"/>
  <c r="I6856" i="11" s="1"/>
  <c r="H6855" i="11"/>
  <c r="G6855" i="11"/>
  <c r="I6855" i="11" s="1"/>
  <c r="F6855" i="11"/>
  <c r="G6854" i="11"/>
  <c r="I6854" i="11" s="1"/>
  <c r="F6854" i="11"/>
  <c r="F6853" i="11"/>
  <c r="G6853" i="11" s="1"/>
  <c r="H6852" i="11"/>
  <c r="F6852" i="11"/>
  <c r="G6852" i="11" s="1"/>
  <c r="I6852" i="11" s="1"/>
  <c r="G6851" i="11"/>
  <c r="I6851" i="11" s="1"/>
  <c r="F6851" i="11"/>
  <c r="F6850" i="11"/>
  <c r="G6850" i="11" s="1"/>
  <c r="G6849" i="11"/>
  <c r="F6849" i="11"/>
  <c r="F6848" i="11"/>
  <c r="G6848" i="11" s="1"/>
  <c r="I6848" i="11" s="1"/>
  <c r="H6847" i="11"/>
  <c r="G6847" i="11"/>
  <c r="I6847" i="11" s="1"/>
  <c r="F6847" i="11"/>
  <c r="G6846" i="11"/>
  <c r="I6846" i="11" s="1"/>
  <c r="F6846" i="11"/>
  <c r="F6845" i="11"/>
  <c r="G6845" i="11" s="1"/>
  <c r="H6844" i="11"/>
  <c r="F6844" i="11"/>
  <c r="G6844" i="11" s="1"/>
  <c r="I6844" i="11" s="1"/>
  <c r="G6843" i="11"/>
  <c r="I6843" i="11" s="1"/>
  <c r="F6843" i="11"/>
  <c r="F6842" i="11"/>
  <c r="G6842" i="11" s="1"/>
  <c r="G6841" i="11"/>
  <c r="F6841" i="11"/>
  <c r="F6840" i="11"/>
  <c r="G6840" i="11" s="1"/>
  <c r="I6840" i="11" s="1"/>
  <c r="H6839" i="11"/>
  <c r="G6839" i="11"/>
  <c r="I6839" i="11" s="1"/>
  <c r="F6839" i="11"/>
  <c r="G6838" i="11"/>
  <c r="I6838" i="11" s="1"/>
  <c r="F6838" i="11"/>
  <c r="F6837" i="11"/>
  <c r="G6837" i="11" s="1"/>
  <c r="H6836" i="11"/>
  <c r="F6836" i="11"/>
  <c r="G6836" i="11" s="1"/>
  <c r="I6836" i="11" s="1"/>
  <c r="G6835" i="11"/>
  <c r="I6835" i="11" s="1"/>
  <c r="F6835" i="11"/>
  <c r="F6834" i="11"/>
  <c r="G6834" i="11" s="1"/>
  <c r="G6833" i="11"/>
  <c r="F6833" i="11"/>
  <c r="F6832" i="11"/>
  <c r="G6832" i="11" s="1"/>
  <c r="I6832" i="11" s="1"/>
  <c r="H6831" i="11"/>
  <c r="G6831" i="11"/>
  <c r="I6831" i="11" s="1"/>
  <c r="F6831" i="11"/>
  <c r="G6830" i="11"/>
  <c r="I6830" i="11" s="1"/>
  <c r="F6830" i="11"/>
  <c r="F6829" i="11"/>
  <c r="G6829" i="11" s="1"/>
  <c r="H6828" i="11"/>
  <c r="F6828" i="11"/>
  <c r="G6828" i="11" s="1"/>
  <c r="I6828" i="11" s="1"/>
  <c r="G6827" i="11"/>
  <c r="I6827" i="11" s="1"/>
  <c r="F6827" i="11"/>
  <c r="F6826" i="11"/>
  <c r="G6826" i="11" s="1"/>
  <c r="G6825" i="11"/>
  <c r="F6825" i="11"/>
  <c r="F6824" i="11"/>
  <c r="G6824" i="11" s="1"/>
  <c r="I6824" i="11" s="1"/>
  <c r="H6823" i="11"/>
  <c r="G6823" i="11"/>
  <c r="I6823" i="11" s="1"/>
  <c r="F6823" i="11"/>
  <c r="G6822" i="11"/>
  <c r="I6822" i="11" s="1"/>
  <c r="F6822" i="11"/>
  <c r="F6821" i="11"/>
  <c r="G6821" i="11" s="1"/>
  <c r="H6820" i="11"/>
  <c r="F6820" i="11"/>
  <c r="G6820" i="11" s="1"/>
  <c r="I6820" i="11" s="1"/>
  <c r="G6819" i="11"/>
  <c r="I6819" i="11" s="1"/>
  <c r="F6819" i="11"/>
  <c r="F6818" i="11"/>
  <c r="G6818" i="11" s="1"/>
  <c r="G6817" i="11"/>
  <c r="F6817" i="11"/>
  <c r="F6816" i="11"/>
  <c r="G6816" i="11" s="1"/>
  <c r="I6816" i="11" s="1"/>
  <c r="H6815" i="11"/>
  <c r="G6815" i="11"/>
  <c r="I6815" i="11" s="1"/>
  <c r="F6815" i="11"/>
  <c r="G6814" i="11"/>
  <c r="I6814" i="11" s="1"/>
  <c r="F6814" i="11"/>
  <c r="F6813" i="11"/>
  <c r="G6813" i="11" s="1"/>
  <c r="H6812" i="11"/>
  <c r="F6812" i="11"/>
  <c r="G6812" i="11" s="1"/>
  <c r="I6812" i="11" s="1"/>
  <c r="G6811" i="11"/>
  <c r="I6811" i="11" s="1"/>
  <c r="F6811" i="11"/>
  <c r="F6810" i="11"/>
  <c r="G6810" i="11" s="1"/>
  <c r="G6809" i="11"/>
  <c r="F6809" i="11"/>
  <c r="F6808" i="11"/>
  <c r="G6808" i="11" s="1"/>
  <c r="I6808" i="11" s="1"/>
  <c r="H6807" i="11"/>
  <c r="G6807" i="11"/>
  <c r="I6807" i="11" s="1"/>
  <c r="F6807" i="11"/>
  <c r="G6806" i="11"/>
  <c r="I6806" i="11" s="1"/>
  <c r="F6806" i="11"/>
  <c r="F6805" i="11"/>
  <c r="G6805" i="11" s="1"/>
  <c r="H6804" i="11"/>
  <c r="F6804" i="11"/>
  <c r="G6804" i="11" s="1"/>
  <c r="I6804" i="11" s="1"/>
  <c r="G6803" i="11"/>
  <c r="I6803" i="11" s="1"/>
  <c r="F6803" i="11"/>
  <c r="F6802" i="11"/>
  <c r="G6802" i="11" s="1"/>
  <c r="G6801" i="11"/>
  <c r="F6801" i="11"/>
  <c r="F6800" i="11"/>
  <c r="G6800" i="11" s="1"/>
  <c r="I6800" i="11" s="1"/>
  <c r="H6799" i="11"/>
  <c r="G6799" i="11"/>
  <c r="I6799" i="11" s="1"/>
  <c r="F6799" i="11"/>
  <c r="G6798" i="11"/>
  <c r="I6798" i="11" s="1"/>
  <c r="F6798" i="11"/>
  <c r="F6797" i="11"/>
  <c r="G6797" i="11" s="1"/>
  <c r="H6796" i="11"/>
  <c r="F6796" i="11"/>
  <c r="G6796" i="11" s="1"/>
  <c r="I6796" i="11" s="1"/>
  <c r="G6795" i="11"/>
  <c r="I6795" i="11" s="1"/>
  <c r="F6795" i="11"/>
  <c r="F6794" i="11"/>
  <c r="G6794" i="11" s="1"/>
  <c r="G6793" i="11"/>
  <c r="F6793" i="11"/>
  <c r="F6792" i="11"/>
  <c r="G6792" i="11" s="1"/>
  <c r="I6792" i="11" s="1"/>
  <c r="H6791" i="11"/>
  <c r="G6791" i="11"/>
  <c r="I6791" i="11" s="1"/>
  <c r="F6791" i="11"/>
  <c r="G6790" i="11"/>
  <c r="I6790" i="11" s="1"/>
  <c r="F6790" i="11"/>
  <c r="F6789" i="11"/>
  <c r="G6789" i="11" s="1"/>
  <c r="H6788" i="11"/>
  <c r="F6788" i="11"/>
  <c r="G6788" i="11" s="1"/>
  <c r="I6788" i="11" s="1"/>
  <c r="G6787" i="11"/>
  <c r="I6787" i="11" s="1"/>
  <c r="F6787" i="11"/>
  <c r="F6786" i="11"/>
  <c r="G6786" i="11" s="1"/>
  <c r="G6785" i="11"/>
  <c r="F6785" i="11"/>
  <c r="F6784" i="11"/>
  <c r="G6784" i="11" s="1"/>
  <c r="I6784" i="11" s="1"/>
  <c r="H6783" i="11"/>
  <c r="G6783" i="11"/>
  <c r="I6783" i="11" s="1"/>
  <c r="F6783" i="11"/>
  <c r="G6782" i="11"/>
  <c r="I6782" i="11" s="1"/>
  <c r="F6782" i="11"/>
  <c r="F6781" i="11"/>
  <c r="G6781" i="11" s="1"/>
  <c r="H6780" i="11"/>
  <c r="F6780" i="11"/>
  <c r="G6780" i="11" s="1"/>
  <c r="I6780" i="11" s="1"/>
  <c r="G6779" i="11"/>
  <c r="I6779" i="11" s="1"/>
  <c r="F6779" i="11"/>
  <c r="F6778" i="11"/>
  <c r="G6778" i="11" s="1"/>
  <c r="G6777" i="11"/>
  <c r="F6777" i="11"/>
  <c r="F6776" i="11"/>
  <c r="G6776" i="11" s="1"/>
  <c r="I6776" i="11" s="1"/>
  <c r="H6775" i="11"/>
  <c r="G6775" i="11"/>
  <c r="I6775" i="11" s="1"/>
  <c r="F6775" i="11"/>
  <c r="G6774" i="11"/>
  <c r="I6774" i="11" s="1"/>
  <c r="F6774" i="11"/>
  <c r="F6773" i="11"/>
  <c r="G6773" i="11" s="1"/>
  <c r="H6772" i="11"/>
  <c r="F6772" i="11"/>
  <c r="G6772" i="11" s="1"/>
  <c r="I6772" i="11" s="1"/>
  <c r="G6771" i="11"/>
  <c r="I6771" i="11" s="1"/>
  <c r="F6771" i="11"/>
  <c r="F6770" i="11"/>
  <c r="G6770" i="11" s="1"/>
  <c r="G6769" i="11"/>
  <c r="F6769" i="11"/>
  <c r="F6768" i="11"/>
  <c r="G6768" i="11" s="1"/>
  <c r="I6768" i="11" s="1"/>
  <c r="H6767" i="11"/>
  <c r="G6767" i="11"/>
  <c r="I6767" i="11" s="1"/>
  <c r="F6767" i="11"/>
  <c r="G6766" i="11"/>
  <c r="I6766" i="11" s="1"/>
  <c r="F6766" i="11"/>
  <c r="F6765" i="11"/>
  <c r="G6765" i="11" s="1"/>
  <c r="H6764" i="11"/>
  <c r="F6764" i="11"/>
  <c r="G6764" i="11" s="1"/>
  <c r="I6764" i="11" s="1"/>
  <c r="G6763" i="11"/>
  <c r="I6763" i="11" s="1"/>
  <c r="F6763" i="11"/>
  <c r="F6762" i="11"/>
  <c r="G6762" i="11" s="1"/>
  <c r="G6761" i="11"/>
  <c r="F6761" i="11"/>
  <c r="F6760" i="11"/>
  <c r="G6760" i="11" s="1"/>
  <c r="I6760" i="11" s="1"/>
  <c r="H6759" i="11"/>
  <c r="G6759" i="11"/>
  <c r="I6759" i="11" s="1"/>
  <c r="F6759" i="11"/>
  <c r="G6758" i="11"/>
  <c r="I6758" i="11" s="1"/>
  <c r="F6758" i="11"/>
  <c r="F6757" i="11"/>
  <c r="G6757" i="11" s="1"/>
  <c r="H6756" i="11"/>
  <c r="F6756" i="11"/>
  <c r="G6756" i="11" s="1"/>
  <c r="I6756" i="11" s="1"/>
  <c r="G6755" i="11"/>
  <c r="I6755" i="11" s="1"/>
  <c r="F6755" i="11"/>
  <c r="F6754" i="11"/>
  <c r="G6754" i="11" s="1"/>
  <c r="G6753" i="11"/>
  <c r="F6753" i="11"/>
  <c r="F6752" i="11"/>
  <c r="G6752" i="11" s="1"/>
  <c r="I6752" i="11" s="1"/>
  <c r="H6751" i="11"/>
  <c r="G6751" i="11"/>
  <c r="I6751" i="11" s="1"/>
  <c r="F6751" i="11"/>
  <c r="G6750" i="11"/>
  <c r="I6750" i="11" s="1"/>
  <c r="F6750" i="11"/>
  <c r="F6749" i="11"/>
  <c r="G6749" i="11" s="1"/>
  <c r="H6748" i="11"/>
  <c r="F6748" i="11"/>
  <c r="G6748" i="11" s="1"/>
  <c r="I6748" i="11" s="1"/>
  <c r="G6747" i="11"/>
  <c r="I6747" i="11" s="1"/>
  <c r="F6747" i="11"/>
  <c r="F6746" i="11"/>
  <c r="G6746" i="11" s="1"/>
  <c r="G6745" i="11"/>
  <c r="F6745" i="11"/>
  <c r="F6744" i="11"/>
  <c r="G6744" i="11" s="1"/>
  <c r="I6744" i="11" s="1"/>
  <c r="H6743" i="11"/>
  <c r="G6743" i="11"/>
  <c r="I6743" i="11" s="1"/>
  <c r="F6743" i="11"/>
  <c r="G6742" i="11"/>
  <c r="I6742" i="11" s="1"/>
  <c r="F6742" i="11"/>
  <c r="F6741" i="11"/>
  <c r="G6741" i="11" s="1"/>
  <c r="H6740" i="11"/>
  <c r="F6740" i="11"/>
  <c r="G6740" i="11" s="1"/>
  <c r="I6740" i="11" s="1"/>
  <c r="G6739" i="11"/>
  <c r="I6739" i="11" s="1"/>
  <c r="F6739" i="11"/>
  <c r="F6738" i="11"/>
  <c r="G6738" i="11" s="1"/>
  <c r="G6737" i="11"/>
  <c r="F6737" i="11"/>
  <c r="F6736" i="11"/>
  <c r="G6736" i="11" s="1"/>
  <c r="I6736" i="11" s="1"/>
  <c r="H6735" i="11"/>
  <c r="G6735" i="11"/>
  <c r="I6735" i="11" s="1"/>
  <c r="F6735" i="11"/>
  <c r="G6734" i="11"/>
  <c r="I6734" i="11" s="1"/>
  <c r="F6734" i="11"/>
  <c r="F6733" i="11"/>
  <c r="G6733" i="11" s="1"/>
  <c r="H6732" i="11"/>
  <c r="F6732" i="11"/>
  <c r="G6732" i="11" s="1"/>
  <c r="I6732" i="11" s="1"/>
  <c r="G6731" i="11"/>
  <c r="I6731" i="11" s="1"/>
  <c r="F6731" i="11"/>
  <c r="F6730" i="11"/>
  <c r="G6730" i="11" s="1"/>
  <c r="G6729" i="11"/>
  <c r="F6729" i="11"/>
  <c r="F6728" i="11"/>
  <c r="G6728" i="11" s="1"/>
  <c r="I6728" i="11" s="1"/>
  <c r="H6727" i="11"/>
  <c r="G6727" i="11"/>
  <c r="I6727" i="11" s="1"/>
  <c r="F6727" i="11"/>
  <c r="G6726" i="11"/>
  <c r="I6726" i="11" s="1"/>
  <c r="F6726" i="11"/>
  <c r="F6725" i="11"/>
  <c r="G6725" i="11" s="1"/>
  <c r="H6724" i="11"/>
  <c r="F6724" i="11"/>
  <c r="G6724" i="11" s="1"/>
  <c r="I6724" i="11" s="1"/>
  <c r="G6723" i="11"/>
  <c r="I6723" i="11" s="1"/>
  <c r="F6723" i="11"/>
  <c r="F6722" i="11"/>
  <c r="G6722" i="11" s="1"/>
  <c r="G6721" i="11"/>
  <c r="F6721" i="11"/>
  <c r="F6720" i="11"/>
  <c r="G6720" i="11" s="1"/>
  <c r="I6720" i="11" s="1"/>
  <c r="H6719" i="11"/>
  <c r="G6719" i="11"/>
  <c r="I6719" i="11" s="1"/>
  <c r="F6719" i="11"/>
  <c r="G6718" i="11"/>
  <c r="I6718" i="11" s="1"/>
  <c r="F6718" i="11"/>
  <c r="F6717" i="11"/>
  <c r="G6717" i="11" s="1"/>
  <c r="H6716" i="11"/>
  <c r="F6716" i="11"/>
  <c r="G6716" i="11" s="1"/>
  <c r="I6716" i="11" s="1"/>
  <c r="G6715" i="11"/>
  <c r="I6715" i="11" s="1"/>
  <c r="F6715" i="11"/>
  <c r="F6714" i="11"/>
  <c r="G6714" i="11" s="1"/>
  <c r="G6713" i="11"/>
  <c r="F6713" i="11"/>
  <c r="F6712" i="11"/>
  <c r="G6712" i="11" s="1"/>
  <c r="I6712" i="11" s="1"/>
  <c r="H6711" i="11"/>
  <c r="G6711" i="11"/>
  <c r="I6711" i="11" s="1"/>
  <c r="F6711" i="11"/>
  <c r="G6710" i="11"/>
  <c r="I6710" i="11" s="1"/>
  <c r="F6710" i="11"/>
  <c r="F6709" i="11"/>
  <c r="G6709" i="11" s="1"/>
  <c r="H6708" i="11"/>
  <c r="F6708" i="11"/>
  <c r="G6708" i="11" s="1"/>
  <c r="I6708" i="11" s="1"/>
  <c r="G6707" i="11"/>
  <c r="I6707" i="11" s="1"/>
  <c r="F6707" i="11"/>
  <c r="F6706" i="11"/>
  <c r="G6706" i="11" s="1"/>
  <c r="G6705" i="11"/>
  <c r="F6705" i="11"/>
  <c r="F6704" i="11"/>
  <c r="G6704" i="11" s="1"/>
  <c r="I6704" i="11" s="1"/>
  <c r="H6703" i="11"/>
  <c r="G6703" i="11"/>
  <c r="I6703" i="11" s="1"/>
  <c r="F6703" i="11"/>
  <c r="G6702" i="11"/>
  <c r="I6702" i="11" s="1"/>
  <c r="F6702" i="11"/>
  <c r="F6701" i="11"/>
  <c r="G6701" i="11" s="1"/>
  <c r="H6700" i="11"/>
  <c r="F6700" i="11"/>
  <c r="G6700" i="11" s="1"/>
  <c r="I6700" i="11" s="1"/>
  <c r="G6699" i="11"/>
  <c r="I6699" i="11" s="1"/>
  <c r="F6699" i="11"/>
  <c r="F6698" i="11"/>
  <c r="G6698" i="11" s="1"/>
  <c r="G6697" i="11"/>
  <c r="F6697" i="11"/>
  <c r="F6696" i="11"/>
  <c r="G6696" i="11" s="1"/>
  <c r="I6696" i="11" s="1"/>
  <c r="H6695" i="11"/>
  <c r="G6695" i="11"/>
  <c r="I6695" i="11" s="1"/>
  <c r="F6695" i="11"/>
  <c r="G6694" i="11"/>
  <c r="I6694" i="11" s="1"/>
  <c r="F6694" i="11"/>
  <c r="F6693" i="11"/>
  <c r="G6693" i="11" s="1"/>
  <c r="H6692" i="11"/>
  <c r="F6692" i="11"/>
  <c r="G6692" i="11" s="1"/>
  <c r="I6692" i="11" s="1"/>
  <c r="G6691" i="11"/>
  <c r="I6691" i="11" s="1"/>
  <c r="F6691" i="11"/>
  <c r="F6690" i="11"/>
  <c r="G6690" i="11" s="1"/>
  <c r="G6689" i="11"/>
  <c r="F6689" i="11"/>
  <c r="F6688" i="11"/>
  <c r="G6688" i="11" s="1"/>
  <c r="I6688" i="11" s="1"/>
  <c r="H6687" i="11"/>
  <c r="G6687" i="11"/>
  <c r="I6687" i="11" s="1"/>
  <c r="F6687" i="11"/>
  <c r="G6686" i="11"/>
  <c r="I6686" i="11" s="1"/>
  <c r="F6686" i="11"/>
  <c r="F6685" i="11"/>
  <c r="G6685" i="11" s="1"/>
  <c r="H6684" i="11"/>
  <c r="F6684" i="11"/>
  <c r="G6684" i="11" s="1"/>
  <c r="I6684" i="11" s="1"/>
  <c r="G6683" i="11"/>
  <c r="I6683" i="11" s="1"/>
  <c r="F6683" i="11"/>
  <c r="F6682" i="11"/>
  <c r="G6682" i="11" s="1"/>
  <c r="G6681" i="11"/>
  <c r="F6681" i="11"/>
  <c r="F6680" i="11"/>
  <c r="G6680" i="11" s="1"/>
  <c r="I6680" i="11" s="1"/>
  <c r="H6679" i="11"/>
  <c r="G6679" i="11"/>
  <c r="I6679" i="11" s="1"/>
  <c r="F6679" i="11"/>
  <c r="G6678" i="11"/>
  <c r="I6678" i="11" s="1"/>
  <c r="F6678" i="11"/>
  <c r="F6677" i="11"/>
  <c r="G6677" i="11" s="1"/>
  <c r="H6676" i="11"/>
  <c r="F6676" i="11"/>
  <c r="G6676" i="11" s="1"/>
  <c r="I6676" i="11" s="1"/>
  <c r="G6675" i="11"/>
  <c r="I6675" i="11" s="1"/>
  <c r="F6675" i="11"/>
  <c r="F6674" i="11"/>
  <c r="G6674" i="11" s="1"/>
  <c r="G6673" i="11"/>
  <c r="F6673" i="11"/>
  <c r="F6672" i="11"/>
  <c r="G6672" i="11" s="1"/>
  <c r="I6672" i="11" s="1"/>
  <c r="H6671" i="11"/>
  <c r="G6671" i="11"/>
  <c r="I6671" i="11" s="1"/>
  <c r="F6671" i="11"/>
  <c r="G6670" i="11"/>
  <c r="I6670" i="11" s="1"/>
  <c r="F6670" i="11"/>
  <c r="F6669" i="11"/>
  <c r="G6669" i="11" s="1"/>
  <c r="H6668" i="11"/>
  <c r="F6668" i="11"/>
  <c r="G6668" i="11" s="1"/>
  <c r="I6668" i="11" s="1"/>
  <c r="G6667" i="11"/>
  <c r="I6667" i="11" s="1"/>
  <c r="F6667" i="11"/>
  <c r="F6666" i="11"/>
  <c r="G6666" i="11" s="1"/>
  <c r="G6665" i="11"/>
  <c r="F6665" i="11"/>
  <c r="F6664" i="11"/>
  <c r="G6664" i="11" s="1"/>
  <c r="I6664" i="11" s="1"/>
  <c r="H6663" i="11"/>
  <c r="G6663" i="11"/>
  <c r="I6663" i="11" s="1"/>
  <c r="F6663" i="11"/>
  <c r="G6662" i="11"/>
  <c r="I6662" i="11" s="1"/>
  <c r="F6662" i="11"/>
  <c r="F6661" i="11"/>
  <c r="G6661" i="11" s="1"/>
  <c r="H6660" i="11"/>
  <c r="F6660" i="11"/>
  <c r="G6660" i="11" s="1"/>
  <c r="I6660" i="11" s="1"/>
  <c r="G6659" i="11"/>
  <c r="I6659" i="11" s="1"/>
  <c r="F6659" i="11"/>
  <c r="F6658" i="11"/>
  <c r="G6658" i="11" s="1"/>
  <c r="G6657" i="11"/>
  <c r="F6657" i="11"/>
  <c r="F6656" i="11"/>
  <c r="G6656" i="11" s="1"/>
  <c r="I6656" i="11" s="1"/>
  <c r="H6655" i="11"/>
  <c r="G6655" i="11"/>
  <c r="I6655" i="11" s="1"/>
  <c r="F6655" i="11"/>
  <c r="G6654" i="11"/>
  <c r="I6654" i="11" s="1"/>
  <c r="F6654" i="11"/>
  <c r="F6653" i="11"/>
  <c r="G6653" i="11" s="1"/>
  <c r="H6652" i="11"/>
  <c r="F6652" i="11"/>
  <c r="G6652" i="11" s="1"/>
  <c r="I6652" i="11" s="1"/>
  <c r="G6651" i="11"/>
  <c r="I6651" i="11" s="1"/>
  <c r="F6651" i="11"/>
  <c r="F6650" i="11"/>
  <c r="G6650" i="11" s="1"/>
  <c r="G6649" i="11"/>
  <c r="F6649" i="11"/>
  <c r="F6648" i="11"/>
  <c r="G6648" i="11" s="1"/>
  <c r="I6648" i="11" s="1"/>
  <c r="H6647" i="11"/>
  <c r="G6647" i="11"/>
  <c r="I6647" i="11" s="1"/>
  <c r="F6647" i="11"/>
  <c r="G6646" i="11"/>
  <c r="I6646" i="11" s="1"/>
  <c r="F6646" i="11"/>
  <c r="F6645" i="11"/>
  <c r="G6645" i="11" s="1"/>
  <c r="H6644" i="11"/>
  <c r="F6644" i="11"/>
  <c r="G6644" i="11" s="1"/>
  <c r="I6644" i="11" s="1"/>
  <c r="G6643" i="11"/>
  <c r="I6643" i="11" s="1"/>
  <c r="F6643" i="11"/>
  <c r="F6642" i="11"/>
  <c r="G6642" i="11" s="1"/>
  <c r="G6641" i="11"/>
  <c r="F6641" i="11"/>
  <c r="F6640" i="11"/>
  <c r="G6640" i="11" s="1"/>
  <c r="I6640" i="11" s="1"/>
  <c r="H6639" i="11"/>
  <c r="G6639" i="11"/>
  <c r="I6639" i="11" s="1"/>
  <c r="F6639" i="11"/>
  <c r="G6638" i="11"/>
  <c r="I6638" i="11" s="1"/>
  <c r="F6638" i="11"/>
  <c r="F6637" i="11"/>
  <c r="G6637" i="11" s="1"/>
  <c r="H6636" i="11"/>
  <c r="F6636" i="11"/>
  <c r="G6636" i="11" s="1"/>
  <c r="I6636" i="11" s="1"/>
  <c r="G6635" i="11"/>
  <c r="I6635" i="11" s="1"/>
  <c r="F6635" i="11"/>
  <c r="F6634" i="11"/>
  <c r="G6634" i="11" s="1"/>
  <c r="G6633" i="11"/>
  <c r="F6633" i="11"/>
  <c r="F6632" i="11"/>
  <c r="G6632" i="11" s="1"/>
  <c r="I6632" i="11" s="1"/>
  <c r="H6631" i="11"/>
  <c r="G6631" i="11"/>
  <c r="I6631" i="11" s="1"/>
  <c r="F6631" i="11"/>
  <c r="G6630" i="11"/>
  <c r="I6630" i="11" s="1"/>
  <c r="F6630" i="11"/>
  <c r="F6629" i="11"/>
  <c r="G6629" i="11" s="1"/>
  <c r="H6628" i="11"/>
  <c r="F6628" i="11"/>
  <c r="G6628" i="11" s="1"/>
  <c r="I6628" i="11" s="1"/>
  <c r="G6627" i="11"/>
  <c r="I6627" i="11" s="1"/>
  <c r="F6627" i="11"/>
  <c r="F6626" i="11"/>
  <c r="G6626" i="11" s="1"/>
  <c r="G6625" i="11"/>
  <c r="F6625" i="11"/>
  <c r="F6624" i="11"/>
  <c r="G6624" i="11" s="1"/>
  <c r="I6624" i="11" s="1"/>
  <c r="H6623" i="11"/>
  <c r="G6623" i="11"/>
  <c r="I6623" i="11" s="1"/>
  <c r="F6623" i="11"/>
  <c r="G6622" i="11"/>
  <c r="I6622" i="11" s="1"/>
  <c r="F6622" i="11"/>
  <c r="F6621" i="11"/>
  <c r="G6621" i="11" s="1"/>
  <c r="H6620" i="11"/>
  <c r="F6620" i="11"/>
  <c r="G6620" i="11" s="1"/>
  <c r="I6620" i="11" s="1"/>
  <c r="G6619" i="11"/>
  <c r="I6619" i="11" s="1"/>
  <c r="F6619" i="11"/>
  <c r="F6618" i="11"/>
  <c r="G6618" i="11" s="1"/>
  <c r="G6617" i="11"/>
  <c r="F6617" i="11"/>
  <c r="F6616" i="11"/>
  <c r="G6616" i="11" s="1"/>
  <c r="I6616" i="11" s="1"/>
  <c r="H6615" i="11"/>
  <c r="G6615" i="11"/>
  <c r="I6615" i="11" s="1"/>
  <c r="F6615" i="11"/>
  <c r="G6614" i="11"/>
  <c r="I6614" i="11" s="1"/>
  <c r="F6614" i="11"/>
  <c r="F6613" i="11"/>
  <c r="G6613" i="11" s="1"/>
  <c r="H6612" i="11"/>
  <c r="F6612" i="11"/>
  <c r="G6612" i="11" s="1"/>
  <c r="I6612" i="11" s="1"/>
  <c r="G6611" i="11"/>
  <c r="I6611" i="11" s="1"/>
  <c r="F6611" i="11"/>
  <c r="F6610" i="11"/>
  <c r="G6610" i="11" s="1"/>
  <c r="G6609" i="11"/>
  <c r="F6609" i="11"/>
  <c r="F6608" i="11"/>
  <c r="G6608" i="11" s="1"/>
  <c r="I6608" i="11" s="1"/>
  <c r="H6607" i="11"/>
  <c r="G6607" i="11"/>
  <c r="I6607" i="11" s="1"/>
  <c r="F6607" i="11"/>
  <c r="G6606" i="11"/>
  <c r="I6606" i="11" s="1"/>
  <c r="F6606" i="11"/>
  <c r="F6605" i="11"/>
  <c r="G6605" i="11" s="1"/>
  <c r="H6604" i="11"/>
  <c r="F6604" i="11"/>
  <c r="G6604" i="11" s="1"/>
  <c r="I6604" i="11" s="1"/>
  <c r="G6603" i="11"/>
  <c r="I6603" i="11" s="1"/>
  <c r="F6603" i="11"/>
  <c r="F6602" i="11"/>
  <c r="G6602" i="11" s="1"/>
  <c r="G6601" i="11"/>
  <c r="F6601" i="11"/>
  <c r="F6600" i="11"/>
  <c r="G6600" i="11" s="1"/>
  <c r="I6600" i="11" s="1"/>
  <c r="H6599" i="11"/>
  <c r="G6599" i="11"/>
  <c r="I6599" i="11" s="1"/>
  <c r="F6599" i="11"/>
  <c r="G6598" i="11"/>
  <c r="I6598" i="11" s="1"/>
  <c r="F6598" i="11"/>
  <c r="F6597" i="11"/>
  <c r="G6597" i="11" s="1"/>
  <c r="H6596" i="11"/>
  <c r="F6596" i="11"/>
  <c r="G6596" i="11" s="1"/>
  <c r="I6596" i="11" s="1"/>
  <c r="G6595" i="11"/>
  <c r="I6595" i="11" s="1"/>
  <c r="F6595" i="11"/>
  <c r="F6594" i="11"/>
  <c r="G6594" i="11" s="1"/>
  <c r="G6593" i="11"/>
  <c r="F6593" i="11"/>
  <c r="F6592" i="11"/>
  <c r="G6592" i="11" s="1"/>
  <c r="I6592" i="11" s="1"/>
  <c r="H6591" i="11"/>
  <c r="G6591" i="11"/>
  <c r="I6591" i="11" s="1"/>
  <c r="F6591" i="11"/>
  <c r="G6590" i="11"/>
  <c r="I6590" i="11" s="1"/>
  <c r="F6590" i="11"/>
  <c r="F6589" i="11"/>
  <c r="G6589" i="11" s="1"/>
  <c r="H6588" i="11"/>
  <c r="F6588" i="11"/>
  <c r="G6588" i="11" s="1"/>
  <c r="I6588" i="11" s="1"/>
  <c r="G6587" i="11"/>
  <c r="I6587" i="11" s="1"/>
  <c r="F6587" i="11"/>
  <c r="F6586" i="11"/>
  <c r="G6586" i="11" s="1"/>
  <c r="G6585" i="11"/>
  <c r="F6585" i="11"/>
  <c r="F6584" i="11"/>
  <c r="G6584" i="11" s="1"/>
  <c r="I6584" i="11" s="1"/>
  <c r="H6583" i="11"/>
  <c r="G6583" i="11"/>
  <c r="I6583" i="11" s="1"/>
  <c r="F6583" i="11"/>
  <c r="G6582" i="11"/>
  <c r="I6582" i="11" s="1"/>
  <c r="F6582" i="11"/>
  <c r="F6581" i="11"/>
  <c r="G6581" i="11" s="1"/>
  <c r="H6580" i="11"/>
  <c r="F6580" i="11"/>
  <c r="G6580" i="11" s="1"/>
  <c r="I6580" i="11" s="1"/>
  <c r="G6579" i="11"/>
  <c r="I6579" i="11" s="1"/>
  <c r="F6579" i="11"/>
  <c r="F6578" i="11"/>
  <c r="G6578" i="11" s="1"/>
  <c r="G6577" i="11"/>
  <c r="F6577" i="11"/>
  <c r="F6576" i="11"/>
  <c r="G6576" i="11" s="1"/>
  <c r="I6576" i="11" s="1"/>
  <c r="H6575" i="11"/>
  <c r="G6575" i="11"/>
  <c r="I6575" i="11" s="1"/>
  <c r="F6575" i="11"/>
  <c r="G6574" i="11"/>
  <c r="I6574" i="11" s="1"/>
  <c r="F6574" i="11"/>
  <c r="F6573" i="11"/>
  <c r="G6573" i="11" s="1"/>
  <c r="H6572" i="11"/>
  <c r="F6572" i="11"/>
  <c r="G6572" i="11" s="1"/>
  <c r="I6572" i="11" s="1"/>
  <c r="G6571" i="11"/>
  <c r="I6571" i="11" s="1"/>
  <c r="F6571" i="11"/>
  <c r="F6570" i="11"/>
  <c r="G6570" i="11" s="1"/>
  <c r="G6569" i="11"/>
  <c r="F6569" i="11"/>
  <c r="F6568" i="11"/>
  <c r="G6568" i="11" s="1"/>
  <c r="I6568" i="11" s="1"/>
  <c r="H6567" i="11"/>
  <c r="G6567" i="11"/>
  <c r="I6567" i="11" s="1"/>
  <c r="F6567" i="11"/>
  <c r="G6566" i="11"/>
  <c r="I6566" i="11" s="1"/>
  <c r="F6566" i="11"/>
  <c r="F6565" i="11"/>
  <c r="G6565" i="11" s="1"/>
  <c r="H6564" i="11"/>
  <c r="F6564" i="11"/>
  <c r="G6564" i="11" s="1"/>
  <c r="I6564" i="11" s="1"/>
  <c r="G6563" i="11"/>
  <c r="I6563" i="11" s="1"/>
  <c r="F6563" i="11"/>
  <c r="F6562" i="11"/>
  <c r="G6562" i="11" s="1"/>
  <c r="G6561" i="11"/>
  <c r="F6561" i="11"/>
  <c r="F6560" i="11"/>
  <c r="G6560" i="11" s="1"/>
  <c r="I6560" i="11" s="1"/>
  <c r="H6559" i="11"/>
  <c r="G6559" i="11"/>
  <c r="I6559" i="11" s="1"/>
  <c r="F6559" i="11"/>
  <c r="G6558" i="11"/>
  <c r="I6558" i="11" s="1"/>
  <c r="F6558" i="11"/>
  <c r="F6557" i="11"/>
  <c r="G6557" i="11" s="1"/>
  <c r="H6556" i="11"/>
  <c r="F6556" i="11"/>
  <c r="G6556" i="11" s="1"/>
  <c r="I6556" i="11" s="1"/>
  <c r="G6555" i="11"/>
  <c r="I6555" i="11" s="1"/>
  <c r="F6555" i="11"/>
  <c r="F6554" i="11"/>
  <c r="G6554" i="11" s="1"/>
  <c r="G6553" i="11"/>
  <c r="F6553" i="11"/>
  <c r="F6552" i="11"/>
  <c r="G6552" i="11" s="1"/>
  <c r="I6552" i="11" s="1"/>
  <c r="H6551" i="11"/>
  <c r="G6551" i="11"/>
  <c r="I6551" i="11" s="1"/>
  <c r="F6551" i="11"/>
  <c r="G6550" i="11"/>
  <c r="I6550" i="11" s="1"/>
  <c r="F6550" i="11"/>
  <c r="F6549" i="11"/>
  <c r="G6549" i="11" s="1"/>
  <c r="H6548" i="11"/>
  <c r="F6548" i="11"/>
  <c r="G6548" i="11" s="1"/>
  <c r="I6548" i="11" s="1"/>
  <c r="G6547" i="11"/>
  <c r="I6547" i="11" s="1"/>
  <c r="F6547" i="11"/>
  <c r="F6546" i="11"/>
  <c r="G6546" i="11" s="1"/>
  <c r="G6545" i="11"/>
  <c r="F6545" i="11"/>
  <c r="F6544" i="11"/>
  <c r="G6544" i="11" s="1"/>
  <c r="I6544" i="11" s="1"/>
  <c r="H6543" i="11"/>
  <c r="G6543" i="11"/>
  <c r="I6543" i="11" s="1"/>
  <c r="F6543" i="11"/>
  <c r="G6542" i="11"/>
  <c r="I6542" i="11" s="1"/>
  <c r="F6542" i="11"/>
  <c r="F6541" i="11"/>
  <c r="G6541" i="11" s="1"/>
  <c r="H6540" i="11"/>
  <c r="F6540" i="11"/>
  <c r="G6540" i="11" s="1"/>
  <c r="I6540" i="11" s="1"/>
  <c r="G6539" i="11"/>
  <c r="I6539" i="11" s="1"/>
  <c r="F6539" i="11"/>
  <c r="F6538" i="11"/>
  <c r="G6538" i="11" s="1"/>
  <c r="G6537" i="11"/>
  <c r="F6537" i="11"/>
  <c r="F6536" i="11"/>
  <c r="G6536" i="11" s="1"/>
  <c r="I6536" i="11" s="1"/>
  <c r="H6535" i="11"/>
  <c r="G6535" i="11"/>
  <c r="I6535" i="11" s="1"/>
  <c r="F6535" i="11"/>
  <c r="G6534" i="11"/>
  <c r="I6534" i="11" s="1"/>
  <c r="F6534" i="11"/>
  <c r="F6533" i="11"/>
  <c r="G6533" i="11" s="1"/>
  <c r="H6532" i="11"/>
  <c r="F6532" i="11"/>
  <c r="G6532" i="11" s="1"/>
  <c r="I6532" i="11" s="1"/>
  <c r="G6531" i="11"/>
  <c r="I6531" i="11" s="1"/>
  <c r="F6531" i="11"/>
  <c r="F6530" i="11"/>
  <c r="G6530" i="11" s="1"/>
  <c r="G6529" i="11"/>
  <c r="F6529" i="11"/>
  <c r="F6528" i="11"/>
  <c r="G6528" i="11" s="1"/>
  <c r="I6528" i="11" s="1"/>
  <c r="H6527" i="11"/>
  <c r="G6527" i="11"/>
  <c r="I6527" i="11" s="1"/>
  <c r="F6527" i="11"/>
  <c r="G6526" i="11"/>
  <c r="I6526" i="11" s="1"/>
  <c r="F6526" i="11"/>
  <c r="F6525" i="11"/>
  <c r="G6525" i="11" s="1"/>
  <c r="H6524" i="11"/>
  <c r="F6524" i="11"/>
  <c r="G6524" i="11" s="1"/>
  <c r="I6524" i="11" s="1"/>
  <c r="G6523" i="11"/>
  <c r="I6523" i="11" s="1"/>
  <c r="F6523" i="11"/>
  <c r="F6522" i="11"/>
  <c r="G6522" i="11" s="1"/>
  <c r="G6521" i="11"/>
  <c r="F6521" i="11"/>
  <c r="F6520" i="11"/>
  <c r="G6520" i="11" s="1"/>
  <c r="I6520" i="11" s="1"/>
  <c r="H6519" i="11"/>
  <c r="G6519" i="11"/>
  <c r="I6519" i="11" s="1"/>
  <c r="F6519" i="11"/>
  <c r="G6518" i="11"/>
  <c r="I6518" i="11" s="1"/>
  <c r="F6518" i="11"/>
  <c r="F6517" i="11"/>
  <c r="G6517" i="11" s="1"/>
  <c r="F6516" i="11"/>
  <c r="G6516" i="11" s="1"/>
  <c r="H6515" i="11"/>
  <c r="G6515" i="11"/>
  <c r="I6515" i="11" s="1"/>
  <c r="F6515" i="11"/>
  <c r="G6514" i="11"/>
  <c r="I6514" i="11" s="1"/>
  <c r="F6514" i="11"/>
  <c r="F6513" i="11"/>
  <c r="G6513" i="11" s="1"/>
  <c r="F6512" i="11"/>
  <c r="G6512" i="11" s="1"/>
  <c r="H6511" i="11"/>
  <c r="G6511" i="11"/>
  <c r="I6511" i="11" s="1"/>
  <c r="F6511" i="11"/>
  <c r="G6510" i="11"/>
  <c r="I6510" i="11" s="1"/>
  <c r="F6510" i="11"/>
  <c r="F6509" i="11"/>
  <c r="G6509" i="11" s="1"/>
  <c r="F6508" i="11"/>
  <c r="G6508" i="11" s="1"/>
  <c r="H6507" i="11"/>
  <c r="G6507" i="11"/>
  <c r="I6507" i="11" s="1"/>
  <c r="F6507" i="11"/>
  <c r="G6506" i="11"/>
  <c r="I6506" i="11" s="1"/>
  <c r="F6506" i="11"/>
  <c r="F6505" i="11"/>
  <c r="G6505" i="11" s="1"/>
  <c r="F6504" i="11"/>
  <c r="G6504" i="11" s="1"/>
  <c r="H6503" i="11"/>
  <c r="G6503" i="11"/>
  <c r="I6503" i="11" s="1"/>
  <c r="F6503" i="11"/>
  <c r="G6502" i="11"/>
  <c r="I6502" i="11" s="1"/>
  <c r="F6502" i="11"/>
  <c r="F6501" i="11"/>
  <c r="G6501" i="11" s="1"/>
  <c r="F6500" i="11"/>
  <c r="G6500" i="11" s="1"/>
  <c r="H6499" i="11"/>
  <c r="G6499" i="11"/>
  <c r="I6499" i="11" s="1"/>
  <c r="F6499" i="11"/>
  <c r="G6498" i="11"/>
  <c r="I6498" i="11" s="1"/>
  <c r="F6498" i="11"/>
  <c r="F6497" i="11"/>
  <c r="G6497" i="11" s="1"/>
  <c r="F6496" i="11"/>
  <c r="G6496" i="11" s="1"/>
  <c r="H6495" i="11"/>
  <c r="G6495" i="11"/>
  <c r="I6495" i="11" s="1"/>
  <c r="F6495" i="11"/>
  <c r="G6494" i="11"/>
  <c r="I6494" i="11" s="1"/>
  <c r="F6494" i="11"/>
  <c r="F6493" i="11"/>
  <c r="G6493" i="11" s="1"/>
  <c r="F6492" i="11"/>
  <c r="G6492" i="11" s="1"/>
  <c r="H6491" i="11"/>
  <c r="G6491" i="11"/>
  <c r="I6491" i="11" s="1"/>
  <c r="F6491" i="11"/>
  <c r="G6490" i="11"/>
  <c r="I6490" i="11" s="1"/>
  <c r="F6490" i="11"/>
  <c r="F6489" i="11"/>
  <c r="G6489" i="11" s="1"/>
  <c r="F6488" i="11"/>
  <c r="G6488" i="11" s="1"/>
  <c r="H6487" i="11"/>
  <c r="G6487" i="11"/>
  <c r="I6487" i="11" s="1"/>
  <c r="F6487" i="11"/>
  <c r="G6486" i="11"/>
  <c r="I6486" i="11" s="1"/>
  <c r="F6486" i="11"/>
  <c r="F6485" i="11"/>
  <c r="G6485" i="11" s="1"/>
  <c r="F6484" i="11"/>
  <c r="G6484" i="11" s="1"/>
  <c r="H6483" i="11"/>
  <c r="G6483" i="11"/>
  <c r="I6483" i="11" s="1"/>
  <c r="F6483" i="11"/>
  <c r="G6482" i="11"/>
  <c r="I6482" i="11" s="1"/>
  <c r="F6482" i="11"/>
  <c r="F6481" i="11"/>
  <c r="G6481" i="11" s="1"/>
  <c r="F6480" i="11"/>
  <c r="G6480" i="11" s="1"/>
  <c r="H6479" i="11"/>
  <c r="G6479" i="11"/>
  <c r="I6479" i="11" s="1"/>
  <c r="F6479" i="11"/>
  <c r="G6478" i="11"/>
  <c r="I6478" i="11" s="1"/>
  <c r="F6478" i="11"/>
  <c r="F6477" i="11"/>
  <c r="G6477" i="11" s="1"/>
  <c r="F6476" i="11"/>
  <c r="G6476" i="11" s="1"/>
  <c r="H6475" i="11"/>
  <c r="G6475" i="11"/>
  <c r="I6475" i="11" s="1"/>
  <c r="F6475" i="11"/>
  <c r="G6474" i="11"/>
  <c r="I6474" i="11" s="1"/>
  <c r="F6474" i="11"/>
  <c r="F6473" i="11"/>
  <c r="G6473" i="11" s="1"/>
  <c r="F6472" i="11"/>
  <c r="G6472" i="11" s="1"/>
  <c r="H6471" i="11"/>
  <c r="G6471" i="11"/>
  <c r="I6471" i="11" s="1"/>
  <c r="F6471" i="11"/>
  <c r="G6470" i="11"/>
  <c r="I6470" i="11" s="1"/>
  <c r="F6470" i="11"/>
  <c r="F6469" i="11"/>
  <c r="G6469" i="11" s="1"/>
  <c r="F6468" i="11"/>
  <c r="G6468" i="11" s="1"/>
  <c r="H6467" i="11"/>
  <c r="G6467" i="11"/>
  <c r="I6467" i="11" s="1"/>
  <c r="F6467" i="11"/>
  <c r="G6466" i="11"/>
  <c r="I6466" i="11" s="1"/>
  <c r="F6466" i="11"/>
  <c r="F6465" i="11"/>
  <c r="G6465" i="11" s="1"/>
  <c r="F6464" i="11"/>
  <c r="G6464" i="11" s="1"/>
  <c r="H6463" i="11"/>
  <c r="G6463" i="11"/>
  <c r="I6463" i="11" s="1"/>
  <c r="F6463" i="11"/>
  <c r="G6462" i="11"/>
  <c r="I6462" i="11" s="1"/>
  <c r="F6462" i="11"/>
  <c r="F6461" i="11"/>
  <c r="G6461" i="11" s="1"/>
  <c r="F6460" i="11"/>
  <c r="G6460" i="11" s="1"/>
  <c r="H6459" i="11"/>
  <c r="G6459" i="11"/>
  <c r="I6459" i="11" s="1"/>
  <c r="F6459" i="11"/>
  <c r="G6458" i="11"/>
  <c r="I6458" i="11" s="1"/>
  <c r="F6458" i="11"/>
  <c r="F6457" i="11"/>
  <c r="G6457" i="11" s="1"/>
  <c r="F6456" i="11"/>
  <c r="G6456" i="11" s="1"/>
  <c r="H6455" i="11"/>
  <c r="G6455" i="11"/>
  <c r="I6455" i="11" s="1"/>
  <c r="F6455" i="11"/>
  <c r="G6454" i="11"/>
  <c r="I6454" i="11" s="1"/>
  <c r="F6454" i="11"/>
  <c r="F6453" i="11"/>
  <c r="G6453" i="11" s="1"/>
  <c r="F6452" i="11"/>
  <c r="G6452" i="11" s="1"/>
  <c r="H6451" i="11"/>
  <c r="G6451" i="11"/>
  <c r="I6451" i="11" s="1"/>
  <c r="F6451" i="11"/>
  <c r="G6450" i="11"/>
  <c r="I6450" i="11" s="1"/>
  <c r="F6450" i="11"/>
  <c r="F6449" i="11"/>
  <c r="G6449" i="11" s="1"/>
  <c r="F6448" i="11"/>
  <c r="G6448" i="11" s="1"/>
  <c r="H6447" i="11"/>
  <c r="G6447" i="11"/>
  <c r="I6447" i="11" s="1"/>
  <c r="F6447" i="11"/>
  <c r="G6446" i="11"/>
  <c r="I6446" i="11" s="1"/>
  <c r="F6446" i="11"/>
  <c r="F6445" i="11"/>
  <c r="G6445" i="11" s="1"/>
  <c r="F6444" i="11"/>
  <c r="G6444" i="11" s="1"/>
  <c r="H6443" i="11"/>
  <c r="G6443" i="11"/>
  <c r="I6443" i="11" s="1"/>
  <c r="F6443" i="11"/>
  <c r="G6442" i="11"/>
  <c r="I6442" i="11" s="1"/>
  <c r="F6442" i="11"/>
  <c r="F6441" i="11"/>
  <c r="G6441" i="11" s="1"/>
  <c r="F6440" i="11"/>
  <c r="G6440" i="11" s="1"/>
  <c r="H6439" i="11"/>
  <c r="G6439" i="11"/>
  <c r="I6439" i="11" s="1"/>
  <c r="F6439" i="11"/>
  <c r="G6438" i="11"/>
  <c r="I6438" i="11" s="1"/>
  <c r="F6438" i="11"/>
  <c r="F6437" i="11"/>
  <c r="G6437" i="11" s="1"/>
  <c r="F6436" i="11"/>
  <c r="G6436" i="11" s="1"/>
  <c r="H6435" i="11"/>
  <c r="G6435" i="11"/>
  <c r="I6435" i="11" s="1"/>
  <c r="F6435" i="11"/>
  <c r="G6434" i="11"/>
  <c r="I6434" i="11" s="1"/>
  <c r="F6434" i="11"/>
  <c r="F6433" i="11"/>
  <c r="G6433" i="11" s="1"/>
  <c r="F6432" i="11"/>
  <c r="G6432" i="11" s="1"/>
  <c r="H6431" i="11"/>
  <c r="G6431" i="11"/>
  <c r="I6431" i="11" s="1"/>
  <c r="F6431" i="11"/>
  <c r="G6430" i="11"/>
  <c r="I6430" i="11" s="1"/>
  <c r="F6430" i="11"/>
  <c r="F6429" i="11"/>
  <c r="G6429" i="11" s="1"/>
  <c r="F6428" i="11"/>
  <c r="G6428" i="11" s="1"/>
  <c r="H6427" i="11"/>
  <c r="G6427" i="11"/>
  <c r="I6427" i="11" s="1"/>
  <c r="F6427" i="11"/>
  <c r="G6426" i="11"/>
  <c r="I6426" i="11" s="1"/>
  <c r="F6426" i="11"/>
  <c r="F6425" i="11"/>
  <c r="G6425" i="11" s="1"/>
  <c r="F6424" i="11"/>
  <c r="G6424" i="11" s="1"/>
  <c r="H6423" i="11"/>
  <c r="G6423" i="11"/>
  <c r="I6423" i="11" s="1"/>
  <c r="F6423" i="11"/>
  <c r="G6422" i="11"/>
  <c r="I6422" i="11" s="1"/>
  <c r="F6422" i="11"/>
  <c r="F6421" i="11"/>
  <c r="G6421" i="11" s="1"/>
  <c r="F6420" i="11"/>
  <c r="G6420" i="11" s="1"/>
  <c r="H6419" i="11"/>
  <c r="G6419" i="11"/>
  <c r="I6419" i="11" s="1"/>
  <c r="F6419" i="11"/>
  <c r="G6418" i="11"/>
  <c r="I6418" i="11" s="1"/>
  <c r="F6418" i="11"/>
  <c r="F6417" i="11"/>
  <c r="G6417" i="11" s="1"/>
  <c r="F6416" i="11"/>
  <c r="G6416" i="11" s="1"/>
  <c r="H6415" i="11"/>
  <c r="G6415" i="11"/>
  <c r="I6415" i="11" s="1"/>
  <c r="F6415" i="11"/>
  <c r="G6414" i="11"/>
  <c r="I6414" i="11" s="1"/>
  <c r="F6414" i="11"/>
  <c r="F6413" i="11"/>
  <c r="G6413" i="11" s="1"/>
  <c r="F6412" i="11"/>
  <c r="G6412" i="11" s="1"/>
  <c r="H6411" i="11"/>
  <c r="G6411" i="11"/>
  <c r="I6411" i="11" s="1"/>
  <c r="F6411" i="11"/>
  <c r="G6410" i="11"/>
  <c r="I6410" i="11" s="1"/>
  <c r="F6410" i="11"/>
  <c r="F6409" i="11"/>
  <c r="G6409" i="11" s="1"/>
  <c r="F6408" i="11"/>
  <c r="G6408" i="11" s="1"/>
  <c r="H6407" i="11"/>
  <c r="G6407" i="11"/>
  <c r="I6407" i="11" s="1"/>
  <c r="F6407" i="11"/>
  <c r="G6406" i="11"/>
  <c r="I6406" i="11" s="1"/>
  <c r="F6406" i="11"/>
  <c r="F6405" i="11"/>
  <c r="G6405" i="11" s="1"/>
  <c r="F6404" i="11"/>
  <c r="G6404" i="11" s="1"/>
  <c r="H6403" i="11"/>
  <c r="G6403" i="11"/>
  <c r="I6403" i="11" s="1"/>
  <c r="F6403" i="11"/>
  <c r="G6402" i="11"/>
  <c r="I6402" i="11" s="1"/>
  <c r="F6402" i="11"/>
  <c r="F6401" i="11"/>
  <c r="G6401" i="11" s="1"/>
  <c r="F6400" i="11"/>
  <c r="G6400" i="11" s="1"/>
  <c r="H6399" i="11"/>
  <c r="G6399" i="11"/>
  <c r="I6399" i="11" s="1"/>
  <c r="F6399" i="11"/>
  <c r="G6398" i="11"/>
  <c r="I6398" i="11" s="1"/>
  <c r="F6398" i="11"/>
  <c r="F6397" i="11"/>
  <c r="G6397" i="11" s="1"/>
  <c r="F6396" i="11"/>
  <c r="G6396" i="11" s="1"/>
  <c r="H6395" i="11"/>
  <c r="G6395" i="11"/>
  <c r="I6395" i="11" s="1"/>
  <c r="F6395" i="11"/>
  <c r="G6394" i="11"/>
  <c r="I6394" i="11" s="1"/>
  <c r="F6394" i="11"/>
  <c r="F6393" i="11"/>
  <c r="G6393" i="11" s="1"/>
  <c r="F6392" i="11"/>
  <c r="G6392" i="11" s="1"/>
  <c r="H6391" i="11"/>
  <c r="G6391" i="11"/>
  <c r="I6391" i="11" s="1"/>
  <c r="F6391" i="11"/>
  <c r="G6390" i="11"/>
  <c r="I6390" i="11" s="1"/>
  <c r="F6390" i="11"/>
  <c r="F6389" i="11"/>
  <c r="G6389" i="11" s="1"/>
  <c r="F6388" i="11"/>
  <c r="G6388" i="11" s="1"/>
  <c r="H6387" i="11"/>
  <c r="G6387" i="11"/>
  <c r="I6387" i="11" s="1"/>
  <c r="F6387" i="11"/>
  <c r="G6386" i="11"/>
  <c r="I6386" i="11" s="1"/>
  <c r="F6386" i="11"/>
  <c r="F6385" i="11"/>
  <c r="G6385" i="11" s="1"/>
  <c r="F6384" i="11"/>
  <c r="G6384" i="11" s="1"/>
  <c r="H6383" i="11"/>
  <c r="G6383" i="11"/>
  <c r="I6383" i="11" s="1"/>
  <c r="F6383" i="11"/>
  <c r="G6382" i="11"/>
  <c r="I6382" i="11" s="1"/>
  <c r="F6382" i="11"/>
  <c r="F6381" i="11"/>
  <c r="G6381" i="11" s="1"/>
  <c r="F6380" i="11"/>
  <c r="G6380" i="11" s="1"/>
  <c r="H6379" i="11"/>
  <c r="G6379" i="11"/>
  <c r="I6379" i="11" s="1"/>
  <c r="F6379" i="11"/>
  <c r="G6378" i="11"/>
  <c r="I6378" i="11" s="1"/>
  <c r="F6378" i="11"/>
  <c r="F6377" i="11"/>
  <c r="G6377" i="11" s="1"/>
  <c r="F6376" i="11"/>
  <c r="G6376" i="11" s="1"/>
  <c r="H6375" i="11"/>
  <c r="G6375" i="11"/>
  <c r="I6375" i="11" s="1"/>
  <c r="F6375" i="11"/>
  <c r="G6374" i="11"/>
  <c r="I6374" i="11" s="1"/>
  <c r="F6374" i="11"/>
  <c r="F6373" i="11"/>
  <c r="G6373" i="11" s="1"/>
  <c r="F6372" i="11"/>
  <c r="G6372" i="11" s="1"/>
  <c r="H6371" i="11"/>
  <c r="G6371" i="11"/>
  <c r="I6371" i="11" s="1"/>
  <c r="F6371" i="11"/>
  <c r="G6370" i="11"/>
  <c r="I6370" i="11" s="1"/>
  <c r="F6370" i="11"/>
  <c r="F6369" i="11"/>
  <c r="G6369" i="11" s="1"/>
  <c r="F6368" i="11"/>
  <c r="G6368" i="11" s="1"/>
  <c r="H6367" i="11"/>
  <c r="G6367" i="11"/>
  <c r="I6367" i="11" s="1"/>
  <c r="F6367" i="11"/>
  <c r="G6366" i="11"/>
  <c r="I6366" i="11" s="1"/>
  <c r="F6366" i="11"/>
  <c r="F6365" i="11"/>
  <c r="G6365" i="11" s="1"/>
  <c r="F6364" i="11"/>
  <c r="G6364" i="11" s="1"/>
  <c r="H6363" i="11"/>
  <c r="G6363" i="11"/>
  <c r="I6363" i="11" s="1"/>
  <c r="F6363" i="11"/>
  <c r="G6362" i="11"/>
  <c r="I6362" i="11" s="1"/>
  <c r="F6362" i="11"/>
  <c r="F6361" i="11"/>
  <c r="G6361" i="11" s="1"/>
  <c r="F6360" i="11"/>
  <c r="G6360" i="11" s="1"/>
  <c r="H6359" i="11"/>
  <c r="G6359" i="11"/>
  <c r="I6359" i="11" s="1"/>
  <c r="F6359" i="11"/>
  <c r="G6358" i="11"/>
  <c r="I6358" i="11" s="1"/>
  <c r="F6358" i="11"/>
  <c r="F6357" i="11"/>
  <c r="G6357" i="11" s="1"/>
  <c r="F6356" i="11"/>
  <c r="G6356" i="11" s="1"/>
  <c r="H6355" i="11"/>
  <c r="G6355" i="11"/>
  <c r="I6355" i="11" s="1"/>
  <c r="F6355" i="11"/>
  <c r="G6354" i="11"/>
  <c r="I6354" i="11" s="1"/>
  <c r="F6354" i="11"/>
  <c r="F6353" i="11"/>
  <c r="G6353" i="11" s="1"/>
  <c r="F6352" i="11"/>
  <c r="G6352" i="11" s="1"/>
  <c r="H6351" i="11"/>
  <c r="G6351" i="11"/>
  <c r="I6351" i="11" s="1"/>
  <c r="F6351" i="11"/>
  <c r="G6350" i="11"/>
  <c r="I6350" i="11" s="1"/>
  <c r="F6350" i="11"/>
  <c r="F6349" i="11"/>
  <c r="G6349" i="11" s="1"/>
  <c r="F6348" i="11"/>
  <c r="G6348" i="11" s="1"/>
  <c r="H6347" i="11"/>
  <c r="G6347" i="11"/>
  <c r="I6347" i="11" s="1"/>
  <c r="F6347" i="11"/>
  <c r="G6346" i="11"/>
  <c r="I6346" i="11" s="1"/>
  <c r="F6346" i="11"/>
  <c r="F6345" i="11"/>
  <c r="G6345" i="11" s="1"/>
  <c r="F6344" i="11"/>
  <c r="G6344" i="11" s="1"/>
  <c r="H6343" i="11"/>
  <c r="G6343" i="11"/>
  <c r="I6343" i="11" s="1"/>
  <c r="F6343" i="11"/>
  <c r="G6342" i="11"/>
  <c r="I6342" i="11" s="1"/>
  <c r="F6342" i="11"/>
  <c r="F6341" i="11"/>
  <c r="G6341" i="11" s="1"/>
  <c r="F6340" i="11"/>
  <c r="G6340" i="11" s="1"/>
  <c r="H6339" i="11"/>
  <c r="G6339" i="11"/>
  <c r="I6339" i="11" s="1"/>
  <c r="F6339" i="11"/>
  <c r="G6338" i="11"/>
  <c r="I6338" i="11" s="1"/>
  <c r="F6338" i="11"/>
  <c r="F6337" i="11"/>
  <c r="G6337" i="11" s="1"/>
  <c r="F6336" i="11"/>
  <c r="G6336" i="11" s="1"/>
  <c r="H6335" i="11"/>
  <c r="G6335" i="11"/>
  <c r="I6335" i="11" s="1"/>
  <c r="F6335" i="11"/>
  <c r="G6334" i="11"/>
  <c r="I6334" i="11" s="1"/>
  <c r="F6334" i="11"/>
  <c r="F6333" i="11"/>
  <c r="G6333" i="11" s="1"/>
  <c r="F6332" i="11"/>
  <c r="G6332" i="11" s="1"/>
  <c r="H6331" i="11"/>
  <c r="G6331" i="11"/>
  <c r="I6331" i="11" s="1"/>
  <c r="F6331" i="11"/>
  <c r="G6330" i="11"/>
  <c r="I6330" i="11" s="1"/>
  <c r="F6330" i="11"/>
  <c r="F6329" i="11"/>
  <c r="G6329" i="11" s="1"/>
  <c r="F6328" i="11"/>
  <c r="G6328" i="11" s="1"/>
  <c r="H6327" i="11"/>
  <c r="G6327" i="11"/>
  <c r="I6327" i="11" s="1"/>
  <c r="F6327" i="11"/>
  <c r="G6326" i="11"/>
  <c r="I6326" i="11" s="1"/>
  <c r="F6326" i="11"/>
  <c r="F6325" i="11"/>
  <c r="G6325" i="11" s="1"/>
  <c r="F6324" i="11"/>
  <c r="G6324" i="11" s="1"/>
  <c r="H6323" i="11"/>
  <c r="G6323" i="11"/>
  <c r="I6323" i="11" s="1"/>
  <c r="F6323" i="11"/>
  <c r="G6322" i="11"/>
  <c r="I6322" i="11" s="1"/>
  <c r="F6322" i="11"/>
  <c r="F6321" i="11"/>
  <c r="G6321" i="11" s="1"/>
  <c r="F6320" i="11"/>
  <c r="G6320" i="11" s="1"/>
  <c r="H6319" i="11"/>
  <c r="G6319" i="11"/>
  <c r="I6319" i="11" s="1"/>
  <c r="F6319" i="11"/>
  <c r="G6318" i="11"/>
  <c r="I6318" i="11" s="1"/>
  <c r="F6318" i="11"/>
  <c r="F6317" i="11"/>
  <c r="G6317" i="11" s="1"/>
  <c r="F6316" i="11"/>
  <c r="G6316" i="11" s="1"/>
  <c r="H6315" i="11"/>
  <c r="G6315" i="11"/>
  <c r="I6315" i="11" s="1"/>
  <c r="F6315" i="11"/>
  <c r="G6314" i="11"/>
  <c r="I6314" i="11" s="1"/>
  <c r="F6314" i="11"/>
  <c r="F6313" i="11"/>
  <c r="G6313" i="11" s="1"/>
  <c r="F6312" i="11"/>
  <c r="G6312" i="11" s="1"/>
  <c r="H6311" i="11"/>
  <c r="G6311" i="11"/>
  <c r="I6311" i="11" s="1"/>
  <c r="F6311" i="11"/>
  <c r="G6310" i="11"/>
  <c r="I6310" i="11" s="1"/>
  <c r="F6310" i="11"/>
  <c r="F6309" i="11"/>
  <c r="G6309" i="11" s="1"/>
  <c r="F6308" i="11"/>
  <c r="G6308" i="11" s="1"/>
  <c r="H6307" i="11"/>
  <c r="G6307" i="11"/>
  <c r="I6307" i="11" s="1"/>
  <c r="F6307" i="11"/>
  <c r="G6306" i="11"/>
  <c r="I6306" i="11" s="1"/>
  <c r="F6306" i="11"/>
  <c r="F6305" i="11"/>
  <c r="G6305" i="11" s="1"/>
  <c r="F6304" i="11"/>
  <c r="G6304" i="11" s="1"/>
  <c r="H6303" i="11"/>
  <c r="G6303" i="11"/>
  <c r="I6303" i="11" s="1"/>
  <c r="F6303" i="11"/>
  <c r="G6302" i="11"/>
  <c r="I6302" i="11" s="1"/>
  <c r="F6302" i="11"/>
  <c r="F6301" i="11"/>
  <c r="G6301" i="11" s="1"/>
  <c r="F6300" i="11"/>
  <c r="G6300" i="11" s="1"/>
  <c r="H6299" i="11"/>
  <c r="G6299" i="11"/>
  <c r="I6299" i="11" s="1"/>
  <c r="F6299" i="11"/>
  <c r="G6298" i="11"/>
  <c r="I6298" i="11" s="1"/>
  <c r="F6298" i="11"/>
  <c r="F6297" i="11"/>
  <c r="G6297" i="11" s="1"/>
  <c r="F6296" i="11"/>
  <c r="G6296" i="11" s="1"/>
  <c r="H6295" i="11"/>
  <c r="G6295" i="11"/>
  <c r="I6295" i="11" s="1"/>
  <c r="F6295" i="11"/>
  <c r="G6294" i="11"/>
  <c r="I6294" i="11" s="1"/>
  <c r="F6294" i="11"/>
  <c r="F6293" i="11"/>
  <c r="G6293" i="11" s="1"/>
  <c r="F6292" i="11"/>
  <c r="G6292" i="11" s="1"/>
  <c r="H6291" i="11"/>
  <c r="G6291" i="11"/>
  <c r="I6291" i="11" s="1"/>
  <c r="F6291" i="11"/>
  <c r="G6290" i="11"/>
  <c r="I6290" i="11" s="1"/>
  <c r="F6290" i="11"/>
  <c r="F6289" i="11"/>
  <c r="G6289" i="11" s="1"/>
  <c r="F6288" i="11"/>
  <c r="G6288" i="11" s="1"/>
  <c r="H6287" i="11"/>
  <c r="G6287" i="11"/>
  <c r="I6287" i="11" s="1"/>
  <c r="F6287" i="11"/>
  <c r="G6286" i="11"/>
  <c r="I6286" i="11" s="1"/>
  <c r="F6286" i="11"/>
  <c r="F6285" i="11"/>
  <c r="G6285" i="11" s="1"/>
  <c r="F6284" i="11"/>
  <c r="G6284" i="11" s="1"/>
  <c r="H6283" i="11"/>
  <c r="G6283" i="11"/>
  <c r="I6283" i="11" s="1"/>
  <c r="F6283" i="11"/>
  <c r="G6282" i="11"/>
  <c r="I6282" i="11" s="1"/>
  <c r="F6282" i="11"/>
  <c r="F6281" i="11"/>
  <c r="G6281" i="11" s="1"/>
  <c r="F6280" i="11"/>
  <c r="G6280" i="11" s="1"/>
  <c r="H6279" i="11"/>
  <c r="G6279" i="11"/>
  <c r="I6279" i="11" s="1"/>
  <c r="F6279" i="11"/>
  <c r="G6278" i="11"/>
  <c r="I6278" i="11" s="1"/>
  <c r="F6278" i="11"/>
  <c r="F6277" i="11"/>
  <c r="G6277" i="11" s="1"/>
  <c r="F6276" i="11"/>
  <c r="G6276" i="11" s="1"/>
  <c r="H6275" i="11"/>
  <c r="G6275" i="11"/>
  <c r="I6275" i="11" s="1"/>
  <c r="F6275" i="11"/>
  <c r="G6274" i="11"/>
  <c r="I6274" i="11" s="1"/>
  <c r="F6274" i="11"/>
  <c r="F6273" i="11"/>
  <c r="G6273" i="11" s="1"/>
  <c r="F6272" i="11"/>
  <c r="G6272" i="11" s="1"/>
  <c r="H6271" i="11"/>
  <c r="G6271" i="11"/>
  <c r="I6271" i="11" s="1"/>
  <c r="F6271" i="11"/>
  <c r="G6270" i="11"/>
  <c r="I6270" i="11" s="1"/>
  <c r="F6270" i="11"/>
  <c r="F6269" i="11"/>
  <c r="G6269" i="11" s="1"/>
  <c r="F6268" i="11"/>
  <c r="G6268" i="11" s="1"/>
  <c r="H6267" i="11"/>
  <c r="G6267" i="11"/>
  <c r="I6267" i="11" s="1"/>
  <c r="F6267" i="11"/>
  <c r="G6266" i="11"/>
  <c r="I6266" i="11" s="1"/>
  <c r="F6266" i="11"/>
  <c r="F6265" i="11"/>
  <c r="G6265" i="11" s="1"/>
  <c r="F6264" i="11"/>
  <c r="G6264" i="11" s="1"/>
  <c r="H6263" i="11"/>
  <c r="G6263" i="11"/>
  <c r="I6263" i="11" s="1"/>
  <c r="F6263" i="11"/>
  <c r="G6262" i="11"/>
  <c r="I6262" i="11" s="1"/>
  <c r="F6262" i="11"/>
  <c r="F6261" i="11"/>
  <c r="G6261" i="11" s="1"/>
  <c r="F6260" i="11"/>
  <c r="G6260" i="11" s="1"/>
  <c r="H6259" i="11"/>
  <c r="G6259" i="11"/>
  <c r="I6259" i="11" s="1"/>
  <c r="F6259" i="11"/>
  <c r="G6258" i="11"/>
  <c r="I6258" i="11" s="1"/>
  <c r="F6258" i="11"/>
  <c r="F6257" i="11"/>
  <c r="G6257" i="11" s="1"/>
  <c r="F6256" i="11"/>
  <c r="G6256" i="11" s="1"/>
  <c r="H6255" i="11"/>
  <c r="G6255" i="11"/>
  <c r="I6255" i="11" s="1"/>
  <c r="F6255" i="11"/>
  <c r="G6254" i="11"/>
  <c r="I6254" i="11" s="1"/>
  <c r="F6254" i="11"/>
  <c r="F6253" i="11"/>
  <c r="G6253" i="11" s="1"/>
  <c r="F6252" i="11"/>
  <c r="G6252" i="11" s="1"/>
  <c r="H6251" i="11"/>
  <c r="G6251" i="11"/>
  <c r="I6251" i="11" s="1"/>
  <c r="F6251" i="11"/>
  <c r="G6250" i="11"/>
  <c r="I6250" i="11" s="1"/>
  <c r="F6250" i="11"/>
  <c r="F6249" i="11"/>
  <c r="G6249" i="11" s="1"/>
  <c r="F6248" i="11"/>
  <c r="G6248" i="11" s="1"/>
  <c r="H6247" i="11"/>
  <c r="G6247" i="11"/>
  <c r="I6247" i="11" s="1"/>
  <c r="F6247" i="11"/>
  <c r="G6246" i="11"/>
  <c r="I6246" i="11" s="1"/>
  <c r="F6246" i="11"/>
  <c r="F6245" i="11"/>
  <c r="G6245" i="11" s="1"/>
  <c r="F6244" i="11"/>
  <c r="G6244" i="11" s="1"/>
  <c r="H6243" i="11"/>
  <c r="G6243" i="11"/>
  <c r="I6243" i="11" s="1"/>
  <c r="F6243" i="11"/>
  <c r="G6242" i="11"/>
  <c r="I6242" i="11" s="1"/>
  <c r="F6242" i="11"/>
  <c r="F6241" i="11"/>
  <c r="G6241" i="11" s="1"/>
  <c r="F6240" i="11"/>
  <c r="G6240" i="11" s="1"/>
  <c r="H6239" i="11"/>
  <c r="G6239" i="11"/>
  <c r="I6239" i="11" s="1"/>
  <c r="F6239" i="11"/>
  <c r="G6238" i="11"/>
  <c r="I6238" i="11" s="1"/>
  <c r="F6238" i="11"/>
  <c r="F6237" i="11"/>
  <c r="G6237" i="11" s="1"/>
  <c r="F6236" i="11"/>
  <c r="G6236" i="11" s="1"/>
  <c r="H6235" i="11"/>
  <c r="G6235" i="11"/>
  <c r="I6235" i="11" s="1"/>
  <c r="F6235" i="11"/>
  <c r="G6234" i="11"/>
  <c r="I6234" i="11" s="1"/>
  <c r="F6234" i="11"/>
  <c r="F6233" i="11"/>
  <c r="G6233" i="11" s="1"/>
  <c r="F6232" i="11"/>
  <c r="G6232" i="11" s="1"/>
  <c r="H6231" i="11"/>
  <c r="G6231" i="11"/>
  <c r="I6231" i="11" s="1"/>
  <c r="F6231" i="11"/>
  <c r="G6230" i="11"/>
  <c r="I6230" i="11" s="1"/>
  <c r="F6230" i="11"/>
  <c r="F6229" i="11"/>
  <c r="G6229" i="11" s="1"/>
  <c r="F6228" i="11"/>
  <c r="G6228" i="11" s="1"/>
  <c r="H6227" i="11"/>
  <c r="G6227" i="11"/>
  <c r="I6227" i="11" s="1"/>
  <c r="F6227" i="11"/>
  <c r="G6226" i="11"/>
  <c r="I6226" i="11" s="1"/>
  <c r="F6226" i="11"/>
  <c r="F6225" i="11"/>
  <c r="G6225" i="11" s="1"/>
  <c r="F6224" i="11"/>
  <c r="G6224" i="11" s="1"/>
  <c r="H6223" i="11"/>
  <c r="G6223" i="11"/>
  <c r="I6223" i="11" s="1"/>
  <c r="F6223" i="11"/>
  <c r="G6222" i="11"/>
  <c r="I6222" i="11" s="1"/>
  <c r="F6222" i="11"/>
  <c r="F6221" i="11"/>
  <c r="G6221" i="11" s="1"/>
  <c r="F6220" i="11"/>
  <c r="G6220" i="11" s="1"/>
  <c r="H6219" i="11"/>
  <c r="G6219" i="11"/>
  <c r="I6219" i="11" s="1"/>
  <c r="F6219" i="11"/>
  <c r="G6218" i="11"/>
  <c r="I6218" i="11" s="1"/>
  <c r="F6218" i="11"/>
  <c r="F6217" i="11"/>
  <c r="G6217" i="11" s="1"/>
  <c r="F6216" i="11"/>
  <c r="G6216" i="11" s="1"/>
  <c r="H6215" i="11"/>
  <c r="G6215" i="11"/>
  <c r="I6215" i="11" s="1"/>
  <c r="F6215" i="11"/>
  <c r="G6214" i="11"/>
  <c r="F6214" i="11"/>
  <c r="F6213" i="11"/>
  <c r="G6213" i="11" s="1"/>
  <c r="F6212" i="11"/>
  <c r="G6212" i="11" s="1"/>
  <c r="H6211" i="11"/>
  <c r="G6211" i="11"/>
  <c r="I6211" i="11" s="1"/>
  <c r="F6211" i="11"/>
  <c r="G6210" i="11"/>
  <c r="F6210" i="11"/>
  <c r="F6209" i="11"/>
  <c r="G6209" i="11" s="1"/>
  <c r="F6208" i="11"/>
  <c r="G6208" i="11" s="1"/>
  <c r="H6207" i="11"/>
  <c r="G6207" i="11"/>
  <c r="I6207" i="11" s="1"/>
  <c r="F6207" i="11"/>
  <c r="G6206" i="11"/>
  <c r="F6206" i="11"/>
  <c r="F6205" i="11"/>
  <c r="G6205" i="11" s="1"/>
  <c r="F6204" i="11"/>
  <c r="G6204" i="11" s="1"/>
  <c r="H6203" i="11"/>
  <c r="G6203" i="11"/>
  <c r="I6203" i="11" s="1"/>
  <c r="F6203" i="11"/>
  <c r="G6202" i="11"/>
  <c r="F6202" i="11"/>
  <c r="F6201" i="11"/>
  <c r="G6201" i="11" s="1"/>
  <c r="F6200" i="11"/>
  <c r="G6200" i="11" s="1"/>
  <c r="H6199" i="11"/>
  <c r="G6199" i="11"/>
  <c r="I6199" i="11" s="1"/>
  <c r="F6199" i="11"/>
  <c r="G6198" i="11"/>
  <c r="F6198" i="11"/>
  <c r="F6197" i="11"/>
  <c r="G6197" i="11" s="1"/>
  <c r="F6196" i="11"/>
  <c r="G6196" i="11" s="1"/>
  <c r="H6195" i="11"/>
  <c r="G6195" i="11"/>
  <c r="I6195" i="11" s="1"/>
  <c r="F6195" i="11"/>
  <c r="G6194" i="11"/>
  <c r="F6194" i="11"/>
  <c r="F6193" i="11"/>
  <c r="G6193" i="11" s="1"/>
  <c r="F6192" i="11"/>
  <c r="G6192" i="11" s="1"/>
  <c r="H6191" i="11"/>
  <c r="G6191" i="11"/>
  <c r="I6191" i="11" s="1"/>
  <c r="F6191" i="11"/>
  <c r="G6190" i="11"/>
  <c r="F6190" i="11"/>
  <c r="F6189" i="11"/>
  <c r="G6189" i="11" s="1"/>
  <c r="F6188" i="11"/>
  <c r="G6188" i="11" s="1"/>
  <c r="H6187" i="11"/>
  <c r="G6187" i="11"/>
  <c r="I6187" i="11" s="1"/>
  <c r="F6187" i="11"/>
  <c r="G6186" i="11"/>
  <c r="F6186" i="11"/>
  <c r="F6185" i="11"/>
  <c r="G6185" i="11" s="1"/>
  <c r="F6184" i="11"/>
  <c r="G6184" i="11" s="1"/>
  <c r="H6183" i="11"/>
  <c r="G6183" i="11"/>
  <c r="I6183" i="11" s="1"/>
  <c r="F6183" i="11"/>
  <c r="G6182" i="11"/>
  <c r="F6182" i="11"/>
  <c r="F6181" i="11"/>
  <c r="G6181" i="11" s="1"/>
  <c r="F6180" i="11"/>
  <c r="G6180" i="11" s="1"/>
  <c r="H6179" i="11"/>
  <c r="G6179" i="11"/>
  <c r="I6179" i="11" s="1"/>
  <c r="F6179" i="11"/>
  <c r="G6178" i="11"/>
  <c r="F6178" i="11"/>
  <c r="F6177" i="11"/>
  <c r="G6177" i="11" s="1"/>
  <c r="F6176" i="11"/>
  <c r="G6176" i="11" s="1"/>
  <c r="H6175" i="11"/>
  <c r="G6175" i="11"/>
  <c r="I6175" i="11" s="1"/>
  <c r="F6175" i="11"/>
  <c r="G6174" i="11"/>
  <c r="F6174" i="11"/>
  <c r="F6173" i="11"/>
  <c r="G6173" i="11" s="1"/>
  <c r="F6172" i="11"/>
  <c r="G6172" i="11" s="1"/>
  <c r="H6171" i="11"/>
  <c r="G6171" i="11"/>
  <c r="I6171" i="11" s="1"/>
  <c r="F6171" i="11"/>
  <c r="G6170" i="11"/>
  <c r="F6170" i="11"/>
  <c r="F6169" i="11"/>
  <c r="G6169" i="11" s="1"/>
  <c r="F6168" i="11"/>
  <c r="G6168" i="11" s="1"/>
  <c r="H6167" i="11"/>
  <c r="G6167" i="11"/>
  <c r="I6167" i="11" s="1"/>
  <c r="F6167" i="11"/>
  <c r="G6166" i="11"/>
  <c r="F6166" i="11"/>
  <c r="F6165" i="11"/>
  <c r="G6165" i="11" s="1"/>
  <c r="F6164" i="11"/>
  <c r="G6164" i="11" s="1"/>
  <c r="H6163" i="11"/>
  <c r="G6163" i="11"/>
  <c r="I6163" i="11" s="1"/>
  <c r="F6163" i="11"/>
  <c r="G6162" i="11"/>
  <c r="F6162" i="11"/>
  <c r="F6161" i="11"/>
  <c r="G6161" i="11" s="1"/>
  <c r="F6160" i="11"/>
  <c r="G6160" i="11" s="1"/>
  <c r="H6159" i="11"/>
  <c r="G6159" i="11"/>
  <c r="I6159" i="11" s="1"/>
  <c r="F6159" i="11"/>
  <c r="G6158" i="11"/>
  <c r="F6158" i="11"/>
  <c r="F6157" i="11"/>
  <c r="G6157" i="11" s="1"/>
  <c r="F6156" i="11"/>
  <c r="G6156" i="11" s="1"/>
  <c r="H6155" i="11"/>
  <c r="G6155" i="11"/>
  <c r="I6155" i="11" s="1"/>
  <c r="F6155" i="11"/>
  <c r="G6154" i="11"/>
  <c r="F6154" i="11"/>
  <c r="F6153" i="11"/>
  <c r="G6153" i="11" s="1"/>
  <c r="F6152" i="11"/>
  <c r="G6152" i="11" s="1"/>
  <c r="H6151" i="11"/>
  <c r="G6151" i="11"/>
  <c r="I6151" i="11" s="1"/>
  <c r="F6151" i="11"/>
  <c r="G6150" i="11"/>
  <c r="F6150" i="11"/>
  <c r="F6149" i="11"/>
  <c r="G6149" i="11" s="1"/>
  <c r="F6148" i="11"/>
  <c r="G6148" i="11" s="1"/>
  <c r="H6147" i="11"/>
  <c r="G6147" i="11"/>
  <c r="I6147" i="11" s="1"/>
  <c r="F6147" i="11"/>
  <c r="G6146" i="11"/>
  <c r="F6146" i="11"/>
  <c r="F6145" i="11"/>
  <c r="G6145" i="11" s="1"/>
  <c r="F6144" i="11"/>
  <c r="G6144" i="11" s="1"/>
  <c r="H6143" i="11"/>
  <c r="G6143" i="11"/>
  <c r="I6143" i="11" s="1"/>
  <c r="F6143" i="11"/>
  <c r="G6142" i="11"/>
  <c r="F6142" i="11"/>
  <c r="F6141" i="11"/>
  <c r="G6141" i="11" s="1"/>
  <c r="F6140" i="11"/>
  <c r="G6140" i="11" s="1"/>
  <c r="H6139" i="11"/>
  <c r="G6139" i="11"/>
  <c r="I6139" i="11" s="1"/>
  <c r="F6139" i="11"/>
  <c r="G6138" i="11"/>
  <c r="F6138" i="11"/>
  <c r="F6137" i="11"/>
  <c r="G6137" i="11" s="1"/>
  <c r="F6136" i="11"/>
  <c r="G6136" i="11" s="1"/>
  <c r="H6135" i="11"/>
  <c r="G6135" i="11"/>
  <c r="I6135" i="11" s="1"/>
  <c r="F6135" i="11"/>
  <c r="G6134" i="11"/>
  <c r="F6134" i="11"/>
  <c r="F6133" i="11"/>
  <c r="G6133" i="11" s="1"/>
  <c r="F6132" i="11"/>
  <c r="G6132" i="11" s="1"/>
  <c r="H6131" i="11"/>
  <c r="G6131" i="11"/>
  <c r="I6131" i="11" s="1"/>
  <c r="F6131" i="11"/>
  <c r="G6130" i="11"/>
  <c r="F6130" i="11"/>
  <c r="F6129" i="11"/>
  <c r="G6129" i="11" s="1"/>
  <c r="F6128" i="11"/>
  <c r="G6128" i="11" s="1"/>
  <c r="H6127" i="11"/>
  <c r="G6127" i="11"/>
  <c r="I6127" i="11" s="1"/>
  <c r="F6127" i="11"/>
  <c r="G6126" i="11"/>
  <c r="F6126" i="11"/>
  <c r="F6125" i="11"/>
  <c r="G6125" i="11" s="1"/>
  <c r="F6124" i="11"/>
  <c r="G6124" i="11" s="1"/>
  <c r="H6123" i="11"/>
  <c r="G6123" i="11"/>
  <c r="I6123" i="11" s="1"/>
  <c r="F6123" i="11"/>
  <c r="G6122" i="11"/>
  <c r="F6122" i="11"/>
  <c r="F6121" i="11"/>
  <c r="G6121" i="11" s="1"/>
  <c r="F6120" i="11"/>
  <c r="G6120" i="11" s="1"/>
  <c r="H6119" i="11"/>
  <c r="G6119" i="11"/>
  <c r="I6119" i="11" s="1"/>
  <c r="F6119" i="11"/>
  <c r="G6118" i="11"/>
  <c r="F6118" i="11"/>
  <c r="F6117" i="11"/>
  <c r="G6117" i="11" s="1"/>
  <c r="F6116" i="11"/>
  <c r="G6116" i="11" s="1"/>
  <c r="H6115" i="11"/>
  <c r="G6115" i="11"/>
  <c r="I6115" i="11" s="1"/>
  <c r="F6115" i="11"/>
  <c r="G6114" i="11"/>
  <c r="F6114" i="11"/>
  <c r="F6113" i="11"/>
  <c r="G6113" i="11" s="1"/>
  <c r="F6112" i="11"/>
  <c r="G6112" i="11" s="1"/>
  <c r="H6111" i="11"/>
  <c r="G6111" i="11"/>
  <c r="I6111" i="11" s="1"/>
  <c r="F6111" i="11"/>
  <c r="G6110" i="11"/>
  <c r="F6110" i="11"/>
  <c r="F6109" i="11"/>
  <c r="G6109" i="11" s="1"/>
  <c r="F6108" i="11"/>
  <c r="G6108" i="11" s="1"/>
  <c r="H6107" i="11"/>
  <c r="G6107" i="11"/>
  <c r="I6107" i="11" s="1"/>
  <c r="F6107" i="11"/>
  <c r="G6106" i="11"/>
  <c r="F6106" i="11"/>
  <c r="F6105" i="11"/>
  <c r="G6105" i="11" s="1"/>
  <c r="F6104" i="11"/>
  <c r="G6104" i="11" s="1"/>
  <c r="H6103" i="11"/>
  <c r="G6103" i="11"/>
  <c r="I6103" i="11" s="1"/>
  <c r="F6103" i="11"/>
  <c r="G6102" i="11"/>
  <c r="F6102" i="11"/>
  <c r="F6101" i="11"/>
  <c r="G6101" i="11" s="1"/>
  <c r="F6100" i="11"/>
  <c r="G6100" i="11" s="1"/>
  <c r="H6099" i="11"/>
  <c r="G6099" i="11"/>
  <c r="I6099" i="11" s="1"/>
  <c r="F6099" i="11"/>
  <c r="G6098" i="11"/>
  <c r="F6098" i="11"/>
  <c r="F6097" i="11"/>
  <c r="G6097" i="11" s="1"/>
  <c r="F6096" i="11"/>
  <c r="G6096" i="11" s="1"/>
  <c r="H6095" i="11"/>
  <c r="G6095" i="11"/>
  <c r="I6095" i="11" s="1"/>
  <c r="F6095" i="11"/>
  <c r="G6094" i="11"/>
  <c r="F6094" i="11"/>
  <c r="F6093" i="11"/>
  <c r="G6093" i="11" s="1"/>
  <c r="F6092" i="11"/>
  <c r="G6092" i="11" s="1"/>
  <c r="H6091" i="11"/>
  <c r="G6091" i="11"/>
  <c r="I6091" i="11" s="1"/>
  <c r="F6091" i="11"/>
  <c r="G6090" i="11"/>
  <c r="F6090" i="11"/>
  <c r="F6089" i="11"/>
  <c r="G6089" i="11" s="1"/>
  <c r="F6088" i="11"/>
  <c r="G6088" i="11" s="1"/>
  <c r="H6087" i="11"/>
  <c r="G6087" i="11"/>
  <c r="I6087" i="11" s="1"/>
  <c r="F6087" i="11"/>
  <c r="G6086" i="11"/>
  <c r="F6086" i="11"/>
  <c r="F6085" i="11"/>
  <c r="G6085" i="11" s="1"/>
  <c r="F6084" i="11"/>
  <c r="G6084" i="11" s="1"/>
  <c r="H6083" i="11"/>
  <c r="G6083" i="11"/>
  <c r="I6083" i="11" s="1"/>
  <c r="F6083" i="11"/>
  <c r="G6082" i="11"/>
  <c r="F6082" i="11"/>
  <c r="F6081" i="11"/>
  <c r="G6081" i="11" s="1"/>
  <c r="F6080" i="11"/>
  <c r="G6080" i="11" s="1"/>
  <c r="H6079" i="11"/>
  <c r="G6079" i="11"/>
  <c r="I6079" i="11" s="1"/>
  <c r="F6079" i="11"/>
  <c r="G6078" i="11"/>
  <c r="F6078" i="11"/>
  <c r="F6077" i="11"/>
  <c r="G6077" i="11" s="1"/>
  <c r="F6076" i="11"/>
  <c r="G6076" i="11" s="1"/>
  <c r="H6075" i="11"/>
  <c r="G6075" i="11"/>
  <c r="I6075" i="11" s="1"/>
  <c r="F6075" i="11"/>
  <c r="G6074" i="11"/>
  <c r="F6074" i="11"/>
  <c r="F6073" i="11"/>
  <c r="G6073" i="11" s="1"/>
  <c r="F6072" i="11"/>
  <c r="G6072" i="11" s="1"/>
  <c r="H6071" i="11"/>
  <c r="G6071" i="11"/>
  <c r="I6071" i="11" s="1"/>
  <c r="F6071" i="11"/>
  <c r="G6070" i="11"/>
  <c r="F6070" i="11"/>
  <c r="F6069" i="11"/>
  <c r="G6069" i="11" s="1"/>
  <c r="F6068" i="11"/>
  <c r="G6068" i="11" s="1"/>
  <c r="H6067" i="11"/>
  <c r="G6067" i="11"/>
  <c r="I6067" i="11" s="1"/>
  <c r="F6067" i="11"/>
  <c r="G6066" i="11"/>
  <c r="F6066" i="11"/>
  <c r="F6065" i="11"/>
  <c r="G6065" i="11" s="1"/>
  <c r="F6064" i="11"/>
  <c r="G6064" i="11" s="1"/>
  <c r="H6063" i="11"/>
  <c r="G6063" i="11"/>
  <c r="I6063" i="11" s="1"/>
  <c r="F6063" i="11"/>
  <c r="G6062" i="11"/>
  <c r="F6062" i="11"/>
  <c r="F6061" i="11"/>
  <c r="G6061" i="11" s="1"/>
  <c r="F6060" i="11"/>
  <c r="G6060" i="11" s="1"/>
  <c r="H6059" i="11"/>
  <c r="G6059" i="11"/>
  <c r="I6059" i="11" s="1"/>
  <c r="F6059" i="11"/>
  <c r="G6058" i="11"/>
  <c r="F6058" i="11"/>
  <c r="F6057" i="11"/>
  <c r="G6057" i="11" s="1"/>
  <c r="F6056" i="11"/>
  <c r="G6056" i="11" s="1"/>
  <c r="H6055" i="11"/>
  <c r="G6055" i="11"/>
  <c r="I6055" i="11" s="1"/>
  <c r="F6055" i="11"/>
  <c r="G6054" i="11"/>
  <c r="F6054" i="11"/>
  <c r="F6053" i="11"/>
  <c r="G6053" i="11" s="1"/>
  <c r="F6052" i="11"/>
  <c r="G6052" i="11" s="1"/>
  <c r="H6051" i="11"/>
  <c r="G6051" i="11"/>
  <c r="I6051" i="11" s="1"/>
  <c r="F6051" i="11"/>
  <c r="G6050" i="11"/>
  <c r="F6050" i="11"/>
  <c r="F6049" i="11"/>
  <c r="G6049" i="11" s="1"/>
  <c r="F6048" i="11"/>
  <c r="G6048" i="11" s="1"/>
  <c r="H6047" i="11"/>
  <c r="G6047" i="11"/>
  <c r="I6047" i="11" s="1"/>
  <c r="F6047" i="11"/>
  <c r="G6046" i="11"/>
  <c r="F6046" i="11"/>
  <c r="F6045" i="11"/>
  <c r="G6045" i="11" s="1"/>
  <c r="F6044" i="11"/>
  <c r="G6044" i="11" s="1"/>
  <c r="H6043" i="11"/>
  <c r="G6043" i="11"/>
  <c r="I6043" i="11" s="1"/>
  <c r="F6043" i="11"/>
  <c r="G6042" i="11"/>
  <c r="F6042" i="11"/>
  <c r="F6041" i="11"/>
  <c r="G6041" i="11" s="1"/>
  <c r="F6040" i="11"/>
  <c r="G6040" i="11" s="1"/>
  <c r="H6039" i="11"/>
  <c r="G6039" i="11"/>
  <c r="I6039" i="11" s="1"/>
  <c r="F6039" i="11"/>
  <c r="G6038" i="11"/>
  <c r="F6038" i="11"/>
  <c r="F6037" i="11"/>
  <c r="G6037" i="11" s="1"/>
  <c r="F6036" i="11"/>
  <c r="G6036" i="11" s="1"/>
  <c r="H6035" i="11"/>
  <c r="G6035" i="11"/>
  <c r="I6035" i="11" s="1"/>
  <c r="F6035" i="11"/>
  <c r="G6034" i="11"/>
  <c r="F6034" i="11"/>
  <c r="F6033" i="11"/>
  <c r="G6033" i="11" s="1"/>
  <c r="F6032" i="11"/>
  <c r="G6032" i="11" s="1"/>
  <c r="H6031" i="11"/>
  <c r="G6031" i="11"/>
  <c r="I6031" i="11" s="1"/>
  <c r="F6031" i="11"/>
  <c r="G6030" i="11"/>
  <c r="F6030" i="11"/>
  <c r="F6029" i="11"/>
  <c r="G6029" i="11" s="1"/>
  <c r="F6028" i="11"/>
  <c r="G6028" i="11" s="1"/>
  <c r="H6027" i="11"/>
  <c r="G6027" i="11"/>
  <c r="I6027" i="11" s="1"/>
  <c r="F6027" i="11"/>
  <c r="G6026" i="11"/>
  <c r="F6026" i="11"/>
  <c r="F6025" i="11"/>
  <c r="G6025" i="11" s="1"/>
  <c r="F6024" i="11"/>
  <c r="G6024" i="11" s="1"/>
  <c r="H6023" i="11"/>
  <c r="G6023" i="11"/>
  <c r="I6023" i="11" s="1"/>
  <c r="F6023" i="11"/>
  <c r="G6022" i="11"/>
  <c r="F6022" i="11"/>
  <c r="F6021" i="11"/>
  <c r="G6021" i="11" s="1"/>
  <c r="F6020" i="11"/>
  <c r="G6020" i="11" s="1"/>
  <c r="H6019" i="11"/>
  <c r="G6019" i="11"/>
  <c r="I6019" i="11" s="1"/>
  <c r="F6019" i="11"/>
  <c r="G6018" i="11"/>
  <c r="F6018" i="11"/>
  <c r="F6017" i="11"/>
  <c r="G6017" i="11" s="1"/>
  <c r="F6016" i="11"/>
  <c r="G6016" i="11" s="1"/>
  <c r="H6015" i="11"/>
  <c r="G6015" i="11"/>
  <c r="I6015" i="11" s="1"/>
  <c r="F6015" i="11"/>
  <c r="G6014" i="11"/>
  <c r="F6014" i="11"/>
  <c r="F6013" i="11"/>
  <c r="G6013" i="11" s="1"/>
  <c r="F6012" i="11"/>
  <c r="G6012" i="11" s="1"/>
  <c r="H6011" i="11"/>
  <c r="G6011" i="11"/>
  <c r="I6011" i="11" s="1"/>
  <c r="F6011" i="11"/>
  <c r="G6010" i="11"/>
  <c r="F6010" i="11"/>
  <c r="F6009" i="11"/>
  <c r="G6009" i="11" s="1"/>
  <c r="F6008" i="11"/>
  <c r="G6008" i="11" s="1"/>
  <c r="H6007" i="11"/>
  <c r="G6007" i="11"/>
  <c r="I6007" i="11" s="1"/>
  <c r="F6007" i="11"/>
  <c r="G6006" i="11"/>
  <c r="F6006" i="11"/>
  <c r="F6005" i="11"/>
  <c r="G6005" i="11" s="1"/>
  <c r="F6004" i="11"/>
  <c r="G6004" i="11" s="1"/>
  <c r="H6003" i="11"/>
  <c r="G6003" i="11"/>
  <c r="I6003" i="11" s="1"/>
  <c r="F6003" i="11"/>
  <c r="G6002" i="11"/>
  <c r="F6002" i="11"/>
  <c r="F6001" i="11"/>
  <c r="G6001" i="11" s="1"/>
  <c r="F6000" i="11"/>
  <c r="G6000" i="11" s="1"/>
  <c r="H5999" i="11"/>
  <c r="G5999" i="11"/>
  <c r="I5999" i="11" s="1"/>
  <c r="F5999" i="11"/>
  <c r="G5998" i="11"/>
  <c r="F5998" i="11"/>
  <c r="F5997" i="11"/>
  <c r="G5997" i="11" s="1"/>
  <c r="F5996" i="11"/>
  <c r="G5996" i="11" s="1"/>
  <c r="H5995" i="11"/>
  <c r="G5995" i="11"/>
  <c r="I5995" i="11" s="1"/>
  <c r="F5995" i="11"/>
  <c r="G5994" i="11"/>
  <c r="F5994" i="11"/>
  <c r="F5993" i="11"/>
  <c r="G5993" i="11" s="1"/>
  <c r="F5992" i="11"/>
  <c r="G5992" i="11" s="1"/>
  <c r="H5991" i="11"/>
  <c r="G5991" i="11"/>
  <c r="I5991" i="11" s="1"/>
  <c r="F5991" i="11"/>
  <c r="G5990" i="11"/>
  <c r="F5990" i="11"/>
  <c r="F5989" i="11"/>
  <c r="G5989" i="11" s="1"/>
  <c r="F5988" i="11"/>
  <c r="G5988" i="11" s="1"/>
  <c r="H5987" i="11"/>
  <c r="G5987" i="11"/>
  <c r="I5987" i="11" s="1"/>
  <c r="F5987" i="11"/>
  <c r="G5986" i="11"/>
  <c r="F5986" i="11"/>
  <c r="F5985" i="11"/>
  <c r="G5985" i="11" s="1"/>
  <c r="F5984" i="11"/>
  <c r="G5984" i="11" s="1"/>
  <c r="H5983" i="11"/>
  <c r="G5983" i="11"/>
  <c r="I5983" i="11" s="1"/>
  <c r="F5983" i="11"/>
  <c r="G5982" i="11"/>
  <c r="F5982" i="11"/>
  <c r="F5981" i="11"/>
  <c r="G5981" i="11" s="1"/>
  <c r="F5980" i="11"/>
  <c r="G5980" i="11" s="1"/>
  <c r="H5979" i="11"/>
  <c r="G5979" i="11"/>
  <c r="I5979" i="11" s="1"/>
  <c r="F5979" i="11"/>
  <c r="G5978" i="11"/>
  <c r="F5978" i="11"/>
  <c r="F5977" i="11"/>
  <c r="G5977" i="11" s="1"/>
  <c r="F5976" i="11"/>
  <c r="G5976" i="11" s="1"/>
  <c r="H5975" i="11"/>
  <c r="G5975" i="11"/>
  <c r="I5975" i="11" s="1"/>
  <c r="F5975" i="11"/>
  <c r="G5974" i="11"/>
  <c r="F5974" i="11"/>
  <c r="F5973" i="11"/>
  <c r="G5973" i="11" s="1"/>
  <c r="F5972" i="11"/>
  <c r="G5972" i="11" s="1"/>
  <c r="H5971" i="11"/>
  <c r="G5971" i="11"/>
  <c r="I5971" i="11" s="1"/>
  <c r="F5971" i="11"/>
  <c r="G5970" i="11"/>
  <c r="F5970" i="11"/>
  <c r="F5969" i="11"/>
  <c r="G5969" i="11" s="1"/>
  <c r="F5968" i="11"/>
  <c r="G5968" i="11" s="1"/>
  <c r="H5967" i="11"/>
  <c r="G5967" i="11"/>
  <c r="I5967" i="11" s="1"/>
  <c r="F5967" i="11"/>
  <c r="G5966" i="11"/>
  <c r="F5966" i="11"/>
  <c r="F5965" i="11"/>
  <c r="G5965" i="11" s="1"/>
  <c r="F5964" i="11"/>
  <c r="G5964" i="11" s="1"/>
  <c r="H5963" i="11"/>
  <c r="G5963" i="11"/>
  <c r="I5963" i="11" s="1"/>
  <c r="F5963" i="11"/>
  <c r="G5962" i="11"/>
  <c r="F5962" i="11"/>
  <c r="F5961" i="11"/>
  <c r="G5961" i="11" s="1"/>
  <c r="F5960" i="11"/>
  <c r="G5960" i="11" s="1"/>
  <c r="H5959" i="11"/>
  <c r="G5959" i="11"/>
  <c r="I5959" i="11" s="1"/>
  <c r="F5959" i="11"/>
  <c r="G5958" i="11"/>
  <c r="F5958" i="11"/>
  <c r="F5957" i="11"/>
  <c r="G5957" i="11" s="1"/>
  <c r="F5956" i="11"/>
  <c r="G5956" i="11" s="1"/>
  <c r="H5955" i="11"/>
  <c r="G5955" i="11"/>
  <c r="I5955" i="11" s="1"/>
  <c r="F5955" i="11"/>
  <c r="G5954" i="11"/>
  <c r="F5954" i="11"/>
  <c r="F5953" i="11"/>
  <c r="G5953" i="11" s="1"/>
  <c r="F5952" i="11"/>
  <c r="G5952" i="11" s="1"/>
  <c r="H5951" i="11"/>
  <c r="G5951" i="11"/>
  <c r="I5951" i="11" s="1"/>
  <c r="F5951" i="11"/>
  <c r="G5950" i="11"/>
  <c r="F5950" i="11"/>
  <c r="F5949" i="11"/>
  <c r="G5949" i="11" s="1"/>
  <c r="F5948" i="11"/>
  <c r="G5948" i="11" s="1"/>
  <c r="H5947" i="11"/>
  <c r="G5947" i="11"/>
  <c r="I5947" i="11" s="1"/>
  <c r="F5947" i="11"/>
  <c r="G5946" i="11"/>
  <c r="F5946" i="11"/>
  <c r="F5945" i="11"/>
  <c r="G5945" i="11" s="1"/>
  <c r="F5944" i="11"/>
  <c r="G5944" i="11" s="1"/>
  <c r="H5943" i="11"/>
  <c r="G5943" i="11"/>
  <c r="I5943" i="11" s="1"/>
  <c r="F5943" i="11"/>
  <c r="G5942" i="11"/>
  <c r="F5942" i="11"/>
  <c r="F5941" i="11"/>
  <c r="G5941" i="11" s="1"/>
  <c r="F5940" i="11"/>
  <c r="G5940" i="11" s="1"/>
  <c r="H5939" i="11"/>
  <c r="G5939" i="11"/>
  <c r="I5939" i="11" s="1"/>
  <c r="F5939" i="11"/>
  <c r="G5938" i="11"/>
  <c r="F5938" i="11"/>
  <c r="F5937" i="11"/>
  <c r="G5937" i="11" s="1"/>
  <c r="F5936" i="11"/>
  <c r="G5936" i="11" s="1"/>
  <c r="H5935" i="11"/>
  <c r="G5935" i="11"/>
  <c r="I5935" i="11" s="1"/>
  <c r="F5935" i="11"/>
  <c r="G5934" i="11"/>
  <c r="F5934" i="11"/>
  <c r="F5933" i="11"/>
  <c r="G5933" i="11" s="1"/>
  <c r="F5932" i="11"/>
  <c r="G5932" i="11" s="1"/>
  <c r="H5931" i="11"/>
  <c r="G5931" i="11"/>
  <c r="I5931" i="11" s="1"/>
  <c r="F5931" i="11"/>
  <c r="G5930" i="11"/>
  <c r="F5930" i="11"/>
  <c r="F5929" i="11"/>
  <c r="G5929" i="11" s="1"/>
  <c r="F5928" i="11"/>
  <c r="G5928" i="11" s="1"/>
  <c r="H5927" i="11"/>
  <c r="G5927" i="11"/>
  <c r="I5927" i="11" s="1"/>
  <c r="F5927" i="11"/>
  <c r="G5926" i="11"/>
  <c r="F5926" i="11"/>
  <c r="F5925" i="11"/>
  <c r="G5925" i="11" s="1"/>
  <c r="F5924" i="11"/>
  <c r="G5924" i="11" s="1"/>
  <c r="H5923" i="11"/>
  <c r="G5923" i="11"/>
  <c r="I5923" i="11" s="1"/>
  <c r="F5923" i="11"/>
  <c r="G5922" i="11"/>
  <c r="F5922" i="11"/>
  <c r="F5921" i="11"/>
  <c r="G5921" i="11" s="1"/>
  <c r="F5920" i="11"/>
  <c r="G5920" i="11" s="1"/>
  <c r="H5919" i="11"/>
  <c r="G5919" i="11"/>
  <c r="I5919" i="11" s="1"/>
  <c r="F5919" i="11"/>
  <c r="G5918" i="11"/>
  <c r="F5918" i="11"/>
  <c r="F5917" i="11"/>
  <c r="G5917" i="11" s="1"/>
  <c r="F5916" i="11"/>
  <c r="G5916" i="11" s="1"/>
  <c r="H5915" i="11"/>
  <c r="G5915" i="11"/>
  <c r="I5915" i="11" s="1"/>
  <c r="F5915" i="11"/>
  <c r="G5914" i="11"/>
  <c r="F5914" i="11"/>
  <c r="F5913" i="11"/>
  <c r="G5913" i="11" s="1"/>
  <c r="F5912" i="11"/>
  <c r="G5912" i="11" s="1"/>
  <c r="H5911" i="11"/>
  <c r="G5911" i="11"/>
  <c r="I5911" i="11" s="1"/>
  <c r="F5911" i="11"/>
  <c r="G5910" i="11"/>
  <c r="F5910" i="11"/>
  <c r="F5909" i="11"/>
  <c r="G5909" i="11" s="1"/>
  <c r="F5908" i="11"/>
  <c r="G5908" i="11" s="1"/>
  <c r="H5907" i="11"/>
  <c r="G5907" i="11"/>
  <c r="I5907" i="11" s="1"/>
  <c r="F5907" i="11"/>
  <c r="G5906" i="11"/>
  <c r="F5906" i="11"/>
  <c r="F5905" i="11"/>
  <c r="G5905" i="11" s="1"/>
  <c r="F5904" i="11"/>
  <c r="G5904" i="11" s="1"/>
  <c r="H5903" i="11"/>
  <c r="G5903" i="11"/>
  <c r="I5903" i="11" s="1"/>
  <c r="F5903" i="11"/>
  <c r="G5902" i="11"/>
  <c r="F5902" i="11"/>
  <c r="F5901" i="11"/>
  <c r="G5901" i="11" s="1"/>
  <c r="F5900" i="11"/>
  <c r="G5900" i="11" s="1"/>
  <c r="H5899" i="11"/>
  <c r="G5899" i="11"/>
  <c r="I5899" i="11" s="1"/>
  <c r="F5899" i="11"/>
  <c r="G5898" i="11"/>
  <c r="F5898" i="11"/>
  <c r="F5897" i="11"/>
  <c r="G5897" i="11" s="1"/>
  <c r="F5896" i="11"/>
  <c r="G5896" i="11" s="1"/>
  <c r="H5895" i="11"/>
  <c r="G5895" i="11"/>
  <c r="I5895" i="11" s="1"/>
  <c r="F5895" i="11"/>
  <c r="G5894" i="11"/>
  <c r="F5894" i="11"/>
  <c r="F5893" i="11"/>
  <c r="G5893" i="11" s="1"/>
  <c r="F5892" i="11"/>
  <c r="G5892" i="11" s="1"/>
  <c r="H5891" i="11"/>
  <c r="G5891" i="11"/>
  <c r="I5891" i="11" s="1"/>
  <c r="F5891" i="11"/>
  <c r="G5890" i="11"/>
  <c r="F5890" i="11"/>
  <c r="F5889" i="11"/>
  <c r="G5889" i="11" s="1"/>
  <c r="F5888" i="11"/>
  <c r="G5888" i="11" s="1"/>
  <c r="H5887" i="11"/>
  <c r="G5887" i="11"/>
  <c r="I5887" i="11" s="1"/>
  <c r="F5887" i="11"/>
  <c r="G5886" i="11"/>
  <c r="F5886" i="11"/>
  <c r="F5885" i="11"/>
  <c r="G5885" i="11" s="1"/>
  <c r="F5884" i="11"/>
  <c r="G5884" i="11" s="1"/>
  <c r="H5883" i="11"/>
  <c r="G5883" i="11"/>
  <c r="I5883" i="11" s="1"/>
  <c r="F5883" i="11"/>
  <c r="G5882" i="11"/>
  <c r="F5882" i="11"/>
  <c r="F5881" i="11"/>
  <c r="G5881" i="11" s="1"/>
  <c r="F5880" i="11"/>
  <c r="G5880" i="11" s="1"/>
  <c r="H5879" i="11"/>
  <c r="G5879" i="11"/>
  <c r="I5879" i="11" s="1"/>
  <c r="F5879" i="11"/>
  <c r="G5878" i="11"/>
  <c r="F5878" i="11"/>
  <c r="F5877" i="11"/>
  <c r="G5877" i="11" s="1"/>
  <c r="F5876" i="11"/>
  <c r="G5876" i="11" s="1"/>
  <c r="H5875" i="11"/>
  <c r="G5875" i="11"/>
  <c r="I5875" i="11" s="1"/>
  <c r="F5875" i="11"/>
  <c r="G5874" i="11"/>
  <c r="F5874" i="11"/>
  <c r="F5873" i="11"/>
  <c r="G5873" i="11" s="1"/>
  <c r="F5872" i="11"/>
  <c r="G5872" i="11" s="1"/>
  <c r="H5871" i="11"/>
  <c r="G5871" i="11"/>
  <c r="I5871" i="11" s="1"/>
  <c r="F5871" i="11"/>
  <c r="G5870" i="11"/>
  <c r="F5870" i="11"/>
  <c r="F5869" i="11"/>
  <c r="G5869" i="11" s="1"/>
  <c r="F5868" i="11"/>
  <c r="G5868" i="11" s="1"/>
  <c r="H5867" i="11"/>
  <c r="G5867" i="11"/>
  <c r="I5867" i="11" s="1"/>
  <c r="F5867" i="11"/>
  <c r="G5866" i="11"/>
  <c r="F5866" i="11"/>
  <c r="F5865" i="11"/>
  <c r="G5865" i="11" s="1"/>
  <c r="F5864" i="11"/>
  <c r="G5864" i="11" s="1"/>
  <c r="H5863" i="11"/>
  <c r="G5863" i="11"/>
  <c r="I5863" i="11" s="1"/>
  <c r="F5863" i="11"/>
  <c r="G5862" i="11"/>
  <c r="F5862" i="11"/>
  <c r="F5861" i="11"/>
  <c r="G5861" i="11" s="1"/>
  <c r="F5860" i="11"/>
  <c r="G5860" i="11" s="1"/>
  <c r="H5859" i="11"/>
  <c r="G5859" i="11"/>
  <c r="I5859" i="11" s="1"/>
  <c r="F5859" i="11"/>
  <c r="G5858" i="11"/>
  <c r="F5858" i="11"/>
  <c r="F5857" i="11"/>
  <c r="G5857" i="11" s="1"/>
  <c r="F5856" i="11"/>
  <c r="G5856" i="11" s="1"/>
  <c r="H5855" i="11"/>
  <c r="G5855" i="11"/>
  <c r="I5855" i="11" s="1"/>
  <c r="F5855" i="11"/>
  <c r="G5854" i="11"/>
  <c r="F5854" i="11"/>
  <c r="F5853" i="11"/>
  <c r="G5853" i="11" s="1"/>
  <c r="F5852" i="11"/>
  <c r="G5852" i="11" s="1"/>
  <c r="H5851" i="11"/>
  <c r="G5851" i="11"/>
  <c r="I5851" i="11" s="1"/>
  <c r="F5851" i="11"/>
  <c r="G5850" i="11"/>
  <c r="F5850" i="11"/>
  <c r="F5849" i="11"/>
  <c r="G5849" i="11" s="1"/>
  <c r="F5848" i="11"/>
  <c r="G5848" i="11" s="1"/>
  <c r="H5847" i="11"/>
  <c r="G5847" i="11"/>
  <c r="I5847" i="11" s="1"/>
  <c r="F5847" i="11"/>
  <c r="G5846" i="11"/>
  <c r="F5846" i="11"/>
  <c r="F5845" i="11"/>
  <c r="G5845" i="11" s="1"/>
  <c r="F5844" i="11"/>
  <c r="G5844" i="11" s="1"/>
  <c r="H5843" i="11"/>
  <c r="G5843" i="11"/>
  <c r="I5843" i="11" s="1"/>
  <c r="F5843" i="11"/>
  <c r="G5842" i="11"/>
  <c r="F5842" i="11"/>
  <c r="F5841" i="11"/>
  <c r="G5841" i="11" s="1"/>
  <c r="F5840" i="11"/>
  <c r="G5840" i="11" s="1"/>
  <c r="H5839" i="11"/>
  <c r="G5839" i="11"/>
  <c r="I5839" i="11" s="1"/>
  <c r="F5839" i="11"/>
  <c r="G5838" i="11"/>
  <c r="F5838" i="11"/>
  <c r="F5837" i="11"/>
  <c r="G5837" i="11" s="1"/>
  <c r="F5836" i="11"/>
  <c r="G5836" i="11" s="1"/>
  <c r="H5835" i="11"/>
  <c r="G5835" i="11"/>
  <c r="I5835" i="11" s="1"/>
  <c r="F5835" i="11"/>
  <c r="G5834" i="11"/>
  <c r="F5834" i="11"/>
  <c r="F5833" i="11"/>
  <c r="G5833" i="11" s="1"/>
  <c r="F5832" i="11"/>
  <c r="G5832" i="11" s="1"/>
  <c r="H5831" i="11"/>
  <c r="G5831" i="11"/>
  <c r="I5831" i="11" s="1"/>
  <c r="F5831" i="11"/>
  <c r="G5830" i="11"/>
  <c r="F5830" i="11"/>
  <c r="F5829" i="11"/>
  <c r="G5829" i="11" s="1"/>
  <c r="F5828" i="11"/>
  <c r="G5828" i="11" s="1"/>
  <c r="H5827" i="11"/>
  <c r="G5827" i="11"/>
  <c r="I5827" i="11" s="1"/>
  <c r="F5827" i="11"/>
  <c r="G5826" i="11"/>
  <c r="F5826" i="11"/>
  <c r="F5825" i="11"/>
  <c r="G5825" i="11" s="1"/>
  <c r="F5824" i="11"/>
  <c r="G5824" i="11" s="1"/>
  <c r="H5823" i="11"/>
  <c r="G5823" i="11"/>
  <c r="I5823" i="11" s="1"/>
  <c r="F5823" i="11"/>
  <c r="G5822" i="11"/>
  <c r="F5822" i="11"/>
  <c r="F5821" i="11"/>
  <c r="G5821" i="11" s="1"/>
  <c r="F5820" i="11"/>
  <c r="G5820" i="11" s="1"/>
  <c r="H5819" i="11"/>
  <c r="G5819" i="11"/>
  <c r="I5819" i="11" s="1"/>
  <c r="F5819" i="11"/>
  <c r="G5818" i="11"/>
  <c r="F5818" i="11"/>
  <c r="F5817" i="11"/>
  <c r="G5817" i="11" s="1"/>
  <c r="F5816" i="11"/>
  <c r="G5816" i="11" s="1"/>
  <c r="H5815" i="11"/>
  <c r="G5815" i="11"/>
  <c r="I5815" i="11" s="1"/>
  <c r="F5815" i="11"/>
  <c r="G5814" i="11"/>
  <c r="F5814" i="11"/>
  <c r="F5813" i="11"/>
  <c r="G5813" i="11" s="1"/>
  <c r="F5812" i="11"/>
  <c r="G5812" i="11" s="1"/>
  <c r="H5811" i="11"/>
  <c r="G5811" i="11"/>
  <c r="I5811" i="11" s="1"/>
  <c r="F5811" i="11"/>
  <c r="G5810" i="11"/>
  <c r="F5810" i="11"/>
  <c r="F5809" i="11"/>
  <c r="G5809" i="11" s="1"/>
  <c r="F5808" i="11"/>
  <c r="G5808" i="11" s="1"/>
  <c r="H5807" i="11"/>
  <c r="G5807" i="11"/>
  <c r="I5807" i="11" s="1"/>
  <c r="F5807" i="11"/>
  <c r="G5806" i="11"/>
  <c r="F5806" i="11"/>
  <c r="F5805" i="11"/>
  <c r="G5805" i="11" s="1"/>
  <c r="F5804" i="11"/>
  <c r="G5804" i="11" s="1"/>
  <c r="H5803" i="11"/>
  <c r="G5803" i="11"/>
  <c r="I5803" i="11" s="1"/>
  <c r="F5803" i="11"/>
  <c r="G5802" i="11"/>
  <c r="F5802" i="11"/>
  <c r="F5801" i="11"/>
  <c r="G5801" i="11" s="1"/>
  <c r="F5800" i="11"/>
  <c r="G5800" i="11" s="1"/>
  <c r="H5799" i="11"/>
  <c r="G5799" i="11"/>
  <c r="I5799" i="11" s="1"/>
  <c r="F5799" i="11"/>
  <c r="G5798" i="11"/>
  <c r="F5798" i="11"/>
  <c r="F5797" i="11"/>
  <c r="G5797" i="11" s="1"/>
  <c r="F5796" i="11"/>
  <c r="G5796" i="11" s="1"/>
  <c r="H5795" i="11"/>
  <c r="G5795" i="11"/>
  <c r="I5795" i="11" s="1"/>
  <c r="F5795" i="11"/>
  <c r="G5794" i="11"/>
  <c r="F5794" i="11"/>
  <c r="F5793" i="11"/>
  <c r="G5793" i="11" s="1"/>
  <c r="F5792" i="11"/>
  <c r="G5792" i="11" s="1"/>
  <c r="H5791" i="11"/>
  <c r="G5791" i="11"/>
  <c r="I5791" i="11" s="1"/>
  <c r="F5791" i="11"/>
  <c r="G5790" i="11"/>
  <c r="F5790" i="11"/>
  <c r="F5789" i="11"/>
  <c r="G5789" i="11" s="1"/>
  <c r="F5788" i="11"/>
  <c r="G5788" i="11" s="1"/>
  <c r="H5787" i="11"/>
  <c r="G5787" i="11"/>
  <c r="I5787" i="11" s="1"/>
  <c r="F5787" i="11"/>
  <c r="G5786" i="11"/>
  <c r="F5786" i="11"/>
  <c r="F5785" i="11"/>
  <c r="G5785" i="11" s="1"/>
  <c r="F5784" i="11"/>
  <c r="G5784" i="11" s="1"/>
  <c r="H5783" i="11"/>
  <c r="G5783" i="11"/>
  <c r="I5783" i="11" s="1"/>
  <c r="F5783" i="11"/>
  <c r="G5782" i="11"/>
  <c r="F5782" i="11"/>
  <c r="F5781" i="11"/>
  <c r="G5781" i="11" s="1"/>
  <c r="F5780" i="11"/>
  <c r="G5780" i="11" s="1"/>
  <c r="H5779" i="11"/>
  <c r="G5779" i="11"/>
  <c r="I5779" i="11" s="1"/>
  <c r="F5779" i="11"/>
  <c r="G5778" i="11"/>
  <c r="F5778" i="11"/>
  <c r="F5777" i="11"/>
  <c r="G5777" i="11" s="1"/>
  <c r="F5776" i="11"/>
  <c r="G5776" i="11" s="1"/>
  <c r="H5775" i="11"/>
  <c r="G5775" i="11"/>
  <c r="I5775" i="11" s="1"/>
  <c r="F5775" i="11"/>
  <c r="G5774" i="11"/>
  <c r="F5774" i="11"/>
  <c r="F5773" i="11"/>
  <c r="G5773" i="11" s="1"/>
  <c r="F5772" i="11"/>
  <c r="G5772" i="11" s="1"/>
  <c r="H5771" i="11"/>
  <c r="G5771" i="11"/>
  <c r="I5771" i="11" s="1"/>
  <c r="F5771" i="11"/>
  <c r="G5770" i="11"/>
  <c r="F5770" i="11"/>
  <c r="F5769" i="11"/>
  <c r="G5769" i="11" s="1"/>
  <c r="F5768" i="11"/>
  <c r="G5768" i="11" s="1"/>
  <c r="H5767" i="11"/>
  <c r="G5767" i="11"/>
  <c r="I5767" i="11" s="1"/>
  <c r="F5767" i="11"/>
  <c r="G5766" i="11"/>
  <c r="F5766" i="11"/>
  <c r="F5765" i="11"/>
  <c r="G5765" i="11" s="1"/>
  <c r="F5764" i="11"/>
  <c r="G5764" i="11" s="1"/>
  <c r="H5763" i="11"/>
  <c r="G5763" i="11"/>
  <c r="I5763" i="11" s="1"/>
  <c r="F5763" i="11"/>
  <c r="G5762" i="11"/>
  <c r="F5762" i="11"/>
  <c r="F5761" i="11"/>
  <c r="G5761" i="11" s="1"/>
  <c r="F5760" i="11"/>
  <c r="G5760" i="11" s="1"/>
  <c r="H5759" i="11"/>
  <c r="G5759" i="11"/>
  <c r="I5759" i="11" s="1"/>
  <c r="F5759" i="11"/>
  <c r="G5758" i="11"/>
  <c r="F5758" i="11"/>
  <c r="F5757" i="11"/>
  <c r="G5757" i="11" s="1"/>
  <c r="F5756" i="11"/>
  <c r="G5756" i="11" s="1"/>
  <c r="H5755" i="11"/>
  <c r="G5755" i="11"/>
  <c r="I5755" i="11" s="1"/>
  <c r="F5755" i="11"/>
  <c r="G5754" i="11"/>
  <c r="F5754" i="11"/>
  <c r="F5753" i="11"/>
  <c r="G5753" i="11" s="1"/>
  <c r="F5752" i="11"/>
  <c r="G5752" i="11" s="1"/>
  <c r="H5751" i="11"/>
  <c r="G5751" i="11"/>
  <c r="I5751" i="11" s="1"/>
  <c r="F5751" i="11"/>
  <c r="G5750" i="11"/>
  <c r="F5750" i="11"/>
  <c r="F5749" i="11"/>
  <c r="G5749" i="11" s="1"/>
  <c r="F5748" i="11"/>
  <c r="G5748" i="11" s="1"/>
  <c r="H5747" i="11"/>
  <c r="G5747" i="11"/>
  <c r="I5747" i="11" s="1"/>
  <c r="F5747" i="11"/>
  <c r="G5746" i="11"/>
  <c r="F5746" i="11"/>
  <c r="F5745" i="11"/>
  <c r="G5745" i="11" s="1"/>
  <c r="F5744" i="11"/>
  <c r="G5744" i="11" s="1"/>
  <c r="H5743" i="11"/>
  <c r="G5743" i="11"/>
  <c r="I5743" i="11" s="1"/>
  <c r="F5743" i="11"/>
  <c r="G5742" i="11"/>
  <c r="F5742" i="11"/>
  <c r="F5741" i="11"/>
  <c r="G5741" i="11" s="1"/>
  <c r="F5740" i="11"/>
  <c r="G5740" i="11" s="1"/>
  <c r="H5739" i="11"/>
  <c r="G5739" i="11"/>
  <c r="I5739" i="11" s="1"/>
  <c r="F5739" i="11"/>
  <c r="G5738" i="11"/>
  <c r="F5738" i="11"/>
  <c r="F5737" i="11"/>
  <c r="G5737" i="11" s="1"/>
  <c r="F5736" i="11"/>
  <c r="G5736" i="11" s="1"/>
  <c r="H5735" i="11"/>
  <c r="G5735" i="11"/>
  <c r="I5735" i="11" s="1"/>
  <c r="F5735" i="11"/>
  <c r="G5734" i="11"/>
  <c r="F5734" i="11"/>
  <c r="F5733" i="11"/>
  <c r="G5733" i="11" s="1"/>
  <c r="F5732" i="11"/>
  <c r="G5732" i="11" s="1"/>
  <c r="H5731" i="11"/>
  <c r="G5731" i="11"/>
  <c r="I5731" i="11" s="1"/>
  <c r="F5731" i="11"/>
  <c r="G5730" i="11"/>
  <c r="F5730" i="11"/>
  <c r="F5729" i="11"/>
  <c r="G5729" i="11" s="1"/>
  <c r="F5728" i="11"/>
  <c r="G5728" i="11" s="1"/>
  <c r="H5727" i="11"/>
  <c r="G5727" i="11"/>
  <c r="I5727" i="11" s="1"/>
  <c r="F5727" i="11"/>
  <c r="G5726" i="11"/>
  <c r="F5726" i="11"/>
  <c r="F5725" i="11"/>
  <c r="G5725" i="11" s="1"/>
  <c r="F5724" i="11"/>
  <c r="G5724" i="11" s="1"/>
  <c r="H5723" i="11"/>
  <c r="G5723" i="11"/>
  <c r="I5723" i="11" s="1"/>
  <c r="F5723" i="11"/>
  <c r="G5722" i="11"/>
  <c r="F5722" i="11"/>
  <c r="F5721" i="11"/>
  <c r="G5721" i="11" s="1"/>
  <c r="F5720" i="11"/>
  <c r="G5720" i="11" s="1"/>
  <c r="H5719" i="11"/>
  <c r="G5719" i="11"/>
  <c r="I5719" i="11" s="1"/>
  <c r="F5719" i="11"/>
  <c r="G5718" i="11"/>
  <c r="F5718" i="11"/>
  <c r="F5717" i="11"/>
  <c r="G5717" i="11" s="1"/>
  <c r="F5716" i="11"/>
  <c r="G5716" i="11" s="1"/>
  <c r="H5715" i="11"/>
  <c r="G5715" i="11"/>
  <c r="I5715" i="11" s="1"/>
  <c r="F5715" i="11"/>
  <c r="G5714" i="11"/>
  <c r="F5714" i="11"/>
  <c r="F5713" i="11"/>
  <c r="G5713" i="11" s="1"/>
  <c r="F5712" i="11"/>
  <c r="G5712" i="11" s="1"/>
  <c r="H5711" i="11"/>
  <c r="G5711" i="11"/>
  <c r="I5711" i="11" s="1"/>
  <c r="F5711" i="11"/>
  <c r="G5710" i="11"/>
  <c r="F5710" i="11"/>
  <c r="F5709" i="11"/>
  <c r="G5709" i="11" s="1"/>
  <c r="F5708" i="11"/>
  <c r="G5708" i="11" s="1"/>
  <c r="H5707" i="11"/>
  <c r="G5707" i="11"/>
  <c r="I5707" i="11" s="1"/>
  <c r="F5707" i="11"/>
  <c r="G5706" i="11"/>
  <c r="F5706" i="11"/>
  <c r="F5705" i="11"/>
  <c r="G5705" i="11" s="1"/>
  <c r="F5704" i="11"/>
  <c r="G5704" i="11" s="1"/>
  <c r="H5703" i="11"/>
  <c r="G5703" i="11"/>
  <c r="I5703" i="11" s="1"/>
  <c r="F5703" i="11"/>
  <c r="G5702" i="11"/>
  <c r="F5702" i="11"/>
  <c r="F5701" i="11"/>
  <c r="G5701" i="11" s="1"/>
  <c r="F5700" i="11"/>
  <c r="G5700" i="11" s="1"/>
  <c r="H5699" i="11"/>
  <c r="G5699" i="11"/>
  <c r="I5699" i="11" s="1"/>
  <c r="F5699" i="11"/>
  <c r="G5698" i="11"/>
  <c r="F5698" i="11"/>
  <c r="F5697" i="11"/>
  <c r="G5697" i="11" s="1"/>
  <c r="F5696" i="11"/>
  <c r="G5696" i="11" s="1"/>
  <c r="H5695" i="11"/>
  <c r="G5695" i="11"/>
  <c r="I5695" i="11" s="1"/>
  <c r="F5695" i="11"/>
  <c r="G5694" i="11"/>
  <c r="F5694" i="11"/>
  <c r="F5693" i="11"/>
  <c r="G5693" i="11" s="1"/>
  <c r="F5692" i="11"/>
  <c r="G5692" i="11" s="1"/>
  <c r="H5691" i="11"/>
  <c r="G5691" i="11"/>
  <c r="I5691" i="11" s="1"/>
  <c r="F5691" i="11"/>
  <c r="G5690" i="11"/>
  <c r="F5690" i="11"/>
  <c r="F5689" i="11"/>
  <c r="G5689" i="11" s="1"/>
  <c r="F5688" i="11"/>
  <c r="G5688" i="11" s="1"/>
  <c r="H5687" i="11"/>
  <c r="G5687" i="11"/>
  <c r="I5687" i="11" s="1"/>
  <c r="F5687" i="11"/>
  <c r="G5686" i="11"/>
  <c r="F5686" i="11"/>
  <c r="F5685" i="11"/>
  <c r="G5685" i="11" s="1"/>
  <c r="F5684" i="11"/>
  <c r="G5684" i="11" s="1"/>
  <c r="H5683" i="11"/>
  <c r="G5683" i="11"/>
  <c r="I5683" i="11" s="1"/>
  <c r="F5683" i="11"/>
  <c r="G5682" i="11"/>
  <c r="F5682" i="11"/>
  <c r="F5681" i="11"/>
  <c r="G5681" i="11" s="1"/>
  <c r="F5680" i="11"/>
  <c r="G5680" i="11" s="1"/>
  <c r="H5679" i="11"/>
  <c r="G5679" i="11"/>
  <c r="I5679" i="11" s="1"/>
  <c r="F5679" i="11"/>
  <c r="G5678" i="11"/>
  <c r="F5678" i="11"/>
  <c r="F5677" i="11"/>
  <c r="G5677" i="11" s="1"/>
  <c r="F5676" i="11"/>
  <c r="G5676" i="11" s="1"/>
  <c r="H5675" i="11"/>
  <c r="G5675" i="11"/>
  <c r="I5675" i="11" s="1"/>
  <c r="F5675" i="11"/>
  <c r="G5674" i="11"/>
  <c r="F5674" i="11"/>
  <c r="F5673" i="11"/>
  <c r="G5673" i="11" s="1"/>
  <c r="F5672" i="11"/>
  <c r="G5672" i="11" s="1"/>
  <c r="H5671" i="11"/>
  <c r="G5671" i="11"/>
  <c r="I5671" i="11" s="1"/>
  <c r="F5671" i="11"/>
  <c r="G5670" i="11"/>
  <c r="F5670" i="11"/>
  <c r="F5669" i="11"/>
  <c r="G5669" i="11" s="1"/>
  <c r="F5668" i="11"/>
  <c r="G5668" i="11" s="1"/>
  <c r="H5667" i="11"/>
  <c r="G5667" i="11"/>
  <c r="I5667" i="11" s="1"/>
  <c r="F5667" i="11"/>
  <c r="G5666" i="11"/>
  <c r="F5666" i="11"/>
  <c r="F5665" i="11"/>
  <c r="G5665" i="11" s="1"/>
  <c r="F5664" i="11"/>
  <c r="G5664" i="11" s="1"/>
  <c r="H5663" i="11"/>
  <c r="G5663" i="11"/>
  <c r="I5663" i="11" s="1"/>
  <c r="F5663" i="11"/>
  <c r="G5662" i="11"/>
  <c r="F5662" i="11"/>
  <c r="F5661" i="11"/>
  <c r="G5661" i="11" s="1"/>
  <c r="F5660" i="11"/>
  <c r="G5660" i="11" s="1"/>
  <c r="H5659" i="11"/>
  <c r="G5659" i="11"/>
  <c r="I5659" i="11" s="1"/>
  <c r="F5659" i="11"/>
  <c r="G5658" i="11"/>
  <c r="F5658" i="11"/>
  <c r="F5657" i="11"/>
  <c r="G5657" i="11" s="1"/>
  <c r="F5656" i="11"/>
  <c r="G5656" i="11" s="1"/>
  <c r="H5655" i="11"/>
  <c r="G5655" i="11"/>
  <c r="I5655" i="11" s="1"/>
  <c r="F5655" i="11"/>
  <c r="G5654" i="11"/>
  <c r="F5654" i="11"/>
  <c r="F5653" i="11"/>
  <c r="G5653" i="11" s="1"/>
  <c r="F5652" i="11"/>
  <c r="G5652" i="11" s="1"/>
  <c r="H5651" i="11"/>
  <c r="G5651" i="11"/>
  <c r="I5651" i="11" s="1"/>
  <c r="F5651" i="11"/>
  <c r="G5650" i="11"/>
  <c r="F5650" i="11"/>
  <c r="F5649" i="11"/>
  <c r="G5649" i="11" s="1"/>
  <c r="F5648" i="11"/>
  <c r="G5648" i="11" s="1"/>
  <c r="H5647" i="11"/>
  <c r="G5647" i="11"/>
  <c r="I5647" i="11" s="1"/>
  <c r="F5647" i="11"/>
  <c r="G5646" i="11"/>
  <c r="F5646" i="11"/>
  <c r="F5645" i="11"/>
  <c r="G5645" i="11" s="1"/>
  <c r="F5644" i="11"/>
  <c r="G5644" i="11" s="1"/>
  <c r="H5643" i="11"/>
  <c r="G5643" i="11"/>
  <c r="I5643" i="11" s="1"/>
  <c r="F5643" i="11"/>
  <c r="G5642" i="11"/>
  <c r="F5642" i="11"/>
  <c r="F5641" i="11"/>
  <c r="G5641" i="11" s="1"/>
  <c r="F5640" i="11"/>
  <c r="G5640" i="11" s="1"/>
  <c r="H5639" i="11"/>
  <c r="G5639" i="11"/>
  <c r="I5639" i="11" s="1"/>
  <c r="F5639" i="11"/>
  <c r="G5638" i="11"/>
  <c r="F5638" i="11"/>
  <c r="F5637" i="11"/>
  <c r="G5637" i="11" s="1"/>
  <c r="F5636" i="11"/>
  <c r="G5636" i="11" s="1"/>
  <c r="H5635" i="11"/>
  <c r="G5635" i="11"/>
  <c r="I5635" i="11" s="1"/>
  <c r="F5635" i="11"/>
  <c r="G5634" i="11"/>
  <c r="F5634" i="11"/>
  <c r="F5633" i="11"/>
  <c r="G5633" i="11" s="1"/>
  <c r="F5632" i="11"/>
  <c r="G5632" i="11" s="1"/>
  <c r="H5631" i="11"/>
  <c r="G5631" i="11"/>
  <c r="I5631" i="11" s="1"/>
  <c r="F5631" i="11"/>
  <c r="G5630" i="11"/>
  <c r="F5630" i="11"/>
  <c r="F5629" i="11"/>
  <c r="G5629" i="11" s="1"/>
  <c r="F5628" i="11"/>
  <c r="G5628" i="11" s="1"/>
  <c r="H5627" i="11"/>
  <c r="G5627" i="11"/>
  <c r="I5627" i="11" s="1"/>
  <c r="F5627" i="11"/>
  <c r="G5626" i="11"/>
  <c r="F5626" i="11"/>
  <c r="F5625" i="11"/>
  <c r="G5625" i="11" s="1"/>
  <c r="F5624" i="11"/>
  <c r="G5624" i="11" s="1"/>
  <c r="H5623" i="11"/>
  <c r="G5623" i="11"/>
  <c r="I5623" i="11" s="1"/>
  <c r="F5623" i="11"/>
  <c r="G5622" i="11"/>
  <c r="F5622" i="11"/>
  <c r="F5621" i="11"/>
  <c r="G5621" i="11" s="1"/>
  <c r="F5620" i="11"/>
  <c r="G5620" i="11" s="1"/>
  <c r="H5619" i="11"/>
  <c r="G5619" i="11"/>
  <c r="I5619" i="11" s="1"/>
  <c r="F5619" i="11"/>
  <c r="G5618" i="11"/>
  <c r="F5618" i="11"/>
  <c r="F5617" i="11"/>
  <c r="G5617" i="11" s="1"/>
  <c r="F5616" i="11"/>
  <c r="G5616" i="11" s="1"/>
  <c r="H5615" i="11"/>
  <c r="G5615" i="11"/>
  <c r="I5615" i="11" s="1"/>
  <c r="F5615" i="11"/>
  <c r="G5614" i="11"/>
  <c r="F5614" i="11"/>
  <c r="F5613" i="11"/>
  <c r="G5613" i="11" s="1"/>
  <c r="F5612" i="11"/>
  <c r="G5612" i="11" s="1"/>
  <c r="H5611" i="11"/>
  <c r="G5611" i="11"/>
  <c r="I5611" i="11" s="1"/>
  <c r="F5611" i="11"/>
  <c r="G5610" i="11"/>
  <c r="F5610" i="11"/>
  <c r="F5609" i="11"/>
  <c r="G5609" i="11" s="1"/>
  <c r="F5608" i="11"/>
  <c r="G5608" i="11" s="1"/>
  <c r="H5607" i="11"/>
  <c r="G5607" i="11"/>
  <c r="I5607" i="11" s="1"/>
  <c r="F5607" i="11"/>
  <c r="G5606" i="11"/>
  <c r="F5606" i="11"/>
  <c r="F5605" i="11"/>
  <c r="G5605" i="11" s="1"/>
  <c r="F5604" i="11"/>
  <c r="G5604" i="11" s="1"/>
  <c r="H5603" i="11"/>
  <c r="G5603" i="11"/>
  <c r="I5603" i="11" s="1"/>
  <c r="F5603" i="11"/>
  <c r="G5602" i="11"/>
  <c r="F5602" i="11"/>
  <c r="F5601" i="11"/>
  <c r="G5601" i="11" s="1"/>
  <c r="F5600" i="11"/>
  <c r="G5600" i="11" s="1"/>
  <c r="H5599" i="11"/>
  <c r="G5599" i="11"/>
  <c r="I5599" i="11" s="1"/>
  <c r="F5599" i="11"/>
  <c r="G5598" i="11"/>
  <c r="F5598" i="11"/>
  <c r="F5597" i="11"/>
  <c r="G5597" i="11" s="1"/>
  <c r="F5596" i="11"/>
  <c r="G5596" i="11" s="1"/>
  <c r="H5595" i="11"/>
  <c r="G5595" i="11"/>
  <c r="I5595" i="11" s="1"/>
  <c r="F5595" i="11"/>
  <c r="G5594" i="11"/>
  <c r="F5594" i="11"/>
  <c r="F5593" i="11"/>
  <c r="G5593" i="11" s="1"/>
  <c r="F5592" i="11"/>
  <c r="G5592" i="11" s="1"/>
  <c r="H5591" i="11"/>
  <c r="G5591" i="11"/>
  <c r="I5591" i="11" s="1"/>
  <c r="F5591" i="11"/>
  <c r="G5590" i="11"/>
  <c r="F5590" i="11"/>
  <c r="F5589" i="11"/>
  <c r="G5589" i="11" s="1"/>
  <c r="F5588" i="11"/>
  <c r="G5588" i="11" s="1"/>
  <c r="H5587" i="11"/>
  <c r="G5587" i="11"/>
  <c r="I5587" i="11" s="1"/>
  <c r="F5587" i="11"/>
  <c r="G5586" i="11"/>
  <c r="F5586" i="11"/>
  <c r="F5585" i="11"/>
  <c r="G5585" i="11" s="1"/>
  <c r="F5584" i="11"/>
  <c r="G5584" i="11" s="1"/>
  <c r="H5583" i="11"/>
  <c r="G5583" i="11"/>
  <c r="I5583" i="11" s="1"/>
  <c r="F5583" i="11"/>
  <c r="G5582" i="11"/>
  <c r="F5582" i="11"/>
  <c r="F5581" i="11"/>
  <c r="G5581" i="11" s="1"/>
  <c r="F5580" i="11"/>
  <c r="G5580" i="11" s="1"/>
  <c r="H5579" i="11"/>
  <c r="G5579" i="11"/>
  <c r="I5579" i="11" s="1"/>
  <c r="F5579" i="11"/>
  <c r="G5578" i="11"/>
  <c r="F5578" i="11"/>
  <c r="F5577" i="11"/>
  <c r="G5577" i="11" s="1"/>
  <c r="F5576" i="11"/>
  <c r="G5576" i="11" s="1"/>
  <c r="H5575" i="11"/>
  <c r="G5575" i="11"/>
  <c r="I5575" i="11" s="1"/>
  <c r="F5575" i="11"/>
  <c r="G5574" i="11"/>
  <c r="F5574" i="11"/>
  <c r="F5573" i="11"/>
  <c r="G5573" i="11" s="1"/>
  <c r="F5572" i="11"/>
  <c r="G5572" i="11" s="1"/>
  <c r="H5571" i="11"/>
  <c r="G5571" i="11"/>
  <c r="I5571" i="11" s="1"/>
  <c r="F5571" i="11"/>
  <c r="G5570" i="11"/>
  <c r="F5570" i="11"/>
  <c r="F5569" i="11"/>
  <c r="G5569" i="11" s="1"/>
  <c r="F5568" i="11"/>
  <c r="G5568" i="11" s="1"/>
  <c r="H5567" i="11"/>
  <c r="G5567" i="11"/>
  <c r="I5567" i="11" s="1"/>
  <c r="F5567" i="11"/>
  <c r="G5566" i="11"/>
  <c r="F5566" i="11"/>
  <c r="F5565" i="11"/>
  <c r="G5565" i="11" s="1"/>
  <c r="F5564" i="11"/>
  <c r="G5564" i="11" s="1"/>
  <c r="H5563" i="11"/>
  <c r="G5563" i="11"/>
  <c r="I5563" i="11" s="1"/>
  <c r="F5563" i="11"/>
  <c r="G5562" i="11"/>
  <c r="F5562" i="11"/>
  <c r="F5561" i="11"/>
  <c r="G5561" i="11" s="1"/>
  <c r="F5560" i="11"/>
  <c r="G5560" i="11" s="1"/>
  <c r="H5559" i="11"/>
  <c r="G5559" i="11"/>
  <c r="I5559" i="11" s="1"/>
  <c r="F5559" i="11"/>
  <c r="G5558" i="11"/>
  <c r="F5558" i="11"/>
  <c r="F5557" i="11"/>
  <c r="G5557" i="11" s="1"/>
  <c r="F5556" i="11"/>
  <c r="G5556" i="11" s="1"/>
  <c r="H5555" i="11"/>
  <c r="G5555" i="11"/>
  <c r="I5555" i="11" s="1"/>
  <c r="F5555" i="11"/>
  <c r="G5554" i="11"/>
  <c r="F5554" i="11"/>
  <c r="F5553" i="11"/>
  <c r="G5553" i="11" s="1"/>
  <c r="F5552" i="11"/>
  <c r="G5552" i="11" s="1"/>
  <c r="H5551" i="11"/>
  <c r="G5551" i="11"/>
  <c r="I5551" i="11" s="1"/>
  <c r="F5551" i="11"/>
  <c r="G5550" i="11"/>
  <c r="F5550" i="11"/>
  <c r="F5549" i="11"/>
  <c r="G5549" i="11" s="1"/>
  <c r="F5548" i="11"/>
  <c r="G5548" i="11" s="1"/>
  <c r="H5547" i="11"/>
  <c r="G5547" i="11"/>
  <c r="I5547" i="11" s="1"/>
  <c r="F5547" i="11"/>
  <c r="G5546" i="11"/>
  <c r="F5546" i="11"/>
  <c r="F5545" i="11"/>
  <c r="G5545" i="11" s="1"/>
  <c r="F5544" i="11"/>
  <c r="G5544" i="11" s="1"/>
  <c r="H5543" i="11"/>
  <c r="G5543" i="11"/>
  <c r="I5543" i="11" s="1"/>
  <c r="F5543" i="11"/>
  <c r="G5542" i="11"/>
  <c r="F5542" i="11"/>
  <c r="F5541" i="11"/>
  <c r="G5541" i="11" s="1"/>
  <c r="F5540" i="11"/>
  <c r="G5540" i="11" s="1"/>
  <c r="H5539" i="11"/>
  <c r="G5539" i="11"/>
  <c r="I5539" i="11" s="1"/>
  <c r="F5539" i="11"/>
  <c r="G5538" i="11"/>
  <c r="F5538" i="11"/>
  <c r="F5537" i="11"/>
  <c r="G5537" i="11" s="1"/>
  <c r="F5536" i="11"/>
  <c r="G5536" i="11" s="1"/>
  <c r="H5535" i="11"/>
  <c r="G5535" i="11"/>
  <c r="I5535" i="11" s="1"/>
  <c r="F5535" i="11"/>
  <c r="G5534" i="11"/>
  <c r="F5534" i="11"/>
  <c r="F5533" i="11"/>
  <c r="G5533" i="11" s="1"/>
  <c r="F5532" i="11"/>
  <c r="G5532" i="11" s="1"/>
  <c r="H5531" i="11"/>
  <c r="G5531" i="11"/>
  <c r="I5531" i="11" s="1"/>
  <c r="F5531" i="11"/>
  <c r="G5530" i="11"/>
  <c r="F5530" i="11"/>
  <c r="F5529" i="11"/>
  <c r="G5529" i="11" s="1"/>
  <c r="F5528" i="11"/>
  <c r="G5528" i="11" s="1"/>
  <c r="H5527" i="11"/>
  <c r="G5527" i="11"/>
  <c r="I5527" i="11" s="1"/>
  <c r="F5527" i="11"/>
  <c r="G5526" i="11"/>
  <c r="F5526" i="11"/>
  <c r="F5525" i="11"/>
  <c r="G5525" i="11" s="1"/>
  <c r="F5524" i="11"/>
  <c r="G5524" i="11" s="1"/>
  <c r="H5523" i="11"/>
  <c r="G5523" i="11"/>
  <c r="I5523" i="11" s="1"/>
  <c r="F5523" i="11"/>
  <c r="G5522" i="11"/>
  <c r="F5522" i="11"/>
  <c r="F5521" i="11"/>
  <c r="G5521" i="11" s="1"/>
  <c r="F5520" i="11"/>
  <c r="G5520" i="11" s="1"/>
  <c r="H5519" i="11"/>
  <c r="G5519" i="11"/>
  <c r="I5519" i="11" s="1"/>
  <c r="F5519" i="11"/>
  <c r="G5518" i="11"/>
  <c r="F5518" i="11"/>
  <c r="F5517" i="11"/>
  <c r="G5517" i="11" s="1"/>
  <c r="F5516" i="11"/>
  <c r="G5516" i="11" s="1"/>
  <c r="H5515" i="11"/>
  <c r="G5515" i="11"/>
  <c r="I5515" i="11" s="1"/>
  <c r="F5515" i="11"/>
  <c r="G5514" i="11"/>
  <c r="F5514" i="11"/>
  <c r="F5513" i="11"/>
  <c r="G5513" i="11" s="1"/>
  <c r="F5512" i="11"/>
  <c r="G5512" i="11" s="1"/>
  <c r="H5511" i="11"/>
  <c r="G5511" i="11"/>
  <c r="I5511" i="11" s="1"/>
  <c r="F5511" i="11"/>
  <c r="G5510" i="11"/>
  <c r="F5510" i="11"/>
  <c r="F5509" i="11"/>
  <c r="G5509" i="11" s="1"/>
  <c r="F5508" i="11"/>
  <c r="G5508" i="11" s="1"/>
  <c r="H5507" i="11"/>
  <c r="G5507" i="11"/>
  <c r="I5507" i="11" s="1"/>
  <c r="F5507" i="11"/>
  <c r="G5506" i="11"/>
  <c r="F5506" i="11"/>
  <c r="F5505" i="11"/>
  <c r="G5505" i="11" s="1"/>
  <c r="F5504" i="11"/>
  <c r="G5504" i="11" s="1"/>
  <c r="H5503" i="11"/>
  <c r="G5503" i="11"/>
  <c r="I5503" i="11" s="1"/>
  <c r="F5503" i="11"/>
  <c r="G5502" i="11"/>
  <c r="F5502" i="11"/>
  <c r="F5501" i="11"/>
  <c r="G5501" i="11" s="1"/>
  <c r="F5500" i="11"/>
  <c r="G5500" i="11" s="1"/>
  <c r="H5499" i="11"/>
  <c r="G5499" i="11"/>
  <c r="I5499" i="11" s="1"/>
  <c r="F5499" i="11"/>
  <c r="G5498" i="11"/>
  <c r="F5498" i="11"/>
  <c r="F5497" i="11"/>
  <c r="G5497" i="11" s="1"/>
  <c r="F5496" i="11"/>
  <c r="G5496" i="11" s="1"/>
  <c r="H5495" i="11"/>
  <c r="G5495" i="11"/>
  <c r="I5495" i="11" s="1"/>
  <c r="F5495" i="11"/>
  <c r="G5494" i="11"/>
  <c r="F5494" i="11"/>
  <c r="F5493" i="11"/>
  <c r="G5493" i="11" s="1"/>
  <c r="F5492" i="11"/>
  <c r="G5492" i="11" s="1"/>
  <c r="H5491" i="11"/>
  <c r="G5491" i="11"/>
  <c r="I5491" i="11" s="1"/>
  <c r="F5491" i="11"/>
  <c r="G5490" i="11"/>
  <c r="F5490" i="11"/>
  <c r="F5489" i="11"/>
  <c r="G5489" i="11" s="1"/>
  <c r="F5488" i="11"/>
  <c r="G5488" i="11" s="1"/>
  <c r="H5487" i="11"/>
  <c r="G5487" i="11"/>
  <c r="I5487" i="11" s="1"/>
  <c r="F5487" i="11"/>
  <c r="G5486" i="11"/>
  <c r="F5486" i="11"/>
  <c r="F5485" i="11"/>
  <c r="G5485" i="11" s="1"/>
  <c r="F5484" i="11"/>
  <c r="G5484" i="11" s="1"/>
  <c r="H5483" i="11"/>
  <c r="G5483" i="11"/>
  <c r="I5483" i="11" s="1"/>
  <c r="F5483" i="11"/>
  <c r="G5482" i="11"/>
  <c r="F5482" i="11"/>
  <c r="F5481" i="11"/>
  <c r="G5481" i="11" s="1"/>
  <c r="F5480" i="11"/>
  <c r="G5480" i="11" s="1"/>
  <c r="H5479" i="11"/>
  <c r="G5479" i="11"/>
  <c r="I5479" i="11" s="1"/>
  <c r="F5479" i="11"/>
  <c r="G5478" i="11"/>
  <c r="F5478" i="11"/>
  <c r="F5477" i="11"/>
  <c r="G5477" i="11" s="1"/>
  <c r="F5476" i="11"/>
  <c r="G5476" i="11" s="1"/>
  <c r="H5475" i="11"/>
  <c r="G5475" i="11"/>
  <c r="I5475" i="11" s="1"/>
  <c r="F5475" i="11"/>
  <c r="G5474" i="11"/>
  <c r="F5474" i="11"/>
  <c r="F5473" i="11"/>
  <c r="G5473" i="11" s="1"/>
  <c r="F5472" i="11"/>
  <c r="G5472" i="11" s="1"/>
  <c r="H5471" i="11"/>
  <c r="G5471" i="11"/>
  <c r="I5471" i="11" s="1"/>
  <c r="F5471" i="11"/>
  <c r="G5470" i="11"/>
  <c r="F5470" i="11"/>
  <c r="F5469" i="11"/>
  <c r="G5469" i="11" s="1"/>
  <c r="F5468" i="11"/>
  <c r="G5468" i="11" s="1"/>
  <c r="H5467" i="11"/>
  <c r="G5467" i="11"/>
  <c r="I5467" i="11" s="1"/>
  <c r="F5467" i="11"/>
  <c r="G5466" i="11"/>
  <c r="F5466" i="11"/>
  <c r="F5465" i="11"/>
  <c r="G5465" i="11" s="1"/>
  <c r="F5464" i="11"/>
  <c r="G5464" i="11" s="1"/>
  <c r="H5463" i="11"/>
  <c r="G5463" i="11"/>
  <c r="I5463" i="11" s="1"/>
  <c r="F5463" i="11"/>
  <c r="G5462" i="11"/>
  <c r="F5462" i="11"/>
  <c r="F5461" i="11"/>
  <c r="G5461" i="11" s="1"/>
  <c r="F5460" i="11"/>
  <c r="G5460" i="11" s="1"/>
  <c r="H5459" i="11"/>
  <c r="G5459" i="11"/>
  <c r="I5459" i="11" s="1"/>
  <c r="F5459" i="11"/>
  <c r="G5458" i="11"/>
  <c r="F5458" i="11"/>
  <c r="F5457" i="11"/>
  <c r="G5457" i="11" s="1"/>
  <c r="F5456" i="11"/>
  <c r="G5456" i="11" s="1"/>
  <c r="H5455" i="11"/>
  <c r="G5455" i="11"/>
  <c r="I5455" i="11" s="1"/>
  <c r="F5455" i="11"/>
  <c r="G5454" i="11"/>
  <c r="F5454" i="11"/>
  <c r="F5453" i="11"/>
  <c r="G5453" i="11" s="1"/>
  <c r="F5452" i="11"/>
  <c r="G5452" i="11" s="1"/>
  <c r="H5451" i="11"/>
  <c r="G5451" i="11"/>
  <c r="I5451" i="11" s="1"/>
  <c r="F5451" i="11"/>
  <c r="G5450" i="11"/>
  <c r="F5450" i="11"/>
  <c r="F5449" i="11"/>
  <c r="G5449" i="11" s="1"/>
  <c r="F5448" i="11"/>
  <c r="G5448" i="11" s="1"/>
  <c r="H5447" i="11"/>
  <c r="G5447" i="11"/>
  <c r="I5447" i="11" s="1"/>
  <c r="F5447" i="11"/>
  <c r="G5446" i="11"/>
  <c r="F5446" i="11"/>
  <c r="F5445" i="11"/>
  <c r="G5445" i="11" s="1"/>
  <c r="F5444" i="11"/>
  <c r="G5444" i="11" s="1"/>
  <c r="H5443" i="11"/>
  <c r="G5443" i="11"/>
  <c r="I5443" i="11" s="1"/>
  <c r="F5443" i="11"/>
  <c r="G5442" i="11"/>
  <c r="F5442" i="11"/>
  <c r="F5441" i="11"/>
  <c r="G5441" i="11" s="1"/>
  <c r="F5440" i="11"/>
  <c r="G5440" i="11" s="1"/>
  <c r="H5439" i="11"/>
  <c r="G5439" i="11"/>
  <c r="I5439" i="11" s="1"/>
  <c r="F5439" i="11"/>
  <c r="G5438" i="11"/>
  <c r="F5438" i="11"/>
  <c r="F5437" i="11"/>
  <c r="G5437" i="11" s="1"/>
  <c r="F5436" i="11"/>
  <c r="G5436" i="11" s="1"/>
  <c r="H5435" i="11"/>
  <c r="G5435" i="11"/>
  <c r="I5435" i="11" s="1"/>
  <c r="F5435" i="11"/>
  <c r="G5434" i="11"/>
  <c r="F5434" i="11"/>
  <c r="F5433" i="11"/>
  <c r="G5433" i="11" s="1"/>
  <c r="F5432" i="11"/>
  <c r="G5432" i="11" s="1"/>
  <c r="H5431" i="11"/>
  <c r="G5431" i="11"/>
  <c r="I5431" i="11" s="1"/>
  <c r="F5431" i="11"/>
  <c r="G5430" i="11"/>
  <c r="F5430" i="11"/>
  <c r="F5429" i="11"/>
  <c r="G5429" i="11" s="1"/>
  <c r="F5428" i="11"/>
  <c r="G5428" i="11" s="1"/>
  <c r="H5427" i="11"/>
  <c r="G5427" i="11"/>
  <c r="I5427" i="11" s="1"/>
  <c r="F5427" i="11"/>
  <c r="G5426" i="11"/>
  <c r="F5426" i="11"/>
  <c r="F5425" i="11"/>
  <c r="G5425" i="11" s="1"/>
  <c r="F5424" i="11"/>
  <c r="G5424" i="11" s="1"/>
  <c r="H5423" i="11"/>
  <c r="G5423" i="11"/>
  <c r="I5423" i="11" s="1"/>
  <c r="F5423" i="11"/>
  <c r="G5422" i="11"/>
  <c r="F5422" i="11"/>
  <c r="F5421" i="11"/>
  <c r="G5421" i="11" s="1"/>
  <c r="F5420" i="11"/>
  <c r="G5420" i="11" s="1"/>
  <c r="H5419" i="11"/>
  <c r="G5419" i="11"/>
  <c r="I5419" i="11" s="1"/>
  <c r="F5419" i="11"/>
  <c r="G5418" i="11"/>
  <c r="F5418" i="11"/>
  <c r="F5417" i="11"/>
  <c r="G5417" i="11" s="1"/>
  <c r="F5416" i="11"/>
  <c r="G5416" i="11" s="1"/>
  <c r="H5415" i="11"/>
  <c r="G5415" i="11"/>
  <c r="I5415" i="11" s="1"/>
  <c r="F5415" i="11"/>
  <c r="G5414" i="11"/>
  <c r="F5414" i="11"/>
  <c r="F5413" i="11"/>
  <c r="G5413" i="11" s="1"/>
  <c r="F5412" i="11"/>
  <c r="G5412" i="11" s="1"/>
  <c r="H5411" i="11"/>
  <c r="G5411" i="11"/>
  <c r="I5411" i="11" s="1"/>
  <c r="F5411" i="11"/>
  <c r="G5410" i="11"/>
  <c r="F5410" i="11"/>
  <c r="F5409" i="11"/>
  <c r="G5409" i="11" s="1"/>
  <c r="F5408" i="11"/>
  <c r="G5408" i="11" s="1"/>
  <c r="H5407" i="11"/>
  <c r="G5407" i="11"/>
  <c r="I5407" i="11" s="1"/>
  <c r="F5407" i="11"/>
  <c r="G5406" i="11"/>
  <c r="F5406" i="11"/>
  <c r="F5405" i="11"/>
  <c r="G5405" i="11" s="1"/>
  <c r="F5404" i="11"/>
  <c r="G5404" i="11" s="1"/>
  <c r="H5403" i="11"/>
  <c r="G5403" i="11"/>
  <c r="I5403" i="11" s="1"/>
  <c r="F5403" i="11"/>
  <c r="G5402" i="11"/>
  <c r="F5402" i="11"/>
  <c r="F5401" i="11"/>
  <c r="G5401" i="11" s="1"/>
  <c r="F5400" i="11"/>
  <c r="G5400" i="11" s="1"/>
  <c r="H5399" i="11"/>
  <c r="G5399" i="11"/>
  <c r="I5399" i="11" s="1"/>
  <c r="F5399" i="11"/>
  <c r="G5398" i="11"/>
  <c r="F5398" i="11"/>
  <c r="F5397" i="11"/>
  <c r="G5397" i="11" s="1"/>
  <c r="F5396" i="11"/>
  <c r="G5396" i="11" s="1"/>
  <c r="H5395" i="11"/>
  <c r="G5395" i="11"/>
  <c r="I5395" i="11" s="1"/>
  <c r="F5395" i="11"/>
  <c r="G5394" i="11"/>
  <c r="F5394" i="11"/>
  <c r="F5393" i="11"/>
  <c r="G5393" i="11" s="1"/>
  <c r="F5392" i="11"/>
  <c r="G5392" i="11" s="1"/>
  <c r="H5391" i="11"/>
  <c r="G5391" i="11"/>
  <c r="I5391" i="11" s="1"/>
  <c r="F5391" i="11"/>
  <c r="G5390" i="11"/>
  <c r="F5390" i="11"/>
  <c r="F5389" i="11"/>
  <c r="G5389" i="11" s="1"/>
  <c r="F5388" i="11"/>
  <c r="G5388" i="11" s="1"/>
  <c r="H5387" i="11"/>
  <c r="G5387" i="11"/>
  <c r="I5387" i="11" s="1"/>
  <c r="F5387" i="11"/>
  <c r="G5386" i="11"/>
  <c r="F5386" i="11"/>
  <c r="F5385" i="11"/>
  <c r="G5385" i="11" s="1"/>
  <c r="F5384" i="11"/>
  <c r="G5384" i="11" s="1"/>
  <c r="H5383" i="11"/>
  <c r="G5383" i="11"/>
  <c r="I5383" i="11" s="1"/>
  <c r="F5383" i="11"/>
  <c r="G5382" i="11"/>
  <c r="F5382" i="11"/>
  <c r="F5381" i="11"/>
  <c r="G5381" i="11" s="1"/>
  <c r="F5380" i="11"/>
  <c r="G5380" i="11" s="1"/>
  <c r="H5379" i="11"/>
  <c r="G5379" i="11"/>
  <c r="I5379" i="11" s="1"/>
  <c r="F5379" i="11"/>
  <c r="G5378" i="11"/>
  <c r="F5378" i="11"/>
  <c r="F5377" i="11"/>
  <c r="G5377" i="11" s="1"/>
  <c r="F5376" i="11"/>
  <c r="G5376" i="11" s="1"/>
  <c r="H5375" i="11"/>
  <c r="G5375" i="11"/>
  <c r="I5375" i="11" s="1"/>
  <c r="F5375" i="11"/>
  <c r="G5374" i="11"/>
  <c r="F5374" i="11"/>
  <c r="F5373" i="11"/>
  <c r="G5373" i="11" s="1"/>
  <c r="F5372" i="11"/>
  <c r="G5372" i="11" s="1"/>
  <c r="H5371" i="11"/>
  <c r="G5371" i="11"/>
  <c r="I5371" i="11" s="1"/>
  <c r="F5371" i="11"/>
  <c r="G5370" i="11"/>
  <c r="F5370" i="11"/>
  <c r="F5369" i="11"/>
  <c r="G5369" i="11" s="1"/>
  <c r="F5368" i="11"/>
  <c r="G5368" i="11" s="1"/>
  <c r="H5367" i="11"/>
  <c r="G5367" i="11"/>
  <c r="I5367" i="11" s="1"/>
  <c r="F5367" i="11"/>
  <c r="G5366" i="11"/>
  <c r="F5366" i="11"/>
  <c r="F5365" i="11"/>
  <c r="G5365" i="11" s="1"/>
  <c r="F5364" i="11"/>
  <c r="G5364" i="11" s="1"/>
  <c r="H5363" i="11"/>
  <c r="G5363" i="11"/>
  <c r="I5363" i="11" s="1"/>
  <c r="F5363" i="11"/>
  <c r="G5362" i="11"/>
  <c r="F5362" i="11"/>
  <c r="F5361" i="11"/>
  <c r="G5361" i="11" s="1"/>
  <c r="F5360" i="11"/>
  <c r="G5360" i="11" s="1"/>
  <c r="H5359" i="11"/>
  <c r="G5359" i="11"/>
  <c r="I5359" i="11" s="1"/>
  <c r="F5359" i="11"/>
  <c r="G5358" i="11"/>
  <c r="F5358" i="11"/>
  <c r="F5357" i="11"/>
  <c r="G5357" i="11" s="1"/>
  <c r="F5356" i="11"/>
  <c r="G5356" i="11" s="1"/>
  <c r="H5355" i="11"/>
  <c r="G5355" i="11"/>
  <c r="I5355" i="11" s="1"/>
  <c r="F5355" i="11"/>
  <c r="G5354" i="11"/>
  <c r="F5354" i="11"/>
  <c r="F5353" i="11"/>
  <c r="G5353" i="11" s="1"/>
  <c r="F5352" i="11"/>
  <c r="G5352" i="11" s="1"/>
  <c r="H5351" i="11"/>
  <c r="G5351" i="11"/>
  <c r="I5351" i="11" s="1"/>
  <c r="F5351" i="11"/>
  <c r="G5350" i="11"/>
  <c r="F5350" i="11"/>
  <c r="F5349" i="11"/>
  <c r="G5349" i="11" s="1"/>
  <c r="F5348" i="11"/>
  <c r="G5348" i="11" s="1"/>
  <c r="H5347" i="11"/>
  <c r="G5347" i="11"/>
  <c r="I5347" i="11" s="1"/>
  <c r="F5347" i="11"/>
  <c r="G5346" i="11"/>
  <c r="F5346" i="11"/>
  <c r="F5345" i="11"/>
  <c r="G5345" i="11" s="1"/>
  <c r="F5344" i="11"/>
  <c r="G5344" i="11" s="1"/>
  <c r="H5343" i="11"/>
  <c r="G5343" i="11"/>
  <c r="I5343" i="11" s="1"/>
  <c r="F5343" i="11"/>
  <c r="G5342" i="11"/>
  <c r="F5342" i="11"/>
  <c r="F5341" i="11"/>
  <c r="G5341" i="11" s="1"/>
  <c r="F5340" i="11"/>
  <c r="G5340" i="11" s="1"/>
  <c r="H5339" i="11"/>
  <c r="G5339" i="11"/>
  <c r="I5339" i="11" s="1"/>
  <c r="F5339" i="11"/>
  <c r="G5338" i="11"/>
  <c r="F5338" i="11"/>
  <c r="F5337" i="11"/>
  <c r="G5337" i="11" s="1"/>
  <c r="F5336" i="11"/>
  <c r="G5336" i="11" s="1"/>
  <c r="H5335" i="11"/>
  <c r="G5335" i="11"/>
  <c r="I5335" i="11" s="1"/>
  <c r="F5335" i="11"/>
  <c r="G5334" i="11"/>
  <c r="F5334" i="11"/>
  <c r="F5333" i="11"/>
  <c r="G5333" i="11" s="1"/>
  <c r="F5332" i="11"/>
  <c r="G5332" i="11" s="1"/>
  <c r="H5331" i="11"/>
  <c r="G5331" i="11"/>
  <c r="I5331" i="11" s="1"/>
  <c r="F5331" i="11"/>
  <c r="G5330" i="11"/>
  <c r="F5330" i="11"/>
  <c r="F5329" i="11"/>
  <c r="G5329" i="11" s="1"/>
  <c r="F5328" i="11"/>
  <c r="G5328" i="11" s="1"/>
  <c r="H5327" i="11"/>
  <c r="G5327" i="11"/>
  <c r="I5327" i="11" s="1"/>
  <c r="F5327" i="11"/>
  <c r="G5326" i="11"/>
  <c r="F5326" i="11"/>
  <c r="F5325" i="11"/>
  <c r="G5325" i="11" s="1"/>
  <c r="F5324" i="11"/>
  <c r="G5324" i="11" s="1"/>
  <c r="H5323" i="11"/>
  <c r="G5323" i="11"/>
  <c r="I5323" i="11" s="1"/>
  <c r="F5323" i="11"/>
  <c r="G5322" i="11"/>
  <c r="F5322" i="11"/>
  <c r="F5321" i="11"/>
  <c r="G5321" i="11" s="1"/>
  <c r="F5320" i="11"/>
  <c r="G5320" i="11" s="1"/>
  <c r="H5319" i="11"/>
  <c r="G5319" i="11"/>
  <c r="I5319" i="11" s="1"/>
  <c r="F5319" i="11"/>
  <c r="G5318" i="11"/>
  <c r="F5318" i="11"/>
  <c r="F5317" i="11"/>
  <c r="G5317" i="11" s="1"/>
  <c r="F5316" i="11"/>
  <c r="G5316" i="11" s="1"/>
  <c r="H5315" i="11"/>
  <c r="G5315" i="11"/>
  <c r="I5315" i="11" s="1"/>
  <c r="F5315" i="11"/>
  <c r="G5314" i="11"/>
  <c r="F5314" i="11"/>
  <c r="F5313" i="11"/>
  <c r="G5313" i="11" s="1"/>
  <c r="F5312" i="11"/>
  <c r="G5312" i="11" s="1"/>
  <c r="H5311" i="11"/>
  <c r="G5311" i="11"/>
  <c r="I5311" i="11" s="1"/>
  <c r="F5311" i="11"/>
  <c r="G5310" i="11"/>
  <c r="F5310" i="11"/>
  <c r="F5309" i="11"/>
  <c r="G5309" i="11" s="1"/>
  <c r="F5308" i="11"/>
  <c r="G5308" i="11" s="1"/>
  <c r="H5307" i="11"/>
  <c r="G5307" i="11"/>
  <c r="I5307" i="11" s="1"/>
  <c r="F5307" i="11"/>
  <c r="G5306" i="11"/>
  <c r="F5306" i="11"/>
  <c r="F5305" i="11"/>
  <c r="G5305" i="11" s="1"/>
  <c r="F5304" i="11"/>
  <c r="G5304" i="11" s="1"/>
  <c r="H5303" i="11"/>
  <c r="G5303" i="11"/>
  <c r="I5303" i="11" s="1"/>
  <c r="F5303" i="11"/>
  <c r="G5302" i="11"/>
  <c r="F5302" i="11"/>
  <c r="F5301" i="11"/>
  <c r="G5301" i="11" s="1"/>
  <c r="F5300" i="11"/>
  <c r="G5300" i="11" s="1"/>
  <c r="H5299" i="11"/>
  <c r="G5299" i="11"/>
  <c r="I5299" i="11" s="1"/>
  <c r="F5299" i="11"/>
  <c r="G5298" i="11"/>
  <c r="F5298" i="11"/>
  <c r="F5297" i="11"/>
  <c r="G5297" i="11" s="1"/>
  <c r="F5296" i="11"/>
  <c r="G5296" i="11" s="1"/>
  <c r="H5295" i="11"/>
  <c r="G5295" i="11"/>
  <c r="I5295" i="11" s="1"/>
  <c r="F5295" i="11"/>
  <c r="G5294" i="11"/>
  <c r="F5294" i="11"/>
  <c r="F5293" i="11"/>
  <c r="G5293" i="11" s="1"/>
  <c r="F5292" i="11"/>
  <c r="G5292" i="11" s="1"/>
  <c r="H5291" i="11"/>
  <c r="G5291" i="11"/>
  <c r="I5291" i="11" s="1"/>
  <c r="F5291" i="11"/>
  <c r="G5290" i="11"/>
  <c r="F5290" i="11"/>
  <c r="F5289" i="11"/>
  <c r="G5289" i="11" s="1"/>
  <c r="F5288" i="11"/>
  <c r="G5288" i="11" s="1"/>
  <c r="H5287" i="11"/>
  <c r="G5287" i="11"/>
  <c r="I5287" i="11" s="1"/>
  <c r="F5287" i="11"/>
  <c r="G5286" i="11"/>
  <c r="F5286" i="11"/>
  <c r="F5285" i="11"/>
  <c r="G5285" i="11" s="1"/>
  <c r="F5284" i="11"/>
  <c r="G5284" i="11" s="1"/>
  <c r="H5283" i="11"/>
  <c r="G5283" i="11"/>
  <c r="I5283" i="11" s="1"/>
  <c r="F5283" i="11"/>
  <c r="G5282" i="11"/>
  <c r="F5282" i="11"/>
  <c r="F5281" i="11"/>
  <c r="G5281" i="11" s="1"/>
  <c r="F5280" i="11"/>
  <c r="G5280" i="11" s="1"/>
  <c r="H5279" i="11"/>
  <c r="G5279" i="11"/>
  <c r="I5279" i="11" s="1"/>
  <c r="F5279" i="11"/>
  <c r="G5278" i="11"/>
  <c r="F5278" i="11"/>
  <c r="F5277" i="11"/>
  <c r="G5277" i="11" s="1"/>
  <c r="F5276" i="11"/>
  <c r="G5276" i="11" s="1"/>
  <c r="H5275" i="11"/>
  <c r="G5275" i="11"/>
  <c r="I5275" i="11" s="1"/>
  <c r="F5275" i="11"/>
  <c r="G5274" i="11"/>
  <c r="F5274" i="11"/>
  <c r="F5273" i="11"/>
  <c r="G5273" i="11" s="1"/>
  <c r="F5272" i="11"/>
  <c r="G5272" i="11" s="1"/>
  <c r="H5271" i="11"/>
  <c r="G5271" i="11"/>
  <c r="I5271" i="11" s="1"/>
  <c r="F5271" i="11"/>
  <c r="G5270" i="11"/>
  <c r="F5270" i="11"/>
  <c r="F5269" i="11"/>
  <c r="G5269" i="11" s="1"/>
  <c r="F5268" i="11"/>
  <c r="G5268" i="11" s="1"/>
  <c r="H5267" i="11"/>
  <c r="G5267" i="11"/>
  <c r="I5267" i="11" s="1"/>
  <c r="F5267" i="11"/>
  <c r="G5266" i="11"/>
  <c r="F5266" i="11"/>
  <c r="F5265" i="11"/>
  <c r="G5265" i="11" s="1"/>
  <c r="F5264" i="11"/>
  <c r="G5264" i="11" s="1"/>
  <c r="H5263" i="11"/>
  <c r="G5263" i="11"/>
  <c r="I5263" i="11" s="1"/>
  <c r="F5263" i="11"/>
  <c r="G5262" i="11"/>
  <c r="F5262" i="11"/>
  <c r="F5261" i="11"/>
  <c r="G5261" i="11" s="1"/>
  <c r="F5260" i="11"/>
  <c r="G5260" i="11" s="1"/>
  <c r="H5259" i="11"/>
  <c r="G5259" i="11"/>
  <c r="I5259" i="11" s="1"/>
  <c r="F5259" i="11"/>
  <c r="G5258" i="11"/>
  <c r="F5258" i="11"/>
  <c r="F5257" i="11"/>
  <c r="G5257" i="11" s="1"/>
  <c r="F5256" i="11"/>
  <c r="G5256" i="11" s="1"/>
  <c r="H5255" i="11"/>
  <c r="G5255" i="11"/>
  <c r="I5255" i="11" s="1"/>
  <c r="F5255" i="11"/>
  <c r="G5254" i="11"/>
  <c r="F5254" i="11"/>
  <c r="F5253" i="11"/>
  <c r="G5253" i="11" s="1"/>
  <c r="F5252" i="11"/>
  <c r="G5252" i="11" s="1"/>
  <c r="H5251" i="11"/>
  <c r="G5251" i="11"/>
  <c r="I5251" i="11" s="1"/>
  <c r="F5251" i="11"/>
  <c r="G5250" i="11"/>
  <c r="F5250" i="11"/>
  <c r="F5249" i="11"/>
  <c r="G5249" i="11" s="1"/>
  <c r="F5248" i="11"/>
  <c r="G5248" i="11" s="1"/>
  <c r="H5247" i="11"/>
  <c r="G5247" i="11"/>
  <c r="I5247" i="11" s="1"/>
  <c r="F5247" i="11"/>
  <c r="G5246" i="11"/>
  <c r="F5246" i="11"/>
  <c r="F5245" i="11"/>
  <c r="G5245" i="11" s="1"/>
  <c r="F5244" i="11"/>
  <c r="G5244" i="11" s="1"/>
  <c r="H5243" i="11"/>
  <c r="G5243" i="11"/>
  <c r="I5243" i="11" s="1"/>
  <c r="F5243" i="11"/>
  <c r="G5242" i="11"/>
  <c r="F5242" i="11"/>
  <c r="F5241" i="11"/>
  <c r="G5241" i="11" s="1"/>
  <c r="F5240" i="11"/>
  <c r="G5240" i="11" s="1"/>
  <c r="H5239" i="11"/>
  <c r="G5239" i="11"/>
  <c r="I5239" i="11" s="1"/>
  <c r="F5239" i="11"/>
  <c r="G5238" i="11"/>
  <c r="F5238" i="11"/>
  <c r="F5237" i="11"/>
  <c r="G5237" i="11" s="1"/>
  <c r="F5236" i="11"/>
  <c r="G5236" i="11" s="1"/>
  <c r="H5235" i="11"/>
  <c r="G5235" i="11"/>
  <c r="I5235" i="11" s="1"/>
  <c r="F5235" i="11"/>
  <c r="G5234" i="11"/>
  <c r="F5234" i="11"/>
  <c r="F5233" i="11"/>
  <c r="G5233" i="11" s="1"/>
  <c r="F5232" i="11"/>
  <c r="G5232" i="11" s="1"/>
  <c r="H5231" i="11"/>
  <c r="G5231" i="11"/>
  <c r="I5231" i="11" s="1"/>
  <c r="F5231" i="11"/>
  <c r="G5230" i="11"/>
  <c r="F5230" i="11"/>
  <c r="F5229" i="11"/>
  <c r="G5229" i="11" s="1"/>
  <c r="F5228" i="11"/>
  <c r="G5228" i="11" s="1"/>
  <c r="H5227" i="11"/>
  <c r="G5227" i="11"/>
  <c r="I5227" i="11" s="1"/>
  <c r="F5227" i="11"/>
  <c r="G5226" i="11"/>
  <c r="F5226" i="11"/>
  <c r="F5225" i="11"/>
  <c r="G5225" i="11" s="1"/>
  <c r="F5224" i="11"/>
  <c r="G5224" i="11" s="1"/>
  <c r="H5223" i="11"/>
  <c r="G5223" i="11"/>
  <c r="I5223" i="11" s="1"/>
  <c r="F5223" i="11"/>
  <c r="G5222" i="11"/>
  <c r="F5222" i="11"/>
  <c r="F5221" i="11"/>
  <c r="G5221" i="11" s="1"/>
  <c r="F5220" i="11"/>
  <c r="G5220" i="11" s="1"/>
  <c r="H5219" i="11"/>
  <c r="G5219" i="11"/>
  <c r="I5219" i="11" s="1"/>
  <c r="F5219" i="11"/>
  <c r="G5218" i="11"/>
  <c r="F5218" i="11"/>
  <c r="F5217" i="11"/>
  <c r="G5217" i="11" s="1"/>
  <c r="F5216" i="11"/>
  <c r="G5216" i="11" s="1"/>
  <c r="H5215" i="11"/>
  <c r="G5215" i="11"/>
  <c r="I5215" i="11" s="1"/>
  <c r="F5215" i="11"/>
  <c r="G5214" i="11"/>
  <c r="F5214" i="11"/>
  <c r="F5213" i="11"/>
  <c r="G5213" i="11" s="1"/>
  <c r="F5212" i="11"/>
  <c r="G5212" i="11" s="1"/>
  <c r="H5211" i="11"/>
  <c r="G5211" i="11"/>
  <c r="I5211" i="11" s="1"/>
  <c r="F5211" i="11"/>
  <c r="G5210" i="11"/>
  <c r="F5210" i="11"/>
  <c r="F5209" i="11"/>
  <c r="G5209" i="11" s="1"/>
  <c r="F5208" i="11"/>
  <c r="G5208" i="11" s="1"/>
  <c r="H5207" i="11"/>
  <c r="G5207" i="11"/>
  <c r="I5207" i="11" s="1"/>
  <c r="F5207" i="11"/>
  <c r="G5206" i="11"/>
  <c r="F5206" i="11"/>
  <c r="F5205" i="11"/>
  <c r="G5205" i="11" s="1"/>
  <c r="F5204" i="11"/>
  <c r="G5204" i="11" s="1"/>
  <c r="H5203" i="11"/>
  <c r="G5203" i="11"/>
  <c r="I5203" i="11" s="1"/>
  <c r="F5203" i="11"/>
  <c r="G5202" i="11"/>
  <c r="F5202" i="11"/>
  <c r="F5201" i="11"/>
  <c r="G5201" i="11" s="1"/>
  <c r="F5200" i="11"/>
  <c r="G5200" i="11" s="1"/>
  <c r="H5199" i="11"/>
  <c r="G5199" i="11"/>
  <c r="I5199" i="11" s="1"/>
  <c r="F5199" i="11"/>
  <c r="G5198" i="11"/>
  <c r="F5198" i="11"/>
  <c r="F5197" i="11"/>
  <c r="G5197" i="11" s="1"/>
  <c r="F5196" i="11"/>
  <c r="G5196" i="11" s="1"/>
  <c r="H5195" i="11"/>
  <c r="G5195" i="11"/>
  <c r="I5195" i="11" s="1"/>
  <c r="F5195" i="11"/>
  <c r="G5194" i="11"/>
  <c r="F5194" i="11"/>
  <c r="F5193" i="11"/>
  <c r="G5193" i="11" s="1"/>
  <c r="F5192" i="11"/>
  <c r="G5192" i="11" s="1"/>
  <c r="H5191" i="11"/>
  <c r="G5191" i="11"/>
  <c r="I5191" i="11" s="1"/>
  <c r="F5191" i="11"/>
  <c r="G5190" i="11"/>
  <c r="F5190" i="11"/>
  <c r="F5189" i="11"/>
  <c r="G5189" i="11" s="1"/>
  <c r="F5188" i="11"/>
  <c r="G5188" i="11" s="1"/>
  <c r="H5187" i="11"/>
  <c r="G5187" i="11"/>
  <c r="I5187" i="11" s="1"/>
  <c r="F5187" i="11"/>
  <c r="G5186" i="11"/>
  <c r="F5186" i="11"/>
  <c r="F5185" i="11"/>
  <c r="G5185" i="11" s="1"/>
  <c r="F5184" i="11"/>
  <c r="G5184" i="11" s="1"/>
  <c r="H5183" i="11"/>
  <c r="G5183" i="11"/>
  <c r="I5183" i="11" s="1"/>
  <c r="F5183" i="11"/>
  <c r="G5182" i="11"/>
  <c r="F5182" i="11"/>
  <c r="F5181" i="11"/>
  <c r="G5181" i="11" s="1"/>
  <c r="F5180" i="11"/>
  <c r="G5180" i="11" s="1"/>
  <c r="H5179" i="11"/>
  <c r="G5179" i="11"/>
  <c r="I5179" i="11" s="1"/>
  <c r="F5179" i="11"/>
  <c r="G5178" i="11"/>
  <c r="F5178" i="11"/>
  <c r="F5177" i="11"/>
  <c r="G5177" i="11" s="1"/>
  <c r="F5176" i="11"/>
  <c r="G5176" i="11" s="1"/>
  <c r="H5175" i="11"/>
  <c r="G5175" i="11"/>
  <c r="I5175" i="11" s="1"/>
  <c r="F5175" i="11"/>
  <c r="G5174" i="11"/>
  <c r="F5174" i="11"/>
  <c r="F5173" i="11"/>
  <c r="G5173" i="11" s="1"/>
  <c r="F5172" i="11"/>
  <c r="G5172" i="11" s="1"/>
  <c r="H5171" i="11"/>
  <c r="G5171" i="11"/>
  <c r="I5171" i="11" s="1"/>
  <c r="F5171" i="11"/>
  <c r="G5170" i="11"/>
  <c r="F5170" i="11"/>
  <c r="F5169" i="11"/>
  <c r="G5169" i="11" s="1"/>
  <c r="F5168" i="11"/>
  <c r="G5168" i="11" s="1"/>
  <c r="H5167" i="11"/>
  <c r="G5167" i="11"/>
  <c r="I5167" i="11" s="1"/>
  <c r="F5167" i="11"/>
  <c r="G5166" i="11"/>
  <c r="F5166" i="11"/>
  <c r="F5165" i="11"/>
  <c r="G5165" i="11" s="1"/>
  <c r="F5164" i="11"/>
  <c r="G5164" i="11" s="1"/>
  <c r="H5163" i="11"/>
  <c r="G5163" i="11"/>
  <c r="I5163" i="11" s="1"/>
  <c r="F5163" i="11"/>
  <c r="G5162" i="11"/>
  <c r="F5162" i="11"/>
  <c r="F5161" i="11"/>
  <c r="G5161" i="11" s="1"/>
  <c r="F5160" i="11"/>
  <c r="G5160" i="11" s="1"/>
  <c r="H5159" i="11"/>
  <c r="G5159" i="11"/>
  <c r="I5159" i="11" s="1"/>
  <c r="F5159" i="11"/>
  <c r="G5158" i="11"/>
  <c r="F5158" i="11"/>
  <c r="F5157" i="11"/>
  <c r="G5157" i="11" s="1"/>
  <c r="F5156" i="11"/>
  <c r="G5156" i="11" s="1"/>
  <c r="H5155" i="11"/>
  <c r="G5155" i="11"/>
  <c r="I5155" i="11" s="1"/>
  <c r="F5155" i="11"/>
  <c r="G5154" i="11"/>
  <c r="F5154" i="11"/>
  <c r="F5153" i="11"/>
  <c r="G5153" i="11" s="1"/>
  <c r="F5152" i="11"/>
  <c r="G5152" i="11" s="1"/>
  <c r="H5151" i="11"/>
  <c r="G5151" i="11"/>
  <c r="I5151" i="11" s="1"/>
  <c r="F5151" i="11"/>
  <c r="G5150" i="11"/>
  <c r="F5150" i="11"/>
  <c r="F5149" i="11"/>
  <c r="G5149" i="11" s="1"/>
  <c r="F5148" i="11"/>
  <c r="G5148" i="11" s="1"/>
  <c r="H5147" i="11"/>
  <c r="G5147" i="11"/>
  <c r="I5147" i="11" s="1"/>
  <c r="F5147" i="11"/>
  <c r="G5146" i="11"/>
  <c r="F5146" i="11"/>
  <c r="F5145" i="11"/>
  <c r="G5145" i="11" s="1"/>
  <c r="F5144" i="11"/>
  <c r="G5144" i="11" s="1"/>
  <c r="H5143" i="11"/>
  <c r="G5143" i="11"/>
  <c r="I5143" i="11" s="1"/>
  <c r="F5143" i="11"/>
  <c r="G5142" i="11"/>
  <c r="F5142" i="11"/>
  <c r="F5141" i="11"/>
  <c r="G5141" i="11" s="1"/>
  <c r="F5140" i="11"/>
  <c r="G5140" i="11" s="1"/>
  <c r="H5139" i="11"/>
  <c r="G5139" i="11"/>
  <c r="I5139" i="11" s="1"/>
  <c r="F5139" i="11"/>
  <c r="G5138" i="11"/>
  <c r="F5138" i="11"/>
  <c r="F5137" i="11"/>
  <c r="G5137" i="11" s="1"/>
  <c r="F5136" i="11"/>
  <c r="G5136" i="11" s="1"/>
  <c r="H5135" i="11"/>
  <c r="G5135" i="11"/>
  <c r="I5135" i="11" s="1"/>
  <c r="F5135" i="11"/>
  <c r="G5134" i="11"/>
  <c r="F5134" i="11"/>
  <c r="F5133" i="11"/>
  <c r="G5133" i="11" s="1"/>
  <c r="F5132" i="11"/>
  <c r="G5132" i="11" s="1"/>
  <c r="H5131" i="11"/>
  <c r="G5131" i="11"/>
  <c r="I5131" i="11" s="1"/>
  <c r="F5131" i="11"/>
  <c r="G5130" i="11"/>
  <c r="F5130" i="11"/>
  <c r="F5129" i="11"/>
  <c r="G5129" i="11" s="1"/>
  <c r="F5128" i="11"/>
  <c r="G5128" i="11" s="1"/>
  <c r="H5127" i="11"/>
  <c r="G5127" i="11"/>
  <c r="I5127" i="11" s="1"/>
  <c r="F5127" i="11"/>
  <c r="G5126" i="11"/>
  <c r="F5126" i="11"/>
  <c r="F5125" i="11"/>
  <c r="G5125" i="11" s="1"/>
  <c r="F5124" i="11"/>
  <c r="G5124" i="11" s="1"/>
  <c r="H5123" i="11"/>
  <c r="G5123" i="11"/>
  <c r="I5123" i="11" s="1"/>
  <c r="F5123" i="11"/>
  <c r="G5122" i="11"/>
  <c r="F5122" i="11"/>
  <c r="F5121" i="11"/>
  <c r="G5121" i="11" s="1"/>
  <c r="F5120" i="11"/>
  <c r="G5120" i="11" s="1"/>
  <c r="H5119" i="11"/>
  <c r="G5119" i="11"/>
  <c r="I5119" i="11" s="1"/>
  <c r="F5119" i="11"/>
  <c r="G5118" i="11"/>
  <c r="F5118" i="11"/>
  <c r="F5117" i="11"/>
  <c r="G5117" i="11" s="1"/>
  <c r="F5116" i="11"/>
  <c r="G5116" i="11" s="1"/>
  <c r="H5115" i="11"/>
  <c r="G5115" i="11"/>
  <c r="I5115" i="11" s="1"/>
  <c r="F5115" i="11"/>
  <c r="G5114" i="11"/>
  <c r="F5114" i="11"/>
  <c r="F5113" i="11"/>
  <c r="G5113" i="11" s="1"/>
  <c r="F5112" i="11"/>
  <c r="G5112" i="11" s="1"/>
  <c r="H5111" i="11"/>
  <c r="G5111" i="11"/>
  <c r="I5111" i="11" s="1"/>
  <c r="F5111" i="11"/>
  <c r="G5110" i="11"/>
  <c r="F5110" i="11"/>
  <c r="F5109" i="11"/>
  <c r="G5109" i="11" s="1"/>
  <c r="F5108" i="11"/>
  <c r="G5108" i="11" s="1"/>
  <c r="H5107" i="11"/>
  <c r="G5107" i="11"/>
  <c r="I5107" i="11" s="1"/>
  <c r="F5107" i="11"/>
  <c r="G5106" i="11"/>
  <c r="F5106" i="11"/>
  <c r="F5105" i="11"/>
  <c r="G5105" i="11" s="1"/>
  <c r="F5104" i="11"/>
  <c r="G5104" i="11" s="1"/>
  <c r="H5103" i="11"/>
  <c r="G5103" i="11"/>
  <c r="I5103" i="11" s="1"/>
  <c r="F5103" i="11"/>
  <c r="G5102" i="11"/>
  <c r="F5102" i="11"/>
  <c r="F5101" i="11"/>
  <c r="G5101" i="11" s="1"/>
  <c r="F5100" i="11"/>
  <c r="G5100" i="11" s="1"/>
  <c r="H5099" i="11"/>
  <c r="G5099" i="11"/>
  <c r="I5099" i="11" s="1"/>
  <c r="F5099" i="11"/>
  <c r="G5098" i="11"/>
  <c r="F5098" i="11"/>
  <c r="F5097" i="11"/>
  <c r="G5097" i="11" s="1"/>
  <c r="F5096" i="11"/>
  <c r="G5096" i="11" s="1"/>
  <c r="H5095" i="11"/>
  <c r="G5095" i="11"/>
  <c r="I5095" i="11" s="1"/>
  <c r="F5095" i="11"/>
  <c r="G5094" i="11"/>
  <c r="F5094" i="11"/>
  <c r="F5093" i="11"/>
  <c r="G5093" i="11" s="1"/>
  <c r="F5092" i="11"/>
  <c r="G5092" i="11" s="1"/>
  <c r="H5091" i="11"/>
  <c r="G5091" i="11"/>
  <c r="I5091" i="11" s="1"/>
  <c r="F5091" i="11"/>
  <c r="G5090" i="11"/>
  <c r="F5090" i="11"/>
  <c r="F5089" i="11"/>
  <c r="G5089" i="11" s="1"/>
  <c r="F5088" i="11"/>
  <c r="G5088" i="11" s="1"/>
  <c r="H5087" i="11"/>
  <c r="G5087" i="11"/>
  <c r="I5087" i="11" s="1"/>
  <c r="F5087" i="11"/>
  <c r="G5086" i="11"/>
  <c r="F5086" i="11"/>
  <c r="F5085" i="11"/>
  <c r="G5085" i="11" s="1"/>
  <c r="F5084" i="11"/>
  <c r="G5084" i="11" s="1"/>
  <c r="H5083" i="11"/>
  <c r="G5083" i="11"/>
  <c r="I5083" i="11" s="1"/>
  <c r="F5083" i="11"/>
  <c r="G5082" i="11"/>
  <c r="F5082" i="11"/>
  <c r="F5081" i="11"/>
  <c r="G5081" i="11" s="1"/>
  <c r="F5080" i="11"/>
  <c r="G5080" i="11" s="1"/>
  <c r="H5079" i="11"/>
  <c r="G5079" i="11"/>
  <c r="I5079" i="11" s="1"/>
  <c r="F5079" i="11"/>
  <c r="G5078" i="11"/>
  <c r="F5078" i="11"/>
  <c r="F5077" i="11"/>
  <c r="G5077" i="11" s="1"/>
  <c r="F5076" i="11"/>
  <c r="G5076" i="11" s="1"/>
  <c r="H5075" i="11"/>
  <c r="G5075" i="11"/>
  <c r="I5075" i="11" s="1"/>
  <c r="F5075" i="11"/>
  <c r="G5074" i="11"/>
  <c r="F5074" i="11"/>
  <c r="F5073" i="11"/>
  <c r="G5073" i="11" s="1"/>
  <c r="F5072" i="11"/>
  <c r="G5072" i="11" s="1"/>
  <c r="H5071" i="11"/>
  <c r="G5071" i="11"/>
  <c r="I5071" i="11" s="1"/>
  <c r="F5071" i="11"/>
  <c r="G5070" i="11"/>
  <c r="F5070" i="11"/>
  <c r="F5069" i="11"/>
  <c r="G5069" i="11" s="1"/>
  <c r="F5068" i="11"/>
  <c r="G5068" i="11" s="1"/>
  <c r="H5067" i="11"/>
  <c r="G5067" i="11"/>
  <c r="I5067" i="11" s="1"/>
  <c r="F5067" i="11"/>
  <c r="G5066" i="11"/>
  <c r="F5066" i="11"/>
  <c r="F5065" i="11"/>
  <c r="G5065" i="11" s="1"/>
  <c r="F5064" i="11"/>
  <c r="G5064" i="11" s="1"/>
  <c r="H5063" i="11"/>
  <c r="G5063" i="11"/>
  <c r="I5063" i="11" s="1"/>
  <c r="F5063" i="11"/>
  <c r="G5062" i="11"/>
  <c r="F5062" i="11"/>
  <c r="F5061" i="11"/>
  <c r="G5061" i="11" s="1"/>
  <c r="F5060" i="11"/>
  <c r="G5060" i="11" s="1"/>
  <c r="H5059" i="11"/>
  <c r="G5059" i="11"/>
  <c r="I5059" i="11" s="1"/>
  <c r="F5059" i="11"/>
  <c r="G5058" i="11"/>
  <c r="F5058" i="11"/>
  <c r="F5057" i="11"/>
  <c r="G5057" i="11" s="1"/>
  <c r="F5056" i="11"/>
  <c r="G5056" i="11" s="1"/>
  <c r="H5055" i="11"/>
  <c r="G5055" i="11"/>
  <c r="I5055" i="11" s="1"/>
  <c r="F5055" i="11"/>
  <c r="G5054" i="11"/>
  <c r="F5054" i="11"/>
  <c r="F5053" i="11"/>
  <c r="G5053" i="11" s="1"/>
  <c r="F5052" i="11"/>
  <c r="G5052" i="11" s="1"/>
  <c r="H5051" i="11"/>
  <c r="G5051" i="11"/>
  <c r="I5051" i="11" s="1"/>
  <c r="F5051" i="11"/>
  <c r="G5050" i="11"/>
  <c r="F5050" i="11"/>
  <c r="F5049" i="11"/>
  <c r="G5049" i="11" s="1"/>
  <c r="F5048" i="11"/>
  <c r="G5048" i="11" s="1"/>
  <c r="H5047" i="11"/>
  <c r="G5047" i="11"/>
  <c r="I5047" i="11" s="1"/>
  <c r="F5047" i="11"/>
  <c r="G5046" i="11"/>
  <c r="F5046" i="11"/>
  <c r="F5045" i="11"/>
  <c r="G5045" i="11" s="1"/>
  <c r="F5044" i="11"/>
  <c r="G5044" i="11" s="1"/>
  <c r="H5043" i="11"/>
  <c r="G5043" i="11"/>
  <c r="I5043" i="11" s="1"/>
  <c r="F5043" i="11"/>
  <c r="G5042" i="11"/>
  <c r="F5042" i="11"/>
  <c r="F5041" i="11"/>
  <c r="G5041" i="11" s="1"/>
  <c r="F5040" i="11"/>
  <c r="G5040" i="11" s="1"/>
  <c r="H5039" i="11"/>
  <c r="G5039" i="11"/>
  <c r="I5039" i="11" s="1"/>
  <c r="F5039" i="11"/>
  <c r="G5038" i="11"/>
  <c r="F5038" i="11"/>
  <c r="F5037" i="11"/>
  <c r="G5037" i="11" s="1"/>
  <c r="F5036" i="11"/>
  <c r="G5036" i="11" s="1"/>
  <c r="H5035" i="11"/>
  <c r="G5035" i="11"/>
  <c r="I5035" i="11" s="1"/>
  <c r="F5035" i="11"/>
  <c r="G5034" i="11"/>
  <c r="F5034" i="11"/>
  <c r="F5033" i="11"/>
  <c r="G5033" i="11" s="1"/>
  <c r="F5032" i="11"/>
  <c r="G5032" i="11" s="1"/>
  <c r="H5031" i="11"/>
  <c r="G5031" i="11"/>
  <c r="I5031" i="11" s="1"/>
  <c r="F5031" i="11"/>
  <c r="G5030" i="11"/>
  <c r="F5030" i="11"/>
  <c r="F5029" i="11"/>
  <c r="G5029" i="11" s="1"/>
  <c r="F5028" i="11"/>
  <c r="G5028" i="11" s="1"/>
  <c r="H5027" i="11"/>
  <c r="G5027" i="11"/>
  <c r="I5027" i="11" s="1"/>
  <c r="F5027" i="11"/>
  <c r="G5026" i="11"/>
  <c r="F5026" i="11"/>
  <c r="F5025" i="11"/>
  <c r="G5025" i="11" s="1"/>
  <c r="F5024" i="11"/>
  <c r="G5024" i="11" s="1"/>
  <c r="H5023" i="11"/>
  <c r="G5023" i="11"/>
  <c r="I5023" i="11" s="1"/>
  <c r="F5023" i="11"/>
  <c r="G5022" i="11"/>
  <c r="F5022" i="11"/>
  <c r="F5021" i="11"/>
  <c r="G5021" i="11" s="1"/>
  <c r="F5020" i="11"/>
  <c r="G5020" i="11" s="1"/>
  <c r="H5019" i="11"/>
  <c r="G5019" i="11"/>
  <c r="I5019" i="11" s="1"/>
  <c r="F5019" i="11"/>
  <c r="G5018" i="11"/>
  <c r="F5018" i="11"/>
  <c r="F5017" i="11"/>
  <c r="G5017" i="11" s="1"/>
  <c r="F5016" i="11"/>
  <c r="G5016" i="11" s="1"/>
  <c r="H5015" i="11"/>
  <c r="G5015" i="11"/>
  <c r="I5015" i="11" s="1"/>
  <c r="F5015" i="11"/>
  <c r="G5014" i="11"/>
  <c r="F5014" i="11"/>
  <c r="F5013" i="11"/>
  <c r="G5013" i="11" s="1"/>
  <c r="F5012" i="11"/>
  <c r="G5012" i="11" s="1"/>
  <c r="H5011" i="11"/>
  <c r="G5011" i="11"/>
  <c r="I5011" i="11" s="1"/>
  <c r="F5011" i="11"/>
  <c r="G5010" i="11"/>
  <c r="F5010" i="11"/>
  <c r="F5009" i="11"/>
  <c r="G5009" i="11" s="1"/>
  <c r="F5008" i="11"/>
  <c r="G5008" i="11" s="1"/>
  <c r="H5007" i="11"/>
  <c r="G5007" i="11"/>
  <c r="I5007" i="11" s="1"/>
  <c r="F5007" i="11"/>
  <c r="G5006" i="11"/>
  <c r="F5006" i="11"/>
  <c r="F5005" i="11"/>
  <c r="G5005" i="11" s="1"/>
  <c r="F5004" i="11"/>
  <c r="G5004" i="11" s="1"/>
  <c r="H5003" i="11"/>
  <c r="G5003" i="11"/>
  <c r="I5003" i="11" s="1"/>
  <c r="F5003" i="11"/>
  <c r="G5002" i="11"/>
  <c r="F5002" i="11"/>
  <c r="F5001" i="11"/>
  <c r="G5001" i="11" s="1"/>
  <c r="F5000" i="11"/>
  <c r="G5000" i="11" s="1"/>
  <c r="H4999" i="11"/>
  <c r="G4999" i="11"/>
  <c r="I4999" i="11" s="1"/>
  <c r="F4999" i="11"/>
  <c r="G4998" i="11"/>
  <c r="F4998" i="11"/>
  <c r="F4997" i="11"/>
  <c r="G4997" i="11" s="1"/>
  <c r="F4996" i="11"/>
  <c r="G4996" i="11" s="1"/>
  <c r="H4995" i="11"/>
  <c r="G4995" i="11"/>
  <c r="I4995" i="11" s="1"/>
  <c r="F4995" i="11"/>
  <c r="G4994" i="11"/>
  <c r="F4994" i="11"/>
  <c r="F4993" i="11"/>
  <c r="G4993" i="11" s="1"/>
  <c r="F4992" i="11"/>
  <c r="G4992" i="11" s="1"/>
  <c r="H4991" i="11"/>
  <c r="G4991" i="11"/>
  <c r="I4991" i="11" s="1"/>
  <c r="F4991" i="11"/>
  <c r="G4990" i="11"/>
  <c r="F4990" i="11"/>
  <c r="F4989" i="11"/>
  <c r="G4989" i="11" s="1"/>
  <c r="F4988" i="11"/>
  <c r="G4988" i="11" s="1"/>
  <c r="H4987" i="11"/>
  <c r="G4987" i="11"/>
  <c r="I4987" i="11" s="1"/>
  <c r="F4987" i="11"/>
  <c r="G4986" i="11"/>
  <c r="F4986" i="11"/>
  <c r="F4985" i="11"/>
  <c r="G4985" i="11" s="1"/>
  <c r="F4984" i="11"/>
  <c r="G4984" i="11" s="1"/>
  <c r="H4983" i="11"/>
  <c r="G4983" i="11"/>
  <c r="I4983" i="11" s="1"/>
  <c r="F4983" i="11"/>
  <c r="G4982" i="11"/>
  <c r="F4982" i="11"/>
  <c r="F4981" i="11"/>
  <c r="G4981" i="11" s="1"/>
  <c r="F4980" i="11"/>
  <c r="G4980" i="11" s="1"/>
  <c r="H4979" i="11"/>
  <c r="G4979" i="11"/>
  <c r="I4979" i="11" s="1"/>
  <c r="F4979" i="11"/>
  <c r="G4978" i="11"/>
  <c r="F4978" i="11"/>
  <c r="F4977" i="11"/>
  <c r="G4977" i="11" s="1"/>
  <c r="F4976" i="11"/>
  <c r="G4976" i="11" s="1"/>
  <c r="H4975" i="11"/>
  <c r="G4975" i="11"/>
  <c r="I4975" i="11" s="1"/>
  <c r="F4975" i="11"/>
  <c r="G4974" i="11"/>
  <c r="F4974" i="11"/>
  <c r="F4973" i="11"/>
  <c r="G4973" i="11" s="1"/>
  <c r="F4972" i="11"/>
  <c r="G4972" i="11" s="1"/>
  <c r="H4971" i="11"/>
  <c r="G4971" i="11"/>
  <c r="I4971" i="11" s="1"/>
  <c r="F4971" i="11"/>
  <c r="G4970" i="11"/>
  <c r="F4970" i="11"/>
  <c r="F4969" i="11"/>
  <c r="G4969" i="11" s="1"/>
  <c r="F4968" i="11"/>
  <c r="G4968" i="11" s="1"/>
  <c r="H4967" i="11"/>
  <c r="G4967" i="11"/>
  <c r="I4967" i="11" s="1"/>
  <c r="F4967" i="11"/>
  <c r="G4966" i="11"/>
  <c r="F4966" i="11"/>
  <c r="F4965" i="11"/>
  <c r="G4965" i="11" s="1"/>
  <c r="F4964" i="11"/>
  <c r="G4964" i="11" s="1"/>
  <c r="H4963" i="11"/>
  <c r="G4963" i="11"/>
  <c r="I4963" i="11" s="1"/>
  <c r="F4963" i="11"/>
  <c r="G4962" i="11"/>
  <c r="F4962" i="11"/>
  <c r="F4961" i="11"/>
  <c r="G4961" i="11" s="1"/>
  <c r="F4960" i="11"/>
  <c r="G4960" i="11" s="1"/>
  <c r="H4959" i="11"/>
  <c r="G4959" i="11"/>
  <c r="I4959" i="11" s="1"/>
  <c r="F4959" i="11"/>
  <c r="G4958" i="11"/>
  <c r="F4958" i="11"/>
  <c r="F4957" i="11"/>
  <c r="G4957" i="11" s="1"/>
  <c r="F4956" i="11"/>
  <c r="G4956" i="11" s="1"/>
  <c r="H4955" i="11"/>
  <c r="G4955" i="11"/>
  <c r="I4955" i="11" s="1"/>
  <c r="F4955" i="11"/>
  <c r="G4954" i="11"/>
  <c r="F4954" i="11"/>
  <c r="F4953" i="11"/>
  <c r="G4953" i="11" s="1"/>
  <c r="F4952" i="11"/>
  <c r="G4952" i="11" s="1"/>
  <c r="H4951" i="11"/>
  <c r="G4951" i="11"/>
  <c r="I4951" i="11" s="1"/>
  <c r="F4951" i="11"/>
  <c r="G4950" i="11"/>
  <c r="F4950" i="11"/>
  <c r="F4949" i="11"/>
  <c r="G4949" i="11" s="1"/>
  <c r="F4948" i="11"/>
  <c r="G4948" i="11" s="1"/>
  <c r="H4947" i="11"/>
  <c r="G4947" i="11"/>
  <c r="I4947" i="11" s="1"/>
  <c r="F4947" i="11"/>
  <c r="G4946" i="11"/>
  <c r="F4946" i="11"/>
  <c r="F4945" i="11"/>
  <c r="G4945" i="11" s="1"/>
  <c r="F4944" i="11"/>
  <c r="G4944" i="11" s="1"/>
  <c r="H4943" i="11"/>
  <c r="G4943" i="11"/>
  <c r="I4943" i="11" s="1"/>
  <c r="F4943" i="11"/>
  <c r="G4942" i="11"/>
  <c r="F4942" i="11"/>
  <c r="F4941" i="11"/>
  <c r="G4941" i="11" s="1"/>
  <c r="F4940" i="11"/>
  <c r="G4940" i="11" s="1"/>
  <c r="H4939" i="11"/>
  <c r="G4939" i="11"/>
  <c r="I4939" i="11" s="1"/>
  <c r="F4939" i="11"/>
  <c r="G4938" i="11"/>
  <c r="F4938" i="11"/>
  <c r="F4937" i="11"/>
  <c r="G4937" i="11" s="1"/>
  <c r="F4936" i="11"/>
  <c r="G4936" i="11" s="1"/>
  <c r="H4935" i="11"/>
  <c r="G4935" i="11"/>
  <c r="I4935" i="11" s="1"/>
  <c r="F4935" i="11"/>
  <c r="G4934" i="11"/>
  <c r="F4934" i="11"/>
  <c r="F4933" i="11"/>
  <c r="G4933" i="11" s="1"/>
  <c r="F4932" i="11"/>
  <c r="G4932" i="11" s="1"/>
  <c r="H4931" i="11"/>
  <c r="G4931" i="11"/>
  <c r="I4931" i="11" s="1"/>
  <c r="F4931" i="11"/>
  <c r="G4930" i="11"/>
  <c r="F4930" i="11"/>
  <c r="F4929" i="11"/>
  <c r="G4929" i="11" s="1"/>
  <c r="F4928" i="11"/>
  <c r="G4928" i="11" s="1"/>
  <c r="H4927" i="11"/>
  <c r="G4927" i="11"/>
  <c r="I4927" i="11" s="1"/>
  <c r="F4927" i="11"/>
  <c r="G4926" i="11"/>
  <c r="F4926" i="11"/>
  <c r="F4925" i="11"/>
  <c r="G4925" i="11" s="1"/>
  <c r="F4924" i="11"/>
  <c r="G4924" i="11" s="1"/>
  <c r="H4923" i="11"/>
  <c r="G4923" i="11"/>
  <c r="I4923" i="11" s="1"/>
  <c r="F4923" i="11"/>
  <c r="G4922" i="11"/>
  <c r="F4922" i="11"/>
  <c r="F4921" i="11"/>
  <c r="G4921" i="11" s="1"/>
  <c r="F4920" i="11"/>
  <c r="G4920" i="11" s="1"/>
  <c r="H4919" i="11"/>
  <c r="G4919" i="11"/>
  <c r="I4919" i="11" s="1"/>
  <c r="F4919" i="11"/>
  <c r="G4918" i="11"/>
  <c r="F4918" i="11"/>
  <c r="F4917" i="11"/>
  <c r="G4917" i="11" s="1"/>
  <c r="F4916" i="11"/>
  <c r="G4916" i="11" s="1"/>
  <c r="H4915" i="11"/>
  <c r="G4915" i="11"/>
  <c r="I4915" i="11" s="1"/>
  <c r="F4915" i="11"/>
  <c r="G4914" i="11"/>
  <c r="F4914" i="11"/>
  <c r="F4913" i="11"/>
  <c r="G4913" i="11" s="1"/>
  <c r="F4912" i="11"/>
  <c r="G4912" i="11" s="1"/>
  <c r="H4911" i="11"/>
  <c r="G4911" i="11"/>
  <c r="I4911" i="11" s="1"/>
  <c r="F4911" i="11"/>
  <c r="G4910" i="11"/>
  <c r="F4910" i="11"/>
  <c r="F4909" i="11"/>
  <c r="G4909" i="11" s="1"/>
  <c r="F4908" i="11"/>
  <c r="G4908" i="11" s="1"/>
  <c r="H4907" i="11"/>
  <c r="G4907" i="11"/>
  <c r="I4907" i="11" s="1"/>
  <c r="F4907" i="11"/>
  <c r="G4906" i="11"/>
  <c r="F4906" i="11"/>
  <c r="F4905" i="11"/>
  <c r="G4905" i="11" s="1"/>
  <c r="F4904" i="11"/>
  <c r="G4904" i="11" s="1"/>
  <c r="H4903" i="11"/>
  <c r="G4903" i="11"/>
  <c r="I4903" i="11" s="1"/>
  <c r="F4903" i="11"/>
  <c r="G4902" i="11"/>
  <c r="F4902" i="11"/>
  <c r="F4901" i="11"/>
  <c r="G4901" i="11" s="1"/>
  <c r="F4900" i="11"/>
  <c r="G4900" i="11" s="1"/>
  <c r="H4899" i="11"/>
  <c r="G4899" i="11"/>
  <c r="I4899" i="11" s="1"/>
  <c r="F4899" i="11"/>
  <c r="G4898" i="11"/>
  <c r="F4898" i="11"/>
  <c r="F4897" i="11"/>
  <c r="G4897" i="11" s="1"/>
  <c r="F4896" i="11"/>
  <c r="G4896" i="11" s="1"/>
  <c r="H4895" i="11"/>
  <c r="G4895" i="11"/>
  <c r="I4895" i="11" s="1"/>
  <c r="F4895" i="11"/>
  <c r="G4894" i="11"/>
  <c r="F4894" i="11"/>
  <c r="F4893" i="11"/>
  <c r="G4893" i="11" s="1"/>
  <c r="F4892" i="11"/>
  <c r="G4892" i="11" s="1"/>
  <c r="H4891" i="11"/>
  <c r="G4891" i="11"/>
  <c r="I4891" i="11" s="1"/>
  <c r="F4891" i="11"/>
  <c r="G4890" i="11"/>
  <c r="F4890" i="11"/>
  <c r="F4889" i="11"/>
  <c r="G4889" i="11" s="1"/>
  <c r="F4888" i="11"/>
  <c r="G4888" i="11" s="1"/>
  <c r="H4887" i="11"/>
  <c r="G4887" i="11"/>
  <c r="I4887" i="11" s="1"/>
  <c r="F4887" i="11"/>
  <c r="G4886" i="11"/>
  <c r="F4886" i="11"/>
  <c r="F4885" i="11"/>
  <c r="G4885" i="11" s="1"/>
  <c r="F4884" i="11"/>
  <c r="G4884" i="11" s="1"/>
  <c r="H4883" i="11"/>
  <c r="G4883" i="11"/>
  <c r="I4883" i="11" s="1"/>
  <c r="F4883" i="11"/>
  <c r="G4882" i="11"/>
  <c r="F4882" i="11"/>
  <c r="F4881" i="11"/>
  <c r="G4881" i="11" s="1"/>
  <c r="F4880" i="11"/>
  <c r="G4880" i="11" s="1"/>
  <c r="H4879" i="11"/>
  <c r="G4879" i="11"/>
  <c r="I4879" i="11" s="1"/>
  <c r="F4879" i="11"/>
  <c r="G4878" i="11"/>
  <c r="F4878" i="11"/>
  <c r="F4877" i="11"/>
  <c r="G4877" i="11" s="1"/>
  <c r="F4876" i="11"/>
  <c r="G4876" i="11" s="1"/>
  <c r="H4875" i="11"/>
  <c r="G4875" i="11"/>
  <c r="I4875" i="11" s="1"/>
  <c r="F4875" i="11"/>
  <c r="G4874" i="11"/>
  <c r="F4874" i="11"/>
  <c r="F4873" i="11"/>
  <c r="G4873" i="11" s="1"/>
  <c r="F4872" i="11"/>
  <c r="G4872" i="11" s="1"/>
  <c r="H4871" i="11"/>
  <c r="G4871" i="11"/>
  <c r="I4871" i="11" s="1"/>
  <c r="F4871" i="11"/>
  <c r="G4870" i="11"/>
  <c r="F4870" i="11"/>
  <c r="F4869" i="11"/>
  <c r="G4869" i="11" s="1"/>
  <c r="F4868" i="11"/>
  <c r="G4868" i="11" s="1"/>
  <c r="H4867" i="11"/>
  <c r="G4867" i="11"/>
  <c r="I4867" i="11" s="1"/>
  <c r="F4867" i="11"/>
  <c r="G4866" i="11"/>
  <c r="F4866" i="11"/>
  <c r="F4865" i="11"/>
  <c r="G4865" i="11" s="1"/>
  <c r="F4864" i="11"/>
  <c r="G4864" i="11" s="1"/>
  <c r="H4863" i="11"/>
  <c r="G4863" i="11"/>
  <c r="I4863" i="11" s="1"/>
  <c r="F4863" i="11"/>
  <c r="G4862" i="11"/>
  <c r="F4862" i="11"/>
  <c r="F4861" i="11"/>
  <c r="G4861" i="11" s="1"/>
  <c r="F4860" i="11"/>
  <c r="G4860" i="11" s="1"/>
  <c r="H4859" i="11"/>
  <c r="G4859" i="11"/>
  <c r="I4859" i="11" s="1"/>
  <c r="F4859" i="11"/>
  <c r="G4858" i="11"/>
  <c r="F4858" i="11"/>
  <c r="F4857" i="11"/>
  <c r="G4857" i="11" s="1"/>
  <c r="F4856" i="11"/>
  <c r="G4856" i="11" s="1"/>
  <c r="H4855" i="11"/>
  <c r="G4855" i="11"/>
  <c r="I4855" i="11" s="1"/>
  <c r="F4855" i="11"/>
  <c r="G4854" i="11"/>
  <c r="F4854" i="11"/>
  <c r="F4853" i="11"/>
  <c r="G4853" i="11" s="1"/>
  <c r="F4852" i="11"/>
  <c r="G4852" i="11" s="1"/>
  <c r="H4851" i="11"/>
  <c r="G4851" i="11"/>
  <c r="I4851" i="11" s="1"/>
  <c r="F4851" i="11"/>
  <c r="G4850" i="11"/>
  <c r="F4850" i="11"/>
  <c r="F4849" i="11"/>
  <c r="G4849" i="11" s="1"/>
  <c r="F4848" i="11"/>
  <c r="G4848" i="11" s="1"/>
  <c r="H4847" i="11"/>
  <c r="G4847" i="11"/>
  <c r="I4847" i="11" s="1"/>
  <c r="F4847" i="11"/>
  <c r="G4846" i="11"/>
  <c r="F4846" i="11"/>
  <c r="F4845" i="11"/>
  <c r="G4845" i="11" s="1"/>
  <c r="F4844" i="11"/>
  <c r="G4844" i="11" s="1"/>
  <c r="H4843" i="11"/>
  <c r="G4843" i="11"/>
  <c r="I4843" i="11" s="1"/>
  <c r="F4843" i="11"/>
  <c r="G4842" i="11"/>
  <c r="F4842" i="11"/>
  <c r="F4841" i="11"/>
  <c r="G4841" i="11" s="1"/>
  <c r="F4840" i="11"/>
  <c r="G4840" i="11" s="1"/>
  <c r="H4839" i="11"/>
  <c r="G4839" i="11"/>
  <c r="I4839" i="11" s="1"/>
  <c r="F4839" i="11"/>
  <c r="G4838" i="11"/>
  <c r="F4838" i="11"/>
  <c r="F4837" i="11"/>
  <c r="G4837" i="11" s="1"/>
  <c r="F4836" i="11"/>
  <c r="G4836" i="11" s="1"/>
  <c r="H4835" i="11"/>
  <c r="G4835" i="11"/>
  <c r="I4835" i="11" s="1"/>
  <c r="F4835" i="11"/>
  <c r="G4834" i="11"/>
  <c r="F4834" i="11"/>
  <c r="F4833" i="11"/>
  <c r="G4833" i="11" s="1"/>
  <c r="F4832" i="11"/>
  <c r="G4832" i="11" s="1"/>
  <c r="H4831" i="11"/>
  <c r="G4831" i="11"/>
  <c r="I4831" i="11" s="1"/>
  <c r="F4831" i="11"/>
  <c r="G4830" i="11"/>
  <c r="F4830" i="11"/>
  <c r="F4829" i="11"/>
  <c r="G4829" i="11" s="1"/>
  <c r="F4828" i="11"/>
  <c r="G4828" i="11" s="1"/>
  <c r="H4827" i="11"/>
  <c r="G4827" i="11"/>
  <c r="I4827" i="11" s="1"/>
  <c r="F4827" i="11"/>
  <c r="G4826" i="11"/>
  <c r="F4826" i="11"/>
  <c r="F4825" i="11"/>
  <c r="G4825" i="11" s="1"/>
  <c r="F4824" i="11"/>
  <c r="G4824" i="11" s="1"/>
  <c r="H4823" i="11"/>
  <c r="G4823" i="11"/>
  <c r="I4823" i="11" s="1"/>
  <c r="F4823" i="11"/>
  <c r="G4822" i="11"/>
  <c r="F4822" i="11"/>
  <c r="F4821" i="11"/>
  <c r="G4821" i="11" s="1"/>
  <c r="F4820" i="11"/>
  <c r="G4820" i="11" s="1"/>
  <c r="H4819" i="11"/>
  <c r="G4819" i="11"/>
  <c r="I4819" i="11" s="1"/>
  <c r="F4819" i="11"/>
  <c r="G4818" i="11"/>
  <c r="F4818" i="11"/>
  <c r="F4817" i="11"/>
  <c r="G4817" i="11" s="1"/>
  <c r="F4816" i="11"/>
  <c r="G4816" i="11" s="1"/>
  <c r="H4815" i="11"/>
  <c r="G4815" i="11"/>
  <c r="I4815" i="11" s="1"/>
  <c r="F4815" i="11"/>
  <c r="G4814" i="11"/>
  <c r="F4814" i="11"/>
  <c r="F4813" i="11"/>
  <c r="G4813" i="11" s="1"/>
  <c r="F4812" i="11"/>
  <c r="G4812" i="11" s="1"/>
  <c r="H4811" i="11"/>
  <c r="G4811" i="11"/>
  <c r="I4811" i="11" s="1"/>
  <c r="F4811" i="11"/>
  <c r="G4810" i="11"/>
  <c r="F4810" i="11"/>
  <c r="F4809" i="11"/>
  <c r="G4809" i="11" s="1"/>
  <c r="F4808" i="11"/>
  <c r="G4808" i="11" s="1"/>
  <c r="H4807" i="11"/>
  <c r="G4807" i="11"/>
  <c r="I4807" i="11" s="1"/>
  <c r="F4807" i="11"/>
  <c r="G4806" i="11"/>
  <c r="F4806" i="11"/>
  <c r="F4805" i="11"/>
  <c r="G4805" i="11" s="1"/>
  <c r="F4804" i="11"/>
  <c r="G4804" i="11" s="1"/>
  <c r="H4803" i="11"/>
  <c r="G4803" i="11"/>
  <c r="I4803" i="11" s="1"/>
  <c r="F4803" i="11"/>
  <c r="G4802" i="11"/>
  <c r="F4802" i="11"/>
  <c r="F4801" i="11"/>
  <c r="G4801" i="11" s="1"/>
  <c r="F4800" i="11"/>
  <c r="G4800" i="11" s="1"/>
  <c r="H4799" i="11"/>
  <c r="G4799" i="11"/>
  <c r="I4799" i="11" s="1"/>
  <c r="F4799" i="11"/>
  <c r="G4798" i="11"/>
  <c r="F4798" i="11"/>
  <c r="F4797" i="11"/>
  <c r="G4797" i="11" s="1"/>
  <c r="F4796" i="11"/>
  <c r="G4796" i="11" s="1"/>
  <c r="H4795" i="11"/>
  <c r="G4795" i="11"/>
  <c r="I4795" i="11" s="1"/>
  <c r="F4795" i="11"/>
  <c r="G4794" i="11"/>
  <c r="F4794" i="11"/>
  <c r="F4793" i="11"/>
  <c r="G4793" i="11" s="1"/>
  <c r="F4792" i="11"/>
  <c r="G4792" i="11" s="1"/>
  <c r="H4791" i="11"/>
  <c r="G4791" i="11"/>
  <c r="I4791" i="11" s="1"/>
  <c r="F4791" i="11"/>
  <c r="G4790" i="11"/>
  <c r="F4790" i="11"/>
  <c r="F4789" i="11"/>
  <c r="G4789" i="11" s="1"/>
  <c r="F4788" i="11"/>
  <c r="G4788" i="11" s="1"/>
  <c r="H4787" i="11"/>
  <c r="G4787" i="11"/>
  <c r="I4787" i="11" s="1"/>
  <c r="F4787" i="11"/>
  <c r="G4786" i="11"/>
  <c r="F4786" i="11"/>
  <c r="F4785" i="11"/>
  <c r="G4785" i="11" s="1"/>
  <c r="F4784" i="11"/>
  <c r="G4784" i="11" s="1"/>
  <c r="H4783" i="11"/>
  <c r="G4783" i="11"/>
  <c r="I4783" i="11" s="1"/>
  <c r="F4783" i="11"/>
  <c r="G4782" i="11"/>
  <c r="F4782" i="11"/>
  <c r="F4781" i="11"/>
  <c r="G4781" i="11" s="1"/>
  <c r="F4780" i="11"/>
  <c r="G4780" i="11" s="1"/>
  <c r="H4779" i="11"/>
  <c r="G4779" i="11"/>
  <c r="I4779" i="11" s="1"/>
  <c r="F4779" i="11"/>
  <c r="G4778" i="11"/>
  <c r="F4778" i="11"/>
  <c r="F4777" i="11"/>
  <c r="G4777" i="11" s="1"/>
  <c r="F4776" i="11"/>
  <c r="G4776" i="11" s="1"/>
  <c r="H4775" i="11"/>
  <c r="G4775" i="11"/>
  <c r="I4775" i="11" s="1"/>
  <c r="F4775" i="11"/>
  <c r="G4774" i="11"/>
  <c r="F4774" i="11"/>
  <c r="F4773" i="11"/>
  <c r="G4773" i="11" s="1"/>
  <c r="F4772" i="11"/>
  <c r="G4772" i="11" s="1"/>
  <c r="H4771" i="11"/>
  <c r="G4771" i="11"/>
  <c r="I4771" i="11" s="1"/>
  <c r="F4771" i="11"/>
  <c r="G4770" i="11"/>
  <c r="F4770" i="11"/>
  <c r="F4769" i="11"/>
  <c r="G4769" i="11" s="1"/>
  <c r="F4768" i="11"/>
  <c r="G4768" i="11" s="1"/>
  <c r="H4767" i="11"/>
  <c r="G4767" i="11"/>
  <c r="I4767" i="11" s="1"/>
  <c r="F4767" i="11"/>
  <c r="G4766" i="11"/>
  <c r="F4766" i="11"/>
  <c r="F4765" i="11"/>
  <c r="G4765" i="11" s="1"/>
  <c r="F4764" i="11"/>
  <c r="G4764" i="11" s="1"/>
  <c r="H4763" i="11"/>
  <c r="G4763" i="11"/>
  <c r="I4763" i="11" s="1"/>
  <c r="F4763" i="11"/>
  <c r="G4762" i="11"/>
  <c r="F4762" i="11"/>
  <c r="F4761" i="11"/>
  <c r="G4761" i="11" s="1"/>
  <c r="F4760" i="11"/>
  <c r="G4760" i="11" s="1"/>
  <c r="H4759" i="11"/>
  <c r="G4759" i="11"/>
  <c r="I4759" i="11" s="1"/>
  <c r="F4759" i="11"/>
  <c r="G4758" i="11"/>
  <c r="F4758" i="11"/>
  <c r="F4757" i="11"/>
  <c r="G4757" i="11" s="1"/>
  <c r="F4756" i="11"/>
  <c r="G4756" i="11" s="1"/>
  <c r="H4755" i="11"/>
  <c r="G4755" i="11"/>
  <c r="I4755" i="11" s="1"/>
  <c r="F4755" i="11"/>
  <c r="G4754" i="11"/>
  <c r="F4754" i="11"/>
  <c r="F4753" i="11"/>
  <c r="G4753" i="11" s="1"/>
  <c r="F4752" i="11"/>
  <c r="G4752" i="11" s="1"/>
  <c r="H4751" i="11"/>
  <c r="G4751" i="11"/>
  <c r="I4751" i="11" s="1"/>
  <c r="F4751" i="11"/>
  <c r="G4750" i="11"/>
  <c r="F4750" i="11"/>
  <c r="F4749" i="11"/>
  <c r="G4749" i="11" s="1"/>
  <c r="F4748" i="11"/>
  <c r="G4748" i="11" s="1"/>
  <c r="H4747" i="11"/>
  <c r="G4747" i="11"/>
  <c r="I4747" i="11" s="1"/>
  <c r="F4747" i="11"/>
  <c r="G4746" i="11"/>
  <c r="F4746" i="11"/>
  <c r="F4745" i="11"/>
  <c r="G4745" i="11" s="1"/>
  <c r="F4744" i="11"/>
  <c r="G4744" i="11" s="1"/>
  <c r="H4743" i="11"/>
  <c r="G4743" i="11"/>
  <c r="I4743" i="11" s="1"/>
  <c r="F4743" i="11"/>
  <c r="G4742" i="11"/>
  <c r="F4742" i="11"/>
  <c r="F4741" i="11"/>
  <c r="G4741" i="11" s="1"/>
  <c r="F4740" i="11"/>
  <c r="G4740" i="11" s="1"/>
  <c r="H4739" i="11"/>
  <c r="G4739" i="11"/>
  <c r="I4739" i="11" s="1"/>
  <c r="F4739" i="11"/>
  <c r="G4738" i="11"/>
  <c r="F4738" i="11"/>
  <c r="F4737" i="11"/>
  <c r="G4737" i="11" s="1"/>
  <c r="F4736" i="11"/>
  <c r="G4736" i="11" s="1"/>
  <c r="H4735" i="11"/>
  <c r="G4735" i="11"/>
  <c r="I4735" i="11" s="1"/>
  <c r="F4735" i="11"/>
  <c r="G4734" i="11"/>
  <c r="F4734" i="11"/>
  <c r="F4733" i="11"/>
  <c r="G4733" i="11" s="1"/>
  <c r="F4732" i="11"/>
  <c r="G4732" i="11" s="1"/>
  <c r="H4731" i="11"/>
  <c r="G4731" i="11"/>
  <c r="I4731" i="11" s="1"/>
  <c r="F4731" i="11"/>
  <c r="G4730" i="11"/>
  <c r="F4730" i="11"/>
  <c r="F4729" i="11"/>
  <c r="G4729" i="11" s="1"/>
  <c r="F4728" i="11"/>
  <c r="G4728" i="11" s="1"/>
  <c r="H4727" i="11"/>
  <c r="G4727" i="11"/>
  <c r="I4727" i="11" s="1"/>
  <c r="F4727" i="11"/>
  <c r="G4726" i="11"/>
  <c r="F4726" i="11"/>
  <c r="F4725" i="11"/>
  <c r="G4725" i="11" s="1"/>
  <c r="F4724" i="11"/>
  <c r="G4724" i="11" s="1"/>
  <c r="H4723" i="11"/>
  <c r="G4723" i="11"/>
  <c r="I4723" i="11" s="1"/>
  <c r="F4723" i="11"/>
  <c r="G4722" i="11"/>
  <c r="F4722" i="11"/>
  <c r="F4721" i="11"/>
  <c r="G4721" i="11" s="1"/>
  <c r="F4720" i="11"/>
  <c r="G4720" i="11" s="1"/>
  <c r="H4719" i="11"/>
  <c r="G4719" i="11"/>
  <c r="I4719" i="11" s="1"/>
  <c r="F4719" i="11"/>
  <c r="G4718" i="11"/>
  <c r="F4718" i="11"/>
  <c r="F4717" i="11"/>
  <c r="G4717" i="11" s="1"/>
  <c r="F4716" i="11"/>
  <c r="G4716" i="11" s="1"/>
  <c r="H4715" i="11"/>
  <c r="G4715" i="11"/>
  <c r="I4715" i="11" s="1"/>
  <c r="F4715" i="11"/>
  <c r="G4714" i="11"/>
  <c r="F4714" i="11"/>
  <c r="F4713" i="11"/>
  <c r="G4713" i="11" s="1"/>
  <c r="F4712" i="11"/>
  <c r="G4712" i="11" s="1"/>
  <c r="H4711" i="11"/>
  <c r="G4711" i="11"/>
  <c r="I4711" i="11" s="1"/>
  <c r="F4711" i="11"/>
  <c r="G4710" i="11"/>
  <c r="F4710" i="11"/>
  <c r="F4709" i="11"/>
  <c r="G4709" i="11" s="1"/>
  <c r="F4708" i="11"/>
  <c r="G4708" i="11" s="1"/>
  <c r="H4707" i="11"/>
  <c r="G4707" i="11"/>
  <c r="I4707" i="11" s="1"/>
  <c r="F4707" i="11"/>
  <c r="G4706" i="11"/>
  <c r="F4706" i="11"/>
  <c r="F4705" i="11"/>
  <c r="G4705" i="11" s="1"/>
  <c r="F4704" i="11"/>
  <c r="G4704" i="11" s="1"/>
  <c r="H4703" i="11"/>
  <c r="G4703" i="11"/>
  <c r="I4703" i="11" s="1"/>
  <c r="F4703" i="11"/>
  <c r="G4702" i="11"/>
  <c r="F4702" i="11"/>
  <c r="F4701" i="11"/>
  <c r="G4701" i="11" s="1"/>
  <c r="F4700" i="11"/>
  <c r="G4700" i="11" s="1"/>
  <c r="H4699" i="11"/>
  <c r="G4699" i="11"/>
  <c r="I4699" i="11" s="1"/>
  <c r="F4699" i="11"/>
  <c r="G4698" i="11"/>
  <c r="F4698" i="11"/>
  <c r="F4697" i="11"/>
  <c r="G4697" i="11" s="1"/>
  <c r="F4696" i="11"/>
  <c r="G4696" i="11" s="1"/>
  <c r="H4695" i="11"/>
  <c r="G4695" i="11"/>
  <c r="I4695" i="11" s="1"/>
  <c r="F4695" i="11"/>
  <c r="G4694" i="11"/>
  <c r="F4694" i="11"/>
  <c r="F4693" i="11"/>
  <c r="G4693" i="11" s="1"/>
  <c r="F4692" i="11"/>
  <c r="G4692" i="11" s="1"/>
  <c r="H4691" i="11"/>
  <c r="G4691" i="11"/>
  <c r="I4691" i="11" s="1"/>
  <c r="F4691" i="11"/>
  <c r="G4690" i="11"/>
  <c r="F4690" i="11"/>
  <c r="F4689" i="11"/>
  <c r="G4689" i="11" s="1"/>
  <c r="F4688" i="11"/>
  <c r="G4688" i="11" s="1"/>
  <c r="H4687" i="11"/>
  <c r="G4687" i="11"/>
  <c r="I4687" i="11" s="1"/>
  <c r="F4687" i="11"/>
  <c r="G4686" i="11"/>
  <c r="F4686" i="11"/>
  <c r="F4685" i="11"/>
  <c r="G4685" i="11" s="1"/>
  <c r="F4684" i="11"/>
  <c r="G4684" i="11" s="1"/>
  <c r="H4683" i="11"/>
  <c r="G4683" i="11"/>
  <c r="I4683" i="11" s="1"/>
  <c r="F4683" i="11"/>
  <c r="G4682" i="11"/>
  <c r="F4682" i="11"/>
  <c r="F4681" i="11"/>
  <c r="G4681" i="11" s="1"/>
  <c r="F4680" i="11"/>
  <c r="G4680" i="11" s="1"/>
  <c r="H4679" i="11"/>
  <c r="G4679" i="11"/>
  <c r="I4679" i="11" s="1"/>
  <c r="F4679" i="11"/>
  <c r="G4678" i="11"/>
  <c r="F4678" i="11"/>
  <c r="F4677" i="11"/>
  <c r="G4677" i="11" s="1"/>
  <c r="F4676" i="11"/>
  <c r="G4676" i="11" s="1"/>
  <c r="H4675" i="11"/>
  <c r="G4675" i="11"/>
  <c r="I4675" i="11" s="1"/>
  <c r="F4675" i="11"/>
  <c r="G4674" i="11"/>
  <c r="F4674" i="11"/>
  <c r="F4673" i="11"/>
  <c r="G4673" i="11" s="1"/>
  <c r="F4672" i="11"/>
  <c r="G4672" i="11" s="1"/>
  <c r="H4671" i="11"/>
  <c r="G4671" i="11"/>
  <c r="I4671" i="11" s="1"/>
  <c r="F4671" i="11"/>
  <c r="G4670" i="11"/>
  <c r="F4670" i="11"/>
  <c r="F4669" i="11"/>
  <c r="G4669" i="11" s="1"/>
  <c r="F4668" i="11"/>
  <c r="G4668" i="11" s="1"/>
  <c r="H4667" i="11"/>
  <c r="G4667" i="11"/>
  <c r="I4667" i="11" s="1"/>
  <c r="F4667" i="11"/>
  <c r="G4666" i="11"/>
  <c r="F4666" i="11"/>
  <c r="F4665" i="11"/>
  <c r="G4665" i="11" s="1"/>
  <c r="F4664" i="11"/>
  <c r="G4664" i="11" s="1"/>
  <c r="H4663" i="11"/>
  <c r="G4663" i="11"/>
  <c r="I4663" i="11" s="1"/>
  <c r="F4663" i="11"/>
  <c r="G4662" i="11"/>
  <c r="F4662" i="11"/>
  <c r="F4661" i="11"/>
  <c r="G4661" i="11" s="1"/>
  <c r="F4660" i="11"/>
  <c r="G4660" i="11" s="1"/>
  <c r="H4659" i="11"/>
  <c r="G4659" i="11"/>
  <c r="I4659" i="11" s="1"/>
  <c r="F4659" i="11"/>
  <c r="G4658" i="11"/>
  <c r="F4658" i="11"/>
  <c r="F4657" i="11"/>
  <c r="G4657" i="11" s="1"/>
  <c r="F4656" i="11"/>
  <c r="G4656" i="11" s="1"/>
  <c r="H4655" i="11"/>
  <c r="G4655" i="11"/>
  <c r="I4655" i="11" s="1"/>
  <c r="F4655" i="11"/>
  <c r="G4654" i="11"/>
  <c r="F4654" i="11"/>
  <c r="F4653" i="11"/>
  <c r="G4653" i="11" s="1"/>
  <c r="F4652" i="11"/>
  <c r="G4652" i="11" s="1"/>
  <c r="H4651" i="11"/>
  <c r="G4651" i="11"/>
  <c r="I4651" i="11" s="1"/>
  <c r="F4651" i="11"/>
  <c r="G4650" i="11"/>
  <c r="F4650" i="11"/>
  <c r="F4649" i="11"/>
  <c r="G4649" i="11" s="1"/>
  <c r="F4648" i="11"/>
  <c r="G4648" i="11" s="1"/>
  <c r="H4647" i="11"/>
  <c r="G4647" i="11"/>
  <c r="I4647" i="11" s="1"/>
  <c r="F4647" i="11"/>
  <c r="G4646" i="11"/>
  <c r="F4646" i="11"/>
  <c r="F4645" i="11"/>
  <c r="G4645" i="11" s="1"/>
  <c r="F4644" i="11"/>
  <c r="G4644" i="11" s="1"/>
  <c r="H4643" i="11"/>
  <c r="G4643" i="11"/>
  <c r="I4643" i="11" s="1"/>
  <c r="F4643" i="11"/>
  <c r="G4642" i="11"/>
  <c r="F4642" i="11"/>
  <c r="F4641" i="11"/>
  <c r="G4641" i="11" s="1"/>
  <c r="F4640" i="11"/>
  <c r="G4640" i="11" s="1"/>
  <c r="H4639" i="11"/>
  <c r="G4639" i="11"/>
  <c r="I4639" i="11" s="1"/>
  <c r="F4639" i="11"/>
  <c r="G4638" i="11"/>
  <c r="F4638" i="11"/>
  <c r="F4637" i="11"/>
  <c r="G4637" i="11" s="1"/>
  <c r="F4636" i="11"/>
  <c r="G4636" i="11" s="1"/>
  <c r="H4635" i="11"/>
  <c r="G4635" i="11"/>
  <c r="I4635" i="11" s="1"/>
  <c r="F4635" i="11"/>
  <c r="G4634" i="11"/>
  <c r="F4634" i="11"/>
  <c r="F4633" i="11"/>
  <c r="G4633" i="11" s="1"/>
  <c r="F4632" i="11"/>
  <c r="G4632" i="11" s="1"/>
  <c r="H4631" i="11"/>
  <c r="G4631" i="11"/>
  <c r="I4631" i="11" s="1"/>
  <c r="F4631" i="11"/>
  <c r="G4630" i="11"/>
  <c r="F4630" i="11"/>
  <c r="F4629" i="11"/>
  <c r="G4629" i="11" s="1"/>
  <c r="F4628" i="11"/>
  <c r="G4628" i="11" s="1"/>
  <c r="H4627" i="11"/>
  <c r="G4627" i="11"/>
  <c r="I4627" i="11" s="1"/>
  <c r="F4627" i="11"/>
  <c r="G4626" i="11"/>
  <c r="F4626" i="11"/>
  <c r="F4625" i="11"/>
  <c r="G4625" i="11" s="1"/>
  <c r="F4624" i="11"/>
  <c r="G4624" i="11" s="1"/>
  <c r="H4623" i="11"/>
  <c r="G4623" i="11"/>
  <c r="I4623" i="11" s="1"/>
  <c r="F4623" i="11"/>
  <c r="G4622" i="11"/>
  <c r="F4622" i="11"/>
  <c r="F4621" i="11"/>
  <c r="G4621" i="11" s="1"/>
  <c r="F4620" i="11"/>
  <c r="G4620" i="11" s="1"/>
  <c r="H4619" i="11"/>
  <c r="G4619" i="11"/>
  <c r="I4619" i="11" s="1"/>
  <c r="F4619" i="11"/>
  <c r="G4618" i="11"/>
  <c r="F4618" i="11"/>
  <c r="F4617" i="11"/>
  <c r="G4617" i="11" s="1"/>
  <c r="F4616" i="11"/>
  <c r="G4616" i="11" s="1"/>
  <c r="H4615" i="11"/>
  <c r="G4615" i="11"/>
  <c r="I4615" i="11" s="1"/>
  <c r="F4615" i="11"/>
  <c r="G4614" i="11"/>
  <c r="F4614" i="11"/>
  <c r="F4613" i="11"/>
  <c r="G4613" i="11" s="1"/>
  <c r="F4612" i="11"/>
  <c r="G4612" i="11" s="1"/>
  <c r="H4611" i="11"/>
  <c r="G4611" i="11"/>
  <c r="I4611" i="11" s="1"/>
  <c r="F4611" i="11"/>
  <c r="G4610" i="11"/>
  <c r="F4610" i="11"/>
  <c r="F4609" i="11"/>
  <c r="G4609" i="11" s="1"/>
  <c r="F4608" i="11"/>
  <c r="G4608" i="11" s="1"/>
  <c r="H4607" i="11"/>
  <c r="G4607" i="11"/>
  <c r="I4607" i="11" s="1"/>
  <c r="F4607" i="11"/>
  <c r="G4606" i="11"/>
  <c r="F4606" i="11"/>
  <c r="F4605" i="11"/>
  <c r="G4605" i="11" s="1"/>
  <c r="F4604" i="11"/>
  <c r="G4604" i="11" s="1"/>
  <c r="H4603" i="11"/>
  <c r="G4603" i="11"/>
  <c r="I4603" i="11" s="1"/>
  <c r="F4603" i="11"/>
  <c r="G4602" i="11"/>
  <c r="F4602" i="11"/>
  <c r="F4601" i="11"/>
  <c r="G4601" i="11" s="1"/>
  <c r="F4600" i="11"/>
  <c r="G4600" i="11" s="1"/>
  <c r="H4599" i="11"/>
  <c r="G4599" i="11"/>
  <c r="I4599" i="11" s="1"/>
  <c r="F4599" i="11"/>
  <c r="G4598" i="11"/>
  <c r="F4598" i="11"/>
  <c r="F4597" i="11"/>
  <c r="G4597" i="11" s="1"/>
  <c r="F4596" i="11"/>
  <c r="G4596" i="11" s="1"/>
  <c r="H4595" i="11"/>
  <c r="G4595" i="11"/>
  <c r="I4595" i="11" s="1"/>
  <c r="F4595" i="11"/>
  <c r="G4594" i="11"/>
  <c r="F4594" i="11"/>
  <c r="F4593" i="11"/>
  <c r="G4593" i="11" s="1"/>
  <c r="F4592" i="11"/>
  <c r="G4592" i="11" s="1"/>
  <c r="H4591" i="11"/>
  <c r="G4591" i="11"/>
  <c r="I4591" i="11" s="1"/>
  <c r="F4591" i="11"/>
  <c r="G4590" i="11"/>
  <c r="F4590" i="11"/>
  <c r="F4589" i="11"/>
  <c r="G4589" i="11" s="1"/>
  <c r="F4588" i="11"/>
  <c r="G4588" i="11" s="1"/>
  <c r="H4587" i="11"/>
  <c r="G4587" i="11"/>
  <c r="I4587" i="11" s="1"/>
  <c r="F4587" i="11"/>
  <c r="G4586" i="11"/>
  <c r="F4586" i="11"/>
  <c r="F4585" i="11"/>
  <c r="G4585" i="11" s="1"/>
  <c r="F4584" i="11"/>
  <c r="G4584" i="11" s="1"/>
  <c r="H4583" i="11"/>
  <c r="G4583" i="11"/>
  <c r="I4583" i="11" s="1"/>
  <c r="F4583" i="11"/>
  <c r="G4582" i="11"/>
  <c r="F4582" i="11"/>
  <c r="F4581" i="11"/>
  <c r="G4581" i="11" s="1"/>
  <c r="F4580" i="11"/>
  <c r="G4580" i="11" s="1"/>
  <c r="H4579" i="11"/>
  <c r="G4579" i="11"/>
  <c r="I4579" i="11" s="1"/>
  <c r="F4579" i="11"/>
  <c r="G4578" i="11"/>
  <c r="F4578" i="11"/>
  <c r="F4577" i="11"/>
  <c r="G4577" i="11" s="1"/>
  <c r="F4576" i="11"/>
  <c r="G4576" i="11" s="1"/>
  <c r="H4575" i="11"/>
  <c r="G4575" i="11"/>
  <c r="I4575" i="11" s="1"/>
  <c r="F4575" i="11"/>
  <c r="G4574" i="11"/>
  <c r="F4574" i="11"/>
  <c r="F4573" i="11"/>
  <c r="G4573" i="11" s="1"/>
  <c r="F4572" i="11"/>
  <c r="G4572" i="11" s="1"/>
  <c r="H4571" i="11"/>
  <c r="G4571" i="11"/>
  <c r="I4571" i="11" s="1"/>
  <c r="F4571" i="11"/>
  <c r="G4570" i="11"/>
  <c r="F4570" i="11"/>
  <c r="F4569" i="11"/>
  <c r="G4569" i="11" s="1"/>
  <c r="F4568" i="11"/>
  <c r="G4568" i="11" s="1"/>
  <c r="H4567" i="11"/>
  <c r="G4567" i="11"/>
  <c r="I4567" i="11" s="1"/>
  <c r="F4567" i="11"/>
  <c r="G4566" i="11"/>
  <c r="F4566" i="11"/>
  <c r="F4565" i="11"/>
  <c r="G4565" i="11" s="1"/>
  <c r="F4564" i="11"/>
  <c r="G4564" i="11" s="1"/>
  <c r="H4563" i="11"/>
  <c r="G4563" i="11"/>
  <c r="I4563" i="11" s="1"/>
  <c r="F4563" i="11"/>
  <c r="G4562" i="11"/>
  <c r="F4562" i="11"/>
  <c r="F4561" i="11"/>
  <c r="G4561" i="11" s="1"/>
  <c r="F4560" i="11"/>
  <c r="G4560" i="11" s="1"/>
  <c r="H4559" i="11"/>
  <c r="G4559" i="11"/>
  <c r="I4559" i="11" s="1"/>
  <c r="F4559" i="11"/>
  <c r="G4558" i="11"/>
  <c r="F4558" i="11"/>
  <c r="F4557" i="11"/>
  <c r="G4557" i="11" s="1"/>
  <c r="F4556" i="11"/>
  <c r="G4556" i="11" s="1"/>
  <c r="H4555" i="11"/>
  <c r="G4555" i="11"/>
  <c r="I4555" i="11" s="1"/>
  <c r="F4555" i="11"/>
  <c r="G4554" i="11"/>
  <c r="F4554" i="11"/>
  <c r="F4553" i="11"/>
  <c r="G4553" i="11" s="1"/>
  <c r="F4552" i="11"/>
  <c r="G4552" i="11" s="1"/>
  <c r="H4551" i="11"/>
  <c r="G4551" i="11"/>
  <c r="I4551" i="11" s="1"/>
  <c r="F4551" i="11"/>
  <c r="G4550" i="11"/>
  <c r="F4550" i="11"/>
  <c r="F4549" i="11"/>
  <c r="G4549" i="11" s="1"/>
  <c r="F4548" i="11"/>
  <c r="G4548" i="11" s="1"/>
  <c r="H4547" i="11"/>
  <c r="G4547" i="11"/>
  <c r="I4547" i="11" s="1"/>
  <c r="F4547" i="11"/>
  <c r="G4546" i="11"/>
  <c r="F4546" i="11"/>
  <c r="F4545" i="11"/>
  <c r="G4545" i="11" s="1"/>
  <c r="F4544" i="11"/>
  <c r="G4544" i="11" s="1"/>
  <c r="H4543" i="11"/>
  <c r="G4543" i="11"/>
  <c r="I4543" i="11" s="1"/>
  <c r="F4543" i="11"/>
  <c r="G4542" i="11"/>
  <c r="F4542" i="11"/>
  <c r="F4541" i="11"/>
  <c r="G4541" i="11" s="1"/>
  <c r="F4540" i="11"/>
  <c r="G4540" i="11" s="1"/>
  <c r="H4539" i="11"/>
  <c r="G4539" i="11"/>
  <c r="I4539" i="11" s="1"/>
  <c r="F4539" i="11"/>
  <c r="G4538" i="11"/>
  <c r="F4538" i="11"/>
  <c r="F4537" i="11"/>
  <c r="G4537" i="11" s="1"/>
  <c r="F4536" i="11"/>
  <c r="G4536" i="11" s="1"/>
  <c r="H4535" i="11"/>
  <c r="G4535" i="11"/>
  <c r="I4535" i="11" s="1"/>
  <c r="F4535" i="11"/>
  <c r="G4534" i="11"/>
  <c r="F4534" i="11"/>
  <c r="F4533" i="11"/>
  <c r="G4533" i="11" s="1"/>
  <c r="F4532" i="11"/>
  <c r="G4532" i="11" s="1"/>
  <c r="H4531" i="11"/>
  <c r="G4531" i="11"/>
  <c r="I4531" i="11" s="1"/>
  <c r="F4531" i="11"/>
  <c r="G4530" i="11"/>
  <c r="F4530" i="11"/>
  <c r="F4529" i="11"/>
  <c r="G4529" i="11" s="1"/>
  <c r="F4528" i="11"/>
  <c r="G4528" i="11" s="1"/>
  <c r="H4527" i="11"/>
  <c r="G4527" i="11"/>
  <c r="I4527" i="11" s="1"/>
  <c r="F4527" i="11"/>
  <c r="G4526" i="11"/>
  <c r="F4526" i="11"/>
  <c r="F4525" i="11"/>
  <c r="G4525" i="11" s="1"/>
  <c r="F4524" i="11"/>
  <c r="G4524" i="11" s="1"/>
  <c r="H4523" i="11"/>
  <c r="G4523" i="11"/>
  <c r="I4523" i="11" s="1"/>
  <c r="F4523" i="11"/>
  <c r="G4522" i="11"/>
  <c r="F4522" i="11"/>
  <c r="F4521" i="11"/>
  <c r="G4521" i="11" s="1"/>
  <c r="F4520" i="11"/>
  <c r="G4520" i="11" s="1"/>
  <c r="H4519" i="11"/>
  <c r="G4519" i="11"/>
  <c r="I4519" i="11" s="1"/>
  <c r="F4519" i="11"/>
  <c r="G4518" i="11"/>
  <c r="F4518" i="11"/>
  <c r="F4517" i="11"/>
  <c r="G4517" i="11" s="1"/>
  <c r="F4516" i="11"/>
  <c r="G4516" i="11" s="1"/>
  <c r="H4515" i="11"/>
  <c r="G4515" i="11"/>
  <c r="I4515" i="11" s="1"/>
  <c r="F4515" i="11"/>
  <c r="G4514" i="11"/>
  <c r="F4514" i="11"/>
  <c r="F4513" i="11"/>
  <c r="G4513" i="11" s="1"/>
  <c r="F4512" i="11"/>
  <c r="G4512" i="11" s="1"/>
  <c r="H4511" i="11"/>
  <c r="G4511" i="11"/>
  <c r="I4511" i="11" s="1"/>
  <c r="F4511" i="11"/>
  <c r="G4510" i="11"/>
  <c r="F4510" i="11"/>
  <c r="F4509" i="11"/>
  <c r="G4509" i="11" s="1"/>
  <c r="F4508" i="11"/>
  <c r="G4508" i="11" s="1"/>
  <c r="H4507" i="11"/>
  <c r="G4507" i="11"/>
  <c r="I4507" i="11" s="1"/>
  <c r="F4507" i="11"/>
  <c r="G4506" i="11"/>
  <c r="F4506" i="11"/>
  <c r="F4505" i="11"/>
  <c r="G4505" i="11" s="1"/>
  <c r="F4504" i="11"/>
  <c r="G4504" i="11" s="1"/>
  <c r="H4503" i="11"/>
  <c r="G4503" i="11"/>
  <c r="I4503" i="11" s="1"/>
  <c r="F4503" i="11"/>
  <c r="G4502" i="11"/>
  <c r="F4502" i="11"/>
  <c r="F4501" i="11"/>
  <c r="G4501" i="11" s="1"/>
  <c r="F4500" i="11"/>
  <c r="G4500" i="11" s="1"/>
  <c r="H4499" i="11"/>
  <c r="G4499" i="11"/>
  <c r="I4499" i="11" s="1"/>
  <c r="F4499" i="11"/>
  <c r="G4498" i="11"/>
  <c r="F4498" i="11"/>
  <c r="F4497" i="11"/>
  <c r="G4497" i="11" s="1"/>
  <c r="F4496" i="11"/>
  <c r="G4496" i="11" s="1"/>
  <c r="H4495" i="11"/>
  <c r="G4495" i="11"/>
  <c r="I4495" i="11" s="1"/>
  <c r="F4495" i="11"/>
  <c r="G4494" i="11"/>
  <c r="F4494" i="11"/>
  <c r="F4493" i="11"/>
  <c r="G4493" i="11" s="1"/>
  <c r="F4492" i="11"/>
  <c r="G4492" i="11" s="1"/>
  <c r="H4491" i="11"/>
  <c r="G4491" i="11"/>
  <c r="I4491" i="11" s="1"/>
  <c r="F4491" i="11"/>
  <c r="G4490" i="11"/>
  <c r="F4490" i="11"/>
  <c r="F4489" i="11"/>
  <c r="G4489" i="11" s="1"/>
  <c r="F4488" i="11"/>
  <c r="G4488" i="11" s="1"/>
  <c r="H4487" i="11"/>
  <c r="G4487" i="11"/>
  <c r="I4487" i="11" s="1"/>
  <c r="F4487" i="11"/>
  <c r="G4486" i="11"/>
  <c r="F4486" i="11"/>
  <c r="F4485" i="11"/>
  <c r="G4485" i="11" s="1"/>
  <c r="F4484" i="11"/>
  <c r="G4484" i="11" s="1"/>
  <c r="H4483" i="11"/>
  <c r="G4483" i="11"/>
  <c r="I4483" i="11" s="1"/>
  <c r="F4483" i="11"/>
  <c r="G4482" i="11"/>
  <c r="F4482" i="11"/>
  <c r="F4481" i="11"/>
  <c r="G4481" i="11" s="1"/>
  <c r="F4480" i="11"/>
  <c r="G4480" i="11" s="1"/>
  <c r="H4479" i="11"/>
  <c r="G4479" i="11"/>
  <c r="I4479" i="11" s="1"/>
  <c r="F4479" i="11"/>
  <c r="G4478" i="11"/>
  <c r="F4478" i="11"/>
  <c r="F4477" i="11"/>
  <c r="G4477" i="11" s="1"/>
  <c r="F4476" i="11"/>
  <c r="G4476" i="11" s="1"/>
  <c r="H4475" i="11"/>
  <c r="G4475" i="11"/>
  <c r="I4475" i="11" s="1"/>
  <c r="F4475" i="11"/>
  <c r="G4474" i="11"/>
  <c r="F4474" i="11"/>
  <c r="F4473" i="11"/>
  <c r="G4473" i="11" s="1"/>
  <c r="F4472" i="11"/>
  <c r="G4472" i="11" s="1"/>
  <c r="H4471" i="11"/>
  <c r="G4471" i="11"/>
  <c r="I4471" i="11" s="1"/>
  <c r="F4471" i="11"/>
  <c r="G4470" i="11"/>
  <c r="F4470" i="11"/>
  <c r="F4469" i="11"/>
  <c r="G4469" i="11" s="1"/>
  <c r="F4468" i="11"/>
  <c r="G4468" i="11" s="1"/>
  <c r="H4467" i="11"/>
  <c r="G4467" i="11"/>
  <c r="I4467" i="11" s="1"/>
  <c r="F4467" i="11"/>
  <c r="G4466" i="11"/>
  <c r="F4466" i="11"/>
  <c r="F4465" i="11"/>
  <c r="G4465" i="11" s="1"/>
  <c r="F4464" i="11"/>
  <c r="G4464" i="11" s="1"/>
  <c r="H4463" i="11"/>
  <c r="G4463" i="11"/>
  <c r="I4463" i="11" s="1"/>
  <c r="F4463" i="11"/>
  <c r="G4462" i="11"/>
  <c r="F4462" i="11"/>
  <c r="F4461" i="11"/>
  <c r="G4461" i="11" s="1"/>
  <c r="F4460" i="11"/>
  <c r="G4460" i="11" s="1"/>
  <c r="H4459" i="11"/>
  <c r="G4459" i="11"/>
  <c r="I4459" i="11" s="1"/>
  <c r="F4459" i="11"/>
  <c r="G4458" i="11"/>
  <c r="F4458" i="11"/>
  <c r="F4457" i="11"/>
  <c r="G4457" i="11" s="1"/>
  <c r="F4456" i="11"/>
  <c r="G4456" i="11" s="1"/>
  <c r="H4455" i="11"/>
  <c r="G4455" i="11"/>
  <c r="I4455" i="11" s="1"/>
  <c r="F4455" i="11"/>
  <c r="G4454" i="11"/>
  <c r="F4454" i="11"/>
  <c r="F4453" i="11"/>
  <c r="G4453" i="11" s="1"/>
  <c r="F4452" i="11"/>
  <c r="G4452" i="11" s="1"/>
  <c r="H4451" i="11"/>
  <c r="G4451" i="11"/>
  <c r="I4451" i="11" s="1"/>
  <c r="F4451" i="11"/>
  <c r="G4450" i="11"/>
  <c r="F4450" i="11"/>
  <c r="F4449" i="11"/>
  <c r="G4449" i="11" s="1"/>
  <c r="F4448" i="11"/>
  <c r="G4448" i="11" s="1"/>
  <c r="H4447" i="11"/>
  <c r="G4447" i="11"/>
  <c r="I4447" i="11" s="1"/>
  <c r="F4447" i="11"/>
  <c r="G4446" i="11"/>
  <c r="F4446" i="11"/>
  <c r="F4445" i="11"/>
  <c r="G4445" i="11" s="1"/>
  <c r="F4444" i="11"/>
  <c r="G4444" i="11" s="1"/>
  <c r="H4443" i="11"/>
  <c r="G4443" i="11"/>
  <c r="I4443" i="11" s="1"/>
  <c r="F4443" i="11"/>
  <c r="G4442" i="11"/>
  <c r="F4442" i="11"/>
  <c r="F4441" i="11"/>
  <c r="G4441" i="11" s="1"/>
  <c r="F4440" i="11"/>
  <c r="G4440" i="11" s="1"/>
  <c r="H4439" i="11"/>
  <c r="G4439" i="11"/>
  <c r="I4439" i="11" s="1"/>
  <c r="F4439" i="11"/>
  <c r="G4438" i="11"/>
  <c r="F4438" i="11"/>
  <c r="F4437" i="11"/>
  <c r="G4437" i="11" s="1"/>
  <c r="F4436" i="11"/>
  <c r="G4436" i="11" s="1"/>
  <c r="H4435" i="11"/>
  <c r="G4435" i="11"/>
  <c r="I4435" i="11" s="1"/>
  <c r="F4435" i="11"/>
  <c r="G4434" i="11"/>
  <c r="F4434" i="11"/>
  <c r="F4433" i="11"/>
  <c r="G4433" i="11" s="1"/>
  <c r="F4432" i="11"/>
  <c r="G4432" i="11" s="1"/>
  <c r="H4431" i="11"/>
  <c r="G4431" i="11"/>
  <c r="I4431" i="11" s="1"/>
  <c r="F4431" i="11"/>
  <c r="G4430" i="11"/>
  <c r="F4430" i="11"/>
  <c r="F4429" i="11"/>
  <c r="G4429" i="11" s="1"/>
  <c r="F4428" i="11"/>
  <c r="G4428" i="11" s="1"/>
  <c r="H4427" i="11"/>
  <c r="G4427" i="11"/>
  <c r="I4427" i="11" s="1"/>
  <c r="F4427" i="11"/>
  <c r="G4426" i="11"/>
  <c r="F4426" i="11"/>
  <c r="F4425" i="11"/>
  <c r="G4425" i="11" s="1"/>
  <c r="F4424" i="11"/>
  <c r="G4424" i="11" s="1"/>
  <c r="H4423" i="11"/>
  <c r="G4423" i="11"/>
  <c r="I4423" i="11" s="1"/>
  <c r="F4423" i="11"/>
  <c r="G4422" i="11"/>
  <c r="F4422" i="11"/>
  <c r="F4421" i="11"/>
  <c r="G4421" i="11" s="1"/>
  <c r="F4420" i="11"/>
  <c r="G4420" i="11" s="1"/>
  <c r="H4419" i="11"/>
  <c r="G4419" i="11"/>
  <c r="I4419" i="11" s="1"/>
  <c r="F4419" i="11"/>
  <c r="G4418" i="11"/>
  <c r="F4418" i="11"/>
  <c r="F4417" i="11"/>
  <c r="G4417" i="11" s="1"/>
  <c r="F4416" i="11"/>
  <c r="G4416" i="11" s="1"/>
  <c r="H4415" i="11"/>
  <c r="G4415" i="11"/>
  <c r="I4415" i="11" s="1"/>
  <c r="F4415" i="11"/>
  <c r="G4414" i="11"/>
  <c r="F4414" i="11"/>
  <c r="F4413" i="11"/>
  <c r="G4413" i="11" s="1"/>
  <c r="F4412" i="11"/>
  <c r="G4412" i="11" s="1"/>
  <c r="H4411" i="11"/>
  <c r="G4411" i="11"/>
  <c r="I4411" i="11" s="1"/>
  <c r="F4411" i="11"/>
  <c r="G4410" i="11"/>
  <c r="F4410" i="11"/>
  <c r="F4409" i="11"/>
  <c r="G4409" i="11" s="1"/>
  <c r="F4408" i="11"/>
  <c r="G4408" i="11" s="1"/>
  <c r="H4407" i="11"/>
  <c r="G4407" i="11"/>
  <c r="I4407" i="11" s="1"/>
  <c r="F4407" i="11"/>
  <c r="G4406" i="11"/>
  <c r="F4406" i="11"/>
  <c r="F4405" i="11"/>
  <c r="G4405" i="11" s="1"/>
  <c r="F4404" i="11"/>
  <c r="G4404" i="11" s="1"/>
  <c r="H4403" i="11"/>
  <c r="G4403" i="11"/>
  <c r="I4403" i="11" s="1"/>
  <c r="F4403" i="11"/>
  <c r="G4402" i="11"/>
  <c r="F4402" i="11"/>
  <c r="F4401" i="11"/>
  <c r="G4401" i="11" s="1"/>
  <c r="F4400" i="11"/>
  <c r="G4400" i="11" s="1"/>
  <c r="H4399" i="11"/>
  <c r="G4399" i="11"/>
  <c r="I4399" i="11" s="1"/>
  <c r="F4399" i="11"/>
  <c r="G4398" i="11"/>
  <c r="F4398" i="11"/>
  <c r="F4397" i="11"/>
  <c r="G4397" i="11" s="1"/>
  <c r="F4396" i="11"/>
  <c r="G4396" i="11" s="1"/>
  <c r="H4395" i="11"/>
  <c r="G4395" i="11"/>
  <c r="I4395" i="11" s="1"/>
  <c r="F4395" i="11"/>
  <c r="G4394" i="11"/>
  <c r="F4394" i="11"/>
  <c r="F4393" i="11"/>
  <c r="G4393" i="11" s="1"/>
  <c r="F4392" i="11"/>
  <c r="G4392" i="11" s="1"/>
  <c r="H4391" i="11"/>
  <c r="G4391" i="11"/>
  <c r="I4391" i="11" s="1"/>
  <c r="F4391" i="11"/>
  <c r="G4390" i="11"/>
  <c r="F4390" i="11"/>
  <c r="F4389" i="11"/>
  <c r="G4389" i="11" s="1"/>
  <c r="F4388" i="11"/>
  <c r="G4388" i="11" s="1"/>
  <c r="H4387" i="11"/>
  <c r="G4387" i="11"/>
  <c r="I4387" i="11" s="1"/>
  <c r="F4387" i="11"/>
  <c r="G4386" i="11"/>
  <c r="F4386" i="11"/>
  <c r="F4385" i="11"/>
  <c r="G4385" i="11" s="1"/>
  <c r="F4384" i="11"/>
  <c r="G4384" i="11" s="1"/>
  <c r="H4383" i="11"/>
  <c r="G4383" i="11"/>
  <c r="I4383" i="11" s="1"/>
  <c r="F4383" i="11"/>
  <c r="G4382" i="11"/>
  <c r="F4382" i="11"/>
  <c r="F4381" i="11"/>
  <c r="G4381" i="11" s="1"/>
  <c r="F4380" i="11"/>
  <c r="G4380" i="11" s="1"/>
  <c r="H4379" i="11"/>
  <c r="G4379" i="11"/>
  <c r="I4379" i="11" s="1"/>
  <c r="F4379" i="11"/>
  <c r="G4378" i="11"/>
  <c r="F4378" i="11"/>
  <c r="F4377" i="11"/>
  <c r="G4377" i="11" s="1"/>
  <c r="F4376" i="11"/>
  <c r="G4376" i="11" s="1"/>
  <c r="H4375" i="11"/>
  <c r="G4375" i="11"/>
  <c r="I4375" i="11" s="1"/>
  <c r="F4375" i="11"/>
  <c r="G4374" i="11"/>
  <c r="F4374" i="11"/>
  <c r="F4373" i="11"/>
  <c r="G4373" i="11" s="1"/>
  <c r="F4372" i="11"/>
  <c r="G4372" i="11" s="1"/>
  <c r="H4371" i="11"/>
  <c r="G4371" i="11"/>
  <c r="I4371" i="11" s="1"/>
  <c r="F4371" i="11"/>
  <c r="G4370" i="11"/>
  <c r="F4370" i="11"/>
  <c r="F4369" i="11"/>
  <c r="G4369" i="11" s="1"/>
  <c r="F4368" i="11"/>
  <c r="G4368" i="11" s="1"/>
  <c r="H4367" i="11"/>
  <c r="G4367" i="11"/>
  <c r="I4367" i="11" s="1"/>
  <c r="F4367" i="11"/>
  <c r="G4366" i="11"/>
  <c r="F4366" i="11"/>
  <c r="F4365" i="11"/>
  <c r="G4365" i="11" s="1"/>
  <c r="F4364" i="11"/>
  <c r="G4364" i="11" s="1"/>
  <c r="H4363" i="11"/>
  <c r="G4363" i="11"/>
  <c r="I4363" i="11" s="1"/>
  <c r="F4363" i="11"/>
  <c r="G4362" i="11"/>
  <c r="F4362" i="11"/>
  <c r="F4361" i="11"/>
  <c r="G4361" i="11" s="1"/>
  <c r="F4360" i="11"/>
  <c r="G4360" i="11" s="1"/>
  <c r="H4359" i="11"/>
  <c r="G4359" i="11"/>
  <c r="I4359" i="11" s="1"/>
  <c r="F4359" i="11"/>
  <c r="G4358" i="11"/>
  <c r="F4358" i="11"/>
  <c r="F4357" i="11"/>
  <c r="G4357" i="11" s="1"/>
  <c r="F4356" i="11"/>
  <c r="G4356" i="11" s="1"/>
  <c r="H4355" i="11"/>
  <c r="G4355" i="11"/>
  <c r="I4355" i="11" s="1"/>
  <c r="F4355" i="11"/>
  <c r="G4354" i="11"/>
  <c r="F4354" i="11"/>
  <c r="F4353" i="11"/>
  <c r="G4353" i="11" s="1"/>
  <c r="F4352" i="11"/>
  <c r="G4352" i="11" s="1"/>
  <c r="H4351" i="11"/>
  <c r="G4351" i="11"/>
  <c r="I4351" i="11" s="1"/>
  <c r="F4351" i="11"/>
  <c r="G4350" i="11"/>
  <c r="F4350" i="11"/>
  <c r="F4349" i="11"/>
  <c r="G4349" i="11" s="1"/>
  <c r="F4348" i="11"/>
  <c r="G4348" i="11" s="1"/>
  <c r="H4347" i="11"/>
  <c r="G4347" i="11"/>
  <c r="I4347" i="11" s="1"/>
  <c r="F4347" i="11"/>
  <c r="G4346" i="11"/>
  <c r="F4346" i="11"/>
  <c r="F4345" i="11"/>
  <c r="G4345" i="11" s="1"/>
  <c r="F4344" i="11"/>
  <c r="G4344" i="11" s="1"/>
  <c r="H4343" i="11"/>
  <c r="G4343" i="11"/>
  <c r="I4343" i="11" s="1"/>
  <c r="F4343" i="11"/>
  <c r="G4342" i="11"/>
  <c r="F4342" i="11"/>
  <c r="F4341" i="11"/>
  <c r="G4341" i="11" s="1"/>
  <c r="F4340" i="11"/>
  <c r="G4340" i="11" s="1"/>
  <c r="H4339" i="11"/>
  <c r="G4339" i="11"/>
  <c r="I4339" i="11" s="1"/>
  <c r="F4339" i="11"/>
  <c r="G4338" i="11"/>
  <c r="F4338" i="11"/>
  <c r="F4337" i="11"/>
  <c r="G4337" i="11" s="1"/>
  <c r="F4336" i="11"/>
  <c r="G4336" i="11" s="1"/>
  <c r="H4335" i="11"/>
  <c r="G4335" i="11"/>
  <c r="I4335" i="11" s="1"/>
  <c r="F4335" i="11"/>
  <c r="G4334" i="11"/>
  <c r="F4334" i="11"/>
  <c r="F4333" i="11"/>
  <c r="G4333" i="11" s="1"/>
  <c r="F4332" i="11"/>
  <c r="G4332" i="11" s="1"/>
  <c r="H4331" i="11"/>
  <c r="G4331" i="11"/>
  <c r="I4331" i="11" s="1"/>
  <c r="F4331" i="11"/>
  <c r="G4330" i="11"/>
  <c r="F4330" i="11"/>
  <c r="F4329" i="11"/>
  <c r="G4329" i="11" s="1"/>
  <c r="F4328" i="11"/>
  <c r="G4328" i="11" s="1"/>
  <c r="H4327" i="11"/>
  <c r="G4327" i="11"/>
  <c r="I4327" i="11" s="1"/>
  <c r="F4327" i="11"/>
  <c r="G4326" i="11"/>
  <c r="F4326" i="11"/>
  <c r="F4325" i="11"/>
  <c r="G4325" i="11" s="1"/>
  <c r="F4324" i="11"/>
  <c r="G4324" i="11" s="1"/>
  <c r="H4323" i="11"/>
  <c r="G4323" i="11"/>
  <c r="I4323" i="11" s="1"/>
  <c r="F4323" i="11"/>
  <c r="G4322" i="11"/>
  <c r="F4322" i="11"/>
  <c r="F4321" i="11"/>
  <c r="G4321" i="11" s="1"/>
  <c r="F4320" i="11"/>
  <c r="G4320" i="11" s="1"/>
  <c r="H4319" i="11"/>
  <c r="G4319" i="11"/>
  <c r="I4319" i="11" s="1"/>
  <c r="F4319" i="11"/>
  <c r="G4318" i="11"/>
  <c r="F4318" i="11"/>
  <c r="F4317" i="11"/>
  <c r="G4317" i="11" s="1"/>
  <c r="F4316" i="11"/>
  <c r="G4316" i="11" s="1"/>
  <c r="H4315" i="11"/>
  <c r="G4315" i="11"/>
  <c r="I4315" i="11" s="1"/>
  <c r="F4315" i="11"/>
  <c r="G4314" i="11"/>
  <c r="F4314" i="11"/>
  <c r="F4313" i="11"/>
  <c r="G4313" i="11" s="1"/>
  <c r="F4312" i="11"/>
  <c r="G4312" i="11" s="1"/>
  <c r="H4311" i="11"/>
  <c r="G4311" i="11"/>
  <c r="I4311" i="11" s="1"/>
  <c r="F4311" i="11"/>
  <c r="G4310" i="11"/>
  <c r="F4310" i="11"/>
  <c r="F4309" i="11"/>
  <c r="G4309" i="11" s="1"/>
  <c r="F4308" i="11"/>
  <c r="G4308" i="11" s="1"/>
  <c r="H4307" i="11"/>
  <c r="G4307" i="11"/>
  <c r="I4307" i="11" s="1"/>
  <c r="F4307" i="11"/>
  <c r="G4306" i="11"/>
  <c r="F4306" i="11"/>
  <c r="F4305" i="11"/>
  <c r="G4305" i="11" s="1"/>
  <c r="F4304" i="11"/>
  <c r="G4304" i="11" s="1"/>
  <c r="H4303" i="11"/>
  <c r="G4303" i="11"/>
  <c r="I4303" i="11" s="1"/>
  <c r="F4303" i="11"/>
  <c r="G4302" i="11"/>
  <c r="F4302" i="11"/>
  <c r="F4301" i="11"/>
  <c r="G4301" i="11" s="1"/>
  <c r="F4300" i="11"/>
  <c r="G4300" i="11" s="1"/>
  <c r="H4299" i="11"/>
  <c r="G4299" i="11"/>
  <c r="I4299" i="11" s="1"/>
  <c r="F4299" i="11"/>
  <c r="G4298" i="11"/>
  <c r="F4298" i="11"/>
  <c r="F4297" i="11"/>
  <c r="G4297" i="11" s="1"/>
  <c r="F4296" i="11"/>
  <c r="G4296" i="11" s="1"/>
  <c r="H4295" i="11"/>
  <c r="G4295" i="11"/>
  <c r="I4295" i="11" s="1"/>
  <c r="F4295" i="11"/>
  <c r="G4294" i="11"/>
  <c r="F4294" i="11"/>
  <c r="F4293" i="11"/>
  <c r="G4293" i="11" s="1"/>
  <c r="F4292" i="11"/>
  <c r="G4292" i="11" s="1"/>
  <c r="H4291" i="11"/>
  <c r="G4291" i="11"/>
  <c r="I4291" i="11" s="1"/>
  <c r="F4291" i="11"/>
  <c r="G4290" i="11"/>
  <c r="F4290" i="11"/>
  <c r="F4289" i="11"/>
  <c r="G4289" i="11" s="1"/>
  <c r="F4288" i="11"/>
  <c r="G4288" i="11" s="1"/>
  <c r="H4287" i="11"/>
  <c r="G4287" i="11"/>
  <c r="I4287" i="11" s="1"/>
  <c r="F4287" i="11"/>
  <c r="G4286" i="11"/>
  <c r="F4286" i="11"/>
  <c r="F4285" i="11"/>
  <c r="G4285" i="11" s="1"/>
  <c r="F4284" i="11"/>
  <c r="G4284" i="11" s="1"/>
  <c r="H4283" i="11"/>
  <c r="G4283" i="11"/>
  <c r="I4283" i="11" s="1"/>
  <c r="F4283" i="11"/>
  <c r="G4282" i="11"/>
  <c r="F4282" i="11"/>
  <c r="F4281" i="11"/>
  <c r="G4281" i="11" s="1"/>
  <c r="F4280" i="11"/>
  <c r="G4280" i="11" s="1"/>
  <c r="H4279" i="11"/>
  <c r="G4279" i="11"/>
  <c r="I4279" i="11" s="1"/>
  <c r="F4279" i="11"/>
  <c r="G4278" i="11"/>
  <c r="F4278" i="11"/>
  <c r="F4277" i="11"/>
  <c r="G4277" i="11" s="1"/>
  <c r="F4276" i="11"/>
  <c r="G4276" i="11" s="1"/>
  <c r="H4275" i="11"/>
  <c r="G4275" i="11"/>
  <c r="I4275" i="11" s="1"/>
  <c r="F4275" i="11"/>
  <c r="G4274" i="11"/>
  <c r="F4274" i="11"/>
  <c r="F4273" i="11"/>
  <c r="G4273" i="11" s="1"/>
  <c r="F4272" i="11"/>
  <c r="G4272" i="11" s="1"/>
  <c r="H4271" i="11"/>
  <c r="G4271" i="11"/>
  <c r="I4271" i="11" s="1"/>
  <c r="F4271" i="11"/>
  <c r="G4270" i="11"/>
  <c r="F4270" i="11"/>
  <c r="F4269" i="11"/>
  <c r="G4269" i="11" s="1"/>
  <c r="F4268" i="11"/>
  <c r="G4268" i="11" s="1"/>
  <c r="H4267" i="11"/>
  <c r="G4267" i="11"/>
  <c r="I4267" i="11" s="1"/>
  <c r="F4267" i="11"/>
  <c r="G4266" i="11"/>
  <c r="F4266" i="11"/>
  <c r="F4265" i="11"/>
  <c r="G4265" i="11" s="1"/>
  <c r="F4264" i="11"/>
  <c r="G4264" i="11" s="1"/>
  <c r="H4263" i="11"/>
  <c r="G4263" i="11"/>
  <c r="I4263" i="11" s="1"/>
  <c r="F4263" i="11"/>
  <c r="G4262" i="11"/>
  <c r="F4262" i="11"/>
  <c r="F4261" i="11"/>
  <c r="G4261" i="11" s="1"/>
  <c r="F4260" i="11"/>
  <c r="G4260" i="11" s="1"/>
  <c r="H4259" i="11"/>
  <c r="G4259" i="11"/>
  <c r="I4259" i="11" s="1"/>
  <c r="F4259" i="11"/>
  <c r="G4258" i="11"/>
  <c r="F4258" i="11"/>
  <c r="F4257" i="11"/>
  <c r="G4257" i="11" s="1"/>
  <c r="F4256" i="11"/>
  <c r="G4256" i="11" s="1"/>
  <c r="H4255" i="11"/>
  <c r="G4255" i="11"/>
  <c r="I4255" i="11" s="1"/>
  <c r="F4255" i="11"/>
  <c r="G4254" i="11"/>
  <c r="F4254" i="11"/>
  <c r="F4253" i="11"/>
  <c r="G4253" i="11" s="1"/>
  <c r="F4252" i="11"/>
  <c r="G4252" i="11" s="1"/>
  <c r="H4251" i="11"/>
  <c r="G4251" i="11"/>
  <c r="I4251" i="11" s="1"/>
  <c r="F4251" i="11"/>
  <c r="G4250" i="11"/>
  <c r="F4250" i="11"/>
  <c r="F4249" i="11"/>
  <c r="G4249" i="11" s="1"/>
  <c r="F4248" i="11"/>
  <c r="G4248" i="11" s="1"/>
  <c r="H4247" i="11"/>
  <c r="G4247" i="11"/>
  <c r="I4247" i="11" s="1"/>
  <c r="F4247" i="11"/>
  <c r="G4246" i="11"/>
  <c r="F4246" i="11"/>
  <c r="F4245" i="11"/>
  <c r="G4245" i="11" s="1"/>
  <c r="F4244" i="11"/>
  <c r="G4244" i="11" s="1"/>
  <c r="H4243" i="11"/>
  <c r="G4243" i="11"/>
  <c r="I4243" i="11" s="1"/>
  <c r="F4243" i="11"/>
  <c r="G4242" i="11"/>
  <c r="F4242" i="11"/>
  <c r="F4241" i="11"/>
  <c r="G4241" i="11" s="1"/>
  <c r="F4240" i="11"/>
  <c r="G4240" i="11" s="1"/>
  <c r="H4239" i="11"/>
  <c r="G4239" i="11"/>
  <c r="I4239" i="11" s="1"/>
  <c r="F4239" i="11"/>
  <c r="G4238" i="11"/>
  <c r="F4238" i="11"/>
  <c r="F4237" i="11"/>
  <c r="G4237" i="11" s="1"/>
  <c r="F4236" i="11"/>
  <c r="G4236" i="11" s="1"/>
  <c r="H4235" i="11"/>
  <c r="G4235" i="11"/>
  <c r="I4235" i="11" s="1"/>
  <c r="F4235" i="11"/>
  <c r="G4234" i="11"/>
  <c r="F4234" i="11"/>
  <c r="F4233" i="11"/>
  <c r="G4233" i="11" s="1"/>
  <c r="F4232" i="11"/>
  <c r="G4232" i="11" s="1"/>
  <c r="H4231" i="11"/>
  <c r="G4231" i="11"/>
  <c r="I4231" i="11" s="1"/>
  <c r="F4231" i="11"/>
  <c r="G4230" i="11"/>
  <c r="F4230" i="11"/>
  <c r="F4229" i="11"/>
  <c r="G4229" i="11" s="1"/>
  <c r="F4228" i="11"/>
  <c r="G4228" i="11" s="1"/>
  <c r="H4227" i="11"/>
  <c r="G4227" i="11"/>
  <c r="I4227" i="11" s="1"/>
  <c r="F4227" i="11"/>
  <c r="G4226" i="11"/>
  <c r="F4226" i="11"/>
  <c r="F4225" i="11"/>
  <c r="G4225" i="11" s="1"/>
  <c r="F4224" i="11"/>
  <c r="G4224" i="11" s="1"/>
  <c r="H4223" i="11"/>
  <c r="G4223" i="11"/>
  <c r="I4223" i="11" s="1"/>
  <c r="F4223" i="11"/>
  <c r="G4222" i="11"/>
  <c r="F4222" i="11"/>
  <c r="F4221" i="11"/>
  <c r="G4221" i="11" s="1"/>
  <c r="F4220" i="11"/>
  <c r="G4220" i="11" s="1"/>
  <c r="H4219" i="11"/>
  <c r="G4219" i="11"/>
  <c r="I4219" i="11" s="1"/>
  <c r="F4219" i="11"/>
  <c r="G4218" i="11"/>
  <c r="F4218" i="11"/>
  <c r="F4217" i="11"/>
  <c r="G4217" i="11" s="1"/>
  <c r="F4216" i="11"/>
  <c r="G4216" i="11" s="1"/>
  <c r="H4215" i="11"/>
  <c r="G4215" i="11"/>
  <c r="I4215" i="11" s="1"/>
  <c r="F4215" i="11"/>
  <c r="G4214" i="11"/>
  <c r="F4214" i="11"/>
  <c r="F4213" i="11"/>
  <c r="G4213" i="11" s="1"/>
  <c r="F4212" i="11"/>
  <c r="G4212" i="11" s="1"/>
  <c r="H4211" i="11"/>
  <c r="G4211" i="11"/>
  <c r="I4211" i="11" s="1"/>
  <c r="F4211" i="11"/>
  <c r="G4210" i="11"/>
  <c r="F4210" i="11"/>
  <c r="F4209" i="11"/>
  <c r="G4209" i="11" s="1"/>
  <c r="F4208" i="11"/>
  <c r="G4208" i="11" s="1"/>
  <c r="H4207" i="11"/>
  <c r="G4207" i="11"/>
  <c r="I4207" i="11" s="1"/>
  <c r="F4207" i="11"/>
  <c r="G4206" i="11"/>
  <c r="F4206" i="11"/>
  <c r="F4205" i="11"/>
  <c r="G4205" i="11" s="1"/>
  <c r="F4204" i="11"/>
  <c r="G4204" i="11" s="1"/>
  <c r="H4203" i="11"/>
  <c r="G4203" i="11"/>
  <c r="I4203" i="11" s="1"/>
  <c r="F4203" i="11"/>
  <c r="G4202" i="11"/>
  <c r="F4202" i="11"/>
  <c r="F4201" i="11"/>
  <c r="G4201" i="11" s="1"/>
  <c r="F4200" i="11"/>
  <c r="G4200" i="11" s="1"/>
  <c r="H4199" i="11"/>
  <c r="G4199" i="11"/>
  <c r="I4199" i="11" s="1"/>
  <c r="F4199" i="11"/>
  <c r="G4198" i="11"/>
  <c r="F4198" i="11"/>
  <c r="F4197" i="11"/>
  <c r="G4197" i="11" s="1"/>
  <c r="F4196" i="11"/>
  <c r="G4196" i="11" s="1"/>
  <c r="H4195" i="11"/>
  <c r="G4195" i="11"/>
  <c r="I4195" i="11" s="1"/>
  <c r="F4195" i="11"/>
  <c r="G4194" i="11"/>
  <c r="F4194" i="11"/>
  <c r="F4193" i="11"/>
  <c r="G4193" i="11" s="1"/>
  <c r="F4192" i="11"/>
  <c r="G4192" i="11" s="1"/>
  <c r="H4191" i="11"/>
  <c r="G4191" i="11"/>
  <c r="I4191" i="11" s="1"/>
  <c r="F4191" i="11"/>
  <c r="G4190" i="11"/>
  <c r="F4190" i="11"/>
  <c r="F4189" i="11"/>
  <c r="G4189" i="11" s="1"/>
  <c r="F4188" i="11"/>
  <c r="G4188" i="11" s="1"/>
  <c r="H4187" i="11"/>
  <c r="G4187" i="11"/>
  <c r="I4187" i="11" s="1"/>
  <c r="F4187" i="11"/>
  <c r="G4186" i="11"/>
  <c r="F4186" i="11"/>
  <c r="F4185" i="11"/>
  <c r="G4185" i="11" s="1"/>
  <c r="F4184" i="11"/>
  <c r="G4184" i="11" s="1"/>
  <c r="H4183" i="11"/>
  <c r="G4183" i="11"/>
  <c r="I4183" i="11" s="1"/>
  <c r="F4183" i="11"/>
  <c r="G4182" i="11"/>
  <c r="F4182" i="11"/>
  <c r="F4181" i="11"/>
  <c r="G4181" i="11" s="1"/>
  <c r="F4180" i="11"/>
  <c r="G4180" i="11" s="1"/>
  <c r="H4179" i="11"/>
  <c r="G4179" i="11"/>
  <c r="I4179" i="11" s="1"/>
  <c r="F4179" i="11"/>
  <c r="G4178" i="11"/>
  <c r="F4178" i="11"/>
  <c r="F4177" i="11"/>
  <c r="G4177" i="11" s="1"/>
  <c r="F4176" i="11"/>
  <c r="G4176" i="11" s="1"/>
  <c r="H4175" i="11"/>
  <c r="G4175" i="11"/>
  <c r="I4175" i="11" s="1"/>
  <c r="F4175" i="11"/>
  <c r="G4174" i="11"/>
  <c r="F4174" i="11"/>
  <c r="F4173" i="11"/>
  <c r="G4173" i="11" s="1"/>
  <c r="F4172" i="11"/>
  <c r="G4172" i="11" s="1"/>
  <c r="H4171" i="11"/>
  <c r="G4171" i="11"/>
  <c r="I4171" i="11" s="1"/>
  <c r="F4171" i="11"/>
  <c r="G4170" i="11"/>
  <c r="F4170" i="11"/>
  <c r="F4169" i="11"/>
  <c r="G4169" i="11" s="1"/>
  <c r="F4168" i="11"/>
  <c r="G4168" i="11" s="1"/>
  <c r="H4167" i="11"/>
  <c r="G4167" i="11"/>
  <c r="I4167" i="11" s="1"/>
  <c r="F4167" i="11"/>
  <c r="G4166" i="11"/>
  <c r="F4166" i="11"/>
  <c r="F4165" i="11"/>
  <c r="G4165" i="11" s="1"/>
  <c r="F4164" i="11"/>
  <c r="G4164" i="11" s="1"/>
  <c r="H4163" i="11"/>
  <c r="G4163" i="11"/>
  <c r="I4163" i="11" s="1"/>
  <c r="F4163" i="11"/>
  <c r="G4162" i="11"/>
  <c r="F4162" i="11"/>
  <c r="F4161" i="11"/>
  <c r="G4161" i="11" s="1"/>
  <c r="F4160" i="11"/>
  <c r="G4160" i="11" s="1"/>
  <c r="H4159" i="11"/>
  <c r="G4159" i="11"/>
  <c r="I4159" i="11" s="1"/>
  <c r="F4159" i="11"/>
  <c r="G4158" i="11"/>
  <c r="F4158" i="11"/>
  <c r="F4157" i="11"/>
  <c r="G4157" i="11" s="1"/>
  <c r="F4156" i="11"/>
  <c r="G4156" i="11" s="1"/>
  <c r="H4155" i="11"/>
  <c r="G4155" i="11"/>
  <c r="I4155" i="11" s="1"/>
  <c r="F4155" i="11"/>
  <c r="G4154" i="11"/>
  <c r="F4154" i="11"/>
  <c r="F4153" i="11"/>
  <c r="G4153" i="11" s="1"/>
  <c r="F4152" i="11"/>
  <c r="G4152" i="11" s="1"/>
  <c r="H4151" i="11"/>
  <c r="G4151" i="11"/>
  <c r="I4151" i="11" s="1"/>
  <c r="F4151" i="11"/>
  <c r="G4150" i="11"/>
  <c r="F4150" i="11"/>
  <c r="F4149" i="11"/>
  <c r="G4149" i="11" s="1"/>
  <c r="F4148" i="11"/>
  <c r="G4148" i="11" s="1"/>
  <c r="H4147" i="11"/>
  <c r="G4147" i="11"/>
  <c r="I4147" i="11" s="1"/>
  <c r="F4147" i="11"/>
  <c r="G4146" i="11"/>
  <c r="F4146" i="11"/>
  <c r="F4145" i="11"/>
  <c r="G4145" i="11" s="1"/>
  <c r="F4144" i="11"/>
  <c r="G4144" i="11" s="1"/>
  <c r="H4143" i="11"/>
  <c r="G4143" i="11"/>
  <c r="I4143" i="11" s="1"/>
  <c r="F4143" i="11"/>
  <c r="G4142" i="11"/>
  <c r="F4142" i="11"/>
  <c r="F4141" i="11"/>
  <c r="G4141" i="11" s="1"/>
  <c r="F4140" i="11"/>
  <c r="G4140" i="11" s="1"/>
  <c r="H4139" i="11"/>
  <c r="G4139" i="11"/>
  <c r="I4139" i="11" s="1"/>
  <c r="F4139" i="11"/>
  <c r="G4138" i="11"/>
  <c r="F4138" i="11"/>
  <c r="F4137" i="11"/>
  <c r="G4137" i="11" s="1"/>
  <c r="F4136" i="11"/>
  <c r="G4136" i="11" s="1"/>
  <c r="H4135" i="11"/>
  <c r="G4135" i="11"/>
  <c r="I4135" i="11" s="1"/>
  <c r="F4135" i="11"/>
  <c r="G4134" i="11"/>
  <c r="F4134" i="11"/>
  <c r="F4133" i="11"/>
  <c r="G4133" i="11" s="1"/>
  <c r="F4132" i="11"/>
  <c r="G4132" i="11" s="1"/>
  <c r="H4131" i="11"/>
  <c r="G4131" i="11"/>
  <c r="I4131" i="11" s="1"/>
  <c r="F4131" i="11"/>
  <c r="G4130" i="11"/>
  <c r="F4130" i="11"/>
  <c r="F4129" i="11"/>
  <c r="G4129" i="11" s="1"/>
  <c r="F4128" i="11"/>
  <c r="G4128" i="11" s="1"/>
  <c r="H4127" i="11"/>
  <c r="G4127" i="11"/>
  <c r="I4127" i="11" s="1"/>
  <c r="F4127" i="11"/>
  <c r="G4126" i="11"/>
  <c r="F4126" i="11"/>
  <c r="F4125" i="11"/>
  <c r="G4125" i="11" s="1"/>
  <c r="F4124" i="11"/>
  <c r="G4124" i="11" s="1"/>
  <c r="H4123" i="11"/>
  <c r="G4123" i="11"/>
  <c r="I4123" i="11" s="1"/>
  <c r="F4123" i="11"/>
  <c r="G4122" i="11"/>
  <c r="F4122" i="11"/>
  <c r="F4121" i="11"/>
  <c r="G4121" i="11" s="1"/>
  <c r="F4120" i="11"/>
  <c r="G4120" i="11" s="1"/>
  <c r="H4119" i="11"/>
  <c r="G4119" i="11"/>
  <c r="I4119" i="11" s="1"/>
  <c r="F4119" i="11"/>
  <c r="G4118" i="11"/>
  <c r="F4118" i="11"/>
  <c r="F4117" i="11"/>
  <c r="G4117" i="11" s="1"/>
  <c r="F4116" i="11"/>
  <c r="G4116" i="11" s="1"/>
  <c r="H4115" i="11"/>
  <c r="G4115" i="11"/>
  <c r="I4115" i="11" s="1"/>
  <c r="F4115" i="11"/>
  <c r="G4114" i="11"/>
  <c r="F4114" i="11"/>
  <c r="F4113" i="11"/>
  <c r="G4113" i="11" s="1"/>
  <c r="F4112" i="11"/>
  <c r="G4112" i="11" s="1"/>
  <c r="H4111" i="11"/>
  <c r="G4111" i="11"/>
  <c r="I4111" i="11" s="1"/>
  <c r="F4111" i="11"/>
  <c r="G4110" i="11"/>
  <c r="F4110" i="11"/>
  <c r="F4109" i="11"/>
  <c r="G4109" i="11" s="1"/>
  <c r="F4108" i="11"/>
  <c r="G4108" i="11" s="1"/>
  <c r="H4107" i="11"/>
  <c r="G4107" i="11"/>
  <c r="I4107" i="11" s="1"/>
  <c r="F4107" i="11"/>
  <c r="G4106" i="11"/>
  <c r="F4106" i="11"/>
  <c r="F4105" i="11"/>
  <c r="G4105" i="11" s="1"/>
  <c r="F4104" i="11"/>
  <c r="G4104" i="11" s="1"/>
  <c r="H4103" i="11"/>
  <c r="G4103" i="11"/>
  <c r="I4103" i="11" s="1"/>
  <c r="F4103" i="11"/>
  <c r="G4102" i="11"/>
  <c r="F4102" i="11"/>
  <c r="F4101" i="11"/>
  <c r="G4101" i="11" s="1"/>
  <c r="F4100" i="11"/>
  <c r="G4100" i="11" s="1"/>
  <c r="H4099" i="11"/>
  <c r="G4099" i="11"/>
  <c r="I4099" i="11" s="1"/>
  <c r="F4099" i="11"/>
  <c r="G4098" i="11"/>
  <c r="F4098" i="11"/>
  <c r="F4097" i="11"/>
  <c r="G4097" i="11" s="1"/>
  <c r="F4096" i="11"/>
  <c r="G4096" i="11" s="1"/>
  <c r="H4095" i="11"/>
  <c r="G4095" i="11"/>
  <c r="I4095" i="11" s="1"/>
  <c r="F4095" i="11"/>
  <c r="G4094" i="11"/>
  <c r="F4094" i="11"/>
  <c r="F4093" i="11"/>
  <c r="G4093" i="11" s="1"/>
  <c r="F4092" i="11"/>
  <c r="G4092" i="11" s="1"/>
  <c r="H4091" i="11"/>
  <c r="G4091" i="11"/>
  <c r="I4091" i="11" s="1"/>
  <c r="F4091" i="11"/>
  <c r="G4090" i="11"/>
  <c r="F4090" i="11"/>
  <c r="F4089" i="11"/>
  <c r="G4089" i="11" s="1"/>
  <c r="F4088" i="11"/>
  <c r="G4088" i="11" s="1"/>
  <c r="H4087" i="11"/>
  <c r="G4087" i="11"/>
  <c r="I4087" i="11" s="1"/>
  <c r="F4087" i="11"/>
  <c r="G4086" i="11"/>
  <c r="F4086" i="11"/>
  <c r="F4085" i="11"/>
  <c r="G4085" i="11" s="1"/>
  <c r="F4084" i="11"/>
  <c r="G4084" i="11" s="1"/>
  <c r="H4083" i="11"/>
  <c r="G4083" i="11"/>
  <c r="I4083" i="11" s="1"/>
  <c r="F4083" i="11"/>
  <c r="G4082" i="11"/>
  <c r="F4082" i="11"/>
  <c r="F4081" i="11"/>
  <c r="G4081" i="11" s="1"/>
  <c r="F4080" i="11"/>
  <c r="G4080" i="11" s="1"/>
  <c r="H4079" i="11"/>
  <c r="G4079" i="11"/>
  <c r="I4079" i="11" s="1"/>
  <c r="F4079" i="11"/>
  <c r="G4078" i="11"/>
  <c r="F4078" i="11"/>
  <c r="F4077" i="11"/>
  <c r="G4077" i="11" s="1"/>
  <c r="F4076" i="11"/>
  <c r="G4076" i="11" s="1"/>
  <c r="H4075" i="11"/>
  <c r="G4075" i="11"/>
  <c r="I4075" i="11" s="1"/>
  <c r="F4075" i="11"/>
  <c r="G4074" i="11"/>
  <c r="F4074" i="11"/>
  <c r="F4073" i="11"/>
  <c r="G4073" i="11" s="1"/>
  <c r="F4072" i="11"/>
  <c r="G4072" i="11" s="1"/>
  <c r="H4071" i="11"/>
  <c r="G4071" i="11"/>
  <c r="I4071" i="11" s="1"/>
  <c r="F4071" i="11"/>
  <c r="G4070" i="11"/>
  <c r="F4070" i="11"/>
  <c r="F4069" i="11"/>
  <c r="G4069" i="11" s="1"/>
  <c r="F4068" i="11"/>
  <c r="G4068" i="11" s="1"/>
  <c r="H4067" i="11"/>
  <c r="G4067" i="11"/>
  <c r="I4067" i="11" s="1"/>
  <c r="F4067" i="11"/>
  <c r="G4066" i="11"/>
  <c r="F4066" i="11"/>
  <c r="F4065" i="11"/>
  <c r="G4065" i="11" s="1"/>
  <c r="F4064" i="11"/>
  <c r="G4064" i="11" s="1"/>
  <c r="H4063" i="11"/>
  <c r="G4063" i="11"/>
  <c r="I4063" i="11" s="1"/>
  <c r="F4063" i="11"/>
  <c r="G4062" i="11"/>
  <c r="F4062" i="11"/>
  <c r="F4061" i="11"/>
  <c r="G4061" i="11" s="1"/>
  <c r="F4060" i="11"/>
  <c r="G4060" i="11" s="1"/>
  <c r="H4059" i="11"/>
  <c r="G4059" i="11"/>
  <c r="I4059" i="11" s="1"/>
  <c r="F4059" i="11"/>
  <c r="G4058" i="11"/>
  <c r="F4058" i="11"/>
  <c r="F4057" i="11"/>
  <c r="G4057" i="11" s="1"/>
  <c r="F4056" i="11"/>
  <c r="G4056" i="11" s="1"/>
  <c r="H4055" i="11"/>
  <c r="G4055" i="11"/>
  <c r="I4055" i="11" s="1"/>
  <c r="F4055" i="11"/>
  <c r="G4054" i="11"/>
  <c r="F4054" i="11"/>
  <c r="F4053" i="11"/>
  <c r="G4053" i="11" s="1"/>
  <c r="F4052" i="11"/>
  <c r="G4052" i="11" s="1"/>
  <c r="H4051" i="11"/>
  <c r="G4051" i="11"/>
  <c r="I4051" i="11" s="1"/>
  <c r="F4051" i="11"/>
  <c r="G4050" i="11"/>
  <c r="F4050" i="11"/>
  <c r="F4049" i="11"/>
  <c r="G4049" i="11" s="1"/>
  <c r="F4048" i="11"/>
  <c r="G4048" i="11" s="1"/>
  <c r="H4047" i="11"/>
  <c r="G4047" i="11"/>
  <c r="I4047" i="11" s="1"/>
  <c r="F4047" i="11"/>
  <c r="G4046" i="11"/>
  <c r="F4046" i="11"/>
  <c r="F4045" i="11"/>
  <c r="G4045" i="11" s="1"/>
  <c r="F4044" i="11"/>
  <c r="G4044" i="11" s="1"/>
  <c r="H4043" i="11"/>
  <c r="G4043" i="11"/>
  <c r="I4043" i="11" s="1"/>
  <c r="F4043" i="11"/>
  <c r="G4042" i="11"/>
  <c r="F4042" i="11"/>
  <c r="F4041" i="11"/>
  <c r="G4041" i="11" s="1"/>
  <c r="F4040" i="11"/>
  <c r="G4040" i="11" s="1"/>
  <c r="H4039" i="11"/>
  <c r="G4039" i="11"/>
  <c r="I4039" i="11" s="1"/>
  <c r="F4039" i="11"/>
  <c r="G4038" i="11"/>
  <c r="F4038" i="11"/>
  <c r="F4037" i="11"/>
  <c r="G4037" i="11" s="1"/>
  <c r="F4036" i="11"/>
  <c r="G4036" i="11" s="1"/>
  <c r="H4035" i="11"/>
  <c r="G4035" i="11"/>
  <c r="I4035" i="11" s="1"/>
  <c r="F4035" i="11"/>
  <c r="G4034" i="11"/>
  <c r="F4034" i="11"/>
  <c r="F4033" i="11"/>
  <c r="G4033" i="11" s="1"/>
  <c r="F4032" i="11"/>
  <c r="G4032" i="11" s="1"/>
  <c r="H4031" i="11"/>
  <c r="G4031" i="11"/>
  <c r="I4031" i="11" s="1"/>
  <c r="F4031" i="11"/>
  <c r="G4030" i="11"/>
  <c r="F4030" i="11"/>
  <c r="F4029" i="11"/>
  <c r="G4029" i="11" s="1"/>
  <c r="F4028" i="11"/>
  <c r="G4028" i="11" s="1"/>
  <c r="H4027" i="11"/>
  <c r="G4027" i="11"/>
  <c r="I4027" i="11" s="1"/>
  <c r="F4027" i="11"/>
  <c r="G4026" i="11"/>
  <c r="F4026" i="11"/>
  <c r="F4025" i="11"/>
  <c r="G4025" i="11" s="1"/>
  <c r="F4024" i="11"/>
  <c r="G4024" i="11" s="1"/>
  <c r="H4023" i="11"/>
  <c r="G4023" i="11"/>
  <c r="I4023" i="11" s="1"/>
  <c r="F4023" i="11"/>
  <c r="G4022" i="11"/>
  <c r="F4022" i="11"/>
  <c r="F4021" i="11"/>
  <c r="G4021" i="11" s="1"/>
  <c r="F4020" i="11"/>
  <c r="G4020" i="11" s="1"/>
  <c r="H4019" i="11"/>
  <c r="G4019" i="11"/>
  <c r="I4019" i="11" s="1"/>
  <c r="F4019" i="11"/>
  <c r="G4018" i="11"/>
  <c r="F4018" i="11"/>
  <c r="F4017" i="11"/>
  <c r="G4017" i="11" s="1"/>
  <c r="F4016" i="11"/>
  <c r="G4016" i="11" s="1"/>
  <c r="H4015" i="11"/>
  <c r="G4015" i="11"/>
  <c r="I4015" i="11" s="1"/>
  <c r="F4015" i="11"/>
  <c r="G4014" i="11"/>
  <c r="F4014" i="11"/>
  <c r="F4013" i="11"/>
  <c r="G4013" i="11" s="1"/>
  <c r="F4012" i="11"/>
  <c r="G4012" i="11" s="1"/>
  <c r="H4011" i="11"/>
  <c r="G4011" i="11"/>
  <c r="I4011" i="11" s="1"/>
  <c r="F4011" i="11"/>
  <c r="G4010" i="11"/>
  <c r="F4010" i="11"/>
  <c r="F4009" i="11"/>
  <c r="G4009" i="11" s="1"/>
  <c r="F4008" i="11"/>
  <c r="G4008" i="11" s="1"/>
  <c r="H4007" i="11"/>
  <c r="G4007" i="11"/>
  <c r="I4007" i="11" s="1"/>
  <c r="F4007" i="11"/>
  <c r="G4006" i="11"/>
  <c r="F4006" i="11"/>
  <c r="F4005" i="11"/>
  <c r="G4005" i="11" s="1"/>
  <c r="F4004" i="11"/>
  <c r="G4004" i="11" s="1"/>
  <c r="H4003" i="11"/>
  <c r="G4003" i="11"/>
  <c r="I4003" i="11" s="1"/>
  <c r="F4003" i="11"/>
  <c r="G4002" i="11"/>
  <c r="F4002" i="11"/>
  <c r="F4001" i="11"/>
  <c r="G4001" i="11" s="1"/>
  <c r="F4000" i="11"/>
  <c r="G4000" i="11" s="1"/>
  <c r="H3999" i="11"/>
  <c r="G3999" i="11"/>
  <c r="I3999" i="11" s="1"/>
  <c r="F3999" i="11"/>
  <c r="G3998" i="11"/>
  <c r="F3998" i="11"/>
  <c r="F3997" i="11"/>
  <c r="G3997" i="11" s="1"/>
  <c r="F3996" i="11"/>
  <c r="G3996" i="11" s="1"/>
  <c r="H3995" i="11"/>
  <c r="G3995" i="11"/>
  <c r="I3995" i="11" s="1"/>
  <c r="F3995" i="11"/>
  <c r="G3994" i="11"/>
  <c r="F3994" i="11"/>
  <c r="F3993" i="11"/>
  <c r="G3993" i="11" s="1"/>
  <c r="F3992" i="11"/>
  <c r="G3992" i="11" s="1"/>
  <c r="H3991" i="11"/>
  <c r="G3991" i="11"/>
  <c r="I3991" i="11" s="1"/>
  <c r="F3991" i="11"/>
  <c r="G3990" i="11"/>
  <c r="F3990" i="11"/>
  <c r="F3989" i="11"/>
  <c r="G3989" i="11" s="1"/>
  <c r="F3988" i="11"/>
  <c r="G3988" i="11" s="1"/>
  <c r="H3987" i="11"/>
  <c r="G3987" i="11"/>
  <c r="I3987" i="11" s="1"/>
  <c r="F3987" i="11"/>
  <c r="G3986" i="11"/>
  <c r="F3986" i="11"/>
  <c r="F3985" i="11"/>
  <c r="G3985" i="11" s="1"/>
  <c r="F3984" i="11"/>
  <c r="G3984" i="11" s="1"/>
  <c r="H3983" i="11"/>
  <c r="G3983" i="11"/>
  <c r="I3983" i="11" s="1"/>
  <c r="F3983" i="11"/>
  <c r="G3982" i="11"/>
  <c r="F3982" i="11"/>
  <c r="F3981" i="11"/>
  <c r="G3981" i="11" s="1"/>
  <c r="F3980" i="11"/>
  <c r="G3980" i="11" s="1"/>
  <c r="H3979" i="11"/>
  <c r="G3979" i="11"/>
  <c r="I3979" i="11" s="1"/>
  <c r="F3979" i="11"/>
  <c r="G3978" i="11"/>
  <c r="F3978" i="11"/>
  <c r="F3977" i="11"/>
  <c r="G3977" i="11" s="1"/>
  <c r="F3976" i="11"/>
  <c r="G3976" i="11" s="1"/>
  <c r="H3975" i="11"/>
  <c r="G3975" i="11"/>
  <c r="I3975" i="11" s="1"/>
  <c r="F3975" i="11"/>
  <c r="G3974" i="11"/>
  <c r="F3974" i="11"/>
  <c r="F3973" i="11"/>
  <c r="G3973" i="11" s="1"/>
  <c r="F3972" i="11"/>
  <c r="G3972" i="11" s="1"/>
  <c r="H3971" i="11"/>
  <c r="G3971" i="11"/>
  <c r="I3971" i="11" s="1"/>
  <c r="F3971" i="11"/>
  <c r="G3970" i="11"/>
  <c r="F3970" i="11"/>
  <c r="F3969" i="11"/>
  <c r="G3969" i="11" s="1"/>
  <c r="F3968" i="11"/>
  <c r="G3968" i="11" s="1"/>
  <c r="H3967" i="11"/>
  <c r="G3967" i="11"/>
  <c r="I3967" i="11" s="1"/>
  <c r="F3967" i="11"/>
  <c r="G3966" i="11"/>
  <c r="F3966" i="11"/>
  <c r="F3965" i="11"/>
  <c r="G3965" i="11" s="1"/>
  <c r="F3964" i="11"/>
  <c r="G3964" i="11" s="1"/>
  <c r="H3963" i="11"/>
  <c r="G3963" i="11"/>
  <c r="I3963" i="11" s="1"/>
  <c r="F3963" i="11"/>
  <c r="G3962" i="11"/>
  <c r="F3962" i="11"/>
  <c r="F3961" i="11"/>
  <c r="G3961" i="11" s="1"/>
  <c r="F3960" i="11"/>
  <c r="G3960" i="11" s="1"/>
  <c r="H3959" i="11"/>
  <c r="G3959" i="11"/>
  <c r="I3959" i="11" s="1"/>
  <c r="F3959" i="11"/>
  <c r="G3958" i="11"/>
  <c r="F3958" i="11"/>
  <c r="F3957" i="11"/>
  <c r="G3957" i="11" s="1"/>
  <c r="F3956" i="11"/>
  <c r="G3956" i="11" s="1"/>
  <c r="H3955" i="11"/>
  <c r="G3955" i="11"/>
  <c r="I3955" i="11" s="1"/>
  <c r="F3955" i="11"/>
  <c r="G3954" i="11"/>
  <c r="F3954" i="11"/>
  <c r="F3953" i="11"/>
  <c r="G3953" i="11" s="1"/>
  <c r="F3952" i="11"/>
  <c r="G3952" i="11" s="1"/>
  <c r="H3951" i="11"/>
  <c r="G3951" i="11"/>
  <c r="I3951" i="11" s="1"/>
  <c r="F3951" i="11"/>
  <c r="G3950" i="11"/>
  <c r="F3950" i="11"/>
  <c r="F3949" i="11"/>
  <c r="G3949" i="11" s="1"/>
  <c r="F3948" i="11"/>
  <c r="G3948" i="11" s="1"/>
  <c r="H3947" i="11"/>
  <c r="G3947" i="11"/>
  <c r="I3947" i="11" s="1"/>
  <c r="F3947" i="11"/>
  <c r="G3946" i="11"/>
  <c r="F3946" i="11"/>
  <c r="F3945" i="11"/>
  <c r="G3945" i="11" s="1"/>
  <c r="F3944" i="11"/>
  <c r="G3944" i="11" s="1"/>
  <c r="H3943" i="11"/>
  <c r="G3943" i="11"/>
  <c r="I3943" i="11" s="1"/>
  <c r="F3943" i="11"/>
  <c r="G3942" i="11"/>
  <c r="F3942" i="11"/>
  <c r="F3941" i="11"/>
  <c r="G3941" i="11" s="1"/>
  <c r="F3940" i="11"/>
  <c r="G3940" i="11" s="1"/>
  <c r="H3939" i="11"/>
  <c r="G3939" i="11"/>
  <c r="I3939" i="11" s="1"/>
  <c r="F3939" i="11"/>
  <c r="G3938" i="11"/>
  <c r="F3938" i="11"/>
  <c r="F3937" i="11"/>
  <c r="G3937" i="11" s="1"/>
  <c r="F3936" i="11"/>
  <c r="G3936" i="11" s="1"/>
  <c r="H3935" i="11"/>
  <c r="G3935" i="11"/>
  <c r="I3935" i="11" s="1"/>
  <c r="F3935" i="11"/>
  <c r="G3934" i="11"/>
  <c r="F3934" i="11"/>
  <c r="F3933" i="11"/>
  <c r="G3933" i="11" s="1"/>
  <c r="F3932" i="11"/>
  <c r="G3932" i="11" s="1"/>
  <c r="H3931" i="11"/>
  <c r="G3931" i="11"/>
  <c r="I3931" i="11" s="1"/>
  <c r="F3931" i="11"/>
  <c r="G3930" i="11"/>
  <c r="F3930" i="11"/>
  <c r="F3929" i="11"/>
  <c r="G3929" i="11" s="1"/>
  <c r="F3928" i="11"/>
  <c r="G3928" i="11" s="1"/>
  <c r="H3927" i="11"/>
  <c r="G3927" i="11"/>
  <c r="I3927" i="11" s="1"/>
  <c r="F3927" i="11"/>
  <c r="G3926" i="11"/>
  <c r="F3926" i="11"/>
  <c r="F3925" i="11"/>
  <c r="G3925" i="11" s="1"/>
  <c r="F3924" i="11"/>
  <c r="G3924" i="11" s="1"/>
  <c r="H3923" i="11"/>
  <c r="G3923" i="11"/>
  <c r="I3923" i="11" s="1"/>
  <c r="F3923" i="11"/>
  <c r="G3922" i="11"/>
  <c r="F3922" i="11"/>
  <c r="F3921" i="11"/>
  <c r="G3921" i="11" s="1"/>
  <c r="F3920" i="11"/>
  <c r="G3920" i="11" s="1"/>
  <c r="H3919" i="11"/>
  <c r="G3919" i="11"/>
  <c r="I3919" i="11" s="1"/>
  <c r="F3919" i="11"/>
  <c r="G3918" i="11"/>
  <c r="F3918" i="11"/>
  <c r="F3917" i="11"/>
  <c r="G3917" i="11" s="1"/>
  <c r="F3916" i="11"/>
  <c r="G3916" i="11" s="1"/>
  <c r="H3915" i="11"/>
  <c r="G3915" i="11"/>
  <c r="I3915" i="11" s="1"/>
  <c r="F3915" i="11"/>
  <c r="G3914" i="11"/>
  <c r="F3914" i="11"/>
  <c r="F3913" i="11"/>
  <c r="G3913" i="11" s="1"/>
  <c r="F3912" i="11"/>
  <c r="G3912" i="11" s="1"/>
  <c r="H3911" i="11"/>
  <c r="G3911" i="11"/>
  <c r="I3911" i="11" s="1"/>
  <c r="F3911" i="11"/>
  <c r="G3910" i="11"/>
  <c r="F3910" i="11"/>
  <c r="F3909" i="11"/>
  <c r="G3909" i="11" s="1"/>
  <c r="F3908" i="11"/>
  <c r="G3908" i="11" s="1"/>
  <c r="H3907" i="11"/>
  <c r="G3907" i="11"/>
  <c r="I3907" i="11" s="1"/>
  <c r="F3907" i="11"/>
  <c r="G3906" i="11"/>
  <c r="F3906" i="11"/>
  <c r="F3905" i="11"/>
  <c r="G3905" i="11" s="1"/>
  <c r="F3904" i="11"/>
  <c r="G3904" i="11" s="1"/>
  <c r="H3903" i="11"/>
  <c r="G3903" i="11"/>
  <c r="I3903" i="11" s="1"/>
  <c r="F3903" i="11"/>
  <c r="G3902" i="11"/>
  <c r="F3902" i="11"/>
  <c r="F3901" i="11"/>
  <c r="G3901" i="11" s="1"/>
  <c r="F3900" i="11"/>
  <c r="G3900" i="11" s="1"/>
  <c r="H3899" i="11"/>
  <c r="G3899" i="11"/>
  <c r="I3899" i="11" s="1"/>
  <c r="F3899" i="11"/>
  <c r="G3898" i="11"/>
  <c r="F3898" i="11"/>
  <c r="F3897" i="11"/>
  <c r="G3897" i="11" s="1"/>
  <c r="F3896" i="11"/>
  <c r="G3896" i="11" s="1"/>
  <c r="H3895" i="11"/>
  <c r="G3895" i="11"/>
  <c r="I3895" i="11" s="1"/>
  <c r="F3895" i="11"/>
  <c r="G3894" i="11"/>
  <c r="F3894" i="11"/>
  <c r="F3893" i="11"/>
  <c r="G3893" i="11" s="1"/>
  <c r="F3892" i="11"/>
  <c r="G3892" i="11" s="1"/>
  <c r="H3891" i="11"/>
  <c r="G3891" i="11"/>
  <c r="I3891" i="11" s="1"/>
  <c r="F3891" i="11"/>
  <c r="G3890" i="11"/>
  <c r="F3890" i="11"/>
  <c r="F3889" i="11"/>
  <c r="G3889" i="11" s="1"/>
  <c r="F3888" i="11"/>
  <c r="G3888" i="11" s="1"/>
  <c r="H3887" i="11"/>
  <c r="G3887" i="11"/>
  <c r="I3887" i="11" s="1"/>
  <c r="F3887" i="11"/>
  <c r="G3886" i="11"/>
  <c r="F3886" i="11"/>
  <c r="F3885" i="11"/>
  <c r="G3885" i="11" s="1"/>
  <c r="F3884" i="11"/>
  <c r="G3884" i="11" s="1"/>
  <c r="H3883" i="11"/>
  <c r="G3883" i="11"/>
  <c r="I3883" i="11" s="1"/>
  <c r="F3883" i="11"/>
  <c r="G3882" i="11"/>
  <c r="F3882" i="11"/>
  <c r="F3881" i="11"/>
  <c r="G3881" i="11" s="1"/>
  <c r="F3880" i="11"/>
  <c r="G3880" i="11" s="1"/>
  <c r="H3879" i="11"/>
  <c r="G3879" i="11"/>
  <c r="I3879" i="11" s="1"/>
  <c r="F3879" i="11"/>
  <c r="G3878" i="11"/>
  <c r="F3878" i="11"/>
  <c r="F3877" i="11"/>
  <c r="G3877" i="11" s="1"/>
  <c r="F3876" i="11"/>
  <c r="G3876" i="11" s="1"/>
  <c r="H3875" i="11"/>
  <c r="G3875" i="11"/>
  <c r="I3875" i="11" s="1"/>
  <c r="F3875" i="11"/>
  <c r="G3874" i="11"/>
  <c r="F3874" i="11"/>
  <c r="F3873" i="11"/>
  <c r="G3873" i="11" s="1"/>
  <c r="F3872" i="11"/>
  <c r="G3872" i="11" s="1"/>
  <c r="H3871" i="11"/>
  <c r="G3871" i="11"/>
  <c r="I3871" i="11" s="1"/>
  <c r="F3871" i="11"/>
  <c r="G3870" i="11"/>
  <c r="F3870" i="11"/>
  <c r="F3869" i="11"/>
  <c r="G3869" i="11" s="1"/>
  <c r="F3868" i="11"/>
  <c r="G3868" i="11" s="1"/>
  <c r="H3867" i="11"/>
  <c r="G3867" i="11"/>
  <c r="I3867" i="11" s="1"/>
  <c r="F3867" i="11"/>
  <c r="G3866" i="11"/>
  <c r="F3866" i="11"/>
  <c r="F3865" i="11"/>
  <c r="G3865" i="11" s="1"/>
  <c r="F3864" i="11"/>
  <c r="G3864" i="11" s="1"/>
  <c r="H3863" i="11"/>
  <c r="G3863" i="11"/>
  <c r="I3863" i="11" s="1"/>
  <c r="F3863" i="11"/>
  <c r="G3862" i="11"/>
  <c r="F3862" i="11"/>
  <c r="F3861" i="11"/>
  <c r="G3861" i="11" s="1"/>
  <c r="F3860" i="11"/>
  <c r="G3860" i="11" s="1"/>
  <c r="H3859" i="11"/>
  <c r="G3859" i="11"/>
  <c r="I3859" i="11" s="1"/>
  <c r="F3859" i="11"/>
  <c r="G3858" i="11"/>
  <c r="F3858" i="11"/>
  <c r="F3857" i="11"/>
  <c r="G3857" i="11" s="1"/>
  <c r="F3856" i="11"/>
  <c r="G3856" i="11" s="1"/>
  <c r="H3855" i="11"/>
  <c r="G3855" i="11"/>
  <c r="I3855" i="11" s="1"/>
  <c r="F3855" i="11"/>
  <c r="G3854" i="11"/>
  <c r="F3854" i="11"/>
  <c r="F3853" i="11"/>
  <c r="G3853" i="11" s="1"/>
  <c r="F3852" i="11"/>
  <c r="G3852" i="11" s="1"/>
  <c r="H3851" i="11"/>
  <c r="G3851" i="11"/>
  <c r="I3851" i="11" s="1"/>
  <c r="F3851" i="11"/>
  <c r="G3850" i="11"/>
  <c r="F3850" i="11"/>
  <c r="F3849" i="11"/>
  <c r="G3849" i="11" s="1"/>
  <c r="F3848" i="11"/>
  <c r="G3848" i="11" s="1"/>
  <c r="H3847" i="11"/>
  <c r="G3847" i="11"/>
  <c r="I3847" i="11" s="1"/>
  <c r="F3847" i="11"/>
  <c r="G3846" i="11"/>
  <c r="F3846" i="11"/>
  <c r="F3845" i="11"/>
  <c r="G3845" i="11" s="1"/>
  <c r="F3844" i="11"/>
  <c r="G3844" i="11" s="1"/>
  <c r="H3843" i="11"/>
  <c r="G3843" i="11"/>
  <c r="I3843" i="11" s="1"/>
  <c r="F3843" i="11"/>
  <c r="G3842" i="11"/>
  <c r="F3842" i="11"/>
  <c r="F3841" i="11"/>
  <c r="G3841" i="11" s="1"/>
  <c r="F3840" i="11"/>
  <c r="G3840" i="11" s="1"/>
  <c r="H3839" i="11"/>
  <c r="G3839" i="11"/>
  <c r="I3839" i="11" s="1"/>
  <c r="F3839" i="11"/>
  <c r="G3838" i="11"/>
  <c r="F3838" i="11"/>
  <c r="F3837" i="11"/>
  <c r="G3837" i="11" s="1"/>
  <c r="F3836" i="11"/>
  <c r="G3836" i="11" s="1"/>
  <c r="H3835" i="11"/>
  <c r="G3835" i="11"/>
  <c r="I3835" i="11" s="1"/>
  <c r="F3835" i="11"/>
  <c r="G3834" i="11"/>
  <c r="F3834" i="11"/>
  <c r="F3833" i="11"/>
  <c r="G3833" i="11" s="1"/>
  <c r="F3832" i="11"/>
  <c r="G3832" i="11" s="1"/>
  <c r="H3831" i="11"/>
  <c r="G3831" i="11"/>
  <c r="I3831" i="11" s="1"/>
  <c r="F3831" i="11"/>
  <c r="G3830" i="11"/>
  <c r="F3830" i="11"/>
  <c r="F3829" i="11"/>
  <c r="G3829" i="11" s="1"/>
  <c r="F3828" i="11"/>
  <c r="G3828" i="11" s="1"/>
  <c r="H3827" i="11"/>
  <c r="G3827" i="11"/>
  <c r="I3827" i="11" s="1"/>
  <c r="F3827" i="11"/>
  <c r="G3826" i="11"/>
  <c r="F3826" i="11"/>
  <c r="F3825" i="11"/>
  <c r="G3825" i="11" s="1"/>
  <c r="F3824" i="11"/>
  <c r="G3824" i="11" s="1"/>
  <c r="H3823" i="11"/>
  <c r="G3823" i="11"/>
  <c r="I3823" i="11" s="1"/>
  <c r="F3823" i="11"/>
  <c r="G3822" i="11"/>
  <c r="F3822" i="11"/>
  <c r="F3821" i="11"/>
  <c r="G3821" i="11" s="1"/>
  <c r="F3820" i="11"/>
  <c r="G3820" i="11" s="1"/>
  <c r="H3819" i="11"/>
  <c r="G3819" i="11"/>
  <c r="I3819" i="11" s="1"/>
  <c r="F3819" i="11"/>
  <c r="G3818" i="11"/>
  <c r="F3818" i="11"/>
  <c r="F3817" i="11"/>
  <c r="G3817" i="11" s="1"/>
  <c r="F3816" i="11"/>
  <c r="G3816" i="11" s="1"/>
  <c r="H3815" i="11"/>
  <c r="G3815" i="11"/>
  <c r="I3815" i="11" s="1"/>
  <c r="F3815" i="11"/>
  <c r="G3814" i="11"/>
  <c r="F3814" i="11"/>
  <c r="F3813" i="11"/>
  <c r="G3813" i="11" s="1"/>
  <c r="F3812" i="11"/>
  <c r="G3812" i="11" s="1"/>
  <c r="H3811" i="11"/>
  <c r="G3811" i="11"/>
  <c r="I3811" i="11" s="1"/>
  <c r="F3811" i="11"/>
  <c r="G3810" i="11"/>
  <c r="F3810" i="11"/>
  <c r="F3809" i="11"/>
  <c r="G3809" i="11" s="1"/>
  <c r="F3808" i="11"/>
  <c r="G3808" i="11" s="1"/>
  <c r="H3807" i="11"/>
  <c r="G3807" i="11"/>
  <c r="I3807" i="11" s="1"/>
  <c r="F3807" i="11"/>
  <c r="G3806" i="11"/>
  <c r="F3806" i="11"/>
  <c r="F3805" i="11"/>
  <c r="G3805" i="11" s="1"/>
  <c r="F3804" i="11"/>
  <c r="G3804" i="11" s="1"/>
  <c r="H3803" i="11"/>
  <c r="G3803" i="11"/>
  <c r="I3803" i="11" s="1"/>
  <c r="F3803" i="11"/>
  <c r="G3802" i="11"/>
  <c r="F3802" i="11"/>
  <c r="F3801" i="11"/>
  <c r="G3801" i="11" s="1"/>
  <c r="F3800" i="11"/>
  <c r="G3800" i="11" s="1"/>
  <c r="H3799" i="11"/>
  <c r="G3799" i="11"/>
  <c r="I3799" i="11" s="1"/>
  <c r="F3799" i="11"/>
  <c r="G3798" i="11"/>
  <c r="F3798" i="11"/>
  <c r="F3797" i="11"/>
  <c r="G3797" i="11" s="1"/>
  <c r="F3796" i="11"/>
  <c r="G3796" i="11" s="1"/>
  <c r="H3795" i="11"/>
  <c r="G3795" i="11"/>
  <c r="I3795" i="11" s="1"/>
  <c r="F3795" i="11"/>
  <c r="G3794" i="11"/>
  <c r="F3794" i="11"/>
  <c r="F3793" i="11"/>
  <c r="G3793" i="11" s="1"/>
  <c r="F3792" i="11"/>
  <c r="G3792" i="11" s="1"/>
  <c r="H3791" i="11"/>
  <c r="G3791" i="11"/>
  <c r="I3791" i="11" s="1"/>
  <c r="F3791" i="11"/>
  <c r="G3790" i="11"/>
  <c r="F3790" i="11"/>
  <c r="F3789" i="11"/>
  <c r="G3789" i="11" s="1"/>
  <c r="F3788" i="11"/>
  <c r="G3788" i="11" s="1"/>
  <c r="H3787" i="11"/>
  <c r="G3787" i="11"/>
  <c r="I3787" i="11" s="1"/>
  <c r="F3787" i="11"/>
  <c r="G3786" i="11"/>
  <c r="F3786" i="11"/>
  <c r="F3785" i="11"/>
  <c r="G3785" i="11" s="1"/>
  <c r="F3784" i="11"/>
  <c r="G3784" i="11" s="1"/>
  <c r="H3783" i="11"/>
  <c r="G3783" i="11"/>
  <c r="I3783" i="11" s="1"/>
  <c r="F3783" i="11"/>
  <c r="G3782" i="11"/>
  <c r="F3782" i="11"/>
  <c r="F3781" i="11"/>
  <c r="G3781" i="11" s="1"/>
  <c r="F3780" i="11"/>
  <c r="G3780" i="11" s="1"/>
  <c r="H3779" i="11"/>
  <c r="G3779" i="11"/>
  <c r="I3779" i="11" s="1"/>
  <c r="F3779" i="11"/>
  <c r="G3778" i="11"/>
  <c r="F3778" i="11"/>
  <c r="F3777" i="11"/>
  <c r="G3777" i="11" s="1"/>
  <c r="F3776" i="11"/>
  <c r="G3776" i="11" s="1"/>
  <c r="H3775" i="11"/>
  <c r="G3775" i="11"/>
  <c r="I3775" i="11" s="1"/>
  <c r="F3775" i="11"/>
  <c r="G3774" i="11"/>
  <c r="F3774" i="11"/>
  <c r="F3773" i="11"/>
  <c r="G3773" i="11" s="1"/>
  <c r="F3772" i="11"/>
  <c r="G3772" i="11" s="1"/>
  <c r="H3771" i="11"/>
  <c r="G3771" i="11"/>
  <c r="I3771" i="11" s="1"/>
  <c r="F3771" i="11"/>
  <c r="G3770" i="11"/>
  <c r="F3770" i="11"/>
  <c r="F3769" i="11"/>
  <c r="G3769" i="11" s="1"/>
  <c r="F3768" i="11"/>
  <c r="G3768" i="11" s="1"/>
  <c r="H3767" i="11"/>
  <c r="G3767" i="11"/>
  <c r="I3767" i="11" s="1"/>
  <c r="F3767" i="11"/>
  <c r="G3766" i="11"/>
  <c r="F3766" i="11"/>
  <c r="F3765" i="11"/>
  <c r="G3765" i="11" s="1"/>
  <c r="F3764" i="11"/>
  <c r="G3764" i="11" s="1"/>
  <c r="H3763" i="11"/>
  <c r="G3763" i="11"/>
  <c r="I3763" i="11" s="1"/>
  <c r="F3763" i="11"/>
  <c r="G3762" i="11"/>
  <c r="F3762" i="11"/>
  <c r="F3761" i="11"/>
  <c r="G3761" i="11" s="1"/>
  <c r="F3760" i="11"/>
  <c r="G3760" i="11" s="1"/>
  <c r="H3759" i="11"/>
  <c r="G3759" i="11"/>
  <c r="I3759" i="11" s="1"/>
  <c r="F3759" i="11"/>
  <c r="G3758" i="11"/>
  <c r="F3758" i="11"/>
  <c r="F3757" i="11"/>
  <c r="G3757" i="11" s="1"/>
  <c r="F3756" i="11"/>
  <c r="G3756" i="11" s="1"/>
  <c r="H3755" i="11"/>
  <c r="G3755" i="11"/>
  <c r="I3755" i="11" s="1"/>
  <c r="F3755" i="11"/>
  <c r="G3754" i="11"/>
  <c r="F3754" i="11"/>
  <c r="F3753" i="11"/>
  <c r="G3753" i="11" s="1"/>
  <c r="F3752" i="11"/>
  <c r="G3752" i="11" s="1"/>
  <c r="H3751" i="11"/>
  <c r="G3751" i="11"/>
  <c r="I3751" i="11" s="1"/>
  <c r="F3751" i="11"/>
  <c r="G3750" i="11"/>
  <c r="F3750" i="11"/>
  <c r="F3749" i="11"/>
  <c r="G3749" i="11" s="1"/>
  <c r="F3748" i="11"/>
  <c r="G3748" i="11" s="1"/>
  <c r="H3747" i="11"/>
  <c r="G3747" i="11"/>
  <c r="I3747" i="11" s="1"/>
  <c r="F3747" i="11"/>
  <c r="G3746" i="11"/>
  <c r="F3746" i="11"/>
  <c r="F3745" i="11"/>
  <c r="G3745" i="11" s="1"/>
  <c r="F3744" i="11"/>
  <c r="G3744" i="11" s="1"/>
  <c r="H3743" i="11"/>
  <c r="G3743" i="11"/>
  <c r="I3743" i="11" s="1"/>
  <c r="F3743" i="11"/>
  <c r="G3742" i="11"/>
  <c r="F3742" i="11"/>
  <c r="F3741" i="11"/>
  <c r="G3741" i="11" s="1"/>
  <c r="F3740" i="11"/>
  <c r="G3740" i="11" s="1"/>
  <c r="H3739" i="11"/>
  <c r="G3739" i="11"/>
  <c r="I3739" i="11" s="1"/>
  <c r="F3739" i="11"/>
  <c r="G3738" i="11"/>
  <c r="F3738" i="11"/>
  <c r="F3737" i="11"/>
  <c r="G3737" i="11" s="1"/>
  <c r="F3736" i="11"/>
  <c r="G3736" i="11" s="1"/>
  <c r="H3735" i="11"/>
  <c r="G3735" i="11"/>
  <c r="I3735" i="11" s="1"/>
  <c r="F3735" i="11"/>
  <c r="G3734" i="11"/>
  <c r="F3734" i="11"/>
  <c r="F3733" i="11"/>
  <c r="G3733" i="11" s="1"/>
  <c r="F3732" i="11"/>
  <c r="G3732" i="11" s="1"/>
  <c r="H3731" i="11"/>
  <c r="G3731" i="11"/>
  <c r="I3731" i="11" s="1"/>
  <c r="F3731" i="11"/>
  <c r="G3730" i="11"/>
  <c r="F3730" i="11"/>
  <c r="F3729" i="11"/>
  <c r="G3729" i="11" s="1"/>
  <c r="F3728" i="11"/>
  <c r="G3728" i="11" s="1"/>
  <c r="H3727" i="11"/>
  <c r="G3727" i="11"/>
  <c r="I3727" i="11" s="1"/>
  <c r="F3727" i="11"/>
  <c r="G3726" i="11"/>
  <c r="F3726" i="11"/>
  <c r="F3725" i="11"/>
  <c r="G3725" i="11" s="1"/>
  <c r="F3724" i="11"/>
  <c r="G3724" i="11" s="1"/>
  <c r="H3723" i="11"/>
  <c r="G3723" i="11"/>
  <c r="I3723" i="11" s="1"/>
  <c r="F3723" i="11"/>
  <c r="G3722" i="11"/>
  <c r="F3722" i="11"/>
  <c r="F3721" i="11"/>
  <c r="G3721" i="11" s="1"/>
  <c r="F3720" i="11"/>
  <c r="G3720" i="11" s="1"/>
  <c r="H3719" i="11"/>
  <c r="G3719" i="11"/>
  <c r="I3719" i="11" s="1"/>
  <c r="F3719" i="11"/>
  <c r="G3718" i="11"/>
  <c r="F3718" i="11"/>
  <c r="F3717" i="11"/>
  <c r="G3717" i="11" s="1"/>
  <c r="F3716" i="11"/>
  <c r="G3716" i="11" s="1"/>
  <c r="H3715" i="11"/>
  <c r="G3715" i="11"/>
  <c r="I3715" i="11" s="1"/>
  <c r="F3715" i="11"/>
  <c r="G3714" i="11"/>
  <c r="F3714" i="11"/>
  <c r="F3713" i="11"/>
  <c r="G3713" i="11" s="1"/>
  <c r="F3712" i="11"/>
  <c r="G3712" i="11" s="1"/>
  <c r="H3711" i="11"/>
  <c r="G3711" i="11"/>
  <c r="I3711" i="11" s="1"/>
  <c r="F3711" i="11"/>
  <c r="G3710" i="11"/>
  <c r="F3710" i="11"/>
  <c r="F3709" i="11"/>
  <c r="G3709" i="11" s="1"/>
  <c r="F3708" i="11"/>
  <c r="G3708" i="11" s="1"/>
  <c r="H3707" i="11"/>
  <c r="G3707" i="11"/>
  <c r="I3707" i="11" s="1"/>
  <c r="F3707" i="11"/>
  <c r="G3706" i="11"/>
  <c r="F3706" i="11"/>
  <c r="F3705" i="11"/>
  <c r="G3705" i="11" s="1"/>
  <c r="F3704" i="11"/>
  <c r="G3704" i="11" s="1"/>
  <c r="H3703" i="11"/>
  <c r="G3703" i="11"/>
  <c r="I3703" i="11" s="1"/>
  <c r="F3703" i="11"/>
  <c r="G3702" i="11"/>
  <c r="F3702" i="11"/>
  <c r="F3701" i="11"/>
  <c r="G3701" i="11" s="1"/>
  <c r="F3700" i="11"/>
  <c r="G3700" i="11" s="1"/>
  <c r="H3699" i="11"/>
  <c r="G3699" i="11"/>
  <c r="I3699" i="11" s="1"/>
  <c r="F3699" i="11"/>
  <c r="G3698" i="11"/>
  <c r="F3698" i="11"/>
  <c r="F3697" i="11"/>
  <c r="G3697" i="11" s="1"/>
  <c r="F3696" i="11"/>
  <c r="G3696" i="11" s="1"/>
  <c r="H3695" i="11"/>
  <c r="G3695" i="11"/>
  <c r="I3695" i="11" s="1"/>
  <c r="F3695" i="11"/>
  <c r="G3694" i="11"/>
  <c r="F3694" i="11"/>
  <c r="F3693" i="11"/>
  <c r="G3693" i="11" s="1"/>
  <c r="F3692" i="11"/>
  <c r="G3692" i="11" s="1"/>
  <c r="H3691" i="11"/>
  <c r="G3691" i="11"/>
  <c r="I3691" i="11" s="1"/>
  <c r="F3691" i="11"/>
  <c r="G3690" i="11"/>
  <c r="F3690" i="11"/>
  <c r="F3689" i="11"/>
  <c r="G3689" i="11" s="1"/>
  <c r="F3688" i="11"/>
  <c r="G3688" i="11" s="1"/>
  <c r="H3687" i="11"/>
  <c r="G3687" i="11"/>
  <c r="I3687" i="11" s="1"/>
  <c r="F3687" i="11"/>
  <c r="G3686" i="11"/>
  <c r="F3686" i="11"/>
  <c r="F3685" i="11"/>
  <c r="G3685" i="11" s="1"/>
  <c r="F3684" i="11"/>
  <c r="G3684" i="11" s="1"/>
  <c r="H3683" i="11"/>
  <c r="G3683" i="11"/>
  <c r="I3683" i="11" s="1"/>
  <c r="F3683" i="11"/>
  <c r="G3682" i="11"/>
  <c r="F3682" i="11"/>
  <c r="F3681" i="11"/>
  <c r="G3681" i="11" s="1"/>
  <c r="F3680" i="11"/>
  <c r="G3680" i="11" s="1"/>
  <c r="H3679" i="11"/>
  <c r="G3679" i="11"/>
  <c r="I3679" i="11" s="1"/>
  <c r="F3679" i="11"/>
  <c r="G3678" i="11"/>
  <c r="F3678" i="11"/>
  <c r="F3677" i="11"/>
  <c r="G3677" i="11" s="1"/>
  <c r="F3676" i="11"/>
  <c r="G3676" i="11" s="1"/>
  <c r="H3675" i="11"/>
  <c r="G3675" i="11"/>
  <c r="I3675" i="11" s="1"/>
  <c r="F3675" i="11"/>
  <c r="G3674" i="11"/>
  <c r="F3674" i="11"/>
  <c r="F3673" i="11"/>
  <c r="G3673" i="11" s="1"/>
  <c r="F3672" i="11"/>
  <c r="G3672" i="11" s="1"/>
  <c r="H3671" i="11"/>
  <c r="G3671" i="11"/>
  <c r="I3671" i="11" s="1"/>
  <c r="F3671" i="11"/>
  <c r="G3670" i="11"/>
  <c r="F3670" i="11"/>
  <c r="F3669" i="11"/>
  <c r="G3669" i="11" s="1"/>
  <c r="F3668" i="11"/>
  <c r="G3668" i="11" s="1"/>
  <c r="H3667" i="11"/>
  <c r="G3667" i="11"/>
  <c r="I3667" i="11" s="1"/>
  <c r="F3667" i="11"/>
  <c r="G3666" i="11"/>
  <c r="F3666" i="11"/>
  <c r="F3665" i="11"/>
  <c r="G3665" i="11" s="1"/>
  <c r="F3664" i="11"/>
  <c r="G3664" i="11" s="1"/>
  <c r="H3663" i="11"/>
  <c r="G3663" i="11"/>
  <c r="I3663" i="11" s="1"/>
  <c r="F3663" i="11"/>
  <c r="G3662" i="11"/>
  <c r="F3662" i="11"/>
  <c r="F3661" i="11"/>
  <c r="G3661" i="11" s="1"/>
  <c r="F3660" i="11"/>
  <c r="G3660" i="11" s="1"/>
  <c r="H3659" i="11"/>
  <c r="G3659" i="11"/>
  <c r="I3659" i="11" s="1"/>
  <c r="F3659" i="11"/>
  <c r="G3658" i="11"/>
  <c r="F3658" i="11"/>
  <c r="F3657" i="11"/>
  <c r="G3657" i="11" s="1"/>
  <c r="F3656" i="11"/>
  <c r="G3656" i="11" s="1"/>
  <c r="H3655" i="11"/>
  <c r="G3655" i="11"/>
  <c r="I3655" i="11" s="1"/>
  <c r="F3655" i="11"/>
  <c r="G3654" i="11"/>
  <c r="F3654" i="11"/>
  <c r="F3653" i="11"/>
  <c r="G3653" i="11" s="1"/>
  <c r="F3652" i="11"/>
  <c r="G3652" i="11" s="1"/>
  <c r="H3651" i="11"/>
  <c r="G3651" i="11"/>
  <c r="I3651" i="11" s="1"/>
  <c r="F3651" i="11"/>
  <c r="G3650" i="11"/>
  <c r="F3650" i="11"/>
  <c r="F3649" i="11"/>
  <c r="G3649" i="11" s="1"/>
  <c r="F3648" i="11"/>
  <c r="G3648" i="11" s="1"/>
  <c r="H3647" i="11"/>
  <c r="G3647" i="11"/>
  <c r="I3647" i="11" s="1"/>
  <c r="F3647" i="11"/>
  <c r="G3646" i="11"/>
  <c r="F3646" i="11"/>
  <c r="F3645" i="11"/>
  <c r="G3645" i="11" s="1"/>
  <c r="F3644" i="11"/>
  <c r="G3644" i="11" s="1"/>
  <c r="H3643" i="11"/>
  <c r="G3643" i="11"/>
  <c r="I3643" i="11" s="1"/>
  <c r="F3643" i="11"/>
  <c r="G3642" i="11"/>
  <c r="F3642" i="11"/>
  <c r="F3641" i="11"/>
  <c r="G3641" i="11" s="1"/>
  <c r="F3640" i="11"/>
  <c r="G3640" i="11" s="1"/>
  <c r="H3639" i="11"/>
  <c r="G3639" i="11"/>
  <c r="I3639" i="11" s="1"/>
  <c r="F3639" i="11"/>
  <c r="G3638" i="11"/>
  <c r="F3638" i="11"/>
  <c r="F3637" i="11"/>
  <c r="G3637" i="11" s="1"/>
  <c r="F3636" i="11"/>
  <c r="G3636" i="11" s="1"/>
  <c r="H3635" i="11"/>
  <c r="G3635" i="11"/>
  <c r="I3635" i="11" s="1"/>
  <c r="F3635" i="11"/>
  <c r="G3634" i="11"/>
  <c r="F3634" i="11"/>
  <c r="F3633" i="11"/>
  <c r="G3633" i="11" s="1"/>
  <c r="F3632" i="11"/>
  <c r="G3632" i="11" s="1"/>
  <c r="H3631" i="11"/>
  <c r="G3631" i="11"/>
  <c r="I3631" i="11" s="1"/>
  <c r="F3631" i="11"/>
  <c r="G3630" i="11"/>
  <c r="F3630" i="11"/>
  <c r="F3629" i="11"/>
  <c r="G3629" i="11" s="1"/>
  <c r="F3628" i="11"/>
  <c r="G3628" i="11" s="1"/>
  <c r="H3627" i="11"/>
  <c r="G3627" i="11"/>
  <c r="I3627" i="11" s="1"/>
  <c r="F3627" i="11"/>
  <c r="G3626" i="11"/>
  <c r="F3626" i="11"/>
  <c r="F3625" i="11"/>
  <c r="G3625" i="11" s="1"/>
  <c r="F3624" i="11"/>
  <c r="G3624" i="11" s="1"/>
  <c r="H3623" i="11"/>
  <c r="G3623" i="11"/>
  <c r="I3623" i="11" s="1"/>
  <c r="F3623" i="11"/>
  <c r="G3622" i="11"/>
  <c r="F3622" i="11"/>
  <c r="F3621" i="11"/>
  <c r="G3621" i="11" s="1"/>
  <c r="F3620" i="11"/>
  <c r="G3620" i="11" s="1"/>
  <c r="H3619" i="11"/>
  <c r="G3619" i="11"/>
  <c r="I3619" i="11" s="1"/>
  <c r="F3619" i="11"/>
  <c r="G3618" i="11"/>
  <c r="F3618" i="11"/>
  <c r="F3617" i="11"/>
  <c r="G3617" i="11" s="1"/>
  <c r="F3616" i="11"/>
  <c r="G3616" i="11" s="1"/>
  <c r="H3615" i="11"/>
  <c r="G3615" i="11"/>
  <c r="I3615" i="11" s="1"/>
  <c r="F3615" i="11"/>
  <c r="G3614" i="11"/>
  <c r="F3614" i="11"/>
  <c r="F3613" i="11"/>
  <c r="G3613" i="11" s="1"/>
  <c r="F3612" i="11"/>
  <c r="G3612" i="11" s="1"/>
  <c r="H3611" i="11"/>
  <c r="G3611" i="11"/>
  <c r="I3611" i="11" s="1"/>
  <c r="F3611" i="11"/>
  <c r="G3610" i="11"/>
  <c r="F3610" i="11"/>
  <c r="F3609" i="11"/>
  <c r="G3609" i="11" s="1"/>
  <c r="F3608" i="11"/>
  <c r="G3608" i="11" s="1"/>
  <c r="H3607" i="11"/>
  <c r="G3607" i="11"/>
  <c r="I3607" i="11" s="1"/>
  <c r="F3607" i="11"/>
  <c r="G3606" i="11"/>
  <c r="F3606" i="11"/>
  <c r="F3605" i="11"/>
  <c r="G3605" i="11" s="1"/>
  <c r="F3604" i="11"/>
  <c r="G3604" i="11" s="1"/>
  <c r="H3603" i="11"/>
  <c r="G3603" i="11"/>
  <c r="I3603" i="11" s="1"/>
  <c r="F3603" i="11"/>
  <c r="G3602" i="11"/>
  <c r="F3602" i="11"/>
  <c r="F3601" i="11"/>
  <c r="G3601" i="11" s="1"/>
  <c r="F3600" i="11"/>
  <c r="G3600" i="11" s="1"/>
  <c r="H3599" i="11"/>
  <c r="G3599" i="11"/>
  <c r="I3599" i="11" s="1"/>
  <c r="F3599" i="11"/>
  <c r="G3598" i="11"/>
  <c r="F3598" i="11"/>
  <c r="F3597" i="11"/>
  <c r="G3597" i="11" s="1"/>
  <c r="F3596" i="11"/>
  <c r="G3596" i="11" s="1"/>
  <c r="H3595" i="11"/>
  <c r="G3595" i="11"/>
  <c r="I3595" i="11" s="1"/>
  <c r="F3595" i="11"/>
  <c r="G3594" i="11"/>
  <c r="F3594" i="11"/>
  <c r="F3593" i="11"/>
  <c r="G3593" i="11" s="1"/>
  <c r="F3592" i="11"/>
  <c r="G3592" i="11" s="1"/>
  <c r="H3591" i="11"/>
  <c r="G3591" i="11"/>
  <c r="I3591" i="11" s="1"/>
  <c r="F3591" i="11"/>
  <c r="G3590" i="11"/>
  <c r="F3590" i="11"/>
  <c r="F3589" i="11"/>
  <c r="G3589" i="11" s="1"/>
  <c r="F3588" i="11"/>
  <c r="G3588" i="11" s="1"/>
  <c r="H3587" i="11"/>
  <c r="G3587" i="11"/>
  <c r="I3587" i="11" s="1"/>
  <c r="F3587" i="11"/>
  <c r="G3586" i="11"/>
  <c r="F3586" i="11"/>
  <c r="F3585" i="11"/>
  <c r="G3585" i="11" s="1"/>
  <c r="F3584" i="11"/>
  <c r="G3584" i="11" s="1"/>
  <c r="H3583" i="11"/>
  <c r="G3583" i="11"/>
  <c r="I3583" i="11" s="1"/>
  <c r="F3583" i="11"/>
  <c r="G3582" i="11"/>
  <c r="F3582" i="11"/>
  <c r="F3581" i="11"/>
  <c r="G3581" i="11" s="1"/>
  <c r="F3580" i="11"/>
  <c r="G3580" i="11" s="1"/>
  <c r="H3579" i="11"/>
  <c r="G3579" i="11"/>
  <c r="I3579" i="11" s="1"/>
  <c r="F3579" i="11"/>
  <c r="G3578" i="11"/>
  <c r="F3578" i="11"/>
  <c r="F3577" i="11"/>
  <c r="G3577" i="11" s="1"/>
  <c r="F3576" i="11"/>
  <c r="G3576" i="11" s="1"/>
  <c r="H3575" i="11"/>
  <c r="G3575" i="11"/>
  <c r="I3575" i="11" s="1"/>
  <c r="F3575" i="11"/>
  <c r="G3574" i="11"/>
  <c r="F3574" i="11"/>
  <c r="F3573" i="11"/>
  <c r="G3573" i="11" s="1"/>
  <c r="F3572" i="11"/>
  <c r="G3572" i="11" s="1"/>
  <c r="H3571" i="11"/>
  <c r="G3571" i="11"/>
  <c r="I3571" i="11" s="1"/>
  <c r="F3571" i="11"/>
  <c r="G3570" i="11"/>
  <c r="F3570" i="11"/>
  <c r="F3569" i="11"/>
  <c r="G3569" i="11" s="1"/>
  <c r="F3568" i="11"/>
  <c r="G3568" i="11" s="1"/>
  <c r="H3567" i="11"/>
  <c r="G3567" i="11"/>
  <c r="I3567" i="11" s="1"/>
  <c r="F3567" i="11"/>
  <c r="G3566" i="11"/>
  <c r="F3566" i="11"/>
  <c r="F3565" i="11"/>
  <c r="G3565" i="11" s="1"/>
  <c r="F3564" i="11"/>
  <c r="G3564" i="11" s="1"/>
  <c r="H3563" i="11"/>
  <c r="G3563" i="11"/>
  <c r="I3563" i="11" s="1"/>
  <c r="F3563" i="11"/>
  <c r="G3562" i="11"/>
  <c r="F3562" i="11"/>
  <c r="F3561" i="11"/>
  <c r="G3561" i="11" s="1"/>
  <c r="F3560" i="11"/>
  <c r="G3560" i="11" s="1"/>
  <c r="H3559" i="11"/>
  <c r="G3559" i="11"/>
  <c r="I3559" i="11" s="1"/>
  <c r="F3559" i="11"/>
  <c r="G3558" i="11"/>
  <c r="F3558" i="11"/>
  <c r="F3557" i="11"/>
  <c r="G3557" i="11" s="1"/>
  <c r="F3556" i="11"/>
  <c r="G3556" i="11" s="1"/>
  <c r="H3555" i="11"/>
  <c r="G3555" i="11"/>
  <c r="I3555" i="11" s="1"/>
  <c r="F3555" i="11"/>
  <c r="G3554" i="11"/>
  <c r="F3554" i="11"/>
  <c r="F3553" i="11"/>
  <c r="G3553" i="11" s="1"/>
  <c r="F3552" i="11"/>
  <c r="G3552" i="11" s="1"/>
  <c r="H3551" i="11"/>
  <c r="G3551" i="11"/>
  <c r="I3551" i="11" s="1"/>
  <c r="F3551" i="11"/>
  <c r="G3550" i="11"/>
  <c r="F3550" i="11"/>
  <c r="F3549" i="11"/>
  <c r="G3549" i="11" s="1"/>
  <c r="F3548" i="11"/>
  <c r="G3548" i="11" s="1"/>
  <c r="H3547" i="11"/>
  <c r="G3547" i="11"/>
  <c r="I3547" i="11" s="1"/>
  <c r="F3547" i="11"/>
  <c r="G3546" i="11"/>
  <c r="F3546" i="11"/>
  <c r="F3545" i="11"/>
  <c r="G3545" i="11" s="1"/>
  <c r="F3544" i="11"/>
  <c r="G3544" i="11" s="1"/>
  <c r="H3543" i="11"/>
  <c r="G3543" i="11"/>
  <c r="I3543" i="11" s="1"/>
  <c r="F3543" i="11"/>
  <c r="G3542" i="11"/>
  <c r="F3542" i="11"/>
  <c r="F3541" i="11"/>
  <c r="G3541" i="11" s="1"/>
  <c r="F3540" i="11"/>
  <c r="G3540" i="11" s="1"/>
  <c r="H3539" i="11"/>
  <c r="G3539" i="11"/>
  <c r="I3539" i="11" s="1"/>
  <c r="F3539" i="11"/>
  <c r="G3538" i="11"/>
  <c r="F3538" i="11"/>
  <c r="F3537" i="11"/>
  <c r="G3537" i="11" s="1"/>
  <c r="F3536" i="11"/>
  <c r="G3536" i="11" s="1"/>
  <c r="H3535" i="11"/>
  <c r="G3535" i="11"/>
  <c r="I3535" i="11" s="1"/>
  <c r="F3535" i="11"/>
  <c r="G3534" i="11"/>
  <c r="F3534" i="11"/>
  <c r="F3533" i="11"/>
  <c r="G3533" i="11" s="1"/>
  <c r="F3532" i="11"/>
  <c r="G3532" i="11" s="1"/>
  <c r="H3531" i="11"/>
  <c r="G3531" i="11"/>
  <c r="I3531" i="11" s="1"/>
  <c r="F3531" i="11"/>
  <c r="G3530" i="11"/>
  <c r="F3530" i="11"/>
  <c r="F3529" i="11"/>
  <c r="G3529" i="11" s="1"/>
  <c r="F3528" i="11"/>
  <c r="G3528" i="11" s="1"/>
  <c r="H3527" i="11"/>
  <c r="G3527" i="11"/>
  <c r="I3527" i="11" s="1"/>
  <c r="F3527" i="11"/>
  <c r="G3526" i="11"/>
  <c r="F3526" i="11"/>
  <c r="F3525" i="11"/>
  <c r="G3525" i="11" s="1"/>
  <c r="F3524" i="11"/>
  <c r="G3524" i="11" s="1"/>
  <c r="H3523" i="11"/>
  <c r="G3523" i="11"/>
  <c r="I3523" i="11" s="1"/>
  <c r="F3523" i="11"/>
  <c r="G3522" i="11"/>
  <c r="F3522" i="11"/>
  <c r="F3521" i="11"/>
  <c r="G3521" i="11" s="1"/>
  <c r="F3520" i="11"/>
  <c r="G3520" i="11" s="1"/>
  <c r="H3519" i="11"/>
  <c r="G3519" i="11"/>
  <c r="I3519" i="11" s="1"/>
  <c r="F3519" i="11"/>
  <c r="G3518" i="11"/>
  <c r="F3518" i="11"/>
  <c r="F3517" i="11"/>
  <c r="G3517" i="11" s="1"/>
  <c r="F3516" i="11"/>
  <c r="G3516" i="11" s="1"/>
  <c r="H3515" i="11"/>
  <c r="G3515" i="11"/>
  <c r="I3515" i="11" s="1"/>
  <c r="F3515" i="11"/>
  <c r="G3514" i="11"/>
  <c r="F3514" i="11"/>
  <c r="F3513" i="11"/>
  <c r="G3513" i="11" s="1"/>
  <c r="F3512" i="11"/>
  <c r="G3512" i="11" s="1"/>
  <c r="H3511" i="11"/>
  <c r="G3511" i="11"/>
  <c r="I3511" i="11" s="1"/>
  <c r="F3511" i="11"/>
  <c r="G3510" i="11"/>
  <c r="F3510" i="11"/>
  <c r="F3509" i="11"/>
  <c r="G3509" i="11" s="1"/>
  <c r="F3508" i="11"/>
  <c r="G3508" i="11" s="1"/>
  <c r="H3507" i="11"/>
  <c r="G3507" i="11"/>
  <c r="I3507" i="11" s="1"/>
  <c r="F3507" i="11"/>
  <c r="G3506" i="11"/>
  <c r="F3506" i="11"/>
  <c r="F3505" i="11"/>
  <c r="G3505" i="11" s="1"/>
  <c r="F3504" i="11"/>
  <c r="G3504" i="11" s="1"/>
  <c r="H3503" i="11"/>
  <c r="G3503" i="11"/>
  <c r="I3503" i="11" s="1"/>
  <c r="F3503" i="11"/>
  <c r="G3502" i="11"/>
  <c r="F3502" i="11"/>
  <c r="F3501" i="11"/>
  <c r="G3501" i="11" s="1"/>
  <c r="F3500" i="11"/>
  <c r="G3500" i="11" s="1"/>
  <c r="H3499" i="11"/>
  <c r="G3499" i="11"/>
  <c r="I3499" i="11" s="1"/>
  <c r="F3499" i="11"/>
  <c r="G3498" i="11"/>
  <c r="F3498" i="11"/>
  <c r="F3497" i="11"/>
  <c r="G3497" i="11" s="1"/>
  <c r="F3496" i="11"/>
  <c r="G3496" i="11" s="1"/>
  <c r="H3495" i="11"/>
  <c r="G3495" i="11"/>
  <c r="I3495" i="11" s="1"/>
  <c r="F3495" i="11"/>
  <c r="G3494" i="11"/>
  <c r="F3494" i="11"/>
  <c r="F3493" i="11"/>
  <c r="G3493" i="11" s="1"/>
  <c r="F3492" i="11"/>
  <c r="G3492" i="11" s="1"/>
  <c r="H3491" i="11"/>
  <c r="G3491" i="11"/>
  <c r="I3491" i="11" s="1"/>
  <c r="F3491" i="11"/>
  <c r="G3490" i="11"/>
  <c r="F3490" i="11"/>
  <c r="F3489" i="11"/>
  <c r="G3489" i="11" s="1"/>
  <c r="F3488" i="11"/>
  <c r="G3488" i="11" s="1"/>
  <c r="H3487" i="11"/>
  <c r="G3487" i="11"/>
  <c r="I3487" i="11" s="1"/>
  <c r="F3487" i="11"/>
  <c r="G3486" i="11"/>
  <c r="F3486" i="11"/>
  <c r="F3485" i="11"/>
  <c r="G3485" i="11" s="1"/>
  <c r="F3484" i="11"/>
  <c r="G3484" i="11" s="1"/>
  <c r="H3483" i="11"/>
  <c r="G3483" i="11"/>
  <c r="I3483" i="11" s="1"/>
  <c r="F3483" i="11"/>
  <c r="G3482" i="11"/>
  <c r="F3482" i="11"/>
  <c r="F3481" i="11"/>
  <c r="G3481" i="11" s="1"/>
  <c r="F3480" i="11"/>
  <c r="G3480" i="11" s="1"/>
  <c r="H3479" i="11"/>
  <c r="G3479" i="11"/>
  <c r="I3479" i="11" s="1"/>
  <c r="F3479" i="11"/>
  <c r="G3478" i="11"/>
  <c r="F3478" i="11"/>
  <c r="F3477" i="11"/>
  <c r="G3477" i="11" s="1"/>
  <c r="F3476" i="11"/>
  <c r="G3476" i="11" s="1"/>
  <c r="H3475" i="11"/>
  <c r="G3475" i="11"/>
  <c r="I3475" i="11" s="1"/>
  <c r="F3475" i="11"/>
  <c r="G3474" i="11"/>
  <c r="F3474" i="11"/>
  <c r="F3473" i="11"/>
  <c r="G3473" i="11" s="1"/>
  <c r="F3472" i="11"/>
  <c r="G3472" i="11" s="1"/>
  <c r="H3471" i="11"/>
  <c r="G3471" i="11"/>
  <c r="I3471" i="11" s="1"/>
  <c r="F3471" i="11"/>
  <c r="G3470" i="11"/>
  <c r="F3470" i="11"/>
  <c r="F3469" i="11"/>
  <c r="G3469" i="11" s="1"/>
  <c r="F3468" i="11"/>
  <c r="G3468" i="11" s="1"/>
  <c r="H3467" i="11"/>
  <c r="G3467" i="11"/>
  <c r="I3467" i="11" s="1"/>
  <c r="F3467" i="11"/>
  <c r="G3466" i="11"/>
  <c r="F3466" i="11"/>
  <c r="F3465" i="11"/>
  <c r="G3465" i="11" s="1"/>
  <c r="F3464" i="11"/>
  <c r="G3464" i="11" s="1"/>
  <c r="H3463" i="11"/>
  <c r="G3463" i="11"/>
  <c r="I3463" i="11" s="1"/>
  <c r="F3463" i="11"/>
  <c r="G3462" i="11"/>
  <c r="F3462" i="11"/>
  <c r="F3461" i="11"/>
  <c r="G3461" i="11" s="1"/>
  <c r="F3460" i="11"/>
  <c r="G3460" i="11" s="1"/>
  <c r="H3459" i="11"/>
  <c r="G3459" i="11"/>
  <c r="I3459" i="11" s="1"/>
  <c r="F3459" i="11"/>
  <c r="G3458" i="11"/>
  <c r="F3458" i="11"/>
  <c r="F3457" i="11"/>
  <c r="G3457" i="11" s="1"/>
  <c r="F3456" i="11"/>
  <c r="G3456" i="11" s="1"/>
  <c r="H3455" i="11"/>
  <c r="G3455" i="11"/>
  <c r="I3455" i="11" s="1"/>
  <c r="F3455" i="11"/>
  <c r="G3454" i="11"/>
  <c r="F3454" i="11"/>
  <c r="F3453" i="11"/>
  <c r="G3453" i="11" s="1"/>
  <c r="F3452" i="11"/>
  <c r="G3452" i="11" s="1"/>
  <c r="H3451" i="11"/>
  <c r="G3451" i="11"/>
  <c r="I3451" i="11" s="1"/>
  <c r="F3451" i="11"/>
  <c r="G3450" i="11"/>
  <c r="F3450" i="11"/>
  <c r="F3449" i="11"/>
  <c r="G3449" i="11" s="1"/>
  <c r="F3448" i="11"/>
  <c r="G3448" i="11" s="1"/>
  <c r="H3447" i="11"/>
  <c r="G3447" i="11"/>
  <c r="I3447" i="11" s="1"/>
  <c r="F3447" i="11"/>
  <c r="G3446" i="11"/>
  <c r="F3446" i="11"/>
  <c r="F3445" i="11"/>
  <c r="G3445" i="11" s="1"/>
  <c r="F3444" i="11"/>
  <c r="G3444" i="11" s="1"/>
  <c r="H3443" i="11"/>
  <c r="G3443" i="11"/>
  <c r="I3443" i="11" s="1"/>
  <c r="F3443" i="11"/>
  <c r="G3442" i="11"/>
  <c r="F3442" i="11"/>
  <c r="F3441" i="11"/>
  <c r="G3441" i="11" s="1"/>
  <c r="F3440" i="11"/>
  <c r="G3440" i="11" s="1"/>
  <c r="H3439" i="11"/>
  <c r="G3439" i="11"/>
  <c r="I3439" i="11" s="1"/>
  <c r="F3439" i="11"/>
  <c r="G3438" i="11"/>
  <c r="F3438" i="11"/>
  <c r="F3437" i="11"/>
  <c r="G3437" i="11" s="1"/>
  <c r="F3436" i="11"/>
  <c r="G3436" i="11" s="1"/>
  <c r="H3435" i="11"/>
  <c r="G3435" i="11"/>
  <c r="I3435" i="11" s="1"/>
  <c r="F3435" i="11"/>
  <c r="G3434" i="11"/>
  <c r="F3434" i="11"/>
  <c r="F3433" i="11"/>
  <c r="G3433" i="11" s="1"/>
  <c r="F3432" i="11"/>
  <c r="G3432" i="11" s="1"/>
  <c r="H3431" i="11"/>
  <c r="G3431" i="11"/>
  <c r="I3431" i="11" s="1"/>
  <c r="F3431" i="11"/>
  <c r="G3430" i="11"/>
  <c r="F3430" i="11"/>
  <c r="F3429" i="11"/>
  <c r="G3429" i="11" s="1"/>
  <c r="F3428" i="11"/>
  <c r="G3428" i="11" s="1"/>
  <c r="H3427" i="11"/>
  <c r="G3427" i="11"/>
  <c r="I3427" i="11" s="1"/>
  <c r="F3427" i="11"/>
  <c r="G3426" i="11"/>
  <c r="F3426" i="11"/>
  <c r="F3425" i="11"/>
  <c r="G3425" i="11" s="1"/>
  <c r="F3424" i="11"/>
  <c r="G3424" i="11" s="1"/>
  <c r="H3423" i="11"/>
  <c r="G3423" i="11"/>
  <c r="I3423" i="11" s="1"/>
  <c r="F3423" i="11"/>
  <c r="G3422" i="11"/>
  <c r="F3422" i="11"/>
  <c r="F3421" i="11"/>
  <c r="G3421" i="11" s="1"/>
  <c r="F3420" i="11"/>
  <c r="G3420" i="11" s="1"/>
  <c r="H3419" i="11"/>
  <c r="G3419" i="11"/>
  <c r="I3419" i="11" s="1"/>
  <c r="F3419" i="11"/>
  <c r="G3418" i="11"/>
  <c r="F3418" i="11"/>
  <c r="F3417" i="11"/>
  <c r="G3417" i="11" s="1"/>
  <c r="F3416" i="11"/>
  <c r="G3416" i="11" s="1"/>
  <c r="H3415" i="11"/>
  <c r="G3415" i="11"/>
  <c r="I3415" i="11" s="1"/>
  <c r="F3415" i="11"/>
  <c r="G3414" i="11"/>
  <c r="F3414" i="11"/>
  <c r="F3413" i="11"/>
  <c r="G3413" i="11" s="1"/>
  <c r="F3412" i="11"/>
  <c r="G3412" i="11" s="1"/>
  <c r="H3411" i="11"/>
  <c r="G3411" i="11"/>
  <c r="I3411" i="11" s="1"/>
  <c r="F3411" i="11"/>
  <c r="G3410" i="11"/>
  <c r="F3410" i="11"/>
  <c r="F3409" i="11"/>
  <c r="G3409" i="11" s="1"/>
  <c r="F3408" i="11"/>
  <c r="G3408" i="11" s="1"/>
  <c r="H3407" i="11"/>
  <c r="G3407" i="11"/>
  <c r="I3407" i="11" s="1"/>
  <c r="F3407" i="11"/>
  <c r="G3406" i="11"/>
  <c r="F3406" i="11"/>
  <c r="F3405" i="11"/>
  <c r="G3405" i="11" s="1"/>
  <c r="F3404" i="11"/>
  <c r="G3404" i="11" s="1"/>
  <c r="H3403" i="11"/>
  <c r="G3403" i="11"/>
  <c r="I3403" i="11" s="1"/>
  <c r="F3403" i="11"/>
  <c r="G3402" i="11"/>
  <c r="F3402" i="11"/>
  <c r="F3401" i="11"/>
  <c r="G3401" i="11" s="1"/>
  <c r="F3400" i="11"/>
  <c r="G3400" i="11" s="1"/>
  <c r="H3399" i="11"/>
  <c r="G3399" i="11"/>
  <c r="I3399" i="11" s="1"/>
  <c r="F3399" i="11"/>
  <c r="G3398" i="11"/>
  <c r="F3398" i="11"/>
  <c r="F3397" i="11"/>
  <c r="G3397" i="11" s="1"/>
  <c r="F3396" i="11"/>
  <c r="G3396" i="11" s="1"/>
  <c r="H3395" i="11"/>
  <c r="G3395" i="11"/>
  <c r="I3395" i="11" s="1"/>
  <c r="F3395" i="11"/>
  <c r="G3394" i="11"/>
  <c r="F3394" i="11"/>
  <c r="F3393" i="11"/>
  <c r="G3393" i="11" s="1"/>
  <c r="F3392" i="11"/>
  <c r="G3392" i="11" s="1"/>
  <c r="H3391" i="11"/>
  <c r="G3391" i="11"/>
  <c r="I3391" i="11" s="1"/>
  <c r="F3391" i="11"/>
  <c r="G3390" i="11"/>
  <c r="F3390" i="11"/>
  <c r="F3389" i="11"/>
  <c r="G3389" i="11" s="1"/>
  <c r="F3388" i="11"/>
  <c r="G3388" i="11" s="1"/>
  <c r="H3387" i="11"/>
  <c r="G3387" i="11"/>
  <c r="I3387" i="11" s="1"/>
  <c r="F3387" i="11"/>
  <c r="G3386" i="11"/>
  <c r="F3386" i="11"/>
  <c r="F3385" i="11"/>
  <c r="G3385" i="11" s="1"/>
  <c r="F3384" i="11"/>
  <c r="G3384" i="11" s="1"/>
  <c r="H3383" i="11"/>
  <c r="G3383" i="11"/>
  <c r="I3383" i="11" s="1"/>
  <c r="F3383" i="11"/>
  <c r="G3382" i="11"/>
  <c r="F3382" i="11"/>
  <c r="F3381" i="11"/>
  <c r="G3381" i="11" s="1"/>
  <c r="F3380" i="11"/>
  <c r="G3380" i="11" s="1"/>
  <c r="H3379" i="11"/>
  <c r="G3379" i="11"/>
  <c r="I3379" i="11" s="1"/>
  <c r="F3379" i="11"/>
  <c r="G3378" i="11"/>
  <c r="F3378" i="11"/>
  <c r="F3377" i="11"/>
  <c r="G3377" i="11" s="1"/>
  <c r="F3376" i="11"/>
  <c r="G3376" i="11" s="1"/>
  <c r="H3375" i="11"/>
  <c r="G3375" i="11"/>
  <c r="I3375" i="11" s="1"/>
  <c r="F3375" i="11"/>
  <c r="G3374" i="11"/>
  <c r="F3374" i="11"/>
  <c r="F3373" i="11"/>
  <c r="G3373" i="11" s="1"/>
  <c r="F3372" i="11"/>
  <c r="G3372" i="11" s="1"/>
  <c r="H3371" i="11"/>
  <c r="G3371" i="11"/>
  <c r="I3371" i="11" s="1"/>
  <c r="F3371" i="11"/>
  <c r="G3370" i="11"/>
  <c r="F3370" i="11"/>
  <c r="F3369" i="11"/>
  <c r="G3369" i="11" s="1"/>
  <c r="F3368" i="11"/>
  <c r="G3368" i="11" s="1"/>
  <c r="H3367" i="11"/>
  <c r="G3367" i="11"/>
  <c r="I3367" i="11" s="1"/>
  <c r="F3367" i="11"/>
  <c r="G3366" i="11"/>
  <c r="F3366" i="11"/>
  <c r="F3365" i="11"/>
  <c r="G3365" i="11" s="1"/>
  <c r="F3364" i="11"/>
  <c r="G3364" i="11" s="1"/>
  <c r="H3363" i="11"/>
  <c r="G3363" i="11"/>
  <c r="I3363" i="11" s="1"/>
  <c r="F3363" i="11"/>
  <c r="G3362" i="11"/>
  <c r="F3362" i="11"/>
  <c r="F3361" i="11"/>
  <c r="G3361" i="11" s="1"/>
  <c r="F3360" i="11"/>
  <c r="G3360" i="11" s="1"/>
  <c r="H3359" i="11"/>
  <c r="G3359" i="11"/>
  <c r="I3359" i="11" s="1"/>
  <c r="F3359" i="11"/>
  <c r="G3358" i="11"/>
  <c r="F3358" i="11"/>
  <c r="F3357" i="11"/>
  <c r="G3357" i="11" s="1"/>
  <c r="F3356" i="11"/>
  <c r="G3356" i="11" s="1"/>
  <c r="H3355" i="11"/>
  <c r="G3355" i="11"/>
  <c r="I3355" i="11" s="1"/>
  <c r="F3355" i="11"/>
  <c r="G3354" i="11"/>
  <c r="F3354" i="11"/>
  <c r="F3353" i="11"/>
  <c r="G3353" i="11" s="1"/>
  <c r="F3352" i="11"/>
  <c r="G3352" i="11" s="1"/>
  <c r="H3351" i="11"/>
  <c r="G3351" i="11"/>
  <c r="I3351" i="11" s="1"/>
  <c r="F3351" i="11"/>
  <c r="G3350" i="11"/>
  <c r="F3350" i="11"/>
  <c r="F3349" i="11"/>
  <c r="G3349" i="11" s="1"/>
  <c r="F3348" i="11"/>
  <c r="G3348" i="11" s="1"/>
  <c r="H3347" i="11"/>
  <c r="G3347" i="11"/>
  <c r="I3347" i="11" s="1"/>
  <c r="F3347" i="11"/>
  <c r="G3346" i="11"/>
  <c r="F3346" i="11"/>
  <c r="F3345" i="11"/>
  <c r="G3345" i="11" s="1"/>
  <c r="F3344" i="11"/>
  <c r="G3344" i="11" s="1"/>
  <c r="H3343" i="11"/>
  <c r="G3343" i="11"/>
  <c r="I3343" i="11" s="1"/>
  <c r="F3343" i="11"/>
  <c r="G3342" i="11"/>
  <c r="F3342" i="11"/>
  <c r="F3341" i="11"/>
  <c r="G3341" i="11" s="1"/>
  <c r="F3340" i="11"/>
  <c r="G3340" i="11" s="1"/>
  <c r="H3339" i="11"/>
  <c r="G3339" i="11"/>
  <c r="I3339" i="11" s="1"/>
  <c r="F3339" i="11"/>
  <c r="G3338" i="11"/>
  <c r="F3338" i="11"/>
  <c r="F3337" i="11"/>
  <c r="G3337" i="11" s="1"/>
  <c r="F3336" i="11"/>
  <c r="G3336" i="11" s="1"/>
  <c r="H3335" i="11"/>
  <c r="G3335" i="11"/>
  <c r="I3335" i="11" s="1"/>
  <c r="F3335" i="11"/>
  <c r="G3334" i="11"/>
  <c r="F3334" i="11"/>
  <c r="F3333" i="11"/>
  <c r="G3333" i="11" s="1"/>
  <c r="F3332" i="11"/>
  <c r="G3332" i="11" s="1"/>
  <c r="H3331" i="11"/>
  <c r="G3331" i="11"/>
  <c r="I3331" i="11" s="1"/>
  <c r="F3331" i="11"/>
  <c r="G3330" i="11"/>
  <c r="F3330" i="11"/>
  <c r="F3329" i="11"/>
  <c r="G3329" i="11" s="1"/>
  <c r="F3328" i="11"/>
  <c r="G3328" i="11" s="1"/>
  <c r="H3327" i="11"/>
  <c r="G3327" i="11"/>
  <c r="I3327" i="11" s="1"/>
  <c r="F3327" i="11"/>
  <c r="G3326" i="11"/>
  <c r="F3326" i="11"/>
  <c r="F3325" i="11"/>
  <c r="G3325" i="11" s="1"/>
  <c r="F3324" i="11"/>
  <c r="G3324" i="11" s="1"/>
  <c r="H3323" i="11"/>
  <c r="G3323" i="11"/>
  <c r="I3323" i="11" s="1"/>
  <c r="F3323" i="11"/>
  <c r="G3322" i="11"/>
  <c r="F3322" i="11"/>
  <c r="F3321" i="11"/>
  <c r="G3321" i="11" s="1"/>
  <c r="F3320" i="11"/>
  <c r="G3320" i="11" s="1"/>
  <c r="H3319" i="11"/>
  <c r="G3319" i="11"/>
  <c r="I3319" i="11" s="1"/>
  <c r="F3319" i="11"/>
  <c r="G3318" i="11"/>
  <c r="F3318" i="11"/>
  <c r="F3317" i="11"/>
  <c r="G3317" i="11" s="1"/>
  <c r="F3316" i="11"/>
  <c r="G3316" i="11" s="1"/>
  <c r="H3315" i="11"/>
  <c r="G3315" i="11"/>
  <c r="I3315" i="11" s="1"/>
  <c r="F3315" i="11"/>
  <c r="G3314" i="11"/>
  <c r="F3314" i="11"/>
  <c r="F3313" i="11"/>
  <c r="G3313" i="11" s="1"/>
  <c r="F3312" i="11"/>
  <c r="G3312" i="11" s="1"/>
  <c r="H3311" i="11"/>
  <c r="G3311" i="11"/>
  <c r="I3311" i="11" s="1"/>
  <c r="F3311" i="11"/>
  <c r="G3310" i="11"/>
  <c r="F3310" i="11"/>
  <c r="F3309" i="11"/>
  <c r="G3309" i="11" s="1"/>
  <c r="F3308" i="11"/>
  <c r="G3308" i="11" s="1"/>
  <c r="H3307" i="11"/>
  <c r="G3307" i="11"/>
  <c r="I3307" i="11" s="1"/>
  <c r="F3307" i="11"/>
  <c r="G3306" i="11"/>
  <c r="F3306" i="11"/>
  <c r="F3305" i="11"/>
  <c r="G3305" i="11" s="1"/>
  <c r="F3304" i="11"/>
  <c r="G3304" i="11" s="1"/>
  <c r="H3303" i="11"/>
  <c r="G3303" i="11"/>
  <c r="I3303" i="11" s="1"/>
  <c r="F3303" i="11"/>
  <c r="G3302" i="11"/>
  <c r="F3302" i="11"/>
  <c r="F3301" i="11"/>
  <c r="G3301" i="11" s="1"/>
  <c r="F3300" i="11"/>
  <c r="G3300" i="11" s="1"/>
  <c r="H3299" i="11"/>
  <c r="G3299" i="11"/>
  <c r="I3299" i="11" s="1"/>
  <c r="F3299" i="11"/>
  <c r="G3298" i="11"/>
  <c r="F3298" i="11"/>
  <c r="F3297" i="11"/>
  <c r="G3297" i="11" s="1"/>
  <c r="F3296" i="11"/>
  <c r="G3296" i="11" s="1"/>
  <c r="H3295" i="11"/>
  <c r="G3295" i="11"/>
  <c r="I3295" i="11" s="1"/>
  <c r="F3295" i="11"/>
  <c r="G3294" i="11"/>
  <c r="F3294" i="11"/>
  <c r="F3293" i="11"/>
  <c r="G3293" i="11" s="1"/>
  <c r="F3292" i="11"/>
  <c r="G3292" i="11" s="1"/>
  <c r="H3291" i="11"/>
  <c r="G3291" i="11"/>
  <c r="I3291" i="11" s="1"/>
  <c r="F3291" i="11"/>
  <c r="G3290" i="11"/>
  <c r="F3290" i="11"/>
  <c r="F3289" i="11"/>
  <c r="G3289" i="11" s="1"/>
  <c r="F3288" i="11"/>
  <c r="G3288" i="11" s="1"/>
  <c r="H3287" i="11"/>
  <c r="G3287" i="11"/>
  <c r="I3287" i="11" s="1"/>
  <c r="F3287" i="11"/>
  <c r="G3286" i="11"/>
  <c r="F3286" i="11"/>
  <c r="F3285" i="11"/>
  <c r="G3285" i="11" s="1"/>
  <c r="F3284" i="11"/>
  <c r="G3284" i="11" s="1"/>
  <c r="H3283" i="11"/>
  <c r="G3283" i="11"/>
  <c r="I3283" i="11" s="1"/>
  <c r="F3283" i="11"/>
  <c r="G3282" i="11"/>
  <c r="F3282" i="11"/>
  <c r="F3281" i="11"/>
  <c r="G3281" i="11" s="1"/>
  <c r="F3280" i="11"/>
  <c r="G3280" i="11" s="1"/>
  <c r="H3279" i="11"/>
  <c r="G3279" i="11"/>
  <c r="I3279" i="11" s="1"/>
  <c r="F3279" i="11"/>
  <c r="G3278" i="11"/>
  <c r="F3278" i="11"/>
  <c r="F3277" i="11"/>
  <c r="G3277" i="11" s="1"/>
  <c r="F3276" i="11"/>
  <c r="G3276" i="11" s="1"/>
  <c r="H3275" i="11"/>
  <c r="G3275" i="11"/>
  <c r="I3275" i="11" s="1"/>
  <c r="F3275" i="11"/>
  <c r="G3274" i="11"/>
  <c r="F3274" i="11"/>
  <c r="F3273" i="11"/>
  <c r="G3273" i="11" s="1"/>
  <c r="F3272" i="11"/>
  <c r="G3272" i="11" s="1"/>
  <c r="H3271" i="11"/>
  <c r="G3271" i="11"/>
  <c r="I3271" i="11" s="1"/>
  <c r="F3271" i="11"/>
  <c r="G3270" i="11"/>
  <c r="F3270" i="11"/>
  <c r="F3269" i="11"/>
  <c r="G3269" i="11" s="1"/>
  <c r="F3268" i="11"/>
  <c r="G3268" i="11" s="1"/>
  <c r="H3267" i="11"/>
  <c r="G3267" i="11"/>
  <c r="I3267" i="11" s="1"/>
  <c r="F3267" i="11"/>
  <c r="G3266" i="11"/>
  <c r="F3266" i="11"/>
  <c r="F3265" i="11"/>
  <c r="G3265" i="11" s="1"/>
  <c r="F3264" i="11"/>
  <c r="G3264" i="11" s="1"/>
  <c r="H3263" i="11"/>
  <c r="G3263" i="11"/>
  <c r="I3263" i="11" s="1"/>
  <c r="F3263" i="11"/>
  <c r="G3262" i="11"/>
  <c r="F3262" i="11"/>
  <c r="F3261" i="11"/>
  <c r="G3261" i="11" s="1"/>
  <c r="F3260" i="11"/>
  <c r="G3260" i="11" s="1"/>
  <c r="H3259" i="11"/>
  <c r="G3259" i="11"/>
  <c r="I3259" i="11" s="1"/>
  <c r="F3259" i="11"/>
  <c r="G3258" i="11"/>
  <c r="F3258" i="11"/>
  <c r="F3257" i="11"/>
  <c r="G3257" i="11" s="1"/>
  <c r="F3256" i="11"/>
  <c r="G3256" i="11" s="1"/>
  <c r="H3255" i="11"/>
  <c r="G3255" i="11"/>
  <c r="I3255" i="11" s="1"/>
  <c r="F3255" i="11"/>
  <c r="G3254" i="11"/>
  <c r="F3254" i="11"/>
  <c r="F3253" i="11"/>
  <c r="G3253" i="11" s="1"/>
  <c r="F3252" i="11"/>
  <c r="G3252" i="11" s="1"/>
  <c r="H3251" i="11"/>
  <c r="G3251" i="11"/>
  <c r="I3251" i="11" s="1"/>
  <c r="F3251" i="11"/>
  <c r="G3250" i="11"/>
  <c r="F3250" i="11"/>
  <c r="F3249" i="11"/>
  <c r="G3249" i="11" s="1"/>
  <c r="F3248" i="11"/>
  <c r="G3248" i="11" s="1"/>
  <c r="H3247" i="11"/>
  <c r="G3247" i="11"/>
  <c r="I3247" i="11" s="1"/>
  <c r="F3247" i="11"/>
  <c r="G3246" i="11"/>
  <c r="F3246" i="11"/>
  <c r="F3245" i="11"/>
  <c r="G3245" i="11" s="1"/>
  <c r="F3244" i="11"/>
  <c r="G3244" i="11" s="1"/>
  <c r="H3243" i="11"/>
  <c r="G3243" i="11"/>
  <c r="I3243" i="11" s="1"/>
  <c r="F3243" i="11"/>
  <c r="G3242" i="11"/>
  <c r="F3242" i="11"/>
  <c r="F3241" i="11"/>
  <c r="G3241" i="11" s="1"/>
  <c r="F3240" i="11"/>
  <c r="G3240" i="11" s="1"/>
  <c r="H3239" i="11"/>
  <c r="G3239" i="11"/>
  <c r="I3239" i="11" s="1"/>
  <c r="F3239" i="11"/>
  <c r="G3238" i="11"/>
  <c r="F3238" i="11"/>
  <c r="F3237" i="11"/>
  <c r="G3237" i="11" s="1"/>
  <c r="F3236" i="11"/>
  <c r="G3236" i="11" s="1"/>
  <c r="H3235" i="11"/>
  <c r="G3235" i="11"/>
  <c r="I3235" i="11" s="1"/>
  <c r="F3235" i="11"/>
  <c r="G3234" i="11"/>
  <c r="F3234" i="11"/>
  <c r="F3233" i="11"/>
  <c r="G3233" i="11" s="1"/>
  <c r="F3232" i="11"/>
  <c r="G3232" i="11" s="1"/>
  <c r="H3231" i="11"/>
  <c r="G3231" i="11"/>
  <c r="I3231" i="11" s="1"/>
  <c r="F3231" i="11"/>
  <c r="G3230" i="11"/>
  <c r="F3230" i="11"/>
  <c r="F3229" i="11"/>
  <c r="G3229" i="11" s="1"/>
  <c r="F3228" i="11"/>
  <c r="G3228" i="11" s="1"/>
  <c r="H3227" i="11"/>
  <c r="G3227" i="11"/>
  <c r="I3227" i="11" s="1"/>
  <c r="F3227" i="11"/>
  <c r="G3226" i="11"/>
  <c r="F3226" i="11"/>
  <c r="F3225" i="11"/>
  <c r="G3225" i="11" s="1"/>
  <c r="F3224" i="11"/>
  <c r="G3224" i="11" s="1"/>
  <c r="H3223" i="11"/>
  <c r="G3223" i="11"/>
  <c r="I3223" i="11" s="1"/>
  <c r="F3223" i="11"/>
  <c r="G3222" i="11"/>
  <c r="F3222" i="11"/>
  <c r="F3221" i="11"/>
  <c r="G3221" i="11" s="1"/>
  <c r="F3220" i="11"/>
  <c r="G3220" i="11" s="1"/>
  <c r="H3219" i="11"/>
  <c r="G3219" i="11"/>
  <c r="I3219" i="11" s="1"/>
  <c r="F3219" i="11"/>
  <c r="G3218" i="11"/>
  <c r="F3218" i="11"/>
  <c r="F3217" i="11"/>
  <c r="G3217" i="11" s="1"/>
  <c r="F3216" i="11"/>
  <c r="G3216" i="11" s="1"/>
  <c r="H3215" i="11"/>
  <c r="G3215" i="11"/>
  <c r="I3215" i="11" s="1"/>
  <c r="F3215" i="11"/>
  <c r="G3214" i="11"/>
  <c r="F3214" i="11"/>
  <c r="F3213" i="11"/>
  <c r="G3213" i="11" s="1"/>
  <c r="F3212" i="11"/>
  <c r="G3212" i="11" s="1"/>
  <c r="H3211" i="11"/>
  <c r="G3211" i="11"/>
  <c r="I3211" i="11" s="1"/>
  <c r="F3211" i="11"/>
  <c r="G3210" i="11"/>
  <c r="F3210" i="11"/>
  <c r="F3209" i="11"/>
  <c r="G3209" i="11" s="1"/>
  <c r="F3208" i="11"/>
  <c r="G3208" i="11" s="1"/>
  <c r="H3207" i="11"/>
  <c r="G3207" i="11"/>
  <c r="I3207" i="11" s="1"/>
  <c r="F3207" i="11"/>
  <c r="G3206" i="11"/>
  <c r="F3206" i="11"/>
  <c r="F3205" i="11"/>
  <c r="G3205" i="11" s="1"/>
  <c r="F3204" i="11"/>
  <c r="G3204" i="11" s="1"/>
  <c r="H3203" i="11"/>
  <c r="G3203" i="11"/>
  <c r="I3203" i="11" s="1"/>
  <c r="F3203" i="11"/>
  <c r="G3202" i="11"/>
  <c r="F3202" i="11"/>
  <c r="F3201" i="11"/>
  <c r="G3201" i="11" s="1"/>
  <c r="F3200" i="11"/>
  <c r="G3200" i="11" s="1"/>
  <c r="H3199" i="11"/>
  <c r="G3199" i="11"/>
  <c r="I3199" i="11" s="1"/>
  <c r="F3199" i="11"/>
  <c r="G3198" i="11"/>
  <c r="F3198" i="11"/>
  <c r="F3197" i="11"/>
  <c r="G3197" i="11" s="1"/>
  <c r="F3196" i="11"/>
  <c r="G3196" i="11" s="1"/>
  <c r="H3195" i="11"/>
  <c r="G3195" i="11"/>
  <c r="I3195" i="11" s="1"/>
  <c r="F3195" i="11"/>
  <c r="G3194" i="11"/>
  <c r="F3194" i="11"/>
  <c r="F3193" i="11"/>
  <c r="G3193" i="11" s="1"/>
  <c r="F3192" i="11"/>
  <c r="G3192" i="11" s="1"/>
  <c r="H3191" i="11"/>
  <c r="G3191" i="11"/>
  <c r="I3191" i="11" s="1"/>
  <c r="F3191" i="11"/>
  <c r="G3190" i="11"/>
  <c r="F3190" i="11"/>
  <c r="F3189" i="11"/>
  <c r="G3189" i="11" s="1"/>
  <c r="F3188" i="11"/>
  <c r="G3188" i="11" s="1"/>
  <c r="H3187" i="11"/>
  <c r="G3187" i="11"/>
  <c r="I3187" i="11" s="1"/>
  <c r="F3187" i="11"/>
  <c r="G3186" i="11"/>
  <c r="F3186" i="11"/>
  <c r="F3185" i="11"/>
  <c r="G3185" i="11" s="1"/>
  <c r="F3184" i="11"/>
  <c r="G3184" i="11" s="1"/>
  <c r="H3183" i="11"/>
  <c r="G3183" i="11"/>
  <c r="I3183" i="11" s="1"/>
  <c r="F3183" i="11"/>
  <c r="G3182" i="11"/>
  <c r="F3182" i="11"/>
  <c r="F3181" i="11"/>
  <c r="G3181" i="11" s="1"/>
  <c r="F3180" i="11"/>
  <c r="G3180" i="11" s="1"/>
  <c r="H3179" i="11"/>
  <c r="G3179" i="11"/>
  <c r="I3179" i="11" s="1"/>
  <c r="F3179" i="11"/>
  <c r="G3178" i="11"/>
  <c r="F3178" i="11"/>
  <c r="F3177" i="11"/>
  <c r="G3177" i="11" s="1"/>
  <c r="F3176" i="11"/>
  <c r="G3176" i="11" s="1"/>
  <c r="H3175" i="11"/>
  <c r="G3175" i="11"/>
  <c r="I3175" i="11" s="1"/>
  <c r="F3175" i="11"/>
  <c r="G3174" i="11"/>
  <c r="F3174" i="11"/>
  <c r="F3173" i="11"/>
  <c r="G3173" i="11" s="1"/>
  <c r="F3172" i="11"/>
  <c r="G3172" i="11" s="1"/>
  <c r="H3171" i="11"/>
  <c r="G3171" i="11"/>
  <c r="I3171" i="11" s="1"/>
  <c r="F3171" i="11"/>
  <c r="G3170" i="11"/>
  <c r="F3170" i="11"/>
  <c r="F3169" i="11"/>
  <c r="G3169" i="11" s="1"/>
  <c r="F3168" i="11"/>
  <c r="G3168" i="11" s="1"/>
  <c r="H3167" i="11"/>
  <c r="G3167" i="11"/>
  <c r="I3167" i="11" s="1"/>
  <c r="F3167" i="11"/>
  <c r="G3166" i="11"/>
  <c r="F3166" i="11"/>
  <c r="F3165" i="11"/>
  <c r="G3165" i="11" s="1"/>
  <c r="F3164" i="11"/>
  <c r="G3164" i="11" s="1"/>
  <c r="H3163" i="11"/>
  <c r="G3163" i="11"/>
  <c r="I3163" i="11" s="1"/>
  <c r="F3163" i="11"/>
  <c r="G3162" i="11"/>
  <c r="F3162" i="11"/>
  <c r="F3161" i="11"/>
  <c r="G3161" i="11" s="1"/>
  <c r="F3160" i="11"/>
  <c r="G3160" i="11" s="1"/>
  <c r="H3159" i="11"/>
  <c r="G3159" i="11"/>
  <c r="I3159" i="11" s="1"/>
  <c r="F3159" i="11"/>
  <c r="G3158" i="11"/>
  <c r="F3158" i="11"/>
  <c r="F3157" i="11"/>
  <c r="G3157" i="11" s="1"/>
  <c r="F3156" i="11"/>
  <c r="G3156" i="11" s="1"/>
  <c r="H3155" i="11"/>
  <c r="G3155" i="11"/>
  <c r="I3155" i="11" s="1"/>
  <c r="F3155" i="11"/>
  <c r="G3154" i="11"/>
  <c r="F3154" i="11"/>
  <c r="F3153" i="11"/>
  <c r="G3153" i="11" s="1"/>
  <c r="F3152" i="11"/>
  <c r="G3152" i="11" s="1"/>
  <c r="H3151" i="11"/>
  <c r="G3151" i="11"/>
  <c r="I3151" i="11" s="1"/>
  <c r="F3151" i="11"/>
  <c r="G3150" i="11"/>
  <c r="F3150" i="11"/>
  <c r="F3149" i="11"/>
  <c r="G3149" i="11" s="1"/>
  <c r="F3148" i="11"/>
  <c r="G3148" i="11" s="1"/>
  <c r="H3147" i="11"/>
  <c r="G3147" i="11"/>
  <c r="I3147" i="11" s="1"/>
  <c r="F3147" i="11"/>
  <c r="G3146" i="11"/>
  <c r="F3146" i="11"/>
  <c r="F3145" i="11"/>
  <c r="G3145" i="11" s="1"/>
  <c r="F3144" i="11"/>
  <c r="G3144" i="11" s="1"/>
  <c r="H3143" i="11"/>
  <c r="G3143" i="11"/>
  <c r="I3143" i="11" s="1"/>
  <c r="F3143" i="11"/>
  <c r="G3142" i="11"/>
  <c r="F3142" i="11"/>
  <c r="F3141" i="11"/>
  <c r="G3141" i="11" s="1"/>
  <c r="F3140" i="11"/>
  <c r="G3140" i="11" s="1"/>
  <c r="H3139" i="11"/>
  <c r="G3139" i="11"/>
  <c r="I3139" i="11" s="1"/>
  <c r="F3139" i="11"/>
  <c r="G3138" i="11"/>
  <c r="F3138" i="11"/>
  <c r="F3137" i="11"/>
  <c r="G3137" i="11" s="1"/>
  <c r="F3136" i="11"/>
  <c r="G3136" i="11" s="1"/>
  <c r="H3135" i="11"/>
  <c r="G3135" i="11"/>
  <c r="I3135" i="11" s="1"/>
  <c r="F3135" i="11"/>
  <c r="G3134" i="11"/>
  <c r="F3134" i="11"/>
  <c r="F3133" i="11"/>
  <c r="G3133" i="11" s="1"/>
  <c r="F3132" i="11"/>
  <c r="G3132" i="11" s="1"/>
  <c r="H3131" i="11"/>
  <c r="G3131" i="11"/>
  <c r="I3131" i="11" s="1"/>
  <c r="F3131" i="11"/>
  <c r="G3130" i="11"/>
  <c r="F3130" i="11"/>
  <c r="F3129" i="11"/>
  <c r="G3129" i="11" s="1"/>
  <c r="F3128" i="11"/>
  <c r="G3128" i="11" s="1"/>
  <c r="H3127" i="11"/>
  <c r="G3127" i="11"/>
  <c r="I3127" i="11" s="1"/>
  <c r="F3127" i="11"/>
  <c r="G3126" i="11"/>
  <c r="F3126" i="11"/>
  <c r="F3125" i="11"/>
  <c r="G3125" i="11" s="1"/>
  <c r="F3124" i="11"/>
  <c r="G3124" i="11" s="1"/>
  <c r="H3123" i="11"/>
  <c r="G3123" i="11"/>
  <c r="I3123" i="11" s="1"/>
  <c r="F3123" i="11"/>
  <c r="G3122" i="11"/>
  <c r="F3122" i="11"/>
  <c r="F3121" i="11"/>
  <c r="G3121" i="11" s="1"/>
  <c r="F3120" i="11"/>
  <c r="G3120" i="11" s="1"/>
  <c r="H3119" i="11"/>
  <c r="G3119" i="11"/>
  <c r="I3119" i="11" s="1"/>
  <c r="F3119" i="11"/>
  <c r="G3118" i="11"/>
  <c r="F3118" i="11"/>
  <c r="F3117" i="11"/>
  <c r="G3117" i="11" s="1"/>
  <c r="F3116" i="11"/>
  <c r="G3116" i="11" s="1"/>
  <c r="H3115" i="11"/>
  <c r="G3115" i="11"/>
  <c r="I3115" i="11" s="1"/>
  <c r="F3115" i="11"/>
  <c r="G3114" i="11"/>
  <c r="F3114" i="11"/>
  <c r="F3113" i="11"/>
  <c r="G3113" i="11" s="1"/>
  <c r="F3112" i="11"/>
  <c r="G3112" i="11" s="1"/>
  <c r="H3111" i="11"/>
  <c r="G3111" i="11"/>
  <c r="I3111" i="11" s="1"/>
  <c r="F3111" i="11"/>
  <c r="G3110" i="11"/>
  <c r="F3110" i="11"/>
  <c r="F3109" i="11"/>
  <c r="G3109" i="11" s="1"/>
  <c r="F3108" i="11"/>
  <c r="G3108" i="11" s="1"/>
  <c r="H3107" i="11"/>
  <c r="G3107" i="11"/>
  <c r="I3107" i="11" s="1"/>
  <c r="F3107" i="11"/>
  <c r="G3106" i="11"/>
  <c r="F3106" i="11"/>
  <c r="F3105" i="11"/>
  <c r="G3105" i="11" s="1"/>
  <c r="F3104" i="11"/>
  <c r="G3104" i="11" s="1"/>
  <c r="H3103" i="11"/>
  <c r="G3103" i="11"/>
  <c r="I3103" i="11" s="1"/>
  <c r="F3103" i="11"/>
  <c r="G3102" i="11"/>
  <c r="F3102" i="11"/>
  <c r="F3101" i="11"/>
  <c r="G3101" i="11" s="1"/>
  <c r="F3100" i="11"/>
  <c r="G3100" i="11" s="1"/>
  <c r="H3099" i="11"/>
  <c r="G3099" i="11"/>
  <c r="I3099" i="11" s="1"/>
  <c r="F3099" i="11"/>
  <c r="G3098" i="11"/>
  <c r="F3098" i="11"/>
  <c r="F3097" i="11"/>
  <c r="G3097" i="11" s="1"/>
  <c r="F3096" i="11"/>
  <c r="G3096" i="11" s="1"/>
  <c r="H3095" i="11"/>
  <c r="G3095" i="11"/>
  <c r="I3095" i="11" s="1"/>
  <c r="F3095" i="11"/>
  <c r="G3094" i="11"/>
  <c r="F3094" i="11"/>
  <c r="F3093" i="11"/>
  <c r="G3093" i="11" s="1"/>
  <c r="F3092" i="11"/>
  <c r="G3092" i="11" s="1"/>
  <c r="H3091" i="11"/>
  <c r="G3091" i="11"/>
  <c r="I3091" i="11" s="1"/>
  <c r="F3091" i="11"/>
  <c r="G3090" i="11"/>
  <c r="F3090" i="11"/>
  <c r="F3089" i="11"/>
  <c r="G3089" i="11" s="1"/>
  <c r="F3088" i="11"/>
  <c r="G3088" i="11" s="1"/>
  <c r="H3087" i="11"/>
  <c r="G3087" i="11"/>
  <c r="I3087" i="11" s="1"/>
  <c r="F3087" i="11"/>
  <c r="G3086" i="11"/>
  <c r="F3086" i="11"/>
  <c r="F3085" i="11"/>
  <c r="G3085" i="11" s="1"/>
  <c r="F3084" i="11"/>
  <c r="G3084" i="11" s="1"/>
  <c r="H3083" i="11"/>
  <c r="G3083" i="11"/>
  <c r="I3083" i="11" s="1"/>
  <c r="F3083" i="11"/>
  <c r="G3082" i="11"/>
  <c r="F3082" i="11"/>
  <c r="F3081" i="11"/>
  <c r="G3081" i="11" s="1"/>
  <c r="F3080" i="11"/>
  <c r="G3080" i="11" s="1"/>
  <c r="H3079" i="11"/>
  <c r="G3079" i="11"/>
  <c r="I3079" i="11" s="1"/>
  <c r="F3079" i="11"/>
  <c r="G3078" i="11"/>
  <c r="F3078" i="11"/>
  <c r="F3077" i="11"/>
  <c r="G3077" i="11" s="1"/>
  <c r="F3076" i="11"/>
  <c r="G3076" i="11" s="1"/>
  <c r="H3075" i="11"/>
  <c r="G3075" i="11"/>
  <c r="I3075" i="11" s="1"/>
  <c r="F3075" i="11"/>
  <c r="G3074" i="11"/>
  <c r="F3074" i="11"/>
  <c r="F3073" i="11"/>
  <c r="G3073" i="11" s="1"/>
  <c r="F3072" i="11"/>
  <c r="G3072" i="11" s="1"/>
  <c r="H3071" i="11"/>
  <c r="G3071" i="11"/>
  <c r="I3071" i="11" s="1"/>
  <c r="F3071" i="11"/>
  <c r="G3070" i="11"/>
  <c r="F3070" i="11"/>
  <c r="F3069" i="11"/>
  <c r="G3069" i="11" s="1"/>
  <c r="F3068" i="11"/>
  <c r="G3068" i="11" s="1"/>
  <c r="H3067" i="11"/>
  <c r="G3067" i="11"/>
  <c r="I3067" i="11" s="1"/>
  <c r="F3067" i="11"/>
  <c r="G3066" i="11"/>
  <c r="F3066" i="11"/>
  <c r="F3065" i="11"/>
  <c r="G3065" i="11" s="1"/>
  <c r="F3064" i="11"/>
  <c r="G3064" i="11" s="1"/>
  <c r="H3063" i="11"/>
  <c r="G3063" i="11"/>
  <c r="I3063" i="11" s="1"/>
  <c r="F3063" i="11"/>
  <c r="G3062" i="11"/>
  <c r="F3062" i="11"/>
  <c r="F3061" i="11"/>
  <c r="G3061" i="11" s="1"/>
  <c r="F3060" i="11"/>
  <c r="G3060" i="11" s="1"/>
  <c r="H3059" i="11"/>
  <c r="G3059" i="11"/>
  <c r="I3059" i="11" s="1"/>
  <c r="F3059" i="11"/>
  <c r="G3058" i="11"/>
  <c r="F3058" i="11"/>
  <c r="F3057" i="11"/>
  <c r="G3057" i="11" s="1"/>
  <c r="F3056" i="11"/>
  <c r="G3056" i="11" s="1"/>
  <c r="H3055" i="11"/>
  <c r="G3055" i="11"/>
  <c r="I3055" i="11" s="1"/>
  <c r="F3055" i="11"/>
  <c r="G3054" i="11"/>
  <c r="F3054" i="11"/>
  <c r="F3053" i="11"/>
  <c r="G3053" i="11" s="1"/>
  <c r="F3052" i="11"/>
  <c r="G3052" i="11" s="1"/>
  <c r="H3051" i="11"/>
  <c r="G3051" i="11"/>
  <c r="I3051" i="11" s="1"/>
  <c r="F3051" i="11"/>
  <c r="G3050" i="11"/>
  <c r="F3050" i="11"/>
  <c r="F3049" i="11"/>
  <c r="G3049" i="11" s="1"/>
  <c r="F3048" i="11"/>
  <c r="G3048" i="11" s="1"/>
  <c r="H3047" i="11"/>
  <c r="G3047" i="11"/>
  <c r="I3047" i="11" s="1"/>
  <c r="F3047" i="11"/>
  <c r="G3046" i="11"/>
  <c r="F3046" i="11"/>
  <c r="F3045" i="11"/>
  <c r="G3045" i="11" s="1"/>
  <c r="F3044" i="11"/>
  <c r="G3044" i="11" s="1"/>
  <c r="H3043" i="11"/>
  <c r="G3043" i="11"/>
  <c r="I3043" i="11" s="1"/>
  <c r="F3043" i="11"/>
  <c r="G3042" i="11"/>
  <c r="F3042" i="11"/>
  <c r="F3041" i="11"/>
  <c r="G3041" i="11" s="1"/>
  <c r="F3040" i="11"/>
  <c r="G3040" i="11" s="1"/>
  <c r="H3039" i="11"/>
  <c r="G3039" i="11"/>
  <c r="I3039" i="11" s="1"/>
  <c r="F3039" i="11"/>
  <c r="G3038" i="11"/>
  <c r="F3038" i="11"/>
  <c r="F3037" i="11"/>
  <c r="G3037" i="11" s="1"/>
  <c r="F3036" i="11"/>
  <c r="G3036" i="11" s="1"/>
  <c r="H3035" i="11"/>
  <c r="G3035" i="11"/>
  <c r="I3035" i="11" s="1"/>
  <c r="F3035" i="11"/>
  <c r="G3034" i="11"/>
  <c r="F3034" i="11"/>
  <c r="F3033" i="11"/>
  <c r="G3033" i="11" s="1"/>
  <c r="F3032" i="11"/>
  <c r="G3032" i="11" s="1"/>
  <c r="H3031" i="11"/>
  <c r="G3031" i="11"/>
  <c r="I3031" i="11" s="1"/>
  <c r="F3031" i="11"/>
  <c r="G3030" i="11"/>
  <c r="F3030" i="11"/>
  <c r="F3029" i="11"/>
  <c r="G3029" i="11" s="1"/>
  <c r="F3028" i="11"/>
  <c r="G3028" i="11" s="1"/>
  <c r="H3027" i="11"/>
  <c r="G3027" i="11"/>
  <c r="I3027" i="11" s="1"/>
  <c r="F3027" i="11"/>
  <c r="G3026" i="11"/>
  <c r="F3026" i="11"/>
  <c r="F3025" i="11"/>
  <c r="G3025" i="11" s="1"/>
  <c r="F3024" i="11"/>
  <c r="G3024" i="11" s="1"/>
  <c r="H3023" i="11"/>
  <c r="G3023" i="11"/>
  <c r="I3023" i="11" s="1"/>
  <c r="F3023" i="11"/>
  <c r="G3022" i="11"/>
  <c r="F3022" i="11"/>
  <c r="F3021" i="11"/>
  <c r="G3021" i="11" s="1"/>
  <c r="F3020" i="11"/>
  <c r="G3020" i="11" s="1"/>
  <c r="H3019" i="11"/>
  <c r="G3019" i="11"/>
  <c r="I3019" i="11" s="1"/>
  <c r="F3019" i="11"/>
  <c r="G3018" i="11"/>
  <c r="F3018" i="11"/>
  <c r="F3017" i="11"/>
  <c r="G3017" i="11" s="1"/>
  <c r="F3016" i="11"/>
  <c r="G3016" i="11" s="1"/>
  <c r="H3015" i="11"/>
  <c r="G3015" i="11"/>
  <c r="I3015" i="11" s="1"/>
  <c r="F3015" i="11"/>
  <c r="G3014" i="11"/>
  <c r="F3014" i="11"/>
  <c r="F3013" i="11"/>
  <c r="G3013" i="11" s="1"/>
  <c r="F3012" i="11"/>
  <c r="G3012" i="11" s="1"/>
  <c r="H3011" i="11"/>
  <c r="G3011" i="11"/>
  <c r="I3011" i="11" s="1"/>
  <c r="F3011" i="11"/>
  <c r="G3010" i="11"/>
  <c r="F3010" i="11"/>
  <c r="F3009" i="11"/>
  <c r="G3009" i="11" s="1"/>
  <c r="F3008" i="11"/>
  <c r="G3008" i="11" s="1"/>
  <c r="H3007" i="11"/>
  <c r="G3007" i="11"/>
  <c r="I3007" i="11" s="1"/>
  <c r="F3007" i="11"/>
  <c r="G3006" i="11"/>
  <c r="F3006" i="11"/>
  <c r="F3005" i="11"/>
  <c r="G3005" i="11" s="1"/>
  <c r="F3004" i="11"/>
  <c r="G3004" i="11" s="1"/>
  <c r="H3003" i="11"/>
  <c r="G3003" i="11"/>
  <c r="I3003" i="11" s="1"/>
  <c r="F3003" i="11"/>
  <c r="G3002" i="11"/>
  <c r="F3002" i="11"/>
  <c r="F3001" i="11"/>
  <c r="G3001" i="11" s="1"/>
  <c r="F3000" i="11"/>
  <c r="G3000" i="11" s="1"/>
  <c r="H2999" i="11"/>
  <c r="G2999" i="11"/>
  <c r="I2999" i="11" s="1"/>
  <c r="F2999" i="11"/>
  <c r="G2998" i="11"/>
  <c r="F2998" i="11"/>
  <c r="F2997" i="11"/>
  <c r="G2997" i="11" s="1"/>
  <c r="F2996" i="11"/>
  <c r="G2996" i="11" s="1"/>
  <c r="H2995" i="11"/>
  <c r="G2995" i="11"/>
  <c r="I2995" i="11" s="1"/>
  <c r="F2995" i="11"/>
  <c r="G2994" i="11"/>
  <c r="F2994" i="11"/>
  <c r="F2993" i="11"/>
  <c r="G2993" i="11" s="1"/>
  <c r="F2992" i="11"/>
  <c r="G2992" i="11" s="1"/>
  <c r="H2991" i="11"/>
  <c r="G2991" i="11"/>
  <c r="I2991" i="11" s="1"/>
  <c r="F2991" i="11"/>
  <c r="G2990" i="11"/>
  <c r="F2990" i="11"/>
  <c r="F2989" i="11"/>
  <c r="G2989" i="11" s="1"/>
  <c r="F2988" i="11"/>
  <c r="G2988" i="11" s="1"/>
  <c r="H2987" i="11"/>
  <c r="G2987" i="11"/>
  <c r="I2987" i="11" s="1"/>
  <c r="F2987" i="11"/>
  <c r="G2986" i="11"/>
  <c r="F2986" i="11"/>
  <c r="F2985" i="11"/>
  <c r="G2985" i="11" s="1"/>
  <c r="F2984" i="11"/>
  <c r="G2984" i="11" s="1"/>
  <c r="H2983" i="11"/>
  <c r="G2983" i="11"/>
  <c r="I2983" i="11" s="1"/>
  <c r="F2983" i="11"/>
  <c r="G2982" i="11"/>
  <c r="F2982" i="11"/>
  <c r="F2981" i="11"/>
  <c r="G2981" i="11" s="1"/>
  <c r="F2980" i="11"/>
  <c r="G2980" i="11" s="1"/>
  <c r="H2979" i="11"/>
  <c r="G2979" i="11"/>
  <c r="I2979" i="11" s="1"/>
  <c r="F2979" i="11"/>
  <c r="G2978" i="11"/>
  <c r="F2978" i="11"/>
  <c r="F2977" i="11"/>
  <c r="G2977" i="11" s="1"/>
  <c r="F2976" i="11"/>
  <c r="G2976" i="11" s="1"/>
  <c r="H2975" i="11"/>
  <c r="G2975" i="11"/>
  <c r="I2975" i="11" s="1"/>
  <c r="F2975" i="11"/>
  <c r="G2974" i="11"/>
  <c r="F2974" i="11"/>
  <c r="F2973" i="11"/>
  <c r="G2973" i="11" s="1"/>
  <c r="F2972" i="11"/>
  <c r="G2972" i="11" s="1"/>
  <c r="H2971" i="11"/>
  <c r="G2971" i="11"/>
  <c r="I2971" i="11" s="1"/>
  <c r="F2971" i="11"/>
  <c r="G2970" i="11"/>
  <c r="F2970" i="11"/>
  <c r="F2969" i="11"/>
  <c r="G2969" i="11" s="1"/>
  <c r="F2968" i="11"/>
  <c r="G2968" i="11" s="1"/>
  <c r="H2967" i="11"/>
  <c r="G2967" i="11"/>
  <c r="I2967" i="11" s="1"/>
  <c r="F2967" i="11"/>
  <c r="G2966" i="11"/>
  <c r="F2966" i="11"/>
  <c r="F2965" i="11"/>
  <c r="G2965" i="11" s="1"/>
  <c r="F2964" i="11"/>
  <c r="G2964" i="11" s="1"/>
  <c r="H2963" i="11"/>
  <c r="G2963" i="11"/>
  <c r="I2963" i="11" s="1"/>
  <c r="F2963" i="11"/>
  <c r="G2962" i="11"/>
  <c r="F2962" i="11"/>
  <c r="F2961" i="11"/>
  <c r="G2961" i="11" s="1"/>
  <c r="F2960" i="11"/>
  <c r="G2960" i="11" s="1"/>
  <c r="H2959" i="11"/>
  <c r="G2959" i="11"/>
  <c r="I2959" i="11" s="1"/>
  <c r="F2959" i="11"/>
  <c r="G2958" i="11"/>
  <c r="F2958" i="11"/>
  <c r="F2957" i="11"/>
  <c r="G2957" i="11" s="1"/>
  <c r="F2956" i="11"/>
  <c r="G2956" i="11" s="1"/>
  <c r="H2955" i="11"/>
  <c r="G2955" i="11"/>
  <c r="I2955" i="11" s="1"/>
  <c r="F2955" i="11"/>
  <c r="G2954" i="11"/>
  <c r="F2954" i="11"/>
  <c r="F2953" i="11"/>
  <c r="G2953" i="11" s="1"/>
  <c r="F2952" i="11"/>
  <c r="G2952" i="11" s="1"/>
  <c r="H2951" i="11"/>
  <c r="G2951" i="11"/>
  <c r="I2951" i="11" s="1"/>
  <c r="F2951" i="11"/>
  <c r="G2950" i="11"/>
  <c r="F2950" i="11"/>
  <c r="F2949" i="11"/>
  <c r="G2949" i="11" s="1"/>
  <c r="F2948" i="11"/>
  <c r="G2948" i="11" s="1"/>
  <c r="H2947" i="11"/>
  <c r="G2947" i="11"/>
  <c r="I2947" i="11" s="1"/>
  <c r="F2947" i="11"/>
  <c r="G2946" i="11"/>
  <c r="F2946" i="11"/>
  <c r="F2945" i="11"/>
  <c r="G2945" i="11" s="1"/>
  <c r="F2944" i="11"/>
  <c r="G2944" i="11" s="1"/>
  <c r="H2943" i="11"/>
  <c r="G2943" i="11"/>
  <c r="I2943" i="11" s="1"/>
  <c r="F2943" i="11"/>
  <c r="G2942" i="11"/>
  <c r="F2942" i="11"/>
  <c r="F2941" i="11"/>
  <c r="G2941" i="11" s="1"/>
  <c r="F2940" i="11"/>
  <c r="G2940" i="11" s="1"/>
  <c r="H2939" i="11"/>
  <c r="G2939" i="11"/>
  <c r="I2939" i="11" s="1"/>
  <c r="F2939" i="11"/>
  <c r="G2938" i="11"/>
  <c r="F2938" i="11"/>
  <c r="F2937" i="11"/>
  <c r="G2937" i="11" s="1"/>
  <c r="F2936" i="11"/>
  <c r="G2936" i="11" s="1"/>
  <c r="H2935" i="11"/>
  <c r="G2935" i="11"/>
  <c r="I2935" i="11" s="1"/>
  <c r="F2935" i="11"/>
  <c r="G2934" i="11"/>
  <c r="F2934" i="11"/>
  <c r="F2933" i="11"/>
  <c r="G2933" i="11" s="1"/>
  <c r="F2932" i="11"/>
  <c r="G2932" i="11" s="1"/>
  <c r="H2931" i="11"/>
  <c r="G2931" i="11"/>
  <c r="I2931" i="11" s="1"/>
  <c r="F2931" i="11"/>
  <c r="G2930" i="11"/>
  <c r="F2930" i="11"/>
  <c r="F2929" i="11"/>
  <c r="G2929" i="11" s="1"/>
  <c r="F2928" i="11"/>
  <c r="G2928" i="11" s="1"/>
  <c r="H2927" i="11"/>
  <c r="G2927" i="11"/>
  <c r="I2927" i="11" s="1"/>
  <c r="F2927" i="11"/>
  <c r="G2926" i="11"/>
  <c r="F2926" i="11"/>
  <c r="F2925" i="11"/>
  <c r="G2925" i="11" s="1"/>
  <c r="F2924" i="11"/>
  <c r="G2924" i="11" s="1"/>
  <c r="H2923" i="11"/>
  <c r="G2923" i="11"/>
  <c r="I2923" i="11" s="1"/>
  <c r="F2923" i="11"/>
  <c r="G2922" i="11"/>
  <c r="F2922" i="11"/>
  <c r="F2921" i="11"/>
  <c r="G2921" i="11" s="1"/>
  <c r="F2920" i="11"/>
  <c r="G2920" i="11" s="1"/>
  <c r="H2919" i="11"/>
  <c r="G2919" i="11"/>
  <c r="I2919" i="11" s="1"/>
  <c r="F2919" i="11"/>
  <c r="G2918" i="11"/>
  <c r="F2918" i="11"/>
  <c r="F2917" i="11"/>
  <c r="G2917" i="11" s="1"/>
  <c r="F2916" i="11"/>
  <c r="G2916" i="11" s="1"/>
  <c r="H2915" i="11"/>
  <c r="G2915" i="11"/>
  <c r="I2915" i="11" s="1"/>
  <c r="F2915" i="11"/>
  <c r="G2914" i="11"/>
  <c r="F2914" i="11"/>
  <c r="F2913" i="11"/>
  <c r="G2913" i="11" s="1"/>
  <c r="F2912" i="11"/>
  <c r="G2912" i="11" s="1"/>
  <c r="H2911" i="11"/>
  <c r="G2911" i="11"/>
  <c r="I2911" i="11" s="1"/>
  <c r="F2911" i="11"/>
  <c r="G2910" i="11"/>
  <c r="F2910" i="11"/>
  <c r="F2909" i="11"/>
  <c r="G2909" i="11" s="1"/>
  <c r="F2908" i="11"/>
  <c r="G2908" i="11" s="1"/>
  <c r="H2907" i="11"/>
  <c r="G2907" i="11"/>
  <c r="I2907" i="11" s="1"/>
  <c r="F2907" i="11"/>
  <c r="G2906" i="11"/>
  <c r="F2906" i="11"/>
  <c r="F2905" i="11"/>
  <c r="G2905" i="11" s="1"/>
  <c r="F2904" i="11"/>
  <c r="G2904" i="11" s="1"/>
  <c r="H2903" i="11"/>
  <c r="G2903" i="11"/>
  <c r="I2903" i="11" s="1"/>
  <c r="F2903" i="11"/>
  <c r="G2902" i="11"/>
  <c r="F2902" i="11"/>
  <c r="F2901" i="11"/>
  <c r="G2901" i="11" s="1"/>
  <c r="F2900" i="11"/>
  <c r="G2900" i="11" s="1"/>
  <c r="H2899" i="11"/>
  <c r="G2899" i="11"/>
  <c r="I2899" i="11" s="1"/>
  <c r="F2899" i="11"/>
  <c r="G2898" i="11"/>
  <c r="F2898" i="11"/>
  <c r="F2897" i="11"/>
  <c r="G2897" i="11" s="1"/>
  <c r="F2896" i="11"/>
  <c r="G2896" i="11" s="1"/>
  <c r="H2895" i="11"/>
  <c r="G2895" i="11"/>
  <c r="I2895" i="11" s="1"/>
  <c r="F2895" i="11"/>
  <c r="G2894" i="11"/>
  <c r="F2894" i="11"/>
  <c r="F2893" i="11"/>
  <c r="G2893" i="11" s="1"/>
  <c r="F2892" i="11"/>
  <c r="G2892" i="11" s="1"/>
  <c r="H2891" i="11"/>
  <c r="G2891" i="11"/>
  <c r="I2891" i="11" s="1"/>
  <c r="F2891" i="11"/>
  <c r="G2890" i="11"/>
  <c r="F2890" i="11"/>
  <c r="F2889" i="11"/>
  <c r="G2889" i="11" s="1"/>
  <c r="F2888" i="11"/>
  <c r="G2888" i="11" s="1"/>
  <c r="H2887" i="11"/>
  <c r="G2887" i="11"/>
  <c r="I2887" i="11" s="1"/>
  <c r="F2887" i="11"/>
  <c r="G2886" i="11"/>
  <c r="F2886" i="11"/>
  <c r="F2885" i="11"/>
  <c r="G2885" i="11" s="1"/>
  <c r="F2884" i="11"/>
  <c r="G2884" i="11" s="1"/>
  <c r="H2883" i="11"/>
  <c r="G2883" i="11"/>
  <c r="I2883" i="11" s="1"/>
  <c r="F2883" i="11"/>
  <c r="G2882" i="11"/>
  <c r="F2882" i="11"/>
  <c r="F2881" i="11"/>
  <c r="G2881" i="11" s="1"/>
  <c r="F2880" i="11"/>
  <c r="G2880" i="11" s="1"/>
  <c r="H2879" i="11"/>
  <c r="G2879" i="11"/>
  <c r="I2879" i="11" s="1"/>
  <c r="F2879" i="11"/>
  <c r="G2878" i="11"/>
  <c r="F2878" i="11"/>
  <c r="F2877" i="11"/>
  <c r="G2877" i="11" s="1"/>
  <c r="F2876" i="11"/>
  <c r="G2876" i="11" s="1"/>
  <c r="H2875" i="11"/>
  <c r="G2875" i="11"/>
  <c r="I2875" i="11" s="1"/>
  <c r="F2875" i="11"/>
  <c r="G2874" i="11"/>
  <c r="F2874" i="11"/>
  <c r="F2873" i="11"/>
  <c r="G2873" i="11" s="1"/>
  <c r="F2872" i="11"/>
  <c r="G2872" i="11" s="1"/>
  <c r="H2871" i="11"/>
  <c r="G2871" i="11"/>
  <c r="I2871" i="11" s="1"/>
  <c r="F2871" i="11"/>
  <c r="G2870" i="11"/>
  <c r="F2870" i="11"/>
  <c r="F2869" i="11"/>
  <c r="G2869" i="11" s="1"/>
  <c r="F2868" i="11"/>
  <c r="G2868" i="11" s="1"/>
  <c r="H2867" i="11"/>
  <c r="G2867" i="11"/>
  <c r="I2867" i="11" s="1"/>
  <c r="F2867" i="11"/>
  <c r="G2866" i="11"/>
  <c r="F2866" i="11"/>
  <c r="F2865" i="11"/>
  <c r="G2865" i="11" s="1"/>
  <c r="F2864" i="11"/>
  <c r="G2864" i="11" s="1"/>
  <c r="H2863" i="11"/>
  <c r="G2863" i="11"/>
  <c r="I2863" i="11" s="1"/>
  <c r="F2863" i="11"/>
  <c r="G2862" i="11"/>
  <c r="F2862" i="11"/>
  <c r="F2861" i="11"/>
  <c r="G2861" i="11" s="1"/>
  <c r="F2860" i="11"/>
  <c r="G2860" i="11" s="1"/>
  <c r="H2859" i="11"/>
  <c r="G2859" i="11"/>
  <c r="I2859" i="11" s="1"/>
  <c r="F2859" i="11"/>
  <c r="G2858" i="11"/>
  <c r="F2858" i="11"/>
  <c r="F2857" i="11"/>
  <c r="G2857" i="11" s="1"/>
  <c r="F2856" i="11"/>
  <c r="G2856" i="11" s="1"/>
  <c r="H2855" i="11"/>
  <c r="G2855" i="11"/>
  <c r="I2855" i="11" s="1"/>
  <c r="F2855" i="11"/>
  <c r="G2854" i="11"/>
  <c r="F2854" i="11"/>
  <c r="F2853" i="11"/>
  <c r="G2853" i="11" s="1"/>
  <c r="F2852" i="11"/>
  <c r="G2852" i="11" s="1"/>
  <c r="H2851" i="11"/>
  <c r="G2851" i="11"/>
  <c r="I2851" i="11" s="1"/>
  <c r="F2851" i="11"/>
  <c r="G2850" i="11"/>
  <c r="F2850" i="11"/>
  <c r="F2849" i="11"/>
  <c r="G2849" i="11" s="1"/>
  <c r="F2848" i="11"/>
  <c r="G2848" i="11" s="1"/>
  <c r="H2847" i="11"/>
  <c r="G2847" i="11"/>
  <c r="I2847" i="11" s="1"/>
  <c r="F2847" i="11"/>
  <c r="G2846" i="11"/>
  <c r="F2846" i="11"/>
  <c r="F2845" i="11"/>
  <c r="G2845" i="11" s="1"/>
  <c r="F2844" i="11"/>
  <c r="G2844" i="11" s="1"/>
  <c r="H2843" i="11"/>
  <c r="G2843" i="11"/>
  <c r="I2843" i="11" s="1"/>
  <c r="F2843" i="11"/>
  <c r="G2842" i="11"/>
  <c r="F2842" i="11"/>
  <c r="F2841" i="11"/>
  <c r="G2841" i="11" s="1"/>
  <c r="F2840" i="11"/>
  <c r="G2840" i="11" s="1"/>
  <c r="H2839" i="11"/>
  <c r="G2839" i="11"/>
  <c r="I2839" i="11" s="1"/>
  <c r="F2839" i="11"/>
  <c r="G2838" i="11"/>
  <c r="F2838" i="11"/>
  <c r="F2837" i="11"/>
  <c r="G2837" i="11" s="1"/>
  <c r="F2836" i="11"/>
  <c r="G2836" i="11" s="1"/>
  <c r="H2835" i="11"/>
  <c r="G2835" i="11"/>
  <c r="I2835" i="11" s="1"/>
  <c r="F2835" i="11"/>
  <c r="G2834" i="11"/>
  <c r="F2834" i="11"/>
  <c r="F2833" i="11"/>
  <c r="G2833" i="11" s="1"/>
  <c r="F2832" i="11"/>
  <c r="G2832" i="11" s="1"/>
  <c r="H2831" i="11"/>
  <c r="G2831" i="11"/>
  <c r="I2831" i="11" s="1"/>
  <c r="F2831" i="11"/>
  <c r="G2830" i="11"/>
  <c r="F2830" i="11"/>
  <c r="F2829" i="11"/>
  <c r="G2829" i="11" s="1"/>
  <c r="F2828" i="11"/>
  <c r="G2828" i="11" s="1"/>
  <c r="H2827" i="11"/>
  <c r="G2827" i="11"/>
  <c r="I2827" i="11" s="1"/>
  <c r="F2827" i="11"/>
  <c r="G2826" i="11"/>
  <c r="F2826" i="11"/>
  <c r="F2825" i="11"/>
  <c r="G2825" i="11" s="1"/>
  <c r="F2824" i="11"/>
  <c r="G2824" i="11" s="1"/>
  <c r="H2823" i="11"/>
  <c r="G2823" i="11"/>
  <c r="I2823" i="11" s="1"/>
  <c r="F2823" i="11"/>
  <c r="G2822" i="11"/>
  <c r="F2822" i="11"/>
  <c r="F2821" i="11"/>
  <c r="G2821" i="11" s="1"/>
  <c r="F2820" i="11"/>
  <c r="G2820" i="11" s="1"/>
  <c r="H2819" i="11"/>
  <c r="G2819" i="11"/>
  <c r="I2819" i="11" s="1"/>
  <c r="F2819" i="11"/>
  <c r="G2818" i="11"/>
  <c r="F2818" i="11"/>
  <c r="F2817" i="11"/>
  <c r="G2817" i="11" s="1"/>
  <c r="F2816" i="11"/>
  <c r="G2816" i="11" s="1"/>
  <c r="H2815" i="11"/>
  <c r="G2815" i="11"/>
  <c r="I2815" i="11" s="1"/>
  <c r="F2815" i="11"/>
  <c r="G2814" i="11"/>
  <c r="F2814" i="11"/>
  <c r="F2813" i="11"/>
  <c r="G2813" i="11" s="1"/>
  <c r="F2812" i="11"/>
  <c r="G2812" i="11" s="1"/>
  <c r="H2811" i="11"/>
  <c r="G2811" i="11"/>
  <c r="I2811" i="11" s="1"/>
  <c r="F2811" i="11"/>
  <c r="G2810" i="11"/>
  <c r="F2810" i="11"/>
  <c r="F2809" i="11"/>
  <c r="G2809" i="11" s="1"/>
  <c r="F2808" i="11"/>
  <c r="G2808" i="11" s="1"/>
  <c r="H2807" i="11"/>
  <c r="G2807" i="11"/>
  <c r="I2807" i="11" s="1"/>
  <c r="F2807" i="11"/>
  <c r="G2806" i="11"/>
  <c r="F2806" i="11"/>
  <c r="F2805" i="11"/>
  <c r="G2805" i="11" s="1"/>
  <c r="F2804" i="11"/>
  <c r="G2804" i="11" s="1"/>
  <c r="H2803" i="11"/>
  <c r="G2803" i="11"/>
  <c r="I2803" i="11" s="1"/>
  <c r="F2803" i="11"/>
  <c r="G2802" i="11"/>
  <c r="F2802" i="11"/>
  <c r="F2801" i="11"/>
  <c r="G2801" i="11" s="1"/>
  <c r="F2800" i="11"/>
  <c r="G2800" i="11" s="1"/>
  <c r="H2799" i="11"/>
  <c r="G2799" i="11"/>
  <c r="I2799" i="11" s="1"/>
  <c r="F2799" i="11"/>
  <c r="G2798" i="11"/>
  <c r="F2798" i="11"/>
  <c r="F2797" i="11"/>
  <c r="G2797" i="11" s="1"/>
  <c r="F2796" i="11"/>
  <c r="G2796" i="11" s="1"/>
  <c r="H2795" i="11"/>
  <c r="G2795" i="11"/>
  <c r="I2795" i="11" s="1"/>
  <c r="F2795" i="11"/>
  <c r="G2794" i="11"/>
  <c r="F2794" i="11"/>
  <c r="F2793" i="11"/>
  <c r="G2793" i="11" s="1"/>
  <c r="F2792" i="11"/>
  <c r="G2792" i="11" s="1"/>
  <c r="H2791" i="11"/>
  <c r="G2791" i="11"/>
  <c r="I2791" i="11" s="1"/>
  <c r="F2791" i="11"/>
  <c r="G2790" i="11"/>
  <c r="F2790" i="11"/>
  <c r="F2789" i="11"/>
  <c r="G2789" i="11" s="1"/>
  <c r="F2788" i="11"/>
  <c r="G2788" i="11" s="1"/>
  <c r="H2787" i="11"/>
  <c r="G2787" i="11"/>
  <c r="I2787" i="11" s="1"/>
  <c r="F2787" i="11"/>
  <c r="G2786" i="11"/>
  <c r="F2786" i="11"/>
  <c r="F2785" i="11"/>
  <c r="G2785" i="11" s="1"/>
  <c r="F2784" i="11"/>
  <c r="G2784" i="11" s="1"/>
  <c r="H2783" i="11"/>
  <c r="G2783" i="11"/>
  <c r="I2783" i="11" s="1"/>
  <c r="F2783" i="11"/>
  <c r="G2782" i="11"/>
  <c r="F2782" i="11"/>
  <c r="F2781" i="11"/>
  <c r="G2781" i="11" s="1"/>
  <c r="F2780" i="11"/>
  <c r="G2780" i="11" s="1"/>
  <c r="H2779" i="11"/>
  <c r="G2779" i="11"/>
  <c r="I2779" i="11" s="1"/>
  <c r="F2779" i="11"/>
  <c r="G2778" i="11"/>
  <c r="F2778" i="11"/>
  <c r="F2777" i="11"/>
  <c r="G2777" i="11" s="1"/>
  <c r="F2776" i="11"/>
  <c r="G2776" i="11" s="1"/>
  <c r="H2775" i="11"/>
  <c r="G2775" i="11"/>
  <c r="I2775" i="11" s="1"/>
  <c r="F2775" i="11"/>
  <c r="G2774" i="11"/>
  <c r="F2774" i="11"/>
  <c r="F2773" i="11"/>
  <c r="G2773" i="11" s="1"/>
  <c r="F2772" i="11"/>
  <c r="G2772" i="11" s="1"/>
  <c r="H2771" i="11"/>
  <c r="G2771" i="11"/>
  <c r="I2771" i="11" s="1"/>
  <c r="F2771" i="11"/>
  <c r="G2770" i="11"/>
  <c r="F2770" i="11"/>
  <c r="F2769" i="11"/>
  <c r="G2769" i="11" s="1"/>
  <c r="F2768" i="11"/>
  <c r="G2768" i="11" s="1"/>
  <c r="H2767" i="11"/>
  <c r="G2767" i="11"/>
  <c r="I2767" i="11" s="1"/>
  <c r="F2767" i="11"/>
  <c r="G2766" i="11"/>
  <c r="F2766" i="11"/>
  <c r="F2765" i="11"/>
  <c r="G2765" i="11" s="1"/>
  <c r="F2764" i="11"/>
  <c r="G2764" i="11" s="1"/>
  <c r="H2763" i="11"/>
  <c r="G2763" i="11"/>
  <c r="I2763" i="11" s="1"/>
  <c r="F2763" i="11"/>
  <c r="G2762" i="11"/>
  <c r="F2762" i="11"/>
  <c r="F2761" i="11"/>
  <c r="G2761" i="11" s="1"/>
  <c r="F2760" i="11"/>
  <c r="G2760" i="11" s="1"/>
  <c r="H2759" i="11"/>
  <c r="G2759" i="11"/>
  <c r="I2759" i="11" s="1"/>
  <c r="F2759" i="11"/>
  <c r="G2758" i="11"/>
  <c r="F2758" i="11"/>
  <c r="F2757" i="11"/>
  <c r="G2757" i="11" s="1"/>
  <c r="F2756" i="11"/>
  <c r="G2756" i="11" s="1"/>
  <c r="H2755" i="11"/>
  <c r="G2755" i="11"/>
  <c r="I2755" i="11" s="1"/>
  <c r="F2755" i="11"/>
  <c r="G2754" i="11"/>
  <c r="F2754" i="11"/>
  <c r="F2753" i="11"/>
  <c r="G2753" i="11" s="1"/>
  <c r="F2752" i="11"/>
  <c r="G2752" i="11" s="1"/>
  <c r="H2751" i="11"/>
  <c r="G2751" i="11"/>
  <c r="I2751" i="11" s="1"/>
  <c r="F2751" i="11"/>
  <c r="G2750" i="11"/>
  <c r="F2750" i="11"/>
  <c r="F2749" i="11"/>
  <c r="G2749" i="11" s="1"/>
  <c r="F2748" i="11"/>
  <c r="G2748" i="11" s="1"/>
  <c r="H2747" i="11"/>
  <c r="G2747" i="11"/>
  <c r="I2747" i="11" s="1"/>
  <c r="F2747" i="11"/>
  <c r="G2746" i="11"/>
  <c r="F2746" i="11"/>
  <c r="F2745" i="11"/>
  <c r="G2745" i="11" s="1"/>
  <c r="F2744" i="11"/>
  <c r="G2744" i="11" s="1"/>
  <c r="H2743" i="11"/>
  <c r="G2743" i="11"/>
  <c r="I2743" i="11" s="1"/>
  <c r="F2743" i="11"/>
  <c r="G2742" i="11"/>
  <c r="F2742" i="11"/>
  <c r="F2741" i="11"/>
  <c r="G2741" i="11" s="1"/>
  <c r="F2740" i="11"/>
  <c r="G2740" i="11" s="1"/>
  <c r="H2739" i="11"/>
  <c r="G2739" i="11"/>
  <c r="I2739" i="11" s="1"/>
  <c r="F2739" i="11"/>
  <c r="G2738" i="11"/>
  <c r="F2738" i="11"/>
  <c r="F2737" i="11"/>
  <c r="G2737" i="11" s="1"/>
  <c r="F2736" i="11"/>
  <c r="G2736" i="11" s="1"/>
  <c r="H2735" i="11"/>
  <c r="G2735" i="11"/>
  <c r="I2735" i="11" s="1"/>
  <c r="F2735" i="11"/>
  <c r="G2734" i="11"/>
  <c r="F2734" i="11"/>
  <c r="F2733" i="11"/>
  <c r="G2733" i="11" s="1"/>
  <c r="F2732" i="11"/>
  <c r="G2732" i="11" s="1"/>
  <c r="H2731" i="11"/>
  <c r="G2731" i="11"/>
  <c r="I2731" i="11" s="1"/>
  <c r="F2731" i="11"/>
  <c r="G2730" i="11"/>
  <c r="F2730" i="11"/>
  <c r="F2729" i="11"/>
  <c r="G2729" i="11" s="1"/>
  <c r="F2728" i="11"/>
  <c r="G2728" i="11" s="1"/>
  <c r="H2727" i="11"/>
  <c r="G2727" i="11"/>
  <c r="I2727" i="11" s="1"/>
  <c r="F2727" i="11"/>
  <c r="G2726" i="11"/>
  <c r="F2726" i="11"/>
  <c r="F2725" i="11"/>
  <c r="G2725" i="11" s="1"/>
  <c r="F2724" i="11"/>
  <c r="G2724" i="11" s="1"/>
  <c r="H2723" i="11"/>
  <c r="G2723" i="11"/>
  <c r="I2723" i="11" s="1"/>
  <c r="F2723" i="11"/>
  <c r="G2722" i="11"/>
  <c r="F2722" i="11"/>
  <c r="F2721" i="11"/>
  <c r="G2721" i="11" s="1"/>
  <c r="F2720" i="11"/>
  <c r="G2720" i="11" s="1"/>
  <c r="H2719" i="11"/>
  <c r="G2719" i="11"/>
  <c r="I2719" i="11" s="1"/>
  <c r="F2719" i="11"/>
  <c r="G2718" i="11"/>
  <c r="F2718" i="11"/>
  <c r="F2717" i="11"/>
  <c r="G2717" i="11" s="1"/>
  <c r="F2716" i="11"/>
  <c r="G2716" i="11" s="1"/>
  <c r="H2715" i="11"/>
  <c r="G2715" i="11"/>
  <c r="I2715" i="11" s="1"/>
  <c r="F2715" i="11"/>
  <c r="G2714" i="11"/>
  <c r="F2714" i="11"/>
  <c r="F2713" i="11"/>
  <c r="G2713" i="11" s="1"/>
  <c r="F2712" i="11"/>
  <c r="G2712" i="11" s="1"/>
  <c r="H2711" i="11"/>
  <c r="G2711" i="11"/>
  <c r="I2711" i="11" s="1"/>
  <c r="F2711" i="11"/>
  <c r="G2710" i="11"/>
  <c r="F2710" i="11"/>
  <c r="F2709" i="11"/>
  <c r="G2709" i="11" s="1"/>
  <c r="F2708" i="11"/>
  <c r="G2708" i="11" s="1"/>
  <c r="H2707" i="11"/>
  <c r="G2707" i="11"/>
  <c r="I2707" i="11" s="1"/>
  <c r="F2707" i="11"/>
  <c r="G2706" i="11"/>
  <c r="F2706" i="11"/>
  <c r="F2705" i="11"/>
  <c r="G2705" i="11" s="1"/>
  <c r="F2704" i="11"/>
  <c r="G2704" i="11" s="1"/>
  <c r="H2703" i="11"/>
  <c r="G2703" i="11"/>
  <c r="I2703" i="11" s="1"/>
  <c r="F2703" i="11"/>
  <c r="G2702" i="11"/>
  <c r="F2702" i="11"/>
  <c r="F2701" i="11"/>
  <c r="G2701" i="11" s="1"/>
  <c r="F2700" i="11"/>
  <c r="G2700" i="11" s="1"/>
  <c r="H2699" i="11"/>
  <c r="G2699" i="11"/>
  <c r="I2699" i="11" s="1"/>
  <c r="F2699" i="11"/>
  <c r="G2698" i="11"/>
  <c r="F2698" i="11"/>
  <c r="F2697" i="11"/>
  <c r="G2697" i="11" s="1"/>
  <c r="F2696" i="11"/>
  <c r="G2696" i="11" s="1"/>
  <c r="H2695" i="11"/>
  <c r="G2695" i="11"/>
  <c r="I2695" i="11" s="1"/>
  <c r="F2695" i="11"/>
  <c r="G2694" i="11"/>
  <c r="F2694" i="11"/>
  <c r="F2693" i="11"/>
  <c r="G2693" i="11" s="1"/>
  <c r="F2692" i="11"/>
  <c r="G2692" i="11" s="1"/>
  <c r="H2691" i="11"/>
  <c r="G2691" i="11"/>
  <c r="I2691" i="11" s="1"/>
  <c r="F2691" i="11"/>
  <c r="G2690" i="11"/>
  <c r="F2690" i="11"/>
  <c r="F2689" i="11"/>
  <c r="G2689" i="11" s="1"/>
  <c r="F2688" i="11"/>
  <c r="G2688" i="11" s="1"/>
  <c r="H2687" i="11"/>
  <c r="G2687" i="11"/>
  <c r="I2687" i="11" s="1"/>
  <c r="F2687" i="11"/>
  <c r="G2686" i="11"/>
  <c r="F2686" i="11"/>
  <c r="F2685" i="11"/>
  <c r="G2685" i="11" s="1"/>
  <c r="F2684" i="11"/>
  <c r="G2684" i="11" s="1"/>
  <c r="H2683" i="11"/>
  <c r="G2683" i="11"/>
  <c r="I2683" i="11" s="1"/>
  <c r="F2683" i="11"/>
  <c r="G2682" i="11"/>
  <c r="F2682" i="11"/>
  <c r="F2681" i="11"/>
  <c r="G2681" i="11" s="1"/>
  <c r="F2680" i="11"/>
  <c r="G2680" i="11" s="1"/>
  <c r="H2679" i="11"/>
  <c r="G2679" i="11"/>
  <c r="I2679" i="11" s="1"/>
  <c r="F2679" i="11"/>
  <c r="G2678" i="11"/>
  <c r="F2678" i="11"/>
  <c r="F2677" i="11"/>
  <c r="G2677" i="11" s="1"/>
  <c r="F2676" i="11"/>
  <c r="G2676" i="11" s="1"/>
  <c r="H2675" i="11"/>
  <c r="G2675" i="11"/>
  <c r="I2675" i="11" s="1"/>
  <c r="F2675" i="11"/>
  <c r="G2674" i="11"/>
  <c r="F2674" i="11"/>
  <c r="F2673" i="11"/>
  <c r="G2673" i="11" s="1"/>
  <c r="F2672" i="11"/>
  <c r="G2672" i="11" s="1"/>
  <c r="H2671" i="11"/>
  <c r="G2671" i="11"/>
  <c r="I2671" i="11" s="1"/>
  <c r="F2671" i="11"/>
  <c r="G2670" i="11"/>
  <c r="F2670" i="11"/>
  <c r="F2669" i="11"/>
  <c r="G2669" i="11" s="1"/>
  <c r="F2668" i="11"/>
  <c r="G2668" i="11" s="1"/>
  <c r="H2667" i="11"/>
  <c r="G2667" i="11"/>
  <c r="I2667" i="11" s="1"/>
  <c r="F2667" i="11"/>
  <c r="G2666" i="11"/>
  <c r="F2666" i="11"/>
  <c r="F2665" i="11"/>
  <c r="G2665" i="11" s="1"/>
  <c r="F2664" i="11"/>
  <c r="G2664" i="11" s="1"/>
  <c r="H2663" i="11"/>
  <c r="G2663" i="11"/>
  <c r="I2663" i="11" s="1"/>
  <c r="F2663" i="11"/>
  <c r="G2662" i="11"/>
  <c r="F2662" i="11"/>
  <c r="F2661" i="11"/>
  <c r="G2661" i="11" s="1"/>
  <c r="F2660" i="11"/>
  <c r="G2660" i="11" s="1"/>
  <c r="H2659" i="11"/>
  <c r="G2659" i="11"/>
  <c r="I2659" i="11" s="1"/>
  <c r="F2659" i="11"/>
  <c r="G2658" i="11"/>
  <c r="F2658" i="11"/>
  <c r="F2657" i="11"/>
  <c r="G2657" i="11" s="1"/>
  <c r="F2656" i="11"/>
  <c r="G2656" i="11" s="1"/>
  <c r="H2655" i="11"/>
  <c r="G2655" i="11"/>
  <c r="I2655" i="11" s="1"/>
  <c r="F2655" i="11"/>
  <c r="G2654" i="11"/>
  <c r="F2654" i="11"/>
  <c r="F2653" i="11"/>
  <c r="G2653" i="11" s="1"/>
  <c r="F2652" i="11"/>
  <c r="G2652" i="11" s="1"/>
  <c r="H2651" i="11"/>
  <c r="G2651" i="11"/>
  <c r="I2651" i="11" s="1"/>
  <c r="F2651" i="11"/>
  <c r="G2650" i="11"/>
  <c r="F2650" i="11"/>
  <c r="F2649" i="11"/>
  <c r="G2649" i="11" s="1"/>
  <c r="F2648" i="11"/>
  <c r="G2648" i="11" s="1"/>
  <c r="H2647" i="11"/>
  <c r="G2647" i="11"/>
  <c r="I2647" i="11" s="1"/>
  <c r="F2647" i="11"/>
  <c r="G2646" i="11"/>
  <c r="F2646" i="11"/>
  <c r="F2645" i="11"/>
  <c r="G2645" i="11" s="1"/>
  <c r="F2644" i="11"/>
  <c r="G2644" i="11" s="1"/>
  <c r="H2643" i="11"/>
  <c r="G2643" i="11"/>
  <c r="I2643" i="11" s="1"/>
  <c r="F2643" i="11"/>
  <c r="G2642" i="11"/>
  <c r="F2642" i="11"/>
  <c r="F2641" i="11"/>
  <c r="G2641" i="11" s="1"/>
  <c r="F2640" i="11"/>
  <c r="G2640" i="11" s="1"/>
  <c r="H2639" i="11"/>
  <c r="G2639" i="11"/>
  <c r="I2639" i="11" s="1"/>
  <c r="F2639" i="11"/>
  <c r="G2638" i="11"/>
  <c r="F2638" i="11"/>
  <c r="F2637" i="11"/>
  <c r="G2637" i="11" s="1"/>
  <c r="F2636" i="11"/>
  <c r="G2636" i="11" s="1"/>
  <c r="H2635" i="11"/>
  <c r="G2635" i="11"/>
  <c r="I2635" i="11" s="1"/>
  <c r="F2635" i="11"/>
  <c r="G2634" i="11"/>
  <c r="F2634" i="11"/>
  <c r="F2633" i="11"/>
  <c r="G2633" i="11" s="1"/>
  <c r="F2632" i="11"/>
  <c r="G2632" i="11" s="1"/>
  <c r="H2631" i="11"/>
  <c r="G2631" i="11"/>
  <c r="I2631" i="11" s="1"/>
  <c r="F2631" i="11"/>
  <c r="G2630" i="11"/>
  <c r="F2630" i="11"/>
  <c r="F2629" i="11"/>
  <c r="G2629" i="11" s="1"/>
  <c r="F2628" i="11"/>
  <c r="G2628" i="11" s="1"/>
  <c r="H2627" i="11"/>
  <c r="G2627" i="11"/>
  <c r="I2627" i="11" s="1"/>
  <c r="F2627" i="11"/>
  <c r="G2626" i="11"/>
  <c r="F2626" i="11"/>
  <c r="F2625" i="11"/>
  <c r="G2625" i="11" s="1"/>
  <c r="F2624" i="11"/>
  <c r="G2624" i="11" s="1"/>
  <c r="H2623" i="11"/>
  <c r="G2623" i="11"/>
  <c r="I2623" i="11" s="1"/>
  <c r="F2623" i="11"/>
  <c r="G2622" i="11"/>
  <c r="F2622" i="11"/>
  <c r="F2621" i="11"/>
  <c r="G2621" i="11" s="1"/>
  <c r="F2620" i="11"/>
  <c r="G2620" i="11" s="1"/>
  <c r="H2619" i="11"/>
  <c r="G2619" i="11"/>
  <c r="I2619" i="11" s="1"/>
  <c r="F2619" i="11"/>
  <c r="G2618" i="11"/>
  <c r="F2618" i="11"/>
  <c r="F2617" i="11"/>
  <c r="G2617" i="11" s="1"/>
  <c r="F2616" i="11"/>
  <c r="G2616" i="11" s="1"/>
  <c r="H2615" i="11"/>
  <c r="G2615" i="11"/>
  <c r="I2615" i="11" s="1"/>
  <c r="F2615" i="11"/>
  <c r="G2614" i="11"/>
  <c r="F2614" i="11"/>
  <c r="F2613" i="11"/>
  <c r="G2613" i="11" s="1"/>
  <c r="F2612" i="11"/>
  <c r="G2612" i="11" s="1"/>
  <c r="H2611" i="11"/>
  <c r="G2611" i="11"/>
  <c r="I2611" i="11" s="1"/>
  <c r="F2611" i="11"/>
  <c r="G2610" i="11"/>
  <c r="F2610" i="11"/>
  <c r="F2609" i="11"/>
  <c r="G2609" i="11" s="1"/>
  <c r="F2608" i="11"/>
  <c r="G2608" i="11" s="1"/>
  <c r="H2607" i="11"/>
  <c r="G2607" i="11"/>
  <c r="I2607" i="11" s="1"/>
  <c r="F2607" i="11"/>
  <c r="G2606" i="11"/>
  <c r="F2606" i="11"/>
  <c r="F2605" i="11"/>
  <c r="G2605" i="11" s="1"/>
  <c r="F2604" i="11"/>
  <c r="G2604" i="11" s="1"/>
  <c r="H2603" i="11"/>
  <c r="G2603" i="11"/>
  <c r="I2603" i="11" s="1"/>
  <c r="F2603" i="11"/>
  <c r="G2602" i="11"/>
  <c r="F2602" i="11"/>
  <c r="F2601" i="11"/>
  <c r="G2601" i="11" s="1"/>
  <c r="F2600" i="11"/>
  <c r="G2600" i="11" s="1"/>
  <c r="H2599" i="11"/>
  <c r="G2599" i="11"/>
  <c r="I2599" i="11" s="1"/>
  <c r="F2599" i="11"/>
  <c r="G2598" i="11"/>
  <c r="F2598" i="11"/>
  <c r="F2597" i="11"/>
  <c r="G2597" i="11" s="1"/>
  <c r="F2596" i="11"/>
  <c r="G2596" i="11" s="1"/>
  <c r="H2595" i="11"/>
  <c r="G2595" i="11"/>
  <c r="I2595" i="11" s="1"/>
  <c r="F2595" i="11"/>
  <c r="G2594" i="11"/>
  <c r="F2594" i="11"/>
  <c r="F2593" i="11"/>
  <c r="G2593" i="11" s="1"/>
  <c r="F2592" i="11"/>
  <c r="G2592" i="11" s="1"/>
  <c r="H2591" i="11"/>
  <c r="G2591" i="11"/>
  <c r="I2591" i="11" s="1"/>
  <c r="F2591" i="11"/>
  <c r="G2590" i="11"/>
  <c r="F2590" i="11"/>
  <c r="F2589" i="11"/>
  <c r="G2589" i="11" s="1"/>
  <c r="F2588" i="11"/>
  <c r="G2588" i="11" s="1"/>
  <c r="H2587" i="11"/>
  <c r="G2587" i="11"/>
  <c r="I2587" i="11" s="1"/>
  <c r="F2587" i="11"/>
  <c r="G2586" i="11"/>
  <c r="F2586" i="11"/>
  <c r="F2585" i="11"/>
  <c r="G2585" i="11" s="1"/>
  <c r="F2584" i="11"/>
  <c r="G2584" i="11" s="1"/>
  <c r="H2583" i="11"/>
  <c r="G2583" i="11"/>
  <c r="I2583" i="11" s="1"/>
  <c r="F2583" i="11"/>
  <c r="G2582" i="11"/>
  <c r="F2582" i="11"/>
  <c r="F2581" i="11"/>
  <c r="G2581" i="11" s="1"/>
  <c r="F2580" i="11"/>
  <c r="G2580" i="11" s="1"/>
  <c r="H2579" i="11"/>
  <c r="G2579" i="11"/>
  <c r="I2579" i="11" s="1"/>
  <c r="F2579" i="11"/>
  <c r="G2578" i="11"/>
  <c r="F2578" i="11"/>
  <c r="F2577" i="11"/>
  <c r="G2577" i="11" s="1"/>
  <c r="F2576" i="11"/>
  <c r="G2576" i="11" s="1"/>
  <c r="H2575" i="11"/>
  <c r="G2575" i="11"/>
  <c r="I2575" i="11" s="1"/>
  <c r="F2575" i="11"/>
  <c r="G2574" i="11"/>
  <c r="F2574" i="11"/>
  <c r="F2573" i="11"/>
  <c r="G2573" i="11" s="1"/>
  <c r="F2572" i="11"/>
  <c r="G2572" i="11" s="1"/>
  <c r="H2571" i="11"/>
  <c r="G2571" i="11"/>
  <c r="I2571" i="11" s="1"/>
  <c r="F2571" i="11"/>
  <c r="G2570" i="11"/>
  <c r="F2570" i="11"/>
  <c r="F2569" i="11"/>
  <c r="G2569" i="11" s="1"/>
  <c r="F2568" i="11"/>
  <c r="G2568" i="11" s="1"/>
  <c r="H2567" i="11"/>
  <c r="G2567" i="11"/>
  <c r="I2567" i="11" s="1"/>
  <c r="F2567" i="11"/>
  <c r="G2566" i="11"/>
  <c r="F2566" i="11"/>
  <c r="F2565" i="11"/>
  <c r="G2565" i="11" s="1"/>
  <c r="F2564" i="11"/>
  <c r="G2564" i="11" s="1"/>
  <c r="H2563" i="11"/>
  <c r="G2563" i="11"/>
  <c r="I2563" i="11" s="1"/>
  <c r="F2563" i="11"/>
  <c r="G2562" i="11"/>
  <c r="F2562" i="11"/>
  <c r="F2561" i="11"/>
  <c r="G2561" i="11" s="1"/>
  <c r="F2560" i="11"/>
  <c r="G2560" i="11" s="1"/>
  <c r="H2559" i="11"/>
  <c r="G2559" i="11"/>
  <c r="I2559" i="11" s="1"/>
  <c r="F2559" i="11"/>
  <c r="G2558" i="11"/>
  <c r="F2558" i="11"/>
  <c r="F2557" i="11"/>
  <c r="G2557" i="11" s="1"/>
  <c r="F2556" i="11"/>
  <c r="G2556" i="11" s="1"/>
  <c r="H2555" i="11"/>
  <c r="G2555" i="11"/>
  <c r="I2555" i="11" s="1"/>
  <c r="F2555" i="11"/>
  <c r="G2554" i="11"/>
  <c r="F2554" i="11"/>
  <c r="F2553" i="11"/>
  <c r="G2553" i="11" s="1"/>
  <c r="F2552" i="11"/>
  <c r="G2552" i="11" s="1"/>
  <c r="H2551" i="11"/>
  <c r="G2551" i="11"/>
  <c r="I2551" i="11" s="1"/>
  <c r="F2551" i="11"/>
  <c r="G2550" i="11"/>
  <c r="F2550" i="11"/>
  <c r="F2549" i="11"/>
  <c r="G2549" i="11" s="1"/>
  <c r="F2548" i="11"/>
  <c r="G2548" i="11" s="1"/>
  <c r="H2547" i="11"/>
  <c r="G2547" i="11"/>
  <c r="I2547" i="11" s="1"/>
  <c r="F2547" i="11"/>
  <c r="G2546" i="11"/>
  <c r="F2546" i="11"/>
  <c r="F2545" i="11"/>
  <c r="G2545" i="11" s="1"/>
  <c r="F2544" i="11"/>
  <c r="G2544" i="11" s="1"/>
  <c r="H2543" i="11"/>
  <c r="G2543" i="11"/>
  <c r="I2543" i="11" s="1"/>
  <c r="F2543" i="11"/>
  <c r="G2542" i="11"/>
  <c r="F2542" i="11"/>
  <c r="F2541" i="11"/>
  <c r="G2541" i="11" s="1"/>
  <c r="F2540" i="11"/>
  <c r="G2540" i="11" s="1"/>
  <c r="H2539" i="11"/>
  <c r="G2539" i="11"/>
  <c r="I2539" i="11" s="1"/>
  <c r="F2539" i="11"/>
  <c r="G2538" i="11"/>
  <c r="F2538" i="11"/>
  <c r="F2537" i="11"/>
  <c r="G2537" i="11" s="1"/>
  <c r="F2536" i="11"/>
  <c r="G2536" i="11" s="1"/>
  <c r="H2535" i="11"/>
  <c r="G2535" i="11"/>
  <c r="I2535" i="11" s="1"/>
  <c r="F2535" i="11"/>
  <c r="G2534" i="11"/>
  <c r="F2534" i="11"/>
  <c r="F2533" i="11"/>
  <c r="G2533" i="11" s="1"/>
  <c r="F2532" i="11"/>
  <c r="G2532" i="11" s="1"/>
  <c r="H2531" i="11"/>
  <c r="G2531" i="11"/>
  <c r="I2531" i="11" s="1"/>
  <c r="F2531" i="11"/>
  <c r="G2530" i="11"/>
  <c r="F2530" i="11"/>
  <c r="F2529" i="11"/>
  <c r="G2529" i="11" s="1"/>
  <c r="F2528" i="11"/>
  <c r="G2528" i="11" s="1"/>
  <c r="H2527" i="11"/>
  <c r="G2527" i="11"/>
  <c r="I2527" i="11" s="1"/>
  <c r="F2527" i="11"/>
  <c r="G2526" i="11"/>
  <c r="F2526" i="11"/>
  <c r="F2525" i="11"/>
  <c r="G2525" i="11" s="1"/>
  <c r="F2524" i="11"/>
  <c r="G2524" i="11" s="1"/>
  <c r="H2523" i="11"/>
  <c r="G2523" i="11"/>
  <c r="I2523" i="11" s="1"/>
  <c r="F2523" i="11"/>
  <c r="G2522" i="11"/>
  <c r="F2522" i="11"/>
  <c r="F2521" i="11"/>
  <c r="G2521" i="11" s="1"/>
  <c r="F2520" i="11"/>
  <c r="G2520" i="11" s="1"/>
  <c r="H2519" i="11"/>
  <c r="G2519" i="11"/>
  <c r="I2519" i="11" s="1"/>
  <c r="F2519" i="11"/>
  <c r="G2518" i="11"/>
  <c r="F2518" i="11"/>
  <c r="F2517" i="11"/>
  <c r="G2517" i="11" s="1"/>
  <c r="F2516" i="11"/>
  <c r="G2516" i="11" s="1"/>
  <c r="H2515" i="11"/>
  <c r="G2515" i="11"/>
  <c r="I2515" i="11" s="1"/>
  <c r="F2515" i="11"/>
  <c r="G2514" i="11"/>
  <c r="F2514" i="11"/>
  <c r="F2513" i="11"/>
  <c r="G2513" i="11" s="1"/>
  <c r="F2512" i="11"/>
  <c r="G2512" i="11" s="1"/>
  <c r="H2511" i="11"/>
  <c r="G2511" i="11"/>
  <c r="I2511" i="11" s="1"/>
  <c r="F2511" i="11"/>
  <c r="G2510" i="11"/>
  <c r="F2510" i="11"/>
  <c r="F2509" i="11"/>
  <c r="G2509" i="11" s="1"/>
  <c r="F2508" i="11"/>
  <c r="G2508" i="11" s="1"/>
  <c r="H2507" i="11"/>
  <c r="G2507" i="11"/>
  <c r="I2507" i="11" s="1"/>
  <c r="F2507" i="11"/>
  <c r="G2506" i="11"/>
  <c r="F2506" i="11"/>
  <c r="F2505" i="11"/>
  <c r="G2505" i="11" s="1"/>
  <c r="F2504" i="11"/>
  <c r="G2504" i="11" s="1"/>
  <c r="H2503" i="11"/>
  <c r="G2503" i="11"/>
  <c r="I2503" i="11" s="1"/>
  <c r="F2503" i="11"/>
  <c r="G2502" i="11"/>
  <c r="F2502" i="11"/>
  <c r="F2501" i="11"/>
  <c r="G2501" i="11" s="1"/>
  <c r="F2500" i="11"/>
  <c r="G2500" i="11" s="1"/>
  <c r="H2499" i="11"/>
  <c r="G2499" i="11"/>
  <c r="I2499" i="11" s="1"/>
  <c r="F2499" i="11"/>
  <c r="G2498" i="11"/>
  <c r="F2498" i="11"/>
  <c r="F2497" i="11"/>
  <c r="G2497" i="11" s="1"/>
  <c r="F2496" i="11"/>
  <c r="G2496" i="11" s="1"/>
  <c r="H2495" i="11"/>
  <c r="G2495" i="11"/>
  <c r="I2495" i="11" s="1"/>
  <c r="F2495" i="11"/>
  <c r="G2494" i="11"/>
  <c r="F2494" i="11"/>
  <c r="F2493" i="11"/>
  <c r="G2493" i="11" s="1"/>
  <c r="F2492" i="11"/>
  <c r="G2492" i="11" s="1"/>
  <c r="H2491" i="11"/>
  <c r="G2491" i="11"/>
  <c r="I2491" i="11" s="1"/>
  <c r="F2491" i="11"/>
  <c r="G2490" i="11"/>
  <c r="F2490" i="11"/>
  <c r="F2489" i="11"/>
  <c r="G2489" i="11" s="1"/>
  <c r="F2488" i="11"/>
  <c r="G2488" i="11" s="1"/>
  <c r="H2487" i="11"/>
  <c r="G2487" i="11"/>
  <c r="I2487" i="11" s="1"/>
  <c r="F2487" i="11"/>
  <c r="G2486" i="11"/>
  <c r="F2486" i="11"/>
  <c r="F2485" i="11"/>
  <c r="G2485" i="11" s="1"/>
  <c r="F2484" i="11"/>
  <c r="G2484" i="11" s="1"/>
  <c r="H2483" i="11"/>
  <c r="G2483" i="11"/>
  <c r="I2483" i="11" s="1"/>
  <c r="F2483" i="11"/>
  <c r="G2482" i="11"/>
  <c r="F2482" i="11"/>
  <c r="F2481" i="11"/>
  <c r="G2481" i="11" s="1"/>
  <c r="F2480" i="11"/>
  <c r="G2480" i="11" s="1"/>
  <c r="H2479" i="11"/>
  <c r="G2479" i="11"/>
  <c r="I2479" i="11" s="1"/>
  <c r="F2479" i="11"/>
  <c r="G2478" i="11"/>
  <c r="F2478" i="11"/>
  <c r="F2477" i="11"/>
  <c r="G2477" i="11" s="1"/>
  <c r="F2476" i="11"/>
  <c r="G2476" i="11" s="1"/>
  <c r="H2475" i="11"/>
  <c r="G2475" i="11"/>
  <c r="I2475" i="11" s="1"/>
  <c r="F2475" i="11"/>
  <c r="G2474" i="11"/>
  <c r="F2474" i="11"/>
  <c r="F2473" i="11"/>
  <c r="G2473" i="11" s="1"/>
  <c r="F2472" i="11"/>
  <c r="G2472" i="11" s="1"/>
  <c r="H2471" i="11"/>
  <c r="G2471" i="11"/>
  <c r="I2471" i="11" s="1"/>
  <c r="F2471" i="11"/>
  <c r="G2470" i="11"/>
  <c r="F2470" i="11"/>
  <c r="F2469" i="11"/>
  <c r="G2469" i="11" s="1"/>
  <c r="F2468" i="11"/>
  <c r="G2468" i="11" s="1"/>
  <c r="H2467" i="11"/>
  <c r="G2467" i="11"/>
  <c r="I2467" i="11" s="1"/>
  <c r="F2467" i="11"/>
  <c r="G2466" i="11"/>
  <c r="F2466" i="11"/>
  <c r="F2465" i="11"/>
  <c r="G2465" i="11" s="1"/>
  <c r="F2464" i="11"/>
  <c r="G2464" i="11" s="1"/>
  <c r="H2463" i="11"/>
  <c r="G2463" i="11"/>
  <c r="I2463" i="11" s="1"/>
  <c r="F2463" i="11"/>
  <c r="G2462" i="11"/>
  <c r="F2462" i="11"/>
  <c r="F2461" i="11"/>
  <c r="G2461" i="11" s="1"/>
  <c r="F2460" i="11"/>
  <c r="G2460" i="11" s="1"/>
  <c r="H2459" i="11"/>
  <c r="G2459" i="11"/>
  <c r="I2459" i="11" s="1"/>
  <c r="F2459" i="11"/>
  <c r="G2458" i="11"/>
  <c r="F2458" i="11"/>
  <c r="F2457" i="11"/>
  <c r="G2457" i="11" s="1"/>
  <c r="F2456" i="11"/>
  <c r="G2456" i="11" s="1"/>
  <c r="H2455" i="11"/>
  <c r="G2455" i="11"/>
  <c r="I2455" i="11" s="1"/>
  <c r="F2455" i="11"/>
  <c r="G2454" i="11"/>
  <c r="F2454" i="11"/>
  <c r="F2453" i="11"/>
  <c r="G2453" i="11" s="1"/>
  <c r="F2452" i="11"/>
  <c r="G2452" i="11" s="1"/>
  <c r="H2451" i="11"/>
  <c r="G2451" i="11"/>
  <c r="I2451" i="11" s="1"/>
  <c r="F2451" i="11"/>
  <c r="G2450" i="11"/>
  <c r="F2450" i="11"/>
  <c r="F2449" i="11"/>
  <c r="G2449" i="11" s="1"/>
  <c r="F2448" i="11"/>
  <c r="G2448" i="11" s="1"/>
  <c r="H2447" i="11"/>
  <c r="G2447" i="11"/>
  <c r="I2447" i="11" s="1"/>
  <c r="F2447" i="11"/>
  <c r="G2446" i="11"/>
  <c r="F2446" i="11"/>
  <c r="F2445" i="11"/>
  <c r="G2445" i="11" s="1"/>
  <c r="F2444" i="11"/>
  <c r="G2444" i="11" s="1"/>
  <c r="H2443" i="11"/>
  <c r="G2443" i="11"/>
  <c r="I2443" i="11" s="1"/>
  <c r="F2443" i="11"/>
  <c r="G2442" i="11"/>
  <c r="F2442" i="11"/>
  <c r="F2441" i="11"/>
  <c r="G2441" i="11" s="1"/>
  <c r="F2440" i="11"/>
  <c r="G2440" i="11" s="1"/>
  <c r="H2439" i="11"/>
  <c r="G2439" i="11"/>
  <c r="I2439" i="11" s="1"/>
  <c r="F2439" i="11"/>
  <c r="G2438" i="11"/>
  <c r="F2438" i="11"/>
  <c r="F2437" i="11"/>
  <c r="G2437" i="11" s="1"/>
  <c r="F2436" i="11"/>
  <c r="G2436" i="11" s="1"/>
  <c r="H2435" i="11"/>
  <c r="G2435" i="11"/>
  <c r="I2435" i="11" s="1"/>
  <c r="F2435" i="11"/>
  <c r="G2434" i="11"/>
  <c r="F2434" i="11"/>
  <c r="F2433" i="11"/>
  <c r="G2433" i="11" s="1"/>
  <c r="F2432" i="11"/>
  <c r="G2432" i="11" s="1"/>
  <c r="H2431" i="11"/>
  <c r="G2431" i="11"/>
  <c r="I2431" i="11" s="1"/>
  <c r="F2431" i="11"/>
  <c r="G2430" i="11"/>
  <c r="F2430" i="11"/>
  <c r="F2429" i="11"/>
  <c r="G2429" i="11" s="1"/>
  <c r="F2428" i="11"/>
  <c r="G2428" i="11" s="1"/>
  <c r="H2427" i="11"/>
  <c r="G2427" i="11"/>
  <c r="I2427" i="11" s="1"/>
  <c r="F2427" i="11"/>
  <c r="G2426" i="11"/>
  <c r="F2426" i="11"/>
  <c r="F2425" i="11"/>
  <c r="G2425" i="11" s="1"/>
  <c r="F2424" i="11"/>
  <c r="G2424" i="11" s="1"/>
  <c r="H2423" i="11"/>
  <c r="G2423" i="11"/>
  <c r="I2423" i="11" s="1"/>
  <c r="F2423" i="11"/>
  <c r="G2422" i="11"/>
  <c r="F2422" i="11"/>
  <c r="F2421" i="11"/>
  <c r="G2421" i="11" s="1"/>
  <c r="F2420" i="11"/>
  <c r="G2420" i="11" s="1"/>
  <c r="H2419" i="11"/>
  <c r="G2419" i="11"/>
  <c r="I2419" i="11" s="1"/>
  <c r="F2419" i="11"/>
  <c r="G2418" i="11"/>
  <c r="F2418" i="11"/>
  <c r="F2417" i="11"/>
  <c r="G2417" i="11" s="1"/>
  <c r="F2416" i="11"/>
  <c r="G2416" i="11" s="1"/>
  <c r="H2415" i="11"/>
  <c r="G2415" i="11"/>
  <c r="I2415" i="11" s="1"/>
  <c r="F2415" i="11"/>
  <c r="G2414" i="11"/>
  <c r="F2414" i="11"/>
  <c r="F2413" i="11"/>
  <c r="G2413" i="11" s="1"/>
  <c r="F2412" i="11"/>
  <c r="G2412" i="11" s="1"/>
  <c r="H2411" i="11"/>
  <c r="G2411" i="11"/>
  <c r="I2411" i="11" s="1"/>
  <c r="F2411" i="11"/>
  <c r="G2410" i="11"/>
  <c r="F2410" i="11"/>
  <c r="F2409" i="11"/>
  <c r="G2409" i="11" s="1"/>
  <c r="F2408" i="11"/>
  <c r="G2408" i="11" s="1"/>
  <c r="H2407" i="11"/>
  <c r="G2407" i="11"/>
  <c r="I2407" i="11" s="1"/>
  <c r="F2407" i="11"/>
  <c r="G2406" i="11"/>
  <c r="F2406" i="11"/>
  <c r="F2405" i="11"/>
  <c r="G2405" i="11" s="1"/>
  <c r="F2404" i="11"/>
  <c r="G2404" i="11" s="1"/>
  <c r="H2403" i="11"/>
  <c r="G2403" i="11"/>
  <c r="I2403" i="11" s="1"/>
  <c r="F2403" i="11"/>
  <c r="G2402" i="11"/>
  <c r="F2402" i="11"/>
  <c r="F2401" i="11"/>
  <c r="G2401" i="11" s="1"/>
  <c r="F2400" i="11"/>
  <c r="G2400" i="11" s="1"/>
  <c r="H2399" i="11"/>
  <c r="G2399" i="11"/>
  <c r="I2399" i="11" s="1"/>
  <c r="F2399" i="11"/>
  <c r="G2398" i="11"/>
  <c r="F2398" i="11"/>
  <c r="F2397" i="11"/>
  <c r="G2397" i="11" s="1"/>
  <c r="F2396" i="11"/>
  <c r="G2396" i="11" s="1"/>
  <c r="H2395" i="11"/>
  <c r="G2395" i="11"/>
  <c r="I2395" i="11" s="1"/>
  <c r="F2395" i="11"/>
  <c r="G2394" i="11"/>
  <c r="F2394" i="11"/>
  <c r="F2393" i="11"/>
  <c r="G2393" i="11" s="1"/>
  <c r="F2392" i="11"/>
  <c r="G2392" i="11" s="1"/>
  <c r="H2391" i="11"/>
  <c r="G2391" i="11"/>
  <c r="I2391" i="11" s="1"/>
  <c r="F2391" i="11"/>
  <c r="G2390" i="11"/>
  <c r="F2390" i="11"/>
  <c r="F2389" i="11"/>
  <c r="G2389" i="11" s="1"/>
  <c r="F2388" i="11"/>
  <c r="G2388" i="11" s="1"/>
  <c r="H2387" i="11"/>
  <c r="G2387" i="11"/>
  <c r="I2387" i="11" s="1"/>
  <c r="F2387" i="11"/>
  <c r="G2386" i="11"/>
  <c r="F2386" i="11"/>
  <c r="F2385" i="11"/>
  <c r="G2385" i="11" s="1"/>
  <c r="F2384" i="11"/>
  <c r="G2384" i="11" s="1"/>
  <c r="H2383" i="11"/>
  <c r="G2383" i="11"/>
  <c r="I2383" i="11" s="1"/>
  <c r="F2383" i="11"/>
  <c r="G2382" i="11"/>
  <c r="F2382" i="11"/>
  <c r="F2381" i="11"/>
  <c r="G2381" i="11" s="1"/>
  <c r="F2380" i="11"/>
  <c r="G2380" i="11" s="1"/>
  <c r="H2379" i="11"/>
  <c r="G2379" i="11"/>
  <c r="I2379" i="11" s="1"/>
  <c r="F2379" i="11"/>
  <c r="G2378" i="11"/>
  <c r="F2378" i="11"/>
  <c r="F2377" i="11"/>
  <c r="G2377" i="11" s="1"/>
  <c r="F2376" i="11"/>
  <c r="G2376" i="11" s="1"/>
  <c r="H2375" i="11"/>
  <c r="G2375" i="11"/>
  <c r="I2375" i="11" s="1"/>
  <c r="F2375" i="11"/>
  <c r="G2374" i="11"/>
  <c r="F2374" i="11"/>
  <c r="F2373" i="11"/>
  <c r="G2373" i="11" s="1"/>
  <c r="F2372" i="11"/>
  <c r="G2372" i="11" s="1"/>
  <c r="H2371" i="11"/>
  <c r="G2371" i="11"/>
  <c r="I2371" i="11" s="1"/>
  <c r="F2371" i="11"/>
  <c r="G2370" i="11"/>
  <c r="F2370" i="11"/>
  <c r="F2369" i="11"/>
  <c r="G2369" i="11" s="1"/>
  <c r="F2368" i="11"/>
  <c r="G2368" i="11" s="1"/>
  <c r="H2367" i="11"/>
  <c r="G2367" i="11"/>
  <c r="I2367" i="11" s="1"/>
  <c r="F2367" i="11"/>
  <c r="G2366" i="11"/>
  <c r="F2366" i="11"/>
  <c r="F2365" i="11"/>
  <c r="G2365" i="11" s="1"/>
  <c r="F2364" i="11"/>
  <c r="G2364" i="11" s="1"/>
  <c r="H2363" i="11"/>
  <c r="G2363" i="11"/>
  <c r="I2363" i="11" s="1"/>
  <c r="F2363" i="11"/>
  <c r="G2362" i="11"/>
  <c r="F2362" i="11"/>
  <c r="F2361" i="11"/>
  <c r="G2361" i="11" s="1"/>
  <c r="F2360" i="11"/>
  <c r="G2360" i="11" s="1"/>
  <c r="H2359" i="11"/>
  <c r="G2359" i="11"/>
  <c r="I2359" i="11" s="1"/>
  <c r="F2359" i="11"/>
  <c r="G2358" i="11"/>
  <c r="F2358" i="11"/>
  <c r="F2357" i="11"/>
  <c r="G2357" i="11" s="1"/>
  <c r="F2356" i="11"/>
  <c r="G2356" i="11" s="1"/>
  <c r="H2355" i="11"/>
  <c r="G2355" i="11"/>
  <c r="I2355" i="11" s="1"/>
  <c r="F2355" i="11"/>
  <c r="G2354" i="11"/>
  <c r="F2354" i="11"/>
  <c r="F2353" i="11"/>
  <c r="G2353" i="11" s="1"/>
  <c r="F2352" i="11"/>
  <c r="G2352" i="11" s="1"/>
  <c r="H2351" i="11"/>
  <c r="G2351" i="11"/>
  <c r="I2351" i="11" s="1"/>
  <c r="F2351" i="11"/>
  <c r="G2350" i="11"/>
  <c r="F2350" i="11"/>
  <c r="F2349" i="11"/>
  <c r="G2349" i="11" s="1"/>
  <c r="F2348" i="11"/>
  <c r="G2348" i="11" s="1"/>
  <c r="H2347" i="11"/>
  <c r="G2347" i="11"/>
  <c r="I2347" i="11" s="1"/>
  <c r="F2347" i="11"/>
  <c r="G2346" i="11"/>
  <c r="F2346" i="11"/>
  <c r="F2345" i="11"/>
  <c r="G2345" i="11" s="1"/>
  <c r="F2344" i="11"/>
  <c r="G2344" i="11" s="1"/>
  <c r="H2343" i="11"/>
  <c r="G2343" i="11"/>
  <c r="I2343" i="11" s="1"/>
  <c r="F2343" i="11"/>
  <c r="G2342" i="11"/>
  <c r="F2342" i="11"/>
  <c r="F2341" i="11"/>
  <c r="G2341" i="11" s="1"/>
  <c r="F2340" i="11"/>
  <c r="G2340" i="11" s="1"/>
  <c r="H2339" i="11"/>
  <c r="G2339" i="11"/>
  <c r="I2339" i="11" s="1"/>
  <c r="F2339" i="11"/>
  <c r="G2338" i="11"/>
  <c r="F2338" i="11"/>
  <c r="F2337" i="11"/>
  <c r="G2337" i="11" s="1"/>
  <c r="F2336" i="11"/>
  <c r="G2336" i="11" s="1"/>
  <c r="H2335" i="11"/>
  <c r="G2335" i="11"/>
  <c r="I2335" i="11" s="1"/>
  <c r="F2335" i="11"/>
  <c r="G2334" i="11"/>
  <c r="F2334" i="11"/>
  <c r="F2333" i="11"/>
  <c r="G2333" i="11" s="1"/>
  <c r="F2332" i="11"/>
  <c r="G2332" i="11" s="1"/>
  <c r="H2331" i="11"/>
  <c r="G2331" i="11"/>
  <c r="I2331" i="11" s="1"/>
  <c r="F2331" i="11"/>
  <c r="G2330" i="11"/>
  <c r="F2330" i="11"/>
  <c r="F2329" i="11"/>
  <c r="G2329" i="11" s="1"/>
  <c r="F2328" i="11"/>
  <c r="G2328" i="11" s="1"/>
  <c r="H2327" i="11"/>
  <c r="G2327" i="11"/>
  <c r="I2327" i="11" s="1"/>
  <c r="F2327" i="11"/>
  <c r="G2326" i="11"/>
  <c r="F2326" i="11"/>
  <c r="F2325" i="11"/>
  <c r="G2325" i="11" s="1"/>
  <c r="F2324" i="11"/>
  <c r="G2324" i="11" s="1"/>
  <c r="H2323" i="11"/>
  <c r="G2323" i="11"/>
  <c r="I2323" i="11" s="1"/>
  <c r="F2323" i="11"/>
  <c r="G2322" i="11"/>
  <c r="F2322" i="11"/>
  <c r="F2321" i="11"/>
  <c r="G2321" i="11" s="1"/>
  <c r="F2320" i="11"/>
  <c r="G2320" i="11" s="1"/>
  <c r="H2319" i="11"/>
  <c r="G2319" i="11"/>
  <c r="I2319" i="11" s="1"/>
  <c r="F2319" i="11"/>
  <c r="G2318" i="11"/>
  <c r="F2318" i="11"/>
  <c r="F2317" i="11"/>
  <c r="G2317" i="11" s="1"/>
  <c r="F2316" i="11"/>
  <c r="G2316" i="11" s="1"/>
  <c r="H2315" i="11"/>
  <c r="G2315" i="11"/>
  <c r="I2315" i="11" s="1"/>
  <c r="F2315" i="11"/>
  <c r="G2314" i="11"/>
  <c r="F2314" i="11"/>
  <c r="F2313" i="11"/>
  <c r="G2313" i="11" s="1"/>
  <c r="F2312" i="11"/>
  <c r="G2312" i="11" s="1"/>
  <c r="H2311" i="11"/>
  <c r="G2311" i="11"/>
  <c r="I2311" i="11" s="1"/>
  <c r="F2311" i="11"/>
  <c r="G2310" i="11"/>
  <c r="F2310" i="11"/>
  <c r="F2309" i="11"/>
  <c r="G2309" i="11" s="1"/>
  <c r="F2308" i="11"/>
  <c r="G2308" i="11" s="1"/>
  <c r="H2307" i="11"/>
  <c r="G2307" i="11"/>
  <c r="I2307" i="11" s="1"/>
  <c r="F2307" i="11"/>
  <c r="G2306" i="11"/>
  <c r="F2306" i="11"/>
  <c r="F2305" i="11"/>
  <c r="G2305" i="11" s="1"/>
  <c r="F2304" i="11"/>
  <c r="G2304" i="11" s="1"/>
  <c r="H2303" i="11"/>
  <c r="G2303" i="11"/>
  <c r="I2303" i="11" s="1"/>
  <c r="F2303" i="11"/>
  <c r="G2302" i="11"/>
  <c r="F2302" i="11"/>
  <c r="F2301" i="11"/>
  <c r="G2301" i="11" s="1"/>
  <c r="F2300" i="11"/>
  <c r="G2300" i="11" s="1"/>
  <c r="H2299" i="11"/>
  <c r="G2299" i="11"/>
  <c r="I2299" i="11" s="1"/>
  <c r="F2299" i="11"/>
  <c r="G2298" i="11"/>
  <c r="F2298" i="11"/>
  <c r="F2297" i="11"/>
  <c r="G2297" i="11" s="1"/>
  <c r="F2296" i="11"/>
  <c r="G2296" i="11" s="1"/>
  <c r="H2295" i="11"/>
  <c r="G2295" i="11"/>
  <c r="I2295" i="11" s="1"/>
  <c r="F2295" i="11"/>
  <c r="G2294" i="11"/>
  <c r="F2294" i="11"/>
  <c r="F2293" i="11"/>
  <c r="G2293" i="11" s="1"/>
  <c r="F2292" i="11"/>
  <c r="G2292" i="11" s="1"/>
  <c r="H2291" i="11"/>
  <c r="G2291" i="11"/>
  <c r="I2291" i="11" s="1"/>
  <c r="F2291" i="11"/>
  <c r="G2290" i="11"/>
  <c r="F2290" i="11"/>
  <c r="F2289" i="11"/>
  <c r="G2289" i="11" s="1"/>
  <c r="F2288" i="11"/>
  <c r="G2288" i="11" s="1"/>
  <c r="H2287" i="11"/>
  <c r="G2287" i="11"/>
  <c r="I2287" i="11" s="1"/>
  <c r="F2287" i="11"/>
  <c r="G2286" i="11"/>
  <c r="F2286" i="11"/>
  <c r="F2285" i="11"/>
  <c r="G2285" i="11" s="1"/>
  <c r="F2284" i="11"/>
  <c r="G2284" i="11" s="1"/>
  <c r="H2283" i="11"/>
  <c r="G2283" i="11"/>
  <c r="I2283" i="11" s="1"/>
  <c r="F2283" i="11"/>
  <c r="G2282" i="11"/>
  <c r="F2282" i="11"/>
  <c r="F2281" i="11"/>
  <c r="G2281" i="11" s="1"/>
  <c r="F2280" i="11"/>
  <c r="G2280" i="11" s="1"/>
  <c r="H2279" i="11"/>
  <c r="G2279" i="11"/>
  <c r="I2279" i="11" s="1"/>
  <c r="F2279" i="11"/>
  <c r="G2278" i="11"/>
  <c r="F2278" i="11"/>
  <c r="F2277" i="11"/>
  <c r="G2277" i="11" s="1"/>
  <c r="F2276" i="11"/>
  <c r="G2276" i="11" s="1"/>
  <c r="H2275" i="11"/>
  <c r="G2275" i="11"/>
  <c r="I2275" i="11" s="1"/>
  <c r="F2275" i="11"/>
  <c r="G2274" i="11"/>
  <c r="F2274" i="11"/>
  <c r="F2273" i="11"/>
  <c r="G2273" i="11" s="1"/>
  <c r="F2272" i="11"/>
  <c r="G2272" i="11" s="1"/>
  <c r="H2271" i="11"/>
  <c r="G2271" i="11"/>
  <c r="I2271" i="11" s="1"/>
  <c r="F2271" i="11"/>
  <c r="G2270" i="11"/>
  <c r="F2270" i="11"/>
  <c r="F2269" i="11"/>
  <c r="G2269" i="11" s="1"/>
  <c r="F2268" i="11"/>
  <c r="G2268" i="11" s="1"/>
  <c r="H2267" i="11"/>
  <c r="G2267" i="11"/>
  <c r="I2267" i="11" s="1"/>
  <c r="F2267" i="11"/>
  <c r="G2266" i="11"/>
  <c r="F2266" i="11"/>
  <c r="F2265" i="11"/>
  <c r="G2265" i="11" s="1"/>
  <c r="F2264" i="11"/>
  <c r="G2264" i="11" s="1"/>
  <c r="H2263" i="11"/>
  <c r="G2263" i="11"/>
  <c r="I2263" i="11" s="1"/>
  <c r="F2263" i="11"/>
  <c r="G2262" i="11"/>
  <c r="F2262" i="11"/>
  <c r="F2261" i="11"/>
  <c r="G2261" i="11" s="1"/>
  <c r="F2260" i="11"/>
  <c r="G2260" i="11" s="1"/>
  <c r="H2259" i="11"/>
  <c r="G2259" i="11"/>
  <c r="I2259" i="11" s="1"/>
  <c r="F2259" i="11"/>
  <c r="G2258" i="11"/>
  <c r="F2258" i="11"/>
  <c r="F2257" i="11"/>
  <c r="G2257" i="11" s="1"/>
  <c r="F2256" i="11"/>
  <c r="G2256" i="11" s="1"/>
  <c r="H2255" i="11"/>
  <c r="G2255" i="11"/>
  <c r="I2255" i="11" s="1"/>
  <c r="F2255" i="11"/>
  <c r="G2254" i="11"/>
  <c r="F2254" i="11"/>
  <c r="F2253" i="11"/>
  <c r="G2253" i="11" s="1"/>
  <c r="F2252" i="11"/>
  <c r="G2252" i="11" s="1"/>
  <c r="H2251" i="11"/>
  <c r="G2251" i="11"/>
  <c r="I2251" i="11" s="1"/>
  <c r="F2251" i="11"/>
  <c r="G2250" i="11"/>
  <c r="F2250" i="11"/>
  <c r="F2249" i="11"/>
  <c r="G2249" i="11" s="1"/>
  <c r="F2248" i="11"/>
  <c r="G2248" i="11" s="1"/>
  <c r="H2247" i="11"/>
  <c r="G2247" i="11"/>
  <c r="I2247" i="11" s="1"/>
  <c r="F2247" i="11"/>
  <c r="G2246" i="11"/>
  <c r="F2246" i="11"/>
  <c r="F2245" i="11"/>
  <c r="G2245" i="11" s="1"/>
  <c r="F2244" i="11"/>
  <c r="G2244" i="11" s="1"/>
  <c r="H2243" i="11"/>
  <c r="G2243" i="11"/>
  <c r="I2243" i="11" s="1"/>
  <c r="F2243" i="11"/>
  <c r="G2242" i="11"/>
  <c r="F2242" i="11"/>
  <c r="F2241" i="11"/>
  <c r="G2241" i="11" s="1"/>
  <c r="F2240" i="11"/>
  <c r="G2240" i="11" s="1"/>
  <c r="H2239" i="11"/>
  <c r="G2239" i="11"/>
  <c r="I2239" i="11" s="1"/>
  <c r="F2239" i="11"/>
  <c r="G2238" i="11"/>
  <c r="F2238" i="11"/>
  <c r="F2237" i="11"/>
  <c r="G2237" i="11" s="1"/>
  <c r="F2236" i="11"/>
  <c r="G2236" i="11" s="1"/>
  <c r="H2235" i="11"/>
  <c r="G2235" i="11"/>
  <c r="I2235" i="11" s="1"/>
  <c r="F2235" i="11"/>
  <c r="G2234" i="11"/>
  <c r="F2234" i="11"/>
  <c r="F2233" i="11"/>
  <c r="G2233" i="11" s="1"/>
  <c r="F2232" i="11"/>
  <c r="G2232" i="11" s="1"/>
  <c r="H2231" i="11"/>
  <c r="G2231" i="11"/>
  <c r="I2231" i="11" s="1"/>
  <c r="F2231" i="11"/>
  <c r="G2230" i="11"/>
  <c r="F2230" i="11"/>
  <c r="F2229" i="11"/>
  <c r="G2229" i="11" s="1"/>
  <c r="F2228" i="11"/>
  <c r="G2228" i="11" s="1"/>
  <c r="H2227" i="11"/>
  <c r="G2227" i="11"/>
  <c r="I2227" i="11" s="1"/>
  <c r="F2227" i="11"/>
  <c r="G2226" i="11"/>
  <c r="F2226" i="11"/>
  <c r="F2225" i="11"/>
  <c r="G2225" i="11" s="1"/>
  <c r="F2224" i="11"/>
  <c r="G2224" i="11" s="1"/>
  <c r="H2223" i="11"/>
  <c r="G2223" i="11"/>
  <c r="I2223" i="11" s="1"/>
  <c r="F2223" i="11"/>
  <c r="G2222" i="11"/>
  <c r="F2222" i="11"/>
  <c r="F2221" i="11"/>
  <c r="G2221" i="11" s="1"/>
  <c r="F2220" i="11"/>
  <c r="G2220" i="11" s="1"/>
  <c r="H2219" i="11"/>
  <c r="G2219" i="11"/>
  <c r="I2219" i="11" s="1"/>
  <c r="F2219" i="11"/>
  <c r="G2218" i="11"/>
  <c r="F2218" i="11"/>
  <c r="F2217" i="11"/>
  <c r="G2217" i="11" s="1"/>
  <c r="F2216" i="11"/>
  <c r="G2216" i="11" s="1"/>
  <c r="H2215" i="11"/>
  <c r="G2215" i="11"/>
  <c r="I2215" i="11" s="1"/>
  <c r="F2215" i="11"/>
  <c r="G2214" i="11"/>
  <c r="F2214" i="11"/>
  <c r="F2213" i="11"/>
  <c r="G2213" i="11" s="1"/>
  <c r="F2212" i="11"/>
  <c r="G2212" i="11" s="1"/>
  <c r="H2211" i="11"/>
  <c r="G2211" i="11"/>
  <c r="I2211" i="11" s="1"/>
  <c r="F2211" i="11"/>
  <c r="G2210" i="11"/>
  <c r="F2210" i="11"/>
  <c r="F2209" i="11"/>
  <c r="G2209" i="11" s="1"/>
  <c r="F2208" i="11"/>
  <c r="G2208" i="11" s="1"/>
  <c r="H2207" i="11"/>
  <c r="G2207" i="11"/>
  <c r="I2207" i="11" s="1"/>
  <c r="F2207" i="11"/>
  <c r="G2206" i="11"/>
  <c r="F2206" i="11"/>
  <c r="F2205" i="11"/>
  <c r="G2205" i="11" s="1"/>
  <c r="F2204" i="11"/>
  <c r="G2204" i="11" s="1"/>
  <c r="H2203" i="11"/>
  <c r="G2203" i="11"/>
  <c r="I2203" i="11" s="1"/>
  <c r="F2203" i="11"/>
  <c r="G2202" i="11"/>
  <c r="F2202" i="11"/>
  <c r="F2201" i="11"/>
  <c r="G2201" i="11" s="1"/>
  <c r="F2200" i="11"/>
  <c r="G2200" i="11" s="1"/>
  <c r="H2199" i="11"/>
  <c r="G2199" i="11"/>
  <c r="I2199" i="11" s="1"/>
  <c r="F2199" i="11"/>
  <c r="G2198" i="11"/>
  <c r="F2198" i="11"/>
  <c r="F2197" i="11"/>
  <c r="G2197" i="11" s="1"/>
  <c r="F2196" i="11"/>
  <c r="G2196" i="11" s="1"/>
  <c r="H2195" i="11"/>
  <c r="G2195" i="11"/>
  <c r="I2195" i="11" s="1"/>
  <c r="F2195" i="11"/>
  <c r="G2194" i="11"/>
  <c r="F2194" i="11"/>
  <c r="F2193" i="11"/>
  <c r="G2193" i="11" s="1"/>
  <c r="F2192" i="11"/>
  <c r="G2192" i="11" s="1"/>
  <c r="H2191" i="11"/>
  <c r="G2191" i="11"/>
  <c r="I2191" i="11" s="1"/>
  <c r="F2191" i="11"/>
  <c r="G2190" i="11"/>
  <c r="F2190" i="11"/>
  <c r="F2189" i="11"/>
  <c r="G2189" i="11" s="1"/>
  <c r="F2188" i="11"/>
  <c r="G2188" i="11" s="1"/>
  <c r="H2187" i="11"/>
  <c r="G2187" i="11"/>
  <c r="I2187" i="11" s="1"/>
  <c r="F2187" i="11"/>
  <c r="G2186" i="11"/>
  <c r="F2186" i="11"/>
  <c r="F2185" i="11"/>
  <c r="G2185" i="11" s="1"/>
  <c r="F2184" i="11"/>
  <c r="G2184" i="11" s="1"/>
  <c r="H2183" i="11"/>
  <c r="G2183" i="11"/>
  <c r="I2183" i="11" s="1"/>
  <c r="F2183" i="11"/>
  <c r="G2182" i="11"/>
  <c r="F2182" i="11"/>
  <c r="F2181" i="11"/>
  <c r="G2181" i="11" s="1"/>
  <c r="F2180" i="11"/>
  <c r="G2180" i="11" s="1"/>
  <c r="H2179" i="11"/>
  <c r="G2179" i="11"/>
  <c r="I2179" i="11" s="1"/>
  <c r="F2179" i="11"/>
  <c r="G2178" i="11"/>
  <c r="F2178" i="11"/>
  <c r="F2177" i="11"/>
  <c r="G2177" i="11" s="1"/>
  <c r="F2176" i="11"/>
  <c r="G2176" i="11" s="1"/>
  <c r="H2175" i="11"/>
  <c r="G2175" i="11"/>
  <c r="I2175" i="11" s="1"/>
  <c r="F2175" i="11"/>
  <c r="G2174" i="11"/>
  <c r="F2174" i="11"/>
  <c r="F2173" i="11"/>
  <c r="G2173" i="11" s="1"/>
  <c r="F2172" i="11"/>
  <c r="G2172" i="11" s="1"/>
  <c r="H2171" i="11"/>
  <c r="G2171" i="11"/>
  <c r="I2171" i="11" s="1"/>
  <c r="F2171" i="11"/>
  <c r="G2170" i="11"/>
  <c r="F2170" i="11"/>
  <c r="F2169" i="11"/>
  <c r="G2169" i="11" s="1"/>
  <c r="F2168" i="11"/>
  <c r="G2168" i="11" s="1"/>
  <c r="H2167" i="11"/>
  <c r="G2167" i="11"/>
  <c r="I2167" i="11" s="1"/>
  <c r="F2167" i="11"/>
  <c r="G2166" i="11"/>
  <c r="F2166" i="11"/>
  <c r="F2165" i="11"/>
  <c r="G2165" i="11" s="1"/>
  <c r="F2164" i="11"/>
  <c r="G2164" i="11" s="1"/>
  <c r="H2163" i="11"/>
  <c r="G2163" i="11"/>
  <c r="I2163" i="11" s="1"/>
  <c r="F2163" i="11"/>
  <c r="G2162" i="11"/>
  <c r="F2162" i="11"/>
  <c r="F2161" i="11"/>
  <c r="G2161" i="11" s="1"/>
  <c r="F2160" i="11"/>
  <c r="G2160" i="11" s="1"/>
  <c r="H2159" i="11"/>
  <c r="G2159" i="11"/>
  <c r="I2159" i="11" s="1"/>
  <c r="F2159" i="11"/>
  <c r="G2158" i="11"/>
  <c r="F2158" i="11"/>
  <c r="F2157" i="11"/>
  <c r="G2157" i="11" s="1"/>
  <c r="F2156" i="11"/>
  <c r="G2156" i="11" s="1"/>
  <c r="H2155" i="11"/>
  <c r="G2155" i="11"/>
  <c r="I2155" i="11" s="1"/>
  <c r="F2155" i="11"/>
  <c r="G2154" i="11"/>
  <c r="F2154" i="11"/>
  <c r="F2153" i="11"/>
  <c r="G2153" i="11" s="1"/>
  <c r="F2152" i="11"/>
  <c r="G2152" i="11" s="1"/>
  <c r="H2151" i="11"/>
  <c r="G2151" i="11"/>
  <c r="I2151" i="11" s="1"/>
  <c r="F2151" i="11"/>
  <c r="G2150" i="11"/>
  <c r="F2150" i="11"/>
  <c r="F2149" i="11"/>
  <c r="G2149" i="11" s="1"/>
  <c r="F2148" i="11"/>
  <c r="G2148" i="11" s="1"/>
  <c r="H2147" i="11"/>
  <c r="G2147" i="11"/>
  <c r="I2147" i="11" s="1"/>
  <c r="F2147" i="11"/>
  <c r="G2146" i="11"/>
  <c r="F2146" i="11"/>
  <c r="F2145" i="11"/>
  <c r="G2145" i="11" s="1"/>
  <c r="F2144" i="11"/>
  <c r="G2144" i="11" s="1"/>
  <c r="H2143" i="11"/>
  <c r="G2143" i="11"/>
  <c r="I2143" i="11" s="1"/>
  <c r="F2143" i="11"/>
  <c r="G2142" i="11"/>
  <c r="F2142" i="11"/>
  <c r="F2141" i="11"/>
  <c r="G2141" i="11" s="1"/>
  <c r="F2140" i="11"/>
  <c r="G2140" i="11" s="1"/>
  <c r="H2139" i="11"/>
  <c r="G2139" i="11"/>
  <c r="I2139" i="11" s="1"/>
  <c r="F2139" i="11"/>
  <c r="G2138" i="11"/>
  <c r="F2138" i="11"/>
  <c r="F2137" i="11"/>
  <c r="G2137" i="11" s="1"/>
  <c r="F2136" i="11"/>
  <c r="G2136" i="11" s="1"/>
  <c r="H2135" i="11"/>
  <c r="G2135" i="11"/>
  <c r="I2135" i="11" s="1"/>
  <c r="F2135" i="11"/>
  <c r="G2134" i="11"/>
  <c r="F2134" i="11"/>
  <c r="F2133" i="11"/>
  <c r="G2133" i="11" s="1"/>
  <c r="F2132" i="11"/>
  <c r="G2132" i="11" s="1"/>
  <c r="H2131" i="11"/>
  <c r="G2131" i="11"/>
  <c r="I2131" i="11" s="1"/>
  <c r="F2131" i="11"/>
  <c r="G2130" i="11"/>
  <c r="F2130" i="11"/>
  <c r="F2129" i="11"/>
  <c r="G2129" i="11" s="1"/>
  <c r="F2128" i="11"/>
  <c r="G2128" i="11" s="1"/>
  <c r="H2127" i="11"/>
  <c r="G2127" i="11"/>
  <c r="I2127" i="11" s="1"/>
  <c r="F2127" i="11"/>
  <c r="G2126" i="11"/>
  <c r="F2126" i="11"/>
  <c r="F2125" i="11"/>
  <c r="G2125" i="11" s="1"/>
  <c r="F2124" i="11"/>
  <c r="G2124" i="11" s="1"/>
  <c r="H2123" i="11"/>
  <c r="G2123" i="11"/>
  <c r="I2123" i="11" s="1"/>
  <c r="F2123" i="11"/>
  <c r="G2122" i="11"/>
  <c r="F2122" i="11"/>
  <c r="F2121" i="11"/>
  <c r="G2121" i="11" s="1"/>
  <c r="F2120" i="11"/>
  <c r="G2120" i="11" s="1"/>
  <c r="H2119" i="11"/>
  <c r="G2119" i="11"/>
  <c r="I2119" i="11" s="1"/>
  <c r="F2119" i="11"/>
  <c r="G2118" i="11"/>
  <c r="F2118" i="11"/>
  <c r="F2117" i="11"/>
  <c r="G2117" i="11" s="1"/>
  <c r="F2116" i="11"/>
  <c r="G2116" i="11" s="1"/>
  <c r="H2115" i="11"/>
  <c r="G2115" i="11"/>
  <c r="I2115" i="11" s="1"/>
  <c r="F2115" i="11"/>
  <c r="G2114" i="11"/>
  <c r="F2114" i="11"/>
  <c r="F2113" i="11"/>
  <c r="G2113" i="11" s="1"/>
  <c r="F2112" i="11"/>
  <c r="G2112" i="11" s="1"/>
  <c r="H2111" i="11"/>
  <c r="G2111" i="11"/>
  <c r="I2111" i="11" s="1"/>
  <c r="F2111" i="11"/>
  <c r="G2110" i="11"/>
  <c r="F2110" i="11"/>
  <c r="F2109" i="11"/>
  <c r="G2109" i="11" s="1"/>
  <c r="F2108" i="11"/>
  <c r="G2108" i="11" s="1"/>
  <c r="H2107" i="11"/>
  <c r="G2107" i="11"/>
  <c r="I2107" i="11" s="1"/>
  <c r="F2107" i="11"/>
  <c r="G2106" i="11"/>
  <c r="F2106" i="11"/>
  <c r="F2105" i="11"/>
  <c r="G2105" i="11" s="1"/>
  <c r="F2104" i="11"/>
  <c r="G2104" i="11" s="1"/>
  <c r="H2103" i="11"/>
  <c r="G2103" i="11"/>
  <c r="I2103" i="11" s="1"/>
  <c r="F2103" i="11"/>
  <c r="G2102" i="11"/>
  <c r="F2102" i="11"/>
  <c r="F2101" i="11"/>
  <c r="G2101" i="11" s="1"/>
  <c r="F2100" i="11"/>
  <c r="G2100" i="11" s="1"/>
  <c r="H2099" i="11"/>
  <c r="G2099" i="11"/>
  <c r="I2099" i="11" s="1"/>
  <c r="F2099" i="11"/>
  <c r="G2098" i="11"/>
  <c r="F2098" i="11"/>
  <c r="F2097" i="11"/>
  <c r="G2097" i="11" s="1"/>
  <c r="F2096" i="11"/>
  <c r="G2096" i="11" s="1"/>
  <c r="H2095" i="11"/>
  <c r="G2095" i="11"/>
  <c r="I2095" i="11" s="1"/>
  <c r="F2095" i="11"/>
  <c r="G2094" i="11"/>
  <c r="F2094" i="11"/>
  <c r="F2093" i="11"/>
  <c r="G2093" i="11" s="1"/>
  <c r="F2092" i="11"/>
  <c r="G2092" i="11" s="1"/>
  <c r="H2091" i="11"/>
  <c r="G2091" i="11"/>
  <c r="I2091" i="11" s="1"/>
  <c r="F2091" i="11"/>
  <c r="G2090" i="11"/>
  <c r="F2090" i="11"/>
  <c r="F2089" i="11"/>
  <c r="G2089" i="11" s="1"/>
  <c r="F2088" i="11"/>
  <c r="G2088" i="11" s="1"/>
  <c r="H2087" i="11"/>
  <c r="G2087" i="11"/>
  <c r="I2087" i="11" s="1"/>
  <c r="F2087" i="11"/>
  <c r="G2086" i="11"/>
  <c r="F2086" i="11"/>
  <c r="F2085" i="11"/>
  <c r="G2085" i="11" s="1"/>
  <c r="F2084" i="11"/>
  <c r="G2084" i="11" s="1"/>
  <c r="H2083" i="11"/>
  <c r="G2083" i="11"/>
  <c r="I2083" i="11" s="1"/>
  <c r="F2083" i="11"/>
  <c r="G2082" i="11"/>
  <c r="F2082" i="11"/>
  <c r="F2081" i="11"/>
  <c r="G2081" i="11" s="1"/>
  <c r="F2080" i="11"/>
  <c r="G2080" i="11" s="1"/>
  <c r="H2079" i="11"/>
  <c r="G2079" i="11"/>
  <c r="I2079" i="11" s="1"/>
  <c r="F2079" i="11"/>
  <c r="G2078" i="11"/>
  <c r="F2078" i="11"/>
  <c r="F2077" i="11"/>
  <c r="G2077" i="11" s="1"/>
  <c r="F2076" i="11"/>
  <c r="G2076" i="11" s="1"/>
  <c r="H2075" i="11"/>
  <c r="G2075" i="11"/>
  <c r="I2075" i="11" s="1"/>
  <c r="F2075" i="11"/>
  <c r="G2074" i="11"/>
  <c r="F2074" i="11"/>
  <c r="F2073" i="11"/>
  <c r="G2073" i="11" s="1"/>
  <c r="F2072" i="11"/>
  <c r="G2072" i="11" s="1"/>
  <c r="H2071" i="11"/>
  <c r="G2071" i="11"/>
  <c r="I2071" i="11" s="1"/>
  <c r="F2071" i="11"/>
  <c r="G2070" i="11"/>
  <c r="F2070" i="11"/>
  <c r="F2069" i="11"/>
  <c r="G2069" i="11" s="1"/>
  <c r="F2068" i="11"/>
  <c r="G2068" i="11" s="1"/>
  <c r="H2067" i="11"/>
  <c r="G2067" i="11"/>
  <c r="I2067" i="11" s="1"/>
  <c r="F2067" i="11"/>
  <c r="G2066" i="11"/>
  <c r="F2066" i="11"/>
  <c r="F2065" i="11"/>
  <c r="G2065" i="11" s="1"/>
  <c r="F2064" i="11"/>
  <c r="G2064" i="11" s="1"/>
  <c r="H2063" i="11"/>
  <c r="G2063" i="11"/>
  <c r="I2063" i="11" s="1"/>
  <c r="F2063" i="11"/>
  <c r="G2062" i="11"/>
  <c r="F2062" i="11"/>
  <c r="F2061" i="11"/>
  <c r="G2061" i="11" s="1"/>
  <c r="F2060" i="11"/>
  <c r="G2060" i="11" s="1"/>
  <c r="H2059" i="11"/>
  <c r="G2059" i="11"/>
  <c r="I2059" i="11" s="1"/>
  <c r="F2059" i="11"/>
  <c r="G2058" i="11"/>
  <c r="F2058" i="11"/>
  <c r="F2057" i="11"/>
  <c r="G2057" i="11" s="1"/>
  <c r="F2056" i="11"/>
  <c r="G2056" i="11" s="1"/>
  <c r="H2055" i="11"/>
  <c r="G2055" i="11"/>
  <c r="I2055" i="11" s="1"/>
  <c r="F2055" i="11"/>
  <c r="G2054" i="11"/>
  <c r="F2054" i="11"/>
  <c r="F2053" i="11"/>
  <c r="G2053" i="11" s="1"/>
  <c r="F2052" i="11"/>
  <c r="G2052" i="11" s="1"/>
  <c r="H2051" i="11"/>
  <c r="G2051" i="11"/>
  <c r="I2051" i="11" s="1"/>
  <c r="F2051" i="11"/>
  <c r="G2050" i="11"/>
  <c r="F2050" i="11"/>
  <c r="F2049" i="11"/>
  <c r="G2049" i="11" s="1"/>
  <c r="F2048" i="11"/>
  <c r="G2048" i="11" s="1"/>
  <c r="H2047" i="11"/>
  <c r="G2047" i="11"/>
  <c r="I2047" i="11" s="1"/>
  <c r="F2047" i="11"/>
  <c r="G2046" i="11"/>
  <c r="F2046" i="11"/>
  <c r="F2045" i="11"/>
  <c r="G2045" i="11" s="1"/>
  <c r="F2044" i="11"/>
  <c r="G2044" i="11" s="1"/>
  <c r="H2043" i="11"/>
  <c r="G2043" i="11"/>
  <c r="I2043" i="11" s="1"/>
  <c r="F2043" i="11"/>
  <c r="G2042" i="11"/>
  <c r="F2042" i="11"/>
  <c r="F2041" i="11"/>
  <c r="G2041" i="11" s="1"/>
  <c r="F2040" i="11"/>
  <c r="G2040" i="11" s="1"/>
  <c r="H2039" i="11"/>
  <c r="G2039" i="11"/>
  <c r="I2039" i="11" s="1"/>
  <c r="F2039" i="11"/>
  <c r="G2038" i="11"/>
  <c r="F2038" i="11"/>
  <c r="F2037" i="11"/>
  <c r="G2037" i="11" s="1"/>
  <c r="F2036" i="11"/>
  <c r="G2036" i="11" s="1"/>
  <c r="H2035" i="11"/>
  <c r="G2035" i="11"/>
  <c r="I2035" i="11" s="1"/>
  <c r="F2035" i="11"/>
  <c r="G2034" i="11"/>
  <c r="F2034" i="11"/>
  <c r="F2033" i="11"/>
  <c r="G2033" i="11" s="1"/>
  <c r="F2032" i="11"/>
  <c r="G2032" i="11" s="1"/>
  <c r="H2031" i="11"/>
  <c r="G2031" i="11"/>
  <c r="I2031" i="11" s="1"/>
  <c r="F2031" i="11"/>
  <c r="G2030" i="11"/>
  <c r="F2030" i="11"/>
  <c r="F2029" i="11"/>
  <c r="G2029" i="11" s="1"/>
  <c r="F2028" i="11"/>
  <c r="G2028" i="11" s="1"/>
  <c r="H2027" i="11"/>
  <c r="G2027" i="11"/>
  <c r="I2027" i="11" s="1"/>
  <c r="F2027" i="11"/>
  <c r="G2026" i="11"/>
  <c r="F2026" i="11"/>
  <c r="F2025" i="11"/>
  <c r="G2025" i="11" s="1"/>
  <c r="F2024" i="11"/>
  <c r="G2024" i="11" s="1"/>
  <c r="H2023" i="11"/>
  <c r="G2023" i="11"/>
  <c r="I2023" i="11" s="1"/>
  <c r="F2023" i="11"/>
  <c r="G2022" i="11"/>
  <c r="F2022" i="11"/>
  <c r="F2021" i="11"/>
  <c r="G2021" i="11" s="1"/>
  <c r="F2020" i="11"/>
  <c r="G2020" i="11" s="1"/>
  <c r="H2019" i="11"/>
  <c r="G2019" i="11"/>
  <c r="I2019" i="11" s="1"/>
  <c r="F2019" i="11"/>
  <c r="G2018" i="11"/>
  <c r="F2018" i="11"/>
  <c r="F2017" i="11"/>
  <c r="G2017" i="11" s="1"/>
  <c r="F2016" i="11"/>
  <c r="G2016" i="11" s="1"/>
  <c r="H2015" i="11"/>
  <c r="G2015" i="11"/>
  <c r="I2015" i="11" s="1"/>
  <c r="F2015" i="11"/>
  <c r="G2014" i="11"/>
  <c r="F2014" i="11"/>
  <c r="F2013" i="11"/>
  <c r="G2013" i="11" s="1"/>
  <c r="F2012" i="11"/>
  <c r="G2012" i="11" s="1"/>
  <c r="H2011" i="11"/>
  <c r="G2011" i="11"/>
  <c r="I2011" i="11" s="1"/>
  <c r="F2011" i="11"/>
  <c r="G2010" i="11"/>
  <c r="F2010" i="11"/>
  <c r="F2009" i="11"/>
  <c r="G2009" i="11" s="1"/>
  <c r="F2008" i="11"/>
  <c r="G2008" i="11" s="1"/>
  <c r="H2007" i="11"/>
  <c r="G2007" i="11"/>
  <c r="I2007" i="11" s="1"/>
  <c r="F2007" i="11"/>
  <c r="G2006" i="11"/>
  <c r="F2006" i="11"/>
  <c r="F2005" i="11"/>
  <c r="G2005" i="11" s="1"/>
  <c r="F2004" i="11"/>
  <c r="G2004" i="11" s="1"/>
  <c r="H2003" i="11"/>
  <c r="G2003" i="11"/>
  <c r="I2003" i="11" s="1"/>
  <c r="F2003" i="11"/>
  <c r="G2002" i="11"/>
  <c r="F2002" i="11"/>
  <c r="F2001" i="11"/>
  <c r="G2001" i="11" s="1"/>
  <c r="F2000" i="11"/>
  <c r="G2000" i="11" s="1"/>
  <c r="H1999" i="11"/>
  <c r="G1999" i="11"/>
  <c r="I1999" i="11" s="1"/>
  <c r="F1999" i="11"/>
  <c r="G1998" i="11"/>
  <c r="F1998" i="11"/>
  <c r="F1997" i="11"/>
  <c r="G1997" i="11" s="1"/>
  <c r="F1996" i="11"/>
  <c r="G1996" i="11" s="1"/>
  <c r="H1995" i="11"/>
  <c r="G1995" i="11"/>
  <c r="I1995" i="11" s="1"/>
  <c r="F1995" i="11"/>
  <c r="G1994" i="11"/>
  <c r="F1994" i="11"/>
  <c r="F1993" i="11"/>
  <c r="G1993" i="11" s="1"/>
  <c r="F1992" i="11"/>
  <c r="G1992" i="11" s="1"/>
  <c r="H1991" i="11"/>
  <c r="G1991" i="11"/>
  <c r="I1991" i="11" s="1"/>
  <c r="F1991" i="11"/>
  <c r="G1990" i="11"/>
  <c r="F1990" i="11"/>
  <c r="F1989" i="11"/>
  <c r="G1989" i="11" s="1"/>
  <c r="F1988" i="11"/>
  <c r="G1988" i="11" s="1"/>
  <c r="H1987" i="11"/>
  <c r="G1987" i="11"/>
  <c r="I1987" i="11" s="1"/>
  <c r="F1987" i="11"/>
  <c r="G1986" i="11"/>
  <c r="F1986" i="11"/>
  <c r="F1985" i="11"/>
  <c r="G1985" i="11" s="1"/>
  <c r="F1984" i="11"/>
  <c r="G1984" i="11" s="1"/>
  <c r="H1983" i="11"/>
  <c r="G1983" i="11"/>
  <c r="I1983" i="11" s="1"/>
  <c r="F1983" i="11"/>
  <c r="G1982" i="11"/>
  <c r="F1982" i="11"/>
  <c r="F1981" i="11"/>
  <c r="G1981" i="11" s="1"/>
  <c r="F1980" i="11"/>
  <c r="G1980" i="11" s="1"/>
  <c r="H1979" i="11"/>
  <c r="G1979" i="11"/>
  <c r="I1979" i="11" s="1"/>
  <c r="F1979" i="11"/>
  <c r="G1978" i="11"/>
  <c r="F1978" i="11"/>
  <c r="F1977" i="11"/>
  <c r="G1977" i="11" s="1"/>
  <c r="F1976" i="11"/>
  <c r="G1976" i="11" s="1"/>
  <c r="H1975" i="11"/>
  <c r="G1975" i="11"/>
  <c r="I1975" i="11" s="1"/>
  <c r="F1975" i="11"/>
  <c r="G1974" i="11"/>
  <c r="F1974" i="11"/>
  <c r="F1973" i="11"/>
  <c r="G1973" i="11" s="1"/>
  <c r="F1972" i="11"/>
  <c r="G1972" i="11" s="1"/>
  <c r="H1971" i="11"/>
  <c r="G1971" i="11"/>
  <c r="I1971" i="11" s="1"/>
  <c r="F1971" i="11"/>
  <c r="G1970" i="11"/>
  <c r="F1970" i="11"/>
  <c r="F1969" i="11"/>
  <c r="G1969" i="11" s="1"/>
  <c r="F1968" i="11"/>
  <c r="G1968" i="11" s="1"/>
  <c r="H1967" i="11"/>
  <c r="G1967" i="11"/>
  <c r="I1967" i="11" s="1"/>
  <c r="F1967" i="11"/>
  <c r="G1966" i="11"/>
  <c r="F1966" i="11"/>
  <c r="F1965" i="11"/>
  <c r="G1965" i="11" s="1"/>
  <c r="F1964" i="11"/>
  <c r="G1964" i="11" s="1"/>
  <c r="H1963" i="11"/>
  <c r="G1963" i="11"/>
  <c r="I1963" i="11" s="1"/>
  <c r="F1963" i="11"/>
  <c r="G1962" i="11"/>
  <c r="F1962" i="11"/>
  <c r="F1961" i="11"/>
  <c r="G1961" i="11" s="1"/>
  <c r="F1960" i="11"/>
  <c r="G1960" i="11" s="1"/>
  <c r="H1959" i="11"/>
  <c r="G1959" i="11"/>
  <c r="I1959" i="11" s="1"/>
  <c r="F1959" i="11"/>
  <c r="G1958" i="11"/>
  <c r="F1958" i="11"/>
  <c r="F1957" i="11"/>
  <c r="G1957" i="11" s="1"/>
  <c r="F1956" i="11"/>
  <c r="G1956" i="11" s="1"/>
  <c r="H1955" i="11"/>
  <c r="G1955" i="11"/>
  <c r="I1955" i="11" s="1"/>
  <c r="F1955" i="11"/>
  <c r="G1954" i="11"/>
  <c r="F1954" i="11"/>
  <c r="F1953" i="11"/>
  <c r="G1953" i="11" s="1"/>
  <c r="F1952" i="11"/>
  <c r="G1952" i="11" s="1"/>
  <c r="H1951" i="11"/>
  <c r="G1951" i="11"/>
  <c r="I1951" i="11" s="1"/>
  <c r="F1951" i="11"/>
  <c r="G1950" i="11"/>
  <c r="F1950" i="11"/>
  <c r="F1949" i="11"/>
  <c r="G1949" i="11" s="1"/>
  <c r="F1948" i="11"/>
  <c r="G1948" i="11" s="1"/>
  <c r="H1947" i="11"/>
  <c r="G1947" i="11"/>
  <c r="I1947" i="11" s="1"/>
  <c r="F1947" i="11"/>
  <c r="G1946" i="11"/>
  <c r="F1946" i="11"/>
  <c r="F1945" i="11"/>
  <c r="G1945" i="11" s="1"/>
  <c r="F1944" i="11"/>
  <c r="G1944" i="11" s="1"/>
  <c r="H1943" i="11"/>
  <c r="G1943" i="11"/>
  <c r="I1943" i="11" s="1"/>
  <c r="F1943" i="11"/>
  <c r="G1942" i="11"/>
  <c r="F1942" i="11"/>
  <c r="F1941" i="11"/>
  <c r="G1941" i="11" s="1"/>
  <c r="F1940" i="11"/>
  <c r="G1940" i="11" s="1"/>
  <c r="H1939" i="11"/>
  <c r="G1939" i="11"/>
  <c r="I1939" i="11" s="1"/>
  <c r="F1939" i="11"/>
  <c r="G1938" i="11"/>
  <c r="F1938" i="11"/>
  <c r="F1937" i="11"/>
  <c r="G1937" i="11" s="1"/>
  <c r="F1936" i="11"/>
  <c r="G1936" i="11" s="1"/>
  <c r="H1935" i="11"/>
  <c r="G1935" i="11"/>
  <c r="I1935" i="11" s="1"/>
  <c r="F1935" i="11"/>
  <c r="G1934" i="11"/>
  <c r="F1934" i="11"/>
  <c r="F1933" i="11"/>
  <c r="G1933" i="11" s="1"/>
  <c r="F1932" i="11"/>
  <c r="G1932" i="11" s="1"/>
  <c r="H1931" i="11"/>
  <c r="G1931" i="11"/>
  <c r="I1931" i="11" s="1"/>
  <c r="F1931" i="11"/>
  <c r="G1930" i="11"/>
  <c r="F1930" i="11"/>
  <c r="F1929" i="11"/>
  <c r="G1929" i="11" s="1"/>
  <c r="F1928" i="11"/>
  <c r="G1928" i="11" s="1"/>
  <c r="H1927" i="11"/>
  <c r="G1927" i="11"/>
  <c r="I1927" i="11" s="1"/>
  <c r="F1927" i="11"/>
  <c r="G1926" i="11"/>
  <c r="F1926" i="11"/>
  <c r="F1925" i="11"/>
  <c r="G1925" i="11" s="1"/>
  <c r="F1924" i="11"/>
  <c r="G1924" i="11" s="1"/>
  <c r="H1923" i="11"/>
  <c r="G1923" i="11"/>
  <c r="I1923" i="11" s="1"/>
  <c r="F1923" i="11"/>
  <c r="G1922" i="11"/>
  <c r="F1922" i="11"/>
  <c r="F1921" i="11"/>
  <c r="G1921" i="11" s="1"/>
  <c r="F1920" i="11"/>
  <c r="G1920" i="11" s="1"/>
  <c r="H1919" i="11"/>
  <c r="G1919" i="11"/>
  <c r="I1919" i="11" s="1"/>
  <c r="F1919" i="11"/>
  <c r="G1918" i="11"/>
  <c r="F1918" i="11"/>
  <c r="F1917" i="11"/>
  <c r="G1917" i="11" s="1"/>
  <c r="F1916" i="11"/>
  <c r="G1916" i="11" s="1"/>
  <c r="H1915" i="11"/>
  <c r="G1915" i="11"/>
  <c r="I1915" i="11" s="1"/>
  <c r="F1915" i="11"/>
  <c r="G1914" i="11"/>
  <c r="F1914" i="11"/>
  <c r="F1913" i="11"/>
  <c r="G1913" i="11" s="1"/>
  <c r="F1912" i="11"/>
  <c r="G1912" i="11" s="1"/>
  <c r="H1911" i="11"/>
  <c r="G1911" i="11"/>
  <c r="I1911" i="11" s="1"/>
  <c r="F1911" i="11"/>
  <c r="G1910" i="11"/>
  <c r="F1910" i="11"/>
  <c r="F1909" i="11"/>
  <c r="G1909" i="11" s="1"/>
  <c r="F1908" i="11"/>
  <c r="G1908" i="11" s="1"/>
  <c r="H1907" i="11"/>
  <c r="G1907" i="11"/>
  <c r="I1907" i="11" s="1"/>
  <c r="F1907" i="11"/>
  <c r="G1906" i="11"/>
  <c r="F1906" i="11"/>
  <c r="F1905" i="11"/>
  <c r="G1905" i="11" s="1"/>
  <c r="F1904" i="11"/>
  <c r="G1904" i="11" s="1"/>
  <c r="H1903" i="11"/>
  <c r="G1903" i="11"/>
  <c r="I1903" i="11" s="1"/>
  <c r="F1903" i="11"/>
  <c r="G1902" i="11"/>
  <c r="F1902" i="11"/>
  <c r="F1901" i="11"/>
  <c r="G1901" i="11" s="1"/>
  <c r="F1900" i="11"/>
  <c r="G1900" i="11" s="1"/>
  <c r="H1899" i="11"/>
  <c r="G1899" i="11"/>
  <c r="I1899" i="11" s="1"/>
  <c r="F1899" i="11"/>
  <c r="G1898" i="11"/>
  <c r="F1898" i="11"/>
  <c r="F1897" i="11"/>
  <c r="G1897" i="11" s="1"/>
  <c r="F1896" i="11"/>
  <c r="G1896" i="11" s="1"/>
  <c r="H1895" i="11"/>
  <c r="G1895" i="11"/>
  <c r="I1895" i="11" s="1"/>
  <c r="F1895" i="11"/>
  <c r="G1894" i="11"/>
  <c r="F1894" i="11"/>
  <c r="F1893" i="11"/>
  <c r="G1893" i="11" s="1"/>
  <c r="F1892" i="11"/>
  <c r="G1892" i="11" s="1"/>
  <c r="H1891" i="11"/>
  <c r="G1891" i="11"/>
  <c r="I1891" i="11" s="1"/>
  <c r="F1891" i="11"/>
  <c r="G1890" i="11"/>
  <c r="F1890" i="11"/>
  <c r="F1889" i="11"/>
  <c r="G1889" i="11" s="1"/>
  <c r="F1888" i="11"/>
  <c r="G1888" i="11" s="1"/>
  <c r="H1887" i="11"/>
  <c r="G1887" i="11"/>
  <c r="I1887" i="11" s="1"/>
  <c r="F1887" i="11"/>
  <c r="G1886" i="11"/>
  <c r="F1886" i="11"/>
  <c r="F1885" i="11"/>
  <c r="G1885" i="11" s="1"/>
  <c r="F1884" i="11"/>
  <c r="G1884" i="11" s="1"/>
  <c r="H1883" i="11"/>
  <c r="G1883" i="11"/>
  <c r="I1883" i="11" s="1"/>
  <c r="F1883" i="11"/>
  <c r="G1882" i="11"/>
  <c r="F1882" i="11"/>
  <c r="F1881" i="11"/>
  <c r="G1881" i="11" s="1"/>
  <c r="F1880" i="11"/>
  <c r="G1880" i="11" s="1"/>
  <c r="H1879" i="11"/>
  <c r="G1879" i="11"/>
  <c r="I1879" i="11" s="1"/>
  <c r="F1879" i="11"/>
  <c r="G1878" i="11"/>
  <c r="F1878" i="11"/>
  <c r="F1877" i="11"/>
  <c r="G1877" i="11" s="1"/>
  <c r="F1876" i="11"/>
  <c r="G1876" i="11" s="1"/>
  <c r="H1875" i="11"/>
  <c r="G1875" i="11"/>
  <c r="I1875" i="11" s="1"/>
  <c r="F1875" i="11"/>
  <c r="G1874" i="11"/>
  <c r="F1874" i="11"/>
  <c r="F1873" i="11"/>
  <c r="G1873" i="11" s="1"/>
  <c r="F1872" i="11"/>
  <c r="G1872" i="11" s="1"/>
  <c r="H1871" i="11"/>
  <c r="G1871" i="11"/>
  <c r="I1871" i="11" s="1"/>
  <c r="F1871" i="11"/>
  <c r="G1870" i="11"/>
  <c r="F1870" i="11"/>
  <c r="F1869" i="11"/>
  <c r="G1869" i="11" s="1"/>
  <c r="F1868" i="11"/>
  <c r="G1868" i="11" s="1"/>
  <c r="H1867" i="11"/>
  <c r="G1867" i="11"/>
  <c r="I1867" i="11" s="1"/>
  <c r="F1867" i="11"/>
  <c r="G1866" i="11"/>
  <c r="F1866" i="11"/>
  <c r="F1865" i="11"/>
  <c r="G1865" i="11" s="1"/>
  <c r="F1864" i="11"/>
  <c r="G1864" i="11" s="1"/>
  <c r="H1863" i="11"/>
  <c r="G1863" i="11"/>
  <c r="I1863" i="11" s="1"/>
  <c r="F1863" i="11"/>
  <c r="G1862" i="11"/>
  <c r="F1862" i="11"/>
  <c r="F1861" i="11"/>
  <c r="G1861" i="11" s="1"/>
  <c r="F1860" i="11"/>
  <c r="G1860" i="11" s="1"/>
  <c r="H1859" i="11"/>
  <c r="G1859" i="11"/>
  <c r="I1859" i="11" s="1"/>
  <c r="F1859" i="11"/>
  <c r="G1858" i="11"/>
  <c r="F1858" i="11"/>
  <c r="F1857" i="11"/>
  <c r="G1857" i="11" s="1"/>
  <c r="F1856" i="11"/>
  <c r="G1856" i="11" s="1"/>
  <c r="H1855" i="11"/>
  <c r="G1855" i="11"/>
  <c r="I1855" i="11" s="1"/>
  <c r="F1855" i="11"/>
  <c r="G1854" i="11"/>
  <c r="F1854" i="11"/>
  <c r="F1853" i="11"/>
  <c r="G1853" i="11" s="1"/>
  <c r="F1852" i="11"/>
  <c r="G1852" i="11" s="1"/>
  <c r="H1851" i="11"/>
  <c r="G1851" i="11"/>
  <c r="I1851" i="11" s="1"/>
  <c r="F1851" i="11"/>
  <c r="G1850" i="11"/>
  <c r="F1850" i="11"/>
  <c r="F1849" i="11"/>
  <c r="G1849" i="11" s="1"/>
  <c r="F1848" i="11"/>
  <c r="G1848" i="11" s="1"/>
  <c r="H1847" i="11"/>
  <c r="G1847" i="11"/>
  <c r="I1847" i="11" s="1"/>
  <c r="F1847" i="11"/>
  <c r="G1846" i="11"/>
  <c r="F1846" i="11"/>
  <c r="F1845" i="11"/>
  <c r="G1845" i="11" s="1"/>
  <c r="F1844" i="11"/>
  <c r="G1844" i="11" s="1"/>
  <c r="H1843" i="11"/>
  <c r="G1843" i="11"/>
  <c r="I1843" i="11" s="1"/>
  <c r="F1843" i="11"/>
  <c r="G1842" i="11"/>
  <c r="F1842" i="11"/>
  <c r="F1841" i="11"/>
  <c r="G1841" i="11" s="1"/>
  <c r="F1840" i="11"/>
  <c r="G1840" i="11" s="1"/>
  <c r="H1839" i="11"/>
  <c r="G1839" i="11"/>
  <c r="I1839" i="11" s="1"/>
  <c r="F1839" i="11"/>
  <c r="G1838" i="11"/>
  <c r="F1838" i="11"/>
  <c r="F1837" i="11"/>
  <c r="G1837" i="11" s="1"/>
  <c r="F1836" i="11"/>
  <c r="G1836" i="11" s="1"/>
  <c r="H1835" i="11"/>
  <c r="G1835" i="11"/>
  <c r="I1835" i="11" s="1"/>
  <c r="F1835" i="11"/>
  <c r="G1834" i="11"/>
  <c r="F1834" i="11"/>
  <c r="F1833" i="11"/>
  <c r="G1833" i="11" s="1"/>
  <c r="F1832" i="11"/>
  <c r="G1832" i="11" s="1"/>
  <c r="H1831" i="11"/>
  <c r="G1831" i="11"/>
  <c r="I1831" i="11" s="1"/>
  <c r="F1831" i="11"/>
  <c r="G1830" i="11"/>
  <c r="F1830" i="11"/>
  <c r="F1829" i="11"/>
  <c r="G1829" i="11" s="1"/>
  <c r="F1828" i="11"/>
  <c r="G1828" i="11" s="1"/>
  <c r="H1827" i="11"/>
  <c r="G1827" i="11"/>
  <c r="I1827" i="11" s="1"/>
  <c r="F1827" i="11"/>
  <c r="G1826" i="11"/>
  <c r="F1826" i="11"/>
  <c r="F1825" i="11"/>
  <c r="G1825" i="11" s="1"/>
  <c r="F1824" i="11"/>
  <c r="G1824" i="11" s="1"/>
  <c r="H1823" i="11"/>
  <c r="G1823" i="11"/>
  <c r="I1823" i="11" s="1"/>
  <c r="F1823" i="11"/>
  <c r="G1822" i="11"/>
  <c r="F1822" i="11"/>
  <c r="F1821" i="11"/>
  <c r="G1821" i="11" s="1"/>
  <c r="F1820" i="11"/>
  <c r="G1820" i="11" s="1"/>
  <c r="H1819" i="11"/>
  <c r="G1819" i="11"/>
  <c r="I1819" i="11" s="1"/>
  <c r="F1819" i="11"/>
  <c r="G1818" i="11"/>
  <c r="F1818" i="11"/>
  <c r="F1817" i="11"/>
  <c r="G1817" i="11" s="1"/>
  <c r="F1816" i="11"/>
  <c r="G1816" i="11" s="1"/>
  <c r="H1815" i="11"/>
  <c r="G1815" i="11"/>
  <c r="I1815" i="11" s="1"/>
  <c r="F1815" i="11"/>
  <c r="G1814" i="11"/>
  <c r="F1814" i="11"/>
  <c r="F1813" i="11"/>
  <c r="G1813" i="11" s="1"/>
  <c r="F1812" i="11"/>
  <c r="G1812" i="11" s="1"/>
  <c r="H1811" i="11"/>
  <c r="G1811" i="11"/>
  <c r="I1811" i="11" s="1"/>
  <c r="F1811" i="11"/>
  <c r="G1810" i="11"/>
  <c r="F1810" i="11"/>
  <c r="F1809" i="11"/>
  <c r="G1809" i="11" s="1"/>
  <c r="F1808" i="11"/>
  <c r="G1808" i="11" s="1"/>
  <c r="H1807" i="11"/>
  <c r="G1807" i="11"/>
  <c r="I1807" i="11" s="1"/>
  <c r="F1807" i="11"/>
  <c r="G1806" i="11"/>
  <c r="F1806" i="11"/>
  <c r="F1805" i="11"/>
  <c r="G1805" i="11" s="1"/>
  <c r="F1804" i="11"/>
  <c r="G1804" i="11" s="1"/>
  <c r="H1803" i="11"/>
  <c r="G1803" i="11"/>
  <c r="I1803" i="11" s="1"/>
  <c r="F1803" i="11"/>
  <c r="G1802" i="11"/>
  <c r="F1802" i="11"/>
  <c r="F1801" i="11"/>
  <c r="G1801" i="11" s="1"/>
  <c r="F1800" i="11"/>
  <c r="G1800" i="11" s="1"/>
  <c r="H1799" i="11"/>
  <c r="G1799" i="11"/>
  <c r="I1799" i="11" s="1"/>
  <c r="F1799" i="11"/>
  <c r="G1798" i="11"/>
  <c r="F1798" i="11"/>
  <c r="F1797" i="11"/>
  <c r="G1797" i="11" s="1"/>
  <c r="F1796" i="11"/>
  <c r="G1796" i="11" s="1"/>
  <c r="H1795" i="11"/>
  <c r="G1795" i="11"/>
  <c r="I1795" i="11" s="1"/>
  <c r="F1795" i="11"/>
  <c r="F1794" i="11"/>
  <c r="G1794" i="11" s="1"/>
  <c r="F1793" i="11"/>
  <c r="G1793" i="11" s="1"/>
  <c r="H1792" i="11"/>
  <c r="F1792" i="11"/>
  <c r="G1792" i="11" s="1"/>
  <c r="I1792" i="11" s="1"/>
  <c r="H1791" i="11"/>
  <c r="G1791" i="11"/>
  <c r="I1791" i="11" s="1"/>
  <c r="F1791" i="11"/>
  <c r="F1790" i="11"/>
  <c r="G1790" i="11" s="1"/>
  <c r="F1789" i="11"/>
  <c r="G1789" i="11" s="1"/>
  <c r="H1788" i="11"/>
  <c r="F1788" i="11"/>
  <c r="G1788" i="11" s="1"/>
  <c r="I1788" i="11" s="1"/>
  <c r="H1787" i="11"/>
  <c r="G1787" i="11"/>
  <c r="I1787" i="11" s="1"/>
  <c r="F1787" i="11"/>
  <c r="F1786" i="11"/>
  <c r="G1786" i="11" s="1"/>
  <c r="F1785" i="11"/>
  <c r="G1785" i="11" s="1"/>
  <c r="H1784" i="11"/>
  <c r="F1784" i="11"/>
  <c r="G1784" i="11" s="1"/>
  <c r="I1784" i="11" s="1"/>
  <c r="H1783" i="11"/>
  <c r="G1783" i="11"/>
  <c r="I1783" i="11" s="1"/>
  <c r="F1783" i="11"/>
  <c r="F1782" i="11"/>
  <c r="G1782" i="11" s="1"/>
  <c r="F1781" i="11"/>
  <c r="G1781" i="11" s="1"/>
  <c r="H1780" i="11"/>
  <c r="F1780" i="11"/>
  <c r="G1780" i="11" s="1"/>
  <c r="I1780" i="11" s="1"/>
  <c r="H1779" i="11"/>
  <c r="G1779" i="11"/>
  <c r="I1779" i="11" s="1"/>
  <c r="F1779" i="11"/>
  <c r="F1778" i="11"/>
  <c r="G1778" i="11" s="1"/>
  <c r="F1777" i="11"/>
  <c r="G1777" i="11" s="1"/>
  <c r="H1776" i="11"/>
  <c r="F1776" i="11"/>
  <c r="G1776" i="11" s="1"/>
  <c r="I1776" i="11" s="1"/>
  <c r="H1775" i="11"/>
  <c r="G1775" i="11"/>
  <c r="I1775" i="11" s="1"/>
  <c r="F1775" i="11"/>
  <c r="F1774" i="11"/>
  <c r="G1774" i="11" s="1"/>
  <c r="F1773" i="11"/>
  <c r="G1773" i="11" s="1"/>
  <c r="H1772" i="11"/>
  <c r="F1772" i="11"/>
  <c r="G1772" i="11" s="1"/>
  <c r="I1772" i="11" s="1"/>
  <c r="H1771" i="11"/>
  <c r="G1771" i="11"/>
  <c r="I1771" i="11" s="1"/>
  <c r="F1771" i="11"/>
  <c r="F1770" i="11"/>
  <c r="G1770" i="11" s="1"/>
  <c r="F1769" i="11"/>
  <c r="G1769" i="11" s="1"/>
  <c r="H1768" i="11"/>
  <c r="F1768" i="11"/>
  <c r="G1768" i="11" s="1"/>
  <c r="I1768" i="11" s="1"/>
  <c r="H1767" i="11"/>
  <c r="G1767" i="11"/>
  <c r="I1767" i="11" s="1"/>
  <c r="F1767" i="11"/>
  <c r="F1766" i="11"/>
  <c r="G1766" i="11" s="1"/>
  <c r="F1765" i="11"/>
  <c r="G1765" i="11" s="1"/>
  <c r="H1764" i="11"/>
  <c r="F1764" i="11"/>
  <c r="G1764" i="11" s="1"/>
  <c r="I1764" i="11" s="1"/>
  <c r="H1763" i="11"/>
  <c r="G1763" i="11"/>
  <c r="I1763" i="11" s="1"/>
  <c r="F1763" i="11"/>
  <c r="F1762" i="11"/>
  <c r="G1762" i="11" s="1"/>
  <c r="F1761" i="11"/>
  <c r="G1761" i="11" s="1"/>
  <c r="H1760" i="11"/>
  <c r="F1760" i="11"/>
  <c r="G1760" i="11" s="1"/>
  <c r="I1760" i="11" s="1"/>
  <c r="H1759" i="11"/>
  <c r="G1759" i="11"/>
  <c r="I1759" i="11" s="1"/>
  <c r="F1759" i="11"/>
  <c r="F1758" i="11"/>
  <c r="G1758" i="11" s="1"/>
  <c r="F1757" i="11"/>
  <c r="G1757" i="11" s="1"/>
  <c r="H1756" i="11"/>
  <c r="F1756" i="11"/>
  <c r="G1756" i="11" s="1"/>
  <c r="I1756" i="11" s="1"/>
  <c r="H1755" i="11"/>
  <c r="G1755" i="11"/>
  <c r="I1755" i="11" s="1"/>
  <c r="F1755" i="11"/>
  <c r="F1754" i="11"/>
  <c r="G1754" i="11" s="1"/>
  <c r="F1753" i="11"/>
  <c r="G1753" i="11" s="1"/>
  <c r="H1752" i="11"/>
  <c r="F1752" i="11"/>
  <c r="G1752" i="11" s="1"/>
  <c r="I1752" i="11" s="1"/>
  <c r="H1751" i="11"/>
  <c r="G1751" i="11"/>
  <c r="I1751" i="11" s="1"/>
  <c r="F1751" i="11"/>
  <c r="F1750" i="11"/>
  <c r="G1750" i="11" s="1"/>
  <c r="F1749" i="11"/>
  <c r="G1749" i="11" s="1"/>
  <c r="H1748" i="11"/>
  <c r="F1748" i="11"/>
  <c r="G1748" i="11" s="1"/>
  <c r="I1748" i="11" s="1"/>
  <c r="H1747" i="11"/>
  <c r="G1747" i="11"/>
  <c r="I1747" i="11" s="1"/>
  <c r="F1747" i="11"/>
  <c r="F1746" i="11"/>
  <c r="G1746" i="11" s="1"/>
  <c r="F1745" i="11"/>
  <c r="G1745" i="11" s="1"/>
  <c r="H1744" i="11"/>
  <c r="F1744" i="11"/>
  <c r="G1744" i="11" s="1"/>
  <c r="I1744" i="11" s="1"/>
  <c r="H1743" i="11"/>
  <c r="G1743" i="11"/>
  <c r="I1743" i="11" s="1"/>
  <c r="F1743" i="11"/>
  <c r="F1742" i="11"/>
  <c r="G1742" i="11" s="1"/>
  <c r="F1741" i="11"/>
  <c r="G1741" i="11" s="1"/>
  <c r="H1740" i="11"/>
  <c r="F1740" i="11"/>
  <c r="G1740" i="11" s="1"/>
  <c r="I1740" i="11" s="1"/>
  <c r="H1739" i="11"/>
  <c r="G1739" i="11"/>
  <c r="I1739" i="11" s="1"/>
  <c r="F1739" i="11"/>
  <c r="F1738" i="11"/>
  <c r="G1738" i="11" s="1"/>
  <c r="F1737" i="11"/>
  <c r="G1737" i="11" s="1"/>
  <c r="H1736" i="11"/>
  <c r="F1736" i="11"/>
  <c r="G1736" i="11" s="1"/>
  <c r="I1736" i="11" s="1"/>
  <c r="H1735" i="11"/>
  <c r="G1735" i="11"/>
  <c r="I1735" i="11" s="1"/>
  <c r="F1735" i="11"/>
  <c r="F1734" i="11"/>
  <c r="G1734" i="11" s="1"/>
  <c r="F1733" i="11"/>
  <c r="G1733" i="11" s="1"/>
  <c r="H1732" i="11"/>
  <c r="F1732" i="11"/>
  <c r="G1732" i="11" s="1"/>
  <c r="I1732" i="11" s="1"/>
  <c r="H1731" i="11"/>
  <c r="G1731" i="11"/>
  <c r="I1731" i="11" s="1"/>
  <c r="F1731" i="11"/>
  <c r="F1730" i="11"/>
  <c r="G1730" i="11" s="1"/>
  <c r="F1729" i="11"/>
  <c r="G1729" i="11" s="1"/>
  <c r="H1728" i="11"/>
  <c r="F1728" i="11"/>
  <c r="G1728" i="11" s="1"/>
  <c r="I1728" i="11" s="1"/>
  <c r="H1727" i="11"/>
  <c r="G1727" i="11"/>
  <c r="I1727" i="11" s="1"/>
  <c r="F1727" i="11"/>
  <c r="F1726" i="11"/>
  <c r="G1726" i="11" s="1"/>
  <c r="F1725" i="11"/>
  <c r="G1725" i="11" s="1"/>
  <c r="H1724" i="11"/>
  <c r="F1724" i="11"/>
  <c r="G1724" i="11" s="1"/>
  <c r="I1724" i="11" s="1"/>
  <c r="H1723" i="11"/>
  <c r="G1723" i="11"/>
  <c r="I1723" i="11" s="1"/>
  <c r="F1723" i="11"/>
  <c r="F1722" i="11"/>
  <c r="G1722" i="11" s="1"/>
  <c r="F1721" i="11"/>
  <c r="G1721" i="11" s="1"/>
  <c r="H1720" i="11"/>
  <c r="F1720" i="11"/>
  <c r="G1720" i="11" s="1"/>
  <c r="I1720" i="11" s="1"/>
  <c r="H1719" i="11"/>
  <c r="G1719" i="11"/>
  <c r="I1719" i="11" s="1"/>
  <c r="F1719" i="11"/>
  <c r="F1718" i="11"/>
  <c r="G1718" i="11" s="1"/>
  <c r="F1717" i="11"/>
  <c r="G1717" i="11" s="1"/>
  <c r="H1716" i="11"/>
  <c r="F1716" i="11"/>
  <c r="G1716" i="11" s="1"/>
  <c r="I1716" i="11" s="1"/>
  <c r="H1715" i="11"/>
  <c r="G1715" i="11"/>
  <c r="I1715" i="11" s="1"/>
  <c r="F1715" i="11"/>
  <c r="F1714" i="11"/>
  <c r="G1714" i="11" s="1"/>
  <c r="F1713" i="11"/>
  <c r="G1713" i="11" s="1"/>
  <c r="H1712" i="11"/>
  <c r="F1712" i="11"/>
  <c r="G1712" i="11" s="1"/>
  <c r="I1712" i="11" s="1"/>
  <c r="H1711" i="11"/>
  <c r="G1711" i="11"/>
  <c r="I1711" i="11" s="1"/>
  <c r="F1711" i="11"/>
  <c r="F1710" i="11"/>
  <c r="G1710" i="11" s="1"/>
  <c r="F1709" i="11"/>
  <c r="G1709" i="11" s="1"/>
  <c r="F1708" i="11"/>
  <c r="G1708" i="11" s="1"/>
  <c r="I1708" i="11" s="1"/>
  <c r="H1707" i="11"/>
  <c r="G1707" i="11"/>
  <c r="I1707" i="11" s="1"/>
  <c r="F1707" i="11"/>
  <c r="F1706" i="11"/>
  <c r="G1706" i="11" s="1"/>
  <c r="F1705" i="11"/>
  <c r="G1705" i="11" s="1"/>
  <c r="F1704" i="11"/>
  <c r="G1704" i="11" s="1"/>
  <c r="I1704" i="11" s="1"/>
  <c r="H1703" i="11"/>
  <c r="G1703" i="11"/>
  <c r="I1703" i="11" s="1"/>
  <c r="F1703" i="11"/>
  <c r="F1702" i="11"/>
  <c r="G1702" i="11" s="1"/>
  <c r="F1701" i="11"/>
  <c r="G1701" i="11" s="1"/>
  <c r="F1700" i="11"/>
  <c r="G1700" i="11" s="1"/>
  <c r="I1700" i="11" s="1"/>
  <c r="H1699" i="11"/>
  <c r="G1699" i="11"/>
  <c r="I1699" i="11" s="1"/>
  <c r="F1699" i="11"/>
  <c r="F1698" i="11"/>
  <c r="G1698" i="11" s="1"/>
  <c r="F1697" i="11"/>
  <c r="G1697" i="11" s="1"/>
  <c r="F1696" i="11"/>
  <c r="G1696" i="11" s="1"/>
  <c r="I1696" i="11" s="1"/>
  <c r="H1695" i="11"/>
  <c r="G1695" i="11"/>
  <c r="I1695" i="11" s="1"/>
  <c r="F1695" i="11"/>
  <c r="G1694" i="11"/>
  <c r="I1694" i="11" s="1"/>
  <c r="F1694" i="11"/>
  <c r="F1693" i="11"/>
  <c r="G1693" i="11" s="1"/>
  <c r="H1692" i="11"/>
  <c r="F1692" i="11"/>
  <c r="G1692" i="11" s="1"/>
  <c r="I1692" i="11" s="1"/>
  <c r="G1691" i="11"/>
  <c r="I1691" i="11" s="1"/>
  <c r="F1691" i="11"/>
  <c r="F1690" i="11"/>
  <c r="G1690" i="11" s="1"/>
  <c r="G1689" i="11"/>
  <c r="F1689" i="11"/>
  <c r="F1688" i="11"/>
  <c r="G1688" i="11" s="1"/>
  <c r="I1688" i="11" s="1"/>
  <c r="H1687" i="11"/>
  <c r="G1687" i="11"/>
  <c r="I1687" i="11" s="1"/>
  <c r="F1687" i="11"/>
  <c r="G1686" i="11"/>
  <c r="I1686" i="11" s="1"/>
  <c r="F1686" i="11"/>
  <c r="F1685" i="11"/>
  <c r="G1685" i="11" s="1"/>
  <c r="H1684" i="11"/>
  <c r="F1684" i="11"/>
  <c r="G1684" i="11" s="1"/>
  <c r="I1684" i="11" s="1"/>
  <c r="G1683" i="11"/>
  <c r="I1683" i="11" s="1"/>
  <c r="F1683" i="11"/>
  <c r="F1682" i="11"/>
  <c r="G1682" i="11" s="1"/>
  <c r="G1681" i="11"/>
  <c r="F1681" i="11"/>
  <c r="F1680" i="11"/>
  <c r="G1680" i="11" s="1"/>
  <c r="I1680" i="11" s="1"/>
  <c r="H1679" i="11"/>
  <c r="G1679" i="11"/>
  <c r="I1679" i="11" s="1"/>
  <c r="F1679" i="11"/>
  <c r="G1678" i="11"/>
  <c r="I1678" i="11" s="1"/>
  <c r="F1678" i="11"/>
  <c r="F1677" i="11"/>
  <c r="G1677" i="11" s="1"/>
  <c r="H1676" i="11"/>
  <c r="F1676" i="11"/>
  <c r="G1676" i="11" s="1"/>
  <c r="I1676" i="11" s="1"/>
  <c r="G1675" i="11"/>
  <c r="I1675" i="11" s="1"/>
  <c r="F1675" i="11"/>
  <c r="F1674" i="11"/>
  <c r="G1674" i="11" s="1"/>
  <c r="G1673" i="11"/>
  <c r="F1673" i="11"/>
  <c r="F1672" i="11"/>
  <c r="G1672" i="11" s="1"/>
  <c r="I1672" i="11" s="1"/>
  <c r="H1671" i="11"/>
  <c r="G1671" i="11"/>
  <c r="I1671" i="11" s="1"/>
  <c r="F1671" i="11"/>
  <c r="G1670" i="11"/>
  <c r="I1670" i="11" s="1"/>
  <c r="F1670" i="11"/>
  <c r="F1669" i="11"/>
  <c r="G1669" i="11" s="1"/>
  <c r="H1668" i="11"/>
  <c r="F1668" i="11"/>
  <c r="G1668" i="11" s="1"/>
  <c r="I1668" i="11" s="1"/>
  <c r="G1667" i="11"/>
  <c r="I1667" i="11" s="1"/>
  <c r="F1667" i="11"/>
  <c r="F1666" i="11"/>
  <c r="G1666" i="11" s="1"/>
  <c r="G1665" i="11"/>
  <c r="F1665" i="11"/>
  <c r="F1664" i="11"/>
  <c r="G1664" i="11" s="1"/>
  <c r="I1664" i="11" s="1"/>
  <c r="H1663" i="11"/>
  <c r="G1663" i="11"/>
  <c r="I1663" i="11" s="1"/>
  <c r="F1663" i="11"/>
  <c r="G1662" i="11"/>
  <c r="I1662" i="11" s="1"/>
  <c r="F1662" i="11"/>
  <c r="F1661" i="11"/>
  <c r="G1661" i="11" s="1"/>
  <c r="H1660" i="11"/>
  <c r="F1660" i="11"/>
  <c r="G1660" i="11" s="1"/>
  <c r="I1660" i="11" s="1"/>
  <c r="G1659" i="11"/>
  <c r="I1659" i="11" s="1"/>
  <c r="F1659" i="11"/>
  <c r="F1658" i="11"/>
  <c r="G1658" i="11" s="1"/>
  <c r="G1657" i="11"/>
  <c r="F1657" i="11"/>
  <c r="F1656" i="11"/>
  <c r="G1656" i="11" s="1"/>
  <c r="I1656" i="11" s="1"/>
  <c r="H1655" i="11"/>
  <c r="G1655" i="11"/>
  <c r="I1655" i="11" s="1"/>
  <c r="F1655" i="11"/>
  <c r="G1654" i="11"/>
  <c r="I1654" i="11" s="1"/>
  <c r="F1654" i="11"/>
  <c r="F1653" i="11"/>
  <c r="G1653" i="11" s="1"/>
  <c r="H1652" i="11"/>
  <c r="F1652" i="11"/>
  <c r="G1652" i="11" s="1"/>
  <c r="I1652" i="11" s="1"/>
  <c r="G1651" i="11"/>
  <c r="I1651" i="11" s="1"/>
  <c r="F1651" i="11"/>
  <c r="F1650" i="11"/>
  <c r="G1650" i="11" s="1"/>
  <c r="G1649" i="11"/>
  <c r="F1649" i="11"/>
  <c r="F1648" i="11"/>
  <c r="G1648" i="11" s="1"/>
  <c r="I1648" i="11" s="1"/>
  <c r="H1647" i="11"/>
  <c r="G1647" i="11"/>
  <c r="I1647" i="11" s="1"/>
  <c r="F1647" i="11"/>
  <c r="G1646" i="11"/>
  <c r="I1646" i="11" s="1"/>
  <c r="F1646" i="11"/>
  <c r="F1645" i="11"/>
  <c r="G1645" i="11" s="1"/>
  <c r="H1644" i="11"/>
  <c r="F1644" i="11"/>
  <c r="G1644" i="11" s="1"/>
  <c r="I1644" i="11" s="1"/>
  <c r="G1643" i="11"/>
  <c r="I1643" i="11" s="1"/>
  <c r="F1643" i="11"/>
  <c r="F1642" i="11"/>
  <c r="G1642" i="11" s="1"/>
  <c r="G1641" i="11"/>
  <c r="F1641" i="11"/>
  <c r="F1640" i="11"/>
  <c r="G1640" i="11" s="1"/>
  <c r="I1640" i="11" s="1"/>
  <c r="H1639" i="11"/>
  <c r="G1639" i="11"/>
  <c r="I1639" i="11" s="1"/>
  <c r="F1639" i="11"/>
  <c r="G1638" i="11"/>
  <c r="I1638" i="11" s="1"/>
  <c r="F1638" i="11"/>
  <c r="F1637" i="11"/>
  <c r="G1637" i="11" s="1"/>
  <c r="H1636" i="11"/>
  <c r="F1636" i="11"/>
  <c r="G1636" i="11" s="1"/>
  <c r="I1636" i="11" s="1"/>
  <c r="G1635" i="11"/>
  <c r="I1635" i="11" s="1"/>
  <c r="F1635" i="11"/>
  <c r="F1634" i="11"/>
  <c r="G1634" i="11" s="1"/>
  <c r="G1633" i="11"/>
  <c r="F1633" i="11"/>
  <c r="F1632" i="11"/>
  <c r="G1632" i="11" s="1"/>
  <c r="I1632" i="11" s="1"/>
  <c r="H1631" i="11"/>
  <c r="G1631" i="11"/>
  <c r="I1631" i="11" s="1"/>
  <c r="F1631" i="11"/>
  <c r="G1630" i="11"/>
  <c r="I1630" i="11" s="1"/>
  <c r="F1630" i="11"/>
  <c r="F1629" i="11"/>
  <c r="G1629" i="11" s="1"/>
  <c r="H1628" i="11"/>
  <c r="F1628" i="11"/>
  <c r="G1628" i="11" s="1"/>
  <c r="I1628" i="11" s="1"/>
  <c r="G1627" i="11"/>
  <c r="I1627" i="11" s="1"/>
  <c r="F1627" i="11"/>
  <c r="F1626" i="11"/>
  <c r="G1626" i="11" s="1"/>
  <c r="G1625" i="11"/>
  <c r="F1625" i="11"/>
  <c r="F1624" i="11"/>
  <c r="G1624" i="11" s="1"/>
  <c r="I1624" i="11" s="1"/>
  <c r="H1623" i="11"/>
  <c r="G1623" i="11"/>
  <c r="I1623" i="11" s="1"/>
  <c r="F1623" i="11"/>
  <c r="G1622" i="11"/>
  <c r="I1622" i="11" s="1"/>
  <c r="F1622" i="11"/>
  <c r="F1621" i="11"/>
  <c r="G1621" i="11" s="1"/>
  <c r="H1620" i="11"/>
  <c r="F1620" i="11"/>
  <c r="G1620" i="11" s="1"/>
  <c r="I1620" i="11" s="1"/>
  <c r="G1619" i="11"/>
  <c r="I1619" i="11" s="1"/>
  <c r="F1619" i="11"/>
  <c r="F1618" i="11"/>
  <c r="G1618" i="11" s="1"/>
  <c r="G1617" i="11"/>
  <c r="F1617" i="11"/>
  <c r="F1616" i="11"/>
  <c r="G1616" i="11" s="1"/>
  <c r="I1616" i="11" s="1"/>
  <c r="H1615" i="11"/>
  <c r="G1615" i="11"/>
  <c r="I1615" i="11" s="1"/>
  <c r="F1615" i="11"/>
  <c r="G1614" i="11"/>
  <c r="I1614" i="11" s="1"/>
  <c r="F1614" i="11"/>
  <c r="F1613" i="11"/>
  <c r="G1613" i="11" s="1"/>
  <c r="H1612" i="11"/>
  <c r="F1612" i="11"/>
  <c r="G1612" i="11" s="1"/>
  <c r="I1612" i="11" s="1"/>
  <c r="G1611" i="11"/>
  <c r="I1611" i="11" s="1"/>
  <c r="F1611" i="11"/>
  <c r="F1610" i="11"/>
  <c r="G1610" i="11" s="1"/>
  <c r="G1609" i="11"/>
  <c r="F1609" i="11"/>
  <c r="F1608" i="11"/>
  <c r="G1608" i="11" s="1"/>
  <c r="I1608" i="11" s="1"/>
  <c r="H1607" i="11"/>
  <c r="G1607" i="11"/>
  <c r="I1607" i="11" s="1"/>
  <c r="F1607" i="11"/>
  <c r="G1606" i="11"/>
  <c r="I1606" i="11" s="1"/>
  <c r="F1606" i="11"/>
  <c r="F1605" i="11"/>
  <c r="G1605" i="11" s="1"/>
  <c r="H1604" i="11"/>
  <c r="F1604" i="11"/>
  <c r="G1604" i="11" s="1"/>
  <c r="I1604" i="11" s="1"/>
  <c r="G1603" i="11"/>
  <c r="I1603" i="11" s="1"/>
  <c r="F1603" i="11"/>
  <c r="F1602" i="11"/>
  <c r="G1602" i="11" s="1"/>
  <c r="G1601" i="11"/>
  <c r="F1601" i="11"/>
  <c r="F1600" i="11"/>
  <c r="G1600" i="11" s="1"/>
  <c r="I1600" i="11" s="1"/>
  <c r="H1599" i="11"/>
  <c r="G1599" i="11"/>
  <c r="I1599" i="11" s="1"/>
  <c r="F1599" i="11"/>
  <c r="G1598" i="11"/>
  <c r="I1598" i="11" s="1"/>
  <c r="F1598" i="11"/>
  <c r="F1597" i="11"/>
  <c r="G1597" i="11" s="1"/>
  <c r="H1596" i="11"/>
  <c r="F1596" i="11"/>
  <c r="G1596" i="11" s="1"/>
  <c r="I1596" i="11" s="1"/>
  <c r="G1595" i="11"/>
  <c r="I1595" i="11" s="1"/>
  <c r="F1595" i="11"/>
  <c r="F1594" i="11"/>
  <c r="G1594" i="11" s="1"/>
  <c r="G1593" i="11"/>
  <c r="F1593" i="11"/>
  <c r="F1592" i="11"/>
  <c r="G1592" i="11" s="1"/>
  <c r="I1592" i="11" s="1"/>
  <c r="H1591" i="11"/>
  <c r="G1591" i="11"/>
  <c r="I1591" i="11" s="1"/>
  <c r="F1591" i="11"/>
  <c r="G1590" i="11"/>
  <c r="I1590" i="11" s="1"/>
  <c r="F1590" i="11"/>
  <c r="F1589" i="11"/>
  <c r="G1589" i="11" s="1"/>
  <c r="H1588" i="11"/>
  <c r="F1588" i="11"/>
  <c r="G1588" i="11" s="1"/>
  <c r="I1588" i="11" s="1"/>
  <c r="G1587" i="11"/>
  <c r="I1587" i="11" s="1"/>
  <c r="F1587" i="11"/>
  <c r="F1586" i="11"/>
  <c r="G1586" i="11" s="1"/>
  <c r="G1585" i="11"/>
  <c r="F1585" i="11"/>
  <c r="F1584" i="11"/>
  <c r="G1584" i="11" s="1"/>
  <c r="I1584" i="11" s="1"/>
  <c r="H1583" i="11"/>
  <c r="G1583" i="11"/>
  <c r="I1583" i="11" s="1"/>
  <c r="F1583" i="11"/>
  <c r="G1582" i="11"/>
  <c r="I1582" i="11" s="1"/>
  <c r="F1582" i="11"/>
  <c r="F1581" i="11"/>
  <c r="G1581" i="11" s="1"/>
  <c r="H1580" i="11"/>
  <c r="F1580" i="11"/>
  <c r="G1580" i="11" s="1"/>
  <c r="I1580" i="11" s="1"/>
  <c r="G1579" i="11"/>
  <c r="I1579" i="11" s="1"/>
  <c r="F1579" i="11"/>
  <c r="F1578" i="11"/>
  <c r="G1578" i="11" s="1"/>
  <c r="G1577" i="11"/>
  <c r="F1577" i="11"/>
  <c r="F1576" i="11"/>
  <c r="G1576" i="11" s="1"/>
  <c r="I1576" i="11" s="1"/>
  <c r="H1575" i="11"/>
  <c r="G1575" i="11"/>
  <c r="I1575" i="11" s="1"/>
  <c r="F1575" i="11"/>
  <c r="G1574" i="11"/>
  <c r="I1574" i="11" s="1"/>
  <c r="F1574" i="11"/>
  <c r="F1573" i="11"/>
  <c r="G1573" i="11" s="1"/>
  <c r="H1572" i="11"/>
  <c r="F1572" i="11"/>
  <c r="G1572" i="11" s="1"/>
  <c r="I1572" i="11" s="1"/>
  <c r="G1571" i="11"/>
  <c r="I1571" i="11" s="1"/>
  <c r="F1571" i="11"/>
  <c r="F1570" i="11"/>
  <c r="G1570" i="11" s="1"/>
  <c r="G1569" i="11"/>
  <c r="F1569" i="11"/>
  <c r="F1568" i="11"/>
  <c r="G1568" i="11" s="1"/>
  <c r="I1568" i="11" s="1"/>
  <c r="H1567" i="11"/>
  <c r="G1567" i="11"/>
  <c r="I1567" i="11" s="1"/>
  <c r="F1567" i="11"/>
  <c r="G1566" i="11"/>
  <c r="I1566" i="11" s="1"/>
  <c r="F1566" i="11"/>
  <c r="F1565" i="11"/>
  <c r="G1565" i="11" s="1"/>
  <c r="H1564" i="11"/>
  <c r="F1564" i="11"/>
  <c r="G1564" i="11" s="1"/>
  <c r="I1564" i="11" s="1"/>
  <c r="G1563" i="11"/>
  <c r="I1563" i="11" s="1"/>
  <c r="F1563" i="11"/>
  <c r="F1562" i="11"/>
  <c r="G1562" i="11" s="1"/>
  <c r="G1561" i="11"/>
  <c r="F1561" i="11"/>
  <c r="F1560" i="11"/>
  <c r="G1560" i="11" s="1"/>
  <c r="I1560" i="11" s="1"/>
  <c r="H1559" i="11"/>
  <c r="G1559" i="11"/>
  <c r="I1559" i="11" s="1"/>
  <c r="F1559" i="11"/>
  <c r="G1558" i="11"/>
  <c r="I1558" i="11" s="1"/>
  <c r="F1558" i="11"/>
  <c r="F1557" i="11"/>
  <c r="G1557" i="11" s="1"/>
  <c r="H1556" i="11"/>
  <c r="F1556" i="11"/>
  <c r="G1556" i="11" s="1"/>
  <c r="I1556" i="11" s="1"/>
  <c r="G1555" i="11"/>
  <c r="I1555" i="11" s="1"/>
  <c r="F1555" i="11"/>
  <c r="F1554" i="11"/>
  <c r="G1554" i="11" s="1"/>
  <c r="G1553" i="11"/>
  <c r="F1553" i="11"/>
  <c r="F1552" i="11"/>
  <c r="G1552" i="11" s="1"/>
  <c r="I1552" i="11" s="1"/>
  <c r="H1551" i="11"/>
  <c r="G1551" i="11"/>
  <c r="I1551" i="11" s="1"/>
  <c r="F1551" i="11"/>
  <c r="H1550" i="11"/>
  <c r="G1550" i="11"/>
  <c r="I1550" i="11" s="1"/>
  <c r="F1550" i="11"/>
  <c r="H1549" i="11"/>
  <c r="G1549" i="11"/>
  <c r="I1549" i="11" s="1"/>
  <c r="F1549" i="11"/>
  <c r="H1548" i="11"/>
  <c r="G1548" i="11"/>
  <c r="I1548" i="11" s="1"/>
  <c r="F1548" i="11"/>
  <c r="H1547" i="11"/>
  <c r="G1547" i="11"/>
  <c r="I1547" i="11" s="1"/>
  <c r="F1547" i="11"/>
  <c r="H1546" i="11"/>
  <c r="G1546" i="11"/>
  <c r="I1546" i="11" s="1"/>
  <c r="F1546" i="11"/>
  <c r="H1545" i="11"/>
  <c r="G1545" i="11"/>
  <c r="I1545" i="11" s="1"/>
  <c r="F1545" i="11"/>
  <c r="H1544" i="11"/>
  <c r="G1544" i="11"/>
  <c r="I1544" i="11" s="1"/>
  <c r="F1544" i="11"/>
  <c r="H1543" i="11"/>
  <c r="G1543" i="11"/>
  <c r="I1543" i="11" s="1"/>
  <c r="F1543" i="11"/>
  <c r="H1542" i="11"/>
  <c r="G1542" i="11"/>
  <c r="I1542" i="11" s="1"/>
  <c r="F1542" i="11"/>
  <c r="H1541" i="11"/>
  <c r="G1541" i="11"/>
  <c r="I1541" i="11" s="1"/>
  <c r="F1541" i="11"/>
  <c r="H1540" i="11"/>
  <c r="G1540" i="11"/>
  <c r="I1540" i="11" s="1"/>
  <c r="F1540" i="11"/>
  <c r="H1539" i="11"/>
  <c r="G1539" i="11"/>
  <c r="I1539" i="11" s="1"/>
  <c r="F1539" i="11"/>
  <c r="H1538" i="11"/>
  <c r="G1538" i="11"/>
  <c r="I1538" i="11" s="1"/>
  <c r="F1538" i="11"/>
  <c r="H1537" i="11"/>
  <c r="G1537" i="11"/>
  <c r="I1537" i="11" s="1"/>
  <c r="F1537" i="11"/>
  <c r="H1536" i="11"/>
  <c r="G1536" i="11"/>
  <c r="I1536" i="11" s="1"/>
  <c r="F1536" i="11"/>
  <c r="H1535" i="11"/>
  <c r="G1535" i="11"/>
  <c r="I1535" i="11" s="1"/>
  <c r="F1535" i="11"/>
  <c r="H1534" i="11"/>
  <c r="G1534" i="11"/>
  <c r="I1534" i="11" s="1"/>
  <c r="F1534" i="11"/>
  <c r="H1533" i="11"/>
  <c r="G1533" i="11"/>
  <c r="I1533" i="11" s="1"/>
  <c r="F1533" i="11"/>
  <c r="H1532" i="11"/>
  <c r="G1532" i="11"/>
  <c r="I1532" i="11" s="1"/>
  <c r="F1532" i="11"/>
  <c r="H1531" i="11"/>
  <c r="G1531" i="11"/>
  <c r="I1531" i="11" s="1"/>
  <c r="F1531" i="11"/>
  <c r="H1530" i="11"/>
  <c r="G1530" i="11"/>
  <c r="I1530" i="11" s="1"/>
  <c r="F1530" i="11"/>
  <c r="H1529" i="11"/>
  <c r="G1529" i="11"/>
  <c r="I1529" i="11" s="1"/>
  <c r="F1529" i="11"/>
  <c r="H1528" i="11"/>
  <c r="G1528" i="11"/>
  <c r="I1528" i="11" s="1"/>
  <c r="F1528" i="11"/>
  <c r="H1527" i="11"/>
  <c r="G1527" i="11"/>
  <c r="I1527" i="11" s="1"/>
  <c r="F1527" i="11"/>
  <c r="H1526" i="11"/>
  <c r="G1526" i="11"/>
  <c r="I1526" i="11" s="1"/>
  <c r="F1526" i="11"/>
  <c r="H1525" i="11"/>
  <c r="G1525" i="11"/>
  <c r="I1525" i="11" s="1"/>
  <c r="F1525" i="11"/>
  <c r="H1524" i="11"/>
  <c r="G1524" i="11"/>
  <c r="I1524" i="11" s="1"/>
  <c r="F1524" i="11"/>
  <c r="H1523" i="11"/>
  <c r="G1523" i="11"/>
  <c r="I1523" i="11" s="1"/>
  <c r="F1523" i="11"/>
  <c r="H1522" i="11"/>
  <c r="G1522" i="11"/>
  <c r="I1522" i="11" s="1"/>
  <c r="F1522" i="11"/>
  <c r="H1521" i="11"/>
  <c r="G1521" i="11"/>
  <c r="I1521" i="11" s="1"/>
  <c r="F1521" i="11"/>
  <c r="H1520" i="11"/>
  <c r="G1520" i="11"/>
  <c r="I1520" i="11" s="1"/>
  <c r="F1520" i="11"/>
  <c r="H1519" i="11"/>
  <c r="G1519" i="11"/>
  <c r="I1519" i="11" s="1"/>
  <c r="F1519" i="11"/>
  <c r="H1518" i="11"/>
  <c r="G1518" i="11"/>
  <c r="I1518" i="11" s="1"/>
  <c r="F1518" i="11"/>
  <c r="H1517" i="11"/>
  <c r="G1517" i="11"/>
  <c r="I1517" i="11" s="1"/>
  <c r="F1517" i="11"/>
  <c r="H1516" i="11"/>
  <c r="G1516" i="11"/>
  <c r="I1516" i="11" s="1"/>
  <c r="F1516" i="11"/>
  <c r="H1515" i="11"/>
  <c r="G1515" i="11"/>
  <c r="I1515" i="11" s="1"/>
  <c r="F1515" i="11"/>
  <c r="H1514" i="11"/>
  <c r="G1514" i="11"/>
  <c r="I1514" i="11" s="1"/>
  <c r="F1514" i="11"/>
  <c r="H1513" i="11"/>
  <c r="G1513" i="11"/>
  <c r="I1513" i="11" s="1"/>
  <c r="F1513" i="11"/>
  <c r="H1512" i="11"/>
  <c r="G1512" i="11"/>
  <c r="I1512" i="11" s="1"/>
  <c r="F1512" i="11"/>
  <c r="H1511" i="11"/>
  <c r="G1511" i="11"/>
  <c r="I1511" i="11" s="1"/>
  <c r="F1511" i="11"/>
  <c r="H1510" i="11"/>
  <c r="G1510" i="11"/>
  <c r="I1510" i="11" s="1"/>
  <c r="F1510" i="11"/>
  <c r="H1509" i="11"/>
  <c r="G1509" i="11"/>
  <c r="I1509" i="11" s="1"/>
  <c r="F1509" i="11"/>
  <c r="H1508" i="11"/>
  <c r="G1508" i="11"/>
  <c r="I1508" i="11" s="1"/>
  <c r="F1508" i="11"/>
  <c r="H1507" i="11"/>
  <c r="G1507" i="11"/>
  <c r="I1507" i="11" s="1"/>
  <c r="F1507" i="11"/>
  <c r="H1506" i="11"/>
  <c r="G1506" i="11"/>
  <c r="I1506" i="11" s="1"/>
  <c r="F1506" i="11"/>
  <c r="H1505" i="11"/>
  <c r="G1505" i="11"/>
  <c r="I1505" i="11" s="1"/>
  <c r="F1505" i="11"/>
  <c r="H1504" i="11"/>
  <c r="G1504" i="11"/>
  <c r="I1504" i="11" s="1"/>
  <c r="F1504" i="11"/>
  <c r="H1503" i="11"/>
  <c r="G1503" i="11"/>
  <c r="I1503" i="11" s="1"/>
  <c r="F1503" i="11"/>
  <c r="H1502" i="11"/>
  <c r="G1502" i="11"/>
  <c r="I1502" i="11" s="1"/>
  <c r="F1502" i="11"/>
  <c r="H1501" i="11"/>
  <c r="G1501" i="11"/>
  <c r="I1501" i="11" s="1"/>
  <c r="F1501" i="11"/>
  <c r="H1500" i="11"/>
  <c r="G1500" i="11"/>
  <c r="I1500" i="11" s="1"/>
  <c r="F1500" i="11"/>
  <c r="H1499" i="11"/>
  <c r="G1499" i="11"/>
  <c r="I1499" i="11" s="1"/>
  <c r="F1499" i="11"/>
  <c r="H1498" i="11"/>
  <c r="G1498" i="11"/>
  <c r="I1498" i="11" s="1"/>
  <c r="F1498" i="11"/>
  <c r="H1497" i="11"/>
  <c r="G1497" i="11"/>
  <c r="I1497" i="11" s="1"/>
  <c r="F1497" i="11"/>
  <c r="H1496" i="11"/>
  <c r="G1496" i="11"/>
  <c r="I1496" i="11" s="1"/>
  <c r="F1496" i="11"/>
  <c r="H1495" i="11"/>
  <c r="G1495" i="11"/>
  <c r="I1495" i="11" s="1"/>
  <c r="F1495" i="11"/>
  <c r="H1494" i="11"/>
  <c r="G1494" i="11"/>
  <c r="I1494" i="11" s="1"/>
  <c r="F1494" i="11"/>
  <c r="H1493" i="11"/>
  <c r="G1493" i="11"/>
  <c r="I1493" i="11" s="1"/>
  <c r="F1493" i="11"/>
  <c r="H1492" i="11"/>
  <c r="G1492" i="11"/>
  <c r="I1492" i="11" s="1"/>
  <c r="F1492" i="11"/>
  <c r="H1491" i="11"/>
  <c r="G1491" i="11"/>
  <c r="I1491" i="11" s="1"/>
  <c r="F1491" i="11"/>
  <c r="H1490" i="11"/>
  <c r="G1490" i="11"/>
  <c r="I1490" i="11" s="1"/>
  <c r="F1490" i="11"/>
  <c r="H1489" i="11"/>
  <c r="G1489" i="11"/>
  <c r="I1489" i="11" s="1"/>
  <c r="F1489" i="11"/>
  <c r="H1488" i="11"/>
  <c r="G1488" i="11"/>
  <c r="I1488" i="11" s="1"/>
  <c r="F1488" i="11"/>
  <c r="H1487" i="11"/>
  <c r="G1487" i="11"/>
  <c r="I1487" i="11" s="1"/>
  <c r="F1487" i="11"/>
  <c r="H1486" i="11"/>
  <c r="G1486" i="11"/>
  <c r="I1486" i="11" s="1"/>
  <c r="F1486" i="11"/>
  <c r="H1485" i="11"/>
  <c r="G1485" i="11"/>
  <c r="I1485" i="11" s="1"/>
  <c r="F1485" i="11"/>
  <c r="H1484" i="11"/>
  <c r="G1484" i="11"/>
  <c r="I1484" i="11" s="1"/>
  <c r="F1484" i="11"/>
  <c r="H1483" i="11"/>
  <c r="G1483" i="11"/>
  <c r="I1483" i="11" s="1"/>
  <c r="F1483" i="11"/>
  <c r="H1482" i="11"/>
  <c r="G1482" i="11"/>
  <c r="I1482" i="11" s="1"/>
  <c r="F1482" i="11"/>
  <c r="H1481" i="11"/>
  <c r="G1481" i="11"/>
  <c r="I1481" i="11" s="1"/>
  <c r="F1481" i="11"/>
  <c r="H1480" i="11"/>
  <c r="G1480" i="11"/>
  <c r="I1480" i="11" s="1"/>
  <c r="F1480" i="11"/>
  <c r="H1479" i="11"/>
  <c r="G1479" i="11"/>
  <c r="I1479" i="11" s="1"/>
  <c r="F1479" i="11"/>
  <c r="H1478" i="11"/>
  <c r="G1478" i="11"/>
  <c r="I1478" i="11" s="1"/>
  <c r="F1478" i="11"/>
  <c r="H1477" i="11"/>
  <c r="G1477" i="11"/>
  <c r="I1477" i="11" s="1"/>
  <c r="F1477" i="11"/>
  <c r="H1476" i="11"/>
  <c r="G1476" i="11"/>
  <c r="I1476" i="11" s="1"/>
  <c r="F1476" i="11"/>
  <c r="H1475" i="11"/>
  <c r="G1475" i="11"/>
  <c r="I1475" i="11" s="1"/>
  <c r="F1475" i="11"/>
  <c r="H1474" i="11"/>
  <c r="G1474" i="11"/>
  <c r="I1474" i="11" s="1"/>
  <c r="F1474" i="11"/>
  <c r="H1473" i="11"/>
  <c r="G1473" i="11"/>
  <c r="I1473" i="11" s="1"/>
  <c r="F1473" i="11"/>
  <c r="H1472" i="11"/>
  <c r="G1472" i="11"/>
  <c r="I1472" i="11" s="1"/>
  <c r="F1472" i="11"/>
  <c r="H1471" i="11"/>
  <c r="G1471" i="11"/>
  <c r="I1471" i="11" s="1"/>
  <c r="F1471" i="11"/>
  <c r="H1470" i="11"/>
  <c r="G1470" i="11"/>
  <c r="I1470" i="11" s="1"/>
  <c r="F1470" i="11"/>
  <c r="H1469" i="11"/>
  <c r="G1469" i="11"/>
  <c r="I1469" i="11" s="1"/>
  <c r="F1469" i="11"/>
  <c r="H1468" i="11"/>
  <c r="G1468" i="11"/>
  <c r="I1468" i="11" s="1"/>
  <c r="F1468" i="11"/>
  <c r="H1467" i="11"/>
  <c r="G1467" i="11"/>
  <c r="I1467" i="11" s="1"/>
  <c r="F1467" i="11"/>
  <c r="H1466" i="11"/>
  <c r="G1466" i="11"/>
  <c r="I1466" i="11" s="1"/>
  <c r="F1466" i="11"/>
  <c r="H1465" i="11"/>
  <c r="G1465" i="11"/>
  <c r="I1465" i="11" s="1"/>
  <c r="F1465" i="11"/>
  <c r="H1464" i="11"/>
  <c r="G1464" i="11"/>
  <c r="I1464" i="11" s="1"/>
  <c r="F1464" i="11"/>
  <c r="H1463" i="11"/>
  <c r="G1463" i="11"/>
  <c r="I1463" i="11" s="1"/>
  <c r="F1463" i="11"/>
  <c r="H1462" i="11"/>
  <c r="G1462" i="11"/>
  <c r="I1462" i="11" s="1"/>
  <c r="F1462" i="11"/>
  <c r="H1461" i="11"/>
  <c r="G1461" i="11"/>
  <c r="I1461" i="11" s="1"/>
  <c r="F1461" i="11"/>
  <c r="H1460" i="11"/>
  <c r="G1460" i="11"/>
  <c r="I1460" i="11" s="1"/>
  <c r="F1460" i="11"/>
  <c r="H1459" i="11"/>
  <c r="G1459" i="11"/>
  <c r="I1459" i="11" s="1"/>
  <c r="F1459" i="11"/>
  <c r="H1458" i="11"/>
  <c r="G1458" i="11"/>
  <c r="I1458" i="11" s="1"/>
  <c r="F1458" i="11"/>
  <c r="H1457" i="11"/>
  <c r="G1457" i="11"/>
  <c r="I1457" i="11" s="1"/>
  <c r="F1457" i="11"/>
  <c r="H1456" i="11"/>
  <c r="G1456" i="11"/>
  <c r="I1456" i="11" s="1"/>
  <c r="F1456" i="11"/>
  <c r="H1455" i="11"/>
  <c r="G1455" i="11"/>
  <c r="I1455" i="11" s="1"/>
  <c r="F1455" i="11"/>
  <c r="H1454" i="11"/>
  <c r="G1454" i="11"/>
  <c r="I1454" i="11" s="1"/>
  <c r="F1454" i="11"/>
  <c r="H1453" i="11"/>
  <c r="G1453" i="11"/>
  <c r="I1453" i="11" s="1"/>
  <c r="F1453" i="11"/>
  <c r="H1452" i="11"/>
  <c r="G1452" i="11"/>
  <c r="I1452" i="11" s="1"/>
  <c r="F1452" i="11"/>
  <c r="H1451" i="11"/>
  <c r="G1451" i="11"/>
  <c r="I1451" i="11" s="1"/>
  <c r="F1451" i="11"/>
  <c r="H1450" i="11"/>
  <c r="G1450" i="11"/>
  <c r="I1450" i="11" s="1"/>
  <c r="F1450" i="11"/>
  <c r="H1449" i="11"/>
  <c r="G1449" i="11"/>
  <c r="I1449" i="11" s="1"/>
  <c r="F1449" i="11"/>
  <c r="H1448" i="11"/>
  <c r="G1448" i="11"/>
  <c r="I1448" i="11" s="1"/>
  <c r="F1448" i="11"/>
  <c r="H1447" i="11"/>
  <c r="G1447" i="11"/>
  <c r="I1447" i="11" s="1"/>
  <c r="F1447" i="11"/>
  <c r="H1446" i="11"/>
  <c r="G1446" i="11"/>
  <c r="I1446" i="11" s="1"/>
  <c r="F1446" i="11"/>
  <c r="H1445" i="11"/>
  <c r="G1445" i="11"/>
  <c r="I1445" i="11" s="1"/>
  <c r="F1445" i="11"/>
  <c r="H1444" i="11"/>
  <c r="G1444" i="11"/>
  <c r="I1444" i="11" s="1"/>
  <c r="F1444" i="11"/>
  <c r="H1443" i="11"/>
  <c r="G1443" i="11"/>
  <c r="I1443" i="11" s="1"/>
  <c r="F1443" i="11"/>
  <c r="H1442" i="11"/>
  <c r="G1442" i="11"/>
  <c r="I1442" i="11" s="1"/>
  <c r="F1442" i="11"/>
  <c r="H1441" i="11"/>
  <c r="G1441" i="11"/>
  <c r="I1441" i="11" s="1"/>
  <c r="F1441" i="11"/>
  <c r="H1440" i="11"/>
  <c r="G1440" i="11"/>
  <c r="I1440" i="11" s="1"/>
  <c r="F1440" i="11"/>
  <c r="H1439" i="11"/>
  <c r="G1439" i="11"/>
  <c r="I1439" i="11" s="1"/>
  <c r="F1439" i="11"/>
  <c r="H1438" i="11"/>
  <c r="G1438" i="11"/>
  <c r="I1438" i="11" s="1"/>
  <c r="F1438" i="11"/>
  <c r="H1437" i="11"/>
  <c r="G1437" i="11"/>
  <c r="I1437" i="11" s="1"/>
  <c r="F1437" i="11"/>
  <c r="H1436" i="11"/>
  <c r="G1436" i="11"/>
  <c r="I1436" i="11" s="1"/>
  <c r="F1436" i="11"/>
  <c r="H1435" i="11"/>
  <c r="G1435" i="11"/>
  <c r="I1435" i="11" s="1"/>
  <c r="F1435" i="11"/>
  <c r="H1434" i="11"/>
  <c r="G1434" i="11"/>
  <c r="I1434" i="11" s="1"/>
  <c r="F1434" i="11"/>
  <c r="H1433" i="11"/>
  <c r="G1433" i="11"/>
  <c r="I1433" i="11" s="1"/>
  <c r="F1433" i="11"/>
  <c r="H1432" i="11"/>
  <c r="G1432" i="11"/>
  <c r="I1432" i="11" s="1"/>
  <c r="F1432" i="11"/>
  <c r="H1431" i="11"/>
  <c r="G1431" i="11"/>
  <c r="I1431" i="11" s="1"/>
  <c r="F1431" i="11"/>
  <c r="H1430" i="11"/>
  <c r="G1430" i="11"/>
  <c r="I1430" i="11" s="1"/>
  <c r="F1430" i="11"/>
  <c r="H1429" i="11"/>
  <c r="G1429" i="11"/>
  <c r="I1429" i="11" s="1"/>
  <c r="F1429" i="11"/>
  <c r="H1428" i="11"/>
  <c r="G1428" i="11"/>
  <c r="I1428" i="11" s="1"/>
  <c r="F1428" i="11"/>
  <c r="H1427" i="11"/>
  <c r="G1427" i="11"/>
  <c r="I1427" i="11" s="1"/>
  <c r="F1427" i="11"/>
  <c r="H1426" i="11"/>
  <c r="G1426" i="11"/>
  <c r="I1426" i="11" s="1"/>
  <c r="F1426" i="11"/>
  <c r="H1425" i="11"/>
  <c r="G1425" i="11"/>
  <c r="I1425" i="11" s="1"/>
  <c r="F1425" i="11"/>
  <c r="H1424" i="11"/>
  <c r="G1424" i="11"/>
  <c r="I1424" i="11" s="1"/>
  <c r="F1424" i="11"/>
  <c r="H1423" i="11"/>
  <c r="G1423" i="11"/>
  <c r="I1423" i="11" s="1"/>
  <c r="F1423" i="11"/>
  <c r="H1422" i="11"/>
  <c r="G1422" i="11"/>
  <c r="I1422" i="11" s="1"/>
  <c r="F1422" i="11"/>
  <c r="H1421" i="11"/>
  <c r="G1421" i="11"/>
  <c r="I1421" i="11" s="1"/>
  <c r="F1421" i="11"/>
  <c r="H1420" i="11"/>
  <c r="G1420" i="11"/>
  <c r="I1420" i="11" s="1"/>
  <c r="F1420" i="11"/>
  <c r="H1419" i="11"/>
  <c r="G1419" i="11"/>
  <c r="I1419" i="11" s="1"/>
  <c r="F1419" i="11"/>
  <c r="H1418" i="11"/>
  <c r="G1418" i="11"/>
  <c r="I1418" i="11" s="1"/>
  <c r="F1418" i="11"/>
  <c r="H1417" i="11"/>
  <c r="G1417" i="11"/>
  <c r="I1417" i="11" s="1"/>
  <c r="F1417" i="11"/>
  <c r="H1416" i="11"/>
  <c r="G1416" i="11"/>
  <c r="I1416" i="11" s="1"/>
  <c r="F1416" i="11"/>
  <c r="H1415" i="11"/>
  <c r="G1415" i="11"/>
  <c r="I1415" i="11" s="1"/>
  <c r="F1415" i="11"/>
  <c r="H1414" i="11"/>
  <c r="G1414" i="11"/>
  <c r="I1414" i="11" s="1"/>
  <c r="F1414" i="11"/>
  <c r="H1413" i="11"/>
  <c r="G1413" i="11"/>
  <c r="I1413" i="11" s="1"/>
  <c r="F1413" i="11"/>
  <c r="H1412" i="11"/>
  <c r="G1412" i="11"/>
  <c r="I1412" i="11" s="1"/>
  <c r="F1412" i="11"/>
  <c r="H1411" i="11"/>
  <c r="G1411" i="11"/>
  <c r="I1411" i="11" s="1"/>
  <c r="F1411" i="11"/>
  <c r="H1410" i="11"/>
  <c r="G1410" i="11"/>
  <c r="I1410" i="11" s="1"/>
  <c r="F1410" i="11"/>
  <c r="H1409" i="11"/>
  <c r="G1409" i="11"/>
  <c r="I1409" i="11" s="1"/>
  <c r="F1409" i="11"/>
  <c r="H1408" i="11"/>
  <c r="G1408" i="11"/>
  <c r="I1408" i="11" s="1"/>
  <c r="F1408" i="11"/>
  <c r="H1407" i="11"/>
  <c r="G1407" i="11"/>
  <c r="I1407" i="11" s="1"/>
  <c r="F1407" i="11"/>
  <c r="H1406" i="11"/>
  <c r="G1406" i="11"/>
  <c r="I1406" i="11" s="1"/>
  <c r="F1406" i="11"/>
  <c r="H1405" i="11"/>
  <c r="G1405" i="11"/>
  <c r="I1405" i="11" s="1"/>
  <c r="F1405" i="11"/>
  <c r="H1404" i="11"/>
  <c r="G1404" i="11"/>
  <c r="I1404" i="11" s="1"/>
  <c r="F1404" i="11"/>
  <c r="H1403" i="11"/>
  <c r="G1403" i="11"/>
  <c r="I1403" i="11" s="1"/>
  <c r="F1403" i="11"/>
  <c r="H1402" i="11"/>
  <c r="G1402" i="11"/>
  <c r="I1402" i="11" s="1"/>
  <c r="F1402" i="11"/>
  <c r="H1401" i="11"/>
  <c r="G1401" i="11"/>
  <c r="I1401" i="11" s="1"/>
  <c r="F1401" i="11"/>
  <c r="H1400" i="11"/>
  <c r="G1400" i="11"/>
  <c r="I1400" i="11" s="1"/>
  <c r="F1400" i="11"/>
  <c r="H1399" i="11"/>
  <c r="G1399" i="11"/>
  <c r="I1399" i="11" s="1"/>
  <c r="F1399" i="11"/>
  <c r="H1398" i="11"/>
  <c r="G1398" i="11"/>
  <c r="I1398" i="11" s="1"/>
  <c r="F1398" i="11"/>
  <c r="H1397" i="11"/>
  <c r="G1397" i="11"/>
  <c r="I1397" i="11" s="1"/>
  <c r="F1397" i="11"/>
  <c r="H1396" i="11"/>
  <c r="G1396" i="11"/>
  <c r="I1396" i="11" s="1"/>
  <c r="F1396" i="11"/>
  <c r="H1395" i="11"/>
  <c r="G1395" i="11"/>
  <c r="I1395" i="11" s="1"/>
  <c r="F1395" i="11"/>
  <c r="H1394" i="11"/>
  <c r="G1394" i="11"/>
  <c r="I1394" i="11" s="1"/>
  <c r="F1394" i="11"/>
  <c r="H1393" i="11"/>
  <c r="G1393" i="11"/>
  <c r="I1393" i="11" s="1"/>
  <c r="F1393" i="11"/>
  <c r="H1392" i="11"/>
  <c r="G1392" i="11"/>
  <c r="I1392" i="11" s="1"/>
  <c r="F1392" i="11"/>
  <c r="H1391" i="11"/>
  <c r="G1391" i="11"/>
  <c r="I1391" i="11" s="1"/>
  <c r="F1391" i="11"/>
  <c r="H1390" i="11"/>
  <c r="G1390" i="11"/>
  <c r="I1390" i="11" s="1"/>
  <c r="F1390" i="11"/>
  <c r="H1389" i="11"/>
  <c r="G1389" i="11"/>
  <c r="I1389" i="11" s="1"/>
  <c r="F1389" i="11"/>
  <c r="H1388" i="11"/>
  <c r="G1388" i="11"/>
  <c r="I1388" i="11" s="1"/>
  <c r="F1388" i="11"/>
  <c r="H1387" i="11"/>
  <c r="G1387" i="11"/>
  <c r="I1387" i="11" s="1"/>
  <c r="F1387" i="11"/>
  <c r="H1386" i="11"/>
  <c r="G1386" i="11"/>
  <c r="I1386" i="11" s="1"/>
  <c r="F1386" i="11"/>
  <c r="H1385" i="11"/>
  <c r="G1385" i="11"/>
  <c r="I1385" i="11" s="1"/>
  <c r="F1385" i="11"/>
  <c r="H1384" i="11"/>
  <c r="G1384" i="11"/>
  <c r="I1384" i="11" s="1"/>
  <c r="F1384" i="11"/>
  <c r="H1383" i="11"/>
  <c r="G1383" i="11"/>
  <c r="I1383" i="11" s="1"/>
  <c r="F1383" i="11"/>
  <c r="H1382" i="11"/>
  <c r="G1382" i="11"/>
  <c r="I1382" i="11" s="1"/>
  <c r="F1382" i="11"/>
  <c r="H1381" i="11"/>
  <c r="G1381" i="11"/>
  <c r="I1381" i="11" s="1"/>
  <c r="F1381" i="11"/>
  <c r="H1380" i="11"/>
  <c r="G1380" i="11"/>
  <c r="I1380" i="11" s="1"/>
  <c r="F1380" i="11"/>
  <c r="H1379" i="11"/>
  <c r="G1379" i="11"/>
  <c r="I1379" i="11" s="1"/>
  <c r="F1379" i="11"/>
  <c r="H1378" i="11"/>
  <c r="G1378" i="11"/>
  <c r="I1378" i="11" s="1"/>
  <c r="F1378" i="11"/>
  <c r="H1377" i="11"/>
  <c r="G1377" i="11"/>
  <c r="I1377" i="11" s="1"/>
  <c r="F1377" i="11"/>
  <c r="H1376" i="11"/>
  <c r="G1376" i="11"/>
  <c r="I1376" i="11" s="1"/>
  <c r="F1376" i="11"/>
  <c r="H1375" i="11"/>
  <c r="G1375" i="11"/>
  <c r="I1375" i="11" s="1"/>
  <c r="F1375" i="11"/>
  <c r="H1374" i="11"/>
  <c r="G1374" i="11"/>
  <c r="I1374" i="11" s="1"/>
  <c r="F1374" i="11"/>
  <c r="H1373" i="11"/>
  <c r="G1373" i="11"/>
  <c r="I1373" i="11" s="1"/>
  <c r="F1373" i="11"/>
  <c r="H1372" i="11"/>
  <c r="G1372" i="11"/>
  <c r="I1372" i="11" s="1"/>
  <c r="F1372" i="11"/>
  <c r="H1371" i="11"/>
  <c r="G1371" i="11"/>
  <c r="I1371" i="11" s="1"/>
  <c r="F1371" i="11"/>
  <c r="H1370" i="11"/>
  <c r="G1370" i="11"/>
  <c r="I1370" i="11" s="1"/>
  <c r="F1370" i="11"/>
  <c r="H1369" i="11"/>
  <c r="G1369" i="11"/>
  <c r="I1369" i="11" s="1"/>
  <c r="F1369" i="11"/>
  <c r="H1368" i="11"/>
  <c r="G1368" i="11"/>
  <c r="I1368" i="11" s="1"/>
  <c r="F1368" i="11"/>
  <c r="H1367" i="11"/>
  <c r="G1367" i="11"/>
  <c r="I1367" i="11" s="1"/>
  <c r="F1367" i="11"/>
  <c r="H1366" i="11"/>
  <c r="G1366" i="11"/>
  <c r="I1366" i="11" s="1"/>
  <c r="F1366" i="11"/>
  <c r="H1365" i="11"/>
  <c r="G1365" i="11"/>
  <c r="I1365" i="11" s="1"/>
  <c r="F1365" i="11"/>
  <c r="H1364" i="11"/>
  <c r="G1364" i="11"/>
  <c r="I1364" i="11" s="1"/>
  <c r="F1364" i="11"/>
  <c r="H1363" i="11"/>
  <c r="G1363" i="11"/>
  <c r="I1363" i="11" s="1"/>
  <c r="F1363" i="11"/>
  <c r="H1362" i="11"/>
  <c r="G1362" i="11"/>
  <c r="I1362" i="11" s="1"/>
  <c r="F1362" i="11"/>
  <c r="H1361" i="11"/>
  <c r="G1361" i="11"/>
  <c r="I1361" i="11" s="1"/>
  <c r="F1361" i="11"/>
  <c r="H1360" i="11"/>
  <c r="G1360" i="11"/>
  <c r="I1360" i="11" s="1"/>
  <c r="F1360" i="11"/>
  <c r="H1359" i="11"/>
  <c r="G1359" i="11"/>
  <c r="I1359" i="11" s="1"/>
  <c r="F1359" i="11"/>
  <c r="H1358" i="11"/>
  <c r="G1358" i="11"/>
  <c r="I1358" i="11" s="1"/>
  <c r="F1358" i="11"/>
  <c r="H1357" i="11"/>
  <c r="G1357" i="11"/>
  <c r="I1357" i="11" s="1"/>
  <c r="F1357" i="11"/>
  <c r="H1356" i="11"/>
  <c r="G1356" i="11"/>
  <c r="I1356" i="11" s="1"/>
  <c r="F1356" i="11"/>
  <c r="H1355" i="11"/>
  <c r="G1355" i="11"/>
  <c r="I1355" i="11" s="1"/>
  <c r="F1355" i="11"/>
  <c r="H1354" i="11"/>
  <c r="G1354" i="11"/>
  <c r="I1354" i="11" s="1"/>
  <c r="F1354" i="11"/>
  <c r="H1353" i="11"/>
  <c r="G1353" i="11"/>
  <c r="I1353" i="11" s="1"/>
  <c r="F1353" i="11"/>
  <c r="H1352" i="11"/>
  <c r="G1352" i="11"/>
  <c r="I1352" i="11" s="1"/>
  <c r="F1352" i="11"/>
  <c r="H1351" i="11"/>
  <c r="G1351" i="11"/>
  <c r="I1351" i="11" s="1"/>
  <c r="F1351" i="11"/>
  <c r="H1350" i="11"/>
  <c r="G1350" i="11"/>
  <c r="I1350" i="11" s="1"/>
  <c r="F1350" i="11"/>
  <c r="H1349" i="11"/>
  <c r="G1349" i="11"/>
  <c r="I1349" i="11" s="1"/>
  <c r="F1349" i="11"/>
  <c r="H1348" i="11"/>
  <c r="G1348" i="11"/>
  <c r="I1348" i="11" s="1"/>
  <c r="F1348" i="11"/>
  <c r="H1347" i="11"/>
  <c r="G1347" i="11"/>
  <c r="I1347" i="11" s="1"/>
  <c r="F1347" i="11"/>
  <c r="H1346" i="11"/>
  <c r="G1346" i="11"/>
  <c r="I1346" i="11" s="1"/>
  <c r="F1346" i="11"/>
  <c r="H1345" i="11"/>
  <c r="G1345" i="11"/>
  <c r="I1345" i="11" s="1"/>
  <c r="F1345" i="11"/>
  <c r="H1344" i="11"/>
  <c r="G1344" i="11"/>
  <c r="I1344" i="11" s="1"/>
  <c r="F1344" i="11"/>
  <c r="H1343" i="11"/>
  <c r="G1343" i="11"/>
  <c r="I1343" i="11" s="1"/>
  <c r="F1343" i="11"/>
  <c r="H1342" i="11"/>
  <c r="G1342" i="11"/>
  <c r="I1342" i="11" s="1"/>
  <c r="F1342" i="11"/>
  <c r="H1341" i="11"/>
  <c r="G1341" i="11"/>
  <c r="I1341" i="11" s="1"/>
  <c r="F1341" i="11"/>
  <c r="H1340" i="11"/>
  <c r="G1340" i="11"/>
  <c r="I1340" i="11" s="1"/>
  <c r="F1340" i="11"/>
  <c r="H1339" i="11"/>
  <c r="G1339" i="11"/>
  <c r="I1339" i="11" s="1"/>
  <c r="F1339" i="11"/>
  <c r="H1338" i="11"/>
  <c r="G1338" i="11"/>
  <c r="I1338" i="11" s="1"/>
  <c r="F1338" i="11"/>
  <c r="H1337" i="11"/>
  <c r="G1337" i="11"/>
  <c r="I1337" i="11" s="1"/>
  <c r="F1337" i="11"/>
  <c r="H1336" i="11"/>
  <c r="G1336" i="11"/>
  <c r="I1336" i="11" s="1"/>
  <c r="F1336" i="11"/>
  <c r="H1335" i="11"/>
  <c r="G1335" i="11"/>
  <c r="I1335" i="11" s="1"/>
  <c r="F1335" i="11"/>
  <c r="H1334" i="11"/>
  <c r="G1334" i="11"/>
  <c r="I1334" i="11" s="1"/>
  <c r="F1334" i="11"/>
  <c r="H1333" i="11"/>
  <c r="G1333" i="11"/>
  <c r="I1333" i="11" s="1"/>
  <c r="F1333" i="11"/>
  <c r="H1332" i="11"/>
  <c r="G1332" i="11"/>
  <c r="I1332" i="11" s="1"/>
  <c r="F1332" i="11"/>
  <c r="H1331" i="11"/>
  <c r="G1331" i="11"/>
  <c r="I1331" i="11" s="1"/>
  <c r="F1331" i="11"/>
  <c r="H1330" i="11"/>
  <c r="G1330" i="11"/>
  <c r="I1330" i="11" s="1"/>
  <c r="F1330" i="11"/>
  <c r="H1329" i="11"/>
  <c r="G1329" i="11"/>
  <c r="I1329" i="11" s="1"/>
  <c r="F1329" i="11"/>
  <c r="H1328" i="11"/>
  <c r="G1328" i="11"/>
  <c r="I1328" i="11" s="1"/>
  <c r="F1328" i="11"/>
  <c r="H1327" i="11"/>
  <c r="G1327" i="11"/>
  <c r="I1327" i="11" s="1"/>
  <c r="F1327" i="11"/>
  <c r="H1326" i="11"/>
  <c r="G1326" i="11"/>
  <c r="I1326" i="11" s="1"/>
  <c r="F1326" i="11"/>
  <c r="H1325" i="11"/>
  <c r="G1325" i="11"/>
  <c r="I1325" i="11" s="1"/>
  <c r="F1325" i="11"/>
  <c r="H1324" i="11"/>
  <c r="G1324" i="11"/>
  <c r="I1324" i="11" s="1"/>
  <c r="F1324" i="11"/>
  <c r="H1323" i="11"/>
  <c r="G1323" i="11"/>
  <c r="I1323" i="11" s="1"/>
  <c r="F1323" i="11"/>
  <c r="H1322" i="11"/>
  <c r="G1322" i="11"/>
  <c r="I1322" i="11" s="1"/>
  <c r="F1322" i="11"/>
  <c r="H1321" i="11"/>
  <c r="G1321" i="11"/>
  <c r="I1321" i="11" s="1"/>
  <c r="F1321" i="11"/>
  <c r="H1320" i="11"/>
  <c r="G1320" i="11"/>
  <c r="I1320" i="11" s="1"/>
  <c r="F1320" i="11"/>
  <c r="H1319" i="11"/>
  <c r="G1319" i="11"/>
  <c r="I1319" i="11" s="1"/>
  <c r="F1319" i="11"/>
  <c r="H1318" i="11"/>
  <c r="G1318" i="11"/>
  <c r="I1318" i="11" s="1"/>
  <c r="F1318" i="11"/>
  <c r="H1317" i="11"/>
  <c r="G1317" i="11"/>
  <c r="I1317" i="11" s="1"/>
  <c r="F1317" i="11"/>
  <c r="H1316" i="11"/>
  <c r="G1316" i="11"/>
  <c r="I1316" i="11" s="1"/>
  <c r="F1316" i="11"/>
  <c r="H1315" i="11"/>
  <c r="G1315" i="11"/>
  <c r="I1315" i="11" s="1"/>
  <c r="F1315" i="11"/>
  <c r="H1314" i="11"/>
  <c r="G1314" i="11"/>
  <c r="I1314" i="11" s="1"/>
  <c r="F1314" i="11"/>
  <c r="H1313" i="11"/>
  <c r="G1313" i="11"/>
  <c r="I1313" i="11" s="1"/>
  <c r="F1313" i="11"/>
  <c r="H1312" i="11"/>
  <c r="G1312" i="11"/>
  <c r="I1312" i="11" s="1"/>
  <c r="F1312" i="11"/>
  <c r="H1311" i="11"/>
  <c r="G1311" i="11"/>
  <c r="I1311" i="11" s="1"/>
  <c r="F1311" i="11"/>
  <c r="H1310" i="11"/>
  <c r="G1310" i="11"/>
  <c r="I1310" i="11" s="1"/>
  <c r="F1310" i="11"/>
  <c r="H1309" i="11"/>
  <c r="G1309" i="11"/>
  <c r="I1309" i="11" s="1"/>
  <c r="F1309" i="11"/>
  <c r="H1308" i="11"/>
  <c r="G1308" i="11"/>
  <c r="I1308" i="11" s="1"/>
  <c r="F1308" i="11"/>
  <c r="H1307" i="11"/>
  <c r="G1307" i="11"/>
  <c r="I1307" i="11" s="1"/>
  <c r="F1307" i="11"/>
  <c r="H1306" i="11"/>
  <c r="G1306" i="11"/>
  <c r="I1306" i="11" s="1"/>
  <c r="F1306" i="11"/>
  <c r="H1305" i="11"/>
  <c r="G1305" i="11"/>
  <c r="I1305" i="11" s="1"/>
  <c r="F1305" i="11"/>
  <c r="H1304" i="11"/>
  <c r="G1304" i="11"/>
  <c r="I1304" i="11" s="1"/>
  <c r="F1304" i="11"/>
  <c r="H1303" i="11"/>
  <c r="G1303" i="11"/>
  <c r="I1303" i="11" s="1"/>
  <c r="F1303" i="11"/>
  <c r="H1302" i="11"/>
  <c r="G1302" i="11"/>
  <c r="I1302" i="11" s="1"/>
  <c r="F1302" i="11"/>
  <c r="H1301" i="11"/>
  <c r="G1301" i="11"/>
  <c r="I1301" i="11" s="1"/>
  <c r="F1301" i="11"/>
  <c r="H1300" i="11"/>
  <c r="G1300" i="11"/>
  <c r="I1300" i="11" s="1"/>
  <c r="F1300" i="11"/>
  <c r="H1299" i="11"/>
  <c r="G1299" i="11"/>
  <c r="I1299" i="11" s="1"/>
  <c r="F1299" i="11"/>
  <c r="H1298" i="11"/>
  <c r="G1298" i="11"/>
  <c r="I1298" i="11" s="1"/>
  <c r="F1298" i="11"/>
  <c r="H1297" i="11"/>
  <c r="G1297" i="11"/>
  <c r="I1297" i="11" s="1"/>
  <c r="F1297" i="11"/>
  <c r="H1296" i="11"/>
  <c r="G1296" i="11"/>
  <c r="I1296" i="11" s="1"/>
  <c r="F1296" i="11"/>
  <c r="H1295" i="11"/>
  <c r="G1295" i="11"/>
  <c r="I1295" i="11" s="1"/>
  <c r="F1295" i="11"/>
  <c r="H1294" i="11"/>
  <c r="G1294" i="11"/>
  <c r="I1294" i="11" s="1"/>
  <c r="F1294" i="11"/>
  <c r="H1293" i="11"/>
  <c r="G1293" i="11"/>
  <c r="I1293" i="11" s="1"/>
  <c r="F1293" i="11"/>
  <c r="H1292" i="11"/>
  <c r="G1292" i="11"/>
  <c r="I1292" i="11" s="1"/>
  <c r="F1292" i="11"/>
  <c r="H1291" i="11"/>
  <c r="G1291" i="11"/>
  <c r="I1291" i="11" s="1"/>
  <c r="F1291" i="11"/>
  <c r="H1290" i="11"/>
  <c r="G1290" i="11"/>
  <c r="I1290" i="11" s="1"/>
  <c r="F1290" i="11"/>
  <c r="H1289" i="11"/>
  <c r="G1289" i="11"/>
  <c r="I1289" i="11" s="1"/>
  <c r="F1289" i="11"/>
  <c r="H1288" i="11"/>
  <c r="G1288" i="11"/>
  <c r="I1288" i="11" s="1"/>
  <c r="F1288" i="11"/>
  <c r="H1287" i="11"/>
  <c r="G1287" i="11"/>
  <c r="I1287" i="11" s="1"/>
  <c r="F1287" i="11"/>
  <c r="H1286" i="11"/>
  <c r="G1286" i="11"/>
  <c r="I1286" i="11" s="1"/>
  <c r="F1286" i="11"/>
  <c r="H1285" i="11"/>
  <c r="G1285" i="11"/>
  <c r="I1285" i="11" s="1"/>
  <c r="F1285" i="11"/>
  <c r="H1284" i="11"/>
  <c r="G1284" i="11"/>
  <c r="I1284" i="11" s="1"/>
  <c r="F1284" i="11"/>
  <c r="H1283" i="11"/>
  <c r="G1283" i="11"/>
  <c r="I1283" i="11" s="1"/>
  <c r="F1283" i="11"/>
  <c r="H1282" i="11"/>
  <c r="G1282" i="11"/>
  <c r="I1282" i="11" s="1"/>
  <c r="F1282" i="11"/>
  <c r="H1281" i="11"/>
  <c r="G1281" i="11"/>
  <c r="I1281" i="11" s="1"/>
  <c r="F1281" i="11"/>
  <c r="H1280" i="11"/>
  <c r="G1280" i="11"/>
  <c r="I1280" i="11" s="1"/>
  <c r="F1280" i="11"/>
  <c r="H1279" i="11"/>
  <c r="G1279" i="11"/>
  <c r="I1279" i="11" s="1"/>
  <c r="F1279" i="11"/>
  <c r="H1278" i="11"/>
  <c r="G1278" i="11"/>
  <c r="I1278" i="11" s="1"/>
  <c r="F1278" i="11"/>
  <c r="H1277" i="11"/>
  <c r="G1277" i="11"/>
  <c r="I1277" i="11" s="1"/>
  <c r="F1277" i="11"/>
  <c r="H1276" i="11"/>
  <c r="G1276" i="11"/>
  <c r="I1276" i="11" s="1"/>
  <c r="F1276" i="11"/>
  <c r="H1275" i="11"/>
  <c r="G1275" i="11"/>
  <c r="I1275" i="11" s="1"/>
  <c r="F1275" i="11"/>
  <c r="H1274" i="11"/>
  <c r="G1274" i="11"/>
  <c r="I1274" i="11" s="1"/>
  <c r="F1274" i="11"/>
  <c r="H1273" i="11"/>
  <c r="G1273" i="11"/>
  <c r="I1273" i="11" s="1"/>
  <c r="F1273" i="11"/>
  <c r="H1272" i="11"/>
  <c r="G1272" i="11"/>
  <c r="I1272" i="11" s="1"/>
  <c r="F1272" i="11"/>
  <c r="H1271" i="11"/>
  <c r="G1271" i="11"/>
  <c r="I1271" i="11" s="1"/>
  <c r="F1271" i="11"/>
  <c r="H1270" i="11"/>
  <c r="G1270" i="11"/>
  <c r="I1270" i="11" s="1"/>
  <c r="F1270" i="11"/>
  <c r="H1269" i="11"/>
  <c r="G1269" i="11"/>
  <c r="I1269" i="11" s="1"/>
  <c r="F1269" i="11"/>
  <c r="H1268" i="11"/>
  <c r="G1268" i="11"/>
  <c r="I1268" i="11" s="1"/>
  <c r="F1268" i="11"/>
  <c r="H1267" i="11"/>
  <c r="G1267" i="11"/>
  <c r="I1267" i="11" s="1"/>
  <c r="F1267" i="11"/>
  <c r="H1266" i="11"/>
  <c r="G1266" i="11"/>
  <c r="I1266" i="11" s="1"/>
  <c r="F1266" i="11"/>
  <c r="H1265" i="11"/>
  <c r="G1265" i="11"/>
  <c r="I1265" i="11" s="1"/>
  <c r="F1265" i="11"/>
  <c r="H1264" i="11"/>
  <c r="G1264" i="11"/>
  <c r="I1264" i="11" s="1"/>
  <c r="F1264" i="11"/>
  <c r="H1263" i="11"/>
  <c r="G1263" i="11"/>
  <c r="I1263" i="11" s="1"/>
  <c r="F1263" i="11"/>
  <c r="H1262" i="11"/>
  <c r="G1262" i="11"/>
  <c r="I1262" i="11" s="1"/>
  <c r="F1262" i="11"/>
  <c r="H1261" i="11"/>
  <c r="G1261" i="11"/>
  <c r="I1261" i="11" s="1"/>
  <c r="F1261" i="11"/>
  <c r="H1260" i="11"/>
  <c r="G1260" i="11"/>
  <c r="I1260" i="11" s="1"/>
  <c r="F1260" i="11"/>
  <c r="H1259" i="11"/>
  <c r="G1259" i="11"/>
  <c r="I1259" i="11" s="1"/>
  <c r="F1259" i="11"/>
  <c r="H1258" i="11"/>
  <c r="G1258" i="11"/>
  <c r="I1258" i="11" s="1"/>
  <c r="F1258" i="11"/>
  <c r="H1257" i="11"/>
  <c r="G1257" i="11"/>
  <c r="I1257" i="11" s="1"/>
  <c r="F1257" i="11"/>
  <c r="H1256" i="11"/>
  <c r="G1256" i="11"/>
  <c r="I1256" i="11" s="1"/>
  <c r="F1256" i="11"/>
  <c r="H1255" i="11"/>
  <c r="G1255" i="11"/>
  <c r="I1255" i="11" s="1"/>
  <c r="F1255" i="11"/>
  <c r="H1254" i="11"/>
  <c r="G1254" i="11"/>
  <c r="I1254" i="11" s="1"/>
  <c r="F1254" i="11"/>
  <c r="H1253" i="11"/>
  <c r="G1253" i="11"/>
  <c r="I1253" i="11" s="1"/>
  <c r="F1253" i="11"/>
  <c r="H1252" i="11"/>
  <c r="G1252" i="11"/>
  <c r="I1252" i="11" s="1"/>
  <c r="F1252" i="11"/>
  <c r="H1251" i="11"/>
  <c r="G1251" i="11"/>
  <c r="I1251" i="11" s="1"/>
  <c r="F1251" i="11"/>
  <c r="H1250" i="11"/>
  <c r="G1250" i="11"/>
  <c r="I1250" i="11" s="1"/>
  <c r="F1250" i="11"/>
  <c r="H1249" i="11"/>
  <c r="G1249" i="11"/>
  <c r="I1249" i="11" s="1"/>
  <c r="F1249" i="11"/>
  <c r="H1248" i="11"/>
  <c r="G1248" i="11"/>
  <c r="I1248" i="11" s="1"/>
  <c r="F1248" i="11"/>
  <c r="H1247" i="11"/>
  <c r="G1247" i="11"/>
  <c r="I1247" i="11" s="1"/>
  <c r="F1247" i="11"/>
  <c r="H1246" i="11"/>
  <c r="G1246" i="11"/>
  <c r="I1246" i="11" s="1"/>
  <c r="F1246" i="11"/>
  <c r="H1245" i="11"/>
  <c r="G1245" i="11"/>
  <c r="I1245" i="11" s="1"/>
  <c r="F1245" i="11"/>
  <c r="H1244" i="11"/>
  <c r="G1244" i="11"/>
  <c r="I1244" i="11" s="1"/>
  <c r="F1244" i="11"/>
  <c r="H1243" i="11"/>
  <c r="G1243" i="11"/>
  <c r="I1243" i="11" s="1"/>
  <c r="F1243" i="11"/>
  <c r="H1242" i="11"/>
  <c r="G1242" i="11"/>
  <c r="I1242" i="11" s="1"/>
  <c r="F1242" i="11"/>
  <c r="H1241" i="11"/>
  <c r="G1241" i="11"/>
  <c r="I1241" i="11" s="1"/>
  <c r="F1241" i="11"/>
  <c r="H1240" i="11"/>
  <c r="G1240" i="11"/>
  <c r="I1240" i="11" s="1"/>
  <c r="F1240" i="11"/>
  <c r="H1239" i="11"/>
  <c r="G1239" i="11"/>
  <c r="I1239" i="11" s="1"/>
  <c r="F1239" i="11"/>
  <c r="H1238" i="11"/>
  <c r="G1238" i="11"/>
  <c r="I1238" i="11" s="1"/>
  <c r="F1238" i="11"/>
  <c r="H1237" i="11"/>
  <c r="G1237" i="11"/>
  <c r="I1237" i="11" s="1"/>
  <c r="F1237" i="11"/>
  <c r="H1236" i="11"/>
  <c r="G1236" i="11"/>
  <c r="I1236" i="11" s="1"/>
  <c r="F1236" i="11"/>
  <c r="H1235" i="11"/>
  <c r="G1235" i="11"/>
  <c r="I1235" i="11" s="1"/>
  <c r="F1235" i="11"/>
  <c r="H1234" i="11"/>
  <c r="G1234" i="11"/>
  <c r="I1234" i="11" s="1"/>
  <c r="F1234" i="11"/>
  <c r="H1233" i="11"/>
  <c r="G1233" i="11"/>
  <c r="I1233" i="11" s="1"/>
  <c r="F1233" i="11"/>
  <c r="H1232" i="11"/>
  <c r="G1232" i="11"/>
  <c r="I1232" i="11" s="1"/>
  <c r="F1232" i="11"/>
  <c r="H1231" i="11"/>
  <c r="G1231" i="11"/>
  <c r="I1231" i="11" s="1"/>
  <c r="F1231" i="11"/>
  <c r="H1230" i="11"/>
  <c r="G1230" i="11"/>
  <c r="I1230" i="11" s="1"/>
  <c r="F1230" i="11"/>
  <c r="H1229" i="11"/>
  <c r="G1229" i="11"/>
  <c r="I1229" i="11" s="1"/>
  <c r="F1229" i="11"/>
  <c r="H1228" i="11"/>
  <c r="G1228" i="11"/>
  <c r="I1228" i="11" s="1"/>
  <c r="F1228" i="11"/>
  <c r="H1227" i="11"/>
  <c r="G1227" i="11"/>
  <c r="I1227" i="11" s="1"/>
  <c r="F1227" i="11"/>
  <c r="H1226" i="11"/>
  <c r="G1226" i="11"/>
  <c r="I1226" i="11" s="1"/>
  <c r="F1226" i="11"/>
  <c r="H1225" i="11"/>
  <c r="G1225" i="11"/>
  <c r="I1225" i="11" s="1"/>
  <c r="F1225" i="11"/>
  <c r="H1224" i="11"/>
  <c r="G1224" i="11"/>
  <c r="I1224" i="11" s="1"/>
  <c r="F1224" i="11"/>
  <c r="H1223" i="11"/>
  <c r="G1223" i="11"/>
  <c r="I1223" i="11" s="1"/>
  <c r="F1223" i="11"/>
  <c r="H1222" i="11"/>
  <c r="G1222" i="11"/>
  <c r="I1222" i="11" s="1"/>
  <c r="F1222" i="11"/>
  <c r="H1221" i="11"/>
  <c r="G1221" i="11"/>
  <c r="I1221" i="11" s="1"/>
  <c r="F1221" i="11"/>
  <c r="H1220" i="11"/>
  <c r="G1220" i="11"/>
  <c r="I1220" i="11" s="1"/>
  <c r="F1220" i="11"/>
  <c r="H1219" i="11"/>
  <c r="G1219" i="11"/>
  <c r="I1219" i="11" s="1"/>
  <c r="F1219" i="11"/>
  <c r="H1218" i="11"/>
  <c r="G1218" i="11"/>
  <c r="I1218" i="11" s="1"/>
  <c r="F1218" i="11"/>
  <c r="H1217" i="11"/>
  <c r="G1217" i="11"/>
  <c r="I1217" i="11" s="1"/>
  <c r="F1217" i="11"/>
  <c r="H1216" i="11"/>
  <c r="G1216" i="11"/>
  <c r="I1216" i="11" s="1"/>
  <c r="F1216" i="11"/>
  <c r="H1215" i="11"/>
  <c r="G1215" i="11"/>
  <c r="I1215" i="11" s="1"/>
  <c r="F1215" i="11"/>
  <c r="H1214" i="11"/>
  <c r="G1214" i="11"/>
  <c r="I1214" i="11" s="1"/>
  <c r="F1214" i="11"/>
  <c r="H1213" i="11"/>
  <c r="G1213" i="11"/>
  <c r="I1213" i="11" s="1"/>
  <c r="F1213" i="11"/>
  <c r="H1212" i="11"/>
  <c r="G1212" i="11"/>
  <c r="I1212" i="11" s="1"/>
  <c r="F1212" i="11"/>
  <c r="H1211" i="11"/>
  <c r="G1211" i="11"/>
  <c r="I1211" i="11" s="1"/>
  <c r="F1211" i="11"/>
  <c r="H1210" i="11"/>
  <c r="G1210" i="11"/>
  <c r="I1210" i="11" s="1"/>
  <c r="F1210" i="11"/>
  <c r="H1209" i="11"/>
  <c r="G1209" i="11"/>
  <c r="I1209" i="11" s="1"/>
  <c r="F1209" i="11"/>
  <c r="H1208" i="11"/>
  <c r="G1208" i="11"/>
  <c r="I1208" i="11" s="1"/>
  <c r="F1208" i="11"/>
  <c r="H1207" i="11"/>
  <c r="G1207" i="11"/>
  <c r="I1207" i="11" s="1"/>
  <c r="F1207" i="11"/>
  <c r="H1206" i="11"/>
  <c r="G1206" i="11"/>
  <c r="I1206" i="11" s="1"/>
  <c r="F1206" i="11"/>
  <c r="H1205" i="11"/>
  <c r="G1205" i="11"/>
  <c r="I1205" i="11" s="1"/>
  <c r="F1205" i="11"/>
  <c r="H1204" i="11"/>
  <c r="G1204" i="11"/>
  <c r="I1204" i="11" s="1"/>
  <c r="F1204" i="11"/>
  <c r="H1203" i="11"/>
  <c r="G1203" i="11"/>
  <c r="I1203" i="11" s="1"/>
  <c r="F1203" i="11"/>
  <c r="H1202" i="11"/>
  <c r="G1202" i="11"/>
  <c r="I1202" i="11" s="1"/>
  <c r="F1202" i="11"/>
  <c r="H1201" i="11"/>
  <c r="G1201" i="11"/>
  <c r="I1201" i="11" s="1"/>
  <c r="F1201" i="11"/>
  <c r="H1200" i="11"/>
  <c r="G1200" i="11"/>
  <c r="I1200" i="11" s="1"/>
  <c r="F1200" i="11"/>
  <c r="H1199" i="11"/>
  <c r="G1199" i="11"/>
  <c r="I1199" i="11" s="1"/>
  <c r="F1199" i="11"/>
  <c r="H1198" i="11"/>
  <c r="G1198" i="11"/>
  <c r="I1198" i="11" s="1"/>
  <c r="F1198" i="11"/>
  <c r="H1197" i="11"/>
  <c r="G1197" i="11"/>
  <c r="I1197" i="11" s="1"/>
  <c r="F1197" i="11"/>
  <c r="H1196" i="11"/>
  <c r="G1196" i="11"/>
  <c r="I1196" i="11" s="1"/>
  <c r="F1196" i="11"/>
  <c r="H1195" i="11"/>
  <c r="G1195" i="11"/>
  <c r="I1195" i="11" s="1"/>
  <c r="F1195" i="11"/>
  <c r="H1194" i="11"/>
  <c r="G1194" i="11"/>
  <c r="I1194" i="11" s="1"/>
  <c r="F1194" i="11"/>
  <c r="H1193" i="11"/>
  <c r="G1193" i="11"/>
  <c r="I1193" i="11" s="1"/>
  <c r="F1193" i="11"/>
  <c r="H1192" i="11"/>
  <c r="G1192" i="11"/>
  <c r="I1192" i="11" s="1"/>
  <c r="F1192" i="11"/>
  <c r="H1191" i="11"/>
  <c r="G1191" i="11"/>
  <c r="I1191" i="11" s="1"/>
  <c r="F1191" i="11"/>
  <c r="H1190" i="11"/>
  <c r="G1190" i="11"/>
  <c r="I1190" i="11" s="1"/>
  <c r="F1190" i="11"/>
  <c r="H1189" i="11"/>
  <c r="G1189" i="11"/>
  <c r="I1189" i="11" s="1"/>
  <c r="F1189" i="11"/>
  <c r="H1188" i="11"/>
  <c r="G1188" i="11"/>
  <c r="I1188" i="11" s="1"/>
  <c r="F1188" i="11"/>
  <c r="H1187" i="11"/>
  <c r="G1187" i="11"/>
  <c r="I1187" i="11" s="1"/>
  <c r="F1187" i="11"/>
  <c r="H1186" i="11"/>
  <c r="G1186" i="11"/>
  <c r="I1186" i="11" s="1"/>
  <c r="F1186" i="11"/>
  <c r="H1185" i="11"/>
  <c r="G1185" i="11"/>
  <c r="I1185" i="11" s="1"/>
  <c r="F1185" i="11"/>
  <c r="H1184" i="11"/>
  <c r="G1184" i="11"/>
  <c r="I1184" i="11" s="1"/>
  <c r="F1184" i="11"/>
  <c r="H1183" i="11"/>
  <c r="G1183" i="11"/>
  <c r="I1183" i="11" s="1"/>
  <c r="F1183" i="11"/>
  <c r="H1182" i="11"/>
  <c r="G1182" i="11"/>
  <c r="I1182" i="11" s="1"/>
  <c r="F1182" i="11"/>
  <c r="H1181" i="11"/>
  <c r="G1181" i="11"/>
  <c r="I1181" i="11" s="1"/>
  <c r="F1181" i="11"/>
  <c r="H1180" i="11"/>
  <c r="G1180" i="11"/>
  <c r="I1180" i="11" s="1"/>
  <c r="F1180" i="11"/>
  <c r="H1179" i="11"/>
  <c r="G1179" i="11"/>
  <c r="I1179" i="11" s="1"/>
  <c r="F1179" i="11"/>
  <c r="H1178" i="11"/>
  <c r="G1178" i="11"/>
  <c r="I1178" i="11" s="1"/>
  <c r="F1178" i="11"/>
  <c r="H1177" i="11"/>
  <c r="G1177" i="11"/>
  <c r="I1177" i="11" s="1"/>
  <c r="F1177" i="11"/>
  <c r="H1176" i="11"/>
  <c r="G1176" i="11"/>
  <c r="I1176" i="11" s="1"/>
  <c r="F1176" i="11"/>
  <c r="H1175" i="11"/>
  <c r="G1175" i="11"/>
  <c r="I1175" i="11" s="1"/>
  <c r="F1175" i="11"/>
  <c r="H1174" i="11"/>
  <c r="G1174" i="11"/>
  <c r="I1174" i="11" s="1"/>
  <c r="F1174" i="11"/>
  <c r="H1173" i="11"/>
  <c r="G1173" i="11"/>
  <c r="I1173" i="11" s="1"/>
  <c r="F1173" i="11"/>
  <c r="H1172" i="11"/>
  <c r="G1172" i="11"/>
  <c r="I1172" i="11" s="1"/>
  <c r="F1172" i="11"/>
  <c r="H1171" i="11"/>
  <c r="G1171" i="11"/>
  <c r="I1171" i="11" s="1"/>
  <c r="F1171" i="11"/>
  <c r="H1170" i="11"/>
  <c r="G1170" i="11"/>
  <c r="I1170" i="11" s="1"/>
  <c r="F1170" i="11"/>
  <c r="H1169" i="11"/>
  <c r="G1169" i="11"/>
  <c r="I1169" i="11" s="1"/>
  <c r="F1169" i="11"/>
  <c r="H1168" i="11"/>
  <c r="G1168" i="11"/>
  <c r="I1168" i="11" s="1"/>
  <c r="F1168" i="11"/>
  <c r="H1167" i="11"/>
  <c r="G1167" i="11"/>
  <c r="I1167" i="11" s="1"/>
  <c r="F1167" i="11"/>
  <c r="H1166" i="11"/>
  <c r="G1166" i="11"/>
  <c r="I1166" i="11" s="1"/>
  <c r="F1166" i="11"/>
  <c r="H1165" i="11"/>
  <c r="G1165" i="11"/>
  <c r="I1165" i="11" s="1"/>
  <c r="F1165" i="11"/>
  <c r="H1164" i="11"/>
  <c r="G1164" i="11"/>
  <c r="I1164" i="11" s="1"/>
  <c r="F1164" i="11"/>
  <c r="H1163" i="11"/>
  <c r="G1163" i="11"/>
  <c r="I1163" i="11" s="1"/>
  <c r="F1163" i="11"/>
  <c r="H1162" i="11"/>
  <c r="G1162" i="11"/>
  <c r="I1162" i="11" s="1"/>
  <c r="F1162" i="11"/>
  <c r="H1161" i="11"/>
  <c r="G1161" i="11"/>
  <c r="I1161" i="11" s="1"/>
  <c r="F1161" i="11"/>
  <c r="H1160" i="11"/>
  <c r="G1160" i="11"/>
  <c r="I1160" i="11" s="1"/>
  <c r="F1160" i="11"/>
  <c r="H1159" i="11"/>
  <c r="G1159" i="11"/>
  <c r="I1159" i="11" s="1"/>
  <c r="F1159" i="11"/>
  <c r="H1158" i="11"/>
  <c r="G1158" i="11"/>
  <c r="I1158" i="11" s="1"/>
  <c r="F1158" i="11"/>
  <c r="H1157" i="11"/>
  <c r="G1157" i="11"/>
  <c r="I1157" i="11" s="1"/>
  <c r="F1157" i="11"/>
  <c r="H1156" i="11"/>
  <c r="G1156" i="11"/>
  <c r="I1156" i="11" s="1"/>
  <c r="F1156" i="11"/>
  <c r="H1155" i="11"/>
  <c r="G1155" i="11"/>
  <c r="I1155" i="11" s="1"/>
  <c r="F1155" i="11"/>
  <c r="H1154" i="11"/>
  <c r="G1154" i="11"/>
  <c r="I1154" i="11" s="1"/>
  <c r="F1154" i="11"/>
  <c r="H1153" i="11"/>
  <c r="G1153" i="11"/>
  <c r="I1153" i="11" s="1"/>
  <c r="F1153" i="11"/>
  <c r="H1152" i="11"/>
  <c r="G1152" i="11"/>
  <c r="I1152" i="11" s="1"/>
  <c r="F1152" i="11"/>
  <c r="H1151" i="11"/>
  <c r="G1151" i="11"/>
  <c r="I1151" i="11" s="1"/>
  <c r="F1151" i="11"/>
  <c r="H1150" i="11"/>
  <c r="G1150" i="11"/>
  <c r="I1150" i="11" s="1"/>
  <c r="F1150" i="11"/>
  <c r="H1149" i="11"/>
  <c r="G1149" i="11"/>
  <c r="I1149" i="11" s="1"/>
  <c r="F1149" i="11"/>
  <c r="H1148" i="11"/>
  <c r="G1148" i="11"/>
  <c r="I1148" i="11" s="1"/>
  <c r="F1148" i="11"/>
  <c r="H1147" i="11"/>
  <c r="G1147" i="11"/>
  <c r="I1147" i="11" s="1"/>
  <c r="F1147" i="11"/>
  <c r="H1146" i="11"/>
  <c r="G1146" i="11"/>
  <c r="I1146" i="11" s="1"/>
  <c r="F1146" i="11"/>
  <c r="H1145" i="11"/>
  <c r="G1145" i="11"/>
  <c r="I1145" i="11" s="1"/>
  <c r="F1145" i="11"/>
  <c r="H1144" i="11"/>
  <c r="G1144" i="11"/>
  <c r="I1144" i="11" s="1"/>
  <c r="F1144" i="11"/>
  <c r="H1143" i="11"/>
  <c r="G1143" i="11"/>
  <c r="I1143" i="11" s="1"/>
  <c r="F1143" i="11"/>
  <c r="H1142" i="11"/>
  <c r="G1142" i="11"/>
  <c r="I1142" i="11" s="1"/>
  <c r="F1142" i="11"/>
  <c r="H1141" i="11"/>
  <c r="G1141" i="11"/>
  <c r="I1141" i="11" s="1"/>
  <c r="F1141" i="11"/>
  <c r="H1140" i="11"/>
  <c r="G1140" i="11"/>
  <c r="I1140" i="11" s="1"/>
  <c r="F1140" i="11"/>
  <c r="H1139" i="11"/>
  <c r="G1139" i="11"/>
  <c r="I1139" i="11" s="1"/>
  <c r="F1139" i="11"/>
  <c r="H1138" i="11"/>
  <c r="G1138" i="11"/>
  <c r="I1138" i="11" s="1"/>
  <c r="F1138" i="11"/>
  <c r="H1137" i="11"/>
  <c r="G1137" i="11"/>
  <c r="I1137" i="11" s="1"/>
  <c r="F1137" i="11"/>
  <c r="H1136" i="11"/>
  <c r="G1136" i="11"/>
  <c r="I1136" i="11" s="1"/>
  <c r="F1136" i="11"/>
  <c r="H1135" i="11"/>
  <c r="G1135" i="11"/>
  <c r="I1135" i="11" s="1"/>
  <c r="F1135" i="11"/>
  <c r="H1134" i="11"/>
  <c r="G1134" i="11"/>
  <c r="I1134" i="11" s="1"/>
  <c r="F1134" i="11"/>
  <c r="H1133" i="11"/>
  <c r="G1133" i="11"/>
  <c r="I1133" i="11" s="1"/>
  <c r="F1133" i="11"/>
  <c r="H1132" i="11"/>
  <c r="G1132" i="11"/>
  <c r="I1132" i="11" s="1"/>
  <c r="F1132" i="11"/>
  <c r="H1131" i="11"/>
  <c r="G1131" i="11"/>
  <c r="I1131" i="11" s="1"/>
  <c r="F1131" i="11"/>
  <c r="H1130" i="11"/>
  <c r="G1130" i="11"/>
  <c r="I1130" i="11" s="1"/>
  <c r="F1130" i="11"/>
  <c r="H1129" i="11"/>
  <c r="G1129" i="11"/>
  <c r="I1129" i="11" s="1"/>
  <c r="F1129" i="11"/>
  <c r="H1128" i="11"/>
  <c r="G1128" i="11"/>
  <c r="I1128" i="11" s="1"/>
  <c r="F1128" i="11"/>
  <c r="H1127" i="11"/>
  <c r="G1127" i="11"/>
  <c r="I1127" i="11" s="1"/>
  <c r="F1127" i="11"/>
  <c r="H1126" i="11"/>
  <c r="G1126" i="11"/>
  <c r="I1126" i="11" s="1"/>
  <c r="F1126" i="11"/>
  <c r="H1125" i="11"/>
  <c r="G1125" i="11"/>
  <c r="I1125" i="11" s="1"/>
  <c r="F1125" i="11"/>
  <c r="H1124" i="11"/>
  <c r="G1124" i="11"/>
  <c r="I1124" i="11" s="1"/>
  <c r="F1124" i="11"/>
  <c r="H1123" i="11"/>
  <c r="G1123" i="11"/>
  <c r="I1123" i="11" s="1"/>
  <c r="F1123" i="11"/>
  <c r="H1122" i="11"/>
  <c r="G1122" i="11"/>
  <c r="I1122" i="11" s="1"/>
  <c r="F1122" i="11"/>
  <c r="H1121" i="11"/>
  <c r="G1121" i="11"/>
  <c r="I1121" i="11" s="1"/>
  <c r="F1121" i="11"/>
  <c r="H1120" i="11"/>
  <c r="G1120" i="11"/>
  <c r="I1120" i="11" s="1"/>
  <c r="F1120" i="11"/>
  <c r="H1119" i="11"/>
  <c r="G1119" i="11"/>
  <c r="I1119" i="11" s="1"/>
  <c r="F1119" i="11"/>
  <c r="H1118" i="11"/>
  <c r="G1118" i="11"/>
  <c r="I1118" i="11" s="1"/>
  <c r="F1118" i="11"/>
  <c r="H1117" i="11"/>
  <c r="G1117" i="11"/>
  <c r="I1117" i="11" s="1"/>
  <c r="F1117" i="11"/>
  <c r="H1116" i="11"/>
  <c r="G1116" i="11"/>
  <c r="I1116" i="11" s="1"/>
  <c r="F1116" i="11"/>
  <c r="H1115" i="11"/>
  <c r="G1115" i="11"/>
  <c r="I1115" i="11" s="1"/>
  <c r="F1115" i="11"/>
  <c r="H1114" i="11"/>
  <c r="G1114" i="11"/>
  <c r="I1114" i="11" s="1"/>
  <c r="F1114" i="11"/>
  <c r="H1113" i="11"/>
  <c r="G1113" i="11"/>
  <c r="I1113" i="11" s="1"/>
  <c r="F1113" i="11"/>
  <c r="H1112" i="11"/>
  <c r="G1112" i="11"/>
  <c r="I1112" i="11" s="1"/>
  <c r="F1112" i="11"/>
  <c r="H1111" i="11"/>
  <c r="G1111" i="11"/>
  <c r="I1111" i="11" s="1"/>
  <c r="F1111" i="11"/>
  <c r="H1110" i="11"/>
  <c r="G1110" i="11"/>
  <c r="I1110" i="11" s="1"/>
  <c r="F1110" i="11"/>
  <c r="H1109" i="11"/>
  <c r="G1109" i="11"/>
  <c r="I1109" i="11" s="1"/>
  <c r="F1109" i="11"/>
  <c r="H1108" i="11"/>
  <c r="G1108" i="11"/>
  <c r="I1108" i="11" s="1"/>
  <c r="F1108" i="11"/>
  <c r="H1107" i="11"/>
  <c r="G1107" i="11"/>
  <c r="I1107" i="11" s="1"/>
  <c r="F1107" i="11"/>
  <c r="H1106" i="11"/>
  <c r="G1106" i="11"/>
  <c r="I1106" i="11" s="1"/>
  <c r="F1106" i="11"/>
  <c r="H1105" i="11"/>
  <c r="G1105" i="11"/>
  <c r="I1105" i="11" s="1"/>
  <c r="F1105" i="11"/>
  <c r="H1104" i="11"/>
  <c r="G1104" i="11"/>
  <c r="I1104" i="11" s="1"/>
  <c r="F1104" i="11"/>
  <c r="H1103" i="11"/>
  <c r="G1103" i="11"/>
  <c r="I1103" i="11" s="1"/>
  <c r="F1103" i="11"/>
  <c r="H1102" i="11"/>
  <c r="G1102" i="11"/>
  <c r="I1102" i="11" s="1"/>
  <c r="F1102" i="11"/>
  <c r="H1101" i="11"/>
  <c r="G1101" i="11"/>
  <c r="I1101" i="11" s="1"/>
  <c r="F1101" i="11"/>
  <c r="H1100" i="11"/>
  <c r="G1100" i="11"/>
  <c r="I1100" i="11" s="1"/>
  <c r="F1100" i="11"/>
  <c r="H1099" i="11"/>
  <c r="G1099" i="11"/>
  <c r="I1099" i="11" s="1"/>
  <c r="F1099" i="11"/>
  <c r="H1098" i="11"/>
  <c r="G1098" i="11"/>
  <c r="I1098" i="11" s="1"/>
  <c r="F1098" i="11"/>
  <c r="H1097" i="11"/>
  <c r="G1097" i="11"/>
  <c r="I1097" i="11" s="1"/>
  <c r="F1097" i="11"/>
  <c r="H1096" i="11"/>
  <c r="G1096" i="11"/>
  <c r="I1096" i="11" s="1"/>
  <c r="F1096" i="11"/>
  <c r="H1095" i="11"/>
  <c r="G1095" i="11"/>
  <c r="I1095" i="11" s="1"/>
  <c r="F1095" i="11"/>
  <c r="H1094" i="11"/>
  <c r="G1094" i="11"/>
  <c r="I1094" i="11" s="1"/>
  <c r="F1094" i="11"/>
  <c r="H1093" i="11"/>
  <c r="G1093" i="11"/>
  <c r="I1093" i="11" s="1"/>
  <c r="F1093" i="11"/>
  <c r="H1092" i="11"/>
  <c r="G1092" i="11"/>
  <c r="I1092" i="11" s="1"/>
  <c r="F1092" i="11"/>
  <c r="H1091" i="11"/>
  <c r="G1091" i="11"/>
  <c r="I1091" i="11" s="1"/>
  <c r="F1091" i="11"/>
  <c r="H1090" i="11"/>
  <c r="G1090" i="11"/>
  <c r="I1090" i="11" s="1"/>
  <c r="F1090" i="11"/>
  <c r="H1089" i="11"/>
  <c r="G1089" i="11"/>
  <c r="I1089" i="11" s="1"/>
  <c r="F1089" i="11"/>
  <c r="H1088" i="11"/>
  <c r="G1088" i="11"/>
  <c r="I1088" i="11" s="1"/>
  <c r="F1088" i="11"/>
  <c r="H1087" i="11"/>
  <c r="G1087" i="11"/>
  <c r="I1087" i="11" s="1"/>
  <c r="F1087" i="11"/>
  <c r="H1086" i="11"/>
  <c r="G1086" i="11"/>
  <c r="I1086" i="11" s="1"/>
  <c r="F1086" i="11"/>
  <c r="H1085" i="11"/>
  <c r="G1085" i="11"/>
  <c r="I1085" i="11" s="1"/>
  <c r="F1085" i="11"/>
  <c r="H1084" i="11"/>
  <c r="G1084" i="11"/>
  <c r="I1084" i="11" s="1"/>
  <c r="F1084" i="11"/>
  <c r="H1083" i="11"/>
  <c r="G1083" i="11"/>
  <c r="I1083" i="11" s="1"/>
  <c r="F1083" i="11"/>
  <c r="H1082" i="11"/>
  <c r="G1082" i="11"/>
  <c r="I1082" i="11" s="1"/>
  <c r="F1082" i="11"/>
  <c r="H1081" i="11"/>
  <c r="G1081" i="11"/>
  <c r="I1081" i="11" s="1"/>
  <c r="F1081" i="11"/>
  <c r="H1080" i="11"/>
  <c r="G1080" i="11"/>
  <c r="I1080" i="11" s="1"/>
  <c r="F1080" i="11"/>
  <c r="H1079" i="11"/>
  <c r="G1079" i="11"/>
  <c r="I1079" i="11" s="1"/>
  <c r="F1079" i="11"/>
  <c r="H1078" i="11"/>
  <c r="G1078" i="11"/>
  <c r="I1078" i="11" s="1"/>
  <c r="F1078" i="11"/>
  <c r="H1077" i="11"/>
  <c r="G1077" i="11"/>
  <c r="I1077" i="11" s="1"/>
  <c r="F1077" i="11"/>
  <c r="H1076" i="11"/>
  <c r="G1076" i="11"/>
  <c r="I1076" i="11" s="1"/>
  <c r="F1076" i="11"/>
  <c r="H1075" i="11"/>
  <c r="G1075" i="11"/>
  <c r="I1075" i="11" s="1"/>
  <c r="F1075" i="11"/>
  <c r="H1074" i="11"/>
  <c r="G1074" i="11"/>
  <c r="I1074" i="11" s="1"/>
  <c r="F1074" i="11"/>
  <c r="H1073" i="11"/>
  <c r="G1073" i="11"/>
  <c r="I1073" i="11" s="1"/>
  <c r="F1073" i="11"/>
  <c r="H1072" i="11"/>
  <c r="G1072" i="11"/>
  <c r="I1072" i="11" s="1"/>
  <c r="F1072" i="11"/>
  <c r="H1071" i="11"/>
  <c r="G1071" i="11"/>
  <c r="I1071" i="11" s="1"/>
  <c r="F1071" i="11"/>
  <c r="H1070" i="11"/>
  <c r="G1070" i="11"/>
  <c r="I1070" i="11" s="1"/>
  <c r="F1070" i="11"/>
  <c r="H1069" i="11"/>
  <c r="G1069" i="11"/>
  <c r="I1069" i="11" s="1"/>
  <c r="F1069" i="11"/>
  <c r="H1068" i="11"/>
  <c r="G1068" i="11"/>
  <c r="I1068" i="11" s="1"/>
  <c r="F1068" i="11"/>
  <c r="H1067" i="11"/>
  <c r="G1067" i="11"/>
  <c r="I1067" i="11" s="1"/>
  <c r="F1067" i="11"/>
  <c r="H1066" i="11"/>
  <c r="G1066" i="11"/>
  <c r="I1066" i="11" s="1"/>
  <c r="F1066" i="11"/>
  <c r="H1065" i="11"/>
  <c r="G1065" i="11"/>
  <c r="I1065" i="11" s="1"/>
  <c r="F1065" i="11"/>
  <c r="H1064" i="11"/>
  <c r="G1064" i="11"/>
  <c r="I1064" i="11" s="1"/>
  <c r="F1064" i="11"/>
  <c r="H1063" i="11"/>
  <c r="G1063" i="11"/>
  <c r="I1063" i="11" s="1"/>
  <c r="F1063" i="11"/>
  <c r="H1062" i="11"/>
  <c r="G1062" i="11"/>
  <c r="I1062" i="11" s="1"/>
  <c r="F1062" i="11"/>
  <c r="H1061" i="11"/>
  <c r="G1061" i="11"/>
  <c r="I1061" i="11" s="1"/>
  <c r="F1061" i="11"/>
  <c r="H1060" i="11"/>
  <c r="G1060" i="11"/>
  <c r="I1060" i="11" s="1"/>
  <c r="F1060" i="11"/>
  <c r="H1059" i="11"/>
  <c r="G1059" i="11"/>
  <c r="I1059" i="11" s="1"/>
  <c r="F1059" i="11"/>
  <c r="H1058" i="11"/>
  <c r="G1058" i="11"/>
  <c r="I1058" i="11" s="1"/>
  <c r="F1058" i="11"/>
  <c r="H1057" i="11"/>
  <c r="G1057" i="11"/>
  <c r="I1057" i="11" s="1"/>
  <c r="F1057" i="11"/>
  <c r="H1056" i="11"/>
  <c r="G1056" i="11"/>
  <c r="I1056" i="11" s="1"/>
  <c r="F1056" i="11"/>
  <c r="H1055" i="11"/>
  <c r="G1055" i="11"/>
  <c r="I1055" i="11" s="1"/>
  <c r="F1055" i="11"/>
  <c r="H1054" i="11"/>
  <c r="G1054" i="11"/>
  <c r="I1054" i="11" s="1"/>
  <c r="F1054" i="11"/>
  <c r="H1053" i="11"/>
  <c r="G1053" i="11"/>
  <c r="I1053" i="11" s="1"/>
  <c r="F1053" i="11"/>
  <c r="H1052" i="11"/>
  <c r="G1052" i="11"/>
  <c r="I1052" i="11" s="1"/>
  <c r="F1052" i="11"/>
  <c r="H1051" i="11"/>
  <c r="G1051" i="11"/>
  <c r="I1051" i="11" s="1"/>
  <c r="F1051" i="11"/>
  <c r="H1050" i="11"/>
  <c r="G1050" i="11"/>
  <c r="I1050" i="11" s="1"/>
  <c r="F1050" i="11"/>
  <c r="H1049" i="11"/>
  <c r="G1049" i="11"/>
  <c r="I1049" i="11" s="1"/>
  <c r="F1049" i="11"/>
  <c r="H1048" i="11"/>
  <c r="G1048" i="11"/>
  <c r="I1048" i="11" s="1"/>
  <c r="F1048" i="11"/>
  <c r="H1047" i="11"/>
  <c r="G1047" i="11"/>
  <c r="I1047" i="11" s="1"/>
  <c r="F1047" i="11"/>
  <c r="H1046" i="11"/>
  <c r="G1046" i="11"/>
  <c r="I1046" i="11" s="1"/>
  <c r="F1046" i="11"/>
  <c r="H1045" i="11"/>
  <c r="G1045" i="11"/>
  <c r="I1045" i="11" s="1"/>
  <c r="F1045" i="11"/>
  <c r="H1044" i="11"/>
  <c r="G1044" i="11"/>
  <c r="I1044" i="11" s="1"/>
  <c r="F1044" i="11"/>
  <c r="H1043" i="11"/>
  <c r="G1043" i="11"/>
  <c r="I1043" i="11" s="1"/>
  <c r="F1043" i="11"/>
  <c r="H1042" i="11"/>
  <c r="G1042" i="11"/>
  <c r="I1042" i="11" s="1"/>
  <c r="F1042" i="11"/>
  <c r="H1041" i="11"/>
  <c r="G1041" i="11"/>
  <c r="I1041" i="11" s="1"/>
  <c r="F1041" i="11"/>
  <c r="H1040" i="11"/>
  <c r="G1040" i="11"/>
  <c r="I1040" i="11" s="1"/>
  <c r="F1040" i="11"/>
  <c r="H1039" i="11"/>
  <c r="G1039" i="11"/>
  <c r="I1039" i="11" s="1"/>
  <c r="F1039" i="11"/>
  <c r="H1038" i="11"/>
  <c r="G1038" i="11"/>
  <c r="I1038" i="11" s="1"/>
  <c r="F1038" i="11"/>
  <c r="H1037" i="11"/>
  <c r="G1037" i="11"/>
  <c r="I1037" i="11" s="1"/>
  <c r="F1037" i="11"/>
  <c r="H1036" i="11"/>
  <c r="G1036" i="11"/>
  <c r="I1036" i="11" s="1"/>
  <c r="F1036" i="11"/>
  <c r="H1035" i="11"/>
  <c r="G1035" i="11"/>
  <c r="I1035" i="11" s="1"/>
  <c r="F1035" i="11"/>
  <c r="H1034" i="11"/>
  <c r="G1034" i="11"/>
  <c r="I1034" i="11" s="1"/>
  <c r="F1034" i="11"/>
  <c r="H1033" i="11"/>
  <c r="G1033" i="11"/>
  <c r="I1033" i="11" s="1"/>
  <c r="F1033" i="11"/>
  <c r="H1032" i="11"/>
  <c r="G1032" i="11"/>
  <c r="I1032" i="11" s="1"/>
  <c r="F1032" i="11"/>
  <c r="H1031" i="11"/>
  <c r="G1031" i="11"/>
  <c r="I1031" i="11" s="1"/>
  <c r="F1031" i="11"/>
  <c r="H1030" i="11"/>
  <c r="G1030" i="11"/>
  <c r="I1030" i="11" s="1"/>
  <c r="F1030" i="11"/>
  <c r="H1029" i="11"/>
  <c r="G1029" i="11"/>
  <c r="I1029" i="11" s="1"/>
  <c r="F1029" i="11"/>
  <c r="H1028" i="11"/>
  <c r="G1028" i="11"/>
  <c r="I1028" i="11" s="1"/>
  <c r="F1028" i="11"/>
  <c r="H1027" i="11"/>
  <c r="G1027" i="11"/>
  <c r="I1027" i="11" s="1"/>
  <c r="F1027" i="11"/>
  <c r="H1026" i="11"/>
  <c r="G1026" i="11"/>
  <c r="I1026" i="11" s="1"/>
  <c r="F1026" i="11"/>
  <c r="H1025" i="11"/>
  <c r="G1025" i="11"/>
  <c r="I1025" i="11" s="1"/>
  <c r="F1025" i="11"/>
  <c r="H1024" i="11"/>
  <c r="G1024" i="11"/>
  <c r="I1024" i="11" s="1"/>
  <c r="F1024" i="11"/>
  <c r="H1023" i="11"/>
  <c r="G1023" i="11"/>
  <c r="I1023" i="11" s="1"/>
  <c r="F1023" i="11"/>
  <c r="H1022" i="11"/>
  <c r="G1022" i="11"/>
  <c r="I1022" i="11" s="1"/>
  <c r="F1022" i="11"/>
  <c r="H1021" i="11"/>
  <c r="G1021" i="11"/>
  <c r="I1021" i="11" s="1"/>
  <c r="F1021" i="11"/>
  <c r="H1020" i="11"/>
  <c r="G1020" i="11"/>
  <c r="I1020" i="11" s="1"/>
  <c r="F1020" i="11"/>
  <c r="H1019" i="11"/>
  <c r="G1019" i="11"/>
  <c r="I1019" i="11" s="1"/>
  <c r="F1019" i="11"/>
  <c r="H1018" i="11"/>
  <c r="G1018" i="11"/>
  <c r="I1018" i="11" s="1"/>
  <c r="F1018" i="11"/>
  <c r="H1017" i="11"/>
  <c r="G1017" i="11"/>
  <c r="I1017" i="11" s="1"/>
  <c r="F1017" i="11"/>
  <c r="H1016" i="11"/>
  <c r="G1016" i="11"/>
  <c r="I1016" i="11" s="1"/>
  <c r="F1016" i="11"/>
  <c r="H1015" i="11"/>
  <c r="G1015" i="11"/>
  <c r="I1015" i="11" s="1"/>
  <c r="F1015" i="11"/>
  <c r="H1014" i="11"/>
  <c r="G1014" i="11"/>
  <c r="I1014" i="11" s="1"/>
  <c r="F1014" i="11"/>
  <c r="H1013" i="11"/>
  <c r="G1013" i="11"/>
  <c r="I1013" i="11" s="1"/>
  <c r="F1013" i="11"/>
  <c r="H1012" i="11"/>
  <c r="G1012" i="11"/>
  <c r="I1012" i="11" s="1"/>
  <c r="F1012" i="11"/>
  <c r="H1011" i="11"/>
  <c r="G1011" i="11"/>
  <c r="I1011" i="11" s="1"/>
  <c r="F1011" i="11"/>
  <c r="H1010" i="11"/>
  <c r="G1010" i="11"/>
  <c r="I1010" i="11" s="1"/>
  <c r="F1010" i="11"/>
  <c r="H1009" i="11"/>
  <c r="G1009" i="11"/>
  <c r="I1009" i="11" s="1"/>
  <c r="F1009" i="11"/>
  <c r="H1008" i="11"/>
  <c r="G1008" i="11"/>
  <c r="I1008" i="11" s="1"/>
  <c r="F1008" i="11"/>
  <c r="H1007" i="11"/>
  <c r="G1007" i="11"/>
  <c r="I1007" i="11" s="1"/>
  <c r="F1007" i="11"/>
  <c r="H1006" i="11"/>
  <c r="G1006" i="11"/>
  <c r="I1006" i="11" s="1"/>
  <c r="F1006" i="11"/>
  <c r="H1005" i="11"/>
  <c r="G1005" i="11"/>
  <c r="I1005" i="11" s="1"/>
  <c r="F1005" i="11"/>
  <c r="H1004" i="11"/>
  <c r="G1004" i="11"/>
  <c r="I1004" i="11" s="1"/>
  <c r="F1004" i="11"/>
  <c r="H1003" i="11"/>
  <c r="G1003" i="11"/>
  <c r="I1003" i="11" s="1"/>
  <c r="F1003" i="11"/>
  <c r="H1002" i="11"/>
  <c r="G1002" i="11"/>
  <c r="I1002" i="11" s="1"/>
  <c r="F1002" i="11"/>
  <c r="H1001" i="11"/>
  <c r="G1001" i="11"/>
  <c r="I1001" i="11" s="1"/>
  <c r="F1001" i="11"/>
  <c r="H1000" i="11"/>
  <c r="G1000" i="11"/>
  <c r="I1000" i="11" s="1"/>
  <c r="F1000" i="11"/>
  <c r="H999" i="11"/>
  <c r="G999" i="11"/>
  <c r="I999" i="11" s="1"/>
  <c r="F999" i="11"/>
  <c r="H998" i="11"/>
  <c r="G998" i="11"/>
  <c r="I998" i="11" s="1"/>
  <c r="F998" i="11"/>
  <c r="H997" i="11"/>
  <c r="G997" i="11"/>
  <c r="I997" i="11" s="1"/>
  <c r="F997" i="11"/>
  <c r="H996" i="11"/>
  <c r="G996" i="11"/>
  <c r="I996" i="11" s="1"/>
  <c r="F996" i="11"/>
  <c r="H995" i="11"/>
  <c r="G995" i="11"/>
  <c r="I995" i="11" s="1"/>
  <c r="F995" i="11"/>
  <c r="H994" i="11"/>
  <c r="G994" i="11"/>
  <c r="I994" i="11" s="1"/>
  <c r="F994" i="11"/>
  <c r="H993" i="11"/>
  <c r="G993" i="11"/>
  <c r="I993" i="11" s="1"/>
  <c r="F993" i="11"/>
  <c r="H992" i="11"/>
  <c r="G992" i="11"/>
  <c r="I992" i="11" s="1"/>
  <c r="F992" i="11"/>
  <c r="H991" i="11"/>
  <c r="G991" i="11"/>
  <c r="I991" i="11" s="1"/>
  <c r="F991" i="11"/>
  <c r="H990" i="11"/>
  <c r="G990" i="11"/>
  <c r="I990" i="11" s="1"/>
  <c r="F990" i="11"/>
  <c r="H989" i="11"/>
  <c r="G989" i="11"/>
  <c r="I989" i="11" s="1"/>
  <c r="F989" i="11"/>
  <c r="H988" i="11"/>
  <c r="G988" i="11"/>
  <c r="I988" i="11" s="1"/>
  <c r="F988" i="11"/>
  <c r="H987" i="11"/>
  <c r="G987" i="11"/>
  <c r="I987" i="11" s="1"/>
  <c r="F987" i="11"/>
  <c r="H986" i="11"/>
  <c r="G986" i="11"/>
  <c r="I986" i="11" s="1"/>
  <c r="F986" i="11"/>
  <c r="H985" i="11"/>
  <c r="G985" i="11"/>
  <c r="I985" i="11" s="1"/>
  <c r="F985" i="11"/>
  <c r="H984" i="11"/>
  <c r="G984" i="11"/>
  <c r="I984" i="11" s="1"/>
  <c r="F984" i="11"/>
  <c r="H983" i="11"/>
  <c r="G983" i="11"/>
  <c r="I983" i="11" s="1"/>
  <c r="F983" i="11"/>
  <c r="H982" i="11"/>
  <c r="G982" i="11"/>
  <c r="I982" i="11" s="1"/>
  <c r="F982" i="11"/>
  <c r="H981" i="11"/>
  <c r="G981" i="11"/>
  <c r="I981" i="11" s="1"/>
  <c r="F981" i="11"/>
  <c r="H980" i="11"/>
  <c r="G980" i="11"/>
  <c r="I980" i="11" s="1"/>
  <c r="F980" i="11"/>
  <c r="H979" i="11"/>
  <c r="G979" i="11"/>
  <c r="I979" i="11" s="1"/>
  <c r="F979" i="11"/>
  <c r="H978" i="11"/>
  <c r="G978" i="11"/>
  <c r="I978" i="11" s="1"/>
  <c r="F978" i="11"/>
  <c r="H977" i="11"/>
  <c r="G977" i="11"/>
  <c r="I977" i="11" s="1"/>
  <c r="F977" i="11"/>
  <c r="H976" i="11"/>
  <c r="G976" i="11"/>
  <c r="I976" i="11" s="1"/>
  <c r="F976" i="11"/>
  <c r="H975" i="11"/>
  <c r="G975" i="11"/>
  <c r="I975" i="11" s="1"/>
  <c r="F975" i="11"/>
  <c r="H974" i="11"/>
  <c r="G974" i="11"/>
  <c r="I974" i="11" s="1"/>
  <c r="F974" i="11"/>
  <c r="H973" i="11"/>
  <c r="G973" i="11"/>
  <c r="I973" i="11" s="1"/>
  <c r="F973" i="11"/>
  <c r="H972" i="11"/>
  <c r="G972" i="11"/>
  <c r="I972" i="11" s="1"/>
  <c r="F972" i="11"/>
  <c r="H971" i="11"/>
  <c r="G971" i="11"/>
  <c r="I971" i="11" s="1"/>
  <c r="F971" i="11"/>
  <c r="H970" i="11"/>
  <c r="G970" i="11"/>
  <c r="I970" i="11" s="1"/>
  <c r="F970" i="11"/>
  <c r="H969" i="11"/>
  <c r="G969" i="11"/>
  <c r="I969" i="11" s="1"/>
  <c r="F969" i="11"/>
  <c r="H968" i="11"/>
  <c r="G968" i="11"/>
  <c r="I968" i="11" s="1"/>
  <c r="F968" i="11"/>
  <c r="H967" i="11"/>
  <c r="G967" i="11"/>
  <c r="I967" i="11" s="1"/>
  <c r="F967" i="11"/>
  <c r="H966" i="11"/>
  <c r="G966" i="11"/>
  <c r="I966" i="11" s="1"/>
  <c r="F966" i="11"/>
  <c r="H965" i="11"/>
  <c r="G965" i="11"/>
  <c r="I965" i="11" s="1"/>
  <c r="F965" i="11"/>
  <c r="H964" i="11"/>
  <c r="G964" i="11"/>
  <c r="I964" i="11" s="1"/>
  <c r="F964" i="11"/>
  <c r="H963" i="11"/>
  <c r="G963" i="11"/>
  <c r="I963" i="11" s="1"/>
  <c r="F963" i="11"/>
  <c r="H962" i="11"/>
  <c r="G962" i="11"/>
  <c r="I962" i="11" s="1"/>
  <c r="F962" i="11"/>
  <c r="H961" i="11"/>
  <c r="G961" i="11"/>
  <c r="I961" i="11" s="1"/>
  <c r="F961" i="11"/>
  <c r="H960" i="11"/>
  <c r="G960" i="11"/>
  <c r="I960" i="11" s="1"/>
  <c r="F960" i="11"/>
  <c r="H959" i="11"/>
  <c r="G959" i="11"/>
  <c r="I959" i="11" s="1"/>
  <c r="F959" i="11"/>
  <c r="H958" i="11"/>
  <c r="G958" i="11"/>
  <c r="I958" i="11" s="1"/>
  <c r="F958" i="11"/>
  <c r="H957" i="11"/>
  <c r="G957" i="11"/>
  <c r="I957" i="11" s="1"/>
  <c r="F957" i="11"/>
  <c r="H956" i="11"/>
  <c r="G956" i="11"/>
  <c r="I956" i="11" s="1"/>
  <c r="F956" i="11"/>
  <c r="H955" i="11"/>
  <c r="G955" i="11"/>
  <c r="I955" i="11" s="1"/>
  <c r="F955" i="11"/>
  <c r="H954" i="11"/>
  <c r="G954" i="11"/>
  <c r="I954" i="11" s="1"/>
  <c r="F954" i="11"/>
  <c r="H953" i="11"/>
  <c r="G953" i="11"/>
  <c r="I953" i="11" s="1"/>
  <c r="F953" i="11"/>
  <c r="H952" i="11"/>
  <c r="G952" i="11"/>
  <c r="I952" i="11" s="1"/>
  <c r="F952" i="11"/>
  <c r="H951" i="11"/>
  <c r="G951" i="11"/>
  <c r="I951" i="11" s="1"/>
  <c r="F951" i="11"/>
  <c r="H950" i="11"/>
  <c r="G950" i="11"/>
  <c r="I950" i="11" s="1"/>
  <c r="F950" i="11"/>
  <c r="H949" i="11"/>
  <c r="G949" i="11"/>
  <c r="I949" i="11" s="1"/>
  <c r="F949" i="11"/>
  <c r="H948" i="11"/>
  <c r="G948" i="11"/>
  <c r="I948" i="11" s="1"/>
  <c r="F948" i="11"/>
  <c r="H947" i="11"/>
  <c r="G947" i="11"/>
  <c r="I947" i="11" s="1"/>
  <c r="F947" i="11"/>
  <c r="H946" i="11"/>
  <c r="G946" i="11"/>
  <c r="I946" i="11" s="1"/>
  <c r="F946" i="11"/>
  <c r="H945" i="11"/>
  <c r="G945" i="11"/>
  <c r="I945" i="11" s="1"/>
  <c r="F945" i="11"/>
  <c r="H944" i="11"/>
  <c r="G944" i="11"/>
  <c r="I944" i="11" s="1"/>
  <c r="F944" i="11"/>
  <c r="H943" i="11"/>
  <c r="G943" i="11"/>
  <c r="I943" i="11" s="1"/>
  <c r="F943" i="11"/>
  <c r="H942" i="11"/>
  <c r="G942" i="11"/>
  <c r="I942" i="11" s="1"/>
  <c r="F942" i="11"/>
  <c r="H941" i="11"/>
  <c r="G941" i="11"/>
  <c r="I941" i="11" s="1"/>
  <c r="F941" i="11"/>
  <c r="H940" i="11"/>
  <c r="G940" i="11"/>
  <c r="I940" i="11" s="1"/>
  <c r="F940" i="11"/>
  <c r="H939" i="11"/>
  <c r="G939" i="11"/>
  <c r="I939" i="11" s="1"/>
  <c r="F939" i="11"/>
  <c r="H938" i="11"/>
  <c r="G938" i="11"/>
  <c r="I938" i="11" s="1"/>
  <c r="F938" i="11"/>
  <c r="H937" i="11"/>
  <c r="G937" i="11"/>
  <c r="I937" i="11" s="1"/>
  <c r="F937" i="11"/>
  <c r="H936" i="11"/>
  <c r="G936" i="11"/>
  <c r="I936" i="11" s="1"/>
  <c r="F936" i="11"/>
  <c r="H935" i="11"/>
  <c r="G935" i="11"/>
  <c r="I935" i="11" s="1"/>
  <c r="F935" i="11"/>
  <c r="H934" i="11"/>
  <c r="G934" i="11"/>
  <c r="I934" i="11" s="1"/>
  <c r="F934" i="11"/>
  <c r="H933" i="11"/>
  <c r="G933" i="11"/>
  <c r="I933" i="11" s="1"/>
  <c r="F933" i="11"/>
  <c r="H932" i="11"/>
  <c r="G932" i="11"/>
  <c r="I932" i="11" s="1"/>
  <c r="F932" i="11"/>
  <c r="H931" i="11"/>
  <c r="G931" i="11"/>
  <c r="I931" i="11" s="1"/>
  <c r="F931" i="11"/>
  <c r="H930" i="11"/>
  <c r="G930" i="11"/>
  <c r="I930" i="11" s="1"/>
  <c r="F930" i="11"/>
  <c r="H929" i="11"/>
  <c r="G929" i="11"/>
  <c r="I929" i="11" s="1"/>
  <c r="F929" i="11"/>
  <c r="H928" i="11"/>
  <c r="G928" i="11"/>
  <c r="I928" i="11" s="1"/>
  <c r="F928" i="11"/>
  <c r="H927" i="11"/>
  <c r="G927" i="11"/>
  <c r="I927" i="11" s="1"/>
  <c r="F927" i="11"/>
  <c r="H926" i="11"/>
  <c r="G926" i="11"/>
  <c r="I926" i="11" s="1"/>
  <c r="F926" i="11"/>
  <c r="H925" i="11"/>
  <c r="G925" i="11"/>
  <c r="I925" i="11" s="1"/>
  <c r="F925" i="11"/>
  <c r="H924" i="11"/>
  <c r="G924" i="11"/>
  <c r="I924" i="11" s="1"/>
  <c r="F924" i="11"/>
  <c r="H923" i="11"/>
  <c r="G923" i="11"/>
  <c r="I923" i="11" s="1"/>
  <c r="F923" i="11"/>
  <c r="H922" i="11"/>
  <c r="G922" i="11"/>
  <c r="I922" i="11" s="1"/>
  <c r="F922" i="11"/>
  <c r="H921" i="11"/>
  <c r="G921" i="11"/>
  <c r="I921" i="11" s="1"/>
  <c r="F921" i="11"/>
  <c r="H920" i="11"/>
  <c r="G920" i="11"/>
  <c r="I920" i="11" s="1"/>
  <c r="F920" i="11"/>
  <c r="H919" i="11"/>
  <c r="G919" i="11"/>
  <c r="I919" i="11" s="1"/>
  <c r="F919" i="11"/>
  <c r="H918" i="11"/>
  <c r="G918" i="11"/>
  <c r="I918" i="11" s="1"/>
  <c r="F918" i="11"/>
  <c r="H917" i="11"/>
  <c r="G917" i="11"/>
  <c r="I917" i="11" s="1"/>
  <c r="F917" i="11"/>
  <c r="H916" i="11"/>
  <c r="G916" i="11"/>
  <c r="I916" i="11" s="1"/>
  <c r="F916" i="11"/>
  <c r="H915" i="11"/>
  <c r="G915" i="11"/>
  <c r="I915" i="11" s="1"/>
  <c r="F915" i="11"/>
  <c r="H914" i="11"/>
  <c r="G914" i="11"/>
  <c r="I914" i="11" s="1"/>
  <c r="F914" i="11"/>
  <c r="H913" i="11"/>
  <c r="G913" i="11"/>
  <c r="I913" i="11" s="1"/>
  <c r="F913" i="11"/>
  <c r="H912" i="11"/>
  <c r="G912" i="11"/>
  <c r="I912" i="11" s="1"/>
  <c r="F912" i="11"/>
  <c r="H911" i="11"/>
  <c r="G911" i="11"/>
  <c r="I911" i="11" s="1"/>
  <c r="F911" i="11"/>
  <c r="H910" i="11"/>
  <c r="G910" i="11"/>
  <c r="I910" i="11" s="1"/>
  <c r="F910" i="11"/>
  <c r="H909" i="11"/>
  <c r="G909" i="11"/>
  <c r="I909" i="11" s="1"/>
  <c r="F909" i="11"/>
  <c r="H908" i="11"/>
  <c r="G908" i="11"/>
  <c r="I908" i="11" s="1"/>
  <c r="F908" i="11"/>
  <c r="H907" i="11"/>
  <c r="G907" i="11"/>
  <c r="I907" i="11" s="1"/>
  <c r="F907" i="11"/>
  <c r="H906" i="11"/>
  <c r="G906" i="11"/>
  <c r="I906" i="11" s="1"/>
  <c r="F906" i="11"/>
  <c r="H905" i="11"/>
  <c r="G905" i="11"/>
  <c r="I905" i="11" s="1"/>
  <c r="F905" i="11"/>
  <c r="H904" i="11"/>
  <c r="G904" i="11"/>
  <c r="I904" i="11" s="1"/>
  <c r="F904" i="11"/>
  <c r="H903" i="11"/>
  <c r="G903" i="11"/>
  <c r="I903" i="11" s="1"/>
  <c r="F903" i="11"/>
  <c r="H902" i="11"/>
  <c r="G902" i="11"/>
  <c r="I902" i="11" s="1"/>
  <c r="F902" i="11"/>
  <c r="H901" i="11"/>
  <c r="G901" i="11"/>
  <c r="I901" i="11" s="1"/>
  <c r="F901" i="11"/>
  <c r="H900" i="11"/>
  <c r="G900" i="11"/>
  <c r="I900" i="11" s="1"/>
  <c r="F900" i="11"/>
  <c r="H899" i="11"/>
  <c r="G899" i="11"/>
  <c r="I899" i="11" s="1"/>
  <c r="F899" i="11"/>
  <c r="H898" i="11"/>
  <c r="G898" i="11"/>
  <c r="I898" i="11" s="1"/>
  <c r="F898" i="11"/>
  <c r="H897" i="11"/>
  <c r="G897" i="11"/>
  <c r="I897" i="11" s="1"/>
  <c r="F897" i="11"/>
  <c r="H896" i="11"/>
  <c r="G896" i="11"/>
  <c r="I896" i="11" s="1"/>
  <c r="F896" i="11"/>
  <c r="H895" i="11"/>
  <c r="G895" i="11"/>
  <c r="I895" i="11" s="1"/>
  <c r="F895" i="11"/>
  <c r="H894" i="11"/>
  <c r="G894" i="11"/>
  <c r="I894" i="11" s="1"/>
  <c r="F894" i="11"/>
  <c r="H893" i="11"/>
  <c r="G893" i="11"/>
  <c r="I893" i="11" s="1"/>
  <c r="F893" i="11"/>
  <c r="H892" i="11"/>
  <c r="G892" i="11"/>
  <c r="I892" i="11" s="1"/>
  <c r="F892" i="11"/>
  <c r="H891" i="11"/>
  <c r="G891" i="11"/>
  <c r="I891" i="11" s="1"/>
  <c r="F891" i="11"/>
  <c r="H890" i="11"/>
  <c r="G890" i="11"/>
  <c r="I890" i="11" s="1"/>
  <c r="F890" i="11"/>
  <c r="H889" i="11"/>
  <c r="G889" i="11"/>
  <c r="I889" i="11" s="1"/>
  <c r="F889" i="11"/>
  <c r="H888" i="11"/>
  <c r="G888" i="11"/>
  <c r="I888" i="11" s="1"/>
  <c r="F888" i="11"/>
  <c r="H887" i="11"/>
  <c r="G887" i="11"/>
  <c r="I887" i="11" s="1"/>
  <c r="F887" i="11"/>
  <c r="H886" i="11"/>
  <c r="G886" i="11"/>
  <c r="I886" i="11" s="1"/>
  <c r="F886" i="11"/>
  <c r="H885" i="11"/>
  <c r="G885" i="11"/>
  <c r="I885" i="11" s="1"/>
  <c r="F885" i="11"/>
  <c r="H884" i="11"/>
  <c r="G884" i="11"/>
  <c r="I884" i="11" s="1"/>
  <c r="F884" i="11"/>
  <c r="H883" i="11"/>
  <c r="G883" i="11"/>
  <c r="I883" i="11" s="1"/>
  <c r="F883" i="11"/>
  <c r="H882" i="11"/>
  <c r="G882" i="11"/>
  <c r="I882" i="11" s="1"/>
  <c r="F882" i="11"/>
  <c r="H881" i="11"/>
  <c r="G881" i="11"/>
  <c r="I881" i="11" s="1"/>
  <c r="F881" i="11"/>
  <c r="H880" i="11"/>
  <c r="G880" i="11"/>
  <c r="I880" i="11" s="1"/>
  <c r="F880" i="11"/>
  <c r="H879" i="11"/>
  <c r="G879" i="11"/>
  <c r="I879" i="11" s="1"/>
  <c r="F879" i="11"/>
  <c r="H878" i="11"/>
  <c r="G878" i="11"/>
  <c r="I878" i="11" s="1"/>
  <c r="F878" i="11"/>
  <c r="H877" i="11"/>
  <c r="G877" i="11"/>
  <c r="I877" i="11" s="1"/>
  <c r="F877" i="11"/>
  <c r="H876" i="11"/>
  <c r="G876" i="11"/>
  <c r="I876" i="11" s="1"/>
  <c r="F876" i="11"/>
  <c r="H875" i="11"/>
  <c r="G875" i="11"/>
  <c r="I875" i="11" s="1"/>
  <c r="F875" i="11"/>
  <c r="H874" i="11"/>
  <c r="G874" i="11"/>
  <c r="I874" i="11" s="1"/>
  <c r="F874" i="11"/>
  <c r="H873" i="11"/>
  <c r="G873" i="11"/>
  <c r="I873" i="11" s="1"/>
  <c r="F873" i="11"/>
  <c r="H872" i="11"/>
  <c r="G872" i="11"/>
  <c r="I872" i="11" s="1"/>
  <c r="F872" i="11"/>
  <c r="H871" i="11"/>
  <c r="G871" i="11"/>
  <c r="I871" i="11" s="1"/>
  <c r="F871" i="11"/>
  <c r="H870" i="11"/>
  <c r="G870" i="11"/>
  <c r="I870" i="11" s="1"/>
  <c r="F870" i="11"/>
  <c r="H869" i="11"/>
  <c r="G869" i="11"/>
  <c r="I869" i="11" s="1"/>
  <c r="F869" i="11"/>
  <c r="H868" i="11"/>
  <c r="G868" i="11"/>
  <c r="I868" i="11" s="1"/>
  <c r="F868" i="11"/>
  <c r="H867" i="11"/>
  <c r="G867" i="11"/>
  <c r="I867" i="11" s="1"/>
  <c r="F867" i="11"/>
  <c r="H866" i="11"/>
  <c r="G866" i="11"/>
  <c r="I866" i="11" s="1"/>
  <c r="F866" i="11"/>
  <c r="H865" i="11"/>
  <c r="G865" i="11"/>
  <c r="I865" i="11" s="1"/>
  <c r="F865" i="11"/>
  <c r="H864" i="11"/>
  <c r="G864" i="11"/>
  <c r="I864" i="11" s="1"/>
  <c r="F864" i="11"/>
  <c r="H863" i="11"/>
  <c r="G863" i="11"/>
  <c r="I863" i="11" s="1"/>
  <c r="F863" i="11"/>
  <c r="H862" i="11"/>
  <c r="G862" i="11"/>
  <c r="I862" i="11" s="1"/>
  <c r="F862" i="11"/>
  <c r="H861" i="11"/>
  <c r="G861" i="11"/>
  <c r="I861" i="11" s="1"/>
  <c r="F861" i="11"/>
  <c r="H860" i="11"/>
  <c r="G860" i="11"/>
  <c r="I860" i="11" s="1"/>
  <c r="F860" i="11"/>
  <c r="H859" i="11"/>
  <c r="G859" i="11"/>
  <c r="I859" i="11" s="1"/>
  <c r="F859" i="11"/>
  <c r="H858" i="11"/>
  <c r="G858" i="11"/>
  <c r="I858" i="11" s="1"/>
  <c r="F858" i="11"/>
  <c r="H857" i="11"/>
  <c r="G857" i="11"/>
  <c r="I857" i="11" s="1"/>
  <c r="F857" i="11"/>
  <c r="H856" i="11"/>
  <c r="G856" i="11"/>
  <c r="I856" i="11" s="1"/>
  <c r="F856" i="11"/>
  <c r="H855" i="11"/>
  <c r="G855" i="11"/>
  <c r="I855" i="11" s="1"/>
  <c r="F855" i="11"/>
  <c r="H854" i="11"/>
  <c r="G854" i="11"/>
  <c r="I854" i="11" s="1"/>
  <c r="F854" i="11"/>
  <c r="H853" i="11"/>
  <c r="G853" i="11"/>
  <c r="I853" i="11" s="1"/>
  <c r="F853" i="11"/>
  <c r="H852" i="11"/>
  <c r="G852" i="11"/>
  <c r="I852" i="11" s="1"/>
  <c r="F852" i="11"/>
  <c r="H851" i="11"/>
  <c r="G851" i="11"/>
  <c r="I851" i="11" s="1"/>
  <c r="F851" i="11"/>
  <c r="H850" i="11"/>
  <c r="G850" i="11"/>
  <c r="I850" i="11" s="1"/>
  <c r="F850" i="11"/>
  <c r="H849" i="11"/>
  <c r="G849" i="11"/>
  <c r="I849" i="11" s="1"/>
  <c r="F849" i="11"/>
  <c r="H848" i="11"/>
  <c r="G848" i="11"/>
  <c r="I848" i="11" s="1"/>
  <c r="F848" i="11"/>
  <c r="H847" i="11"/>
  <c r="G847" i="11"/>
  <c r="I847" i="11" s="1"/>
  <c r="F847" i="11"/>
  <c r="H846" i="11"/>
  <c r="G846" i="11"/>
  <c r="I846" i="11" s="1"/>
  <c r="F846" i="11"/>
  <c r="H845" i="11"/>
  <c r="G845" i="11"/>
  <c r="I845" i="11" s="1"/>
  <c r="F845" i="11"/>
  <c r="H844" i="11"/>
  <c r="G844" i="11"/>
  <c r="I844" i="11" s="1"/>
  <c r="F844" i="11"/>
  <c r="H843" i="11"/>
  <c r="G843" i="11"/>
  <c r="I843" i="11" s="1"/>
  <c r="F843" i="11"/>
  <c r="H842" i="11"/>
  <c r="G842" i="11"/>
  <c r="I842" i="11" s="1"/>
  <c r="F842" i="11"/>
  <c r="H841" i="11"/>
  <c r="G841" i="11"/>
  <c r="I841" i="11" s="1"/>
  <c r="F841" i="11"/>
  <c r="H840" i="11"/>
  <c r="G840" i="11"/>
  <c r="I840" i="11" s="1"/>
  <c r="F840" i="11"/>
  <c r="H839" i="11"/>
  <c r="G839" i="11"/>
  <c r="I839" i="11" s="1"/>
  <c r="F839" i="11"/>
  <c r="H838" i="11"/>
  <c r="G838" i="11"/>
  <c r="I838" i="11" s="1"/>
  <c r="F838" i="11"/>
  <c r="H837" i="11"/>
  <c r="G837" i="11"/>
  <c r="I837" i="11" s="1"/>
  <c r="F837" i="11"/>
  <c r="H836" i="11"/>
  <c r="G836" i="11"/>
  <c r="I836" i="11" s="1"/>
  <c r="F836" i="11"/>
  <c r="H835" i="11"/>
  <c r="G835" i="11"/>
  <c r="I835" i="11" s="1"/>
  <c r="F835" i="11"/>
  <c r="H834" i="11"/>
  <c r="G834" i="11"/>
  <c r="I834" i="11" s="1"/>
  <c r="F834" i="11"/>
  <c r="H833" i="11"/>
  <c r="G833" i="11"/>
  <c r="I833" i="11" s="1"/>
  <c r="F833" i="11"/>
  <c r="H832" i="11"/>
  <c r="G832" i="11"/>
  <c r="I832" i="11" s="1"/>
  <c r="F832" i="11"/>
  <c r="H831" i="11"/>
  <c r="G831" i="11"/>
  <c r="I831" i="11" s="1"/>
  <c r="F831" i="11"/>
  <c r="H830" i="11"/>
  <c r="G830" i="11"/>
  <c r="I830" i="11" s="1"/>
  <c r="F830" i="11"/>
  <c r="H829" i="11"/>
  <c r="G829" i="11"/>
  <c r="I829" i="11" s="1"/>
  <c r="F829" i="11"/>
  <c r="H828" i="11"/>
  <c r="G828" i="11"/>
  <c r="I828" i="11" s="1"/>
  <c r="F828" i="11"/>
  <c r="H827" i="11"/>
  <c r="G827" i="11"/>
  <c r="I827" i="11" s="1"/>
  <c r="F827" i="11"/>
  <c r="H826" i="11"/>
  <c r="G826" i="11"/>
  <c r="I826" i="11" s="1"/>
  <c r="F826" i="11"/>
  <c r="H825" i="11"/>
  <c r="G825" i="11"/>
  <c r="I825" i="11" s="1"/>
  <c r="F825" i="11"/>
  <c r="H824" i="11"/>
  <c r="G824" i="11"/>
  <c r="I824" i="11" s="1"/>
  <c r="F824" i="11"/>
  <c r="H823" i="11"/>
  <c r="G823" i="11"/>
  <c r="I823" i="11" s="1"/>
  <c r="F823" i="11"/>
  <c r="H822" i="11"/>
  <c r="G822" i="11"/>
  <c r="I822" i="11" s="1"/>
  <c r="F822" i="11"/>
  <c r="H821" i="11"/>
  <c r="G821" i="11"/>
  <c r="I821" i="11" s="1"/>
  <c r="F821" i="11"/>
  <c r="H820" i="11"/>
  <c r="G820" i="11"/>
  <c r="I820" i="11" s="1"/>
  <c r="F820" i="11"/>
  <c r="H819" i="11"/>
  <c r="G819" i="11"/>
  <c r="I819" i="11" s="1"/>
  <c r="F819" i="11"/>
  <c r="H818" i="11"/>
  <c r="G818" i="11"/>
  <c r="I818" i="11" s="1"/>
  <c r="F818" i="11"/>
  <c r="H817" i="11"/>
  <c r="G817" i="11"/>
  <c r="I817" i="11" s="1"/>
  <c r="F817" i="11"/>
  <c r="H816" i="11"/>
  <c r="G816" i="11"/>
  <c r="I816" i="11" s="1"/>
  <c r="F816" i="11"/>
  <c r="H815" i="11"/>
  <c r="G815" i="11"/>
  <c r="I815" i="11" s="1"/>
  <c r="F815" i="11"/>
  <c r="H814" i="11"/>
  <c r="G814" i="11"/>
  <c r="I814" i="11" s="1"/>
  <c r="F814" i="11"/>
  <c r="H813" i="11"/>
  <c r="G813" i="11"/>
  <c r="I813" i="11" s="1"/>
  <c r="F813" i="11"/>
  <c r="H812" i="11"/>
  <c r="G812" i="11"/>
  <c r="I812" i="11" s="1"/>
  <c r="F812" i="11"/>
  <c r="H811" i="11"/>
  <c r="G811" i="11"/>
  <c r="I811" i="11" s="1"/>
  <c r="F811" i="11"/>
  <c r="H810" i="11"/>
  <c r="G810" i="11"/>
  <c r="I810" i="11" s="1"/>
  <c r="F810" i="11"/>
  <c r="H809" i="11"/>
  <c r="G809" i="11"/>
  <c r="I809" i="11" s="1"/>
  <c r="F809" i="11"/>
  <c r="H808" i="11"/>
  <c r="G808" i="11"/>
  <c r="I808" i="11" s="1"/>
  <c r="F808" i="11"/>
  <c r="H807" i="11"/>
  <c r="G807" i="11"/>
  <c r="I807" i="11" s="1"/>
  <c r="F807" i="11"/>
  <c r="H806" i="11"/>
  <c r="G806" i="11"/>
  <c r="I806" i="11" s="1"/>
  <c r="F806" i="11"/>
  <c r="H805" i="11"/>
  <c r="G805" i="11"/>
  <c r="I805" i="11" s="1"/>
  <c r="F805" i="11"/>
  <c r="H804" i="11"/>
  <c r="G804" i="11"/>
  <c r="I804" i="11" s="1"/>
  <c r="F804" i="11"/>
  <c r="H803" i="11"/>
  <c r="G803" i="11"/>
  <c r="I803" i="11" s="1"/>
  <c r="F803" i="11"/>
  <c r="H802" i="11"/>
  <c r="G802" i="11"/>
  <c r="I802" i="11" s="1"/>
  <c r="F802" i="11"/>
  <c r="H801" i="11"/>
  <c r="G801" i="11"/>
  <c r="I801" i="11" s="1"/>
  <c r="F801" i="11"/>
  <c r="H800" i="11"/>
  <c r="G800" i="11"/>
  <c r="I800" i="11" s="1"/>
  <c r="F800" i="11"/>
  <c r="H799" i="11"/>
  <c r="G799" i="11"/>
  <c r="I799" i="11" s="1"/>
  <c r="F799" i="11"/>
  <c r="H798" i="11"/>
  <c r="G798" i="11"/>
  <c r="I798" i="11" s="1"/>
  <c r="F798" i="11"/>
  <c r="H797" i="11"/>
  <c r="G797" i="11"/>
  <c r="I797" i="11" s="1"/>
  <c r="F797" i="11"/>
  <c r="H796" i="11"/>
  <c r="G796" i="11"/>
  <c r="I796" i="11" s="1"/>
  <c r="F796" i="11"/>
  <c r="H795" i="11"/>
  <c r="G795" i="11"/>
  <c r="I795" i="11" s="1"/>
  <c r="F795" i="11"/>
  <c r="H794" i="11"/>
  <c r="G794" i="11"/>
  <c r="I794" i="11" s="1"/>
  <c r="F794" i="11"/>
  <c r="H793" i="11"/>
  <c r="G793" i="11"/>
  <c r="I793" i="11" s="1"/>
  <c r="F793" i="11"/>
  <c r="H792" i="11"/>
  <c r="G792" i="11"/>
  <c r="I792" i="11" s="1"/>
  <c r="F792" i="11"/>
  <c r="H791" i="11"/>
  <c r="G791" i="11"/>
  <c r="I791" i="11" s="1"/>
  <c r="F791" i="11"/>
  <c r="H790" i="11"/>
  <c r="G790" i="11"/>
  <c r="I790" i="11" s="1"/>
  <c r="F790" i="11"/>
  <c r="H789" i="11"/>
  <c r="G789" i="11"/>
  <c r="I789" i="11" s="1"/>
  <c r="F789" i="11"/>
  <c r="H788" i="11"/>
  <c r="G788" i="11"/>
  <c r="I788" i="11" s="1"/>
  <c r="F788" i="11"/>
  <c r="H787" i="11"/>
  <c r="G787" i="11"/>
  <c r="I787" i="11" s="1"/>
  <c r="F787" i="11"/>
  <c r="H786" i="11"/>
  <c r="G786" i="11"/>
  <c r="I786" i="11" s="1"/>
  <c r="F786" i="11"/>
  <c r="H785" i="11"/>
  <c r="G785" i="11"/>
  <c r="I785" i="11" s="1"/>
  <c r="F785" i="11"/>
  <c r="H784" i="11"/>
  <c r="G784" i="11"/>
  <c r="I784" i="11" s="1"/>
  <c r="F784" i="11"/>
  <c r="H783" i="11"/>
  <c r="G783" i="11"/>
  <c r="I783" i="11" s="1"/>
  <c r="F783" i="11"/>
  <c r="H782" i="11"/>
  <c r="G782" i="11"/>
  <c r="I782" i="11" s="1"/>
  <c r="F782" i="11"/>
  <c r="H781" i="11"/>
  <c r="G781" i="11"/>
  <c r="I781" i="11" s="1"/>
  <c r="F781" i="11"/>
  <c r="H780" i="11"/>
  <c r="G780" i="11"/>
  <c r="I780" i="11" s="1"/>
  <c r="F780" i="11"/>
  <c r="H779" i="11"/>
  <c r="G779" i="11"/>
  <c r="I779" i="11" s="1"/>
  <c r="F779" i="11"/>
  <c r="H778" i="11"/>
  <c r="G778" i="11"/>
  <c r="I778" i="11" s="1"/>
  <c r="F778" i="11"/>
  <c r="H777" i="11"/>
  <c r="G777" i="11"/>
  <c r="I777" i="11" s="1"/>
  <c r="F777" i="11"/>
  <c r="H776" i="11"/>
  <c r="G776" i="11"/>
  <c r="I776" i="11" s="1"/>
  <c r="F776" i="11"/>
  <c r="H775" i="11"/>
  <c r="G775" i="11"/>
  <c r="I775" i="11" s="1"/>
  <c r="F775" i="11"/>
  <c r="H774" i="11"/>
  <c r="G774" i="11"/>
  <c r="I774" i="11" s="1"/>
  <c r="F774" i="11"/>
  <c r="H773" i="11"/>
  <c r="G773" i="11"/>
  <c r="I773" i="11" s="1"/>
  <c r="F773" i="11"/>
  <c r="H772" i="11"/>
  <c r="G772" i="11"/>
  <c r="I772" i="11" s="1"/>
  <c r="F772" i="11"/>
  <c r="H771" i="11"/>
  <c r="G771" i="11"/>
  <c r="I771" i="11" s="1"/>
  <c r="F771" i="11"/>
  <c r="H770" i="11"/>
  <c r="G770" i="11"/>
  <c r="I770" i="11" s="1"/>
  <c r="F770" i="11"/>
  <c r="H769" i="11"/>
  <c r="G769" i="11"/>
  <c r="I769" i="11" s="1"/>
  <c r="F769" i="11"/>
  <c r="H768" i="11"/>
  <c r="G768" i="11"/>
  <c r="I768" i="11" s="1"/>
  <c r="F768" i="11"/>
  <c r="H767" i="11"/>
  <c r="G767" i="11"/>
  <c r="I767" i="11" s="1"/>
  <c r="F767" i="11"/>
  <c r="H766" i="11"/>
  <c r="G766" i="11"/>
  <c r="I766" i="11" s="1"/>
  <c r="F766" i="11"/>
  <c r="H765" i="11"/>
  <c r="G765" i="11"/>
  <c r="I765" i="11" s="1"/>
  <c r="F765" i="11"/>
  <c r="H764" i="11"/>
  <c r="G764" i="11"/>
  <c r="I764" i="11" s="1"/>
  <c r="F764" i="11"/>
  <c r="H763" i="11"/>
  <c r="G763" i="11"/>
  <c r="I763" i="11" s="1"/>
  <c r="F763" i="11"/>
  <c r="H762" i="11"/>
  <c r="G762" i="11"/>
  <c r="I762" i="11" s="1"/>
  <c r="F762" i="11"/>
  <c r="H761" i="11"/>
  <c r="G761" i="11"/>
  <c r="I761" i="11" s="1"/>
  <c r="F761" i="11"/>
  <c r="H760" i="11"/>
  <c r="G760" i="11"/>
  <c r="I760" i="11" s="1"/>
  <c r="F760" i="11"/>
  <c r="H759" i="11"/>
  <c r="G759" i="11"/>
  <c r="I759" i="11" s="1"/>
  <c r="F759" i="11"/>
  <c r="H758" i="11"/>
  <c r="G758" i="11"/>
  <c r="I758" i="11" s="1"/>
  <c r="F758" i="11"/>
  <c r="H757" i="11"/>
  <c r="G757" i="11"/>
  <c r="I757" i="11" s="1"/>
  <c r="F757" i="11"/>
  <c r="H756" i="11"/>
  <c r="G756" i="11"/>
  <c r="I756" i="11" s="1"/>
  <c r="F756" i="11"/>
  <c r="H755" i="11"/>
  <c r="G755" i="11"/>
  <c r="I755" i="11" s="1"/>
  <c r="F755" i="11"/>
  <c r="H754" i="11"/>
  <c r="G754" i="11"/>
  <c r="I754" i="11" s="1"/>
  <c r="F754" i="11"/>
  <c r="H753" i="11"/>
  <c r="G753" i="11"/>
  <c r="I753" i="11" s="1"/>
  <c r="F753" i="11"/>
  <c r="H752" i="11"/>
  <c r="G752" i="11"/>
  <c r="I752" i="11" s="1"/>
  <c r="F752" i="11"/>
  <c r="H751" i="11"/>
  <c r="G751" i="11"/>
  <c r="I751" i="11" s="1"/>
  <c r="F751" i="11"/>
  <c r="H750" i="11"/>
  <c r="G750" i="11"/>
  <c r="I750" i="11" s="1"/>
  <c r="F750" i="11"/>
  <c r="H749" i="11"/>
  <c r="G749" i="11"/>
  <c r="I749" i="11" s="1"/>
  <c r="F749" i="11"/>
  <c r="H748" i="11"/>
  <c r="G748" i="11"/>
  <c r="I748" i="11" s="1"/>
  <c r="F748" i="11"/>
  <c r="H747" i="11"/>
  <c r="G747" i="11"/>
  <c r="I747" i="11" s="1"/>
  <c r="F747" i="11"/>
  <c r="H746" i="11"/>
  <c r="G746" i="11"/>
  <c r="I746" i="11" s="1"/>
  <c r="F746" i="11"/>
  <c r="H745" i="11"/>
  <c r="G745" i="11"/>
  <c r="I745" i="11" s="1"/>
  <c r="F745" i="11"/>
  <c r="H744" i="11"/>
  <c r="G744" i="11"/>
  <c r="I744" i="11" s="1"/>
  <c r="F744" i="11"/>
  <c r="H743" i="11"/>
  <c r="G743" i="11"/>
  <c r="I743" i="11" s="1"/>
  <c r="F743" i="11"/>
  <c r="H742" i="11"/>
  <c r="G742" i="11"/>
  <c r="I742" i="11" s="1"/>
  <c r="F742" i="11"/>
  <c r="H741" i="11"/>
  <c r="G741" i="11"/>
  <c r="I741" i="11" s="1"/>
  <c r="F741" i="11"/>
  <c r="H740" i="11"/>
  <c r="G740" i="11"/>
  <c r="I740" i="11" s="1"/>
  <c r="F740" i="11"/>
  <c r="H739" i="11"/>
  <c r="G739" i="11"/>
  <c r="I739" i="11" s="1"/>
  <c r="F739" i="11"/>
  <c r="H738" i="11"/>
  <c r="G738" i="11"/>
  <c r="I738" i="11" s="1"/>
  <c r="F738" i="11"/>
  <c r="H737" i="11"/>
  <c r="G737" i="11"/>
  <c r="I737" i="11" s="1"/>
  <c r="F737" i="11"/>
  <c r="H736" i="11"/>
  <c r="G736" i="11"/>
  <c r="I736" i="11" s="1"/>
  <c r="F736" i="11"/>
  <c r="H735" i="11"/>
  <c r="G735" i="11"/>
  <c r="I735" i="11" s="1"/>
  <c r="F735" i="11"/>
  <c r="H734" i="11"/>
  <c r="G734" i="11"/>
  <c r="I734" i="11" s="1"/>
  <c r="F734" i="11"/>
  <c r="H733" i="11"/>
  <c r="G733" i="11"/>
  <c r="I733" i="11" s="1"/>
  <c r="F733" i="11"/>
  <c r="H732" i="11"/>
  <c r="G732" i="11"/>
  <c r="I732" i="11" s="1"/>
  <c r="F732" i="11"/>
  <c r="H731" i="11"/>
  <c r="G731" i="11"/>
  <c r="I731" i="11" s="1"/>
  <c r="F731" i="11"/>
  <c r="H730" i="11"/>
  <c r="G730" i="11"/>
  <c r="I730" i="11" s="1"/>
  <c r="F730" i="11"/>
  <c r="H729" i="11"/>
  <c r="G729" i="11"/>
  <c r="I729" i="11" s="1"/>
  <c r="F729" i="11"/>
  <c r="H728" i="11"/>
  <c r="G728" i="11"/>
  <c r="I728" i="11" s="1"/>
  <c r="F728" i="11"/>
  <c r="H727" i="11"/>
  <c r="G727" i="11"/>
  <c r="I727" i="11" s="1"/>
  <c r="F727" i="11"/>
  <c r="H726" i="11"/>
  <c r="G726" i="11"/>
  <c r="I726" i="11" s="1"/>
  <c r="F726" i="11"/>
  <c r="H725" i="11"/>
  <c r="G725" i="11"/>
  <c r="I725" i="11" s="1"/>
  <c r="F725" i="11"/>
  <c r="H724" i="11"/>
  <c r="G724" i="11"/>
  <c r="I724" i="11" s="1"/>
  <c r="F724" i="11"/>
  <c r="H723" i="11"/>
  <c r="G723" i="11"/>
  <c r="I723" i="11" s="1"/>
  <c r="F723" i="11"/>
  <c r="H722" i="11"/>
  <c r="G722" i="11"/>
  <c r="I722" i="11" s="1"/>
  <c r="F722" i="11"/>
  <c r="H721" i="11"/>
  <c r="G721" i="11"/>
  <c r="I721" i="11" s="1"/>
  <c r="F721" i="11"/>
  <c r="H720" i="11"/>
  <c r="G720" i="11"/>
  <c r="I720" i="11" s="1"/>
  <c r="F720" i="11"/>
  <c r="H719" i="11"/>
  <c r="G719" i="11"/>
  <c r="I719" i="11" s="1"/>
  <c r="F719" i="11"/>
  <c r="H718" i="11"/>
  <c r="G718" i="11"/>
  <c r="I718" i="11" s="1"/>
  <c r="F718" i="11"/>
  <c r="H717" i="11"/>
  <c r="G717" i="11"/>
  <c r="I717" i="11" s="1"/>
  <c r="F717" i="11"/>
  <c r="G716" i="11"/>
  <c r="I716" i="11" s="1"/>
  <c r="F716" i="11"/>
  <c r="G715" i="11"/>
  <c r="I715" i="11" s="1"/>
  <c r="F715" i="11"/>
  <c r="G714" i="11"/>
  <c r="I714" i="11" s="1"/>
  <c r="F714" i="11"/>
  <c r="G713" i="11"/>
  <c r="I713" i="11" s="1"/>
  <c r="F713" i="11"/>
  <c r="G712" i="11"/>
  <c r="I712" i="11" s="1"/>
  <c r="F712" i="11"/>
  <c r="G711" i="11"/>
  <c r="I711" i="11" s="1"/>
  <c r="F711" i="11"/>
  <c r="G710" i="11"/>
  <c r="I710" i="11" s="1"/>
  <c r="F710" i="11"/>
  <c r="G709" i="11"/>
  <c r="I709" i="11" s="1"/>
  <c r="F709" i="11"/>
  <c r="G708" i="11"/>
  <c r="I708" i="11" s="1"/>
  <c r="F708" i="11"/>
  <c r="G707" i="11"/>
  <c r="I707" i="11" s="1"/>
  <c r="F707" i="11"/>
  <c r="G706" i="11"/>
  <c r="I706" i="11" s="1"/>
  <c r="F706" i="11"/>
  <c r="G705" i="11"/>
  <c r="I705" i="11" s="1"/>
  <c r="F705" i="11"/>
  <c r="G704" i="11"/>
  <c r="I704" i="11" s="1"/>
  <c r="F704" i="11"/>
  <c r="G703" i="11"/>
  <c r="I703" i="11" s="1"/>
  <c r="F703" i="11"/>
  <c r="G702" i="11"/>
  <c r="I702" i="11" s="1"/>
  <c r="F702" i="11"/>
  <c r="G701" i="11"/>
  <c r="I701" i="11" s="1"/>
  <c r="F701" i="11"/>
  <c r="G700" i="11"/>
  <c r="I700" i="11" s="1"/>
  <c r="F700" i="11"/>
  <c r="G699" i="11"/>
  <c r="I699" i="11" s="1"/>
  <c r="F699" i="11"/>
  <c r="G698" i="11"/>
  <c r="I698" i="11" s="1"/>
  <c r="F698" i="11"/>
  <c r="G697" i="11"/>
  <c r="I697" i="11" s="1"/>
  <c r="F697" i="11"/>
  <c r="G696" i="11"/>
  <c r="I696" i="11" s="1"/>
  <c r="F696" i="11"/>
  <c r="G695" i="11"/>
  <c r="I695" i="11" s="1"/>
  <c r="F695" i="11"/>
  <c r="G694" i="11"/>
  <c r="I694" i="11" s="1"/>
  <c r="F694" i="11"/>
  <c r="G693" i="11"/>
  <c r="I693" i="11" s="1"/>
  <c r="F693" i="11"/>
  <c r="G692" i="11"/>
  <c r="I692" i="11" s="1"/>
  <c r="F692" i="11"/>
  <c r="G691" i="11"/>
  <c r="I691" i="11" s="1"/>
  <c r="F691" i="11"/>
  <c r="G690" i="11"/>
  <c r="I690" i="11" s="1"/>
  <c r="F690" i="11"/>
  <c r="G689" i="11"/>
  <c r="I689" i="11" s="1"/>
  <c r="F689" i="11"/>
  <c r="G688" i="11"/>
  <c r="I688" i="11" s="1"/>
  <c r="F688" i="11"/>
  <c r="G687" i="11"/>
  <c r="I687" i="11" s="1"/>
  <c r="F687" i="11"/>
  <c r="G686" i="11"/>
  <c r="I686" i="11" s="1"/>
  <c r="F686" i="11"/>
  <c r="G685" i="11"/>
  <c r="I685" i="11" s="1"/>
  <c r="F685" i="11"/>
  <c r="G684" i="11"/>
  <c r="I684" i="11" s="1"/>
  <c r="F684" i="11"/>
  <c r="G683" i="11"/>
  <c r="I683" i="11" s="1"/>
  <c r="F683" i="11"/>
  <c r="G682" i="11"/>
  <c r="I682" i="11" s="1"/>
  <c r="F682" i="11"/>
  <c r="G681" i="11"/>
  <c r="I681" i="11" s="1"/>
  <c r="F681" i="11"/>
  <c r="G680" i="11"/>
  <c r="I680" i="11" s="1"/>
  <c r="F680" i="11"/>
  <c r="G679" i="11"/>
  <c r="I679" i="11" s="1"/>
  <c r="F679" i="11"/>
  <c r="G678" i="11"/>
  <c r="I678" i="11" s="1"/>
  <c r="F678" i="11"/>
  <c r="G677" i="11"/>
  <c r="I677" i="11" s="1"/>
  <c r="F677" i="11"/>
  <c r="G676" i="11"/>
  <c r="I676" i="11" s="1"/>
  <c r="F676" i="11"/>
  <c r="G675" i="11"/>
  <c r="I675" i="11" s="1"/>
  <c r="F675" i="11"/>
  <c r="G674" i="11"/>
  <c r="I674" i="11" s="1"/>
  <c r="F674" i="11"/>
  <c r="G673" i="11"/>
  <c r="I673" i="11" s="1"/>
  <c r="F673" i="11"/>
  <c r="G672" i="11"/>
  <c r="I672" i="11" s="1"/>
  <c r="F672" i="11"/>
  <c r="G671" i="11"/>
  <c r="I671" i="11" s="1"/>
  <c r="F671" i="11"/>
  <c r="G670" i="11"/>
  <c r="I670" i="11" s="1"/>
  <c r="F670" i="11"/>
  <c r="G669" i="11"/>
  <c r="I669" i="11" s="1"/>
  <c r="F669" i="11"/>
  <c r="G668" i="11"/>
  <c r="I668" i="11" s="1"/>
  <c r="F668" i="11"/>
  <c r="G667" i="11"/>
  <c r="I667" i="11" s="1"/>
  <c r="F667" i="11"/>
  <c r="G666" i="11"/>
  <c r="I666" i="11" s="1"/>
  <c r="F666" i="11"/>
  <c r="G665" i="11"/>
  <c r="I665" i="11" s="1"/>
  <c r="F665" i="11"/>
  <c r="G664" i="11"/>
  <c r="I664" i="11" s="1"/>
  <c r="F664" i="11"/>
  <c r="G663" i="11"/>
  <c r="I663" i="11" s="1"/>
  <c r="F663" i="11"/>
  <c r="G662" i="11"/>
  <c r="I662" i="11" s="1"/>
  <c r="F662" i="11"/>
  <c r="G661" i="11"/>
  <c r="I661" i="11" s="1"/>
  <c r="F661" i="11"/>
  <c r="G660" i="11"/>
  <c r="I660" i="11" s="1"/>
  <c r="F660" i="11"/>
  <c r="G659" i="11"/>
  <c r="I659" i="11" s="1"/>
  <c r="F659" i="11"/>
  <c r="G658" i="11"/>
  <c r="I658" i="11" s="1"/>
  <c r="F658" i="11"/>
  <c r="G657" i="11"/>
  <c r="I657" i="11" s="1"/>
  <c r="F657" i="11"/>
  <c r="G656" i="11"/>
  <c r="I656" i="11" s="1"/>
  <c r="F656" i="11"/>
  <c r="G655" i="11"/>
  <c r="I655" i="11" s="1"/>
  <c r="F655" i="11"/>
  <c r="G654" i="11"/>
  <c r="I654" i="11" s="1"/>
  <c r="F654" i="11"/>
  <c r="G653" i="11"/>
  <c r="I653" i="11" s="1"/>
  <c r="F653" i="11"/>
  <c r="G652" i="11"/>
  <c r="I652" i="11" s="1"/>
  <c r="F652" i="11"/>
  <c r="G651" i="11"/>
  <c r="I651" i="11" s="1"/>
  <c r="F651" i="11"/>
  <c r="G650" i="11"/>
  <c r="I650" i="11" s="1"/>
  <c r="F650" i="11"/>
  <c r="G649" i="11"/>
  <c r="I649" i="11" s="1"/>
  <c r="F649" i="11"/>
  <c r="G648" i="11"/>
  <c r="I648" i="11" s="1"/>
  <c r="F648" i="11"/>
  <c r="G647" i="11"/>
  <c r="I647" i="11" s="1"/>
  <c r="F647" i="11"/>
  <c r="G646" i="11"/>
  <c r="I646" i="11" s="1"/>
  <c r="F646" i="11"/>
  <c r="G645" i="11"/>
  <c r="I645" i="11" s="1"/>
  <c r="F645" i="11"/>
  <c r="G644" i="11"/>
  <c r="I644" i="11" s="1"/>
  <c r="F644" i="11"/>
  <c r="G643" i="11"/>
  <c r="I643" i="11" s="1"/>
  <c r="F643" i="11"/>
  <c r="G642" i="11"/>
  <c r="I642" i="11" s="1"/>
  <c r="F642" i="11"/>
  <c r="G641" i="11"/>
  <c r="I641" i="11" s="1"/>
  <c r="F641" i="11"/>
  <c r="G640" i="11"/>
  <c r="I640" i="11" s="1"/>
  <c r="F640" i="11"/>
  <c r="G639" i="11"/>
  <c r="I639" i="11" s="1"/>
  <c r="F639" i="11"/>
  <c r="G638" i="11"/>
  <c r="I638" i="11" s="1"/>
  <c r="F638" i="11"/>
  <c r="G637" i="11"/>
  <c r="I637" i="11" s="1"/>
  <c r="F637" i="11"/>
  <c r="G636" i="11"/>
  <c r="I636" i="11" s="1"/>
  <c r="F636" i="11"/>
  <c r="G635" i="11"/>
  <c r="I635" i="11" s="1"/>
  <c r="F635" i="11"/>
  <c r="G634" i="11"/>
  <c r="I634" i="11" s="1"/>
  <c r="F634" i="11"/>
  <c r="G633" i="11"/>
  <c r="I633" i="11" s="1"/>
  <c r="F633" i="11"/>
  <c r="G632" i="11"/>
  <c r="I632" i="11" s="1"/>
  <c r="F632" i="11"/>
  <c r="G631" i="11"/>
  <c r="I631" i="11" s="1"/>
  <c r="F631" i="11"/>
  <c r="G630" i="11"/>
  <c r="I630" i="11" s="1"/>
  <c r="F630" i="11"/>
  <c r="G629" i="11"/>
  <c r="I629" i="11" s="1"/>
  <c r="F629" i="11"/>
  <c r="G628" i="11"/>
  <c r="I628" i="11" s="1"/>
  <c r="F628" i="11"/>
  <c r="G627" i="11"/>
  <c r="I627" i="11" s="1"/>
  <c r="F627" i="11"/>
  <c r="G626" i="11"/>
  <c r="I626" i="11" s="1"/>
  <c r="F626" i="11"/>
  <c r="G625" i="11"/>
  <c r="I625" i="11" s="1"/>
  <c r="F625" i="11"/>
  <c r="G624" i="11"/>
  <c r="I624" i="11" s="1"/>
  <c r="F624" i="11"/>
  <c r="G623" i="11"/>
  <c r="I623" i="11" s="1"/>
  <c r="F623" i="11"/>
  <c r="G622" i="11"/>
  <c r="I622" i="11" s="1"/>
  <c r="F622" i="11"/>
  <c r="G621" i="11"/>
  <c r="I621" i="11" s="1"/>
  <c r="F621" i="11"/>
  <c r="G620" i="11"/>
  <c r="I620" i="11" s="1"/>
  <c r="F620" i="11"/>
  <c r="G619" i="11"/>
  <c r="I619" i="11" s="1"/>
  <c r="F619" i="11"/>
  <c r="G618" i="11"/>
  <c r="I618" i="11" s="1"/>
  <c r="F618" i="11"/>
  <c r="G617" i="11"/>
  <c r="I617" i="11" s="1"/>
  <c r="F617" i="11"/>
  <c r="G616" i="11"/>
  <c r="I616" i="11" s="1"/>
  <c r="F616" i="11"/>
  <c r="G615" i="11"/>
  <c r="I615" i="11" s="1"/>
  <c r="F615" i="11"/>
  <c r="G614" i="11"/>
  <c r="I614" i="11" s="1"/>
  <c r="F614" i="11"/>
  <c r="G613" i="11"/>
  <c r="I613" i="11" s="1"/>
  <c r="F613" i="11"/>
  <c r="G612" i="11"/>
  <c r="I612" i="11" s="1"/>
  <c r="F612" i="11"/>
  <c r="G611" i="11"/>
  <c r="I611" i="11" s="1"/>
  <c r="F611" i="11"/>
  <c r="G610" i="11"/>
  <c r="I610" i="11" s="1"/>
  <c r="F610" i="11"/>
  <c r="G609" i="11"/>
  <c r="I609" i="11" s="1"/>
  <c r="F609" i="11"/>
  <c r="G608" i="11"/>
  <c r="I608" i="11" s="1"/>
  <c r="F608" i="11"/>
  <c r="G607" i="11"/>
  <c r="I607" i="11" s="1"/>
  <c r="F607" i="11"/>
  <c r="G606" i="11"/>
  <c r="I606" i="11" s="1"/>
  <c r="F606" i="11"/>
  <c r="G605" i="11"/>
  <c r="I605" i="11" s="1"/>
  <c r="F605" i="11"/>
  <c r="G604" i="11"/>
  <c r="I604" i="11" s="1"/>
  <c r="F604" i="11"/>
  <c r="G603" i="11"/>
  <c r="I603" i="11" s="1"/>
  <c r="F603" i="11"/>
  <c r="G602" i="11"/>
  <c r="I602" i="11" s="1"/>
  <c r="F602" i="11"/>
  <c r="G601" i="11"/>
  <c r="I601" i="11" s="1"/>
  <c r="F601" i="11"/>
  <c r="G600" i="11"/>
  <c r="I600" i="11" s="1"/>
  <c r="F600" i="11"/>
  <c r="G599" i="11"/>
  <c r="I599" i="11" s="1"/>
  <c r="F599" i="11"/>
  <c r="G598" i="11"/>
  <c r="I598" i="11" s="1"/>
  <c r="F598" i="11"/>
  <c r="G597" i="11"/>
  <c r="I597" i="11" s="1"/>
  <c r="F597" i="11"/>
  <c r="G596" i="11"/>
  <c r="I596" i="11" s="1"/>
  <c r="F596" i="11"/>
  <c r="G595" i="11"/>
  <c r="I595" i="11" s="1"/>
  <c r="F595" i="11"/>
  <c r="G594" i="11"/>
  <c r="I594" i="11" s="1"/>
  <c r="F594" i="11"/>
  <c r="G593" i="11"/>
  <c r="I593" i="11" s="1"/>
  <c r="F593" i="11"/>
  <c r="G592" i="11"/>
  <c r="I592" i="11" s="1"/>
  <c r="F592" i="11"/>
  <c r="G591" i="11"/>
  <c r="I591" i="11" s="1"/>
  <c r="F591" i="11"/>
  <c r="G590" i="11"/>
  <c r="I590" i="11" s="1"/>
  <c r="F590" i="11"/>
  <c r="G589" i="11"/>
  <c r="I589" i="11" s="1"/>
  <c r="F589" i="11"/>
  <c r="G588" i="11"/>
  <c r="I588" i="11" s="1"/>
  <c r="F588" i="11"/>
  <c r="G587" i="11"/>
  <c r="I587" i="11" s="1"/>
  <c r="F587" i="11"/>
  <c r="G586" i="11"/>
  <c r="I586" i="11" s="1"/>
  <c r="F586" i="11"/>
  <c r="G585" i="11"/>
  <c r="I585" i="11" s="1"/>
  <c r="F585" i="11"/>
  <c r="G584" i="11"/>
  <c r="I584" i="11" s="1"/>
  <c r="F584" i="11"/>
  <c r="G583" i="11"/>
  <c r="I583" i="11" s="1"/>
  <c r="F583" i="11"/>
  <c r="G582" i="11"/>
  <c r="I582" i="11" s="1"/>
  <c r="F582" i="11"/>
  <c r="G581" i="11"/>
  <c r="I581" i="11" s="1"/>
  <c r="F581" i="11"/>
  <c r="G580" i="11"/>
  <c r="I580" i="11" s="1"/>
  <c r="F580" i="11"/>
  <c r="G579" i="11"/>
  <c r="I579" i="11" s="1"/>
  <c r="F579" i="11"/>
  <c r="G578" i="11"/>
  <c r="I578" i="11" s="1"/>
  <c r="F578" i="11"/>
  <c r="G577" i="11"/>
  <c r="I577" i="11" s="1"/>
  <c r="F577" i="11"/>
  <c r="G576" i="11"/>
  <c r="I576" i="11" s="1"/>
  <c r="F576" i="11"/>
  <c r="G575" i="11"/>
  <c r="I575" i="11" s="1"/>
  <c r="F575" i="11"/>
  <c r="G574" i="11"/>
  <c r="I574" i="11" s="1"/>
  <c r="F574" i="11"/>
  <c r="G573" i="11"/>
  <c r="I573" i="11" s="1"/>
  <c r="F573" i="11"/>
  <c r="G572" i="11"/>
  <c r="I572" i="11" s="1"/>
  <c r="F572" i="11"/>
  <c r="G571" i="11"/>
  <c r="I571" i="11" s="1"/>
  <c r="F571" i="11"/>
  <c r="G570" i="11"/>
  <c r="I570" i="11" s="1"/>
  <c r="F570" i="11"/>
  <c r="G569" i="11"/>
  <c r="I569" i="11" s="1"/>
  <c r="F569" i="11"/>
  <c r="G568" i="11"/>
  <c r="I568" i="11" s="1"/>
  <c r="F568" i="11"/>
  <c r="G567" i="11"/>
  <c r="I567" i="11" s="1"/>
  <c r="F567" i="11"/>
  <c r="G566" i="11"/>
  <c r="I566" i="11" s="1"/>
  <c r="F566" i="11"/>
  <c r="G565" i="11"/>
  <c r="I565" i="11" s="1"/>
  <c r="F565" i="11"/>
  <c r="G564" i="11"/>
  <c r="I564" i="11" s="1"/>
  <c r="F564" i="11"/>
  <c r="G563" i="11"/>
  <c r="I563" i="11" s="1"/>
  <c r="F563" i="11"/>
  <c r="G562" i="11"/>
  <c r="I562" i="11" s="1"/>
  <c r="F562" i="11"/>
  <c r="G561" i="11"/>
  <c r="I561" i="11" s="1"/>
  <c r="F561" i="11"/>
  <c r="G560" i="11"/>
  <c r="I560" i="11" s="1"/>
  <c r="F560" i="11"/>
  <c r="G559" i="11"/>
  <c r="I559" i="11" s="1"/>
  <c r="F559" i="11"/>
  <c r="G558" i="11"/>
  <c r="I558" i="11" s="1"/>
  <c r="F558" i="11"/>
  <c r="G557" i="11"/>
  <c r="I557" i="11" s="1"/>
  <c r="F557" i="11"/>
  <c r="G556" i="11"/>
  <c r="I556" i="11" s="1"/>
  <c r="F556" i="11"/>
  <c r="G555" i="11"/>
  <c r="I555" i="11" s="1"/>
  <c r="F555" i="11"/>
  <c r="G554" i="11"/>
  <c r="I554" i="11" s="1"/>
  <c r="F554" i="11"/>
  <c r="G553" i="11"/>
  <c r="I553" i="11" s="1"/>
  <c r="F553" i="11"/>
  <c r="G552" i="11"/>
  <c r="I552" i="11" s="1"/>
  <c r="F552" i="11"/>
  <c r="G551" i="11"/>
  <c r="I551" i="11" s="1"/>
  <c r="F551" i="11"/>
  <c r="G550" i="11"/>
  <c r="I550" i="11" s="1"/>
  <c r="F550" i="11"/>
  <c r="G549" i="11"/>
  <c r="I549" i="11" s="1"/>
  <c r="F549" i="11"/>
  <c r="G548" i="11"/>
  <c r="I548" i="11" s="1"/>
  <c r="F548" i="11"/>
  <c r="G547" i="11"/>
  <c r="I547" i="11" s="1"/>
  <c r="F547" i="11"/>
  <c r="G546" i="11"/>
  <c r="I546" i="11" s="1"/>
  <c r="F546" i="11"/>
  <c r="G545" i="11"/>
  <c r="I545" i="11" s="1"/>
  <c r="F545" i="11"/>
  <c r="G544" i="11"/>
  <c r="I544" i="11" s="1"/>
  <c r="F544" i="11"/>
  <c r="G543" i="11"/>
  <c r="I543" i="11" s="1"/>
  <c r="F543" i="11"/>
  <c r="G542" i="11"/>
  <c r="I542" i="11" s="1"/>
  <c r="F542" i="11"/>
  <c r="G541" i="11"/>
  <c r="I541" i="11" s="1"/>
  <c r="F541" i="11"/>
  <c r="G540" i="11"/>
  <c r="I540" i="11" s="1"/>
  <c r="F540" i="11"/>
  <c r="G539" i="11"/>
  <c r="I539" i="11" s="1"/>
  <c r="F539" i="11"/>
  <c r="G538" i="11"/>
  <c r="I538" i="11" s="1"/>
  <c r="F538" i="11"/>
  <c r="G537" i="11"/>
  <c r="I537" i="11" s="1"/>
  <c r="F537" i="11"/>
  <c r="G536" i="11"/>
  <c r="I536" i="11" s="1"/>
  <c r="F536" i="11"/>
  <c r="G535" i="11"/>
  <c r="I535" i="11" s="1"/>
  <c r="F535" i="11"/>
  <c r="G534" i="11"/>
  <c r="I534" i="11" s="1"/>
  <c r="F534" i="11"/>
  <c r="G533" i="11"/>
  <c r="I533" i="11" s="1"/>
  <c r="F533" i="11"/>
  <c r="G532" i="11"/>
  <c r="I532" i="11" s="1"/>
  <c r="F532" i="11"/>
  <c r="G531" i="11"/>
  <c r="I531" i="11" s="1"/>
  <c r="F531" i="11"/>
  <c r="G530" i="11"/>
  <c r="I530" i="11" s="1"/>
  <c r="F530" i="11"/>
  <c r="G529" i="11"/>
  <c r="I529" i="11" s="1"/>
  <c r="F529" i="11"/>
  <c r="G528" i="11"/>
  <c r="I528" i="11" s="1"/>
  <c r="F528" i="11"/>
  <c r="G527" i="11"/>
  <c r="I527" i="11" s="1"/>
  <c r="F527" i="11"/>
  <c r="G526" i="11"/>
  <c r="I526" i="11" s="1"/>
  <c r="F526" i="11"/>
  <c r="G525" i="11"/>
  <c r="I525" i="11" s="1"/>
  <c r="F525" i="11"/>
  <c r="G524" i="11"/>
  <c r="I524" i="11" s="1"/>
  <c r="F524" i="11"/>
  <c r="G523" i="11"/>
  <c r="I523" i="11" s="1"/>
  <c r="F523" i="11"/>
  <c r="G522" i="11"/>
  <c r="I522" i="11" s="1"/>
  <c r="F522" i="11"/>
  <c r="G521" i="11"/>
  <c r="I521" i="11" s="1"/>
  <c r="F521" i="11"/>
  <c r="G520" i="11"/>
  <c r="I520" i="11" s="1"/>
  <c r="F520" i="11"/>
  <c r="G519" i="11"/>
  <c r="I519" i="11" s="1"/>
  <c r="F519" i="11"/>
  <c r="G518" i="11"/>
  <c r="I518" i="11" s="1"/>
  <c r="F518" i="11"/>
  <c r="G517" i="11"/>
  <c r="I517" i="11" s="1"/>
  <c r="F517" i="11"/>
  <c r="G516" i="11"/>
  <c r="I516" i="11" s="1"/>
  <c r="F516" i="11"/>
  <c r="G515" i="11"/>
  <c r="I515" i="11" s="1"/>
  <c r="F515" i="11"/>
  <c r="G514" i="11"/>
  <c r="I514" i="11" s="1"/>
  <c r="F514" i="11"/>
  <c r="G513" i="11"/>
  <c r="I513" i="11" s="1"/>
  <c r="F513" i="11"/>
  <c r="G512" i="11"/>
  <c r="I512" i="11" s="1"/>
  <c r="F512" i="11"/>
  <c r="G511" i="11"/>
  <c r="I511" i="11" s="1"/>
  <c r="F511" i="11"/>
  <c r="G510" i="11"/>
  <c r="I510" i="11" s="1"/>
  <c r="F510" i="11"/>
  <c r="G509" i="11"/>
  <c r="I509" i="11" s="1"/>
  <c r="F509" i="11"/>
  <c r="G508" i="11"/>
  <c r="I508" i="11" s="1"/>
  <c r="F508" i="11"/>
  <c r="G507" i="11"/>
  <c r="I507" i="11" s="1"/>
  <c r="F507" i="11"/>
  <c r="G506" i="11"/>
  <c r="I506" i="11" s="1"/>
  <c r="F506" i="11"/>
  <c r="G505" i="11"/>
  <c r="I505" i="11" s="1"/>
  <c r="F505" i="11"/>
  <c r="G504" i="11"/>
  <c r="I504" i="11" s="1"/>
  <c r="F504" i="11"/>
  <c r="G503" i="11"/>
  <c r="I503" i="11" s="1"/>
  <c r="F503" i="11"/>
  <c r="G502" i="11"/>
  <c r="I502" i="11" s="1"/>
  <c r="F502" i="11"/>
  <c r="G501" i="11"/>
  <c r="I501" i="11" s="1"/>
  <c r="F501" i="11"/>
  <c r="G500" i="11"/>
  <c r="I500" i="11" s="1"/>
  <c r="F500" i="11"/>
  <c r="G499" i="11"/>
  <c r="I499" i="11" s="1"/>
  <c r="F499" i="11"/>
  <c r="G498" i="11"/>
  <c r="I498" i="11" s="1"/>
  <c r="F498" i="11"/>
  <c r="G497" i="11"/>
  <c r="I497" i="11" s="1"/>
  <c r="F497" i="11"/>
  <c r="G496" i="11"/>
  <c r="I496" i="11" s="1"/>
  <c r="F496" i="11"/>
  <c r="G495" i="11"/>
  <c r="I495" i="11" s="1"/>
  <c r="F495" i="11"/>
  <c r="G494" i="11"/>
  <c r="I494" i="11" s="1"/>
  <c r="F494" i="11"/>
  <c r="G493" i="11"/>
  <c r="I493" i="11" s="1"/>
  <c r="F493" i="11"/>
  <c r="G492" i="11"/>
  <c r="I492" i="11" s="1"/>
  <c r="F492" i="11"/>
  <c r="G491" i="11"/>
  <c r="I491" i="11" s="1"/>
  <c r="F491" i="11"/>
  <c r="G490" i="11"/>
  <c r="I490" i="11" s="1"/>
  <c r="F490" i="11"/>
  <c r="G489" i="11"/>
  <c r="I489" i="11" s="1"/>
  <c r="F489" i="11"/>
  <c r="G488" i="11"/>
  <c r="I488" i="11" s="1"/>
  <c r="F488" i="11"/>
  <c r="G487" i="11"/>
  <c r="I487" i="11" s="1"/>
  <c r="F487" i="11"/>
  <c r="G486" i="11"/>
  <c r="I486" i="11" s="1"/>
  <c r="F486" i="11"/>
  <c r="G485" i="11"/>
  <c r="I485" i="11" s="1"/>
  <c r="F485" i="11"/>
  <c r="G484" i="11"/>
  <c r="I484" i="11" s="1"/>
  <c r="F484" i="11"/>
  <c r="G483" i="11"/>
  <c r="I483" i="11" s="1"/>
  <c r="F483" i="11"/>
  <c r="G482" i="11"/>
  <c r="I482" i="11" s="1"/>
  <c r="F482" i="11"/>
  <c r="G481" i="11"/>
  <c r="I481" i="11" s="1"/>
  <c r="F481" i="11"/>
  <c r="G480" i="11"/>
  <c r="I480" i="11" s="1"/>
  <c r="F480" i="11"/>
  <c r="G479" i="11"/>
  <c r="I479" i="11" s="1"/>
  <c r="F479" i="11"/>
  <c r="G478" i="11"/>
  <c r="I478" i="11" s="1"/>
  <c r="F478" i="11"/>
  <c r="G477" i="11"/>
  <c r="I477" i="11" s="1"/>
  <c r="F477" i="11"/>
  <c r="G476" i="11"/>
  <c r="I476" i="11" s="1"/>
  <c r="F476" i="11"/>
  <c r="G475" i="11"/>
  <c r="I475" i="11" s="1"/>
  <c r="F475" i="11"/>
  <c r="G474" i="11"/>
  <c r="I474" i="11" s="1"/>
  <c r="F474" i="11"/>
  <c r="G473" i="11"/>
  <c r="I473" i="11" s="1"/>
  <c r="F473" i="11"/>
  <c r="G472" i="11"/>
  <c r="I472" i="11" s="1"/>
  <c r="F472" i="11"/>
  <c r="G471" i="11"/>
  <c r="I471" i="11" s="1"/>
  <c r="F471" i="11"/>
  <c r="G470" i="11"/>
  <c r="I470" i="11" s="1"/>
  <c r="F470" i="11"/>
  <c r="G469" i="11"/>
  <c r="I469" i="11" s="1"/>
  <c r="F469" i="11"/>
  <c r="G468" i="11"/>
  <c r="I468" i="11" s="1"/>
  <c r="F468" i="11"/>
  <c r="G467" i="11"/>
  <c r="I467" i="11" s="1"/>
  <c r="F467" i="11"/>
  <c r="G466" i="11"/>
  <c r="I466" i="11" s="1"/>
  <c r="F466" i="11"/>
  <c r="G465" i="11"/>
  <c r="I465" i="11" s="1"/>
  <c r="F465" i="11"/>
  <c r="G464" i="11"/>
  <c r="I464" i="11" s="1"/>
  <c r="F464" i="11"/>
  <c r="G463" i="11"/>
  <c r="I463" i="11" s="1"/>
  <c r="F463" i="11"/>
  <c r="G462" i="11"/>
  <c r="I462" i="11" s="1"/>
  <c r="F462" i="11"/>
  <c r="G461" i="11"/>
  <c r="I461" i="11" s="1"/>
  <c r="F461" i="11"/>
  <c r="G460" i="11"/>
  <c r="I460" i="11" s="1"/>
  <c r="F460" i="11"/>
  <c r="G459" i="11"/>
  <c r="I459" i="11" s="1"/>
  <c r="F459" i="11"/>
  <c r="G458" i="11"/>
  <c r="I458" i="11" s="1"/>
  <c r="F458" i="11"/>
  <c r="G457" i="11"/>
  <c r="I457" i="11" s="1"/>
  <c r="F457" i="11"/>
  <c r="G456" i="11"/>
  <c r="I456" i="11" s="1"/>
  <c r="F456" i="11"/>
  <c r="G455" i="11"/>
  <c r="I455" i="11" s="1"/>
  <c r="F455" i="11"/>
  <c r="G454" i="11"/>
  <c r="I454" i="11" s="1"/>
  <c r="F454" i="11"/>
  <c r="G453" i="11"/>
  <c r="I453" i="11" s="1"/>
  <c r="F453" i="11"/>
  <c r="G452" i="11"/>
  <c r="I452" i="11" s="1"/>
  <c r="F452" i="11"/>
  <c r="G451" i="11"/>
  <c r="I451" i="11" s="1"/>
  <c r="F451" i="11"/>
  <c r="G450" i="11"/>
  <c r="I450" i="11" s="1"/>
  <c r="F450" i="11"/>
  <c r="G449" i="11"/>
  <c r="I449" i="11" s="1"/>
  <c r="F449" i="11"/>
  <c r="G448" i="11"/>
  <c r="I448" i="11" s="1"/>
  <c r="F448" i="11"/>
  <c r="G447" i="11"/>
  <c r="I447" i="11" s="1"/>
  <c r="F447" i="11"/>
  <c r="G446" i="11"/>
  <c r="I446" i="11" s="1"/>
  <c r="F446" i="11"/>
  <c r="G445" i="11"/>
  <c r="I445" i="11" s="1"/>
  <c r="F445" i="11"/>
  <c r="G444" i="11"/>
  <c r="I444" i="11" s="1"/>
  <c r="F444" i="11"/>
  <c r="G443" i="11"/>
  <c r="I443" i="11" s="1"/>
  <c r="F443" i="11"/>
  <c r="G442" i="11"/>
  <c r="I442" i="11" s="1"/>
  <c r="F442" i="11"/>
  <c r="G441" i="11"/>
  <c r="I441" i="11" s="1"/>
  <c r="F441" i="11"/>
  <c r="G440" i="11"/>
  <c r="I440" i="11" s="1"/>
  <c r="F440" i="11"/>
  <c r="G439" i="11"/>
  <c r="I439" i="11" s="1"/>
  <c r="F439" i="11"/>
  <c r="G438" i="11"/>
  <c r="I438" i="11" s="1"/>
  <c r="F438" i="11"/>
  <c r="G437" i="11"/>
  <c r="I437" i="11" s="1"/>
  <c r="F437" i="11"/>
  <c r="G436" i="11"/>
  <c r="I436" i="11" s="1"/>
  <c r="F436" i="11"/>
  <c r="G435" i="11"/>
  <c r="I435" i="11" s="1"/>
  <c r="F435" i="11"/>
  <c r="G434" i="11"/>
  <c r="I434" i="11" s="1"/>
  <c r="F434" i="11"/>
  <c r="G433" i="11"/>
  <c r="I433" i="11" s="1"/>
  <c r="F433" i="11"/>
  <c r="G432" i="11"/>
  <c r="I432" i="11" s="1"/>
  <c r="F432" i="11"/>
  <c r="G431" i="11"/>
  <c r="I431" i="11" s="1"/>
  <c r="F431" i="11"/>
  <c r="G430" i="11"/>
  <c r="I430" i="11" s="1"/>
  <c r="F430" i="11"/>
  <c r="G429" i="11"/>
  <c r="I429" i="11" s="1"/>
  <c r="F429" i="11"/>
  <c r="G428" i="11"/>
  <c r="I428" i="11" s="1"/>
  <c r="F428" i="11"/>
  <c r="G427" i="11"/>
  <c r="I427" i="11" s="1"/>
  <c r="F427" i="11"/>
  <c r="G426" i="11"/>
  <c r="I426" i="11" s="1"/>
  <c r="F426" i="11"/>
  <c r="G425" i="11"/>
  <c r="I425" i="11" s="1"/>
  <c r="F425" i="11"/>
  <c r="G424" i="11"/>
  <c r="I424" i="11" s="1"/>
  <c r="F424" i="11"/>
  <c r="G423" i="11"/>
  <c r="I423" i="11" s="1"/>
  <c r="F423" i="11"/>
  <c r="G422" i="11"/>
  <c r="I422" i="11" s="1"/>
  <c r="F422" i="11"/>
  <c r="G421" i="11"/>
  <c r="I421" i="11" s="1"/>
  <c r="F421" i="11"/>
  <c r="G420" i="11"/>
  <c r="I420" i="11" s="1"/>
  <c r="F420" i="11"/>
  <c r="G419" i="11"/>
  <c r="I419" i="11" s="1"/>
  <c r="F419" i="11"/>
  <c r="G418" i="11"/>
  <c r="I418" i="11" s="1"/>
  <c r="F418" i="11"/>
  <c r="G417" i="11"/>
  <c r="I417" i="11" s="1"/>
  <c r="F417" i="11"/>
  <c r="G416" i="11"/>
  <c r="I416" i="11" s="1"/>
  <c r="F416" i="11"/>
  <c r="G415" i="11"/>
  <c r="I415" i="11" s="1"/>
  <c r="F415" i="11"/>
  <c r="G414" i="11"/>
  <c r="I414" i="11" s="1"/>
  <c r="F414" i="11"/>
  <c r="G413" i="11"/>
  <c r="I413" i="11" s="1"/>
  <c r="F413" i="11"/>
  <c r="G412" i="11"/>
  <c r="I412" i="11" s="1"/>
  <c r="F412" i="11"/>
  <c r="G411" i="11"/>
  <c r="I411" i="11" s="1"/>
  <c r="F411" i="11"/>
  <c r="G410" i="11"/>
  <c r="I410" i="11" s="1"/>
  <c r="F410" i="11"/>
  <c r="G409" i="11"/>
  <c r="I409" i="11" s="1"/>
  <c r="F409" i="11"/>
  <c r="G408" i="11"/>
  <c r="I408" i="11" s="1"/>
  <c r="F408" i="11"/>
  <c r="G407" i="11"/>
  <c r="I407" i="11" s="1"/>
  <c r="F407" i="11"/>
  <c r="G406" i="11"/>
  <c r="I406" i="11" s="1"/>
  <c r="F406" i="11"/>
  <c r="G405" i="11"/>
  <c r="I405" i="11" s="1"/>
  <c r="F405" i="11"/>
  <c r="G404" i="11"/>
  <c r="I404" i="11" s="1"/>
  <c r="F404" i="11"/>
  <c r="G403" i="11"/>
  <c r="I403" i="11" s="1"/>
  <c r="F403" i="11"/>
  <c r="G402" i="11"/>
  <c r="I402" i="11" s="1"/>
  <c r="F402" i="11"/>
  <c r="G401" i="11"/>
  <c r="I401" i="11" s="1"/>
  <c r="F401" i="11"/>
  <c r="G400" i="11"/>
  <c r="I400" i="11" s="1"/>
  <c r="F400" i="11"/>
  <c r="G399" i="11"/>
  <c r="I399" i="11" s="1"/>
  <c r="F399" i="11"/>
  <c r="G398" i="11"/>
  <c r="I398" i="11" s="1"/>
  <c r="F398" i="11"/>
  <c r="G397" i="11"/>
  <c r="I397" i="11" s="1"/>
  <c r="F397" i="11"/>
  <c r="G396" i="11"/>
  <c r="I396" i="11" s="1"/>
  <c r="F396" i="11"/>
  <c r="G395" i="11"/>
  <c r="I395" i="11" s="1"/>
  <c r="F395" i="11"/>
  <c r="G394" i="11"/>
  <c r="I394" i="11" s="1"/>
  <c r="F394" i="11"/>
  <c r="G393" i="11"/>
  <c r="I393" i="11" s="1"/>
  <c r="F393" i="11"/>
  <c r="G392" i="11"/>
  <c r="I392" i="11" s="1"/>
  <c r="F392" i="11"/>
  <c r="G391" i="11"/>
  <c r="I391" i="11" s="1"/>
  <c r="F391" i="11"/>
  <c r="G390" i="11"/>
  <c r="I390" i="11" s="1"/>
  <c r="F390" i="11"/>
  <c r="G389" i="11"/>
  <c r="I389" i="11" s="1"/>
  <c r="F389" i="11"/>
  <c r="G388" i="11"/>
  <c r="I388" i="11" s="1"/>
  <c r="F388" i="11"/>
  <c r="G387" i="11"/>
  <c r="I387" i="11" s="1"/>
  <c r="F387" i="11"/>
  <c r="G386" i="11"/>
  <c r="I386" i="11" s="1"/>
  <c r="F386" i="11"/>
  <c r="G385" i="11"/>
  <c r="I385" i="11" s="1"/>
  <c r="F385" i="11"/>
  <c r="G384" i="11"/>
  <c r="I384" i="11" s="1"/>
  <c r="F384" i="11"/>
  <c r="G383" i="11"/>
  <c r="I383" i="11" s="1"/>
  <c r="F383" i="11"/>
  <c r="G382" i="11"/>
  <c r="I382" i="11" s="1"/>
  <c r="F382" i="11"/>
  <c r="G381" i="11"/>
  <c r="I381" i="11" s="1"/>
  <c r="F381" i="11"/>
  <c r="G380" i="11"/>
  <c r="I380" i="11" s="1"/>
  <c r="F380" i="11"/>
  <c r="G379" i="11"/>
  <c r="I379" i="11" s="1"/>
  <c r="F379" i="11"/>
  <c r="G378" i="11"/>
  <c r="I378" i="11" s="1"/>
  <c r="F378" i="11"/>
  <c r="G377" i="11"/>
  <c r="I377" i="11" s="1"/>
  <c r="F377" i="11"/>
  <c r="G376" i="11"/>
  <c r="I376" i="11" s="1"/>
  <c r="F376" i="11"/>
  <c r="G375" i="11"/>
  <c r="I375" i="11" s="1"/>
  <c r="F375" i="11"/>
  <c r="G374" i="11"/>
  <c r="I374" i="11" s="1"/>
  <c r="F374" i="11"/>
  <c r="G373" i="11"/>
  <c r="I373" i="11" s="1"/>
  <c r="F373" i="11"/>
  <c r="G372" i="11"/>
  <c r="I372" i="11" s="1"/>
  <c r="F372" i="11"/>
  <c r="G371" i="11"/>
  <c r="I371" i="11" s="1"/>
  <c r="F371" i="11"/>
  <c r="G370" i="11"/>
  <c r="I370" i="11" s="1"/>
  <c r="F370" i="11"/>
  <c r="G369" i="11"/>
  <c r="I369" i="11" s="1"/>
  <c r="F369" i="11"/>
  <c r="G368" i="11"/>
  <c r="I368" i="11" s="1"/>
  <c r="F368" i="11"/>
  <c r="G367" i="11"/>
  <c r="I367" i="11" s="1"/>
  <c r="F367" i="11"/>
  <c r="G366" i="11"/>
  <c r="I366" i="11" s="1"/>
  <c r="F366" i="11"/>
  <c r="G365" i="11"/>
  <c r="I365" i="11" s="1"/>
  <c r="F365" i="11"/>
  <c r="G364" i="11"/>
  <c r="I364" i="11" s="1"/>
  <c r="F364" i="11"/>
  <c r="G363" i="11"/>
  <c r="I363" i="11" s="1"/>
  <c r="F363" i="11"/>
  <c r="G362" i="11"/>
  <c r="I362" i="11" s="1"/>
  <c r="F362" i="11"/>
  <c r="G361" i="11"/>
  <c r="I361" i="11" s="1"/>
  <c r="F361" i="11"/>
  <c r="G360" i="11"/>
  <c r="I360" i="11" s="1"/>
  <c r="F360" i="11"/>
  <c r="G359" i="11"/>
  <c r="I359" i="11" s="1"/>
  <c r="F359" i="11"/>
  <c r="G358" i="11"/>
  <c r="I358" i="11" s="1"/>
  <c r="F358" i="11"/>
  <c r="G357" i="11"/>
  <c r="I357" i="11" s="1"/>
  <c r="F357" i="11"/>
  <c r="G356" i="11"/>
  <c r="I356" i="11" s="1"/>
  <c r="F356" i="11"/>
  <c r="G355" i="11"/>
  <c r="I355" i="11" s="1"/>
  <c r="F355" i="11"/>
  <c r="G354" i="11"/>
  <c r="I354" i="11" s="1"/>
  <c r="F354" i="11"/>
  <c r="G353" i="11"/>
  <c r="I353" i="11" s="1"/>
  <c r="F353" i="11"/>
  <c r="G352" i="11"/>
  <c r="I352" i="11" s="1"/>
  <c r="F352" i="11"/>
  <c r="G351" i="11"/>
  <c r="I351" i="11" s="1"/>
  <c r="F351" i="11"/>
  <c r="G350" i="11"/>
  <c r="I350" i="11" s="1"/>
  <c r="F350" i="11"/>
  <c r="G349" i="11"/>
  <c r="I349" i="11" s="1"/>
  <c r="F349" i="11"/>
  <c r="G348" i="11"/>
  <c r="I348" i="11" s="1"/>
  <c r="F348" i="11"/>
  <c r="G347" i="11"/>
  <c r="I347" i="11" s="1"/>
  <c r="F347" i="11"/>
  <c r="G346" i="11"/>
  <c r="I346" i="11" s="1"/>
  <c r="F346" i="11"/>
  <c r="G345" i="11"/>
  <c r="I345" i="11" s="1"/>
  <c r="F345" i="11"/>
  <c r="G344" i="11"/>
  <c r="I344" i="11" s="1"/>
  <c r="F344" i="11"/>
  <c r="G343" i="11"/>
  <c r="I343" i="11" s="1"/>
  <c r="F343" i="11"/>
  <c r="G342" i="11"/>
  <c r="I342" i="11" s="1"/>
  <c r="F342" i="11"/>
  <c r="G341" i="11"/>
  <c r="I341" i="11" s="1"/>
  <c r="F341" i="11"/>
  <c r="G340" i="11"/>
  <c r="I340" i="11" s="1"/>
  <c r="F340" i="11"/>
  <c r="G339" i="11"/>
  <c r="I339" i="11" s="1"/>
  <c r="F339" i="11"/>
  <c r="G338" i="11"/>
  <c r="I338" i="11" s="1"/>
  <c r="F338" i="11"/>
  <c r="G337" i="11"/>
  <c r="I337" i="11" s="1"/>
  <c r="F337" i="11"/>
  <c r="G336" i="11"/>
  <c r="I336" i="11" s="1"/>
  <c r="F336" i="11"/>
  <c r="G335" i="11"/>
  <c r="I335" i="11" s="1"/>
  <c r="F335" i="11"/>
  <c r="G334" i="11"/>
  <c r="I334" i="11" s="1"/>
  <c r="F334" i="11"/>
  <c r="G333" i="11"/>
  <c r="I333" i="11" s="1"/>
  <c r="F333" i="11"/>
  <c r="G332" i="11"/>
  <c r="I332" i="11" s="1"/>
  <c r="F332" i="11"/>
  <c r="G331" i="11"/>
  <c r="I331" i="11" s="1"/>
  <c r="F331" i="11"/>
  <c r="G330" i="11"/>
  <c r="I330" i="11" s="1"/>
  <c r="F330" i="11"/>
  <c r="G329" i="11"/>
  <c r="I329" i="11" s="1"/>
  <c r="F329" i="11"/>
  <c r="G328" i="11"/>
  <c r="I328" i="11" s="1"/>
  <c r="F328" i="11"/>
  <c r="G327" i="11"/>
  <c r="I327" i="11" s="1"/>
  <c r="F327" i="11"/>
  <c r="G326" i="11"/>
  <c r="I326" i="11" s="1"/>
  <c r="F326" i="11"/>
  <c r="G325" i="11"/>
  <c r="I325" i="11" s="1"/>
  <c r="F325" i="11"/>
  <c r="G324" i="11"/>
  <c r="I324" i="11" s="1"/>
  <c r="F324" i="11"/>
  <c r="G323" i="11"/>
  <c r="I323" i="11" s="1"/>
  <c r="F323" i="11"/>
  <c r="G322" i="11"/>
  <c r="I322" i="11" s="1"/>
  <c r="F322" i="11"/>
  <c r="G321" i="11"/>
  <c r="I321" i="11" s="1"/>
  <c r="F321" i="11"/>
  <c r="G320" i="11"/>
  <c r="I320" i="11" s="1"/>
  <c r="F320" i="11"/>
  <c r="G319" i="11"/>
  <c r="I319" i="11" s="1"/>
  <c r="F319" i="11"/>
  <c r="G318" i="11"/>
  <c r="I318" i="11" s="1"/>
  <c r="F318" i="11"/>
  <c r="G317" i="11"/>
  <c r="I317" i="11" s="1"/>
  <c r="F317" i="11"/>
  <c r="G316" i="11"/>
  <c r="I316" i="11" s="1"/>
  <c r="F316" i="11"/>
  <c r="G315" i="11"/>
  <c r="I315" i="11" s="1"/>
  <c r="F315" i="11"/>
  <c r="G314" i="11"/>
  <c r="I314" i="11" s="1"/>
  <c r="F314" i="11"/>
  <c r="G313" i="11"/>
  <c r="I313" i="11" s="1"/>
  <c r="F313" i="11"/>
  <c r="G312" i="11"/>
  <c r="I312" i="11" s="1"/>
  <c r="F312" i="11"/>
  <c r="G311" i="11"/>
  <c r="I311" i="11" s="1"/>
  <c r="F311" i="11"/>
  <c r="G310" i="11"/>
  <c r="I310" i="11" s="1"/>
  <c r="F310" i="11"/>
  <c r="G309" i="11"/>
  <c r="I309" i="11" s="1"/>
  <c r="F309" i="11"/>
  <c r="G308" i="11"/>
  <c r="I308" i="11" s="1"/>
  <c r="F308" i="11"/>
  <c r="G307" i="11"/>
  <c r="I307" i="11" s="1"/>
  <c r="F307" i="11"/>
  <c r="G306" i="11"/>
  <c r="I306" i="11" s="1"/>
  <c r="F306" i="11"/>
  <c r="G305" i="11"/>
  <c r="I305" i="11" s="1"/>
  <c r="F305" i="11"/>
  <c r="G304" i="11"/>
  <c r="I304" i="11" s="1"/>
  <c r="F304" i="11"/>
  <c r="G303" i="11"/>
  <c r="I303" i="11" s="1"/>
  <c r="F303" i="11"/>
  <c r="G302" i="11"/>
  <c r="I302" i="11" s="1"/>
  <c r="F302" i="11"/>
  <c r="G301" i="11"/>
  <c r="I301" i="11" s="1"/>
  <c r="F301" i="11"/>
  <c r="G300" i="11"/>
  <c r="I300" i="11" s="1"/>
  <c r="F300" i="11"/>
  <c r="G299" i="11"/>
  <c r="I299" i="11" s="1"/>
  <c r="F299" i="11"/>
  <c r="G298" i="11"/>
  <c r="I298" i="11" s="1"/>
  <c r="F298" i="11"/>
  <c r="G297" i="11"/>
  <c r="I297" i="11" s="1"/>
  <c r="F297" i="11"/>
  <c r="G296" i="11"/>
  <c r="I296" i="11" s="1"/>
  <c r="F296" i="11"/>
  <c r="G295" i="11"/>
  <c r="I295" i="11" s="1"/>
  <c r="F295" i="11"/>
  <c r="G294" i="11"/>
  <c r="I294" i="11" s="1"/>
  <c r="F294" i="11"/>
  <c r="G293" i="11"/>
  <c r="I293" i="11" s="1"/>
  <c r="F293" i="11"/>
  <c r="G292" i="11"/>
  <c r="I292" i="11" s="1"/>
  <c r="F292" i="11"/>
  <c r="G291" i="11"/>
  <c r="I291" i="11" s="1"/>
  <c r="F291" i="11"/>
  <c r="G290" i="11"/>
  <c r="I290" i="11" s="1"/>
  <c r="F290" i="11"/>
  <c r="G289" i="11"/>
  <c r="I289" i="11" s="1"/>
  <c r="F289" i="11"/>
  <c r="G288" i="11"/>
  <c r="I288" i="11" s="1"/>
  <c r="F288" i="11"/>
  <c r="G287" i="11"/>
  <c r="I287" i="11" s="1"/>
  <c r="F287" i="11"/>
  <c r="G286" i="11"/>
  <c r="I286" i="11" s="1"/>
  <c r="F286" i="11"/>
  <c r="G285" i="11"/>
  <c r="I285" i="11" s="1"/>
  <c r="F285" i="11"/>
  <c r="G284" i="11"/>
  <c r="I284" i="11" s="1"/>
  <c r="F284" i="11"/>
  <c r="G283" i="11"/>
  <c r="I283" i="11" s="1"/>
  <c r="F283" i="11"/>
  <c r="G282" i="11"/>
  <c r="I282" i="11" s="1"/>
  <c r="F282" i="11"/>
  <c r="G281" i="11"/>
  <c r="I281" i="11" s="1"/>
  <c r="F281" i="11"/>
  <c r="G280" i="11"/>
  <c r="I280" i="11" s="1"/>
  <c r="F280" i="11"/>
  <c r="G279" i="11"/>
  <c r="I279" i="11" s="1"/>
  <c r="F279" i="11"/>
  <c r="G278" i="11"/>
  <c r="I278" i="11" s="1"/>
  <c r="F278" i="11"/>
  <c r="G277" i="11"/>
  <c r="I277" i="11" s="1"/>
  <c r="F277" i="11"/>
  <c r="G276" i="11"/>
  <c r="I276" i="11" s="1"/>
  <c r="F276" i="11"/>
  <c r="G275" i="11"/>
  <c r="I275" i="11" s="1"/>
  <c r="F275" i="11"/>
  <c r="G274" i="11"/>
  <c r="I274" i="11" s="1"/>
  <c r="F274" i="11"/>
  <c r="G273" i="11"/>
  <c r="I273" i="11" s="1"/>
  <c r="F273" i="11"/>
  <c r="G272" i="11"/>
  <c r="I272" i="11" s="1"/>
  <c r="F272" i="11"/>
  <c r="G271" i="11"/>
  <c r="I271" i="11" s="1"/>
  <c r="F271" i="11"/>
  <c r="G270" i="11"/>
  <c r="I270" i="11" s="1"/>
  <c r="F270" i="11"/>
  <c r="G269" i="11"/>
  <c r="I269" i="11" s="1"/>
  <c r="F269" i="11"/>
  <c r="G268" i="11"/>
  <c r="I268" i="11" s="1"/>
  <c r="F268" i="11"/>
  <c r="G267" i="11"/>
  <c r="I267" i="11" s="1"/>
  <c r="F267" i="11"/>
  <c r="G266" i="11"/>
  <c r="I266" i="11" s="1"/>
  <c r="F266" i="11"/>
  <c r="G265" i="11"/>
  <c r="I265" i="11" s="1"/>
  <c r="F265" i="11"/>
  <c r="G264" i="11"/>
  <c r="I264" i="11" s="1"/>
  <c r="F264" i="11"/>
  <c r="G263" i="11"/>
  <c r="I263" i="11" s="1"/>
  <c r="F263" i="11"/>
  <c r="G262" i="11"/>
  <c r="I262" i="11" s="1"/>
  <c r="F262" i="11"/>
  <c r="G261" i="11"/>
  <c r="I261" i="11" s="1"/>
  <c r="F261" i="11"/>
  <c r="G260" i="11"/>
  <c r="I260" i="11" s="1"/>
  <c r="F260" i="11"/>
  <c r="G259" i="11"/>
  <c r="I259" i="11" s="1"/>
  <c r="F259" i="11"/>
  <c r="G258" i="11"/>
  <c r="I258" i="11" s="1"/>
  <c r="F258" i="11"/>
  <c r="G257" i="11"/>
  <c r="I257" i="11" s="1"/>
  <c r="F257" i="11"/>
  <c r="G256" i="11"/>
  <c r="I256" i="11" s="1"/>
  <c r="F256" i="11"/>
  <c r="G255" i="11"/>
  <c r="I255" i="11" s="1"/>
  <c r="F255" i="11"/>
  <c r="G254" i="11"/>
  <c r="I254" i="11" s="1"/>
  <c r="F254" i="11"/>
  <c r="G253" i="11"/>
  <c r="I253" i="11" s="1"/>
  <c r="F253" i="11"/>
  <c r="G252" i="11"/>
  <c r="I252" i="11" s="1"/>
  <c r="F252" i="11"/>
  <c r="G251" i="11"/>
  <c r="I251" i="11" s="1"/>
  <c r="F251" i="11"/>
  <c r="G250" i="11"/>
  <c r="I250" i="11" s="1"/>
  <c r="F250" i="11"/>
  <c r="G249" i="11"/>
  <c r="I249" i="11" s="1"/>
  <c r="F249" i="11"/>
  <c r="G248" i="11"/>
  <c r="I248" i="11" s="1"/>
  <c r="F248" i="11"/>
  <c r="G247" i="11"/>
  <c r="I247" i="11" s="1"/>
  <c r="F247" i="11"/>
  <c r="G246" i="11"/>
  <c r="I246" i="11" s="1"/>
  <c r="F246" i="11"/>
  <c r="G245" i="11"/>
  <c r="I245" i="11" s="1"/>
  <c r="F245" i="11"/>
  <c r="G244" i="11"/>
  <c r="I244" i="11" s="1"/>
  <c r="F244" i="11"/>
  <c r="G243" i="11"/>
  <c r="I243" i="11" s="1"/>
  <c r="F243" i="11"/>
  <c r="G242" i="11"/>
  <c r="I242" i="11" s="1"/>
  <c r="F242" i="11"/>
  <c r="G241" i="11"/>
  <c r="I241" i="11" s="1"/>
  <c r="F241" i="11"/>
  <c r="G240" i="11"/>
  <c r="I240" i="11" s="1"/>
  <c r="F240" i="11"/>
  <c r="G239" i="11"/>
  <c r="I239" i="11" s="1"/>
  <c r="F239" i="11"/>
  <c r="G238" i="11"/>
  <c r="I238" i="11" s="1"/>
  <c r="F238" i="11"/>
  <c r="G237" i="11"/>
  <c r="I237" i="11" s="1"/>
  <c r="F237" i="11"/>
  <c r="G236" i="11"/>
  <c r="I236" i="11" s="1"/>
  <c r="F236" i="11"/>
  <c r="G235" i="11"/>
  <c r="I235" i="11" s="1"/>
  <c r="F235" i="11"/>
  <c r="G234" i="11"/>
  <c r="I234" i="11" s="1"/>
  <c r="F234" i="11"/>
  <c r="G233" i="11"/>
  <c r="I233" i="11" s="1"/>
  <c r="F233" i="11"/>
  <c r="G232" i="11"/>
  <c r="I232" i="11" s="1"/>
  <c r="F232" i="11"/>
  <c r="G231" i="11"/>
  <c r="I231" i="11" s="1"/>
  <c r="F231" i="11"/>
  <c r="G230" i="11"/>
  <c r="I230" i="11" s="1"/>
  <c r="F230" i="11"/>
  <c r="G229" i="11"/>
  <c r="I229" i="11" s="1"/>
  <c r="F229" i="11"/>
  <c r="G228" i="11"/>
  <c r="I228" i="11" s="1"/>
  <c r="F228" i="11"/>
  <c r="G227" i="11"/>
  <c r="I227" i="11" s="1"/>
  <c r="F227" i="11"/>
  <c r="G226" i="11"/>
  <c r="I226" i="11" s="1"/>
  <c r="F226" i="11"/>
  <c r="G225" i="11"/>
  <c r="I225" i="11" s="1"/>
  <c r="F225" i="11"/>
  <c r="G224" i="11"/>
  <c r="I224" i="11" s="1"/>
  <c r="F224" i="11"/>
  <c r="G223" i="11"/>
  <c r="I223" i="11" s="1"/>
  <c r="F223" i="11"/>
  <c r="G222" i="11"/>
  <c r="I222" i="11" s="1"/>
  <c r="F222" i="11"/>
  <c r="G221" i="11"/>
  <c r="I221" i="11" s="1"/>
  <c r="F221" i="11"/>
  <c r="G220" i="11"/>
  <c r="I220" i="11" s="1"/>
  <c r="F220" i="11"/>
  <c r="G219" i="11"/>
  <c r="I219" i="11" s="1"/>
  <c r="F219" i="11"/>
  <c r="G218" i="11"/>
  <c r="I218" i="11" s="1"/>
  <c r="F218" i="11"/>
  <c r="G217" i="11"/>
  <c r="I217" i="11" s="1"/>
  <c r="F217" i="11"/>
  <c r="G216" i="11"/>
  <c r="I216" i="11" s="1"/>
  <c r="F216" i="11"/>
  <c r="G215" i="11"/>
  <c r="I215" i="11" s="1"/>
  <c r="F215" i="11"/>
  <c r="G214" i="11"/>
  <c r="I214" i="11" s="1"/>
  <c r="F214" i="11"/>
  <c r="G213" i="11"/>
  <c r="I213" i="11" s="1"/>
  <c r="F213" i="11"/>
  <c r="F212" i="11"/>
  <c r="G212" i="11" s="1"/>
  <c r="F211" i="11"/>
  <c r="G211" i="11" s="1"/>
  <c r="F210" i="11"/>
  <c r="G210" i="11" s="1"/>
  <c r="F209" i="11"/>
  <c r="G209" i="11" s="1"/>
  <c r="F208" i="11"/>
  <c r="G208" i="11" s="1"/>
  <c r="F207" i="11"/>
  <c r="G207" i="11" s="1"/>
  <c r="F206" i="11"/>
  <c r="G206" i="11" s="1"/>
  <c r="F205" i="11"/>
  <c r="G205" i="11" s="1"/>
  <c r="F204" i="11"/>
  <c r="G204" i="11" s="1"/>
  <c r="F203" i="11"/>
  <c r="G203" i="11" s="1"/>
  <c r="F202" i="11"/>
  <c r="G202" i="11" s="1"/>
  <c r="F201" i="11"/>
  <c r="G201" i="11" s="1"/>
  <c r="F200" i="11"/>
  <c r="G200" i="11" s="1"/>
  <c r="F199" i="11"/>
  <c r="G199" i="11" s="1"/>
  <c r="F198" i="11"/>
  <c r="G198" i="11" s="1"/>
  <c r="F197" i="11"/>
  <c r="G197" i="11" s="1"/>
  <c r="F196" i="11"/>
  <c r="G196" i="11" s="1"/>
  <c r="F195" i="11"/>
  <c r="G195" i="11" s="1"/>
  <c r="F194" i="11"/>
  <c r="G194" i="11" s="1"/>
  <c r="F193" i="11"/>
  <c r="G193" i="11" s="1"/>
  <c r="F192" i="11"/>
  <c r="G192" i="11" s="1"/>
  <c r="F191" i="11"/>
  <c r="G191" i="11" s="1"/>
  <c r="F190" i="11"/>
  <c r="G190" i="11" s="1"/>
  <c r="F189" i="11"/>
  <c r="G189" i="11" s="1"/>
  <c r="F188" i="11"/>
  <c r="G188" i="11" s="1"/>
  <c r="F187" i="11"/>
  <c r="G187" i="11" s="1"/>
  <c r="F186" i="11"/>
  <c r="G186" i="11" s="1"/>
  <c r="F185" i="11"/>
  <c r="G185" i="11" s="1"/>
  <c r="F184" i="11"/>
  <c r="G184" i="11" s="1"/>
  <c r="F183" i="11"/>
  <c r="G183" i="11" s="1"/>
  <c r="F182" i="11"/>
  <c r="G182" i="11" s="1"/>
  <c r="F181" i="11"/>
  <c r="G181" i="11" s="1"/>
  <c r="F180" i="11"/>
  <c r="G180" i="11" s="1"/>
  <c r="F179" i="11"/>
  <c r="G179" i="11" s="1"/>
  <c r="F178" i="11"/>
  <c r="G178" i="11" s="1"/>
  <c r="F177" i="11"/>
  <c r="G177" i="11" s="1"/>
  <c r="F176" i="11"/>
  <c r="G176" i="11" s="1"/>
  <c r="F175" i="11"/>
  <c r="G175" i="11" s="1"/>
  <c r="F174" i="11"/>
  <c r="G174" i="11" s="1"/>
  <c r="F173" i="11"/>
  <c r="G173" i="11" s="1"/>
  <c r="F172" i="11"/>
  <c r="G172" i="11" s="1"/>
  <c r="F171" i="11"/>
  <c r="G171" i="11" s="1"/>
  <c r="F170" i="11"/>
  <c r="G170" i="11" s="1"/>
  <c r="F169" i="11"/>
  <c r="G169" i="11" s="1"/>
  <c r="F168" i="11"/>
  <c r="G168" i="11" s="1"/>
  <c r="F167" i="11"/>
  <c r="G167" i="11" s="1"/>
  <c r="F166" i="11"/>
  <c r="G166" i="11" s="1"/>
  <c r="F165" i="11"/>
  <c r="G165" i="11" s="1"/>
  <c r="F164" i="11"/>
  <c r="G164" i="11" s="1"/>
  <c r="F163" i="11"/>
  <c r="G163" i="11" s="1"/>
  <c r="F162" i="11"/>
  <c r="G162" i="11" s="1"/>
  <c r="F161" i="11"/>
  <c r="G161" i="11" s="1"/>
  <c r="F160" i="11"/>
  <c r="G160" i="11" s="1"/>
  <c r="F159" i="11"/>
  <c r="G159" i="11" s="1"/>
  <c r="F158" i="11"/>
  <c r="G158" i="11" s="1"/>
  <c r="F157" i="11"/>
  <c r="G157" i="11" s="1"/>
  <c r="F156" i="11"/>
  <c r="G156" i="11" s="1"/>
  <c r="F155" i="11"/>
  <c r="G155" i="11" s="1"/>
  <c r="F154" i="11"/>
  <c r="G154" i="11" s="1"/>
  <c r="F153" i="11"/>
  <c r="G153" i="11" s="1"/>
  <c r="F152" i="11"/>
  <c r="G152" i="11" s="1"/>
  <c r="F151" i="11"/>
  <c r="G151" i="11" s="1"/>
  <c r="F150" i="11"/>
  <c r="G150" i="11" s="1"/>
  <c r="F149" i="11"/>
  <c r="G149" i="11" s="1"/>
  <c r="F148" i="11"/>
  <c r="G148" i="11" s="1"/>
  <c r="F147" i="11"/>
  <c r="G147" i="11" s="1"/>
  <c r="F146" i="11"/>
  <c r="G146" i="11" s="1"/>
  <c r="F145" i="11"/>
  <c r="G145" i="11" s="1"/>
  <c r="F144" i="11"/>
  <c r="G144" i="11" s="1"/>
  <c r="F143" i="11"/>
  <c r="G143" i="11" s="1"/>
  <c r="F142" i="11"/>
  <c r="G142" i="11" s="1"/>
  <c r="F141" i="11"/>
  <c r="G141" i="11" s="1"/>
  <c r="F140" i="11"/>
  <c r="G140" i="11" s="1"/>
  <c r="F139" i="11"/>
  <c r="G139" i="11" s="1"/>
  <c r="F138" i="11"/>
  <c r="G138" i="11" s="1"/>
  <c r="F137" i="11"/>
  <c r="G137" i="11" s="1"/>
  <c r="F136" i="11"/>
  <c r="G136" i="11" s="1"/>
  <c r="F135" i="11"/>
  <c r="G135" i="11" s="1"/>
  <c r="F134" i="11"/>
  <c r="G134" i="11" s="1"/>
  <c r="F133" i="11"/>
  <c r="G133" i="11" s="1"/>
  <c r="F132" i="11"/>
  <c r="G132" i="11" s="1"/>
  <c r="F131" i="11"/>
  <c r="G131" i="11" s="1"/>
  <c r="F130" i="11"/>
  <c r="G130" i="11" s="1"/>
  <c r="F129" i="11"/>
  <c r="G129" i="11" s="1"/>
  <c r="F128" i="11"/>
  <c r="G128" i="11" s="1"/>
  <c r="F127" i="11"/>
  <c r="G127" i="11" s="1"/>
  <c r="F126" i="11"/>
  <c r="G126" i="11" s="1"/>
  <c r="F125" i="11"/>
  <c r="G125" i="11" s="1"/>
  <c r="F124" i="11"/>
  <c r="G124" i="11" s="1"/>
  <c r="F123" i="11"/>
  <c r="G123" i="11" s="1"/>
  <c r="F122" i="11"/>
  <c r="G122" i="11" s="1"/>
  <c r="F121" i="11"/>
  <c r="G121" i="11" s="1"/>
  <c r="F120" i="11"/>
  <c r="G120" i="11" s="1"/>
  <c r="F119" i="11"/>
  <c r="G119" i="11" s="1"/>
  <c r="F118" i="11"/>
  <c r="G118" i="11" s="1"/>
  <c r="F117" i="11"/>
  <c r="G117" i="11" s="1"/>
  <c r="F116" i="11"/>
  <c r="G116" i="11" s="1"/>
  <c r="F115" i="11"/>
  <c r="G115" i="11" s="1"/>
  <c r="F114" i="11"/>
  <c r="G114" i="11" s="1"/>
  <c r="F113" i="11"/>
  <c r="G113" i="11" s="1"/>
  <c r="F112" i="11"/>
  <c r="G112" i="11" s="1"/>
  <c r="F111" i="11"/>
  <c r="G111" i="11" s="1"/>
  <c r="F110" i="11"/>
  <c r="G110" i="11" s="1"/>
  <c r="F109" i="11"/>
  <c r="G109" i="11" s="1"/>
  <c r="F108" i="11"/>
  <c r="G108" i="11" s="1"/>
  <c r="F107" i="11"/>
  <c r="G107" i="11" s="1"/>
  <c r="F106" i="11"/>
  <c r="G106" i="11" s="1"/>
  <c r="F105" i="11"/>
  <c r="G105" i="11" s="1"/>
  <c r="F104" i="11"/>
  <c r="G104" i="11" s="1"/>
  <c r="F103" i="11"/>
  <c r="G103" i="11" s="1"/>
  <c r="F102" i="11"/>
  <c r="G102" i="11" s="1"/>
  <c r="F101" i="11"/>
  <c r="G101" i="11" s="1"/>
  <c r="F100" i="11"/>
  <c r="G100" i="11" s="1"/>
  <c r="F99" i="11"/>
  <c r="G99" i="11" s="1"/>
  <c r="F98" i="11"/>
  <c r="G98" i="11" s="1"/>
  <c r="F97" i="11"/>
  <c r="G97" i="11" s="1"/>
  <c r="F96" i="11"/>
  <c r="G96" i="11" s="1"/>
  <c r="F95" i="11"/>
  <c r="G95" i="11" s="1"/>
  <c r="F94" i="11"/>
  <c r="G94" i="11" s="1"/>
  <c r="F93" i="11"/>
  <c r="G93" i="11" s="1"/>
  <c r="F92" i="11"/>
  <c r="G92" i="11" s="1"/>
  <c r="F91" i="11"/>
  <c r="G91" i="11" s="1"/>
  <c r="F90" i="11"/>
  <c r="G90" i="11" s="1"/>
  <c r="F89" i="11"/>
  <c r="G89" i="11" s="1"/>
  <c r="F88" i="11"/>
  <c r="G88" i="11" s="1"/>
  <c r="F87" i="11"/>
  <c r="G87" i="11" s="1"/>
  <c r="F86" i="11"/>
  <c r="G86" i="11" s="1"/>
  <c r="F85" i="11"/>
  <c r="G85" i="11" s="1"/>
  <c r="F84" i="11"/>
  <c r="G84" i="11" s="1"/>
  <c r="F83" i="11"/>
  <c r="G83" i="11" s="1"/>
  <c r="F82" i="11"/>
  <c r="G82" i="11" s="1"/>
  <c r="F81" i="11"/>
  <c r="G81" i="11" s="1"/>
  <c r="F80" i="11"/>
  <c r="G80" i="11" s="1"/>
  <c r="F79" i="11"/>
  <c r="G79" i="11" s="1"/>
  <c r="F78" i="11"/>
  <c r="G78" i="11" s="1"/>
  <c r="F77" i="11"/>
  <c r="G77" i="11" s="1"/>
  <c r="F76" i="11"/>
  <c r="G76" i="11" s="1"/>
  <c r="F75" i="11"/>
  <c r="G75" i="11" s="1"/>
  <c r="F74" i="11"/>
  <c r="G74" i="11" s="1"/>
  <c r="F73" i="11"/>
  <c r="G73" i="11" s="1"/>
  <c r="F72" i="11"/>
  <c r="G72" i="11" s="1"/>
  <c r="F71" i="11"/>
  <c r="G71" i="11" s="1"/>
  <c r="F70" i="11"/>
  <c r="G70" i="11" s="1"/>
  <c r="F69" i="11"/>
  <c r="G69" i="11" s="1"/>
  <c r="F68" i="11"/>
  <c r="G68" i="11" s="1"/>
  <c r="F67" i="11"/>
  <c r="G67" i="11" s="1"/>
  <c r="F66" i="11"/>
  <c r="G66" i="11" s="1"/>
  <c r="F65" i="11"/>
  <c r="G65" i="11" s="1"/>
  <c r="F64" i="11"/>
  <c r="G64" i="11" s="1"/>
  <c r="F63" i="11"/>
  <c r="G63" i="11" s="1"/>
  <c r="F62" i="11"/>
  <c r="G62" i="11" s="1"/>
  <c r="F61" i="11"/>
  <c r="G61" i="11" s="1"/>
  <c r="F60" i="11"/>
  <c r="G60" i="11" s="1"/>
  <c r="F59" i="11"/>
  <c r="G59" i="11" s="1"/>
  <c r="F58" i="11"/>
  <c r="G58" i="11" s="1"/>
  <c r="F57" i="11"/>
  <c r="G57" i="11" s="1"/>
  <c r="F56" i="11"/>
  <c r="G56" i="11" s="1"/>
  <c r="F55" i="11"/>
  <c r="G55" i="11" s="1"/>
  <c r="F54" i="11"/>
  <c r="G54" i="11" s="1"/>
  <c r="F53" i="11"/>
  <c r="G53" i="11" s="1"/>
  <c r="F52" i="11"/>
  <c r="G52" i="11" s="1"/>
  <c r="F51" i="11"/>
  <c r="G51" i="11" s="1"/>
  <c r="F50" i="11"/>
  <c r="G50" i="11" s="1"/>
  <c r="F49" i="11"/>
  <c r="G49" i="11" s="1"/>
  <c r="F48" i="11"/>
  <c r="G48" i="11" s="1"/>
  <c r="F47" i="11"/>
  <c r="G47" i="11" s="1"/>
  <c r="F46" i="11"/>
  <c r="G46" i="11" s="1"/>
  <c r="F45" i="11"/>
  <c r="G45" i="11" s="1"/>
  <c r="F44" i="11"/>
  <c r="G44" i="11" s="1"/>
  <c r="F43" i="11"/>
  <c r="G43" i="11" s="1"/>
  <c r="F42" i="11"/>
  <c r="G42" i="11" s="1"/>
  <c r="F41" i="11"/>
  <c r="G41" i="11" s="1"/>
  <c r="F40" i="11"/>
  <c r="G40" i="11" s="1"/>
  <c r="F39" i="11"/>
  <c r="G39" i="11" s="1"/>
  <c r="F38" i="11"/>
  <c r="G38" i="11" s="1"/>
  <c r="F37" i="11"/>
  <c r="G37" i="11" s="1"/>
  <c r="F36" i="11"/>
  <c r="G36" i="11" s="1"/>
  <c r="F35" i="11"/>
  <c r="G35" i="11" s="1"/>
  <c r="F34" i="11"/>
  <c r="G34" i="11" s="1"/>
  <c r="F33" i="11"/>
  <c r="G33" i="11" s="1"/>
  <c r="F32" i="11"/>
  <c r="G32" i="11" s="1"/>
  <c r="F31" i="11"/>
  <c r="G31" i="11" s="1"/>
  <c r="F30" i="11"/>
  <c r="G30" i="11" s="1"/>
  <c r="F29" i="11"/>
  <c r="G29" i="11" s="1"/>
  <c r="F28" i="11"/>
  <c r="G28" i="11" s="1"/>
  <c r="F27" i="11"/>
  <c r="G27" i="11" s="1"/>
  <c r="F26" i="11"/>
  <c r="G26" i="11" s="1"/>
  <c r="F25" i="11"/>
  <c r="G25" i="11" s="1"/>
  <c r="F24" i="11"/>
  <c r="G24" i="11" s="1"/>
  <c r="F23" i="11"/>
  <c r="G23" i="11" s="1"/>
  <c r="F22" i="11"/>
  <c r="G22" i="11" s="1"/>
  <c r="F21" i="11"/>
  <c r="G21" i="11" s="1"/>
  <c r="F20" i="11"/>
  <c r="G20" i="11" s="1"/>
  <c r="F19" i="11"/>
  <c r="G19" i="11" s="1"/>
  <c r="F18" i="11"/>
  <c r="G18" i="11" s="1"/>
  <c r="F17" i="11"/>
  <c r="G17" i="11" s="1"/>
  <c r="F16" i="11"/>
  <c r="G16" i="11" s="1"/>
  <c r="F15" i="11"/>
  <c r="G15" i="11" s="1"/>
  <c r="F14" i="11"/>
  <c r="G14" i="11" s="1"/>
  <c r="F13" i="11"/>
  <c r="G13" i="11" s="1"/>
  <c r="F12" i="11"/>
  <c r="G12" i="11" s="1"/>
  <c r="F11" i="11"/>
  <c r="G11" i="11" s="1"/>
  <c r="F10" i="11"/>
  <c r="G10" i="11" s="1"/>
  <c r="F9" i="11"/>
  <c r="G9" i="11" s="1"/>
  <c r="F8" i="11"/>
  <c r="G8" i="11" s="1"/>
  <c r="F7" i="11"/>
  <c r="G7" i="11" s="1"/>
  <c r="F6" i="11"/>
  <c r="G6" i="11" s="1"/>
  <c r="F5" i="11"/>
  <c r="G5" i="11" s="1"/>
  <c r="F4" i="11"/>
  <c r="G4" i="11" s="1"/>
  <c r="F3" i="11"/>
  <c r="G3" i="11" s="1"/>
  <c r="F2" i="11"/>
  <c r="G2" i="11" s="1"/>
  <c r="E8" i="8"/>
  <c r="D8" i="8"/>
  <c r="C8" i="8"/>
  <c r="E7" i="8"/>
  <c r="D7" i="8"/>
  <c r="C7" i="8"/>
  <c r="E6" i="8"/>
  <c r="D6" i="8"/>
  <c r="C6" i="8"/>
  <c r="E5" i="8"/>
  <c r="D5" i="8"/>
  <c r="C5" i="8"/>
  <c r="F5" i="8" s="1"/>
  <c r="E8" i="7"/>
  <c r="D8" i="7"/>
  <c r="C8" i="7"/>
  <c r="F8" i="7" s="1"/>
  <c r="E7" i="7"/>
  <c r="D7" i="7"/>
  <c r="C7" i="7"/>
  <c r="F7" i="7" s="1"/>
  <c r="E6" i="7"/>
  <c r="D6" i="7"/>
  <c r="C6" i="7"/>
  <c r="F6" i="7" s="1"/>
  <c r="E5" i="7"/>
  <c r="D5" i="7"/>
  <c r="D3" i="7" s="1"/>
  <c r="C5" i="7"/>
  <c r="F5" i="7" s="1"/>
  <c r="F8" i="6"/>
  <c r="E8" i="6"/>
  <c r="D8" i="6"/>
  <c r="C8" i="6"/>
  <c r="F7" i="6"/>
  <c r="E7" i="6"/>
  <c r="D7" i="6"/>
  <c r="C7" i="6"/>
  <c r="F6" i="6"/>
  <c r="E6" i="6"/>
  <c r="D6" i="6"/>
  <c r="C6" i="6"/>
  <c r="F5" i="6"/>
  <c r="E5" i="6"/>
  <c r="D5" i="6"/>
  <c r="D3" i="6" s="1"/>
  <c r="C5" i="6"/>
  <c r="F3" i="6"/>
  <c r="E8" i="5"/>
  <c r="D8" i="5"/>
  <c r="C8" i="5"/>
  <c r="E7" i="5"/>
  <c r="D7" i="5"/>
  <c r="C7" i="5"/>
  <c r="E6" i="5"/>
  <c r="D6" i="5"/>
  <c r="C6" i="5"/>
  <c r="F6" i="5" s="1"/>
  <c r="E5" i="5"/>
  <c r="D5" i="5"/>
  <c r="C5" i="5"/>
  <c r="E8" i="4"/>
  <c r="D8" i="4"/>
  <c r="C8" i="4"/>
  <c r="E7" i="4"/>
  <c r="D7" i="4"/>
  <c r="C7" i="4"/>
  <c r="E6" i="4"/>
  <c r="D6" i="4"/>
  <c r="C6" i="4"/>
  <c r="F6" i="4" s="1"/>
  <c r="E5" i="4"/>
  <c r="D5" i="4"/>
  <c r="C5" i="4"/>
  <c r="F26" i="2"/>
  <c r="E26" i="2"/>
  <c r="F25" i="2"/>
  <c r="E25" i="2"/>
  <c r="F24" i="2"/>
  <c r="E24" i="2"/>
  <c r="F23" i="2"/>
  <c r="E23" i="2"/>
  <c r="F22" i="2"/>
  <c r="E22" i="2"/>
  <c r="F21" i="2"/>
  <c r="E21" i="2"/>
  <c r="F20" i="2"/>
  <c r="E20" i="2"/>
  <c r="F19" i="2"/>
  <c r="E19" i="2"/>
  <c r="F18" i="2"/>
  <c r="E18" i="2"/>
  <c r="F17" i="2"/>
  <c r="E17" i="2"/>
  <c r="F16" i="2"/>
  <c r="E16" i="2"/>
  <c r="F15" i="2"/>
  <c r="E15" i="2"/>
  <c r="F14" i="2"/>
  <c r="E14" i="2"/>
  <c r="F13" i="2"/>
  <c r="E13" i="2"/>
  <c r="F12" i="2"/>
  <c r="E12" i="2"/>
  <c r="F11" i="2"/>
  <c r="E11" i="2"/>
  <c r="F10" i="2"/>
  <c r="E10" i="2"/>
  <c r="F9" i="2"/>
  <c r="E9" i="2"/>
  <c r="F8" i="2"/>
  <c r="E8" i="2"/>
  <c r="F7" i="2"/>
  <c r="E7" i="2"/>
  <c r="F6" i="2"/>
  <c r="E6" i="2"/>
  <c r="B7" i="17"/>
  <c r="B6" i="17"/>
  <c r="B5" i="17"/>
  <c r="B4" i="17"/>
  <c r="B3" i="17"/>
  <c r="B2" i="17"/>
  <c r="A7" i="17"/>
  <c r="A6" i="17"/>
  <c r="A5" i="17"/>
  <c r="A4" i="17"/>
  <c r="A3" i="17"/>
  <c r="A2" i="17"/>
  <c r="A5" i="16"/>
  <c r="B2749" i="12"/>
  <c r="C2748" i="12"/>
  <c r="D2747" i="12"/>
  <c r="D2746" i="12"/>
  <c r="E2745" i="12"/>
  <c r="A2745" i="12"/>
  <c r="B2744" i="12"/>
  <c r="C2743" i="12"/>
  <c r="D2742" i="12"/>
  <c r="E2741" i="12"/>
  <c r="A2741" i="12"/>
  <c r="B2740" i="12"/>
  <c r="C2739" i="12"/>
  <c r="D2738" i="12"/>
  <c r="E2737" i="12"/>
  <c r="A2737" i="12"/>
  <c r="B2736" i="12"/>
  <c r="C2735" i="12"/>
  <c r="D2734" i="12"/>
  <c r="E2733" i="12"/>
  <c r="A2733" i="12"/>
  <c r="B2732" i="12"/>
  <c r="C2731" i="12"/>
  <c r="D2730" i="12"/>
  <c r="E2729" i="12"/>
  <c r="A2729" i="12"/>
  <c r="B2728" i="12"/>
  <c r="C2727" i="12"/>
  <c r="D2726" i="12"/>
  <c r="E2725" i="12"/>
  <c r="A2725" i="12"/>
  <c r="B2724" i="12"/>
  <c r="C2723" i="12"/>
  <c r="D2722" i="12"/>
  <c r="E2721" i="12"/>
  <c r="A2721" i="12"/>
  <c r="B2720" i="12"/>
  <c r="C2719" i="12"/>
  <c r="D2718" i="12"/>
  <c r="E2717" i="12"/>
  <c r="A2717" i="12"/>
  <c r="B2716" i="12"/>
  <c r="C2715" i="12"/>
  <c r="D2714" i="12"/>
  <c r="E2713" i="12"/>
  <c r="A2713" i="12"/>
  <c r="B2712" i="12"/>
  <c r="C2711" i="12"/>
  <c r="D2710" i="12"/>
  <c r="E2709" i="12"/>
  <c r="A2709" i="12"/>
  <c r="B2708" i="12"/>
  <c r="C2707" i="12"/>
  <c r="D2706" i="12"/>
  <c r="E2705" i="12"/>
  <c r="A2705" i="12"/>
  <c r="B2704" i="12"/>
  <c r="C2703" i="12"/>
  <c r="D2702" i="12"/>
  <c r="E2701" i="12"/>
  <c r="A2701" i="12"/>
  <c r="B2700" i="12"/>
  <c r="C2699" i="12"/>
  <c r="D2698" i="12"/>
  <c r="E2697" i="12"/>
  <c r="A2697" i="12"/>
  <c r="B2696" i="12"/>
  <c r="B2695" i="12"/>
  <c r="B2694" i="12"/>
  <c r="B2693" i="12"/>
  <c r="B2692" i="12"/>
  <c r="C2691" i="12"/>
  <c r="C2690" i="12"/>
  <c r="C2689" i="12"/>
  <c r="D2688" i="12"/>
  <c r="E2687" i="12"/>
  <c r="A2687" i="12"/>
  <c r="B2686" i="12"/>
  <c r="B2685" i="12"/>
  <c r="C2684" i="12"/>
  <c r="D2683" i="12"/>
  <c r="D2682" i="12"/>
  <c r="D2681" i="12"/>
  <c r="D2680" i="12"/>
  <c r="D2679" i="12"/>
  <c r="D2678" i="12"/>
  <c r="D2677" i="12"/>
  <c r="D2676" i="12"/>
  <c r="D2675" i="12"/>
  <c r="D2674" i="12"/>
  <c r="D2673" i="12"/>
  <c r="D2672" i="12"/>
  <c r="D2671" i="12"/>
  <c r="D2670" i="12"/>
  <c r="D2669" i="12"/>
  <c r="D2668" i="12"/>
  <c r="D2667" i="12"/>
  <c r="D2666" i="12"/>
  <c r="D2665" i="12"/>
  <c r="D2664" i="12"/>
  <c r="D2663" i="12"/>
  <c r="D2662" i="12"/>
  <c r="D2661" i="12"/>
  <c r="D2660" i="12"/>
  <c r="E2659" i="12"/>
  <c r="A2659" i="12"/>
  <c r="B2658" i="12"/>
  <c r="C2657" i="12"/>
  <c r="D2656" i="12"/>
  <c r="E2655" i="12"/>
  <c r="A2655" i="12"/>
  <c r="B2654" i="12"/>
  <c r="C2653" i="12"/>
  <c r="D2652" i="12"/>
  <c r="E2651" i="12"/>
  <c r="A2651" i="12"/>
  <c r="B2650" i="12"/>
  <c r="C2649" i="12"/>
  <c r="D2648" i="12"/>
  <c r="E2647" i="12"/>
  <c r="A2647" i="12"/>
  <c r="B2646" i="12"/>
  <c r="C2645" i="12"/>
  <c r="D2644" i="12"/>
  <c r="E2643" i="12"/>
  <c r="A2643" i="12"/>
  <c r="B2642" i="12"/>
  <c r="C2641" i="12"/>
  <c r="D2640" i="12"/>
  <c r="E2639" i="12"/>
  <c r="A2639" i="12"/>
  <c r="B2638" i="12"/>
  <c r="C2637" i="12"/>
  <c r="D2636" i="12"/>
  <c r="E2635" i="12"/>
  <c r="A2635" i="12"/>
  <c r="B2634" i="12"/>
  <c r="C2633" i="12"/>
  <c r="D2632" i="12"/>
  <c r="E2631" i="12"/>
  <c r="A2631" i="12"/>
  <c r="B2630" i="12"/>
  <c r="C2629" i="12"/>
  <c r="C2628" i="12"/>
  <c r="D2627" i="12"/>
  <c r="E2626" i="12"/>
  <c r="A2626" i="12"/>
  <c r="B2625" i="12"/>
  <c r="C2624" i="12"/>
  <c r="D2623" i="12"/>
  <c r="E2622" i="12"/>
  <c r="A2622" i="12"/>
  <c r="B2621" i="12"/>
  <c r="C2620" i="12"/>
  <c r="D2619" i="12"/>
  <c r="E2618" i="12"/>
  <c r="A2618" i="12"/>
  <c r="B2617" i="12"/>
  <c r="C2616" i="12"/>
  <c r="D2615" i="12"/>
  <c r="E2614" i="12"/>
  <c r="A2614" i="12"/>
  <c r="B2613" i="12"/>
  <c r="C2612" i="12"/>
  <c r="D2611" i="12"/>
  <c r="E2610" i="12"/>
  <c r="A2610" i="12"/>
  <c r="B2609" i="12"/>
  <c r="C2608" i="12"/>
  <c r="D2607" i="12"/>
  <c r="E2606" i="12"/>
  <c r="A2606" i="12"/>
  <c r="B2605" i="12"/>
  <c r="C2604" i="12"/>
  <c r="D2603" i="12"/>
  <c r="E2602" i="12"/>
  <c r="A2602" i="12"/>
  <c r="B2601" i="12"/>
  <c r="C2600" i="12"/>
  <c r="D2599" i="12"/>
  <c r="E2598" i="12"/>
  <c r="A2598" i="12"/>
  <c r="B2597" i="12"/>
  <c r="C2596" i="12"/>
  <c r="D2595" i="12"/>
  <c r="E2594" i="12"/>
  <c r="A2594" i="12"/>
  <c r="B2593" i="12"/>
  <c r="C2592" i="12"/>
  <c r="D2591" i="12"/>
  <c r="E2590" i="12"/>
  <c r="A2590" i="12"/>
  <c r="B2589" i="12"/>
  <c r="C2588" i="12"/>
  <c r="D2587" i="12"/>
  <c r="E2586" i="12"/>
  <c r="A2586" i="12"/>
  <c r="B2585" i="12"/>
  <c r="C2584" i="12"/>
  <c r="D2583" i="12"/>
  <c r="E2582" i="12"/>
  <c r="A2582" i="12"/>
  <c r="B2581" i="12"/>
  <c r="C2580" i="12"/>
  <c r="D2579" i="12"/>
  <c r="E2578" i="12"/>
  <c r="A2578" i="12"/>
  <c r="B2577" i="12"/>
  <c r="C2576" i="12"/>
  <c r="D2575" i="12"/>
  <c r="E2574" i="12"/>
  <c r="A2574" i="12"/>
  <c r="B2573" i="12"/>
  <c r="C2572" i="12"/>
  <c r="D2571" i="12"/>
  <c r="E2570" i="12"/>
  <c r="A2570" i="12"/>
  <c r="B2569" i="12"/>
  <c r="C2568" i="12"/>
  <c r="D2567" i="12"/>
  <c r="E2566" i="12"/>
  <c r="A2566" i="12"/>
  <c r="B2565" i="12"/>
  <c r="C2564" i="12"/>
  <c r="D2563" i="12"/>
  <c r="E2562" i="12"/>
  <c r="A2562" i="12"/>
  <c r="B2561" i="12"/>
  <c r="C2560" i="12"/>
  <c r="E2749" i="12"/>
  <c r="A2749" i="12"/>
  <c r="B2748" i="12"/>
  <c r="C2747" i="12"/>
  <c r="C2746" i="12"/>
  <c r="D2745" i="12"/>
  <c r="E2744" i="12"/>
  <c r="A2744" i="12"/>
  <c r="B2743" i="12"/>
  <c r="C2742" i="12"/>
  <c r="D2741" i="12"/>
  <c r="E2740" i="12"/>
  <c r="A2740" i="12"/>
  <c r="B2739" i="12"/>
  <c r="C2738" i="12"/>
  <c r="D2737" i="12"/>
  <c r="E2736" i="12"/>
  <c r="A2736" i="12"/>
  <c r="B2735" i="12"/>
  <c r="C2734" i="12"/>
  <c r="D2733" i="12"/>
  <c r="E2732" i="12"/>
  <c r="A2732" i="12"/>
  <c r="B2731" i="12"/>
  <c r="C2730" i="12"/>
  <c r="D2729" i="12"/>
  <c r="E2728" i="12"/>
  <c r="A2728" i="12"/>
  <c r="B2727" i="12"/>
  <c r="C2726" i="12"/>
  <c r="D2725" i="12"/>
  <c r="E2724" i="12"/>
  <c r="A2724" i="12"/>
  <c r="B2723" i="12"/>
  <c r="C2722" i="12"/>
  <c r="D2721" i="12"/>
  <c r="E2720" i="12"/>
  <c r="A2720" i="12"/>
  <c r="B2719" i="12"/>
  <c r="C2718" i="12"/>
  <c r="D2717" i="12"/>
  <c r="E2716" i="12"/>
  <c r="A2716" i="12"/>
  <c r="B2715" i="12"/>
  <c r="C2714" i="12"/>
  <c r="D2713" i="12"/>
  <c r="E2712" i="12"/>
  <c r="A2712" i="12"/>
  <c r="B2711" i="12"/>
  <c r="C2710" i="12"/>
  <c r="D2709" i="12"/>
  <c r="E2708" i="12"/>
  <c r="A2708" i="12"/>
  <c r="B2707" i="12"/>
  <c r="C2706" i="12"/>
  <c r="D2705" i="12"/>
  <c r="E2704" i="12"/>
  <c r="A2704" i="12"/>
  <c r="B2703" i="12"/>
  <c r="C2702" i="12"/>
  <c r="D2701" i="12"/>
  <c r="E2700" i="12"/>
  <c r="A2700" i="12"/>
  <c r="B2699" i="12"/>
  <c r="C2698" i="12"/>
  <c r="D2697" i="12"/>
  <c r="E2696" i="12"/>
  <c r="A2696" i="12"/>
  <c r="A2695" i="12"/>
  <c r="A2694" i="12"/>
  <c r="A2693" i="12"/>
  <c r="A2692" i="12"/>
  <c r="B2691" i="12"/>
  <c r="B2690" i="12"/>
  <c r="B2689" i="12"/>
  <c r="C2688" i="12"/>
  <c r="D2687" i="12"/>
  <c r="E2686" i="12"/>
  <c r="A2686" i="12"/>
  <c r="A2685" i="12"/>
  <c r="B2684" i="12"/>
  <c r="C2683" i="12"/>
  <c r="C2682" i="12"/>
  <c r="C2681" i="12"/>
  <c r="C2680" i="12"/>
  <c r="C2679" i="12"/>
  <c r="C2678" i="12"/>
  <c r="C2677" i="12"/>
  <c r="C2676" i="12"/>
  <c r="C2675" i="12"/>
  <c r="C2674" i="12"/>
  <c r="C2673" i="12"/>
  <c r="C2672" i="12"/>
  <c r="C2671" i="12"/>
  <c r="C2670" i="12"/>
  <c r="C2669" i="12"/>
  <c r="C2668" i="12"/>
  <c r="C2667" i="12"/>
  <c r="C2666" i="12"/>
  <c r="C2665" i="12"/>
  <c r="C2664" i="12"/>
  <c r="C2663" i="12"/>
  <c r="C2662" i="12"/>
  <c r="C2661" i="12"/>
  <c r="C2660" i="12"/>
  <c r="D2659" i="12"/>
  <c r="E2658" i="12"/>
  <c r="A2658" i="12"/>
  <c r="B2657" i="12"/>
  <c r="C2656" i="12"/>
  <c r="D2655" i="12"/>
  <c r="E2654" i="12"/>
  <c r="A2654" i="12"/>
  <c r="B2653" i="12"/>
  <c r="C2652" i="12"/>
  <c r="D2651" i="12"/>
  <c r="E2650" i="12"/>
  <c r="A2650" i="12"/>
  <c r="B2649" i="12"/>
  <c r="C2648" i="12"/>
  <c r="D2647" i="12"/>
  <c r="E2646" i="12"/>
  <c r="A2646" i="12"/>
  <c r="B2645" i="12"/>
  <c r="C2644" i="12"/>
  <c r="D2643" i="12"/>
  <c r="E2642" i="12"/>
  <c r="A2642" i="12"/>
  <c r="B2641" i="12"/>
  <c r="C2640" i="12"/>
  <c r="D2639" i="12"/>
  <c r="E2638" i="12"/>
  <c r="A2638" i="12"/>
  <c r="B2637" i="12"/>
  <c r="C2636" i="12"/>
  <c r="D2635" i="12"/>
  <c r="E2634" i="12"/>
  <c r="A2634" i="12"/>
  <c r="B2633" i="12"/>
  <c r="C2632" i="12"/>
  <c r="D2631" i="12"/>
  <c r="E2630" i="12"/>
  <c r="A2630" i="12"/>
  <c r="B2629" i="12"/>
  <c r="B2628" i="12"/>
  <c r="C2627" i="12"/>
  <c r="D2626" i="12"/>
  <c r="E2625" i="12"/>
  <c r="A2625" i="12"/>
  <c r="B2624" i="12"/>
  <c r="C2623" i="12"/>
  <c r="D2622" i="12"/>
  <c r="E2621" i="12"/>
  <c r="A2621" i="12"/>
  <c r="B2620" i="12"/>
  <c r="C2619" i="12"/>
  <c r="D2618" i="12"/>
  <c r="E2617" i="12"/>
  <c r="A2617" i="12"/>
  <c r="B2616" i="12"/>
  <c r="C2615" i="12"/>
  <c r="D2614" i="12"/>
  <c r="E2613" i="12"/>
  <c r="A2613" i="12"/>
  <c r="B2612" i="12"/>
  <c r="C2611" i="12"/>
  <c r="D2610" i="12"/>
  <c r="E2609" i="12"/>
  <c r="A2609" i="12"/>
  <c r="B2608" i="12"/>
  <c r="C2607" i="12"/>
  <c r="D2606" i="12"/>
  <c r="E2605" i="12"/>
  <c r="A2605" i="12"/>
  <c r="B2604" i="12"/>
  <c r="C2603" i="12"/>
  <c r="D2602" i="12"/>
  <c r="E2601" i="12"/>
  <c r="A2601" i="12"/>
  <c r="B2600" i="12"/>
  <c r="C2599" i="12"/>
  <c r="D2598" i="12"/>
  <c r="E2597" i="12"/>
  <c r="A2597" i="12"/>
  <c r="B2596" i="12"/>
  <c r="C2595" i="12"/>
  <c r="D2594" i="12"/>
  <c r="E2593" i="12"/>
  <c r="A2593" i="12"/>
  <c r="B2592" i="12"/>
  <c r="C2591" i="12"/>
  <c r="D2590" i="12"/>
  <c r="E2589" i="12"/>
  <c r="A2589" i="12"/>
  <c r="B2588" i="12"/>
  <c r="C2587" i="12"/>
  <c r="D2586" i="12"/>
  <c r="E2585" i="12"/>
  <c r="A2585" i="12"/>
  <c r="B2584" i="12"/>
  <c r="C2583" i="12"/>
  <c r="D2582" i="12"/>
  <c r="E2581" i="12"/>
  <c r="A2581" i="12"/>
  <c r="B2580" i="12"/>
  <c r="C2579" i="12"/>
  <c r="D2578" i="12"/>
  <c r="E2577" i="12"/>
  <c r="A2577" i="12"/>
  <c r="B2576" i="12"/>
  <c r="C2575" i="12"/>
  <c r="D2574" i="12"/>
  <c r="E2573" i="12"/>
  <c r="A2573" i="12"/>
  <c r="B2572" i="12"/>
  <c r="C2571" i="12"/>
  <c r="D2570" i="12"/>
  <c r="E2569" i="12"/>
  <c r="A2569" i="12"/>
  <c r="B2568" i="12"/>
  <c r="C2567" i="12"/>
  <c r="D2566" i="12"/>
  <c r="E2565" i="12"/>
  <c r="A2565" i="12"/>
  <c r="B2564" i="12"/>
  <c r="C2563" i="12"/>
  <c r="D2562" i="12"/>
  <c r="E2561" i="12"/>
  <c r="A2561" i="12"/>
  <c r="B2560" i="12"/>
  <c r="C2559" i="12"/>
  <c r="D2558" i="12"/>
  <c r="E2557" i="12"/>
  <c r="A2557" i="12"/>
  <c r="B2556" i="12"/>
  <c r="C2555" i="12"/>
  <c r="D2554" i="12"/>
  <c r="E2553" i="12"/>
  <c r="A2553" i="12"/>
  <c r="B2552" i="12"/>
  <c r="C2551" i="12"/>
  <c r="D2550" i="12"/>
  <c r="E2549" i="12"/>
  <c r="A2549" i="12"/>
  <c r="B2548" i="12"/>
  <c r="C2547" i="12"/>
  <c r="D2546" i="12"/>
  <c r="E2545" i="12"/>
  <c r="A2545" i="12"/>
  <c r="B2544" i="12"/>
  <c r="C2543" i="12"/>
  <c r="D2542" i="12"/>
  <c r="E2541" i="12"/>
  <c r="A2541" i="12"/>
  <c r="B2540" i="12"/>
  <c r="C2539" i="12"/>
  <c r="D2538" i="12"/>
  <c r="E2537" i="12"/>
  <c r="A2537" i="12"/>
  <c r="B2536" i="12"/>
  <c r="C2535" i="12"/>
  <c r="D2534" i="12"/>
  <c r="E2533" i="12"/>
  <c r="A2533" i="12"/>
  <c r="B2532" i="12"/>
  <c r="C2531" i="12"/>
  <c r="D2530" i="12"/>
  <c r="E2529" i="12"/>
  <c r="A2529" i="12"/>
  <c r="B2528" i="12"/>
  <c r="C2527" i="12"/>
  <c r="D2526" i="12"/>
  <c r="E2525" i="12"/>
  <c r="A2525" i="12"/>
  <c r="B2524" i="12"/>
  <c r="C2523" i="12"/>
  <c r="D2522" i="12"/>
  <c r="E2521" i="12"/>
  <c r="A2521" i="12"/>
  <c r="B2520" i="12"/>
  <c r="C2519" i="12"/>
  <c r="D2518" i="12"/>
  <c r="E2517" i="12"/>
  <c r="A2517" i="12"/>
  <c r="B2516" i="12"/>
  <c r="C2515" i="12"/>
  <c r="D2514" i="12"/>
  <c r="E2513" i="12"/>
  <c r="A2513" i="12"/>
  <c r="B2512" i="12"/>
  <c r="C2511" i="12"/>
  <c r="D2510" i="12"/>
  <c r="E2509" i="12"/>
  <c r="A2509" i="12"/>
  <c r="B2508" i="12"/>
  <c r="C2507" i="12"/>
  <c r="D2506" i="12"/>
  <c r="E2505" i="12"/>
  <c r="A2505" i="12"/>
  <c r="B2504" i="12"/>
  <c r="C2503" i="12"/>
  <c r="D2502" i="12"/>
  <c r="E2501" i="12"/>
  <c r="A2501" i="12"/>
  <c r="B2500" i="12"/>
  <c r="C2499" i="12"/>
  <c r="D2498" i="12"/>
  <c r="E2497" i="12"/>
  <c r="A2497" i="12"/>
  <c r="B2496" i="12"/>
  <c r="C2495" i="12"/>
  <c r="D2494" i="12"/>
  <c r="E2493" i="12"/>
  <c r="A2493" i="12"/>
  <c r="B2492" i="12"/>
  <c r="C2491" i="12"/>
  <c r="D2490" i="12"/>
  <c r="E2489" i="12"/>
  <c r="A2489" i="12"/>
  <c r="B2488" i="12"/>
  <c r="C2487" i="12"/>
  <c r="D2486" i="12"/>
  <c r="E2485" i="12"/>
  <c r="A2485" i="12"/>
  <c r="B2484" i="12"/>
  <c r="C2483" i="12"/>
  <c r="D2482" i="12"/>
  <c r="E2481" i="12"/>
  <c r="A2481" i="12"/>
  <c r="B2480" i="12"/>
  <c r="C2479" i="12"/>
  <c r="D2478" i="12"/>
  <c r="E2477" i="12"/>
  <c r="A2477" i="12"/>
  <c r="B2476" i="12"/>
  <c r="C2475" i="12"/>
  <c r="D2474" i="12"/>
  <c r="E2473" i="12"/>
  <c r="A2473" i="12"/>
  <c r="B2472" i="12"/>
  <c r="C2471" i="12"/>
  <c r="D2470" i="12"/>
  <c r="E2469" i="12"/>
  <c r="A2469" i="12"/>
  <c r="B2468" i="12"/>
  <c r="C2467" i="12"/>
  <c r="D2466" i="12"/>
  <c r="E2465" i="12"/>
  <c r="A2465" i="12"/>
  <c r="B2464" i="12"/>
  <c r="C2463" i="12"/>
  <c r="D2462" i="12"/>
  <c r="E2461" i="12"/>
  <c r="A2461" i="12"/>
  <c r="B2460" i="12"/>
  <c r="C2459" i="12"/>
  <c r="D2458" i="12"/>
  <c r="E2457" i="12"/>
  <c r="A2457" i="12"/>
  <c r="B2456" i="12"/>
  <c r="C2455" i="12"/>
  <c r="D2454" i="12"/>
  <c r="E2453" i="12"/>
  <c r="A2453" i="12"/>
  <c r="B2452" i="12"/>
  <c r="C2451" i="12"/>
  <c r="D2450" i="12"/>
  <c r="E2449" i="12"/>
  <c r="A2449" i="12"/>
  <c r="B2448" i="12"/>
  <c r="C2447" i="12"/>
  <c r="D2446" i="12"/>
  <c r="E2445" i="12"/>
  <c r="A2445" i="12"/>
  <c r="B2444" i="12"/>
  <c r="C2443" i="12"/>
  <c r="D2442" i="12"/>
  <c r="E2441" i="12"/>
  <c r="A2441" i="12"/>
  <c r="B2440" i="12"/>
  <c r="C2439" i="12"/>
  <c r="D2438" i="12"/>
  <c r="E2437" i="12"/>
  <c r="A2437" i="12"/>
  <c r="B2436" i="12"/>
  <c r="C2435" i="12"/>
  <c r="D2434" i="12"/>
  <c r="E2433" i="12"/>
  <c r="A2433" i="12"/>
  <c r="B2432" i="12"/>
  <c r="C2431" i="12"/>
  <c r="D2430" i="12"/>
  <c r="E2429" i="12"/>
  <c r="A2429" i="12"/>
  <c r="B2428" i="12"/>
  <c r="C2427" i="12"/>
  <c r="D2426" i="12"/>
  <c r="E2425" i="12"/>
  <c r="A2425" i="12"/>
  <c r="B2424" i="12"/>
  <c r="C2423" i="12"/>
  <c r="D2422" i="12"/>
  <c r="E2421" i="12"/>
  <c r="A2421" i="12"/>
  <c r="B2420" i="12"/>
  <c r="C2419" i="12"/>
  <c r="D2418" i="12"/>
  <c r="E2417" i="12"/>
  <c r="A2417" i="12"/>
  <c r="B2416" i="12"/>
  <c r="C2415" i="12"/>
  <c r="D2414" i="12"/>
  <c r="E2413" i="12"/>
  <c r="A2413" i="12"/>
  <c r="B2412" i="12"/>
  <c r="C2411" i="12"/>
  <c r="D2410" i="12"/>
  <c r="E2409" i="12"/>
  <c r="A2409" i="12"/>
  <c r="B2408" i="12"/>
  <c r="C2407" i="12"/>
  <c r="D2406" i="12"/>
  <c r="E2405" i="12"/>
  <c r="A2405" i="12"/>
  <c r="B2404" i="12"/>
  <c r="C2403" i="12"/>
  <c r="D2402" i="12"/>
  <c r="E2401" i="12"/>
  <c r="A2401" i="12"/>
  <c r="B2400" i="12"/>
  <c r="C2399" i="12"/>
  <c r="D2398" i="12"/>
  <c r="E2397" i="12"/>
  <c r="A2397" i="12"/>
  <c r="B2396" i="12"/>
  <c r="C2395" i="12"/>
  <c r="D2394" i="12"/>
  <c r="E2393" i="12"/>
  <c r="A2393" i="12"/>
  <c r="B2392" i="12"/>
  <c r="C2391" i="12"/>
  <c r="D2390" i="12"/>
  <c r="E2389" i="12"/>
  <c r="A2389" i="12"/>
  <c r="B2388" i="12"/>
  <c r="C2387" i="12"/>
  <c r="D2386" i="12"/>
  <c r="E2385" i="12"/>
  <c r="A2385" i="12"/>
  <c r="B2384" i="12"/>
  <c r="C2383" i="12"/>
  <c r="D2382" i="12"/>
  <c r="E2381" i="12"/>
  <c r="A2381" i="12"/>
  <c r="B2380" i="12"/>
  <c r="C2379" i="12"/>
  <c r="C2378" i="12"/>
  <c r="D2377" i="12"/>
  <c r="E2376" i="12"/>
  <c r="A2376" i="12"/>
  <c r="B2375" i="12"/>
  <c r="C2374" i="12"/>
  <c r="D2373" i="12"/>
  <c r="E2372" i="12"/>
  <c r="A2372" i="12"/>
  <c r="B2371" i="12"/>
  <c r="C2370" i="12"/>
  <c r="D2369" i="12"/>
  <c r="E2368" i="12"/>
  <c r="A2368" i="12"/>
  <c r="B2367" i="12"/>
  <c r="C2366" i="12"/>
  <c r="D2365" i="12"/>
  <c r="E2364" i="12"/>
  <c r="A2364" i="12"/>
  <c r="B2363" i="12"/>
  <c r="C2362" i="12"/>
  <c r="D2361" i="12"/>
  <c r="E2360" i="12"/>
  <c r="A2360" i="12"/>
  <c r="B2359" i="12"/>
  <c r="C2358" i="12"/>
  <c r="D2357" i="12"/>
  <c r="E2356" i="12"/>
  <c r="A2356" i="12"/>
  <c r="B2355" i="12"/>
  <c r="C2354" i="12"/>
  <c r="C2353" i="12"/>
  <c r="D2352" i="12"/>
  <c r="E2351" i="12"/>
  <c r="A2351" i="12"/>
  <c r="B2350" i="12"/>
  <c r="C2349" i="12"/>
  <c r="D2348" i="12"/>
  <c r="E2347" i="12"/>
  <c r="A2347" i="12"/>
  <c r="B2346" i="12"/>
  <c r="C2345" i="12"/>
  <c r="D2344" i="12"/>
  <c r="E2343" i="12"/>
  <c r="A2343" i="12"/>
  <c r="B2342" i="12"/>
  <c r="C2341" i="12"/>
  <c r="D2340" i="12"/>
  <c r="E2339" i="12"/>
  <c r="A2339" i="12"/>
  <c r="B2338" i="12"/>
  <c r="C2337" i="12"/>
  <c r="D2336" i="12"/>
  <c r="E2335" i="12"/>
  <c r="A2335" i="12"/>
  <c r="B2334" i="12"/>
  <c r="C2333" i="12"/>
  <c r="D2332" i="12"/>
  <c r="E2331" i="12"/>
  <c r="A2331" i="12"/>
  <c r="B2330" i="12"/>
  <c r="C2329" i="12"/>
  <c r="D2328" i="12"/>
  <c r="E2327" i="12"/>
  <c r="A2327" i="12"/>
  <c r="B2326" i="12"/>
  <c r="C2325" i="12"/>
  <c r="D2324" i="12"/>
  <c r="E2323" i="12"/>
  <c r="A2323" i="12"/>
  <c r="B2322" i="12"/>
  <c r="C2321" i="12"/>
  <c r="D2320" i="12"/>
  <c r="E2319" i="12"/>
  <c r="A2319" i="12"/>
  <c r="B2318" i="12"/>
  <c r="C2317" i="12"/>
  <c r="D2316" i="12"/>
  <c r="E2315" i="12"/>
  <c r="A2315" i="12"/>
  <c r="B2314" i="12"/>
  <c r="C2313" i="12"/>
  <c r="D2312" i="12"/>
  <c r="E2311" i="12"/>
  <c r="A2311" i="12"/>
  <c r="B2310" i="12"/>
  <c r="C2309" i="12"/>
  <c r="D2308" i="12"/>
  <c r="E2307" i="12"/>
  <c r="A2307" i="12"/>
  <c r="B2306" i="12"/>
  <c r="C2305" i="12"/>
  <c r="D2304" i="12"/>
  <c r="E2303" i="12"/>
  <c r="A2303" i="12"/>
  <c r="B2302" i="12"/>
  <c r="C2301" i="12"/>
  <c r="D2300" i="12"/>
  <c r="E2299" i="12"/>
  <c r="A2299" i="12"/>
  <c r="B2298" i="12"/>
  <c r="C2297" i="12"/>
  <c r="D2296" i="12"/>
  <c r="E2295" i="12"/>
  <c r="A2295" i="12"/>
  <c r="B2294" i="12"/>
  <c r="C2293" i="12"/>
  <c r="D2292" i="12"/>
  <c r="E2291" i="12"/>
  <c r="A2291" i="12"/>
  <c r="B2290" i="12"/>
  <c r="C2289" i="12"/>
  <c r="D2288" i="12"/>
  <c r="E2287" i="12"/>
  <c r="A2287" i="12"/>
  <c r="B2286" i="12"/>
  <c r="C2285" i="12"/>
  <c r="D2284" i="12"/>
  <c r="E2283" i="12"/>
  <c r="A2283" i="12"/>
  <c r="B2282" i="12"/>
  <c r="C2281" i="12"/>
  <c r="D2280" i="12"/>
  <c r="E2279" i="12"/>
  <c r="A2279" i="12"/>
  <c r="B2278" i="12"/>
  <c r="C2277" i="12"/>
  <c r="D2276" i="12"/>
  <c r="E2275" i="12"/>
  <c r="A2275" i="12"/>
  <c r="B2274" i="12"/>
  <c r="C2273" i="12"/>
  <c r="D2272" i="12"/>
  <c r="E2271" i="12"/>
  <c r="A2271" i="12"/>
  <c r="B2270" i="12"/>
  <c r="C2269" i="12"/>
  <c r="D2268" i="12"/>
  <c r="E2267" i="12"/>
  <c r="A2267" i="12"/>
  <c r="B2266" i="12"/>
  <c r="C2265" i="12"/>
  <c r="D2264" i="12"/>
  <c r="E2263" i="12"/>
  <c r="A2263" i="12"/>
  <c r="B2262" i="12"/>
  <c r="C2261" i="12"/>
  <c r="D2260" i="12"/>
  <c r="E2259" i="12"/>
  <c r="A2259" i="12"/>
  <c r="B2258" i="12"/>
  <c r="C2257" i="12"/>
  <c r="D2256" i="12"/>
  <c r="E2255" i="12"/>
  <c r="A2255" i="12"/>
  <c r="B2254" i="12"/>
  <c r="C2253" i="12"/>
  <c r="D2252" i="12"/>
  <c r="E2251" i="12"/>
  <c r="A2251" i="12"/>
  <c r="B2250" i="12"/>
  <c r="C2249" i="12"/>
  <c r="D2248" i="12"/>
  <c r="E2247" i="12"/>
  <c r="A2247" i="12"/>
  <c r="B2246" i="12"/>
  <c r="C2245" i="12"/>
  <c r="D2244" i="12"/>
  <c r="E2243" i="12"/>
  <c r="A2243" i="12"/>
  <c r="B2242" i="12"/>
  <c r="C2241" i="12"/>
  <c r="D2240" i="12"/>
  <c r="E2239" i="12"/>
  <c r="A2239" i="12"/>
  <c r="B2238" i="12"/>
  <c r="C2237" i="12"/>
  <c r="D2236" i="12"/>
  <c r="E2235" i="12"/>
  <c r="A2235" i="12"/>
  <c r="B2234" i="12"/>
  <c r="C2233" i="12"/>
  <c r="D2232" i="12"/>
  <c r="E2231" i="12"/>
  <c r="A2231" i="12"/>
  <c r="B2230" i="12"/>
  <c r="C2229" i="12"/>
  <c r="D2228" i="12"/>
  <c r="E2227" i="12"/>
  <c r="A2227" i="12"/>
  <c r="B2226" i="12"/>
  <c r="C2225" i="12"/>
  <c r="D2224" i="12"/>
  <c r="E2223" i="12"/>
  <c r="A2223" i="12"/>
  <c r="B2222" i="12"/>
  <c r="C2221" i="12"/>
  <c r="D2220" i="12"/>
  <c r="E2219" i="12"/>
  <c r="A2219" i="12"/>
  <c r="B2218" i="12"/>
  <c r="C2217" i="12"/>
  <c r="D2216" i="12"/>
  <c r="E2215" i="12"/>
  <c r="A2215" i="12"/>
  <c r="B2214" i="12"/>
  <c r="C2213" i="12"/>
  <c r="D2212" i="12"/>
  <c r="E2211" i="12"/>
  <c r="A2211" i="12"/>
  <c r="B2210" i="12"/>
  <c r="C2209" i="12"/>
  <c r="D2208" i="12"/>
  <c r="E2207" i="12"/>
  <c r="A2207" i="12"/>
  <c r="B2206" i="12"/>
  <c r="C2205" i="12"/>
  <c r="D2204" i="12"/>
  <c r="E2203" i="12"/>
  <c r="A2203" i="12"/>
  <c r="B2202" i="12"/>
  <c r="C2201" i="12"/>
  <c r="D2200" i="12"/>
  <c r="E2199" i="12"/>
  <c r="A2199" i="12"/>
  <c r="B2198" i="12"/>
  <c r="C2197" i="12"/>
  <c r="D2196" i="12"/>
  <c r="E2195" i="12"/>
  <c r="A2195" i="12"/>
  <c r="B2194" i="12"/>
  <c r="C2193" i="12"/>
  <c r="D2192" i="12"/>
  <c r="E2191" i="12"/>
  <c r="A2191" i="12"/>
  <c r="B2190" i="12"/>
  <c r="C2189" i="12"/>
  <c r="D2188" i="12"/>
  <c r="E2187" i="12"/>
  <c r="A2187" i="12"/>
  <c r="B2186" i="12"/>
  <c r="C2185" i="12"/>
  <c r="D2184" i="12"/>
  <c r="E2183" i="12"/>
  <c r="A2183" i="12"/>
  <c r="B2182" i="12"/>
  <c r="C2181" i="12"/>
  <c r="D2180" i="12"/>
  <c r="E2179" i="12"/>
  <c r="A2179" i="12"/>
  <c r="B2178" i="12"/>
  <c r="C2177" i="12"/>
  <c r="D2176" i="12"/>
  <c r="E2175" i="12"/>
  <c r="A2175" i="12"/>
  <c r="B2174" i="12"/>
  <c r="C2173" i="12"/>
  <c r="D2172" i="12"/>
  <c r="E2171" i="12"/>
  <c r="A2171" i="12"/>
  <c r="B2170" i="12"/>
  <c r="C2169" i="12"/>
  <c r="D2168" i="12"/>
  <c r="E2167" i="12"/>
  <c r="A2167" i="12"/>
  <c r="B2166" i="12"/>
  <c r="C2165" i="12"/>
  <c r="D2164" i="12"/>
  <c r="E2163" i="12"/>
  <c r="A2163" i="12"/>
  <c r="B2162" i="12"/>
  <c r="C2161" i="12"/>
  <c r="D2160" i="12"/>
  <c r="E2159" i="12"/>
  <c r="A2159" i="12"/>
  <c r="B2158" i="12"/>
  <c r="C2157" i="12"/>
  <c r="D2156" i="12"/>
  <c r="E2155" i="12"/>
  <c r="A2155" i="12"/>
  <c r="B2154" i="12"/>
  <c r="C2153" i="12"/>
  <c r="D2152" i="12"/>
  <c r="E2151" i="12"/>
  <c r="A2151" i="12"/>
  <c r="B2150" i="12"/>
  <c r="C2149" i="12"/>
  <c r="D2148" i="12"/>
  <c r="E2147" i="12"/>
  <c r="A2147" i="12"/>
  <c r="B2146" i="12"/>
  <c r="C2145" i="12"/>
  <c r="D2144" i="12"/>
  <c r="E2143" i="12"/>
  <c r="A2143" i="12"/>
  <c r="B2142" i="12"/>
  <c r="C2141" i="12"/>
  <c r="D2140" i="12"/>
  <c r="E2139" i="12"/>
  <c r="A2139" i="12"/>
  <c r="B2138" i="12"/>
  <c r="C2137" i="12"/>
  <c r="D2136" i="12"/>
  <c r="E2135" i="12"/>
  <c r="A2135" i="12"/>
  <c r="B2134" i="12"/>
  <c r="C2133" i="12"/>
  <c r="D2132" i="12"/>
  <c r="E2131" i="12"/>
  <c r="A2131" i="12"/>
  <c r="B2130" i="12"/>
  <c r="C2129" i="12"/>
  <c r="D2128" i="12"/>
  <c r="E2127" i="12"/>
  <c r="A2127" i="12"/>
  <c r="B2126" i="12"/>
  <c r="C2125" i="12"/>
  <c r="D2124" i="12"/>
  <c r="E2123" i="12"/>
  <c r="A2123" i="12"/>
  <c r="B2122" i="12"/>
  <c r="C2121" i="12"/>
  <c r="D2120" i="12"/>
  <c r="E2119" i="12"/>
  <c r="A2119" i="12"/>
  <c r="B2118" i="12"/>
  <c r="C2117" i="12"/>
  <c r="D2116" i="12"/>
  <c r="E2115" i="12"/>
  <c r="A2115" i="12"/>
  <c r="B2114" i="12"/>
  <c r="C2113" i="12"/>
  <c r="D2112" i="12"/>
  <c r="E2111" i="12"/>
  <c r="A2111" i="12"/>
  <c r="B2110" i="12"/>
  <c r="C2109" i="12"/>
  <c r="D2108" i="12"/>
  <c r="E2107" i="12"/>
  <c r="A2107" i="12"/>
  <c r="B2106" i="12"/>
  <c r="C2105" i="12"/>
  <c r="D2104" i="12"/>
  <c r="E2103" i="12"/>
  <c r="A2103" i="12"/>
  <c r="B2102" i="12"/>
  <c r="C2101" i="12"/>
  <c r="D2100" i="12"/>
  <c r="E2099" i="12"/>
  <c r="A2099" i="12"/>
  <c r="B2098" i="12"/>
  <c r="C2097" i="12"/>
  <c r="D2096" i="12"/>
  <c r="E2095" i="12"/>
  <c r="A2095" i="12"/>
  <c r="B2094" i="12"/>
  <c r="C2093" i="12"/>
  <c r="D2092" i="12"/>
  <c r="E2091" i="12"/>
  <c r="A2091" i="12"/>
  <c r="B2090" i="12"/>
  <c r="C2089" i="12"/>
  <c r="D2088" i="12"/>
  <c r="E2087" i="12"/>
  <c r="A2087" i="12"/>
  <c r="B2086" i="12"/>
  <c r="C2085" i="12"/>
  <c r="D2084" i="12"/>
  <c r="E2083" i="12"/>
  <c r="A2083" i="12"/>
  <c r="B2082" i="12"/>
  <c r="C2081" i="12"/>
  <c r="D2080" i="12"/>
  <c r="E2079" i="12"/>
  <c r="A2079" i="12"/>
  <c r="B2078" i="12"/>
  <c r="C2077" i="12"/>
  <c r="D2076" i="12"/>
  <c r="E2075" i="12"/>
  <c r="A2075" i="12"/>
  <c r="B2074" i="12"/>
  <c r="C2073" i="12"/>
  <c r="D2072" i="12"/>
  <c r="E2071" i="12"/>
  <c r="A2071" i="12"/>
  <c r="B2070" i="12"/>
  <c r="C2069" i="12"/>
  <c r="D2068" i="12"/>
  <c r="E2067" i="12"/>
  <c r="A2067" i="12"/>
  <c r="B2066" i="12"/>
  <c r="C2065" i="12"/>
  <c r="D2064" i="12"/>
  <c r="E2063" i="12"/>
  <c r="A2063" i="12"/>
  <c r="B2062" i="12"/>
  <c r="C2061" i="12"/>
  <c r="D2060" i="12"/>
  <c r="E2059" i="12"/>
  <c r="A2059" i="12"/>
  <c r="B2058" i="12"/>
  <c r="C2057" i="12"/>
  <c r="D2056" i="12"/>
  <c r="E2055" i="12"/>
  <c r="A2055" i="12"/>
  <c r="B2054" i="12"/>
  <c r="C2053" i="12"/>
  <c r="D2052" i="12"/>
  <c r="E2051" i="12"/>
  <c r="A2051" i="12"/>
  <c r="B2050" i="12"/>
  <c r="C2049" i="12"/>
  <c r="D2048" i="12"/>
  <c r="E2047" i="12"/>
  <c r="A2047" i="12"/>
  <c r="B2046" i="12"/>
  <c r="C2045" i="12"/>
  <c r="D2044" i="12"/>
  <c r="E2043" i="12"/>
  <c r="A2043" i="12"/>
  <c r="B2042" i="12"/>
  <c r="C2041" i="12"/>
  <c r="D2040" i="12"/>
  <c r="E2039" i="12"/>
  <c r="A2039" i="12"/>
  <c r="B2038" i="12"/>
  <c r="C2037" i="12"/>
  <c r="D2036" i="12"/>
  <c r="E2035" i="12"/>
  <c r="A2035" i="12"/>
  <c r="B2034" i="12"/>
  <c r="C2033" i="12"/>
  <c r="D2032" i="12"/>
  <c r="E2031" i="12"/>
  <c r="A2031" i="12"/>
  <c r="B2030" i="12"/>
  <c r="C2029" i="12"/>
  <c r="D2028" i="12"/>
  <c r="E2027" i="12"/>
  <c r="A2027" i="12"/>
  <c r="B2026" i="12"/>
  <c r="C2025" i="12"/>
  <c r="D2024" i="12"/>
  <c r="E2023" i="12"/>
  <c r="A2023" i="12"/>
  <c r="B2022" i="12"/>
  <c r="C2021" i="12"/>
  <c r="D2020" i="12"/>
  <c r="E2019" i="12"/>
  <c r="A2019" i="12"/>
  <c r="B2018" i="12"/>
  <c r="C2017" i="12"/>
  <c r="D2016" i="12"/>
  <c r="E2015" i="12"/>
  <c r="A2015" i="12"/>
  <c r="B2014" i="12"/>
  <c r="C2013" i="12"/>
  <c r="D2012" i="12"/>
  <c r="E2011" i="12"/>
  <c r="A2011" i="12"/>
  <c r="B2010" i="12"/>
  <c r="C2009" i="12"/>
  <c r="D2008" i="12"/>
  <c r="E2007" i="12"/>
  <c r="A2007" i="12"/>
  <c r="B2006" i="12"/>
  <c r="C2005" i="12"/>
  <c r="D2004" i="12"/>
  <c r="E2003" i="12"/>
  <c r="A2003" i="12"/>
  <c r="B2002" i="12"/>
  <c r="C2001" i="12"/>
  <c r="D2000" i="12"/>
  <c r="E1999" i="12"/>
  <c r="A1999" i="12"/>
  <c r="B1998" i="12"/>
  <c r="C1997" i="12"/>
  <c r="D1996" i="12"/>
  <c r="E1995" i="12"/>
  <c r="A1995" i="12"/>
  <c r="B1994" i="12"/>
  <c r="C1993" i="12"/>
  <c r="D1992" i="12"/>
  <c r="E1991" i="12"/>
  <c r="A1991" i="12"/>
  <c r="A1990" i="12"/>
  <c r="B1989" i="12"/>
  <c r="C1988" i="12"/>
  <c r="D1987" i="12"/>
  <c r="E1986" i="12"/>
  <c r="A1986" i="12"/>
  <c r="B1985" i="12"/>
  <c r="C1984" i="12"/>
  <c r="D1983" i="12"/>
  <c r="E1982" i="12"/>
  <c r="A1982" i="12"/>
  <c r="B1981" i="12"/>
  <c r="C1980" i="12"/>
  <c r="D1979" i="12"/>
  <c r="E1978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C2749" i="12"/>
  <c r="E2748" i="12"/>
  <c r="B2747" i="12"/>
  <c r="D2743" i="12"/>
  <c r="A2742" i="12"/>
  <c r="C2741" i="12"/>
  <c r="D2740" i="12"/>
  <c r="E2738" i="12"/>
  <c r="D2735" i="12"/>
  <c r="A2734" i="12"/>
  <c r="C2733" i="12"/>
  <c r="D2732" i="12"/>
  <c r="E2730" i="12"/>
  <c r="D2727" i="12"/>
  <c r="A2726" i="12"/>
  <c r="C2725" i="12"/>
  <c r="D2724" i="12"/>
  <c r="E2722" i="12"/>
  <c r="D2719" i="12"/>
  <c r="A2718" i="12"/>
  <c r="C2717" i="12"/>
  <c r="D2716" i="12"/>
  <c r="E2714" i="12"/>
  <c r="D2711" i="12"/>
  <c r="A2710" i="12"/>
  <c r="C2709" i="12"/>
  <c r="D2708" i="12"/>
  <c r="E2706" i="12"/>
  <c r="D2703" i="12"/>
  <c r="A2702" i="12"/>
  <c r="C2701" i="12"/>
  <c r="D2700" i="12"/>
  <c r="E2698" i="12"/>
  <c r="C2695" i="12"/>
  <c r="D2694" i="12"/>
  <c r="D2691" i="12"/>
  <c r="D2689" i="12"/>
  <c r="A2688" i="12"/>
  <c r="C2687" i="12"/>
  <c r="D2686" i="12"/>
  <c r="A2684" i="12"/>
  <c r="A2682" i="12"/>
  <c r="B2681" i="12"/>
  <c r="A2678" i="12"/>
  <c r="B2677" i="12"/>
  <c r="A2674" i="12"/>
  <c r="B2673" i="12"/>
  <c r="A2670" i="12"/>
  <c r="B2669" i="12"/>
  <c r="A2666" i="12"/>
  <c r="B2665" i="12"/>
  <c r="A2662" i="12"/>
  <c r="B2661" i="12"/>
  <c r="D2657" i="12"/>
  <c r="A2656" i="12"/>
  <c r="C2655" i="12"/>
  <c r="D2654" i="12"/>
  <c r="E2652" i="12"/>
  <c r="D2649" i="12"/>
  <c r="A2648" i="12"/>
  <c r="C2647" i="12"/>
  <c r="D2646" i="12"/>
  <c r="E2644" i="12"/>
  <c r="D2641" i="12"/>
  <c r="A2640" i="12"/>
  <c r="C2639" i="12"/>
  <c r="D2638" i="12"/>
  <c r="E2636" i="12"/>
  <c r="D2633" i="12"/>
  <c r="A2632" i="12"/>
  <c r="C2631" i="12"/>
  <c r="D2630" i="12"/>
  <c r="D2628" i="12"/>
  <c r="A2627" i="12"/>
  <c r="C2626" i="12"/>
  <c r="D2625" i="12"/>
  <c r="E2623" i="12"/>
  <c r="D2620" i="12"/>
  <c r="A2619" i="12"/>
  <c r="C2618" i="12"/>
  <c r="D2617" i="12"/>
  <c r="E2615" i="12"/>
  <c r="D2612" i="12"/>
  <c r="A2611" i="12"/>
  <c r="C2610" i="12"/>
  <c r="D2609" i="12"/>
  <c r="E2607" i="12"/>
  <c r="D2604" i="12"/>
  <c r="A2603" i="12"/>
  <c r="C2602" i="12"/>
  <c r="D2601" i="12"/>
  <c r="E2599" i="12"/>
  <c r="D2596" i="12"/>
  <c r="A2595" i="12"/>
  <c r="C2594" i="12"/>
  <c r="D2593" i="12"/>
  <c r="E2591" i="12"/>
  <c r="D2588" i="12"/>
  <c r="A2587" i="12"/>
  <c r="C2586" i="12"/>
  <c r="D2585" i="12"/>
  <c r="E2583" i="12"/>
  <c r="D2580" i="12"/>
  <c r="A2579" i="12"/>
  <c r="C2578" i="12"/>
  <c r="D2577" i="12"/>
  <c r="E2575" i="12"/>
  <c r="D2572" i="12"/>
  <c r="A2571" i="12"/>
  <c r="C2570" i="12"/>
  <c r="D2569" i="12"/>
  <c r="E2567" i="12"/>
  <c r="D2564" i="12"/>
  <c r="A2563" i="12"/>
  <c r="C2562" i="12"/>
  <c r="D2561" i="12"/>
  <c r="E2559" i="12"/>
  <c r="E2558" i="12"/>
  <c r="C2557" i="12"/>
  <c r="A2556" i="12"/>
  <c r="A2555" i="12"/>
  <c r="A2554" i="12"/>
  <c r="D2553" i="12"/>
  <c r="C2552" i="12"/>
  <c r="B2551" i="12"/>
  <c r="B2550" i="12"/>
  <c r="D2548" i="12"/>
  <c r="D2547" i="12"/>
  <c r="C2546" i="12"/>
  <c r="B2545" i="12"/>
  <c r="E2544" i="12"/>
  <c r="E2543" i="12"/>
  <c r="E2542" i="12"/>
  <c r="C2541" i="12"/>
  <c r="A2540" i="12"/>
  <c r="A2539" i="12"/>
  <c r="A2538" i="12"/>
  <c r="D2537" i="12"/>
  <c r="C2536" i="12"/>
  <c r="B2535" i="12"/>
  <c r="B2534" i="12"/>
  <c r="D2532" i="12"/>
  <c r="D2531" i="12"/>
  <c r="C2530" i="12"/>
  <c r="B2529" i="12"/>
  <c r="E2528" i="12"/>
  <c r="E2527" i="12"/>
  <c r="E2526" i="12"/>
  <c r="C2525" i="12"/>
  <c r="A2524" i="12"/>
  <c r="A2523" i="12"/>
  <c r="A2522" i="12"/>
  <c r="D2521" i="12"/>
  <c r="C2520" i="12"/>
  <c r="B2519" i="12"/>
  <c r="B2518" i="12"/>
  <c r="D2516" i="12"/>
  <c r="D2515" i="12"/>
  <c r="C2514" i="12"/>
  <c r="B2513" i="12"/>
  <c r="E2512" i="12"/>
  <c r="E2511" i="12"/>
  <c r="E2510" i="12"/>
  <c r="C2509" i="12"/>
  <c r="A2508" i="12"/>
  <c r="A2507" i="12"/>
  <c r="A2506" i="12"/>
  <c r="D2505" i="12"/>
  <c r="C2504" i="12"/>
  <c r="B2503" i="12"/>
  <c r="B2502" i="12"/>
  <c r="D2500" i="12"/>
  <c r="D2499" i="12"/>
  <c r="C2498" i="12"/>
  <c r="B2497" i="12"/>
  <c r="E2496" i="12"/>
  <c r="E2495" i="12"/>
  <c r="E2494" i="12"/>
  <c r="C2493" i="12"/>
  <c r="A2492" i="12"/>
  <c r="A2491" i="12"/>
  <c r="A2490" i="12"/>
  <c r="D2489" i="12"/>
  <c r="C2488" i="12"/>
  <c r="B2487" i="12"/>
  <c r="B2486" i="12"/>
  <c r="D2484" i="12"/>
  <c r="D2483" i="12"/>
  <c r="C2482" i="12"/>
  <c r="B2481" i="12"/>
  <c r="E2480" i="12"/>
  <c r="E2479" i="12"/>
  <c r="E2478" i="12"/>
  <c r="C2477" i="12"/>
  <c r="A2476" i="12"/>
  <c r="A2475" i="12"/>
  <c r="A2474" i="12"/>
  <c r="D2473" i="12"/>
  <c r="C2472" i="12"/>
  <c r="B2471" i="12"/>
  <c r="B2470" i="12"/>
  <c r="D2468" i="12"/>
  <c r="D2467" i="12"/>
  <c r="C2466" i="12"/>
  <c r="B2465" i="12"/>
  <c r="E2464" i="12"/>
  <c r="E2463" i="12"/>
  <c r="E2462" i="12"/>
  <c r="C2461" i="12"/>
  <c r="A2460" i="12"/>
  <c r="A2459" i="12"/>
  <c r="A2458" i="12"/>
  <c r="D2457" i="12"/>
  <c r="C2456" i="12"/>
  <c r="B2455" i="12"/>
  <c r="B2454" i="12"/>
  <c r="D2452" i="12"/>
  <c r="D2451" i="12"/>
  <c r="C2450" i="12"/>
  <c r="B2449" i="12"/>
  <c r="E2448" i="12"/>
  <c r="E2447" i="12"/>
  <c r="E2446" i="12"/>
  <c r="C2445" i="12"/>
  <c r="A2444" i="12"/>
  <c r="A2443" i="12"/>
  <c r="A2442" i="12"/>
  <c r="D2441" i="12"/>
  <c r="C2440" i="12"/>
  <c r="B2439" i="12"/>
  <c r="B2438" i="12"/>
  <c r="D2436" i="12"/>
  <c r="D2435" i="12"/>
  <c r="C2434" i="12"/>
  <c r="B2433" i="12"/>
  <c r="E2432" i="12"/>
  <c r="E2431" i="12"/>
  <c r="E2430" i="12"/>
  <c r="C2429" i="12"/>
  <c r="A2428" i="12"/>
  <c r="A2427" i="12"/>
  <c r="A2426" i="12"/>
  <c r="D2425" i="12"/>
  <c r="C2424" i="12"/>
  <c r="B2423" i="12"/>
  <c r="B2422" i="12"/>
  <c r="D2420" i="12"/>
  <c r="D2419" i="12"/>
  <c r="C2418" i="12"/>
  <c r="B2417" i="12"/>
  <c r="E2416" i="12"/>
  <c r="E2415" i="12"/>
  <c r="E2414" i="12"/>
  <c r="C2413" i="12"/>
  <c r="A2412" i="12"/>
  <c r="A2411" i="12"/>
  <c r="A2410" i="12"/>
  <c r="D2409" i="12"/>
  <c r="C2408" i="12"/>
  <c r="B2407" i="12"/>
  <c r="B2406" i="12"/>
  <c r="D2404" i="12"/>
  <c r="D2403" i="12"/>
  <c r="C2402" i="12"/>
  <c r="B2401" i="12"/>
  <c r="E2400" i="12"/>
  <c r="E2399" i="12"/>
  <c r="E2398" i="12"/>
  <c r="C2397" i="12"/>
  <c r="A2396" i="12"/>
  <c r="A2395" i="12"/>
  <c r="A2394" i="12"/>
  <c r="D2393" i="12"/>
  <c r="C2392" i="12"/>
  <c r="B2391" i="12"/>
  <c r="B2390" i="12"/>
  <c r="D2388" i="12"/>
  <c r="D2387" i="12"/>
  <c r="C2386" i="12"/>
  <c r="B2385" i="12"/>
  <c r="E2384" i="12"/>
  <c r="E2383" i="12"/>
  <c r="E2382" i="12"/>
  <c r="C2381" i="12"/>
  <c r="A2380" i="12"/>
  <c r="A2379" i="12"/>
  <c r="E2377" i="12"/>
  <c r="C2376" i="12"/>
  <c r="A2375" i="12"/>
  <c r="A2374" i="12"/>
  <c r="A2373" i="12"/>
  <c r="D2372" i="12"/>
  <c r="C2371" i="12"/>
  <c r="B2370" i="12"/>
  <c r="B2369" i="12"/>
  <c r="D2367" i="12"/>
  <c r="D2366" i="12"/>
  <c r="C2365" i="12"/>
  <c r="B2364" i="12"/>
  <c r="E2363" i="12"/>
  <c r="E2362" i="12"/>
  <c r="E2361" i="12"/>
  <c r="C2360" i="12"/>
  <c r="A2359" i="12"/>
  <c r="A2358" i="12"/>
  <c r="A2357" i="12"/>
  <c r="D2356" i="12"/>
  <c r="C2355" i="12"/>
  <c r="B2354" i="12"/>
  <c r="A2353" i="12"/>
  <c r="A2352" i="12"/>
  <c r="D2351" i="12"/>
  <c r="C2350" i="12"/>
  <c r="B2349" i="12"/>
  <c r="B2348" i="12"/>
  <c r="D2346" i="12"/>
  <c r="D2345" i="12"/>
  <c r="C2344" i="12"/>
  <c r="B2343" i="12"/>
  <c r="E2342" i="12"/>
  <c r="E2341" i="12"/>
  <c r="E2340" i="12"/>
  <c r="C2339" i="12"/>
  <c r="A2338" i="12"/>
  <c r="A2337" i="12"/>
  <c r="A2336" i="12"/>
  <c r="D2335" i="12"/>
  <c r="C2334" i="12"/>
  <c r="B2333" i="12"/>
  <c r="B2332" i="12"/>
  <c r="D2330" i="12"/>
  <c r="D2329" i="12"/>
  <c r="C2328" i="12"/>
  <c r="B2327" i="12"/>
  <c r="E2326" i="12"/>
  <c r="E2325" i="12"/>
  <c r="E2324" i="12"/>
  <c r="C2323" i="12"/>
  <c r="A2322" i="12"/>
  <c r="A2321" i="12"/>
  <c r="A2320" i="12"/>
  <c r="D2319" i="12"/>
  <c r="C2318" i="12"/>
  <c r="B2317" i="12"/>
  <c r="B2316" i="12"/>
  <c r="D2314" i="12"/>
  <c r="D2313" i="12"/>
  <c r="C2312" i="12"/>
  <c r="B2311" i="12"/>
  <c r="E2310" i="12"/>
  <c r="E2309" i="12"/>
  <c r="E2308" i="12"/>
  <c r="C2307" i="12"/>
  <c r="A2306" i="12"/>
  <c r="A2305" i="12"/>
  <c r="A2304" i="12"/>
  <c r="D2303" i="12"/>
  <c r="C2302" i="12"/>
  <c r="B2301" i="12"/>
  <c r="B2300" i="12"/>
  <c r="D2298" i="12"/>
  <c r="D2297" i="12"/>
  <c r="C2296" i="12"/>
  <c r="B2295" i="12"/>
  <c r="E2294" i="12"/>
  <c r="E2293" i="12"/>
  <c r="E2292" i="12"/>
  <c r="C2291" i="12"/>
  <c r="A2290" i="12"/>
  <c r="A2289" i="12"/>
  <c r="A2288" i="12"/>
  <c r="D2287" i="12"/>
  <c r="C2286" i="12"/>
  <c r="B2285" i="12"/>
  <c r="B2284" i="12"/>
  <c r="D2282" i="12"/>
  <c r="D2281" i="12"/>
  <c r="C2280" i="12"/>
  <c r="B2279" i="12"/>
  <c r="E2278" i="12"/>
  <c r="E2277" i="12"/>
  <c r="E2276" i="12"/>
  <c r="C2275" i="12"/>
  <c r="A2274" i="12"/>
  <c r="A2273" i="12"/>
  <c r="A2272" i="12"/>
  <c r="D2271" i="12"/>
  <c r="C2270" i="12"/>
  <c r="B2269" i="12"/>
  <c r="B2268" i="12"/>
  <c r="D2266" i="12"/>
  <c r="D2265" i="12"/>
  <c r="C2264" i="12"/>
  <c r="B2263" i="12"/>
  <c r="E2262" i="12"/>
  <c r="E2261" i="12"/>
  <c r="E2260" i="12"/>
  <c r="C2259" i="12"/>
  <c r="A2258" i="12"/>
  <c r="A2257" i="12"/>
  <c r="A2256" i="12"/>
  <c r="D2255" i="12"/>
  <c r="C2254" i="12"/>
  <c r="B2253" i="12"/>
  <c r="B2252" i="12"/>
  <c r="D2250" i="12"/>
  <c r="D2249" i="12"/>
  <c r="C2248" i="12"/>
  <c r="B2247" i="12"/>
  <c r="E2246" i="12"/>
  <c r="E2245" i="12"/>
  <c r="E2244" i="12"/>
  <c r="C2243" i="12"/>
  <c r="A2242" i="12"/>
  <c r="A2241" i="12"/>
  <c r="A2240" i="12"/>
  <c r="D2239" i="12"/>
  <c r="C2238" i="12"/>
  <c r="B2237" i="12"/>
  <c r="B2236" i="12"/>
  <c r="D2234" i="12"/>
  <c r="D2233" i="12"/>
  <c r="C2232" i="12"/>
  <c r="B2231" i="12"/>
  <c r="E2230" i="12"/>
  <c r="E2229" i="12"/>
  <c r="E2228" i="12"/>
  <c r="C2227" i="12"/>
  <c r="A2226" i="12"/>
  <c r="A2225" i="12"/>
  <c r="A2224" i="12"/>
  <c r="D2223" i="12"/>
  <c r="C2222" i="12"/>
  <c r="B2221" i="12"/>
  <c r="B2220" i="12"/>
  <c r="D2218" i="12"/>
  <c r="D2217" i="12"/>
  <c r="C2216" i="12"/>
  <c r="B2215" i="12"/>
  <c r="E2214" i="12"/>
  <c r="E2213" i="12"/>
  <c r="E2212" i="12"/>
  <c r="C2211" i="12"/>
  <c r="A2210" i="12"/>
  <c r="A2209" i="12"/>
  <c r="A2208" i="12"/>
  <c r="D2207" i="12"/>
  <c r="C2206" i="12"/>
  <c r="B2205" i="12"/>
  <c r="B2204" i="12"/>
  <c r="D2202" i="12"/>
  <c r="D2201" i="12"/>
  <c r="C2200" i="12"/>
  <c r="B2199" i="12"/>
  <c r="E2198" i="12"/>
  <c r="E2197" i="12"/>
  <c r="E2196" i="12"/>
  <c r="D2748" i="12"/>
  <c r="A2747" i="12"/>
  <c r="B2746" i="12"/>
  <c r="A2743" i="12"/>
  <c r="B2741" i="12"/>
  <c r="C2740" i="12"/>
  <c r="E2739" i="12"/>
  <c r="B2738" i="12"/>
  <c r="A2735" i="12"/>
  <c r="B2733" i="12"/>
  <c r="C2732" i="12"/>
  <c r="E2731" i="12"/>
  <c r="B2730" i="12"/>
  <c r="A2727" i="12"/>
  <c r="B2725" i="12"/>
  <c r="C2724" i="12"/>
  <c r="E2723" i="12"/>
  <c r="B2722" i="12"/>
  <c r="A2719" i="12"/>
  <c r="B2717" i="12"/>
  <c r="C2716" i="12"/>
  <c r="E2715" i="12"/>
  <c r="B2714" i="12"/>
  <c r="A2711" i="12"/>
  <c r="B2709" i="12"/>
  <c r="C2708" i="12"/>
  <c r="E2707" i="12"/>
  <c r="B2706" i="12"/>
  <c r="A2703" i="12"/>
  <c r="B2701" i="12"/>
  <c r="C2700" i="12"/>
  <c r="E2699" i="12"/>
  <c r="B2698" i="12"/>
  <c r="C2694" i="12"/>
  <c r="D2693" i="12"/>
  <c r="A2691" i="12"/>
  <c r="A2689" i="12"/>
  <c r="B2687" i="12"/>
  <c r="C2686" i="12"/>
  <c r="D2685" i="12"/>
  <c r="E2683" i="12"/>
  <c r="A2681" i="12"/>
  <c r="B2680" i="12"/>
  <c r="A2677" i="12"/>
  <c r="B2676" i="12"/>
  <c r="A2673" i="12"/>
  <c r="B2672" i="12"/>
  <c r="A2669" i="12"/>
  <c r="B2668" i="12"/>
  <c r="A2665" i="12"/>
  <c r="B2664" i="12"/>
  <c r="A2661" i="12"/>
  <c r="B2660" i="12"/>
  <c r="A2657" i="12"/>
  <c r="B2655" i="12"/>
  <c r="C2654" i="12"/>
  <c r="E2653" i="12"/>
  <c r="B2652" i="12"/>
  <c r="A2649" i="12"/>
  <c r="B2647" i="12"/>
  <c r="C2646" i="12"/>
  <c r="E2645" i="12"/>
  <c r="B2644" i="12"/>
  <c r="A2641" i="12"/>
  <c r="B2639" i="12"/>
  <c r="C2638" i="12"/>
  <c r="E2637" i="12"/>
  <c r="B2636" i="12"/>
  <c r="A2633" i="12"/>
  <c r="B2631" i="12"/>
  <c r="C2630" i="12"/>
  <c r="E2629" i="12"/>
  <c r="A2628" i="12"/>
  <c r="B2626" i="12"/>
  <c r="C2625" i="12"/>
  <c r="E2624" i="12"/>
  <c r="B2623" i="12"/>
  <c r="A2620" i="12"/>
  <c r="B2618" i="12"/>
  <c r="C2617" i="12"/>
  <c r="E2616" i="12"/>
  <c r="B2615" i="12"/>
  <c r="A2612" i="12"/>
  <c r="B2610" i="12"/>
  <c r="C2609" i="12"/>
  <c r="E2608" i="12"/>
  <c r="B2607" i="12"/>
  <c r="A2604" i="12"/>
  <c r="B2602" i="12"/>
  <c r="C2601" i="12"/>
  <c r="E2600" i="12"/>
  <c r="B2599" i="12"/>
  <c r="A2596" i="12"/>
  <c r="B2594" i="12"/>
  <c r="C2593" i="12"/>
  <c r="E2592" i="12"/>
  <c r="B2591" i="12"/>
  <c r="A2588" i="12"/>
  <c r="B2586" i="12"/>
  <c r="C2585" i="12"/>
  <c r="E2584" i="12"/>
  <c r="B2583" i="12"/>
  <c r="A2580" i="12"/>
  <c r="B2578" i="12"/>
  <c r="C2577" i="12"/>
  <c r="E2576" i="12"/>
  <c r="B2575" i="12"/>
  <c r="A2572" i="12"/>
  <c r="B2570" i="12"/>
  <c r="C2569" i="12"/>
  <c r="E2568" i="12"/>
  <c r="B2567" i="12"/>
  <c r="A2564" i="12"/>
  <c r="B2562" i="12"/>
  <c r="C2561" i="12"/>
  <c r="E2560" i="12"/>
  <c r="D2559" i="12"/>
  <c r="C2558" i="12"/>
  <c r="B2557" i="12"/>
  <c r="E2556" i="12"/>
  <c r="E2555" i="12"/>
  <c r="E2554" i="12"/>
  <c r="C2553" i="12"/>
  <c r="A2552" i="12"/>
  <c r="A2551" i="12"/>
  <c r="A2550" i="12"/>
  <c r="D2549" i="12"/>
  <c r="C2548" i="12"/>
  <c r="B2547" i="12"/>
  <c r="B2546" i="12"/>
  <c r="D2544" i="12"/>
  <c r="D2543" i="12"/>
  <c r="C2542" i="12"/>
  <c r="B2541" i="12"/>
  <c r="E2540" i="12"/>
  <c r="E2539" i="12"/>
  <c r="E2538" i="12"/>
  <c r="C2537" i="12"/>
  <c r="A2536" i="12"/>
  <c r="A2535" i="12"/>
  <c r="A2534" i="12"/>
  <c r="D2533" i="12"/>
  <c r="C2532" i="12"/>
  <c r="B2531" i="12"/>
  <c r="B2530" i="12"/>
  <c r="D2528" i="12"/>
  <c r="D2527" i="12"/>
  <c r="C2526" i="12"/>
  <c r="B2525" i="12"/>
  <c r="E2524" i="12"/>
  <c r="E2523" i="12"/>
  <c r="E2522" i="12"/>
  <c r="C2521" i="12"/>
  <c r="A2520" i="12"/>
  <c r="A2519" i="12"/>
  <c r="A2518" i="12"/>
  <c r="D2517" i="12"/>
  <c r="C2516" i="12"/>
  <c r="B2515" i="12"/>
  <c r="B2514" i="12"/>
  <c r="D2512" i="12"/>
  <c r="D2511" i="12"/>
  <c r="C2510" i="12"/>
  <c r="B2509" i="12"/>
  <c r="E2508" i="12"/>
  <c r="E2507" i="12"/>
  <c r="E2506" i="12"/>
  <c r="C2505" i="12"/>
  <c r="A2504" i="12"/>
  <c r="A2503" i="12"/>
  <c r="A2502" i="12"/>
  <c r="D2501" i="12"/>
  <c r="C2500" i="12"/>
  <c r="B2499" i="12"/>
  <c r="B2498" i="12"/>
  <c r="D2496" i="12"/>
  <c r="D2495" i="12"/>
  <c r="C2494" i="12"/>
  <c r="B2493" i="12"/>
  <c r="E2492" i="12"/>
  <c r="E2491" i="12"/>
  <c r="E2490" i="12"/>
  <c r="C2489" i="12"/>
  <c r="A2488" i="12"/>
  <c r="A2487" i="12"/>
  <c r="A2486" i="12"/>
  <c r="D2485" i="12"/>
  <c r="C2484" i="12"/>
  <c r="B2483" i="12"/>
  <c r="B2482" i="12"/>
  <c r="D2480" i="12"/>
  <c r="D2479" i="12"/>
  <c r="C2478" i="12"/>
  <c r="B2477" i="12"/>
  <c r="E2476" i="12"/>
  <c r="E2475" i="12"/>
  <c r="E2474" i="12"/>
  <c r="C2473" i="12"/>
  <c r="A2472" i="12"/>
  <c r="A2471" i="12"/>
  <c r="A2470" i="12"/>
  <c r="D2469" i="12"/>
  <c r="C2468" i="12"/>
  <c r="B2467" i="12"/>
  <c r="B2466" i="12"/>
  <c r="D2464" i="12"/>
  <c r="D2463" i="12"/>
  <c r="C2462" i="12"/>
  <c r="B2461" i="12"/>
  <c r="E2460" i="12"/>
  <c r="E2459" i="12"/>
  <c r="E2458" i="12"/>
  <c r="C2457" i="12"/>
  <c r="A2456" i="12"/>
  <c r="A2455" i="12"/>
  <c r="A2454" i="12"/>
  <c r="D2453" i="12"/>
  <c r="C2452" i="12"/>
  <c r="B2451" i="12"/>
  <c r="B2450" i="12"/>
  <c r="D2448" i="12"/>
  <c r="D2447" i="12"/>
  <c r="C2446" i="12"/>
  <c r="B2445" i="12"/>
  <c r="E2444" i="12"/>
  <c r="E2443" i="12"/>
  <c r="E2442" i="12"/>
  <c r="C2441" i="12"/>
  <c r="A2440" i="12"/>
  <c r="A2439" i="12"/>
  <c r="A2438" i="12"/>
  <c r="D2437" i="12"/>
  <c r="C2436" i="12"/>
  <c r="B2435" i="12"/>
  <c r="B2434" i="12"/>
  <c r="D2432" i="12"/>
  <c r="D2431" i="12"/>
  <c r="C2430" i="12"/>
  <c r="B2429" i="12"/>
  <c r="E2428" i="12"/>
  <c r="E2427" i="12"/>
  <c r="E2426" i="12"/>
  <c r="C2425" i="12"/>
  <c r="A2424" i="12"/>
  <c r="A2423" i="12"/>
  <c r="A2422" i="12"/>
  <c r="D2421" i="12"/>
  <c r="C2420" i="12"/>
  <c r="B2419" i="12"/>
  <c r="B2418" i="12"/>
  <c r="D2416" i="12"/>
  <c r="D2415" i="12"/>
  <c r="C2414" i="12"/>
  <c r="B2413" i="12"/>
  <c r="E2412" i="12"/>
  <c r="E2411" i="12"/>
  <c r="E2410" i="12"/>
  <c r="C2409" i="12"/>
  <c r="A2408" i="12"/>
  <c r="A2407" i="12"/>
  <c r="A2406" i="12"/>
  <c r="D2405" i="12"/>
  <c r="C2404" i="12"/>
  <c r="B2403" i="12"/>
  <c r="B2402" i="12"/>
  <c r="D2400" i="12"/>
  <c r="D2399" i="12"/>
  <c r="C2398" i="12"/>
  <c r="B2397" i="12"/>
  <c r="E2396" i="12"/>
  <c r="E2395" i="12"/>
  <c r="E2394" i="12"/>
  <c r="C2393" i="12"/>
  <c r="A2392" i="12"/>
  <c r="A2391" i="12"/>
  <c r="A2390" i="12"/>
  <c r="D2389" i="12"/>
  <c r="C2388" i="12"/>
  <c r="B2387" i="12"/>
  <c r="B2386" i="12"/>
  <c r="D2384" i="12"/>
  <c r="D2383" i="12"/>
  <c r="C2382" i="12"/>
  <c r="B2381" i="12"/>
  <c r="E2380" i="12"/>
  <c r="E2379" i="12"/>
  <c r="D2378" i="12"/>
  <c r="C2377" i="12"/>
  <c r="B2376" i="12"/>
  <c r="E2375" i="12"/>
  <c r="E2374" i="12"/>
  <c r="E2373" i="12"/>
  <c r="C2372" i="12"/>
  <c r="A2371" i="12"/>
  <c r="A2370" i="12"/>
  <c r="A2369" i="12"/>
  <c r="D2368" i="12"/>
  <c r="C2367" i="12"/>
  <c r="B2366" i="12"/>
  <c r="B2365" i="12"/>
  <c r="D2363" i="12"/>
  <c r="D2362" i="12"/>
  <c r="C2361" i="12"/>
  <c r="B2360" i="12"/>
  <c r="E2359" i="12"/>
  <c r="E2358" i="12"/>
  <c r="E2357" i="12"/>
  <c r="C2356" i="12"/>
  <c r="A2355" i="12"/>
  <c r="A2354" i="12"/>
  <c r="E2352" i="12"/>
  <c r="C2351" i="12"/>
  <c r="A2350" i="12"/>
  <c r="A2349" i="12"/>
  <c r="A2348" i="12"/>
  <c r="D2347" i="12"/>
  <c r="C2346" i="12"/>
  <c r="B2345" i="12"/>
  <c r="A2748" i="12"/>
  <c r="A2746" i="12"/>
  <c r="B2745" i="12"/>
  <c r="C2744" i="12"/>
  <c r="B2742" i="12"/>
  <c r="A2731" i="12"/>
  <c r="A2730" i="12"/>
  <c r="B2729" i="12"/>
  <c r="C2728" i="12"/>
  <c r="B2726" i="12"/>
  <c r="A2715" i="12"/>
  <c r="A2714" i="12"/>
  <c r="B2713" i="12"/>
  <c r="C2712" i="12"/>
  <c r="B2710" i="12"/>
  <c r="A2699" i="12"/>
  <c r="A2698" i="12"/>
  <c r="B2697" i="12"/>
  <c r="C2696" i="12"/>
  <c r="D2684" i="12"/>
  <c r="A2683" i="12"/>
  <c r="B2682" i="12"/>
  <c r="A2676" i="12"/>
  <c r="A2675" i="12"/>
  <c r="B2674" i="12"/>
  <c r="A2668" i="12"/>
  <c r="A2667" i="12"/>
  <c r="B2666" i="12"/>
  <c r="A2660" i="12"/>
  <c r="B2659" i="12"/>
  <c r="C2658" i="12"/>
  <c r="B2656" i="12"/>
  <c r="A2645" i="12"/>
  <c r="A2644" i="12"/>
  <c r="B2643" i="12"/>
  <c r="C2642" i="12"/>
  <c r="B2640" i="12"/>
  <c r="A2629" i="12"/>
  <c r="B2627" i="12"/>
  <c r="A2616" i="12"/>
  <c r="A2615" i="12"/>
  <c r="B2614" i="12"/>
  <c r="C2613" i="12"/>
  <c r="B2611" i="12"/>
  <c r="A2600" i="12"/>
  <c r="A2599" i="12"/>
  <c r="B2598" i="12"/>
  <c r="C2597" i="12"/>
  <c r="B2595" i="12"/>
  <c r="A2584" i="12"/>
  <c r="A2583" i="12"/>
  <c r="B2582" i="12"/>
  <c r="C2581" i="12"/>
  <c r="B2579" i="12"/>
  <c r="A2568" i="12"/>
  <c r="A2567" i="12"/>
  <c r="B2566" i="12"/>
  <c r="C2565" i="12"/>
  <c r="B2563" i="12"/>
  <c r="A2558" i="12"/>
  <c r="D2557" i="12"/>
  <c r="D2556" i="12"/>
  <c r="D2555" i="12"/>
  <c r="C2554" i="12"/>
  <c r="C2550" i="12"/>
  <c r="B2549" i="12"/>
  <c r="A2548" i="12"/>
  <c r="A2546" i="12"/>
  <c r="C2545" i="12"/>
  <c r="A2544" i="12"/>
  <c r="B2543" i="12"/>
  <c r="D2536" i="12"/>
  <c r="E2535" i="12"/>
  <c r="A2531" i="12"/>
  <c r="A2526" i="12"/>
  <c r="D2525" i="12"/>
  <c r="D2524" i="12"/>
  <c r="D2523" i="12"/>
  <c r="C2522" i="12"/>
  <c r="C2518" i="12"/>
  <c r="B2517" i="12"/>
  <c r="A2516" i="12"/>
  <c r="A2514" i="12"/>
  <c r="C2513" i="12"/>
  <c r="A2512" i="12"/>
  <c r="B2511" i="12"/>
  <c r="D2504" i="12"/>
  <c r="E2503" i="12"/>
  <c r="A2499" i="12"/>
  <c r="A2494" i="12"/>
  <c r="D2493" i="12"/>
  <c r="D2492" i="12"/>
  <c r="D2491" i="12"/>
  <c r="C2490" i="12"/>
  <c r="C2486" i="12"/>
  <c r="B2485" i="12"/>
  <c r="A2484" i="12"/>
  <c r="A2482" i="12"/>
  <c r="C2481" i="12"/>
  <c r="A2480" i="12"/>
  <c r="B2479" i="12"/>
  <c r="D2472" i="12"/>
  <c r="E2471" i="12"/>
  <c r="A2467" i="12"/>
  <c r="A2462" i="12"/>
  <c r="D2461" i="12"/>
  <c r="D2460" i="12"/>
  <c r="D2459" i="12"/>
  <c r="C2458" i="12"/>
  <c r="C2454" i="12"/>
  <c r="B2453" i="12"/>
  <c r="A2452" i="12"/>
  <c r="A2450" i="12"/>
  <c r="C2449" i="12"/>
  <c r="A2448" i="12"/>
  <c r="B2447" i="12"/>
  <c r="D2440" i="12"/>
  <c r="E2439" i="12"/>
  <c r="A2435" i="12"/>
  <c r="A2430" i="12"/>
  <c r="D2429" i="12"/>
  <c r="D2428" i="12"/>
  <c r="D2427" i="12"/>
  <c r="C2426" i="12"/>
  <c r="C2422" i="12"/>
  <c r="B2421" i="12"/>
  <c r="A2420" i="12"/>
  <c r="A2418" i="12"/>
  <c r="C2417" i="12"/>
  <c r="A2416" i="12"/>
  <c r="B2415" i="12"/>
  <c r="D2408" i="12"/>
  <c r="E2407" i="12"/>
  <c r="A2403" i="12"/>
  <c r="A2398" i="12"/>
  <c r="D2397" i="12"/>
  <c r="D2396" i="12"/>
  <c r="D2395" i="12"/>
  <c r="C2394" i="12"/>
  <c r="C2390" i="12"/>
  <c r="B2389" i="12"/>
  <c r="A2388" i="12"/>
  <c r="A2386" i="12"/>
  <c r="C2385" i="12"/>
  <c r="A2384" i="12"/>
  <c r="B2383" i="12"/>
  <c r="A2377" i="12"/>
  <c r="D2376" i="12"/>
  <c r="D2375" i="12"/>
  <c r="D2374" i="12"/>
  <c r="C2373" i="12"/>
  <c r="C2369" i="12"/>
  <c r="B2368" i="12"/>
  <c r="A2367" i="12"/>
  <c r="A2365" i="12"/>
  <c r="C2364" i="12"/>
  <c r="A2363" i="12"/>
  <c r="B2362" i="12"/>
  <c r="D2355" i="12"/>
  <c r="E2354" i="12"/>
  <c r="D2349" i="12"/>
  <c r="E2348" i="12"/>
  <c r="C2347" i="12"/>
  <c r="E2346" i="12"/>
  <c r="E2344" i="12"/>
  <c r="C2342" i="12"/>
  <c r="B2340" i="12"/>
  <c r="C2338" i="12"/>
  <c r="E2337" i="12"/>
  <c r="B2336" i="12"/>
  <c r="C2335" i="12"/>
  <c r="E2333" i="12"/>
  <c r="C2332" i="12"/>
  <c r="D2331" i="12"/>
  <c r="E2329" i="12"/>
  <c r="B2328" i="12"/>
  <c r="A2326" i="12"/>
  <c r="D2325" i="12"/>
  <c r="A2324" i="12"/>
  <c r="D2323" i="12"/>
  <c r="D2321" i="12"/>
  <c r="B2319" i="12"/>
  <c r="E2318" i="12"/>
  <c r="D2317" i="12"/>
  <c r="A2316" i="12"/>
  <c r="C2315" i="12"/>
  <c r="E2314" i="12"/>
  <c r="B2313" i="12"/>
  <c r="A2312" i="12"/>
  <c r="D2311" i="12"/>
  <c r="B2309" i="12"/>
  <c r="B2307" i="12"/>
  <c r="E2306" i="12"/>
  <c r="B2305" i="12"/>
  <c r="E2304" i="12"/>
  <c r="D2302" i="12"/>
  <c r="A2301" i="12"/>
  <c r="B2299" i="12"/>
  <c r="C2298" i="12"/>
  <c r="A2297" i="12"/>
  <c r="C2295" i="12"/>
  <c r="D2294" i="12"/>
  <c r="A2293" i="12"/>
  <c r="C2292" i="12"/>
  <c r="D2290" i="12"/>
  <c r="C2288" i="12"/>
  <c r="A2286" i="12"/>
  <c r="E2284" i="12"/>
  <c r="A2282" i="12"/>
  <c r="E2280" i="12"/>
  <c r="C2278" i="12"/>
  <c r="B2276" i="12"/>
  <c r="C2274" i="12"/>
  <c r="E2273" i="12"/>
  <c r="B2272" i="12"/>
  <c r="C2271" i="12"/>
  <c r="E2269" i="12"/>
  <c r="C2268" i="12"/>
  <c r="D2267" i="12"/>
  <c r="E2265" i="12"/>
  <c r="B2264" i="12"/>
  <c r="A2262" i="12"/>
  <c r="D2261" i="12"/>
  <c r="A2260" i="12"/>
  <c r="D2259" i="12"/>
  <c r="D2257" i="12"/>
  <c r="B2255" i="12"/>
  <c r="E2254" i="12"/>
  <c r="D2253" i="12"/>
  <c r="A2252" i="12"/>
  <c r="C2251" i="12"/>
  <c r="E2250" i="12"/>
  <c r="B2249" i="12"/>
  <c r="A2248" i="12"/>
  <c r="D2247" i="12"/>
  <c r="B2245" i="12"/>
  <c r="B2243" i="12"/>
  <c r="E2242" i="12"/>
  <c r="B2241" i="12"/>
  <c r="E2240" i="12"/>
  <c r="D2238" i="12"/>
  <c r="A2237" i="12"/>
  <c r="B2235" i="12"/>
  <c r="C2234" i="12"/>
  <c r="A2233" i="12"/>
  <c r="C2231" i="12"/>
  <c r="D2230" i="12"/>
  <c r="A2229" i="12"/>
  <c r="C2228" i="12"/>
  <c r="D2226" i="12"/>
  <c r="C2224" i="12"/>
  <c r="A2222" i="12"/>
  <c r="E2220" i="12"/>
  <c r="A2218" i="12"/>
  <c r="E2216" i="12"/>
  <c r="C2214" i="12"/>
  <c r="B2212" i="12"/>
  <c r="C2210" i="12"/>
  <c r="E2209" i="12"/>
  <c r="B2208" i="12"/>
  <c r="C2207" i="12"/>
  <c r="E2205" i="12"/>
  <c r="C2204" i="12"/>
  <c r="D2203" i="12"/>
  <c r="E2201" i="12"/>
  <c r="B2200" i="12"/>
  <c r="A2198" i="12"/>
  <c r="D2197" i="12"/>
  <c r="A2196" i="12"/>
  <c r="D2195" i="12"/>
  <c r="C2194" i="12"/>
  <c r="B2193" i="12"/>
  <c r="B2192" i="12"/>
  <c r="D2190" i="12"/>
  <c r="D2189" i="12"/>
  <c r="C2188" i="12"/>
  <c r="B2187" i="12"/>
  <c r="E2186" i="12"/>
  <c r="E2185" i="12"/>
  <c r="E2184" i="12"/>
  <c r="C2183" i="12"/>
  <c r="A2182" i="12"/>
  <c r="A2181" i="12"/>
  <c r="A2180" i="12"/>
  <c r="D2179" i="12"/>
  <c r="C2178" i="12"/>
  <c r="B2177" i="12"/>
  <c r="B2176" i="12"/>
  <c r="D2174" i="12"/>
  <c r="D2173" i="12"/>
  <c r="C2172" i="12"/>
  <c r="B2171" i="12"/>
  <c r="E2170" i="12"/>
  <c r="E2169" i="12"/>
  <c r="E2168" i="12"/>
  <c r="C2167" i="12"/>
  <c r="A2166" i="12"/>
  <c r="A2165" i="12"/>
  <c r="A2164" i="12"/>
  <c r="D2163" i="12"/>
  <c r="C2162" i="12"/>
  <c r="B2161" i="12"/>
  <c r="B2160" i="12"/>
  <c r="D2158" i="12"/>
  <c r="D2157" i="12"/>
  <c r="C2156" i="12"/>
  <c r="B2155" i="12"/>
  <c r="E2154" i="12"/>
  <c r="E2153" i="12"/>
  <c r="E2152" i="12"/>
  <c r="C2151" i="12"/>
  <c r="A2150" i="12"/>
  <c r="A2149" i="12"/>
  <c r="A2148" i="12"/>
  <c r="D2147" i="12"/>
  <c r="C2146" i="12"/>
  <c r="B2145" i="12"/>
  <c r="B2144" i="12"/>
  <c r="D2142" i="12"/>
  <c r="D2141" i="12"/>
  <c r="C2140" i="12"/>
  <c r="B2139" i="12"/>
  <c r="E2138" i="12"/>
  <c r="E2137" i="12"/>
  <c r="E2136" i="12"/>
  <c r="C2135" i="12"/>
  <c r="A2134" i="12"/>
  <c r="A2133" i="12"/>
  <c r="A2132" i="12"/>
  <c r="D2131" i="12"/>
  <c r="C2130" i="12"/>
  <c r="B2129" i="12"/>
  <c r="B2128" i="12"/>
  <c r="D2126" i="12"/>
  <c r="D2125" i="12"/>
  <c r="C2124" i="12"/>
  <c r="B2123" i="12"/>
  <c r="E2122" i="12"/>
  <c r="E2121" i="12"/>
  <c r="E2120" i="12"/>
  <c r="C2119" i="12"/>
  <c r="A2118" i="12"/>
  <c r="A2117" i="12"/>
  <c r="A2116" i="12"/>
  <c r="D2115" i="12"/>
  <c r="C2114" i="12"/>
  <c r="B2113" i="12"/>
  <c r="B2112" i="12"/>
  <c r="D2110" i="12"/>
  <c r="D2109" i="12"/>
  <c r="C2108" i="12"/>
  <c r="B2107" i="12"/>
  <c r="E2106" i="12"/>
  <c r="E2105" i="12"/>
  <c r="E2104" i="12"/>
  <c r="C2103" i="12"/>
  <c r="A2102" i="12"/>
  <c r="A2101" i="12"/>
  <c r="A2100" i="12"/>
  <c r="D2099" i="12"/>
  <c r="C2098" i="12"/>
  <c r="B2097" i="12"/>
  <c r="B2096" i="12"/>
  <c r="D2094" i="12"/>
  <c r="D2093" i="12"/>
  <c r="C2092" i="12"/>
  <c r="B2091" i="12"/>
  <c r="E2090" i="12"/>
  <c r="E2089" i="12"/>
  <c r="E2088" i="12"/>
  <c r="C2087" i="12"/>
  <c r="A2086" i="12"/>
  <c r="A2085" i="12"/>
  <c r="A2084" i="12"/>
  <c r="D2083" i="12"/>
  <c r="C2082" i="12"/>
  <c r="B2081" i="12"/>
  <c r="B2080" i="12"/>
  <c r="D2078" i="12"/>
  <c r="D2077" i="12"/>
  <c r="C2076" i="12"/>
  <c r="B2075" i="12"/>
  <c r="E2074" i="12"/>
  <c r="E2073" i="12"/>
  <c r="E2072" i="12"/>
  <c r="C2071" i="12"/>
  <c r="A2070" i="12"/>
  <c r="A2069" i="12"/>
  <c r="A2068" i="12"/>
  <c r="D2067" i="12"/>
  <c r="C2066" i="12"/>
  <c r="B2065" i="12"/>
  <c r="B2064" i="12"/>
  <c r="D2062" i="12"/>
  <c r="D2061" i="12"/>
  <c r="C2060" i="12"/>
  <c r="B2059" i="12"/>
  <c r="E2058" i="12"/>
  <c r="E2057" i="12"/>
  <c r="E2056" i="12"/>
  <c r="C2055" i="12"/>
  <c r="A2054" i="12"/>
  <c r="A2053" i="12"/>
  <c r="A2052" i="12"/>
  <c r="D2051" i="12"/>
  <c r="C2050" i="12"/>
  <c r="B2049" i="12"/>
  <c r="B2048" i="12"/>
  <c r="D2046" i="12"/>
  <c r="D2045" i="12"/>
  <c r="C2044" i="12"/>
  <c r="B2043" i="12"/>
  <c r="E2042" i="12"/>
  <c r="E2041" i="12"/>
  <c r="E2040" i="12"/>
  <c r="C2039" i="12"/>
  <c r="A2038" i="12"/>
  <c r="A2037" i="12"/>
  <c r="A2036" i="12"/>
  <c r="D2035" i="12"/>
  <c r="C2034" i="12"/>
  <c r="B2033" i="12"/>
  <c r="B2032" i="12"/>
  <c r="D2030" i="12"/>
  <c r="D2029" i="12"/>
  <c r="C2028" i="12"/>
  <c r="B2027" i="12"/>
  <c r="E2026" i="12"/>
  <c r="E2025" i="12"/>
  <c r="E2024" i="12"/>
  <c r="C2023" i="12"/>
  <c r="A2022" i="12"/>
  <c r="A2021" i="12"/>
  <c r="A2020" i="12"/>
  <c r="D2019" i="12"/>
  <c r="C2018" i="12"/>
  <c r="B2017" i="12"/>
  <c r="B2016" i="12"/>
  <c r="D2014" i="12"/>
  <c r="D2013" i="12"/>
  <c r="C2012" i="12"/>
  <c r="B2011" i="12"/>
  <c r="E2010" i="12"/>
  <c r="E2009" i="12"/>
  <c r="E2008" i="12"/>
  <c r="C2007" i="12"/>
  <c r="A2006" i="12"/>
  <c r="A2005" i="12"/>
  <c r="A2004" i="12"/>
  <c r="D2003" i="12"/>
  <c r="C2002" i="12"/>
  <c r="B2001" i="12"/>
  <c r="B2000" i="12"/>
  <c r="D1998" i="12"/>
  <c r="D1997" i="12"/>
  <c r="C1996" i="12"/>
  <c r="B1995" i="12"/>
  <c r="E1994" i="12"/>
  <c r="E1993" i="12"/>
  <c r="E1992" i="12"/>
  <c r="C1991" i="12"/>
  <c r="D1989" i="12"/>
  <c r="D1988" i="12"/>
  <c r="C1987" i="12"/>
  <c r="B1986" i="12"/>
  <c r="E1985" i="12"/>
  <c r="E1984" i="12"/>
  <c r="E1983" i="12"/>
  <c r="C1982" i="12"/>
  <c r="A1981" i="12"/>
  <c r="A1980" i="12"/>
  <c r="A1979" i="12"/>
  <c r="D1978" i="12"/>
  <c r="B1977" i="12"/>
  <c r="D1976" i="12"/>
  <c r="B1975" i="12"/>
  <c r="D1974" i="12"/>
  <c r="B1973" i="12"/>
  <c r="D1972" i="12"/>
  <c r="B1971" i="12"/>
  <c r="D1970" i="12"/>
  <c r="B1969" i="12"/>
  <c r="D1968" i="12"/>
  <c r="B1967" i="12"/>
  <c r="D1966" i="12"/>
  <c r="B1965" i="12"/>
  <c r="D1964" i="12"/>
  <c r="B1963" i="12"/>
  <c r="D1962" i="12"/>
  <c r="B1961" i="12"/>
  <c r="D1960" i="12"/>
  <c r="B1959" i="12"/>
  <c r="D1958" i="12"/>
  <c r="B1957" i="12"/>
  <c r="D1956" i="12"/>
  <c r="B1955" i="12"/>
  <c r="D1954" i="12"/>
  <c r="B1953" i="12"/>
  <c r="D1952" i="12"/>
  <c r="B1951" i="12"/>
  <c r="D1950" i="12"/>
  <c r="B1949" i="12"/>
  <c r="D1948" i="12"/>
  <c r="B1947" i="12"/>
  <c r="D1946" i="12"/>
  <c r="B1945" i="12"/>
  <c r="D1944" i="12"/>
  <c r="B1943" i="12"/>
  <c r="D1942" i="12"/>
  <c r="B1941" i="12"/>
  <c r="D1940" i="12"/>
  <c r="B1939" i="12"/>
  <c r="D1938" i="12"/>
  <c r="B1937" i="12"/>
  <c r="D1936" i="12"/>
  <c r="B1935" i="12"/>
  <c r="D1934" i="12"/>
  <c r="B1933" i="12"/>
  <c r="D1932" i="12"/>
  <c r="B1931" i="12"/>
  <c r="D1930" i="12"/>
  <c r="B1929" i="12"/>
  <c r="D1928" i="12"/>
  <c r="B1927" i="12"/>
  <c r="D1926" i="12"/>
  <c r="B1925" i="12"/>
  <c r="D1924" i="12"/>
  <c r="B1923" i="12"/>
  <c r="D1922" i="12"/>
  <c r="B1921" i="12"/>
  <c r="D1920" i="12"/>
  <c r="B1919" i="12"/>
  <c r="D1918" i="12"/>
  <c r="B1917" i="12"/>
  <c r="D1916" i="12"/>
  <c r="B1915" i="12"/>
  <c r="D1914" i="12"/>
  <c r="B1913" i="12"/>
  <c r="D1912" i="12"/>
  <c r="B1911" i="12"/>
  <c r="D1910" i="12"/>
  <c r="B1909" i="12"/>
  <c r="D1908" i="12"/>
  <c r="B1907" i="12"/>
  <c r="D1906" i="12"/>
  <c r="B1905" i="12"/>
  <c r="D1904" i="12"/>
  <c r="B1903" i="12"/>
  <c r="D1902" i="12"/>
  <c r="B1901" i="12"/>
  <c r="D1900" i="12"/>
  <c r="B1899" i="12"/>
  <c r="D1898" i="12"/>
  <c r="B1897" i="12"/>
  <c r="D1896" i="12"/>
  <c r="B1895" i="12"/>
  <c r="D1894" i="12"/>
  <c r="B1893" i="12"/>
  <c r="D1892" i="12"/>
  <c r="B1891" i="12"/>
  <c r="D1890" i="12"/>
  <c r="B1889" i="12"/>
  <c r="D1888" i="12"/>
  <c r="B1887" i="12"/>
  <c r="D1886" i="12"/>
  <c r="B1885" i="12"/>
  <c r="D1884" i="12"/>
  <c r="B1883" i="12"/>
  <c r="D1882" i="12"/>
  <c r="B1881" i="12"/>
  <c r="D1880" i="12"/>
  <c r="B1879" i="12"/>
  <c r="D1878" i="12"/>
  <c r="B1877" i="12"/>
  <c r="D1876" i="12"/>
  <c r="B1875" i="12"/>
  <c r="D1874" i="12"/>
  <c r="B1873" i="12"/>
  <c r="D1872" i="12"/>
  <c r="B1871" i="12"/>
  <c r="D1870" i="12"/>
  <c r="B1869" i="12"/>
  <c r="D1868" i="12"/>
  <c r="B1867" i="12"/>
  <c r="D1866" i="12"/>
  <c r="B1865" i="12"/>
  <c r="D1864" i="12"/>
  <c r="B1863" i="12"/>
  <c r="D1862" i="12"/>
  <c r="B1861" i="12"/>
  <c r="D1860" i="12"/>
  <c r="B1859" i="12"/>
  <c r="D1858" i="12"/>
  <c r="B1857" i="12"/>
  <c r="D1856" i="12"/>
  <c r="B1855" i="12"/>
  <c r="D1854" i="12"/>
  <c r="B1853" i="12"/>
  <c r="D1852" i="12"/>
  <c r="B1851" i="12"/>
  <c r="D1850" i="12"/>
  <c r="B1849" i="12"/>
  <c r="D1848" i="12"/>
  <c r="B1847" i="12"/>
  <c r="D1846" i="12"/>
  <c r="B1845" i="12"/>
  <c r="D1844" i="12"/>
  <c r="B1843" i="12"/>
  <c r="D1842" i="12"/>
  <c r="B1841" i="12"/>
  <c r="D1840" i="12"/>
  <c r="B1839" i="12"/>
  <c r="D1838" i="12"/>
  <c r="B1837" i="12"/>
  <c r="D1836" i="12"/>
  <c r="B1835" i="12"/>
  <c r="D1834" i="12"/>
  <c r="B1833" i="12"/>
  <c r="D1832" i="12"/>
  <c r="A2739" i="12"/>
  <c r="A2738" i="12"/>
  <c r="B2737" i="12"/>
  <c r="C2736" i="12"/>
  <c r="B2734" i="12"/>
  <c r="A2723" i="12"/>
  <c r="A2722" i="12"/>
  <c r="B2721" i="12"/>
  <c r="C2720" i="12"/>
  <c r="B2718" i="12"/>
  <c r="A2707" i="12"/>
  <c r="A2706" i="12"/>
  <c r="B2705" i="12"/>
  <c r="C2704" i="12"/>
  <c r="B2702" i="12"/>
  <c r="C2692" i="12"/>
  <c r="A2690" i="12"/>
  <c r="B2688" i="12"/>
  <c r="A2680" i="12"/>
  <c r="A2679" i="12"/>
  <c r="B2678" i="12"/>
  <c r="A2672" i="12"/>
  <c r="A2671" i="12"/>
  <c r="B2670" i="12"/>
  <c r="A2664" i="12"/>
  <c r="A2663" i="12"/>
  <c r="B2662" i="12"/>
  <c r="A2653" i="12"/>
  <c r="A2652" i="12"/>
  <c r="B2651" i="12"/>
  <c r="C2650" i="12"/>
  <c r="B2648" i="12"/>
  <c r="A2637" i="12"/>
  <c r="A2636" i="12"/>
  <c r="B2635" i="12"/>
  <c r="C2634" i="12"/>
  <c r="B2632" i="12"/>
  <c r="A2624" i="12"/>
  <c r="A2623" i="12"/>
  <c r="B2622" i="12"/>
  <c r="C2621" i="12"/>
  <c r="B2619" i="12"/>
  <c r="A2608" i="12"/>
  <c r="A2607" i="12"/>
  <c r="B2606" i="12"/>
  <c r="C2605" i="12"/>
  <c r="B2603" i="12"/>
  <c r="A2592" i="12"/>
  <c r="A2591" i="12"/>
  <c r="B2590" i="12"/>
  <c r="C2589" i="12"/>
  <c r="B2587" i="12"/>
  <c r="A2576" i="12"/>
  <c r="A2575" i="12"/>
  <c r="B2574" i="12"/>
  <c r="C2573" i="12"/>
  <c r="B2571" i="12"/>
  <c r="A2560" i="12"/>
  <c r="B2559" i="12"/>
  <c r="D2552" i="12"/>
  <c r="E2551" i="12"/>
  <c r="A2547" i="12"/>
  <c r="A2542" i="12"/>
  <c r="D2541" i="12"/>
  <c r="D2540" i="12"/>
  <c r="D2539" i="12"/>
  <c r="C2538" i="12"/>
  <c r="C2534" i="12"/>
  <c r="B2533" i="12"/>
  <c r="A2532" i="12"/>
  <c r="A2530" i="12"/>
  <c r="C2529" i="12"/>
  <c r="A2528" i="12"/>
  <c r="B2527" i="12"/>
  <c r="D2520" i="12"/>
  <c r="E2519" i="12"/>
  <c r="A2515" i="12"/>
  <c r="A2510" i="12"/>
  <c r="D2509" i="12"/>
  <c r="D2508" i="12"/>
  <c r="D2507" i="12"/>
  <c r="C2506" i="12"/>
  <c r="C2502" i="12"/>
  <c r="B2501" i="12"/>
  <c r="A2500" i="12"/>
  <c r="A2498" i="12"/>
  <c r="C2497" i="12"/>
  <c r="A2496" i="12"/>
  <c r="B2495" i="12"/>
  <c r="D2488" i="12"/>
  <c r="E2487" i="12"/>
  <c r="A2483" i="12"/>
  <c r="A2478" i="12"/>
  <c r="D2477" i="12"/>
  <c r="D2476" i="12"/>
  <c r="D2475" i="12"/>
  <c r="C2474" i="12"/>
  <c r="C2470" i="12"/>
  <c r="B2469" i="12"/>
  <c r="A2468" i="12"/>
  <c r="A2466" i="12"/>
  <c r="C2465" i="12"/>
  <c r="A2464" i="12"/>
  <c r="B2463" i="12"/>
  <c r="D2456" i="12"/>
  <c r="E2455" i="12"/>
  <c r="A2451" i="12"/>
  <c r="A2446" i="12"/>
  <c r="D2445" i="12"/>
  <c r="D2444" i="12"/>
  <c r="D2443" i="12"/>
  <c r="C2442" i="12"/>
  <c r="C2438" i="12"/>
  <c r="B2437" i="12"/>
  <c r="A2436" i="12"/>
  <c r="A2434" i="12"/>
  <c r="C2433" i="12"/>
  <c r="A2432" i="12"/>
  <c r="B2431" i="12"/>
  <c r="D2424" i="12"/>
  <c r="E2423" i="12"/>
  <c r="A2419" i="12"/>
  <c r="A2414" i="12"/>
  <c r="D2413" i="12"/>
  <c r="D2412" i="12"/>
  <c r="D2411" i="12"/>
  <c r="C2410" i="12"/>
  <c r="C2406" i="12"/>
  <c r="B2405" i="12"/>
  <c r="A2404" i="12"/>
  <c r="A2402" i="12"/>
  <c r="C2401" i="12"/>
  <c r="A2400" i="12"/>
  <c r="B2399" i="12"/>
  <c r="D2392" i="12"/>
  <c r="E2391" i="12"/>
  <c r="A2387" i="12"/>
  <c r="A2382" i="12"/>
  <c r="D2381" i="12"/>
  <c r="D2380" i="12"/>
  <c r="D2379" i="12"/>
  <c r="B2378" i="12"/>
  <c r="D2371" i="12"/>
  <c r="E2370" i="12"/>
  <c r="A2366" i="12"/>
  <c r="A2361" i="12"/>
  <c r="D2360" i="12"/>
  <c r="D2359" i="12"/>
  <c r="D2358" i="12"/>
  <c r="C2357" i="12"/>
  <c r="B2353" i="12"/>
  <c r="B2352" i="12"/>
  <c r="B2351" i="12"/>
  <c r="E2350" i="12"/>
  <c r="E2345" i="12"/>
  <c r="A2344" i="12"/>
  <c r="D2343" i="12"/>
  <c r="B2341" i="12"/>
  <c r="B2339" i="12"/>
  <c r="E2338" i="12"/>
  <c r="B2337" i="12"/>
  <c r="E2336" i="12"/>
  <c r="D2334" i="12"/>
  <c r="A2333" i="12"/>
  <c r="B2331" i="12"/>
  <c r="C2330" i="12"/>
  <c r="A2329" i="12"/>
  <c r="C2327" i="12"/>
  <c r="D2326" i="12"/>
  <c r="A2325" i="12"/>
  <c r="C2324" i="12"/>
  <c r="D2322" i="12"/>
  <c r="C2320" i="12"/>
  <c r="A2318" i="12"/>
  <c r="E2316" i="12"/>
  <c r="A2314" i="12"/>
  <c r="E2312" i="12"/>
  <c r="C2310" i="12"/>
  <c r="B2308" i="12"/>
  <c r="C2306" i="12"/>
  <c r="E2305" i="12"/>
  <c r="B2304" i="12"/>
  <c r="C2303" i="12"/>
  <c r="E2301" i="12"/>
  <c r="C2300" i="12"/>
  <c r="D2299" i="12"/>
  <c r="E2297" i="12"/>
  <c r="B2296" i="12"/>
  <c r="A2294" i="12"/>
  <c r="D2293" i="12"/>
  <c r="A2292" i="12"/>
  <c r="D2291" i="12"/>
  <c r="D2289" i="12"/>
  <c r="B2287" i="12"/>
  <c r="E2286" i="12"/>
  <c r="D2285" i="12"/>
  <c r="A2284" i="12"/>
  <c r="C2283" i="12"/>
  <c r="E2282" i="12"/>
  <c r="B2281" i="12"/>
  <c r="A2280" i="12"/>
  <c r="D2279" i="12"/>
  <c r="B2277" i="12"/>
  <c r="B2275" i="12"/>
  <c r="E2274" i="12"/>
  <c r="B2273" i="12"/>
  <c r="E2272" i="12"/>
  <c r="D2270" i="12"/>
  <c r="A2269" i="12"/>
  <c r="B2267" i="12"/>
  <c r="C2266" i="12"/>
  <c r="A2265" i="12"/>
  <c r="C2263" i="12"/>
  <c r="D2262" i="12"/>
  <c r="A2261" i="12"/>
  <c r="C2260" i="12"/>
  <c r="D2258" i="12"/>
  <c r="C2256" i="12"/>
  <c r="A2254" i="12"/>
  <c r="E2252" i="12"/>
  <c r="A2250" i="12"/>
  <c r="E2248" i="12"/>
  <c r="C2246" i="12"/>
  <c r="B2244" i="12"/>
  <c r="C2242" i="12"/>
  <c r="E2241" i="12"/>
  <c r="B2240" i="12"/>
  <c r="C2239" i="12"/>
  <c r="E2237" i="12"/>
  <c r="C2236" i="12"/>
  <c r="D2235" i="12"/>
  <c r="E2233" i="12"/>
  <c r="B2232" i="12"/>
  <c r="A2230" i="12"/>
  <c r="D2229" i="12"/>
  <c r="A2228" i="12"/>
  <c r="D2227" i="12"/>
  <c r="D2225" i="12"/>
  <c r="B2223" i="12"/>
  <c r="E2222" i="12"/>
  <c r="D2221" i="12"/>
  <c r="A2220" i="12"/>
  <c r="C2219" i="12"/>
  <c r="E2218" i="12"/>
  <c r="B2217" i="12"/>
  <c r="A2216" i="12"/>
  <c r="D2215" i="12"/>
  <c r="B2213" i="12"/>
  <c r="B2211" i="12"/>
  <c r="E2210" i="12"/>
  <c r="B2209" i="12"/>
  <c r="E2208" i="12"/>
  <c r="D2206" i="12"/>
  <c r="A2205" i="12"/>
  <c r="B2203" i="12"/>
  <c r="C2202" i="12"/>
  <c r="A2201" i="12"/>
  <c r="C2199" i="12"/>
  <c r="D2198" i="12"/>
  <c r="A2197" i="12"/>
  <c r="C2196" i="12"/>
  <c r="B2195" i="12"/>
  <c r="E2194" i="12"/>
  <c r="E2193" i="12"/>
  <c r="E2192" i="12"/>
  <c r="C2191" i="12"/>
  <c r="A2190" i="12"/>
  <c r="A2189" i="12"/>
  <c r="A2188" i="12"/>
  <c r="D2187" i="12"/>
  <c r="C2186" i="12"/>
  <c r="B2185" i="12"/>
  <c r="B2184" i="12"/>
  <c r="D2182" i="12"/>
  <c r="D2181" i="12"/>
  <c r="C2180" i="12"/>
  <c r="B2179" i="12"/>
  <c r="E2178" i="12"/>
  <c r="E2177" i="12"/>
  <c r="E2176" i="12"/>
  <c r="C2175" i="12"/>
  <c r="A2174" i="12"/>
  <c r="A2173" i="12"/>
  <c r="A2172" i="12"/>
  <c r="D2171" i="12"/>
  <c r="C2170" i="12"/>
  <c r="B2169" i="12"/>
  <c r="B2168" i="12"/>
  <c r="D2166" i="12"/>
  <c r="D2165" i="12"/>
  <c r="C2164" i="12"/>
  <c r="B2163" i="12"/>
  <c r="E2162" i="12"/>
  <c r="E2161" i="12"/>
  <c r="E2160" i="12"/>
  <c r="C2159" i="12"/>
  <c r="A2158" i="12"/>
  <c r="A2157" i="12"/>
  <c r="A2156" i="12"/>
  <c r="D2155" i="12"/>
  <c r="C2154" i="12"/>
  <c r="B2153" i="12"/>
  <c r="B2152" i="12"/>
  <c r="D2150" i="12"/>
  <c r="D2149" i="12"/>
  <c r="C2148" i="12"/>
  <c r="B2147" i="12"/>
  <c r="E2146" i="12"/>
  <c r="E2145" i="12"/>
  <c r="E2144" i="12"/>
  <c r="C2143" i="12"/>
  <c r="A2142" i="12"/>
  <c r="A2141" i="12"/>
  <c r="A2140" i="12"/>
  <c r="D2139" i="12"/>
  <c r="C2138" i="12"/>
  <c r="B2137" i="12"/>
  <c r="B2136" i="12"/>
  <c r="D2134" i="12"/>
  <c r="D2133" i="12"/>
  <c r="C2132" i="12"/>
  <c r="B2131" i="12"/>
  <c r="E2130" i="12"/>
  <c r="E2129" i="12"/>
  <c r="E2128" i="12"/>
  <c r="C2127" i="12"/>
  <c r="A2126" i="12"/>
  <c r="A2125" i="12"/>
  <c r="A2124" i="12"/>
  <c r="D2123" i="12"/>
  <c r="C2122" i="12"/>
  <c r="B2121" i="12"/>
  <c r="B2120" i="12"/>
  <c r="D2118" i="12"/>
  <c r="D2117" i="12"/>
  <c r="C2116" i="12"/>
  <c r="B2115" i="12"/>
  <c r="E2114" i="12"/>
  <c r="E2113" i="12"/>
  <c r="E2112" i="12"/>
  <c r="C2111" i="12"/>
  <c r="A2110" i="12"/>
  <c r="A2109" i="12"/>
  <c r="A2108" i="12"/>
  <c r="D2107" i="12"/>
  <c r="C2106" i="12"/>
  <c r="B2105" i="12"/>
  <c r="B2104" i="12"/>
  <c r="D2102" i="12"/>
  <c r="D2101" i="12"/>
  <c r="C2100" i="12"/>
  <c r="B2099" i="12"/>
  <c r="E2098" i="12"/>
  <c r="E2097" i="12"/>
  <c r="E2096" i="12"/>
  <c r="C2095" i="12"/>
  <c r="A2094" i="12"/>
  <c r="A2093" i="12"/>
  <c r="A2092" i="12"/>
  <c r="D2091" i="12"/>
  <c r="C2090" i="12"/>
  <c r="B2089" i="12"/>
  <c r="B2088" i="12"/>
  <c r="D2086" i="12"/>
  <c r="D2085" i="12"/>
  <c r="C2084" i="12"/>
  <c r="B2083" i="12"/>
  <c r="E2082" i="12"/>
  <c r="E2081" i="12"/>
  <c r="E2080" i="12"/>
  <c r="C2079" i="12"/>
  <c r="A2078" i="12"/>
  <c r="A2077" i="12"/>
  <c r="A2076" i="12"/>
  <c r="D2075" i="12"/>
  <c r="C2074" i="12"/>
  <c r="B2073" i="12"/>
  <c r="B2072" i="12"/>
  <c r="D2070" i="12"/>
  <c r="D2069" i="12"/>
  <c r="C2068" i="12"/>
  <c r="B2067" i="12"/>
  <c r="E2066" i="12"/>
  <c r="E2065" i="12"/>
  <c r="E2064" i="12"/>
  <c r="C2063" i="12"/>
  <c r="A2062" i="12"/>
  <c r="A2061" i="12"/>
  <c r="A2060" i="12"/>
  <c r="D2059" i="12"/>
  <c r="C2058" i="12"/>
  <c r="B2057" i="12"/>
  <c r="B2056" i="12"/>
  <c r="D2054" i="12"/>
  <c r="D2053" i="12"/>
  <c r="C2052" i="12"/>
  <c r="B2051" i="12"/>
  <c r="E2050" i="12"/>
  <c r="E2049" i="12"/>
  <c r="E2048" i="12"/>
  <c r="C2047" i="12"/>
  <c r="A2046" i="12"/>
  <c r="A2045" i="12"/>
  <c r="A2044" i="12"/>
  <c r="D2043" i="12"/>
  <c r="C2042" i="12"/>
  <c r="B2041" i="12"/>
  <c r="B2040" i="12"/>
  <c r="D2038" i="12"/>
  <c r="D2037" i="12"/>
  <c r="C2036" i="12"/>
  <c r="B2035" i="12"/>
  <c r="E2034" i="12"/>
  <c r="E2033" i="12"/>
  <c r="E2032" i="12"/>
  <c r="C2031" i="12"/>
  <c r="A2030" i="12"/>
  <c r="A2029" i="12"/>
  <c r="A2028" i="12"/>
  <c r="D2027" i="12"/>
  <c r="C2026" i="12"/>
  <c r="B2025" i="12"/>
  <c r="B2024" i="12"/>
  <c r="D2022" i="12"/>
  <c r="D2021" i="12"/>
  <c r="C2020" i="12"/>
  <c r="B2019" i="12"/>
  <c r="E2018" i="12"/>
  <c r="E2017" i="12"/>
  <c r="E2016" i="12"/>
  <c r="C2015" i="12"/>
  <c r="A2014" i="12"/>
  <c r="A2013" i="12"/>
  <c r="A2012" i="12"/>
  <c r="D2011" i="12"/>
  <c r="C2010" i="12"/>
  <c r="B2009" i="12"/>
  <c r="B2008" i="12"/>
  <c r="D2006" i="12"/>
  <c r="D2005" i="12"/>
  <c r="C2004" i="12"/>
  <c r="B2003" i="12"/>
  <c r="E2002" i="12"/>
  <c r="E2001" i="12"/>
  <c r="E2000" i="12"/>
  <c r="C1999" i="12"/>
  <c r="A1998" i="12"/>
  <c r="A1997" i="12"/>
  <c r="A1996" i="12"/>
  <c r="D1995" i="12"/>
  <c r="C1994" i="12"/>
  <c r="B1993" i="12"/>
  <c r="B1992" i="12"/>
  <c r="C1990" i="12"/>
  <c r="A1989" i="12"/>
  <c r="A1988" i="12"/>
  <c r="A1987" i="12"/>
  <c r="D1986" i="12"/>
  <c r="C1985" i="12"/>
  <c r="B1984" i="12"/>
  <c r="B1983" i="12"/>
  <c r="D1981" i="12"/>
  <c r="D1980" i="12"/>
  <c r="C1979" i="12"/>
  <c r="B1978" i="12"/>
  <c r="D1977" i="12"/>
  <c r="B1976" i="12"/>
  <c r="D1975" i="12"/>
  <c r="B1974" i="12"/>
  <c r="D1973" i="12"/>
  <c r="B1972" i="12"/>
  <c r="D1971" i="12"/>
  <c r="B1970" i="12"/>
  <c r="D1969" i="12"/>
  <c r="B1968" i="12"/>
  <c r="D1967" i="12"/>
  <c r="B1966" i="12"/>
  <c r="D1965" i="12"/>
  <c r="B1964" i="12"/>
  <c r="D1963" i="12"/>
  <c r="B1962" i="12"/>
  <c r="D1961" i="12"/>
  <c r="B1960" i="12"/>
  <c r="D1959" i="12"/>
  <c r="B1958" i="12"/>
  <c r="D1957" i="12"/>
  <c r="B1956" i="12"/>
  <c r="D1955" i="12"/>
  <c r="B1954" i="12"/>
  <c r="D1953" i="12"/>
  <c r="B1952" i="12"/>
  <c r="D1951" i="12"/>
  <c r="B1950" i="12"/>
  <c r="D1949" i="12"/>
  <c r="B1948" i="12"/>
  <c r="D1947" i="12"/>
  <c r="B1946" i="12"/>
  <c r="D1945" i="12"/>
  <c r="B1944" i="12"/>
  <c r="D1943" i="12"/>
  <c r="B1942" i="12"/>
  <c r="D1941" i="12"/>
  <c r="B1940" i="12"/>
  <c r="D1939" i="12"/>
  <c r="B1938" i="12"/>
  <c r="D1937" i="12"/>
  <c r="B1936" i="12"/>
  <c r="D1935" i="12"/>
  <c r="B1934" i="12"/>
  <c r="D1933" i="12"/>
  <c r="B1932" i="12"/>
  <c r="D1931" i="12"/>
  <c r="B1930" i="12"/>
  <c r="D1929" i="12"/>
  <c r="B1928" i="12"/>
  <c r="D1927" i="12"/>
  <c r="B1926" i="12"/>
  <c r="D1925" i="12"/>
  <c r="B1924" i="12"/>
  <c r="D1923" i="12"/>
  <c r="B1922" i="12"/>
  <c r="D1921" i="12"/>
  <c r="B1920" i="12"/>
  <c r="D1919" i="12"/>
  <c r="B1918" i="12"/>
  <c r="D1917" i="12"/>
  <c r="B1916" i="12"/>
  <c r="D1915" i="12"/>
  <c r="B1914" i="12"/>
  <c r="D1913" i="12"/>
  <c r="B1912" i="12"/>
  <c r="D1911" i="12"/>
  <c r="B1910" i="12"/>
  <c r="D1909" i="12"/>
  <c r="B1908" i="12"/>
  <c r="D1907" i="12"/>
  <c r="B1906" i="12"/>
  <c r="D1905" i="12"/>
  <c r="B1904" i="12"/>
  <c r="D1903" i="12"/>
  <c r="B1902" i="12"/>
  <c r="D1901" i="12"/>
  <c r="B1900" i="12"/>
  <c r="D1899" i="12"/>
  <c r="B1898" i="12"/>
  <c r="D1897" i="12"/>
  <c r="B1896" i="12"/>
  <c r="D1895" i="12"/>
  <c r="B1894" i="12"/>
  <c r="D1893" i="12"/>
  <c r="B1892" i="12"/>
  <c r="D1891" i="12"/>
  <c r="B1890" i="12"/>
  <c r="D1889" i="12"/>
  <c r="B1888" i="12"/>
  <c r="D1887" i="12"/>
  <c r="B1886" i="12"/>
  <c r="D1885" i="12"/>
  <c r="B1884" i="12"/>
  <c r="D1883" i="12"/>
  <c r="B1882" i="12"/>
  <c r="D1881" i="12"/>
  <c r="B1880" i="12"/>
  <c r="D1879" i="12"/>
  <c r="B1878" i="12"/>
  <c r="D1877" i="12"/>
  <c r="B1876" i="12"/>
  <c r="D1875" i="12"/>
  <c r="B1874" i="12"/>
  <c r="D1873" i="12"/>
  <c r="B1872" i="12"/>
  <c r="D1871" i="12"/>
  <c r="B1870" i="12"/>
  <c r="D1869" i="12"/>
  <c r="B1868" i="12"/>
  <c r="D1867" i="12"/>
  <c r="B1866" i="12"/>
  <c r="D1865" i="12"/>
  <c r="B1864" i="12"/>
  <c r="D1863" i="12"/>
  <c r="B1862" i="12"/>
  <c r="D1861" i="12"/>
  <c r="B1860" i="12"/>
  <c r="D1859" i="12"/>
  <c r="B1858" i="12"/>
  <c r="D1857" i="12"/>
  <c r="B1856" i="12"/>
  <c r="D1855" i="12"/>
  <c r="B1854" i="12"/>
  <c r="D1853" i="12"/>
  <c r="B1852" i="12"/>
  <c r="D1851" i="12"/>
  <c r="B1850" i="12"/>
  <c r="D1849" i="12"/>
  <c r="B1848" i="12"/>
  <c r="D1847" i="12"/>
  <c r="B1846" i="12"/>
  <c r="D1845" i="12"/>
  <c r="B1844" i="12"/>
  <c r="D1843" i="12"/>
  <c r="B1842" i="12"/>
  <c r="D1841" i="12"/>
  <c r="B1840" i="12"/>
  <c r="D1839" i="12"/>
  <c r="B1838" i="12"/>
  <c r="D1837" i="12"/>
  <c r="B1836" i="12"/>
  <c r="D1835" i="12"/>
  <c r="B1834" i="12"/>
  <c r="D1833" i="12"/>
  <c r="B1832" i="12"/>
  <c r="D1831" i="12"/>
  <c r="B1830" i="12"/>
  <c r="D1829" i="12"/>
  <c r="B1828" i="12"/>
  <c r="D1827" i="12"/>
  <c r="B1826" i="12"/>
  <c r="D1825" i="12"/>
  <c r="B1824" i="12"/>
  <c r="D1823" i="12"/>
  <c r="B1822" i="12"/>
  <c r="D1821" i="12"/>
  <c r="B1820" i="12"/>
  <c r="D1819" i="12"/>
  <c r="B1818" i="12"/>
  <c r="D1817" i="12"/>
  <c r="B1816" i="12"/>
  <c r="D1815" i="12"/>
  <c r="B1814" i="12"/>
  <c r="D1813" i="12"/>
  <c r="B1812" i="12"/>
  <c r="D1811" i="12"/>
  <c r="B1810" i="12"/>
  <c r="D1809" i="12"/>
  <c r="B1808" i="12"/>
  <c r="D1807" i="12"/>
  <c r="B1806" i="12"/>
  <c r="D1805" i="12"/>
  <c r="B1804" i="12"/>
  <c r="D1803" i="12"/>
  <c r="C1802" i="12"/>
  <c r="C1801" i="12"/>
  <c r="C1800" i="12"/>
  <c r="C1799" i="12"/>
  <c r="C1798" i="12"/>
  <c r="C1797" i="12"/>
  <c r="C1796" i="12"/>
  <c r="C1795" i="12"/>
  <c r="C1794" i="12"/>
  <c r="C1793" i="12"/>
  <c r="C1792" i="12"/>
  <c r="C1791" i="12"/>
  <c r="C1790" i="12"/>
  <c r="C1789" i="12"/>
  <c r="C1788" i="12"/>
  <c r="C1787" i="12"/>
  <c r="C1786" i="12"/>
  <c r="C1785" i="12"/>
  <c r="C1784" i="12"/>
  <c r="C1783" i="12"/>
  <c r="C1782" i="12"/>
  <c r="C1781" i="12"/>
  <c r="C1780" i="12"/>
  <c r="C1779" i="12"/>
  <c r="C1778" i="12"/>
  <c r="C1777" i="12"/>
  <c r="C1776" i="12"/>
  <c r="C1775" i="12"/>
  <c r="C1774" i="12"/>
  <c r="C1773" i="12"/>
  <c r="C1772" i="12"/>
  <c r="C1771" i="12"/>
  <c r="C1770" i="12"/>
  <c r="C1769" i="12"/>
  <c r="C1768" i="12"/>
  <c r="C1767" i="12"/>
  <c r="C1766" i="12"/>
  <c r="C1765" i="12"/>
  <c r="C1764" i="12"/>
  <c r="C1763" i="12"/>
  <c r="C1762" i="12"/>
  <c r="C1761" i="12"/>
  <c r="C1760" i="12"/>
  <c r="C1759" i="12"/>
  <c r="C1758" i="12"/>
  <c r="C1757" i="12"/>
  <c r="C1756" i="12"/>
  <c r="C1755" i="12"/>
  <c r="C1754" i="12"/>
  <c r="C1753" i="12"/>
  <c r="C1752" i="12"/>
  <c r="C1751" i="12"/>
  <c r="C1750" i="12"/>
  <c r="C1749" i="12"/>
  <c r="C1748" i="12"/>
  <c r="C1747" i="12"/>
  <c r="C1746" i="12"/>
  <c r="C2745" i="12"/>
  <c r="D2744" i="12"/>
  <c r="E2743" i="12"/>
  <c r="E2742" i="12"/>
  <c r="D2731" i="12"/>
  <c r="C2729" i="12"/>
  <c r="D2728" i="12"/>
  <c r="E2727" i="12"/>
  <c r="E2726" i="12"/>
  <c r="D2715" i="12"/>
  <c r="C2713" i="12"/>
  <c r="D2712" i="12"/>
  <c r="E2711" i="12"/>
  <c r="E2710" i="12"/>
  <c r="D2699" i="12"/>
  <c r="C2697" i="12"/>
  <c r="D2696" i="12"/>
  <c r="D2695" i="12"/>
  <c r="C2685" i="12"/>
  <c r="E2684" i="12"/>
  <c r="B2683" i="12"/>
  <c r="B2675" i="12"/>
  <c r="B2667" i="12"/>
  <c r="C2659" i="12"/>
  <c r="D2658" i="12"/>
  <c r="E2657" i="12"/>
  <c r="E2656" i="12"/>
  <c r="D2645" i="12"/>
  <c r="C2643" i="12"/>
  <c r="D2642" i="12"/>
  <c r="E2641" i="12"/>
  <c r="E2640" i="12"/>
  <c r="D2629" i="12"/>
  <c r="E2627" i="12"/>
  <c r="D2616" i="12"/>
  <c r="C2614" i="12"/>
  <c r="D2613" i="12"/>
  <c r="E2612" i="12"/>
  <c r="E2611" i="12"/>
  <c r="D2600" i="12"/>
  <c r="C2598" i="12"/>
  <c r="D2597" i="12"/>
  <c r="E2596" i="12"/>
  <c r="E2595" i="12"/>
  <c r="D2584" i="12"/>
  <c r="C2582" i="12"/>
  <c r="D2581" i="12"/>
  <c r="E2580" i="12"/>
  <c r="E2579" i="12"/>
  <c r="D2568" i="12"/>
  <c r="C2566" i="12"/>
  <c r="D2565" i="12"/>
  <c r="E2564" i="12"/>
  <c r="E2563" i="12"/>
  <c r="A2559" i="12"/>
  <c r="B2558" i="12"/>
  <c r="D2551" i="12"/>
  <c r="E2550" i="12"/>
  <c r="C2549" i="12"/>
  <c r="E2548" i="12"/>
  <c r="E2546" i="12"/>
  <c r="D2545" i="12"/>
  <c r="C2544" i="12"/>
  <c r="C2540" i="12"/>
  <c r="B2539" i="12"/>
  <c r="B2538" i="12"/>
  <c r="B2537" i="12"/>
  <c r="E2536" i="12"/>
  <c r="E2531" i="12"/>
  <c r="A2527" i="12"/>
  <c r="B2526" i="12"/>
  <c r="D2519" i="12"/>
  <c r="E2518" i="12"/>
  <c r="C2517" i="12"/>
  <c r="E2516" i="12"/>
  <c r="E2514" i="12"/>
  <c r="D2513" i="12"/>
  <c r="C2512" i="12"/>
  <c r="C2508" i="12"/>
  <c r="B2507" i="12"/>
  <c r="B2506" i="12"/>
  <c r="B2505" i="12"/>
  <c r="E2504" i="12"/>
  <c r="E2499" i="12"/>
  <c r="A2495" i="12"/>
  <c r="B2494" i="12"/>
  <c r="D2487" i="12"/>
  <c r="E2486" i="12"/>
  <c r="C2485" i="12"/>
  <c r="E2484" i="12"/>
  <c r="E2482" i="12"/>
  <c r="D2481" i="12"/>
  <c r="C2480" i="12"/>
  <c r="C2476" i="12"/>
  <c r="B2475" i="12"/>
  <c r="B2474" i="12"/>
  <c r="B2473" i="12"/>
  <c r="E2472" i="12"/>
  <c r="E2467" i="12"/>
  <c r="A2463" i="12"/>
  <c r="B2462" i="12"/>
  <c r="D2455" i="12"/>
  <c r="E2454" i="12"/>
  <c r="C2453" i="12"/>
  <c r="E2452" i="12"/>
  <c r="E2450" i="12"/>
  <c r="D2449" i="12"/>
  <c r="C2448" i="12"/>
  <c r="C2444" i="12"/>
  <c r="B2443" i="12"/>
  <c r="B2442" i="12"/>
  <c r="B2441" i="12"/>
  <c r="E2440" i="12"/>
  <c r="E2435" i="12"/>
  <c r="A2431" i="12"/>
  <c r="B2430" i="12"/>
  <c r="D2423" i="12"/>
  <c r="E2422" i="12"/>
  <c r="C2421" i="12"/>
  <c r="E2420" i="12"/>
  <c r="E2418" i="12"/>
  <c r="D2417" i="12"/>
  <c r="C2416" i="12"/>
  <c r="C2412" i="12"/>
  <c r="B2411" i="12"/>
  <c r="B2410" i="12"/>
  <c r="B2409" i="12"/>
  <c r="E2408" i="12"/>
  <c r="E2403" i="12"/>
  <c r="A2399" i="12"/>
  <c r="B2398" i="12"/>
  <c r="D2391" i="12"/>
  <c r="E2390" i="12"/>
  <c r="C2389" i="12"/>
  <c r="E2388" i="12"/>
  <c r="E2386" i="12"/>
  <c r="D2385" i="12"/>
  <c r="C2384" i="12"/>
  <c r="C2380" i="12"/>
  <c r="B2379" i="12"/>
  <c r="A2378" i="12"/>
  <c r="B2377" i="12"/>
  <c r="D2370" i="12"/>
  <c r="E2369" i="12"/>
  <c r="C2368" i="12"/>
  <c r="E2367" i="12"/>
  <c r="E2365" i="12"/>
  <c r="D2364" i="12"/>
  <c r="C2363" i="12"/>
  <c r="C2359" i="12"/>
  <c r="B2358" i="12"/>
  <c r="B2357" i="12"/>
  <c r="B2356" i="12"/>
  <c r="E2355" i="12"/>
  <c r="D2350" i="12"/>
  <c r="E2349" i="12"/>
  <c r="A2345" i="12"/>
  <c r="C2343" i="12"/>
  <c r="D2342" i="12"/>
  <c r="A2341" i="12"/>
  <c r="C2340" i="12"/>
  <c r="D2338" i="12"/>
  <c r="C2336" i="12"/>
  <c r="A2334" i="12"/>
  <c r="E2332" i="12"/>
  <c r="A2330" i="12"/>
  <c r="E2328" i="12"/>
  <c r="C2326" i="12"/>
  <c r="B2324" i="12"/>
  <c r="C2322" i="12"/>
  <c r="E2321" i="12"/>
  <c r="B2320" i="12"/>
  <c r="C2319" i="12"/>
  <c r="E2317" i="12"/>
  <c r="C2316" i="12"/>
  <c r="D2315" i="12"/>
  <c r="E2313" i="12"/>
  <c r="B2312" i="12"/>
  <c r="A2310" i="12"/>
  <c r="D2309" i="12"/>
  <c r="A2308" i="12"/>
  <c r="D2307" i="12"/>
  <c r="D2305" i="12"/>
  <c r="B2303" i="12"/>
  <c r="E2302" i="12"/>
  <c r="D2301" i="12"/>
  <c r="A2300" i="12"/>
  <c r="C2299" i="12"/>
  <c r="E2298" i="12"/>
  <c r="B2297" i="12"/>
  <c r="A2296" i="12"/>
  <c r="D2295" i="12"/>
  <c r="B2293" i="12"/>
  <c r="B2291" i="12"/>
  <c r="E2290" i="12"/>
  <c r="B2289" i="12"/>
  <c r="E2288" i="12"/>
  <c r="D2286" i="12"/>
  <c r="A2285" i="12"/>
  <c r="B2283" i="12"/>
  <c r="C2282" i="12"/>
  <c r="A2281" i="12"/>
  <c r="C2279" i="12"/>
  <c r="D2278" i="12"/>
  <c r="A2277" i="12"/>
  <c r="C2276" i="12"/>
  <c r="D2274" i="12"/>
  <c r="C2272" i="12"/>
  <c r="A2270" i="12"/>
  <c r="E2268" i="12"/>
  <c r="A2266" i="12"/>
  <c r="E2264" i="12"/>
  <c r="C2262" i="12"/>
  <c r="B2260" i="12"/>
  <c r="C2258" i="12"/>
  <c r="E2257" i="12"/>
  <c r="B2256" i="12"/>
  <c r="C2255" i="12"/>
  <c r="E2253" i="12"/>
  <c r="C2252" i="12"/>
  <c r="D2251" i="12"/>
  <c r="E2249" i="12"/>
  <c r="B2248" i="12"/>
  <c r="A2246" i="12"/>
  <c r="D2245" i="12"/>
  <c r="A2244" i="12"/>
  <c r="D2243" i="12"/>
  <c r="D2241" i="12"/>
  <c r="B2239" i="12"/>
  <c r="E2238" i="12"/>
  <c r="D2237" i="12"/>
  <c r="A2236" i="12"/>
  <c r="C2235" i="12"/>
  <c r="E2234" i="12"/>
  <c r="B2233" i="12"/>
  <c r="A2232" i="12"/>
  <c r="D2231" i="12"/>
  <c r="B2229" i="12"/>
  <c r="B2227" i="12"/>
  <c r="E2226" i="12"/>
  <c r="B2225" i="12"/>
  <c r="E2224" i="12"/>
  <c r="D2222" i="12"/>
  <c r="A2221" i="12"/>
  <c r="B2219" i="12"/>
  <c r="C2218" i="12"/>
  <c r="A2217" i="12"/>
  <c r="C2215" i="12"/>
  <c r="D2214" i="12"/>
  <c r="A2213" i="12"/>
  <c r="C2212" i="12"/>
  <c r="D2210" i="12"/>
  <c r="C2208" i="12"/>
  <c r="A2206" i="12"/>
  <c r="E2204" i="12"/>
  <c r="A2202" i="12"/>
  <c r="E2200" i="12"/>
  <c r="C2198" i="12"/>
  <c r="B2196" i="12"/>
  <c r="D2194" i="12"/>
  <c r="D2193" i="12"/>
  <c r="C2192" i="12"/>
  <c r="B2191" i="12"/>
  <c r="E2190" i="12"/>
  <c r="E2189" i="12"/>
  <c r="E2188" i="12"/>
  <c r="C2187" i="12"/>
  <c r="A2186" i="12"/>
  <c r="A2185" i="12"/>
  <c r="A2184" i="12"/>
  <c r="D2183" i="12"/>
  <c r="C2182" i="12"/>
  <c r="B2181" i="12"/>
  <c r="B2180" i="12"/>
  <c r="D2178" i="12"/>
  <c r="D2177" i="12"/>
  <c r="C2176" i="12"/>
  <c r="B2175" i="12"/>
  <c r="E2174" i="12"/>
  <c r="E2173" i="12"/>
  <c r="E2172" i="12"/>
  <c r="C2171" i="12"/>
  <c r="A2170" i="12"/>
  <c r="A2169" i="12"/>
  <c r="A2168" i="12"/>
  <c r="D2167" i="12"/>
  <c r="C2166" i="12"/>
  <c r="B2165" i="12"/>
  <c r="B2164" i="12"/>
  <c r="D2162" i="12"/>
  <c r="D2161" i="12"/>
  <c r="C2160" i="12"/>
  <c r="B2159" i="12"/>
  <c r="E2158" i="12"/>
  <c r="E2157" i="12"/>
  <c r="E2156" i="12"/>
  <c r="C2155" i="12"/>
  <c r="A2154" i="12"/>
  <c r="A2153" i="12"/>
  <c r="A2152" i="12"/>
  <c r="D2151" i="12"/>
  <c r="C2150" i="12"/>
  <c r="B2149" i="12"/>
  <c r="B2148" i="12"/>
  <c r="D2146" i="12"/>
  <c r="D2145" i="12"/>
  <c r="C2144" i="12"/>
  <c r="B2143" i="12"/>
  <c r="E2142" i="12"/>
  <c r="E2141" i="12"/>
  <c r="E2140" i="12"/>
  <c r="C2139" i="12"/>
  <c r="A2138" i="12"/>
  <c r="A2137" i="12"/>
  <c r="A2136" i="12"/>
  <c r="D2135" i="12"/>
  <c r="C2134" i="12"/>
  <c r="B2133" i="12"/>
  <c r="B2132" i="12"/>
  <c r="D2130" i="12"/>
  <c r="D2129" i="12"/>
  <c r="C2128" i="12"/>
  <c r="B2127" i="12"/>
  <c r="E2126" i="12"/>
  <c r="E2125" i="12"/>
  <c r="E2124" i="12"/>
  <c r="C2123" i="12"/>
  <c r="A2122" i="12"/>
  <c r="A2121" i="12"/>
  <c r="A2120" i="12"/>
  <c r="D2119" i="12"/>
  <c r="C2118" i="12"/>
  <c r="B2117" i="12"/>
  <c r="B2116" i="12"/>
  <c r="D2114" i="12"/>
  <c r="D2113" i="12"/>
  <c r="C2112" i="12"/>
  <c r="B2111" i="12"/>
  <c r="E2110" i="12"/>
  <c r="E2109" i="12"/>
  <c r="E2108" i="12"/>
  <c r="C2107" i="12"/>
  <c r="A2106" i="12"/>
  <c r="A2105" i="12"/>
  <c r="A2104" i="12"/>
  <c r="D2103" i="12"/>
  <c r="C2102" i="12"/>
  <c r="B2101" i="12"/>
  <c r="B2100" i="12"/>
  <c r="D2098" i="12"/>
  <c r="D2097" i="12"/>
  <c r="C2096" i="12"/>
  <c r="B2095" i="12"/>
  <c r="E2094" i="12"/>
  <c r="E2093" i="12"/>
  <c r="E2092" i="12"/>
  <c r="C2091" i="12"/>
  <c r="A2090" i="12"/>
  <c r="A2089" i="12"/>
  <c r="A2088" i="12"/>
  <c r="D2087" i="12"/>
  <c r="C2086" i="12"/>
  <c r="B2085" i="12"/>
  <c r="B2084" i="12"/>
  <c r="D2082" i="12"/>
  <c r="D2081" i="12"/>
  <c r="C2080" i="12"/>
  <c r="B2079" i="12"/>
  <c r="E2078" i="12"/>
  <c r="E2077" i="12"/>
  <c r="E2076" i="12"/>
  <c r="C2075" i="12"/>
  <c r="A2074" i="12"/>
  <c r="A2073" i="12"/>
  <c r="A2072" i="12"/>
  <c r="D2071" i="12"/>
  <c r="C2070" i="12"/>
  <c r="B2069" i="12"/>
  <c r="B2068" i="12"/>
  <c r="D2066" i="12"/>
  <c r="D2065" i="12"/>
  <c r="C2064" i="12"/>
  <c r="B2063" i="12"/>
  <c r="E2062" i="12"/>
  <c r="E2061" i="12"/>
  <c r="E2060" i="12"/>
  <c r="C2059" i="12"/>
  <c r="A2058" i="12"/>
  <c r="A2057" i="12"/>
  <c r="A2056" i="12"/>
  <c r="D2055" i="12"/>
  <c r="C2054" i="12"/>
  <c r="B2053" i="12"/>
  <c r="B2052" i="12"/>
  <c r="D2050" i="12"/>
  <c r="D2049" i="12"/>
  <c r="C2048" i="12"/>
  <c r="B2047" i="12"/>
  <c r="E2046" i="12"/>
  <c r="E2045" i="12"/>
  <c r="E2044" i="12"/>
  <c r="C2043" i="12"/>
  <c r="A2042" i="12"/>
  <c r="A2041" i="12"/>
  <c r="A2040" i="12"/>
  <c r="D2039" i="12"/>
  <c r="C2038" i="12"/>
  <c r="B2037" i="12"/>
  <c r="B2036" i="12"/>
  <c r="D2034" i="12"/>
  <c r="D2033" i="12"/>
  <c r="C2032" i="12"/>
  <c r="B2031" i="12"/>
  <c r="E2030" i="12"/>
  <c r="E2029" i="12"/>
  <c r="E2028" i="12"/>
  <c r="C2027" i="12"/>
  <c r="A2026" i="12"/>
  <c r="A2025" i="12"/>
  <c r="A2024" i="12"/>
  <c r="D2023" i="12"/>
  <c r="C2022" i="12"/>
  <c r="B2021" i="12"/>
  <c r="B2020" i="12"/>
  <c r="D2018" i="12"/>
  <c r="D2017" i="12"/>
  <c r="C2016" i="12"/>
  <c r="B2015" i="12"/>
  <c r="E2014" i="12"/>
  <c r="E2013" i="12"/>
  <c r="E2012" i="12"/>
  <c r="C2011" i="12"/>
  <c r="A2010" i="12"/>
  <c r="A2009" i="12"/>
  <c r="A2008" i="12"/>
  <c r="D2007" i="12"/>
  <c r="C2006" i="12"/>
  <c r="B2005" i="12"/>
  <c r="B2004" i="12"/>
  <c r="D2002" i="12"/>
  <c r="D2001" i="12"/>
  <c r="C2000" i="12"/>
  <c r="B1999" i="12"/>
  <c r="E1998" i="12"/>
  <c r="E1997" i="12"/>
  <c r="E1996" i="12"/>
  <c r="C1995" i="12"/>
  <c r="A1994" i="12"/>
  <c r="A1993" i="12"/>
  <c r="A1992" i="12"/>
  <c r="D1991" i="12"/>
  <c r="B1990" i="12"/>
  <c r="E1989" i="12"/>
  <c r="E1988" i="12"/>
  <c r="E1987" i="12"/>
  <c r="C1986" i="12"/>
  <c r="A1985" i="12"/>
  <c r="A1984" i="12"/>
  <c r="A1983" i="12"/>
  <c r="D1982" i="12"/>
  <c r="C1981" i="12"/>
  <c r="B1980" i="12"/>
  <c r="B1979" i="12"/>
  <c r="C1977" i="12"/>
  <c r="C1975" i="12"/>
  <c r="C1973" i="12"/>
  <c r="C1971" i="12"/>
  <c r="C1969" i="12"/>
  <c r="C1967" i="12"/>
  <c r="C1965" i="12"/>
  <c r="C1963" i="12"/>
  <c r="C1961" i="12"/>
  <c r="C1959" i="12"/>
  <c r="C1957" i="12"/>
  <c r="C1955" i="12"/>
  <c r="C1953" i="12"/>
  <c r="C1951" i="12"/>
  <c r="C1949" i="12"/>
  <c r="C1947" i="12"/>
  <c r="C1945" i="12"/>
  <c r="C1943" i="12"/>
  <c r="C1941" i="12"/>
  <c r="C1939" i="12"/>
  <c r="C1937" i="12"/>
  <c r="C1935" i="12"/>
  <c r="C1933" i="12"/>
  <c r="C1931" i="12"/>
  <c r="C1929" i="12"/>
  <c r="C1927" i="12"/>
  <c r="C1925" i="12"/>
  <c r="C1923" i="12"/>
  <c r="C1921" i="12"/>
  <c r="C1919" i="12"/>
  <c r="C1917" i="12"/>
  <c r="C1915" i="12"/>
  <c r="C1913" i="12"/>
  <c r="C1911" i="12"/>
  <c r="C1909" i="12"/>
  <c r="C1907" i="12"/>
  <c r="C1905" i="12"/>
  <c r="C1903" i="12"/>
  <c r="C1901" i="12"/>
  <c r="C1899" i="12"/>
  <c r="C1897" i="12"/>
  <c r="C1895" i="12"/>
  <c r="C1893" i="12"/>
  <c r="C1891" i="12"/>
  <c r="C1889" i="12"/>
  <c r="C1887" i="12"/>
  <c r="C1885" i="12"/>
  <c r="C1883" i="12"/>
  <c r="C1881" i="12"/>
  <c r="C1879" i="12"/>
  <c r="C1877" i="12"/>
  <c r="C1875" i="12"/>
  <c r="C1873" i="12"/>
  <c r="C1871" i="12"/>
  <c r="C1869" i="12"/>
  <c r="C1867" i="12"/>
  <c r="C1865" i="12"/>
  <c r="C1863" i="12"/>
  <c r="C1861" i="12"/>
  <c r="C1859" i="12"/>
  <c r="C1857" i="12"/>
  <c r="C1855" i="12"/>
  <c r="C1853" i="12"/>
  <c r="C1851" i="12"/>
  <c r="C1849" i="12"/>
  <c r="C1847" i="12"/>
  <c r="C1845" i="12"/>
  <c r="C1843" i="12"/>
  <c r="C1841" i="12"/>
  <c r="C1839" i="12"/>
  <c r="C1837" i="12"/>
  <c r="C1835" i="12"/>
  <c r="C1833" i="12"/>
  <c r="C1831" i="12"/>
  <c r="C1829" i="12"/>
  <c r="C1827" i="12"/>
  <c r="C1825" i="12"/>
  <c r="C1823" i="12"/>
  <c r="C1821" i="12"/>
  <c r="C1819" i="12"/>
  <c r="C1817" i="12"/>
  <c r="C1815" i="12"/>
  <c r="C1813" i="12"/>
  <c r="C1811" i="12"/>
  <c r="C1809" i="12"/>
  <c r="C1807" i="12"/>
  <c r="C1805" i="12"/>
  <c r="C1803" i="12"/>
  <c r="B1802" i="12"/>
  <c r="B1801" i="12"/>
  <c r="B1800" i="12"/>
  <c r="B1799" i="12"/>
  <c r="B1798" i="12"/>
  <c r="B1797" i="12"/>
  <c r="B1796" i="12"/>
  <c r="B1795" i="12"/>
  <c r="B1794" i="12"/>
  <c r="B1793" i="12"/>
  <c r="B1792" i="12"/>
  <c r="B1791" i="12"/>
  <c r="B1790" i="12"/>
  <c r="B1789" i="12"/>
  <c r="B1788" i="12"/>
  <c r="B1787" i="12"/>
  <c r="B1786" i="12"/>
  <c r="B1785" i="12"/>
  <c r="B1784" i="12"/>
  <c r="B1783" i="12"/>
  <c r="B1782" i="12"/>
  <c r="B1781" i="12"/>
  <c r="B1780" i="12"/>
  <c r="B1779" i="12"/>
  <c r="B1778" i="12"/>
  <c r="B1777" i="12"/>
  <c r="B1776" i="12"/>
  <c r="B1775" i="12"/>
  <c r="B1774" i="12"/>
  <c r="B1773" i="12"/>
  <c r="B1772" i="12"/>
  <c r="B1771" i="12"/>
  <c r="B1770" i="12"/>
  <c r="B1769" i="12"/>
  <c r="B1768" i="12"/>
  <c r="B1767" i="12"/>
  <c r="B1766" i="12"/>
  <c r="B1765" i="12"/>
  <c r="B1764" i="12"/>
  <c r="B1763" i="12"/>
  <c r="B1762" i="12"/>
  <c r="B1761" i="12"/>
  <c r="B1760" i="12"/>
  <c r="B1759" i="12"/>
  <c r="B1758" i="12"/>
  <c r="B1757" i="12"/>
  <c r="B1756" i="12"/>
  <c r="B1755" i="12"/>
  <c r="D2739" i="12"/>
  <c r="E2735" i="12"/>
  <c r="D2720" i="12"/>
  <c r="C2705" i="12"/>
  <c r="D2692" i="12"/>
  <c r="E2688" i="12"/>
  <c r="B2679" i="12"/>
  <c r="E2648" i="12"/>
  <c r="D2637" i="12"/>
  <c r="E2633" i="12"/>
  <c r="E2619" i="12"/>
  <c r="D2608" i="12"/>
  <c r="E2604" i="12"/>
  <c r="D2589" i="12"/>
  <c r="C2574" i="12"/>
  <c r="C2556" i="12"/>
  <c r="E2552" i="12"/>
  <c r="E2547" i="12"/>
  <c r="B2542" i="12"/>
  <c r="E2534" i="12"/>
  <c r="E2530" i="12"/>
  <c r="B2523" i="12"/>
  <c r="C2501" i="12"/>
  <c r="D2497" i="12"/>
  <c r="B2490" i="12"/>
  <c r="E2468" i="12"/>
  <c r="C2464" i="12"/>
  <c r="B2457" i="12"/>
  <c r="A2447" i="12"/>
  <c r="D2439" i="12"/>
  <c r="C2428" i="12"/>
  <c r="E2424" i="12"/>
  <c r="E2419" i="12"/>
  <c r="B2414" i="12"/>
  <c r="E2406" i="12"/>
  <c r="E2402" i="12"/>
  <c r="B2395" i="12"/>
  <c r="B2373" i="12"/>
  <c r="C2348" i="12"/>
  <c r="B2344" i="12"/>
  <c r="A2340" i="12"/>
  <c r="D2333" i="12"/>
  <c r="B2329" i="12"/>
  <c r="E2322" i="12"/>
  <c r="D2318" i="12"/>
  <c r="C2314" i="12"/>
  <c r="D2310" i="12"/>
  <c r="D2306" i="12"/>
  <c r="A2302" i="12"/>
  <c r="A2298" i="12"/>
  <c r="E2289" i="12"/>
  <c r="E2285" i="12"/>
  <c r="E2281" i="12"/>
  <c r="D2277" i="12"/>
  <c r="D2273" i="12"/>
  <c r="E2270" i="12"/>
  <c r="E2266" i="12"/>
  <c r="B2259" i="12"/>
  <c r="B2251" i="12"/>
  <c r="C2247" i="12"/>
  <c r="C2230" i="12"/>
  <c r="C2226" i="12"/>
  <c r="A2214" i="12"/>
  <c r="B2207" i="12"/>
  <c r="C2203" i="12"/>
  <c r="D2199" i="12"/>
  <c r="C2190" i="12"/>
  <c r="D2185" i="12"/>
  <c r="C2179" i="12"/>
  <c r="B2173" i="12"/>
  <c r="C2168" i="12"/>
  <c r="A2162" i="12"/>
  <c r="A2161" i="12"/>
  <c r="A2160" i="12"/>
  <c r="B2156" i="12"/>
  <c r="B2151" i="12"/>
  <c r="D2143" i="12"/>
  <c r="D2138" i="12"/>
  <c r="E2134" i="12"/>
  <c r="E2133" i="12"/>
  <c r="E2132" i="12"/>
  <c r="C2126" i="12"/>
  <c r="D2121" i="12"/>
  <c r="C2115" i="12"/>
  <c r="B2109" i="12"/>
  <c r="C2104" i="12"/>
  <c r="A2098" i="12"/>
  <c r="A2097" i="12"/>
  <c r="A2096" i="12"/>
  <c r="B2092" i="12"/>
  <c r="B2087" i="12"/>
  <c r="D2079" i="12"/>
  <c r="D2074" i="12"/>
  <c r="E2070" i="12"/>
  <c r="E2069" i="12"/>
  <c r="E2068" i="12"/>
  <c r="C2062" i="12"/>
  <c r="D2057" i="12"/>
  <c r="C2051" i="12"/>
  <c r="B2045" i="12"/>
  <c r="C2040" i="12"/>
  <c r="A2034" i="12"/>
  <c r="A2033" i="12"/>
  <c r="A2032" i="12"/>
  <c r="B2028" i="12"/>
  <c r="B2023" i="12"/>
  <c r="D2015" i="12"/>
  <c r="D2010" i="12"/>
  <c r="E2006" i="12"/>
  <c r="E2005" i="12"/>
  <c r="E2004" i="12"/>
  <c r="C1998" i="12"/>
  <c r="D1993" i="12"/>
  <c r="C1989" i="12"/>
  <c r="D1984" i="12"/>
  <c r="C1978" i="12"/>
  <c r="C1974" i="12"/>
  <c r="C1970" i="12"/>
  <c r="C1966" i="12"/>
  <c r="C1962" i="12"/>
  <c r="C1958" i="12"/>
  <c r="C1954" i="12"/>
  <c r="C1950" i="12"/>
  <c r="C1946" i="12"/>
  <c r="C1942" i="12"/>
  <c r="C1938" i="12"/>
  <c r="C1934" i="12"/>
  <c r="C1930" i="12"/>
  <c r="C1926" i="12"/>
  <c r="C1922" i="12"/>
  <c r="C1918" i="12"/>
  <c r="C1914" i="12"/>
  <c r="C1910" i="12"/>
  <c r="C1906" i="12"/>
  <c r="C1902" i="12"/>
  <c r="C1898" i="12"/>
  <c r="C1894" i="12"/>
  <c r="C1890" i="12"/>
  <c r="C1886" i="12"/>
  <c r="C1882" i="12"/>
  <c r="C1878" i="12"/>
  <c r="C1874" i="12"/>
  <c r="C1870" i="12"/>
  <c r="C1866" i="12"/>
  <c r="C1862" i="12"/>
  <c r="C1858" i="12"/>
  <c r="C1854" i="12"/>
  <c r="C1850" i="12"/>
  <c r="C1846" i="12"/>
  <c r="C1842" i="12"/>
  <c r="C1838" i="12"/>
  <c r="C1834" i="12"/>
  <c r="D1801" i="12"/>
  <c r="D1799" i="12"/>
  <c r="D1797" i="12"/>
  <c r="D1795" i="12"/>
  <c r="D1793" i="12"/>
  <c r="D1791" i="12"/>
  <c r="D1789" i="12"/>
  <c r="D1787" i="12"/>
  <c r="D1785" i="12"/>
  <c r="D1783" i="12"/>
  <c r="D1781" i="12"/>
  <c r="D1779" i="12"/>
  <c r="D1777" i="12"/>
  <c r="D1775" i="12"/>
  <c r="D1773" i="12"/>
  <c r="D1771" i="12"/>
  <c r="D1769" i="12"/>
  <c r="D1767" i="12"/>
  <c r="D1765" i="12"/>
  <c r="D1763" i="12"/>
  <c r="D1761" i="12"/>
  <c r="D1759" i="12"/>
  <c r="D1757" i="12"/>
  <c r="D1755" i="12"/>
  <c r="A1754" i="12"/>
  <c r="D1752" i="12"/>
  <c r="B1751" i="12"/>
  <c r="A1750" i="12"/>
  <c r="D1748" i="12"/>
  <c r="B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G1624" i="12"/>
  <c r="B1624" i="12"/>
  <c r="C1623" i="12"/>
  <c r="D1622" i="12"/>
  <c r="A1621" i="12"/>
  <c r="G1620" i="12"/>
  <c r="B1620" i="12"/>
  <c r="C1619" i="12"/>
  <c r="D1618" i="12"/>
  <c r="A1617" i="12"/>
  <c r="G1616" i="12"/>
  <c r="B1616" i="12"/>
  <c r="C1615" i="12"/>
  <c r="D1614" i="12"/>
  <c r="A1613" i="12"/>
  <c r="G1612" i="12"/>
  <c r="B1612" i="12"/>
  <c r="C1611" i="12"/>
  <c r="D1610" i="12"/>
  <c r="A1609" i="12"/>
  <c r="G1608" i="12"/>
  <c r="B1608" i="12"/>
  <c r="C1607" i="12"/>
  <c r="D1606" i="12"/>
  <c r="A1605" i="12"/>
  <c r="G1604" i="12"/>
  <c r="B1604" i="12"/>
  <c r="C1603" i="12"/>
  <c r="D1602" i="12"/>
  <c r="A1601" i="12"/>
  <c r="G1600" i="12"/>
  <c r="B1600" i="12"/>
  <c r="C1599" i="12"/>
  <c r="D1598" i="12"/>
  <c r="A1597" i="12"/>
  <c r="G1596" i="12"/>
  <c r="B1596" i="12"/>
  <c r="C1595" i="12"/>
  <c r="D1594" i="12"/>
  <c r="A1593" i="12"/>
  <c r="G1592" i="12"/>
  <c r="B1592" i="12"/>
  <c r="C1591" i="12"/>
  <c r="D1590" i="12"/>
  <c r="A1589" i="12"/>
  <c r="G1588" i="12"/>
  <c r="B1588" i="12"/>
  <c r="C1587" i="12"/>
  <c r="D1586" i="12"/>
  <c r="A1585" i="12"/>
  <c r="G1584" i="12"/>
  <c r="B1584" i="12"/>
  <c r="C1583" i="12"/>
  <c r="D1582" i="12"/>
  <c r="A1581" i="12"/>
  <c r="G1580" i="12"/>
  <c r="B1580" i="12"/>
  <c r="C1579" i="12"/>
  <c r="D1578" i="12"/>
  <c r="A1577" i="12"/>
  <c r="G1576" i="12"/>
  <c r="B1576" i="12"/>
  <c r="C1575" i="12"/>
  <c r="D1574" i="12"/>
  <c r="A1573" i="12"/>
  <c r="G1572" i="12"/>
  <c r="B1572" i="12"/>
  <c r="C1571" i="12"/>
  <c r="D1570" i="12"/>
  <c r="A1569" i="12"/>
  <c r="G1568" i="12"/>
  <c r="B1568" i="12"/>
  <c r="C1567" i="12"/>
  <c r="D1566" i="12"/>
  <c r="A1565" i="12"/>
  <c r="G1564" i="12"/>
  <c r="B1564" i="12"/>
  <c r="C1563" i="12"/>
  <c r="D1562" i="12"/>
  <c r="A1561" i="12"/>
  <c r="G1560" i="12"/>
  <c r="B1560" i="12"/>
  <c r="C1559" i="12"/>
  <c r="D1558" i="12"/>
  <c r="A1557" i="12"/>
  <c r="G1556" i="12"/>
  <c r="B1556" i="12"/>
  <c r="C1555" i="12"/>
  <c r="D1554" i="12"/>
  <c r="A1553" i="12"/>
  <c r="G1552" i="12"/>
  <c r="B1552" i="12"/>
  <c r="C1551" i="12"/>
  <c r="D1550" i="12"/>
  <c r="A1549" i="12"/>
  <c r="G1548" i="12"/>
  <c r="B1548" i="12"/>
  <c r="C1547" i="12"/>
  <c r="D1546" i="12"/>
  <c r="A1545" i="12"/>
  <c r="G1544" i="12"/>
  <c r="B1544" i="12"/>
  <c r="C1543" i="12"/>
  <c r="D1542" i="12"/>
  <c r="A1541" i="12"/>
  <c r="G1540" i="12"/>
  <c r="B1540" i="12"/>
  <c r="C1539" i="12"/>
  <c r="D1538" i="12"/>
  <c r="A1537" i="12"/>
  <c r="G1536" i="12"/>
  <c r="B1536" i="12"/>
  <c r="C1535" i="12"/>
  <c r="D1534" i="12"/>
  <c r="A1533" i="12"/>
  <c r="G1532" i="12"/>
  <c r="B1532" i="12"/>
  <c r="C1531" i="12"/>
  <c r="D1530" i="12"/>
  <c r="A1529" i="12"/>
  <c r="G1528" i="12"/>
  <c r="B1528" i="12"/>
  <c r="C1527" i="12"/>
  <c r="D1526" i="12"/>
  <c r="A1525" i="12"/>
  <c r="G1524" i="12"/>
  <c r="B1524" i="12"/>
  <c r="C1523" i="12"/>
  <c r="D1522" i="12"/>
  <c r="A1521" i="12"/>
  <c r="G1520" i="12"/>
  <c r="B1520" i="12"/>
  <c r="C1519" i="12"/>
  <c r="D1518" i="12"/>
  <c r="A1517" i="12"/>
  <c r="G1516" i="12"/>
  <c r="B1516" i="12"/>
  <c r="C1515" i="12"/>
  <c r="D1514" i="12"/>
  <c r="A1513" i="12"/>
  <c r="G1512" i="12"/>
  <c r="B1512" i="12"/>
  <c r="C1511" i="12"/>
  <c r="D1510" i="12"/>
  <c r="A1509" i="12"/>
  <c r="G1508" i="12"/>
  <c r="B1508" i="12"/>
  <c r="C1507" i="12"/>
  <c r="D1506" i="12"/>
  <c r="A1505" i="12"/>
  <c r="G1504" i="12"/>
  <c r="B1504" i="12"/>
  <c r="C1503" i="12"/>
  <c r="D1502" i="12"/>
  <c r="A1501" i="12"/>
  <c r="G1500" i="12"/>
  <c r="B1500" i="12"/>
  <c r="C1499" i="12"/>
  <c r="D1498" i="12"/>
  <c r="A1497" i="12"/>
  <c r="G1496" i="12"/>
  <c r="B1496" i="12"/>
  <c r="C1495" i="12"/>
  <c r="D1494" i="12"/>
  <c r="A1493" i="12"/>
  <c r="G1492" i="12"/>
  <c r="B1492" i="12"/>
  <c r="C1491" i="12"/>
  <c r="D1490" i="12"/>
  <c r="A1489" i="12"/>
  <c r="G1488" i="12"/>
  <c r="B1488" i="12"/>
  <c r="C1487" i="12"/>
  <c r="D1486" i="12"/>
  <c r="A1485" i="12"/>
  <c r="G1484" i="12"/>
  <c r="B1484" i="12"/>
  <c r="C1483" i="12"/>
  <c r="D1482" i="12"/>
  <c r="A1481" i="12"/>
  <c r="G1480" i="12"/>
  <c r="B1480" i="12"/>
  <c r="C1479" i="12"/>
  <c r="D1478" i="12"/>
  <c r="A1477" i="12"/>
  <c r="G1476" i="12"/>
  <c r="B1476" i="12"/>
  <c r="D1475" i="12"/>
  <c r="B1474" i="12"/>
  <c r="D1473" i="12"/>
  <c r="B1472" i="12"/>
  <c r="D1471" i="12"/>
  <c r="B1470" i="12"/>
  <c r="D1469" i="12"/>
  <c r="B1468" i="12"/>
  <c r="D1467" i="12"/>
  <c r="B1466" i="12"/>
  <c r="D1465" i="12"/>
  <c r="B1464" i="12"/>
  <c r="D1463" i="12"/>
  <c r="B1462" i="12"/>
  <c r="D1461" i="12"/>
  <c r="B1460" i="12"/>
  <c r="D1459" i="12"/>
  <c r="B1458" i="12"/>
  <c r="D1457" i="12"/>
  <c r="B1456" i="12"/>
  <c r="D1455" i="12"/>
  <c r="B1454" i="12"/>
  <c r="D1453" i="12"/>
  <c r="B1452" i="12"/>
  <c r="D1451" i="12"/>
  <c r="B1450" i="12"/>
  <c r="D1449" i="12"/>
  <c r="B1448" i="12"/>
  <c r="D1447" i="12"/>
  <c r="B1446" i="12"/>
  <c r="D1445" i="12"/>
  <c r="B1444" i="12"/>
  <c r="D1443" i="12"/>
  <c r="B1442" i="12"/>
  <c r="D1441" i="12"/>
  <c r="B1440" i="12"/>
  <c r="D1439" i="12"/>
  <c r="B1438" i="12"/>
  <c r="D1437" i="12"/>
  <c r="B1436" i="12"/>
  <c r="D1435" i="12"/>
  <c r="B1434" i="12"/>
  <c r="D1433" i="12"/>
  <c r="B1432" i="12"/>
  <c r="D1431" i="12"/>
  <c r="B1430" i="12"/>
  <c r="D1429" i="12"/>
  <c r="B1428" i="12"/>
  <c r="D1427" i="12"/>
  <c r="B1426" i="12"/>
  <c r="D1425" i="12"/>
  <c r="B1424" i="12"/>
  <c r="D1423" i="12"/>
  <c r="B1422" i="12"/>
  <c r="D1421" i="12"/>
  <c r="B1420" i="12"/>
  <c r="D1419" i="12"/>
  <c r="C2737" i="12"/>
  <c r="E2718" i="12"/>
  <c r="D2707" i="12"/>
  <c r="E2703" i="12"/>
  <c r="D2690" i="12"/>
  <c r="B2663" i="12"/>
  <c r="D2650" i="12"/>
  <c r="C2635" i="12"/>
  <c r="D2621" i="12"/>
  <c r="C2606" i="12"/>
  <c r="E2587" i="12"/>
  <c r="D2576" i="12"/>
  <c r="E2572" i="12"/>
  <c r="B2554" i="12"/>
  <c r="E2532" i="12"/>
  <c r="C2528" i="12"/>
  <c r="B2521" i="12"/>
  <c r="A2511" i="12"/>
  <c r="D2503" i="12"/>
  <c r="C2492" i="12"/>
  <c r="E2488" i="12"/>
  <c r="E2483" i="12"/>
  <c r="B2478" i="12"/>
  <c r="E2470" i="12"/>
  <c r="E2466" i="12"/>
  <c r="B2459" i="12"/>
  <c r="C2437" i="12"/>
  <c r="D2433" i="12"/>
  <c r="B2426" i="12"/>
  <c r="E2404" i="12"/>
  <c r="C2400" i="12"/>
  <c r="B2393" i="12"/>
  <c r="A2383" i="12"/>
  <c r="C2375" i="12"/>
  <c r="E2371" i="12"/>
  <c r="E2366" i="12"/>
  <c r="B2361" i="12"/>
  <c r="D2353" i="12"/>
  <c r="A2346" i="12"/>
  <c r="A2342" i="12"/>
  <c r="B2335" i="12"/>
  <c r="C2331" i="12"/>
  <c r="D2327" i="12"/>
  <c r="E2320" i="12"/>
  <c r="C2308" i="12"/>
  <c r="C2304" i="12"/>
  <c r="C2287" i="12"/>
  <c r="D2283" i="12"/>
  <c r="D2275" i="12"/>
  <c r="A2268" i="12"/>
  <c r="A2264" i="12"/>
  <c r="B2261" i="12"/>
  <c r="B2257" i="12"/>
  <c r="A2253" i="12"/>
  <c r="A2249" i="12"/>
  <c r="A2245" i="12"/>
  <c r="E2236" i="12"/>
  <c r="E2232" i="12"/>
  <c r="B2228" i="12"/>
  <c r="B2224" i="12"/>
  <c r="C2220" i="12"/>
  <c r="B2216" i="12"/>
  <c r="A2212" i="12"/>
  <c r="D2205" i="12"/>
  <c r="B2201" i="12"/>
  <c r="A2194" i="12"/>
  <c r="A2193" i="12"/>
  <c r="A2192" i="12"/>
  <c r="B2188" i="12"/>
  <c r="B2183" i="12"/>
  <c r="D2175" i="12"/>
  <c r="D2170" i="12"/>
  <c r="E2166" i="12"/>
  <c r="E2165" i="12"/>
  <c r="E2164" i="12"/>
  <c r="C2158" i="12"/>
  <c r="D2153" i="12"/>
  <c r="C2147" i="12"/>
  <c r="B2141" i="12"/>
  <c r="C2136" i="12"/>
  <c r="A2130" i="12"/>
  <c r="A2129" i="12"/>
  <c r="A2128" i="12"/>
  <c r="B2124" i="12"/>
  <c r="B2119" i="12"/>
  <c r="D2111" i="12"/>
  <c r="D2106" i="12"/>
  <c r="E2102" i="12"/>
  <c r="E2101" i="12"/>
  <c r="E2100" i="12"/>
  <c r="C2094" i="12"/>
  <c r="D2089" i="12"/>
  <c r="C2083" i="12"/>
  <c r="B2077" i="12"/>
  <c r="C2072" i="12"/>
  <c r="A2066" i="12"/>
  <c r="A2065" i="12"/>
  <c r="A2064" i="12"/>
  <c r="B2060" i="12"/>
  <c r="B2055" i="12"/>
  <c r="D2047" i="12"/>
  <c r="D2042" i="12"/>
  <c r="E2038" i="12"/>
  <c r="E2037" i="12"/>
  <c r="E2036" i="12"/>
  <c r="C2030" i="12"/>
  <c r="D2025" i="12"/>
  <c r="C2019" i="12"/>
  <c r="B2013" i="12"/>
  <c r="C2008" i="12"/>
  <c r="A2002" i="12"/>
  <c r="A2001" i="12"/>
  <c r="A2000" i="12"/>
  <c r="B1996" i="12"/>
  <c r="B1991" i="12"/>
  <c r="B1987" i="12"/>
  <c r="B1982" i="12"/>
  <c r="C1976" i="12"/>
  <c r="C1972" i="12"/>
  <c r="C1968" i="12"/>
  <c r="C1964" i="12"/>
  <c r="C1960" i="12"/>
  <c r="C1956" i="12"/>
  <c r="C1952" i="12"/>
  <c r="C1948" i="12"/>
  <c r="C1944" i="12"/>
  <c r="C1940" i="12"/>
  <c r="C1936" i="12"/>
  <c r="C1932" i="12"/>
  <c r="C1928" i="12"/>
  <c r="C1924" i="12"/>
  <c r="C1920" i="12"/>
  <c r="C1916" i="12"/>
  <c r="C1912" i="12"/>
  <c r="C1908" i="12"/>
  <c r="C1904" i="12"/>
  <c r="C1900" i="12"/>
  <c r="C1896" i="12"/>
  <c r="C1892" i="12"/>
  <c r="C1888" i="12"/>
  <c r="C1884" i="12"/>
  <c r="C1880" i="12"/>
  <c r="C1876" i="12"/>
  <c r="C1872" i="12"/>
  <c r="C1868" i="12"/>
  <c r="C1864" i="12"/>
  <c r="C1860" i="12"/>
  <c r="C1856" i="12"/>
  <c r="C1852" i="12"/>
  <c r="C1848" i="12"/>
  <c r="C1844" i="12"/>
  <c r="C1840" i="12"/>
  <c r="C1836" i="12"/>
  <c r="C1832" i="12"/>
  <c r="C1830" i="12"/>
  <c r="C1828" i="12"/>
  <c r="C1826" i="12"/>
  <c r="C1824" i="12"/>
  <c r="C1822" i="12"/>
  <c r="C1820" i="12"/>
  <c r="C1818" i="12"/>
  <c r="C1816" i="12"/>
  <c r="C1814" i="12"/>
  <c r="C1812" i="12"/>
  <c r="C1810" i="12"/>
  <c r="C1808" i="12"/>
  <c r="C1806" i="12"/>
  <c r="C1804" i="12"/>
  <c r="D1802" i="12"/>
  <c r="D1800" i="12"/>
  <c r="D1798" i="12"/>
  <c r="D1796" i="12"/>
  <c r="D1794" i="12"/>
  <c r="D1792" i="12"/>
  <c r="D1790" i="12"/>
  <c r="D1788" i="12"/>
  <c r="D1786" i="12"/>
  <c r="D1784" i="12"/>
  <c r="D1782" i="12"/>
  <c r="D1780" i="12"/>
  <c r="D1778" i="12"/>
  <c r="D1776" i="12"/>
  <c r="D1774" i="12"/>
  <c r="D1772" i="12"/>
  <c r="D1770" i="12"/>
  <c r="D1768" i="12"/>
  <c r="D1766" i="12"/>
  <c r="D1764" i="12"/>
  <c r="D1762" i="12"/>
  <c r="D1760" i="12"/>
  <c r="D1758" i="12"/>
  <c r="D1756" i="12"/>
  <c r="D1754" i="12"/>
  <c r="B1753" i="12"/>
  <c r="A1752" i="12"/>
  <c r="D1750" i="12"/>
  <c r="B1749" i="12"/>
  <c r="A1748" i="12"/>
  <c r="D1746" i="12"/>
  <c r="C1745" i="12"/>
  <c r="C1744" i="12"/>
  <c r="C1743" i="12"/>
  <c r="C1742" i="12"/>
  <c r="C1741" i="12"/>
  <c r="C1740" i="12"/>
  <c r="C1739" i="12"/>
  <c r="C1738" i="12"/>
  <c r="C1737" i="12"/>
  <c r="C1736" i="12"/>
  <c r="C1735" i="12"/>
  <c r="C1734" i="12"/>
  <c r="C1733" i="12"/>
  <c r="C1732" i="12"/>
  <c r="C1731" i="12"/>
  <c r="C1730" i="12"/>
  <c r="C1729" i="12"/>
  <c r="C1728" i="12"/>
  <c r="C1727" i="12"/>
  <c r="C1726" i="12"/>
  <c r="C1725" i="12"/>
  <c r="C1724" i="12"/>
  <c r="C1723" i="12"/>
  <c r="C1722" i="12"/>
  <c r="C1721" i="12"/>
  <c r="C1720" i="12"/>
  <c r="C1719" i="12"/>
  <c r="C1718" i="12"/>
  <c r="C1717" i="12"/>
  <c r="C1716" i="12"/>
  <c r="C1715" i="12"/>
  <c r="C1714" i="12"/>
  <c r="C1713" i="12"/>
  <c r="C1712" i="12"/>
  <c r="C1711" i="12"/>
  <c r="C1710" i="12"/>
  <c r="C1709" i="12"/>
  <c r="C1708" i="12"/>
  <c r="C1707" i="12"/>
  <c r="C1706" i="12"/>
  <c r="C1705" i="12"/>
  <c r="C1704" i="12"/>
  <c r="C1703" i="12"/>
  <c r="C1702" i="12"/>
  <c r="C1701" i="12"/>
  <c r="C1700" i="12"/>
  <c r="C1699" i="12"/>
  <c r="C1698" i="12"/>
  <c r="C1697" i="12"/>
  <c r="C1696" i="12"/>
  <c r="C1695" i="12"/>
  <c r="C1694" i="12"/>
  <c r="C1693" i="12"/>
  <c r="C1692" i="12"/>
  <c r="C1691" i="12"/>
  <c r="C1690" i="12"/>
  <c r="C1689" i="12"/>
  <c r="C1688" i="12"/>
  <c r="C1687" i="12"/>
  <c r="C1686" i="12"/>
  <c r="C1685" i="12"/>
  <c r="C1684" i="12"/>
  <c r="C1683" i="12"/>
  <c r="C1682" i="12"/>
  <c r="C1681" i="12"/>
  <c r="C1680" i="12"/>
  <c r="C1679" i="12"/>
  <c r="C1678" i="12"/>
  <c r="C1677" i="12"/>
  <c r="C1676" i="12"/>
  <c r="C1675" i="12"/>
  <c r="C1674" i="12"/>
  <c r="C1673" i="12"/>
  <c r="C1672" i="12"/>
  <c r="C1671" i="12"/>
  <c r="C1670" i="12"/>
  <c r="C1669" i="12"/>
  <c r="C1668" i="12"/>
  <c r="C1667" i="12"/>
  <c r="C1666" i="12"/>
  <c r="C1665" i="12"/>
  <c r="C1664" i="12"/>
  <c r="C1663" i="12"/>
  <c r="C1662" i="12"/>
  <c r="C1661" i="12"/>
  <c r="C1660" i="12"/>
  <c r="C1659" i="12"/>
  <c r="C1658" i="12"/>
  <c r="C1657" i="12"/>
  <c r="C1656" i="12"/>
  <c r="C1655" i="12"/>
  <c r="C1654" i="12"/>
  <c r="C1653" i="12"/>
  <c r="C1652" i="12"/>
  <c r="C1651" i="12"/>
  <c r="C1650" i="12"/>
  <c r="C1649" i="12"/>
  <c r="C1648" i="12"/>
  <c r="C1647" i="12"/>
  <c r="C1646" i="12"/>
  <c r="C1645" i="12"/>
  <c r="C1644" i="12"/>
  <c r="C1643" i="12"/>
  <c r="C1642" i="12"/>
  <c r="C1641" i="12"/>
  <c r="C1640" i="12"/>
  <c r="C1639" i="12"/>
  <c r="C1638" i="12"/>
  <c r="C1637" i="12"/>
  <c r="C1636" i="12"/>
  <c r="C1635" i="12"/>
  <c r="C1634" i="12"/>
  <c r="C1633" i="12"/>
  <c r="C1632" i="12"/>
  <c r="C1631" i="12"/>
  <c r="C1630" i="12"/>
  <c r="C1629" i="12"/>
  <c r="C1628" i="12"/>
  <c r="C1627" i="12"/>
  <c r="C1626" i="12"/>
  <c r="C1625" i="12"/>
  <c r="D1624" i="12"/>
  <c r="A1623" i="12"/>
  <c r="G1622" i="12"/>
  <c r="B1622" i="12"/>
  <c r="C1621" i="12"/>
  <c r="D1620" i="12"/>
  <c r="A1619" i="12"/>
  <c r="G1618" i="12"/>
  <c r="B1618" i="12"/>
  <c r="C1617" i="12"/>
  <c r="D1616" i="12"/>
  <c r="A1615" i="12"/>
  <c r="G1614" i="12"/>
  <c r="B1614" i="12"/>
  <c r="C1613" i="12"/>
  <c r="D1612" i="12"/>
  <c r="A1611" i="12"/>
  <c r="G1610" i="12"/>
  <c r="B1610" i="12"/>
  <c r="C1609" i="12"/>
  <c r="D1608" i="12"/>
  <c r="A1607" i="12"/>
  <c r="G1606" i="12"/>
  <c r="B1606" i="12"/>
  <c r="C1605" i="12"/>
  <c r="D1604" i="12"/>
  <c r="A1603" i="12"/>
  <c r="G1602" i="12"/>
  <c r="B1602" i="12"/>
  <c r="C1601" i="12"/>
  <c r="D1600" i="12"/>
  <c r="A1599" i="12"/>
  <c r="G1598" i="12"/>
  <c r="B1598" i="12"/>
  <c r="C1597" i="12"/>
  <c r="D1596" i="12"/>
  <c r="A1595" i="12"/>
  <c r="G1594" i="12"/>
  <c r="B1594" i="12"/>
  <c r="C1593" i="12"/>
  <c r="D1592" i="12"/>
  <c r="A1591" i="12"/>
  <c r="G1590" i="12"/>
  <c r="B1590" i="12"/>
  <c r="C1589" i="12"/>
  <c r="D1588" i="12"/>
  <c r="A1587" i="12"/>
  <c r="G1586" i="12"/>
  <c r="B1586" i="12"/>
  <c r="C1585" i="12"/>
  <c r="D1584" i="12"/>
  <c r="A1583" i="12"/>
  <c r="G1582" i="12"/>
  <c r="B1582" i="12"/>
  <c r="C1581" i="12"/>
  <c r="D1580" i="12"/>
  <c r="A1579" i="12"/>
  <c r="G1578" i="12"/>
  <c r="B1578" i="12"/>
  <c r="C1577" i="12"/>
  <c r="D1576" i="12"/>
  <c r="A1575" i="12"/>
  <c r="G1574" i="12"/>
  <c r="B1574" i="12"/>
  <c r="C1573" i="12"/>
  <c r="D1572" i="12"/>
  <c r="A1571" i="12"/>
  <c r="G1570" i="12"/>
  <c r="B1570" i="12"/>
  <c r="C1569" i="12"/>
  <c r="D1568" i="12"/>
  <c r="A1567" i="12"/>
  <c r="G1566" i="12"/>
  <c r="B1566" i="12"/>
  <c r="C1565" i="12"/>
  <c r="D1564" i="12"/>
  <c r="A1563" i="12"/>
  <c r="G1562" i="12"/>
  <c r="B1562" i="12"/>
  <c r="C1561" i="12"/>
  <c r="D1560" i="12"/>
  <c r="A1559" i="12"/>
  <c r="G1558" i="12"/>
  <c r="B1558" i="12"/>
  <c r="C1557" i="12"/>
  <c r="D1556" i="12"/>
  <c r="A1555" i="12"/>
  <c r="G1554" i="12"/>
  <c r="B1554" i="12"/>
  <c r="C1553" i="12"/>
  <c r="D1552" i="12"/>
  <c r="A1551" i="12"/>
  <c r="G1550" i="12"/>
  <c r="B1550" i="12"/>
  <c r="C1549" i="12"/>
  <c r="D1548" i="12"/>
  <c r="A1547" i="12"/>
  <c r="G1546" i="12"/>
  <c r="B1546" i="12"/>
  <c r="C1545" i="12"/>
  <c r="D1544" i="12"/>
  <c r="A1543" i="12"/>
  <c r="G1542" i="12"/>
  <c r="B1542" i="12"/>
  <c r="C1541" i="12"/>
  <c r="D1540" i="12"/>
  <c r="A1539" i="12"/>
  <c r="G1538" i="12"/>
  <c r="B1538" i="12"/>
  <c r="C1537" i="12"/>
  <c r="D1536" i="12"/>
  <c r="A1535" i="12"/>
  <c r="G1534" i="12"/>
  <c r="B1534" i="12"/>
  <c r="C1533" i="12"/>
  <c r="D1532" i="12"/>
  <c r="A1531" i="12"/>
  <c r="G1530" i="12"/>
  <c r="B1530" i="12"/>
  <c r="C1529" i="12"/>
  <c r="D1528" i="12"/>
  <c r="A1527" i="12"/>
  <c r="G1526" i="12"/>
  <c r="B1526" i="12"/>
  <c r="C1525" i="12"/>
  <c r="D1524" i="12"/>
  <c r="A1523" i="12"/>
  <c r="G1522" i="12"/>
  <c r="B1522" i="12"/>
  <c r="C1521" i="12"/>
  <c r="D1520" i="12"/>
  <c r="A1519" i="12"/>
  <c r="G1518" i="12"/>
  <c r="B1518" i="12"/>
  <c r="C1517" i="12"/>
  <c r="D1516" i="12"/>
  <c r="A1515" i="12"/>
  <c r="G1514" i="12"/>
  <c r="B1514" i="12"/>
  <c r="C1513" i="12"/>
  <c r="D1512" i="12"/>
  <c r="A1511" i="12"/>
  <c r="G1510" i="12"/>
  <c r="B1510" i="12"/>
  <c r="C1509" i="12"/>
  <c r="D1508" i="12"/>
  <c r="A1507" i="12"/>
  <c r="G1506" i="12"/>
  <c r="B1506" i="12"/>
  <c r="C1505" i="12"/>
  <c r="D1504" i="12"/>
  <c r="A1503" i="12"/>
  <c r="G1502" i="12"/>
  <c r="B1502" i="12"/>
  <c r="C1501" i="12"/>
  <c r="D1500" i="12"/>
  <c r="A1499" i="12"/>
  <c r="G1498" i="12"/>
  <c r="B1498" i="12"/>
  <c r="C1497" i="12"/>
  <c r="D1496" i="12"/>
  <c r="A1495" i="12"/>
  <c r="G1494" i="12"/>
  <c r="B1494" i="12"/>
  <c r="C1493" i="12"/>
  <c r="D1492" i="12"/>
  <c r="A1491" i="12"/>
  <c r="G1490" i="12"/>
  <c r="B1490" i="12"/>
  <c r="C1489" i="12"/>
  <c r="D1488" i="12"/>
  <c r="A1487" i="12"/>
  <c r="G1486" i="12"/>
  <c r="B1486" i="12"/>
  <c r="C1485" i="12"/>
  <c r="D1484" i="12"/>
  <c r="A1483" i="12"/>
  <c r="G1482" i="12"/>
  <c r="B1482" i="12"/>
  <c r="C1481" i="12"/>
  <c r="D1480" i="12"/>
  <c r="A1479" i="12"/>
  <c r="G1478" i="12"/>
  <c r="B1478" i="12"/>
  <c r="C1477" i="12"/>
  <c r="D1476" i="12"/>
  <c r="B1475" i="12"/>
  <c r="D1474" i="12"/>
  <c r="B1473" i="12"/>
  <c r="D1472" i="12"/>
  <c r="B1471" i="12"/>
  <c r="D1470" i="12"/>
  <c r="B1469" i="12"/>
  <c r="D1468" i="12"/>
  <c r="B1467" i="12"/>
  <c r="D1466" i="12"/>
  <c r="B1465" i="12"/>
  <c r="D1464" i="12"/>
  <c r="B1463" i="12"/>
  <c r="D1462" i="12"/>
  <c r="B1461" i="12"/>
  <c r="D1460" i="12"/>
  <c r="B1459" i="12"/>
  <c r="D1458" i="12"/>
  <c r="B1457" i="12"/>
  <c r="D1456" i="12"/>
  <c r="B1455" i="12"/>
  <c r="D1454" i="12"/>
  <c r="B1453" i="12"/>
  <c r="D1452" i="12"/>
  <c r="B1451" i="12"/>
  <c r="D1450" i="12"/>
  <c r="B1449" i="12"/>
  <c r="D1448" i="12"/>
  <c r="B1447" i="12"/>
  <c r="D1446" i="12"/>
  <c r="B1445" i="12"/>
  <c r="D1444" i="12"/>
  <c r="B1443" i="12"/>
  <c r="D1442" i="12"/>
  <c r="B1441" i="12"/>
  <c r="D1440" i="12"/>
  <c r="B1439" i="12"/>
  <c r="D1438" i="12"/>
  <c r="B1437" i="12"/>
  <c r="D1436" i="12"/>
  <c r="B1435" i="12"/>
  <c r="D1434" i="12"/>
  <c r="B1433" i="12"/>
  <c r="D1432" i="12"/>
  <c r="B1431" i="12"/>
  <c r="D1430" i="12"/>
  <c r="B1429" i="12"/>
  <c r="D1428" i="12"/>
  <c r="E2747" i="12"/>
  <c r="E2734" i="12"/>
  <c r="D2723" i="12"/>
  <c r="E2719" i="12"/>
  <c r="D2704" i="12"/>
  <c r="E2691" i="12"/>
  <c r="B2671" i="12"/>
  <c r="C2651" i="12"/>
  <c r="E2632" i="12"/>
  <c r="C2622" i="12"/>
  <c r="E2603" i="12"/>
  <c r="D2592" i="12"/>
  <c r="E2588" i="12"/>
  <c r="D2573" i="12"/>
  <c r="B2555" i="12"/>
  <c r="C2533" i="12"/>
  <c r="D2529" i="12"/>
  <c r="B2522" i="12"/>
  <c r="E2500" i="12"/>
  <c r="C2496" i="12"/>
  <c r="B2489" i="12"/>
  <c r="A2479" i="12"/>
  <c r="D2471" i="12"/>
  <c r="C2460" i="12"/>
  <c r="E2456" i="12"/>
  <c r="E2451" i="12"/>
  <c r="B2446" i="12"/>
  <c r="E2438" i="12"/>
  <c r="E2434" i="12"/>
  <c r="B2427" i="12"/>
  <c r="C2405" i="12"/>
  <c r="D2401" i="12"/>
  <c r="B2394" i="12"/>
  <c r="B2372" i="12"/>
  <c r="A2362" i="12"/>
  <c r="D2354" i="12"/>
  <c r="B2347" i="12"/>
  <c r="D2339" i="12"/>
  <c r="A2332" i="12"/>
  <c r="A2328" i="12"/>
  <c r="B2325" i="12"/>
  <c r="B2321" i="12"/>
  <c r="A2317" i="12"/>
  <c r="A2313" i="12"/>
  <c r="A2309" i="12"/>
  <c r="E2300" i="12"/>
  <c r="E2296" i="12"/>
  <c r="B2292" i="12"/>
  <c r="B2288" i="12"/>
  <c r="C2284" i="12"/>
  <c r="B2280" i="12"/>
  <c r="A2276" i="12"/>
  <c r="D2269" i="12"/>
  <c r="B2265" i="12"/>
  <c r="E2258" i="12"/>
  <c r="D2254" i="12"/>
  <c r="C2250" i="12"/>
  <c r="D2246" i="12"/>
  <c r="D2242" i="12"/>
  <c r="A2238" i="12"/>
  <c r="A2234" i="12"/>
  <c r="E2225" i="12"/>
  <c r="E2221" i="12"/>
  <c r="E2217" i="12"/>
  <c r="D2213" i="12"/>
  <c r="D2209" i="12"/>
  <c r="E2206" i="12"/>
  <c r="E2202" i="12"/>
  <c r="C2195" i="12"/>
  <c r="B2189" i="12"/>
  <c r="C2184" i="12"/>
  <c r="A2178" i="12"/>
  <c r="A2177" i="12"/>
  <c r="A2176" i="12"/>
  <c r="B2172" i="12"/>
  <c r="B2167" i="12"/>
  <c r="D2159" i="12"/>
  <c r="D2154" i="12"/>
  <c r="E2150" i="12"/>
  <c r="E2149" i="12"/>
  <c r="E2148" i="12"/>
  <c r="C2142" i="12"/>
  <c r="D2137" i="12"/>
  <c r="C2131" i="12"/>
  <c r="B2125" i="12"/>
  <c r="C2120" i="12"/>
  <c r="A2114" i="12"/>
  <c r="A2113" i="12"/>
  <c r="A2112" i="12"/>
  <c r="B2108" i="12"/>
  <c r="B2103" i="12"/>
  <c r="D2095" i="12"/>
  <c r="D2090" i="12"/>
  <c r="E2086" i="12"/>
  <c r="E2085" i="12"/>
  <c r="E2084" i="12"/>
  <c r="C2078" i="12"/>
  <c r="D2073" i="12"/>
  <c r="C2067" i="12"/>
  <c r="B2061" i="12"/>
  <c r="C2056" i="12"/>
  <c r="A2050" i="12"/>
  <c r="A2049" i="12"/>
  <c r="A2048" i="12"/>
  <c r="B2044" i="12"/>
  <c r="B2039" i="12"/>
  <c r="D2031" i="12"/>
  <c r="D2026" i="12"/>
  <c r="E2022" i="12"/>
  <c r="E2021" i="12"/>
  <c r="E2020" i="12"/>
  <c r="C2014" i="12"/>
  <c r="D2009" i="12"/>
  <c r="C2003" i="12"/>
  <c r="B1997" i="12"/>
  <c r="C1992" i="12"/>
  <c r="B1988" i="12"/>
  <c r="C1983" i="12"/>
  <c r="A1802" i="12"/>
  <c r="A1800" i="12"/>
  <c r="A1798" i="12"/>
  <c r="A1796" i="12"/>
  <c r="A1794" i="12"/>
  <c r="A1792" i="12"/>
  <c r="A1790" i="12"/>
  <c r="A1788" i="12"/>
  <c r="A1786" i="12"/>
  <c r="A1784" i="12"/>
  <c r="A1782" i="12"/>
  <c r="A1780" i="12"/>
  <c r="A1778" i="12"/>
  <c r="A1776" i="12"/>
  <c r="A1774" i="12"/>
  <c r="A1772" i="12"/>
  <c r="A1770" i="12"/>
  <c r="A1768" i="12"/>
  <c r="A1766" i="12"/>
  <c r="A1764" i="12"/>
  <c r="A1762" i="12"/>
  <c r="A1760" i="12"/>
  <c r="A1758" i="12"/>
  <c r="A1756" i="12"/>
  <c r="B1754" i="12"/>
  <c r="A1753" i="12"/>
  <c r="D1751" i="12"/>
  <c r="B1750" i="12"/>
  <c r="A1749" i="12"/>
  <c r="D1747" i="12"/>
  <c r="B1746" i="12"/>
  <c r="B1745" i="12"/>
  <c r="B1744" i="12"/>
  <c r="B1743" i="12"/>
  <c r="B1742" i="12"/>
  <c r="B1741" i="12"/>
  <c r="B1740" i="12"/>
  <c r="B1739" i="12"/>
  <c r="B1738" i="12"/>
  <c r="B1737" i="12"/>
  <c r="B1736" i="12"/>
  <c r="B1735" i="12"/>
  <c r="B1734" i="12"/>
  <c r="B1733" i="12"/>
  <c r="B1732" i="12"/>
  <c r="B1731" i="12"/>
  <c r="B1730" i="12"/>
  <c r="B1729" i="12"/>
  <c r="B1728" i="12"/>
  <c r="B1727" i="12"/>
  <c r="B1726" i="12"/>
  <c r="B1725" i="12"/>
  <c r="B1724" i="12"/>
  <c r="B1723" i="12"/>
  <c r="B1722" i="12"/>
  <c r="B1721" i="12"/>
  <c r="B1720" i="12"/>
  <c r="B1719" i="12"/>
  <c r="B1718" i="12"/>
  <c r="B1717" i="12"/>
  <c r="B1716" i="12"/>
  <c r="B1715" i="12"/>
  <c r="B1714" i="12"/>
  <c r="B1713" i="12"/>
  <c r="B1712" i="12"/>
  <c r="B1711" i="12"/>
  <c r="B1710" i="12"/>
  <c r="B1709" i="12"/>
  <c r="B1708" i="12"/>
  <c r="B1707" i="12"/>
  <c r="B1706" i="12"/>
  <c r="B1705" i="12"/>
  <c r="B1704" i="12"/>
  <c r="B1703" i="12"/>
  <c r="B1702" i="12"/>
  <c r="B1701" i="12"/>
  <c r="B1700" i="12"/>
  <c r="B1699" i="12"/>
  <c r="B1698" i="12"/>
  <c r="B1697" i="12"/>
  <c r="B1696" i="12"/>
  <c r="B1695" i="12"/>
  <c r="B1694" i="12"/>
  <c r="B1693" i="12"/>
  <c r="B1692" i="12"/>
  <c r="B1691" i="12"/>
  <c r="B1690" i="12"/>
  <c r="B1689" i="12"/>
  <c r="B1688" i="12"/>
  <c r="B1687" i="12"/>
  <c r="B1686" i="12"/>
  <c r="B1685" i="12"/>
  <c r="B1684" i="12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C1624" i="12"/>
  <c r="D1623" i="12"/>
  <c r="A1622" i="12"/>
  <c r="G1621" i="12"/>
  <c r="B1621" i="12"/>
  <c r="C1620" i="12"/>
  <c r="D1619" i="12"/>
  <c r="A1618" i="12"/>
  <c r="G1617" i="12"/>
  <c r="B1617" i="12"/>
  <c r="C1616" i="12"/>
  <c r="D1615" i="12"/>
  <c r="A1614" i="12"/>
  <c r="G1613" i="12"/>
  <c r="B1613" i="12"/>
  <c r="C1612" i="12"/>
  <c r="D1611" i="12"/>
  <c r="A1610" i="12"/>
  <c r="G1609" i="12"/>
  <c r="B1609" i="12"/>
  <c r="C1608" i="12"/>
  <c r="D1607" i="12"/>
  <c r="A1606" i="12"/>
  <c r="G1605" i="12"/>
  <c r="B1605" i="12"/>
  <c r="C1604" i="12"/>
  <c r="D1603" i="12"/>
  <c r="A1602" i="12"/>
  <c r="G1601" i="12"/>
  <c r="B1601" i="12"/>
  <c r="C1600" i="12"/>
  <c r="D1599" i="12"/>
  <c r="A1598" i="12"/>
  <c r="G1597" i="12"/>
  <c r="B1597" i="12"/>
  <c r="C1596" i="12"/>
  <c r="D1595" i="12"/>
  <c r="A1594" i="12"/>
  <c r="G1593" i="12"/>
  <c r="B1593" i="12"/>
  <c r="C1592" i="12"/>
  <c r="D1591" i="12"/>
  <c r="A1590" i="12"/>
  <c r="G1589" i="12"/>
  <c r="B1589" i="12"/>
  <c r="C1588" i="12"/>
  <c r="D1587" i="12"/>
  <c r="A1586" i="12"/>
  <c r="G1585" i="12"/>
  <c r="B1585" i="12"/>
  <c r="C1584" i="12"/>
  <c r="D1583" i="12"/>
  <c r="A1582" i="12"/>
  <c r="G1581" i="12"/>
  <c r="B1581" i="12"/>
  <c r="C1580" i="12"/>
  <c r="D1579" i="12"/>
  <c r="A1578" i="12"/>
  <c r="G1577" i="12"/>
  <c r="B1577" i="12"/>
  <c r="C1576" i="12"/>
  <c r="D1575" i="12"/>
  <c r="A1574" i="12"/>
  <c r="G1573" i="12"/>
  <c r="B1573" i="12"/>
  <c r="C1572" i="12"/>
  <c r="D1571" i="12"/>
  <c r="A1570" i="12"/>
  <c r="G1569" i="12"/>
  <c r="B1569" i="12"/>
  <c r="C1568" i="12"/>
  <c r="D1567" i="12"/>
  <c r="A1566" i="12"/>
  <c r="G1565" i="12"/>
  <c r="B1565" i="12"/>
  <c r="C1564" i="12"/>
  <c r="D1563" i="12"/>
  <c r="A1562" i="12"/>
  <c r="G1561" i="12"/>
  <c r="B1561" i="12"/>
  <c r="C1560" i="12"/>
  <c r="D1559" i="12"/>
  <c r="A1558" i="12"/>
  <c r="G1557" i="12"/>
  <c r="B1557" i="12"/>
  <c r="C1556" i="12"/>
  <c r="D1555" i="12"/>
  <c r="A1554" i="12"/>
  <c r="G1553" i="12"/>
  <c r="B1553" i="12"/>
  <c r="C1552" i="12"/>
  <c r="D1551" i="12"/>
  <c r="A1550" i="12"/>
  <c r="G1549" i="12"/>
  <c r="B1549" i="12"/>
  <c r="C1548" i="12"/>
  <c r="D1547" i="12"/>
  <c r="A1546" i="12"/>
  <c r="G1545" i="12"/>
  <c r="B1545" i="12"/>
  <c r="C1544" i="12"/>
  <c r="D1543" i="12"/>
  <c r="A1542" i="12"/>
  <c r="G1541" i="12"/>
  <c r="B1541" i="12"/>
  <c r="C1540" i="12"/>
  <c r="D1539" i="12"/>
  <c r="A1538" i="12"/>
  <c r="G1537" i="12"/>
  <c r="B1537" i="12"/>
  <c r="C1536" i="12"/>
  <c r="D1535" i="12"/>
  <c r="A1534" i="12"/>
  <c r="G1533" i="12"/>
  <c r="B1533" i="12"/>
  <c r="C1532" i="12"/>
  <c r="D1531" i="12"/>
  <c r="A1530" i="12"/>
  <c r="G1529" i="12"/>
  <c r="B1529" i="12"/>
  <c r="C1528" i="12"/>
  <c r="D1527" i="12"/>
  <c r="A1526" i="12"/>
  <c r="G1525" i="12"/>
  <c r="B1525" i="12"/>
  <c r="C1524" i="12"/>
  <c r="D1523" i="12"/>
  <c r="A1522" i="12"/>
  <c r="G1521" i="12"/>
  <c r="B1521" i="12"/>
  <c r="C1520" i="12"/>
  <c r="D1519" i="12"/>
  <c r="A1518" i="12"/>
  <c r="G1517" i="12"/>
  <c r="B1517" i="12"/>
  <c r="C1516" i="12"/>
  <c r="D1515" i="12"/>
  <c r="A1514" i="12"/>
  <c r="G1513" i="12"/>
  <c r="B1513" i="12"/>
  <c r="C1512" i="12"/>
  <c r="D1511" i="12"/>
  <c r="A1510" i="12"/>
  <c r="G1509" i="12"/>
  <c r="B1509" i="12"/>
  <c r="C1508" i="12"/>
  <c r="D1507" i="12"/>
  <c r="A1506" i="12"/>
  <c r="G1505" i="12"/>
  <c r="B1505" i="12"/>
  <c r="C1504" i="12"/>
  <c r="D1503" i="12"/>
  <c r="A1502" i="12"/>
  <c r="G1501" i="12"/>
  <c r="B1501" i="12"/>
  <c r="C1500" i="12"/>
  <c r="D1499" i="12"/>
  <c r="A1498" i="12"/>
  <c r="G1497" i="12"/>
  <c r="B1497" i="12"/>
  <c r="C1496" i="12"/>
  <c r="D1495" i="12"/>
  <c r="A1494" i="12"/>
  <c r="G1493" i="12"/>
  <c r="B1493" i="12"/>
  <c r="C1492" i="12"/>
  <c r="D1491" i="12"/>
  <c r="A1490" i="12"/>
  <c r="G1489" i="12"/>
  <c r="B1489" i="12"/>
  <c r="C1488" i="12"/>
  <c r="D1487" i="12"/>
  <c r="A1486" i="12"/>
  <c r="G1485" i="12"/>
  <c r="B1485" i="12"/>
  <c r="C1484" i="12"/>
  <c r="D1483" i="12"/>
  <c r="A1482" i="12"/>
  <c r="G1481" i="12"/>
  <c r="B1481" i="12"/>
  <c r="C1480" i="12"/>
  <c r="D1479" i="12"/>
  <c r="A1478" i="12"/>
  <c r="G1477" i="12"/>
  <c r="B1477" i="12"/>
  <c r="C1476" i="12"/>
  <c r="E1475" i="12"/>
  <c r="A1475" i="12"/>
  <c r="G1474" i="12"/>
  <c r="C1474" i="12"/>
  <c r="E1473" i="12"/>
  <c r="A1473" i="12"/>
  <c r="G1472" i="12"/>
  <c r="C1472" i="12"/>
  <c r="E1471" i="12"/>
  <c r="A1471" i="12"/>
  <c r="G1470" i="12"/>
  <c r="C1470" i="12"/>
  <c r="E1469" i="12"/>
  <c r="A1469" i="12"/>
  <c r="G1468" i="12"/>
  <c r="C1468" i="12"/>
  <c r="E1467" i="12"/>
  <c r="A1467" i="12"/>
  <c r="G1466" i="12"/>
  <c r="C1466" i="12"/>
  <c r="E1465" i="12"/>
  <c r="A1465" i="12"/>
  <c r="G1464" i="12"/>
  <c r="C1464" i="12"/>
  <c r="E1463" i="12"/>
  <c r="A1463" i="12"/>
  <c r="G1462" i="12"/>
  <c r="C1462" i="12"/>
  <c r="E1461" i="12"/>
  <c r="A1461" i="12"/>
  <c r="G1460" i="12"/>
  <c r="C1460" i="12"/>
  <c r="E1459" i="12"/>
  <c r="A1459" i="12"/>
  <c r="G1458" i="12"/>
  <c r="C1458" i="12"/>
  <c r="E1457" i="12"/>
  <c r="A1457" i="12"/>
  <c r="G1456" i="12"/>
  <c r="C1456" i="12"/>
  <c r="E1455" i="12"/>
  <c r="A1455" i="12"/>
  <c r="G1454" i="12"/>
  <c r="C1454" i="12"/>
  <c r="E1453" i="12"/>
  <c r="A1453" i="12"/>
  <c r="G1452" i="12"/>
  <c r="C1452" i="12"/>
  <c r="E1451" i="12"/>
  <c r="A1451" i="12"/>
  <c r="G1450" i="12"/>
  <c r="C1450" i="12"/>
  <c r="E1449" i="12"/>
  <c r="A1449" i="12"/>
  <c r="G1448" i="12"/>
  <c r="C1448" i="12"/>
  <c r="E1447" i="12"/>
  <c r="A1447" i="12"/>
  <c r="G1446" i="12"/>
  <c r="C1446" i="12"/>
  <c r="E1445" i="12"/>
  <c r="A1445" i="12"/>
  <c r="G1444" i="12"/>
  <c r="C1444" i="12"/>
  <c r="E1443" i="12"/>
  <c r="A1443" i="12"/>
  <c r="G1442" i="12"/>
  <c r="C1442" i="12"/>
  <c r="E1441" i="12"/>
  <c r="A1441" i="12"/>
  <c r="G1440" i="12"/>
  <c r="D2736" i="12"/>
  <c r="E2702" i="12"/>
  <c r="E2649" i="12"/>
  <c r="D2624" i="12"/>
  <c r="D2605" i="12"/>
  <c r="E2571" i="12"/>
  <c r="E2520" i="12"/>
  <c r="E2498" i="12"/>
  <c r="C2432" i="12"/>
  <c r="B2425" i="12"/>
  <c r="C2396" i="12"/>
  <c r="E2387" i="12"/>
  <c r="B2374" i="12"/>
  <c r="D2337" i="12"/>
  <c r="E2330" i="12"/>
  <c r="C2290" i="12"/>
  <c r="C2267" i="12"/>
  <c r="C2244" i="12"/>
  <c r="A2204" i="12"/>
  <c r="B2197" i="12"/>
  <c r="E2182" i="12"/>
  <c r="B2157" i="12"/>
  <c r="A2146" i="12"/>
  <c r="D2127" i="12"/>
  <c r="D2122" i="12"/>
  <c r="E2117" i="12"/>
  <c r="C2110" i="12"/>
  <c r="C2099" i="12"/>
  <c r="C2088" i="12"/>
  <c r="A2081" i="12"/>
  <c r="B2076" i="12"/>
  <c r="B2071" i="12"/>
  <c r="E2052" i="12"/>
  <c r="D2041" i="12"/>
  <c r="A2016" i="12"/>
  <c r="E1981" i="12"/>
  <c r="D1828" i="12"/>
  <c r="D1824" i="12"/>
  <c r="D1820" i="12"/>
  <c r="D1816" i="12"/>
  <c r="D1812" i="12"/>
  <c r="D1808" i="12"/>
  <c r="D1804" i="12"/>
  <c r="A1751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G1623" i="12"/>
  <c r="A1620" i="12"/>
  <c r="C1618" i="12"/>
  <c r="B1611" i="12"/>
  <c r="D1609" i="12"/>
  <c r="G1607" i="12"/>
  <c r="A1604" i="12"/>
  <c r="C1602" i="12"/>
  <c r="B1595" i="12"/>
  <c r="D1593" i="12"/>
  <c r="G1591" i="12"/>
  <c r="A1588" i="12"/>
  <c r="C1586" i="12"/>
  <c r="B1579" i="12"/>
  <c r="D1577" i="12"/>
  <c r="G1575" i="12"/>
  <c r="A1572" i="12"/>
  <c r="C1570" i="12"/>
  <c r="B1563" i="12"/>
  <c r="D1561" i="12"/>
  <c r="G1559" i="12"/>
  <c r="A1556" i="12"/>
  <c r="C1554" i="12"/>
  <c r="B1547" i="12"/>
  <c r="D1545" i="12"/>
  <c r="G1543" i="12"/>
  <c r="A1540" i="12"/>
  <c r="C1538" i="12"/>
  <c r="B1531" i="12"/>
  <c r="D1529" i="12"/>
  <c r="G1527" i="12"/>
  <c r="A1524" i="12"/>
  <c r="C1522" i="12"/>
  <c r="B1515" i="12"/>
  <c r="D1513" i="12"/>
  <c r="G1511" i="12"/>
  <c r="A1508" i="12"/>
  <c r="C1506" i="12"/>
  <c r="B1499" i="12"/>
  <c r="D1497" i="12"/>
  <c r="G1495" i="12"/>
  <c r="A1492" i="12"/>
  <c r="C1490" i="12"/>
  <c r="B1483" i="12"/>
  <c r="D1481" i="12"/>
  <c r="G1479" i="12"/>
  <c r="A1476" i="12"/>
  <c r="E1474" i="12"/>
  <c r="C1471" i="12"/>
  <c r="G1469" i="12"/>
  <c r="A1468" i="12"/>
  <c r="E1466" i="12"/>
  <c r="C1463" i="12"/>
  <c r="G1461" i="12"/>
  <c r="A1460" i="12"/>
  <c r="E1458" i="12"/>
  <c r="C1455" i="12"/>
  <c r="G1453" i="12"/>
  <c r="A1452" i="12"/>
  <c r="E1450" i="12"/>
  <c r="C1447" i="12"/>
  <c r="G1445" i="12"/>
  <c r="A1444" i="12"/>
  <c r="E1442" i="12"/>
  <c r="A1439" i="12"/>
  <c r="C1438" i="12"/>
  <c r="E1437" i="12"/>
  <c r="G1436" i="12"/>
  <c r="A1435" i="12"/>
  <c r="C1434" i="12"/>
  <c r="E1433" i="12"/>
  <c r="G1432" i="12"/>
  <c r="A1431" i="12"/>
  <c r="C1430" i="12"/>
  <c r="E1429" i="12"/>
  <c r="G1428" i="12"/>
  <c r="C1427" i="12"/>
  <c r="C1426" i="12"/>
  <c r="G1425" i="12"/>
  <c r="B1425" i="12"/>
  <c r="G1424" i="12"/>
  <c r="A1424" i="12"/>
  <c r="A1423" i="12"/>
  <c r="E1422" i="12"/>
  <c r="E1421" i="12"/>
  <c r="D1420" i="12"/>
  <c r="C1419" i="12"/>
  <c r="E1418" i="12"/>
  <c r="A1418" i="12"/>
  <c r="G1417" i="12"/>
  <c r="C1417" i="12"/>
  <c r="E1416" i="12"/>
  <c r="A1416" i="12"/>
  <c r="G1415" i="12"/>
  <c r="C1415" i="12"/>
  <c r="E1414" i="12"/>
  <c r="A1414" i="12"/>
  <c r="G1413" i="12"/>
  <c r="C1413" i="12"/>
  <c r="E1412" i="12"/>
  <c r="A1412" i="12"/>
  <c r="G1411" i="12"/>
  <c r="C1411" i="12"/>
  <c r="E1410" i="12"/>
  <c r="A1410" i="12"/>
  <c r="G1409" i="12"/>
  <c r="C1409" i="12"/>
  <c r="E1408" i="12"/>
  <c r="A1408" i="12"/>
  <c r="G1407" i="12"/>
  <c r="C1407" i="12"/>
  <c r="E1406" i="12"/>
  <c r="A1406" i="12"/>
  <c r="G1405" i="12"/>
  <c r="C1405" i="12"/>
  <c r="E1404" i="12"/>
  <c r="A1404" i="12"/>
  <c r="G1403" i="12"/>
  <c r="C1403" i="12"/>
  <c r="E1402" i="12"/>
  <c r="A1402" i="12"/>
  <c r="G1401" i="12"/>
  <c r="C1401" i="12"/>
  <c r="E1400" i="12"/>
  <c r="A1400" i="12"/>
  <c r="G1399" i="12"/>
  <c r="C1399" i="12"/>
  <c r="E1398" i="12"/>
  <c r="A1398" i="12"/>
  <c r="G1397" i="12"/>
  <c r="C1397" i="12"/>
  <c r="E1396" i="12"/>
  <c r="A1396" i="12"/>
  <c r="G1395" i="12"/>
  <c r="C1395" i="12"/>
  <c r="E1394" i="12"/>
  <c r="A1394" i="12"/>
  <c r="G1393" i="12"/>
  <c r="C1393" i="12"/>
  <c r="E1392" i="12"/>
  <c r="A1392" i="12"/>
  <c r="G1391" i="12"/>
  <c r="C1391" i="12"/>
  <c r="E1390" i="12"/>
  <c r="A1390" i="12"/>
  <c r="G1389" i="12"/>
  <c r="C1389" i="12"/>
  <c r="E1388" i="12"/>
  <c r="A1388" i="12"/>
  <c r="G1387" i="12"/>
  <c r="C1387" i="12"/>
  <c r="E1386" i="12"/>
  <c r="A1386" i="12"/>
  <c r="G1385" i="12"/>
  <c r="C1385" i="12"/>
  <c r="E1384" i="12"/>
  <c r="A1384" i="12"/>
  <c r="G1383" i="12"/>
  <c r="C1383" i="12"/>
  <c r="E1382" i="12"/>
  <c r="A1382" i="12"/>
  <c r="G1381" i="12"/>
  <c r="C1381" i="12"/>
  <c r="E1380" i="12"/>
  <c r="A1380" i="12"/>
  <c r="G1379" i="12"/>
  <c r="C1379" i="12"/>
  <c r="E1378" i="12"/>
  <c r="A1378" i="12"/>
  <c r="G1377" i="12"/>
  <c r="C1377" i="12"/>
  <c r="E1376" i="12"/>
  <c r="A1376" i="12"/>
  <c r="G1375" i="12"/>
  <c r="C1375" i="12"/>
  <c r="E1374" i="12"/>
  <c r="A1374" i="12"/>
  <c r="G1373" i="12"/>
  <c r="C1373" i="12"/>
  <c r="E1372" i="12"/>
  <c r="A1372" i="12"/>
  <c r="G1371" i="12"/>
  <c r="C1371" i="12"/>
  <c r="E1370" i="12"/>
  <c r="A1370" i="12"/>
  <c r="G1369" i="12"/>
  <c r="C1369" i="12"/>
  <c r="E1368" i="12"/>
  <c r="A1368" i="12"/>
  <c r="G1367" i="12"/>
  <c r="C1367" i="12"/>
  <c r="E1366" i="12"/>
  <c r="A1366" i="12"/>
  <c r="G1365" i="12"/>
  <c r="C1365" i="12"/>
  <c r="E1364" i="12"/>
  <c r="A1364" i="12"/>
  <c r="G1363" i="12"/>
  <c r="C1363" i="12"/>
  <c r="E1362" i="12"/>
  <c r="A1362" i="12"/>
  <c r="G1361" i="12"/>
  <c r="C1361" i="12"/>
  <c r="E1360" i="12"/>
  <c r="A1360" i="12"/>
  <c r="G1359" i="12"/>
  <c r="C1359" i="12"/>
  <c r="E1358" i="12"/>
  <c r="A1358" i="12"/>
  <c r="G1357" i="12"/>
  <c r="C1357" i="12"/>
  <c r="E1356" i="12"/>
  <c r="A1356" i="12"/>
  <c r="G1355" i="12"/>
  <c r="C1355" i="12"/>
  <c r="E1354" i="12"/>
  <c r="A1354" i="12"/>
  <c r="G1353" i="12"/>
  <c r="C1353" i="12"/>
  <c r="E1352" i="12"/>
  <c r="A1352" i="12"/>
  <c r="G1351" i="12"/>
  <c r="C1351" i="12"/>
  <c r="E1350" i="12"/>
  <c r="A1350" i="12"/>
  <c r="G1349" i="12"/>
  <c r="C1349" i="12"/>
  <c r="E1348" i="12"/>
  <c r="A1348" i="12"/>
  <c r="G1347" i="12"/>
  <c r="C1347" i="12"/>
  <c r="E1346" i="12"/>
  <c r="A1346" i="12"/>
  <c r="G1345" i="12"/>
  <c r="C1345" i="12"/>
  <c r="E1344" i="12"/>
  <c r="A1344" i="12"/>
  <c r="G1343" i="12"/>
  <c r="C1343" i="12"/>
  <c r="E1342" i="12"/>
  <c r="A1342" i="12"/>
  <c r="G1341" i="12"/>
  <c r="C1341" i="12"/>
  <c r="E1340" i="12"/>
  <c r="A1340" i="12"/>
  <c r="G1339" i="12"/>
  <c r="C1339" i="12"/>
  <c r="E1338" i="12"/>
  <c r="A1338" i="12"/>
  <c r="G1337" i="12"/>
  <c r="C1337" i="12"/>
  <c r="E1336" i="12"/>
  <c r="A1336" i="12"/>
  <c r="G1335" i="12"/>
  <c r="C1335" i="12"/>
  <c r="E1334" i="12"/>
  <c r="A1334" i="12"/>
  <c r="G1333" i="12"/>
  <c r="C1333" i="12"/>
  <c r="E1332" i="12"/>
  <c r="A1332" i="12"/>
  <c r="G1331" i="12"/>
  <c r="C1331" i="12"/>
  <c r="E1330" i="12"/>
  <c r="A1330" i="12"/>
  <c r="G1329" i="12"/>
  <c r="C1329" i="12"/>
  <c r="E1328" i="12"/>
  <c r="A1328" i="12"/>
  <c r="G1327" i="12"/>
  <c r="C1327" i="12"/>
  <c r="E1326" i="12"/>
  <c r="A1326" i="12"/>
  <c r="G1325" i="12"/>
  <c r="C1325" i="12"/>
  <c r="E1324" i="12"/>
  <c r="A1324" i="12"/>
  <c r="G1323" i="12"/>
  <c r="C1323" i="12"/>
  <c r="E1322" i="12"/>
  <c r="A1322" i="12"/>
  <c r="G1321" i="12"/>
  <c r="C1321" i="12"/>
  <c r="E1320" i="12"/>
  <c r="A1320" i="12"/>
  <c r="G1319" i="12"/>
  <c r="C1319" i="12"/>
  <c r="E1318" i="12"/>
  <c r="A1318" i="12"/>
  <c r="G1317" i="12"/>
  <c r="C1317" i="12"/>
  <c r="E1316" i="12"/>
  <c r="A1316" i="12"/>
  <c r="G1315" i="12"/>
  <c r="C1315" i="12"/>
  <c r="E1314" i="12"/>
  <c r="A1314" i="12"/>
  <c r="G1313" i="12"/>
  <c r="C1313" i="12"/>
  <c r="E1312" i="12"/>
  <c r="A1312" i="12"/>
  <c r="G1311" i="12"/>
  <c r="C1311" i="12"/>
  <c r="E1310" i="12"/>
  <c r="A1310" i="12"/>
  <c r="G1309" i="12"/>
  <c r="C1309" i="12"/>
  <c r="E1308" i="12"/>
  <c r="A1308" i="12"/>
  <c r="G1307" i="12"/>
  <c r="C1307" i="12"/>
  <c r="E1306" i="12"/>
  <c r="A1306" i="12"/>
  <c r="G1305" i="12"/>
  <c r="B1305" i="12"/>
  <c r="C1304" i="12"/>
  <c r="D1303" i="12"/>
  <c r="A1302" i="12"/>
  <c r="G1301" i="12"/>
  <c r="B1301" i="12"/>
  <c r="C1300" i="12"/>
  <c r="D1299" i="12"/>
  <c r="A1298" i="12"/>
  <c r="G1297" i="12"/>
  <c r="B1297" i="12"/>
  <c r="C1296" i="12"/>
  <c r="D1295" i="12"/>
  <c r="A1294" i="12"/>
  <c r="G1293" i="12"/>
  <c r="B1293" i="12"/>
  <c r="C1292" i="12"/>
  <c r="D1291" i="12"/>
  <c r="A1290" i="12"/>
  <c r="G1289" i="12"/>
  <c r="B1289" i="12"/>
  <c r="C1288" i="12"/>
  <c r="D1287" i="12"/>
  <c r="A1286" i="12"/>
  <c r="G1285" i="12"/>
  <c r="B1285" i="12"/>
  <c r="C1284" i="12"/>
  <c r="D1283" i="12"/>
  <c r="A1282" i="12"/>
  <c r="G1281" i="12"/>
  <c r="B1281" i="12"/>
  <c r="C1280" i="12"/>
  <c r="D1279" i="12"/>
  <c r="A1278" i="12"/>
  <c r="G1277" i="12"/>
  <c r="B1277" i="12"/>
  <c r="C1276" i="12"/>
  <c r="D1275" i="12"/>
  <c r="A1274" i="12"/>
  <c r="G1273" i="12"/>
  <c r="B1273" i="12"/>
  <c r="C1272" i="12"/>
  <c r="D1271" i="12"/>
  <c r="A1270" i="12"/>
  <c r="G1269" i="12"/>
  <c r="B1269" i="12"/>
  <c r="C1268" i="12"/>
  <c r="D1267" i="12"/>
  <c r="A1266" i="12"/>
  <c r="G1265" i="12"/>
  <c r="B1265" i="12"/>
  <c r="C1264" i="12"/>
  <c r="D1263" i="12"/>
  <c r="A1262" i="12"/>
  <c r="G1261" i="12"/>
  <c r="B1261" i="12"/>
  <c r="C1260" i="12"/>
  <c r="D1259" i="12"/>
  <c r="A1258" i="12"/>
  <c r="G1257" i="12"/>
  <c r="B1257" i="12"/>
  <c r="C1256" i="12"/>
  <c r="D1255" i="12"/>
  <c r="A1254" i="12"/>
  <c r="G1253" i="12"/>
  <c r="B1253" i="12"/>
  <c r="C1252" i="12"/>
  <c r="D1251" i="12"/>
  <c r="A1250" i="12"/>
  <c r="G1249" i="12"/>
  <c r="B1249" i="12"/>
  <c r="C1248" i="12"/>
  <c r="D1247" i="12"/>
  <c r="A1246" i="12"/>
  <c r="G1245" i="12"/>
  <c r="B1245" i="12"/>
  <c r="C1244" i="12"/>
  <c r="D1243" i="12"/>
  <c r="A1242" i="12"/>
  <c r="G1241" i="12"/>
  <c r="B1241" i="12"/>
  <c r="C1240" i="12"/>
  <c r="D1239" i="12"/>
  <c r="A1238" i="12"/>
  <c r="G1237" i="12"/>
  <c r="B1237" i="12"/>
  <c r="C1236" i="12"/>
  <c r="D1235" i="12"/>
  <c r="A1234" i="12"/>
  <c r="G1233" i="12"/>
  <c r="B1233" i="12"/>
  <c r="C1232" i="12"/>
  <c r="D1231" i="12"/>
  <c r="A1230" i="12"/>
  <c r="G1229" i="12"/>
  <c r="B1229" i="12"/>
  <c r="C1228" i="12"/>
  <c r="D1227" i="12"/>
  <c r="A1226" i="12"/>
  <c r="G1225" i="12"/>
  <c r="B1225" i="12"/>
  <c r="C1224" i="12"/>
  <c r="D1223" i="12"/>
  <c r="A1222" i="12"/>
  <c r="G1221" i="12"/>
  <c r="B1221" i="12"/>
  <c r="C1220" i="12"/>
  <c r="D1219" i="12"/>
  <c r="A1218" i="12"/>
  <c r="G1217" i="12"/>
  <c r="B1217" i="12"/>
  <c r="C1216" i="12"/>
  <c r="D1215" i="12"/>
  <c r="A1214" i="12"/>
  <c r="G1213" i="12"/>
  <c r="B1213" i="12"/>
  <c r="C1212" i="12"/>
  <c r="D1211" i="12"/>
  <c r="A1210" i="12"/>
  <c r="G1209" i="12"/>
  <c r="B1209" i="12"/>
  <c r="C1208" i="12"/>
  <c r="D1207" i="12"/>
  <c r="A1206" i="12"/>
  <c r="G1205" i="12"/>
  <c r="B1205" i="12"/>
  <c r="C1204" i="12"/>
  <c r="D1203" i="12"/>
  <c r="A1202" i="12"/>
  <c r="G1201" i="12"/>
  <c r="B1201" i="12"/>
  <c r="C1200" i="12"/>
  <c r="D1199" i="12"/>
  <c r="A1198" i="12"/>
  <c r="G1197" i="12"/>
  <c r="B1197" i="12"/>
  <c r="C1196" i="12"/>
  <c r="D1195" i="12"/>
  <c r="A1194" i="12"/>
  <c r="G1193" i="12"/>
  <c r="B1193" i="12"/>
  <c r="C1192" i="12"/>
  <c r="D1191" i="12"/>
  <c r="A1190" i="12"/>
  <c r="G1189" i="12"/>
  <c r="B1189" i="12"/>
  <c r="C1188" i="12"/>
  <c r="D1187" i="12"/>
  <c r="A1186" i="12"/>
  <c r="G1185" i="12"/>
  <c r="B1185" i="12"/>
  <c r="C1184" i="12"/>
  <c r="D1183" i="12"/>
  <c r="A1182" i="12"/>
  <c r="G1181" i="12"/>
  <c r="B1181" i="12"/>
  <c r="C1180" i="12"/>
  <c r="D1179" i="12"/>
  <c r="A1178" i="12"/>
  <c r="G1177" i="12"/>
  <c r="B1177" i="12"/>
  <c r="C1176" i="12"/>
  <c r="D1175" i="12"/>
  <c r="A1174" i="12"/>
  <c r="G1173" i="12"/>
  <c r="B1173" i="12"/>
  <c r="C1172" i="12"/>
  <c r="D1171" i="12"/>
  <c r="A1170" i="12"/>
  <c r="G1169" i="12"/>
  <c r="B1169" i="12"/>
  <c r="C1168" i="12"/>
  <c r="D1167" i="12"/>
  <c r="A1166" i="12"/>
  <c r="G1165" i="12"/>
  <c r="B1165" i="12"/>
  <c r="C1164" i="12"/>
  <c r="D1163" i="12"/>
  <c r="A1162" i="12"/>
  <c r="G1161" i="12"/>
  <c r="B1161" i="12"/>
  <c r="C1160" i="12"/>
  <c r="D1159" i="12"/>
  <c r="A1158" i="12"/>
  <c r="G1157" i="12"/>
  <c r="B1157" i="12"/>
  <c r="C1156" i="12"/>
  <c r="D1155" i="12"/>
  <c r="A1154" i="12"/>
  <c r="G1153" i="12"/>
  <c r="B1153" i="12"/>
  <c r="C1152" i="12"/>
  <c r="D1151" i="12"/>
  <c r="A1150" i="12"/>
  <c r="G1149" i="12"/>
  <c r="B1149" i="12"/>
  <c r="C1148" i="12"/>
  <c r="D1147" i="12"/>
  <c r="A1146" i="12"/>
  <c r="G1145" i="12"/>
  <c r="B1145" i="12"/>
  <c r="C1144" i="12"/>
  <c r="D1143" i="12"/>
  <c r="A1142" i="12"/>
  <c r="G1141" i="12"/>
  <c r="B1141" i="12"/>
  <c r="C1140" i="12"/>
  <c r="D1139" i="12"/>
  <c r="A1138" i="12"/>
  <c r="G1137" i="12"/>
  <c r="B1137" i="12"/>
  <c r="C1136" i="12"/>
  <c r="D1135" i="12"/>
  <c r="A1134" i="12"/>
  <c r="G1133" i="12"/>
  <c r="B1133" i="12"/>
  <c r="C1132" i="12"/>
  <c r="D1131" i="12"/>
  <c r="A1130" i="12"/>
  <c r="G1129" i="12"/>
  <c r="B1129" i="12"/>
  <c r="C1128" i="12"/>
  <c r="D1127" i="12"/>
  <c r="A1126" i="12"/>
  <c r="G1125" i="12"/>
  <c r="B1125" i="12"/>
  <c r="C1124" i="12"/>
  <c r="D1123" i="12"/>
  <c r="A1122" i="12"/>
  <c r="G1121" i="12"/>
  <c r="B1121" i="12"/>
  <c r="C1120" i="12"/>
  <c r="D1119" i="12"/>
  <c r="A1118" i="12"/>
  <c r="G1117" i="12"/>
  <c r="B1117" i="12"/>
  <c r="C1116" i="12"/>
  <c r="D1115" i="12"/>
  <c r="A1114" i="12"/>
  <c r="G1113" i="12"/>
  <c r="B1113" i="12"/>
  <c r="C1112" i="12"/>
  <c r="D1111" i="12"/>
  <c r="A1110" i="12"/>
  <c r="G1109" i="12"/>
  <c r="B1109" i="12"/>
  <c r="C1108" i="12"/>
  <c r="D1107" i="12"/>
  <c r="A1106" i="12"/>
  <c r="G1105" i="12"/>
  <c r="B1105" i="12"/>
  <c r="C1104" i="12"/>
  <c r="D1103" i="12"/>
  <c r="A1102" i="12"/>
  <c r="G1101" i="12"/>
  <c r="B1101" i="12"/>
  <c r="C1100" i="12"/>
  <c r="D1099" i="12"/>
  <c r="A1098" i="12"/>
  <c r="G1097" i="12"/>
  <c r="B1097" i="12"/>
  <c r="C1096" i="12"/>
  <c r="D1095" i="12"/>
  <c r="A1094" i="12"/>
  <c r="G1093" i="12"/>
  <c r="B1093" i="12"/>
  <c r="C1092" i="12"/>
  <c r="D1091" i="12"/>
  <c r="A1090" i="12"/>
  <c r="G1089" i="12"/>
  <c r="B1089" i="12"/>
  <c r="C1088" i="12"/>
  <c r="D1087" i="12"/>
  <c r="A1086" i="12"/>
  <c r="G1085" i="12"/>
  <c r="B1085" i="12"/>
  <c r="C1084" i="12"/>
  <c r="D1083" i="12"/>
  <c r="A1082" i="12"/>
  <c r="G1081" i="12"/>
  <c r="B1081" i="12"/>
  <c r="C1080" i="12"/>
  <c r="D1079" i="12"/>
  <c r="A1078" i="12"/>
  <c r="G1077" i="12"/>
  <c r="B1077" i="12"/>
  <c r="C1076" i="12"/>
  <c r="D1075" i="12"/>
  <c r="A1074" i="12"/>
  <c r="G1073" i="12"/>
  <c r="B1073" i="12"/>
  <c r="C1072" i="12"/>
  <c r="D1071" i="12"/>
  <c r="A1070" i="12"/>
  <c r="G1069" i="12"/>
  <c r="B1069" i="12"/>
  <c r="C1068" i="12"/>
  <c r="D1067" i="12"/>
  <c r="A1066" i="12"/>
  <c r="G1065" i="12"/>
  <c r="B1065" i="12"/>
  <c r="C1064" i="12"/>
  <c r="D1063" i="12"/>
  <c r="A1062" i="12"/>
  <c r="G1061" i="12"/>
  <c r="B1061" i="12"/>
  <c r="C1060" i="12"/>
  <c r="D1059" i="12"/>
  <c r="A1058" i="12"/>
  <c r="G1057" i="12"/>
  <c r="B1057" i="12"/>
  <c r="C1056" i="12"/>
  <c r="D1055" i="12"/>
  <c r="A1054" i="12"/>
  <c r="G1053" i="12"/>
  <c r="B1053" i="12"/>
  <c r="C1052" i="12"/>
  <c r="D1051" i="12"/>
  <c r="A1050" i="12"/>
  <c r="G1049" i="12"/>
  <c r="B1049" i="12"/>
  <c r="C1048" i="12"/>
  <c r="D1047" i="12"/>
  <c r="A1046" i="12"/>
  <c r="G1045" i="12"/>
  <c r="B1045" i="12"/>
  <c r="C1044" i="12"/>
  <c r="D1043" i="12"/>
  <c r="A1042" i="12"/>
  <c r="G1041" i="12"/>
  <c r="B1041" i="12"/>
  <c r="C1040" i="12"/>
  <c r="D1039" i="12"/>
  <c r="A1038" i="12"/>
  <c r="G1037" i="12"/>
  <c r="B1037" i="12"/>
  <c r="C1036" i="12"/>
  <c r="D1035" i="12"/>
  <c r="A1034" i="12"/>
  <c r="G1033" i="12"/>
  <c r="B1033" i="12"/>
  <c r="C1032" i="12"/>
  <c r="D1031" i="12"/>
  <c r="A1030" i="12"/>
  <c r="G1029" i="12"/>
  <c r="B1029" i="12"/>
  <c r="C1028" i="12"/>
  <c r="D1027" i="12"/>
  <c r="A1026" i="12"/>
  <c r="G1025" i="12"/>
  <c r="B1025" i="12"/>
  <c r="C1024" i="12"/>
  <c r="D1023" i="12"/>
  <c r="A1022" i="12"/>
  <c r="G1021" i="12"/>
  <c r="B1021" i="12"/>
  <c r="C1020" i="12"/>
  <c r="D1019" i="12"/>
  <c r="A1018" i="12"/>
  <c r="G1017" i="12"/>
  <c r="B1017" i="12"/>
  <c r="C1016" i="12"/>
  <c r="D1015" i="12"/>
  <c r="A1014" i="12"/>
  <c r="G1013" i="12"/>
  <c r="B1013" i="12"/>
  <c r="C1012" i="12"/>
  <c r="D1011" i="12"/>
  <c r="A1010" i="12"/>
  <c r="G1009" i="12"/>
  <c r="B1009" i="12"/>
  <c r="C1008" i="12"/>
  <c r="D1007" i="12"/>
  <c r="A1006" i="12"/>
  <c r="G1005" i="12"/>
  <c r="B1005" i="12"/>
  <c r="C1004" i="12"/>
  <c r="D1003" i="12"/>
  <c r="A1002" i="12"/>
  <c r="G1001" i="12"/>
  <c r="B1001" i="12"/>
  <c r="C1000" i="12"/>
  <c r="D999" i="12"/>
  <c r="A998" i="12"/>
  <c r="G997" i="12"/>
  <c r="B997" i="12"/>
  <c r="C996" i="12"/>
  <c r="D995" i="12"/>
  <c r="A994" i="12"/>
  <c r="G993" i="12"/>
  <c r="B993" i="12"/>
  <c r="C992" i="12"/>
  <c r="D991" i="12"/>
  <c r="A990" i="12"/>
  <c r="G989" i="12"/>
  <c r="B989" i="12"/>
  <c r="C988" i="12"/>
  <c r="D987" i="12"/>
  <c r="A986" i="12"/>
  <c r="G985" i="12"/>
  <c r="B985" i="12"/>
  <c r="C984" i="12"/>
  <c r="D983" i="12"/>
  <c r="A982" i="12"/>
  <c r="G981" i="12"/>
  <c r="B981" i="12"/>
  <c r="C980" i="12"/>
  <c r="D979" i="12"/>
  <c r="A978" i="12"/>
  <c r="G977" i="12"/>
  <c r="B977" i="12"/>
  <c r="C976" i="12"/>
  <c r="D975" i="12"/>
  <c r="A974" i="12"/>
  <c r="G973" i="12"/>
  <c r="B973" i="12"/>
  <c r="C972" i="12"/>
  <c r="D971" i="12"/>
  <c r="A970" i="12"/>
  <c r="G969" i="12"/>
  <c r="B969" i="12"/>
  <c r="C968" i="12"/>
  <c r="D967" i="12"/>
  <c r="A966" i="12"/>
  <c r="G965" i="12"/>
  <c r="B965" i="12"/>
  <c r="C964" i="12"/>
  <c r="D963" i="12"/>
  <c r="A962" i="12"/>
  <c r="G961" i="12"/>
  <c r="B961" i="12"/>
  <c r="C960" i="12"/>
  <c r="D959" i="12"/>
  <c r="A958" i="12"/>
  <c r="G957" i="12"/>
  <c r="B957" i="12"/>
  <c r="C956" i="12"/>
  <c r="D955" i="12"/>
  <c r="A954" i="12"/>
  <c r="G953" i="12"/>
  <c r="B953" i="12"/>
  <c r="C952" i="12"/>
  <c r="D951" i="12"/>
  <c r="A950" i="12"/>
  <c r="G949" i="12"/>
  <c r="B949" i="12"/>
  <c r="C948" i="12"/>
  <c r="D947" i="12"/>
  <c r="A946" i="12"/>
  <c r="G945" i="12"/>
  <c r="B945" i="12"/>
  <c r="C944" i="12"/>
  <c r="D943" i="12"/>
  <c r="A942" i="12"/>
  <c r="G941" i="12"/>
  <c r="B941" i="12"/>
  <c r="C940" i="12"/>
  <c r="D939" i="12"/>
  <c r="A938" i="12"/>
  <c r="G937" i="12"/>
  <c r="B937" i="12"/>
  <c r="C936" i="12"/>
  <c r="D935" i="12"/>
  <c r="A934" i="12"/>
  <c r="G933" i="12"/>
  <c r="B933" i="12"/>
  <c r="C932" i="12"/>
  <c r="D931" i="12"/>
  <c r="A930" i="12"/>
  <c r="G929" i="12"/>
  <c r="B929" i="12"/>
  <c r="C928" i="12"/>
  <c r="D927" i="12"/>
  <c r="A926" i="12"/>
  <c r="G925" i="12"/>
  <c r="B925" i="12"/>
  <c r="C924" i="12"/>
  <c r="D923" i="12"/>
  <c r="A922" i="12"/>
  <c r="G921" i="12"/>
  <c r="B921" i="12"/>
  <c r="C920" i="12"/>
  <c r="D919" i="12"/>
  <c r="A918" i="12"/>
  <c r="G917" i="12"/>
  <c r="B917" i="12"/>
  <c r="C916" i="12"/>
  <c r="D915" i="12"/>
  <c r="A914" i="12"/>
  <c r="G913" i="12"/>
  <c r="B913" i="12"/>
  <c r="C912" i="12"/>
  <c r="D911" i="12"/>
  <c r="A910" i="12"/>
  <c r="G909" i="12"/>
  <c r="B909" i="12"/>
  <c r="C908" i="12"/>
  <c r="D907" i="12"/>
  <c r="A906" i="12"/>
  <c r="G905" i="12"/>
  <c r="B905" i="12"/>
  <c r="C904" i="12"/>
  <c r="D903" i="12"/>
  <c r="A902" i="12"/>
  <c r="G901" i="12"/>
  <c r="B901" i="12"/>
  <c r="C900" i="12"/>
  <c r="D899" i="12"/>
  <c r="A898" i="12"/>
  <c r="G897" i="12"/>
  <c r="B897" i="12"/>
  <c r="C896" i="12"/>
  <c r="D895" i="12"/>
  <c r="A894" i="12"/>
  <c r="G893" i="12"/>
  <c r="B893" i="12"/>
  <c r="C892" i="12"/>
  <c r="D891" i="12"/>
  <c r="A890" i="12"/>
  <c r="G889" i="12"/>
  <c r="B889" i="12"/>
  <c r="C888" i="12"/>
  <c r="D887" i="12"/>
  <c r="A886" i="12"/>
  <c r="G885" i="12"/>
  <c r="B885" i="12"/>
  <c r="C884" i="12"/>
  <c r="D883" i="12"/>
  <c r="A882" i="12"/>
  <c r="G881" i="12"/>
  <c r="B881" i="12"/>
  <c r="C880" i="12"/>
  <c r="D879" i="12"/>
  <c r="A878" i="12"/>
  <c r="G877" i="12"/>
  <c r="B877" i="12"/>
  <c r="C876" i="12"/>
  <c r="D875" i="12"/>
  <c r="A874" i="12"/>
  <c r="G873" i="12"/>
  <c r="B873" i="12"/>
  <c r="C872" i="12"/>
  <c r="D871" i="12"/>
  <c r="A870" i="12"/>
  <c r="G869" i="12"/>
  <c r="B869" i="12"/>
  <c r="C868" i="12"/>
  <c r="D867" i="12"/>
  <c r="A866" i="12"/>
  <c r="G865" i="12"/>
  <c r="B865" i="12"/>
  <c r="C864" i="12"/>
  <c r="D863" i="12"/>
  <c r="A862" i="12"/>
  <c r="G861" i="12"/>
  <c r="B861" i="12"/>
  <c r="C860" i="12"/>
  <c r="D859" i="12"/>
  <c r="A858" i="12"/>
  <c r="G857" i="12"/>
  <c r="B857" i="12"/>
  <c r="C856" i="12"/>
  <c r="D855" i="12"/>
  <c r="A854" i="12"/>
  <c r="G853" i="12"/>
  <c r="B853" i="12"/>
  <c r="C852" i="12"/>
  <c r="D851" i="12"/>
  <c r="A850" i="12"/>
  <c r="G849" i="12"/>
  <c r="B849" i="12"/>
  <c r="C848" i="12"/>
  <c r="D847" i="12"/>
  <c r="A846" i="12"/>
  <c r="G845" i="12"/>
  <c r="B845" i="12"/>
  <c r="C844" i="12"/>
  <c r="D843" i="12"/>
  <c r="A842" i="12"/>
  <c r="G841" i="12"/>
  <c r="B841" i="12"/>
  <c r="C840" i="12"/>
  <c r="D839" i="12"/>
  <c r="A838" i="12"/>
  <c r="G837" i="12"/>
  <c r="B837" i="12"/>
  <c r="C836" i="12"/>
  <c r="D835" i="12"/>
  <c r="A834" i="12"/>
  <c r="G833" i="12"/>
  <c r="B833" i="12"/>
  <c r="C832" i="12"/>
  <c r="D831" i="12"/>
  <c r="A830" i="12"/>
  <c r="G829" i="12"/>
  <c r="B829" i="12"/>
  <c r="C828" i="12"/>
  <c r="D827" i="12"/>
  <c r="A826" i="12"/>
  <c r="G825" i="12"/>
  <c r="B825" i="12"/>
  <c r="C824" i="12"/>
  <c r="D823" i="12"/>
  <c r="A822" i="12"/>
  <c r="G821" i="12"/>
  <c r="B821" i="12"/>
  <c r="C820" i="12"/>
  <c r="D819" i="12"/>
  <c r="A818" i="12"/>
  <c r="G817" i="12"/>
  <c r="B817" i="12"/>
  <c r="D2535" i="12"/>
  <c r="B2510" i="12"/>
  <c r="D2465" i="12"/>
  <c r="A2415" i="12"/>
  <c r="C2352" i="12"/>
  <c r="C2311" i="12"/>
  <c r="C2223" i="12"/>
  <c r="E2180" i="12"/>
  <c r="D2169" i="12"/>
  <c r="A2144" i="12"/>
  <c r="E2054" i="12"/>
  <c r="B2029" i="12"/>
  <c r="A2018" i="12"/>
  <c r="D1999" i="12"/>
  <c r="D1994" i="12"/>
  <c r="E1979" i="12"/>
  <c r="D1830" i="12"/>
  <c r="D1826" i="12"/>
  <c r="D1822" i="12"/>
  <c r="D1818" i="12"/>
  <c r="D1814" i="12"/>
  <c r="D1810" i="12"/>
  <c r="D1806" i="12"/>
  <c r="D1753" i="12"/>
  <c r="B1748" i="12"/>
  <c r="B1619" i="12"/>
  <c r="D1617" i="12"/>
  <c r="G1615" i="12"/>
  <c r="A1612" i="12"/>
  <c r="C1610" i="12"/>
  <c r="B1603" i="12"/>
  <c r="D1601" i="12"/>
  <c r="G1599" i="12"/>
  <c r="A1596" i="12"/>
  <c r="C1594" i="12"/>
  <c r="B1587" i="12"/>
  <c r="D1585" i="12"/>
  <c r="G1583" i="12"/>
  <c r="A1580" i="12"/>
  <c r="C1578" i="12"/>
  <c r="B1571" i="12"/>
  <c r="D1569" i="12"/>
  <c r="G1567" i="12"/>
  <c r="A1564" i="12"/>
  <c r="C1562" i="12"/>
  <c r="B1555" i="12"/>
  <c r="D1553" i="12"/>
  <c r="G1551" i="12"/>
  <c r="A1548" i="12"/>
  <c r="C1546" i="12"/>
  <c r="B1539" i="12"/>
  <c r="D1537" i="12"/>
  <c r="G1535" i="12"/>
  <c r="A1532" i="12"/>
  <c r="C1530" i="12"/>
  <c r="B1523" i="12"/>
  <c r="D1521" i="12"/>
  <c r="G1519" i="12"/>
  <c r="A1516" i="12"/>
  <c r="C1514" i="12"/>
  <c r="B1507" i="12"/>
  <c r="D1505" i="12"/>
  <c r="G1503" i="12"/>
  <c r="A1500" i="12"/>
  <c r="C1498" i="12"/>
  <c r="B1491" i="12"/>
  <c r="D1489" i="12"/>
  <c r="G1487" i="12"/>
  <c r="A1484" i="12"/>
  <c r="C1482" i="12"/>
  <c r="C1475" i="12"/>
  <c r="G1473" i="12"/>
  <c r="A1472" i="12"/>
  <c r="E1470" i="12"/>
  <c r="C1467" i="12"/>
  <c r="G1465" i="12"/>
  <c r="A1464" i="12"/>
  <c r="E1462" i="12"/>
  <c r="C1459" i="12"/>
  <c r="G1457" i="12"/>
  <c r="A1456" i="12"/>
  <c r="E1454" i="12"/>
  <c r="C1451" i="12"/>
  <c r="G1449" i="12"/>
  <c r="A1448" i="12"/>
  <c r="E1446" i="12"/>
  <c r="C1443" i="12"/>
  <c r="G1441" i="12"/>
  <c r="C1440" i="12"/>
  <c r="E1439" i="12"/>
  <c r="G1438" i="12"/>
  <c r="A1437" i="12"/>
  <c r="C1436" i="12"/>
  <c r="E1435" i="12"/>
  <c r="G1434" i="12"/>
  <c r="A1433" i="12"/>
  <c r="C1432" i="12"/>
  <c r="E1431" i="12"/>
  <c r="G1430" i="12"/>
  <c r="A1429" i="12"/>
  <c r="C1428" i="12"/>
  <c r="A1427" i="12"/>
  <c r="E1426" i="12"/>
  <c r="E1425" i="12"/>
  <c r="D1424" i="12"/>
  <c r="C1423" i="12"/>
  <c r="C1422" i="12"/>
  <c r="G1421" i="12"/>
  <c r="B1421" i="12"/>
  <c r="G1420" i="12"/>
  <c r="A1420" i="12"/>
  <c r="A1419" i="12"/>
  <c r="G1418" i="12"/>
  <c r="C1418" i="12"/>
  <c r="E1417" i="12"/>
  <c r="A1417" i="12"/>
  <c r="G1416" i="12"/>
  <c r="C1416" i="12"/>
  <c r="E1415" i="12"/>
  <c r="A1415" i="12"/>
  <c r="G1414" i="12"/>
  <c r="C1414" i="12"/>
  <c r="E1413" i="12"/>
  <c r="A1413" i="12"/>
  <c r="G1412" i="12"/>
  <c r="C1412" i="12"/>
  <c r="E1411" i="12"/>
  <c r="A1411" i="12"/>
  <c r="G1410" i="12"/>
  <c r="C1410" i="12"/>
  <c r="E1409" i="12"/>
  <c r="A1409" i="12"/>
  <c r="G1408" i="12"/>
  <c r="C1408" i="12"/>
  <c r="E1407" i="12"/>
  <c r="A1407" i="12"/>
  <c r="G1406" i="12"/>
  <c r="C1406" i="12"/>
  <c r="E1405" i="12"/>
  <c r="A1405" i="12"/>
  <c r="G1404" i="12"/>
  <c r="C1404" i="12"/>
  <c r="E1403" i="12"/>
  <c r="A1403" i="12"/>
  <c r="G1402" i="12"/>
  <c r="C1402" i="12"/>
  <c r="E1401" i="12"/>
  <c r="A1401" i="12"/>
  <c r="G1400" i="12"/>
  <c r="C1400" i="12"/>
  <c r="E1399" i="12"/>
  <c r="A1399" i="12"/>
  <c r="G1398" i="12"/>
  <c r="C1398" i="12"/>
  <c r="E1397" i="12"/>
  <c r="A1397" i="12"/>
  <c r="G1396" i="12"/>
  <c r="C1396" i="12"/>
  <c r="E1395" i="12"/>
  <c r="A1395" i="12"/>
  <c r="G1394" i="12"/>
  <c r="C1394" i="12"/>
  <c r="E1393" i="12"/>
  <c r="A1393" i="12"/>
  <c r="G1392" i="12"/>
  <c r="C1392" i="12"/>
  <c r="E1391" i="12"/>
  <c r="A1391" i="12"/>
  <c r="G1390" i="12"/>
  <c r="C1390" i="12"/>
  <c r="E1389" i="12"/>
  <c r="A1389" i="12"/>
  <c r="G1388" i="12"/>
  <c r="C1388" i="12"/>
  <c r="E1387" i="12"/>
  <c r="A1387" i="12"/>
  <c r="G1386" i="12"/>
  <c r="C1386" i="12"/>
  <c r="E1385" i="12"/>
  <c r="A1385" i="12"/>
  <c r="G1384" i="12"/>
  <c r="C1384" i="12"/>
  <c r="E1383" i="12"/>
  <c r="A1383" i="12"/>
  <c r="G1382" i="12"/>
  <c r="C1382" i="12"/>
  <c r="E1381" i="12"/>
  <c r="A1381" i="12"/>
  <c r="G1380" i="12"/>
  <c r="C1380" i="12"/>
  <c r="E1379" i="12"/>
  <c r="A1379" i="12"/>
  <c r="G1378" i="12"/>
  <c r="C1378" i="12"/>
  <c r="E1377" i="12"/>
  <c r="A1377" i="12"/>
  <c r="G1376" i="12"/>
  <c r="C1376" i="12"/>
  <c r="E1375" i="12"/>
  <c r="A1375" i="12"/>
  <c r="G1374" i="12"/>
  <c r="C1374" i="12"/>
  <c r="E1373" i="12"/>
  <c r="A1373" i="12"/>
  <c r="G1372" i="12"/>
  <c r="C1372" i="12"/>
  <c r="E1371" i="12"/>
  <c r="A1371" i="12"/>
  <c r="G1370" i="12"/>
  <c r="C1370" i="12"/>
  <c r="E1369" i="12"/>
  <c r="A1369" i="12"/>
  <c r="G1368" i="12"/>
  <c r="C1368" i="12"/>
  <c r="E1367" i="12"/>
  <c r="A1367" i="12"/>
  <c r="G1366" i="12"/>
  <c r="C1366" i="12"/>
  <c r="E1365" i="12"/>
  <c r="A1365" i="12"/>
  <c r="G1364" i="12"/>
  <c r="C1364" i="12"/>
  <c r="E1363" i="12"/>
  <c r="A1363" i="12"/>
  <c r="G1362" i="12"/>
  <c r="C1362" i="12"/>
  <c r="E1361" i="12"/>
  <c r="A1361" i="12"/>
  <c r="G1360" i="12"/>
  <c r="C1360" i="12"/>
  <c r="E1359" i="12"/>
  <c r="A1359" i="12"/>
  <c r="G1358" i="12"/>
  <c r="C1358" i="12"/>
  <c r="E1357" i="12"/>
  <c r="A1357" i="12"/>
  <c r="G1356" i="12"/>
  <c r="C1356" i="12"/>
  <c r="E1355" i="12"/>
  <c r="A1355" i="12"/>
  <c r="G1354" i="12"/>
  <c r="C1354" i="12"/>
  <c r="E1353" i="12"/>
  <c r="A1353" i="12"/>
  <c r="G1352" i="12"/>
  <c r="C1352" i="12"/>
  <c r="E1351" i="12"/>
  <c r="A1351" i="12"/>
  <c r="G1350" i="12"/>
  <c r="C1350" i="12"/>
  <c r="E1349" i="12"/>
  <c r="A1349" i="12"/>
  <c r="G1348" i="12"/>
  <c r="C1348" i="12"/>
  <c r="E1347" i="12"/>
  <c r="A1347" i="12"/>
  <c r="G1346" i="12"/>
  <c r="C1346" i="12"/>
  <c r="E1345" i="12"/>
  <c r="A1345" i="12"/>
  <c r="G1344" i="12"/>
  <c r="C1344" i="12"/>
  <c r="E1343" i="12"/>
  <c r="A1343" i="12"/>
  <c r="G1342" i="12"/>
  <c r="C1342" i="12"/>
  <c r="E1341" i="12"/>
  <c r="A1341" i="12"/>
  <c r="G1340" i="12"/>
  <c r="C1340" i="12"/>
  <c r="E1339" i="12"/>
  <c r="A1339" i="12"/>
  <c r="G1338" i="12"/>
  <c r="C1338" i="12"/>
  <c r="E1337" i="12"/>
  <c r="A1337" i="12"/>
  <c r="G1336" i="12"/>
  <c r="C1336" i="12"/>
  <c r="E1335" i="12"/>
  <c r="A1335" i="12"/>
  <c r="G1334" i="12"/>
  <c r="C1334" i="12"/>
  <c r="E1333" i="12"/>
  <c r="A1333" i="12"/>
  <c r="G1332" i="12"/>
  <c r="C1332" i="12"/>
  <c r="E1331" i="12"/>
  <c r="A1331" i="12"/>
  <c r="G1330" i="12"/>
  <c r="C1330" i="12"/>
  <c r="E1329" i="12"/>
  <c r="A1329" i="12"/>
  <c r="G1328" i="12"/>
  <c r="C1328" i="12"/>
  <c r="E1327" i="12"/>
  <c r="A1327" i="12"/>
  <c r="G1326" i="12"/>
  <c r="C1326" i="12"/>
  <c r="E1325" i="12"/>
  <c r="A1325" i="12"/>
  <c r="G1324" i="12"/>
  <c r="C1324" i="12"/>
  <c r="E1323" i="12"/>
  <c r="A1323" i="12"/>
  <c r="G1322" i="12"/>
  <c r="C1322" i="12"/>
  <c r="E1321" i="12"/>
  <c r="A1321" i="12"/>
  <c r="G1320" i="12"/>
  <c r="C1320" i="12"/>
  <c r="E1319" i="12"/>
  <c r="A1319" i="12"/>
  <c r="G1318" i="12"/>
  <c r="C1318" i="12"/>
  <c r="E1317" i="12"/>
  <c r="A1317" i="12"/>
  <c r="G1316" i="12"/>
  <c r="C1316" i="12"/>
  <c r="E1315" i="12"/>
  <c r="A1315" i="12"/>
  <c r="G1314" i="12"/>
  <c r="C1314" i="12"/>
  <c r="E1313" i="12"/>
  <c r="A1313" i="12"/>
  <c r="G1312" i="12"/>
  <c r="C1312" i="12"/>
  <c r="E1311" i="12"/>
  <c r="A1311" i="12"/>
  <c r="G1310" i="12"/>
  <c r="C1310" i="12"/>
  <c r="E1309" i="12"/>
  <c r="A1309" i="12"/>
  <c r="G1308" i="12"/>
  <c r="C1308" i="12"/>
  <c r="E1307" i="12"/>
  <c r="A1307" i="12"/>
  <c r="G1306" i="12"/>
  <c r="C1306" i="12"/>
  <c r="D1305" i="12"/>
  <c r="A1304" i="12"/>
  <c r="G1303" i="12"/>
  <c r="B1303" i="12"/>
  <c r="C1302" i="12"/>
  <c r="D1301" i="12"/>
  <c r="A1300" i="12"/>
  <c r="G1299" i="12"/>
  <c r="B1299" i="12"/>
  <c r="C1298" i="12"/>
  <c r="D1297" i="12"/>
  <c r="A1296" i="12"/>
  <c r="G1295" i="12"/>
  <c r="B1295" i="12"/>
  <c r="C1294" i="12"/>
  <c r="D1293" i="12"/>
  <c r="A1292" i="12"/>
  <c r="G1291" i="12"/>
  <c r="B1291" i="12"/>
  <c r="C1290" i="12"/>
  <c r="D1289" i="12"/>
  <c r="A1288" i="12"/>
  <c r="G1287" i="12"/>
  <c r="B1287" i="12"/>
  <c r="C1286" i="12"/>
  <c r="D1285" i="12"/>
  <c r="A1284" i="12"/>
  <c r="G1283" i="12"/>
  <c r="B1283" i="12"/>
  <c r="C1282" i="12"/>
  <c r="D1281" i="12"/>
  <c r="A1280" i="12"/>
  <c r="G1279" i="12"/>
  <c r="B1279" i="12"/>
  <c r="C1278" i="12"/>
  <c r="D1277" i="12"/>
  <c r="A1276" i="12"/>
  <c r="G1275" i="12"/>
  <c r="B1275" i="12"/>
  <c r="C1274" i="12"/>
  <c r="D1273" i="12"/>
  <c r="A1272" i="12"/>
  <c r="G1271" i="12"/>
  <c r="B1271" i="12"/>
  <c r="C1270" i="12"/>
  <c r="D1269" i="12"/>
  <c r="A1268" i="12"/>
  <c r="G1267" i="12"/>
  <c r="B1267" i="12"/>
  <c r="C1266" i="12"/>
  <c r="D1265" i="12"/>
  <c r="A1264" i="12"/>
  <c r="G1263" i="12"/>
  <c r="B1263" i="12"/>
  <c r="C1262" i="12"/>
  <c r="D1261" i="12"/>
  <c r="A1260" i="12"/>
  <c r="G1259" i="12"/>
  <c r="B1259" i="12"/>
  <c r="C1258" i="12"/>
  <c r="D1257" i="12"/>
  <c r="A1256" i="12"/>
  <c r="G1255" i="12"/>
  <c r="B1255" i="12"/>
  <c r="C1254" i="12"/>
  <c r="D1253" i="12"/>
  <c r="A1252" i="12"/>
  <c r="G1251" i="12"/>
  <c r="B1251" i="12"/>
  <c r="C1250" i="12"/>
  <c r="D1249" i="12"/>
  <c r="A1248" i="12"/>
  <c r="G1247" i="12"/>
  <c r="B1247" i="12"/>
  <c r="C1246" i="12"/>
  <c r="D1245" i="12"/>
  <c r="A1244" i="12"/>
  <c r="G1243" i="12"/>
  <c r="B1243" i="12"/>
  <c r="C1242" i="12"/>
  <c r="D1241" i="12"/>
  <c r="A1240" i="12"/>
  <c r="G1239" i="12"/>
  <c r="B1239" i="12"/>
  <c r="C1238" i="12"/>
  <c r="D1237" i="12"/>
  <c r="A1236" i="12"/>
  <c r="G1235" i="12"/>
  <c r="B1235" i="12"/>
  <c r="C1234" i="12"/>
  <c r="D1233" i="12"/>
  <c r="A1232" i="12"/>
  <c r="G1231" i="12"/>
  <c r="B1231" i="12"/>
  <c r="C1230" i="12"/>
  <c r="D1229" i="12"/>
  <c r="A1228" i="12"/>
  <c r="G1227" i="12"/>
  <c r="B1227" i="12"/>
  <c r="C1226" i="12"/>
  <c r="D1225" i="12"/>
  <c r="A1224" i="12"/>
  <c r="G1223" i="12"/>
  <c r="B1223" i="12"/>
  <c r="C1222" i="12"/>
  <c r="D1221" i="12"/>
  <c r="A1220" i="12"/>
  <c r="G1219" i="12"/>
  <c r="B1219" i="12"/>
  <c r="C1218" i="12"/>
  <c r="D1217" i="12"/>
  <c r="A1216" i="12"/>
  <c r="G1215" i="12"/>
  <c r="B1215" i="12"/>
  <c r="C1214" i="12"/>
  <c r="D1213" i="12"/>
  <c r="A1212" i="12"/>
  <c r="G1211" i="12"/>
  <c r="B1211" i="12"/>
  <c r="C1210" i="12"/>
  <c r="D1209" i="12"/>
  <c r="A1208" i="12"/>
  <c r="G1207" i="12"/>
  <c r="B1207" i="12"/>
  <c r="C1206" i="12"/>
  <c r="D1205" i="12"/>
  <c r="A1204" i="12"/>
  <c r="G1203" i="12"/>
  <c r="B1203" i="12"/>
  <c r="C1202" i="12"/>
  <c r="D1201" i="12"/>
  <c r="A1200" i="12"/>
  <c r="G1199" i="12"/>
  <c r="B1199" i="12"/>
  <c r="C1198" i="12"/>
  <c r="D1197" i="12"/>
  <c r="A1196" i="12"/>
  <c r="G1195" i="12"/>
  <c r="B1195" i="12"/>
  <c r="C1194" i="12"/>
  <c r="D1193" i="12"/>
  <c r="A1192" i="12"/>
  <c r="G1191" i="12"/>
  <c r="B1191" i="12"/>
  <c r="C1190" i="12"/>
  <c r="D1189" i="12"/>
  <c r="A1188" i="12"/>
  <c r="G1187" i="12"/>
  <c r="B1187" i="12"/>
  <c r="C1186" i="12"/>
  <c r="D1185" i="12"/>
  <c r="A1184" i="12"/>
  <c r="G1183" i="12"/>
  <c r="B1183" i="12"/>
  <c r="C1182" i="12"/>
  <c r="D1181" i="12"/>
  <c r="A1180" i="12"/>
  <c r="G1179" i="12"/>
  <c r="B1179" i="12"/>
  <c r="C1178" i="12"/>
  <c r="D1177" i="12"/>
  <c r="A1176" i="12"/>
  <c r="G1175" i="12"/>
  <c r="B1175" i="12"/>
  <c r="C1174" i="12"/>
  <c r="D1173" i="12"/>
  <c r="A1172" i="12"/>
  <c r="G1171" i="12"/>
  <c r="B1171" i="12"/>
  <c r="C1170" i="12"/>
  <c r="D1169" i="12"/>
  <c r="A1168" i="12"/>
  <c r="G1167" i="12"/>
  <c r="B1167" i="12"/>
  <c r="C1166" i="12"/>
  <c r="D1165" i="12"/>
  <c r="A1164" i="12"/>
  <c r="G1163" i="12"/>
  <c r="B1163" i="12"/>
  <c r="C1162" i="12"/>
  <c r="D1161" i="12"/>
  <c r="A1160" i="12"/>
  <c r="G1159" i="12"/>
  <c r="B1159" i="12"/>
  <c r="C1158" i="12"/>
  <c r="D1157" i="12"/>
  <c r="A1156" i="12"/>
  <c r="G1155" i="12"/>
  <c r="B1155" i="12"/>
  <c r="C1154" i="12"/>
  <c r="D1153" i="12"/>
  <c r="A1152" i="12"/>
  <c r="G1151" i="12"/>
  <c r="B1151" i="12"/>
  <c r="C1150" i="12"/>
  <c r="D1149" i="12"/>
  <c r="A1148" i="12"/>
  <c r="G1147" i="12"/>
  <c r="B1147" i="12"/>
  <c r="C1146" i="12"/>
  <c r="D1145" i="12"/>
  <c r="A1144" i="12"/>
  <c r="G1143" i="12"/>
  <c r="B1143" i="12"/>
  <c r="C1142" i="12"/>
  <c r="D1141" i="12"/>
  <c r="A1140" i="12"/>
  <c r="G1139" i="12"/>
  <c r="B1139" i="12"/>
  <c r="C1138" i="12"/>
  <c r="D1137" i="12"/>
  <c r="A1136" i="12"/>
  <c r="G1135" i="12"/>
  <c r="B1135" i="12"/>
  <c r="C1134" i="12"/>
  <c r="D1133" i="12"/>
  <c r="A1132" i="12"/>
  <c r="G1131" i="12"/>
  <c r="B1131" i="12"/>
  <c r="C1130" i="12"/>
  <c r="D1129" i="12"/>
  <c r="A1128" i="12"/>
  <c r="G1127" i="12"/>
  <c r="B1127" i="12"/>
  <c r="C1126" i="12"/>
  <c r="D1125" i="12"/>
  <c r="A1124" i="12"/>
  <c r="G1123" i="12"/>
  <c r="B1123" i="12"/>
  <c r="C1122" i="12"/>
  <c r="D1121" i="12"/>
  <c r="A1120" i="12"/>
  <c r="G1119" i="12"/>
  <c r="B1119" i="12"/>
  <c r="C1118" i="12"/>
  <c r="D1117" i="12"/>
  <c r="A1116" i="12"/>
  <c r="G1115" i="12"/>
  <c r="B1115" i="12"/>
  <c r="C1114" i="12"/>
  <c r="D1113" i="12"/>
  <c r="A1112" i="12"/>
  <c r="G1111" i="12"/>
  <c r="B1111" i="12"/>
  <c r="C1110" i="12"/>
  <c r="D1109" i="12"/>
  <c r="A1108" i="12"/>
  <c r="G1107" i="12"/>
  <c r="B1107" i="12"/>
  <c r="C1106" i="12"/>
  <c r="D1105" i="12"/>
  <c r="A1104" i="12"/>
  <c r="G1103" i="12"/>
  <c r="B1103" i="12"/>
  <c r="C1102" i="12"/>
  <c r="D1101" i="12"/>
  <c r="A1100" i="12"/>
  <c r="G1099" i="12"/>
  <c r="B1099" i="12"/>
  <c r="C1098" i="12"/>
  <c r="D1097" i="12"/>
  <c r="A1096" i="12"/>
  <c r="G1095" i="12"/>
  <c r="B1095" i="12"/>
  <c r="C1094" i="12"/>
  <c r="D1093" i="12"/>
  <c r="A1092" i="12"/>
  <c r="G1091" i="12"/>
  <c r="B1091" i="12"/>
  <c r="C1090" i="12"/>
  <c r="D1089" i="12"/>
  <c r="A1088" i="12"/>
  <c r="G1087" i="12"/>
  <c r="B1087" i="12"/>
  <c r="C1086" i="12"/>
  <c r="D1085" i="12"/>
  <c r="A1084" i="12"/>
  <c r="G1083" i="12"/>
  <c r="B1083" i="12"/>
  <c r="C1082" i="12"/>
  <c r="D1081" i="12"/>
  <c r="A1080" i="12"/>
  <c r="G1079" i="12"/>
  <c r="B1079" i="12"/>
  <c r="C1078" i="12"/>
  <c r="D1077" i="12"/>
  <c r="A1076" i="12"/>
  <c r="G1075" i="12"/>
  <c r="B1075" i="12"/>
  <c r="C1074" i="12"/>
  <c r="D1073" i="12"/>
  <c r="A1072" i="12"/>
  <c r="G1071" i="12"/>
  <c r="B1071" i="12"/>
  <c r="C1070" i="12"/>
  <c r="D1069" i="12"/>
  <c r="A1068" i="12"/>
  <c r="G1067" i="12"/>
  <c r="B1067" i="12"/>
  <c r="C1066" i="12"/>
  <c r="D1065" i="12"/>
  <c r="A1064" i="12"/>
  <c r="G1063" i="12"/>
  <c r="B1063" i="12"/>
  <c r="C1062" i="12"/>
  <c r="D1061" i="12"/>
  <c r="A1060" i="12"/>
  <c r="G1059" i="12"/>
  <c r="B1059" i="12"/>
  <c r="C1058" i="12"/>
  <c r="D1057" i="12"/>
  <c r="A1056" i="12"/>
  <c r="G1055" i="12"/>
  <c r="B1055" i="12"/>
  <c r="C1054" i="12"/>
  <c r="D1053" i="12"/>
  <c r="A1052" i="12"/>
  <c r="G1051" i="12"/>
  <c r="B1051" i="12"/>
  <c r="C1050" i="12"/>
  <c r="D1049" i="12"/>
  <c r="A1048" i="12"/>
  <c r="G1047" i="12"/>
  <c r="B1047" i="12"/>
  <c r="C1046" i="12"/>
  <c r="D1045" i="12"/>
  <c r="A1044" i="12"/>
  <c r="G1043" i="12"/>
  <c r="B1043" i="12"/>
  <c r="C1042" i="12"/>
  <c r="D1041" i="12"/>
  <c r="A1040" i="12"/>
  <c r="G1039" i="12"/>
  <c r="B1039" i="12"/>
  <c r="C1038" i="12"/>
  <c r="D1037" i="12"/>
  <c r="A1036" i="12"/>
  <c r="G1035" i="12"/>
  <c r="B1035" i="12"/>
  <c r="C1034" i="12"/>
  <c r="D1033" i="12"/>
  <c r="A1032" i="12"/>
  <c r="G1031" i="12"/>
  <c r="B1031" i="12"/>
  <c r="C1030" i="12"/>
  <c r="D1029" i="12"/>
  <c r="A1028" i="12"/>
  <c r="G1027" i="12"/>
  <c r="B1027" i="12"/>
  <c r="C1026" i="12"/>
  <c r="D1025" i="12"/>
  <c r="A1024" i="12"/>
  <c r="G1023" i="12"/>
  <c r="B1023" i="12"/>
  <c r="C1022" i="12"/>
  <c r="D1021" i="12"/>
  <c r="A1020" i="12"/>
  <c r="G1019" i="12"/>
  <c r="B1019" i="12"/>
  <c r="C1018" i="12"/>
  <c r="D1017" i="12"/>
  <c r="A1016" i="12"/>
  <c r="G1015" i="12"/>
  <c r="B1015" i="12"/>
  <c r="C1014" i="12"/>
  <c r="D1013" i="12"/>
  <c r="A1012" i="12"/>
  <c r="G1011" i="12"/>
  <c r="B1011" i="12"/>
  <c r="C1010" i="12"/>
  <c r="D1009" i="12"/>
  <c r="A1008" i="12"/>
  <c r="G1007" i="12"/>
  <c r="B1007" i="12"/>
  <c r="C1006" i="12"/>
  <c r="D1005" i="12"/>
  <c r="A1004" i="12"/>
  <c r="G1003" i="12"/>
  <c r="B1003" i="12"/>
  <c r="C1002" i="12"/>
  <c r="D1001" i="12"/>
  <c r="A1000" i="12"/>
  <c r="G999" i="12"/>
  <c r="B999" i="12"/>
  <c r="C998" i="12"/>
  <c r="D997" i="12"/>
  <c r="A996" i="12"/>
  <c r="G995" i="12"/>
  <c r="B995" i="12"/>
  <c r="C994" i="12"/>
  <c r="D993" i="12"/>
  <c r="A992" i="12"/>
  <c r="G991" i="12"/>
  <c r="B991" i="12"/>
  <c r="C990" i="12"/>
  <c r="D989" i="12"/>
  <c r="A988" i="12"/>
  <c r="G987" i="12"/>
  <c r="B987" i="12"/>
  <c r="C986" i="12"/>
  <c r="D985" i="12"/>
  <c r="A984" i="12"/>
  <c r="G983" i="12"/>
  <c r="B983" i="12"/>
  <c r="C982" i="12"/>
  <c r="D981" i="12"/>
  <c r="A980" i="12"/>
  <c r="G979" i="12"/>
  <c r="B979" i="12"/>
  <c r="C978" i="12"/>
  <c r="D977" i="12"/>
  <c r="A976" i="12"/>
  <c r="G975" i="12"/>
  <c r="B975" i="12"/>
  <c r="C974" i="12"/>
  <c r="D973" i="12"/>
  <c r="A972" i="12"/>
  <c r="G971" i="12"/>
  <c r="B971" i="12"/>
  <c r="C970" i="12"/>
  <c r="D969" i="12"/>
  <c r="A968" i="12"/>
  <c r="G967" i="12"/>
  <c r="B967" i="12"/>
  <c r="C966" i="12"/>
  <c r="D965" i="12"/>
  <c r="A964" i="12"/>
  <c r="G963" i="12"/>
  <c r="B963" i="12"/>
  <c r="C962" i="12"/>
  <c r="D961" i="12"/>
  <c r="A960" i="12"/>
  <c r="G959" i="12"/>
  <c r="B959" i="12"/>
  <c r="C958" i="12"/>
  <c r="D957" i="12"/>
  <c r="A956" i="12"/>
  <c r="G955" i="12"/>
  <c r="B955" i="12"/>
  <c r="C954" i="12"/>
  <c r="D953" i="12"/>
  <c r="A952" i="12"/>
  <c r="G951" i="12"/>
  <c r="B951" i="12"/>
  <c r="C950" i="12"/>
  <c r="D949" i="12"/>
  <c r="A948" i="12"/>
  <c r="G947" i="12"/>
  <c r="B947" i="12"/>
  <c r="C946" i="12"/>
  <c r="D945" i="12"/>
  <c r="A944" i="12"/>
  <c r="G943" i="12"/>
  <c r="B943" i="12"/>
  <c r="C942" i="12"/>
  <c r="D941" i="12"/>
  <c r="A940" i="12"/>
  <c r="G939" i="12"/>
  <c r="B939" i="12"/>
  <c r="C938" i="12"/>
  <c r="D937" i="12"/>
  <c r="A936" i="12"/>
  <c r="G935" i="12"/>
  <c r="B935" i="12"/>
  <c r="C934" i="12"/>
  <c r="D933" i="12"/>
  <c r="A932" i="12"/>
  <c r="G931" i="12"/>
  <c r="B931" i="12"/>
  <c r="C930" i="12"/>
  <c r="D929" i="12"/>
  <c r="A928" i="12"/>
  <c r="G927" i="12"/>
  <c r="B927" i="12"/>
  <c r="C926" i="12"/>
  <c r="D925" i="12"/>
  <c r="A924" i="12"/>
  <c r="G923" i="12"/>
  <c r="B923" i="12"/>
  <c r="C922" i="12"/>
  <c r="D921" i="12"/>
  <c r="A920" i="12"/>
  <c r="G919" i="12"/>
  <c r="B919" i="12"/>
  <c r="C918" i="12"/>
  <c r="D917" i="12"/>
  <c r="A916" i="12"/>
  <c r="G915" i="12"/>
  <c r="B915" i="12"/>
  <c r="C914" i="12"/>
  <c r="D913" i="12"/>
  <c r="A912" i="12"/>
  <c r="G911" i="12"/>
  <c r="B911" i="12"/>
  <c r="C910" i="12"/>
  <c r="D909" i="12"/>
  <c r="A908" i="12"/>
  <c r="G907" i="12"/>
  <c r="B907" i="12"/>
  <c r="C906" i="12"/>
  <c r="D905" i="12"/>
  <c r="A904" i="12"/>
  <c r="G903" i="12"/>
  <c r="B903" i="12"/>
  <c r="C902" i="12"/>
  <c r="D901" i="12"/>
  <c r="A900" i="12"/>
  <c r="G899" i="12"/>
  <c r="B899" i="12"/>
  <c r="C898" i="12"/>
  <c r="D897" i="12"/>
  <c r="A896" i="12"/>
  <c r="G895" i="12"/>
  <c r="B895" i="12"/>
  <c r="C894" i="12"/>
  <c r="D893" i="12"/>
  <c r="A892" i="12"/>
  <c r="G891" i="12"/>
  <c r="B891" i="12"/>
  <c r="C890" i="12"/>
  <c r="D889" i="12"/>
  <c r="A888" i="12"/>
  <c r="G887" i="12"/>
  <c r="B887" i="12"/>
  <c r="C886" i="12"/>
  <c r="D885" i="12"/>
  <c r="A884" i="12"/>
  <c r="G883" i="12"/>
  <c r="B883" i="12"/>
  <c r="C882" i="12"/>
  <c r="D881" i="12"/>
  <c r="A880" i="12"/>
  <c r="G879" i="12"/>
  <c r="B879" i="12"/>
  <c r="C878" i="12"/>
  <c r="D877" i="12"/>
  <c r="A876" i="12"/>
  <c r="G875" i="12"/>
  <c r="B875" i="12"/>
  <c r="C874" i="12"/>
  <c r="D873" i="12"/>
  <c r="A872" i="12"/>
  <c r="G871" i="12"/>
  <c r="B871" i="12"/>
  <c r="C870" i="12"/>
  <c r="D869" i="12"/>
  <c r="A868" i="12"/>
  <c r="G867" i="12"/>
  <c r="B867" i="12"/>
  <c r="C866" i="12"/>
  <c r="D865" i="12"/>
  <c r="A864" i="12"/>
  <c r="G863" i="12"/>
  <c r="B863" i="12"/>
  <c r="C862" i="12"/>
  <c r="D861" i="12"/>
  <c r="A860" i="12"/>
  <c r="G859" i="12"/>
  <c r="B859" i="12"/>
  <c r="C858" i="12"/>
  <c r="D857" i="12"/>
  <c r="A856" i="12"/>
  <c r="G855" i="12"/>
  <c r="B855" i="12"/>
  <c r="C854" i="12"/>
  <c r="D853" i="12"/>
  <c r="A852" i="12"/>
  <c r="G851" i="12"/>
  <c r="B851" i="12"/>
  <c r="C850" i="12"/>
  <c r="D849" i="12"/>
  <c r="A848" i="12"/>
  <c r="G847" i="12"/>
  <c r="B847" i="12"/>
  <c r="C846" i="12"/>
  <c r="D845" i="12"/>
  <c r="A844" i="12"/>
  <c r="G843" i="12"/>
  <c r="B843" i="12"/>
  <c r="C842" i="12"/>
  <c r="D841" i="12"/>
  <c r="A840" i="12"/>
  <c r="G839" i="12"/>
  <c r="B839" i="12"/>
  <c r="C838" i="12"/>
  <c r="D837" i="12"/>
  <c r="A836" i="12"/>
  <c r="G835" i="12"/>
  <c r="B835" i="12"/>
  <c r="C834" i="12"/>
  <c r="D833" i="12"/>
  <c r="A832" i="12"/>
  <c r="G831" i="12"/>
  <c r="B831" i="12"/>
  <c r="C830" i="12"/>
  <c r="D829" i="12"/>
  <c r="A828" i="12"/>
  <c r="G827" i="12"/>
  <c r="B827" i="12"/>
  <c r="C826" i="12"/>
  <c r="D825" i="12"/>
  <c r="A824" i="12"/>
  <c r="G823" i="12"/>
  <c r="B823" i="12"/>
  <c r="C822" i="12"/>
  <c r="D821" i="12"/>
  <c r="A820" i="12"/>
  <c r="G819" i="12"/>
  <c r="B819" i="12"/>
  <c r="C818" i="12"/>
  <c r="D817" i="12"/>
  <c r="C2721" i="12"/>
  <c r="C2693" i="12"/>
  <c r="D2653" i="12"/>
  <c r="D2634" i="12"/>
  <c r="C2590" i="12"/>
  <c r="D2560" i="12"/>
  <c r="B2553" i="12"/>
  <c r="C2524" i="12"/>
  <c r="E2515" i="12"/>
  <c r="E2502" i="12"/>
  <c r="B2491" i="12"/>
  <c r="E2436" i="12"/>
  <c r="D2407" i="12"/>
  <c r="B2382" i="12"/>
  <c r="D2341" i="12"/>
  <c r="E2334" i="12"/>
  <c r="B2323" i="12"/>
  <c r="C2294" i="12"/>
  <c r="A2278" i="12"/>
  <c r="B2271" i="12"/>
  <c r="D2219" i="12"/>
  <c r="D2191" i="12"/>
  <c r="D2186" i="12"/>
  <c r="E2181" i="12"/>
  <c r="C2174" i="12"/>
  <c r="C2163" i="12"/>
  <c r="C2152" i="12"/>
  <c r="A2145" i="12"/>
  <c r="B2140" i="12"/>
  <c r="B2135" i="12"/>
  <c r="E2116" i="12"/>
  <c r="D2105" i="12"/>
  <c r="A2080" i="12"/>
  <c r="D1990" i="12"/>
  <c r="D1985" i="12"/>
  <c r="E1980" i="12"/>
  <c r="B1831" i="12"/>
  <c r="B1827" i="12"/>
  <c r="B1823" i="12"/>
  <c r="B1819" i="12"/>
  <c r="B1815" i="12"/>
  <c r="B1811" i="12"/>
  <c r="B1807" i="12"/>
  <c r="B1803" i="12"/>
  <c r="A1799" i="12"/>
  <c r="A1795" i="12"/>
  <c r="A1791" i="12"/>
  <c r="A1787" i="12"/>
  <c r="A1783" i="12"/>
  <c r="A1779" i="12"/>
  <c r="A1775" i="12"/>
  <c r="A1771" i="12"/>
  <c r="A1767" i="12"/>
  <c r="A1763" i="12"/>
  <c r="A1759" i="12"/>
  <c r="A1755" i="12"/>
  <c r="D1749" i="12"/>
  <c r="A1624" i="12"/>
  <c r="C1622" i="12"/>
  <c r="B1615" i="12"/>
  <c r="D1613" i="12"/>
  <c r="G1611" i="12"/>
  <c r="A1608" i="12"/>
  <c r="C1606" i="12"/>
  <c r="B1599" i="12"/>
  <c r="D1597" i="12"/>
  <c r="G1595" i="12"/>
  <c r="A1592" i="12"/>
  <c r="C1590" i="12"/>
  <c r="B1583" i="12"/>
  <c r="D1581" i="12"/>
  <c r="G1579" i="12"/>
  <c r="A1576" i="12"/>
  <c r="C1574" i="12"/>
  <c r="B1567" i="12"/>
  <c r="D1565" i="12"/>
  <c r="G1563" i="12"/>
  <c r="A1560" i="12"/>
  <c r="C1558" i="12"/>
  <c r="B1551" i="12"/>
  <c r="D1549" i="12"/>
  <c r="G1547" i="12"/>
  <c r="A1544" i="12"/>
  <c r="C1542" i="12"/>
  <c r="B1535" i="12"/>
  <c r="D1533" i="12"/>
  <c r="G1531" i="12"/>
  <c r="A1528" i="12"/>
  <c r="C1526" i="12"/>
  <c r="B1519" i="12"/>
  <c r="D1517" i="12"/>
  <c r="G1515" i="12"/>
  <c r="A1512" i="12"/>
  <c r="C1510" i="12"/>
  <c r="B1503" i="12"/>
  <c r="D1501" i="12"/>
  <c r="G1499" i="12"/>
  <c r="A1496" i="12"/>
  <c r="C1494" i="12"/>
  <c r="B1487" i="12"/>
  <c r="D1485" i="12"/>
  <c r="G1483" i="12"/>
  <c r="A1480" i="12"/>
  <c r="C1478" i="12"/>
  <c r="C1473" i="12"/>
  <c r="G1471" i="12"/>
  <c r="A1470" i="12"/>
  <c r="E1468" i="12"/>
  <c r="C1465" i="12"/>
  <c r="G1463" i="12"/>
  <c r="A1462" i="12"/>
  <c r="E1460" i="12"/>
  <c r="C1457" i="12"/>
  <c r="G1455" i="12"/>
  <c r="A1454" i="12"/>
  <c r="E1452" i="12"/>
  <c r="C1449" i="12"/>
  <c r="G1447" i="12"/>
  <c r="A1446" i="12"/>
  <c r="E1444" i="12"/>
  <c r="C1441" i="12"/>
  <c r="A1440" i="12"/>
  <c r="C1439" i="12"/>
  <c r="E1438" i="12"/>
  <c r="G1437" i="12"/>
  <c r="A1436" i="12"/>
  <c r="C1435" i="12"/>
  <c r="E1434" i="12"/>
  <c r="G1433" i="12"/>
  <c r="A1432" i="12"/>
  <c r="C1431" i="12"/>
  <c r="E1430" i="12"/>
  <c r="G1429" i="12"/>
  <c r="A1428" i="12"/>
  <c r="E1427" i="12"/>
  <c r="D1426" i="12"/>
  <c r="C1425" i="12"/>
  <c r="C1424" i="12"/>
  <c r="G1423" i="12"/>
  <c r="B1423" i="12"/>
  <c r="G1422" i="12"/>
  <c r="A1422" i="12"/>
  <c r="A1421" i="12"/>
  <c r="E1420" i="12"/>
  <c r="E1419" i="12"/>
  <c r="B1418" i="12"/>
  <c r="D1417" i="12"/>
  <c r="B1416" i="12"/>
  <c r="D1415" i="12"/>
  <c r="B1414" i="12"/>
  <c r="D1413" i="12"/>
  <c r="B1412" i="12"/>
  <c r="D1411" i="12"/>
  <c r="B1410" i="12"/>
  <c r="D1409" i="12"/>
  <c r="B1408" i="12"/>
  <c r="D1407" i="12"/>
  <c r="B1406" i="12"/>
  <c r="D1405" i="12"/>
  <c r="B1404" i="12"/>
  <c r="D1403" i="12"/>
  <c r="B1402" i="12"/>
  <c r="D1401" i="12"/>
  <c r="B1400" i="12"/>
  <c r="D1399" i="12"/>
  <c r="B1398" i="12"/>
  <c r="D1397" i="12"/>
  <c r="B1396" i="12"/>
  <c r="D1395" i="12"/>
  <c r="B1394" i="12"/>
  <c r="D1393" i="12"/>
  <c r="B1392" i="12"/>
  <c r="D1391" i="12"/>
  <c r="B1390" i="12"/>
  <c r="D1389" i="12"/>
  <c r="B1388" i="12"/>
  <c r="D1387" i="12"/>
  <c r="B1386" i="12"/>
  <c r="D1385" i="12"/>
  <c r="B1384" i="12"/>
  <c r="D1383" i="12"/>
  <c r="B1382" i="12"/>
  <c r="D1381" i="12"/>
  <c r="B1380" i="12"/>
  <c r="D1379" i="12"/>
  <c r="B1378" i="12"/>
  <c r="D1377" i="12"/>
  <c r="B1376" i="12"/>
  <c r="D1375" i="12"/>
  <c r="B1374" i="12"/>
  <c r="D1373" i="12"/>
  <c r="B1372" i="12"/>
  <c r="D1371" i="12"/>
  <c r="B1370" i="12"/>
  <c r="D1369" i="12"/>
  <c r="B1368" i="12"/>
  <c r="D1367" i="12"/>
  <c r="B1366" i="12"/>
  <c r="D1365" i="12"/>
  <c r="B1364" i="12"/>
  <c r="D1363" i="12"/>
  <c r="B1362" i="12"/>
  <c r="D1361" i="12"/>
  <c r="B1360" i="12"/>
  <c r="D1359" i="12"/>
  <c r="B1358" i="12"/>
  <c r="D1357" i="12"/>
  <c r="B1356" i="12"/>
  <c r="D1355" i="12"/>
  <c r="B1354" i="12"/>
  <c r="D1353" i="12"/>
  <c r="B1352" i="12"/>
  <c r="D1351" i="12"/>
  <c r="B1350" i="12"/>
  <c r="D1349" i="12"/>
  <c r="B1348" i="12"/>
  <c r="D1347" i="12"/>
  <c r="B1346" i="12"/>
  <c r="D1345" i="12"/>
  <c r="B1344" i="12"/>
  <c r="D1343" i="12"/>
  <c r="B1342" i="12"/>
  <c r="D1341" i="12"/>
  <c r="B1340" i="12"/>
  <c r="D1339" i="12"/>
  <c r="B1338" i="12"/>
  <c r="D1337" i="12"/>
  <c r="B1336" i="12"/>
  <c r="D1335" i="12"/>
  <c r="B1334" i="12"/>
  <c r="D1333" i="12"/>
  <c r="B1332" i="12"/>
  <c r="D1331" i="12"/>
  <c r="B1330" i="12"/>
  <c r="D1329" i="12"/>
  <c r="B1328" i="12"/>
  <c r="D1327" i="12"/>
  <c r="B1326" i="12"/>
  <c r="D1325" i="12"/>
  <c r="B1324" i="12"/>
  <c r="D1323" i="12"/>
  <c r="B1322" i="12"/>
  <c r="D1321" i="12"/>
  <c r="B1320" i="12"/>
  <c r="D1319" i="12"/>
  <c r="B1318" i="12"/>
  <c r="D1317" i="12"/>
  <c r="B1316" i="12"/>
  <c r="D1315" i="12"/>
  <c r="B1314" i="12"/>
  <c r="D1313" i="12"/>
  <c r="B1312" i="12"/>
  <c r="D1311" i="12"/>
  <c r="B1310" i="12"/>
  <c r="D1309" i="12"/>
  <c r="B1308" i="12"/>
  <c r="D1307" i="12"/>
  <c r="B1306" i="12"/>
  <c r="C1305" i="12"/>
  <c r="D1304" i="12"/>
  <c r="A1303" i="12"/>
  <c r="G1302" i="12"/>
  <c r="B1302" i="12"/>
  <c r="C1301" i="12"/>
  <c r="D1300" i="12"/>
  <c r="A1299" i="12"/>
  <c r="G1298" i="12"/>
  <c r="B1298" i="12"/>
  <c r="C1297" i="12"/>
  <c r="D1296" i="12"/>
  <c r="A1295" i="12"/>
  <c r="G1294" i="12"/>
  <c r="B1294" i="12"/>
  <c r="C1293" i="12"/>
  <c r="D1292" i="12"/>
  <c r="A1291" i="12"/>
  <c r="G1290" i="12"/>
  <c r="B1290" i="12"/>
  <c r="C1289" i="12"/>
  <c r="D1288" i="12"/>
  <c r="A1287" i="12"/>
  <c r="G1286" i="12"/>
  <c r="B1286" i="12"/>
  <c r="C1285" i="12"/>
  <c r="D1284" i="12"/>
  <c r="A1283" i="12"/>
  <c r="G1282" i="12"/>
  <c r="B1282" i="12"/>
  <c r="C1281" i="12"/>
  <c r="D1280" i="12"/>
  <c r="A1279" i="12"/>
  <c r="G1278" i="12"/>
  <c r="B1278" i="12"/>
  <c r="C1277" i="12"/>
  <c r="D1276" i="12"/>
  <c r="A1275" i="12"/>
  <c r="G1274" i="12"/>
  <c r="B1274" i="12"/>
  <c r="C1273" i="12"/>
  <c r="D1272" i="12"/>
  <c r="A1271" i="12"/>
  <c r="G1270" i="12"/>
  <c r="B1270" i="12"/>
  <c r="C1269" i="12"/>
  <c r="D1268" i="12"/>
  <c r="A1267" i="12"/>
  <c r="G1266" i="12"/>
  <c r="B1266" i="12"/>
  <c r="C1265" i="12"/>
  <c r="D1264" i="12"/>
  <c r="A1263" i="12"/>
  <c r="G1262" i="12"/>
  <c r="B1262" i="12"/>
  <c r="C1261" i="12"/>
  <c r="D1260" i="12"/>
  <c r="A1259" i="12"/>
  <c r="G1258" i="12"/>
  <c r="B1258" i="12"/>
  <c r="C1257" i="12"/>
  <c r="D1256" i="12"/>
  <c r="A1255" i="12"/>
  <c r="G1254" i="12"/>
  <c r="B1254" i="12"/>
  <c r="C1253" i="12"/>
  <c r="D1252" i="12"/>
  <c r="A1251" i="12"/>
  <c r="G1250" i="12"/>
  <c r="B1250" i="12"/>
  <c r="C1249" i="12"/>
  <c r="D1248" i="12"/>
  <c r="A1247" i="12"/>
  <c r="G1246" i="12"/>
  <c r="B1246" i="12"/>
  <c r="C1245" i="12"/>
  <c r="D1244" i="12"/>
  <c r="A1243" i="12"/>
  <c r="G1242" i="12"/>
  <c r="B1242" i="12"/>
  <c r="C1241" i="12"/>
  <c r="D1240" i="12"/>
  <c r="A1239" i="12"/>
  <c r="G1238" i="12"/>
  <c r="B1238" i="12"/>
  <c r="C1237" i="12"/>
  <c r="D1236" i="12"/>
  <c r="A1235" i="12"/>
  <c r="G1234" i="12"/>
  <c r="B1234" i="12"/>
  <c r="C1233" i="12"/>
  <c r="D1232" i="12"/>
  <c r="A1231" i="12"/>
  <c r="G1230" i="12"/>
  <c r="B1230" i="12"/>
  <c r="C1229" i="12"/>
  <c r="D1228" i="12"/>
  <c r="A1227" i="12"/>
  <c r="G1226" i="12"/>
  <c r="B1226" i="12"/>
  <c r="C1225" i="12"/>
  <c r="D1224" i="12"/>
  <c r="A1223" i="12"/>
  <c r="G1222" i="12"/>
  <c r="B1222" i="12"/>
  <c r="C1221" i="12"/>
  <c r="D1220" i="12"/>
  <c r="A1219" i="12"/>
  <c r="G1218" i="12"/>
  <c r="B1218" i="12"/>
  <c r="C1217" i="12"/>
  <c r="D1216" i="12"/>
  <c r="A1215" i="12"/>
  <c r="G1214" i="12"/>
  <c r="B1214" i="12"/>
  <c r="C1213" i="12"/>
  <c r="D1212" i="12"/>
  <c r="A1211" i="12"/>
  <c r="G1210" i="12"/>
  <c r="B1210" i="12"/>
  <c r="C1209" i="12"/>
  <c r="D1208" i="12"/>
  <c r="A1207" i="12"/>
  <c r="G1206" i="12"/>
  <c r="B1206" i="12"/>
  <c r="C1205" i="12"/>
  <c r="D1204" i="12"/>
  <c r="A1203" i="12"/>
  <c r="G1202" i="12"/>
  <c r="B1202" i="12"/>
  <c r="C1201" i="12"/>
  <c r="D1200" i="12"/>
  <c r="A1199" i="12"/>
  <c r="G1198" i="12"/>
  <c r="B1198" i="12"/>
  <c r="C1197" i="12"/>
  <c r="D1196" i="12"/>
  <c r="A1195" i="12"/>
  <c r="G1194" i="12"/>
  <c r="B1194" i="12"/>
  <c r="C1193" i="12"/>
  <c r="D1192" i="12"/>
  <c r="A1191" i="12"/>
  <c r="G1190" i="12"/>
  <c r="B1190" i="12"/>
  <c r="C1189" i="12"/>
  <c r="D1188" i="12"/>
  <c r="A1187" i="12"/>
  <c r="G1186" i="12"/>
  <c r="B1186" i="12"/>
  <c r="C1185" i="12"/>
  <c r="D1184" i="12"/>
  <c r="A1183" i="12"/>
  <c r="G1182" i="12"/>
  <c r="B1182" i="12"/>
  <c r="C1181" i="12"/>
  <c r="D1180" i="12"/>
  <c r="A1179" i="12"/>
  <c r="G1178" i="12"/>
  <c r="B1178" i="12"/>
  <c r="C1177" i="12"/>
  <c r="D1176" i="12"/>
  <c r="A1175" i="12"/>
  <c r="G1174" i="12"/>
  <c r="B1174" i="12"/>
  <c r="C1173" i="12"/>
  <c r="D1172" i="12"/>
  <c r="A1171" i="12"/>
  <c r="G1170" i="12"/>
  <c r="B1170" i="12"/>
  <c r="C1169" i="12"/>
  <c r="D1168" i="12"/>
  <c r="A1167" i="12"/>
  <c r="G1166" i="12"/>
  <c r="B1166" i="12"/>
  <c r="C1165" i="12"/>
  <c r="D1164" i="12"/>
  <c r="A1163" i="12"/>
  <c r="G1162" i="12"/>
  <c r="B1162" i="12"/>
  <c r="C1161" i="12"/>
  <c r="D1160" i="12"/>
  <c r="A1159" i="12"/>
  <c r="G1158" i="12"/>
  <c r="B1158" i="12"/>
  <c r="C1157" i="12"/>
  <c r="D1156" i="12"/>
  <c r="A1155" i="12"/>
  <c r="G1154" i="12"/>
  <c r="B1154" i="12"/>
  <c r="C1153" i="12"/>
  <c r="D1152" i="12"/>
  <c r="A1151" i="12"/>
  <c r="G1150" i="12"/>
  <c r="B1150" i="12"/>
  <c r="C1149" i="12"/>
  <c r="D1148" i="12"/>
  <c r="A1147" i="12"/>
  <c r="G1146" i="12"/>
  <c r="B1146" i="12"/>
  <c r="C1145" i="12"/>
  <c r="D1144" i="12"/>
  <c r="A1143" i="12"/>
  <c r="G1142" i="12"/>
  <c r="B1142" i="12"/>
  <c r="C1141" i="12"/>
  <c r="D1140" i="12"/>
  <c r="A1139" i="12"/>
  <c r="G1138" i="12"/>
  <c r="B1138" i="12"/>
  <c r="C1137" i="12"/>
  <c r="D1136" i="12"/>
  <c r="A1135" i="12"/>
  <c r="G1134" i="12"/>
  <c r="B1134" i="12"/>
  <c r="C1133" i="12"/>
  <c r="D1132" i="12"/>
  <c r="A1131" i="12"/>
  <c r="G1130" i="12"/>
  <c r="B1130" i="12"/>
  <c r="C1129" i="12"/>
  <c r="D1128" i="12"/>
  <c r="A1127" i="12"/>
  <c r="G1126" i="12"/>
  <c r="B1126" i="12"/>
  <c r="C1125" i="12"/>
  <c r="D1124" i="12"/>
  <c r="A1123" i="12"/>
  <c r="G1122" i="12"/>
  <c r="B1122" i="12"/>
  <c r="C1121" i="12"/>
  <c r="D1120" i="12"/>
  <c r="A1119" i="12"/>
  <c r="G1118" i="12"/>
  <c r="B1118" i="12"/>
  <c r="C1117" i="12"/>
  <c r="D1116" i="12"/>
  <c r="A1115" i="12"/>
  <c r="G1114" i="12"/>
  <c r="B1114" i="12"/>
  <c r="C1113" i="12"/>
  <c r="D1112" i="12"/>
  <c r="A1111" i="12"/>
  <c r="G1110" i="12"/>
  <c r="B1110" i="12"/>
  <c r="C1109" i="12"/>
  <c r="D1108" i="12"/>
  <c r="A1107" i="12"/>
  <c r="G1106" i="12"/>
  <c r="B1106" i="12"/>
  <c r="C1105" i="12"/>
  <c r="D1104" i="12"/>
  <c r="A1103" i="12"/>
  <c r="G1102" i="12"/>
  <c r="B1102" i="12"/>
  <c r="C1101" i="12"/>
  <c r="D1100" i="12"/>
  <c r="A1099" i="12"/>
  <c r="G1098" i="12"/>
  <c r="B1098" i="12"/>
  <c r="C1097" i="12"/>
  <c r="D1096" i="12"/>
  <c r="A1095" i="12"/>
  <c r="G1094" i="12"/>
  <c r="B1094" i="12"/>
  <c r="C1093" i="12"/>
  <c r="D1092" i="12"/>
  <c r="A1091" i="12"/>
  <c r="G1090" i="12"/>
  <c r="B1090" i="12"/>
  <c r="C1089" i="12"/>
  <c r="D1088" i="12"/>
  <c r="A1087" i="12"/>
  <c r="G1086" i="12"/>
  <c r="B1086" i="12"/>
  <c r="C1085" i="12"/>
  <c r="D1084" i="12"/>
  <c r="A1083" i="12"/>
  <c r="G1082" i="12"/>
  <c r="B1082" i="12"/>
  <c r="C1081" i="12"/>
  <c r="D1080" i="12"/>
  <c r="A1079" i="12"/>
  <c r="G1078" i="12"/>
  <c r="B1078" i="12"/>
  <c r="C1077" i="12"/>
  <c r="D1076" i="12"/>
  <c r="A1075" i="12"/>
  <c r="G1074" i="12"/>
  <c r="B1074" i="12"/>
  <c r="C1073" i="12"/>
  <c r="D1072" i="12"/>
  <c r="A1071" i="12"/>
  <c r="G1070" i="12"/>
  <c r="B1070" i="12"/>
  <c r="C1069" i="12"/>
  <c r="D1068" i="12"/>
  <c r="A1067" i="12"/>
  <c r="G1066" i="12"/>
  <c r="B1066" i="12"/>
  <c r="C1065" i="12"/>
  <c r="D1064" i="12"/>
  <c r="A1063" i="12"/>
  <c r="G1062" i="12"/>
  <c r="B1062" i="12"/>
  <c r="C1061" i="12"/>
  <c r="D1060" i="12"/>
  <c r="A1059" i="12"/>
  <c r="G1058" i="12"/>
  <c r="B1058" i="12"/>
  <c r="C1057" i="12"/>
  <c r="D1056" i="12"/>
  <c r="A1055" i="12"/>
  <c r="G1054" i="12"/>
  <c r="B1054" i="12"/>
  <c r="C1053" i="12"/>
  <c r="D1052" i="12"/>
  <c r="A1051" i="12"/>
  <c r="G1050" i="12"/>
  <c r="B1050" i="12"/>
  <c r="C1049" i="12"/>
  <c r="D1048" i="12"/>
  <c r="A1047" i="12"/>
  <c r="G1046" i="12"/>
  <c r="B1046" i="12"/>
  <c r="C1045" i="12"/>
  <c r="D1044" i="12"/>
  <c r="A1043" i="12"/>
  <c r="G1042" i="12"/>
  <c r="B1042" i="12"/>
  <c r="C1041" i="12"/>
  <c r="D1040" i="12"/>
  <c r="A1039" i="12"/>
  <c r="G1038" i="12"/>
  <c r="B1038" i="12"/>
  <c r="C1037" i="12"/>
  <c r="D1036" i="12"/>
  <c r="A1035" i="12"/>
  <c r="G1034" i="12"/>
  <c r="B1034" i="12"/>
  <c r="C1033" i="12"/>
  <c r="D1032" i="12"/>
  <c r="A1031" i="12"/>
  <c r="G1030" i="12"/>
  <c r="B1030" i="12"/>
  <c r="C1029" i="12"/>
  <c r="D1028" i="12"/>
  <c r="A1027" i="12"/>
  <c r="G1026" i="12"/>
  <c r="B1026" i="12"/>
  <c r="C1025" i="12"/>
  <c r="D1024" i="12"/>
  <c r="A1023" i="12"/>
  <c r="G1022" i="12"/>
  <c r="B1022" i="12"/>
  <c r="C1021" i="12"/>
  <c r="D1020" i="12"/>
  <c r="A1019" i="12"/>
  <c r="G1018" i="12"/>
  <c r="B1018" i="12"/>
  <c r="C1017" i="12"/>
  <c r="D1016" i="12"/>
  <c r="A1015" i="12"/>
  <c r="G1014" i="12"/>
  <c r="B1014" i="12"/>
  <c r="C1013" i="12"/>
  <c r="D1012" i="12"/>
  <c r="A1011" i="12"/>
  <c r="G1010" i="12"/>
  <c r="B1010" i="12"/>
  <c r="C1009" i="12"/>
  <c r="D1008" i="12"/>
  <c r="A1007" i="12"/>
  <c r="G1006" i="12"/>
  <c r="B1006" i="12"/>
  <c r="C1005" i="12"/>
  <c r="D1004" i="12"/>
  <c r="A1003" i="12"/>
  <c r="G1002" i="12"/>
  <c r="B1002" i="12"/>
  <c r="C1001" i="12"/>
  <c r="D1000" i="12"/>
  <c r="A999" i="12"/>
  <c r="G998" i="12"/>
  <c r="B998" i="12"/>
  <c r="C997" i="12"/>
  <c r="D996" i="12"/>
  <c r="A995" i="12"/>
  <c r="G994" i="12"/>
  <c r="B994" i="12"/>
  <c r="C993" i="12"/>
  <c r="D992" i="12"/>
  <c r="A991" i="12"/>
  <c r="G990" i="12"/>
  <c r="B990" i="12"/>
  <c r="C989" i="12"/>
  <c r="D988" i="12"/>
  <c r="A987" i="12"/>
  <c r="G986" i="12"/>
  <c r="B986" i="12"/>
  <c r="C985" i="12"/>
  <c r="D984" i="12"/>
  <c r="A983" i="12"/>
  <c r="G982" i="12"/>
  <c r="B982" i="12"/>
  <c r="C981" i="12"/>
  <c r="D980" i="12"/>
  <c r="A979" i="12"/>
  <c r="G978" i="12"/>
  <c r="B978" i="12"/>
  <c r="C977" i="12"/>
  <c r="D976" i="12"/>
  <c r="A975" i="12"/>
  <c r="G974" i="12"/>
  <c r="B974" i="12"/>
  <c r="C973" i="12"/>
  <c r="D972" i="12"/>
  <c r="A971" i="12"/>
  <c r="G970" i="12"/>
  <c r="B970" i="12"/>
  <c r="C969" i="12"/>
  <c r="D968" i="12"/>
  <c r="A967" i="12"/>
  <c r="G966" i="12"/>
  <c r="B966" i="12"/>
  <c r="C965" i="12"/>
  <c r="D964" i="12"/>
  <c r="A963" i="12"/>
  <c r="G962" i="12"/>
  <c r="B962" i="12"/>
  <c r="C961" i="12"/>
  <c r="D960" i="12"/>
  <c r="A959" i="12"/>
  <c r="G958" i="12"/>
  <c r="B958" i="12"/>
  <c r="C957" i="12"/>
  <c r="D956" i="12"/>
  <c r="A955" i="12"/>
  <c r="G954" i="12"/>
  <c r="B954" i="12"/>
  <c r="C953" i="12"/>
  <c r="D952" i="12"/>
  <c r="A951" i="12"/>
  <c r="G950" i="12"/>
  <c r="B950" i="12"/>
  <c r="C949" i="12"/>
  <c r="D948" i="12"/>
  <c r="A947" i="12"/>
  <c r="G946" i="12"/>
  <c r="B946" i="12"/>
  <c r="C945" i="12"/>
  <c r="D944" i="12"/>
  <c r="A943" i="12"/>
  <c r="G942" i="12"/>
  <c r="B942" i="12"/>
  <c r="C941" i="12"/>
  <c r="D940" i="12"/>
  <c r="A939" i="12"/>
  <c r="G938" i="12"/>
  <c r="B938" i="12"/>
  <c r="C937" i="12"/>
  <c r="D936" i="12"/>
  <c r="A935" i="12"/>
  <c r="G934" i="12"/>
  <c r="B934" i="12"/>
  <c r="C933" i="12"/>
  <c r="D932" i="12"/>
  <c r="A931" i="12"/>
  <c r="G930" i="12"/>
  <c r="B930" i="12"/>
  <c r="C929" i="12"/>
  <c r="D928" i="12"/>
  <c r="A927" i="12"/>
  <c r="G926" i="12"/>
  <c r="B926" i="12"/>
  <c r="C925" i="12"/>
  <c r="D924" i="12"/>
  <c r="A923" i="12"/>
  <c r="G922" i="12"/>
  <c r="B922" i="12"/>
  <c r="C921" i="12"/>
  <c r="D920" i="12"/>
  <c r="A919" i="12"/>
  <c r="G918" i="12"/>
  <c r="B918" i="12"/>
  <c r="C917" i="12"/>
  <c r="D916" i="12"/>
  <c r="A915" i="12"/>
  <c r="G914" i="12"/>
  <c r="B914" i="12"/>
  <c r="C913" i="12"/>
  <c r="D912" i="12"/>
  <c r="A911" i="12"/>
  <c r="G910" i="12"/>
  <c r="B910" i="12"/>
  <c r="C909" i="12"/>
  <c r="D908" i="12"/>
  <c r="A907" i="12"/>
  <c r="G906" i="12"/>
  <c r="B906" i="12"/>
  <c r="C905" i="12"/>
  <c r="D904" i="12"/>
  <c r="A903" i="12"/>
  <c r="G902" i="12"/>
  <c r="B902" i="12"/>
  <c r="C901" i="12"/>
  <c r="D900" i="12"/>
  <c r="A899" i="12"/>
  <c r="G898" i="12"/>
  <c r="B898" i="12"/>
  <c r="C897" i="12"/>
  <c r="D896" i="12"/>
  <c r="A895" i="12"/>
  <c r="G894" i="12"/>
  <c r="B894" i="12"/>
  <c r="C893" i="12"/>
  <c r="D892" i="12"/>
  <c r="A891" i="12"/>
  <c r="G890" i="12"/>
  <c r="B890" i="12"/>
  <c r="C889" i="12"/>
  <c r="D888" i="12"/>
  <c r="A887" i="12"/>
  <c r="G886" i="12"/>
  <c r="B886" i="12"/>
  <c r="C885" i="12"/>
  <c r="D884" i="12"/>
  <c r="A883" i="12"/>
  <c r="G882" i="12"/>
  <c r="B882" i="12"/>
  <c r="C881" i="12"/>
  <c r="D880" i="12"/>
  <c r="A879" i="12"/>
  <c r="G878" i="12"/>
  <c r="B878" i="12"/>
  <c r="C877" i="12"/>
  <c r="D876" i="12"/>
  <c r="A875" i="12"/>
  <c r="G874" i="12"/>
  <c r="B874" i="12"/>
  <c r="C873" i="12"/>
  <c r="D872" i="12"/>
  <c r="A871" i="12"/>
  <c r="G870" i="12"/>
  <c r="B870" i="12"/>
  <c r="C869" i="12"/>
  <c r="D868" i="12"/>
  <c r="A867" i="12"/>
  <c r="G866" i="12"/>
  <c r="B866" i="12"/>
  <c r="C865" i="12"/>
  <c r="D864" i="12"/>
  <c r="A863" i="12"/>
  <c r="G862" i="12"/>
  <c r="B862" i="12"/>
  <c r="C861" i="12"/>
  <c r="D860" i="12"/>
  <c r="A859" i="12"/>
  <c r="G858" i="12"/>
  <c r="B858" i="12"/>
  <c r="C857" i="12"/>
  <c r="D856" i="12"/>
  <c r="A855" i="12"/>
  <c r="G854" i="12"/>
  <c r="B854" i="12"/>
  <c r="C853" i="12"/>
  <c r="D852" i="12"/>
  <c r="A851" i="12"/>
  <c r="G850" i="12"/>
  <c r="B850" i="12"/>
  <c r="C849" i="12"/>
  <c r="D848" i="12"/>
  <c r="A847" i="12"/>
  <c r="G846" i="12"/>
  <c r="B846" i="12"/>
  <c r="C845" i="12"/>
  <c r="D844" i="12"/>
  <c r="A843" i="12"/>
  <c r="G842" i="12"/>
  <c r="B842" i="12"/>
  <c r="C841" i="12"/>
  <c r="D840" i="12"/>
  <c r="A839" i="12"/>
  <c r="G838" i="12"/>
  <c r="B838" i="12"/>
  <c r="C837" i="12"/>
  <c r="D836" i="12"/>
  <c r="A835" i="12"/>
  <c r="G834" i="12"/>
  <c r="B834" i="12"/>
  <c r="C833" i="12"/>
  <c r="D832" i="12"/>
  <c r="A831" i="12"/>
  <c r="G830" i="12"/>
  <c r="B830" i="12"/>
  <c r="C829" i="12"/>
  <c r="D828" i="12"/>
  <c r="A827" i="12"/>
  <c r="G826" i="12"/>
  <c r="B826" i="12"/>
  <c r="C825" i="12"/>
  <c r="D824" i="12"/>
  <c r="A823" i="12"/>
  <c r="G822" i="12"/>
  <c r="B822" i="12"/>
  <c r="C821" i="12"/>
  <c r="D820" i="12"/>
  <c r="A819" i="12"/>
  <c r="G818" i="12"/>
  <c r="B818" i="12"/>
  <c r="C817" i="12"/>
  <c r="A2543" i="12"/>
  <c r="B2458" i="12"/>
  <c r="E2256" i="12"/>
  <c r="A2200" i="12"/>
  <c r="B2093" i="12"/>
  <c r="E2053" i="12"/>
  <c r="A2017" i="12"/>
  <c r="B1829" i="12"/>
  <c r="B1813" i="12"/>
  <c r="A1797" i="12"/>
  <c r="A1781" i="12"/>
  <c r="A1765" i="12"/>
  <c r="A1747" i="12"/>
  <c r="D1621" i="12"/>
  <c r="C1614" i="12"/>
  <c r="B1607" i="12"/>
  <c r="A1600" i="12"/>
  <c r="G1571" i="12"/>
  <c r="D1557" i="12"/>
  <c r="C1550" i="12"/>
  <c r="B1543" i="12"/>
  <c r="A1536" i="12"/>
  <c r="G1507" i="12"/>
  <c r="D1493" i="12"/>
  <c r="C1486" i="12"/>
  <c r="B1479" i="12"/>
  <c r="E1472" i="12"/>
  <c r="A1466" i="12"/>
  <c r="G1459" i="12"/>
  <c r="C1453" i="12"/>
  <c r="E1440" i="12"/>
  <c r="C1437" i="12"/>
  <c r="A1434" i="12"/>
  <c r="G1427" i="12"/>
  <c r="E1423" i="12"/>
  <c r="C1421" i="12"/>
  <c r="B1419" i="12"/>
  <c r="D1414" i="12"/>
  <c r="B1411" i="12"/>
  <c r="D1406" i="12"/>
  <c r="B1403" i="12"/>
  <c r="D1398" i="12"/>
  <c r="B1395" i="12"/>
  <c r="D1390" i="12"/>
  <c r="B1387" i="12"/>
  <c r="D1382" i="12"/>
  <c r="B1379" i="12"/>
  <c r="D1374" i="12"/>
  <c r="B1371" i="12"/>
  <c r="D1366" i="12"/>
  <c r="B1363" i="12"/>
  <c r="D1358" i="12"/>
  <c r="B1355" i="12"/>
  <c r="D1350" i="12"/>
  <c r="B1347" i="12"/>
  <c r="D1342" i="12"/>
  <c r="B1339" i="12"/>
  <c r="D1334" i="12"/>
  <c r="B1331" i="12"/>
  <c r="D1326" i="12"/>
  <c r="B1323" i="12"/>
  <c r="D1318" i="12"/>
  <c r="B1315" i="12"/>
  <c r="D1310" i="12"/>
  <c r="B1307" i="12"/>
  <c r="B1300" i="12"/>
  <c r="D1298" i="12"/>
  <c r="G1296" i="12"/>
  <c r="A1293" i="12"/>
  <c r="C1291" i="12"/>
  <c r="B1284" i="12"/>
  <c r="D1282" i="12"/>
  <c r="G1280" i="12"/>
  <c r="A1277" i="12"/>
  <c r="C1275" i="12"/>
  <c r="B1268" i="12"/>
  <c r="D1266" i="12"/>
  <c r="G1264" i="12"/>
  <c r="A1261" i="12"/>
  <c r="C1259" i="12"/>
  <c r="B1252" i="12"/>
  <c r="D1250" i="12"/>
  <c r="G1248" i="12"/>
  <c r="A1245" i="12"/>
  <c r="C1243" i="12"/>
  <c r="B1236" i="12"/>
  <c r="D1234" i="12"/>
  <c r="G1232" i="12"/>
  <c r="A1229" i="12"/>
  <c r="C1227" i="12"/>
  <c r="B1220" i="12"/>
  <c r="D1218" i="12"/>
  <c r="G1216" i="12"/>
  <c r="A1213" i="12"/>
  <c r="C1211" i="12"/>
  <c r="B1204" i="12"/>
  <c r="D1202" i="12"/>
  <c r="G1200" i="12"/>
  <c r="A1197" i="12"/>
  <c r="C1195" i="12"/>
  <c r="B1188" i="12"/>
  <c r="D1186" i="12"/>
  <c r="G1184" i="12"/>
  <c r="A1181" i="12"/>
  <c r="C1179" i="12"/>
  <c r="B1172" i="12"/>
  <c r="D1170" i="12"/>
  <c r="G1168" i="12"/>
  <c r="A1165" i="12"/>
  <c r="C1163" i="12"/>
  <c r="B1156" i="12"/>
  <c r="D1154" i="12"/>
  <c r="G1152" i="12"/>
  <c r="A1149" i="12"/>
  <c r="C1147" i="12"/>
  <c r="B1140" i="12"/>
  <c r="D1138" i="12"/>
  <c r="G1136" i="12"/>
  <c r="A1133" i="12"/>
  <c r="C1131" i="12"/>
  <c r="B1124" i="12"/>
  <c r="D1122" i="12"/>
  <c r="G1120" i="12"/>
  <c r="A1117" i="12"/>
  <c r="C1115" i="12"/>
  <c r="B1108" i="12"/>
  <c r="D1106" i="12"/>
  <c r="G1104" i="12"/>
  <c r="A1101" i="12"/>
  <c r="C1099" i="12"/>
  <c r="B1092" i="12"/>
  <c r="D1090" i="12"/>
  <c r="G1088" i="12"/>
  <c r="A1085" i="12"/>
  <c r="C1083" i="12"/>
  <c r="B1076" i="12"/>
  <c r="D1074" i="12"/>
  <c r="G1072" i="12"/>
  <c r="A1069" i="12"/>
  <c r="C1067" i="12"/>
  <c r="B1060" i="12"/>
  <c r="D1058" i="12"/>
  <c r="G1056" i="12"/>
  <c r="A1053" i="12"/>
  <c r="C1051" i="12"/>
  <c r="B1044" i="12"/>
  <c r="D1042" i="12"/>
  <c r="G1040" i="12"/>
  <c r="A1037" i="12"/>
  <c r="C1035" i="12"/>
  <c r="B1028" i="12"/>
  <c r="D1026" i="12"/>
  <c r="G1024" i="12"/>
  <c r="A1021" i="12"/>
  <c r="C1019" i="12"/>
  <c r="B1012" i="12"/>
  <c r="D1010" i="12"/>
  <c r="G1008" i="12"/>
  <c r="A1005" i="12"/>
  <c r="C1003" i="12"/>
  <c r="B996" i="12"/>
  <c r="D994" i="12"/>
  <c r="G992" i="12"/>
  <c r="A989" i="12"/>
  <c r="C987" i="12"/>
  <c r="B980" i="12"/>
  <c r="D978" i="12"/>
  <c r="G976" i="12"/>
  <c r="A973" i="12"/>
  <c r="C971" i="12"/>
  <c r="B964" i="12"/>
  <c r="D962" i="12"/>
  <c r="G960" i="12"/>
  <c r="A957" i="12"/>
  <c r="C955" i="12"/>
  <c r="B948" i="12"/>
  <c r="D946" i="12"/>
  <c r="G944" i="12"/>
  <c r="A941" i="12"/>
  <c r="C939" i="12"/>
  <c r="B932" i="12"/>
  <c r="D930" i="12"/>
  <c r="G928" i="12"/>
  <c r="A925" i="12"/>
  <c r="C923" i="12"/>
  <c r="B916" i="12"/>
  <c r="D914" i="12"/>
  <c r="G912" i="12"/>
  <c r="A909" i="12"/>
  <c r="C907" i="12"/>
  <c r="B900" i="12"/>
  <c r="D898" i="12"/>
  <c r="G896" i="12"/>
  <c r="A893" i="12"/>
  <c r="C891" i="12"/>
  <c r="B884" i="12"/>
  <c r="D882" i="12"/>
  <c r="G880" i="12"/>
  <c r="A877" i="12"/>
  <c r="C875" i="12"/>
  <c r="B868" i="12"/>
  <c r="D866" i="12"/>
  <c r="G864" i="12"/>
  <c r="A861" i="12"/>
  <c r="C859" i="12"/>
  <c r="B852" i="12"/>
  <c r="D850" i="12"/>
  <c r="G848" i="12"/>
  <c r="A845" i="12"/>
  <c r="C843" i="12"/>
  <c r="B836" i="12"/>
  <c r="D834" i="12"/>
  <c r="G832" i="12"/>
  <c r="A829" i="12"/>
  <c r="C827" i="12"/>
  <c r="B820" i="12"/>
  <c r="D818" i="12"/>
  <c r="D816" i="12"/>
  <c r="A815" i="12"/>
  <c r="G814" i="12"/>
  <c r="B814" i="12"/>
  <c r="C813" i="12"/>
  <c r="D812" i="12"/>
  <c r="A811" i="12"/>
  <c r="G810" i="12"/>
  <c r="B810" i="12"/>
  <c r="C809" i="12"/>
  <c r="D808" i="12"/>
  <c r="A807" i="12"/>
  <c r="G806" i="12"/>
  <c r="B806" i="12"/>
  <c r="C805" i="12"/>
  <c r="D804" i="12"/>
  <c r="A803" i="12"/>
  <c r="G802" i="12"/>
  <c r="B802" i="12"/>
  <c r="C801" i="12"/>
  <c r="D800" i="12"/>
  <c r="A799" i="12"/>
  <c r="G798" i="12"/>
  <c r="B798" i="12"/>
  <c r="C797" i="12"/>
  <c r="D796" i="12"/>
  <c r="A795" i="12"/>
  <c r="G794" i="12"/>
  <c r="B794" i="12"/>
  <c r="C793" i="12"/>
  <c r="D792" i="12"/>
  <c r="A791" i="12"/>
  <c r="G790" i="12"/>
  <c r="B790" i="12"/>
  <c r="C789" i="12"/>
  <c r="D788" i="12"/>
  <c r="A787" i="12"/>
  <c r="G786" i="12"/>
  <c r="B786" i="12"/>
  <c r="C785" i="12"/>
  <c r="D784" i="12"/>
  <c r="A783" i="12"/>
  <c r="G782" i="12"/>
  <c r="B782" i="12"/>
  <c r="C781" i="12"/>
  <c r="D780" i="12"/>
  <c r="A779" i="12"/>
  <c r="G778" i="12"/>
  <c r="B778" i="12"/>
  <c r="C777" i="12"/>
  <c r="D776" i="12"/>
  <c r="A775" i="12"/>
  <c r="G774" i="12"/>
  <c r="B774" i="12"/>
  <c r="C773" i="12"/>
  <c r="D772" i="12"/>
  <c r="A771" i="12"/>
  <c r="G770" i="12"/>
  <c r="B770" i="12"/>
  <c r="C769" i="12"/>
  <c r="D768" i="12"/>
  <c r="A767" i="12"/>
  <c r="G766" i="12"/>
  <c r="B766" i="12"/>
  <c r="C765" i="12"/>
  <c r="D764" i="12"/>
  <c r="A763" i="12"/>
  <c r="G762" i="12"/>
  <c r="B762" i="12"/>
  <c r="C761" i="12"/>
  <c r="D760" i="12"/>
  <c r="A759" i="12"/>
  <c r="G758" i="12"/>
  <c r="B758" i="12"/>
  <c r="C757" i="12"/>
  <c r="D756" i="12"/>
  <c r="A755" i="12"/>
  <c r="G754" i="12"/>
  <c r="B754" i="12"/>
  <c r="C753" i="12"/>
  <c r="D752" i="12"/>
  <c r="A751" i="12"/>
  <c r="G750" i="12"/>
  <c r="B750" i="12"/>
  <c r="C749" i="12"/>
  <c r="D748" i="12"/>
  <c r="A747" i="12"/>
  <c r="G746" i="12"/>
  <c r="B746" i="12"/>
  <c r="C745" i="12"/>
  <c r="D744" i="12"/>
  <c r="A743" i="12"/>
  <c r="G742" i="12"/>
  <c r="B742" i="12"/>
  <c r="C741" i="12"/>
  <c r="D740" i="12"/>
  <c r="A739" i="12"/>
  <c r="G738" i="12"/>
  <c r="B738" i="12"/>
  <c r="C737" i="12"/>
  <c r="D736" i="12"/>
  <c r="A735" i="12"/>
  <c r="G734" i="12"/>
  <c r="B734" i="12"/>
  <c r="C733" i="12"/>
  <c r="D732" i="12"/>
  <c r="A731" i="12"/>
  <c r="G730" i="12"/>
  <c r="B730" i="12"/>
  <c r="C729" i="12"/>
  <c r="D728" i="12"/>
  <c r="A727" i="12"/>
  <c r="G726" i="12"/>
  <c r="B726" i="12"/>
  <c r="C725" i="12"/>
  <c r="D724" i="12"/>
  <c r="A723" i="12"/>
  <c r="G722" i="12"/>
  <c r="B722" i="12"/>
  <c r="C721" i="12"/>
  <c r="D720" i="12"/>
  <c r="B719" i="12"/>
  <c r="D718" i="12"/>
  <c r="B717" i="12"/>
  <c r="D716" i="12"/>
  <c r="B715" i="12"/>
  <c r="D714" i="12"/>
  <c r="B713" i="12"/>
  <c r="D712" i="12"/>
  <c r="A711" i="12"/>
  <c r="G710" i="12"/>
  <c r="C710" i="12"/>
  <c r="E709" i="12"/>
  <c r="A709" i="12"/>
  <c r="G708" i="12"/>
  <c r="C708" i="12"/>
  <c r="E707" i="12"/>
  <c r="A707" i="12"/>
  <c r="G706" i="12"/>
  <c r="C706" i="12"/>
  <c r="E705" i="12"/>
  <c r="A705" i="12"/>
  <c r="G704" i="12"/>
  <c r="C704" i="12"/>
  <c r="E703" i="12"/>
  <c r="A703" i="12"/>
  <c r="G702" i="12"/>
  <c r="C702" i="12"/>
  <c r="E701" i="12"/>
  <c r="A701" i="12"/>
  <c r="G700" i="12"/>
  <c r="C700" i="12"/>
  <c r="E699" i="12"/>
  <c r="A699" i="12"/>
  <c r="G698" i="12"/>
  <c r="C698" i="12"/>
  <c r="E697" i="12"/>
  <c r="A697" i="12"/>
  <c r="G696" i="12"/>
  <c r="C696" i="12"/>
  <c r="E695" i="12"/>
  <c r="A695" i="12"/>
  <c r="G694" i="12"/>
  <c r="C694" i="12"/>
  <c r="E693" i="12"/>
  <c r="A693" i="12"/>
  <c r="G692" i="12"/>
  <c r="C692" i="12"/>
  <c r="E691" i="12"/>
  <c r="A691" i="12"/>
  <c r="G690" i="12"/>
  <c r="C690" i="12"/>
  <c r="E689" i="12"/>
  <c r="A689" i="12"/>
  <c r="G688" i="12"/>
  <c r="C688" i="12"/>
  <c r="E687" i="12"/>
  <c r="A687" i="12"/>
  <c r="G686" i="12"/>
  <c r="C686" i="12"/>
  <c r="E685" i="12"/>
  <c r="A685" i="12"/>
  <c r="G684" i="12"/>
  <c r="C684" i="12"/>
  <c r="E683" i="12"/>
  <c r="A683" i="12"/>
  <c r="G682" i="12"/>
  <c r="C682" i="12"/>
  <c r="E681" i="12"/>
  <c r="A681" i="12"/>
  <c r="G680" i="12"/>
  <c r="C680" i="12"/>
  <c r="E679" i="12"/>
  <c r="A679" i="12"/>
  <c r="G678" i="12"/>
  <c r="C678" i="12"/>
  <c r="E677" i="12"/>
  <c r="A677" i="12"/>
  <c r="G676" i="12"/>
  <c r="C676" i="12"/>
  <c r="E675" i="12"/>
  <c r="A675" i="12"/>
  <c r="G674" i="12"/>
  <c r="C674" i="12"/>
  <c r="E673" i="12"/>
  <c r="A673" i="12"/>
  <c r="G672" i="12"/>
  <c r="C672" i="12"/>
  <c r="E671" i="12"/>
  <c r="A671" i="12"/>
  <c r="G670" i="12"/>
  <c r="C670" i="12"/>
  <c r="E669" i="12"/>
  <c r="A669" i="12"/>
  <c r="G668" i="12"/>
  <c r="C668" i="12"/>
  <c r="E667" i="12"/>
  <c r="A667" i="12"/>
  <c r="G666" i="12"/>
  <c r="C666" i="12"/>
  <c r="E665" i="12"/>
  <c r="A665" i="12"/>
  <c r="G664" i="12"/>
  <c r="C664" i="12"/>
  <c r="E663" i="12"/>
  <c r="A663" i="12"/>
  <c r="G662" i="12"/>
  <c r="C662" i="12"/>
  <c r="E661" i="12"/>
  <c r="A661" i="12"/>
  <c r="G660" i="12"/>
  <c r="C660" i="12"/>
  <c r="E659" i="12"/>
  <c r="A659" i="12"/>
  <c r="G658" i="12"/>
  <c r="C658" i="12"/>
  <c r="E657" i="12"/>
  <c r="A657" i="12"/>
  <c r="G656" i="12"/>
  <c r="C656" i="12"/>
  <c r="E655" i="12"/>
  <c r="A655" i="12"/>
  <c r="G654" i="12"/>
  <c r="C654" i="12"/>
  <c r="E653" i="12"/>
  <c r="A653" i="12"/>
  <c r="G652" i="12"/>
  <c r="C652" i="12"/>
  <c r="E651" i="12"/>
  <c r="A651" i="12"/>
  <c r="G650" i="12"/>
  <c r="C650" i="12"/>
  <c r="E649" i="12"/>
  <c r="A649" i="12"/>
  <c r="G648" i="12"/>
  <c r="C648" i="12"/>
  <c r="E647" i="12"/>
  <c r="A647" i="12"/>
  <c r="G646" i="12"/>
  <c r="C646" i="12"/>
  <c r="E645" i="12"/>
  <c r="A645" i="12"/>
  <c r="G644" i="12"/>
  <c r="C644" i="12"/>
  <c r="E643" i="12"/>
  <c r="A643" i="12"/>
  <c r="G642" i="12"/>
  <c r="C642" i="12"/>
  <c r="E641" i="12"/>
  <c r="A641" i="12"/>
  <c r="G640" i="12"/>
  <c r="C640" i="12"/>
  <c r="E639" i="12"/>
  <c r="A639" i="12"/>
  <c r="G638" i="12"/>
  <c r="C638" i="12"/>
  <c r="E637" i="12"/>
  <c r="A637" i="12"/>
  <c r="G636" i="12"/>
  <c r="C636" i="12"/>
  <c r="E635" i="12"/>
  <c r="A635" i="12"/>
  <c r="G634" i="12"/>
  <c r="C634" i="12"/>
  <c r="E633" i="12"/>
  <c r="A633" i="12"/>
  <c r="G632" i="12"/>
  <c r="C632" i="12"/>
  <c r="E631" i="12"/>
  <c r="A631" i="12"/>
  <c r="G630" i="12"/>
  <c r="C630" i="12"/>
  <c r="E629" i="12"/>
  <c r="A629" i="12"/>
  <c r="G628" i="12"/>
  <c r="C628" i="12"/>
  <c r="E627" i="12"/>
  <c r="A627" i="12"/>
  <c r="G626" i="12"/>
  <c r="C626" i="12"/>
  <c r="E625" i="12"/>
  <c r="A625" i="12"/>
  <c r="G624" i="12"/>
  <c r="C624" i="12"/>
  <c r="E623" i="12"/>
  <c r="A623" i="12"/>
  <c r="G622" i="12"/>
  <c r="C622" i="12"/>
  <c r="E621" i="12"/>
  <c r="A621" i="12"/>
  <c r="G620" i="12"/>
  <c r="C620" i="12"/>
  <c r="E619" i="12"/>
  <c r="A619" i="12"/>
  <c r="G618" i="12"/>
  <c r="C618" i="12"/>
  <c r="E617" i="12"/>
  <c r="A617" i="12"/>
  <c r="G616" i="12"/>
  <c r="C616" i="12"/>
  <c r="E615" i="12"/>
  <c r="A615" i="12"/>
  <c r="G614" i="12"/>
  <c r="C614" i="12"/>
  <c r="E613" i="12"/>
  <c r="A613" i="12"/>
  <c r="G612" i="12"/>
  <c r="C612" i="12"/>
  <c r="E611" i="12"/>
  <c r="A611" i="12"/>
  <c r="G610" i="12"/>
  <c r="C610" i="12"/>
  <c r="E609" i="12"/>
  <c r="A609" i="12"/>
  <c r="G608" i="12"/>
  <c r="C608" i="12"/>
  <c r="E607" i="12"/>
  <c r="A607" i="12"/>
  <c r="G606" i="12"/>
  <c r="C606" i="12"/>
  <c r="E605" i="12"/>
  <c r="A605" i="12"/>
  <c r="G604" i="12"/>
  <c r="C604" i="12"/>
  <c r="E603" i="12"/>
  <c r="A603" i="12"/>
  <c r="G602" i="12"/>
  <c r="C602" i="12"/>
  <c r="E601" i="12"/>
  <c r="A601" i="12"/>
  <c r="G600" i="12"/>
  <c r="C600" i="12"/>
  <c r="E599" i="12"/>
  <c r="A599" i="12"/>
  <c r="G598" i="12"/>
  <c r="C598" i="12"/>
  <c r="E597" i="12"/>
  <c r="A597" i="12"/>
  <c r="G596" i="12"/>
  <c r="C596" i="12"/>
  <c r="E595" i="12"/>
  <c r="A595" i="12"/>
  <c r="G594" i="12"/>
  <c r="C594" i="12"/>
  <c r="E593" i="12"/>
  <c r="A593" i="12"/>
  <c r="G592" i="12"/>
  <c r="C592" i="12"/>
  <c r="E591" i="12"/>
  <c r="A591" i="12"/>
  <c r="G590" i="12"/>
  <c r="C590" i="12"/>
  <c r="E589" i="12"/>
  <c r="A589" i="12"/>
  <c r="G588" i="12"/>
  <c r="C588" i="12"/>
  <c r="E587" i="12"/>
  <c r="A587" i="12"/>
  <c r="G586" i="12"/>
  <c r="C586" i="12"/>
  <c r="E585" i="12"/>
  <c r="A585" i="12"/>
  <c r="G584" i="12"/>
  <c r="C584" i="12"/>
  <c r="E583" i="12"/>
  <c r="A583" i="12"/>
  <c r="G582" i="12"/>
  <c r="C582" i="12"/>
  <c r="E581" i="12"/>
  <c r="A581" i="12"/>
  <c r="G580" i="12"/>
  <c r="C580" i="12"/>
  <c r="E579" i="12"/>
  <c r="A579" i="12"/>
  <c r="G578" i="12"/>
  <c r="C578" i="12"/>
  <c r="E577" i="12"/>
  <c r="A577" i="12"/>
  <c r="G576" i="12"/>
  <c r="C576" i="12"/>
  <c r="E575" i="12"/>
  <c r="A575" i="12"/>
  <c r="G574" i="12"/>
  <c r="C574" i="12"/>
  <c r="E573" i="12"/>
  <c r="A573" i="12"/>
  <c r="G572" i="12"/>
  <c r="C572" i="12"/>
  <c r="E571" i="12"/>
  <c r="A571" i="12"/>
  <c r="G570" i="12"/>
  <c r="C570" i="12"/>
  <c r="E569" i="12"/>
  <c r="A569" i="12"/>
  <c r="G568" i="12"/>
  <c r="C568" i="12"/>
  <c r="E567" i="12"/>
  <c r="A567" i="12"/>
  <c r="G566" i="12"/>
  <c r="C566" i="12"/>
  <c r="E565" i="12"/>
  <c r="A565" i="12"/>
  <c r="G564" i="12"/>
  <c r="C564" i="12"/>
  <c r="E563" i="12"/>
  <c r="A563" i="12"/>
  <c r="G562" i="12"/>
  <c r="C562" i="12"/>
  <c r="E561" i="12"/>
  <c r="A561" i="12"/>
  <c r="G560" i="12"/>
  <c r="C560" i="12"/>
  <c r="E559" i="12"/>
  <c r="A559" i="12"/>
  <c r="G558" i="12"/>
  <c r="C558" i="12"/>
  <c r="E557" i="12"/>
  <c r="A557" i="12"/>
  <c r="G556" i="12"/>
  <c r="C556" i="12"/>
  <c r="E555" i="12"/>
  <c r="A555" i="12"/>
  <c r="G554" i="12"/>
  <c r="C554" i="12"/>
  <c r="E553" i="12"/>
  <c r="A553" i="12"/>
  <c r="G552" i="12"/>
  <c r="C552" i="12"/>
  <c r="E551" i="12"/>
  <c r="A551" i="12"/>
  <c r="G550" i="12"/>
  <c r="C550" i="12"/>
  <c r="E549" i="12"/>
  <c r="A549" i="12"/>
  <c r="G548" i="12"/>
  <c r="C548" i="12"/>
  <c r="E547" i="12"/>
  <c r="A547" i="12"/>
  <c r="G546" i="12"/>
  <c r="C546" i="12"/>
  <c r="E545" i="12"/>
  <c r="A545" i="12"/>
  <c r="G544" i="12"/>
  <c r="C544" i="12"/>
  <c r="E543" i="12"/>
  <c r="A543" i="12"/>
  <c r="G542" i="12"/>
  <c r="C542" i="12"/>
  <c r="E541" i="12"/>
  <c r="A541" i="12"/>
  <c r="G540" i="12"/>
  <c r="C540" i="12"/>
  <c r="E539" i="12"/>
  <c r="A539" i="12"/>
  <c r="G538" i="12"/>
  <c r="C538" i="12"/>
  <c r="E537" i="12"/>
  <c r="A537" i="12"/>
  <c r="G536" i="12"/>
  <c r="C536" i="12"/>
  <c r="E535" i="12"/>
  <c r="A535" i="12"/>
  <c r="G534" i="12"/>
  <c r="C534" i="12"/>
  <c r="E533" i="12"/>
  <c r="A533" i="12"/>
  <c r="G532" i="12"/>
  <c r="C532" i="12"/>
  <c r="E531" i="12"/>
  <c r="A531" i="12"/>
  <c r="G530" i="12"/>
  <c r="C530" i="12"/>
  <c r="E529" i="12"/>
  <c r="A529" i="12"/>
  <c r="G528" i="12"/>
  <c r="C528" i="12"/>
  <c r="E527" i="12"/>
  <c r="A527" i="12"/>
  <c r="G526" i="12"/>
  <c r="C526" i="12"/>
  <c r="E525" i="12"/>
  <c r="A525" i="12"/>
  <c r="G524" i="12"/>
  <c r="C524" i="12"/>
  <c r="E523" i="12"/>
  <c r="A523" i="12"/>
  <c r="G522" i="12"/>
  <c r="C522" i="12"/>
  <c r="E521" i="12"/>
  <c r="A521" i="12"/>
  <c r="G520" i="12"/>
  <c r="C520" i="12"/>
  <c r="E519" i="12"/>
  <c r="A519" i="12"/>
  <c r="G518" i="12"/>
  <c r="C518" i="12"/>
  <c r="E517" i="12"/>
  <c r="A517" i="12"/>
  <c r="G516" i="12"/>
  <c r="C516" i="12"/>
  <c r="E515" i="12"/>
  <c r="A515" i="12"/>
  <c r="G514" i="12"/>
  <c r="C514" i="12"/>
  <c r="E513" i="12"/>
  <c r="A513" i="12"/>
  <c r="G512" i="12"/>
  <c r="C512" i="12"/>
  <c r="E511" i="12"/>
  <c r="A511" i="12"/>
  <c r="G510" i="12"/>
  <c r="C510" i="12"/>
  <c r="E509" i="12"/>
  <c r="A509" i="12"/>
  <c r="G508" i="12"/>
  <c r="C508" i="12"/>
  <c r="E507" i="12"/>
  <c r="A507" i="12"/>
  <c r="G506" i="12"/>
  <c r="C506" i="12"/>
  <c r="E505" i="12"/>
  <c r="A505" i="12"/>
  <c r="G504" i="12"/>
  <c r="C504" i="12"/>
  <c r="E503" i="12"/>
  <c r="A503" i="12"/>
  <c r="G502" i="12"/>
  <c r="C502" i="12"/>
  <c r="E501" i="12"/>
  <c r="A501" i="12"/>
  <c r="G500" i="12"/>
  <c r="C500" i="12"/>
  <c r="E499" i="12"/>
  <c r="A499" i="12"/>
  <c r="G498" i="12"/>
  <c r="C498" i="12"/>
  <c r="E497" i="12"/>
  <c r="A497" i="12"/>
  <c r="G496" i="12"/>
  <c r="C496" i="12"/>
  <c r="E495" i="12"/>
  <c r="A495" i="12"/>
  <c r="G494" i="12"/>
  <c r="C494" i="12"/>
  <c r="E493" i="12"/>
  <c r="A493" i="12"/>
  <c r="G492" i="12"/>
  <c r="C492" i="12"/>
  <c r="E491" i="12"/>
  <c r="A491" i="12"/>
  <c r="G490" i="12"/>
  <c r="C490" i="12"/>
  <c r="E489" i="12"/>
  <c r="A489" i="12"/>
  <c r="G488" i="12"/>
  <c r="C488" i="12"/>
  <c r="E487" i="12"/>
  <c r="A487" i="12"/>
  <c r="G486" i="12"/>
  <c r="C486" i="12"/>
  <c r="E485" i="12"/>
  <c r="A485" i="12"/>
  <c r="G484" i="12"/>
  <c r="C484" i="12"/>
  <c r="E483" i="12"/>
  <c r="A483" i="12"/>
  <c r="G482" i="12"/>
  <c r="C482" i="12"/>
  <c r="E481" i="12"/>
  <c r="A481" i="12"/>
  <c r="G480" i="12"/>
  <c r="C480" i="12"/>
  <c r="E479" i="12"/>
  <c r="A479" i="12"/>
  <c r="G478" i="12"/>
  <c r="C478" i="12"/>
  <c r="E477" i="12"/>
  <c r="A477" i="12"/>
  <c r="G476" i="12"/>
  <c r="C476" i="12"/>
  <c r="E475" i="12"/>
  <c r="A475" i="12"/>
  <c r="G474" i="12"/>
  <c r="C474" i="12"/>
  <c r="E473" i="12"/>
  <c r="A473" i="12"/>
  <c r="G472" i="12"/>
  <c r="C472" i="12"/>
  <c r="E471" i="12"/>
  <c r="A471" i="12"/>
  <c r="G470" i="12"/>
  <c r="C470" i="12"/>
  <c r="E469" i="12"/>
  <c r="A469" i="12"/>
  <c r="G468" i="12"/>
  <c r="C468" i="12"/>
  <c r="E467" i="12"/>
  <c r="A467" i="12"/>
  <c r="G466" i="12"/>
  <c r="C466" i="12"/>
  <c r="E465" i="12"/>
  <c r="A465" i="12"/>
  <c r="G464" i="12"/>
  <c r="C464" i="12"/>
  <c r="E463" i="12"/>
  <c r="A463" i="12"/>
  <c r="G462" i="12"/>
  <c r="C462" i="12"/>
  <c r="E461" i="12"/>
  <c r="A461" i="12"/>
  <c r="G460" i="12"/>
  <c r="C460" i="12"/>
  <c r="E459" i="12"/>
  <c r="A459" i="12"/>
  <c r="G458" i="12"/>
  <c r="C458" i="12"/>
  <c r="E457" i="12"/>
  <c r="A457" i="12"/>
  <c r="G456" i="12"/>
  <c r="C456" i="12"/>
  <c r="E455" i="12"/>
  <c r="A455" i="12"/>
  <c r="G454" i="12"/>
  <c r="C454" i="12"/>
  <c r="E453" i="12"/>
  <c r="A453" i="12"/>
  <c r="G452" i="12"/>
  <c r="C452" i="12"/>
  <c r="E451" i="12"/>
  <c r="A451" i="12"/>
  <c r="G450" i="12"/>
  <c r="C450" i="12"/>
  <c r="E449" i="12"/>
  <c r="A449" i="12"/>
  <c r="G448" i="12"/>
  <c r="C448" i="12"/>
  <c r="E447" i="12"/>
  <c r="A447" i="12"/>
  <c r="G446" i="12"/>
  <c r="C446" i="12"/>
  <c r="E445" i="12"/>
  <c r="A445" i="12"/>
  <c r="G444" i="12"/>
  <c r="C444" i="12"/>
  <c r="E443" i="12"/>
  <c r="A443" i="12"/>
  <c r="G442" i="12"/>
  <c r="C442" i="12"/>
  <c r="E441" i="12"/>
  <c r="A441" i="12"/>
  <c r="G440" i="12"/>
  <c r="C440" i="12"/>
  <c r="E439" i="12"/>
  <c r="A439" i="12"/>
  <c r="G438" i="12"/>
  <c r="C438" i="12"/>
  <c r="E437" i="12"/>
  <c r="A437" i="12"/>
  <c r="G436" i="12"/>
  <c r="C436" i="12"/>
  <c r="E435" i="12"/>
  <c r="A435" i="12"/>
  <c r="G434" i="12"/>
  <c r="C434" i="12"/>
  <c r="E433" i="12"/>
  <c r="A433" i="12"/>
  <c r="G432" i="12"/>
  <c r="C432" i="12"/>
  <c r="E431" i="12"/>
  <c r="A431" i="12"/>
  <c r="G430" i="12"/>
  <c r="C430" i="12"/>
  <c r="E429" i="12"/>
  <c r="A429" i="12"/>
  <c r="G428" i="12"/>
  <c r="C428" i="12"/>
  <c r="E427" i="12"/>
  <c r="A427" i="12"/>
  <c r="G426" i="12"/>
  <c r="C426" i="12"/>
  <c r="E425" i="12"/>
  <c r="A425" i="12"/>
  <c r="G424" i="12"/>
  <c r="C424" i="12"/>
  <c r="E423" i="12"/>
  <c r="A423" i="12"/>
  <c r="G422" i="12"/>
  <c r="C422" i="12"/>
  <c r="E421" i="12"/>
  <c r="A421" i="12"/>
  <c r="G420" i="12"/>
  <c r="C420" i="12"/>
  <c r="E419" i="12"/>
  <c r="A419" i="12"/>
  <c r="G418" i="12"/>
  <c r="C418" i="12"/>
  <c r="E417" i="12"/>
  <c r="A417" i="12"/>
  <c r="G416" i="12"/>
  <c r="C416" i="12"/>
  <c r="E415" i="12"/>
  <c r="A415" i="12"/>
  <c r="G414" i="12"/>
  <c r="C414" i="12"/>
  <c r="E413" i="12"/>
  <c r="A413" i="12"/>
  <c r="G412" i="12"/>
  <c r="C412" i="12"/>
  <c r="E411" i="12"/>
  <c r="A411" i="12"/>
  <c r="G410" i="12"/>
  <c r="C410" i="12"/>
  <c r="E409" i="12"/>
  <c r="A409" i="12"/>
  <c r="G408" i="12"/>
  <c r="C408" i="12"/>
  <c r="E407" i="12"/>
  <c r="A407" i="12"/>
  <c r="G406" i="12"/>
  <c r="C406" i="12"/>
  <c r="E405" i="12"/>
  <c r="A405" i="12"/>
  <c r="G404" i="12"/>
  <c r="C404" i="12"/>
  <c r="E403" i="12"/>
  <c r="A403" i="12"/>
  <c r="G402" i="12"/>
  <c r="C402" i="12"/>
  <c r="E401" i="12"/>
  <c r="A401" i="12"/>
  <c r="G400" i="12"/>
  <c r="C400" i="12"/>
  <c r="E399" i="12"/>
  <c r="A399" i="12"/>
  <c r="G398" i="12"/>
  <c r="C398" i="12"/>
  <c r="E397" i="12"/>
  <c r="A397" i="12"/>
  <c r="G396" i="12"/>
  <c r="C396" i="12"/>
  <c r="E395" i="12"/>
  <c r="A395" i="12"/>
  <c r="G394" i="12"/>
  <c r="C394" i="12"/>
  <c r="E393" i="12"/>
  <c r="A393" i="12"/>
  <c r="G392" i="12"/>
  <c r="C392" i="12"/>
  <c r="E391" i="12"/>
  <c r="A391" i="12"/>
  <c r="G390" i="12"/>
  <c r="C390" i="12"/>
  <c r="E389" i="12"/>
  <c r="A389" i="12"/>
  <c r="G388" i="12"/>
  <c r="C388" i="12"/>
  <c r="E387" i="12"/>
  <c r="A387" i="12"/>
  <c r="G386" i="12"/>
  <c r="C386" i="12"/>
  <c r="E385" i="12"/>
  <c r="A385" i="12"/>
  <c r="G384" i="12"/>
  <c r="C384" i="12"/>
  <c r="E383" i="12"/>
  <c r="A383" i="12"/>
  <c r="G382" i="12"/>
  <c r="C382" i="12"/>
  <c r="E381" i="12"/>
  <c r="A381" i="12"/>
  <c r="G380" i="12"/>
  <c r="C380" i="12"/>
  <c r="E379" i="12"/>
  <c r="A379" i="12"/>
  <c r="G378" i="12"/>
  <c r="C378" i="12"/>
  <c r="E377" i="12"/>
  <c r="A377" i="12"/>
  <c r="G376" i="12"/>
  <c r="C376" i="12"/>
  <c r="E375" i="12"/>
  <c r="A375" i="12"/>
  <c r="G374" i="12"/>
  <c r="C374" i="12"/>
  <c r="E373" i="12"/>
  <c r="A373" i="12"/>
  <c r="G372" i="12"/>
  <c r="C372" i="12"/>
  <c r="E371" i="12"/>
  <c r="A371" i="12"/>
  <c r="G370" i="12"/>
  <c r="C370" i="12"/>
  <c r="E369" i="12"/>
  <c r="A369" i="12"/>
  <c r="G368" i="12"/>
  <c r="C368" i="12"/>
  <c r="E367" i="12"/>
  <c r="A367" i="12"/>
  <c r="G366" i="12"/>
  <c r="C366" i="12"/>
  <c r="E365" i="12"/>
  <c r="A365" i="12"/>
  <c r="G364" i="12"/>
  <c r="C364" i="12"/>
  <c r="E363" i="12"/>
  <c r="A363" i="12"/>
  <c r="G362" i="12"/>
  <c r="C362" i="12"/>
  <c r="E361" i="12"/>
  <c r="A361" i="12"/>
  <c r="G360" i="12"/>
  <c r="C360" i="12"/>
  <c r="E359" i="12"/>
  <c r="A359" i="12"/>
  <c r="G358" i="12"/>
  <c r="C358" i="12"/>
  <c r="E357" i="12"/>
  <c r="A357" i="12"/>
  <c r="G356" i="12"/>
  <c r="C356" i="12"/>
  <c r="E355" i="12"/>
  <c r="A355" i="12"/>
  <c r="G354" i="12"/>
  <c r="C354" i="12"/>
  <c r="E353" i="12"/>
  <c r="A353" i="12"/>
  <c r="G352" i="12"/>
  <c r="C352" i="12"/>
  <c r="E351" i="12"/>
  <c r="A351" i="12"/>
  <c r="G350" i="12"/>
  <c r="C350" i="12"/>
  <c r="E349" i="12"/>
  <c r="A349" i="12"/>
  <c r="G348" i="12"/>
  <c r="C348" i="12"/>
  <c r="D2749" i="12"/>
  <c r="E2620" i="12"/>
  <c r="C2469" i="12"/>
  <c r="D2263" i="12"/>
  <c r="C2240" i="12"/>
  <c r="D2211" i="12"/>
  <c r="E2118" i="12"/>
  <c r="D2058" i="12"/>
  <c r="C2024" i="12"/>
  <c r="B1825" i="12"/>
  <c r="B1809" i="12"/>
  <c r="A1793" i="12"/>
  <c r="A1777" i="12"/>
  <c r="A1761" i="12"/>
  <c r="B1752" i="12"/>
  <c r="G1619" i="12"/>
  <c r="D1605" i="12"/>
  <c r="C1598" i="12"/>
  <c r="B1591" i="12"/>
  <c r="A1584" i="12"/>
  <c r="G1555" i="12"/>
  <c r="D1541" i="12"/>
  <c r="C1534" i="12"/>
  <c r="B1527" i="12"/>
  <c r="A1520" i="12"/>
  <c r="G1491" i="12"/>
  <c r="D1477" i="12"/>
  <c r="E1464" i="12"/>
  <c r="A1458" i="12"/>
  <c r="G1451" i="12"/>
  <c r="C1445" i="12"/>
  <c r="G1439" i="12"/>
  <c r="E1436" i="12"/>
  <c r="C1433" i="12"/>
  <c r="A1430" i="12"/>
  <c r="B1427" i="12"/>
  <c r="A1425" i="12"/>
  <c r="B1417" i="12"/>
  <c r="D1412" i="12"/>
  <c r="B1409" i="12"/>
  <c r="D1404" i="12"/>
  <c r="B1401" i="12"/>
  <c r="D1396" i="12"/>
  <c r="B1393" i="12"/>
  <c r="D1388" i="12"/>
  <c r="B1385" i="12"/>
  <c r="D1380" i="12"/>
  <c r="B1377" i="12"/>
  <c r="D1372" i="12"/>
  <c r="B1369" i="12"/>
  <c r="D1364" i="12"/>
  <c r="B1361" i="12"/>
  <c r="D1356" i="12"/>
  <c r="B1353" i="12"/>
  <c r="D1348" i="12"/>
  <c r="B1345" i="12"/>
  <c r="D1340" i="12"/>
  <c r="B1337" i="12"/>
  <c r="D1332" i="12"/>
  <c r="B1329" i="12"/>
  <c r="D1324" i="12"/>
  <c r="B1321" i="12"/>
  <c r="D1316" i="12"/>
  <c r="B1313" i="12"/>
  <c r="D1308" i="12"/>
  <c r="A1305" i="12"/>
  <c r="C1303" i="12"/>
  <c r="B1296" i="12"/>
  <c r="D1294" i="12"/>
  <c r="G1292" i="12"/>
  <c r="A1289" i="12"/>
  <c r="C1287" i="12"/>
  <c r="B1280" i="12"/>
  <c r="D1278" i="12"/>
  <c r="G1276" i="12"/>
  <c r="A1273" i="12"/>
  <c r="C1271" i="12"/>
  <c r="B1264" i="12"/>
  <c r="D1262" i="12"/>
  <c r="G1260" i="12"/>
  <c r="A1257" i="12"/>
  <c r="C1255" i="12"/>
  <c r="B1248" i="12"/>
  <c r="D1246" i="12"/>
  <c r="G1244" i="12"/>
  <c r="A1241" i="12"/>
  <c r="C1239" i="12"/>
  <c r="B1232" i="12"/>
  <c r="D1230" i="12"/>
  <c r="G1228" i="12"/>
  <c r="A1225" i="12"/>
  <c r="C1223" i="12"/>
  <c r="B1216" i="12"/>
  <c r="D1214" i="12"/>
  <c r="G1212" i="12"/>
  <c r="A1209" i="12"/>
  <c r="C1207" i="12"/>
  <c r="B1200" i="12"/>
  <c r="D1198" i="12"/>
  <c r="G1196" i="12"/>
  <c r="A1193" i="12"/>
  <c r="C1191" i="12"/>
  <c r="B1184" i="12"/>
  <c r="D1182" i="12"/>
  <c r="G1180" i="12"/>
  <c r="A1177" i="12"/>
  <c r="C1175" i="12"/>
  <c r="B1168" i="12"/>
  <c r="D1166" i="12"/>
  <c r="G1164" i="12"/>
  <c r="A1161" i="12"/>
  <c r="C1159" i="12"/>
  <c r="B1152" i="12"/>
  <c r="D1150" i="12"/>
  <c r="G1148" i="12"/>
  <c r="A1145" i="12"/>
  <c r="C1143" i="12"/>
  <c r="B1136" i="12"/>
  <c r="D1134" i="12"/>
  <c r="G1132" i="12"/>
  <c r="A1129" i="12"/>
  <c r="C1127" i="12"/>
  <c r="B1120" i="12"/>
  <c r="D1118" i="12"/>
  <c r="G1116" i="12"/>
  <c r="A1113" i="12"/>
  <c r="C1111" i="12"/>
  <c r="B1104" i="12"/>
  <c r="D1102" i="12"/>
  <c r="G1100" i="12"/>
  <c r="A1097" i="12"/>
  <c r="C1095" i="12"/>
  <c r="B1088" i="12"/>
  <c r="D1086" i="12"/>
  <c r="G1084" i="12"/>
  <c r="A1081" i="12"/>
  <c r="C1079" i="12"/>
  <c r="B1072" i="12"/>
  <c r="D1070" i="12"/>
  <c r="G1068" i="12"/>
  <c r="A1065" i="12"/>
  <c r="C1063" i="12"/>
  <c r="B1056" i="12"/>
  <c r="D1054" i="12"/>
  <c r="G1052" i="12"/>
  <c r="A1049" i="12"/>
  <c r="C1047" i="12"/>
  <c r="B1040" i="12"/>
  <c r="D1038" i="12"/>
  <c r="G1036" i="12"/>
  <c r="A1033" i="12"/>
  <c r="C1031" i="12"/>
  <c r="B1024" i="12"/>
  <c r="D1022" i="12"/>
  <c r="G1020" i="12"/>
  <c r="A1017" i="12"/>
  <c r="C1015" i="12"/>
  <c r="B1008" i="12"/>
  <c r="D1006" i="12"/>
  <c r="G1004" i="12"/>
  <c r="A1001" i="12"/>
  <c r="C999" i="12"/>
  <c r="B992" i="12"/>
  <c r="D990" i="12"/>
  <c r="G988" i="12"/>
  <c r="A985" i="12"/>
  <c r="C983" i="12"/>
  <c r="B976" i="12"/>
  <c r="D974" i="12"/>
  <c r="G972" i="12"/>
  <c r="A969" i="12"/>
  <c r="C967" i="12"/>
  <c r="B960" i="12"/>
  <c r="D958" i="12"/>
  <c r="G956" i="12"/>
  <c r="A953" i="12"/>
  <c r="C951" i="12"/>
  <c r="B944" i="12"/>
  <c r="D942" i="12"/>
  <c r="G940" i="12"/>
  <c r="A937" i="12"/>
  <c r="C935" i="12"/>
  <c r="B928" i="12"/>
  <c r="D926" i="12"/>
  <c r="G924" i="12"/>
  <c r="A921" i="12"/>
  <c r="C919" i="12"/>
  <c r="B912" i="12"/>
  <c r="D910" i="12"/>
  <c r="G908" i="12"/>
  <c r="A905" i="12"/>
  <c r="C903" i="12"/>
  <c r="B896" i="12"/>
  <c r="D894" i="12"/>
  <c r="G892" i="12"/>
  <c r="A889" i="12"/>
  <c r="C887" i="12"/>
  <c r="B880" i="12"/>
  <c r="D878" i="12"/>
  <c r="G876" i="12"/>
  <c r="A873" i="12"/>
  <c r="C871" i="12"/>
  <c r="B864" i="12"/>
  <c r="D862" i="12"/>
  <c r="G860" i="12"/>
  <c r="A857" i="12"/>
  <c r="C855" i="12"/>
  <c r="B848" i="12"/>
  <c r="D846" i="12"/>
  <c r="G844" i="12"/>
  <c r="A841" i="12"/>
  <c r="C839" i="12"/>
  <c r="B832" i="12"/>
  <c r="D830" i="12"/>
  <c r="G828" i="12"/>
  <c r="A825" i="12"/>
  <c r="C823" i="12"/>
  <c r="C816" i="12"/>
  <c r="D815" i="12"/>
  <c r="A814" i="12"/>
  <c r="G813" i="12"/>
  <c r="B813" i="12"/>
  <c r="C812" i="12"/>
  <c r="D811" i="12"/>
  <c r="A810" i="12"/>
  <c r="G809" i="12"/>
  <c r="B809" i="12"/>
  <c r="C808" i="12"/>
  <c r="D807" i="12"/>
  <c r="A806" i="12"/>
  <c r="G805" i="12"/>
  <c r="B805" i="12"/>
  <c r="C804" i="12"/>
  <c r="D803" i="12"/>
  <c r="A802" i="12"/>
  <c r="G801" i="12"/>
  <c r="B801" i="12"/>
  <c r="C800" i="12"/>
  <c r="D799" i="12"/>
  <c r="A798" i="12"/>
  <c r="G797" i="12"/>
  <c r="B797" i="12"/>
  <c r="C796" i="12"/>
  <c r="D795" i="12"/>
  <c r="A794" i="12"/>
  <c r="G793" i="12"/>
  <c r="B793" i="12"/>
  <c r="C792" i="12"/>
  <c r="D791" i="12"/>
  <c r="A790" i="12"/>
  <c r="G789" i="12"/>
  <c r="B789" i="12"/>
  <c r="C788" i="12"/>
  <c r="D787" i="12"/>
  <c r="A786" i="12"/>
  <c r="G785" i="12"/>
  <c r="B785" i="12"/>
  <c r="C784" i="12"/>
  <c r="D783" i="12"/>
  <c r="A782" i="12"/>
  <c r="G781" i="12"/>
  <c r="B781" i="12"/>
  <c r="C780" i="12"/>
  <c r="D779" i="12"/>
  <c r="A778" i="12"/>
  <c r="G777" i="12"/>
  <c r="B777" i="12"/>
  <c r="C776" i="12"/>
  <c r="D775" i="12"/>
  <c r="A774" i="12"/>
  <c r="G773" i="12"/>
  <c r="B773" i="12"/>
  <c r="C772" i="12"/>
  <c r="D771" i="12"/>
  <c r="A770" i="12"/>
  <c r="G769" i="12"/>
  <c r="B769" i="12"/>
  <c r="C768" i="12"/>
  <c r="D767" i="12"/>
  <c r="A766" i="12"/>
  <c r="G765" i="12"/>
  <c r="B765" i="12"/>
  <c r="C764" i="12"/>
  <c r="D763" i="12"/>
  <c r="A762" i="12"/>
  <c r="G761" i="12"/>
  <c r="B761" i="12"/>
  <c r="C760" i="12"/>
  <c r="D759" i="12"/>
  <c r="A758" i="12"/>
  <c r="G757" i="12"/>
  <c r="B757" i="12"/>
  <c r="C756" i="12"/>
  <c r="D755" i="12"/>
  <c r="A754" i="12"/>
  <c r="G753" i="12"/>
  <c r="B753" i="12"/>
  <c r="C752" i="12"/>
  <c r="D751" i="12"/>
  <c r="A750" i="12"/>
  <c r="G749" i="12"/>
  <c r="B749" i="12"/>
  <c r="C748" i="12"/>
  <c r="D747" i="12"/>
  <c r="A746" i="12"/>
  <c r="G745" i="12"/>
  <c r="B745" i="12"/>
  <c r="C744" i="12"/>
  <c r="D743" i="12"/>
  <c r="A742" i="12"/>
  <c r="G741" i="12"/>
  <c r="B741" i="12"/>
  <c r="C740" i="12"/>
  <c r="D739" i="12"/>
  <c r="A738" i="12"/>
  <c r="G737" i="12"/>
  <c r="B737" i="12"/>
  <c r="C736" i="12"/>
  <c r="D735" i="12"/>
  <c r="A734" i="12"/>
  <c r="G733" i="12"/>
  <c r="B733" i="12"/>
  <c r="C732" i="12"/>
  <c r="D731" i="12"/>
  <c r="A730" i="12"/>
  <c r="G729" i="12"/>
  <c r="B729" i="12"/>
  <c r="C728" i="12"/>
  <c r="D727" i="12"/>
  <c r="A726" i="12"/>
  <c r="G725" i="12"/>
  <c r="B725" i="12"/>
  <c r="C724" i="12"/>
  <c r="D723" i="12"/>
  <c r="A722" i="12"/>
  <c r="G721" i="12"/>
  <c r="B721" i="12"/>
  <c r="C720" i="12"/>
  <c r="E719" i="12"/>
  <c r="A719" i="12"/>
  <c r="G718" i="12"/>
  <c r="C718" i="12"/>
  <c r="E717" i="12"/>
  <c r="A717" i="12"/>
  <c r="G716" i="12"/>
  <c r="C716" i="12"/>
  <c r="E715" i="12"/>
  <c r="A715" i="12"/>
  <c r="G714" i="12"/>
  <c r="C714" i="12"/>
  <c r="E713" i="12"/>
  <c r="A713" i="12"/>
  <c r="G712" i="12"/>
  <c r="C712" i="12"/>
  <c r="D711" i="12"/>
  <c r="B710" i="12"/>
  <c r="D709" i="12"/>
  <c r="B708" i="12"/>
  <c r="D707" i="12"/>
  <c r="B706" i="12"/>
  <c r="D705" i="12"/>
  <c r="B704" i="12"/>
  <c r="D703" i="12"/>
  <c r="B702" i="12"/>
  <c r="D701" i="12"/>
  <c r="B700" i="12"/>
  <c r="D699" i="12"/>
  <c r="B698" i="12"/>
  <c r="D697" i="12"/>
  <c r="B696" i="12"/>
  <c r="D695" i="12"/>
  <c r="B694" i="12"/>
  <c r="D693" i="12"/>
  <c r="B692" i="12"/>
  <c r="D691" i="12"/>
  <c r="B690" i="12"/>
  <c r="D689" i="12"/>
  <c r="B688" i="12"/>
  <c r="D687" i="12"/>
  <c r="B686" i="12"/>
  <c r="D685" i="12"/>
  <c r="B684" i="12"/>
  <c r="D683" i="12"/>
  <c r="B682" i="12"/>
  <c r="D681" i="12"/>
  <c r="B680" i="12"/>
  <c r="D679" i="12"/>
  <c r="B678" i="12"/>
  <c r="D677" i="12"/>
  <c r="B676" i="12"/>
  <c r="D675" i="12"/>
  <c r="B674" i="12"/>
  <c r="D673" i="12"/>
  <c r="B672" i="12"/>
  <c r="D671" i="12"/>
  <c r="B670" i="12"/>
  <c r="D669" i="12"/>
  <c r="B668" i="12"/>
  <c r="D667" i="12"/>
  <c r="B666" i="12"/>
  <c r="D665" i="12"/>
  <c r="B664" i="12"/>
  <c r="D663" i="12"/>
  <c r="B662" i="12"/>
  <c r="D661" i="12"/>
  <c r="B660" i="12"/>
  <c r="D659" i="12"/>
  <c r="B658" i="12"/>
  <c r="D657" i="12"/>
  <c r="B656" i="12"/>
  <c r="D655" i="12"/>
  <c r="B654" i="12"/>
  <c r="D653" i="12"/>
  <c r="B652" i="12"/>
  <c r="D651" i="12"/>
  <c r="B650" i="12"/>
  <c r="D649" i="12"/>
  <c r="B648" i="12"/>
  <c r="D647" i="12"/>
  <c r="B646" i="12"/>
  <c r="D645" i="12"/>
  <c r="B644" i="12"/>
  <c r="D643" i="12"/>
  <c r="B642" i="12"/>
  <c r="D641" i="12"/>
  <c r="B640" i="12"/>
  <c r="D639" i="12"/>
  <c r="B638" i="12"/>
  <c r="D637" i="12"/>
  <c r="B636" i="12"/>
  <c r="D635" i="12"/>
  <c r="B634" i="12"/>
  <c r="D633" i="12"/>
  <c r="B632" i="12"/>
  <c r="D631" i="12"/>
  <c r="B630" i="12"/>
  <c r="D629" i="12"/>
  <c r="B628" i="12"/>
  <c r="D627" i="12"/>
  <c r="B626" i="12"/>
  <c r="D625" i="12"/>
  <c r="B624" i="12"/>
  <c r="D623" i="12"/>
  <c r="B622" i="12"/>
  <c r="D621" i="12"/>
  <c r="B620" i="12"/>
  <c r="D619" i="12"/>
  <c r="B618" i="12"/>
  <c r="D617" i="12"/>
  <c r="B616" i="12"/>
  <c r="D615" i="12"/>
  <c r="B614" i="12"/>
  <c r="D613" i="12"/>
  <c r="B612" i="12"/>
  <c r="D611" i="12"/>
  <c r="B610" i="12"/>
  <c r="D609" i="12"/>
  <c r="B608" i="12"/>
  <c r="D607" i="12"/>
  <c r="B606" i="12"/>
  <c r="D605" i="12"/>
  <c r="B604" i="12"/>
  <c r="D603" i="12"/>
  <c r="B602" i="12"/>
  <c r="D601" i="12"/>
  <c r="B600" i="12"/>
  <c r="D599" i="12"/>
  <c r="B598" i="12"/>
  <c r="D597" i="12"/>
  <c r="B596" i="12"/>
  <c r="D595" i="12"/>
  <c r="B594" i="12"/>
  <c r="D593" i="12"/>
  <c r="B592" i="12"/>
  <c r="D591" i="12"/>
  <c r="B590" i="12"/>
  <c r="D589" i="12"/>
  <c r="B588" i="12"/>
  <c r="D587" i="12"/>
  <c r="B586" i="12"/>
  <c r="D585" i="12"/>
  <c r="B584" i="12"/>
  <c r="D583" i="12"/>
  <c r="B582" i="12"/>
  <c r="D581" i="12"/>
  <c r="B580" i="12"/>
  <c r="D579" i="12"/>
  <c r="B578" i="12"/>
  <c r="D577" i="12"/>
  <c r="B576" i="12"/>
  <c r="D575" i="12"/>
  <c r="B574" i="12"/>
  <c r="D573" i="12"/>
  <c r="B572" i="12"/>
  <c r="D571" i="12"/>
  <c r="B570" i="12"/>
  <c r="D569" i="12"/>
  <c r="B568" i="12"/>
  <c r="D567" i="12"/>
  <c r="B566" i="12"/>
  <c r="D565" i="12"/>
  <c r="B564" i="12"/>
  <c r="D563" i="12"/>
  <c r="B562" i="12"/>
  <c r="D561" i="12"/>
  <c r="B560" i="12"/>
  <c r="D559" i="12"/>
  <c r="B558" i="12"/>
  <c r="D557" i="12"/>
  <c r="B556" i="12"/>
  <c r="D555" i="12"/>
  <c r="B554" i="12"/>
  <c r="D553" i="12"/>
  <c r="B552" i="12"/>
  <c r="D551" i="12"/>
  <c r="B550" i="12"/>
  <c r="D549" i="12"/>
  <c r="B548" i="12"/>
  <c r="D547" i="12"/>
  <c r="B546" i="12"/>
  <c r="D545" i="12"/>
  <c r="B544" i="12"/>
  <c r="D543" i="12"/>
  <c r="B542" i="12"/>
  <c r="D541" i="12"/>
  <c r="B540" i="12"/>
  <c r="D539" i="12"/>
  <c r="B538" i="12"/>
  <c r="D537" i="12"/>
  <c r="B536" i="12"/>
  <c r="D535" i="12"/>
  <c r="B534" i="12"/>
  <c r="D533" i="12"/>
  <c r="B532" i="12"/>
  <c r="D531" i="12"/>
  <c r="B530" i="12"/>
  <c r="D529" i="12"/>
  <c r="B528" i="12"/>
  <c r="D527" i="12"/>
  <c r="B526" i="12"/>
  <c r="D525" i="12"/>
  <c r="B524" i="12"/>
  <c r="D523" i="12"/>
  <c r="B522" i="12"/>
  <c r="D521" i="12"/>
  <c r="B520" i="12"/>
  <c r="D519" i="12"/>
  <c r="B518" i="12"/>
  <c r="D517" i="12"/>
  <c r="B516" i="12"/>
  <c r="D515" i="12"/>
  <c r="B514" i="12"/>
  <c r="D513" i="12"/>
  <c r="B512" i="12"/>
  <c r="D511" i="12"/>
  <c r="B510" i="12"/>
  <c r="D509" i="12"/>
  <c r="B508" i="12"/>
  <c r="D507" i="12"/>
  <c r="B506" i="12"/>
  <c r="D505" i="12"/>
  <c r="B504" i="12"/>
  <c r="D503" i="12"/>
  <c r="B502" i="12"/>
  <c r="D501" i="12"/>
  <c r="B500" i="12"/>
  <c r="D499" i="12"/>
  <c r="B498" i="12"/>
  <c r="D497" i="12"/>
  <c r="B496" i="12"/>
  <c r="D495" i="12"/>
  <c r="B494" i="12"/>
  <c r="D493" i="12"/>
  <c r="B492" i="12"/>
  <c r="D491" i="12"/>
  <c r="B490" i="12"/>
  <c r="D489" i="12"/>
  <c r="B488" i="12"/>
  <c r="D487" i="12"/>
  <c r="B486" i="12"/>
  <c r="D485" i="12"/>
  <c r="B484" i="12"/>
  <c r="D483" i="12"/>
  <c r="B482" i="12"/>
  <c r="D481" i="12"/>
  <c r="B480" i="12"/>
  <c r="D479" i="12"/>
  <c r="B478" i="12"/>
  <c r="D477" i="12"/>
  <c r="B476" i="12"/>
  <c r="D475" i="12"/>
  <c r="B474" i="12"/>
  <c r="D473" i="12"/>
  <c r="B472" i="12"/>
  <c r="D471" i="12"/>
  <c r="B470" i="12"/>
  <c r="D469" i="12"/>
  <c r="B468" i="12"/>
  <c r="D467" i="12"/>
  <c r="B466" i="12"/>
  <c r="D465" i="12"/>
  <c r="B464" i="12"/>
  <c r="D463" i="12"/>
  <c r="B462" i="12"/>
  <c r="D461" i="12"/>
  <c r="B460" i="12"/>
  <c r="D459" i="12"/>
  <c r="B458" i="12"/>
  <c r="D457" i="12"/>
  <c r="B456" i="12"/>
  <c r="D455" i="12"/>
  <c r="B454" i="12"/>
  <c r="D453" i="12"/>
  <c r="B452" i="12"/>
  <c r="D451" i="12"/>
  <c r="B450" i="12"/>
  <c r="D449" i="12"/>
  <c r="B448" i="12"/>
  <c r="D447" i="12"/>
  <c r="B446" i="12"/>
  <c r="D445" i="12"/>
  <c r="B444" i="12"/>
  <c r="D443" i="12"/>
  <c r="B442" i="12"/>
  <c r="D441" i="12"/>
  <c r="B440" i="12"/>
  <c r="D439" i="12"/>
  <c r="B438" i="12"/>
  <c r="D437" i="12"/>
  <c r="B436" i="12"/>
  <c r="D435" i="12"/>
  <c r="B434" i="12"/>
  <c r="D433" i="12"/>
  <c r="B432" i="12"/>
  <c r="D431" i="12"/>
  <c r="B430" i="12"/>
  <c r="D429" i="12"/>
  <c r="B428" i="12"/>
  <c r="D427" i="12"/>
  <c r="B426" i="12"/>
  <c r="D425" i="12"/>
  <c r="B424" i="12"/>
  <c r="D423" i="12"/>
  <c r="E2392" i="12"/>
  <c r="D2063" i="12"/>
  <c r="C2035" i="12"/>
  <c r="B2007" i="12"/>
  <c r="B1821" i="12"/>
  <c r="B1805" i="12"/>
  <c r="A1789" i="12"/>
  <c r="A1773" i="12"/>
  <c r="A1757" i="12"/>
  <c r="G1603" i="12"/>
  <c r="D1589" i="12"/>
  <c r="C1582" i="12"/>
  <c r="B1575" i="12"/>
  <c r="A1568" i="12"/>
  <c r="G1539" i="12"/>
  <c r="D1525" i="12"/>
  <c r="C1518" i="12"/>
  <c r="B1511" i="12"/>
  <c r="A1504" i="12"/>
  <c r="G1475" i="12"/>
  <c r="C1469" i="12"/>
  <c r="E1456" i="12"/>
  <c r="A1450" i="12"/>
  <c r="G1443" i="12"/>
  <c r="G1435" i="12"/>
  <c r="E1432" i="12"/>
  <c r="C1429" i="12"/>
  <c r="G1426" i="12"/>
  <c r="E1424" i="12"/>
  <c r="D1422" i="12"/>
  <c r="C1420" i="12"/>
  <c r="D1418" i="12"/>
  <c r="B1415" i="12"/>
  <c r="D1410" i="12"/>
  <c r="B1407" i="12"/>
  <c r="D1402" i="12"/>
  <c r="B1399" i="12"/>
  <c r="D1394" i="12"/>
  <c r="B1391" i="12"/>
  <c r="D1386" i="12"/>
  <c r="B1383" i="12"/>
  <c r="D1378" i="12"/>
  <c r="B1375" i="12"/>
  <c r="D1370" i="12"/>
  <c r="B1367" i="12"/>
  <c r="D1362" i="12"/>
  <c r="B1359" i="12"/>
  <c r="D1354" i="12"/>
  <c r="B1351" i="12"/>
  <c r="D1346" i="12"/>
  <c r="B1343" i="12"/>
  <c r="D1338" i="12"/>
  <c r="B1335" i="12"/>
  <c r="D1330" i="12"/>
  <c r="B1327" i="12"/>
  <c r="D1322" i="12"/>
  <c r="B1319" i="12"/>
  <c r="D1314" i="12"/>
  <c r="B1311" i="12"/>
  <c r="D1306" i="12"/>
  <c r="G1304" i="12"/>
  <c r="A1301" i="12"/>
  <c r="C1299" i="12"/>
  <c r="B1292" i="12"/>
  <c r="D1290" i="12"/>
  <c r="G1288" i="12"/>
  <c r="A1285" i="12"/>
  <c r="C1283" i="12"/>
  <c r="B1276" i="12"/>
  <c r="D1274" i="12"/>
  <c r="G1272" i="12"/>
  <c r="A1269" i="12"/>
  <c r="C1267" i="12"/>
  <c r="B1260" i="12"/>
  <c r="D1258" i="12"/>
  <c r="G1256" i="12"/>
  <c r="A1253" i="12"/>
  <c r="C1251" i="12"/>
  <c r="B1244" i="12"/>
  <c r="D1242" i="12"/>
  <c r="G1240" i="12"/>
  <c r="A1237" i="12"/>
  <c r="C1235" i="12"/>
  <c r="B1228" i="12"/>
  <c r="D1226" i="12"/>
  <c r="G1224" i="12"/>
  <c r="A1221" i="12"/>
  <c r="C1219" i="12"/>
  <c r="B1212" i="12"/>
  <c r="D1210" i="12"/>
  <c r="G1208" i="12"/>
  <c r="A1205" i="12"/>
  <c r="C1203" i="12"/>
  <c r="B1196" i="12"/>
  <c r="D1194" i="12"/>
  <c r="G1192" i="12"/>
  <c r="A1189" i="12"/>
  <c r="C1187" i="12"/>
  <c r="B1180" i="12"/>
  <c r="D1178" i="12"/>
  <c r="G1176" i="12"/>
  <c r="A1173" i="12"/>
  <c r="C1171" i="12"/>
  <c r="B1164" i="12"/>
  <c r="D1162" i="12"/>
  <c r="G1160" i="12"/>
  <c r="A1157" i="12"/>
  <c r="C1155" i="12"/>
  <c r="B1148" i="12"/>
  <c r="D1146" i="12"/>
  <c r="G1144" i="12"/>
  <c r="A1141" i="12"/>
  <c r="C1139" i="12"/>
  <c r="B1132" i="12"/>
  <c r="D1130" i="12"/>
  <c r="G1128" i="12"/>
  <c r="A1125" i="12"/>
  <c r="C1123" i="12"/>
  <c r="B1116" i="12"/>
  <c r="D1114" i="12"/>
  <c r="G1112" i="12"/>
  <c r="A1109" i="12"/>
  <c r="C1107" i="12"/>
  <c r="B1100" i="12"/>
  <c r="D1098" i="12"/>
  <c r="G1096" i="12"/>
  <c r="A1093" i="12"/>
  <c r="C1091" i="12"/>
  <c r="B1084" i="12"/>
  <c r="D1082" i="12"/>
  <c r="G1080" i="12"/>
  <c r="A1077" i="12"/>
  <c r="C1075" i="12"/>
  <c r="B1068" i="12"/>
  <c r="D1066" i="12"/>
  <c r="G1064" i="12"/>
  <c r="A1061" i="12"/>
  <c r="C1059" i="12"/>
  <c r="B1052" i="12"/>
  <c r="D1050" i="12"/>
  <c r="G1048" i="12"/>
  <c r="A1045" i="12"/>
  <c r="C1043" i="12"/>
  <c r="B1036" i="12"/>
  <c r="D1034" i="12"/>
  <c r="G1032" i="12"/>
  <c r="A1029" i="12"/>
  <c r="C1027" i="12"/>
  <c r="B1020" i="12"/>
  <c r="D1018" i="12"/>
  <c r="G1016" i="12"/>
  <c r="A1013" i="12"/>
  <c r="C1011" i="12"/>
  <c r="B1004" i="12"/>
  <c r="D1002" i="12"/>
  <c r="G1000" i="12"/>
  <c r="A997" i="12"/>
  <c r="C995" i="12"/>
  <c r="B988" i="12"/>
  <c r="D986" i="12"/>
  <c r="G984" i="12"/>
  <c r="A981" i="12"/>
  <c r="C979" i="12"/>
  <c r="B972" i="12"/>
  <c r="D970" i="12"/>
  <c r="G968" i="12"/>
  <c r="A965" i="12"/>
  <c r="C963" i="12"/>
  <c r="B956" i="12"/>
  <c r="D954" i="12"/>
  <c r="G952" i="12"/>
  <c r="A949" i="12"/>
  <c r="C947" i="12"/>
  <c r="B940" i="12"/>
  <c r="D938" i="12"/>
  <c r="G936" i="12"/>
  <c r="A933" i="12"/>
  <c r="C931" i="12"/>
  <c r="B924" i="12"/>
  <c r="D922" i="12"/>
  <c r="G920" i="12"/>
  <c r="A917" i="12"/>
  <c r="C915" i="12"/>
  <c r="B908" i="12"/>
  <c r="D906" i="12"/>
  <c r="G904" i="12"/>
  <c r="A901" i="12"/>
  <c r="C899" i="12"/>
  <c r="B892" i="12"/>
  <c r="D890" i="12"/>
  <c r="G888" i="12"/>
  <c r="A885" i="12"/>
  <c r="C883" i="12"/>
  <c r="B876" i="12"/>
  <c r="D874" i="12"/>
  <c r="G872" i="12"/>
  <c r="A869" i="12"/>
  <c r="C867" i="12"/>
  <c r="B860" i="12"/>
  <c r="D858" i="12"/>
  <c r="G856" i="12"/>
  <c r="A853" i="12"/>
  <c r="C851" i="12"/>
  <c r="B844" i="12"/>
  <c r="D842" i="12"/>
  <c r="G840" i="12"/>
  <c r="A837" i="12"/>
  <c r="C835" i="12"/>
  <c r="B828" i="12"/>
  <c r="D826" i="12"/>
  <c r="G824" i="12"/>
  <c r="A821" i="12"/>
  <c r="C819" i="12"/>
  <c r="G816" i="12"/>
  <c r="B816" i="12"/>
  <c r="C815" i="12"/>
  <c r="D814" i="12"/>
  <c r="A813" i="12"/>
  <c r="G812" i="12"/>
  <c r="B812" i="12"/>
  <c r="C811" i="12"/>
  <c r="D810" i="12"/>
  <c r="A809" i="12"/>
  <c r="G808" i="12"/>
  <c r="B808" i="12"/>
  <c r="C807" i="12"/>
  <c r="D806" i="12"/>
  <c r="A805" i="12"/>
  <c r="G804" i="12"/>
  <c r="B804" i="12"/>
  <c r="C803" i="12"/>
  <c r="D802" i="12"/>
  <c r="A801" i="12"/>
  <c r="G800" i="12"/>
  <c r="B800" i="12"/>
  <c r="C799" i="12"/>
  <c r="D798" i="12"/>
  <c r="A797" i="12"/>
  <c r="G796" i="12"/>
  <c r="B796" i="12"/>
  <c r="C795" i="12"/>
  <c r="D794" i="12"/>
  <c r="A793" i="12"/>
  <c r="G792" i="12"/>
  <c r="B792" i="12"/>
  <c r="C791" i="12"/>
  <c r="D790" i="12"/>
  <c r="A789" i="12"/>
  <c r="G788" i="12"/>
  <c r="B788" i="12"/>
  <c r="C787" i="12"/>
  <c r="D786" i="12"/>
  <c r="A785" i="12"/>
  <c r="G784" i="12"/>
  <c r="B784" i="12"/>
  <c r="C783" i="12"/>
  <c r="D782" i="12"/>
  <c r="A781" i="12"/>
  <c r="G780" i="12"/>
  <c r="B780" i="12"/>
  <c r="C779" i="12"/>
  <c r="D778" i="12"/>
  <c r="A777" i="12"/>
  <c r="G776" i="12"/>
  <c r="B776" i="12"/>
  <c r="C775" i="12"/>
  <c r="D774" i="12"/>
  <c r="A773" i="12"/>
  <c r="G772" i="12"/>
  <c r="B772" i="12"/>
  <c r="C771" i="12"/>
  <c r="D770" i="12"/>
  <c r="A769" i="12"/>
  <c r="G768" i="12"/>
  <c r="B768" i="12"/>
  <c r="C767" i="12"/>
  <c r="D766" i="12"/>
  <c r="A765" i="12"/>
  <c r="G764" i="12"/>
  <c r="B764" i="12"/>
  <c r="C763" i="12"/>
  <c r="D762" i="12"/>
  <c r="A761" i="12"/>
  <c r="G760" i="12"/>
  <c r="B760" i="12"/>
  <c r="C759" i="12"/>
  <c r="D758" i="12"/>
  <c r="A757" i="12"/>
  <c r="G756" i="12"/>
  <c r="B756" i="12"/>
  <c r="C755" i="12"/>
  <c r="D754" i="12"/>
  <c r="A753" i="12"/>
  <c r="G752" i="12"/>
  <c r="B752" i="12"/>
  <c r="C751" i="12"/>
  <c r="D750" i="12"/>
  <c r="A749" i="12"/>
  <c r="G748" i="12"/>
  <c r="B748" i="12"/>
  <c r="C747" i="12"/>
  <c r="D746" i="12"/>
  <c r="A745" i="12"/>
  <c r="G744" i="12"/>
  <c r="B744" i="12"/>
  <c r="C743" i="12"/>
  <c r="D742" i="12"/>
  <c r="A741" i="12"/>
  <c r="G740" i="12"/>
  <c r="B740" i="12"/>
  <c r="C739" i="12"/>
  <c r="D738" i="12"/>
  <c r="A737" i="12"/>
  <c r="G736" i="12"/>
  <c r="B736" i="12"/>
  <c r="C735" i="12"/>
  <c r="D734" i="12"/>
  <c r="A733" i="12"/>
  <c r="G732" i="12"/>
  <c r="B732" i="12"/>
  <c r="C731" i="12"/>
  <c r="D730" i="12"/>
  <c r="A729" i="12"/>
  <c r="G728" i="12"/>
  <c r="B728" i="12"/>
  <c r="C727" i="12"/>
  <c r="D726" i="12"/>
  <c r="A725" i="12"/>
  <c r="G724" i="12"/>
  <c r="B724" i="12"/>
  <c r="C723" i="12"/>
  <c r="D722" i="12"/>
  <c r="A721" i="12"/>
  <c r="G720" i="12"/>
  <c r="B720" i="12"/>
  <c r="D719" i="12"/>
  <c r="B718" i="12"/>
  <c r="D717" i="12"/>
  <c r="B716" i="12"/>
  <c r="D715" i="12"/>
  <c r="B714" i="12"/>
  <c r="D713" i="12"/>
  <c r="B712" i="12"/>
  <c r="C711" i="12"/>
  <c r="E710" i="12"/>
  <c r="A710" i="12"/>
  <c r="G709" i="12"/>
  <c r="C709" i="12"/>
  <c r="E708" i="12"/>
  <c r="A708" i="12"/>
  <c r="G707" i="12"/>
  <c r="C707" i="12"/>
  <c r="E706" i="12"/>
  <c r="A706" i="12"/>
  <c r="G705" i="12"/>
  <c r="C705" i="12"/>
  <c r="E704" i="12"/>
  <c r="A704" i="12"/>
  <c r="G703" i="12"/>
  <c r="C703" i="12"/>
  <c r="E702" i="12"/>
  <c r="A702" i="12"/>
  <c r="G701" i="12"/>
  <c r="C701" i="12"/>
  <c r="E700" i="12"/>
  <c r="A700" i="12"/>
  <c r="G699" i="12"/>
  <c r="C699" i="12"/>
  <c r="E698" i="12"/>
  <c r="A698" i="12"/>
  <c r="G697" i="12"/>
  <c r="C697" i="12"/>
  <c r="E696" i="12"/>
  <c r="A696" i="12"/>
  <c r="G695" i="12"/>
  <c r="C695" i="12"/>
  <c r="E694" i="12"/>
  <c r="A694" i="12"/>
  <c r="G693" i="12"/>
  <c r="C693" i="12"/>
  <c r="E692" i="12"/>
  <c r="A692" i="12"/>
  <c r="G691" i="12"/>
  <c r="C691" i="12"/>
  <c r="E690" i="12"/>
  <c r="A690" i="12"/>
  <c r="G689" i="12"/>
  <c r="C689" i="12"/>
  <c r="E688" i="12"/>
  <c r="A688" i="12"/>
  <c r="G687" i="12"/>
  <c r="C687" i="12"/>
  <c r="E686" i="12"/>
  <c r="A686" i="12"/>
  <c r="G685" i="12"/>
  <c r="C685" i="12"/>
  <c r="E684" i="12"/>
  <c r="A684" i="12"/>
  <c r="G683" i="12"/>
  <c r="C683" i="12"/>
  <c r="E682" i="12"/>
  <c r="A682" i="12"/>
  <c r="G681" i="12"/>
  <c r="C681" i="12"/>
  <c r="E680" i="12"/>
  <c r="A680" i="12"/>
  <c r="G679" i="12"/>
  <c r="C679" i="12"/>
  <c r="E678" i="12"/>
  <c r="A678" i="12"/>
  <c r="G677" i="12"/>
  <c r="C677" i="12"/>
  <c r="E676" i="12"/>
  <c r="A676" i="12"/>
  <c r="G675" i="12"/>
  <c r="C675" i="12"/>
  <c r="E674" i="12"/>
  <c r="A674" i="12"/>
  <c r="G673" i="12"/>
  <c r="C673" i="12"/>
  <c r="E672" i="12"/>
  <c r="A672" i="12"/>
  <c r="G671" i="12"/>
  <c r="C671" i="12"/>
  <c r="E670" i="12"/>
  <c r="A670" i="12"/>
  <c r="G669" i="12"/>
  <c r="C669" i="12"/>
  <c r="E668" i="12"/>
  <c r="A668" i="12"/>
  <c r="G667" i="12"/>
  <c r="C667" i="12"/>
  <c r="E666" i="12"/>
  <c r="A666" i="12"/>
  <c r="G665" i="12"/>
  <c r="C665" i="12"/>
  <c r="E664" i="12"/>
  <c r="A664" i="12"/>
  <c r="G663" i="12"/>
  <c r="C663" i="12"/>
  <c r="E662" i="12"/>
  <c r="A662" i="12"/>
  <c r="G661" i="12"/>
  <c r="C661" i="12"/>
  <c r="E660" i="12"/>
  <c r="A660" i="12"/>
  <c r="G659" i="12"/>
  <c r="C659" i="12"/>
  <c r="E658" i="12"/>
  <c r="A658" i="12"/>
  <c r="G657" i="12"/>
  <c r="C657" i="12"/>
  <c r="E656" i="12"/>
  <c r="A656" i="12"/>
  <c r="G655" i="12"/>
  <c r="C655" i="12"/>
  <c r="E654" i="12"/>
  <c r="A654" i="12"/>
  <c r="G653" i="12"/>
  <c r="C653" i="12"/>
  <c r="E652" i="12"/>
  <c r="A652" i="12"/>
  <c r="G651" i="12"/>
  <c r="C651" i="12"/>
  <c r="E650" i="12"/>
  <c r="A650" i="12"/>
  <c r="G649" i="12"/>
  <c r="C649" i="12"/>
  <c r="E648" i="12"/>
  <c r="A648" i="12"/>
  <c r="G647" i="12"/>
  <c r="C647" i="12"/>
  <c r="E646" i="12"/>
  <c r="A646" i="12"/>
  <c r="G645" i="12"/>
  <c r="C645" i="12"/>
  <c r="E644" i="12"/>
  <c r="A644" i="12"/>
  <c r="G643" i="12"/>
  <c r="C643" i="12"/>
  <c r="E642" i="12"/>
  <c r="A642" i="12"/>
  <c r="G641" i="12"/>
  <c r="C641" i="12"/>
  <c r="E640" i="12"/>
  <c r="A640" i="12"/>
  <c r="G639" i="12"/>
  <c r="C639" i="12"/>
  <c r="E638" i="12"/>
  <c r="A638" i="12"/>
  <c r="G637" i="12"/>
  <c r="C637" i="12"/>
  <c r="E636" i="12"/>
  <c r="A636" i="12"/>
  <c r="G635" i="12"/>
  <c r="C635" i="12"/>
  <c r="E634" i="12"/>
  <c r="A634" i="12"/>
  <c r="G633" i="12"/>
  <c r="C633" i="12"/>
  <c r="E632" i="12"/>
  <c r="A632" i="12"/>
  <c r="G631" i="12"/>
  <c r="C631" i="12"/>
  <c r="E630" i="12"/>
  <c r="A630" i="12"/>
  <c r="G629" i="12"/>
  <c r="C629" i="12"/>
  <c r="E628" i="12"/>
  <c r="A628" i="12"/>
  <c r="G627" i="12"/>
  <c r="C627" i="12"/>
  <c r="E626" i="12"/>
  <c r="A626" i="12"/>
  <c r="G625" i="12"/>
  <c r="C625" i="12"/>
  <c r="E624" i="12"/>
  <c r="A624" i="12"/>
  <c r="G623" i="12"/>
  <c r="C623" i="12"/>
  <c r="E622" i="12"/>
  <c r="A622" i="12"/>
  <c r="G621" i="12"/>
  <c r="C621" i="12"/>
  <c r="E620" i="12"/>
  <c r="A620" i="12"/>
  <c r="G619" i="12"/>
  <c r="C619" i="12"/>
  <c r="E618" i="12"/>
  <c r="A618" i="12"/>
  <c r="G617" i="12"/>
  <c r="C617" i="12"/>
  <c r="E616" i="12"/>
  <c r="A616" i="12"/>
  <c r="G615" i="12"/>
  <c r="C615" i="12"/>
  <c r="E614" i="12"/>
  <c r="A614" i="12"/>
  <c r="G613" i="12"/>
  <c r="C613" i="12"/>
  <c r="E612" i="12"/>
  <c r="A612" i="12"/>
  <c r="G611" i="12"/>
  <c r="C611" i="12"/>
  <c r="E610" i="12"/>
  <c r="A610" i="12"/>
  <c r="G609" i="12"/>
  <c r="C609" i="12"/>
  <c r="E608" i="12"/>
  <c r="A608" i="12"/>
  <c r="G607" i="12"/>
  <c r="C607" i="12"/>
  <c r="E606" i="12"/>
  <c r="A606" i="12"/>
  <c r="G605" i="12"/>
  <c r="C605" i="12"/>
  <c r="E604" i="12"/>
  <c r="A604" i="12"/>
  <c r="G603" i="12"/>
  <c r="C603" i="12"/>
  <c r="E602" i="12"/>
  <c r="A602" i="12"/>
  <c r="G601" i="12"/>
  <c r="C601" i="12"/>
  <c r="E600" i="12"/>
  <c r="A600" i="12"/>
  <c r="G599" i="12"/>
  <c r="C599" i="12"/>
  <c r="E598" i="12"/>
  <c r="A598" i="12"/>
  <c r="G597" i="12"/>
  <c r="C597" i="12"/>
  <c r="E596" i="12"/>
  <c r="A596" i="12"/>
  <c r="G595" i="12"/>
  <c r="C595" i="12"/>
  <c r="E594" i="12"/>
  <c r="A594" i="12"/>
  <c r="G593" i="12"/>
  <c r="C593" i="12"/>
  <c r="E592" i="12"/>
  <c r="A592" i="12"/>
  <c r="G591" i="12"/>
  <c r="C591" i="12"/>
  <c r="E590" i="12"/>
  <c r="A590" i="12"/>
  <c r="G589" i="12"/>
  <c r="C589" i="12"/>
  <c r="E588" i="12"/>
  <c r="A588" i="12"/>
  <c r="G587" i="12"/>
  <c r="C587" i="12"/>
  <c r="E586" i="12"/>
  <c r="A586" i="12"/>
  <c r="G585" i="12"/>
  <c r="C585" i="12"/>
  <c r="E584" i="12"/>
  <c r="A584" i="12"/>
  <c r="G583" i="12"/>
  <c r="C583" i="12"/>
  <c r="E582" i="12"/>
  <c r="A582" i="12"/>
  <c r="G581" i="12"/>
  <c r="C581" i="12"/>
  <c r="E580" i="12"/>
  <c r="A580" i="12"/>
  <c r="G579" i="12"/>
  <c r="C579" i="12"/>
  <c r="E578" i="12"/>
  <c r="A578" i="12"/>
  <c r="G577" i="12"/>
  <c r="C577" i="12"/>
  <c r="E576" i="12"/>
  <c r="A576" i="12"/>
  <c r="G575" i="12"/>
  <c r="C575" i="12"/>
  <c r="E574" i="12"/>
  <c r="A574" i="12"/>
  <c r="G573" i="12"/>
  <c r="C573" i="12"/>
  <c r="E572" i="12"/>
  <c r="A572" i="12"/>
  <c r="G571" i="12"/>
  <c r="C571" i="12"/>
  <c r="E570" i="12"/>
  <c r="A570" i="12"/>
  <c r="G569" i="12"/>
  <c r="C569" i="12"/>
  <c r="E568" i="12"/>
  <c r="A568" i="12"/>
  <c r="G567" i="12"/>
  <c r="C567" i="12"/>
  <c r="E566" i="12"/>
  <c r="A566" i="12"/>
  <c r="G565" i="12"/>
  <c r="C565" i="12"/>
  <c r="E564" i="12"/>
  <c r="A564" i="12"/>
  <c r="G563" i="12"/>
  <c r="C563" i="12"/>
  <c r="E562" i="12"/>
  <c r="A562" i="12"/>
  <c r="G561" i="12"/>
  <c r="C561" i="12"/>
  <c r="E560" i="12"/>
  <c r="A560" i="12"/>
  <c r="G559" i="12"/>
  <c r="C559" i="12"/>
  <c r="E558" i="12"/>
  <c r="A558" i="12"/>
  <c r="G557" i="12"/>
  <c r="C557" i="12"/>
  <c r="E556" i="12"/>
  <c r="A556" i="12"/>
  <c r="G555" i="12"/>
  <c r="C555" i="12"/>
  <c r="E554" i="12"/>
  <c r="A554" i="12"/>
  <c r="G553" i="12"/>
  <c r="C553" i="12"/>
  <c r="E552" i="12"/>
  <c r="A552" i="12"/>
  <c r="G551" i="12"/>
  <c r="C551" i="12"/>
  <c r="E550" i="12"/>
  <c r="A550" i="12"/>
  <c r="G549" i="12"/>
  <c r="C549" i="12"/>
  <c r="E548" i="12"/>
  <c r="A548" i="12"/>
  <c r="G547" i="12"/>
  <c r="C547" i="12"/>
  <c r="E546" i="12"/>
  <c r="A546" i="12"/>
  <c r="G545" i="12"/>
  <c r="C545" i="12"/>
  <c r="E544" i="12"/>
  <c r="A544" i="12"/>
  <c r="G543" i="12"/>
  <c r="C543" i="12"/>
  <c r="E542" i="12"/>
  <c r="A542" i="12"/>
  <c r="G541" i="12"/>
  <c r="C541" i="12"/>
  <c r="E540" i="12"/>
  <c r="A540" i="12"/>
  <c r="G539" i="12"/>
  <c r="C539" i="12"/>
  <c r="E538" i="12"/>
  <c r="A538" i="12"/>
  <c r="G537" i="12"/>
  <c r="C537" i="12"/>
  <c r="E536" i="12"/>
  <c r="A536" i="12"/>
  <c r="G535" i="12"/>
  <c r="C535" i="12"/>
  <c r="E534" i="12"/>
  <c r="A534" i="12"/>
  <c r="G533" i="12"/>
  <c r="C533" i="12"/>
  <c r="E532" i="12"/>
  <c r="A532" i="12"/>
  <c r="G531" i="12"/>
  <c r="C531" i="12"/>
  <c r="E530" i="12"/>
  <c r="A530" i="12"/>
  <c r="G529" i="12"/>
  <c r="C529" i="12"/>
  <c r="E528" i="12"/>
  <c r="A528" i="12"/>
  <c r="G527" i="12"/>
  <c r="C527" i="12"/>
  <c r="E526" i="12"/>
  <c r="A526" i="12"/>
  <c r="G525" i="12"/>
  <c r="C525" i="12"/>
  <c r="E524" i="12"/>
  <c r="A524" i="12"/>
  <c r="G523" i="12"/>
  <c r="C523" i="12"/>
  <c r="E522" i="12"/>
  <c r="A522" i="12"/>
  <c r="G521" i="12"/>
  <c r="C521" i="12"/>
  <c r="E520" i="12"/>
  <c r="A520" i="12"/>
  <c r="G519" i="12"/>
  <c r="C519" i="12"/>
  <c r="E518" i="12"/>
  <c r="A518" i="12"/>
  <c r="G517" i="12"/>
  <c r="C517" i="12"/>
  <c r="E516" i="12"/>
  <c r="A516" i="12"/>
  <c r="G515" i="12"/>
  <c r="C515" i="12"/>
  <c r="E514" i="12"/>
  <c r="A514" i="12"/>
  <c r="G513" i="12"/>
  <c r="C513" i="12"/>
  <c r="E512" i="12"/>
  <c r="A512" i="12"/>
  <c r="G511" i="12"/>
  <c r="C511" i="12"/>
  <c r="E510" i="12"/>
  <c r="A510" i="12"/>
  <c r="G509" i="12"/>
  <c r="C509" i="12"/>
  <c r="E508" i="12"/>
  <c r="A508" i="12"/>
  <c r="G507" i="12"/>
  <c r="C507" i="12"/>
  <c r="E506" i="12"/>
  <c r="A506" i="12"/>
  <c r="G505" i="12"/>
  <c r="C505" i="12"/>
  <c r="E504" i="12"/>
  <c r="A504" i="12"/>
  <c r="G503" i="12"/>
  <c r="C503" i="12"/>
  <c r="E502" i="12"/>
  <c r="A502" i="12"/>
  <c r="G501" i="12"/>
  <c r="C501" i="12"/>
  <c r="E500" i="12"/>
  <c r="A500" i="12"/>
  <c r="G499" i="12"/>
  <c r="C499" i="12"/>
  <c r="E498" i="12"/>
  <c r="A498" i="12"/>
  <c r="G497" i="12"/>
  <c r="C497" i="12"/>
  <c r="E496" i="12"/>
  <c r="A496" i="12"/>
  <c r="G495" i="12"/>
  <c r="C495" i="12"/>
  <c r="E494" i="12"/>
  <c r="A494" i="12"/>
  <c r="G493" i="12"/>
  <c r="C493" i="12"/>
  <c r="E492" i="12"/>
  <c r="A492" i="12"/>
  <c r="G491" i="12"/>
  <c r="C491" i="12"/>
  <c r="E490" i="12"/>
  <c r="A490" i="12"/>
  <c r="G489" i="12"/>
  <c r="C489" i="12"/>
  <c r="E488" i="12"/>
  <c r="A488" i="12"/>
  <c r="G487" i="12"/>
  <c r="C487" i="12"/>
  <c r="E486" i="12"/>
  <c r="A486" i="12"/>
  <c r="G485" i="12"/>
  <c r="C485" i="12"/>
  <c r="E484" i="12"/>
  <c r="A484" i="12"/>
  <c r="G483" i="12"/>
  <c r="C483" i="12"/>
  <c r="E482" i="12"/>
  <c r="A482" i="12"/>
  <c r="G481" i="12"/>
  <c r="C481" i="12"/>
  <c r="E480" i="12"/>
  <c r="A480" i="12"/>
  <c r="G479" i="12"/>
  <c r="C479" i="12"/>
  <c r="E478" i="12"/>
  <c r="A478" i="12"/>
  <c r="G477" i="12"/>
  <c r="C477" i="12"/>
  <c r="E476" i="12"/>
  <c r="A476" i="12"/>
  <c r="G475" i="12"/>
  <c r="C475" i="12"/>
  <c r="E474" i="12"/>
  <c r="A474" i="12"/>
  <c r="G473" i="12"/>
  <c r="C473" i="12"/>
  <c r="E472" i="12"/>
  <c r="A472" i="12"/>
  <c r="G471" i="12"/>
  <c r="C471" i="12"/>
  <c r="E470" i="12"/>
  <c r="A470" i="12"/>
  <c r="G469" i="12"/>
  <c r="C469" i="12"/>
  <c r="E468" i="12"/>
  <c r="A468" i="12"/>
  <c r="G467" i="12"/>
  <c r="C467" i="12"/>
  <c r="E466" i="12"/>
  <c r="A466" i="12"/>
  <c r="G465" i="12"/>
  <c r="C465" i="12"/>
  <c r="E464" i="12"/>
  <c r="A464" i="12"/>
  <c r="G463" i="12"/>
  <c r="C463" i="12"/>
  <c r="E462" i="12"/>
  <c r="A462" i="12"/>
  <c r="G461" i="12"/>
  <c r="C461" i="12"/>
  <c r="E460" i="12"/>
  <c r="A460" i="12"/>
  <c r="G459" i="12"/>
  <c r="C459" i="12"/>
  <c r="E458" i="12"/>
  <c r="A458" i="12"/>
  <c r="G457" i="12"/>
  <c r="C457" i="12"/>
  <c r="E456" i="12"/>
  <c r="A456" i="12"/>
  <c r="G455" i="12"/>
  <c r="C455" i="12"/>
  <c r="E454" i="12"/>
  <c r="A454" i="12"/>
  <c r="G453" i="12"/>
  <c r="C453" i="12"/>
  <c r="E452" i="12"/>
  <c r="A452" i="12"/>
  <c r="G451" i="12"/>
  <c r="C451" i="12"/>
  <c r="E450" i="12"/>
  <c r="A450" i="12"/>
  <c r="G449" i="12"/>
  <c r="C449" i="12"/>
  <c r="E448" i="12"/>
  <c r="A448" i="12"/>
  <c r="G447" i="12"/>
  <c r="C447" i="12"/>
  <c r="E446" i="12"/>
  <c r="A446" i="12"/>
  <c r="G445" i="12"/>
  <c r="C445" i="12"/>
  <c r="E444" i="12"/>
  <c r="A444" i="12"/>
  <c r="G443" i="12"/>
  <c r="C443" i="12"/>
  <c r="E442" i="12"/>
  <c r="A442" i="12"/>
  <c r="G441" i="12"/>
  <c r="C441" i="12"/>
  <c r="E440" i="12"/>
  <c r="A440" i="12"/>
  <c r="G439" i="12"/>
  <c r="C439" i="12"/>
  <c r="E438" i="12"/>
  <c r="A438" i="12"/>
  <c r="G437" i="12"/>
  <c r="C437" i="12"/>
  <c r="E436" i="12"/>
  <c r="A436" i="12"/>
  <c r="G435" i="12"/>
  <c r="C435" i="12"/>
  <c r="E434" i="12"/>
  <c r="A434" i="12"/>
  <c r="G433" i="12"/>
  <c r="C433" i="12"/>
  <c r="E432" i="12"/>
  <c r="A432" i="12"/>
  <c r="G431" i="12"/>
  <c r="C431" i="12"/>
  <c r="E430" i="12"/>
  <c r="A430" i="12"/>
  <c r="G429" i="12"/>
  <c r="C429" i="12"/>
  <c r="E428" i="12"/>
  <c r="A428" i="12"/>
  <c r="G427" i="12"/>
  <c r="C427" i="12"/>
  <c r="E426" i="12"/>
  <c r="A426" i="12"/>
  <c r="G425" i="12"/>
  <c r="C425" i="12"/>
  <c r="E424" i="12"/>
  <c r="A424" i="12"/>
  <c r="G423" i="12"/>
  <c r="C423" i="12"/>
  <c r="E422" i="12"/>
  <c r="A422" i="12"/>
  <c r="G421" i="12"/>
  <c r="C421" i="12"/>
  <c r="E420" i="12"/>
  <c r="A420" i="12"/>
  <c r="G419" i="12"/>
  <c r="C419" i="12"/>
  <c r="E418" i="12"/>
  <c r="A418" i="12"/>
  <c r="G417" i="12"/>
  <c r="C417" i="12"/>
  <c r="E416" i="12"/>
  <c r="A416" i="12"/>
  <c r="G415" i="12"/>
  <c r="C415" i="12"/>
  <c r="E414" i="12"/>
  <c r="A414" i="12"/>
  <c r="G413" i="12"/>
  <c r="C413" i="12"/>
  <c r="E412" i="12"/>
  <c r="A412" i="12"/>
  <c r="G411" i="12"/>
  <c r="C411" i="12"/>
  <c r="E410" i="12"/>
  <c r="A410" i="12"/>
  <c r="G409" i="12"/>
  <c r="C409" i="12"/>
  <c r="E408" i="12"/>
  <c r="A408" i="12"/>
  <c r="G407" i="12"/>
  <c r="C407" i="12"/>
  <c r="E406" i="12"/>
  <c r="A406" i="12"/>
  <c r="G405" i="12"/>
  <c r="C405" i="12"/>
  <c r="E404" i="12"/>
  <c r="A404" i="12"/>
  <c r="G403" i="12"/>
  <c r="C403" i="12"/>
  <c r="E402" i="12"/>
  <c r="A402" i="12"/>
  <c r="G401" i="12"/>
  <c r="C401" i="12"/>
  <c r="E400" i="12"/>
  <c r="A400" i="12"/>
  <c r="G399" i="12"/>
  <c r="C399" i="12"/>
  <c r="E398" i="12"/>
  <c r="A398" i="12"/>
  <c r="G397" i="12"/>
  <c r="C397" i="12"/>
  <c r="E396" i="12"/>
  <c r="A396" i="12"/>
  <c r="G395" i="12"/>
  <c r="C395" i="12"/>
  <c r="E394" i="12"/>
  <c r="A394" i="12"/>
  <c r="G393" i="12"/>
  <c r="C393" i="12"/>
  <c r="E392" i="12"/>
  <c r="A392" i="12"/>
  <c r="G391" i="12"/>
  <c r="C391" i="12"/>
  <c r="E390" i="12"/>
  <c r="A390" i="12"/>
  <c r="G389" i="12"/>
  <c r="C389" i="12"/>
  <c r="E388" i="12"/>
  <c r="A388" i="12"/>
  <c r="G387" i="12"/>
  <c r="C387" i="12"/>
  <c r="E386" i="12"/>
  <c r="A386" i="12"/>
  <c r="G385" i="12"/>
  <c r="C385" i="12"/>
  <c r="E384" i="12"/>
  <c r="A384" i="12"/>
  <c r="G383" i="12"/>
  <c r="C383" i="12"/>
  <c r="E382" i="12"/>
  <c r="A382" i="12"/>
  <c r="G381" i="12"/>
  <c r="C381" i="12"/>
  <c r="E380" i="12"/>
  <c r="A380" i="12"/>
  <c r="G379" i="12"/>
  <c r="C379" i="12"/>
  <c r="E378" i="12"/>
  <c r="A378" i="12"/>
  <c r="G377" i="12"/>
  <c r="C377" i="12"/>
  <c r="E376" i="12"/>
  <c r="A376" i="12"/>
  <c r="G375" i="12"/>
  <c r="C375" i="12"/>
  <c r="E374" i="12"/>
  <c r="A374" i="12"/>
  <c r="G373" i="12"/>
  <c r="C373" i="12"/>
  <c r="E372" i="12"/>
  <c r="A372" i="12"/>
  <c r="G371" i="12"/>
  <c r="C371" i="12"/>
  <c r="E370" i="12"/>
  <c r="A370" i="12"/>
  <c r="G369" i="12"/>
  <c r="C369" i="12"/>
  <c r="E368" i="12"/>
  <c r="A368" i="12"/>
  <c r="G367" i="12"/>
  <c r="C367" i="12"/>
  <c r="E366" i="12"/>
  <c r="A366" i="12"/>
  <c r="G365" i="12"/>
  <c r="C365" i="12"/>
  <c r="E364" i="12"/>
  <c r="A364" i="12"/>
  <c r="G363" i="12"/>
  <c r="C363" i="12"/>
  <c r="E362" i="12"/>
  <c r="A362" i="12"/>
  <c r="G361" i="12"/>
  <c r="C361" i="12"/>
  <c r="E360" i="12"/>
  <c r="A360" i="12"/>
  <c r="G359" i="12"/>
  <c r="C359" i="12"/>
  <c r="E358" i="12"/>
  <c r="A358" i="12"/>
  <c r="G357" i="12"/>
  <c r="C357" i="12"/>
  <c r="E356" i="12"/>
  <c r="A356" i="12"/>
  <c r="G355" i="12"/>
  <c r="C355" i="12"/>
  <c r="E354" i="12"/>
  <c r="A354" i="12"/>
  <c r="G353" i="12"/>
  <c r="C353" i="12"/>
  <c r="E352" i="12"/>
  <c r="A352" i="12"/>
  <c r="G351" i="12"/>
  <c r="C351" i="12"/>
  <c r="E350" i="12"/>
  <c r="A350" i="12"/>
  <c r="G349" i="12"/>
  <c r="C349" i="12"/>
  <c r="E348" i="12"/>
  <c r="A348" i="12"/>
  <c r="G347" i="12"/>
  <c r="C347" i="12"/>
  <c r="E346" i="12"/>
  <c r="A346" i="12"/>
  <c r="G345" i="12"/>
  <c r="C345" i="12"/>
  <c r="E344" i="12"/>
  <c r="A344" i="12"/>
  <c r="G343" i="12"/>
  <c r="C343" i="12"/>
  <c r="E342" i="12"/>
  <c r="A342" i="12"/>
  <c r="G341" i="12"/>
  <c r="C341" i="12"/>
  <c r="E340" i="12"/>
  <c r="A340" i="12"/>
  <c r="G339" i="12"/>
  <c r="B2315" i="12"/>
  <c r="A2082" i="12"/>
  <c r="C2046" i="12"/>
  <c r="B2012" i="12"/>
  <c r="B1817" i="12"/>
  <c r="A1801" i="12"/>
  <c r="A1785" i="12"/>
  <c r="A1769" i="12"/>
  <c r="B1623" i="12"/>
  <c r="A1616" i="12"/>
  <c r="G1587" i="12"/>
  <c r="D1573" i="12"/>
  <c r="C1566" i="12"/>
  <c r="B1559" i="12"/>
  <c r="A1552" i="12"/>
  <c r="G1523" i="12"/>
  <c r="D1509" i="12"/>
  <c r="C1502" i="12"/>
  <c r="B1495" i="12"/>
  <c r="A1488" i="12"/>
  <c r="A1474" i="12"/>
  <c r="G1467" i="12"/>
  <c r="C1461" i="12"/>
  <c r="E1448" i="12"/>
  <c r="A1442" i="12"/>
  <c r="A1438" i="12"/>
  <c r="G1431" i="12"/>
  <c r="E1428" i="12"/>
  <c r="A1426" i="12"/>
  <c r="G1419" i="12"/>
  <c r="D1416" i="12"/>
  <c r="B1413" i="12"/>
  <c r="D1408" i="12"/>
  <c r="B1405" i="12"/>
  <c r="D1400" i="12"/>
  <c r="B1397" i="12"/>
  <c r="D1392" i="12"/>
  <c r="B1389" i="12"/>
  <c r="D1384" i="12"/>
  <c r="B1381" i="12"/>
  <c r="D1376" i="12"/>
  <c r="B1373" i="12"/>
  <c r="D1368" i="12"/>
  <c r="B1365" i="12"/>
  <c r="D1360" i="12"/>
  <c r="B1357" i="12"/>
  <c r="D1352" i="12"/>
  <c r="B1349" i="12"/>
  <c r="D1344" i="12"/>
  <c r="B1341" i="12"/>
  <c r="D1336" i="12"/>
  <c r="B1333" i="12"/>
  <c r="D1328" i="12"/>
  <c r="B1325" i="12"/>
  <c r="D1320" i="12"/>
  <c r="B1317" i="12"/>
  <c r="D1312" i="12"/>
  <c r="B1309" i="12"/>
  <c r="B1304" i="12"/>
  <c r="D1302" i="12"/>
  <c r="G1300" i="12"/>
  <c r="A1297" i="12"/>
  <c r="C1295" i="12"/>
  <c r="B1288" i="12"/>
  <c r="D1286" i="12"/>
  <c r="G1284" i="12"/>
  <c r="A1281" i="12"/>
  <c r="C1279" i="12"/>
  <c r="B1272" i="12"/>
  <c r="D1270" i="12"/>
  <c r="G1268" i="12"/>
  <c r="A1265" i="12"/>
  <c r="C1263" i="12"/>
  <c r="B1256" i="12"/>
  <c r="D1254" i="12"/>
  <c r="G1252" i="12"/>
  <c r="A1249" i="12"/>
  <c r="C1247" i="12"/>
  <c r="B1240" i="12"/>
  <c r="D1238" i="12"/>
  <c r="G1236" i="12"/>
  <c r="A1233" i="12"/>
  <c r="C1231" i="12"/>
  <c r="B1224" i="12"/>
  <c r="D1222" i="12"/>
  <c r="G1220" i="12"/>
  <c r="A1217" i="12"/>
  <c r="C1215" i="12"/>
  <c r="B1208" i="12"/>
  <c r="D1206" i="12"/>
  <c r="G1204" i="12"/>
  <c r="A1201" i="12"/>
  <c r="C1199" i="12"/>
  <c r="B1192" i="12"/>
  <c r="D1190" i="12"/>
  <c r="G1188" i="12"/>
  <c r="A1185" i="12"/>
  <c r="C1183" i="12"/>
  <c r="B1176" i="12"/>
  <c r="D1174" i="12"/>
  <c r="G1172" i="12"/>
  <c r="A1169" i="12"/>
  <c r="C1167" i="12"/>
  <c r="B1160" i="12"/>
  <c r="D1158" i="12"/>
  <c r="G1156" i="12"/>
  <c r="A1153" i="12"/>
  <c r="C1151" i="12"/>
  <c r="B1144" i="12"/>
  <c r="D1142" i="12"/>
  <c r="G1140" i="12"/>
  <c r="A1137" i="12"/>
  <c r="C1135" i="12"/>
  <c r="B1128" i="12"/>
  <c r="D1126" i="12"/>
  <c r="G1124" i="12"/>
  <c r="A1121" i="12"/>
  <c r="C1119" i="12"/>
  <c r="B1112" i="12"/>
  <c r="D1110" i="12"/>
  <c r="G1108" i="12"/>
  <c r="A1105" i="12"/>
  <c r="C1103" i="12"/>
  <c r="B1096" i="12"/>
  <c r="D1094" i="12"/>
  <c r="G1092" i="12"/>
  <c r="A1089" i="12"/>
  <c r="C1087" i="12"/>
  <c r="B1080" i="12"/>
  <c r="D1078" i="12"/>
  <c r="G1076" i="12"/>
  <c r="A1073" i="12"/>
  <c r="C1071" i="12"/>
  <c r="B1064" i="12"/>
  <c r="D1062" i="12"/>
  <c r="G1060" i="12"/>
  <c r="A1057" i="12"/>
  <c r="C1055" i="12"/>
  <c r="B1048" i="12"/>
  <c r="D1046" i="12"/>
  <c r="G1044" i="12"/>
  <c r="A1041" i="12"/>
  <c r="C1039" i="12"/>
  <c r="B1032" i="12"/>
  <c r="D1030" i="12"/>
  <c r="G1028" i="12"/>
  <c r="A1025" i="12"/>
  <c r="C1023" i="12"/>
  <c r="B1016" i="12"/>
  <c r="D1014" i="12"/>
  <c r="G1012" i="12"/>
  <c r="A1009" i="12"/>
  <c r="C1007" i="12"/>
  <c r="B1000" i="12"/>
  <c r="D998" i="12"/>
  <c r="G996" i="12"/>
  <c r="A993" i="12"/>
  <c r="C991" i="12"/>
  <c r="B984" i="12"/>
  <c r="D982" i="12"/>
  <c r="G980" i="12"/>
  <c r="A977" i="12"/>
  <c r="C975" i="12"/>
  <c r="B968" i="12"/>
  <c r="D966" i="12"/>
  <c r="G964" i="12"/>
  <c r="A961" i="12"/>
  <c r="C959" i="12"/>
  <c r="B952" i="12"/>
  <c r="D950" i="12"/>
  <c r="G948" i="12"/>
  <c r="A945" i="12"/>
  <c r="C943" i="12"/>
  <c r="B936" i="12"/>
  <c r="D934" i="12"/>
  <c r="G932" i="12"/>
  <c r="A929" i="12"/>
  <c r="C927" i="12"/>
  <c r="B920" i="12"/>
  <c r="D918" i="12"/>
  <c r="G916" i="12"/>
  <c r="A913" i="12"/>
  <c r="C911" i="12"/>
  <c r="B904" i="12"/>
  <c r="D902" i="12"/>
  <c r="G900" i="12"/>
  <c r="A897" i="12"/>
  <c r="C895" i="12"/>
  <c r="B888" i="12"/>
  <c r="D886" i="12"/>
  <c r="G884" i="12"/>
  <c r="A881" i="12"/>
  <c r="C879" i="12"/>
  <c r="B872" i="12"/>
  <c r="D870" i="12"/>
  <c r="G868" i="12"/>
  <c r="A865" i="12"/>
  <c r="C863" i="12"/>
  <c r="B856" i="12"/>
  <c r="D854" i="12"/>
  <c r="G852" i="12"/>
  <c r="A849" i="12"/>
  <c r="C847" i="12"/>
  <c r="B840" i="12"/>
  <c r="D838" i="12"/>
  <c r="G836" i="12"/>
  <c r="A833" i="12"/>
  <c r="C831" i="12"/>
  <c r="B824" i="12"/>
  <c r="D822" i="12"/>
  <c r="G820" i="12"/>
  <c r="A817" i="12"/>
  <c r="A816" i="12"/>
  <c r="G815" i="12"/>
  <c r="B815" i="12"/>
  <c r="C814" i="12"/>
  <c r="D813" i="12"/>
  <c r="A812" i="12"/>
  <c r="G811" i="12"/>
  <c r="B811" i="12"/>
  <c r="C810" i="12"/>
  <c r="D809" i="12"/>
  <c r="A808" i="12"/>
  <c r="G807" i="12"/>
  <c r="B807" i="12"/>
  <c r="C806" i="12"/>
  <c r="D805" i="12"/>
  <c r="A804" i="12"/>
  <c r="G803" i="12"/>
  <c r="B803" i="12"/>
  <c r="C802" i="12"/>
  <c r="D801" i="12"/>
  <c r="A800" i="12"/>
  <c r="G799" i="12"/>
  <c r="B799" i="12"/>
  <c r="C798" i="12"/>
  <c r="D797" i="12"/>
  <c r="A796" i="12"/>
  <c r="G795" i="12"/>
  <c r="B795" i="12"/>
  <c r="C794" i="12"/>
  <c r="D793" i="12"/>
  <c r="A792" i="12"/>
  <c r="G791" i="12"/>
  <c r="B791" i="12"/>
  <c r="C790" i="12"/>
  <c r="D789" i="12"/>
  <c r="A788" i="12"/>
  <c r="G787" i="12"/>
  <c r="B787" i="12"/>
  <c r="C786" i="12"/>
  <c r="D785" i="12"/>
  <c r="A784" i="12"/>
  <c r="G783" i="12"/>
  <c r="B783" i="12"/>
  <c r="C782" i="12"/>
  <c r="D781" i="12"/>
  <c r="A780" i="12"/>
  <c r="G779" i="12"/>
  <c r="B779" i="12"/>
  <c r="C778" i="12"/>
  <c r="D777" i="12"/>
  <c r="A776" i="12"/>
  <c r="G775" i="12"/>
  <c r="B775" i="12"/>
  <c r="C774" i="12"/>
  <c r="D773" i="12"/>
  <c r="A772" i="12"/>
  <c r="G771" i="12"/>
  <c r="B771" i="12"/>
  <c r="C770" i="12"/>
  <c r="D769" i="12"/>
  <c r="A768" i="12"/>
  <c r="G767" i="12"/>
  <c r="B767" i="12"/>
  <c r="C766" i="12"/>
  <c r="D765" i="12"/>
  <c r="A764" i="12"/>
  <c r="G763" i="12"/>
  <c r="B763" i="12"/>
  <c r="C762" i="12"/>
  <c r="D761" i="12"/>
  <c r="A760" i="12"/>
  <c r="G759" i="12"/>
  <c r="B759" i="12"/>
  <c r="C758" i="12"/>
  <c r="D757" i="12"/>
  <c r="A756" i="12"/>
  <c r="G755" i="12"/>
  <c r="B755" i="12"/>
  <c r="C754" i="12"/>
  <c r="D753" i="12"/>
  <c r="A752" i="12"/>
  <c r="G751" i="12"/>
  <c r="B751" i="12"/>
  <c r="C750" i="12"/>
  <c r="D749" i="12"/>
  <c r="A748" i="12"/>
  <c r="G747" i="12"/>
  <c r="B747" i="12"/>
  <c r="C746" i="12"/>
  <c r="D745" i="12"/>
  <c r="A744" i="12"/>
  <c r="G743" i="12"/>
  <c r="B743" i="12"/>
  <c r="C742" i="12"/>
  <c r="D741" i="12"/>
  <c r="A740" i="12"/>
  <c r="G739" i="12"/>
  <c r="B739" i="12"/>
  <c r="C738" i="12"/>
  <c r="D737" i="12"/>
  <c r="A736" i="12"/>
  <c r="G735" i="12"/>
  <c r="B735" i="12"/>
  <c r="C734" i="12"/>
  <c r="D733" i="12"/>
  <c r="A732" i="12"/>
  <c r="G731" i="12"/>
  <c r="B731" i="12"/>
  <c r="C730" i="12"/>
  <c r="D729" i="12"/>
  <c r="A728" i="12"/>
  <c r="G727" i="12"/>
  <c r="B727" i="12"/>
  <c r="C726" i="12"/>
  <c r="D725" i="12"/>
  <c r="A724" i="12"/>
  <c r="G723" i="12"/>
  <c r="B723" i="12"/>
  <c r="C722" i="12"/>
  <c r="D721" i="12"/>
  <c r="A720" i="12"/>
  <c r="G719" i="12"/>
  <c r="C719" i="12"/>
  <c r="E718" i="12"/>
  <c r="A718" i="12"/>
  <c r="G717" i="12"/>
  <c r="C717" i="12"/>
  <c r="E716" i="12"/>
  <c r="A716" i="12"/>
  <c r="G715" i="12"/>
  <c r="C715" i="12"/>
  <c r="E714" i="12"/>
  <c r="A714" i="12"/>
  <c r="G713" i="12"/>
  <c r="C713" i="12"/>
  <c r="E712" i="12"/>
  <c r="A712" i="12"/>
  <c r="G711" i="12"/>
  <c r="B711" i="12"/>
  <c r="D710" i="12"/>
  <c r="B709" i="12"/>
  <c r="D708" i="12"/>
  <c r="B707" i="12"/>
  <c r="D706" i="12"/>
  <c r="B705" i="12"/>
  <c r="D704" i="12"/>
  <c r="B703" i="12"/>
  <c r="D702" i="12"/>
  <c r="B701" i="12"/>
  <c r="D700" i="12"/>
  <c r="B699" i="12"/>
  <c r="D698" i="12"/>
  <c r="B697" i="12"/>
  <c r="D696" i="12"/>
  <c r="B695" i="12"/>
  <c r="D694" i="12"/>
  <c r="B693" i="12"/>
  <c r="D692" i="12"/>
  <c r="B691" i="12"/>
  <c r="D690" i="12"/>
  <c r="B689" i="12"/>
  <c r="D688" i="12"/>
  <c r="B687" i="12"/>
  <c r="D686" i="12"/>
  <c r="B685" i="12"/>
  <c r="D684" i="12"/>
  <c r="B683" i="12"/>
  <c r="D682" i="12"/>
  <c r="B681" i="12"/>
  <c r="D680" i="12"/>
  <c r="B679" i="12"/>
  <c r="D678" i="12"/>
  <c r="B677" i="12"/>
  <c r="D676" i="12"/>
  <c r="B675" i="12"/>
  <c r="D674" i="12"/>
  <c r="B673" i="12"/>
  <c r="D672" i="12"/>
  <c r="B671" i="12"/>
  <c r="D670" i="12"/>
  <c r="B669" i="12"/>
  <c r="D668" i="12"/>
  <c r="B667" i="12"/>
  <c r="D666" i="12"/>
  <c r="B665" i="12"/>
  <c r="D664" i="12"/>
  <c r="B663" i="12"/>
  <c r="D662" i="12"/>
  <c r="B661" i="12"/>
  <c r="D660" i="12"/>
  <c r="B659" i="12"/>
  <c r="D658" i="12"/>
  <c r="B657" i="12"/>
  <c r="D656" i="12"/>
  <c r="B655" i="12"/>
  <c r="D654" i="12"/>
  <c r="B653" i="12"/>
  <c r="D652" i="12"/>
  <c r="B651" i="12"/>
  <c r="D650" i="12"/>
  <c r="B649" i="12"/>
  <c r="D648" i="12"/>
  <c r="B647" i="12"/>
  <c r="D646" i="12"/>
  <c r="B645" i="12"/>
  <c r="D644" i="12"/>
  <c r="B643" i="12"/>
  <c r="D642" i="12"/>
  <c r="B641" i="12"/>
  <c r="D640" i="12"/>
  <c r="B639" i="12"/>
  <c r="D638" i="12"/>
  <c r="B637" i="12"/>
  <c r="D636" i="12"/>
  <c r="B635" i="12"/>
  <c r="D634" i="12"/>
  <c r="B633" i="12"/>
  <c r="D632" i="12"/>
  <c r="B631" i="12"/>
  <c r="D630" i="12"/>
  <c r="B629" i="12"/>
  <c r="D628" i="12"/>
  <c r="B627" i="12"/>
  <c r="D626" i="12"/>
  <c r="B625" i="12"/>
  <c r="D624" i="12"/>
  <c r="B623" i="12"/>
  <c r="D622" i="12"/>
  <c r="B621" i="12"/>
  <c r="D620" i="12"/>
  <c r="B619" i="12"/>
  <c r="D618" i="12"/>
  <c r="B617" i="12"/>
  <c r="D616" i="12"/>
  <c r="B615" i="12"/>
  <c r="D614" i="12"/>
  <c r="B613" i="12"/>
  <c r="D612" i="12"/>
  <c r="B611" i="12"/>
  <c r="D610" i="12"/>
  <c r="B609" i="12"/>
  <c r="D608" i="12"/>
  <c r="B607" i="12"/>
  <c r="D606" i="12"/>
  <c r="B605" i="12"/>
  <c r="D604" i="12"/>
  <c r="B603" i="12"/>
  <c r="D602" i="12"/>
  <c r="B601" i="12"/>
  <c r="D600" i="12"/>
  <c r="B599" i="12"/>
  <c r="D598" i="12"/>
  <c r="B597" i="12"/>
  <c r="D596" i="12"/>
  <c r="B595" i="12"/>
  <c r="D594" i="12"/>
  <c r="B593" i="12"/>
  <c r="D592" i="12"/>
  <c r="B591" i="12"/>
  <c r="D590" i="12"/>
  <c r="B589" i="12"/>
  <c r="D588" i="12"/>
  <c r="B587" i="12"/>
  <c r="D586" i="12"/>
  <c r="B585" i="12"/>
  <c r="D584" i="12"/>
  <c r="B583" i="12"/>
  <c r="D582" i="12"/>
  <c r="B581" i="12"/>
  <c r="D580" i="12"/>
  <c r="B579" i="12"/>
  <c r="D578" i="12"/>
  <c r="B577" i="12"/>
  <c r="D576" i="12"/>
  <c r="B575" i="12"/>
  <c r="D574" i="12"/>
  <c r="B573" i="12"/>
  <c r="D572" i="12"/>
  <c r="B571" i="12"/>
  <c r="D570" i="12"/>
  <c r="B569" i="12"/>
  <c r="D568" i="12"/>
  <c r="B567" i="12"/>
  <c r="D566" i="12"/>
  <c r="B565" i="12"/>
  <c r="D564" i="12"/>
  <c r="B563" i="12"/>
  <c r="D562" i="12"/>
  <c r="B561" i="12"/>
  <c r="D560" i="12"/>
  <c r="B559" i="12"/>
  <c r="D558" i="12"/>
  <c r="B557" i="12"/>
  <c r="D556" i="12"/>
  <c r="B555" i="12"/>
  <c r="D554" i="12"/>
  <c r="B553" i="12"/>
  <c r="D552" i="12"/>
  <c r="B551" i="12"/>
  <c r="D550" i="12"/>
  <c r="B549" i="12"/>
  <c r="D548" i="12"/>
  <c r="B547" i="12"/>
  <c r="D546" i="12"/>
  <c r="B545" i="12"/>
  <c r="D544" i="12"/>
  <c r="B543" i="12"/>
  <c r="D542" i="12"/>
  <c r="B541" i="12"/>
  <c r="D540" i="12"/>
  <c r="B539" i="12"/>
  <c r="D538" i="12"/>
  <c r="B537" i="12"/>
  <c r="D536" i="12"/>
  <c r="B535" i="12"/>
  <c r="D534" i="12"/>
  <c r="B533" i="12"/>
  <c r="D532" i="12"/>
  <c r="B531" i="12"/>
  <c r="D530" i="12"/>
  <c r="B529" i="12"/>
  <c r="D528" i="12"/>
  <c r="B527" i="12"/>
  <c r="D526" i="12"/>
  <c r="B525" i="12"/>
  <c r="D524" i="12"/>
  <c r="B523" i="12"/>
  <c r="D522" i="12"/>
  <c r="B521" i="12"/>
  <c r="D520" i="12"/>
  <c r="B519" i="12"/>
  <c r="D518" i="12"/>
  <c r="B517" i="12"/>
  <c r="D516" i="12"/>
  <c r="B515" i="12"/>
  <c r="D514" i="12"/>
  <c r="B513" i="12"/>
  <c r="D512" i="12"/>
  <c r="B511" i="12"/>
  <c r="D510" i="12"/>
  <c r="B509" i="12"/>
  <c r="D508" i="12"/>
  <c r="B507" i="12"/>
  <c r="D506" i="12"/>
  <c r="B505" i="12"/>
  <c r="D504" i="12"/>
  <c r="B503" i="12"/>
  <c r="D502" i="12"/>
  <c r="B501" i="12"/>
  <c r="D500" i="12"/>
  <c r="B499" i="12"/>
  <c r="D498" i="12"/>
  <c r="B497" i="12"/>
  <c r="D496" i="12"/>
  <c r="B495" i="12"/>
  <c r="D494" i="12"/>
  <c r="B493" i="12"/>
  <c r="D492" i="12"/>
  <c r="B491" i="12"/>
  <c r="D490" i="12"/>
  <c r="B489" i="12"/>
  <c r="D488" i="12"/>
  <c r="B487" i="12"/>
  <c r="D486" i="12"/>
  <c r="B485" i="12"/>
  <c r="D484" i="12"/>
  <c r="B483" i="12"/>
  <c r="D482" i="12"/>
  <c r="B481" i="12"/>
  <c r="D480" i="12"/>
  <c r="B479" i="12"/>
  <c r="D478" i="12"/>
  <c r="B477" i="12"/>
  <c r="D476" i="12"/>
  <c r="B475" i="12"/>
  <c r="D474" i="12"/>
  <c r="B473" i="12"/>
  <c r="D472" i="12"/>
  <c r="B471" i="12"/>
  <c r="D470" i="12"/>
  <c r="B469" i="12"/>
  <c r="D468" i="12"/>
  <c r="B467" i="12"/>
  <c r="D466" i="12"/>
  <c r="B465" i="12"/>
  <c r="D464" i="12"/>
  <c r="B463" i="12"/>
  <c r="D462" i="12"/>
  <c r="B461" i="12"/>
  <c r="D460" i="12"/>
  <c r="B459" i="12"/>
  <c r="D458" i="12"/>
  <c r="B457" i="12"/>
  <c r="D456" i="12"/>
  <c r="B455" i="12"/>
  <c r="D454" i="12"/>
  <c r="B453" i="12"/>
  <c r="D452" i="12"/>
  <c r="B451" i="12"/>
  <c r="D450" i="12"/>
  <c r="B449" i="12"/>
  <c r="D448" i="12"/>
  <c r="B447" i="12"/>
  <c r="D446" i="12"/>
  <c r="B445" i="12"/>
  <c r="D444" i="12"/>
  <c r="B443" i="12"/>
  <c r="D442" i="12"/>
  <c r="B441" i="12"/>
  <c r="D440" i="12"/>
  <c r="B439" i="12"/>
  <c r="D438" i="12"/>
  <c r="B437" i="12"/>
  <c r="D436" i="12"/>
  <c r="B435" i="12"/>
  <c r="D434" i="12"/>
  <c r="B433" i="12"/>
  <c r="D432" i="12"/>
  <c r="B431" i="12"/>
  <c r="D430" i="12"/>
  <c r="B429" i="12"/>
  <c r="D428" i="12"/>
  <c r="B427" i="12"/>
  <c r="D426" i="12"/>
  <c r="B425" i="12"/>
  <c r="D424" i="12"/>
  <c r="B423" i="12"/>
  <c r="D422" i="12"/>
  <c r="B421" i="12"/>
  <c r="D420" i="12"/>
  <c r="B419" i="12"/>
  <c r="D418" i="12"/>
  <c r="B417" i="12"/>
  <c r="D416" i="12"/>
  <c r="B415" i="12"/>
  <c r="D414" i="12"/>
  <c r="B413" i="12"/>
  <c r="D412" i="12"/>
  <c r="B411" i="12"/>
  <c r="D410" i="12"/>
  <c r="B409" i="12"/>
  <c r="D408" i="12"/>
  <c r="B407" i="12"/>
  <c r="D406" i="12"/>
  <c r="B405" i="12"/>
  <c r="D404" i="12"/>
  <c r="B403" i="12"/>
  <c r="D402" i="12"/>
  <c r="B401" i="12"/>
  <c r="D400" i="12"/>
  <c r="B399" i="12"/>
  <c r="D398" i="12"/>
  <c r="B397" i="12"/>
  <c r="D396" i="12"/>
  <c r="B395" i="12"/>
  <c r="D394" i="12"/>
  <c r="B393" i="12"/>
  <c r="D392" i="12"/>
  <c r="B391" i="12"/>
  <c r="D390" i="12"/>
  <c r="B389" i="12"/>
  <c r="D388" i="12"/>
  <c r="B387" i="12"/>
  <c r="D386" i="12"/>
  <c r="B385" i="12"/>
  <c r="D384" i="12"/>
  <c r="B383" i="12"/>
  <c r="D382" i="12"/>
  <c r="B381" i="12"/>
  <c r="D380" i="12"/>
  <c r="B379" i="12"/>
  <c r="D378" i="12"/>
  <c r="B377" i="12"/>
  <c r="D376" i="12"/>
  <c r="B375" i="12"/>
  <c r="D374" i="12"/>
  <c r="B373" i="12"/>
  <c r="D372" i="12"/>
  <c r="B371" i="12"/>
  <c r="D370" i="12"/>
  <c r="B369" i="12"/>
  <c r="D368" i="12"/>
  <c r="B367" i="12"/>
  <c r="D366" i="12"/>
  <c r="B365" i="12"/>
  <c r="D364" i="12"/>
  <c r="B363" i="12"/>
  <c r="D362" i="12"/>
  <c r="B361" i="12"/>
  <c r="D360" i="12"/>
  <c r="B359" i="12"/>
  <c r="D358" i="12"/>
  <c r="B357" i="12"/>
  <c r="D356" i="12"/>
  <c r="B355" i="12"/>
  <c r="D354" i="12"/>
  <c r="B353" i="12"/>
  <c r="D352" i="12"/>
  <c r="B351" i="12"/>
  <c r="D350" i="12"/>
  <c r="B349" i="12"/>
  <c r="D348" i="12"/>
  <c r="B347" i="12"/>
  <c r="D346" i="12"/>
  <c r="B345" i="12"/>
  <c r="D344" i="12"/>
  <c r="B343" i="12"/>
  <c r="D342" i="12"/>
  <c r="B341" i="12"/>
  <c r="D340" i="12"/>
  <c r="B339" i="12"/>
  <c r="D338" i="12"/>
  <c r="B337" i="12"/>
  <c r="D336" i="12"/>
  <c r="B335" i="12"/>
  <c r="D419" i="12"/>
  <c r="B416" i="12"/>
  <c r="D411" i="12"/>
  <c r="B408" i="12"/>
  <c r="D403" i="12"/>
  <c r="B400" i="12"/>
  <c r="D395" i="12"/>
  <c r="B392" i="12"/>
  <c r="D387" i="12"/>
  <c r="B384" i="12"/>
  <c r="D379" i="12"/>
  <c r="B376" i="12"/>
  <c r="D371" i="12"/>
  <c r="B368" i="12"/>
  <c r="D363" i="12"/>
  <c r="B360" i="12"/>
  <c r="D355" i="12"/>
  <c r="B352" i="12"/>
  <c r="B346" i="12"/>
  <c r="D345" i="12"/>
  <c r="B342" i="12"/>
  <c r="D341" i="12"/>
  <c r="A339" i="12"/>
  <c r="A338" i="12"/>
  <c r="E337" i="12"/>
  <c r="E336" i="12"/>
  <c r="D335" i="12"/>
  <c r="E334" i="12"/>
  <c r="A334" i="12"/>
  <c r="G333" i="12"/>
  <c r="C333" i="12"/>
  <c r="E332" i="12"/>
  <c r="A332" i="12"/>
  <c r="G331" i="12"/>
  <c r="C331" i="12"/>
  <c r="E330" i="12"/>
  <c r="A330" i="12"/>
  <c r="G329" i="12"/>
  <c r="C329" i="12"/>
  <c r="E328" i="12"/>
  <c r="A328" i="12"/>
  <c r="G327" i="12"/>
  <c r="C327" i="12"/>
  <c r="E326" i="12"/>
  <c r="A326" i="12"/>
  <c r="G325" i="12"/>
  <c r="C325" i="12"/>
  <c r="E324" i="12"/>
  <c r="A324" i="12"/>
  <c r="G323" i="12"/>
  <c r="C323" i="12"/>
  <c r="E322" i="12"/>
  <c r="A322" i="12"/>
  <c r="G321" i="12"/>
  <c r="C321" i="12"/>
  <c r="E320" i="12"/>
  <c r="A320" i="12"/>
  <c r="G319" i="12"/>
  <c r="C319" i="12"/>
  <c r="E318" i="12"/>
  <c r="A318" i="12"/>
  <c r="G317" i="12"/>
  <c r="C317" i="12"/>
  <c r="E316" i="12"/>
  <c r="A316" i="12"/>
  <c r="G315" i="12"/>
  <c r="C315" i="12"/>
  <c r="E314" i="12"/>
  <c r="A314" i="12"/>
  <c r="G313" i="12"/>
  <c r="C313" i="12"/>
  <c r="E312" i="12"/>
  <c r="A312" i="12"/>
  <c r="G311" i="12"/>
  <c r="C311" i="12"/>
  <c r="E310" i="12"/>
  <c r="A310" i="12"/>
  <c r="G309" i="12"/>
  <c r="C309" i="12"/>
  <c r="E308" i="12"/>
  <c r="A308" i="12"/>
  <c r="G307" i="12"/>
  <c r="C307" i="12"/>
  <c r="E306" i="12"/>
  <c r="A306" i="12"/>
  <c r="G305" i="12"/>
  <c r="C305" i="12"/>
  <c r="E304" i="12"/>
  <c r="A304" i="12"/>
  <c r="G303" i="12"/>
  <c r="C303" i="12"/>
  <c r="E302" i="12"/>
  <c r="A302" i="12"/>
  <c r="G301" i="12"/>
  <c r="C301" i="12"/>
  <c r="E300" i="12"/>
  <c r="A300" i="12"/>
  <c r="G299" i="12"/>
  <c r="C299" i="12"/>
  <c r="E298" i="12"/>
  <c r="A298" i="12"/>
  <c r="G297" i="12"/>
  <c r="C297" i="12"/>
  <c r="E296" i="12"/>
  <c r="A296" i="12"/>
  <c r="G295" i="12"/>
  <c r="C295" i="12"/>
  <c r="E294" i="12"/>
  <c r="A294" i="12"/>
  <c r="G293" i="12"/>
  <c r="C293" i="12"/>
  <c r="E292" i="12"/>
  <c r="A292" i="12"/>
  <c r="G291" i="12"/>
  <c r="C291" i="12"/>
  <c r="E290" i="12"/>
  <c r="A290" i="12"/>
  <c r="G289" i="12"/>
  <c r="C289" i="12"/>
  <c r="E288" i="12"/>
  <c r="A288" i="12"/>
  <c r="G287" i="12"/>
  <c r="C287" i="12"/>
  <c r="E286" i="12"/>
  <c r="A286" i="12"/>
  <c r="G285" i="12"/>
  <c r="C285" i="12"/>
  <c r="E284" i="12"/>
  <c r="A284" i="12"/>
  <c r="G283" i="12"/>
  <c r="C283" i="12"/>
  <c r="E282" i="12"/>
  <c r="A282" i="12"/>
  <c r="G281" i="12"/>
  <c r="C281" i="12"/>
  <c r="E280" i="12"/>
  <c r="A280" i="12"/>
  <c r="G279" i="12"/>
  <c r="C279" i="12"/>
  <c r="E278" i="12"/>
  <c r="A278" i="12"/>
  <c r="G277" i="12"/>
  <c r="C277" i="12"/>
  <c r="E276" i="12"/>
  <c r="A276" i="12"/>
  <c r="G275" i="12"/>
  <c r="C275" i="12"/>
  <c r="E274" i="12"/>
  <c r="A274" i="12"/>
  <c r="G273" i="12"/>
  <c r="C273" i="12"/>
  <c r="E272" i="12"/>
  <c r="A272" i="12"/>
  <c r="G271" i="12"/>
  <c r="C271" i="12"/>
  <c r="E270" i="12"/>
  <c r="A270" i="12"/>
  <c r="G269" i="12"/>
  <c r="C269" i="12"/>
  <c r="E268" i="12"/>
  <c r="A268" i="12"/>
  <c r="G267" i="12"/>
  <c r="C267" i="12"/>
  <c r="E266" i="12"/>
  <c r="A266" i="12"/>
  <c r="G265" i="12"/>
  <c r="C265" i="12"/>
  <c r="E264" i="12"/>
  <c r="A264" i="12"/>
  <c r="G263" i="12"/>
  <c r="C263" i="12"/>
  <c r="E262" i="12"/>
  <c r="A262" i="12"/>
  <c r="G261" i="12"/>
  <c r="C261" i="12"/>
  <c r="E260" i="12"/>
  <c r="A260" i="12"/>
  <c r="G259" i="12"/>
  <c r="C259" i="12"/>
  <c r="E258" i="12"/>
  <c r="A258" i="12"/>
  <c r="G257" i="12"/>
  <c r="C257" i="12"/>
  <c r="E256" i="12"/>
  <c r="A256" i="12"/>
  <c r="G255" i="12"/>
  <c r="C255" i="12"/>
  <c r="E254" i="12"/>
  <c r="A254" i="12"/>
  <c r="G253" i="12"/>
  <c r="C253" i="12"/>
  <c r="E252" i="12"/>
  <c r="A252" i="12"/>
  <c r="G251" i="12"/>
  <c r="C251" i="12"/>
  <c r="E250" i="12"/>
  <c r="A250" i="12"/>
  <c r="G249" i="12"/>
  <c r="C249" i="12"/>
  <c r="E248" i="12"/>
  <c r="A248" i="12"/>
  <c r="G247" i="12"/>
  <c r="C247" i="12"/>
  <c r="E246" i="12"/>
  <c r="A246" i="12"/>
  <c r="G245" i="12"/>
  <c r="C245" i="12"/>
  <c r="E244" i="12"/>
  <c r="A244" i="12"/>
  <c r="G243" i="12"/>
  <c r="C243" i="12"/>
  <c r="E242" i="12"/>
  <c r="A242" i="12"/>
  <c r="G241" i="12"/>
  <c r="C241" i="12"/>
  <c r="E240" i="12"/>
  <c r="A240" i="12"/>
  <c r="G239" i="12"/>
  <c r="C239" i="12"/>
  <c r="E238" i="12"/>
  <c r="A238" i="12"/>
  <c r="G237" i="12"/>
  <c r="C237" i="12"/>
  <c r="E236" i="12"/>
  <c r="A236" i="12"/>
  <c r="G235" i="12"/>
  <c r="C235" i="12"/>
  <c r="E234" i="12"/>
  <c r="A234" i="12"/>
  <c r="G233" i="12"/>
  <c r="C233" i="12"/>
  <c r="E232" i="12"/>
  <c r="A232" i="12"/>
  <c r="G231" i="12"/>
  <c r="C231" i="12"/>
  <c r="E230" i="12"/>
  <c r="A230" i="12"/>
  <c r="G229" i="12"/>
  <c r="C229" i="12"/>
  <c r="E228" i="12"/>
  <c r="A228" i="12"/>
  <c r="G227" i="12"/>
  <c r="C227" i="12"/>
  <c r="E226" i="12"/>
  <c r="A226" i="12"/>
  <c r="G225" i="12"/>
  <c r="C225" i="12"/>
  <c r="E224" i="12"/>
  <c r="A224" i="12"/>
  <c r="G223" i="12"/>
  <c r="C223" i="12"/>
  <c r="E222" i="12"/>
  <c r="A222" i="12"/>
  <c r="G221" i="12"/>
  <c r="C221" i="12"/>
  <c r="E220" i="12"/>
  <c r="A220" i="12"/>
  <c r="G219" i="12"/>
  <c r="C219" i="12"/>
  <c r="E218" i="12"/>
  <c r="A218" i="12"/>
  <c r="G217" i="12"/>
  <c r="C217" i="12"/>
  <c r="E216" i="12"/>
  <c r="A216" i="12"/>
  <c r="G215" i="12"/>
  <c r="C215" i="12"/>
  <c r="E214" i="12"/>
  <c r="A214" i="12"/>
  <c r="G213" i="12"/>
  <c r="C213" i="12"/>
  <c r="D212" i="12"/>
  <c r="B211" i="12"/>
  <c r="D210" i="12"/>
  <c r="B209" i="12"/>
  <c r="D208" i="12"/>
  <c r="B207" i="12"/>
  <c r="D206" i="12"/>
  <c r="B205" i="12"/>
  <c r="D204" i="12"/>
  <c r="B203" i="12"/>
  <c r="D202" i="12"/>
  <c r="B201" i="12"/>
  <c r="D200" i="12"/>
  <c r="B199" i="12"/>
  <c r="D198" i="12"/>
  <c r="B197" i="12"/>
  <c r="D196" i="12"/>
  <c r="B195" i="12"/>
  <c r="D194" i="12"/>
  <c r="B193" i="12"/>
  <c r="D192" i="12"/>
  <c r="B191" i="12"/>
  <c r="D190" i="12"/>
  <c r="B189" i="12"/>
  <c r="D188" i="12"/>
  <c r="B187" i="12"/>
  <c r="D186" i="12"/>
  <c r="B185" i="12"/>
  <c r="D184" i="12"/>
  <c r="B183" i="12"/>
  <c r="D182" i="12"/>
  <c r="B181" i="12"/>
  <c r="D180" i="12"/>
  <c r="B179" i="12"/>
  <c r="D178" i="12"/>
  <c r="B177" i="12"/>
  <c r="D176" i="12"/>
  <c r="B175" i="12"/>
  <c r="D174" i="12"/>
  <c r="B173" i="12"/>
  <c r="D172" i="12"/>
  <c r="B171" i="12"/>
  <c r="D170" i="12"/>
  <c r="B169" i="12"/>
  <c r="D168" i="12"/>
  <c r="B167" i="12"/>
  <c r="D166" i="12"/>
  <c r="B165" i="12"/>
  <c r="D164" i="12"/>
  <c r="B163" i="12"/>
  <c r="D162" i="12"/>
  <c r="B161" i="12"/>
  <c r="D160" i="12"/>
  <c r="B159" i="12"/>
  <c r="D158" i="12"/>
  <c r="B157" i="12"/>
  <c r="D156" i="12"/>
  <c r="B155" i="12"/>
  <c r="D154" i="12"/>
  <c r="B153" i="12"/>
  <c r="D152" i="12"/>
  <c r="B151" i="12"/>
  <c r="D150" i="12"/>
  <c r="B149" i="12"/>
  <c r="D148" i="12"/>
  <c r="B147" i="12"/>
  <c r="D146" i="12"/>
  <c r="B145" i="12"/>
  <c r="D144" i="12"/>
  <c r="B143" i="12"/>
  <c r="D142" i="12"/>
  <c r="B141" i="12"/>
  <c r="D140" i="12"/>
  <c r="B139" i="12"/>
  <c r="D138" i="12"/>
  <c r="B137" i="12"/>
  <c r="D136" i="12"/>
  <c r="B135" i="12"/>
  <c r="D134" i="12"/>
  <c r="B133" i="12"/>
  <c r="D132" i="12"/>
  <c r="B131" i="12"/>
  <c r="D130" i="12"/>
  <c r="B129" i="12"/>
  <c r="D128" i="12"/>
  <c r="B127" i="12"/>
  <c r="D126" i="12"/>
  <c r="B125" i="12"/>
  <c r="D124" i="12"/>
  <c r="B123" i="12"/>
  <c r="D122" i="12"/>
  <c r="B121" i="12"/>
  <c r="D120" i="12"/>
  <c r="B119" i="12"/>
  <c r="D118" i="12"/>
  <c r="B117" i="12"/>
  <c r="D116" i="12"/>
  <c r="B115" i="12"/>
  <c r="D114" i="12"/>
  <c r="B113" i="12"/>
  <c r="D112" i="12"/>
  <c r="B111" i="12"/>
  <c r="D110" i="12"/>
  <c r="B109" i="12"/>
  <c r="D108" i="12"/>
  <c r="B107" i="12"/>
  <c r="D106" i="12"/>
  <c r="B105" i="12"/>
  <c r="D104" i="12"/>
  <c r="B103" i="12"/>
  <c r="D102" i="12"/>
  <c r="B101" i="12"/>
  <c r="D100" i="12"/>
  <c r="B99" i="12"/>
  <c r="D98" i="12"/>
  <c r="B97" i="12"/>
  <c r="D96" i="12"/>
  <c r="B95" i="12"/>
  <c r="D94" i="12"/>
  <c r="B93" i="12"/>
  <c r="D92" i="12"/>
  <c r="B91" i="12"/>
  <c r="D90" i="12"/>
  <c r="B89" i="12"/>
  <c r="D88" i="12"/>
  <c r="B87" i="12"/>
  <c r="D86" i="12"/>
  <c r="B85" i="12"/>
  <c r="D84" i="12"/>
  <c r="B83" i="12"/>
  <c r="D82" i="12"/>
  <c r="B81" i="12"/>
  <c r="D80" i="12"/>
  <c r="B79" i="12"/>
  <c r="D78" i="12"/>
  <c r="B77" i="12"/>
  <c r="D76" i="12"/>
  <c r="B75" i="12"/>
  <c r="D74" i="12"/>
  <c r="B73" i="12"/>
  <c r="D72" i="12"/>
  <c r="B71" i="12"/>
  <c r="D70" i="12"/>
  <c r="B69" i="12"/>
  <c r="D68" i="12"/>
  <c r="B67" i="12"/>
  <c r="D66" i="12"/>
  <c r="B65" i="12"/>
  <c r="D64" i="12"/>
  <c r="B63" i="12"/>
  <c r="D62" i="12"/>
  <c r="B61" i="12"/>
  <c r="D60" i="12"/>
  <c r="B59" i="12"/>
  <c r="D58" i="12"/>
  <c r="B57" i="12"/>
  <c r="D56" i="12"/>
  <c r="B55" i="12"/>
  <c r="D54" i="12"/>
  <c r="B53" i="12"/>
  <c r="D52" i="12"/>
  <c r="B51" i="12"/>
  <c r="D50" i="12"/>
  <c r="B49" i="12"/>
  <c r="D48" i="12"/>
  <c r="B47" i="12"/>
  <c r="D46" i="12"/>
  <c r="B45" i="12"/>
  <c r="D44" i="12"/>
  <c r="B43" i="12"/>
  <c r="D42" i="12"/>
  <c r="B41" i="12"/>
  <c r="D40" i="12"/>
  <c r="B39" i="12"/>
  <c r="D38" i="12"/>
  <c r="B37" i="12"/>
  <c r="D36" i="12"/>
  <c r="B35" i="12"/>
  <c r="D34" i="12"/>
  <c r="B33" i="12"/>
  <c r="D32" i="12"/>
  <c r="B31" i="12"/>
  <c r="D30" i="12"/>
  <c r="B29" i="12"/>
  <c r="D28" i="12"/>
  <c r="B27" i="12"/>
  <c r="D26" i="12"/>
  <c r="B25" i="12"/>
  <c r="D24" i="12"/>
  <c r="B23" i="12"/>
  <c r="D22" i="12"/>
  <c r="B21" i="12"/>
  <c r="D20" i="12"/>
  <c r="B19" i="12"/>
  <c r="D18" i="12"/>
  <c r="B17" i="12"/>
  <c r="D16" i="12"/>
  <c r="B15" i="12"/>
  <c r="D14" i="12"/>
  <c r="B13" i="12"/>
  <c r="D12" i="12"/>
  <c r="B11" i="12"/>
  <c r="D10" i="12"/>
  <c r="B9" i="12"/>
  <c r="D8" i="12"/>
  <c r="B7" i="12"/>
  <c r="D6" i="12"/>
  <c r="B5" i="12"/>
  <c r="D4" i="12"/>
  <c r="B3" i="12"/>
  <c r="E2" i="12"/>
  <c r="A2" i="12"/>
  <c r="B422" i="12"/>
  <c r="D417" i="12"/>
  <c r="B414" i="12"/>
  <c r="D409" i="12"/>
  <c r="B406" i="12"/>
  <c r="D401" i="12"/>
  <c r="B398" i="12"/>
  <c r="D393" i="12"/>
  <c r="B390" i="12"/>
  <c r="D385" i="12"/>
  <c r="B382" i="12"/>
  <c r="D377" i="12"/>
  <c r="B374" i="12"/>
  <c r="D369" i="12"/>
  <c r="B366" i="12"/>
  <c r="D361" i="12"/>
  <c r="B358" i="12"/>
  <c r="D353" i="12"/>
  <c r="B350" i="12"/>
  <c r="E347" i="12"/>
  <c r="G346" i="12"/>
  <c r="A345" i="12"/>
  <c r="C344" i="12"/>
  <c r="E343" i="12"/>
  <c r="G342" i="12"/>
  <c r="A341" i="12"/>
  <c r="C340" i="12"/>
  <c r="E339" i="12"/>
  <c r="E338" i="12"/>
  <c r="D337" i="12"/>
  <c r="C336" i="12"/>
  <c r="C335" i="12"/>
  <c r="D334" i="12"/>
  <c r="B333" i="12"/>
  <c r="D332" i="12"/>
  <c r="B331" i="12"/>
  <c r="D330" i="12"/>
  <c r="B329" i="12"/>
  <c r="D328" i="12"/>
  <c r="B327" i="12"/>
  <c r="D326" i="12"/>
  <c r="B325" i="12"/>
  <c r="D324" i="12"/>
  <c r="B323" i="12"/>
  <c r="D322" i="12"/>
  <c r="B321" i="12"/>
  <c r="D320" i="12"/>
  <c r="B319" i="12"/>
  <c r="D318" i="12"/>
  <c r="B317" i="12"/>
  <c r="D316" i="12"/>
  <c r="B315" i="12"/>
  <c r="D314" i="12"/>
  <c r="B313" i="12"/>
  <c r="D312" i="12"/>
  <c r="B311" i="12"/>
  <c r="D310" i="12"/>
  <c r="B309" i="12"/>
  <c r="D308" i="12"/>
  <c r="B307" i="12"/>
  <c r="D306" i="12"/>
  <c r="B305" i="12"/>
  <c r="D304" i="12"/>
  <c r="B303" i="12"/>
  <c r="D302" i="12"/>
  <c r="B301" i="12"/>
  <c r="D300" i="12"/>
  <c r="B299" i="12"/>
  <c r="D298" i="12"/>
  <c r="B297" i="12"/>
  <c r="D296" i="12"/>
  <c r="B295" i="12"/>
  <c r="D294" i="12"/>
  <c r="B293" i="12"/>
  <c r="D292" i="12"/>
  <c r="B291" i="12"/>
  <c r="D290" i="12"/>
  <c r="B289" i="12"/>
  <c r="D288" i="12"/>
  <c r="B287" i="12"/>
  <c r="D286" i="12"/>
  <c r="B285" i="12"/>
  <c r="D284" i="12"/>
  <c r="B283" i="12"/>
  <c r="D282" i="12"/>
  <c r="B281" i="12"/>
  <c r="D280" i="12"/>
  <c r="B279" i="12"/>
  <c r="D278" i="12"/>
  <c r="B277" i="12"/>
  <c r="D276" i="12"/>
  <c r="B275" i="12"/>
  <c r="D274" i="12"/>
  <c r="B273" i="12"/>
  <c r="D272" i="12"/>
  <c r="B271" i="12"/>
  <c r="D270" i="12"/>
  <c r="B269" i="12"/>
  <c r="D268" i="12"/>
  <c r="B267" i="12"/>
  <c r="D266" i="12"/>
  <c r="B265" i="12"/>
  <c r="D264" i="12"/>
  <c r="B263" i="12"/>
  <c r="D262" i="12"/>
  <c r="B261" i="12"/>
  <c r="D260" i="12"/>
  <c r="B259" i="12"/>
  <c r="D258" i="12"/>
  <c r="B257" i="12"/>
  <c r="D256" i="12"/>
  <c r="B255" i="12"/>
  <c r="D254" i="12"/>
  <c r="B253" i="12"/>
  <c r="D252" i="12"/>
  <c r="B251" i="12"/>
  <c r="D250" i="12"/>
  <c r="B249" i="12"/>
  <c r="D248" i="12"/>
  <c r="B247" i="12"/>
  <c r="D246" i="12"/>
  <c r="B245" i="12"/>
  <c r="D244" i="12"/>
  <c r="B243" i="12"/>
  <c r="D242" i="12"/>
  <c r="B241" i="12"/>
  <c r="D240" i="12"/>
  <c r="B239" i="12"/>
  <c r="D238" i="12"/>
  <c r="B237" i="12"/>
  <c r="D236" i="12"/>
  <c r="B235" i="12"/>
  <c r="D234" i="12"/>
  <c r="B233" i="12"/>
  <c r="D232" i="12"/>
  <c r="B231" i="12"/>
  <c r="D230" i="12"/>
  <c r="B229" i="12"/>
  <c r="D228" i="12"/>
  <c r="B227" i="12"/>
  <c r="D226" i="12"/>
  <c r="B225" i="12"/>
  <c r="D224" i="12"/>
  <c r="B223" i="12"/>
  <c r="D222" i="12"/>
  <c r="B221" i="12"/>
  <c r="D220" i="12"/>
  <c r="B219" i="12"/>
  <c r="D218" i="12"/>
  <c r="B217" i="12"/>
  <c r="D216" i="12"/>
  <c r="B215" i="12"/>
  <c r="D214" i="12"/>
  <c r="B213" i="12"/>
  <c r="C212" i="12"/>
  <c r="E211" i="12"/>
  <c r="A211" i="12"/>
  <c r="G210" i="12"/>
  <c r="C210" i="12"/>
  <c r="E209" i="12"/>
  <c r="A209" i="12"/>
  <c r="G208" i="12"/>
  <c r="C208" i="12"/>
  <c r="E207" i="12"/>
  <c r="A207" i="12"/>
  <c r="G206" i="12"/>
  <c r="C206" i="12"/>
  <c r="E205" i="12"/>
  <c r="A205" i="12"/>
  <c r="G204" i="12"/>
  <c r="C204" i="12"/>
  <c r="E203" i="12"/>
  <c r="A203" i="12"/>
  <c r="G202" i="12"/>
  <c r="C202" i="12"/>
  <c r="E201" i="12"/>
  <c r="A201" i="12"/>
  <c r="G200" i="12"/>
  <c r="C200" i="12"/>
  <c r="E199" i="12"/>
  <c r="A199" i="12"/>
  <c r="G198" i="12"/>
  <c r="C198" i="12"/>
  <c r="E197" i="12"/>
  <c r="A197" i="12"/>
  <c r="G196" i="12"/>
  <c r="C196" i="12"/>
  <c r="E195" i="12"/>
  <c r="A195" i="12"/>
  <c r="G194" i="12"/>
  <c r="C194" i="12"/>
  <c r="E193" i="12"/>
  <c r="A193" i="12"/>
  <c r="G192" i="12"/>
  <c r="C192" i="12"/>
  <c r="E191" i="12"/>
  <c r="A191" i="12"/>
  <c r="G190" i="12"/>
  <c r="C190" i="12"/>
  <c r="E189" i="12"/>
  <c r="A189" i="12"/>
  <c r="G188" i="12"/>
  <c r="C188" i="12"/>
  <c r="E187" i="12"/>
  <c r="A187" i="12"/>
  <c r="G186" i="12"/>
  <c r="C186" i="12"/>
  <c r="E185" i="12"/>
  <c r="A185" i="12"/>
  <c r="G184" i="12"/>
  <c r="C184" i="12"/>
  <c r="E183" i="12"/>
  <c r="A183" i="12"/>
  <c r="G182" i="12"/>
  <c r="C182" i="12"/>
  <c r="E181" i="12"/>
  <c r="A181" i="12"/>
  <c r="G180" i="12"/>
  <c r="C180" i="12"/>
  <c r="E179" i="12"/>
  <c r="A179" i="12"/>
  <c r="G178" i="12"/>
  <c r="C178" i="12"/>
  <c r="E177" i="12"/>
  <c r="A177" i="12"/>
  <c r="G176" i="12"/>
  <c r="C176" i="12"/>
  <c r="E175" i="12"/>
  <c r="A175" i="12"/>
  <c r="G174" i="12"/>
  <c r="C174" i="12"/>
  <c r="E173" i="12"/>
  <c r="A173" i="12"/>
  <c r="G172" i="12"/>
  <c r="C172" i="12"/>
  <c r="E171" i="12"/>
  <c r="A171" i="12"/>
  <c r="G170" i="12"/>
  <c r="C170" i="12"/>
  <c r="E169" i="12"/>
  <c r="A169" i="12"/>
  <c r="G168" i="12"/>
  <c r="C168" i="12"/>
  <c r="E167" i="12"/>
  <c r="A167" i="12"/>
  <c r="G166" i="12"/>
  <c r="C166" i="12"/>
  <c r="E165" i="12"/>
  <c r="A165" i="12"/>
  <c r="G164" i="12"/>
  <c r="C164" i="12"/>
  <c r="E163" i="12"/>
  <c r="A163" i="12"/>
  <c r="G162" i="12"/>
  <c r="C162" i="12"/>
  <c r="E161" i="12"/>
  <c r="A161" i="12"/>
  <c r="G160" i="12"/>
  <c r="C160" i="12"/>
  <c r="E159" i="12"/>
  <c r="A159" i="12"/>
  <c r="G158" i="12"/>
  <c r="C158" i="12"/>
  <c r="E157" i="12"/>
  <c r="A157" i="12"/>
  <c r="G156" i="12"/>
  <c r="C156" i="12"/>
  <c r="E155" i="12"/>
  <c r="A155" i="12"/>
  <c r="G154" i="12"/>
  <c r="C154" i="12"/>
  <c r="E153" i="12"/>
  <c r="A153" i="12"/>
  <c r="G152" i="12"/>
  <c r="C152" i="12"/>
  <c r="E151" i="12"/>
  <c r="A151" i="12"/>
  <c r="G150" i="12"/>
  <c r="C150" i="12"/>
  <c r="E149" i="12"/>
  <c r="A149" i="12"/>
  <c r="G148" i="12"/>
  <c r="C148" i="12"/>
  <c r="E147" i="12"/>
  <c r="A147" i="12"/>
  <c r="G146" i="12"/>
  <c r="C146" i="12"/>
  <c r="E145" i="12"/>
  <c r="A145" i="12"/>
  <c r="G144" i="12"/>
  <c r="C144" i="12"/>
  <c r="E143" i="12"/>
  <c r="A143" i="12"/>
  <c r="G142" i="12"/>
  <c r="C142" i="12"/>
  <c r="E141" i="12"/>
  <c r="A141" i="12"/>
  <c r="G140" i="12"/>
  <c r="C140" i="12"/>
  <c r="E139" i="12"/>
  <c r="A139" i="12"/>
  <c r="G138" i="12"/>
  <c r="C138" i="12"/>
  <c r="E137" i="12"/>
  <c r="A137" i="12"/>
  <c r="G136" i="12"/>
  <c r="C136" i="12"/>
  <c r="E135" i="12"/>
  <c r="A135" i="12"/>
  <c r="G134" i="12"/>
  <c r="C134" i="12"/>
  <c r="E133" i="12"/>
  <c r="A133" i="12"/>
  <c r="G132" i="12"/>
  <c r="C132" i="12"/>
  <c r="E131" i="12"/>
  <c r="A131" i="12"/>
  <c r="G130" i="12"/>
  <c r="C130" i="12"/>
  <c r="E129" i="12"/>
  <c r="A129" i="12"/>
  <c r="G128" i="12"/>
  <c r="C128" i="12"/>
  <c r="E127" i="12"/>
  <c r="A127" i="12"/>
  <c r="G126" i="12"/>
  <c r="C126" i="12"/>
  <c r="E125" i="12"/>
  <c r="A125" i="12"/>
  <c r="G124" i="12"/>
  <c r="C124" i="12"/>
  <c r="E123" i="12"/>
  <c r="A123" i="12"/>
  <c r="G122" i="12"/>
  <c r="C122" i="12"/>
  <c r="E121" i="12"/>
  <c r="A121" i="12"/>
  <c r="G120" i="12"/>
  <c r="C120" i="12"/>
  <c r="E119" i="12"/>
  <c r="A119" i="12"/>
  <c r="G118" i="12"/>
  <c r="C118" i="12"/>
  <c r="E117" i="12"/>
  <c r="A117" i="12"/>
  <c r="G116" i="12"/>
  <c r="C116" i="12"/>
  <c r="E115" i="12"/>
  <c r="A115" i="12"/>
  <c r="G114" i="12"/>
  <c r="C114" i="12"/>
  <c r="E113" i="12"/>
  <c r="A113" i="12"/>
  <c r="G112" i="12"/>
  <c r="C112" i="12"/>
  <c r="E111" i="12"/>
  <c r="A111" i="12"/>
  <c r="G110" i="12"/>
  <c r="C110" i="12"/>
  <c r="E109" i="12"/>
  <c r="A109" i="12"/>
  <c r="G108" i="12"/>
  <c r="C108" i="12"/>
  <c r="E107" i="12"/>
  <c r="A107" i="12"/>
  <c r="G106" i="12"/>
  <c r="C106" i="12"/>
  <c r="E105" i="12"/>
  <c r="A105" i="12"/>
  <c r="G104" i="12"/>
  <c r="C104" i="12"/>
  <c r="E103" i="12"/>
  <c r="A103" i="12"/>
  <c r="G102" i="12"/>
  <c r="C102" i="12"/>
  <c r="E101" i="12"/>
  <c r="A101" i="12"/>
  <c r="G100" i="12"/>
  <c r="C100" i="12"/>
  <c r="E99" i="12"/>
  <c r="A99" i="12"/>
  <c r="G98" i="12"/>
  <c r="C98" i="12"/>
  <c r="E97" i="12"/>
  <c r="A97" i="12"/>
  <c r="G96" i="12"/>
  <c r="C96" i="12"/>
  <c r="E95" i="12"/>
  <c r="A95" i="12"/>
  <c r="G94" i="12"/>
  <c r="C94" i="12"/>
  <c r="E93" i="12"/>
  <c r="A93" i="12"/>
  <c r="G92" i="12"/>
  <c r="C92" i="12"/>
  <c r="E91" i="12"/>
  <c r="A91" i="12"/>
  <c r="G90" i="12"/>
  <c r="C90" i="12"/>
  <c r="E89" i="12"/>
  <c r="A89" i="12"/>
  <c r="G88" i="12"/>
  <c r="C88" i="12"/>
  <c r="E87" i="12"/>
  <c r="A87" i="12"/>
  <c r="G86" i="12"/>
  <c r="C86" i="12"/>
  <c r="E85" i="12"/>
  <c r="A85" i="12"/>
  <c r="G84" i="12"/>
  <c r="C84" i="12"/>
  <c r="E83" i="12"/>
  <c r="A83" i="12"/>
  <c r="G82" i="12"/>
  <c r="C82" i="12"/>
  <c r="E81" i="12"/>
  <c r="A81" i="12"/>
  <c r="G80" i="12"/>
  <c r="C80" i="12"/>
  <c r="E79" i="12"/>
  <c r="A79" i="12"/>
  <c r="G78" i="12"/>
  <c r="C78" i="12"/>
  <c r="E77" i="12"/>
  <c r="A77" i="12"/>
  <c r="G76" i="12"/>
  <c r="C76" i="12"/>
  <c r="E75" i="12"/>
  <c r="A75" i="12"/>
  <c r="G74" i="12"/>
  <c r="C74" i="12"/>
  <c r="E73" i="12"/>
  <c r="A73" i="12"/>
  <c r="G72" i="12"/>
  <c r="C72" i="12"/>
  <c r="E71" i="12"/>
  <c r="A71" i="12"/>
  <c r="G70" i="12"/>
  <c r="C70" i="12"/>
  <c r="E69" i="12"/>
  <c r="A69" i="12"/>
  <c r="G68" i="12"/>
  <c r="C68" i="12"/>
  <c r="E67" i="12"/>
  <c r="A67" i="12"/>
  <c r="G66" i="12"/>
  <c r="C66" i="12"/>
  <c r="E65" i="12"/>
  <c r="A65" i="12"/>
  <c r="G64" i="12"/>
  <c r="C64" i="12"/>
  <c r="E63" i="12"/>
  <c r="A63" i="12"/>
  <c r="G62" i="12"/>
  <c r="C62" i="12"/>
  <c r="E61" i="12"/>
  <c r="A61" i="12"/>
  <c r="G60" i="12"/>
  <c r="C60" i="12"/>
  <c r="E59" i="12"/>
  <c r="A59" i="12"/>
  <c r="G58" i="12"/>
  <c r="C58" i="12"/>
  <c r="E57" i="12"/>
  <c r="A57" i="12"/>
  <c r="G56" i="12"/>
  <c r="C56" i="12"/>
  <c r="E55" i="12"/>
  <c r="A55" i="12"/>
  <c r="G54" i="12"/>
  <c r="C54" i="12"/>
  <c r="E53" i="12"/>
  <c r="A53" i="12"/>
  <c r="G52" i="12"/>
  <c r="C52" i="12"/>
  <c r="E51" i="12"/>
  <c r="A51" i="12"/>
  <c r="G50" i="12"/>
  <c r="C50" i="12"/>
  <c r="E49" i="12"/>
  <c r="A49" i="12"/>
  <c r="G48" i="12"/>
  <c r="C48" i="12"/>
  <c r="E47" i="12"/>
  <c r="A47" i="12"/>
  <c r="G46" i="12"/>
  <c r="C46" i="12"/>
  <c r="E45" i="12"/>
  <c r="A45" i="12"/>
  <c r="G44" i="12"/>
  <c r="C44" i="12"/>
  <c r="E43" i="12"/>
  <c r="A43" i="12"/>
  <c r="G42" i="12"/>
  <c r="C42" i="12"/>
  <c r="E41" i="12"/>
  <c r="A41" i="12"/>
  <c r="G40" i="12"/>
  <c r="C40" i="12"/>
  <c r="E39" i="12"/>
  <c r="A39" i="12"/>
  <c r="G38" i="12"/>
  <c r="C38" i="12"/>
  <c r="E37" i="12"/>
  <c r="A37" i="12"/>
  <c r="G36" i="12"/>
  <c r="C36" i="12"/>
  <c r="E35" i="12"/>
  <c r="A35" i="12"/>
  <c r="G34" i="12"/>
  <c r="C34" i="12"/>
  <c r="E33" i="12"/>
  <c r="A33" i="12"/>
  <c r="G32" i="12"/>
  <c r="C32" i="12"/>
  <c r="E31" i="12"/>
  <c r="A31" i="12"/>
  <c r="G30" i="12"/>
  <c r="C30" i="12"/>
  <c r="E29" i="12"/>
  <c r="A29" i="12"/>
  <c r="G28" i="12"/>
  <c r="C28" i="12"/>
  <c r="E27" i="12"/>
  <c r="A27" i="12"/>
  <c r="G26" i="12"/>
  <c r="C26" i="12"/>
  <c r="E25" i="12"/>
  <c r="A25" i="12"/>
  <c r="G24" i="12"/>
  <c r="C24" i="12"/>
  <c r="E23" i="12"/>
  <c r="A23" i="12"/>
  <c r="G22" i="12"/>
  <c r="C22" i="12"/>
  <c r="E21" i="12"/>
  <c r="A21" i="12"/>
  <c r="G20" i="12"/>
  <c r="C20" i="12"/>
  <c r="E19" i="12"/>
  <c r="A19" i="12"/>
  <c r="G18" i="12"/>
  <c r="C18" i="12"/>
  <c r="E17" i="12"/>
  <c r="A17" i="12"/>
  <c r="G16" i="12"/>
  <c r="C16" i="12"/>
  <c r="E15" i="12"/>
  <c r="A15" i="12"/>
  <c r="G14" i="12"/>
  <c r="C14" i="12"/>
  <c r="E13" i="12"/>
  <c r="A13" i="12"/>
  <c r="G12" i="12"/>
  <c r="C12" i="12"/>
  <c r="E11" i="12"/>
  <c r="A11" i="12"/>
  <c r="G10" i="12"/>
  <c r="C10" i="12"/>
  <c r="E9" i="12"/>
  <c r="A9" i="12"/>
  <c r="G8" i="12"/>
  <c r="C8" i="12"/>
  <c r="E7" i="12"/>
  <c r="A7" i="12"/>
  <c r="G6" i="12"/>
  <c r="C6" i="12"/>
  <c r="E5" i="12"/>
  <c r="A5" i="12"/>
  <c r="G4" i="12"/>
  <c r="C4" i="12"/>
  <c r="E3" i="12"/>
  <c r="A3" i="12"/>
  <c r="N2" i="12"/>
  <c r="D2" i="12"/>
  <c r="B420" i="12"/>
  <c r="D415" i="12"/>
  <c r="B412" i="12"/>
  <c r="D407" i="12"/>
  <c r="B404" i="12"/>
  <c r="D399" i="12"/>
  <c r="B396" i="12"/>
  <c r="D391" i="12"/>
  <c r="B388" i="12"/>
  <c r="D383" i="12"/>
  <c r="B380" i="12"/>
  <c r="D375" i="12"/>
  <c r="B372" i="12"/>
  <c r="D367" i="12"/>
  <c r="B364" i="12"/>
  <c r="D359" i="12"/>
  <c r="B356" i="12"/>
  <c r="D351" i="12"/>
  <c r="B348" i="12"/>
  <c r="D347" i="12"/>
  <c r="B344" i="12"/>
  <c r="D343" i="12"/>
  <c r="B340" i="12"/>
  <c r="D339" i="12"/>
  <c r="C338" i="12"/>
  <c r="C337" i="12"/>
  <c r="G336" i="12"/>
  <c r="B336" i="12"/>
  <c r="G335" i="12"/>
  <c r="A335" i="12"/>
  <c r="G334" i="12"/>
  <c r="C334" i="12"/>
  <c r="E333" i="12"/>
  <c r="A333" i="12"/>
  <c r="G332" i="12"/>
  <c r="C332" i="12"/>
  <c r="E331" i="12"/>
  <c r="A331" i="12"/>
  <c r="G330" i="12"/>
  <c r="C330" i="12"/>
  <c r="E329" i="12"/>
  <c r="A329" i="12"/>
  <c r="G328" i="12"/>
  <c r="C328" i="12"/>
  <c r="E327" i="12"/>
  <c r="A327" i="12"/>
  <c r="G326" i="12"/>
  <c r="C326" i="12"/>
  <c r="E325" i="12"/>
  <c r="A325" i="12"/>
  <c r="G324" i="12"/>
  <c r="C324" i="12"/>
  <c r="E323" i="12"/>
  <c r="A323" i="12"/>
  <c r="G322" i="12"/>
  <c r="C322" i="12"/>
  <c r="E321" i="12"/>
  <c r="A321" i="12"/>
  <c r="G320" i="12"/>
  <c r="C320" i="12"/>
  <c r="E319" i="12"/>
  <c r="A319" i="12"/>
  <c r="G318" i="12"/>
  <c r="C318" i="12"/>
  <c r="E317" i="12"/>
  <c r="A317" i="12"/>
  <c r="G316" i="12"/>
  <c r="C316" i="12"/>
  <c r="E315" i="12"/>
  <c r="A315" i="12"/>
  <c r="G314" i="12"/>
  <c r="C314" i="12"/>
  <c r="E313" i="12"/>
  <c r="A313" i="12"/>
  <c r="G312" i="12"/>
  <c r="C312" i="12"/>
  <c r="E311" i="12"/>
  <c r="A311" i="12"/>
  <c r="G310" i="12"/>
  <c r="C310" i="12"/>
  <c r="E309" i="12"/>
  <c r="A309" i="12"/>
  <c r="G308" i="12"/>
  <c r="C308" i="12"/>
  <c r="E307" i="12"/>
  <c r="A307" i="12"/>
  <c r="G306" i="12"/>
  <c r="C306" i="12"/>
  <c r="E305" i="12"/>
  <c r="A305" i="12"/>
  <c r="G304" i="12"/>
  <c r="C304" i="12"/>
  <c r="E303" i="12"/>
  <c r="A303" i="12"/>
  <c r="G302" i="12"/>
  <c r="C302" i="12"/>
  <c r="E301" i="12"/>
  <c r="A301" i="12"/>
  <c r="G300" i="12"/>
  <c r="C300" i="12"/>
  <c r="E299" i="12"/>
  <c r="A299" i="12"/>
  <c r="G298" i="12"/>
  <c r="C298" i="12"/>
  <c r="E297" i="12"/>
  <c r="A297" i="12"/>
  <c r="G296" i="12"/>
  <c r="C296" i="12"/>
  <c r="E295" i="12"/>
  <c r="A295" i="12"/>
  <c r="G294" i="12"/>
  <c r="C294" i="12"/>
  <c r="E293" i="12"/>
  <c r="A293" i="12"/>
  <c r="G292" i="12"/>
  <c r="C292" i="12"/>
  <c r="E291" i="12"/>
  <c r="A291" i="12"/>
  <c r="G290" i="12"/>
  <c r="C290" i="12"/>
  <c r="E289" i="12"/>
  <c r="A289" i="12"/>
  <c r="G288" i="12"/>
  <c r="C288" i="12"/>
  <c r="E287" i="12"/>
  <c r="A287" i="12"/>
  <c r="G286" i="12"/>
  <c r="C286" i="12"/>
  <c r="E285" i="12"/>
  <c r="A285" i="12"/>
  <c r="G284" i="12"/>
  <c r="C284" i="12"/>
  <c r="E283" i="12"/>
  <c r="A283" i="12"/>
  <c r="G282" i="12"/>
  <c r="C282" i="12"/>
  <c r="E281" i="12"/>
  <c r="A281" i="12"/>
  <c r="G280" i="12"/>
  <c r="C280" i="12"/>
  <c r="E279" i="12"/>
  <c r="A279" i="12"/>
  <c r="G278" i="12"/>
  <c r="C278" i="12"/>
  <c r="E277" i="12"/>
  <c r="A277" i="12"/>
  <c r="G276" i="12"/>
  <c r="C276" i="12"/>
  <c r="E275" i="12"/>
  <c r="A275" i="12"/>
  <c r="G274" i="12"/>
  <c r="C274" i="12"/>
  <c r="E273" i="12"/>
  <c r="A273" i="12"/>
  <c r="G272" i="12"/>
  <c r="C272" i="12"/>
  <c r="E271" i="12"/>
  <c r="A271" i="12"/>
  <c r="G270" i="12"/>
  <c r="C270" i="12"/>
  <c r="E269" i="12"/>
  <c r="A269" i="12"/>
  <c r="G268" i="12"/>
  <c r="C268" i="12"/>
  <c r="E267" i="12"/>
  <c r="A267" i="12"/>
  <c r="G266" i="12"/>
  <c r="C266" i="12"/>
  <c r="E265" i="12"/>
  <c r="A265" i="12"/>
  <c r="G264" i="12"/>
  <c r="C264" i="12"/>
  <c r="E263" i="12"/>
  <c r="A263" i="12"/>
  <c r="G262" i="12"/>
  <c r="C262" i="12"/>
  <c r="E261" i="12"/>
  <c r="A261" i="12"/>
  <c r="G260" i="12"/>
  <c r="C260" i="12"/>
  <c r="E259" i="12"/>
  <c r="A259" i="12"/>
  <c r="G258" i="12"/>
  <c r="C258" i="12"/>
  <c r="E257" i="12"/>
  <c r="A257" i="12"/>
  <c r="G256" i="12"/>
  <c r="C256" i="12"/>
  <c r="E255" i="12"/>
  <c r="A255" i="12"/>
  <c r="G254" i="12"/>
  <c r="C254" i="12"/>
  <c r="E253" i="12"/>
  <c r="A253" i="12"/>
  <c r="G252" i="12"/>
  <c r="C252" i="12"/>
  <c r="E251" i="12"/>
  <c r="A251" i="12"/>
  <c r="G250" i="12"/>
  <c r="C250" i="12"/>
  <c r="E249" i="12"/>
  <c r="A249" i="12"/>
  <c r="G248" i="12"/>
  <c r="C248" i="12"/>
  <c r="E247" i="12"/>
  <c r="A247" i="12"/>
  <c r="G246" i="12"/>
  <c r="C246" i="12"/>
  <c r="E245" i="12"/>
  <c r="A245" i="12"/>
  <c r="G244" i="12"/>
  <c r="C244" i="12"/>
  <c r="E243" i="12"/>
  <c r="A243" i="12"/>
  <c r="G242" i="12"/>
  <c r="C242" i="12"/>
  <c r="E241" i="12"/>
  <c r="A241" i="12"/>
  <c r="G240" i="12"/>
  <c r="C240" i="12"/>
  <c r="E239" i="12"/>
  <c r="A239" i="12"/>
  <c r="G238" i="12"/>
  <c r="C238" i="12"/>
  <c r="E237" i="12"/>
  <c r="A237" i="12"/>
  <c r="G236" i="12"/>
  <c r="C236" i="12"/>
  <c r="E235" i="12"/>
  <c r="A235" i="12"/>
  <c r="G234" i="12"/>
  <c r="C234" i="12"/>
  <c r="E233" i="12"/>
  <c r="A233" i="12"/>
  <c r="G232" i="12"/>
  <c r="C232" i="12"/>
  <c r="E231" i="12"/>
  <c r="A231" i="12"/>
  <c r="G230" i="12"/>
  <c r="C230" i="12"/>
  <c r="E229" i="12"/>
  <c r="A229" i="12"/>
  <c r="G228" i="12"/>
  <c r="C228" i="12"/>
  <c r="E227" i="12"/>
  <c r="A227" i="12"/>
  <c r="G226" i="12"/>
  <c r="C226" i="12"/>
  <c r="E225" i="12"/>
  <c r="A225" i="12"/>
  <c r="G224" i="12"/>
  <c r="C224" i="12"/>
  <c r="E223" i="12"/>
  <c r="A223" i="12"/>
  <c r="G222" i="12"/>
  <c r="C222" i="12"/>
  <c r="E221" i="12"/>
  <c r="A221" i="12"/>
  <c r="G220" i="12"/>
  <c r="C220" i="12"/>
  <c r="E219" i="12"/>
  <c r="A219" i="12"/>
  <c r="G218" i="12"/>
  <c r="C218" i="12"/>
  <c r="E217" i="12"/>
  <c r="A217" i="12"/>
  <c r="G216" i="12"/>
  <c r="C216" i="12"/>
  <c r="E215" i="12"/>
  <c r="A215" i="12"/>
  <c r="G214" i="12"/>
  <c r="C214" i="12"/>
  <c r="E213" i="12"/>
  <c r="A213" i="12"/>
  <c r="G212" i="12"/>
  <c r="B212" i="12"/>
  <c r="D211" i="12"/>
  <c r="B210" i="12"/>
  <c r="D209" i="12"/>
  <c r="B208" i="12"/>
  <c r="D207" i="12"/>
  <c r="B206" i="12"/>
  <c r="D205" i="12"/>
  <c r="B204" i="12"/>
  <c r="D203" i="12"/>
  <c r="B202" i="12"/>
  <c r="D201" i="12"/>
  <c r="B200" i="12"/>
  <c r="D199" i="12"/>
  <c r="B198" i="12"/>
  <c r="D197" i="12"/>
  <c r="B196" i="12"/>
  <c r="D195" i="12"/>
  <c r="B194" i="12"/>
  <c r="D193" i="12"/>
  <c r="B192" i="12"/>
  <c r="D191" i="12"/>
  <c r="B190" i="12"/>
  <c r="D189" i="12"/>
  <c r="B188" i="12"/>
  <c r="D187" i="12"/>
  <c r="B186" i="12"/>
  <c r="D185" i="12"/>
  <c r="B184" i="12"/>
  <c r="D183" i="12"/>
  <c r="B182" i="12"/>
  <c r="D181" i="12"/>
  <c r="B180" i="12"/>
  <c r="D179" i="12"/>
  <c r="B178" i="12"/>
  <c r="D177" i="12"/>
  <c r="B176" i="12"/>
  <c r="D175" i="12"/>
  <c r="B174" i="12"/>
  <c r="D173" i="12"/>
  <c r="B172" i="12"/>
  <c r="D171" i="12"/>
  <c r="B170" i="12"/>
  <c r="D169" i="12"/>
  <c r="B168" i="12"/>
  <c r="D167" i="12"/>
  <c r="B166" i="12"/>
  <c r="D165" i="12"/>
  <c r="B164" i="12"/>
  <c r="D163" i="12"/>
  <c r="B162" i="12"/>
  <c r="D161" i="12"/>
  <c r="B160" i="12"/>
  <c r="D159" i="12"/>
  <c r="B158" i="12"/>
  <c r="D157" i="12"/>
  <c r="B156" i="12"/>
  <c r="D155" i="12"/>
  <c r="B154" i="12"/>
  <c r="D153" i="12"/>
  <c r="B152" i="12"/>
  <c r="D151" i="12"/>
  <c r="B150" i="12"/>
  <c r="D149" i="12"/>
  <c r="B148" i="12"/>
  <c r="D147" i="12"/>
  <c r="B146" i="12"/>
  <c r="D145" i="12"/>
  <c r="B144" i="12"/>
  <c r="D143" i="12"/>
  <c r="B142" i="12"/>
  <c r="D141" i="12"/>
  <c r="B140" i="12"/>
  <c r="D139" i="12"/>
  <c r="B138" i="12"/>
  <c r="D137" i="12"/>
  <c r="B136" i="12"/>
  <c r="D135" i="12"/>
  <c r="B134" i="12"/>
  <c r="D133" i="12"/>
  <c r="B132" i="12"/>
  <c r="D131" i="12"/>
  <c r="B130" i="12"/>
  <c r="D129" i="12"/>
  <c r="B128" i="12"/>
  <c r="D127" i="12"/>
  <c r="B126" i="12"/>
  <c r="D125" i="12"/>
  <c r="B124" i="12"/>
  <c r="D123" i="12"/>
  <c r="B122" i="12"/>
  <c r="D121" i="12"/>
  <c r="B120" i="12"/>
  <c r="D119" i="12"/>
  <c r="B118" i="12"/>
  <c r="D117" i="12"/>
  <c r="B116" i="12"/>
  <c r="D115" i="12"/>
  <c r="B114" i="12"/>
  <c r="D113" i="12"/>
  <c r="B112" i="12"/>
  <c r="D111" i="12"/>
  <c r="B110" i="12"/>
  <c r="D109" i="12"/>
  <c r="B108" i="12"/>
  <c r="D107" i="12"/>
  <c r="B106" i="12"/>
  <c r="D105" i="12"/>
  <c r="B104" i="12"/>
  <c r="D103" i="12"/>
  <c r="B102" i="12"/>
  <c r="D101" i="12"/>
  <c r="B100" i="12"/>
  <c r="D99" i="12"/>
  <c r="B98" i="12"/>
  <c r="D97" i="12"/>
  <c r="B96" i="12"/>
  <c r="D95" i="12"/>
  <c r="B94" i="12"/>
  <c r="D93" i="12"/>
  <c r="B92" i="12"/>
  <c r="D91" i="12"/>
  <c r="B90" i="12"/>
  <c r="D89" i="12"/>
  <c r="B88" i="12"/>
  <c r="D87" i="12"/>
  <c r="B86" i="12"/>
  <c r="D85" i="12"/>
  <c r="B84" i="12"/>
  <c r="D83" i="12"/>
  <c r="B82" i="12"/>
  <c r="D81" i="12"/>
  <c r="B80" i="12"/>
  <c r="D79" i="12"/>
  <c r="B78" i="12"/>
  <c r="D77" i="12"/>
  <c r="B76" i="12"/>
  <c r="D75" i="12"/>
  <c r="B74" i="12"/>
  <c r="D73" i="12"/>
  <c r="B72" i="12"/>
  <c r="D71" i="12"/>
  <c r="B70" i="12"/>
  <c r="D69" i="12"/>
  <c r="B68" i="12"/>
  <c r="D67" i="12"/>
  <c r="B66" i="12"/>
  <c r="D65" i="12"/>
  <c r="B64" i="12"/>
  <c r="D63" i="12"/>
  <c r="B62" i="12"/>
  <c r="D61" i="12"/>
  <c r="B60" i="12"/>
  <c r="D59" i="12"/>
  <c r="B58" i="12"/>
  <c r="D57" i="12"/>
  <c r="B56" i="12"/>
  <c r="D55" i="12"/>
  <c r="B54" i="12"/>
  <c r="D53" i="12"/>
  <c r="B52" i="12"/>
  <c r="D51" i="12"/>
  <c r="B50" i="12"/>
  <c r="D49" i="12"/>
  <c r="B48" i="12"/>
  <c r="D47" i="12"/>
  <c r="B46" i="12"/>
  <c r="D45" i="12"/>
  <c r="B44" i="12"/>
  <c r="D43" i="12"/>
  <c r="B42" i="12"/>
  <c r="D41" i="12"/>
  <c r="B40" i="12"/>
  <c r="D39" i="12"/>
  <c r="B38" i="12"/>
  <c r="D37" i="12"/>
  <c r="B36" i="12"/>
  <c r="D35" i="12"/>
  <c r="B34" i="12"/>
  <c r="D33" i="12"/>
  <c r="B32" i="12"/>
  <c r="D31" i="12"/>
  <c r="B30" i="12"/>
  <c r="D29" i="12"/>
  <c r="B28" i="12"/>
  <c r="D27" i="12"/>
  <c r="B26" i="12"/>
  <c r="D25" i="12"/>
  <c r="B24" i="12"/>
  <c r="D23" i="12"/>
  <c r="B22" i="12"/>
  <c r="D21" i="12"/>
  <c r="B20" i="12"/>
  <c r="D19" i="12"/>
  <c r="B18" i="12"/>
  <c r="D17" i="12"/>
  <c r="B16" i="12"/>
  <c r="D15" i="12"/>
  <c r="B14" i="12"/>
  <c r="D13" i="12"/>
  <c r="B12" i="12"/>
  <c r="D11" i="12"/>
  <c r="B10" i="12"/>
  <c r="D9" i="12"/>
  <c r="B8" i="12"/>
  <c r="D7" i="12"/>
  <c r="B6" i="12"/>
  <c r="D5" i="12"/>
  <c r="B4" i="12"/>
  <c r="D3" i="12"/>
  <c r="G2" i="12"/>
  <c r="C2" i="12"/>
  <c r="D421" i="12"/>
  <c r="B418" i="12"/>
  <c r="D413" i="12"/>
  <c r="B410" i="12"/>
  <c r="D405" i="12"/>
  <c r="B402" i="12"/>
  <c r="D397" i="12"/>
  <c r="B394" i="12"/>
  <c r="D389" i="12"/>
  <c r="B386" i="12"/>
  <c r="D381" i="12"/>
  <c r="B378" i="12"/>
  <c r="D373" i="12"/>
  <c r="B370" i="12"/>
  <c r="D365" i="12"/>
  <c r="B362" i="12"/>
  <c r="D357" i="12"/>
  <c r="B354" i="12"/>
  <c r="D349" i="12"/>
  <c r="A347" i="12"/>
  <c r="C346" i="12"/>
  <c r="E345" i="12"/>
  <c r="G344" i="12"/>
  <c r="A343" i="12"/>
  <c r="C342" i="12"/>
  <c r="E341" i="12"/>
  <c r="G340" i="12"/>
  <c r="C339" i="12"/>
  <c r="G338" i="12"/>
  <c r="B338" i="12"/>
  <c r="G337" i="12"/>
  <c r="A337" i="12"/>
  <c r="A336" i="12"/>
  <c r="E335" i="12"/>
  <c r="B334" i="12"/>
  <c r="D333" i="12"/>
  <c r="B332" i="12"/>
  <c r="D331" i="12"/>
  <c r="B330" i="12"/>
  <c r="D329" i="12"/>
  <c r="B328" i="12"/>
  <c r="D327" i="12"/>
  <c r="B326" i="12"/>
  <c r="D325" i="12"/>
  <c r="B324" i="12"/>
  <c r="D323" i="12"/>
  <c r="B322" i="12"/>
  <c r="D321" i="12"/>
  <c r="B320" i="12"/>
  <c r="D319" i="12"/>
  <c r="B318" i="12"/>
  <c r="D317" i="12"/>
  <c r="B316" i="12"/>
  <c r="D315" i="12"/>
  <c r="B314" i="12"/>
  <c r="D313" i="12"/>
  <c r="B312" i="12"/>
  <c r="D311" i="12"/>
  <c r="B310" i="12"/>
  <c r="D309" i="12"/>
  <c r="B308" i="12"/>
  <c r="D307" i="12"/>
  <c r="B306" i="12"/>
  <c r="D305" i="12"/>
  <c r="B304" i="12"/>
  <c r="D303" i="12"/>
  <c r="B302" i="12"/>
  <c r="D301" i="12"/>
  <c r="B300" i="12"/>
  <c r="D299" i="12"/>
  <c r="B298" i="12"/>
  <c r="D297" i="12"/>
  <c r="B296" i="12"/>
  <c r="D295" i="12"/>
  <c r="B294" i="12"/>
  <c r="D293" i="12"/>
  <c r="B292" i="12"/>
  <c r="D291" i="12"/>
  <c r="B290" i="12"/>
  <c r="D289" i="12"/>
  <c r="B288" i="12"/>
  <c r="D287" i="12"/>
  <c r="B286" i="12"/>
  <c r="D285" i="12"/>
  <c r="B284" i="12"/>
  <c r="D283" i="12"/>
  <c r="B282" i="12"/>
  <c r="D281" i="12"/>
  <c r="B280" i="12"/>
  <c r="D279" i="12"/>
  <c r="B278" i="12"/>
  <c r="D277" i="12"/>
  <c r="B276" i="12"/>
  <c r="D275" i="12"/>
  <c r="B274" i="12"/>
  <c r="D273" i="12"/>
  <c r="B272" i="12"/>
  <c r="D271" i="12"/>
  <c r="B270" i="12"/>
  <c r="D269" i="12"/>
  <c r="B268" i="12"/>
  <c r="D267" i="12"/>
  <c r="B266" i="12"/>
  <c r="D265" i="12"/>
  <c r="B264" i="12"/>
  <c r="D263" i="12"/>
  <c r="B262" i="12"/>
  <c r="D261" i="12"/>
  <c r="B260" i="12"/>
  <c r="D259" i="12"/>
  <c r="B258" i="12"/>
  <c r="D257" i="12"/>
  <c r="B256" i="12"/>
  <c r="D255" i="12"/>
  <c r="B254" i="12"/>
  <c r="D253" i="12"/>
  <c r="B252" i="12"/>
  <c r="D251" i="12"/>
  <c r="B250" i="12"/>
  <c r="D249" i="12"/>
  <c r="B248" i="12"/>
  <c r="D247" i="12"/>
  <c r="B246" i="12"/>
  <c r="D245" i="12"/>
  <c r="B244" i="12"/>
  <c r="D243" i="12"/>
  <c r="B242" i="12"/>
  <c r="D241" i="12"/>
  <c r="B240" i="12"/>
  <c r="D239" i="12"/>
  <c r="B238" i="12"/>
  <c r="D237" i="12"/>
  <c r="B236" i="12"/>
  <c r="D235" i="12"/>
  <c r="B234" i="12"/>
  <c r="D233" i="12"/>
  <c r="B232" i="12"/>
  <c r="D231" i="12"/>
  <c r="B230" i="12"/>
  <c r="D229" i="12"/>
  <c r="B228" i="12"/>
  <c r="D227" i="12"/>
  <c r="B226" i="12"/>
  <c r="D225" i="12"/>
  <c r="B224" i="12"/>
  <c r="D223" i="12"/>
  <c r="B222" i="12"/>
  <c r="D221" i="12"/>
  <c r="B220" i="12"/>
  <c r="D219" i="12"/>
  <c r="B218" i="12"/>
  <c r="D217" i="12"/>
  <c r="B216" i="12"/>
  <c r="D215" i="12"/>
  <c r="B214" i="12"/>
  <c r="D213" i="12"/>
  <c r="A212" i="12"/>
  <c r="G211" i="12"/>
  <c r="C211" i="12"/>
  <c r="E210" i="12"/>
  <c r="A210" i="12"/>
  <c r="G209" i="12"/>
  <c r="C209" i="12"/>
  <c r="E208" i="12"/>
  <c r="A208" i="12"/>
  <c r="G207" i="12"/>
  <c r="C207" i="12"/>
  <c r="E206" i="12"/>
  <c r="A206" i="12"/>
  <c r="G205" i="12"/>
  <c r="C205" i="12"/>
  <c r="E204" i="12"/>
  <c r="A204" i="12"/>
  <c r="G203" i="12"/>
  <c r="C203" i="12"/>
  <c r="E202" i="12"/>
  <c r="A202" i="12"/>
  <c r="G201" i="12"/>
  <c r="C201" i="12"/>
  <c r="E200" i="12"/>
  <c r="A200" i="12"/>
  <c r="G199" i="12"/>
  <c r="C199" i="12"/>
  <c r="E198" i="12"/>
  <c r="A198" i="12"/>
  <c r="G197" i="12"/>
  <c r="C197" i="12"/>
  <c r="E196" i="12"/>
  <c r="A196" i="12"/>
  <c r="G195" i="12"/>
  <c r="C195" i="12"/>
  <c r="E194" i="12"/>
  <c r="A194" i="12"/>
  <c r="G193" i="12"/>
  <c r="C193" i="12"/>
  <c r="E192" i="12"/>
  <c r="A192" i="12"/>
  <c r="G191" i="12"/>
  <c r="C191" i="12"/>
  <c r="E190" i="12"/>
  <c r="A190" i="12"/>
  <c r="G189" i="12"/>
  <c r="C189" i="12"/>
  <c r="E188" i="12"/>
  <c r="A188" i="12"/>
  <c r="G187" i="12"/>
  <c r="C187" i="12"/>
  <c r="E186" i="12"/>
  <c r="A186" i="12"/>
  <c r="G185" i="12"/>
  <c r="C185" i="12"/>
  <c r="E184" i="12"/>
  <c r="A184" i="12"/>
  <c r="G183" i="12"/>
  <c r="C183" i="12"/>
  <c r="E182" i="12"/>
  <c r="A182" i="12"/>
  <c r="G181" i="12"/>
  <c r="C181" i="12"/>
  <c r="E180" i="12"/>
  <c r="A180" i="12"/>
  <c r="G179" i="12"/>
  <c r="C179" i="12"/>
  <c r="E178" i="12"/>
  <c r="A178" i="12"/>
  <c r="G177" i="12"/>
  <c r="C177" i="12"/>
  <c r="E176" i="12"/>
  <c r="A176" i="12"/>
  <c r="G175" i="12"/>
  <c r="C175" i="12"/>
  <c r="E174" i="12"/>
  <c r="A174" i="12"/>
  <c r="G173" i="12"/>
  <c r="C173" i="12"/>
  <c r="E172" i="12"/>
  <c r="A172" i="12"/>
  <c r="G171" i="12"/>
  <c r="C171" i="12"/>
  <c r="E170" i="12"/>
  <c r="A170" i="12"/>
  <c r="G169" i="12"/>
  <c r="C169" i="12"/>
  <c r="E168" i="12"/>
  <c r="A168" i="12"/>
  <c r="G167" i="12"/>
  <c r="C167" i="12"/>
  <c r="E166" i="12"/>
  <c r="A166" i="12"/>
  <c r="G165" i="12"/>
  <c r="C165" i="12"/>
  <c r="E164" i="12"/>
  <c r="A164" i="12"/>
  <c r="G163" i="12"/>
  <c r="C163" i="12"/>
  <c r="E162" i="12"/>
  <c r="A162" i="12"/>
  <c r="G161" i="12"/>
  <c r="C161" i="12"/>
  <c r="E160" i="12"/>
  <c r="A160" i="12"/>
  <c r="G159" i="12"/>
  <c r="C159" i="12"/>
  <c r="E158" i="12"/>
  <c r="A158" i="12"/>
  <c r="G157" i="12"/>
  <c r="C157" i="12"/>
  <c r="E156" i="12"/>
  <c r="A156" i="12"/>
  <c r="G155" i="12"/>
  <c r="C155" i="12"/>
  <c r="E154" i="12"/>
  <c r="A154" i="12"/>
  <c r="G153" i="12"/>
  <c r="C153" i="12"/>
  <c r="E152" i="12"/>
  <c r="A152" i="12"/>
  <c r="G151" i="12"/>
  <c r="C151" i="12"/>
  <c r="E150" i="12"/>
  <c r="A150" i="12"/>
  <c r="G149" i="12"/>
  <c r="C149" i="12"/>
  <c r="E148" i="12"/>
  <c r="A148" i="12"/>
  <c r="G147" i="12"/>
  <c r="C147" i="12"/>
  <c r="E146" i="12"/>
  <c r="A146" i="12"/>
  <c r="G145" i="12"/>
  <c r="C145" i="12"/>
  <c r="E144" i="12"/>
  <c r="A144" i="12"/>
  <c r="G143" i="12"/>
  <c r="C143" i="12"/>
  <c r="E142" i="12"/>
  <c r="A142" i="12"/>
  <c r="G141" i="12"/>
  <c r="C141" i="12"/>
  <c r="E140" i="12"/>
  <c r="A140" i="12"/>
  <c r="G139" i="12"/>
  <c r="C139" i="12"/>
  <c r="E138" i="12"/>
  <c r="A138" i="12"/>
  <c r="G137" i="12"/>
  <c r="C137" i="12"/>
  <c r="E136" i="12"/>
  <c r="A136" i="12"/>
  <c r="G135" i="12"/>
  <c r="C135" i="12"/>
  <c r="E134" i="12"/>
  <c r="A134" i="12"/>
  <c r="G133" i="12"/>
  <c r="C133" i="12"/>
  <c r="E132" i="12"/>
  <c r="A132" i="12"/>
  <c r="G131" i="12"/>
  <c r="C131" i="12"/>
  <c r="E130" i="12"/>
  <c r="A130" i="12"/>
  <c r="G129" i="12"/>
  <c r="C129" i="12"/>
  <c r="E128" i="12"/>
  <c r="A128" i="12"/>
  <c r="G127" i="12"/>
  <c r="C127" i="12"/>
  <c r="E126" i="12"/>
  <c r="A126" i="12"/>
  <c r="G125" i="12"/>
  <c r="C125" i="12"/>
  <c r="E124" i="12"/>
  <c r="A124" i="12"/>
  <c r="G123" i="12"/>
  <c r="C123" i="12"/>
  <c r="E122" i="12"/>
  <c r="A122" i="12"/>
  <c r="G121" i="12"/>
  <c r="C121" i="12"/>
  <c r="E120" i="12"/>
  <c r="A120" i="12"/>
  <c r="G119" i="12"/>
  <c r="C119" i="12"/>
  <c r="E118" i="12"/>
  <c r="A118" i="12"/>
  <c r="G117" i="12"/>
  <c r="C117" i="12"/>
  <c r="E116" i="12"/>
  <c r="A116" i="12"/>
  <c r="G115" i="12"/>
  <c r="C115" i="12"/>
  <c r="E114" i="12"/>
  <c r="A114" i="12"/>
  <c r="G113" i="12"/>
  <c r="C113" i="12"/>
  <c r="E112" i="12"/>
  <c r="A112" i="12"/>
  <c r="G111" i="12"/>
  <c r="C111" i="12"/>
  <c r="E110" i="12"/>
  <c r="A110" i="12"/>
  <c r="G109" i="12"/>
  <c r="C109" i="12"/>
  <c r="E108" i="12"/>
  <c r="A108" i="12"/>
  <c r="G107" i="12"/>
  <c r="C107" i="12"/>
  <c r="E106" i="12"/>
  <c r="A106" i="12"/>
  <c r="G105" i="12"/>
  <c r="C105" i="12"/>
  <c r="E104" i="12"/>
  <c r="A104" i="12"/>
  <c r="G103" i="12"/>
  <c r="C103" i="12"/>
  <c r="E102" i="12"/>
  <c r="A102" i="12"/>
  <c r="G101" i="12"/>
  <c r="C101" i="12"/>
  <c r="E100" i="12"/>
  <c r="A100" i="12"/>
  <c r="G99" i="12"/>
  <c r="C99" i="12"/>
  <c r="E98" i="12"/>
  <c r="A98" i="12"/>
  <c r="G97" i="12"/>
  <c r="C97" i="12"/>
  <c r="E96" i="12"/>
  <c r="A96" i="12"/>
  <c r="G95" i="12"/>
  <c r="C95" i="12"/>
  <c r="E94" i="12"/>
  <c r="A94" i="12"/>
  <c r="G93" i="12"/>
  <c r="C93" i="12"/>
  <c r="E92" i="12"/>
  <c r="A92" i="12"/>
  <c r="G91" i="12"/>
  <c r="C91" i="12"/>
  <c r="E90" i="12"/>
  <c r="A90" i="12"/>
  <c r="G89" i="12"/>
  <c r="C89" i="12"/>
  <c r="E88" i="12"/>
  <c r="A88" i="12"/>
  <c r="G87" i="12"/>
  <c r="C87" i="12"/>
  <c r="E86" i="12"/>
  <c r="A86" i="12"/>
  <c r="G85" i="12"/>
  <c r="C85" i="12"/>
  <c r="E84" i="12"/>
  <c r="A84" i="12"/>
  <c r="G83" i="12"/>
  <c r="C83" i="12"/>
  <c r="E82" i="12"/>
  <c r="A82" i="12"/>
  <c r="G81" i="12"/>
  <c r="C81" i="12"/>
  <c r="E80" i="12"/>
  <c r="A80" i="12"/>
  <c r="G79" i="12"/>
  <c r="C79" i="12"/>
  <c r="E78" i="12"/>
  <c r="A78" i="12"/>
  <c r="G77" i="12"/>
  <c r="C77" i="12"/>
  <c r="E76" i="12"/>
  <c r="A76" i="12"/>
  <c r="G75" i="12"/>
  <c r="C75" i="12"/>
  <c r="E74" i="12"/>
  <c r="A74" i="12"/>
  <c r="G73" i="12"/>
  <c r="C73" i="12"/>
  <c r="E72" i="12"/>
  <c r="A72" i="12"/>
  <c r="G71" i="12"/>
  <c r="C71" i="12"/>
  <c r="E70" i="12"/>
  <c r="A70" i="12"/>
  <c r="G69" i="12"/>
  <c r="C69" i="12"/>
  <c r="E68" i="12"/>
  <c r="A68" i="12"/>
  <c r="G67" i="12"/>
  <c r="C67" i="12"/>
  <c r="E66" i="12"/>
  <c r="A66" i="12"/>
  <c r="G65" i="12"/>
  <c r="C65" i="12"/>
  <c r="E64" i="12"/>
  <c r="A64" i="12"/>
  <c r="G63" i="12"/>
  <c r="C63" i="12"/>
  <c r="E62" i="12"/>
  <c r="A62" i="12"/>
  <c r="G61" i="12"/>
  <c r="C61" i="12"/>
  <c r="E60" i="12"/>
  <c r="A60" i="12"/>
  <c r="G59" i="12"/>
  <c r="C59" i="12"/>
  <c r="E58" i="12"/>
  <c r="A58" i="12"/>
  <c r="G57" i="12"/>
  <c r="C57" i="12"/>
  <c r="E56" i="12"/>
  <c r="A56" i="12"/>
  <c r="G55" i="12"/>
  <c r="C55" i="12"/>
  <c r="E54" i="12"/>
  <c r="A54" i="12"/>
  <c r="G53" i="12"/>
  <c r="C53" i="12"/>
  <c r="E52" i="12"/>
  <c r="A52" i="12"/>
  <c r="G51" i="12"/>
  <c r="C51" i="12"/>
  <c r="E50" i="12"/>
  <c r="A50" i="12"/>
  <c r="G49" i="12"/>
  <c r="C49" i="12"/>
  <c r="E48" i="12"/>
  <c r="A48" i="12"/>
  <c r="G47" i="12"/>
  <c r="C47" i="12"/>
  <c r="E46" i="12"/>
  <c r="A46" i="12"/>
  <c r="G45" i="12"/>
  <c r="C45" i="12"/>
  <c r="E44" i="12"/>
  <c r="A44" i="12"/>
  <c r="G43" i="12"/>
  <c r="C43" i="12"/>
  <c r="E42" i="12"/>
  <c r="A42" i="12"/>
  <c r="G41" i="12"/>
  <c r="C41" i="12"/>
  <c r="E40" i="12"/>
  <c r="A40" i="12"/>
  <c r="G39" i="12"/>
  <c r="C39" i="12"/>
  <c r="E38" i="12"/>
  <c r="A38" i="12"/>
  <c r="G37" i="12"/>
  <c r="C37" i="12"/>
  <c r="E36" i="12"/>
  <c r="A36" i="12"/>
  <c r="G35" i="12"/>
  <c r="C35" i="12"/>
  <c r="E34" i="12"/>
  <c r="A34" i="12"/>
  <c r="G33" i="12"/>
  <c r="C33" i="12"/>
  <c r="E32" i="12"/>
  <c r="A32" i="12"/>
  <c r="G31" i="12"/>
  <c r="C31" i="12"/>
  <c r="E30" i="12"/>
  <c r="A30" i="12"/>
  <c r="G29" i="12"/>
  <c r="C29" i="12"/>
  <c r="E28" i="12"/>
  <c r="A28" i="12"/>
  <c r="G27" i="12"/>
  <c r="C27" i="12"/>
  <c r="E26" i="12"/>
  <c r="A26" i="12"/>
  <c r="G25" i="12"/>
  <c r="C25" i="12"/>
  <c r="E24" i="12"/>
  <c r="A24" i="12"/>
  <c r="G23" i="12"/>
  <c r="C23" i="12"/>
  <c r="E22" i="12"/>
  <c r="A22" i="12"/>
  <c r="G21" i="12"/>
  <c r="C21" i="12"/>
  <c r="E20" i="12"/>
  <c r="A20" i="12"/>
  <c r="G19" i="12"/>
  <c r="C19" i="12"/>
  <c r="E18" i="12"/>
  <c r="A18" i="12"/>
  <c r="G17" i="12"/>
  <c r="C17" i="12"/>
  <c r="E16" i="12"/>
  <c r="A16" i="12"/>
  <c r="G15" i="12"/>
  <c r="C15" i="12"/>
  <c r="E14" i="12"/>
  <c r="A14" i="12"/>
  <c r="G13" i="12"/>
  <c r="C13" i="12"/>
  <c r="E12" i="12"/>
  <c r="A12" i="12"/>
  <c r="G11" i="12"/>
  <c r="C11" i="12"/>
  <c r="E10" i="12"/>
  <c r="A10" i="12"/>
  <c r="G9" i="12"/>
  <c r="C9" i="12"/>
  <c r="E8" i="12"/>
  <c r="A8" i="12"/>
  <c r="G7" i="12"/>
  <c r="C7" i="12"/>
  <c r="E6" i="12"/>
  <c r="A6" i="12"/>
  <c r="G5" i="12"/>
  <c r="C5" i="12"/>
  <c r="E4" i="12"/>
  <c r="A4" i="12"/>
  <c r="G3" i="12"/>
  <c r="C3" i="12"/>
  <c r="R2" i="12"/>
  <c r="B2" i="12"/>
  <c r="B5" i="2"/>
  <c r="D3" i="4" l="1"/>
  <c r="F8" i="4"/>
  <c r="D3" i="5"/>
  <c r="B3" i="6"/>
  <c r="F7" i="8"/>
  <c r="F7" i="4"/>
  <c r="F7" i="5"/>
  <c r="F3" i="7"/>
  <c r="F6" i="8"/>
  <c r="F5" i="4"/>
  <c r="F8" i="5"/>
  <c r="D3" i="8"/>
  <c r="F8" i="8"/>
  <c r="E5" i="2"/>
  <c r="F5" i="2"/>
  <c r="L2" i="12"/>
  <c r="J2" i="12"/>
  <c r="F2" i="12"/>
  <c r="I3" i="12"/>
  <c r="H3" i="12"/>
  <c r="I5" i="12"/>
  <c r="H5" i="12"/>
  <c r="I7" i="12"/>
  <c r="H7" i="12"/>
  <c r="I9" i="12"/>
  <c r="H9" i="12"/>
  <c r="I11" i="12"/>
  <c r="H11" i="12"/>
  <c r="I13" i="12"/>
  <c r="H13" i="12"/>
  <c r="I15" i="12"/>
  <c r="H15" i="12"/>
  <c r="I17" i="12"/>
  <c r="H17" i="12"/>
  <c r="I19" i="12"/>
  <c r="H19" i="12"/>
  <c r="I21" i="12"/>
  <c r="H21" i="12"/>
  <c r="I23" i="12"/>
  <c r="H23" i="12"/>
  <c r="I25" i="12"/>
  <c r="H25" i="12"/>
  <c r="I27" i="12"/>
  <c r="H27" i="12"/>
  <c r="I29" i="12"/>
  <c r="H29" i="12"/>
  <c r="I31" i="12"/>
  <c r="H31" i="12"/>
  <c r="I33" i="12"/>
  <c r="H33" i="12"/>
  <c r="I35" i="12"/>
  <c r="H35" i="12"/>
  <c r="I37" i="12"/>
  <c r="H37" i="12"/>
  <c r="I39" i="12"/>
  <c r="H39" i="12"/>
  <c r="I41" i="12"/>
  <c r="H41" i="12"/>
  <c r="I43" i="12"/>
  <c r="H43" i="12"/>
  <c r="I45" i="12"/>
  <c r="H45" i="12"/>
  <c r="I47" i="12"/>
  <c r="H47" i="12"/>
  <c r="I49" i="12"/>
  <c r="H49" i="12"/>
  <c r="I51" i="12"/>
  <c r="H51" i="12"/>
  <c r="I53" i="12"/>
  <c r="H53" i="12"/>
  <c r="I55" i="12"/>
  <c r="H55" i="12"/>
  <c r="I57" i="12"/>
  <c r="H57" i="12"/>
  <c r="I59" i="12"/>
  <c r="H59" i="12"/>
  <c r="I61" i="12"/>
  <c r="H61" i="12"/>
  <c r="I63" i="12"/>
  <c r="H63" i="12"/>
  <c r="I65" i="12"/>
  <c r="H65" i="12"/>
  <c r="I67" i="12"/>
  <c r="H67" i="12"/>
  <c r="I69" i="12"/>
  <c r="H69" i="12"/>
  <c r="I71" i="12"/>
  <c r="H71" i="12"/>
  <c r="I73" i="12"/>
  <c r="H73" i="12"/>
  <c r="I75" i="12"/>
  <c r="H75" i="12"/>
  <c r="I77" i="12"/>
  <c r="H77" i="12"/>
  <c r="I79" i="12"/>
  <c r="H79" i="12"/>
  <c r="I81" i="12"/>
  <c r="H81" i="12"/>
  <c r="I83" i="12"/>
  <c r="H83" i="12"/>
  <c r="I85" i="12"/>
  <c r="H85" i="12"/>
  <c r="I87" i="12"/>
  <c r="H87" i="12"/>
  <c r="I89" i="12"/>
  <c r="H89" i="12"/>
  <c r="I91" i="12"/>
  <c r="H91" i="12"/>
  <c r="I93" i="12"/>
  <c r="H93" i="12"/>
  <c r="I95" i="12"/>
  <c r="H95" i="12"/>
  <c r="I97" i="12"/>
  <c r="H97" i="12"/>
  <c r="I99" i="12"/>
  <c r="H99" i="12"/>
  <c r="I101" i="12"/>
  <c r="H101" i="12"/>
  <c r="I103" i="12"/>
  <c r="H103" i="12"/>
  <c r="I105" i="12"/>
  <c r="H105" i="12"/>
  <c r="I107" i="12"/>
  <c r="H107" i="12"/>
  <c r="I109" i="12"/>
  <c r="H109" i="12"/>
  <c r="I111" i="12"/>
  <c r="H111" i="12"/>
  <c r="I113" i="12"/>
  <c r="H113" i="12"/>
  <c r="I115" i="12"/>
  <c r="H115" i="12"/>
  <c r="I117" i="12"/>
  <c r="H117" i="12"/>
  <c r="I119" i="12"/>
  <c r="H119" i="12"/>
  <c r="I121" i="12"/>
  <c r="H121" i="12"/>
  <c r="I123" i="12"/>
  <c r="H123" i="12"/>
  <c r="I125" i="12"/>
  <c r="H125" i="12"/>
  <c r="I127" i="12"/>
  <c r="H127" i="12"/>
  <c r="I129" i="12"/>
  <c r="H129" i="12"/>
  <c r="I131" i="12"/>
  <c r="H131" i="12"/>
  <c r="I133" i="12"/>
  <c r="H133" i="12"/>
  <c r="I135" i="12"/>
  <c r="H135" i="12"/>
  <c r="I137" i="12"/>
  <c r="H137" i="12"/>
  <c r="I139" i="12"/>
  <c r="H139" i="12"/>
  <c r="I141" i="12"/>
  <c r="H141" i="12"/>
  <c r="I143" i="12"/>
  <c r="H143" i="12"/>
  <c r="I145" i="12"/>
  <c r="H145" i="12"/>
  <c r="I147" i="12"/>
  <c r="H147" i="12"/>
  <c r="I149" i="12"/>
  <c r="H149" i="12"/>
  <c r="I151" i="12"/>
  <c r="H151" i="12"/>
  <c r="I153" i="12"/>
  <c r="H153" i="12"/>
  <c r="I155" i="12"/>
  <c r="H155" i="12"/>
  <c r="I157" i="12"/>
  <c r="H157" i="12"/>
  <c r="I159" i="12"/>
  <c r="H159" i="12"/>
  <c r="I161" i="12"/>
  <c r="H161" i="12"/>
  <c r="I163" i="12"/>
  <c r="H163" i="12"/>
  <c r="I165" i="12"/>
  <c r="H165" i="12"/>
  <c r="I167" i="12"/>
  <c r="H167" i="12"/>
  <c r="I169" i="12"/>
  <c r="H169" i="12"/>
  <c r="I171" i="12"/>
  <c r="H171" i="12"/>
  <c r="I173" i="12"/>
  <c r="H173" i="12"/>
  <c r="I175" i="12"/>
  <c r="H175" i="12"/>
  <c r="I177" i="12"/>
  <c r="H177" i="12"/>
  <c r="I179" i="12"/>
  <c r="H179" i="12"/>
  <c r="I181" i="12"/>
  <c r="H181" i="12"/>
  <c r="I183" i="12"/>
  <c r="H183" i="12"/>
  <c r="I185" i="12"/>
  <c r="H185" i="12"/>
  <c r="I187" i="12"/>
  <c r="H187" i="12"/>
  <c r="I189" i="12"/>
  <c r="H189" i="12"/>
  <c r="I191" i="12"/>
  <c r="H191" i="12"/>
  <c r="I193" i="12"/>
  <c r="H193" i="12"/>
  <c r="I195" i="12"/>
  <c r="H195" i="12"/>
  <c r="I197" i="12"/>
  <c r="H197" i="12"/>
  <c r="I199" i="12"/>
  <c r="H199" i="12"/>
  <c r="I201" i="12"/>
  <c r="H201" i="12"/>
  <c r="I203" i="12"/>
  <c r="H203" i="12"/>
  <c r="I205" i="12"/>
  <c r="H205" i="12"/>
  <c r="I207" i="12"/>
  <c r="H207" i="12"/>
  <c r="I209" i="12"/>
  <c r="H209" i="12"/>
  <c r="I211" i="12"/>
  <c r="H211" i="12"/>
  <c r="J214" i="12"/>
  <c r="F214" i="12"/>
  <c r="J216" i="12"/>
  <c r="F216" i="12"/>
  <c r="J218" i="12"/>
  <c r="F218" i="12"/>
  <c r="J220" i="12"/>
  <c r="F220" i="12"/>
  <c r="J222" i="12"/>
  <c r="F222" i="12"/>
  <c r="J224" i="12"/>
  <c r="F224" i="12"/>
  <c r="J226" i="12"/>
  <c r="F226" i="12"/>
  <c r="J228" i="12"/>
  <c r="F228" i="12"/>
  <c r="J230" i="12"/>
  <c r="F230" i="12"/>
  <c r="J232" i="12"/>
  <c r="F232" i="12"/>
  <c r="J234" i="12"/>
  <c r="F234" i="12"/>
  <c r="J236" i="12"/>
  <c r="F236" i="12"/>
  <c r="J238" i="12"/>
  <c r="F238" i="12"/>
  <c r="J240" i="12"/>
  <c r="F240" i="12"/>
  <c r="J242" i="12"/>
  <c r="F242" i="12"/>
  <c r="J244" i="12"/>
  <c r="F244" i="12"/>
  <c r="J246" i="12"/>
  <c r="F246" i="12"/>
  <c r="J248" i="12"/>
  <c r="F248" i="12"/>
  <c r="J250" i="12"/>
  <c r="F250" i="12"/>
  <c r="J252" i="12"/>
  <c r="F252" i="12"/>
  <c r="J254" i="12"/>
  <c r="F254" i="12"/>
  <c r="J256" i="12"/>
  <c r="F256" i="12"/>
  <c r="J258" i="12"/>
  <c r="F258" i="12"/>
  <c r="J260" i="12"/>
  <c r="F260" i="12"/>
  <c r="J262" i="12"/>
  <c r="F262" i="12"/>
  <c r="J264" i="12"/>
  <c r="F264" i="12"/>
  <c r="J266" i="12"/>
  <c r="F266" i="12"/>
  <c r="J268" i="12"/>
  <c r="F268" i="12"/>
  <c r="J270" i="12"/>
  <c r="F270" i="12"/>
  <c r="J272" i="12"/>
  <c r="F272" i="12"/>
  <c r="J274" i="12"/>
  <c r="F274" i="12"/>
  <c r="J276" i="12"/>
  <c r="F276" i="12"/>
  <c r="J278" i="12"/>
  <c r="F278" i="12"/>
  <c r="J280" i="12"/>
  <c r="F280" i="12"/>
  <c r="J282" i="12"/>
  <c r="F282" i="12"/>
  <c r="J284" i="12"/>
  <c r="F284" i="12"/>
  <c r="J286" i="12"/>
  <c r="F286" i="12"/>
  <c r="J288" i="12"/>
  <c r="F288" i="12"/>
  <c r="J290" i="12"/>
  <c r="F290" i="12"/>
  <c r="J292" i="12"/>
  <c r="F292" i="12"/>
  <c r="J294" i="12"/>
  <c r="F294" i="12"/>
  <c r="J296" i="12"/>
  <c r="F296" i="12"/>
  <c r="J298" i="12"/>
  <c r="F298" i="12"/>
  <c r="J300" i="12"/>
  <c r="F300" i="12"/>
  <c r="J302" i="12"/>
  <c r="F302" i="12"/>
  <c r="J304" i="12"/>
  <c r="F304" i="12"/>
  <c r="J306" i="12"/>
  <c r="F306" i="12"/>
  <c r="J308" i="12"/>
  <c r="F308" i="12"/>
  <c r="J310" i="12"/>
  <c r="F310" i="12"/>
  <c r="J312" i="12"/>
  <c r="F312" i="12"/>
  <c r="J314" i="12"/>
  <c r="F314" i="12"/>
  <c r="J316" i="12"/>
  <c r="F316" i="12"/>
  <c r="J318" i="12"/>
  <c r="F318" i="12"/>
  <c r="J320" i="12"/>
  <c r="F320" i="12"/>
  <c r="J322" i="12"/>
  <c r="F322" i="12"/>
  <c r="J324" i="12"/>
  <c r="F324" i="12"/>
  <c r="J326" i="12"/>
  <c r="F326" i="12"/>
  <c r="J328" i="12"/>
  <c r="F328" i="12"/>
  <c r="J330" i="12"/>
  <c r="F330" i="12"/>
  <c r="J332" i="12"/>
  <c r="F332" i="12"/>
  <c r="J334" i="12"/>
  <c r="F334" i="12"/>
  <c r="I337" i="12"/>
  <c r="H337" i="12"/>
  <c r="F338" i="12"/>
  <c r="J338" i="12"/>
  <c r="H338" i="12"/>
  <c r="I338" i="12"/>
  <c r="I340" i="12"/>
  <c r="H340" i="12"/>
  <c r="I344" i="12"/>
  <c r="H344" i="12"/>
  <c r="J354" i="12"/>
  <c r="F354" i="12"/>
  <c r="J362" i="12"/>
  <c r="F362" i="12"/>
  <c r="J370" i="12"/>
  <c r="F370" i="12"/>
  <c r="J378" i="12"/>
  <c r="F378" i="12"/>
  <c r="J386" i="12"/>
  <c r="F386" i="12"/>
  <c r="J394" i="12"/>
  <c r="F394" i="12"/>
  <c r="J402" i="12"/>
  <c r="F402" i="12"/>
  <c r="J410" i="12"/>
  <c r="F410" i="12"/>
  <c r="J418" i="12"/>
  <c r="F418" i="12"/>
  <c r="I2" i="12"/>
  <c r="H2" i="12"/>
  <c r="J4" i="12"/>
  <c r="F4" i="12"/>
  <c r="J6" i="12"/>
  <c r="F6" i="12"/>
  <c r="J8" i="12"/>
  <c r="F8" i="12"/>
  <c r="J10" i="12"/>
  <c r="F10" i="12"/>
  <c r="J12" i="12"/>
  <c r="F12" i="12"/>
  <c r="J14" i="12"/>
  <c r="F14" i="12"/>
  <c r="J16" i="12"/>
  <c r="F16" i="12"/>
  <c r="J18" i="12"/>
  <c r="F18" i="12"/>
  <c r="J20" i="12"/>
  <c r="F20" i="12"/>
  <c r="J22" i="12"/>
  <c r="F22" i="12"/>
  <c r="J24" i="12"/>
  <c r="F24" i="12"/>
  <c r="J26" i="12"/>
  <c r="F26" i="12"/>
  <c r="J28" i="12"/>
  <c r="F28" i="12"/>
  <c r="J30" i="12"/>
  <c r="F30" i="12"/>
  <c r="J32" i="12"/>
  <c r="F32" i="12"/>
  <c r="J34" i="12"/>
  <c r="F34" i="12"/>
  <c r="J36" i="12"/>
  <c r="F36" i="12"/>
  <c r="J38" i="12"/>
  <c r="F38" i="12"/>
  <c r="J40" i="12"/>
  <c r="F40" i="12"/>
  <c r="J42" i="12"/>
  <c r="F42" i="12"/>
  <c r="J44" i="12"/>
  <c r="F44" i="12"/>
  <c r="J46" i="12"/>
  <c r="F46" i="12"/>
  <c r="J48" i="12"/>
  <c r="F48" i="12"/>
  <c r="J50" i="12"/>
  <c r="F50" i="12"/>
  <c r="J52" i="12"/>
  <c r="F52" i="12"/>
  <c r="J54" i="12"/>
  <c r="F54" i="12"/>
  <c r="J56" i="12"/>
  <c r="F56" i="12"/>
  <c r="J58" i="12"/>
  <c r="F58" i="12"/>
  <c r="J60" i="12"/>
  <c r="F60" i="12"/>
  <c r="J62" i="12"/>
  <c r="F62" i="12"/>
  <c r="J64" i="12"/>
  <c r="F64" i="12"/>
  <c r="J66" i="12"/>
  <c r="F66" i="12"/>
  <c r="J68" i="12"/>
  <c r="F68" i="12"/>
  <c r="J70" i="12"/>
  <c r="F70" i="12"/>
  <c r="J72" i="12"/>
  <c r="F72" i="12"/>
  <c r="J74" i="12"/>
  <c r="F74" i="12"/>
  <c r="J76" i="12"/>
  <c r="F76" i="12"/>
  <c r="J78" i="12"/>
  <c r="F78" i="12"/>
  <c r="J80" i="12"/>
  <c r="F80" i="12"/>
  <c r="J82" i="12"/>
  <c r="F82" i="12"/>
  <c r="J84" i="12"/>
  <c r="F84" i="12"/>
  <c r="J86" i="12"/>
  <c r="F86" i="12"/>
  <c r="J88" i="12"/>
  <c r="F88" i="12"/>
  <c r="J90" i="12"/>
  <c r="F90" i="12"/>
  <c r="J92" i="12"/>
  <c r="F92" i="12"/>
  <c r="J94" i="12"/>
  <c r="F94" i="12"/>
  <c r="J96" i="12"/>
  <c r="F96" i="12"/>
  <c r="J98" i="12"/>
  <c r="F98" i="12"/>
  <c r="J100" i="12"/>
  <c r="F100" i="12"/>
  <c r="J102" i="12"/>
  <c r="F102" i="12"/>
  <c r="J104" i="12"/>
  <c r="F104" i="12"/>
  <c r="J106" i="12"/>
  <c r="F106" i="12"/>
  <c r="J108" i="12"/>
  <c r="F108" i="12"/>
  <c r="J110" i="12"/>
  <c r="F110" i="12"/>
  <c r="J112" i="12"/>
  <c r="F112" i="12"/>
  <c r="J114" i="12"/>
  <c r="F114" i="12"/>
  <c r="J116" i="12"/>
  <c r="F116" i="12"/>
  <c r="J118" i="12"/>
  <c r="F118" i="12"/>
  <c r="J120" i="12"/>
  <c r="F120" i="12"/>
  <c r="J122" i="12"/>
  <c r="F122" i="12"/>
  <c r="J124" i="12"/>
  <c r="F124" i="12"/>
  <c r="J126" i="12"/>
  <c r="F126" i="12"/>
  <c r="J128" i="12"/>
  <c r="F128" i="12"/>
  <c r="J130" i="12"/>
  <c r="F130" i="12"/>
  <c r="J132" i="12"/>
  <c r="F132" i="12"/>
  <c r="J134" i="12"/>
  <c r="F134" i="12"/>
  <c r="J136" i="12"/>
  <c r="F136" i="12"/>
  <c r="J138" i="12"/>
  <c r="F138" i="12"/>
  <c r="J140" i="12"/>
  <c r="F140" i="12"/>
  <c r="J142" i="12"/>
  <c r="F142" i="12"/>
  <c r="J144" i="12"/>
  <c r="F144" i="12"/>
  <c r="J146" i="12"/>
  <c r="F146" i="12"/>
  <c r="J148" i="12"/>
  <c r="F148" i="12"/>
  <c r="J150" i="12"/>
  <c r="F150" i="12"/>
  <c r="J152" i="12"/>
  <c r="F152" i="12"/>
  <c r="J154" i="12"/>
  <c r="F154" i="12"/>
  <c r="J156" i="12"/>
  <c r="F156" i="12"/>
  <c r="J158" i="12"/>
  <c r="F158" i="12"/>
  <c r="J160" i="12"/>
  <c r="F160" i="12"/>
  <c r="J162" i="12"/>
  <c r="F162" i="12"/>
  <c r="J164" i="12"/>
  <c r="F164" i="12"/>
  <c r="J166" i="12"/>
  <c r="F166" i="12"/>
  <c r="J168" i="12"/>
  <c r="F168" i="12"/>
  <c r="J170" i="12"/>
  <c r="F170" i="12"/>
  <c r="J172" i="12"/>
  <c r="F172" i="12"/>
  <c r="J174" i="12"/>
  <c r="F174" i="12"/>
  <c r="J176" i="12"/>
  <c r="F176" i="12"/>
  <c r="J178" i="12"/>
  <c r="F178" i="12"/>
  <c r="J180" i="12"/>
  <c r="F180" i="12"/>
  <c r="J182" i="12"/>
  <c r="F182" i="12"/>
  <c r="J184" i="12"/>
  <c r="F184" i="12"/>
  <c r="J186" i="12"/>
  <c r="F186" i="12"/>
  <c r="J188" i="12"/>
  <c r="F188" i="12"/>
  <c r="J190" i="12"/>
  <c r="F190" i="12"/>
  <c r="J192" i="12"/>
  <c r="F192" i="12"/>
  <c r="J194" i="12"/>
  <c r="F194" i="12"/>
  <c r="J196" i="12"/>
  <c r="F196" i="12"/>
  <c r="J198" i="12"/>
  <c r="F198" i="12"/>
  <c r="J200" i="12"/>
  <c r="F200" i="12"/>
  <c r="J202" i="12"/>
  <c r="F202" i="12"/>
  <c r="J204" i="12"/>
  <c r="F204" i="12"/>
  <c r="J206" i="12"/>
  <c r="F206" i="12"/>
  <c r="J208" i="12"/>
  <c r="F208" i="12"/>
  <c r="J210" i="12"/>
  <c r="F210" i="12"/>
  <c r="J212" i="12"/>
  <c r="F212" i="12"/>
  <c r="I212" i="12"/>
  <c r="H212" i="12"/>
  <c r="I214" i="12"/>
  <c r="H214" i="12"/>
  <c r="I216" i="12"/>
  <c r="H216" i="12"/>
  <c r="I218" i="12"/>
  <c r="H218" i="12"/>
  <c r="I220" i="12"/>
  <c r="H220" i="12"/>
  <c r="I222" i="12"/>
  <c r="H222" i="12"/>
  <c r="I224" i="12"/>
  <c r="H224" i="12"/>
  <c r="I226" i="12"/>
  <c r="H226" i="12"/>
  <c r="I228" i="12"/>
  <c r="H228" i="12"/>
  <c r="I230" i="12"/>
  <c r="H230" i="12"/>
  <c r="I232" i="12"/>
  <c r="H232" i="12"/>
  <c r="I234" i="12"/>
  <c r="H234" i="12"/>
  <c r="I236" i="12"/>
  <c r="H236" i="12"/>
  <c r="I238" i="12"/>
  <c r="H238" i="12"/>
  <c r="I240" i="12"/>
  <c r="H240" i="12"/>
  <c r="I242" i="12"/>
  <c r="H242" i="12"/>
  <c r="I244" i="12"/>
  <c r="H244" i="12"/>
  <c r="I246" i="12"/>
  <c r="H246" i="12"/>
  <c r="I248" i="12"/>
  <c r="H248" i="12"/>
  <c r="I250" i="12"/>
  <c r="H250" i="12"/>
  <c r="I252" i="12"/>
  <c r="H252" i="12"/>
  <c r="I254" i="12"/>
  <c r="H254" i="12"/>
  <c r="I256" i="12"/>
  <c r="H256" i="12"/>
  <c r="I258" i="12"/>
  <c r="H258" i="12"/>
  <c r="I260" i="12"/>
  <c r="H260" i="12"/>
  <c r="I262" i="12"/>
  <c r="H262" i="12"/>
  <c r="I264" i="12"/>
  <c r="H264" i="12"/>
  <c r="I266" i="12"/>
  <c r="H266" i="12"/>
  <c r="I268" i="12"/>
  <c r="H268" i="12"/>
  <c r="I270" i="12"/>
  <c r="H270" i="12"/>
  <c r="I272" i="12"/>
  <c r="H272" i="12"/>
  <c r="I274" i="12"/>
  <c r="H274" i="12"/>
  <c r="I276" i="12"/>
  <c r="H276" i="12"/>
  <c r="I278" i="12"/>
  <c r="H278" i="12"/>
  <c r="I280" i="12"/>
  <c r="H280" i="12"/>
  <c r="I282" i="12"/>
  <c r="H282" i="12"/>
  <c r="I284" i="12"/>
  <c r="H284" i="12"/>
  <c r="I286" i="12"/>
  <c r="H286" i="12"/>
  <c r="I288" i="12"/>
  <c r="H288" i="12"/>
  <c r="I290" i="12"/>
  <c r="H290" i="12"/>
  <c r="I292" i="12"/>
  <c r="H292" i="12"/>
  <c r="I294" i="12"/>
  <c r="H294" i="12"/>
  <c r="I296" i="12"/>
  <c r="H296" i="12"/>
  <c r="I298" i="12"/>
  <c r="H298" i="12"/>
  <c r="I300" i="12"/>
  <c r="H300" i="12"/>
  <c r="I302" i="12"/>
  <c r="H302" i="12"/>
  <c r="I304" i="12"/>
  <c r="H304" i="12"/>
  <c r="I306" i="12"/>
  <c r="H306" i="12"/>
  <c r="I308" i="12"/>
  <c r="H308" i="12"/>
  <c r="I310" i="12"/>
  <c r="H310" i="12"/>
  <c r="I312" i="12"/>
  <c r="H312" i="12"/>
  <c r="I314" i="12"/>
  <c r="H314" i="12"/>
  <c r="I316" i="12"/>
  <c r="H316" i="12"/>
  <c r="I318" i="12"/>
  <c r="H318" i="12"/>
  <c r="I320" i="12"/>
  <c r="H320" i="12"/>
  <c r="I322" i="12"/>
  <c r="H322" i="12"/>
  <c r="I324" i="12"/>
  <c r="H324" i="12"/>
  <c r="I326" i="12"/>
  <c r="H326" i="12"/>
  <c r="I328" i="12"/>
  <c r="H328" i="12"/>
  <c r="I330" i="12"/>
  <c r="H330" i="12"/>
  <c r="I332" i="12"/>
  <c r="H332" i="12"/>
  <c r="I334" i="12"/>
  <c r="H334" i="12"/>
  <c r="I335" i="12"/>
  <c r="H335" i="12"/>
  <c r="J336" i="12"/>
  <c r="F336" i="12"/>
  <c r="H336" i="12"/>
  <c r="I336" i="12"/>
  <c r="F340" i="12"/>
  <c r="J340" i="12"/>
  <c r="F344" i="12"/>
  <c r="J344" i="12"/>
  <c r="J348" i="12"/>
  <c r="F348" i="12"/>
  <c r="J356" i="12"/>
  <c r="F356" i="12"/>
  <c r="J364" i="12"/>
  <c r="F364" i="12"/>
  <c r="J372" i="12"/>
  <c r="F372" i="12"/>
  <c r="J380" i="12"/>
  <c r="F380" i="12"/>
  <c r="J388" i="12"/>
  <c r="F388" i="12"/>
  <c r="J396" i="12"/>
  <c r="F396" i="12"/>
  <c r="J404" i="12"/>
  <c r="F404" i="12"/>
  <c r="J412" i="12"/>
  <c r="F412" i="12"/>
  <c r="J420" i="12"/>
  <c r="F420" i="12"/>
  <c r="H4" i="12"/>
  <c r="I4" i="12"/>
  <c r="H6" i="12"/>
  <c r="I6" i="12"/>
  <c r="H8" i="12"/>
  <c r="I8" i="12"/>
  <c r="H10" i="12"/>
  <c r="I10" i="12"/>
  <c r="H12" i="12"/>
  <c r="I12" i="12"/>
  <c r="H14" i="12"/>
  <c r="I14" i="12"/>
  <c r="H16" i="12"/>
  <c r="I16" i="12"/>
  <c r="H18" i="12"/>
  <c r="I18" i="12"/>
  <c r="H20" i="12"/>
  <c r="I20" i="12"/>
  <c r="H22" i="12"/>
  <c r="I22" i="12"/>
  <c r="H24" i="12"/>
  <c r="I24" i="12"/>
  <c r="H26" i="12"/>
  <c r="I26" i="12"/>
  <c r="H28" i="12"/>
  <c r="I28" i="12"/>
  <c r="H30" i="12"/>
  <c r="I30" i="12"/>
  <c r="H32" i="12"/>
  <c r="I32" i="12"/>
  <c r="H34" i="12"/>
  <c r="I34" i="12"/>
  <c r="H36" i="12"/>
  <c r="I36" i="12"/>
  <c r="H38" i="12"/>
  <c r="I38" i="12"/>
  <c r="H40" i="12"/>
  <c r="I40" i="12"/>
  <c r="H42" i="12"/>
  <c r="I42" i="12"/>
  <c r="H44" i="12"/>
  <c r="I44" i="12"/>
  <c r="H46" i="12"/>
  <c r="I46" i="12"/>
  <c r="H48" i="12"/>
  <c r="I48" i="12"/>
  <c r="H50" i="12"/>
  <c r="I50" i="12"/>
  <c r="H52" i="12"/>
  <c r="I52" i="12"/>
  <c r="H54" i="12"/>
  <c r="I54" i="12"/>
  <c r="H56" i="12"/>
  <c r="I56" i="12"/>
  <c r="H58" i="12"/>
  <c r="I58" i="12"/>
  <c r="H60" i="12"/>
  <c r="I60" i="12"/>
  <c r="H62" i="12"/>
  <c r="I62" i="12"/>
  <c r="H64" i="12"/>
  <c r="I64" i="12"/>
  <c r="H66" i="12"/>
  <c r="I66" i="12"/>
  <c r="H68" i="12"/>
  <c r="I68" i="12"/>
  <c r="H70" i="12"/>
  <c r="I70" i="12"/>
  <c r="H72" i="12"/>
  <c r="I72" i="12"/>
  <c r="H74" i="12"/>
  <c r="I74" i="12"/>
  <c r="H76" i="12"/>
  <c r="I76" i="12"/>
  <c r="H78" i="12"/>
  <c r="I78" i="12"/>
  <c r="H80" i="12"/>
  <c r="I80" i="12"/>
  <c r="H82" i="12"/>
  <c r="I82" i="12"/>
  <c r="H84" i="12"/>
  <c r="I84" i="12"/>
  <c r="H86" i="12"/>
  <c r="I86" i="12"/>
  <c r="H88" i="12"/>
  <c r="I88" i="12"/>
  <c r="H90" i="12"/>
  <c r="I90" i="12"/>
  <c r="H92" i="12"/>
  <c r="I92" i="12"/>
  <c r="H94" i="12"/>
  <c r="I94" i="12"/>
  <c r="H96" i="12"/>
  <c r="I96" i="12"/>
  <c r="H98" i="12"/>
  <c r="I98" i="12"/>
  <c r="H100" i="12"/>
  <c r="I100" i="12"/>
  <c r="H102" i="12"/>
  <c r="I102" i="12"/>
  <c r="H104" i="12"/>
  <c r="I104" i="12"/>
  <c r="H106" i="12"/>
  <c r="I106" i="12"/>
  <c r="H108" i="12"/>
  <c r="I108" i="12"/>
  <c r="H110" i="12"/>
  <c r="I110" i="12"/>
  <c r="H112" i="12"/>
  <c r="I112" i="12"/>
  <c r="H114" i="12"/>
  <c r="I114" i="12"/>
  <c r="H116" i="12"/>
  <c r="I116" i="12"/>
  <c r="H118" i="12"/>
  <c r="I118" i="12"/>
  <c r="H120" i="12"/>
  <c r="I120" i="12"/>
  <c r="H122" i="12"/>
  <c r="I122" i="12"/>
  <c r="H124" i="12"/>
  <c r="I124" i="12"/>
  <c r="H126" i="12"/>
  <c r="I126" i="12"/>
  <c r="H128" i="12"/>
  <c r="I128" i="12"/>
  <c r="H130" i="12"/>
  <c r="I130" i="12"/>
  <c r="H132" i="12"/>
  <c r="I132" i="12"/>
  <c r="H134" i="12"/>
  <c r="I134" i="12"/>
  <c r="H136" i="12"/>
  <c r="I136" i="12"/>
  <c r="H138" i="12"/>
  <c r="I138" i="12"/>
  <c r="H140" i="12"/>
  <c r="I140" i="12"/>
  <c r="H142" i="12"/>
  <c r="I142" i="12"/>
  <c r="H144" i="12"/>
  <c r="I144" i="12"/>
  <c r="H146" i="12"/>
  <c r="I146" i="12"/>
  <c r="H148" i="12"/>
  <c r="I148" i="12"/>
  <c r="H150" i="12"/>
  <c r="I150" i="12"/>
  <c r="H152" i="12"/>
  <c r="I152" i="12"/>
  <c r="H154" i="12"/>
  <c r="I154" i="12"/>
  <c r="H156" i="12"/>
  <c r="I156" i="12"/>
  <c r="H158" i="12"/>
  <c r="I158" i="12"/>
  <c r="H160" i="12"/>
  <c r="I160" i="12"/>
  <c r="H162" i="12"/>
  <c r="I162" i="12"/>
  <c r="H164" i="12"/>
  <c r="I164" i="12"/>
  <c r="H166" i="12"/>
  <c r="I166" i="12"/>
  <c r="H168" i="12"/>
  <c r="I168" i="12"/>
  <c r="H170" i="12"/>
  <c r="I170" i="12"/>
  <c r="H172" i="12"/>
  <c r="I172" i="12"/>
  <c r="H174" i="12"/>
  <c r="I174" i="12"/>
  <c r="H176" i="12"/>
  <c r="I176" i="12"/>
  <c r="H178" i="12"/>
  <c r="I178" i="12"/>
  <c r="H180" i="12"/>
  <c r="I180" i="12"/>
  <c r="H182" i="12"/>
  <c r="I182" i="12"/>
  <c r="H184" i="12"/>
  <c r="I184" i="12"/>
  <c r="H186" i="12"/>
  <c r="I186" i="12"/>
  <c r="H188" i="12"/>
  <c r="I188" i="12"/>
  <c r="H190" i="12"/>
  <c r="I190" i="12"/>
  <c r="H192" i="12"/>
  <c r="I192" i="12"/>
  <c r="H194" i="12"/>
  <c r="I194" i="12"/>
  <c r="H196" i="12"/>
  <c r="I196" i="12"/>
  <c r="H198" i="12"/>
  <c r="I198" i="12"/>
  <c r="H200" i="12"/>
  <c r="I200" i="12"/>
  <c r="H202" i="12"/>
  <c r="I202" i="12"/>
  <c r="H204" i="12"/>
  <c r="I204" i="12"/>
  <c r="H206" i="12"/>
  <c r="I206" i="12"/>
  <c r="H208" i="12"/>
  <c r="I208" i="12"/>
  <c r="H210" i="12"/>
  <c r="I210" i="12"/>
  <c r="J213" i="12"/>
  <c r="F213" i="12"/>
  <c r="J215" i="12"/>
  <c r="F215" i="12"/>
  <c r="J217" i="12"/>
  <c r="F217" i="12"/>
  <c r="J219" i="12"/>
  <c r="F219" i="12"/>
  <c r="J221" i="12"/>
  <c r="F221" i="12"/>
  <c r="J223" i="12"/>
  <c r="F223" i="12"/>
  <c r="J225" i="12"/>
  <c r="F225" i="12"/>
  <c r="J227" i="12"/>
  <c r="F227" i="12"/>
  <c r="J229" i="12"/>
  <c r="F229" i="12"/>
  <c r="J231" i="12"/>
  <c r="F231" i="12"/>
  <c r="J233" i="12"/>
  <c r="F233" i="12"/>
  <c r="J235" i="12"/>
  <c r="F235" i="12"/>
  <c r="J237" i="12"/>
  <c r="F237" i="12"/>
  <c r="J239" i="12"/>
  <c r="F239" i="12"/>
  <c r="J241" i="12"/>
  <c r="F241" i="12"/>
  <c r="J243" i="12"/>
  <c r="F243" i="12"/>
  <c r="J245" i="12"/>
  <c r="F245" i="12"/>
  <c r="J247" i="12"/>
  <c r="F247" i="12"/>
  <c r="J249" i="12"/>
  <c r="F249" i="12"/>
  <c r="J251" i="12"/>
  <c r="F251" i="12"/>
  <c r="J253" i="12"/>
  <c r="F253" i="12"/>
  <c r="J255" i="12"/>
  <c r="F255" i="12"/>
  <c r="J257" i="12"/>
  <c r="F257" i="12"/>
  <c r="J259" i="12"/>
  <c r="F259" i="12"/>
  <c r="J261" i="12"/>
  <c r="F261" i="12"/>
  <c r="J263" i="12"/>
  <c r="F263" i="12"/>
  <c r="J265" i="12"/>
  <c r="F265" i="12"/>
  <c r="J267" i="12"/>
  <c r="F267" i="12"/>
  <c r="J269" i="12"/>
  <c r="F269" i="12"/>
  <c r="J271" i="12"/>
  <c r="F271" i="12"/>
  <c r="J273" i="12"/>
  <c r="F273" i="12"/>
  <c r="J275" i="12"/>
  <c r="F275" i="12"/>
  <c r="J277" i="12"/>
  <c r="F277" i="12"/>
  <c r="J279" i="12"/>
  <c r="F279" i="12"/>
  <c r="J281" i="12"/>
  <c r="F281" i="12"/>
  <c r="J283" i="12"/>
  <c r="F283" i="12"/>
  <c r="J285" i="12"/>
  <c r="F285" i="12"/>
  <c r="J287" i="12"/>
  <c r="F287" i="12"/>
  <c r="J289" i="12"/>
  <c r="F289" i="12"/>
  <c r="J291" i="12"/>
  <c r="F291" i="12"/>
  <c r="J293" i="12"/>
  <c r="F293" i="12"/>
  <c r="J295" i="12"/>
  <c r="F295" i="12"/>
  <c r="J297" i="12"/>
  <c r="F297" i="12"/>
  <c r="J299" i="12"/>
  <c r="F299" i="12"/>
  <c r="J301" i="12"/>
  <c r="F301" i="12"/>
  <c r="J303" i="12"/>
  <c r="F303" i="12"/>
  <c r="J305" i="12"/>
  <c r="F305" i="12"/>
  <c r="J307" i="12"/>
  <c r="F307" i="12"/>
  <c r="J309" i="12"/>
  <c r="F309" i="12"/>
  <c r="J311" i="12"/>
  <c r="F311" i="12"/>
  <c r="J313" i="12"/>
  <c r="F313" i="12"/>
  <c r="J315" i="12"/>
  <c r="F315" i="12"/>
  <c r="J317" i="12"/>
  <c r="F317" i="12"/>
  <c r="J319" i="12"/>
  <c r="F319" i="12"/>
  <c r="J321" i="12"/>
  <c r="F321" i="12"/>
  <c r="J323" i="12"/>
  <c r="F323" i="12"/>
  <c r="J325" i="12"/>
  <c r="F325" i="12"/>
  <c r="J327" i="12"/>
  <c r="F327" i="12"/>
  <c r="J329" i="12"/>
  <c r="F329" i="12"/>
  <c r="J331" i="12"/>
  <c r="F331" i="12"/>
  <c r="J333" i="12"/>
  <c r="F333" i="12"/>
  <c r="I342" i="12"/>
  <c r="H342" i="12"/>
  <c r="I346" i="12"/>
  <c r="H346" i="12"/>
  <c r="F350" i="12"/>
  <c r="J350" i="12"/>
  <c r="F358" i="12"/>
  <c r="J358" i="12"/>
  <c r="F366" i="12"/>
  <c r="J366" i="12"/>
  <c r="F374" i="12"/>
  <c r="J374" i="12"/>
  <c r="F382" i="12"/>
  <c r="J382" i="12"/>
  <c r="F390" i="12"/>
  <c r="J390" i="12"/>
  <c r="F398" i="12"/>
  <c r="J398" i="12"/>
  <c r="F406" i="12"/>
  <c r="J406" i="12"/>
  <c r="F414" i="12"/>
  <c r="J414" i="12"/>
  <c r="J422" i="12"/>
  <c r="F422" i="12"/>
  <c r="T2" i="12"/>
  <c r="J3" i="12"/>
  <c r="F3" i="12"/>
  <c r="J5" i="12"/>
  <c r="F5" i="12"/>
  <c r="J7" i="12"/>
  <c r="F7" i="12"/>
  <c r="J9" i="12"/>
  <c r="F9" i="12"/>
  <c r="J11" i="12"/>
  <c r="F11" i="12"/>
  <c r="J13" i="12"/>
  <c r="F13" i="12"/>
  <c r="J15" i="12"/>
  <c r="F15" i="12"/>
  <c r="J17" i="12"/>
  <c r="F17" i="12"/>
  <c r="J19" i="12"/>
  <c r="F19" i="12"/>
  <c r="J21" i="12"/>
  <c r="F21" i="12"/>
  <c r="J23" i="12"/>
  <c r="F23" i="12"/>
  <c r="J25" i="12"/>
  <c r="F25" i="12"/>
  <c r="J27" i="12"/>
  <c r="F27" i="12"/>
  <c r="J29" i="12"/>
  <c r="F29" i="12"/>
  <c r="J31" i="12"/>
  <c r="F31" i="12"/>
  <c r="J33" i="12"/>
  <c r="F33" i="12"/>
  <c r="J35" i="12"/>
  <c r="F35" i="12"/>
  <c r="J37" i="12"/>
  <c r="F37" i="12"/>
  <c r="J39" i="12"/>
  <c r="F39" i="12"/>
  <c r="J41" i="12"/>
  <c r="F41" i="12"/>
  <c r="J43" i="12"/>
  <c r="F43" i="12"/>
  <c r="J45" i="12"/>
  <c r="F45" i="12"/>
  <c r="J47" i="12"/>
  <c r="F47" i="12"/>
  <c r="J49" i="12"/>
  <c r="F49" i="12"/>
  <c r="J51" i="12"/>
  <c r="F51" i="12"/>
  <c r="J53" i="12"/>
  <c r="F53" i="12"/>
  <c r="J55" i="12"/>
  <c r="F55" i="12"/>
  <c r="J57" i="12"/>
  <c r="F57" i="12"/>
  <c r="J59" i="12"/>
  <c r="F59" i="12"/>
  <c r="J61" i="12"/>
  <c r="F61" i="12"/>
  <c r="J63" i="12"/>
  <c r="F63" i="12"/>
  <c r="J65" i="12"/>
  <c r="F65" i="12"/>
  <c r="J67" i="12"/>
  <c r="F67" i="12"/>
  <c r="J69" i="12"/>
  <c r="F69" i="12"/>
  <c r="J71" i="12"/>
  <c r="F71" i="12"/>
  <c r="J73" i="12"/>
  <c r="F73" i="12"/>
  <c r="J75" i="12"/>
  <c r="F75" i="12"/>
  <c r="J77" i="12"/>
  <c r="F77" i="12"/>
  <c r="J79" i="12"/>
  <c r="F79" i="12"/>
  <c r="J81" i="12"/>
  <c r="F81" i="12"/>
  <c r="J83" i="12"/>
  <c r="F83" i="12"/>
  <c r="J85" i="12"/>
  <c r="F85" i="12"/>
  <c r="J87" i="12"/>
  <c r="F87" i="12"/>
  <c r="J89" i="12"/>
  <c r="F89" i="12"/>
  <c r="J91" i="12"/>
  <c r="F91" i="12"/>
  <c r="J93" i="12"/>
  <c r="F93" i="12"/>
  <c r="J95" i="12"/>
  <c r="F95" i="12"/>
  <c r="J97" i="12"/>
  <c r="F97" i="12"/>
  <c r="J99" i="12"/>
  <c r="F99" i="12"/>
  <c r="J101" i="12"/>
  <c r="F101" i="12"/>
  <c r="J103" i="12"/>
  <c r="F103" i="12"/>
  <c r="J105" i="12"/>
  <c r="F105" i="12"/>
  <c r="J107" i="12"/>
  <c r="F107" i="12"/>
  <c r="J109" i="12"/>
  <c r="F109" i="12"/>
  <c r="J111" i="12"/>
  <c r="F111" i="12"/>
  <c r="J113" i="12"/>
  <c r="F113" i="12"/>
  <c r="J115" i="12"/>
  <c r="F115" i="12"/>
  <c r="J117" i="12"/>
  <c r="F117" i="12"/>
  <c r="J119" i="12"/>
  <c r="F119" i="12"/>
  <c r="J121" i="12"/>
  <c r="F121" i="12"/>
  <c r="J123" i="12"/>
  <c r="F123" i="12"/>
  <c r="J125" i="12"/>
  <c r="F125" i="12"/>
  <c r="J127" i="12"/>
  <c r="F127" i="12"/>
  <c r="J129" i="12"/>
  <c r="F129" i="12"/>
  <c r="J131" i="12"/>
  <c r="F131" i="12"/>
  <c r="J133" i="12"/>
  <c r="F133" i="12"/>
  <c r="J135" i="12"/>
  <c r="F135" i="12"/>
  <c r="J137" i="12"/>
  <c r="F137" i="12"/>
  <c r="J139" i="12"/>
  <c r="F139" i="12"/>
  <c r="J141" i="12"/>
  <c r="F141" i="12"/>
  <c r="J143" i="12"/>
  <c r="F143" i="12"/>
  <c r="J145" i="12"/>
  <c r="F145" i="12"/>
  <c r="J147" i="12"/>
  <c r="F147" i="12"/>
  <c r="J149" i="12"/>
  <c r="F149" i="12"/>
  <c r="J151" i="12"/>
  <c r="F151" i="12"/>
  <c r="J153" i="12"/>
  <c r="F153" i="12"/>
  <c r="J155" i="12"/>
  <c r="F155" i="12"/>
  <c r="J157" i="12"/>
  <c r="F157" i="12"/>
  <c r="J159" i="12"/>
  <c r="F159" i="12"/>
  <c r="J161" i="12"/>
  <c r="F161" i="12"/>
  <c r="J163" i="12"/>
  <c r="F163" i="12"/>
  <c r="J165" i="12"/>
  <c r="F165" i="12"/>
  <c r="J167" i="12"/>
  <c r="F167" i="12"/>
  <c r="J169" i="12"/>
  <c r="F169" i="12"/>
  <c r="J171" i="12"/>
  <c r="F171" i="12"/>
  <c r="J173" i="12"/>
  <c r="F173" i="12"/>
  <c r="J175" i="12"/>
  <c r="F175" i="12"/>
  <c r="J177" i="12"/>
  <c r="F177" i="12"/>
  <c r="J179" i="12"/>
  <c r="F179" i="12"/>
  <c r="J181" i="12"/>
  <c r="F181" i="12"/>
  <c r="J183" i="12"/>
  <c r="F183" i="12"/>
  <c r="J185" i="12"/>
  <c r="F185" i="12"/>
  <c r="J187" i="12"/>
  <c r="F187" i="12"/>
  <c r="J189" i="12"/>
  <c r="F189" i="12"/>
  <c r="J191" i="12"/>
  <c r="F191" i="12"/>
  <c r="J193" i="12"/>
  <c r="F193" i="12"/>
  <c r="J195" i="12"/>
  <c r="F195" i="12"/>
  <c r="J197" i="12"/>
  <c r="F197" i="12"/>
  <c r="J199" i="12"/>
  <c r="F199" i="12"/>
  <c r="J201" i="12"/>
  <c r="F201" i="12"/>
  <c r="J203" i="12"/>
  <c r="F203" i="12"/>
  <c r="J205" i="12"/>
  <c r="F205" i="12"/>
  <c r="J207" i="12"/>
  <c r="F207" i="12"/>
  <c r="J209" i="12"/>
  <c r="F209" i="12"/>
  <c r="J211" i="12"/>
  <c r="F211" i="12"/>
  <c r="I213" i="12"/>
  <c r="H213" i="12"/>
  <c r="I215" i="12"/>
  <c r="H215" i="12"/>
  <c r="I217" i="12"/>
  <c r="H217" i="12"/>
  <c r="I219" i="12"/>
  <c r="H219" i="12"/>
  <c r="I221" i="12"/>
  <c r="H221" i="12"/>
  <c r="I223" i="12"/>
  <c r="H223" i="12"/>
  <c r="I225" i="12"/>
  <c r="H225" i="12"/>
  <c r="I227" i="12"/>
  <c r="H227" i="12"/>
  <c r="I229" i="12"/>
  <c r="H229" i="12"/>
  <c r="I231" i="12"/>
  <c r="H231" i="12"/>
  <c r="I233" i="12"/>
  <c r="H233" i="12"/>
  <c r="I235" i="12"/>
  <c r="H235" i="12"/>
  <c r="I237" i="12"/>
  <c r="H237" i="12"/>
  <c r="I239" i="12"/>
  <c r="H239" i="12"/>
  <c r="I241" i="12"/>
  <c r="H241" i="12"/>
  <c r="I243" i="12"/>
  <c r="H243" i="12"/>
  <c r="I245" i="12"/>
  <c r="H245" i="12"/>
  <c r="I247" i="12"/>
  <c r="H247" i="12"/>
  <c r="I249" i="12"/>
  <c r="H249" i="12"/>
  <c r="I251" i="12"/>
  <c r="H251" i="12"/>
  <c r="I253" i="12"/>
  <c r="H253" i="12"/>
  <c r="I255" i="12"/>
  <c r="H255" i="12"/>
  <c r="I257" i="12"/>
  <c r="H257" i="12"/>
  <c r="I259" i="12"/>
  <c r="H259" i="12"/>
  <c r="I261" i="12"/>
  <c r="H261" i="12"/>
  <c r="I263" i="12"/>
  <c r="H263" i="12"/>
  <c r="I265" i="12"/>
  <c r="H265" i="12"/>
  <c r="I267" i="12"/>
  <c r="H267" i="12"/>
  <c r="I269" i="12"/>
  <c r="H269" i="12"/>
  <c r="I271" i="12"/>
  <c r="H271" i="12"/>
  <c r="I273" i="12"/>
  <c r="H273" i="12"/>
  <c r="I275" i="12"/>
  <c r="H275" i="12"/>
  <c r="I277" i="12"/>
  <c r="H277" i="12"/>
  <c r="I279" i="12"/>
  <c r="H279" i="12"/>
  <c r="I281" i="12"/>
  <c r="H281" i="12"/>
  <c r="I283" i="12"/>
  <c r="H283" i="12"/>
  <c r="I285" i="12"/>
  <c r="H285" i="12"/>
  <c r="I287" i="12"/>
  <c r="H287" i="12"/>
  <c r="I289" i="12"/>
  <c r="H289" i="12"/>
  <c r="I291" i="12"/>
  <c r="H291" i="12"/>
  <c r="I293" i="12"/>
  <c r="H293" i="12"/>
  <c r="I295" i="12"/>
  <c r="H295" i="12"/>
  <c r="I297" i="12"/>
  <c r="H297" i="12"/>
  <c r="I299" i="12"/>
  <c r="H299" i="12"/>
  <c r="I301" i="12"/>
  <c r="H301" i="12"/>
  <c r="I303" i="12"/>
  <c r="H303" i="12"/>
  <c r="I305" i="12"/>
  <c r="H305" i="12"/>
  <c r="I307" i="12"/>
  <c r="H307" i="12"/>
  <c r="I309" i="12"/>
  <c r="H309" i="12"/>
  <c r="I311" i="12"/>
  <c r="H311" i="12"/>
  <c r="I313" i="12"/>
  <c r="H313" i="12"/>
  <c r="I315" i="12"/>
  <c r="H315" i="12"/>
  <c r="I317" i="12"/>
  <c r="H317" i="12"/>
  <c r="I319" i="12"/>
  <c r="H319" i="12"/>
  <c r="I321" i="12"/>
  <c r="H321" i="12"/>
  <c r="I323" i="12"/>
  <c r="H323" i="12"/>
  <c r="I325" i="12"/>
  <c r="H325" i="12"/>
  <c r="I327" i="12"/>
  <c r="H327" i="12"/>
  <c r="I329" i="12"/>
  <c r="H329" i="12"/>
  <c r="I331" i="12"/>
  <c r="H331" i="12"/>
  <c r="I333" i="12"/>
  <c r="H333" i="12"/>
  <c r="J342" i="12"/>
  <c r="F342" i="12"/>
  <c r="J346" i="12"/>
  <c r="F346" i="12"/>
  <c r="J352" i="12"/>
  <c r="F352" i="12"/>
  <c r="J360" i="12"/>
  <c r="F360" i="12"/>
  <c r="J368" i="12"/>
  <c r="F368" i="12"/>
  <c r="J376" i="12"/>
  <c r="F376" i="12"/>
  <c r="J384" i="12"/>
  <c r="F384" i="12"/>
  <c r="J392" i="12"/>
  <c r="F392" i="12"/>
  <c r="J400" i="12"/>
  <c r="F400" i="12"/>
  <c r="J408" i="12"/>
  <c r="F408" i="12"/>
  <c r="J416" i="12"/>
  <c r="F416" i="12"/>
  <c r="J335" i="12"/>
  <c r="F335" i="12"/>
  <c r="J337" i="12"/>
  <c r="F337" i="12"/>
  <c r="J339" i="12"/>
  <c r="F339" i="12"/>
  <c r="J341" i="12"/>
  <c r="F341" i="12"/>
  <c r="J343" i="12"/>
  <c r="F343" i="12"/>
  <c r="J345" i="12"/>
  <c r="F345" i="12"/>
  <c r="J347" i="12"/>
  <c r="F347" i="12"/>
  <c r="J349" i="12"/>
  <c r="F349" i="12"/>
  <c r="J351" i="12"/>
  <c r="F351" i="12"/>
  <c r="J353" i="12"/>
  <c r="F353" i="12"/>
  <c r="J355" i="12"/>
  <c r="F355" i="12"/>
  <c r="J357" i="12"/>
  <c r="F357" i="12"/>
  <c r="J359" i="12"/>
  <c r="F359" i="12"/>
  <c r="J361" i="12"/>
  <c r="F361" i="12"/>
  <c r="J363" i="12"/>
  <c r="F363" i="12"/>
  <c r="J365" i="12"/>
  <c r="F365" i="12"/>
  <c r="J367" i="12"/>
  <c r="F367" i="12"/>
  <c r="J369" i="12"/>
  <c r="F369" i="12"/>
  <c r="J371" i="12"/>
  <c r="F371" i="12"/>
  <c r="J373" i="12"/>
  <c r="F373" i="12"/>
  <c r="J375" i="12"/>
  <c r="F375" i="12"/>
  <c r="J377" i="12"/>
  <c r="F377" i="12"/>
  <c r="J379" i="12"/>
  <c r="F379" i="12"/>
  <c r="J381" i="12"/>
  <c r="F381" i="12"/>
  <c r="J383" i="12"/>
  <c r="F383" i="12"/>
  <c r="J385" i="12"/>
  <c r="F385" i="12"/>
  <c r="J387" i="12"/>
  <c r="F387" i="12"/>
  <c r="J389" i="12"/>
  <c r="F389" i="12"/>
  <c r="J391" i="12"/>
  <c r="F391" i="12"/>
  <c r="J393" i="12"/>
  <c r="F393" i="12"/>
  <c r="J395" i="12"/>
  <c r="F395" i="12"/>
  <c r="J397" i="12"/>
  <c r="F397" i="12"/>
  <c r="J399" i="12"/>
  <c r="F399" i="12"/>
  <c r="J401" i="12"/>
  <c r="F401" i="12"/>
  <c r="J403" i="12"/>
  <c r="F403" i="12"/>
  <c r="J405" i="12"/>
  <c r="F405" i="12"/>
  <c r="J407" i="12"/>
  <c r="F407" i="12"/>
  <c r="J409" i="12"/>
  <c r="F409" i="12"/>
  <c r="J411" i="12"/>
  <c r="F411" i="12"/>
  <c r="J413" i="12"/>
  <c r="F413" i="12"/>
  <c r="J415" i="12"/>
  <c r="F415" i="12"/>
  <c r="J417" i="12"/>
  <c r="F417" i="12"/>
  <c r="J419" i="12"/>
  <c r="F419" i="12"/>
  <c r="J421" i="12"/>
  <c r="F421" i="12"/>
  <c r="J423" i="12"/>
  <c r="F423" i="12"/>
  <c r="J425" i="12"/>
  <c r="F425" i="12"/>
  <c r="J427" i="12"/>
  <c r="F427" i="12"/>
  <c r="J429" i="12"/>
  <c r="F429" i="12"/>
  <c r="J431" i="12"/>
  <c r="F431" i="12"/>
  <c r="J433" i="12"/>
  <c r="F433" i="12"/>
  <c r="J435" i="12"/>
  <c r="F435" i="12"/>
  <c r="J437" i="12"/>
  <c r="F437" i="12"/>
  <c r="J439" i="12"/>
  <c r="F439" i="12"/>
  <c r="J441" i="12"/>
  <c r="F441" i="12"/>
  <c r="J443" i="12"/>
  <c r="F443" i="12"/>
  <c r="J445" i="12"/>
  <c r="F445" i="12"/>
  <c r="J447" i="12"/>
  <c r="F447" i="12"/>
  <c r="J449" i="12"/>
  <c r="F449" i="12"/>
  <c r="J451" i="12"/>
  <c r="F451" i="12"/>
  <c r="J453" i="12"/>
  <c r="F453" i="12"/>
  <c r="J455" i="12"/>
  <c r="F455" i="12"/>
  <c r="J457" i="12"/>
  <c r="F457" i="12"/>
  <c r="J459" i="12"/>
  <c r="F459" i="12"/>
  <c r="J461" i="12"/>
  <c r="F461" i="12"/>
  <c r="J463" i="12"/>
  <c r="F463" i="12"/>
  <c r="J465" i="12"/>
  <c r="F465" i="12"/>
  <c r="J467" i="12"/>
  <c r="F467" i="12"/>
  <c r="J469" i="12"/>
  <c r="F469" i="12"/>
  <c r="J471" i="12"/>
  <c r="F471" i="12"/>
  <c r="J473" i="12"/>
  <c r="F473" i="12"/>
  <c r="J475" i="12"/>
  <c r="F475" i="12"/>
  <c r="J477" i="12"/>
  <c r="F477" i="12"/>
  <c r="J479" i="12"/>
  <c r="F479" i="12"/>
  <c r="J481" i="12"/>
  <c r="F481" i="12"/>
  <c r="J483" i="12"/>
  <c r="F483" i="12"/>
  <c r="J485" i="12"/>
  <c r="F485" i="12"/>
  <c r="J487" i="12"/>
  <c r="F487" i="12"/>
  <c r="J489" i="12"/>
  <c r="F489" i="12"/>
  <c r="J491" i="12"/>
  <c r="F491" i="12"/>
  <c r="J493" i="12"/>
  <c r="F493" i="12"/>
  <c r="J495" i="12"/>
  <c r="F495" i="12"/>
  <c r="J497" i="12"/>
  <c r="F497" i="12"/>
  <c r="J499" i="12"/>
  <c r="F499" i="12"/>
  <c r="J501" i="12"/>
  <c r="F501" i="12"/>
  <c r="J503" i="12"/>
  <c r="F503" i="12"/>
  <c r="J505" i="12"/>
  <c r="F505" i="12"/>
  <c r="J507" i="12"/>
  <c r="F507" i="12"/>
  <c r="J509" i="12"/>
  <c r="F509" i="12"/>
  <c r="J511" i="12"/>
  <c r="F511" i="12"/>
  <c r="J513" i="12"/>
  <c r="F513" i="12"/>
  <c r="J515" i="12"/>
  <c r="F515" i="12"/>
  <c r="J517" i="12"/>
  <c r="F517" i="12"/>
  <c r="J519" i="12"/>
  <c r="F519" i="12"/>
  <c r="J521" i="12"/>
  <c r="F521" i="12"/>
  <c r="J523" i="12"/>
  <c r="F523" i="12"/>
  <c r="J525" i="12"/>
  <c r="F525" i="12"/>
  <c r="J527" i="12"/>
  <c r="F527" i="12"/>
  <c r="J529" i="12"/>
  <c r="F529" i="12"/>
  <c r="J531" i="12"/>
  <c r="F531" i="12"/>
  <c r="J533" i="12"/>
  <c r="F533" i="12"/>
  <c r="J535" i="12"/>
  <c r="F535" i="12"/>
  <c r="J537" i="12"/>
  <c r="F537" i="12"/>
  <c r="J539" i="12"/>
  <c r="F539" i="12"/>
  <c r="J541" i="12"/>
  <c r="F541" i="12"/>
  <c r="J543" i="12"/>
  <c r="F543" i="12"/>
  <c r="J545" i="12"/>
  <c r="F545" i="12"/>
  <c r="J547" i="12"/>
  <c r="F547" i="12"/>
  <c r="J549" i="12"/>
  <c r="F549" i="12"/>
  <c r="J551" i="12"/>
  <c r="F551" i="12"/>
  <c r="J553" i="12"/>
  <c r="F553" i="12"/>
  <c r="J555" i="12"/>
  <c r="F555" i="12"/>
  <c r="J557" i="12"/>
  <c r="F557" i="12"/>
  <c r="J559" i="12"/>
  <c r="F559" i="12"/>
  <c r="J561" i="12"/>
  <c r="F561" i="12"/>
  <c r="J563" i="12"/>
  <c r="F563" i="12"/>
  <c r="J565" i="12"/>
  <c r="F565" i="12"/>
  <c r="J567" i="12"/>
  <c r="F567" i="12"/>
  <c r="J569" i="12"/>
  <c r="F569" i="12"/>
  <c r="J571" i="12"/>
  <c r="F571" i="12"/>
  <c r="J573" i="12"/>
  <c r="F573" i="12"/>
  <c r="J575" i="12"/>
  <c r="F575" i="12"/>
  <c r="J577" i="12"/>
  <c r="F577" i="12"/>
  <c r="J579" i="12"/>
  <c r="F579" i="12"/>
  <c r="J581" i="12"/>
  <c r="F581" i="12"/>
  <c r="J583" i="12"/>
  <c r="F583" i="12"/>
  <c r="J585" i="12"/>
  <c r="F585" i="12"/>
  <c r="J587" i="12"/>
  <c r="F587" i="12"/>
  <c r="J589" i="12"/>
  <c r="F589" i="12"/>
  <c r="J591" i="12"/>
  <c r="F591" i="12"/>
  <c r="J593" i="12"/>
  <c r="F593" i="12"/>
  <c r="J595" i="12"/>
  <c r="F595" i="12"/>
  <c r="J597" i="12"/>
  <c r="F597" i="12"/>
  <c r="J599" i="12"/>
  <c r="F599" i="12"/>
  <c r="J601" i="12"/>
  <c r="F601" i="12"/>
  <c r="J603" i="12"/>
  <c r="F603" i="12"/>
  <c r="J605" i="12"/>
  <c r="F605" i="12"/>
  <c r="J607" i="12"/>
  <c r="F607" i="12"/>
  <c r="J609" i="12"/>
  <c r="F609" i="12"/>
  <c r="J611" i="12"/>
  <c r="F611" i="12"/>
  <c r="J613" i="12"/>
  <c r="F613" i="12"/>
  <c r="J615" i="12"/>
  <c r="F615" i="12"/>
  <c r="J617" i="12"/>
  <c r="F617" i="12"/>
  <c r="J619" i="12"/>
  <c r="F619" i="12"/>
  <c r="J621" i="12"/>
  <c r="F621" i="12"/>
  <c r="J623" i="12"/>
  <c r="F623" i="12"/>
  <c r="J625" i="12"/>
  <c r="F625" i="12"/>
  <c r="J627" i="12"/>
  <c r="F627" i="12"/>
  <c r="J629" i="12"/>
  <c r="F629" i="12"/>
  <c r="J631" i="12"/>
  <c r="F631" i="12"/>
  <c r="J633" i="12"/>
  <c r="F633" i="12"/>
  <c r="J635" i="12"/>
  <c r="F635" i="12"/>
  <c r="J637" i="12"/>
  <c r="F637" i="12"/>
  <c r="J639" i="12"/>
  <c r="F639" i="12"/>
  <c r="J641" i="12"/>
  <c r="F641" i="12"/>
  <c r="J643" i="12"/>
  <c r="F643" i="12"/>
  <c r="J645" i="12"/>
  <c r="F645" i="12"/>
  <c r="J647" i="12"/>
  <c r="F647" i="12"/>
  <c r="J649" i="12"/>
  <c r="F649" i="12"/>
  <c r="J651" i="12"/>
  <c r="F651" i="12"/>
  <c r="J653" i="12"/>
  <c r="F653" i="12"/>
  <c r="J655" i="12"/>
  <c r="F655" i="12"/>
  <c r="J657" i="12"/>
  <c r="F657" i="12"/>
  <c r="J659" i="12"/>
  <c r="F659" i="12"/>
  <c r="J661" i="12"/>
  <c r="F661" i="12"/>
  <c r="J663" i="12"/>
  <c r="F663" i="12"/>
  <c r="J665" i="12"/>
  <c r="F665" i="12"/>
  <c r="J667" i="12"/>
  <c r="F667" i="12"/>
  <c r="J669" i="12"/>
  <c r="F669" i="12"/>
  <c r="J671" i="12"/>
  <c r="F671" i="12"/>
  <c r="J673" i="12"/>
  <c r="F673" i="12"/>
  <c r="J675" i="12"/>
  <c r="F675" i="12"/>
  <c r="J677" i="12"/>
  <c r="F677" i="12"/>
  <c r="J679" i="12"/>
  <c r="F679" i="12"/>
  <c r="J681" i="12"/>
  <c r="F681" i="12"/>
  <c r="J683" i="12"/>
  <c r="F683" i="12"/>
  <c r="J685" i="12"/>
  <c r="F685" i="12"/>
  <c r="J687" i="12"/>
  <c r="F687" i="12"/>
  <c r="J689" i="12"/>
  <c r="F689" i="12"/>
  <c r="J691" i="12"/>
  <c r="F691" i="12"/>
  <c r="J693" i="12"/>
  <c r="F693" i="12"/>
  <c r="J695" i="12"/>
  <c r="F695" i="12"/>
  <c r="J697" i="12"/>
  <c r="F697" i="12"/>
  <c r="J699" i="12"/>
  <c r="F699" i="12"/>
  <c r="J701" i="12"/>
  <c r="F701" i="12"/>
  <c r="J703" i="12"/>
  <c r="F703" i="12"/>
  <c r="J705" i="12"/>
  <c r="F705" i="12"/>
  <c r="J707" i="12"/>
  <c r="F707" i="12"/>
  <c r="J709" i="12"/>
  <c r="F709" i="12"/>
  <c r="J711" i="12"/>
  <c r="F711" i="12"/>
  <c r="I711" i="12"/>
  <c r="H711" i="12"/>
  <c r="I713" i="12"/>
  <c r="H713" i="12"/>
  <c r="I715" i="12"/>
  <c r="H715" i="12"/>
  <c r="I717" i="12"/>
  <c r="H717" i="12"/>
  <c r="I719" i="12"/>
  <c r="H719" i="12"/>
  <c r="J723" i="12"/>
  <c r="F723" i="12"/>
  <c r="I723" i="12"/>
  <c r="H723" i="12"/>
  <c r="J727" i="12"/>
  <c r="F727" i="12"/>
  <c r="I727" i="12"/>
  <c r="H727" i="12"/>
  <c r="J731" i="12"/>
  <c r="F731" i="12"/>
  <c r="I731" i="12"/>
  <c r="H731" i="12"/>
  <c r="J735" i="12"/>
  <c r="F735" i="12"/>
  <c r="I735" i="12"/>
  <c r="H735" i="12"/>
  <c r="J739" i="12"/>
  <c r="F739" i="12"/>
  <c r="I739" i="12"/>
  <c r="H739" i="12"/>
  <c r="J743" i="12"/>
  <c r="F743" i="12"/>
  <c r="I743" i="12"/>
  <c r="H743" i="12"/>
  <c r="J747" i="12"/>
  <c r="F747" i="12"/>
  <c r="I747" i="12"/>
  <c r="H747" i="12"/>
  <c r="J751" i="12"/>
  <c r="F751" i="12"/>
  <c r="I751" i="12"/>
  <c r="H751" i="12"/>
  <c r="J755" i="12"/>
  <c r="F755" i="12"/>
  <c r="I755" i="12"/>
  <c r="H755" i="12"/>
  <c r="J759" i="12"/>
  <c r="F759" i="12"/>
  <c r="I759" i="12"/>
  <c r="H759" i="12"/>
  <c r="J763" i="12"/>
  <c r="F763" i="12"/>
  <c r="I763" i="12"/>
  <c r="H763" i="12"/>
  <c r="J767" i="12"/>
  <c r="F767" i="12"/>
  <c r="I767" i="12"/>
  <c r="H767" i="12"/>
  <c r="J771" i="12"/>
  <c r="F771" i="12"/>
  <c r="I771" i="12"/>
  <c r="H771" i="12"/>
  <c r="J775" i="12"/>
  <c r="F775" i="12"/>
  <c r="I775" i="12"/>
  <c r="H775" i="12"/>
  <c r="J779" i="12"/>
  <c r="F779" i="12"/>
  <c r="I779" i="12"/>
  <c r="H779" i="12"/>
  <c r="J783" i="12"/>
  <c r="F783" i="12"/>
  <c r="I783" i="12"/>
  <c r="H783" i="12"/>
  <c r="J787" i="12"/>
  <c r="F787" i="12"/>
  <c r="I787" i="12"/>
  <c r="H787" i="12"/>
  <c r="J791" i="12"/>
  <c r="F791" i="12"/>
  <c r="I791" i="12"/>
  <c r="H791" i="12"/>
  <c r="J795" i="12"/>
  <c r="F795" i="12"/>
  <c r="I795" i="12"/>
  <c r="H795" i="12"/>
  <c r="J799" i="12"/>
  <c r="F799" i="12"/>
  <c r="I799" i="12"/>
  <c r="H799" i="12"/>
  <c r="J803" i="12"/>
  <c r="F803" i="12"/>
  <c r="I803" i="12"/>
  <c r="H803" i="12"/>
  <c r="J807" i="12"/>
  <c r="F807" i="12"/>
  <c r="I807" i="12"/>
  <c r="H807" i="12"/>
  <c r="J811" i="12"/>
  <c r="F811" i="12"/>
  <c r="I811" i="12"/>
  <c r="H811" i="12"/>
  <c r="J815" i="12"/>
  <c r="F815" i="12"/>
  <c r="I815" i="12"/>
  <c r="H815" i="12"/>
  <c r="H820" i="12"/>
  <c r="I820" i="12"/>
  <c r="J824" i="12"/>
  <c r="F824" i="12"/>
  <c r="H836" i="12"/>
  <c r="I836" i="12"/>
  <c r="J840" i="12"/>
  <c r="F840" i="12"/>
  <c r="H852" i="12"/>
  <c r="I852" i="12"/>
  <c r="J856" i="12"/>
  <c r="F856" i="12"/>
  <c r="H868" i="12"/>
  <c r="I868" i="12"/>
  <c r="J872" i="12"/>
  <c r="F872" i="12"/>
  <c r="H884" i="12"/>
  <c r="I884" i="12"/>
  <c r="J888" i="12"/>
  <c r="F888" i="12"/>
  <c r="H900" i="12"/>
  <c r="I900" i="12"/>
  <c r="J904" i="12"/>
  <c r="F904" i="12"/>
  <c r="H916" i="12"/>
  <c r="I916" i="12"/>
  <c r="J920" i="12"/>
  <c r="F920" i="12"/>
  <c r="H932" i="12"/>
  <c r="I932" i="12"/>
  <c r="J936" i="12"/>
  <c r="F936" i="12"/>
  <c r="H948" i="12"/>
  <c r="I948" i="12"/>
  <c r="J952" i="12"/>
  <c r="F952" i="12"/>
  <c r="H964" i="12"/>
  <c r="I964" i="12"/>
  <c r="J968" i="12"/>
  <c r="F968" i="12"/>
  <c r="H980" i="12"/>
  <c r="I980" i="12"/>
  <c r="J984" i="12"/>
  <c r="F984" i="12"/>
  <c r="H996" i="12"/>
  <c r="I996" i="12"/>
  <c r="J1000" i="12"/>
  <c r="F1000" i="12"/>
  <c r="H1012" i="12"/>
  <c r="I1012" i="12"/>
  <c r="J1016" i="12"/>
  <c r="F1016" i="12"/>
  <c r="H1028" i="12"/>
  <c r="I1028" i="12"/>
  <c r="J1032" i="12"/>
  <c r="F1032" i="12"/>
  <c r="H1044" i="12"/>
  <c r="I1044" i="12"/>
  <c r="J1048" i="12"/>
  <c r="F1048" i="12"/>
  <c r="H1060" i="12"/>
  <c r="I1060" i="12"/>
  <c r="J1064" i="12"/>
  <c r="F1064" i="12"/>
  <c r="H1076" i="12"/>
  <c r="I1076" i="12"/>
  <c r="J1080" i="12"/>
  <c r="F1080" i="12"/>
  <c r="H1092" i="12"/>
  <c r="I1092" i="12"/>
  <c r="J1096" i="12"/>
  <c r="F1096" i="12"/>
  <c r="H1108" i="12"/>
  <c r="I1108" i="12"/>
  <c r="J1112" i="12"/>
  <c r="F1112" i="12"/>
  <c r="H1124" i="12"/>
  <c r="I1124" i="12"/>
  <c r="J1128" i="12"/>
  <c r="F1128" i="12"/>
  <c r="H1140" i="12"/>
  <c r="I1140" i="12"/>
  <c r="J1144" i="12"/>
  <c r="F1144" i="12"/>
  <c r="H1156" i="12"/>
  <c r="I1156" i="12"/>
  <c r="J1160" i="12"/>
  <c r="F1160" i="12"/>
  <c r="H1172" i="12"/>
  <c r="I1172" i="12"/>
  <c r="J1176" i="12"/>
  <c r="F1176" i="12"/>
  <c r="H1188" i="12"/>
  <c r="I1188" i="12"/>
  <c r="J1192" i="12"/>
  <c r="F1192" i="12"/>
  <c r="H1204" i="12"/>
  <c r="I1204" i="12"/>
  <c r="J1208" i="12"/>
  <c r="F1208" i="12"/>
  <c r="H1220" i="12"/>
  <c r="I1220" i="12"/>
  <c r="J1224" i="12"/>
  <c r="F1224" i="12"/>
  <c r="H1236" i="12"/>
  <c r="I1236" i="12"/>
  <c r="J1240" i="12"/>
  <c r="F1240" i="12"/>
  <c r="H1252" i="12"/>
  <c r="I1252" i="12"/>
  <c r="J1256" i="12"/>
  <c r="F1256" i="12"/>
  <c r="H1268" i="12"/>
  <c r="I1268" i="12"/>
  <c r="J1272" i="12"/>
  <c r="F1272" i="12"/>
  <c r="H1284" i="12"/>
  <c r="I1284" i="12"/>
  <c r="J1288" i="12"/>
  <c r="F1288" i="12"/>
  <c r="H1300" i="12"/>
  <c r="I1300" i="12"/>
  <c r="J1304" i="12"/>
  <c r="F1304" i="12"/>
  <c r="J1309" i="12"/>
  <c r="F1309" i="12"/>
  <c r="J1317" i="12"/>
  <c r="F1317" i="12"/>
  <c r="J1325" i="12"/>
  <c r="F1325" i="12"/>
  <c r="J1333" i="12"/>
  <c r="F1333" i="12"/>
  <c r="J1341" i="12"/>
  <c r="F1341" i="12"/>
  <c r="J1349" i="12"/>
  <c r="F1349" i="12"/>
  <c r="J1357" i="12"/>
  <c r="F1357" i="12"/>
  <c r="J1365" i="12"/>
  <c r="F1365" i="12"/>
  <c r="J1373" i="12"/>
  <c r="F1373" i="12"/>
  <c r="J1381" i="12"/>
  <c r="F1381" i="12"/>
  <c r="J1389" i="12"/>
  <c r="F1389" i="12"/>
  <c r="J1397" i="12"/>
  <c r="F1397" i="12"/>
  <c r="J1405" i="12"/>
  <c r="F1405" i="12"/>
  <c r="J1413" i="12"/>
  <c r="F1413" i="12"/>
  <c r="H1419" i="12"/>
  <c r="I1419" i="12"/>
  <c r="H1431" i="12"/>
  <c r="I1431" i="12"/>
  <c r="H1467" i="12"/>
  <c r="I1467" i="12"/>
  <c r="J1495" i="12"/>
  <c r="F1495" i="12"/>
  <c r="H1523" i="12"/>
  <c r="I1523" i="12"/>
  <c r="J1559" i="12"/>
  <c r="F1559" i="12"/>
  <c r="H1587" i="12"/>
  <c r="I1587" i="12"/>
  <c r="J1623" i="12"/>
  <c r="F1623" i="12"/>
  <c r="F1817" i="12"/>
  <c r="J1817" i="12"/>
  <c r="F2012" i="12"/>
  <c r="J2012" i="12"/>
  <c r="J2315" i="12"/>
  <c r="F2315" i="12"/>
  <c r="H339" i="12"/>
  <c r="I339" i="12"/>
  <c r="I341" i="12"/>
  <c r="H341" i="12"/>
  <c r="H343" i="12"/>
  <c r="I343" i="12"/>
  <c r="I345" i="12"/>
  <c r="H345" i="12"/>
  <c r="H347" i="12"/>
  <c r="I347" i="12"/>
  <c r="I349" i="12"/>
  <c r="H349" i="12"/>
  <c r="I351" i="12"/>
  <c r="H351" i="12"/>
  <c r="I353" i="12"/>
  <c r="H353" i="12"/>
  <c r="I355" i="12"/>
  <c r="H355" i="12"/>
  <c r="I357" i="12"/>
  <c r="H357" i="12"/>
  <c r="I359" i="12"/>
  <c r="H359" i="12"/>
  <c r="I361" i="12"/>
  <c r="H361" i="12"/>
  <c r="I363" i="12"/>
  <c r="H363" i="12"/>
  <c r="I365" i="12"/>
  <c r="H365" i="12"/>
  <c r="I367" i="12"/>
  <c r="H367" i="12"/>
  <c r="I369" i="12"/>
  <c r="H369" i="12"/>
  <c r="I371" i="12"/>
  <c r="H371" i="12"/>
  <c r="I373" i="12"/>
  <c r="H373" i="12"/>
  <c r="I375" i="12"/>
  <c r="H375" i="12"/>
  <c r="I377" i="12"/>
  <c r="H377" i="12"/>
  <c r="I379" i="12"/>
  <c r="H379" i="12"/>
  <c r="I381" i="12"/>
  <c r="H381" i="12"/>
  <c r="I383" i="12"/>
  <c r="H383" i="12"/>
  <c r="I385" i="12"/>
  <c r="H385" i="12"/>
  <c r="I387" i="12"/>
  <c r="H387" i="12"/>
  <c r="I389" i="12"/>
  <c r="H389" i="12"/>
  <c r="I391" i="12"/>
  <c r="H391" i="12"/>
  <c r="I393" i="12"/>
  <c r="H393" i="12"/>
  <c r="I395" i="12"/>
  <c r="H395" i="12"/>
  <c r="I397" i="12"/>
  <c r="H397" i="12"/>
  <c r="I399" i="12"/>
  <c r="H399" i="12"/>
  <c r="I401" i="12"/>
  <c r="H401" i="12"/>
  <c r="I403" i="12"/>
  <c r="H403" i="12"/>
  <c r="I405" i="12"/>
  <c r="H405" i="12"/>
  <c r="I407" i="12"/>
  <c r="H407" i="12"/>
  <c r="I409" i="12"/>
  <c r="H409" i="12"/>
  <c r="I411" i="12"/>
  <c r="H411" i="12"/>
  <c r="I413" i="12"/>
  <c r="H413" i="12"/>
  <c r="I415" i="12"/>
  <c r="H415" i="12"/>
  <c r="I417" i="12"/>
  <c r="H417" i="12"/>
  <c r="I419" i="12"/>
  <c r="H419" i="12"/>
  <c r="I421" i="12"/>
  <c r="H421" i="12"/>
  <c r="I423" i="12"/>
  <c r="H423" i="12"/>
  <c r="I425" i="12"/>
  <c r="H425" i="12"/>
  <c r="I427" i="12"/>
  <c r="H427" i="12"/>
  <c r="I429" i="12"/>
  <c r="H429" i="12"/>
  <c r="I431" i="12"/>
  <c r="H431" i="12"/>
  <c r="I433" i="12"/>
  <c r="H433" i="12"/>
  <c r="I435" i="12"/>
  <c r="H435" i="12"/>
  <c r="I437" i="12"/>
  <c r="H437" i="12"/>
  <c r="I439" i="12"/>
  <c r="H439" i="12"/>
  <c r="I441" i="12"/>
  <c r="H441" i="12"/>
  <c r="I443" i="12"/>
  <c r="H443" i="12"/>
  <c r="I445" i="12"/>
  <c r="H445" i="12"/>
  <c r="I447" i="12"/>
  <c r="H447" i="12"/>
  <c r="I449" i="12"/>
  <c r="H449" i="12"/>
  <c r="I451" i="12"/>
  <c r="H451" i="12"/>
  <c r="I453" i="12"/>
  <c r="H453" i="12"/>
  <c r="I455" i="12"/>
  <c r="H455" i="12"/>
  <c r="I457" i="12"/>
  <c r="H457" i="12"/>
  <c r="I459" i="12"/>
  <c r="H459" i="12"/>
  <c r="I461" i="12"/>
  <c r="H461" i="12"/>
  <c r="I463" i="12"/>
  <c r="H463" i="12"/>
  <c r="I465" i="12"/>
  <c r="H465" i="12"/>
  <c r="I467" i="12"/>
  <c r="H467" i="12"/>
  <c r="I469" i="12"/>
  <c r="H469" i="12"/>
  <c r="I471" i="12"/>
  <c r="H471" i="12"/>
  <c r="I473" i="12"/>
  <c r="H473" i="12"/>
  <c r="I475" i="12"/>
  <c r="H475" i="12"/>
  <c r="I477" i="12"/>
  <c r="H477" i="12"/>
  <c r="I479" i="12"/>
  <c r="H479" i="12"/>
  <c r="I481" i="12"/>
  <c r="H481" i="12"/>
  <c r="I483" i="12"/>
  <c r="H483" i="12"/>
  <c r="I485" i="12"/>
  <c r="H485" i="12"/>
  <c r="I487" i="12"/>
  <c r="H487" i="12"/>
  <c r="I489" i="12"/>
  <c r="H489" i="12"/>
  <c r="I491" i="12"/>
  <c r="H491" i="12"/>
  <c r="I493" i="12"/>
  <c r="H493" i="12"/>
  <c r="I495" i="12"/>
  <c r="H495" i="12"/>
  <c r="I497" i="12"/>
  <c r="H497" i="12"/>
  <c r="I499" i="12"/>
  <c r="H499" i="12"/>
  <c r="I501" i="12"/>
  <c r="H501" i="12"/>
  <c r="I503" i="12"/>
  <c r="H503" i="12"/>
  <c r="I505" i="12"/>
  <c r="H505" i="12"/>
  <c r="I507" i="12"/>
  <c r="H507" i="12"/>
  <c r="I509" i="12"/>
  <c r="H509" i="12"/>
  <c r="I511" i="12"/>
  <c r="H511" i="12"/>
  <c r="I513" i="12"/>
  <c r="H513" i="12"/>
  <c r="I515" i="12"/>
  <c r="H515" i="12"/>
  <c r="I517" i="12"/>
  <c r="H517" i="12"/>
  <c r="I519" i="12"/>
  <c r="H519" i="12"/>
  <c r="I521" i="12"/>
  <c r="H521" i="12"/>
  <c r="I523" i="12"/>
  <c r="H523" i="12"/>
  <c r="I525" i="12"/>
  <c r="H525" i="12"/>
  <c r="I527" i="12"/>
  <c r="H527" i="12"/>
  <c r="I529" i="12"/>
  <c r="H529" i="12"/>
  <c r="I531" i="12"/>
  <c r="H531" i="12"/>
  <c r="I533" i="12"/>
  <c r="H533" i="12"/>
  <c r="I535" i="12"/>
  <c r="H535" i="12"/>
  <c r="I537" i="12"/>
  <c r="H537" i="12"/>
  <c r="I539" i="12"/>
  <c r="H539" i="12"/>
  <c r="I541" i="12"/>
  <c r="H541" i="12"/>
  <c r="I543" i="12"/>
  <c r="H543" i="12"/>
  <c r="I545" i="12"/>
  <c r="H545" i="12"/>
  <c r="I547" i="12"/>
  <c r="H547" i="12"/>
  <c r="I549" i="12"/>
  <c r="H549" i="12"/>
  <c r="I551" i="12"/>
  <c r="H551" i="12"/>
  <c r="I553" i="12"/>
  <c r="H553" i="12"/>
  <c r="I555" i="12"/>
  <c r="H555" i="12"/>
  <c r="I557" i="12"/>
  <c r="H557" i="12"/>
  <c r="I559" i="12"/>
  <c r="H559" i="12"/>
  <c r="I561" i="12"/>
  <c r="H561" i="12"/>
  <c r="I563" i="12"/>
  <c r="H563" i="12"/>
  <c r="I565" i="12"/>
  <c r="H565" i="12"/>
  <c r="I567" i="12"/>
  <c r="H567" i="12"/>
  <c r="I569" i="12"/>
  <c r="H569" i="12"/>
  <c r="I571" i="12"/>
  <c r="H571" i="12"/>
  <c r="I573" i="12"/>
  <c r="H573" i="12"/>
  <c r="I575" i="12"/>
  <c r="H575" i="12"/>
  <c r="I577" i="12"/>
  <c r="H577" i="12"/>
  <c r="I579" i="12"/>
  <c r="H579" i="12"/>
  <c r="I581" i="12"/>
  <c r="H581" i="12"/>
  <c r="I583" i="12"/>
  <c r="H583" i="12"/>
  <c r="I585" i="12"/>
  <c r="H585" i="12"/>
  <c r="I587" i="12"/>
  <c r="H587" i="12"/>
  <c r="I589" i="12"/>
  <c r="H589" i="12"/>
  <c r="I591" i="12"/>
  <c r="H591" i="12"/>
  <c r="I593" i="12"/>
  <c r="H593" i="12"/>
  <c r="I595" i="12"/>
  <c r="H595" i="12"/>
  <c r="I597" i="12"/>
  <c r="H597" i="12"/>
  <c r="I599" i="12"/>
  <c r="H599" i="12"/>
  <c r="I601" i="12"/>
  <c r="H601" i="12"/>
  <c r="I603" i="12"/>
  <c r="H603" i="12"/>
  <c r="I605" i="12"/>
  <c r="H605" i="12"/>
  <c r="I607" i="12"/>
  <c r="H607" i="12"/>
  <c r="I609" i="12"/>
  <c r="H609" i="12"/>
  <c r="I611" i="12"/>
  <c r="H611" i="12"/>
  <c r="I613" i="12"/>
  <c r="H613" i="12"/>
  <c r="I615" i="12"/>
  <c r="H615" i="12"/>
  <c r="I617" i="12"/>
  <c r="H617" i="12"/>
  <c r="I619" i="12"/>
  <c r="H619" i="12"/>
  <c r="I621" i="12"/>
  <c r="H621" i="12"/>
  <c r="I623" i="12"/>
  <c r="H623" i="12"/>
  <c r="I625" i="12"/>
  <c r="H625" i="12"/>
  <c r="I627" i="12"/>
  <c r="H627" i="12"/>
  <c r="I629" i="12"/>
  <c r="H629" i="12"/>
  <c r="I631" i="12"/>
  <c r="H631" i="12"/>
  <c r="I633" i="12"/>
  <c r="H633" i="12"/>
  <c r="I635" i="12"/>
  <c r="H635" i="12"/>
  <c r="I637" i="12"/>
  <c r="H637" i="12"/>
  <c r="I639" i="12"/>
  <c r="H639" i="12"/>
  <c r="I641" i="12"/>
  <c r="H641" i="12"/>
  <c r="I643" i="12"/>
  <c r="H643" i="12"/>
  <c r="I645" i="12"/>
  <c r="H645" i="12"/>
  <c r="I647" i="12"/>
  <c r="H647" i="12"/>
  <c r="I649" i="12"/>
  <c r="H649" i="12"/>
  <c r="I651" i="12"/>
  <c r="H651" i="12"/>
  <c r="I653" i="12"/>
  <c r="H653" i="12"/>
  <c r="I655" i="12"/>
  <c r="H655" i="12"/>
  <c r="I657" i="12"/>
  <c r="H657" i="12"/>
  <c r="I659" i="12"/>
  <c r="H659" i="12"/>
  <c r="I661" i="12"/>
  <c r="H661" i="12"/>
  <c r="I663" i="12"/>
  <c r="H663" i="12"/>
  <c r="I665" i="12"/>
  <c r="H665" i="12"/>
  <c r="I667" i="12"/>
  <c r="H667" i="12"/>
  <c r="I669" i="12"/>
  <c r="H669" i="12"/>
  <c r="I671" i="12"/>
  <c r="H671" i="12"/>
  <c r="I673" i="12"/>
  <c r="H673" i="12"/>
  <c r="I675" i="12"/>
  <c r="H675" i="12"/>
  <c r="I677" i="12"/>
  <c r="H677" i="12"/>
  <c r="I679" i="12"/>
  <c r="H679" i="12"/>
  <c r="I681" i="12"/>
  <c r="H681" i="12"/>
  <c r="I683" i="12"/>
  <c r="H683" i="12"/>
  <c r="I685" i="12"/>
  <c r="H685" i="12"/>
  <c r="I687" i="12"/>
  <c r="H687" i="12"/>
  <c r="I689" i="12"/>
  <c r="H689" i="12"/>
  <c r="I691" i="12"/>
  <c r="H691" i="12"/>
  <c r="I693" i="12"/>
  <c r="H693" i="12"/>
  <c r="I695" i="12"/>
  <c r="H695" i="12"/>
  <c r="I697" i="12"/>
  <c r="H697" i="12"/>
  <c r="I699" i="12"/>
  <c r="H699" i="12"/>
  <c r="I701" i="12"/>
  <c r="H701" i="12"/>
  <c r="I703" i="12"/>
  <c r="H703" i="12"/>
  <c r="I705" i="12"/>
  <c r="H705" i="12"/>
  <c r="I707" i="12"/>
  <c r="H707" i="12"/>
  <c r="I709" i="12"/>
  <c r="H709" i="12"/>
  <c r="J712" i="12"/>
  <c r="F712" i="12"/>
  <c r="J714" i="12"/>
  <c r="F714" i="12"/>
  <c r="J716" i="12"/>
  <c r="F716" i="12"/>
  <c r="J718" i="12"/>
  <c r="F718" i="12"/>
  <c r="J720" i="12"/>
  <c r="F720" i="12"/>
  <c r="I720" i="12"/>
  <c r="H720" i="12"/>
  <c r="J724" i="12"/>
  <c r="F724" i="12"/>
  <c r="I724" i="12"/>
  <c r="H724" i="12"/>
  <c r="J728" i="12"/>
  <c r="F728" i="12"/>
  <c r="I728" i="12"/>
  <c r="H728" i="12"/>
  <c r="J732" i="12"/>
  <c r="F732" i="12"/>
  <c r="I732" i="12"/>
  <c r="H732" i="12"/>
  <c r="J736" i="12"/>
  <c r="F736" i="12"/>
  <c r="I736" i="12"/>
  <c r="H736" i="12"/>
  <c r="J740" i="12"/>
  <c r="F740" i="12"/>
  <c r="I740" i="12"/>
  <c r="H740" i="12"/>
  <c r="J744" i="12"/>
  <c r="F744" i="12"/>
  <c r="I744" i="12"/>
  <c r="H744" i="12"/>
  <c r="J748" i="12"/>
  <c r="F748" i="12"/>
  <c r="I748" i="12"/>
  <c r="H748" i="12"/>
  <c r="J752" i="12"/>
  <c r="F752" i="12"/>
  <c r="I752" i="12"/>
  <c r="H752" i="12"/>
  <c r="J756" i="12"/>
  <c r="F756" i="12"/>
  <c r="I756" i="12"/>
  <c r="H756" i="12"/>
  <c r="J760" i="12"/>
  <c r="F760" i="12"/>
  <c r="I760" i="12"/>
  <c r="H760" i="12"/>
  <c r="J764" i="12"/>
  <c r="F764" i="12"/>
  <c r="I764" i="12"/>
  <c r="H764" i="12"/>
  <c r="J768" i="12"/>
  <c r="F768" i="12"/>
  <c r="I768" i="12"/>
  <c r="H768" i="12"/>
  <c r="J772" i="12"/>
  <c r="F772" i="12"/>
  <c r="I772" i="12"/>
  <c r="H772" i="12"/>
  <c r="J776" i="12"/>
  <c r="F776" i="12"/>
  <c r="I776" i="12"/>
  <c r="H776" i="12"/>
  <c r="J780" i="12"/>
  <c r="F780" i="12"/>
  <c r="I780" i="12"/>
  <c r="H780" i="12"/>
  <c r="J784" i="12"/>
  <c r="F784" i="12"/>
  <c r="I784" i="12"/>
  <c r="H784" i="12"/>
  <c r="J788" i="12"/>
  <c r="F788" i="12"/>
  <c r="I788" i="12"/>
  <c r="H788" i="12"/>
  <c r="J792" i="12"/>
  <c r="F792" i="12"/>
  <c r="I792" i="12"/>
  <c r="H792" i="12"/>
  <c r="J796" i="12"/>
  <c r="F796" i="12"/>
  <c r="I796" i="12"/>
  <c r="H796" i="12"/>
  <c r="J800" i="12"/>
  <c r="F800" i="12"/>
  <c r="I800" i="12"/>
  <c r="H800" i="12"/>
  <c r="J804" i="12"/>
  <c r="F804" i="12"/>
  <c r="I804" i="12"/>
  <c r="H804" i="12"/>
  <c r="J808" i="12"/>
  <c r="F808" i="12"/>
  <c r="I808" i="12"/>
  <c r="H808" i="12"/>
  <c r="J812" i="12"/>
  <c r="F812" i="12"/>
  <c r="I812" i="12"/>
  <c r="H812" i="12"/>
  <c r="J816" i="12"/>
  <c r="F816" i="12"/>
  <c r="I816" i="12"/>
  <c r="H816" i="12"/>
  <c r="H824" i="12"/>
  <c r="I824" i="12"/>
  <c r="J828" i="12"/>
  <c r="F828" i="12"/>
  <c r="H840" i="12"/>
  <c r="I840" i="12"/>
  <c r="J844" i="12"/>
  <c r="F844" i="12"/>
  <c r="H856" i="12"/>
  <c r="I856" i="12"/>
  <c r="J860" i="12"/>
  <c r="F860" i="12"/>
  <c r="H872" i="12"/>
  <c r="I872" i="12"/>
  <c r="J876" i="12"/>
  <c r="F876" i="12"/>
  <c r="H888" i="12"/>
  <c r="I888" i="12"/>
  <c r="J892" i="12"/>
  <c r="F892" i="12"/>
  <c r="H904" i="12"/>
  <c r="I904" i="12"/>
  <c r="J908" i="12"/>
  <c r="F908" i="12"/>
  <c r="H920" i="12"/>
  <c r="I920" i="12"/>
  <c r="J924" i="12"/>
  <c r="F924" i="12"/>
  <c r="H936" i="12"/>
  <c r="I936" i="12"/>
  <c r="J940" i="12"/>
  <c r="F940" i="12"/>
  <c r="H952" i="12"/>
  <c r="I952" i="12"/>
  <c r="J956" i="12"/>
  <c r="F956" i="12"/>
  <c r="H968" i="12"/>
  <c r="I968" i="12"/>
  <c r="J972" i="12"/>
  <c r="F972" i="12"/>
  <c r="H984" i="12"/>
  <c r="I984" i="12"/>
  <c r="J988" i="12"/>
  <c r="F988" i="12"/>
  <c r="H1000" i="12"/>
  <c r="I1000" i="12"/>
  <c r="J1004" i="12"/>
  <c r="F1004" i="12"/>
  <c r="H1016" i="12"/>
  <c r="I1016" i="12"/>
  <c r="J1020" i="12"/>
  <c r="F1020" i="12"/>
  <c r="H1032" i="12"/>
  <c r="I1032" i="12"/>
  <c r="J1036" i="12"/>
  <c r="F1036" i="12"/>
  <c r="H1048" i="12"/>
  <c r="I1048" i="12"/>
  <c r="J1052" i="12"/>
  <c r="F1052" i="12"/>
  <c r="H1064" i="12"/>
  <c r="I1064" i="12"/>
  <c r="J1068" i="12"/>
  <c r="F1068" i="12"/>
  <c r="H1080" i="12"/>
  <c r="I1080" i="12"/>
  <c r="J1084" i="12"/>
  <c r="F1084" i="12"/>
  <c r="H1096" i="12"/>
  <c r="I1096" i="12"/>
  <c r="J1100" i="12"/>
  <c r="F1100" i="12"/>
  <c r="H1112" i="12"/>
  <c r="I1112" i="12"/>
  <c r="J1116" i="12"/>
  <c r="F1116" i="12"/>
  <c r="H1128" i="12"/>
  <c r="I1128" i="12"/>
  <c r="J1132" i="12"/>
  <c r="F1132" i="12"/>
  <c r="H1144" i="12"/>
  <c r="I1144" i="12"/>
  <c r="J1148" i="12"/>
  <c r="F1148" i="12"/>
  <c r="H1160" i="12"/>
  <c r="I1160" i="12"/>
  <c r="J1164" i="12"/>
  <c r="F1164" i="12"/>
  <c r="H1176" i="12"/>
  <c r="I1176" i="12"/>
  <c r="J1180" i="12"/>
  <c r="F1180" i="12"/>
  <c r="H1192" i="12"/>
  <c r="I1192" i="12"/>
  <c r="J1196" i="12"/>
  <c r="F1196" i="12"/>
  <c r="H1208" i="12"/>
  <c r="I1208" i="12"/>
  <c r="J1212" i="12"/>
  <c r="F1212" i="12"/>
  <c r="H1224" i="12"/>
  <c r="I1224" i="12"/>
  <c r="J1228" i="12"/>
  <c r="F1228" i="12"/>
  <c r="H1240" i="12"/>
  <c r="I1240" i="12"/>
  <c r="J1244" i="12"/>
  <c r="F1244" i="12"/>
  <c r="H1256" i="12"/>
  <c r="I1256" i="12"/>
  <c r="J1260" i="12"/>
  <c r="F1260" i="12"/>
  <c r="H1272" i="12"/>
  <c r="I1272" i="12"/>
  <c r="J1276" i="12"/>
  <c r="F1276" i="12"/>
  <c r="H1288" i="12"/>
  <c r="I1288" i="12"/>
  <c r="J1292" i="12"/>
  <c r="F1292" i="12"/>
  <c r="H1304" i="12"/>
  <c r="I1304" i="12"/>
  <c r="J1311" i="12"/>
  <c r="F1311" i="12"/>
  <c r="J1319" i="12"/>
  <c r="F1319" i="12"/>
  <c r="J1327" i="12"/>
  <c r="F1327" i="12"/>
  <c r="J1335" i="12"/>
  <c r="F1335" i="12"/>
  <c r="J1343" i="12"/>
  <c r="F1343" i="12"/>
  <c r="J1351" i="12"/>
  <c r="F1351" i="12"/>
  <c r="J1359" i="12"/>
  <c r="F1359" i="12"/>
  <c r="J1367" i="12"/>
  <c r="F1367" i="12"/>
  <c r="J1375" i="12"/>
  <c r="F1375" i="12"/>
  <c r="J1383" i="12"/>
  <c r="F1383" i="12"/>
  <c r="J1391" i="12"/>
  <c r="F1391" i="12"/>
  <c r="J1399" i="12"/>
  <c r="F1399" i="12"/>
  <c r="J1407" i="12"/>
  <c r="F1407" i="12"/>
  <c r="J1415" i="12"/>
  <c r="F1415" i="12"/>
  <c r="H1426" i="12"/>
  <c r="I1426" i="12"/>
  <c r="H1435" i="12"/>
  <c r="I1435" i="12"/>
  <c r="H1443" i="12"/>
  <c r="I1443" i="12"/>
  <c r="H1475" i="12"/>
  <c r="I1475" i="12"/>
  <c r="J1511" i="12"/>
  <c r="F1511" i="12"/>
  <c r="H1539" i="12"/>
  <c r="I1539" i="12"/>
  <c r="J1575" i="12"/>
  <c r="F1575" i="12"/>
  <c r="H1603" i="12"/>
  <c r="I1603" i="12"/>
  <c r="F1805" i="12"/>
  <c r="J1805" i="12"/>
  <c r="F1821" i="12"/>
  <c r="J1821" i="12"/>
  <c r="J2007" i="12"/>
  <c r="F2007" i="12"/>
  <c r="J424" i="12"/>
  <c r="F424" i="12"/>
  <c r="J426" i="12"/>
  <c r="F426" i="12"/>
  <c r="J428" i="12"/>
  <c r="F428" i="12"/>
  <c r="J430" i="12"/>
  <c r="F430" i="12"/>
  <c r="J432" i="12"/>
  <c r="F432" i="12"/>
  <c r="J434" i="12"/>
  <c r="F434" i="12"/>
  <c r="J436" i="12"/>
  <c r="F436" i="12"/>
  <c r="J438" i="12"/>
  <c r="F438" i="12"/>
  <c r="J440" i="12"/>
  <c r="F440" i="12"/>
  <c r="J442" i="12"/>
  <c r="F442" i="12"/>
  <c r="J444" i="12"/>
  <c r="F444" i="12"/>
  <c r="J446" i="12"/>
  <c r="F446" i="12"/>
  <c r="J448" i="12"/>
  <c r="F448" i="12"/>
  <c r="J450" i="12"/>
  <c r="F450" i="12"/>
  <c r="J452" i="12"/>
  <c r="F452" i="12"/>
  <c r="J454" i="12"/>
  <c r="F454" i="12"/>
  <c r="J456" i="12"/>
  <c r="F456" i="12"/>
  <c r="J458" i="12"/>
  <c r="F458" i="12"/>
  <c r="J460" i="12"/>
  <c r="F460" i="12"/>
  <c r="J462" i="12"/>
  <c r="F462" i="12"/>
  <c r="J464" i="12"/>
  <c r="F464" i="12"/>
  <c r="J466" i="12"/>
  <c r="F466" i="12"/>
  <c r="J468" i="12"/>
  <c r="F468" i="12"/>
  <c r="J470" i="12"/>
  <c r="F470" i="12"/>
  <c r="J472" i="12"/>
  <c r="F472" i="12"/>
  <c r="J474" i="12"/>
  <c r="F474" i="12"/>
  <c r="J476" i="12"/>
  <c r="F476" i="12"/>
  <c r="J478" i="12"/>
  <c r="F478" i="12"/>
  <c r="J480" i="12"/>
  <c r="F480" i="12"/>
  <c r="J482" i="12"/>
  <c r="F482" i="12"/>
  <c r="J484" i="12"/>
  <c r="F484" i="12"/>
  <c r="J486" i="12"/>
  <c r="F486" i="12"/>
  <c r="J488" i="12"/>
  <c r="F488" i="12"/>
  <c r="J490" i="12"/>
  <c r="F490" i="12"/>
  <c r="J492" i="12"/>
  <c r="F492" i="12"/>
  <c r="J494" i="12"/>
  <c r="F494" i="12"/>
  <c r="J496" i="12"/>
  <c r="F496" i="12"/>
  <c r="J498" i="12"/>
  <c r="F498" i="12"/>
  <c r="J500" i="12"/>
  <c r="F500" i="12"/>
  <c r="J502" i="12"/>
  <c r="F502" i="12"/>
  <c r="J504" i="12"/>
  <c r="F504" i="12"/>
  <c r="J506" i="12"/>
  <c r="F506" i="12"/>
  <c r="J508" i="12"/>
  <c r="F508" i="12"/>
  <c r="J510" i="12"/>
  <c r="F510" i="12"/>
  <c r="J512" i="12"/>
  <c r="F512" i="12"/>
  <c r="J514" i="12"/>
  <c r="F514" i="12"/>
  <c r="J516" i="12"/>
  <c r="F516" i="12"/>
  <c r="J518" i="12"/>
  <c r="F518" i="12"/>
  <c r="J520" i="12"/>
  <c r="F520" i="12"/>
  <c r="J522" i="12"/>
  <c r="F522" i="12"/>
  <c r="J524" i="12"/>
  <c r="F524" i="12"/>
  <c r="J526" i="12"/>
  <c r="F526" i="12"/>
  <c r="J528" i="12"/>
  <c r="F528" i="12"/>
  <c r="J530" i="12"/>
  <c r="F530" i="12"/>
  <c r="J532" i="12"/>
  <c r="F532" i="12"/>
  <c r="J534" i="12"/>
  <c r="F534" i="12"/>
  <c r="J536" i="12"/>
  <c r="F536" i="12"/>
  <c r="J538" i="12"/>
  <c r="F538" i="12"/>
  <c r="J540" i="12"/>
  <c r="F540" i="12"/>
  <c r="J542" i="12"/>
  <c r="F542" i="12"/>
  <c r="J544" i="12"/>
  <c r="F544" i="12"/>
  <c r="J546" i="12"/>
  <c r="F546" i="12"/>
  <c r="J548" i="12"/>
  <c r="F548" i="12"/>
  <c r="J550" i="12"/>
  <c r="F550" i="12"/>
  <c r="J552" i="12"/>
  <c r="F552" i="12"/>
  <c r="J554" i="12"/>
  <c r="F554" i="12"/>
  <c r="J556" i="12"/>
  <c r="F556" i="12"/>
  <c r="J558" i="12"/>
  <c r="F558" i="12"/>
  <c r="J560" i="12"/>
  <c r="F560" i="12"/>
  <c r="J562" i="12"/>
  <c r="F562" i="12"/>
  <c r="J564" i="12"/>
  <c r="F564" i="12"/>
  <c r="J566" i="12"/>
  <c r="F566" i="12"/>
  <c r="J568" i="12"/>
  <c r="F568" i="12"/>
  <c r="J570" i="12"/>
  <c r="F570" i="12"/>
  <c r="J572" i="12"/>
  <c r="F572" i="12"/>
  <c r="J574" i="12"/>
  <c r="F574" i="12"/>
  <c r="J576" i="12"/>
  <c r="F576" i="12"/>
  <c r="J578" i="12"/>
  <c r="F578" i="12"/>
  <c r="J580" i="12"/>
  <c r="F580" i="12"/>
  <c r="J582" i="12"/>
  <c r="F582" i="12"/>
  <c r="J584" i="12"/>
  <c r="F584" i="12"/>
  <c r="J586" i="12"/>
  <c r="F586" i="12"/>
  <c r="J588" i="12"/>
  <c r="F588" i="12"/>
  <c r="J590" i="12"/>
  <c r="F590" i="12"/>
  <c r="J592" i="12"/>
  <c r="F592" i="12"/>
  <c r="J594" i="12"/>
  <c r="F594" i="12"/>
  <c r="J596" i="12"/>
  <c r="F596" i="12"/>
  <c r="J598" i="12"/>
  <c r="F598" i="12"/>
  <c r="J600" i="12"/>
  <c r="F600" i="12"/>
  <c r="J602" i="12"/>
  <c r="F602" i="12"/>
  <c r="J604" i="12"/>
  <c r="F604" i="12"/>
  <c r="J606" i="12"/>
  <c r="F606" i="12"/>
  <c r="J608" i="12"/>
  <c r="F608" i="12"/>
  <c r="J610" i="12"/>
  <c r="F610" i="12"/>
  <c r="J612" i="12"/>
  <c r="F612" i="12"/>
  <c r="J614" i="12"/>
  <c r="F614" i="12"/>
  <c r="J616" i="12"/>
  <c r="F616" i="12"/>
  <c r="J618" i="12"/>
  <c r="F618" i="12"/>
  <c r="J620" i="12"/>
  <c r="F620" i="12"/>
  <c r="J622" i="12"/>
  <c r="F622" i="12"/>
  <c r="J624" i="12"/>
  <c r="F624" i="12"/>
  <c r="J626" i="12"/>
  <c r="F626" i="12"/>
  <c r="J628" i="12"/>
  <c r="F628" i="12"/>
  <c r="J630" i="12"/>
  <c r="F630" i="12"/>
  <c r="J632" i="12"/>
  <c r="F632" i="12"/>
  <c r="J634" i="12"/>
  <c r="F634" i="12"/>
  <c r="J636" i="12"/>
  <c r="F636" i="12"/>
  <c r="J638" i="12"/>
  <c r="F638" i="12"/>
  <c r="J640" i="12"/>
  <c r="F640" i="12"/>
  <c r="J642" i="12"/>
  <c r="F642" i="12"/>
  <c r="J644" i="12"/>
  <c r="F644" i="12"/>
  <c r="J646" i="12"/>
  <c r="F646" i="12"/>
  <c r="J648" i="12"/>
  <c r="F648" i="12"/>
  <c r="J650" i="12"/>
  <c r="F650" i="12"/>
  <c r="J652" i="12"/>
  <c r="F652" i="12"/>
  <c r="J654" i="12"/>
  <c r="F654" i="12"/>
  <c r="J656" i="12"/>
  <c r="F656" i="12"/>
  <c r="J658" i="12"/>
  <c r="F658" i="12"/>
  <c r="J660" i="12"/>
  <c r="F660" i="12"/>
  <c r="J662" i="12"/>
  <c r="F662" i="12"/>
  <c r="J664" i="12"/>
  <c r="F664" i="12"/>
  <c r="J666" i="12"/>
  <c r="F666" i="12"/>
  <c r="J668" i="12"/>
  <c r="F668" i="12"/>
  <c r="J670" i="12"/>
  <c r="F670" i="12"/>
  <c r="J672" i="12"/>
  <c r="F672" i="12"/>
  <c r="J674" i="12"/>
  <c r="F674" i="12"/>
  <c r="J676" i="12"/>
  <c r="F676" i="12"/>
  <c r="J678" i="12"/>
  <c r="F678" i="12"/>
  <c r="J680" i="12"/>
  <c r="F680" i="12"/>
  <c r="J682" i="12"/>
  <c r="F682" i="12"/>
  <c r="J684" i="12"/>
  <c r="F684" i="12"/>
  <c r="J686" i="12"/>
  <c r="F686" i="12"/>
  <c r="J688" i="12"/>
  <c r="F688" i="12"/>
  <c r="J690" i="12"/>
  <c r="F690" i="12"/>
  <c r="J692" i="12"/>
  <c r="F692" i="12"/>
  <c r="J694" i="12"/>
  <c r="F694" i="12"/>
  <c r="J696" i="12"/>
  <c r="F696" i="12"/>
  <c r="J698" i="12"/>
  <c r="F698" i="12"/>
  <c r="J700" i="12"/>
  <c r="F700" i="12"/>
  <c r="J702" i="12"/>
  <c r="F702" i="12"/>
  <c r="J704" i="12"/>
  <c r="F704" i="12"/>
  <c r="J706" i="12"/>
  <c r="F706" i="12"/>
  <c r="J708" i="12"/>
  <c r="F708" i="12"/>
  <c r="J710" i="12"/>
  <c r="F710" i="12"/>
  <c r="H712" i="12"/>
  <c r="I712" i="12"/>
  <c r="H714" i="12"/>
  <c r="I714" i="12"/>
  <c r="H716" i="12"/>
  <c r="I716" i="12"/>
  <c r="H718" i="12"/>
  <c r="I718" i="12"/>
  <c r="J721" i="12"/>
  <c r="F721" i="12"/>
  <c r="H721" i="12"/>
  <c r="I721" i="12"/>
  <c r="J725" i="12"/>
  <c r="F725" i="12"/>
  <c r="H725" i="12"/>
  <c r="I725" i="12"/>
  <c r="J729" i="12"/>
  <c r="F729" i="12"/>
  <c r="H729" i="12"/>
  <c r="I729" i="12"/>
  <c r="J733" i="12"/>
  <c r="F733" i="12"/>
  <c r="H733" i="12"/>
  <c r="I733" i="12"/>
  <c r="J737" i="12"/>
  <c r="F737" i="12"/>
  <c r="H737" i="12"/>
  <c r="I737" i="12"/>
  <c r="J741" i="12"/>
  <c r="F741" i="12"/>
  <c r="H741" i="12"/>
  <c r="I741" i="12"/>
  <c r="J745" i="12"/>
  <c r="F745" i="12"/>
  <c r="H745" i="12"/>
  <c r="I745" i="12"/>
  <c r="J749" i="12"/>
  <c r="F749" i="12"/>
  <c r="H749" i="12"/>
  <c r="I749" i="12"/>
  <c r="J753" i="12"/>
  <c r="F753" i="12"/>
  <c r="H753" i="12"/>
  <c r="I753" i="12"/>
  <c r="J757" i="12"/>
  <c r="F757" i="12"/>
  <c r="H757" i="12"/>
  <c r="I757" i="12"/>
  <c r="J761" i="12"/>
  <c r="F761" i="12"/>
  <c r="H761" i="12"/>
  <c r="I761" i="12"/>
  <c r="J765" i="12"/>
  <c r="F765" i="12"/>
  <c r="H765" i="12"/>
  <c r="I765" i="12"/>
  <c r="J769" i="12"/>
  <c r="F769" i="12"/>
  <c r="H769" i="12"/>
  <c r="I769" i="12"/>
  <c r="J773" i="12"/>
  <c r="F773" i="12"/>
  <c r="H773" i="12"/>
  <c r="I773" i="12"/>
  <c r="J777" i="12"/>
  <c r="F777" i="12"/>
  <c r="H777" i="12"/>
  <c r="I777" i="12"/>
  <c r="J781" i="12"/>
  <c r="F781" i="12"/>
  <c r="H781" i="12"/>
  <c r="I781" i="12"/>
  <c r="J785" i="12"/>
  <c r="F785" i="12"/>
  <c r="H785" i="12"/>
  <c r="I785" i="12"/>
  <c r="J789" i="12"/>
  <c r="F789" i="12"/>
  <c r="H789" i="12"/>
  <c r="I789" i="12"/>
  <c r="J793" i="12"/>
  <c r="F793" i="12"/>
  <c r="H793" i="12"/>
  <c r="I793" i="12"/>
  <c r="J797" i="12"/>
  <c r="F797" i="12"/>
  <c r="H797" i="12"/>
  <c r="I797" i="12"/>
  <c r="J801" i="12"/>
  <c r="F801" i="12"/>
  <c r="H801" i="12"/>
  <c r="I801" i="12"/>
  <c r="J805" i="12"/>
  <c r="F805" i="12"/>
  <c r="H805" i="12"/>
  <c r="I805" i="12"/>
  <c r="J809" i="12"/>
  <c r="F809" i="12"/>
  <c r="H809" i="12"/>
  <c r="I809" i="12"/>
  <c r="J813" i="12"/>
  <c r="F813" i="12"/>
  <c r="H813" i="12"/>
  <c r="I813" i="12"/>
  <c r="H828" i="12"/>
  <c r="I828" i="12"/>
  <c r="J832" i="12"/>
  <c r="F832" i="12"/>
  <c r="H844" i="12"/>
  <c r="I844" i="12"/>
  <c r="J848" i="12"/>
  <c r="F848" i="12"/>
  <c r="H860" i="12"/>
  <c r="I860" i="12"/>
  <c r="J864" i="12"/>
  <c r="F864" i="12"/>
  <c r="H876" i="12"/>
  <c r="I876" i="12"/>
  <c r="J880" i="12"/>
  <c r="F880" i="12"/>
  <c r="H892" i="12"/>
  <c r="I892" i="12"/>
  <c r="J896" i="12"/>
  <c r="F896" i="12"/>
  <c r="H908" i="12"/>
  <c r="I908" i="12"/>
  <c r="J912" i="12"/>
  <c r="F912" i="12"/>
  <c r="H924" i="12"/>
  <c r="I924" i="12"/>
  <c r="J928" i="12"/>
  <c r="F928" i="12"/>
  <c r="H940" i="12"/>
  <c r="I940" i="12"/>
  <c r="J944" i="12"/>
  <c r="F944" i="12"/>
  <c r="H956" i="12"/>
  <c r="I956" i="12"/>
  <c r="J960" i="12"/>
  <c r="F960" i="12"/>
  <c r="H972" i="12"/>
  <c r="I972" i="12"/>
  <c r="J976" i="12"/>
  <c r="F976" i="12"/>
  <c r="H988" i="12"/>
  <c r="I988" i="12"/>
  <c r="J992" i="12"/>
  <c r="F992" i="12"/>
  <c r="H1004" i="12"/>
  <c r="I1004" i="12"/>
  <c r="J1008" i="12"/>
  <c r="F1008" i="12"/>
  <c r="H1020" i="12"/>
  <c r="I1020" i="12"/>
  <c r="J1024" i="12"/>
  <c r="F1024" i="12"/>
  <c r="H1036" i="12"/>
  <c r="I1036" i="12"/>
  <c r="J1040" i="12"/>
  <c r="F1040" i="12"/>
  <c r="H1052" i="12"/>
  <c r="I1052" i="12"/>
  <c r="J1056" i="12"/>
  <c r="F1056" i="12"/>
  <c r="H1068" i="12"/>
  <c r="I1068" i="12"/>
  <c r="J1072" i="12"/>
  <c r="F1072" i="12"/>
  <c r="H1084" i="12"/>
  <c r="I1084" i="12"/>
  <c r="J1088" i="12"/>
  <c r="F1088" i="12"/>
  <c r="H1100" i="12"/>
  <c r="I1100" i="12"/>
  <c r="J1104" i="12"/>
  <c r="F1104" i="12"/>
  <c r="H1116" i="12"/>
  <c r="I1116" i="12"/>
  <c r="J1120" i="12"/>
  <c r="F1120" i="12"/>
  <c r="H1132" i="12"/>
  <c r="I1132" i="12"/>
  <c r="J1136" i="12"/>
  <c r="F1136" i="12"/>
  <c r="H1148" i="12"/>
  <c r="I1148" i="12"/>
  <c r="J1152" i="12"/>
  <c r="F1152" i="12"/>
  <c r="H1164" i="12"/>
  <c r="I1164" i="12"/>
  <c r="J1168" i="12"/>
  <c r="F1168" i="12"/>
  <c r="H1180" i="12"/>
  <c r="I1180" i="12"/>
  <c r="J1184" i="12"/>
  <c r="F1184" i="12"/>
  <c r="H1196" i="12"/>
  <c r="I1196" i="12"/>
  <c r="J1200" i="12"/>
  <c r="F1200" i="12"/>
  <c r="H1212" i="12"/>
  <c r="I1212" i="12"/>
  <c r="J1216" i="12"/>
  <c r="F1216" i="12"/>
  <c r="H1228" i="12"/>
  <c r="I1228" i="12"/>
  <c r="J1232" i="12"/>
  <c r="F1232" i="12"/>
  <c r="H1244" i="12"/>
  <c r="I1244" i="12"/>
  <c r="J1248" i="12"/>
  <c r="F1248" i="12"/>
  <c r="H1260" i="12"/>
  <c r="I1260" i="12"/>
  <c r="J1264" i="12"/>
  <c r="F1264" i="12"/>
  <c r="H1276" i="12"/>
  <c r="I1276" i="12"/>
  <c r="J1280" i="12"/>
  <c r="F1280" i="12"/>
  <c r="H1292" i="12"/>
  <c r="I1292" i="12"/>
  <c r="J1296" i="12"/>
  <c r="F1296" i="12"/>
  <c r="F1313" i="12"/>
  <c r="J1313" i="12"/>
  <c r="F1321" i="12"/>
  <c r="J1321" i="12"/>
  <c r="F1329" i="12"/>
  <c r="J1329" i="12"/>
  <c r="F1337" i="12"/>
  <c r="J1337" i="12"/>
  <c r="F1345" i="12"/>
  <c r="J1345" i="12"/>
  <c r="F1353" i="12"/>
  <c r="J1353" i="12"/>
  <c r="F1361" i="12"/>
  <c r="J1361" i="12"/>
  <c r="F1369" i="12"/>
  <c r="J1369" i="12"/>
  <c r="F1377" i="12"/>
  <c r="J1377" i="12"/>
  <c r="F1385" i="12"/>
  <c r="J1385" i="12"/>
  <c r="F1393" i="12"/>
  <c r="J1393" i="12"/>
  <c r="F1401" i="12"/>
  <c r="J1401" i="12"/>
  <c r="F1409" i="12"/>
  <c r="J1409" i="12"/>
  <c r="F1417" i="12"/>
  <c r="J1417" i="12"/>
  <c r="J1427" i="12"/>
  <c r="F1427" i="12"/>
  <c r="H1439" i="12"/>
  <c r="I1439" i="12"/>
  <c r="H1451" i="12"/>
  <c r="I1451" i="12"/>
  <c r="H1491" i="12"/>
  <c r="I1491" i="12"/>
  <c r="J1527" i="12"/>
  <c r="F1527" i="12"/>
  <c r="H1555" i="12"/>
  <c r="I1555" i="12"/>
  <c r="J1591" i="12"/>
  <c r="F1591" i="12"/>
  <c r="H1619" i="12"/>
  <c r="I1619" i="12"/>
  <c r="J1752" i="12"/>
  <c r="F1752" i="12"/>
  <c r="F1809" i="12"/>
  <c r="J1809" i="12"/>
  <c r="F1825" i="12"/>
  <c r="J1825" i="12"/>
  <c r="I348" i="12"/>
  <c r="H348" i="12"/>
  <c r="I350" i="12"/>
  <c r="H350" i="12"/>
  <c r="I352" i="12"/>
  <c r="H352" i="12"/>
  <c r="I354" i="12"/>
  <c r="H354" i="12"/>
  <c r="I356" i="12"/>
  <c r="H356" i="12"/>
  <c r="I358" i="12"/>
  <c r="H358" i="12"/>
  <c r="I360" i="12"/>
  <c r="H360" i="12"/>
  <c r="I362" i="12"/>
  <c r="H362" i="12"/>
  <c r="I364" i="12"/>
  <c r="H364" i="12"/>
  <c r="I366" i="12"/>
  <c r="H366" i="12"/>
  <c r="I368" i="12"/>
  <c r="H368" i="12"/>
  <c r="I370" i="12"/>
  <c r="H370" i="12"/>
  <c r="I372" i="12"/>
  <c r="H372" i="12"/>
  <c r="I374" i="12"/>
  <c r="H374" i="12"/>
  <c r="I376" i="12"/>
  <c r="H376" i="12"/>
  <c r="I378" i="12"/>
  <c r="H378" i="12"/>
  <c r="I380" i="12"/>
  <c r="H380" i="12"/>
  <c r="I382" i="12"/>
  <c r="H382" i="12"/>
  <c r="I384" i="12"/>
  <c r="H384" i="12"/>
  <c r="I386" i="12"/>
  <c r="H386" i="12"/>
  <c r="I388" i="12"/>
  <c r="H388" i="12"/>
  <c r="I390" i="12"/>
  <c r="H390" i="12"/>
  <c r="I392" i="12"/>
  <c r="H392" i="12"/>
  <c r="I394" i="12"/>
  <c r="H394" i="12"/>
  <c r="I396" i="12"/>
  <c r="H396" i="12"/>
  <c r="I398" i="12"/>
  <c r="H398" i="12"/>
  <c r="I400" i="12"/>
  <c r="H400" i="12"/>
  <c r="I402" i="12"/>
  <c r="H402" i="12"/>
  <c r="I404" i="12"/>
  <c r="H404" i="12"/>
  <c r="I406" i="12"/>
  <c r="H406" i="12"/>
  <c r="I408" i="12"/>
  <c r="H408" i="12"/>
  <c r="I410" i="12"/>
  <c r="H410" i="12"/>
  <c r="I412" i="12"/>
  <c r="H412" i="12"/>
  <c r="I414" i="12"/>
  <c r="H414" i="12"/>
  <c r="I416" i="12"/>
  <c r="H416" i="12"/>
  <c r="I418" i="12"/>
  <c r="H418" i="12"/>
  <c r="I420" i="12"/>
  <c r="H420" i="12"/>
  <c r="I422" i="12"/>
  <c r="H422" i="12"/>
  <c r="I424" i="12"/>
  <c r="H424" i="12"/>
  <c r="I426" i="12"/>
  <c r="H426" i="12"/>
  <c r="I428" i="12"/>
  <c r="H428" i="12"/>
  <c r="I430" i="12"/>
  <c r="H430" i="12"/>
  <c r="I432" i="12"/>
  <c r="H432" i="12"/>
  <c r="I434" i="12"/>
  <c r="H434" i="12"/>
  <c r="I436" i="12"/>
  <c r="H436" i="12"/>
  <c r="I438" i="12"/>
  <c r="H438" i="12"/>
  <c r="I440" i="12"/>
  <c r="H440" i="12"/>
  <c r="I442" i="12"/>
  <c r="H442" i="12"/>
  <c r="I444" i="12"/>
  <c r="H444" i="12"/>
  <c r="I446" i="12"/>
  <c r="H446" i="12"/>
  <c r="I448" i="12"/>
  <c r="H448" i="12"/>
  <c r="I450" i="12"/>
  <c r="H450" i="12"/>
  <c r="I452" i="12"/>
  <c r="H452" i="12"/>
  <c r="I454" i="12"/>
  <c r="H454" i="12"/>
  <c r="I456" i="12"/>
  <c r="H456" i="12"/>
  <c r="I458" i="12"/>
  <c r="H458" i="12"/>
  <c r="I460" i="12"/>
  <c r="H460" i="12"/>
  <c r="I462" i="12"/>
  <c r="H462" i="12"/>
  <c r="I464" i="12"/>
  <c r="H464" i="12"/>
  <c r="I466" i="12"/>
  <c r="H466" i="12"/>
  <c r="I468" i="12"/>
  <c r="H468" i="12"/>
  <c r="I470" i="12"/>
  <c r="H470" i="12"/>
  <c r="I472" i="12"/>
  <c r="H472" i="12"/>
  <c r="I474" i="12"/>
  <c r="H474" i="12"/>
  <c r="I476" i="12"/>
  <c r="H476" i="12"/>
  <c r="I478" i="12"/>
  <c r="H478" i="12"/>
  <c r="I480" i="12"/>
  <c r="H480" i="12"/>
  <c r="I482" i="12"/>
  <c r="H482" i="12"/>
  <c r="I484" i="12"/>
  <c r="H484" i="12"/>
  <c r="I486" i="12"/>
  <c r="H486" i="12"/>
  <c r="I488" i="12"/>
  <c r="H488" i="12"/>
  <c r="I490" i="12"/>
  <c r="H490" i="12"/>
  <c r="I492" i="12"/>
  <c r="H492" i="12"/>
  <c r="I494" i="12"/>
  <c r="H494" i="12"/>
  <c r="I496" i="12"/>
  <c r="H496" i="12"/>
  <c r="I498" i="12"/>
  <c r="H498" i="12"/>
  <c r="I500" i="12"/>
  <c r="H500" i="12"/>
  <c r="I502" i="12"/>
  <c r="H502" i="12"/>
  <c r="I504" i="12"/>
  <c r="H504" i="12"/>
  <c r="I506" i="12"/>
  <c r="H506" i="12"/>
  <c r="I508" i="12"/>
  <c r="H508" i="12"/>
  <c r="I510" i="12"/>
  <c r="H510" i="12"/>
  <c r="I512" i="12"/>
  <c r="H512" i="12"/>
  <c r="I514" i="12"/>
  <c r="H514" i="12"/>
  <c r="I516" i="12"/>
  <c r="H516" i="12"/>
  <c r="I518" i="12"/>
  <c r="H518" i="12"/>
  <c r="I520" i="12"/>
  <c r="H520" i="12"/>
  <c r="I522" i="12"/>
  <c r="H522" i="12"/>
  <c r="I524" i="12"/>
  <c r="H524" i="12"/>
  <c r="I526" i="12"/>
  <c r="H526" i="12"/>
  <c r="I528" i="12"/>
  <c r="H528" i="12"/>
  <c r="I530" i="12"/>
  <c r="H530" i="12"/>
  <c r="I532" i="12"/>
  <c r="H532" i="12"/>
  <c r="I534" i="12"/>
  <c r="H534" i="12"/>
  <c r="I536" i="12"/>
  <c r="H536" i="12"/>
  <c r="I538" i="12"/>
  <c r="H538" i="12"/>
  <c r="I540" i="12"/>
  <c r="H540" i="12"/>
  <c r="I542" i="12"/>
  <c r="H542" i="12"/>
  <c r="I544" i="12"/>
  <c r="H544" i="12"/>
  <c r="I546" i="12"/>
  <c r="H546" i="12"/>
  <c r="I548" i="12"/>
  <c r="H548" i="12"/>
  <c r="I550" i="12"/>
  <c r="H550" i="12"/>
  <c r="I552" i="12"/>
  <c r="H552" i="12"/>
  <c r="I554" i="12"/>
  <c r="H554" i="12"/>
  <c r="I556" i="12"/>
  <c r="H556" i="12"/>
  <c r="I558" i="12"/>
  <c r="H558" i="12"/>
  <c r="I560" i="12"/>
  <c r="H560" i="12"/>
  <c r="I562" i="12"/>
  <c r="H562" i="12"/>
  <c r="I564" i="12"/>
  <c r="H564" i="12"/>
  <c r="I566" i="12"/>
  <c r="H566" i="12"/>
  <c r="I568" i="12"/>
  <c r="H568" i="12"/>
  <c r="I570" i="12"/>
  <c r="H570" i="12"/>
  <c r="I572" i="12"/>
  <c r="H572" i="12"/>
  <c r="I574" i="12"/>
  <c r="H574" i="12"/>
  <c r="I576" i="12"/>
  <c r="H576" i="12"/>
  <c r="I578" i="12"/>
  <c r="H578" i="12"/>
  <c r="I580" i="12"/>
  <c r="H580" i="12"/>
  <c r="I582" i="12"/>
  <c r="H582" i="12"/>
  <c r="I584" i="12"/>
  <c r="H584" i="12"/>
  <c r="I586" i="12"/>
  <c r="H586" i="12"/>
  <c r="I588" i="12"/>
  <c r="H588" i="12"/>
  <c r="I590" i="12"/>
  <c r="H590" i="12"/>
  <c r="I592" i="12"/>
  <c r="H592" i="12"/>
  <c r="I594" i="12"/>
  <c r="H594" i="12"/>
  <c r="I596" i="12"/>
  <c r="H596" i="12"/>
  <c r="I598" i="12"/>
  <c r="H598" i="12"/>
  <c r="I600" i="12"/>
  <c r="H600" i="12"/>
  <c r="I602" i="12"/>
  <c r="H602" i="12"/>
  <c r="I604" i="12"/>
  <c r="H604" i="12"/>
  <c r="I606" i="12"/>
  <c r="H606" i="12"/>
  <c r="I608" i="12"/>
  <c r="H608" i="12"/>
  <c r="I610" i="12"/>
  <c r="H610" i="12"/>
  <c r="I612" i="12"/>
  <c r="H612" i="12"/>
  <c r="I614" i="12"/>
  <c r="H614" i="12"/>
  <c r="I616" i="12"/>
  <c r="H616" i="12"/>
  <c r="I618" i="12"/>
  <c r="H618" i="12"/>
  <c r="I620" i="12"/>
  <c r="H620" i="12"/>
  <c r="I622" i="12"/>
  <c r="H622" i="12"/>
  <c r="I624" i="12"/>
  <c r="H624" i="12"/>
  <c r="I626" i="12"/>
  <c r="H626" i="12"/>
  <c r="I628" i="12"/>
  <c r="H628" i="12"/>
  <c r="I630" i="12"/>
  <c r="H630" i="12"/>
  <c r="I632" i="12"/>
  <c r="H632" i="12"/>
  <c r="I634" i="12"/>
  <c r="H634" i="12"/>
  <c r="I636" i="12"/>
  <c r="H636" i="12"/>
  <c r="I638" i="12"/>
  <c r="H638" i="12"/>
  <c r="I640" i="12"/>
  <c r="H640" i="12"/>
  <c r="I642" i="12"/>
  <c r="H642" i="12"/>
  <c r="I644" i="12"/>
  <c r="H644" i="12"/>
  <c r="I646" i="12"/>
  <c r="H646" i="12"/>
  <c r="I648" i="12"/>
  <c r="H648" i="12"/>
  <c r="I650" i="12"/>
  <c r="H650" i="12"/>
  <c r="I652" i="12"/>
  <c r="H652" i="12"/>
  <c r="I654" i="12"/>
  <c r="H654" i="12"/>
  <c r="I656" i="12"/>
  <c r="H656" i="12"/>
  <c r="I658" i="12"/>
  <c r="H658" i="12"/>
  <c r="I660" i="12"/>
  <c r="H660" i="12"/>
  <c r="I662" i="12"/>
  <c r="H662" i="12"/>
  <c r="I664" i="12"/>
  <c r="H664" i="12"/>
  <c r="I666" i="12"/>
  <c r="H666" i="12"/>
  <c r="I668" i="12"/>
  <c r="H668" i="12"/>
  <c r="I670" i="12"/>
  <c r="H670" i="12"/>
  <c r="I672" i="12"/>
  <c r="H672" i="12"/>
  <c r="I674" i="12"/>
  <c r="H674" i="12"/>
  <c r="I676" i="12"/>
  <c r="H676" i="12"/>
  <c r="I678" i="12"/>
  <c r="H678" i="12"/>
  <c r="I680" i="12"/>
  <c r="H680" i="12"/>
  <c r="I682" i="12"/>
  <c r="H682" i="12"/>
  <c r="I684" i="12"/>
  <c r="H684" i="12"/>
  <c r="I686" i="12"/>
  <c r="H686" i="12"/>
  <c r="I688" i="12"/>
  <c r="H688" i="12"/>
  <c r="I690" i="12"/>
  <c r="H690" i="12"/>
  <c r="I692" i="12"/>
  <c r="H692" i="12"/>
  <c r="I694" i="12"/>
  <c r="H694" i="12"/>
  <c r="I696" i="12"/>
  <c r="H696" i="12"/>
  <c r="I698" i="12"/>
  <c r="H698" i="12"/>
  <c r="I700" i="12"/>
  <c r="H700" i="12"/>
  <c r="I702" i="12"/>
  <c r="H702" i="12"/>
  <c r="I704" i="12"/>
  <c r="H704" i="12"/>
  <c r="I706" i="12"/>
  <c r="H706" i="12"/>
  <c r="I708" i="12"/>
  <c r="H708" i="12"/>
  <c r="I710" i="12"/>
  <c r="H710" i="12"/>
  <c r="J713" i="12"/>
  <c r="F713" i="12"/>
  <c r="J715" i="12"/>
  <c r="F715" i="12"/>
  <c r="J717" i="12"/>
  <c r="F717" i="12"/>
  <c r="J719" i="12"/>
  <c r="F719" i="12"/>
  <c r="J722" i="12"/>
  <c r="F722" i="12"/>
  <c r="I722" i="12"/>
  <c r="H722" i="12"/>
  <c r="J726" i="12"/>
  <c r="F726" i="12"/>
  <c r="I726" i="12"/>
  <c r="H726" i="12"/>
  <c r="J730" i="12"/>
  <c r="F730" i="12"/>
  <c r="I730" i="12"/>
  <c r="H730" i="12"/>
  <c r="J734" i="12"/>
  <c r="F734" i="12"/>
  <c r="I734" i="12"/>
  <c r="H734" i="12"/>
  <c r="J738" i="12"/>
  <c r="F738" i="12"/>
  <c r="I738" i="12"/>
  <c r="H738" i="12"/>
  <c r="J742" i="12"/>
  <c r="F742" i="12"/>
  <c r="I742" i="12"/>
  <c r="H742" i="12"/>
  <c r="J746" i="12"/>
  <c r="F746" i="12"/>
  <c r="I746" i="12"/>
  <c r="H746" i="12"/>
  <c r="J750" i="12"/>
  <c r="F750" i="12"/>
  <c r="I750" i="12"/>
  <c r="H750" i="12"/>
  <c r="J754" i="12"/>
  <c r="F754" i="12"/>
  <c r="I754" i="12"/>
  <c r="H754" i="12"/>
  <c r="J758" i="12"/>
  <c r="F758" i="12"/>
  <c r="I758" i="12"/>
  <c r="H758" i="12"/>
  <c r="J762" i="12"/>
  <c r="F762" i="12"/>
  <c r="I762" i="12"/>
  <c r="H762" i="12"/>
  <c r="J766" i="12"/>
  <c r="F766" i="12"/>
  <c r="I766" i="12"/>
  <c r="H766" i="12"/>
  <c r="J770" i="12"/>
  <c r="F770" i="12"/>
  <c r="I770" i="12"/>
  <c r="H770" i="12"/>
  <c r="J774" i="12"/>
  <c r="F774" i="12"/>
  <c r="I774" i="12"/>
  <c r="H774" i="12"/>
  <c r="J778" i="12"/>
  <c r="F778" i="12"/>
  <c r="I778" i="12"/>
  <c r="H778" i="12"/>
  <c r="J782" i="12"/>
  <c r="F782" i="12"/>
  <c r="I782" i="12"/>
  <c r="H782" i="12"/>
  <c r="J786" i="12"/>
  <c r="F786" i="12"/>
  <c r="I786" i="12"/>
  <c r="H786" i="12"/>
  <c r="J790" i="12"/>
  <c r="F790" i="12"/>
  <c r="I790" i="12"/>
  <c r="H790" i="12"/>
  <c r="J794" i="12"/>
  <c r="F794" i="12"/>
  <c r="I794" i="12"/>
  <c r="H794" i="12"/>
  <c r="J798" i="12"/>
  <c r="F798" i="12"/>
  <c r="I798" i="12"/>
  <c r="H798" i="12"/>
  <c r="J802" i="12"/>
  <c r="F802" i="12"/>
  <c r="I802" i="12"/>
  <c r="H802" i="12"/>
  <c r="J806" i="12"/>
  <c r="F806" i="12"/>
  <c r="I806" i="12"/>
  <c r="H806" i="12"/>
  <c r="J810" i="12"/>
  <c r="F810" i="12"/>
  <c r="I810" i="12"/>
  <c r="H810" i="12"/>
  <c r="J814" i="12"/>
  <c r="F814" i="12"/>
  <c r="I814" i="12"/>
  <c r="H814" i="12"/>
  <c r="J820" i="12"/>
  <c r="F820" i="12"/>
  <c r="H832" i="12"/>
  <c r="I832" i="12"/>
  <c r="J836" i="12"/>
  <c r="F836" i="12"/>
  <c r="H848" i="12"/>
  <c r="I848" i="12"/>
  <c r="J852" i="12"/>
  <c r="F852" i="12"/>
  <c r="H864" i="12"/>
  <c r="I864" i="12"/>
  <c r="J868" i="12"/>
  <c r="F868" i="12"/>
  <c r="H880" i="12"/>
  <c r="I880" i="12"/>
  <c r="J884" i="12"/>
  <c r="F884" i="12"/>
  <c r="H896" i="12"/>
  <c r="I896" i="12"/>
  <c r="J900" i="12"/>
  <c r="F900" i="12"/>
  <c r="H912" i="12"/>
  <c r="I912" i="12"/>
  <c r="J916" i="12"/>
  <c r="F916" i="12"/>
  <c r="H928" i="12"/>
  <c r="I928" i="12"/>
  <c r="J932" i="12"/>
  <c r="F932" i="12"/>
  <c r="H944" i="12"/>
  <c r="I944" i="12"/>
  <c r="J948" i="12"/>
  <c r="F948" i="12"/>
  <c r="H960" i="12"/>
  <c r="I960" i="12"/>
  <c r="J964" i="12"/>
  <c r="F964" i="12"/>
  <c r="H976" i="12"/>
  <c r="I976" i="12"/>
  <c r="J980" i="12"/>
  <c r="F980" i="12"/>
  <c r="H992" i="12"/>
  <c r="I992" i="12"/>
  <c r="J996" i="12"/>
  <c r="F996" i="12"/>
  <c r="H1008" i="12"/>
  <c r="I1008" i="12"/>
  <c r="J1012" i="12"/>
  <c r="F1012" i="12"/>
  <c r="H1024" i="12"/>
  <c r="I1024" i="12"/>
  <c r="J1028" i="12"/>
  <c r="F1028" i="12"/>
  <c r="H1040" i="12"/>
  <c r="I1040" i="12"/>
  <c r="J1044" i="12"/>
  <c r="F1044" i="12"/>
  <c r="H1056" i="12"/>
  <c r="I1056" i="12"/>
  <c r="J1060" i="12"/>
  <c r="F1060" i="12"/>
  <c r="H1072" i="12"/>
  <c r="I1072" i="12"/>
  <c r="J1076" i="12"/>
  <c r="F1076" i="12"/>
  <c r="H1088" i="12"/>
  <c r="I1088" i="12"/>
  <c r="J1092" i="12"/>
  <c r="F1092" i="12"/>
  <c r="H1104" i="12"/>
  <c r="I1104" i="12"/>
  <c r="J1108" i="12"/>
  <c r="F1108" i="12"/>
  <c r="H1120" i="12"/>
  <c r="I1120" i="12"/>
  <c r="J1124" i="12"/>
  <c r="F1124" i="12"/>
  <c r="H1136" i="12"/>
  <c r="I1136" i="12"/>
  <c r="J1140" i="12"/>
  <c r="F1140" i="12"/>
  <c r="H1152" i="12"/>
  <c r="I1152" i="12"/>
  <c r="J1156" i="12"/>
  <c r="F1156" i="12"/>
  <c r="H1168" i="12"/>
  <c r="I1168" i="12"/>
  <c r="J1172" i="12"/>
  <c r="F1172" i="12"/>
  <c r="H1184" i="12"/>
  <c r="I1184" i="12"/>
  <c r="J1188" i="12"/>
  <c r="F1188" i="12"/>
  <c r="H1200" i="12"/>
  <c r="I1200" i="12"/>
  <c r="J1204" i="12"/>
  <c r="F1204" i="12"/>
  <c r="H1216" i="12"/>
  <c r="I1216" i="12"/>
  <c r="J1220" i="12"/>
  <c r="F1220" i="12"/>
  <c r="H1232" i="12"/>
  <c r="I1232" i="12"/>
  <c r="J1236" i="12"/>
  <c r="F1236" i="12"/>
  <c r="H1248" i="12"/>
  <c r="I1248" i="12"/>
  <c r="J1252" i="12"/>
  <c r="F1252" i="12"/>
  <c r="H1264" i="12"/>
  <c r="I1264" i="12"/>
  <c r="J1268" i="12"/>
  <c r="F1268" i="12"/>
  <c r="H1280" i="12"/>
  <c r="I1280" i="12"/>
  <c r="J1284" i="12"/>
  <c r="F1284" i="12"/>
  <c r="H1296" i="12"/>
  <c r="I1296" i="12"/>
  <c r="J1300" i="12"/>
  <c r="F1300" i="12"/>
  <c r="J1307" i="12"/>
  <c r="F1307" i="12"/>
  <c r="J1315" i="12"/>
  <c r="F1315" i="12"/>
  <c r="J1323" i="12"/>
  <c r="F1323" i="12"/>
  <c r="J1331" i="12"/>
  <c r="F1331" i="12"/>
  <c r="J1339" i="12"/>
  <c r="F1339" i="12"/>
  <c r="J1347" i="12"/>
  <c r="F1347" i="12"/>
  <c r="J1355" i="12"/>
  <c r="F1355" i="12"/>
  <c r="J1363" i="12"/>
  <c r="F1363" i="12"/>
  <c r="J1371" i="12"/>
  <c r="F1371" i="12"/>
  <c r="J1379" i="12"/>
  <c r="F1379" i="12"/>
  <c r="J1387" i="12"/>
  <c r="F1387" i="12"/>
  <c r="J1395" i="12"/>
  <c r="F1395" i="12"/>
  <c r="J1403" i="12"/>
  <c r="F1403" i="12"/>
  <c r="J1411" i="12"/>
  <c r="F1411" i="12"/>
  <c r="F1419" i="12"/>
  <c r="J1419" i="12"/>
  <c r="H1427" i="12"/>
  <c r="I1427" i="12"/>
  <c r="H1459" i="12"/>
  <c r="I1459" i="12"/>
  <c r="J1479" i="12"/>
  <c r="F1479" i="12"/>
  <c r="H1507" i="12"/>
  <c r="I1507" i="12"/>
  <c r="J1543" i="12"/>
  <c r="F1543" i="12"/>
  <c r="H1571" i="12"/>
  <c r="I1571" i="12"/>
  <c r="J1607" i="12"/>
  <c r="F1607" i="12"/>
  <c r="F1813" i="12"/>
  <c r="J1813" i="12"/>
  <c r="F1829" i="12"/>
  <c r="J1829" i="12"/>
  <c r="F2093" i="12"/>
  <c r="J2093" i="12"/>
  <c r="F2458" i="12"/>
  <c r="J2458" i="12"/>
  <c r="J818" i="12"/>
  <c r="F818" i="12"/>
  <c r="H818" i="12"/>
  <c r="I818" i="12"/>
  <c r="J822" i="12"/>
  <c r="F822" i="12"/>
  <c r="H822" i="12"/>
  <c r="I822" i="12"/>
  <c r="J826" i="12"/>
  <c r="F826" i="12"/>
  <c r="H826" i="12"/>
  <c r="I826" i="12"/>
  <c r="J830" i="12"/>
  <c r="F830" i="12"/>
  <c r="H830" i="12"/>
  <c r="I830" i="12"/>
  <c r="J834" i="12"/>
  <c r="F834" i="12"/>
  <c r="H834" i="12"/>
  <c r="I834" i="12"/>
  <c r="J838" i="12"/>
  <c r="F838" i="12"/>
  <c r="H838" i="12"/>
  <c r="I838" i="12"/>
  <c r="J842" i="12"/>
  <c r="F842" i="12"/>
  <c r="H842" i="12"/>
  <c r="I842" i="12"/>
  <c r="J846" i="12"/>
  <c r="F846" i="12"/>
  <c r="H846" i="12"/>
  <c r="I846" i="12"/>
  <c r="J850" i="12"/>
  <c r="F850" i="12"/>
  <c r="H850" i="12"/>
  <c r="I850" i="12"/>
  <c r="J854" i="12"/>
  <c r="F854" i="12"/>
  <c r="H854" i="12"/>
  <c r="I854" i="12"/>
  <c r="J858" i="12"/>
  <c r="F858" i="12"/>
  <c r="H858" i="12"/>
  <c r="I858" i="12"/>
  <c r="J862" i="12"/>
  <c r="F862" i="12"/>
  <c r="H862" i="12"/>
  <c r="I862" i="12"/>
  <c r="J866" i="12"/>
  <c r="F866" i="12"/>
  <c r="H866" i="12"/>
  <c r="I866" i="12"/>
  <c r="J870" i="12"/>
  <c r="F870" i="12"/>
  <c r="H870" i="12"/>
  <c r="I870" i="12"/>
  <c r="J874" i="12"/>
  <c r="F874" i="12"/>
  <c r="H874" i="12"/>
  <c r="I874" i="12"/>
  <c r="J878" i="12"/>
  <c r="F878" i="12"/>
  <c r="H878" i="12"/>
  <c r="I878" i="12"/>
  <c r="J882" i="12"/>
  <c r="F882" i="12"/>
  <c r="H882" i="12"/>
  <c r="I882" i="12"/>
  <c r="J886" i="12"/>
  <c r="F886" i="12"/>
  <c r="H886" i="12"/>
  <c r="I886" i="12"/>
  <c r="J890" i="12"/>
  <c r="F890" i="12"/>
  <c r="H890" i="12"/>
  <c r="I890" i="12"/>
  <c r="J894" i="12"/>
  <c r="F894" i="12"/>
  <c r="H894" i="12"/>
  <c r="I894" i="12"/>
  <c r="J898" i="12"/>
  <c r="F898" i="12"/>
  <c r="H898" i="12"/>
  <c r="I898" i="12"/>
  <c r="J902" i="12"/>
  <c r="F902" i="12"/>
  <c r="H902" i="12"/>
  <c r="I902" i="12"/>
  <c r="J906" i="12"/>
  <c r="F906" i="12"/>
  <c r="H906" i="12"/>
  <c r="I906" i="12"/>
  <c r="J910" i="12"/>
  <c r="F910" i="12"/>
  <c r="H910" i="12"/>
  <c r="I910" i="12"/>
  <c r="J914" i="12"/>
  <c r="F914" i="12"/>
  <c r="H914" i="12"/>
  <c r="I914" i="12"/>
  <c r="J918" i="12"/>
  <c r="F918" i="12"/>
  <c r="H918" i="12"/>
  <c r="I918" i="12"/>
  <c r="J922" i="12"/>
  <c r="F922" i="12"/>
  <c r="H922" i="12"/>
  <c r="I922" i="12"/>
  <c r="J926" i="12"/>
  <c r="F926" i="12"/>
  <c r="H926" i="12"/>
  <c r="I926" i="12"/>
  <c r="J930" i="12"/>
  <c r="F930" i="12"/>
  <c r="H930" i="12"/>
  <c r="I930" i="12"/>
  <c r="J934" i="12"/>
  <c r="F934" i="12"/>
  <c r="H934" i="12"/>
  <c r="I934" i="12"/>
  <c r="J938" i="12"/>
  <c r="F938" i="12"/>
  <c r="H938" i="12"/>
  <c r="I938" i="12"/>
  <c r="J942" i="12"/>
  <c r="F942" i="12"/>
  <c r="H942" i="12"/>
  <c r="I942" i="12"/>
  <c r="J946" i="12"/>
  <c r="F946" i="12"/>
  <c r="H946" i="12"/>
  <c r="I946" i="12"/>
  <c r="J950" i="12"/>
  <c r="F950" i="12"/>
  <c r="H950" i="12"/>
  <c r="I950" i="12"/>
  <c r="J954" i="12"/>
  <c r="F954" i="12"/>
  <c r="H954" i="12"/>
  <c r="I954" i="12"/>
  <c r="J958" i="12"/>
  <c r="F958" i="12"/>
  <c r="H958" i="12"/>
  <c r="I958" i="12"/>
  <c r="J962" i="12"/>
  <c r="F962" i="12"/>
  <c r="H962" i="12"/>
  <c r="I962" i="12"/>
  <c r="J966" i="12"/>
  <c r="F966" i="12"/>
  <c r="H966" i="12"/>
  <c r="I966" i="12"/>
  <c r="J970" i="12"/>
  <c r="F970" i="12"/>
  <c r="H970" i="12"/>
  <c r="I970" i="12"/>
  <c r="J974" i="12"/>
  <c r="F974" i="12"/>
  <c r="H974" i="12"/>
  <c r="I974" i="12"/>
  <c r="J978" i="12"/>
  <c r="F978" i="12"/>
  <c r="H978" i="12"/>
  <c r="I978" i="12"/>
  <c r="J982" i="12"/>
  <c r="F982" i="12"/>
  <c r="H982" i="12"/>
  <c r="I982" i="12"/>
  <c r="J986" i="12"/>
  <c r="F986" i="12"/>
  <c r="H986" i="12"/>
  <c r="I986" i="12"/>
  <c r="J990" i="12"/>
  <c r="F990" i="12"/>
  <c r="H990" i="12"/>
  <c r="I990" i="12"/>
  <c r="J994" i="12"/>
  <c r="F994" i="12"/>
  <c r="H994" i="12"/>
  <c r="I994" i="12"/>
  <c r="J998" i="12"/>
  <c r="F998" i="12"/>
  <c r="H998" i="12"/>
  <c r="I998" i="12"/>
  <c r="J1002" i="12"/>
  <c r="F1002" i="12"/>
  <c r="H1002" i="12"/>
  <c r="I1002" i="12"/>
  <c r="J1006" i="12"/>
  <c r="F1006" i="12"/>
  <c r="H1006" i="12"/>
  <c r="I1006" i="12"/>
  <c r="J1010" i="12"/>
  <c r="F1010" i="12"/>
  <c r="H1010" i="12"/>
  <c r="I1010" i="12"/>
  <c r="J1014" i="12"/>
  <c r="F1014" i="12"/>
  <c r="H1014" i="12"/>
  <c r="I1014" i="12"/>
  <c r="J1018" i="12"/>
  <c r="F1018" i="12"/>
  <c r="H1018" i="12"/>
  <c r="I1018" i="12"/>
  <c r="J1022" i="12"/>
  <c r="F1022" i="12"/>
  <c r="H1022" i="12"/>
  <c r="I1022" i="12"/>
  <c r="J1026" i="12"/>
  <c r="F1026" i="12"/>
  <c r="H1026" i="12"/>
  <c r="I1026" i="12"/>
  <c r="J1030" i="12"/>
  <c r="F1030" i="12"/>
  <c r="H1030" i="12"/>
  <c r="I1030" i="12"/>
  <c r="J1034" i="12"/>
  <c r="F1034" i="12"/>
  <c r="H1034" i="12"/>
  <c r="I1034" i="12"/>
  <c r="J1038" i="12"/>
  <c r="F1038" i="12"/>
  <c r="H1038" i="12"/>
  <c r="I1038" i="12"/>
  <c r="J1042" i="12"/>
  <c r="F1042" i="12"/>
  <c r="H1042" i="12"/>
  <c r="I1042" i="12"/>
  <c r="J1046" i="12"/>
  <c r="F1046" i="12"/>
  <c r="H1046" i="12"/>
  <c r="I1046" i="12"/>
  <c r="J1050" i="12"/>
  <c r="F1050" i="12"/>
  <c r="H1050" i="12"/>
  <c r="I1050" i="12"/>
  <c r="J1054" i="12"/>
  <c r="F1054" i="12"/>
  <c r="H1054" i="12"/>
  <c r="I1054" i="12"/>
  <c r="J1058" i="12"/>
  <c r="F1058" i="12"/>
  <c r="H1058" i="12"/>
  <c r="I1058" i="12"/>
  <c r="J1062" i="12"/>
  <c r="F1062" i="12"/>
  <c r="H1062" i="12"/>
  <c r="I1062" i="12"/>
  <c r="J1066" i="12"/>
  <c r="F1066" i="12"/>
  <c r="H1066" i="12"/>
  <c r="I1066" i="12"/>
  <c r="J1070" i="12"/>
  <c r="F1070" i="12"/>
  <c r="H1070" i="12"/>
  <c r="I1070" i="12"/>
  <c r="J1074" i="12"/>
  <c r="F1074" i="12"/>
  <c r="H1074" i="12"/>
  <c r="I1074" i="12"/>
  <c r="J1078" i="12"/>
  <c r="F1078" i="12"/>
  <c r="H1078" i="12"/>
  <c r="I1078" i="12"/>
  <c r="J1082" i="12"/>
  <c r="F1082" i="12"/>
  <c r="H1082" i="12"/>
  <c r="I1082" i="12"/>
  <c r="J1086" i="12"/>
  <c r="F1086" i="12"/>
  <c r="H1086" i="12"/>
  <c r="I1086" i="12"/>
  <c r="J1090" i="12"/>
  <c r="F1090" i="12"/>
  <c r="H1090" i="12"/>
  <c r="I1090" i="12"/>
  <c r="J1094" i="12"/>
  <c r="F1094" i="12"/>
  <c r="H1094" i="12"/>
  <c r="I1094" i="12"/>
  <c r="J1098" i="12"/>
  <c r="F1098" i="12"/>
  <c r="H1098" i="12"/>
  <c r="I1098" i="12"/>
  <c r="J1102" i="12"/>
  <c r="F1102" i="12"/>
  <c r="H1102" i="12"/>
  <c r="I1102" i="12"/>
  <c r="J1106" i="12"/>
  <c r="F1106" i="12"/>
  <c r="H1106" i="12"/>
  <c r="I1106" i="12"/>
  <c r="J1110" i="12"/>
  <c r="F1110" i="12"/>
  <c r="H1110" i="12"/>
  <c r="I1110" i="12"/>
  <c r="J1114" i="12"/>
  <c r="F1114" i="12"/>
  <c r="H1114" i="12"/>
  <c r="I1114" i="12"/>
  <c r="J1118" i="12"/>
  <c r="F1118" i="12"/>
  <c r="H1118" i="12"/>
  <c r="I1118" i="12"/>
  <c r="J1122" i="12"/>
  <c r="F1122" i="12"/>
  <c r="H1122" i="12"/>
  <c r="I1122" i="12"/>
  <c r="J1126" i="12"/>
  <c r="F1126" i="12"/>
  <c r="H1126" i="12"/>
  <c r="I1126" i="12"/>
  <c r="J1130" i="12"/>
  <c r="F1130" i="12"/>
  <c r="H1130" i="12"/>
  <c r="I1130" i="12"/>
  <c r="J1134" i="12"/>
  <c r="F1134" i="12"/>
  <c r="H1134" i="12"/>
  <c r="I1134" i="12"/>
  <c r="J1138" i="12"/>
  <c r="F1138" i="12"/>
  <c r="H1138" i="12"/>
  <c r="I1138" i="12"/>
  <c r="J1142" i="12"/>
  <c r="F1142" i="12"/>
  <c r="H1142" i="12"/>
  <c r="I1142" i="12"/>
  <c r="J1146" i="12"/>
  <c r="F1146" i="12"/>
  <c r="H1146" i="12"/>
  <c r="I1146" i="12"/>
  <c r="J1150" i="12"/>
  <c r="F1150" i="12"/>
  <c r="H1150" i="12"/>
  <c r="I1150" i="12"/>
  <c r="J1154" i="12"/>
  <c r="F1154" i="12"/>
  <c r="H1154" i="12"/>
  <c r="I1154" i="12"/>
  <c r="J1158" i="12"/>
  <c r="F1158" i="12"/>
  <c r="H1158" i="12"/>
  <c r="I1158" i="12"/>
  <c r="J1162" i="12"/>
  <c r="F1162" i="12"/>
  <c r="H1162" i="12"/>
  <c r="I1162" i="12"/>
  <c r="J1166" i="12"/>
  <c r="F1166" i="12"/>
  <c r="H1166" i="12"/>
  <c r="I1166" i="12"/>
  <c r="J1170" i="12"/>
  <c r="F1170" i="12"/>
  <c r="H1170" i="12"/>
  <c r="I1170" i="12"/>
  <c r="J1174" i="12"/>
  <c r="F1174" i="12"/>
  <c r="H1174" i="12"/>
  <c r="I1174" i="12"/>
  <c r="J1178" i="12"/>
  <c r="F1178" i="12"/>
  <c r="H1178" i="12"/>
  <c r="I1178" i="12"/>
  <c r="J1182" i="12"/>
  <c r="F1182" i="12"/>
  <c r="H1182" i="12"/>
  <c r="I1182" i="12"/>
  <c r="J1186" i="12"/>
  <c r="F1186" i="12"/>
  <c r="H1186" i="12"/>
  <c r="I1186" i="12"/>
  <c r="J1190" i="12"/>
  <c r="F1190" i="12"/>
  <c r="H1190" i="12"/>
  <c r="I1190" i="12"/>
  <c r="J1194" i="12"/>
  <c r="F1194" i="12"/>
  <c r="H1194" i="12"/>
  <c r="I1194" i="12"/>
  <c r="J1198" i="12"/>
  <c r="F1198" i="12"/>
  <c r="H1198" i="12"/>
  <c r="I1198" i="12"/>
  <c r="J1202" i="12"/>
  <c r="F1202" i="12"/>
  <c r="H1202" i="12"/>
  <c r="I1202" i="12"/>
  <c r="J1206" i="12"/>
  <c r="F1206" i="12"/>
  <c r="H1206" i="12"/>
  <c r="I1206" i="12"/>
  <c r="J1210" i="12"/>
  <c r="F1210" i="12"/>
  <c r="H1210" i="12"/>
  <c r="I1210" i="12"/>
  <c r="J1214" i="12"/>
  <c r="F1214" i="12"/>
  <c r="H1214" i="12"/>
  <c r="I1214" i="12"/>
  <c r="J1218" i="12"/>
  <c r="F1218" i="12"/>
  <c r="H1218" i="12"/>
  <c r="I1218" i="12"/>
  <c r="J1222" i="12"/>
  <c r="F1222" i="12"/>
  <c r="H1222" i="12"/>
  <c r="I1222" i="12"/>
  <c r="J1226" i="12"/>
  <c r="F1226" i="12"/>
  <c r="H1226" i="12"/>
  <c r="I1226" i="12"/>
  <c r="J1230" i="12"/>
  <c r="F1230" i="12"/>
  <c r="H1230" i="12"/>
  <c r="I1230" i="12"/>
  <c r="J1234" i="12"/>
  <c r="F1234" i="12"/>
  <c r="H1234" i="12"/>
  <c r="I1234" i="12"/>
  <c r="J1238" i="12"/>
  <c r="F1238" i="12"/>
  <c r="H1238" i="12"/>
  <c r="I1238" i="12"/>
  <c r="J1242" i="12"/>
  <c r="F1242" i="12"/>
  <c r="H1242" i="12"/>
  <c r="I1242" i="12"/>
  <c r="J1246" i="12"/>
  <c r="F1246" i="12"/>
  <c r="H1246" i="12"/>
  <c r="I1246" i="12"/>
  <c r="J1250" i="12"/>
  <c r="F1250" i="12"/>
  <c r="H1250" i="12"/>
  <c r="I1250" i="12"/>
  <c r="J1254" i="12"/>
  <c r="F1254" i="12"/>
  <c r="H1254" i="12"/>
  <c r="I1254" i="12"/>
  <c r="J1258" i="12"/>
  <c r="F1258" i="12"/>
  <c r="H1258" i="12"/>
  <c r="I1258" i="12"/>
  <c r="J1262" i="12"/>
  <c r="F1262" i="12"/>
  <c r="H1262" i="12"/>
  <c r="I1262" i="12"/>
  <c r="J1266" i="12"/>
  <c r="F1266" i="12"/>
  <c r="H1266" i="12"/>
  <c r="I1266" i="12"/>
  <c r="J1270" i="12"/>
  <c r="F1270" i="12"/>
  <c r="H1270" i="12"/>
  <c r="I1270" i="12"/>
  <c r="J1274" i="12"/>
  <c r="F1274" i="12"/>
  <c r="H1274" i="12"/>
  <c r="I1274" i="12"/>
  <c r="J1278" i="12"/>
  <c r="F1278" i="12"/>
  <c r="H1278" i="12"/>
  <c r="I1278" i="12"/>
  <c r="J1282" i="12"/>
  <c r="F1282" i="12"/>
  <c r="H1282" i="12"/>
  <c r="I1282" i="12"/>
  <c r="J1286" i="12"/>
  <c r="F1286" i="12"/>
  <c r="H1286" i="12"/>
  <c r="I1286" i="12"/>
  <c r="J1290" i="12"/>
  <c r="F1290" i="12"/>
  <c r="H1290" i="12"/>
  <c r="I1290" i="12"/>
  <c r="J1294" i="12"/>
  <c r="F1294" i="12"/>
  <c r="H1294" i="12"/>
  <c r="I1294" i="12"/>
  <c r="J1298" i="12"/>
  <c r="F1298" i="12"/>
  <c r="H1298" i="12"/>
  <c r="I1298" i="12"/>
  <c r="J1302" i="12"/>
  <c r="F1302" i="12"/>
  <c r="H1302" i="12"/>
  <c r="I1302" i="12"/>
  <c r="J1306" i="12"/>
  <c r="F1306" i="12"/>
  <c r="J1308" i="12"/>
  <c r="F1308" i="12"/>
  <c r="J1310" i="12"/>
  <c r="F1310" i="12"/>
  <c r="J1312" i="12"/>
  <c r="F1312" i="12"/>
  <c r="J1314" i="12"/>
  <c r="F1314" i="12"/>
  <c r="J1316" i="12"/>
  <c r="F1316" i="12"/>
  <c r="J1318" i="12"/>
  <c r="F1318" i="12"/>
  <c r="J1320" i="12"/>
  <c r="F1320" i="12"/>
  <c r="J1322" i="12"/>
  <c r="F1322" i="12"/>
  <c r="J1324" i="12"/>
  <c r="F1324" i="12"/>
  <c r="J1326" i="12"/>
  <c r="F1326" i="12"/>
  <c r="J1328" i="12"/>
  <c r="F1328" i="12"/>
  <c r="J1330" i="12"/>
  <c r="F1330" i="12"/>
  <c r="J1332" i="12"/>
  <c r="F1332" i="12"/>
  <c r="J1334" i="12"/>
  <c r="F1334" i="12"/>
  <c r="J1336" i="12"/>
  <c r="F1336" i="12"/>
  <c r="J1338" i="12"/>
  <c r="F1338" i="12"/>
  <c r="J1340" i="12"/>
  <c r="F1340" i="12"/>
  <c r="J1342" i="12"/>
  <c r="F1342" i="12"/>
  <c r="J1344" i="12"/>
  <c r="F1344" i="12"/>
  <c r="J1346" i="12"/>
  <c r="F1346" i="12"/>
  <c r="J1348" i="12"/>
  <c r="F1348" i="12"/>
  <c r="J1350" i="12"/>
  <c r="F1350" i="12"/>
  <c r="J1352" i="12"/>
  <c r="F1352" i="12"/>
  <c r="J1354" i="12"/>
  <c r="F1354" i="12"/>
  <c r="J1356" i="12"/>
  <c r="F1356" i="12"/>
  <c r="J1358" i="12"/>
  <c r="F1358" i="12"/>
  <c r="J1360" i="12"/>
  <c r="F1360" i="12"/>
  <c r="J1362" i="12"/>
  <c r="F1362" i="12"/>
  <c r="J1364" i="12"/>
  <c r="F1364" i="12"/>
  <c r="J1366" i="12"/>
  <c r="F1366" i="12"/>
  <c r="J1368" i="12"/>
  <c r="F1368" i="12"/>
  <c r="J1370" i="12"/>
  <c r="F1370" i="12"/>
  <c r="J1372" i="12"/>
  <c r="F1372" i="12"/>
  <c r="J1374" i="12"/>
  <c r="F1374" i="12"/>
  <c r="J1376" i="12"/>
  <c r="F1376" i="12"/>
  <c r="J1378" i="12"/>
  <c r="F1378" i="12"/>
  <c r="J1380" i="12"/>
  <c r="F1380" i="12"/>
  <c r="J1382" i="12"/>
  <c r="F1382" i="12"/>
  <c r="J1384" i="12"/>
  <c r="F1384" i="12"/>
  <c r="J1386" i="12"/>
  <c r="F1386" i="12"/>
  <c r="J1388" i="12"/>
  <c r="F1388" i="12"/>
  <c r="J1390" i="12"/>
  <c r="F1390" i="12"/>
  <c r="J1392" i="12"/>
  <c r="F1392" i="12"/>
  <c r="J1394" i="12"/>
  <c r="F1394" i="12"/>
  <c r="J1396" i="12"/>
  <c r="F1396" i="12"/>
  <c r="J1398" i="12"/>
  <c r="F1398" i="12"/>
  <c r="J1400" i="12"/>
  <c r="F1400" i="12"/>
  <c r="J1402" i="12"/>
  <c r="F1402" i="12"/>
  <c r="J1404" i="12"/>
  <c r="F1404" i="12"/>
  <c r="J1406" i="12"/>
  <c r="F1406" i="12"/>
  <c r="J1408" i="12"/>
  <c r="F1408" i="12"/>
  <c r="J1410" i="12"/>
  <c r="F1410" i="12"/>
  <c r="J1412" i="12"/>
  <c r="F1412" i="12"/>
  <c r="J1414" i="12"/>
  <c r="F1414" i="12"/>
  <c r="J1416" i="12"/>
  <c r="F1416" i="12"/>
  <c r="J1418" i="12"/>
  <c r="F1418" i="12"/>
  <c r="H1422" i="12"/>
  <c r="I1422" i="12"/>
  <c r="F1423" i="12"/>
  <c r="J1423" i="12"/>
  <c r="H1423" i="12"/>
  <c r="I1423" i="12"/>
  <c r="H1429" i="12"/>
  <c r="I1429" i="12"/>
  <c r="H1433" i="12"/>
  <c r="I1433" i="12"/>
  <c r="H1437" i="12"/>
  <c r="I1437" i="12"/>
  <c r="H1447" i="12"/>
  <c r="I1447" i="12"/>
  <c r="H1455" i="12"/>
  <c r="I1455" i="12"/>
  <c r="H1463" i="12"/>
  <c r="I1463" i="12"/>
  <c r="H1471" i="12"/>
  <c r="I1471" i="12"/>
  <c r="H1483" i="12"/>
  <c r="I1483" i="12"/>
  <c r="J1487" i="12"/>
  <c r="F1487" i="12"/>
  <c r="H1499" i="12"/>
  <c r="I1499" i="12"/>
  <c r="J1503" i="12"/>
  <c r="F1503" i="12"/>
  <c r="H1515" i="12"/>
  <c r="I1515" i="12"/>
  <c r="J1519" i="12"/>
  <c r="F1519" i="12"/>
  <c r="H1531" i="12"/>
  <c r="I1531" i="12"/>
  <c r="J1535" i="12"/>
  <c r="F1535" i="12"/>
  <c r="H1547" i="12"/>
  <c r="I1547" i="12"/>
  <c r="J1551" i="12"/>
  <c r="F1551" i="12"/>
  <c r="H1563" i="12"/>
  <c r="I1563" i="12"/>
  <c r="J1567" i="12"/>
  <c r="F1567" i="12"/>
  <c r="H1579" i="12"/>
  <c r="I1579" i="12"/>
  <c r="J1583" i="12"/>
  <c r="F1583" i="12"/>
  <c r="H1595" i="12"/>
  <c r="I1595" i="12"/>
  <c r="J1599" i="12"/>
  <c r="F1599" i="12"/>
  <c r="H1611" i="12"/>
  <c r="I1611" i="12"/>
  <c r="J1615" i="12"/>
  <c r="F1615" i="12"/>
  <c r="F1803" i="12"/>
  <c r="J1803" i="12"/>
  <c r="F1807" i="12"/>
  <c r="J1807" i="12"/>
  <c r="F1811" i="12"/>
  <c r="J1811" i="12"/>
  <c r="F1815" i="12"/>
  <c r="J1815" i="12"/>
  <c r="F1819" i="12"/>
  <c r="J1819" i="12"/>
  <c r="F1823" i="12"/>
  <c r="J1823" i="12"/>
  <c r="F1827" i="12"/>
  <c r="J1827" i="12"/>
  <c r="F1831" i="12"/>
  <c r="J1831" i="12"/>
  <c r="J2135" i="12"/>
  <c r="F2135" i="12"/>
  <c r="F2140" i="12"/>
  <c r="J2140" i="12"/>
  <c r="J2271" i="12"/>
  <c r="F2271" i="12"/>
  <c r="J2323" i="12"/>
  <c r="F2323" i="12"/>
  <c r="J2382" i="12"/>
  <c r="F2382" i="12"/>
  <c r="F2491" i="12"/>
  <c r="J2491" i="12"/>
  <c r="J2553" i="12"/>
  <c r="F2553" i="12"/>
  <c r="J819" i="12"/>
  <c r="F819" i="12"/>
  <c r="I819" i="12"/>
  <c r="H819" i="12"/>
  <c r="J823" i="12"/>
  <c r="F823" i="12"/>
  <c r="I823" i="12"/>
  <c r="H823" i="12"/>
  <c r="J827" i="12"/>
  <c r="F827" i="12"/>
  <c r="I827" i="12"/>
  <c r="H827" i="12"/>
  <c r="J831" i="12"/>
  <c r="F831" i="12"/>
  <c r="I831" i="12"/>
  <c r="H831" i="12"/>
  <c r="J835" i="12"/>
  <c r="F835" i="12"/>
  <c r="I835" i="12"/>
  <c r="H835" i="12"/>
  <c r="J839" i="12"/>
  <c r="F839" i="12"/>
  <c r="I839" i="12"/>
  <c r="H839" i="12"/>
  <c r="J843" i="12"/>
  <c r="F843" i="12"/>
  <c r="I843" i="12"/>
  <c r="H843" i="12"/>
  <c r="J847" i="12"/>
  <c r="F847" i="12"/>
  <c r="I847" i="12"/>
  <c r="H847" i="12"/>
  <c r="J851" i="12"/>
  <c r="F851" i="12"/>
  <c r="I851" i="12"/>
  <c r="H851" i="12"/>
  <c r="J855" i="12"/>
  <c r="F855" i="12"/>
  <c r="I855" i="12"/>
  <c r="H855" i="12"/>
  <c r="J859" i="12"/>
  <c r="F859" i="12"/>
  <c r="I859" i="12"/>
  <c r="H859" i="12"/>
  <c r="J863" i="12"/>
  <c r="F863" i="12"/>
  <c r="I863" i="12"/>
  <c r="H863" i="12"/>
  <c r="J867" i="12"/>
  <c r="F867" i="12"/>
  <c r="I867" i="12"/>
  <c r="H867" i="12"/>
  <c r="J871" i="12"/>
  <c r="F871" i="12"/>
  <c r="I871" i="12"/>
  <c r="H871" i="12"/>
  <c r="J875" i="12"/>
  <c r="F875" i="12"/>
  <c r="I875" i="12"/>
  <c r="H875" i="12"/>
  <c r="J879" i="12"/>
  <c r="F879" i="12"/>
  <c r="I879" i="12"/>
  <c r="H879" i="12"/>
  <c r="J883" i="12"/>
  <c r="F883" i="12"/>
  <c r="I883" i="12"/>
  <c r="H883" i="12"/>
  <c r="J887" i="12"/>
  <c r="F887" i="12"/>
  <c r="I887" i="12"/>
  <c r="H887" i="12"/>
  <c r="J891" i="12"/>
  <c r="F891" i="12"/>
  <c r="I891" i="12"/>
  <c r="H891" i="12"/>
  <c r="J895" i="12"/>
  <c r="F895" i="12"/>
  <c r="I895" i="12"/>
  <c r="H895" i="12"/>
  <c r="J899" i="12"/>
  <c r="F899" i="12"/>
  <c r="I899" i="12"/>
  <c r="H899" i="12"/>
  <c r="J903" i="12"/>
  <c r="F903" i="12"/>
  <c r="I903" i="12"/>
  <c r="H903" i="12"/>
  <c r="J907" i="12"/>
  <c r="F907" i="12"/>
  <c r="I907" i="12"/>
  <c r="H907" i="12"/>
  <c r="J911" i="12"/>
  <c r="F911" i="12"/>
  <c r="I911" i="12"/>
  <c r="H911" i="12"/>
  <c r="J915" i="12"/>
  <c r="F915" i="12"/>
  <c r="I915" i="12"/>
  <c r="H915" i="12"/>
  <c r="J919" i="12"/>
  <c r="F919" i="12"/>
  <c r="I919" i="12"/>
  <c r="H919" i="12"/>
  <c r="J923" i="12"/>
  <c r="F923" i="12"/>
  <c r="I923" i="12"/>
  <c r="H923" i="12"/>
  <c r="J927" i="12"/>
  <c r="F927" i="12"/>
  <c r="I927" i="12"/>
  <c r="H927" i="12"/>
  <c r="J931" i="12"/>
  <c r="F931" i="12"/>
  <c r="I931" i="12"/>
  <c r="H931" i="12"/>
  <c r="J935" i="12"/>
  <c r="F935" i="12"/>
  <c r="I935" i="12"/>
  <c r="H935" i="12"/>
  <c r="J939" i="12"/>
  <c r="F939" i="12"/>
  <c r="I939" i="12"/>
  <c r="H939" i="12"/>
  <c r="J943" i="12"/>
  <c r="F943" i="12"/>
  <c r="I943" i="12"/>
  <c r="H943" i="12"/>
  <c r="J947" i="12"/>
  <c r="F947" i="12"/>
  <c r="I947" i="12"/>
  <c r="H947" i="12"/>
  <c r="J951" i="12"/>
  <c r="F951" i="12"/>
  <c r="I951" i="12"/>
  <c r="H951" i="12"/>
  <c r="J955" i="12"/>
  <c r="F955" i="12"/>
  <c r="I955" i="12"/>
  <c r="H955" i="12"/>
  <c r="J959" i="12"/>
  <c r="F959" i="12"/>
  <c r="I959" i="12"/>
  <c r="H959" i="12"/>
  <c r="J963" i="12"/>
  <c r="F963" i="12"/>
  <c r="I963" i="12"/>
  <c r="H963" i="12"/>
  <c r="J967" i="12"/>
  <c r="F967" i="12"/>
  <c r="I967" i="12"/>
  <c r="H967" i="12"/>
  <c r="J971" i="12"/>
  <c r="F971" i="12"/>
  <c r="I971" i="12"/>
  <c r="H971" i="12"/>
  <c r="J975" i="12"/>
  <c r="F975" i="12"/>
  <c r="I975" i="12"/>
  <c r="H975" i="12"/>
  <c r="J979" i="12"/>
  <c r="F979" i="12"/>
  <c r="I979" i="12"/>
  <c r="H979" i="12"/>
  <c r="J983" i="12"/>
  <c r="F983" i="12"/>
  <c r="I983" i="12"/>
  <c r="H983" i="12"/>
  <c r="J987" i="12"/>
  <c r="F987" i="12"/>
  <c r="I987" i="12"/>
  <c r="H987" i="12"/>
  <c r="J991" i="12"/>
  <c r="F991" i="12"/>
  <c r="I991" i="12"/>
  <c r="H991" i="12"/>
  <c r="J995" i="12"/>
  <c r="F995" i="12"/>
  <c r="I995" i="12"/>
  <c r="H995" i="12"/>
  <c r="J999" i="12"/>
  <c r="F999" i="12"/>
  <c r="I999" i="12"/>
  <c r="H999" i="12"/>
  <c r="J1003" i="12"/>
  <c r="F1003" i="12"/>
  <c r="I1003" i="12"/>
  <c r="H1003" i="12"/>
  <c r="J1007" i="12"/>
  <c r="F1007" i="12"/>
  <c r="I1007" i="12"/>
  <c r="H1007" i="12"/>
  <c r="J1011" i="12"/>
  <c r="F1011" i="12"/>
  <c r="I1011" i="12"/>
  <c r="H1011" i="12"/>
  <c r="J1015" i="12"/>
  <c r="F1015" i="12"/>
  <c r="I1015" i="12"/>
  <c r="H1015" i="12"/>
  <c r="J1019" i="12"/>
  <c r="F1019" i="12"/>
  <c r="I1019" i="12"/>
  <c r="H1019" i="12"/>
  <c r="J1023" i="12"/>
  <c r="F1023" i="12"/>
  <c r="I1023" i="12"/>
  <c r="H1023" i="12"/>
  <c r="J1027" i="12"/>
  <c r="F1027" i="12"/>
  <c r="I1027" i="12"/>
  <c r="H1027" i="12"/>
  <c r="J1031" i="12"/>
  <c r="F1031" i="12"/>
  <c r="I1031" i="12"/>
  <c r="H1031" i="12"/>
  <c r="J1035" i="12"/>
  <c r="F1035" i="12"/>
  <c r="I1035" i="12"/>
  <c r="H1035" i="12"/>
  <c r="J1039" i="12"/>
  <c r="F1039" i="12"/>
  <c r="I1039" i="12"/>
  <c r="H1039" i="12"/>
  <c r="J1043" i="12"/>
  <c r="F1043" i="12"/>
  <c r="I1043" i="12"/>
  <c r="H1043" i="12"/>
  <c r="J1047" i="12"/>
  <c r="F1047" i="12"/>
  <c r="I1047" i="12"/>
  <c r="H1047" i="12"/>
  <c r="J1051" i="12"/>
  <c r="F1051" i="12"/>
  <c r="I1051" i="12"/>
  <c r="H1051" i="12"/>
  <c r="J1055" i="12"/>
  <c r="F1055" i="12"/>
  <c r="I1055" i="12"/>
  <c r="H1055" i="12"/>
  <c r="J1059" i="12"/>
  <c r="F1059" i="12"/>
  <c r="I1059" i="12"/>
  <c r="H1059" i="12"/>
  <c r="J1063" i="12"/>
  <c r="F1063" i="12"/>
  <c r="I1063" i="12"/>
  <c r="H1063" i="12"/>
  <c r="J1067" i="12"/>
  <c r="F1067" i="12"/>
  <c r="I1067" i="12"/>
  <c r="H1067" i="12"/>
  <c r="J1071" i="12"/>
  <c r="F1071" i="12"/>
  <c r="I1071" i="12"/>
  <c r="H1071" i="12"/>
  <c r="J1075" i="12"/>
  <c r="F1075" i="12"/>
  <c r="I1075" i="12"/>
  <c r="H1075" i="12"/>
  <c r="J1079" i="12"/>
  <c r="F1079" i="12"/>
  <c r="I1079" i="12"/>
  <c r="H1079" i="12"/>
  <c r="J1083" i="12"/>
  <c r="F1083" i="12"/>
  <c r="I1083" i="12"/>
  <c r="H1083" i="12"/>
  <c r="J1087" i="12"/>
  <c r="F1087" i="12"/>
  <c r="I1087" i="12"/>
  <c r="H1087" i="12"/>
  <c r="J1091" i="12"/>
  <c r="F1091" i="12"/>
  <c r="I1091" i="12"/>
  <c r="H1091" i="12"/>
  <c r="J1095" i="12"/>
  <c r="F1095" i="12"/>
  <c r="I1095" i="12"/>
  <c r="H1095" i="12"/>
  <c r="J1099" i="12"/>
  <c r="F1099" i="12"/>
  <c r="I1099" i="12"/>
  <c r="H1099" i="12"/>
  <c r="J1103" i="12"/>
  <c r="F1103" i="12"/>
  <c r="I1103" i="12"/>
  <c r="H1103" i="12"/>
  <c r="J1107" i="12"/>
  <c r="F1107" i="12"/>
  <c r="I1107" i="12"/>
  <c r="H1107" i="12"/>
  <c r="J1111" i="12"/>
  <c r="F1111" i="12"/>
  <c r="I1111" i="12"/>
  <c r="H1111" i="12"/>
  <c r="J1115" i="12"/>
  <c r="F1115" i="12"/>
  <c r="I1115" i="12"/>
  <c r="H1115" i="12"/>
  <c r="J1119" i="12"/>
  <c r="F1119" i="12"/>
  <c r="I1119" i="12"/>
  <c r="H1119" i="12"/>
  <c r="J1123" i="12"/>
  <c r="F1123" i="12"/>
  <c r="I1123" i="12"/>
  <c r="H1123" i="12"/>
  <c r="J1127" i="12"/>
  <c r="F1127" i="12"/>
  <c r="I1127" i="12"/>
  <c r="H1127" i="12"/>
  <c r="J1131" i="12"/>
  <c r="F1131" i="12"/>
  <c r="I1131" i="12"/>
  <c r="H1131" i="12"/>
  <c r="J1135" i="12"/>
  <c r="F1135" i="12"/>
  <c r="I1135" i="12"/>
  <c r="H1135" i="12"/>
  <c r="J1139" i="12"/>
  <c r="F1139" i="12"/>
  <c r="I1139" i="12"/>
  <c r="H1139" i="12"/>
  <c r="J1143" i="12"/>
  <c r="F1143" i="12"/>
  <c r="I1143" i="12"/>
  <c r="H1143" i="12"/>
  <c r="J1147" i="12"/>
  <c r="F1147" i="12"/>
  <c r="I1147" i="12"/>
  <c r="H1147" i="12"/>
  <c r="J1151" i="12"/>
  <c r="F1151" i="12"/>
  <c r="I1151" i="12"/>
  <c r="H1151" i="12"/>
  <c r="J1155" i="12"/>
  <c r="F1155" i="12"/>
  <c r="I1155" i="12"/>
  <c r="H1155" i="12"/>
  <c r="J1159" i="12"/>
  <c r="F1159" i="12"/>
  <c r="I1159" i="12"/>
  <c r="H1159" i="12"/>
  <c r="J1163" i="12"/>
  <c r="F1163" i="12"/>
  <c r="I1163" i="12"/>
  <c r="H1163" i="12"/>
  <c r="J1167" i="12"/>
  <c r="F1167" i="12"/>
  <c r="I1167" i="12"/>
  <c r="H1167" i="12"/>
  <c r="J1171" i="12"/>
  <c r="F1171" i="12"/>
  <c r="I1171" i="12"/>
  <c r="H1171" i="12"/>
  <c r="J1175" i="12"/>
  <c r="F1175" i="12"/>
  <c r="I1175" i="12"/>
  <c r="H1175" i="12"/>
  <c r="J1179" i="12"/>
  <c r="F1179" i="12"/>
  <c r="I1179" i="12"/>
  <c r="H1179" i="12"/>
  <c r="J1183" i="12"/>
  <c r="F1183" i="12"/>
  <c r="I1183" i="12"/>
  <c r="H1183" i="12"/>
  <c r="J1187" i="12"/>
  <c r="F1187" i="12"/>
  <c r="I1187" i="12"/>
  <c r="H1187" i="12"/>
  <c r="J1191" i="12"/>
  <c r="F1191" i="12"/>
  <c r="I1191" i="12"/>
  <c r="H1191" i="12"/>
  <c r="J1195" i="12"/>
  <c r="F1195" i="12"/>
  <c r="I1195" i="12"/>
  <c r="H1195" i="12"/>
  <c r="J1199" i="12"/>
  <c r="F1199" i="12"/>
  <c r="I1199" i="12"/>
  <c r="H1199" i="12"/>
  <c r="J1203" i="12"/>
  <c r="F1203" i="12"/>
  <c r="I1203" i="12"/>
  <c r="H1203" i="12"/>
  <c r="J1207" i="12"/>
  <c r="F1207" i="12"/>
  <c r="I1207" i="12"/>
  <c r="H1207" i="12"/>
  <c r="J1211" i="12"/>
  <c r="F1211" i="12"/>
  <c r="I1211" i="12"/>
  <c r="H1211" i="12"/>
  <c r="J1215" i="12"/>
  <c r="F1215" i="12"/>
  <c r="I1215" i="12"/>
  <c r="H1215" i="12"/>
  <c r="J1219" i="12"/>
  <c r="F1219" i="12"/>
  <c r="I1219" i="12"/>
  <c r="H1219" i="12"/>
  <c r="J1223" i="12"/>
  <c r="F1223" i="12"/>
  <c r="I1223" i="12"/>
  <c r="H1223" i="12"/>
  <c r="J1227" i="12"/>
  <c r="F1227" i="12"/>
  <c r="I1227" i="12"/>
  <c r="H1227" i="12"/>
  <c r="J1231" i="12"/>
  <c r="F1231" i="12"/>
  <c r="I1231" i="12"/>
  <c r="H1231" i="12"/>
  <c r="J1235" i="12"/>
  <c r="F1235" i="12"/>
  <c r="I1235" i="12"/>
  <c r="H1235" i="12"/>
  <c r="J1239" i="12"/>
  <c r="F1239" i="12"/>
  <c r="I1239" i="12"/>
  <c r="H1239" i="12"/>
  <c r="J1243" i="12"/>
  <c r="F1243" i="12"/>
  <c r="I1243" i="12"/>
  <c r="H1243" i="12"/>
  <c r="J1247" i="12"/>
  <c r="F1247" i="12"/>
  <c r="I1247" i="12"/>
  <c r="H1247" i="12"/>
  <c r="J1251" i="12"/>
  <c r="F1251" i="12"/>
  <c r="I1251" i="12"/>
  <c r="H1251" i="12"/>
  <c r="J1255" i="12"/>
  <c r="F1255" i="12"/>
  <c r="I1255" i="12"/>
  <c r="H1255" i="12"/>
  <c r="J1259" i="12"/>
  <c r="F1259" i="12"/>
  <c r="I1259" i="12"/>
  <c r="H1259" i="12"/>
  <c r="J1263" i="12"/>
  <c r="F1263" i="12"/>
  <c r="I1263" i="12"/>
  <c r="H1263" i="12"/>
  <c r="J1267" i="12"/>
  <c r="F1267" i="12"/>
  <c r="I1267" i="12"/>
  <c r="H1267" i="12"/>
  <c r="J1271" i="12"/>
  <c r="F1271" i="12"/>
  <c r="I1271" i="12"/>
  <c r="H1271" i="12"/>
  <c r="J1275" i="12"/>
  <c r="F1275" i="12"/>
  <c r="I1275" i="12"/>
  <c r="H1275" i="12"/>
  <c r="J1279" i="12"/>
  <c r="F1279" i="12"/>
  <c r="I1279" i="12"/>
  <c r="H1279" i="12"/>
  <c r="J1283" i="12"/>
  <c r="F1283" i="12"/>
  <c r="I1283" i="12"/>
  <c r="H1283" i="12"/>
  <c r="J1287" i="12"/>
  <c r="F1287" i="12"/>
  <c r="I1287" i="12"/>
  <c r="H1287" i="12"/>
  <c r="J1291" i="12"/>
  <c r="F1291" i="12"/>
  <c r="I1291" i="12"/>
  <c r="H1291" i="12"/>
  <c r="J1295" i="12"/>
  <c r="F1295" i="12"/>
  <c r="I1295" i="12"/>
  <c r="H1295" i="12"/>
  <c r="J1299" i="12"/>
  <c r="F1299" i="12"/>
  <c r="I1299" i="12"/>
  <c r="H1299" i="12"/>
  <c r="J1303" i="12"/>
  <c r="F1303" i="12"/>
  <c r="I1303" i="12"/>
  <c r="H1303" i="12"/>
  <c r="I1306" i="12"/>
  <c r="H1306" i="12"/>
  <c r="I1308" i="12"/>
  <c r="H1308" i="12"/>
  <c r="I1310" i="12"/>
  <c r="H1310" i="12"/>
  <c r="I1312" i="12"/>
  <c r="H1312" i="12"/>
  <c r="I1314" i="12"/>
  <c r="H1314" i="12"/>
  <c r="I1316" i="12"/>
  <c r="H1316" i="12"/>
  <c r="I1318" i="12"/>
  <c r="H1318" i="12"/>
  <c r="I1320" i="12"/>
  <c r="H1320" i="12"/>
  <c r="I1322" i="12"/>
  <c r="H1322" i="12"/>
  <c r="I1324" i="12"/>
  <c r="H1324" i="12"/>
  <c r="I1326" i="12"/>
  <c r="H1326" i="12"/>
  <c r="I1328" i="12"/>
  <c r="H1328" i="12"/>
  <c r="I1330" i="12"/>
  <c r="H1330" i="12"/>
  <c r="I1332" i="12"/>
  <c r="H1332" i="12"/>
  <c r="I1334" i="12"/>
  <c r="H1334" i="12"/>
  <c r="I1336" i="12"/>
  <c r="H1336" i="12"/>
  <c r="I1338" i="12"/>
  <c r="H1338" i="12"/>
  <c r="I1340" i="12"/>
  <c r="H1340" i="12"/>
  <c r="I1342" i="12"/>
  <c r="H1342" i="12"/>
  <c r="I1344" i="12"/>
  <c r="H1344" i="12"/>
  <c r="I1346" i="12"/>
  <c r="H1346" i="12"/>
  <c r="I1348" i="12"/>
  <c r="H1348" i="12"/>
  <c r="I1350" i="12"/>
  <c r="H1350" i="12"/>
  <c r="I1352" i="12"/>
  <c r="H1352" i="12"/>
  <c r="I1354" i="12"/>
  <c r="H1354" i="12"/>
  <c r="I1356" i="12"/>
  <c r="H1356" i="12"/>
  <c r="I1358" i="12"/>
  <c r="H1358" i="12"/>
  <c r="I1360" i="12"/>
  <c r="H1360" i="12"/>
  <c r="I1362" i="12"/>
  <c r="H1362" i="12"/>
  <c r="I1364" i="12"/>
  <c r="H1364" i="12"/>
  <c r="I1366" i="12"/>
  <c r="H1366" i="12"/>
  <c r="I1368" i="12"/>
  <c r="H1368" i="12"/>
  <c r="I1370" i="12"/>
  <c r="H1370" i="12"/>
  <c r="I1372" i="12"/>
  <c r="H1372" i="12"/>
  <c r="I1374" i="12"/>
  <c r="H1374" i="12"/>
  <c r="I1376" i="12"/>
  <c r="H1376" i="12"/>
  <c r="I1378" i="12"/>
  <c r="H1378" i="12"/>
  <c r="I1380" i="12"/>
  <c r="H1380" i="12"/>
  <c r="I1382" i="12"/>
  <c r="H1382" i="12"/>
  <c r="I1384" i="12"/>
  <c r="H1384" i="12"/>
  <c r="I1386" i="12"/>
  <c r="H1386" i="12"/>
  <c r="I1388" i="12"/>
  <c r="H1388" i="12"/>
  <c r="I1390" i="12"/>
  <c r="H1390" i="12"/>
  <c r="I1392" i="12"/>
  <c r="H1392" i="12"/>
  <c r="I1394" i="12"/>
  <c r="H1394" i="12"/>
  <c r="I1396" i="12"/>
  <c r="H1396" i="12"/>
  <c r="I1398" i="12"/>
  <c r="H1398" i="12"/>
  <c r="I1400" i="12"/>
  <c r="H1400" i="12"/>
  <c r="I1402" i="12"/>
  <c r="H1402" i="12"/>
  <c r="I1404" i="12"/>
  <c r="H1404" i="12"/>
  <c r="I1406" i="12"/>
  <c r="H1406" i="12"/>
  <c r="I1408" i="12"/>
  <c r="H1408" i="12"/>
  <c r="I1410" i="12"/>
  <c r="H1410" i="12"/>
  <c r="I1412" i="12"/>
  <c r="H1412" i="12"/>
  <c r="I1414" i="12"/>
  <c r="H1414" i="12"/>
  <c r="I1416" i="12"/>
  <c r="H1416" i="12"/>
  <c r="I1418" i="12"/>
  <c r="H1418" i="12"/>
  <c r="I1420" i="12"/>
  <c r="H1420" i="12"/>
  <c r="J1421" i="12"/>
  <c r="F1421" i="12"/>
  <c r="H1421" i="12"/>
  <c r="I1421" i="12"/>
  <c r="H1430" i="12"/>
  <c r="I1430" i="12"/>
  <c r="H1434" i="12"/>
  <c r="I1434" i="12"/>
  <c r="H1438" i="12"/>
  <c r="I1438" i="12"/>
  <c r="H1441" i="12"/>
  <c r="I1441" i="12"/>
  <c r="H1449" i="12"/>
  <c r="I1449" i="12"/>
  <c r="H1457" i="12"/>
  <c r="I1457" i="12"/>
  <c r="H1465" i="12"/>
  <c r="I1465" i="12"/>
  <c r="H1473" i="12"/>
  <c r="I1473" i="12"/>
  <c r="H1487" i="12"/>
  <c r="I1487" i="12"/>
  <c r="J1491" i="12"/>
  <c r="F1491" i="12"/>
  <c r="H1503" i="12"/>
  <c r="I1503" i="12"/>
  <c r="J1507" i="12"/>
  <c r="F1507" i="12"/>
  <c r="H1519" i="12"/>
  <c r="I1519" i="12"/>
  <c r="J1523" i="12"/>
  <c r="F1523" i="12"/>
  <c r="H1535" i="12"/>
  <c r="I1535" i="12"/>
  <c r="J1539" i="12"/>
  <c r="F1539" i="12"/>
  <c r="H1551" i="12"/>
  <c r="I1551" i="12"/>
  <c r="J1555" i="12"/>
  <c r="F1555" i="12"/>
  <c r="H1567" i="12"/>
  <c r="I1567" i="12"/>
  <c r="J1571" i="12"/>
  <c r="F1571" i="12"/>
  <c r="H1583" i="12"/>
  <c r="I1583" i="12"/>
  <c r="J1587" i="12"/>
  <c r="F1587" i="12"/>
  <c r="H1599" i="12"/>
  <c r="I1599" i="12"/>
  <c r="J1603" i="12"/>
  <c r="F1603" i="12"/>
  <c r="H1615" i="12"/>
  <c r="I1615" i="12"/>
  <c r="J1619" i="12"/>
  <c r="F1619" i="12"/>
  <c r="J1748" i="12"/>
  <c r="F1748" i="12"/>
  <c r="F2029" i="12"/>
  <c r="J2029" i="12"/>
  <c r="J2510" i="12"/>
  <c r="F2510" i="12"/>
  <c r="J817" i="12"/>
  <c r="F817" i="12"/>
  <c r="I817" i="12"/>
  <c r="H817" i="12"/>
  <c r="J821" i="12"/>
  <c r="F821" i="12"/>
  <c r="I821" i="12"/>
  <c r="H821" i="12"/>
  <c r="F825" i="12"/>
  <c r="J825" i="12"/>
  <c r="I825" i="12"/>
  <c r="H825" i="12"/>
  <c r="J829" i="12"/>
  <c r="F829" i="12"/>
  <c r="I829" i="12"/>
  <c r="H829" i="12"/>
  <c r="J833" i="12"/>
  <c r="F833" i="12"/>
  <c r="I833" i="12"/>
  <c r="H833" i="12"/>
  <c r="J837" i="12"/>
  <c r="F837" i="12"/>
  <c r="I837" i="12"/>
  <c r="H837" i="12"/>
  <c r="F841" i="12"/>
  <c r="J841" i="12"/>
  <c r="I841" i="12"/>
  <c r="H841" i="12"/>
  <c r="J845" i="12"/>
  <c r="F845" i="12"/>
  <c r="I845" i="12"/>
  <c r="H845" i="12"/>
  <c r="J849" i="12"/>
  <c r="F849" i="12"/>
  <c r="I849" i="12"/>
  <c r="H849" i="12"/>
  <c r="J853" i="12"/>
  <c r="F853" i="12"/>
  <c r="I853" i="12"/>
  <c r="H853" i="12"/>
  <c r="F857" i="12"/>
  <c r="J857" i="12"/>
  <c r="I857" i="12"/>
  <c r="H857" i="12"/>
  <c r="J861" i="12"/>
  <c r="F861" i="12"/>
  <c r="I861" i="12"/>
  <c r="H861" i="12"/>
  <c r="J865" i="12"/>
  <c r="F865" i="12"/>
  <c r="I865" i="12"/>
  <c r="H865" i="12"/>
  <c r="J869" i="12"/>
  <c r="F869" i="12"/>
  <c r="I869" i="12"/>
  <c r="H869" i="12"/>
  <c r="F873" i="12"/>
  <c r="J873" i="12"/>
  <c r="I873" i="12"/>
  <c r="H873" i="12"/>
  <c r="J877" i="12"/>
  <c r="F877" i="12"/>
  <c r="I877" i="12"/>
  <c r="H877" i="12"/>
  <c r="J881" i="12"/>
  <c r="F881" i="12"/>
  <c r="I881" i="12"/>
  <c r="H881" i="12"/>
  <c r="J885" i="12"/>
  <c r="F885" i="12"/>
  <c r="I885" i="12"/>
  <c r="H885" i="12"/>
  <c r="F889" i="12"/>
  <c r="J889" i="12"/>
  <c r="I889" i="12"/>
  <c r="H889" i="12"/>
  <c r="J893" i="12"/>
  <c r="F893" i="12"/>
  <c r="I893" i="12"/>
  <c r="H893" i="12"/>
  <c r="J897" i="12"/>
  <c r="F897" i="12"/>
  <c r="I897" i="12"/>
  <c r="H897" i="12"/>
  <c r="J901" i="12"/>
  <c r="F901" i="12"/>
  <c r="I901" i="12"/>
  <c r="H901" i="12"/>
  <c r="F905" i="12"/>
  <c r="J905" i="12"/>
  <c r="I905" i="12"/>
  <c r="H905" i="12"/>
  <c r="J909" i="12"/>
  <c r="F909" i="12"/>
  <c r="I909" i="12"/>
  <c r="H909" i="12"/>
  <c r="J913" i="12"/>
  <c r="F913" i="12"/>
  <c r="I913" i="12"/>
  <c r="H913" i="12"/>
  <c r="J917" i="12"/>
  <c r="F917" i="12"/>
  <c r="I917" i="12"/>
  <c r="H917" i="12"/>
  <c r="F921" i="12"/>
  <c r="J921" i="12"/>
  <c r="I921" i="12"/>
  <c r="H921" i="12"/>
  <c r="J925" i="12"/>
  <c r="F925" i="12"/>
  <c r="I925" i="12"/>
  <c r="H925" i="12"/>
  <c r="J929" i="12"/>
  <c r="F929" i="12"/>
  <c r="I929" i="12"/>
  <c r="H929" i="12"/>
  <c r="J933" i="12"/>
  <c r="F933" i="12"/>
  <c r="I933" i="12"/>
  <c r="H933" i="12"/>
  <c r="F937" i="12"/>
  <c r="J937" i="12"/>
  <c r="I937" i="12"/>
  <c r="H937" i="12"/>
  <c r="J941" i="12"/>
  <c r="F941" i="12"/>
  <c r="I941" i="12"/>
  <c r="H941" i="12"/>
  <c r="J945" i="12"/>
  <c r="F945" i="12"/>
  <c r="I945" i="12"/>
  <c r="H945" i="12"/>
  <c r="J949" i="12"/>
  <c r="F949" i="12"/>
  <c r="I949" i="12"/>
  <c r="H949" i="12"/>
  <c r="F953" i="12"/>
  <c r="J953" i="12"/>
  <c r="I953" i="12"/>
  <c r="H953" i="12"/>
  <c r="J957" i="12"/>
  <c r="F957" i="12"/>
  <c r="I957" i="12"/>
  <c r="H957" i="12"/>
  <c r="J961" i="12"/>
  <c r="F961" i="12"/>
  <c r="I961" i="12"/>
  <c r="H961" i="12"/>
  <c r="J965" i="12"/>
  <c r="F965" i="12"/>
  <c r="I965" i="12"/>
  <c r="H965" i="12"/>
  <c r="F969" i="12"/>
  <c r="J969" i="12"/>
  <c r="I969" i="12"/>
  <c r="H969" i="12"/>
  <c r="J973" i="12"/>
  <c r="F973" i="12"/>
  <c r="I973" i="12"/>
  <c r="H973" i="12"/>
  <c r="J977" i="12"/>
  <c r="F977" i="12"/>
  <c r="I977" i="12"/>
  <c r="H977" i="12"/>
  <c r="J981" i="12"/>
  <c r="F981" i="12"/>
  <c r="I981" i="12"/>
  <c r="H981" i="12"/>
  <c r="F985" i="12"/>
  <c r="J985" i="12"/>
  <c r="I985" i="12"/>
  <c r="H985" i="12"/>
  <c r="J989" i="12"/>
  <c r="F989" i="12"/>
  <c r="I989" i="12"/>
  <c r="H989" i="12"/>
  <c r="J993" i="12"/>
  <c r="F993" i="12"/>
  <c r="I993" i="12"/>
  <c r="H993" i="12"/>
  <c r="J997" i="12"/>
  <c r="F997" i="12"/>
  <c r="I997" i="12"/>
  <c r="H997" i="12"/>
  <c r="F1001" i="12"/>
  <c r="J1001" i="12"/>
  <c r="I1001" i="12"/>
  <c r="H1001" i="12"/>
  <c r="J1005" i="12"/>
  <c r="F1005" i="12"/>
  <c r="I1005" i="12"/>
  <c r="H1005" i="12"/>
  <c r="J1009" i="12"/>
  <c r="F1009" i="12"/>
  <c r="I1009" i="12"/>
  <c r="H1009" i="12"/>
  <c r="J1013" i="12"/>
  <c r="F1013" i="12"/>
  <c r="I1013" i="12"/>
  <c r="H1013" i="12"/>
  <c r="F1017" i="12"/>
  <c r="J1017" i="12"/>
  <c r="I1017" i="12"/>
  <c r="H1017" i="12"/>
  <c r="J1021" i="12"/>
  <c r="F1021" i="12"/>
  <c r="I1021" i="12"/>
  <c r="H1021" i="12"/>
  <c r="J1025" i="12"/>
  <c r="F1025" i="12"/>
  <c r="I1025" i="12"/>
  <c r="H1025" i="12"/>
  <c r="J1029" i="12"/>
  <c r="F1029" i="12"/>
  <c r="I1029" i="12"/>
  <c r="H1029" i="12"/>
  <c r="F1033" i="12"/>
  <c r="J1033" i="12"/>
  <c r="I1033" i="12"/>
  <c r="H1033" i="12"/>
  <c r="J1037" i="12"/>
  <c r="F1037" i="12"/>
  <c r="I1037" i="12"/>
  <c r="H1037" i="12"/>
  <c r="J1041" i="12"/>
  <c r="F1041" i="12"/>
  <c r="I1041" i="12"/>
  <c r="H1041" i="12"/>
  <c r="J1045" i="12"/>
  <c r="F1045" i="12"/>
  <c r="I1045" i="12"/>
  <c r="H1045" i="12"/>
  <c r="F1049" i="12"/>
  <c r="J1049" i="12"/>
  <c r="I1049" i="12"/>
  <c r="H1049" i="12"/>
  <c r="J1053" i="12"/>
  <c r="F1053" i="12"/>
  <c r="I1053" i="12"/>
  <c r="H1053" i="12"/>
  <c r="J1057" i="12"/>
  <c r="F1057" i="12"/>
  <c r="I1057" i="12"/>
  <c r="H1057" i="12"/>
  <c r="J1061" i="12"/>
  <c r="F1061" i="12"/>
  <c r="I1061" i="12"/>
  <c r="H1061" i="12"/>
  <c r="F1065" i="12"/>
  <c r="J1065" i="12"/>
  <c r="I1065" i="12"/>
  <c r="H1065" i="12"/>
  <c r="J1069" i="12"/>
  <c r="F1069" i="12"/>
  <c r="I1069" i="12"/>
  <c r="H1069" i="12"/>
  <c r="J1073" i="12"/>
  <c r="F1073" i="12"/>
  <c r="I1073" i="12"/>
  <c r="H1073" i="12"/>
  <c r="J1077" i="12"/>
  <c r="F1077" i="12"/>
  <c r="I1077" i="12"/>
  <c r="H1077" i="12"/>
  <c r="F1081" i="12"/>
  <c r="J1081" i="12"/>
  <c r="I1081" i="12"/>
  <c r="H1081" i="12"/>
  <c r="J1085" i="12"/>
  <c r="F1085" i="12"/>
  <c r="I1085" i="12"/>
  <c r="H1085" i="12"/>
  <c r="J1089" i="12"/>
  <c r="F1089" i="12"/>
  <c r="I1089" i="12"/>
  <c r="H1089" i="12"/>
  <c r="J1093" i="12"/>
  <c r="F1093" i="12"/>
  <c r="I1093" i="12"/>
  <c r="H1093" i="12"/>
  <c r="F1097" i="12"/>
  <c r="J1097" i="12"/>
  <c r="I1097" i="12"/>
  <c r="H1097" i="12"/>
  <c r="J1101" i="12"/>
  <c r="F1101" i="12"/>
  <c r="I1101" i="12"/>
  <c r="H1101" i="12"/>
  <c r="J1105" i="12"/>
  <c r="F1105" i="12"/>
  <c r="I1105" i="12"/>
  <c r="H1105" i="12"/>
  <c r="J1109" i="12"/>
  <c r="F1109" i="12"/>
  <c r="I1109" i="12"/>
  <c r="H1109" i="12"/>
  <c r="F1113" i="12"/>
  <c r="J1113" i="12"/>
  <c r="I1113" i="12"/>
  <c r="H1113" i="12"/>
  <c r="J1117" i="12"/>
  <c r="F1117" i="12"/>
  <c r="I1117" i="12"/>
  <c r="H1117" i="12"/>
  <c r="J1121" i="12"/>
  <c r="F1121" i="12"/>
  <c r="I1121" i="12"/>
  <c r="H1121" i="12"/>
  <c r="J1125" i="12"/>
  <c r="F1125" i="12"/>
  <c r="I1125" i="12"/>
  <c r="H1125" i="12"/>
  <c r="F1129" i="12"/>
  <c r="J1129" i="12"/>
  <c r="I1129" i="12"/>
  <c r="H1129" i="12"/>
  <c r="J1133" i="12"/>
  <c r="F1133" i="12"/>
  <c r="I1133" i="12"/>
  <c r="H1133" i="12"/>
  <c r="J1137" i="12"/>
  <c r="F1137" i="12"/>
  <c r="I1137" i="12"/>
  <c r="H1137" i="12"/>
  <c r="J1141" i="12"/>
  <c r="F1141" i="12"/>
  <c r="I1141" i="12"/>
  <c r="H1141" i="12"/>
  <c r="F1145" i="12"/>
  <c r="J1145" i="12"/>
  <c r="I1145" i="12"/>
  <c r="H1145" i="12"/>
  <c r="J1149" i="12"/>
  <c r="F1149" i="12"/>
  <c r="I1149" i="12"/>
  <c r="H1149" i="12"/>
  <c r="J1153" i="12"/>
  <c r="F1153" i="12"/>
  <c r="I1153" i="12"/>
  <c r="H1153" i="12"/>
  <c r="J1157" i="12"/>
  <c r="F1157" i="12"/>
  <c r="I1157" i="12"/>
  <c r="H1157" i="12"/>
  <c r="F1161" i="12"/>
  <c r="J1161" i="12"/>
  <c r="I1161" i="12"/>
  <c r="H1161" i="12"/>
  <c r="J1165" i="12"/>
  <c r="F1165" i="12"/>
  <c r="I1165" i="12"/>
  <c r="H1165" i="12"/>
  <c r="J1169" i="12"/>
  <c r="F1169" i="12"/>
  <c r="I1169" i="12"/>
  <c r="H1169" i="12"/>
  <c r="J1173" i="12"/>
  <c r="F1173" i="12"/>
  <c r="I1173" i="12"/>
  <c r="H1173" i="12"/>
  <c r="F1177" i="12"/>
  <c r="J1177" i="12"/>
  <c r="I1177" i="12"/>
  <c r="H1177" i="12"/>
  <c r="J1181" i="12"/>
  <c r="F1181" i="12"/>
  <c r="I1181" i="12"/>
  <c r="H1181" i="12"/>
  <c r="J1185" i="12"/>
  <c r="F1185" i="12"/>
  <c r="I1185" i="12"/>
  <c r="H1185" i="12"/>
  <c r="J1189" i="12"/>
  <c r="F1189" i="12"/>
  <c r="I1189" i="12"/>
  <c r="H1189" i="12"/>
  <c r="F1193" i="12"/>
  <c r="J1193" i="12"/>
  <c r="I1193" i="12"/>
  <c r="H1193" i="12"/>
  <c r="J1197" i="12"/>
  <c r="F1197" i="12"/>
  <c r="I1197" i="12"/>
  <c r="H1197" i="12"/>
  <c r="J1201" i="12"/>
  <c r="F1201" i="12"/>
  <c r="I1201" i="12"/>
  <c r="H1201" i="12"/>
  <c r="J1205" i="12"/>
  <c r="F1205" i="12"/>
  <c r="I1205" i="12"/>
  <c r="H1205" i="12"/>
  <c r="F1209" i="12"/>
  <c r="J1209" i="12"/>
  <c r="I1209" i="12"/>
  <c r="H1209" i="12"/>
  <c r="J1213" i="12"/>
  <c r="F1213" i="12"/>
  <c r="I1213" i="12"/>
  <c r="H1213" i="12"/>
  <c r="J1217" i="12"/>
  <c r="F1217" i="12"/>
  <c r="I1217" i="12"/>
  <c r="H1217" i="12"/>
  <c r="J1221" i="12"/>
  <c r="F1221" i="12"/>
  <c r="I1221" i="12"/>
  <c r="H1221" i="12"/>
  <c r="F1225" i="12"/>
  <c r="J1225" i="12"/>
  <c r="I1225" i="12"/>
  <c r="H1225" i="12"/>
  <c r="J1229" i="12"/>
  <c r="F1229" i="12"/>
  <c r="I1229" i="12"/>
  <c r="H1229" i="12"/>
  <c r="J1233" i="12"/>
  <c r="F1233" i="12"/>
  <c r="I1233" i="12"/>
  <c r="H1233" i="12"/>
  <c r="J1237" i="12"/>
  <c r="F1237" i="12"/>
  <c r="I1237" i="12"/>
  <c r="H1237" i="12"/>
  <c r="F1241" i="12"/>
  <c r="J1241" i="12"/>
  <c r="I1241" i="12"/>
  <c r="H1241" i="12"/>
  <c r="J1245" i="12"/>
  <c r="F1245" i="12"/>
  <c r="I1245" i="12"/>
  <c r="H1245" i="12"/>
  <c r="J1249" i="12"/>
  <c r="F1249" i="12"/>
  <c r="I1249" i="12"/>
  <c r="H1249" i="12"/>
  <c r="J1253" i="12"/>
  <c r="F1253" i="12"/>
  <c r="I1253" i="12"/>
  <c r="H1253" i="12"/>
  <c r="F1257" i="12"/>
  <c r="J1257" i="12"/>
  <c r="I1257" i="12"/>
  <c r="H1257" i="12"/>
  <c r="J1261" i="12"/>
  <c r="F1261" i="12"/>
  <c r="I1261" i="12"/>
  <c r="H1261" i="12"/>
  <c r="J1265" i="12"/>
  <c r="F1265" i="12"/>
  <c r="I1265" i="12"/>
  <c r="H1265" i="12"/>
  <c r="J1269" i="12"/>
  <c r="F1269" i="12"/>
  <c r="I1269" i="12"/>
  <c r="H1269" i="12"/>
  <c r="F1273" i="12"/>
  <c r="J1273" i="12"/>
  <c r="I1273" i="12"/>
  <c r="H1273" i="12"/>
  <c r="J1277" i="12"/>
  <c r="F1277" i="12"/>
  <c r="I1277" i="12"/>
  <c r="H1277" i="12"/>
  <c r="J1281" i="12"/>
  <c r="F1281" i="12"/>
  <c r="I1281" i="12"/>
  <c r="H1281" i="12"/>
  <c r="J1285" i="12"/>
  <c r="F1285" i="12"/>
  <c r="I1285" i="12"/>
  <c r="H1285" i="12"/>
  <c r="F1289" i="12"/>
  <c r="J1289" i="12"/>
  <c r="I1289" i="12"/>
  <c r="H1289" i="12"/>
  <c r="J1293" i="12"/>
  <c r="F1293" i="12"/>
  <c r="I1293" i="12"/>
  <c r="H1293" i="12"/>
  <c r="J1297" i="12"/>
  <c r="F1297" i="12"/>
  <c r="I1297" i="12"/>
  <c r="H1297" i="12"/>
  <c r="J1301" i="12"/>
  <c r="F1301" i="12"/>
  <c r="I1301" i="12"/>
  <c r="H1301" i="12"/>
  <c r="F1305" i="12"/>
  <c r="J1305" i="12"/>
  <c r="I1305" i="12"/>
  <c r="H1305" i="12"/>
  <c r="I1307" i="12"/>
  <c r="H1307" i="12"/>
  <c r="I1309" i="12"/>
  <c r="H1309" i="12"/>
  <c r="I1311" i="12"/>
  <c r="H1311" i="12"/>
  <c r="I1313" i="12"/>
  <c r="H1313" i="12"/>
  <c r="I1315" i="12"/>
  <c r="H1315" i="12"/>
  <c r="I1317" i="12"/>
  <c r="H1317" i="12"/>
  <c r="I1319" i="12"/>
  <c r="H1319" i="12"/>
  <c r="I1321" i="12"/>
  <c r="H1321" i="12"/>
  <c r="I1323" i="12"/>
  <c r="H1323" i="12"/>
  <c r="I1325" i="12"/>
  <c r="H1325" i="12"/>
  <c r="I1327" i="12"/>
  <c r="H1327" i="12"/>
  <c r="I1329" i="12"/>
  <c r="H1329" i="12"/>
  <c r="I1331" i="12"/>
  <c r="H1331" i="12"/>
  <c r="I1333" i="12"/>
  <c r="H1333" i="12"/>
  <c r="I1335" i="12"/>
  <c r="H1335" i="12"/>
  <c r="I1337" i="12"/>
  <c r="H1337" i="12"/>
  <c r="I1339" i="12"/>
  <c r="H1339" i="12"/>
  <c r="I1341" i="12"/>
  <c r="H1341" i="12"/>
  <c r="I1343" i="12"/>
  <c r="H1343" i="12"/>
  <c r="I1345" i="12"/>
  <c r="H1345" i="12"/>
  <c r="I1347" i="12"/>
  <c r="H1347" i="12"/>
  <c r="I1349" i="12"/>
  <c r="H1349" i="12"/>
  <c r="I1351" i="12"/>
  <c r="H1351" i="12"/>
  <c r="I1353" i="12"/>
  <c r="H1353" i="12"/>
  <c r="I1355" i="12"/>
  <c r="H1355" i="12"/>
  <c r="I1357" i="12"/>
  <c r="H1357" i="12"/>
  <c r="I1359" i="12"/>
  <c r="H1359" i="12"/>
  <c r="I1361" i="12"/>
  <c r="H1361" i="12"/>
  <c r="I1363" i="12"/>
  <c r="H1363" i="12"/>
  <c r="I1365" i="12"/>
  <c r="H1365" i="12"/>
  <c r="I1367" i="12"/>
  <c r="H1367" i="12"/>
  <c r="I1369" i="12"/>
  <c r="H1369" i="12"/>
  <c r="I1371" i="12"/>
  <c r="H1371" i="12"/>
  <c r="I1373" i="12"/>
  <c r="H1373" i="12"/>
  <c r="I1375" i="12"/>
  <c r="H1375" i="12"/>
  <c r="I1377" i="12"/>
  <c r="H1377" i="12"/>
  <c r="I1379" i="12"/>
  <c r="H1379" i="12"/>
  <c r="I1381" i="12"/>
  <c r="H1381" i="12"/>
  <c r="I1383" i="12"/>
  <c r="H1383" i="12"/>
  <c r="I1385" i="12"/>
  <c r="H1385" i="12"/>
  <c r="I1387" i="12"/>
  <c r="H1387" i="12"/>
  <c r="I1389" i="12"/>
  <c r="H1389" i="12"/>
  <c r="I1391" i="12"/>
  <c r="H1391" i="12"/>
  <c r="I1393" i="12"/>
  <c r="H1393" i="12"/>
  <c r="I1395" i="12"/>
  <c r="H1395" i="12"/>
  <c r="I1397" i="12"/>
  <c r="H1397" i="12"/>
  <c r="I1399" i="12"/>
  <c r="H1399" i="12"/>
  <c r="I1401" i="12"/>
  <c r="H1401" i="12"/>
  <c r="I1403" i="12"/>
  <c r="H1403" i="12"/>
  <c r="I1405" i="12"/>
  <c r="H1405" i="12"/>
  <c r="I1407" i="12"/>
  <c r="H1407" i="12"/>
  <c r="I1409" i="12"/>
  <c r="H1409" i="12"/>
  <c r="I1411" i="12"/>
  <c r="H1411" i="12"/>
  <c r="I1413" i="12"/>
  <c r="H1413" i="12"/>
  <c r="I1415" i="12"/>
  <c r="H1415" i="12"/>
  <c r="I1417" i="12"/>
  <c r="H1417" i="12"/>
  <c r="I1424" i="12"/>
  <c r="H1424" i="12"/>
  <c r="J1425" i="12"/>
  <c r="F1425" i="12"/>
  <c r="H1425" i="12"/>
  <c r="I1425" i="12"/>
  <c r="H1428" i="12"/>
  <c r="I1428" i="12"/>
  <c r="H1432" i="12"/>
  <c r="I1432" i="12"/>
  <c r="H1436" i="12"/>
  <c r="I1436" i="12"/>
  <c r="H1445" i="12"/>
  <c r="I1445" i="12"/>
  <c r="H1453" i="12"/>
  <c r="I1453" i="12"/>
  <c r="H1461" i="12"/>
  <c r="I1461" i="12"/>
  <c r="H1469" i="12"/>
  <c r="I1469" i="12"/>
  <c r="H1479" i="12"/>
  <c r="I1479" i="12"/>
  <c r="J1483" i="12"/>
  <c r="F1483" i="12"/>
  <c r="H1495" i="12"/>
  <c r="I1495" i="12"/>
  <c r="J1499" i="12"/>
  <c r="F1499" i="12"/>
  <c r="H1511" i="12"/>
  <c r="I1511" i="12"/>
  <c r="J1515" i="12"/>
  <c r="F1515" i="12"/>
  <c r="H1527" i="12"/>
  <c r="I1527" i="12"/>
  <c r="J1531" i="12"/>
  <c r="F1531" i="12"/>
  <c r="H1543" i="12"/>
  <c r="I1543" i="12"/>
  <c r="J1547" i="12"/>
  <c r="F1547" i="12"/>
  <c r="H1559" i="12"/>
  <c r="I1559" i="12"/>
  <c r="J1563" i="12"/>
  <c r="F1563" i="12"/>
  <c r="H1575" i="12"/>
  <c r="I1575" i="12"/>
  <c r="J1579" i="12"/>
  <c r="F1579" i="12"/>
  <c r="H1591" i="12"/>
  <c r="I1591" i="12"/>
  <c r="J1595" i="12"/>
  <c r="F1595" i="12"/>
  <c r="H1607" i="12"/>
  <c r="I1607" i="12"/>
  <c r="J1611" i="12"/>
  <c r="F1611" i="12"/>
  <c r="H1623" i="12"/>
  <c r="I1623" i="12"/>
  <c r="J2071" i="12"/>
  <c r="F2071" i="12"/>
  <c r="F2076" i="12"/>
  <c r="J2076" i="12"/>
  <c r="F2157" i="12"/>
  <c r="J2157" i="12"/>
  <c r="J2197" i="12"/>
  <c r="F2197" i="12"/>
  <c r="F2374" i="12"/>
  <c r="J2374" i="12"/>
  <c r="J2425" i="12"/>
  <c r="F2425" i="12"/>
  <c r="H1440" i="12"/>
  <c r="I1440" i="12"/>
  <c r="H1442" i="12"/>
  <c r="I1442" i="12"/>
  <c r="H1444" i="12"/>
  <c r="I1444" i="12"/>
  <c r="H1446" i="12"/>
  <c r="I1446" i="12"/>
  <c r="H1448" i="12"/>
  <c r="I1448" i="12"/>
  <c r="H1450" i="12"/>
  <c r="I1450" i="12"/>
  <c r="H1452" i="12"/>
  <c r="I1452" i="12"/>
  <c r="H1454" i="12"/>
  <c r="I1454" i="12"/>
  <c r="H1456" i="12"/>
  <c r="I1456" i="12"/>
  <c r="H1458" i="12"/>
  <c r="I1458" i="12"/>
  <c r="H1460" i="12"/>
  <c r="I1460" i="12"/>
  <c r="H1462" i="12"/>
  <c r="I1462" i="12"/>
  <c r="H1464" i="12"/>
  <c r="I1464" i="12"/>
  <c r="H1466" i="12"/>
  <c r="I1466" i="12"/>
  <c r="H1468" i="12"/>
  <c r="I1468" i="12"/>
  <c r="H1470" i="12"/>
  <c r="I1470" i="12"/>
  <c r="H1472" i="12"/>
  <c r="I1472" i="12"/>
  <c r="H1474" i="12"/>
  <c r="I1474" i="12"/>
  <c r="J1477" i="12"/>
  <c r="F1477" i="12"/>
  <c r="H1477" i="12"/>
  <c r="I1477" i="12"/>
  <c r="J1481" i="12"/>
  <c r="F1481" i="12"/>
  <c r="H1481" i="12"/>
  <c r="I1481" i="12"/>
  <c r="J1485" i="12"/>
  <c r="F1485" i="12"/>
  <c r="H1485" i="12"/>
  <c r="I1485" i="12"/>
  <c r="J1489" i="12"/>
  <c r="F1489" i="12"/>
  <c r="H1489" i="12"/>
  <c r="I1489" i="12"/>
  <c r="J1493" i="12"/>
  <c r="F1493" i="12"/>
  <c r="H1493" i="12"/>
  <c r="I1493" i="12"/>
  <c r="J1497" i="12"/>
  <c r="F1497" i="12"/>
  <c r="H1497" i="12"/>
  <c r="I1497" i="12"/>
  <c r="J1501" i="12"/>
  <c r="F1501" i="12"/>
  <c r="H1501" i="12"/>
  <c r="I1501" i="12"/>
  <c r="J1505" i="12"/>
  <c r="F1505" i="12"/>
  <c r="H1505" i="12"/>
  <c r="I1505" i="12"/>
  <c r="J1509" i="12"/>
  <c r="F1509" i="12"/>
  <c r="H1509" i="12"/>
  <c r="I1509" i="12"/>
  <c r="J1513" i="12"/>
  <c r="F1513" i="12"/>
  <c r="H1513" i="12"/>
  <c r="I1513" i="12"/>
  <c r="J1517" i="12"/>
  <c r="F1517" i="12"/>
  <c r="H1517" i="12"/>
  <c r="I1517" i="12"/>
  <c r="J1521" i="12"/>
  <c r="F1521" i="12"/>
  <c r="H1521" i="12"/>
  <c r="I1521" i="12"/>
  <c r="J1525" i="12"/>
  <c r="F1525" i="12"/>
  <c r="H1525" i="12"/>
  <c r="I1525" i="12"/>
  <c r="J1529" i="12"/>
  <c r="F1529" i="12"/>
  <c r="H1529" i="12"/>
  <c r="I1529" i="12"/>
  <c r="J1533" i="12"/>
  <c r="F1533" i="12"/>
  <c r="H1533" i="12"/>
  <c r="I1533" i="12"/>
  <c r="J1537" i="12"/>
  <c r="F1537" i="12"/>
  <c r="H1537" i="12"/>
  <c r="I1537" i="12"/>
  <c r="J1541" i="12"/>
  <c r="F1541" i="12"/>
  <c r="H1541" i="12"/>
  <c r="I1541" i="12"/>
  <c r="J1545" i="12"/>
  <c r="F1545" i="12"/>
  <c r="H1545" i="12"/>
  <c r="I1545" i="12"/>
  <c r="J1549" i="12"/>
  <c r="F1549" i="12"/>
  <c r="H1549" i="12"/>
  <c r="I1549" i="12"/>
  <c r="J1553" i="12"/>
  <c r="F1553" i="12"/>
  <c r="H1553" i="12"/>
  <c r="I1553" i="12"/>
  <c r="J1557" i="12"/>
  <c r="F1557" i="12"/>
  <c r="H1557" i="12"/>
  <c r="I1557" i="12"/>
  <c r="J1561" i="12"/>
  <c r="F1561" i="12"/>
  <c r="H1561" i="12"/>
  <c r="I1561" i="12"/>
  <c r="J1565" i="12"/>
  <c r="F1565" i="12"/>
  <c r="H1565" i="12"/>
  <c r="I1565" i="12"/>
  <c r="J1569" i="12"/>
  <c r="F1569" i="12"/>
  <c r="H1569" i="12"/>
  <c r="I1569" i="12"/>
  <c r="J1573" i="12"/>
  <c r="F1573" i="12"/>
  <c r="H1573" i="12"/>
  <c r="I1573" i="12"/>
  <c r="J1577" i="12"/>
  <c r="F1577" i="12"/>
  <c r="H1577" i="12"/>
  <c r="I1577" i="12"/>
  <c r="J1581" i="12"/>
  <c r="F1581" i="12"/>
  <c r="H1581" i="12"/>
  <c r="I1581" i="12"/>
  <c r="J1585" i="12"/>
  <c r="F1585" i="12"/>
  <c r="H1585" i="12"/>
  <c r="I1585" i="12"/>
  <c r="J1589" i="12"/>
  <c r="F1589" i="12"/>
  <c r="H1589" i="12"/>
  <c r="I1589" i="12"/>
  <c r="J1593" i="12"/>
  <c r="F1593" i="12"/>
  <c r="H1593" i="12"/>
  <c r="I1593" i="12"/>
  <c r="J1597" i="12"/>
  <c r="F1597" i="12"/>
  <c r="H1597" i="12"/>
  <c r="I1597" i="12"/>
  <c r="J1601" i="12"/>
  <c r="F1601" i="12"/>
  <c r="H1601" i="12"/>
  <c r="I1601" i="12"/>
  <c r="J1605" i="12"/>
  <c r="F1605" i="12"/>
  <c r="H1605" i="12"/>
  <c r="I1605" i="12"/>
  <c r="J1609" i="12"/>
  <c r="F1609" i="12"/>
  <c r="H1609" i="12"/>
  <c r="I1609" i="12"/>
  <c r="J1613" i="12"/>
  <c r="F1613" i="12"/>
  <c r="H1613" i="12"/>
  <c r="I1613" i="12"/>
  <c r="J1617" i="12"/>
  <c r="F1617" i="12"/>
  <c r="H1617" i="12"/>
  <c r="I1617" i="12"/>
  <c r="J1621" i="12"/>
  <c r="F1621" i="12"/>
  <c r="H1621" i="12"/>
  <c r="I1621" i="12"/>
  <c r="F1625" i="12"/>
  <c r="J1625" i="12"/>
  <c r="F1626" i="12"/>
  <c r="J1626" i="12"/>
  <c r="F1627" i="12"/>
  <c r="J1627" i="12"/>
  <c r="F1628" i="12"/>
  <c r="J1628" i="12"/>
  <c r="F1629" i="12"/>
  <c r="J1629" i="12"/>
  <c r="F1630" i="12"/>
  <c r="J1630" i="12"/>
  <c r="F1631" i="12"/>
  <c r="J1631" i="12"/>
  <c r="F1632" i="12"/>
  <c r="J1632" i="12"/>
  <c r="F1633" i="12"/>
  <c r="J1633" i="12"/>
  <c r="F1634" i="12"/>
  <c r="J1634" i="12"/>
  <c r="F1635" i="12"/>
  <c r="J1635" i="12"/>
  <c r="F1636" i="12"/>
  <c r="J1636" i="12"/>
  <c r="F1637" i="12"/>
  <c r="J1637" i="12"/>
  <c r="F1638" i="12"/>
  <c r="J1638" i="12"/>
  <c r="F1639" i="12"/>
  <c r="J1639" i="12"/>
  <c r="F1640" i="12"/>
  <c r="J1640" i="12"/>
  <c r="F1641" i="12"/>
  <c r="J1641" i="12"/>
  <c r="F1642" i="12"/>
  <c r="J1642" i="12"/>
  <c r="F1643" i="12"/>
  <c r="J1643" i="12"/>
  <c r="F1644" i="12"/>
  <c r="J1644" i="12"/>
  <c r="F1645" i="12"/>
  <c r="J1645" i="12"/>
  <c r="F1646" i="12"/>
  <c r="J1646" i="12"/>
  <c r="F1647" i="12"/>
  <c r="J1647" i="12"/>
  <c r="F1648" i="12"/>
  <c r="J1648" i="12"/>
  <c r="F1649" i="12"/>
  <c r="J1649" i="12"/>
  <c r="F1650" i="12"/>
  <c r="J1650" i="12"/>
  <c r="F1651" i="12"/>
  <c r="J1651" i="12"/>
  <c r="F1652" i="12"/>
  <c r="J1652" i="12"/>
  <c r="F1653" i="12"/>
  <c r="J1653" i="12"/>
  <c r="F1654" i="12"/>
  <c r="J1654" i="12"/>
  <c r="F1655" i="12"/>
  <c r="J1655" i="12"/>
  <c r="F1656" i="12"/>
  <c r="J1656" i="12"/>
  <c r="F1657" i="12"/>
  <c r="J1657" i="12"/>
  <c r="F1658" i="12"/>
  <c r="J1658" i="12"/>
  <c r="F1659" i="12"/>
  <c r="J1659" i="12"/>
  <c r="F1660" i="12"/>
  <c r="J1660" i="12"/>
  <c r="F1661" i="12"/>
  <c r="J1661" i="12"/>
  <c r="F1662" i="12"/>
  <c r="J1662" i="12"/>
  <c r="F1663" i="12"/>
  <c r="J1663" i="12"/>
  <c r="F1664" i="12"/>
  <c r="J1664" i="12"/>
  <c r="F1665" i="12"/>
  <c r="J1665" i="12"/>
  <c r="F1666" i="12"/>
  <c r="J1666" i="12"/>
  <c r="F1667" i="12"/>
  <c r="J1667" i="12"/>
  <c r="F1668" i="12"/>
  <c r="J1668" i="12"/>
  <c r="F1669" i="12"/>
  <c r="J1669" i="12"/>
  <c r="F1670" i="12"/>
  <c r="J1670" i="12"/>
  <c r="F1671" i="12"/>
  <c r="J1671" i="12"/>
  <c r="F1672" i="12"/>
  <c r="J1672" i="12"/>
  <c r="F1673" i="12"/>
  <c r="J1673" i="12"/>
  <c r="F1674" i="12"/>
  <c r="J1674" i="12"/>
  <c r="F1675" i="12"/>
  <c r="J1675" i="12"/>
  <c r="F1676" i="12"/>
  <c r="J1676" i="12"/>
  <c r="F1677" i="12"/>
  <c r="J1677" i="12"/>
  <c r="F1678" i="12"/>
  <c r="J1678" i="12"/>
  <c r="F1679" i="12"/>
  <c r="J1679" i="12"/>
  <c r="F1680" i="12"/>
  <c r="J1680" i="12"/>
  <c r="F1681" i="12"/>
  <c r="J1681" i="12"/>
  <c r="F1682" i="12"/>
  <c r="J1682" i="12"/>
  <c r="F1683" i="12"/>
  <c r="J1683" i="12"/>
  <c r="F1684" i="12"/>
  <c r="J1684" i="12"/>
  <c r="F1685" i="12"/>
  <c r="J1685" i="12"/>
  <c r="F1686" i="12"/>
  <c r="J1686" i="12"/>
  <c r="F1687" i="12"/>
  <c r="J1687" i="12"/>
  <c r="F1688" i="12"/>
  <c r="J1688" i="12"/>
  <c r="F1689" i="12"/>
  <c r="J1689" i="12"/>
  <c r="F1690" i="12"/>
  <c r="J1690" i="12"/>
  <c r="F1691" i="12"/>
  <c r="J1691" i="12"/>
  <c r="F1692" i="12"/>
  <c r="J1692" i="12"/>
  <c r="F1693" i="12"/>
  <c r="J1693" i="12"/>
  <c r="F1694" i="12"/>
  <c r="J1694" i="12"/>
  <c r="F1695" i="12"/>
  <c r="J1695" i="12"/>
  <c r="F1696" i="12"/>
  <c r="J1696" i="12"/>
  <c r="F1697" i="12"/>
  <c r="J1697" i="12"/>
  <c r="F1698" i="12"/>
  <c r="J1698" i="12"/>
  <c r="F1699" i="12"/>
  <c r="J1699" i="12"/>
  <c r="F1700" i="12"/>
  <c r="J1700" i="12"/>
  <c r="F1701" i="12"/>
  <c r="J1701" i="12"/>
  <c r="F1702" i="12"/>
  <c r="J1702" i="12"/>
  <c r="F1703" i="12"/>
  <c r="J1703" i="12"/>
  <c r="F1704" i="12"/>
  <c r="J1704" i="12"/>
  <c r="F1705" i="12"/>
  <c r="J1705" i="12"/>
  <c r="F1706" i="12"/>
  <c r="J1706" i="12"/>
  <c r="F1707" i="12"/>
  <c r="J1707" i="12"/>
  <c r="F1708" i="12"/>
  <c r="J1708" i="12"/>
  <c r="F1709" i="12"/>
  <c r="J1709" i="12"/>
  <c r="F1710" i="12"/>
  <c r="J1710" i="12"/>
  <c r="F1711" i="12"/>
  <c r="J1711" i="12"/>
  <c r="F1712" i="12"/>
  <c r="J1712" i="12"/>
  <c r="F1713" i="12"/>
  <c r="J1713" i="12"/>
  <c r="F1714" i="12"/>
  <c r="J1714" i="12"/>
  <c r="F1715" i="12"/>
  <c r="J1715" i="12"/>
  <c r="F1716" i="12"/>
  <c r="J1716" i="12"/>
  <c r="F1717" i="12"/>
  <c r="J1717" i="12"/>
  <c r="F1718" i="12"/>
  <c r="J1718" i="12"/>
  <c r="F1719" i="12"/>
  <c r="J1719" i="12"/>
  <c r="F1720" i="12"/>
  <c r="J1720" i="12"/>
  <c r="F1721" i="12"/>
  <c r="J1721" i="12"/>
  <c r="F1722" i="12"/>
  <c r="J1722" i="12"/>
  <c r="F1723" i="12"/>
  <c r="J1723" i="12"/>
  <c r="F1724" i="12"/>
  <c r="J1724" i="12"/>
  <c r="F1725" i="12"/>
  <c r="J1725" i="12"/>
  <c r="F1726" i="12"/>
  <c r="J1726" i="12"/>
  <c r="F1727" i="12"/>
  <c r="J1727" i="12"/>
  <c r="F1728" i="12"/>
  <c r="J1728" i="12"/>
  <c r="F1729" i="12"/>
  <c r="J1729" i="12"/>
  <c r="F1730" i="12"/>
  <c r="J1730" i="12"/>
  <c r="F1731" i="12"/>
  <c r="J1731" i="12"/>
  <c r="F1732" i="12"/>
  <c r="J1732" i="12"/>
  <c r="F1733" i="12"/>
  <c r="J1733" i="12"/>
  <c r="F1734" i="12"/>
  <c r="J1734" i="12"/>
  <c r="F1735" i="12"/>
  <c r="J1735" i="12"/>
  <c r="F1736" i="12"/>
  <c r="J1736" i="12"/>
  <c r="F1737" i="12"/>
  <c r="J1737" i="12"/>
  <c r="F1738" i="12"/>
  <c r="J1738" i="12"/>
  <c r="F1739" i="12"/>
  <c r="J1739" i="12"/>
  <c r="F1740" i="12"/>
  <c r="J1740" i="12"/>
  <c r="F1741" i="12"/>
  <c r="J1741" i="12"/>
  <c r="F1742" i="12"/>
  <c r="J1742" i="12"/>
  <c r="F1743" i="12"/>
  <c r="J1743" i="12"/>
  <c r="F1744" i="12"/>
  <c r="J1744" i="12"/>
  <c r="F1745" i="12"/>
  <c r="J1745" i="12"/>
  <c r="J1746" i="12"/>
  <c r="F1746" i="12"/>
  <c r="J1750" i="12"/>
  <c r="F1750" i="12"/>
  <c r="J1754" i="12"/>
  <c r="F1754" i="12"/>
  <c r="F1988" i="12"/>
  <c r="J1988" i="12"/>
  <c r="F1997" i="12"/>
  <c r="J1997" i="12"/>
  <c r="J2039" i="12"/>
  <c r="F2039" i="12"/>
  <c r="F2044" i="12"/>
  <c r="J2044" i="12"/>
  <c r="F2061" i="12"/>
  <c r="J2061" i="12"/>
  <c r="J2103" i="12"/>
  <c r="F2103" i="12"/>
  <c r="F2108" i="12"/>
  <c r="J2108" i="12"/>
  <c r="F2125" i="12"/>
  <c r="J2125" i="12"/>
  <c r="J2167" i="12"/>
  <c r="F2167" i="12"/>
  <c r="F2172" i="12"/>
  <c r="J2172" i="12"/>
  <c r="F2189" i="12"/>
  <c r="J2189" i="12"/>
  <c r="J2265" i="12"/>
  <c r="F2265" i="12"/>
  <c r="J2280" i="12"/>
  <c r="F2280" i="12"/>
  <c r="F2288" i="12"/>
  <c r="J2288" i="12"/>
  <c r="J2292" i="12"/>
  <c r="F2292" i="12"/>
  <c r="F2321" i="12"/>
  <c r="J2321" i="12"/>
  <c r="J2325" i="12"/>
  <c r="F2325" i="12"/>
  <c r="J2347" i="12"/>
  <c r="F2347" i="12"/>
  <c r="J2372" i="12"/>
  <c r="F2372" i="12"/>
  <c r="F2394" i="12"/>
  <c r="J2394" i="12"/>
  <c r="F2427" i="12"/>
  <c r="J2427" i="12"/>
  <c r="J2446" i="12"/>
  <c r="F2446" i="12"/>
  <c r="J2489" i="12"/>
  <c r="F2489" i="12"/>
  <c r="F2522" i="12"/>
  <c r="J2522" i="12"/>
  <c r="F2555" i="12"/>
  <c r="J2555" i="12"/>
  <c r="J2671" i="12"/>
  <c r="F2671" i="12"/>
  <c r="J1429" i="12"/>
  <c r="F1429" i="12"/>
  <c r="J1431" i="12"/>
  <c r="F1431" i="12"/>
  <c r="J1433" i="12"/>
  <c r="F1433" i="12"/>
  <c r="J1435" i="12"/>
  <c r="F1435" i="12"/>
  <c r="J1437" i="12"/>
  <c r="F1437" i="12"/>
  <c r="J1439" i="12"/>
  <c r="F1439" i="12"/>
  <c r="J1441" i="12"/>
  <c r="F1441" i="12"/>
  <c r="J1443" i="12"/>
  <c r="F1443" i="12"/>
  <c r="J1445" i="12"/>
  <c r="F1445" i="12"/>
  <c r="J1447" i="12"/>
  <c r="F1447" i="12"/>
  <c r="J1449" i="12"/>
  <c r="F1449" i="12"/>
  <c r="J1451" i="12"/>
  <c r="F1451" i="12"/>
  <c r="J1453" i="12"/>
  <c r="F1453" i="12"/>
  <c r="J1455" i="12"/>
  <c r="F1455" i="12"/>
  <c r="J1457" i="12"/>
  <c r="F1457" i="12"/>
  <c r="J1459" i="12"/>
  <c r="F1459" i="12"/>
  <c r="J1461" i="12"/>
  <c r="F1461" i="12"/>
  <c r="J1463" i="12"/>
  <c r="F1463" i="12"/>
  <c r="J1465" i="12"/>
  <c r="F1465" i="12"/>
  <c r="J1467" i="12"/>
  <c r="F1467" i="12"/>
  <c r="J1469" i="12"/>
  <c r="F1469" i="12"/>
  <c r="J1471" i="12"/>
  <c r="F1471" i="12"/>
  <c r="J1473" i="12"/>
  <c r="F1473" i="12"/>
  <c r="J1475" i="12"/>
  <c r="F1475" i="12"/>
  <c r="J1478" i="12"/>
  <c r="F1478" i="12"/>
  <c r="I1478" i="12"/>
  <c r="H1478" i="12"/>
  <c r="J1482" i="12"/>
  <c r="F1482" i="12"/>
  <c r="I1482" i="12"/>
  <c r="H1482" i="12"/>
  <c r="J1486" i="12"/>
  <c r="F1486" i="12"/>
  <c r="I1486" i="12"/>
  <c r="H1486" i="12"/>
  <c r="J1490" i="12"/>
  <c r="F1490" i="12"/>
  <c r="I1490" i="12"/>
  <c r="H1490" i="12"/>
  <c r="J1494" i="12"/>
  <c r="F1494" i="12"/>
  <c r="I1494" i="12"/>
  <c r="H1494" i="12"/>
  <c r="J1498" i="12"/>
  <c r="F1498" i="12"/>
  <c r="I1498" i="12"/>
  <c r="H1498" i="12"/>
  <c r="J1502" i="12"/>
  <c r="F1502" i="12"/>
  <c r="I1502" i="12"/>
  <c r="H1502" i="12"/>
  <c r="J1506" i="12"/>
  <c r="F1506" i="12"/>
  <c r="I1506" i="12"/>
  <c r="H1506" i="12"/>
  <c r="J1510" i="12"/>
  <c r="F1510" i="12"/>
  <c r="I1510" i="12"/>
  <c r="H1510" i="12"/>
  <c r="J1514" i="12"/>
  <c r="F1514" i="12"/>
  <c r="I1514" i="12"/>
  <c r="H1514" i="12"/>
  <c r="J1518" i="12"/>
  <c r="F1518" i="12"/>
  <c r="I1518" i="12"/>
  <c r="H1518" i="12"/>
  <c r="J1522" i="12"/>
  <c r="F1522" i="12"/>
  <c r="I1522" i="12"/>
  <c r="H1522" i="12"/>
  <c r="J1526" i="12"/>
  <c r="F1526" i="12"/>
  <c r="I1526" i="12"/>
  <c r="H1526" i="12"/>
  <c r="J1530" i="12"/>
  <c r="F1530" i="12"/>
  <c r="I1530" i="12"/>
  <c r="H1530" i="12"/>
  <c r="J1534" i="12"/>
  <c r="F1534" i="12"/>
  <c r="I1534" i="12"/>
  <c r="H1534" i="12"/>
  <c r="J1538" i="12"/>
  <c r="F1538" i="12"/>
  <c r="I1538" i="12"/>
  <c r="H1538" i="12"/>
  <c r="J1542" i="12"/>
  <c r="F1542" i="12"/>
  <c r="I1542" i="12"/>
  <c r="H1542" i="12"/>
  <c r="J1546" i="12"/>
  <c r="F1546" i="12"/>
  <c r="I1546" i="12"/>
  <c r="H1546" i="12"/>
  <c r="J1550" i="12"/>
  <c r="F1550" i="12"/>
  <c r="I1550" i="12"/>
  <c r="H1550" i="12"/>
  <c r="J1554" i="12"/>
  <c r="F1554" i="12"/>
  <c r="I1554" i="12"/>
  <c r="H1554" i="12"/>
  <c r="J1558" i="12"/>
  <c r="F1558" i="12"/>
  <c r="I1558" i="12"/>
  <c r="H1558" i="12"/>
  <c r="J1562" i="12"/>
  <c r="F1562" i="12"/>
  <c r="I1562" i="12"/>
  <c r="H1562" i="12"/>
  <c r="J1566" i="12"/>
  <c r="F1566" i="12"/>
  <c r="I1566" i="12"/>
  <c r="H1566" i="12"/>
  <c r="J1570" i="12"/>
  <c r="F1570" i="12"/>
  <c r="I1570" i="12"/>
  <c r="H1570" i="12"/>
  <c r="J1574" i="12"/>
  <c r="F1574" i="12"/>
  <c r="I1574" i="12"/>
  <c r="H1574" i="12"/>
  <c r="J1578" i="12"/>
  <c r="F1578" i="12"/>
  <c r="I1578" i="12"/>
  <c r="H1578" i="12"/>
  <c r="J1582" i="12"/>
  <c r="F1582" i="12"/>
  <c r="I1582" i="12"/>
  <c r="H1582" i="12"/>
  <c r="J1586" i="12"/>
  <c r="F1586" i="12"/>
  <c r="I1586" i="12"/>
  <c r="H1586" i="12"/>
  <c r="J1590" i="12"/>
  <c r="F1590" i="12"/>
  <c r="I1590" i="12"/>
  <c r="H1590" i="12"/>
  <c r="J1594" i="12"/>
  <c r="F1594" i="12"/>
  <c r="I1594" i="12"/>
  <c r="H1594" i="12"/>
  <c r="J1598" i="12"/>
  <c r="F1598" i="12"/>
  <c r="I1598" i="12"/>
  <c r="H1598" i="12"/>
  <c r="J1602" i="12"/>
  <c r="F1602" i="12"/>
  <c r="I1602" i="12"/>
  <c r="H1602" i="12"/>
  <c r="J1606" i="12"/>
  <c r="F1606" i="12"/>
  <c r="I1606" i="12"/>
  <c r="H1606" i="12"/>
  <c r="J1610" i="12"/>
  <c r="F1610" i="12"/>
  <c r="I1610" i="12"/>
  <c r="H1610" i="12"/>
  <c r="J1614" i="12"/>
  <c r="F1614" i="12"/>
  <c r="I1614" i="12"/>
  <c r="H1614" i="12"/>
  <c r="J1618" i="12"/>
  <c r="F1618" i="12"/>
  <c r="I1618" i="12"/>
  <c r="H1618" i="12"/>
  <c r="J1622" i="12"/>
  <c r="F1622" i="12"/>
  <c r="I1622" i="12"/>
  <c r="H1622" i="12"/>
  <c r="F1749" i="12"/>
  <c r="J1749" i="12"/>
  <c r="F1753" i="12"/>
  <c r="J1753" i="12"/>
  <c r="J1982" i="12"/>
  <c r="F1982" i="12"/>
  <c r="F1987" i="12"/>
  <c r="J1987" i="12"/>
  <c r="J1991" i="12"/>
  <c r="F1991" i="12"/>
  <c r="F1996" i="12"/>
  <c r="J1996" i="12"/>
  <c r="F2013" i="12"/>
  <c r="J2013" i="12"/>
  <c r="J2055" i="12"/>
  <c r="F2055" i="12"/>
  <c r="F2060" i="12"/>
  <c r="J2060" i="12"/>
  <c r="F2077" i="12"/>
  <c r="J2077" i="12"/>
  <c r="J2119" i="12"/>
  <c r="F2119" i="12"/>
  <c r="F2124" i="12"/>
  <c r="J2124" i="12"/>
  <c r="F2141" i="12"/>
  <c r="J2141" i="12"/>
  <c r="J2183" i="12"/>
  <c r="F2183" i="12"/>
  <c r="F2188" i="12"/>
  <c r="J2188" i="12"/>
  <c r="J2201" i="12"/>
  <c r="F2201" i="12"/>
  <c r="J2216" i="12"/>
  <c r="F2216" i="12"/>
  <c r="F2224" i="12"/>
  <c r="J2224" i="12"/>
  <c r="J2228" i="12"/>
  <c r="F2228" i="12"/>
  <c r="F2257" i="12"/>
  <c r="J2257" i="12"/>
  <c r="J2261" i="12"/>
  <c r="F2261" i="12"/>
  <c r="J2335" i="12"/>
  <c r="F2335" i="12"/>
  <c r="J2361" i="12"/>
  <c r="F2361" i="12"/>
  <c r="J2393" i="12"/>
  <c r="F2393" i="12"/>
  <c r="F2426" i="12"/>
  <c r="J2426" i="12"/>
  <c r="F2459" i="12"/>
  <c r="J2459" i="12"/>
  <c r="J2478" i="12"/>
  <c r="F2478" i="12"/>
  <c r="J2521" i="12"/>
  <c r="F2521" i="12"/>
  <c r="F2554" i="12"/>
  <c r="J2554" i="12"/>
  <c r="J2663" i="12"/>
  <c r="F2663" i="12"/>
  <c r="J1420" i="12"/>
  <c r="F1420" i="12"/>
  <c r="J1422" i="12"/>
  <c r="F1422" i="12"/>
  <c r="J1424" i="12"/>
  <c r="F1424" i="12"/>
  <c r="J1426" i="12"/>
  <c r="F1426" i="12"/>
  <c r="J1428" i="12"/>
  <c r="F1428" i="12"/>
  <c r="J1430" i="12"/>
  <c r="F1430" i="12"/>
  <c r="J1432" i="12"/>
  <c r="F1432" i="12"/>
  <c r="J1434" i="12"/>
  <c r="F1434" i="12"/>
  <c r="J1436" i="12"/>
  <c r="F1436" i="12"/>
  <c r="J1438" i="12"/>
  <c r="F1438" i="12"/>
  <c r="J1440" i="12"/>
  <c r="F1440" i="12"/>
  <c r="J1442" i="12"/>
  <c r="F1442" i="12"/>
  <c r="J1444" i="12"/>
  <c r="F1444" i="12"/>
  <c r="J1446" i="12"/>
  <c r="F1446" i="12"/>
  <c r="J1448" i="12"/>
  <c r="F1448" i="12"/>
  <c r="J1450" i="12"/>
  <c r="F1450" i="12"/>
  <c r="J1452" i="12"/>
  <c r="F1452" i="12"/>
  <c r="J1454" i="12"/>
  <c r="F1454" i="12"/>
  <c r="J1456" i="12"/>
  <c r="F1456" i="12"/>
  <c r="J1458" i="12"/>
  <c r="F1458" i="12"/>
  <c r="J1460" i="12"/>
  <c r="F1460" i="12"/>
  <c r="J1462" i="12"/>
  <c r="F1462" i="12"/>
  <c r="J1464" i="12"/>
  <c r="F1464" i="12"/>
  <c r="J1466" i="12"/>
  <c r="F1466" i="12"/>
  <c r="J1468" i="12"/>
  <c r="F1468" i="12"/>
  <c r="J1470" i="12"/>
  <c r="F1470" i="12"/>
  <c r="J1472" i="12"/>
  <c r="F1472" i="12"/>
  <c r="J1474" i="12"/>
  <c r="F1474" i="12"/>
  <c r="J1476" i="12"/>
  <c r="F1476" i="12"/>
  <c r="I1476" i="12"/>
  <c r="H1476" i="12"/>
  <c r="F1480" i="12"/>
  <c r="J1480" i="12"/>
  <c r="I1480" i="12"/>
  <c r="H1480" i="12"/>
  <c r="J1484" i="12"/>
  <c r="F1484" i="12"/>
  <c r="I1484" i="12"/>
  <c r="H1484" i="12"/>
  <c r="F1488" i="12"/>
  <c r="J1488" i="12"/>
  <c r="I1488" i="12"/>
  <c r="H1488" i="12"/>
  <c r="J1492" i="12"/>
  <c r="F1492" i="12"/>
  <c r="I1492" i="12"/>
  <c r="H1492" i="12"/>
  <c r="F1496" i="12"/>
  <c r="J1496" i="12"/>
  <c r="I1496" i="12"/>
  <c r="H1496" i="12"/>
  <c r="J1500" i="12"/>
  <c r="F1500" i="12"/>
  <c r="I1500" i="12"/>
  <c r="H1500" i="12"/>
  <c r="F1504" i="12"/>
  <c r="J1504" i="12"/>
  <c r="I1504" i="12"/>
  <c r="H1504" i="12"/>
  <c r="J1508" i="12"/>
  <c r="F1508" i="12"/>
  <c r="I1508" i="12"/>
  <c r="H1508" i="12"/>
  <c r="F1512" i="12"/>
  <c r="J1512" i="12"/>
  <c r="I1512" i="12"/>
  <c r="H1512" i="12"/>
  <c r="J1516" i="12"/>
  <c r="F1516" i="12"/>
  <c r="I1516" i="12"/>
  <c r="H1516" i="12"/>
  <c r="F1520" i="12"/>
  <c r="J1520" i="12"/>
  <c r="I1520" i="12"/>
  <c r="H1520" i="12"/>
  <c r="J1524" i="12"/>
  <c r="F1524" i="12"/>
  <c r="I1524" i="12"/>
  <c r="H1524" i="12"/>
  <c r="F1528" i="12"/>
  <c r="J1528" i="12"/>
  <c r="I1528" i="12"/>
  <c r="H1528" i="12"/>
  <c r="J1532" i="12"/>
  <c r="F1532" i="12"/>
  <c r="I1532" i="12"/>
  <c r="H1532" i="12"/>
  <c r="F1536" i="12"/>
  <c r="J1536" i="12"/>
  <c r="I1536" i="12"/>
  <c r="H1536" i="12"/>
  <c r="J1540" i="12"/>
  <c r="F1540" i="12"/>
  <c r="I1540" i="12"/>
  <c r="H1540" i="12"/>
  <c r="F1544" i="12"/>
  <c r="J1544" i="12"/>
  <c r="I1544" i="12"/>
  <c r="H1544" i="12"/>
  <c r="J1548" i="12"/>
  <c r="F1548" i="12"/>
  <c r="I1548" i="12"/>
  <c r="H1548" i="12"/>
  <c r="F1552" i="12"/>
  <c r="J1552" i="12"/>
  <c r="I1552" i="12"/>
  <c r="H1552" i="12"/>
  <c r="J1556" i="12"/>
  <c r="F1556" i="12"/>
  <c r="I1556" i="12"/>
  <c r="H1556" i="12"/>
  <c r="F1560" i="12"/>
  <c r="J1560" i="12"/>
  <c r="I1560" i="12"/>
  <c r="H1560" i="12"/>
  <c r="J1564" i="12"/>
  <c r="F1564" i="12"/>
  <c r="I1564" i="12"/>
  <c r="H1564" i="12"/>
  <c r="F1568" i="12"/>
  <c r="J1568" i="12"/>
  <c r="I1568" i="12"/>
  <c r="H1568" i="12"/>
  <c r="J1572" i="12"/>
  <c r="F1572" i="12"/>
  <c r="I1572" i="12"/>
  <c r="H1572" i="12"/>
  <c r="F1576" i="12"/>
  <c r="J1576" i="12"/>
  <c r="I1576" i="12"/>
  <c r="H1576" i="12"/>
  <c r="J1580" i="12"/>
  <c r="F1580" i="12"/>
  <c r="I1580" i="12"/>
  <c r="H1580" i="12"/>
  <c r="F1584" i="12"/>
  <c r="J1584" i="12"/>
  <c r="I1584" i="12"/>
  <c r="H1584" i="12"/>
  <c r="J1588" i="12"/>
  <c r="F1588" i="12"/>
  <c r="I1588" i="12"/>
  <c r="H1588" i="12"/>
  <c r="F1592" i="12"/>
  <c r="J1592" i="12"/>
  <c r="I1592" i="12"/>
  <c r="H1592" i="12"/>
  <c r="J1596" i="12"/>
  <c r="F1596" i="12"/>
  <c r="I1596" i="12"/>
  <c r="H1596" i="12"/>
  <c r="F1600" i="12"/>
  <c r="J1600" i="12"/>
  <c r="I1600" i="12"/>
  <c r="H1600" i="12"/>
  <c r="J1604" i="12"/>
  <c r="F1604" i="12"/>
  <c r="I1604" i="12"/>
  <c r="H1604" i="12"/>
  <c r="F1608" i="12"/>
  <c r="J1608" i="12"/>
  <c r="I1608" i="12"/>
  <c r="H1608" i="12"/>
  <c r="J1612" i="12"/>
  <c r="F1612" i="12"/>
  <c r="I1612" i="12"/>
  <c r="H1612" i="12"/>
  <c r="F1616" i="12"/>
  <c r="J1616" i="12"/>
  <c r="I1616" i="12"/>
  <c r="H1616" i="12"/>
  <c r="J1620" i="12"/>
  <c r="F1620" i="12"/>
  <c r="I1620" i="12"/>
  <c r="H1620" i="12"/>
  <c r="F1624" i="12"/>
  <c r="J1624" i="12"/>
  <c r="I1624" i="12"/>
  <c r="H1624" i="12"/>
  <c r="F1747" i="12"/>
  <c r="J1747" i="12"/>
  <c r="F1751" i="12"/>
  <c r="J1751" i="12"/>
  <c r="J2023" i="12"/>
  <c r="F2023" i="12"/>
  <c r="F2028" i="12"/>
  <c r="J2028" i="12"/>
  <c r="F2045" i="12"/>
  <c r="J2045" i="12"/>
  <c r="J2087" i="12"/>
  <c r="F2087" i="12"/>
  <c r="F2092" i="12"/>
  <c r="J2092" i="12"/>
  <c r="F2109" i="12"/>
  <c r="J2109" i="12"/>
  <c r="J2151" i="12"/>
  <c r="F2151" i="12"/>
  <c r="F2156" i="12"/>
  <c r="J2156" i="12"/>
  <c r="F2173" i="12"/>
  <c r="J2173" i="12"/>
  <c r="J2207" i="12"/>
  <c r="F2207" i="12"/>
  <c r="J2251" i="12"/>
  <c r="F2251" i="12"/>
  <c r="J2259" i="12"/>
  <c r="F2259" i="12"/>
  <c r="J2329" i="12"/>
  <c r="F2329" i="12"/>
  <c r="J2344" i="12"/>
  <c r="F2344" i="12"/>
  <c r="F2373" i="12"/>
  <c r="J2373" i="12"/>
  <c r="F2395" i="12"/>
  <c r="J2395" i="12"/>
  <c r="J2414" i="12"/>
  <c r="F2414" i="12"/>
  <c r="J2457" i="12"/>
  <c r="F2457" i="12"/>
  <c r="F2490" i="12"/>
  <c r="J2490" i="12"/>
  <c r="F2523" i="12"/>
  <c r="J2523" i="12"/>
  <c r="J2542" i="12"/>
  <c r="F2542" i="12"/>
  <c r="J2679" i="12"/>
  <c r="F2679" i="12"/>
  <c r="J1755" i="12"/>
  <c r="F1755" i="12"/>
  <c r="J1756" i="12"/>
  <c r="F1756" i="12"/>
  <c r="J1757" i="12"/>
  <c r="F1757" i="12"/>
  <c r="J1758" i="12"/>
  <c r="F1758" i="12"/>
  <c r="J1759" i="12"/>
  <c r="F1759" i="12"/>
  <c r="J1760" i="12"/>
  <c r="F1760" i="12"/>
  <c r="J1761" i="12"/>
  <c r="F1761" i="12"/>
  <c r="J1762" i="12"/>
  <c r="F1762" i="12"/>
  <c r="J1763" i="12"/>
  <c r="F1763" i="12"/>
  <c r="J1764" i="12"/>
  <c r="F1764" i="12"/>
  <c r="J1765" i="12"/>
  <c r="F1765" i="12"/>
  <c r="J1766" i="12"/>
  <c r="F1766" i="12"/>
  <c r="J1767" i="12"/>
  <c r="F1767" i="12"/>
  <c r="J1768" i="12"/>
  <c r="F1768" i="12"/>
  <c r="J1769" i="12"/>
  <c r="F1769" i="12"/>
  <c r="J1770" i="12"/>
  <c r="F1770" i="12"/>
  <c r="J1771" i="12"/>
  <c r="F1771" i="12"/>
  <c r="J1772" i="12"/>
  <c r="F1772" i="12"/>
  <c r="J1773" i="12"/>
  <c r="F1773" i="12"/>
  <c r="J1774" i="12"/>
  <c r="F1774" i="12"/>
  <c r="J1775" i="12"/>
  <c r="F1775" i="12"/>
  <c r="J1776" i="12"/>
  <c r="F1776" i="12"/>
  <c r="J1777" i="12"/>
  <c r="F1777" i="12"/>
  <c r="J1778" i="12"/>
  <c r="F1778" i="12"/>
  <c r="J1779" i="12"/>
  <c r="F1779" i="12"/>
  <c r="J1780" i="12"/>
  <c r="F1780" i="12"/>
  <c r="J1781" i="12"/>
  <c r="F1781" i="12"/>
  <c r="J1782" i="12"/>
  <c r="F1782" i="12"/>
  <c r="J1783" i="12"/>
  <c r="F1783" i="12"/>
  <c r="J1784" i="12"/>
  <c r="F1784" i="12"/>
  <c r="J1785" i="12"/>
  <c r="F1785" i="12"/>
  <c r="J1786" i="12"/>
  <c r="F1786" i="12"/>
  <c r="J1787" i="12"/>
  <c r="F1787" i="12"/>
  <c r="J1788" i="12"/>
  <c r="F1788" i="12"/>
  <c r="J1789" i="12"/>
  <c r="F1789" i="12"/>
  <c r="J1790" i="12"/>
  <c r="F1790" i="12"/>
  <c r="J1791" i="12"/>
  <c r="F1791" i="12"/>
  <c r="J1792" i="12"/>
  <c r="F1792" i="12"/>
  <c r="J1793" i="12"/>
  <c r="F1793" i="12"/>
  <c r="J1794" i="12"/>
  <c r="F1794" i="12"/>
  <c r="J1795" i="12"/>
  <c r="F1795" i="12"/>
  <c r="J1796" i="12"/>
  <c r="F1796" i="12"/>
  <c r="J1797" i="12"/>
  <c r="F1797" i="12"/>
  <c r="J1798" i="12"/>
  <c r="F1798" i="12"/>
  <c r="J1799" i="12"/>
  <c r="F1799" i="12"/>
  <c r="J1800" i="12"/>
  <c r="F1800" i="12"/>
  <c r="J1801" i="12"/>
  <c r="F1801" i="12"/>
  <c r="J1802" i="12"/>
  <c r="F1802" i="12"/>
  <c r="F1979" i="12"/>
  <c r="J1979" i="12"/>
  <c r="F1980" i="12"/>
  <c r="J1980" i="12"/>
  <c r="F1990" i="12"/>
  <c r="J1990" i="12"/>
  <c r="J1999" i="12"/>
  <c r="F1999" i="12"/>
  <c r="F2004" i="12"/>
  <c r="J2004" i="12"/>
  <c r="F2005" i="12"/>
  <c r="J2005" i="12"/>
  <c r="J2015" i="12"/>
  <c r="F2015" i="12"/>
  <c r="F2020" i="12"/>
  <c r="J2020" i="12"/>
  <c r="F2021" i="12"/>
  <c r="J2021" i="12"/>
  <c r="J2031" i="12"/>
  <c r="F2031" i="12"/>
  <c r="F2036" i="12"/>
  <c r="J2036" i="12"/>
  <c r="F2037" i="12"/>
  <c r="J2037" i="12"/>
  <c r="J2047" i="12"/>
  <c r="F2047" i="12"/>
  <c r="F2052" i="12"/>
  <c r="J2052" i="12"/>
  <c r="F2053" i="12"/>
  <c r="J2053" i="12"/>
  <c r="J2063" i="12"/>
  <c r="F2063" i="12"/>
  <c r="F2068" i="12"/>
  <c r="J2068" i="12"/>
  <c r="F2069" i="12"/>
  <c r="J2069" i="12"/>
  <c r="J2079" i="12"/>
  <c r="F2079" i="12"/>
  <c r="F2084" i="12"/>
  <c r="J2084" i="12"/>
  <c r="F2085" i="12"/>
  <c r="J2085" i="12"/>
  <c r="J2095" i="12"/>
  <c r="F2095" i="12"/>
  <c r="F2100" i="12"/>
  <c r="J2100" i="12"/>
  <c r="F2101" i="12"/>
  <c r="J2101" i="12"/>
  <c r="J2111" i="12"/>
  <c r="F2111" i="12"/>
  <c r="F2116" i="12"/>
  <c r="J2116" i="12"/>
  <c r="F2117" i="12"/>
  <c r="J2117" i="12"/>
  <c r="J2127" i="12"/>
  <c r="F2127" i="12"/>
  <c r="F2132" i="12"/>
  <c r="J2132" i="12"/>
  <c r="F2133" i="12"/>
  <c r="J2133" i="12"/>
  <c r="J2143" i="12"/>
  <c r="F2143" i="12"/>
  <c r="F2148" i="12"/>
  <c r="J2148" i="12"/>
  <c r="F2149" i="12"/>
  <c r="J2149" i="12"/>
  <c r="J2159" i="12"/>
  <c r="F2159" i="12"/>
  <c r="F2164" i="12"/>
  <c r="J2164" i="12"/>
  <c r="F2165" i="12"/>
  <c r="J2165" i="12"/>
  <c r="J2175" i="12"/>
  <c r="F2175" i="12"/>
  <c r="F2180" i="12"/>
  <c r="J2180" i="12"/>
  <c r="F2181" i="12"/>
  <c r="J2181" i="12"/>
  <c r="J2191" i="12"/>
  <c r="F2191" i="12"/>
  <c r="J2196" i="12"/>
  <c r="F2196" i="12"/>
  <c r="J2219" i="12"/>
  <c r="F2219" i="12"/>
  <c r="F2225" i="12"/>
  <c r="J2225" i="12"/>
  <c r="J2227" i="12"/>
  <c r="F2227" i="12"/>
  <c r="J2229" i="12"/>
  <c r="F2229" i="12"/>
  <c r="J2233" i="12"/>
  <c r="F2233" i="12"/>
  <c r="J2239" i="12"/>
  <c r="F2239" i="12"/>
  <c r="J2248" i="12"/>
  <c r="F2248" i="12"/>
  <c r="F2256" i="12"/>
  <c r="J2256" i="12"/>
  <c r="J2260" i="12"/>
  <c r="F2260" i="12"/>
  <c r="J2283" i="12"/>
  <c r="F2283" i="12"/>
  <c r="F2289" i="12"/>
  <c r="J2289" i="12"/>
  <c r="J2291" i="12"/>
  <c r="F2291" i="12"/>
  <c r="J2293" i="12"/>
  <c r="F2293" i="12"/>
  <c r="J2297" i="12"/>
  <c r="F2297" i="12"/>
  <c r="J2303" i="12"/>
  <c r="F2303" i="12"/>
  <c r="J2312" i="12"/>
  <c r="F2312" i="12"/>
  <c r="F2320" i="12"/>
  <c r="J2320" i="12"/>
  <c r="J2324" i="12"/>
  <c r="F2324" i="12"/>
  <c r="J2356" i="12"/>
  <c r="F2356" i="12"/>
  <c r="F2357" i="12"/>
  <c r="J2357" i="12"/>
  <c r="F2358" i="12"/>
  <c r="J2358" i="12"/>
  <c r="J2377" i="12"/>
  <c r="F2377" i="12"/>
  <c r="F2379" i="12"/>
  <c r="J2379" i="12"/>
  <c r="J2398" i="12"/>
  <c r="F2398" i="12"/>
  <c r="J2409" i="12"/>
  <c r="F2409" i="12"/>
  <c r="F2410" i="12"/>
  <c r="J2410" i="12"/>
  <c r="F2411" i="12"/>
  <c r="J2411" i="12"/>
  <c r="J2430" i="12"/>
  <c r="F2430" i="12"/>
  <c r="J2441" i="12"/>
  <c r="F2441" i="12"/>
  <c r="F2442" i="12"/>
  <c r="J2442" i="12"/>
  <c r="F2443" i="12"/>
  <c r="J2443" i="12"/>
  <c r="J2462" i="12"/>
  <c r="F2462" i="12"/>
  <c r="J2473" i="12"/>
  <c r="F2473" i="12"/>
  <c r="F2474" i="12"/>
  <c r="J2474" i="12"/>
  <c r="F2475" i="12"/>
  <c r="J2475" i="12"/>
  <c r="J2494" i="12"/>
  <c r="F2494" i="12"/>
  <c r="J2505" i="12"/>
  <c r="F2505" i="12"/>
  <c r="F2506" i="12"/>
  <c r="J2506" i="12"/>
  <c r="F2507" i="12"/>
  <c r="J2507" i="12"/>
  <c r="J2526" i="12"/>
  <c r="F2526" i="12"/>
  <c r="J2537" i="12"/>
  <c r="F2537" i="12"/>
  <c r="F2538" i="12"/>
  <c r="J2538" i="12"/>
  <c r="F2539" i="12"/>
  <c r="J2539" i="12"/>
  <c r="J2558" i="12"/>
  <c r="F2558" i="12"/>
  <c r="J2667" i="12"/>
  <c r="F2667" i="12"/>
  <c r="J2675" i="12"/>
  <c r="F2675" i="12"/>
  <c r="F2683" i="12"/>
  <c r="J2683" i="12"/>
  <c r="F1804" i="12"/>
  <c r="J1804" i="12"/>
  <c r="F1806" i="12"/>
  <c r="J1806" i="12"/>
  <c r="F1808" i="12"/>
  <c r="J1808" i="12"/>
  <c r="F1810" i="12"/>
  <c r="J1810" i="12"/>
  <c r="F1812" i="12"/>
  <c r="J1812" i="12"/>
  <c r="F1814" i="12"/>
  <c r="J1814" i="12"/>
  <c r="F1816" i="12"/>
  <c r="J1816" i="12"/>
  <c r="F1818" i="12"/>
  <c r="J1818" i="12"/>
  <c r="F1820" i="12"/>
  <c r="J1820" i="12"/>
  <c r="F1822" i="12"/>
  <c r="J1822" i="12"/>
  <c r="F1824" i="12"/>
  <c r="J1824" i="12"/>
  <c r="F1826" i="12"/>
  <c r="J1826" i="12"/>
  <c r="F1828" i="12"/>
  <c r="J1828" i="12"/>
  <c r="F1830" i="12"/>
  <c r="J1830" i="12"/>
  <c r="F1832" i="12"/>
  <c r="J1832" i="12"/>
  <c r="F1834" i="12"/>
  <c r="J1834" i="12"/>
  <c r="F1836" i="12"/>
  <c r="J1836" i="12"/>
  <c r="F1838" i="12"/>
  <c r="J1838" i="12"/>
  <c r="F1840" i="12"/>
  <c r="J1840" i="12"/>
  <c r="F1842" i="12"/>
  <c r="J1842" i="12"/>
  <c r="F1844" i="12"/>
  <c r="J1844" i="12"/>
  <c r="F1846" i="12"/>
  <c r="J1846" i="12"/>
  <c r="F1848" i="12"/>
  <c r="J1848" i="12"/>
  <c r="F1850" i="12"/>
  <c r="J1850" i="12"/>
  <c r="F1852" i="12"/>
  <c r="J1852" i="12"/>
  <c r="F1854" i="12"/>
  <c r="J1854" i="12"/>
  <c r="F1856" i="12"/>
  <c r="J1856" i="12"/>
  <c r="F1858" i="12"/>
  <c r="J1858" i="12"/>
  <c r="F1860" i="12"/>
  <c r="J1860" i="12"/>
  <c r="F1862" i="12"/>
  <c r="J1862" i="12"/>
  <c r="F1864" i="12"/>
  <c r="J1864" i="12"/>
  <c r="F1866" i="12"/>
  <c r="J1866" i="12"/>
  <c r="F1868" i="12"/>
  <c r="J1868" i="12"/>
  <c r="F1870" i="12"/>
  <c r="J1870" i="12"/>
  <c r="F1872" i="12"/>
  <c r="J1872" i="12"/>
  <c r="F1874" i="12"/>
  <c r="J1874" i="12"/>
  <c r="F1876" i="12"/>
  <c r="J1876" i="12"/>
  <c r="F1878" i="12"/>
  <c r="J1878" i="12"/>
  <c r="F1880" i="12"/>
  <c r="J1880" i="12"/>
  <c r="F1882" i="12"/>
  <c r="J1882" i="12"/>
  <c r="F1884" i="12"/>
  <c r="J1884" i="12"/>
  <c r="F1886" i="12"/>
  <c r="J1886" i="12"/>
  <c r="F1888" i="12"/>
  <c r="J1888" i="12"/>
  <c r="F1890" i="12"/>
  <c r="J1890" i="12"/>
  <c r="F1892" i="12"/>
  <c r="J1892" i="12"/>
  <c r="F1894" i="12"/>
  <c r="J1894" i="12"/>
  <c r="F1896" i="12"/>
  <c r="J1896" i="12"/>
  <c r="F1898" i="12"/>
  <c r="J1898" i="12"/>
  <c r="F1900" i="12"/>
  <c r="J1900" i="12"/>
  <c r="F1902" i="12"/>
  <c r="J1902" i="12"/>
  <c r="F1904" i="12"/>
  <c r="J1904" i="12"/>
  <c r="F1906" i="12"/>
  <c r="J1906" i="12"/>
  <c r="F1908" i="12"/>
  <c r="J1908" i="12"/>
  <c r="F1910" i="12"/>
  <c r="J1910" i="12"/>
  <c r="F1912" i="12"/>
  <c r="J1912" i="12"/>
  <c r="F1914" i="12"/>
  <c r="J1914" i="12"/>
  <c r="F1916" i="12"/>
  <c r="J1916" i="12"/>
  <c r="F1918" i="12"/>
  <c r="J1918" i="12"/>
  <c r="F1920" i="12"/>
  <c r="J1920" i="12"/>
  <c r="F1922" i="12"/>
  <c r="J1922" i="12"/>
  <c r="F1924" i="12"/>
  <c r="J1924" i="12"/>
  <c r="F1926" i="12"/>
  <c r="J1926" i="12"/>
  <c r="F1928" i="12"/>
  <c r="J1928" i="12"/>
  <c r="F1930" i="12"/>
  <c r="J1930" i="12"/>
  <c r="F1932" i="12"/>
  <c r="J1932" i="12"/>
  <c r="F1934" i="12"/>
  <c r="J1934" i="12"/>
  <c r="F1936" i="12"/>
  <c r="J1936" i="12"/>
  <c r="F1938" i="12"/>
  <c r="J1938" i="12"/>
  <c r="F1940" i="12"/>
  <c r="J1940" i="12"/>
  <c r="F1942" i="12"/>
  <c r="J1942" i="12"/>
  <c r="F1944" i="12"/>
  <c r="J1944" i="12"/>
  <c r="F1946" i="12"/>
  <c r="J1946" i="12"/>
  <c r="F1948" i="12"/>
  <c r="J1948" i="12"/>
  <c r="F1950" i="12"/>
  <c r="J1950" i="12"/>
  <c r="F1952" i="12"/>
  <c r="J1952" i="12"/>
  <c r="F1954" i="12"/>
  <c r="J1954" i="12"/>
  <c r="F1956" i="12"/>
  <c r="J1956" i="12"/>
  <c r="F1958" i="12"/>
  <c r="J1958" i="12"/>
  <c r="F1960" i="12"/>
  <c r="J1960" i="12"/>
  <c r="F1962" i="12"/>
  <c r="J1962" i="12"/>
  <c r="F1964" i="12"/>
  <c r="J1964" i="12"/>
  <c r="F1966" i="12"/>
  <c r="J1966" i="12"/>
  <c r="F1968" i="12"/>
  <c r="J1968" i="12"/>
  <c r="F1970" i="12"/>
  <c r="J1970" i="12"/>
  <c r="F1972" i="12"/>
  <c r="J1972" i="12"/>
  <c r="F1974" i="12"/>
  <c r="J1974" i="12"/>
  <c r="F1976" i="12"/>
  <c r="J1976" i="12"/>
  <c r="J1978" i="12"/>
  <c r="F1978" i="12"/>
  <c r="J1983" i="12"/>
  <c r="F1983" i="12"/>
  <c r="J1984" i="12"/>
  <c r="F1984" i="12"/>
  <c r="J1992" i="12"/>
  <c r="F1992" i="12"/>
  <c r="J1993" i="12"/>
  <c r="F1993" i="12"/>
  <c r="J2003" i="12"/>
  <c r="F2003" i="12"/>
  <c r="J2008" i="12"/>
  <c r="F2008" i="12"/>
  <c r="J2009" i="12"/>
  <c r="F2009" i="12"/>
  <c r="J2019" i="12"/>
  <c r="F2019" i="12"/>
  <c r="J2024" i="12"/>
  <c r="F2024" i="12"/>
  <c r="J2025" i="12"/>
  <c r="F2025" i="12"/>
  <c r="J2035" i="12"/>
  <c r="F2035" i="12"/>
  <c r="J2040" i="12"/>
  <c r="F2040" i="12"/>
  <c r="J2041" i="12"/>
  <c r="F2041" i="12"/>
  <c r="J2051" i="12"/>
  <c r="F2051" i="12"/>
  <c r="J2056" i="12"/>
  <c r="F2056" i="12"/>
  <c r="J2057" i="12"/>
  <c r="F2057" i="12"/>
  <c r="J2067" i="12"/>
  <c r="F2067" i="12"/>
  <c r="J2072" i="12"/>
  <c r="F2072" i="12"/>
  <c r="J2073" i="12"/>
  <c r="F2073" i="12"/>
  <c r="J2083" i="12"/>
  <c r="F2083" i="12"/>
  <c r="J2088" i="12"/>
  <c r="F2088" i="12"/>
  <c r="J2089" i="12"/>
  <c r="F2089" i="12"/>
  <c r="J2099" i="12"/>
  <c r="F2099" i="12"/>
  <c r="J2104" i="12"/>
  <c r="F2104" i="12"/>
  <c r="J2105" i="12"/>
  <c r="F2105" i="12"/>
  <c r="J2115" i="12"/>
  <c r="F2115" i="12"/>
  <c r="J2120" i="12"/>
  <c r="F2120" i="12"/>
  <c r="J2121" i="12"/>
  <c r="F2121" i="12"/>
  <c r="J2131" i="12"/>
  <c r="F2131" i="12"/>
  <c r="J2136" i="12"/>
  <c r="F2136" i="12"/>
  <c r="J2137" i="12"/>
  <c r="F2137" i="12"/>
  <c r="J2147" i="12"/>
  <c r="F2147" i="12"/>
  <c r="J2152" i="12"/>
  <c r="F2152" i="12"/>
  <c r="J2153" i="12"/>
  <c r="F2153" i="12"/>
  <c r="J2163" i="12"/>
  <c r="F2163" i="12"/>
  <c r="J2168" i="12"/>
  <c r="F2168" i="12"/>
  <c r="J2169" i="12"/>
  <c r="F2169" i="12"/>
  <c r="J2179" i="12"/>
  <c r="F2179" i="12"/>
  <c r="J2184" i="12"/>
  <c r="F2184" i="12"/>
  <c r="J2185" i="12"/>
  <c r="F2185" i="12"/>
  <c r="J2195" i="12"/>
  <c r="F2195" i="12"/>
  <c r="J2203" i="12"/>
  <c r="F2203" i="12"/>
  <c r="F2209" i="12"/>
  <c r="J2209" i="12"/>
  <c r="J2211" i="12"/>
  <c r="F2211" i="12"/>
  <c r="J2213" i="12"/>
  <c r="F2213" i="12"/>
  <c r="F2217" i="12"/>
  <c r="J2217" i="12"/>
  <c r="J2223" i="12"/>
  <c r="F2223" i="12"/>
  <c r="F2232" i="12"/>
  <c r="J2232" i="12"/>
  <c r="F2240" i="12"/>
  <c r="J2240" i="12"/>
  <c r="J2244" i="12"/>
  <c r="F2244" i="12"/>
  <c r="J2267" i="12"/>
  <c r="F2267" i="12"/>
  <c r="F2273" i="12"/>
  <c r="J2273" i="12"/>
  <c r="J2275" i="12"/>
  <c r="F2275" i="12"/>
  <c r="J2277" i="12"/>
  <c r="F2277" i="12"/>
  <c r="F2281" i="12"/>
  <c r="J2281" i="12"/>
  <c r="J2287" i="12"/>
  <c r="F2287" i="12"/>
  <c r="F2296" i="12"/>
  <c r="J2296" i="12"/>
  <c r="F2304" i="12"/>
  <c r="J2304" i="12"/>
  <c r="J2308" i="12"/>
  <c r="F2308" i="12"/>
  <c r="J2331" i="12"/>
  <c r="F2331" i="12"/>
  <c r="F2337" i="12"/>
  <c r="J2337" i="12"/>
  <c r="J2339" i="12"/>
  <c r="F2339" i="12"/>
  <c r="J2341" i="12"/>
  <c r="F2341" i="12"/>
  <c r="J2351" i="12"/>
  <c r="F2351" i="12"/>
  <c r="F2352" i="12"/>
  <c r="J2352" i="12"/>
  <c r="F2353" i="12"/>
  <c r="J2353" i="12"/>
  <c r="F2378" i="12"/>
  <c r="J2378" i="12"/>
  <c r="J2399" i="12"/>
  <c r="F2399" i="12"/>
  <c r="J2405" i="12"/>
  <c r="F2405" i="12"/>
  <c r="J2431" i="12"/>
  <c r="F2431" i="12"/>
  <c r="J2437" i="12"/>
  <c r="F2437" i="12"/>
  <c r="J2463" i="12"/>
  <c r="F2463" i="12"/>
  <c r="J2469" i="12"/>
  <c r="F2469" i="12"/>
  <c r="J2495" i="12"/>
  <c r="F2495" i="12"/>
  <c r="J2501" i="12"/>
  <c r="F2501" i="12"/>
  <c r="J2527" i="12"/>
  <c r="F2527" i="12"/>
  <c r="J2533" i="12"/>
  <c r="F2533" i="12"/>
  <c r="J2559" i="12"/>
  <c r="F2559" i="12"/>
  <c r="F2571" i="12"/>
  <c r="J2571" i="12"/>
  <c r="J2574" i="12"/>
  <c r="F2574" i="12"/>
  <c r="F2587" i="12"/>
  <c r="J2587" i="12"/>
  <c r="J2590" i="12"/>
  <c r="F2590" i="12"/>
  <c r="F2603" i="12"/>
  <c r="J2603" i="12"/>
  <c r="J2606" i="12"/>
  <c r="F2606" i="12"/>
  <c r="F2619" i="12"/>
  <c r="J2619" i="12"/>
  <c r="J2622" i="12"/>
  <c r="F2622" i="12"/>
  <c r="F2632" i="12"/>
  <c r="J2632" i="12"/>
  <c r="J2635" i="12"/>
  <c r="F2635" i="12"/>
  <c r="F2648" i="12"/>
  <c r="J2648" i="12"/>
  <c r="J2651" i="12"/>
  <c r="F2651" i="12"/>
  <c r="J2662" i="12"/>
  <c r="F2662" i="12"/>
  <c r="J2670" i="12"/>
  <c r="F2670" i="12"/>
  <c r="J2678" i="12"/>
  <c r="F2678" i="12"/>
  <c r="F2688" i="12"/>
  <c r="J2688" i="12"/>
  <c r="F2702" i="12"/>
  <c r="J2702" i="12"/>
  <c r="J2705" i="12"/>
  <c r="F2705" i="12"/>
  <c r="F2718" i="12"/>
  <c r="J2718" i="12"/>
  <c r="J2721" i="12"/>
  <c r="F2721" i="12"/>
  <c r="F2734" i="12"/>
  <c r="J2734" i="12"/>
  <c r="J2737" i="12"/>
  <c r="F2737" i="12"/>
  <c r="F1833" i="12"/>
  <c r="J1833" i="12"/>
  <c r="F1835" i="12"/>
  <c r="J1835" i="12"/>
  <c r="F1837" i="12"/>
  <c r="J1837" i="12"/>
  <c r="F1839" i="12"/>
  <c r="J1839" i="12"/>
  <c r="F1841" i="12"/>
  <c r="J1841" i="12"/>
  <c r="F1843" i="12"/>
  <c r="J1843" i="12"/>
  <c r="F1845" i="12"/>
  <c r="J1845" i="12"/>
  <c r="F1847" i="12"/>
  <c r="J1847" i="12"/>
  <c r="F1849" i="12"/>
  <c r="J1849" i="12"/>
  <c r="F1851" i="12"/>
  <c r="J1851" i="12"/>
  <c r="F1853" i="12"/>
  <c r="J1853" i="12"/>
  <c r="F1855" i="12"/>
  <c r="J1855" i="12"/>
  <c r="F1857" i="12"/>
  <c r="J1857" i="12"/>
  <c r="F1859" i="12"/>
  <c r="J1859" i="12"/>
  <c r="F1861" i="12"/>
  <c r="J1861" i="12"/>
  <c r="F1863" i="12"/>
  <c r="J1863" i="12"/>
  <c r="F1865" i="12"/>
  <c r="J1865" i="12"/>
  <c r="F1867" i="12"/>
  <c r="J1867" i="12"/>
  <c r="F1869" i="12"/>
  <c r="J1869" i="12"/>
  <c r="F1871" i="12"/>
  <c r="J1871" i="12"/>
  <c r="F1873" i="12"/>
  <c r="J1873" i="12"/>
  <c r="F1875" i="12"/>
  <c r="J1875" i="12"/>
  <c r="F1877" i="12"/>
  <c r="J1877" i="12"/>
  <c r="F1879" i="12"/>
  <c r="J1879" i="12"/>
  <c r="F1881" i="12"/>
  <c r="J1881" i="12"/>
  <c r="F1883" i="12"/>
  <c r="J1883" i="12"/>
  <c r="F1885" i="12"/>
  <c r="J1885" i="12"/>
  <c r="F1887" i="12"/>
  <c r="J1887" i="12"/>
  <c r="F1889" i="12"/>
  <c r="J1889" i="12"/>
  <c r="F1891" i="12"/>
  <c r="J1891" i="12"/>
  <c r="F1893" i="12"/>
  <c r="J1893" i="12"/>
  <c r="F1895" i="12"/>
  <c r="J1895" i="12"/>
  <c r="F1897" i="12"/>
  <c r="J1897" i="12"/>
  <c r="F1899" i="12"/>
  <c r="J1899" i="12"/>
  <c r="F1901" i="12"/>
  <c r="J1901" i="12"/>
  <c r="F1903" i="12"/>
  <c r="J1903" i="12"/>
  <c r="F1905" i="12"/>
  <c r="J1905" i="12"/>
  <c r="F1907" i="12"/>
  <c r="J1907" i="12"/>
  <c r="F1909" i="12"/>
  <c r="J1909" i="12"/>
  <c r="F1911" i="12"/>
  <c r="J1911" i="12"/>
  <c r="F1913" i="12"/>
  <c r="J1913" i="12"/>
  <c r="F1915" i="12"/>
  <c r="J1915" i="12"/>
  <c r="F1917" i="12"/>
  <c r="J1917" i="12"/>
  <c r="F1919" i="12"/>
  <c r="J1919" i="12"/>
  <c r="F1921" i="12"/>
  <c r="J1921" i="12"/>
  <c r="F1923" i="12"/>
  <c r="J1923" i="12"/>
  <c r="F1925" i="12"/>
  <c r="J1925" i="12"/>
  <c r="F1927" i="12"/>
  <c r="J1927" i="12"/>
  <c r="F1929" i="12"/>
  <c r="J1929" i="12"/>
  <c r="F1931" i="12"/>
  <c r="J1931" i="12"/>
  <c r="F1933" i="12"/>
  <c r="J1933" i="12"/>
  <c r="F1935" i="12"/>
  <c r="J1935" i="12"/>
  <c r="F1937" i="12"/>
  <c r="J1937" i="12"/>
  <c r="F1939" i="12"/>
  <c r="J1939" i="12"/>
  <c r="F1941" i="12"/>
  <c r="J1941" i="12"/>
  <c r="F1943" i="12"/>
  <c r="J1943" i="12"/>
  <c r="F1945" i="12"/>
  <c r="J1945" i="12"/>
  <c r="F1947" i="12"/>
  <c r="J1947" i="12"/>
  <c r="F1949" i="12"/>
  <c r="J1949" i="12"/>
  <c r="F1951" i="12"/>
  <c r="J1951" i="12"/>
  <c r="F1953" i="12"/>
  <c r="J1953" i="12"/>
  <c r="F1955" i="12"/>
  <c r="J1955" i="12"/>
  <c r="F1957" i="12"/>
  <c r="J1957" i="12"/>
  <c r="F1959" i="12"/>
  <c r="J1959" i="12"/>
  <c r="F1961" i="12"/>
  <c r="J1961" i="12"/>
  <c r="F1963" i="12"/>
  <c r="J1963" i="12"/>
  <c r="F1965" i="12"/>
  <c r="J1965" i="12"/>
  <c r="F1967" i="12"/>
  <c r="J1967" i="12"/>
  <c r="F1969" i="12"/>
  <c r="J1969" i="12"/>
  <c r="F1971" i="12"/>
  <c r="J1971" i="12"/>
  <c r="F1973" i="12"/>
  <c r="J1973" i="12"/>
  <c r="F1975" i="12"/>
  <c r="J1975" i="12"/>
  <c r="F1977" i="12"/>
  <c r="J1977" i="12"/>
  <c r="J1986" i="12"/>
  <c r="F1986" i="12"/>
  <c r="J1995" i="12"/>
  <c r="F1995" i="12"/>
  <c r="J2000" i="12"/>
  <c r="F2000" i="12"/>
  <c r="J2001" i="12"/>
  <c r="F2001" i="12"/>
  <c r="J2011" i="12"/>
  <c r="F2011" i="12"/>
  <c r="J2016" i="12"/>
  <c r="F2016" i="12"/>
  <c r="J2017" i="12"/>
  <c r="F2017" i="12"/>
  <c r="J2027" i="12"/>
  <c r="F2027" i="12"/>
  <c r="J2032" i="12"/>
  <c r="F2032" i="12"/>
  <c r="J2033" i="12"/>
  <c r="F2033" i="12"/>
  <c r="J2043" i="12"/>
  <c r="F2043" i="12"/>
  <c r="J2048" i="12"/>
  <c r="F2048" i="12"/>
  <c r="J2049" i="12"/>
  <c r="F2049" i="12"/>
  <c r="J2059" i="12"/>
  <c r="F2059" i="12"/>
  <c r="J2064" i="12"/>
  <c r="F2064" i="12"/>
  <c r="J2065" i="12"/>
  <c r="F2065" i="12"/>
  <c r="J2075" i="12"/>
  <c r="F2075" i="12"/>
  <c r="J2080" i="12"/>
  <c r="F2080" i="12"/>
  <c r="J2081" i="12"/>
  <c r="F2081" i="12"/>
  <c r="J2091" i="12"/>
  <c r="F2091" i="12"/>
  <c r="J2096" i="12"/>
  <c r="F2096" i="12"/>
  <c r="J2097" i="12"/>
  <c r="F2097" i="12"/>
  <c r="J2107" i="12"/>
  <c r="F2107" i="12"/>
  <c r="J2112" i="12"/>
  <c r="F2112" i="12"/>
  <c r="J2113" i="12"/>
  <c r="F2113" i="12"/>
  <c r="J2123" i="12"/>
  <c r="F2123" i="12"/>
  <c r="J2128" i="12"/>
  <c r="F2128" i="12"/>
  <c r="J2129" i="12"/>
  <c r="F2129" i="12"/>
  <c r="J2139" i="12"/>
  <c r="F2139" i="12"/>
  <c r="J2144" i="12"/>
  <c r="F2144" i="12"/>
  <c r="J2145" i="12"/>
  <c r="F2145" i="12"/>
  <c r="J2155" i="12"/>
  <c r="F2155" i="12"/>
  <c r="J2160" i="12"/>
  <c r="F2160" i="12"/>
  <c r="J2161" i="12"/>
  <c r="F2161" i="12"/>
  <c r="J2171" i="12"/>
  <c r="F2171" i="12"/>
  <c r="J2176" i="12"/>
  <c r="F2176" i="12"/>
  <c r="J2177" i="12"/>
  <c r="F2177" i="12"/>
  <c r="J2187" i="12"/>
  <c r="F2187" i="12"/>
  <c r="J2192" i="12"/>
  <c r="F2192" i="12"/>
  <c r="J2193" i="12"/>
  <c r="F2193" i="12"/>
  <c r="F2200" i="12"/>
  <c r="J2200" i="12"/>
  <c r="F2208" i="12"/>
  <c r="J2208" i="12"/>
  <c r="J2212" i="12"/>
  <c r="F2212" i="12"/>
  <c r="J2235" i="12"/>
  <c r="F2235" i="12"/>
  <c r="F2241" i="12"/>
  <c r="J2241" i="12"/>
  <c r="J2243" i="12"/>
  <c r="F2243" i="12"/>
  <c r="J2245" i="12"/>
  <c r="F2245" i="12"/>
  <c r="F2249" i="12"/>
  <c r="J2249" i="12"/>
  <c r="J2255" i="12"/>
  <c r="F2255" i="12"/>
  <c r="F2264" i="12"/>
  <c r="J2264" i="12"/>
  <c r="F2272" i="12"/>
  <c r="J2272" i="12"/>
  <c r="J2276" i="12"/>
  <c r="F2276" i="12"/>
  <c r="J2299" i="12"/>
  <c r="F2299" i="12"/>
  <c r="F2305" i="12"/>
  <c r="J2305" i="12"/>
  <c r="J2307" i="12"/>
  <c r="F2307" i="12"/>
  <c r="J2309" i="12"/>
  <c r="F2309" i="12"/>
  <c r="F2313" i="12"/>
  <c r="J2313" i="12"/>
  <c r="J2319" i="12"/>
  <c r="F2319" i="12"/>
  <c r="F2328" i="12"/>
  <c r="J2328" i="12"/>
  <c r="F2336" i="12"/>
  <c r="J2336" i="12"/>
  <c r="J2340" i="12"/>
  <c r="F2340" i="12"/>
  <c r="J2362" i="12"/>
  <c r="F2362" i="12"/>
  <c r="J2368" i="12"/>
  <c r="F2368" i="12"/>
  <c r="J2383" i="12"/>
  <c r="F2383" i="12"/>
  <c r="J2389" i="12"/>
  <c r="F2389" i="12"/>
  <c r="J2415" i="12"/>
  <c r="F2415" i="12"/>
  <c r="J2421" i="12"/>
  <c r="F2421" i="12"/>
  <c r="J2447" i="12"/>
  <c r="F2447" i="12"/>
  <c r="J2453" i="12"/>
  <c r="F2453" i="12"/>
  <c r="J2479" i="12"/>
  <c r="F2479" i="12"/>
  <c r="J2485" i="12"/>
  <c r="F2485" i="12"/>
  <c r="J2511" i="12"/>
  <c r="F2511" i="12"/>
  <c r="J2517" i="12"/>
  <c r="F2517" i="12"/>
  <c r="J2543" i="12"/>
  <c r="F2543" i="12"/>
  <c r="J2549" i="12"/>
  <c r="F2549" i="12"/>
  <c r="F2563" i="12"/>
  <c r="J2563" i="12"/>
  <c r="J2566" i="12"/>
  <c r="F2566" i="12"/>
  <c r="F2579" i="12"/>
  <c r="J2579" i="12"/>
  <c r="J2582" i="12"/>
  <c r="F2582" i="12"/>
  <c r="F2595" i="12"/>
  <c r="J2595" i="12"/>
  <c r="J2598" i="12"/>
  <c r="F2598" i="12"/>
  <c r="F2611" i="12"/>
  <c r="J2611" i="12"/>
  <c r="J2614" i="12"/>
  <c r="F2614" i="12"/>
  <c r="F2627" i="12"/>
  <c r="J2627" i="12"/>
  <c r="F2640" i="12"/>
  <c r="J2640" i="12"/>
  <c r="J2643" i="12"/>
  <c r="F2643" i="12"/>
  <c r="F2656" i="12"/>
  <c r="J2656" i="12"/>
  <c r="J2659" i="12"/>
  <c r="F2659" i="12"/>
  <c r="J2666" i="12"/>
  <c r="F2666" i="12"/>
  <c r="J2674" i="12"/>
  <c r="F2674" i="12"/>
  <c r="J2682" i="12"/>
  <c r="F2682" i="12"/>
  <c r="J2697" i="12"/>
  <c r="F2697" i="12"/>
  <c r="F2710" i="12"/>
  <c r="J2710" i="12"/>
  <c r="J2713" i="12"/>
  <c r="F2713" i="12"/>
  <c r="F2726" i="12"/>
  <c r="J2726" i="12"/>
  <c r="J2729" i="12"/>
  <c r="F2729" i="12"/>
  <c r="F2742" i="12"/>
  <c r="J2742" i="12"/>
  <c r="J2745" i="12"/>
  <c r="F2745" i="12"/>
  <c r="J2345" i="12"/>
  <c r="F2345" i="12"/>
  <c r="J2360" i="12"/>
  <c r="F2360" i="12"/>
  <c r="F2365" i="12"/>
  <c r="J2365" i="12"/>
  <c r="F2366" i="12"/>
  <c r="J2366" i="12"/>
  <c r="J2376" i="12"/>
  <c r="F2376" i="12"/>
  <c r="J2381" i="12"/>
  <c r="F2381" i="12"/>
  <c r="F2386" i="12"/>
  <c r="J2386" i="12"/>
  <c r="F2387" i="12"/>
  <c r="J2387" i="12"/>
  <c r="J2397" i="12"/>
  <c r="F2397" i="12"/>
  <c r="F2402" i="12"/>
  <c r="J2402" i="12"/>
  <c r="F2403" i="12"/>
  <c r="J2403" i="12"/>
  <c r="J2413" i="12"/>
  <c r="F2413" i="12"/>
  <c r="F2418" i="12"/>
  <c r="J2418" i="12"/>
  <c r="F2419" i="12"/>
  <c r="J2419" i="12"/>
  <c r="J2429" i="12"/>
  <c r="F2429" i="12"/>
  <c r="F2434" i="12"/>
  <c r="J2434" i="12"/>
  <c r="F2435" i="12"/>
  <c r="J2435" i="12"/>
  <c r="J2445" i="12"/>
  <c r="F2445" i="12"/>
  <c r="F2450" i="12"/>
  <c r="J2450" i="12"/>
  <c r="F2451" i="12"/>
  <c r="J2451" i="12"/>
  <c r="J2461" i="12"/>
  <c r="F2461" i="12"/>
  <c r="F2466" i="12"/>
  <c r="J2466" i="12"/>
  <c r="F2467" i="12"/>
  <c r="J2467" i="12"/>
  <c r="J2477" i="12"/>
  <c r="F2477" i="12"/>
  <c r="F2482" i="12"/>
  <c r="J2482" i="12"/>
  <c r="F2483" i="12"/>
  <c r="J2483" i="12"/>
  <c r="J2493" i="12"/>
  <c r="F2493" i="12"/>
  <c r="F2498" i="12"/>
  <c r="J2498" i="12"/>
  <c r="F2499" i="12"/>
  <c r="J2499" i="12"/>
  <c r="J2509" i="12"/>
  <c r="F2509" i="12"/>
  <c r="F2514" i="12"/>
  <c r="J2514" i="12"/>
  <c r="F2515" i="12"/>
  <c r="J2515" i="12"/>
  <c r="J2525" i="12"/>
  <c r="F2525" i="12"/>
  <c r="F2530" i="12"/>
  <c r="J2530" i="12"/>
  <c r="F2531" i="12"/>
  <c r="J2531" i="12"/>
  <c r="J2541" i="12"/>
  <c r="F2541" i="12"/>
  <c r="F2546" i="12"/>
  <c r="J2546" i="12"/>
  <c r="F2547" i="12"/>
  <c r="J2547" i="12"/>
  <c r="J2557" i="12"/>
  <c r="F2557" i="12"/>
  <c r="J2562" i="12"/>
  <c r="F2562" i="12"/>
  <c r="J2567" i="12"/>
  <c r="F2567" i="12"/>
  <c r="J2570" i="12"/>
  <c r="F2570" i="12"/>
  <c r="J2575" i="12"/>
  <c r="F2575" i="12"/>
  <c r="J2578" i="12"/>
  <c r="F2578" i="12"/>
  <c r="J2583" i="12"/>
  <c r="F2583" i="12"/>
  <c r="J2586" i="12"/>
  <c r="F2586" i="12"/>
  <c r="J2591" i="12"/>
  <c r="F2591" i="12"/>
  <c r="J2594" i="12"/>
  <c r="F2594" i="12"/>
  <c r="J2599" i="12"/>
  <c r="F2599" i="12"/>
  <c r="J2602" i="12"/>
  <c r="F2602" i="12"/>
  <c r="J2607" i="12"/>
  <c r="F2607" i="12"/>
  <c r="J2610" i="12"/>
  <c r="F2610" i="12"/>
  <c r="J2615" i="12"/>
  <c r="F2615" i="12"/>
  <c r="J2618" i="12"/>
  <c r="F2618" i="12"/>
  <c r="J2623" i="12"/>
  <c r="F2623" i="12"/>
  <c r="J2626" i="12"/>
  <c r="F2626" i="12"/>
  <c r="J2631" i="12"/>
  <c r="F2631" i="12"/>
  <c r="J2636" i="12"/>
  <c r="F2636" i="12"/>
  <c r="J2639" i="12"/>
  <c r="F2639" i="12"/>
  <c r="J2644" i="12"/>
  <c r="F2644" i="12"/>
  <c r="J2647" i="12"/>
  <c r="F2647" i="12"/>
  <c r="J2652" i="12"/>
  <c r="F2652" i="12"/>
  <c r="J2655" i="12"/>
  <c r="F2655" i="12"/>
  <c r="J2660" i="12"/>
  <c r="F2660" i="12"/>
  <c r="J2664" i="12"/>
  <c r="F2664" i="12"/>
  <c r="J2668" i="12"/>
  <c r="F2668" i="12"/>
  <c r="J2672" i="12"/>
  <c r="F2672" i="12"/>
  <c r="J2676" i="12"/>
  <c r="F2676" i="12"/>
  <c r="J2680" i="12"/>
  <c r="F2680" i="12"/>
  <c r="J2687" i="12"/>
  <c r="F2687" i="12"/>
  <c r="J2698" i="12"/>
  <c r="F2698" i="12"/>
  <c r="J2701" i="12"/>
  <c r="F2701" i="12"/>
  <c r="J2706" i="12"/>
  <c r="F2706" i="12"/>
  <c r="J2709" i="12"/>
  <c r="F2709" i="12"/>
  <c r="J2714" i="12"/>
  <c r="F2714" i="12"/>
  <c r="J2717" i="12"/>
  <c r="F2717" i="12"/>
  <c r="J2722" i="12"/>
  <c r="F2722" i="12"/>
  <c r="J2725" i="12"/>
  <c r="F2725" i="12"/>
  <c r="J2730" i="12"/>
  <c r="F2730" i="12"/>
  <c r="J2733" i="12"/>
  <c r="F2733" i="12"/>
  <c r="J2738" i="12"/>
  <c r="F2738" i="12"/>
  <c r="J2741" i="12"/>
  <c r="F2741" i="12"/>
  <c r="J2746" i="12"/>
  <c r="F2746" i="12"/>
  <c r="J2199" i="12"/>
  <c r="F2199" i="12"/>
  <c r="F2204" i="12"/>
  <c r="J2204" i="12"/>
  <c r="J2205" i="12"/>
  <c r="F2205" i="12"/>
  <c r="J2215" i="12"/>
  <c r="F2215" i="12"/>
  <c r="J2220" i="12"/>
  <c r="F2220" i="12"/>
  <c r="F2221" i="12"/>
  <c r="J2221" i="12"/>
  <c r="J2231" i="12"/>
  <c r="F2231" i="12"/>
  <c r="F2236" i="12"/>
  <c r="J2236" i="12"/>
  <c r="J2237" i="12"/>
  <c r="F2237" i="12"/>
  <c r="J2247" i="12"/>
  <c r="F2247" i="12"/>
  <c r="J2252" i="12"/>
  <c r="F2252" i="12"/>
  <c r="F2253" i="12"/>
  <c r="J2253" i="12"/>
  <c r="J2263" i="12"/>
  <c r="F2263" i="12"/>
  <c r="F2268" i="12"/>
  <c r="J2268" i="12"/>
  <c r="J2269" i="12"/>
  <c r="F2269" i="12"/>
  <c r="J2279" i="12"/>
  <c r="F2279" i="12"/>
  <c r="J2284" i="12"/>
  <c r="F2284" i="12"/>
  <c r="F2285" i="12"/>
  <c r="J2285" i="12"/>
  <c r="J2295" i="12"/>
  <c r="F2295" i="12"/>
  <c r="F2300" i="12"/>
  <c r="J2300" i="12"/>
  <c r="J2301" i="12"/>
  <c r="F2301" i="12"/>
  <c r="J2311" i="12"/>
  <c r="F2311" i="12"/>
  <c r="J2316" i="12"/>
  <c r="F2316" i="12"/>
  <c r="F2317" i="12"/>
  <c r="J2317" i="12"/>
  <c r="J2327" i="12"/>
  <c r="F2327" i="12"/>
  <c r="F2332" i="12"/>
  <c r="J2332" i="12"/>
  <c r="J2333" i="12"/>
  <c r="F2333" i="12"/>
  <c r="J2343" i="12"/>
  <c r="F2343" i="12"/>
  <c r="F2348" i="12"/>
  <c r="J2348" i="12"/>
  <c r="F2349" i="12"/>
  <c r="J2349" i="12"/>
  <c r="F2354" i="12"/>
  <c r="J2354" i="12"/>
  <c r="J2364" i="12"/>
  <c r="F2364" i="12"/>
  <c r="F2369" i="12"/>
  <c r="J2369" i="12"/>
  <c r="F2370" i="12"/>
  <c r="J2370" i="12"/>
  <c r="J2385" i="12"/>
  <c r="F2385" i="12"/>
  <c r="F2390" i="12"/>
  <c r="J2390" i="12"/>
  <c r="F2391" i="12"/>
  <c r="J2391" i="12"/>
  <c r="J2401" i="12"/>
  <c r="F2401" i="12"/>
  <c r="F2406" i="12"/>
  <c r="J2406" i="12"/>
  <c r="F2407" i="12"/>
  <c r="J2407" i="12"/>
  <c r="J2417" i="12"/>
  <c r="F2417" i="12"/>
  <c r="F2422" i="12"/>
  <c r="J2422" i="12"/>
  <c r="F2423" i="12"/>
  <c r="J2423" i="12"/>
  <c r="J2433" i="12"/>
  <c r="F2433" i="12"/>
  <c r="F2438" i="12"/>
  <c r="J2438" i="12"/>
  <c r="F2439" i="12"/>
  <c r="J2439" i="12"/>
  <c r="J2449" i="12"/>
  <c r="F2449" i="12"/>
  <c r="F2454" i="12"/>
  <c r="J2454" i="12"/>
  <c r="F2455" i="12"/>
  <c r="J2455" i="12"/>
  <c r="J2465" i="12"/>
  <c r="F2465" i="12"/>
  <c r="F2470" i="12"/>
  <c r="J2470" i="12"/>
  <c r="F2471" i="12"/>
  <c r="J2471" i="12"/>
  <c r="J2481" i="12"/>
  <c r="F2481" i="12"/>
  <c r="F2486" i="12"/>
  <c r="J2486" i="12"/>
  <c r="F2487" i="12"/>
  <c r="J2487" i="12"/>
  <c r="J2497" i="12"/>
  <c r="F2497" i="12"/>
  <c r="F2502" i="12"/>
  <c r="J2502" i="12"/>
  <c r="F2503" i="12"/>
  <c r="J2503" i="12"/>
  <c r="J2513" i="12"/>
  <c r="F2513" i="12"/>
  <c r="F2518" i="12"/>
  <c r="J2518" i="12"/>
  <c r="F2519" i="12"/>
  <c r="J2519" i="12"/>
  <c r="J2529" i="12"/>
  <c r="F2529" i="12"/>
  <c r="F2534" i="12"/>
  <c r="J2534" i="12"/>
  <c r="F2535" i="12"/>
  <c r="J2535" i="12"/>
  <c r="J2545" i="12"/>
  <c r="F2545" i="12"/>
  <c r="F2550" i="12"/>
  <c r="J2550" i="12"/>
  <c r="F2551" i="12"/>
  <c r="J2551" i="12"/>
  <c r="J2661" i="12"/>
  <c r="F2661" i="12"/>
  <c r="J2665" i="12"/>
  <c r="F2665" i="12"/>
  <c r="J2669" i="12"/>
  <c r="F2669" i="12"/>
  <c r="J2673" i="12"/>
  <c r="F2673" i="12"/>
  <c r="J2677" i="12"/>
  <c r="F2677" i="12"/>
  <c r="J2681" i="12"/>
  <c r="F2681" i="12"/>
  <c r="F2747" i="12"/>
  <c r="J2747" i="12"/>
  <c r="F1981" i="12"/>
  <c r="J1981" i="12"/>
  <c r="F1985" i="12"/>
  <c r="J1985" i="12"/>
  <c r="F1989" i="12"/>
  <c r="J1989" i="12"/>
  <c r="F1994" i="12"/>
  <c r="J1994" i="12"/>
  <c r="F1998" i="12"/>
  <c r="J1998" i="12"/>
  <c r="F2002" i="12"/>
  <c r="J2002" i="12"/>
  <c r="F2006" i="12"/>
  <c r="J2006" i="12"/>
  <c r="F2010" i="12"/>
  <c r="J2010" i="12"/>
  <c r="F2014" i="12"/>
  <c r="J2014" i="12"/>
  <c r="F2018" i="12"/>
  <c r="J2018" i="12"/>
  <c r="F2022" i="12"/>
  <c r="J2022" i="12"/>
  <c r="F2026" i="12"/>
  <c r="J2026" i="12"/>
  <c r="F2030" i="12"/>
  <c r="J2030" i="12"/>
  <c r="F2034" i="12"/>
  <c r="J2034" i="12"/>
  <c r="F2038" i="12"/>
  <c r="J2038" i="12"/>
  <c r="F2042" i="12"/>
  <c r="J2042" i="12"/>
  <c r="F2046" i="12"/>
  <c r="J2046" i="12"/>
  <c r="F2050" i="12"/>
  <c r="J2050" i="12"/>
  <c r="F2054" i="12"/>
  <c r="J2054" i="12"/>
  <c r="F2058" i="12"/>
  <c r="J2058" i="12"/>
  <c r="F2062" i="12"/>
  <c r="J2062" i="12"/>
  <c r="F2066" i="12"/>
  <c r="J2066" i="12"/>
  <c r="F2070" i="12"/>
  <c r="J2070" i="12"/>
  <c r="F2074" i="12"/>
  <c r="J2074" i="12"/>
  <c r="F2078" i="12"/>
  <c r="J2078" i="12"/>
  <c r="F2082" i="12"/>
  <c r="J2082" i="12"/>
  <c r="F2086" i="12"/>
  <c r="J2086" i="12"/>
  <c r="F2090" i="12"/>
  <c r="J2090" i="12"/>
  <c r="F2094" i="12"/>
  <c r="J2094" i="12"/>
  <c r="F2098" i="12"/>
  <c r="J2098" i="12"/>
  <c r="F2102" i="12"/>
  <c r="J2102" i="12"/>
  <c r="F2106" i="12"/>
  <c r="J2106" i="12"/>
  <c r="F2110" i="12"/>
  <c r="J2110" i="12"/>
  <c r="F2114" i="12"/>
  <c r="J2114" i="12"/>
  <c r="F2118" i="12"/>
  <c r="J2118" i="12"/>
  <c r="F2122" i="12"/>
  <c r="J2122" i="12"/>
  <c r="F2126" i="12"/>
  <c r="J2126" i="12"/>
  <c r="F2130" i="12"/>
  <c r="J2130" i="12"/>
  <c r="F2134" i="12"/>
  <c r="J2134" i="12"/>
  <c r="F2138" i="12"/>
  <c r="J2138" i="12"/>
  <c r="F2142" i="12"/>
  <c r="J2142" i="12"/>
  <c r="F2146" i="12"/>
  <c r="J2146" i="12"/>
  <c r="F2150" i="12"/>
  <c r="J2150" i="12"/>
  <c r="F2154" i="12"/>
  <c r="J2154" i="12"/>
  <c r="F2158" i="12"/>
  <c r="J2158" i="12"/>
  <c r="F2162" i="12"/>
  <c r="J2162" i="12"/>
  <c r="F2166" i="12"/>
  <c r="J2166" i="12"/>
  <c r="F2170" i="12"/>
  <c r="J2170" i="12"/>
  <c r="F2174" i="12"/>
  <c r="J2174" i="12"/>
  <c r="F2178" i="12"/>
  <c r="J2178" i="12"/>
  <c r="F2182" i="12"/>
  <c r="J2182" i="12"/>
  <c r="F2186" i="12"/>
  <c r="J2186" i="12"/>
  <c r="F2190" i="12"/>
  <c r="J2190" i="12"/>
  <c r="F2194" i="12"/>
  <c r="J2194" i="12"/>
  <c r="F2198" i="12"/>
  <c r="J2198" i="12"/>
  <c r="F2202" i="12"/>
  <c r="J2202" i="12"/>
  <c r="F2206" i="12"/>
  <c r="J2206" i="12"/>
  <c r="F2210" i="12"/>
  <c r="J2210" i="12"/>
  <c r="F2214" i="12"/>
  <c r="J2214" i="12"/>
  <c r="F2218" i="12"/>
  <c r="J2218" i="12"/>
  <c r="F2222" i="12"/>
  <c r="J2222" i="12"/>
  <c r="F2226" i="12"/>
  <c r="J2226" i="12"/>
  <c r="F2230" i="12"/>
  <c r="J2230" i="12"/>
  <c r="F2234" i="12"/>
  <c r="J2234" i="12"/>
  <c r="F2238" i="12"/>
  <c r="J2238" i="12"/>
  <c r="F2242" i="12"/>
  <c r="J2242" i="12"/>
  <c r="F2246" i="12"/>
  <c r="J2246" i="12"/>
  <c r="F2250" i="12"/>
  <c r="J2250" i="12"/>
  <c r="F2254" i="12"/>
  <c r="J2254" i="12"/>
  <c r="F2258" i="12"/>
  <c r="J2258" i="12"/>
  <c r="F2262" i="12"/>
  <c r="J2262" i="12"/>
  <c r="F2266" i="12"/>
  <c r="J2266" i="12"/>
  <c r="F2270" i="12"/>
  <c r="J2270" i="12"/>
  <c r="F2274" i="12"/>
  <c r="J2274" i="12"/>
  <c r="F2278" i="12"/>
  <c r="J2278" i="12"/>
  <c r="F2282" i="12"/>
  <c r="J2282" i="12"/>
  <c r="F2286" i="12"/>
  <c r="J2286" i="12"/>
  <c r="F2290" i="12"/>
  <c r="J2290" i="12"/>
  <c r="F2294" i="12"/>
  <c r="J2294" i="12"/>
  <c r="F2298" i="12"/>
  <c r="J2298" i="12"/>
  <c r="F2302" i="12"/>
  <c r="J2302" i="12"/>
  <c r="F2306" i="12"/>
  <c r="J2306" i="12"/>
  <c r="F2310" i="12"/>
  <c r="J2310" i="12"/>
  <c r="F2314" i="12"/>
  <c r="J2314" i="12"/>
  <c r="F2318" i="12"/>
  <c r="J2318" i="12"/>
  <c r="F2322" i="12"/>
  <c r="J2322" i="12"/>
  <c r="F2326" i="12"/>
  <c r="J2326" i="12"/>
  <c r="F2330" i="12"/>
  <c r="J2330" i="12"/>
  <c r="F2334" i="12"/>
  <c r="J2334" i="12"/>
  <c r="F2338" i="12"/>
  <c r="J2338" i="12"/>
  <c r="F2342" i="12"/>
  <c r="J2342" i="12"/>
  <c r="F2346" i="12"/>
  <c r="J2346" i="12"/>
  <c r="F2350" i="12"/>
  <c r="J2350" i="12"/>
  <c r="F2355" i="12"/>
  <c r="J2355" i="12"/>
  <c r="F2359" i="12"/>
  <c r="J2359" i="12"/>
  <c r="F2363" i="12"/>
  <c r="J2363" i="12"/>
  <c r="F2367" i="12"/>
  <c r="J2367" i="12"/>
  <c r="F2371" i="12"/>
  <c r="J2371" i="12"/>
  <c r="F2375" i="12"/>
  <c r="J2375" i="12"/>
  <c r="F2380" i="12"/>
  <c r="J2380" i="12"/>
  <c r="F2384" i="12"/>
  <c r="J2384" i="12"/>
  <c r="F2388" i="12"/>
  <c r="J2388" i="12"/>
  <c r="F2392" i="12"/>
  <c r="J2392" i="12"/>
  <c r="F2396" i="12"/>
  <c r="J2396" i="12"/>
  <c r="F2400" i="12"/>
  <c r="J2400" i="12"/>
  <c r="F2404" i="12"/>
  <c r="J2404" i="12"/>
  <c r="F2408" i="12"/>
  <c r="J2408" i="12"/>
  <c r="F2412" i="12"/>
  <c r="J2412" i="12"/>
  <c r="F2416" i="12"/>
  <c r="J2416" i="12"/>
  <c r="F2420" i="12"/>
  <c r="J2420" i="12"/>
  <c r="F2424" i="12"/>
  <c r="J2424" i="12"/>
  <c r="F2428" i="12"/>
  <c r="J2428" i="12"/>
  <c r="F2432" i="12"/>
  <c r="J2432" i="12"/>
  <c r="F2436" i="12"/>
  <c r="J2436" i="12"/>
  <c r="F2440" i="12"/>
  <c r="J2440" i="12"/>
  <c r="F2444" i="12"/>
  <c r="J2444" i="12"/>
  <c r="F2448" i="12"/>
  <c r="J2448" i="12"/>
  <c r="F2452" i="12"/>
  <c r="J2452" i="12"/>
  <c r="F2456" i="12"/>
  <c r="J2456" i="12"/>
  <c r="F2460" i="12"/>
  <c r="J2460" i="12"/>
  <c r="F2464" i="12"/>
  <c r="J2464" i="12"/>
  <c r="F2468" i="12"/>
  <c r="J2468" i="12"/>
  <c r="F2472" i="12"/>
  <c r="J2472" i="12"/>
  <c r="F2476" i="12"/>
  <c r="J2476" i="12"/>
  <c r="F2480" i="12"/>
  <c r="J2480" i="12"/>
  <c r="F2484" i="12"/>
  <c r="J2484" i="12"/>
  <c r="F2488" i="12"/>
  <c r="J2488" i="12"/>
  <c r="F2492" i="12"/>
  <c r="J2492" i="12"/>
  <c r="F2496" i="12"/>
  <c r="J2496" i="12"/>
  <c r="F2500" i="12"/>
  <c r="J2500" i="12"/>
  <c r="F2504" i="12"/>
  <c r="J2504" i="12"/>
  <c r="F2508" i="12"/>
  <c r="J2508" i="12"/>
  <c r="F2512" i="12"/>
  <c r="J2512" i="12"/>
  <c r="F2516" i="12"/>
  <c r="J2516" i="12"/>
  <c r="F2520" i="12"/>
  <c r="J2520" i="12"/>
  <c r="F2524" i="12"/>
  <c r="J2524" i="12"/>
  <c r="F2528" i="12"/>
  <c r="J2528" i="12"/>
  <c r="F2532" i="12"/>
  <c r="J2532" i="12"/>
  <c r="F2536" i="12"/>
  <c r="J2536" i="12"/>
  <c r="F2540" i="12"/>
  <c r="J2540" i="12"/>
  <c r="F2544" i="12"/>
  <c r="J2544" i="12"/>
  <c r="F2548" i="12"/>
  <c r="J2548" i="12"/>
  <c r="F2552" i="12"/>
  <c r="J2552" i="12"/>
  <c r="F2556" i="12"/>
  <c r="J2556" i="12"/>
  <c r="F2560" i="12"/>
  <c r="J2560" i="12"/>
  <c r="F2564" i="12"/>
  <c r="J2564" i="12"/>
  <c r="F2568" i="12"/>
  <c r="J2568" i="12"/>
  <c r="F2572" i="12"/>
  <c r="J2572" i="12"/>
  <c r="F2576" i="12"/>
  <c r="J2576" i="12"/>
  <c r="F2580" i="12"/>
  <c r="J2580" i="12"/>
  <c r="F2584" i="12"/>
  <c r="J2584" i="12"/>
  <c r="F2588" i="12"/>
  <c r="J2588" i="12"/>
  <c r="F2592" i="12"/>
  <c r="J2592" i="12"/>
  <c r="F2596" i="12"/>
  <c r="J2596" i="12"/>
  <c r="F2600" i="12"/>
  <c r="J2600" i="12"/>
  <c r="F2604" i="12"/>
  <c r="J2604" i="12"/>
  <c r="F2608" i="12"/>
  <c r="J2608" i="12"/>
  <c r="F2612" i="12"/>
  <c r="J2612" i="12"/>
  <c r="F2616" i="12"/>
  <c r="J2616" i="12"/>
  <c r="F2620" i="12"/>
  <c r="J2620" i="12"/>
  <c r="F2624" i="12"/>
  <c r="J2624" i="12"/>
  <c r="J2628" i="12"/>
  <c r="F2628" i="12"/>
  <c r="F2629" i="12"/>
  <c r="J2629" i="12"/>
  <c r="F2633" i="12"/>
  <c r="J2633" i="12"/>
  <c r="F2637" i="12"/>
  <c r="J2637" i="12"/>
  <c r="F2641" i="12"/>
  <c r="J2641" i="12"/>
  <c r="F2645" i="12"/>
  <c r="J2645" i="12"/>
  <c r="F2649" i="12"/>
  <c r="J2649" i="12"/>
  <c r="F2653" i="12"/>
  <c r="J2653" i="12"/>
  <c r="F2657" i="12"/>
  <c r="J2657" i="12"/>
  <c r="F2684" i="12"/>
  <c r="J2684" i="12"/>
  <c r="J2689" i="12"/>
  <c r="F2689" i="12"/>
  <c r="F2690" i="12"/>
  <c r="J2690" i="12"/>
  <c r="F2691" i="12"/>
  <c r="J2691" i="12"/>
  <c r="F2699" i="12"/>
  <c r="J2699" i="12"/>
  <c r="F2703" i="12"/>
  <c r="J2703" i="12"/>
  <c r="F2707" i="12"/>
  <c r="J2707" i="12"/>
  <c r="F2711" i="12"/>
  <c r="J2711" i="12"/>
  <c r="F2715" i="12"/>
  <c r="J2715" i="12"/>
  <c r="F2719" i="12"/>
  <c r="J2719" i="12"/>
  <c r="F2723" i="12"/>
  <c r="J2723" i="12"/>
  <c r="F2727" i="12"/>
  <c r="J2727" i="12"/>
  <c r="F2731" i="12"/>
  <c r="J2731" i="12"/>
  <c r="F2735" i="12"/>
  <c r="J2735" i="12"/>
  <c r="F2739" i="12"/>
  <c r="J2739" i="12"/>
  <c r="F2743" i="12"/>
  <c r="J2743" i="12"/>
  <c r="F2748" i="12"/>
  <c r="J2748" i="12"/>
  <c r="F2561" i="12"/>
  <c r="J2561" i="12"/>
  <c r="F2565" i="12"/>
  <c r="J2565" i="12"/>
  <c r="F2569" i="12"/>
  <c r="J2569" i="12"/>
  <c r="F2573" i="12"/>
  <c r="J2573" i="12"/>
  <c r="F2577" i="12"/>
  <c r="J2577" i="12"/>
  <c r="F2581" i="12"/>
  <c r="J2581" i="12"/>
  <c r="F2585" i="12"/>
  <c r="J2585" i="12"/>
  <c r="F2589" i="12"/>
  <c r="J2589" i="12"/>
  <c r="F2593" i="12"/>
  <c r="J2593" i="12"/>
  <c r="F2597" i="12"/>
  <c r="J2597" i="12"/>
  <c r="F2601" i="12"/>
  <c r="J2601" i="12"/>
  <c r="F2605" i="12"/>
  <c r="J2605" i="12"/>
  <c r="F2609" i="12"/>
  <c r="J2609" i="12"/>
  <c r="F2613" i="12"/>
  <c r="J2613" i="12"/>
  <c r="F2617" i="12"/>
  <c r="J2617" i="12"/>
  <c r="F2621" i="12"/>
  <c r="J2621" i="12"/>
  <c r="F2625" i="12"/>
  <c r="J2625" i="12"/>
  <c r="F2630" i="12"/>
  <c r="J2630" i="12"/>
  <c r="F2634" i="12"/>
  <c r="J2634" i="12"/>
  <c r="F2638" i="12"/>
  <c r="J2638" i="12"/>
  <c r="F2642" i="12"/>
  <c r="J2642" i="12"/>
  <c r="F2646" i="12"/>
  <c r="J2646" i="12"/>
  <c r="F2650" i="12"/>
  <c r="J2650" i="12"/>
  <c r="F2654" i="12"/>
  <c r="J2654" i="12"/>
  <c r="F2658" i="12"/>
  <c r="J2658" i="12"/>
  <c r="F2685" i="12"/>
  <c r="J2685" i="12"/>
  <c r="F2686" i="12"/>
  <c r="J2686" i="12"/>
  <c r="F2692" i="12"/>
  <c r="J2692" i="12"/>
  <c r="F2693" i="12"/>
  <c r="J2693" i="12"/>
  <c r="F2694" i="12"/>
  <c r="J2694" i="12"/>
  <c r="F2695" i="12"/>
  <c r="J2695" i="12"/>
  <c r="F2696" i="12"/>
  <c r="J2696" i="12"/>
  <c r="F2700" i="12"/>
  <c r="J2700" i="12"/>
  <c r="F2704" i="12"/>
  <c r="J2704" i="12"/>
  <c r="F2708" i="12"/>
  <c r="J2708" i="12"/>
  <c r="F2712" i="12"/>
  <c r="J2712" i="12"/>
  <c r="F2716" i="12"/>
  <c r="J2716" i="12"/>
  <c r="F2720" i="12"/>
  <c r="J2720" i="12"/>
  <c r="F2724" i="12"/>
  <c r="J2724" i="12"/>
  <c r="F2728" i="12"/>
  <c r="J2728" i="12"/>
  <c r="F2732" i="12"/>
  <c r="J2732" i="12"/>
  <c r="F2736" i="12"/>
  <c r="J2736" i="12"/>
  <c r="F2740" i="12"/>
  <c r="J2740" i="12"/>
  <c r="F2744" i="12"/>
  <c r="J2744" i="12"/>
  <c r="F2749" i="12"/>
  <c r="J2749" i="12"/>
  <c r="D2" i="17"/>
  <c r="C2" i="17"/>
  <c r="D3" i="17"/>
  <c r="C3" i="17"/>
  <c r="D4" i="17"/>
  <c r="C4" i="17"/>
  <c r="D5" i="17"/>
  <c r="C5" i="17"/>
  <c r="D6" i="17"/>
  <c r="C6" i="17"/>
  <c r="D7" i="17"/>
  <c r="C7" i="17"/>
  <c r="I8" i="11"/>
  <c r="H8" i="11"/>
  <c r="I20" i="11"/>
  <c r="H20" i="11"/>
  <c r="I32" i="11"/>
  <c r="H32" i="11"/>
  <c r="I52" i="11"/>
  <c r="H52" i="11"/>
  <c r="I64" i="11"/>
  <c r="H64" i="11"/>
  <c r="I76" i="11"/>
  <c r="H76" i="11"/>
  <c r="I88" i="11"/>
  <c r="H88" i="11"/>
  <c r="I100" i="11"/>
  <c r="H100" i="11"/>
  <c r="I112" i="11"/>
  <c r="H112" i="11"/>
  <c r="I124" i="11"/>
  <c r="H124" i="11"/>
  <c r="I144" i="11"/>
  <c r="H144" i="11"/>
  <c r="I156" i="11"/>
  <c r="H156" i="11"/>
  <c r="I168" i="11"/>
  <c r="H168" i="11"/>
  <c r="I180" i="11"/>
  <c r="H180" i="11"/>
  <c r="I192" i="11"/>
  <c r="H192" i="11"/>
  <c r="I208" i="11"/>
  <c r="H208" i="11"/>
  <c r="I1597" i="11"/>
  <c r="H1597" i="11"/>
  <c r="I1645" i="11"/>
  <c r="H1645" i="11"/>
  <c r="I1718" i="11"/>
  <c r="H1718" i="11"/>
  <c r="I1782" i="11"/>
  <c r="H1782" i="11"/>
  <c r="B3" i="7"/>
  <c r="I5" i="11"/>
  <c r="H5" i="11"/>
  <c r="I9" i="11"/>
  <c r="H9" i="11"/>
  <c r="I13" i="11"/>
  <c r="H13" i="11"/>
  <c r="I17" i="11"/>
  <c r="H17" i="11"/>
  <c r="I21" i="11"/>
  <c r="H21" i="11"/>
  <c r="I25" i="11"/>
  <c r="H25" i="11"/>
  <c r="I29" i="11"/>
  <c r="H29" i="11"/>
  <c r="I33" i="11"/>
  <c r="H33" i="11"/>
  <c r="I37" i="11"/>
  <c r="H37" i="11"/>
  <c r="I41" i="11"/>
  <c r="H41" i="11"/>
  <c r="I45" i="11"/>
  <c r="H45" i="11"/>
  <c r="I49" i="11"/>
  <c r="H49" i="11"/>
  <c r="I53" i="11"/>
  <c r="H53" i="11"/>
  <c r="I57" i="11"/>
  <c r="H57" i="11"/>
  <c r="I61" i="11"/>
  <c r="H61" i="11"/>
  <c r="I65" i="11"/>
  <c r="H65" i="11"/>
  <c r="I69" i="11"/>
  <c r="H69" i="11"/>
  <c r="I73" i="11"/>
  <c r="H73" i="11"/>
  <c r="I77" i="11"/>
  <c r="H77" i="11"/>
  <c r="I81" i="11"/>
  <c r="H81" i="11"/>
  <c r="I85" i="11"/>
  <c r="H85" i="11"/>
  <c r="I89" i="11"/>
  <c r="H89" i="11"/>
  <c r="I93" i="11"/>
  <c r="H93" i="11"/>
  <c r="I97" i="11"/>
  <c r="H97" i="11"/>
  <c r="I101" i="11"/>
  <c r="H101" i="11"/>
  <c r="I105" i="11"/>
  <c r="H105" i="11"/>
  <c r="I109" i="11"/>
  <c r="H109" i="11"/>
  <c r="I113" i="11"/>
  <c r="H113" i="11"/>
  <c r="I117" i="11"/>
  <c r="H117" i="11"/>
  <c r="I121" i="11"/>
  <c r="H121" i="11"/>
  <c r="I125" i="11"/>
  <c r="H125" i="11"/>
  <c r="I129" i="11"/>
  <c r="H129" i="11"/>
  <c r="I133" i="11"/>
  <c r="H133" i="11"/>
  <c r="I137" i="11"/>
  <c r="H137" i="11"/>
  <c r="I141" i="11"/>
  <c r="H141" i="11"/>
  <c r="I145" i="11"/>
  <c r="H145" i="11"/>
  <c r="I149" i="11"/>
  <c r="H149" i="11"/>
  <c r="I153" i="11"/>
  <c r="H153" i="11"/>
  <c r="I157" i="11"/>
  <c r="H157" i="11"/>
  <c r="I161" i="11"/>
  <c r="H161" i="11"/>
  <c r="I165" i="11"/>
  <c r="H165" i="11"/>
  <c r="I169" i="11"/>
  <c r="H169" i="11"/>
  <c r="I173" i="11"/>
  <c r="H173" i="11"/>
  <c r="I177" i="11"/>
  <c r="H177" i="11"/>
  <c r="I181" i="11"/>
  <c r="H181" i="11"/>
  <c r="I185" i="11"/>
  <c r="H185" i="11"/>
  <c r="I189" i="11"/>
  <c r="H189" i="11"/>
  <c r="I193" i="11"/>
  <c r="H193" i="11"/>
  <c r="I197" i="11"/>
  <c r="H197" i="11"/>
  <c r="I201" i="11"/>
  <c r="H201" i="11"/>
  <c r="I205" i="11"/>
  <c r="H205" i="11"/>
  <c r="I209" i="11"/>
  <c r="H209" i="11"/>
  <c r="I1554" i="11"/>
  <c r="H1554" i="11"/>
  <c r="I1570" i="11"/>
  <c r="H1570" i="11"/>
  <c r="I1586" i="11"/>
  <c r="H1586" i="11"/>
  <c r="I1602" i="11"/>
  <c r="H1602" i="11"/>
  <c r="I1618" i="11"/>
  <c r="H1618" i="11"/>
  <c r="I1634" i="11"/>
  <c r="H1634" i="11"/>
  <c r="I1650" i="11"/>
  <c r="H1650" i="11"/>
  <c r="I1666" i="11"/>
  <c r="H1666" i="11"/>
  <c r="I1682" i="11"/>
  <c r="H1682" i="11"/>
  <c r="I1714" i="11"/>
  <c r="H1714" i="11"/>
  <c r="I1730" i="11"/>
  <c r="H1730" i="11"/>
  <c r="I1746" i="11"/>
  <c r="H1746" i="11"/>
  <c r="I1762" i="11"/>
  <c r="H1762" i="11"/>
  <c r="I1778" i="11"/>
  <c r="H1778" i="11"/>
  <c r="I1794" i="11"/>
  <c r="H1794" i="11"/>
  <c r="I12" i="11"/>
  <c r="H12" i="11"/>
  <c r="I28" i="11"/>
  <c r="H28" i="11"/>
  <c r="I40" i="11"/>
  <c r="H40" i="11"/>
  <c r="I48" i="11"/>
  <c r="H48" i="11"/>
  <c r="I56" i="11"/>
  <c r="H56" i="11"/>
  <c r="I68" i="11"/>
  <c r="H68" i="11"/>
  <c r="I80" i="11"/>
  <c r="H80" i="11"/>
  <c r="I92" i="11"/>
  <c r="H92" i="11"/>
  <c r="I104" i="11"/>
  <c r="H104" i="11"/>
  <c r="I116" i="11"/>
  <c r="H116" i="11"/>
  <c r="I128" i="11"/>
  <c r="H128" i="11"/>
  <c r="I136" i="11"/>
  <c r="H136" i="11"/>
  <c r="I148" i="11"/>
  <c r="H148" i="11"/>
  <c r="I160" i="11"/>
  <c r="H160" i="11"/>
  <c r="I172" i="11"/>
  <c r="H172" i="11"/>
  <c r="I184" i="11"/>
  <c r="H184" i="11"/>
  <c r="I196" i="11"/>
  <c r="H196" i="11"/>
  <c r="I212" i="11"/>
  <c r="H212" i="11"/>
  <c r="I1565" i="11"/>
  <c r="H1565" i="11"/>
  <c r="I1613" i="11"/>
  <c r="H1613" i="11"/>
  <c r="I1661" i="11"/>
  <c r="H1661" i="11"/>
  <c r="I1693" i="11"/>
  <c r="H1693" i="11"/>
  <c r="I1706" i="11"/>
  <c r="H1706" i="11"/>
  <c r="I1766" i="11"/>
  <c r="H1766" i="11"/>
  <c r="I6" i="11"/>
  <c r="H6" i="11"/>
  <c r="I14" i="11"/>
  <c r="H14" i="11"/>
  <c r="I26" i="11"/>
  <c r="H26" i="11"/>
  <c r="I30" i="11"/>
  <c r="H30" i="11"/>
  <c r="I38" i="11"/>
  <c r="H38" i="11"/>
  <c r="I46" i="11"/>
  <c r="H46" i="11"/>
  <c r="I54" i="11"/>
  <c r="H54" i="11"/>
  <c r="I66" i="11"/>
  <c r="H66" i="11"/>
  <c r="I74" i="11"/>
  <c r="H74" i="11"/>
  <c r="I82" i="11"/>
  <c r="H82" i="11"/>
  <c r="I86" i="11"/>
  <c r="H86" i="11"/>
  <c r="I94" i="11"/>
  <c r="H94" i="11"/>
  <c r="I106" i="11"/>
  <c r="H106" i="11"/>
  <c r="I114" i="11"/>
  <c r="H114" i="11"/>
  <c r="I122" i="11"/>
  <c r="H122" i="11"/>
  <c r="I130" i="11"/>
  <c r="H130" i="11"/>
  <c r="I138" i="11"/>
  <c r="H138" i="11"/>
  <c r="I146" i="11"/>
  <c r="H146" i="11"/>
  <c r="I154" i="11"/>
  <c r="H154" i="11"/>
  <c r="I162" i="11"/>
  <c r="H162" i="11"/>
  <c r="I170" i="11"/>
  <c r="H170" i="11"/>
  <c r="I178" i="11"/>
  <c r="H178" i="11"/>
  <c r="I186" i="11"/>
  <c r="H186" i="11"/>
  <c r="I194" i="11"/>
  <c r="H194" i="11"/>
  <c r="I198" i="11"/>
  <c r="H198" i="11"/>
  <c r="I202" i="11"/>
  <c r="H202" i="11"/>
  <c r="I210" i="11"/>
  <c r="H210" i="11"/>
  <c r="I1557" i="11"/>
  <c r="H1557" i="11"/>
  <c r="I1573" i="11"/>
  <c r="H1573" i="11"/>
  <c r="I1589" i="11"/>
  <c r="H1589" i="11"/>
  <c r="I1605" i="11"/>
  <c r="H1605" i="11"/>
  <c r="I1621" i="11"/>
  <c r="H1621" i="11"/>
  <c r="I1637" i="11"/>
  <c r="H1637" i="11"/>
  <c r="I1653" i="11"/>
  <c r="H1653" i="11"/>
  <c r="I1669" i="11"/>
  <c r="H1669" i="11"/>
  <c r="I1685" i="11"/>
  <c r="H1685" i="11"/>
  <c r="I1702" i="11"/>
  <c r="H1702" i="11"/>
  <c r="I1710" i="11"/>
  <c r="H1710" i="11"/>
  <c r="I1726" i="11"/>
  <c r="H1726" i="11"/>
  <c r="I1742" i="11"/>
  <c r="H1742" i="11"/>
  <c r="I1758" i="11"/>
  <c r="H1758" i="11"/>
  <c r="I1774" i="11"/>
  <c r="H1774" i="11"/>
  <c r="I1790" i="11"/>
  <c r="H1790" i="11"/>
  <c r="I4" i="11"/>
  <c r="H4" i="11"/>
  <c r="I16" i="11"/>
  <c r="H16" i="11"/>
  <c r="I24" i="11"/>
  <c r="H24" i="11"/>
  <c r="I36" i="11"/>
  <c r="H36" i="11"/>
  <c r="I44" i="11"/>
  <c r="H44" i="11"/>
  <c r="I60" i="11"/>
  <c r="H60" i="11"/>
  <c r="I72" i="11"/>
  <c r="H72" i="11"/>
  <c r="I84" i="11"/>
  <c r="H84" i="11"/>
  <c r="I96" i="11"/>
  <c r="H96" i="11"/>
  <c r="I108" i="11"/>
  <c r="H108" i="11"/>
  <c r="I120" i="11"/>
  <c r="H120" i="11"/>
  <c r="I132" i="11"/>
  <c r="H132" i="11"/>
  <c r="I140" i="11"/>
  <c r="H140" i="11"/>
  <c r="I152" i="11"/>
  <c r="H152" i="11"/>
  <c r="I164" i="11"/>
  <c r="H164" i="11"/>
  <c r="I176" i="11"/>
  <c r="H176" i="11"/>
  <c r="I188" i="11"/>
  <c r="H188" i="11"/>
  <c r="I200" i="11"/>
  <c r="H200" i="11"/>
  <c r="I204" i="11"/>
  <c r="H204" i="11"/>
  <c r="I1581" i="11"/>
  <c r="H1581" i="11"/>
  <c r="I1629" i="11"/>
  <c r="H1629" i="11"/>
  <c r="I1677" i="11"/>
  <c r="H1677" i="11"/>
  <c r="I1698" i="11"/>
  <c r="H1698" i="11"/>
  <c r="I1734" i="11"/>
  <c r="H1734" i="11"/>
  <c r="I1750" i="11"/>
  <c r="H1750" i="11"/>
  <c r="I2" i="11"/>
  <c r="H2" i="11"/>
  <c r="I10" i="11"/>
  <c r="H10" i="11"/>
  <c r="I18" i="11"/>
  <c r="H18" i="11"/>
  <c r="I22" i="11"/>
  <c r="H22" i="11"/>
  <c r="I34" i="11"/>
  <c r="H34" i="11"/>
  <c r="I42" i="11"/>
  <c r="H42" i="11"/>
  <c r="I50" i="11"/>
  <c r="H50" i="11"/>
  <c r="I58" i="11"/>
  <c r="H58" i="11"/>
  <c r="I62" i="11"/>
  <c r="H62" i="11"/>
  <c r="I70" i="11"/>
  <c r="H70" i="11"/>
  <c r="I78" i="11"/>
  <c r="H78" i="11"/>
  <c r="I90" i="11"/>
  <c r="H90" i="11"/>
  <c r="I98" i="11"/>
  <c r="H98" i="11"/>
  <c r="I102" i="11"/>
  <c r="H102" i="11"/>
  <c r="I110" i="11"/>
  <c r="H110" i="11"/>
  <c r="I118" i="11"/>
  <c r="H118" i="11"/>
  <c r="I126" i="11"/>
  <c r="H126" i="11"/>
  <c r="I134" i="11"/>
  <c r="H134" i="11"/>
  <c r="I142" i="11"/>
  <c r="H142" i="11"/>
  <c r="I150" i="11"/>
  <c r="H150" i="11"/>
  <c r="I158" i="11"/>
  <c r="H158" i="11"/>
  <c r="I166" i="11"/>
  <c r="H166" i="11"/>
  <c r="I174" i="11"/>
  <c r="H174" i="11"/>
  <c r="I182" i="11"/>
  <c r="H182" i="11"/>
  <c r="I190" i="11"/>
  <c r="H190" i="11"/>
  <c r="I206" i="11"/>
  <c r="H206" i="11"/>
  <c r="I3" i="11"/>
  <c r="H3" i="11"/>
  <c r="I7" i="11"/>
  <c r="H7" i="11"/>
  <c r="I11" i="11"/>
  <c r="H11" i="11"/>
  <c r="I15" i="11"/>
  <c r="H15" i="11"/>
  <c r="I19" i="11"/>
  <c r="H19" i="11"/>
  <c r="I23" i="11"/>
  <c r="H23" i="11"/>
  <c r="I27" i="11"/>
  <c r="H27" i="11"/>
  <c r="I31" i="11"/>
  <c r="H31" i="11"/>
  <c r="I35" i="11"/>
  <c r="H35" i="11"/>
  <c r="I39" i="11"/>
  <c r="H39" i="11"/>
  <c r="I43" i="11"/>
  <c r="H43" i="11"/>
  <c r="I47" i="11"/>
  <c r="H47" i="11"/>
  <c r="I51" i="11"/>
  <c r="H51" i="11"/>
  <c r="I55" i="11"/>
  <c r="H55" i="11"/>
  <c r="I59" i="11"/>
  <c r="H59" i="11"/>
  <c r="I63" i="11"/>
  <c r="H63" i="11"/>
  <c r="I67" i="11"/>
  <c r="H67" i="11"/>
  <c r="I71" i="11"/>
  <c r="H71" i="11"/>
  <c r="I75" i="11"/>
  <c r="H75" i="11"/>
  <c r="I79" i="11"/>
  <c r="H79" i="11"/>
  <c r="I83" i="11"/>
  <c r="H83" i="11"/>
  <c r="I87" i="11"/>
  <c r="H87" i="11"/>
  <c r="I91" i="11"/>
  <c r="H91" i="11"/>
  <c r="I95" i="11"/>
  <c r="H95" i="11"/>
  <c r="I99" i="11"/>
  <c r="H99" i="11"/>
  <c r="I103" i="11"/>
  <c r="H103" i="11"/>
  <c r="I107" i="11"/>
  <c r="H107" i="11"/>
  <c r="I111" i="11"/>
  <c r="H111" i="11"/>
  <c r="I115" i="11"/>
  <c r="H115" i="11"/>
  <c r="I119" i="11"/>
  <c r="H119" i="11"/>
  <c r="I123" i="11"/>
  <c r="H123" i="11"/>
  <c r="I127" i="11"/>
  <c r="H127" i="11"/>
  <c r="I131" i="11"/>
  <c r="H131" i="11"/>
  <c r="I135" i="11"/>
  <c r="H135" i="11"/>
  <c r="I139" i="11"/>
  <c r="H139" i="11"/>
  <c r="I143" i="11"/>
  <c r="H143" i="11"/>
  <c r="I147" i="11"/>
  <c r="H147" i="11"/>
  <c r="I151" i="11"/>
  <c r="H151" i="11"/>
  <c r="I155" i="11"/>
  <c r="H155" i="11"/>
  <c r="I159" i="11"/>
  <c r="H159" i="11"/>
  <c r="I163" i="11"/>
  <c r="H163" i="11"/>
  <c r="I167" i="11"/>
  <c r="H167" i="11"/>
  <c r="I171" i="11"/>
  <c r="H171" i="11"/>
  <c r="I175" i="11"/>
  <c r="H175" i="11"/>
  <c r="I179" i="11"/>
  <c r="H179" i="11"/>
  <c r="I183" i="11"/>
  <c r="H183" i="11"/>
  <c r="I187" i="11"/>
  <c r="H187" i="11"/>
  <c r="I191" i="11"/>
  <c r="H191" i="11"/>
  <c r="I195" i="11"/>
  <c r="H195" i="11"/>
  <c r="I199" i="11"/>
  <c r="H199" i="11"/>
  <c r="I203" i="11"/>
  <c r="H203" i="11"/>
  <c r="I207" i="11"/>
  <c r="H207" i="11"/>
  <c r="I211" i="11"/>
  <c r="H211" i="11"/>
  <c r="I1562" i="11"/>
  <c r="H1562" i="11"/>
  <c r="I1578" i="11"/>
  <c r="H1578" i="11"/>
  <c r="I1594" i="11"/>
  <c r="H1594" i="11"/>
  <c r="I1610" i="11"/>
  <c r="H1610" i="11"/>
  <c r="I1626" i="11"/>
  <c r="H1626" i="11"/>
  <c r="I1642" i="11"/>
  <c r="H1642" i="11"/>
  <c r="I1658" i="11"/>
  <c r="H1658" i="11"/>
  <c r="I1674" i="11"/>
  <c r="H1674" i="11"/>
  <c r="I1690" i="11"/>
  <c r="H1690" i="11"/>
  <c r="I1722" i="11"/>
  <c r="H1722" i="11"/>
  <c r="I1738" i="11"/>
  <c r="H1738" i="11"/>
  <c r="I1754" i="11"/>
  <c r="H1754" i="11"/>
  <c r="I1770" i="11"/>
  <c r="H1770" i="11"/>
  <c r="I1786" i="11"/>
  <c r="H1786" i="11"/>
  <c r="F3" i="5"/>
  <c r="B3" i="5" s="1"/>
  <c r="F5" i="5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I1553" i="11"/>
  <c r="H1553" i="11"/>
  <c r="I1561" i="11"/>
  <c r="H1561" i="11"/>
  <c r="I1569" i="11"/>
  <c r="H1569" i="11"/>
  <c r="I1577" i="11"/>
  <c r="H1577" i="11"/>
  <c r="I1585" i="11"/>
  <c r="H1585" i="11"/>
  <c r="I1593" i="11"/>
  <c r="H1593" i="11"/>
  <c r="I1601" i="11"/>
  <c r="H1601" i="11"/>
  <c r="I1609" i="11"/>
  <c r="H1609" i="11"/>
  <c r="I1617" i="11"/>
  <c r="H1617" i="11"/>
  <c r="I1625" i="11"/>
  <c r="H1625" i="11"/>
  <c r="I1633" i="11"/>
  <c r="H1633" i="11"/>
  <c r="I1641" i="11"/>
  <c r="H1641" i="11"/>
  <c r="I1649" i="11"/>
  <c r="H1649" i="11"/>
  <c r="I1657" i="11"/>
  <c r="H1657" i="11"/>
  <c r="I1665" i="11"/>
  <c r="H1665" i="11"/>
  <c r="I1673" i="11"/>
  <c r="H1673" i="11"/>
  <c r="I1681" i="11"/>
  <c r="H1681" i="11"/>
  <c r="I1689" i="11"/>
  <c r="H1689" i="11"/>
  <c r="I1798" i="11"/>
  <c r="H1798" i="11"/>
  <c r="I1800" i="11"/>
  <c r="H1800" i="11"/>
  <c r="I1805" i="11"/>
  <c r="H1805" i="11"/>
  <c r="I1814" i="11"/>
  <c r="H1814" i="11"/>
  <c r="I1816" i="11"/>
  <c r="H1816" i="11"/>
  <c r="I1821" i="11"/>
  <c r="H1821" i="11"/>
  <c r="I1830" i="11"/>
  <c r="H1830" i="11"/>
  <c r="I1832" i="11"/>
  <c r="H1832" i="11"/>
  <c r="I1837" i="11"/>
  <c r="H1837" i="11"/>
  <c r="I1846" i="11"/>
  <c r="H1846" i="11"/>
  <c r="I1848" i="11"/>
  <c r="H1848" i="11"/>
  <c r="I1853" i="11"/>
  <c r="H1853" i="11"/>
  <c r="I1862" i="11"/>
  <c r="H1862" i="11"/>
  <c r="I1864" i="11"/>
  <c r="H1864" i="11"/>
  <c r="I1869" i="11"/>
  <c r="H1869" i="11"/>
  <c r="I1878" i="11"/>
  <c r="H1878" i="11"/>
  <c r="I1880" i="11"/>
  <c r="H1880" i="11"/>
  <c r="I1885" i="11"/>
  <c r="H1885" i="11"/>
  <c r="I1894" i="11"/>
  <c r="H1894" i="11"/>
  <c r="I1896" i="11"/>
  <c r="H1896" i="11"/>
  <c r="I1901" i="11"/>
  <c r="H1901" i="11"/>
  <c r="I1910" i="11"/>
  <c r="H1910" i="11"/>
  <c r="I1912" i="11"/>
  <c r="H1912" i="11"/>
  <c r="I1917" i="11"/>
  <c r="H1917" i="11"/>
  <c r="I1926" i="11"/>
  <c r="H1926" i="11"/>
  <c r="I1928" i="11"/>
  <c r="H1928" i="11"/>
  <c r="I1933" i="11"/>
  <c r="H1933" i="11"/>
  <c r="I1942" i="11"/>
  <c r="H1942" i="11"/>
  <c r="I1944" i="11"/>
  <c r="H1944" i="11"/>
  <c r="I1949" i="11"/>
  <c r="H1949" i="11"/>
  <c r="I1958" i="11"/>
  <c r="H1958" i="11"/>
  <c r="I1960" i="11"/>
  <c r="H1960" i="11"/>
  <c r="I1965" i="11"/>
  <c r="H1965" i="11"/>
  <c r="I1974" i="11"/>
  <c r="H1974" i="11"/>
  <c r="I1976" i="11"/>
  <c r="H1976" i="11"/>
  <c r="I1981" i="11"/>
  <c r="H1981" i="11"/>
  <c r="I1990" i="11"/>
  <c r="H1990" i="11"/>
  <c r="I1992" i="11"/>
  <c r="H1992" i="11"/>
  <c r="I1997" i="11"/>
  <c r="H1997" i="11"/>
  <c r="I2006" i="11"/>
  <c r="H2006" i="11"/>
  <c r="I2008" i="11"/>
  <c r="H2008" i="11"/>
  <c r="I2013" i="11"/>
  <c r="H2013" i="11"/>
  <c r="I2022" i="11"/>
  <c r="H2022" i="11"/>
  <c r="I2024" i="11"/>
  <c r="H2024" i="11"/>
  <c r="I2029" i="11"/>
  <c r="H2029" i="11"/>
  <c r="I2038" i="11"/>
  <c r="H2038" i="11"/>
  <c r="I2040" i="11"/>
  <c r="H2040" i="11"/>
  <c r="I2045" i="11"/>
  <c r="H2045" i="11"/>
  <c r="I2054" i="11"/>
  <c r="H2054" i="11"/>
  <c r="I2056" i="11"/>
  <c r="H2056" i="11"/>
  <c r="I2061" i="11"/>
  <c r="H2061" i="11"/>
  <c r="I2070" i="11"/>
  <c r="H2070" i="11"/>
  <c r="I2072" i="11"/>
  <c r="H2072" i="11"/>
  <c r="I2077" i="11"/>
  <c r="H2077" i="11"/>
  <c r="I2086" i="11"/>
  <c r="H2086" i="11"/>
  <c r="I2088" i="11"/>
  <c r="H2088" i="11"/>
  <c r="I2093" i="11"/>
  <c r="H2093" i="11"/>
  <c r="I2102" i="11"/>
  <c r="H2102" i="11"/>
  <c r="I2104" i="11"/>
  <c r="H2104" i="11"/>
  <c r="I2109" i="11"/>
  <c r="H2109" i="11"/>
  <c r="I2118" i="11"/>
  <c r="H2118" i="11"/>
  <c r="I2120" i="11"/>
  <c r="H2120" i="11"/>
  <c r="I2125" i="11"/>
  <c r="H2125" i="11"/>
  <c r="I2134" i="11"/>
  <c r="H2134" i="11"/>
  <c r="I2136" i="11"/>
  <c r="H2136" i="11"/>
  <c r="I2141" i="11"/>
  <c r="H2141" i="11"/>
  <c r="I2150" i="11"/>
  <c r="H2150" i="11"/>
  <c r="I2152" i="11"/>
  <c r="H2152" i="11"/>
  <c r="I2157" i="11"/>
  <c r="H2157" i="11"/>
  <c r="I2166" i="11"/>
  <c r="H2166" i="11"/>
  <c r="I2168" i="11"/>
  <c r="H2168" i="11"/>
  <c r="I2173" i="11"/>
  <c r="H2173" i="11"/>
  <c r="I2182" i="11"/>
  <c r="H2182" i="11"/>
  <c r="I2184" i="11"/>
  <c r="H2184" i="11"/>
  <c r="I2189" i="11"/>
  <c r="H2189" i="11"/>
  <c r="I2198" i="11"/>
  <c r="H2198" i="11"/>
  <c r="I2200" i="11"/>
  <c r="H2200" i="11"/>
  <c r="I2205" i="11"/>
  <c r="H2205" i="11"/>
  <c r="I2214" i="11"/>
  <c r="H2214" i="11"/>
  <c r="I2216" i="11"/>
  <c r="H2216" i="11"/>
  <c r="I2221" i="11"/>
  <c r="H2221" i="11"/>
  <c r="I2230" i="11"/>
  <c r="H2230" i="11"/>
  <c r="I2232" i="11"/>
  <c r="H2232" i="11"/>
  <c r="I2237" i="11"/>
  <c r="H2237" i="11"/>
  <c r="I2246" i="11"/>
  <c r="H2246" i="11"/>
  <c r="I2248" i="11"/>
  <c r="H2248" i="11"/>
  <c r="I2253" i="11"/>
  <c r="H2253" i="11"/>
  <c r="I2262" i="11"/>
  <c r="H2262" i="11"/>
  <c r="I2264" i="11"/>
  <c r="H2264" i="11"/>
  <c r="I2269" i="11"/>
  <c r="H2269" i="11"/>
  <c r="I2278" i="11"/>
  <c r="H2278" i="11"/>
  <c r="I2280" i="11"/>
  <c r="H2280" i="11"/>
  <c r="I2285" i="11"/>
  <c r="H2285" i="11"/>
  <c r="I2294" i="11"/>
  <c r="H2294" i="11"/>
  <c r="I2296" i="11"/>
  <c r="H2296" i="11"/>
  <c r="I2301" i="11"/>
  <c r="H2301" i="11"/>
  <c r="I2310" i="11"/>
  <c r="H2310" i="11"/>
  <c r="I2312" i="11"/>
  <c r="H2312" i="11"/>
  <c r="I2317" i="11"/>
  <c r="H2317" i="11"/>
  <c r="I2326" i="11"/>
  <c r="H2326" i="11"/>
  <c r="I2328" i="11"/>
  <c r="H2328" i="11"/>
  <c r="I2333" i="11"/>
  <c r="H2333" i="11"/>
  <c r="I2342" i="11"/>
  <c r="H2342" i="11"/>
  <c r="I2344" i="11"/>
  <c r="H2344" i="11"/>
  <c r="I2349" i="11"/>
  <c r="H2349" i="11"/>
  <c r="I2358" i="11"/>
  <c r="H2358" i="11"/>
  <c r="I2360" i="11"/>
  <c r="H2360" i="11"/>
  <c r="I2365" i="11"/>
  <c r="H2365" i="11"/>
  <c r="I2374" i="11"/>
  <c r="H2374" i="11"/>
  <c r="I2376" i="11"/>
  <c r="H2376" i="11"/>
  <c r="I2381" i="11"/>
  <c r="H2381" i="11"/>
  <c r="I2390" i="11"/>
  <c r="H2390" i="11"/>
  <c r="I2392" i="11"/>
  <c r="H2392" i="11"/>
  <c r="I2397" i="11"/>
  <c r="H2397" i="11"/>
  <c r="I2406" i="11"/>
  <c r="H2406" i="11"/>
  <c r="I2408" i="11"/>
  <c r="H2408" i="11"/>
  <c r="I2413" i="11"/>
  <c r="H2413" i="11"/>
  <c r="I2422" i="11"/>
  <c r="H2422" i="11"/>
  <c r="I2424" i="11"/>
  <c r="H2424" i="11"/>
  <c r="I2429" i="11"/>
  <c r="H2429" i="11"/>
  <c r="I2438" i="11"/>
  <c r="H2438" i="11"/>
  <c r="I2440" i="11"/>
  <c r="H2440" i="11"/>
  <c r="I2445" i="11"/>
  <c r="H2445" i="11"/>
  <c r="I2454" i="11"/>
  <c r="H2454" i="11"/>
  <c r="I2456" i="11"/>
  <c r="H2456" i="11"/>
  <c r="I2461" i="11"/>
  <c r="H2461" i="11"/>
  <c r="I2470" i="11"/>
  <c r="H2470" i="11"/>
  <c r="I2472" i="11"/>
  <c r="H2472" i="11"/>
  <c r="I2477" i="11"/>
  <c r="H2477" i="11"/>
  <c r="I2486" i="11"/>
  <c r="H2486" i="11"/>
  <c r="I2488" i="11"/>
  <c r="H2488" i="11"/>
  <c r="I2493" i="11"/>
  <c r="H2493" i="11"/>
  <c r="I2502" i="11"/>
  <c r="H2502" i="11"/>
  <c r="I2504" i="11"/>
  <c r="H2504" i="11"/>
  <c r="I2509" i="11"/>
  <c r="H2509" i="11"/>
  <c r="I2518" i="11"/>
  <c r="H2518" i="11"/>
  <c r="I2520" i="11"/>
  <c r="H2520" i="11"/>
  <c r="I2525" i="11"/>
  <c r="H2525" i="11"/>
  <c r="I2534" i="11"/>
  <c r="H2534" i="11"/>
  <c r="I2536" i="11"/>
  <c r="H2536" i="11"/>
  <c r="I2541" i="11"/>
  <c r="H2541" i="11"/>
  <c r="I2550" i="11"/>
  <c r="H2550" i="11"/>
  <c r="I2552" i="11"/>
  <c r="H2552" i="11"/>
  <c r="I2557" i="11"/>
  <c r="H2557" i="11"/>
  <c r="I2566" i="11"/>
  <c r="H2566" i="11"/>
  <c r="I2568" i="11"/>
  <c r="H2568" i="11"/>
  <c r="I2573" i="11"/>
  <c r="H2573" i="11"/>
  <c r="I2582" i="11"/>
  <c r="H2582" i="11"/>
  <c r="I2584" i="11"/>
  <c r="H2584" i="11"/>
  <c r="I2589" i="11"/>
  <c r="H2589" i="11"/>
  <c r="I2598" i="11"/>
  <c r="H2598" i="11"/>
  <c r="I2600" i="11"/>
  <c r="H2600" i="11"/>
  <c r="I2605" i="11"/>
  <c r="H2605" i="11"/>
  <c r="I2614" i="11"/>
  <c r="H2614" i="11"/>
  <c r="I2616" i="11"/>
  <c r="H2616" i="11"/>
  <c r="I2621" i="11"/>
  <c r="H2621" i="11"/>
  <c r="I2630" i="11"/>
  <c r="H2630" i="11"/>
  <c r="I2632" i="11"/>
  <c r="H2632" i="11"/>
  <c r="I2637" i="11"/>
  <c r="H2637" i="11"/>
  <c r="I2646" i="11"/>
  <c r="H2646" i="11"/>
  <c r="I2648" i="11"/>
  <c r="H2648" i="11"/>
  <c r="I2653" i="11"/>
  <c r="H2653" i="11"/>
  <c r="I2662" i="11"/>
  <c r="H2662" i="11"/>
  <c r="I2664" i="11"/>
  <c r="H2664" i="11"/>
  <c r="I2669" i="11"/>
  <c r="H2669" i="11"/>
  <c r="I2678" i="11"/>
  <c r="H2678" i="11"/>
  <c r="I2680" i="11"/>
  <c r="H2680" i="11"/>
  <c r="I2685" i="11"/>
  <c r="H2685" i="11"/>
  <c r="I2694" i="11"/>
  <c r="H2694" i="11"/>
  <c r="I2696" i="11"/>
  <c r="H2696" i="11"/>
  <c r="I2701" i="11"/>
  <c r="H2701" i="11"/>
  <c r="I2710" i="11"/>
  <c r="H2710" i="11"/>
  <c r="I2712" i="11"/>
  <c r="H2712" i="11"/>
  <c r="I2717" i="11"/>
  <c r="H2717" i="11"/>
  <c r="I2726" i="11"/>
  <c r="H2726" i="11"/>
  <c r="I2728" i="11"/>
  <c r="H2728" i="11"/>
  <c r="I2733" i="11"/>
  <c r="H2733" i="11"/>
  <c r="I2742" i="11"/>
  <c r="H2742" i="11"/>
  <c r="I2744" i="11"/>
  <c r="H2744" i="11"/>
  <c r="I2749" i="11"/>
  <c r="H2749" i="11"/>
  <c r="I2758" i="11"/>
  <c r="H2758" i="11"/>
  <c r="I2760" i="11"/>
  <c r="H2760" i="11"/>
  <c r="I2765" i="11"/>
  <c r="H2765" i="11"/>
  <c r="I2774" i="11"/>
  <c r="H2774" i="11"/>
  <c r="I2776" i="11"/>
  <c r="H2776" i="11"/>
  <c r="I2781" i="11"/>
  <c r="H2781" i="11"/>
  <c r="I2790" i="11"/>
  <c r="H2790" i="11"/>
  <c r="I2792" i="11"/>
  <c r="H2792" i="11"/>
  <c r="I2797" i="11"/>
  <c r="H2797" i="11"/>
  <c r="I2806" i="11"/>
  <c r="H2806" i="11"/>
  <c r="I2808" i="11"/>
  <c r="H2808" i="11"/>
  <c r="I2813" i="11"/>
  <c r="H2813" i="11"/>
  <c r="I2822" i="11"/>
  <c r="H2822" i="11"/>
  <c r="I2824" i="11"/>
  <c r="H2824" i="11"/>
  <c r="I2829" i="11"/>
  <c r="H2829" i="11"/>
  <c r="I2838" i="11"/>
  <c r="H2838" i="11"/>
  <c r="I2840" i="11"/>
  <c r="H2840" i="11"/>
  <c r="I2845" i="11"/>
  <c r="H2845" i="11"/>
  <c r="I2854" i="11"/>
  <c r="H2854" i="11"/>
  <c r="I2856" i="11"/>
  <c r="H2856" i="11"/>
  <c r="I2861" i="11"/>
  <c r="H2861" i="11"/>
  <c r="I2870" i="11"/>
  <c r="H2870" i="11"/>
  <c r="I2872" i="11"/>
  <c r="H2872" i="11"/>
  <c r="I2877" i="11"/>
  <c r="H2877" i="11"/>
  <c r="I2886" i="11"/>
  <c r="H2886" i="11"/>
  <c r="I2888" i="11"/>
  <c r="H2888" i="11"/>
  <c r="I2893" i="11"/>
  <c r="H2893" i="11"/>
  <c r="I2902" i="11"/>
  <c r="H2902" i="11"/>
  <c r="I2904" i="11"/>
  <c r="H2904" i="11"/>
  <c r="I2909" i="11"/>
  <c r="H2909" i="11"/>
  <c r="I2918" i="11"/>
  <c r="H2918" i="11"/>
  <c r="I2920" i="11"/>
  <c r="H2920" i="11"/>
  <c r="I2925" i="11"/>
  <c r="H2925" i="11"/>
  <c r="I2934" i="11"/>
  <c r="H2934" i="11"/>
  <c r="I2936" i="11"/>
  <c r="H2936" i="11"/>
  <c r="I2941" i="11"/>
  <c r="H2941" i="11"/>
  <c r="I2950" i="11"/>
  <c r="H2950" i="11"/>
  <c r="I2952" i="11"/>
  <c r="H2952" i="11"/>
  <c r="I2957" i="11"/>
  <c r="H2957" i="11"/>
  <c r="I2966" i="11"/>
  <c r="H2966" i="11"/>
  <c r="I2968" i="11"/>
  <c r="H2968" i="11"/>
  <c r="I2973" i="11"/>
  <c r="H2973" i="11"/>
  <c r="I2982" i="11"/>
  <c r="H2982" i="11"/>
  <c r="I2984" i="11"/>
  <c r="H2984" i="11"/>
  <c r="I2989" i="11"/>
  <c r="H2989" i="11"/>
  <c r="I2998" i="11"/>
  <c r="H2998" i="11"/>
  <c r="I3000" i="11"/>
  <c r="H3000" i="11"/>
  <c r="I3005" i="11"/>
  <c r="H3005" i="11"/>
  <c r="I3014" i="11"/>
  <c r="H3014" i="11"/>
  <c r="I3016" i="11"/>
  <c r="H3016" i="11"/>
  <c r="I3021" i="11"/>
  <c r="H3021" i="11"/>
  <c r="I3030" i="11"/>
  <c r="H3030" i="11"/>
  <c r="I3032" i="11"/>
  <c r="H3032" i="11"/>
  <c r="I3037" i="11"/>
  <c r="H3037" i="11"/>
  <c r="I3046" i="11"/>
  <c r="H3046" i="11"/>
  <c r="I3048" i="11"/>
  <c r="H3048" i="11"/>
  <c r="I3053" i="11"/>
  <c r="H3053" i="11"/>
  <c r="I3062" i="11"/>
  <c r="H3062" i="11"/>
  <c r="I3064" i="11"/>
  <c r="H3064" i="11"/>
  <c r="I3069" i="11"/>
  <c r="H3069" i="11"/>
  <c r="I3078" i="11"/>
  <c r="H3078" i="11"/>
  <c r="I3080" i="11"/>
  <c r="H3080" i="11"/>
  <c r="I3085" i="11"/>
  <c r="H3085" i="11"/>
  <c r="I3094" i="11"/>
  <c r="H3094" i="11"/>
  <c r="I3096" i="11"/>
  <c r="H3096" i="11"/>
  <c r="I3101" i="11"/>
  <c r="H3101" i="11"/>
  <c r="I3110" i="11"/>
  <c r="H3110" i="11"/>
  <c r="I3112" i="11"/>
  <c r="H3112" i="11"/>
  <c r="I3117" i="11"/>
  <c r="H3117" i="11"/>
  <c r="I3126" i="11"/>
  <c r="H3126" i="11"/>
  <c r="I3128" i="11"/>
  <c r="H3128" i="11"/>
  <c r="I3133" i="11"/>
  <c r="H3133" i="11"/>
  <c r="I3142" i="11"/>
  <c r="H3142" i="11"/>
  <c r="I3144" i="11"/>
  <c r="H3144" i="11"/>
  <c r="I3149" i="11"/>
  <c r="H3149" i="11"/>
  <c r="I3158" i="11"/>
  <c r="H3158" i="11"/>
  <c r="I3160" i="11"/>
  <c r="H3160" i="11"/>
  <c r="I3165" i="11"/>
  <c r="H3165" i="11"/>
  <c r="I3174" i="11"/>
  <c r="H3174" i="11"/>
  <c r="I3176" i="11"/>
  <c r="H3176" i="11"/>
  <c r="I3181" i="11"/>
  <c r="H3181" i="11"/>
  <c r="I3190" i="11"/>
  <c r="H3190" i="11"/>
  <c r="I3192" i="11"/>
  <c r="H3192" i="11"/>
  <c r="I3197" i="11"/>
  <c r="H3197" i="11"/>
  <c r="I3206" i="11"/>
  <c r="H3206" i="11"/>
  <c r="I3208" i="11"/>
  <c r="H3208" i="11"/>
  <c r="I3213" i="11"/>
  <c r="H3213" i="11"/>
  <c r="I3222" i="11"/>
  <c r="H3222" i="11"/>
  <c r="I3224" i="11"/>
  <c r="H3224" i="11"/>
  <c r="I3229" i="11"/>
  <c r="H3229" i="11"/>
  <c r="I3238" i="11"/>
  <c r="H3238" i="11"/>
  <c r="I3240" i="11"/>
  <c r="H3240" i="11"/>
  <c r="I3245" i="11"/>
  <c r="H3245" i="11"/>
  <c r="I3254" i="11"/>
  <c r="H3254" i="11"/>
  <c r="I3256" i="11"/>
  <c r="H3256" i="11"/>
  <c r="I3261" i="11"/>
  <c r="H3261" i="11"/>
  <c r="I3270" i="11"/>
  <c r="H3270" i="11"/>
  <c r="I3272" i="11"/>
  <c r="H3272" i="11"/>
  <c r="I3277" i="11"/>
  <c r="H3277" i="11"/>
  <c r="I3286" i="11"/>
  <c r="H3286" i="11"/>
  <c r="I3288" i="11"/>
  <c r="H3288" i="11"/>
  <c r="I3293" i="11"/>
  <c r="H3293" i="11"/>
  <c r="I3302" i="11"/>
  <c r="H3302" i="11"/>
  <c r="I3304" i="11"/>
  <c r="H3304" i="11"/>
  <c r="I3309" i="11"/>
  <c r="H3309" i="11"/>
  <c r="I3318" i="11"/>
  <c r="H3318" i="11"/>
  <c r="I3320" i="11"/>
  <c r="H3320" i="11"/>
  <c r="I3325" i="11"/>
  <c r="H3325" i="11"/>
  <c r="I3334" i="11"/>
  <c r="H3334" i="11"/>
  <c r="I3336" i="11"/>
  <c r="H3336" i="11"/>
  <c r="I3341" i="11"/>
  <c r="H3341" i="11"/>
  <c r="I3350" i="11"/>
  <c r="H3350" i="11"/>
  <c r="I3352" i="11"/>
  <c r="H3352" i="11"/>
  <c r="I3357" i="11"/>
  <c r="H3357" i="11"/>
  <c r="I3366" i="11"/>
  <c r="H3366" i="11"/>
  <c r="I3368" i="11"/>
  <c r="H3368" i="11"/>
  <c r="I3373" i="11"/>
  <c r="H3373" i="11"/>
  <c r="I3382" i="11"/>
  <c r="H3382" i="11"/>
  <c r="I3384" i="11"/>
  <c r="H3384" i="11"/>
  <c r="I3389" i="11"/>
  <c r="H3389" i="11"/>
  <c r="I3398" i="11"/>
  <c r="H3398" i="11"/>
  <c r="I3400" i="11"/>
  <c r="H3400" i="11"/>
  <c r="I3405" i="11"/>
  <c r="H3405" i="11"/>
  <c r="I3414" i="11"/>
  <c r="H3414" i="11"/>
  <c r="I3416" i="11"/>
  <c r="H3416" i="11"/>
  <c r="I3421" i="11"/>
  <c r="H3421" i="11"/>
  <c r="I3430" i="11"/>
  <c r="H3430" i="11"/>
  <c r="I3432" i="11"/>
  <c r="H3432" i="11"/>
  <c r="I3437" i="11"/>
  <c r="H3437" i="11"/>
  <c r="I3446" i="11"/>
  <c r="H3446" i="11"/>
  <c r="I3448" i="11"/>
  <c r="H3448" i="11"/>
  <c r="I3453" i="11"/>
  <c r="H3453" i="11"/>
  <c r="I3462" i="11"/>
  <c r="H3462" i="11"/>
  <c r="I3464" i="11"/>
  <c r="H3464" i="11"/>
  <c r="I3469" i="11"/>
  <c r="H3469" i="11"/>
  <c r="I3478" i="11"/>
  <c r="H3478" i="11"/>
  <c r="I3480" i="11"/>
  <c r="H3480" i="11"/>
  <c r="I3485" i="11"/>
  <c r="H3485" i="11"/>
  <c r="I3494" i="11"/>
  <c r="H3494" i="11"/>
  <c r="I3496" i="11"/>
  <c r="H3496" i="11"/>
  <c r="I3501" i="11"/>
  <c r="H3501" i="11"/>
  <c r="I3510" i="11"/>
  <c r="H3510" i="11"/>
  <c r="I3512" i="11"/>
  <c r="H3512" i="11"/>
  <c r="I3517" i="11"/>
  <c r="H3517" i="11"/>
  <c r="I3526" i="11"/>
  <c r="H3526" i="11"/>
  <c r="I3528" i="11"/>
  <c r="H3528" i="11"/>
  <c r="I3533" i="11"/>
  <c r="H3533" i="11"/>
  <c r="I3542" i="11"/>
  <c r="H3542" i="11"/>
  <c r="I3544" i="11"/>
  <c r="H3544" i="11"/>
  <c r="I3549" i="11"/>
  <c r="H3549" i="11"/>
  <c r="I3558" i="11"/>
  <c r="H3558" i="11"/>
  <c r="I3560" i="11"/>
  <c r="H3560" i="11"/>
  <c r="I3565" i="11"/>
  <c r="H3565" i="11"/>
  <c r="I3574" i="11"/>
  <c r="H3574" i="11"/>
  <c r="I3576" i="11"/>
  <c r="H3576" i="11"/>
  <c r="I3581" i="11"/>
  <c r="H3581" i="11"/>
  <c r="I3590" i="11"/>
  <c r="H3590" i="11"/>
  <c r="I3592" i="11"/>
  <c r="H3592" i="11"/>
  <c r="I3597" i="11"/>
  <c r="H3597" i="11"/>
  <c r="I3606" i="11"/>
  <c r="H3606" i="11"/>
  <c r="I3608" i="11"/>
  <c r="H3608" i="11"/>
  <c r="I3613" i="11"/>
  <c r="H3613" i="11"/>
  <c r="I3622" i="11"/>
  <c r="H3622" i="11"/>
  <c r="I3624" i="11"/>
  <c r="H3624" i="11"/>
  <c r="I3629" i="11"/>
  <c r="H3629" i="11"/>
  <c r="I3638" i="11"/>
  <c r="H3638" i="11"/>
  <c r="I3640" i="11"/>
  <c r="H3640" i="11"/>
  <c r="I3645" i="11"/>
  <c r="H3645" i="11"/>
  <c r="I3654" i="11"/>
  <c r="H3654" i="11"/>
  <c r="I3656" i="11"/>
  <c r="H3656" i="11"/>
  <c r="I3661" i="11"/>
  <c r="H3661" i="11"/>
  <c r="I3670" i="11"/>
  <c r="H3670" i="11"/>
  <c r="I3672" i="11"/>
  <c r="H3672" i="11"/>
  <c r="I3677" i="11"/>
  <c r="H3677" i="11"/>
  <c r="I3686" i="11"/>
  <c r="H3686" i="11"/>
  <c r="I3688" i="11"/>
  <c r="H3688" i="11"/>
  <c r="I3693" i="11"/>
  <c r="H3693" i="11"/>
  <c r="I3702" i="11"/>
  <c r="H3702" i="11"/>
  <c r="I3704" i="11"/>
  <c r="H3704" i="11"/>
  <c r="I3709" i="11"/>
  <c r="H3709" i="11"/>
  <c r="I3718" i="11"/>
  <c r="H3718" i="11"/>
  <c r="I3720" i="11"/>
  <c r="H3720" i="11"/>
  <c r="I3725" i="11"/>
  <c r="H3725" i="11"/>
  <c r="I3734" i="11"/>
  <c r="H3734" i="11"/>
  <c r="I3736" i="11"/>
  <c r="H3736" i="11"/>
  <c r="I3741" i="11"/>
  <c r="H3741" i="11"/>
  <c r="I3750" i="11"/>
  <c r="H3750" i="11"/>
  <c r="I3752" i="11"/>
  <c r="H3752" i="11"/>
  <c r="I3757" i="11"/>
  <c r="H3757" i="11"/>
  <c r="I3766" i="11"/>
  <c r="H3766" i="11"/>
  <c r="I3768" i="11"/>
  <c r="H3768" i="11"/>
  <c r="I3773" i="11"/>
  <c r="H3773" i="11"/>
  <c r="I3782" i="11"/>
  <c r="H3782" i="11"/>
  <c r="I3784" i="11"/>
  <c r="H3784" i="11"/>
  <c r="I3789" i="11"/>
  <c r="H3789" i="11"/>
  <c r="I3798" i="11"/>
  <c r="H3798" i="11"/>
  <c r="I3800" i="11"/>
  <c r="H3800" i="11"/>
  <c r="I3805" i="11"/>
  <c r="H3805" i="11"/>
  <c r="I3814" i="11"/>
  <c r="H3814" i="11"/>
  <c r="I3816" i="11"/>
  <c r="H3816" i="11"/>
  <c r="I3821" i="11"/>
  <c r="H3821" i="11"/>
  <c r="I3830" i="11"/>
  <c r="H3830" i="11"/>
  <c r="I3832" i="11"/>
  <c r="H3832" i="11"/>
  <c r="I3837" i="11"/>
  <c r="H3837" i="11"/>
  <c r="I3846" i="11"/>
  <c r="H3846" i="11"/>
  <c r="I3848" i="11"/>
  <c r="H3848" i="11"/>
  <c r="I3853" i="11"/>
  <c r="H3853" i="11"/>
  <c r="I3862" i="11"/>
  <c r="H3862" i="11"/>
  <c r="I3864" i="11"/>
  <c r="H3864" i="11"/>
  <c r="I3869" i="11"/>
  <c r="H3869" i="11"/>
  <c r="I3878" i="11"/>
  <c r="H3878" i="11"/>
  <c r="I3880" i="11"/>
  <c r="H3880" i="11"/>
  <c r="I3885" i="11"/>
  <c r="H3885" i="11"/>
  <c r="I3894" i="11"/>
  <c r="H3894" i="11"/>
  <c r="I3896" i="11"/>
  <c r="H3896" i="11"/>
  <c r="I3901" i="11"/>
  <c r="H3901" i="11"/>
  <c r="I3910" i="11"/>
  <c r="H3910" i="11"/>
  <c r="I3912" i="11"/>
  <c r="H3912" i="11"/>
  <c r="I3917" i="11"/>
  <c r="H3917" i="11"/>
  <c r="I3926" i="11"/>
  <c r="H3926" i="11"/>
  <c r="I3928" i="11"/>
  <c r="H3928" i="11"/>
  <c r="I3933" i="11"/>
  <c r="H3933" i="11"/>
  <c r="I3942" i="11"/>
  <c r="H3942" i="11"/>
  <c r="I3944" i="11"/>
  <c r="H3944" i="11"/>
  <c r="I3949" i="11"/>
  <c r="H3949" i="11"/>
  <c r="I3958" i="11"/>
  <c r="H3958" i="11"/>
  <c r="I3960" i="11"/>
  <c r="H3960" i="11"/>
  <c r="I3965" i="11"/>
  <c r="H3965" i="11"/>
  <c r="I3974" i="11"/>
  <c r="H3974" i="11"/>
  <c r="I3976" i="11"/>
  <c r="H3976" i="11"/>
  <c r="I3981" i="11"/>
  <c r="H3981" i="11"/>
  <c r="I3990" i="11"/>
  <c r="H3990" i="11"/>
  <c r="I3992" i="11"/>
  <c r="H3992" i="11"/>
  <c r="I3997" i="11"/>
  <c r="H3997" i="11"/>
  <c r="I4006" i="11"/>
  <c r="H4006" i="11"/>
  <c r="I4008" i="11"/>
  <c r="H4008" i="11"/>
  <c r="I4013" i="11"/>
  <c r="H4013" i="11"/>
  <c r="I4022" i="11"/>
  <c r="H4022" i="11"/>
  <c r="I4024" i="11"/>
  <c r="H4024" i="11"/>
  <c r="I4029" i="11"/>
  <c r="H4029" i="11"/>
  <c r="I4038" i="11"/>
  <c r="H4038" i="11"/>
  <c r="I4040" i="11"/>
  <c r="H4040" i="11"/>
  <c r="I4045" i="11"/>
  <c r="H4045" i="11"/>
  <c r="I4054" i="11"/>
  <c r="H4054" i="11"/>
  <c r="I4056" i="11"/>
  <c r="H4056" i="11"/>
  <c r="I4061" i="11"/>
  <c r="H4061" i="11"/>
  <c r="I4070" i="11"/>
  <c r="H4070" i="11"/>
  <c r="I4072" i="11"/>
  <c r="H4072" i="11"/>
  <c r="I4077" i="11"/>
  <c r="H4077" i="11"/>
  <c r="I4086" i="11"/>
  <c r="H4086" i="11"/>
  <c r="I4088" i="11"/>
  <c r="H4088" i="11"/>
  <c r="I4093" i="11"/>
  <c r="H4093" i="11"/>
  <c r="I4102" i="11"/>
  <c r="H4102" i="11"/>
  <c r="I4104" i="11"/>
  <c r="H4104" i="11"/>
  <c r="I4109" i="11"/>
  <c r="H4109" i="11"/>
  <c r="I4118" i="11"/>
  <c r="H4118" i="11"/>
  <c r="I4120" i="11"/>
  <c r="H4120" i="11"/>
  <c r="I4125" i="11"/>
  <c r="H4125" i="11"/>
  <c r="I4134" i="11"/>
  <c r="H4134" i="11"/>
  <c r="I4136" i="11"/>
  <c r="H4136" i="11"/>
  <c r="I4141" i="11"/>
  <c r="H4141" i="11"/>
  <c r="I4150" i="11"/>
  <c r="H4150" i="11"/>
  <c r="I4152" i="11"/>
  <c r="H4152" i="11"/>
  <c r="I4157" i="11"/>
  <c r="H4157" i="11"/>
  <c r="I4166" i="11"/>
  <c r="H4166" i="11"/>
  <c r="I4168" i="11"/>
  <c r="H4168" i="11"/>
  <c r="I4173" i="11"/>
  <c r="H4173" i="11"/>
  <c r="I4182" i="11"/>
  <c r="H4182" i="11"/>
  <c r="I4184" i="11"/>
  <c r="H4184" i="11"/>
  <c r="I4189" i="11"/>
  <c r="H4189" i="11"/>
  <c r="I4198" i="11"/>
  <c r="H4198" i="11"/>
  <c r="I4200" i="11"/>
  <c r="H4200" i="11"/>
  <c r="I4205" i="11"/>
  <c r="H4205" i="11"/>
  <c r="I4214" i="11"/>
  <c r="H4214" i="11"/>
  <c r="I4216" i="11"/>
  <c r="H4216" i="11"/>
  <c r="I4221" i="11"/>
  <c r="H4221" i="11"/>
  <c r="I4230" i="11"/>
  <c r="H4230" i="11"/>
  <c r="I4232" i="11"/>
  <c r="H4232" i="11"/>
  <c r="I4237" i="11"/>
  <c r="H4237" i="11"/>
  <c r="I4246" i="11"/>
  <c r="H4246" i="11"/>
  <c r="I4248" i="11"/>
  <c r="H4248" i="11"/>
  <c r="I4253" i="11"/>
  <c r="H4253" i="11"/>
  <c r="I4262" i="11"/>
  <c r="H4262" i="11"/>
  <c r="I4264" i="11"/>
  <c r="H4264" i="11"/>
  <c r="I4269" i="11"/>
  <c r="H4269" i="11"/>
  <c r="I4278" i="11"/>
  <c r="H4278" i="11"/>
  <c r="I4280" i="11"/>
  <c r="H4280" i="11"/>
  <c r="I4285" i="11"/>
  <c r="H4285" i="11"/>
  <c r="I4294" i="11"/>
  <c r="H4294" i="11"/>
  <c r="I4296" i="11"/>
  <c r="H4296" i="11"/>
  <c r="I4301" i="11"/>
  <c r="H4301" i="11"/>
  <c r="I4310" i="11"/>
  <c r="H4310" i="11"/>
  <c r="I4312" i="11"/>
  <c r="H4312" i="11"/>
  <c r="I4317" i="11"/>
  <c r="H4317" i="11"/>
  <c r="I4326" i="11"/>
  <c r="H4326" i="11"/>
  <c r="I4328" i="11"/>
  <c r="H4328" i="11"/>
  <c r="I4333" i="11"/>
  <c r="H4333" i="11"/>
  <c r="I4342" i="11"/>
  <c r="H4342" i="11"/>
  <c r="I4344" i="11"/>
  <c r="H4344" i="11"/>
  <c r="I4349" i="11"/>
  <c r="H4349" i="11"/>
  <c r="I4358" i="11"/>
  <c r="H4358" i="11"/>
  <c r="I4360" i="11"/>
  <c r="H4360" i="11"/>
  <c r="I4365" i="11"/>
  <c r="H4365" i="11"/>
  <c r="I4374" i="11"/>
  <c r="H4374" i="11"/>
  <c r="I4376" i="11"/>
  <c r="H4376" i="11"/>
  <c r="I4381" i="11"/>
  <c r="H4381" i="11"/>
  <c r="I4390" i="11"/>
  <c r="H4390" i="11"/>
  <c r="I4392" i="11"/>
  <c r="H4392" i="11"/>
  <c r="I4397" i="11"/>
  <c r="H4397" i="11"/>
  <c r="I4406" i="11"/>
  <c r="H4406" i="11"/>
  <c r="I4408" i="11"/>
  <c r="H4408" i="11"/>
  <c r="I4413" i="11"/>
  <c r="H4413" i="11"/>
  <c r="I4422" i="11"/>
  <c r="H4422" i="11"/>
  <c r="I4424" i="11"/>
  <c r="H4424" i="11"/>
  <c r="I4429" i="11"/>
  <c r="H4429" i="11"/>
  <c r="I4438" i="11"/>
  <c r="H4438" i="11"/>
  <c r="I4440" i="11"/>
  <c r="H4440" i="11"/>
  <c r="I4445" i="11"/>
  <c r="H4445" i="11"/>
  <c r="I4454" i="11"/>
  <c r="H4454" i="11"/>
  <c r="I4456" i="11"/>
  <c r="H4456" i="11"/>
  <c r="I4461" i="11"/>
  <c r="H4461" i="11"/>
  <c r="I4470" i="11"/>
  <c r="H4470" i="11"/>
  <c r="I4472" i="11"/>
  <c r="H4472" i="11"/>
  <c r="I4477" i="11"/>
  <c r="H4477" i="11"/>
  <c r="I4486" i="11"/>
  <c r="H4486" i="11"/>
  <c r="I4488" i="11"/>
  <c r="H4488" i="11"/>
  <c r="I4493" i="11"/>
  <c r="H4493" i="11"/>
  <c r="I4502" i="11"/>
  <c r="H4502" i="11"/>
  <c r="I4504" i="11"/>
  <c r="H4504" i="11"/>
  <c r="I4509" i="11"/>
  <c r="H4509" i="11"/>
  <c r="I4518" i="11"/>
  <c r="H4518" i="11"/>
  <c r="I4520" i="11"/>
  <c r="H4520" i="11"/>
  <c r="I4525" i="11"/>
  <c r="H4525" i="11"/>
  <c r="I4534" i="11"/>
  <c r="H4534" i="11"/>
  <c r="I4536" i="11"/>
  <c r="H4536" i="11"/>
  <c r="I4541" i="11"/>
  <c r="H4541" i="11"/>
  <c r="I4550" i="11"/>
  <c r="H4550" i="11"/>
  <c r="I4552" i="11"/>
  <c r="H4552" i="11"/>
  <c r="I4557" i="11"/>
  <c r="H4557" i="11"/>
  <c r="I4566" i="11"/>
  <c r="H4566" i="11"/>
  <c r="I4568" i="11"/>
  <c r="H4568" i="11"/>
  <c r="I4573" i="11"/>
  <c r="H4573" i="11"/>
  <c r="I4582" i="11"/>
  <c r="H4582" i="11"/>
  <c r="I4584" i="11"/>
  <c r="H4584" i="11"/>
  <c r="I4589" i="11"/>
  <c r="H4589" i="11"/>
  <c r="I4598" i="11"/>
  <c r="H4598" i="11"/>
  <c r="I4600" i="11"/>
  <c r="H4600" i="11"/>
  <c r="I4605" i="11"/>
  <c r="H4605" i="11"/>
  <c r="I4614" i="11"/>
  <c r="H4614" i="11"/>
  <c r="I4616" i="11"/>
  <c r="H4616" i="11"/>
  <c r="I4621" i="11"/>
  <c r="H4621" i="11"/>
  <c r="I4630" i="11"/>
  <c r="H4630" i="11"/>
  <c r="I4632" i="11"/>
  <c r="H4632" i="11"/>
  <c r="I4637" i="11"/>
  <c r="H4637" i="11"/>
  <c r="I4646" i="11"/>
  <c r="H4646" i="11"/>
  <c r="I4648" i="11"/>
  <c r="H4648" i="11"/>
  <c r="I4653" i="11"/>
  <c r="H4653" i="11"/>
  <c r="I4662" i="11"/>
  <c r="H4662" i="11"/>
  <c r="I4664" i="11"/>
  <c r="H4664" i="11"/>
  <c r="I4669" i="11"/>
  <c r="H4669" i="11"/>
  <c r="I4678" i="11"/>
  <c r="H4678" i="11"/>
  <c r="I4680" i="11"/>
  <c r="H4680" i="11"/>
  <c r="I4685" i="11"/>
  <c r="H4685" i="11"/>
  <c r="I4694" i="11"/>
  <c r="H4694" i="11"/>
  <c r="I4696" i="11"/>
  <c r="H4696" i="11"/>
  <c r="I4701" i="11"/>
  <c r="H4701" i="11"/>
  <c r="I4710" i="11"/>
  <c r="H4710" i="11"/>
  <c r="I4712" i="11"/>
  <c r="H4712" i="11"/>
  <c r="I4717" i="11"/>
  <c r="H4717" i="11"/>
  <c r="I4726" i="11"/>
  <c r="H4726" i="11"/>
  <c r="I4728" i="11"/>
  <c r="H4728" i="11"/>
  <c r="I4733" i="11"/>
  <c r="H4733" i="11"/>
  <c r="I4742" i="11"/>
  <c r="H4742" i="11"/>
  <c r="I4744" i="11"/>
  <c r="H4744" i="11"/>
  <c r="I4749" i="11"/>
  <c r="H4749" i="11"/>
  <c r="I4758" i="11"/>
  <c r="H4758" i="11"/>
  <c r="I4760" i="11"/>
  <c r="H4760" i="11"/>
  <c r="I4765" i="11"/>
  <c r="H4765" i="11"/>
  <c r="I4774" i="11"/>
  <c r="H4774" i="11"/>
  <c r="I4776" i="11"/>
  <c r="H4776" i="11"/>
  <c r="I4781" i="11"/>
  <c r="H4781" i="11"/>
  <c r="I4790" i="11"/>
  <c r="H4790" i="11"/>
  <c r="I4792" i="11"/>
  <c r="H4792" i="11"/>
  <c r="I4797" i="11"/>
  <c r="H4797" i="11"/>
  <c r="I4806" i="11"/>
  <c r="H4806" i="11"/>
  <c r="I4808" i="11"/>
  <c r="H4808" i="11"/>
  <c r="I4813" i="11"/>
  <c r="H4813" i="11"/>
  <c r="I4822" i="11"/>
  <c r="H4822" i="11"/>
  <c r="I4824" i="11"/>
  <c r="H4824" i="11"/>
  <c r="I4829" i="11"/>
  <c r="H4829" i="11"/>
  <c r="I4838" i="11"/>
  <c r="H4838" i="11"/>
  <c r="I4840" i="11"/>
  <c r="H4840" i="11"/>
  <c r="I4845" i="11"/>
  <c r="H4845" i="11"/>
  <c r="I4854" i="11"/>
  <c r="H4854" i="11"/>
  <c r="I4856" i="11"/>
  <c r="H4856" i="11"/>
  <c r="I4861" i="11"/>
  <c r="H4861" i="11"/>
  <c r="I4870" i="11"/>
  <c r="H4870" i="11"/>
  <c r="I4872" i="11"/>
  <c r="H4872" i="11"/>
  <c r="I4877" i="11"/>
  <c r="H4877" i="11"/>
  <c r="I4886" i="11"/>
  <c r="H4886" i="11"/>
  <c r="I4888" i="11"/>
  <c r="H4888" i="11"/>
  <c r="I4893" i="11"/>
  <c r="H4893" i="11"/>
  <c r="I4902" i="11"/>
  <c r="H4902" i="11"/>
  <c r="I4904" i="11"/>
  <c r="H4904" i="11"/>
  <c r="I4909" i="11"/>
  <c r="H4909" i="11"/>
  <c r="I4918" i="11"/>
  <c r="H4918" i="11"/>
  <c r="I4920" i="11"/>
  <c r="H4920" i="11"/>
  <c r="I4925" i="11"/>
  <c r="H4925" i="11"/>
  <c r="I4934" i="11"/>
  <c r="H4934" i="11"/>
  <c r="I4936" i="11"/>
  <c r="H4936" i="11"/>
  <c r="I4941" i="11"/>
  <c r="H4941" i="11"/>
  <c r="I4950" i="11"/>
  <c r="H4950" i="11"/>
  <c r="I4952" i="11"/>
  <c r="H4952" i="11"/>
  <c r="I4957" i="11"/>
  <c r="H4957" i="11"/>
  <c r="I4966" i="11"/>
  <c r="H4966" i="11"/>
  <c r="I4968" i="11"/>
  <c r="H4968" i="11"/>
  <c r="I4973" i="11"/>
  <c r="H4973" i="11"/>
  <c r="I4982" i="11"/>
  <c r="H4982" i="11"/>
  <c r="I4984" i="11"/>
  <c r="H4984" i="11"/>
  <c r="I4989" i="11"/>
  <c r="H4989" i="11"/>
  <c r="I4998" i="11"/>
  <c r="H4998" i="11"/>
  <c r="I5000" i="11"/>
  <c r="H5000" i="11"/>
  <c r="I5005" i="11"/>
  <c r="H5005" i="11"/>
  <c r="I5014" i="11"/>
  <c r="H5014" i="11"/>
  <c r="I5016" i="11"/>
  <c r="H5016" i="11"/>
  <c r="I5021" i="11"/>
  <c r="H5021" i="11"/>
  <c r="I5030" i="11"/>
  <c r="H5030" i="11"/>
  <c r="I5032" i="11"/>
  <c r="H5032" i="11"/>
  <c r="I5037" i="11"/>
  <c r="H5037" i="11"/>
  <c r="I5046" i="11"/>
  <c r="H5046" i="11"/>
  <c r="I5048" i="11"/>
  <c r="H5048" i="11"/>
  <c r="I5053" i="11"/>
  <c r="H5053" i="11"/>
  <c r="I5062" i="11"/>
  <c r="H5062" i="11"/>
  <c r="I5064" i="11"/>
  <c r="H5064" i="11"/>
  <c r="I5069" i="11"/>
  <c r="H5069" i="11"/>
  <c r="I5078" i="11"/>
  <c r="H5078" i="11"/>
  <c r="I5080" i="11"/>
  <c r="H5080" i="11"/>
  <c r="I5085" i="11"/>
  <c r="H5085" i="11"/>
  <c r="I5094" i="11"/>
  <c r="H5094" i="11"/>
  <c r="I5096" i="11"/>
  <c r="H5096" i="11"/>
  <c r="I5101" i="11"/>
  <c r="H5101" i="11"/>
  <c r="I5110" i="11"/>
  <c r="H5110" i="11"/>
  <c r="I5112" i="11"/>
  <c r="H5112" i="11"/>
  <c r="I5117" i="11"/>
  <c r="H5117" i="11"/>
  <c r="I5126" i="11"/>
  <c r="H5126" i="11"/>
  <c r="I5128" i="11"/>
  <c r="H5128" i="11"/>
  <c r="I5133" i="11"/>
  <c r="H5133" i="11"/>
  <c r="I5142" i="11"/>
  <c r="H5142" i="11"/>
  <c r="I5144" i="11"/>
  <c r="H5144" i="11"/>
  <c r="I5149" i="11"/>
  <c r="H5149" i="11"/>
  <c r="I5158" i="11"/>
  <c r="H5158" i="11"/>
  <c r="I5160" i="11"/>
  <c r="H5160" i="11"/>
  <c r="I5165" i="11"/>
  <c r="H5165" i="11"/>
  <c r="I5174" i="11"/>
  <c r="H5174" i="11"/>
  <c r="I5176" i="11"/>
  <c r="H5176" i="11"/>
  <c r="I5181" i="11"/>
  <c r="H5181" i="11"/>
  <c r="I5190" i="11"/>
  <c r="H5190" i="11"/>
  <c r="I5192" i="11"/>
  <c r="H5192" i="11"/>
  <c r="I5197" i="11"/>
  <c r="H5197" i="11"/>
  <c r="I5206" i="11"/>
  <c r="H5206" i="11"/>
  <c r="I5208" i="11"/>
  <c r="H5208" i="11"/>
  <c r="I5213" i="11"/>
  <c r="H5213" i="11"/>
  <c r="I5222" i="11"/>
  <c r="H5222" i="11"/>
  <c r="I5224" i="11"/>
  <c r="H5224" i="11"/>
  <c r="I5229" i="11"/>
  <c r="H5229" i="11"/>
  <c r="I5238" i="11"/>
  <c r="H5238" i="11"/>
  <c r="I5240" i="11"/>
  <c r="H5240" i="11"/>
  <c r="I5245" i="11"/>
  <c r="H5245" i="11"/>
  <c r="I5254" i="11"/>
  <c r="H5254" i="11"/>
  <c r="I5256" i="11"/>
  <c r="H5256" i="11"/>
  <c r="I5261" i="11"/>
  <c r="H5261" i="11"/>
  <c r="I5270" i="11"/>
  <c r="H5270" i="11"/>
  <c r="I5272" i="11"/>
  <c r="H5272" i="11"/>
  <c r="I5277" i="11"/>
  <c r="H5277" i="11"/>
  <c r="I5286" i="11"/>
  <c r="H5286" i="11"/>
  <c r="I5288" i="11"/>
  <c r="H5288" i="11"/>
  <c r="I5293" i="11"/>
  <c r="H5293" i="11"/>
  <c r="I5302" i="11"/>
  <c r="H5302" i="11"/>
  <c r="I5304" i="11"/>
  <c r="H5304" i="11"/>
  <c r="I5309" i="11"/>
  <c r="H5309" i="11"/>
  <c r="I5318" i="11"/>
  <c r="H5318" i="11"/>
  <c r="I5320" i="11"/>
  <c r="H5320" i="11"/>
  <c r="I5325" i="11"/>
  <c r="H5325" i="11"/>
  <c r="I5334" i="11"/>
  <c r="H5334" i="11"/>
  <c r="I5336" i="11"/>
  <c r="H5336" i="11"/>
  <c r="I5341" i="11"/>
  <c r="H5341" i="11"/>
  <c r="I5350" i="11"/>
  <c r="H5350" i="11"/>
  <c r="I5352" i="11"/>
  <c r="H5352" i="11"/>
  <c r="I5357" i="11"/>
  <c r="H5357" i="11"/>
  <c r="I5366" i="11"/>
  <c r="H5366" i="11"/>
  <c r="I5368" i="11"/>
  <c r="H5368" i="11"/>
  <c r="I5373" i="11"/>
  <c r="H5373" i="11"/>
  <c r="I5382" i="11"/>
  <c r="H5382" i="11"/>
  <c r="I5384" i="11"/>
  <c r="H5384" i="11"/>
  <c r="I5389" i="11"/>
  <c r="H5389" i="11"/>
  <c r="I5398" i="11"/>
  <c r="H5398" i="11"/>
  <c r="I5400" i="11"/>
  <c r="H5400" i="11"/>
  <c r="I5405" i="11"/>
  <c r="H5405" i="11"/>
  <c r="I5414" i="11"/>
  <c r="H5414" i="11"/>
  <c r="I5416" i="11"/>
  <c r="H5416" i="11"/>
  <c r="I5421" i="11"/>
  <c r="H5421" i="11"/>
  <c r="I5430" i="11"/>
  <c r="H5430" i="11"/>
  <c r="I5432" i="11"/>
  <c r="H5432" i="11"/>
  <c r="I5437" i="11"/>
  <c r="H5437" i="11"/>
  <c r="I5446" i="11"/>
  <c r="H5446" i="11"/>
  <c r="I5448" i="11"/>
  <c r="H5448" i="11"/>
  <c r="I5453" i="11"/>
  <c r="H5453" i="11"/>
  <c r="I5462" i="11"/>
  <c r="H5462" i="11"/>
  <c r="I5464" i="11"/>
  <c r="H5464" i="11"/>
  <c r="I5469" i="11"/>
  <c r="H5469" i="11"/>
  <c r="I5478" i="11"/>
  <c r="H5478" i="11"/>
  <c r="I5480" i="11"/>
  <c r="H5480" i="11"/>
  <c r="I5485" i="11"/>
  <c r="H5485" i="11"/>
  <c r="I5494" i="11"/>
  <c r="H5494" i="11"/>
  <c r="I5496" i="11"/>
  <c r="H5496" i="11"/>
  <c r="I5501" i="11"/>
  <c r="H5501" i="11"/>
  <c r="I5510" i="11"/>
  <c r="H5510" i="11"/>
  <c r="I5512" i="11"/>
  <c r="H5512" i="11"/>
  <c r="I5517" i="11"/>
  <c r="H5517" i="11"/>
  <c r="I5526" i="11"/>
  <c r="H5526" i="11"/>
  <c r="I5528" i="11"/>
  <c r="H5528" i="11"/>
  <c r="I5533" i="11"/>
  <c r="H5533" i="11"/>
  <c r="I5542" i="11"/>
  <c r="H5542" i="11"/>
  <c r="I5544" i="11"/>
  <c r="H5544" i="11"/>
  <c r="I5549" i="11"/>
  <c r="H5549" i="11"/>
  <c r="I5558" i="11"/>
  <c r="H5558" i="11"/>
  <c r="I5560" i="11"/>
  <c r="H5560" i="11"/>
  <c r="I5565" i="11"/>
  <c r="H5565" i="11"/>
  <c r="I5574" i="11"/>
  <c r="H5574" i="11"/>
  <c r="I5576" i="11"/>
  <c r="H5576" i="11"/>
  <c r="I5581" i="11"/>
  <c r="H5581" i="11"/>
  <c r="I5590" i="11"/>
  <c r="H5590" i="11"/>
  <c r="I5592" i="11"/>
  <c r="H5592" i="11"/>
  <c r="I5597" i="11"/>
  <c r="H5597" i="11"/>
  <c r="I5606" i="11"/>
  <c r="H5606" i="11"/>
  <c r="I5608" i="11"/>
  <c r="H5608" i="11"/>
  <c r="I5613" i="11"/>
  <c r="H5613" i="11"/>
  <c r="I5622" i="11"/>
  <c r="H5622" i="11"/>
  <c r="I5624" i="11"/>
  <c r="H5624" i="11"/>
  <c r="I5629" i="11"/>
  <c r="H5629" i="11"/>
  <c r="I5638" i="11"/>
  <c r="H5638" i="11"/>
  <c r="I5640" i="11"/>
  <c r="H5640" i="11"/>
  <c r="I5645" i="11"/>
  <c r="H5645" i="11"/>
  <c r="I5654" i="11"/>
  <c r="H5654" i="11"/>
  <c r="I5656" i="11"/>
  <c r="H5656" i="11"/>
  <c r="I5661" i="11"/>
  <c r="H5661" i="11"/>
  <c r="I5670" i="11"/>
  <c r="H5670" i="11"/>
  <c r="I5672" i="11"/>
  <c r="H5672" i="11"/>
  <c r="I5677" i="11"/>
  <c r="H5677" i="11"/>
  <c r="I5686" i="11"/>
  <c r="H5686" i="11"/>
  <c r="I5688" i="11"/>
  <c r="H5688" i="11"/>
  <c r="I5693" i="11"/>
  <c r="H5693" i="11"/>
  <c r="I5702" i="11"/>
  <c r="H5702" i="11"/>
  <c r="I5704" i="11"/>
  <c r="H5704" i="11"/>
  <c r="I5709" i="11"/>
  <c r="H5709" i="11"/>
  <c r="I5718" i="11"/>
  <c r="H5718" i="11"/>
  <c r="I5720" i="11"/>
  <c r="H5720" i="11"/>
  <c r="I5725" i="11"/>
  <c r="H5725" i="11"/>
  <c r="I5734" i="11"/>
  <c r="H5734" i="11"/>
  <c r="I5736" i="11"/>
  <c r="H5736" i="11"/>
  <c r="I5741" i="11"/>
  <c r="H5741" i="11"/>
  <c r="I5750" i="11"/>
  <c r="H5750" i="11"/>
  <c r="I5752" i="11"/>
  <c r="H5752" i="11"/>
  <c r="I5757" i="11"/>
  <c r="H5757" i="11"/>
  <c r="I5766" i="11"/>
  <c r="H5766" i="11"/>
  <c r="I5768" i="11"/>
  <c r="H5768" i="11"/>
  <c r="I5773" i="11"/>
  <c r="H5773" i="11"/>
  <c r="I5782" i="11"/>
  <c r="H5782" i="11"/>
  <c r="I5784" i="11"/>
  <c r="H5784" i="11"/>
  <c r="I5789" i="11"/>
  <c r="H5789" i="11"/>
  <c r="I5798" i="11"/>
  <c r="H5798" i="11"/>
  <c r="I5800" i="11"/>
  <c r="H5800" i="11"/>
  <c r="I5805" i="11"/>
  <c r="H5805" i="11"/>
  <c r="I5814" i="11"/>
  <c r="H5814" i="11"/>
  <c r="I5816" i="11"/>
  <c r="H5816" i="11"/>
  <c r="I5821" i="11"/>
  <c r="H5821" i="11"/>
  <c r="I5830" i="11"/>
  <c r="H5830" i="11"/>
  <c r="I5832" i="11"/>
  <c r="H5832" i="11"/>
  <c r="I5837" i="11"/>
  <c r="H5837" i="11"/>
  <c r="I5846" i="11"/>
  <c r="H5846" i="11"/>
  <c r="I5848" i="11"/>
  <c r="H5848" i="11"/>
  <c r="I5853" i="11"/>
  <c r="H5853" i="11"/>
  <c r="I5862" i="11"/>
  <c r="H5862" i="11"/>
  <c r="I5864" i="11"/>
  <c r="H5864" i="11"/>
  <c r="I5869" i="11"/>
  <c r="H5869" i="11"/>
  <c r="I5878" i="11"/>
  <c r="H5878" i="11"/>
  <c r="I5880" i="11"/>
  <c r="H5880" i="11"/>
  <c r="I5885" i="11"/>
  <c r="H5885" i="11"/>
  <c r="I5894" i="11"/>
  <c r="H5894" i="11"/>
  <c r="I5896" i="11"/>
  <c r="H5896" i="11"/>
  <c r="I5901" i="11"/>
  <c r="H5901" i="11"/>
  <c r="I5910" i="11"/>
  <c r="H5910" i="11"/>
  <c r="I5912" i="11"/>
  <c r="H5912" i="11"/>
  <c r="I5917" i="11"/>
  <c r="H5917" i="11"/>
  <c r="I5926" i="11"/>
  <c r="H5926" i="11"/>
  <c r="I5928" i="11"/>
  <c r="H5928" i="11"/>
  <c r="I5933" i="11"/>
  <c r="H5933" i="11"/>
  <c r="I5942" i="11"/>
  <c r="H5942" i="11"/>
  <c r="I5944" i="11"/>
  <c r="H5944" i="11"/>
  <c r="I5949" i="11"/>
  <c r="H5949" i="11"/>
  <c r="I5958" i="11"/>
  <c r="H5958" i="11"/>
  <c r="I5960" i="11"/>
  <c r="H5960" i="11"/>
  <c r="I5965" i="11"/>
  <c r="H5965" i="11"/>
  <c r="I5974" i="11"/>
  <c r="H5974" i="11"/>
  <c r="I5976" i="11"/>
  <c r="H5976" i="11"/>
  <c r="I5981" i="11"/>
  <c r="H5981" i="11"/>
  <c r="I5990" i="11"/>
  <c r="H5990" i="11"/>
  <c r="I5992" i="11"/>
  <c r="H5992" i="11"/>
  <c r="I5997" i="11"/>
  <c r="H5997" i="11"/>
  <c r="I6006" i="11"/>
  <c r="H6006" i="11"/>
  <c r="I6008" i="11"/>
  <c r="H6008" i="11"/>
  <c r="I6013" i="11"/>
  <c r="H6013" i="11"/>
  <c r="I6022" i="11"/>
  <c r="H6022" i="11"/>
  <c r="I6024" i="11"/>
  <c r="H6024" i="11"/>
  <c r="I6029" i="11"/>
  <c r="H6029" i="11"/>
  <c r="I6038" i="11"/>
  <c r="H6038" i="11"/>
  <c r="I6040" i="11"/>
  <c r="H6040" i="11"/>
  <c r="I6045" i="11"/>
  <c r="H6045" i="11"/>
  <c r="I6054" i="11"/>
  <c r="H6054" i="11"/>
  <c r="I6056" i="11"/>
  <c r="H6056" i="11"/>
  <c r="I6061" i="11"/>
  <c r="H6061" i="11"/>
  <c r="I6070" i="11"/>
  <c r="H6070" i="11"/>
  <c r="I6072" i="11"/>
  <c r="H6072" i="11"/>
  <c r="I6077" i="11"/>
  <c r="H6077" i="11"/>
  <c r="I6086" i="11"/>
  <c r="H6086" i="11"/>
  <c r="I6088" i="11"/>
  <c r="H6088" i="11"/>
  <c r="I6093" i="11"/>
  <c r="H6093" i="11"/>
  <c r="I6102" i="11"/>
  <c r="H6102" i="11"/>
  <c r="I6104" i="11"/>
  <c r="H6104" i="11"/>
  <c r="I6109" i="11"/>
  <c r="H6109" i="11"/>
  <c r="I6118" i="11"/>
  <c r="H6118" i="11"/>
  <c r="I6120" i="11"/>
  <c r="H6120" i="11"/>
  <c r="I6125" i="11"/>
  <c r="H6125" i="11"/>
  <c r="I6134" i="11"/>
  <c r="H6134" i="11"/>
  <c r="I6136" i="11"/>
  <c r="H6136" i="11"/>
  <c r="I6141" i="11"/>
  <c r="H6141" i="11"/>
  <c r="I6150" i="11"/>
  <c r="H6150" i="11"/>
  <c r="I6152" i="11"/>
  <c r="H6152" i="11"/>
  <c r="I6157" i="11"/>
  <c r="H6157" i="11"/>
  <c r="I6166" i="11"/>
  <c r="H6166" i="11"/>
  <c r="I6168" i="11"/>
  <c r="H6168" i="11"/>
  <c r="I6173" i="11"/>
  <c r="H6173" i="11"/>
  <c r="I6182" i="11"/>
  <c r="H6182" i="11"/>
  <c r="I6184" i="11"/>
  <c r="H6184" i="11"/>
  <c r="I6189" i="11"/>
  <c r="H6189" i="11"/>
  <c r="I6198" i="11"/>
  <c r="H6198" i="11"/>
  <c r="I6200" i="11"/>
  <c r="H6200" i="11"/>
  <c r="I6205" i="11"/>
  <c r="H6205" i="11"/>
  <c r="I6214" i="11"/>
  <c r="H6214" i="11"/>
  <c r="I6216" i="11"/>
  <c r="H6216" i="11"/>
  <c r="I6221" i="11"/>
  <c r="H6221" i="11"/>
  <c r="I6232" i="11"/>
  <c r="H6232" i="11"/>
  <c r="I6237" i="11"/>
  <c r="H6237" i="11"/>
  <c r="I6248" i="11"/>
  <c r="H6248" i="11"/>
  <c r="I6253" i="11"/>
  <c r="H6253" i="11"/>
  <c r="I6264" i="11"/>
  <c r="H6264" i="11"/>
  <c r="I6269" i="11"/>
  <c r="H6269" i="11"/>
  <c r="I6280" i="11"/>
  <c r="H6280" i="11"/>
  <c r="I6285" i="11"/>
  <c r="H6285" i="11"/>
  <c r="I6296" i="11"/>
  <c r="H6296" i="11"/>
  <c r="I6301" i="11"/>
  <c r="H6301" i="11"/>
  <c r="I6312" i="11"/>
  <c r="H6312" i="11"/>
  <c r="I6317" i="11"/>
  <c r="H6317" i="11"/>
  <c r="I6328" i="11"/>
  <c r="H6328" i="11"/>
  <c r="I6333" i="11"/>
  <c r="H6333" i="11"/>
  <c r="I6344" i="11"/>
  <c r="H6344" i="11"/>
  <c r="I6349" i="11"/>
  <c r="H6349" i="11"/>
  <c r="I6360" i="11"/>
  <c r="H6360" i="11"/>
  <c r="I6365" i="11"/>
  <c r="H6365" i="11"/>
  <c r="I6376" i="11"/>
  <c r="H6376" i="11"/>
  <c r="I6381" i="11"/>
  <c r="H6381" i="11"/>
  <c r="I6392" i="11"/>
  <c r="H6392" i="11"/>
  <c r="I6397" i="11"/>
  <c r="H6397" i="11"/>
  <c r="I6408" i="11"/>
  <c r="H6408" i="11"/>
  <c r="I6413" i="11"/>
  <c r="H6413" i="11"/>
  <c r="I6424" i="11"/>
  <c r="H6424" i="11"/>
  <c r="I6429" i="11"/>
  <c r="H6429" i="11"/>
  <c r="I6440" i="11"/>
  <c r="H6440" i="11"/>
  <c r="I6445" i="11"/>
  <c r="H6445" i="11"/>
  <c r="I6456" i="11"/>
  <c r="H6456" i="11"/>
  <c r="I6461" i="11"/>
  <c r="H6461" i="11"/>
  <c r="I6472" i="11"/>
  <c r="H6472" i="11"/>
  <c r="I6477" i="11"/>
  <c r="H6477" i="11"/>
  <c r="I6488" i="11"/>
  <c r="H6488" i="11"/>
  <c r="I6493" i="11"/>
  <c r="H6493" i="11"/>
  <c r="I6504" i="11"/>
  <c r="H6504" i="11"/>
  <c r="I6509" i="11"/>
  <c r="H6509" i="11"/>
  <c r="I6525" i="11"/>
  <c r="H6525" i="11"/>
  <c r="I6541" i="11"/>
  <c r="H6541" i="11"/>
  <c r="I6557" i="11"/>
  <c r="H6557" i="11"/>
  <c r="I6573" i="11"/>
  <c r="H6573" i="11"/>
  <c r="I6589" i="11"/>
  <c r="H6589" i="11"/>
  <c r="I6605" i="11"/>
  <c r="H6605" i="11"/>
  <c r="I6621" i="11"/>
  <c r="H6621" i="11"/>
  <c r="I6637" i="11"/>
  <c r="H6637" i="11"/>
  <c r="I6653" i="11"/>
  <c r="H6653" i="11"/>
  <c r="I6669" i="11"/>
  <c r="H6669" i="11"/>
  <c r="I6685" i="11"/>
  <c r="H6685" i="11"/>
  <c r="I6701" i="11"/>
  <c r="H6701" i="11"/>
  <c r="I6717" i="11"/>
  <c r="H6717" i="11"/>
  <c r="I6733" i="11"/>
  <c r="H6733" i="11"/>
  <c r="I6749" i="11"/>
  <c r="H6749" i="11"/>
  <c r="I6765" i="11"/>
  <c r="H6765" i="11"/>
  <c r="I6781" i="11"/>
  <c r="H6781" i="11"/>
  <c r="I6797" i="11"/>
  <c r="H6797" i="11"/>
  <c r="I6813" i="11"/>
  <c r="H6813" i="11"/>
  <c r="I6829" i="11"/>
  <c r="H6829" i="11"/>
  <c r="I6845" i="11"/>
  <c r="H6845" i="11"/>
  <c r="I6861" i="11"/>
  <c r="H6861" i="11"/>
  <c r="I6877" i="11"/>
  <c r="H6877" i="11"/>
  <c r="I6893" i="11"/>
  <c r="H6893" i="11"/>
  <c r="I6909" i="11"/>
  <c r="H6909" i="11"/>
  <c r="I6925" i="11"/>
  <c r="H6925" i="11"/>
  <c r="I6941" i="11"/>
  <c r="H6941" i="11"/>
  <c r="I6957" i="11"/>
  <c r="H6957" i="11"/>
  <c r="I6973" i="11"/>
  <c r="H6973" i="11"/>
  <c r="I6989" i="11"/>
  <c r="H6989" i="11"/>
  <c r="I7005" i="11"/>
  <c r="H7005" i="11"/>
  <c r="I7021" i="11"/>
  <c r="H7021" i="11"/>
  <c r="I7037" i="11"/>
  <c r="H7037" i="11"/>
  <c r="I7053" i="11"/>
  <c r="H7053" i="11"/>
  <c r="I7069" i="11"/>
  <c r="H7069" i="11"/>
  <c r="I7085" i="11"/>
  <c r="H7085" i="11"/>
  <c r="I7101" i="11"/>
  <c r="H7101" i="11"/>
  <c r="I7117" i="11"/>
  <c r="H7117" i="11"/>
  <c r="I7133" i="11"/>
  <c r="H7133" i="11"/>
  <c r="I7149" i="11"/>
  <c r="H7149" i="11"/>
  <c r="I7165" i="11"/>
  <c r="H7165" i="11"/>
  <c r="I7181" i="11"/>
  <c r="H7181" i="11"/>
  <c r="I7197" i="11"/>
  <c r="H7197" i="11"/>
  <c r="I7213" i="11"/>
  <c r="H7213" i="11"/>
  <c r="I7225" i="11"/>
  <c r="H7225" i="11"/>
  <c r="I7229" i="11"/>
  <c r="H7229" i="11"/>
  <c r="I7241" i="11"/>
  <c r="H7241" i="11"/>
  <c r="I7245" i="11"/>
  <c r="H7245" i="11"/>
  <c r="I7257" i="11"/>
  <c r="H7257" i="11"/>
  <c r="I7261" i="11"/>
  <c r="H7261" i="11"/>
  <c r="I7273" i="11"/>
  <c r="H7273" i="11"/>
  <c r="I7277" i="11"/>
  <c r="H7277" i="11"/>
  <c r="I7289" i="11"/>
  <c r="H7289" i="11"/>
  <c r="I7293" i="11"/>
  <c r="H7293" i="11"/>
  <c r="I7305" i="11"/>
  <c r="H7305" i="11"/>
  <c r="I7309" i="11"/>
  <c r="H7309" i="11"/>
  <c r="I7321" i="11"/>
  <c r="H7321" i="11"/>
  <c r="I7325" i="11"/>
  <c r="H7325" i="11"/>
  <c r="I7337" i="11"/>
  <c r="H7337" i="11"/>
  <c r="I7341" i="11"/>
  <c r="H7341" i="11"/>
  <c r="I7353" i="11"/>
  <c r="H7353" i="11"/>
  <c r="I7357" i="11"/>
  <c r="H7357" i="11"/>
  <c r="F3" i="4"/>
  <c r="B3" i="4" s="1"/>
  <c r="F3" i="8"/>
  <c r="B3" i="8" s="1"/>
  <c r="H1558" i="11"/>
  <c r="H1566" i="11"/>
  <c r="H1574" i="11"/>
  <c r="H1582" i="11"/>
  <c r="H1590" i="11"/>
  <c r="H1598" i="11"/>
  <c r="H1606" i="11"/>
  <c r="H1614" i="11"/>
  <c r="H1622" i="11"/>
  <c r="H1630" i="11"/>
  <c r="H1638" i="11"/>
  <c r="H1646" i="11"/>
  <c r="H1654" i="11"/>
  <c r="H1662" i="11"/>
  <c r="H1670" i="11"/>
  <c r="H1678" i="11"/>
  <c r="H1686" i="11"/>
  <c r="H1694" i="11"/>
  <c r="I1796" i="11"/>
  <c r="H1796" i="11"/>
  <c r="I1801" i="11"/>
  <c r="H1801" i="11"/>
  <c r="I1810" i="11"/>
  <c r="H1810" i="11"/>
  <c r="I1812" i="11"/>
  <c r="H1812" i="11"/>
  <c r="I1817" i="11"/>
  <c r="H1817" i="11"/>
  <c r="I1826" i="11"/>
  <c r="H1826" i="11"/>
  <c r="I1828" i="11"/>
  <c r="H1828" i="11"/>
  <c r="I1833" i="11"/>
  <c r="H1833" i="11"/>
  <c r="I1842" i="11"/>
  <c r="H1842" i="11"/>
  <c r="I1844" i="11"/>
  <c r="H1844" i="11"/>
  <c r="I1849" i="11"/>
  <c r="H1849" i="11"/>
  <c r="I1858" i="11"/>
  <c r="H1858" i="11"/>
  <c r="I1860" i="11"/>
  <c r="H1860" i="11"/>
  <c r="I1865" i="11"/>
  <c r="H1865" i="11"/>
  <c r="I1874" i="11"/>
  <c r="H1874" i="11"/>
  <c r="I1876" i="11"/>
  <c r="H1876" i="11"/>
  <c r="I1881" i="11"/>
  <c r="H1881" i="11"/>
  <c r="I1890" i="11"/>
  <c r="H1890" i="11"/>
  <c r="I1892" i="11"/>
  <c r="H1892" i="11"/>
  <c r="I1897" i="11"/>
  <c r="H1897" i="11"/>
  <c r="I1906" i="11"/>
  <c r="H1906" i="11"/>
  <c r="I1908" i="11"/>
  <c r="H1908" i="11"/>
  <c r="I1913" i="11"/>
  <c r="H1913" i="11"/>
  <c r="I1922" i="11"/>
  <c r="H1922" i="11"/>
  <c r="I1924" i="11"/>
  <c r="H1924" i="11"/>
  <c r="I1929" i="11"/>
  <c r="H1929" i="11"/>
  <c r="I1938" i="11"/>
  <c r="H1938" i="11"/>
  <c r="I1940" i="11"/>
  <c r="H1940" i="11"/>
  <c r="I1945" i="11"/>
  <c r="H1945" i="11"/>
  <c r="I1954" i="11"/>
  <c r="H1954" i="11"/>
  <c r="I1956" i="11"/>
  <c r="H1956" i="11"/>
  <c r="I1961" i="11"/>
  <c r="H1961" i="11"/>
  <c r="I1970" i="11"/>
  <c r="H1970" i="11"/>
  <c r="I1972" i="11"/>
  <c r="H1972" i="11"/>
  <c r="I1977" i="11"/>
  <c r="H1977" i="11"/>
  <c r="I1986" i="11"/>
  <c r="H1986" i="11"/>
  <c r="I1988" i="11"/>
  <c r="H1988" i="11"/>
  <c r="I1993" i="11"/>
  <c r="H1993" i="11"/>
  <c r="I2002" i="11"/>
  <c r="H2002" i="11"/>
  <c r="I2004" i="11"/>
  <c r="H2004" i="11"/>
  <c r="I2009" i="11"/>
  <c r="H2009" i="11"/>
  <c r="I2018" i="11"/>
  <c r="H2018" i="11"/>
  <c r="I2020" i="11"/>
  <c r="H2020" i="11"/>
  <c r="I2025" i="11"/>
  <c r="H2025" i="11"/>
  <c r="I2034" i="11"/>
  <c r="H2034" i="11"/>
  <c r="I2036" i="11"/>
  <c r="H2036" i="11"/>
  <c r="I2041" i="11"/>
  <c r="H2041" i="11"/>
  <c r="I2050" i="11"/>
  <c r="H2050" i="11"/>
  <c r="I2052" i="11"/>
  <c r="H2052" i="11"/>
  <c r="I2057" i="11"/>
  <c r="H2057" i="11"/>
  <c r="I2066" i="11"/>
  <c r="H2066" i="11"/>
  <c r="I2068" i="11"/>
  <c r="H2068" i="11"/>
  <c r="I2073" i="11"/>
  <c r="H2073" i="11"/>
  <c r="I2082" i="11"/>
  <c r="H2082" i="11"/>
  <c r="I2084" i="11"/>
  <c r="H2084" i="11"/>
  <c r="I2089" i="11"/>
  <c r="H2089" i="11"/>
  <c r="I2098" i="11"/>
  <c r="H2098" i="11"/>
  <c r="I2100" i="11"/>
  <c r="H2100" i="11"/>
  <c r="I2105" i="11"/>
  <c r="H2105" i="11"/>
  <c r="I2114" i="11"/>
  <c r="H2114" i="11"/>
  <c r="I2116" i="11"/>
  <c r="H2116" i="11"/>
  <c r="I2121" i="11"/>
  <c r="H2121" i="11"/>
  <c r="I2130" i="11"/>
  <c r="H2130" i="11"/>
  <c r="I2132" i="11"/>
  <c r="H2132" i="11"/>
  <c r="I2137" i="11"/>
  <c r="H2137" i="11"/>
  <c r="I2146" i="11"/>
  <c r="H2146" i="11"/>
  <c r="I2148" i="11"/>
  <c r="H2148" i="11"/>
  <c r="I2153" i="11"/>
  <c r="H2153" i="11"/>
  <c r="I2162" i="11"/>
  <c r="H2162" i="11"/>
  <c r="I2164" i="11"/>
  <c r="H2164" i="11"/>
  <c r="I2169" i="11"/>
  <c r="H2169" i="11"/>
  <c r="I2178" i="11"/>
  <c r="H2178" i="11"/>
  <c r="I2180" i="11"/>
  <c r="H2180" i="11"/>
  <c r="I2185" i="11"/>
  <c r="H2185" i="11"/>
  <c r="I2194" i="11"/>
  <c r="H2194" i="11"/>
  <c r="I2196" i="11"/>
  <c r="H2196" i="11"/>
  <c r="I2201" i="11"/>
  <c r="H2201" i="11"/>
  <c r="I2210" i="11"/>
  <c r="H2210" i="11"/>
  <c r="I2212" i="11"/>
  <c r="H2212" i="11"/>
  <c r="I2217" i="11"/>
  <c r="H2217" i="11"/>
  <c r="I2226" i="11"/>
  <c r="H2226" i="11"/>
  <c r="I2228" i="11"/>
  <c r="H2228" i="11"/>
  <c r="I2233" i="11"/>
  <c r="H2233" i="11"/>
  <c r="I2242" i="11"/>
  <c r="H2242" i="11"/>
  <c r="I2244" i="11"/>
  <c r="H2244" i="11"/>
  <c r="I2249" i="11"/>
  <c r="H2249" i="11"/>
  <c r="I2258" i="11"/>
  <c r="H2258" i="11"/>
  <c r="I2260" i="11"/>
  <c r="H2260" i="11"/>
  <c r="I2265" i="11"/>
  <c r="H2265" i="11"/>
  <c r="I2274" i="11"/>
  <c r="H2274" i="11"/>
  <c r="I2276" i="11"/>
  <c r="H2276" i="11"/>
  <c r="I2281" i="11"/>
  <c r="H2281" i="11"/>
  <c r="I2290" i="11"/>
  <c r="H2290" i="11"/>
  <c r="I2292" i="11"/>
  <c r="H2292" i="11"/>
  <c r="I2297" i="11"/>
  <c r="H2297" i="11"/>
  <c r="I2306" i="11"/>
  <c r="H2306" i="11"/>
  <c r="I2308" i="11"/>
  <c r="H2308" i="11"/>
  <c r="I2313" i="11"/>
  <c r="H2313" i="11"/>
  <c r="I2322" i="11"/>
  <c r="H2322" i="11"/>
  <c r="I2324" i="11"/>
  <c r="H2324" i="11"/>
  <c r="I2329" i="11"/>
  <c r="H2329" i="11"/>
  <c r="I2338" i="11"/>
  <c r="H2338" i="11"/>
  <c r="I2340" i="11"/>
  <c r="H2340" i="11"/>
  <c r="I2345" i="11"/>
  <c r="H2345" i="11"/>
  <c r="I2354" i="11"/>
  <c r="H2354" i="11"/>
  <c r="I2356" i="11"/>
  <c r="H2356" i="11"/>
  <c r="I2361" i="11"/>
  <c r="H2361" i="11"/>
  <c r="I2370" i="11"/>
  <c r="H2370" i="11"/>
  <c r="I2372" i="11"/>
  <c r="H2372" i="11"/>
  <c r="I2377" i="11"/>
  <c r="H2377" i="11"/>
  <c r="I2386" i="11"/>
  <c r="H2386" i="11"/>
  <c r="I2388" i="11"/>
  <c r="H2388" i="11"/>
  <c r="I2393" i="11"/>
  <c r="H2393" i="11"/>
  <c r="I2402" i="11"/>
  <c r="H2402" i="11"/>
  <c r="I2404" i="11"/>
  <c r="H2404" i="11"/>
  <c r="I2409" i="11"/>
  <c r="H2409" i="11"/>
  <c r="I2418" i="11"/>
  <c r="H2418" i="11"/>
  <c r="I2420" i="11"/>
  <c r="H2420" i="11"/>
  <c r="I2425" i="11"/>
  <c r="H2425" i="11"/>
  <c r="I2434" i="11"/>
  <c r="H2434" i="11"/>
  <c r="I2436" i="11"/>
  <c r="H2436" i="11"/>
  <c r="I2441" i="11"/>
  <c r="H2441" i="11"/>
  <c r="I2450" i="11"/>
  <c r="H2450" i="11"/>
  <c r="I2452" i="11"/>
  <c r="H2452" i="11"/>
  <c r="I2457" i="11"/>
  <c r="H2457" i="11"/>
  <c r="I2466" i="11"/>
  <c r="H2466" i="11"/>
  <c r="I2468" i="11"/>
  <c r="H2468" i="11"/>
  <c r="I2473" i="11"/>
  <c r="H2473" i="11"/>
  <c r="I2482" i="11"/>
  <c r="H2482" i="11"/>
  <c r="I2484" i="11"/>
  <c r="H2484" i="11"/>
  <c r="I2489" i="11"/>
  <c r="H2489" i="11"/>
  <c r="I2498" i="11"/>
  <c r="H2498" i="11"/>
  <c r="I2500" i="11"/>
  <c r="H2500" i="11"/>
  <c r="I2505" i="11"/>
  <c r="H2505" i="11"/>
  <c r="I2514" i="11"/>
  <c r="H2514" i="11"/>
  <c r="I2516" i="11"/>
  <c r="H2516" i="11"/>
  <c r="I2521" i="11"/>
  <c r="H2521" i="11"/>
  <c r="I2530" i="11"/>
  <c r="H2530" i="11"/>
  <c r="I2532" i="11"/>
  <c r="H2532" i="11"/>
  <c r="I2537" i="11"/>
  <c r="H2537" i="11"/>
  <c r="I2546" i="11"/>
  <c r="H2546" i="11"/>
  <c r="I2548" i="11"/>
  <c r="H2548" i="11"/>
  <c r="I2553" i="11"/>
  <c r="H2553" i="11"/>
  <c r="I2562" i="11"/>
  <c r="H2562" i="11"/>
  <c r="I2564" i="11"/>
  <c r="H2564" i="11"/>
  <c r="I2569" i="11"/>
  <c r="H2569" i="11"/>
  <c r="I2578" i="11"/>
  <c r="H2578" i="11"/>
  <c r="I2580" i="11"/>
  <c r="H2580" i="11"/>
  <c r="I2585" i="11"/>
  <c r="H2585" i="11"/>
  <c r="I2594" i="11"/>
  <c r="H2594" i="11"/>
  <c r="I2596" i="11"/>
  <c r="H2596" i="11"/>
  <c r="I2601" i="11"/>
  <c r="H2601" i="11"/>
  <c r="I2610" i="11"/>
  <c r="H2610" i="11"/>
  <c r="I2612" i="11"/>
  <c r="H2612" i="11"/>
  <c r="I2617" i="11"/>
  <c r="H2617" i="11"/>
  <c r="I2626" i="11"/>
  <c r="H2626" i="11"/>
  <c r="I2628" i="11"/>
  <c r="H2628" i="11"/>
  <c r="I2633" i="11"/>
  <c r="H2633" i="11"/>
  <c r="I2642" i="11"/>
  <c r="H2642" i="11"/>
  <c r="I2644" i="11"/>
  <c r="H2644" i="11"/>
  <c r="I2649" i="11"/>
  <c r="H2649" i="11"/>
  <c r="I2658" i="11"/>
  <c r="H2658" i="11"/>
  <c r="I2660" i="11"/>
  <c r="H2660" i="11"/>
  <c r="I2665" i="11"/>
  <c r="H2665" i="11"/>
  <c r="I2674" i="11"/>
  <c r="H2674" i="11"/>
  <c r="I2676" i="11"/>
  <c r="H2676" i="11"/>
  <c r="I2681" i="11"/>
  <c r="H2681" i="11"/>
  <c r="I2690" i="11"/>
  <c r="H2690" i="11"/>
  <c r="I2692" i="11"/>
  <c r="H2692" i="11"/>
  <c r="I2697" i="11"/>
  <c r="H2697" i="11"/>
  <c r="I2706" i="11"/>
  <c r="H2706" i="11"/>
  <c r="I2708" i="11"/>
  <c r="H2708" i="11"/>
  <c r="I2713" i="11"/>
  <c r="H2713" i="11"/>
  <c r="I2722" i="11"/>
  <c r="H2722" i="11"/>
  <c r="I2724" i="11"/>
  <c r="H2724" i="11"/>
  <c r="I2729" i="11"/>
  <c r="H2729" i="11"/>
  <c r="I2738" i="11"/>
  <c r="H2738" i="11"/>
  <c r="I2740" i="11"/>
  <c r="H2740" i="11"/>
  <c r="I2745" i="11"/>
  <c r="H2745" i="11"/>
  <c r="I2754" i="11"/>
  <c r="H2754" i="11"/>
  <c r="I2756" i="11"/>
  <c r="H2756" i="11"/>
  <c r="I2761" i="11"/>
  <c r="H2761" i="11"/>
  <c r="I2770" i="11"/>
  <c r="H2770" i="11"/>
  <c r="I2772" i="11"/>
  <c r="H2772" i="11"/>
  <c r="I2777" i="11"/>
  <c r="H2777" i="11"/>
  <c r="I2786" i="11"/>
  <c r="H2786" i="11"/>
  <c r="I2788" i="11"/>
  <c r="H2788" i="11"/>
  <c r="I2793" i="11"/>
  <c r="H2793" i="11"/>
  <c r="I2802" i="11"/>
  <c r="H2802" i="11"/>
  <c r="I2804" i="11"/>
  <c r="H2804" i="11"/>
  <c r="I2809" i="11"/>
  <c r="H2809" i="11"/>
  <c r="I2818" i="11"/>
  <c r="H2818" i="11"/>
  <c r="I2820" i="11"/>
  <c r="H2820" i="11"/>
  <c r="I2825" i="11"/>
  <c r="H2825" i="11"/>
  <c r="I2834" i="11"/>
  <c r="H2834" i="11"/>
  <c r="I2836" i="11"/>
  <c r="H2836" i="11"/>
  <c r="I2841" i="11"/>
  <c r="H2841" i="11"/>
  <c r="I2850" i="11"/>
  <c r="H2850" i="11"/>
  <c r="I2852" i="11"/>
  <c r="H2852" i="11"/>
  <c r="I2857" i="11"/>
  <c r="H2857" i="11"/>
  <c r="I2866" i="11"/>
  <c r="H2866" i="11"/>
  <c r="I2868" i="11"/>
  <c r="H2868" i="11"/>
  <c r="I2873" i="11"/>
  <c r="H2873" i="11"/>
  <c r="I2882" i="11"/>
  <c r="H2882" i="11"/>
  <c r="I2884" i="11"/>
  <c r="H2884" i="11"/>
  <c r="I2889" i="11"/>
  <c r="H2889" i="11"/>
  <c r="I2898" i="11"/>
  <c r="H2898" i="11"/>
  <c r="I2900" i="11"/>
  <c r="H2900" i="11"/>
  <c r="I2905" i="11"/>
  <c r="H2905" i="11"/>
  <c r="I2914" i="11"/>
  <c r="H2914" i="11"/>
  <c r="I2916" i="11"/>
  <c r="H2916" i="11"/>
  <c r="I2921" i="11"/>
  <c r="H2921" i="11"/>
  <c r="I2930" i="11"/>
  <c r="H2930" i="11"/>
  <c r="I2932" i="11"/>
  <c r="H2932" i="11"/>
  <c r="I2937" i="11"/>
  <c r="H2937" i="11"/>
  <c r="I2946" i="11"/>
  <c r="H2946" i="11"/>
  <c r="I2948" i="11"/>
  <c r="H2948" i="11"/>
  <c r="I2953" i="11"/>
  <c r="H2953" i="11"/>
  <c r="I2962" i="11"/>
  <c r="H2962" i="11"/>
  <c r="I2964" i="11"/>
  <c r="H2964" i="11"/>
  <c r="I2969" i="11"/>
  <c r="H2969" i="11"/>
  <c r="I2978" i="11"/>
  <c r="H2978" i="11"/>
  <c r="I2980" i="11"/>
  <c r="H2980" i="11"/>
  <c r="I2985" i="11"/>
  <c r="H2985" i="11"/>
  <c r="I2994" i="11"/>
  <c r="H2994" i="11"/>
  <c r="I2996" i="11"/>
  <c r="H2996" i="11"/>
  <c r="I3001" i="11"/>
  <c r="H3001" i="11"/>
  <c r="I3010" i="11"/>
  <c r="H3010" i="11"/>
  <c r="I3012" i="11"/>
  <c r="H3012" i="11"/>
  <c r="I3017" i="11"/>
  <c r="H3017" i="11"/>
  <c r="I3026" i="11"/>
  <c r="H3026" i="11"/>
  <c r="I3028" i="11"/>
  <c r="H3028" i="11"/>
  <c r="I3033" i="11"/>
  <c r="H3033" i="11"/>
  <c r="I3042" i="11"/>
  <c r="H3042" i="11"/>
  <c r="I3044" i="11"/>
  <c r="H3044" i="11"/>
  <c r="I3049" i="11"/>
  <c r="H3049" i="11"/>
  <c r="I3058" i="11"/>
  <c r="H3058" i="11"/>
  <c r="I3060" i="11"/>
  <c r="H3060" i="11"/>
  <c r="I3065" i="11"/>
  <c r="H3065" i="11"/>
  <c r="I3074" i="11"/>
  <c r="H3074" i="11"/>
  <c r="I3076" i="11"/>
  <c r="H3076" i="11"/>
  <c r="I3081" i="11"/>
  <c r="H3081" i="11"/>
  <c r="I3090" i="11"/>
  <c r="H3090" i="11"/>
  <c r="I3092" i="11"/>
  <c r="H3092" i="11"/>
  <c r="I3097" i="11"/>
  <c r="H3097" i="11"/>
  <c r="I3106" i="11"/>
  <c r="H3106" i="11"/>
  <c r="I3108" i="11"/>
  <c r="H3108" i="11"/>
  <c r="I3113" i="11"/>
  <c r="H3113" i="11"/>
  <c r="I3122" i="11"/>
  <c r="H3122" i="11"/>
  <c r="I3124" i="11"/>
  <c r="H3124" i="11"/>
  <c r="I3129" i="11"/>
  <c r="H3129" i="11"/>
  <c r="I3138" i="11"/>
  <c r="H3138" i="11"/>
  <c r="I3140" i="11"/>
  <c r="H3140" i="11"/>
  <c r="I3145" i="11"/>
  <c r="H3145" i="11"/>
  <c r="I3154" i="11"/>
  <c r="H3154" i="11"/>
  <c r="I3156" i="11"/>
  <c r="H3156" i="11"/>
  <c r="I3161" i="11"/>
  <c r="H3161" i="11"/>
  <c r="I3170" i="11"/>
  <c r="H3170" i="11"/>
  <c r="I3172" i="11"/>
  <c r="H3172" i="11"/>
  <c r="I3177" i="11"/>
  <c r="H3177" i="11"/>
  <c r="I3186" i="11"/>
  <c r="H3186" i="11"/>
  <c r="I3188" i="11"/>
  <c r="H3188" i="11"/>
  <c r="I3193" i="11"/>
  <c r="H3193" i="11"/>
  <c r="I3202" i="11"/>
  <c r="H3202" i="11"/>
  <c r="I3204" i="11"/>
  <c r="H3204" i="11"/>
  <c r="I3209" i="11"/>
  <c r="H3209" i="11"/>
  <c r="I3218" i="11"/>
  <c r="H3218" i="11"/>
  <c r="I3220" i="11"/>
  <c r="H3220" i="11"/>
  <c r="I3225" i="11"/>
  <c r="H3225" i="11"/>
  <c r="I3234" i="11"/>
  <c r="H3234" i="11"/>
  <c r="I3236" i="11"/>
  <c r="H3236" i="11"/>
  <c r="I3241" i="11"/>
  <c r="H3241" i="11"/>
  <c r="I3250" i="11"/>
  <c r="H3250" i="11"/>
  <c r="I3252" i="11"/>
  <c r="H3252" i="11"/>
  <c r="I3257" i="11"/>
  <c r="H3257" i="11"/>
  <c r="I3266" i="11"/>
  <c r="H3266" i="11"/>
  <c r="I3268" i="11"/>
  <c r="H3268" i="11"/>
  <c r="I3273" i="11"/>
  <c r="H3273" i="11"/>
  <c r="I3282" i="11"/>
  <c r="H3282" i="11"/>
  <c r="I3284" i="11"/>
  <c r="H3284" i="11"/>
  <c r="I3289" i="11"/>
  <c r="H3289" i="11"/>
  <c r="I3298" i="11"/>
  <c r="H3298" i="11"/>
  <c r="I3300" i="11"/>
  <c r="H3300" i="11"/>
  <c r="I3305" i="11"/>
  <c r="H3305" i="11"/>
  <c r="I3314" i="11"/>
  <c r="H3314" i="11"/>
  <c r="I3316" i="11"/>
  <c r="H3316" i="11"/>
  <c r="I3321" i="11"/>
  <c r="H3321" i="11"/>
  <c r="I3330" i="11"/>
  <c r="H3330" i="11"/>
  <c r="I3332" i="11"/>
  <c r="H3332" i="11"/>
  <c r="I3337" i="11"/>
  <c r="H3337" i="11"/>
  <c r="I3346" i="11"/>
  <c r="H3346" i="11"/>
  <c r="I3348" i="11"/>
  <c r="H3348" i="11"/>
  <c r="I3353" i="11"/>
  <c r="H3353" i="11"/>
  <c r="I3362" i="11"/>
  <c r="H3362" i="11"/>
  <c r="I3364" i="11"/>
  <c r="H3364" i="11"/>
  <c r="I3369" i="11"/>
  <c r="H3369" i="11"/>
  <c r="I3378" i="11"/>
  <c r="H3378" i="11"/>
  <c r="I3380" i="11"/>
  <c r="H3380" i="11"/>
  <c r="I3385" i="11"/>
  <c r="H3385" i="11"/>
  <c r="I3394" i="11"/>
  <c r="H3394" i="11"/>
  <c r="I3396" i="11"/>
  <c r="H3396" i="11"/>
  <c r="I3401" i="11"/>
  <c r="H3401" i="11"/>
  <c r="I3410" i="11"/>
  <c r="H3410" i="11"/>
  <c r="I3412" i="11"/>
  <c r="H3412" i="11"/>
  <c r="I3417" i="11"/>
  <c r="H3417" i="11"/>
  <c r="I3426" i="11"/>
  <c r="H3426" i="11"/>
  <c r="I3428" i="11"/>
  <c r="H3428" i="11"/>
  <c r="I3433" i="11"/>
  <c r="H3433" i="11"/>
  <c r="I3442" i="11"/>
  <c r="H3442" i="11"/>
  <c r="I3444" i="11"/>
  <c r="H3444" i="11"/>
  <c r="I3449" i="11"/>
  <c r="H3449" i="11"/>
  <c r="I3458" i="11"/>
  <c r="H3458" i="11"/>
  <c r="I3460" i="11"/>
  <c r="H3460" i="11"/>
  <c r="I3465" i="11"/>
  <c r="H3465" i="11"/>
  <c r="I3474" i="11"/>
  <c r="H3474" i="11"/>
  <c r="I3476" i="11"/>
  <c r="H3476" i="11"/>
  <c r="I3481" i="11"/>
  <c r="H3481" i="11"/>
  <c r="I3490" i="11"/>
  <c r="H3490" i="11"/>
  <c r="I3492" i="11"/>
  <c r="H3492" i="11"/>
  <c r="I3497" i="11"/>
  <c r="H3497" i="11"/>
  <c r="I3506" i="11"/>
  <c r="H3506" i="11"/>
  <c r="I3508" i="11"/>
  <c r="H3508" i="11"/>
  <c r="I3513" i="11"/>
  <c r="H3513" i="11"/>
  <c r="I3522" i="11"/>
  <c r="H3522" i="11"/>
  <c r="I3524" i="11"/>
  <c r="H3524" i="11"/>
  <c r="I3529" i="11"/>
  <c r="H3529" i="11"/>
  <c r="I3538" i="11"/>
  <c r="H3538" i="11"/>
  <c r="I3540" i="11"/>
  <c r="H3540" i="11"/>
  <c r="I3545" i="11"/>
  <c r="H3545" i="11"/>
  <c r="I3554" i="11"/>
  <c r="H3554" i="11"/>
  <c r="I3556" i="11"/>
  <c r="H3556" i="11"/>
  <c r="I3561" i="11"/>
  <c r="H3561" i="11"/>
  <c r="I3570" i="11"/>
  <c r="H3570" i="11"/>
  <c r="I3572" i="11"/>
  <c r="H3572" i="11"/>
  <c r="I3577" i="11"/>
  <c r="H3577" i="11"/>
  <c r="I3586" i="11"/>
  <c r="H3586" i="11"/>
  <c r="I3588" i="11"/>
  <c r="H3588" i="11"/>
  <c r="I3593" i="11"/>
  <c r="H3593" i="11"/>
  <c r="I3602" i="11"/>
  <c r="H3602" i="11"/>
  <c r="I3604" i="11"/>
  <c r="H3604" i="11"/>
  <c r="I3609" i="11"/>
  <c r="H3609" i="11"/>
  <c r="I3618" i="11"/>
  <c r="H3618" i="11"/>
  <c r="I3620" i="11"/>
  <c r="H3620" i="11"/>
  <c r="I3625" i="11"/>
  <c r="H3625" i="11"/>
  <c r="I3634" i="11"/>
  <c r="H3634" i="11"/>
  <c r="I3636" i="11"/>
  <c r="H3636" i="11"/>
  <c r="I3641" i="11"/>
  <c r="H3641" i="11"/>
  <c r="I3650" i="11"/>
  <c r="H3650" i="11"/>
  <c r="I3652" i="11"/>
  <c r="H3652" i="11"/>
  <c r="I3657" i="11"/>
  <c r="H3657" i="11"/>
  <c r="I3666" i="11"/>
  <c r="H3666" i="11"/>
  <c r="I3668" i="11"/>
  <c r="H3668" i="11"/>
  <c r="I3673" i="11"/>
  <c r="H3673" i="11"/>
  <c r="I3682" i="11"/>
  <c r="H3682" i="11"/>
  <c r="I3684" i="11"/>
  <c r="H3684" i="11"/>
  <c r="I3689" i="11"/>
  <c r="H3689" i="11"/>
  <c r="I3698" i="11"/>
  <c r="H3698" i="11"/>
  <c r="I3700" i="11"/>
  <c r="H3700" i="11"/>
  <c r="I3705" i="11"/>
  <c r="H3705" i="11"/>
  <c r="I3714" i="11"/>
  <c r="H3714" i="11"/>
  <c r="I3716" i="11"/>
  <c r="H3716" i="11"/>
  <c r="I3721" i="11"/>
  <c r="H3721" i="11"/>
  <c r="I3730" i="11"/>
  <c r="H3730" i="11"/>
  <c r="I3732" i="11"/>
  <c r="H3732" i="11"/>
  <c r="I3737" i="11"/>
  <c r="H3737" i="11"/>
  <c r="I3746" i="11"/>
  <c r="H3746" i="11"/>
  <c r="I3748" i="11"/>
  <c r="H3748" i="11"/>
  <c r="I3753" i="11"/>
  <c r="H3753" i="11"/>
  <c r="I3762" i="11"/>
  <c r="H3762" i="11"/>
  <c r="I3764" i="11"/>
  <c r="H3764" i="11"/>
  <c r="I3769" i="11"/>
  <c r="H3769" i="11"/>
  <c r="I3778" i="11"/>
  <c r="H3778" i="11"/>
  <c r="I3780" i="11"/>
  <c r="H3780" i="11"/>
  <c r="I3785" i="11"/>
  <c r="H3785" i="11"/>
  <c r="I3794" i="11"/>
  <c r="H3794" i="11"/>
  <c r="I3796" i="11"/>
  <c r="H3796" i="11"/>
  <c r="I3801" i="11"/>
  <c r="H3801" i="11"/>
  <c r="I3810" i="11"/>
  <c r="H3810" i="11"/>
  <c r="I3812" i="11"/>
  <c r="H3812" i="11"/>
  <c r="I3817" i="11"/>
  <c r="H3817" i="11"/>
  <c r="I3826" i="11"/>
  <c r="H3826" i="11"/>
  <c r="I3828" i="11"/>
  <c r="H3828" i="11"/>
  <c r="I3833" i="11"/>
  <c r="H3833" i="11"/>
  <c r="I3842" i="11"/>
  <c r="H3842" i="11"/>
  <c r="I3844" i="11"/>
  <c r="H3844" i="11"/>
  <c r="I3849" i="11"/>
  <c r="H3849" i="11"/>
  <c r="I3858" i="11"/>
  <c r="H3858" i="11"/>
  <c r="I3860" i="11"/>
  <c r="H3860" i="11"/>
  <c r="I3865" i="11"/>
  <c r="H3865" i="11"/>
  <c r="I3874" i="11"/>
  <c r="H3874" i="11"/>
  <c r="I3876" i="11"/>
  <c r="H3876" i="11"/>
  <c r="I3881" i="11"/>
  <c r="H3881" i="11"/>
  <c r="I3890" i="11"/>
  <c r="H3890" i="11"/>
  <c r="I3892" i="11"/>
  <c r="H3892" i="11"/>
  <c r="I3897" i="11"/>
  <c r="H3897" i="11"/>
  <c r="I3906" i="11"/>
  <c r="H3906" i="11"/>
  <c r="I3908" i="11"/>
  <c r="H3908" i="11"/>
  <c r="I3913" i="11"/>
  <c r="H3913" i="11"/>
  <c r="I3922" i="11"/>
  <c r="H3922" i="11"/>
  <c r="I3924" i="11"/>
  <c r="H3924" i="11"/>
  <c r="I3929" i="11"/>
  <c r="H3929" i="11"/>
  <c r="I3938" i="11"/>
  <c r="H3938" i="11"/>
  <c r="I3940" i="11"/>
  <c r="H3940" i="11"/>
  <c r="I3945" i="11"/>
  <c r="H3945" i="11"/>
  <c r="I3954" i="11"/>
  <c r="H3954" i="11"/>
  <c r="I3956" i="11"/>
  <c r="H3956" i="11"/>
  <c r="I3961" i="11"/>
  <c r="H3961" i="11"/>
  <c r="I3970" i="11"/>
  <c r="H3970" i="11"/>
  <c r="I3972" i="11"/>
  <c r="H3972" i="11"/>
  <c r="I3977" i="11"/>
  <c r="H3977" i="11"/>
  <c r="I3986" i="11"/>
  <c r="H3986" i="11"/>
  <c r="I3988" i="11"/>
  <c r="H3988" i="11"/>
  <c r="I3993" i="11"/>
  <c r="H3993" i="11"/>
  <c r="I4002" i="11"/>
  <c r="H4002" i="11"/>
  <c r="I4004" i="11"/>
  <c r="H4004" i="11"/>
  <c r="I4009" i="11"/>
  <c r="H4009" i="11"/>
  <c r="I4018" i="11"/>
  <c r="H4018" i="11"/>
  <c r="I4020" i="11"/>
  <c r="H4020" i="11"/>
  <c r="I4025" i="11"/>
  <c r="H4025" i="11"/>
  <c r="I4034" i="11"/>
  <c r="H4034" i="11"/>
  <c r="I4036" i="11"/>
  <c r="H4036" i="11"/>
  <c r="I4041" i="11"/>
  <c r="H4041" i="11"/>
  <c r="I4050" i="11"/>
  <c r="H4050" i="11"/>
  <c r="I4052" i="11"/>
  <c r="H4052" i="11"/>
  <c r="I4057" i="11"/>
  <c r="H4057" i="11"/>
  <c r="I4066" i="11"/>
  <c r="H4066" i="11"/>
  <c r="I4068" i="11"/>
  <c r="H4068" i="11"/>
  <c r="I4073" i="11"/>
  <c r="H4073" i="11"/>
  <c r="I4082" i="11"/>
  <c r="H4082" i="11"/>
  <c r="I4084" i="11"/>
  <c r="H4084" i="11"/>
  <c r="I4089" i="11"/>
  <c r="H4089" i="11"/>
  <c r="I4098" i="11"/>
  <c r="H4098" i="11"/>
  <c r="I4100" i="11"/>
  <c r="H4100" i="11"/>
  <c r="I4105" i="11"/>
  <c r="H4105" i="11"/>
  <c r="I4114" i="11"/>
  <c r="H4114" i="11"/>
  <c r="I4116" i="11"/>
  <c r="H4116" i="11"/>
  <c r="I4121" i="11"/>
  <c r="H4121" i="11"/>
  <c r="I4130" i="11"/>
  <c r="H4130" i="11"/>
  <c r="I4132" i="11"/>
  <c r="H4132" i="11"/>
  <c r="I4137" i="11"/>
  <c r="H4137" i="11"/>
  <c r="I4146" i="11"/>
  <c r="H4146" i="11"/>
  <c r="I4148" i="11"/>
  <c r="H4148" i="11"/>
  <c r="I4153" i="11"/>
  <c r="H4153" i="11"/>
  <c r="I4162" i="11"/>
  <c r="H4162" i="11"/>
  <c r="I4164" i="11"/>
  <c r="H4164" i="11"/>
  <c r="I4169" i="11"/>
  <c r="H4169" i="11"/>
  <c r="I4178" i="11"/>
  <c r="H4178" i="11"/>
  <c r="I4180" i="11"/>
  <c r="H4180" i="11"/>
  <c r="I4185" i="11"/>
  <c r="H4185" i="11"/>
  <c r="I4194" i="11"/>
  <c r="H4194" i="11"/>
  <c r="I4196" i="11"/>
  <c r="H4196" i="11"/>
  <c r="I4201" i="11"/>
  <c r="H4201" i="11"/>
  <c r="I4210" i="11"/>
  <c r="H4210" i="11"/>
  <c r="I4212" i="11"/>
  <c r="H4212" i="11"/>
  <c r="I4217" i="11"/>
  <c r="H4217" i="11"/>
  <c r="I4226" i="11"/>
  <c r="H4226" i="11"/>
  <c r="I4228" i="11"/>
  <c r="H4228" i="11"/>
  <c r="I4233" i="11"/>
  <c r="H4233" i="11"/>
  <c r="I4242" i="11"/>
  <c r="H4242" i="11"/>
  <c r="I4244" i="11"/>
  <c r="H4244" i="11"/>
  <c r="I4249" i="11"/>
  <c r="H4249" i="11"/>
  <c r="I4258" i="11"/>
  <c r="H4258" i="11"/>
  <c r="I4260" i="11"/>
  <c r="H4260" i="11"/>
  <c r="I4265" i="11"/>
  <c r="H4265" i="11"/>
  <c r="I4274" i="11"/>
  <c r="H4274" i="11"/>
  <c r="I4276" i="11"/>
  <c r="H4276" i="11"/>
  <c r="I4281" i="11"/>
  <c r="H4281" i="11"/>
  <c r="I4290" i="11"/>
  <c r="H4290" i="11"/>
  <c r="I4292" i="11"/>
  <c r="H4292" i="11"/>
  <c r="I4297" i="11"/>
  <c r="H4297" i="11"/>
  <c r="I4306" i="11"/>
  <c r="H4306" i="11"/>
  <c r="I4308" i="11"/>
  <c r="H4308" i="11"/>
  <c r="I4313" i="11"/>
  <c r="H4313" i="11"/>
  <c r="I4322" i="11"/>
  <c r="H4322" i="11"/>
  <c r="I4324" i="11"/>
  <c r="H4324" i="11"/>
  <c r="I4329" i="11"/>
  <c r="H4329" i="11"/>
  <c r="I4338" i="11"/>
  <c r="H4338" i="11"/>
  <c r="I4340" i="11"/>
  <c r="H4340" i="11"/>
  <c r="I4345" i="11"/>
  <c r="H4345" i="11"/>
  <c r="I4354" i="11"/>
  <c r="H4354" i="11"/>
  <c r="I4356" i="11"/>
  <c r="H4356" i="11"/>
  <c r="I4361" i="11"/>
  <c r="H4361" i="11"/>
  <c r="I4370" i="11"/>
  <c r="H4370" i="11"/>
  <c r="I4372" i="11"/>
  <c r="H4372" i="11"/>
  <c r="I4377" i="11"/>
  <c r="H4377" i="11"/>
  <c r="I4386" i="11"/>
  <c r="H4386" i="11"/>
  <c r="I4388" i="11"/>
  <c r="H4388" i="11"/>
  <c r="I4393" i="11"/>
  <c r="H4393" i="11"/>
  <c r="I4402" i="11"/>
  <c r="H4402" i="11"/>
  <c r="I4404" i="11"/>
  <c r="H4404" i="11"/>
  <c r="I4409" i="11"/>
  <c r="H4409" i="11"/>
  <c r="I4418" i="11"/>
  <c r="H4418" i="11"/>
  <c r="I4420" i="11"/>
  <c r="H4420" i="11"/>
  <c r="I4425" i="11"/>
  <c r="H4425" i="11"/>
  <c r="I4434" i="11"/>
  <c r="H4434" i="11"/>
  <c r="I4436" i="11"/>
  <c r="H4436" i="11"/>
  <c r="I4441" i="11"/>
  <c r="H4441" i="11"/>
  <c r="I4450" i="11"/>
  <c r="H4450" i="11"/>
  <c r="I4452" i="11"/>
  <c r="H4452" i="11"/>
  <c r="I4457" i="11"/>
  <c r="H4457" i="11"/>
  <c r="I4466" i="11"/>
  <c r="H4466" i="11"/>
  <c r="I4468" i="11"/>
  <c r="H4468" i="11"/>
  <c r="I4473" i="11"/>
  <c r="H4473" i="11"/>
  <c r="I4482" i="11"/>
  <c r="H4482" i="11"/>
  <c r="I4484" i="11"/>
  <c r="H4484" i="11"/>
  <c r="I4489" i="11"/>
  <c r="H4489" i="11"/>
  <c r="I4498" i="11"/>
  <c r="H4498" i="11"/>
  <c r="I4500" i="11"/>
  <c r="H4500" i="11"/>
  <c r="I4505" i="11"/>
  <c r="H4505" i="11"/>
  <c r="I4514" i="11"/>
  <c r="H4514" i="11"/>
  <c r="I4516" i="11"/>
  <c r="H4516" i="11"/>
  <c r="I4521" i="11"/>
  <c r="H4521" i="11"/>
  <c r="I4530" i="11"/>
  <c r="H4530" i="11"/>
  <c r="I4532" i="11"/>
  <c r="H4532" i="11"/>
  <c r="I4537" i="11"/>
  <c r="H4537" i="11"/>
  <c r="I4546" i="11"/>
  <c r="H4546" i="11"/>
  <c r="I4548" i="11"/>
  <c r="H4548" i="11"/>
  <c r="I4553" i="11"/>
  <c r="H4553" i="11"/>
  <c r="I4562" i="11"/>
  <c r="H4562" i="11"/>
  <c r="I4564" i="11"/>
  <c r="H4564" i="11"/>
  <c r="I4569" i="11"/>
  <c r="H4569" i="11"/>
  <c r="I4578" i="11"/>
  <c r="H4578" i="11"/>
  <c r="I4580" i="11"/>
  <c r="H4580" i="11"/>
  <c r="I4585" i="11"/>
  <c r="H4585" i="11"/>
  <c r="I4594" i="11"/>
  <c r="H4594" i="11"/>
  <c r="I4596" i="11"/>
  <c r="H4596" i="11"/>
  <c r="I4601" i="11"/>
  <c r="H4601" i="11"/>
  <c r="I4610" i="11"/>
  <c r="H4610" i="11"/>
  <c r="I4612" i="11"/>
  <c r="H4612" i="11"/>
  <c r="I4617" i="11"/>
  <c r="H4617" i="11"/>
  <c r="I4626" i="11"/>
  <c r="H4626" i="11"/>
  <c r="I4628" i="11"/>
  <c r="H4628" i="11"/>
  <c r="I4633" i="11"/>
  <c r="H4633" i="11"/>
  <c r="I4642" i="11"/>
  <c r="H4642" i="11"/>
  <c r="I4644" i="11"/>
  <c r="H4644" i="11"/>
  <c r="I4649" i="11"/>
  <c r="H4649" i="11"/>
  <c r="I4658" i="11"/>
  <c r="H4658" i="11"/>
  <c r="I4660" i="11"/>
  <c r="H4660" i="11"/>
  <c r="I4665" i="11"/>
  <c r="H4665" i="11"/>
  <c r="I4674" i="11"/>
  <c r="H4674" i="11"/>
  <c r="I4676" i="11"/>
  <c r="H4676" i="11"/>
  <c r="I4681" i="11"/>
  <c r="H4681" i="11"/>
  <c r="I4690" i="11"/>
  <c r="H4690" i="11"/>
  <c r="I4692" i="11"/>
  <c r="H4692" i="11"/>
  <c r="I4697" i="11"/>
  <c r="H4697" i="11"/>
  <c r="I4706" i="11"/>
  <c r="H4706" i="11"/>
  <c r="I4708" i="11"/>
  <c r="H4708" i="11"/>
  <c r="I4713" i="11"/>
  <c r="H4713" i="11"/>
  <c r="I4722" i="11"/>
  <c r="H4722" i="11"/>
  <c r="I4724" i="11"/>
  <c r="H4724" i="11"/>
  <c r="I4729" i="11"/>
  <c r="H4729" i="11"/>
  <c r="I4738" i="11"/>
  <c r="H4738" i="11"/>
  <c r="I4740" i="11"/>
  <c r="H4740" i="11"/>
  <c r="I4745" i="11"/>
  <c r="H4745" i="11"/>
  <c r="I4754" i="11"/>
  <c r="H4754" i="11"/>
  <c r="I4756" i="11"/>
  <c r="H4756" i="11"/>
  <c r="I4761" i="11"/>
  <c r="H4761" i="11"/>
  <c r="I4770" i="11"/>
  <c r="H4770" i="11"/>
  <c r="I4772" i="11"/>
  <c r="H4772" i="11"/>
  <c r="I4777" i="11"/>
  <c r="H4777" i="11"/>
  <c r="I4786" i="11"/>
  <c r="H4786" i="11"/>
  <c r="I4788" i="11"/>
  <c r="H4788" i="11"/>
  <c r="I4793" i="11"/>
  <c r="H4793" i="11"/>
  <c r="I4802" i="11"/>
  <c r="H4802" i="11"/>
  <c r="I4804" i="11"/>
  <c r="H4804" i="11"/>
  <c r="I4809" i="11"/>
  <c r="H4809" i="11"/>
  <c r="I4818" i="11"/>
  <c r="H4818" i="11"/>
  <c r="I4820" i="11"/>
  <c r="H4820" i="11"/>
  <c r="I4825" i="11"/>
  <c r="H4825" i="11"/>
  <c r="I4834" i="11"/>
  <c r="H4834" i="11"/>
  <c r="I4836" i="11"/>
  <c r="H4836" i="11"/>
  <c r="I4841" i="11"/>
  <c r="H4841" i="11"/>
  <c r="I4850" i="11"/>
  <c r="H4850" i="11"/>
  <c r="I4852" i="11"/>
  <c r="H4852" i="11"/>
  <c r="I4857" i="11"/>
  <c r="H4857" i="11"/>
  <c r="I4866" i="11"/>
  <c r="H4866" i="11"/>
  <c r="I4868" i="11"/>
  <c r="H4868" i="11"/>
  <c r="I4873" i="11"/>
  <c r="H4873" i="11"/>
  <c r="I4882" i="11"/>
  <c r="H4882" i="11"/>
  <c r="I4884" i="11"/>
  <c r="H4884" i="11"/>
  <c r="I4889" i="11"/>
  <c r="H4889" i="11"/>
  <c r="I4898" i="11"/>
  <c r="H4898" i="11"/>
  <c r="I4900" i="11"/>
  <c r="H4900" i="11"/>
  <c r="I4905" i="11"/>
  <c r="H4905" i="11"/>
  <c r="I4914" i="11"/>
  <c r="H4914" i="11"/>
  <c r="I4916" i="11"/>
  <c r="H4916" i="11"/>
  <c r="I4921" i="11"/>
  <c r="H4921" i="11"/>
  <c r="I4930" i="11"/>
  <c r="H4930" i="11"/>
  <c r="I4932" i="11"/>
  <c r="H4932" i="11"/>
  <c r="I4937" i="11"/>
  <c r="H4937" i="11"/>
  <c r="I4946" i="11"/>
  <c r="H4946" i="11"/>
  <c r="I4948" i="11"/>
  <c r="H4948" i="11"/>
  <c r="I4953" i="11"/>
  <c r="H4953" i="11"/>
  <c r="I4962" i="11"/>
  <c r="H4962" i="11"/>
  <c r="I4964" i="11"/>
  <c r="H4964" i="11"/>
  <c r="I4969" i="11"/>
  <c r="H4969" i="11"/>
  <c r="I4978" i="11"/>
  <c r="H4978" i="11"/>
  <c r="I4980" i="11"/>
  <c r="H4980" i="11"/>
  <c r="I4985" i="11"/>
  <c r="H4985" i="11"/>
  <c r="I4994" i="11"/>
  <c r="H4994" i="11"/>
  <c r="I4996" i="11"/>
  <c r="H4996" i="11"/>
  <c r="I5001" i="11"/>
  <c r="H5001" i="11"/>
  <c r="I5010" i="11"/>
  <c r="H5010" i="11"/>
  <c r="I5012" i="11"/>
  <c r="H5012" i="11"/>
  <c r="I5017" i="11"/>
  <c r="H5017" i="11"/>
  <c r="I5026" i="11"/>
  <c r="H5026" i="11"/>
  <c r="I5028" i="11"/>
  <c r="H5028" i="11"/>
  <c r="I5033" i="11"/>
  <c r="H5033" i="11"/>
  <c r="I5042" i="11"/>
  <c r="H5042" i="11"/>
  <c r="I5044" i="11"/>
  <c r="H5044" i="11"/>
  <c r="I5049" i="11"/>
  <c r="H5049" i="11"/>
  <c r="I5058" i="11"/>
  <c r="H5058" i="11"/>
  <c r="I5060" i="11"/>
  <c r="H5060" i="11"/>
  <c r="I5065" i="11"/>
  <c r="H5065" i="11"/>
  <c r="I5074" i="11"/>
  <c r="H5074" i="11"/>
  <c r="I5076" i="11"/>
  <c r="H5076" i="11"/>
  <c r="I5081" i="11"/>
  <c r="H5081" i="11"/>
  <c r="I5090" i="11"/>
  <c r="H5090" i="11"/>
  <c r="I5092" i="11"/>
  <c r="H5092" i="11"/>
  <c r="I5097" i="11"/>
  <c r="H5097" i="11"/>
  <c r="I5106" i="11"/>
  <c r="H5106" i="11"/>
  <c r="I5108" i="11"/>
  <c r="H5108" i="11"/>
  <c r="I5113" i="11"/>
  <c r="H5113" i="11"/>
  <c r="I5122" i="11"/>
  <c r="H5122" i="11"/>
  <c r="I5124" i="11"/>
  <c r="H5124" i="11"/>
  <c r="I5129" i="11"/>
  <c r="H5129" i="11"/>
  <c r="I5138" i="11"/>
  <c r="H5138" i="11"/>
  <c r="I5140" i="11"/>
  <c r="H5140" i="11"/>
  <c r="I5145" i="11"/>
  <c r="H5145" i="11"/>
  <c r="I5154" i="11"/>
  <c r="H5154" i="11"/>
  <c r="I5156" i="11"/>
  <c r="H5156" i="11"/>
  <c r="I5161" i="11"/>
  <c r="H5161" i="11"/>
  <c r="I5170" i="11"/>
  <c r="H5170" i="11"/>
  <c r="I5172" i="11"/>
  <c r="H5172" i="11"/>
  <c r="I5177" i="11"/>
  <c r="H5177" i="11"/>
  <c r="I5186" i="11"/>
  <c r="H5186" i="11"/>
  <c r="I5188" i="11"/>
  <c r="H5188" i="11"/>
  <c r="I5193" i="11"/>
  <c r="H5193" i="11"/>
  <c r="I5202" i="11"/>
  <c r="H5202" i="11"/>
  <c r="I5204" i="11"/>
  <c r="H5204" i="11"/>
  <c r="I5209" i="11"/>
  <c r="H5209" i="11"/>
  <c r="I5218" i="11"/>
  <c r="H5218" i="11"/>
  <c r="I5220" i="11"/>
  <c r="H5220" i="11"/>
  <c r="I5225" i="11"/>
  <c r="H5225" i="11"/>
  <c r="I5234" i="11"/>
  <c r="H5234" i="11"/>
  <c r="I5236" i="11"/>
  <c r="H5236" i="11"/>
  <c r="I5241" i="11"/>
  <c r="H5241" i="11"/>
  <c r="I5250" i="11"/>
  <c r="H5250" i="11"/>
  <c r="I5252" i="11"/>
  <c r="H5252" i="11"/>
  <c r="I5257" i="11"/>
  <c r="H5257" i="11"/>
  <c r="I5266" i="11"/>
  <c r="H5266" i="11"/>
  <c r="I5268" i="11"/>
  <c r="H5268" i="11"/>
  <c r="I5273" i="11"/>
  <c r="H5273" i="11"/>
  <c r="I5282" i="11"/>
  <c r="H5282" i="11"/>
  <c r="I5284" i="11"/>
  <c r="H5284" i="11"/>
  <c r="I5289" i="11"/>
  <c r="H5289" i="11"/>
  <c r="I5298" i="11"/>
  <c r="H5298" i="11"/>
  <c r="I5300" i="11"/>
  <c r="H5300" i="11"/>
  <c r="I5305" i="11"/>
  <c r="H5305" i="11"/>
  <c r="I5314" i="11"/>
  <c r="H5314" i="11"/>
  <c r="I5316" i="11"/>
  <c r="H5316" i="11"/>
  <c r="I5321" i="11"/>
  <c r="H5321" i="11"/>
  <c r="I5330" i="11"/>
  <c r="H5330" i="11"/>
  <c r="I5332" i="11"/>
  <c r="H5332" i="11"/>
  <c r="I5337" i="11"/>
  <c r="H5337" i="11"/>
  <c r="I5346" i="11"/>
  <c r="H5346" i="11"/>
  <c r="I5348" i="11"/>
  <c r="H5348" i="11"/>
  <c r="I5353" i="11"/>
  <c r="H5353" i="11"/>
  <c r="I5362" i="11"/>
  <c r="H5362" i="11"/>
  <c r="I5364" i="11"/>
  <c r="H5364" i="11"/>
  <c r="I5369" i="11"/>
  <c r="H5369" i="11"/>
  <c r="I5378" i="11"/>
  <c r="H5378" i="11"/>
  <c r="I5380" i="11"/>
  <c r="H5380" i="11"/>
  <c r="I5385" i="11"/>
  <c r="H5385" i="11"/>
  <c r="I5394" i="11"/>
  <c r="H5394" i="11"/>
  <c r="I5396" i="11"/>
  <c r="H5396" i="11"/>
  <c r="I5401" i="11"/>
  <c r="H5401" i="11"/>
  <c r="I5410" i="11"/>
  <c r="H5410" i="11"/>
  <c r="I5412" i="11"/>
  <c r="H5412" i="11"/>
  <c r="I5417" i="11"/>
  <c r="H5417" i="11"/>
  <c r="I5426" i="11"/>
  <c r="H5426" i="11"/>
  <c r="I5428" i="11"/>
  <c r="H5428" i="11"/>
  <c r="I5433" i="11"/>
  <c r="H5433" i="11"/>
  <c r="I5442" i="11"/>
  <c r="H5442" i="11"/>
  <c r="I5444" i="11"/>
  <c r="H5444" i="11"/>
  <c r="I5449" i="11"/>
  <c r="H5449" i="11"/>
  <c r="I5458" i="11"/>
  <c r="H5458" i="11"/>
  <c r="I5460" i="11"/>
  <c r="H5460" i="11"/>
  <c r="I5465" i="11"/>
  <c r="H5465" i="11"/>
  <c r="I5474" i="11"/>
  <c r="H5474" i="11"/>
  <c r="I5476" i="11"/>
  <c r="H5476" i="11"/>
  <c r="I5481" i="11"/>
  <c r="H5481" i="11"/>
  <c r="I5490" i="11"/>
  <c r="H5490" i="11"/>
  <c r="I5492" i="11"/>
  <c r="H5492" i="11"/>
  <c r="I5497" i="11"/>
  <c r="H5497" i="11"/>
  <c r="I5506" i="11"/>
  <c r="H5506" i="11"/>
  <c r="I5508" i="11"/>
  <c r="H5508" i="11"/>
  <c r="I5513" i="11"/>
  <c r="H5513" i="11"/>
  <c r="I5522" i="11"/>
  <c r="H5522" i="11"/>
  <c r="I5524" i="11"/>
  <c r="H5524" i="11"/>
  <c r="I5529" i="11"/>
  <c r="H5529" i="11"/>
  <c r="I5538" i="11"/>
  <c r="H5538" i="11"/>
  <c r="I5540" i="11"/>
  <c r="H5540" i="11"/>
  <c r="I5545" i="11"/>
  <c r="H5545" i="11"/>
  <c r="I5554" i="11"/>
  <c r="H5554" i="11"/>
  <c r="I5556" i="11"/>
  <c r="H5556" i="11"/>
  <c r="I5561" i="11"/>
  <c r="H5561" i="11"/>
  <c r="I5570" i="11"/>
  <c r="H5570" i="11"/>
  <c r="I5572" i="11"/>
  <c r="H5572" i="11"/>
  <c r="I5577" i="11"/>
  <c r="H5577" i="11"/>
  <c r="I5586" i="11"/>
  <c r="H5586" i="11"/>
  <c r="I5588" i="11"/>
  <c r="H5588" i="11"/>
  <c r="I5593" i="11"/>
  <c r="H5593" i="11"/>
  <c r="I5602" i="11"/>
  <c r="H5602" i="11"/>
  <c r="I5604" i="11"/>
  <c r="H5604" i="11"/>
  <c r="I5609" i="11"/>
  <c r="H5609" i="11"/>
  <c r="I5618" i="11"/>
  <c r="H5618" i="11"/>
  <c r="I5620" i="11"/>
  <c r="H5620" i="11"/>
  <c r="I5625" i="11"/>
  <c r="H5625" i="11"/>
  <c r="I5634" i="11"/>
  <c r="H5634" i="11"/>
  <c r="I5636" i="11"/>
  <c r="H5636" i="11"/>
  <c r="I5641" i="11"/>
  <c r="H5641" i="11"/>
  <c r="I5650" i="11"/>
  <c r="H5650" i="11"/>
  <c r="I5652" i="11"/>
  <c r="H5652" i="11"/>
  <c r="I5657" i="11"/>
  <c r="H5657" i="11"/>
  <c r="I5666" i="11"/>
  <c r="H5666" i="11"/>
  <c r="I5668" i="11"/>
  <c r="H5668" i="11"/>
  <c r="I5673" i="11"/>
  <c r="H5673" i="11"/>
  <c r="I5682" i="11"/>
  <c r="H5682" i="11"/>
  <c r="I5684" i="11"/>
  <c r="H5684" i="11"/>
  <c r="I5689" i="11"/>
  <c r="H5689" i="11"/>
  <c r="I5698" i="11"/>
  <c r="H5698" i="11"/>
  <c r="I5700" i="11"/>
  <c r="H5700" i="11"/>
  <c r="I5705" i="11"/>
  <c r="H5705" i="11"/>
  <c r="I5714" i="11"/>
  <c r="H5714" i="11"/>
  <c r="I5716" i="11"/>
  <c r="H5716" i="11"/>
  <c r="I5721" i="11"/>
  <c r="H5721" i="11"/>
  <c r="I5730" i="11"/>
  <c r="H5730" i="11"/>
  <c r="I5732" i="11"/>
  <c r="H5732" i="11"/>
  <c r="I5737" i="11"/>
  <c r="H5737" i="11"/>
  <c r="I5746" i="11"/>
  <c r="H5746" i="11"/>
  <c r="I5748" i="11"/>
  <c r="H5748" i="11"/>
  <c r="I5753" i="11"/>
  <c r="H5753" i="11"/>
  <c r="I5762" i="11"/>
  <c r="H5762" i="11"/>
  <c r="I5764" i="11"/>
  <c r="H5764" i="11"/>
  <c r="I5769" i="11"/>
  <c r="H5769" i="11"/>
  <c r="I5778" i="11"/>
  <c r="H5778" i="11"/>
  <c r="I5780" i="11"/>
  <c r="H5780" i="11"/>
  <c r="I5785" i="11"/>
  <c r="H5785" i="11"/>
  <c r="I5794" i="11"/>
  <c r="H5794" i="11"/>
  <c r="I5796" i="11"/>
  <c r="H5796" i="11"/>
  <c r="I5801" i="11"/>
  <c r="H5801" i="11"/>
  <c r="I5810" i="11"/>
  <c r="H5810" i="11"/>
  <c r="I5812" i="11"/>
  <c r="H5812" i="11"/>
  <c r="I5817" i="11"/>
  <c r="H5817" i="11"/>
  <c r="I5826" i="11"/>
  <c r="H5826" i="11"/>
  <c r="I5828" i="11"/>
  <c r="H5828" i="11"/>
  <c r="I5833" i="11"/>
  <c r="H5833" i="11"/>
  <c r="I5842" i="11"/>
  <c r="H5842" i="11"/>
  <c r="I5844" i="11"/>
  <c r="H5844" i="11"/>
  <c r="I5849" i="11"/>
  <c r="H5849" i="11"/>
  <c r="I5858" i="11"/>
  <c r="H5858" i="11"/>
  <c r="I5860" i="11"/>
  <c r="H5860" i="11"/>
  <c r="I5865" i="11"/>
  <c r="H5865" i="11"/>
  <c r="I5874" i="11"/>
  <c r="H5874" i="11"/>
  <c r="I5876" i="11"/>
  <c r="H5876" i="11"/>
  <c r="I5881" i="11"/>
  <c r="H5881" i="11"/>
  <c r="I5890" i="11"/>
  <c r="H5890" i="11"/>
  <c r="I5892" i="11"/>
  <c r="H5892" i="11"/>
  <c r="I5897" i="11"/>
  <c r="H5897" i="11"/>
  <c r="I5906" i="11"/>
  <c r="H5906" i="11"/>
  <c r="I5908" i="11"/>
  <c r="H5908" i="11"/>
  <c r="I5913" i="11"/>
  <c r="H5913" i="11"/>
  <c r="I5922" i="11"/>
  <c r="H5922" i="11"/>
  <c r="I5924" i="11"/>
  <c r="H5924" i="11"/>
  <c r="I5929" i="11"/>
  <c r="H5929" i="11"/>
  <c r="I5938" i="11"/>
  <c r="H5938" i="11"/>
  <c r="I5940" i="11"/>
  <c r="H5940" i="11"/>
  <c r="I5945" i="11"/>
  <c r="H5945" i="11"/>
  <c r="I5954" i="11"/>
  <c r="H5954" i="11"/>
  <c r="I5956" i="11"/>
  <c r="H5956" i="11"/>
  <c r="I5961" i="11"/>
  <c r="H5961" i="11"/>
  <c r="I5970" i="11"/>
  <c r="H5970" i="11"/>
  <c r="I5972" i="11"/>
  <c r="H5972" i="11"/>
  <c r="I5977" i="11"/>
  <c r="H5977" i="11"/>
  <c r="I5986" i="11"/>
  <c r="H5986" i="11"/>
  <c r="I5988" i="11"/>
  <c r="H5988" i="11"/>
  <c r="I5993" i="11"/>
  <c r="H5993" i="11"/>
  <c r="I6002" i="11"/>
  <c r="H6002" i="11"/>
  <c r="I6004" i="11"/>
  <c r="H6004" i="11"/>
  <c r="I6009" i="11"/>
  <c r="H6009" i="11"/>
  <c r="I6018" i="11"/>
  <c r="H6018" i="11"/>
  <c r="I6020" i="11"/>
  <c r="H6020" i="11"/>
  <c r="I6025" i="11"/>
  <c r="H6025" i="11"/>
  <c r="I6034" i="11"/>
  <c r="H6034" i="11"/>
  <c r="I6036" i="11"/>
  <c r="H6036" i="11"/>
  <c r="I6041" i="11"/>
  <c r="H6041" i="11"/>
  <c r="I6050" i="11"/>
  <c r="H6050" i="11"/>
  <c r="I6052" i="11"/>
  <c r="H6052" i="11"/>
  <c r="I6057" i="11"/>
  <c r="H6057" i="11"/>
  <c r="I6066" i="11"/>
  <c r="H6066" i="11"/>
  <c r="I6068" i="11"/>
  <c r="H6068" i="11"/>
  <c r="I6073" i="11"/>
  <c r="H6073" i="11"/>
  <c r="I6082" i="11"/>
  <c r="H6082" i="11"/>
  <c r="I6084" i="11"/>
  <c r="H6084" i="11"/>
  <c r="I6089" i="11"/>
  <c r="H6089" i="11"/>
  <c r="I6098" i="11"/>
  <c r="H6098" i="11"/>
  <c r="I6100" i="11"/>
  <c r="H6100" i="11"/>
  <c r="I6105" i="11"/>
  <c r="H6105" i="11"/>
  <c r="I6114" i="11"/>
  <c r="H6114" i="11"/>
  <c r="I6116" i="11"/>
  <c r="H6116" i="11"/>
  <c r="I6121" i="11"/>
  <c r="H6121" i="11"/>
  <c r="I6130" i="11"/>
  <c r="H6130" i="11"/>
  <c r="I6132" i="11"/>
  <c r="H6132" i="11"/>
  <c r="I6137" i="11"/>
  <c r="H6137" i="11"/>
  <c r="I6146" i="11"/>
  <c r="H6146" i="11"/>
  <c r="I6148" i="11"/>
  <c r="H6148" i="11"/>
  <c r="I6153" i="11"/>
  <c r="H6153" i="11"/>
  <c r="I6162" i="11"/>
  <c r="H6162" i="11"/>
  <c r="I6164" i="11"/>
  <c r="H6164" i="11"/>
  <c r="I6169" i="11"/>
  <c r="H6169" i="11"/>
  <c r="I6178" i="11"/>
  <c r="H6178" i="11"/>
  <c r="I6180" i="11"/>
  <c r="H6180" i="11"/>
  <c r="I6185" i="11"/>
  <c r="H6185" i="11"/>
  <c r="I6194" i="11"/>
  <c r="H6194" i="11"/>
  <c r="I6196" i="11"/>
  <c r="H6196" i="11"/>
  <c r="I6201" i="11"/>
  <c r="H6201" i="11"/>
  <c r="I6210" i="11"/>
  <c r="H6210" i="11"/>
  <c r="I6212" i="11"/>
  <c r="H6212" i="11"/>
  <c r="I6217" i="11"/>
  <c r="H6217" i="11"/>
  <c r="I6228" i="11"/>
  <c r="H6228" i="11"/>
  <c r="I6233" i="11"/>
  <c r="H6233" i="11"/>
  <c r="I6244" i="11"/>
  <c r="H6244" i="11"/>
  <c r="I6249" i="11"/>
  <c r="H6249" i="11"/>
  <c r="I6260" i="11"/>
  <c r="H6260" i="11"/>
  <c r="I6265" i="11"/>
  <c r="H6265" i="11"/>
  <c r="I6276" i="11"/>
  <c r="H6276" i="11"/>
  <c r="I6281" i="11"/>
  <c r="H6281" i="11"/>
  <c r="I6292" i="11"/>
  <c r="H6292" i="11"/>
  <c r="I6297" i="11"/>
  <c r="H6297" i="11"/>
  <c r="I6308" i="11"/>
  <c r="H6308" i="11"/>
  <c r="I6313" i="11"/>
  <c r="H6313" i="11"/>
  <c r="I6324" i="11"/>
  <c r="H6324" i="11"/>
  <c r="I6329" i="11"/>
  <c r="H6329" i="11"/>
  <c r="I6340" i="11"/>
  <c r="H6340" i="11"/>
  <c r="I6345" i="11"/>
  <c r="H6345" i="11"/>
  <c r="I6356" i="11"/>
  <c r="H6356" i="11"/>
  <c r="I6361" i="11"/>
  <c r="H6361" i="11"/>
  <c r="I6372" i="11"/>
  <c r="H6372" i="11"/>
  <c r="I6377" i="11"/>
  <c r="H6377" i="11"/>
  <c r="I6388" i="11"/>
  <c r="H6388" i="11"/>
  <c r="I6393" i="11"/>
  <c r="H6393" i="11"/>
  <c r="I6404" i="11"/>
  <c r="H6404" i="11"/>
  <c r="I6409" i="11"/>
  <c r="H6409" i="11"/>
  <c r="I6420" i="11"/>
  <c r="H6420" i="11"/>
  <c r="I6425" i="11"/>
  <c r="H6425" i="11"/>
  <c r="I6436" i="11"/>
  <c r="H6436" i="11"/>
  <c r="I6441" i="11"/>
  <c r="H6441" i="11"/>
  <c r="I6452" i="11"/>
  <c r="H6452" i="11"/>
  <c r="I6457" i="11"/>
  <c r="H6457" i="11"/>
  <c r="I6468" i="11"/>
  <c r="H6468" i="11"/>
  <c r="I6473" i="11"/>
  <c r="H6473" i="11"/>
  <c r="I6484" i="11"/>
  <c r="H6484" i="11"/>
  <c r="I6489" i="11"/>
  <c r="H6489" i="11"/>
  <c r="I6500" i="11"/>
  <c r="H6500" i="11"/>
  <c r="I6505" i="11"/>
  <c r="H6505" i="11"/>
  <c r="I6516" i="11"/>
  <c r="H6516" i="11"/>
  <c r="I6530" i="11"/>
  <c r="H6530" i="11"/>
  <c r="I6546" i="11"/>
  <c r="H6546" i="11"/>
  <c r="I6562" i="11"/>
  <c r="H6562" i="11"/>
  <c r="I6578" i="11"/>
  <c r="H6578" i="11"/>
  <c r="I6594" i="11"/>
  <c r="H6594" i="11"/>
  <c r="I6610" i="11"/>
  <c r="H6610" i="11"/>
  <c r="I6626" i="11"/>
  <c r="H6626" i="11"/>
  <c r="I6642" i="11"/>
  <c r="H6642" i="11"/>
  <c r="I6658" i="11"/>
  <c r="H6658" i="11"/>
  <c r="I6674" i="11"/>
  <c r="H6674" i="11"/>
  <c r="I6690" i="11"/>
  <c r="H6690" i="11"/>
  <c r="I6706" i="11"/>
  <c r="H6706" i="11"/>
  <c r="I6722" i="11"/>
  <c r="H6722" i="11"/>
  <c r="I6738" i="11"/>
  <c r="H6738" i="11"/>
  <c r="I6754" i="11"/>
  <c r="H6754" i="11"/>
  <c r="I6770" i="11"/>
  <c r="H6770" i="11"/>
  <c r="I6786" i="11"/>
  <c r="H6786" i="11"/>
  <c r="I6802" i="11"/>
  <c r="H6802" i="11"/>
  <c r="I6818" i="11"/>
  <c r="H6818" i="11"/>
  <c r="I6834" i="11"/>
  <c r="H6834" i="11"/>
  <c r="I6850" i="11"/>
  <c r="H6850" i="11"/>
  <c r="I6866" i="11"/>
  <c r="H6866" i="11"/>
  <c r="I6882" i="11"/>
  <c r="H6882" i="11"/>
  <c r="I6898" i="11"/>
  <c r="H6898" i="11"/>
  <c r="I6914" i="11"/>
  <c r="H6914" i="11"/>
  <c r="I6930" i="11"/>
  <c r="H6930" i="11"/>
  <c r="I6946" i="11"/>
  <c r="H6946" i="11"/>
  <c r="I6962" i="11"/>
  <c r="H6962" i="11"/>
  <c r="I6978" i="11"/>
  <c r="H6978" i="11"/>
  <c r="I6994" i="11"/>
  <c r="H6994" i="11"/>
  <c r="I7010" i="11"/>
  <c r="H7010" i="11"/>
  <c r="I7026" i="11"/>
  <c r="H7026" i="11"/>
  <c r="I7042" i="11"/>
  <c r="H7042" i="11"/>
  <c r="I7058" i="11"/>
  <c r="H7058" i="11"/>
  <c r="I7074" i="11"/>
  <c r="H7074" i="11"/>
  <c r="I7090" i="11"/>
  <c r="H7090" i="11"/>
  <c r="I7106" i="11"/>
  <c r="H7106" i="11"/>
  <c r="I7122" i="11"/>
  <c r="H7122" i="11"/>
  <c r="I7138" i="11"/>
  <c r="H7138" i="11"/>
  <c r="I7154" i="11"/>
  <c r="H7154" i="11"/>
  <c r="I7170" i="11"/>
  <c r="H7170" i="11"/>
  <c r="I7186" i="11"/>
  <c r="H7186" i="11"/>
  <c r="I7202" i="11"/>
  <c r="H7202" i="11"/>
  <c r="H1552" i="11"/>
  <c r="H1555" i="11"/>
  <c r="H1560" i="11"/>
  <c r="H1563" i="11"/>
  <c r="H1568" i="11"/>
  <c r="H1571" i="11"/>
  <c r="H1576" i="11"/>
  <c r="H1579" i="11"/>
  <c r="H1584" i="11"/>
  <c r="H1587" i="11"/>
  <c r="H1592" i="11"/>
  <c r="H1595" i="11"/>
  <c r="H1600" i="11"/>
  <c r="H1603" i="11"/>
  <c r="H1608" i="11"/>
  <c r="H1611" i="11"/>
  <c r="H1616" i="11"/>
  <c r="H1619" i="11"/>
  <c r="H1624" i="11"/>
  <c r="H1627" i="11"/>
  <c r="H1632" i="11"/>
  <c r="H1635" i="11"/>
  <c r="H1640" i="11"/>
  <c r="H1643" i="11"/>
  <c r="H1648" i="11"/>
  <c r="H1651" i="11"/>
  <c r="H1656" i="11"/>
  <c r="H1659" i="11"/>
  <c r="H1664" i="11"/>
  <c r="H1667" i="11"/>
  <c r="H1672" i="11"/>
  <c r="H1675" i="11"/>
  <c r="H1680" i="11"/>
  <c r="H1683" i="11"/>
  <c r="H1688" i="11"/>
  <c r="H1691" i="11"/>
  <c r="H1696" i="11"/>
  <c r="H1700" i="11"/>
  <c r="H1704" i="11"/>
  <c r="H1708" i="11"/>
  <c r="I1797" i="11"/>
  <c r="H1797" i="11"/>
  <c r="I1806" i="11"/>
  <c r="H1806" i="11"/>
  <c r="I1808" i="11"/>
  <c r="H1808" i="11"/>
  <c r="I1813" i="11"/>
  <c r="H1813" i="11"/>
  <c r="I1822" i="11"/>
  <c r="H1822" i="11"/>
  <c r="I1824" i="11"/>
  <c r="H1824" i="11"/>
  <c r="I1829" i="11"/>
  <c r="H1829" i="11"/>
  <c r="I1838" i="11"/>
  <c r="H1838" i="11"/>
  <c r="I1840" i="11"/>
  <c r="H1840" i="11"/>
  <c r="I1845" i="11"/>
  <c r="H1845" i="11"/>
  <c r="I1854" i="11"/>
  <c r="H1854" i="11"/>
  <c r="I1856" i="11"/>
  <c r="H1856" i="11"/>
  <c r="I1861" i="11"/>
  <c r="H1861" i="11"/>
  <c r="I1870" i="11"/>
  <c r="H1870" i="11"/>
  <c r="I1872" i="11"/>
  <c r="H1872" i="11"/>
  <c r="I1877" i="11"/>
  <c r="H1877" i="11"/>
  <c r="I1886" i="11"/>
  <c r="H1886" i="11"/>
  <c r="I1888" i="11"/>
  <c r="H1888" i="11"/>
  <c r="I1893" i="11"/>
  <c r="H1893" i="11"/>
  <c r="I1902" i="11"/>
  <c r="H1902" i="11"/>
  <c r="I1904" i="11"/>
  <c r="H1904" i="11"/>
  <c r="I1909" i="11"/>
  <c r="H1909" i="11"/>
  <c r="I1918" i="11"/>
  <c r="H1918" i="11"/>
  <c r="I1920" i="11"/>
  <c r="H1920" i="11"/>
  <c r="I1925" i="11"/>
  <c r="H1925" i="11"/>
  <c r="I1934" i="11"/>
  <c r="H1934" i="11"/>
  <c r="I1936" i="11"/>
  <c r="H1936" i="11"/>
  <c r="I1941" i="11"/>
  <c r="H1941" i="11"/>
  <c r="I1950" i="11"/>
  <c r="H1950" i="11"/>
  <c r="I1952" i="11"/>
  <c r="H1952" i="11"/>
  <c r="I1957" i="11"/>
  <c r="H1957" i="11"/>
  <c r="I1966" i="11"/>
  <c r="H1966" i="11"/>
  <c r="I1968" i="11"/>
  <c r="H1968" i="11"/>
  <c r="I1973" i="11"/>
  <c r="H1973" i="11"/>
  <c r="I1982" i="11"/>
  <c r="H1982" i="11"/>
  <c r="I1984" i="11"/>
  <c r="H1984" i="11"/>
  <c r="I1989" i="11"/>
  <c r="H1989" i="11"/>
  <c r="I1998" i="11"/>
  <c r="H1998" i="11"/>
  <c r="I2000" i="11"/>
  <c r="H2000" i="11"/>
  <c r="I2005" i="11"/>
  <c r="H2005" i="11"/>
  <c r="I2014" i="11"/>
  <c r="H2014" i="11"/>
  <c r="I2016" i="11"/>
  <c r="H2016" i="11"/>
  <c r="I2021" i="11"/>
  <c r="H2021" i="11"/>
  <c r="I2030" i="11"/>
  <c r="H2030" i="11"/>
  <c r="I2032" i="11"/>
  <c r="H2032" i="11"/>
  <c r="I2037" i="11"/>
  <c r="H2037" i="11"/>
  <c r="I2046" i="11"/>
  <c r="H2046" i="11"/>
  <c r="I2048" i="11"/>
  <c r="H2048" i="11"/>
  <c r="I2053" i="11"/>
  <c r="H2053" i="11"/>
  <c r="I2062" i="11"/>
  <c r="H2062" i="11"/>
  <c r="I2064" i="11"/>
  <c r="H2064" i="11"/>
  <c r="I2069" i="11"/>
  <c r="H2069" i="11"/>
  <c r="I2078" i="11"/>
  <c r="H2078" i="11"/>
  <c r="I2080" i="11"/>
  <c r="H2080" i="11"/>
  <c r="I2085" i="11"/>
  <c r="H2085" i="11"/>
  <c r="I2094" i="11"/>
  <c r="H2094" i="11"/>
  <c r="I2096" i="11"/>
  <c r="H2096" i="11"/>
  <c r="I2101" i="11"/>
  <c r="H2101" i="11"/>
  <c r="I2110" i="11"/>
  <c r="H2110" i="11"/>
  <c r="I2112" i="11"/>
  <c r="H2112" i="11"/>
  <c r="I2117" i="11"/>
  <c r="H2117" i="11"/>
  <c r="I2126" i="11"/>
  <c r="H2126" i="11"/>
  <c r="I2128" i="11"/>
  <c r="H2128" i="11"/>
  <c r="I2133" i="11"/>
  <c r="H2133" i="11"/>
  <c r="I2142" i="11"/>
  <c r="H2142" i="11"/>
  <c r="I2144" i="11"/>
  <c r="H2144" i="11"/>
  <c r="I2149" i="11"/>
  <c r="H2149" i="11"/>
  <c r="I2158" i="11"/>
  <c r="H2158" i="11"/>
  <c r="I2160" i="11"/>
  <c r="H2160" i="11"/>
  <c r="I2165" i="11"/>
  <c r="H2165" i="11"/>
  <c r="I2174" i="11"/>
  <c r="H2174" i="11"/>
  <c r="I2176" i="11"/>
  <c r="H2176" i="11"/>
  <c r="I2181" i="11"/>
  <c r="H2181" i="11"/>
  <c r="I2190" i="11"/>
  <c r="H2190" i="11"/>
  <c r="I2192" i="11"/>
  <c r="H2192" i="11"/>
  <c r="I2197" i="11"/>
  <c r="H2197" i="11"/>
  <c r="I2206" i="11"/>
  <c r="H2206" i="11"/>
  <c r="I2208" i="11"/>
  <c r="H2208" i="11"/>
  <c r="I2213" i="11"/>
  <c r="H2213" i="11"/>
  <c r="I2222" i="11"/>
  <c r="H2222" i="11"/>
  <c r="I2224" i="11"/>
  <c r="H2224" i="11"/>
  <c r="I2229" i="11"/>
  <c r="H2229" i="11"/>
  <c r="I2238" i="11"/>
  <c r="H2238" i="11"/>
  <c r="I2240" i="11"/>
  <c r="H2240" i="11"/>
  <c r="I2245" i="11"/>
  <c r="H2245" i="11"/>
  <c r="I2254" i="11"/>
  <c r="H2254" i="11"/>
  <c r="I2256" i="11"/>
  <c r="H2256" i="11"/>
  <c r="I2261" i="11"/>
  <c r="H2261" i="11"/>
  <c r="I2270" i="11"/>
  <c r="H2270" i="11"/>
  <c r="I2272" i="11"/>
  <c r="H2272" i="11"/>
  <c r="I2277" i="11"/>
  <c r="H2277" i="11"/>
  <c r="I2286" i="11"/>
  <c r="H2286" i="11"/>
  <c r="I2288" i="11"/>
  <c r="H2288" i="11"/>
  <c r="I2293" i="11"/>
  <c r="H2293" i="11"/>
  <c r="I2302" i="11"/>
  <c r="H2302" i="11"/>
  <c r="I2304" i="11"/>
  <c r="H2304" i="11"/>
  <c r="I2309" i="11"/>
  <c r="H2309" i="11"/>
  <c r="I2318" i="11"/>
  <c r="H2318" i="11"/>
  <c r="I2320" i="11"/>
  <c r="H2320" i="11"/>
  <c r="I2325" i="11"/>
  <c r="H2325" i="11"/>
  <c r="I2334" i="11"/>
  <c r="H2334" i="11"/>
  <c r="I2336" i="11"/>
  <c r="H2336" i="11"/>
  <c r="I2341" i="11"/>
  <c r="H2341" i="11"/>
  <c r="I2350" i="11"/>
  <c r="H2350" i="11"/>
  <c r="I2352" i="11"/>
  <c r="H2352" i="11"/>
  <c r="I2357" i="11"/>
  <c r="H2357" i="11"/>
  <c r="I2366" i="11"/>
  <c r="H2366" i="11"/>
  <c r="I2368" i="11"/>
  <c r="H2368" i="11"/>
  <c r="I2373" i="11"/>
  <c r="H2373" i="11"/>
  <c r="I2382" i="11"/>
  <c r="H2382" i="11"/>
  <c r="I2384" i="11"/>
  <c r="H2384" i="11"/>
  <c r="I2389" i="11"/>
  <c r="H2389" i="11"/>
  <c r="I2398" i="11"/>
  <c r="H2398" i="11"/>
  <c r="I2400" i="11"/>
  <c r="H2400" i="11"/>
  <c r="I2405" i="11"/>
  <c r="H2405" i="11"/>
  <c r="I2414" i="11"/>
  <c r="H2414" i="11"/>
  <c r="I2416" i="11"/>
  <c r="H2416" i="11"/>
  <c r="I2421" i="11"/>
  <c r="H2421" i="11"/>
  <c r="I2430" i="11"/>
  <c r="H2430" i="11"/>
  <c r="I2432" i="11"/>
  <c r="H2432" i="11"/>
  <c r="I2437" i="11"/>
  <c r="H2437" i="11"/>
  <c r="I2446" i="11"/>
  <c r="H2446" i="11"/>
  <c r="I2448" i="11"/>
  <c r="H2448" i="11"/>
  <c r="I2453" i="11"/>
  <c r="H2453" i="11"/>
  <c r="I2462" i="11"/>
  <c r="H2462" i="11"/>
  <c r="I2464" i="11"/>
  <c r="H2464" i="11"/>
  <c r="I2469" i="11"/>
  <c r="H2469" i="11"/>
  <c r="I2478" i="11"/>
  <c r="H2478" i="11"/>
  <c r="I2480" i="11"/>
  <c r="H2480" i="11"/>
  <c r="I2485" i="11"/>
  <c r="H2485" i="11"/>
  <c r="I2494" i="11"/>
  <c r="H2494" i="11"/>
  <c r="I2496" i="11"/>
  <c r="H2496" i="11"/>
  <c r="I2501" i="11"/>
  <c r="H2501" i="11"/>
  <c r="I2510" i="11"/>
  <c r="H2510" i="11"/>
  <c r="I2512" i="11"/>
  <c r="H2512" i="11"/>
  <c r="I2517" i="11"/>
  <c r="H2517" i="11"/>
  <c r="I2526" i="11"/>
  <c r="H2526" i="11"/>
  <c r="I2528" i="11"/>
  <c r="H2528" i="11"/>
  <c r="I2533" i="11"/>
  <c r="H2533" i="11"/>
  <c r="I2542" i="11"/>
  <c r="H2542" i="11"/>
  <c r="I2544" i="11"/>
  <c r="H2544" i="11"/>
  <c r="I2549" i="11"/>
  <c r="H2549" i="11"/>
  <c r="I2558" i="11"/>
  <c r="H2558" i="11"/>
  <c r="I2560" i="11"/>
  <c r="H2560" i="11"/>
  <c r="I2565" i="11"/>
  <c r="H2565" i="11"/>
  <c r="I2574" i="11"/>
  <c r="H2574" i="11"/>
  <c r="I2576" i="11"/>
  <c r="H2576" i="11"/>
  <c r="I2581" i="11"/>
  <c r="H2581" i="11"/>
  <c r="I2590" i="11"/>
  <c r="H2590" i="11"/>
  <c r="I2592" i="11"/>
  <c r="H2592" i="11"/>
  <c r="I2597" i="11"/>
  <c r="H2597" i="11"/>
  <c r="I2606" i="11"/>
  <c r="H2606" i="11"/>
  <c r="I2608" i="11"/>
  <c r="H2608" i="11"/>
  <c r="I2613" i="11"/>
  <c r="H2613" i="11"/>
  <c r="I2622" i="11"/>
  <c r="H2622" i="11"/>
  <c r="I2624" i="11"/>
  <c r="H2624" i="11"/>
  <c r="I2629" i="11"/>
  <c r="H2629" i="11"/>
  <c r="I2638" i="11"/>
  <c r="H2638" i="11"/>
  <c r="I2640" i="11"/>
  <c r="H2640" i="11"/>
  <c r="I2645" i="11"/>
  <c r="H2645" i="11"/>
  <c r="I2654" i="11"/>
  <c r="H2654" i="11"/>
  <c r="I2656" i="11"/>
  <c r="H2656" i="11"/>
  <c r="I2661" i="11"/>
  <c r="H2661" i="11"/>
  <c r="I2670" i="11"/>
  <c r="H2670" i="11"/>
  <c r="I2672" i="11"/>
  <c r="H2672" i="11"/>
  <c r="I2677" i="11"/>
  <c r="H2677" i="11"/>
  <c r="I2686" i="11"/>
  <c r="H2686" i="11"/>
  <c r="I2688" i="11"/>
  <c r="H2688" i="11"/>
  <c r="I2693" i="11"/>
  <c r="H2693" i="11"/>
  <c r="I2702" i="11"/>
  <c r="H2702" i="11"/>
  <c r="I2704" i="11"/>
  <c r="H2704" i="11"/>
  <c r="I2709" i="11"/>
  <c r="H2709" i="11"/>
  <c r="I2718" i="11"/>
  <c r="H2718" i="11"/>
  <c r="I2720" i="11"/>
  <c r="H2720" i="11"/>
  <c r="I2725" i="11"/>
  <c r="H2725" i="11"/>
  <c r="I2734" i="11"/>
  <c r="H2734" i="11"/>
  <c r="I2736" i="11"/>
  <c r="H2736" i="11"/>
  <c r="I2741" i="11"/>
  <c r="H2741" i="11"/>
  <c r="I2750" i="11"/>
  <c r="H2750" i="11"/>
  <c r="I2752" i="11"/>
  <c r="H2752" i="11"/>
  <c r="I2757" i="11"/>
  <c r="H2757" i="11"/>
  <c r="I2766" i="11"/>
  <c r="H2766" i="11"/>
  <c r="I2768" i="11"/>
  <c r="H2768" i="11"/>
  <c r="I2773" i="11"/>
  <c r="H2773" i="11"/>
  <c r="I2782" i="11"/>
  <c r="H2782" i="11"/>
  <c r="I2784" i="11"/>
  <c r="H2784" i="11"/>
  <c r="I2789" i="11"/>
  <c r="H2789" i="11"/>
  <c r="I2798" i="11"/>
  <c r="H2798" i="11"/>
  <c r="I2800" i="11"/>
  <c r="H2800" i="11"/>
  <c r="I2805" i="11"/>
  <c r="H2805" i="11"/>
  <c r="I2814" i="11"/>
  <c r="H2814" i="11"/>
  <c r="I2816" i="11"/>
  <c r="H2816" i="11"/>
  <c r="I2821" i="11"/>
  <c r="H2821" i="11"/>
  <c r="I2830" i="11"/>
  <c r="H2830" i="11"/>
  <c r="I2832" i="11"/>
  <c r="H2832" i="11"/>
  <c r="I2837" i="11"/>
  <c r="H2837" i="11"/>
  <c r="I2846" i="11"/>
  <c r="H2846" i="11"/>
  <c r="I2848" i="11"/>
  <c r="H2848" i="11"/>
  <c r="I2853" i="11"/>
  <c r="H2853" i="11"/>
  <c r="I2862" i="11"/>
  <c r="H2862" i="11"/>
  <c r="I2864" i="11"/>
  <c r="H2864" i="11"/>
  <c r="I2869" i="11"/>
  <c r="H2869" i="11"/>
  <c r="I2878" i="11"/>
  <c r="H2878" i="11"/>
  <c r="I2880" i="11"/>
  <c r="H2880" i="11"/>
  <c r="I2885" i="11"/>
  <c r="H2885" i="11"/>
  <c r="I2894" i="11"/>
  <c r="H2894" i="11"/>
  <c r="I2896" i="11"/>
  <c r="H2896" i="11"/>
  <c r="I2901" i="11"/>
  <c r="H2901" i="11"/>
  <c r="I2910" i="11"/>
  <c r="H2910" i="11"/>
  <c r="I2912" i="11"/>
  <c r="H2912" i="11"/>
  <c r="I2917" i="11"/>
  <c r="H2917" i="11"/>
  <c r="I2926" i="11"/>
  <c r="H2926" i="11"/>
  <c r="I2928" i="11"/>
  <c r="H2928" i="11"/>
  <c r="I2933" i="11"/>
  <c r="H2933" i="11"/>
  <c r="I2942" i="11"/>
  <c r="H2942" i="11"/>
  <c r="I2944" i="11"/>
  <c r="H2944" i="11"/>
  <c r="I2949" i="11"/>
  <c r="H2949" i="11"/>
  <c r="I2958" i="11"/>
  <c r="H2958" i="11"/>
  <c r="I2960" i="11"/>
  <c r="H2960" i="11"/>
  <c r="I2965" i="11"/>
  <c r="H2965" i="11"/>
  <c r="I2974" i="11"/>
  <c r="H2974" i="11"/>
  <c r="I2976" i="11"/>
  <c r="H2976" i="11"/>
  <c r="I2981" i="11"/>
  <c r="H2981" i="11"/>
  <c r="I2990" i="11"/>
  <c r="H2990" i="11"/>
  <c r="I2992" i="11"/>
  <c r="H2992" i="11"/>
  <c r="I2997" i="11"/>
  <c r="H2997" i="11"/>
  <c r="I3006" i="11"/>
  <c r="H3006" i="11"/>
  <c r="I3008" i="11"/>
  <c r="H3008" i="11"/>
  <c r="I3013" i="11"/>
  <c r="H3013" i="11"/>
  <c r="I3022" i="11"/>
  <c r="H3022" i="11"/>
  <c r="I3024" i="11"/>
  <c r="H3024" i="11"/>
  <c r="I3029" i="11"/>
  <c r="H3029" i="11"/>
  <c r="I3038" i="11"/>
  <c r="H3038" i="11"/>
  <c r="I3040" i="11"/>
  <c r="H3040" i="11"/>
  <c r="I3045" i="11"/>
  <c r="H3045" i="11"/>
  <c r="I3054" i="11"/>
  <c r="H3054" i="11"/>
  <c r="I3056" i="11"/>
  <c r="H3056" i="11"/>
  <c r="I3061" i="11"/>
  <c r="H3061" i="11"/>
  <c r="I3070" i="11"/>
  <c r="H3070" i="11"/>
  <c r="I3072" i="11"/>
  <c r="H3072" i="11"/>
  <c r="I3077" i="11"/>
  <c r="H3077" i="11"/>
  <c r="I3086" i="11"/>
  <c r="H3086" i="11"/>
  <c r="I3088" i="11"/>
  <c r="H3088" i="11"/>
  <c r="I3093" i="11"/>
  <c r="H3093" i="11"/>
  <c r="I3102" i="11"/>
  <c r="H3102" i="11"/>
  <c r="I3104" i="11"/>
  <c r="H3104" i="11"/>
  <c r="I3109" i="11"/>
  <c r="H3109" i="11"/>
  <c r="I3118" i="11"/>
  <c r="H3118" i="11"/>
  <c r="I3120" i="11"/>
  <c r="H3120" i="11"/>
  <c r="I3125" i="11"/>
  <c r="H3125" i="11"/>
  <c r="I3134" i="11"/>
  <c r="H3134" i="11"/>
  <c r="I3136" i="11"/>
  <c r="H3136" i="11"/>
  <c r="I3141" i="11"/>
  <c r="H3141" i="11"/>
  <c r="I3150" i="11"/>
  <c r="H3150" i="11"/>
  <c r="I3152" i="11"/>
  <c r="H3152" i="11"/>
  <c r="I3157" i="11"/>
  <c r="H3157" i="11"/>
  <c r="I3166" i="11"/>
  <c r="H3166" i="11"/>
  <c r="I3168" i="11"/>
  <c r="H3168" i="11"/>
  <c r="I3173" i="11"/>
  <c r="H3173" i="11"/>
  <c r="I3182" i="11"/>
  <c r="H3182" i="11"/>
  <c r="I3184" i="11"/>
  <c r="H3184" i="11"/>
  <c r="I3189" i="11"/>
  <c r="H3189" i="11"/>
  <c r="I3198" i="11"/>
  <c r="H3198" i="11"/>
  <c r="I3200" i="11"/>
  <c r="H3200" i="11"/>
  <c r="I3205" i="11"/>
  <c r="H3205" i="11"/>
  <c r="I3214" i="11"/>
  <c r="H3214" i="11"/>
  <c r="I3216" i="11"/>
  <c r="H3216" i="11"/>
  <c r="I3221" i="11"/>
  <c r="H3221" i="11"/>
  <c r="I3230" i="11"/>
  <c r="H3230" i="11"/>
  <c r="I3232" i="11"/>
  <c r="H3232" i="11"/>
  <c r="I3237" i="11"/>
  <c r="H3237" i="11"/>
  <c r="I3246" i="11"/>
  <c r="H3246" i="11"/>
  <c r="I3248" i="11"/>
  <c r="H3248" i="11"/>
  <c r="I3253" i="11"/>
  <c r="H3253" i="11"/>
  <c r="I3262" i="11"/>
  <c r="H3262" i="11"/>
  <c r="I3264" i="11"/>
  <c r="H3264" i="11"/>
  <c r="I3269" i="11"/>
  <c r="H3269" i="11"/>
  <c r="I3278" i="11"/>
  <c r="H3278" i="11"/>
  <c r="I3280" i="11"/>
  <c r="H3280" i="11"/>
  <c r="I3285" i="11"/>
  <c r="H3285" i="11"/>
  <c r="I3294" i="11"/>
  <c r="H3294" i="11"/>
  <c r="I3296" i="11"/>
  <c r="H3296" i="11"/>
  <c r="I3301" i="11"/>
  <c r="H3301" i="11"/>
  <c r="I3310" i="11"/>
  <c r="H3310" i="11"/>
  <c r="I3312" i="11"/>
  <c r="H3312" i="11"/>
  <c r="I3317" i="11"/>
  <c r="H3317" i="11"/>
  <c r="I3326" i="11"/>
  <c r="H3326" i="11"/>
  <c r="I3328" i="11"/>
  <c r="H3328" i="11"/>
  <c r="I3333" i="11"/>
  <c r="H3333" i="11"/>
  <c r="I3342" i="11"/>
  <c r="H3342" i="11"/>
  <c r="I3344" i="11"/>
  <c r="H3344" i="11"/>
  <c r="I3349" i="11"/>
  <c r="H3349" i="11"/>
  <c r="I3358" i="11"/>
  <c r="H3358" i="11"/>
  <c r="I3360" i="11"/>
  <c r="H3360" i="11"/>
  <c r="I3365" i="11"/>
  <c r="H3365" i="11"/>
  <c r="I3374" i="11"/>
  <c r="H3374" i="11"/>
  <c r="I3376" i="11"/>
  <c r="H3376" i="11"/>
  <c r="I3381" i="11"/>
  <c r="H3381" i="11"/>
  <c r="I3390" i="11"/>
  <c r="H3390" i="11"/>
  <c r="I3392" i="11"/>
  <c r="H3392" i="11"/>
  <c r="I3397" i="11"/>
  <c r="H3397" i="11"/>
  <c r="I3406" i="11"/>
  <c r="H3406" i="11"/>
  <c r="I3408" i="11"/>
  <c r="H3408" i="11"/>
  <c r="I3413" i="11"/>
  <c r="H3413" i="11"/>
  <c r="I3422" i="11"/>
  <c r="H3422" i="11"/>
  <c r="I3424" i="11"/>
  <c r="H3424" i="11"/>
  <c r="I3429" i="11"/>
  <c r="H3429" i="11"/>
  <c r="I3438" i="11"/>
  <c r="H3438" i="11"/>
  <c r="I3440" i="11"/>
  <c r="H3440" i="11"/>
  <c r="I3445" i="11"/>
  <c r="H3445" i="11"/>
  <c r="I3454" i="11"/>
  <c r="H3454" i="11"/>
  <c r="I3456" i="11"/>
  <c r="H3456" i="11"/>
  <c r="I3461" i="11"/>
  <c r="H3461" i="11"/>
  <c r="I3470" i="11"/>
  <c r="H3470" i="11"/>
  <c r="I3472" i="11"/>
  <c r="H3472" i="11"/>
  <c r="I3477" i="11"/>
  <c r="H3477" i="11"/>
  <c r="I3486" i="11"/>
  <c r="H3486" i="11"/>
  <c r="I3488" i="11"/>
  <c r="H3488" i="11"/>
  <c r="I3493" i="11"/>
  <c r="H3493" i="11"/>
  <c r="I3502" i="11"/>
  <c r="H3502" i="11"/>
  <c r="I3504" i="11"/>
  <c r="H3504" i="11"/>
  <c r="I3509" i="11"/>
  <c r="H3509" i="11"/>
  <c r="I3518" i="11"/>
  <c r="H3518" i="11"/>
  <c r="I3520" i="11"/>
  <c r="H3520" i="11"/>
  <c r="I3525" i="11"/>
  <c r="H3525" i="11"/>
  <c r="I3534" i="11"/>
  <c r="H3534" i="11"/>
  <c r="I3536" i="11"/>
  <c r="H3536" i="11"/>
  <c r="I3541" i="11"/>
  <c r="H3541" i="11"/>
  <c r="I3550" i="11"/>
  <c r="H3550" i="11"/>
  <c r="I3552" i="11"/>
  <c r="H3552" i="11"/>
  <c r="I3557" i="11"/>
  <c r="H3557" i="11"/>
  <c r="I3566" i="11"/>
  <c r="H3566" i="11"/>
  <c r="I3568" i="11"/>
  <c r="H3568" i="11"/>
  <c r="I3573" i="11"/>
  <c r="H3573" i="11"/>
  <c r="I3582" i="11"/>
  <c r="H3582" i="11"/>
  <c r="I3584" i="11"/>
  <c r="H3584" i="11"/>
  <c r="I3589" i="11"/>
  <c r="H3589" i="11"/>
  <c r="I3598" i="11"/>
  <c r="H3598" i="11"/>
  <c r="I3600" i="11"/>
  <c r="H3600" i="11"/>
  <c r="I3605" i="11"/>
  <c r="H3605" i="11"/>
  <c r="I3614" i="11"/>
  <c r="H3614" i="11"/>
  <c r="I3616" i="11"/>
  <c r="H3616" i="11"/>
  <c r="I3621" i="11"/>
  <c r="H3621" i="11"/>
  <c r="I3630" i="11"/>
  <c r="H3630" i="11"/>
  <c r="I3632" i="11"/>
  <c r="H3632" i="11"/>
  <c r="I3637" i="11"/>
  <c r="H3637" i="11"/>
  <c r="I3646" i="11"/>
  <c r="H3646" i="11"/>
  <c r="I3648" i="11"/>
  <c r="H3648" i="11"/>
  <c r="I3653" i="11"/>
  <c r="H3653" i="11"/>
  <c r="I3662" i="11"/>
  <c r="H3662" i="11"/>
  <c r="I3664" i="11"/>
  <c r="H3664" i="11"/>
  <c r="I3669" i="11"/>
  <c r="H3669" i="11"/>
  <c r="I3678" i="11"/>
  <c r="H3678" i="11"/>
  <c r="I3680" i="11"/>
  <c r="H3680" i="11"/>
  <c r="I3685" i="11"/>
  <c r="H3685" i="11"/>
  <c r="I3694" i="11"/>
  <c r="H3694" i="11"/>
  <c r="I3696" i="11"/>
  <c r="H3696" i="11"/>
  <c r="I3701" i="11"/>
  <c r="H3701" i="11"/>
  <c r="I3710" i="11"/>
  <c r="H3710" i="11"/>
  <c r="I3712" i="11"/>
  <c r="H3712" i="11"/>
  <c r="I3717" i="11"/>
  <c r="H3717" i="11"/>
  <c r="I3726" i="11"/>
  <c r="H3726" i="11"/>
  <c r="I3728" i="11"/>
  <c r="H3728" i="11"/>
  <c r="I3733" i="11"/>
  <c r="H3733" i="11"/>
  <c r="I3742" i="11"/>
  <c r="H3742" i="11"/>
  <c r="I3744" i="11"/>
  <c r="H3744" i="11"/>
  <c r="I3749" i="11"/>
  <c r="H3749" i="11"/>
  <c r="I3758" i="11"/>
  <c r="H3758" i="11"/>
  <c r="I3760" i="11"/>
  <c r="H3760" i="11"/>
  <c r="I3765" i="11"/>
  <c r="H3765" i="11"/>
  <c r="I3774" i="11"/>
  <c r="H3774" i="11"/>
  <c r="I3776" i="11"/>
  <c r="H3776" i="11"/>
  <c r="I3781" i="11"/>
  <c r="H3781" i="11"/>
  <c r="I3790" i="11"/>
  <c r="H3790" i="11"/>
  <c r="I3792" i="11"/>
  <c r="H3792" i="11"/>
  <c r="I3797" i="11"/>
  <c r="H3797" i="11"/>
  <c r="I3806" i="11"/>
  <c r="H3806" i="11"/>
  <c r="I3808" i="11"/>
  <c r="H3808" i="11"/>
  <c r="I3813" i="11"/>
  <c r="H3813" i="11"/>
  <c r="I3822" i="11"/>
  <c r="H3822" i="11"/>
  <c r="I3824" i="11"/>
  <c r="H3824" i="11"/>
  <c r="I3829" i="11"/>
  <c r="H3829" i="11"/>
  <c r="I3838" i="11"/>
  <c r="H3838" i="11"/>
  <c r="I3840" i="11"/>
  <c r="H3840" i="11"/>
  <c r="I3845" i="11"/>
  <c r="H3845" i="11"/>
  <c r="I3854" i="11"/>
  <c r="H3854" i="11"/>
  <c r="I3856" i="11"/>
  <c r="H3856" i="11"/>
  <c r="I3861" i="11"/>
  <c r="H3861" i="11"/>
  <c r="I3870" i="11"/>
  <c r="H3870" i="11"/>
  <c r="I3872" i="11"/>
  <c r="H3872" i="11"/>
  <c r="I3877" i="11"/>
  <c r="H3877" i="11"/>
  <c r="I3886" i="11"/>
  <c r="H3886" i="11"/>
  <c r="I3888" i="11"/>
  <c r="H3888" i="11"/>
  <c r="I3893" i="11"/>
  <c r="H3893" i="11"/>
  <c r="I3902" i="11"/>
  <c r="H3902" i="11"/>
  <c r="I3904" i="11"/>
  <c r="H3904" i="11"/>
  <c r="I3909" i="11"/>
  <c r="H3909" i="11"/>
  <c r="I3918" i="11"/>
  <c r="H3918" i="11"/>
  <c r="I3920" i="11"/>
  <c r="H3920" i="11"/>
  <c r="I3925" i="11"/>
  <c r="H3925" i="11"/>
  <c r="I3934" i="11"/>
  <c r="H3934" i="11"/>
  <c r="I3936" i="11"/>
  <c r="H3936" i="11"/>
  <c r="I3941" i="11"/>
  <c r="H3941" i="11"/>
  <c r="I3950" i="11"/>
  <c r="H3950" i="11"/>
  <c r="I3952" i="11"/>
  <c r="H3952" i="11"/>
  <c r="I3957" i="11"/>
  <c r="H3957" i="11"/>
  <c r="I3966" i="11"/>
  <c r="H3966" i="11"/>
  <c r="I3968" i="11"/>
  <c r="H3968" i="11"/>
  <c r="I3973" i="11"/>
  <c r="H3973" i="11"/>
  <c r="I3982" i="11"/>
  <c r="H3982" i="11"/>
  <c r="I3984" i="11"/>
  <c r="H3984" i="11"/>
  <c r="I3989" i="11"/>
  <c r="H3989" i="11"/>
  <c r="I3998" i="11"/>
  <c r="H3998" i="11"/>
  <c r="I4000" i="11"/>
  <c r="H4000" i="11"/>
  <c r="I4005" i="11"/>
  <c r="H4005" i="11"/>
  <c r="I4014" i="11"/>
  <c r="H4014" i="11"/>
  <c r="I4016" i="11"/>
  <c r="H4016" i="11"/>
  <c r="I4021" i="11"/>
  <c r="H4021" i="11"/>
  <c r="I4030" i="11"/>
  <c r="H4030" i="11"/>
  <c r="I4032" i="11"/>
  <c r="H4032" i="11"/>
  <c r="I4037" i="11"/>
  <c r="H4037" i="11"/>
  <c r="I4046" i="11"/>
  <c r="H4046" i="11"/>
  <c r="I4048" i="11"/>
  <c r="H4048" i="11"/>
  <c r="I4053" i="11"/>
  <c r="H4053" i="11"/>
  <c r="I4062" i="11"/>
  <c r="H4062" i="11"/>
  <c r="I4064" i="11"/>
  <c r="H4064" i="11"/>
  <c r="I4069" i="11"/>
  <c r="H4069" i="11"/>
  <c r="I4078" i="11"/>
  <c r="H4078" i="11"/>
  <c r="I4080" i="11"/>
  <c r="H4080" i="11"/>
  <c r="I4085" i="11"/>
  <c r="H4085" i="11"/>
  <c r="I4094" i="11"/>
  <c r="H4094" i="11"/>
  <c r="I4096" i="11"/>
  <c r="H4096" i="11"/>
  <c r="I4101" i="11"/>
  <c r="H4101" i="11"/>
  <c r="I4110" i="11"/>
  <c r="H4110" i="11"/>
  <c r="I4112" i="11"/>
  <c r="H4112" i="11"/>
  <c r="I4117" i="11"/>
  <c r="H4117" i="11"/>
  <c r="I4126" i="11"/>
  <c r="H4126" i="11"/>
  <c r="I4128" i="11"/>
  <c r="H4128" i="11"/>
  <c r="I4133" i="11"/>
  <c r="H4133" i="11"/>
  <c r="I4142" i="11"/>
  <c r="H4142" i="11"/>
  <c r="I4144" i="11"/>
  <c r="H4144" i="11"/>
  <c r="I4149" i="11"/>
  <c r="H4149" i="11"/>
  <c r="I4158" i="11"/>
  <c r="H4158" i="11"/>
  <c r="I4160" i="11"/>
  <c r="H4160" i="11"/>
  <c r="I4165" i="11"/>
  <c r="H4165" i="11"/>
  <c r="I4174" i="11"/>
  <c r="H4174" i="11"/>
  <c r="I4176" i="11"/>
  <c r="H4176" i="11"/>
  <c r="I4181" i="11"/>
  <c r="H4181" i="11"/>
  <c r="I4190" i="11"/>
  <c r="H4190" i="11"/>
  <c r="I4192" i="11"/>
  <c r="H4192" i="11"/>
  <c r="I4197" i="11"/>
  <c r="H4197" i="11"/>
  <c r="I4206" i="11"/>
  <c r="H4206" i="11"/>
  <c r="I4208" i="11"/>
  <c r="H4208" i="11"/>
  <c r="I4213" i="11"/>
  <c r="H4213" i="11"/>
  <c r="I4222" i="11"/>
  <c r="H4222" i="11"/>
  <c r="I4224" i="11"/>
  <c r="H4224" i="11"/>
  <c r="I4229" i="11"/>
  <c r="H4229" i="11"/>
  <c r="I4238" i="11"/>
  <c r="H4238" i="11"/>
  <c r="I4240" i="11"/>
  <c r="H4240" i="11"/>
  <c r="I4245" i="11"/>
  <c r="H4245" i="11"/>
  <c r="I4254" i="11"/>
  <c r="H4254" i="11"/>
  <c r="I4256" i="11"/>
  <c r="H4256" i="11"/>
  <c r="I4261" i="11"/>
  <c r="H4261" i="11"/>
  <c r="I4270" i="11"/>
  <c r="H4270" i="11"/>
  <c r="I4272" i="11"/>
  <c r="H4272" i="11"/>
  <c r="I4277" i="11"/>
  <c r="H4277" i="11"/>
  <c r="I4286" i="11"/>
  <c r="H4286" i="11"/>
  <c r="I4288" i="11"/>
  <c r="H4288" i="11"/>
  <c r="I4293" i="11"/>
  <c r="H4293" i="11"/>
  <c r="I4302" i="11"/>
  <c r="H4302" i="11"/>
  <c r="I4304" i="11"/>
  <c r="H4304" i="11"/>
  <c r="I4309" i="11"/>
  <c r="H4309" i="11"/>
  <c r="I4318" i="11"/>
  <c r="H4318" i="11"/>
  <c r="I4320" i="11"/>
  <c r="H4320" i="11"/>
  <c r="I4325" i="11"/>
  <c r="H4325" i="11"/>
  <c r="I4334" i="11"/>
  <c r="H4334" i="11"/>
  <c r="I4336" i="11"/>
  <c r="H4336" i="11"/>
  <c r="I4341" i="11"/>
  <c r="H4341" i="11"/>
  <c r="I4350" i="11"/>
  <c r="H4350" i="11"/>
  <c r="I4352" i="11"/>
  <c r="H4352" i="11"/>
  <c r="I4357" i="11"/>
  <c r="H4357" i="11"/>
  <c r="I4366" i="11"/>
  <c r="H4366" i="11"/>
  <c r="I4368" i="11"/>
  <c r="H4368" i="11"/>
  <c r="I4373" i="11"/>
  <c r="H4373" i="11"/>
  <c r="I4382" i="11"/>
  <c r="H4382" i="11"/>
  <c r="I4384" i="11"/>
  <c r="H4384" i="11"/>
  <c r="I4389" i="11"/>
  <c r="H4389" i="11"/>
  <c r="I4398" i="11"/>
  <c r="H4398" i="11"/>
  <c r="I4400" i="11"/>
  <c r="H4400" i="11"/>
  <c r="I4405" i="11"/>
  <c r="H4405" i="11"/>
  <c r="I4414" i="11"/>
  <c r="H4414" i="11"/>
  <c r="I4416" i="11"/>
  <c r="H4416" i="11"/>
  <c r="I4421" i="11"/>
  <c r="H4421" i="11"/>
  <c r="I4430" i="11"/>
  <c r="H4430" i="11"/>
  <c r="I4432" i="11"/>
  <c r="H4432" i="11"/>
  <c r="I4437" i="11"/>
  <c r="H4437" i="11"/>
  <c r="I4446" i="11"/>
  <c r="H4446" i="11"/>
  <c r="I4448" i="11"/>
  <c r="H4448" i="11"/>
  <c r="I4453" i="11"/>
  <c r="H4453" i="11"/>
  <c r="I4462" i="11"/>
  <c r="H4462" i="11"/>
  <c r="I4464" i="11"/>
  <c r="H4464" i="11"/>
  <c r="I4469" i="11"/>
  <c r="H4469" i="11"/>
  <c r="I4478" i="11"/>
  <c r="H4478" i="11"/>
  <c r="I4480" i="11"/>
  <c r="H4480" i="11"/>
  <c r="I4485" i="11"/>
  <c r="H4485" i="11"/>
  <c r="I4494" i="11"/>
  <c r="H4494" i="11"/>
  <c r="I4496" i="11"/>
  <c r="H4496" i="11"/>
  <c r="I4501" i="11"/>
  <c r="H4501" i="11"/>
  <c r="I4510" i="11"/>
  <c r="H4510" i="11"/>
  <c r="I4512" i="11"/>
  <c r="H4512" i="11"/>
  <c r="I4517" i="11"/>
  <c r="H4517" i="11"/>
  <c r="I4526" i="11"/>
  <c r="H4526" i="11"/>
  <c r="I4528" i="11"/>
  <c r="H4528" i="11"/>
  <c r="I4533" i="11"/>
  <c r="H4533" i="11"/>
  <c r="I4542" i="11"/>
  <c r="H4542" i="11"/>
  <c r="I4544" i="11"/>
  <c r="H4544" i="11"/>
  <c r="I4549" i="11"/>
  <c r="H4549" i="11"/>
  <c r="I4558" i="11"/>
  <c r="H4558" i="11"/>
  <c r="I4560" i="11"/>
  <c r="H4560" i="11"/>
  <c r="I4565" i="11"/>
  <c r="H4565" i="11"/>
  <c r="I4574" i="11"/>
  <c r="H4574" i="11"/>
  <c r="I4576" i="11"/>
  <c r="H4576" i="11"/>
  <c r="I4581" i="11"/>
  <c r="H4581" i="11"/>
  <c r="I4590" i="11"/>
  <c r="H4590" i="11"/>
  <c r="I4592" i="11"/>
  <c r="H4592" i="11"/>
  <c r="I4597" i="11"/>
  <c r="H4597" i="11"/>
  <c r="I4606" i="11"/>
  <c r="H4606" i="11"/>
  <c r="I4608" i="11"/>
  <c r="H4608" i="11"/>
  <c r="I4613" i="11"/>
  <c r="H4613" i="11"/>
  <c r="I4622" i="11"/>
  <c r="H4622" i="11"/>
  <c r="I4624" i="11"/>
  <c r="H4624" i="11"/>
  <c r="I4629" i="11"/>
  <c r="H4629" i="11"/>
  <c r="I4638" i="11"/>
  <c r="H4638" i="11"/>
  <c r="I4640" i="11"/>
  <c r="H4640" i="11"/>
  <c r="I4645" i="11"/>
  <c r="H4645" i="11"/>
  <c r="I4654" i="11"/>
  <c r="H4654" i="11"/>
  <c r="I4656" i="11"/>
  <c r="H4656" i="11"/>
  <c r="I4661" i="11"/>
  <c r="H4661" i="11"/>
  <c r="I4670" i="11"/>
  <c r="H4670" i="11"/>
  <c r="I4672" i="11"/>
  <c r="H4672" i="11"/>
  <c r="I4677" i="11"/>
  <c r="H4677" i="11"/>
  <c r="I4686" i="11"/>
  <c r="H4686" i="11"/>
  <c r="I4688" i="11"/>
  <c r="H4688" i="11"/>
  <c r="I4693" i="11"/>
  <c r="H4693" i="11"/>
  <c r="I4702" i="11"/>
  <c r="H4702" i="11"/>
  <c r="I4704" i="11"/>
  <c r="H4704" i="11"/>
  <c r="I4709" i="11"/>
  <c r="H4709" i="11"/>
  <c r="I4718" i="11"/>
  <c r="H4718" i="11"/>
  <c r="I4720" i="11"/>
  <c r="H4720" i="11"/>
  <c r="I4725" i="11"/>
  <c r="H4725" i="11"/>
  <c r="I4734" i="11"/>
  <c r="H4734" i="11"/>
  <c r="I4736" i="11"/>
  <c r="H4736" i="11"/>
  <c r="I4741" i="11"/>
  <c r="H4741" i="11"/>
  <c r="I4750" i="11"/>
  <c r="H4750" i="11"/>
  <c r="I4752" i="11"/>
  <c r="H4752" i="11"/>
  <c r="I4757" i="11"/>
  <c r="H4757" i="11"/>
  <c r="I4766" i="11"/>
  <c r="H4766" i="11"/>
  <c r="I4768" i="11"/>
  <c r="H4768" i="11"/>
  <c r="I4773" i="11"/>
  <c r="H4773" i="11"/>
  <c r="I4782" i="11"/>
  <c r="H4782" i="11"/>
  <c r="I4784" i="11"/>
  <c r="H4784" i="11"/>
  <c r="I4789" i="11"/>
  <c r="H4789" i="11"/>
  <c r="I4798" i="11"/>
  <c r="H4798" i="11"/>
  <c r="I4800" i="11"/>
  <c r="H4800" i="11"/>
  <c r="I4805" i="11"/>
  <c r="H4805" i="11"/>
  <c r="I4814" i="11"/>
  <c r="H4814" i="11"/>
  <c r="I4816" i="11"/>
  <c r="H4816" i="11"/>
  <c r="I4821" i="11"/>
  <c r="H4821" i="11"/>
  <c r="I4830" i="11"/>
  <c r="H4830" i="11"/>
  <c r="I4832" i="11"/>
  <c r="H4832" i="11"/>
  <c r="I4837" i="11"/>
  <c r="H4837" i="11"/>
  <c r="I4846" i="11"/>
  <c r="H4846" i="11"/>
  <c r="I4848" i="11"/>
  <c r="H4848" i="11"/>
  <c r="I4853" i="11"/>
  <c r="H4853" i="11"/>
  <c r="I4862" i="11"/>
  <c r="H4862" i="11"/>
  <c r="I4864" i="11"/>
  <c r="H4864" i="11"/>
  <c r="I4869" i="11"/>
  <c r="H4869" i="11"/>
  <c r="I4878" i="11"/>
  <c r="H4878" i="11"/>
  <c r="I4880" i="11"/>
  <c r="H4880" i="11"/>
  <c r="I4885" i="11"/>
  <c r="H4885" i="11"/>
  <c r="I4894" i="11"/>
  <c r="H4894" i="11"/>
  <c r="I4896" i="11"/>
  <c r="H4896" i="11"/>
  <c r="I4901" i="11"/>
  <c r="H4901" i="11"/>
  <c r="I4910" i="11"/>
  <c r="H4910" i="11"/>
  <c r="I4912" i="11"/>
  <c r="H4912" i="11"/>
  <c r="I4917" i="11"/>
  <c r="H4917" i="11"/>
  <c r="I4926" i="11"/>
  <c r="H4926" i="11"/>
  <c r="I4928" i="11"/>
  <c r="H4928" i="11"/>
  <c r="I4933" i="11"/>
  <c r="H4933" i="11"/>
  <c r="I4942" i="11"/>
  <c r="H4942" i="11"/>
  <c r="I4944" i="11"/>
  <c r="H4944" i="11"/>
  <c r="I4949" i="11"/>
  <c r="H4949" i="11"/>
  <c r="I4958" i="11"/>
  <c r="H4958" i="11"/>
  <c r="I4960" i="11"/>
  <c r="H4960" i="11"/>
  <c r="I4965" i="11"/>
  <c r="H4965" i="11"/>
  <c r="I4974" i="11"/>
  <c r="H4974" i="11"/>
  <c r="I4976" i="11"/>
  <c r="H4976" i="11"/>
  <c r="I4981" i="11"/>
  <c r="H4981" i="11"/>
  <c r="I4990" i="11"/>
  <c r="H4990" i="11"/>
  <c r="I4992" i="11"/>
  <c r="H4992" i="11"/>
  <c r="I4997" i="11"/>
  <c r="H4997" i="11"/>
  <c r="I5006" i="11"/>
  <c r="H5006" i="11"/>
  <c r="I5008" i="11"/>
  <c r="H5008" i="11"/>
  <c r="I5013" i="11"/>
  <c r="H5013" i="11"/>
  <c r="I5022" i="11"/>
  <c r="H5022" i="11"/>
  <c r="I5024" i="11"/>
  <c r="H5024" i="11"/>
  <c r="I5029" i="11"/>
  <c r="H5029" i="11"/>
  <c r="I5038" i="11"/>
  <c r="H5038" i="11"/>
  <c r="I5040" i="11"/>
  <c r="H5040" i="11"/>
  <c r="I5045" i="11"/>
  <c r="H5045" i="11"/>
  <c r="I5054" i="11"/>
  <c r="H5054" i="11"/>
  <c r="I5056" i="11"/>
  <c r="H5056" i="11"/>
  <c r="I5061" i="11"/>
  <c r="H5061" i="11"/>
  <c r="I5070" i="11"/>
  <c r="H5070" i="11"/>
  <c r="I5072" i="11"/>
  <c r="H5072" i="11"/>
  <c r="I5077" i="11"/>
  <c r="H5077" i="11"/>
  <c r="I5086" i="11"/>
  <c r="H5086" i="11"/>
  <c r="I5088" i="11"/>
  <c r="H5088" i="11"/>
  <c r="I5093" i="11"/>
  <c r="H5093" i="11"/>
  <c r="I5102" i="11"/>
  <c r="H5102" i="11"/>
  <c r="I5104" i="11"/>
  <c r="H5104" i="11"/>
  <c r="I5109" i="11"/>
  <c r="H5109" i="11"/>
  <c r="I5118" i="11"/>
  <c r="H5118" i="11"/>
  <c r="I5120" i="11"/>
  <c r="H5120" i="11"/>
  <c r="I5125" i="11"/>
  <c r="H5125" i="11"/>
  <c r="I5134" i="11"/>
  <c r="H5134" i="11"/>
  <c r="I5136" i="11"/>
  <c r="H5136" i="11"/>
  <c r="I5141" i="11"/>
  <c r="H5141" i="11"/>
  <c r="I5150" i="11"/>
  <c r="H5150" i="11"/>
  <c r="I5152" i="11"/>
  <c r="H5152" i="11"/>
  <c r="I5157" i="11"/>
  <c r="H5157" i="11"/>
  <c r="I5166" i="11"/>
  <c r="H5166" i="11"/>
  <c r="I5168" i="11"/>
  <c r="H5168" i="11"/>
  <c r="I5173" i="11"/>
  <c r="H5173" i="11"/>
  <c r="I5182" i="11"/>
  <c r="H5182" i="11"/>
  <c r="I5184" i="11"/>
  <c r="H5184" i="11"/>
  <c r="I5189" i="11"/>
  <c r="H5189" i="11"/>
  <c r="I5198" i="11"/>
  <c r="H5198" i="11"/>
  <c r="I5200" i="11"/>
  <c r="H5200" i="11"/>
  <c r="I5205" i="11"/>
  <c r="H5205" i="11"/>
  <c r="I5214" i="11"/>
  <c r="H5214" i="11"/>
  <c r="I5216" i="11"/>
  <c r="H5216" i="11"/>
  <c r="I5221" i="11"/>
  <c r="H5221" i="11"/>
  <c r="I5230" i="11"/>
  <c r="H5230" i="11"/>
  <c r="I5232" i="11"/>
  <c r="H5232" i="11"/>
  <c r="I5237" i="11"/>
  <c r="H5237" i="11"/>
  <c r="I5246" i="11"/>
  <c r="H5246" i="11"/>
  <c r="I5248" i="11"/>
  <c r="H5248" i="11"/>
  <c r="I5253" i="11"/>
  <c r="H5253" i="11"/>
  <c r="I5262" i="11"/>
  <c r="H5262" i="11"/>
  <c r="I5264" i="11"/>
  <c r="H5264" i="11"/>
  <c r="I5269" i="11"/>
  <c r="H5269" i="11"/>
  <c r="I5278" i="11"/>
  <c r="H5278" i="11"/>
  <c r="I5280" i="11"/>
  <c r="H5280" i="11"/>
  <c r="I5285" i="11"/>
  <c r="H5285" i="11"/>
  <c r="I5294" i="11"/>
  <c r="H5294" i="11"/>
  <c r="I5296" i="11"/>
  <c r="H5296" i="11"/>
  <c r="I5301" i="11"/>
  <c r="H5301" i="11"/>
  <c r="I5310" i="11"/>
  <c r="H5310" i="11"/>
  <c r="I5312" i="11"/>
  <c r="H5312" i="11"/>
  <c r="I5317" i="11"/>
  <c r="H5317" i="11"/>
  <c r="I5326" i="11"/>
  <c r="H5326" i="11"/>
  <c r="I5328" i="11"/>
  <c r="H5328" i="11"/>
  <c r="I5333" i="11"/>
  <c r="H5333" i="11"/>
  <c r="I5342" i="11"/>
  <c r="H5342" i="11"/>
  <c r="I5344" i="11"/>
  <c r="H5344" i="11"/>
  <c r="I5349" i="11"/>
  <c r="H5349" i="11"/>
  <c r="I5358" i="11"/>
  <c r="H5358" i="11"/>
  <c r="I5360" i="11"/>
  <c r="H5360" i="11"/>
  <c r="I5365" i="11"/>
  <c r="H5365" i="11"/>
  <c r="I5374" i="11"/>
  <c r="H5374" i="11"/>
  <c r="I5376" i="11"/>
  <c r="H5376" i="11"/>
  <c r="I5381" i="11"/>
  <c r="H5381" i="11"/>
  <c r="I5390" i="11"/>
  <c r="H5390" i="11"/>
  <c r="I5392" i="11"/>
  <c r="H5392" i="11"/>
  <c r="I5397" i="11"/>
  <c r="H5397" i="11"/>
  <c r="I5406" i="11"/>
  <c r="H5406" i="11"/>
  <c r="I5408" i="11"/>
  <c r="H5408" i="11"/>
  <c r="I5413" i="11"/>
  <c r="H5413" i="11"/>
  <c r="I5422" i="11"/>
  <c r="H5422" i="11"/>
  <c r="I5424" i="11"/>
  <c r="H5424" i="11"/>
  <c r="I5429" i="11"/>
  <c r="H5429" i="11"/>
  <c r="I5438" i="11"/>
  <c r="H5438" i="11"/>
  <c r="I5440" i="11"/>
  <c r="H5440" i="11"/>
  <c r="I5445" i="11"/>
  <c r="H5445" i="11"/>
  <c r="I5454" i="11"/>
  <c r="H5454" i="11"/>
  <c r="I5456" i="11"/>
  <c r="H5456" i="11"/>
  <c r="I5461" i="11"/>
  <c r="H5461" i="11"/>
  <c r="I5470" i="11"/>
  <c r="H5470" i="11"/>
  <c r="I5472" i="11"/>
  <c r="H5472" i="11"/>
  <c r="I5477" i="11"/>
  <c r="H5477" i="11"/>
  <c r="I5486" i="11"/>
  <c r="H5486" i="11"/>
  <c r="I5488" i="11"/>
  <c r="H5488" i="11"/>
  <c r="I5493" i="11"/>
  <c r="H5493" i="11"/>
  <c r="I5502" i="11"/>
  <c r="H5502" i="11"/>
  <c r="I5504" i="11"/>
  <c r="H5504" i="11"/>
  <c r="I5509" i="11"/>
  <c r="H5509" i="11"/>
  <c r="I5518" i="11"/>
  <c r="H5518" i="11"/>
  <c r="I5520" i="11"/>
  <c r="H5520" i="11"/>
  <c r="I5525" i="11"/>
  <c r="H5525" i="11"/>
  <c r="I5534" i="11"/>
  <c r="H5534" i="11"/>
  <c r="I5536" i="11"/>
  <c r="H5536" i="11"/>
  <c r="I5541" i="11"/>
  <c r="H5541" i="11"/>
  <c r="I5550" i="11"/>
  <c r="H5550" i="11"/>
  <c r="I5552" i="11"/>
  <c r="H5552" i="11"/>
  <c r="I5557" i="11"/>
  <c r="H5557" i="11"/>
  <c r="I5566" i="11"/>
  <c r="H5566" i="11"/>
  <c r="I5568" i="11"/>
  <c r="H5568" i="11"/>
  <c r="I5573" i="11"/>
  <c r="H5573" i="11"/>
  <c r="I5582" i="11"/>
  <c r="H5582" i="11"/>
  <c r="I5584" i="11"/>
  <c r="H5584" i="11"/>
  <c r="I5589" i="11"/>
  <c r="H5589" i="11"/>
  <c r="I5598" i="11"/>
  <c r="H5598" i="11"/>
  <c r="I5600" i="11"/>
  <c r="H5600" i="11"/>
  <c r="I5605" i="11"/>
  <c r="H5605" i="11"/>
  <c r="I5614" i="11"/>
  <c r="H5614" i="11"/>
  <c r="I5616" i="11"/>
  <c r="H5616" i="11"/>
  <c r="I5621" i="11"/>
  <c r="H5621" i="11"/>
  <c r="I5630" i="11"/>
  <c r="H5630" i="11"/>
  <c r="I5632" i="11"/>
  <c r="H5632" i="11"/>
  <c r="I5637" i="11"/>
  <c r="H5637" i="11"/>
  <c r="I5646" i="11"/>
  <c r="H5646" i="11"/>
  <c r="I5648" i="11"/>
  <c r="H5648" i="11"/>
  <c r="I5653" i="11"/>
  <c r="H5653" i="11"/>
  <c r="I5662" i="11"/>
  <c r="H5662" i="11"/>
  <c r="I5664" i="11"/>
  <c r="H5664" i="11"/>
  <c r="I5669" i="11"/>
  <c r="H5669" i="11"/>
  <c r="I5678" i="11"/>
  <c r="H5678" i="11"/>
  <c r="I5680" i="11"/>
  <c r="H5680" i="11"/>
  <c r="I5685" i="11"/>
  <c r="H5685" i="11"/>
  <c r="I5694" i="11"/>
  <c r="H5694" i="11"/>
  <c r="I5696" i="11"/>
  <c r="H5696" i="11"/>
  <c r="I5701" i="11"/>
  <c r="H5701" i="11"/>
  <c r="I5710" i="11"/>
  <c r="H5710" i="11"/>
  <c r="I5712" i="11"/>
  <c r="H5712" i="11"/>
  <c r="I5717" i="11"/>
  <c r="H5717" i="11"/>
  <c r="I5726" i="11"/>
  <c r="H5726" i="11"/>
  <c r="I5728" i="11"/>
  <c r="H5728" i="11"/>
  <c r="I5733" i="11"/>
  <c r="H5733" i="11"/>
  <c r="I5742" i="11"/>
  <c r="H5742" i="11"/>
  <c r="I5744" i="11"/>
  <c r="H5744" i="11"/>
  <c r="I5749" i="11"/>
  <c r="H5749" i="11"/>
  <c r="I5758" i="11"/>
  <c r="H5758" i="11"/>
  <c r="I5760" i="11"/>
  <c r="H5760" i="11"/>
  <c r="I5765" i="11"/>
  <c r="H5765" i="11"/>
  <c r="I5774" i="11"/>
  <c r="H5774" i="11"/>
  <c r="I5776" i="11"/>
  <c r="H5776" i="11"/>
  <c r="I5781" i="11"/>
  <c r="H5781" i="11"/>
  <c r="I5790" i="11"/>
  <c r="H5790" i="11"/>
  <c r="I5792" i="11"/>
  <c r="H5792" i="11"/>
  <c r="I5797" i="11"/>
  <c r="H5797" i="11"/>
  <c r="I5806" i="11"/>
  <c r="H5806" i="11"/>
  <c r="I5808" i="11"/>
  <c r="H5808" i="11"/>
  <c r="I5813" i="11"/>
  <c r="H5813" i="11"/>
  <c r="I5822" i="11"/>
  <c r="H5822" i="11"/>
  <c r="I5824" i="11"/>
  <c r="H5824" i="11"/>
  <c r="I5829" i="11"/>
  <c r="H5829" i="11"/>
  <c r="I5838" i="11"/>
  <c r="H5838" i="11"/>
  <c r="I5840" i="11"/>
  <c r="H5840" i="11"/>
  <c r="I5845" i="11"/>
  <c r="H5845" i="11"/>
  <c r="I5854" i="11"/>
  <c r="H5854" i="11"/>
  <c r="I5856" i="11"/>
  <c r="H5856" i="11"/>
  <c r="I5861" i="11"/>
  <c r="H5861" i="11"/>
  <c r="I5870" i="11"/>
  <c r="H5870" i="11"/>
  <c r="I5872" i="11"/>
  <c r="H5872" i="11"/>
  <c r="I5877" i="11"/>
  <c r="H5877" i="11"/>
  <c r="I5886" i="11"/>
  <c r="H5886" i="11"/>
  <c r="I5888" i="11"/>
  <c r="H5888" i="11"/>
  <c r="I5893" i="11"/>
  <c r="H5893" i="11"/>
  <c r="I5902" i="11"/>
  <c r="H5902" i="11"/>
  <c r="I5904" i="11"/>
  <c r="H5904" i="11"/>
  <c r="I5909" i="11"/>
  <c r="H5909" i="11"/>
  <c r="I5918" i="11"/>
  <c r="H5918" i="11"/>
  <c r="I5920" i="11"/>
  <c r="H5920" i="11"/>
  <c r="I5925" i="11"/>
  <c r="H5925" i="11"/>
  <c r="I5934" i="11"/>
  <c r="H5934" i="11"/>
  <c r="I5936" i="11"/>
  <c r="H5936" i="11"/>
  <c r="I5941" i="11"/>
  <c r="H5941" i="11"/>
  <c r="I5950" i="11"/>
  <c r="H5950" i="11"/>
  <c r="I5952" i="11"/>
  <c r="H5952" i="11"/>
  <c r="I5957" i="11"/>
  <c r="H5957" i="11"/>
  <c r="I5966" i="11"/>
  <c r="H5966" i="11"/>
  <c r="I5968" i="11"/>
  <c r="H5968" i="11"/>
  <c r="I5973" i="11"/>
  <c r="H5973" i="11"/>
  <c r="I5982" i="11"/>
  <c r="H5982" i="11"/>
  <c r="I5984" i="11"/>
  <c r="H5984" i="11"/>
  <c r="I5989" i="11"/>
  <c r="H5989" i="11"/>
  <c r="I5998" i="11"/>
  <c r="H5998" i="11"/>
  <c r="I6000" i="11"/>
  <c r="H6000" i="11"/>
  <c r="I6005" i="11"/>
  <c r="H6005" i="11"/>
  <c r="I6014" i="11"/>
  <c r="H6014" i="11"/>
  <c r="I6016" i="11"/>
  <c r="H6016" i="11"/>
  <c r="I6021" i="11"/>
  <c r="H6021" i="11"/>
  <c r="I6030" i="11"/>
  <c r="H6030" i="11"/>
  <c r="I6032" i="11"/>
  <c r="H6032" i="11"/>
  <c r="I6037" i="11"/>
  <c r="H6037" i="11"/>
  <c r="I6046" i="11"/>
  <c r="H6046" i="11"/>
  <c r="I6048" i="11"/>
  <c r="H6048" i="11"/>
  <c r="I6053" i="11"/>
  <c r="H6053" i="11"/>
  <c r="I6062" i="11"/>
  <c r="H6062" i="11"/>
  <c r="I6064" i="11"/>
  <c r="H6064" i="11"/>
  <c r="I6069" i="11"/>
  <c r="H6069" i="11"/>
  <c r="I6078" i="11"/>
  <c r="H6078" i="11"/>
  <c r="I6080" i="11"/>
  <c r="H6080" i="11"/>
  <c r="I6085" i="11"/>
  <c r="H6085" i="11"/>
  <c r="I6094" i="11"/>
  <c r="H6094" i="11"/>
  <c r="I6096" i="11"/>
  <c r="H6096" i="11"/>
  <c r="I6101" i="11"/>
  <c r="H6101" i="11"/>
  <c r="I6110" i="11"/>
  <c r="H6110" i="11"/>
  <c r="I6112" i="11"/>
  <c r="H6112" i="11"/>
  <c r="I6117" i="11"/>
  <c r="H6117" i="11"/>
  <c r="I6126" i="11"/>
  <c r="H6126" i="11"/>
  <c r="I6128" i="11"/>
  <c r="H6128" i="11"/>
  <c r="I6133" i="11"/>
  <c r="H6133" i="11"/>
  <c r="I6142" i="11"/>
  <c r="H6142" i="11"/>
  <c r="I6144" i="11"/>
  <c r="H6144" i="11"/>
  <c r="I6149" i="11"/>
  <c r="H6149" i="11"/>
  <c r="I6158" i="11"/>
  <c r="H6158" i="11"/>
  <c r="I6160" i="11"/>
  <c r="H6160" i="11"/>
  <c r="I6165" i="11"/>
  <c r="H6165" i="11"/>
  <c r="I6174" i="11"/>
  <c r="H6174" i="11"/>
  <c r="I6176" i="11"/>
  <c r="H6176" i="11"/>
  <c r="I6181" i="11"/>
  <c r="H6181" i="11"/>
  <c r="I6190" i="11"/>
  <c r="H6190" i="11"/>
  <c r="I6192" i="11"/>
  <c r="H6192" i="11"/>
  <c r="I6197" i="11"/>
  <c r="H6197" i="11"/>
  <c r="I6206" i="11"/>
  <c r="H6206" i="11"/>
  <c r="I6208" i="11"/>
  <c r="H6208" i="11"/>
  <c r="I6213" i="11"/>
  <c r="H6213" i="11"/>
  <c r="I6224" i="11"/>
  <c r="H6224" i="11"/>
  <c r="I6229" i="11"/>
  <c r="H6229" i="11"/>
  <c r="I6240" i="11"/>
  <c r="H6240" i="11"/>
  <c r="I6245" i="11"/>
  <c r="H6245" i="11"/>
  <c r="I6256" i="11"/>
  <c r="H6256" i="11"/>
  <c r="I6261" i="11"/>
  <c r="H6261" i="11"/>
  <c r="I6272" i="11"/>
  <c r="H6272" i="11"/>
  <c r="I6277" i="11"/>
  <c r="H6277" i="11"/>
  <c r="I6288" i="11"/>
  <c r="H6288" i="11"/>
  <c r="I6293" i="11"/>
  <c r="H6293" i="11"/>
  <c r="I6304" i="11"/>
  <c r="H6304" i="11"/>
  <c r="I6309" i="11"/>
  <c r="H6309" i="11"/>
  <c r="I6320" i="11"/>
  <c r="H6320" i="11"/>
  <c r="I6325" i="11"/>
  <c r="H6325" i="11"/>
  <c r="I6336" i="11"/>
  <c r="H6336" i="11"/>
  <c r="I6341" i="11"/>
  <c r="H6341" i="11"/>
  <c r="I6352" i="11"/>
  <c r="H6352" i="11"/>
  <c r="I6357" i="11"/>
  <c r="H6357" i="11"/>
  <c r="I6368" i="11"/>
  <c r="H6368" i="11"/>
  <c r="I6373" i="11"/>
  <c r="H6373" i="11"/>
  <c r="I6384" i="11"/>
  <c r="H6384" i="11"/>
  <c r="I6389" i="11"/>
  <c r="H6389" i="11"/>
  <c r="I6400" i="11"/>
  <c r="H6400" i="11"/>
  <c r="I6405" i="11"/>
  <c r="H6405" i="11"/>
  <c r="I6416" i="11"/>
  <c r="H6416" i="11"/>
  <c r="I6421" i="11"/>
  <c r="H6421" i="11"/>
  <c r="I6432" i="11"/>
  <c r="H6432" i="11"/>
  <c r="I6437" i="11"/>
  <c r="H6437" i="11"/>
  <c r="I6448" i="11"/>
  <c r="H6448" i="11"/>
  <c r="I6453" i="11"/>
  <c r="H6453" i="11"/>
  <c r="I6464" i="11"/>
  <c r="H6464" i="11"/>
  <c r="I6469" i="11"/>
  <c r="H6469" i="11"/>
  <c r="I6480" i="11"/>
  <c r="H6480" i="11"/>
  <c r="I6485" i="11"/>
  <c r="H6485" i="11"/>
  <c r="I6496" i="11"/>
  <c r="H6496" i="11"/>
  <c r="I6501" i="11"/>
  <c r="H6501" i="11"/>
  <c r="I6512" i="11"/>
  <c r="H6512" i="11"/>
  <c r="I6517" i="11"/>
  <c r="H6517" i="11"/>
  <c r="I6533" i="11"/>
  <c r="H6533" i="11"/>
  <c r="I6549" i="11"/>
  <c r="H6549" i="11"/>
  <c r="I6565" i="11"/>
  <c r="H6565" i="11"/>
  <c r="I6581" i="11"/>
  <c r="H6581" i="11"/>
  <c r="I6597" i="11"/>
  <c r="H6597" i="11"/>
  <c r="I6613" i="11"/>
  <c r="H6613" i="11"/>
  <c r="I6629" i="11"/>
  <c r="H6629" i="11"/>
  <c r="I6645" i="11"/>
  <c r="H6645" i="11"/>
  <c r="I6661" i="11"/>
  <c r="H6661" i="11"/>
  <c r="I6677" i="11"/>
  <c r="H6677" i="11"/>
  <c r="I6693" i="11"/>
  <c r="H6693" i="11"/>
  <c r="I6709" i="11"/>
  <c r="H6709" i="11"/>
  <c r="I6725" i="11"/>
  <c r="H6725" i="11"/>
  <c r="I6741" i="11"/>
  <c r="H6741" i="11"/>
  <c r="I6757" i="11"/>
  <c r="H6757" i="11"/>
  <c r="I6773" i="11"/>
  <c r="H6773" i="11"/>
  <c r="I6789" i="11"/>
  <c r="H6789" i="11"/>
  <c r="I6805" i="11"/>
  <c r="H6805" i="11"/>
  <c r="I6821" i="11"/>
  <c r="H6821" i="11"/>
  <c r="I6837" i="11"/>
  <c r="H6837" i="11"/>
  <c r="I6853" i="11"/>
  <c r="H6853" i="11"/>
  <c r="I6869" i="11"/>
  <c r="H6869" i="11"/>
  <c r="I6885" i="11"/>
  <c r="H6885" i="11"/>
  <c r="I6901" i="11"/>
  <c r="H6901" i="11"/>
  <c r="I6917" i="11"/>
  <c r="H6917" i="11"/>
  <c r="I6933" i="11"/>
  <c r="H6933" i="11"/>
  <c r="I6949" i="11"/>
  <c r="H6949" i="11"/>
  <c r="I6965" i="11"/>
  <c r="H6965" i="11"/>
  <c r="I6981" i="11"/>
  <c r="H6981" i="11"/>
  <c r="I6997" i="11"/>
  <c r="H6997" i="11"/>
  <c r="I7013" i="11"/>
  <c r="H7013" i="11"/>
  <c r="I7029" i="11"/>
  <c r="H7029" i="11"/>
  <c r="I7045" i="11"/>
  <c r="H7045" i="11"/>
  <c r="I7061" i="11"/>
  <c r="H7061" i="11"/>
  <c r="I7077" i="11"/>
  <c r="H7077" i="11"/>
  <c r="I7093" i="11"/>
  <c r="H7093" i="11"/>
  <c r="I7109" i="11"/>
  <c r="H7109" i="11"/>
  <c r="I7125" i="11"/>
  <c r="H7125" i="11"/>
  <c r="I7141" i="11"/>
  <c r="H7141" i="11"/>
  <c r="I7157" i="11"/>
  <c r="H7157" i="11"/>
  <c r="I7173" i="11"/>
  <c r="H7173" i="11"/>
  <c r="I7189" i="11"/>
  <c r="H7189" i="11"/>
  <c r="I7205" i="11"/>
  <c r="H7205" i="11"/>
  <c r="I1697" i="11"/>
  <c r="H1697" i="11"/>
  <c r="I1701" i="11"/>
  <c r="H1701" i="11"/>
  <c r="I1705" i="11"/>
  <c r="H1705" i="11"/>
  <c r="I1709" i="11"/>
  <c r="H1709" i="11"/>
  <c r="I1713" i="11"/>
  <c r="H1713" i="11"/>
  <c r="I1717" i="11"/>
  <c r="H1717" i="11"/>
  <c r="I1721" i="11"/>
  <c r="H1721" i="11"/>
  <c r="I1725" i="11"/>
  <c r="H1725" i="11"/>
  <c r="I1729" i="11"/>
  <c r="H1729" i="11"/>
  <c r="I1733" i="11"/>
  <c r="H1733" i="11"/>
  <c r="I1737" i="11"/>
  <c r="H1737" i="11"/>
  <c r="I1741" i="11"/>
  <c r="H1741" i="11"/>
  <c r="I1745" i="11"/>
  <c r="H1745" i="11"/>
  <c r="I1749" i="11"/>
  <c r="H1749" i="11"/>
  <c r="I1753" i="11"/>
  <c r="H1753" i="11"/>
  <c r="I1757" i="11"/>
  <c r="H1757" i="11"/>
  <c r="I1761" i="11"/>
  <c r="H1761" i="11"/>
  <c r="I1765" i="11"/>
  <c r="H1765" i="11"/>
  <c r="I1769" i="11"/>
  <c r="H1769" i="11"/>
  <c r="I1773" i="11"/>
  <c r="H1773" i="11"/>
  <c r="I1777" i="11"/>
  <c r="H1777" i="11"/>
  <c r="I1781" i="11"/>
  <c r="H1781" i="11"/>
  <c r="I1785" i="11"/>
  <c r="H1785" i="11"/>
  <c r="I1789" i="11"/>
  <c r="H1789" i="11"/>
  <c r="I1793" i="11"/>
  <c r="H1793" i="11"/>
  <c r="I1802" i="11"/>
  <c r="H1802" i="11"/>
  <c r="I1804" i="11"/>
  <c r="H1804" i="11"/>
  <c r="I1809" i="11"/>
  <c r="H1809" i="11"/>
  <c r="I1818" i="11"/>
  <c r="H1818" i="11"/>
  <c r="I1820" i="11"/>
  <c r="H1820" i="11"/>
  <c r="I1825" i="11"/>
  <c r="H1825" i="11"/>
  <c r="I1834" i="11"/>
  <c r="H1834" i="11"/>
  <c r="I1836" i="11"/>
  <c r="H1836" i="11"/>
  <c r="I1841" i="11"/>
  <c r="H1841" i="11"/>
  <c r="I1850" i="11"/>
  <c r="H1850" i="11"/>
  <c r="I1852" i="11"/>
  <c r="H1852" i="11"/>
  <c r="I1857" i="11"/>
  <c r="H1857" i="11"/>
  <c r="I1866" i="11"/>
  <c r="H1866" i="11"/>
  <c r="I1868" i="11"/>
  <c r="H1868" i="11"/>
  <c r="I1873" i="11"/>
  <c r="H1873" i="11"/>
  <c r="I1882" i="11"/>
  <c r="H1882" i="11"/>
  <c r="I1884" i="11"/>
  <c r="H1884" i="11"/>
  <c r="I1889" i="11"/>
  <c r="H1889" i="11"/>
  <c r="I1898" i="11"/>
  <c r="H1898" i="11"/>
  <c r="I1900" i="11"/>
  <c r="H1900" i="11"/>
  <c r="I1905" i="11"/>
  <c r="H1905" i="11"/>
  <c r="I1914" i="11"/>
  <c r="H1914" i="11"/>
  <c r="I1916" i="11"/>
  <c r="H1916" i="11"/>
  <c r="I1921" i="11"/>
  <c r="H1921" i="11"/>
  <c r="I1930" i="11"/>
  <c r="H1930" i="11"/>
  <c r="I1932" i="11"/>
  <c r="H1932" i="11"/>
  <c r="I1937" i="11"/>
  <c r="H1937" i="11"/>
  <c r="I1946" i="11"/>
  <c r="H1946" i="11"/>
  <c r="I1948" i="11"/>
  <c r="H1948" i="11"/>
  <c r="I1953" i="11"/>
  <c r="H1953" i="11"/>
  <c r="I1962" i="11"/>
  <c r="H1962" i="11"/>
  <c r="I1964" i="11"/>
  <c r="H1964" i="11"/>
  <c r="I1969" i="11"/>
  <c r="H1969" i="11"/>
  <c r="I1978" i="11"/>
  <c r="H1978" i="11"/>
  <c r="I1980" i="11"/>
  <c r="H1980" i="11"/>
  <c r="I1985" i="11"/>
  <c r="H1985" i="11"/>
  <c r="I1994" i="11"/>
  <c r="H1994" i="11"/>
  <c r="I1996" i="11"/>
  <c r="H1996" i="11"/>
  <c r="I2001" i="11"/>
  <c r="H2001" i="11"/>
  <c r="I2010" i="11"/>
  <c r="H2010" i="11"/>
  <c r="I2012" i="11"/>
  <c r="H2012" i="11"/>
  <c r="I2017" i="11"/>
  <c r="H2017" i="11"/>
  <c r="I2026" i="11"/>
  <c r="H2026" i="11"/>
  <c r="I2028" i="11"/>
  <c r="H2028" i="11"/>
  <c r="I2033" i="11"/>
  <c r="H2033" i="11"/>
  <c r="I2042" i="11"/>
  <c r="H2042" i="11"/>
  <c r="I2044" i="11"/>
  <c r="H2044" i="11"/>
  <c r="I2049" i="11"/>
  <c r="H2049" i="11"/>
  <c r="I2058" i="11"/>
  <c r="H2058" i="11"/>
  <c r="I2060" i="11"/>
  <c r="H2060" i="11"/>
  <c r="I2065" i="11"/>
  <c r="H2065" i="11"/>
  <c r="I2074" i="11"/>
  <c r="H2074" i="11"/>
  <c r="I2076" i="11"/>
  <c r="H2076" i="11"/>
  <c r="I2081" i="11"/>
  <c r="H2081" i="11"/>
  <c r="I2090" i="11"/>
  <c r="H2090" i="11"/>
  <c r="I2092" i="11"/>
  <c r="H2092" i="11"/>
  <c r="I2097" i="11"/>
  <c r="H2097" i="11"/>
  <c r="I2106" i="11"/>
  <c r="H2106" i="11"/>
  <c r="I2108" i="11"/>
  <c r="H2108" i="11"/>
  <c r="I2113" i="11"/>
  <c r="H2113" i="11"/>
  <c r="I2122" i="11"/>
  <c r="H2122" i="11"/>
  <c r="I2124" i="11"/>
  <c r="H2124" i="11"/>
  <c r="I2129" i="11"/>
  <c r="H2129" i="11"/>
  <c r="I2138" i="11"/>
  <c r="H2138" i="11"/>
  <c r="I2140" i="11"/>
  <c r="H2140" i="11"/>
  <c r="I2145" i="11"/>
  <c r="H2145" i="11"/>
  <c r="I2154" i="11"/>
  <c r="H2154" i="11"/>
  <c r="I2156" i="11"/>
  <c r="H2156" i="11"/>
  <c r="I2161" i="11"/>
  <c r="H2161" i="11"/>
  <c r="I2170" i="11"/>
  <c r="H2170" i="11"/>
  <c r="I2172" i="11"/>
  <c r="H2172" i="11"/>
  <c r="I2177" i="11"/>
  <c r="H2177" i="11"/>
  <c r="I2186" i="11"/>
  <c r="H2186" i="11"/>
  <c r="I2188" i="11"/>
  <c r="H2188" i="11"/>
  <c r="I2193" i="11"/>
  <c r="H2193" i="11"/>
  <c r="I2202" i="11"/>
  <c r="H2202" i="11"/>
  <c r="I2204" i="11"/>
  <c r="H2204" i="11"/>
  <c r="I2209" i="11"/>
  <c r="H2209" i="11"/>
  <c r="I2218" i="11"/>
  <c r="H2218" i="11"/>
  <c r="I2220" i="11"/>
  <c r="H2220" i="11"/>
  <c r="I2225" i="11"/>
  <c r="H2225" i="11"/>
  <c r="I2234" i="11"/>
  <c r="H2234" i="11"/>
  <c r="I2236" i="11"/>
  <c r="H2236" i="11"/>
  <c r="I2241" i="11"/>
  <c r="H2241" i="11"/>
  <c r="I2250" i="11"/>
  <c r="H2250" i="11"/>
  <c r="I2252" i="11"/>
  <c r="H2252" i="11"/>
  <c r="I2257" i="11"/>
  <c r="H2257" i="11"/>
  <c r="I2266" i="11"/>
  <c r="H2266" i="11"/>
  <c r="I2268" i="11"/>
  <c r="H2268" i="11"/>
  <c r="I2273" i="11"/>
  <c r="H2273" i="11"/>
  <c r="I2282" i="11"/>
  <c r="H2282" i="11"/>
  <c r="I2284" i="11"/>
  <c r="H2284" i="11"/>
  <c r="I2289" i="11"/>
  <c r="H2289" i="11"/>
  <c r="I2298" i="11"/>
  <c r="H2298" i="11"/>
  <c r="I2300" i="11"/>
  <c r="H2300" i="11"/>
  <c r="I2305" i="11"/>
  <c r="H2305" i="11"/>
  <c r="I2314" i="11"/>
  <c r="H2314" i="11"/>
  <c r="I2316" i="11"/>
  <c r="H2316" i="11"/>
  <c r="I2321" i="11"/>
  <c r="H2321" i="11"/>
  <c r="I2330" i="11"/>
  <c r="H2330" i="11"/>
  <c r="I2332" i="11"/>
  <c r="H2332" i="11"/>
  <c r="I2337" i="11"/>
  <c r="H2337" i="11"/>
  <c r="I2346" i="11"/>
  <c r="H2346" i="11"/>
  <c r="I2348" i="11"/>
  <c r="H2348" i="11"/>
  <c r="I2353" i="11"/>
  <c r="H2353" i="11"/>
  <c r="I2362" i="11"/>
  <c r="H2362" i="11"/>
  <c r="I2364" i="11"/>
  <c r="H2364" i="11"/>
  <c r="I2369" i="11"/>
  <c r="H2369" i="11"/>
  <c r="I2378" i="11"/>
  <c r="H2378" i="11"/>
  <c r="I2380" i="11"/>
  <c r="H2380" i="11"/>
  <c r="I2385" i="11"/>
  <c r="H2385" i="11"/>
  <c r="I2394" i="11"/>
  <c r="H2394" i="11"/>
  <c r="I2396" i="11"/>
  <c r="H2396" i="11"/>
  <c r="I2401" i="11"/>
  <c r="H2401" i="11"/>
  <c r="I2410" i="11"/>
  <c r="H2410" i="11"/>
  <c r="I2412" i="11"/>
  <c r="H2412" i="11"/>
  <c r="I2417" i="11"/>
  <c r="H2417" i="11"/>
  <c r="I2426" i="11"/>
  <c r="H2426" i="11"/>
  <c r="I2428" i="11"/>
  <c r="H2428" i="11"/>
  <c r="I2433" i="11"/>
  <c r="H2433" i="11"/>
  <c r="I2442" i="11"/>
  <c r="H2442" i="11"/>
  <c r="I2444" i="11"/>
  <c r="H2444" i="11"/>
  <c r="I2449" i="11"/>
  <c r="H2449" i="11"/>
  <c r="I2458" i="11"/>
  <c r="H2458" i="11"/>
  <c r="I2460" i="11"/>
  <c r="H2460" i="11"/>
  <c r="I2465" i="11"/>
  <c r="H2465" i="11"/>
  <c r="I2474" i="11"/>
  <c r="H2474" i="11"/>
  <c r="I2476" i="11"/>
  <c r="H2476" i="11"/>
  <c r="I2481" i="11"/>
  <c r="H2481" i="11"/>
  <c r="I2490" i="11"/>
  <c r="H2490" i="11"/>
  <c r="I2492" i="11"/>
  <c r="H2492" i="11"/>
  <c r="I2497" i="11"/>
  <c r="H2497" i="11"/>
  <c r="I2506" i="11"/>
  <c r="H2506" i="11"/>
  <c r="I2508" i="11"/>
  <c r="H2508" i="11"/>
  <c r="I2513" i="11"/>
  <c r="H2513" i="11"/>
  <c r="I2522" i="11"/>
  <c r="H2522" i="11"/>
  <c r="I2524" i="11"/>
  <c r="H2524" i="11"/>
  <c r="I2529" i="11"/>
  <c r="H2529" i="11"/>
  <c r="I2538" i="11"/>
  <c r="H2538" i="11"/>
  <c r="I2540" i="11"/>
  <c r="H2540" i="11"/>
  <c r="I2545" i="11"/>
  <c r="H2545" i="11"/>
  <c r="I2554" i="11"/>
  <c r="H2554" i="11"/>
  <c r="I2556" i="11"/>
  <c r="H2556" i="11"/>
  <c r="I2561" i="11"/>
  <c r="H2561" i="11"/>
  <c r="I2570" i="11"/>
  <c r="H2570" i="11"/>
  <c r="I2572" i="11"/>
  <c r="H2572" i="11"/>
  <c r="I2577" i="11"/>
  <c r="H2577" i="11"/>
  <c r="I2586" i="11"/>
  <c r="H2586" i="11"/>
  <c r="I2588" i="11"/>
  <c r="H2588" i="11"/>
  <c r="I2593" i="11"/>
  <c r="H2593" i="11"/>
  <c r="I2602" i="11"/>
  <c r="H2602" i="11"/>
  <c r="I2604" i="11"/>
  <c r="H2604" i="11"/>
  <c r="I2609" i="11"/>
  <c r="H2609" i="11"/>
  <c r="I2618" i="11"/>
  <c r="H2618" i="11"/>
  <c r="I2620" i="11"/>
  <c r="H2620" i="11"/>
  <c r="I2625" i="11"/>
  <c r="H2625" i="11"/>
  <c r="I2634" i="11"/>
  <c r="H2634" i="11"/>
  <c r="I2636" i="11"/>
  <c r="H2636" i="11"/>
  <c r="I2641" i="11"/>
  <c r="H2641" i="11"/>
  <c r="I2650" i="11"/>
  <c r="H2650" i="11"/>
  <c r="I2652" i="11"/>
  <c r="H2652" i="11"/>
  <c r="I2657" i="11"/>
  <c r="H2657" i="11"/>
  <c r="I2666" i="11"/>
  <c r="H2666" i="11"/>
  <c r="I2668" i="11"/>
  <c r="H2668" i="11"/>
  <c r="I2673" i="11"/>
  <c r="H2673" i="11"/>
  <c r="I2682" i="11"/>
  <c r="H2682" i="11"/>
  <c r="I2684" i="11"/>
  <c r="H2684" i="11"/>
  <c r="I2689" i="11"/>
  <c r="H2689" i="11"/>
  <c r="I2698" i="11"/>
  <c r="H2698" i="11"/>
  <c r="I2700" i="11"/>
  <c r="H2700" i="11"/>
  <c r="I2705" i="11"/>
  <c r="H2705" i="11"/>
  <c r="I2714" i="11"/>
  <c r="H2714" i="11"/>
  <c r="I2716" i="11"/>
  <c r="H2716" i="11"/>
  <c r="I2721" i="11"/>
  <c r="H2721" i="11"/>
  <c r="I2730" i="11"/>
  <c r="H2730" i="11"/>
  <c r="I2732" i="11"/>
  <c r="H2732" i="11"/>
  <c r="I2737" i="11"/>
  <c r="H2737" i="11"/>
  <c r="I2746" i="11"/>
  <c r="H2746" i="11"/>
  <c r="I2748" i="11"/>
  <c r="H2748" i="11"/>
  <c r="I2753" i="11"/>
  <c r="H2753" i="11"/>
  <c r="I2762" i="11"/>
  <c r="H2762" i="11"/>
  <c r="I2764" i="11"/>
  <c r="H2764" i="11"/>
  <c r="I2769" i="11"/>
  <c r="H2769" i="11"/>
  <c r="I2778" i="11"/>
  <c r="H2778" i="11"/>
  <c r="I2780" i="11"/>
  <c r="H2780" i="11"/>
  <c r="I2785" i="11"/>
  <c r="H2785" i="11"/>
  <c r="I2794" i="11"/>
  <c r="H2794" i="11"/>
  <c r="I2796" i="11"/>
  <c r="H2796" i="11"/>
  <c r="I2801" i="11"/>
  <c r="H2801" i="11"/>
  <c r="I2810" i="11"/>
  <c r="H2810" i="11"/>
  <c r="I2812" i="11"/>
  <c r="H2812" i="11"/>
  <c r="I2817" i="11"/>
  <c r="H2817" i="11"/>
  <c r="I2826" i="11"/>
  <c r="H2826" i="11"/>
  <c r="I2828" i="11"/>
  <c r="H2828" i="11"/>
  <c r="I2833" i="11"/>
  <c r="H2833" i="11"/>
  <c r="I2842" i="11"/>
  <c r="H2842" i="11"/>
  <c r="I2844" i="11"/>
  <c r="H2844" i="11"/>
  <c r="I2849" i="11"/>
  <c r="H2849" i="11"/>
  <c r="I2858" i="11"/>
  <c r="H2858" i="11"/>
  <c r="I2860" i="11"/>
  <c r="H2860" i="11"/>
  <c r="I2865" i="11"/>
  <c r="H2865" i="11"/>
  <c r="I2874" i="11"/>
  <c r="H2874" i="11"/>
  <c r="I2876" i="11"/>
  <c r="H2876" i="11"/>
  <c r="I2881" i="11"/>
  <c r="H2881" i="11"/>
  <c r="I2890" i="11"/>
  <c r="H2890" i="11"/>
  <c r="I2892" i="11"/>
  <c r="H2892" i="11"/>
  <c r="I2897" i="11"/>
  <c r="H2897" i="11"/>
  <c r="I2906" i="11"/>
  <c r="H2906" i="11"/>
  <c r="I2908" i="11"/>
  <c r="H2908" i="11"/>
  <c r="I2913" i="11"/>
  <c r="H2913" i="11"/>
  <c r="I2922" i="11"/>
  <c r="H2922" i="11"/>
  <c r="I2924" i="11"/>
  <c r="H2924" i="11"/>
  <c r="I2929" i="11"/>
  <c r="H2929" i="11"/>
  <c r="I2938" i="11"/>
  <c r="H2938" i="11"/>
  <c r="I2940" i="11"/>
  <c r="H2940" i="11"/>
  <c r="I2945" i="11"/>
  <c r="H2945" i="11"/>
  <c r="I2954" i="11"/>
  <c r="H2954" i="11"/>
  <c r="I2956" i="11"/>
  <c r="H2956" i="11"/>
  <c r="I2961" i="11"/>
  <c r="H2961" i="11"/>
  <c r="I2970" i="11"/>
  <c r="H2970" i="11"/>
  <c r="I2972" i="11"/>
  <c r="H2972" i="11"/>
  <c r="I2977" i="11"/>
  <c r="H2977" i="11"/>
  <c r="I2986" i="11"/>
  <c r="H2986" i="11"/>
  <c r="I2988" i="11"/>
  <c r="H2988" i="11"/>
  <c r="I2993" i="11"/>
  <c r="H2993" i="11"/>
  <c r="I3002" i="11"/>
  <c r="H3002" i="11"/>
  <c r="I3004" i="11"/>
  <c r="H3004" i="11"/>
  <c r="I3009" i="11"/>
  <c r="H3009" i="11"/>
  <c r="I3018" i="11"/>
  <c r="H3018" i="11"/>
  <c r="I3020" i="11"/>
  <c r="H3020" i="11"/>
  <c r="I3025" i="11"/>
  <c r="H3025" i="11"/>
  <c r="I3034" i="11"/>
  <c r="H3034" i="11"/>
  <c r="I3036" i="11"/>
  <c r="H3036" i="11"/>
  <c r="I3041" i="11"/>
  <c r="H3041" i="11"/>
  <c r="I3050" i="11"/>
  <c r="H3050" i="11"/>
  <c r="I3052" i="11"/>
  <c r="H3052" i="11"/>
  <c r="I3057" i="11"/>
  <c r="H3057" i="11"/>
  <c r="I3066" i="11"/>
  <c r="H3066" i="11"/>
  <c r="I3068" i="11"/>
  <c r="H3068" i="11"/>
  <c r="I3073" i="11"/>
  <c r="H3073" i="11"/>
  <c r="I3082" i="11"/>
  <c r="H3082" i="11"/>
  <c r="I3084" i="11"/>
  <c r="H3084" i="11"/>
  <c r="I3089" i="11"/>
  <c r="H3089" i="11"/>
  <c r="I3098" i="11"/>
  <c r="H3098" i="11"/>
  <c r="I3100" i="11"/>
  <c r="H3100" i="11"/>
  <c r="I3105" i="11"/>
  <c r="H3105" i="11"/>
  <c r="I3114" i="11"/>
  <c r="H3114" i="11"/>
  <c r="I3116" i="11"/>
  <c r="H3116" i="11"/>
  <c r="I3121" i="11"/>
  <c r="H3121" i="11"/>
  <c r="I3130" i="11"/>
  <c r="H3130" i="11"/>
  <c r="I3132" i="11"/>
  <c r="H3132" i="11"/>
  <c r="I3137" i="11"/>
  <c r="H3137" i="11"/>
  <c r="I3146" i="11"/>
  <c r="H3146" i="11"/>
  <c r="I3148" i="11"/>
  <c r="H3148" i="11"/>
  <c r="I3153" i="11"/>
  <c r="H3153" i="11"/>
  <c r="I3162" i="11"/>
  <c r="H3162" i="11"/>
  <c r="I3164" i="11"/>
  <c r="H3164" i="11"/>
  <c r="I3169" i="11"/>
  <c r="H3169" i="11"/>
  <c r="I3178" i="11"/>
  <c r="H3178" i="11"/>
  <c r="I3180" i="11"/>
  <c r="H3180" i="11"/>
  <c r="I3185" i="11"/>
  <c r="H3185" i="11"/>
  <c r="I3194" i="11"/>
  <c r="H3194" i="11"/>
  <c r="I3196" i="11"/>
  <c r="H3196" i="11"/>
  <c r="I3201" i="11"/>
  <c r="H3201" i="11"/>
  <c r="I3210" i="11"/>
  <c r="H3210" i="11"/>
  <c r="I3212" i="11"/>
  <c r="H3212" i="11"/>
  <c r="I3217" i="11"/>
  <c r="H3217" i="11"/>
  <c r="I3226" i="11"/>
  <c r="H3226" i="11"/>
  <c r="I3228" i="11"/>
  <c r="H3228" i="11"/>
  <c r="I3233" i="11"/>
  <c r="H3233" i="11"/>
  <c r="I3242" i="11"/>
  <c r="H3242" i="11"/>
  <c r="I3244" i="11"/>
  <c r="H3244" i="11"/>
  <c r="I3249" i="11"/>
  <c r="H3249" i="11"/>
  <c r="I3258" i="11"/>
  <c r="H3258" i="11"/>
  <c r="I3260" i="11"/>
  <c r="H3260" i="11"/>
  <c r="I3265" i="11"/>
  <c r="H3265" i="11"/>
  <c r="I3274" i="11"/>
  <c r="H3274" i="11"/>
  <c r="I3276" i="11"/>
  <c r="H3276" i="11"/>
  <c r="I3281" i="11"/>
  <c r="H3281" i="11"/>
  <c r="I3290" i="11"/>
  <c r="H3290" i="11"/>
  <c r="I3292" i="11"/>
  <c r="H3292" i="11"/>
  <c r="I3297" i="11"/>
  <c r="H3297" i="11"/>
  <c r="I3306" i="11"/>
  <c r="H3306" i="11"/>
  <c r="I3308" i="11"/>
  <c r="H3308" i="11"/>
  <c r="I3313" i="11"/>
  <c r="H3313" i="11"/>
  <c r="I3322" i="11"/>
  <c r="H3322" i="11"/>
  <c r="I3324" i="11"/>
  <c r="H3324" i="11"/>
  <c r="I3329" i="11"/>
  <c r="H3329" i="11"/>
  <c r="I3338" i="11"/>
  <c r="H3338" i="11"/>
  <c r="I3340" i="11"/>
  <c r="H3340" i="11"/>
  <c r="I3345" i="11"/>
  <c r="H3345" i="11"/>
  <c r="I3354" i="11"/>
  <c r="H3354" i="11"/>
  <c r="I3356" i="11"/>
  <c r="H3356" i="11"/>
  <c r="I3361" i="11"/>
  <c r="H3361" i="11"/>
  <c r="I3370" i="11"/>
  <c r="H3370" i="11"/>
  <c r="I3372" i="11"/>
  <c r="H3372" i="11"/>
  <c r="I3377" i="11"/>
  <c r="H3377" i="11"/>
  <c r="I3386" i="11"/>
  <c r="H3386" i="11"/>
  <c r="I3388" i="11"/>
  <c r="H3388" i="11"/>
  <c r="I3393" i="11"/>
  <c r="H3393" i="11"/>
  <c r="I3402" i="11"/>
  <c r="H3402" i="11"/>
  <c r="I3404" i="11"/>
  <c r="H3404" i="11"/>
  <c r="I3409" i="11"/>
  <c r="H3409" i="11"/>
  <c r="I3418" i="11"/>
  <c r="H3418" i="11"/>
  <c r="I3420" i="11"/>
  <c r="H3420" i="11"/>
  <c r="I3425" i="11"/>
  <c r="H3425" i="11"/>
  <c r="I3434" i="11"/>
  <c r="H3434" i="11"/>
  <c r="I3436" i="11"/>
  <c r="H3436" i="11"/>
  <c r="I3441" i="11"/>
  <c r="H3441" i="11"/>
  <c r="I3450" i="11"/>
  <c r="H3450" i="11"/>
  <c r="I3452" i="11"/>
  <c r="H3452" i="11"/>
  <c r="I3457" i="11"/>
  <c r="H3457" i="11"/>
  <c r="I3466" i="11"/>
  <c r="H3466" i="11"/>
  <c r="I3468" i="11"/>
  <c r="H3468" i="11"/>
  <c r="I3473" i="11"/>
  <c r="H3473" i="11"/>
  <c r="I3482" i="11"/>
  <c r="H3482" i="11"/>
  <c r="I3484" i="11"/>
  <c r="H3484" i="11"/>
  <c r="I3489" i="11"/>
  <c r="H3489" i="11"/>
  <c r="I3498" i="11"/>
  <c r="H3498" i="11"/>
  <c r="I3500" i="11"/>
  <c r="H3500" i="11"/>
  <c r="I3505" i="11"/>
  <c r="H3505" i="11"/>
  <c r="I3514" i="11"/>
  <c r="H3514" i="11"/>
  <c r="I3516" i="11"/>
  <c r="H3516" i="11"/>
  <c r="I3521" i="11"/>
  <c r="H3521" i="11"/>
  <c r="I3530" i="11"/>
  <c r="H3530" i="11"/>
  <c r="I3532" i="11"/>
  <c r="H3532" i="11"/>
  <c r="I3537" i="11"/>
  <c r="H3537" i="11"/>
  <c r="I3546" i="11"/>
  <c r="H3546" i="11"/>
  <c r="I3548" i="11"/>
  <c r="H3548" i="11"/>
  <c r="I3553" i="11"/>
  <c r="H3553" i="11"/>
  <c r="I3562" i="11"/>
  <c r="H3562" i="11"/>
  <c r="I3564" i="11"/>
  <c r="H3564" i="11"/>
  <c r="I3569" i="11"/>
  <c r="H3569" i="11"/>
  <c r="I3578" i="11"/>
  <c r="H3578" i="11"/>
  <c r="I3580" i="11"/>
  <c r="H3580" i="11"/>
  <c r="I3585" i="11"/>
  <c r="H3585" i="11"/>
  <c r="I3594" i="11"/>
  <c r="H3594" i="11"/>
  <c r="I3596" i="11"/>
  <c r="H3596" i="11"/>
  <c r="I3601" i="11"/>
  <c r="H3601" i="11"/>
  <c r="I3610" i="11"/>
  <c r="H3610" i="11"/>
  <c r="I3612" i="11"/>
  <c r="H3612" i="11"/>
  <c r="I3617" i="11"/>
  <c r="H3617" i="11"/>
  <c r="I3626" i="11"/>
  <c r="H3626" i="11"/>
  <c r="I3628" i="11"/>
  <c r="H3628" i="11"/>
  <c r="I3633" i="11"/>
  <c r="H3633" i="11"/>
  <c r="I3642" i="11"/>
  <c r="H3642" i="11"/>
  <c r="I3644" i="11"/>
  <c r="H3644" i="11"/>
  <c r="I3649" i="11"/>
  <c r="H3649" i="11"/>
  <c r="I3658" i="11"/>
  <c r="H3658" i="11"/>
  <c r="I3660" i="11"/>
  <c r="H3660" i="11"/>
  <c r="I3665" i="11"/>
  <c r="H3665" i="11"/>
  <c r="I3674" i="11"/>
  <c r="H3674" i="11"/>
  <c r="I3676" i="11"/>
  <c r="H3676" i="11"/>
  <c r="I3681" i="11"/>
  <c r="H3681" i="11"/>
  <c r="I3690" i="11"/>
  <c r="H3690" i="11"/>
  <c r="I3692" i="11"/>
  <c r="H3692" i="11"/>
  <c r="I3697" i="11"/>
  <c r="H3697" i="11"/>
  <c r="I3706" i="11"/>
  <c r="H3706" i="11"/>
  <c r="I3708" i="11"/>
  <c r="H3708" i="11"/>
  <c r="I3713" i="11"/>
  <c r="H3713" i="11"/>
  <c r="I3722" i="11"/>
  <c r="H3722" i="11"/>
  <c r="I3724" i="11"/>
  <c r="H3724" i="11"/>
  <c r="I3729" i="11"/>
  <c r="H3729" i="11"/>
  <c r="I3738" i="11"/>
  <c r="H3738" i="11"/>
  <c r="I3740" i="11"/>
  <c r="H3740" i="11"/>
  <c r="I3745" i="11"/>
  <c r="H3745" i="11"/>
  <c r="I3754" i="11"/>
  <c r="H3754" i="11"/>
  <c r="I3756" i="11"/>
  <c r="H3756" i="11"/>
  <c r="I3761" i="11"/>
  <c r="H3761" i="11"/>
  <c r="I3770" i="11"/>
  <c r="H3770" i="11"/>
  <c r="I3772" i="11"/>
  <c r="H3772" i="11"/>
  <c r="I3777" i="11"/>
  <c r="H3777" i="11"/>
  <c r="I3786" i="11"/>
  <c r="H3786" i="11"/>
  <c r="I3788" i="11"/>
  <c r="H3788" i="11"/>
  <c r="I3793" i="11"/>
  <c r="H3793" i="11"/>
  <c r="I3802" i="11"/>
  <c r="H3802" i="11"/>
  <c r="I3804" i="11"/>
  <c r="H3804" i="11"/>
  <c r="I3809" i="11"/>
  <c r="H3809" i="11"/>
  <c r="I3818" i="11"/>
  <c r="H3818" i="11"/>
  <c r="I3820" i="11"/>
  <c r="H3820" i="11"/>
  <c r="I3825" i="11"/>
  <c r="H3825" i="11"/>
  <c r="I3834" i="11"/>
  <c r="H3834" i="11"/>
  <c r="I3836" i="11"/>
  <c r="H3836" i="11"/>
  <c r="I3841" i="11"/>
  <c r="H3841" i="11"/>
  <c r="I3850" i="11"/>
  <c r="H3850" i="11"/>
  <c r="I3852" i="11"/>
  <c r="H3852" i="11"/>
  <c r="I3857" i="11"/>
  <c r="H3857" i="11"/>
  <c r="I3866" i="11"/>
  <c r="H3866" i="11"/>
  <c r="I3868" i="11"/>
  <c r="H3868" i="11"/>
  <c r="I3873" i="11"/>
  <c r="H3873" i="11"/>
  <c r="I3882" i="11"/>
  <c r="H3882" i="11"/>
  <c r="I3884" i="11"/>
  <c r="H3884" i="11"/>
  <c r="I3889" i="11"/>
  <c r="H3889" i="11"/>
  <c r="I3898" i="11"/>
  <c r="H3898" i="11"/>
  <c r="I3900" i="11"/>
  <c r="H3900" i="11"/>
  <c r="I3905" i="11"/>
  <c r="H3905" i="11"/>
  <c r="I3914" i="11"/>
  <c r="H3914" i="11"/>
  <c r="I3916" i="11"/>
  <c r="H3916" i="11"/>
  <c r="I3921" i="11"/>
  <c r="H3921" i="11"/>
  <c r="I3930" i="11"/>
  <c r="H3930" i="11"/>
  <c r="I3932" i="11"/>
  <c r="H3932" i="11"/>
  <c r="I3937" i="11"/>
  <c r="H3937" i="11"/>
  <c r="I3946" i="11"/>
  <c r="H3946" i="11"/>
  <c r="I3948" i="11"/>
  <c r="H3948" i="11"/>
  <c r="I3953" i="11"/>
  <c r="H3953" i="11"/>
  <c r="I3962" i="11"/>
  <c r="H3962" i="11"/>
  <c r="I3964" i="11"/>
  <c r="H3964" i="11"/>
  <c r="I3969" i="11"/>
  <c r="H3969" i="11"/>
  <c r="I3978" i="11"/>
  <c r="H3978" i="11"/>
  <c r="I3980" i="11"/>
  <c r="H3980" i="11"/>
  <c r="I3985" i="11"/>
  <c r="H3985" i="11"/>
  <c r="I3994" i="11"/>
  <c r="H3994" i="11"/>
  <c r="I3996" i="11"/>
  <c r="H3996" i="11"/>
  <c r="I4001" i="11"/>
  <c r="H4001" i="11"/>
  <c r="I4010" i="11"/>
  <c r="H4010" i="11"/>
  <c r="I4012" i="11"/>
  <c r="H4012" i="11"/>
  <c r="I4017" i="11"/>
  <c r="H4017" i="11"/>
  <c r="I4026" i="11"/>
  <c r="H4026" i="11"/>
  <c r="I4028" i="11"/>
  <c r="H4028" i="11"/>
  <c r="I4033" i="11"/>
  <c r="H4033" i="11"/>
  <c r="I4042" i="11"/>
  <c r="H4042" i="11"/>
  <c r="I4044" i="11"/>
  <c r="H4044" i="11"/>
  <c r="I4049" i="11"/>
  <c r="H4049" i="11"/>
  <c r="I4058" i="11"/>
  <c r="H4058" i="11"/>
  <c r="I4060" i="11"/>
  <c r="H4060" i="11"/>
  <c r="I4065" i="11"/>
  <c r="H4065" i="11"/>
  <c r="I4074" i="11"/>
  <c r="H4074" i="11"/>
  <c r="I4076" i="11"/>
  <c r="H4076" i="11"/>
  <c r="I4081" i="11"/>
  <c r="H4081" i="11"/>
  <c r="I4090" i="11"/>
  <c r="H4090" i="11"/>
  <c r="I4092" i="11"/>
  <c r="H4092" i="11"/>
  <c r="I4097" i="11"/>
  <c r="H4097" i="11"/>
  <c r="I4106" i="11"/>
  <c r="H4106" i="11"/>
  <c r="I4108" i="11"/>
  <c r="H4108" i="11"/>
  <c r="I4113" i="11"/>
  <c r="H4113" i="11"/>
  <c r="I4122" i="11"/>
  <c r="H4122" i="11"/>
  <c r="I4124" i="11"/>
  <c r="H4124" i="11"/>
  <c r="I4129" i="11"/>
  <c r="H4129" i="11"/>
  <c r="I4138" i="11"/>
  <c r="H4138" i="11"/>
  <c r="I4140" i="11"/>
  <c r="H4140" i="11"/>
  <c r="I4145" i="11"/>
  <c r="H4145" i="11"/>
  <c r="I4154" i="11"/>
  <c r="H4154" i="11"/>
  <c r="I4156" i="11"/>
  <c r="H4156" i="11"/>
  <c r="I4161" i="11"/>
  <c r="H4161" i="11"/>
  <c r="I4170" i="11"/>
  <c r="H4170" i="11"/>
  <c r="I4172" i="11"/>
  <c r="H4172" i="11"/>
  <c r="I4177" i="11"/>
  <c r="H4177" i="11"/>
  <c r="I4186" i="11"/>
  <c r="H4186" i="11"/>
  <c r="I4188" i="11"/>
  <c r="H4188" i="11"/>
  <c r="I4193" i="11"/>
  <c r="H4193" i="11"/>
  <c r="I4202" i="11"/>
  <c r="H4202" i="11"/>
  <c r="I4204" i="11"/>
  <c r="H4204" i="11"/>
  <c r="I4209" i="11"/>
  <c r="H4209" i="11"/>
  <c r="I4218" i="11"/>
  <c r="H4218" i="11"/>
  <c r="I4220" i="11"/>
  <c r="H4220" i="11"/>
  <c r="I4225" i="11"/>
  <c r="H4225" i="11"/>
  <c r="I4234" i="11"/>
  <c r="H4234" i="11"/>
  <c r="I4236" i="11"/>
  <c r="H4236" i="11"/>
  <c r="I4241" i="11"/>
  <c r="H4241" i="11"/>
  <c r="I4250" i="11"/>
  <c r="H4250" i="11"/>
  <c r="I4252" i="11"/>
  <c r="H4252" i="11"/>
  <c r="I4257" i="11"/>
  <c r="H4257" i="11"/>
  <c r="I4266" i="11"/>
  <c r="H4266" i="11"/>
  <c r="I4268" i="11"/>
  <c r="H4268" i="11"/>
  <c r="I4273" i="11"/>
  <c r="H4273" i="11"/>
  <c r="I4282" i="11"/>
  <c r="H4282" i="11"/>
  <c r="I4284" i="11"/>
  <c r="H4284" i="11"/>
  <c r="I4289" i="11"/>
  <c r="H4289" i="11"/>
  <c r="I4298" i="11"/>
  <c r="H4298" i="11"/>
  <c r="I4300" i="11"/>
  <c r="H4300" i="11"/>
  <c r="I4305" i="11"/>
  <c r="H4305" i="11"/>
  <c r="I4314" i="11"/>
  <c r="H4314" i="11"/>
  <c r="I4316" i="11"/>
  <c r="H4316" i="11"/>
  <c r="I4321" i="11"/>
  <c r="H4321" i="11"/>
  <c r="I4330" i="11"/>
  <c r="H4330" i="11"/>
  <c r="I4332" i="11"/>
  <c r="H4332" i="11"/>
  <c r="I4337" i="11"/>
  <c r="H4337" i="11"/>
  <c r="I4346" i="11"/>
  <c r="H4346" i="11"/>
  <c r="I4348" i="11"/>
  <c r="H4348" i="11"/>
  <c r="I4353" i="11"/>
  <c r="H4353" i="11"/>
  <c r="I4362" i="11"/>
  <c r="H4362" i="11"/>
  <c r="I4364" i="11"/>
  <c r="H4364" i="11"/>
  <c r="I4369" i="11"/>
  <c r="H4369" i="11"/>
  <c r="I4378" i="11"/>
  <c r="H4378" i="11"/>
  <c r="I4380" i="11"/>
  <c r="H4380" i="11"/>
  <c r="I4385" i="11"/>
  <c r="H4385" i="11"/>
  <c r="I4394" i="11"/>
  <c r="H4394" i="11"/>
  <c r="I4396" i="11"/>
  <c r="H4396" i="11"/>
  <c r="I4401" i="11"/>
  <c r="H4401" i="11"/>
  <c r="I4410" i="11"/>
  <c r="H4410" i="11"/>
  <c r="I4412" i="11"/>
  <c r="H4412" i="11"/>
  <c r="I4417" i="11"/>
  <c r="H4417" i="11"/>
  <c r="I4426" i="11"/>
  <c r="H4426" i="11"/>
  <c r="I4428" i="11"/>
  <c r="H4428" i="11"/>
  <c r="I4433" i="11"/>
  <c r="H4433" i="11"/>
  <c r="I4442" i="11"/>
  <c r="H4442" i="11"/>
  <c r="I4444" i="11"/>
  <c r="H4444" i="11"/>
  <c r="I4449" i="11"/>
  <c r="H4449" i="11"/>
  <c r="I4458" i="11"/>
  <c r="H4458" i="11"/>
  <c r="I4460" i="11"/>
  <c r="H4460" i="11"/>
  <c r="I4465" i="11"/>
  <c r="H4465" i="11"/>
  <c r="I4474" i="11"/>
  <c r="H4474" i="11"/>
  <c r="I4476" i="11"/>
  <c r="H4476" i="11"/>
  <c r="I4481" i="11"/>
  <c r="H4481" i="11"/>
  <c r="I4490" i="11"/>
  <c r="H4490" i="11"/>
  <c r="I4492" i="11"/>
  <c r="H4492" i="11"/>
  <c r="I4497" i="11"/>
  <c r="H4497" i="11"/>
  <c r="I4506" i="11"/>
  <c r="H4506" i="11"/>
  <c r="I4508" i="11"/>
  <c r="H4508" i="11"/>
  <c r="I4513" i="11"/>
  <c r="H4513" i="11"/>
  <c r="I4522" i="11"/>
  <c r="H4522" i="11"/>
  <c r="I4524" i="11"/>
  <c r="H4524" i="11"/>
  <c r="I4529" i="11"/>
  <c r="H4529" i="11"/>
  <c r="I4538" i="11"/>
  <c r="H4538" i="11"/>
  <c r="I4540" i="11"/>
  <c r="H4540" i="11"/>
  <c r="I4545" i="11"/>
  <c r="H4545" i="11"/>
  <c r="I4554" i="11"/>
  <c r="H4554" i="11"/>
  <c r="I4556" i="11"/>
  <c r="H4556" i="11"/>
  <c r="I4561" i="11"/>
  <c r="H4561" i="11"/>
  <c r="I4570" i="11"/>
  <c r="H4570" i="11"/>
  <c r="I4572" i="11"/>
  <c r="H4572" i="11"/>
  <c r="I4577" i="11"/>
  <c r="H4577" i="11"/>
  <c r="I4586" i="11"/>
  <c r="H4586" i="11"/>
  <c r="I4588" i="11"/>
  <c r="H4588" i="11"/>
  <c r="I4593" i="11"/>
  <c r="H4593" i="11"/>
  <c r="I4602" i="11"/>
  <c r="H4602" i="11"/>
  <c r="I4604" i="11"/>
  <c r="H4604" i="11"/>
  <c r="I4609" i="11"/>
  <c r="H4609" i="11"/>
  <c r="I4618" i="11"/>
  <c r="H4618" i="11"/>
  <c r="I4620" i="11"/>
  <c r="H4620" i="11"/>
  <c r="I4625" i="11"/>
  <c r="H4625" i="11"/>
  <c r="I4634" i="11"/>
  <c r="H4634" i="11"/>
  <c r="I4636" i="11"/>
  <c r="H4636" i="11"/>
  <c r="I4641" i="11"/>
  <c r="H4641" i="11"/>
  <c r="I4650" i="11"/>
  <c r="H4650" i="11"/>
  <c r="I4652" i="11"/>
  <c r="H4652" i="11"/>
  <c r="I4657" i="11"/>
  <c r="H4657" i="11"/>
  <c r="I4666" i="11"/>
  <c r="H4666" i="11"/>
  <c r="I4668" i="11"/>
  <c r="H4668" i="11"/>
  <c r="I4673" i="11"/>
  <c r="H4673" i="11"/>
  <c r="I4682" i="11"/>
  <c r="H4682" i="11"/>
  <c r="I4684" i="11"/>
  <c r="H4684" i="11"/>
  <c r="I4689" i="11"/>
  <c r="H4689" i="11"/>
  <c r="I4698" i="11"/>
  <c r="H4698" i="11"/>
  <c r="I4700" i="11"/>
  <c r="H4700" i="11"/>
  <c r="I4705" i="11"/>
  <c r="H4705" i="11"/>
  <c r="I4714" i="11"/>
  <c r="H4714" i="11"/>
  <c r="I4716" i="11"/>
  <c r="H4716" i="11"/>
  <c r="I4721" i="11"/>
  <c r="H4721" i="11"/>
  <c r="I4730" i="11"/>
  <c r="H4730" i="11"/>
  <c r="I4732" i="11"/>
  <c r="H4732" i="11"/>
  <c r="I4737" i="11"/>
  <c r="H4737" i="11"/>
  <c r="I4746" i="11"/>
  <c r="H4746" i="11"/>
  <c r="I4748" i="11"/>
  <c r="H4748" i="11"/>
  <c r="I4753" i="11"/>
  <c r="H4753" i="11"/>
  <c r="I4762" i="11"/>
  <c r="H4762" i="11"/>
  <c r="I4764" i="11"/>
  <c r="H4764" i="11"/>
  <c r="I4769" i="11"/>
  <c r="H4769" i="11"/>
  <c r="I4778" i="11"/>
  <c r="H4778" i="11"/>
  <c r="I4780" i="11"/>
  <c r="H4780" i="11"/>
  <c r="I4785" i="11"/>
  <c r="H4785" i="11"/>
  <c r="I4794" i="11"/>
  <c r="H4794" i="11"/>
  <c r="I4796" i="11"/>
  <c r="H4796" i="11"/>
  <c r="I4801" i="11"/>
  <c r="H4801" i="11"/>
  <c r="I4810" i="11"/>
  <c r="H4810" i="11"/>
  <c r="I4812" i="11"/>
  <c r="H4812" i="11"/>
  <c r="I4817" i="11"/>
  <c r="H4817" i="11"/>
  <c r="I4826" i="11"/>
  <c r="H4826" i="11"/>
  <c r="I4828" i="11"/>
  <c r="H4828" i="11"/>
  <c r="I4833" i="11"/>
  <c r="H4833" i="11"/>
  <c r="I4842" i="11"/>
  <c r="H4842" i="11"/>
  <c r="I4844" i="11"/>
  <c r="H4844" i="11"/>
  <c r="I4849" i="11"/>
  <c r="H4849" i="11"/>
  <c r="I4858" i="11"/>
  <c r="H4858" i="11"/>
  <c r="I4860" i="11"/>
  <c r="H4860" i="11"/>
  <c r="I4865" i="11"/>
  <c r="H4865" i="11"/>
  <c r="I4874" i="11"/>
  <c r="H4874" i="11"/>
  <c r="I4876" i="11"/>
  <c r="H4876" i="11"/>
  <c r="I4881" i="11"/>
  <c r="H4881" i="11"/>
  <c r="I4890" i="11"/>
  <c r="H4890" i="11"/>
  <c r="I4892" i="11"/>
  <c r="H4892" i="11"/>
  <c r="I4897" i="11"/>
  <c r="H4897" i="11"/>
  <c r="I4906" i="11"/>
  <c r="H4906" i="11"/>
  <c r="I4908" i="11"/>
  <c r="H4908" i="11"/>
  <c r="I4913" i="11"/>
  <c r="H4913" i="11"/>
  <c r="I4922" i="11"/>
  <c r="H4922" i="11"/>
  <c r="I4924" i="11"/>
  <c r="H4924" i="11"/>
  <c r="I4929" i="11"/>
  <c r="H4929" i="11"/>
  <c r="I4938" i="11"/>
  <c r="H4938" i="11"/>
  <c r="I4940" i="11"/>
  <c r="H4940" i="11"/>
  <c r="I4945" i="11"/>
  <c r="H4945" i="11"/>
  <c r="I4954" i="11"/>
  <c r="H4954" i="11"/>
  <c r="I4956" i="11"/>
  <c r="H4956" i="11"/>
  <c r="I4961" i="11"/>
  <c r="H4961" i="11"/>
  <c r="I4970" i="11"/>
  <c r="H4970" i="11"/>
  <c r="I4972" i="11"/>
  <c r="H4972" i="11"/>
  <c r="I4977" i="11"/>
  <c r="H4977" i="11"/>
  <c r="I4986" i="11"/>
  <c r="H4986" i="11"/>
  <c r="I4988" i="11"/>
  <c r="H4988" i="11"/>
  <c r="I4993" i="11"/>
  <c r="H4993" i="11"/>
  <c r="I5002" i="11"/>
  <c r="H5002" i="11"/>
  <c r="I5004" i="11"/>
  <c r="H5004" i="11"/>
  <c r="I5009" i="11"/>
  <c r="H5009" i="11"/>
  <c r="I5018" i="11"/>
  <c r="H5018" i="11"/>
  <c r="I5020" i="11"/>
  <c r="H5020" i="11"/>
  <c r="I5025" i="11"/>
  <c r="H5025" i="11"/>
  <c r="I5034" i="11"/>
  <c r="H5034" i="11"/>
  <c r="I5036" i="11"/>
  <c r="H5036" i="11"/>
  <c r="I5041" i="11"/>
  <c r="H5041" i="11"/>
  <c r="I5050" i="11"/>
  <c r="H5050" i="11"/>
  <c r="I5052" i="11"/>
  <c r="H5052" i="11"/>
  <c r="I5057" i="11"/>
  <c r="H5057" i="11"/>
  <c r="I5066" i="11"/>
  <c r="H5066" i="11"/>
  <c r="I5068" i="11"/>
  <c r="H5068" i="11"/>
  <c r="I5073" i="11"/>
  <c r="H5073" i="11"/>
  <c r="I5082" i="11"/>
  <c r="H5082" i="11"/>
  <c r="I5084" i="11"/>
  <c r="H5084" i="11"/>
  <c r="I5089" i="11"/>
  <c r="H5089" i="11"/>
  <c r="I5098" i="11"/>
  <c r="H5098" i="11"/>
  <c r="I5100" i="11"/>
  <c r="H5100" i="11"/>
  <c r="I5105" i="11"/>
  <c r="H5105" i="11"/>
  <c r="I5114" i="11"/>
  <c r="H5114" i="11"/>
  <c r="I5116" i="11"/>
  <c r="H5116" i="11"/>
  <c r="I5121" i="11"/>
  <c r="H5121" i="11"/>
  <c r="I5130" i="11"/>
  <c r="H5130" i="11"/>
  <c r="I5132" i="11"/>
  <c r="H5132" i="11"/>
  <c r="I5137" i="11"/>
  <c r="H5137" i="11"/>
  <c r="I5146" i="11"/>
  <c r="H5146" i="11"/>
  <c r="I5148" i="11"/>
  <c r="H5148" i="11"/>
  <c r="I5153" i="11"/>
  <c r="H5153" i="11"/>
  <c r="I5162" i="11"/>
  <c r="H5162" i="11"/>
  <c r="I5164" i="11"/>
  <c r="H5164" i="11"/>
  <c r="I5169" i="11"/>
  <c r="H5169" i="11"/>
  <c r="I5178" i="11"/>
  <c r="H5178" i="11"/>
  <c r="I5180" i="11"/>
  <c r="H5180" i="11"/>
  <c r="I5185" i="11"/>
  <c r="H5185" i="11"/>
  <c r="I5194" i="11"/>
  <c r="H5194" i="11"/>
  <c r="I5196" i="11"/>
  <c r="H5196" i="11"/>
  <c r="I5201" i="11"/>
  <c r="H5201" i="11"/>
  <c r="I5210" i="11"/>
  <c r="H5210" i="11"/>
  <c r="I5212" i="11"/>
  <c r="H5212" i="11"/>
  <c r="I5217" i="11"/>
  <c r="H5217" i="11"/>
  <c r="I5226" i="11"/>
  <c r="H5226" i="11"/>
  <c r="I5228" i="11"/>
  <c r="H5228" i="11"/>
  <c r="I5233" i="11"/>
  <c r="H5233" i="11"/>
  <c r="I5242" i="11"/>
  <c r="H5242" i="11"/>
  <c r="I5244" i="11"/>
  <c r="H5244" i="11"/>
  <c r="I5249" i="11"/>
  <c r="H5249" i="11"/>
  <c r="I5258" i="11"/>
  <c r="H5258" i="11"/>
  <c r="I5260" i="11"/>
  <c r="H5260" i="11"/>
  <c r="I5265" i="11"/>
  <c r="H5265" i="11"/>
  <c r="I5274" i="11"/>
  <c r="H5274" i="11"/>
  <c r="I5276" i="11"/>
  <c r="H5276" i="11"/>
  <c r="I5281" i="11"/>
  <c r="H5281" i="11"/>
  <c r="I5290" i="11"/>
  <c r="H5290" i="11"/>
  <c r="I5292" i="11"/>
  <c r="H5292" i="11"/>
  <c r="I5297" i="11"/>
  <c r="H5297" i="11"/>
  <c r="I5306" i="11"/>
  <c r="H5306" i="11"/>
  <c r="I5308" i="11"/>
  <c r="H5308" i="11"/>
  <c r="I5313" i="11"/>
  <c r="H5313" i="11"/>
  <c r="I5322" i="11"/>
  <c r="H5322" i="11"/>
  <c r="I5324" i="11"/>
  <c r="H5324" i="11"/>
  <c r="I5329" i="11"/>
  <c r="H5329" i="11"/>
  <c r="I5338" i="11"/>
  <c r="H5338" i="11"/>
  <c r="I5340" i="11"/>
  <c r="H5340" i="11"/>
  <c r="I5345" i="11"/>
  <c r="H5345" i="11"/>
  <c r="I5354" i="11"/>
  <c r="H5354" i="11"/>
  <c r="I5356" i="11"/>
  <c r="H5356" i="11"/>
  <c r="I5361" i="11"/>
  <c r="H5361" i="11"/>
  <c r="I5370" i="11"/>
  <c r="H5370" i="11"/>
  <c r="I5372" i="11"/>
  <c r="H5372" i="11"/>
  <c r="I5377" i="11"/>
  <c r="H5377" i="11"/>
  <c r="I5386" i="11"/>
  <c r="H5386" i="11"/>
  <c r="I5388" i="11"/>
  <c r="H5388" i="11"/>
  <c r="I5393" i="11"/>
  <c r="H5393" i="11"/>
  <c r="I5402" i="11"/>
  <c r="H5402" i="11"/>
  <c r="I5404" i="11"/>
  <c r="H5404" i="11"/>
  <c r="I5409" i="11"/>
  <c r="H5409" i="11"/>
  <c r="I5418" i="11"/>
  <c r="H5418" i="11"/>
  <c r="I5420" i="11"/>
  <c r="H5420" i="11"/>
  <c r="I5425" i="11"/>
  <c r="H5425" i="11"/>
  <c r="I5434" i="11"/>
  <c r="H5434" i="11"/>
  <c r="I5436" i="11"/>
  <c r="H5436" i="11"/>
  <c r="I5441" i="11"/>
  <c r="H5441" i="11"/>
  <c r="I5450" i="11"/>
  <c r="H5450" i="11"/>
  <c r="I5452" i="11"/>
  <c r="H5452" i="11"/>
  <c r="I5457" i="11"/>
  <c r="H5457" i="11"/>
  <c r="I5466" i="11"/>
  <c r="H5466" i="11"/>
  <c r="I5468" i="11"/>
  <c r="H5468" i="11"/>
  <c r="I5473" i="11"/>
  <c r="H5473" i="11"/>
  <c r="I5482" i="11"/>
  <c r="H5482" i="11"/>
  <c r="I5484" i="11"/>
  <c r="H5484" i="11"/>
  <c r="I5489" i="11"/>
  <c r="H5489" i="11"/>
  <c r="I5498" i="11"/>
  <c r="H5498" i="11"/>
  <c r="I5500" i="11"/>
  <c r="H5500" i="11"/>
  <c r="I5505" i="11"/>
  <c r="H5505" i="11"/>
  <c r="I5514" i="11"/>
  <c r="H5514" i="11"/>
  <c r="I5516" i="11"/>
  <c r="H5516" i="11"/>
  <c r="I5521" i="11"/>
  <c r="H5521" i="11"/>
  <c r="I5530" i="11"/>
  <c r="H5530" i="11"/>
  <c r="I5532" i="11"/>
  <c r="H5532" i="11"/>
  <c r="I5537" i="11"/>
  <c r="H5537" i="11"/>
  <c r="I5546" i="11"/>
  <c r="H5546" i="11"/>
  <c r="I5548" i="11"/>
  <c r="H5548" i="11"/>
  <c r="I5553" i="11"/>
  <c r="H5553" i="11"/>
  <c r="I5562" i="11"/>
  <c r="H5562" i="11"/>
  <c r="I5564" i="11"/>
  <c r="H5564" i="11"/>
  <c r="I5569" i="11"/>
  <c r="H5569" i="11"/>
  <c r="I5578" i="11"/>
  <c r="H5578" i="11"/>
  <c r="I5580" i="11"/>
  <c r="H5580" i="11"/>
  <c r="I5585" i="11"/>
  <c r="H5585" i="11"/>
  <c r="I5594" i="11"/>
  <c r="H5594" i="11"/>
  <c r="I5596" i="11"/>
  <c r="H5596" i="11"/>
  <c r="I5601" i="11"/>
  <c r="H5601" i="11"/>
  <c r="I5610" i="11"/>
  <c r="H5610" i="11"/>
  <c r="I5612" i="11"/>
  <c r="H5612" i="11"/>
  <c r="I5617" i="11"/>
  <c r="H5617" i="11"/>
  <c r="I5626" i="11"/>
  <c r="H5626" i="11"/>
  <c r="I5628" i="11"/>
  <c r="H5628" i="11"/>
  <c r="I5633" i="11"/>
  <c r="H5633" i="11"/>
  <c r="I5642" i="11"/>
  <c r="H5642" i="11"/>
  <c r="I5644" i="11"/>
  <c r="H5644" i="11"/>
  <c r="I5649" i="11"/>
  <c r="H5649" i="11"/>
  <c r="I5658" i="11"/>
  <c r="H5658" i="11"/>
  <c r="I5660" i="11"/>
  <c r="H5660" i="11"/>
  <c r="I5665" i="11"/>
  <c r="H5665" i="11"/>
  <c r="I5674" i="11"/>
  <c r="H5674" i="11"/>
  <c r="I5676" i="11"/>
  <c r="H5676" i="11"/>
  <c r="I5681" i="11"/>
  <c r="H5681" i="11"/>
  <c r="I5690" i="11"/>
  <c r="H5690" i="11"/>
  <c r="I5692" i="11"/>
  <c r="H5692" i="11"/>
  <c r="I5697" i="11"/>
  <c r="H5697" i="11"/>
  <c r="I5706" i="11"/>
  <c r="H5706" i="11"/>
  <c r="I5708" i="11"/>
  <c r="H5708" i="11"/>
  <c r="I5713" i="11"/>
  <c r="H5713" i="11"/>
  <c r="I5722" i="11"/>
  <c r="H5722" i="11"/>
  <c r="I5724" i="11"/>
  <c r="H5724" i="11"/>
  <c r="I5729" i="11"/>
  <c r="H5729" i="11"/>
  <c r="I5738" i="11"/>
  <c r="H5738" i="11"/>
  <c r="I5740" i="11"/>
  <c r="H5740" i="11"/>
  <c r="I5745" i="11"/>
  <c r="H5745" i="11"/>
  <c r="I5754" i="11"/>
  <c r="H5754" i="11"/>
  <c r="I5756" i="11"/>
  <c r="H5756" i="11"/>
  <c r="I5761" i="11"/>
  <c r="H5761" i="11"/>
  <c r="I5770" i="11"/>
  <c r="H5770" i="11"/>
  <c r="I5772" i="11"/>
  <c r="H5772" i="11"/>
  <c r="I5777" i="11"/>
  <c r="H5777" i="11"/>
  <c r="I5786" i="11"/>
  <c r="H5786" i="11"/>
  <c r="I5788" i="11"/>
  <c r="H5788" i="11"/>
  <c r="I5793" i="11"/>
  <c r="H5793" i="11"/>
  <c r="I5802" i="11"/>
  <c r="H5802" i="11"/>
  <c r="I5804" i="11"/>
  <c r="H5804" i="11"/>
  <c r="I5809" i="11"/>
  <c r="H5809" i="11"/>
  <c r="I5818" i="11"/>
  <c r="H5818" i="11"/>
  <c r="I5820" i="11"/>
  <c r="H5820" i="11"/>
  <c r="I5825" i="11"/>
  <c r="H5825" i="11"/>
  <c r="I5834" i="11"/>
  <c r="H5834" i="11"/>
  <c r="I5836" i="11"/>
  <c r="H5836" i="11"/>
  <c r="I5841" i="11"/>
  <c r="H5841" i="11"/>
  <c r="I5850" i="11"/>
  <c r="H5850" i="11"/>
  <c r="I5852" i="11"/>
  <c r="H5852" i="11"/>
  <c r="I5857" i="11"/>
  <c r="H5857" i="11"/>
  <c r="I5866" i="11"/>
  <c r="H5866" i="11"/>
  <c r="I5868" i="11"/>
  <c r="H5868" i="11"/>
  <c r="I5873" i="11"/>
  <c r="H5873" i="11"/>
  <c r="I5882" i="11"/>
  <c r="H5882" i="11"/>
  <c r="I5884" i="11"/>
  <c r="H5884" i="11"/>
  <c r="I5889" i="11"/>
  <c r="H5889" i="11"/>
  <c r="I5898" i="11"/>
  <c r="H5898" i="11"/>
  <c r="I5900" i="11"/>
  <c r="H5900" i="11"/>
  <c r="I5905" i="11"/>
  <c r="H5905" i="11"/>
  <c r="I5914" i="11"/>
  <c r="H5914" i="11"/>
  <c r="I5916" i="11"/>
  <c r="H5916" i="11"/>
  <c r="I5921" i="11"/>
  <c r="H5921" i="11"/>
  <c r="I5930" i="11"/>
  <c r="H5930" i="11"/>
  <c r="I5932" i="11"/>
  <c r="H5932" i="11"/>
  <c r="I5937" i="11"/>
  <c r="H5937" i="11"/>
  <c r="I5946" i="11"/>
  <c r="H5946" i="11"/>
  <c r="I5948" i="11"/>
  <c r="H5948" i="11"/>
  <c r="I5953" i="11"/>
  <c r="H5953" i="11"/>
  <c r="I5962" i="11"/>
  <c r="H5962" i="11"/>
  <c r="I5964" i="11"/>
  <c r="H5964" i="11"/>
  <c r="I5969" i="11"/>
  <c r="H5969" i="11"/>
  <c r="I5978" i="11"/>
  <c r="H5978" i="11"/>
  <c r="I5980" i="11"/>
  <c r="H5980" i="11"/>
  <c r="I5985" i="11"/>
  <c r="H5985" i="11"/>
  <c r="I5994" i="11"/>
  <c r="H5994" i="11"/>
  <c r="I5996" i="11"/>
  <c r="H5996" i="11"/>
  <c r="I6001" i="11"/>
  <c r="H6001" i="11"/>
  <c r="I6010" i="11"/>
  <c r="H6010" i="11"/>
  <c r="I6012" i="11"/>
  <c r="H6012" i="11"/>
  <c r="I6017" i="11"/>
  <c r="H6017" i="11"/>
  <c r="I6026" i="11"/>
  <c r="H6026" i="11"/>
  <c r="I6028" i="11"/>
  <c r="H6028" i="11"/>
  <c r="I6033" i="11"/>
  <c r="H6033" i="11"/>
  <c r="I6042" i="11"/>
  <c r="H6042" i="11"/>
  <c r="I6044" i="11"/>
  <c r="H6044" i="11"/>
  <c r="I6049" i="11"/>
  <c r="H6049" i="11"/>
  <c r="I6058" i="11"/>
  <c r="H6058" i="11"/>
  <c r="I6060" i="11"/>
  <c r="H6060" i="11"/>
  <c r="I6065" i="11"/>
  <c r="H6065" i="11"/>
  <c r="I6074" i="11"/>
  <c r="H6074" i="11"/>
  <c r="I6076" i="11"/>
  <c r="H6076" i="11"/>
  <c r="I6081" i="11"/>
  <c r="H6081" i="11"/>
  <c r="I6090" i="11"/>
  <c r="H6090" i="11"/>
  <c r="I6092" i="11"/>
  <c r="H6092" i="11"/>
  <c r="I6097" i="11"/>
  <c r="H6097" i="11"/>
  <c r="I6106" i="11"/>
  <c r="H6106" i="11"/>
  <c r="I6108" i="11"/>
  <c r="H6108" i="11"/>
  <c r="I6113" i="11"/>
  <c r="H6113" i="11"/>
  <c r="I6122" i="11"/>
  <c r="H6122" i="11"/>
  <c r="I6124" i="11"/>
  <c r="H6124" i="11"/>
  <c r="I6129" i="11"/>
  <c r="H6129" i="11"/>
  <c r="I6138" i="11"/>
  <c r="H6138" i="11"/>
  <c r="I6140" i="11"/>
  <c r="H6140" i="11"/>
  <c r="I6145" i="11"/>
  <c r="H6145" i="11"/>
  <c r="I6154" i="11"/>
  <c r="H6154" i="11"/>
  <c r="I6156" i="11"/>
  <c r="H6156" i="11"/>
  <c r="I6161" i="11"/>
  <c r="H6161" i="11"/>
  <c r="I6170" i="11"/>
  <c r="H6170" i="11"/>
  <c r="I6172" i="11"/>
  <c r="H6172" i="11"/>
  <c r="I6177" i="11"/>
  <c r="H6177" i="11"/>
  <c r="I6186" i="11"/>
  <c r="H6186" i="11"/>
  <c r="I6188" i="11"/>
  <c r="H6188" i="11"/>
  <c r="I6193" i="11"/>
  <c r="H6193" i="11"/>
  <c r="I6202" i="11"/>
  <c r="H6202" i="11"/>
  <c r="I6204" i="11"/>
  <c r="H6204" i="11"/>
  <c r="I6209" i="11"/>
  <c r="H6209" i="11"/>
  <c r="I6220" i="11"/>
  <c r="H6220" i="11"/>
  <c r="I6225" i="11"/>
  <c r="H6225" i="11"/>
  <c r="I6236" i="11"/>
  <c r="H6236" i="11"/>
  <c r="I6241" i="11"/>
  <c r="H6241" i="11"/>
  <c r="I6252" i="11"/>
  <c r="H6252" i="11"/>
  <c r="I6257" i="11"/>
  <c r="H6257" i="11"/>
  <c r="I6268" i="11"/>
  <c r="H6268" i="11"/>
  <c r="I6273" i="11"/>
  <c r="H6273" i="11"/>
  <c r="I6284" i="11"/>
  <c r="H6284" i="11"/>
  <c r="I6289" i="11"/>
  <c r="H6289" i="11"/>
  <c r="I6300" i="11"/>
  <c r="H6300" i="11"/>
  <c r="I6305" i="11"/>
  <c r="H6305" i="11"/>
  <c r="I6316" i="11"/>
  <c r="H6316" i="11"/>
  <c r="I6321" i="11"/>
  <c r="H6321" i="11"/>
  <c r="I6332" i="11"/>
  <c r="H6332" i="11"/>
  <c r="I6337" i="11"/>
  <c r="H6337" i="11"/>
  <c r="I6348" i="11"/>
  <c r="H6348" i="11"/>
  <c r="I6353" i="11"/>
  <c r="H6353" i="11"/>
  <c r="I6364" i="11"/>
  <c r="H6364" i="11"/>
  <c r="I6369" i="11"/>
  <c r="H6369" i="11"/>
  <c r="I6380" i="11"/>
  <c r="H6380" i="11"/>
  <c r="I6385" i="11"/>
  <c r="H6385" i="11"/>
  <c r="I6396" i="11"/>
  <c r="H6396" i="11"/>
  <c r="I6401" i="11"/>
  <c r="H6401" i="11"/>
  <c r="I6412" i="11"/>
  <c r="H6412" i="11"/>
  <c r="I6417" i="11"/>
  <c r="H6417" i="11"/>
  <c r="I6428" i="11"/>
  <c r="H6428" i="11"/>
  <c r="I6433" i="11"/>
  <c r="H6433" i="11"/>
  <c r="I6444" i="11"/>
  <c r="H6444" i="11"/>
  <c r="I6449" i="11"/>
  <c r="H6449" i="11"/>
  <c r="I6460" i="11"/>
  <c r="H6460" i="11"/>
  <c r="I6465" i="11"/>
  <c r="H6465" i="11"/>
  <c r="I6476" i="11"/>
  <c r="H6476" i="11"/>
  <c r="I6481" i="11"/>
  <c r="H6481" i="11"/>
  <c r="I6492" i="11"/>
  <c r="H6492" i="11"/>
  <c r="I6497" i="11"/>
  <c r="H6497" i="11"/>
  <c r="I6508" i="11"/>
  <c r="H6508" i="11"/>
  <c r="I6513" i="11"/>
  <c r="H6513" i="11"/>
  <c r="I6522" i="11"/>
  <c r="H6522" i="11"/>
  <c r="I6538" i="11"/>
  <c r="H6538" i="11"/>
  <c r="I6554" i="11"/>
  <c r="H6554" i="11"/>
  <c r="I6570" i="11"/>
  <c r="H6570" i="11"/>
  <c r="I6586" i="11"/>
  <c r="H6586" i="11"/>
  <c r="I6602" i="11"/>
  <c r="H6602" i="11"/>
  <c r="I6618" i="11"/>
  <c r="H6618" i="11"/>
  <c r="I6634" i="11"/>
  <c r="H6634" i="11"/>
  <c r="I6650" i="11"/>
  <c r="H6650" i="11"/>
  <c r="I6666" i="11"/>
  <c r="H6666" i="11"/>
  <c r="I6682" i="11"/>
  <c r="H6682" i="11"/>
  <c r="I6698" i="11"/>
  <c r="H6698" i="11"/>
  <c r="I6714" i="11"/>
  <c r="H6714" i="11"/>
  <c r="I6730" i="11"/>
  <c r="H6730" i="11"/>
  <c r="I6746" i="11"/>
  <c r="H6746" i="11"/>
  <c r="I6762" i="11"/>
  <c r="H6762" i="11"/>
  <c r="I6778" i="11"/>
  <c r="H6778" i="11"/>
  <c r="I6794" i="11"/>
  <c r="H6794" i="11"/>
  <c r="I6810" i="11"/>
  <c r="H6810" i="11"/>
  <c r="I6826" i="11"/>
  <c r="H6826" i="11"/>
  <c r="I6842" i="11"/>
  <c r="H6842" i="11"/>
  <c r="I6858" i="11"/>
  <c r="H6858" i="11"/>
  <c r="I6874" i="11"/>
  <c r="H6874" i="11"/>
  <c r="I6890" i="11"/>
  <c r="H6890" i="11"/>
  <c r="I6906" i="11"/>
  <c r="H6906" i="11"/>
  <c r="I6922" i="11"/>
  <c r="H6922" i="11"/>
  <c r="I6938" i="11"/>
  <c r="H6938" i="11"/>
  <c r="I6954" i="11"/>
  <c r="H6954" i="11"/>
  <c r="I6970" i="11"/>
  <c r="H6970" i="11"/>
  <c r="I6986" i="11"/>
  <c r="H6986" i="11"/>
  <c r="I7002" i="11"/>
  <c r="H7002" i="11"/>
  <c r="I7018" i="11"/>
  <c r="H7018" i="11"/>
  <c r="I7034" i="11"/>
  <c r="H7034" i="11"/>
  <c r="I7050" i="11"/>
  <c r="H7050" i="11"/>
  <c r="I7066" i="11"/>
  <c r="H7066" i="11"/>
  <c r="I7082" i="11"/>
  <c r="H7082" i="11"/>
  <c r="I7098" i="11"/>
  <c r="H7098" i="11"/>
  <c r="I7114" i="11"/>
  <c r="H7114" i="11"/>
  <c r="I7130" i="11"/>
  <c r="H7130" i="11"/>
  <c r="I7146" i="11"/>
  <c r="H7146" i="11"/>
  <c r="I7162" i="11"/>
  <c r="H7162" i="11"/>
  <c r="I7178" i="11"/>
  <c r="H7178" i="11"/>
  <c r="I7194" i="11"/>
  <c r="H7194" i="11"/>
  <c r="I7210" i="11"/>
  <c r="H7210" i="11"/>
  <c r="I6521" i="11"/>
  <c r="H6521" i="11"/>
  <c r="I6529" i="11"/>
  <c r="H6529" i="11"/>
  <c r="I6537" i="11"/>
  <c r="H6537" i="11"/>
  <c r="I6545" i="11"/>
  <c r="H6545" i="11"/>
  <c r="I6553" i="11"/>
  <c r="H6553" i="11"/>
  <c r="I6561" i="11"/>
  <c r="H6561" i="11"/>
  <c r="I6569" i="11"/>
  <c r="H6569" i="11"/>
  <c r="I6577" i="11"/>
  <c r="H6577" i="11"/>
  <c r="I6585" i="11"/>
  <c r="H6585" i="11"/>
  <c r="I6593" i="11"/>
  <c r="H6593" i="11"/>
  <c r="I6601" i="11"/>
  <c r="H6601" i="11"/>
  <c r="I6609" i="11"/>
  <c r="H6609" i="11"/>
  <c r="I6617" i="11"/>
  <c r="H6617" i="11"/>
  <c r="I6625" i="11"/>
  <c r="H6625" i="11"/>
  <c r="I6633" i="11"/>
  <c r="H6633" i="11"/>
  <c r="I6641" i="11"/>
  <c r="H6641" i="11"/>
  <c r="I6649" i="11"/>
  <c r="H6649" i="11"/>
  <c r="I6657" i="11"/>
  <c r="H6657" i="11"/>
  <c r="I6665" i="11"/>
  <c r="H6665" i="11"/>
  <c r="I6673" i="11"/>
  <c r="H6673" i="11"/>
  <c r="I6681" i="11"/>
  <c r="H6681" i="11"/>
  <c r="I6689" i="11"/>
  <c r="H6689" i="11"/>
  <c r="I6697" i="11"/>
  <c r="H6697" i="11"/>
  <c r="I6705" i="11"/>
  <c r="H6705" i="11"/>
  <c r="I6713" i="11"/>
  <c r="H6713" i="11"/>
  <c r="I6721" i="11"/>
  <c r="H6721" i="11"/>
  <c r="I6729" i="11"/>
  <c r="H6729" i="11"/>
  <c r="I6737" i="11"/>
  <c r="H6737" i="11"/>
  <c r="I6745" i="11"/>
  <c r="H6745" i="11"/>
  <c r="I6753" i="11"/>
  <c r="H6753" i="11"/>
  <c r="I6761" i="11"/>
  <c r="H6761" i="11"/>
  <c r="I6769" i="11"/>
  <c r="H6769" i="11"/>
  <c r="I6777" i="11"/>
  <c r="H6777" i="11"/>
  <c r="I6785" i="11"/>
  <c r="H6785" i="11"/>
  <c r="I6793" i="11"/>
  <c r="H6793" i="11"/>
  <c r="I6801" i="11"/>
  <c r="H6801" i="11"/>
  <c r="I6809" i="11"/>
  <c r="H6809" i="11"/>
  <c r="I6817" i="11"/>
  <c r="H6817" i="11"/>
  <c r="I6825" i="11"/>
  <c r="H6825" i="11"/>
  <c r="I6833" i="11"/>
  <c r="H6833" i="11"/>
  <c r="I6841" i="11"/>
  <c r="H6841" i="11"/>
  <c r="I6849" i="11"/>
  <c r="H6849" i="11"/>
  <c r="I6857" i="11"/>
  <c r="H6857" i="11"/>
  <c r="I6865" i="11"/>
  <c r="H6865" i="11"/>
  <c r="I6873" i="11"/>
  <c r="H6873" i="11"/>
  <c r="I6881" i="11"/>
  <c r="H6881" i="11"/>
  <c r="I6889" i="11"/>
  <c r="H6889" i="11"/>
  <c r="I6897" i="11"/>
  <c r="H6897" i="11"/>
  <c r="I6905" i="11"/>
  <c r="H6905" i="11"/>
  <c r="I6913" i="11"/>
  <c r="H6913" i="11"/>
  <c r="I6921" i="11"/>
  <c r="H6921" i="11"/>
  <c r="I6929" i="11"/>
  <c r="H6929" i="11"/>
  <c r="I6937" i="11"/>
  <c r="H6937" i="11"/>
  <c r="I6945" i="11"/>
  <c r="H6945" i="11"/>
  <c r="I6953" i="11"/>
  <c r="H6953" i="11"/>
  <c r="I6961" i="11"/>
  <c r="H6961" i="11"/>
  <c r="I6969" i="11"/>
  <c r="H6969" i="11"/>
  <c r="I6977" i="11"/>
  <c r="H6977" i="11"/>
  <c r="I6985" i="11"/>
  <c r="H6985" i="11"/>
  <c r="I6993" i="11"/>
  <c r="H6993" i="11"/>
  <c r="I7001" i="11"/>
  <c r="H7001" i="11"/>
  <c r="I7009" i="11"/>
  <c r="H7009" i="11"/>
  <c r="I7017" i="11"/>
  <c r="H7017" i="11"/>
  <c r="I7025" i="11"/>
  <c r="H7025" i="11"/>
  <c r="I7033" i="11"/>
  <c r="H7033" i="11"/>
  <c r="I7041" i="11"/>
  <c r="H7041" i="11"/>
  <c r="I7049" i="11"/>
  <c r="H7049" i="11"/>
  <c r="I7057" i="11"/>
  <c r="H7057" i="11"/>
  <c r="I7065" i="11"/>
  <c r="H7065" i="11"/>
  <c r="I7073" i="11"/>
  <c r="H7073" i="11"/>
  <c r="I7081" i="11"/>
  <c r="H7081" i="11"/>
  <c r="I7089" i="11"/>
  <c r="H7089" i="11"/>
  <c r="I7097" i="11"/>
  <c r="H7097" i="11"/>
  <c r="I7105" i="11"/>
  <c r="H7105" i="11"/>
  <c r="I7113" i="11"/>
  <c r="H7113" i="11"/>
  <c r="I7121" i="11"/>
  <c r="H7121" i="11"/>
  <c r="I7129" i="11"/>
  <c r="H7129" i="11"/>
  <c r="I7137" i="11"/>
  <c r="H7137" i="11"/>
  <c r="I7145" i="11"/>
  <c r="H7145" i="11"/>
  <c r="I7153" i="11"/>
  <c r="H7153" i="11"/>
  <c r="I7161" i="11"/>
  <c r="H7161" i="11"/>
  <c r="I7169" i="11"/>
  <c r="H7169" i="11"/>
  <c r="I7177" i="11"/>
  <c r="H7177" i="11"/>
  <c r="I7185" i="11"/>
  <c r="H7185" i="11"/>
  <c r="I7193" i="11"/>
  <c r="H7193" i="11"/>
  <c r="I7201" i="11"/>
  <c r="H7201" i="11"/>
  <c r="I7209" i="11"/>
  <c r="H7209" i="11"/>
  <c r="I7221" i="11"/>
  <c r="H7221" i="11"/>
  <c r="I7228" i="11"/>
  <c r="H7228" i="11"/>
  <c r="I7237" i="11"/>
  <c r="H7237" i="11"/>
  <c r="I7244" i="11"/>
  <c r="H7244" i="11"/>
  <c r="I7253" i="11"/>
  <c r="H7253" i="11"/>
  <c r="I7260" i="11"/>
  <c r="H7260" i="11"/>
  <c r="I7269" i="11"/>
  <c r="H7269" i="11"/>
  <c r="I7276" i="11"/>
  <c r="H7276" i="11"/>
  <c r="I7285" i="11"/>
  <c r="H7285" i="11"/>
  <c r="I7292" i="11"/>
  <c r="H7292" i="11"/>
  <c r="I7301" i="11"/>
  <c r="H7301" i="11"/>
  <c r="I7308" i="11"/>
  <c r="H7308" i="11"/>
  <c r="I7317" i="11"/>
  <c r="H7317" i="11"/>
  <c r="I7324" i="11"/>
  <c r="H7324" i="11"/>
  <c r="I7333" i="11"/>
  <c r="H7333" i="11"/>
  <c r="I7340" i="11"/>
  <c r="H7340" i="11"/>
  <c r="I7349" i="11"/>
  <c r="H7349" i="11"/>
  <c r="I7356" i="11"/>
  <c r="H7356" i="11"/>
  <c r="I7373" i="11"/>
  <c r="H7373" i="11"/>
  <c r="I7389" i="11"/>
  <c r="H7389" i="11"/>
  <c r="I7405" i="11"/>
  <c r="H7405" i="11"/>
  <c r="I7421" i="11"/>
  <c r="H7421" i="11"/>
  <c r="I7437" i="11"/>
  <c r="H7437" i="11"/>
  <c r="I7453" i="11"/>
  <c r="H7453" i="11"/>
  <c r="I7469" i="11"/>
  <c r="H7469" i="11"/>
  <c r="I7485" i="11"/>
  <c r="H7485" i="11"/>
  <c r="I7501" i="11"/>
  <c r="H7501" i="11"/>
  <c r="I7517" i="11"/>
  <c r="H7517" i="11"/>
  <c r="I7533" i="11"/>
  <c r="H7533" i="11"/>
  <c r="I7549" i="11"/>
  <c r="H7549" i="11"/>
  <c r="I7565" i="11"/>
  <c r="H7565" i="11"/>
  <c r="I7581" i="11"/>
  <c r="H7581" i="11"/>
  <c r="I7597" i="11"/>
  <c r="H7597" i="11"/>
  <c r="I7613" i="11"/>
  <c r="H7613" i="11"/>
  <c r="I7629" i="11"/>
  <c r="H7629" i="11"/>
  <c r="I9162" i="11"/>
  <c r="H9162" i="11"/>
  <c r="I9167" i="11"/>
  <c r="H9167" i="11"/>
  <c r="I9178" i="11"/>
  <c r="H9178" i="11"/>
  <c r="I9183" i="11"/>
  <c r="H9183" i="11"/>
  <c r="I9194" i="11"/>
  <c r="H9194" i="11"/>
  <c r="I9199" i="11"/>
  <c r="H9199" i="11"/>
  <c r="I9210" i="11"/>
  <c r="H9210" i="11"/>
  <c r="I9215" i="11"/>
  <c r="H9215" i="11"/>
  <c r="I9226" i="11"/>
  <c r="H9226" i="11"/>
  <c r="I9231" i="11"/>
  <c r="H9231" i="11"/>
  <c r="H6218" i="11"/>
  <c r="H6222" i="11"/>
  <c r="H6226" i="11"/>
  <c r="H6230" i="11"/>
  <c r="H6234" i="11"/>
  <c r="H6238" i="11"/>
  <c r="H6242" i="11"/>
  <c r="H6246" i="11"/>
  <c r="H6250" i="11"/>
  <c r="H6254" i="11"/>
  <c r="H6258" i="11"/>
  <c r="H6262" i="11"/>
  <c r="H6266" i="11"/>
  <c r="H6270" i="11"/>
  <c r="H6274" i="11"/>
  <c r="H6278" i="11"/>
  <c r="H6282" i="11"/>
  <c r="H6286" i="11"/>
  <c r="H6290" i="11"/>
  <c r="H6294" i="11"/>
  <c r="H6298" i="11"/>
  <c r="H6302" i="11"/>
  <c r="H6306" i="11"/>
  <c r="H6310" i="11"/>
  <c r="H6314" i="11"/>
  <c r="H6318" i="11"/>
  <c r="H6322" i="11"/>
  <c r="H6326" i="11"/>
  <c r="H6330" i="11"/>
  <c r="H6334" i="11"/>
  <c r="H6338" i="11"/>
  <c r="H6342" i="11"/>
  <c r="H6346" i="11"/>
  <c r="H6350" i="11"/>
  <c r="H6354" i="11"/>
  <c r="H6358" i="11"/>
  <c r="H6362" i="11"/>
  <c r="H6366" i="11"/>
  <c r="H6370" i="11"/>
  <c r="H6374" i="11"/>
  <c r="H6378" i="11"/>
  <c r="H6382" i="11"/>
  <c r="H6386" i="11"/>
  <c r="H6390" i="11"/>
  <c r="H6394" i="11"/>
  <c r="H6398" i="11"/>
  <c r="H6402" i="11"/>
  <c r="H6406" i="11"/>
  <c r="H6410" i="11"/>
  <c r="H6414" i="11"/>
  <c r="H6418" i="11"/>
  <c r="H6422" i="11"/>
  <c r="H6426" i="11"/>
  <c r="H6430" i="11"/>
  <c r="H6434" i="11"/>
  <c r="H6438" i="11"/>
  <c r="H6442" i="11"/>
  <c r="H6446" i="11"/>
  <c r="H6450" i="11"/>
  <c r="H6454" i="11"/>
  <c r="H6458" i="11"/>
  <c r="H6462" i="11"/>
  <c r="H6466" i="11"/>
  <c r="H6470" i="11"/>
  <c r="H6474" i="11"/>
  <c r="H6478" i="11"/>
  <c r="H6482" i="11"/>
  <c r="H6486" i="11"/>
  <c r="H6490" i="11"/>
  <c r="H6494" i="11"/>
  <c r="H6498" i="11"/>
  <c r="H6502" i="11"/>
  <c r="H6506" i="11"/>
  <c r="H6510" i="11"/>
  <c r="H6514" i="11"/>
  <c r="H6518" i="11"/>
  <c r="H6526" i="11"/>
  <c r="H6534" i="11"/>
  <c r="H6542" i="11"/>
  <c r="H6550" i="11"/>
  <c r="H6558" i="11"/>
  <c r="H6566" i="11"/>
  <c r="H6574" i="11"/>
  <c r="H6582" i="11"/>
  <c r="H6590" i="11"/>
  <c r="H6598" i="11"/>
  <c r="H6606" i="11"/>
  <c r="H6614" i="11"/>
  <c r="H6622" i="11"/>
  <c r="H6630" i="11"/>
  <c r="H6638" i="11"/>
  <c r="H6646" i="11"/>
  <c r="H6654" i="11"/>
  <c r="H6662" i="11"/>
  <c r="H6670" i="11"/>
  <c r="H6678" i="11"/>
  <c r="H6686" i="11"/>
  <c r="H6694" i="11"/>
  <c r="H6702" i="11"/>
  <c r="H6710" i="11"/>
  <c r="H6718" i="11"/>
  <c r="H6726" i="11"/>
  <c r="H6734" i="11"/>
  <c r="H6742" i="11"/>
  <c r="H6750" i="11"/>
  <c r="H6758" i="11"/>
  <c r="H6766" i="11"/>
  <c r="H6774" i="11"/>
  <c r="H6782" i="11"/>
  <c r="H6790" i="11"/>
  <c r="H6798" i="11"/>
  <c r="H6806" i="11"/>
  <c r="H6814" i="11"/>
  <c r="H6822" i="11"/>
  <c r="H6830" i="11"/>
  <c r="H6838" i="11"/>
  <c r="H6846" i="11"/>
  <c r="H6854" i="11"/>
  <c r="H6862" i="11"/>
  <c r="H6870" i="11"/>
  <c r="H6878" i="11"/>
  <c r="H6886" i="11"/>
  <c r="H6894" i="11"/>
  <c r="H6902" i="11"/>
  <c r="H6910" i="11"/>
  <c r="H6918" i="11"/>
  <c r="H6926" i="11"/>
  <c r="H6934" i="11"/>
  <c r="H6942" i="11"/>
  <c r="H6950" i="11"/>
  <c r="H6958" i="11"/>
  <c r="H6966" i="11"/>
  <c r="H6974" i="11"/>
  <c r="H6982" i="11"/>
  <c r="H6990" i="11"/>
  <c r="H6998" i="11"/>
  <c r="H7006" i="11"/>
  <c r="H7014" i="11"/>
  <c r="H7022" i="11"/>
  <c r="H7030" i="11"/>
  <c r="H7038" i="11"/>
  <c r="H7046" i="11"/>
  <c r="H7054" i="11"/>
  <c r="H7062" i="11"/>
  <c r="H7070" i="11"/>
  <c r="H7078" i="11"/>
  <c r="H7086" i="11"/>
  <c r="H7094" i="11"/>
  <c r="H7102" i="11"/>
  <c r="H7110" i="11"/>
  <c r="H7118" i="11"/>
  <c r="H7126" i="11"/>
  <c r="H7134" i="11"/>
  <c r="H7142" i="11"/>
  <c r="H7150" i="11"/>
  <c r="H7158" i="11"/>
  <c r="H7166" i="11"/>
  <c r="H7174" i="11"/>
  <c r="H7182" i="11"/>
  <c r="H7190" i="11"/>
  <c r="H7198" i="11"/>
  <c r="H7206" i="11"/>
  <c r="H7214" i="11"/>
  <c r="I7216" i="11"/>
  <c r="H7216" i="11"/>
  <c r="H7230" i="11"/>
  <c r="I7232" i="11"/>
  <c r="H7232" i="11"/>
  <c r="H7246" i="11"/>
  <c r="I7248" i="11"/>
  <c r="H7248" i="11"/>
  <c r="H7262" i="11"/>
  <c r="I7264" i="11"/>
  <c r="H7264" i="11"/>
  <c r="H7278" i="11"/>
  <c r="I7280" i="11"/>
  <c r="H7280" i="11"/>
  <c r="H7294" i="11"/>
  <c r="I7296" i="11"/>
  <c r="H7296" i="11"/>
  <c r="H7310" i="11"/>
  <c r="I7312" i="11"/>
  <c r="H7312" i="11"/>
  <c r="H7326" i="11"/>
  <c r="I7328" i="11"/>
  <c r="H7328" i="11"/>
  <c r="H7342" i="11"/>
  <c r="I7344" i="11"/>
  <c r="H7344" i="11"/>
  <c r="H7358" i="11"/>
  <c r="I7360" i="11"/>
  <c r="H7360" i="11"/>
  <c r="H7366" i="11"/>
  <c r="I7369" i="11"/>
  <c r="H7369" i="11"/>
  <c r="H7382" i="11"/>
  <c r="I7385" i="11"/>
  <c r="H7385" i="11"/>
  <c r="H7398" i="11"/>
  <c r="I7401" i="11"/>
  <c r="H7401" i="11"/>
  <c r="H7414" i="11"/>
  <c r="I7417" i="11"/>
  <c r="H7417" i="11"/>
  <c r="H7430" i="11"/>
  <c r="I7433" i="11"/>
  <c r="H7433" i="11"/>
  <c r="H7446" i="11"/>
  <c r="I7449" i="11"/>
  <c r="H7449" i="11"/>
  <c r="H7462" i="11"/>
  <c r="I7465" i="11"/>
  <c r="H7465" i="11"/>
  <c r="H7478" i="11"/>
  <c r="I7481" i="11"/>
  <c r="H7481" i="11"/>
  <c r="H7494" i="11"/>
  <c r="I7497" i="11"/>
  <c r="H7497" i="11"/>
  <c r="H7510" i="11"/>
  <c r="I7513" i="11"/>
  <c r="H7513" i="11"/>
  <c r="H7526" i="11"/>
  <c r="I7529" i="11"/>
  <c r="H7529" i="11"/>
  <c r="H7542" i="11"/>
  <c r="I7545" i="11"/>
  <c r="H7545" i="11"/>
  <c r="H7558" i="11"/>
  <c r="I7561" i="11"/>
  <c r="H7561" i="11"/>
  <c r="H7574" i="11"/>
  <c r="I7577" i="11"/>
  <c r="H7577" i="11"/>
  <c r="H7590" i="11"/>
  <c r="I7593" i="11"/>
  <c r="H7593" i="11"/>
  <c r="H7606" i="11"/>
  <c r="I7609" i="11"/>
  <c r="H7609" i="11"/>
  <c r="H7622" i="11"/>
  <c r="I7625" i="11"/>
  <c r="H7625" i="11"/>
  <c r="H7638" i="11"/>
  <c r="I7641" i="11"/>
  <c r="H7641" i="11"/>
  <c r="I7643" i="11"/>
  <c r="H7643" i="11"/>
  <c r="I7645" i="11"/>
  <c r="H7645" i="11"/>
  <c r="I7647" i="11"/>
  <c r="H7647" i="11"/>
  <c r="I7649" i="11"/>
  <c r="H7649" i="11"/>
  <c r="I7651" i="11"/>
  <c r="H7651" i="11"/>
  <c r="I7653" i="11"/>
  <c r="H7653" i="11"/>
  <c r="I7655" i="11"/>
  <c r="H7655" i="11"/>
  <c r="I7657" i="11"/>
  <c r="H7657" i="11"/>
  <c r="I7659" i="11"/>
  <c r="H7659" i="11"/>
  <c r="I7661" i="11"/>
  <c r="H7661" i="11"/>
  <c r="I7663" i="11"/>
  <c r="H7663" i="11"/>
  <c r="I7665" i="11"/>
  <c r="H7665" i="11"/>
  <c r="I7667" i="11"/>
  <c r="H7667" i="11"/>
  <c r="I7669" i="11"/>
  <c r="H7669" i="11"/>
  <c r="I7671" i="11"/>
  <c r="H7671" i="11"/>
  <c r="I7673" i="11"/>
  <c r="H7673" i="11"/>
  <c r="I7675" i="11"/>
  <c r="H7675" i="11"/>
  <c r="I7677" i="11"/>
  <c r="H7677" i="11"/>
  <c r="I7679" i="11"/>
  <c r="H7679" i="11"/>
  <c r="I7681" i="11"/>
  <c r="H7681" i="11"/>
  <c r="I7683" i="11"/>
  <c r="H7683" i="11"/>
  <c r="I7685" i="11"/>
  <c r="H7685" i="11"/>
  <c r="I7687" i="11"/>
  <c r="H7687" i="11"/>
  <c r="I7689" i="11"/>
  <c r="H7689" i="11"/>
  <c r="I7691" i="11"/>
  <c r="H7691" i="11"/>
  <c r="I7693" i="11"/>
  <c r="H7693" i="11"/>
  <c r="I7695" i="11"/>
  <c r="H7695" i="11"/>
  <c r="I7697" i="11"/>
  <c r="H7697" i="11"/>
  <c r="I7699" i="11"/>
  <c r="H7699" i="11"/>
  <c r="I7701" i="11"/>
  <c r="H7701" i="11"/>
  <c r="I7703" i="11"/>
  <c r="H7703" i="11"/>
  <c r="I7705" i="11"/>
  <c r="H7705" i="11"/>
  <c r="I7707" i="11"/>
  <c r="H7707" i="11"/>
  <c r="I7709" i="11"/>
  <c r="H7709" i="11"/>
  <c r="I7711" i="11"/>
  <c r="H7711" i="11"/>
  <c r="I7713" i="11"/>
  <c r="H7713" i="11"/>
  <c r="I7715" i="11"/>
  <c r="H7715" i="11"/>
  <c r="I7717" i="11"/>
  <c r="H7717" i="11"/>
  <c r="I7719" i="11"/>
  <c r="H7719" i="11"/>
  <c r="I7721" i="11"/>
  <c r="H7721" i="11"/>
  <c r="I7723" i="11"/>
  <c r="H7723" i="11"/>
  <c r="I7725" i="11"/>
  <c r="H7725" i="11"/>
  <c r="I7727" i="11"/>
  <c r="H7727" i="11"/>
  <c r="I7729" i="11"/>
  <c r="H7729" i="11"/>
  <c r="I7731" i="11"/>
  <c r="H7731" i="11"/>
  <c r="I7733" i="11"/>
  <c r="H7733" i="11"/>
  <c r="I7735" i="11"/>
  <c r="H7735" i="11"/>
  <c r="I7737" i="11"/>
  <c r="H7737" i="11"/>
  <c r="I7739" i="11"/>
  <c r="H7739" i="11"/>
  <c r="I7741" i="11"/>
  <c r="H7741" i="11"/>
  <c r="I7743" i="11"/>
  <c r="H7743" i="11"/>
  <c r="I7745" i="11"/>
  <c r="H7745" i="11"/>
  <c r="I7747" i="11"/>
  <c r="H7747" i="11"/>
  <c r="I7749" i="11"/>
  <c r="H7749" i="11"/>
  <c r="I7751" i="11"/>
  <c r="H7751" i="11"/>
  <c r="I7753" i="11"/>
  <c r="H7753" i="11"/>
  <c r="I7755" i="11"/>
  <c r="H7755" i="11"/>
  <c r="I7757" i="11"/>
  <c r="H7757" i="11"/>
  <c r="I7759" i="11"/>
  <c r="H7759" i="11"/>
  <c r="I7761" i="11"/>
  <c r="H7761" i="11"/>
  <c r="I7763" i="11"/>
  <c r="H7763" i="11"/>
  <c r="I7765" i="11"/>
  <c r="H7765" i="11"/>
  <c r="I7767" i="11"/>
  <c r="H7767" i="11"/>
  <c r="I7769" i="11"/>
  <c r="H7769" i="11"/>
  <c r="I7771" i="11"/>
  <c r="H7771" i="11"/>
  <c r="I7773" i="11"/>
  <c r="H7773" i="11"/>
  <c r="I7775" i="11"/>
  <c r="H7775" i="11"/>
  <c r="I7777" i="11"/>
  <c r="H7777" i="11"/>
  <c r="I7779" i="11"/>
  <c r="H7779" i="11"/>
  <c r="I7781" i="11"/>
  <c r="H7781" i="11"/>
  <c r="I7783" i="11"/>
  <c r="H7783" i="11"/>
  <c r="I7785" i="11"/>
  <c r="H7785" i="11"/>
  <c r="I7787" i="11"/>
  <c r="H7787" i="11"/>
  <c r="I7789" i="11"/>
  <c r="H7789" i="11"/>
  <c r="I7791" i="11"/>
  <c r="H7791" i="11"/>
  <c r="I7793" i="11"/>
  <c r="H7793" i="11"/>
  <c r="I7795" i="11"/>
  <c r="H7795" i="11"/>
  <c r="I7797" i="11"/>
  <c r="H7797" i="11"/>
  <c r="I7799" i="11"/>
  <c r="H7799" i="11"/>
  <c r="I7801" i="11"/>
  <c r="H7801" i="11"/>
  <c r="I7803" i="11"/>
  <c r="H7803" i="11"/>
  <c r="I7805" i="11"/>
  <c r="H7805" i="11"/>
  <c r="I7807" i="11"/>
  <c r="H7807" i="11"/>
  <c r="I7809" i="11"/>
  <c r="H7809" i="11"/>
  <c r="I7811" i="11"/>
  <c r="H7811" i="11"/>
  <c r="I7813" i="11"/>
  <c r="H7813" i="11"/>
  <c r="I7815" i="11"/>
  <c r="H7815" i="11"/>
  <c r="I7817" i="11"/>
  <c r="H7817" i="11"/>
  <c r="I7819" i="11"/>
  <c r="H7819" i="11"/>
  <c r="I7821" i="11"/>
  <c r="H7821" i="11"/>
  <c r="I7823" i="11"/>
  <c r="H7823" i="11"/>
  <c r="I7825" i="11"/>
  <c r="H7825" i="11"/>
  <c r="I7827" i="11"/>
  <c r="H7827" i="11"/>
  <c r="I7829" i="11"/>
  <c r="H7829" i="11"/>
  <c r="I7831" i="11"/>
  <c r="H7831" i="11"/>
  <c r="I7833" i="11"/>
  <c r="H7833" i="11"/>
  <c r="I7835" i="11"/>
  <c r="H7835" i="11"/>
  <c r="I7837" i="11"/>
  <c r="H7837" i="11"/>
  <c r="I7839" i="11"/>
  <c r="H7839" i="11"/>
  <c r="I7841" i="11"/>
  <c r="H7841" i="11"/>
  <c r="I7843" i="11"/>
  <c r="H7843" i="11"/>
  <c r="I7845" i="11"/>
  <c r="H7845" i="11"/>
  <c r="I7847" i="11"/>
  <c r="H7847" i="11"/>
  <c r="I7849" i="11"/>
  <c r="H7849" i="11"/>
  <c r="I7851" i="11"/>
  <c r="H7851" i="11"/>
  <c r="I7853" i="11"/>
  <c r="H7853" i="11"/>
  <c r="I7855" i="11"/>
  <c r="H7855" i="11"/>
  <c r="I7857" i="11"/>
  <c r="H7857" i="11"/>
  <c r="I7859" i="11"/>
  <c r="H7859" i="11"/>
  <c r="I7861" i="11"/>
  <c r="H7861" i="11"/>
  <c r="I7863" i="11"/>
  <c r="H7863" i="11"/>
  <c r="I7865" i="11"/>
  <c r="H7865" i="11"/>
  <c r="I7867" i="11"/>
  <c r="H7867" i="11"/>
  <c r="I7869" i="11"/>
  <c r="H7869" i="11"/>
  <c r="I7871" i="11"/>
  <c r="H7871" i="11"/>
  <c r="I7873" i="11"/>
  <c r="H7873" i="11"/>
  <c r="I7875" i="11"/>
  <c r="H7875" i="11"/>
  <c r="I7877" i="11"/>
  <c r="H7877" i="11"/>
  <c r="I7879" i="11"/>
  <c r="H7879" i="11"/>
  <c r="I7881" i="11"/>
  <c r="H7881" i="11"/>
  <c r="I7883" i="11"/>
  <c r="H7883" i="11"/>
  <c r="I7885" i="11"/>
  <c r="H7885" i="11"/>
  <c r="I7887" i="11"/>
  <c r="H7887" i="11"/>
  <c r="I7889" i="11"/>
  <c r="H7889" i="11"/>
  <c r="I7891" i="11"/>
  <c r="H7891" i="11"/>
  <c r="I7893" i="11"/>
  <c r="H7893" i="11"/>
  <c r="I7895" i="11"/>
  <c r="H7895" i="11"/>
  <c r="I7897" i="11"/>
  <c r="H7897" i="11"/>
  <c r="I7899" i="11"/>
  <c r="H7899" i="11"/>
  <c r="I7901" i="11"/>
  <c r="H7901" i="11"/>
  <c r="I7903" i="11"/>
  <c r="H7903" i="11"/>
  <c r="I7905" i="11"/>
  <c r="H7905" i="11"/>
  <c r="I7907" i="11"/>
  <c r="H7907" i="11"/>
  <c r="I7909" i="11"/>
  <c r="H7909" i="11"/>
  <c r="I7911" i="11"/>
  <c r="H7911" i="11"/>
  <c r="I7913" i="11"/>
  <c r="H7913" i="11"/>
  <c r="I7915" i="11"/>
  <c r="H7915" i="11"/>
  <c r="I7917" i="11"/>
  <c r="H7917" i="11"/>
  <c r="I7919" i="11"/>
  <c r="H7919" i="11"/>
  <c r="I7921" i="11"/>
  <c r="H7921" i="11"/>
  <c r="I7923" i="11"/>
  <c r="H7923" i="11"/>
  <c r="I7925" i="11"/>
  <c r="H7925" i="11"/>
  <c r="I7927" i="11"/>
  <c r="H7927" i="11"/>
  <c r="I7929" i="11"/>
  <c r="H7929" i="11"/>
  <c r="I7931" i="11"/>
  <c r="H7931" i="11"/>
  <c r="I7933" i="11"/>
  <c r="H7933" i="11"/>
  <c r="I7935" i="11"/>
  <c r="H7935" i="11"/>
  <c r="I7937" i="11"/>
  <c r="H7937" i="11"/>
  <c r="I7939" i="11"/>
  <c r="H7939" i="11"/>
  <c r="I7941" i="11"/>
  <c r="H7941" i="11"/>
  <c r="I7943" i="11"/>
  <c r="H7943" i="11"/>
  <c r="I7945" i="11"/>
  <c r="H7945" i="11"/>
  <c r="I7947" i="11"/>
  <c r="H7947" i="11"/>
  <c r="I7949" i="11"/>
  <c r="H7949" i="11"/>
  <c r="I7951" i="11"/>
  <c r="H7951" i="11"/>
  <c r="I7953" i="11"/>
  <c r="H7953" i="11"/>
  <c r="I7955" i="11"/>
  <c r="H7955" i="11"/>
  <c r="I7957" i="11"/>
  <c r="H7957" i="11"/>
  <c r="I7959" i="11"/>
  <c r="H7959" i="11"/>
  <c r="I7961" i="11"/>
  <c r="H7961" i="11"/>
  <c r="I7963" i="11"/>
  <c r="H7963" i="11"/>
  <c r="I7965" i="11"/>
  <c r="H7965" i="11"/>
  <c r="I7967" i="11"/>
  <c r="H7967" i="11"/>
  <c r="I7969" i="11"/>
  <c r="H7969" i="11"/>
  <c r="I7971" i="11"/>
  <c r="H7971" i="11"/>
  <c r="I7973" i="11"/>
  <c r="H7973" i="11"/>
  <c r="I7975" i="11"/>
  <c r="H7975" i="11"/>
  <c r="I7977" i="11"/>
  <c r="H7977" i="11"/>
  <c r="I7979" i="11"/>
  <c r="H7979" i="11"/>
  <c r="I7981" i="11"/>
  <c r="H7981" i="11"/>
  <c r="I7983" i="11"/>
  <c r="H7983" i="11"/>
  <c r="I7985" i="11"/>
  <c r="H7985" i="11"/>
  <c r="I7987" i="11"/>
  <c r="H7987" i="11"/>
  <c r="I7989" i="11"/>
  <c r="H7989" i="11"/>
  <c r="I7991" i="11"/>
  <c r="H7991" i="11"/>
  <c r="I7993" i="11"/>
  <c r="H7993" i="11"/>
  <c r="I7995" i="11"/>
  <c r="H7995" i="11"/>
  <c r="I7997" i="11"/>
  <c r="H7997" i="11"/>
  <c r="I7999" i="11"/>
  <c r="H7999" i="11"/>
  <c r="I8001" i="11"/>
  <c r="H8001" i="11"/>
  <c r="I8003" i="11"/>
  <c r="H8003" i="11"/>
  <c r="I8005" i="11"/>
  <c r="H8005" i="11"/>
  <c r="I8007" i="11"/>
  <c r="H8007" i="11"/>
  <c r="I8009" i="11"/>
  <c r="H8009" i="11"/>
  <c r="I8011" i="11"/>
  <c r="H8011" i="11"/>
  <c r="I8013" i="11"/>
  <c r="H8013" i="11"/>
  <c r="I8015" i="11"/>
  <c r="H8015" i="11"/>
  <c r="I8017" i="11"/>
  <c r="H8017" i="11"/>
  <c r="I8019" i="11"/>
  <c r="H8019" i="11"/>
  <c r="I8021" i="11"/>
  <c r="H8021" i="11"/>
  <c r="I8023" i="11"/>
  <c r="H8023" i="11"/>
  <c r="I8025" i="11"/>
  <c r="H8025" i="11"/>
  <c r="I8027" i="11"/>
  <c r="H8027" i="11"/>
  <c r="I8029" i="11"/>
  <c r="H8029" i="11"/>
  <c r="I8031" i="11"/>
  <c r="H8031" i="11"/>
  <c r="I8033" i="11"/>
  <c r="H8033" i="11"/>
  <c r="I8035" i="11"/>
  <c r="H8035" i="11"/>
  <c r="I8037" i="11"/>
  <c r="H8037" i="11"/>
  <c r="I8039" i="11"/>
  <c r="H8039" i="11"/>
  <c r="I8041" i="11"/>
  <c r="H8041" i="11"/>
  <c r="I8043" i="11"/>
  <c r="H8043" i="11"/>
  <c r="I8045" i="11"/>
  <c r="H8045" i="11"/>
  <c r="I8047" i="11"/>
  <c r="H8047" i="11"/>
  <c r="I8049" i="11"/>
  <c r="H8049" i="11"/>
  <c r="I8051" i="11"/>
  <c r="H8051" i="11"/>
  <c r="I8053" i="11"/>
  <c r="H8053" i="11"/>
  <c r="I8055" i="11"/>
  <c r="H8055" i="11"/>
  <c r="I8057" i="11"/>
  <c r="H8057" i="11"/>
  <c r="I8059" i="11"/>
  <c r="H8059" i="11"/>
  <c r="I8061" i="11"/>
  <c r="H8061" i="11"/>
  <c r="I8063" i="11"/>
  <c r="H8063" i="11"/>
  <c r="I8065" i="11"/>
  <c r="H8065" i="11"/>
  <c r="I8067" i="11"/>
  <c r="H8067" i="11"/>
  <c r="I8069" i="11"/>
  <c r="H8069" i="11"/>
  <c r="I8071" i="11"/>
  <c r="H8071" i="11"/>
  <c r="I8073" i="11"/>
  <c r="H8073" i="11"/>
  <c r="I8075" i="11"/>
  <c r="H8075" i="11"/>
  <c r="I8077" i="11"/>
  <c r="H8077" i="11"/>
  <c r="I8079" i="11"/>
  <c r="H8079" i="11"/>
  <c r="I8081" i="11"/>
  <c r="H8081" i="11"/>
  <c r="I8083" i="11"/>
  <c r="H8083" i="11"/>
  <c r="I8085" i="11"/>
  <c r="H8085" i="11"/>
  <c r="I8087" i="11"/>
  <c r="H8087" i="11"/>
  <c r="I8089" i="11"/>
  <c r="H8089" i="11"/>
  <c r="I8091" i="11"/>
  <c r="H8091" i="11"/>
  <c r="I8093" i="11"/>
  <c r="H8093" i="11"/>
  <c r="I8095" i="11"/>
  <c r="H8095" i="11"/>
  <c r="I8097" i="11"/>
  <c r="H8097" i="11"/>
  <c r="I8099" i="11"/>
  <c r="H8099" i="11"/>
  <c r="I8101" i="11"/>
  <c r="H8101" i="11"/>
  <c r="I8103" i="11"/>
  <c r="H8103" i="11"/>
  <c r="I8105" i="11"/>
  <c r="H8105" i="11"/>
  <c r="I8107" i="11"/>
  <c r="H8107" i="11"/>
  <c r="I8109" i="11"/>
  <c r="H8109" i="11"/>
  <c r="I8111" i="11"/>
  <c r="H8111" i="11"/>
  <c r="I8113" i="11"/>
  <c r="H8113" i="11"/>
  <c r="I8115" i="11"/>
  <c r="H8115" i="11"/>
  <c r="I8117" i="11"/>
  <c r="H8117" i="11"/>
  <c r="I8119" i="11"/>
  <c r="H8119" i="11"/>
  <c r="I8121" i="11"/>
  <c r="H8121" i="11"/>
  <c r="I8123" i="11"/>
  <c r="H8123" i="11"/>
  <c r="I8125" i="11"/>
  <c r="H8125" i="11"/>
  <c r="I8127" i="11"/>
  <c r="H8127" i="11"/>
  <c r="I8129" i="11"/>
  <c r="H8129" i="11"/>
  <c r="I8131" i="11"/>
  <c r="H8131" i="11"/>
  <c r="I8133" i="11"/>
  <c r="H8133" i="11"/>
  <c r="I8135" i="11"/>
  <c r="H8135" i="11"/>
  <c r="I8137" i="11"/>
  <c r="H8137" i="11"/>
  <c r="I8139" i="11"/>
  <c r="H8139" i="11"/>
  <c r="I8141" i="11"/>
  <c r="H8141" i="11"/>
  <c r="I8143" i="11"/>
  <c r="H8143" i="11"/>
  <c r="I8145" i="11"/>
  <c r="H8145" i="11"/>
  <c r="I8147" i="11"/>
  <c r="H8147" i="11"/>
  <c r="I8149" i="11"/>
  <c r="H8149" i="11"/>
  <c r="I8151" i="11"/>
  <c r="H8151" i="11"/>
  <c r="I8153" i="11"/>
  <c r="H8153" i="11"/>
  <c r="I8155" i="11"/>
  <c r="H8155" i="11"/>
  <c r="I8157" i="11"/>
  <c r="H8157" i="11"/>
  <c r="I8159" i="11"/>
  <c r="H8159" i="11"/>
  <c r="I8161" i="11"/>
  <c r="H8161" i="11"/>
  <c r="I8163" i="11"/>
  <c r="H8163" i="11"/>
  <c r="I8165" i="11"/>
  <c r="H8165" i="11"/>
  <c r="I8167" i="11"/>
  <c r="H8167" i="11"/>
  <c r="I8169" i="11"/>
  <c r="H8169" i="11"/>
  <c r="I8171" i="11"/>
  <c r="H8171" i="11"/>
  <c r="I8173" i="11"/>
  <c r="H8173" i="11"/>
  <c r="I8175" i="11"/>
  <c r="H8175" i="11"/>
  <c r="I8177" i="11"/>
  <c r="H8177" i="11"/>
  <c r="I8179" i="11"/>
  <c r="H8179" i="11"/>
  <c r="I8181" i="11"/>
  <c r="H8181" i="11"/>
  <c r="I8183" i="11"/>
  <c r="H8183" i="11"/>
  <c r="I8185" i="11"/>
  <c r="H8185" i="11"/>
  <c r="I8187" i="11"/>
  <c r="H8187" i="11"/>
  <c r="I8189" i="11"/>
  <c r="H8189" i="11"/>
  <c r="I8191" i="11"/>
  <c r="H8191" i="11"/>
  <c r="I8193" i="11"/>
  <c r="H8193" i="11"/>
  <c r="I8195" i="11"/>
  <c r="H8195" i="11"/>
  <c r="I8197" i="11"/>
  <c r="H8197" i="11"/>
  <c r="I8199" i="11"/>
  <c r="H8199" i="11"/>
  <c r="I8201" i="11"/>
  <c r="H8201" i="11"/>
  <c r="I8203" i="11"/>
  <c r="H8203" i="11"/>
  <c r="I8205" i="11"/>
  <c r="H8205" i="11"/>
  <c r="I8207" i="11"/>
  <c r="H8207" i="11"/>
  <c r="I8209" i="11"/>
  <c r="H8209" i="11"/>
  <c r="I8211" i="11"/>
  <c r="H8211" i="11"/>
  <c r="I8213" i="11"/>
  <c r="H8213" i="11"/>
  <c r="I8215" i="11"/>
  <c r="H8215" i="11"/>
  <c r="I8217" i="11"/>
  <c r="H8217" i="11"/>
  <c r="I8219" i="11"/>
  <c r="H8219" i="11"/>
  <c r="I8221" i="11"/>
  <c r="H8221" i="11"/>
  <c r="I8223" i="11"/>
  <c r="H8223" i="11"/>
  <c r="I8225" i="11"/>
  <c r="H8225" i="11"/>
  <c r="I8227" i="11"/>
  <c r="H8227" i="11"/>
  <c r="I8229" i="11"/>
  <c r="H8229" i="11"/>
  <c r="I8231" i="11"/>
  <c r="H8231" i="11"/>
  <c r="I8233" i="11"/>
  <c r="H8233" i="11"/>
  <c r="I8235" i="11"/>
  <c r="H8235" i="11"/>
  <c r="I8237" i="11"/>
  <c r="H8237" i="11"/>
  <c r="I8239" i="11"/>
  <c r="H8239" i="11"/>
  <c r="I8241" i="11"/>
  <c r="H8241" i="11"/>
  <c r="I8243" i="11"/>
  <c r="H8243" i="11"/>
  <c r="I8245" i="11"/>
  <c r="H8245" i="11"/>
  <c r="I8247" i="11"/>
  <c r="H8247" i="11"/>
  <c r="I8249" i="11"/>
  <c r="H8249" i="11"/>
  <c r="I8251" i="11"/>
  <c r="H8251" i="11"/>
  <c r="I8253" i="11"/>
  <c r="H8253" i="11"/>
  <c r="I8255" i="11"/>
  <c r="H8255" i="11"/>
  <c r="I8257" i="11"/>
  <c r="H8257" i="11"/>
  <c r="I8259" i="11"/>
  <c r="H8259" i="11"/>
  <c r="I8261" i="11"/>
  <c r="H8261" i="11"/>
  <c r="I8263" i="11"/>
  <c r="H8263" i="11"/>
  <c r="I8265" i="11"/>
  <c r="H8265" i="11"/>
  <c r="I8267" i="11"/>
  <c r="H8267" i="11"/>
  <c r="I8269" i="11"/>
  <c r="H8269" i="11"/>
  <c r="I8271" i="11"/>
  <c r="H8271" i="11"/>
  <c r="I8273" i="11"/>
  <c r="H8273" i="11"/>
  <c r="I8275" i="11"/>
  <c r="H8275" i="11"/>
  <c r="I8277" i="11"/>
  <c r="H8277" i="11"/>
  <c r="I8279" i="11"/>
  <c r="H8279" i="11"/>
  <c r="I8281" i="11"/>
  <c r="H8281" i="11"/>
  <c r="I8283" i="11"/>
  <c r="H8283" i="11"/>
  <c r="I8285" i="11"/>
  <c r="H8285" i="11"/>
  <c r="I8287" i="11"/>
  <c r="H8287" i="11"/>
  <c r="I8289" i="11"/>
  <c r="H8289" i="11"/>
  <c r="I8291" i="11"/>
  <c r="H8291" i="11"/>
  <c r="I8293" i="11"/>
  <c r="H8293" i="11"/>
  <c r="I8295" i="11"/>
  <c r="H8295" i="11"/>
  <c r="I8297" i="11"/>
  <c r="H8297" i="11"/>
  <c r="I8299" i="11"/>
  <c r="H8299" i="11"/>
  <c r="I8301" i="11"/>
  <c r="H8301" i="11"/>
  <c r="I8303" i="11"/>
  <c r="H8303" i="11"/>
  <c r="I8305" i="11"/>
  <c r="H8305" i="11"/>
  <c r="I8307" i="11"/>
  <c r="H8307" i="11"/>
  <c r="I8309" i="11"/>
  <c r="H8309" i="11"/>
  <c r="I8311" i="11"/>
  <c r="H8311" i="11"/>
  <c r="I8313" i="11"/>
  <c r="H8313" i="11"/>
  <c r="I8315" i="11"/>
  <c r="H8315" i="11"/>
  <c r="I8317" i="11"/>
  <c r="H8317" i="11"/>
  <c r="I8319" i="11"/>
  <c r="H8319" i="11"/>
  <c r="I8321" i="11"/>
  <c r="H8321" i="11"/>
  <c r="I8323" i="11"/>
  <c r="H8323" i="11"/>
  <c r="I8325" i="11"/>
  <c r="H8325" i="11"/>
  <c r="I8327" i="11"/>
  <c r="H8327" i="11"/>
  <c r="I8329" i="11"/>
  <c r="H8329" i="11"/>
  <c r="I8331" i="11"/>
  <c r="H8331" i="11"/>
  <c r="I8333" i="11"/>
  <c r="H8333" i="11"/>
  <c r="I8335" i="11"/>
  <c r="H8335" i="11"/>
  <c r="I8337" i="11"/>
  <c r="H8337" i="11"/>
  <c r="I8339" i="11"/>
  <c r="H8339" i="11"/>
  <c r="I8341" i="11"/>
  <c r="H8341" i="11"/>
  <c r="I8343" i="11"/>
  <c r="H8343" i="11"/>
  <c r="I8345" i="11"/>
  <c r="H8345" i="11"/>
  <c r="I8347" i="11"/>
  <c r="H8347" i="11"/>
  <c r="I8349" i="11"/>
  <c r="H8349" i="11"/>
  <c r="I8351" i="11"/>
  <c r="H8351" i="11"/>
  <c r="I8353" i="11"/>
  <c r="H8353" i="11"/>
  <c r="I8355" i="11"/>
  <c r="H8355" i="11"/>
  <c r="I8357" i="11"/>
  <c r="H8357" i="11"/>
  <c r="I8359" i="11"/>
  <c r="H8359" i="11"/>
  <c r="I8361" i="11"/>
  <c r="H8361" i="11"/>
  <c r="I8363" i="11"/>
  <c r="H8363" i="11"/>
  <c r="I8365" i="11"/>
  <c r="H8365" i="11"/>
  <c r="I8367" i="11"/>
  <c r="H8367" i="11"/>
  <c r="I8369" i="11"/>
  <c r="H8369" i="11"/>
  <c r="I8371" i="11"/>
  <c r="H8371" i="11"/>
  <c r="I8373" i="11"/>
  <c r="H8373" i="11"/>
  <c r="I8375" i="11"/>
  <c r="H8375" i="11"/>
  <c r="I8377" i="11"/>
  <c r="H8377" i="11"/>
  <c r="I8379" i="11"/>
  <c r="H8379" i="11"/>
  <c r="I8381" i="11"/>
  <c r="H8381" i="11"/>
  <c r="I8383" i="11"/>
  <c r="H8383" i="11"/>
  <c r="I8385" i="11"/>
  <c r="H8385" i="11"/>
  <c r="I8387" i="11"/>
  <c r="H8387" i="11"/>
  <c r="I8389" i="11"/>
  <c r="H8389" i="11"/>
  <c r="I8391" i="11"/>
  <c r="H8391" i="11"/>
  <c r="I8393" i="11"/>
  <c r="H8393" i="11"/>
  <c r="I8395" i="11"/>
  <c r="H8395" i="11"/>
  <c r="I8397" i="11"/>
  <c r="H8397" i="11"/>
  <c r="I8399" i="11"/>
  <c r="H8399" i="11"/>
  <c r="I8401" i="11"/>
  <c r="H8401" i="11"/>
  <c r="I8403" i="11"/>
  <c r="H8403" i="11"/>
  <c r="I8405" i="11"/>
  <c r="H8405" i="11"/>
  <c r="I8407" i="11"/>
  <c r="H8407" i="11"/>
  <c r="I8409" i="11"/>
  <c r="H8409" i="11"/>
  <c r="I8411" i="11"/>
  <c r="H8411" i="11"/>
  <c r="I8413" i="11"/>
  <c r="H8413" i="11"/>
  <c r="I8415" i="11"/>
  <c r="H8415" i="11"/>
  <c r="I8417" i="11"/>
  <c r="H8417" i="11"/>
  <c r="I8419" i="11"/>
  <c r="H8419" i="11"/>
  <c r="I8421" i="11"/>
  <c r="H8421" i="11"/>
  <c r="I8423" i="11"/>
  <c r="H8423" i="11"/>
  <c r="I8425" i="11"/>
  <c r="H8425" i="11"/>
  <c r="I8427" i="11"/>
  <c r="H8427" i="11"/>
  <c r="I8429" i="11"/>
  <c r="H8429" i="11"/>
  <c r="I8431" i="11"/>
  <c r="H8431" i="11"/>
  <c r="I8433" i="11"/>
  <c r="H8433" i="11"/>
  <c r="I8435" i="11"/>
  <c r="H8435" i="11"/>
  <c r="I8437" i="11"/>
  <c r="H8437" i="11"/>
  <c r="I8439" i="11"/>
  <c r="H8439" i="11"/>
  <c r="I8441" i="11"/>
  <c r="H8441" i="11"/>
  <c r="I8443" i="11"/>
  <c r="H8443" i="11"/>
  <c r="I8445" i="11"/>
  <c r="H8445" i="11"/>
  <c r="I8447" i="11"/>
  <c r="H8447" i="11"/>
  <c r="I8449" i="11"/>
  <c r="H8449" i="11"/>
  <c r="I8451" i="11"/>
  <c r="H8451" i="11"/>
  <c r="I8453" i="11"/>
  <c r="H8453" i="11"/>
  <c r="I8455" i="11"/>
  <c r="H8455" i="11"/>
  <c r="I8457" i="11"/>
  <c r="H8457" i="11"/>
  <c r="I8459" i="11"/>
  <c r="H8459" i="11"/>
  <c r="I8461" i="11"/>
  <c r="H8461" i="11"/>
  <c r="I8463" i="11"/>
  <c r="H8463" i="11"/>
  <c r="I8465" i="11"/>
  <c r="H8465" i="11"/>
  <c r="I8467" i="11"/>
  <c r="H8467" i="11"/>
  <c r="I8469" i="11"/>
  <c r="H8469" i="11"/>
  <c r="I8471" i="11"/>
  <c r="H8471" i="11"/>
  <c r="I8473" i="11"/>
  <c r="H8473" i="11"/>
  <c r="I8475" i="11"/>
  <c r="H8475" i="11"/>
  <c r="I8477" i="11"/>
  <c r="H8477" i="11"/>
  <c r="I8479" i="11"/>
  <c r="H8479" i="11"/>
  <c r="I8481" i="11"/>
  <c r="H8481" i="11"/>
  <c r="I8483" i="11"/>
  <c r="H8483" i="11"/>
  <c r="I8485" i="11"/>
  <c r="H8485" i="11"/>
  <c r="I8487" i="11"/>
  <c r="H8487" i="11"/>
  <c r="I8489" i="11"/>
  <c r="H8489" i="11"/>
  <c r="I8491" i="11"/>
  <c r="H8491" i="11"/>
  <c r="I8493" i="11"/>
  <c r="H8493" i="11"/>
  <c r="I8495" i="11"/>
  <c r="H8495" i="11"/>
  <c r="I8497" i="11"/>
  <c r="H8497" i="11"/>
  <c r="I8499" i="11"/>
  <c r="H8499" i="11"/>
  <c r="I8501" i="11"/>
  <c r="H8501" i="11"/>
  <c r="I8503" i="11"/>
  <c r="H8503" i="11"/>
  <c r="I8505" i="11"/>
  <c r="H8505" i="11"/>
  <c r="I8507" i="11"/>
  <c r="H8507" i="11"/>
  <c r="I8509" i="11"/>
  <c r="H8509" i="11"/>
  <c r="I8511" i="11"/>
  <c r="H8511" i="11"/>
  <c r="I8513" i="11"/>
  <c r="H8513" i="11"/>
  <c r="I8515" i="11"/>
  <c r="H8515" i="11"/>
  <c r="I8517" i="11"/>
  <c r="H8517" i="11"/>
  <c r="I8519" i="11"/>
  <c r="H8519" i="11"/>
  <c r="I8521" i="11"/>
  <c r="H8521" i="11"/>
  <c r="I8523" i="11"/>
  <c r="H8523" i="11"/>
  <c r="I8525" i="11"/>
  <c r="H8525" i="11"/>
  <c r="I8527" i="11"/>
  <c r="H8527" i="11"/>
  <c r="I8529" i="11"/>
  <c r="H8529" i="11"/>
  <c r="I8531" i="11"/>
  <c r="H8531" i="11"/>
  <c r="I8533" i="11"/>
  <c r="H8533" i="11"/>
  <c r="I8535" i="11"/>
  <c r="H8535" i="11"/>
  <c r="I8537" i="11"/>
  <c r="H8537" i="11"/>
  <c r="I8539" i="11"/>
  <c r="H8539" i="11"/>
  <c r="I8541" i="11"/>
  <c r="H8541" i="11"/>
  <c r="I8543" i="11"/>
  <c r="H8543" i="11"/>
  <c r="I8545" i="11"/>
  <c r="H8545" i="11"/>
  <c r="I8547" i="11"/>
  <c r="H8547" i="11"/>
  <c r="I8549" i="11"/>
  <c r="H8549" i="11"/>
  <c r="I8551" i="11"/>
  <c r="H8551" i="11"/>
  <c r="I8553" i="11"/>
  <c r="H8553" i="11"/>
  <c r="I8555" i="11"/>
  <c r="H8555" i="11"/>
  <c r="I8557" i="11"/>
  <c r="H8557" i="11"/>
  <c r="I8559" i="11"/>
  <c r="H8559" i="11"/>
  <c r="I8561" i="11"/>
  <c r="H8561" i="11"/>
  <c r="I8563" i="11"/>
  <c r="H8563" i="11"/>
  <c r="I8565" i="11"/>
  <c r="H8565" i="11"/>
  <c r="I8567" i="11"/>
  <c r="H8567" i="11"/>
  <c r="I8569" i="11"/>
  <c r="H8569" i="11"/>
  <c r="I8571" i="11"/>
  <c r="H8571" i="11"/>
  <c r="I8573" i="11"/>
  <c r="H8573" i="11"/>
  <c r="I8575" i="11"/>
  <c r="H8575" i="11"/>
  <c r="I8577" i="11"/>
  <c r="H8577" i="11"/>
  <c r="I8579" i="11"/>
  <c r="H8579" i="11"/>
  <c r="I8581" i="11"/>
  <c r="H8581" i="11"/>
  <c r="I8583" i="11"/>
  <c r="H8583" i="11"/>
  <c r="I8585" i="11"/>
  <c r="H8585" i="11"/>
  <c r="I8587" i="11"/>
  <c r="H8587" i="11"/>
  <c r="I8589" i="11"/>
  <c r="H8589" i="11"/>
  <c r="I8591" i="11"/>
  <c r="H8591" i="11"/>
  <c r="I8593" i="11"/>
  <c r="H8593" i="11"/>
  <c r="I8595" i="11"/>
  <c r="H8595" i="11"/>
  <c r="I8597" i="11"/>
  <c r="H8597" i="11"/>
  <c r="I8599" i="11"/>
  <c r="H8599" i="11"/>
  <c r="I8601" i="11"/>
  <c r="H8601" i="11"/>
  <c r="I8603" i="11"/>
  <c r="H8603" i="11"/>
  <c r="I8605" i="11"/>
  <c r="H8605" i="11"/>
  <c r="I8607" i="11"/>
  <c r="H8607" i="11"/>
  <c r="I8609" i="11"/>
  <c r="H8609" i="11"/>
  <c r="I8611" i="11"/>
  <c r="H8611" i="11"/>
  <c r="I8613" i="11"/>
  <c r="H8613" i="11"/>
  <c r="I8615" i="11"/>
  <c r="H8615" i="11"/>
  <c r="I8617" i="11"/>
  <c r="H8617" i="11"/>
  <c r="I8619" i="11"/>
  <c r="H8619" i="11"/>
  <c r="I8621" i="11"/>
  <c r="H8621" i="11"/>
  <c r="I8623" i="11"/>
  <c r="H8623" i="11"/>
  <c r="I8625" i="11"/>
  <c r="H8625" i="11"/>
  <c r="I8627" i="11"/>
  <c r="H8627" i="11"/>
  <c r="I8629" i="11"/>
  <c r="H8629" i="11"/>
  <c r="I8631" i="11"/>
  <c r="H8631" i="11"/>
  <c r="I8633" i="11"/>
  <c r="H8633" i="11"/>
  <c r="I8635" i="11"/>
  <c r="H8635" i="11"/>
  <c r="I8637" i="11"/>
  <c r="H8637" i="11"/>
  <c r="I8639" i="11"/>
  <c r="H8639" i="11"/>
  <c r="I8641" i="11"/>
  <c r="H8641" i="11"/>
  <c r="I8643" i="11"/>
  <c r="H8643" i="11"/>
  <c r="I8645" i="11"/>
  <c r="H8645" i="11"/>
  <c r="I8647" i="11"/>
  <c r="H8647" i="11"/>
  <c r="I8649" i="11"/>
  <c r="H8649" i="11"/>
  <c r="I8651" i="11"/>
  <c r="H8651" i="11"/>
  <c r="I8653" i="11"/>
  <c r="H8653" i="11"/>
  <c r="I8655" i="11"/>
  <c r="H8655" i="11"/>
  <c r="I8657" i="11"/>
  <c r="H8657" i="11"/>
  <c r="I8659" i="11"/>
  <c r="H8659" i="11"/>
  <c r="I8661" i="11"/>
  <c r="H8661" i="11"/>
  <c r="I8663" i="11"/>
  <c r="H8663" i="11"/>
  <c r="I8665" i="11"/>
  <c r="H8665" i="11"/>
  <c r="I8667" i="11"/>
  <c r="H8667" i="11"/>
  <c r="I8669" i="11"/>
  <c r="H8669" i="11"/>
  <c r="I8671" i="11"/>
  <c r="H8671" i="11"/>
  <c r="I8673" i="11"/>
  <c r="H8673" i="11"/>
  <c r="I8675" i="11"/>
  <c r="H8675" i="11"/>
  <c r="I8677" i="11"/>
  <c r="H8677" i="11"/>
  <c r="I8679" i="11"/>
  <c r="H8679" i="11"/>
  <c r="I8681" i="11"/>
  <c r="H8681" i="11"/>
  <c r="I8683" i="11"/>
  <c r="H8683" i="11"/>
  <c r="I8685" i="11"/>
  <c r="H8685" i="11"/>
  <c r="I8687" i="11"/>
  <c r="H8687" i="11"/>
  <c r="I8689" i="11"/>
  <c r="H8689" i="11"/>
  <c r="I8691" i="11"/>
  <c r="H8691" i="11"/>
  <c r="I8693" i="11"/>
  <c r="H8693" i="11"/>
  <c r="I8695" i="11"/>
  <c r="H8695" i="11"/>
  <c r="I8697" i="11"/>
  <c r="H8697" i="11"/>
  <c r="I8699" i="11"/>
  <c r="H8699" i="11"/>
  <c r="I8701" i="11"/>
  <c r="H8701" i="11"/>
  <c r="I8703" i="11"/>
  <c r="H8703" i="11"/>
  <c r="I8705" i="11"/>
  <c r="H8705" i="11"/>
  <c r="I8707" i="11"/>
  <c r="H8707" i="11"/>
  <c r="I8709" i="11"/>
  <c r="H8709" i="11"/>
  <c r="I8711" i="11"/>
  <c r="H8711" i="11"/>
  <c r="I8713" i="11"/>
  <c r="H8713" i="11"/>
  <c r="I8715" i="11"/>
  <c r="H8715" i="11"/>
  <c r="I8717" i="11"/>
  <c r="H8717" i="11"/>
  <c r="I8719" i="11"/>
  <c r="H8719" i="11"/>
  <c r="I8721" i="11"/>
  <c r="H8721" i="11"/>
  <c r="I8723" i="11"/>
  <c r="H8723" i="11"/>
  <c r="I8725" i="11"/>
  <c r="H8725" i="11"/>
  <c r="I8727" i="11"/>
  <c r="H8727" i="11"/>
  <c r="I8729" i="11"/>
  <c r="H8729" i="11"/>
  <c r="I8731" i="11"/>
  <c r="H8731" i="11"/>
  <c r="I8733" i="11"/>
  <c r="H8733" i="11"/>
  <c r="I8735" i="11"/>
  <c r="H8735" i="11"/>
  <c r="I8737" i="11"/>
  <c r="H8737" i="11"/>
  <c r="I8739" i="11"/>
  <c r="H8739" i="11"/>
  <c r="I8741" i="11"/>
  <c r="H8741" i="11"/>
  <c r="I8743" i="11"/>
  <c r="H8743" i="11"/>
  <c r="I8745" i="11"/>
  <c r="H8745" i="11"/>
  <c r="I8747" i="11"/>
  <c r="H8747" i="11"/>
  <c r="I8749" i="11"/>
  <c r="H8749" i="11"/>
  <c r="I8751" i="11"/>
  <c r="H8751" i="11"/>
  <c r="I8753" i="11"/>
  <c r="H8753" i="11"/>
  <c r="I8755" i="11"/>
  <c r="H8755" i="11"/>
  <c r="H6520" i="11"/>
  <c r="H6523" i="11"/>
  <c r="H6528" i="11"/>
  <c r="H6531" i="11"/>
  <c r="H6536" i="11"/>
  <c r="H6539" i="11"/>
  <c r="H6544" i="11"/>
  <c r="H6547" i="11"/>
  <c r="H6552" i="11"/>
  <c r="H6555" i="11"/>
  <c r="H6560" i="11"/>
  <c r="H6563" i="11"/>
  <c r="H6568" i="11"/>
  <c r="H6571" i="11"/>
  <c r="H6576" i="11"/>
  <c r="H6579" i="11"/>
  <c r="H6584" i="11"/>
  <c r="H6587" i="11"/>
  <c r="H6592" i="11"/>
  <c r="H6595" i="11"/>
  <c r="H6600" i="11"/>
  <c r="H6603" i="11"/>
  <c r="H6608" i="11"/>
  <c r="H6611" i="11"/>
  <c r="H6616" i="11"/>
  <c r="H6619" i="11"/>
  <c r="H6624" i="11"/>
  <c r="H6627" i="11"/>
  <c r="H6632" i="11"/>
  <c r="H6635" i="11"/>
  <c r="H6640" i="11"/>
  <c r="H6643" i="11"/>
  <c r="H6648" i="11"/>
  <c r="H6651" i="11"/>
  <c r="H6656" i="11"/>
  <c r="H6659" i="11"/>
  <c r="H6664" i="11"/>
  <c r="H6667" i="11"/>
  <c r="H6672" i="11"/>
  <c r="H6675" i="11"/>
  <c r="H6680" i="11"/>
  <c r="H6683" i="11"/>
  <c r="H6688" i="11"/>
  <c r="H6691" i="11"/>
  <c r="H6696" i="11"/>
  <c r="H6699" i="11"/>
  <c r="H6704" i="11"/>
  <c r="H6707" i="11"/>
  <c r="H6712" i="11"/>
  <c r="H6715" i="11"/>
  <c r="H6720" i="11"/>
  <c r="H6723" i="11"/>
  <c r="H6728" i="11"/>
  <c r="H6731" i="11"/>
  <c r="H6736" i="11"/>
  <c r="H6739" i="11"/>
  <c r="H6744" i="11"/>
  <c r="H6747" i="11"/>
  <c r="H6752" i="11"/>
  <c r="H6755" i="11"/>
  <c r="H6760" i="11"/>
  <c r="H6763" i="11"/>
  <c r="H6768" i="11"/>
  <c r="H6771" i="11"/>
  <c r="H6776" i="11"/>
  <c r="H6779" i="11"/>
  <c r="H6784" i="11"/>
  <c r="H6787" i="11"/>
  <c r="H6792" i="11"/>
  <c r="H6795" i="11"/>
  <c r="H6800" i="11"/>
  <c r="H6803" i="11"/>
  <c r="H6808" i="11"/>
  <c r="H6811" i="11"/>
  <c r="H6816" i="11"/>
  <c r="H6819" i="11"/>
  <c r="H6824" i="11"/>
  <c r="H6827" i="11"/>
  <c r="H6832" i="11"/>
  <c r="H6835" i="11"/>
  <c r="H6840" i="11"/>
  <c r="H6843" i="11"/>
  <c r="H6848" i="11"/>
  <c r="H6851" i="11"/>
  <c r="H6856" i="11"/>
  <c r="H6859" i="11"/>
  <c r="H6864" i="11"/>
  <c r="H6867" i="11"/>
  <c r="H6872" i="11"/>
  <c r="H6875" i="11"/>
  <c r="H6880" i="11"/>
  <c r="H6883" i="11"/>
  <c r="H6888" i="11"/>
  <c r="H6891" i="11"/>
  <c r="H6896" i="11"/>
  <c r="H6899" i="11"/>
  <c r="H6904" i="11"/>
  <c r="H6907" i="11"/>
  <c r="H6912" i="11"/>
  <c r="H6915" i="11"/>
  <c r="H6920" i="11"/>
  <c r="H6923" i="11"/>
  <c r="H6928" i="11"/>
  <c r="H6931" i="11"/>
  <c r="H6936" i="11"/>
  <c r="H6939" i="11"/>
  <c r="H6944" i="11"/>
  <c r="H6947" i="11"/>
  <c r="H6952" i="11"/>
  <c r="H6955" i="11"/>
  <c r="H6960" i="11"/>
  <c r="H6963" i="11"/>
  <c r="H6968" i="11"/>
  <c r="H6971" i="11"/>
  <c r="H6976" i="11"/>
  <c r="H6979" i="11"/>
  <c r="H6984" i="11"/>
  <c r="H6987" i="11"/>
  <c r="H6992" i="11"/>
  <c r="H6995" i="11"/>
  <c r="H7000" i="11"/>
  <c r="H7003" i="11"/>
  <c r="H7008" i="11"/>
  <c r="H7011" i="11"/>
  <c r="H7016" i="11"/>
  <c r="H7019" i="11"/>
  <c r="H7024" i="11"/>
  <c r="H7027" i="11"/>
  <c r="H7032" i="11"/>
  <c r="H7035" i="11"/>
  <c r="H7040" i="11"/>
  <c r="H7043" i="11"/>
  <c r="H7048" i="11"/>
  <c r="H7051" i="11"/>
  <c r="H7056" i="11"/>
  <c r="H7059" i="11"/>
  <c r="H7064" i="11"/>
  <c r="H7067" i="11"/>
  <c r="H7072" i="11"/>
  <c r="H7075" i="11"/>
  <c r="H7080" i="11"/>
  <c r="H7083" i="11"/>
  <c r="H7088" i="11"/>
  <c r="H7091" i="11"/>
  <c r="H7096" i="11"/>
  <c r="H7099" i="11"/>
  <c r="H7104" i="11"/>
  <c r="H7107" i="11"/>
  <c r="H7112" i="11"/>
  <c r="H7115" i="11"/>
  <c r="H7120" i="11"/>
  <c r="H7123" i="11"/>
  <c r="H7128" i="11"/>
  <c r="H7131" i="11"/>
  <c r="H7136" i="11"/>
  <c r="H7139" i="11"/>
  <c r="H7144" i="11"/>
  <c r="H7147" i="11"/>
  <c r="H7152" i="11"/>
  <c r="H7155" i="11"/>
  <c r="H7160" i="11"/>
  <c r="H7163" i="11"/>
  <c r="H7168" i="11"/>
  <c r="H7171" i="11"/>
  <c r="H7176" i="11"/>
  <c r="H7179" i="11"/>
  <c r="H7184" i="11"/>
  <c r="H7187" i="11"/>
  <c r="H7192" i="11"/>
  <c r="H7195" i="11"/>
  <c r="H7200" i="11"/>
  <c r="H7203" i="11"/>
  <c r="H7208" i="11"/>
  <c r="H7211" i="11"/>
  <c r="H7218" i="11"/>
  <c r="I7220" i="11"/>
  <c r="H7220" i="11"/>
  <c r="H7234" i="11"/>
  <c r="I7236" i="11"/>
  <c r="H7236" i="11"/>
  <c r="H7250" i="11"/>
  <c r="I7252" i="11"/>
  <c r="H7252" i="11"/>
  <c r="H7266" i="11"/>
  <c r="I7268" i="11"/>
  <c r="H7268" i="11"/>
  <c r="H7282" i="11"/>
  <c r="I7284" i="11"/>
  <c r="H7284" i="11"/>
  <c r="H7298" i="11"/>
  <c r="I7300" i="11"/>
  <c r="H7300" i="11"/>
  <c r="H7314" i="11"/>
  <c r="I7316" i="11"/>
  <c r="H7316" i="11"/>
  <c r="H7330" i="11"/>
  <c r="I7332" i="11"/>
  <c r="H7332" i="11"/>
  <c r="H7346" i="11"/>
  <c r="I7348" i="11"/>
  <c r="H7348" i="11"/>
  <c r="H7362" i="11"/>
  <c r="I7365" i="11"/>
  <c r="H7365" i="11"/>
  <c r="H7378" i="11"/>
  <c r="I7381" i="11"/>
  <c r="H7381" i="11"/>
  <c r="H7394" i="11"/>
  <c r="I7397" i="11"/>
  <c r="H7397" i="11"/>
  <c r="H7410" i="11"/>
  <c r="I7413" i="11"/>
  <c r="H7413" i="11"/>
  <c r="H7426" i="11"/>
  <c r="I7429" i="11"/>
  <c r="H7429" i="11"/>
  <c r="H7442" i="11"/>
  <c r="I7445" i="11"/>
  <c r="H7445" i="11"/>
  <c r="H7458" i="11"/>
  <c r="I7461" i="11"/>
  <c r="H7461" i="11"/>
  <c r="H7474" i="11"/>
  <c r="I7477" i="11"/>
  <c r="H7477" i="11"/>
  <c r="H7490" i="11"/>
  <c r="I7493" i="11"/>
  <c r="H7493" i="11"/>
  <c r="H7506" i="11"/>
  <c r="I7509" i="11"/>
  <c r="H7509" i="11"/>
  <c r="H7522" i="11"/>
  <c r="I7525" i="11"/>
  <c r="H7525" i="11"/>
  <c r="H7538" i="11"/>
  <c r="I7541" i="11"/>
  <c r="H7541" i="11"/>
  <c r="H7554" i="11"/>
  <c r="I7557" i="11"/>
  <c r="H7557" i="11"/>
  <c r="H7570" i="11"/>
  <c r="I7573" i="11"/>
  <c r="H7573" i="11"/>
  <c r="H7586" i="11"/>
  <c r="I7589" i="11"/>
  <c r="H7589" i="11"/>
  <c r="H7602" i="11"/>
  <c r="I7605" i="11"/>
  <c r="H7605" i="11"/>
  <c r="H7618" i="11"/>
  <c r="I7621" i="11"/>
  <c r="H7621" i="11"/>
  <c r="H7634" i="11"/>
  <c r="I7637" i="11"/>
  <c r="H7637" i="11"/>
  <c r="I7217" i="11"/>
  <c r="H7217" i="11"/>
  <c r="I7224" i="11"/>
  <c r="H7224" i="11"/>
  <c r="I7233" i="11"/>
  <c r="H7233" i="11"/>
  <c r="I7240" i="11"/>
  <c r="H7240" i="11"/>
  <c r="I7249" i="11"/>
  <c r="H7249" i="11"/>
  <c r="I7256" i="11"/>
  <c r="H7256" i="11"/>
  <c r="I7265" i="11"/>
  <c r="H7265" i="11"/>
  <c r="I7272" i="11"/>
  <c r="H7272" i="11"/>
  <c r="I7281" i="11"/>
  <c r="H7281" i="11"/>
  <c r="I7288" i="11"/>
  <c r="H7288" i="11"/>
  <c r="I7297" i="11"/>
  <c r="H7297" i="11"/>
  <c r="I7304" i="11"/>
  <c r="H7304" i="11"/>
  <c r="I7313" i="11"/>
  <c r="H7313" i="11"/>
  <c r="I7320" i="11"/>
  <c r="H7320" i="11"/>
  <c r="I7329" i="11"/>
  <c r="H7329" i="11"/>
  <c r="I7336" i="11"/>
  <c r="H7336" i="11"/>
  <c r="I7345" i="11"/>
  <c r="H7345" i="11"/>
  <c r="I7352" i="11"/>
  <c r="H7352" i="11"/>
  <c r="I7361" i="11"/>
  <c r="H7361" i="11"/>
  <c r="H7374" i="11"/>
  <c r="I7377" i="11"/>
  <c r="H7377" i="11"/>
  <c r="H7390" i="11"/>
  <c r="I7393" i="11"/>
  <c r="H7393" i="11"/>
  <c r="H7406" i="11"/>
  <c r="I7409" i="11"/>
  <c r="H7409" i="11"/>
  <c r="H7422" i="11"/>
  <c r="I7425" i="11"/>
  <c r="H7425" i="11"/>
  <c r="H7438" i="11"/>
  <c r="I7441" i="11"/>
  <c r="H7441" i="11"/>
  <c r="H7454" i="11"/>
  <c r="I7457" i="11"/>
  <c r="H7457" i="11"/>
  <c r="H7470" i="11"/>
  <c r="I7473" i="11"/>
  <c r="H7473" i="11"/>
  <c r="H7486" i="11"/>
  <c r="I7489" i="11"/>
  <c r="H7489" i="11"/>
  <c r="H7502" i="11"/>
  <c r="I7505" i="11"/>
  <c r="H7505" i="11"/>
  <c r="H7518" i="11"/>
  <c r="I7521" i="11"/>
  <c r="H7521" i="11"/>
  <c r="H7534" i="11"/>
  <c r="I7537" i="11"/>
  <c r="H7537" i="11"/>
  <c r="H7550" i="11"/>
  <c r="I7553" i="11"/>
  <c r="H7553" i="11"/>
  <c r="H7566" i="11"/>
  <c r="I7569" i="11"/>
  <c r="H7569" i="11"/>
  <c r="H7582" i="11"/>
  <c r="I7585" i="11"/>
  <c r="H7585" i="11"/>
  <c r="H7598" i="11"/>
  <c r="I7601" i="11"/>
  <c r="H7601" i="11"/>
  <c r="H7614" i="11"/>
  <c r="I7617" i="11"/>
  <c r="H7617" i="11"/>
  <c r="H7630" i="11"/>
  <c r="I7633" i="11"/>
  <c r="H7633" i="11"/>
  <c r="I8757" i="11"/>
  <c r="H8757" i="11"/>
  <c r="I8759" i="11"/>
  <c r="H8759" i="11"/>
  <c r="I8761" i="11"/>
  <c r="H8761" i="11"/>
  <c r="I8763" i="11"/>
  <c r="H8763" i="11"/>
  <c r="I8765" i="11"/>
  <c r="H8765" i="11"/>
  <c r="I8767" i="11"/>
  <c r="H8767" i="11"/>
  <c r="I8769" i="11"/>
  <c r="H8769" i="11"/>
  <c r="I8771" i="11"/>
  <c r="H8771" i="11"/>
  <c r="I8773" i="11"/>
  <c r="H8773" i="11"/>
  <c r="I8775" i="11"/>
  <c r="H8775" i="11"/>
  <c r="I8777" i="11"/>
  <c r="H8777" i="11"/>
  <c r="I8779" i="11"/>
  <c r="H8779" i="11"/>
  <c r="I8781" i="11"/>
  <c r="H8781" i="11"/>
  <c r="I8783" i="11"/>
  <c r="H8783" i="11"/>
  <c r="I8785" i="11"/>
  <c r="H8785" i="11"/>
  <c r="I8787" i="11"/>
  <c r="H8787" i="11"/>
  <c r="I8789" i="11"/>
  <c r="H8789" i="11"/>
  <c r="I8791" i="11"/>
  <c r="H8791" i="11"/>
  <c r="I8793" i="11"/>
  <c r="H8793" i="11"/>
  <c r="I8795" i="11"/>
  <c r="H8795" i="11"/>
  <c r="I8797" i="11"/>
  <c r="H8797" i="11"/>
  <c r="I8799" i="11"/>
  <c r="H8799" i="11"/>
  <c r="I8801" i="11"/>
  <c r="H8801" i="11"/>
  <c r="I8803" i="11"/>
  <c r="H8803" i="11"/>
  <c r="I8805" i="11"/>
  <c r="H8805" i="11"/>
  <c r="I9158" i="11"/>
  <c r="H9158" i="11"/>
  <c r="I9163" i="11"/>
  <c r="H9163" i="11"/>
  <c r="I9174" i="11"/>
  <c r="H9174" i="11"/>
  <c r="I9179" i="11"/>
  <c r="H9179" i="11"/>
  <c r="I9190" i="11"/>
  <c r="H9190" i="11"/>
  <c r="I9195" i="11"/>
  <c r="H9195" i="11"/>
  <c r="I9206" i="11"/>
  <c r="H9206" i="11"/>
  <c r="I9211" i="11"/>
  <c r="H9211" i="11"/>
  <c r="I9222" i="11"/>
  <c r="H9222" i="11"/>
  <c r="I9227" i="11"/>
  <c r="H9227" i="11"/>
  <c r="I9159" i="11"/>
  <c r="H9159" i="11"/>
  <c r="I9170" i="11"/>
  <c r="H9170" i="11"/>
  <c r="I9175" i="11"/>
  <c r="H9175" i="11"/>
  <c r="I9186" i="11"/>
  <c r="H9186" i="11"/>
  <c r="I9191" i="11"/>
  <c r="H9191" i="11"/>
  <c r="I9202" i="11"/>
  <c r="H9202" i="11"/>
  <c r="I9207" i="11"/>
  <c r="H9207" i="11"/>
  <c r="I9218" i="11"/>
  <c r="H9218" i="11"/>
  <c r="I9223" i="11"/>
  <c r="H9223" i="11"/>
  <c r="I9234" i="11"/>
  <c r="H9234" i="11"/>
  <c r="I7642" i="11"/>
  <c r="H7642" i="11"/>
  <c r="I7644" i="11"/>
  <c r="H7644" i="11"/>
  <c r="I7646" i="11"/>
  <c r="H7646" i="11"/>
  <c r="I7648" i="11"/>
  <c r="H7648" i="11"/>
  <c r="I7650" i="11"/>
  <c r="H7650" i="11"/>
  <c r="I7652" i="11"/>
  <c r="H7652" i="11"/>
  <c r="I7654" i="11"/>
  <c r="H7654" i="11"/>
  <c r="I7656" i="11"/>
  <c r="H7656" i="11"/>
  <c r="I7658" i="11"/>
  <c r="H7658" i="11"/>
  <c r="I7660" i="11"/>
  <c r="H7660" i="11"/>
  <c r="I7662" i="11"/>
  <c r="H7662" i="11"/>
  <c r="I7664" i="11"/>
  <c r="H7664" i="11"/>
  <c r="I7666" i="11"/>
  <c r="H7666" i="11"/>
  <c r="I7668" i="11"/>
  <c r="H7668" i="11"/>
  <c r="I7670" i="11"/>
  <c r="H7670" i="11"/>
  <c r="I7672" i="11"/>
  <c r="H7672" i="11"/>
  <c r="I7674" i="11"/>
  <c r="H7674" i="11"/>
  <c r="I7676" i="11"/>
  <c r="H7676" i="11"/>
  <c r="I7678" i="11"/>
  <c r="H7678" i="11"/>
  <c r="I7680" i="11"/>
  <c r="H7680" i="11"/>
  <c r="I7682" i="11"/>
  <c r="H7682" i="11"/>
  <c r="I7684" i="11"/>
  <c r="H7684" i="11"/>
  <c r="I7686" i="11"/>
  <c r="H7686" i="11"/>
  <c r="I7688" i="11"/>
  <c r="H7688" i="11"/>
  <c r="I7690" i="11"/>
  <c r="H7690" i="11"/>
  <c r="I7692" i="11"/>
  <c r="H7692" i="11"/>
  <c r="I7694" i="11"/>
  <c r="H7694" i="11"/>
  <c r="I7696" i="11"/>
  <c r="H7696" i="11"/>
  <c r="I7698" i="11"/>
  <c r="H7698" i="11"/>
  <c r="I7700" i="11"/>
  <c r="H7700" i="11"/>
  <c r="I7702" i="11"/>
  <c r="H7702" i="11"/>
  <c r="I7704" i="11"/>
  <c r="H7704" i="11"/>
  <c r="I7706" i="11"/>
  <c r="H7706" i="11"/>
  <c r="I7708" i="11"/>
  <c r="H7708" i="11"/>
  <c r="I7710" i="11"/>
  <c r="H7710" i="11"/>
  <c r="I7712" i="11"/>
  <c r="H7712" i="11"/>
  <c r="I7714" i="11"/>
  <c r="H7714" i="11"/>
  <c r="I7716" i="11"/>
  <c r="H7716" i="11"/>
  <c r="I7718" i="11"/>
  <c r="H7718" i="11"/>
  <c r="I7720" i="11"/>
  <c r="H7720" i="11"/>
  <c r="I7722" i="11"/>
  <c r="H7722" i="11"/>
  <c r="I7724" i="11"/>
  <c r="H7724" i="11"/>
  <c r="I7726" i="11"/>
  <c r="H7726" i="11"/>
  <c r="I7728" i="11"/>
  <c r="H7728" i="11"/>
  <c r="I7730" i="11"/>
  <c r="H7730" i="11"/>
  <c r="I7732" i="11"/>
  <c r="H7732" i="11"/>
  <c r="I7734" i="11"/>
  <c r="H7734" i="11"/>
  <c r="I7736" i="11"/>
  <c r="H7736" i="11"/>
  <c r="I7738" i="11"/>
  <c r="H7738" i="11"/>
  <c r="I7740" i="11"/>
  <c r="H7740" i="11"/>
  <c r="I7742" i="11"/>
  <c r="H7742" i="11"/>
  <c r="I7744" i="11"/>
  <c r="H7744" i="11"/>
  <c r="I7746" i="11"/>
  <c r="H7746" i="11"/>
  <c r="I7748" i="11"/>
  <c r="H7748" i="11"/>
  <c r="I7750" i="11"/>
  <c r="H7750" i="11"/>
  <c r="I7752" i="11"/>
  <c r="H7752" i="11"/>
  <c r="I7754" i="11"/>
  <c r="H7754" i="11"/>
  <c r="I7756" i="11"/>
  <c r="H7756" i="11"/>
  <c r="I7758" i="11"/>
  <c r="H7758" i="11"/>
  <c r="I7760" i="11"/>
  <c r="H7760" i="11"/>
  <c r="I7762" i="11"/>
  <c r="H7762" i="11"/>
  <c r="I7764" i="11"/>
  <c r="H7764" i="11"/>
  <c r="I7766" i="11"/>
  <c r="H7766" i="11"/>
  <c r="I7768" i="11"/>
  <c r="H7768" i="11"/>
  <c r="I7770" i="11"/>
  <c r="H7770" i="11"/>
  <c r="I7772" i="11"/>
  <c r="H7772" i="11"/>
  <c r="I7774" i="11"/>
  <c r="H7774" i="11"/>
  <c r="I7776" i="11"/>
  <c r="H7776" i="11"/>
  <c r="I7778" i="11"/>
  <c r="H7778" i="11"/>
  <c r="I7780" i="11"/>
  <c r="H7780" i="11"/>
  <c r="I7782" i="11"/>
  <c r="H7782" i="11"/>
  <c r="I7784" i="11"/>
  <c r="H7784" i="11"/>
  <c r="I7786" i="11"/>
  <c r="H7786" i="11"/>
  <c r="I7788" i="11"/>
  <c r="H7788" i="11"/>
  <c r="I7790" i="11"/>
  <c r="H7790" i="11"/>
  <c r="I7792" i="11"/>
  <c r="H7792" i="11"/>
  <c r="I7794" i="11"/>
  <c r="H7794" i="11"/>
  <c r="I7796" i="11"/>
  <c r="H7796" i="11"/>
  <c r="I7798" i="11"/>
  <c r="H7798" i="11"/>
  <c r="I7800" i="11"/>
  <c r="H7800" i="11"/>
  <c r="I7802" i="11"/>
  <c r="H7802" i="11"/>
  <c r="I7804" i="11"/>
  <c r="H7804" i="11"/>
  <c r="I7806" i="11"/>
  <c r="H7806" i="11"/>
  <c r="I7808" i="11"/>
  <c r="H7808" i="11"/>
  <c r="I7810" i="11"/>
  <c r="H7810" i="11"/>
  <c r="I7812" i="11"/>
  <c r="H7812" i="11"/>
  <c r="I7814" i="11"/>
  <c r="H7814" i="11"/>
  <c r="I7816" i="11"/>
  <c r="H7816" i="11"/>
  <c r="I7818" i="11"/>
  <c r="H7818" i="11"/>
  <c r="I7820" i="11"/>
  <c r="H7820" i="11"/>
  <c r="I7822" i="11"/>
  <c r="H7822" i="11"/>
  <c r="I7824" i="11"/>
  <c r="H7824" i="11"/>
  <c r="I7826" i="11"/>
  <c r="H7826" i="11"/>
  <c r="I7828" i="11"/>
  <c r="H7828" i="11"/>
  <c r="I7830" i="11"/>
  <c r="H7830" i="11"/>
  <c r="I7832" i="11"/>
  <c r="H7832" i="11"/>
  <c r="I7834" i="11"/>
  <c r="H7834" i="11"/>
  <c r="I7836" i="11"/>
  <c r="H7836" i="11"/>
  <c r="I7838" i="11"/>
  <c r="H7838" i="11"/>
  <c r="I7840" i="11"/>
  <c r="H7840" i="11"/>
  <c r="I7842" i="11"/>
  <c r="H7842" i="11"/>
  <c r="I7844" i="11"/>
  <c r="H7844" i="11"/>
  <c r="I7846" i="11"/>
  <c r="H7846" i="11"/>
  <c r="I7848" i="11"/>
  <c r="H7848" i="11"/>
  <c r="I7850" i="11"/>
  <c r="H7850" i="11"/>
  <c r="I7852" i="11"/>
  <c r="H7852" i="11"/>
  <c r="I7854" i="11"/>
  <c r="H7854" i="11"/>
  <c r="I7856" i="11"/>
  <c r="H7856" i="11"/>
  <c r="I7858" i="11"/>
  <c r="H7858" i="11"/>
  <c r="I7860" i="11"/>
  <c r="H7860" i="11"/>
  <c r="I7862" i="11"/>
  <c r="H7862" i="11"/>
  <c r="I7864" i="11"/>
  <c r="H7864" i="11"/>
  <c r="I7866" i="11"/>
  <c r="H7866" i="11"/>
  <c r="I7868" i="11"/>
  <c r="H7868" i="11"/>
  <c r="I7870" i="11"/>
  <c r="H7870" i="11"/>
  <c r="I7872" i="11"/>
  <c r="H7872" i="11"/>
  <c r="I7874" i="11"/>
  <c r="H7874" i="11"/>
  <c r="I7876" i="11"/>
  <c r="H7876" i="11"/>
  <c r="I7878" i="11"/>
  <c r="H7878" i="11"/>
  <c r="I7880" i="11"/>
  <c r="H7880" i="11"/>
  <c r="I7882" i="11"/>
  <c r="H7882" i="11"/>
  <c r="I7884" i="11"/>
  <c r="H7884" i="11"/>
  <c r="I7886" i="11"/>
  <c r="H7886" i="11"/>
  <c r="I7888" i="11"/>
  <c r="H7888" i="11"/>
  <c r="I7890" i="11"/>
  <c r="H7890" i="11"/>
  <c r="I7892" i="11"/>
  <c r="H7892" i="11"/>
  <c r="I7894" i="11"/>
  <c r="H7894" i="11"/>
  <c r="I7896" i="11"/>
  <c r="H7896" i="11"/>
  <c r="I7898" i="11"/>
  <c r="H7898" i="11"/>
  <c r="I7900" i="11"/>
  <c r="H7900" i="11"/>
  <c r="I7902" i="11"/>
  <c r="H7902" i="11"/>
  <c r="I7904" i="11"/>
  <c r="H7904" i="11"/>
  <c r="I7906" i="11"/>
  <c r="H7906" i="11"/>
  <c r="I7908" i="11"/>
  <c r="H7908" i="11"/>
  <c r="I7910" i="11"/>
  <c r="H7910" i="11"/>
  <c r="I7912" i="11"/>
  <c r="H7912" i="11"/>
  <c r="I7914" i="11"/>
  <c r="H7914" i="11"/>
  <c r="I7916" i="11"/>
  <c r="H7916" i="11"/>
  <c r="I7918" i="11"/>
  <c r="H7918" i="11"/>
  <c r="I7920" i="11"/>
  <c r="H7920" i="11"/>
  <c r="I7922" i="11"/>
  <c r="H7922" i="11"/>
  <c r="I7924" i="11"/>
  <c r="H7924" i="11"/>
  <c r="I7926" i="11"/>
  <c r="H7926" i="11"/>
  <c r="I7928" i="11"/>
  <c r="H7928" i="11"/>
  <c r="I7930" i="11"/>
  <c r="H7930" i="11"/>
  <c r="I7932" i="11"/>
  <c r="H7932" i="11"/>
  <c r="I7934" i="11"/>
  <c r="H7934" i="11"/>
  <c r="I7936" i="11"/>
  <c r="H7936" i="11"/>
  <c r="I7938" i="11"/>
  <c r="H7938" i="11"/>
  <c r="I7940" i="11"/>
  <c r="H7940" i="11"/>
  <c r="I7942" i="11"/>
  <c r="H7942" i="11"/>
  <c r="I7944" i="11"/>
  <c r="H7944" i="11"/>
  <c r="I7946" i="11"/>
  <c r="H7946" i="11"/>
  <c r="I7948" i="11"/>
  <c r="H7948" i="11"/>
  <c r="I7950" i="11"/>
  <c r="H7950" i="11"/>
  <c r="I7952" i="11"/>
  <c r="H7952" i="11"/>
  <c r="I7954" i="11"/>
  <c r="H7954" i="11"/>
  <c r="I7956" i="11"/>
  <c r="H7956" i="11"/>
  <c r="I7958" i="11"/>
  <c r="H7958" i="11"/>
  <c r="I7960" i="11"/>
  <c r="H7960" i="11"/>
  <c r="I7962" i="11"/>
  <c r="H7962" i="11"/>
  <c r="I7964" i="11"/>
  <c r="H7964" i="11"/>
  <c r="I7966" i="11"/>
  <c r="H7966" i="11"/>
  <c r="I7968" i="11"/>
  <c r="H7968" i="11"/>
  <c r="I7970" i="11"/>
  <c r="H7970" i="11"/>
  <c r="I7972" i="11"/>
  <c r="H7972" i="11"/>
  <c r="I7974" i="11"/>
  <c r="H7974" i="11"/>
  <c r="I7976" i="11"/>
  <c r="H7976" i="11"/>
  <c r="I7978" i="11"/>
  <c r="H7978" i="11"/>
  <c r="I7980" i="11"/>
  <c r="H7980" i="11"/>
  <c r="I7982" i="11"/>
  <c r="H7982" i="11"/>
  <c r="I7984" i="11"/>
  <c r="H7984" i="11"/>
  <c r="I7986" i="11"/>
  <c r="H7986" i="11"/>
  <c r="I7988" i="11"/>
  <c r="H7988" i="11"/>
  <c r="I7990" i="11"/>
  <c r="H7990" i="11"/>
  <c r="I7992" i="11"/>
  <c r="H7992" i="11"/>
  <c r="I7994" i="11"/>
  <c r="H7994" i="11"/>
  <c r="I7996" i="11"/>
  <c r="H7996" i="11"/>
  <c r="I7998" i="11"/>
  <c r="H7998" i="11"/>
  <c r="I8000" i="11"/>
  <c r="H8000" i="11"/>
  <c r="I8002" i="11"/>
  <c r="H8002" i="11"/>
  <c r="I8004" i="11"/>
  <c r="H8004" i="11"/>
  <c r="I8006" i="11"/>
  <c r="H8006" i="11"/>
  <c r="I8008" i="11"/>
  <c r="H8008" i="11"/>
  <c r="I8010" i="11"/>
  <c r="H8010" i="11"/>
  <c r="I8012" i="11"/>
  <c r="H8012" i="11"/>
  <c r="I8014" i="11"/>
  <c r="H8014" i="11"/>
  <c r="I8016" i="11"/>
  <c r="H8016" i="11"/>
  <c r="I8018" i="11"/>
  <c r="H8018" i="11"/>
  <c r="I8020" i="11"/>
  <c r="H8020" i="11"/>
  <c r="I8022" i="11"/>
  <c r="H8022" i="11"/>
  <c r="I8024" i="11"/>
  <c r="H8024" i="11"/>
  <c r="I8026" i="11"/>
  <c r="H8026" i="11"/>
  <c r="I8028" i="11"/>
  <c r="H8028" i="11"/>
  <c r="I8030" i="11"/>
  <c r="H8030" i="11"/>
  <c r="I8032" i="11"/>
  <c r="H8032" i="11"/>
  <c r="I8034" i="11"/>
  <c r="H8034" i="11"/>
  <c r="I8036" i="11"/>
  <c r="H8036" i="11"/>
  <c r="I8038" i="11"/>
  <c r="H8038" i="11"/>
  <c r="I8040" i="11"/>
  <c r="H8040" i="11"/>
  <c r="I8042" i="11"/>
  <c r="H8042" i="11"/>
  <c r="I8044" i="11"/>
  <c r="H8044" i="11"/>
  <c r="I8046" i="11"/>
  <c r="H8046" i="11"/>
  <c r="I8048" i="11"/>
  <c r="H8048" i="11"/>
  <c r="I8050" i="11"/>
  <c r="H8050" i="11"/>
  <c r="I8052" i="11"/>
  <c r="H8052" i="11"/>
  <c r="I8054" i="11"/>
  <c r="H8054" i="11"/>
  <c r="I8056" i="11"/>
  <c r="H8056" i="11"/>
  <c r="I8058" i="11"/>
  <c r="H8058" i="11"/>
  <c r="I8060" i="11"/>
  <c r="H8060" i="11"/>
  <c r="I8062" i="11"/>
  <c r="H8062" i="11"/>
  <c r="I8064" i="11"/>
  <c r="H8064" i="11"/>
  <c r="I8066" i="11"/>
  <c r="H8066" i="11"/>
  <c r="I8068" i="11"/>
  <c r="H8068" i="11"/>
  <c r="I8070" i="11"/>
  <c r="H8070" i="11"/>
  <c r="I8072" i="11"/>
  <c r="H8072" i="11"/>
  <c r="I8074" i="11"/>
  <c r="H8074" i="11"/>
  <c r="I8076" i="11"/>
  <c r="H8076" i="11"/>
  <c r="I8078" i="11"/>
  <c r="H8078" i="11"/>
  <c r="I8080" i="11"/>
  <c r="H8080" i="11"/>
  <c r="I8082" i="11"/>
  <c r="H8082" i="11"/>
  <c r="I8084" i="11"/>
  <c r="H8084" i="11"/>
  <c r="I8086" i="11"/>
  <c r="H8086" i="11"/>
  <c r="I8088" i="11"/>
  <c r="H8088" i="11"/>
  <c r="I8090" i="11"/>
  <c r="H8090" i="11"/>
  <c r="I8092" i="11"/>
  <c r="H8092" i="11"/>
  <c r="I8094" i="11"/>
  <c r="H8094" i="11"/>
  <c r="I8096" i="11"/>
  <c r="H8096" i="11"/>
  <c r="I8098" i="11"/>
  <c r="H8098" i="11"/>
  <c r="I8100" i="11"/>
  <c r="H8100" i="11"/>
  <c r="I8102" i="11"/>
  <c r="H8102" i="11"/>
  <c r="I8104" i="11"/>
  <c r="H8104" i="11"/>
  <c r="I8106" i="11"/>
  <c r="H8106" i="11"/>
  <c r="I8108" i="11"/>
  <c r="H8108" i="11"/>
  <c r="I8110" i="11"/>
  <c r="H8110" i="11"/>
  <c r="I8112" i="11"/>
  <c r="H8112" i="11"/>
  <c r="I8114" i="11"/>
  <c r="H8114" i="11"/>
  <c r="I8116" i="11"/>
  <c r="H8116" i="11"/>
  <c r="I8118" i="11"/>
  <c r="H8118" i="11"/>
  <c r="I8120" i="11"/>
  <c r="H8120" i="11"/>
  <c r="I8122" i="11"/>
  <c r="H8122" i="11"/>
  <c r="I8124" i="11"/>
  <c r="H8124" i="11"/>
  <c r="I8126" i="11"/>
  <c r="H8126" i="11"/>
  <c r="I8128" i="11"/>
  <c r="H8128" i="11"/>
  <c r="I8130" i="11"/>
  <c r="H8130" i="11"/>
  <c r="I8132" i="11"/>
  <c r="H8132" i="11"/>
  <c r="I8134" i="11"/>
  <c r="H8134" i="11"/>
  <c r="I8136" i="11"/>
  <c r="H8136" i="11"/>
  <c r="I8138" i="11"/>
  <c r="H8138" i="11"/>
  <c r="I8140" i="11"/>
  <c r="H8140" i="11"/>
  <c r="I8142" i="11"/>
  <c r="H8142" i="11"/>
  <c r="I8144" i="11"/>
  <c r="H8144" i="11"/>
  <c r="I8146" i="11"/>
  <c r="H8146" i="11"/>
  <c r="I8148" i="11"/>
  <c r="H8148" i="11"/>
  <c r="I8150" i="11"/>
  <c r="H8150" i="11"/>
  <c r="I8152" i="11"/>
  <c r="H8152" i="11"/>
  <c r="I8154" i="11"/>
  <c r="H8154" i="11"/>
  <c r="I8156" i="11"/>
  <c r="H8156" i="11"/>
  <c r="I8158" i="11"/>
  <c r="H8158" i="11"/>
  <c r="I8160" i="11"/>
  <c r="H8160" i="11"/>
  <c r="I8162" i="11"/>
  <c r="H8162" i="11"/>
  <c r="I8164" i="11"/>
  <c r="H8164" i="11"/>
  <c r="I8166" i="11"/>
  <c r="H8166" i="11"/>
  <c r="I8168" i="11"/>
  <c r="H8168" i="11"/>
  <c r="I8170" i="11"/>
  <c r="H8170" i="11"/>
  <c r="I8172" i="11"/>
  <c r="H8172" i="11"/>
  <c r="I8174" i="11"/>
  <c r="H8174" i="11"/>
  <c r="I8176" i="11"/>
  <c r="H8176" i="11"/>
  <c r="I8178" i="11"/>
  <c r="H8178" i="11"/>
  <c r="I8180" i="11"/>
  <c r="H8180" i="11"/>
  <c r="I8182" i="11"/>
  <c r="H8182" i="11"/>
  <c r="I8184" i="11"/>
  <c r="H8184" i="11"/>
  <c r="I8186" i="11"/>
  <c r="H8186" i="11"/>
  <c r="I8188" i="11"/>
  <c r="H8188" i="11"/>
  <c r="I8190" i="11"/>
  <c r="H8190" i="11"/>
  <c r="I8192" i="11"/>
  <c r="H8192" i="11"/>
  <c r="I8194" i="11"/>
  <c r="H8194" i="11"/>
  <c r="I8196" i="11"/>
  <c r="H8196" i="11"/>
  <c r="I8198" i="11"/>
  <c r="H8198" i="11"/>
  <c r="I8200" i="11"/>
  <c r="H8200" i="11"/>
  <c r="I8202" i="11"/>
  <c r="H8202" i="11"/>
  <c r="I8204" i="11"/>
  <c r="H8204" i="11"/>
  <c r="I8206" i="11"/>
  <c r="H8206" i="11"/>
  <c r="I8208" i="11"/>
  <c r="H8208" i="11"/>
  <c r="I8210" i="11"/>
  <c r="H8210" i="11"/>
  <c r="I8212" i="11"/>
  <c r="H8212" i="11"/>
  <c r="I8214" i="11"/>
  <c r="H8214" i="11"/>
  <c r="I8216" i="11"/>
  <c r="H8216" i="11"/>
  <c r="I8218" i="11"/>
  <c r="H8218" i="11"/>
  <c r="I8220" i="11"/>
  <c r="H8220" i="11"/>
  <c r="I8222" i="11"/>
  <c r="H8222" i="11"/>
  <c r="I8224" i="11"/>
  <c r="H8224" i="11"/>
  <c r="I8226" i="11"/>
  <c r="H8226" i="11"/>
  <c r="I8228" i="11"/>
  <c r="H8228" i="11"/>
  <c r="I8230" i="11"/>
  <c r="H8230" i="11"/>
  <c r="I8232" i="11"/>
  <c r="H8232" i="11"/>
  <c r="I8234" i="11"/>
  <c r="H8234" i="11"/>
  <c r="I8236" i="11"/>
  <c r="H8236" i="11"/>
  <c r="I8238" i="11"/>
  <c r="H8238" i="11"/>
  <c r="I8240" i="11"/>
  <c r="H8240" i="11"/>
  <c r="I8242" i="11"/>
  <c r="H8242" i="11"/>
  <c r="I8244" i="11"/>
  <c r="H8244" i="11"/>
  <c r="I8246" i="11"/>
  <c r="H8246" i="11"/>
  <c r="I8248" i="11"/>
  <c r="H8248" i="11"/>
  <c r="I8250" i="11"/>
  <c r="H8250" i="11"/>
  <c r="I8252" i="11"/>
  <c r="H8252" i="11"/>
  <c r="I8254" i="11"/>
  <c r="H8254" i="11"/>
  <c r="I8256" i="11"/>
  <c r="H8256" i="11"/>
  <c r="I8258" i="11"/>
  <c r="H8258" i="11"/>
  <c r="I8260" i="11"/>
  <c r="H8260" i="11"/>
  <c r="I8262" i="11"/>
  <c r="H8262" i="11"/>
  <c r="I8264" i="11"/>
  <c r="H8264" i="11"/>
  <c r="I8266" i="11"/>
  <c r="H8266" i="11"/>
  <c r="I8268" i="11"/>
  <c r="H8268" i="11"/>
  <c r="I8270" i="11"/>
  <c r="H8270" i="11"/>
  <c r="I8272" i="11"/>
  <c r="H8272" i="11"/>
  <c r="I8274" i="11"/>
  <c r="H8274" i="11"/>
  <c r="I8276" i="11"/>
  <c r="H8276" i="11"/>
  <c r="I8278" i="11"/>
  <c r="H8278" i="11"/>
  <c r="I8280" i="11"/>
  <c r="H8280" i="11"/>
  <c r="I8282" i="11"/>
  <c r="H8282" i="11"/>
  <c r="I8284" i="11"/>
  <c r="H8284" i="11"/>
  <c r="I8286" i="11"/>
  <c r="H8286" i="11"/>
  <c r="I8288" i="11"/>
  <c r="H8288" i="11"/>
  <c r="I8290" i="11"/>
  <c r="H8290" i="11"/>
  <c r="I8292" i="11"/>
  <c r="H8292" i="11"/>
  <c r="I8294" i="11"/>
  <c r="H8294" i="11"/>
  <c r="I8296" i="11"/>
  <c r="H8296" i="11"/>
  <c r="I8298" i="11"/>
  <c r="H8298" i="11"/>
  <c r="I8300" i="11"/>
  <c r="H8300" i="11"/>
  <c r="I8302" i="11"/>
  <c r="H8302" i="11"/>
  <c r="I8304" i="11"/>
  <c r="H8304" i="11"/>
  <c r="I8306" i="11"/>
  <c r="H8306" i="11"/>
  <c r="I8308" i="11"/>
  <c r="H8308" i="11"/>
  <c r="I8310" i="11"/>
  <c r="H8310" i="11"/>
  <c r="I8312" i="11"/>
  <c r="H8312" i="11"/>
  <c r="I8314" i="11"/>
  <c r="H8314" i="11"/>
  <c r="I8316" i="11"/>
  <c r="H8316" i="11"/>
  <c r="I8318" i="11"/>
  <c r="H8318" i="11"/>
  <c r="I8320" i="11"/>
  <c r="H8320" i="11"/>
  <c r="I8322" i="11"/>
  <c r="H8322" i="11"/>
  <c r="I8324" i="11"/>
  <c r="H8324" i="11"/>
  <c r="I8326" i="11"/>
  <c r="H8326" i="11"/>
  <c r="I8328" i="11"/>
  <c r="H8328" i="11"/>
  <c r="I8330" i="11"/>
  <c r="H8330" i="11"/>
  <c r="I8332" i="11"/>
  <c r="H8332" i="11"/>
  <c r="I8334" i="11"/>
  <c r="H8334" i="11"/>
  <c r="I8336" i="11"/>
  <c r="H8336" i="11"/>
  <c r="I8338" i="11"/>
  <c r="H8338" i="11"/>
  <c r="I8340" i="11"/>
  <c r="H8340" i="11"/>
  <c r="I8342" i="11"/>
  <c r="H8342" i="11"/>
  <c r="I8344" i="11"/>
  <c r="H8344" i="11"/>
  <c r="I8346" i="11"/>
  <c r="H8346" i="11"/>
  <c r="I8348" i="11"/>
  <c r="H8348" i="11"/>
  <c r="I8350" i="11"/>
  <c r="H8350" i="11"/>
  <c r="I8352" i="11"/>
  <c r="H8352" i="11"/>
  <c r="I8354" i="11"/>
  <c r="H8354" i="11"/>
  <c r="I8356" i="11"/>
  <c r="H8356" i="11"/>
  <c r="I8358" i="11"/>
  <c r="H8358" i="11"/>
  <c r="I8360" i="11"/>
  <c r="H8360" i="11"/>
  <c r="I8362" i="11"/>
  <c r="H8362" i="11"/>
  <c r="I8364" i="11"/>
  <c r="H8364" i="11"/>
  <c r="I8366" i="11"/>
  <c r="H8366" i="11"/>
  <c r="I8368" i="11"/>
  <c r="H8368" i="11"/>
  <c r="I8370" i="11"/>
  <c r="H8370" i="11"/>
  <c r="I8372" i="11"/>
  <c r="H8372" i="11"/>
  <c r="I8374" i="11"/>
  <c r="H8374" i="11"/>
  <c r="I8376" i="11"/>
  <c r="H8376" i="11"/>
  <c r="I8378" i="11"/>
  <c r="H8378" i="11"/>
  <c r="I8380" i="11"/>
  <c r="H8380" i="11"/>
  <c r="I8382" i="11"/>
  <c r="H8382" i="11"/>
  <c r="I8384" i="11"/>
  <c r="H8384" i="11"/>
  <c r="I8386" i="11"/>
  <c r="H8386" i="11"/>
  <c r="I8388" i="11"/>
  <c r="H8388" i="11"/>
  <c r="I8390" i="11"/>
  <c r="H8390" i="11"/>
  <c r="I8392" i="11"/>
  <c r="H8392" i="11"/>
  <c r="I8394" i="11"/>
  <c r="H8394" i="11"/>
  <c r="I8396" i="11"/>
  <c r="H8396" i="11"/>
  <c r="I8398" i="11"/>
  <c r="H8398" i="11"/>
  <c r="I8400" i="11"/>
  <c r="H8400" i="11"/>
  <c r="I8402" i="11"/>
  <c r="H8402" i="11"/>
  <c r="I8404" i="11"/>
  <c r="H8404" i="11"/>
  <c r="I8406" i="11"/>
  <c r="H8406" i="11"/>
  <c r="I8408" i="11"/>
  <c r="H8408" i="11"/>
  <c r="I8410" i="11"/>
  <c r="H8410" i="11"/>
  <c r="I8412" i="11"/>
  <c r="H8412" i="11"/>
  <c r="I8414" i="11"/>
  <c r="H8414" i="11"/>
  <c r="I8416" i="11"/>
  <c r="H8416" i="11"/>
  <c r="I8418" i="11"/>
  <c r="H8418" i="11"/>
  <c r="I8420" i="11"/>
  <c r="H8420" i="11"/>
  <c r="I8422" i="11"/>
  <c r="H8422" i="11"/>
  <c r="I8424" i="11"/>
  <c r="H8424" i="11"/>
  <c r="I8426" i="11"/>
  <c r="H8426" i="11"/>
  <c r="I8428" i="11"/>
  <c r="H8428" i="11"/>
  <c r="I8430" i="11"/>
  <c r="H8430" i="11"/>
  <c r="I8432" i="11"/>
  <c r="H8432" i="11"/>
  <c r="I8434" i="11"/>
  <c r="H8434" i="11"/>
  <c r="I8436" i="11"/>
  <c r="H8436" i="11"/>
  <c r="I8438" i="11"/>
  <c r="H8438" i="11"/>
  <c r="I8440" i="11"/>
  <c r="H8440" i="11"/>
  <c r="I8442" i="11"/>
  <c r="H8442" i="11"/>
  <c r="I8444" i="11"/>
  <c r="H8444" i="11"/>
  <c r="I8446" i="11"/>
  <c r="H8446" i="11"/>
  <c r="I8448" i="11"/>
  <c r="H8448" i="11"/>
  <c r="I8450" i="11"/>
  <c r="H8450" i="11"/>
  <c r="I8452" i="11"/>
  <c r="H8452" i="11"/>
  <c r="I8454" i="11"/>
  <c r="H8454" i="11"/>
  <c r="I8456" i="11"/>
  <c r="H8456" i="11"/>
  <c r="I8458" i="11"/>
  <c r="H8458" i="11"/>
  <c r="I8460" i="11"/>
  <c r="H8460" i="11"/>
  <c r="I8462" i="11"/>
  <c r="H8462" i="11"/>
  <c r="I8464" i="11"/>
  <c r="H8464" i="11"/>
  <c r="I8466" i="11"/>
  <c r="H8466" i="11"/>
  <c r="I8468" i="11"/>
  <c r="H8468" i="11"/>
  <c r="I8470" i="11"/>
  <c r="H8470" i="11"/>
  <c r="I8472" i="11"/>
  <c r="H8472" i="11"/>
  <c r="I8474" i="11"/>
  <c r="H8474" i="11"/>
  <c r="I8476" i="11"/>
  <c r="H8476" i="11"/>
  <c r="I8478" i="11"/>
  <c r="H8478" i="11"/>
  <c r="I8480" i="11"/>
  <c r="H8480" i="11"/>
  <c r="I8482" i="11"/>
  <c r="H8482" i="11"/>
  <c r="I8484" i="11"/>
  <c r="H8484" i="11"/>
  <c r="I8486" i="11"/>
  <c r="H8486" i="11"/>
  <c r="I8488" i="11"/>
  <c r="H8488" i="11"/>
  <c r="I8490" i="11"/>
  <c r="H8490" i="11"/>
  <c r="I8492" i="11"/>
  <c r="H8492" i="11"/>
  <c r="I8494" i="11"/>
  <c r="H8494" i="11"/>
  <c r="I8496" i="11"/>
  <c r="H8496" i="11"/>
  <c r="I8498" i="11"/>
  <c r="H8498" i="11"/>
  <c r="I8500" i="11"/>
  <c r="H8500" i="11"/>
  <c r="I8502" i="11"/>
  <c r="H8502" i="11"/>
  <c r="I8504" i="11"/>
  <c r="H8504" i="11"/>
  <c r="I8506" i="11"/>
  <c r="H8506" i="11"/>
  <c r="I8508" i="11"/>
  <c r="H8508" i="11"/>
  <c r="I8510" i="11"/>
  <c r="H8510" i="11"/>
  <c r="I8512" i="11"/>
  <c r="H8512" i="11"/>
  <c r="I8514" i="11"/>
  <c r="H8514" i="11"/>
  <c r="I8516" i="11"/>
  <c r="H8516" i="11"/>
  <c r="I8518" i="11"/>
  <c r="H8518" i="11"/>
  <c r="I8520" i="11"/>
  <c r="H8520" i="11"/>
  <c r="I8522" i="11"/>
  <c r="H8522" i="11"/>
  <c r="I8524" i="11"/>
  <c r="H8524" i="11"/>
  <c r="I8526" i="11"/>
  <c r="H8526" i="11"/>
  <c r="I8528" i="11"/>
  <c r="H8528" i="11"/>
  <c r="I8530" i="11"/>
  <c r="H8530" i="11"/>
  <c r="I8532" i="11"/>
  <c r="H8532" i="11"/>
  <c r="I8534" i="11"/>
  <c r="H8534" i="11"/>
  <c r="I8536" i="11"/>
  <c r="H8536" i="11"/>
  <c r="I8538" i="11"/>
  <c r="H8538" i="11"/>
  <c r="I8540" i="11"/>
  <c r="H8540" i="11"/>
  <c r="I8542" i="11"/>
  <c r="H8542" i="11"/>
  <c r="I8544" i="11"/>
  <c r="H8544" i="11"/>
  <c r="I8546" i="11"/>
  <c r="H8546" i="11"/>
  <c r="I8548" i="11"/>
  <c r="H8548" i="11"/>
  <c r="I8550" i="11"/>
  <c r="H8550" i="11"/>
  <c r="I8552" i="11"/>
  <c r="H8552" i="11"/>
  <c r="I8554" i="11"/>
  <c r="H8554" i="11"/>
  <c r="I8556" i="11"/>
  <c r="H8556" i="11"/>
  <c r="I8558" i="11"/>
  <c r="H8558" i="11"/>
  <c r="I8560" i="11"/>
  <c r="H8560" i="11"/>
  <c r="I8562" i="11"/>
  <c r="H8562" i="11"/>
  <c r="I8564" i="11"/>
  <c r="H8564" i="11"/>
  <c r="I8566" i="11"/>
  <c r="H8566" i="11"/>
  <c r="I8568" i="11"/>
  <c r="H8568" i="11"/>
  <c r="I8570" i="11"/>
  <c r="H8570" i="11"/>
  <c r="I8572" i="11"/>
  <c r="H8572" i="11"/>
  <c r="I8574" i="11"/>
  <c r="H8574" i="11"/>
  <c r="I8576" i="11"/>
  <c r="H8576" i="11"/>
  <c r="I8578" i="11"/>
  <c r="H8578" i="11"/>
  <c r="I8580" i="11"/>
  <c r="H8580" i="11"/>
  <c r="I8582" i="11"/>
  <c r="H8582" i="11"/>
  <c r="I8584" i="11"/>
  <c r="H8584" i="11"/>
  <c r="I8586" i="11"/>
  <c r="H8586" i="11"/>
  <c r="I8588" i="11"/>
  <c r="H8588" i="11"/>
  <c r="I8590" i="11"/>
  <c r="H8590" i="11"/>
  <c r="I8592" i="11"/>
  <c r="H8592" i="11"/>
  <c r="I8594" i="11"/>
  <c r="H8594" i="11"/>
  <c r="I8596" i="11"/>
  <c r="H8596" i="11"/>
  <c r="I8598" i="11"/>
  <c r="H8598" i="11"/>
  <c r="I8600" i="11"/>
  <c r="H8600" i="11"/>
  <c r="I8602" i="11"/>
  <c r="H8602" i="11"/>
  <c r="I8604" i="11"/>
  <c r="H8604" i="11"/>
  <c r="I8606" i="11"/>
  <c r="H8606" i="11"/>
  <c r="I8608" i="11"/>
  <c r="H8608" i="11"/>
  <c r="I8610" i="11"/>
  <c r="H8610" i="11"/>
  <c r="I8612" i="11"/>
  <c r="H8612" i="11"/>
  <c r="I8614" i="11"/>
  <c r="H8614" i="11"/>
  <c r="I8616" i="11"/>
  <c r="H8616" i="11"/>
  <c r="I8618" i="11"/>
  <c r="H8618" i="11"/>
  <c r="I8620" i="11"/>
  <c r="H8620" i="11"/>
  <c r="I8622" i="11"/>
  <c r="H8622" i="11"/>
  <c r="I8624" i="11"/>
  <c r="H8624" i="11"/>
  <c r="I8626" i="11"/>
  <c r="H8626" i="11"/>
  <c r="I8628" i="11"/>
  <c r="H8628" i="11"/>
  <c r="I8630" i="11"/>
  <c r="H8630" i="11"/>
  <c r="I8632" i="11"/>
  <c r="H8632" i="11"/>
  <c r="I8634" i="11"/>
  <c r="H8634" i="11"/>
  <c r="I8636" i="11"/>
  <c r="H8636" i="11"/>
  <c r="I8638" i="11"/>
  <c r="H8638" i="11"/>
  <c r="I8640" i="11"/>
  <c r="H8640" i="11"/>
  <c r="I8642" i="11"/>
  <c r="H8642" i="11"/>
  <c r="I8644" i="11"/>
  <c r="H8644" i="11"/>
  <c r="I8646" i="11"/>
  <c r="H8646" i="11"/>
  <c r="I8648" i="11"/>
  <c r="H8648" i="11"/>
  <c r="I8650" i="11"/>
  <c r="H8650" i="11"/>
  <c r="I8652" i="11"/>
  <c r="H8652" i="11"/>
  <c r="I8654" i="11"/>
  <c r="H8654" i="11"/>
  <c r="I8656" i="11"/>
  <c r="H8656" i="11"/>
  <c r="I8658" i="11"/>
  <c r="H8658" i="11"/>
  <c r="I8660" i="11"/>
  <c r="H8660" i="11"/>
  <c r="I8662" i="11"/>
  <c r="H8662" i="11"/>
  <c r="I8664" i="11"/>
  <c r="H8664" i="11"/>
  <c r="I8666" i="11"/>
  <c r="H8666" i="11"/>
  <c r="I8668" i="11"/>
  <c r="H8668" i="11"/>
  <c r="I8670" i="11"/>
  <c r="H8670" i="11"/>
  <c r="I8672" i="11"/>
  <c r="H8672" i="11"/>
  <c r="I8674" i="11"/>
  <c r="H8674" i="11"/>
  <c r="I8676" i="11"/>
  <c r="H8676" i="11"/>
  <c r="I8678" i="11"/>
  <c r="H8678" i="11"/>
  <c r="I8680" i="11"/>
  <c r="H8680" i="11"/>
  <c r="I8682" i="11"/>
  <c r="H8682" i="11"/>
  <c r="I8684" i="11"/>
  <c r="H8684" i="11"/>
  <c r="I8686" i="11"/>
  <c r="H8686" i="11"/>
  <c r="I8688" i="11"/>
  <c r="H8688" i="11"/>
  <c r="I8690" i="11"/>
  <c r="H8690" i="11"/>
  <c r="I8692" i="11"/>
  <c r="H8692" i="11"/>
  <c r="I8694" i="11"/>
  <c r="H8694" i="11"/>
  <c r="I8696" i="11"/>
  <c r="H8696" i="11"/>
  <c r="I8698" i="11"/>
  <c r="H8698" i="11"/>
  <c r="I8700" i="11"/>
  <c r="H8700" i="11"/>
  <c r="I8702" i="11"/>
  <c r="H8702" i="11"/>
  <c r="I8704" i="11"/>
  <c r="H8704" i="11"/>
  <c r="I8706" i="11"/>
  <c r="H8706" i="11"/>
  <c r="I8708" i="11"/>
  <c r="H8708" i="11"/>
  <c r="I8710" i="11"/>
  <c r="H8710" i="11"/>
  <c r="I8712" i="11"/>
  <c r="H8712" i="11"/>
  <c r="I8714" i="11"/>
  <c r="H8714" i="11"/>
  <c r="I8716" i="11"/>
  <c r="H8716" i="11"/>
  <c r="I8718" i="11"/>
  <c r="H8718" i="11"/>
  <c r="I8720" i="11"/>
  <c r="H8720" i="11"/>
  <c r="I8722" i="11"/>
  <c r="H8722" i="11"/>
  <c r="I8724" i="11"/>
  <c r="H8724" i="11"/>
  <c r="I8726" i="11"/>
  <c r="H8726" i="11"/>
  <c r="I8728" i="11"/>
  <c r="H8728" i="11"/>
  <c r="I8730" i="11"/>
  <c r="H8730" i="11"/>
  <c r="I8732" i="11"/>
  <c r="H8732" i="11"/>
  <c r="I8734" i="11"/>
  <c r="H8734" i="11"/>
  <c r="I8736" i="11"/>
  <c r="H8736" i="11"/>
  <c r="I8738" i="11"/>
  <c r="H8738" i="11"/>
  <c r="I8740" i="11"/>
  <c r="H8740" i="11"/>
  <c r="I8742" i="11"/>
  <c r="H8742" i="11"/>
  <c r="I8744" i="11"/>
  <c r="H8744" i="11"/>
  <c r="I8746" i="11"/>
  <c r="H8746" i="11"/>
  <c r="I8748" i="11"/>
  <c r="H8748" i="11"/>
  <c r="I8750" i="11"/>
  <c r="H8750" i="11"/>
  <c r="I8752" i="11"/>
  <c r="H8752" i="11"/>
  <c r="I8754" i="11"/>
  <c r="H8754" i="11"/>
  <c r="I8756" i="11"/>
  <c r="H8756" i="11"/>
  <c r="I8758" i="11"/>
  <c r="H8758" i="11"/>
  <c r="I8760" i="11"/>
  <c r="H8760" i="11"/>
  <c r="I8762" i="11"/>
  <c r="H8762" i="11"/>
  <c r="I8764" i="11"/>
  <c r="H8764" i="11"/>
  <c r="I8766" i="11"/>
  <c r="H8766" i="11"/>
  <c r="I8768" i="11"/>
  <c r="H8768" i="11"/>
  <c r="I8770" i="11"/>
  <c r="H8770" i="11"/>
  <c r="I8772" i="11"/>
  <c r="H8772" i="11"/>
  <c r="I8774" i="11"/>
  <c r="H8774" i="11"/>
  <c r="I8776" i="11"/>
  <c r="H8776" i="11"/>
  <c r="I8778" i="11"/>
  <c r="H8778" i="11"/>
  <c r="I8780" i="11"/>
  <c r="H8780" i="11"/>
  <c r="I8782" i="11"/>
  <c r="H8782" i="11"/>
  <c r="I8784" i="11"/>
  <c r="H8784" i="11"/>
  <c r="I8786" i="11"/>
  <c r="H8786" i="11"/>
  <c r="I8788" i="11"/>
  <c r="H8788" i="11"/>
  <c r="I8790" i="11"/>
  <c r="H8790" i="11"/>
  <c r="I8792" i="11"/>
  <c r="H8792" i="11"/>
  <c r="I8794" i="11"/>
  <c r="H8794" i="11"/>
  <c r="I8796" i="11"/>
  <c r="H8796" i="11"/>
  <c r="I8798" i="11"/>
  <c r="H8798" i="11"/>
  <c r="I8800" i="11"/>
  <c r="H8800" i="11"/>
  <c r="I8802" i="11"/>
  <c r="H8802" i="11"/>
  <c r="I8804" i="11"/>
  <c r="H8804" i="11"/>
  <c r="I9166" i="11"/>
  <c r="H9166" i="11"/>
  <c r="I9171" i="11"/>
  <c r="H9171" i="11"/>
  <c r="I9182" i="11"/>
  <c r="H9182" i="11"/>
  <c r="I9187" i="11"/>
  <c r="H9187" i="11"/>
  <c r="I9198" i="11"/>
  <c r="H9198" i="11"/>
  <c r="I9203" i="11"/>
  <c r="H9203" i="11"/>
  <c r="I9214" i="11"/>
  <c r="H9214" i="11"/>
  <c r="I9219" i="11"/>
  <c r="H9219" i="11"/>
  <c r="I9230" i="11"/>
  <c r="H9230" i="11"/>
  <c r="I9235" i="11"/>
  <c r="H9235" i="11"/>
  <c r="I9375" i="11"/>
  <c r="H9375" i="11"/>
  <c r="I9379" i="11"/>
  <c r="H9379" i="11"/>
  <c r="I9383" i="11"/>
  <c r="H9383" i="11"/>
  <c r="I9387" i="11"/>
  <c r="H9387" i="11"/>
  <c r="I9391" i="11"/>
  <c r="H9391" i="11"/>
  <c r="I9395" i="11"/>
  <c r="H9395" i="11"/>
  <c r="I9399" i="11"/>
  <c r="H9399" i="11"/>
  <c r="I9403" i="11"/>
  <c r="H9403" i="11"/>
  <c r="I9407" i="11"/>
  <c r="H9407" i="11"/>
  <c r="I9411" i="11"/>
  <c r="H9411" i="11"/>
  <c r="I9415" i="11"/>
  <c r="H9415" i="11"/>
  <c r="I9419" i="11"/>
  <c r="H9419" i="11"/>
  <c r="I9423" i="11"/>
  <c r="H9423" i="11"/>
  <c r="I9427" i="11"/>
  <c r="H9427" i="11"/>
  <c r="I9431" i="11"/>
  <c r="H9431" i="11"/>
  <c r="I9435" i="11"/>
  <c r="H9435" i="11"/>
  <c r="I9439" i="11"/>
  <c r="H9439" i="11"/>
  <c r="I9443" i="11"/>
  <c r="H9443" i="11"/>
  <c r="I9447" i="11"/>
  <c r="H9447" i="11"/>
  <c r="I9451" i="11"/>
  <c r="H9451" i="11"/>
  <c r="I9455" i="11"/>
  <c r="H9455" i="11"/>
  <c r="I9459" i="11"/>
  <c r="H9459" i="11"/>
  <c r="I9463" i="11"/>
  <c r="H9463" i="11"/>
  <c r="I9467" i="11"/>
  <c r="H9467" i="11"/>
  <c r="I9471" i="11"/>
  <c r="H9471" i="11"/>
  <c r="I9475" i="11"/>
  <c r="H9475" i="11"/>
  <c r="I9479" i="11"/>
  <c r="H9479" i="11"/>
  <c r="I9483" i="11"/>
  <c r="H9483" i="11"/>
  <c r="I9487" i="11"/>
  <c r="H9487" i="11"/>
  <c r="I9491" i="11"/>
  <c r="H9491" i="11"/>
  <c r="I9495" i="11"/>
  <c r="H9495" i="11"/>
  <c r="I9499" i="11"/>
  <c r="H9499" i="11"/>
  <c r="I9503" i="11"/>
  <c r="H9503" i="11"/>
  <c r="I9507" i="11"/>
  <c r="H9507" i="11"/>
  <c r="I9511" i="11"/>
  <c r="H9511" i="11"/>
  <c r="I9515" i="11"/>
  <c r="H9515" i="11"/>
  <c r="I9519" i="11"/>
  <c r="H9519" i="11"/>
  <c r="I9523" i="11"/>
  <c r="H9523" i="11"/>
  <c r="I9527" i="11"/>
  <c r="H9527" i="11"/>
  <c r="I9531" i="11"/>
  <c r="H9531" i="11"/>
  <c r="I9535" i="11"/>
  <c r="H9535" i="11"/>
  <c r="I9539" i="11"/>
  <c r="H9539" i="11"/>
  <c r="I9543" i="11"/>
  <c r="H9543" i="11"/>
  <c r="I9547" i="11"/>
  <c r="H9547" i="11"/>
  <c r="I9551" i="11"/>
  <c r="H9551" i="11"/>
  <c r="I9555" i="11"/>
  <c r="H9555" i="11"/>
  <c r="I9559" i="11"/>
  <c r="H9559" i="11"/>
  <c r="I9563" i="11"/>
  <c r="H9563" i="11"/>
  <c r="I9567" i="11"/>
  <c r="H9567" i="11"/>
  <c r="I9571" i="11"/>
  <c r="H9571" i="11"/>
  <c r="I9575" i="11"/>
  <c r="H9575" i="11"/>
  <c r="I9579" i="11"/>
  <c r="H9579" i="11"/>
  <c r="I9583" i="11"/>
  <c r="H9583" i="11"/>
  <c r="I9587" i="11"/>
  <c r="H9587" i="11"/>
  <c r="I9591" i="11"/>
  <c r="H9591" i="11"/>
  <c r="I9595" i="11"/>
  <c r="H9595" i="11"/>
  <c r="I9599" i="11"/>
  <c r="H9599" i="11"/>
  <c r="I9603" i="11"/>
  <c r="H9603" i="11"/>
  <c r="I9607" i="11"/>
  <c r="H9607" i="11"/>
  <c r="I9611" i="11"/>
  <c r="H9611" i="11"/>
  <c r="I9615" i="11"/>
  <c r="H9615" i="11"/>
  <c r="I9619" i="11"/>
  <c r="H9619" i="11"/>
  <c r="I9623" i="11"/>
  <c r="H9623" i="11"/>
  <c r="I9627" i="11"/>
  <c r="H9627" i="11"/>
  <c r="I9631" i="11"/>
  <c r="H9631" i="11"/>
  <c r="I9635" i="11"/>
  <c r="H9635" i="11"/>
  <c r="I9639" i="11"/>
  <c r="H9639" i="11"/>
  <c r="I9643" i="11"/>
  <c r="H9643" i="11"/>
  <c r="I9647" i="11"/>
  <c r="H9647" i="11"/>
  <c r="I9651" i="11"/>
  <c r="H9651" i="11"/>
  <c r="I9655" i="11"/>
  <c r="H9655" i="11"/>
  <c r="I9659" i="11"/>
  <c r="H9659" i="11"/>
  <c r="I9663" i="11"/>
  <c r="H9663" i="11"/>
  <c r="I9667" i="11"/>
  <c r="H9667" i="11"/>
  <c r="I9671" i="11"/>
  <c r="H9671" i="11"/>
  <c r="I9675" i="11"/>
  <c r="H9675" i="11"/>
  <c r="I9679" i="11"/>
  <c r="H9679" i="11"/>
  <c r="I9683" i="11"/>
  <c r="H9683" i="11"/>
  <c r="I9687" i="11"/>
  <c r="H9687" i="11"/>
  <c r="I9691" i="11"/>
  <c r="H9691" i="11"/>
  <c r="I9695" i="11"/>
  <c r="H9695" i="11"/>
  <c r="I9699" i="11"/>
  <c r="H9699" i="11"/>
  <c r="I9703" i="11"/>
  <c r="H9703" i="11"/>
  <c r="I9707" i="11"/>
  <c r="H9707" i="11"/>
  <c r="I9711" i="11"/>
  <c r="H9711" i="11"/>
  <c r="I9715" i="11"/>
  <c r="H9715" i="11"/>
  <c r="I9719" i="11"/>
  <c r="H9719" i="11"/>
  <c r="I9723" i="11"/>
  <c r="H9723" i="11"/>
  <c r="I9727" i="11"/>
  <c r="H9727" i="11"/>
  <c r="I9731" i="11"/>
  <c r="H9731" i="11"/>
  <c r="I9735" i="11"/>
  <c r="H9735" i="11"/>
  <c r="I9739" i="11"/>
  <c r="H9739" i="11"/>
  <c r="I9743" i="11"/>
  <c r="H9743" i="11"/>
  <c r="I9747" i="11"/>
  <c r="H9747" i="11"/>
  <c r="I9751" i="11"/>
  <c r="H9751" i="11"/>
  <c r="I9755" i="11"/>
  <c r="H9755" i="11"/>
  <c r="I9759" i="11"/>
  <c r="H9759" i="11"/>
  <c r="I9763" i="11"/>
  <c r="H9763" i="11"/>
  <c r="I9767" i="11"/>
  <c r="H9767" i="11"/>
  <c r="I9771" i="11"/>
  <c r="H9771" i="11"/>
  <c r="I9775" i="11"/>
  <c r="H9775" i="11"/>
  <c r="I9779" i="11"/>
  <c r="H9779" i="11"/>
  <c r="I9783" i="11"/>
  <c r="H9783" i="11"/>
  <c r="I9787" i="11"/>
  <c r="H9787" i="11"/>
  <c r="I9791" i="11"/>
  <c r="H9791" i="11"/>
  <c r="I9795" i="11"/>
  <c r="H9795" i="11"/>
  <c r="I9799" i="11"/>
  <c r="H9799" i="11"/>
  <c r="I9803" i="11"/>
  <c r="H9803" i="11"/>
  <c r="I9807" i="11"/>
  <c r="H9807" i="11"/>
  <c r="I9811" i="11"/>
  <c r="H9811" i="11"/>
  <c r="I9815" i="11"/>
  <c r="H9815" i="11"/>
  <c r="I9819" i="11"/>
  <c r="H9819" i="11"/>
  <c r="I9823" i="11"/>
  <c r="H9823" i="11"/>
  <c r="I9827" i="11"/>
  <c r="H9827" i="11"/>
  <c r="I9831" i="11"/>
  <c r="H9831" i="11"/>
  <c r="I9835" i="11"/>
  <c r="H9835" i="11"/>
  <c r="I9839" i="11"/>
  <c r="H9839" i="11"/>
  <c r="I9843" i="11"/>
  <c r="H9843" i="11"/>
  <c r="I9847" i="11"/>
  <c r="H9847" i="11"/>
  <c r="I9851" i="11"/>
  <c r="H9851" i="11"/>
  <c r="I9855" i="11"/>
  <c r="H9855" i="11"/>
  <c r="I9859" i="11"/>
  <c r="H9859" i="11"/>
  <c r="I9863" i="11"/>
  <c r="H9863" i="11"/>
  <c r="I9867" i="11"/>
  <c r="H9867" i="11"/>
  <c r="I9871" i="11"/>
  <c r="H9871" i="11"/>
  <c r="I9875" i="11"/>
  <c r="H9875" i="11"/>
  <c r="I9879" i="11"/>
  <c r="H9879" i="11"/>
  <c r="I9883" i="11"/>
  <c r="H9883" i="11"/>
  <c r="I9887" i="11"/>
  <c r="H9887" i="11"/>
  <c r="I9891" i="11"/>
  <c r="H9891" i="11"/>
  <c r="I9895" i="11"/>
  <c r="H9895" i="11"/>
  <c r="I9899" i="11"/>
  <c r="H9899" i="11"/>
  <c r="I9903" i="11"/>
  <c r="H9903" i="11"/>
  <c r="I9907" i="11"/>
  <c r="H9907" i="11"/>
  <c r="I9911" i="11"/>
  <c r="H9911" i="11"/>
  <c r="I9915" i="11"/>
  <c r="H9915" i="11"/>
  <c r="I9919" i="11"/>
  <c r="H9919" i="11"/>
  <c r="I9923" i="11"/>
  <c r="H9923" i="11"/>
  <c r="I9927" i="11"/>
  <c r="H9927" i="11"/>
  <c r="I9931" i="11"/>
  <c r="H9931" i="11"/>
  <c r="I9935" i="11"/>
  <c r="H9935" i="11"/>
  <c r="I9939" i="11"/>
  <c r="H9939" i="11"/>
  <c r="I9943" i="11"/>
  <c r="H9943" i="11"/>
  <c r="I9947" i="11"/>
  <c r="H9947" i="11"/>
  <c r="I9951" i="11"/>
  <c r="H9951" i="11"/>
  <c r="I9955" i="11"/>
  <c r="H9955" i="11"/>
  <c r="I9959" i="11"/>
  <c r="H9959" i="11"/>
  <c r="I9963" i="11"/>
  <c r="H9963" i="11"/>
  <c r="I9967" i="11"/>
  <c r="H9967" i="11"/>
  <c r="I9971" i="11"/>
  <c r="H9971" i="11"/>
  <c r="I9975" i="11"/>
  <c r="H9975" i="11"/>
  <c r="I9979" i="11"/>
  <c r="H9979" i="11"/>
  <c r="I9983" i="11"/>
  <c r="H9983" i="11"/>
  <c r="I9987" i="11"/>
  <c r="H9987" i="11"/>
  <c r="I9991" i="11"/>
  <c r="H9991" i="11"/>
  <c r="I9995" i="11"/>
  <c r="H9995" i="11"/>
  <c r="I9999" i="11"/>
  <c r="H9999" i="11"/>
  <c r="H8806" i="11"/>
  <c r="H8807" i="11"/>
  <c r="H8808" i="11"/>
  <c r="H8809" i="11"/>
  <c r="H8810" i="11"/>
  <c r="H8811" i="11"/>
  <c r="H8812" i="11"/>
  <c r="H8813" i="11"/>
  <c r="H8814" i="11"/>
  <c r="H8815" i="11"/>
  <c r="H8816" i="11"/>
  <c r="H8817" i="11"/>
  <c r="H8818" i="11"/>
  <c r="H8819" i="11"/>
  <c r="H8820" i="11"/>
  <c r="H8821" i="11"/>
  <c r="H8822" i="11"/>
  <c r="H8823" i="11"/>
  <c r="H8824" i="11"/>
  <c r="H8825" i="11"/>
  <c r="H8826" i="11"/>
  <c r="H8827" i="11"/>
  <c r="H8828" i="11"/>
  <c r="H8829" i="11"/>
  <c r="H8830" i="11"/>
  <c r="H8831" i="11"/>
  <c r="H8832" i="11"/>
  <c r="H8833" i="11"/>
  <c r="H8834" i="11"/>
  <c r="H8835" i="11"/>
  <c r="H8836" i="11"/>
  <c r="H8837" i="11"/>
  <c r="H8838" i="11"/>
  <c r="H8839" i="11"/>
  <c r="H8840" i="11"/>
  <c r="H8841" i="11"/>
  <c r="H8842" i="11"/>
  <c r="H8843" i="11"/>
  <c r="H8844" i="11"/>
  <c r="H8845" i="11"/>
  <c r="H8846" i="11"/>
  <c r="H8847" i="11"/>
  <c r="H8848" i="11"/>
  <c r="H8849" i="11"/>
  <c r="H8850" i="11"/>
  <c r="H8851" i="11"/>
  <c r="H8852" i="11"/>
  <c r="H8853" i="11"/>
  <c r="H8854" i="11"/>
  <c r="H8855" i="11"/>
  <c r="H8856" i="11"/>
  <c r="H8857" i="11"/>
  <c r="H8858" i="11"/>
  <c r="H8859" i="11"/>
  <c r="H8860" i="11"/>
  <c r="H8861" i="11"/>
  <c r="H8862" i="11"/>
  <c r="H8863" i="11"/>
  <c r="H8864" i="11"/>
  <c r="H8865" i="11"/>
  <c r="H8866" i="11"/>
  <c r="H8867" i="11"/>
  <c r="H8868" i="11"/>
  <c r="H8869" i="11"/>
  <c r="H8870" i="11"/>
  <c r="H8871" i="11"/>
  <c r="H8872" i="11"/>
  <c r="H8873" i="11"/>
  <c r="H8874" i="11"/>
  <c r="H8875" i="11"/>
  <c r="H8876" i="11"/>
  <c r="H8877" i="11"/>
  <c r="H8878" i="11"/>
  <c r="H8879" i="11"/>
  <c r="H8880" i="11"/>
  <c r="H8881" i="11"/>
  <c r="H8882" i="11"/>
  <c r="H8883" i="11"/>
  <c r="H8884" i="11"/>
  <c r="H8885" i="11"/>
  <c r="H8886" i="11"/>
  <c r="H8887" i="11"/>
  <c r="H8888" i="11"/>
  <c r="H8889" i="11"/>
  <c r="H8890" i="11"/>
  <c r="H8891" i="11"/>
  <c r="H8892" i="11"/>
  <c r="H8893" i="11"/>
  <c r="H8894" i="11"/>
  <c r="H8895" i="11"/>
  <c r="H8896" i="11"/>
  <c r="H8897" i="11"/>
  <c r="H8898" i="11"/>
  <c r="H8899" i="11"/>
  <c r="H8900" i="11"/>
  <c r="H8901" i="11"/>
  <c r="H8902" i="11"/>
  <c r="H8903" i="11"/>
  <c r="H8904" i="11"/>
  <c r="H8905" i="11"/>
  <c r="H8906" i="11"/>
  <c r="H8907" i="11"/>
  <c r="H8908" i="11"/>
  <c r="H8909" i="11"/>
  <c r="H8910" i="11"/>
  <c r="H8911" i="11"/>
  <c r="H8912" i="11"/>
  <c r="H8913" i="11"/>
  <c r="H8914" i="11"/>
  <c r="H8915" i="11"/>
  <c r="H8916" i="11"/>
  <c r="H8917" i="11"/>
  <c r="H8918" i="11"/>
  <c r="H8919" i="11"/>
  <c r="H8920" i="11"/>
  <c r="H8921" i="11"/>
  <c r="H8922" i="11"/>
  <c r="H8923" i="11"/>
  <c r="H8924" i="11"/>
  <c r="H8925" i="11"/>
  <c r="H8926" i="11"/>
  <c r="H8927" i="11"/>
  <c r="H8928" i="11"/>
  <c r="H8929" i="11"/>
  <c r="H8930" i="11"/>
  <c r="H8931" i="11"/>
  <c r="H8932" i="11"/>
  <c r="H8933" i="11"/>
  <c r="H8934" i="11"/>
  <c r="H8935" i="11"/>
  <c r="H8936" i="11"/>
  <c r="H8937" i="11"/>
  <c r="H8938" i="11"/>
  <c r="H8939" i="11"/>
  <c r="H8940" i="11"/>
  <c r="H8941" i="11"/>
  <c r="H8942" i="11"/>
  <c r="H8943" i="11"/>
  <c r="H8944" i="11"/>
  <c r="H8945" i="11"/>
  <c r="H8946" i="11"/>
  <c r="H8947" i="11"/>
  <c r="H8948" i="11"/>
  <c r="H8949" i="11"/>
  <c r="H8950" i="11"/>
  <c r="H8951" i="11"/>
  <c r="H8952" i="11"/>
  <c r="H8953" i="11"/>
  <c r="H8954" i="11"/>
  <c r="H8955" i="11"/>
  <c r="H8956" i="11"/>
  <c r="H8957" i="11"/>
  <c r="H8958" i="11"/>
  <c r="H8959" i="11"/>
  <c r="H8960" i="11"/>
  <c r="H8961" i="11"/>
  <c r="H8962" i="11"/>
  <c r="H8963" i="11"/>
  <c r="H8964" i="11"/>
  <c r="H8965" i="11"/>
  <c r="H8966" i="11"/>
  <c r="H8967" i="11"/>
  <c r="H8968" i="11"/>
  <c r="H8969" i="11"/>
  <c r="H8970" i="11"/>
  <c r="H8971" i="11"/>
  <c r="H8972" i="11"/>
  <c r="H8973" i="11"/>
  <c r="H8974" i="11"/>
  <c r="H8975" i="11"/>
  <c r="H8976" i="11"/>
  <c r="H8977" i="11"/>
  <c r="H8978" i="11"/>
  <c r="H8979" i="11"/>
  <c r="H8980" i="11"/>
  <c r="H8981" i="11"/>
  <c r="H8982" i="11"/>
  <c r="H8983" i="11"/>
  <c r="H8984" i="11"/>
  <c r="H8985" i="11"/>
  <c r="H8986" i="11"/>
  <c r="H8987" i="11"/>
  <c r="H8988" i="11"/>
  <c r="H8989" i="11"/>
  <c r="H8990" i="11"/>
  <c r="H8991" i="11"/>
  <c r="H8992" i="11"/>
  <c r="H8993" i="11"/>
  <c r="H8994" i="11"/>
  <c r="H8995" i="11"/>
  <c r="H8996" i="11"/>
  <c r="H8997" i="11"/>
  <c r="H8998" i="11"/>
  <c r="H8999" i="11"/>
  <c r="H9000" i="11"/>
  <c r="H9001" i="11"/>
  <c r="H9002" i="11"/>
  <c r="H9003" i="11"/>
  <c r="H9004" i="11"/>
  <c r="H9005" i="11"/>
  <c r="H9006" i="11"/>
  <c r="H9007" i="11"/>
  <c r="H9008" i="11"/>
  <c r="H9009" i="11"/>
  <c r="H9010" i="11"/>
  <c r="H9011" i="11"/>
  <c r="H9012" i="11"/>
  <c r="H9013" i="11"/>
  <c r="H9014" i="11"/>
  <c r="H9015" i="11"/>
  <c r="H9016" i="11"/>
  <c r="H9017" i="11"/>
  <c r="H9018" i="11"/>
  <c r="H9019" i="11"/>
  <c r="H9020" i="11"/>
  <c r="H9021" i="11"/>
  <c r="H9022" i="11"/>
  <c r="H9023" i="11"/>
  <c r="H9024" i="11"/>
  <c r="H9025" i="11"/>
  <c r="H9026" i="11"/>
  <c r="H9027" i="11"/>
  <c r="H9028" i="11"/>
  <c r="H9029" i="11"/>
  <c r="H9030" i="11"/>
  <c r="H9031" i="11"/>
  <c r="H9032" i="11"/>
  <c r="H9033" i="11"/>
  <c r="H9034" i="11"/>
  <c r="H9035" i="11"/>
  <c r="H9036" i="11"/>
  <c r="H9037" i="11"/>
  <c r="H9038" i="11"/>
  <c r="H9039" i="11"/>
  <c r="H9040" i="11"/>
  <c r="H9041" i="11"/>
  <c r="H9042" i="11"/>
  <c r="H9043" i="11"/>
  <c r="H9044" i="11"/>
  <c r="H9045" i="11"/>
  <c r="H9046" i="11"/>
  <c r="H9047" i="11"/>
  <c r="H9048" i="11"/>
  <c r="H9049" i="11"/>
  <c r="H9050" i="11"/>
  <c r="H9051" i="11"/>
  <c r="H9052" i="11"/>
  <c r="H9053" i="11"/>
  <c r="H9054" i="11"/>
  <c r="H9055" i="11"/>
  <c r="H9056" i="11"/>
  <c r="H9057" i="11"/>
  <c r="H9058" i="11"/>
  <c r="H9059" i="11"/>
  <c r="H9060" i="11"/>
  <c r="H9061" i="11"/>
  <c r="H9062" i="11"/>
  <c r="H9063" i="11"/>
  <c r="H9064" i="11"/>
  <c r="H9065" i="11"/>
  <c r="H9066" i="11"/>
  <c r="H9067" i="11"/>
  <c r="H9068" i="11"/>
  <c r="H9069" i="11"/>
  <c r="H9070" i="11"/>
  <c r="H9071" i="11"/>
  <c r="H9072" i="11"/>
  <c r="H9073" i="11"/>
  <c r="H9074" i="11"/>
  <c r="H9075" i="11"/>
  <c r="H9076" i="11"/>
  <c r="H9077" i="11"/>
  <c r="H9078" i="11"/>
  <c r="I9376" i="11"/>
  <c r="H9376" i="11"/>
  <c r="I9380" i="11"/>
  <c r="H9380" i="11"/>
  <c r="I9384" i="11"/>
  <c r="H9384" i="11"/>
  <c r="I9388" i="11"/>
  <c r="H9388" i="11"/>
  <c r="I9392" i="11"/>
  <c r="H9392" i="11"/>
  <c r="I9396" i="11"/>
  <c r="H9396" i="11"/>
  <c r="I9400" i="11"/>
  <c r="H9400" i="11"/>
  <c r="I9404" i="11"/>
  <c r="H9404" i="11"/>
  <c r="I9408" i="11"/>
  <c r="H9408" i="11"/>
  <c r="I9412" i="11"/>
  <c r="H9412" i="11"/>
  <c r="I9416" i="11"/>
  <c r="H9416" i="11"/>
  <c r="I9420" i="11"/>
  <c r="H9420" i="11"/>
  <c r="I9424" i="11"/>
  <c r="H9424" i="11"/>
  <c r="I9428" i="11"/>
  <c r="H9428" i="11"/>
  <c r="I9432" i="11"/>
  <c r="H9432" i="11"/>
  <c r="I9436" i="11"/>
  <c r="H9436" i="11"/>
  <c r="I9440" i="11"/>
  <c r="H9440" i="11"/>
  <c r="I9444" i="11"/>
  <c r="H9444" i="11"/>
  <c r="I9448" i="11"/>
  <c r="H9448" i="11"/>
  <c r="I9452" i="11"/>
  <c r="H9452" i="11"/>
  <c r="I9456" i="11"/>
  <c r="H9456" i="11"/>
  <c r="I9460" i="11"/>
  <c r="H9460" i="11"/>
  <c r="I9464" i="11"/>
  <c r="H9464" i="11"/>
  <c r="I9468" i="11"/>
  <c r="H9468" i="11"/>
  <c r="I9472" i="11"/>
  <c r="H9472" i="11"/>
  <c r="I9476" i="11"/>
  <c r="H9476" i="11"/>
  <c r="I9480" i="11"/>
  <c r="H9480" i="11"/>
  <c r="I9484" i="11"/>
  <c r="H9484" i="11"/>
  <c r="I9488" i="11"/>
  <c r="H9488" i="11"/>
  <c r="I9492" i="11"/>
  <c r="H9492" i="11"/>
  <c r="I9496" i="11"/>
  <c r="H9496" i="11"/>
  <c r="I9500" i="11"/>
  <c r="H9500" i="11"/>
  <c r="I9504" i="11"/>
  <c r="H9504" i="11"/>
  <c r="I9508" i="11"/>
  <c r="H9508" i="11"/>
  <c r="I9512" i="11"/>
  <c r="H9512" i="11"/>
  <c r="I9516" i="11"/>
  <c r="H9516" i="11"/>
  <c r="I9520" i="11"/>
  <c r="H9520" i="11"/>
  <c r="I9524" i="11"/>
  <c r="H9524" i="11"/>
  <c r="I9528" i="11"/>
  <c r="H9528" i="11"/>
  <c r="I9532" i="11"/>
  <c r="H9532" i="11"/>
  <c r="I9536" i="11"/>
  <c r="H9536" i="11"/>
  <c r="I9540" i="11"/>
  <c r="H9540" i="11"/>
  <c r="I9544" i="11"/>
  <c r="H9544" i="11"/>
  <c r="I9548" i="11"/>
  <c r="H9548" i="11"/>
  <c r="I9552" i="11"/>
  <c r="H9552" i="11"/>
  <c r="I9556" i="11"/>
  <c r="H9556" i="11"/>
  <c r="I9560" i="11"/>
  <c r="H9560" i="11"/>
  <c r="I9564" i="11"/>
  <c r="H9564" i="11"/>
  <c r="I9568" i="11"/>
  <c r="H9568" i="11"/>
  <c r="I9572" i="11"/>
  <c r="H9572" i="11"/>
  <c r="I9576" i="11"/>
  <c r="H9576" i="11"/>
  <c r="I9580" i="11"/>
  <c r="H9580" i="11"/>
  <c r="I9584" i="11"/>
  <c r="H9584" i="11"/>
  <c r="I9588" i="11"/>
  <c r="H9588" i="11"/>
  <c r="I9592" i="11"/>
  <c r="H9592" i="11"/>
  <c r="I9596" i="11"/>
  <c r="H9596" i="11"/>
  <c r="I9600" i="11"/>
  <c r="H9600" i="11"/>
  <c r="I9604" i="11"/>
  <c r="H9604" i="11"/>
  <c r="I9608" i="11"/>
  <c r="H9608" i="11"/>
  <c r="I9612" i="11"/>
  <c r="H9612" i="11"/>
  <c r="I9616" i="11"/>
  <c r="H9616" i="11"/>
  <c r="I9620" i="11"/>
  <c r="H9620" i="11"/>
  <c r="I9624" i="11"/>
  <c r="H9624" i="11"/>
  <c r="I9628" i="11"/>
  <c r="H9628" i="11"/>
  <c r="I9632" i="11"/>
  <c r="H9632" i="11"/>
  <c r="I9636" i="11"/>
  <c r="H9636" i="11"/>
  <c r="I9640" i="11"/>
  <c r="H9640" i="11"/>
  <c r="I9644" i="11"/>
  <c r="H9644" i="11"/>
  <c r="I9648" i="11"/>
  <c r="H9648" i="11"/>
  <c r="I9652" i="11"/>
  <c r="H9652" i="11"/>
  <c r="I9656" i="11"/>
  <c r="H9656" i="11"/>
  <c r="I9660" i="11"/>
  <c r="H9660" i="11"/>
  <c r="I9664" i="11"/>
  <c r="H9664" i="11"/>
  <c r="I9668" i="11"/>
  <c r="H9668" i="11"/>
  <c r="I9672" i="11"/>
  <c r="H9672" i="11"/>
  <c r="I9676" i="11"/>
  <c r="H9676" i="11"/>
  <c r="I9680" i="11"/>
  <c r="H9680" i="11"/>
  <c r="I9684" i="11"/>
  <c r="H9684" i="11"/>
  <c r="I9688" i="11"/>
  <c r="H9688" i="11"/>
  <c r="I9692" i="11"/>
  <c r="H9692" i="11"/>
  <c r="I9696" i="11"/>
  <c r="H9696" i="11"/>
  <c r="I9700" i="11"/>
  <c r="H9700" i="11"/>
  <c r="I9704" i="11"/>
  <c r="H9704" i="11"/>
  <c r="I9708" i="11"/>
  <c r="H9708" i="11"/>
  <c r="I9712" i="11"/>
  <c r="H9712" i="11"/>
  <c r="I9716" i="11"/>
  <c r="H9716" i="11"/>
  <c r="I9720" i="11"/>
  <c r="H9720" i="11"/>
  <c r="I9724" i="11"/>
  <c r="H9724" i="11"/>
  <c r="I9728" i="11"/>
  <c r="H9728" i="11"/>
  <c r="I9732" i="11"/>
  <c r="H9732" i="11"/>
  <c r="I9736" i="11"/>
  <c r="H9736" i="11"/>
  <c r="I9740" i="11"/>
  <c r="H9740" i="11"/>
  <c r="I9744" i="11"/>
  <c r="H9744" i="11"/>
  <c r="I9748" i="11"/>
  <c r="H9748" i="11"/>
  <c r="I9752" i="11"/>
  <c r="H9752" i="11"/>
  <c r="I9756" i="11"/>
  <c r="H9756" i="11"/>
  <c r="I9760" i="11"/>
  <c r="H9760" i="11"/>
  <c r="I9764" i="11"/>
  <c r="H9764" i="11"/>
  <c r="I9768" i="11"/>
  <c r="H9768" i="11"/>
  <c r="I9772" i="11"/>
  <c r="H9772" i="11"/>
  <c r="I9776" i="11"/>
  <c r="H9776" i="11"/>
  <c r="I9780" i="11"/>
  <c r="H9780" i="11"/>
  <c r="I9784" i="11"/>
  <c r="H9784" i="11"/>
  <c r="I9788" i="11"/>
  <c r="H9788" i="11"/>
  <c r="I9792" i="11"/>
  <c r="H9792" i="11"/>
  <c r="I9796" i="11"/>
  <c r="H9796" i="11"/>
  <c r="I9800" i="11"/>
  <c r="H9800" i="11"/>
  <c r="I9804" i="11"/>
  <c r="H9804" i="11"/>
  <c r="I9808" i="11"/>
  <c r="H9808" i="11"/>
  <c r="I9812" i="11"/>
  <c r="H9812" i="11"/>
  <c r="I9816" i="11"/>
  <c r="H9816" i="11"/>
  <c r="I9820" i="11"/>
  <c r="H9820" i="11"/>
  <c r="I9824" i="11"/>
  <c r="H9824" i="11"/>
  <c r="I9828" i="11"/>
  <c r="H9828" i="11"/>
  <c r="I9832" i="11"/>
  <c r="H9832" i="11"/>
  <c r="I9836" i="11"/>
  <c r="H9836" i="11"/>
  <c r="I9840" i="11"/>
  <c r="H9840" i="11"/>
  <c r="I9844" i="11"/>
  <c r="H9844" i="11"/>
  <c r="I9848" i="11"/>
  <c r="H9848" i="11"/>
  <c r="I9852" i="11"/>
  <c r="H9852" i="11"/>
  <c r="I9856" i="11"/>
  <c r="H9856" i="11"/>
  <c r="I9860" i="11"/>
  <c r="H9860" i="11"/>
  <c r="I9864" i="11"/>
  <c r="H9864" i="11"/>
  <c r="I9868" i="11"/>
  <c r="H9868" i="11"/>
  <c r="I9872" i="11"/>
  <c r="H9872" i="11"/>
  <c r="I9876" i="11"/>
  <c r="H9876" i="11"/>
  <c r="I9880" i="11"/>
  <c r="H9880" i="11"/>
  <c r="I9884" i="11"/>
  <c r="H9884" i="11"/>
  <c r="I9888" i="11"/>
  <c r="H9888" i="11"/>
  <c r="I9892" i="11"/>
  <c r="H9892" i="11"/>
  <c r="I9896" i="11"/>
  <c r="H9896" i="11"/>
  <c r="I9900" i="11"/>
  <c r="H9900" i="11"/>
  <c r="I9904" i="11"/>
  <c r="H9904" i="11"/>
  <c r="I9908" i="11"/>
  <c r="H9908" i="11"/>
  <c r="I9912" i="11"/>
  <c r="H9912" i="11"/>
  <c r="I9916" i="11"/>
  <c r="H9916" i="11"/>
  <c r="I9920" i="11"/>
  <c r="H9920" i="11"/>
  <c r="I9924" i="11"/>
  <c r="H9924" i="11"/>
  <c r="I9928" i="11"/>
  <c r="H9928" i="11"/>
  <c r="I9932" i="11"/>
  <c r="H9932" i="11"/>
  <c r="I9936" i="11"/>
  <c r="H9936" i="11"/>
  <c r="I9940" i="11"/>
  <c r="H9940" i="11"/>
  <c r="I9944" i="11"/>
  <c r="H9944" i="11"/>
  <c r="I9948" i="11"/>
  <c r="H9948" i="11"/>
  <c r="I9952" i="11"/>
  <c r="H9952" i="11"/>
  <c r="I9956" i="11"/>
  <c r="H9956" i="11"/>
  <c r="I9960" i="11"/>
  <c r="H9960" i="11"/>
  <c r="I9964" i="11"/>
  <c r="H9964" i="11"/>
  <c r="I9968" i="11"/>
  <c r="H9968" i="11"/>
  <c r="I9972" i="11"/>
  <c r="H9972" i="11"/>
  <c r="I9976" i="11"/>
  <c r="H9976" i="11"/>
  <c r="I9980" i="11"/>
  <c r="H9980" i="11"/>
  <c r="I9984" i="11"/>
  <c r="H9984" i="11"/>
  <c r="I9988" i="11"/>
  <c r="H9988" i="11"/>
  <c r="I9992" i="11"/>
  <c r="H9992" i="11"/>
  <c r="I9996" i="11"/>
  <c r="H9996" i="11"/>
  <c r="I10000" i="11"/>
  <c r="H10000" i="11"/>
  <c r="H9160" i="11"/>
  <c r="H9164" i="11"/>
  <c r="H9168" i="11"/>
  <c r="H9172" i="11"/>
  <c r="H9176" i="11"/>
  <c r="H9180" i="11"/>
  <c r="H9184" i="11"/>
  <c r="H9188" i="11"/>
  <c r="H9192" i="11"/>
  <c r="H9196" i="11"/>
  <c r="H9200" i="11"/>
  <c r="H9204" i="11"/>
  <c r="H9208" i="11"/>
  <c r="H9212" i="11"/>
  <c r="H9216" i="11"/>
  <c r="H9220" i="11"/>
  <c r="H9224" i="11"/>
  <c r="H9228" i="11"/>
  <c r="H9232" i="11"/>
  <c r="I9373" i="11"/>
  <c r="H9373" i="11"/>
  <c r="I9377" i="11"/>
  <c r="H9377" i="11"/>
  <c r="I9381" i="11"/>
  <c r="H9381" i="11"/>
  <c r="I9385" i="11"/>
  <c r="H9385" i="11"/>
  <c r="I9389" i="11"/>
  <c r="H9389" i="11"/>
  <c r="I9393" i="11"/>
  <c r="H9393" i="11"/>
  <c r="I9397" i="11"/>
  <c r="H9397" i="11"/>
  <c r="I9401" i="11"/>
  <c r="H9401" i="11"/>
  <c r="I9405" i="11"/>
  <c r="H9405" i="11"/>
  <c r="I9409" i="11"/>
  <c r="H9409" i="11"/>
  <c r="I9413" i="11"/>
  <c r="H9413" i="11"/>
  <c r="I9417" i="11"/>
  <c r="H9417" i="11"/>
  <c r="I9421" i="11"/>
  <c r="H9421" i="11"/>
  <c r="I9425" i="11"/>
  <c r="H9425" i="11"/>
  <c r="I9429" i="11"/>
  <c r="H9429" i="11"/>
  <c r="I9433" i="11"/>
  <c r="H9433" i="11"/>
  <c r="I9437" i="11"/>
  <c r="H9437" i="11"/>
  <c r="I9441" i="11"/>
  <c r="H9441" i="11"/>
  <c r="I9445" i="11"/>
  <c r="H9445" i="11"/>
  <c r="I9449" i="11"/>
  <c r="H9449" i="11"/>
  <c r="I9453" i="11"/>
  <c r="H9453" i="11"/>
  <c r="I9457" i="11"/>
  <c r="H9457" i="11"/>
  <c r="I9461" i="11"/>
  <c r="H9461" i="11"/>
  <c r="I9465" i="11"/>
  <c r="H9465" i="11"/>
  <c r="I9469" i="11"/>
  <c r="H9469" i="11"/>
  <c r="I9473" i="11"/>
  <c r="H9473" i="11"/>
  <c r="I9477" i="11"/>
  <c r="H9477" i="11"/>
  <c r="I9481" i="11"/>
  <c r="H9481" i="11"/>
  <c r="I9485" i="11"/>
  <c r="H9485" i="11"/>
  <c r="I9489" i="11"/>
  <c r="H9489" i="11"/>
  <c r="I9493" i="11"/>
  <c r="H9493" i="11"/>
  <c r="I9497" i="11"/>
  <c r="H9497" i="11"/>
  <c r="I9501" i="11"/>
  <c r="H9501" i="11"/>
  <c r="I9505" i="11"/>
  <c r="H9505" i="11"/>
  <c r="I9509" i="11"/>
  <c r="H9509" i="11"/>
  <c r="I9513" i="11"/>
  <c r="H9513" i="11"/>
  <c r="I9517" i="11"/>
  <c r="H9517" i="11"/>
  <c r="I9521" i="11"/>
  <c r="H9521" i="11"/>
  <c r="I9525" i="11"/>
  <c r="H9525" i="11"/>
  <c r="I9529" i="11"/>
  <c r="H9529" i="11"/>
  <c r="I9533" i="11"/>
  <c r="H9533" i="11"/>
  <c r="I9537" i="11"/>
  <c r="H9537" i="11"/>
  <c r="I9541" i="11"/>
  <c r="H9541" i="11"/>
  <c r="I9545" i="11"/>
  <c r="H9545" i="11"/>
  <c r="I9549" i="11"/>
  <c r="H9549" i="11"/>
  <c r="I9553" i="11"/>
  <c r="H9553" i="11"/>
  <c r="I9557" i="11"/>
  <c r="H9557" i="11"/>
  <c r="I9561" i="11"/>
  <c r="H9561" i="11"/>
  <c r="I9565" i="11"/>
  <c r="H9565" i="11"/>
  <c r="I9569" i="11"/>
  <c r="H9569" i="11"/>
  <c r="I9573" i="11"/>
  <c r="H9573" i="11"/>
  <c r="I9577" i="11"/>
  <c r="H9577" i="11"/>
  <c r="I9581" i="11"/>
  <c r="H9581" i="11"/>
  <c r="I9585" i="11"/>
  <c r="H9585" i="11"/>
  <c r="I9589" i="11"/>
  <c r="H9589" i="11"/>
  <c r="I9593" i="11"/>
  <c r="H9593" i="11"/>
  <c r="I9597" i="11"/>
  <c r="H9597" i="11"/>
  <c r="I9601" i="11"/>
  <c r="H9601" i="11"/>
  <c r="I9605" i="11"/>
  <c r="H9605" i="11"/>
  <c r="I9609" i="11"/>
  <c r="H9609" i="11"/>
  <c r="I9613" i="11"/>
  <c r="H9613" i="11"/>
  <c r="I9617" i="11"/>
  <c r="H9617" i="11"/>
  <c r="I9621" i="11"/>
  <c r="H9621" i="11"/>
  <c r="I9625" i="11"/>
  <c r="H9625" i="11"/>
  <c r="I9629" i="11"/>
  <c r="H9629" i="11"/>
  <c r="I9633" i="11"/>
  <c r="H9633" i="11"/>
  <c r="I9637" i="11"/>
  <c r="H9637" i="11"/>
  <c r="I9641" i="11"/>
  <c r="H9641" i="11"/>
  <c r="I9645" i="11"/>
  <c r="H9645" i="11"/>
  <c r="I9649" i="11"/>
  <c r="H9649" i="11"/>
  <c r="I9653" i="11"/>
  <c r="H9653" i="11"/>
  <c r="I9657" i="11"/>
  <c r="H9657" i="11"/>
  <c r="I9661" i="11"/>
  <c r="H9661" i="11"/>
  <c r="I9665" i="11"/>
  <c r="H9665" i="11"/>
  <c r="I9669" i="11"/>
  <c r="H9669" i="11"/>
  <c r="I9673" i="11"/>
  <c r="H9673" i="11"/>
  <c r="I9677" i="11"/>
  <c r="H9677" i="11"/>
  <c r="I9681" i="11"/>
  <c r="H9681" i="11"/>
  <c r="I9685" i="11"/>
  <c r="H9685" i="11"/>
  <c r="I9689" i="11"/>
  <c r="H9689" i="11"/>
  <c r="I9693" i="11"/>
  <c r="H9693" i="11"/>
  <c r="I9697" i="11"/>
  <c r="H9697" i="11"/>
  <c r="I9701" i="11"/>
  <c r="H9701" i="11"/>
  <c r="I9705" i="11"/>
  <c r="H9705" i="11"/>
  <c r="I9709" i="11"/>
  <c r="H9709" i="11"/>
  <c r="I9713" i="11"/>
  <c r="H9713" i="11"/>
  <c r="I9717" i="11"/>
  <c r="H9717" i="11"/>
  <c r="I9721" i="11"/>
  <c r="H9721" i="11"/>
  <c r="I9725" i="11"/>
  <c r="H9725" i="11"/>
  <c r="I9729" i="11"/>
  <c r="H9729" i="11"/>
  <c r="I9733" i="11"/>
  <c r="H9733" i="11"/>
  <c r="I9737" i="11"/>
  <c r="H9737" i="11"/>
  <c r="I9741" i="11"/>
  <c r="H9741" i="11"/>
  <c r="I9745" i="11"/>
  <c r="H9745" i="11"/>
  <c r="I9749" i="11"/>
  <c r="H9749" i="11"/>
  <c r="I9753" i="11"/>
  <c r="H9753" i="11"/>
  <c r="I9757" i="11"/>
  <c r="H9757" i="11"/>
  <c r="I9761" i="11"/>
  <c r="H9761" i="11"/>
  <c r="I9765" i="11"/>
  <c r="H9765" i="11"/>
  <c r="I9769" i="11"/>
  <c r="H9769" i="11"/>
  <c r="I9773" i="11"/>
  <c r="H9773" i="11"/>
  <c r="I9777" i="11"/>
  <c r="H9777" i="11"/>
  <c r="I9781" i="11"/>
  <c r="H9781" i="11"/>
  <c r="I9785" i="11"/>
  <c r="H9785" i="11"/>
  <c r="I9789" i="11"/>
  <c r="H9789" i="11"/>
  <c r="I9793" i="11"/>
  <c r="H9793" i="11"/>
  <c r="I9797" i="11"/>
  <c r="H9797" i="11"/>
  <c r="I9801" i="11"/>
  <c r="H9801" i="11"/>
  <c r="I9805" i="11"/>
  <c r="H9805" i="11"/>
  <c r="I9809" i="11"/>
  <c r="H9809" i="11"/>
  <c r="I9813" i="11"/>
  <c r="H9813" i="11"/>
  <c r="I9817" i="11"/>
  <c r="H9817" i="11"/>
  <c r="I9821" i="11"/>
  <c r="H9821" i="11"/>
  <c r="I9825" i="11"/>
  <c r="H9825" i="11"/>
  <c r="I9829" i="11"/>
  <c r="H9829" i="11"/>
  <c r="I9833" i="11"/>
  <c r="H9833" i="11"/>
  <c r="I9837" i="11"/>
  <c r="H9837" i="11"/>
  <c r="I9841" i="11"/>
  <c r="H9841" i="11"/>
  <c r="I9845" i="11"/>
  <c r="H9845" i="11"/>
  <c r="I9849" i="11"/>
  <c r="H9849" i="11"/>
  <c r="I9853" i="11"/>
  <c r="H9853" i="11"/>
  <c r="I9857" i="11"/>
  <c r="H9857" i="11"/>
  <c r="I9861" i="11"/>
  <c r="H9861" i="11"/>
  <c r="I9865" i="11"/>
  <c r="H9865" i="11"/>
  <c r="I9869" i="11"/>
  <c r="H9869" i="11"/>
  <c r="I9873" i="11"/>
  <c r="H9873" i="11"/>
  <c r="I9877" i="11"/>
  <c r="H9877" i="11"/>
  <c r="I9881" i="11"/>
  <c r="H9881" i="11"/>
  <c r="I9885" i="11"/>
  <c r="H9885" i="11"/>
  <c r="I9889" i="11"/>
  <c r="H9889" i="11"/>
  <c r="I9893" i="11"/>
  <c r="H9893" i="11"/>
  <c r="I9897" i="11"/>
  <c r="H9897" i="11"/>
  <c r="I9901" i="11"/>
  <c r="H9901" i="11"/>
  <c r="I9905" i="11"/>
  <c r="H9905" i="11"/>
  <c r="I9909" i="11"/>
  <c r="H9909" i="11"/>
  <c r="I9913" i="11"/>
  <c r="H9913" i="11"/>
  <c r="I9917" i="11"/>
  <c r="H9917" i="11"/>
  <c r="I9921" i="11"/>
  <c r="H9921" i="11"/>
  <c r="I9925" i="11"/>
  <c r="H9925" i="11"/>
  <c r="I9929" i="11"/>
  <c r="H9929" i="11"/>
  <c r="I9933" i="11"/>
  <c r="H9933" i="11"/>
  <c r="I9937" i="11"/>
  <c r="H9937" i="11"/>
  <c r="I9941" i="11"/>
  <c r="H9941" i="11"/>
  <c r="I9945" i="11"/>
  <c r="H9945" i="11"/>
  <c r="I9949" i="11"/>
  <c r="H9949" i="11"/>
  <c r="I9953" i="11"/>
  <c r="H9953" i="11"/>
  <c r="I9957" i="11"/>
  <c r="H9957" i="11"/>
  <c r="I9961" i="11"/>
  <c r="H9961" i="11"/>
  <c r="I9965" i="11"/>
  <c r="H9965" i="11"/>
  <c r="I9969" i="11"/>
  <c r="H9969" i="11"/>
  <c r="I9973" i="11"/>
  <c r="H9973" i="11"/>
  <c r="I9977" i="11"/>
  <c r="H9977" i="11"/>
  <c r="I9981" i="11"/>
  <c r="H9981" i="11"/>
  <c r="I9985" i="11"/>
  <c r="H9985" i="11"/>
  <c r="I9989" i="11"/>
  <c r="H9989" i="11"/>
  <c r="I9993" i="11"/>
  <c r="H9993" i="11"/>
  <c r="I9997" i="11"/>
  <c r="H9997" i="11"/>
  <c r="H9237" i="11"/>
  <c r="H9239" i="11"/>
  <c r="H9241" i="11"/>
  <c r="H9243" i="11"/>
  <c r="H9245" i="11"/>
  <c r="H9247" i="11"/>
  <c r="H9249" i="11"/>
  <c r="H9251" i="11"/>
  <c r="H9253" i="11"/>
  <c r="H9255" i="11"/>
  <c r="H9257" i="11"/>
  <c r="H9259" i="11"/>
  <c r="H9261" i="11"/>
  <c r="H9263" i="11"/>
  <c r="H9265" i="11"/>
  <c r="H9267" i="11"/>
  <c r="H9269" i="11"/>
  <c r="H9271" i="11"/>
  <c r="H9273" i="11"/>
  <c r="H9275" i="11"/>
  <c r="H9277" i="11"/>
  <c r="H9279" i="11"/>
  <c r="H9281" i="11"/>
  <c r="H9283" i="11"/>
  <c r="H9285" i="11"/>
  <c r="H9287" i="11"/>
  <c r="H9289" i="11"/>
  <c r="H9291" i="11"/>
  <c r="H9293" i="11"/>
  <c r="H9295" i="11"/>
  <c r="H9297" i="11"/>
  <c r="H9299" i="11"/>
  <c r="H9301" i="11"/>
  <c r="H9303" i="11"/>
  <c r="H9305" i="11"/>
  <c r="H9307" i="11"/>
  <c r="H9309" i="11"/>
  <c r="H9311" i="11"/>
  <c r="H9313" i="11"/>
  <c r="H9315" i="11"/>
  <c r="H9317" i="11"/>
  <c r="H9319" i="11"/>
  <c r="H9321" i="11"/>
  <c r="H9323" i="11"/>
  <c r="H9325" i="11"/>
  <c r="H9327" i="11"/>
  <c r="H9329" i="11"/>
  <c r="H9331" i="11"/>
  <c r="H9333" i="11"/>
  <c r="H9335" i="11"/>
  <c r="H9337" i="11"/>
  <c r="H9339" i="11"/>
  <c r="H9341" i="11"/>
  <c r="H9343" i="11"/>
  <c r="H9345" i="11"/>
  <c r="H9347" i="11"/>
  <c r="H9349" i="11"/>
  <c r="H9351" i="11"/>
  <c r="H9353" i="11"/>
  <c r="H9355" i="11"/>
  <c r="H9357" i="11"/>
  <c r="H9359" i="11"/>
  <c r="H9361" i="11"/>
  <c r="H9363" i="11"/>
  <c r="H9365" i="11"/>
  <c r="H9367" i="11"/>
  <c r="H9369" i="11"/>
  <c r="H9371" i="11"/>
  <c r="I9374" i="11"/>
  <c r="H9374" i="11"/>
  <c r="I9378" i="11"/>
  <c r="H9378" i="11"/>
  <c r="I9382" i="11"/>
  <c r="H9382" i="11"/>
  <c r="I9386" i="11"/>
  <c r="H9386" i="11"/>
  <c r="I9390" i="11"/>
  <c r="H9390" i="11"/>
  <c r="I9394" i="11"/>
  <c r="H9394" i="11"/>
  <c r="I9398" i="11"/>
  <c r="H9398" i="11"/>
  <c r="I9402" i="11"/>
  <c r="H9402" i="11"/>
  <c r="I9406" i="11"/>
  <c r="H9406" i="11"/>
  <c r="I9410" i="11"/>
  <c r="H9410" i="11"/>
  <c r="I9414" i="11"/>
  <c r="H9414" i="11"/>
  <c r="I9418" i="11"/>
  <c r="H9418" i="11"/>
  <c r="I9422" i="11"/>
  <c r="H9422" i="11"/>
  <c r="I9426" i="11"/>
  <c r="H9426" i="11"/>
  <c r="I9430" i="11"/>
  <c r="H9430" i="11"/>
  <c r="I9434" i="11"/>
  <c r="H9434" i="11"/>
  <c r="I9438" i="11"/>
  <c r="H9438" i="11"/>
  <c r="I9442" i="11"/>
  <c r="H9442" i="11"/>
  <c r="I9446" i="11"/>
  <c r="H9446" i="11"/>
  <c r="I9450" i="11"/>
  <c r="H9450" i="11"/>
  <c r="I9454" i="11"/>
  <c r="H9454" i="11"/>
  <c r="I9458" i="11"/>
  <c r="H9458" i="11"/>
  <c r="I9462" i="11"/>
  <c r="H9462" i="11"/>
  <c r="I9466" i="11"/>
  <c r="H9466" i="11"/>
  <c r="I9470" i="11"/>
  <c r="H9470" i="11"/>
  <c r="I9474" i="11"/>
  <c r="H9474" i="11"/>
  <c r="I9478" i="11"/>
  <c r="H9478" i="11"/>
  <c r="I9482" i="11"/>
  <c r="H9482" i="11"/>
  <c r="I9486" i="11"/>
  <c r="H9486" i="11"/>
  <c r="I9490" i="11"/>
  <c r="H9490" i="11"/>
  <c r="I9494" i="11"/>
  <c r="H9494" i="11"/>
  <c r="I9498" i="11"/>
  <c r="H9498" i="11"/>
  <c r="I9502" i="11"/>
  <c r="H9502" i="11"/>
  <c r="I9506" i="11"/>
  <c r="H9506" i="11"/>
  <c r="I9510" i="11"/>
  <c r="H9510" i="11"/>
  <c r="I9514" i="11"/>
  <c r="H9514" i="11"/>
  <c r="I9518" i="11"/>
  <c r="H9518" i="11"/>
  <c r="I9522" i="11"/>
  <c r="H9522" i="11"/>
  <c r="I9526" i="11"/>
  <c r="H9526" i="11"/>
  <c r="I9530" i="11"/>
  <c r="H9530" i="11"/>
  <c r="I9534" i="11"/>
  <c r="H9534" i="11"/>
  <c r="I9538" i="11"/>
  <c r="H9538" i="11"/>
  <c r="I9542" i="11"/>
  <c r="H9542" i="11"/>
  <c r="I9546" i="11"/>
  <c r="H9546" i="11"/>
  <c r="I9550" i="11"/>
  <c r="H9550" i="11"/>
  <c r="I9554" i="11"/>
  <c r="H9554" i="11"/>
  <c r="I9558" i="11"/>
  <c r="H9558" i="11"/>
  <c r="I9562" i="11"/>
  <c r="H9562" i="11"/>
  <c r="I9566" i="11"/>
  <c r="H9566" i="11"/>
  <c r="I9570" i="11"/>
  <c r="H9570" i="11"/>
  <c r="I9574" i="11"/>
  <c r="H9574" i="11"/>
  <c r="I9578" i="11"/>
  <c r="H9578" i="11"/>
  <c r="I9582" i="11"/>
  <c r="H9582" i="11"/>
  <c r="I9586" i="11"/>
  <c r="H9586" i="11"/>
  <c r="I9590" i="11"/>
  <c r="H9590" i="11"/>
  <c r="I9594" i="11"/>
  <c r="H9594" i="11"/>
  <c r="I9598" i="11"/>
  <c r="H9598" i="11"/>
  <c r="I9602" i="11"/>
  <c r="H9602" i="11"/>
  <c r="I9606" i="11"/>
  <c r="H9606" i="11"/>
  <c r="I9610" i="11"/>
  <c r="H9610" i="11"/>
  <c r="I9614" i="11"/>
  <c r="H9614" i="11"/>
  <c r="I9618" i="11"/>
  <c r="H9618" i="11"/>
  <c r="I9622" i="11"/>
  <c r="H9622" i="11"/>
  <c r="I9626" i="11"/>
  <c r="H9626" i="11"/>
  <c r="I9630" i="11"/>
  <c r="H9630" i="11"/>
  <c r="I9634" i="11"/>
  <c r="H9634" i="11"/>
  <c r="I9638" i="11"/>
  <c r="H9638" i="11"/>
  <c r="I9642" i="11"/>
  <c r="H9642" i="11"/>
  <c r="I9646" i="11"/>
  <c r="H9646" i="11"/>
  <c r="I9650" i="11"/>
  <c r="H9650" i="11"/>
  <c r="I9654" i="11"/>
  <c r="H9654" i="11"/>
  <c r="I9658" i="11"/>
  <c r="H9658" i="11"/>
  <c r="I9662" i="11"/>
  <c r="H9662" i="11"/>
  <c r="I9666" i="11"/>
  <c r="H9666" i="11"/>
  <c r="I9670" i="11"/>
  <c r="H9670" i="11"/>
  <c r="I9674" i="11"/>
  <c r="H9674" i="11"/>
  <c r="I9678" i="11"/>
  <c r="H9678" i="11"/>
  <c r="I9682" i="11"/>
  <c r="H9682" i="11"/>
  <c r="I9686" i="11"/>
  <c r="H9686" i="11"/>
  <c r="I9690" i="11"/>
  <c r="H9690" i="11"/>
  <c r="I9694" i="11"/>
  <c r="H9694" i="11"/>
  <c r="I9698" i="11"/>
  <c r="H9698" i="11"/>
  <c r="I9702" i="11"/>
  <c r="H9702" i="11"/>
  <c r="I9706" i="11"/>
  <c r="H9706" i="11"/>
  <c r="I9710" i="11"/>
  <c r="H9710" i="11"/>
  <c r="I9714" i="11"/>
  <c r="H9714" i="11"/>
  <c r="I9718" i="11"/>
  <c r="H9718" i="11"/>
  <c r="I9722" i="11"/>
  <c r="H9722" i="11"/>
  <c r="I9726" i="11"/>
  <c r="H9726" i="11"/>
  <c r="I9730" i="11"/>
  <c r="H9730" i="11"/>
  <c r="I9734" i="11"/>
  <c r="H9734" i="11"/>
  <c r="I9738" i="11"/>
  <c r="H9738" i="11"/>
  <c r="I9742" i="11"/>
  <c r="H9742" i="11"/>
  <c r="I9746" i="11"/>
  <c r="H9746" i="11"/>
  <c r="I9750" i="11"/>
  <c r="H9750" i="11"/>
  <c r="I9754" i="11"/>
  <c r="H9754" i="11"/>
  <c r="I9758" i="11"/>
  <c r="H9758" i="11"/>
  <c r="I9762" i="11"/>
  <c r="H9762" i="11"/>
  <c r="I9766" i="11"/>
  <c r="H9766" i="11"/>
  <c r="I9770" i="11"/>
  <c r="H9770" i="11"/>
  <c r="I9774" i="11"/>
  <c r="H9774" i="11"/>
  <c r="I9778" i="11"/>
  <c r="H9778" i="11"/>
  <c r="I9782" i="11"/>
  <c r="H9782" i="11"/>
  <c r="I9786" i="11"/>
  <c r="H9786" i="11"/>
  <c r="I9790" i="11"/>
  <c r="H9790" i="11"/>
  <c r="I9794" i="11"/>
  <c r="H9794" i="11"/>
  <c r="I9798" i="11"/>
  <c r="H9798" i="11"/>
  <c r="I9802" i="11"/>
  <c r="H9802" i="11"/>
  <c r="I9806" i="11"/>
  <c r="H9806" i="11"/>
  <c r="I9810" i="11"/>
  <c r="H9810" i="11"/>
  <c r="I9814" i="11"/>
  <c r="H9814" i="11"/>
  <c r="I9818" i="11"/>
  <c r="H9818" i="11"/>
  <c r="I9822" i="11"/>
  <c r="H9822" i="11"/>
  <c r="I9826" i="11"/>
  <c r="H9826" i="11"/>
  <c r="I9830" i="11"/>
  <c r="H9830" i="11"/>
  <c r="I9834" i="11"/>
  <c r="H9834" i="11"/>
  <c r="I9838" i="11"/>
  <c r="H9838" i="11"/>
  <c r="I9842" i="11"/>
  <c r="H9842" i="11"/>
  <c r="I9846" i="11"/>
  <c r="H9846" i="11"/>
  <c r="I9850" i="11"/>
  <c r="H9850" i="11"/>
  <c r="I9854" i="11"/>
  <c r="H9854" i="11"/>
  <c r="I9858" i="11"/>
  <c r="H9858" i="11"/>
  <c r="I9862" i="11"/>
  <c r="H9862" i="11"/>
  <c r="I9866" i="11"/>
  <c r="H9866" i="11"/>
  <c r="I9870" i="11"/>
  <c r="H9870" i="11"/>
  <c r="I9874" i="11"/>
  <c r="H9874" i="11"/>
  <c r="I9878" i="11"/>
  <c r="H9878" i="11"/>
  <c r="I9882" i="11"/>
  <c r="H9882" i="11"/>
  <c r="I9886" i="11"/>
  <c r="H9886" i="11"/>
  <c r="I9890" i="11"/>
  <c r="H9890" i="11"/>
  <c r="I9894" i="11"/>
  <c r="H9894" i="11"/>
  <c r="I9898" i="11"/>
  <c r="H9898" i="11"/>
  <c r="I9902" i="11"/>
  <c r="H9902" i="11"/>
  <c r="I9906" i="11"/>
  <c r="H9906" i="11"/>
  <c r="I9910" i="11"/>
  <c r="H9910" i="11"/>
  <c r="I9914" i="11"/>
  <c r="H9914" i="11"/>
  <c r="I9918" i="11"/>
  <c r="H9918" i="11"/>
  <c r="I9922" i="11"/>
  <c r="H9922" i="11"/>
  <c r="I9926" i="11"/>
  <c r="H9926" i="11"/>
  <c r="I9930" i="11"/>
  <c r="H9930" i="11"/>
  <c r="I9934" i="11"/>
  <c r="H9934" i="11"/>
  <c r="I9938" i="11"/>
  <c r="H9938" i="11"/>
  <c r="I9942" i="11"/>
  <c r="H9942" i="11"/>
  <c r="I9946" i="11"/>
  <c r="H9946" i="11"/>
  <c r="I9950" i="11"/>
  <c r="H9950" i="11"/>
  <c r="I9954" i="11"/>
  <c r="H9954" i="11"/>
  <c r="I9958" i="11"/>
  <c r="H9958" i="11"/>
  <c r="I9962" i="11"/>
  <c r="H9962" i="11"/>
  <c r="I9966" i="11"/>
  <c r="H9966" i="11"/>
  <c r="I9970" i="11"/>
  <c r="H9970" i="11"/>
  <c r="I9974" i="11"/>
  <c r="H9974" i="11"/>
  <c r="I9978" i="11"/>
  <c r="H9978" i="11"/>
  <c r="I9982" i="11"/>
  <c r="H9982" i="11"/>
  <c r="I9986" i="11"/>
  <c r="H9986" i="11"/>
  <c r="I9990" i="11"/>
  <c r="H9990" i="11"/>
  <c r="I9994" i="11"/>
  <c r="H9994" i="11"/>
  <c r="I9998" i="11"/>
  <c r="H9998" i="11"/>
  <c r="H26" i="14"/>
  <c r="H58" i="14"/>
  <c r="H90" i="14"/>
  <c r="H122" i="14"/>
  <c r="H154" i="14"/>
  <c r="H186" i="14"/>
  <c r="H218" i="14"/>
  <c r="H250" i="14"/>
  <c r="H282" i="14"/>
  <c r="H314" i="14"/>
  <c r="H348" i="14"/>
  <c r="H391" i="14"/>
  <c r="H434" i="14"/>
  <c r="H476" i="14"/>
  <c r="H519" i="14"/>
  <c r="H562" i="14"/>
  <c r="H604" i="14"/>
  <c r="H647" i="14"/>
  <c r="H690" i="14"/>
  <c r="H732" i="14"/>
  <c r="H775" i="14"/>
  <c r="H818" i="14"/>
  <c r="H860" i="14"/>
  <c r="H903" i="14"/>
  <c r="H946" i="14"/>
  <c r="H988" i="14"/>
  <c r="H1031" i="14"/>
  <c r="H1074" i="14"/>
  <c r="H1116" i="14"/>
  <c r="H1159" i="14"/>
  <c r="H1202" i="14"/>
  <c r="H1244" i="14"/>
  <c r="H1287" i="14"/>
  <c r="H1330" i="14"/>
  <c r="H1372" i="14"/>
  <c r="H1415" i="14"/>
  <c r="H1458" i="14"/>
  <c r="H1500" i="14"/>
  <c r="H1543" i="14"/>
  <c r="H1586" i="14"/>
  <c r="H1628" i="14"/>
  <c r="H1671" i="14"/>
  <c r="H1714" i="14"/>
  <c r="H1756" i="14"/>
  <c r="H1799" i="14"/>
  <c r="H1848" i="14"/>
  <c r="H1906" i="14"/>
  <c r="H1962" i="14"/>
  <c r="H2019" i="14"/>
  <c r="H2086" i="14"/>
  <c r="H2160" i="14"/>
  <c r="H2236" i="14"/>
  <c r="H2312" i="14"/>
  <c r="H2391" i="14"/>
  <c r="H2534" i="14"/>
  <c r="H2686" i="14"/>
  <c r="H2835" i="14"/>
  <c r="H3054" i="14"/>
  <c r="H3363" i="14"/>
  <c r="H3763" i="14"/>
  <c r="H5442" i="14"/>
  <c r="H5438" i="14"/>
  <c r="H5434" i="14"/>
  <c r="H5430" i="14"/>
  <c r="H5426" i="14"/>
  <c r="H5422" i="14"/>
  <c r="H5418" i="14"/>
  <c r="H5414" i="14"/>
  <c r="H5410" i="14"/>
  <c r="H5406" i="14"/>
  <c r="H5402" i="14"/>
  <c r="H5398" i="14"/>
  <c r="H5394" i="14"/>
  <c r="H5390" i="14"/>
  <c r="H5386" i="14"/>
  <c r="H5382" i="14"/>
  <c r="H5378" i="14"/>
  <c r="H5374" i="14"/>
  <c r="H5370" i="14"/>
  <c r="H5366" i="14"/>
  <c r="H5362" i="14"/>
  <c r="H5358" i="14"/>
  <c r="H5354" i="14"/>
  <c r="H5350" i="14"/>
  <c r="H5346" i="14"/>
  <c r="H5342" i="14"/>
  <c r="H5338" i="14"/>
  <c r="H5334" i="14"/>
  <c r="H5330" i="14"/>
  <c r="H5326" i="14"/>
  <c r="H5322" i="14"/>
  <c r="H5318" i="14"/>
  <c r="H5314" i="14"/>
  <c r="H5310" i="14"/>
  <c r="H5306" i="14"/>
  <c r="H5302" i="14"/>
  <c r="H5298" i="14"/>
  <c r="H5294" i="14"/>
  <c r="H5290" i="14"/>
  <c r="H5286" i="14"/>
  <c r="H5282" i="14"/>
  <c r="H5278" i="14"/>
  <c r="H5274" i="14"/>
  <c r="H5270" i="14"/>
  <c r="H5266" i="14"/>
  <c r="H5262" i="14"/>
  <c r="H5258" i="14"/>
  <c r="H5254" i="14"/>
  <c r="H5250" i="14"/>
  <c r="H5246" i="14"/>
  <c r="H5242" i="14"/>
  <c r="H5238" i="14"/>
  <c r="H5234" i="14"/>
  <c r="H5230" i="14"/>
  <c r="H5226" i="14"/>
  <c r="H5222" i="14"/>
  <c r="H5218" i="14"/>
  <c r="H5214" i="14"/>
  <c r="H5210" i="14"/>
  <c r="H5206" i="14"/>
  <c r="H5202" i="14"/>
  <c r="H5198" i="14"/>
  <c r="H5194" i="14"/>
  <c r="H5190" i="14"/>
  <c r="H5186" i="14"/>
  <c r="H5182" i="14"/>
  <c r="H5178" i="14"/>
  <c r="H5174" i="14"/>
  <c r="H5170" i="14"/>
  <c r="H5166" i="14"/>
  <c r="H5162" i="14"/>
  <c r="H5158" i="14"/>
  <c r="H5154" i="14"/>
  <c r="H5150" i="14"/>
  <c r="H5146" i="14"/>
  <c r="H5142" i="14"/>
  <c r="H5138" i="14"/>
  <c r="H5440" i="14"/>
  <c r="H5436" i="14"/>
  <c r="H5432" i="14"/>
  <c r="H5428" i="14"/>
  <c r="H5424" i="14"/>
  <c r="H5420" i="14"/>
  <c r="H5416" i="14"/>
  <c r="H5412" i="14"/>
  <c r="H5408" i="14"/>
  <c r="H5404" i="14"/>
  <c r="H5400" i="14"/>
  <c r="H5396" i="14"/>
  <c r="H5392" i="14"/>
  <c r="H5388" i="14"/>
  <c r="H5384" i="14"/>
  <c r="H5380" i="14"/>
  <c r="H5376" i="14"/>
  <c r="H5372" i="14"/>
  <c r="H5368" i="14"/>
  <c r="H5364" i="14"/>
  <c r="H5360" i="14"/>
  <c r="H5356" i="14"/>
  <c r="H5352" i="14"/>
  <c r="H5348" i="14"/>
  <c r="H5344" i="14"/>
  <c r="H5340" i="14"/>
  <c r="H5336" i="14"/>
  <c r="H5332" i="14"/>
  <c r="H5328" i="14"/>
  <c r="H5324" i="14"/>
  <c r="H5320" i="14"/>
  <c r="H5316" i="14"/>
  <c r="H5312" i="14"/>
  <c r="H5308" i="14"/>
  <c r="H5304" i="14"/>
  <c r="H5300" i="14"/>
  <c r="H5296" i="14"/>
  <c r="H5292" i="14"/>
  <c r="H5288" i="14"/>
  <c r="H5284" i="14"/>
  <c r="H5280" i="14"/>
  <c r="H5276" i="14"/>
  <c r="H5272" i="14"/>
  <c r="H5268" i="14"/>
  <c r="H5264" i="14"/>
  <c r="H5260" i="14"/>
  <c r="H5256" i="14"/>
  <c r="H5252" i="14"/>
  <c r="H5248" i="14"/>
  <c r="H5244" i="14"/>
  <c r="H5240" i="14"/>
  <c r="H5236" i="14"/>
  <c r="H5232" i="14"/>
  <c r="H5228" i="14"/>
  <c r="H5224" i="14"/>
  <c r="H5220" i="14"/>
  <c r="H5216" i="14"/>
  <c r="H5212" i="14"/>
  <c r="H5208" i="14"/>
  <c r="H5204" i="14"/>
  <c r="H5200" i="14"/>
  <c r="H5196" i="14"/>
  <c r="H5192" i="14"/>
  <c r="H5188" i="14"/>
  <c r="H5184" i="14"/>
  <c r="H5180" i="14"/>
  <c r="H5176" i="14"/>
  <c r="H5172" i="14"/>
  <c r="H5168" i="14"/>
  <c r="H5164" i="14"/>
  <c r="H5160" i="14"/>
  <c r="H5156" i="14"/>
  <c r="H5152" i="14"/>
  <c r="H5148" i="14"/>
  <c r="H5144" i="14"/>
  <c r="H5140" i="14"/>
  <c r="H5136" i="14"/>
  <c r="H5132" i="14"/>
  <c r="H5443" i="14"/>
  <c r="H5435" i="14"/>
  <c r="H5427" i="14"/>
  <c r="H5419" i="14"/>
  <c r="H5411" i="14"/>
  <c r="H5403" i="14"/>
  <c r="H5395" i="14"/>
  <c r="H5387" i="14"/>
  <c r="H5379" i="14"/>
  <c r="H5371" i="14"/>
  <c r="H5363" i="14"/>
  <c r="H5355" i="14"/>
  <c r="H5347" i="14"/>
  <c r="H5339" i="14"/>
  <c r="H5331" i="14"/>
  <c r="H5323" i="14"/>
  <c r="H5315" i="14"/>
  <c r="H5307" i="14"/>
  <c r="H5299" i="14"/>
  <c r="H5291" i="14"/>
  <c r="H5283" i="14"/>
  <c r="H5275" i="14"/>
  <c r="H5267" i="14"/>
  <c r="H5259" i="14"/>
  <c r="H5251" i="14"/>
  <c r="H5243" i="14"/>
  <c r="H5235" i="14"/>
  <c r="H5227" i="14"/>
  <c r="H5219" i="14"/>
  <c r="H5211" i="14"/>
  <c r="H5203" i="14"/>
  <c r="H5195" i="14"/>
  <c r="H5187" i="14"/>
  <c r="H5179" i="14"/>
  <c r="H5171" i="14"/>
  <c r="H5163" i="14"/>
  <c r="H5155" i="14"/>
  <c r="H5147" i="14"/>
  <c r="H5139" i="14"/>
  <c r="H5133" i="14"/>
  <c r="H5128" i="14"/>
  <c r="H5124" i="14"/>
  <c r="H5120" i="14"/>
  <c r="H5116" i="14"/>
  <c r="H5112" i="14"/>
  <c r="H5108" i="14"/>
  <c r="H5104" i="14"/>
  <c r="H5100" i="14"/>
  <c r="H5096" i="14"/>
  <c r="H5092" i="14"/>
  <c r="H5088" i="14"/>
  <c r="H5084" i="14"/>
  <c r="H5080" i="14"/>
  <c r="H5076" i="14"/>
  <c r="H5072" i="14"/>
  <c r="H5068" i="14"/>
  <c r="H5064" i="14"/>
  <c r="H5060" i="14"/>
  <c r="H5056" i="14"/>
  <c r="H5052" i="14"/>
  <c r="H5048" i="14"/>
  <c r="H5044" i="14"/>
  <c r="H5040" i="14"/>
  <c r="H5036" i="14"/>
  <c r="H5032" i="14"/>
  <c r="H5028" i="14"/>
  <c r="H5024" i="14"/>
  <c r="H5020" i="14"/>
  <c r="H5016" i="14"/>
  <c r="H5012" i="14"/>
  <c r="H5008" i="14"/>
  <c r="H5004" i="14"/>
  <c r="H5000" i="14"/>
  <c r="H4996" i="14"/>
  <c r="H4992" i="14"/>
  <c r="H4988" i="14"/>
  <c r="H4984" i="14"/>
  <c r="H4980" i="14"/>
  <c r="H4976" i="14"/>
  <c r="H4972" i="14"/>
  <c r="H4968" i="14"/>
  <c r="H4964" i="14"/>
  <c r="H4960" i="14"/>
  <c r="H4956" i="14"/>
  <c r="H5441" i="14"/>
  <c r="H5433" i="14"/>
  <c r="H5423" i="14"/>
  <c r="H5413" i="14"/>
  <c r="H5401" i="14"/>
  <c r="H5391" i="14"/>
  <c r="H5381" i="14"/>
  <c r="H5369" i="14"/>
  <c r="H5359" i="14"/>
  <c r="H5349" i="14"/>
  <c r="H5337" i="14"/>
  <c r="H5327" i="14"/>
  <c r="H5317" i="14"/>
  <c r="H5305" i="14"/>
  <c r="H5295" i="14"/>
  <c r="H5285" i="14"/>
  <c r="H5273" i="14"/>
  <c r="H5263" i="14"/>
  <c r="H5253" i="14"/>
  <c r="H5241" i="14"/>
  <c r="H5231" i="14"/>
  <c r="H5221" i="14"/>
  <c r="H5209" i="14"/>
  <c r="H5199" i="14"/>
  <c r="H5189" i="14"/>
  <c r="H5177" i="14"/>
  <c r="H5167" i="14"/>
  <c r="H5157" i="14"/>
  <c r="H5145" i="14"/>
  <c r="H5135" i="14"/>
  <c r="H5129" i="14"/>
  <c r="H5123" i="14"/>
  <c r="H5118" i="14"/>
  <c r="H5113" i="14"/>
  <c r="H5107" i="14"/>
  <c r="H5102" i="14"/>
  <c r="H5097" i="14"/>
  <c r="H5091" i="14"/>
  <c r="H5086" i="14"/>
  <c r="H5081" i="14"/>
  <c r="H5075" i="14"/>
  <c r="H5070" i="14"/>
  <c r="H5065" i="14"/>
  <c r="H5059" i="14"/>
  <c r="H5054" i="14"/>
  <c r="H5049" i="14"/>
  <c r="H5043" i="14"/>
  <c r="H5038" i="14"/>
  <c r="H5033" i="14"/>
  <c r="H5027" i="14"/>
  <c r="H5022" i="14"/>
  <c r="H5017" i="14"/>
  <c r="H5011" i="14"/>
  <c r="H5006" i="14"/>
  <c r="H5001" i="14"/>
  <c r="H4995" i="14"/>
  <c r="H4990" i="14"/>
  <c r="H4985" i="14"/>
  <c r="H4979" i="14"/>
  <c r="H4974" i="14"/>
  <c r="H4969" i="14"/>
  <c r="H4963" i="14"/>
  <c r="H4958" i="14"/>
  <c r="H4953" i="14"/>
  <c r="H4949" i="14"/>
  <c r="H4945" i="14"/>
  <c r="H4941" i="14"/>
  <c r="H4937" i="14"/>
  <c r="H4933" i="14"/>
  <c r="H5431" i="14"/>
  <c r="H5421" i="14"/>
  <c r="H5409" i="14"/>
  <c r="H5399" i="14"/>
  <c r="H5389" i="14"/>
  <c r="H5377" i="14"/>
  <c r="H5367" i="14"/>
  <c r="H5357" i="14"/>
  <c r="H5345" i="14"/>
  <c r="H5335" i="14"/>
  <c r="H5325" i="14"/>
  <c r="H5313" i="14"/>
  <c r="H5303" i="14"/>
  <c r="H5293" i="14"/>
  <c r="H5281" i="14"/>
  <c r="H5271" i="14"/>
  <c r="H5261" i="14"/>
  <c r="H5249" i="14"/>
  <c r="H5239" i="14"/>
  <c r="H5229" i="14"/>
  <c r="H5217" i="14"/>
  <c r="H5207" i="14"/>
  <c r="H5197" i="14"/>
  <c r="H5185" i="14"/>
  <c r="H5175" i="14"/>
  <c r="H5165" i="14"/>
  <c r="H5153" i="14"/>
  <c r="H5143" i="14"/>
  <c r="H5134" i="14"/>
  <c r="H5127" i="14"/>
  <c r="H5122" i="14"/>
  <c r="H5117" i="14"/>
  <c r="H5111" i="14"/>
  <c r="H5106" i="14"/>
  <c r="H5101" i="14"/>
  <c r="H5095" i="14"/>
  <c r="H5090" i="14"/>
  <c r="H5085" i="14"/>
  <c r="H5079" i="14"/>
  <c r="H5074" i="14"/>
  <c r="H5069" i="14"/>
  <c r="H5063" i="14"/>
  <c r="H5058" i="14"/>
  <c r="H5053" i="14"/>
  <c r="H5047" i="14"/>
  <c r="H5042" i="14"/>
  <c r="H5037" i="14"/>
  <c r="H5031" i="14"/>
  <c r="H5026" i="14"/>
  <c r="H5021" i="14"/>
  <c r="H5015" i="14"/>
  <c r="H5010" i="14"/>
  <c r="H5005" i="14"/>
  <c r="H4999" i="14"/>
  <c r="H4994" i="14"/>
  <c r="H4989" i="14"/>
  <c r="H4983" i="14"/>
  <c r="H4978" i="14"/>
  <c r="H4973" i="14"/>
  <c r="H4967" i="14"/>
  <c r="H4962" i="14"/>
  <c r="H4957" i="14"/>
  <c r="H4952" i="14"/>
  <c r="H4948" i="14"/>
  <c r="H4944" i="14"/>
  <c r="H4940" i="14"/>
  <c r="H4936" i="14"/>
  <c r="H4932" i="14"/>
  <c r="H4928" i="14"/>
  <c r="H4924" i="14"/>
  <c r="H4920" i="14"/>
  <c r="H4916" i="14"/>
  <c r="H4912" i="14"/>
  <c r="H4908" i="14"/>
  <c r="H4904" i="14"/>
  <c r="H4900" i="14"/>
  <c r="H4896" i="14"/>
  <c r="H4892" i="14"/>
  <c r="H4888" i="14"/>
  <c r="H4884" i="14"/>
  <c r="H4880" i="14"/>
  <c r="H4876" i="14"/>
  <c r="H4872" i="14"/>
  <c r="H4868" i="14"/>
  <c r="H5439" i="14"/>
  <c r="H5417" i="14"/>
  <c r="H5397" i="14"/>
  <c r="H5375" i="14"/>
  <c r="H5353" i="14"/>
  <c r="H5333" i="14"/>
  <c r="H5311" i="14"/>
  <c r="H5289" i="14"/>
  <c r="H5269" i="14"/>
  <c r="H5247" i="14"/>
  <c r="H5225" i="14"/>
  <c r="H5205" i="14"/>
  <c r="H5183" i="14"/>
  <c r="H5161" i="14"/>
  <c r="H5141" i="14"/>
  <c r="H5126" i="14"/>
  <c r="H5115" i="14"/>
  <c r="H5105" i="14"/>
  <c r="H5094" i="14"/>
  <c r="H5083" i="14"/>
  <c r="H5073" i="14"/>
  <c r="H5062" i="14"/>
  <c r="H5051" i="14"/>
  <c r="H5041" i="14"/>
  <c r="H5030" i="14"/>
  <c r="H5019" i="14"/>
  <c r="H5009" i="14"/>
  <c r="H4998" i="14"/>
  <c r="H4987" i="14"/>
  <c r="H4977" i="14"/>
  <c r="H4966" i="14"/>
  <c r="H4955" i="14"/>
  <c r="H4947" i="14"/>
  <c r="H4939" i="14"/>
  <c r="H4931" i="14"/>
  <c r="H4926" i="14"/>
  <c r="H4921" i="14"/>
  <c r="H4915" i="14"/>
  <c r="H4910" i="14"/>
  <c r="H4905" i="14"/>
  <c r="H4899" i="14"/>
  <c r="H4894" i="14"/>
  <c r="H4889" i="14"/>
  <c r="H4883" i="14"/>
  <c r="H4878" i="14"/>
  <c r="H4873" i="14"/>
  <c r="H4867" i="14"/>
  <c r="H4863" i="14"/>
  <c r="H4859" i="14"/>
  <c r="H4855" i="14"/>
  <c r="H4851" i="14"/>
  <c r="H4847" i="14"/>
  <c r="H4843" i="14"/>
  <c r="H4839" i="14"/>
  <c r="H4835" i="14"/>
  <c r="H4831" i="14"/>
  <c r="H4827" i="14"/>
  <c r="H4823" i="14"/>
  <c r="H4819" i="14"/>
  <c r="H4815" i="14"/>
  <c r="H4811" i="14"/>
  <c r="H4807" i="14"/>
  <c r="H4803" i="14"/>
  <c r="H4799" i="14"/>
  <c r="H4795" i="14"/>
  <c r="H4791" i="14"/>
  <c r="H4787" i="14"/>
  <c r="H4783" i="14"/>
  <c r="H4779" i="14"/>
  <c r="H4775" i="14"/>
  <c r="H4771" i="14"/>
  <c r="H4767" i="14"/>
  <c r="H4763" i="14"/>
  <c r="H4759" i="14"/>
  <c r="H4755" i="14"/>
  <c r="H4751" i="14"/>
  <c r="H4747" i="14"/>
  <c r="H4743" i="14"/>
  <c r="H4739" i="14"/>
  <c r="H4735" i="14"/>
  <c r="H4731" i="14"/>
  <c r="H4727" i="14"/>
  <c r="H4723" i="14"/>
  <c r="H4719" i="14"/>
  <c r="H4715" i="14"/>
  <c r="H4711" i="14"/>
  <c r="H4707" i="14"/>
  <c r="H4703" i="14"/>
  <c r="H4699" i="14"/>
  <c r="H4695" i="14"/>
  <c r="H4691" i="14"/>
  <c r="H4687" i="14"/>
  <c r="H4683" i="14"/>
  <c r="H4679" i="14"/>
  <c r="H4675" i="14"/>
  <c r="H4671" i="14"/>
  <c r="H4667" i="14"/>
  <c r="H4663" i="14"/>
  <c r="H4659" i="14"/>
  <c r="H4655" i="14"/>
  <c r="H4651" i="14"/>
  <c r="H4647" i="14"/>
  <c r="H4643" i="14"/>
  <c r="H4639" i="14"/>
  <c r="H4635" i="14"/>
  <c r="H4631" i="14"/>
  <c r="H4627" i="14"/>
  <c r="H4623" i="14"/>
  <c r="H4619" i="14"/>
  <c r="H4615" i="14"/>
  <c r="H4611" i="14"/>
  <c r="H4607" i="14"/>
  <c r="H4603" i="14"/>
  <c r="H4599" i="14"/>
  <c r="H4595" i="14"/>
  <c r="H4591" i="14"/>
  <c r="H4587" i="14"/>
  <c r="H4583" i="14"/>
  <c r="H4579" i="14"/>
  <c r="H4575" i="14"/>
  <c r="H4571" i="14"/>
  <c r="H4567" i="14"/>
  <c r="H4563" i="14"/>
  <c r="H4559" i="14"/>
  <c r="H4555" i="14"/>
  <c r="H4551" i="14"/>
  <c r="H4547" i="14"/>
  <c r="H4543" i="14"/>
  <c r="H4539" i="14"/>
  <c r="H4535" i="14"/>
  <c r="H4531" i="14"/>
  <c r="H4527" i="14"/>
  <c r="H4523" i="14"/>
  <c r="H4519" i="14"/>
  <c r="H4515" i="14"/>
  <c r="H4511" i="14"/>
  <c r="H4507" i="14"/>
  <c r="H4503" i="14"/>
  <c r="H4499" i="14"/>
  <c r="H4495" i="14"/>
  <c r="H4491" i="14"/>
  <c r="H4487" i="14"/>
  <c r="H4483" i="14"/>
  <c r="H4479" i="14"/>
  <c r="H4475" i="14"/>
  <c r="H4471" i="14"/>
  <c r="H5437" i="14"/>
  <c r="H5415" i="14"/>
  <c r="H5393" i="14"/>
  <c r="H5373" i="14"/>
  <c r="H5351" i="14"/>
  <c r="H5329" i="14"/>
  <c r="H5309" i="14"/>
  <c r="H5287" i="14"/>
  <c r="H5265" i="14"/>
  <c r="H5245" i="14"/>
  <c r="H5223" i="14"/>
  <c r="H5201" i="14"/>
  <c r="H5181" i="14"/>
  <c r="H5159" i="14"/>
  <c r="H5137" i="14"/>
  <c r="H5125" i="14"/>
  <c r="H5114" i="14"/>
  <c r="H5103" i="14"/>
  <c r="H5093" i="14"/>
  <c r="H5082" i="14"/>
  <c r="H5071" i="14"/>
  <c r="H5061" i="14"/>
  <c r="H5050" i="14"/>
  <c r="H5039" i="14"/>
  <c r="H5029" i="14"/>
  <c r="H5018" i="14"/>
  <c r="H5007" i="14"/>
  <c r="H4997" i="14"/>
  <c r="H4986" i="14"/>
  <c r="H4975" i="14"/>
  <c r="H4965" i="14"/>
  <c r="H4954" i="14"/>
  <c r="H4946" i="14"/>
  <c r="H4938" i="14"/>
  <c r="H4930" i="14"/>
  <c r="H4925" i="14"/>
  <c r="H4919" i="14"/>
  <c r="H4914" i="14"/>
  <c r="H4909" i="14"/>
  <c r="H4903" i="14"/>
  <c r="H4898" i="14"/>
  <c r="H4893" i="14"/>
  <c r="H4887" i="14"/>
  <c r="H4882" i="14"/>
  <c r="H4877" i="14"/>
  <c r="H4871" i="14"/>
  <c r="H4866" i="14"/>
  <c r="H4862" i="14"/>
  <c r="H4858" i="14"/>
  <c r="H4854" i="14"/>
  <c r="H4850" i="14"/>
  <c r="H4846" i="14"/>
  <c r="H4842" i="14"/>
  <c r="H4838" i="14"/>
  <c r="H4834" i="14"/>
  <c r="H4830" i="14"/>
  <c r="H4826" i="14"/>
  <c r="H4822" i="14"/>
  <c r="H4818" i="14"/>
  <c r="H4814" i="14"/>
  <c r="H4810" i="14"/>
  <c r="H4806" i="14"/>
  <c r="H4802" i="14"/>
  <c r="H4798" i="14"/>
  <c r="H4794" i="14"/>
  <c r="H4790" i="14"/>
  <c r="H4786" i="14"/>
  <c r="H4782" i="14"/>
  <c r="H4778" i="14"/>
  <c r="H4774" i="14"/>
  <c r="H4770" i="14"/>
  <c r="H4766" i="14"/>
  <c r="H4762" i="14"/>
  <c r="H4758" i="14"/>
  <c r="H4754" i="14"/>
  <c r="H4750" i="14"/>
  <c r="H4746" i="14"/>
  <c r="H4742" i="14"/>
  <c r="H4738" i="14"/>
  <c r="H4734" i="14"/>
  <c r="H4730" i="14"/>
  <c r="H4726" i="14"/>
  <c r="H4722" i="14"/>
  <c r="H4718" i="14"/>
  <c r="H4714" i="14"/>
  <c r="H4710" i="14"/>
  <c r="H4706" i="14"/>
  <c r="H4702" i="14"/>
  <c r="H4698" i="14"/>
  <c r="H4694" i="14"/>
  <c r="H4690" i="14"/>
  <c r="H4686" i="14"/>
  <c r="H4682" i="14"/>
  <c r="H4678" i="14"/>
  <c r="H4674" i="14"/>
  <c r="H4670" i="14"/>
  <c r="H4666" i="14"/>
  <c r="H4662" i="14"/>
  <c r="H4658" i="14"/>
  <c r="H4654" i="14"/>
  <c r="H4650" i="14"/>
  <c r="H4646" i="14"/>
  <c r="H4642" i="14"/>
  <c r="H4638" i="14"/>
  <c r="H4634" i="14"/>
  <c r="H4630" i="14"/>
  <c r="H4626" i="14"/>
  <c r="H4622" i="14"/>
  <c r="H4618" i="14"/>
  <c r="H4614" i="14"/>
  <c r="H4610" i="14"/>
  <c r="H4606" i="14"/>
  <c r="H4602" i="14"/>
  <c r="H4598" i="14"/>
  <c r="H4594" i="14"/>
  <c r="H4590" i="14"/>
  <c r="H4586" i="14"/>
  <c r="H4582" i="14"/>
  <c r="H4578" i="14"/>
  <c r="H4574" i="14"/>
  <c r="H4570" i="14"/>
  <c r="H4566" i="14"/>
  <c r="H4562" i="14"/>
  <c r="H4558" i="14"/>
  <c r="H4554" i="14"/>
  <c r="H4550" i="14"/>
  <c r="H4546" i="14"/>
  <c r="H4542" i="14"/>
  <c r="H4538" i="14"/>
  <c r="H4534" i="14"/>
  <c r="H4530" i="14"/>
  <c r="H4526" i="14"/>
  <c r="H4522" i="14"/>
  <c r="H4518" i="14"/>
  <c r="H4514" i="14"/>
  <c r="H4510" i="14"/>
  <c r="H4506" i="14"/>
  <c r="H4502" i="14"/>
  <c r="H4498" i="14"/>
  <c r="H4494" i="14"/>
  <c r="H4490" i="14"/>
  <c r="H4486" i="14"/>
  <c r="H4482" i="14"/>
  <c r="H4478" i="14"/>
  <c r="H4474" i="14"/>
  <c r="H4470" i="14"/>
  <c r="H4466" i="14"/>
  <c r="H4462" i="14"/>
  <c r="H4458" i="14"/>
  <c r="H4454" i="14"/>
  <c r="H4450" i="14"/>
  <c r="H4446" i="14"/>
  <c r="H4442" i="14"/>
  <c r="H4438" i="14"/>
  <c r="H4434" i="14"/>
  <c r="H4430" i="14"/>
  <c r="H4426" i="14"/>
  <c r="H4422" i="14"/>
  <c r="H4418" i="14"/>
  <c r="H4414" i="14"/>
  <c r="H4410" i="14"/>
  <c r="H4406" i="14"/>
  <c r="H4402" i="14"/>
  <c r="H4398" i="14"/>
  <c r="H4394" i="14"/>
  <c r="H4390" i="14"/>
  <c r="H4386" i="14"/>
  <c r="H4382" i="14"/>
  <c r="H4378" i="14"/>
  <c r="H4374" i="14"/>
  <c r="H5429" i="14"/>
  <c r="H5385" i="14"/>
  <c r="H5343" i="14"/>
  <c r="H5301" i="14"/>
  <c r="H5257" i="14"/>
  <c r="H5215" i="14"/>
  <c r="H5173" i="14"/>
  <c r="H5131" i="14"/>
  <c r="H5110" i="14"/>
  <c r="H5089" i="14"/>
  <c r="H5067" i="14"/>
  <c r="H5046" i="14"/>
  <c r="H5025" i="14"/>
  <c r="H5003" i="14"/>
  <c r="H4982" i="14"/>
  <c r="H4961" i="14"/>
  <c r="H4943" i="14"/>
  <c r="H4929" i="14"/>
  <c r="H4918" i="14"/>
  <c r="H4907" i="14"/>
  <c r="H4897" i="14"/>
  <c r="H4886" i="14"/>
  <c r="H4875" i="14"/>
  <c r="H4865" i="14"/>
  <c r="H4857" i="14"/>
  <c r="H4849" i="14"/>
  <c r="H4841" i="14"/>
  <c r="H4833" i="14"/>
  <c r="H4825" i="14"/>
  <c r="H4817" i="14"/>
  <c r="H4809" i="14"/>
  <c r="H4801" i="14"/>
  <c r="H4793" i="14"/>
  <c r="H4785" i="14"/>
  <c r="H4777" i="14"/>
  <c r="H4769" i="14"/>
  <c r="H4761" i="14"/>
  <c r="H4753" i="14"/>
  <c r="H4745" i="14"/>
  <c r="H4737" i="14"/>
  <c r="H4729" i="14"/>
  <c r="H4721" i="14"/>
  <c r="H4713" i="14"/>
  <c r="H4705" i="14"/>
  <c r="H4697" i="14"/>
  <c r="H4689" i="14"/>
  <c r="H4681" i="14"/>
  <c r="H4673" i="14"/>
  <c r="H4665" i="14"/>
  <c r="H4657" i="14"/>
  <c r="H4649" i="14"/>
  <c r="H4641" i="14"/>
  <c r="H4633" i="14"/>
  <c r="H4625" i="14"/>
  <c r="H4617" i="14"/>
  <c r="H4609" i="14"/>
  <c r="H4601" i="14"/>
  <c r="H4593" i="14"/>
  <c r="H4585" i="14"/>
  <c r="H4577" i="14"/>
  <c r="H4569" i="14"/>
  <c r="H4561" i="14"/>
  <c r="H4553" i="14"/>
  <c r="H4545" i="14"/>
  <c r="H4537" i="14"/>
  <c r="H4529" i="14"/>
  <c r="H4521" i="14"/>
  <c r="H4513" i="14"/>
  <c r="H4505" i="14"/>
  <c r="H4497" i="14"/>
  <c r="H4489" i="14"/>
  <c r="H4481" i="14"/>
  <c r="H4473" i="14"/>
  <c r="H4467" i="14"/>
  <c r="H4461" i="14"/>
  <c r="H4456" i="14"/>
  <c r="H4451" i="14"/>
  <c r="H4445" i="14"/>
  <c r="H4440" i="14"/>
  <c r="H4435" i="14"/>
  <c r="H4429" i="14"/>
  <c r="H4424" i="14"/>
  <c r="H4419" i="14"/>
  <c r="H4413" i="14"/>
  <c r="H4408" i="14"/>
  <c r="H4403" i="14"/>
  <c r="H4397" i="14"/>
  <c r="H4392" i="14"/>
  <c r="H4387" i="14"/>
  <c r="H4381" i="14"/>
  <c r="H4376" i="14"/>
  <c r="H4371" i="14"/>
  <c r="H4367" i="14"/>
  <c r="H4363" i="14"/>
  <c r="H4359" i="14"/>
  <c r="H4355" i="14"/>
  <c r="H4351" i="14"/>
  <c r="H4347" i="14"/>
  <c r="H4343" i="14"/>
  <c r="H4339" i="14"/>
  <c r="H4335" i="14"/>
  <c r="H4331" i="14"/>
  <c r="H4327" i="14"/>
  <c r="H4323" i="14"/>
  <c r="H4319" i="14"/>
  <c r="H4315" i="14"/>
  <c r="H4311" i="14"/>
  <c r="H4307" i="14"/>
  <c r="H4303" i="14"/>
  <c r="H4299" i="14"/>
  <c r="H4295" i="14"/>
  <c r="H4291" i="14"/>
  <c r="H4287" i="14"/>
  <c r="H4283" i="14"/>
  <c r="H4279" i="14"/>
  <c r="H4275" i="14"/>
  <c r="H4271" i="14"/>
  <c r="H4267" i="14"/>
  <c r="H4263" i="14"/>
  <c r="H4259" i="14"/>
  <c r="H4255" i="14"/>
  <c r="H4251" i="14"/>
  <c r="H4247" i="14"/>
  <c r="H4243" i="14"/>
  <c r="H4239" i="14"/>
  <c r="H4235" i="14"/>
  <c r="H4231" i="14"/>
  <c r="H4227" i="14"/>
  <c r="H4223" i="14"/>
  <c r="H4219" i="14"/>
  <c r="H4215" i="14"/>
  <c r="H4211" i="14"/>
  <c r="H4207" i="14"/>
  <c r="H4203" i="14"/>
  <c r="H4199" i="14"/>
  <c r="H4195" i="14"/>
  <c r="H4191" i="14"/>
  <c r="H4187" i="14"/>
  <c r="H4183" i="14"/>
  <c r="H4179" i="14"/>
  <c r="H4175" i="14"/>
  <c r="H4171" i="14"/>
  <c r="H4167" i="14"/>
  <c r="H4163" i="14"/>
  <c r="H4159" i="14"/>
  <c r="H4155" i="14"/>
  <c r="H4151" i="14"/>
  <c r="H4147" i="14"/>
  <c r="H4143" i="14"/>
  <c r="H4139" i="14"/>
  <c r="H4135" i="14"/>
  <c r="H4131" i="14"/>
  <c r="H4127" i="14"/>
  <c r="H4123" i="14"/>
  <c r="H4119" i="14"/>
  <c r="H4115" i="14"/>
  <c r="H4111" i="14"/>
  <c r="H4107" i="14"/>
  <c r="H4103" i="14"/>
  <c r="H4099" i="14"/>
  <c r="H4095" i="14"/>
  <c r="H4091" i="14"/>
  <c r="H4087" i="14"/>
  <c r="H4083" i="14"/>
  <c r="H4079" i="14"/>
  <c r="H4075" i="14"/>
  <c r="H4071" i="14"/>
  <c r="H4067" i="14"/>
  <c r="H4063" i="14"/>
  <c r="H4059" i="14"/>
  <c r="H5425" i="14"/>
  <c r="H5383" i="14"/>
  <c r="H5341" i="14"/>
  <c r="H5297" i="14"/>
  <c r="H5255" i="14"/>
  <c r="H5213" i="14"/>
  <c r="H5169" i="14"/>
  <c r="H5130" i="14"/>
  <c r="H5109" i="14"/>
  <c r="H5087" i="14"/>
  <c r="H5066" i="14"/>
  <c r="H5045" i="14"/>
  <c r="H5023" i="14"/>
  <c r="H5002" i="14"/>
  <c r="H4981" i="14"/>
  <c r="H4959" i="14"/>
  <c r="H4942" i="14"/>
  <c r="H4927" i="14"/>
  <c r="H4917" i="14"/>
  <c r="H4906" i="14"/>
  <c r="H4895" i="14"/>
  <c r="H4885" i="14"/>
  <c r="H4874" i="14"/>
  <c r="H4864" i="14"/>
  <c r="H4856" i="14"/>
  <c r="H4848" i="14"/>
  <c r="H4840" i="14"/>
  <c r="H4832" i="14"/>
  <c r="H4824" i="14"/>
  <c r="H4816" i="14"/>
  <c r="H4808" i="14"/>
  <c r="H4800" i="14"/>
  <c r="H4792" i="14"/>
  <c r="H4784" i="14"/>
  <c r="H4776" i="14"/>
  <c r="H4768" i="14"/>
  <c r="H4760" i="14"/>
  <c r="H4752" i="14"/>
  <c r="H4744" i="14"/>
  <c r="H4736" i="14"/>
  <c r="H4728" i="14"/>
  <c r="H4720" i="14"/>
  <c r="H4712" i="14"/>
  <c r="H4704" i="14"/>
  <c r="H4696" i="14"/>
  <c r="H4688" i="14"/>
  <c r="H4680" i="14"/>
  <c r="H4672" i="14"/>
  <c r="H4664" i="14"/>
  <c r="H4656" i="14"/>
  <c r="H4648" i="14"/>
  <c r="H4640" i="14"/>
  <c r="H4632" i="14"/>
  <c r="H4624" i="14"/>
  <c r="H4616" i="14"/>
  <c r="H4608" i="14"/>
  <c r="H4600" i="14"/>
  <c r="H4592" i="14"/>
  <c r="H4584" i="14"/>
  <c r="H4576" i="14"/>
  <c r="H4568" i="14"/>
  <c r="H4560" i="14"/>
  <c r="H4552" i="14"/>
  <c r="H4544" i="14"/>
  <c r="H4536" i="14"/>
  <c r="H4528" i="14"/>
  <c r="H4520" i="14"/>
  <c r="H4512" i="14"/>
  <c r="H4504" i="14"/>
  <c r="H4496" i="14"/>
  <c r="H4488" i="14"/>
  <c r="H4480" i="14"/>
  <c r="H4472" i="14"/>
  <c r="H4465" i="14"/>
  <c r="H4460" i="14"/>
  <c r="H4455" i="14"/>
  <c r="H4449" i="14"/>
  <c r="H4444" i="14"/>
  <c r="H4439" i="14"/>
  <c r="H4433" i="14"/>
  <c r="H4428" i="14"/>
  <c r="H4423" i="14"/>
  <c r="H4417" i="14"/>
  <c r="H4412" i="14"/>
  <c r="H4407" i="14"/>
  <c r="H4401" i="14"/>
  <c r="H4396" i="14"/>
  <c r="H4391" i="14"/>
  <c r="H4385" i="14"/>
  <c r="H4380" i="14"/>
  <c r="H4375" i="14"/>
  <c r="H4370" i="14"/>
  <c r="H4366" i="14"/>
  <c r="H4362" i="14"/>
  <c r="H4358" i="14"/>
  <c r="H4354" i="14"/>
  <c r="H4350" i="14"/>
  <c r="H4346" i="14"/>
  <c r="H4342" i="14"/>
  <c r="H4338" i="14"/>
  <c r="H4334" i="14"/>
  <c r="H4330" i="14"/>
  <c r="H4326" i="14"/>
  <c r="H4322" i="14"/>
  <c r="H4318" i="14"/>
  <c r="H4314" i="14"/>
  <c r="H4310" i="14"/>
  <c r="H4306" i="14"/>
  <c r="H4302" i="14"/>
  <c r="H4298" i="14"/>
  <c r="H4294" i="14"/>
  <c r="H4290" i="14"/>
  <c r="H4286" i="14"/>
  <c r="H4282" i="14"/>
  <c r="H4278" i="14"/>
  <c r="H4274" i="14"/>
  <c r="H4270" i="14"/>
  <c r="H4266" i="14"/>
  <c r="H4262" i="14"/>
  <c r="H4258" i="14"/>
  <c r="H4254" i="14"/>
  <c r="H4250" i="14"/>
  <c r="H4246" i="14"/>
  <c r="H4242" i="14"/>
  <c r="H4238" i="14"/>
  <c r="H4234" i="14"/>
  <c r="H4230" i="14"/>
  <c r="H4226" i="14"/>
  <c r="H4222" i="14"/>
  <c r="H4218" i="14"/>
  <c r="H4214" i="14"/>
  <c r="H4210" i="14"/>
  <c r="H4206" i="14"/>
  <c r="H4202" i="14"/>
  <c r="H4198" i="14"/>
  <c r="H4194" i="14"/>
  <c r="H4190" i="14"/>
  <c r="H4186" i="14"/>
  <c r="H4182" i="14"/>
  <c r="H4178" i="14"/>
  <c r="H4174" i="14"/>
  <c r="H4170" i="14"/>
  <c r="H4166" i="14"/>
  <c r="H4162" i="14"/>
  <c r="H4158" i="14"/>
  <c r="H4154" i="14"/>
  <c r="H4150" i="14"/>
  <c r="H4146" i="14"/>
  <c r="H4142" i="14"/>
  <c r="H4138" i="14"/>
  <c r="H4134" i="14"/>
  <c r="H4130" i="14"/>
  <c r="H4126" i="14"/>
  <c r="H4122" i="14"/>
  <c r="H4118" i="14"/>
  <c r="H4114" i="14"/>
  <c r="H4110" i="14"/>
  <c r="H4106" i="14"/>
  <c r="H4102" i="14"/>
  <c r="H4098" i="14"/>
  <c r="H4094" i="14"/>
  <c r="H4090" i="14"/>
  <c r="H4086" i="14"/>
  <c r="H4082" i="14"/>
  <c r="H4078" i="14"/>
  <c r="H4074" i="14"/>
  <c r="H4070" i="14"/>
  <c r="H4066" i="14"/>
  <c r="H4062" i="14"/>
  <c r="H4058" i="14"/>
  <c r="H4054" i="14"/>
  <c r="H4050" i="14"/>
  <c r="H4046" i="14"/>
  <c r="H4042" i="14"/>
  <c r="H4038" i="14"/>
  <c r="H4034" i="14"/>
  <c r="H4030" i="14"/>
  <c r="H4026" i="14"/>
  <c r="H4022" i="14"/>
  <c r="H4018" i="14"/>
  <c r="H4014" i="14"/>
  <c r="H4010" i="14"/>
  <c r="H4006" i="14"/>
  <c r="H4002" i="14"/>
  <c r="H3998" i="14"/>
  <c r="H3994" i="14"/>
  <c r="H3990" i="14"/>
  <c r="H3986" i="14"/>
  <c r="H3982" i="14"/>
  <c r="H3978" i="14"/>
  <c r="H3974" i="14"/>
  <c r="H3970" i="14"/>
  <c r="H3966" i="14"/>
  <c r="H3962" i="14"/>
  <c r="H3958" i="14"/>
  <c r="H3954" i="14"/>
  <c r="H3950" i="14"/>
  <c r="H3946" i="14"/>
  <c r="H3942" i="14"/>
  <c r="H3938" i="14"/>
  <c r="H3934" i="14"/>
  <c r="H3930" i="14"/>
  <c r="H3926" i="14"/>
  <c r="H3922" i="14"/>
  <c r="H3918" i="14"/>
  <c r="H3914" i="14"/>
  <c r="H3910" i="14"/>
  <c r="H3906" i="14"/>
  <c r="H3902" i="14"/>
  <c r="H3898" i="14"/>
  <c r="H3894" i="14"/>
  <c r="H3890" i="14"/>
  <c r="H5407" i="14"/>
  <c r="H5321" i="14"/>
  <c r="H5237" i="14"/>
  <c r="H5151" i="14"/>
  <c r="H5099" i="14"/>
  <c r="H5057" i="14"/>
  <c r="H5014" i="14"/>
  <c r="H4971" i="14"/>
  <c r="H4935" i="14"/>
  <c r="H4913" i="14"/>
  <c r="H4891" i="14"/>
  <c r="H4870" i="14"/>
  <c r="H4853" i="14"/>
  <c r="H4837" i="14"/>
  <c r="H4821" i="14"/>
  <c r="H4805" i="14"/>
  <c r="H4789" i="14"/>
  <c r="H4773" i="14"/>
  <c r="H4757" i="14"/>
  <c r="H4741" i="14"/>
  <c r="H4725" i="14"/>
  <c r="H4709" i="14"/>
  <c r="H4693" i="14"/>
  <c r="H4677" i="14"/>
  <c r="H4661" i="14"/>
  <c r="H4645" i="14"/>
  <c r="H4629" i="14"/>
  <c r="H4613" i="14"/>
  <c r="H4597" i="14"/>
  <c r="H4581" i="14"/>
  <c r="H4565" i="14"/>
  <c r="H4549" i="14"/>
  <c r="H4533" i="14"/>
  <c r="H4517" i="14"/>
  <c r="H4501" i="14"/>
  <c r="H4485" i="14"/>
  <c r="H4469" i="14"/>
  <c r="H4459" i="14"/>
  <c r="H4448" i="14"/>
  <c r="H4437" i="14"/>
  <c r="H4427" i="14"/>
  <c r="H4416" i="14"/>
  <c r="H4405" i="14"/>
  <c r="H4395" i="14"/>
  <c r="H4384" i="14"/>
  <c r="H4373" i="14"/>
  <c r="H4365" i="14"/>
  <c r="H4357" i="14"/>
  <c r="H4349" i="14"/>
  <c r="H4341" i="14"/>
  <c r="H4333" i="14"/>
  <c r="H4325" i="14"/>
  <c r="H4317" i="14"/>
  <c r="H4309" i="14"/>
  <c r="H4301" i="14"/>
  <c r="H4293" i="14"/>
  <c r="H4285" i="14"/>
  <c r="H4277" i="14"/>
  <c r="H4269" i="14"/>
  <c r="H4261" i="14"/>
  <c r="H4253" i="14"/>
  <c r="H4245" i="14"/>
  <c r="H4237" i="14"/>
  <c r="H4229" i="14"/>
  <c r="H4221" i="14"/>
  <c r="H4213" i="14"/>
  <c r="H4205" i="14"/>
  <c r="H4197" i="14"/>
  <c r="H4189" i="14"/>
  <c r="H4181" i="14"/>
  <c r="H4173" i="14"/>
  <c r="H4165" i="14"/>
  <c r="H4157" i="14"/>
  <c r="H4149" i="14"/>
  <c r="H4141" i="14"/>
  <c r="H4133" i="14"/>
  <c r="H4125" i="14"/>
  <c r="H4117" i="14"/>
  <c r="H4109" i="14"/>
  <c r="H4101" i="14"/>
  <c r="H4093" i="14"/>
  <c r="H4085" i="14"/>
  <c r="H4077" i="14"/>
  <c r="H4069" i="14"/>
  <c r="H4061" i="14"/>
  <c r="H4055" i="14"/>
  <c r="H4049" i="14"/>
  <c r="H4044" i="14"/>
  <c r="H4039" i="14"/>
  <c r="H4033" i="14"/>
  <c r="H4028" i="14"/>
  <c r="H4023" i="14"/>
  <c r="H4017" i="14"/>
  <c r="H4012" i="14"/>
  <c r="H4007" i="14"/>
  <c r="H4001" i="14"/>
  <c r="H3996" i="14"/>
  <c r="H3991" i="14"/>
  <c r="H3985" i="14"/>
  <c r="H3980" i="14"/>
  <c r="H3975" i="14"/>
  <c r="H3969" i="14"/>
  <c r="H3964" i="14"/>
  <c r="H3959" i="14"/>
  <c r="H3953" i="14"/>
  <c r="H3948" i="14"/>
  <c r="H3943" i="14"/>
  <c r="H3937" i="14"/>
  <c r="H3932" i="14"/>
  <c r="H3927" i="14"/>
  <c r="H3921" i="14"/>
  <c r="H3916" i="14"/>
  <c r="H3911" i="14"/>
  <c r="H3905" i="14"/>
  <c r="H3900" i="14"/>
  <c r="H3895" i="14"/>
  <c r="H3889" i="14"/>
  <c r="H3885" i="14"/>
  <c r="H3881" i="14"/>
  <c r="H3877" i="14"/>
  <c r="H3873" i="14"/>
  <c r="H3869" i="14"/>
  <c r="H3865" i="14"/>
  <c r="H3861" i="14"/>
  <c r="H3857" i="14"/>
  <c r="H3853" i="14"/>
  <c r="H3849" i="14"/>
  <c r="H3845" i="14"/>
  <c r="H3841" i="14"/>
  <c r="H3837" i="14"/>
  <c r="H3833" i="14"/>
  <c r="H3829" i="14"/>
  <c r="H3825" i="14"/>
  <c r="H3821" i="14"/>
  <c r="H3817" i="14"/>
  <c r="H3813" i="14"/>
  <c r="H3809" i="14"/>
  <c r="H3805" i="14"/>
  <c r="H3801" i="14"/>
  <c r="H3797" i="14"/>
  <c r="H3793" i="14"/>
  <c r="H3789" i="14"/>
  <c r="H3785" i="14"/>
  <c r="H3781" i="14"/>
  <c r="H3777" i="14"/>
  <c r="H3773" i="14"/>
  <c r="H3769" i="14"/>
  <c r="H3765" i="14"/>
  <c r="H3761" i="14"/>
  <c r="H3757" i="14"/>
  <c r="H3753" i="14"/>
  <c r="H3749" i="14"/>
  <c r="H3745" i="14"/>
  <c r="H3741" i="14"/>
  <c r="H3737" i="14"/>
  <c r="H3733" i="14"/>
  <c r="H3729" i="14"/>
  <c r="H3725" i="14"/>
  <c r="H3721" i="14"/>
  <c r="H3717" i="14"/>
  <c r="H3713" i="14"/>
  <c r="H3709" i="14"/>
  <c r="H3705" i="14"/>
  <c r="H3701" i="14"/>
  <c r="H3697" i="14"/>
  <c r="H3693" i="14"/>
  <c r="H3689" i="14"/>
  <c r="H3685" i="14"/>
  <c r="H3681" i="14"/>
  <c r="H3677" i="14"/>
  <c r="H3673" i="14"/>
  <c r="H3669" i="14"/>
  <c r="H3665" i="14"/>
  <c r="H3661" i="14"/>
  <c r="H3657" i="14"/>
  <c r="H3653" i="14"/>
  <c r="H3649" i="14"/>
  <c r="H3645" i="14"/>
  <c r="H3641" i="14"/>
  <c r="H3637" i="14"/>
  <c r="H3633" i="14"/>
  <c r="H3629" i="14"/>
  <c r="H3625" i="14"/>
  <c r="H3621" i="14"/>
  <c r="H3617" i="14"/>
  <c r="H3613" i="14"/>
  <c r="H3609" i="14"/>
  <c r="H3605" i="14"/>
  <c r="H3601" i="14"/>
  <c r="H3597" i="14"/>
  <c r="H3593" i="14"/>
  <c r="H3589" i="14"/>
  <c r="H3585" i="14"/>
  <c r="H3581" i="14"/>
  <c r="H3577" i="14"/>
  <c r="H3573" i="14"/>
  <c r="H3569" i="14"/>
  <c r="H3565" i="14"/>
  <c r="H3561" i="14"/>
  <c r="H3557" i="14"/>
  <c r="H3553" i="14"/>
  <c r="H3549" i="14"/>
  <c r="H3545" i="14"/>
  <c r="H3541" i="14"/>
  <c r="H3537" i="14"/>
  <c r="H3533" i="14"/>
  <c r="H3529" i="14"/>
  <c r="H3525" i="14"/>
  <c r="H3521" i="14"/>
  <c r="H3517" i="14"/>
  <c r="H3513" i="14"/>
  <c r="H3509" i="14"/>
  <c r="H3505" i="14"/>
  <c r="H3501" i="14"/>
  <c r="H3497" i="14"/>
  <c r="H3493" i="14"/>
  <c r="H3489" i="14"/>
  <c r="H3485" i="14"/>
  <c r="H3481" i="14"/>
  <c r="H3477" i="14"/>
  <c r="H3473" i="14"/>
  <c r="H3469" i="14"/>
  <c r="H3465" i="14"/>
  <c r="H3461" i="14"/>
  <c r="H3457" i="14"/>
  <c r="H3453" i="14"/>
  <c r="H3449" i="14"/>
  <c r="H3445" i="14"/>
  <c r="H3441" i="14"/>
  <c r="H3437" i="14"/>
  <c r="H3433" i="14"/>
  <c r="H3429" i="14"/>
  <c r="H3425" i="14"/>
  <c r="H3421" i="14"/>
  <c r="H3417" i="14"/>
  <c r="H3413" i="14"/>
  <c r="H3409" i="14"/>
  <c r="H3405" i="14"/>
  <c r="H3401" i="14"/>
  <c r="H3397" i="14"/>
  <c r="H3393" i="14"/>
  <c r="H3389" i="14"/>
  <c r="H3385" i="14"/>
  <c r="H3381" i="14"/>
  <c r="H3377" i="14"/>
  <c r="H3373" i="14"/>
  <c r="H3369" i="14"/>
  <c r="H3365" i="14"/>
  <c r="H3361" i="14"/>
  <c r="H3357" i="14"/>
  <c r="H3353" i="14"/>
  <c r="H3349" i="14"/>
  <c r="H3345" i="14"/>
  <c r="H3341" i="14"/>
  <c r="H3337" i="14"/>
  <c r="H3333" i="14"/>
  <c r="H3329" i="14"/>
  <c r="H3325" i="14"/>
  <c r="H3321" i="14"/>
  <c r="H3317" i="14"/>
  <c r="H3313" i="14"/>
  <c r="H3309" i="14"/>
  <c r="H3305" i="14"/>
  <c r="H3301" i="14"/>
  <c r="H3297" i="14"/>
  <c r="H3293" i="14"/>
  <c r="H3289" i="14"/>
  <c r="H3285" i="14"/>
  <c r="H3281" i="14"/>
  <c r="H3277" i="14"/>
  <c r="H3273" i="14"/>
  <c r="H3269" i="14"/>
  <c r="H3265" i="14"/>
  <c r="H3261" i="14"/>
  <c r="H3257" i="14"/>
  <c r="H5405" i="14"/>
  <c r="H5319" i="14"/>
  <c r="H5233" i="14"/>
  <c r="H5149" i="14"/>
  <c r="H5098" i="14"/>
  <c r="H5055" i="14"/>
  <c r="H5013" i="14"/>
  <c r="H4970" i="14"/>
  <c r="H4934" i="14"/>
  <c r="H4911" i="14"/>
  <c r="H4890" i="14"/>
  <c r="H4869" i="14"/>
  <c r="H4852" i="14"/>
  <c r="H4836" i="14"/>
  <c r="H4820" i="14"/>
  <c r="H4804" i="14"/>
  <c r="H4788" i="14"/>
  <c r="H4772" i="14"/>
  <c r="H4756" i="14"/>
  <c r="H4740" i="14"/>
  <c r="H4724" i="14"/>
  <c r="H4708" i="14"/>
  <c r="H4692" i="14"/>
  <c r="H4676" i="14"/>
  <c r="H4660" i="14"/>
  <c r="H4644" i="14"/>
  <c r="H4628" i="14"/>
  <c r="H4612" i="14"/>
  <c r="H4596" i="14"/>
  <c r="H4580" i="14"/>
  <c r="H4564" i="14"/>
  <c r="H4548" i="14"/>
  <c r="H4532" i="14"/>
  <c r="H4516" i="14"/>
  <c r="H4500" i="14"/>
  <c r="H4484" i="14"/>
  <c r="H4468" i="14"/>
  <c r="H4457" i="14"/>
  <c r="H4447" i="14"/>
  <c r="H4436" i="14"/>
  <c r="H4425" i="14"/>
  <c r="H4415" i="14"/>
  <c r="H4404" i="14"/>
  <c r="H4393" i="14"/>
  <c r="H4383" i="14"/>
  <c r="H4372" i="14"/>
  <c r="H4364" i="14"/>
  <c r="H4356" i="14"/>
  <c r="H4348" i="14"/>
  <c r="H4340" i="14"/>
  <c r="H4332" i="14"/>
  <c r="H4324" i="14"/>
  <c r="H4316" i="14"/>
  <c r="H4308" i="14"/>
  <c r="H4300" i="14"/>
  <c r="H4292" i="14"/>
  <c r="H4284" i="14"/>
  <c r="H4276" i="14"/>
  <c r="H4268" i="14"/>
  <c r="H4260" i="14"/>
  <c r="H4252" i="14"/>
  <c r="H4244" i="14"/>
  <c r="H4236" i="14"/>
  <c r="H4228" i="14"/>
  <c r="H4220" i="14"/>
  <c r="H4212" i="14"/>
  <c r="H4204" i="14"/>
  <c r="H4196" i="14"/>
  <c r="H4188" i="14"/>
  <c r="H4180" i="14"/>
  <c r="H4172" i="14"/>
  <c r="H4164" i="14"/>
  <c r="H4156" i="14"/>
  <c r="H4148" i="14"/>
  <c r="H4140" i="14"/>
  <c r="H4132" i="14"/>
  <c r="H4124" i="14"/>
  <c r="H4116" i="14"/>
  <c r="H4108" i="14"/>
  <c r="H4100" i="14"/>
  <c r="H4092" i="14"/>
  <c r="H4084" i="14"/>
  <c r="H4076" i="14"/>
  <c r="H4068" i="14"/>
  <c r="H4060" i="14"/>
  <c r="H4053" i="14"/>
  <c r="H4048" i="14"/>
  <c r="H4043" i="14"/>
  <c r="H4037" i="14"/>
  <c r="H4032" i="14"/>
  <c r="H4027" i="14"/>
  <c r="H4021" i="14"/>
  <c r="H4016" i="14"/>
  <c r="H4011" i="14"/>
  <c r="H4005" i="14"/>
  <c r="H4000" i="14"/>
  <c r="H3995" i="14"/>
  <c r="H3989" i="14"/>
  <c r="H3984" i="14"/>
  <c r="H3979" i="14"/>
  <c r="H3973" i="14"/>
  <c r="H3968" i="14"/>
  <c r="H3963" i="14"/>
  <c r="H3957" i="14"/>
  <c r="H3952" i="14"/>
  <c r="H3947" i="14"/>
  <c r="H3941" i="14"/>
  <c r="H3936" i="14"/>
  <c r="H3931" i="14"/>
  <c r="H3925" i="14"/>
  <c r="H3920" i="14"/>
  <c r="H3915" i="14"/>
  <c r="H3909" i="14"/>
  <c r="H3904" i="14"/>
  <c r="H3899" i="14"/>
  <c r="H3893" i="14"/>
  <c r="H3888" i="14"/>
  <c r="H3884" i="14"/>
  <c r="H3880" i="14"/>
  <c r="H3876" i="14"/>
  <c r="H3872" i="14"/>
  <c r="H3868" i="14"/>
  <c r="H3864" i="14"/>
  <c r="H3860" i="14"/>
  <c r="H3856" i="14"/>
  <c r="H3852" i="14"/>
  <c r="H3848" i="14"/>
  <c r="H3844" i="14"/>
  <c r="H3840" i="14"/>
  <c r="H3836" i="14"/>
  <c r="H3832" i="14"/>
  <c r="H3828" i="14"/>
  <c r="H3824" i="14"/>
  <c r="H3820" i="14"/>
  <c r="H3816" i="14"/>
  <c r="H3812" i="14"/>
  <c r="H3808" i="14"/>
  <c r="H3804" i="14"/>
  <c r="H3800" i="14"/>
  <c r="H3796" i="14"/>
  <c r="H3792" i="14"/>
  <c r="H3788" i="14"/>
  <c r="H3784" i="14"/>
  <c r="H3780" i="14"/>
  <c r="H3776" i="14"/>
  <c r="H3772" i="14"/>
  <c r="H3768" i="14"/>
  <c r="H3764" i="14"/>
  <c r="H3760" i="14"/>
  <c r="H3756" i="14"/>
  <c r="H3752" i="14"/>
  <c r="H3748" i="14"/>
  <c r="H3744" i="14"/>
  <c r="H3740" i="14"/>
  <c r="H3736" i="14"/>
  <c r="H3732" i="14"/>
  <c r="H3728" i="14"/>
  <c r="H3724" i="14"/>
  <c r="H3720" i="14"/>
  <c r="H3716" i="14"/>
  <c r="H3712" i="14"/>
  <c r="H3708" i="14"/>
  <c r="H3704" i="14"/>
  <c r="H3700" i="14"/>
  <c r="H3696" i="14"/>
  <c r="H3692" i="14"/>
  <c r="H3688" i="14"/>
  <c r="H3684" i="14"/>
  <c r="H3680" i="14"/>
  <c r="H3676" i="14"/>
  <c r="H3672" i="14"/>
  <c r="H3668" i="14"/>
  <c r="H3664" i="14"/>
  <c r="H3660" i="14"/>
  <c r="H3656" i="14"/>
  <c r="H3652" i="14"/>
  <c r="H3648" i="14"/>
  <c r="H3644" i="14"/>
  <c r="H3640" i="14"/>
  <c r="H3636" i="14"/>
  <c r="H3632" i="14"/>
  <c r="H3628" i="14"/>
  <c r="H3624" i="14"/>
  <c r="H3620" i="14"/>
  <c r="H3616" i="14"/>
  <c r="H3612" i="14"/>
  <c r="H3608" i="14"/>
  <c r="H3604" i="14"/>
  <c r="H3600" i="14"/>
  <c r="H3596" i="14"/>
  <c r="H3592" i="14"/>
  <c r="H3588" i="14"/>
  <c r="H3584" i="14"/>
  <c r="H3580" i="14"/>
  <c r="H3576" i="14"/>
  <c r="H3572" i="14"/>
  <c r="H3568" i="14"/>
  <c r="H3564" i="14"/>
  <c r="H3560" i="14"/>
  <c r="H3556" i="14"/>
  <c r="H3552" i="14"/>
  <c r="H3548" i="14"/>
  <c r="H3544" i="14"/>
  <c r="H3540" i="14"/>
  <c r="H3536" i="14"/>
  <c r="H3532" i="14"/>
  <c r="H3528" i="14"/>
  <c r="H3524" i="14"/>
  <c r="H3520" i="14"/>
  <c r="H3516" i="14"/>
  <c r="H3512" i="14"/>
  <c r="H3508" i="14"/>
  <c r="H3504" i="14"/>
  <c r="H3500" i="14"/>
  <c r="H3496" i="14"/>
  <c r="H3492" i="14"/>
  <c r="H3488" i="14"/>
  <c r="H3484" i="14"/>
  <c r="H3480" i="14"/>
  <c r="H3476" i="14"/>
  <c r="H3472" i="14"/>
  <c r="H3468" i="14"/>
  <c r="H3464" i="14"/>
  <c r="H3460" i="14"/>
  <c r="H3456" i="14"/>
  <c r="H3452" i="14"/>
  <c r="H3448" i="14"/>
  <c r="H3444" i="14"/>
  <c r="H3440" i="14"/>
  <c r="H3436" i="14"/>
  <c r="H3432" i="14"/>
  <c r="H3428" i="14"/>
  <c r="H3424" i="14"/>
  <c r="H3420" i="14"/>
  <c r="H3416" i="14"/>
  <c r="H3412" i="14"/>
  <c r="H3408" i="14"/>
  <c r="H3404" i="14"/>
  <c r="H3400" i="14"/>
  <c r="H3396" i="14"/>
  <c r="H3392" i="14"/>
  <c r="H3388" i="14"/>
  <c r="H3384" i="14"/>
  <c r="H3380" i="14"/>
  <c r="H3376" i="14"/>
  <c r="H3372" i="14"/>
  <c r="H3368" i="14"/>
  <c r="H3364" i="14"/>
  <c r="H3360" i="14"/>
  <c r="H3356" i="14"/>
  <c r="H3352" i="14"/>
  <c r="H3348" i="14"/>
  <c r="H3344" i="14"/>
  <c r="H3340" i="14"/>
  <c r="H3336" i="14"/>
  <c r="H3332" i="14"/>
  <c r="H3328" i="14"/>
  <c r="H3324" i="14"/>
  <c r="H3320" i="14"/>
  <c r="H3316" i="14"/>
  <c r="H3312" i="14"/>
  <c r="H3308" i="14"/>
  <c r="H3304" i="14"/>
  <c r="H3300" i="14"/>
  <c r="H3296" i="14"/>
  <c r="H3292" i="14"/>
  <c r="H3288" i="14"/>
  <c r="H3284" i="14"/>
  <c r="H3280" i="14"/>
  <c r="H3276" i="14"/>
  <c r="H3272" i="14"/>
  <c r="H3268" i="14"/>
  <c r="H3264" i="14"/>
  <c r="H3260" i="14"/>
  <c r="H3256" i="14"/>
  <c r="H3252" i="14"/>
  <c r="H3248" i="14"/>
  <c r="H3244" i="14"/>
  <c r="H3240" i="14"/>
  <c r="H3236" i="14"/>
  <c r="H3232" i="14"/>
  <c r="H3228" i="14"/>
  <c r="H3224" i="14"/>
  <c r="H3220" i="14"/>
  <c r="H3216" i="14"/>
  <c r="H3212" i="14"/>
  <c r="H3208" i="14"/>
  <c r="H3204" i="14"/>
  <c r="H3200" i="14"/>
  <c r="H3196" i="14"/>
  <c r="H3192" i="14"/>
  <c r="H3188" i="14"/>
  <c r="H3184" i="14"/>
  <c r="H3180" i="14"/>
  <c r="H3176" i="14"/>
  <c r="H3172" i="14"/>
  <c r="H3168" i="14"/>
  <c r="H3164" i="14"/>
  <c r="H3160" i="14"/>
  <c r="H3156" i="14"/>
  <c r="H3152" i="14"/>
  <c r="H3148" i="14"/>
  <c r="H3144" i="14"/>
  <c r="H3140" i="14"/>
  <c r="H3136" i="14"/>
  <c r="H3132" i="14"/>
  <c r="H3128" i="14"/>
  <c r="H3124" i="14"/>
  <c r="H3120" i="14"/>
  <c r="H3116" i="14"/>
  <c r="H3112" i="14"/>
  <c r="H3108" i="14"/>
  <c r="H3104" i="14"/>
  <c r="H3100" i="14"/>
  <c r="H3096" i="14"/>
  <c r="H3092" i="14"/>
  <c r="H3088" i="14"/>
  <c r="H3084" i="14"/>
  <c r="H3080" i="14"/>
  <c r="H3076" i="14"/>
  <c r="H3072" i="14"/>
  <c r="H3068" i="14"/>
  <c r="H3064" i="14"/>
  <c r="H3060" i="14"/>
  <c r="H3056" i="14"/>
  <c r="H3052" i="14"/>
  <c r="H3048" i="14"/>
  <c r="H3044" i="14"/>
  <c r="H3040" i="14"/>
  <c r="H3036" i="14"/>
  <c r="H3032" i="14"/>
  <c r="H3028" i="14"/>
  <c r="H3024" i="14"/>
  <c r="H3020" i="14"/>
  <c r="H3016" i="14"/>
  <c r="H3012" i="14"/>
  <c r="H3008" i="14"/>
  <c r="H3004" i="14"/>
  <c r="H3000" i="14"/>
  <c r="H2996" i="14"/>
  <c r="H2992" i="14"/>
  <c r="H5365" i="14"/>
  <c r="H5193" i="14"/>
  <c r="H5078" i="14"/>
  <c r="H4993" i="14"/>
  <c r="H4923" i="14"/>
  <c r="H4881" i="14"/>
  <c r="H4845" i="14"/>
  <c r="H4813" i="14"/>
  <c r="H4781" i="14"/>
  <c r="H4749" i="14"/>
  <c r="H4717" i="14"/>
  <c r="H4685" i="14"/>
  <c r="H4653" i="14"/>
  <c r="H4621" i="14"/>
  <c r="H4589" i="14"/>
  <c r="H4557" i="14"/>
  <c r="H4525" i="14"/>
  <c r="H4493" i="14"/>
  <c r="H4464" i="14"/>
  <c r="H4443" i="14"/>
  <c r="H4421" i="14"/>
  <c r="H4400" i="14"/>
  <c r="H4379" i="14"/>
  <c r="H4361" i="14"/>
  <c r="H4345" i="14"/>
  <c r="H4329" i="14"/>
  <c r="H4313" i="14"/>
  <c r="H4297" i="14"/>
  <c r="H4281" i="14"/>
  <c r="H4265" i="14"/>
  <c r="H4249" i="14"/>
  <c r="H4233" i="14"/>
  <c r="H4217" i="14"/>
  <c r="H4201" i="14"/>
  <c r="H4185" i="14"/>
  <c r="H4169" i="14"/>
  <c r="H4153" i="14"/>
  <c r="H4137" i="14"/>
  <c r="H4121" i="14"/>
  <c r="H4105" i="14"/>
  <c r="H4089" i="14"/>
  <c r="H4073" i="14"/>
  <c r="H4057" i="14"/>
  <c r="H4047" i="14"/>
  <c r="H4036" i="14"/>
  <c r="H4025" i="14"/>
  <c r="H4015" i="14"/>
  <c r="H4004" i="14"/>
  <c r="H3993" i="14"/>
  <c r="H3983" i="14"/>
  <c r="H3972" i="14"/>
  <c r="H3961" i="14"/>
  <c r="H3951" i="14"/>
  <c r="H3940" i="14"/>
  <c r="H3929" i="14"/>
  <c r="H3919" i="14"/>
  <c r="H3908" i="14"/>
  <c r="H3897" i="14"/>
  <c r="H3887" i="14"/>
  <c r="H3879" i="14"/>
  <c r="H3871" i="14"/>
  <c r="H3863" i="14"/>
  <c r="H3855" i="14"/>
  <c r="H3847" i="14"/>
  <c r="H3839" i="14"/>
  <c r="H3831" i="14"/>
  <c r="H3823" i="14"/>
  <c r="H3815" i="14"/>
  <c r="H3807" i="14"/>
  <c r="H3799" i="14"/>
  <c r="H3791" i="14"/>
  <c r="H3783" i="14"/>
  <c r="H3775" i="14"/>
  <c r="H3767" i="14"/>
  <c r="H3759" i="14"/>
  <c r="H3751" i="14"/>
  <c r="H3743" i="14"/>
  <c r="H3735" i="14"/>
  <c r="H3727" i="14"/>
  <c r="H3719" i="14"/>
  <c r="H3711" i="14"/>
  <c r="H3703" i="14"/>
  <c r="H3695" i="14"/>
  <c r="H3687" i="14"/>
  <c r="H3679" i="14"/>
  <c r="H3671" i="14"/>
  <c r="H3663" i="14"/>
  <c r="H3655" i="14"/>
  <c r="H3647" i="14"/>
  <c r="H3639" i="14"/>
  <c r="H3631" i="14"/>
  <c r="H3623" i="14"/>
  <c r="H3615" i="14"/>
  <c r="H3607" i="14"/>
  <c r="H3599" i="14"/>
  <c r="H3591" i="14"/>
  <c r="H3583" i="14"/>
  <c r="H3575" i="14"/>
  <c r="H3567" i="14"/>
  <c r="H3559" i="14"/>
  <c r="H3551" i="14"/>
  <c r="H3543" i="14"/>
  <c r="H3535" i="14"/>
  <c r="H3527" i="14"/>
  <c r="H3519" i="14"/>
  <c r="H3511" i="14"/>
  <c r="H3503" i="14"/>
  <c r="H3495" i="14"/>
  <c r="H3487" i="14"/>
  <c r="H3479" i="14"/>
  <c r="H3471" i="14"/>
  <c r="H3463" i="14"/>
  <c r="H3455" i="14"/>
  <c r="H3447" i="14"/>
  <c r="H3439" i="14"/>
  <c r="H3431" i="14"/>
  <c r="H3423" i="14"/>
  <c r="H3415" i="14"/>
  <c r="H3407" i="14"/>
  <c r="H3399" i="14"/>
  <c r="H3391" i="14"/>
  <c r="H3383" i="14"/>
  <c r="H3375" i="14"/>
  <c r="H3367" i="14"/>
  <c r="H3359" i="14"/>
  <c r="H3351" i="14"/>
  <c r="H3343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50" i="14"/>
  <c r="H3245" i="14"/>
  <c r="H3239" i="14"/>
  <c r="H3234" i="14"/>
  <c r="H3229" i="14"/>
  <c r="H3223" i="14"/>
  <c r="H3218" i="14"/>
  <c r="H3213" i="14"/>
  <c r="H3207" i="14"/>
  <c r="H3202" i="14"/>
  <c r="H3197" i="14"/>
  <c r="H3191" i="14"/>
  <c r="H3186" i="14"/>
  <c r="H3181" i="14"/>
  <c r="H3175" i="14"/>
  <c r="H3170" i="14"/>
  <c r="H3165" i="14"/>
  <c r="H3159" i="14"/>
  <c r="H3154" i="14"/>
  <c r="H3149" i="14"/>
  <c r="H3143" i="14"/>
  <c r="H3138" i="14"/>
  <c r="H3133" i="14"/>
  <c r="H3127" i="14"/>
  <c r="H3122" i="14"/>
  <c r="H3117" i="14"/>
  <c r="H3111" i="14"/>
  <c r="H3106" i="14"/>
  <c r="H3101" i="14"/>
  <c r="H3095" i="14"/>
  <c r="H3090" i="14"/>
  <c r="H3085" i="14"/>
  <c r="H3079" i="14"/>
  <c r="H3074" i="14"/>
  <c r="H3069" i="14"/>
  <c r="H3063" i="14"/>
  <c r="H3058" i="14"/>
  <c r="H3053" i="14"/>
  <c r="H3047" i="14"/>
  <c r="H3042" i="14"/>
  <c r="H3037" i="14"/>
  <c r="H3031" i="14"/>
  <c r="H3026" i="14"/>
  <c r="H3021" i="14"/>
  <c r="H3015" i="14"/>
  <c r="H3010" i="14"/>
  <c r="H3005" i="14"/>
  <c r="H2999" i="14"/>
  <c r="H2994" i="14"/>
  <c r="H2989" i="14"/>
  <c r="H2985" i="14"/>
  <c r="H2981" i="14"/>
  <c r="H2977" i="14"/>
  <c r="H2973" i="14"/>
  <c r="H2969" i="14"/>
  <c r="H2965" i="14"/>
  <c r="H2961" i="14"/>
  <c r="H2957" i="14"/>
  <c r="H2953" i="14"/>
  <c r="H2949" i="14"/>
  <c r="H2945" i="14"/>
  <c r="H2941" i="14"/>
  <c r="H2937" i="14"/>
  <c r="H2933" i="14"/>
  <c r="H2929" i="14"/>
  <c r="H2925" i="14"/>
  <c r="H2921" i="14"/>
  <c r="H2917" i="14"/>
  <c r="H2913" i="14"/>
  <c r="H2909" i="14"/>
  <c r="H2905" i="14"/>
  <c r="H2901" i="14"/>
  <c r="H2897" i="14"/>
  <c r="H2893" i="14"/>
  <c r="H2889" i="14"/>
  <c r="H2885" i="14"/>
  <c r="H2881" i="14"/>
  <c r="H2877" i="14"/>
  <c r="H2873" i="14"/>
  <c r="H2869" i="14"/>
  <c r="H2865" i="14"/>
  <c r="H2861" i="14"/>
  <c r="H2857" i="14"/>
  <c r="H2853" i="14"/>
  <c r="H2849" i="14"/>
  <c r="H2845" i="14"/>
  <c r="H2841" i="14"/>
  <c r="H2837" i="14"/>
  <c r="H2833" i="14"/>
  <c r="H2829" i="14"/>
  <c r="H2825" i="14"/>
  <c r="H2821" i="14"/>
  <c r="H2817" i="14"/>
  <c r="H2813" i="14"/>
  <c r="H2809" i="14"/>
  <c r="H2805" i="14"/>
  <c r="H2801" i="14"/>
  <c r="H2797" i="14"/>
  <c r="H2793" i="14"/>
  <c r="H2789" i="14"/>
  <c r="H2785" i="14"/>
  <c r="H2781" i="14"/>
  <c r="H2777" i="14"/>
  <c r="H2773" i="14"/>
  <c r="H2769" i="14"/>
  <c r="H2765" i="14"/>
  <c r="H2761" i="14"/>
  <c r="H2757" i="14"/>
  <c r="H2753" i="14"/>
  <c r="H2749" i="14"/>
  <c r="H2745" i="14"/>
  <c r="H2741" i="14"/>
  <c r="H2737" i="14"/>
  <c r="H2733" i="14"/>
  <c r="H2729" i="14"/>
  <c r="H2725" i="14"/>
  <c r="H2721" i="14"/>
  <c r="H2717" i="14"/>
  <c r="H2713" i="14"/>
  <c r="H2709" i="14"/>
  <c r="H2705" i="14"/>
  <c r="H2701" i="14"/>
  <c r="H2697" i="14"/>
  <c r="H2693" i="14"/>
  <c r="H2689" i="14"/>
  <c r="H2685" i="14"/>
  <c r="H2681" i="14"/>
  <c r="H2677" i="14"/>
  <c r="H2673" i="14"/>
  <c r="H2669" i="14"/>
  <c r="H2665" i="14"/>
  <c r="H2661" i="14"/>
  <c r="H2657" i="14"/>
  <c r="H2653" i="14"/>
  <c r="H2649" i="14"/>
  <c r="H2645" i="14"/>
  <c r="H2641" i="14"/>
  <c r="H2637" i="14"/>
  <c r="H2633" i="14"/>
  <c r="H2629" i="14"/>
  <c r="H2625" i="14"/>
  <c r="H2621" i="14"/>
  <c r="H2617" i="14"/>
  <c r="H2613" i="14"/>
  <c r="H2609" i="14"/>
  <c r="H2605" i="14"/>
  <c r="H2601" i="14"/>
  <c r="H2597" i="14"/>
  <c r="H2593" i="14"/>
  <c r="H2589" i="14"/>
  <c r="H2585" i="14"/>
  <c r="H2581" i="14"/>
  <c r="H2577" i="14"/>
  <c r="H2573" i="14"/>
  <c r="H2569" i="14"/>
  <c r="H2565" i="14"/>
  <c r="H2561" i="14"/>
  <c r="H2557" i="14"/>
  <c r="H2553" i="14"/>
  <c r="H2549" i="14"/>
  <c r="H2545" i="14"/>
  <c r="H2541" i="14"/>
  <c r="H2537" i="14"/>
  <c r="H2533" i="14"/>
  <c r="H2529" i="14"/>
  <c r="H2525" i="14"/>
  <c r="H2521" i="14"/>
  <c r="H2517" i="14"/>
  <c r="H2513" i="14"/>
  <c r="H2509" i="14"/>
  <c r="H2505" i="14"/>
  <c r="H2501" i="14"/>
  <c r="H2497" i="14"/>
  <c r="H2493" i="14"/>
  <c r="H2489" i="14"/>
  <c r="H2485" i="14"/>
  <c r="H2481" i="14"/>
  <c r="H2477" i="14"/>
  <c r="H2473" i="14"/>
  <c r="H2469" i="14"/>
  <c r="H2465" i="14"/>
  <c r="H2461" i="14"/>
  <c r="H2457" i="14"/>
  <c r="H2453" i="14"/>
  <c r="H2449" i="14"/>
  <c r="H2445" i="14"/>
  <c r="H2441" i="14"/>
  <c r="H2437" i="14"/>
  <c r="H2433" i="14"/>
  <c r="H2429" i="14"/>
  <c r="H2425" i="14"/>
  <c r="H2421" i="14"/>
  <c r="H2417" i="14"/>
  <c r="H2413" i="14"/>
  <c r="H2409" i="14"/>
  <c r="H2405" i="14"/>
  <c r="H2401" i="14"/>
  <c r="H2397" i="14"/>
  <c r="H2393" i="14"/>
  <c r="H2389" i="14"/>
  <c r="H2385" i="14"/>
  <c r="H2381" i="14"/>
  <c r="H2377" i="14"/>
  <c r="H5361" i="14"/>
  <c r="H5191" i="14"/>
  <c r="H5077" i="14"/>
  <c r="H4991" i="14"/>
  <c r="H4922" i="14"/>
  <c r="H4879" i="14"/>
  <c r="H4844" i="14"/>
  <c r="H4812" i="14"/>
  <c r="H4780" i="14"/>
  <c r="H4748" i="14"/>
  <c r="H4716" i="14"/>
  <c r="H4684" i="14"/>
  <c r="H4652" i="14"/>
  <c r="H4620" i="14"/>
  <c r="H4588" i="14"/>
  <c r="H4556" i="14"/>
  <c r="H4524" i="14"/>
  <c r="H4492" i="14"/>
  <c r="H4463" i="14"/>
  <c r="H4441" i="14"/>
  <c r="H4420" i="14"/>
  <c r="H4399" i="14"/>
  <c r="H4377" i="14"/>
  <c r="H4360" i="14"/>
  <c r="H4344" i="14"/>
  <c r="H4328" i="14"/>
  <c r="H4312" i="14"/>
  <c r="H4296" i="14"/>
  <c r="H4280" i="14"/>
  <c r="H4264" i="14"/>
  <c r="H4248" i="14"/>
  <c r="H4232" i="14"/>
  <c r="H4216" i="14"/>
  <c r="H4200" i="14"/>
  <c r="H4184" i="14"/>
  <c r="H4168" i="14"/>
  <c r="H4152" i="14"/>
  <c r="H4136" i="14"/>
  <c r="H4120" i="14"/>
  <c r="H4104" i="14"/>
  <c r="H4088" i="14"/>
  <c r="H4072" i="14"/>
  <c r="H4056" i="14"/>
  <c r="H4045" i="14"/>
  <c r="H4035" i="14"/>
  <c r="H4024" i="14"/>
  <c r="H4013" i="14"/>
  <c r="H4003" i="14"/>
  <c r="H3992" i="14"/>
  <c r="H3981" i="14"/>
  <c r="H3971" i="14"/>
  <c r="H3960" i="14"/>
  <c r="H3949" i="14"/>
  <c r="H3939" i="14"/>
  <c r="H3928" i="14"/>
  <c r="H3917" i="14"/>
  <c r="H3907" i="14"/>
  <c r="H3896" i="14"/>
  <c r="H3886" i="14"/>
  <c r="H3878" i="14"/>
  <c r="H3870" i="14"/>
  <c r="H3862" i="14"/>
  <c r="H3854" i="14"/>
  <c r="H3846" i="14"/>
  <c r="H3838" i="14"/>
  <c r="H3830" i="14"/>
  <c r="H3822" i="14"/>
  <c r="H3814" i="14"/>
  <c r="H3806" i="14"/>
  <c r="H3798" i="14"/>
  <c r="H3790" i="14"/>
  <c r="H3782" i="14"/>
  <c r="H3774" i="14"/>
  <c r="H3766" i="14"/>
  <c r="H3758" i="14"/>
  <c r="H3750" i="14"/>
  <c r="H3742" i="14"/>
  <c r="H3734" i="14"/>
  <c r="H3726" i="14"/>
  <c r="H3718" i="14"/>
  <c r="H3710" i="14"/>
  <c r="H3702" i="14"/>
  <c r="H3694" i="14"/>
  <c r="H3686" i="14"/>
  <c r="H3678" i="14"/>
  <c r="H3670" i="14"/>
  <c r="H3662" i="14"/>
  <c r="H3654" i="14"/>
  <c r="H3646" i="14"/>
  <c r="H3638" i="14"/>
  <c r="H3630" i="14"/>
  <c r="H3622" i="14"/>
  <c r="H3614" i="14"/>
  <c r="H3606" i="14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9" i="14"/>
  <c r="H3243" i="14"/>
  <c r="H3238" i="14"/>
  <c r="H3233" i="14"/>
  <c r="H3227" i="14"/>
  <c r="H3222" i="14"/>
  <c r="H3217" i="14"/>
  <c r="H3211" i="14"/>
  <c r="H3206" i="14"/>
  <c r="H3201" i="14"/>
  <c r="H3195" i="14"/>
  <c r="H3190" i="14"/>
  <c r="H3185" i="14"/>
  <c r="H3179" i="14"/>
  <c r="H3174" i="14"/>
  <c r="H3169" i="14"/>
  <c r="H3163" i="14"/>
  <c r="H3158" i="14"/>
  <c r="H3153" i="14"/>
  <c r="H3147" i="14"/>
  <c r="H3142" i="14"/>
  <c r="H3137" i="14"/>
  <c r="H3131" i="14"/>
  <c r="H3126" i="14"/>
  <c r="H3121" i="14"/>
  <c r="H3115" i="14"/>
  <c r="H3110" i="14"/>
  <c r="H3105" i="14"/>
  <c r="H3099" i="14"/>
  <c r="H3094" i="14"/>
  <c r="H3089" i="14"/>
  <c r="H3083" i="14"/>
  <c r="H3078" i="14"/>
  <c r="H3073" i="14"/>
  <c r="H3067" i="14"/>
  <c r="H3062" i="14"/>
  <c r="H3057" i="14"/>
  <c r="H3051" i="14"/>
  <c r="H3046" i="14"/>
  <c r="H3041" i="14"/>
  <c r="H3035" i="14"/>
  <c r="H3030" i="14"/>
  <c r="H3025" i="14"/>
  <c r="H3019" i="14"/>
  <c r="H3014" i="14"/>
  <c r="H3009" i="14"/>
  <c r="H3003" i="14"/>
  <c r="H2998" i="14"/>
  <c r="H2993" i="14"/>
  <c r="H2988" i="14"/>
  <c r="H2984" i="14"/>
  <c r="H2980" i="14"/>
  <c r="H2976" i="14"/>
  <c r="H2972" i="14"/>
  <c r="H2968" i="14"/>
  <c r="H2964" i="14"/>
  <c r="H2960" i="14"/>
  <c r="H2956" i="14"/>
  <c r="H2952" i="14"/>
  <c r="H2948" i="14"/>
  <c r="H2944" i="14"/>
  <c r="H2940" i="14"/>
  <c r="H2936" i="14"/>
  <c r="H2932" i="14"/>
  <c r="H2928" i="14"/>
  <c r="H2924" i="14"/>
  <c r="H2920" i="14"/>
  <c r="H2916" i="14"/>
  <c r="H2912" i="14"/>
  <c r="H2908" i="14"/>
  <c r="H2904" i="14"/>
  <c r="H2900" i="14"/>
  <c r="H2896" i="14"/>
  <c r="H2892" i="14"/>
  <c r="H2888" i="14"/>
  <c r="H2884" i="14"/>
  <c r="H2880" i="14"/>
  <c r="H2876" i="14"/>
  <c r="H2872" i="14"/>
  <c r="H2868" i="14"/>
  <c r="H2864" i="14"/>
  <c r="H2860" i="14"/>
  <c r="H2856" i="14"/>
  <c r="H2852" i="14"/>
  <c r="H2848" i="14"/>
  <c r="H2844" i="14"/>
  <c r="H2840" i="14"/>
  <c r="H2836" i="14"/>
  <c r="H2832" i="14"/>
  <c r="H2828" i="14"/>
  <c r="H2824" i="14"/>
  <c r="H2820" i="14"/>
  <c r="H2816" i="14"/>
  <c r="H2812" i="14"/>
  <c r="H2808" i="14"/>
  <c r="H2804" i="14"/>
  <c r="H2800" i="14"/>
  <c r="H2796" i="14"/>
  <c r="H2792" i="14"/>
  <c r="H2788" i="14"/>
  <c r="H2784" i="14"/>
  <c r="H2780" i="14"/>
  <c r="H2776" i="14"/>
  <c r="H2772" i="14"/>
  <c r="H2768" i="14"/>
  <c r="H2764" i="14"/>
  <c r="H2760" i="14"/>
  <c r="H2756" i="14"/>
  <c r="H2752" i="14"/>
  <c r="H2748" i="14"/>
  <c r="H2744" i="14"/>
  <c r="H2740" i="14"/>
  <c r="H2736" i="14"/>
  <c r="H2732" i="14"/>
  <c r="H2728" i="14"/>
  <c r="H2724" i="14"/>
  <c r="H2720" i="14"/>
  <c r="H2716" i="14"/>
  <c r="H2712" i="14"/>
  <c r="H2708" i="14"/>
  <c r="H2704" i="14"/>
  <c r="H2700" i="14"/>
  <c r="H2696" i="14"/>
  <c r="H2692" i="14"/>
  <c r="H2688" i="14"/>
  <c r="H2684" i="14"/>
  <c r="H2680" i="14"/>
  <c r="H2676" i="14"/>
  <c r="H2672" i="14"/>
  <c r="H2668" i="14"/>
  <c r="H2664" i="14"/>
  <c r="H2660" i="14"/>
  <c r="H2656" i="14"/>
  <c r="H2652" i="14"/>
  <c r="H2648" i="14"/>
  <c r="H2644" i="14"/>
  <c r="H2640" i="14"/>
  <c r="H2636" i="14"/>
  <c r="H2632" i="14"/>
  <c r="H2628" i="14"/>
  <c r="H2624" i="14"/>
  <c r="H2620" i="14"/>
  <c r="H2616" i="14"/>
  <c r="H2612" i="14"/>
  <c r="H2608" i="14"/>
  <c r="H2604" i="14"/>
  <c r="H2600" i="14"/>
  <c r="H2596" i="14"/>
  <c r="H2592" i="14"/>
  <c r="H2588" i="14"/>
  <c r="H2584" i="14"/>
  <c r="H2580" i="14"/>
  <c r="H2576" i="14"/>
  <c r="H2572" i="14"/>
  <c r="H2568" i="14"/>
  <c r="H2564" i="14"/>
  <c r="H2560" i="14"/>
  <c r="H2556" i="14"/>
  <c r="H2552" i="14"/>
  <c r="H2548" i="14"/>
  <c r="H2544" i="14"/>
  <c r="H2540" i="14"/>
  <c r="H2536" i="14"/>
  <c r="H2532" i="14"/>
  <c r="H2528" i="14"/>
  <c r="H2524" i="14"/>
  <c r="H2520" i="14"/>
  <c r="H2516" i="14"/>
  <c r="H2512" i="14"/>
  <c r="H2508" i="14"/>
  <c r="H2504" i="14"/>
  <c r="H2500" i="14"/>
  <c r="H2496" i="14"/>
  <c r="H2492" i="14"/>
  <c r="H2488" i="14"/>
  <c r="H2484" i="14"/>
  <c r="H2480" i="14"/>
  <c r="H2476" i="14"/>
  <c r="H2472" i="14"/>
  <c r="H2468" i="14"/>
  <c r="H2464" i="14"/>
  <c r="H2460" i="14"/>
  <c r="H2456" i="14"/>
  <c r="H2452" i="14"/>
  <c r="H2448" i="14"/>
  <c r="H2444" i="14"/>
  <c r="H2440" i="14"/>
  <c r="H2436" i="14"/>
  <c r="H2432" i="14"/>
  <c r="H2428" i="14"/>
  <c r="H2424" i="14"/>
  <c r="H2420" i="14"/>
  <c r="H2416" i="14"/>
  <c r="H5279" i="14"/>
  <c r="H5035" i="14"/>
  <c r="H4902" i="14"/>
  <c r="H4829" i="14"/>
  <c r="H4765" i="14"/>
  <c r="H4701" i="14"/>
  <c r="H4637" i="14"/>
  <c r="H4573" i="14"/>
  <c r="H4509" i="14"/>
  <c r="H4453" i="14"/>
  <c r="H4411" i="14"/>
  <c r="H4369" i="14"/>
  <c r="H4337" i="14"/>
  <c r="H4305" i="14"/>
  <c r="H4273" i="14"/>
  <c r="H4241" i="14"/>
  <c r="H4209" i="14"/>
  <c r="H4177" i="14"/>
  <c r="H4145" i="14"/>
  <c r="H4113" i="14"/>
  <c r="H4081" i="14"/>
  <c r="H4052" i="14"/>
  <c r="H4031" i="14"/>
  <c r="H4009" i="14"/>
  <c r="H3988" i="14"/>
  <c r="H3967" i="14"/>
  <c r="H3945" i="14"/>
  <c r="H3924" i="14"/>
  <c r="H3903" i="14"/>
  <c r="H3883" i="14"/>
  <c r="H3867" i="14"/>
  <c r="H3851" i="14"/>
  <c r="H3835" i="14"/>
  <c r="H3819" i="14"/>
  <c r="H3803" i="14"/>
  <c r="H3787" i="14"/>
  <c r="H3771" i="14"/>
  <c r="H3755" i="14"/>
  <c r="H3739" i="14"/>
  <c r="H3723" i="14"/>
  <c r="H3707" i="14"/>
  <c r="H3691" i="14"/>
  <c r="H3675" i="14"/>
  <c r="H3659" i="14"/>
  <c r="H3643" i="14"/>
  <c r="H3627" i="14"/>
  <c r="H3611" i="14"/>
  <c r="H3595" i="14"/>
  <c r="H3579" i="14"/>
  <c r="H3563" i="14"/>
  <c r="H3547" i="14"/>
  <c r="H3531" i="14"/>
  <c r="H3515" i="14"/>
  <c r="H3499" i="14"/>
  <c r="H3483" i="14"/>
  <c r="H3467" i="14"/>
  <c r="H3451" i="14"/>
  <c r="H3435" i="14"/>
  <c r="H3419" i="14"/>
  <c r="H3403" i="14"/>
  <c r="H3387" i="14"/>
  <c r="H3371" i="14"/>
  <c r="H3355" i="14"/>
  <c r="H3339" i="14"/>
  <c r="H3323" i="14"/>
  <c r="H3307" i="14"/>
  <c r="H3291" i="14"/>
  <c r="H3275" i="14"/>
  <c r="H3259" i="14"/>
  <c r="H3247" i="14"/>
  <c r="H3237" i="14"/>
  <c r="H3226" i="14"/>
  <c r="H3215" i="14"/>
  <c r="H3205" i="14"/>
  <c r="H3194" i="14"/>
  <c r="H3183" i="14"/>
  <c r="H3173" i="14"/>
  <c r="H3162" i="14"/>
  <c r="H3151" i="14"/>
  <c r="H3141" i="14"/>
  <c r="H3130" i="14"/>
  <c r="H3119" i="14"/>
  <c r="H3109" i="14"/>
  <c r="H3098" i="14"/>
  <c r="H3087" i="14"/>
  <c r="H3077" i="14"/>
  <c r="H3066" i="14"/>
  <c r="H3055" i="14"/>
  <c r="H3045" i="14"/>
  <c r="H3034" i="14"/>
  <c r="H3023" i="14"/>
  <c r="H3013" i="14"/>
  <c r="H3002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2775" i="14"/>
  <c r="H2767" i="14"/>
  <c r="H2759" i="14"/>
  <c r="H2751" i="14"/>
  <c r="H2743" i="14"/>
  <c r="H2735" i="14"/>
  <c r="H2727" i="14"/>
  <c r="H2719" i="14"/>
  <c r="H2711" i="14"/>
  <c r="H2703" i="14"/>
  <c r="H2695" i="14"/>
  <c r="H2687" i="14"/>
  <c r="H2679" i="14"/>
  <c r="H2671" i="14"/>
  <c r="H2663" i="14"/>
  <c r="H2655" i="14"/>
  <c r="H2647" i="14"/>
  <c r="H2639" i="14"/>
  <c r="H2631" i="14"/>
  <c r="H2623" i="14"/>
  <c r="H2615" i="14"/>
  <c r="H2607" i="14"/>
  <c r="H2599" i="14"/>
  <c r="H2591" i="14"/>
  <c r="H2583" i="14"/>
  <c r="H2575" i="14"/>
  <c r="H2567" i="14"/>
  <c r="H2559" i="14"/>
  <c r="H2551" i="14"/>
  <c r="H2543" i="14"/>
  <c r="H2535" i="14"/>
  <c r="H2527" i="14"/>
  <c r="H2519" i="14"/>
  <c r="H2511" i="14"/>
  <c r="H2503" i="14"/>
  <c r="H2495" i="14"/>
  <c r="H2487" i="14"/>
  <c r="H2479" i="14"/>
  <c r="H2471" i="14"/>
  <c r="H2463" i="14"/>
  <c r="H2455" i="14"/>
  <c r="H2447" i="14"/>
  <c r="H2439" i="14"/>
  <c r="H2431" i="14"/>
  <c r="H2423" i="14"/>
  <c r="H2415" i="14"/>
  <c r="H2410" i="14"/>
  <c r="H2404" i="14"/>
  <c r="H2399" i="14"/>
  <c r="H2394" i="14"/>
  <c r="H2388" i="14"/>
  <c r="H2383" i="14"/>
  <c r="H2378" i="14"/>
  <c r="H2373" i="14"/>
  <c r="H2369" i="14"/>
  <c r="H2365" i="14"/>
  <c r="H2361" i="14"/>
  <c r="H2357" i="14"/>
  <c r="H2353" i="14"/>
  <c r="H2349" i="14"/>
  <c r="H2345" i="14"/>
  <c r="H2341" i="14"/>
  <c r="H2337" i="14"/>
  <c r="H2333" i="14"/>
  <c r="H2329" i="14"/>
  <c r="H2325" i="14"/>
  <c r="H2321" i="14"/>
  <c r="H2317" i="14"/>
  <c r="H2313" i="14"/>
  <c r="H2309" i="14"/>
  <c r="H2305" i="14"/>
  <c r="H2301" i="14"/>
  <c r="H2297" i="14"/>
  <c r="H2293" i="14"/>
  <c r="H2289" i="14"/>
  <c r="H2285" i="14"/>
  <c r="H2281" i="14"/>
  <c r="H2277" i="14"/>
  <c r="H2273" i="14"/>
  <c r="H2269" i="14"/>
  <c r="H2265" i="14"/>
  <c r="H2261" i="14"/>
  <c r="H2257" i="14"/>
  <c r="H2253" i="14"/>
  <c r="H2249" i="14"/>
  <c r="H2245" i="14"/>
  <c r="H2241" i="14"/>
  <c r="H2237" i="14"/>
  <c r="H2233" i="14"/>
  <c r="H2229" i="14"/>
  <c r="H2225" i="14"/>
  <c r="H2221" i="14"/>
  <c r="H2217" i="14"/>
  <c r="H2213" i="14"/>
  <c r="H2209" i="14"/>
  <c r="H2205" i="14"/>
  <c r="H2201" i="14"/>
  <c r="H2197" i="14"/>
  <c r="H2193" i="14"/>
  <c r="H2189" i="14"/>
  <c r="H2185" i="14"/>
  <c r="H2181" i="14"/>
  <c r="H2177" i="14"/>
  <c r="H2173" i="14"/>
  <c r="H2169" i="14"/>
  <c r="H2165" i="14"/>
  <c r="H2161" i="14"/>
  <c r="H2157" i="14"/>
  <c r="H2153" i="14"/>
  <c r="H2149" i="14"/>
  <c r="H2145" i="14"/>
  <c r="H2141" i="14"/>
  <c r="H2137" i="14"/>
  <c r="H2133" i="14"/>
  <c r="H2129" i="14"/>
  <c r="H2125" i="14"/>
  <c r="H2121" i="14"/>
  <c r="H2117" i="14"/>
  <c r="H2113" i="14"/>
  <c r="H2109" i="14"/>
  <c r="H2105" i="14"/>
  <c r="H2101" i="14"/>
  <c r="H2097" i="14"/>
  <c r="H2093" i="14"/>
  <c r="H2089" i="14"/>
  <c r="H2085" i="14"/>
  <c r="H2081" i="14"/>
  <c r="H2077" i="14"/>
  <c r="H2073" i="14"/>
  <c r="H2069" i="14"/>
  <c r="H2065" i="14"/>
  <c r="H2061" i="14"/>
  <c r="H2057" i="14"/>
  <c r="H2053" i="14"/>
  <c r="H2049" i="14"/>
  <c r="H2045" i="14"/>
  <c r="H2041" i="14"/>
  <c r="H2037" i="14"/>
  <c r="H2033" i="14"/>
  <c r="H2029" i="14"/>
  <c r="H2025" i="14"/>
  <c r="H2021" i="14"/>
  <c r="H2017" i="14"/>
  <c r="H2013" i="14"/>
  <c r="H2009" i="14"/>
  <c r="H2005" i="14"/>
  <c r="H2001" i="14"/>
  <c r="H1997" i="14"/>
  <c r="H1993" i="14"/>
  <c r="H1989" i="14"/>
  <c r="H1985" i="14"/>
  <c r="H1981" i="14"/>
  <c r="H1977" i="14"/>
  <c r="H1973" i="14"/>
  <c r="H1969" i="14"/>
  <c r="H1965" i="14"/>
  <c r="H1961" i="14"/>
  <c r="H1957" i="14"/>
  <c r="H1953" i="14"/>
  <c r="H1949" i="14"/>
  <c r="H1945" i="14"/>
  <c r="H1941" i="14"/>
  <c r="H1937" i="14"/>
  <c r="H1933" i="14"/>
  <c r="H1929" i="14"/>
  <c r="H1925" i="14"/>
  <c r="H1921" i="14"/>
  <c r="H1917" i="14"/>
  <c r="H1913" i="14"/>
  <c r="H1909" i="14"/>
  <c r="H1905" i="14"/>
  <c r="H1901" i="14"/>
  <c r="H1897" i="14"/>
  <c r="H1893" i="14"/>
  <c r="H1889" i="14"/>
  <c r="H1885" i="14"/>
  <c r="H1881" i="14"/>
  <c r="H1877" i="14"/>
  <c r="H1873" i="14"/>
  <c r="H1869" i="14"/>
  <c r="H1865" i="14"/>
  <c r="H1861" i="14"/>
  <c r="H1857" i="14"/>
  <c r="H1853" i="14"/>
  <c r="H1849" i="14"/>
  <c r="H1845" i="14"/>
  <c r="H1841" i="14"/>
  <c r="H1837" i="14"/>
  <c r="H1833" i="14"/>
  <c r="H1829" i="14"/>
  <c r="H1825" i="14"/>
  <c r="H1821" i="14"/>
  <c r="H1817" i="14"/>
  <c r="H1813" i="14"/>
  <c r="H1809" i="14"/>
  <c r="H1805" i="14"/>
  <c r="H1801" i="14"/>
  <c r="H1797" i="14"/>
  <c r="H1793" i="14"/>
  <c r="H1789" i="14"/>
  <c r="H1785" i="14"/>
  <c r="H1781" i="14"/>
  <c r="H1777" i="14"/>
  <c r="H1773" i="14"/>
  <c r="H1769" i="14"/>
  <c r="H1765" i="14"/>
  <c r="H1761" i="14"/>
  <c r="H1757" i="14"/>
  <c r="H1753" i="14"/>
  <c r="H1749" i="14"/>
  <c r="H1745" i="14"/>
  <c r="H1741" i="14"/>
  <c r="H1737" i="14"/>
  <c r="H1733" i="14"/>
  <c r="H1729" i="14"/>
  <c r="H1725" i="14"/>
  <c r="H1721" i="14"/>
  <c r="H1717" i="14"/>
  <c r="H1713" i="14"/>
  <c r="H1709" i="14"/>
  <c r="H1705" i="14"/>
  <c r="H1701" i="14"/>
  <c r="H1697" i="14"/>
  <c r="H1693" i="14"/>
  <c r="H1689" i="14"/>
  <c r="H1685" i="14"/>
  <c r="H1681" i="14"/>
  <c r="H1677" i="14"/>
  <c r="H1673" i="14"/>
  <c r="H1669" i="14"/>
  <c r="H1665" i="14"/>
  <c r="H1661" i="14"/>
  <c r="H1657" i="14"/>
  <c r="H1653" i="14"/>
  <c r="H1649" i="14"/>
  <c r="H1645" i="14"/>
  <c r="H1641" i="14"/>
  <c r="H1637" i="14"/>
  <c r="H1633" i="14"/>
  <c r="H1629" i="14"/>
  <c r="H1625" i="14"/>
  <c r="H1621" i="14"/>
  <c r="H1617" i="14"/>
  <c r="H1613" i="14"/>
  <c r="H1609" i="14"/>
  <c r="H1605" i="14"/>
  <c r="H1601" i="14"/>
  <c r="H1597" i="14"/>
  <c r="H1593" i="14"/>
  <c r="H1589" i="14"/>
  <c r="H1585" i="14"/>
  <c r="H1581" i="14"/>
  <c r="H1577" i="14"/>
  <c r="H1573" i="14"/>
  <c r="H1569" i="14"/>
  <c r="H1565" i="14"/>
  <c r="H1561" i="14"/>
  <c r="H1557" i="14"/>
  <c r="H1553" i="14"/>
  <c r="H1549" i="14"/>
  <c r="H1545" i="14"/>
  <c r="H1541" i="14"/>
  <c r="H1537" i="14"/>
  <c r="H1533" i="14"/>
  <c r="H1529" i="14"/>
  <c r="H1525" i="14"/>
  <c r="H1521" i="14"/>
  <c r="H1517" i="14"/>
  <c r="H1513" i="14"/>
  <c r="H1509" i="14"/>
  <c r="H1505" i="14"/>
  <c r="H1501" i="14"/>
  <c r="H1497" i="14"/>
  <c r="H1493" i="14"/>
  <c r="H1489" i="14"/>
  <c r="H1485" i="14"/>
  <c r="H1481" i="14"/>
  <c r="H1477" i="14"/>
  <c r="H1473" i="14"/>
  <c r="H1469" i="14"/>
  <c r="H1465" i="14"/>
  <c r="H1461" i="14"/>
  <c r="H1457" i="14"/>
  <c r="H1453" i="14"/>
  <c r="H1449" i="14"/>
  <c r="H1445" i="14"/>
  <c r="H1441" i="14"/>
  <c r="H1437" i="14"/>
  <c r="H1433" i="14"/>
  <c r="H1429" i="14"/>
  <c r="H1425" i="14"/>
  <c r="H1421" i="14"/>
  <c r="H1417" i="14"/>
  <c r="H1413" i="14"/>
  <c r="H1409" i="14"/>
  <c r="H1405" i="14"/>
  <c r="H1401" i="14"/>
  <c r="H1397" i="14"/>
  <c r="H1393" i="14"/>
  <c r="H1389" i="14"/>
  <c r="H1385" i="14"/>
  <c r="H1381" i="14"/>
  <c r="H1377" i="14"/>
  <c r="H1373" i="14"/>
  <c r="H1369" i="14"/>
  <c r="H1365" i="14"/>
  <c r="H1361" i="14"/>
  <c r="H1357" i="14"/>
  <c r="H1353" i="14"/>
  <c r="H1349" i="14"/>
  <c r="H1345" i="14"/>
  <c r="H1341" i="14"/>
  <c r="H1337" i="14"/>
  <c r="H1333" i="14"/>
  <c r="H1329" i="14"/>
  <c r="H1325" i="14"/>
  <c r="H1321" i="14"/>
  <c r="H1317" i="14"/>
  <c r="H1313" i="14"/>
  <c r="H1309" i="14"/>
  <c r="H1305" i="14"/>
  <c r="H1301" i="14"/>
  <c r="H1297" i="14"/>
  <c r="H1293" i="14"/>
  <c r="H1289" i="14"/>
  <c r="H1285" i="14"/>
  <c r="H1281" i="14"/>
  <c r="H1277" i="14"/>
  <c r="H1273" i="14"/>
  <c r="H1269" i="14"/>
  <c r="H1265" i="14"/>
  <c r="H1261" i="14"/>
  <c r="H1257" i="14"/>
  <c r="H1253" i="14"/>
  <c r="H1249" i="14"/>
  <c r="H1245" i="14"/>
  <c r="H1241" i="14"/>
  <c r="H1237" i="14"/>
  <c r="H1233" i="14"/>
  <c r="H1229" i="14"/>
  <c r="H1225" i="14"/>
  <c r="H1221" i="14"/>
  <c r="H1217" i="14"/>
  <c r="H1213" i="14"/>
  <c r="H1209" i="14"/>
  <c r="H1205" i="14"/>
  <c r="H1201" i="14"/>
  <c r="H1197" i="14"/>
  <c r="H1193" i="14"/>
  <c r="H1189" i="14"/>
  <c r="H1185" i="14"/>
  <c r="H1181" i="14"/>
  <c r="H1177" i="14"/>
  <c r="H1173" i="14"/>
  <c r="H1169" i="14"/>
  <c r="H1165" i="14"/>
  <c r="H1161" i="14"/>
  <c r="H1157" i="14"/>
  <c r="H1153" i="14"/>
  <c r="H1149" i="14"/>
  <c r="H1145" i="14"/>
  <c r="H1141" i="14"/>
  <c r="H1137" i="14"/>
  <c r="H1133" i="14"/>
  <c r="H1129" i="14"/>
  <c r="H1125" i="14"/>
  <c r="H1121" i="14"/>
  <c r="H1117" i="14"/>
  <c r="H1113" i="14"/>
  <c r="H1109" i="14"/>
  <c r="H1105" i="14"/>
  <c r="H1101" i="14"/>
  <c r="H1097" i="14"/>
  <c r="H1093" i="14"/>
  <c r="H1089" i="14"/>
  <c r="H1085" i="14"/>
  <c r="H1081" i="14"/>
  <c r="H1077" i="14"/>
  <c r="H1073" i="14"/>
  <c r="H1069" i="14"/>
  <c r="H1065" i="14"/>
  <c r="H1061" i="14"/>
  <c r="H1057" i="14"/>
  <c r="H1053" i="14"/>
  <c r="H1049" i="14"/>
  <c r="H1045" i="14"/>
  <c r="H1041" i="14"/>
  <c r="H1037" i="14"/>
  <c r="H1033" i="14"/>
  <c r="H1029" i="14"/>
  <c r="H1025" i="14"/>
  <c r="H1021" i="14"/>
  <c r="H1017" i="14"/>
  <c r="H1013" i="14"/>
  <c r="H1009" i="14"/>
  <c r="H1005" i="14"/>
  <c r="H1001" i="14"/>
  <c r="H997" i="14"/>
  <c r="H993" i="14"/>
  <c r="H989" i="14"/>
  <c r="H985" i="14"/>
  <c r="H981" i="14"/>
  <c r="H977" i="14"/>
  <c r="H973" i="14"/>
  <c r="H969" i="14"/>
  <c r="H965" i="14"/>
  <c r="H961" i="14"/>
  <c r="H957" i="14"/>
  <c r="H953" i="14"/>
  <c r="H949" i="14"/>
  <c r="H945" i="14"/>
  <c r="H941" i="14"/>
  <c r="H937" i="14"/>
  <c r="H933" i="14"/>
  <c r="H929" i="14"/>
  <c r="H925" i="14"/>
  <c r="H921" i="14"/>
  <c r="H917" i="14"/>
  <c r="H913" i="14"/>
  <c r="H909" i="14"/>
  <c r="H905" i="14"/>
  <c r="H901" i="14"/>
  <c r="H897" i="14"/>
  <c r="H893" i="14"/>
  <c r="H889" i="14"/>
  <c r="H885" i="14"/>
  <c r="H881" i="14"/>
  <c r="H877" i="14"/>
  <c r="H873" i="14"/>
  <c r="H869" i="14"/>
  <c r="H865" i="14"/>
  <c r="H861" i="14"/>
  <c r="H857" i="14"/>
  <c r="H853" i="14"/>
  <c r="H849" i="14"/>
  <c r="H845" i="14"/>
  <c r="H841" i="14"/>
  <c r="H837" i="14"/>
  <c r="H833" i="14"/>
  <c r="H829" i="14"/>
  <c r="H825" i="14"/>
  <c r="H821" i="14"/>
  <c r="H817" i="14"/>
  <c r="H813" i="14"/>
  <c r="H809" i="14"/>
  <c r="H805" i="14"/>
  <c r="H801" i="14"/>
  <c r="H797" i="14"/>
  <c r="H793" i="14"/>
  <c r="H789" i="14"/>
  <c r="H785" i="14"/>
  <c r="H781" i="14"/>
  <c r="H777" i="14"/>
  <c r="H773" i="14"/>
  <c r="H769" i="14"/>
  <c r="H765" i="14"/>
  <c r="H761" i="14"/>
  <c r="H757" i="14"/>
  <c r="H753" i="14"/>
  <c r="H749" i="14"/>
  <c r="H745" i="14"/>
  <c r="H741" i="14"/>
  <c r="H737" i="14"/>
  <c r="H733" i="14"/>
  <c r="H729" i="14"/>
  <c r="H725" i="14"/>
  <c r="H721" i="14"/>
  <c r="H717" i="14"/>
  <c r="H713" i="14"/>
  <c r="H709" i="14"/>
  <c r="H705" i="14"/>
  <c r="H701" i="14"/>
  <c r="H697" i="14"/>
  <c r="H693" i="14"/>
  <c r="H689" i="14"/>
  <c r="H685" i="14"/>
  <c r="H681" i="14"/>
  <c r="H677" i="14"/>
  <c r="H673" i="14"/>
  <c r="H669" i="14"/>
  <c r="H665" i="14"/>
  <c r="H661" i="14"/>
  <c r="H657" i="14"/>
  <c r="H653" i="14"/>
  <c r="H649" i="14"/>
  <c r="H645" i="14"/>
  <c r="H641" i="14"/>
  <c r="H637" i="14"/>
  <c r="H633" i="14"/>
  <c r="H629" i="14"/>
  <c r="H625" i="14"/>
  <c r="H621" i="14"/>
  <c r="H617" i="14"/>
  <c r="H613" i="14"/>
  <c r="H609" i="14"/>
  <c r="H605" i="14"/>
  <c r="H601" i="14"/>
  <c r="H597" i="14"/>
  <c r="H593" i="14"/>
  <c r="H589" i="14"/>
  <c r="H585" i="14"/>
  <c r="H581" i="14"/>
  <c r="H577" i="14"/>
  <c r="H573" i="14"/>
  <c r="H569" i="14"/>
  <c r="H565" i="14"/>
  <c r="H561" i="14"/>
  <c r="H557" i="14"/>
  <c r="H553" i="14"/>
  <c r="H549" i="14"/>
  <c r="H545" i="14"/>
  <c r="H541" i="14"/>
  <c r="H537" i="14"/>
  <c r="H533" i="14"/>
  <c r="H529" i="14"/>
  <c r="H525" i="14"/>
  <c r="H521" i="14"/>
  <c r="H517" i="14"/>
  <c r="H513" i="14"/>
  <c r="H509" i="14"/>
  <c r="H505" i="14"/>
  <c r="H501" i="14"/>
  <c r="H497" i="14"/>
  <c r="H493" i="14"/>
  <c r="H489" i="14"/>
  <c r="H485" i="14"/>
  <c r="H481" i="14"/>
  <c r="H477" i="14"/>
  <c r="H473" i="14"/>
  <c r="H469" i="14"/>
  <c r="H465" i="14"/>
  <c r="H461" i="14"/>
  <c r="H457" i="14"/>
  <c r="H453" i="14"/>
  <c r="H449" i="14"/>
  <c r="H445" i="14"/>
  <c r="H441" i="14"/>
  <c r="H437" i="14"/>
  <c r="H433" i="14"/>
  <c r="H429" i="14"/>
  <c r="H425" i="14"/>
  <c r="H421" i="14"/>
  <c r="H417" i="14"/>
  <c r="H413" i="14"/>
  <c r="H409" i="14"/>
  <c r="H405" i="14"/>
  <c r="H401" i="14"/>
  <c r="H397" i="14"/>
  <c r="H393" i="14"/>
  <c r="H389" i="14"/>
  <c r="H385" i="14"/>
  <c r="H381" i="14"/>
  <c r="H377" i="14"/>
  <c r="H373" i="14"/>
  <c r="H369" i="14"/>
  <c r="H365" i="14"/>
  <c r="H361" i="14"/>
  <c r="H357" i="14"/>
  <c r="H353" i="14"/>
  <c r="H349" i="14"/>
  <c r="H345" i="14"/>
  <c r="H341" i="14"/>
  <c r="H5034" i="14"/>
  <c r="H4861" i="14"/>
  <c r="H4796" i="14"/>
  <c r="H4700" i="14"/>
  <c r="H4605" i="14"/>
  <c r="H4540" i="14"/>
  <c r="H4452" i="14"/>
  <c r="H4389" i="14"/>
  <c r="H4352" i="14"/>
  <c r="H4304" i="14"/>
  <c r="H4257" i="14"/>
  <c r="H4224" i="14"/>
  <c r="H4176" i="14"/>
  <c r="H4129" i="14"/>
  <c r="H4096" i="14"/>
  <c r="H4051" i="14"/>
  <c r="H4020" i="14"/>
  <c r="H3997" i="14"/>
  <c r="H3965" i="14"/>
  <c r="H3935" i="14"/>
  <c r="H3912" i="14"/>
  <c r="H3882" i="14"/>
  <c r="H3859" i="14"/>
  <c r="H3842" i="14"/>
  <c r="H3818" i="14"/>
  <c r="H3795" i="14"/>
  <c r="H3778" i="14"/>
  <c r="H3754" i="14"/>
  <c r="H3731" i="14"/>
  <c r="H3714" i="14"/>
  <c r="H3690" i="14"/>
  <c r="H3667" i="14"/>
  <c r="H3650" i="14"/>
  <c r="H3626" i="14"/>
  <c r="H3603" i="14"/>
  <c r="H3586" i="14"/>
  <c r="H3562" i="14"/>
  <c r="H3539" i="14"/>
  <c r="H3522" i="14"/>
  <c r="H3498" i="14"/>
  <c r="H3475" i="14"/>
  <c r="H3458" i="14"/>
  <c r="H3434" i="14"/>
  <c r="H3411" i="14"/>
  <c r="H3394" i="14"/>
  <c r="H3370" i="14"/>
  <c r="H3347" i="14"/>
  <c r="H3330" i="14"/>
  <c r="H3306" i="14"/>
  <c r="H3283" i="14"/>
  <c r="H3266" i="14"/>
  <c r="H3246" i="14"/>
  <c r="H3231" i="14"/>
  <c r="H3219" i="14"/>
  <c r="H3203" i="14"/>
  <c r="H3189" i="14"/>
  <c r="H3177" i="14"/>
  <c r="H3161" i="14"/>
  <c r="H3146" i="14"/>
  <c r="H3134" i="14"/>
  <c r="H3118" i="14"/>
  <c r="H3103" i="14"/>
  <c r="H3091" i="14"/>
  <c r="H3075" i="14"/>
  <c r="H3061" i="14"/>
  <c r="H3049" i="14"/>
  <c r="H3033" i="14"/>
  <c r="H3018" i="14"/>
  <c r="H3006" i="14"/>
  <c r="H2990" i="14"/>
  <c r="H2979" i="14"/>
  <c r="H2970" i="14"/>
  <c r="H2958" i="14"/>
  <c r="H2947" i="14"/>
  <c r="H2938" i="14"/>
  <c r="H2926" i="14"/>
  <c r="H2915" i="14"/>
  <c r="H2906" i="14"/>
  <c r="H2894" i="14"/>
  <c r="H2883" i="14"/>
  <c r="H2874" i="14"/>
  <c r="H2862" i="14"/>
  <c r="H2851" i="14"/>
  <c r="H2842" i="14"/>
  <c r="H4951" i="14"/>
  <c r="H4828" i="14"/>
  <c r="H4732" i="14"/>
  <c r="H4604" i="14"/>
  <c r="H4477" i="14"/>
  <c r="H4409" i="14"/>
  <c r="H4336" i="14"/>
  <c r="H4288" i="14"/>
  <c r="H4225" i="14"/>
  <c r="H4161" i="14"/>
  <c r="H4112" i="14"/>
  <c r="H4064" i="14"/>
  <c r="H4019" i="14"/>
  <c r="H3977" i="14"/>
  <c r="H3944" i="14"/>
  <c r="H3901" i="14"/>
  <c r="H3874" i="14"/>
  <c r="H3843" i="14"/>
  <c r="H3811" i="14"/>
  <c r="H3786" i="14"/>
  <c r="H3762" i="14"/>
  <c r="H3730" i="14"/>
  <c r="H3699" i="14"/>
  <c r="H3674" i="14"/>
  <c r="H3642" i="14"/>
  <c r="H3618" i="14"/>
  <c r="H3587" i="14"/>
  <c r="H3555" i="14"/>
  <c r="H3530" i="14"/>
  <c r="H3506" i="14"/>
  <c r="H3474" i="14"/>
  <c r="H3443" i="14"/>
  <c r="H3418" i="14"/>
  <c r="H3386" i="14"/>
  <c r="H3362" i="14"/>
  <c r="H3331" i="14"/>
  <c r="H3299" i="14"/>
  <c r="H3274" i="14"/>
  <c r="H3251" i="14"/>
  <c r="H3230" i="14"/>
  <c r="H3210" i="14"/>
  <c r="H3193" i="14"/>
  <c r="H3171" i="14"/>
  <c r="H3155" i="14"/>
  <c r="H3135" i="14"/>
  <c r="H3114" i="14"/>
  <c r="H3097" i="14"/>
  <c r="H3081" i="14"/>
  <c r="H3059" i="14"/>
  <c r="H3039" i="14"/>
  <c r="H3022" i="14"/>
  <c r="H3001" i="14"/>
  <c r="H2986" i="14"/>
  <c r="H2971" i="14"/>
  <c r="H2955" i="14"/>
  <c r="H2942" i="14"/>
  <c r="H2930" i="14"/>
  <c r="H2914" i="14"/>
  <c r="H2899" i="14"/>
  <c r="H2886" i="14"/>
  <c r="H2870" i="14"/>
  <c r="H2858" i="14"/>
  <c r="H2843" i="14"/>
  <c r="H2830" i="14"/>
  <c r="H2819" i="14"/>
  <c r="H2810" i="14"/>
  <c r="H2798" i="14"/>
  <c r="H2787" i="14"/>
  <c r="H2778" i="14"/>
  <c r="H2766" i="14"/>
  <c r="H2755" i="14"/>
  <c r="H2746" i="14"/>
  <c r="H2734" i="14"/>
  <c r="H2723" i="14"/>
  <c r="H2714" i="14"/>
  <c r="H2702" i="14"/>
  <c r="H2691" i="14"/>
  <c r="H2682" i="14"/>
  <c r="H2670" i="14"/>
  <c r="H2659" i="14"/>
  <c r="H2650" i="14"/>
  <c r="H2638" i="14"/>
  <c r="H2627" i="14"/>
  <c r="H2618" i="14"/>
  <c r="H2606" i="14"/>
  <c r="H2595" i="14"/>
  <c r="H2586" i="14"/>
  <c r="H2574" i="14"/>
  <c r="H2563" i="14"/>
  <c r="H2554" i="14"/>
  <c r="H2542" i="14"/>
  <c r="H2531" i="14"/>
  <c r="H2522" i="14"/>
  <c r="H2510" i="14"/>
  <c r="H2499" i="14"/>
  <c r="H2490" i="14"/>
  <c r="H2478" i="14"/>
  <c r="H2467" i="14"/>
  <c r="H2458" i="14"/>
  <c r="H2446" i="14"/>
  <c r="H2435" i="14"/>
  <c r="H2426" i="14"/>
  <c r="H2414" i="14"/>
  <c r="H2407" i="14"/>
  <c r="H2400" i="14"/>
  <c r="H2392" i="14"/>
  <c r="H2386" i="14"/>
  <c r="H2379" i="14"/>
  <c r="H2372" i="14"/>
  <c r="H2367" i="14"/>
  <c r="H2362" i="14"/>
  <c r="H2356" i="14"/>
  <c r="H2351" i="14"/>
  <c r="H2346" i="14"/>
  <c r="H2340" i="14"/>
  <c r="H2335" i="14"/>
  <c r="H2330" i="14"/>
  <c r="H2324" i="14"/>
  <c r="H2319" i="14"/>
  <c r="H2314" i="14"/>
  <c r="H2308" i="14"/>
  <c r="H2303" i="14"/>
  <c r="H2298" i="14"/>
  <c r="H2292" i="14"/>
  <c r="H2287" i="14"/>
  <c r="H2282" i="14"/>
  <c r="H2276" i="14"/>
  <c r="H2271" i="14"/>
  <c r="H2266" i="14"/>
  <c r="H2260" i="14"/>
  <c r="H2255" i="14"/>
  <c r="H2250" i="14"/>
  <c r="H2244" i="14"/>
  <c r="H2239" i="14"/>
  <c r="H2234" i="14"/>
  <c r="H2228" i="14"/>
  <c r="H2223" i="14"/>
  <c r="H2218" i="14"/>
  <c r="H2212" i="14"/>
  <c r="H2207" i="14"/>
  <c r="H2202" i="14"/>
  <c r="H2196" i="14"/>
  <c r="H2191" i="14"/>
  <c r="H2186" i="14"/>
  <c r="H2180" i="14"/>
  <c r="H2175" i="14"/>
  <c r="H2170" i="14"/>
  <c r="H2164" i="14"/>
  <c r="H2159" i="14"/>
  <c r="H2154" i="14"/>
  <c r="H2148" i="14"/>
  <c r="H2143" i="14"/>
  <c r="H2138" i="14"/>
  <c r="H2132" i="14"/>
  <c r="H2127" i="14"/>
  <c r="H2122" i="14"/>
  <c r="H2116" i="14"/>
  <c r="H2111" i="14"/>
  <c r="H2106" i="14"/>
  <c r="H2100" i="14"/>
  <c r="H2095" i="14"/>
  <c r="H2090" i="14"/>
  <c r="H2084" i="14"/>
  <c r="H2079" i="14"/>
  <c r="H2074" i="14"/>
  <c r="H2068" i="14"/>
  <c r="H2063" i="14"/>
  <c r="H2058" i="14"/>
  <c r="H2052" i="14"/>
  <c r="H5119" i="14"/>
  <c r="H4797" i="14"/>
  <c r="H4668" i="14"/>
  <c r="H4508" i="14"/>
  <c r="H4388" i="14"/>
  <c r="H4320" i="14"/>
  <c r="H4240" i="14"/>
  <c r="H4160" i="14"/>
  <c r="H4080" i="14"/>
  <c r="H4029" i="14"/>
  <c r="H3976" i="14"/>
  <c r="H3923" i="14"/>
  <c r="H3875" i="14"/>
  <c r="H5121" i="14"/>
  <c r="H4860" i="14"/>
  <c r="H4669" i="14"/>
  <c r="H4541" i="14"/>
  <c r="H4431" i="14"/>
  <c r="H4321" i="14"/>
  <c r="H4256" i="14"/>
  <c r="H4192" i="14"/>
  <c r="H4097" i="14"/>
  <c r="H4040" i="14"/>
  <c r="H3987" i="14"/>
  <c r="H3933" i="14"/>
  <c r="H3891" i="14"/>
  <c r="H3850" i="14"/>
  <c r="H3810" i="14"/>
  <c r="H3770" i="14"/>
  <c r="H3738" i="14"/>
  <c r="H3698" i="14"/>
  <c r="H3658" i="14"/>
  <c r="H3619" i="14"/>
  <c r="H3578" i="14"/>
  <c r="H3546" i="14"/>
  <c r="H3507" i="14"/>
  <c r="H3466" i="14"/>
  <c r="H3427" i="14"/>
  <c r="H3395" i="14"/>
  <c r="H3354" i="14"/>
  <c r="H3315" i="14"/>
  <c r="H3282" i="14"/>
  <c r="H3242" i="14"/>
  <c r="H3221" i="14"/>
  <c r="H3198" i="14"/>
  <c r="H3167" i="14"/>
  <c r="H3145" i="14"/>
  <c r="H3123" i="14"/>
  <c r="H3093" i="14"/>
  <c r="H3070" i="14"/>
  <c r="H3043" i="14"/>
  <c r="H3017" i="14"/>
  <c r="H2995" i="14"/>
  <c r="H2974" i="14"/>
  <c r="H2954" i="14"/>
  <c r="H2934" i="14"/>
  <c r="H2918" i="14"/>
  <c r="H2898" i="14"/>
  <c r="H2878" i="14"/>
  <c r="H2859" i="14"/>
  <c r="H2838" i="14"/>
  <c r="H2826" i="14"/>
  <c r="H2811" i="14"/>
  <c r="H2795" i="14"/>
  <c r="H2782" i="14"/>
  <c r="H2770" i="14"/>
  <c r="H2754" i="14"/>
  <c r="H2739" i="14"/>
  <c r="H2726" i="14"/>
  <c r="H2710" i="14"/>
  <c r="H2698" i="14"/>
  <c r="H2683" i="14"/>
  <c r="H2667" i="14"/>
  <c r="H2654" i="14"/>
  <c r="H2642" i="14"/>
  <c r="H2626" i="14"/>
  <c r="H2611" i="14"/>
  <c r="H2598" i="14"/>
  <c r="H2582" i="14"/>
  <c r="H2570" i="14"/>
  <c r="H2555" i="14"/>
  <c r="H2539" i="14"/>
  <c r="H2526" i="14"/>
  <c r="H2514" i="14"/>
  <c r="H2498" i="14"/>
  <c r="H2483" i="14"/>
  <c r="H2470" i="14"/>
  <c r="H2454" i="14"/>
  <c r="H2442" i="14"/>
  <c r="H2427" i="14"/>
  <c r="H2412" i="14"/>
  <c r="H2403" i="14"/>
  <c r="H2395" i="14"/>
  <c r="H2384" i="14"/>
  <c r="H2375" i="14"/>
  <c r="H2368" i="14"/>
  <c r="H2360" i="14"/>
  <c r="H2354" i="14"/>
  <c r="H2347" i="14"/>
  <c r="H2339" i="14"/>
  <c r="H2332" i="14"/>
  <c r="H2326" i="14"/>
  <c r="H2318" i="14"/>
  <c r="H2311" i="14"/>
  <c r="H2304" i="14"/>
  <c r="H2296" i="14"/>
  <c r="H2290" i="14"/>
  <c r="H2283" i="14"/>
  <c r="H2275" i="14"/>
  <c r="H2268" i="14"/>
  <c r="H2262" i="14"/>
  <c r="H2254" i="14"/>
  <c r="H2247" i="14"/>
  <c r="H2240" i="14"/>
  <c r="H2232" i="14"/>
  <c r="H2226" i="14"/>
  <c r="H2219" i="14"/>
  <c r="H2211" i="14"/>
  <c r="H2204" i="14"/>
  <c r="H2198" i="14"/>
  <c r="H2190" i="14"/>
  <c r="H2183" i="14"/>
  <c r="H2176" i="14"/>
  <c r="H2168" i="14"/>
  <c r="H2162" i="14"/>
  <c r="H2155" i="14"/>
  <c r="H2147" i="14"/>
  <c r="H2140" i="14"/>
  <c r="H2134" i="14"/>
  <c r="H2126" i="14"/>
  <c r="H2119" i="14"/>
  <c r="H2112" i="14"/>
  <c r="H2104" i="14"/>
  <c r="H2098" i="14"/>
  <c r="H2091" i="14"/>
  <c r="H2083" i="14"/>
  <c r="H2076" i="14"/>
  <c r="H2070" i="14"/>
  <c r="H2062" i="14"/>
  <c r="H2055" i="14"/>
  <c r="H2048" i="14"/>
  <c r="H2043" i="14"/>
  <c r="H2038" i="14"/>
  <c r="H2032" i="14"/>
  <c r="H2027" i="14"/>
  <c r="H2022" i="14"/>
  <c r="H2016" i="14"/>
  <c r="H2011" i="14"/>
  <c r="H2006" i="14"/>
  <c r="H2000" i="14"/>
  <c r="H1995" i="14"/>
  <c r="H1990" i="14"/>
  <c r="H1984" i="14"/>
  <c r="H1979" i="14"/>
  <c r="H1974" i="14"/>
  <c r="H1968" i="14"/>
  <c r="H1963" i="14"/>
  <c r="H1958" i="14"/>
  <c r="H1952" i="14"/>
  <c r="H1947" i="14"/>
  <c r="H1942" i="14"/>
  <c r="H1936" i="14"/>
  <c r="H1931" i="14"/>
  <c r="H1926" i="14"/>
  <c r="H1920" i="14"/>
  <c r="H1915" i="14"/>
  <c r="H1910" i="14"/>
  <c r="H1904" i="14"/>
  <c r="H1899" i="14"/>
  <c r="H1894" i="14"/>
  <c r="H1888" i="14"/>
  <c r="H1883" i="14"/>
  <c r="H1878" i="14"/>
  <c r="H1872" i="14"/>
  <c r="H1867" i="14"/>
  <c r="H1862" i="14"/>
  <c r="H1856" i="14"/>
  <c r="H1851" i="14"/>
  <c r="H1846" i="14"/>
  <c r="H1840" i="14"/>
  <c r="H1835" i="14"/>
  <c r="H1830" i="14"/>
  <c r="H1824" i="14"/>
  <c r="H4901" i="14"/>
  <c r="H4572" i="14"/>
  <c r="H4353" i="14"/>
  <c r="H4193" i="14"/>
  <c r="H4041" i="14"/>
  <c r="H3955" i="14"/>
  <c r="H3858" i="14"/>
  <c r="H3802" i="14"/>
  <c r="H3747" i="14"/>
  <c r="H3706" i="14"/>
  <c r="H3651" i="14"/>
  <c r="H3602" i="14"/>
  <c r="H3554" i="14"/>
  <c r="H3491" i="14"/>
  <c r="H3450" i="14"/>
  <c r="H3402" i="14"/>
  <c r="H3346" i="14"/>
  <c r="H3298" i="14"/>
  <c r="H3253" i="14"/>
  <c r="H3214" i="14"/>
  <c r="H3182" i="14"/>
  <c r="H3150" i="14"/>
  <c r="H3113" i="14"/>
  <c r="H3082" i="14"/>
  <c r="H3050" i="14"/>
  <c r="H3011" i="14"/>
  <c r="H2982" i="14"/>
  <c r="H2962" i="14"/>
  <c r="H2931" i="14"/>
  <c r="H2907" i="14"/>
  <c r="H2882" i="14"/>
  <c r="H2854" i="14"/>
  <c r="H2834" i="14"/>
  <c r="H2814" i="14"/>
  <c r="H2794" i="14"/>
  <c r="H2774" i="14"/>
  <c r="H2758" i="14"/>
  <c r="H2738" i="14"/>
  <c r="H2718" i="14"/>
  <c r="H2699" i="14"/>
  <c r="H2678" i="14"/>
  <c r="H2662" i="14"/>
  <c r="H2643" i="14"/>
  <c r="H2622" i="14"/>
  <c r="H2603" i="14"/>
  <c r="H2587" i="14"/>
  <c r="H2566" i="14"/>
  <c r="H2547" i="14"/>
  <c r="H2530" i="14"/>
  <c r="H2507" i="14"/>
  <c r="H2491" i="14"/>
  <c r="H2474" i="14"/>
  <c r="H2451" i="14"/>
  <c r="H2434" i="14"/>
  <c r="H2418" i="14"/>
  <c r="H2402" i="14"/>
  <c r="H2390" i="14"/>
  <c r="H2376" i="14"/>
  <c r="H2366" i="14"/>
  <c r="H2358" i="14"/>
  <c r="H2348" i="14"/>
  <c r="H2338" i="14"/>
  <c r="H2328" i="14"/>
  <c r="H2320" i="14"/>
  <c r="H2310" i="14"/>
  <c r="H2300" i="14"/>
  <c r="H2291" i="14"/>
  <c r="H2280" i="14"/>
  <c r="H2272" i="14"/>
  <c r="H2263" i="14"/>
  <c r="H2252" i="14"/>
  <c r="H2243" i="14"/>
  <c r="H2235" i="14"/>
  <c r="H2224" i="14"/>
  <c r="H2215" i="14"/>
  <c r="H2206" i="14"/>
  <c r="H2195" i="14"/>
  <c r="H2187" i="14"/>
  <c r="H2178" i="14"/>
  <c r="H2167" i="14"/>
  <c r="H2158" i="14"/>
  <c r="H2150" i="14"/>
  <c r="H2139" i="14"/>
  <c r="H2130" i="14"/>
  <c r="H2120" i="14"/>
  <c r="H2110" i="14"/>
  <c r="H2102" i="14"/>
  <c r="H2092" i="14"/>
  <c r="H2082" i="14"/>
  <c r="H2072" i="14"/>
  <c r="H2064" i="14"/>
  <c r="H2054" i="14"/>
  <c r="H2046" i="14"/>
  <c r="H2039" i="14"/>
  <c r="H2031" i="14"/>
  <c r="H2024" i="14"/>
  <c r="H2018" i="14"/>
  <c r="H2010" i="14"/>
  <c r="H2003" i="14"/>
  <c r="H1996" i="14"/>
  <c r="H1988" i="14"/>
  <c r="H1982" i="14"/>
  <c r="H1975" i="14"/>
  <c r="H1967" i="14"/>
  <c r="H1960" i="14"/>
  <c r="H1954" i="14"/>
  <c r="H1946" i="14"/>
  <c r="H1939" i="14"/>
  <c r="H1932" i="14"/>
  <c r="H1924" i="14"/>
  <c r="H1918" i="14"/>
  <c r="H1911" i="14"/>
  <c r="H1903" i="14"/>
  <c r="H1896" i="14"/>
  <c r="H1890" i="14"/>
  <c r="H1882" i="14"/>
  <c r="H1875" i="14"/>
  <c r="H1868" i="14"/>
  <c r="H1860" i="14"/>
  <c r="H1854" i="14"/>
  <c r="H1847" i="14"/>
  <c r="H1839" i="14"/>
  <c r="H1832" i="14"/>
  <c r="H1826" i="14"/>
  <c r="H1819" i="14"/>
  <c r="H1814" i="14"/>
  <c r="H1808" i="14"/>
  <c r="H1803" i="14"/>
  <c r="H1798" i="14"/>
  <c r="H1792" i="14"/>
  <c r="H1787" i="14"/>
  <c r="H1782" i="14"/>
  <c r="H1776" i="14"/>
  <c r="H1771" i="14"/>
  <c r="H1766" i="14"/>
  <c r="H1760" i="14"/>
  <c r="H1755" i="14"/>
  <c r="H1750" i="14"/>
  <c r="H1744" i="14"/>
  <c r="H1739" i="14"/>
  <c r="H1734" i="14"/>
  <c r="H1728" i="14"/>
  <c r="H1723" i="14"/>
  <c r="H1718" i="14"/>
  <c r="H1712" i="14"/>
  <c r="H1707" i="14"/>
  <c r="H1702" i="14"/>
  <c r="H1696" i="14"/>
  <c r="H1691" i="14"/>
  <c r="H1686" i="14"/>
  <c r="H1680" i="14"/>
  <c r="H1675" i="14"/>
  <c r="H1670" i="14"/>
  <c r="H1664" i="14"/>
  <c r="H1659" i="14"/>
  <c r="H1654" i="14"/>
  <c r="H1648" i="14"/>
  <c r="H1643" i="14"/>
  <c r="H1638" i="14"/>
  <c r="H1632" i="14"/>
  <c r="H1627" i="14"/>
  <c r="H1622" i="14"/>
  <c r="H1616" i="14"/>
  <c r="H1611" i="14"/>
  <c r="H1606" i="14"/>
  <c r="H1600" i="14"/>
  <c r="H1595" i="14"/>
  <c r="H1590" i="14"/>
  <c r="H1584" i="14"/>
  <c r="H1579" i="14"/>
  <c r="H1574" i="14"/>
  <c r="H1568" i="14"/>
  <c r="H1563" i="14"/>
  <c r="H1558" i="14"/>
  <c r="H1552" i="14"/>
  <c r="H1547" i="14"/>
  <c r="H1542" i="14"/>
  <c r="H1536" i="14"/>
  <c r="H1531" i="14"/>
  <c r="H1526" i="14"/>
  <c r="H1520" i="14"/>
  <c r="H1515" i="14"/>
  <c r="H1510" i="14"/>
  <c r="H1504" i="14"/>
  <c r="H1499" i="14"/>
  <c r="H1494" i="14"/>
  <c r="H1488" i="14"/>
  <c r="H1483" i="14"/>
  <c r="H1478" i="14"/>
  <c r="H1472" i="14"/>
  <c r="H1467" i="14"/>
  <c r="H1462" i="14"/>
  <c r="H1456" i="14"/>
  <c r="H1451" i="14"/>
  <c r="H1446" i="14"/>
  <c r="H1440" i="14"/>
  <c r="H1435" i="14"/>
  <c r="H1430" i="14"/>
  <c r="H1424" i="14"/>
  <c r="H1419" i="14"/>
  <c r="H1414" i="14"/>
  <c r="H1408" i="14"/>
  <c r="H1403" i="14"/>
  <c r="H1398" i="14"/>
  <c r="H1392" i="14"/>
  <c r="H1387" i="14"/>
  <c r="H1382" i="14"/>
  <c r="H1376" i="14"/>
  <c r="H1371" i="14"/>
  <c r="H1366" i="14"/>
  <c r="H1360" i="14"/>
  <c r="H1355" i="14"/>
  <c r="H1350" i="14"/>
  <c r="H1344" i="14"/>
  <c r="H1339" i="14"/>
  <c r="H1334" i="14"/>
  <c r="H1328" i="14"/>
  <c r="H1323" i="14"/>
  <c r="H1318" i="14"/>
  <c r="H1312" i="14"/>
  <c r="H1307" i="14"/>
  <c r="H1302" i="14"/>
  <c r="H1296" i="14"/>
  <c r="H1291" i="14"/>
  <c r="H1286" i="14"/>
  <c r="H1280" i="14"/>
  <c r="H1275" i="14"/>
  <c r="H1270" i="14"/>
  <c r="H1264" i="14"/>
  <c r="H1259" i="14"/>
  <c r="H1254" i="14"/>
  <c r="H1248" i="14"/>
  <c r="H1243" i="14"/>
  <c r="H1238" i="14"/>
  <c r="H1232" i="14"/>
  <c r="H1227" i="14"/>
  <c r="H1222" i="14"/>
  <c r="H1216" i="14"/>
  <c r="H1211" i="14"/>
  <c r="H1206" i="14"/>
  <c r="H1200" i="14"/>
  <c r="H1195" i="14"/>
  <c r="H1190" i="14"/>
  <c r="H1184" i="14"/>
  <c r="H1179" i="14"/>
  <c r="H1174" i="14"/>
  <c r="H1168" i="14"/>
  <c r="H1163" i="14"/>
  <c r="H1158" i="14"/>
  <c r="H1152" i="14"/>
  <c r="H1147" i="14"/>
  <c r="H1142" i="14"/>
  <c r="H1136" i="14"/>
  <c r="H1131" i="14"/>
  <c r="H1126" i="14"/>
  <c r="H1120" i="14"/>
  <c r="H1115" i="14"/>
  <c r="H1110" i="14"/>
  <c r="H1104" i="14"/>
  <c r="H1099" i="14"/>
  <c r="H1094" i="14"/>
  <c r="H1088" i="14"/>
  <c r="H1083" i="14"/>
  <c r="H1078" i="14"/>
  <c r="H1072" i="14"/>
  <c r="H1067" i="14"/>
  <c r="H1062" i="14"/>
  <c r="H1056" i="14"/>
  <c r="H1051" i="14"/>
  <c r="H1046" i="14"/>
  <c r="H1040" i="14"/>
  <c r="H1035" i="14"/>
  <c r="H1030" i="14"/>
  <c r="H1024" i="14"/>
  <c r="H1019" i="14"/>
  <c r="H1014" i="14"/>
  <c r="H1008" i="14"/>
  <c r="H1003" i="14"/>
  <c r="H998" i="14"/>
  <c r="H992" i="14"/>
  <c r="H987" i="14"/>
  <c r="H982" i="14"/>
  <c r="H976" i="14"/>
  <c r="H971" i="14"/>
  <c r="H966" i="14"/>
  <c r="H960" i="14"/>
  <c r="H955" i="14"/>
  <c r="H950" i="14"/>
  <c r="H944" i="14"/>
  <c r="H939" i="14"/>
  <c r="H934" i="14"/>
  <c r="H928" i="14"/>
  <c r="H923" i="14"/>
  <c r="H918" i="14"/>
  <c r="H912" i="14"/>
  <c r="H907" i="14"/>
  <c r="H902" i="14"/>
  <c r="H896" i="14"/>
  <c r="H891" i="14"/>
  <c r="H886" i="14"/>
  <c r="H880" i="14"/>
  <c r="H875" i="14"/>
  <c r="H870" i="14"/>
  <c r="H864" i="14"/>
  <c r="H859" i="14"/>
  <c r="H854" i="14"/>
  <c r="H848" i="14"/>
  <c r="H843" i="14"/>
  <c r="H838" i="14"/>
  <c r="H832" i="14"/>
  <c r="H827" i="14"/>
  <c r="H822" i="14"/>
  <c r="H816" i="14"/>
  <c r="H811" i="14"/>
  <c r="H806" i="14"/>
  <c r="H800" i="14"/>
  <c r="H795" i="14"/>
  <c r="H790" i="14"/>
  <c r="H784" i="14"/>
  <c r="H779" i="14"/>
  <c r="H774" i="14"/>
  <c r="H768" i="14"/>
  <c r="H763" i="14"/>
  <c r="H758" i="14"/>
  <c r="H752" i="14"/>
  <c r="H747" i="14"/>
  <c r="H742" i="14"/>
  <c r="H736" i="14"/>
  <c r="H731" i="14"/>
  <c r="H726" i="14"/>
  <c r="H720" i="14"/>
  <c r="H715" i="14"/>
  <c r="H710" i="14"/>
  <c r="H704" i="14"/>
  <c r="H699" i="14"/>
  <c r="H694" i="14"/>
  <c r="H688" i="14"/>
  <c r="H683" i="14"/>
  <c r="H678" i="14"/>
  <c r="H672" i="14"/>
  <c r="H667" i="14"/>
  <c r="H662" i="14"/>
  <c r="H656" i="14"/>
  <c r="H651" i="14"/>
  <c r="H646" i="14"/>
  <c r="H640" i="14"/>
  <c r="H635" i="14"/>
  <c r="H630" i="14"/>
  <c r="H624" i="14"/>
  <c r="H619" i="14"/>
  <c r="H614" i="14"/>
  <c r="H608" i="14"/>
  <c r="H603" i="14"/>
  <c r="H598" i="14"/>
  <c r="H592" i="14"/>
  <c r="H587" i="14"/>
  <c r="H582" i="14"/>
  <c r="H576" i="14"/>
  <c r="H571" i="14"/>
  <c r="H566" i="14"/>
  <c r="H560" i="14"/>
  <c r="H555" i="14"/>
  <c r="H550" i="14"/>
  <c r="H544" i="14"/>
  <c r="H539" i="14"/>
  <c r="H534" i="14"/>
  <c r="H528" i="14"/>
  <c r="H523" i="14"/>
  <c r="H518" i="14"/>
  <c r="H512" i="14"/>
  <c r="H507" i="14"/>
  <c r="H502" i="14"/>
  <c r="H496" i="14"/>
  <c r="H491" i="14"/>
  <c r="H486" i="14"/>
  <c r="H480" i="14"/>
  <c r="H475" i="14"/>
  <c r="H470" i="14"/>
  <c r="H464" i="14"/>
  <c r="H459" i="14"/>
  <c r="H454" i="14"/>
  <c r="H448" i="14"/>
  <c r="H443" i="14"/>
  <c r="H438" i="14"/>
  <c r="H432" i="14"/>
  <c r="H427" i="14"/>
  <c r="H422" i="14"/>
  <c r="H416" i="14"/>
  <c r="H411" i="14"/>
  <c r="H406" i="14"/>
  <c r="H400" i="14"/>
  <c r="H395" i="14"/>
  <c r="H390" i="14"/>
  <c r="H384" i="14"/>
  <c r="H379" i="14"/>
  <c r="H374" i="14"/>
  <c r="H368" i="14"/>
  <c r="H363" i="14"/>
  <c r="H358" i="14"/>
  <c r="H352" i="14"/>
  <c r="H347" i="14"/>
  <c r="H342" i="14"/>
  <c r="H337" i="14"/>
  <c r="H333" i="14"/>
  <c r="H329" i="14"/>
  <c r="H325" i="14"/>
  <c r="H321" i="14"/>
  <c r="H317" i="14"/>
  <c r="H313" i="14"/>
  <c r="H309" i="14"/>
  <c r="H305" i="14"/>
  <c r="H301" i="14"/>
  <c r="H297" i="14"/>
  <c r="H293" i="14"/>
  <c r="H289" i="14"/>
  <c r="H285" i="14"/>
  <c r="H281" i="14"/>
  <c r="H277" i="14"/>
  <c r="H273" i="14"/>
  <c r="H269" i="14"/>
  <c r="H265" i="14"/>
  <c r="H261" i="14"/>
  <c r="H257" i="14"/>
  <c r="H253" i="14"/>
  <c r="H249" i="14"/>
  <c r="H245" i="14"/>
  <c r="H241" i="14"/>
  <c r="H237" i="14"/>
  <c r="H233" i="14"/>
  <c r="H229" i="14"/>
  <c r="H225" i="14"/>
  <c r="H221" i="14"/>
  <c r="H217" i="14"/>
  <c r="H213" i="14"/>
  <c r="H209" i="14"/>
  <c r="H205" i="14"/>
  <c r="H201" i="14"/>
  <c r="H197" i="14"/>
  <c r="H193" i="14"/>
  <c r="H189" i="14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H109" i="14"/>
  <c r="H105" i="14"/>
  <c r="H101" i="14"/>
  <c r="H97" i="14"/>
  <c r="H93" i="14"/>
  <c r="H89" i="14"/>
  <c r="H85" i="14"/>
  <c r="H81" i="14"/>
  <c r="H77" i="14"/>
  <c r="H73" i="14"/>
  <c r="H69" i="14"/>
  <c r="H65" i="14"/>
  <c r="H61" i="14"/>
  <c r="H57" i="14"/>
  <c r="H53" i="14"/>
  <c r="H49" i="14"/>
  <c r="H45" i="14"/>
  <c r="H41" i="14"/>
  <c r="H37" i="14"/>
  <c r="H33" i="14"/>
  <c r="H29" i="14"/>
  <c r="H25" i="14"/>
  <c r="H21" i="14"/>
  <c r="H17" i="14"/>
  <c r="H13" i="14"/>
  <c r="H9" i="14"/>
  <c r="H5" i="14"/>
  <c r="H2" i="14"/>
  <c r="H4764" i="14"/>
  <c r="H4476" i="14"/>
  <c r="H4289" i="14"/>
  <c r="H4144" i="14"/>
  <c r="H4008" i="14"/>
  <c r="H3913" i="14"/>
  <c r="H3834" i="14"/>
  <c r="H3794" i="14"/>
  <c r="H3746" i="14"/>
  <c r="H3683" i="14"/>
  <c r="H3635" i="14"/>
  <c r="H3594" i="14"/>
  <c r="H3538" i="14"/>
  <c r="H3490" i="14"/>
  <c r="H3442" i="14"/>
  <c r="H3379" i="14"/>
  <c r="H3338" i="14"/>
  <c r="H3290" i="14"/>
  <c r="H3241" i="14"/>
  <c r="H3209" i="14"/>
  <c r="H3178" i="14"/>
  <c r="H3139" i="14"/>
  <c r="H3107" i="14"/>
  <c r="H3071" i="14"/>
  <c r="H3038" i="14"/>
  <c r="H3007" i="14"/>
  <c r="H2978" i="14"/>
  <c r="H2950" i="14"/>
  <c r="H2923" i="14"/>
  <c r="H2902" i="14"/>
  <c r="H2875" i="14"/>
  <c r="H2850" i="14"/>
  <c r="H2827" i="14"/>
  <c r="H2806" i="14"/>
  <c r="H2790" i="14"/>
  <c r="H2771" i="14"/>
  <c r="H2750" i="14"/>
  <c r="H2731" i="14"/>
  <c r="H2715" i="14"/>
  <c r="H2694" i="14"/>
  <c r="H2675" i="14"/>
  <c r="H2658" i="14"/>
  <c r="H2635" i="14"/>
  <c r="H2619" i="14"/>
  <c r="H2602" i="14"/>
  <c r="H2579" i="14"/>
  <c r="H2562" i="14"/>
  <c r="H2546" i="14"/>
  <c r="H2523" i="14"/>
  <c r="H2506" i="14"/>
  <c r="H2486" i="14"/>
  <c r="H2466" i="14"/>
  <c r="H2450" i="14"/>
  <c r="H2430" i="14"/>
  <c r="H2411" i="14"/>
  <c r="H2398" i="14"/>
  <c r="H2387" i="14"/>
  <c r="H2374" i="14"/>
  <c r="H2364" i="14"/>
  <c r="H2355" i="14"/>
  <c r="H2344" i="14"/>
  <c r="H2336" i="14"/>
  <c r="H2327" i="14"/>
  <c r="H2316" i="14"/>
  <c r="H2307" i="14"/>
  <c r="H2299" i="14"/>
  <c r="H2288" i="14"/>
  <c r="H2279" i="14"/>
  <c r="H2270" i="14"/>
  <c r="H2259" i="14"/>
  <c r="H2251" i="14"/>
  <c r="H2242" i="14"/>
  <c r="H2231" i="14"/>
  <c r="H2222" i="14"/>
  <c r="H2214" i="14"/>
  <c r="H2203" i="14"/>
  <c r="H2194" i="14"/>
  <c r="H2184" i="14"/>
  <c r="H2174" i="14"/>
  <c r="H2166" i="14"/>
  <c r="H2156" i="14"/>
  <c r="H2146" i="14"/>
  <c r="H2136" i="14"/>
  <c r="H2128" i="14"/>
  <c r="H2118" i="14"/>
  <c r="H2108" i="14"/>
  <c r="H2099" i="14"/>
  <c r="H2088" i="14"/>
  <c r="H2080" i="14"/>
  <c r="H2071" i="14"/>
  <c r="H2060" i="14"/>
  <c r="H2051" i="14"/>
  <c r="H2044" i="14"/>
  <c r="H2036" i="14"/>
  <c r="H2030" i="14"/>
  <c r="H2023" i="14"/>
  <c r="H2015" i="14"/>
  <c r="H2008" i="14"/>
  <c r="H2002" i="14"/>
  <c r="H1994" i="14"/>
  <c r="H1987" i="14"/>
  <c r="H1980" i="14"/>
  <c r="H1972" i="14"/>
  <c r="H1966" i="14"/>
  <c r="H1959" i="14"/>
  <c r="H1951" i="14"/>
  <c r="H1944" i="14"/>
  <c r="H1938" i="14"/>
  <c r="H1930" i="14"/>
  <c r="H1923" i="14"/>
  <c r="H1916" i="14"/>
  <c r="H1908" i="14"/>
  <c r="H1902" i="14"/>
  <c r="H1895" i="14"/>
  <c r="H1887" i="14"/>
  <c r="H1880" i="14"/>
  <c r="H1874" i="14"/>
  <c r="H1866" i="14"/>
  <c r="H1859" i="14"/>
  <c r="H1852" i="14"/>
  <c r="H1844" i="14"/>
  <c r="H1838" i="14"/>
  <c r="H1831" i="14"/>
  <c r="H1823" i="14"/>
  <c r="H1818" i="14"/>
  <c r="H1812" i="14"/>
  <c r="H1807" i="14"/>
  <c r="H1802" i="14"/>
  <c r="H1796" i="14"/>
  <c r="H1791" i="14"/>
  <c r="H1786" i="14"/>
  <c r="H1780" i="14"/>
  <c r="H1775" i="14"/>
  <c r="H1770" i="14"/>
  <c r="H1764" i="14"/>
  <c r="H1759" i="14"/>
  <c r="H1754" i="14"/>
  <c r="H1748" i="14"/>
  <c r="H1743" i="14"/>
  <c r="H1738" i="14"/>
  <c r="H1732" i="14"/>
  <c r="H1727" i="14"/>
  <c r="H1722" i="14"/>
  <c r="H1716" i="14"/>
  <c r="H1711" i="14"/>
  <c r="H1706" i="14"/>
  <c r="H1700" i="14"/>
  <c r="H1695" i="14"/>
  <c r="H1690" i="14"/>
  <c r="H1684" i="14"/>
  <c r="H1679" i="14"/>
  <c r="H1674" i="14"/>
  <c r="H1668" i="14"/>
  <c r="H1663" i="14"/>
  <c r="H1658" i="14"/>
  <c r="H1652" i="14"/>
  <c r="H1647" i="14"/>
  <c r="H1642" i="14"/>
  <c r="H1636" i="14"/>
  <c r="H1631" i="14"/>
  <c r="H1626" i="14"/>
  <c r="H1620" i="14"/>
  <c r="H1615" i="14"/>
  <c r="H1610" i="14"/>
  <c r="H1604" i="14"/>
  <c r="H1599" i="14"/>
  <c r="H1594" i="14"/>
  <c r="H1588" i="14"/>
  <c r="H1583" i="14"/>
  <c r="H1578" i="14"/>
  <c r="H1572" i="14"/>
  <c r="H1567" i="14"/>
  <c r="H1562" i="14"/>
  <c r="H1556" i="14"/>
  <c r="H1551" i="14"/>
  <c r="H1546" i="14"/>
  <c r="H1540" i="14"/>
  <c r="H1535" i="14"/>
  <c r="H1530" i="14"/>
  <c r="H1524" i="14"/>
  <c r="H1519" i="14"/>
  <c r="H1514" i="14"/>
  <c r="H1508" i="14"/>
  <c r="H1503" i="14"/>
  <c r="H1498" i="14"/>
  <c r="H1492" i="14"/>
  <c r="H1487" i="14"/>
  <c r="H1482" i="14"/>
  <c r="H1476" i="14"/>
  <c r="H1471" i="14"/>
  <c r="H1466" i="14"/>
  <c r="H1460" i="14"/>
  <c r="H1455" i="14"/>
  <c r="H1450" i="14"/>
  <c r="H1444" i="14"/>
  <c r="H1439" i="14"/>
  <c r="H1434" i="14"/>
  <c r="H1428" i="14"/>
  <c r="H1423" i="14"/>
  <c r="H1418" i="14"/>
  <c r="H1412" i="14"/>
  <c r="H1407" i="14"/>
  <c r="H1402" i="14"/>
  <c r="H1396" i="14"/>
  <c r="H1391" i="14"/>
  <c r="H1386" i="14"/>
  <c r="H1380" i="14"/>
  <c r="H1375" i="14"/>
  <c r="H1370" i="14"/>
  <c r="H1364" i="14"/>
  <c r="H1359" i="14"/>
  <c r="H1354" i="14"/>
  <c r="H1348" i="14"/>
  <c r="H1343" i="14"/>
  <c r="H1338" i="14"/>
  <c r="H1332" i="14"/>
  <c r="H1327" i="14"/>
  <c r="H1322" i="14"/>
  <c r="H1316" i="14"/>
  <c r="H1311" i="14"/>
  <c r="H1306" i="14"/>
  <c r="H1300" i="14"/>
  <c r="H1295" i="14"/>
  <c r="H1290" i="14"/>
  <c r="H1284" i="14"/>
  <c r="H1279" i="14"/>
  <c r="H1274" i="14"/>
  <c r="H1268" i="14"/>
  <c r="H1263" i="14"/>
  <c r="H1258" i="14"/>
  <c r="H1252" i="14"/>
  <c r="H1247" i="14"/>
  <c r="H1242" i="14"/>
  <c r="H1236" i="14"/>
  <c r="H1231" i="14"/>
  <c r="H1226" i="14"/>
  <c r="H1220" i="14"/>
  <c r="H1215" i="14"/>
  <c r="H1210" i="14"/>
  <c r="H1204" i="14"/>
  <c r="H1199" i="14"/>
  <c r="H1194" i="14"/>
  <c r="H1188" i="14"/>
  <c r="H1183" i="14"/>
  <c r="H1178" i="14"/>
  <c r="H1172" i="14"/>
  <c r="H1167" i="14"/>
  <c r="H1162" i="14"/>
  <c r="H1156" i="14"/>
  <c r="H1151" i="14"/>
  <c r="H1146" i="14"/>
  <c r="H1140" i="14"/>
  <c r="H1135" i="14"/>
  <c r="H1130" i="14"/>
  <c r="H1124" i="14"/>
  <c r="H1119" i="14"/>
  <c r="H1114" i="14"/>
  <c r="H1108" i="14"/>
  <c r="H1103" i="14"/>
  <c r="H1098" i="14"/>
  <c r="H1092" i="14"/>
  <c r="H1087" i="14"/>
  <c r="H1082" i="14"/>
  <c r="H1076" i="14"/>
  <c r="H1071" i="14"/>
  <c r="H1066" i="14"/>
  <c r="H1060" i="14"/>
  <c r="H1055" i="14"/>
  <c r="H1050" i="14"/>
  <c r="H1044" i="14"/>
  <c r="H1039" i="14"/>
  <c r="H1034" i="14"/>
  <c r="H1028" i="14"/>
  <c r="H1023" i="14"/>
  <c r="H1018" i="14"/>
  <c r="H1012" i="14"/>
  <c r="H1007" i="14"/>
  <c r="H1002" i="14"/>
  <c r="H996" i="14"/>
  <c r="H991" i="14"/>
  <c r="H986" i="14"/>
  <c r="H980" i="14"/>
  <c r="H975" i="14"/>
  <c r="H970" i="14"/>
  <c r="H964" i="14"/>
  <c r="H959" i="14"/>
  <c r="H954" i="14"/>
  <c r="H948" i="14"/>
  <c r="H943" i="14"/>
  <c r="H938" i="14"/>
  <c r="H932" i="14"/>
  <c r="H927" i="14"/>
  <c r="H922" i="14"/>
  <c r="H916" i="14"/>
  <c r="H911" i="14"/>
  <c r="H906" i="14"/>
  <c r="H900" i="14"/>
  <c r="H895" i="14"/>
  <c r="H890" i="14"/>
  <c r="H884" i="14"/>
  <c r="H879" i="14"/>
  <c r="H874" i="14"/>
  <c r="H868" i="14"/>
  <c r="H863" i="14"/>
  <c r="H858" i="14"/>
  <c r="H852" i="14"/>
  <c r="H847" i="14"/>
  <c r="H842" i="14"/>
  <c r="H836" i="14"/>
  <c r="H831" i="14"/>
  <c r="H826" i="14"/>
  <c r="H820" i="14"/>
  <c r="H815" i="14"/>
  <c r="H810" i="14"/>
  <c r="H804" i="14"/>
  <c r="H799" i="14"/>
  <c r="H794" i="14"/>
  <c r="H788" i="14"/>
  <c r="H783" i="14"/>
  <c r="H778" i="14"/>
  <c r="H772" i="14"/>
  <c r="H767" i="14"/>
  <c r="H762" i="14"/>
  <c r="H756" i="14"/>
  <c r="H751" i="14"/>
  <c r="H746" i="14"/>
  <c r="H740" i="14"/>
  <c r="H735" i="14"/>
  <c r="H730" i="14"/>
  <c r="H724" i="14"/>
  <c r="H719" i="14"/>
  <c r="H714" i="14"/>
  <c r="H708" i="14"/>
  <c r="H703" i="14"/>
  <c r="H698" i="14"/>
  <c r="H692" i="14"/>
  <c r="H687" i="14"/>
  <c r="H682" i="14"/>
  <c r="H676" i="14"/>
  <c r="H671" i="14"/>
  <c r="H666" i="14"/>
  <c r="H660" i="14"/>
  <c r="H655" i="14"/>
  <c r="H650" i="14"/>
  <c r="H644" i="14"/>
  <c r="H639" i="14"/>
  <c r="H634" i="14"/>
  <c r="H628" i="14"/>
  <c r="H623" i="14"/>
  <c r="H618" i="14"/>
  <c r="H612" i="14"/>
  <c r="H607" i="14"/>
  <c r="H602" i="14"/>
  <c r="H596" i="14"/>
  <c r="H591" i="14"/>
  <c r="H586" i="14"/>
  <c r="H580" i="14"/>
  <c r="H575" i="14"/>
  <c r="H570" i="14"/>
  <c r="H564" i="14"/>
  <c r="H559" i="14"/>
  <c r="H554" i="14"/>
  <c r="H548" i="14"/>
  <c r="H543" i="14"/>
  <c r="H538" i="14"/>
  <c r="H532" i="14"/>
  <c r="H527" i="14"/>
  <c r="H522" i="14"/>
  <c r="H516" i="14"/>
  <c r="H511" i="14"/>
  <c r="H506" i="14"/>
  <c r="H500" i="14"/>
  <c r="H495" i="14"/>
  <c r="H490" i="14"/>
  <c r="H484" i="14"/>
  <c r="H479" i="14"/>
  <c r="H474" i="14"/>
  <c r="H468" i="14"/>
  <c r="H463" i="14"/>
  <c r="H458" i="14"/>
  <c r="H452" i="14"/>
  <c r="H447" i="14"/>
  <c r="H442" i="14"/>
  <c r="H436" i="14"/>
  <c r="H431" i="14"/>
  <c r="H426" i="14"/>
  <c r="H420" i="14"/>
  <c r="H415" i="14"/>
  <c r="H410" i="14"/>
  <c r="H404" i="14"/>
  <c r="H399" i="14"/>
  <c r="H394" i="14"/>
  <c r="H388" i="14"/>
  <c r="H383" i="14"/>
  <c r="H378" i="14"/>
  <c r="H372" i="14"/>
  <c r="H367" i="14"/>
  <c r="H362" i="14"/>
  <c r="H356" i="14"/>
  <c r="H351" i="14"/>
  <c r="H346" i="14"/>
  <c r="H340" i="14"/>
  <c r="H336" i="14"/>
  <c r="H332" i="14"/>
  <c r="H328" i="14"/>
  <c r="H324" i="14"/>
  <c r="H320" i="14"/>
  <c r="H316" i="14"/>
  <c r="H312" i="14"/>
  <c r="H308" i="14"/>
  <c r="H304" i="14"/>
  <c r="H300" i="14"/>
  <c r="H296" i="14"/>
  <c r="H292" i="14"/>
  <c r="H288" i="14"/>
  <c r="H284" i="14"/>
  <c r="H280" i="14"/>
  <c r="H276" i="14"/>
  <c r="H272" i="14"/>
  <c r="H268" i="14"/>
  <c r="H264" i="14"/>
  <c r="H260" i="14"/>
  <c r="H256" i="14"/>
  <c r="H252" i="14"/>
  <c r="H248" i="14"/>
  <c r="H244" i="14"/>
  <c r="H240" i="14"/>
  <c r="H236" i="14"/>
  <c r="H232" i="14"/>
  <c r="H228" i="14"/>
  <c r="H224" i="14"/>
  <c r="H220" i="14"/>
  <c r="H216" i="14"/>
  <c r="H212" i="14"/>
  <c r="H208" i="14"/>
  <c r="H204" i="14"/>
  <c r="H200" i="14"/>
  <c r="H196" i="14"/>
  <c r="H192" i="14"/>
  <c r="H188" i="14"/>
  <c r="H184" i="14"/>
  <c r="H180" i="14"/>
  <c r="H176" i="14"/>
  <c r="H172" i="14"/>
  <c r="H168" i="14"/>
  <c r="H164" i="14"/>
  <c r="H160" i="14"/>
  <c r="H156" i="14"/>
  <c r="H152" i="14"/>
  <c r="H148" i="14"/>
  <c r="H144" i="14"/>
  <c r="H140" i="14"/>
  <c r="H136" i="14"/>
  <c r="H132" i="14"/>
  <c r="H128" i="14"/>
  <c r="H124" i="14"/>
  <c r="H120" i="14"/>
  <c r="H116" i="14"/>
  <c r="H112" i="14"/>
  <c r="H108" i="14"/>
  <c r="H104" i="14"/>
  <c r="H100" i="14"/>
  <c r="H96" i="14"/>
  <c r="H92" i="14"/>
  <c r="H88" i="14"/>
  <c r="H84" i="14"/>
  <c r="H80" i="14"/>
  <c r="H76" i="14"/>
  <c r="H72" i="14"/>
  <c r="H68" i="14"/>
  <c r="H64" i="14"/>
  <c r="H60" i="14"/>
  <c r="H56" i="14"/>
  <c r="H52" i="14"/>
  <c r="H48" i="14"/>
  <c r="H44" i="14"/>
  <c r="H40" i="14"/>
  <c r="H36" i="14"/>
  <c r="H32" i="14"/>
  <c r="H28" i="14"/>
  <c r="H24" i="14"/>
  <c r="H20" i="14"/>
  <c r="H16" i="14"/>
  <c r="H12" i="14"/>
  <c r="H8" i="14"/>
  <c r="H4" i="14"/>
  <c r="H4733" i="14"/>
  <c r="H4272" i="14"/>
  <c r="H3999" i="14"/>
  <c r="H3827" i="14"/>
  <c r="H3722" i="14"/>
  <c r="H3634" i="14"/>
  <c r="H3523" i="14"/>
  <c r="H3426" i="14"/>
  <c r="H3322" i="14"/>
  <c r="H3235" i="14"/>
  <c r="H3166" i="14"/>
  <c r="H3102" i="14"/>
  <c r="H3029" i="14"/>
  <c r="H2966" i="14"/>
  <c r="H2922" i="14"/>
  <c r="H2867" i="14"/>
  <c r="H2822" i="14"/>
  <c r="H2786" i="14"/>
  <c r="H2747" i="14"/>
  <c r="H2707" i="14"/>
  <c r="H2674" i="14"/>
  <c r="H2634" i="14"/>
  <c r="H2594" i="14"/>
  <c r="H2558" i="14"/>
  <c r="H2518" i="14"/>
  <c r="H2482" i="14"/>
  <c r="H2443" i="14"/>
  <c r="H2408" i="14"/>
  <c r="H2382" i="14"/>
  <c r="H2363" i="14"/>
  <c r="H2343" i="14"/>
  <c r="H2323" i="14"/>
  <c r="H2306" i="14"/>
  <c r="H2286" i="14"/>
  <c r="H2267" i="14"/>
  <c r="H2248" i="14"/>
  <c r="H2230" i="14"/>
  <c r="H2210" i="14"/>
  <c r="H2192" i="14"/>
  <c r="H2172" i="14"/>
  <c r="H2152" i="14"/>
  <c r="H2135" i="14"/>
  <c r="H2115" i="14"/>
  <c r="H2096" i="14"/>
  <c r="H2078" i="14"/>
  <c r="H2059" i="14"/>
  <c r="H2042" i="14"/>
  <c r="H2028" i="14"/>
  <c r="H2014" i="14"/>
  <c r="H1999" i="14"/>
  <c r="H1986" i="14"/>
  <c r="H1971" i="14"/>
  <c r="H1956" i="14"/>
  <c r="H1943" i="14"/>
  <c r="H1928" i="14"/>
  <c r="H1914" i="14"/>
  <c r="H1900" i="14"/>
  <c r="H1886" i="14"/>
  <c r="H1871" i="14"/>
  <c r="H1858" i="14"/>
  <c r="H1843" i="14"/>
  <c r="H1828" i="14"/>
  <c r="H1816" i="14"/>
  <c r="H1806" i="14"/>
  <c r="H1795" i="14"/>
  <c r="H1784" i="14"/>
  <c r="H1774" i="14"/>
  <c r="H1763" i="14"/>
  <c r="H1752" i="14"/>
  <c r="H1742" i="14"/>
  <c r="H1731" i="14"/>
  <c r="H1720" i="14"/>
  <c r="H1710" i="14"/>
  <c r="H1699" i="14"/>
  <c r="H1688" i="14"/>
  <c r="H1678" i="14"/>
  <c r="H1667" i="14"/>
  <c r="H1656" i="14"/>
  <c r="H1646" i="14"/>
  <c r="H1635" i="14"/>
  <c r="H1624" i="14"/>
  <c r="H1614" i="14"/>
  <c r="H1603" i="14"/>
  <c r="H1592" i="14"/>
  <c r="H1582" i="14"/>
  <c r="H1571" i="14"/>
  <c r="H1560" i="14"/>
  <c r="H1550" i="14"/>
  <c r="H1539" i="14"/>
  <c r="H1528" i="14"/>
  <c r="H1518" i="14"/>
  <c r="H1507" i="14"/>
  <c r="H1496" i="14"/>
  <c r="H1486" i="14"/>
  <c r="H1475" i="14"/>
  <c r="H1464" i="14"/>
  <c r="H1454" i="14"/>
  <c r="H1443" i="14"/>
  <c r="H1432" i="14"/>
  <c r="H1422" i="14"/>
  <c r="H1411" i="14"/>
  <c r="H1400" i="14"/>
  <c r="H1390" i="14"/>
  <c r="H1379" i="14"/>
  <c r="H1368" i="14"/>
  <c r="H1358" i="14"/>
  <c r="H1347" i="14"/>
  <c r="H1336" i="14"/>
  <c r="H1326" i="14"/>
  <c r="H1315" i="14"/>
  <c r="H1304" i="14"/>
  <c r="H1294" i="14"/>
  <c r="H1283" i="14"/>
  <c r="H1272" i="14"/>
  <c r="H1262" i="14"/>
  <c r="H1251" i="14"/>
  <c r="H1240" i="14"/>
  <c r="H1230" i="14"/>
  <c r="H1219" i="14"/>
  <c r="H1208" i="14"/>
  <c r="H1198" i="14"/>
  <c r="H1187" i="14"/>
  <c r="H1176" i="14"/>
  <c r="H1166" i="14"/>
  <c r="H1155" i="14"/>
  <c r="H1144" i="14"/>
  <c r="H1134" i="14"/>
  <c r="H1123" i="14"/>
  <c r="H1112" i="14"/>
  <c r="H1102" i="14"/>
  <c r="H1091" i="14"/>
  <c r="H1080" i="14"/>
  <c r="H1070" i="14"/>
  <c r="H1059" i="14"/>
  <c r="H1048" i="14"/>
  <c r="H1038" i="14"/>
  <c r="H1027" i="14"/>
  <c r="H1016" i="14"/>
  <c r="H1006" i="14"/>
  <c r="H995" i="14"/>
  <c r="H984" i="14"/>
  <c r="H974" i="14"/>
  <c r="H963" i="14"/>
  <c r="H952" i="14"/>
  <c r="H942" i="14"/>
  <c r="H931" i="14"/>
  <c r="H920" i="14"/>
  <c r="H910" i="14"/>
  <c r="H899" i="14"/>
  <c r="H888" i="14"/>
  <c r="H878" i="14"/>
  <c r="H867" i="14"/>
  <c r="H856" i="14"/>
  <c r="H846" i="14"/>
  <c r="H835" i="14"/>
  <c r="H824" i="14"/>
  <c r="H814" i="14"/>
  <c r="H803" i="14"/>
  <c r="H792" i="14"/>
  <c r="H782" i="14"/>
  <c r="H771" i="14"/>
  <c r="H760" i="14"/>
  <c r="H750" i="14"/>
  <c r="H739" i="14"/>
  <c r="H728" i="14"/>
  <c r="H718" i="14"/>
  <c r="H707" i="14"/>
  <c r="H696" i="14"/>
  <c r="H686" i="14"/>
  <c r="H675" i="14"/>
  <c r="H664" i="14"/>
  <c r="H654" i="14"/>
  <c r="H643" i="14"/>
  <c r="H632" i="14"/>
  <c r="H622" i="14"/>
  <c r="H611" i="14"/>
  <c r="H600" i="14"/>
  <c r="H590" i="14"/>
  <c r="H579" i="14"/>
  <c r="H568" i="14"/>
  <c r="H558" i="14"/>
  <c r="H547" i="14"/>
  <c r="H536" i="14"/>
  <c r="H526" i="14"/>
  <c r="H515" i="14"/>
  <c r="H504" i="14"/>
  <c r="H494" i="14"/>
  <c r="H483" i="14"/>
  <c r="H472" i="14"/>
  <c r="H462" i="14"/>
  <c r="H451" i="14"/>
  <c r="H440" i="14"/>
  <c r="H430" i="14"/>
  <c r="H419" i="14"/>
  <c r="H408" i="14"/>
  <c r="H398" i="14"/>
  <c r="H387" i="14"/>
  <c r="H376" i="14"/>
  <c r="H366" i="14"/>
  <c r="H355" i="14"/>
  <c r="H344" i="14"/>
  <c r="H335" i="14"/>
  <c r="H327" i="14"/>
  <c r="H319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4636" i="14"/>
  <c r="H4208" i="14"/>
  <c r="H3956" i="14"/>
  <c r="H3826" i="14"/>
  <c r="H3715" i="14"/>
  <c r="H3610" i="14"/>
  <c r="H3514" i="14"/>
  <c r="H3410" i="14"/>
  <c r="H3314" i="14"/>
  <c r="H3225" i="14"/>
  <c r="H3157" i="14"/>
  <c r="H3086" i="14"/>
  <c r="H3027" i="14"/>
  <c r="H2963" i="14"/>
  <c r="H2910" i="14"/>
  <c r="H2866" i="14"/>
  <c r="H2818" i="14"/>
  <c r="H2779" i="14"/>
  <c r="H2742" i="14"/>
  <c r="H2706" i="14"/>
  <c r="H2666" i="14"/>
  <c r="H2630" i="14"/>
  <c r="H2590" i="14"/>
  <c r="H2550" i="14"/>
  <c r="H2515" i="14"/>
  <c r="H2475" i="14"/>
  <c r="H2438" i="14"/>
  <c r="H2406" i="14"/>
  <c r="H2380" i="14"/>
  <c r="H2359" i="14"/>
  <c r="H2342" i="14"/>
  <c r="H2322" i="14"/>
  <c r="H2302" i="14"/>
  <c r="H2284" i="14"/>
  <c r="H2264" i="14"/>
  <c r="H2246" i="14"/>
  <c r="H2227" i="14"/>
  <c r="H2208" i="14"/>
  <c r="H2188" i="14"/>
  <c r="H2171" i="14"/>
  <c r="H2151" i="14"/>
  <c r="H2131" i="14"/>
  <c r="H2114" i="14"/>
  <c r="H2094" i="14"/>
  <c r="H2075" i="14"/>
  <c r="H2056" i="14"/>
  <c r="H2040" i="14"/>
  <c r="H2026" i="14"/>
  <c r="H2012" i="14"/>
  <c r="H1998" i="14"/>
  <c r="H1983" i="14"/>
  <c r="H1970" i="14"/>
  <c r="H1955" i="14"/>
  <c r="H1940" i="14"/>
  <c r="H1927" i="14"/>
  <c r="H1912" i="14"/>
  <c r="H1898" i="14"/>
  <c r="H1884" i="14"/>
  <c r="H1870" i="14"/>
  <c r="H1855" i="14"/>
  <c r="H1842" i="14"/>
  <c r="H1827" i="14"/>
  <c r="H1815" i="14"/>
  <c r="H1804" i="14"/>
  <c r="H1794" i="14"/>
  <c r="H1783" i="14"/>
  <c r="H1772" i="14"/>
  <c r="H1762" i="14"/>
  <c r="H1751" i="14"/>
  <c r="H1740" i="14"/>
  <c r="H1730" i="14"/>
  <c r="H1719" i="14"/>
  <c r="H1708" i="14"/>
  <c r="H1698" i="14"/>
  <c r="H1687" i="14"/>
  <c r="H1676" i="14"/>
  <c r="H1666" i="14"/>
  <c r="H1655" i="14"/>
  <c r="H1644" i="14"/>
  <c r="H1634" i="14"/>
  <c r="H1623" i="14"/>
  <c r="H1612" i="14"/>
  <c r="H1602" i="14"/>
  <c r="H1591" i="14"/>
  <c r="H1580" i="14"/>
  <c r="H1570" i="14"/>
  <c r="H1559" i="14"/>
  <c r="H1548" i="14"/>
  <c r="H1538" i="14"/>
  <c r="H1527" i="14"/>
  <c r="H1516" i="14"/>
  <c r="H1506" i="14"/>
  <c r="H1495" i="14"/>
  <c r="H1484" i="14"/>
  <c r="H1474" i="14"/>
  <c r="H1463" i="14"/>
  <c r="H1452" i="14"/>
  <c r="H1442" i="14"/>
  <c r="H1431" i="14"/>
  <c r="H1420" i="14"/>
  <c r="H1410" i="14"/>
  <c r="H1399" i="14"/>
  <c r="H1388" i="14"/>
  <c r="H1378" i="14"/>
  <c r="H1367" i="14"/>
  <c r="H1356" i="14"/>
  <c r="H1346" i="14"/>
  <c r="H1335" i="14"/>
  <c r="H1324" i="14"/>
  <c r="H1314" i="14"/>
  <c r="H1303" i="14"/>
  <c r="H1292" i="14"/>
  <c r="H1282" i="14"/>
  <c r="H1271" i="14"/>
  <c r="H1260" i="14"/>
  <c r="H1250" i="14"/>
  <c r="H1239" i="14"/>
  <c r="H1228" i="14"/>
  <c r="H1218" i="14"/>
  <c r="H1207" i="14"/>
  <c r="H1196" i="14"/>
  <c r="H1186" i="14"/>
  <c r="H1175" i="14"/>
  <c r="H1164" i="14"/>
  <c r="H1154" i="14"/>
  <c r="H1143" i="14"/>
  <c r="H1132" i="14"/>
  <c r="H1122" i="14"/>
  <c r="H1111" i="14"/>
  <c r="H1100" i="14"/>
  <c r="H1090" i="14"/>
  <c r="H1079" i="14"/>
  <c r="H1068" i="14"/>
  <c r="H1058" i="14"/>
  <c r="H1047" i="14"/>
  <c r="H1036" i="14"/>
  <c r="H1026" i="14"/>
  <c r="H1015" i="14"/>
  <c r="H1004" i="14"/>
  <c r="H994" i="14"/>
  <c r="H983" i="14"/>
  <c r="H972" i="14"/>
  <c r="H962" i="14"/>
  <c r="H951" i="14"/>
  <c r="H940" i="14"/>
  <c r="H930" i="14"/>
  <c r="H919" i="14"/>
  <c r="H908" i="14"/>
  <c r="H898" i="14"/>
  <c r="H887" i="14"/>
  <c r="H876" i="14"/>
  <c r="H866" i="14"/>
  <c r="H855" i="14"/>
  <c r="H844" i="14"/>
  <c r="H834" i="14"/>
  <c r="H823" i="14"/>
  <c r="H812" i="14"/>
  <c r="H802" i="14"/>
  <c r="H791" i="14"/>
  <c r="H780" i="14"/>
  <c r="H770" i="14"/>
  <c r="H759" i="14"/>
  <c r="H748" i="14"/>
  <c r="H738" i="14"/>
  <c r="H727" i="14"/>
  <c r="H716" i="14"/>
  <c r="H706" i="14"/>
  <c r="H695" i="14"/>
  <c r="H684" i="14"/>
  <c r="H674" i="14"/>
  <c r="H663" i="14"/>
  <c r="H652" i="14"/>
  <c r="H642" i="14"/>
  <c r="H631" i="14"/>
  <c r="H620" i="14"/>
  <c r="H610" i="14"/>
  <c r="H599" i="14"/>
  <c r="H588" i="14"/>
  <c r="H578" i="14"/>
  <c r="H567" i="14"/>
  <c r="H556" i="14"/>
  <c r="H546" i="14"/>
  <c r="H535" i="14"/>
  <c r="H524" i="14"/>
  <c r="H514" i="14"/>
  <c r="H503" i="14"/>
  <c r="H492" i="14"/>
  <c r="H482" i="14"/>
  <c r="H471" i="14"/>
  <c r="H460" i="14"/>
  <c r="H450" i="14"/>
  <c r="H439" i="14"/>
  <c r="H428" i="14"/>
  <c r="H418" i="14"/>
  <c r="H407" i="14"/>
  <c r="H396" i="14"/>
  <c r="H386" i="14"/>
  <c r="H375" i="14"/>
  <c r="H364" i="14"/>
  <c r="H354" i="14"/>
  <c r="H343" i="14"/>
  <c r="H334" i="14"/>
  <c r="H326" i="14"/>
  <c r="H318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5277" i="14"/>
  <c r="H4432" i="14"/>
  <c r="H4128" i="14"/>
  <c r="H3892" i="14"/>
  <c r="H3779" i="14"/>
  <c r="H3682" i="14"/>
  <c r="H3571" i="14"/>
  <c r="H3482" i="14"/>
  <c r="H3378" i="14"/>
  <c r="H3267" i="14"/>
  <c r="H3199" i="14"/>
  <c r="H3129" i="14"/>
  <c r="H3065" i="14"/>
  <c r="H2997" i="14"/>
  <c r="H2946" i="14"/>
  <c r="H2891" i="14"/>
  <c r="H2846" i="14"/>
  <c r="H2803" i="14"/>
  <c r="H2763" i="14"/>
  <c r="H2730" i="14"/>
  <c r="H2690" i="14"/>
  <c r="H2651" i="14"/>
  <c r="H2614" i="14"/>
  <c r="H2578" i="14"/>
  <c r="H2538" i="14"/>
  <c r="H2502" i="14"/>
  <c r="H2462" i="14"/>
  <c r="H2422" i="14"/>
  <c r="H2396" i="14"/>
  <c r="H2371" i="14"/>
  <c r="H2352" i="14"/>
  <c r="H2334" i="14"/>
  <c r="H2315" i="14"/>
  <c r="H2295" i="14"/>
  <c r="H2278" i="14"/>
  <c r="H2258" i="14"/>
  <c r="H2238" i="14"/>
  <c r="H2220" i="14"/>
  <c r="H2200" i="14"/>
  <c r="H2182" i="14"/>
  <c r="H2163" i="14"/>
  <c r="H2144" i="14"/>
  <c r="H2124" i="14"/>
  <c r="H2107" i="14"/>
  <c r="H2087" i="14"/>
  <c r="H2067" i="14"/>
  <c r="H2050" i="14"/>
  <c r="H2035" i="14"/>
  <c r="H2020" i="14"/>
  <c r="H2007" i="14"/>
  <c r="H1992" i="14"/>
  <c r="H1978" i="14"/>
  <c r="H1964" i="14"/>
  <c r="H1950" i="14"/>
  <c r="H1935" i="14"/>
  <c r="H1922" i="14"/>
  <c r="H1907" i="14"/>
  <c r="H1892" i="14"/>
  <c r="H1879" i="14"/>
  <c r="H1864" i="14"/>
  <c r="H1850" i="14"/>
  <c r="H1836" i="14"/>
  <c r="H1822" i="14"/>
  <c r="H1811" i="14"/>
  <c r="H1800" i="14"/>
  <c r="H1790" i="14"/>
  <c r="H1779" i="14"/>
  <c r="H1768" i="14"/>
  <c r="H1758" i="14"/>
  <c r="H1747" i="14"/>
  <c r="H1736" i="14"/>
  <c r="H1726" i="14"/>
  <c r="H1715" i="14"/>
  <c r="H1704" i="14"/>
  <c r="H1694" i="14"/>
  <c r="H1683" i="14"/>
  <c r="H1672" i="14"/>
  <c r="H1662" i="14"/>
  <c r="H1651" i="14"/>
  <c r="H1640" i="14"/>
  <c r="H1630" i="14"/>
  <c r="H1619" i="14"/>
  <c r="H1608" i="14"/>
  <c r="H1598" i="14"/>
  <c r="H1587" i="14"/>
  <c r="H1576" i="14"/>
  <c r="H1566" i="14"/>
  <c r="H1555" i="14"/>
  <c r="H1544" i="14"/>
  <c r="H1534" i="14"/>
  <c r="H1523" i="14"/>
  <c r="H1512" i="14"/>
  <c r="H1502" i="14"/>
  <c r="H1491" i="14"/>
  <c r="H1480" i="14"/>
  <c r="H1470" i="14"/>
  <c r="H1459" i="14"/>
  <c r="H1448" i="14"/>
  <c r="H1438" i="14"/>
  <c r="H1427" i="14"/>
  <c r="H1416" i="14"/>
  <c r="H1406" i="14"/>
  <c r="H1395" i="14"/>
  <c r="H1384" i="14"/>
  <c r="H1374" i="14"/>
  <c r="H1363" i="14"/>
  <c r="H1352" i="14"/>
  <c r="H1342" i="14"/>
  <c r="H1331" i="14"/>
  <c r="H1320" i="14"/>
  <c r="H1310" i="14"/>
  <c r="H1299" i="14"/>
  <c r="H1288" i="14"/>
  <c r="H1278" i="14"/>
  <c r="H1267" i="14"/>
  <c r="H1256" i="14"/>
  <c r="H1246" i="14"/>
  <c r="H1235" i="14"/>
  <c r="H1224" i="14"/>
  <c r="H1214" i="14"/>
  <c r="H1203" i="14"/>
  <c r="H1192" i="14"/>
  <c r="H1182" i="14"/>
  <c r="H1171" i="14"/>
  <c r="H1160" i="14"/>
  <c r="H1150" i="14"/>
  <c r="H1139" i="14"/>
  <c r="H1128" i="14"/>
  <c r="H1118" i="14"/>
  <c r="H1107" i="14"/>
  <c r="H1096" i="14"/>
  <c r="H1086" i="14"/>
  <c r="H1075" i="14"/>
  <c r="H1064" i="14"/>
  <c r="H1054" i="14"/>
  <c r="H1043" i="14"/>
  <c r="H1032" i="14"/>
  <c r="H1022" i="14"/>
  <c r="H1011" i="14"/>
  <c r="H1000" i="14"/>
  <c r="H990" i="14"/>
  <c r="H979" i="14"/>
  <c r="H968" i="14"/>
  <c r="H958" i="14"/>
  <c r="H947" i="14"/>
  <c r="H936" i="14"/>
  <c r="H926" i="14"/>
  <c r="H915" i="14"/>
  <c r="H904" i="14"/>
  <c r="H894" i="14"/>
  <c r="H883" i="14"/>
  <c r="H872" i="14"/>
  <c r="H862" i="14"/>
  <c r="H851" i="14"/>
  <c r="H840" i="14"/>
  <c r="H830" i="14"/>
  <c r="H819" i="14"/>
  <c r="H808" i="14"/>
  <c r="H798" i="14"/>
  <c r="H787" i="14"/>
  <c r="H776" i="14"/>
  <c r="H766" i="14"/>
  <c r="H755" i="14"/>
  <c r="H744" i="14"/>
  <c r="H734" i="14"/>
  <c r="H723" i="14"/>
  <c r="H712" i="14"/>
  <c r="H702" i="14"/>
  <c r="H691" i="14"/>
  <c r="H680" i="14"/>
  <c r="H670" i="14"/>
  <c r="H659" i="14"/>
  <c r="H648" i="14"/>
  <c r="H638" i="14"/>
  <c r="H627" i="14"/>
  <c r="H616" i="14"/>
  <c r="H606" i="14"/>
  <c r="H595" i="14"/>
  <c r="H584" i="14"/>
  <c r="H574" i="14"/>
  <c r="H563" i="14"/>
  <c r="H552" i="14"/>
  <c r="H542" i="14"/>
  <c r="H531" i="14"/>
  <c r="H520" i="14"/>
  <c r="H510" i="14"/>
  <c r="H499" i="14"/>
  <c r="H488" i="14"/>
  <c r="H478" i="14"/>
  <c r="H467" i="14"/>
  <c r="H456" i="14"/>
  <c r="H446" i="14"/>
  <c r="H435" i="14"/>
  <c r="H424" i="14"/>
  <c r="H414" i="14"/>
  <c r="H403" i="14"/>
  <c r="H392" i="14"/>
  <c r="H382" i="14"/>
  <c r="H371" i="14"/>
  <c r="H360" i="14"/>
  <c r="H350" i="14"/>
  <c r="H339" i="14"/>
  <c r="H331" i="14"/>
  <c r="H323" i="14"/>
  <c r="H315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4" i="14"/>
  <c r="H66" i="14"/>
  <c r="H98" i="14"/>
  <c r="H130" i="14"/>
  <c r="H162" i="14"/>
  <c r="H194" i="14"/>
  <c r="H226" i="14"/>
  <c r="H258" i="14"/>
  <c r="H290" i="14"/>
  <c r="H322" i="14"/>
  <c r="H359" i="14"/>
  <c r="H402" i="14"/>
  <c r="H444" i="14"/>
  <c r="H487" i="14"/>
  <c r="H530" i="14"/>
  <c r="H572" i="14"/>
  <c r="H615" i="14"/>
  <c r="H658" i="14"/>
  <c r="H700" i="14"/>
  <c r="H743" i="14"/>
  <c r="H786" i="14"/>
  <c r="H828" i="14"/>
  <c r="H871" i="14"/>
  <c r="H914" i="14"/>
  <c r="H956" i="14"/>
  <c r="H999" i="14"/>
  <c r="H1042" i="14"/>
  <c r="H1084" i="14"/>
  <c r="H1127" i="14"/>
  <c r="H1170" i="14"/>
  <c r="H1212" i="14"/>
  <c r="H1255" i="14"/>
  <c r="H1298" i="14"/>
  <c r="H1340" i="14"/>
  <c r="H1383" i="14"/>
  <c r="H1426" i="14"/>
  <c r="H1468" i="14"/>
  <c r="H1511" i="14"/>
  <c r="H1554" i="14"/>
  <c r="H1596" i="14"/>
  <c r="H1639" i="14"/>
  <c r="H1682" i="14"/>
  <c r="H1724" i="14"/>
  <c r="H1767" i="14"/>
  <c r="H1810" i="14"/>
  <c r="H1863" i="14"/>
  <c r="H1919" i="14"/>
  <c r="H1976" i="14"/>
  <c r="H2034" i="14"/>
  <c r="H2103" i="14"/>
  <c r="H2179" i="14"/>
  <c r="H2256" i="14"/>
  <c r="H2331" i="14"/>
  <c r="H2419" i="14"/>
  <c r="H2571" i="14"/>
  <c r="H2722" i="14"/>
  <c r="H2890" i="14"/>
  <c r="H3125" i="14"/>
  <c r="H3459" i="14"/>
  <c r="H3866" i="14"/>
  <c r="H10" i="14"/>
  <c r="H42" i="14"/>
  <c r="H74" i="14"/>
  <c r="H106" i="14"/>
  <c r="H138" i="14"/>
  <c r="H170" i="14"/>
  <c r="H202" i="14"/>
  <c r="H234" i="14"/>
  <c r="H266" i="14"/>
  <c r="H298" i="14"/>
  <c r="H330" i="14"/>
  <c r="H370" i="14"/>
  <c r="H412" i="14"/>
  <c r="H455" i="14"/>
  <c r="H498" i="14"/>
  <c r="H540" i="14"/>
  <c r="H583" i="14"/>
  <c r="H626" i="14"/>
  <c r="H668" i="14"/>
  <c r="H711" i="14"/>
  <c r="H754" i="14"/>
  <c r="H796" i="14"/>
  <c r="H839" i="14"/>
  <c r="H882" i="14"/>
  <c r="H924" i="14"/>
  <c r="H967" i="14"/>
  <c r="H1010" i="14"/>
  <c r="H1052" i="14"/>
  <c r="H1095" i="14"/>
  <c r="H1138" i="14"/>
  <c r="H1180" i="14"/>
  <c r="H1223" i="14"/>
  <c r="H1266" i="14"/>
  <c r="H1308" i="14"/>
  <c r="H1351" i="14"/>
  <c r="H1394" i="14"/>
  <c r="H1436" i="14"/>
  <c r="H1479" i="14"/>
  <c r="H1522" i="14"/>
  <c r="H1564" i="14"/>
  <c r="H1607" i="14"/>
  <c r="H1650" i="14"/>
  <c r="H1692" i="14"/>
  <c r="H1735" i="14"/>
  <c r="H1778" i="14"/>
  <c r="H1820" i="14"/>
  <c r="H1876" i="14"/>
  <c r="H1934" i="14"/>
  <c r="H1991" i="14"/>
  <c r="H2047" i="14"/>
  <c r="H2123" i="14"/>
  <c r="H2199" i="14"/>
  <c r="H2274" i="14"/>
  <c r="H2350" i="14"/>
  <c r="H2459" i="14"/>
  <c r="H2610" i="14"/>
  <c r="H2762" i="14"/>
  <c r="H2939" i="14"/>
  <c r="H3187" i="14"/>
  <c r="H3570" i="14"/>
  <c r="H4065" i="14"/>
  <c r="H3202" i="13"/>
  <c r="H3210" i="13"/>
  <c r="H3218" i="13"/>
  <c r="H3226" i="13"/>
  <c r="H3234" i="13"/>
  <c r="H3242" i="13"/>
  <c r="H3250" i="13"/>
  <c r="H3258" i="13"/>
  <c r="H3266" i="13"/>
  <c r="H3274" i="13"/>
  <c r="H3282" i="13"/>
  <c r="H3290" i="13"/>
  <c r="H3298" i="13"/>
  <c r="H3306" i="13"/>
  <c r="H3314" i="13"/>
  <c r="H3322" i="13"/>
  <c r="H3330" i="13"/>
  <c r="H3338" i="13"/>
  <c r="H3346" i="13"/>
  <c r="H3354" i="13"/>
  <c r="H3362" i="13"/>
  <c r="H3370" i="13"/>
  <c r="H3378" i="13"/>
  <c r="H3386" i="13"/>
  <c r="H3394" i="13"/>
  <c r="H3402" i="13"/>
  <c r="H3410" i="13"/>
  <c r="H3418" i="13"/>
  <c r="H3426" i="13"/>
  <c r="H3434" i="13"/>
  <c r="H3442" i="13"/>
  <c r="H3450" i="13"/>
  <c r="H3458" i="13"/>
  <c r="H3466" i="13"/>
  <c r="H3474" i="13"/>
  <c r="H3482" i="13"/>
  <c r="H3490" i="13"/>
  <c r="H3498" i="13"/>
  <c r="H3506" i="13"/>
  <c r="H3514" i="13"/>
  <c r="H3522" i="13"/>
  <c r="H3530" i="13"/>
  <c r="H3538" i="13"/>
  <c r="H3546" i="13"/>
  <c r="H3554" i="13"/>
  <c r="H3562" i="13"/>
  <c r="H3570" i="13"/>
  <c r="H3578" i="13"/>
  <c r="H3586" i="13"/>
  <c r="H3594" i="13"/>
  <c r="H3602" i="13"/>
  <c r="H3610" i="13"/>
  <c r="H3618" i="13"/>
  <c r="H3626" i="13"/>
  <c r="H3634" i="13"/>
  <c r="H3642" i="13"/>
  <c r="H3650" i="13"/>
  <c r="H3658" i="13"/>
  <c r="H3666" i="13"/>
  <c r="H3674" i="13"/>
  <c r="H3682" i="13"/>
  <c r="H3690" i="13"/>
  <c r="H3698" i="13"/>
  <c r="H3706" i="13"/>
  <c r="H3714" i="13"/>
  <c r="H3722" i="13"/>
  <c r="H3730" i="13"/>
  <c r="H3738" i="13"/>
  <c r="H3746" i="13"/>
  <c r="H3754" i="13"/>
  <c r="H3762" i="13"/>
  <c r="H3770" i="13"/>
  <c r="H3778" i="13"/>
  <c r="H3786" i="13"/>
  <c r="H3794" i="13"/>
  <c r="H3802" i="13"/>
  <c r="H3810" i="13"/>
  <c r="H3818" i="13"/>
  <c r="H3826" i="13"/>
  <c r="H3834" i="13"/>
  <c r="H3842" i="13"/>
  <c r="H3850" i="13"/>
  <c r="H3858" i="13"/>
  <c r="H3866" i="13"/>
  <c r="H3874" i="13"/>
  <c r="H3882" i="13"/>
  <c r="H3890" i="13"/>
  <c r="H3898" i="13"/>
  <c r="H3906" i="13"/>
  <c r="H3914" i="13"/>
  <c r="H3922" i="13"/>
  <c r="H3930" i="13"/>
  <c r="H3938" i="13"/>
  <c r="H3946" i="13"/>
  <c r="H3954" i="13"/>
  <c r="H3962" i="13"/>
  <c r="H3972" i="13"/>
  <c r="H3968" i="13"/>
  <c r="H3964" i="13"/>
  <c r="H3960" i="13"/>
  <c r="H3956" i="13"/>
  <c r="H3952" i="13"/>
  <c r="H3948" i="13"/>
  <c r="H3944" i="13"/>
  <c r="H3940" i="13"/>
  <c r="H3936" i="13"/>
  <c r="H3932" i="13"/>
  <c r="H3928" i="13"/>
  <c r="H3924" i="13"/>
  <c r="H3920" i="13"/>
  <c r="H3916" i="13"/>
  <c r="H3912" i="13"/>
  <c r="H3908" i="13"/>
  <c r="H3904" i="13"/>
  <c r="H3900" i="13"/>
  <c r="H3896" i="13"/>
  <c r="H3892" i="13"/>
  <c r="H3888" i="13"/>
  <c r="H3884" i="13"/>
  <c r="H3880" i="13"/>
  <c r="H3876" i="13"/>
  <c r="H3872" i="13"/>
  <c r="H3868" i="13"/>
  <c r="H3864" i="13"/>
  <c r="H3860" i="13"/>
  <c r="H3856" i="13"/>
  <c r="H3852" i="13"/>
  <c r="H3848" i="13"/>
  <c r="H3844" i="13"/>
  <c r="H3840" i="13"/>
  <c r="H3836" i="13"/>
  <c r="H3832" i="13"/>
  <c r="H3828" i="13"/>
  <c r="H3824" i="13"/>
  <c r="H3820" i="13"/>
  <c r="H3816" i="13"/>
  <c r="H3812" i="13"/>
  <c r="H3808" i="13"/>
  <c r="H3804" i="13"/>
  <c r="H3800" i="13"/>
  <c r="H3796" i="13"/>
  <c r="H3792" i="13"/>
  <c r="H3788" i="13"/>
  <c r="H3784" i="13"/>
  <c r="H3780" i="13"/>
  <c r="H3776" i="13"/>
  <c r="H3772" i="13"/>
  <c r="H3768" i="13"/>
  <c r="H3764" i="13"/>
  <c r="H3760" i="13"/>
  <c r="H3756" i="13"/>
  <c r="H3752" i="13"/>
  <c r="H3748" i="13"/>
  <c r="H3744" i="13"/>
  <c r="H3740" i="13"/>
  <c r="H3736" i="13"/>
  <c r="H3732" i="13"/>
  <c r="H3728" i="13"/>
  <c r="H3724" i="13"/>
  <c r="H3720" i="13"/>
  <c r="H3716" i="13"/>
  <c r="H3712" i="13"/>
  <c r="H3708" i="13"/>
  <c r="H3704" i="13"/>
  <c r="H3700" i="13"/>
  <c r="H3696" i="13"/>
  <c r="H3692" i="13"/>
  <c r="H3688" i="13"/>
  <c r="H3684" i="13"/>
  <c r="H3680" i="13"/>
  <c r="H3676" i="13"/>
  <c r="H3672" i="13"/>
  <c r="H3668" i="13"/>
  <c r="H3664" i="13"/>
  <c r="H3660" i="13"/>
  <c r="H3656" i="13"/>
  <c r="H3652" i="13"/>
  <c r="H3648" i="13"/>
  <c r="H3644" i="13"/>
  <c r="H3640" i="13"/>
  <c r="H3636" i="13"/>
  <c r="H3632" i="13"/>
  <c r="H3628" i="13"/>
  <c r="H3624" i="13"/>
  <c r="H3620" i="13"/>
  <c r="H3616" i="13"/>
  <c r="H3612" i="13"/>
  <c r="H3608" i="13"/>
  <c r="H3604" i="13"/>
  <c r="H3600" i="13"/>
  <c r="H3596" i="13"/>
  <c r="H3592" i="13"/>
  <c r="H3588" i="13"/>
  <c r="H3584" i="13"/>
  <c r="H3580" i="13"/>
  <c r="H3576" i="13"/>
  <c r="H3572" i="13"/>
  <c r="H3568" i="13"/>
  <c r="H3564" i="13"/>
  <c r="H3560" i="13"/>
  <c r="H3556" i="13"/>
  <c r="H3552" i="13"/>
  <c r="H3548" i="13"/>
  <c r="H3544" i="13"/>
  <c r="H3540" i="13"/>
  <c r="H3536" i="13"/>
  <c r="H3532" i="13"/>
  <c r="H3528" i="13"/>
  <c r="H3524" i="13"/>
  <c r="H3520" i="13"/>
  <c r="H3516" i="13"/>
  <c r="H3512" i="13"/>
  <c r="H3508" i="13"/>
  <c r="H3504" i="13"/>
  <c r="H3500" i="13"/>
  <c r="H3496" i="13"/>
  <c r="H3492" i="13"/>
  <c r="H3488" i="13"/>
  <c r="H3484" i="13"/>
  <c r="H3480" i="13"/>
  <c r="H3476" i="13"/>
  <c r="H3472" i="13"/>
  <c r="H3468" i="13"/>
  <c r="H3464" i="13"/>
  <c r="H3460" i="13"/>
  <c r="H3456" i="13"/>
  <c r="H3452" i="13"/>
  <c r="H3448" i="13"/>
  <c r="H3444" i="13"/>
  <c r="H3440" i="13"/>
  <c r="H3436" i="13"/>
  <c r="H3432" i="13"/>
  <c r="H3428" i="13"/>
  <c r="H3424" i="13"/>
  <c r="H3420" i="13"/>
  <c r="H3416" i="13"/>
  <c r="H3412" i="13"/>
  <c r="H3408" i="13"/>
  <c r="H3404" i="13"/>
  <c r="H3400" i="13"/>
  <c r="H3396" i="13"/>
  <c r="H3392" i="13"/>
  <c r="H3388" i="13"/>
  <c r="H3384" i="13"/>
  <c r="H3380" i="13"/>
  <c r="H3376" i="13"/>
  <c r="H3372" i="13"/>
  <c r="H3368" i="13"/>
  <c r="H3364" i="13"/>
  <c r="H3360" i="13"/>
  <c r="H3356" i="13"/>
  <c r="H3352" i="13"/>
  <c r="H3348" i="13"/>
  <c r="H3344" i="13"/>
  <c r="H3340" i="13"/>
  <c r="H3336" i="13"/>
  <c r="H3332" i="13"/>
  <c r="H3328" i="13"/>
  <c r="H3324" i="13"/>
  <c r="H3320" i="13"/>
  <c r="H3316" i="13"/>
  <c r="H3312" i="13"/>
  <c r="H3308" i="13"/>
  <c r="H3304" i="13"/>
  <c r="H3300" i="13"/>
  <c r="H3296" i="13"/>
  <c r="H3292" i="13"/>
  <c r="H3288" i="13"/>
  <c r="H3284" i="13"/>
  <c r="H3280" i="13"/>
  <c r="H3276" i="13"/>
  <c r="H3272" i="13"/>
  <c r="H3268" i="13"/>
  <c r="H3264" i="13"/>
  <c r="H3260" i="13"/>
  <c r="H3256" i="13"/>
  <c r="H3252" i="13"/>
  <c r="H3248" i="13"/>
  <c r="H3244" i="13"/>
  <c r="H3240" i="13"/>
  <c r="H3236" i="13"/>
  <c r="H3232" i="13"/>
  <c r="H3228" i="13"/>
  <c r="H3224" i="13"/>
  <c r="H3220" i="13"/>
  <c r="H3216" i="13"/>
  <c r="H3212" i="13"/>
  <c r="H3208" i="13"/>
  <c r="H3204" i="13"/>
  <c r="H3200" i="13"/>
  <c r="H3196" i="13"/>
  <c r="H3192" i="13"/>
  <c r="H3188" i="13"/>
  <c r="H3184" i="13"/>
  <c r="H3180" i="13"/>
  <c r="H3176" i="13"/>
  <c r="H3172" i="13"/>
  <c r="H3168" i="13"/>
  <c r="H3164" i="13"/>
  <c r="H3160" i="13"/>
  <c r="H3156" i="13"/>
  <c r="H3152" i="13"/>
  <c r="H3148" i="13"/>
  <c r="H3144" i="13"/>
  <c r="H3140" i="13"/>
  <c r="H3136" i="13"/>
  <c r="H3132" i="13"/>
  <c r="H3128" i="13"/>
  <c r="H3975" i="13"/>
  <c r="H3971" i="13"/>
  <c r="H3967" i="13"/>
  <c r="H3963" i="13"/>
  <c r="H3959" i="13"/>
  <c r="H3955" i="13"/>
  <c r="H3951" i="13"/>
  <c r="H3947" i="13"/>
  <c r="H3943" i="13"/>
  <c r="H3939" i="13"/>
  <c r="H3935" i="13"/>
  <c r="H3931" i="13"/>
  <c r="H3927" i="13"/>
  <c r="H3923" i="13"/>
  <c r="H3919" i="13"/>
  <c r="H3915" i="13"/>
  <c r="H3911" i="13"/>
  <c r="H3907" i="13"/>
  <c r="H3903" i="13"/>
  <c r="H3899" i="13"/>
  <c r="H3895" i="13"/>
  <c r="H3891" i="13"/>
  <c r="H3887" i="13"/>
  <c r="H3883" i="13"/>
  <c r="H3879" i="13"/>
  <c r="H3875" i="13"/>
  <c r="H3871" i="13"/>
  <c r="H3867" i="13"/>
  <c r="H3863" i="13"/>
  <c r="H3859" i="13"/>
  <c r="H3855" i="13"/>
  <c r="H3851" i="13"/>
  <c r="H3847" i="13"/>
  <c r="H3843" i="13"/>
  <c r="H3839" i="13"/>
  <c r="H3835" i="13"/>
  <c r="H3831" i="13"/>
  <c r="H3827" i="13"/>
  <c r="H3823" i="13"/>
  <c r="H3819" i="13"/>
  <c r="H3815" i="13"/>
  <c r="H3811" i="13"/>
  <c r="H3807" i="13"/>
  <c r="H3803" i="13"/>
  <c r="H3799" i="13"/>
  <c r="H3795" i="13"/>
  <c r="H3791" i="13"/>
  <c r="H3787" i="13"/>
  <c r="H3783" i="13"/>
  <c r="H3779" i="13"/>
  <c r="H3775" i="13"/>
  <c r="H3771" i="13"/>
  <c r="H3767" i="13"/>
  <c r="H3763" i="13"/>
  <c r="H3759" i="13"/>
  <c r="H3755" i="13"/>
  <c r="H3751" i="13"/>
  <c r="H3747" i="13"/>
  <c r="H3743" i="13"/>
  <c r="H3739" i="13"/>
  <c r="H3735" i="13"/>
  <c r="H3731" i="13"/>
  <c r="H3727" i="13"/>
  <c r="H3723" i="13"/>
  <c r="H3719" i="13"/>
  <c r="H3715" i="13"/>
  <c r="H3711" i="13"/>
  <c r="H3707" i="13"/>
  <c r="H3703" i="13"/>
  <c r="H3699" i="13"/>
  <c r="H3695" i="13"/>
  <c r="H3691" i="13"/>
  <c r="H3687" i="13"/>
  <c r="H3683" i="13"/>
  <c r="H3679" i="13"/>
  <c r="H3675" i="13"/>
  <c r="H3671" i="13"/>
  <c r="H3667" i="13"/>
  <c r="H3663" i="13"/>
  <c r="H3659" i="13"/>
  <c r="H3655" i="13"/>
  <c r="H3651" i="13"/>
  <c r="H3647" i="13"/>
  <c r="H3643" i="13"/>
  <c r="H3639" i="13"/>
  <c r="H3635" i="13"/>
  <c r="H3631" i="13"/>
  <c r="H3627" i="13"/>
  <c r="H3623" i="13"/>
  <c r="H3619" i="13"/>
  <c r="H3615" i="13"/>
  <c r="H3611" i="13"/>
  <c r="H3607" i="13"/>
  <c r="H3603" i="13"/>
  <c r="H3599" i="13"/>
  <c r="H3595" i="13"/>
  <c r="H3591" i="13"/>
  <c r="H3587" i="13"/>
  <c r="H3583" i="13"/>
  <c r="H3579" i="13"/>
  <c r="H3575" i="13"/>
  <c r="H3571" i="13"/>
  <c r="H3567" i="13"/>
  <c r="H3563" i="13"/>
  <c r="H3559" i="13"/>
  <c r="H3555" i="13"/>
  <c r="H3551" i="13"/>
  <c r="H3547" i="13"/>
  <c r="H3543" i="13"/>
  <c r="H3539" i="13"/>
  <c r="H3535" i="13"/>
  <c r="H3531" i="13"/>
  <c r="H3527" i="13"/>
  <c r="H3523" i="13"/>
  <c r="H3519" i="13"/>
  <c r="H3515" i="13"/>
  <c r="H3511" i="13"/>
  <c r="H3507" i="13"/>
  <c r="H3503" i="13"/>
  <c r="H3499" i="13"/>
  <c r="H3495" i="13"/>
  <c r="H3491" i="13"/>
  <c r="H3487" i="13"/>
  <c r="H3483" i="13"/>
  <c r="H3479" i="13"/>
  <c r="H3475" i="13"/>
  <c r="H3471" i="13"/>
  <c r="H3467" i="13"/>
  <c r="H3463" i="13"/>
  <c r="H3459" i="13"/>
  <c r="H3455" i="13"/>
  <c r="H3451" i="13"/>
  <c r="H3447" i="13"/>
  <c r="H3443" i="13"/>
  <c r="H3439" i="13"/>
  <c r="H3435" i="13"/>
  <c r="H3431" i="13"/>
  <c r="H3427" i="13"/>
  <c r="H3423" i="13"/>
  <c r="H3419" i="13"/>
  <c r="H3415" i="13"/>
  <c r="H3411" i="13"/>
  <c r="H3407" i="13"/>
  <c r="H3403" i="13"/>
  <c r="H3399" i="13"/>
  <c r="H3395" i="13"/>
  <c r="H3391" i="13"/>
  <c r="H3387" i="13"/>
  <c r="H3383" i="13"/>
  <c r="H3379" i="13"/>
  <c r="H3375" i="13"/>
  <c r="H3371" i="13"/>
  <c r="H3367" i="13"/>
  <c r="H3363" i="13"/>
  <c r="H3359" i="13"/>
  <c r="H3355" i="13"/>
  <c r="H3351" i="13"/>
  <c r="H3347" i="13"/>
  <c r="H3343" i="13"/>
  <c r="H3339" i="13"/>
  <c r="H3335" i="13"/>
  <c r="H3331" i="13"/>
  <c r="H3327" i="13"/>
  <c r="H3323" i="13"/>
  <c r="H3319" i="13"/>
  <c r="H3315" i="13"/>
  <c r="H3311" i="13"/>
  <c r="H3307" i="13"/>
  <c r="H3303" i="13"/>
  <c r="H3299" i="13"/>
  <c r="H3295" i="13"/>
  <c r="H3291" i="13"/>
  <c r="H3287" i="13"/>
  <c r="H3283" i="13"/>
  <c r="H3279" i="13"/>
  <c r="H3275" i="13"/>
  <c r="H3271" i="13"/>
  <c r="H3267" i="13"/>
  <c r="H3263" i="13"/>
  <c r="H3259" i="13"/>
  <c r="H3255" i="13"/>
  <c r="H3251" i="13"/>
  <c r="H3247" i="13"/>
  <c r="H3243" i="13"/>
  <c r="H3239" i="13"/>
  <c r="H3235" i="13"/>
  <c r="H3231" i="13"/>
  <c r="H3227" i="13"/>
  <c r="H3223" i="13"/>
  <c r="H3219" i="13"/>
  <c r="H3215" i="13"/>
  <c r="H3211" i="13"/>
  <c r="H3207" i="13"/>
  <c r="H3203" i="13"/>
  <c r="H3199" i="13"/>
  <c r="H3195" i="13"/>
  <c r="H6" i="13"/>
  <c r="H10" i="13"/>
  <c r="H14" i="13"/>
  <c r="H18" i="13"/>
  <c r="H22" i="13"/>
  <c r="H26" i="13"/>
  <c r="H30" i="13"/>
  <c r="H34" i="13"/>
  <c r="H38" i="13"/>
  <c r="H42" i="13"/>
  <c r="H46" i="13"/>
  <c r="H50" i="13"/>
  <c r="H54" i="13"/>
  <c r="H58" i="13"/>
  <c r="H62" i="13"/>
  <c r="H66" i="13"/>
  <c r="H70" i="13"/>
  <c r="H74" i="13"/>
  <c r="H78" i="13"/>
  <c r="H82" i="13"/>
  <c r="H86" i="13"/>
  <c r="H90" i="13"/>
  <c r="H94" i="13"/>
  <c r="H98" i="13"/>
  <c r="H102" i="13"/>
  <c r="H106" i="13"/>
  <c r="H110" i="13"/>
  <c r="H114" i="13"/>
  <c r="H118" i="13"/>
  <c r="H122" i="13"/>
  <c r="H126" i="13"/>
  <c r="H130" i="13"/>
  <c r="H134" i="13"/>
  <c r="H138" i="13"/>
  <c r="H142" i="13"/>
  <c r="H146" i="13"/>
  <c r="H150" i="13"/>
  <c r="H154" i="13"/>
  <c r="H158" i="13"/>
  <c r="H162" i="13"/>
  <c r="H166" i="13"/>
  <c r="H170" i="13"/>
  <c r="H174" i="13"/>
  <c r="H178" i="13"/>
  <c r="H182" i="13"/>
  <c r="H186" i="13"/>
  <c r="H190" i="13"/>
  <c r="H194" i="13"/>
  <c r="H198" i="13"/>
  <c r="H202" i="13"/>
  <c r="H206" i="13"/>
  <c r="H210" i="13"/>
  <c r="H214" i="13"/>
  <c r="H218" i="13"/>
  <c r="H222" i="13"/>
  <c r="H226" i="13"/>
  <c r="H230" i="13"/>
  <c r="H234" i="13"/>
  <c r="H238" i="13"/>
  <c r="H242" i="13"/>
  <c r="H246" i="13"/>
  <c r="H250" i="13"/>
  <c r="H254" i="13"/>
  <c r="H258" i="13"/>
  <c r="H262" i="13"/>
  <c r="H266" i="13"/>
  <c r="H270" i="13"/>
  <c r="H274" i="13"/>
  <c r="H278" i="13"/>
  <c r="H282" i="13"/>
  <c r="H286" i="13"/>
  <c r="H290" i="13"/>
  <c r="H294" i="13"/>
  <c r="H298" i="13"/>
  <c r="H302" i="13"/>
  <c r="H306" i="13"/>
  <c r="H310" i="13"/>
  <c r="H314" i="13"/>
  <c r="H318" i="13"/>
  <c r="H322" i="13"/>
  <c r="H326" i="13"/>
  <c r="H330" i="13"/>
  <c r="H334" i="13"/>
  <c r="H338" i="13"/>
  <c r="H342" i="13"/>
  <c r="H346" i="13"/>
  <c r="H350" i="13"/>
  <c r="H354" i="13"/>
  <c r="H358" i="13"/>
  <c r="H362" i="13"/>
  <c r="H366" i="13"/>
  <c r="H370" i="13"/>
  <c r="H374" i="13"/>
  <c r="H378" i="13"/>
  <c r="H382" i="13"/>
  <c r="H386" i="13"/>
  <c r="H390" i="13"/>
  <c r="H394" i="13"/>
  <c r="H398" i="13"/>
  <c r="H402" i="13"/>
  <c r="H406" i="13"/>
  <c r="H410" i="13"/>
  <c r="H414" i="13"/>
  <c r="H418" i="13"/>
  <c r="H422" i="13"/>
  <c r="H426" i="13"/>
  <c r="H430" i="13"/>
  <c r="H434" i="13"/>
  <c r="H438" i="13"/>
  <c r="H442" i="13"/>
  <c r="H446" i="13"/>
  <c r="H450" i="13"/>
  <c r="H454" i="13"/>
  <c r="H458" i="13"/>
  <c r="H462" i="13"/>
  <c r="H466" i="13"/>
  <c r="H470" i="13"/>
  <c r="H474" i="13"/>
  <c r="H478" i="13"/>
  <c r="H482" i="13"/>
  <c r="H486" i="13"/>
  <c r="H490" i="13"/>
  <c r="H494" i="13"/>
  <c r="H498" i="13"/>
  <c r="H502" i="13"/>
  <c r="H506" i="13"/>
  <c r="H510" i="13"/>
  <c r="H514" i="13"/>
  <c r="H518" i="13"/>
  <c r="H522" i="13"/>
  <c r="H526" i="13"/>
  <c r="H530" i="13"/>
  <c r="H534" i="13"/>
  <c r="H538" i="13"/>
  <c r="H542" i="13"/>
  <c r="H546" i="13"/>
  <c r="H550" i="13"/>
  <c r="H554" i="13"/>
  <c r="H558" i="13"/>
  <c r="H562" i="13"/>
  <c r="H566" i="13"/>
  <c r="H570" i="13"/>
  <c r="H574" i="13"/>
  <c r="H578" i="13"/>
  <c r="H582" i="13"/>
  <c r="H586" i="13"/>
  <c r="H590" i="13"/>
  <c r="H594" i="13"/>
  <c r="H598" i="13"/>
  <c r="H602" i="13"/>
  <c r="H606" i="13"/>
  <c r="H610" i="13"/>
  <c r="H614" i="13"/>
  <c r="H618" i="13"/>
  <c r="H622" i="13"/>
  <c r="H626" i="13"/>
  <c r="H630" i="13"/>
  <c r="H634" i="13"/>
  <c r="H638" i="13"/>
  <c r="H642" i="13"/>
  <c r="H646" i="13"/>
  <c r="H650" i="13"/>
  <c r="H654" i="13"/>
  <c r="H658" i="13"/>
  <c r="H662" i="13"/>
  <c r="H666" i="13"/>
  <c r="H670" i="13"/>
  <c r="H674" i="13"/>
  <c r="H678" i="13"/>
  <c r="H682" i="13"/>
  <c r="H686" i="13"/>
  <c r="H690" i="13"/>
  <c r="H694" i="13"/>
  <c r="H698" i="13"/>
  <c r="H702" i="13"/>
  <c r="H706" i="13"/>
  <c r="H710" i="13"/>
  <c r="H714" i="13"/>
  <c r="H718" i="13"/>
  <c r="H722" i="13"/>
  <c r="H726" i="13"/>
  <c r="H730" i="13"/>
  <c r="H734" i="13"/>
  <c r="H738" i="13"/>
  <c r="H742" i="13"/>
  <c r="H746" i="13"/>
  <c r="H750" i="13"/>
  <c r="H754" i="13"/>
  <c r="H758" i="13"/>
  <c r="H762" i="13"/>
  <c r="H766" i="13"/>
  <c r="H770" i="13"/>
  <c r="H774" i="13"/>
  <c r="H778" i="13"/>
  <c r="H782" i="13"/>
  <c r="H786" i="13"/>
  <c r="H790" i="13"/>
  <c r="H794" i="13"/>
  <c r="H798" i="13"/>
  <c r="H802" i="13"/>
  <c r="H806" i="13"/>
  <c r="H810" i="13"/>
  <c r="H814" i="13"/>
  <c r="H818" i="13"/>
  <c r="H822" i="13"/>
  <c r="H826" i="13"/>
  <c r="H830" i="13"/>
  <c r="H834" i="13"/>
  <c r="H838" i="13"/>
  <c r="H842" i="13"/>
  <c r="H846" i="13"/>
  <c r="H850" i="13"/>
  <c r="H854" i="13"/>
  <c r="H858" i="13"/>
  <c r="H862" i="13"/>
  <c r="H866" i="13"/>
  <c r="H870" i="13"/>
  <c r="H874" i="13"/>
  <c r="H878" i="13"/>
  <c r="H882" i="13"/>
  <c r="H886" i="13"/>
  <c r="H890" i="13"/>
  <c r="H894" i="13"/>
  <c r="H898" i="13"/>
  <c r="H902" i="13"/>
  <c r="H906" i="13"/>
  <c r="H910" i="13"/>
  <c r="H914" i="13"/>
  <c r="H918" i="13"/>
  <c r="H922" i="13"/>
  <c r="H926" i="13"/>
  <c r="H930" i="13"/>
  <c r="H934" i="13"/>
  <c r="H938" i="13"/>
  <c r="H942" i="13"/>
  <c r="H946" i="13"/>
  <c r="H950" i="13"/>
  <c r="H954" i="13"/>
  <c r="H958" i="13"/>
  <c r="H962" i="13"/>
  <c r="H966" i="13"/>
  <c r="H970" i="13"/>
  <c r="H974" i="13"/>
  <c r="H978" i="13"/>
  <c r="H982" i="13"/>
  <c r="H986" i="13"/>
  <c r="H990" i="13"/>
  <c r="H994" i="13"/>
  <c r="H998" i="13"/>
  <c r="H1002" i="13"/>
  <c r="H1006" i="13"/>
  <c r="H1010" i="13"/>
  <c r="H1014" i="13"/>
  <c r="H1018" i="13"/>
  <c r="H1022" i="13"/>
  <c r="H1026" i="13"/>
  <c r="H1030" i="13"/>
  <c r="H1034" i="13"/>
  <c r="H1038" i="13"/>
  <c r="H1042" i="13"/>
  <c r="H1046" i="13"/>
  <c r="H1050" i="13"/>
  <c r="H1054" i="13"/>
  <c r="H1058" i="13"/>
  <c r="H1062" i="13"/>
  <c r="H1066" i="13"/>
  <c r="H1070" i="13"/>
  <c r="H1074" i="13"/>
  <c r="H1078" i="13"/>
  <c r="H1082" i="13"/>
  <c r="H1086" i="13"/>
  <c r="H1090" i="13"/>
  <c r="H1094" i="13"/>
  <c r="H1098" i="13"/>
  <c r="H1102" i="13"/>
  <c r="H1106" i="13"/>
  <c r="H1110" i="13"/>
  <c r="H1114" i="13"/>
  <c r="H1118" i="13"/>
  <c r="H1122" i="13"/>
  <c r="H1126" i="13"/>
  <c r="H1130" i="13"/>
  <c r="H1134" i="13"/>
  <c r="H1138" i="13"/>
  <c r="H1142" i="13"/>
  <c r="H1146" i="13"/>
  <c r="H1150" i="13"/>
  <c r="H1154" i="13"/>
  <c r="H1158" i="13"/>
  <c r="H1162" i="13"/>
  <c r="H1166" i="13"/>
  <c r="H1170" i="13"/>
  <c r="H1174" i="13"/>
  <c r="H1178" i="13"/>
  <c r="H1182" i="13"/>
  <c r="H1186" i="13"/>
  <c r="H1190" i="13"/>
  <c r="H1194" i="13"/>
  <c r="H1198" i="13"/>
  <c r="H1202" i="13"/>
  <c r="H1206" i="13"/>
  <c r="H1210" i="13"/>
  <c r="H1214" i="13"/>
  <c r="H1218" i="13"/>
  <c r="H1222" i="13"/>
  <c r="H1226" i="13"/>
  <c r="H1230" i="13"/>
  <c r="H1234" i="13"/>
  <c r="H1238" i="13"/>
  <c r="H1242" i="13"/>
  <c r="H1246" i="13"/>
  <c r="H1250" i="13"/>
  <c r="H1254" i="13"/>
  <c r="H1258" i="13"/>
  <c r="H1262" i="13"/>
  <c r="H1266" i="13"/>
  <c r="H1270" i="13"/>
  <c r="H1274" i="13"/>
  <c r="H1278" i="13"/>
  <c r="H1282" i="13"/>
  <c r="H1286" i="13"/>
  <c r="H1290" i="13"/>
  <c r="H1294" i="13"/>
  <c r="H1298" i="13"/>
  <c r="H1302" i="13"/>
  <c r="H1306" i="13"/>
  <c r="H1310" i="13"/>
  <c r="H1314" i="13"/>
  <c r="H1318" i="13"/>
  <c r="H1322" i="13"/>
  <c r="H1326" i="13"/>
  <c r="H1330" i="13"/>
  <c r="H1334" i="13"/>
  <c r="H1338" i="13"/>
  <c r="H1342" i="13"/>
  <c r="H1346" i="13"/>
  <c r="H1350" i="13"/>
  <c r="H1354" i="13"/>
  <c r="H1358" i="13"/>
  <c r="H1362" i="13"/>
  <c r="H1366" i="13"/>
  <c r="H1370" i="13"/>
  <c r="H1374" i="13"/>
  <c r="H1378" i="13"/>
  <c r="H1382" i="13"/>
  <c r="H1386" i="13"/>
  <c r="H1390" i="13"/>
  <c r="H1394" i="13"/>
  <c r="H1398" i="13"/>
  <c r="H1402" i="13"/>
  <c r="H1406" i="13"/>
  <c r="H1410" i="13"/>
  <c r="H1414" i="13"/>
  <c r="H1418" i="13"/>
  <c r="H1422" i="13"/>
  <c r="H1426" i="13"/>
  <c r="H1430" i="13"/>
  <c r="H1434" i="13"/>
  <c r="H1438" i="13"/>
  <c r="H1442" i="13"/>
  <c r="H1446" i="13"/>
  <c r="H1450" i="13"/>
  <c r="H1454" i="13"/>
  <c r="H1458" i="13"/>
  <c r="H1462" i="13"/>
  <c r="H1466" i="13"/>
  <c r="H1470" i="13"/>
  <c r="H1474" i="13"/>
  <c r="H1478" i="13"/>
  <c r="H1482" i="13"/>
  <c r="H1486" i="13"/>
  <c r="H1490" i="13"/>
  <c r="H1494" i="13"/>
  <c r="H1498" i="13"/>
  <c r="H1502" i="13"/>
  <c r="H1506" i="13"/>
  <c r="H1510" i="13"/>
  <c r="H1514" i="13"/>
  <c r="H1518" i="13"/>
  <c r="H1522" i="13"/>
  <c r="H1526" i="13"/>
  <c r="H1530" i="13"/>
  <c r="H1534" i="13"/>
  <c r="H1538" i="13"/>
  <c r="H1542" i="13"/>
  <c r="H1546" i="13"/>
  <c r="H1550" i="13"/>
  <c r="H1554" i="13"/>
  <c r="H1558" i="13"/>
  <c r="H1562" i="13"/>
  <c r="H1566" i="13"/>
  <c r="H1570" i="13"/>
  <c r="H1574" i="13"/>
  <c r="H1578" i="13"/>
  <c r="H1582" i="13"/>
  <c r="H1586" i="13"/>
  <c r="H1590" i="13"/>
  <c r="H1594" i="13"/>
  <c r="H1598" i="13"/>
  <c r="H1602" i="13"/>
  <c r="H1606" i="13"/>
  <c r="H1610" i="13"/>
  <c r="H1614" i="13"/>
  <c r="H1618" i="13"/>
  <c r="H1622" i="13"/>
  <c r="H1626" i="13"/>
  <c r="H1630" i="13"/>
  <c r="H1634" i="13"/>
  <c r="H1638" i="13"/>
  <c r="H1642" i="13"/>
  <c r="H1646" i="13"/>
  <c r="H1650" i="13"/>
  <c r="H1654" i="13"/>
  <c r="H1658" i="13"/>
  <c r="H1662" i="13"/>
  <c r="H1666" i="13"/>
  <c r="H1670" i="13"/>
  <c r="H1674" i="13"/>
  <c r="H1678" i="13"/>
  <c r="H1682" i="13"/>
  <c r="H1686" i="13"/>
  <c r="H1690" i="13"/>
  <c r="H1694" i="13"/>
  <c r="H1698" i="13"/>
  <c r="H1702" i="13"/>
  <c r="H1706" i="13"/>
  <c r="H1710" i="13"/>
  <c r="H1714" i="13"/>
  <c r="H1718" i="13"/>
  <c r="H1722" i="13"/>
  <c r="H1726" i="13"/>
  <c r="H1730" i="13"/>
  <c r="H1734" i="13"/>
  <c r="H1738" i="13"/>
  <c r="H1742" i="13"/>
  <c r="H1746" i="13"/>
  <c r="H1750" i="13"/>
  <c r="H1754" i="13"/>
  <c r="H1758" i="13"/>
  <c r="H1762" i="13"/>
  <c r="H1766" i="13"/>
  <c r="H1770" i="13"/>
  <c r="H1774" i="13"/>
  <c r="H1778" i="13"/>
  <c r="H1782" i="13"/>
  <c r="H1786" i="13"/>
  <c r="H1790" i="13"/>
  <c r="H1794" i="13"/>
  <c r="H1798" i="13"/>
  <c r="H1802" i="13"/>
  <c r="H1806" i="13"/>
  <c r="H1810" i="13"/>
  <c r="H1814" i="13"/>
  <c r="H1818" i="13"/>
  <c r="H1822" i="13"/>
  <c r="H1826" i="13"/>
  <c r="H1830" i="13"/>
  <c r="H1834" i="13"/>
  <c r="H1838" i="13"/>
  <c r="H1842" i="13"/>
  <c r="H1846" i="13"/>
  <c r="H1850" i="13"/>
  <c r="H1854" i="13"/>
  <c r="H1858" i="13"/>
  <c r="H1862" i="13"/>
  <c r="H1866" i="13"/>
  <c r="H1870" i="13"/>
  <c r="H1874" i="13"/>
  <c r="H1878" i="13"/>
  <c r="H1882" i="13"/>
  <c r="H1886" i="13"/>
  <c r="H1890" i="13"/>
  <c r="H1894" i="13"/>
  <c r="H1898" i="13"/>
  <c r="H1902" i="13"/>
  <c r="H1906" i="13"/>
  <c r="H1910" i="13"/>
  <c r="H1914" i="13"/>
  <c r="H1918" i="13"/>
  <c r="H1922" i="13"/>
  <c r="H1926" i="13"/>
  <c r="H1930" i="13"/>
  <c r="H1934" i="13"/>
  <c r="H1938" i="13"/>
  <c r="H1942" i="13"/>
  <c r="H1946" i="13"/>
  <c r="H1950" i="13"/>
  <c r="H1954" i="13"/>
  <c r="H1958" i="13"/>
  <c r="H1962" i="13"/>
  <c r="H1966" i="13"/>
  <c r="H1970" i="13"/>
  <c r="H1974" i="13"/>
  <c r="H1978" i="13"/>
  <c r="H1982" i="13"/>
  <c r="H1986" i="13"/>
  <c r="H1990" i="13"/>
  <c r="H1994" i="13"/>
  <c r="H1998" i="13"/>
  <c r="H2002" i="13"/>
  <c r="H2006" i="13"/>
  <c r="H2010" i="13"/>
  <c r="H2014" i="13"/>
  <c r="H2018" i="13"/>
  <c r="H2022" i="13"/>
  <c r="H2026" i="13"/>
  <c r="H2030" i="13"/>
  <c r="H2034" i="13"/>
  <c r="H2038" i="13"/>
  <c r="H2042" i="13"/>
  <c r="H2046" i="13"/>
  <c r="H2050" i="13"/>
  <c r="H2054" i="13"/>
  <c r="H2058" i="13"/>
  <c r="H2062" i="13"/>
  <c r="H2066" i="13"/>
  <c r="H2070" i="13"/>
  <c r="H2074" i="13"/>
  <c r="H2078" i="13"/>
  <c r="H2082" i="13"/>
  <c r="H2086" i="13"/>
  <c r="H2090" i="13"/>
  <c r="H2094" i="13"/>
  <c r="H2098" i="13"/>
  <c r="H2102" i="13"/>
  <c r="H2106" i="13"/>
  <c r="H2110" i="13"/>
  <c r="H2114" i="13"/>
  <c r="H2118" i="13"/>
  <c r="H2122" i="13"/>
  <c r="H2126" i="13"/>
  <c r="H2130" i="13"/>
  <c r="H2134" i="13"/>
  <c r="H2138" i="13"/>
  <c r="H2142" i="13"/>
  <c r="H2146" i="13"/>
  <c r="H2150" i="13"/>
  <c r="H2154" i="13"/>
  <c r="H2158" i="13"/>
  <c r="H2162" i="13"/>
  <c r="H2166" i="13"/>
  <c r="H2170" i="13"/>
  <c r="H2174" i="13"/>
  <c r="H2178" i="13"/>
  <c r="H2182" i="13"/>
  <c r="H2186" i="13"/>
  <c r="H2190" i="13"/>
  <c r="H2194" i="13"/>
  <c r="H2198" i="13"/>
  <c r="H2202" i="13"/>
  <c r="H2206" i="13"/>
  <c r="H2210" i="13"/>
  <c r="H2214" i="13"/>
  <c r="H2218" i="13"/>
  <c r="H2222" i="13"/>
  <c r="H2226" i="13"/>
  <c r="H2230" i="13"/>
  <c r="H2234" i="13"/>
  <c r="H2238" i="13"/>
  <c r="H2242" i="13"/>
  <c r="H2246" i="13"/>
  <c r="H2250" i="13"/>
  <c r="H2254" i="13"/>
  <c r="H2258" i="13"/>
  <c r="H2262" i="13"/>
  <c r="H2266" i="13"/>
  <c r="H2270" i="13"/>
  <c r="H2274" i="13"/>
  <c r="H2278" i="13"/>
  <c r="H2282" i="13"/>
  <c r="H2286" i="13"/>
  <c r="H2290" i="13"/>
  <c r="H2294" i="13"/>
  <c r="H2298" i="13"/>
  <c r="H2302" i="13"/>
  <c r="H2306" i="13"/>
  <c r="H2310" i="13"/>
  <c r="H2314" i="13"/>
  <c r="H2318" i="13"/>
  <c r="H2322" i="13"/>
  <c r="H2326" i="13"/>
  <c r="H2330" i="13"/>
  <c r="H2334" i="13"/>
  <c r="H2338" i="13"/>
  <c r="H2342" i="13"/>
  <c r="H2346" i="13"/>
  <c r="H2350" i="13"/>
  <c r="H2354" i="13"/>
  <c r="H2358" i="13"/>
  <c r="H2362" i="13"/>
  <c r="H2366" i="13"/>
  <c r="H2370" i="13"/>
  <c r="H2374" i="13"/>
  <c r="H2378" i="13"/>
  <c r="H2382" i="13"/>
  <c r="H2386" i="13"/>
  <c r="H2390" i="13"/>
  <c r="H2394" i="13"/>
  <c r="H2398" i="13"/>
  <c r="H2402" i="13"/>
  <c r="H2406" i="13"/>
  <c r="H2410" i="13"/>
  <c r="H2414" i="13"/>
  <c r="H2418" i="13"/>
  <c r="H2422" i="13"/>
  <c r="H2426" i="13"/>
  <c r="H2430" i="13"/>
  <c r="H2434" i="13"/>
  <c r="H2438" i="13"/>
  <c r="H2442" i="13"/>
  <c r="H2446" i="13"/>
  <c r="H2450" i="13"/>
  <c r="H2454" i="13"/>
  <c r="H2458" i="13"/>
  <c r="H2462" i="13"/>
  <c r="H2466" i="13"/>
  <c r="H2470" i="13"/>
  <c r="H2474" i="13"/>
  <c r="H2478" i="13"/>
  <c r="H2482" i="13"/>
  <c r="H2486" i="13"/>
  <c r="H2490" i="13"/>
  <c r="H2494" i="13"/>
  <c r="H2498" i="13"/>
  <c r="H2502" i="13"/>
  <c r="H2506" i="13"/>
  <c r="H2510" i="13"/>
  <c r="H2514" i="13"/>
  <c r="H2518" i="13"/>
  <c r="H2522" i="13"/>
  <c r="H2526" i="13"/>
  <c r="H2530" i="13"/>
  <c r="H2534" i="13"/>
  <c r="H2538" i="13"/>
  <c r="H2542" i="13"/>
  <c r="H2546" i="13"/>
  <c r="H2550" i="13"/>
  <c r="H2554" i="13"/>
  <c r="H2558" i="13"/>
  <c r="H2562" i="13"/>
  <c r="H2566" i="13"/>
  <c r="H2570" i="13"/>
  <c r="H2574" i="13"/>
  <c r="H2578" i="13"/>
  <c r="H2582" i="13"/>
  <c r="H2586" i="13"/>
  <c r="H2590" i="13"/>
  <c r="H2594" i="13"/>
  <c r="H2598" i="13"/>
  <c r="H2602" i="13"/>
  <c r="H2606" i="13"/>
  <c r="H2610" i="13"/>
  <c r="H2614" i="13"/>
  <c r="H2618" i="13"/>
  <c r="H2622" i="13"/>
  <c r="H2626" i="13"/>
  <c r="H2630" i="13"/>
  <c r="H2634" i="13"/>
  <c r="H2638" i="13"/>
  <c r="H2642" i="13"/>
  <c r="H2646" i="13"/>
  <c r="H2650" i="13"/>
  <c r="H2654" i="13"/>
  <c r="H2658" i="13"/>
  <c r="H2662" i="13"/>
  <c r="H2666" i="13"/>
  <c r="H2670" i="13"/>
  <c r="H2674" i="13"/>
  <c r="H2678" i="13"/>
  <c r="H2682" i="13"/>
  <c r="H2686" i="13"/>
  <c r="H2690" i="13"/>
  <c r="H2694" i="13"/>
  <c r="H2698" i="13"/>
  <c r="H2702" i="13"/>
  <c r="H2706" i="13"/>
  <c r="H2710" i="13"/>
  <c r="H2714" i="13"/>
  <c r="H2718" i="13"/>
  <c r="H2722" i="13"/>
  <c r="H2726" i="13"/>
  <c r="H2730" i="13"/>
  <c r="H2734" i="13"/>
  <c r="H2738" i="13"/>
  <c r="H2742" i="13"/>
  <c r="H2746" i="13"/>
  <c r="H2750" i="13"/>
  <c r="H2754" i="13"/>
  <c r="H2758" i="13"/>
  <c r="H2762" i="13"/>
  <c r="H2766" i="13"/>
  <c r="H2770" i="13"/>
  <c r="H2774" i="13"/>
  <c r="H2778" i="13"/>
  <c r="H2782" i="13"/>
  <c r="H2786" i="13"/>
  <c r="H2790" i="13"/>
  <c r="H2794" i="13"/>
  <c r="H2798" i="13"/>
  <c r="H2802" i="13"/>
  <c r="H2806" i="13"/>
  <c r="H2810" i="13"/>
  <c r="H2814" i="13"/>
  <c r="H2818" i="13"/>
  <c r="H2822" i="13"/>
  <c r="H2826" i="13"/>
  <c r="H2830" i="13"/>
  <c r="H2834" i="13"/>
  <c r="H2838" i="13"/>
  <c r="H2842" i="13"/>
  <c r="H2846" i="13"/>
  <c r="H2850" i="13"/>
  <c r="H2854" i="13"/>
  <c r="H2858" i="13"/>
  <c r="H2862" i="13"/>
  <c r="H2866" i="13"/>
  <c r="H2870" i="13"/>
  <c r="H2874" i="13"/>
  <c r="H2878" i="13"/>
  <c r="H2882" i="13"/>
  <c r="H2886" i="13"/>
  <c r="H2890" i="13"/>
  <c r="H2894" i="13"/>
  <c r="H2898" i="13"/>
  <c r="H2902" i="13"/>
  <c r="H2906" i="13"/>
  <c r="H2910" i="13"/>
  <c r="H2914" i="13"/>
  <c r="H2918" i="13"/>
  <c r="H2922" i="13"/>
  <c r="H2926" i="13"/>
  <c r="H2930" i="13"/>
  <c r="H2934" i="13"/>
  <c r="H2938" i="13"/>
  <c r="H2942" i="13"/>
  <c r="H2946" i="13"/>
  <c r="H2950" i="13"/>
  <c r="H2954" i="13"/>
  <c r="H2958" i="13"/>
  <c r="H2962" i="13"/>
  <c r="H2966" i="13"/>
  <c r="H2970" i="13"/>
  <c r="H2974" i="13"/>
  <c r="H2978" i="13"/>
  <c r="H2982" i="13"/>
  <c r="H2986" i="13"/>
  <c r="H2990" i="13"/>
  <c r="H2994" i="13"/>
  <c r="H2998" i="13"/>
  <c r="H3002" i="13"/>
  <c r="H3006" i="13"/>
  <c r="H3010" i="13"/>
  <c r="H3014" i="13"/>
  <c r="H3018" i="13"/>
  <c r="H3022" i="13"/>
  <c r="H3026" i="13"/>
  <c r="H3030" i="13"/>
  <c r="H3034" i="13"/>
  <c r="H3038" i="13"/>
  <c r="H3042" i="13"/>
  <c r="H3046" i="13"/>
  <c r="H3050" i="13"/>
  <c r="H3054" i="13"/>
  <c r="H3058" i="13"/>
  <c r="H3062" i="13"/>
  <c r="H3066" i="13"/>
  <c r="H3070" i="13"/>
  <c r="H3074" i="13"/>
  <c r="H3078" i="13"/>
  <c r="H3082" i="13"/>
  <c r="H3086" i="13"/>
  <c r="H3090" i="13"/>
  <c r="H3094" i="13"/>
  <c r="H3098" i="13"/>
  <c r="H3102" i="13"/>
  <c r="H3106" i="13"/>
  <c r="H3110" i="13"/>
  <c r="H3114" i="13"/>
  <c r="H3118" i="13"/>
  <c r="H3122" i="13"/>
  <c r="H3126" i="13"/>
  <c r="H3131" i="13"/>
  <c r="H3137" i="13"/>
  <c r="H3142" i="13"/>
  <c r="H3147" i="13"/>
  <c r="H3153" i="13"/>
  <c r="H3158" i="13"/>
  <c r="H3163" i="13"/>
  <c r="H3169" i="13"/>
  <c r="H3174" i="13"/>
  <c r="H3179" i="13"/>
  <c r="H3185" i="13"/>
  <c r="H3190" i="13"/>
  <c r="H3197" i="13"/>
  <c r="H3205" i="13"/>
  <c r="H3213" i="13"/>
  <c r="H3221" i="13"/>
  <c r="H3229" i="13"/>
  <c r="H3237" i="13"/>
  <c r="H3245" i="13"/>
  <c r="H3253" i="13"/>
  <c r="H3261" i="13"/>
  <c r="H3269" i="13"/>
  <c r="H3277" i="13"/>
  <c r="H3285" i="13"/>
  <c r="H3293" i="13"/>
  <c r="H3301" i="13"/>
  <c r="H3309" i="13"/>
  <c r="H3317" i="13"/>
  <c r="H3325" i="13"/>
  <c r="H3333" i="13"/>
  <c r="H3341" i="13"/>
  <c r="H3349" i="13"/>
  <c r="H3357" i="13"/>
  <c r="H3365" i="13"/>
  <c r="H3373" i="13"/>
  <c r="H3381" i="13"/>
  <c r="H3389" i="13"/>
  <c r="H3397" i="13"/>
  <c r="H3405" i="13"/>
  <c r="H3413" i="13"/>
  <c r="H3421" i="13"/>
  <c r="H3429" i="13"/>
  <c r="H3437" i="13"/>
  <c r="H3445" i="13"/>
  <c r="H3453" i="13"/>
  <c r="H3461" i="13"/>
  <c r="H3469" i="13"/>
  <c r="H3477" i="13"/>
  <c r="H3485" i="13"/>
  <c r="H3493" i="13"/>
  <c r="H3501" i="13"/>
  <c r="H3509" i="13"/>
  <c r="H3517" i="13"/>
  <c r="H3525" i="13"/>
  <c r="H3533" i="13"/>
  <c r="H3541" i="13"/>
  <c r="H3549" i="13"/>
  <c r="H3557" i="13"/>
  <c r="H3565" i="13"/>
  <c r="H3573" i="13"/>
  <c r="H3581" i="13"/>
  <c r="H3589" i="13"/>
  <c r="H3597" i="13"/>
  <c r="H3605" i="13"/>
  <c r="H3613" i="13"/>
  <c r="H3621" i="13"/>
  <c r="H3629" i="13"/>
  <c r="H3637" i="13"/>
  <c r="H3645" i="13"/>
  <c r="H3653" i="13"/>
  <c r="H3661" i="13"/>
  <c r="H3669" i="13"/>
  <c r="H3677" i="13"/>
  <c r="H3685" i="13"/>
  <c r="H3693" i="13"/>
  <c r="H3701" i="13"/>
  <c r="H3709" i="13"/>
  <c r="H3717" i="13"/>
  <c r="H3725" i="13"/>
  <c r="H3733" i="13"/>
  <c r="H3741" i="13"/>
  <c r="H3749" i="13"/>
  <c r="H3757" i="13"/>
  <c r="H3765" i="13"/>
  <c r="H3773" i="13"/>
  <c r="H3781" i="13"/>
  <c r="H3789" i="13"/>
  <c r="H3797" i="13"/>
  <c r="H3805" i="13"/>
  <c r="H3813" i="13"/>
  <c r="H3821" i="13"/>
  <c r="H3829" i="13"/>
  <c r="H3837" i="13"/>
  <c r="H3845" i="13"/>
  <c r="H3853" i="13"/>
  <c r="H3861" i="13"/>
  <c r="H3869" i="13"/>
  <c r="H3877" i="13"/>
  <c r="H3885" i="13"/>
  <c r="H3893" i="13"/>
  <c r="H3901" i="13"/>
  <c r="H3909" i="13"/>
  <c r="H3917" i="13"/>
  <c r="H3925" i="13"/>
  <c r="H3933" i="13"/>
  <c r="H3941" i="13"/>
  <c r="H3949" i="13"/>
  <c r="H3957" i="13"/>
  <c r="H3965" i="13"/>
  <c r="H3973" i="13"/>
  <c r="H3" i="13"/>
  <c r="H7" i="13"/>
  <c r="H11" i="13"/>
  <c r="H15" i="13"/>
  <c r="H19" i="13"/>
  <c r="H23" i="13"/>
  <c r="H27" i="13"/>
  <c r="H31" i="13"/>
  <c r="H35" i="13"/>
  <c r="H39" i="13"/>
  <c r="H43" i="13"/>
  <c r="H47" i="13"/>
  <c r="H51" i="13"/>
  <c r="H55" i="13"/>
  <c r="H59" i="13"/>
  <c r="H63" i="13"/>
  <c r="H67" i="13"/>
  <c r="H71" i="13"/>
  <c r="H75" i="13"/>
  <c r="H79" i="13"/>
  <c r="H83" i="13"/>
  <c r="H87" i="13"/>
  <c r="H91" i="13"/>
  <c r="H95" i="13"/>
  <c r="H99" i="13"/>
  <c r="H103" i="13"/>
  <c r="H107" i="13"/>
  <c r="H111" i="13"/>
  <c r="H115" i="13"/>
  <c r="H119" i="13"/>
  <c r="H123" i="13"/>
  <c r="H127" i="13"/>
  <c r="H131" i="13"/>
  <c r="H135" i="13"/>
  <c r="H139" i="13"/>
  <c r="H143" i="13"/>
  <c r="H147" i="13"/>
  <c r="H151" i="13"/>
  <c r="H155" i="13"/>
  <c r="H159" i="13"/>
  <c r="H163" i="13"/>
  <c r="H167" i="13"/>
  <c r="H171" i="13"/>
  <c r="H175" i="13"/>
  <c r="H179" i="13"/>
  <c r="H183" i="13"/>
  <c r="H187" i="13"/>
  <c r="H191" i="13"/>
  <c r="H195" i="13"/>
  <c r="H199" i="13"/>
  <c r="H203" i="13"/>
  <c r="H207" i="13"/>
  <c r="H211" i="13"/>
  <c r="H215" i="13"/>
  <c r="H219" i="13"/>
  <c r="H223" i="13"/>
  <c r="H227" i="13"/>
  <c r="H231" i="13"/>
  <c r="H235" i="13"/>
  <c r="H239" i="13"/>
  <c r="H243" i="13"/>
  <c r="H247" i="13"/>
  <c r="H251" i="13"/>
  <c r="H255" i="13"/>
  <c r="H259" i="13"/>
  <c r="H263" i="13"/>
  <c r="H267" i="13"/>
  <c r="H271" i="13"/>
  <c r="H275" i="13"/>
  <c r="H279" i="13"/>
  <c r="H283" i="13"/>
  <c r="H287" i="13"/>
  <c r="H291" i="13"/>
  <c r="H295" i="13"/>
  <c r="H299" i="13"/>
  <c r="H303" i="13"/>
  <c r="H307" i="13"/>
  <c r="H311" i="13"/>
  <c r="H315" i="13"/>
  <c r="H319" i="13"/>
  <c r="H323" i="13"/>
  <c r="H327" i="13"/>
  <c r="H331" i="13"/>
  <c r="H335" i="13"/>
  <c r="H339" i="13"/>
  <c r="H343" i="13"/>
  <c r="H347" i="13"/>
  <c r="H351" i="13"/>
  <c r="H355" i="13"/>
  <c r="H359" i="13"/>
  <c r="H363" i="13"/>
  <c r="H367" i="13"/>
  <c r="H371" i="13"/>
  <c r="H375" i="13"/>
  <c r="H379" i="13"/>
  <c r="H383" i="13"/>
  <c r="H387" i="13"/>
  <c r="H391" i="13"/>
  <c r="H395" i="13"/>
  <c r="H399" i="13"/>
  <c r="H403" i="13"/>
  <c r="H407" i="13"/>
  <c r="H411" i="13"/>
  <c r="H415" i="13"/>
  <c r="H419" i="13"/>
  <c r="H423" i="13"/>
  <c r="H427" i="13"/>
  <c r="H431" i="13"/>
  <c r="H435" i="13"/>
  <c r="H439" i="13"/>
  <c r="H443" i="13"/>
  <c r="H447" i="13"/>
  <c r="H451" i="13"/>
  <c r="H455" i="13"/>
  <c r="H459" i="13"/>
  <c r="H463" i="13"/>
  <c r="H467" i="13"/>
  <c r="H471" i="13"/>
  <c r="H475" i="13"/>
  <c r="H479" i="13"/>
  <c r="H483" i="13"/>
  <c r="H487" i="13"/>
  <c r="H491" i="13"/>
  <c r="H495" i="13"/>
  <c r="H499" i="13"/>
  <c r="H503" i="13"/>
  <c r="H507" i="13"/>
  <c r="H511" i="13"/>
  <c r="H515" i="13"/>
  <c r="H519" i="13"/>
  <c r="H523" i="13"/>
  <c r="H527" i="13"/>
  <c r="H531" i="13"/>
  <c r="H535" i="13"/>
  <c r="H539" i="13"/>
  <c r="H543" i="13"/>
  <c r="H547" i="13"/>
  <c r="H551" i="13"/>
  <c r="H555" i="13"/>
  <c r="H559" i="13"/>
  <c r="H563" i="13"/>
  <c r="H567" i="13"/>
  <c r="H571" i="13"/>
  <c r="H575" i="13"/>
  <c r="H579" i="13"/>
  <c r="H583" i="13"/>
  <c r="H587" i="13"/>
  <c r="H591" i="13"/>
  <c r="H595" i="13"/>
  <c r="H599" i="13"/>
  <c r="H603" i="13"/>
  <c r="H607" i="13"/>
  <c r="H611" i="13"/>
  <c r="H615" i="13"/>
  <c r="H619" i="13"/>
  <c r="H623" i="13"/>
  <c r="H627" i="13"/>
  <c r="H631" i="13"/>
  <c r="H635" i="13"/>
  <c r="H639" i="13"/>
  <c r="H643" i="13"/>
  <c r="H647" i="13"/>
  <c r="H651" i="13"/>
  <c r="H655" i="13"/>
  <c r="H659" i="13"/>
  <c r="H663" i="13"/>
  <c r="H667" i="13"/>
  <c r="H671" i="13"/>
  <c r="H675" i="13"/>
  <c r="H679" i="13"/>
  <c r="H683" i="13"/>
  <c r="H687" i="13"/>
  <c r="H691" i="13"/>
  <c r="H695" i="13"/>
  <c r="H699" i="13"/>
  <c r="H703" i="13"/>
  <c r="H707" i="13"/>
  <c r="H711" i="13"/>
  <c r="H715" i="13"/>
  <c r="H719" i="13"/>
  <c r="H723" i="13"/>
  <c r="H727" i="13"/>
  <c r="H731" i="13"/>
  <c r="H735" i="13"/>
  <c r="H739" i="13"/>
  <c r="H743" i="13"/>
  <c r="H747" i="13"/>
  <c r="H751" i="13"/>
  <c r="H755" i="13"/>
  <c r="H759" i="13"/>
  <c r="H763" i="13"/>
  <c r="H767" i="13"/>
  <c r="H771" i="13"/>
  <c r="H775" i="13"/>
  <c r="H779" i="13"/>
  <c r="H783" i="13"/>
  <c r="H787" i="13"/>
  <c r="H791" i="13"/>
  <c r="H795" i="13"/>
  <c r="H799" i="13"/>
  <c r="H803" i="13"/>
  <c r="H807" i="13"/>
  <c r="H811" i="13"/>
  <c r="H815" i="13"/>
  <c r="H819" i="13"/>
  <c r="H823" i="13"/>
  <c r="H827" i="13"/>
  <c r="H831" i="13"/>
  <c r="H835" i="13"/>
  <c r="H839" i="13"/>
  <c r="H843" i="13"/>
  <c r="H847" i="13"/>
  <c r="H851" i="13"/>
  <c r="H855" i="13"/>
  <c r="H859" i="13"/>
  <c r="H863" i="13"/>
  <c r="H867" i="13"/>
  <c r="H871" i="13"/>
  <c r="H875" i="13"/>
  <c r="H879" i="13"/>
  <c r="H883" i="13"/>
  <c r="H887" i="13"/>
  <c r="H891" i="13"/>
  <c r="H895" i="13"/>
  <c r="H899" i="13"/>
  <c r="H903" i="13"/>
  <c r="H907" i="13"/>
  <c r="H911" i="13"/>
  <c r="H915" i="13"/>
  <c r="H919" i="13"/>
  <c r="H923" i="13"/>
  <c r="H927" i="13"/>
  <c r="H931" i="13"/>
  <c r="H935" i="13"/>
  <c r="H939" i="13"/>
  <c r="H943" i="13"/>
  <c r="H947" i="13"/>
  <c r="H951" i="13"/>
  <c r="H955" i="13"/>
  <c r="H959" i="13"/>
  <c r="H963" i="13"/>
  <c r="H967" i="13"/>
  <c r="H971" i="13"/>
  <c r="H975" i="13"/>
  <c r="H979" i="13"/>
  <c r="H983" i="13"/>
  <c r="H987" i="13"/>
  <c r="H991" i="13"/>
  <c r="H995" i="13"/>
  <c r="H999" i="13"/>
  <c r="H1003" i="13"/>
  <c r="H1007" i="13"/>
  <c r="H1011" i="13"/>
  <c r="H1015" i="13"/>
  <c r="H1019" i="13"/>
  <c r="H1023" i="13"/>
  <c r="H1027" i="13"/>
  <c r="H1031" i="13"/>
  <c r="H1035" i="13"/>
  <c r="H1039" i="13"/>
  <c r="H1043" i="13"/>
  <c r="H1047" i="13"/>
  <c r="H1051" i="13"/>
  <c r="H1055" i="13"/>
  <c r="H1059" i="13"/>
  <c r="H1063" i="13"/>
  <c r="H1067" i="13"/>
  <c r="H1071" i="13"/>
  <c r="H1075" i="13"/>
  <c r="H1079" i="13"/>
  <c r="H1083" i="13"/>
  <c r="H1087" i="13"/>
  <c r="H1091" i="13"/>
  <c r="H1095" i="13"/>
  <c r="H1099" i="13"/>
  <c r="H1103" i="13"/>
  <c r="H1107" i="13"/>
  <c r="H1111" i="13"/>
  <c r="H1115" i="13"/>
  <c r="H1119" i="13"/>
  <c r="H1123" i="13"/>
  <c r="H1127" i="13"/>
  <c r="H1131" i="13"/>
  <c r="H1135" i="13"/>
  <c r="H1139" i="13"/>
  <c r="H1143" i="13"/>
  <c r="H1147" i="13"/>
  <c r="H1151" i="13"/>
  <c r="H1155" i="13"/>
  <c r="H1159" i="13"/>
  <c r="H1163" i="13"/>
  <c r="H1167" i="13"/>
  <c r="H1171" i="13"/>
  <c r="H1175" i="13"/>
  <c r="H1179" i="13"/>
  <c r="H1183" i="13"/>
  <c r="H1187" i="13"/>
  <c r="H1191" i="13"/>
  <c r="H1195" i="13"/>
  <c r="H1199" i="13"/>
  <c r="H1203" i="13"/>
  <c r="H1207" i="13"/>
  <c r="H1211" i="13"/>
  <c r="H1215" i="13"/>
  <c r="H1219" i="13"/>
  <c r="H1223" i="13"/>
  <c r="H1227" i="13"/>
  <c r="H1231" i="13"/>
  <c r="H1235" i="13"/>
  <c r="H1239" i="13"/>
  <c r="H1243" i="13"/>
  <c r="H1247" i="13"/>
  <c r="H1251" i="13"/>
  <c r="H1255" i="13"/>
  <c r="H1259" i="13"/>
  <c r="H1263" i="13"/>
  <c r="H1267" i="13"/>
  <c r="H1271" i="13"/>
  <c r="H1275" i="13"/>
  <c r="H1279" i="13"/>
  <c r="H1283" i="13"/>
  <c r="H1287" i="13"/>
  <c r="H1291" i="13"/>
  <c r="H1295" i="13"/>
  <c r="H1299" i="13"/>
  <c r="H1303" i="13"/>
  <c r="H1307" i="13"/>
  <c r="H1311" i="13"/>
  <c r="H1315" i="13"/>
  <c r="H1319" i="13"/>
  <c r="H1323" i="13"/>
  <c r="H1327" i="13"/>
  <c r="H1331" i="13"/>
  <c r="H1335" i="13"/>
  <c r="H1339" i="13"/>
  <c r="H1343" i="13"/>
  <c r="H1347" i="13"/>
  <c r="H1351" i="13"/>
  <c r="H1355" i="13"/>
  <c r="H1359" i="13"/>
  <c r="H1363" i="13"/>
  <c r="H1367" i="13"/>
  <c r="H1371" i="13"/>
  <c r="H1375" i="13"/>
  <c r="H1379" i="13"/>
  <c r="H1383" i="13"/>
  <c r="H1387" i="13"/>
  <c r="H1391" i="13"/>
  <c r="H1395" i="13"/>
  <c r="H1399" i="13"/>
  <c r="H1403" i="13"/>
  <c r="H1407" i="13"/>
  <c r="H1411" i="13"/>
  <c r="H1415" i="13"/>
  <c r="H1419" i="13"/>
  <c r="H1423" i="13"/>
  <c r="H1427" i="13"/>
  <c r="H1431" i="13"/>
  <c r="H1435" i="13"/>
  <c r="H1439" i="13"/>
  <c r="H1443" i="13"/>
  <c r="H1447" i="13"/>
  <c r="H1451" i="13"/>
  <c r="H1455" i="13"/>
  <c r="H1459" i="13"/>
  <c r="H1463" i="13"/>
  <c r="H1467" i="13"/>
  <c r="H1471" i="13"/>
  <c r="H1475" i="13"/>
  <c r="H1479" i="13"/>
  <c r="H1483" i="13"/>
  <c r="H1487" i="13"/>
  <c r="H1491" i="13"/>
  <c r="H1495" i="13"/>
  <c r="H1499" i="13"/>
  <c r="H1503" i="13"/>
  <c r="H1507" i="13"/>
  <c r="H1511" i="13"/>
  <c r="H1515" i="13"/>
  <c r="H1519" i="13"/>
  <c r="H1523" i="13"/>
  <c r="H1527" i="13"/>
  <c r="H1531" i="13"/>
  <c r="H1535" i="13"/>
  <c r="H1539" i="13"/>
  <c r="H1543" i="13"/>
  <c r="H1547" i="13"/>
  <c r="H1551" i="13"/>
  <c r="H1555" i="13"/>
  <c r="H1559" i="13"/>
  <c r="H1563" i="13"/>
  <c r="H1567" i="13"/>
  <c r="H1571" i="13"/>
  <c r="H1575" i="13"/>
  <c r="H1579" i="13"/>
  <c r="H1583" i="13"/>
  <c r="H1587" i="13"/>
  <c r="H1591" i="13"/>
  <c r="H1595" i="13"/>
  <c r="H1599" i="13"/>
  <c r="H1603" i="13"/>
  <c r="H1607" i="13"/>
  <c r="H1611" i="13"/>
  <c r="H1615" i="13"/>
  <c r="H1619" i="13"/>
  <c r="H1623" i="13"/>
  <c r="H1627" i="13"/>
  <c r="H1631" i="13"/>
  <c r="H1635" i="13"/>
  <c r="H1639" i="13"/>
  <c r="H1643" i="13"/>
  <c r="H1647" i="13"/>
  <c r="H1651" i="13"/>
  <c r="H1655" i="13"/>
  <c r="H1659" i="13"/>
  <c r="H1663" i="13"/>
  <c r="H1667" i="13"/>
  <c r="H1671" i="13"/>
  <c r="H1675" i="13"/>
  <c r="H1679" i="13"/>
  <c r="H1683" i="13"/>
  <c r="H1687" i="13"/>
  <c r="H1691" i="13"/>
  <c r="H1695" i="13"/>
  <c r="H1699" i="13"/>
  <c r="H1703" i="13"/>
  <c r="H1707" i="13"/>
  <c r="H1711" i="13"/>
  <c r="H1715" i="13"/>
  <c r="H1719" i="13"/>
  <c r="H1723" i="13"/>
  <c r="H1727" i="13"/>
  <c r="H1731" i="13"/>
  <c r="H1735" i="13"/>
  <c r="H1739" i="13"/>
  <c r="H1743" i="13"/>
  <c r="H1747" i="13"/>
  <c r="H1751" i="13"/>
  <c r="H1755" i="13"/>
  <c r="H1759" i="13"/>
  <c r="H1763" i="13"/>
  <c r="H1767" i="13"/>
  <c r="H1771" i="13"/>
  <c r="H1775" i="13"/>
  <c r="H1779" i="13"/>
  <c r="H1783" i="13"/>
  <c r="H1787" i="13"/>
  <c r="H1791" i="13"/>
  <c r="H1795" i="13"/>
  <c r="H1799" i="13"/>
  <c r="H1803" i="13"/>
  <c r="H1807" i="13"/>
  <c r="H1811" i="13"/>
  <c r="H1815" i="13"/>
  <c r="H1819" i="13"/>
  <c r="H1823" i="13"/>
  <c r="H1827" i="13"/>
  <c r="H1831" i="13"/>
  <c r="H1835" i="13"/>
  <c r="H1839" i="13"/>
  <c r="H1843" i="13"/>
  <c r="H1847" i="13"/>
  <c r="H1851" i="13"/>
  <c r="H1855" i="13"/>
  <c r="H1859" i="13"/>
  <c r="H1863" i="13"/>
  <c r="H1867" i="13"/>
  <c r="H1871" i="13"/>
  <c r="H1875" i="13"/>
  <c r="H1879" i="13"/>
  <c r="H1883" i="13"/>
  <c r="H1887" i="13"/>
  <c r="H1891" i="13"/>
  <c r="H1895" i="13"/>
  <c r="H1899" i="13"/>
  <c r="H1903" i="13"/>
  <c r="H1907" i="13"/>
  <c r="H1911" i="13"/>
  <c r="H1915" i="13"/>
  <c r="H1919" i="13"/>
  <c r="H1923" i="13"/>
  <c r="H1927" i="13"/>
  <c r="H1931" i="13"/>
  <c r="H1935" i="13"/>
  <c r="H1939" i="13"/>
  <c r="H1943" i="13"/>
  <c r="H1947" i="13"/>
  <c r="H1951" i="13"/>
  <c r="H1955" i="13"/>
  <c r="H1959" i="13"/>
  <c r="H1963" i="13"/>
  <c r="H1967" i="13"/>
  <c r="H1971" i="13"/>
  <c r="H1975" i="13"/>
  <c r="H1979" i="13"/>
  <c r="H1983" i="13"/>
  <c r="H1987" i="13"/>
  <c r="H1991" i="13"/>
  <c r="H1995" i="13"/>
  <c r="H1999" i="13"/>
  <c r="H2003" i="13"/>
  <c r="H2007" i="13"/>
  <c r="H2011" i="13"/>
  <c r="H2015" i="13"/>
  <c r="H2019" i="13"/>
  <c r="H2023" i="13"/>
  <c r="H2027" i="13"/>
  <c r="H2031" i="13"/>
  <c r="H2035" i="13"/>
  <c r="H2039" i="13"/>
  <c r="H2043" i="13"/>
  <c r="H2047" i="13"/>
  <c r="H2051" i="13"/>
  <c r="H2055" i="13"/>
  <c r="H2059" i="13"/>
  <c r="H2063" i="13"/>
  <c r="H2067" i="13"/>
  <c r="H2071" i="13"/>
  <c r="H2075" i="13"/>
  <c r="H2079" i="13"/>
  <c r="H2083" i="13"/>
  <c r="H2087" i="13"/>
  <c r="H2091" i="13"/>
  <c r="H2095" i="13"/>
  <c r="H2099" i="13"/>
  <c r="H2103" i="13"/>
  <c r="H2107" i="13"/>
  <c r="H2111" i="13"/>
  <c r="H2115" i="13"/>
  <c r="H2119" i="13"/>
  <c r="H2123" i="13"/>
  <c r="H2127" i="13"/>
  <c r="H2131" i="13"/>
  <c r="H2135" i="13"/>
  <c r="H2139" i="13"/>
  <c r="H2143" i="13"/>
  <c r="H2147" i="13"/>
  <c r="H2151" i="13"/>
  <c r="H2155" i="13"/>
  <c r="H2159" i="13"/>
  <c r="H2163" i="13"/>
  <c r="H2167" i="13"/>
  <c r="H2171" i="13"/>
  <c r="H2175" i="13"/>
  <c r="H2179" i="13"/>
  <c r="H2183" i="13"/>
  <c r="H2187" i="13"/>
  <c r="H2191" i="13"/>
  <c r="H2195" i="13"/>
  <c r="H2199" i="13"/>
  <c r="H2203" i="13"/>
  <c r="H2207" i="13"/>
  <c r="H2211" i="13"/>
  <c r="H2215" i="13"/>
  <c r="H2219" i="13"/>
  <c r="H2223" i="13"/>
  <c r="H2227" i="13"/>
  <c r="H2231" i="13"/>
  <c r="H2235" i="13"/>
  <c r="H2239" i="13"/>
  <c r="H2243" i="13"/>
  <c r="H2247" i="13"/>
  <c r="H2251" i="13"/>
  <c r="H2255" i="13"/>
  <c r="H2259" i="13"/>
  <c r="H2263" i="13"/>
  <c r="H2267" i="13"/>
  <c r="H2271" i="13"/>
  <c r="H2275" i="13"/>
  <c r="H2279" i="13"/>
  <c r="H2283" i="13"/>
  <c r="H2287" i="13"/>
  <c r="H2291" i="13"/>
  <c r="H2295" i="13"/>
  <c r="H2299" i="13"/>
  <c r="H2303" i="13"/>
  <c r="H2307" i="13"/>
  <c r="H2311" i="13"/>
  <c r="H2315" i="13"/>
  <c r="H2319" i="13"/>
  <c r="H2323" i="13"/>
  <c r="H2327" i="13"/>
  <c r="H2331" i="13"/>
  <c r="H2335" i="13"/>
  <c r="H2339" i="13"/>
  <c r="H2343" i="13"/>
  <c r="H2347" i="13"/>
  <c r="H2351" i="13"/>
  <c r="H2355" i="13"/>
  <c r="H2359" i="13"/>
  <c r="H2363" i="13"/>
  <c r="H2367" i="13"/>
  <c r="H2371" i="13"/>
  <c r="H2375" i="13"/>
  <c r="H2379" i="13"/>
  <c r="H2383" i="13"/>
  <c r="H2387" i="13"/>
  <c r="H2391" i="13"/>
  <c r="H2395" i="13"/>
  <c r="H2399" i="13"/>
  <c r="H2403" i="13"/>
  <c r="H2407" i="13"/>
  <c r="H2411" i="13"/>
  <c r="H2415" i="13"/>
  <c r="H2419" i="13"/>
  <c r="H2423" i="13"/>
  <c r="H2427" i="13"/>
  <c r="H2431" i="13"/>
  <c r="H2435" i="13"/>
  <c r="H2439" i="13"/>
  <c r="H2443" i="13"/>
  <c r="H2447" i="13"/>
  <c r="H2451" i="13"/>
  <c r="H2455" i="13"/>
  <c r="H2459" i="13"/>
  <c r="H2463" i="13"/>
  <c r="H2467" i="13"/>
  <c r="H2471" i="13"/>
  <c r="H2475" i="13"/>
  <c r="H2479" i="13"/>
  <c r="H2483" i="13"/>
  <c r="H2487" i="13"/>
  <c r="H2491" i="13"/>
  <c r="H2495" i="13"/>
  <c r="H2499" i="13"/>
  <c r="H2503" i="13"/>
  <c r="H2507" i="13"/>
  <c r="H2511" i="13"/>
  <c r="H2515" i="13"/>
  <c r="H2519" i="13"/>
  <c r="H2523" i="13"/>
  <c r="H2527" i="13"/>
  <c r="H2531" i="13"/>
  <c r="H2535" i="13"/>
  <c r="H2539" i="13"/>
  <c r="H2543" i="13"/>
  <c r="H2547" i="13"/>
  <c r="H2551" i="13"/>
  <c r="H2555" i="13"/>
  <c r="H2559" i="13"/>
  <c r="H2563" i="13"/>
  <c r="H2567" i="13"/>
  <c r="H2571" i="13"/>
  <c r="H2575" i="13"/>
  <c r="H2579" i="13"/>
  <c r="H2583" i="13"/>
  <c r="H2587" i="13"/>
  <c r="H2591" i="13"/>
  <c r="H2595" i="13"/>
  <c r="H2599" i="13"/>
  <c r="H2603" i="13"/>
  <c r="H2607" i="13"/>
  <c r="H2611" i="13"/>
  <c r="H2615" i="13"/>
  <c r="H2619" i="13"/>
  <c r="H2623" i="13"/>
  <c r="H2627" i="13"/>
  <c r="H2631" i="13"/>
  <c r="H2635" i="13"/>
  <c r="H2639" i="13"/>
  <c r="H2643" i="13"/>
  <c r="H2647" i="13"/>
  <c r="H2651" i="13"/>
  <c r="H2655" i="13"/>
  <c r="H2659" i="13"/>
  <c r="H2663" i="13"/>
  <c r="H2667" i="13"/>
  <c r="H2671" i="13"/>
  <c r="H2675" i="13"/>
  <c r="H2679" i="13"/>
  <c r="H2683" i="13"/>
  <c r="H2687" i="13"/>
  <c r="H2691" i="13"/>
  <c r="H2695" i="13"/>
  <c r="H2699" i="13"/>
  <c r="H2703" i="13"/>
  <c r="H2707" i="13"/>
  <c r="H2711" i="13"/>
  <c r="H2715" i="13"/>
  <c r="H2719" i="13"/>
  <c r="H2723" i="13"/>
  <c r="H2727" i="13"/>
  <c r="H2731" i="13"/>
  <c r="H2735" i="13"/>
  <c r="H2739" i="13"/>
  <c r="H2743" i="13"/>
  <c r="H2747" i="13"/>
  <c r="H2751" i="13"/>
  <c r="H2755" i="13"/>
  <c r="H2759" i="13"/>
  <c r="H2763" i="13"/>
  <c r="H2767" i="13"/>
  <c r="H2771" i="13"/>
  <c r="H2775" i="13"/>
  <c r="H2779" i="13"/>
  <c r="H2783" i="13"/>
  <c r="H2787" i="13"/>
  <c r="H2791" i="13"/>
  <c r="H2795" i="13"/>
  <c r="H2799" i="13"/>
  <c r="H2803" i="13"/>
  <c r="H2807" i="13"/>
  <c r="H2811" i="13"/>
  <c r="H2815" i="13"/>
  <c r="H2819" i="13"/>
  <c r="H2823" i="13"/>
  <c r="H2827" i="13"/>
  <c r="H2831" i="13"/>
  <c r="H2835" i="13"/>
  <c r="H2839" i="13"/>
  <c r="H2843" i="13"/>
  <c r="H2847" i="13"/>
  <c r="H2851" i="13"/>
  <c r="H2855" i="13"/>
  <c r="H2859" i="13"/>
  <c r="H2863" i="13"/>
  <c r="H2867" i="13"/>
  <c r="H2871" i="13"/>
  <c r="H2875" i="13"/>
  <c r="H2879" i="13"/>
  <c r="H2883" i="13"/>
  <c r="H2887" i="13"/>
  <c r="H2891" i="13"/>
  <c r="H2895" i="13"/>
  <c r="H2899" i="13"/>
  <c r="H2903" i="13"/>
  <c r="H2907" i="13"/>
  <c r="H2911" i="13"/>
  <c r="H2915" i="13"/>
  <c r="H2919" i="13"/>
  <c r="H2923" i="13"/>
  <c r="H2927" i="13"/>
  <c r="H2931" i="13"/>
  <c r="H2935" i="13"/>
  <c r="H2939" i="13"/>
  <c r="H2943" i="13"/>
  <c r="H2947" i="13"/>
  <c r="H2951" i="13"/>
  <c r="H2955" i="13"/>
  <c r="H2959" i="13"/>
  <c r="H2963" i="13"/>
  <c r="H2967" i="13"/>
  <c r="H2971" i="13"/>
  <c r="H2975" i="13"/>
  <c r="H2979" i="13"/>
  <c r="H2983" i="13"/>
  <c r="H2987" i="13"/>
  <c r="H2991" i="13"/>
  <c r="H2995" i="13"/>
  <c r="H2999" i="13"/>
  <c r="H3003" i="13"/>
  <c r="H3007" i="13"/>
  <c r="H3011" i="13"/>
  <c r="H3015" i="13"/>
  <c r="H3019" i="13"/>
  <c r="H3023" i="13"/>
  <c r="H3027" i="13"/>
  <c r="H3031" i="13"/>
  <c r="H3035" i="13"/>
  <c r="H3039" i="13"/>
  <c r="H3043" i="13"/>
  <c r="H3047" i="13"/>
  <c r="H3051" i="13"/>
  <c r="H3055" i="13"/>
  <c r="H3059" i="13"/>
  <c r="H3063" i="13"/>
  <c r="H3067" i="13"/>
  <c r="H3071" i="13"/>
  <c r="H3075" i="13"/>
  <c r="H3079" i="13"/>
  <c r="H3083" i="13"/>
  <c r="H3087" i="13"/>
  <c r="H3091" i="13"/>
  <c r="H3095" i="13"/>
  <c r="H3099" i="13"/>
  <c r="H3103" i="13"/>
  <c r="H3107" i="13"/>
  <c r="H3111" i="13"/>
  <c r="H3115" i="13"/>
  <c r="H3119" i="13"/>
  <c r="H3123" i="13"/>
  <c r="H3127" i="13"/>
  <c r="H3133" i="13"/>
  <c r="H3138" i="13"/>
  <c r="H3143" i="13"/>
  <c r="H3149" i="13"/>
  <c r="H3154" i="13"/>
  <c r="H3159" i="13"/>
  <c r="H3165" i="13"/>
  <c r="H3170" i="13"/>
  <c r="H3175" i="13"/>
  <c r="H3181" i="13"/>
  <c r="H3186" i="13"/>
  <c r="H3191" i="13"/>
  <c r="H3198" i="13"/>
  <c r="H3206" i="13"/>
  <c r="H3214" i="13"/>
  <c r="H3222" i="13"/>
  <c r="H3230" i="13"/>
  <c r="H3238" i="13"/>
  <c r="H3246" i="13"/>
  <c r="H3254" i="13"/>
  <c r="H3262" i="13"/>
  <c r="H3270" i="13"/>
  <c r="H3278" i="13"/>
  <c r="H3286" i="13"/>
  <c r="H3294" i="13"/>
  <c r="H3302" i="13"/>
  <c r="H3310" i="13"/>
  <c r="H3318" i="13"/>
  <c r="H3326" i="13"/>
  <c r="H3334" i="13"/>
  <c r="H3342" i="13"/>
  <c r="H3350" i="13"/>
  <c r="H3358" i="13"/>
  <c r="H3366" i="13"/>
  <c r="H3374" i="13"/>
  <c r="H3382" i="13"/>
  <c r="H3390" i="13"/>
  <c r="H3398" i="13"/>
  <c r="H3406" i="13"/>
  <c r="H3414" i="13"/>
  <c r="H3422" i="13"/>
  <c r="H3430" i="13"/>
  <c r="H3438" i="13"/>
  <c r="H3446" i="13"/>
  <c r="H3454" i="13"/>
  <c r="H3462" i="13"/>
  <c r="H3470" i="13"/>
  <c r="H3478" i="13"/>
  <c r="H3486" i="13"/>
  <c r="H3494" i="13"/>
  <c r="H3502" i="13"/>
  <c r="H3510" i="13"/>
  <c r="H3518" i="13"/>
  <c r="H3526" i="13"/>
  <c r="H3534" i="13"/>
  <c r="H3542" i="13"/>
  <c r="H3550" i="13"/>
  <c r="H3558" i="13"/>
  <c r="H3566" i="13"/>
  <c r="H3574" i="13"/>
  <c r="H3582" i="13"/>
  <c r="H3590" i="13"/>
  <c r="H3598" i="13"/>
  <c r="H3606" i="13"/>
  <c r="H3614" i="13"/>
  <c r="H3622" i="13"/>
  <c r="H3630" i="13"/>
  <c r="H3638" i="13"/>
  <c r="H3646" i="13"/>
  <c r="H3654" i="13"/>
  <c r="H3662" i="13"/>
  <c r="H3670" i="13"/>
  <c r="H3678" i="13"/>
  <c r="H3686" i="13"/>
  <c r="H3694" i="13"/>
  <c r="H3702" i="13"/>
  <c r="H3710" i="13"/>
  <c r="H3718" i="13"/>
  <c r="H3726" i="13"/>
  <c r="H3734" i="13"/>
  <c r="H3742" i="13"/>
  <c r="H3750" i="13"/>
  <c r="H3758" i="13"/>
  <c r="H3766" i="13"/>
  <c r="H3774" i="13"/>
  <c r="H3782" i="13"/>
  <c r="H3790" i="13"/>
  <c r="H3798" i="13"/>
  <c r="H3806" i="13"/>
  <c r="H3814" i="13"/>
  <c r="H3822" i="13"/>
  <c r="H3830" i="13"/>
  <c r="H3838" i="13"/>
  <c r="H3846" i="13"/>
  <c r="H3854" i="13"/>
  <c r="H3862" i="13"/>
  <c r="H3870" i="13"/>
  <c r="H3878" i="13"/>
  <c r="H3886" i="13"/>
  <c r="H3894" i="13"/>
  <c r="H3902" i="13"/>
  <c r="H3910" i="13"/>
  <c r="H3918" i="13"/>
  <c r="H3926" i="13"/>
  <c r="H3934" i="13"/>
  <c r="H3942" i="13"/>
  <c r="H3950" i="13"/>
  <c r="H3958" i="13"/>
  <c r="H3966" i="13"/>
  <c r="H3974" i="13"/>
</calcChain>
</file>

<file path=xl/comments1.xml><?xml version="1.0" encoding="utf-8"?>
<comments xmlns="http://schemas.openxmlformats.org/spreadsheetml/2006/main">
  <authors>
    <author/>
  </authors>
  <commentList>
    <comment ref="H1" authorId="0" shapeId="0">
      <text>
        <r>
          <rPr>
            <sz val="10"/>
            <color rgb="FF000000"/>
            <rFont val="Arial"/>
            <scheme val="minor"/>
          </rPr>
          <t xml:space="preserve">function getNewOrders() {
  var BASE_URL = 'https://draftpics.ca/wp-json/wc/v3/orders'; 
  var CONSUMER_KEY = 'ck_00d5c03049c6e3bcaeee58c12a054345e3f6956c';
  var CONSUMER_SECRET = 'cs_e686b0dab8ffbf3e53555d86a25f9dfe5bb05f82';
  var SHEET_NAME = 'From Woocommerce';
  var sheet = SpreadsheetApp.getActiveSpreadsheet().getSheetByName('From Woocommerce');
  var lastRow = sheet.getLastRow();
  var lastDate = lastRow &gt; 1 ? sheet.getRange(lastRow, 2).getValue() : null;
  var per_page = 100;  // Maximum allowed value
  var page = 1;
  // Add headers
  if(lastRow === 0) {
    sheet.appendRow(["Order ID", "Date", "Status", "Total", "Organization"]);
  }
  while(true) {
    var endpoint = '?consumer_key=' + CONSUMER_KEY + '&amp;consumer_secret=' + CONSUMER_SECRET +
      '&amp;per_page=' + per_page + '&amp;page=' + page +
      (lastDate ? '&amp;after=' + Utilities.formatDate(new Date(lastDate), Session.getScriptTimeZone(), "yyyy-MM-dd'T'HH:mm:ss") : '');
    var options = {
      'muteHttpExceptions': true,
      'method' : 'get'
    };
    var response = UrlFetchApp.fetch(BASE_URL + endpoint, options);
    if(response.getResponseCode() == 200){
      var json = response.getContentText();
      var orders = JSON.parse(json);
      if(orders.length === 0) {
        break;  // Exit the loop when no more orders are found
      }
      for(var i=0; i&lt;orders.length; i++){
        var order = orders[i];
        var rowData = [];
        rowData.push(order.id, order.date_created, order.status, order.total);
        // Look for 'billing_billing_league' or '_billing_league_organization' in meta_data and push it to rowData
        var organization = '';
        for(var j=0; j&lt;order.meta_data.length; j++){
          if(order.meta_data[j].key == '_billing_billing_league' || order.meta_data[j].key == '_billing_league_organization'){
            organization = order.meta_data[j].value;
            break;
          }
        }
        rowData.push(organization);
        sheet.appendRow(rowData);
      }
      if(orders.length &lt; per_page) {
        break;  // Exit the loop when less than per_page orders are returned, indicating this is the last page
      }
      page++;
    }else{
      Logger.log("Response Code: " + response.getResponseCode());
      Logger.log("Response Body: " + response.getContentText());
      break;  // Exit the loop on error
    }
  }
}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" authorId="0" shapeId="0">
      <text>
        <r>
          <rPr>
            <sz val="10"/>
            <color rgb="FF000000"/>
            <rFont val="Arial"/>
            <scheme val="minor"/>
          </rPr>
          <t xml:space="preserve">function getNewOrders() {
  var BASE_URL = 'https://draftpics.ca/wp-json/wc/v3/orders'; 
  var CONSUMER_KEY = 'ck_00d5c03049c6e3bcaeee58c12a054345e3f6956c';
  var CONSUMER_SECRET = 'cs_e686b0dab8ffbf3e53555d86a25f9dfe5bb05f82';
  var SHEET_NAME = 'From Woocommerce';
  var sheet = SpreadsheetApp.getActiveSpreadsheet().getSheetByName('From Woocommerce');
  var lastRow = sheet.getLastRow();
  var lastDate = lastRow &gt; 1 ? sheet.getRange(lastRow, 2).getValue() : null;
  var per_page = 100;  // Maximum allowed value
  var page = 1;
  // Add headers
  if(lastRow === 0) {
    sheet.appendRow(["Order ID", "Date", "Status", "Total", "Organization"]);
  }
  while(true) {
    var endpoint = '?consumer_key=' + CONSUMER_KEY + '&amp;consumer_secret=' + CONSUMER_SECRET +
      '&amp;per_page=' + per_page + '&amp;page=' + page +
      (lastDate ? '&amp;after=' + Utilities.formatDate(new Date(lastDate), Session.getScriptTimeZone(), "yyyy-MM-dd'T'HH:mm:ss") : '');
    var options = {
      'muteHttpExceptions': true,
      'method' : 'get'
    };
    var response = UrlFetchApp.fetch(BASE_URL + endpoint, options);
    if(response.getResponseCode() == 200){
      var json = response.getContentText();
      var orders = JSON.parse(json);
      if(orders.length === 0) {
        break;  // Exit the loop when no more orders are found
      }
      for(var i=0; i&lt;orders.length; i++){
        var order = orders[i];
        var rowData = [];
        rowData.push(order.id, order.date_created, order.status, order.total);
        // Look for 'billing_billing_league' or '_billing_league_organization' in meta_data and push it to rowData
        var organization = '';
        for(var j=0; j&lt;order.meta_data.length; j++){
          if(order.meta_data[j].key == '_billing_billing_league' || order.meta_data[j].key == '_billing_league_organization'){
            organization = order.meta_data[j].value;
            break;
          }
        }
        rowData.push(organization);
        sheet.appendRow(rowData);
      }
      if(orders.length &lt; per_page) {
        break;  // Exit the loop when less than per_page orders are returned, indicating this is the last page
      }
      page++;
    }else{
      Logger.log("Response Code: " + response.getResponseCode());
      Logger.log("Response Body: " + response.getContentText());
      break;  // Exit the loop on error
    }
  }
}
</t>
        </r>
      </text>
    </comment>
  </commentList>
</comments>
</file>

<file path=xl/sharedStrings.xml><?xml version="1.0" encoding="utf-8"?>
<sst xmlns="http://schemas.openxmlformats.org/spreadsheetml/2006/main" count="39406" uniqueCount="2052">
  <si>
    <t>processing</t>
  </si>
  <si>
    <t>Organization</t>
  </si>
  <si>
    <t>Harrow basseball</t>
  </si>
  <si>
    <t>House</t>
  </si>
  <si>
    <t>Houseleague</t>
  </si>
  <si>
    <t>on-hold</t>
  </si>
  <si>
    <t>Kingsville</t>
  </si>
  <si>
    <t>kingsville baseball association</t>
  </si>
  <si>
    <t>draftpics-created</t>
  </si>
  <si>
    <t>Kingsville Minor baseball</t>
  </si>
  <si>
    <t>completed</t>
  </si>
  <si>
    <t>kingsville minor baseball association</t>
  </si>
  <si>
    <t>Kingsville Soccer association</t>
  </si>
  <si>
    <t>KINGSVILLE TRAVEL BASEBALL</t>
  </si>
  <si>
    <t>KMB</t>
  </si>
  <si>
    <t>KMBA</t>
  </si>
  <si>
    <t>cancelled</t>
  </si>
  <si>
    <t>kmbA tyke</t>
  </si>
  <si>
    <t>failed</t>
  </si>
  <si>
    <t>KSA</t>
  </si>
  <si>
    <t>La Stompers</t>
  </si>
  <si>
    <t>Lasa Stompers</t>
  </si>
  <si>
    <t>Lasalle</t>
  </si>
  <si>
    <t>Lasalle House league</t>
  </si>
  <si>
    <t>Lasalle stimpers</t>
  </si>
  <si>
    <t>Lasalle stomper</t>
  </si>
  <si>
    <t>LaSalle stomper soccer clUb grassroots</t>
  </si>
  <si>
    <t>Lasalle stompers</t>
  </si>
  <si>
    <t>Lasalle Stompers</t>
  </si>
  <si>
    <t>Lasalle stompers fc</t>
  </si>
  <si>
    <t>Lasalle stompers Lasalle clash of clans</t>
  </si>
  <si>
    <t>Lasalle stOmpers soccer</t>
  </si>
  <si>
    <t>LaSalle stompers soccer club</t>
  </si>
  <si>
    <t>Lasalle stompers timbits</t>
  </si>
  <si>
    <t>Lasalle Turbo Blasters</t>
  </si>
  <si>
    <t>Lassale Stompers</t>
  </si>
  <si>
    <t>Lmha</t>
  </si>
  <si>
    <t>LSalle Stompers - matthew weatlh management</t>
  </si>
  <si>
    <t>Lssc</t>
  </si>
  <si>
    <t>LSSC</t>
  </si>
  <si>
    <t>Lssc (lasalle soccer)</t>
  </si>
  <si>
    <t>Order ID</t>
  </si>
  <si>
    <t>Date</t>
  </si>
  <si>
    <t>Status</t>
  </si>
  <si>
    <t>Total</t>
  </si>
  <si>
    <t>Riverside Royals</t>
  </si>
  <si>
    <t>Soccor</t>
  </si>
  <si>
    <t>Stompers</t>
  </si>
  <si>
    <t>Tecumseh rangers baseball</t>
  </si>
  <si>
    <t>Trophy boys</t>
  </si>
  <si>
    <t>W.M.H.A</t>
  </si>
  <si>
    <t>pending</t>
  </si>
  <si>
    <t>refunded</t>
  </si>
  <si>
    <t>draftpics-printed</t>
  </si>
  <si>
    <t>Sales Order Tracking</t>
  </si>
  <si>
    <t>No.</t>
  </si>
  <si>
    <t>Sales</t>
  </si>
  <si>
    <t>Transactions</t>
  </si>
  <si>
    <t>Order</t>
  </si>
  <si>
    <t>Kingsville Soccer Association</t>
  </si>
  <si>
    <t>Tecumseh Minor Baseball</t>
  </si>
  <si>
    <t>Riverside Minor Baseball Association</t>
  </si>
  <si>
    <t>Erie North Shore Hockey</t>
  </si>
  <si>
    <t>Sales Order Tracking (All Status)</t>
  </si>
  <si>
    <t>Today</t>
  </si>
  <si>
    <t>Orders</t>
  </si>
  <si>
    <t>Average Sale Price</t>
  </si>
  <si>
    <t>%</t>
  </si>
  <si>
    <t>Sales Order Tracking (Completed)</t>
  </si>
  <si>
    <t>Sales Order Tracking (Created)</t>
  </si>
  <si>
    <t>Sales Order Tracking (Processing)</t>
  </si>
  <si>
    <t>Sales Order Tracking (Refunded)</t>
  </si>
  <si>
    <t>Last Quarter</t>
  </si>
  <si>
    <t>Email</t>
  </si>
  <si>
    <t>South Point Stars</t>
  </si>
  <si>
    <t>WMFA</t>
  </si>
  <si>
    <t>Windsor Wildcats Hockey</t>
  </si>
  <si>
    <t>Windsor AAA Zone Hockey</t>
  </si>
  <si>
    <t>E.O.R.S.L. Soccer</t>
  </si>
  <si>
    <t>Kingsville Minor Baseball Assoc.</t>
  </si>
  <si>
    <t>Harrow Minor Baseball</t>
  </si>
  <si>
    <t>Trophy Boys</t>
  </si>
  <si>
    <t>Harrow Baseball</t>
  </si>
  <si>
    <t>KingsVille Travel Baseball</t>
  </si>
  <si>
    <t>KingsVille Minor Baseball</t>
  </si>
  <si>
    <t>Tecumseh Rangers Baseball</t>
  </si>
  <si>
    <t>WMHA</t>
  </si>
  <si>
    <t>House League</t>
  </si>
  <si>
    <t>Lasalle Stompers Timbits</t>
  </si>
  <si>
    <t>LMHA</t>
  </si>
  <si>
    <t>Select Option</t>
  </si>
  <si>
    <t>Sun County Panthers Hockey</t>
  </si>
  <si>
    <t>Lakeshore Lightning Hockey</t>
  </si>
  <si>
    <t>W.M.F.A Football</t>
  </si>
  <si>
    <t>Windsor Aquatic Club</t>
  </si>
  <si>
    <t>custom-status</t>
  </si>
  <si>
    <t>Essex Thunder Minor Hockey</t>
  </si>
  <si>
    <t>checkout-draft</t>
  </si>
  <si>
    <t>Year</t>
  </si>
  <si>
    <t xml:space="preserve">Lasalle Stompers </t>
  </si>
  <si>
    <t>asalle Stompers</t>
  </si>
  <si>
    <t>Helper Column 1</t>
  </si>
  <si>
    <t>Helper Column 2</t>
  </si>
  <si>
    <t>Helper Column 3</t>
  </si>
  <si>
    <t>INT DATE</t>
  </si>
  <si>
    <t>Today's Orders</t>
  </si>
  <si>
    <t>Duplicate Orders</t>
  </si>
  <si>
    <t>Org. Field Not Empty</t>
  </si>
  <si>
    <t>Unique</t>
  </si>
  <si>
    <t>Total Orders</t>
  </si>
  <si>
    <t>Invoice Number</t>
  </si>
  <si>
    <t>Name</t>
  </si>
  <si>
    <t>League/Organization</t>
  </si>
  <si>
    <t>Sales Amount</t>
  </si>
  <si>
    <t>SKU</t>
  </si>
  <si>
    <t>Cost</t>
  </si>
  <si>
    <t>ELLA FLEMING</t>
  </si>
  <si>
    <t>WLM100150-1</t>
  </si>
  <si>
    <t>GTA100742</t>
  </si>
  <si>
    <t>GTA100442A</t>
  </si>
  <si>
    <t>WLM100500</t>
  </si>
  <si>
    <t>WLM100317</t>
  </si>
  <si>
    <t>GTA100780</t>
  </si>
  <si>
    <t>MARLA AMARAL</t>
  </si>
  <si>
    <t>WLM100690</t>
  </si>
  <si>
    <t>WLM100250</t>
  </si>
  <si>
    <t>ALEKSANDER STAVROPOULOS</t>
  </si>
  <si>
    <t>ISABELLA STAVROPOULOS</t>
  </si>
  <si>
    <t>WLM100693-1</t>
  </si>
  <si>
    <t>RYAN RACINE</t>
  </si>
  <si>
    <t>wlm100600</t>
  </si>
  <si>
    <t>ADELYNN MONGEAU</t>
  </si>
  <si>
    <t xml:space="preserve"> </t>
  </si>
  <si>
    <t>AVERY DUNN</t>
  </si>
  <si>
    <t xml:space="preserve">KMBA </t>
  </si>
  <si>
    <t>VIENNA KOLOFF</t>
  </si>
  <si>
    <t>GRACELYNN BOLTON</t>
  </si>
  <si>
    <t>GTA100261</t>
  </si>
  <si>
    <t>JJ DUFOUR</t>
  </si>
  <si>
    <t>WLM100150</t>
  </si>
  <si>
    <t>GEMMA MELO</t>
  </si>
  <si>
    <t>DIG1000000</t>
  </si>
  <si>
    <t>ELLYSE FISCHER</t>
  </si>
  <si>
    <t>GTA100521</t>
  </si>
  <si>
    <t>EMMERSON FISCHER</t>
  </si>
  <si>
    <t>FINNLEY WARKENTIN</t>
  </si>
  <si>
    <t>SARAH BEAUDOIN</t>
  </si>
  <si>
    <t>SAMANTHA BEAUDOIN</t>
  </si>
  <si>
    <t>WLM100316</t>
  </si>
  <si>
    <t>STELLA BAVETTA</t>
  </si>
  <si>
    <t>KINSLEY SUTTS</t>
  </si>
  <si>
    <t>AUBREE CURCHIN</t>
  </si>
  <si>
    <t>BALOKIA RAFFOUL</t>
  </si>
  <si>
    <t>TEGAN GRUBB</t>
  </si>
  <si>
    <t>EMMIE POIRIER</t>
  </si>
  <si>
    <t>MACKENNA MICHALSKI</t>
  </si>
  <si>
    <t>MAYA CAREY</t>
  </si>
  <si>
    <t>LOGAN LANSPEARY</t>
  </si>
  <si>
    <t>LANDON LANSPEARY</t>
  </si>
  <si>
    <t>LUCAS LANSPEARY</t>
  </si>
  <si>
    <t>EMMA ROBINSON</t>
  </si>
  <si>
    <t>DANICA STRANGWAY</t>
  </si>
  <si>
    <t>WYNNE ST. AUBIN</t>
  </si>
  <si>
    <t>CIARA BONDY</t>
  </si>
  <si>
    <t>TEEGAN ST. AUBIN</t>
  </si>
  <si>
    <t>ZOEY WILLIAMS</t>
  </si>
  <si>
    <t>MADDIE CARDOSO</t>
  </si>
  <si>
    <t>CHARLEY MARKET</t>
  </si>
  <si>
    <t>KAETO ANAZODO</t>
  </si>
  <si>
    <t>ZAC SAWATZKY</t>
  </si>
  <si>
    <t>WLM100315</t>
  </si>
  <si>
    <t>EVA MCKEEN</t>
  </si>
  <si>
    <t>MOHAMED SABBAH</t>
  </si>
  <si>
    <t>SCARLETT GRAHAM</t>
  </si>
  <si>
    <t>GABRIELLA MITREVSKI</t>
  </si>
  <si>
    <t>GIA MITREVSKI</t>
  </si>
  <si>
    <t>MILA EPPLETT</t>
  </si>
  <si>
    <t>ELLA EPPLETT</t>
  </si>
  <si>
    <t>MILA HEBERT</t>
  </si>
  <si>
    <t>AMIR SABBAH</t>
  </si>
  <si>
    <t>DIG100318</t>
  </si>
  <si>
    <t>DILLON DIEMER</t>
  </si>
  <si>
    <t>HANNAH CACILHAS</t>
  </si>
  <si>
    <t>HAZEL CACILHAS</t>
  </si>
  <si>
    <t>LILLIANA RUFFIN</t>
  </si>
  <si>
    <t>ZAKARIYA ABDEL-LATIF</t>
  </si>
  <si>
    <t>BENJAMIN KRUBA</t>
  </si>
  <si>
    <t>ADAM ABDEL-LATIF</t>
  </si>
  <si>
    <t>AVERY PAGLIONE</t>
  </si>
  <si>
    <t>GRACE PAGLIONE</t>
  </si>
  <si>
    <t>EMILIA HODGINS</t>
  </si>
  <si>
    <t>ZOEY NELSON</t>
  </si>
  <si>
    <t>ELISE TRAISNEL</t>
  </si>
  <si>
    <t>KALLEN MALLABY-PULLEYBLANK</t>
  </si>
  <si>
    <t>EMMA LUVISOTTO</t>
  </si>
  <si>
    <t>LUKAS MARCHAND</t>
  </si>
  <si>
    <t>COLTON HUNG</t>
  </si>
  <si>
    <t>PAXTON HUNG</t>
  </si>
  <si>
    <t>RJ MENSOUR</t>
  </si>
  <si>
    <t>MARIAH MENSOUR</t>
  </si>
  <si>
    <t>COLE LANGLOIS-REID</t>
  </si>
  <si>
    <t>NATHAN SALO</t>
  </si>
  <si>
    <t>LUC ST.PIERRE</t>
  </si>
  <si>
    <t>AMELIE ST.PIERRE</t>
  </si>
  <si>
    <t>DAELIN BRIDGE</t>
  </si>
  <si>
    <t>WLM100251</t>
  </si>
  <si>
    <t>WILLA SANFORD</t>
  </si>
  <si>
    <t>JENNA LAVERGNE</t>
  </si>
  <si>
    <t>NICO SEMENTILLI</t>
  </si>
  <si>
    <t>EVERETT COUSSENS</t>
  </si>
  <si>
    <t>LEONARDO CASTELLI</t>
  </si>
  <si>
    <t>LIA HU</t>
  </si>
  <si>
    <t>EATON HU</t>
  </si>
  <si>
    <t>CHASE ROCHELEAU</t>
  </si>
  <si>
    <t>ALYSSA VARCOE</t>
  </si>
  <si>
    <t>AUBREY GROVE</t>
  </si>
  <si>
    <t>HAYDAR SERHAN</t>
  </si>
  <si>
    <t>HASSAN SERHAN</t>
  </si>
  <si>
    <t>LILA SCALIA</t>
  </si>
  <si>
    <t>JAMES DUGGAN</t>
  </si>
  <si>
    <t>MILANIA SAROLI</t>
  </si>
  <si>
    <t>JONAH WRIGHT</t>
  </si>
  <si>
    <t>NICHOLAS DESANTIS</t>
  </si>
  <si>
    <t>TAIA CHENG</t>
  </si>
  <si>
    <t>TYUS CHENG</t>
  </si>
  <si>
    <t>LAYTON LOPEZ</t>
  </si>
  <si>
    <t>QUINN YOUNG</t>
  </si>
  <si>
    <t>MéLINA HRIC</t>
  </si>
  <si>
    <t>CHLOE GLASSFORD</t>
  </si>
  <si>
    <t>DEMETRI KOFFAS</t>
  </si>
  <si>
    <t>LOGAN TATOMIR</t>
  </si>
  <si>
    <t>NASH TATOMIR</t>
  </si>
  <si>
    <t>TAYA NAKHLE</t>
  </si>
  <si>
    <t>LEILA NAKHLE</t>
  </si>
  <si>
    <t>MILA NAKHLE</t>
  </si>
  <si>
    <t>NORA FORTIN</t>
  </si>
  <si>
    <t>QUINN LONCARIC</t>
  </si>
  <si>
    <t>LOGAN LONCARIC</t>
  </si>
  <si>
    <t>LOGAN/QUINN LONCARIC</t>
  </si>
  <si>
    <t>JOSEPH YOUSSEF</t>
  </si>
  <si>
    <t>ADELINA SIEFERT</t>
  </si>
  <si>
    <t>QUINTON SILVER</t>
  </si>
  <si>
    <t>OLIVIA REALE</t>
  </si>
  <si>
    <t>COLE WALTERS</t>
  </si>
  <si>
    <t>CARTER CLEROUX</t>
  </si>
  <si>
    <t>TATUM MACLEOD</t>
  </si>
  <si>
    <t>ROHAN SIVAVARMAN</t>
  </si>
  <si>
    <t>GIA EDWARDS</t>
  </si>
  <si>
    <t>CALLUM MARKHAM</t>
  </si>
  <si>
    <t>JENSON SCHNEIDER</t>
  </si>
  <si>
    <t>NICO SCHNEIDER</t>
  </si>
  <si>
    <t>ANAY VISHWAS</t>
  </si>
  <si>
    <t>LAYLA MUMMERY</t>
  </si>
  <si>
    <t>ALIA SERAFINA FARHAT</t>
  </si>
  <si>
    <t>CELINA CLEROUX</t>
  </si>
  <si>
    <t>LOGAN LEPAGE</t>
  </si>
  <si>
    <t>INDIRA MAY</t>
  </si>
  <si>
    <t>BRIA FILLION</t>
  </si>
  <si>
    <t>KYLIE FILLION</t>
  </si>
  <si>
    <t>OLIVIA REH</t>
  </si>
  <si>
    <t>TRACY CARDOSO</t>
  </si>
  <si>
    <t>GTA100442A-1</t>
  </si>
  <si>
    <t>SAMANTHA NOVAK</t>
  </si>
  <si>
    <t>AMBROSE SPYRIDIS</t>
  </si>
  <si>
    <t>ALIYA SPYRIDIS</t>
  </si>
  <si>
    <t>AMARI SPYRIDIS</t>
  </si>
  <si>
    <t>CRISTIAN LATTUCA</t>
  </si>
  <si>
    <t>WLM100318</t>
  </si>
  <si>
    <t>RUBY STOCKER</t>
  </si>
  <si>
    <t>ZAKARIA ABD ELJABER</t>
  </si>
  <si>
    <t>CASH BRASSEUR-BRUNELLE</t>
  </si>
  <si>
    <t>AVA LEE</t>
  </si>
  <si>
    <t>KALLIE CARTER</t>
  </si>
  <si>
    <t>DOMENIC VOLTIC</t>
  </si>
  <si>
    <t>MYLES BRODY</t>
  </si>
  <si>
    <t>GIOIA DI PAOLO</t>
  </si>
  <si>
    <t>AMER AL MAAZ</t>
  </si>
  <si>
    <t>ASSEM AL MAAZ</t>
  </si>
  <si>
    <t>CALE MAILHOIT</t>
  </si>
  <si>
    <t>BROOKLYN MAILHOIT</t>
  </si>
  <si>
    <t>SABRINA KOBROSLI</t>
  </si>
  <si>
    <t>ADRIAN MATTHEWS</t>
  </si>
  <si>
    <t>NATE MELLOW</t>
  </si>
  <si>
    <t>MIA BLACK</t>
  </si>
  <si>
    <t>MATTEO AIUTO</t>
  </si>
  <si>
    <t>ROWEN DAWSON</t>
  </si>
  <si>
    <t>DIG1000000-1</t>
  </si>
  <si>
    <t>ALEX WARKENTIN</t>
  </si>
  <si>
    <t>OWEN LUCIER</t>
  </si>
  <si>
    <t>NICO KANAVOS</t>
  </si>
  <si>
    <t>ADELAIDE MARCOTTE</t>
  </si>
  <si>
    <t>LUCA PERROTTA</t>
  </si>
  <si>
    <t>LOWEN O’NEIL</t>
  </si>
  <si>
    <t>RHYS THOMAS</t>
  </si>
  <si>
    <t>LEVI THOMAS</t>
  </si>
  <si>
    <t>WILLA THOMAS</t>
  </si>
  <si>
    <t>SHAE BOMBARDIER</t>
  </si>
  <si>
    <t>WLM100319</t>
  </si>
  <si>
    <t>ERIKA TUMAK</t>
  </si>
  <si>
    <t>MILES REINKOBER</t>
  </si>
  <si>
    <t>KADE TOUSIGNANT</t>
  </si>
  <si>
    <t>REESE AMARAL</t>
  </si>
  <si>
    <t>ABBY MCALLISTER</t>
  </si>
  <si>
    <t>ISABELLA SANTILLI</t>
  </si>
  <si>
    <t>ESTHER SOSSOU</t>
  </si>
  <si>
    <t>ALEKSANDER KOWALIK</t>
  </si>
  <si>
    <t>PAIGE O'NEIL</t>
  </si>
  <si>
    <t>ARIANA ACZEL</t>
  </si>
  <si>
    <t>MALINA KOWALIK</t>
  </si>
  <si>
    <t>LANA LORD</t>
  </si>
  <si>
    <t>ASHLEY MARAVILLA</t>
  </si>
  <si>
    <t>GWENYTH LETTS</t>
  </si>
  <si>
    <t>BRODY MCCANN</t>
  </si>
  <si>
    <t>ZOE BUNAGAN</t>
  </si>
  <si>
    <t>KATE ST. GERMAIN</t>
  </si>
  <si>
    <t>GIANNA MORRONE</t>
  </si>
  <si>
    <t>AIDAN KAMBOURIS</t>
  </si>
  <si>
    <t>KENNADY, PENELOPE, EMERSEN, ELOWEN LARMOND</t>
  </si>
  <si>
    <t>OLIVIA D'AMATO</t>
  </si>
  <si>
    <t>AMELIA LUCIER</t>
  </si>
  <si>
    <t>AVA GOULET</t>
  </si>
  <si>
    <t>COSETTE DUBY</t>
  </si>
  <si>
    <t>CECILY KLASSEN</t>
  </si>
  <si>
    <t>OWEN PITT</t>
  </si>
  <si>
    <t>ISABELLA PALLOTTO</t>
  </si>
  <si>
    <t>ALEXANDER PALLOTTO</t>
  </si>
  <si>
    <t>GRIFFIN HORNE</t>
  </si>
  <si>
    <t>NATHAN HORNE</t>
  </si>
  <si>
    <t>KENZIE KASSIAN</t>
  </si>
  <si>
    <t>NOEMI DANELON</t>
  </si>
  <si>
    <t>MADDISON KLASSEN</t>
  </si>
  <si>
    <t>ALLISON SEBELE</t>
  </si>
  <si>
    <t>ARJUN GILL</t>
  </si>
  <si>
    <t>BRODIE BRACKEN</t>
  </si>
  <si>
    <t>WLM100250-1</t>
  </si>
  <si>
    <t>OMAR KASSEM</t>
  </si>
  <si>
    <t>CHRISTOPHER WOOD</t>
  </si>
  <si>
    <t>CELINA WOOD</t>
  </si>
  <si>
    <t>JOSHUA EATON</t>
  </si>
  <si>
    <t>JASE HEWSON</t>
  </si>
  <si>
    <t>KAYLEE STEWART</t>
  </si>
  <si>
    <t>ERIC XU</t>
  </si>
  <si>
    <t>GABRIEL CICHON</t>
  </si>
  <si>
    <t>ISABELLA CICHON</t>
  </si>
  <si>
    <t>CHRISTIAN CICHON</t>
  </si>
  <si>
    <t>AUDREY WESSMAN</t>
  </si>
  <si>
    <t>ALEX DUFOUR</t>
  </si>
  <si>
    <t>REGAN AND CAMERON ANSON</t>
  </si>
  <si>
    <t>EVA PIDHORESKY</t>
  </si>
  <si>
    <t>HAILEY WERSTEIN</t>
  </si>
  <si>
    <t>GURVIR KALER</t>
  </si>
  <si>
    <t>GIOIA COSTANTE</t>
  </si>
  <si>
    <t>SOPHIA COSTANTE</t>
  </si>
  <si>
    <t>ISABELLA COSTANTE</t>
  </si>
  <si>
    <t>ADRIANA COSTANTE</t>
  </si>
  <si>
    <t>EASTON VISSER</t>
  </si>
  <si>
    <t>BRAYDEN VISSER</t>
  </si>
  <si>
    <t>NOLAN BOWSER</t>
  </si>
  <si>
    <t>RAYMOND PILLON</t>
  </si>
  <si>
    <t>MACKENZIE PILLON</t>
  </si>
  <si>
    <t>GIULIANA COSTANTE</t>
  </si>
  <si>
    <t>AYLA SOARES</t>
  </si>
  <si>
    <t>LIAM MCALLISTER</t>
  </si>
  <si>
    <t>DONOVAN LISCIO</t>
  </si>
  <si>
    <t>FAYYE MIMNAGH</t>
  </si>
  <si>
    <t>J.J. MIMNAGH</t>
  </si>
  <si>
    <t>NICHOLAS GRADINARU</t>
  </si>
  <si>
    <t>EMILY BARLOW</t>
  </si>
  <si>
    <t>ELENA JORDANOVSKI</t>
  </si>
  <si>
    <t>MARIE-EVE BOTERO</t>
  </si>
  <si>
    <t>LOGAN GREGG</t>
  </si>
  <si>
    <t>HAYDEN HIGGINS</t>
  </si>
  <si>
    <t>LUKAS WEBBER</t>
  </si>
  <si>
    <t>SOPHIA ULAKOVICH</t>
  </si>
  <si>
    <t>EMILIA DEVIN</t>
  </si>
  <si>
    <t>GRAYSON DEVIN</t>
  </si>
  <si>
    <t>ADELE ROCHON</t>
  </si>
  <si>
    <t>KEATON HIGGINS</t>
  </si>
  <si>
    <t>PAIGE SUMNER</t>
  </si>
  <si>
    <t>JULIANA EDWARDS</t>
  </si>
  <si>
    <t>HARRISON ROSS</t>
  </si>
  <si>
    <t>SORAYA SMITH</t>
  </si>
  <si>
    <t>VIENNA GIGLIOTTI</t>
  </si>
  <si>
    <t>AMARA LOPES</t>
  </si>
  <si>
    <t>OLIVE D'AGNOLO</t>
  </si>
  <si>
    <t>SELENA MARIUZ</t>
  </si>
  <si>
    <t>JANA DAVIDOVIC</t>
  </si>
  <si>
    <t>VIOLET WARKENTIN</t>
  </si>
  <si>
    <t>LILY WARKENTIN</t>
  </si>
  <si>
    <t>CALLUM SANFORD</t>
  </si>
  <si>
    <t>ROHAN GILL</t>
  </si>
  <si>
    <t>EMMA WENZLER</t>
  </si>
  <si>
    <t>SANJITH VYAS</t>
  </si>
  <si>
    <t>EMMA REMILLONG</t>
  </si>
  <si>
    <t>ADAM REMILLONG</t>
  </si>
  <si>
    <t>HUDSON WELLS</t>
  </si>
  <si>
    <t>GABRIEL FASAN</t>
  </si>
  <si>
    <t>EVELYN BONK</t>
  </si>
  <si>
    <t>MASSIMO FORTUNA</t>
  </si>
  <si>
    <t>ANTHONY PALAZZOLO</t>
  </si>
  <si>
    <t>DECLAN BOSVELD</t>
  </si>
  <si>
    <t>DANIELLA TARACH</t>
  </si>
  <si>
    <t>ISABELLA MIO</t>
  </si>
  <si>
    <t>LEVI KOOLEN</t>
  </si>
  <si>
    <t>MARCUS BUSA</t>
  </si>
  <si>
    <t>ZAYNE ELMANSOUR</t>
  </si>
  <si>
    <t>KEENAN ELMANSOUR</t>
  </si>
  <si>
    <t>KAMERAN SINJARI</t>
  </si>
  <si>
    <t>HANNAH VISELLI</t>
  </si>
  <si>
    <t>QUINTIN SCHMIDT</t>
  </si>
  <si>
    <t>SELAH LIEM</t>
  </si>
  <si>
    <t>JOSHUA LIEM</t>
  </si>
  <si>
    <t>OLIVE D’AGNOLO</t>
  </si>
  <si>
    <t>SUMMER LAZZARIN</t>
  </si>
  <si>
    <t>CHLOE DENNIS</t>
  </si>
  <si>
    <t>JAIDEEP SINGH CHAHIL</t>
  </si>
  <si>
    <t>EMMA BLANCHARD</t>
  </si>
  <si>
    <t>VIVIAN WATSON</t>
  </si>
  <si>
    <t>CALLUM WATSON</t>
  </si>
  <si>
    <t>ZOEY SCALIA</t>
  </si>
  <si>
    <t>CARTER HAYES</t>
  </si>
  <si>
    <t>DEVON HAYES</t>
  </si>
  <si>
    <t>EVELYNN RAMSAY</t>
  </si>
  <si>
    <t>EVERETT DERBY</t>
  </si>
  <si>
    <t>REID DERBY</t>
  </si>
  <si>
    <t>EMERY CLIFFORD</t>
  </si>
  <si>
    <t>VICTOR SIMIGANOSCHI</t>
  </si>
  <si>
    <t>ROMAN KRNDIJA</t>
  </si>
  <si>
    <t>QUINTON MORENCY</t>
  </si>
  <si>
    <t>JAXON MORENCY</t>
  </si>
  <si>
    <t>LANDAN DUMOUCHELLE</t>
  </si>
  <si>
    <t>SAWYER SCHNEKENBURGER</t>
  </si>
  <si>
    <t>Mara ATHERTON</t>
  </si>
  <si>
    <t>WESLEY CLARK</t>
  </si>
  <si>
    <t>ADRIANA CLARK</t>
  </si>
  <si>
    <t>MICHAEL NAWROCKI</t>
  </si>
  <si>
    <t>BOWEN LIVINGSTON</t>
  </si>
  <si>
    <t>EVAN XU</t>
  </si>
  <si>
    <t>ANDREAS KOURLETAKIS</t>
  </si>
  <si>
    <t>CALEB WERSTEIN</t>
  </si>
  <si>
    <t>CHARLOTTE LIU</t>
  </si>
  <si>
    <t>KEVIN LIU</t>
  </si>
  <si>
    <t>ANTONIA KOURLETAKIS</t>
  </si>
  <si>
    <t>LUKE OSBORNE</t>
  </si>
  <si>
    <t>JOSHUA OSBORNE</t>
  </si>
  <si>
    <t>STEFAN AND JORDAN RADIC</t>
  </si>
  <si>
    <t>JASPER LIEM</t>
  </si>
  <si>
    <t>CALEB LIEM</t>
  </si>
  <si>
    <t>LUCA MCARTHUR VAGNINI</t>
  </si>
  <si>
    <t>SIENA VAGNINI</t>
  </si>
  <si>
    <t>GIANANTHONY DIPONTI</t>
  </si>
  <si>
    <t>LEO COPPOLA</t>
  </si>
  <si>
    <t>LILLIAN CHARTIER</t>
  </si>
  <si>
    <t>HUNTER POWER</t>
  </si>
  <si>
    <t>LIANA WARNER</t>
  </si>
  <si>
    <t>REMY MASTRONARDI</t>
  </si>
  <si>
    <t>CRUZ MASTRONARDI</t>
  </si>
  <si>
    <t>WLM100315-1</t>
  </si>
  <si>
    <t>GIUSEPPE SIGNORELLI</t>
  </si>
  <si>
    <t>ABHAY KAPOOR</t>
  </si>
  <si>
    <t>CONNER FUNDERBURG</t>
  </si>
  <si>
    <t>RYLENN KHEAV</t>
  </si>
  <si>
    <t>ZEKE JONES</t>
  </si>
  <si>
    <t>DARIO CAPPUCCI</t>
  </si>
  <si>
    <t>ARIAN REZAEIAN</t>
  </si>
  <si>
    <t>SALVATORE TRUDELL</t>
  </si>
  <si>
    <t>HADLEY FENN</t>
  </si>
  <si>
    <t>OLIVIA NOVAK</t>
  </si>
  <si>
    <t>ELLIOTT ADAM</t>
  </si>
  <si>
    <t>ABIGAIL/MADELINE SOBOL</t>
  </si>
  <si>
    <t>IDA CLARK</t>
  </si>
  <si>
    <t>MILA CIOTEA</t>
  </si>
  <si>
    <t>MATTEO JACKSON</t>
  </si>
  <si>
    <t>GIZELLE ESCOE</t>
  </si>
  <si>
    <t>COLTON DJELEBIAN</t>
  </si>
  <si>
    <t>RYAN CINCURAK</t>
  </si>
  <si>
    <t>JEFFREY LI</t>
  </si>
  <si>
    <t>MATTHEW GEORGAKOPOULOS</t>
  </si>
  <si>
    <t>VEOHM BAJWA</t>
  </si>
  <si>
    <t>KUBAIR BAJWA</t>
  </si>
  <si>
    <t>DECLAN PERCY</t>
  </si>
  <si>
    <t>GIANLUCA TEDESCO</t>
  </si>
  <si>
    <t>TYLER GLEN</t>
  </si>
  <si>
    <t>AMALIA MENSOUR</t>
  </si>
  <si>
    <t>JENAÉ BRETON</t>
  </si>
  <si>
    <t>SAMUEL BRETON</t>
  </si>
  <si>
    <t>ENZO PANACCIONE</t>
  </si>
  <si>
    <t>MILA PIZZO</t>
  </si>
  <si>
    <t>EVANGELINE BLANCHARD</t>
  </si>
  <si>
    <t>LORNE DUNCAN</t>
  </si>
  <si>
    <t>ANGELA PRVULOVIC</t>
  </si>
  <si>
    <t>JULIAN PIZZO</t>
  </si>
  <si>
    <t>GIORDANA TENNANT</t>
  </si>
  <si>
    <t>MAIELLA ABRAHAM</t>
  </si>
  <si>
    <t>JOSAIAH ABRAHAM</t>
  </si>
  <si>
    <t>HAIDYN PARSONS</t>
  </si>
  <si>
    <t>ALEX ALBRECHT</t>
  </si>
  <si>
    <t>SANTINO FIACCO</t>
  </si>
  <si>
    <t>WILLIAM LESTER</t>
  </si>
  <si>
    <t>ANDREW LESTER</t>
  </si>
  <si>
    <t>NASH MCCANN</t>
  </si>
  <si>
    <t>LUCAS VOLLANS</t>
  </si>
  <si>
    <t>ELI TOUSIGNANT</t>
  </si>
  <si>
    <t>KOHEN TOUSIGNANT</t>
  </si>
  <si>
    <t>PETAR DAVIDOVIC</t>
  </si>
  <si>
    <t>LUCY YACOUB</t>
  </si>
  <si>
    <t>ROSIE FOX</t>
  </si>
  <si>
    <t>AUBREE PRASEK</t>
  </si>
  <si>
    <t>ALEXIS PRASEK</t>
  </si>
  <si>
    <t>BRINLEY PRASEK</t>
  </si>
  <si>
    <t>HARPER RENAUD</t>
  </si>
  <si>
    <t>MEGAN TIM</t>
  </si>
  <si>
    <t>MATTHEW TIM</t>
  </si>
  <si>
    <t>TESSA DIPONTI</t>
  </si>
  <si>
    <t>TOMMASO DIPONTI</t>
  </si>
  <si>
    <t>WILLIAM STURDEVANT</t>
  </si>
  <si>
    <t>JUSTIN ARMSTRONG</t>
  </si>
  <si>
    <t>CARTER THOMSON</t>
  </si>
  <si>
    <t>COOPER BENTLEY</t>
  </si>
  <si>
    <t>WYATT IMPENS</t>
  </si>
  <si>
    <t>MASSIMO FOLINO</t>
  </si>
  <si>
    <t>KENZIE DUQUETTE</t>
  </si>
  <si>
    <t>HENRY MICHAUD</t>
  </si>
  <si>
    <t>JAMES BROWNLIE</t>
  </si>
  <si>
    <t>RAEPH CIPOLLA</t>
  </si>
  <si>
    <t>JEN MCCORQUODALE</t>
  </si>
  <si>
    <t>ZACHARY YEUNG</t>
  </si>
  <si>
    <t>MAISIE TODD</t>
  </si>
  <si>
    <t>JESSICA KREBS</t>
  </si>
  <si>
    <t>ZAYDEN DIPASQUALE</t>
  </si>
  <si>
    <t>DANIEL CHOLUBKO</t>
  </si>
  <si>
    <t>NIXON FRYER</t>
  </si>
  <si>
    <t>MARKUS KRNDIJA</t>
  </si>
  <si>
    <t>THEODORE ANNETT</t>
  </si>
  <si>
    <t>EMELIA ANNETT</t>
  </si>
  <si>
    <t>MIRA FARDOUS</t>
  </si>
  <si>
    <t>ADRIAN GAGNIER</t>
  </si>
  <si>
    <t>TYLER SANFORD</t>
  </si>
  <si>
    <t>ELLIANA ANSTETT</t>
  </si>
  <si>
    <t>AVERY HIGGINS</t>
  </si>
  <si>
    <t>OLIVER HALDEN</t>
  </si>
  <si>
    <t>VICTORIA KONKOLOWICZ</t>
  </si>
  <si>
    <t>EVELYN KONKOLOWICZ</t>
  </si>
  <si>
    <t>LIAM WOELK</t>
  </si>
  <si>
    <t>NORAH SEGUIN</t>
  </si>
  <si>
    <t>TALIA MANCINI</t>
  </si>
  <si>
    <t>JAMIE ROTHERA</t>
  </si>
  <si>
    <t>LUCAS, MICHAEL, NATALIE SINE</t>
  </si>
  <si>
    <t>JONAH SEGUIN</t>
  </si>
  <si>
    <t>KEYSTON LINDSAY</t>
  </si>
  <si>
    <t>ADRIAN SPADAFORA</t>
  </si>
  <si>
    <t>JULIAN PIGNANELLI</t>
  </si>
  <si>
    <t>LOCHLAN TODD</t>
  </si>
  <si>
    <t>DANIELLA CATENACCI</t>
  </si>
  <si>
    <t>DYLAN KRABBENBOS</t>
  </si>
  <si>
    <t>RILEY SUMNER</t>
  </si>
  <si>
    <t>ALLY DICARLO</t>
  </si>
  <si>
    <t>COLIN TIMM</t>
  </si>
  <si>
    <t>MALIK BATROUKH</t>
  </si>
  <si>
    <t>BRANDON BARLOW</t>
  </si>
  <si>
    <t>ROWAN LANTEIGNE</t>
  </si>
  <si>
    <t>EMMA HEENEY</t>
  </si>
  <si>
    <t>AUBREY PARE</t>
  </si>
  <si>
    <t>ELI HEATON</t>
  </si>
  <si>
    <t>EVAN SEMENTILLI</t>
  </si>
  <si>
    <t>KWYNN LAUZON</t>
  </si>
  <si>
    <t>MAXWELL REINKOBER</t>
  </si>
  <si>
    <t>NOAH HEATON</t>
  </si>
  <si>
    <t>CLARE SHEEHAN</t>
  </si>
  <si>
    <t>ÉLODIE BUONO</t>
  </si>
  <si>
    <t>LILIANNA BODOR</t>
  </si>
  <si>
    <t>MADELINE ROWE</t>
  </si>
  <si>
    <t>LUCAS THORNE-PRIEUR</t>
  </si>
  <si>
    <t>PARKER COX</t>
  </si>
  <si>
    <t>MILA BREWER</t>
  </si>
  <si>
    <t>LAUREN MCCAFFREY</t>
  </si>
  <si>
    <t>VIVIAN NINKOVICH DIAB</t>
  </si>
  <si>
    <t>MAKSYM KOWALIK</t>
  </si>
  <si>
    <t>CLAIRE ST. GERMAIN</t>
  </si>
  <si>
    <t>DOMENIC BISCIOTTI</t>
  </si>
  <si>
    <t>ALIXANDRE BUONO</t>
  </si>
  <si>
    <t>CALVIN MCLEAN</t>
  </si>
  <si>
    <t>OWEN O'NEIL</t>
  </si>
  <si>
    <t>JOEY FOX</t>
  </si>
  <si>
    <t>KEIRA LYONS</t>
  </si>
  <si>
    <t>CAMDEN LYONS</t>
  </si>
  <si>
    <t>ELIJAH DUDOK</t>
  </si>
  <si>
    <t>OLIVER MAZIAK</t>
  </si>
  <si>
    <t>NOELLE SHEPHERD</t>
  </si>
  <si>
    <t>CREW DAMPHOUSE</t>
  </si>
  <si>
    <t>ALEXA JACOB</t>
  </si>
  <si>
    <t>TATE CAMPIGOTTO</t>
  </si>
  <si>
    <t>TROY FEGHALI</t>
  </si>
  <si>
    <t>OWEN D'AMATO</t>
  </si>
  <si>
    <t>HANNAH MEEKER</t>
  </si>
  <si>
    <t>MIA PALADINO</t>
  </si>
  <si>
    <t>JACK &amp; AVA DI DOMENICO</t>
  </si>
  <si>
    <t>EVELYN AND WALKER NELSON</t>
  </si>
  <si>
    <t>ZACHARY THOMAS</t>
  </si>
  <si>
    <t>SKYLAR CAPALDI</t>
  </si>
  <si>
    <t>LIAM MOYNAHAN</t>
  </si>
  <si>
    <t>ALINA MANSOUR</t>
  </si>
  <si>
    <t>ELLA FORTIN</t>
  </si>
  <si>
    <t>ELI MASTRONARDI</t>
  </si>
  <si>
    <t>LUCA FOLINO</t>
  </si>
  <si>
    <t>MATTEO FOLINO</t>
  </si>
  <si>
    <t>LIAM POWER</t>
  </si>
  <si>
    <t>NICHOLAS IBRAHIM</t>
  </si>
  <si>
    <t>KAREEM YASEEN</t>
  </si>
  <si>
    <t>SULLIVAN FENN</t>
  </si>
  <si>
    <t>ALLIE MCCRACKEN</t>
  </si>
  <si>
    <t>BROCK DONAIS</t>
  </si>
  <si>
    <t>SOPHIA KANAVOS</t>
  </si>
  <si>
    <t>ENZO MASTRONARDI</t>
  </si>
  <si>
    <t>LOGAN DULAY</t>
  </si>
  <si>
    <t>STELLA FIACCO</t>
  </si>
  <si>
    <t>EMMETT LAPORTE</t>
  </si>
  <si>
    <t>BENJAMIN LEVACK</t>
  </si>
  <si>
    <t>ALEKS GIGLIOTTI</t>
  </si>
  <si>
    <t>RILEY LLEWELLYN</t>
  </si>
  <si>
    <t>SILVANA DIPONTI</t>
  </si>
  <si>
    <t>DANIKA MCCORQUODALE</t>
  </si>
  <si>
    <t>MISHIKA PATEL</t>
  </si>
  <si>
    <t>VICTORIA BROWNLIE</t>
  </si>
  <si>
    <t>VICTORIA TUDORICA</t>
  </si>
  <si>
    <t>LILLEY WOELK</t>
  </si>
  <si>
    <t>LILY LUVISOTTO</t>
  </si>
  <si>
    <t>MAISIE BLACKMORE</t>
  </si>
  <si>
    <t>PEYTON PILLON</t>
  </si>
  <si>
    <t>MIKEY MALEYKO</t>
  </si>
  <si>
    <t>ASHER KOOLEN</t>
  </si>
  <si>
    <t>COOPER DUIGNAM</t>
  </si>
  <si>
    <t>MAX ADAMS</t>
  </si>
  <si>
    <t>ELLA RUTGERS</t>
  </si>
  <si>
    <t>SOPHIE RUTGERS</t>
  </si>
  <si>
    <t>MICHAEL DALIMONTE</t>
  </si>
  <si>
    <t>EMMETT MCGUIRE</t>
  </si>
  <si>
    <t>EDISON TIESSEN</t>
  </si>
  <si>
    <t>PRESTON ROBINET</t>
  </si>
  <si>
    <t>THEO WIEBE</t>
  </si>
  <si>
    <t>MISCHA MCAVOY</t>
  </si>
  <si>
    <t>KASH KROSLAK</t>
  </si>
  <si>
    <t>BRADY COBBY</t>
  </si>
  <si>
    <t>BLAKE MALOTT</t>
  </si>
  <si>
    <t>NASH MALOTT</t>
  </si>
  <si>
    <t>JACK SIMS</t>
  </si>
  <si>
    <t>JESSE STUBBERT</t>
  </si>
  <si>
    <t>QUINN CHEVALIER</t>
  </si>
  <si>
    <t>CARTER ELIAS</t>
  </si>
  <si>
    <t>LUCY ZABOREK</t>
  </si>
  <si>
    <t>NORA MORAND</t>
  </si>
  <si>
    <t>RYAN MCDONALD</t>
  </si>
  <si>
    <t>MADISON MCDONALD</t>
  </si>
  <si>
    <t>NATHAN MCDONALD</t>
  </si>
  <si>
    <t>CHARLOTTE BABENSEE</t>
  </si>
  <si>
    <t>EMMA BABENSEE</t>
  </si>
  <si>
    <t>KATIE NOLAND</t>
  </si>
  <si>
    <t>ANDREW LONCKE</t>
  </si>
  <si>
    <t>WILLIAM LONCKE</t>
  </si>
  <si>
    <t>ISAIAH FRASER</t>
  </si>
  <si>
    <t>WYATT TURNER</t>
  </si>
  <si>
    <t>EVERETT TURNER</t>
  </si>
  <si>
    <t>LUKE STDENIS</t>
  </si>
  <si>
    <t>MAVERICK BILHAM</t>
  </si>
  <si>
    <t>DECLAN BILHAM</t>
  </si>
  <si>
    <t>ADELINE MORTIMORE</t>
  </si>
  <si>
    <t>KENNEDY PAQUIN</t>
  </si>
  <si>
    <t>KARSYN PAQUIN</t>
  </si>
  <si>
    <t>MADISON BOOTH</t>
  </si>
  <si>
    <t>SULLIVAN YOUNG</t>
  </si>
  <si>
    <t>ALEXANDRIA BOOTH</t>
  </si>
  <si>
    <t>ELI KROH</t>
  </si>
  <si>
    <t>JESSE VAN DEN DRIESSCHE</t>
  </si>
  <si>
    <t>HARPER DELAURIER</t>
  </si>
  <si>
    <t>CARTER WILEY</t>
  </si>
  <si>
    <t>RILEY FITZP</t>
  </si>
  <si>
    <t>KENNEDY INNES</t>
  </si>
  <si>
    <t>ZACHERY TIESSEN</t>
  </si>
  <si>
    <t>BOE SAWATZKY</t>
  </si>
  <si>
    <t>ISLA SHORT</t>
  </si>
  <si>
    <t>BRYCE NOLAND</t>
  </si>
  <si>
    <t>JACKSON LARAMIE</t>
  </si>
  <si>
    <t>KAI MURTEIRA</t>
  </si>
  <si>
    <t>GAGE CILISKA</t>
  </si>
  <si>
    <t>JAXSON BOOTH</t>
  </si>
  <si>
    <t>MATTHEW HARMS</t>
  </si>
  <si>
    <t>BRADDIK CONNEL</t>
  </si>
  <si>
    <t>KELLY MELO</t>
  </si>
  <si>
    <t>EVAN BAKER</t>
  </si>
  <si>
    <t>GRACE PIGEON</t>
  </si>
  <si>
    <t>SERGE DIAB</t>
  </si>
  <si>
    <t>MASON POPEL</t>
  </si>
  <si>
    <t>ABIGAIL POULIN</t>
  </si>
  <si>
    <t>ARABELLA RICCI</t>
  </si>
  <si>
    <t>MAVERICK INGRATTA</t>
  </si>
  <si>
    <t>PARKER BOOTH</t>
  </si>
  <si>
    <t>HARPER INNES</t>
  </si>
  <si>
    <t>OWEN ISLEY</t>
  </si>
  <si>
    <t>ELLIOT CAZA</t>
  </si>
  <si>
    <t>REGGIE REIMER</t>
  </si>
  <si>
    <t>ELSIE REIMER</t>
  </si>
  <si>
    <t>LANDON CROZIER</t>
  </si>
  <si>
    <t>LUCAS DUTOT</t>
  </si>
  <si>
    <t>TANNER DELAURIER</t>
  </si>
  <si>
    <t>JAKOB BROWN</t>
  </si>
  <si>
    <t>TAYLYN DELAURIER</t>
  </si>
  <si>
    <t>ANDREW MIKKELSEN</t>
  </si>
  <si>
    <t>JAXON MCLELLAN</t>
  </si>
  <si>
    <t>CHASE TOUPIN</t>
  </si>
  <si>
    <t>ETHAN THAI</t>
  </si>
  <si>
    <t>IZZY IATONNA</t>
  </si>
  <si>
    <t>PAYTON MARKET</t>
  </si>
  <si>
    <t>WARDEN CAMPBELL</t>
  </si>
  <si>
    <t>ELLIE CAMPBELL</t>
  </si>
  <si>
    <t>NATE CAMPBELL</t>
  </si>
  <si>
    <t>KALILA I’ANSON</t>
  </si>
  <si>
    <t>MEGAN MARONTATE</t>
  </si>
  <si>
    <t>KOLIN STRATICHUK</t>
  </si>
  <si>
    <t>HENRY MORAND</t>
  </si>
  <si>
    <t>SOPHIE BRUSH</t>
  </si>
  <si>
    <t>NOAH LOGAN</t>
  </si>
  <si>
    <t>BRANDON BELAWETZ</t>
  </si>
  <si>
    <t>JACK PILLON</t>
  </si>
  <si>
    <t>JAMES NEAL</t>
  </si>
  <si>
    <t>MACKENZIE CACILHAS</t>
  </si>
  <si>
    <t>TUCKER FOX</t>
  </si>
  <si>
    <t>KLINT STRATICHUK</t>
  </si>
  <si>
    <t>NASH VAN DEN DRIESSCHE</t>
  </si>
  <si>
    <t>OWEN LYMAN-SMITH</t>
  </si>
  <si>
    <t>LUCY ROBINSON</t>
  </si>
  <si>
    <t>JETT VAN DEN DRIESSCHE</t>
  </si>
  <si>
    <t>RYDER MAILLOUX</t>
  </si>
  <si>
    <t>LUKE ROBINSON</t>
  </si>
  <si>
    <t>SIENNA COX</t>
  </si>
  <si>
    <t>NOLAN MAILLOUX</t>
  </si>
  <si>
    <t>OLIVIER GEMUS</t>
  </si>
  <si>
    <t>OWEN RYAN</t>
  </si>
  <si>
    <t>TUCKER MUNROE</t>
  </si>
  <si>
    <t>ANHAD RANDHAWA</t>
  </si>
  <si>
    <t>LEXIE RENAUD</t>
  </si>
  <si>
    <t>ADDY RENAUD</t>
  </si>
  <si>
    <t>NAILA SOBABI</t>
  </si>
  <si>
    <t>DIG100317-1</t>
  </si>
  <si>
    <t>ADYL SOBABI</t>
  </si>
  <si>
    <t>TEDDY PEDDLE</t>
  </si>
  <si>
    <t>LIAM DOMINGUES</t>
  </si>
  <si>
    <t>ETHAN ABDUL-MASSIH</t>
  </si>
  <si>
    <t>KALEY HILLS</t>
  </si>
  <si>
    <t>ZOEY BOTELHO</t>
  </si>
  <si>
    <t>MARSHALL BOTELHO</t>
  </si>
  <si>
    <t>KIARAH ALEXANDER</t>
  </si>
  <si>
    <t>MADDEN HODGKINS</t>
  </si>
  <si>
    <t>ASHTON BONNEVIE</t>
  </si>
  <si>
    <t>LAYKEN AND EASTON LAUZON</t>
  </si>
  <si>
    <t>EWAN DRISCOLL</t>
  </si>
  <si>
    <t>RYDER WINDSOR</t>
  </si>
  <si>
    <t>SAVANNAH,MYAH BLUTEAU</t>
  </si>
  <si>
    <t>MADDISON HEDGE</t>
  </si>
  <si>
    <t>ALEAHA COBB</t>
  </si>
  <si>
    <t>ELEANOR CROWLEY</t>
  </si>
  <si>
    <t>MYLA CINCURAK</t>
  </si>
  <si>
    <t>CHASE BILEK</t>
  </si>
  <si>
    <t>MILEHNA AND LILAH BROWN</t>
  </si>
  <si>
    <t>CAMERON NEILL</t>
  </si>
  <si>
    <t>RONIN CLAYTON</t>
  </si>
  <si>
    <t>ADELINE CLAYTON</t>
  </si>
  <si>
    <t>MOLLY BAMB</t>
  </si>
  <si>
    <t>LAUREN THIBODEAU</t>
  </si>
  <si>
    <t>DAVID THIBODEAU</t>
  </si>
  <si>
    <t>LUCY MASCARO</t>
  </si>
  <si>
    <t>OWEN MCCALLUM</t>
  </si>
  <si>
    <t>KENZI RENAUD</t>
  </si>
  <si>
    <t>RAYDEN RENAUD</t>
  </si>
  <si>
    <t>SEBASTIAAN HOUGH</t>
  </si>
  <si>
    <t>DIG100001O</t>
  </si>
  <si>
    <t>BRENNAN BAIN</t>
  </si>
  <si>
    <t>GRANT KERWIN</t>
  </si>
  <si>
    <t>MADISON DVERNYCHUK</t>
  </si>
  <si>
    <t>MATTEO GUADAGNO</t>
  </si>
  <si>
    <t>HAILEY QUINN</t>
  </si>
  <si>
    <t>LYLA TAYLOR-PACE</t>
  </si>
  <si>
    <t>PARKER MCCRACKEN</t>
  </si>
  <si>
    <t>OWEN MASTRONARDI</t>
  </si>
  <si>
    <t>ALINA PELLING</t>
  </si>
  <si>
    <t>LENNOX, AXEL CUTIC</t>
  </si>
  <si>
    <t>JOHN MARTENS</t>
  </si>
  <si>
    <t>WILLIE MARTENS</t>
  </si>
  <si>
    <t>ELLE GRAY</t>
  </si>
  <si>
    <t>MADDOX MCCREADY</t>
  </si>
  <si>
    <t>ERIC ATHERTON</t>
  </si>
  <si>
    <t>CHRISTIAN SAMIA</t>
  </si>
  <si>
    <t>CAMDEN FLEMING</t>
  </si>
  <si>
    <t>ROWAN FURTADO</t>
  </si>
  <si>
    <t>CROSBY ROGERS</t>
  </si>
  <si>
    <t>KAITLYN LOMBARDI</t>
  </si>
  <si>
    <t>EVELYN ELLWOOD</t>
  </si>
  <si>
    <t>THOMAS ELLWOOD</t>
  </si>
  <si>
    <t>ADRIANA CIBULKA</t>
  </si>
  <si>
    <t>COLTON COSTA</t>
  </si>
  <si>
    <t>BLAKE TAYLOR</t>
  </si>
  <si>
    <t>NATHAN ST.DENIS</t>
  </si>
  <si>
    <t>AARON MARTENS</t>
  </si>
  <si>
    <t>SAWYER BISHOP</t>
  </si>
  <si>
    <t>SOFIA DECOOK</t>
  </si>
  <si>
    <t>JAYLEN VAN DER BURGH</t>
  </si>
  <si>
    <t>AIDEN FAUBERT</t>
  </si>
  <si>
    <t>PEYTON O’NEIL</t>
  </si>
  <si>
    <t>DYLAN COPPOLA</t>
  </si>
  <si>
    <t>JAIDEN LIBERATO</t>
  </si>
  <si>
    <t>PATRICK NANTAIS</t>
  </si>
  <si>
    <t>KIERRA POTTER</t>
  </si>
  <si>
    <t>MATEO MCKAY</t>
  </si>
  <si>
    <t>ADRIAN MCKAY</t>
  </si>
  <si>
    <t>AIDEN WELKER</t>
  </si>
  <si>
    <t>MAYSON &amp; HUDSON DUMOUCHELLE</t>
  </si>
  <si>
    <t>AUSTIN MALOTT</t>
  </si>
  <si>
    <t>CHAYTON MATCHETT</t>
  </si>
  <si>
    <t>GABRIEL WATSON</t>
  </si>
  <si>
    <t>DANTE WATSON</t>
  </si>
  <si>
    <t>MALIA MASTRONARDI</t>
  </si>
  <si>
    <t>DANIEL NANTAIS</t>
  </si>
  <si>
    <t>CHARLOTTE AND ZACHARY VINCENT</t>
  </si>
  <si>
    <t>SOPHIA PREBEG</t>
  </si>
  <si>
    <t>MILENA YOUSSEF</t>
  </si>
  <si>
    <t>SIANNA FIGUEIREDO</t>
  </si>
  <si>
    <t>LIAM NELSON-MCHARDY</t>
  </si>
  <si>
    <t>MATTHEW KANC</t>
  </si>
  <si>
    <t>GIOVANNI DIGRANDI</t>
  </si>
  <si>
    <t>ADRIANO BRAGA</t>
  </si>
  <si>
    <t>NOLAN MCHARDY</t>
  </si>
  <si>
    <t>LYLA BATTERSBY</t>
  </si>
  <si>
    <t>BRYCE GALBRAITH</t>
  </si>
  <si>
    <t>ARIA GALBRAITH</t>
  </si>
  <si>
    <t>GIULIANNA MASTRONARDI</t>
  </si>
  <si>
    <t>EVERLY FISCHER</t>
  </si>
  <si>
    <t>RILEY CRONHEIMER</t>
  </si>
  <si>
    <t>MYLES KLASSEN</t>
  </si>
  <si>
    <t>SEBASTIAN BLACK</t>
  </si>
  <si>
    <t>JAXSON &amp; MADDY SANTOS</t>
  </si>
  <si>
    <t>LOGAN MCAVOY</t>
  </si>
  <si>
    <t>ORLANDO FIGLIOMENI</t>
  </si>
  <si>
    <t>WILLIAM WAKEFORD</t>
  </si>
  <si>
    <t>GAGE GYURKOVICS</t>
  </si>
  <si>
    <t>ELLIA MOLLARD</t>
  </si>
  <si>
    <t>JOSIAH STUBBERT</t>
  </si>
  <si>
    <t>KILLIAN COCKS</t>
  </si>
  <si>
    <t>BROOKS HARPER</t>
  </si>
  <si>
    <t>NOAH DASILVA</t>
  </si>
  <si>
    <t>ZAK JOHNSTON</t>
  </si>
  <si>
    <t>BRADLEY JOHNSTON</t>
  </si>
  <si>
    <t>BLAKE JOHNSTON</t>
  </si>
  <si>
    <t>WAYLON WALL</t>
  </si>
  <si>
    <t>GIAVANNA FOLDESI</t>
  </si>
  <si>
    <t>CARTER FEDERMAN</t>
  </si>
  <si>
    <t>ALEXIS O'NEIL</t>
  </si>
  <si>
    <t>ELI STEED-LANGILLE</t>
  </si>
  <si>
    <t>BELLE FERRARI VILLENEIVE</t>
  </si>
  <si>
    <t>BLAKE MILKINS</t>
  </si>
  <si>
    <t>BRAYDEN CHASE</t>
  </si>
  <si>
    <t>CARTER LUCIER</t>
  </si>
  <si>
    <t>JAYDEN JANSEN</t>
  </si>
  <si>
    <t>WLM1002000</t>
  </si>
  <si>
    <t>JOEY LOCK</t>
  </si>
  <si>
    <t>CARTER GRAHAM</t>
  </si>
  <si>
    <t>EMMA FIGUEROA-ALVAREZ</t>
  </si>
  <si>
    <t>CARTER MARTIN</t>
  </si>
  <si>
    <t>DANTE CAFFARENA</t>
  </si>
  <si>
    <t>BROCK BONNEVIE</t>
  </si>
  <si>
    <t>RHODE MORRICE</t>
  </si>
  <si>
    <t>ZACHARY HAMMOND</t>
  </si>
  <si>
    <t>REESE MORRICE</t>
  </si>
  <si>
    <t>EMANUELLE A SANTOS</t>
  </si>
  <si>
    <t>MILANA ESPOSITO</t>
  </si>
  <si>
    <t>OWEN GRIEVE</t>
  </si>
  <si>
    <t>LILY AND NOAH TRUPP</t>
  </si>
  <si>
    <t>MALCOM ROGERS</t>
  </si>
  <si>
    <t>JULIAN PANNUNZIO</t>
  </si>
  <si>
    <t>CHARLOTTE KROH</t>
  </si>
  <si>
    <t>AUGUSTUS MELO</t>
  </si>
  <si>
    <t>THEO CHARLES</t>
  </si>
  <si>
    <t>JERRAD FLOYD</t>
  </si>
  <si>
    <t>DIGDYN035</t>
  </si>
  <si>
    <t>DIG100002</t>
  </si>
  <si>
    <t>digdnlowSM</t>
  </si>
  <si>
    <t>DIGDNLOWTB</t>
  </si>
  <si>
    <t>M MALMBERG</t>
  </si>
  <si>
    <t>NICHOLAS CZARNECKI</t>
  </si>
  <si>
    <t>TEST TEST TEST TEST</t>
  </si>
  <si>
    <t>OWEN SUTTON</t>
  </si>
  <si>
    <t>KAITLYN BOYLE</t>
  </si>
  <si>
    <t>TESTING TEST</t>
  </si>
  <si>
    <t>Jessica Rodrigues</t>
  </si>
  <si>
    <t>Sarah Rodrigues</t>
  </si>
  <si>
    <t>EVERETT MARTINHO</t>
  </si>
  <si>
    <t>WESLEY GAUTHIER</t>
  </si>
  <si>
    <t>ZACHARY DEAN</t>
  </si>
  <si>
    <t>DIG100001</t>
  </si>
  <si>
    <t>MYA DEAN</t>
  </si>
  <si>
    <t>OWEN DEAN</t>
  </si>
  <si>
    <t>TIAGO SANTOS</t>
  </si>
  <si>
    <t>GTA100780O</t>
  </si>
  <si>
    <t>LUKE MAILLOUX</t>
  </si>
  <si>
    <t>INDIE WILLIAMSON</t>
  </si>
  <si>
    <t>BENJAMIN MITCHELL</t>
  </si>
  <si>
    <t>ETHAN, EVAN &amp; CALEB BAKER</t>
  </si>
  <si>
    <t>AMELIA LEWIS</t>
  </si>
  <si>
    <t>Ashley Incitti</t>
  </si>
  <si>
    <t>COLIN RIDDELL</t>
  </si>
  <si>
    <t>DIG1000000-1-1</t>
  </si>
  <si>
    <t>GRANT (AND REID) KERWIN</t>
  </si>
  <si>
    <t>ALEX JONES</t>
  </si>
  <si>
    <t>ERIE ARSENAULT</t>
  </si>
  <si>
    <t>ASHTON CYR</t>
  </si>
  <si>
    <t>ACHILLES AND WOLFGANG BRACKELL</t>
  </si>
  <si>
    <t>ROMAN KELLER</t>
  </si>
  <si>
    <t>JAXON KELLER</t>
  </si>
  <si>
    <t>KALE PUCOVSKY</t>
  </si>
  <si>
    <t>DYLAN PATTERSON</t>
  </si>
  <si>
    <t>LINCOLN CROUCHER</t>
  </si>
  <si>
    <t>MILES CROUCHER</t>
  </si>
  <si>
    <t>TRISTYN BARKER</t>
  </si>
  <si>
    <t>AVERY HERDMAN</t>
  </si>
  <si>
    <t>IZABELA MUZZIN</t>
  </si>
  <si>
    <t>NORA BUTZER</t>
  </si>
  <si>
    <t>MICHAEL D'ALIMONTE</t>
  </si>
  <si>
    <t>DREW KASSIAN</t>
  </si>
  <si>
    <t>MAREK MUZZIN</t>
  </si>
  <si>
    <t>BROOKLYN RUSSELL</t>
  </si>
  <si>
    <t>CARTER RUSSELL</t>
  </si>
  <si>
    <t>DANIEL NANTAIS NANTAIS</t>
  </si>
  <si>
    <t>KADE TIESSEN</t>
  </si>
  <si>
    <t>MATTEO MUZZIN</t>
  </si>
  <si>
    <t>LAURYN MIALKOWSKI</t>
  </si>
  <si>
    <t>SIDNEY MORRISH</t>
  </si>
  <si>
    <t>JACKSON SCHNEKENBURGER</t>
  </si>
  <si>
    <t>JACK JENSEN</t>
  </si>
  <si>
    <t>JAYCE MOTRUK</t>
  </si>
  <si>
    <t>VINCENT HAGEN</t>
  </si>
  <si>
    <t>RYAN HAGEN</t>
  </si>
  <si>
    <t>RYAN SPRAGUE</t>
  </si>
  <si>
    <t>HUDSON/CARTER/TATUM MACLEOD</t>
  </si>
  <si>
    <t>MASON WIPER</t>
  </si>
  <si>
    <t>DAWSON KREEFT</t>
  </si>
  <si>
    <t>COLIN HEBERT</t>
  </si>
  <si>
    <t>JACKSON LOWRIE</t>
  </si>
  <si>
    <t>JAKE HARNADEK</t>
  </si>
  <si>
    <t>NASH HILLS</t>
  </si>
  <si>
    <t>JAGGER MAXEY</t>
  </si>
  <si>
    <t>MAYA MAXEY</t>
  </si>
  <si>
    <t>JOEY VESPA</t>
  </si>
  <si>
    <t>QUINTON STEVENSON</t>
  </si>
  <si>
    <t>AUDREY BAKER</t>
  </si>
  <si>
    <t>OWEN MACKINNON</t>
  </si>
  <si>
    <t>LANDAN &amp; MAYSON DUMOUCHELLE</t>
  </si>
  <si>
    <t>MADISON MAILLOUX</t>
  </si>
  <si>
    <t>ROCCO MANCINI</t>
  </si>
  <si>
    <t>EVAN MASTRONARDI</t>
  </si>
  <si>
    <t>COLE MASTRONARDI</t>
  </si>
  <si>
    <t>OWEN COLE &amp; EVAN MASTRONARDI</t>
  </si>
  <si>
    <t>CONOR COBBY</t>
  </si>
  <si>
    <t>LAUREN WHALING</t>
  </si>
  <si>
    <t>NATHAN ANGER</t>
  </si>
  <si>
    <t>JACK MCCOY</t>
  </si>
  <si>
    <t>RIVER DYCK</t>
  </si>
  <si>
    <t>OWEN SAUVE</t>
  </si>
  <si>
    <t>TAYLOR NEUDORF</t>
  </si>
  <si>
    <t>GIANNI BERTUCCIO</t>
  </si>
  <si>
    <t>ETHAN BAKER</t>
  </si>
  <si>
    <t>RAEGAN SPITSE</t>
  </si>
  <si>
    <t>LOGAN FICK</t>
  </si>
  <si>
    <t>JAKE KOPKA</t>
  </si>
  <si>
    <t>BRAEDEN SPINETI</t>
  </si>
  <si>
    <t>OWEN MARTIN</t>
  </si>
  <si>
    <t>NATHAN SNIVELY</t>
  </si>
  <si>
    <t>QUINN SHAFTEN</t>
  </si>
  <si>
    <t>AIDAN CLIGG</t>
  </si>
  <si>
    <t>LANDON ROUSSEAU-FERRISS</t>
  </si>
  <si>
    <t>ALEX SWADDLING</t>
  </si>
  <si>
    <t>NICHOLAS DIMILO</t>
  </si>
  <si>
    <t>JACOB CHIARAPPA</t>
  </si>
  <si>
    <t>MILES MCLEAN</t>
  </si>
  <si>
    <t>ELLIOT PARISIEN</t>
  </si>
  <si>
    <t>BRODY SKINNER</t>
  </si>
  <si>
    <t>QUINTIN WINTER</t>
  </si>
  <si>
    <t>EVAN FRIESEN</t>
  </si>
  <si>
    <t>AIDAN PIMENTEL</t>
  </si>
  <si>
    <t>TIFFANY BEAUSOLEIL</t>
  </si>
  <si>
    <t>BRADY MUTTERBACK</t>
  </si>
  <si>
    <t>DREW GOUIN</t>
  </si>
  <si>
    <t>WYATT BONNETT</t>
  </si>
  <si>
    <t>BRANDON DUPUIS</t>
  </si>
  <si>
    <t>RYAN DUPUIS</t>
  </si>
  <si>
    <t>LOGAN LAPORTE</t>
  </si>
  <si>
    <t>BRANDON/RYAN DUPUIS</t>
  </si>
  <si>
    <t>EDDIE, GRADY, CLAY VIGNEUX</t>
  </si>
  <si>
    <t>RYDER/COLBY COOKSON</t>
  </si>
  <si>
    <t>BRADY TOUPIN</t>
  </si>
  <si>
    <t>DYLAN TOUPIN</t>
  </si>
  <si>
    <t>HUNTER MARTIN</t>
  </si>
  <si>
    <t>CLAUDIA MEDEIROS</t>
  </si>
  <si>
    <t>JACKSON LAMBERT</t>
  </si>
  <si>
    <t>JOSHUA CHIARAPPA</t>
  </si>
  <si>
    <t>AUSTIN KOHUCH</t>
  </si>
  <si>
    <t>GABRIEL RINO</t>
  </si>
  <si>
    <t>MASON BAS</t>
  </si>
  <si>
    <t>COPPER/JACKSON DOWDALL</t>
  </si>
  <si>
    <t>DYLAN SNYDER</t>
  </si>
  <si>
    <t>JEREMY SNYDER</t>
  </si>
  <si>
    <t>NOAH TINUS</t>
  </si>
  <si>
    <t>HEATON NELSON</t>
  </si>
  <si>
    <t>CARTER KRETSCHMANN</t>
  </si>
  <si>
    <t>KAI SNOEI</t>
  </si>
  <si>
    <t>COLBY SNOEI</t>
  </si>
  <si>
    <t>CASH ROBERT</t>
  </si>
  <si>
    <t>COLE HAMMOND</t>
  </si>
  <si>
    <t>ENZO MANCINI</t>
  </si>
  <si>
    <t>BLAKE COYLE</t>
  </si>
  <si>
    <t>JESSE VANDENDRIESSCHE</t>
  </si>
  <si>
    <t>JANNINE CLARK</t>
  </si>
  <si>
    <t>JAXSON BONDY</t>
  </si>
  <si>
    <t>CAMBRIA HARRIS</t>
  </si>
  <si>
    <t>HUDSON HARRIS</t>
  </si>
  <si>
    <t>NATHAN HICKS</t>
  </si>
  <si>
    <t>GATLIN REILLY</t>
  </si>
  <si>
    <t>MYLES MICHALSKI</t>
  </si>
  <si>
    <t>JESHUA REILLY</t>
  </si>
  <si>
    <t>SAM HAMME</t>
  </si>
  <si>
    <t>BRODY BUCHANAN</t>
  </si>
  <si>
    <t>ETHAN HILLIER</t>
  </si>
  <si>
    <t>KARTER STIERS</t>
  </si>
  <si>
    <t>LIAM DUGAS</t>
  </si>
  <si>
    <t>OLIVER JAMES</t>
  </si>
  <si>
    <t>HUNTER BARKER</t>
  </si>
  <si>
    <t>JAXSON SANTOS</t>
  </si>
  <si>
    <t>ELI FABOK</t>
  </si>
  <si>
    <t>WYATT FOX</t>
  </si>
  <si>
    <t>ISLA EPPLETT</t>
  </si>
  <si>
    <t>JACK EPPLETT</t>
  </si>
  <si>
    <t>MAIYA JANISSE</t>
  </si>
  <si>
    <t>MYLES JANISSE</t>
  </si>
  <si>
    <t>DAX ROUNDING</t>
  </si>
  <si>
    <t>CHARLOTTE WRIGHT</t>
  </si>
  <si>
    <t>JAXON DUNN</t>
  </si>
  <si>
    <t>ASHTON MORRISH</t>
  </si>
  <si>
    <t>CRUZ MIALKOWSKI</t>
  </si>
  <si>
    <t>RYDER RODRIGUES</t>
  </si>
  <si>
    <t>MATTHEW CALDER</t>
  </si>
  <si>
    <t>LOGAN MACPHAIL</t>
  </si>
  <si>
    <t>ZACHARY VINCENT</t>
  </si>
  <si>
    <t>NICO OLSEN</t>
  </si>
  <si>
    <t>ODEAN OLSEN</t>
  </si>
  <si>
    <t>JACK LYNAGH</t>
  </si>
  <si>
    <t>EVAN WARKENTIN</t>
  </si>
  <si>
    <t>TUCKER RODRIGUES</t>
  </si>
  <si>
    <t>GRAYSON GOWANLOCK</t>
  </si>
  <si>
    <t>HENRY BEGGS</t>
  </si>
  <si>
    <t>JACOB WHALEY</t>
  </si>
  <si>
    <t>ALESSIO INCITTI</t>
  </si>
  <si>
    <t>EMMETT SANTAROSSA</t>
  </si>
  <si>
    <t>JACK KUTZ-REH</t>
  </si>
  <si>
    <t>HOLDEN WILEY</t>
  </si>
  <si>
    <t>MADDOX BERNARDES</t>
  </si>
  <si>
    <t>LUCA GAULTIERI</t>
  </si>
  <si>
    <t>COYLE MCMAHON</t>
  </si>
  <si>
    <t>CALEB BAKER</t>
  </si>
  <si>
    <t>JASE GYURKOVICS</t>
  </si>
  <si>
    <t>AIDAN JASE PIMENTEL GYURKOVICS</t>
  </si>
  <si>
    <t>TESTING TESTING</t>
  </si>
  <si>
    <t>CURTIS GRAHAM</t>
  </si>
  <si>
    <t>EASTON BEZAIRE</t>
  </si>
  <si>
    <t>WYATT SHAW</t>
  </si>
  <si>
    <t>KAI THORBURN</t>
  </si>
  <si>
    <t>TATE GETTY</t>
  </si>
  <si>
    <t>FINN RUSSETT</t>
  </si>
  <si>
    <t>LOGAN DISHER</t>
  </si>
  <si>
    <t>QUINN FARRUGIA</t>
  </si>
  <si>
    <t>ANTHONY BELOUIS</t>
  </si>
  <si>
    <t>JOHN FOUNTAINE</t>
  </si>
  <si>
    <t>PRESTON PRESTON</t>
  </si>
  <si>
    <t>HUNTER BOROSKI</t>
  </si>
  <si>
    <t>PIERCE TARGACHOFF</t>
  </si>
  <si>
    <t>EASTON GAUTHIER</t>
  </si>
  <si>
    <t>JERRY PERALTA</t>
  </si>
  <si>
    <t>EVAN RAYMOND</t>
  </si>
  <si>
    <t>ANDRE OULEVEY</t>
  </si>
  <si>
    <t>EUAN MCDONALD</t>
  </si>
  <si>
    <t>BENNETT HORROCKS</t>
  </si>
  <si>
    <t>CARTER BAKE</t>
  </si>
  <si>
    <t>COLTON BAKE</t>
  </si>
  <si>
    <t>TANNER TRUDELL</t>
  </si>
  <si>
    <t>MILO GILBERT</t>
  </si>
  <si>
    <t>XXX XXX</t>
  </si>
  <si>
    <t>ANTONIO SPADAFORA</t>
  </si>
  <si>
    <t>LUCA COVELLI</t>
  </si>
  <si>
    <t>JACK EMERY</t>
  </si>
  <si>
    <t>ROBERT RACICOT</t>
  </si>
  <si>
    <t>ZACH PATRICK</t>
  </si>
  <si>
    <t>TEST TEST</t>
  </si>
  <si>
    <t>DAXTON HILL</t>
  </si>
  <si>
    <t>OWEN MCCULLOCH</t>
  </si>
  <si>
    <t>NOAH MCCULLOCH</t>
  </si>
  <si>
    <t>VALENTINA NAWALANY</t>
  </si>
  <si>
    <t>MAX MIGLIARESE</t>
  </si>
  <si>
    <t>GODFREY CAMMIDGE</t>
  </si>
  <si>
    <t>JAYCE DAMPHOUSSE</t>
  </si>
  <si>
    <t>KANDREYA SZUSZ</t>
  </si>
  <si>
    <t>DIGDYN025</t>
  </si>
  <si>
    <t>CORTEZ BAYLIS</t>
  </si>
  <si>
    <t>ELLA GRAHAM</t>
  </si>
  <si>
    <t>KATELYN BRADY</t>
  </si>
  <si>
    <t>MAX DIPIERDOMENICO</t>
  </si>
  <si>
    <t>JOSH DETHOMASIS</t>
  </si>
  <si>
    <t>SARAH JOHNSON</t>
  </si>
  <si>
    <t>EVELYNN SCHMIDT</t>
  </si>
  <si>
    <t>JAKE LEWIS</t>
  </si>
  <si>
    <t>DANTE SIRIZZOTTI</t>
  </si>
  <si>
    <t>COOPER PATTERSON</t>
  </si>
  <si>
    <t>MOHAB HEMIDA</t>
  </si>
  <si>
    <t>LEO FAZIO</t>
  </si>
  <si>
    <t>CARTER HAMACHER</t>
  </si>
  <si>
    <t>CALLLUM MUIR</t>
  </si>
  <si>
    <t>TAYLOR LEFAIVE</t>
  </si>
  <si>
    <t>GRACE ONDRACKA</t>
  </si>
  <si>
    <t>JACLYN WESTON</t>
  </si>
  <si>
    <t>ADDISON MINELLO</t>
  </si>
  <si>
    <t>ALLIE THOMPSON</t>
  </si>
  <si>
    <t>ELIZABETH ARTHRELL</t>
  </si>
  <si>
    <t>JAKE LABUTTE</t>
  </si>
  <si>
    <t>CHRISTIAN COCCIMIGLIO</t>
  </si>
  <si>
    <t>MERIDITH COULTER</t>
  </si>
  <si>
    <t>PAYTON INSLEY</t>
  </si>
  <si>
    <t>ESME MULAOSMANOVIC</t>
  </si>
  <si>
    <t>BARRY MA</t>
  </si>
  <si>
    <t>LIAM AND CHASE WOLFE MAERZLUFT</t>
  </si>
  <si>
    <t>KRISTAN BZHETAJ</t>
  </si>
  <si>
    <t>DANIEL COLL</t>
  </si>
  <si>
    <t>NOAH MACDONALD</t>
  </si>
  <si>
    <t>BRIEN SONG</t>
  </si>
  <si>
    <t>JORDAN MCARTHUR</t>
  </si>
  <si>
    <t>ARCHER RANOLA</t>
  </si>
  <si>
    <t>JACK GUTHRIE</t>
  </si>
  <si>
    <t>JACE HOTHAM</t>
  </si>
  <si>
    <t>ADRIAN BOROSKI</t>
  </si>
  <si>
    <t>BLAKE FERRARI</t>
  </si>
  <si>
    <t>NOAH KELLY</t>
  </si>
  <si>
    <t>KARLOS COLEMAN</t>
  </si>
  <si>
    <t>KEAGAN HARWAY</t>
  </si>
  <si>
    <t>JULIAN CARUANA</t>
  </si>
  <si>
    <t>DANTE SCALIA</t>
  </si>
  <si>
    <t>MASON GIRARD</t>
  </si>
  <si>
    <t>BLAKE CLOUTIER</t>
  </si>
  <si>
    <t>ROBBY MIGHTON</t>
  </si>
  <si>
    <t>ALEXIS EAGEN</t>
  </si>
  <si>
    <t>ASHTON MALUSKE</t>
  </si>
  <si>
    <t>JORDAN MALUSKE</t>
  </si>
  <si>
    <t>ERIKSEN SIROLA</t>
  </si>
  <si>
    <t>ASHTON CONFLITTI</t>
  </si>
  <si>
    <t>JACQUELINE DES ROSIERS</t>
  </si>
  <si>
    <t>FIONN PEARSON</t>
  </si>
  <si>
    <t>GARY BENOIT</t>
  </si>
  <si>
    <t>ANDREW HANSEN</t>
  </si>
  <si>
    <t>BLAKE LIVINGSTON</t>
  </si>
  <si>
    <t>DIESEL NORRIS</t>
  </si>
  <si>
    <t>CHASE MACDONALD</t>
  </si>
  <si>
    <t>CHASE MORAND</t>
  </si>
  <si>
    <t>JAXON FICK</t>
  </si>
  <si>
    <t>SHAMUS RETTY</t>
  </si>
  <si>
    <t>JUSTIN REIMNEITZ</t>
  </si>
  <si>
    <t>JACK VAN KUREN</t>
  </si>
  <si>
    <t>NOAH HOTHAM</t>
  </si>
  <si>
    <t>ELLIOT LESTER</t>
  </si>
  <si>
    <t>ALEXANDRE LATOUR</t>
  </si>
  <si>
    <t>NATHAN BRYAN</t>
  </si>
  <si>
    <t>AYDEN ROSSI</t>
  </si>
  <si>
    <t>NOLAN LANGLOIS</t>
  </si>
  <si>
    <t>JACOB BELCOURE</t>
  </si>
  <si>
    <t>COLTON PROVIDENTI</t>
  </si>
  <si>
    <t>BLAKE COWGILL</t>
  </si>
  <si>
    <t>CARTER STASIO-STANNARD</t>
  </si>
  <si>
    <t>KEITH HAWLEY</t>
  </si>
  <si>
    <t>ROMEO FACCENDA</t>
  </si>
  <si>
    <t>LUCA PINESE</t>
  </si>
  <si>
    <t>BRADLEY SOUCHEREAU</t>
  </si>
  <si>
    <t>MATTHEW PHILION</t>
  </si>
  <si>
    <t>CARLOS CASTELLUCCI</t>
  </si>
  <si>
    <t>NICO SCALIA</t>
  </si>
  <si>
    <t>ETHAN MALOTT</t>
  </si>
  <si>
    <t>CALEB DUNNE</t>
  </si>
  <si>
    <t>AUSTIN SENAY</t>
  </si>
  <si>
    <t>PAULINE NASH</t>
  </si>
  <si>
    <t>TRISTAN PARE</t>
  </si>
  <si>
    <t>ADRIANNA PARE</t>
  </si>
  <si>
    <t>ISAAC POOLE</t>
  </si>
  <si>
    <t>AUSTIN MUZZATTI</t>
  </si>
  <si>
    <t>NICHOLAS MCMAHON</t>
  </si>
  <si>
    <t>MATTEO SPERDUTI</t>
  </si>
  <si>
    <t>DALLAS KNIGHT</t>
  </si>
  <si>
    <t>JUN WALKER</t>
  </si>
  <si>
    <t>RYAN SEMENTILLI</t>
  </si>
  <si>
    <t>ISAAC WALKER</t>
  </si>
  <si>
    <t>TRAVIS JANKOVICH</t>
  </si>
  <si>
    <t>JAXSON EASTER</t>
  </si>
  <si>
    <t>CHAEL DIPIERDOMENICO</t>
  </si>
  <si>
    <t>MAX HANDSOR</t>
  </si>
  <si>
    <t>KELLER INGLIS</t>
  </si>
  <si>
    <t>ROWAN PARENT</t>
  </si>
  <si>
    <t>MILES GUO</t>
  </si>
  <si>
    <t>LIAM FORTIN</t>
  </si>
  <si>
    <t>AIDAN VIPOND</t>
  </si>
  <si>
    <t>ANDREW WARD</t>
  </si>
  <si>
    <t>MICHEL THIVIERGE</t>
  </si>
  <si>
    <t>WILL GRADY</t>
  </si>
  <si>
    <t>QINHAO ZHONG</t>
  </si>
  <si>
    <t>COLIN WILLIAMS</t>
  </si>
  <si>
    <t>MARC POISSON</t>
  </si>
  <si>
    <t>BRUNO MAZZALONGA</t>
  </si>
  <si>
    <t>OWEN COFFEY</t>
  </si>
  <si>
    <t>NOLAN BAIN</t>
  </si>
  <si>
    <t>BENNETT MACDONALD</t>
  </si>
  <si>
    <t>CAMDEN JACKSON</t>
  </si>
  <si>
    <t>BEN MCLEOD</t>
  </si>
  <si>
    <t>JACK BALMER</t>
  </si>
  <si>
    <t>MICHAEL MARIANI</t>
  </si>
  <si>
    <t>GAVIN CAMPBELL</t>
  </si>
  <si>
    <t>ADAM GIRGIS</t>
  </si>
  <si>
    <t>CRUZ STANNARD</t>
  </si>
  <si>
    <t>OWEN CARGILL</t>
  </si>
  <si>
    <t>RIKI IKIOK</t>
  </si>
  <si>
    <t>BRAYDE DUF</t>
  </si>
  <si>
    <t>DEVIN BARTA</t>
  </si>
  <si>
    <t>FITZ HANNAN</t>
  </si>
  <si>
    <t>RYAN MILLER</t>
  </si>
  <si>
    <t>LIAM BALKWILL</t>
  </si>
  <si>
    <t>LUCA POP</t>
  </si>
  <si>
    <t>MIKAYLA REEB</t>
  </si>
  <si>
    <t>CARTER REEB</t>
  </si>
  <si>
    <t>JACKSON MONTAGUE</t>
  </si>
  <si>
    <t>HUNTER COMTOIS</t>
  </si>
  <si>
    <t>KINAN CHAMS</t>
  </si>
  <si>
    <t>CARTER VANKOUGHNETT</t>
  </si>
  <si>
    <t>ASHTON HALLETT</t>
  </si>
  <si>
    <t>BRAEDEN COMTOIS</t>
  </si>
  <si>
    <t>GAVIN DEBLOIS</t>
  </si>
  <si>
    <t>COLIN GARANT</t>
  </si>
  <si>
    <t>WYNTER WHITE</t>
  </si>
  <si>
    <t>XAVIER PAULIN</t>
  </si>
  <si>
    <t>GRAY WI</t>
  </si>
  <si>
    <t>YOUR NAME HERE YOUR NAME HERE</t>
  </si>
  <si>
    <t>BRAYDEN COLLEY</t>
  </si>
  <si>
    <t>DREW FERENC</t>
  </si>
  <si>
    <t>KAYLA VERES</t>
  </si>
  <si>
    <t>AUSTIN WRIGHT</t>
  </si>
  <si>
    <t>LANDYN THOMPSON</t>
  </si>
  <si>
    <t>MACKENZIE THORBURN</t>
  </si>
  <si>
    <t>LEXI COLENUTT</t>
  </si>
  <si>
    <t>SARAH DESHAIES</t>
  </si>
  <si>
    <t>ADA ST LOUIS</t>
  </si>
  <si>
    <t>RHYEN ADAMS</t>
  </si>
  <si>
    <t>ÉMILIE HART</t>
  </si>
  <si>
    <t>BLAKE BRINDLEY</t>
  </si>
  <si>
    <t>ELYSE HARNDEN</t>
  </si>
  <si>
    <t>SIENNA FRASER</t>
  </si>
  <si>
    <t>GIA BARRETTE</t>
  </si>
  <si>
    <t>JILLIAN TOPE</t>
  </si>
  <si>
    <t>REESE EAGEN</t>
  </si>
  <si>
    <t>BROOKE STEZYCKI</t>
  </si>
  <si>
    <t>EVE MCKELVIE</t>
  </si>
  <si>
    <t>ELLIE MOUSSEAU</t>
  </si>
  <si>
    <t>Wmha1</t>
  </si>
  <si>
    <t>KOLTON LUE PANN</t>
  </si>
  <si>
    <t>CARMELO EDWARDS</t>
  </si>
  <si>
    <t>DONNY PREVOST</t>
  </si>
  <si>
    <t>CARTER LYWOOD</t>
  </si>
  <si>
    <t>CAIDEN LYWOOD</t>
  </si>
  <si>
    <t>JONATHAN MAZLOUM</t>
  </si>
  <si>
    <t>HARRISON MCCARTHY</t>
  </si>
  <si>
    <t>ETHAN O’NEIL</t>
  </si>
  <si>
    <t>ZACHARY SHARMA</t>
  </si>
  <si>
    <t>ELLIOTT PRESTON</t>
  </si>
  <si>
    <t>LUC GERTSAKIS</t>
  </si>
  <si>
    <t>GRANT SYMONS</t>
  </si>
  <si>
    <t>GAVIN GAUDET</t>
  </si>
  <si>
    <t>BRADY GRONDIN</t>
  </si>
  <si>
    <t>AUSTIN MCIVOR</t>
  </si>
  <si>
    <t>COOPER WOODMAN</t>
  </si>
  <si>
    <t>VAUGHN TRUPPE</t>
  </si>
  <si>
    <t>VINCENT BONDY</t>
  </si>
  <si>
    <t>OLIVER HAWKESWOOD</t>
  </si>
  <si>
    <t>TYLER BUTLER</t>
  </si>
  <si>
    <t>JACKSON PRACEY</t>
  </si>
  <si>
    <t>BRODIE BOCOCK</t>
  </si>
  <si>
    <t>BOSTON BOCOCK</t>
  </si>
  <si>
    <t>EVAN MAILLOUX</t>
  </si>
  <si>
    <t>MILES WHITMAN</t>
  </si>
  <si>
    <t>JOSEPH CHARETTE</t>
  </si>
  <si>
    <t>KIEL ROOT</t>
  </si>
  <si>
    <t>GTA101750</t>
  </si>
  <si>
    <t>CARRICK MURPHY</t>
  </si>
  <si>
    <t>DANTE GALIPEAU SHADD</t>
  </si>
  <si>
    <t>FOSTER MELKO</t>
  </si>
  <si>
    <t>HUDSON MELKO</t>
  </si>
  <si>
    <t>MARIO CASONI</t>
  </si>
  <si>
    <t>BLAKE BONNEVIE</t>
  </si>
  <si>
    <t>BROCK (#80) &amp; BLAKE (#11) BONNEVIE</t>
  </si>
  <si>
    <t>CHARLIE JONES</t>
  </si>
  <si>
    <t>ANTHONY RICORD</t>
  </si>
  <si>
    <t>ENIKE ATOGWE</t>
  </si>
  <si>
    <t>LUKA CUCKOVIC</t>
  </si>
  <si>
    <t>MARSAYIS HURST</t>
  </si>
  <si>
    <t>OWEN MAILLOUX</t>
  </si>
  <si>
    <t>JAEL HURST</t>
  </si>
  <si>
    <t>JAMES TSITSAS-FORD</t>
  </si>
  <si>
    <t>BROCK GYORI</t>
  </si>
  <si>
    <t>CHASE DELANEY</t>
  </si>
  <si>
    <t>JASPER HYSLOP</t>
  </si>
  <si>
    <t>WILLIAM OYLER</t>
  </si>
  <si>
    <t>JAX AND</t>
  </si>
  <si>
    <t>JIBRIEL ELSAYED</t>
  </si>
  <si>
    <t>IDRIS ELSAYED</t>
  </si>
  <si>
    <t>RICHARD JACKSON</t>
  </si>
  <si>
    <t>ALEX ABADJIAN</t>
  </si>
  <si>
    <t>KURTIS DURANCE</t>
  </si>
  <si>
    <t>BLAKE MCCRACKEN</t>
  </si>
  <si>
    <t>ADA CATENACCI</t>
  </si>
  <si>
    <t>CONNOR GREEN</t>
  </si>
  <si>
    <t>MILAN CUCKOVIC</t>
  </si>
  <si>
    <t>DENINE PARENT-MAJOR</t>
  </si>
  <si>
    <t>FJ MELKO</t>
  </si>
  <si>
    <t>DIG100317</t>
  </si>
  <si>
    <t>JOEY DESMARAIS</t>
  </si>
  <si>
    <t>MYLES GUENETTE</t>
  </si>
  <si>
    <t>DAMIEN BROWN</t>
  </si>
  <si>
    <t>LUCA STRAMACCHIA</t>
  </si>
  <si>
    <t>NICO STRAMACCHIA</t>
  </si>
  <si>
    <t>MASON MITCHELL-CHESWICK</t>
  </si>
  <si>
    <t>TAREK &amp; ZAYN HAFEZ</t>
  </si>
  <si>
    <t>KOHEN REYNOLDS</t>
  </si>
  <si>
    <t>TAREK AND ZAYN HAFEZ</t>
  </si>
  <si>
    <t>NOAH SIM</t>
  </si>
  <si>
    <t>TAMMY GRECO</t>
  </si>
  <si>
    <t>LUCIAN APPLEYARD</t>
  </si>
  <si>
    <t>COLE BROOKS</t>
  </si>
  <si>
    <t>RYAN NICE</t>
  </si>
  <si>
    <t>CHASE RINGLER</t>
  </si>
  <si>
    <t>LIAM FORD</t>
  </si>
  <si>
    <t>KAYLIN HILLMAN</t>
  </si>
  <si>
    <t>ALEKSANDER SUPIC</t>
  </si>
  <si>
    <t>ROSS SIDDALL</t>
  </si>
  <si>
    <t>RAYNE MCINTYRE</t>
  </si>
  <si>
    <t>STEPHEN HOLT</t>
  </si>
  <si>
    <t>WYATT PARENT</t>
  </si>
  <si>
    <t>ISAIAH TANEVSKI</t>
  </si>
  <si>
    <t>DANTE BORTOLUSSI</t>
  </si>
  <si>
    <t>DAMIEN BUTRYN</t>
  </si>
  <si>
    <t>JAYDEN ROBERTS</t>
  </si>
  <si>
    <t>HAYDEN CURTIS</t>
  </si>
  <si>
    <t>PAISLEY DOWLING</t>
  </si>
  <si>
    <t>BRANDON GRONDIN</t>
  </si>
  <si>
    <t>KALIN POWELL</t>
  </si>
  <si>
    <t>OWEN ROUSSEAU</t>
  </si>
  <si>
    <t>ADRIAN KRASINSKI</t>
  </si>
  <si>
    <t>ANTHONY MUZZATTI</t>
  </si>
  <si>
    <t>JAYDEN PETERS</t>
  </si>
  <si>
    <t>HAYDEN RUTHERFORD</t>
  </si>
  <si>
    <t>BENJAMIN APHRAM</t>
  </si>
  <si>
    <t>JACKSON DURHAM</t>
  </si>
  <si>
    <t>QUINCY GOOD</t>
  </si>
  <si>
    <t>DOMINIC MACDONALD</t>
  </si>
  <si>
    <t>JEREMIAH SMITH</t>
  </si>
  <si>
    <t>ANTHONY FEDCHUN</t>
  </si>
  <si>
    <t>GRAYSON BART</t>
  </si>
  <si>
    <t>ETHAN MATENDA</t>
  </si>
  <si>
    <t>TRAVIS MEECHEM</t>
  </si>
  <si>
    <t>ELIJAH HEATON</t>
  </si>
  <si>
    <t>PAXTON SPENCE</t>
  </si>
  <si>
    <t>CORBIN GRUNDY</t>
  </si>
  <si>
    <t>XAVIER WHITE</t>
  </si>
  <si>
    <t>JAXZEN FREEMAN</t>
  </si>
  <si>
    <t>MARCO MOLLICA</t>
  </si>
  <si>
    <t>JAMES JOHNSON</t>
  </si>
  <si>
    <t>JACK DAFOE</t>
  </si>
  <si>
    <t>DURELL CHARLES-SCHMIDT</t>
  </si>
  <si>
    <t>BRYAN BROWN</t>
  </si>
  <si>
    <t>AJ RETTIG</t>
  </si>
  <si>
    <t>BRADLEY O’NEIL</t>
  </si>
  <si>
    <t>AJAX SMITH</t>
  </si>
  <si>
    <t>NOAH CHRIS</t>
  </si>
  <si>
    <t>HUDSON WIRTH</t>
  </si>
  <si>
    <t>MILES MORENCIE</t>
  </si>
  <si>
    <t>JAKE PARENT</t>
  </si>
  <si>
    <t>LOGAN SENAY</t>
  </si>
  <si>
    <t>AIDEN BROOKS</t>
  </si>
  <si>
    <t>JAMES GLEDHILL</t>
  </si>
  <si>
    <t>LUCCA NAIMOOL</t>
  </si>
  <si>
    <t>ASHER NAIMOOL</t>
  </si>
  <si>
    <t>JUSTIN WOOD</t>
  </si>
  <si>
    <t>BRAYDEN SMITH-ONDREJICKA</t>
  </si>
  <si>
    <t>KAYDEN KLOK</t>
  </si>
  <si>
    <t>CHARLIE LAMBERT</t>
  </si>
  <si>
    <t>BRAYDEN HOLMAN</t>
  </si>
  <si>
    <t>CALEB CADDEN</t>
  </si>
  <si>
    <t>QUINTON SCOTT</t>
  </si>
  <si>
    <t>MIGHTY MERKESTYN</t>
  </si>
  <si>
    <t>KADE HEYWOOD</t>
  </si>
  <si>
    <t>LANDYN WIGLE</t>
  </si>
  <si>
    <t>NIKOLA ADZIC</t>
  </si>
  <si>
    <t>ADRIAN WHITEFORD</t>
  </si>
  <si>
    <t>JAXSON EDWARDS</t>
  </si>
  <si>
    <t>COLTON PLATJOUW</t>
  </si>
  <si>
    <t>JERRAD &amp; JALEN &amp; DAD FLOYD</t>
  </si>
  <si>
    <t>MASON RIBERDY</t>
  </si>
  <si>
    <t>CALVIN NANTAU</t>
  </si>
  <si>
    <t>ATTICUS JONES</t>
  </si>
  <si>
    <t>DONTAE GRAYER</t>
  </si>
  <si>
    <t>TANNER M.DAVIDSON</t>
  </si>
  <si>
    <t>NOAH BENE</t>
  </si>
  <si>
    <t>MACKAYLA DOETZEL</t>
  </si>
  <si>
    <t>BRAEDON DORION</t>
  </si>
  <si>
    <t>CALLUM BUCHANAN</t>
  </si>
  <si>
    <t>KEITH LORD</t>
  </si>
  <si>
    <t>CASH MCCARTHY</t>
  </si>
  <si>
    <t>AMY MCCARTHY</t>
  </si>
  <si>
    <t>CAMRYN KNAPP</t>
  </si>
  <si>
    <t>MACK SOOLEY</t>
  </si>
  <si>
    <t>BRANDYN HALLIDAY</t>
  </si>
  <si>
    <t>JUSTUS HOPE</t>
  </si>
  <si>
    <t>OLIVER CADOTTE</t>
  </si>
  <si>
    <t>MAVERICK MOORE</t>
  </si>
  <si>
    <t>DOMINIC BONDY</t>
  </si>
  <si>
    <t>DEAGLAN SHINKOWSKI</t>
  </si>
  <si>
    <t>DANNY BAUGHAN</t>
  </si>
  <si>
    <t>BLAKE STA. CRUZ</t>
  </si>
  <si>
    <t>LIAM RAWLINGS</t>
  </si>
  <si>
    <t>WILLIAM MORGAN</t>
  </si>
  <si>
    <t>THEO CIRCELLI</t>
  </si>
  <si>
    <t>WILL AGASSE</t>
  </si>
  <si>
    <t>NOLAN BORSKI</t>
  </si>
  <si>
    <t>ADAM ABD ELJABER</t>
  </si>
  <si>
    <t>DAVID HOPKINS</t>
  </si>
  <si>
    <t>MARCELLO SIRIZZOTTI</t>
  </si>
  <si>
    <t>KELLY KERR</t>
  </si>
  <si>
    <t>PIPPA KERR</t>
  </si>
  <si>
    <t>NICOLA DUIGNAM</t>
  </si>
  <si>
    <t>wlm100151</t>
  </si>
  <si>
    <t>WLM100299</t>
  </si>
  <si>
    <t>ELI JAS</t>
  </si>
  <si>
    <t>wlm100501</t>
  </si>
  <si>
    <t>CHLOE TAYLOR</t>
  </si>
  <si>
    <t>GTA100050</t>
  </si>
  <si>
    <t>TUCOLIN DOWNEY</t>
  </si>
  <si>
    <t>TYRESE DOWNEY</t>
  </si>
  <si>
    <t>MASON TREMBLAY</t>
  </si>
  <si>
    <t>KYLEE ATKINSON</t>
  </si>
  <si>
    <t>wlm100151-1</t>
  </si>
  <si>
    <t>VIENNA DION</t>
  </si>
  <si>
    <t>GTA100850</t>
  </si>
  <si>
    <t>MASON CHESWICK</t>
  </si>
  <si>
    <t>WLM101684</t>
  </si>
  <si>
    <t>NATHAN CAMPBELL</t>
  </si>
  <si>
    <t>GTA101049</t>
  </si>
  <si>
    <t>DAVI RAMOS</t>
  </si>
  <si>
    <t>EMMETT REYNER</t>
  </si>
  <si>
    <t>wlm100997</t>
  </si>
  <si>
    <t>WINDSOR SPITFIRES U14AAA U14AAA</t>
  </si>
  <si>
    <t>JOSEPH NAKHLE</t>
  </si>
  <si>
    <t>BLAKE BRITENBAUGH</t>
  </si>
  <si>
    <t>COLTON &amp; BRAWN SMITH</t>
  </si>
  <si>
    <t>wlm100256</t>
  </si>
  <si>
    <t>GUNNAR PAVLETIC PEPPER</t>
  </si>
  <si>
    <t>CALE BURNAND</t>
  </si>
  <si>
    <t>wlm100255</t>
  </si>
  <si>
    <t>KEVIN MAULDIN</t>
  </si>
  <si>
    <t>ROCCO REID</t>
  </si>
  <si>
    <t>MAXWELL REID</t>
  </si>
  <si>
    <t>KYREE LAWRENCE</t>
  </si>
  <si>
    <t>wlm100259</t>
  </si>
  <si>
    <t>LUCA MOLLICA</t>
  </si>
  <si>
    <t>ISABELLA MOLLICA</t>
  </si>
  <si>
    <t>LUCAS BAKALIS</t>
  </si>
  <si>
    <t>GRAHAM CAMBOIA</t>
  </si>
  <si>
    <t>HAZE HILL</t>
  </si>
  <si>
    <t>JACK DINCHIK</t>
  </si>
  <si>
    <t>CODIE VIENS</t>
  </si>
  <si>
    <t>JACE LEBOEUF</t>
  </si>
  <si>
    <t>JAXON BRUNDAGE</t>
  </si>
  <si>
    <t>NATAVION NUCKLES</t>
  </si>
  <si>
    <t>KOLTON NELNER</t>
  </si>
  <si>
    <t>DYLAN TROLLIP</t>
  </si>
  <si>
    <t>TEEGAN SINCLAIR</t>
  </si>
  <si>
    <t>DEKLYN SINCLAIR-LOCKHART</t>
  </si>
  <si>
    <t>ISIAH HOCSON</t>
  </si>
  <si>
    <t>NOAH SIMPSON</t>
  </si>
  <si>
    <t>CAMERON RAYMOND</t>
  </si>
  <si>
    <t>TAYLEN BOURDEAU</t>
  </si>
  <si>
    <t>KADEN LEVEILLE</t>
  </si>
  <si>
    <t>RANELL BERRY</t>
  </si>
  <si>
    <t>ELIJAH MCKEE</t>
  </si>
  <si>
    <t>LIAM AQUILINA</t>
  </si>
  <si>
    <t>BENJAMIN GRAVEL</t>
  </si>
  <si>
    <t>BRENTLEY O’NEIL</t>
  </si>
  <si>
    <t>SHAYNE MCKEEN-ALLARD</t>
  </si>
  <si>
    <t>JAXSON KENNEDY</t>
  </si>
  <si>
    <t>LACHLAN MLINARIC</t>
  </si>
  <si>
    <t>EMMETT MESSINA-FERGUSON</t>
  </si>
  <si>
    <t>CAMDEN BRAIDFORD</t>
  </si>
  <si>
    <t>HARLEM PRICE</t>
  </si>
  <si>
    <t>JAYDEN WILSON</t>
  </si>
  <si>
    <t>JERRAD JALEN FLOYD</t>
  </si>
  <si>
    <t>REMY FIELDS</t>
  </si>
  <si>
    <t>ROMAN GAFFAN</t>
  </si>
  <si>
    <t>MAKSIM MALEC</t>
  </si>
  <si>
    <t>McKenna Coussens</t>
  </si>
  <si>
    <t>Enike "The Problem" Atogwe</t>
  </si>
  <si>
    <t>Connor Edwards</t>
  </si>
  <si>
    <t>Zander Bos</t>
  </si>
  <si>
    <t>Shayne McKeen-Allard</t>
  </si>
  <si>
    <t>LEONARDO OLIVERIO</t>
  </si>
  <si>
    <t>AIDEN YOUNG</t>
  </si>
  <si>
    <t>LOGAN VASIL</t>
  </si>
  <si>
    <t>DANTE GIRARD</t>
  </si>
  <si>
    <t>LUKE PRIER</t>
  </si>
  <si>
    <t>HUNTER HANCZAR</t>
  </si>
  <si>
    <t>ALEX HORVATH</t>
  </si>
  <si>
    <t>TYLER KLOK</t>
  </si>
  <si>
    <t>LEON BELANGER</t>
  </si>
  <si>
    <t>GRAYSON SHINKAR</t>
  </si>
  <si>
    <t>EMMANUEL TSHIUNZA</t>
  </si>
  <si>
    <t>HENOC TSHIUNZA</t>
  </si>
  <si>
    <t>BRAYDEN HALLIDAY</t>
  </si>
  <si>
    <t>QUINN LIPPERT</t>
  </si>
  <si>
    <t>DONTE LYNCH</t>
  </si>
  <si>
    <t>KOHEN MOYNAHAN</t>
  </si>
  <si>
    <t>ADAM ABD EL JABER</t>
  </si>
  <si>
    <t>KADEN GEREIGE</t>
  </si>
  <si>
    <t>THAIN CARDINAL</t>
  </si>
  <si>
    <t>wlm100350-1</t>
  </si>
  <si>
    <t>BRADY HARDAKER</t>
  </si>
  <si>
    <t>LUCA DIMAGGIO</t>
  </si>
  <si>
    <t>LUKE SPITTAL</t>
  </si>
  <si>
    <t>BRADY YOUNG</t>
  </si>
  <si>
    <t>BRODY PAQUETTE</t>
  </si>
  <si>
    <t>wlm102998</t>
  </si>
  <si>
    <t>DAEBRIEL BYFORD</t>
  </si>
  <si>
    <t>ZAYDEN WALCOTT</t>
  </si>
  <si>
    <t>MICHEAL CAINEN</t>
  </si>
  <si>
    <t>DECLAN MACLELLAN</t>
  </si>
  <si>
    <t>NOAH CHRISTIAN</t>
  </si>
  <si>
    <t>JAX ANDREAS</t>
  </si>
  <si>
    <t>JIMMY GILLEBAARD</t>
  </si>
  <si>
    <t>JR WARMENHOVEN</t>
  </si>
  <si>
    <t>TYLER LLEWELLYN</t>
  </si>
  <si>
    <t>GREYSON KELLY</t>
  </si>
  <si>
    <t>DOMENIC PALERMO</t>
  </si>
  <si>
    <t>BRAYDON PATTERSON</t>
  </si>
  <si>
    <t>MATEO CHEVLI</t>
  </si>
  <si>
    <t>GRIFFEN HEREDI</t>
  </si>
  <si>
    <t>JAXEN FARAN</t>
  </si>
  <si>
    <t>STELLAN JAMIESON</t>
  </si>
  <si>
    <t>OWEN MAJOR</t>
  </si>
  <si>
    <t>COOPER DENEAU</t>
  </si>
  <si>
    <t>ADRIAN RYAN</t>
  </si>
  <si>
    <t>ALEKZANDER SHARON</t>
  </si>
  <si>
    <t>MAXWELL ABRAHAM</t>
  </si>
  <si>
    <t>BECKEM HOTCHKISS</t>
  </si>
  <si>
    <t>ELIJAH TANEVSKI</t>
  </si>
  <si>
    <t>MIGUEL MENDEZ</t>
  </si>
  <si>
    <t>DANE TREPANIER</t>
  </si>
  <si>
    <t>WILLIAM HELLOW</t>
  </si>
  <si>
    <t>ROCCO SOLDAT</t>
  </si>
  <si>
    <t>XAVIER TAYLOR</t>
  </si>
  <si>
    <t>BLAKE TOWER</t>
  </si>
  <si>
    <t>JAMES KIME</t>
  </si>
  <si>
    <t>WILLIUM KUZYK</t>
  </si>
  <si>
    <t>DAMIEN DELEERSNYDER</t>
  </si>
  <si>
    <t>TANNER MORROW-DAVIDSON</t>
  </si>
  <si>
    <t>MALCOLM ELLIOTT</t>
  </si>
  <si>
    <t>KINLEY CHALLANS</t>
  </si>
  <si>
    <t>CORA FIORITO</t>
  </si>
  <si>
    <t>ADDISON PINKERTON-WYSCAVER</t>
  </si>
  <si>
    <t>JASMINE STANCIU</t>
  </si>
  <si>
    <t>wlm100000</t>
  </si>
  <si>
    <t>ALEXA THIELE</t>
  </si>
  <si>
    <t>CARTER GATES</t>
  </si>
  <si>
    <t>PEYTON OLSON</t>
  </si>
  <si>
    <t>KENNADY, PENELOPE, EMERSEN AND ELOWEN LARMOND</t>
  </si>
  <si>
    <t>ADAM OSMAN</t>
  </si>
  <si>
    <t>CLAIRE ALKEMADE</t>
  </si>
  <si>
    <t>NATHANIEL GARLICK</t>
  </si>
  <si>
    <t>SELINA GUALTIERI</t>
  </si>
  <si>
    <t>WYATT MAITRE</t>
  </si>
  <si>
    <t>CONNOR BERR</t>
  </si>
  <si>
    <t>BECKETT SULYOK</t>
  </si>
  <si>
    <t>CARTER TRAVIS</t>
  </si>
  <si>
    <t>BRANTLEY LAFRENIERE</t>
  </si>
  <si>
    <t>LINKIN BLACKBURN</t>
  </si>
  <si>
    <t>SUNIL SHONEK</t>
  </si>
  <si>
    <t>JULIA DEMAN</t>
  </si>
  <si>
    <t>KYNG CHABOREK-THOMAS</t>
  </si>
  <si>
    <t>TAREK HAFEZ</t>
  </si>
  <si>
    <t>ZAYN HAFEZ</t>
  </si>
  <si>
    <t>KALEB ELLIS-LEGROS</t>
  </si>
  <si>
    <t>LEILAND ELLIS-LEGROS</t>
  </si>
  <si>
    <t>CARTER PILLON</t>
  </si>
  <si>
    <t>JAMES WILKINS</t>
  </si>
  <si>
    <t>TY BAILLARGEON</t>
  </si>
  <si>
    <t>REECE PREET</t>
  </si>
  <si>
    <t>KOLTON LUTES</t>
  </si>
  <si>
    <t>ISAAC ST.DENIS</t>
  </si>
  <si>
    <t>MALCOLM GIBSON JR.</t>
  </si>
  <si>
    <t>VAUGHN QUERBACH</t>
  </si>
  <si>
    <t>NOLAN QUERBACH</t>
  </si>
  <si>
    <t>METAO / MIHAILO GRECO</t>
  </si>
  <si>
    <t>JACOB MCCORMICK</t>
  </si>
  <si>
    <t>BROOKLYN MCCORKELL</t>
  </si>
  <si>
    <t>AEVRI HUNTER</t>
  </si>
  <si>
    <t>ZOEY HUNTER</t>
  </si>
  <si>
    <t>HATTIE NOBLE</t>
  </si>
  <si>
    <t>LILY HUNTER</t>
  </si>
  <si>
    <t>PEYTON TREPANIER</t>
  </si>
  <si>
    <t>CLARA BLAIN</t>
  </si>
  <si>
    <t>LOLA TAYLOR</t>
  </si>
  <si>
    <t>JORDYN TREPANIER</t>
  </si>
  <si>
    <t>JANE GIRARD</t>
  </si>
  <si>
    <t>REESE GIBERSON</t>
  </si>
  <si>
    <t>KAYLEE MENNELL</t>
  </si>
  <si>
    <t>CALLIE BESTED</t>
  </si>
  <si>
    <t>NORAH LAUZON</t>
  </si>
  <si>
    <t>ELISE BECK</t>
  </si>
  <si>
    <t>EMILY BEAUDIN</t>
  </si>
  <si>
    <t>OLIVIA FACCHINERI</t>
  </si>
  <si>
    <t>VANESSA SPERDUTI</t>
  </si>
  <si>
    <t>TEST U14AAATEST</t>
  </si>
  <si>
    <t>SYDNEY KENNETTE</t>
  </si>
  <si>
    <t>OLIVIA ST JOHN</t>
  </si>
  <si>
    <t>SAMMY KINNY</t>
  </si>
  <si>
    <t>SAWYER DEMMANS</t>
  </si>
  <si>
    <t>ELLA SOLCZ</t>
  </si>
  <si>
    <t>BREANNA GIBB</t>
  </si>
  <si>
    <t>XAVIER GRAYER</t>
  </si>
  <si>
    <t>MADISON VILLEMAIRE</t>
  </si>
  <si>
    <t>ELIJAH FOURNIER</t>
  </si>
  <si>
    <t>KENZIE CASLICK</t>
  </si>
  <si>
    <t>VICTORIA WEBB</t>
  </si>
  <si>
    <t>TEAH DUROCHER</t>
  </si>
  <si>
    <t>AKIERAN PAUL</t>
  </si>
  <si>
    <t>BRUNO COPPOLA</t>
  </si>
  <si>
    <t>AVERY ALLSOP</t>
  </si>
  <si>
    <t>LILLIAN ASHTON</t>
  </si>
  <si>
    <t>AVA SMITH</t>
  </si>
  <si>
    <t>PEYTON BARRETTE</t>
  </si>
  <si>
    <t>BRIELLE CAPONE</t>
  </si>
  <si>
    <t>EMILY TOOTILL</t>
  </si>
  <si>
    <t>CAITLYN BEZAIRE</t>
  </si>
  <si>
    <t>STELLA BEATTIE</t>
  </si>
  <si>
    <t>AVERY ARTHUR</t>
  </si>
  <si>
    <t>ERYNN ARTHUR</t>
  </si>
  <si>
    <t>SAVANNAH MACEACHERN</t>
  </si>
  <si>
    <t>TAYLOR PRUYN</t>
  </si>
  <si>
    <t>CIERRAH CARTER</t>
  </si>
  <si>
    <t>BROOKE BRUNET</t>
  </si>
  <si>
    <t>AVA MAYRAND</t>
  </si>
  <si>
    <t>MOLLIE LOBZUN-HOWE</t>
  </si>
  <si>
    <t>TROY FAUBERT</t>
  </si>
  <si>
    <t>RILEY BALLAY</t>
  </si>
  <si>
    <t>ELLIE REINHART</t>
  </si>
  <si>
    <t>BROOKE GRONDIN</t>
  </si>
  <si>
    <t>CLAIRE SYLVESTRE</t>
  </si>
  <si>
    <t>KYLA ELLINGSON</t>
  </si>
  <si>
    <t>LUCY BURKE</t>
  </si>
  <si>
    <t>AVA MORRISON</t>
  </si>
  <si>
    <t>LUCY RAUTH</t>
  </si>
  <si>
    <t>ABBY ST PIERRE</t>
  </si>
  <si>
    <t>LILLY ST PIERRE</t>
  </si>
  <si>
    <t>JAIDYN PELTIER</t>
  </si>
  <si>
    <t>OLIVIA LENARDUZZI</t>
  </si>
  <si>
    <t>AMELIA HAGGITH</t>
  </si>
  <si>
    <t>WHITNEY FLANAGAN</t>
  </si>
  <si>
    <t>CHARLIE BLAIS</t>
  </si>
  <si>
    <t>WLM102999</t>
  </si>
  <si>
    <t>JOLIE SYLVESTRE</t>
  </si>
  <si>
    <t>TAYLOR SANTAROSSA</t>
  </si>
  <si>
    <t>PEYTON SANTAROSSA</t>
  </si>
  <si>
    <t>KENZIE STEWART</t>
  </si>
  <si>
    <t>HANNAH MUNDY</t>
  </si>
  <si>
    <t>ELONZO MARTINEZ</t>
  </si>
  <si>
    <t>PEYTON RUSTON</t>
  </si>
  <si>
    <t>KATELYN MUNDY</t>
  </si>
  <si>
    <t>ADDISON RAFUSE</t>
  </si>
  <si>
    <t>TESSA SOULLIERE</t>
  </si>
  <si>
    <t>JULIA MASSE</t>
  </si>
  <si>
    <t>JACLYN POTTIE</t>
  </si>
  <si>
    <t>EVELYN MCKELVIE</t>
  </si>
  <si>
    <t>MADELYN MARCINKOWSKI</t>
  </si>
  <si>
    <t>NATHAN PICHE</t>
  </si>
  <si>
    <t>KAYLA DERUSH</t>
  </si>
  <si>
    <t>AVRIANNA BUSCHMAN</t>
  </si>
  <si>
    <t>SOFIA HERNANDEZ</t>
  </si>
  <si>
    <t>JAXSON "BAM" UDVARI</t>
  </si>
  <si>
    <t>DYLAN MCGUIRE</t>
  </si>
  <si>
    <t>PARKER BLAIR</t>
  </si>
  <si>
    <t>GIA ZGOMBA</t>
  </si>
  <si>
    <t>BRAYDEN DUFOUR</t>
  </si>
  <si>
    <t>HARRISON BOROSKI</t>
  </si>
  <si>
    <t>HUNTER WAGHORN</t>
  </si>
  <si>
    <t>EVAN HUNTER-DESJARLAIS</t>
  </si>
  <si>
    <t>KEELAN REAUME</t>
  </si>
  <si>
    <t>TEE LUANG-ON</t>
  </si>
  <si>
    <t>THAN LUANG-ON</t>
  </si>
  <si>
    <t>MAXWELL HANDSOR</t>
  </si>
  <si>
    <t>OLIVIA TURNER</t>
  </si>
  <si>
    <t>LAUREN STEPHENSON</t>
  </si>
  <si>
    <t>JAMES PARKER</t>
  </si>
  <si>
    <t>KEELAN REAUME-HUARD</t>
  </si>
  <si>
    <t>CARTER TRUDELL</t>
  </si>
  <si>
    <t>GAGE SOULLIERE</t>
  </si>
  <si>
    <t>RAIGHLYN DEWAR</t>
  </si>
  <si>
    <t>HUNTER CULP</t>
  </si>
  <si>
    <t>MISHA BOGDANOV</t>
  </si>
  <si>
    <t>ANDRé LAPORTE</t>
  </si>
  <si>
    <t>EVERLEIGH LIVINGSTON</t>
  </si>
  <si>
    <t>ZANE KIRKPATRICK</t>
  </si>
  <si>
    <t>BEAU WILTON</t>
  </si>
  <si>
    <t>ALYSSA YOUNG</t>
  </si>
  <si>
    <t>SARA YOUNG</t>
  </si>
  <si>
    <t>AVERY HOPPER</t>
  </si>
  <si>
    <t>BRAXTON HUDSON</t>
  </si>
  <si>
    <t>AUBREY PHILLIPS</t>
  </si>
  <si>
    <t>MARYN GEELEN</t>
  </si>
  <si>
    <t>GRACE GREEN</t>
  </si>
  <si>
    <t>ELYSE LABADIE</t>
  </si>
  <si>
    <t>KEELY RIBERDY</t>
  </si>
  <si>
    <t>EVA PATTERSON</t>
  </si>
  <si>
    <t>HOPE WEGLARZ</t>
  </si>
  <si>
    <t>KRISTINA WILLIS</t>
  </si>
  <si>
    <t>EMILY SAUVE</t>
  </si>
  <si>
    <t>EMMA DROUILLARD</t>
  </si>
  <si>
    <t>KASEY GOSSE</t>
  </si>
  <si>
    <t>DANIELLE LAPAIN</t>
  </si>
  <si>
    <t>BROOKLYN GAULT</t>
  </si>
  <si>
    <t>CO MARE</t>
  </si>
  <si>
    <t>MADELYNN RUSTON</t>
  </si>
  <si>
    <t>CHLOE LIPPERT</t>
  </si>
  <si>
    <t>SARA DOYLE</t>
  </si>
  <si>
    <t>KALEB MCGREGOR</t>
  </si>
  <si>
    <t>KYLA WIPER</t>
  </si>
  <si>
    <t>KATE WALLACE</t>
  </si>
  <si>
    <t>MAX MORETTO</t>
  </si>
  <si>
    <t>ALEXIS VICKERD</t>
  </si>
  <si>
    <t>ISABELLE VICKERD</t>
  </si>
  <si>
    <t>ALEC MCCOLL</t>
  </si>
  <si>
    <t>SADIE MCCOLL</t>
  </si>
  <si>
    <t>NOAH RAHAMA</t>
  </si>
  <si>
    <t>REBECCA DEMAN</t>
  </si>
  <si>
    <t>EMA GUSHO</t>
  </si>
  <si>
    <t>PAISLEY GRANT</t>
  </si>
  <si>
    <t>KLOEY FOSTER</t>
  </si>
  <si>
    <t>MAXWELL VAILLANCOURT</t>
  </si>
  <si>
    <t>ADDISON BERNIK</t>
  </si>
  <si>
    <t>BENJAMIN BOCCHINI</t>
  </si>
  <si>
    <t>SPENCER BOCCHINI</t>
  </si>
  <si>
    <t>LIAM LOGAN</t>
  </si>
  <si>
    <t>DELILAH FOURNIER</t>
  </si>
  <si>
    <t>ZACHARY ST DENIS</t>
  </si>
  <si>
    <t>BENSAN MA</t>
  </si>
  <si>
    <t>ALBERT ZHOU</t>
  </si>
  <si>
    <t>JAYDEN BECKEN</t>
  </si>
  <si>
    <t>RYAN TIMM</t>
  </si>
  <si>
    <t>VIOLET-MAI CARDER</t>
  </si>
  <si>
    <t>KIRAN CHAHAL</t>
  </si>
  <si>
    <t>BRAYDEN SMITH</t>
  </si>
  <si>
    <t>YSABEL OTERO-JONES</t>
  </si>
  <si>
    <t>CORA TIESSEN</t>
  </si>
  <si>
    <t>LEXI BEUGLET</t>
  </si>
  <si>
    <t>DANICA WILSON</t>
  </si>
  <si>
    <t>ALISTAIR MUSHIKORI</t>
  </si>
  <si>
    <t>HENDRIX CLEMENT-DAY-KEATS</t>
  </si>
  <si>
    <t>KINGSTON GARCIA</t>
  </si>
  <si>
    <t>HAYDEN DOMINIQUE</t>
  </si>
  <si>
    <t>SLOANE HOPPER</t>
  </si>
  <si>
    <t>MADISON HENNIN</t>
  </si>
  <si>
    <t>OLIVIA HENNIN</t>
  </si>
  <si>
    <t>RYAN GIRARD</t>
  </si>
  <si>
    <t>KHLOEE DIEMER</t>
  </si>
  <si>
    <t>BRADLEY RIBBLE</t>
  </si>
  <si>
    <t>CORA BEADOW</t>
  </si>
  <si>
    <t>CLAIRE DUNN</t>
  </si>
  <si>
    <t>DEREK DUNN</t>
  </si>
  <si>
    <t>HAYDEN KOVAC</t>
  </si>
  <si>
    <t>FINLEY KOVAC</t>
  </si>
  <si>
    <t>BEAU GATTO</t>
  </si>
  <si>
    <t>CARTER NOLAN</t>
  </si>
  <si>
    <t>MOOREA SHEPLEY</t>
  </si>
  <si>
    <t>ALEXIS MORASSUT</t>
  </si>
  <si>
    <t>ARCHER RICHARD</t>
  </si>
  <si>
    <t>I HAD TWO DAUGHTERS GOVE LE CARDS . EOTHER BRIGETTE KING U15B #4 OR AUDREY KING U11 #11 KING</t>
  </si>
  <si>
    <t>CHRISTINA BIALLY</t>
  </si>
  <si>
    <t>KEATON WACHNA</t>
  </si>
  <si>
    <t>CADEN ARMSTRONG</t>
  </si>
  <si>
    <t>LUKAS KRASINSKI</t>
  </si>
  <si>
    <t>ROAN NESBIT</t>
  </si>
  <si>
    <t>F.J. MELKO</t>
  </si>
  <si>
    <t>ELLA WARREN</t>
  </si>
  <si>
    <t>MADISON MARTIN</t>
  </si>
  <si>
    <t>VALERI SASSO</t>
  </si>
  <si>
    <t>ROBYN HUMBER</t>
  </si>
  <si>
    <t>ESTHER PAVKOVIC</t>
  </si>
  <si>
    <t>CHARLISE JANISSE</t>
  </si>
  <si>
    <t>VIVIENNE JANISSE</t>
  </si>
  <si>
    <t>ZANDER PALOMBO</t>
  </si>
  <si>
    <t>GAVEN PALOMBO</t>
  </si>
  <si>
    <t>KENZIE BRIDGE</t>
  </si>
  <si>
    <t>JULIANA MILLER</t>
  </si>
  <si>
    <t>KATE RENAUD</t>
  </si>
  <si>
    <t>ARCHER SCHMIDT</t>
  </si>
  <si>
    <t>CASSIDY BRACKEN</t>
  </si>
  <si>
    <t>CAISSIE FORD</t>
  </si>
  <si>
    <t>KALE DESCHAMPS</t>
  </si>
  <si>
    <t>BROCK BANHAM</t>
  </si>
  <si>
    <t>EMMA STRONG</t>
  </si>
  <si>
    <t>AYLA SAEID</t>
  </si>
  <si>
    <t>NOLAN MITROVIC</t>
  </si>
  <si>
    <t>CLAIRE BONDY</t>
  </si>
  <si>
    <t>FRéDéRIQUE LéPINE</t>
  </si>
  <si>
    <t>COLTON SUZOR</t>
  </si>
  <si>
    <t>JHANéLLE WOOD</t>
  </si>
  <si>
    <t>ALEXANDER HAWKESWOOD</t>
  </si>
  <si>
    <t>BRYDEN PICCININ</t>
  </si>
  <si>
    <t>TESSA CECILE</t>
  </si>
  <si>
    <t>TEJADORA RIBERDY</t>
  </si>
  <si>
    <t>ALEE LALANDE</t>
  </si>
  <si>
    <t>ZOEY DALES</t>
  </si>
  <si>
    <t>CLARAH BENETEAU</t>
  </si>
  <si>
    <t>GLORIA GAO</t>
  </si>
  <si>
    <t>BRIANNA TIESSEN</t>
  </si>
  <si>
    <t>GABRIELLA AVERSA</t>
  </si>
  <si>
    <t>BRAYLIN GIRARDIN</t>
  </si>
  <si>
    <t>HENRY UFFORD</t>
  </si>
  <si>
    <t>TALIA BUCHENAUER</t>
  </si>
  <si>
    <t>CAELLUM BRENNAN</t>
  </si>
  <si>
    <t>FINNEGAN BRENNAN</t>
  </si>
  <si>
    <t>MIA ARLOTTI</t>
  </si>
  <si>
    <t>KATIE NURSE</t>
  </si>
  <si>
    <t>NINA LAIRD</t>
  </si>
  <si>
    <t>LIKO LI</t>
  </si>
  <si>
    <t>LIANNA LI</t>
  </si>
  <si>
    <t>LIVLYN LI</t>
  </si>
  <si>
    <t>AVERY ANDERSON</t>
  </si>
  <si>
    <t>OLIVIA BENTLEY</t>
  </si>
  <si>
    <t>SASHA HENSMAN</t>
  </si>
  <si>
    <t>DONOVAN BURKE</t>
  </si>
  <si>
    <t>EMMA O’GORMAN</t>
  </si>
  <si>
    <t>LILY QIU</t>
  </si>
  <si>
    <t>MIA CECILE</t>
  </si>
  <si>
    <t>KINGSTON SMITH</t>
  </si>
  <si>
    <t>EMMA SKOVRAN</t>
  </si>
  <si>
    <t>EMMA WESSMAN</t>
  </si>
  <si>
    <t>PAISLEY FUNKENHAUSER</t>
  </si>
  <si>
    <t>KAI DUQUETTE</t>
  </si>
  <si>
    <t>CAMERON SCHINKELSHOEK</t>
  </si>
  <si>
    <t>SIMON SCHERTZER</t>
  </si>
  <si>
    <t>ALICIA TONG</t>
  </si>
  <si>
    <t>SOPHIA XU</t>
  </si>
  <si>
    <t>BLAIRE ONEIL</t>
  </si>
  <si>
    <t>BROOKLYN, REMI OLIVER</t>
  </si>
  <si>
    <t>RAIN SUN</t>
  </si>
  <si>
    <t>IGNACIO NIETO</t>
  </si>
  <si>
    <t>TABI MAIN</t>
  </si>
  <si>
    <t>CASON YE</t>
  </si>
  <si>
    <t>AVIANA DIMASUAY</t>
  </si>
  <si>
    <t>XZANA DURANOVICH</t>
  </si>
  <si>
    <t>VIOLET DURANOVICH</t>
  </si>
  <si>
    <t>LIAM REEVES</t>
  </si>
  <si>
    <t>NIKO PAPADIMITRIOU</t>
  </si>
  <si>
    <t>MIA ZHANG</t>
  </si>
  <si>
    <t>EMMA ILLMAN</t>
  </si>
  <si>
    <t>LAUREN KEIRL</t>
  </si>
  <si>
    <t>XAVIER CHATMAN</t>
  </si>
  <si>
    <t>ADRIAN DI FAZIO</t>
  </si>
  <si>
    <t>EL MCCORMICK</t>
  </si>
  <si>
    <t>OLIVIA TOFFLEMIRE</t>
  </si>
  <si>
    <t>COACHING STAFF</t>
  </si>
  <si>
    <t>AVERY MANNING</t>
  </si>
  <si>
    <t>ABBY LANE</t>
  </si>
  <si>
    <t>LOCHLAN TAPAK</t>
  </si>
  <si>
    <t>JACKSON BATES</t>
  </si>
  <si>
    <t>GRAYSON BATES</t>
  </si>
  <si>
    <t>MADELINE MCLEOD</t>
  </si>
  <si>
    <t>MIKE ELFORD</t>
  </si>
  <si>
    <t>Windsor Hawks U11</t>
  </si>
  <si>
    <t>ALICE VANMACKELBERG</t>
  </si>
  <si>
    <t>AVERY THOMAES</t>
  </si>
  <si>
    <t>STACIE E</t>
  </si>
  <si>
    <t>BR E</t>
  </si>
  <si>
    <t>SELENA STROUD</t>
  </si>
  <si>
    <t>SOPHIA STROUD</t>
  </si>
  <si>
    <t>BRAD EAGAN</t>
  </si>
  <si>
    <t>STACIE BEAUTIFUL</t>
  </si>
  <si>
    <t>TURNER WILLAR</t>
  </si>
  <si>
    <t>KNOX LABELLE</t>
  </si>
  <si>
    <t>DAXTON HERRMANN</t>
  </si>
  <si>
    <t>MAXIME MCMAHON</t>
  </si>
  <si>
    <t>LEVI LACHAPELLE</t>
  </si>
  <si>
    <t>U13 AAA U13 AAA</t>
  </si>
  <si>
    <t>TYLER MACKENZIE</t>
  </si>
  <si>
    <t>NOAH KHALIL</t>
  </si>
  <si>
    <t>IGNAZIO STAGNO</t>
  </si>
  <si>
    <t>HUNTER WHALEY</t>
  </si>
  <si>
    <t>Erie North Shore Minor Hockey</t>
  </si>
  <si>
    <t>CULLEN EGAN</t>
  </si>
  <si>
    <t>AUSTIN GYORI</t>
  </si>
  <si>
    <t>NEW EMAIL TEST TEST</t>
  </si>
  <si>
    <t>JOY KHAN TEST</t>
  </si>
  <si>
    <t>KATIE SYLVESTRE</t>
  </si>
  <si>
    <t>EASTON FILLION</t>
  </si>
  <si>
    <t>LISA GALBRAITH</t>
  </si>
  <si>
    <t>EVERHETT TOWNSEND</t>
  </si>
  <si>
    <t>LIAM LAPORTE</t>
  </si>
  <si>
    <t>TANYA DUPUIS</t>
  </si>
  <si>
    <t>JAXON HOLLAND</t>
  </si>
  <si>
    <t>CLINTON CLARK</t>
  </si>
  <si>
    <t>VINCENT SPERDUTI</t>
  </si>
  <si>
    <t>BRAXTON SELLON</t>
  </si>
  <si>
    <t>ETHAN FRIAS</t>
  </si>
  <si>
    <t>HENRIK STAADEGAARD</t>
  </si>
  <si>
    <t>BROOKE SPINETI</t>
  </si>
  <si>
    <t>ACE BURROWS</t>
  </si>
  <si>
    <t>SARAH RODRIGUES</t>
  </si>
  <si>
    <t>CARTER HOLMES</t>
  </si>
  <si>
    <t>SAM HAMMEL</t>
  </si>
  <si>
    <t>CARTER GIROUX</t>
  </si>
  <si>
    <t>DECLAN NANTAIS</t>
  </si>
  <si>
    <t>VANESSA KUTZ-SIMPSON</t>
  </si>
  <si>
    <t>KEIRAN COUVILLION</t>
  </si>
  <si>
    <t>ZACKARY JOHNSTON</t>
  </si>
  <si>
    <t>JENN MASTRONARDI</t>
  </si>
  <si>
    <t>TYLER MAYER</t>
  </si>
  <si>
    <t>JASPER GIURISSEVICH</t>
  </si>
  <si>
    <t>CLARICE COYLE</t>
  </si>
  <si>
    <t>MASON BAD</t>
  </si>
  <si>
    <t>JOHN PARKER MCCRACKEN</t>
  </si>
  <si>
    <t>OWEN IRVINE</t>
  </si>
  <si>
    <t>AIDAN CLOGG</t>
  </si>
  <si>
    <t>TRISTAN COOK</t>
  </si>
  <si>
    <t>JACKSON JAKOB</t>
  </si>
  <si>
    <t>ELI &amp; AUDREY PERCY</t>
  </si>
  <si>
    <t>EDDIE VIGNEUX</t>
  </si>
  <si>
    <t>JAGGER HERDMAN</t>
  </si>
  <si>
    <t>JAGGER AND AVERY HERDMAN</t>
  </si>
  <si>
    <t>ZAC HUSTON</t>
  </si>
  <si>
    <t>ANNE EPPLETT</t>
  </si>
  <si>
    <t>MIKE KROSLAK</t>
  </si>
  <si>
    <t>JAXON PEREIRA</t>
  </si>
  <si>
    <t>KAILEY COPPOLA</t>
  </si>
  <si>
    <t>ASHTON BLANCHARD</t>
  </si>
  <si>
    <t>ANGIE FRASER</t>
  </si>
  <si>
    <t>ELLIOTT SANTAROSSA</t>
  </si>
  <si>
    <t>EVERETT SANTAROSSA</t>
  </si>
  <si>
    <t>COLE PERALTA</t>
  </si>
  <si>
    <t>BRADY STIERS</t>
  </si>
  <si>
    <t>TAMARA KHAOWOORN</t>
  </si>
  <si>
    <t>KESSLER GARNETT</t>
  </si>
  <si>
    <t>RYAN CARVALHO</t>
  </si>
  <si>
    <t>SHAE LOWRIE</t>
  </si>
  <si>
    <t>EVERETT HURST</t>
  </si>
  <si>
    <t>WESTON ZAVITZ</t>
  </si>
  <si>
    <t>OWEN RALPH</t>
  </si>
  <si>
    <t>MACK MURRAY</t>
  </si>
  <si>
    <t>FRITZ HAGEN</t>
  </si>
  <si>
    <t>HUDSON LYNN</t>
  </si>
  <si>
    <t>DAVID LYNN</t>
  </si>
  <si>
    <t>ETHAN SLADE</t>
  </si>
  <si>
    <t>THEODORE NEUFELD</t>
  </si>
  <si>
    <t>LINCOLN NEUFELD</t>
  </si>
  <si>
    <t>DEAN PANAGAKOS</t>
  </si>
  <si>
    <t>EZEKIEL BRAGA</t>
  </si>
  <si>
    <t>AIDEN ARSENAULT</t>
  </si>
  <si>
    <t>EASTON TREMBLAY</t>
  </si>
  <si>
    <t>LINCOLN HOLMES</t>
  </si>
  <si>
    <t>ACHILLES BRACKELL</t>
  </si>
  <si>
    <t>WOLFGANG BRACKELL</t>
  </si>
  <si>
    <t>CAMERON MATWIJIW</t>
  </si>
  <si>
    <t>SAMUEL MARTINHO</t>
  </si>
  <si>
    <t>CALEB, EVAN AND ETHAN BAKER</t>
  </si>
  <si>
    <t>CHARLOTTE VINCENT</t>
  </si>
  <si>
    <t>RACHELLE TULL</t>
  </si>
  <si>
    <t>dbug test</t>
  </si>
  <si>
    <t>test last</t>
  </si>
  <si>
    <t>TESTINGDBUG DBUG</t>
  </si>
  <si>
    <t>ANKIT PATHANIA</t>
  </si>
  <si>
    <t>GABE WATSON</t>
  </si>
  <si>
    <t>JACOB KOPKA</t>
  </si>
  <si>
    <t>SOPHIE DUBOIS</t>
  </si>
  <si>
    <t>DESMOND LANE</t>
  </si>
  <si>
    <t>REID KERWIN</t>
  </si>
  <si>
    <t>HARPER LEWIS</t>
  </si>
  <si>
    <t>LANDON DUMOUCHELLE</t>
  </si>
  <si>
    <t>JESSI MCDERMOTT</t>
  </si>
  <si>
    <t>JACK NASCIMENTO</t>
  </si>
  <si>
    <t>MASON NASCIMENTO</t>
  </si>
  <si>
    <t>MICHAEL (MIKEY) PEREIRA</t>
  </si>
  <si>
    <t>EASTON ROSSINI</t>
  </si>
  <si>
    <t>JONATHAN DEGASPARO</t>
  </si>
  <si>
    <t>HAILEY MCMURREN</t>
  </si>
  <si>
    <t>GRANT SCHNEKENBURGER</t>
  </si>
  <si>
    <t>NATHAN, THOMAS AND JAMIE LARSEN</t>
  </si>
  <si>
    <t>MICHAEL ELFORD</t>
  </si>
  <si>
    <t>BETTY WHITE</t>
  </si>
  <si>
    <t>THOMAS DUNN</t>
  </si>
  <si>
    <t>JAMES DUNN</t>
  </si>
  <si>
    <t>PAIGE O’NEIL</t>
  </si>
  <si>
    <t>Windsor Wildcats Baseball</t>
  </si>
  <si>
    <t>SAMUEL MAZZETTI</t>
  </si>
  <si>
    <t>ABBI SMISE</t>
  </si>
  <si>
    <t>SERENA GATT</t>
  </si>
  <si>
    <t>CHARLIE HINCHCLIFFE</t>
  </si>
  <si>
    <t>CONOR STORMS</t>
  </si>
  <si>
    <t>RAY GIRARD</t>
  </si>
  <si>
    <t>LINCOLN WHITSON</t>
  </si>
  <si>
    <t>LEVI BLONDIN</t>
  </si>
  <si>
    <t>JACK BUTLER</t>
  </si>
  <si>
    <t>KINGSTON CROW</t>
  </si>
  <si>
    <t>DOMINICK BARRY</t>
  </si>
  <si>
    <t>JAMES BARRY</t>
  </si>
  <si>
    <t>PAXTON PHOTHITAY</t>
  </si>
  <si>
    <t>EASTON SUMMERFIELD</t>
  </si>
  <si>
    <t>KEATON GRIFFITHE</t>
  </si>
  <si>
    <t>BRADY GILLEN</t>
  </si>
  <si>
    <t>LEIGHA LONG</t>
  </si>
  <si>
    <t>RYAN WALTER</t>
  </si>
  <si>
    <t>Last Run</t>
  </si>
  <si>
    <t>Profit by League Graph</t>
  </si>
  <si>
    <t>Yesterday</t>
  </si>
  <si>
    <t>This Week</t>
  </si>
  <si>
    <t>2023-07-02 to 2023-07-08</t>
  </si>
  <si>
    <t>Last Week</t>
  </si>
  <si>
    <t>2023-06-25 to 2023-07-01</t>
  </si>
  <si>
    <t>This Year To Date</t>
  </si>
  <si>
    <t>2023-01-01 to 2023-07-08</t>
  </si>
  <si>
    <t>Last Year To Date</t>
  </si>
  <si>
    <t>2022-01-01 to 2023-07-08</t>
  </si>
  <si>
    <t>This Month</t>
  </si>
  <si>
    <t>2023-07-01 to 2023-07-08</t>
  </si>
  <si>
    <t>This Month To Date</t>
  </si>
  <si>
    <t>Last Month</t>
  </si>
  <si>
    <t>2023-06-01 to 2023-06-30</t>
  </si>
  <si>
    <t>2023-04-01 to 2023-06-30</t>
  </si>
  <si>
    <t>This Quarter</t>
  </si>
  <si>
    <t>Last Year</t>
  </si>
  <si>
    <t>2022-01-01 to 2022-12-31</t>
  </si>
  <si>
    <t>Submitted Names</t>
  </si>
  <si>
    <t>Re-organized Names</t>
  </si>
  <si>
    <t>Harrow BASEBALL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</si>
</sst>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64" formatCode="yyyy\-mm\-dd\ h:mm:ss"/>
    <numFmt numFmtId="165" formatCode="&quot;$&quot;#,##0"/>
    <numFmt numFmtId="166" formatCode="&quot;Current Year: &quot;0"/>
    <numFmt numFmtId="167" formatCode="&quot;Previous Year: &quot;0"/>
    <numFmt numFmtId="168" formatCode="&quot;$&quot;#,##0.00"/>
    <numFmt numFmtId="169" formatCode="mmmm\ d\,\ yyyy"/>
    <numFmt numFmtId="170" formatCode="&quot;Average Sale Price: &quot;0"/>
    <numFmt numFmtId="171" formatCode="&quot;Total Orders: &quot;0"/>
    <numFmt numFmtId="172" formatCode="&quot;Total: &quot;\$#,##0"/>
    <numFmt numFmtId="173" formatCode="yyyy&quot;-&quot;mm&quot;-&quot;dd"/>
    <numFmt numFmtId="174" formatCode="0.0%"/>
    <numFmt numFmtId="175" formatCode="d&quot;-&quot;mmm&quot;-&quot;yyyy"/>
    <numFmt numFmtId="176" formatCode="yyyy\-mm\-dd"/>
  </numFmts>
  <fonts count="23">
    <font>
      <sz val="10"/>
      <color rgb="FF000000"/>
      <name val="Arial"/>
      <scheme val="minor"/>
    </font>
    <font>
      <sz val="10"/>
      <color theme="1"/>
      <name val="Arial"/>
    </font>
    <font>
      <b/>
      <sz val="23"/>
      <color rgb="FFFFFFFF"/>
      <name val="Arial"/>
    </font>
    <font>
      <b/>
      <sz val="30"/>
      <color rgb="FF000000"/>
      <name val="Arial"/>
    </font>
    <font>
      <sz val="10"/>
      <name val="Arial"/>
    </font>
    <font>
      <b/>
      <sz val="12"/>
      <color rgb="FFFFFFFF"/>
      <name val="Arial"/>
    </font>
    <font>
      <sz val="13"/>
      <color theme="1"/>
      <name val="Arial"/>
    </font>
    <font>
      <b/>
      <sz val="10"/>
      <color rgb="FF000000"/>
      <name val="Arial"/>
    </font>
    <font>
      <sz val="10"/>
      <color rgb="FFFFFFFF"/>
      <name val="Arial"/>
    </font>
    <font>
      <sz val="10"/>
      <color rgb="FF50575E"/>
      <name val="Arial"/>
    </font>
    <font>
      <u/>
      <sz val="10"/>
      <color rgb="FF2271B1"/>
      <name val="Arial"/>
    </font>
    <font>
      <u/>
      <sz val="10"/>
      <color rgb="FF2271B1"/>
      <name val="Arial"/>
    </font>
    <font>
      <u/>
      <sz val="10"/>
      <color rgb="FF2271B1"/>
      <name val="Arial"/>
    </font>
    <font>
      <u/>
      <sz val="10"/>
      <color rgb="FF2271B1"/>
      <name val="Arial"/>
    </font>
    <font>
      <u/>
      <sz val="10"/>
      <color rgb="FF2271B1"/>
      <name val="Arial"/>
    </font>
    <font>
      <sz val="10"/>
      <color theme="1"/>
      <name val="Arial"/>
    </font>
    <font>
      <strike/>
      <sz val="10"/>
      <color rgb="FF50575E"/>
      <name val="Arial"/>
    </font>
    <font>
      <u/>
      <sz val="10"/>
      <color rgb="FF2271B1"/>
      <name val="Arial"/>
    </font>
    <font>
      <sz val="10"/>
      <color rgb="FF000000"/>
      <name val="Arial"/>
    </font>
    <font>
      <b/>
      <sz val="14"/>
      <color rgb="FFFFFFFF"/>
      <name val="Arial"/>
    </font>
    <font>
      <sz val="11"/>
      <color rgb="FF111827"/>
      <name val="&quot;söhne mono&quot;"/>
    </font>
    <font>
      <b/>
      <sz val="10"/>
      <color theme="1"/>
      <name val="Arial"/>
    </font>
    <font>
      <sz val="9"/>
      <color rgb="FF000000"/>
      <name val="Arial"/>
    </font>
  </fonts>
  <fills count="15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000000"/>
        <bgColor rgb="FF000000"/>
      </patternFill>
    </fill>
    <fill>
      <patternFill patternType="solid">
        <fgColor rgb="FF434343"/>
        <bgColor rgb="FF434343"/>
      </patternFill>
    </fill>
    <fill>
      <patternFill patternType="solid">
        <fgColor rgb="FFC9DAF8"/>
        <bgColor rgb="FFC9DAF8"/>
      </patternFill>
    </fill>
    <fill>
      <patternFill patternType="solid">
        <fgColor rgb="FFD9D2E9"/>
        <bgColor rgb="FFD9D2E9"/>
      </patternFill>
    </fill>
    <fill>
      <patternFill patternType="solid">
        <fgColor rgb="FFD5A6BD"/>
        <bgColor rgb="FFD5A6BD"/>
      </patternFill>
    </fill>
    <fill>
      <patternFill patternType="solid">
        <fgColor rgb="FFFFFFFF"/>
        <bgColor rgb="FFFFFFFF"/>
      </patternFill>
    </fill>
    <fill>
      <patternFill patternType="solid">
        <fgColor rgb="FFF6F7F7"/>
        <bgColor rgb="FFF6F7F7"/>
      </patternFill>
    </fill>
    <fill>
      <patternFill patternType="solid">
        <fgColor rgb="FFF7F7F8"/>
        <bgColor rgb="FFF7F7F8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theme="8"/>
        <bgColor theme="8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3C4C7"/>
      </left>
      <right style="thin">
        <color rgb="FF2271B1"/>
      </right>
      <top style="thin">
        <color rgb="FFF5F5F5"/>
      </top>
      <bottom style="thin">
        <color rgb="FFC3C4C7"/>
      </bottom>
      <diagonal/>
    </border>
    <border>
      <left style="thin">
        <color rgb="FFC3C4C7"/>
      </left>
      <right style="thin">
        <color rgb="FFC3C4C7"/>
      </right>
      <top style="thin">
        <color rgb="FFF5F5F5"/>
      </top>
      <bottom style="thin">
        <color rgb="FFC3C4C7"/>
      </bottom>
      <diagonal/>
    </border>
    <border>
      <left style="thin">
        <color rgb="FFC3C4C7"/>
      </left>
      <right style="thin">
        <color rgb="FFC3C4C7"/>
      </right>
      <top style="thin">
        <color rgb="FFF5F5F5"/>
      </top>
      <bottom style="thin">
        <color rgb="FFF5F5F5"/>
      </bottom>
      <diagonal/>
    </border>
    <border>
      <left style="thin">
        <color rgb="FFC3C4C7"/>
      </left>
      <right style="thin">
        <color rgb="FF2271B1"/>
      </right>
      <top/>
      <bottom style="thin">
        <color rgb="FFC3C4C7"/>
      </bottom>
      <diagonal/>
    </border>
    <border>
      <left style="thin">
        <color rgb="FFC3C4C7"/>
      </left>
      <right style="thin">
        <color rgb="FFC3C4C7"/>
      </right>
      <top/>
      <bottom style="thin">
        <color rgb="FFC3C4C7"/>
      </bottom>
      <diagonal/>
    </border>
    <border>
      <left style="thin">
        <color rgb="FFC3C4C7"/>
      </left>
      <right style="thin">
        <color rgb="FFC3C4C7"/>
      </right>
      <top/>
      <bottom style="thin">
        <color rgb="FFF5F5F5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F3F3F3"/>
      </bottom>
      <diagonal/>
    </border>
    <border>
      <left/>
      <right/>
      <top/>
      <bottom style="thick">
        <color rgb="FFF3F3F3"/>
      </bottom>
      <diagonal/>
    </border>
    <border>
      <left/>
      <right/>
      <top/>
      <bottom style="thick">
        <color rgb="FFF3F3F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6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2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165" fontId="5" fillId="4" borderId="1" xfId="0" applyNumberFormat="1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vertical="center"/>
    </xf>
    <xf numFmtId="165" fontId="6" fillId="5" borderId="12" xfId="0" applyNumberFormat="1" applyFont="1" applyFill="1" applyBorder="1" applyAlignment="1">
      <alignment horizontal="center" vertical="center"/>
    </xf>
    <xf numFmtId="0" fontId="6" fillId="5" borderId="13" xfId="0" applyFont="1" applyFill="1" applyBorder="1" applyAlignment="1">
      <alignment horizontal="center" vertical="center"/>
    </xf>
    <xf numFmtId="165" fontId="6" fillId="6" borderId="12" xfId="0" applyNumberFormat="1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165" fontId="6" fillId="0" borderId="16" xfId="0" applyNumberFormat="1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vertical="center"/>
    </xf>
    <xf numFmtId="0" fontId="6" fillId="5" borderId="12" xfId="0" applyFont="1" applyFill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16" xfId="0" applyFont="1" applyBorder="1" applyAlignment="1">
      <alignment vertical="center"/>
    </xf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7" borderId="1" xfId="0" applyFont="1" applyFill="1" applyBorder="1" applyAlignment="1"/>
    <xf numFmtId="0" fontId="1" fillId="7" borderId="1" xfId="0" applyFont="1" applyFill="1" applyBorder="1"/>
    <xf numFmtId="0" fontId="7" fillId="7" borderId="1" xfId="0" applyFont="1" applyFill="1" applyBorder="1" applyAlignment="1"/>
    <xf numFmtId="0" fontId="8" fillId="0" borderId="0" xfId="0" applyFont="1"/>
    <xf numFmtId="3" fontId="9" fillId="8" borderId="19" xfId="0" applyNumberFormat="1" applyFont="1" applyFill="1" applyBorder="1" applyAlignment="1">
      <alignment horizontal="right" wrapText="1"/>
    </xf>
    <xf numFmtId="168" fontId="9" fillId="8" borderId="20" xfId="0" applyNumberFormat="1" applyFont="1" applyFill="1" applyBorder="1" applyAlignment="1">
      <alignment wrapText="1"/>
    </xf>
    <xf numFmtId="168" fontId="9" fillId="8" borderId="19" xfId="0" applyNumberFormat="1" applyFont="1" applyFill="1" applyBorder="1" applyAlignment="1">
      <alignment horizontal="right" wrapText="1"/>
    </xf>
    <xf numFmtId="0" fontId="9" fillId="8" borderId="20" xfId="0" applyFont="1" applyFill="1" applyBorder="1" applyAlignment="1">
      <alignment wrapText="1"/>
    </xf>
    <xf numFmtId="0" fontId="10" fillId="8" borderId="21" xfId="0" applyFont="1" applyFill="1" applyBorder="1" applyAlignment="1">
      <alignment wrapText="1"/>
    </xf>
    <xf numFmtId="3" fontId="9" fillId="9" borderId="22" xfId="0" applyNumberFormat="1" applyFont="1" applyFill="1" applyBorder="1" applyAlignment="1">
      <alignment horizontal="right" wrapText="1"/>
    </xf>
    <xf numFmtId="168" fontId="9" fillId="9" borderId="23" xfId="0" applyNumberFormat="1" applyFont="1" applyFill="1" applyBorder="1" applyAlignment="1">
      <alignment wrapText="1"/>
    </xf>
    <xf numFmtId="168" fontId="9" fillId="9" borderId="22" xfId="0" applyNumberFormat="1" applyFont="1" applyFill="1" applyBorder="1" applyAlignment="1">
      <alignment horizontal="right" wrapText="1"/>
    </xf>
    <xf numFmtId="0" fontId="9" fillId="9" borderId="23" xfId="0" applyFont="1" applyFill="1" applyBorder="1" applyAlignment="1">
      <alignment wrapText="1"/>
    </xf>
    <xf numFmtId="0" fontId="11" fillId="9" borderId="24" xfId="0" applyFont="1" applyFill="1" applyBorder="1" applyAlignment="1">
      <alignment wrapText="1"/>
    </xf>
    <xf numFmtId="3" fontId="9" fillId="8" borderId="22" xfId="0" applyNumberFormat="1" applyFont="1" applyFill="1" applyBorder="1" applyAlignment="1">
      <alignment horizontal="right" wrapText="1"/>
    </xf>
    <xf numFmtId="168" fontId="9" fillId="8" borderId="23" xfId="0" applyNumberFormat="1" applyFont="1" applyFill="1" applyBorder="1" applyAlignment="1">
      <alignment wrapText="1"/>
    </xf>
    <xf numFmtId="168" fontId="9" fillId="8" borderId="22" xfId="0" applyNumberFormat="1" applyFont="1" applyFill="1" applyBorder="1" applyAlignment="1">
      <alignment horizontal="right" wrapText="1"/>
    </xf>
    <xf numFmtId="0" fontId="9" fillId="8" borderId="23" xfId="0" applyFont="1" applyFill="1" applyBorder="1" applyAlignment="1">
      <alignment wrapText="1"/>
    </xf>
    <xf numFmtId="0" fontId="12" fillId="8" borderId="24" xfId="0" applyFont="1" applyFill="1" applyBorder="1" applyAlignment="1">
      <alignment wrapText="1"/>
    </xf>
    <xf numFmtId="169" fontId="9" fillId="9" borderId="23" xfId="0" applyNumberFormat="1" applyFont="1" applyFill="1" applyBorder="1" applyAlignment="1">
      <alignment horizontal="right" wrapText="1"/>
    </xf>
    <xf numFmtId="169" fontId="9" fillId="8" borderId="23" xfId="0" applyNumberFormat="1" applyFont="1" applyFill="1" applyBorder="1" applyAlignment="1">
      <alignment horizontal="right" wrapText="1"/>
    </xf>
    <xf numFmtId="0" fontId="9" fillId="9" borderId="23" xfId="0" applyFont="1" applyFill="1" applyBorder="1" applyAlignment="1">
      <alignment wrapText="1"/>
    </xf>
    <xf numFmtId="0" fontId="13" fillId="9" borderId="24" xfId="0" applyFont="1" applyFill="1" applyBorder="1" applyAlignment="1">
      <alignment wrapText="1"/>
    </xf>
    <xf numFmtId="0" fontId="14" fillId="8" borderId="24" xfId="0" applyFont="1" applyFill="1" applyBorder="1" applyAlignment="1">
      <alignment wrapText="1"/>
    </xf>
    <xf numFmtId="0" fontId="15" fillId="0" borderId="0" xfId="0" applyFont="1" applyAlignment="1"/>
    <xf numFmtId="0" fontId="9" fillId="8" borderId="23" xfId="0" applyFont="1" applyFill="1" applyBorder="1" applyAlignment="1">
      <alignment wrapText="1"/>
    </xf>
    <xf numFmtId="0" fontId="16" fillId="9" borderId="22" xfId="0" applyFont="1" applyFill="1" applyBorder="1" applyAlignment="1">
      <alignment horizontal="right" wrapText="1"/>
    </xf>
    <xf numFmtId="168" fontId="9" fillId="9" borderId="22" xfId="0" applyNumberFormat="1" applyFont="1" applyFill="1" applyBorder="1" applyAlignment="1">
      <alignment horizontal="right" wrapText="1"/>
    </xf>
    <xf numFmtId="164" fontId="9" fillId="9" borderId="23" xfId="0" applyNumberFormat="1" applyFont="1" applyFill="1" applyBorder="1" applyAlignment="1">
      <alignment wrapText="1"/>
    </xf>
    <xf numFmtId="0" fontId="17" fillId="9" borderId="23" xfId="0" applyFont="1" applyFill="1" applyBorder="1" applyAlignment="1">
      <alignment wrapText="1"/>
    </xf>
    <xf numFmtId="0" fontId="18" fillId="0" borderId="0" xfId="0" applyFont="1"/>
    <xf numFmtId="0" fontId="3" fillId="2" borderId="1" xfId="0" applyFont="1" applyFill="1" applyBorder="1" applyAlignment="1">
      <alignment horizontal="center" vertical="center"/>
    </xf>
    <xf numFmtId="170" fontId="5" fillId="3" borderId="1" xfId="0" applyNumberFormat="1" applyFont="1" applyFill="1" applyBorder="1" applyAlignment="1">
      <alignment horizontal="center" vertical="center"/>
    </xf>
    <xf numFmtId="166" fontId="19" fillId="3" borderId="1" xfId="0" applyNumberFormat="1" applyFont="1" applyFill="1" applyBorder="1" applyAlignment="1">
      <alignment horizontal="center" vertical="center"/>
    </xf>
    <xf numFmtId="171" fontId="5" fillId="3" borderId="1" xfId="0" applyNumberFormat="1" applyFont="1" applyFill="1" applyBorder="1" applyAlignment="1">
      <alignment horizontal="center" vertical="center"/>
    </xf>
    <xf numFmtId="172" fontId="5" fillId="3" borderId="1" xfId="0" applyNumberFormat="1" applyFont="1" applyFill="1" applyBorder="1" applyAlignment="1">
      <alignment horizontal="center" vertical="center"/>
    </xf>
    <xf numFmtId="173" fontId="20" fillId="10" borderId="1" xfId="0" applyNumberFormat="1" applyFont="1" applyFill="1" applyBorder="1"/>
    <xf numFmtId="165" fontId="5" fillId="0" borderId="0" xfId="0" applyNumberFormat="1" applyFont="1" applyAlignment="1">
      <alignment horizontal="center" vertical="center"/>
    </xf>
    <xf numFmtId="0" fontId="6" fillId="5" borderId="11" xfId="0" applyFont="1" applyFill="1" applyBorder="1" applyAlignment="1">
      <alignment vertical="center"/>
    </xf>
    <xf numFmtId="1" fontId="6" fillId="6" borderId="13" xfId="0" applyNumberFormat="1" applyFont="1" applyFill="1" applyBorder="1" applyAlignment="1">
      <alignment horizontal="center" vertical="center"/>
    </xf>
    <xf numFmtId="174" fontId="6" fillId="6" borderId="13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5" xfId="0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74" fontId="6" fillId="0" borderId="13" xfId="0" applyNumberFormat="1" applyFont="1" applyBorder="1" applyAlignment="1">
      <alignment horizontal="center" vertical="center"/>
    </xf>
    <xf numFmtId="0" fontId="1" fillId="11" borderId="1" xfId="0" applyFont="1" applyFill="1" applyBorder="1" applyAlignment="1">
      <alignment horizontal="center"/>
    </xf>
    <xf numFmtId="0" fontId="1" fillId="11" borderId="1" xfId="0" applyFont="1" applyFill="1" applyBorder="1"/>
    <xf numFmtId="165" fontId="1" fillId="11" borderId="1" xfId="0" applyNumberFormat="1" applyFont="1" applyFill="1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18" fillId="7" borderId="1" xfId="0" applyFont="1" applyFill="1" applyBorder="1"/>
    <xf numFmtId="0" fontId="21" fillId="12" borderId="1" xfId="0" applyFont="1" applyFill="1" applyBorder="1"/>
    <xf numFmtId="164" fontId="21" fillId="12" borderId="1" xfId="0" applyNumberFormat="1" applyFont="1" applyFill="1" applyBorder="1"/>
    <xf numFmtId="0" fontId="21" fillId="12" borderId="1" xfId="0" applyFont="1" applyFill="1" applyBorder="1" applyAlignment="1">
      <alignment horizontal="center"/>
    </xf>
    <xf numFmtId="0" fontId="21" fillId="13" borderId="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173" fontId="1" fillId="0" borderId="0" xfId="0" applyNumberFormat="1" applyFont="1"/>
    <xf numFmtId="0" fontId="22" fillId="8" borderId="1" xfId="0" applyFont="1" applyFill="1" applyBorder="1"/>
    <xf numFmtId="0" fontId="1" fillId="0" borderId="13" xfId="0" applyFont="1" applyBorder="1" applyAlignment="1">
      <alignment horizontal="center"/>
    </xf>
    <xf numFmtId="175" fontId="1" fillId="0" borderId="0" xfId="0" applyNumberFormat="1" applyFont="1"/>
    <xf numFmtId="0" fontId="21" fillId="13" borderId="1" xfId="0" applyFont="1" applyFill="1" applyBorder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12" borderId="1" xfId="0" applyFont="1" applyFill="1" applyBorder="1" applyAlignment="1">
      <alignment horizontal="left"/>
    </xf>
    <xf numFmtId="164" fontId="1" fillId="12" borderId="1" xfId="0" applyNumberFormat="1" applyFont="1" applyFill="1" applyBorder="1" applyAlignment="1">
      <alignment horizontal="left"/>
    </xf>
    <xf numFmtId="168" fontId="8" fillId="0" borderId="0" xfId="0" applyNumberFormat="1" applyFont="1"/>
    <xf numFmtId="176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1" fillId="13" borderId="1" xfId="0" applyFont="1" applyFill="1" applyBorder="1"/>
    <xf numFmtId="0" fontId="3" fillId="2" borderId="2" xfId="0" applyFont="1" applyFill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166" fontId="5" fillId="3" borderId="8" xfId="0" applyNumberFormat="1" applyFont="1" applyFill="1" applyBorder="1" applyAlignment="1">
      <alignment horizontal="center" vertical="center"/>
    </xf>
    <xf numFmtId="0" fontId="4" fillId="0" borderId="9" xfId="0" applyFont="1" applyBorder="1"/>
    <xf numFmtId="167" fontId="5" fillId="3" borderId="8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4" fillId="0" borderId="25" xfId="0" applyFont="1" applyBorder="1"/>
    <xf numFmtId="0" fontId="0" fillId="0" borderId="0" xfId="0" applyFont="1" applyAlignment="1"/>
    <xf numFmtId="0" fontId="4" fillId="0" borderId="26" xfId="0" applyFont="1" applyBorder="1"/>
    <xf numFmtId="0" fontId="4" fillId="0" borderId="27" xfId="0" applyFont="1" applyBorder="1"/>
    <xf numFmtId="0" fontId="4" fillId="0" borderId="28" xfId="0" applyFont="1" applyBorder="1"/>
    <xf numFmtId="0" fontId="4" fillId="0" borderId="29" xfId="0" applyFont="1" applyBorder="1"/>
    <xf numFmtId="0" fontId="1" fillId="14" borderId="8" xfId="0" applyFont="1" applyFill="1" applyBorder="1"/>
    <xf numFmtId="0" fontId="4" fillId="0" borderId="30" xfId="0" applyFont="1" applyBorder="1"/>
  </cellXfs>
  <cellStyles count="1">
    <cellStyle name="Normal" xfId="0" builtinId="0"/>
  </cellStyles>
  <dxfs count="3">
    <dxf>
      <font>
        <color rgb="FFFFFFFF"/>
      </font>
      <fill>
        <patternFill patternType="solid">
          <fgColor rgb="FF990000"/>
          <bgColor rgb="FF990000"/>
        </patternFill>
      </fill>
    </dxf>
    <dxf>
      <font>
        <color rgb="FFFFFFFF"/>
      </font>
      <fill>
        <patternFill patternType="solid">
          <fgColor rgb="FF990000"/>
          <bgColor rgb="FF990000"/>
        </patternFill>
      </fill>
    </dxf>
    <dxf>
      <font>
        <color rgb="FFFFFFFF"/>
      </font>
      <fill>
        <patternFill patternType="solid">
          <fgColor rgb="FF990000"/>
          <bgColor rgb="FF99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257175</xdr:colOff>
      <xdr:row>0</xdr:row>
      <xdr:rowOff>133350</xdr:rowOff>
    </xdr:from>
    <xdr:ext cx="2686050" cy="714375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F1000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2.5703125" defaultRowHeight="15" customHeight="1"/>
  <cols>
    <col min="1" max="1" width="5.7109375" customWidth="1"/>
    <col min="2" max="2" width="41.140625" customWidth="1"/>
    <col min="3" max="6" width="29.42578125" customWidth="1"/>
  </cols>
  <sheetData>
    <row r="1" spans="1:6" ht="39.75" customHeight="1">
      <c r="A1" s="4"/>
      <c r="B1" s="4"/>
      <c r="C1" s="98" t="s">
        <v>54</v>
      </c>
      <c r="D1" s="99"/>
      <c r="E1" s="99"/>
      <c r="F1" s="100"/>
    </row>
    <row r="2" spans="1:6" ht="39.75" customHeight="1">
      <c r="A2" s="4"/>
      <c r="B2" s="4"/>
      <c r="C2" s="101"/>
      <c r="D2" s="102"/>
      <c r="E2" s="102"/>
      <c r="F2" s="103"/>
    </row>
    <row r="3" spans="1:6" ht="25.5" customHeight="1">
      <c r="A3" s="5"/>
      <c r="B3" s="6"/>
      <c r="C3" s="104">
        <v>2023</v>
      </c>
      <c r="D3" s="105"/>
      <c r="E3" s="106">
        <v>2022</v>
      </c>
      <c r="F3" s="105"/>
    </row>
    <row r="4" spans="1:6" ht="25.5" customHeight="1">
      <c r="A4" s="7" t="s">
        <v>55</v>
      </c>
      <c r="B4" s="8" t="s">
        <v>1</v>
      </c>
      <c r="C4" s="9" t="s">
        <v>56</v>
      </c>
      <c r="D4" s="9" t="s">
        <v>57</v>
      </c>
      <c r="E4" s="9" t="s">
        <v>56</v>
      </c>
      <c r="F4" s="9" t="s">
        <v>57</v>
      </c>
    </row>
    <row r="5" spans="1:6" ht="34.5" customHeight="1">
      <c r="A5" s="10">
        <v>1</v>
      </c>
      <c r="B5" s="11" t="str">
        <f ca="1">IFERROR(__xludf.DUMMYFUNCTION("IFERROR(
  SORT(
    FILTER(
      {UNIQUE(FILTER('For Insights'!G2:G49291, 'For Insights'!G2:G49291 &lt;&gt; """")), 
      ARRAYFORMULA(IFERROR(VLOOKUP(UNIQUE(FILTER('For Insights'!G2:G49291, 'For Insights'!G2:G49291 &lt;&gt; """")), QUERY('For Insights'!G2:I49291,"&amp;" ""select G, sum(H), sum(I) group by G""), {2, 3}, FALSE), 0))}, 
      INDEX(ARRAYFORMULA(IFERROR(VLOOKUP(UNIQUE(FILTER('For Insights'!G2:G49291, 'For Insights'!G2:G49291 &lt;&gt; """")), QUERY('For Insights'!G2:I49291, ""select G, sum(H), sum(I) group by G"")"&amp;", {2, 3}, FALSE), 0)), , 2) &lt;&gt; 0), 
    2, 
    FALSE
  ), 
  """"
)
"),"")</f>
        <v/>
      </c>
      <c r="C5" s="12"/>
      <c r="D5" s="13"/>
      <c r="E5" s="14" t="str">
        <f t="shared" ref="E5:E26" ca="1" si="0">IF(B5="","", SUMIFS(#REF!,#REF!,B5,#REF!,$E$3))</f>
        <v/>
      </c>
      <c r="F5" s="15" t="str">
        <f t="shared" ref="F5:F26" ca="1" si="1">IF(B5="","", COUNTIFS(#REF!,B5,#REF!,$E$3))</f>
        <v/>
      </c>
    </row>
    <row r="6" spans="1:6" ht="34.5" customHeight="1">
      <c r="A6" s="16">
        <v>2</v>
      </c>
      <c r="B6" s="17"/>
      <c r="C6" s="18"/>
      <c r="D6" s="19"/>
      <c r="E6" s="18" t="str">
        <f t="shared" si="0"/>
        <v/>
      </c>
      <c r="F6" s="19" t="str">
        <f t="shared" si="1"/>
        <v/>
      </c>
    </row>
    <row r="7" spans="1:6" ht="34.5" customHeight="1">
      <c r="A7" s="10">
        <v>3</v>
      </c>
      <c r="B7" s="11"/>
      <c r="C7" s="12"/>
      <c r="D7" s="13"/>
      <c r="E7" s="14" t="str">
        <f t="shared" si="0"/>
        <v/>
      </c>
      <c r="F7" s="15" t="str">
        <f t="shared" si="1"/>
        <v/>
      </c>
    </row>
    <row r="8" spans="1:6" ht="34.5" customHeight="1">
      <c r="A8" s="16">
        <v>4</v>
      </c>
      <c r="B8" s="17"/>
      <c r="C8" s="18"/>
      <c r="D8" s="19"/>
      <c r="E8" s="18" t="str">
        <f t="shared" si="0"/>
        <v/>
      </c>
      <c r="F8" s="19" t="str">
        <f t="shared" si="1"/>
        <v/>
      </c>
    </row>
    <row r="9" spans="1:6" ht="34.5" customHeight="1">
      <c r="A9" s="20">
        <v>5</v>
      </c>
      <c r="B9" s="21"/>
      <c r="C9" s="12"/>
      <c r="D9" s="22"/>
      <c r="E9" s="14" t="str">
        <f t="shared" si="0"/>
        <v/>
      </c>
      <c r="F9" s="15" t="str">
        <f t="shared" si="1"/>
        <v/>
      </c>
    </row>
    <row r="10" spans="1:6" ht="34.5" customHeight="1">
      <c r="A10" s="16">
        <v>6</v>
      </c>
      <c r="B10" s="17"/>
      <c r="C10" s="23"/>
      <c r="D10" s="19"/>
      <c r="E10" s="18" t="str">
        <f t="shared" si="0"/>
        <v/>
      </c>
      <c r="F10" s="19" t="str">
        <f t="shared" si="1"/>
        <v/>
      </c>
    </row>
    <row r="11" spans="1:6" ht="34.5" customHeight="1">
      <c r="A11" s="10">
        <v>7</v>
      </c>
      <c r="B11" s="11"/>
      <c r="C11" s="12"/>
      <c r="D11" s="22"/>
      <c r="E11" s="14" t="str">
        <f t="shared" si="0"/>
        <v/>
      </c>
      <c r="F11" s="15" t="str">
        <f t="shared" si="1"/>
        <v/>
      </c>
    </row>
    <row r="12" spans="1:6" ht="34.5" customHeight="1">
      <c r="A12" s="16">
        <v>8</v>
      </c>
      <c r="B12" s="17"/>
      <c r="C12" s="23"/>
      <c r="D12" s="19"/>
      <c r="E12" s="18" t="str">
        <f t="shared" si="0"/>
        <v/>
      </c>
      <c r="F12" s="19" t="str">
        <f t="shared" si="1"/>
        <v/>
      </c>
    </row>
    <row r="13" spans="1:6" ht="34.5" customHeight="1">
      <c r="A13" s="10">
        <v>9</v>
      </c>
      <c r="B13" s="11"/>
      <c r="C13" s="12"/>
      <c r="D13" s="22"/>
      <c r="E13" s="14" t="str">
        <f t="shared" si="0"/>
        <v/>
      </c>
      <c r="F13" s="15" t="str">
        <f t="shared" si="1"/>
        <v/>
      </c>
    </row>
    <row r="14" spans="1:6" ht="34.5" customHeight="1">
      <c r="A14" s="16">
        <v>10</v>
      </c>
      <c r="B14" s="17"/>
      <c r="C14" s="23"/>
      <c r="D14" s="19"/>
      <c r="E14" s="18" t="str">
        <f t="shared" si="0"/>
        <v/>
      </c>
      <c r="F14" s="19" t="str">
        <f t="shared" si="1"/>
        <v/>
      </c>
    </row>
    <row r="15" spans="1:6" ht="34.5" customHeight="1">
      <c r="A15" s="10">
        <v>11</v>
      </c>
      <c r="B15" s="11"/>
      <c r="C15" s="12"/>
      <c r="D15" s="22"/>
      <c r="E15" s="14" t="str">
        <f t="shared" si="0"/>
        <v/>
      </c>
      <c r="F15" s="15" t="str">
        <f t="shared" si="1"/>
        <v/>
      </c>
    </row>
    <row r="16" spans="1:6" ht="34.5" customHeight="1">
      <c r="A16" s="16">
        <v>12</v>
      </c>
      <c r="B16" s="17"/>
      <c r="C16" s="23"/>
      <c r="D16" s="19"/>
      <c r="E16" s="18" t="str">
        <f t="shared" si="0"/>
        <v/>
      </c>
      <c r="F16" s="19" t="str">
        <f t="shared" si="1"/>
        <v/>
      </c>
    </row>
    <row r="17" spans="1:6" ht="34.5" customHeight="1">
      <c r="A17" s="10">
        <v>13</v>
      </c>
      <c r="B17" s="11"/>
      <c r="C17" s="12"/>
      <c r="D17" s="22"/>
      <c r="E17" s="14" t="str">
        <f t="shared" si="0"/>
        <v/>
      </c>
      <c r="F17" s="15" t="str">
        <f t="shared" si="1"/>
        <v/>
      </c>
    </row>
    <row r="18" spans="1:6" ht="35.25" customHeight="1">
      <c r="A18" s="16">
        <v>14</v>
      </c>
      <c r="B18" s="17"/>
      <c r="C18" s="23"/>
      <c r="D18" s="19"/>
      <c r="E18" s="18" t="str">
        <f t="shared" si="0"/>
        <v/>
      </c>
      <c r="F18" s="19" t="str">
        <f t="shared" si="1"/>
        <v/>
      </c>
    </row>
    <row r="19" spans="1:6" ht="34.5" customHeight="1">
      <c r="A19" s="10">
        <v>15</v>
      </c>
      <c r="B19" s="11"/>
      <c r="C19" s="12"/>
      <c r="D19" s="22"/>
      <c r="E19" s="14" t="str">
        <f t="shared" si="0"/>
        <v/>
      </c>
      <c r="F19" s="15" t="str">
        <f t="shared" si="1"/>
        <v/>
      </c>
    </row>
    <row r="20" spans="1:6" ht="34.5" customHeight="1">
      <c r="A20" s="16">
        <v>16</v>
      </c>
      <c r="B20" s="17"/>
      <c r="C20" s="23"/>
      <c r="D20" s="19"/>
      <c r="E20" s="18" t="str">
        <f t="shared" si="0"/>
        <v/>
      </c>
      <c r="F20" s="19" t="str">
        <f t="shared" si="1"/>
        <v/>
      </c>
    </row>
    <row r="21" spans="1:6" ht="34.5" customHeight="1">
      <c r="A21" s="10">
        <v>17</v>
      </c>
      <c r="B21" s="11"/>
      <c r="C21" s="12"/>
      <c r="D21" s="22"/>
      <c r="E21" s="14" t="str">
        <f t="shared" si="0"/>
        <v/>
      </c>
      <c r="F21" s="15" t="str">
        <f t="shared" si="1"/>
        <v/>
      </c>
    </row>
    <row r="22" spans="1:6" ht="34.5" customHeight="1">
      <c r="A22" s="16">
        <v>18</v>
      </c>
      <c r="B22" s="17"/>
      <c r="C22" s="23"/>
      <c r="D22" s="19"/>
      <c r="E22" s="18" t="str">
        <f t="shared" si="0"/>
        <v/>
      </c>
      <c r="F22" s="19" t="str">
        <f t="shared" si="1"/>
        <v/>
      </c>
    </row>
    <row r="23" spans="1:6" ht="34.5" customHeight="1">
      <c r="A23" s="10">
        <v>19</v>
      </c>
      <c r="B23" s="11"/>
      <c r="C23" s="12"/>
      <c r="D23" s="22"/>
      <c r="E23" s="14" t="str">
        <f t="shared" si="0"/>
        <v/>
      </c>
      <c r="F23" s="15" t="str">
        <f t="shared" si="1"/>
        <v/>
      </c>
    </row>
    <row r="24" spans="1:6" ht="34.5" customHeight="1">
      <c r="A24" s="16">
        <v>20</v>
      </c>
      <c r="B24" s="17"/>
      <c r="C24" s="23"/>
      <c r="D24" s="19"/>
      <c r="E24" s="18" t="str">
        <f t="shared" si="0"/>
        <v/>
      </c>
      <c r="F24" s="19" t="str">
        <f t="shared" si="1"/>
        <v/>
      </c>
    </row>
    <row r="25" spans="1:6" ht="34.5" customHeight="1">
      <c r="A25" s="10">
        <v>21</v>
      </c>
      <c r="B25" s="11"/>
      <c r="C25" s="12"/>
      <c r="D25" s="22"/>
      <c r="E25" s="14" t="str">
        <f t="shared" si="0"/>
        <v/>
      </c>
      <c r="F25" s="15" t="str">
        <f t="shared" si="1"/>
        <v/>
      </c>
    </row>
    <row r="26" spans="1:6" ht="34.5" customHeight="1">
      <c r="A26" s="24">
        <v>22</v>
      </c>
      <c r="B26" s="25"/>
      <c r="C26" s="23"/>
      <c r="D26" s="19"/>
      <c r="E26" s="18" t="str">
        <f t="shared" si="0"/>
        <v/>
      </c>
      <c r="F26" s="19" t="str">
        <f t="shared" si="1"/>
        <v/>
      </c>
    </row>
    <row r="27" spans="1:6" ht="15.75" customHeight="1">
      <c r="A27" s="26"/>
      <c r="B27" s="1"/>
      <c r="C27" s="27"/>
      <c r="D27" s="28"/>
      <c r="E27" s="28"/>
      <c r="F27" s="28"/>
    </row>
    <row r="28" spans="1:6" ht="15.75" customHeight="1">
      <c r="A28" s="26"/>
      <c r="B28" s="1"/>
      <c r="C28" s="27"/>
      <c r="D28" s="28"/>
      <c r="E28" s="28"/>
      <c r="F28" s="28"/>
    </row>
    <row r="29" spans="1:6" ht="15.75" customHeight="1">
      <c r="A29" s="26"/>
      <c r="B29" s="1"/>
      <c r="C29" s="27"/>
      <c r="D29" s="28"/>
      <c r="E29" s="28"/>
      <c r="F29" s="28"/>
    </row>
    <row r="30" spans="1:6" ht="15.75" customHeight="1">
      <c r="A30" s="26"/>
      <c r="C30" s="27"/>
      <c r="D30" s="28"/>
      <c r="E30" s="28"/>
      <c r="F30" s="28"/>
    </row>
    <row r="31" spans="1:6" ht="15.75" customHeight="1">
      <c r="A31" s="26"/>
      <c r="C31" s="27"/>
      <c r="D31" s="28"/>
      <c r="F31" s="28"/>
    </row>
    <row r="32" spans="1:6" ht="15.75" customHeight="1">
      <c r="A32" s="26"/>
      <c r="C32" s="27"/>
      <c r="D32" s="28"/>
      <c r="F32" s="28"/>
    </row>
    <row r="33" spans="1:6" ht="15.75" customHeight="1">
      <c r="A33" s="26"/>
      <c r="C33" s="27"/>
      <c r="D33" s="28"/>
      <c r="F33" s="28"/>
    </row>
    <row r="34" spans="1:6" ht="15.75" customHeight="1">
      <c r="A34" s="26"/>
      <c r="C34" s="27"/>
      <c r="D34" s="28"/>
      <c r="F34" s="28"/>
    </row>
    <row r="35" spans="1:6" ht="15.75" customHeight="1">
      <c r="A35" s="26"/>
      <c r="C35" s="27"/>
      <c r="D35" s="28"/>
      <c r="F35" s="28"/>
    </row>
    <row r="36" spans="1:6" ht="15.75" customHeight="1">
      <c r="A36" s="26"/>
      <c r="C36" s="27"/>
      <c r="D36" s="28"/>
      <c r="F36" s="28"/>
    </row>
    <row r="37" spans="1:6" ht="15.75" customHeight="1">
      <c r="A37" s="26"/>
      <c r="C37" s="27"/>
      <c r="D37" s="28"/>
      <c r="F37" s="28"/>
    </row>
    <row r="38" spans="1:6" ht="15.75" customHeight="1">
      <c r="A38" s="26"/>
      <c r="C38" s="27"/>
      <c r="D38" s="28"/>
    </row>
    <row r="39" spans="1:6" ht="15.75" customHeight="1">
      <c r="A39" s="26"/>
      <c r="C39" s="27"/>
      <c r="D39" s="28"/>
    </row>
    <row r="40" spans="1:6" ht="15.75" customHeight="1">
      <c r="A40" s="26"/>
      <c r="C40" s="27"/>
      <c r="D40" s="28"/>
    </row>
    <row r="41" spans="1:6" ht="15.75" customHeight="1">
      <c r="A41" s="26"/>
      <c r="C41" s="27"/>
      <c r="D41" s="28"/>
    </row>
    <row r="42" spans="1:6" ht="15.75" customHeight="1">
      <c r="A42" s="26"/>
      <c r="C42" s="27"/>
      <c r="D42" s="28"/>
    </row>
    <row r="43" spans="1:6" ht="15.75" customHeight="1">
      <c r="A43" s="26"/>
      <c r="C43" s="27"/>
      <c r="D43" s="28"/>
    </row>
    <row r="44" spans="1:6" ht="15.75" customHeight="1">
      <c r="A44" s="26"/>
      <c r="C44" s="27"/>
      <c r="D44" s="28"/>
    </row>
    <row r="45" spans="1:6" ht="15.75" customHeight="1">
      <c r="A45" s="26"/>
      <c r="C45" s="27"/>
      <c r="D45" s="28"/>
    </row>
    <row r="46" spans="1:6" ht="15.75" customHeight="1">
      <c r="A46" s="26"/>
      <c r="C46" s="27"/>
      <c r="D46" s="28"/>
    </row>
    <row r="47" spans="1:6" ht="15.75" customHeight="1">
      <c r="A47" s="26"/>
      <c r="C47" s="27"/>
      <c r="D47" s="28"/>
    </row>
    <row r="48" spans="1:6" ht="15.75" customHeight="1">
      <c r="A48" s="26"/>
      <c r="C48" s="27"/>
      <c r="D48" s="28"/>
    </row>
    <row r="49" spans="1:6" ht="15.75" customHeight="1">
      <c r="A49" s="26"/>
      <c r="C49" s="27"/>
      <c r="D49" s="28"/>
      <c r="E49" s="28"/>
      <c r="F49" s="28"/>
    </row>
    <row r="50" spans="1:6" ht="15.75" customHeight="1">
      <c r="A50" s="26"/>
      <c r="C50" s="27"/>
      <c r="D50" s="28"/>
      <c r="E50" s="28"/>
      <c r="F50" s="28"/>
    </row>
    <row r="51" spans="1:6" ht="15.75" customHeight="1">
      <c r="A51" s="26"/>
      <c r="C51" s="27"/>
      <c r="D51" s="28"/>
      <c r="E51" s="28"/>
      <c r="F51" s="28"/>
    </row>
    <row r="52" spans="1:6" ht="15.75" customHeight="1">
      <c r="A52" s="26"/>
      <c r="C52" s="27"/>
      <c r="D52" s="28"/>
      <c r="E52" s="28"/>
      <c r="F52" s="28"/>
    </row>
    <row r="53" spans="1:6" ht="15.75" customHeight="1">
      <c r="A53" s="26"/>
      <c r="C53" s="27"/>
      <c r="D53" s="28"/>
      <c r="E53" s="28"/>
      <c r="F53" s="28"/>
    </row>
    <row r="54" spans="1:6" ht="15.75" customHeight="1">
      <c r="A54" s="26"/>
      <c r="C54" s="27"/>
      <c r="D54" s="28"/>
      <c r="E54" s="28"/>
      <c r="F54" s="28"/>
    </row>
    <row r="55" spans="1:6" ht="15.75" customHeight="1">
      <c r="A55" s="26"/>
      <c r="C55" s="27"/>
      <c r="D55" s="28"/>
      <c r="E55" s="28"/>
      <c r="F55" s="28"/>
    </row>
    <row r="56" spans="1:6" ht="15.75" customHeight="1">
      <c r="A56" s="26"/>
      <c r="C56" s="27"/>
      <c r="D56" s="28"/>
      <c r="E56" s="28"/>
      <c r="F56" s="28"/>
    </row>
    <row r="57" spans="1:6" ht="15.75" customHeight="1">
      <c r="A57" s="26"/>
      <c r="C57" s="27"/>
      <c r="D57" s="28"/>
      <c r="E57" s="28"/>
      <c r="F57" s="28"/>
    </row>
    <row r="58" spans="1:6" ht="15.75" customHeight="1">
      <c r="A58" s="26"/>
      <c r="C58" s="27"/>
      <c r="D58" s="28"/>
      <c r="E58" s="28"/>
      <c r="F58" s="28"/>
    </row>
    <row r="59" spans="1:6" ht="15.75" customHeight="1">
      <c r="A59" s="26"/>
      <c r="C59" s="27"/>
      <c r="D59" s="28"/>
      <c r="E59" s="28"/>
      <c r="F59" s="28"/>
    </row>
    <row r="60" spans="1:6" ht="15.75" customHeight="1">
      <c r="A60" s="26"/>
      <c r="C60" s="27"/>
      <c r="D60" s="28"/>
      <c r="E60" s="28"/>
      <c r="F60" s="28"/>
    </row>
    <row r="61" spans="1:6" ht="15.75" customHeight="1">
      <c r="A61" s="26"/>
      <c r="C61" s="27"/>
      <c r="D61" s="28"/>
      <c r="E61" s="28"/>
      <c r="F61" s="28"/>
    </row>
    <row r="62" spans="1:6" ht="15.75" customHeight="1">
      <c r="A62" s="26"/>
      <c r="C62" s="27"/>
      <c r="D62" s="28"/>
      <c r="E62" s="28"/>
      <c r="F62" s="28"/>
    </row>
    <row r="63" spans="1:6" ht="15.75" customHeight="1">
      <c r="A63" s="26"/>
      <c r="C63" s="27"/>
      <c r="D63" s="28"/>
      <c r="E63" s="28"/>
      <c r="F63" s="28"/>
    </row>
    <row r="64" spans="1:6" ht="15.75" customHeight="1">
      <c r="A64" s="26"/>
      <c r="C64" s="27"/>
      <c r="D64" s="28"/>
      <c r="E64" s="28"/>
      <c r="F64" s="28"/>
    </row>
    <row r="65" spans="1:6" ht="15.75" customHeight="1">
      <c r="A65" s="26"/>
      <c r="C65" s="27"/>
      <c r="D65" s="28"/>
      <c r="E65" s="28"/>
      <c r="F65" s="28"/>
    </row>
    <row r="66" spans="1:6" ht="15.75" customHeight="1">
      <c r="A66" s="26"/>
      <c r="C66" s="27"/>
      <c r="D66" s="28"/>
      <c r="E66" s="28"/>
      <c r="F66" s="28"/>
    </row>
    <row r="67" spans="1:6" ht="15.75" customHeight="1">
      <c r="A67" s="26"/>
      <c r="C67" s="27"/>
      <c r="D67" s="28"/>
      <c r="E67" s="28"/>
      <c r="F67" s="28"/>
    </row>
    <row r="68" spans="1:6" ht="15.75" customHeight="1">
      <c r="A68" s="26"/>
      <c r="C68" s="27"/>
      <c r="D68" s="28"/>
      <c r="E68" s="28"/>
      <c r="F68" s="28"/>
    </row>
    <row r="69" spans="1:6" ht="15.75" customHeight="1">
      <c r="A69" s="26"/>
      <c r="C69" s="27"/>
      <c r="D69" s="28"/>
      <c r="E69" s="28"/>
      <c r="F69" s="28"/>
    </row>
    <row r="70" spans="1:6" ht="15.75" customHeight="1">
      <c r="A70" s="26"/>
      <c r="C70" s="27"/>
      <c r="D70" s="28"/>
      <c r="E70" s="28"/>
      <c r="F70" s="28"/>
    </row>
    <row r="71" spans="1:6" ht="15.75" customHeight="1">
      <c r="A71" s="26"/>
      <c r="C71" s="27"/>
      <c r="D71" s="28"/>
      <c r="E71" s="28"/>
      <c r="F71" s="28"/>
    </row>
    <row r="72" spans="1:6" ht="15.75" customHeight="1">
      <c r="A72" s="26"/>
      <c r="C72" s="27"/>
      <c r="D72" s="28"/>
      <c r="E72" s="28"/>
      <c r="F72" s="28"/>
    </row>
    <row r="73" spans="1:6" ht="15.75" customHeight="1">
      <c r="A73" s="26"/>
      <c r="C73" s="27"/>
      <c r="D73" s="28"/>
      <c r="E73" s="28"/>
      <c r="F73" s="28"/>
    </row>
    <row r="74" spans="1:6" ht="15.75" customHeight="1">
      <c r="A74" s="26"/>
      <c r="C74" s="27"/>
      <c r="D74" s="28"/>
      <c r="E74" s="28"/>
      <c r="F74" s="28"/>
    </row>
    <row r="75" spans="1:6" ht="15.75" customHeight="1">
      <c r="A75" s="26"/>
      <c r="C75" s="27"/>
      <c r="D75" s="28"/>
      <c r="E75" s="28"/>
      <c r="F75" s="28"/>
    </row>
    <row r="76" spans="1:6" ht="15.75" customHeight="1">
      <c r="A76" s="26"/>
      <c r="C76" s="27"/>
      <c r="D76" s="28"/>
      <c r="E76" s="28"/>
      <c r="F76" s="28"/>
    </row>
    <row r="77" spans="1:6" ht="15.75" customHeight="1">
      <c r="A77" s="26"/>
      <c r="C77" s="27"/>
      <c r="D77" s="28"/>
      <c r="E77" s="28"/>
      <c r="F77" s="28"/>
    </row>
    <row r="78" spans="1:6" ht="15.75" customHeight="1">
      <c r="A78" s="26"/>
      <c r="C78" s="27"/>
      <c r="D78" s="28"/>
      <c r="E78" s="28"/>
      <c r="F78" s="28"/>
    </row>
    <row r="79" spans="1:6" ht="15.75" customHeight="1">
      <c r="A79" s="26"/>
      <c r="C79" s="27"/>
      <c r="D79" s="28"/>
      <c r="E79" s="28"/>
      <c r="F79" s="28"/>
    </row>
    <row r="80" spans="1:6" ht="15.75" customHeight="1">
      <c r="A80" s="26"/>
      <c r="C80" s="27"/>
      <c r="D80" s="28"/>
      <c r="E80" s="28"/>
      <c r="F80" s="28"/>
    </row>
    <row r="81" spans="1:6" ht="15.75" customHeight="1">
      <c r="A81" s="26"/>
      <c r="C81" s="27"/>
      <c r="D81" s="28"/>
      <c r="E81" s="28"/>
      <c r="F81" s="28"/>
    </row>
    <row r="82" spans="1:6" ht="15.75" customHeight="1">
      <c r="A82" s="26"/>
      <c r="C82" s="27"/>
      <c r="D82" s="28"/>
      <c r="E82" s="28"/>
      <c r="F82" s="28"/>
    </row>
    <row r="83" spans="1:6" ht="15.75" customHeight="1">
      <c r="A83" s="26"/>
      <c r="C83" s="27"/>
      <c r="D83" s="28"/>
      <c r="E83" s="28"/>
      <c r="F83" s="28"/>
    </row>
    <row r="84" spans="1:6" ht="15.75" customHeight="1">
      <c r="A84" s="26"/>
      <c r="C84" s="27"/>
      <c r="D84" s="28"/>
      <c r="E84" s="28"/>
      <c r="F84" s="28"/>
    </row>
    <row r="85" spans="1:6" ht="15.75" customHeight="1">
      <c r="A85" s="26"/>
      <c r="C85" s="27"/>
      <c r="D85" s="28"/>
      <c r="E85" s="28"/>
      <c r="F85" s="28"/>
    </row>
    <row r="86" spans="1:6" ht="15.75" customHeight="1">
      <c r="A86" s="26"/>
      <c r="C86" s="27"/>
      <c r="D86" s="28"/>
      <c r="E86" s="28"/>
      <c r="F86" s="28"/>
    </row>
    <row r="87" spans="1:6" ht="15.75" customHeight="1">
      <c r="A87" s="26"/>
      <c r="C87" s="27"/>
      <c r="D87" s="28"/>
      <c r="E87" s="28"/>
      <c r="F87" s="28"/>
    </row>
    <row r="88" spans="1:6" ht="15.75" customHeight="1">
      <c r="A88" s="26"/>
      <c r="C88" s="27"/>
      <c r="D88" s="28"/>
      <c r="E88" s="28"/>
      <c r="F88" s="28"/>
    </row>
    <row r="89" spans="1:6" ht="15.75" customHeight="1">
      <c r="A89" s="26"/>
      <c r="C89" s="27"/>
      <c r="D89" s="28"/>
      <c r="E89" s="28"/>
      <c r="F89" s="28"/>
    </row>
    <row r="90" spans="1:6" ht="15.75" customHeight="1">
      <c r="A90" s="26"/>
      <c r="C90" s="27"/>
      <c r="D90" s="28"/>
      <c r="E90" s="28"/>
      <c r="F90" s="28"/>
    </row>
    <row r="91" spans="1:6" ht="15.75" customHeight="1">
      <c r="A91" s="26"/>
      <c r="C91" s="27"/>
      <c r="D91" s="28"/>
      <c r="E91" s="28"/>
      <c r="F91" s="28"/>
    </row>
    <row r="92" spans="1:6" ht="15.75" customHeight="1">
      <c r="A92" s="26"/>
      <c r="C92" s="27"/>
      <c r="D92" s="28"/>
      <c r="E92" s="28"/>
      <c r="F92" s="28"/>
    </row>
    <row r="93" spans="1:6" ht="15.75" customHeight="1">
      <c r="A93" s="26"/>
      <c r="C93" s="27"/>
      <c r="D93" s="28"/>
      <c r="E93" s="28"/>
      <c r="F93" s="28"/>
    </row>
    <row r="94" spans="1:6" ht="15.75" customHeight="1">
      <c r="A94" s="26"/>
      <c r="C94" s="27"/>
      <c r="D94" s="28"/>
      <c r="E94" s="28"/>
      <c r="F94" s="28"/>
    </row>
    <row r="95" spans="1:6" ht="15.75" customHeight="1">
      <c r="A95" s="26"/>
      <c r="C95" s="27"/>
      <c r="D95" s="28"/>
      <c r="E95" s="28"/>
      <c r="F95" s="28"/>
    </row>
    <row r="96" spans="1:6" ht="15.75" customHeight="1">
      <c r="A96" s="26"/>
      <c r="C96" s="27"/>
      <c r="D96" s="28"/>
      <c r="E96" s="28"/>
      <c r="F96" s="28"/>
    </row>
    <row r="97" spans="1:6" ht="15.75" customHeight="1">
      <c r="A97" s="26"/>
      <c r="C97" s="27"/>
      <c r="D97" s="28"/>
      <c r="E97" s="28"/>
      <c r="F97" s="28"/>
    </row>
    <row r="98" spans="1:6" ht="15.75" customHeight="1">
      <c r="A98" s="26"/>
      <c r="C98" s="27"/>
      <c r="D98" s="28"/>
      <c r="E98" s="28"/>
      <c r="F98" s="28"/>
    </row>
    <row r="99" spans="1:6" ht="15.75" customHeight="1">
      <c r="A99" s="26"/>
      <c r="C99" s="27"/>
      <c r="D99" s="28"/>
      <c r="E99" s="28"/>
      <c r="F99" s="28"/>
    </row>
    <row r="100" spans="1:6" ht="15.75" customHeight="1">
      <c r="A100" s="26"/>
      <c r="C100" s="27"/>
      <c r="D100" s="28"/>
      <c r="E100" s="28"/>
      <c r="F100" s="28"/>
    </row>
    <row r="101" spans="1:6" ht="15.75" customHeight="1">
      <c r="A101" s="26"/>
      <c r="C101" s="27"/>
      <c r="D101" s="28"/>
      <c r="E101" s="28"/>
      <c r="F101" s="28"/>
    </row>
    <row r="102" spans="1:6" ht="15.75" customHeight="1">
      <c r="A102" s="26"/>
      <c r="C102" s="27"/>
      <c r="D102" s="28"/>
      <c r="E102" s="28"/>
      <c r="F102" s="28"/>
    </row>
    <row r="103" spans="1:6" ht="15.75" customHeight="1">
      <c r="A103" s="26"/>
      <c r="C103" s="27"/>
      <c r="D103" s="28"/>
      <c r="E103" s="28"/>
      <c r="F103" s="28"/>
    </row>
    <row r="104" spans="1:6" ht="15.75" customHeight="1">
      <c r="A104" s="26"/>
      <c r="C104" s="27"/>
      <c r="D104" s="28"/>
      <c r="E104" s="28"/>
      <c r="F104" s="28"/>
    </row>
    <row r="105" spans="1:6" ht="15.75" customHeight="1">
      <c r="A105" s="26"/>
      <c r="C105" s="27"/>
      <c r="D105" s="28"/>
      <c r="E105" s="28"/>
      <c r="F105" s="28"/>
    </row>
    <row r="106" spans="1:6" ht="15.75" customHeight="1">
      <c r="A106" s="26"/>
      <c r="C106" s="27"/>
      <c r="D106" s="28"/>
      <c r="E106" s="28"/>
      <c r="F106" s="28"/>
    </row>
    <row r="107" spans="1:6" ht="15.75" customHeight="1">
      <c r="A107" s="26"/>
      <c r="C107" s="27"/>
      <c r="D107" s="28"/>
      <c r="E107" s="28"/>
      <c r="F107" s="28"/>
    </row>
    <row r="108" spans="1:6" ht="15.75" customHeight="1">
      <c r="A108" s="26"/>
      <c r="C108" s="27"/>
      <c r="D108" s="28"/>
      <c r="E108" s="28"/>
      <c r="F108" s="28"/>
    </row>
    <row r="109" spans="1:6" ht="15.75" customHeight="1">
      <c r="A109" s="26"/>
      <c r="C109" s="27"/>
      <c r="D109" s="28"/>
      <c r="E109" s="28"/>
      <c r="F109" s="28"/>
    </row>
    <row r="110" spans="1:6" ht="15.75" customHeight="1">
      <c r="A110" s="26"/>
      <c r="C110" s="27"/>
      <c r="D110" s="28"/>
      <c r="E110" s="28"/>
      <c r="F110" s="28"/>
    </row>
    <row r="111" spans="1:6" ht="15.75" customHeight="1">
      <c r="A111" s="26"/>
      <c r="C111" s="27"/>
      <c r="D111" s="28"/>
      <c r="E111" s="28"/>
      <c r="F111" s="28"/>
    </row>
    <row r="112" spans="1:6" ht="15.75" customHeight="1">
      <c r="A112" s="26"/>
      <c r="C112" s="27"/>
      <c r="D112" s="28"/>
      <c r="E112" s="28"/>
      <c r="F112" s="28"/>
    </row>
    <row r="113" spans="1:6" ht="15.75" customHeight="1">
      <c r="A113" s="26"/>
      <c r="C113" s="27"/>
      <c r="D113" s="28"/>
      <c r="E113" s="28"/>
      <c r="F113" s="28"/>
    </row>
    <row r="114" spans="1:6" ht="15.75" customHeight="1">
      <c r="A114" s="26"/>
      <c r="C114" s="27"/>
      <c r="D114" s="28"/>
      <c r="E114" s="28"/>
      <c r="F114" s="28"/>
    </row>
    <row r="115" spans="1:6" ht="15.75" customHeight="1">
      <c r="A115" s="26"/>
      <c r="C115" s="27"/>
      <c r="D115" s="28"/>
      <c r="E115" s="28"/>
      <c r="F115" s="28"/>
    </row>
    <row r="116" spans="1:6" ht="15.75" customHeight="1">
      <c r="A116" s="26"/>
      <c r="C116" s="27"/>
      <c r="D116" s="28"/>
      <c r="E116" s="28"/>
      <c r="F116" s="28"/>
    </row>
    <row r="117" spans="1:6" ht="15.75" customHeight="1">
      <c r="A117" s="26"/>
      <c r="C117" s="27"/>
      <c r="D117" s="28"/>
      <c r="E117" s="28"/>
      <c r="F117" s="28"/>
    </row>
    <row r="118" spans="1:6" ht="15.75" customHeight="1">
      <c r="A118" s="26"/>
      <c r="C118" s="27"/>
      <c r="D118" s="28"/>
      <c r="E118" s="28"/>
      <c r="F118" s="28"/>
    </row>
    <row r="119" spans="1:6" ht="15.75" customHeight="1">
      <c r="A119" s="26"/>
      <c r="C119" s="27"/>
      <c r="D119" s="28"/>
      <c r="E119" s="28"/>
      <c r="F119" s="28"/>
    </row>
    <row r="120" spans="1:6" ht="15.75" customHeight="1">
      <c r="A120" s="26"/>
      <c r="C120" s="27"/>
      <c r="D120" s="28"/>
      <c r="E120" s="28"/>
      <c r="F120" s="28"/>
    </row>
    <row r="121" spans="1:6" ht="15.75" customHeight="1">
      <c r="A121" s="26"/>
      <c r="C121" s="27"/>
      <c r="D121" s="28"/>
      <c r="E121" s="28"/>
      <c r="F121" s="28"/>
    </row>
    <row r="122" spans="1:6" ht="15.75" customHeight="1">
      <c r="A122" s="26"/>
      <c r="C122" s="27"/>
      <c r="D122" s="28"/>
      <c r="E122" s="28"/>
      <c r="F122" s="28"/>
    </row>
    <row r="123" spans="1:6" ht="15.75" customHeight="1">
      <c r="A123" s="26"/>
      <c r="C123" s="27"/>
      <c r="D123" s="28"/>
      <c r="E123" s="28"/>
      <c r="F123" s="28"/>
    </row>
    <row r="124" spans="1:6" ht="15.75" customHeight="1">
      <c r="A124" s="26"/>
      <c r="C124" s="27"/>
      <c r="D124" s="28"/>
      <c r="E124" s="28"/>
      <c r="F124" s="28"/>
    </row>
    <row r="125" spans="1:6" ht="15.75" customHeight="1">
      <c r="A125" s="26"/>
      <c r="C125" s="27"/>
      <c r="D125" s="28"/>
      <c r="E125" s="28"/>
      <c r="F125" s="28"/>
    </row>
    <row r="126" spans="1:6" ht="15.75" customHeight="1">
      <c r="A126" s="26"/>
      <c r="C126" s="27"/>
      <c r="D126" s="28"/>
      <c r="E126" s="28"/>
      <c r="F126" s="28"/>
    </row>
    <row r="127" spans="1:6" ht="15.75" customHeight="1">
      <c r="A127" s="26"/>
      <c r="C127" s="27"/>
      <c r="D127" s="28"/>
      <c r="E127" s="28"/>
      <c r="F127" s="28"/>
    </row>
    <row r="128" spans="1:6" ht="15.75" customHeight="1">
      <c r="A128" s="26"/>
      <c r="C128" s="27"/>
      <c r="D128" s="28"/>
      <c r="E128" s="28"/>
      <c r="F128" s="28"/>
    </row>
    <row r="129" spans="1:6" ht="15.75" customHeight="1">
      <c r="A129" s="26"/>
      <c r="C129" s="27"/>
      <c r="D129" s="28"/>
      <c r="E129" s="28"/>
      <c r="F129" s="28"/>
    </row>
    <row r="130" spans="1:6" ht="15.75" customHeight="1">
      <c r="A130" s="26"/>
      <c r="C130" s="27"/>
      <c r="D130" s="28"/>
      <c r="E130" s="28"/>
      <c r="F130" s="28"/>
    </row>
    <row r="131" spans="1:6" ht="15.75" customHeight="1">
      <c r="A131" s="26"/>
      <c r="C131" s="27"/>
      <c r="D131" s="28"/>
      <c r="E131" s="28"/>
      <c r="F131" s="28"/>
    </row>
    <row r="132" spans="1:6" ht="15.75" customHeight="1">
      <c r="A132" s="26"/>
      <c r="C132" s="27"/>
      <c r="D132" s="28"/>
      <c r="E132" s="28"/>
      <c r="F132" s="28"/>
    </row>
    <row r="133" spans="1:6" ht="15.75" customHeight="1">
      <c r="A133" s="26"/>
      <c r="C133" s="27"/>
      <c r="D133" s="28"/>
      <c r="E133" s="28"/>
      <c r="F133" s="28"/>
    </row>
    <row r="134" spans="1:6" ht="15.75" customHeight="1">
      <c r="A134" s="26"/>
      <c r="C134" s="27"/>
      <c r="D134" s="28"/>
      <c r="E134" s="28"/>
      <c r="F134" s="28"/>
    </row>
    <row r="135" spans="1:6" ht="15.75" customHeight="1">
      <c r="A135" s="26"/>
      <c r="C135" s="27"/>
      <c r="D135" s="28"/>
      <c r="E135" s="28"/>
      <c r="F135" s="28"/>
    </row>
    <row r="136" spans="1:6" ht="15.75" customHeight="1">
      <c r="A136" s="26"/>
      <c r="C136" s="27"/>
      <c r="D136" s="28"/>
      <c r="E136" s="28"/>
      <c r="F136" s="28"/>
    </row>
    <row r="137" spans="1:6" ht="15.75" customHeight="1">
      <c r="A137" s="26"/>
      <c r="C137" s="27"/>
      <c r="D137" s="28"/>
      <c r="E137" s="28"/>
      <c r="F137" s="28"/>
    </row>
    <row r="138" spans="1:6" ht="15.75" customHeight="1">
      <c r="A138" s="26"/>
      <c r="C138" s="27"/>
      <c r="D138" s="28"/>
      <c r="E138" s="28"/>
      <c r="F138" s="28"/>
    </row>
    <row r="139" spans="1:6" ht="15.75" customHeight="1">
      <c r="A139" s="26"/>
      <c r="C139" s="27"/>
      <c r="D139" s="28"/>
      <c r="E139" s="28"/>
      <c r="F139" s="28"/>
    </row>
    <row r="140" spans="1:6" ht="15.75" customHeight="1">
      <c r="A140" s="26"/>
      <c r="C140" s="27"/>
      <c r="D140" s="28"/>
      <c r="E140" s="28"/>
      <c r="F140" s="28"/>
    </row>
    <row r="141" spans="1:6" ht="15.75" customHeight="1">
      <c r="A141" s="26"/>
      <c r="C141" s="27"/>
      <c r="D141" s="28"/>
      <c r="E141" s="28"/>
      <c r="F141" s="28"/>
    </row>
    <row r="142" spans="1:6" ht="15.75" customHeight="1">
      <c r="A142" s="26"/>
      <c r="C142" s="27"/>
      <c r="D142" s="28"/>
      <c r="E142" s="28"/>
      <c r="F142" s="28"/>
    </row>
    <row r="143" spans="1:6" ht="15.75" customHeight="1">
      <c r="A143" s="26"/>
      <c r="C143" s="27"/>
      <c r="D143" s="28"/>
      <c r="E143" s="28"/>
      <c r="F143" s="28"/>
    </row>
    <row r="144" spans="1:6" ht="15.75" customHeight="1">
      <c r="A144" s="26"/>
      <c r="C144" s="27"/>
      <c r="D144" s="28"/>
      <c r="E144" s="28"/>
      <c r="F144" s="28"/>
    </row>
    <row r="145" spans="1:6" ht="15.75" customHeight="1">
      <c r="A145" s="26"/>
      <c r="C145" s="27"/>
      <c r="D145" s="28"/>
      <c r="E145" s="28"/>
      <c r="F145" s="28"/>
    </row>
    <row r="146" spans="1:6" ht="15.75" customHeight="1">
      <c r="A146" s="26"/>
      <c r="C146" s="27"/>
      <c r="D146" s="28"/>
      <c r="E146" s="28"/>
      <c r="F146" s="28"/>
    </row>
    <row r="147" spans="1:6" ht="15.75" customHeight="1">
      <c r="A147" s="26"/>
      <c r="C147" s="27"/>
      <c r="D147" s="28"/>
      <c r="E147" s="28"/>
      <c r="F147" s="28"/>
    </row>
    <row r="148" spans="1:6" ht="15.75" customHeight="1">
      <c r="A148" s="26"/>
      <c r="C148" s="27"/>
      <c r="D148" s="28"/>
      <c r="E148" s="28"/>
      <c r="F148" s="28"/>
    </row>
    <row r="149" spans="1:6" ht="15.75" customHeight="1">
      <c r="A149" s="26"/>
      <c r="C149" s="27"/>
      <c r="D149" s="28"/>
      <c r="E149" s="28"/>
      <c r="F149" s="28"/>
    </row>
    <row r="150" spans="1:6" ht="15.75" customHeight="1">
      <c r="A150" s="26"/>
      <c r="C150" s="27"/>
      <c r="D150" s="28"/>
      <c r="E150" s="28"/>
      <c r="F150" s="28"/>
    </row>
    <row r="151" spans="1:6" ht="15.75" customHeight="1">
      <c r="A151" s="26"/>
      <c r="C151" s="27"/>
      <c r="D151" s="28"/>
      <c r="E151" s="28"/>
      <c r="F151" s="28"/>
    </row>
    <row r="152" spans="1:6" ht="15.75" customHeight="1">
      <c r="A152" s="26"/>
      <c r="C152" s="27"/>
      <c r="D152" s="28"/>
      <c r="E152" s="28"/>
      <c r="F152" s="28"/>
    </row>
    <row r="153" spans="1:6" ht="15.75" customHeight="1">
      <c r="A153" s="26"/>
      <c r="C153" s="27"/>
      <c r="D153" s="28"/>
      <c r="E153" s="28"/>
      <c r="F153" s="28"/>
    </row>
    <row r="154" spans="1:6" ht="15.75" customHeight="1">
      <c r="A154" s="26"/>
      <c r="C154" s="27"/>
      <c r="D154" s="28"/>
      <c r="E154" s="28"/>
      <c r="F154" s="28"/>
    </row>
    <row r="155" spans="1:6" ht="15.75" customHeight="1">
      <c r="A155" s="26"/>
      <c r="C155" s="27"/>
      <c r="D155" s="28"/>
      <c r="E155" s="28"/>
      <c r="F155" s="28"/>
    </row>
    <row r="156" spans="1:6" ht="15.75" customHeight="1">
      <c r="A156" s="26"/>
      <c r="C156" s="27"/>
      <c r="D156" s="28"/>
      <c r="E156" s="28"/>
      <c r="F156" s="28"/>
    </row>
    <row r="157" spans="1:6" ht="15.75" customHeight="1">
      <c r="A157" s="26"/>
      <c r="C157" s="27"/>
      <c r="D157" s="28"/>
      <c r="E157" s="28"/>
      <c r="F157" s="28"/>
    </row>
    <row r="158" spans="1:6" ht="15.75" customHeight="1">
      <c r="A158" s="26"/>
      <c r="C158" s="27"/>
      <c r="D158" s="28"/>
      <c r="E158" s="28"/>
      <c r="F158" s="28"/>
    </row>
    <row r="159" spans="1:6" ht="15.75" customHeight="1">
      <c r="A159" s="26"/>
      <c r="C159" s="27"/>
      <c r="D159" s="28"/>
      <c r="E159" s="28"/>
      <c r="F159" s="28"/>
    </row>
    <row r="160" spans="1:6" ht="15.75" customHeight="1">
      <c r="A160" s="26"/>
      <c r="C160" s="27"/>
      <c r="D160" s="28"/>
      <c r="E160" s="28"/>
      <c r="F160" s="28"/>
    </row>
    <row r="161" spans="1:6" ht="15.75" customHeight="1">
      <c r="A161" s="26"/>
      <c r="C161" s="27"/>
      <c r="D161" s="28"/>
      <c r="E161" s="28"/>
      <c r="F161" s="28"/>
    </row>
    <row r="162" spans="1:6" ht="15.75" customHeight="1">
      <c r="A162" s="26"/>
      <c r="C162" s="27"/>
      <c r="D162" s="28"/>
      <c r="E162" s="28"/>
      <c r="F162" s="28"/>
    </row>
    <row r="163" spans="1:6" ht="15.75" customHeight="1">
      <c r="A163" s="26"/>
      <c r="C163" s="27"/>
      <c r="D163" s="28"/>
      <c r="E163" s="28"/>
      <c r="F163" s="28"/>
    </row>
    <row r="164" spans="1:6" ht="15.75" customHeight="1">
      <c r="A164" s="26"/>
      <c r="C164" s="27"/>
      <c r="D164" s="28"/>
      <c r="E164" s="28"/>
      <c r="F164" s="28"/>
    </row>
    <row r="165" spans="1:6" ht="15.75" customHeight="1">
      <c r="A165" s="26"/>
      <c r="C165" s="27"/>
      <c r="D165" s="28"/>
      <c r="E165" s="28"/>
      <c r="F165" s="28"/>
    </row>
    <row r="166" spans="1:6" ht="15.75" customHeight="1">
      <c r="A166" s="26"/>
      <c r="C166" s="27"/>
      <c r="D166" s="28"/>
      <c r="E166" s="28"/>
      <c r="F166" s="28"/>
    </row>
    <row r="167" spans="1:6" ht="15.75" customHeight="1">
      <c r="A167" s="26"/>
      <c r="C167" s="27"/>
      <c r="D167" s="28"/>
      <c r="E167" s="28"/>
      <c r="F167" s="28"/>
    </row>
    <row r="168" spans="1:6" ht="15.75" customHeight="1">
      <c r="A168" s="26"/>
      <c r="C168" s="27"/>
      <c r="D168" s="28"/>
      <c r="E168" s="28"/>
      <c r="F168" s="28"/>
    </row>
    <row r="169" spans="1:6" ht="15.75" customHeight="1">
      <c r="A169" s="26"/>
      <c r="C169" s="27"/>
      <c r="D169" s="28"/>
      <c r="E169" s="28"/>
      <c r="F169" s="28"/>
    </row>
    <row r="170" spans="1:6" ht="15.75" customHeight="1">
      <c r="A170" s="26"/>
      <c r="C170" s="27"/>
      <c r="D170" s="28"/>
      <c r="E170" s="28"/>
      <c r="F170" s="28"/>
    </row>
    <row r="171" spans="1:6" ht="15.75" customHeight="1">
      <c r="A171" s="26"/>
      <c r="C171" s="27"/>
      <c r="D171" s="28"/>
      <c r="E171" s="28"/>
      <c r="F171" s="28"/>
    </row>
    <row r="172" spans="1:6" ht="15.75" customHeight="1">
      <c r="A172" s="26"/>
      <c r="C172" s="27"/>
      <c r="D172" s="28"/>
      <c r="E172" s="28"/>
      <c r="F172" s="28"/>
    </row>
    <row r="173" spans="1:6" ht="15.75" customHeight="1">
      <c r="A173" s="26"/>
      <c r="C173" s="27"/>
      <c r="D173" s="28"/>
      <c r="E173" s="28"/>
      <c r="F173" s="28"/>
    </row>
    <row r="174" spans="1:6" ht="15.75" customHeight="1">
      <c r="A174" s="26"/>
      <c r="C174" s="27"/>
      <c r="D174" s="28"/>
      <c r="E174" s="28"/>
      <c r="F174" s="28"/>
    </row>
    <row r="175" spans="1:6" ht="15.75" customHeight="1">
      <c r="A175" s="26"/>
      <c r="C175" s="27"/>
      <c r="D175" s="28"/>
      <c r="E175" s="28"/>
      <c r="F175" s="28"/>
    </row>
    <row r="176" spans="1:6" ht="15.75" customHeight="1">
      <c r="A176" s="26"/>
      <c r="C176" s="27"/>
      <c r="D176" s="28"/>
      <c r="E176" s="28"/>
      <c r="F176" s="28"/>
    </row>
    <row r="177" spans="1:6" ht="15.75" customHeight="1">
      <c r="A177" s="26"/>
      <c r="C177" s="27"/>
      <c r="D177" s="28"/>
      <c r="E177" s="28"/>
      <c r="F177" s="28"/>
    </row>
    <row r="178" spans="1:6" ht="15.75" customHeight="1">
      <c r="A178" s="26"/>
      <c r="C178" s="27"/>
      <c r="D178" s="28"/>
      <c r="E178" s="28"/>
      <c r="F178" s="28"/>
    </row>
    <row r="179" spans="1:6" ht="15.75" customHeight="1">
      <c r="A179" s="26"/>
      <c r="C179" s="27"/>
      <c r="D179" s="28"/>
      <c r="E179" s="28"/>
      <c r="F179" s="28"/>
    </row>
    <row r="180" spans="1:6" ht="15.75" customHeight="1">
      <c r="A180" s="26"/>
      <c r="C180" s="27"/>
      <c r="D180" s="28"/>
      <c r="E180" s="28"/>
      <c r="F180" s="28"/>
    </row>
    <row r="181" spans="1:6" ht="15.75" customHeight="1">
      <c r="A181" s="26"/>
      <c r="C181" s="27"/>
      <c r="D181" s="28"/>
      <c r="E181" s="28"/>
      <c r="F181" s="28"/>
    </row>
    <row r="182" spans="1:6" ht="15.75" customHeight="1">
      <c r="A182" s="26"/>
      <c r="C182" s="27"/>
      <c r="D182" s="28"/>
      <c r="E182" s="28"/>
      <c r="F182" s="28"/>
    </row>
    <row r="183" spans="1:6" ht="15.75" customHeight="1">
      <c r="A183" s="26"/>
      <c r="C183" s="27"/>
      <c r="D183" s="28"/>
      <c r="E183" s="28"/>
      <c r="F183" s="28"/>
    </row>
    <row r="184" spans="1:6" ht="15.75" customHeight="1">
      <c r="A184" s="26"/>
      <c r="C184" s="27"/>
      <c r="D184" s="28"/>
      <c r="E184" s="28"/>
      <c r="F184" s="28"/>
    </row>
    <row r="185" spans="1:6" ht="15.75" customHeight="1">
      <c r="A185" s="26"/>
      <c r="C185" s="27"/>
      <c r="D185" s="28"/>
      <c r="E185" s="28"/>
      <c r="F185" s="28"/>
    </row>
    <row r="186" spans="1:6" ht="15.75" customHeight="1">
      <c r="A186" s="26"/>
      <c r="C186" s="27"/>
      <c r="D186" s="28"/>
      <c r="E186" s="28"/>
      <c r="F186" s="28"/>
    </row>
    <row r="187" spans="1:6" ht="15.75" customHeight="1">
      <c r="A187" s="26"/>
      <c r="C187" s="27"/>
      <c r="D187" s="28"/>
      <c r="E187" s="28"/>
      <c r="F187" s="28"/>
    </row>
    <row r="188" spans="1:6" ht="15.75" customHeight="1">
      <c r="A188" s="26"/>
      <c r="C188" s="27"/>
      <c r="D188" s="28"/>
      <c r="E188" s="28"/>
      <c r="F188" s="28"/>
    </row>
    <row r="189" spans="1:6" ht="15.75" customHeight="1">
      <c r="A189" s="26"/>
      <c r="C189" s="27"/>
      <c r="D189" s="28"/>
      <c r="E189" s="28"/>
      <c r="F189" s="28"/>
    </row>
    <row r="190" spans="1:6" ht="15.75" customHeight="1">
      <c r="A190" s="26"/>
      <c r="C190" s="27"/>
      <c r="D190" s="28"/>
      <c r="E190" s="28"/>
      <c r="F190" s="28"/>
    </row>
    <row r="191" spans="1:6" ht="15.75" customHeight="1">
      <c r="A191" s="26"/>
      <c r="C191" s="27"/>
      <c r="D191" s="28"/>
      <c r="E191" s="28"/>
      <c r="F191" s="28"/>
    </row>
    <row r="192" spans="1:6" ht="15.75" customHeight="1">
      <c r="A192" s="26"/>
      <c r="C192" s="27"/>
      <c r="D192" s="28"/>
      <c r="E192" s="28"/>
      <c r="F192" s="28"/>
    </row>
    <row r="193" spans="1:6" ht="15.75" customHeight="1">
      <c r="A193" s="26"/>
      <c r="C193" s="27"/>
      <c r="D193" s="28"/>
      <c r="E193" s="28"/>
      <c r="F193" s="28"/>
    </row>
    <row r="194" spans="1:6" ht="15.75" customHeight="1">
      <c r="A194" s="26"/>
      <c r="C194" s="27"/>
      <c r="D194" s="28"/>
      <c r="E194" s="28"/>
      <c r="F194" s="28"/>
    </row>
    <row r="195" spans="1:6" ht="15.75" customHeight="1">
      <c r="A195" s="26"/>
      <c r="C195" s="27"/>
      <c r="D195" s="28"/>
      <c r="E195" s="28"/>
      <c r="F195" s="28"/>
    </row>
    <row r="196" spans="1:6" ht="15.75" customHeight="1">
      <c r="A196" s="26"/>
      <c r="C196" s="27"/>
      <c r="D196" s="28"/>
      <c r="E196" s="28"/>
      <c r="F196" s="28"/>
    </row>
    <row r="197" spans="1:6" ht="15.75" customHeight="1">
      <c r="A197" s="26"/>
      <c r="C197" s="27"/>
      <c r="D197" s="28"/>
      <c r="E197" s="28"/>
      <c r="F197" s="28"/>
    </row>
    <row r="198" spans="1:6" ht="15.75" customHeight="1">
      <c r="A198" s="26"/>
      <c r="C198" s="27"/>
      <c r="D198" s="28"/>
      <c r="E198" s="28"/>
      <c r="F198" s="28"/>
    </row>
    <row r="199" spans="1:6" ht="15.75" customHeight="1">
      <c r="A199" s="26"/>
      <c r="C199" s="27"/>
      <c r="D199" s="28"/>
      <c r="E199" s="28"/>
      <c r="F199" s="28"/>
    </row>
    <row r="200" spans="1:6" ht="15.75" customHeight="1">
      <c r="A200" s="26"/>
      <c r="C200" s="27"/>
      <c r="D200" s="28"/>
      <c r="E200" s="28"/>
      <c r="F200" s="28"/>
    </row>
    <row r="201" spans="1:6" ht="15.75" customHeight="1">
      <c r="A201" s="26"/>
      <c r="C201" s="27"/>
      <c r="D201" s="28"/>
      <c r="E201" s="28"/>
      <c r="F201" s="28"/>
    </row>
    <row r="202" spans="1:6" ht="15.75" customHeight="1">
      <c r="A202" s="26"/>
      <c r="C202" s="27"/>
      <c r="D202" s="28"/>
      <c r="E202" s="28"/>
      <c r="F202" s="28"/>
    </row>
    <row r="203" spans="1:6" ht="15.75" customHeight="1">
      <c r="A203" s="26"/>
      <c r="C203" s="27"/>
      <c r="D203" s="28"/>
      <c r="E203" s="28"/>
      <c r="F203" s="28"/>
    </row>
    <row r="204" spans="1:6" ht="15.75" customHeight="1">
      <c r="A204" s="26"/>
      <c r="C204" s="27"/>
      <c r="D204" s="28"/>
      <c r="E204" s="28"/>
      <c r="F204" s="28"/>
    </row>
    <row r="205" spans="1:6" ht="15.75" customHeight="1">
      <c r="A205" s="26"/>
      <c r="C205" s="27"/>
      <c r="D205" s="28"/>
      <c r="E205" s="28"/>
      <c r="F205" s="28"/>
    </row>
    <row r="206" spans="1:6" ht="15.75" customHeight="1">
      <c r="A206" s="26"/>
      <c r="C206" s="27"/>
      <c r="D206" s="28"/>
      <c r="E206" s="28"/>
      <c r="F206" s="28"/>
    </row>
    <row r="207" spans="1:6" ht="15.75" customHeight="1">
      <c r="A207" s="26"/>
      <c r="C207" s="27"/>
      <c r="D207" s="28"/>
      <c r="E207" s="28"/>
      <c r="F207" s="28"/>
    </row>
    <row r="208" spans="1:6" ht="15.75" customHeight="1">
      <c r="A208" s="26"/>
      <c r="C208" s="27"/>
      <c r="D208" s="28"/>
      <c r="E208" s="28"/>
      <c r="F208" s="28"/>
    </row>
    <row r="209" spans="1:6" ht="15.75" customHeight="1">
      <c r="A209" s="26"/>
      <c r="C209" s="27"/>
      <c r="D209" s="28"/>
      <c r="E209" s="28"/>
      <c r="F209" s="28"/>
    </row>
    <row r="210" spans="1:6" ht="15.75" customHeight="1">
      <c r="A210" s="26"/>
      <c r="C210" s="27"/>
      <c r="D210" s="28"/>
      <c r="E210" s="28"/>
      <c r="F210" s="28"/>
    </row>
    <row r="211" spans="1:6" ht="15.75" customHeight="1">
      <c r="A211" s="26"/>
      <c r="C211" s="27"/>
      <c r="D211" s="28"/>
      <c r="E211" s="28"/>
      <c r="F211" s="28"/>
    </row>
    <row r="212" spans="1:6" ht="15.75" customHeight="1">
      <c r="A212" s="26"/>
      <c r="C212" s="27"/>
      <c r="D212" s="28"/>
      <c r="E212" s="28"/>
      <c r="F212" s="28"/>
    </row>
    <row r="213" spans="1:6" ht="15.75" customHeight="1">
      <c r="A213" s="26"/>
      <c r="C213" s="27"/>
      <c r="D213" s="28"/>
      <c r="E213" s="28"/>
      <c r="F213" s="28"/>
    </row>
    <row r="214" spans="1:6" ht="15.75" customHeight="1">
      <c r="A214" s="26"/>
      <c r="C214" s="27"/>
      <c r="D214" s="28"/>
      <c r="E214" s="28"/>
      <c r="F214" s="28"/>
    </row>
    <row r="215" spans="1:6" ht="15.75" customHeight="1">
      <c r="A215" s="26"/>
      <c r="C215" s="27"/>
      <c r="D215" s="28"/>
      <c r="E215" s="28"/>
      <c r="F215" s="28"/>
    </row>
    <row r="216" spans="1:6" ht="15.75" customHeight="1">
      <c r="A216" s="26"/>
      <c r="C216" s="27"/>
      <c r="D216" s="28"/>
      <c r="E216" s="28"/>
      <c r="F216" s="28"/>
    </row>
    <row r="217" spans="1:6" ht="15.75" customHeight="1">
      <c r="A217" s="26"/>
      <c r="C217" s="27"/>
      <c r="D217" s="28"/>
      <c r="E217" s="28"/>
      <c r="F217" s="28"/>
    </row>
    <row r="218" spans="1:6" ht="15.75" customHeight="1">
      <c r="A218" s="26"/>
      <c r="C218" s="27"/>
      <c r="D218" s="28"/>
      <c r="E218" s="28"/>
      <c r="F218" s="28"/>
    </row>
    <row r="219" spans="1:6" ht="15.75" customHeight="1">
      <c r="A219" s="26"/>
      <c r="C219" s="27"/>
      <c r="D219" s="28"/>
      <c r="E219" s="28"/>
      <c r="F219" s="28"/>
    </row>
    <row r="220" spans="1:6" ht="15.75" customHeight="1">
      <c r="A220" s="26"/>
      <c r="C220" s="27"/>
      <c r="D220" s="28"/>
      <c r="E220" s="28"/>
      <c r="F220" s="28"/>
    </row>
    <row r="221" spans="1:6" ht="15.75" customHeight="1">
      <c r="A221" s="26"/>
      <c r="C221" s="27"/>
      <c r="D221" s="28"/>
      <c r="E221" s="28"/>
      <c r="F221" s="28"/>
    </row>
    <row r="222" spans="1:6" ht="15.75" customHeight="1">
      <c r="A222" s="26"/>
      <c r="C222" s="27"/>
      <c r="D222" s="28"/>
      <c r="E222" s="28"/>
      <c r="F222" s="28"/>
    </row>
    <row r="223" spans="1:6" ht="15.75" customHeight="1">
      <c r="A223" s="26"/>
      <c r="C223" s="27"/>
      <c r="D223" s="28"/>
      <c r="E223" s="28"/>
      <c r="F223" s="28"/>
    </row>
    <row r="224" spans="1:6" ht="15.75" customHeight="1">
      <c r="A224" s="26"/>
      <c r="C224" s="27"/>
      <c r="D224" s="28"/>
      <c r="E224" s="28"/>
      <c r="F224" s="28"/>
    </row>
    <row r="225" spans="1:6" ht="15.75" customHeight="1">
      <c r="A225" s="26"/>
      <c r="C225" s="27"/>
      <c r="D225" s="28"/>
      <c r="E225" s="28"/>
      <c r="F225" s="28"/>
    </row>
    <row r="226" spans="1:6" ht="15.75" customHeight="1">
      <c r="A226" s="26"/>
      <c r="C226" s="27"/>
      <c r="D226" s="28"/>
      <c r="E226" s="28"/>
      <c r="F226" s="28"/>
    </row>
    <row r="227" spans="1:6" ht="15.75" customHeight="1">
      <c r="A227" s="26"/>
      <c r="C227" s="27"/>
      <c r="D227" s="28"/>
      <c r="E227" s="28"/>
      <c r="F227" s="28"/>
    </row>
    <row r="228" spans="1:6" ht="15.75" customHeight="1">
      <c r="A228" s="26"/>
      <c r="C228" s="27"/>
      <c r="D228" s="28"/>
      <c r="E228" s="28"/>
      <c r="F228" s="28"/>
    </row>
    <row r="229" spans="1:6" ht="15.75" customHeight="1">
      <c r="A229" s="26"/>
      <c r="C229" s="27"/>
      <c r="D229" s="28"/>
      <c r="E229" s="28"/>
      <c r="F229" s="28"/>
    </row>
    <row r="230" spans="1:6" ht="15.75" customHeight="1"/>
    <row r="231" spans="1:6" ht="15.75" customHeight="1"/>
    <row r="232" spans="1:6" ht="15.75" customHeight="1"/>
    <row r="233" spans="1:6" ht="15.75" customHeight="1"/>
    <row r="234" spans="1:6" ht="15.75" customHeight="1"/>
    <row r="235" spans="1:6" ht="15.75" customHeight="1"/>
    <row r="236" spans="1:6" ht="15.75" customHeight="1"/>
    <row r="237" spans="1:6" ht="15.75" customHeight="1"/>
    <row r="238" spans="1:6" ht="15.75" customHeight="1"/>
    <row r="239" spans="1:6" ht="15.75" customHeight="1"/>
    <row r="240" spans="1: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C1:F2"/>
    <mergeCell ref="C3:D3"/>
    <mergeCell ref="E3:F3"/>
  </mergeCells>
  <pageMargins left="0.7" right="0.7" top="0.75" bottom="0.75" header="0" footer="0"/>
  <pageSetup orientation="landscape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'Data Validation'!$F$2:$F$11</xm:f>
          </x14:formula1>
          <xm:sqref>C3 E3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H21052"/>
  <sheetViews>
    <sheetView tabSelected="1" workbookViewId="0">
      <selection activeCell="C11" sqref="C11"/>
    </sheetView>
  </sheetViews>
  <sheetFormatPr defaultColWidth="12.5703125" defaultRowHeight="15" customHeight="1"/>
  <cols>
    <col min="1" max="1" width="13.42578125" customWidth="1"/>
    <col min="2" max="2" width="28.5703125" customWidth="1"/>
    <col min="3" max="3" width="33.42578125" customWidth="1"/>
    <col min="4" max="4" width="16.140625" customWidth="1"/>
    <col min="5" max="5" width="35.140625" customWidth="1"/>
    <col min="6" max="6" width="35" customWidth="1"/>
    <col min="7" max="7" width="14.7109375" customWidth="1"/>
    <col min="8" max="8" width="26.42578125" customWidth="1"/>
  </cols>
  <sheetData>
    <row r="1" spans="1:8" ht="15.75" customHeight="1">
      <c r="A1" s="29" t="s">
        <v>41</v>
      </c>
      <c r="B1" s="30" t="s">
        <v>42</v>
      </c>
      <c r="C1" s="30" t="s">
        <v>43</v>
      </c>
      <c r="D1" s="30" t="s">
        <v>44</v>
      </c>
      <c r="E1" s="30" t="s">
        <v>1</v>
      </c>
      <c r="F1" s="31" t="s">
        <v>58</v>
      </c>
      <c r="G1" s="32"/>
      <c r="H1" s="32"/>
    </row>
    <row r="2" spans="1:8" ht="15.75" customHeight="1">
      <c r="A2" s="33"/>
      <c r="B2" s="34"/>
      <c r="C2" s="35"/>
      <c r="D2" s="35"/>
      <c r="E2" s="36"/>
      <c r="F2" s="37"/>
      <c r="G2" s="32"/>
      <c r="H2" s="32"/>
    </row>
    <row r="3" spans="1:8" ht="15.75" customHeight="1">
      <c r="A3" s="38"/>
      <c r="B3" s="39"/>
      <c r="C3" s="40"/>
      <c r="D3" s="40"/>
      <c r="E3" s="41"/>
      <c r="F3" s="42"/>
      <c r="G3" s="32"/>
      <c r="H3" s="32"/>
    </row>
    <row r="4" spans="1:8" ht="15.75" customHeight="1">
      <c r="A4" s="43"/>
      <c r="B4" s="44"/>
      <c r="C4" s="45"/>
      <c r="D4" s="45"/>
      <c r="E4" s="46"/>
      <c r="F4" s="47"/>
      <c r="G4" s="32"/>
      <c r="H4" s="32"/>
    </row>
    <row r="5" spans="1:8" ht="15.75" customHeight="1">
      <c r="A5" s="33"/>
      <c r="B5" s="48"/>
      <c r="C5" s="40"/>
      <c r="D5" s="40"/>
      <c r="E5" s="41"/>
      <c r="F5" s="42"/>
      <c r="G5" s="32"/>
      <c r="H5" s="32"/>
    </row>
    <row r="6" spans="1:8" ht="15.75" customHeight="1">
      <c r="A6" s="38"/>
      <c r="B6" s="49"/>
      <c r="C6" s="45"/>
      <c r="D6" s="45"/>
      <c r="E6" s="46"/>
      <c r="F6" s="47"/>
      <c r="G6" s="32"/>
      <c r="H6" s="32"/>
    </row>
    <row r="7" spans="1:8" ht="15.75" customHeight="1">
      <c r="A7" s="43"/>
      <c r="B7" s="48"/>
      <c r="C7" s="40"/>
      <c r="D7" s="40"/>
      <c r="E7" s="41"/>
      <c r="F7" s="42"/>
      <c r="G7" s="32"/>
      <c r="H7" s="32"/>
    </row>
    <row r="8" spans="1:8" ht="15.75" customHeight="1">
      <c r="A8" s="33"/>
      <c r="B8" s="49"/>
      <c r="C8" s="45"/>
      <c r="D8" s="45"/>
      <c r="E8" s="46"/>
      <c r="F8" s="47"/>
      <c r="G8" s="32"/>
      <c r="H8" s="32"/>
    </row>
    <row r="9" spans="1:8" ht="15.75" customHeight="1">
      <c r="A9" s="38"/>
      <c r="B9" s="48"/>
      <c r="C9" s="40"/>
      <c r="D9" s="40"/>
      <c r="E9" s="41"/>
      <c r="F9" s="42"/>
      <c r="G9" s="32"/>
      <c r="H9" s="32"/>
    </row>
    <row r="10" spans="1:8" ht="15.75" customHeight="1">
      <c r="A10" s="43"/>
      <c r="B10" s="49"/>
      <c r="C10" s="45"/>
      <c r="D10" s="45"/>
      <c r="E10" s="46"/>
      <c r="F10" s="47"/>
      <c r="G10" s="32"/>
      <c r="H10" s="32"/>
    </row>
    <row r="11" spans="1:8" ht="15.75" customHeight="1">
      <c r="A11" s="33"/>
      <c r="B11" s="48"/>
      <c r="C11" s="40"/>
      <c r="D11" s="40"/>
      <c r="E11" s="41"/>
      <c r="F11" s="42"/>
      <c r="G11" s="32"/>
      <c r="H11" s="32"/>
    </row>
    <row r="12" spans="1:8" ht="15.75" customHeight="1">
      <c r="A12" s="38"/>
      <c r="B12" s="49"/>
      <c r="C12" s="45"/>
      <c r="D12" s="45"/>
      <c r="E12" s="46"/>
      <c r="F12" s="47"/>
      <c r="G12" s="32"/>
      <c r="H12" s="32"/>
    </row>
    <row r="13" spans="1:8" ht="15.75" customHeight="1">
      <c r="A13" s="43"/>
      <c r="B13" s="48"/>
      <c r="C13" s="40"/>
      <c r="D13" s="40"/>
      <c r="E13" s="41"/>
      <c r="F13" s="42"/>
      <c r="G13" s="32"/>
      <c r="H13" s="32"/>
    </row>
    <row r="14" spans="1:8" ht="15.75" customHeight="1">
      <c r="A14" s="33"/>
      <c r="B14" s="49"/>
      <c r="C14" s="45"/>
      <c r="D14" s="45"/>
      <c r="E14" s="46"/>
      <c r="F14" s="47"/>
      <c r="G14" s="32"/>
      <c r="H14" s="32"/>
    </row>
    <row r="15" spans="1:8" ht="15.75" customHeight="1">
      <c r="A15" s="38"/>
      <c r="B15" s="48"/>
      <c r="C15" s="40"/>
      <c r="D15" s="40"/>
      <c r="E15" s="41"/>
      <c r="F15" s="42"/>
      <c r="G15" s="32"/>
      <c r="H15" s="32"/>
    </row>
    <row r="16" spans="1:8" ht="15.75" customHeight="1">
      <c r="A16" s="33"/>
      <c r="B16" s="49"/>
      <c r="C16" s="45"/>
      <c r="D16" s="45"/>
      <c r="E16" s="46"/>
      <c r="F16" s="47"/>
      <c r="G16" s="32"/>
      <c r="H16" s="32"/>
    </row>
    <row r="17" spans="1:8" ht="15.75" customHeight="1">
      <c r="A17" s="38"/>
      <c r="B17" s="48"/>
      <c r="C17" s="40"/>
      <c r="D17" s="40"/>
      <c r="E17" s="50"/>
      <c r="F17" s="51"/>
      <c r="G17" s="32"/>
      <c r="H17" s="32"/>
    </row>
    <row r="18" spans="1:8" ht="15.75" customHeight="1">
      <c r="A18" s="43"/>
      <c r="B18" s="49"/>
      <c r="C18" s="45"/>
      <c r="D18" s="45"/>
      <c r="E18" s="46"/>
      <c r="F18" s="52"/>
      <c r="G18" s="32"/>
      <c r="H18" s="32"/>
    </row>
    <row r="19" spans="1:8" ht="15.75" customHeight="1">
      <c r="A19" s="33"/>
      <c r="B19" s="48"/>
      <c r="C19" s="40"/>
      <c r="D19" s="40"/>
      <c r="E19" s="41"/>
      <c r="F19" s="51"/>
      <c r="G19" s="53"/>
      <c r="H19" s="53"/>
    </row>
    <row r="20" spans="1:8" ht="15.75" customHeight="1">
      <c r="A20" s="38"/>
      <c r="B20" s="49"/>
      <c r="C20" s="45"/>
      <c r="D20" s="45"/>
      <c r="E20" s="54"/>
      <c r="F20" s="52"/>
      <c r="G20" s="32"/>
      <c r="H20" s="32"/>
    </row>
    <row r="21" spans="1:8" ht="15.75" customHeight="1">
      <c r="A21" s="43"/>
      <c r="B21" s="48"/>
      <c r="C21" s="40"/>
      <c r="D21" s="40"/>
      <c r="E21" s="50"/>
      <c r="F21" s="51"/>
      <c r="G21" s="32"/>
      <c r="H21" s="32"/>
    </row>
    <row r="22" spans="1:8" ht="15.75" customHeight="1">
      <c r="A22" s="33"/>
      <c r="B22" s="49"/>
      <c r="C22" s="45"/>
      <c r="D22" s="45"/>
      <c r="E22" s="46"/>
      <c r="F22" s="52"/>
      <c r="G22" s="32"/>
      <c r="H22" s="32"/>
    </row>
    <row r="23" spans="1:8" ht="15.75" customHeight="1">
      <c r="A23" s="38"/>
      <c r="B23" s="48"/>
      <c r="C23" s="40"/>
      <c r="D23" s="40"/>
      <c r="E23" s="41"/>
      <c r="F23" s="51"/>
      <c r="G23" s="32"/>
      <c r="H23" s="32"/>
    </row>
    <row r="24" spans="1:8" ht="15.75" customHeight="1">
      <c r="A24" s="43"/>
      <c r="B24" s="49"/>
      <c r="C24" s="45"/>
      <c r="D24" s="45"/>
      <c r="E24" s="54"/>
      <c r="F24" s="52"/>
      <c r="G24" s="32"/>
      <c r="H24" s="32"/>
    </row>
    <row r="25" spans="1:8" ht="15.75" customHeight="1">
      <c r="A25" s="33"/>
      <c r="B25" s="48"/>
      <c r="C25" s="40"/>
      <c r="D25" s="40"/>
      <c r="E25" s="50"/>
      <c r="F25" s="51"/>
      <c r="G25" s="32"/>
      <c r="H25" s="32"/>
    </row>
    <row r="26" spans="1:8" ht="15.75" customHeight="1">
      <c r="A26" s="38"/>
      <c r="B26" s="49"/>
      <c r="C26" s="45"/>
      <c r="D26" s="45"/>
      <c r="E26" s="54"/>
      <c r="F26" s="52"/>
      <c r="G26" s="32"/>
      <c r="H26" s="32"/>
    </row>
    <row r="27" spans="1:8" ht="15.75" customHeight="1">
      <c r="A27" s="43"/>
      <c r="B27" s="48"/>
      <c r="C27" s="40"/>
      <c r="D27" s="40"/>
      <c r="E27" s="50"/>
      <c r="F27" s="51"/>
      <c r="G27" s="32"/>
      <c r="H27" s="32"/>
    </row>
    <row r="28" spans="1:8" ht="15.75" customHeight="1">
      <c r="A28" s="33"/>
      <c r="B28" s="49"/>
      <c r="C28" s="45"/>
      <c r="D28" s="45"/>
      <c r="E28" s="54"/>
      <c r="F28" s="52"/>
      <c r="G28" s="32"/>
      <c r="H28" s="32"/>
    </row>
    <row r="29" spans="1:8" ht="15.75" customHeight="1">
      <c r="A29" s="38"/>
      <c r="B29" s="48"/>
      <c r="C29" s="40"/>
      <c r="D29" s="40"/>
      <c r="E29" s="50"/>
      <c r="F29" s="51"/>
      <c r="G29" s="32"/>
      <c r="H29" s="32"/>
    </row>
    <row r="30" spans="1:8" ht="15.75" customHeight="1">
      <c r="A30" s="33"/>
      <c r="B30" s="49"/>
      <c r="C30" s="45"/>
      <c r="D30" s="45"/>
      <c r="E30" s="54"/>
      <c r="F30" s="52"/>
      <c r="G30" s="32"/>
      <c r="H30" s="32"/>
    </row>
    <row r="31" spans="1:8" ht="15.75" customHeight="1">
      <c r="A31" s="38"/>
      <c r="B31" s="48"/>
      <c r="C31" s="40"/>
      <c r="D31" s="40"/>
      <c r="E31" s="50"/>
      <c r="F31" s="51"/>
      <c r="G31" s="32"/>
      <c r="H31" s="32"/>
    </row>
    <row r="32" spans="1:8" ht="15.75" customHeight="1">
      <c r="A32" s="43"/>
      <c r="B32" s="49"/>
      <c r="C32" s="45"/>
      <c r="D32" s="45"/>
      <c r="E32" s="54"/>
      <c r="F32" s="52"/>
      <c r="G32" s="32"/>
      <c r="H32" s="32"/>
    </row>
    <row r="33" spans="1:8" ht="15.75" customHeight="1">
      <c r="A33" s="33"/>
      <c r="B33" s="48"/>
      <c r="C33" s="40"/>
      <c r="D33" s="40"/>
      <c r="E33" s="50"/>
      <c r="F33" s="51"/>
      <c r="G33" s="32"/>
      <c r="H33" s="32"/>
    </row>
    <row r="34" spans="1:8" ht="15.75" customHeight="1">
      <c r="A34" s="38"/>
      <c r="B34" s="49"/>
      <c r="C34" s="45"/>
      <c r="D34" s="45"/>
      <c r="E34" s="54"/>
      <c r="F34" s="52"/>
      <c r="G34" s="32"/>
      <c r="H34" s="32"/>
    </row>
    <row r="35" spans="1:8" ht="15.75" customHeight="1">
      <c r="A35" s="43"/>
      <c r="B35" s="48"/>
      <c r="C35" s="40"/>
      <c r="D35" s="40"/>
      <c r="E35" s="50"/>
      <c r="F35" s="51"/>
      <c r="G35" s="32"/>
      <c r="H35" s="32"/>
    </row>
    <row r="36" spans="1:8" ht="15.75" customHeight="1">
      <c r="A36" s="33"/>
      <c r="B36" s="49"/>
      <c r="C36" s="45"/>
      <c r="D36" s="45"/>
      <c r="E36" s="54"/>
      <c r="F36" s="52"/>
      <c r="G36" s="32"/>
      <c r="H36" s="32"/>
    </row>
    <row r="37" spans="1:8" ht="15.75" customHeight="1">
      <c r="A37" s="33"/>
      <c r="B37" s="48"/>
      <c r="C37" s="40"/>
      <c r="D37" s="40"/>
      <c r="E37" s="50"/>
      <c r="F37" s="51"/>
      <c r="G37" s="32"/>
      <c r="H37" s="32"/>
    </row>
    <row r="38" spans="1:8" ht="15.75" customHeight="1">
      <c r="A38" s="38"/>
      <c r="B38" s="49"/>
      <c r="C38" s="45"/>
      <c r="D38" s="45"/>
      <c r="E38" s="54"/>
      <c r="F38" s="52"/>
      <c r="G38" s="32"/>
      <c r="H38" s="32"/>
    </row>
    <row r="39" spans="1:8" ht="15.75" customHeight="1">
      <c r="A39" s="43"/>
      <c r="B39" s="48"/>
      <c r="C39" s="40"/>
      <c r="D39" s="40"/>
      <c r="E39" s="50"/>
      <c r="F39" s="51"/>
      <c r="G39" s="32"/>
      <c r="H39" s="32"/>
    </row>
    <row r="40" spans="1:8" ht="15.75" customHeight="1">
      <c r="A40" s="33"/>
      <c r="B40" s="49"/>
      <c r="C40" s="45"/>
      <c r="D40" s="45"/>
      <c r="E40" s="54"/>
      <c r="F40" s="52"/>
      <c r="G40" s="32"/>
      <c r="H40" s="32"/>
    </row>
    <row r="41" spans="1:8" ht="15.75" customHeight="1">
      <c r="A41" s="38"/>
      <c r="B41" s="48"/>
      <c r="C41" s="40"/>
      <c r="D41" s="40"/>
      <c r="E41" s="50"/>
      <c r="F41" s="51"/>
      <c r="G41" s="32"/>
      <c r="H41" s="32"/>
    </row>
    <row r="42" spans="1:8" ht="15.75" customHeight="1">
      <c r="A42" s="43"/>
      <c r="B42" s="49"/>
      <c r="C42" s="45"/>
      <c r="D42" s="45"/>
      <c r="E42" s="54"/>
      <c r="F42" s="52"/>
      <c r="G42" s="32"/>
      <c r="H42" s="32"/>
    </row>
    <row r="43" spans="1:8" ht="15.75" customHeight="1">
      <c r="A43" s="33"/>
      <c r="B43" s="48"/>
      <c r="C43" s="40"/>
      <c r="D43" s="40"/>
      <c r="E43" s="50"/>
      <c r="F43" s="51"/>
      <c r="G43" s="32"/>
      <c r="H43" s="32"/>
    </row>
    <row r="44" spans="1:8" ht="15.75" customHeight="1">
      <c r="A44" s="38"/>
      <c r="B44" s="49"/>
      <c r="C44" s="45"/>
      <c r="D44" s="45"/>
      <c r="E44" s="54"/>
      <c r="F44" s="52"/>
      <c r="G44" s="32"/>
      <c r="H44" s="32"/>
    </row>
    <row r="45" spans="1:8" ht="15.75" customHeight="1">
      <c r="A45" s="43"/>
      <c r="B45" s="48"/>
      <c r="C45" s="40"/>
      <c r="D45" s="40"/>
      <c r="E45" s="50"/>
      <c r="F45" s="51"/>
      <c r="G45" s="32"/>
      <c r="H45" s="32"/>
    </row>
    <row r="46" spans="1:8" ht="15.75" customHeight="1">
      <c r="A46" s="33"/>
      <c r="B46" s="49"/>
      <c r="C46" s="45"/>
      <c r="D46" s="45"/>
      <c r="E46" s="54"/>
      <c r="F46" s="52"/>
      <c r="G46" s="32"/>
      <c r="H46" s="32"/>
    </row>
    <row r="47" spans="1:8" ht="15.75" customHeight="1">
      <c r="A47" s="38"/>
      <c r="B47" s="48"/>
      <c r="C47" s="40"/>
      <c r="D47" s="40"/>
      <c r="E47" s="50"/>
      <c r="F47" s="51"/>
      <c r="G47" s="32"/>
      <c r="H47" s="32"/>
    </row>
    <row r="48" spans="1:8" ht="15.75" customHeight="1">
      <c r="A48" s="43"/>
      <c r="B48" s="49"/>
      <c r="C48" s="45"/>
      <c r="D48" s="45"/>
      <c r="E48" s="54"/>
      <c r="F48" s="52"/>
      <c r="G48" s="32"/>
      <c r="H48" s="32"/>
    </row>
    <row r="49" spans="1:8" ht="15.75" customHeight="1">
      <c r="A49" s="33"/>
      <c r="B49" s="48"/>
      <c r="C49" s="40"/>
      <c r="D49" s="40"/>
      <c r="E49" s="50"/>
      <c r="F49" s="51"/>
      <c r="G49" s="32"/>
      <c r="H49" s="32"/>
    </row>
    <row r="50" spans="1:8" ht="15.75" customHeight="1">
      <c r="A50" s="38"/>
      <c r="B50" s="49"/>
      <c r="C50" s="45"/>
      <c r="D50" s="45"/>
      <c r="E50" s="54"/>
      <c r="F50" s="52"/>
      <c r="G50" s="32"/>
      <c r="H50" s="32"/>
    </row>
    <row r="51" spans="1:8" ht="15.75" customHeight="1">
      <c r="A51" s="33"/>
      <c r="B51" s="48"/>
      <c r="C51" s="40"/>
      <c r="D51" s="40"/>
      <c r="E51" s="50"/>
      <c r="F51" s="51"/>
      <c r="G51" s="32"/>
      <c r="H51" s="32"/>
    </row>
    <row r="52" spans="1:8" ht="15.75" customHeight="1">
      <c r="A52" s="38"/>
      <c r="B52" s="49"/>
      <c r="C52" s="45"/>
      <c r="D52" s="45"/>
      <c r="E52" s="54"/>
      <c r="F52" s="52"/>
      <c r="G52" s="32"/>
      <c r="H52" s="32"/>
    </row>
    <row r="53" spans="1:8" ht="15.75" customHeight="1">
      <c r="A53" s="43"/>
      <c r="B53" s="48"/>
      <c r="C53" s="40"/>
      <c r="D53" s="40"/>
      <c r="E53" s="50"/>
      <c r="F53" s="51"/>
      <c r="G53" s="32"/>
      <c r="H53" s="32"/>
    </row>
    <row r="54" spans="1:8" ht="15.75" customHeight="1">
      <c r="A54" s="33"/>
      <c r="B54" s="49"/>
      <c r="C54" s="45"/>
      <c r="D54" s="45"/>
      <c r="E54" s="54"/>
      <c r="F54" s="52"/>
      <c r="G54" s="32"/>
      <c r="H54" s="32"/>
    </row>
    <row r="55" spans="1:8" ht="15.75" customHeight="1">
      <c r="A55" s="38"/>
      <c r="B55" s="48"/>
      <c r="C55" s="40"/>
      <c r="D55" s="40"/>
      <c r="E55" s="50"/>
      <c r="F55" s="51"/>
      <c r="G55" s="32"/>
      <c r="H55" s="32"/>
    </row>
    <row r="56" spans="1:8" ht="15.75" customHeight="1">
      <c r="A56" s="33"/>
      <c r="B56" s="49"/>
      <c r="C56" s="45"/>
      <c r="D56" s="45"/>
      <c r="E56" s="54"/>
      <c r="F56" s="52"/>
      <c r="G56" s="32"/>
      <c r="H56" s="32"/>
    </row>
    <row r="57" spans="1:8" ht="15.75" customHeight="1">
      <c r="A57" s="38"/>
      <c r="B57" s="48"/>
      <c r="C57" s="40"/>
      <c r="D57" s="40"/>
      <c r="E57" s="50"/>
      <c r="F57" s="51"/>
      <c r="G57" s="32"/>
      <c r="H57" s="32"/>
    </row>
    <row r="58" spans="1:8" ht="15.75" customHeight="1">
      <c r="A58" s="43"/>
      <c r="B58" s="49"/>
      <c r="C58" s="45"/>
      <c r="D58" s="45"/>
      <c r="E58" s="54"/>
      <c r="F58" s="52"/>
      <c r="G58" s="32"/>
      <c r="H58" s="32"/>
    </row>
    <row r="59" spans="1:8" ht="15.75" customHeight="1">
      <c r="A59" s="33"/>
      <c r="B59" s="48"/>
      <c r="C59" s="55"/>
      <c r="D59" s="56"/>
      <c r="E59" s="50"/>
      <c r="F59" s="51"/>
      <c r="G59" s="32"/>
      <c r="H59" s="32"/>
    </row>
    <row r="60" spans="1:8" ht="15.75" customHeight="1">
      <c r="A60" s="38"/>
      <c r="B60" s="49"/>
      <c r="C60" s="45"/>
      <c r="D60" s="45"/>
      <c r="E60" s="54"/>
      <c r="F60" s="52"/>
      <c r="G60" s="32"/>
      <c r="H60" s="32"/>
    </row>
    <row r="61" spans="1:8" ht="15.75" customHeight="1">
      <c r="A61" s="43"/>
      <c r="B61" s="48"/>
      <c r="C61" s="40"/>
      <c r="D61" s="40"/>
      <c r="E61" s="50"/>
      <c r="F61" s="51"/>
      <c r="G61" s="32"/>
      <c r="H61" s="32"/>
    </row>
    <row r="62" spans="1:8" ht="15.75" customHeight="1">
      <c r="A62" s="33"/>
      <c r="B62" s="49"/>
      <c r="C62" s="45"/>
      <c r="D62" s="45"/>
      <c r="E62" s="54"/>
      <c r="F62" s="52"/>
      <c r="G62" s="32"/>
      <c r="H62" s="32"/>
    </row>
    <row r="63" spans="1:8" ht="15.75" customHeight="1">
      <c r="A63" s="38"/>
      <c r="B63" s="48"/>
      <c r="C63" s="40"/>
      <c r="D63" s="40"/>
      <c r="E63" s="50"/>
      <c r="F63" s="51"/>
      <c r="G63" s="32"/>
      <c r="H63" s="32"/>
    </row>
    <row r="64" spans="1:8" ht="15.75" customHeight="1">
      <c r="A64" s="43"/>
      <c r="B64" s="49"/>
      <c r="C64" s="45"/>
      <c r="D64" s="45"/>
      <c r="E64" s="54"/>
      <c r="F64" s="52"/>
      <c r="G64" s="32"/>
      <c r="H64" s="32"/>
    </row>
    <row r="65" spans="1:8" ht="15.75" customHeight="1">
      <c r="A65" s="33"/>
      <c r="B65" s="48"/>
      <c r="C65" s="40"/>
      <c r="D65" s="40"/>
      <c r="E65" s="50"/>
      <c r="F65" s="51"/>
      <c r="G65" s="32"/>
      <c r="H65" s="32"/>
    </row>
    <row r="66" spans="1:8" ht="15.75" customHeight="1">
      <c r="A66" s="38"/>
      <c r="B66" s="49"/>
      <c r="C66" s="45"/>
      <c r="D66" s="45"/>
      <c r="E66" s="54"/>
      <c r="F66" s="52"/>
      <c r="G66" s="32"/>
      <c r="H66" s="32"/>
    </row>
    <row r="67" spans="1:8" ht="15.75" customHeight="1">
      <c r="A67" s="43"/>
      <c r="B67" s="48"/>
      <c r="C67" s="40"/>
      <c r="D67" s="40"/>
      <c r="E67" s="50"/>
      <c r="F67" s="51"/>
      <c r="G67" s="32"/>
      <c r="H67" s="32"/>
    </row>
    <row r="68" spans="1:8" ht="15.75" customHeight="1">
      <c r="A68" s="33"/>
      <c r="B68" s="49"/>
      <c r="C68" s="45"/>
      <c r="D68" s="45"/>
      <c r="E68" s="54"/>
      <c r="F68" s="52"/>
      <c r="G68" s="32"/>
      <c r="H68" s="32"/>
    </row>
    <row r="69" spans="1:8" ht="15.75" customHeight="1">
      <c r="A69" s="38"/>
      <c r="B69" s="48"/>
      <c r="C69" s="40"/>
      <c r="D69" s="40"/>
      <c r="E69" s="50"/>
      <c r="F69" s="51"/>
      <c r="G69" s="32"/>
      <c r="H69" s="32"/>
    </row>
    <row r="70" spans="1:8" ht="15.75" customHeight="1">
      <c r="A70" s="33"/>
      <c r="B70" s="49"/>
      <c r="C70" s="45"/>
      <c r="D70" s="45"/>
      <c r="E70" s="54"/>
      <c r="F70" s="52"/>
      <c r="G70" s="32"/>
      <c r="H70" s="32"/>
    </row>
    <row r="71" spans="1:8" ht="15.75" customHeight="1">
      <c r="A71" s="38"/>
      <c r="B71" s="48"/>
      <c r="C71" s="40"/>
      <c r="D71" s="40"/>
      <c r="E71" s="50"/>
      <c r="F71" s="51"/>
      <c r="G71" s="32"/>
      <c r="H71" s="32"/>
    </row>
    <row r="72" spans="1:8" ht="15.75" customHeight="1">
      <c r="A72" s="43"/>
      <c r="B72" s="49"/>
      <c r="C72" s="45"/>
      <c r="D72" s="45"/>
      <c r="E72" s="54"/>
      <c r="F72" s="52"/>
      <c r="G72" s="32"/>
      <c r="H72" s="32"/>
    </row>
    <row r="73" spans="1:8" ht="15.75" customHeight="1">
      <c r="A73" s="33"/>
      <c r="B73" s="48"/>
      <c r="C73" s="40"/>
      <c r="D73" s="40"/>
      <c r="E73" s="50"/>
      <c r="F73" s="51"/>
      <c r="G73" s="32"/>
      <c r="H73" s="32"/>
    </row>
    <row r="74" spans="1:8" ht="15.75" customHeight="1">
      <c r="A74" s="33"/>
      <c r="B74" s="49"/>
      <c r="C74" s="45"/>
      <c r="D74" s="45"/>
      <c r="E74" s="54"/>
      <c r="F74" s="52"/>
      <c r="G74" s="32"/>
      <c r="H74" s="32"/>
    </row>
    <row r="75" spans="1:8" ht="15.75" customHeight="1">
      <c r="A75" s="38"/>
      <c r="B75" s="48"/>
      <c r="C75" s="40"/>
      <c r="D75" s="40"/>
      <c r="E75" s="50"/>
      <c r="F75" s="51"/>
      <c r="G75" s="32"/>
      <c r="H75" s="32"/>
    </row>
    <row r="76" spans="1:8" ht="15.75" customHeight="1">
      <c r="A76" s="43"/>
      <c r="B76" s="49"/>
      <c r="C76" s="45"/>
      <c r="D76" s="45"/>
      <c r="E76" s="54"/>
      <c r="F76" s="52"/>
      <c r="G76" s="32"/>
      <c r="H76" s="32"/>
    </row>
    <row r="77" spans="1:8" ht="15.75" customHeight="1">
      <c r="A77" s="33"/>
      <c r="B77" s="48"/>
      <c r="C77" s="40"/>
      <c r="D77" s="40"/>
      <c r="E77" s="50"/>
      <c r="F77" s="51"/>
      <c r="G77" s="32"/>
      <c r="H77" s="32"/>
    </row>
    <row r="78" spans="1:8" ht="15.75" customHeight="1">
      <c r="A78" s="38"/>
      <c r="B78" s="49"/>
      <c r="C78" s="45"/>
      <c r="D78" s="45"/>
      <c r="E78" s="54"/>
      <c r="F78" s="52"/>
      <c r="G78" s="32"/>
      <c r="H78" s="32"/>
    </row>
    <row r="79" spans="1:8" ht="15.75" customHeight="1">
      <c r="A79" s="43"/>
      <c r="B79" s="48"/>
      <c r="C79" s="40"/>
      <c r="D79" s="40"/>
      <c r="E79" s="50"/>
      <c r="F79" s="51"/>
      <c r="G79" s="32"/>
      <c r="H79" s="32"/>
    </row>
    <row r="80" spans="1:8" ht="15.75" customHeight="1">
      <c r="A80" s="33"/>
      <c r="B80" s="49"/>
      <c r="C80" s="45"/>
      <c r="D80" s="45"/>
      <c r="E80" s="54"/>
      <c r="F80" s="52"/>
      <c r="G80" s="32"/>
      <c r="H80" s="32"/>
    </row>
    <row r="81" spans="1:8" ht="15.75" customHeight="1">
      <c r="A81" s="38"/>
      <c r="B81" s="48"/>
      <c r="C81" s="40"/>
      <c r="D81" s="40"/>
      <c r="E81" s="50"/>
      <c r="F81" s="51"/>
      <c r="G81" s="32"/>
      <c r="H81" s="32"/>
    </row>
    <row r="82" spans="1:8" ht="15.75" customHeight="1">
      <c r="A82" s="43"/>
      <c r="B82" s="49"/>
      <c r="C82" s="45"/>
      <c r="D82" s="45"/>
      <c r="E82" s="54"/>
      <c r="F82" s="52"/>
      <c r="G82" s="32"/>
      <c r="H82" s="32"/>
    </row>
    <row r="83" spans="1:8" ht="15.75" customHeight="1">
      <c r="A83" s="33"/>
      <c r="B83" s="48"/>
      <c r="C83" s="40"/>
      <c r="D83" s="40"/>
      <c r="E83" s="50"/>
      <c r="F83" s="51"/>
      <c r="G83" s="32"/>
      <c r="H83" s="32"/>
    </row>
    <row r="84" spans="1:8" ht="15.75" customHeight="1">
      <c r="A84" s="38"/>
      <c r="B84" s="49"/>
      <c r="C84" s="45"/>
      <c r="D84" s="45"/>
      <c r="E84" s="54"/>
      <c r="F84" s="52"/>
      <c r="G84" s="32"/>
      <c r="H84" s="32"/>
    </row>
    <row r="85" spans="1:8" ht="15.75" customHeight="1">
      <c r="A85" s="43"/>
      <c r="B85" s="48"/>
      <c r="C85" s="40"/>
      <c r="D85" s="40"/>
      <c r="E85" s="50"/>
      <c r="F85" s="51"/>
      <c r="G85" s="32"/>
      <c r="H85" s="32"/>
    </row>
    <row r="86" spans="1:8" ht="15.75" customHeight="1">
      <c r="A86" s="33"/>
      <c r="B86" s="49"/>
      <c r="C86" s="45"/>
      <c r="D86" s="45"/>
      <c r="E86" s="54"/>
      <c r="F86" s="52"/>
      <c r="G86" s="32"/>
      <c r="H86" s="32"/>
    </row>
    <row r="87" spans="1:8" ht="15.75" customHeight="1">
      <c r="A87" s="38"/>
      <c r="B87" s="48"/>
      <c r="C87" s="40"/>
      <c r="D87" s="40"/>
      <c r="E87" s="50"/>
      <c r="F87" s="51"/>
      <c r="G87" s="32"/>
      <c r="H87" s="32"/>
    </row>
    <row r="88" spans="1:8" ht="15.75" customHeight="1">
      <c r="A88" s="33"/>
      <c r="B88" s="49"/>
      <c r="C88" s="45"/>
      <c r="D88" s="45"/>
      <c r="E88" s="54"/>
      <c r="F88" s="52"/>
      <c r="G88" s="32"/>
      <c r="H88" s="32"/>
    </row>
    <row r="89" spans="1:8" ht="15.75" customHeight="1">
      <c r="A89" s="38"/>
      <c r="B89" s="48"/>
      <c r="C89" s="40"/>
      <c r="D89" s="40"/>
      <c r="E89" s="50"/>
      <c r="F89" s="51"/>
      <c r="G89" s="32"/>
      <c r="H89" s="32"/>
    </row>
    <row r="90" spans="1:8" ht="15.75" customHeight="1">
      <c r="A90" s="43"/>
      <c r="B90" s="49"/>
      <c r="C90" s="45"/>
      <c r="D90" s="45"/>
      <c r="E90" s="54"/>
      <c r="F90" s="52"/>
      <c r="G90" s="32"/>
      <c r="H90" s="32"/>
    </row>
    <row r="91" spans="1:8" ht="15.75" customHeight="1">
      <c r="A91" s="33"/>
      <c r="B91" s="48"/>
      <c r="C91" s="40"/>
      <c r="D91" s="40"/>
      <c r="E91" s="50"/>
      <c r="F91" s="51"/>
      <c r="G91" s="32"/>
      <c r="H91" s="32"/>
    </row>
    <row r="92" spans="1:8" ht="15.75" customHeight="1">
      <c r="A92" s="33"/>
      <c r="B92" s="49"/>
      <c r="C92" s="45"/>
      <c r="D92" s="45"/>
      <c r="E92" s="54"/>
      <c r="F92" s="52"/>
      <c r="G92" s="32"/>
      <c r="H92" s="32"/>
    </row>
    <row r="93" spans="1:8" ht="15.75" customHeight="1">
      <c r="A93" s="38"/>
      <c r="B93" s="48"/>
      <c r="C93" s="40"/>
      <c r="D93" s="40"/>
      <c r="E93" s="50"/>
      <c r="F93" s="51"/>
      <c r="G93" s="32"/>
      <c r="H93" s="32"/>
    </row>
    <row r="94" spans="1:8" ht="15.75" customHeight="1">
      <c r="A94" s="43"/>
      <c r="B94" s="49"/>
      <c r="C94" s="45"/>
      <c r="D94" s="45"/>
      <c r="E94" s="54"/>
      <c r="F94" s="52"/>
      <c r="G94" s="32"/>
      <c r="H94" s="32"/>
    </row>
    <row r="95" spans="1:8" ht="15.75" customHeight="1">
      <c r="A95" s="33"/>
      <c r="B95" s="48"/>
      <c r="C95" s="40"/>
      <c r="D95" s="40"/>
      <c r="E95" s="50"/>
      <c r="F95" s="51"/>
      <c r="G95" s="32"/>
      <c r="H95" s="32"/>
    </row>
    <row r="96" spans="1:8" ht="15.75" customHeight="1">
      <c r="A96" s="38"/>
      <c r="B96" s="49"/>
      <c r="C96" s="45"/>
      <c r="D96" s="45"/>
      <c r="E96" s="54"/>
      <c r="F96" s="52"/>
      <c r="G96" s="32"/>
      <c r="H96" s="32"/>
    </row>
    <row r="97" spans="1:8" ht="15.75" customHeight="1">
      <c r="A97" s="43"/>
      <c r="B97" s="48"/>
      <c r="C97" s="40"/>
      <c r="D97" s="40"/>
      <c r="E97" s="50"/>
      <c r="F97" s="51"/>
      <c r="G97" s="32"/>
      <c r="H97" s="32"/>
    </row>
    <row r="98" spans="1:8" ht="15.75" customHeight="1">
      <c r="A98" s="33"/>
      <c r="B98" s="49"/>
      <c r="C98" s="45"/>
      <c r="D98" s="45"/>
      <c r="E98" s="54"/>
      <c r="F98" s="52"/>
      <c r="G98" s="32"/>
      <c r="H98" s="32"/>
    </row>
    <row r="99" spans="1:8" ht="15.75" customHeight="1">
      <c r="A99" s="38"/>
      <c r="B99" s="48"/>
      <c r="C99" s="40"/>
      <c r="D99" s="40"/>
      <c r="E99" s="50"/>
      <c r="F99" s="51"/>
      <c r="G99" s="32"/>
      <c r="H99" s="32"/>
    </row>
    <row r="100" spans="1:8" ht="15.75" customHeight="1">
      <c r="A100" s="43"/>
      <c r="B100" s="57"/>
      <c r="C100" s="40"/>
      <c r="D100" s="40"/>
      <c r="E100" s="50"/>
      <c r="F100" s="58"/>
      <c r="G100" s="32"/>
      <c r="H100" s="32"/>
    </row>
    <row r="101" spans="1:8" ht="15.75" hidden="1" customHeight="1">
      <c r="A101" s="1"/>
      <c r="B101" s="2"/>
      <c r="C101" s="1"/>
      <c r="D101" s="1"/>
      <c r="E101" s="1"/>
      <c r="F101" s="59"/>
      <c r="G101" s="32"/>
      <c r="H101" s="32"/>
    </row>
    <row r="102" spans="1:8" ht="15.75" hidden="1" customHeight="1">
      <c r="A102" s="1"/>
      <c r="B102" s="2"/>
      <c r="C102" s="1"/>
      <c r="D102" s="1"/>
      <c r="E102" s="1"/>
      <c r="F102" s="59"/>
      <c r="G102" s="32"/>
      <c r="H102" s="32"/>
    </row>
    <row r="103" spans="1:8" ht="15.75" hidden="1" customHeight="1">
      <c r="A103" s="1"/>
      <c r="B103" s="2"/>
      <c r="C103" s="1"/>
      <c r="D103" s="1"/>
      <c r="E103" s="1"/>
      <c r="F103" s="59"/>
      <c r="G103" s="32"/>
      <c r="H103" s="32"/>
    </row>
    <row r="104" spans="1:8" ht="15.75" hidden="1" customHeight="1">
      <c r="A104" s="1"/>
      <c r="B104" s="2"/>
      <c r="C104" s="1"/>
      <c r="D104" s="1"/>
      <c r="E104" s="1"/>
      <c r="F104" s="59"/>
      <c r="G104" s="32"/>
      <c r="H104" s="32"/>
    </row>
    <row r="105" spans="1:8" ht="15.75" hidden="1" customHeight="1">
      <c r="A105" s="1"/>
      <c r="B105" s="2"/>
      <c r="C105" s="1"/>
      <c r="D105" s="1"/>
      <c r="E105" s="1"/>
      <c r="F105" s="59"/>
      <c r="G105" s="32"/>
      <c r="H105" s="32"/>
    </row>
    <row r="106" spans="1:8" ht="15.75" hidden="1" customHeight="1">
      <c r="A106" s="1"/>
      <c r="B106" s="2"/>
      <c r="C106" s="1"/>
      <c r="D106" s="1"/>
      <c r="E106" s="1"/>
      <c r="F106" s="59"/>
      <c r="G106" s="32"/>
      <c r="H106" s="32"/>
    </row>
    <row r="107" spans="1:8" ht="15.75" hidden="1" customHeight="1">
      <c r="A107" s="1"/>
      <c r="B107" s="2"/>
      <c r="C107" s="1"/>
      <c r="D107" s="1"/>
      <c r="E107" s="1"/>
      <c r="F107" s="59"/>
      <c r="G107" s="32"/>
      <c r="H107" s="32"/>
    </row>
    <row r="108" spans="1:8" ht="15.75" hidden="1" customHeight="1">
      <c r="A108" s="1"/>
      <c r="B108" s="2"/>
      <c r="C108" s="1"/>
      <c r="D108" s="1"/>
      <c r="E108" s="1"/>
      <c r="F108" s="59"/>
      <c r="G108" s="32"/>
      <c r="H108" s="32"/>
    </row>
    <row r="109" spans="1:8" ht="15.75" hidden="1" customHeight="1">
      <c r="A109" s="1"/>
      <c r="B109" s="2"/>
      <c r="C109" s="1"/>
      <c r="D109" s="1"/>
      <c r="E109" s="1"/>
      <c r="F109" s="59"/>
      <c r="G109" s="32"/>
      <c r="H109" s="32"/>
    </row>
    <row r="110" spans="1:8" ht="15.75" hidden="1" customHeight="1">
      <c r="A110" s="1"/>
      <c r="B110" s="2"/>
      <c r="C110" s="1"/>
      <c r="D110" s="1"/>
      <c r="E110" s="1"/>
      <c r="F110" s="59"/>
      <c r="G110" s="32"/>
      <c r="H110" s="32"/>
    </row>
    <row r="111" spans="1:8" ht="15.75" hidden="1" customHeight="1">
      <c r="A111" s="1"/>
      <c r="B111" s="2"/>
      <c r="C111" s="1"/>
      <c r="D111" s="1"/>
      <c r="E111" s="1"/>
      <c r="F111" s="59"/>
      <c r="G111" s="32"/>
      <c r="H111" s="32"/>
    </row>
    <row r="112" spans="1:8" ht="15.75" hidden="1" customHeight="1">
      <c r="A112" s="1"/>
      <c r="B112" s="2"/>
      <c r="C112" s="1"/>
      <c r="D112" s="1"/>
      <c r="E112" s="1"/>
      <c r="F112" s="59"/>
      <c r="G112" s="32"/>
      <c r="H112" s="32"/>
    </row>
    <row r="113" spans="1:8" ht="15.75" hidden="1" customHeight="1">
      <c r="A113" s="1"/>
      <c r="B113" s="2"/>
      <c r="C113" s="1"/>
      <c r="D113" s="1"/>
      <c r="E113" s="1"/>
      <c r="F113" s="59"/>
      <c r="G113" s="32"/>
      <c r="H113" s="32"/>
    </row>
    <row r="114" spans="1:8" ht="15.75" hidden="1" customHeight="1">
      <c r="A114" s="1"/>
      <c r="B114" s="2"/>
      <c r="C114" s="1"/>
      <c r="D114" s="1"/>
      <c r="E114" s="1"/>
      <c r="F114" s="59"/>
      <c r="G114" s="32"/>
      <c r="H114" s="32"/>
    </row>
    <row r="115" spans="1:8" ht="15.75" hidden="1" customHeight="1">
      <c r="A115" s="1"/>
      <c r="B115" s="2"/>
      <c r="C115" s="1"/>
      <c r="D115" s="1"/>
      <c r="E115" s="1"/>
      <c r="F115" s="59"/>
      <c r="G115" s="32"/>
      <c r="H115" s="32"/>
    </row>
    <row r="116" spans="1:8" ht="15.75" hidden="1" customHeight="1">
      <c r="A116" s="1"/>
      <c r="B116" s="2"/>
      <c r="C116" s="1"/>
      <c r="D116" s="1"/>
      <c r="E116" s="1"/>
      <c r="F116" s="59"/>
      <c r="G116" s="32"/>
      <c r="H116" s="32"/>
    </row>
    <row r="117" spans="1:8" ht="15.75" hidden="1" customHeight="1">
      <c r="A117" s="1"/>
      <c r="B117" s="2"/>
      <c r="C117" s="1"/>
      <c r="D117" s="1"/>
      <c r="E117" s="1"/>
      <c r="F117" s="59"/>
      <c r="G117" s="32"/>
      <c r="H117" s="32"/>
    </row>
    <row r="118" spans="1:8" ht="15.75" hidden="1" customHeight="1">
      <c r="A118" s="1"/>
      <c r="B118" s="2"/>
      <c r="C118" s="1"/>
      <c r="D118" s="1"/>
      <c r="E118" s="1"/>
      <c r="F118" s="59"/>
      <c r="G118" s="32"/>
      <c r="H118" s="32"/>
    </row>
    <row r="119" spans="1:8" ht="15.75" hidden="1" customHeight="1">
      <c r="A119" s="1"/>
      <c r="B119" s="2"/>
      <c r="C119" s="1"/>
      <c r="D119" s="1"/>
      <c r="E119" s="1"/>
      <c r="F119" s="59"/>
      <c r="G119" s="32"/>
      <c r="H119" s="32"/>
    </row>
    <row r="120" spans="1:8" ht="15.75" hidden="1" customHeight="1">
      <c r="A120" s="1"/>
      <c r="B120" s="2"/>
      <c r="C120" s="1"/>
      <c r="D120" s="1"/>
      <c r="E120" s="1"/>
      <c r="F120" s="59"/>
      <c r="G120" s="32"/>
      <c r="H120" s="32"/>
    </row>
    <row r="121" spans="1:8" ht="15.75" hidden="1" customHeight="1">
      <c r="A121" s="1"/>
      <c r="B121" s="2"/>
      <c r="C121" s="1"/>
      <c r="D121" s="1"/>
      <c r="E121" s="1"/>
      <c r="F121" s="59"/>
      <c r="G121" s="32"/>
      <c r="H121" s="32"/>
    </row>
    <row r="122" spans="1:8" ht="15.75" hidden="1" customHeight="1">
      <c r="A122" s="1"/>
      <c r="B122" s="2"/>
      <c r="C122" s="1"/>
      <c r="D122" s="1"/>
      <c r="E122" s="1"/>
      <c r="F122" s="59"/>
      <c r="G122" s="32"/>
      <c r="H122" s="32"/>
    </row>
    <row r="123" spans="1:8" ht="15.75" hidden="1" customHeight="1">
      <c r="A123" s="1"/>
      <c r="B123" s="2"/>
      <c r="C123" s="1"/>
      <c r="D123" s="1"/>
      <c r="E123" s="1"/>
      <c r="F123" s="59"/>
      <c r="G123" s="32"/>
      <c r="H123" s="32"/>
    </row>
    <row r="124" spans="1:8" ht="15.75" hidden="1" customHeight="1">
      <c r="A124" s="1"/>
      <c r="B124" s="2"/>
      <c r="C124" s="1"/>
      <c r="D124" s="1"/>
      <c r="E124" s="1"/>
      <c r="F124" s="59"/>
      <c r="G124" s="32"/>
      <c r="H124" s="32"/>
    </row>
    <row r="125" spans="1:8" ht="15.75" hidden="1" customHeight="1">
      <c r="A125" s="1"/>
      <c r="B125" s="2"/>
      <c r="C125" s="1"/>
      <c r="D125" s="1"/>
      <c r="E125" s="1"/>
      <c r="F125" s="59"/>
      <c r="G125" s="32"/>
      <c r="H125" s="32"/>
    </row>
    <row r="126" spans="1:8" ht="15.75" hidden="1" customHeight="1">
      <c r="A126" s="1"/>
      <c r="B126" s="2"/>
      <c r="C126" s="1"/>
      <c r="D126" s="1"/>
      <c r="E126" s="1"/>
      <c r="F126" s="59"/>
      <c r="G126" s="32"/>
      <c r="H126" s="32"/>
    </row>
    <row r="127" spans="1:8" ht="15.75" hidden="1" customHeight="1">
      <c r="A127" s="1"/>
      <c r="B127" s="2"/>
      <c r="C127" s="1"/>
      <c r="D127" s="1"/>
      <c r="E127" s="1"/>
      <c r="F127" s="59"/>
      <c r="G127" s="32"/>
      <c r="H127" s="32"/>
    </row>
    <row r="128" spans="1:8" ht="15.75" hidden="1" customHeight="1">
      <c r="A128" s="1"/>
      <c r="B128" s="2"/>
      <c r="C128" s="1"/>
      <c r="D128" s="1"/>
      <c r="E128" s="1"/>
      <c r="F128" s="59"/>
      <c r="G128" s="32"/>
      <c r="H128" s="32"/>
    </row>
    <row r="129" spans="1:8" ht="15.75" hidden="1" customHeight="1">
      <c r="A129" s="1"/>
      <c r="B129" s="2"/>
      <c r="C129" s="1"/>
      <c r="D129" s="1"/>
      <c r="E129" s="1"/>
      <c r="F129" s="59"/>
      <c r="G129" s="32"/>
      <c r="H129" s="32"/>
    </row>
    <row r="130" spans="1:8" ht="15.75" hidden="1" customHeight="1">
      <c r="A130" s="1"/>
      <c r="B130" s="2"/>
      <c r="C130" s="1"/>
      <c r="D130" s="1"/>
      <c r="E130" s="1"/>
      <c r="F130" s="59"/>
      <c r="G130" s="32"/>
      <c r="H130" s="32"/>
    </row>
    <row r="131" spans="1:8" ht="15.75" hidden="1" customHeight="1">
      <c r="A131" s="1"/>
      <c r="B131" s="2"/>
      <c r="C131" s="1"/>
      <c r="D131" s="1"/>
      <c r="E131" s="1"/>
      <c r="F131" s="59"/>
      <c r="G131" s="32"/>
      <c r="H131" s="32"/>
    </row>
    <row r="132" spans="1:8" ht="15.75" hidden="1" customHeight="1">
      <c r="A132" s="1"/>
      <c r="B132" s="2"/>
      <c r="C132" s="1"/>
      <c r="D132" s="1"/>
      <c r="E132" s="1"/>
      <c r="F132" s="59"/>
      <c r="G132" s="32"/>
      <c r="H132" s="32"/>
    </row>
    <row r="133" spans="1:8" ht="15.75" hidden="1" customHeight="1">
      <c r="A133" s="1"/>
      <c r="B133" s="2"/>
      <c r="C133" s="1"/>
      <c r="D133" s="1"/>
      <c r="E133" s="1"/>
      <c r="F133" s="59"/>
      <c r="G133" s="32"/>
      <c r="H133" s="32"/>
    </row>
    <row r="134" spans="1:8" ht="15.75" hidden="1" customHeight="1">
      <c r="A134" s="1"/>
      <c r="B134" s="2"/>
      <c r="C134" s="1"/>
      <c r="D134" s="1"/>
      <c r="E134" s="1"/>
      <c r="F134" s="59"/>
      <c r="G134" s="32"/>
      <c r="H134" s="32"/>
    </row>
    <row r="135" spans="1:8" ht="15.75" hidden="1" customHeight="1">
      <c r="A135" s="1"/>
      <c r="B135" s="2"/>
      <c r="C135" s="1"/>
      <c r="D135" s="1"/>
      <c r="E135" s="1"/>
      <c r="F135" s="59"/>
      <c r="G135" s="32"/>
      <c r="H135" s="32"/>
    </row>
    <row r="136" spans="1:8" ht="15.75" hidden="1" customHeight="1">
      <c r="A136" s="1"/>
      <c r="B136" s="2"/>
      <c r="C136" s="1"/>
      <c r="D136" s="1"/>
      <c r="E136" s="1"/>
      <c r="F136" s="59"/>
      <c r="G136" s="32"/>
      <c r="H136" s="32"/>
    </row>
    <row r="137" spans="1:8" ht="15.75" hidden="1" customHeight="1">
      <c r="A137" s="1"/>
      <c r="B137" s="2"/>
      <c r="C137" s="1"/>
      <c r="D137" s="1"/>
      <c r="E137" s="1"/>
      <c r="F137" s="59"/>
      <c r="G137" s="32"/>
      <c r="H137" s="32"/>
    </row>
    <row r="138" spans="1:8" ht="15.75" hidden="1" customHeight="1">
      <c r="A138" s="1"/>
      <c r="B138" s="2"/>
      <c r="C138" s="1"/>
      <c r="D138" s="1"/>
      <c r="E138" s="1"/>
      <c r="F138" s="59"/>
      <c r="G138" s="32"/>
      <c r="H138" s="32"/>
    </row>
    <row r="139" spans="1:8" ht="15.75" hidden="1" customHeight="1">
      <c r="A139" s="1"/>
      <c r="B139" s="2"/>
      <c r="C139" s="1"/>
      <c r="D139" s="1"/>
      <c r="E139" s="1"/>
      <c r="F139" s="59"/>
      <c r="G139" s="32"/>
      <c r="H139" s="32"/>
    </row>
    <row r="140" spans="1:8" ht="15.75" hidden="1" customHeight="1">
      <c r="A140" s="1"/>
      <c r="B140" s="2"/>
      <c r="C140" s="1"/>
      <c r="D140" s="1"/>
      <c r="E140" s="1"/>
      <c r="F140" s="59"/>
      <c r="G140" s="32"/>
      <c r="H140" s="32"/>
    </row>
    <row r="141" spans="1:8" ht="15.75" hidden="1" customHeight="1">
      <c r="A141" s="1"/>
      <c r="B141" s="2"/>
      <c r="C141" s="1"/>
      <c r="D141" s="1"/>
      <c r="E141" s="1"/>
      <c r="F141" s="59"/>
      <c r="G141" s="32"/>
      <c r="H141" s="32"/>
    </row>
    <row r="142" spans="1:8" ht="15.75" hidden="1" customHeight="1">
      <c r="A142" s="1"/>
      <c r="B142" s="2"/>
      <c r="C142" s="1"/>
      <c r="D142" s="1"/>
      <c r="E142" s="1"/>
      <c r="F142" s="59"/>
      <c r="G142" s="32"/>
      <c r="H142" s="32"/>
    </row>
    <row r="143" spans="1:8" ht="15.75" hidden="1" customHeight="1">
      <c r="A143" s="1"/>
      <c r="B143" s="2"/>
      <c r="C143" s="1"/>
      <c r="D143" s="1"/>
      <c r="E143" s="1"/>
      <c r="F143" s="59"/>
      <c r="G143" s="32"/>
      <c r="H143" s="32"/>
    </row>
    <row r="144" spans="1:8" ht="15.75" hidden="1" customHeight="1">
      <c r="A144" s="1"/>
      <c r="B144" s="2"/>
      <c r="C144" s="1"/>
      <c r="D144" s="1"/>
      <c r="E144" s="1"/>
      <c r="F144" s="59"/>
      <c r="G144" s="32"/>
      <c r="H144" s="32"/>
    </row>
    <row r="145" spans="1:8" ht="15.75" hidden="1" customHeight="1">
      <c r="A145" s="1"/>
      <c r="B145" s="2"/>
      <c r="C145" s="1"/>
      <c r="D145" s="1"/>
      <c r="E145" s="1"/>
      <c r="F145" s="59"/>
      <c r="G145" s="32"/>
      <c r="H145" s="32"/>
    </row>
    <row r="146" spans="1:8" ht="15.75" hidden="1" customHeight="1">
      <c r="A146" s="1"/>
      <c r="B146" s="2"/>
      <c r="C146" s="1"/>
      <c r="D146" s="1"/>
      <c r="E146" s="1"/>
      <c r="F146" s="59"/>
      <c r="G146" s="32"/>
      <c r="H146" s="32"/>
    </row>
    <row r="147" spans="1:8" ht="15.75" hidden="1" customHeight="1">
      <c r="A147" s="1"/>
      <c r="B147" s="2"/>
      <c r="C147" s="1"/>
      <c r="D147" s="1"/>
      <c r="E147" s="1"/>
      <c r="F147" s="59"/>
      <c r="G147" s="32"/>
      <c r="H147" s="32"/>
    </row>
    <row r="148" spans="1:8" ht="15.75" hidden="1" customHeight="1">
      <c r="A148" s="1"/>
      <c r="B148" s="2"/>
      <c r="C148" s="1"/>
      <c r="D148" s="1"/>
      <c r="E148" s="1"/>
      <c r="F148" s="59"/>
      <c r="G148" s="32"/>
      <c r="H148" s="32"/>
    </row>
    <row r="149" spans="1:8" ht="15.75" hidden="1" customHeight="1">
      <c r="A149" s="1"/>
      <c r="B149" s="2"/>
      <c r="C149" s="1"/>
      <c r="D149" s="1"/>
      <c r="E149" s="1"/>
      <c r="F149" s="59"/>
      <c r="G149" s="32"/>
      <c r="H149" s="32"/>
    </row>
    <row r="150" spans="1:8" ht="15.75" hidden="1" customHeight="1">
      <c r="A150" s="1"/>
      <c r="B150" s="2"/>
      <c r="C150" s="1"/>
      <c r="D150" s="1"/>
      <c r="E150" s="1"/>
      <c r="F150" s="59"/>
      <c r="G150" s="32"/>
      <c r="H150" s="32"/>
    </row>
    <row r="151" spans="1:8" ht="15.75" hidden="1" customHeight="1">
      <c r="A151" s="1"/>
      <c r="B151" s="2"/>
      <c r="C151" s="1"/>
      <c r="D151" s="1"/>
      <c r="E151" s="1"/>
      <c r="F151" s="59"/>
      <c r="G151" s="32"/>
      <c r="H151" s="32"/>
    </row>
    <row r="152" spans="1:8" ht="15.75" hidden="1" customHeight="1">
      <c r="A152" s="1"/>
      <c r="B152" s="2"/>
      <c r="C152" s="1"/>
      <c r="D152" s="1"/>
      <c r="E152" s="1"/>
      <c r="F152" s="59"/>
      <c r="G152" s="32"/>
      <c r="H152" s="32"/>
    </row>
    <row r="153" spans="1:8" ht="15.75" hidden="1" customHeight="1">
      <c r="A153" s="1"/>
      <c r="B153" s="2"/>
      <c r="C153" s="1"/>
      <c r="D153" s="1"/>
      <c r="E153" s="1"/>
      <c r="F153" s="59"/>
      <c r="G153" s="32"/>
      <c r="H153" s="32"/>
    </row>
    <row r="154" spans="1:8" ht="15.75" hidden="1" customHeight="1">
      <c r="A154" s="1"/>
      <c r="B154" s="2"/>
      <c r="C154" s="1"/>
      <c r="D154" s="1"/>
      <c r="E154" s="1"/>
      <c r="F154" s="59"/>
      <c r="G154" s="32"/>
      <c r="H154" s="32"/>
    </row>
    <row r="155" spans="1:8" ht="15.75" hidden="1" customHeight="1">
      <c r="A155" s="1"/>
      <c r="B155" s="2"/>
      <c r="C155" s="1"/>
      <c r="D155" s="1"/>
      <c r="E155" s="1"/>
      <c r="F155" s="59"/>
      <c r="G155" s="32"/>
      <c r="H155" s="32"/>
    </row>
    <row r="156" spans="1:8" ht="15.75" hidden="1" customHeight="1">
      <c r="A156" s="1"/>
      <c r="B156" s="2"/>
      <c r="C156" s="1"/>
      <c r="D156" s="1"/>
      <c r="E156" s="1"/>
      <c r="F156" s="59"/>
      <c r="G156" s="32"/>
      <c r="H156" s="32"/>
    </row>
    <row r="157" spans="1:8" ht="15.75" hidden="1" customHeight="1">
      <c r="A157" s="1"/>
      <c r="B157" s="2"/>
      <c r="C157" s="1"/>
      <c r="D157" s="1"/>
      <c r="E157" s="1"/>
      <c r="F157" s="59"/>
      <c r="G157" s="32"/>
      <c r="H157" s="32"/>
    </row>
    <row r="158" spans="1:8" ht="15.75" hidden="1" customHeight="1">
      <c r="A158" s="1"/>
      <c r="B158" s="2"/>
      <c r="C158" s="1"/>
      <c r="D158" s="1"/>
      <c r="E158" s="1"/>
      <c r="F158" s="59"/>
      <c r="G158" s="32"/>
      <c r="H158" s="32"/>
    </row>
    <row r="159" spans="1:8" ht="15.75" hidden="1" customHeight="1">
      <c r="A159" s="1"/>
      <c r="B159" s="2"/>
      <c r="C159" s="1"/>
      <c r="D159" s="1"/>
      <c r="E159" s="1"/>
      <c r="F159" s="59"/>
      <c r="G159" s="32"/>
      <c r="H159" s="32"/>
    </row>
    <row r="160" spans="1:8" ht="15.75" hidden="1" customHeight="1">
      <c r="A160" s="1"/>
      <c r="B160" s="2"/>
      <c r="C160" s="1"/>
      <c r="D160" s="1"/>
      <c r="E160" s="1"/>
      <c r="F160" s="59"/>
      <c r="G160" s="32"/>
      <c r="H160" s="32"/>
    </row>
    <row r="161" spans="1:8" ht="15.75" hidden="1" customHeight="1">
      <c r="A161" s="1"/>
      <c r="B161" s="2"/>
      <c r="C161" s="1"/>
      <c r="D161" s="1"/>
      <c r="E161" s="1"/>
      <c r="F161" s="59"/>
      <c r="G161" s="32"/>
      <c r="H161" s="32"/>
    </row>
    <row r="162" spans="1:8" ht="15.75" hidden="1" customHeight="1">
      <c r="A162" s="1"/>
      <c r="B162" s="2"/>
      <c r="C162" s="1"/>
      <c r="D162" s="1"/>
      <c r="E162" s="1"/>
      <c r="F162" s="59"/>
      <c r="G162" s="32"/>
      <c r="H162" s="32"/>
    </row>
    <row r="163" spans="1:8" ht="15.75" hidden="1" customHeight="1">
      <c r="A163" s="1"/>
      <c r="B163" s="2"/>
      <c r="C163" s="1"/>
      <c r="D163" s="1"/>
      <c r="E163" s="1"/>
      <c r="F163" s="59"/>
      <c r="G163" s="32"/>
      <c r="H163" s="32"/>
    </row>
    <row r="164" spans="1:8" ht="15.75" hidden="1" customHeight="1">
      <c r="A164" s="1"/>
      <c r="B164" s="2"/>
      <c r="C164" s="1"/>
      <c r="D164" s="1"/>
      <c r="E164" s="1"/>
      <c r="F164" s="59"/>
      <c r="G164" s="32"/>
      <c r="H164" s="32"/>
    </row>
    <row r="165" spans="1:8" ht="15.75" hidden="1" customHeight="1">
      <c r="A165" s="1"/>
      <c r="B165" s="2"/>
      <c r="C165" s="1"/>
      <c r="D165" s="1"/>
      <c r="E165" s="1"/>
      <c r="F165" s="59"/>
      <c r="G165" s="32"/>
      <c r="H165" s="32"/>
    </row>
    <row r="166" spans="1:8" ht="15.75" hidden="1" customHeight="1">
      <c r="A166" s="1"/>
      <c r="B166" s="2"/>
      <c r="C166" s="1"/>
      <c r="D166" s="1"/>
      <c r="E166" s="1"/>
      <c r="F166" s="59"/>
      <c r="G166" s="32"/>
      <c r="H166" s="32"/>
    </row>
    <row r="167" spans="1:8" ht="15.75" hidden="1" customHeight="1">
      <c r="A167" s="1"/>
      <c r="B167" s="2"/>
      <c r="C167" s="1"/>
      <c r="D167" s="1"/>
      <c r="E167" s="1"/>
      <c r="F167" s="59"/>
      <c r="G167" s="32"/>
      <c r="H167" s="32"/>
    </row>
    <row r="168" spans="1:8" ht="15.75" hidden="1" customHeight="1">
      <c r="A168" s="1"/>
      <c r="B168" s="2"/>
      <c r="C168" s="1"/>
      <c r="D168" s="1"/>
      <c r="E168" s="1"/>
      <c r="F168" s="59"/>
      <c r="G168" s="32"/>
      <c r="H168" s="32"/>
    </row>
    <row r="169" spans="1:8" ht="15.75" hidden="1" customHeight="1">
      <c r="A169" s="1"/>
      <c r="B169" s="2"/>
      <c r="C169" s="1"/>
      <c r="D169" s="1"/>
      <c r="E169" s="1"/>
      <c r="F169" s="59"/>
      <c r="G169" s="32"/>
      <c r="H169" s="32"/>
    </row>
    <row r="170" spans="1:8" ht="15.75" hidden="1" customHeight="1">
      <c r="A170" s="1"/>
      <c r="B170" s="2"/>
      <c r="C170" s="1"/>
      <c r="D170" s="1"/>
      <c r="E170" s="1"/>
      <c r="F170" s="59"/>
      <c r="G170" s="32"/>
      <c r="H170" s="32"/>
    </row>
    <row r="171" spans="1:8" ht="15.75" hidden="1" customHeight="1">
      <c r="A171" s="1"/>
      <c r="B171" s="2"/>
      <c r="C171" s="1"/>
      <c r="D171" s="1"/>
      <c r="E171" s="1"/>
      <c r="F171" s="59"/>
      <c r="G171" s="32"/>
      <c r="H171" s="32"/>
    </row>
    <row r="172" spans="1:8" ht="15.75" hidden="1" customHeight="1">
      <c r="A172" s="1"/>
      <c r="B172" s="2"/>
      <c r="C172" s="1"/>
      <c r="D172" s="1"/>
      <c r="E172" s="1"/>
      <c r="F172" s="59"/>
      <c r="G172" s="32"/>
      <c r="H172" s="32"/>
    </row>
    <row r="173" spans="1:8" ht="15.75" hidden="1" customHeight="1">
      <c r="A173" s="1"/>
      <c r="B173" s="2"/>
      <c r="C173" s="1"/>
      <c r="D173" s="1"/>
      <c r="E173" s="1"/>
      <c r="F173" s="59"/>
      <c r="G173" s="32"/>
      <c r="H173" s="32"/>
    </row>
    <row r="174" spans="1:8" ht="15.75" hidden="1" customHeight="1">
      <c r="A174" s="1"/>
      <c r="B174" s="2"/>
      <c r="C174" s="1"/>
      <c r="D174" s="1"/>
      <c r="E174" s="1"/>
      <c r="F174" s="59"/>
      <c r="G174" s="32"/>
      <c r="H174" s="32"/>
    </row>
    <row r="175" spans="1:8" ht="15.75" hidden="1" customHeight="1">
      <c r="A175" s="1"/>
      <c r="B175" s="2"/>
      <c r="C175" s="1"/>
      <c r="D175" s="1"/>
      <c r="E175" s="1"/>
      <c r="F175" s="59"/>
      <c r="G175" s="32"/>
      <c r="H175" s="32"/>
    </row>
    <row r="176" spans="1:8" ht="15.75" hidden="1" customHeight="1">
      <c r="A176" s="1"/>
      <c r="B176" s="2"/>
      <c r="C176" s="1"/>
      <c r="D176" s="1"/>
      <c r="E176" s="1"/>
      <c r="F176" s="59"/>
      <c r="G176" s="32"/>
      <c r="H176" s="32"/>
    </row>
    <row r="177" spans="1:8" ht="15.75" hidden="1" customHeight="1">
      <c r="A177" s="1"/>
      <c r="B177" s="2"/>
      <c r="C177" s="1"/>
      <c r="D177" s="1"/>
      <c r="E177" s="1"/>
      <c r="F177" s="59"/>
      <c r="G177" s="32"/>
      <c r="H177" s="32"/>
    </row>
    <row r="178" spans="1:8" ht="15.75" hidden="1" customHeight="1">
      <c r="A178" s="1"/>
      <c r="B178" s="2"/>
      <c r="C178" s="1"/>
      <c r="D178" s="1"/>
      <c r="E178" s="1"/>
      <c r="F178" s="59"/>
      <c r="G178" s="32"/>
      <c r="H178" s="32"/>
    </row>
    <row r="179" spans="1:8" ht="15.75" hidden="1" customHeight="1">
      <c r="A179" s="1"/>
      <c r="B179" s="2"/>
      <c r="C179" s="1"/>
      <c r="D179" s="1"/>
      <c r="E179" s="1"/>
      <c r="F179" s="59"/>
      <c r="G179" s="32"/>
      <c r="H179" s="32"/>
    </row>
    <row r="180" spans="1:8" ht="15.75" hidden="1" customHeight="1">
      <c r="A180" s="1"/>
      <c r="B180" s="2"/>
      <c r="C180" s="1"/>
      <c r="D180" s="1"/>
      <c r="E180" s="1"/>
      <c r="F180" s="59"/>
      <c r="G180" s="32"/>
      <c r="H180" s="32"/>
    </row>
    <row r="181" spans="1:8" ht="15.75" hidden="1" customHeight="1">
      <c r="A181" s="1"/>
      <c r="B181" s="2"/>
      <c r="C181" s="1"/>
      <c r="D181" s="1"/>
      <c r="E181" s="1"/>
      <c r="F181" s="59"/>
      <c r="G181" s="32"/>
      <c r="H181" s="32"/>
    </row>
    <row r="182" spans="1:8" ht="15.75" hidden="1" customHeight="1">
      <c r="A182" s="1"/>
      <c r="B182" s="2"/>
      <c r="C182" s="1"/>
      <c r="D182" s="1"/>
      <c r="E182" s="1"/>
      <c r="F182" s="59"/>
      <c r="G182" s="32"/>
      <c r="H182" s="32"/>
    </row>
    <row r="183" spans="1:8" ht="15.75" hidden="1" customHeight="1">
      <c r="A183" s="1"/>
      <c r="B183" s="2"/>
      <c r="C183" s="1"/>
      <c r="D183" s="1"/>
      <c r="E183" s="1"/>
      <c r="F183" s="59"/>
      <c r="G183" s="32"/>
      <c r="H183" s="32"/>
    </row>
    <row r="184" spans="1:8" ht="15.75" hidden="1" customHeight="1">
      <c r="A184" s="1"/>
      <c r="B184" s="2"/>
      <c r="C184" s="1"/>
      <c r="D184" s="1"/>
      <c r="E184" s="1"/>
      <c r="F184" s="59"/>
      <c r="G184" s="32"/>
      <c r="H184" s="32"/>
    </row>
    <row r="185" spans="1:8" ht="15.75" hidden="1" customHeight="1">
      <c r="A185" s="1"/>
      <c r="B185" s="2"/>
      <c r="C185" s="1"/>
      <c r="D185" s="1"/>
      <c r="E185" s="1"/>
      <c r="F185" s="59"/>
      <c r="G185" s="32"/>
      <c r="H185" s="32"/>
    </row>
    <row r="186" spans="1:8" ht="15.75" hidden="1" customHeight="1">
      <c r="A186" s="1"/>
      <c r="B186" s="2"/>
      <c r="C186" s="1"/>
      <c r="D186" s="1"/>
      <c r="E186" s="1"/>
      <c r="F186" s="59"/>
      <c r="G186" s="32"/>
      <c r="H186" s="32"/>
    </row>
    <row r="187" spans="1:8" ht="15.75" hidden="1" customHeight="1">
      <c r="A187" s="1"/>
      <c r="B187" s="2"/>
      <c r="C187" s="1"/>
      <c r="D187" s="1"/>
      <c r="E187" s="1"/>
      <c r="F187" s="59"/>
      <c r="G187" s="32"/>
      <c r="H187" s="32"/>
    </row>
    <row r="188" spans="1:8" ht="15.75" hidden="1" customHeight="1">
      <c r="A188" s="1"/>
      <c r="B188" s="2"/>
      <c r="C188" s="1"/>
      <c r="D188" s="1"/>
      <c r="E188" s="1"/>
      <c r="F188" s="59"/>
      <c r="G188" s="32"/>
      <c r="H188" s="32"/>
    </row>
    <row r="189" spans="1:8" ht="15.75" hidden="1" customHeight="1">
      <c r="A189" s="1"/>
      <c r="B189" s="2"/>
      <c r="C189" s="1"/>
      <c r="D189" s="1"/>
      <c r="E189" s="1"/>
      <c r="F189" s="59"/>
      <c r="G189" s="32"/>
      <c r="H189" s="32"/>
    </row>
    <row r="190" spans="1:8" ht="15.75" hidden="1" customHeight="1">
      <c r="A190" s="1"/>
      <c r="B190" s="2"/>
      <c r="C190" s="1"/>
      <c r="D190" s="1"/>
      <c r="E190" s="1"/>
      <c r="F190" s="59"/>
      <c r="G190" s="32"/>
      <c r="H190" s="32"/>
    </row>
    <row r="191" spans="1:8" ht="15.75" hidden="1" customHeight="1">
      <c r="A191" s="1"/>
      <c r="B191" s="2"/>
      <c r="C191" s="1"/>
      <c r="D191" s="1"/>
      <c r="E191" s="1"/>
      <c r="F191" s="59"/>
      <c r="G191" s="32"/>
      <c r="H191" s="32"/>
    </row>
    <row r="192" spans="1:8" ht="15.75" hidden="1" customHeight="1">
      <c r="A192" s="1"/>
      <c r="B192" s="2"/>
      <c r="C192" s="1"/>
      <c r="D192" s="1"/>
      <c r="E192" s="1"/>
      <c r="F192" s="59"/>
      <c r="G192" s="32"/>
      <c r="H192" s="32"/>
    </row>
    <row r="193" spans="1:8" ht="15.75" hidden="1" customHeight="1">
      <c r="A193" s="1"/>
      <c r="B193" s="2"/>
      <c r="C193" s="1"/>
      <c r="D193" s="1"/>
      <c r="E193" s="1"/>
      <c r="F193" s="59"/>
      <c r="G193" s="32"/>
      <c r="H193" s="32"/>
    </row>
    <row r="194" spans="1:8" ht="15.75" hidden="1" customHeight="1">
      <c r="A194" s="1"/>
      <c r="B194" s="2"/>
      <c r="C194" s="1"/>
      <c r="D194" s="1"/>
      <c r="E194" s="1"/>
      <c r="F194" s="59"/>
      <c r="G194" s="32"/>
      <c r="H194" s="32"/>
    </row>
    <row r="195" spans="1:8" ht="15.75" hidden="1" customHeight="1">
      <c r="A195" s="1"/>
      <c r="B195" s="2"/>
      <c r="C195" s="1"/>
      <c r="D195" s="1"/>
      <c r="E195" s="1"/>
      <c r="F195" s="59"/>
      <c r="G195" s="32"/>
      <c r="H195" s="32"/>
    </row>
    <row r="196" spans="1:8" ht="15.75" hidden="1" customHeight="1">
      <c r="A196" s="1"/>
      <c r="B196" s="2"/>
      <c r="C196" s="1"/>
      <c r="D196" s="1"/>
      <c r="E196" s="1"/>
      <c r="F196" s="59"/>
      <c r="G196" s="32"/>
      <c r="H196" s="32"/>
    </row>
    <row r="197" spans="1:8" ht="15.75" hidden="1" customHeight="1">
      <c r="A197" s="1"/>
      <c r="B197" s="2"/>
      <c r="C197" s="1"/>
      <c r="D197" s="1"/>
      <c r="E197" s="1"/>
      <c r="F197" s="59"/>
      <c r="G197" s="32"/>
      <c r="H197" s="32"/>
    </row>
    <row r="198" spans="1:8" ht="15.75" hidden="1" customHeight="1">
      <c r="A198" s="1"/>
      <c r="B198" s="2"/>
      <c r="C198" s="1"/>
      <c r="D198" s="1"/>
      <c r="E198" s="1"/>
      <c r="F198" s="59"/>
      <c r="G198" s="32"/>
      <c r="H198" s="32"/>
    </row>
    <row r="199" spans="1:8" ht="15.75" hidden="1" customHeight="1">
      <c r="A199" s="1"/>
      <c r="B199" s="2"/>
      <c r="C199" s="1"/>
      <c r="D199" s="1"/>
      <c r="E199" s="1"/>
      <c r="F199" s="59"/>
      <c r="G199" s="32"/>
      <c r="H199" s="32"/>
    </row>
    <row r="200" spans="1:8" ht="15.75" hidden="1" customHeight="1">
      <c r="A200" s="1"/>
      <c r="B200" s="2"/>
      <c r="C200" s="1"/>
      <c r="D200" s="1"/>
      <c r="E200" s="1"/>
      <c r="F200" s="59"/>
      <c r="G200" s="32"/>
      <c r="H200" s="32"/>
    </row>
    <row r="201" spans="1:8" ht="15.75" hidden="1" customHeight="1">
      <c r="A201" s="1"/>
      <c r="B201" s="2"/>
      <c r="C201" s="1"/>
      <c r="D201" s="1"/>
      <c r="E201" s="1"/>
      <c r="F201" s="59"/>
      <c r="G201" s="32"/>
      <c r="H201" s="32"/>
    </row>
    <row r="202" spans="1:8" ht="15.75" hidden="1" customHeight="1">
      <c r="A202" s="1"/>
      <c r="B202" s="2"/>
      <c r="C202" s="1"/>
      <c r="D202" s="1"/>
      <c r="E202" s="1"/>
      <c r="F202" s="59"/>
      <c r="G202" s="32"/>
      <c r="H202" s="32"/>
    </row>
    <row r="203" spans="1:8" ht="15.75" hidden="1" customHeight="1">
      <c r="A203" s="1"/>
      <c r="B203" s="2"/>
      <c r="C203" s="1"/>
      <c r="D203" s="1"/>
      <c r="E203" s="1"/>
      <c r="F203" s="59"/>
      <c r="G203" s="32"/>
      <c r="H203" s="32"/>
    </row>
    <row r="204" spans="1:8" ht="15.75" hidden="1" customHeight="1">
      <c r="A204" s="1"/>
      <c r="B204" s="2"/>
      <c r="C204" s="1"/>
      <c r="D204" s="1"/>
      <c r="E204" s="1"/>
      <c r="F204" s="59"/>
      <c r="G204" s="32"/>
      <c r="H204" s="32"/>
    </row>
    <row r="205" spans="1:8" ht="15.75" hidden="1" customHeight="1">
      <c r="A205" s="1"/>
      <c r="B205" s="2"/>
      <c r="C205" s="1"/>
      <c r="D205" s="1"/>
      <c r="E205" s="1"/>
      <c r="F205" s="59"/>
      <c r="G205" s="32"/>
      <c r="H205" s="32"/>
    </row>
    <row r="206" spans="1:8" ht="15.75" hidden="1" customHeight="1">
      <c r="A206" s="1"/>
      <c r="B206" s="2"/>
      <c r="C206" s="1"/>
      <c r="D206" s="1"/>
      <c r="E206" s="1"/>
      <c r="F206" s="59"/>
      <c r="G206" s="32"/>
      <c r="H206" s="32"/>
    </row>
    <row r="207" spans="1:8" ht="15.75" hidden="1" customHeight="1">
      <c r="A207" s="1"/>
      <c r="B207" s="2"/>
      <c r="C207" s="1"/>
      <c r="D207" s="1"/>
      <c r="E207" s="1"/>
      <c r="F207" s="59"/>
      <c r="G207" s="32"/>
      <c r="H207" s="32"/>
    </row>
    <row r="208" spans="1:8" ht="15.75" hidden="1" customHeight="1">
      <c r="A208" s="1"/>
      <c r="B208" s="2"/>
      <c r="C208" s="1"/>
      <c r="D208" s="1"/>
      <c r="E208" s="1"/>
      <c r="F208" s="59"/>
      <c r="G208" s="32"/>
      <c r="H208" s="32"/>
    </row>
    <row r="209" spans="1:8" ht="15.75" hidden="1" customHeight="1">
      <c r="A209" s="1"/>
      <c r="B209" s="2"/>
      <c r="C209" s="1"/>
      <c r="D209" s="1"/>
      <c r="E209" s="1"/>
      <c r="F209" s="59"/>
      <c r="G209" s="32"/>
      <c r="H209" s="32"/>
    </row>
    <row r="210" spans="1:8" ht="15.75" hidden="1" customHeight="1">
      <c r="A210" s="1"/>
      <c r="B210" s="2"/>
      <c r="C210" s="1"/>
      <c r="D210" s="1"/>
      <c r="E210" s="1"/>
      <c r="F210" s="59"/>
      <c r="G210" s="32"/>
      <c r="H210" s="32"/>
    </row>
    <row r="211" spans="1:8" ht="15.75" hidden="1" customHeight="1">
      <c r="A211" s="1"/>
      <c r="B211" s="2"/>
      <c r="C211" s="1"/>
      <c r="D211" s="1"/>
      <c r="E211" s="1"/>
      <c r="F211" s="59"/>
      <c r="G211" s="32"/>
      <c r="H211" s="32"/>
    </row>
    <row r="212" spans="1:8" ht="15.75" hidden="1" customHeight="1">
      <c r="A212" s="1"/>
      <c r="B212" s="2"/>
      <c r="C212" s="1"/>
      <c r="D212" s="1"/>
      <c r="E212" s="1"/>
      <c r="F212" s="59"/>
      <c r="G212" s="32"/>
      <c r="H212" s="32"/>
    </row>
    <row r="213" spans="1:8" ht="15.75" hidden="1" customHeight="1">
      <c r="A213" s="1"/>
      <c r="B213" s="2"/>
      <c r="C213" s="1"/>
      <c r="D213" s="1"/>
      <c r="E213" s="1"/>
      <c r="F213" s="59"/>
      <c r="G213" s="32"/>
      <c r="H213" s="32"/>
    </row>
    <row r="214" spans="1:8" ht="15.75" hidden="1" customHeight="1">
      <c r="A214" s="1"/>
      <c r="B214" s="2"/>
      <c r="C214" s="1"/>
      <c r="D214" s="1"/>
      <c r="E214" s="1"/>
      <c r="F214" s="59"/>
      <c r="G214" s="32"/>
      <c r="H214" s="32"/>
    </row>
    <row r="215" spans="1:8" ht="15.75" hidden="1" customHeight="1">
      <c r="A215" s="1"/>
      <c r="B215" s="2"/>
      <c r="C215" s="1"/>
      <c r="D215" s="1"/>
      <c r="E215" s="1"/>
      <c r="F215" s="59"/>
      <c r="G215" s="32"/>
      <c r="H215" s="32"/>
    </row>
    <row r="216" spans="1:8" ht="15.75" hidden="1" customHeight="1">
      <c r="A216" s="1"/>
      <c r="B216" s="2"/>
      <c r="C216" s="1"/>
      <c r="D216" s="1"/>
      <c r="E216" s="1"/>
      <c r="F216" s="59"/>
      <c r="G216" s="32"/>
      <c r="H216" s="32"/>
    </row>
    <row r="217" spans="1:8" ht="15.75" hidden="1" customHeight="1">
      <c r="A217" s="1"/>
      <c r="B217" s="2"/>
      <c r="C217" s="1"/>
      <c r="D217" s="1"/>
      <c r="E217" s="1"/>
      <c r="F217" s="59"/>
      <c r="G217" s="32"/>
      <c r="H217" s="32"/>
    </row>
    <row r="218" spans="1:8" ht="15.75" hidden="1" customHeight="1">
      <c r="A218" s="1"/>
      <c r="B218" s="2"/>
      <c r="C218" s="1"/>
      <c r="D218" s="1"/>
      <c r="E218" s="1"/>
      <c r="F218" s="59"/>
      <c r="G218" s="32"/>
      <c r="H218" s="32"/>
    </row>
    <row r="219" spans="1:8" ht="15.75" hidden="1" customHeight="1">
      <c r="A219" s="1"/>
      <c r="B219" s="2"/>
      <c r="C219" s="1"/>
      <c r="D219" s="1"/>
      <c r="E219" s="1"/>
      <c r="F219" s="59"/>
      <c r="G219" s="32"/>
      <c r="H219" s="32"/>
    </row>
    <row r="220" spans="1:8" ht="15.75" hidden="1" customHeight="1">
      <c r="A220" s="1"/>
      <c r="B220" s="2"/>
      <c r="C220" s="1"/>
      <c r="D220" s="1"/>
      <c r="E220" s="1"/>
      <c r="F220" s="59"/>
      <c r="G220" s="32"/>
      <c r="H220" s="32"/>
    </row>
    <row r="221" spans="1:8" ht="15.75" hidden="1" customHeight="1">
      <c r="A221" s="1"/>
      <c r="B221" s="2"/>
      <c r="C221" s="1"/>
      <c r="D221" s="1"/>
      <c r="E221" s="1"/>
      <c r="F221" s="59"/>
      <c r="G221" s="32"/>
      <c r="H221" s="32"/>
    </row>
    <row r="222" spans="1:8" ht="15.75" hidden="1" customHeight="1">
      <c r="A222" s="1"/>
      <c r="B222" s="2"/>
      <c r="C222" s="1"/>
      <c r="D222" s="1"/>
      <c r="E222" s="1"/>
      <c r="F222" s="59"/>
      <c r="G222" s="32"/>
      <c r="H222" s="32"/>
    </row>
    <row r="223" spans="1:8" ht="15.75" hidden="1" customHeight="1">
      <c r="A223" s="1"/>
      <c r="B223" s="2"/>
      <c r="C223" s="1"/>
      <c r="D223" s="1"/>
      <c r="E223" s="1"/>
      <c r="F223" s="59"/>
      <c r="G223" s="32"/>
      <c r="H223" s="32"/>
    </row>
    <row r="224" spans="1:8" ht="15.75" hidden="1" customHeight="1">
      <c r="A224" s="1"/>
      <c r="B224" s="2"/>
      <c r="C224" s="1"/>
      <c r="D224" s="1"/>
      <c r="E224" s="1"/>
      <c r="F224" s="59"/>
      <c r="G224" s="32"/>
      <c r="H224" s="32"/>
    </row>
    <row r="225" spans="1:8" ht="15.75" hidden="1" customHeight="1">
      <c r="A225" s="1"/>
      <c r="B225" s="2"/>
      <c r="C225" s="1"/>
      <c r="D225" s="1"/>
      <c r="E225" s="1"/>
      <c r="F225" s="59"/>
      <c r="G225" s="32"/>
      <c r="H225" s="32"/>
    </row>
    <row r="226" spans="1:8" ht="15.75" hidden="1" customHeight="1">
      <c r="A226" s="1"/>
      <c r="B226" s="2"/>
      <c r="C226" s="1"/>
      <c r="D226" s="1"/>
      <c r="E226" s="1"/>
      <c r="F226" s="59"/>
      <c r="G226" s="32"/>
      <c r="H226" s="32"/>
    </row>
    <row r="227" spans="1:8" ht="15.75" hidden="1" customHeight="1">
      <c r="A227" s="1"/>
      <c r="B227" s="2"/>
      <c r="C227" s="1"/>
      <c r="D227" s="1"/>
      <c r="E227" s="1"/>
      <c r="F227" s="59"/>
      <c r="G227" s="32"/>
      <c r="H227" s="32"/>
    </row>
    <row r="228" spans="1:8" ht="15.75" hidden="1" customHeight="1">
      <c r="A228" s="1"/>
      <c r="B228" s="2"/>
      <c r="C228" s="1"/>
      <c r="D228" s="1"/>
      <c r="E228" s="1"/>
      <c r="F228" s="59"/>
      <c r="G228" s="32"/>
      <c r="H228" s="32"/>
    </row>
    <row r="229" spans="1:8" ht="15.75" hidden="1" customHeight="1">
      <c r="A229" s="1"/>
      <c r="B229" s="2"/>
      <c r="C229" s="1"/>
      <c r="D229" s="1"/>
      <c r="F229" s="59"/>
      <c r="G229" s="32"/>
      <c r="H229" s="32"/>
    </row>
    <row r="230" spans="1:8" ht="15.75" hidden="1" customHeight="1">
      <c r="A230" s="1"/>
      <c r="B230" s="2"/>
      <c r="C230" s="1"/>
      <c r="D230" s="1"/>
      <c r="E230" s="1"/>
      <c r="F230" s="59"/>
      <c r="G230" s="32"/>
      <c r="H230" s="32"/>
    </row>
    <row r="231" spans="1:8" ht="15.75" hidden="1" customHeight="1">
      <c r="A231" s="1"/>
      <c r="B231" s="2"/>
      <c r="C231" s="1"/>
      <c r="D231" s="1"/>
      <c r="E231" s="1"/>
      <c r="F231" s="59"/>
      <c r="G231" s="32"/>
      <c r="H231" s="32"/>
    </row>
    <row r="232" spans="1:8" ht="15.75" hidden="1" customHeight="1">
      <c r="A232" s="1"/>
      <c r="B232" s="2"/>
      <c r="C232" s="1"/>
      <c r="D232" s="1"/>
      <c r="E232" s="1"/>
      <c r="F232" s="59"/>
      <c r="G232" s="32"/>
      <c r="H232" s="32"/>
    </row>
    <row r="233" spans="1:8" ht="15.75" hidden="1" customHeight="1">
      <c r="A233" s="1"/>
      <c r="B233" s="2"/>
      <c r="C233" s="1"/>
      <c r="D233" s="1"/>
      <c r="E233" s="1"/>
      <c r="F233" s="59"/>
      <c r="G233" s="32"/>
      <c r="H233" s="32"/>
    </row>
    <row r="234" spans="1:8" ht="15.75" hidden="1" customHeight="1">
      <c r="A234" s="1"/>
      <c r="B234" s="2"/>
      <c r="C234" s="1"/>
      <c r="D234" s="1"/>
      <c r="E234" s="1"/>
      <c r="F234" s="59"/>
      <c r="G234" s="32"/>
      <c r="H234" s="32"/>
    </row>
    <row r="235" spans="1:8" ht="15.75" hidden="1" customHeight="1">
      <c r="A235" s="1"/>
      <c r="B235" s="2"/>
      <c r="C235" s="1"/>
      <c r="D235" s="1"/>
      <c r="E235" s="1"/>
      <c r="F235" s="59"/>
      <c r="G235" s="32"/>
      <c r="H235" s="32"/>
    </row>
    <row r="236" spans="1:8" ht="15.75" hidden="1" customHeight="1">
      <c r="A236" s="1"/>
      <c r="B236" s="2"/>
      <c r="C236" s="1"/>
      <c r="D236" s="1"/>
      <c r="E236" s="1"/>
      <c r="F236" s="59"/>
      <c r="G236" s="32"/>
      <c r="H236" s="32"/>
    </row>
    <row r="237" spans="1:8" ht="15.75" hidden="1" customHeight="1">
      <c r="A237" s="1"/>
      <c r="B237" s="2"/>
      <c r="C237" s="1"/>
      <c r="D237" s="1"/>
      <c r="E237" s="1"/>
      <c r="F237" s="59"/>
      <c r="G237" s="32"/>
      <c r="H237" s="32"/>
    </row>
    <row r="238" spans="1:8" ht="15.75" hidden="1" customHeight="1">
      <c r="A238" s="1"/>
      <c r="B238" s="2"/>
      <c r="C238" s="1"/>
      <c r="D238" s="1"/>
      <c r="E238" s="1"/>
      <c r="F238" s="59"/>
      <c r="G238" s="32"/>
      <c r="H238" s="32"/>
    </row>
    <row r="239" spans="1:8" ht="15.75" hidden="1" customHeight="1">
      <c r="A239" s="1"/>
      <c r="B239" s="2"/>
      <c r="C239" s="1"/>
      <c r="D239" s="1"/>
      <c r="E239" s="1"/>
      <c r="F239" s="59"/>
      <c r="G239" s="32"/>
      <c r="H239" s="32"/>
    </row>
    <row r="240" spans="1:8" ht="15.75" hidden="1" customHeight="1">
      <c r="A240" s="1"/>
      <c r="B240" s="2"/>
      <c r="C240" s="1"/>
      <c r="D240" s="1"/>
      <c r="E240" s="1"/>
      <c r="F240" s="59"/>
      <c r="G240" s="32"/>
      <c r="H240" s="32"/>
    </row>
    <row r="241" spans="1:8" ht="15.75" hidden="1" customHeight="1">
      <c r="A241" s="1"/>
      <c r="B241" s="2"/>
      <c r="C241" s="1"/>
      <c r="D241" s="1"/>
      <c r="E241" s="1"/>
      <c r="F241" s="59"/>
      <c r="G241" s="32"/>
      <c r="H241" s="32"/>
    </row>
    <row r="242" spans="1:8" ht="15.75" hidden="1" customHeight="1">
      <c r="A242" s="1"/>
      <c r="B242" s="2"/>
      <c r="C242" s="1"/>
      <c r="D242" s="1"/>
      <c r="E242" s="1"/>
      <c r="F242" s="59"/>
      <c r="G242" s="32"/>
      <c r="H242" s="32"/>
    </row>
    <row r="243" spans="1:8" ht="15.75" hidden="1" customHeight="1">
      <c r="A243" s="1"/>
      <c r="B243" s="2"/>
      <c r="C243" s="1"/>
      <c r="D243" s="1"/>
      <c r="E243" s="1"/>
      <c r="F243" s="59"/>
      <c r="G243" s="32"/>
      <c r="H243" s="32"/>
    </row>
    <row r="244" spans="1:8" ht="15.75" hidden="1" customHeight="1">
      <c r="A244" s="1"/>
      <c r="B244" s="2"/>
      <c r="C244" s="1"/>
      <c r="D244" s="1"/>
      <c r="E244" s="1"/>
      <c r="F244" s="59"/>
      <c r="G244" s="32"/>
      <c r="H244" s="32"/>
    </row>
    <row r="245" spans="1:8" ht="15.75" hidden="1" customHeight="1">
      <c r="A245" s="1"/>
      <c r="B245" s="2"/>
      <c r="C245" s="1"/>
      <c r="D245" s="1"/>
      <c r="E245" s="1"/>
      <c r="F245" s="59"/>
      <c r="G245" s="32"/>
      <c r="H245" s="32"/>
    </row>
    <row r="246" spans="1:8" ht="15.75" hidden="1" customHeight="1">
      <c r="A246" s="1"/>
      <c r="B246" s="2"/>
      <c r="C246" s="1"/>
      <c r="D246" s="1"/>
      <c r="E246" s="1"/>
      <c r="F246" s="59"/>
      <c r="G246" s="32"/>
      <c r="H246" s="32"/>
    </row>
    <row r="247" spans="1:8" ht="15.75" hidden="1" customHeight="1">
      <c r="A247" s="1"/>
      <c r="B247" s="2"/>
      <c r="C247" s="1"/>
      <c r="D247" s="1"/>
      <c r="E247" s="1"/>
      <c r="F247" s="59"/>
      <c r="G247" s="32"/>
      <c r="H247" s="32"/>
    </row>
    <row r="248" spans="1:8" ht="15.75" hidden="1" customHeight="1">
      <c r="A248" s="1"/>
      <c r="B248" s="2"/>
      <c r="C248" s="1"/>
      <c r="D248" s="1"/>
      <c r="E248" s="1"/>
      <c r="F248" s="59"/>
      <c r="G248" s="32"/>
      <c r="H248" s="32"/>
    </row>
    <row r="249" spans="1:8" ht="15.75" hidden="1" customHeight="1">
      <c r="A249" s="1"/>
      <c r="B249" s="2"/>
      <c r="C249" s="1"/>
      <c r="D249" s="1"/>
      <c r="E249" s="1"/>
      <c r="F249" s="59"/>
      <c r="G249" s="32"/>
      <c r="H249" s="32"/>
    </row>
    <row r="250" spans="1:8" ht="15.75" hidden="1" customHeight="1">
      <c r="A250" s="1"/>
      <c r="B250" s="2"/>
      <c r="C250" s="1"/>
      <c r="D250" s="1"/>
      <c r="E250" s="1"/>
      <c r="F250" s="59"/>
      <c r="G250" s="32"/>
      <c r="H250" s="32"/>
    </row>
    <row r="251" spans="1:8" ht="15.75" hidden="1" customHeight="1">
      <c r="A251" s="1"/>
      <c r="B251" s="2"/>
      <c r="C251" s="1"/>
      <c r="D251" s="1"/>
      <c r="E251" s="1"/>
      <c r="F251" s="59"/>
      <c r="G251" s="32"/>
      <c r="H251" s="32"/>
    </row>
    <row r="252" spans="1:8" ht="15.75" hidden="1" customHeight="1">
      <c r="A252" s="1"/>
      <c r="B252" s="2"/>
      <c r="C252" s="1"/>
      <c r="D252" s="1"/>
      <c r="E252" s="1"/>
      <c r="F252" s="59"/>
      <c r="G252" s="32"/>
      <c r="H252" s="32"/>
    </row>
    <row r="253" spans="1:8" ht="15.75" hidden="1" customHeight="1">
      <c r="A253" s="1"/>
      <c r="B253" s="2"/>
      <c r="C253" s="1"/>
      <c r="D253" s="1"/>
      <c r="E253" s="1"/>
      <c r="F253" s="59"/>
      <c r="G253" s="32"/>
      <c r="H253" s="32"/>
    </row>
    <row r="254" spans="1:8" ht="15.75" hidden="1" customHeight="1">
      <c r="A254" s="1"/>
      <c r="B254" s="2"/>
      <c r="C254" s="1"/>
      <c r="D254" s="1"/>
      <c r="E254" s="1"/>
      <c r="F254" s="59"/>
      <c r="G254" s="32"/>
      <c r="H254" s="32"/>
    </row>
    <row r="255" spans="1:8" ht="15.75" hidden="1" customHeight="1">
      <c r="A255" s="1"/>
      <c r="B255" s="2"/>
      <c r="C255" s="1"/>
      <c r="D255" s="1"/>
      <c r="E255" s="1"/>
      <c r="F255" s="59"/>
      <c r="G255" s="32"/>
      <c r="H255" s="32"/>
    </row>
    <row r="256" spans="1:8" ht="15.75" hidden="1" customHeight="1">
      <c r="A256" s="1"/>
      <c r="B256" s="2"/>
      <c r="C256" s="1"/>
      <c r="D256" s="1"/>
      <c r="E256" s="1"/>
      <c r="F256" s="59"/>
      <c r="G256" s="32"/>
      <c r="H256" s="32"/>
    </row>
    <row r="257" spans="1:8" ht="15.75" hidden="1" customHeight="1">
      <c r="A257" s="1"/>
      <c r="B257" s="2"/>
      <c r="C257" s="1"/>
      <c r="D257" s="1"/>
      <c r="E257" s="1"/>
      <c r="F257" s="59"/>
      <c r="G257" s="32"/>
      <c r="H257" s="32"/>
    </row>
    <row r="258" spans="1:8" ht="15.75" hidden="1" customHeight="1">
      <c r="A258" s="1"/>
      <c r="B258" s="2"/>
      <c r="C258" s="1"/>
      <c r="D258" s="1"/>
      <c r="E258" s="1"/>
      <c r="F258" s="59"/>
      <c r="G258" s="32"/>
      <c r="H258" s="32"/>
    </row>
    <row r="259" spans="1:8" ht="15.75" hidden="1" customHeight="1">
      <c r="A259" s="1"/>
      <c r="B259" s="2"/>
      <c r="C259" s="1"/>
      <c r="D259" s="1"/>
      <c r="E259" s="1"/>
      <c r="F259" s="59"/>
      <c r="G259" s="32"/>
      <c r="H259" s="32"/>
    </row>
    <row r="260" spans="1:8" ht="15.75" hidden="1" customHeight="1">
      <c r="A260" s="1"/>
      <c r="B260" s="2"/>
      <c r="C260" s="1"/>
      <c r="D260" s="1"/>
      <c r="E260" s="1"/>
      <c r="F260" s="59"/>
      <c r="G260" s="32"/>
      <c r="H260" s="32"/>
    </row>
    <row r="261" spans="1:8" ht="15.75" hidden="1" customHeight="1">
      <c r="A261" s="1"/>
      <c r="B261" s="2"/>
      <c r="C261" s="1"/>
      <c r="D261" s="1"/>
      <c r="E261" s="1"/>
      <c r="F261" s="59"/>
      <c r="G261" s="32"/>
      <c r="H261" s="32"/>
    </row>
    <row r="262" spans="1:8" ht="15.75" hidden="1" customHeight="1">
      <c r="A262" s="1"/>
      <c r="B262" s="2"/>
      <c r="C262" s="1"/>
      <c r="D262" s="1"/>
      <c r="E262" s="1"/>
      <c r="F262" s="59"/>
      <c r="G262" s="32"/>
      <c r="H262" s="32"/>
    </row>
    <row r="263" spans="1:8" ht="15.75" hidden="1" customHeight="1">
      <c r="A263" s="1"/>
      <c r="B263" s="2"/>
      <c r="C263" s="1"/>
      <c r="D263" s="1"/>
      <c r="E263" s="1"/>
      <c r="F263" s="59"/>
      <c r="G263" s="32"/>
      <c r="H263" s="32"/>
    </row>
    <row r="264" spans="1:8" ht="15.75" hidden="1" customHeight="1">
      <c r="A264" s="1"/>
      <c r="B264" s="2"/>
      <c r="C264" s="1"/>
      <c r="D264" s="1"/>
      <c r="E264" s="1"/>
      <c r="F264" s="59"/>
      <c r="G264" s="32"/>
      <c r="H264" s="32"/>
    </row>
    <row r="265" spans="1:8" ht="15.75" hidden="1" customHeight="1">
      <c r="A265" s="1"/>
      <c r="B265" s="2"/>
      <c r="C265" s="1"/>
      <c r="D265" s="1"/>
      <c r="E265" s="1"/>
      <c r="F265" s="59"/>
      <c r="G265" s="32"/>
      <c r="H265" s="32"/>
    </row>
    <row r="266" spans="1:8" ht="15.75" hidden="1" customHeight="1">
      <c r="A266" s="1"/>
      <c r="B266" s="2"/>
      <c r="C266" s="1"/>
      <c r="D266" s="1"/>
      <c r="E266" s="1"/>
      <c r="F266" s="59"/>
      <c r="G266" s="32"/>
      <c r="H266" s="32"/>
    </row>
    <row r="267" spans="1:8" ht="15.75" hidden="1" customHeight="1">
      <c r="A267" s="1"/>
      <c r="B267" s="2"/>
      <c r="C267" s="1"/>
      <c r="D267" s="1"/>
      <c r="E267" s="1"/>
      <c r="F267" s="59"/>
      <c r="G267" s="32"/>
      <c r="H267" s="32"/>
    </row>
    <row r="268" spans="1:8" ht="15.75" hidden="1" customHeight="1">
      <c r="A268" s="1"/>
      <c r="B268" s="2"/>
      <c r="C268" s="1"/>
      <c r="D268" s="1"/>
      <c r="E268" s="1"/>
      <c r="F268" s="59"/>
      <c r="G268" s="32"/>
      <c r="H268" s="32"/>
    </row>
    <row r="269" spans="1:8" ht="15.75" hidden="1" customHeight="1">
      <c r="A269" s="1"/>
      <c r="B269" s="2"/>
      <c r="C269" s="1"/>
      <c r="D269" s="1"/>
      <c r="E269" s="1"/>
      <c r="F269" s="59"/>
      <c r="G269" s="32"/>
      <c r="H269" s="32"/>
    </row>
    <row r="270" spans="1:8" ht="15.75" hidden="1" customHeight="1">
      <c r="A270" s="1"/>
      <c r="B270" s="2"/>
      <c r="C270" s="1"/>
      <c r="D270" s="1"/>
      <c r="E270" s="1"/>
      <c r="F270" s="59"/>
      <c r="G270" s="32"/>
      <c r="H270" s="32"/>
    </row>
    <row r="271" spans="1:8" ht="15.75" hidden="1" customHeight="1">
      <c r="A271" s="1"/>
      <c r="B271" s="2"/>
      <c r="C271" s="1"/>
      <c r="D271" s="1"/>
      <c r="E271" s="1"/>
      <c r="F271" s="59"/>
      <c r="G271" s="32"/>
      <c r="H271" s="32"/>
    </row>
    <row r="272" spans="1:8" ht="15.75" hidden="1" customHeight="1">
      <c r="A272" s="1"/>
      <c r="B272" s="2"/>
      <c r="C272" s="1"/>
      <c r="D272" s="1"/>
      <c r="E272" s="1"/>
      <c r="F272" s="59"/>
      <c r="G272" s="32"/>
      <c r="H272" s="32"/>
    </row>
    <row r="273" spans="1:8" ht="15.75" hidden="1" customHeight="1">
      <c r="A273" s="1"/>
      <c r="B273" s="2"/>
      <c r="C273" s="1"/>
      <c r="D273" s="1"/>
      <c r="E273" s="1"/>
      <c r="F273" s="59"/>
      <c r="G273" s="32"/>
      <c r="H273" s="32"/>
    </row>
    <row r="274" spans="1:8" ht="15.75" hidden="1" customHeight="1">
      <c r="A274" s="1"/>
      <c r="B274" s="2"/>
      <c r="C274" s="1"/>
      <c r="D274" s="1"/>
      <c r="E274" s="1"/>
      <c r="F274" s="59"/>
      <c r="G274" s="32"/>
      <c r="H274" s="32"/>
    </row>
    <row r="275" spans="1:8" ht="15.75" hidden="1" customHeight="1">
      <c r="A275" s="1"/>
      <c r="B275" s="2"/>
      <c r="C275" s="1"/>
      <c r="D275" s="1"/>
      <c r="E275" s="1"/>
      <c r="F275" s="59"/>
      <c r="G275" s="32"/>
      <c r="H275" s="32"/>
    </row>
    <row r="276" spans="1:8" ht="15.75" hidden="1" customHeight="1">
      <c r="A276" s="1"/>
      <c r="B276" s="2"/>
      <c r="C276" s="1"/>
      <c r="D276" s="1"/>
      <c r="E276" s="1"/>
      <c r="F276" s="59"/>
      <c r="G276" s="32"/>
      <c r="H276" s="32"/>
    </row>
    <row r="277" spans="1:8" ht="15.75" hidden="1" customHeight="1">
      <c r="A277" s="1"/>
      <c r="B277" s="2"/>
      <c r="C277" s="1"/>
      <c r="D277" s="1"/>
      <c r="E277" s="1"/>
      <c r="F277" s="59"/>
      <c r="G277" s="32"/>
      <c r="H277" s="32"/>
    </row>
    <row r="278" spans="1:8" ht="15.75" hidden="1" customHeight="1">
      <c r="A278" s="1"/>
      <c r="B278" s="2"/>
      <c r="C278" s="1"/>
      <c r="D278" s="1"/>
      <c r="E278" s="1"/>
      <c r="F278" s="59"/>
      <c r="G278" s="32"/>
      <c r="H278" s="32"/>
    </row>
    <row r="279" spans="1:8" ht="15.75" hidden="1" customHeight="1">
      <c r="A279" s="1"/>
      <c r="B279" s="2"/>
      <c r="C279" s="1"/>
      <c r="D279" s="1"/>
      <c r="E279" s="1"/>
      <c r="F279" s="59"/>
      <c r="G279" s="32"/>
      <c r="H279" s="32"/>
    </row>
    <row r="280" spans="1:8" ht="15.75" hidden="1" customHeight="1">
      <c r="A280" s="1"/>
      <c r="B280" s="2"/>
      <c r="C280" s="1"/>
      <c r="D280" s="1"/>
      <c r="E280" s="1"/>
      <c r="F280" s="59"/>
      <c r="G280" s="32"/>
      <c r="H280" s="32"/>
    </row>
    <row r="281" spans="1:8" ht="15.75" hidden="1" customHeight="1">
      <c r="A281" s="1"/>
      <c r="B281" s="2"/>
      <c r="C281" s="1"/>
      <c r="D281" s="1"/>
      <c r="E281" s="1"/>
      <c r="F281" s="59"/>
      <c r="G281" s="32"/>
      <c r="H281" s="32"/>
    </row>
    <row r="282" spans="1:8" ht="15.75" hidden="1" customHeight="1">
      <c r="A282" s="1"/>
      <c r="B282" s="2"/>
      <c r="C282" s="1"/>
      <c r="D282" s="1"/>
      <c r="E282" s="1"/>
      <c r="F282" s="59"/>
      <c r="G282" s="32"/>
      <c r="H282" s="32"/>
    </row>
    <row r="283" spans="1:8" ht="15.75" hidden="1" customHeight="1">
      <c r="A283" s="1"/>
      <c r="B283" s="2"/>
      <c r="C283" s="1"/>
      <c r="D283" s="1"/>
      <c r="E283" s="1"/>
      <c r="F283" s="59"/>
      <c r="G283" s="32"/>
      <c r="H283" s="32"/>
    </row>
    <row r="284" spans="1:8" ht="15.75" hidden="1" customHeight="1">
      <c r="A284" s="1"/>
      <c r="B284" s="2"/>
      <c r="C284" s="1"/>
      <c r="D284" s="1"/>
      <c r="E284" s="1"/>
      <c r="F284" s="59"/>
      <c r="G284" s="32"/>
      <c r="H284" s="32"/>
    </row>
    <row r="285" spans="1:8" ht="15.75" hidden="1" customHeight="1">
      <c r="A285" s="1"/>
      <c r="B285" s="2"/>
      <c r="C285" s="1"/>
      <c r="D285" s="1"/>
      <c r="E285" s="1"/>
      <c r="F285" s="59"/>
      <c r="G285" s="32"/>
      <c r="H285" s="32"/>
    </row>
    <row r="286" spans="1:8" ht="15.75" hidden="1" customHeight="1">
      <c r="A286" s="1"/>
      <c r="B286" s="2"/>
      <c r="C286" s="1"/>
      <c r="D286" s="1"/>
      <c r="E286" s="1"/>
      <c r="F286" s="59"/>
      <c r="G286" s="32"/>
      <c r="H286" s="32"/>
    </row>
    <row r="287" spans="1:8" ht="15.75" hidden="1" customHeight="1">
      <c r="A287" s="1"/>
      <c r="B287" s="2"/>
      <c r="C287" s="1"/>
      <c r="D287" s="1"/>
      <c r="E287" s="1"/>
      <c r="F287" s="59"/>
      <c r="G287" s="32"/>
      <c r="H287" s="32"/>
    </row>
    <row r="288" spans="1:8" ht="15.75" hidden="1" customHeight="1">
      <c r="A288" s="1"/>
      <c r="B288" s="2"/>
      <c r="C288" s="1"/>
      <c r="D288" s="1"/>
      <c r="E288" s="1"/>
      <c r="F288" s="59"/>
      <c r="G288" s="32"/>
      <c r="H288" s="32"/>
    </row>
    <row r="289" spans="1:8" ht="15.75" hidden="1" customHeight="1">
      <c r="A289" s="1"/>
      <c r="B289" s="2"/>
      <c r="C289" s="1"/>
      <c r="D289" s="1"/>
      <c r="E289" s="1"/>
      <c r="F289" s="59"/>
      <c r="G289" s="32"/>
      <c r="H289" s="32"/>
    </row>
    <row r="290" spans="1:8" ht="15.75" hidden="1" customHeight="1">
      <c r="A290" s="1"/>
      <c r="B290" s="2"/>
      <c r="C290" s="1"/>
      <c r="D290" s="1"/>
      <c r="E290" s="1"/>
      <c r="F290" s="59"/>
      <c r="G290" s="32"/>
      <c r="H290" s="32"/>
    </row>
    <row r="291" spans="1:8" ht="15.75" hidden="1" customHeight="1">
      <c r="A291" s="1"/>
      <c r="B291" s="2"/>
      <c r="C291" s="1"/>
      <c r="D291" s="1"/>
      <c r="E291" s="1"/>
      <c r="F291" s="59"/>
      <c r="G291" s="32"/>
      <c r="H291" s="32"/>
    </row>
    <row r="292" spans="1:8" ht="15.75" hidden="1" customHeight="1">
      <c r="A292" s="1"/>
      <c r="B292" s="2"/>
      <c r="C292" s="1"/>
      <c r="D292" s="1"/>
      <c r="E292" s="1"/>
      <c r="F292" s="59"/>
      <c r="G292" s="32"/>
      <c r="H292" s="32"/>
    </row>
    <row r="293" spans="1:8" ht="15.75" hidden="1" customHeight="1">
      <c r="A293" s="1"/>
      <c r="B293" s="2"/>
      <c r="C293" s="1"/>
      <c r="D293" s="1"/>
      <c r="E293" s="1"/>
      <c r="F293" s="59"/>
      <c r="G293" s="32"/>
      <c r="H293" s="32"/>
    </row>
    <row r="294" spans="1:8" ht="15.75" hidden="1" customHeight="1">
      <c r="A294" s="1"/>
      <c r="B294" s="2"/>
      <c r="C294" s="1"/>
      <c r="D294" s="1"/>
      <c r="E294" s="1"/>
      <c r="F294" s="59"/>
      <c r="G294" s="32"/>
      <c r="H294" s="32"/>
    </row>
    <row r="295" spans="1:8" ht="15.75" hidden="1" customHeight="1">
      <c r="A295" s="1"/>
      <c r="B295" s="2"/>
      <c r="C295" s="1"/>
      <c r="D295" s="1"/>
      <c r="E295" s="1"/>
      <c r="F295" s="59"/>
      <c r="G295" s="32"/>
      <c r="H295" s="32"/>
    </row>
    <row r="296" spans="1:8" ht="15.75" hidden="1" customHeight="1">
      <c r="A296" s="1"/>
      <c r="B296" s="2"/>
      <c r="C296" s="1"/>
      <c r="D296" s="1"/>
      <c r="E296" s="1"/>
      <c r="F296" s="59"/>
      <c r="G296" s="32"/>
      <c r="H296" s="32"/>
    </row>
    <row r="297" spans="1:8" ht="15.75" hidden="1" customHeight="1">
      <c r="A297" s="1"/>
      <c r="B297" s="2"/>
      <c r="C297" s="1"/>
      <c r="D297" s="1"/>
      <c r="E297" s="1"/>
      <c r="F297" s="59"/>
      <c r="G297" s="32"/>
      <c r="H297" s="32"/>
    </row>
    <row r="298" spans="1:8" ht="15.75" hidden="1" customHeight="1">
      <c r="A298" s="1"/>
      <c r="B298" s="2"/>
      <c r="C298" s="1"/>
      <c r="D298" s="1"/>
      <c r="E298" s="1"/>
      <c r="F298" s="59"/>
      <c r="G298" s="32"/>
      <c r="H298" s="32"/>
    </row>
    <row r="299" spans="1:8" ht="15.75" hidden="1" customHeight="1">
      <c r="A299" s="1"/>
      <c r="B299" s="2"/>
      <c r="C299" s="1"/>
      <c r="D299" s="1"/>
      <c r="E299" s="1"/>
      <c r="F299" s="59"/>
      <c r="G299" s="32"/>
      <c r="H299" s="32"/>
    </row>
    <row r="300" spans="1:8" ht="15.75" hidden="1" customHeight="1">
      <c r="A300" s="1"/>
      <c r="B300" s="2"/>
      <c r="C300" s="1"/>
      <c r="D300" s="1"/>
      <c r="E300" s="1"/>
      <c r="F300" s="59"/>
      <c r="G300" s="32"/>
      <c r="H300" s="32"/>
    </row>
    <row r="301" spans="1:8" ht="15.75" hidden="1" customHeight="1">
      <c r="A301" s="1"/>
      <c r="B301" s="2"/>
      <c r="C301" s="1"/>
      <c r="D301" s="1"/>
      <c r="E301" s="1"/>
      <c r="F301" s="59"/>
      <c r="G301" s="32"/>
      <c r="H301" s="32"/>
    </row>
    <row r="302" spans="1:8" ht="15.75" hidden="1" customHeight="1">
      <c r="A302" s="1"/>
      <c r="B302" s="2"/>
      <c r="C302" s="1"/>
      <c r="D302" s="1"/>
      <c r="E302" s="1"/>
      <c r="F302" s="59"/>
      <c r="G302" s="32"/>
      <c r="H302" s="32"/>
    </row>
    <row r="303" spans="1:8" ht="15.75" hidden="1" customHeight="1">
      <c r="A303" s="1"/>
      <c r="B303" s="2"/>
      <c r="C303" s="1"/>
      <c r="D303" s="1"/>
      <c r="E303" s="1"/>
      <c r="F303" s="59"/>
      <c r="G303" s="32"/>
      <c r="H303" s="32"/>
    </row>
    <row r="304" spans="1:8" ht="15.75" hidden="1" customHeight="1">
      <c r="A304" s="1"/>
      <c r="B304" s="2"/>
      <c r="C304" s="1"/>
      <c r="D304" s="1"/>
      <c r="E304" s="1"/>
      <c r="F304" s="59"/>
      <c r="G304" s="32"/>
      <c r="H304" s="32"/>
    </row>
    <row r="305" spans="1:8" ht="15.75" hidden="1" customHeight="1">
      <c r="A305" s="1"/>
      <c r="B305" s="2"/>
      <c r="C305" s="1"/>
      <c r="D305" s="1"/>
      <c r="E305" s="1"/>
      <c r="F305" s="59"/>
      <c r="G305" s="32"/>
      <c r="H305" s="32"/>
    </row>
    <row r="306" spans="1:8" ht="15.75" hidden="1" customHeight="1">
      <c r="A306" s="1"/>
      <c r="B306" s="2"/>
      <c r="C306" s="1"/>
      <c r="D306" s="1"/>
      <c r="E306" s="1"/>
      <c r="F306" s="59"/>
      <c r="G306" s="32"/>
      <c r="H306" s="32"/>
    </row>
    <row r="307" spans="1:8" ht="15.75" hidden="1" customHeight="1">
      <c r="A307" s="1"/>
      <c r="B307" s="2"/>
      <c r="C307" s="1"/>
      <c r="D307" s="1"/>
      <c r="E307" s="1"/>
      <c r="F307" s="59"/>
      <c r="G307" s="32"/>
      <c r="H307" s="32"/>
    </row>
    <row r="308" spans="1:8" ht="15.75" hidden="1" customHeight="1">
      <c r="A308" s="1"/>
      <c r="B308" s="2"/>
      <c r="C308" s="1"/>
      <c r="D308" s="1"/>
      <c r="E308" s="1"/>
      <c r="F308" s="59"/>
      <c r="G308" s="32"/>
      <c r="H308" s="32"/>
    </row>
    <row r="309" spans="1:8" ht="15.75" hidden="1" customHeight="1">
      <c r="A309" s="1"/>
      <c r="B309" s="2"/>
      <c r="C309" s="1"/>
      <c r="D309" s="1"/>
      <c r="E309" s="1"/>
      <c r="F309" s="59"/>
      <c r="G309" s="32"/>
      <c r="H309" s="32"/>
    </row>
    <row r="310" spans="1:8" ht="15.75" hidden="1" customHeight="1">
      <c r="A310" s="1"/>
      <c r="B310" s="2"/>
      <c r="C310" s="1"/>
      <c r="D310" s="1"/>
      <c r="E310" s="1"/>
      <c r="F310" s="59"/>
      <c r="G310" s="32"/>
      <c r="H310" s="32"/>
    </row>
    <row r="311" spans="1:8" ht="15.75" hidden="1" customHeight="1">
      <c r="A311" s="1"/>
      <c r="B311" s="2"/>
      <c r="C311" s="1"/>
      <c r="D311" s="1"/>
      <c r="E311" s="1"/>
      <c r="F311" s="59"/>
      <c r="G311" s="32"/>
      <c r="H311" s="32"/>
    </row>
    <row r="312" spans="1:8" ht="15.75" hidden="1" customHeight="1">
      <c r="A312" s="1"/>
      <c r="B312" s="2"/>
      <c r="C312" s="1"/>
      <c r="D312" s="1"/>
      <c r="E312" s="1"/>
      <c r="F312" s="59"/>
      <c r="G312" s="32"/>
      <c r="H312" s="32"/>
    </row>
    <row r="313" spans="1:8" ht="15.75" hidden="1" customHeight="1">
      <c r="A313" s="1"/>
      <c r="B313" s="2"/>
      <c r="C313" s="1"/>
      <c r="D313" s="1"/>
      <c r="E313" s="1"/>
      <c r="F313" s="59"/>
      <c r="G313" s="32"/>
      <c r="H313" s="32"/>
    </row>
    <row r="314" spans="1:8" ht="15.75" hidden="1" customHeight="1">
      <c r="A314" s="1"/>
      <c r="B314" s="2"/>
      <c r="C314" s="1"/>
      <c r="D314" s="1"/>
      <c r="E314" s="1"/>
      <c r="F314" s="59"/>
      <c r="G314" s="32"/>
      <c r="H314" s="32"/>
    </row>
    <row r="315" spans="1:8" ht="15.75" hidden="1" customHeight="1">
      <c r="A315" s="1"/>
      <c r="B315" s="2"/>
      <c r="C315" s="1"/>
      <c r="D315" s="1"/>
      <c r="E315" s="1"/>
      <c r="F315" s="59"/>
      <c r="G315" s="32"/>
      <c r="H315" s="32"/>
    </row>
    <row r="316" spans="1:8" ht="15.75" hidden="1" customHeight="1">
      <c r="A316" s="1"/>
      <c r="B316" s="2"/>
      <c r="C316" s="1"/>
      <c r="D316" s="1"/>
      <c r="E316" s="1"/>
      <c r="F316" s="59"/>
      <c r="G316" s="32"/>
      <c r="H316" s="32"/>
    </row>
    <row r="317" spans="1:8" ht="15.75" hidden="1" customHeight="1">
      <c r="A317" s="1"/>
      <c r="B317" s="2"/>
      <c r="C317" s="1"/>
      <c r="D317" s="1"/>
      <c r="E317" s="1"/>
      <c r="F317" s="59"/>
      <c r="G317" s="32"/>
      <c r="H317" s="32"/>
    </row>
    <row r="318" spans="1:8" ht="15.75" hidden="1" customHeight="1">
      <c r="A318" s="1"/>
      <c r="B318" s="2"/>
      <c r="C318" s="1"/>
      <c r="D318" s="1"/>
      <c r="E318" s="1"/>
      <c r="F318" s="59"/>
      <c r="G318" s="32"/>
      <c r="H318" s="32"/>
    </row>
    <row r="319" spans="1:8" ht="15.75" hidden="1" customHeight="1">
      <c r="A319" s="1"/>
      <c r="B319" s="2"/>
      <c r="C319" s="1"/>
      <c r="D319" s="1"/>
      <c r="E319" s="1"/>
      <c r="F319" s="59"/>
      <c r="G319" s="32"/>
      <c r="H319" s="32"/>
    </row>
    <row r="320" spans="1:8" ht="15.75" hidden="1" customHeight="1">
      <c r="A320" s="1"/>
      <c r="B320" s="2"/>
      <c r="C320" s="1"/>
      <c r="D320" s="1"/>
      <c r="E320" s="1"/>
      <c r="F320" s="59"/>
      <c r="G320" s="32"/>
      <c r="H320" s="32"/>
    </row>
    <row r="321" spans="1:8" ht="15.75" hidden="1" customHeight="1">
      <c r="A321" s="1"/>
      <c r="B321" s="2"/>
      <c r="C321" s="1"/>
      <c r="D321" s="1"/>
      <c r="E321" s="1"/>
      <c r="F321" s="59"/>
      <c r="G321" s="32"/>
      <c r="H321" s="32"/>
    </row>
    <row r="322" spans="1:8" ht="15.75" hidden="1" customHeight="1">
      <c r="A322" s="1"/>
      <c r="B322" s="2"/>
      <c r="C322" s="1"/>
      <c r="D322" s="1"/>
      <c r="E322" s="1"/>
      <c r="F322" s="59"/>
      <c r="G322" s="32"/>
      <c r="H322" s="32"/>
    </row>
    <row r="323" spans="1:8" ht="15.75" hidden="1" customHeight="1">
      <c r="A323" s="1"/>
      <c r="B323" s="2"/>
      <c r="C323" s="1"/>
      <c r="D323" s="1"/>
      <c r="E323" s="1"/>
      <c r="F323" s="59"/>
      <c r="G323" s="32"/>
      <c r="H323" s="32"/>
    </row>
    <row r="324" spans="1:8" ht="15.75" hidden="1" customHeight="1">
      <c r="A324" s="1"/>
      <c r="B324" s="2"/>
      <c r="C324" s="1"/>
      <c r="D324" s="1"/>
      <c r="E324" s="1"/>
      <c r="F324" s="59"/>
      <c r="G324" s="32"/>
      <c r="H324" s="32"/>
    </row>
    <row r="325" spans="1:8" ht="15.75" hidden="1" customHeight="1">
      <c r="A325" s="1"/>
      <c r="B325" s="2"/>
      <c r="C325" s="1"/>
      <c r="D325" s="1"/>
      <c r="E325" s="1"/>
      <c r="F325" s="59"/>
      <c r="G325" s="32"/>
      <c r="H325" s="32"/>
    </row>
    <row r="326" spans="1:8" ht="15.75" hidden="1" customHeight="1">
      <c r="A326" s="1"/>
      <c r="B326" s="2"/>
      <c r="C326" s="1"/>
      <c r="D326" s="1"/>
      <c r="E326" s="1"/>
      <c r="F326" s="59"/>
      <c r="G326" s="32"/>
      <c r="H326" s="32"/>
    </row>
    <row r="327" spans="1:8" ht="15.75" hidden="1" customHeight="1">
      <c r="A327" s="1"/>
      <c r="B327" s="2"/>
      <c r="C327" s="1"/>
      <c r="D327" s="1"/>
      <c r="E327" s="1"/>
      <c r="F327" s="59"/>
      <c r="G327" s="32"/>
      <c r="H327" s="32"/>
    </row>
    <row r="328" spans="1:8" ht="15.75" hidden="1" customHeight="1">
      <c r="A328" s="1"/>
      <c r="B328" s="2"/>
      <c r="C328" s="1"/>
      <c r="D328" s="1"/>
      <c r="E328" s="1"/>
      <c r="F328" s="59"/>
      <c r="G328" s="32"/>
      <c r="H328" s="32"/>
    </row>
    <row r="329" spans="1:8" ht="15.75" hidden="1" customHeight="1">
      <c r="A329" s="1"/>
      <c r="B329" s="2"/>
      <c r="C329" s="1"/>
      <c r="D329" s="1"/>
      <c r="E329" s="1"/>
      <c r="F329" s="59"/>
      <c r="G329" s="32"/>
      <c r="H329" s="32"/>
    </row>
    <row r="330" spans="1:8" ht="15.75" hidden="1" customHeight="1">
      <c r="A330" s="1"/>
      <c r="B330" s="2"/>
      <c r="C330" s="1"/>
      <c r="D330" s="1"/>
      <c r="E330" s="1"/>
      <c r="F330" s="59"/>
      <c r="G330" s="32"/>
      <c r="H330" s="32"/>
    </row>
    <row r="331" spans="1:8" ht="15.75" hidden="1" customHeight="1">
      <c r="A331" s="1"/>
      <c r="B331" s="2"/>
      <c r="C331" s="1"/>
      <c r="D331" s="1"/>
      <c r="E331" s="1"/>
      <c r="F331" s="59"/>
      <c r="G331" s="32"/>
      <c r="H331" s="32"/>
    </row>
    <row r="332" spans="1:8" ht="15.75" hidden="1" customHeight="1">
      <c r="A332" s="1"/>
      <c r="B332" s="2"/>
      <c r="C332" s="1"/>
      <c r="D332" s="1"/>
      <c r="E332" s="1"/>
      <c r="F332" s="59"/>
      <c r="G332" s="32"/>
      <c r="H332" s="32"/>
    </row>
    <row r="333" spans="1:8" ht="15.75" hidden="1" customHeight="1">
      <c r="A333" s="1"/>
      <c r="B333" s="2"/>
      <c r="C333" s="1"/>
      <c r="D333" s="1"/>
      <c r="E333" s="1"/>
      <c r="F333" s="59"/>
      <c r="G333" s="32"/>
      <c r="H333" s="32"/>
    </row>
    <row r="334" spans="1:8" ht="15.75" hidden="1" customHeight="1">
      <c r="A334" s="1"/>
      <c r="B334" s="2"/>
      <c r="C334" s="1"/>
      <c r="D334" s="1"/>
      <c r="E334" s="1"/>
      <c r="F334" s="59"/>
      <c r="G334" s="32"/>
      <c r="H334" s="32"/>
    </row>
    <row r="335" spans="1:8" ht="15.75" hidden="1" customHeight="1">
      <c r="A335" s="1"/>
      <c r="B335" s="2"/>
      <c r="C335" s="1"/>
      <c r="D335" s="1"/>
      <c r="E335" s="1"/>
      <c r="F335" s="59"/>
      <c r="G335" s="32"/>
      <c r="H335" s="32"/>
    </row>
    <row r="336" spans="1:8" ht="15.75" hidden="1" customHeight="1">
      <c r="A336" s="1"/>
      <c r="B336" s="2"/>
      <c r="C336" s="1"/>
      <c r="D336" s="1"/>
      <c r="E336" s="1"/>
      <c r="F336" s="59"/>
      <c r="G336" s="32"/>
      <c r="H336" s="32"/>
    </row>
    <row r="337" spans="1:8" ht="15.75" hidden="1" customHeight="1">
      <c r="A337" s="1"/>
      <c r="B337" s="2"/>
      <c r="C337" s="1"/>
      <c r="D337" s="1"/>
      <c r="E337" s="1"/>
      <c r="F337" s="59"/>
      <c r="G337" s="32"/>
      <c r="H337" s="32"/>
    </row>
    <row r="338" spans="1:8" ht="15.75" hidden="1" customHeight="1">
      <c r="A338" s="1"/>
      <c r="B338" s="2"/>
      <c r="C338" s="1"/>
      <c r="D338" s="1"/>
      <c r="E338" s="1"/>
      <c r="F338" s="59"/>
      <c r="G338" s="32"/>
      <c r="H338" s="32"/>
    </row>
    <row r="339" spans="1:8" ht="15.75" hidden="1" customHeight="1">
      <c r="A339" s="1"/>
      <c r="B339" s="2"/>
      <c r="C339" s="1"/>
      <c r="D339" s="1"/>
      <c r="E339" s="1"/>
      <c r="F339" s="59"/>
      <c r="G339" s="32"/>
      <c r="H339" s="32"/>
    </row>
    <row r="340" spans="1:8" ht="15.75" hidden="1" customHeight="1">
      <c r="A340" s="1"/>
      <c r="B340" s="2"/>
      <c r="C340" s="1"/>
      <c r="D340" s="1"/>
      <c r="E340" s="1"/>
      <c r="F340" s="59"/>
      <c r="G340" s="32"/>
      <c r="H340" s="32"/>
    </row>
    <row r="341" spans="1:8" ht="15.75" hidden="1" customHeight="1">
      <c r="A341" s="1"/>
      <c r="B341" s="2"/>
      <c r="C341" s="1"/>
      <c r="D341" s="1"/>
      <c r="E341" s="1"/>
      <c r="F341" s="59"/>
      <c r="G341" s="32"/>
      <c r="H341" s="32"/>
    </row>
    <row r="342" spans="1:8" ht="15.75" hidden="1" customHeight="1">
      <c r="A342" s="1"/>
      <c r="B342" s="2"/>
      <c r="C342" s="1"/>
      <c r="D342" s="1"/>
      <c r="E342" s="1"/>
      <c r="F342" s="59"/>
      <c r="G342" s="32"/>
      <c r="H342" s="32"/>
    </row>
    <row r="343" spans="1:8" ht="15.75" hidden="1" customHeight="1">
      <c r="A343" s="1"/>
      <c r="B343" s="2"/>
      <c r="C343" s="1"/>
      <c r="D343" s="1"/>
      <c r="E343" s="1"/>
      <c r="F343" s="59"/>
      <c r="G343" s="32"/>
      <c r="H343" s="32"/>
    </row>
    <row r="344" spans="1:8" ht="15.75" hidden="1" customHeight="1">
      <c r="A344" s="1"/>
      <c r="B344" s="2"/>
      <c r="C344" s="1"/>
      <c r="D344" s="1"/>
      <c r="E344" s="1"/>
      <c r="F344" s="59"/>
      <c r="G344" s="32"/>
      <c r="H344" s="32"/>
    </row>
    <row r="345" spans="1:8" ht="15.75" hidden="1" customHeight="1">
      <c r="A345" s="1"/>
      <c r="B345" s="2"/>
      <c r="C345" s="1"/>
      <c r="D345" s="1"/>
      <c r="E345" s="1"/>
      <c r="F345" s="59"/>
      <c r="G345" s="32"/>
      <c r="H345" s="32"/>
    </row>
    <row r="346" spans="1:8" ht="15.75" hidden="1" customHeight="1">
      <c r="A346" s="1"/>
      <c r="B346" s="2"/>
      <c r="C346" s="1"/>
      <c r="D346" s="1"/>
      <c r="E346" s="1"/>
      <c r="F346" s="59"/>
      <c r="G346" s="32"/>
      <c r="H346" s="32"/>
    </row>
    <row r="347" spans="1:8" ht="15.75" hidden="1" customHeight="1">
      <c r="A347" s="1"/>
      <c r="B347" s="2"/>
      <c r="C347" s="1"/>
      <c r="D347" s="1"/>
      <c r="E347" s="1"/>
      <c r="F347" s="59"/>
      <c r="G347" s="32"/>
      <c r="H347" s="32"/>
    </row>
    <row r="348" spans="1:8" ht="15.75" hidden="1" customHeight="1">
      <c r="A348" s="1"/>
      <c r="B348" s="2"/>
      <c r="C348" s="1"/>
      <c r="D348" s="1"/>
      <c r="E348" s="1"/>
      <c r="F348" s="59"/>
      <c r="G348" s="32"/>
      <c r="H348" s="32"/>
    </row>
    <row r="349" spans="1:8" ht="15.75" hidden="1" customHeight="1">
      <c r="A349" s="1"/>
      <c r="B349" s="2"/>
      <c r="C349" s="1"/>
      <c r="D349" s="1"/>
      <c r="E349" s="1"/>
      <c r="F349" s="59"/>
      <c r="G349" s="32"/>
      <c r="H349" s="32"/>
    </row>
    <row r="350" spans="1:8" ht="15.75" hidden="1" customHeight="1">
      <c r="A350" s="1"/>
      <c r="B350" s="2"/>
      <c r="C350" s="1"/>
      <c r="D350" s="1"/>
      <c r="E350" s="1"/>
      <c r="F350" s="59"/>
      <c r="G350" s="32"/>
      <c r="H350" s="32"/>
    </row>
    <row r="351" spans="1:8" ht="15.75" hidden="1" customHeight="1">
      <c r="A351" s="1"/>
      <c r="B351" s="2"/>
      <c r="C351" s="1"/>
      <c r="D351" s="1"/>
      <c r="E351" s="1"/>
      <c r="F351" s="59"/>
      <c r="G351" s="32"/>
      <c r="H351" s="32"/>
    </row>
    <row r="352" spans="1:8" ht="15.75" hidden="1" customHeight="1">
      <c r="A352" s="1"/>
      <c r="B352" s="2"/>
      <c r="C352" s="1"/>
      <c r="D352" s="1"/>
      <c r="E352" s="1"/>
      <c r="F352" s="59"/>
      <c r="G352" s="32"/>
      <c r="H352" s="32"/>
    </row>
    <row r="353" spans="1:8" ht="15.75" hidden="1" customHeight="1">
      <c r="A353" s="1"/>
      <c r="B353" s="2"/>
      <c r="C353" s="1"/>
      <c r="D353" s="1"/>
      <c r="E353" s="1"/>
      <c r="F353" s="59"/>
      <c r="G353" s="32"/>
      <c r="H353" s="32"/>
    </row>
    <row r="354" spans="1:8" ht="15.75" hidden="1" customHeight="1">
      <c r="A354" s="1"/>
      <c r="B354" s="2"/>
      <c r="C354" s="1"/>
      <c r="D354" s="1"/>
      <c r="E354" s="1"/>
      <c r="F354" s="59"/>
      <c r="G354" s="32"/>
      <c r="H354" s="32"/>
    </row>
    <row r="355" spans="1:8" ht="15.75" hidden="1" customHeight="1">
      <c r="A355" s="1"/>
      <c r="B355" s="2"/>
      <c r="C355" s="1"/>
      <c r="D355" s="1"/>
      <c r="E355" s="1"/>
      <c r="F355" s="59"/>
      <c r="G355" s="32"/>
      <c r="H355" s="32"/>
    </row>
    <row r="356" spans="1:8" ht="15.75" hidden="1" customHeight="1">
      <c r="A356" s="1"/>
      <c r="B356" s="2"/>
      <c r="C356" s="1"/>
      <c r="D356" s="1"/>
      <c r="E356" s="1"/>
      <c r="F356" s="59"/>
      <c r="G356" s="32"/>
      <c r="H356" s="32"/>
    </row>
    <row r="357" spans="1:8" ht="15.75" hidden="1" customHeight="1">
      <c r="A357" s="1"/>
      <c r="B357" s="2"/>
      <c r="C357" s="1"/>
      <c r="D357" s="1"/>
      <c r="E357" s="1"/>
      <c r="F357" s="59"/>
      <c r="G357" s="32"/>
      <c r="H357" s="32"/>
    </row>
    <row r="358" spans="1:8" ht="15.75" hidden="1" customHeight="1">
      <c r="A358" s="1"/>
      <c r="B358" s="2"/>
      <c r="C358" s="1"/>
      <c r="D358" s="1"/>
      <c r="E358" s="1"/>
      <c r="F358" s="59"/>
      <c r="G358" s="32"/>
      <c r="H358" s="32"/>
    </row>
    <row r="359" spans="1:8" ht="15.75" hidden="1" customHeight="1">
      <c r="A359" s="1"/>
      <c r="B359" s="2"/>
      <c r="C359" s="1"/>
      <c r="D359" s="1"/>
      <c r="E359" s="1"/>
      <c r="F359" s="59"/>
      <c r="G359" s="32"/>
      <c r="H359" s="32"/>
    </row>
    <row r="360" spans="1:8" ht="15.75" hidden="1" customHeight="1">
      <c r="A360" s="1"/>
      <c r="B360" s="2"/>
      <c r="C360" s="1"/>
      <c r="D360" s="1"/>
      <c r="E360" s="1"/>
      <c r="F360" s="59"/>
      <c r="G360" s="32"/>
      <c r="H360" s="32"/>
    </row>
    <row r="361" spans="1:8" ht="15.75" hidden="1" customHeight="1">
      <c r="A361" s="1"/>
      <c r="B361" s="2"/>
      <c r="C361" s="1"/>
      <c r="D361" s="1"/>
      <c r="E361" s="1"/>
      <c r="F361" s="59"/>
      <c r="G361" s="32"/>
      <c r="H361" s="32"/>
    </row>
    <row r="362" spans="1:8" ht="15.75" hidden="1" customHeight="1">
      <c r="A362" s="1"/>
      <c r="B362" s="2"/>
      <c r="C362" s="1"/>
      <c r="D362" s="1"/>
      <c r="E362" s="1"/>
      <c r="F362" s="59"/>
      <c r="G362" s="32"/>
      <c r="H362" s="32"/>
    </row>
    <row r="363" spans="1:8" ht="15.75" hidden="1" customHeight="1">
      <c r="A363" s="1"/>
      <c r="B363" s="2"/>
      <c r="C363" s="1"/>
      <c r="D363" s="1"/>
      <c r="E363" s="1"/>
      <c r="F363" s="59"/>
      <c r="G363" s="32"/>
      <c r="H363" s="32"/>
    </row>
    <row r="364" spans="1:8" ht="15.75" hidden="1" customHeight="1">
      <c r="A364" s="1"/>
      <c r="B364" s="2"/>
      <c r="C364" s="1"/>
      <c r="D364" s="1"/>
      <c r="E364" s="1"/>
      <c r="F364" s="59"/>
      <c r="G364" s="32"/>
      <c r="H364" s="32"/>
    </row>
    <row r="365" spans="1:8" ht="15.75" hidden="1" customHeight="1">
      <c r="A365" s="1"/>
      <c r="B365" s="2"/>
      <c r="C365" s="1"/>
      <c r="D365" s="1"/>
      <c r="E365" s="1"/>
      <c r="F365" s="59"/>
      <c r="G365" s="32"/>
      <c r="H365" s="32"/>
    </row>
    <row r="366" spans="1:8" ht="15.75" hidden="1" customHeight="1">
      <c r="A366" s="1"/>
      <c r="B366" s="2"/>
      <c r="C366" s="1"/>
      <c r="D366" s="1"/>
      <c r="E366" s="1"/>
      <c r="F366" s="59"/>
      <c r="G366" s="32"/>
      <c r="H366" s="32"/>
    </row>
    <row r="367" spans="1:8" ht="15.75" hidden="1" customHeight="1">
      <c r="A367" s="1"/>
      <c r="B367" s="2"/>
      <c r="C367" s="1"/>
      <c r="D367" s="1"/>
      <c r="E367" s="1"/>
      <c r="F367" s="59"/>
      <c r="G367" s="32"/>
      <c r="H367" s="32"/>
    </row>
    <row r="368" spans="1:8" ht="15.75" hidden="1" customHeight="1">
      <c r="A368" s="1"/>
      <c r="B368" s="2"/>
      <c r="C368" s="1"/>
      <c r="D368" s="1"/>
      <c r="E368" s="1"/>
      <c r="F368" s="59"/>
      <c r="G368" s="32"/>
      <c r="H368" s="32"/>
    </row>
    <row r="369" spans="1:8" ht="15.75" hidden="1" customHeight="1">
      <c r="A369" s="1"/>
      <c r="B369" s="2"/>
      <c r="C369" s="1"/>
      <c r="D369" s="1"/>
      <c r="E369" s="1"/>
      <c r="F369" s="59"/>
      <c r="G369" s="32"/>
      <c r="H369" s="32"/>
    </row>
    <row r="370" spans="1:8" ht="15.75" hidden="1" customHeight="1">
      <c r="A370" s="1"/>
      <c r="B370" s="2"/>
      <c r="C370" s="1"/>
      <c r="D370" s="1"/>
      <c r="E370" s="1"/>
      <c r="F370" s="59"/>
      <c r="G370" s="32"/>
      <c r="H370" s="32"/>
    </row>
    <row r="371" spans="1:8" ht="15.75" hidden="1" customHeight="1">
      <c r="A371" s="1"/>
      <c r="B371" s="2"/>
      <c r="C371" s="1"/>
      <c r="D371" s="1"/>
      <c r="E371" s="1"/>
      <c r="F371" s="59"/>
      <c r="G371" s="32"/>
      <c r="H371" s="32"/>
    </row>
    <row r="372" spans="1:8" ht="15.75" hidden="1" customHeight="1">
      <c r="A372" s="1"/>
      <c r="B372" s="2"/>
      <c r="C372" s="1"/>
      <c r="D372" s="1"/>
      <c r="E372" s="1"/>
      <c r="F372" s="59"/>
      <c r="G372" s="32"/>
      <c r="H372" s="32"/>
    </row>
    <row r="373" spans="1:8" ht="15.75" hidden="1" customHeight="1">
      <c r="A373" s="1"/>
      <c r="B373" s="2"/>
      <c r="C373" s="1"/>
      <c r="D373" s="1"/>
      <c r="E373" s="1"/>
      <c r="F373" s="59"/>
      <c r="G373" s="32"/>
      <c r="H373" s="32"/>
    </row>
    <row r="374" spans="1:8" ht="15.75" hidden="1" customHeight="1">
      <c r="A374" s="1"/>
      <c r="B374" s="2"/>
      <c r="C374" s="1"/>
      <c r="D374" s="1"/>
      <c r="E374" s="1"/>
      <c r="F374" s="59"/>
      <c r="G374" s="32"/>
      <c r="H374" s="32"/>
    </row>
    <row r="375" spans="1:8" ht="15.75" hidden="1" customHeight="1">
      <c r="A375" s="1"/>
      <c r="B375" s="2"/>
      <c r="C375" s="1"/>
      <c r="D375" s="1"/>
      <c r="E375" s="1"/>
      <c r="F375" s="59"/>
      <c r="G375" s="32"/>
      <c r="H375" s="32"/>
    </row>
    <row r="376" spans="1:8" ht="15.75" hidden="1" customHeight="1">
      <c r="A376" s="1"/>
      <c r="B376" s="2"/>
      <c r="C376" s="1"/>
      <c r="D376" s="1"/>
      <c r="E376" s="1"/>
      <c r="F376" s="59"/>
      <c r="G376" s="32"/>
      <c r="H376" s="32"/>
    </row>
    <row r="377" spans="1:8" ht="15.75" hidden="1" customHeight="1">
      <c r="A377" s="1"/>
      <c r="B377" s="2"/>
      <c r="C377" s="1"/>
      <c r="D377" s="1"/>
      <c r="E377" s="1"/>
      <c r="F377" s="59"/>
      <c r="G377" s="32"/>
      <c r="H377" s="32"/>
    </row>
    <row r="378" spans="1:8" ht="15.75" hidden="1" customHeight="1">
      <c r="A378" s="1"/>
      <c r="B378" s="2"/>
      <c r="C378" s="1"/>
      <c r="D378" s="1"/>
      <c r="E378" s="1"/>
      <c r="F378" s="59"/>
      <c r="G378" s="32"/>
      <c r="H378" s="32"/>
    </row>
    <row r="379" spans="1:8" ht="15.75" hidden="1" customHeight="1">
      <c r="A379" s="1"/>
      <c r="B379" s="2"/>
      <c r="C379" s="1"/>
      <c r="D379" s="1"/>
      <c r="E379" s="1"/>
      <c r="F379" s="59"/>
      <c r="G379" s="32"/>
      <c r="H379" s="32"/>
    </row>
    <row r="380" spans="1:8" ht="15.75" hidden="1" customHeight="1">
      <c r="A380" s="1"/>
      <c r="B380" s="2"/>
      <c r="C380" s="1"/>
      <c r="D380" s="1"/>
      <c r="E380" s="1"/>
      <c r="F380" s="59"/>
      <c r="G380" s="32"/>
      <c r="H380" s="32"/>
    </row>
    <row r="381" spans="1:8" ht="15.75" hidden="1" customHeight="1">
      <c r="A381" s="1"/>
      <c r="B381" s="2"/>
      <c r="C381" s="1"/>
      <c r="D381" s="1"/>
      <c r="E381" s="1"/>
      <c r="F381" s="59"/>
      <c r="G381" s="32"/>
      <c r="H381" s="32"/>
    </row>
    <row r="382" spans="1:8" ht="15.75" hidden="1" customHeight="1">
      <c r="A382" s="1"/>
      <c r="B382" s="2"/>
      <c r="C382" s="1"/>
      <c r="D382" s="1"/>
      <c r="E382" s="1"/>
      <c r="F382" s="59"/>
      <c r="G382" s="32"/>
      <c r="H382" s="32"/>
    </row>
    <row r="383" spans="1:8" ht="15.75" hidden="1" customHeight="1">
      <c r="A383" s="1"/>
      <c r="B383" s="2"/>
      <c r="C383" s="1"/>
      <c r="D383" s="1"/>
      <c r="E383" s="1"/>
      <c r="F383" s="59"/>
      <c r="G383" s="32"/>
      <c r="H383" s="32"/>
    </row>
    <row r="384" spans="1:8" ht="15.75" hidden="1" customHeight="1">
      <c r="A384" s="1"/>
      <c r="B384" s="2"/>
      <c r="C384" s="1"/>
      <c r="D384" s="1"/>
      <c r="E384" s="1"/>
      <c r="F384" s="59"/>
      <c r="G384" s="32"/>
      <c r="H384" s="32"/>
    </row>
    <row r="385" spans="1:8" ht="15.75" hidden="1" customHeight="1">
      <c r="A385" s="1"/>
      <c r="B385" s="2"/>
      <c r="C385" s="1"/>
      <c r="D385" s="1"/>
      <c r="E385" s="1"/>
      <c r="F385" s="59"/>
      <c r="G385" s="32"/>
      <c r="H385" s="32"/>
    </row>
    <row r="386" spans="1:8" ht="15.75" hidden="1" customHeight="1">
      <c r="A386" s="1"/>
      <c r="B386" s="2"/>
      <c r="C386" s="1"/>
      <c r="D386" s="1"/>
      <c r="E386" s="1"/>
      <c r="F386" s="59"/>
      <c r="G386" s="32"/>
      <c r="H386" s="32"/>
    </row>
    <row r="387" spans="1:8" ht="15.75" hidden="1" customHeight="1">
      <c r="A387" s="1"/>
      <c r="B387" s="2"/>
      <c r="C387" s="1"/>
      <c r="D387" s="1"/>
      <c r="E387" s="1"/>
      <c r="F387" s="59"/>
      <c r="G387" s="32"/>
      <c r="H387" s="32"/>
    </row>
    <row r="388" spans="1:8" ht="15.75" hidden="1" customHeight="1">
      <c r="A388" s="1"/>
      <c r="B388" s="2"/>
      <c r="C388" s="1"/>
      <c r="D388" s="1"/>
      <c r="E388" s="1"/>
      <c r="F388" s="59"/>
      <c r="G388" s="32"/>
      <c r="H388" s="32"/>
    </row>
    <row r="389" spans="1:8" ht="15.75" hidden="1" customHeight="1">
      <c r="A389" s="1"/>
      <c r="B389" s="2"/>
      <c r="C389" s="1"/>
      <c r="D389" s="1"/>
      <c r="E389" s="1"/>
      <c r="F389" s="59"/>
      <c r="G389" s="32"/>
      <c r="H389" s="32"/>
    </row>
    <row r="390" spans="1:8" ht="15.75" hidden="1" customHeight="1">
      <c r="A390" s="1"/>
      <c r="B390" s="2"/>
      <c r="C390" s="1"/>
      <c r="D390" s="1"/>
      <c r="E390" s="1"/>
      <c r="F390" s="59"/>
      <c r="G390" s="32"/>
      <c r="H390" s="32"/>
    </row>
    <row r="391" spans="1:8" ht="15.75" hidden="1" customHeight="1">
      <c r="A391" s="1"/>
      <c r="B391" s="2"/>
      <c r="C391" s="1"/>
      <c r="D391" s="1"/>
      <c r="E391" s="1"/>
      <c r="F391" s="59"/>
      <c r="G391" s="32"/>
      <c r="H391" s="32"/>
    </row>
    <row r="392" spans="1:8" ht="15.75" hidden="1" customHeight="1">
      <c r="A392" s="1"/>
      <c r="B392" s="2"/>
      <c r="C392" s="1"/>
      <c r="D392" s="1"/>
      <c r="E392" s="1"/>
      <c r="F392" s="59"/>
      <c r="G392" s="32"/>
      <c r="H392" s="32"/>
    </row>
    <row r="393" spans="1:8" ht="15.75" hidden="1" customHeight="1">
      <c r="A393" s="1"/>
      <c r="B393" s="2"/>
      <c r="C393" s="1"/>
      <c r="D393" s="1"/>
      <c r="E393" s="1"/>
      <c r="F393" s="59"/>
      <c r="G393" s="32"/>
      <c r="H393" s="32"/>
    </row>
    <row r="394" spans="1:8" ht="15.75" hidden="1" customHeight="1">
      <c r="A394" s="1"/>
      <c r="B394" s="2"/>
      <c r="C394" s="1"/>
      <c r="D394" s="1"/>
      <c r="E394" s="1"/>
      <c r="F394" s="59"/>
      <c r="G394" s="32"/>
      <c r="H394" s="32"/>
    </row>
    <row r="395" spans="1:8" ht="15.75" hidden="1" customHeight="1">
      <c r="A395" s="1"/>
      <c r="B395" s="2"/>
      <c r="C395" s="1"/>
      <c r="D395" s="1"/>
      <c r="E395" s="1"/>
      <c r="F395" s="59"/>
      <c r="G395" s="32"/>
      <c r="H395" s="32"/>
    </row>
    <row r="396" spans="1:8" ht="15.75" hidden="1" customHeight="1">
      <c r="A396" s="1"/>
      <c r="B396" s="2"/>
      <c r="C396" s="1"/>
      <c r="D396" s="1"/>
      <c r="E396" s="1"/>
      <c r="F396" s="59"/>
      <c r="G396" s="32"/>
      <c r="H396" s="32"/>
    </row>
    <row r="397" spans="1:8" ht="15.75" hidden="1" customHeight="1">
      <c r="A397" s="1"/>
      <c r="B397" s="2"/>
      <c r="C397" s="1"/>
      <c r="D397" s="1"/>
      <c r="E397" s="1"/>
      <c r="F397" s="59"/>
      <c r="G397" s="32"/>
      <c r="H397" s="32"/>
    </row>
    <row r="398" spans="1:8" ht="15.75" hidden="1" customHeight="1">
      <c r="A398" s="1"/>
      <c r="B398" s="2"/>
      <c r="C398" s="1"/>
      <c r="D398" s="1"/>
      <c r="E398" s="1"/>
      <c r="F398" s="59"/>
      <c r="G398" s="32"/>
      <c r="H398" s="32"/>
    </row>
    <row r="399" spans="1:8" ht="15.75" hidden="1" customHeight="1">
      <c r="A399" s="1"/>
      <c r="B399" s="2"/>
      <c r="C399" s="1"/>
      <c r="D399" s="1"/>
      <c r="E399" s="1"/>
      <c r="F399" s="59"/>
      <c r="G399" s="32"/>
      <c r="H399" s="32"/>
    </row>
    <row r="400" spans="1:8" ht="15.75" hidden="1" customHeight="1">
      <c r="A400" s="1"/>
      <c r="B400" s="2"/>
      <c r="C400" s="1"/>
      <c r="D400" s="1"/>
      <c r="E400" s="1"/>
      <c r="F400" s="59"/>
      <c r="G400" s="32"/>
      <c r="H400" s="32"/>
    </row>
    <row r="401" spans="1:8" ht="15.75" hidden="1" customHeight="1">
      <c r="A401" s="1"/>
      <c r="B401" s="2"/>
      <c r="C401" s="1"/>
      <c r="D401" s="1"/>
      <c r="E401" s="1"/>
      <c r="F401" s="59"/>
      <c r="G401" s="32"/>
      <c r="H401" s="32"/>
    </row>
    <row r="402" spans="1:8" ht="15.75" hidden="1" customHeight="1">
      <c r="A402" s="1"/>
      <c r="B402" s="2"/>
      <c r="C402" s="1"/>
      <c r="D402" s="1"/>
      <c r="E402" s="1"/>
      <c r="F402" s="59"/>
      <c r="G402" s="32"/>
      <c r="H402" s="32"/>
    </row>
    <row r="403" spans="1:8" ht="15.75" hidden="1" customHeight="1">
      <c r="A403" s="1"/>
      <c r="B403" s="2"/>
      <c r="C403" s="1"/>
      <c r="D403" s="1"/>
      <c r="E403" s="1"/>
      <c r="F403" s="59"/>
      <c r="G403" s="32"/>
      <c r="H403" s="32"/>
    </row>
    <row r="404" spans="1:8" ht="15.75" hidden="1" customHeight="1">
      <c r="A404" s="1"/>
      <c r="B404" s="2"/>
      <c r="C404" s="1"/>
      <c r="D404" s="1"/>
      <c r="E404" s="1"/>
      <c r="F404" s="59"/>
      <c r="G404" s="32"/>
      <c r="H404" s="32"/>
    </row>
    <row r="405" spans="1:8" ht="15.75" hidden="1" customHeight="1">
      <c r="A405" s="1"/>
      <c r="B405" s="2"/>
      <c r="C405" s="1"/>
      <c r="D405" s="1"/>
      <c r="E405" s="1"/>
      <c r="F405" s="59"/>
      <c r="G405" s="32"/>
      <c r="H405" s="32"/>
    </row>
    <row r="406" spans="1:8" ht="15.75" hidden="1" customHeight="1">
      <c r="A406" s="1"/>
      <c r="B406" s="2"/>
      <c r="C406" s="1"/>
      <c r="D406" s="1"/>
      <c r="E406" s="1"/>
      <c r="F406" s="59"/>
      <c r="G406" s="32"/>
      <c r="H406" s="32"/>
    </row>
    <row r="407" spans="1:8" ht="15.75" hidden="1" customHeight="1">
      <c r="A407" s="1"/>
      <c r="B407" s="2"/>
      <c r="C407" s="1"/>
      <c r="D407" s="1"/>
      <c r="E407" s="1"/>
      <c r="F407" s="59"/>
      <c r="G407" s="32"/>
      <c r="H407" s="32"/>
    </row>
    <row r="408" spans="1:8" ht="15.75" hidden="1" customHeight="1">
      <c r="A408" s="1"/>
      <c r="B408" s="2"/>
      <c r="C408" s="1"/>
      <c r="D408" s="1"/>
      <c r="E408" s="1"/>
      <c r="F408" s="59"/>
      <c r="G408" s="32"/>
      <c r="H408" s="32"/>
    </row>
    <row r="409" spans="1:8" ht="15.75" hidden="1" customHeight="1">
      <c r="A409" s="1"/>
      <c r="B409" s="2"/>
      <c r="C409" s="1"/>
      <c r="D409" s="1"/>
      <c r="E409" s="1"/>
      <c r="F409" s="59"/>
      <c r="G409" s="32"/>
      <c r="H409" s="32"/>
    </row>
    <row r="410" spans="1:8" ht="15.75" hidden="1" customHeight="1">
      <c r="A410" s="1"/>
      <c r="B410" s="2"/>
      <c r="C410" s="1"/>
      <c r="D410" s="1"/>
      <c r="E410" s="1"/>
      <c r="F410" s="59"/>
      <c r="G410" s="32"/>
      <c r="H410" s="32"/>
    </row>
    <row r="411" spans="1:8" ht="15.75" hidden="1" customHeight="1">
      <c r="A411" s="1"/>
      <c r="B411" s="2"/>
      <c r="C411" s="1"/>
      <c r="D411" s="1"/>
      <c r="E411" s="1"/>
      <c r="F411" s="59"/>
      <c r="G411" s="32"/>
      <c r="H411" s="32"/>
    </row>
    <row r="412" spans="1:8" ht="15.75" hidden="1" customHeight="1">
      <c r="A412" s="1"/>
      <c r="B412" s="2"/>
      <c r="C412" s="1"/>
      <c r="D412" s="1"/>
      <c r="E412" s="1"/>
      <c r="F412" s="59"/>
      <c r="G412" s="32"/>
      <c r="H412" s="32"/>
    </row>
    <row r="413" spans="1:8" ht="15.75" hidden="1" customHeight="1">
      <c r="A413" s="1"/>
      <c r="B413" s="2"/>
      <c r="C413" s="1"/>
      <c r="D413" s="1"/>
      <c r="E413" s="1"/>
      <c r="F413" s="59"/>
      <c r="G413" s="32"/>
      <c r="H413" s="32"/>
    </row>
    <row r="414" spans="1:8" ht="15.75" hidden="1" customHeight="1">
      <c r="A414" s="1"/>
      <c r="B414" s="2"/>
      <c r="C414" s="1"/>
      <c r="D414" s="1"/>
      <c r="E414" s="1"/>
      <c r="F414" s="59"/>
      <c r="G414" s="32"/>
      <c r="H414" s="32"/>
    </row>
    <row r="415" spans="1:8" ht="15.75" hidden="1" customHeight="1">
      <c r="A415" s="1"/>
      <c r="B415" s="2"/>
      <c r="C415" s="1"/>
      <c r="D415" s="1"/>
      <c r="E415" s="1"/>
      <c r="F415" s="59"/>
      <c r="G415" s="32"/>
      <c r="H415" s="32"/>
    </row>
    <row r="416" spans="1:8" ht="15.75" hidden="1" customHeight="1">
      <c r="A416" s="1"/>
      <c r="B416" s="2"/>
      <c r="C416" s="1"/>
      <c r="D416" s="1"/>
      <c r="E416" s="1"/>
      <c r="F416" s="59"/>
      <c r="G416" s="32"/>
      <c r="H416" s="32"/>
    </row>
    <row r="417" spans="1:8" ht="15.75" hidden="1" customHeight="1">
      <c r="A417" s="1"/>
      <c r="B417" s="2"/>
      <c r="C417" s="1"/>
      <c r="D417" s="1"/>
      <c r="E417" s="1"/>
      <c r="F417" s="59"/>
      <c r="G417" s="32"/>
      <c r="H417" s="32"/>
    </row>
    <row r="418" spans="1:8" ht="15.75" hidden="1" customHeight="1">
      <c r="A418" s="1"/>
      <c r="B418" s="2"/>
      <c r="C418" s="1"/>
      <c r="D418" s="1"/>
      <c r="E418" s="1"/>
      <c r="F418" s="59"/>
      <c r="G418" s="32"/>
      <c r="H418" s="32"/>
    </row>
    <row r="419" spans="1:8" ht="15.75" hidden="1" customHeight="1">
      <c r="A419" s="1"/>
      <c r="B419" s="2"/>
      <c r="C419" s="1"/>
      <c r="D419" s="1"/>
      <c r="E419" s="1"/>
      <c r="F419" s="59"/>
      <c r="G419" s="32"/>
      <c r="H419" s="32"/>
    </row>
    <row r="420" spans="1:8" ht="15.75" hidden="1" customHeight="1">
      <c r="A420" s="1"/>
      <c r="B420" s="2"/>
      <c r="C420" s="1"/>
      <c r="D420" s="1"/>
      <c r="E420" s="1"/>
      <c r="F420" s="59"/>
      <c r="G420" s="32"/>
      <c r="H420" s="32"/>
    </row>
    <row r="421" spans="1:8" ht="15.75" hidden="1" customHeight="1">
      <c r="A421" s="1"/>
      <c r="B421" s="2"/>
      <c r="C421" s="1"/>
      <c r="D421" s="1"/>
      <c r="E421" s="1"/>
      <c r="F421" s="59"/>
      <c r="G421" s="32"/>
      <c r="H421" s="32"/>
    </row>
    <row r="422" spans="1:8" ht="15.75" hidden="1" customHeight="1">
      <c r="A422" s="1"/>
      <c r="B422" s="2"/>
      <c r="C422" s="1"/>
      <c r="D422" s="1"/>
      <c r="E422" s="1"/>
      <c r="F422" s="59"/>
      <c r="G422" s="32"/>
      <c r="H422" s="32"/>
    </row>
    <row r="423" spans="1:8" ht="15.75" hidden="1" customHeight="1">
      <c r="A423" s="1"/>
      <c r="B423" s="2"/>
      <c r="C423" s="1"/>
      <c r="D423" s="1"/>
      <c r="E423" s="1"/>
      <c r="F423" s="59"/>
      <c r="G423" s="32"/>
      <c r="H423" s="32"/>
    </row>
    <row r="424" spans="1:8" ht="15.75" hidden="1" customHeight="1">
      <c r="A424" s="1"/>
      <c r="B424" s="2"/>
      <c r="C424" s="1"/>
      <c r="D424" s="1"/>
      <c r="E424" s="1"/>
      <c r="F424" s="59"/>
      <c r="G424" s="32"/>
      <c r="H424" s="32"/>
    </row>
    <row r="425" spans="1:8" ht="15.75" hidden="1" customHeight="1">
      <c r="A425" s="1"/>
      <c r="B425" s="2"/>
      <c r="C425" s="1"/>
      <c r="D425" s="1"/>
      <c r="E425" s="1"/>
      <c r="F425" s="59"/>
      <c r="G425" s="32"/>
      <c r="H425" s="32"/>
    </row>
    <row r="426" spans="1:8" ht="15.75" hidden="1" customHeight="1">
      <c r="A426" s="1"/>
      <c r="B426" s="2"/>
      <c r="C426" s="1"/>
      <c r="D426" s="1"/>
      <c r="E426" s="1"/>
      <c r="F426" s="59"/>
      <c r="G426" s="32"/>
      <c r="H426" s="32"/>
    </row>
    <row r="427" spans="1:8" ht="15.75" hidden="1" customHeight="1">
      <c r="A427" s="1"/>
      <c r="B427" s="2"/>
      <c r="C427" s="1"/>
      <c r="D427" s="1"/>
      <c r="E427" s="1"/>
      <c r="F427" s="59"/>
      <c r="G427" s="32"/>
      <c r="H427" s="32"/>
    </row>
    <row r="428" spans="1:8" ht="15.75" hidden="1" customHeight="1">
      <c r="A428" s="1"/>
      <c r="B428" s="2"/>
      <c r="C428" s="1"/>
      <c r="D428" s="1"/>
      <c r="E428" s="1"/>
      <c r="F428" s="59"/>
      <c r="G428" s="32"/>
      <c r="H428" s="32"/>
    </row>
    <row r="429" spans="1:8" ht="15.75" hidden="1" customHeight="1">
      <c r="A429" s="1"/>
      <c r="B429" s="2"/>
      <c r="C429" s="1"/>
      <c r="D429" s="1"/>
      <c r="E429" s="1"/>
      <c r="F429" s="59"/>
      <c r="G429" s="32"/>
      <c r="H429" s="32"/>
    </row>
    <row r="430" spans="1:8" ht="15.75" hidden="1" customHeight="1">
      <c r="A430" s="1"/>
      <c r="B430" s="2"/>
      <c r="C430" s="1"/>
      <c r="D430" s="1"/>
      <c r="E430" s="1"/>
      <c r="F430" s="59"/>
      <c r="G430" s="32"/>
      <c r="H430" s="32"/>
    </row>
    <row r="431" spans="1:8" ht="15.75" hidden="1" customHeight="1">
      <c r="A431" s="1"/>
      <c r="B431" s="2"/>
      <c r="C431" s="1"/>
      <c r="D431" s="1"/>
      <c r="E431" s="1"/>
      <c r="F431" s="59"/>
      <c r="G431" s="32"/>
      <c r="H431" s="32"/>
    </row>
    <row r="432" spans="1:8" ht="15.75" hidden="1" customHeight="1">
      <c r="A432" s="1"/>
      <c r="B432" s="2"/>
      <c r="C432" s="1"/>
      <c r="D432" s="1"/>
      <c r="E432" s="1"/>
      <c r="F432" s="59"/>
      <c r="G432" s="32"/>
      <c r="H432" s="32"/>
    </row>
    <row r="433" spans="1:8" ht="15.75" hidden="1" customHeight="1">
      <c r="A433" s="1"/>
      <c r="B433" s="2"/>
      <c r="C433" s="1"/>
      <c r="D433" s="1"/>
      <c r="E433" s="1"/>
      <c r="F433" s="59"/>
      <c r="G433" s="32"/>
      <c r="H433" s="32"/>
    </row>
    <row r="434" spans="1:8" ht="15.75" hidden="1" customHeight="1">
      <c r="A434" s="1"/>
      <c r="B434" s="2"/>
      <c r="C434" s="1"/>
      <c r="D434" s="1"/>
      <c r="E434" s="1"/>
      <c r="F434" s="59"/>
      <c r="G434" s="32"/>
      <c r="H434" s="32"/>
    </row>
    <row r="435" spans="1:8" ht="15.75" hidden="1" customHeight="1">
      <c r="A435" s="1"/>
      <c r="B435" s="2"/>
      <c r="C435" s="1"/>
      <c r="D435" s="1"/>
      <c r="E435" s="1"/>
      <c r="F435" s="59"/>
      <c r="G435" s="32"/>
      <c r="H435" s="32"/>
    </row>
    <row r="436" spans="1:8" ht="15.75" hidden="1" customHeight="1">
      <c r="A436" s="1"/>
      <c r="B436" s="2"/>
      <c r="C436" s="1"/>
      <c r="D436" s="1"/>
      <c r="E436" s="1"/>
      <c r="F436" s="59"/>
      <c r="G436" s="32"/>
      <c r="H436" s="32"/>
    </row>
    <row r="437" spans="1:8" ht="15.75" hidden="1" customHeight="1">
      <c r="A437" s="1"/>
      <c r="B437" s="2"/>
      <c r="C437" s="1"/>
      <c r="D437" s="1"/>
      <c r="E437" s="1"/>
      <c r="F437" s="59"/>
      <c r="G437" s="32"/>
      <c r="H437" s="32"/>
    </row>
    <row r="438" spans="1:8" ht="15.75" hidden="1" customHeight="1">
      <c r="A438" s="1"/>
      <c r="B438" s="2"/>
      <c r="C438" s="1"/>
      <c r="D438" s="1"/>
      <c r="E438" s="1"/>
      <c r="F438" s="59"/>
      <c r="G438" s="32"/>
      <c r="H438" s="32"/>
    </row>
    <row r="439" spans="1:8" ht="15.75" hidden="1" customHeight="1">
      <c r="A439" s="1"/>
      <c r="B439" s="2"/>
      <c r="C439" s="1"/>
      <c r="D439" s="1"/>
      <c r="E439" s="1"/>
      <c r="F439" s="59"/>
      <c r="G439" s="32"/>
      <c r="H439" s="32"/>
    </row>
    <row r="440" spans="1:8" ht="15.75" hidden="1" customHeight="1">
      <c r="A440" s="1"/>
      <c r="B440" s="2"/>
      <c r="C440" s="1"/>
      <c r="D440" s="1"/>
      <c r="E440" s="1"/>
      <c r="F440" s="59"/>
      <c r="G440" s="32"/>
      <c r="H440" s="32"/>
    </row>
    <row r="441" spans="1:8" ht="15.75" hidden="1" customHeight="1">
      <c r="A441" s="1"/>
      <c r="B441" s="2"/>
      <c r="C441" s="1"/>
      <c r="D441" s="1"/>
      <c r="E441" s="1"/>
      <c r="F441" s="59"/>
      <c r="G441" s="32"/>
      <c r="H441" s="32"/>
    </row>
    <row r="442" spans="1:8" ht="15.75" hidden="1" customHeight="1">
      <c r="A442" s="1"/>
      <c r="B442" s="2"/>
      <c r="C442" s="1"/>
      <c r="D442" s="1"/>
      <c r="E442" s="1"/>
      <c r="F442" s="59"/>
      <c r="G442" s="32"/>
      <c r="H442" s="32"/>
    </row>
    <row r="443" spans="1:8" ht="15.75" hidden="1" customHeight="1">
      <c r="A443" s="1"/>
      <c r="B443" s="2"/>
      <c r="C443" s="1"/>
      <c r="D443" s="1"/>
      <c r="E443" s="1"/>
      <c r="F443" s="59"/>
      <c r="G443" s="32"/>
      <c r="H443" s="32"/>
    </row>
    <row r="444" spans="1:8" ht="15.75" hidden="1" customHeight="1">
      <c r="A444" s="1"/>
      <c r="B444" s="2"/>
      <c r="C444" s="1"/>
      <c r="D444" s="1"/>
      <c r="E444" s="1"/>
      <c r="F444" s="59"/>
      <c r="G444" s="32"/>
      <c r="H444" s="32"/>
    </row>
    <row r="445" spans="1:8" ht="15.75" hidden="1" customHeight="1">
      <c r="A445" s="1"/>
      <c r="B445" s="2"/>
      <c r="C445" s="1"/>
      <c r="D445" s="1"/>
      <c r="E445" s="1"/>
      <c r="F445" s="59"/>
      <c r="G445" s="32"/>
      <c r="H445" s="32"/>
    </row>
    <row r="446" spans="1:8" ht="15.75" hidden="1" customHeight="1">
      <c r="A446" s="1"/>
      <c r="B446" s="2"/>
      <c r="C446" s="1"/>
      <c r="D446" s="1"/>
      <c r="E446" s="1"/>
      <c r="F446" s="59"/>
      <c r="G446" s="32"/>
      <c r="H446" s="32"/>
    </row>
    <row r="447" spans="1:8" ht="15.75" hidden="1" customHeight="1">
      <c r="A447" s="1"/>
      <c r="B447" s="2"/>
      <c r="C447" s="1"/>
      <c r="D447" s="1"/>
      <c r="E447" s="1"/>
      <c r="F447" s="59"/>
      <c r="G447" s="32"/>
      <c r="H447" s="32"/>
    </row>
    <row r="448" spans="1:8" ht="15.75" hidden="1" customHeight="1">
      <c r="A448" s="1"/>
      <c r="B448" s="2"/>
      <c r="C448" s="1"/>
      <c r="D448" s="1"/>
      <c r="E448" s="1"/>
      <c r="F448" s="59"/>
      <c r="G448" s="32"/>
      <c r="H448" s="32"/>
    </row>
    <row r="449" spans="1:8" ht="15.75" hidden="1" customHeight="1">
      <c r="A449" s="1"/>
      <c r="B449" s="2"/>
      <c r="C449" s="1"/>
      <c r="D449" s="1"/>
      <c r="E449" s="1"/>
      <c r="F449" s="59"/>
      <c r="G449" s="32"/>
      <c r="H449" s="32"/>
    </row>
    <row r="450" spans="1:8" ht="15.75" hidden="1" customHeight="1">
      <c r="A450" s="1"/>
      <c r="B450" s="2"/>
      <c r="C450" s="1"/>
      <c r="D450" s="1"/>
      <c r="E450" s="1"/>
      <c r="F450" s="59"/>
      <c r="G450" s="32"/>
      <c r="H450" s="32"/>
    </row>
    <row r="451" spans="1:8" ht="15.75" hidden="1" customHeight="1">
      <c r="A451" s="1"/>
      <c r="B451" s="2"/>
      <c r="C451" s="1"/>
      <c r="D451" s="1"/>
      <c r="E451" s="1"/>
      <c r="F451" s="59"/>
      <c r="G451" s="32"/>
      <c r="H451" s="32"/>
    </row>
    <row r="452" spans="1:8" ht="15.75" hidden="1" customHeight="1">
      <c r="A452" s="1"/>
      <c r="B452" s="2"/>
      <c r="C452" s="1"/>
      <c r="D452" s="1"/>
      <c r="E452" s="1"/>
      <c r="F452" s="59"/>
      <c r="G452" s="32"/>
      <c r="H452" s="32"/>
    </row>
    <row r="453" spans="1:8" ht="15.75" hidden="1" customHeight="1">
      <c r="A453" s="1"/>
      <c r="B453" s="2"/>
      <c r="C453" s="1"/>
      <c r="D453" s="1"/>
      <c r="E453" s="1"/>
      <c r="F453" s="59"/>
      <c r="G453" s="32"/>
      <c r="H453" s="32"/>
    </row>
    <row r="454" spans="1:8" ht="15.75" hidden="1" customHeight="1">
      <c r="A454" s="1"/>
      <c r="B454" s="2"/>
      <c r="C454" s="1"/>
      <c r="D454" s="1"/>
      <c r="E454" s="1"/>
      <c r="F454" s="59"/>
      <c r="G454" s="32"/>
      <c r="H454" s="32"/>
    </row>
    <row r="455" spans="1:8" ht="15.75" hidden="1" customHeight="1">
      <c r="A455" s="1"/>
      <c r="B455" s="2"/>
      <c r="C455" s="1"/>
      <c r="D455" s="1"/>
      <c r="E455" s="1"/>
      <c r="F455" s="59"/>
      <c r="G455" s="32"/>
      <c r="H455" s="32"/>
    </row>
    <row r="456" spans="1:8" ht="15.75" hidden="1" customHeight="1">
      <c r="A456" s="1"/>
      <c r="B456" s="2"/>
      <c r="C456" s="1"/>
      <c r="D456" s="1"/>
      <c r="E456" s="1"/>
      <c r="F456" s="59"/>
      <c r="G456" s="32"/>
      <c r="H456" s="32"/>
    </row>
    <row r="457" spans="1:8" ht="15.75" hidden="1" customHeight="1">
      <c r="A457" s="1"/>
      <c r="B457" s="2"/>
      <c r="C457" s="1"/>
      <c r="D457" s="1"/>
      <c r="E457" s="1"/>
      <c r="F457" s="59"/>
      <c r="G457" s="32"/>
      <c r="H457" s="32"/>
    </row>
    <row r="458" spans="1:8" ht="15.75" hidden="1" customHeight="1">
      <c r="A458" s="1"/>
      <c r="B458" s="2"/>
      <c r="C458" s="1"/>
      <c r="D458" s="1"/>
      <c r="E458" s="1"/>
      <c r="F458" s="59"/>
      <c r="G458" s="32"/>
      <c r="H458" s="32"/>
    </row>
    <row r="459" spans="1:8" ht="15.75" hidden="1" customHeight="1">
      <c r="A459" s="1"/>
      <c r="B459" s="2"/>
      <c r="C459" s="1"/>
      <c r="D459" s="1"/>
      <c r="E459" s="1"/>
      <c r="F459" s="59"/>
      <c r="G459" s="32"/>
      <c r="H459" s="32"/>
    </row>
    <row r="460" spans="1:8" ht="15.75" hidden="1" customHeight="1">
      <c r="A460" s="1"/>
      <c r="B460" s="2"/>
      <c r="C460" s="1"/>
      <c r="D460" s="1"/>
      <c r="E460" s="1"/>
      <c r="F460" s="59"/>
      <c r="G460" s="32"/>
      <c r="H460" s="32"/>
    </row>
    <row r="461" spans="1:8" ht="15.75" hidden="1" customHeight="1">
      <c r="A461" s="1"/>
      <c r="B461" s="2"/>
      <c r="C461" s="1"/>
      <c r="D461" s="1"/>
      <c r="E461" s="1"/>
      <c r="F461" s="59"/>
      <c r="G461" s="32"/>
      <c r="H461" s="32"/>
    </row>
    <row r="462" spans="1:8" ht="15.75" hidden="1" customHeight="1">
      <c r="A462" s="1"/>
      <c r="B462" s="2"/>
      <c r="C462" s="1"/>
      <c r="D462" s="1"/>
      <c r="E462" s="1"/>
      <c r="F462" s="59"/>
      <c r="G462" s="32"/>
      <c r="H462" s="32"/>
    </row>
    <row r="463" spans="1:8" ht="15.75" hidden="1" customHeight="1">
      <c r="A463" s="1"/>
      <c r="B463" s="2"/>
      <c r="C463" s="1"/>
      <c r="D463" s="1"/>
      <c r="E463" s="1"/>
      <c r="F463" s="59"/>
      <c r="G463" s="32"/>
      <c r="H463" s="32"/>
    </row>
    <row r="464" spans="1:8" ht="15.75" hidden="1" customHeight="1">
      <c r="A464" s="1"/>
      <c r="B464" s="2"/>
      <c r="C464" s="1"/>
      <c r="D464" s="1"/>
      <c r="E464" s="1"/>
      <c r="F464" s="59"/>
      <c r="G464" s="32"/>
      <c r="H464" s="32"/>
    </row>
    <row r="465" spans="1:8" ht="15.75" hidden="1" customHeight="1">
      <c r="A465" s="1"/>
      <c r="B465" s="2"/>
      <c r="C465" s="1"/>
      <c r="D465" s="1"/>
      <c r="E465" s="1"/>
      <c r="F465" s="59"/>
      <c r="G465" s="32"/>
      <c r="H465" s="32"/>
    </row>
    <row r="466" spans="1:8" ht="15.75" hidden="1" customHeight="1">
      <c r="A466" s="1"/>
      <c r="B466" s="2"/>
      <c r="C466" s="1"/>
      <c r="D466" s="1"/>
      <c r="E466" s="1"/>
      <c r="F466" s="59"/>
      <c r="G466" s="32"/>
      <c r="H466" s="32"/>
    </row>
    <row r="467" spans="1:8" ht="15.75" hidden="1" customHeight="1">
      <c r="A467" s="1"/>
      <c r="B467" s="2"/>
      <c r="C467" s="1"/>
      <c r="D467" s="1"/>
      <c r="E467" s="1"/>
      <c r="F467" s="59"/>
      <c r="G467" s="32"/>
      <c r="H467" s="32"/>
    </row>
    <row r="468" spans="1:8" ht="15.75" hidden="1" customHeight="1">
      <c r="A468" s="1"/>
      <c r="B468" s="2"/>
      <c r="C468" s="1"/>
      <c r="D468" s="1"/>
      <c r="E468" s="1"/>
      <c r="F468" s="59"/>
      <c r="G468" s="32"/>
      <c r="H468" s="32"/>
    </row>
    <row r="469" spans="1:8" ht="15.75" hidden="1" customHeight="1">
      <c r="A469" s="1"/>
      <c r="B469" s="2"/>
      <c r="C469" s="1"/>
      <c r="D469" s="1"/>
      <c r="E469" s="1"/>
      <c r="F469" s="59"/>
      <c r="G469" s="32"/>
      <c r="H469" s="32"/>
    </row>
    <row r="470" spans="1:8" ht="15.75" hidden="1" customHeight="1">
      <c r="A470" s="1"/>
      <c r="B470" s="2"/>
      <c r="C470" s="1"/>
      <c r="D470" s="1"/>
      <c r="E470" s="1"/>
      <c r="F470" s="59"/>
      <c r="G470" s="32"/>
      <c r="H470" s="32"/>
    </row>
    <row r="471" spans="1:8" ht="15.75" hidden="1" customHeight="1">
      <c r="A471" s="1"/>
      <c r="B471" s="2"/>
      <c r="C471" s="1"/>
      <c r="D471" s="1"/>
      <c r="E471" s="1"/>
      <c r="F471" s="59"/>
      <c r="G471" s="32"/>
      <c r="H471" s="32"/>
    </row>
    <row r="472" spans="1:8" ht="15.75" hidden="1" customHeight="1">
      <c r="A472" s="1"/>
      <c r="B472" s="2"/>
      <c r="C472" s="1"/>
      <c r="D472" s="1"/>
      <c r="E472" s="1"/>
      <c r="F472" s="59"/>
      <c r="G472" s="32"/>
      <c r="H472" s="32"/>
    </row>
    <row r="473" spans="1:8" ht="15.75" hidden="1" customHeight="1">
      <c r="A473" s="1"/>
      <c r="B473" s="2"/>
      <c r="C473" s="1"/>
      <c r="D473" s="1"/>
      <c r="E473" s="1"/>
      <c r="F473" s="59"/>
      <c r="G473" s="32"/>
      <c r="H473" s="32"/>
    </row>
    <row r="474" spans="1:8" ht="15.75" hidden="1" customHeight="1">
      <c r="A474" s="1"/>
      <c r="B474" s="2"/>
      <c r="C474" s="1"/>
      <c r="D474" s="1"/>
      <c r="E474" s="1"/>
      <c r="F474" s="59"/>
      <c r="G474" s="32"/>
      <c r="H474" s="32"/>
    </row>
    <row r="475" spans="1:8" ht="15.75" hidden="1" customHeight="1">
      <c r="A475" s="1"/>
      <c r="B475" s="2"/>
      <c r="C475" s="1"/>
      <c r="D475" s="1"/>
      <c r="E475" s="1"/>
      <c r="F475" s="59"/>
      <c r="G475" s="32"/>
      <c r="H475" s="32"/>
    </row>
    <row r="476" spans="1:8" ht="15.75" hidden="1" customHeight="1">
      <c r="A476" s="1"/>
      <c r="B476" s="2"/>
      <c r="C476" s="1"/>
      <c r="D476" s="1"/>
      <c r="E476" s="1"/>
      <c r="F476" s="59"/>
      <c r="G476" s="32"/>
      <c r="H476" s="32"/>
    </row>
    <row r="477" spans="1:8" ht="15.75" hidden="1" customHeight="1">
      <c r="A477" s="1"/>
      <c r="B477" s="2"/>
      <c r="C477" s="1"/>
      <c r="D477" s="1"/>
      <c r="E477" s="1"/>
      <c r="F477" s="59"/>
      <c r="G477" s="32"/>
      <c r="H477" s="32"/>
    </row>
    <row r="478" spans="1:8" ht="15.75" hidden="1" customHeight="1">
      <c r="A478" s="1"/>
      <c r="B478" s="2"/>
      <c r="C478" s="1"/>
      <c r="D478" s="1"/>
      <c r="E478" s="1"/>
      <c r="F478" s="59"/>
      <c r="G478" s="32"/>
      <c r="H478" s="32"/>
    </row>
    <row r="479" spans="1:8" ht="15.75" hidden="1" customHeight="1">
      <c r="A479" s="1"/>
      <c r="B479" s="2"/>
      <c r="C479" s="1"/>
      <c r="D479" s="1"/>
      <c r="E479" s="1"/>
      <c r="F479" s="59"/>
      <c r="G479" s="32"/>
      <c r="H479" s="32"/>
    </row>
    <row r="480" spans="1:8" ht="15.75" hidden="1" customHeight="1">
      <c r="A480" s="1"/>
      <c r="B480" s="2"/>
      <c r="C480" s="1"/>
      <c r="D480" s="1"/>
      <c r="E480" s="1"/>
      <c r="F480" s="59"/>
      <c r="G480" s="32"/>
      <c r="H480" s="32"/>
    </row>
    <row r="481" spans="1:8" ht="15.75" hidden="1" customHeight="1">
      <c r="A481" s="1"/>
      <c r="B481" s="2"/>
      <c r="C481" s="1"/>
      <c r="D481" s="1"/>
      <c r="E481" s="1"/>
      <c r="F481" s="59"/>
      <c r="G481" s="32"/>
      <c r="H481" s="32"/>
    </row>
    <row r="482" spans="1:8" ht="15.75" hidden="1" customHeight="1">
      <c r="A482" s="1"/>
      <c r="B482" s="2"/>
      <c r="C482" s="1"/>
      <c r="D482" s="1"/>
      <c r="E482" s="1"/>
      <c r="F482" s="59"/>
      <c r="G482" s="32"/>
      <c r="H482" s="32"/>
    </row>
    <row r="483" spans="1:8" ht="15.75" hidden="1" customHeight="1">
      <c r="A483" s="1"/>
      <c r="B483" s="2"/>
      <c r="C483" s="1"/>
      <c r="D483" s="1"/>
      <c r="E483" s="1"/>
      <c r="F483" s="59"/>
      <c r="G483" s="32"/>
      <c r="H483" s="32"/>
    </row>
    <row r="484" spans="1:8" ht="15.75" hidden="1" customHeight="1">
      <c r="A484" s="1"/>
      <c r="B484" s="2"/>
      <c r="C484" s="1"/>
      <c r="D484" s="1"/>
      <c r="E484" s="1"/>
      <c r="F484" s="59"/>
      <c r="G484" s="32"/>
      <c r="H484" s="32"/>
    </row>
    <row r="485" spans="1:8" ht="15.75" hidden="1" customHeight="1">
      <c r="A485" s="1"/>
      <c r="B485" s="2"/>
      <c r="C485" s="1"/>
      <c r="D485" s="1"/>
      <c r="E485" s="1"/>
      <c r="F485" s="59"/>
      <c r="G485" s="32"/>
      <c r="H485" s="32"/>
    </row>
    <row r="486" spans="1:8" ht="15.75" hidden="1" customHeight="1">
      <c r="A486" s="1"/>
      <c r="B486" s="2"/>
      <c r="C486" s="1"/>
      <c r="D486" s="1"/>
      <c r="E486" s="1"/>
      <c r="F486" s="59"/>
      <c r="G486" s="32"/>
      <c r="H486" s="32"/>
    </row>
    <row r="487" spans="1:8" ht="15.75" hidden="1" customHeight="1">
      <c r="A487" s="1"/>
      <c r="B487" s="2"/>
      <c r="C487" s="1"/>
      <c r="D487" s="1"/>
      <c r="E487" s="1"/>
      <c r="F487" s="59"/>
      <c r="G487" s="32"/>
      <c r="H487" s="32"/>
    </row>
    <row r="488" spans="1:8" ht="15.75" hidden="1" customHeight="1">
      <c r="A488" s="1"/>
      <c r="B488" s="2"/>
      <c r="C488" s="1"/>
      <c r="D488" s="1"/>
      <c r="E488" s="1"/>
      <c r="F488" s="59"/>
      <c r="G488" s="32"/>
      <c r="H488" s="32"/>
    </row>
    <row r="489" spans="1:8" ht="15.75" hidden="1" customHeight="1">
      <c r="A489" s="1"/>
      <c r="B489" s="2"/>
      <c r="C489" s="1"/>
      <c r="D489" s="1"/>
      <c r="E489" s="1"/>
      <c r="F489" s="59"/>
      <c r="G489" s="32"/>
      <c r="H489" s="32"/>
    </row>
    <row r="490" spans="1:8" ht="15.75" hidden="1" customHeight="1">
      <c r="A490" s="1"/>
      <c r="B490" s="2"/>
      <c r="C490" s="1"/>
      <c r="D490" s="1"/>
      <c r="E490" s="1"/>
      <c r="F490" s="59"/>
      <c r="G490" s="32"/>
      <c r="H490" s="32"/>
    </row>
    <row r="491" spans="1:8" ht="15.75" hidden="1" customHeight="1">
      <c r="A491" s="1"/>
      <c r="B491" s="2"/>
      <c r="C491" s="1"/>
      <c r="D491" s="1"/>
      <c r="E491" s="1"/>
      <c r="F491" s="59"/>
      <c r="G491" s="32"/>
      <c r="H491" s="32"/>
    </row>
    <row r="492" spans="1:8" ht="15.75" hidden="1" customHeight="1">
      <c r="A492" s="1"/>
      <c r="B492" s="2"/>
      <c r="C492" s="1"/>
      <c r="D492" s="1"/>
      <c r="E492" s="1"/>
      <c r="F492" s="59"/>
      <c r="G492" s="32"/>
      <c r="H492" s="32"/>
    </row>
    <row r="493" spans="1:8" ht="15.75" hidden="1" customHeight="1">
      <c r="A493" s="1"/>
      <c r="B493" s="2"/>
      <c r="C493" s="1"/>
      <c r="D493" s="1"/>
      <c r="E493" s="1"/>
      <c r="F493" s="59"/>
      <c r="G493" s="32"/>
      <c r="H493" s="32"/>
    </row>
    <row r="494" spans="1:8" ht="15.75" hidden="1" customHeight="1">
      <c r="A494" s="1"/>
      <c r="B494" s="2"/>
      <c r="C494" s="1"/>
      <c r="D494" s="1"/>
      <c r="E494" s="1"/>
      <c r="F494" s="59"/>
      <c r="G494" s="32"/>
      <c r="H494" s="32"/>
    </row>
    <row r="495" spans="1:8" ht="15.75" hidden="1" customHeight="1">
      <c r="A495" s="1"/>
      <c r="B495" s="2"/>
      <c r="C495" s="1"/>
      <c r="D495" s="1"/>
      <c r="E495" s="1"/>
      <c r="F495" s="59"/>
      <c r="G495" s="32"/>
      <c r="H495" s="32"/>
    </row>
    <row r="496" spans="1:8" ht="15.75" hidden="1" customHeight="1">
      <c r="A496" s="1"/>
      <c r="B496" s="2"/>
      <c r="C496" s="1"/>
      <c r="D496" s="1"/>
      <c r="E496" s="1"/>
      <c r="F496" s="59"/>
      <c r="G496" s="32"/>
      <c r="H496" s="32"/>
    </row>
    <row r="497" spans="1:8" ht="15.75" hidden="1" customHeight="1">
      <c r="A497" s="1"/>
      <c r="B497" s="2"/>
      <c r="C497" s="1"/>
      <c r="D497" s="1"/>
      <c r="E497" s="1"/>
      <c r="F497" s="59"/>
      <c r="G497" s="32"/>
      <c r="H497" s="32"/>
    </row>
    <row r="498" spans="1:8" ht="15.75" hidden="1" customHeight="1">
      <c r="A498" s="1"/>
      <c r="B498" s="2"/>
      <c r="C498" s="1"/>
      <c r="D498" s="1"/>
      <c r="E498" s="1"/>
      <c r="F498" s="59"/>
      <c r="G498" s="32"/>
      <c r="H498" s="32"/>
    </row>
    <row r="499" spans="1:8" ht="15.75" hidden="1" customHeight="1">
      <c r="A499" s="1"/>
      <c r="B499" s="2"/>
      <c r="C499" s="1"/>
      <c r="D499" s="1"/>
      <c r="E499" s="1"/>
      <c r="F499" s="59"/>
      <c r="G499" s="32"/>
      <c r="H499" s="32"/>
    </row>
    <row r="500" spans="1:8" ht="15.75" hidden="1" customHeight="1">
      <c r="A500" s="1"/>
      <c r="B500" s="2"/>
      <c r="C500" s="1"/>
      <c r="D500" s="1"/>
      <c r="E500" s="1"/>
      <c r="F500" s="59"/>
      <c r="G500" s="32"/>
      <c r="H500" s="32"/>
    </row>
    <row r="501" spans="1:8" ht="15.75" hidden="1" customHeight="1">
      <c r="A501" s="1"/>
      <c r="B501" s="2"/>
      <c r="C501" s="1"/>
      <c r="D501" s="1"/>
      <c r="E501" s="1"/>
      <c r="F501" s="59"/>
      <c r="G501" s="32"/>
      <c r="H501" s="32"/>
    </row>
    <row r="502" spans="1:8" ht="15.75" hidden="1" customHeight="1">
      <c r="A502" s="1"/>
      <c r="B502" s="2"/>
      <c r="C502" s="1"/>
      <c r="D502" s="1"/>
      <c r="E502" s="1"/>
      <c r="F502" s="59"/>
      <c r="G502" s="32"/>
      <c r="H502" s="32"/>
    </row>
    <row r="503" spans="1:8" ht="15.75" hidden="1" customHeight="1">
      <c r="A503" s="1"/>
      <c r="B503" s="2"/>
      <c r="C503" s="1"/>
      <c r="D503" s="1"/>
      <c r="E503" s="1"/>
      <c r="F503" s="59"/>
      <c r="G503" s="32"/>
      <c r="H503" s="32"/>
    </row>
    <row r="504" spans="1:8" ht="15.75" hidden="1" customHeight="1">
      <c r="A504" s="1"/>
      <c r="B504" s="2"/>
      <c r="C504" s="1"/>
      <c r="D504" s="1"/>
      <c r="E504" s="1"/>
      <c r="F504" s="59"/>
      <c r="G504" s="32"/>
      <c r="H504" s="32"/>
    </row>
    <row r="505" spans="1:8" ht="15.75" hidden="1" customHeight="1">
      <c r="A505" s="1"/>
      <c r="B505" s="2"/>
      <c r="C505" s="1"/>
      <c r="D505" s="1"/>
      <c r="E505" s="1"/>
      <c r="F505" s="59"/>
      <c r="G505" s="32"/>
      <c r="H505" s="32"/>
    </row>
    <row r="506" spans="1:8" ht="15.75" hidden="1" customHeight="1">
      <c r="A506" s="1"/>
      <c r="B506" s="2"/>
      <c r="C506" s="1"/>
      <c r="D506" s="1"/>
      <c r="E506" s="1"/>
      <c r="F506" s="59"/>
      <c r="G506" s="32"/>
      <c r="H506" s="32"/>
    </row>
    <row r="507" spans="1:8" ht="15.75" hidden="1" customHeight="1">
      <c r="A507" s="1"/>
      <c r="B507" s="2"/>
      <c r="C507" s="1"/>
      <c r="D507" s="1"/>
      <c r="E507" s="1"/>
      <c r="F507" s="59"/>
      <c r="G507" s="32"/>
      <c r="H507" s="32"/>
    </row>
    <row r="508" spans="1:8" ht="15.75" hidden="1" customHeight="1">
      <c r="A508" s="1"/>
      <c r="B508" s="2"/>
      <c r="C508" s="1"/>
      <c r="D508" s="1"/>
      <c r="E508" s="1"/>
      <c r="F508" s="59"/>
      <c r="G508" s="32"/>
      <c r="H508" s="32"/>
    </row>
    <row r="509" spans="1:8" ht="15.75" hidden="1" customHeight="1">
      <c r="A509" s="1"/>
      <c r="B509" s="2"/>
      <c r="C509" s="1"/>
      <c r="D509" s="1"/>
      <c r="E509" s="1"/>
      <c r="F509" s="59"/>
      <c r="G509" s="32"/>
      <c r="H509" s="32"/>
    </row>
    <row r="510" spans="1:8" ht="15.75" hidden="1" customHeight="1">
      <c r="A510" s="1"/>
      <c r="B510" s="2"/>
      <c r="C510" s="1"/>
      <c r="D510" s="1"/>
      <c r="E510" s="1"/>
      <c r="F510" s="59"/>
      <c r="G510" s="32"/>
      <c r="H510" s="32"/>
    </row>
    <row r="511" spans="1:8" ht="15.75" hidden="1" customHeight="1">
      <c r="A511" s="1"/>
      <c r="B511" s="2"/>
      <c r="C511" s="1"/>
      <c r="D511" s="1"/>
      <c r="E511" s="1"/>
      <c r="F511" s="59"/>
      <c r="G511" s="32"/>
      <c r="H511" s="32"/>
    </row>
    <row r="512" spans="1:8" ht="15.75" hidden="1" customHeight="1">
      <c r="A512" s="1"/>
      <c r="B512" s="2"/>
      <c r="C512" s="1"/>
      <c r="D512" s="1"/>
      <c r="E512" s="1"/>
      <c r="F512" s="59"/>
      <c r="G512" s="32"/>
      <c r="H512" s="32"/>
    </row>
    <row r="513" spans="1:8" ht="15.75" hidden="1" customHeight="1">
      <c r="A513" s="1"/>
      <c r="B513" s="2"/>
      <c r="C513" s="1"/>
      <c r="D513" s="1"/>
      <c r="E513" s="1"/>
      <c r="F513" s="59"/>
      <c r="G513" s="32"/>
      <c r="H513" s="32"/>
    </row>
    <row r="514" spans="1:8" ht="15.75" hidden="1" customHeight="1">
      <c r="A514" s="1"/>
      <c r="B514" s="2"/>
      <c r="C514" s="1"/>
      <c r="D514" s="1"/>
      <c r="E514" s="1"/>
      <c r="F514" s="59"/>
      <c r="G514" s="32"/>
      <c r="H514" s="32"/>
    </row>
    <row r="515" spans="1:8" ht="15.75" hidden="1" customHeight="1">
      <c r="A515" s="1"/>
      <c r="B515" s="2"/>
      <c r="C515" s="1"/>
      <c r="D515" s="1"/>
      <c r="E515" s="1"/>
      <c r="F515" s="59"/>
      <c r="G515" s="32"/>
      <c r="H515" s="32"/>
    </row>
    <row r="516" spans="1:8" ht="15.75" hidden="1" customHeight="1">
      <c r="A516" s="1"/>
      <c r="B516" s="2"/>
      <c r="C516" s="1"/>
      <c r="D516" s="1"/>
      <c r="E516" s="1"/>
      <c r="F516" s="59"/>
      <c r="G516" s="32"/>
      <c r="H516" s="32"/>
    </row>
    <row r="517" spans="1:8" ht="15.75" hidden="1" customHeight="1">
      <c r="A517" s="1"/>
      <c r="B517" s="2"/>
      <c r="C517" s="1"/>
      <c r="D517" s="1"/>
      <c r="E517" s="1"/>
      <c r="F517" s="59"/>
      <c r="G517" s="32"/>
      <c r="H517" s="32"/>
    </row>
    <row r="518" spans="1:8" ht="15.75" hidden="1" customHeight="1">
      <c r="A518" s="1"/>
      <c r="B518" s="2"/>
      <c r="C518" s="1"/>
      <c r="D518" s="1"/>
      <c r="E518" s="1"/>
      <c r="F518" s="59"/>
      <c r="G518" s="32"/>
      <c r="H518" s="32"/>
    </row>
    <row r="519" spans="1:8" ht="15.75" hidden="1" customHeight="1">
      <c r="A519" s="1"/>
      <c r="B519" s="2"/>
      <c r="C519" s="1"/>
      <c r="D519" s="1"/>
      <c r="E519" s="1"/>
      <c r="F519" s="59"/>
      <c r="G519" s="32"/>
      <c r="H519" s="32"/>
    </row>
    <row r="520" spans="1:8" ht="15.75" hidden="1" customHeight="1">
      <c r="A520" s="1"/>
      <c r="B520" s="2"/>
      <c r="C520" s="1"/>
      <c r="D520" s="1"/>
      <c r="E520" s="1"/>
      <c r="F520" s="59"/>
      <c r="G520" s="32"/>
      <c r="H520" s="32"/>
    </row>
    <row r="521" spans="1:8" ht="15.75" hidden="1" customHeight="1">
      <c r="A521" s="1"/>
      <c r="B521" s="2"/>
      <c r="C521" s="1"/>
      <c r="D521" s="1"/>
      <c r="E521" s="1"/>
      <c r="F521" s="59"/>
      <c r="G521" s="32"/>
      <c r="H521" s="32"/>
    </row>
    <row r="522" spans="1:8" ht="15.75" hidden="1" customHeight="1">
      <c r="A522" s="1"/>
      <c r="B522" s="2"/>
      <c r="C522" s="1"/>
      <c r="D522" s="1"/>
      <c r="E522" s="1"/>
      <c r="F522" s="59"/>
      <c r="G522" s="32"/>
      <c r="H522" s="32"/>
    </row>
    <row r="523" spans="1:8" ht="15.75" hidden="1" customHeight="1">
      <c r="A523" s="1"/>
      <c r="B523" s="2"/>
      <c r="C523" s="1"/>
      <c r="D523" s="1"/>
      <c r="E523" s="1"/>
      <c r="F523" s="59"/>
      <c r="G523" s="32"/>
      <c r="H523" s="32"/>
    </row>
    <row r="524" spans="1:8" ht="15.75" hidden="1" customHeight="1">
      <c r="A524" s="1"/>
      <c r="B524" s="2"/>
      <c r="C524" s="1"/>
      <c r="D524" s="1"/>
      <c r="E524" s="1"/>
      <c r="F524" s="59"/>
      <c r="G524" s="32"/>
      <c r="H524" s="32"/>
    </row>
    <row r="525" spans="1:8" ht="15.75" hidden="1" customHeight="1">
      <c r="A525" s="1"/>
      <c r="B525" s="2"/>
      <c r="C525" s="1"/>
      <c r="D525" s="1"/>
      <c r="E525" s="1"/>
      <c r="F525" s="59"/>
      <c r="G525" s="32"/>
      <c r="H525" s="32"/>
    </row>
    <row r="526" spans="1:8" ht="15.75" hidden="1" customHeight="1">
      <c r="A526" s="1"/>
      <c r="B526" s="2"/>
      <c r="C526" s="1"/>
      <c r="D526" s="1"/>
      <c r="E526" s="1"/>
      <c r="F526" s="59"/>
      <c r="G526" s="32"/>
      <c r="H526" s="32"/>
    </row>
    <row r="527" spans="1:8" ht="15.75" hidden="1" customHeight="1">
      <c r="A527" s="1"/>
      <c r="B527" s="2"/>
      <c r="C527" s="1"/>
      <c r="D527" s="1"/>
      <c r="E527" s="1"/>
      <c r="F527" s="59"/>
      <c r="G527" s="32"/>
      <c r="H527" s="32"/>
    </row>
    <row r="528" spans="1:8" ht="15.75" hidden="1" customHeight="1">
      <c r="A528" s="1"/>
      <c r="B528" s="2"/>
      <c r="C528" s="1"/>
      <c r="D528" s="1"/>
      <c r="E528" s="1"/>
      <c r="F528" s="59"/>
      <c r="G528" s="32"/>
      <c r="H528" s="32"/>
    </row>
    <row r="529" spans="1:8" ht="15.75" hidden="1" customHeight="1">
      <c r="A529" s="1"/>
      <c r="B529" s="2"/>
      <c r="C529" s="1"/>
      <c r="D529" s="1"/>
      <c r="E529" s="1"/>
      <c r="F529" s="59"/>
      <c r="G529" s="32"/>
      <c r="H529" s="32"/>
    </row>
    <row r="530" spans="1:8" ht="15.75" hidden="1" customHeight="1">
      <c r="A530" s="1"/>
      <c r="B530" s="2"/>
      <c r="C530" s="1"/>
      <c r="D530" s="1"/>
      <c r="E530" s="1"/>
      <c r="F530" s="59"/>
      <c r="G530" s="32"/>
      <c r="H530" s="32"/>
    </row>
    <row r="531" spans="1:8" ht="15.75" hidden="1" customHeight="1">
      <c r="A531" s="1"/>
      <c r="B531" s="2"/>
      <c r="C531" s="1"/>
      <c r="D531" s="1"/>
      <c r="E531" s="1"/>
      <c r="F531" s="59"/>
      <c r="G531" s="32"/>
      <c r="H531" s="32"/>
    </row>
    <row r="532" spans="1:8" ht="15.75" hidden="1" customHeight="1">
      <c r="A532" s="1"/>
      <c r="B532" s="2"/>
      <c r="C532" s="1"/>
      <c r="D532" s="1"/>
      <c r="E532" s="1"/>
      <c r="F532" s="59"/>
      <c r="G532" s="32"/>
      <c r="H532" s="32"/>
    </row>
    <row r="533" spans="1:8" ht="15.75" hidden="1" customHeight="1">
      <c r="A533" s="1"/>
      <c r="B533" s="2"/>
      <c r="C533" s="1"/>
      <c r="D533" s="1"/>
      <c r="E533" s="1"/>
      <c r="F533" s="59"/>
      <c r="G533" s="32"/>
      <c r="H533" s="32"/>
    </row>
    <row r="534" spans="1:8" ht="15.75" hidden="1" customHeight="1">
      <c r="A534" s="1"/>
      <c r="B534" s="2"/>
      <c r="C534" s="1"/>
      <c r="D534" s="1"/>
      <c r="E534" s="1"/>
      <c r="F534" s="59"/>
      <c r="G534" s="32"/>
      <c r="H534" s="32"/>
    </row>
    <row r="535" spans="1:8" ht="15.75" hidden="1" customHeight="1">
      <c r="A535" s="1"/>
      <c r="B535" s="2"/>
      <c r="C535" s="1"/>
      <c r="D535" s="1"/>
      <c r="E535" s="1"/>
      <c r="F535" s="59"/>
      <c r="G535" s="32"/>
      <c r="H535" s="32"/>
    </row>
    <row r="536" spans="1:8" ht="15.75" hidden="1" customHeight="1">
      <c r="A536" s="1"/>
      <c r="B536" s="2"/>
      <c r="C536" s="1"/>
      <c r="D536" s="1"/>
      <c r="E536" s="1"/>
      <c r="F536" s="59"/>
      <c r="G536" s="32"/>
      <c r="H536" s="32"/>
    </row>
    <row r="537" spans="1:8" ht="15.75" hidden="1" customHeight="1">
      <c r="A537" s="1"/>
      <c r="B537" s="2"/>
      <c r="C537" s="1"/>
      <c r="D537" s="1"/>
      <c r="E537" s="1"/>
      <c r="F537" s="59"/>
      <c r="G537" s="32"/>
      <c r="H537" s="32"/>
    </row>
    <row r="538" spans="1:8" ht="15.75" hidden="1" customHeight="1">
      <c r="A538" s="1"/>
      <c r="B538" s="2"/>
      <c r="C538" s="1"/>
      <c r="D538" s="1"/>
      <c r="E538" s="1"/>
      <c r="F538" s="59"/>
      <c r="G538" s="32"/>
      <c r="H538" s="32"/>
    </row>
    <row r="539" spans="1:8" ht="15.75" hidden="1" customHeight="1">
      <c r="A539" s="1"/>
      <c r="B539" s="2"/>
      <c r="C539" s="1"/>
      <c r="D539" s="1"/>
      <c r="E539" s="1"/>
      <c r="F539" s="59"/>
      <c r="G539" s="32"/>
      <c r="H539" s="32"/>
    </row>
    <row r="540" spans="1:8" ht="15.75" hidden="1" customHeight="1">
      <c r="A540" s="1"/>
      <c r="B540" s="2"/>
      <c r="C540" s="1"/>
      <c r="D540" s="1"/>
      <c r="E540" s="1"/>
      <c r="F540" s="59"/>
      <c r="G540" s="32"/>
      <c r="H540" s="32"/>
    </row>
    <row r="541" spans="1:8" ht="15.75" hidden="1" customHeight="1">
      <c r="A541" s="1"/>
      <c r="B541" s="2"/>
      <c r="C541" s="1"/>
      <c r="D541" s="1"/>
      <c r="E541" s="1"/>
      <c r="F541" s="59"/>
      <c r="G541" s="32"/>
      <c r="H541" s="32"/>
    </row>
    <row r="542" spans="1:8" ht="15.75" hidden="1" customHeight="1">
      <c r="A542" s="1"/>
      <c r="B542" s="2"/>
      <c r="C542" s="1"/>
      <c r="D542" s="1"/>
      <c r="E542" s="1"/>
      <c r="F542" s="59"/>
      <c r="G542" s="32"/>
      <c r="H542" s="32"/>
    </row>
    <row r="543" spans="1:8" ht="15.75" hidden="1" customHeight="1">
      <c r="A543" s="1"/>
      <c r="B543" s="2"/>
      <c r="C543" s="1"/>
      <c r="D543" s="1"/>
      <c r="E543" s="1"/>
      <c r="F543" s="59"/>
      <c r="G543" s="32"/>
      <c r="H543" s="32"/>
    </row>
    <row r="544" spans="1:8" ht="15.75" hidden="1" customHeight="1">
      <c r="A544" s="1"/>
      <c r="B544" s="2"/>
      <c r="C544" s="1"/>
      <c r="D544" s="1"/>
      <c r="E544" s="1"/>
      <c r="F544" s="59"/>
      <c r="G544" s="32"/>
      <c r="H544" s="32"/>
    </row>
    <row r="545" spans="1:8" ht="15.75" hidden="1" customHeight="1">
      <c r="A545" s="1"/>
      <c r="B545" s="2"/>
      <c r="C545" s="1"/>
      <c r="D545" s="1"/>
      <c r="E545" s="1"/>
      <c r="F545" s="59"/>
      <c r="G545" s="32"/>
      <c r="H545" s="32"/>
    </row>
    <row r="546" spans="1:8" ht="15.75" hidden="1" customHeight="1">
      <c r="A546" s="1"/>
      <c r="B546" s="2"/>
      <c r="C546" s="1"/>
      <c r="D546" s="1"/>
      <c r="E546" s="1"/>
      <c r="F546" s="59"/>
      <c r="G546" s="32"/>
      <c r="H546" s="32"/>
    </row>
    <row r="547" spans="1:8" ht="15.75" hidden="1" customHeight="1">
      <c r="A547" s="1"/>
      <c r="B547" s="2"/>
      <c r="C547" s="1"/>
      <c r="D547" s="1"/>
      <c r="E547" s="1"/>
      <c r="F547" s="59"/>
      <c r="G547" s="32"/>
      <c r="H547" s="32"/>
    </row>
    <row r="548" spans="1:8" ht="15.75" hidden="1" customHeight="1">
      <c r="A548" s="1"/>
      <c r="B548" s="2"/>
      <c r="C548" s="1"/>
      <c r="D548" s="1"/>
      <c r="E548" s="1"/>
      <c r="F548" s="59"/>
      <c r="G548" s="32"/>
      <c r="H548" s="32"/>
    </row>
    <row r="549" spans="1:8" ht="15.75" hidden="1" customHeight="1">
      <c r="A549" s="1"/>
      <c r="B549" s="2"/>
      <c r="C549" s="1"/>
      <c r="D549" s="1"/>
      <c r="E549" s="1"/>
      <c r="F549" s="59"/>
      <c r="G549" s="32"/>
      <c r="H549" s="32"/>
    </row>
    <row r="550" spans="1:8" ht="15.75" hidden="1" customHeight="1">
      <c r="A550" s="1"/>
      <c r="B550" s="2"/>
      <c r="C550" s="1"/>
      <c r="D550" s="1"/>
      <c r="E550" s="1"/>
      <c r="F550" s="59"/>
      <c r="G550" s="32"/>
      <c r="H550" s="32"/>
    </row>
    <row r="551" spans="1:8" ht="15.75" hidden="1" customHeight="1">
      <c r="A551" s="1"/>
      <c r="B551" s="2"/>
      <c r="C551" s="1"/>
      <c r="D551" s="1"/>
      <c r="E551" s="1"/>
      <c r="F551" s="59"/>
      <c r="G551" s="32"/>
      <c r="H551" s="32"/>
    </row>
    <row r="552" spans="1:8" ht="15.75" hidden="1" customHeight="1">
      <c r="A552" s="1"/>
      <c r="B552" s="2"/>
      <c r="C552" s="1"/>
      <c r="D552" s="1"/>
      <c r="E552" s="1"/>
      <c r="F552" s="59"/>
      <c r="G552" s="32"/>
      <c r="H552" s="32"/>
    </row>
    <row r="553" spans="1:8" ht="15.75" hidden="1" customHeight="1">
      <c r="A553" s="1"/>
      <c r="B553" s="2"/>
      <c r="C553" s="1"/>
      <c r="D553" s="1"/>
      <c r="E553" s="1"/>
      <c r="F553" s="59"/>
      <c r="G553" s="32"/>
      <c r="H553" s="32"/>
    </row>
    <row r="554" spans="1:8" ht="15.75" hidden="1" customHeight="1">
      <c r="A554" s="1"/>
      <c r="B554" s="2"/>
      <c r="C554" s="1"/>
      <c r="D554" s="1"/>
      <c r="E554" s="1"/>
      <c r="F554" s="59"/>
      <c r="G554" s="32"/>
      <c r="H554" s="32"/>
    </row>
    <row r="555" spans="1:8" ht="15.75" hidden="1" customHeight="1">
      <c r="A555" s="1"/>
      <c r="B555" s="2"/>
      <c r="C555" s="1"/>
      <c r="D555" s="1"/>
      <c r="E555" s="1"/>
      <c r="F555" s="59"/>
      <c r="G555" s="32"/>
      <c r="H555" s="32"/>
    </row>
    <row r="556" spans="1:8" ht="15.75" hidden="1" customHeight="1">
      <c r="A556" s="1"/>
      <c r="B556" s="2"/>
      <c r="C556" s="1"/>
      <c r="D556" s="1"/>
      <c r="E556" s="1"/>
      <c r="F556" s="59"/>
      <c r="G556" s="32"/>
      <c r="H556" s="32"/>
    </row>
    <row r="557" spans="1:8" ht="15.75" hidden="1" customHeight="1">
      <c r="A557" s="1"/>
      <c r="B557" s="2"/>
      <c r="C557" s="1"/>
      <c r="D557" s="1"/>
      <c r="E557" s="1"/>
      <c r="F557" s="59"/>
      <c r="G557" s="32"/>
      <c r="H557" s="32"/>
    </row>
    <row r="558" spans="1:8" ht="15.75" hidden="1" customHeight="1">
      <c r="A558" s="1"/>
      <c r="B558" s="2"/>
      <c r="C558" s="1"/>
      <c r="D558" s="1"/>
      <c r="E558" s="1"/>
      <c r="F558" s="59"/>
      <c r="G558" s="32"/>
      <c r="H558" s="32"/>
    </row>
    <row r="559" spans="1:8" ht="15.75" hidden="1" customHeight="1">
      <c r="A559" s="1"/>
      <c r="B559" s="2"/>
      <c r="C559" s="1"/>
      <c r="D559" s="1"/>
      <c r="E559" s="1"/>
      <c r="F559" s="59"/>
      <c r="G559" s="32"/>
      <c r="H559" s="32"/>
    </row>
    <row r="560" spans="1:8" ht="15.75" hidden="1" customHeight="1">
      <c r="A560" s="1"/>
      <c r="B560" s="2"/>
      <c r="C560" s="1"/>
      <c r="D560" s="1"/>
      <c r="E560" s="1"/>
      <c r="F560" s="59"/>
      <c r="G560" s="32"/>
      <c r="H560" s="32"/>
    </row>
    <row r="561" spans="1:8" ht="15.75" hidden="1" customHeight="1">
      <c r="A561" s="1"/>
      <c r="B561" s="2"/>
      <c r="C561" s="1"/>
      <c r="D561" s="1"/>
      <c r="E561" s="1"/>
      <c r="F561" s="59"/>
      <c r="G561" s="32"/>
      <c r="H561" s="32"/>
    </row>
    <row r="562" spans="1:8" ht="15.75" hidden="1" customHeight="1">
      <c r="A562" s="1"/>
      <c r="B562" s="2"/>
      <c r="C562" s="1"/>
      <c r="D562" s="1"/>
      <c r="E562" s="1"/>
      <c r="F562" s="59"/>
      <c r="G562" s="32"/>
      <c r="H562" s="32"/>
    </row>
    <row r="563" spans="1:8" ht="15.75" hidden="1" customHeight="1">
      <c r="A563" s="1"/>
      <c r="B563" s="2"/>
      <c r="C563" s="1"/>
      <c r="D563" s="1"/>
      <c r="E563" s="1"/>
      <c r="F563" s="59"/>
      <c r="G563" s="32"/>
      <c r="H563" s="32"/>
    </row>
    <row r="564" spans="1:8" ht="15.75" hidden="1" customHeight="1">
      <c r="A564" s="1"/>
      <c r="B564" s="2"/>
      <c r="C564" s="1"/>
      <c r="D564" s="1"/>
      <c r="E564" s="1"/>
      <c r="F564" s="59"/>
      <c r="G564" s="32"/>
      <c r="H564" s="32"/>
    </row>
    <row r="565" spans="1:8" ht="15.75" hidden="1" customHeight="1">
      <c r="A565" s="1"/>
      <c r="B565" s="2"/>
      <c r="C565" s="1"/>
      <c r="D565" s="1"/>
      <c r="E565" s="1"/>
      <c r="F565" s="59"/>
      <c r="G565" s="32"/>
      <c r="H565" s="32"/>
    </row>
    <row r="566" spans="1:8" ht="15.75" hidden="1" customHeight="1">
      <c r="A566" s="1"/>
      <c r="B566" s="2"/>
      <c r="C566" s="1"/>
      <c r="D566" s="1"/>
      <c r="E566" s="1"/>
      <c r="F566" s="59"/>
      <c r="G566" s="32"/>
      <c r="H566" s="32"/>
    </row>
    <row r="567" spans="1:8" ht="15.75" hidden="1" customHeight="1">
      <c r="A567" s="1"/>
      <c r="B567" s="2"/>
      <c r="C567" s="1"/>
      <c r="D567" s="1"/>
      <c r="E567" s="1"/>
      <c r="F567" s="59"/>
      <c r="G567" s="32"/>
      <c r="H567" s="32"/>
    </row>
    <row r="568" spans="1:8" ht="15.75" hidden="1" customHeight="1">
      <c r="A568" s="1"/>
      <c r="B568" s="2"/>
      <c r="C568" s="1"/>
      <c r="D568" s="1"/>
      <c r="E568" s="1"/>
      <c r="F568" s="59"/>
      <c r="G568" s="32"/>
      <c r="H568" s="32"/>
    </row>
    <row r="569" spans="1:8" ht="15.75" hidden="1" customHeight="1">
      <c r="A569" s="1"/>
      <c r="B569" s="2"/>
      <c r="C569" s="1"/>
      <c r="D569" s="1"/>
      <c r="E569" s="1"/>
      <c r="F569" s="59"/>
      <c r="G569" s="32"/>
      <c r="H569" s="32"/>
    </row>
    <row r="570" spans="1:8" ht="15.75" hidden="1" customHeight="1">
      <c r="A570" s="1"/>
      <c r="B570" s="2"/>
      <c r="C570" s="1"/>
      <c r="D570" s="1"/>
      <c r="E570" s="1"/>
      <c r="F570" s="59"/>
      <c r="G570" s="32"/>
      <c r="H570" s="32"/>
    </row>
    <row r="571" spans="1:8" ht="15.75" hidden="1" customHeight="1">
      <c r="A571" s="1"/>
      <c r="B571" s="2"/>
      <c r="C571" s="1"/>
      <c r="D571" s="1"/>
      <c r="E571" s="1"/>
      <c r="F571" s="59"/>
      <c r="G571" s="32"/>
      <c r="H571" s="32"/>
    </row>
    <row r="572" spans="1:8" ht="15.75" hidden="1" customHeight="1">
      <c r="A572" s="1"/>
      <c r="B572" s="2"/>
      <c r="C572" s="1"/>
      <c r="D572" s="1"/>
      <c r="E572" s="1"/>
      <c r="F572" s="59"/>
      <c r="G572" s="32"/>
      <c r="H572" s="32"/>
    </row>
    <row r="573" spans="1:8" ht="15.75" hidden="1" customHeight="1">
      <c r="A573" s="1"/>
      <c r="B573" s="2"/>
      <c r="C573" s="1"/>
      <c r="D573" s="1"/>
      <c r="E573" s="1"/>
      <c r="F573" s="59"/>
      <c r="G573" s="32"/>
      <c r="H573" s="32"/>
    </row>
    <row r="574" spans="1:8" ht="15.75" hidden="1" customHeight="1">
      <c r="A574" s="1"/>
      <c r="B574" s="2"/>
      <c r="C574" s="1"/>
      <c r="D574" s="1"/>
      <c r="E574" s="1"/>
      <c r="F574" s="59"/>
      <c r="G574" s="32"/>
      <c r="H574" s="32"/>
    </row>
    <row r="575" spans="1:8" ht="15.75" hidden="1" customHeight="1">
      <c r="A575" s="1"/>
      <c r="B575" s="2"/>
      <c r="C575" s="1"/>
      <c r="D575" s="1"/>
      <c r="E575" s="1"/>
      <c r="F575" s="59"/>
      <c r="G575" s="32"/>
      <c r="H575" s="32"/>
    </row>
    <row r="576" spans="1:8" ht="15.75" hidden="1" customHeight="1">
      <c r="A576" s="1"/>
      <c r="B576" s="2"/>
      <c r="C576" s="1"/>
      <c r="D576" s="1"/>
      <c r="E576" s="1"/>
      <c r="F576" s="59"/>
      <c r="G576" s="32"/>
      <c r="H576" s="32"/>
    </row>
    <row r="577" spans="1:8" ht="15.75" hidden="1" customHeight="1">
      <c r="A577" s="1"/>
      <c r="B577" s="2"/>
      <c r="C577" s="1"/>
      <c r="D577" s="1"/>
      <c r="E577" s="1"/>
      <c r="F577" s="59"/>
      <c r="G577" s="32"/>
      <c r="H577" s="32"/>
    </row>
    <row r="578" spans="1:8" ht="15.75" hidden="1" customHeight="1">
      <c r="A578" s="1"/>
      <c r="B578" s="2"/>
      <c r="C578" s="1"/>
      <c r="D578" s="1"/>
      <c r="E578" s="1"/>
      <c r="F578" s="59"/>
      <c r="G578" s="32"/>
      <c r="H578" s="32"/>
    </row>
    <row r="579" spans="1:8" ht="15.75" hidden="1" customHeight="1">
      <c r="A579" s="1"/>
      <c r="B579" s="2"/>
      <c r="C579" s="1"/>
      <c r="D579" s="1"/>
      <c r="E579" s="1"/>
      <c r="F579" s="59"/>
      <c r="G579" s="32"/>
      <c r="H579" s="32"/>
    </row>
    <row r="580" spans="1:8" ht="15.75" hidden="1" customHeight="1">
      <c r="A580" s="1"/>
      <c r="B580" s="2"/>
      <c r="C580" s="1"/>
      <c r="D580" s="1"/>
      <c r="E580" s="1"/>
      <c r="F580" s="59"/>
      <c r="G580" s="32"/>
      <c r="H580" s="32"/>
    </row>
    <row r="581" spans="1:8" ht="15.75" hidden="1" customHeight="1">
      <c r="A581" s="1"/>
      <c r="B581" s="2"/>
      <c r="C581" s="1"/>
      <c r="D581" s="1"/>
      <c r="E581" s="1"/>
      <c r="F581" s="59"/>
      <c r="G581" s="32"/>
      <c r="H581" s="32"/>
    </row>
    <row r="582" spans="1:8" ht="15.75" hidden="1" customHeight="1">
      <c r="A582" s="1"/>
      <c r="B582" s="2"/>
      <c r="C582" s="1"/>
      <c r="D582" s="1"/>
      <c r="E582" s="1"/>
      <c r="F582" s="59"/>
      <c r="G582" s="32"/>
      <c r="H582" s="32"/>
    </row>
    <row r="583" spans="1:8" ht="15.75" hidden="1" customHeight="1">
      <c r="A583" s="1"/>
      <c r="B583" s="2"/>
      <c r="C583" s="1"/>
      <c r="D583" s="1"/>
      <c r="E583" s="1"/>
      <c r="F583" s="59"/>
      <c r="G583" s="32"/>
      <c r="H583" s="32"/>
    </row>
    <row r="584" spans="1:8" ht="15.75" hidden="1" customHeight="1">
      <c r="A584" s="1"/>
      <c r="B584" s="2"/>
      <c r="C584" s="1"/>
      <c r="D584" s="1"/>
      <c r="E584" s="1"/>
      <c r="F584" s="59"/>
      <c r="G584" s="32"/>
      <c r="H584" s="32"/>
    </row>
    <row r="585" spans="1:8" ht="15.75" hidden="1" customHeight="1">
      <c r="A585" s="1"/>
      <c r="B585" s="2"/>
      <c r="C585" s="1"/>
      <c r="D585" s="1"/>
      <c r="E585" s="1"/>
      <c r="F585" s="59"/>
      <c r="G585" s="32"/>
      <c r="H585" s="32"/>
    </row>
    <row r="586" spans="1:8" ht="15.75" hidden="1" customHeight="1">
      <c r="A586" s="1"/>
      <c r="B586" s="2"/>
      <c r="C586" s="1"/>
      <c r="D586" s="1"/>
      <c r="E586" s="1"/>
      <c r="F586" s="59"/>
      <c r="G586" s="32"/>
      <c r="H586" s="32"/>
    </row>
    <row r="587" spans="1:8" ht="15.75" hidden="1" customHeight="1">
      <c r="A587" s="1"/>
      <c r="B587" s="2"/>
      <c r="C587" s="1"/>
      <c r="D587" s="1"/>
      <c r="E587" s="1"/>
      <c r="F587" s="59"/>
      <c r="G587" s="32"/>
      <c r="H587" s="32"/>
    </row>
    <row r="588" spans="1:8" ht="15.75" hidden="1" customHeight="1">
      <c r="A588" s="1"/>
      <c r="B588" s="2"/>
      <c r="C588" s="1"/>
      <c r="D588" s="1"/>
      <c r="E588" s="1"/>
      <c r="F588" s="59"/>
      <c r="G588" s="32"/>
      <c r="H588" s="32"/>
    </row>
    <row r="589" spans="1:8" ht="15.75" hidden="1" customHeight="1">
      <c r="A589" s="1"/>
      <c r="B589" s="2"/>
      <c r="C589" s="1"/>
      <c r="D589" s="1"/>
      <c r="E589" s="1"/>
      <c r="F589" s="59"/>
      <c r="G589" s="32"/>
      <c r="H589" s="32"/>
    </row>
    <row r="590" spans="1:8" ht="15.75" hidden="1" customHeight="1">
      <c r="A590" s="1"/>
      <c r="B590" s="2"/>
      <c r="C590" s="1"/>
      <c r="D590" s="1"/>
      <c r="E590" s="1"/>
      <c r="F590" s="59"/>
      <c r="G590" s="32"/>
      <c r="H590" s="32"/>
    </row>
    <row r="591" spans="1:8" ht="15.75" hidden="1" customHeight="1">
      <c r="A591" s="1"/>
      <c r="B591" s="2"/>
      <c r="C591" s="1"/>
      <c r="D591" s="1"/>
      <c r="E591" s="1"/>
      <c r="F591" s="59"/>
      <c r="G591" s="32"/>
      <c r="H591" s="32"/>
    </row>
    <row r="592" spans="1:8" ht="15.75" hidden="1" customHeight="1">
      <c r="A592" s="1"/>
      <c r="B592" s="2"/>
      <c r="C592" s="1"/>
      <c r="D592" s="1"/>
      <c r="E592" s="1"/>
      <c r="F592" s="59"/>
      <c r="G592" s="32"/>
      <c r="H592" s="32"/>
    </row>
    <row r="593" spans="1:8" ht="15.75" hidden="1" customHeight="1">
      <c r="A593" s="1"/>
      <c r="B593" s="2"/>
      <c r="C593" s="1"/>
      <c r="D593" s="1"/>
      <c r="E593" s="1"/>
      <c r="F593" s="59"/>
      <c r="G593" s="32"/>
      <c r="H593" s="32"/>
    </row>
    <row r="594" spans="1:8" ht="15.75" hidden="1" customHeight="1">
      <c r="A594" s="1"/>
      <c r="B594" s="2"/>
      <c r="C594" s="1"/>
      <c r="D594" s="1"/>
      <c r="E594" s="1"/>
      <c r="F594" s="59"/>
      <c r="G594" s="32"/>
      <c r="H594" s="32"/>
    </row>
    <row r="595" spans="1:8" ht="15.75" hidden="1" customHeight="1">
      <c r="A595" s="1"/>
      <c r="B595" s="2"/>
      <c r="C595" s="1"/>
      <c r="D595" s="1"/>
      <c r="E595" s="1"/>
      <c r="F595" s="59"/>
      <c r="G595" s="32"/>
      <c r="H595" s="32"/>
    </row>
    <row r="596" spans="1:8" ht="15.75" hidden="1" customHeight="1">
      <c r="A596" s="1"/>
      <c r="B596" s="2"/>
      <c r="C596" s="1"/>
      <c r="D596" s="1"/>
      <c r="E596" s="1"/>
      <c r="F596" s="59"/>
      <c r="G596" s="32"/>
      <c r="H596" s="32"/>
    </row>
    <row r="597" spans="1:8" ht="15.75" hidden="1" customHeight="1">
      <c r="A597" s="1"/>
      <c r="B597" s="2"/>
      <c r="C597" s="1"/>
      <c r="D597" s="1"/>
      <c r="E597" s="1"/>
      <c r="F597" s="59"/>
      <c r="G597" s="32"/>
      <c r="H597" s="32"/>
    </row>
    <row r="598" spans="1:8" ht="15.75" hidden="1" customHeight="1">
      <c r="A598" s="1"/>
      <c r="B598" s="2"/>
      <c r="C598" s="1"/>
      <c r="D598" s="1"/>
      <c r="E598" s="1"/>
      <c r="F598" s="59"/>
      <c r="G598" s="32"/>
      <c r="H598" s="32"/>
    </row>
    <row r="599" spans="1:8" ht="15.75" hidden="1" customHeight="1">
      <c r="A599" s="1"/>
      <c r="B599" s="2"/>
      <c r="C599" s="1"/>
      <c r="D599" s="1"/>
      <c r="E599" s="1"/>
      <c r="F599" s="59"/>
      <c r="G599" s="32"/>
      <c r="H599" s="32"/>
    </row>
    <row r="600" spans="1:8" ht="15.75" hidden="1" customHeight="1">
      <c r="A600" s="1"/>
      <c r="B600" s="2"/>
      <c r="C600" s="1"/>
      <c r="D600" s="1"/>
      <c r="E600" s="1"/>
      <c r="F600" s="59"/>
      <c r="G600" s="32"/>
      <c r="H600" s="32"/>
    </row>
    <row r="601" spans="1:8" ht="15.75" hidden="1" customHeight="1">
      <c r="A601" s="1"/>
      <c r="B601" s="2"/>
      <c r="C601" s="1"/>
      <c r="D601" s="1"/>
      <c r="E601" s="1"/>
      <c r="F601" s="59"/>
      <c r="G601" s="32"/>
      <c r="H601" s="32"/>
    </row>
    <row r="602" spans="1:8" ht="15.75" hidden="1" customHeight="1">
      <c r="A602" s="1"/>
      <c r="B602" s="2"/>
      <c r="C602" s="1"/>
      <c r="D602" s="1"/>
      <c r="E602" s="1"/>
      <c r="F602" s="59"/>
      <c r="G602" s="32"/>
      <c r="H602" s="32"/>
    </row>
    <row r="603" spans="1:8" ht="15.75" hidden="1" customHeight="1">
      <c r="A603" s="1"/>
      <c r="B603" s="2"/>
      <c r="C603" s="1"/>
      <c r="D603" s="1"/>
      <c r="E603" s="1"/>
      <c r="F603" s="59"/>
      <c r="G603" s="32"/>
      <c r="H603" s="32"/>
    </row>
    <row r="604" spans="1:8" ht="15.75" hidden="1" customHeight="1">
      <c r="A604" s="1"/>
      <c r="B604" s="2"/>
      <c r="C604" s="1"/>
      <c r="D604" s="1"/>
      <c r="E604" s="1"/>
      <c r="F604" s="59"/>
      <c r="G604" s="32"/>
      <c r="H604" s="32"/>
    </row>
    <row r="605" spans="1:8" ht="15.75" hidden="1" customHeight="1">
      <c r="A605" s="1"/>
      <c r="B605" s="2"/>
      <c r="C605" s="1"/>
      <c r="D605" s="1"/>
      <c r="E605" s="1"/>
      <c r="F605" s="59"/>
      <c r="G605" s="32"/>
      <c r="H605" s="32"/>
    </row>
    <row r="606" spans="1:8" ht="15.75" hidden="1" customHeight="1">
      <c r="A606" s="1"/>
      <c r="B606" s="2"/>
      <c r="C606" s="1"/>
      <c r="D606" s="1"/>
      <c r="E606" s="1"/>
      <c r="F606" s="59"/>
      <c r="G606" s="32"/>
      <c r="H606" s="32"/>
    </row>
    <row r="607" spans="1:8" ht="15.75" hidden="1" customHeight="1">
      <c r="A607" s="1"/>
      <c r="B607" s="2"/>
      <c r="C607" s="1"/>
      <c r="D607" s="1"/>
      <c r="E607" s="1"/>
      <c r="F607" s="59"/>
      <c r="G607" s="32"/>
      <c r="H607" s="32"/>
    </row>
    <row r="608" spans="1:8" ht="15.75" hidden="1" customHeight="1">
      <c r="A608" s="1"/>
      <c r="B608" s="2"/>
      <c r="C608" s="1"/>
      <c r="D608" s="1"/>
      <c r="E608" s="1"/>
      <c r="F608" s="59"/>
      <c r="G608" s="32"/>
      <c r="H608" s="32"/>
    </row>
    <row r="609" spans="1:8" ht="15.75" hidden="1" customHeight="1">
      <c r="A609" s="1"/>
      <c r="B609" s="2"/>
      <c r="C609" s="1"/>
      <c r="D609" s="1"/>
      <c r="E609" s="1"/>
      <c r="F609" s="59"/>
      <c r="G609" s="32"/>
      <c r="H609" s="32"/>
    </row>
    <row r="610" spans="1:8" ht="15.75" hidden="1" customHeight="1">
      <c r="A610" s="1"/>
      <c r="B610" s="2"/>
      <c r="C610" s="1"/>
      <c r="D610" s="1"/>
      <c r="E610" s="1"/>
      <c r="F610" s="59"/>
      <c r="G610" s="32"/>
      <c r="H610" s="32"/>
    </row>
    <row r="611" spans="1:8" ht="15.75" hidden="1" customHeight="1">
      <c r="A611" s="1"/>
      <c r="B611" s="2"/>
      <c r="C611" s="1"/>
      <c r="D611" s="1"/>
      <c r="E611" s="1"/>
      <c r="F611" s="59"/>
      <c r="G611" s="32"/>
      <c r="H611" s="32"/>
    </row>
    <row r="612" spans="1:8" ht="15.75" hidden="1" customHeight="1">
      <c r="A612" s="1"/>
      <c r="B612" s="2"/>
      <c r="C612" s="1"/>
      <c r="D612" s="1"/>
      <c r="E612" s="1"/>
      <c r="F612" s="59"/>
      <c r="G612" s="32"/>
      <c r="H612" s="32"/>
    </row>
    <row r="613" spans="1:8" ht="15.75" hidden="1" customHeight="1">
      <c r="A613" s="1"/>
      <c r="B613" s="2"/>
      <c r="C613" s="1"/>
      <c r="D613" s="1"/>
      <c r="E613" s="1"/>
      <c r="F613" s="59"/>
      <c r="G613" s="32"/>
      <c r="H613" s="32"/>
    </row>
    <row r="614" spans="1:8" ht="15.75" hidden="1" customHeight="1">
      <c r="A614" s="1"/>
      <c r="B614" s="2"/>
      <c r="C614" s="1"/>
      <c r="D614" s="1"/>
      <c r="E614" s="1"/>
      <c r="F614" s="59"/>
      <c r="G614" s="32"/>
      <c r="H614" s="32"/>
    </row>
    <row r="615" spans="1:8" ht="15.75" hidden="1" customHeight="1">
      <c r="A615" s="1"/>
      <c r="B615" s="2"/>
      <c r="C615" s="1"/>
      <c r="D615" s="1"/>
      <c r="E615" s="1"/>
      <c r="F615" s="59"/>
      <c r="G615" s="32"/>
      <c r="H615" s="32"/>
    </row>
    <row r="616" spans="1:8" ht="15.75" hidden="1" customHeight="1">
      <c r="A616" s="1"/>
      <c r="B616" s="2"/>
      <c r="C616" s="1"/>
      <c r="D616" s="1"/>
      <c r="E616" s="1"/>
      <c r="F616" s="59"/>
      <c r="G616" s="32"/>
      <c r="H616" s="32"/>
    </row>
    <row r="617" spans="1:8" ht="15.75" hidden="1" customHeight="1">
      <c r="A617" s="1"/>
      <c r="B617" s="2"/>
      <c r="C617" s="1"/>
      <c r="D617" s="1"/>
      <c r="E617" s="1"/>
      <c r="F617" s="59"/>
      <c r="G617" s="32"/>
      <c r="H617" s="32"/>
    </row>
    <row r="618" spans="1:8" ht="15.75" hidden="1" customHeight="1">
      <c r="A618" s="1"/>
      <c r="B618" s="2"/>
      <c r="C618" s="1"/>
      <c r="D618" s="1"/>
      <c r="E618" s="1"/>
      <c r="F618" s="59"/>
      <c r="G618" s="32"/>
      <c r="H618" s="32"/>
    </row>
    <row r="619" spans="1:8" ht="15.75" hidden="1" customHeight="1">
      <c r="A619" s="1"/>
      <c r="B619" s="2"/>
      <c r="C619" s="1"/>
      <c r="D619" s="1"/>
      <c r="E619" s="1"/>
      <c r="F619" s="59"/>
      <c r="G619" s="32"/>
      <c r="H619" s="32"/>
    </row>
    <row r="620" spans="1:8" ht="15.75" hidden="1" customHeight="1">
      <c r="A620" s="1"/>
      <c r="B620" s="2"/>
      <c r="C620" s="1"/>
      <c r="D620" s="1"/>
      <c r="E620" s="1"/>
      <c r="F620" s="59"/>
      <c r="G620" s="32"/>
      <c r="H620" s="32"/>
    </row>
    <row r="621" spans="1:8" ht="15.75" hidden="1" customHeight="1">
      <c r="A621" s="1"/>
      <c r="B621" s="2"/>
      <c r="C621" s="1"/>
      <c r="D621" s="1"/>
      <c r="E621" s="1"/>
      <c r="F621" s="59"/>
      <c r="G621" s="32"/>
      <c r="H621" s="32"/>
    </row>
    <row r="622" spans="1:8" ht="15.75" hidden="1" customHeight="1">
      <c r="A622" s="1"/>
      <c r="B622" s="2"/>
      <c r="C622" s="1"/>
      <c r="D622" s="1"/>
      <c r="E622" s="1"/>
      <c r="F622" s="59"/>
      <c r="G622" s="32"/>
      <c r="H622" s="32"/>
    </row>
    <row r="623" spans="1:8" ht="15.75" hidden="1" customHeight="1">
      <c r="A623" s="1"/>
      <c r="B623" s="2"/>
      <c r="C623" s="1"/>
      <c r="D623" s="1"/>
      <c r="E623" s="1"/>
      <c r="F623" s="59"/>
      <c r="G623" s="32"/>
      <c r="H623" s="32"/>
    </row>
    <row r="624" spans="1:8" ht="15.75" hidden="1" customHeight="1">
      <c r="A624" s="1"/>
      <c r="B624" s="2"/>
      <c r="C624" s="1"/>
      <c r="D624" s="1"/>
      <c r="E624" s="1"/>
      <c r="F624" s="59"/>
      <c r="G624" s="32"/>
      <c r="H624" s="32"/>
    </row>
    <row r="625" spans="1:8" ht="15.75" hidden="1" customHeight="1">
      <c r="A625" s="1"/>
      <c r="B625" s="2"/>
      <c r="C625" s="1"/>
      <c r="D625" s="1"/>
      <c r="E625" s="1"/>
      <c r="F625" s="59"/>
      <c r="G625" s="32"/>
      <c r="H625" s="32"/>
    </row>
    <row r="626" spans="1:8" ht="15.75" hidden="1" customHeight="1">
      <c r="A626" s="1"/>
      <c r="B626" s="2"/>
      <c r="C626" s="1"/>
      <c r="D626" s="1"/>
      <c r="E626" s="1"/>
      <c r="F626" s="59"/>
      <c r="G626" s="32"/>
      <c r="H626" s="32"/>
    </row>
    <row r="627" spans="1:8" ht="15.75" hidden="1" customHeight="1">
      <c r="A627" s="1"/>
      <c r="B627" s="2"/>
      <c r="C627" s="1"/>
      <c r="D627" s="1"/>
      <c r="E627" s="1"/>
      <c r="F627" s="59"/>
      <c r="G627" s="32"/>
      <c r="H627" s="32"/>
    </row>
    <row r="628" spans="1:8" ht="15.75" hidden="1" customHeight="1">
      <c r="A628" s="1"/>
      <c r="B628" s="2"/>
      <c r="C628" s="1"/>
      <c r="D628" s="1"/>
      <c r="E628" s="1"/>
      <c r="F628" s="59"/>
      <c r="G628" s="32"/>
      <c r="H628" s="32"/>
    </row>
    <row r="629" spans="1:8" ht="15.75" hidden="1" customHeight="1">
      <c r="A629" s="1"/>
      <c r="B629" s="2"/>
      <c r="C629" s="1"/>
      <c r="D629" s="1"/>
      <c r="E629" s="1"/>
      <c r="F629" s="59"/>
      <c r="G629" s="32"/>
      <c r="H629" s="32"/>
    </row>
    <row r="630" spans="1:8" ht="15.75" hidden="1" customHeight="1">
      <c r="A630" s="1"/>
      <c r="B630" s="2"/>
      <c r="C630" s="1"/>
      <c r="D630" s="1"/>
      <c r="E630" s="1"/>
      <c r="F630" s="59"/>
      <c r="G630" s="32"/>
      <c r="H630" s="32"/>
    </row>
    <row r="631" spans="1:8" ht="15.75" hidden="1" customHeight="1">
      <c r="A631" s="1"/>
      <c r="B631" s="2"/>
      <c r="C631" s="1"/>
      <c r="D631" s="1"/>
      <c r="E631" s="1"/>
      <c r="F631" s="59"/>
      <c r="G631" s="32"/>
      <c r="H631" s="32"/>
    </row>
    <row r="632" spans="1:8" ht="15.75" hidden="1" customHeight="1">
      <c r="A632" s="1"/>
      <c r="B632" s="2"/>
      <c r="C632" s="1"/>
      <c r="D632" s="1"/>
      <c r="E632" s="1"/>
      <c r="F632" s="59"/>
      <c r="G632" s="32"/>
      <c r="H632" s="32"/>
    </row>
    <row r="633" spans="1:8" ht="15.75" hidden="1" customHeight="1">
      <c r="A633" s="1"/>
      <c r="B633" s="2"/>
      <c r="C633" s="1"/>
      <c r="D633" s="1"/>
      <c r="E633" s="1"/>
      <c r="F633" s="59"/>
      <c r="G633" s="32"/>
      <c r="H633" s="32"/>
    </row>
    <row r="634" spans="1:8" ht="15.75" hidden="1" customHeight="1">
      <c r="A634" s="1"/>
      <c r="B634" s="2"/>
      <c r="C634" s="1"/>
      <c r="D634" s="1"/>
      <c r="E634" s="1"/>
      <c r="F634" s="59"/>
      <c r="G634" s="32"/>
      <c r="H634" s="32"/>
    </row>
    <row r="635" spans="1:8" ht="15.75" hidden="1" customHeight="1">
      <c r="A635" s="1"/>
      <c r="B635" s="2"/>
      <c r="C635" s="1"/>
      <c r="D635" s="1"/>
      <c r="E635" s="1"/>
      <c r="F635" s="59"/>
      <c r="G635" s="32"/>
      <c r="H635" s="32"/>
    </row>
    <row r="636" spans="1:8" ht="15.75" hidden="1" customHeight="1">
      <c r="A636" s="1"/>
      <c r="B636" s="2"/>
      <c r="C636" s="1"/>
      <c r="D636" s="1"/>
      <c r="E636" s="1"/>
      <c r="F636" s="59"/>
      <c r="G636" s="32"/>
      <c r="H636" s="32"/>
    </row>
    <row r="637" spans="1:8" ht="15.75" hidden="1" customHeight="1">
      <c r="A637" s="1"/>
      <c r="B637" s="2"/>
      <c r="C637" s="1"/>
      <c r="D637" s="1"/>
      <c r="E637" s="1"/>
      <c r="F637" s="59"/>
      <c r="G637" s="32"/>
      <c r="H637" s="32"/>
    </row>
    <row r="638" spans="1:8" ht="15.75" hidden="1" customHeight="1">
      <c r="A638" s="1"/>
      <c r="B638" s="2"/>
      <c r="C638" s="1"/>
      <c r="D638" s="1"/>
      <c r="E638" s="1"/>
      <c r="F638" s="59"/>
      <c r="G638" s="32"/>
      <c r="H638" s="32"/>
    </row>
    <row r="639" spans="1:8" ht="15.75" hidden="1" customHeight="1">
      <c r="A639" s="1"/>
      <c r="B639" s="2"/>
      <c r="C639" s="1"/>
      <c r="D639" s="1"/>
      <c r="E639" s="1"/>
      <c r="F639" s="59"/>
      <c r="G639" s="32"/>
      <c r="H639" s="32"/>
    </row>
    <row r="640" spans="1:8" ht="15.75" hidden="1" customHeight="1">
      <c r="A640" s="1"/>
      <c r="B640" s="2"/>
      <c r="C640" s="1"/>
      <c r="D640" s="1"/>
      <c r="E640" s="1"/>
      <c r="F640" s="59"/>
      <c r="G640" s="32"/>
      <c r="H640" s="32"/>
    </row>
    <row r="641" spans="1:8" ht="15.75" hidden="1" customHeight="1">
      <c r="A641" s="1"/>
      <c r="B641" s="2"/>
      <c r="C641" s="1"/>
      <c r="D641" s="1"/>
      <c r="E641" s="1"/>
      <c r="F641" s="59"/>
      <c r="G641" s="32"/>
      <c r="H641" s="32"/>
    </row>
    <row r="642" spans="1:8" ht="15.75" hidden="1" customHeight="1">
      <c r="A642" s="1"/>
      <c r="B642" s="2"/>
      <c r="C642" s="1"/>
      <c r="D642" s="1"/>
      <c r="E642" s="1"/>
      <c r="F642" s="59"/>
      <c r="G642" s="32"/>
      <c r="H642" s="32"/>
    </row>
    <row r="643" spans="1:8" ht="15.75" hidden="1" customHeight="1">
      <c r="A643" s="1"/>
      <c r="B643" s="2"/>
      <c r="C643" s="1"/>
      <c r="D643" s="1"/>
      <c r="E643" s="1"/>
      <c r="F643" s="59"/>
      <c r="G643" s="32"/>
      <c r="H643" s="32"/>
    </row>
    <row r="644" spans="1:8" ht="15.75" hidden="1" customHeight="1">
      <c r="A644" s="1"/>
      <c r="B644" s="2"/>
      <c r="C644" s="1"/>
      <c r="D644" s="1"/>
      <c r="E644" s="1"/>
      <c r="F644" s="59"/>
      <c r="G644" s="32"/>
      <c r="H644" s="32"/>
    </row>
    <row r="645" spans="1:8" ht="15.75" hidden="1" customHeight="1">
      <c r="A645" s="1"/>
      <c r="B645" s="2"/>
      <c r="C645" s="1"/>
      <c r="D645" s="1"/>
      <c r="E645" s="1"/>
      <c r="F645" s="59"/>
      <c r="G645" s="32"/>
      <c r="H645" s="32"/>
    </row>
    <row r="646" spans="1:8" ht="15.75" hidden="1" customHeight="1">
      <c r="A646" s="1"/>
      <c r="B646" s="2"/>
      <c r="C646" s="1"/>
      <c r="D646" s="1"/>
      <c r="E646" s="1"/>
      <c r="F646" s="59"/>
      <c r="G646" s="32"/>
      <c r="H646" s="32"/>
    </row>
    <row r="647" spans="1:8" ht="15.75" hidden="1" customHeight="1">
      <c r="A647" s="1"/>
      <c r="B647" s="2"/>
      <c r="C647" s="1"/>
      <c r="D647" s="1"/>
      <c r="E647" s="1"/>
      <c r="F647" s="59"/>
      <c r="G647" s="32"/>
      <c r="H647" s="32"/>
    </row>
    <row r="648" spans="1:8" ht="15.75" hidden="1" customHeight="1">
      <c r="A648" s="1"/>
      <c r="B648" s="2"/>
      <c r="C648" s="1"/>
      <c r="D648" s="1"/>
      <c r="E648" s="1"/>
      <c r="F648" s="59"/>
      <c r="G648" s="32"/>
      <c r="H648" s="32"/>
    </row>
    <row r="649" spans="1:8" ht="15.75" hidden="1" customHeight="1">
      <c r="A649" s="1"/>
      <c r="B649" s="2"/>
      <c r="C649" s="1"/>
      <c r="D649" s="1"/>
      <c r="E649" s="1"/>
      <c r="F649" s="59"/>
      <c r="G649" s="32"/>
      <c r="H649" s="32"/>
    </row>
    <row r="650" spans="1:8" ht="15.75" hidden="1" customHeight="1">
      <c r="A650" s="1"/>
      <c r="B650" s="2"/>
      <c r="C650" s="1"/>
      <c r="D650" s="1"/>
      <c r="E650" s="1"/>
      <c r="F650" s="59"/>
      <c r="G650" s="32"/>
      <c r="H650" s="32"/>
    </row>
    <row r="651" spans="1:8" ht="15.75" hidden="1" customHeight="1">
      <c r="A651" s="1"/>
      <c r="B651" s="2"/>
      <c r="C651" s="1"/>
      <c r="D651" s="1"/>
      <c r="E651" s="1"/>
      <c r="F651" s="59"/>
      <c r="G651" s="32"/>
      <c r="H651" s="32"/>
    </row>
    <row r="652" spans="1:8" ht="15.75" hidden="1" customHeight="1">
      <c r="A652" s="1"/>
      <c r="B652" s="2"/>
      <c r="C652" s="1"/>
      <c r="D652" s="1"/>
      <c r="E652" s="1"/>
      <c r="F652" s="59"/>
      <c r="G652" s="32"/>
      <c r="H652" s="32"/>
    </row>
    <row r="653" spans="1:8" ht="15.75" hidden="1" customHeight="1">
      <c r="A653" s="1"/>
      <c r="B653" s="2"/>
      <c r="C653" s="1"/>
      <c r="D653" s="1"/>
      <c r="E653" s="1"/>
      <c r="F653" s="59"/>
      <c r="G653" s="32"/>
      <c r="H653" s="32"/>
    </row>
    <row r="654" spans="1:8" ht="15.75" hidden="1" customHeight="1">
      <c r="A654" s="1"/>
      <c r="B654" s="2"/>
      <c r="C654" s="1"/>
      <c r="D654" s="1"/>
      <c r="E654" s="1"/>
      <c r="F654" s="59"/>
      <c r="G654" s="32"/>
      <c r="H654" s="32"/>
    </row>
    <row r="655" spans="1:8" ht="15.75" hidden="1" customHeight="1">
      <c r="A655" s="1"/>
      <c r="B655" s="2"/>
      <c r="C655" s="1"/>
      <c r="D655" s="1"/>
      <c r="E655" s="1"/>
      <c r="F655" s="59"/>
      <c r="G655" s="32"/>
      <c r="H655" s="32"/>
    </row>
    <row r="656" spans="1:8" ht="15.75" hidden="1" customHeight="1">
      <c r="A656" s="1"/>
      <c r="B656" s="2"/>
      <c r="C656" s="1"/>
      <c r="D656" s="1"/>
      <c r="E656" s="1"/>
      <c r="F656" s="59"/>
      <c r="G656" s="32"/>
      <c r="H656" s="32"/>
    </row>
    <row r="657" spans="1:8" ht="15.75" hidden="1" customHeight="1">
      <c r="A657" s="1"/>
      <c r="B657" s="2"/>
      <c r="C657" s="1"/>
      <c r="D657" s="1"/>
      <c r="E657" s="1"/>
      <c r="F657" s="59"/>
      <c r="G657" s="32"/>
      <c r="H657" s="32"/>
    </row>
    <row r="658" spans="1:8" ht="15.75" hidden="1" customHeight="1">
      <c r="A658" s="1"/>
      <c r="B658" s="2"/>
      <c r="C658" s="1"/>
      <c r="D658" s="1"/>
      <c r="E658" s="1"/>
      <c r="F658" s="59"/>
      <c r="G658" s="32"/>
      <c r="H658" s="32"/>
    </row>
    <row r="659" spans="1:8" ht="15.75" hidden="1" customHeight="1">
      <c r="A659" s="1"/>
      <c r="B659" s="2"/>
      <c r="C659" s="1"/>
      <c r="D659" s="1"/>
      <c r="E659" s="1"/>
      <c r="F659" s="59"/>
      <c r="G659" s="32"/>
      <c r="H659" s="32"/>
    </row>
    <row r="660" spans="1:8" ht="15.75" hidden="1" customHeight="1">
      <c r="A660" s="1"/>
      <c r="B660" s="2"/>
      <c r="C660" s="1"/>
      <c r="D660" s="1"/>
      <c r="E660" s="1"/>
      <c r="F660" s="59"/>
      <c r="G660" s="32"/>
      <c r="H660" s="32"/>
    </row>
    <row r="661" spans="1:8" ht="15.75" hidden="1" customHeight="1">
      <c r="A661" s="1"/>
      <c r="B661" s="2"/>
      <c r="C661" s="1"/>
      <c r="D661" s="1"/>
      <c r="E661" s="1"/>
      <c r="F661" s="59"/>
      <c r="G661" s="32"/>
      <c r="H661" s="32"/>
    </row>
    <row r="662" spans="1:8" ht="15.75" hidden="1" customHeight="1">
      <c r="A662" s="1"/>
      <c r="B662" s="2"/>
      <c r="C662" s="1"/>
      <c r="D662" s="1"/>
      <c r="E662" s="1"/>
      <c r="F662" s="59"/>
      <c r="G662" s="32"/>
      <c r="H662" s="32"/>
    </row>
    <row r="663" spans="1:8" ht="15.75" hidden="1" customHeight="1">
      <c r="A663" s="1"/>
      <c r="B663" s="2"/>
      <c r="C663" s="1"/>
      <c r="D663" s="1"/>
      <c r="E663" s="1"/>
      <c r="F663" s="59"/>
      <c r="G663" s="32"/>
      <c r="H663" s="32"/>
    </row>
    <row r="664" spans="1:8" ht="15.75" hidden="1" customHeight="1">
      <c r="A664" s="1"/>
      <c r="B664" s="2"/>
      <c r="C664" s="1"/>
      <c r="D664" s="1"/>
      <c r="E664" s="1"/>
      <c r="F664" s="59"/>
      <c r="G664" s="32"/>
      <c r="H664" s="32"/>
    </row>
    <row r="665" spans="1:8" ht="15.75" hidden="1" customHeight="1">
      <c r="A665" s="1"/>
      <c r="B665" s="2"/>
      <c r="C665" s="1"/>
      <c r="D665" s="1"/>
      <c r="E665" s="1"/>
      <c r="F665" s="59"/>
      <c r="G665" s="32"/>
      <c r="H665" s="32"/>
    </row>
    <row r="666" spans="1:8" ht="15.75" hidden="1" customHeight="1">
      <c r="A666" s="1"/>
      <c r="B666" s="2"/>
      <c r="C666" s="1"/>
      <c r="D666" s="1"/>
      <c r="E666" s="1"/>
      <c r="F666" s="59"/>
      <c r="G666" s="32"/>
      <c r="H666" s="32"/>
    </row>
    <row r="667" spans="1:8" ht="15.75" hidden="1" customHeight="1">
      <c r="A667" s="1"/>
      <c r="B667" s="2"/>
      <c r="C667" s="1"/>
      <c r="D667" s="1"/>
      <c r="E667" s="1"/>
      <c r="F667" s="59"/>
      <c r="G667" s="32"/>
      <c r="H667" s="32"/>
    </row>
    <row r="668" spans="1:8" ht="15.75" hidden="1" customHeight="1">
      <c r="A668" s="1"/>
      <c r="B668" s="2"/>
      <c r="C668" s="1"/>
      <c r="D668" s="1"/>
      <c r="E668" s="1"/>
      <c r="F668" s="59"/>
      <c r="G668" s="32"/>
      <c r="H668" s="32"/>
    </row>
    <row r="669" spans="1:8" ht="15.75" hidden="1" customHeight="1">
      <c r="A669" s="1"/>
      <c r="B669" s="2"/>
      <c r="C669" s="1"/>
      <c r="D669" s="1"/>
      <c r="E669" s="1"/>
      <c r="F669" s="59"/>
      <c r="G669" s="32"/>
      <c r="H669" s="32"/>
    </row>
    <row r="670" spans="1:8" ht="15.75" hidden="1" customHeight="1">
      <c r="A670" s="1"/>
      <c r="B670" s="2"/>
      <c r="C670" s="1"/>
      <c r="D670" s="1"/>
      <c r="E670" s="1"/>
      <c r="F670" s="59"/>
      <c r="G670" s="32"/>
      <c r="H670" s="32"/>
    </row>
    <row r="671" spans="1:8" ht="15.75" hidden="1" customHeight="1">
      <c r="A671" s="1"/>
      <c r="B671" s="2"/>
      <c r="C671" s="1"/>
      <c r="D671" s="1"/>
      <c r="E671" s="1"/>
      <c r="F671" s="59"/>
      <c r="G671" s="32"/>
      <c r="H671" s="32"/>
    </row>
    <row r="672" spans="1:8" ht="15.75" hidden="1" customHeight="1">
      <c r="A672" s="1"/>
      <c r="B672" s="2"/>
      <c r="C672" s="1"/>
      <c r="D672" s="1"/>
      <c r="E672" s="1"/>
      <c r="F672" s="59"/>
      <c r="G672" s="32"/>
      <c r="H672" s="32"/>
    </row>
    <row r="673" spans="1:8" ht="15.75" hidden="1" customHeight="1">
      <c r="A673" s="1"/>
      <c r="B673" s="2"/>
      <c r="C673" s="1"/>
      <c r="D673" s="1"/>
      <c r="E673" s="1"/>
      <c r="F673" s="59"/>
      <c r="G673" s="32"/>
      <c r="H673" s="32"/>
    </row>
    <row r="674" spans="1:8" ht="15.75" hidden="1" customHeight="1">
      <c r="A674" s="1"/>
      <c r="B674" s="2"/>
      <c r="C674" s="1"/>
      <c r="D674" s="1"/>
      <c r="E674" s="1"/>
      <c r="F674" s="59"/>
      <c r="G674" s="32"/>
      <c r="H674" s="32"/>
    </row>
    <row r="675" spans="1:8" ht="15.75" hidden="1" customHeight="1">
      <c r="A675" s="1"/>
      <c r="B675" s="2"/>
      <c r="C675" s="1"/>
      <c r="D675" s="1"/>
      <c r="E675" s="1"/>
      <c r="F675" s="59"/>
      <c r="G675" s="32"/>
      <c r="H675" s="32"/>
    </row>
    <row r="676" spans="1:8" ht="15.75" hidden="1" customHeight="1">
      <c r="A676" s="1"/>
      <c r="B676" s="2"/>
      <c r="C676" s="1"/>
      <c r="D676" s="1"/>
      <c r="E676" s="1"/>
      <c r="F676" s="59"/>
      <c r="G676" s="32"/>
      <c r="H676" s="32"/>
    </row>
    <row r="677" spans="1:8" ht="15.75" hidden="1" customHeight="1">
      <c r="A677" s="1"/>
      <c r="B677" s="2"/>
      <c r="C677" s="1"/>
      <c r="D677" s="1"/>
      <c r="E677" s="1"/>
      <c r="F677" s="59"/>
      <c r="G677" s="32"/>
      <c r="H677" s="32"/>
    </row>
    <row r="678" spans="1:8" ht="15.75" hidden="1" customHeight="1">
      <c r="A678" s="1"/>
      <c r="B678" s="2"/>
      <c r="C678" s="1"/>
      <c r="D678" s="1"/>
      <c r="E678" s="1"/>
      <c r="F678" s="59"/>
      <c r="G678" s="32"/>
      <c r="H678" s="32"/>
    </row>
    <row r="679" spans="1:8" ht="15.75" hidden="1" customHeight="1">
      <c r="A679" s="1"/>
      <c r="B679" s="2"/>
      <c r="C679" s="1"/>
      <c r="D679" s="1"/>
      <c r="E679" s="1"/>
      <c r="F679" s="59"/>
      <c r="G679" s="32"/>
      <c r="H679" s="32"/>
    </row>
    <row r="680" spans="1:8" ht="15.75" hidden="1" customHeight="1">
      <c r="A680" s="1"/>
      <c r="B680" s="2"/>
      <c r="C680" s="1"/>
      <c r="D680" s="1"/>
      <c r="E680" s="1"/>
      <c r="F680" s="59"/>
      <c r="G680" s="32"/>
      <c r="H680" s="32"/>
    </row>
    <row r="681" spans="1:8" ht="15.75" hidden="1" customHeight="1">
      <c r="A681" s="1"/>
      <c r="B681" s="2"/>
      <c r="C681" s="1"/>
      <c r="D681" s="1"/>
      <c r="E681" s="1"/>
      <c r="F681" s="59"/>
      <c r="G681" s="32"/>
      <c r="H681" s="32"/>
    </row>
    <row r="682" spans="1:8" ht="15.75" hidden="1" customHeight="1">
      <c r="A682" s="1"/>
      <c r="B682" s="2"/>
      <c r="C682" s="1"/>
      <c r="D682" s="1"/>
      <c r="E682" s="1"/>
      <c r="F682" s="59"/>
      <c r="G682" s="32"/>
      <c r="H682" s="32"/>
    </row>
    <row r="683" spans="1:8" ht="15.75" hidden="1" customHeight="1">
      <c r="A683" s="1"/>
      <c r="B683" s="2"/>
      <c r="C683" s="1"/>
      <c r="D683" s="1"/>
      <c r="E683" s="1"/>
      <c r="F683" s="59"/>
      <c r="G683" s="32"/>
      <c r="H683" s="32"/>
    </row>
    <row r="684" spans="1:8" ht="15.75" hidden="1" customHeight="1">
      <c r="A684" s="1"/>
      <c r="B684" s="2"/>
      <c r="C684" s="1"/>
      <c r="D684" s="1"/>
      <c r="E684" s="1"/>
      <c r="F684" s="59"/>
      <c r="G684" s="32"/>
      <c r="H684" s="32"/>
    </row>
    <row r="685" spans="1:8" ht="15.75" hidden="1" customHeight="1">
      <c r="A685" s="1"/>
      <c r="B685" s="2"/>
      <c r="C685" s="1"/>
      <c r="D685" s="1"/>
      <c r="E685" s="1"/>
      <c r="F685" s="59"/>
      <c r="G685" s="32"/>
      <c r="H685" s="32"/>
    </row>
    <row r="686" spans="1:8" ht="15.75" hidden="1" customHeight="1">
      <c r="A686" s="1"/>
      <c r="B686" s="2"/>
      <c r="C686" s="1"/>
      <c r="D686" s="1"/>
      <c r="E686" s="1"/>
      <c r="F686" s="59"/>
      <c r="G686" s="32"/>
      <c r="H686" s="32"/>
    </row>
    <row r="687" spans="1:8" ht="15.75" hidden="1" customHeight="1">
      <c r="A687" s="1"/>
      <c r="B687" s="2"/>
      <c r="C687" s="1"/>
      <c r="D687" s="1"/>
      <c r="E687" s="1"/>
      <c r="F687" s="59"/>
      <c r="G687" s="32"/>
      <c r="H687" s="32"/>
    </row>
    <row r="688" spans="1:8" ht="15.75" hidden="1" customHeight="1">
      <c r="A688" s="1"/>
      <c r="B688" s="2"/>
      <c r="C688" s="1"/>
      <c r="D688" s="1"/>
      <c r="E688" s="1"/>
      <c r="F688" s="59"/>
      <c r="G688" s="32"/>
      <c r="H688" s="32"/>
    </row>
    <row r="689" spans="1:8" ht="15.75" hidden="1" customHeight="1">
      <c r="A689" s="1"/>
      <c r="B689" s="2"/>
      <c r="C689" s="1"/>
      <c r="D689" s="1"/>
      <c r="E689" s="1"/>
      <c r="F689" s="59"/>
      <c r="G689" s="32"/>
      <c r="H689" s="32"/>
    </row>
    <row r="690" spans="1:8" ht="15.75" hidden="1" customHeight="1">
      <c r="A690" s="1"/>
      <c r="B690" s="2"/>
      <c r="C690" s="1"/>
      <c r="D690" s="1"/>
      <c r="E690" s="1"/>
      <c r="F690" s="59"/>
      <c r="G690" s="32"/>
      <c r="H690" s="32"/>
    </row>
    <row r="691" spans="1:8" ht="15.75" hidden="1" customHeight="1">
      <c r="A691" s="1"/>
      <c r="B691" s="2"/>
      <c r="C691" s="1"/>
      <c r="D691" s="1"/>
      <c r="E691" s="1"/>
      <c r="F691" s="59"/>
      <c r="G691" s="32"/>
      <c r="H691" s="32"/>
    </row>
    <row r="692" spans="1:8" ht="15.75" hidden="1" customHeight="1">
      <c r="A692" s="1"/>
      <c r="B692" s="2"/>
      <c r="C692" s="1"/>
      <c r="D692" s="1"/>
      <c r="E692" s="1"/>
      <c r="F692" s="59"/>
      <c r="G692" s="32"/>
      <c r="H692" s="32"/>
    </row>
    <row r="693" spans="1:8" ht="15.75" hidden="1" customHeight="1">
      <c r="A693" s="1"/>
      <c r="B693" s="2"/>
      <c r="C693" s="1"/>
      <c r="D693" s="1"/>
      <c r="E693" s="1"/>
      <c r="F693" s="59"/>
      <c r="G693" s="32"/>
      <c r="H693" s="32"/>
    </row>
    <row r="694" spans="1:8" ht="15.75" hidden="1" customHeight="1">
      <c r="A694" s="1"/>
      <c r="B694" s="2"/>
      <c r="C694" s="1"/>
      <c r="D694" s="1"/>
      <c r="E694" s="1"/>
      <c r="F694" s="59"/>
      <c r="G694" s="32"/>
      <c r="H694" s="32"/>
    </row>
    <row r="695" spans="1:8" ht="15.75" hidden="1" customHeight="1">
      <c r="A695" s="1"/>
      <c r="B695" s="2"/>
      <c r="C695" s="1"/>
      <c r="D695" s="1"/>
      <c r="E695" s="1"/>
      <c r="F695" s="59"/>
      <c r="G695" s="32"/>
      <c r="H695" s="32"/>
    </row>
    <row r="696" spans="1:8" ht="15.75" hidden="1" customHeight="1">
      <c r="A696" s="1"/>
      <c r="B696" s="2"/>
      <c r="C696" s="1"/>
      <c r="D696" s="1"/>
      <c r="E696" s="1"/>
      <c r="F696" s="59"/>
      <c r="G696" s="32"/>
      <c r="H696" s="32"/>
    </row>
    <row r="697" spans="1:8" ht="15.75" hidden="1" customHeight="1">
      <c r="A697" s="1"/>
      <c r="B697" s="2"/>
      <c r="C697" s="1"/>
      <c r="D697" s="1"/>
      <c r="E697" s="1"/>
      <c r="F697" s="59"/>
      <c r="G697" s="32"/>
      <c r="H697" s="32"/>
    </row>
    <row r="698" spans="1:8" ht="15.75" hidden="1" customHeight="1">
      <c r="A698" s="1"/>
      <c r="B698" s="2"/>
      <c r="C698" s="1"/>
      <c r="D698" s="1"/>
      <c r="E698" s="1"/>
      <c r="F698" s="59"/>
      <c r="G698" s="32"/>
      <c r="H698" s="32"/>
    </row>
    <row r="699" spans="1:8" ht="15.75" hidden="1" customHeight="1">
      <c r="A699" s="1"/>
      <c r="B699" s="2"/>
      <c r="C699" s="1"/>
      <c r="D699" s="1"/>
      <c r="E699" s="1"/>
      <c r="F699" s="59"/>
      <c r="G699" s="32"/>
      <c r="H699" s="32"/>
    </row>
    <row r="700" spans="1:8" ht="15.75" hidden="1" customHeight="1">
      <c r="A700" s="1"/>
      <c r="B700" s="2"/>
      <c r="C700" s="1"/>
      <c r="D700" s="1"/>
      <c r="E700" s="1"/>
      <c r="F700" s="59"/>
      <c r="G700" s="32"/>
      <c r="H700" s="32"/>
    </row>
    <row r="701" spans="1:8" ht="15.75" hidden="1" customHeight="1">
      <c r="A701" s="1"/>
      <c r="B701" s="2"/>
      <c r="C701" s="1"/>
      <c r="D701" s="1"/>
      <c r="E701" s="1"/>
      <c r="F701" s="59"/>
      <c r="G701" s="32"/>
      <c r="H701" s="32"/>
    </row>
    <row r="702" spans="1:8" ht="15.75" hidden="1" customHeight="1">
      <c r="A702" s="1"/>
      <c r="B702" s="2"/>
      <c r="C702" s="1"/>
      <c r="D702" s="1"/>
      <c r="E702" s="1"/>
      <c r="F702" s="59"/>
      <c r="G702" s="32"/>
      <c r="H702" s="32"/>
    </row>
    <row r="703" spans="1:8" ht="15.75" hidden="1" customHeight="1">
      <c r="A703" s="1"/>
      <c r="B703" s="2"/>
      <c r="C703" s="1"/>
      <c r="D703" s="1"/>
      <c r="E703" s="1"/>
      <c r="F703" s="59"/>
      <c r="G703" s="32"/>
      <c r="H703" s="32"/>
    </row>
    <row r="704" spans="1:8" ht="15.75" hidden="1" customHeight="1">
      <c r="A704" s="1"/>
      <c r="B704" s="2"/>
      <c r="C704" s="1"/>
      <c r="D704" s="1"/>
      <c r="E704" s="1"/>
      <c r="F704" s="59"/>
      <c r="G704" s="32"/>
      <c r="H704" s="32"/>
    </row>
    <row r="705" spans="1:8" ht="15.75" hidden="1" customHeight="1">
      <c r="A705" s="1"/>
      <c r="B705" s="2"/>
      <c r="C705" s="1"/>
      <c r="D705" s="1"/>
      <c r="E705" s="1"/>
      <c r="F705" s="59"/>
      <c r="G705" s="32"/>
      <c r="H705" s="32"/>
    </row>
    <row r="706" spans="1:8" ht="15.75" hidden="1" customHeight="1">
      <c r="A706" s="1"/>
      <c r="B706" s="2"/>
      <c r="C706" s="1"/>
      <c r="D706" s="1"/>
      <c r="E706" s="1"/>
      <c r="F706" s="59"/>
      <c r="G706" s="32"/>
      <c r="H706" s="32"/>
    </row>
    <row r="707" spans="1:8" ht="15.75" hidden="1" customHeight="1">
      <c r="A707" s="1"/>
      <c r="B707" s="2"/>
      <c r="C707" s="1"/>
      <c r="D707" s="1"/>
      <c r="E707" s="1"/>
      <c r="F707" s="59"/>
      <c r="G707" s="32"/>
      <c r="H707" s="32"/>
    </row>
    <row r="708" spans="1:8" ht="15.75" hidden="1" customHeight="1">
      <c r="A708" s="1"/>
      <c r="B708" s="2"/>
      <c r="C708" s="1"/>
      <c r="D708" s="1"/>
      <c r="E708" s="1"/>
      <c r="F708" s="59"/>
      <c r="G708" s="32"/>
      <c r="H708" s="32"/>
    </row>
    <row r="709" spans="1:8" ht="15.75" hidden="1" customHeight="1">
      <c r="A709" s="1"/>
      <c r="B709" s="2"/>
      <c r="C709" s="1"/>
      <c r="D709" s="1"/>
      <c r="E709" s="1"/>
      <c r="F709" s="59"/>
      <c r="G709" s="32"/>
      <c r="H709" s="32"/>
    </row>
    <row r="710" spans="1:8" ht="15.75" hidden="1" customHeight="1">
      <c r="A710" s="1"/>
      <c r="B710" s="2"/>
      <c r="C710" s="1"/>
      <c r="D710" s="1"/>
      <c r="E710" s="1"/>
      <c r="F710" s="59"/>
      <c r="G710" s="32"/>
      <c r="H710" s="32"/>
    </row>
    <row r="711" spans="1:8" ht="15.75" hidden="1" customHeight="1">
      <c r="A711" s="1"/>
      <c r="B711" s="2"/>
      <c r="C711" s="1"/>
      <c r="D711" s="1"/>
      <c r="E711" s="1"/>
      <c r="F711" s="59"/>
      <c r="G711" s="32"/>
      <c r="H711" s="32"/>
    </row>
    <row r="712" spans="1:8" ht="15.75" hidden="1" customHeight="1">
      <c r="A712" s="1"/>
      <c r="B712" s="2"/>
      <c r="C712" s="1"/>
      <c r="D712" s="1"/>
      <c r="E712" s="1"/>
      <c r="F712" s="59"/>
      <c r="G712" s="32"/>
      <c r="H712" s="32"/>
    </row>
    <row r="713" spans="1:8" ht="15.75" hidden="1" customHeight="1">
      <c r="A713" s="1"/>
      <c r="B713" s="2"/>
      <c r="C713" s="1"/>
      <c r="D713" s="1"/>
      <c r="E713" s="1"/>
      <c r="F713" s="59"/>
      <c r="G713" s="32"/>
      <c r="H713" s="32"/>
    </row>
    <row r="714" spans="1:8" ht="15.75" hidden="1" customHeight="1">
      <c r="A714" s="1"/>
      <c r="B714" s="2"/>
      <c r="C714" s="1"/>
      <c r="D714" s="1"/>
      <c r="E714" s="1"/>
      <c r="F714" s="59"/>
      <c r="G714" s="32"/>
      <c r="H714" s="32"/>
    </row>
    <row r="715" spans="1:8" ht="15.75" hidden="1" customHeight="1">
      <c r="A715" s="1"/>
      <c r="B715" s="2"/>
      <c r="C715" s="1"/>
      <c r="D715" s="1"/>
      <c r="E715" s="1"/>
      <c r="F715" s="59"/>
      <c r="G715" s="32"/>
      <c r="H715" s="32"/>
    </row>
    <row r="716" spans="1:8" ht="15.75" hidden="1" customHeight="1">
      <c r="A716" s="1"/>
      <c r="B716" s="2"/>
      <c r="C716" s="1"/>
      <c r="D716" s="1"/>
      <c r="E716" s="1"/>
      <c r="F716" s="59"/>
      <c r="G716" s="32"/>
      <c r="H716" s="32"/>
    </row>
    <row r="717" spans="1:8" ht="15.75" hidden="1" customHeight="1">
      <c r="A717" s="1"/>
      <c r="B717" s="2"/>
      <c r="C717" s="1"/>
      <c r="D717" s="1"/>
      <c r="E717" s="1"/>
      <c r="F717" s="59"/>
      <c r="G717" s="32"/>
      <c r="H717" s="32"/>
    </row>
    <row r="718" spans="1:8" ht="15.75" hidden="1" customHeight="1">
      <c r="A718" s="1"/>
      <c r="B718" s="2"/>
      <c r="C718" s="1"/>
      <c r="D718" s="1"/>
      <c r="E718" s="1"/>
      <c r="F718" s="59"/>
      <c r="G718" s="32"/>
      <c r="H718" s="32"/>
    </row>
    <row r="719" spans="1:8" ht="15.75" hidden="1" customHeight="1">
      <c r="A719" s="1"/>
      <c r="B719" s="2"/>
      <c r="C719" s="1"/>
      <c r="D719" s="1"/>
      <c r="E719" s="1"/>
      <c r="F719" s="59"/>
      <c r="G719" s="32"/>
      <c r="H719" s="32"/>
    </row>
    <row r="720" spans="1:8" ht="15.75" hidden="1" customHeight="1">
      <c r="A720" s="1"/>
      <c r="B720" s="2"/>
      <c r="C720" s="1"/>
      <c r="D720" s="1"/>
      <c r="E720" s="1"/>
      <c r="F720" s="59"/>
      <c r="G720" s="32"/>
      <c r="H720" s="32"/>
    </row>
    <row r="721" spans="1:8" ht="15.75" hidden="1" customHeight="1">
      <c r="A721" s="1"/>
      <c r="B721" s="2"/>
      <c r="C721" s="1"/>
      <c r="D721" s="1"/>
      <c r="E721" s="1"/>
      <c r="F721" s="59"/>
      <c r="G721" s="32"/>
      <c r="H721" s="32"/>
    </row>
    <row r="722" spans="1:8" ht="15.75" hidden="1" customHeight="1">
      <c r="A722" s="1"/>
      <c r="B722" s="2"/>
      <c r="C722" s="1"/>
      <c r="D722" s="1"/>
      <c r="E722" s="1"/>
      <c r="F722" s="59"/>
      <c r="G722" s="32"/>
      <c r="H722" s="32"/>
    </row>
    <row r="723" spans="1:8" ht="15.75" hidden="1" customHeight="1">
      <c r="A723" s="1"/>
      <c r="B723" s="2"/>
      <c r="C723" s="1"/>
      <c r="D723" s="1"/>
      <c r="E723" s="1"/>
      <c r="F723" s="59"/>
      <c r="G723" s="32"/>
      <c r="H723" s="32"/>
    </row>
    <row r="724" spans="1:8" ht="15.75" hidden="1" customHeight="1">
      <c r="A724" s="1"/>
      <c r="B724" s="2"/>
      <c r="C724" s="1"/>
      <c r="D724" s="1"/>
      <c r="E724" s="1"/>
      <c r="F724" s="59"/>
      <c r="G724" s="32"/>
      <c r="H724" s="32"/>
    </row>
    <row r="725" spans="1:8" ht="15.75" hidden="1" customHeight="1">
      <c r="A725" s="1"/>
      <c r="B725" s="2"/>
      <c r="C725" s="1"/>
      <c r="D725" s="1"/>
      <c r="E725" s="1"/>
      <c r="F725" s="59"/>
      <c r="G725" s="32"/>
      <c r="H725" s="32"/>
    </row>
    <row r="726" spans="1:8" ht="15.75" hidden="1" customHeight="1">
      <c r="A726" s="1"/>
      <c r="B726" s="2"/>
      <c r="C726" s="1"/>
      <c r="D726" s="1"/>
      <c r="E726" s="1"/>
      <c r="F726" s="59"/>
      <c r="G726" s="32"/>
      <c r="H726" s="32"/>
    </row>
    <row r="727" spans="1:8" ht="15.75" hidden="1" customHeight="1">
      <c r="A727" s="1"/>
      <c r="B727" s="2"/>
      <c r="C727" s="1"/>
      <c r="D727" s="1"/>
      <c r="E727" s="1"/>
      <c r="F727" s="59"/>
      <c r="G727" s="32"/>
      <c r="H727" s="32"/>
    </row>
    <row r="728" spans="1:8" ht="15.75" hidden="1" customHeight="1">
      <c r="A728" s="1"/>
      <c r="B728" s="2"/>
      <c r="C728" s="1"/>
      <c r="D728" s="1"/>
      <c r="F728" s="59"/>
      <c r="G728" s="32"/>
      <c r="H728" s="32"/>
    </row>
    <row r="729" spans="1:8" ht="15.75" hidden="1" customHeight="1">
      <c r="A729" s="1"/>
      <c r="B729" s="2"/>
      <c r="C729" s="1"/>
      <c r="D729" s="1"/>
      <c r="E729" s="1"/>
      <c r="F729" s="59"/>
      <c r="G729" s="32"/>
      <c r="H729" s="32"/>
    </row>
    <row r="730" spans="1:8" ht="15.75" hidden="1" customHeight="1">
      <c r="A730" s="1"/>
      <c r="B730" s="2"/>
      <c r="C730" s="1"/>
      <c r="D730" s="1"/>
      <c r="E730" s="1"/>
      <c r="F730" s="59"/>
      <c r="G730" s="32"/>
      <c r="H730" s="32"/>
    </row>
    <row r="731" spans="1:8" ht="15.75" hidden="1" customHeight="1">
      <c r="A731" s="1"/>
      <c r="B731" s="2"/>
      <c r="C731" s="1"/>
      <c r="D731" s="1"/>
      <c r="E731" s="1"/>
      <c r="F731" s="59"/>
      <c r="G731" s="32"/>
      <c r="H731" s="32"/>
    </row>
    <row r="732" spans="1:8" ht="15.75" hidden="1" customHeight="1">
      <c r="A732" s="1"/>
      <c r="B732" s="2"/>
      <c r="C732" s="1"/>
      <c r="D732" s="1"/>
      <c r="E732" s="1"/>
      <c r="F732" s="59"/>
      <c r="G732" s="32"/>
      <c r="H732" s="32"/>
    </row>
    <row r="733" spans="1:8" ht="15.75" hidden="1" customHeight="1">
      <c r="A733" s="1"/>
      <c r="B733" s="2"/>
      <c r="C733" s="1"/>
      <c r="D733" s="1"/>
      <c r="E733" s="1"/>
      <c r="F733" s="59"/>
      <c r="G733" s="32"/>
      <c r="H733" s="32"/>
    </row>
    <row r="734" spans="1:8" ht="15.75" hidden="1" customHeight="1">
      <c r="A734" s="1"/>
      <c r="B734" s="2"/>
      <c r="C734" s="1"/>
      <c r="D734" s="1"/>
      <c r="E734" s="1"/>
      <c r="F734" s="59"/>
      <c r="G734" s="32"/>
      <c r="H734" s="32"/>
    </row>
    <row r="735" spans="1:8" ht="15.75" hidden="1" customHeight="1">
      <c r="A735" s="1"/>
      <c r="B735" s="2"/>
      <c r="C735" s="1"/>
      <c r="D735" s="1"/>
      <c r="E735" s="1"/>
      <c r="F735" s="59"/>
      <c r="G735" s="32"/>
      <c r="H735" s="32"/>
    </row>
    <row r="736" spans="1:8" ht="15.75" hidden="1" customHeight="1">
      <c r="A736" s="1"/>
      <c r="B736" s="2"/>
      <c r="C736" s="1"/>
      <c r="D736" s="1"/>
      <c r="E736" s="1"/>
      <c r="F736" s="59"/>
      <c r="G736" s="32"/>
      <c r="H736" s="32"/>
    </row>
    <row r="737" spans="1:8" ht="15.75" hidden="1" customHeight="1">
      <c r="A737" s="1"/>
      <c r="B737" s="2"/>
      <c r="C737" s="1"/>
      <c r="D737" s="1"/>
      <c r="F737" s="59"/>
      <c r="G737" s="32"/>
      <c r="H737" s="32"/>
    </row>
    <row r="738" spans="1:8" ht="15.75" hidden="1" customHeight="1">
      <c r="A738" s="1"/>
      <c r="B738" s="2"/>
      <c r="C738" s="1"/>
      <c r="D738" s="1"/>
      <c r="F738" s="59"/>
      <c r="G738" s="32"/>
      <c r="H738" s="32"/>
    </row>
    <row r="739" spans="1:8" ht="15.75" hidden="1" customHeight="1">
      <c r="A739" s="1"/>
      <c r="B739" s="2"/>
      <c r="C739" s="1"/>
      <c r="D739" s="1"/>
      <c r="F739" s="59"/>
      <c r="G739" s="32"/>
      <c r="H739" s="32"/>
    </row>
    <row r="740" spans="1:8" ht="15.75" hidden="1" customHeight="1">
      <c r="A740" s="1"/>
      <c r="B740" s="2"/>
      <c r="C740" s="1"/>
      <c r="D740" s="1"/>
      <c r="F740" s="59"/>
      <c r="G740" s="32"/>
      <c r="H740" s="32"/>
    </row>
    <row r="741" spans="1:8" ht="15.75" hidden="1" customHeight="1">
      <c r="A741" s="1"/>
      <c r="B741" s="2"/>
      <c r="C741" s="1"/>
      <c r="D741" s="1"/>
      <c r="F741" s="59"/>
      <c r="G741" s="32"/>
      <c r="H741" s="32"/>
    </row>
    <row r="742" spans="1:8" ht="15.75" hidden="1" customHeight="1">
      <c r="A742" s="1"/>
      <c r="B742" s="2"/>
      <c r="C742" s="1"/>
      <c r="D742" s="1"/>
      <c r="F742" s="59"/>
      <c r="G742" s="32"/>
      <c r="H742" s="32"/>
    </row>
    <row r="743" spans="1:8" ht="15.75" hidden="1" customHeight="1">
      <c r="A743" s="1"/>
      <c r="B743" s="2"/>
      <c r="C743" s="1"/>
      <c r="D743" s="1"/>
      <c r="F743" s="59"/>
      <c r="G743" s="32"/>
      <c r="H743" s="32"/>
    </row>
    <row r="744" spans="1:8" ht="15.75" hidden="1" customHeight="1">
      <c r="A744" s="1"/>
      <c r="B744" s="2"/>
      <c r="C744" s="1"/>
      <c r="D744" s="1"/>
      <c r="F744" s="59"/>
      <c r="G744" s="32"/>
      <c r="H744" s="32"/>
    </row>
    <row r="745" spans="1:8" ht="15.75" hidden="1" customHeight="1">
      <c r="A745" s="1"/>
      <c r="B745" s="2"/>
      <c r="C745" s="1"/>
      <c r="D745" s="1"/>
      <c r="F745" s="59"/>
      <c r="G745" s="32"/>
      <c r="H745" s="32"/>
    </row>
    <row r="746" spans="1:8" ht="15.75" hidden="1" customHeight="1">
      <c r="A746" s="1"/>
      <c r="B746" s="2"/>
      <c r="C746" s="1"/>
      <c r="D746" s="1"/>
      <c r="F746" s="59"/>
      <c r="G746" s="32"/>
      <c r="H746" s="32"/>
    </row>
    <row r="747" spans="1:8" ht="15.75" hidden="1" customHeight="1">
      <c r="A747" s="1"/>
      <c r="B747" s="2"/>
      <c r="C747" s="1"/>
      <c r="D747" s="1"/>
      <c r="F747" s="59"/>
      <c r="G747" s="32"/>
      <c r="H747" s="32"/>
    </row>
    <row r="748" spans="1:8" ht="15.75" hidden="1" customHeight="1">
      <c r="A748" s="1"/>
      <c r="B748" s="2"/>
      <c r="C748" s="1"/>
      <c r="D748" s="1"/>
      <c r="F748" s="59"/>
      <c r="G748" s="32"/>
      <c r="H748" s="32"/>
    </row>
    <row r="749" spans="1:8" ht="15.75" hidden="1" customHeight="1">
      <c r="A749" s="1"/>
      <c r="B749" s="2"/>
      <c r="C749" s="1"/>
      <c r="D749" s="1"/>
      <c r="F749" s="59"/>
      <c r="G749" s="32"/>
      <c r="H749" s="32"/>
    </row>
    <row r="750" spans="1:8" ht="15.75" hidden="1" customHeight="1">
      <c r="A750" s="1"/>
      <c r="B750" s="2"/>
      <c r="C750" s="1"/>
      <c r="D750" s="1"/>
      <c r="F750" s="59"/>
      <c r="G750" s="32"/>
      <c r="H750" s="32"/>
    </row>
    <row r="751" spans="1:8" ht="15.75" hidden="1" customHeight="1">
      <c r="A751" s="1"/>
      <c r="B751" s="2"/>
      <c r="C751" s="1"/>
      <c r="D751" s="1"/>
      <c r="F751" s="59"/>
      <c r="G751" s="32"/>
      <c r="H751" s="32"/>
    </row>
    <row r="752" spans="1:8" ht="15.75" hidden="1" customHeight="1">
      <c r="A752" s="1"/>
      <c r="B752" s="2"/>
      <c r="C752" s="1"/>
      <c r="D752" s="1"/>
      <c r="F752" s="59"/>
      <c r="G752" s="32"/>
      <c r="H752" s="32"/>
    </row>
    <row r="753" spans="1:8" ht="15.75" hidden="1" customHeight="1">
      <c r="A753" s="1"/>
      <c r="B753" s="2"/>
      <c r="C753" s="1"/>
      <c r="D753" s="1"/>
      <c r="F753" s="59"/>
      <c r="G753" s="32"/>
      <c r="H753" s="32"/>
    </row>
    <row r="754" spans="1:8" ht="15.75" hidden="1" customHeight="1">
      <c r="A754" s="1"/>
      <c r="B754" s="2"/>
      <c r="C754" s="1"/>
      <c r="D754" s="1"/>
      <c r="F754" s="59"/>
      <c r="G754" s="32"/>
      <c r="H754" s="32"/>
    </row>
    <row r="755" spans="1:8" ht="15.75" hidden="1" customHeight="1">
      <c r="A755" s="1"/>
      <c r="B755" s="2"/>
      <c r="C755" s="1"/>
      <c r="D755" s="1"/>
      <c r="F755" s="59"/>
      <c r="G755" s="32"/>
      <c r="H755" s="32"/>
    </row>
    <row r="756" spans="1:8" ht="15.75" hidden="1" customHeight="1">
      <c r="A756" s="1"/>
      <c r="B756" s="2"/>
      <c r="C756" s="1"/>
      <c r="D756" s="1"/>
      <c r="F756" s="59"/>
      <c r="G756" s="32"/>
      <c r="H756" s="32"/>
    </row>
    <row r="757" spans="1:8" ht="15.75" hidden="1" customHeight="1">
      <c r="A757" s="1"/>
      <c r="B757" s="2"/>
      <c r="C757" s="1"/>
      <c r="D757" s="1"/>
      <c r="F757" s="59"/>
      <c r="G757" s="32"/>
      <c r="H757" s="32"/>
    </row>
    <row r="758" spans="1:8" ht="15.75" hidden="1" customHeight="1">
      <c r="A758" s="1"/>
      <c r="B758" s="2"/>
      <c r="C758" s="1"/>
      <c r="D758" s="1"/>
      <c r="F758" s="59"/>
      <c r="G758" s="32"/>
      <c r="H758" s="32"/>
    </row>
    <row r="759" spans="1:8" ht="15.75" hidden="1" customHeight="1">
      <c r="A759" s="1"/>
      <c r="B759" s="2"/>
      <c r="C759" s="1"/>
      <c r="D759" s="1"/>
      <c r="F759" s="59"/>
      <c r="G759" s="32"/>
      <c r="H759" s="32"/>
    </row>
    <row r="760" spans="1:8" ht="15.75" hidden="1" customHeight="1">
      <c r="A760" s="1"/>
      <c r="B760" s="2"/>
      <c r="C760" s="1"/>
      <c r="D760" s="1"/>
      <c r="F760" s="59"/>
      <c r="G760" s="32"/>
      <c r="H760" s="32"/>
    </row>
    <row r="761" spans="1:8" ht="15.75" hidden="1" customHeight="1">
      <c r="A761" s="1"/>
      <c r="B761" s="2"/>
      <c r="C761" s="1"/>
      <c r="D761" s="1"/>
      <c r="F761" s="59"/>
      <c r="G761" s="32"/>
      <c r="H761" s="32"/>
    </row>
    <row r="762" spans="1:8" ht="15.75" hidden="1" customHeight="1">
      <c r="A762" s="1"/>
      <c r="B762" s="2"/>
      <c r="C762" s="1"/>
      <c r="D762" s="1"/>
      <c r="F762" s="59"/>
      <c r="G762" s="32"/>
      <c r="H762" s="32"/>
    </row>
    <row r="763" spans="1:8" ht="15.75" hidden="1" customHeight="1">
      <c r="A763" s="1"/>
      <c r="B763" s="2"/>
      <c r="C763" s="1"/>
      <c r="D763" s="1"/>
      <c r="F763" s="59"/>
      <c r="G763" s="32"/>
      <c r="H763" s="32"/>
    </row>
    <row r="764" spans="1:8" ht="15.75" hidden="1" customHeight="1">
      <c r="A764" s="1"/>
      <c r="B764" s="2"/>
      <c r="C764" s="1"/>
      <c r="D764" s="1"/>
      <c r="F764" s="59"/>
      <c r="G764" s="32"/>
      <c r="H764" s="32"/>
    </row>
    <row r="765" spans="1:8" ht="15.75" hidden="1" customHeight="1">
      <c r="A765" s="1"/>
      <c r="B765" s="2"/>
      <c r="C765" s="1"/>
      <c r="D765" s="1"/>
      <c r="F765" s="59"/>
      <c r="G765" s="32"/>
      <c r="H765" s="32"/>
    </row>
    <row r="766" spans="1:8" ht="15.75" hidden="1" customHeight="1">
      <c r="A766" s="1"/>
      <c r="B766" s="2"/>
      <c r="C766" s="1"/>
      <c r="D766" s="1"/>
      <c r="F766" s="59"/>
      <c r="G766" s="32"/>
      <c r="H766" s="32"/>
    </row>
    <row r="767" spans="1:8" ht="15.75" hidden="1" customHeight="1">
      <c r="A767" s="1"/>
      <c r="B767" s="2"/>
      <c r="C767" s="1"/>
      <c r="D767" s="1"/>
      <c r="F767" s="59"/>
      <c r="G767" s="32"/>
      <c r="H767" s="32"/>
    </row>
    <row r="768" spans="1:8" ht="15.75" hidden="1" customHeight="1">
      <c r="A768" s="1"/>
      <c r="B768" s="2"/>
      <c r="C768" s="1"/>
      <c r="D768" s="1"/>
      <c r="F768" s="59"/>
      <c r="G768" s="32"/>
      <c r="H768" s="32"/>
    </row>
    <row r="769" spans="1:8" ht="15.75" hidden="1" customHeight="1">
      <c r="A769" s="1"/>
      <c r="B769" s="2"/>
      <c r="C769" s="1"/>
      <c r="D769" s="1"/>
      <c r="F769" s="59"/>
      <c r="G769" s="32"/>
      <c r="H769" s="32"/>
    </row>
    <row r="770" spans="1:8" ht="15.75" hidden="1" customHeight="1">
      <c r="A770" s="1"/>
      <c r="B770" s="2"/>
      <c r="C770" s="1"/>
      <c r="D770" s="1"/>
      <c r="F770" s="59"/>
      <c r="G770" s="32"/>
      <c r="H770" s="32"/>
    </row>
    <row r="771" spans="1:8" ht="15.75" hidden="1" customHeight="1">
      <c r="A771" s="1"/>
      <c r="B771" s="2"/>
      <c r="C771" s="1"/>
      <c r="D771" s="1"/>
      <c r="F771" s="59"/>
      <c r="G771" s="32"/>
      <c r="H771" s="32"/>
    </row>
    <row r="772" spans="1:8" ht="15.75" hidden="1" customHeight="1">
      <c r="A772" s="1"/>
      <c r="B772" s="2"/>
      <c r="C772" s="1"/>
      <c r="D772" s="1"/>
      <c r="F772" s="59"/>
      <c r="G772" s="32"/>
      <c r="H772" s="32"/>
    </row>
    <row r="773" spans="1:8" ht="15.75" hidden="1" customHeight="1">
      <c r="A773" s="1"/>
      <c r="B773" s="2"/>
      <c r="C773" s="1"/>
      <c r="D773" s="1"/>
      <c r="F773" s="59"/>
      <c r="G773" s="32"/>
      <c r="H773" s="32"/>
    </row>
    <row r="774" spans="1:8" ht="15.75" hidden="1" customHeight="1">
      <c r="A774" s="1"/>
      <c r="B774" s="2"/>
      <c r="C774" s="1"/>
      <c r="D774" s="1"/>
      <c r="F774" s="59"/>
      <c r="G774" s="32"/>
      <c r="H774" s="32"/>
    </row>
    <row r="775" spans="1:8" ht="15.75" hidden="1" customHeight="1">
      <c r="A775" s="1"/>
      <c r="B775" s="2"/>
      <c r="C775" s="1"/>
      <c r="D775" s="1"/>
      <c r="F775" s="59"/>
      <c r="G775" s="32"/>
      <c r="H775" s="32"/>
    </row>
    <row r="776" spans="1:8" ht="15.75" hidden="1" customHeight="1">
      <c r="A776" s="1"/>
      <c r="B776" s="2"/>
      <c r="C776" s="1"/>
      <c r="D776" s="1"/>
      <c r="F776" s="59"/>
      <c r="G776" s="32"/>
      <c r="H776" s="32"/>
    </row>
    <row r="777" spans="1:8" ht="15.75" hidden="1" customHeight="1">
      <c r="A777" s="1"/>
      <c r="B777" s="2"/>
      <c r="C777" s="1"/>
      <c r="D777" s="1"/>
      <c r="F777" s="59"/>
      <c r="G777" s="32"/>
      <c r="H777" s="32"/>
    </row>
    <row r="778" spans="1:8" ht="15.75" hidden="1" customHeight="1">
      <c r="A778" s="1"/>
      <c r="B778" s="2"/>
      <c r="C778" s="1"/>
      <c r="D778" s="1"/>
      <c r="F778" s="59"/>
      <c r="G778" s="32"/>
      <c r="H778" s="32"/>
    </row>
    <row r="779" spans="1:8" ht="15.75" hidden="1" customHeight="1">
      <c r="A779" s="1"/>
      <c r="B779" s="2"/>
      <c r="C779" s="1"/>
      <c r="D779" s="1"/>
      <c r="F779" s="59"/>
      <c r="G779" s="32"/>
      <c r="H779" s="32"/>
    </row>
    <row r="780" spans="1:8" ht="15.75" hidden="1" customHeight="1">
      <c r="A780" s="1"/>
      <c r="B780" s="2"/>
      <c r="C780" s="1"/>
      <c r="D780" s="1"/>
      <c r="F780" s="59"/>
      <c r="G780" s="32"/>
      <c r="H780" s="32"/>
    </row>
    <row r="781" spans="1:8" ht="15.75" hidden="1" customHeight="1">
      <c r="A781" s="1"/>
      <c r="B781" s="2"/>
      <c r="C781" s="1"/>
      <c r="D781" s="1"/>
      <c r="F781" s="59"/>
      <c r="G781" s="32"/>
      <c r="H781" s="32"/>
    </row>
    <row r="782" spans="1:8" ht="15.75" hidden="1" customHeight="1">
      <c r="A782" s="1"/>
      <c r="B782" s="2"/>
      <c r="C782" s="1"/>
      <c r="D782" s="1"/>
      <c r="F782" s="59"/>
      <c r="G782" s="32"/>
      <c r="H782" s="32"/>
    </row>
    <row r="783" spans="1:8" ht="15.75" hidden="1" customHeight="1">
      <c r="A783" s="1"/>
      <c r="B783" s="2"/>
      <c r="C783" s="1"/>
      <c r="D783" s="1"/>
      <c r="F783" s="59"/>
      <c r="G783" s="32"/>
      <c r="H783" s="32"/>
    </row>
    <row r="784" spans="1:8" ht="15.75" hidden="1" customHeight="1">
      <c r="A784" s="1"/>
      <c r="B784" s="2"/>
      <c r="C784" s="1"/>
      <c r="D784" s="1"/>
      <c r="F784" s="59"/>
      <c r="G784" s="32"/>
      <c r="H784" s="32"/>
    </row>
    <row r="785" spans="1:8" ht="15.75" hidden="1" customHeight="1">
      <c r="A785" s="1"/>
      <c r="B785" s="2"/>
      <c r="C785" s="1"/>
      <c r="D785" s="1"/>
      <c r="F785" s="59"/>
      <c r="G785" s="32"/>
      <c r="H785" s="32"/>
    </row>
    <row r="786" spans="1:8" ht="15.75" hidden="1" customHeight="1">
      <c r="A786" s="1"/>
      <c r="B786" s="2"/>
      <c r="C786" s="1"/>
      <c r="D786" s="1"/>
      <c r="F786" s="59"/>
      <c r="G786" s="32"/>
      <c r="H786" s="32"/>
    </row>
    <row r="787" spans="1:8" ht="15.75" hidden="1" customHeight="1">
      <c r="A787" s="1"/>
      <c r="B787" s="2"/>
      <c r="C787" s="1"/>
      <c r="D787" s="1"/>
      <c r="F787" s="59"/>
      <c r="G787" s="32"/>
      <c r="H787" s="32"/>
    </row>
    <row r="788" spans="1:8" ht="15.75" hidden="1" customHeight="1">
      <c r="A788" s="1"/>
      <c r="B788" s="2"/>
      <c r="C788" s="1"/>
      <c r="D788" s="1"/>
      <c r="F788" s="59"/>
      <c r="G788" s="32"/>
      <c r="H788" s="32"/>
    </row>
    <row r="789" spans="1:8" ht="15.75" hidden="1" customHeight="1">
      <c r="A789" s="1"/>
      <c r="B789" s="2"/>
      <c r="C789" s="1"/>
      <c r="D789" s="1"/>
      <c r="F789" s="59"/>
      <c r="G789" s="32"/>
      <c r="H789" s="32"/>
    </row>
    <row r="790" spans="1:8" ht="15.75" hidden="1" customHeight="1">
      <c r="A790" s="1"/>
      <c r="B790" s="2"/>
      <c r="C790" s="1"/>
      <c r="D790" s="1"/>
      <c r="F790" s="59"/>
      <c r="G790" s="32"/>
      <c r="H790" s="32"/>
    </row>
    <row r="791" spans="1:8" ht="15.75" hidden="1" customHeight="1">
      <c r="A791" s="1"/>
      <c r="B791" s="2"/>
      <c r="C791" s="1"/>
      <c r="D791" s="1"/>
      <c r="F791" s="59"/>
      <c r="G791" s="32"/>
      <c r="H791" s="32"/>
    </row>
    <row r="792" spans="1:8" ht="15.75" hidden="1" customHeight="1">
      <c r="A792" s="1"/>
      <c r="B792" s="2"/>
      <c r="C792" s="1"/>
      <c r="D792" s="1"/>
      <c r="F792" s="59"/>
      <c r="G792" s="32"/>
      <c r="H792" s="32"/>
    </row>
    <row r="793" spans="1:8" ht="15.75" hidden="1" customHeight="1">
      <c r="A793" s="1"/>
      <c r="B793" s="2"/>
      <c r="C793" s="1"/>
      <c r="D793" s="1"/>
      <c r="F793" s="59"/>
      <c r="G793" s="32"/>
      <c r="H793" s="32"/>
    </row>
    <row r="794" spans="1:8" ht="15.75" hidden="1" customHeight="1">
      <c r="A794" s="1"/>
      <c r="B794" s="2"/>
      <c r="C794" s="1"/>
      <c r="D794" s="1"/>
      <c r="F794" s="59"/>
      <c r="G794" s="32"/>
      <c r="H794" s="32"/>
    </row>
    <row r="795" spans="1:8" ht="15.75" hidden="1" customHeight="1">
      <c r="A795" s="1"/>
      <c r="B795" s="2"/>
      <c r="C795" s="1"/>
      <c r="D795" s="1"/>
      <c r="F795" s="59"/>
      <c r="G795" s="32"/>
      <c r="H795" s="32"/>
    </row>
    <row r="796" spans="1:8" ht="15.75" hidden="1" customHeight="1">
      <c r="A796" s="1"/>
      <c r="B796" s="2"/>
      <c r="C796" s="1"/>
      <c r="D796" s="1"/>
      <c r="F796" s="59"/>
      <c r="G796" s="32"/>
      <c r="H796" s="32"/>
    </row>
    <row r="797" spans="1:8" ht="15.75" hidden="1" customHeight="1">
      <c r="A797" s="1"/>
      <c r="B797" s="2"/>
      <c r="C797" s="1"/>
      <c r="D797" s="1"/>
      <c r="F797" s="59"/>
      <c r="G797" s="32"/>
      <c r="H797" s="32"/>
    </row>
    <row r="798" spans="1:8" ht="15.75" hidden="1" customHeight="1">
      <c r="A798" s="1"/>
      <c r="B798" s="2"/>
      <c r="C798" s="1"/>
      <c r="D798" s="1"/>
      <c r="F798" s="59"/>
      <c r="G798" s="32"/>
      <c r="H798" s="32"/>
    </row>
    <row r="799" spans="1:8" ht="15.75" hidden="1" customHeight="1">
      <c r="A799" s="1"/>
      <c r="B799" s="2"/>
      <c r="C799" s="1"/>
      <c r="D799" s="1"/>
      <c r="F799" s="59"/>
      <c r="G799" s="32"/>
      <c r="H799" s="32"/>
    </row>
    <row r="800" spans="1:8" ht="15.75" hidden="1" customHeight="1">
      <c r="A800" s="1"/>
      <c r="B800" s="2"/>
      <c r="C800" s="1"/>
      <c r="D800" s="1"/>
      <c r="F800" s="59"/>
      <c r="G800" s="32"/>
      <c r="H800" s="32"/>
    </row>
    <row r="801" spans="1:8" ht="15.75" hidden="1" customHeight="1">
      <c r="A801" s="1"/>
      <c r="B801" s="2"/>
      <c r="C801" s="1"/>
      <c r="D801" s="1"/>
      <c r="F801" s="59"/>
      <c r="G801" s="32"/>
      <c r="H801" s="32"/>
    </row>
    <row r="802" spans="1:8" ht="15.75" hidden="1" customHeight="1">
      <c r="A802" s="1"/>
      <c r="B802" s="2"/>
      <c r="C802" s="1"/>
      <c r="D802" s="1"/>
      <c r="F802" s="59"/>
      <c r="G802" s="32"/>
      <c r="H802" s="32"/>
    </row>
    <row r="803" spans="1:8" ht="15.75" hidden="1" customHeight="1">
      <c r="A803" s="1"/>
      <c r="B803" s="2"/>
      <c r="C803" s="1"/>
      <c r="D803" s="1"/>
      <c r="F803" s="59"/>
      <c r="G803" s="32"/>
      <c r="H803" s="32"/>
    </row>
    <row r="804" spans="1:8" ht="15.75" hidden="1" customHeight="1">
      <c r="A804" s="1"/>
      <c r="B804" s="2"/>
      <c r="C804" s="1"/>
      <c r="D804" s="1"/>
      <c r="F804" s="59"/>
      <c r="G804" s="32"/>
      <c r="H804" s="32"/>
    </row>
    <row r="805" spans="1:8" ht="15.75" hidden="1" customHeight="1">
      <c r="A805" s="1"/>
      <c r="B805" s="2"/>
      <c r="C805" s="1"/>
      <c r="D805" s="1"/>
      <c r="F805" s="59"/>
      <c r="G805" s="32"/>
      <c r="H805" s="32"/>
    </row>
    <row r="806" spans="1:8" ht="15.75" hidden="1" customHeight="1">
      <c r="A806" s="1"/>
      <c r="B806" s="2"/>
      <c r="C806" s="1"/>
      <c r="D806" s="1"/>
      <c r="F806" s="59"/>
      <c r="G806" s="32"/>
      <c r="H806" s="32"/>
    </row>
    <row r="807" spans="1:8" ht="15.75" hidden="1" customHeight="1">
      <c r="A807" s="1"/>
      <c r="B807" s="2"/>
      <c r="C807" s="1"/>
      <c r="D807" s="1"/>
      <c r="F807" s="59"/>
      <c r="G807" s="32"/>
      <c r="H807" s="32"/>
    </row>
    <row r="808" spans="1:8" ht="15.75" hidden="1" customHeight="1">
      <c r="A808" s="1"/>
      <c r="B808" s="2"/>
      <c r="C808" s="1"/>
      <c r="D808" s="1"/>
      <c r="F808" s="59"/>
      <c r="G808" s="32"/>
      <c r="H808" s="32"/>
    </row>
    <row r="809" spans="1:8" ht="15.75" hidden="1" customHeight="1">
      <c r="A809" s="1"/>
      <c r="B809" s="2"/>
      <c r="C809" s="1"/>
      <c r="D809" s="1"/>
      <c r="F809" s="59"/>
      <c r="G809" s="32"/>
      <c r="H809" s="32"/>
    </row>
    <row r="810" spans="1:8" ht="15.75" hidden="1" customHeight="1">
      <c r="A810" s="1"/>
      <c r="B810" s="2"/>
      <c r="C810" s="1"/>
      <c r="D810" s="1"/>
      <c r="F810" s="59"/>
      <c r="G810" s="32"/>
      <c r="H810" s="32"/>
    </row>
    <row r="811" spans="1:8" ht="15.75" hidden="1" customHeight="1">
      <c r="A811" s="1"/>
      <c r="B811" s="2"/>
      <c r="C811" s="1"/>
      <c r="D811" s="1"/>
      <c r="F811" s="59"/>
      <c r="G811" s="32"/>
      <c r="H811" s="32"/>
    </row>
    <row r="812" spans="1:8" ht="15.75" hidden="1" customHeight="1">
      <c r="A812" s="1"/>
      <c r="B812" s="2"/>
      <c r="C812" s="1"/>
      <c r="D812" s="1"/>
      <c r="F812" s="59"/>
      <c r="G812" s="32"/>
      <c r="H812" s="32"/>
    </row>
    <row r="813" spans="1:8" ht="15.75" hidden="1" customHeight="1">
      <c r="A813" s="1"/>
      <c r="B813" s="2"/>
      <c r="C813" s="1"/>
      <c r="D813" s="1"/>
      <c r="F813" s="59"/>
      <c r="G813" s="32"/>
      <c r="H813" s="32"/>
    </row>
    <row r="814" spans="1:8" ht="15.75" hidden="1" customHeight="1">
      <c r="A814" s="1"/>
      <c r="B814" s="2"/>
      <c r="C814" s="1"/>
      <c r="D814" s="1"/>
      <c r="F814" s="59"/>
      <c r="G814" s="32"/>
      <c r="H814" s="32"/>
    </row>
    <row r="815" spans="1:8" ht="15.75" hidden="1" customHeight="1">
      <c r="A815" s="1"/>
      <c r="B815" s="2"/>
      <c r="C815" s="1"/>
      <c r="D815" s="1"/>
      <c r="F815" s="59"/>
      <c r="G815" s="32"/>
      <c r="H815" s="32"/>
    </row>
    <row r="816" spans="1:8" ht="15.75" hidden="1" customHeight="1">
      <c r="A816" s="1"/>
      <c r="B816" s="2"/>
      <c r="C816" s="1"/>
      <c r="D816" s="1"/>
      <c r="F816" s="59"/>
      <c r="G816" s="32"/>
      <c r="H816" s="32"/>
    </row>
    <row r="817" spans="1:8" ht="15.75" hidden="1" customHeight="1">
      <c r="A817" s="1"/>
      <c r="B817" s="2"/>
      <c r="C817" s="1"/>
      <c r="D817" s="1"/>
      <c r="F817" s="59"/>
      <c r="G817" s="32"/>
      <c r="H817" s="32"/>
    </row>
    <row r="818" spans="1:8" ht="15.75" hidden="1" customHeight="1">
      <c r="A818" s="1"/>
      <c r="B818" s="2"/>
      <c r="C818" s="1"/>
      <c r="D818" s="1"/>
      <c r="F818" s="59"/>
      <c r="G818" s="32"/>
      <c r="H818" s="32"/>
    </row>
    <row r="819" spans="1:8" ht="15.75" hidden="1" customHeight="1">
      <c r="A819" s="1"/>
      <c r="B819" s="2"/>
      <c r="C819" s="1"/>
      <c r="D819" s="1"/>
      <c r="F819" s="59"/>
      <c r="G819" s="32"/>
      <c r="H819" s="32"/>
    </row>
    <row r="820" spans="1:8" ht="15.75" hidden="1" customHeight="1">
      <c r="A820" s="1"/>
      <c r="B820" s="2"/>
      <c r="C820" s="1"/>
      <c r="D820" s="1"/>
      <c r="F820" s="59"/>
      <c r="G820" s="32"/>
      <c r="H820" s="32"/>
    </row>
    <row r="821" spans="1:8" ht="15.75" hidden="1" customHeight="1">
      <c r="A821" s="1"/>
      <c r="B821" s="2"/>
      <c r="C821" s="1"/>
      <c r="D821" s="1"/>
      <c r="F821" s="59"/>
      <c r="G821" s="32"/>
      <c r="H821" s="32"/>
    </row>
    <row r="822" spans="1:8" ht="15.75" hidden="1" customHeight="1">
      <c r="A822" s="1"/>
      <c r="B822" s="2"/>
      <c r="C822" s="1"/>
      <c r="D822" s="1"/>
      <c r="F822" s="59"/>
      <c r="G822" s="32"/>
      <c r="H822" s="32"/>
    </row>
    <row r="823" spans="1:8" ht="15.75" hidden="1" customHeight="1">
      <c r="A823" s="1"/>
      <c r="B823" s="2"/>
      <c r="C823" s="1"/>
      <c r="D823" s="1"/>
      <c r="F823" s="59"/>
      <c r="G823" s="32"/>
      <c r="H823" s="32"/>
    </row>
    <row r="824" spans="1:8" ht="15.75" hidden="1" customHeight="1">
      <c r="A824" s="1"/>
      <c r="B824" s="2"/>
      <c r="C824" s="1"/>
      <c r="D824" s="1"/>
      <c r="F824" s="59"/>
      <c r="G824" s="32"/>
      <c r="H824" s="32"/>
    </row>
    <row r="825" spans="1:8" ht="15.75" hidden="1" customHeight="1">
      <c r="A825" s="1"/>
      <c r="B825" s="2"/>
      <c r="C825" s="1"/>
      <c r="D825" s="1"/>
      <c r="F825" s="59"/>
      <c r="G825" s="32"/>
      <c r="H825" s="32"/>
    </row>
    <row r="826" spans="1:8" ht="15.75" hidden="1" customHeight="1">
      <c r="A826" s="1"/>
      <c r="B826" s="2"/>
      <c r="C826" s="1"/>
      <c r="D826" s="1"/>
      <c r="F826" s="59"/>
      <c r="G826" s="32"/>
      <c r="H826" s="32"/>
    </row>
    <row r="827" spans="1:8" ht="15.75" hidden="1" customHeight="1">
      <c r="A827" s="1"/>
      <c r="B827" s="2"/>
      <c r="C827" s="1"/>
      <c r="D827" s="1"/>
      <c r="F827" s="59"/>
      <c r="G827" s="32"/>
      <c r="H827" s="32"/>
    </row>
    <row r="828" spans="1:8" ht="15.75" hidden="1" customHeight="1">
      <c r="A828" s="1"/>
      <c r="B828" s="2"/>
      <c r="C828" s="1"/>
      <c r="D828" s="1"/>
      <c r="F828" s="59"/>
      <c r="G828" s="32"/>
      <c r="H828" s="32"/>
    </row>
    <row r="829" spans="1:8" ht="15.75" hidden="1" customHeight="1">
      <c r="A829" s="1"/>
      <c r="B829" s="2"/>
      <c r="C829" s="1"/>
      <c r="D829" s="1"/>
      <c r="F829" s="59"/>
      <c r="G829" s="32"/>
      <c r="H829" s="32"/>
    </row>
    <row r="830" spans="1:8" ht="15.75" hidden="1" customHeight="1">
      <c r="A830" s="1"/>
      <c r="B830" s="2"/>
      <c r="C830" s="1"/>
      <c r="D830" s="1"/>
      <c r="F830" s="59"/>
      <c r="G830" s="32"/>
      <c r="H830" s="32"/>
    </row>
    <row r="831" spans="1:8" ht="15.75" hidden="1" customHeight="1">
      <c r="A831" s="1"/>
      <c r="B831" s="2"/>
      <c r="C831" s="1"/>
      <c r="D831" s="1"/>
      <c r="F831" s="59"/>
      <c r="G831" s="32"/>
      <c r="H831" s="32"/>
    </row>
    <row r="832" spans="1:8" ht="15.75" hidden="1" customHeight="1">
      <c r="A832" s="1"/>
      <c r="B832" s="2"/>
      <c r="C832" s="1"/>
      <c r="D832" s="1"/>
      <c r="F832" s="59"/>
      <c r="G832" s="32"/>
      <c r="H832" s="32"/>
    </row>
    <row r="833" spans="1:8" ht="15.75" hidden="1" customHeight="1">
      <c r="A833" s="1"/>
      <c r="B833" s="2"/>
      <c r="C833" s="1"/>
      <c r="D833" s="1"/>
      <c r="F833" s="59"/>
      <c r="G833" s="32"/>
      <c r="H833" s="32"/>
    </row>
    <row r="834" spans="1:8" ht="15.75" hidden="1" customHeight="1">
      <c r="A834" s="1"/>
      <c r="B834" s="2"/>
      <c r="C834" s="1"/>
      <c r="D834" s="1"/>
      <c r="F834" s="59"/>
      <c r="G834" s="32"/>
      <c r="H834" s="32"/>
    </row>
    <row r="835" spans="1:8" ht="15.75" hidden="1" customHeight="1">
      <c r="A835" s="1"/>
      <c r="B835" s="2"/>
      <c r="C835" s="1"/>
      <c r="D835" s="1"/>
      <c r="F835" s="59"/>
      <c r="G835" s="32"/>
      <c r="H835" s="32"/>
    </row>
    <row r="836" spans="1:8" ht="15.75" hidden="1" customHeight="1">
      <c r="A836" s="1"/>
      <c r="B836" s="2"/>
      <c r="C836" s="1"/>
      <c r="D836" s="1"/>
      <c r="F836" s="59"/>
      <c r="G836" s="32"/>
      <c r="H836" s="32"/>
    </row>
    <row r="837" spans="1:8" ht="15.75" hidden="1" customHeight="1">
      <c r="A837" s="1"/>
      <c r="B837" s="2"/>
      <c r="C837" s="1"/>
      <c r="D837" s="1"/>
      <c r="F837" s="59"/>
      <c r="G837" s="32"/>
      <c r="H837" s="32"/>
    </row>
    <row r="838" spans="1:8" ht="15.75" hidden="1" customHeight="1">
      <c r="A838" s="1"/>
      <c r="B838" s="2"/>
      <c r="C838" s="1"/>
      <c r="D838" s="1"/>
      <c r="F838" s="59"/>
      <c r="G838" s="32"/>
      <c r="H838" s="32"/>
    </row>
    <row r="839" spans="1:8" ht="15.75" hidden="1" customHeight="1">
      <c r="A839" s="1"/>
      <c r="B839" s="2"/>
      <c r="C839" s="1"/>
      <c r="D839" s="1"/>
      <c r="F839" s="59"/>
      <c r="G839" s="32"/>
      <c r="H839" s="32"/>
    </row>
    <row r="840" spans="1:8" ht="15.75" hidden="1" customHeight="1">
      <c r="A840" s="1"/>
      <c r="B840" s="2"/>
      <c r="C840" s="1"/>
      <c r="D840" s="1"/>
      <c r="F840" s="59"/>
      <c r="G840" s="32"/>
      <c r="H840" s="32"/>
    </row>
    <row r="841" spans="1:8" ht="15.75" hidden="1" customHeight="1">
      <c r="A841" s="1"/>
      <c r="B841" s="2"/>
      <c r="C841" s="1"/>
      <c r="D841" s="1"/>
      <c r="F841" s="59"/>
      <c r="G841" s="32"/>
      <c r="H841" s="32"/>
    </row>
    <row r="842" spans="1:8" ht="15.75" hidden="1" customHeight="1">
      <c r="A842" s="1"/>
      <c r="B842" s="2"/>
      <c r="C842" s="1"/>
      <c r="D842" s="1"/>
      <c r="F842" s="59"/>
      <c r="G842" s="32"/>
      <c r="H842" s="32"/>
    </row>
    <row r="843" spans="1:8" ht="15.75" hidden="1" customHeight="1">
      <c r="A843" s="1"/>
      <c r="B843" s="2"/>
      <c r="C843" s="1"/>
      <c r="D843" s="1"/>
      <c r="F843" s="59"/>
      <c r="G843" s="32"/>
      <c r="H843" s="32"/>
    </row>
    <row r="844" spans="1:8" ht="15.75" hidden="1" customHeight="1">
      <c r="A844" s="1"/>
      <c r="B844" s="2"/>
      <c r="C844" s="1"/>
      <c r="D844" s="1"/>
      <c r="F844" s="59"/>
      <c r="G844" s="32"/>
      <c r="H844" s="32"/>
    </row>
    <row r="845" spans="1:8" ht="15.75" hidden="1" customHeight="1">
      <c r="A845" s="1"/>
      <c r="B845" s="2"/>
      <c r="C845" s="1"/>
      <c r="D845" s="1"/>
      <c r="F845" s="59"/>
      <c r="G845" s="32"/>
      <c r="H845" s="32"/>
    </row>
    <row r="846" spans="1:8" ht="15.75" hidden="1" customHeight="1">
      <c r="A846" s="1"/>
      <c r="B846" s="2"/>
      <c r="C846" s="1"/>
      <c r="D846" s="1"/>
      <c r="F846" s="59"/>
      <c r="G846" s="32"/>
      <c r="H846" s="32"/>
    </row>
    <row r="847" spans="1:8" ht="15.75" hidden="1" customHeight="1">
      <c r="A847" s="1"/>
      <c r="B847" s="2"/>
      <c r="C847" s="1"/>
      <c r="D847" s="1"/>
      <c r="F847" s="59"/>
      <c r="G847" s="32"/>
      <c r="H847" s="32"/>
    </row>
    <row r="848" spans="1:8" ht="15.75" hidden="1" customHeight="1">
      <c r="A848" s="1"/>
      <c r="B848" s="2"/>
      <c r="C848" s="1"/>
      <c r="D848" s="1"/>
      <c r="F848" s="59"/>
      <c r="G848" s="32"/>
      <c r="H848" s="32"/>
    </row>
    <row r="849" spans="1:8" ht="15.75" hidden="1" customHeight="1">
      <c r="A849" s="1"/>
      <c r="B849" s="2"/>
      <c r="C849" s="1"/>
      <c r="D849" s="1"/>
      <c r="F849" s="59"/>
      <c r="G849" s="32"/>
      <c r="H849" s="32"/>
    </row>
    <row r="850" spans="1:8" ht="15.75" hidden="1" customHeight="1">
      <c r="A850" s="1"/>
      <c r="B850" s="2"/>
      <c r="C850" s="1"/>
      <c r="D850" s="1"/>
      <c r="F850" s="59"/>
      <c r="G850" s="32"/>
      <c r="H850" s="32"/>
    </row>
    <row r="851" spans="1:8" ht="15.75" hidden="1" customHeight="1">
      <c r="A851" s="1"/>
      <c r="B851" s="2"/>
      <c r="C851" s="1"/>
      <c r="D851" s="1"/>
      <c r="F851" s="59"/>
      <c r="G851" s="32"/>
      <c r="H851" s="32"/>
    </row>
    <row r="852" spans="1:8" ht="15.75" hidden="1" customHeight="1">
      <c r="A852" s="1"/>
      <c r="B852" s="2"/>
      <c r="C852" s="1"/>
      <c r="D852" s="1"/>
      <c r="F852" s="59"/>
      <c r="G852" s="32"/>
      <c r="H852" s="32"/>
    </row>
    <row r="853" spans="1:8" ht="15.75" hidden="1" customHeight="1">
      <c r="A853" s="1"/>
      <c r="B853" s="2"/>
      <c r="C853" s="1"/>
      <c r="D853" s="1"/>
      <c r="F853" s="59"/>
      <c r="G853" s="32"/>
      <c r="H853" s="32"/>
    </row>
    <row r="854" spans="1:8" ht="15.75" hidden="1" customHeight="1">
      <c r="A854" s="1"/>
      <c r="B854" s="2"/>
      <c r="C854" s="1"/>
      <c r="D854" s="1"/>
      <c r="F854" s="59"/>
      <c r="G854" s="32"/>
      <c r="H854" s="32"/>
    </row>
    <row r="855" spans="1:8" ht="15.75" hidden="1" customHeight="1">
      <c r="A855" s="1"/>
      <c r="B855" s="2"/>
      <c r="C855" s="1"/>
      <c r="D855" s="1"/>
      <c r="F855" s="59"/>
      <c r="G855" s="32"/>
      <c r="H855" s="32"/>
    </row>
    <row r="856" spans="1:8" ht="15.75" hidden="1" customHeight="1">
      <c r="A856" s="1"/>
      <c r="B856" s="2"/>
      <c r="C856" s="1"/>
      <c r="D856" s="1"/>
      <c r="F856" s="59"/>
      <c r="G856" s="32"/>
      <c r="H856" s="32"/>
    </row>
    <row r="857" spans="1:8" ht="15.75" hidden="1" customHeight="1">
      <c r="A857" s="1"/>
      <c r="B857" s="2"/>
      <c r="C857" s="1"/>
      <c r="D857" s="1"/>
      <c r="F857" s="59"/>
      <c r="G857" s="32"/>
      <c r="H857" s="32"/>
    </row>
    <row r="858" spans="1:8" ht="15.75" hidden="1" customHeight="1">
      <c r="A858" s="1"/>
      <c r="B858" s="2"/>
      <c r="C858" s="1"/>
      <c r="D858" s="1"/>
      <c r="F858" s="59"/>
      <c r="G858" s="32"/>
      <c r="H858" s="32"/>
    </row>
    <row r="859" spans="1:8" ht="15.75" hidden="1" customHeight="1">
      <c r="A859" s="1"/>
      <c r="B859" s="2"/>
      <c r="C859" s="1"/>
      <c r="D859" s="1"/>
      <c r="F859" s="59"/>
      <c r="G859" s="32"/>
      <c r="H859" s="32"/>
    </row>
    <row r="860" spans="1:8" ht="15.75" hidden="1" customHeight="1">
      <c r="A860" s="1"/>
      <c r="B860" s="2"/>
      <c r="C860" s="1"/>
      <c r="D860" s="1"/>
      <c r="F860" s="59"/>
      <c r="G860" s="32"/>
      <c r="H860" s="32"/>
    </row>
    <row r="861" spans="1:8" ht="15.75" hidden="1" customHeight="1">
      <c r="A861" s="1"/>
      <c r="B861" s="2"/>
      <c r="C861" s="1"/>
      <c r="D861" s="1"/>
      <c r="F861" s="59"/>
      <c r="G861" s="32"/>
      <c r="H861" s="32"/>
    </row>
    <row r="862" spans="1:8" ht="15.75" hidden="1" customHeight="1">
      <c r="A862" s="1"/>
      <c r="B862" s="2"/>
      <c r="C862" s="1"/>
      <c r="D862" s="1"/>
      <c r="F862" s="59"/>
      <c r="G862" s="32"/>
      <c r="H862" s="32"/>
    </row>
    <row r="863" spans="1:8" ht="15.75" hidden="1" customHeight="1">
      <c r="A863" s="1"/>
      <c r="B863" s="2"/>
      <c r="C863" s="1"/>
      <c r="D863" s="1"/>
      <c r="F863" s="59"/>
      <c r="G863" s="32"/>
      <c r="H863" s="32"/>
    </row>
    <row r="864" spans="1:8" ht="15.75" hidden="1" customHeight="1">
      <c r="A864" s="1"/>
      <c r="B864" s="2"/>
      <c r="C864" s="1"/>
      <c r="D864" s="1"/>
      <c r="F864" s="59"/>
      <c r="G864" s="32"/>
      <c r="H864" s="32"/>
    </row>
    <row r="865" spans="1:8" ht="15.75" hidden="1" customHeight="1">
      <c r="A865" s="1"/>
      <c r="B865" s="2"/>
      <c r="C865" s="1"/>
      <c r="D865" s="1"/>
      <c r="F865" s="59"/>
      <c r="G865" s="32"/>
      <c r="H865" s="32"/>
    </row>
    <row r="866" spans="1:8" ht="15.75" hidden="1" customHeight="1">
      <c r="A866" s="1"/>
      <c r="B866" s="2"/>
      <c r="C866" s="1"/>
      <c r="D866" s="1"/>
      <c r="F866" s="59"/>
      <c r="G866" s="32"/>
      <c r="H866" s="32"/>
    </row>
    <row r="867" spans="1:8" ht="15.75" hidden="1" customHeight="1">
      <c r="A867" s="1"/>
      <c r="B867" s="2"/>
      <c r="C867" s="1"/>
      <c r="D867" s="1"/>
      <c r="F867" s="59"/>
      <c r="G867" s="32"/>
      <c r="H867" s="32"/>
    </row>
    <row r="868" spans="1:8" ht="15.75" hidden="1" customHeight="1">
      <c r="A868" s="1"/>
      <c r="B868" s="2"/>
      <c r="C868" s="1"/>
      <c r="D868" s="1"/>
      <c r="F868" s="59"/>
      <c r="G868" s="32"/>
      <c r="H868" s="32"/>
    </row>
    <row r="869" spans="1:8" ht="15.75" hidden="1" customHeight="1">
      <c r="A869" s="1"/>
      <c r="B869" s="2"/>
      <c r="C869" s="1"/>
      <c r="D869" s="1"/>
      <c r="F869" s="59"/>
      <c r="G869" s="32"/>
      <c r="H869" s="32"/>
    </row>
    <row r="870" spans="1:8" ht="15.75" hidden="1" customHeight="1">
      <c r="A870" s="1"/>
      <c r="B870" s="2"/>
      <c r="C870" s="1"/>
      <c r="D870" s="1"/>
      <c r="F870" s="59"/>
      <c r="G870" s="32"/>
      <c r="H870" s="32"/>
    </row>
    <row r="871" spans="1:8" ht="15.75" hidden="1" customHeight="1">
      <c r="A871" s="1"/>
      <c r="B871" s="2"/>
      <c r="C871" s="1"/>
      <c r="D871" s="1"/>
      <c r="F871" s="59"/>
      <c r="G871" s="32"/>
      <c r="H871" s="32"/>
    </row>
    <row r="872" spans="1:8" ht="15.75" hidden="1" customHeight="1">
      <c r="A872" s="1"/>
      <c r="B872" s="2"/>
      <c r="C872" s="1"/>
      <c r="D872" s="1"/>
      <c r="F872" s="59"/>
      <c r="G872" s="32"/>
      <c r="H872" s="32"/>
    </row>
    <row r="873" spans="1:8" ht="15.75" hidden="1" customHeight="1">
      <c r="A873" s="1"/>
      <c r="B873" s="2"/>
      <c r="C873" s="1"/>
      <c r="D873" s="1"/>
      <c r="F873" s="59"/>
      <c r="G873" s="32"/>
      <c r="H873" s="32"/>
    </row>
    <row r="874" spans="1:8" ht="15.75" hidden="1" customHeight="1">
      <c r="A874" s="1"/>
      <c r="B874" s="2"/>
      <c r="C874" s="1"/>
      <c r="D874" s="1"/>
      <c r="F874" s="59"/>
      <c r="G874" s="32"/>
      <c r="H874" s="32"/>
    </row>
    <row r="875" spans="1:8" ht="15.75" hidden="1" customHeight="1">
      <c r="A875" s="1"/>
      <c r="B875" s="2"/>
      <c r="C875" s="1"/>
      <c r="D875" s="1"/>
      <c r="F875" s="59"/>
      <c r="G875" s="32"/>
      <c r="H875" s="32"/>
    </row>
    <row r="876" spans="1:8" ht="15.75" hidden="1" customHeight="1">
      <c r="A876" s="1"/>
      <c r="B876" s="2"/>
      <c r="C876" s="1"/>
      <c r="D876" s="1"/>
      <c r="F876" s="59"/>
      <c r="G876" s="32"/>
      <c r="H876" s="32"/>
    </row>
    <row r="877" spans="1:8" ht="15.75" hidden="1" customHeight="1">
      <c r="A877" s="1"/>
      <c r="B877" s="2"/>
      <c r="C877" s="1"/>
      <c r="D877" s="1"/>
      <c r="F877" s="59"/>
      <c r="G877" s="32"/>
      <c r="H877" s="32"/>
    </row>
    <row r="878" spans="1:8" ht="15.75" hidden="1" customHeight="1">
      <c r="A878" s="1"/>
      <c r="B878" s="2"/>
      <c r="C878" s="1"/>
      <c r="D878" s="1"/>
      <c r="F878" s="59"/>
      <c r="G878" s="32"/>
      <c r="H878" s="32"/>
    </row>
    <row r="879" spans="1:8" ht="15.75" hidden="1" customHeight="1">
      <c r="A879" s="1"/>
      <c r="B879" s="2"/>
      <c r="C879" s="1"/>
      <c r="D879" s="1"/>
      <c r="F879" s="59"/>
      <c r="G879" s="32"/>
      <c r="H879" s="32"/>
    </row>
    <row r="880" spans="1:8" ht="15.75" hidden="1" customHeight="1">
      <c r="A880" s="1"/>
      <c r="B880" s="2"/>
      <c r="C880" s="1"/>
      <c r="D880" s="1"/>
      <c r="F880" s="59"/>
      <c r="G880" s="32"/>
      <c r="H880" s="32"/>
    </row>
    <row r="881" spans="1:8" ht="15.75" hidden="1" customHeight="1">
      <c r="A881" s="1"/>
      <c r="B881" s="2"/>
      <c r="C881" s="1"/>
      <c r="D881" s="1"/>
      <c r="F881" s="59"/>
      <c r="G881" s="32"/>
      <c r="H881" s="32"/>
    </row>
    <row r="882" spans="1:8" ht="15.75" hidden="1" customHeight="1">
      <c r="A882" s="1"/>
      <c r="B882" s="2"/>
      <c r="C882" s="1"/>
      <c r="D882" s="1"/>
      <c r="F882" s="59"/>
      <c r="G882" s="32"/>
      <c r="H882" s="32"/>
    </row>
    <row r="883" spans="1:8" ht="15.75" hidden="1" customHeight="1">
      <c r="A883" s="1"/>
      <c r="B883" s="2"/>
      <c r="C883" s="1"/>
      <c r="D883" s="1"/>
      <c r="F883" s="59"/>
      <c r="G883" s="32"/>
      <c r="H883" s="32"/>
    </row>
    <row r="884" spans="1:8" ht="15.75" hidden="1" customHeight="1">
      <c r="A884" s="1"/>
      <c r="B884" s="2"/>
      <c r="C884" s="1"/>
      <c r="D884" s="1"/>
      <c r="F884" s="59"/>
      <c r="G884" s="32"/>
      <c r="H884" s="32"/>
    </row>
    <row r="885" spans="1:8" ht="15.75" hidden="1" customHeight="1">
      <c r="A885" s="1"/>
      <c r="B885" s="2"/>
      <c r="C885" s="1"/>
      <c r="D885" s="1"/>
      <c r="F885" s="59"/>
      <c r="G885" s="32"/>
      <c r="H885" s="32"/>
    </row>
    <row r="886" spans="1:8" ht="15.75" hidden="1" customHeight="1">
      <c r="A886" s="1"/>
      <c r="B886" s="2"/>
      <c r="C886" s="1"/>
      <c r="D886" s="1"/>
      <c r="F886" s="59"/>
      <c r="G886" s="32"/>
      <c r="H886" s="32"/>
    </row>
    <row r="887" spans="1:8" ht="15.75" hidden="1" customHeight="1">
      <c r="A887" s="1"/>
      <c r="B887" s="2"/>
      <c r="C887" s="1"/>
      <c r="D887" s="1"/>
      <c r="F887" s="59"/>
      <c r="G887" s="32"/>
      <c r="H887" s="32"/>
    </row>
    <row r="888" spans="1:8" ht="15.75" hidden="1" customHeight="1">
      <c r="A888" s="1"/>
      <c r="B888" s="2"/>
      <c r="C888" s="1"/>
      <c r="D888" s="1"/>
      <c r="F888" s="59"/>
      <c r="G888" s="32"/>
      <c r="H888" s="32"/>
    </row>
    <row r="889" spans="1:8" ht="15.75" hidden="1" customHeight="1">
      <c r="A889" s="1"/>
      <c r="B889" s="2"/>
      <c r="C889" s="1"/>
      <c r="D889" s="1"/>
      <c r="F889" s="59"/>
      <c r="G889" s="32"/>
      <c r="H889" s="32"/>
    </row>
    <row r="890" spans="1:8" ht="15.75" hidden="1" customHeight="1">
      <c r="A890" s="1"/>
      <c r="B890" s="2"/>
      <c r="C890" s="1"/>
      <c r="D890" s="1"/>
      <c r="F890" s="59"/>
      <c r="G890" s="32"/>
      <c r="H890" s="32"/>
    </row>
    <row r="891" spans="1:8" ht="15.75" hidden="1" customHeight="1">
      <c r="A891" s="1"/>
      <c r="B891" s="2"/>
      <c r="C891" s="1"/>
      <c r="D891" s="1"/>
      <c r="F891" s="59"/>
      <c r="G891" s="32"/>
      <c r="H891" s="32"/>
    </row>
    <row r="892" spans="1:8" ht="15.75" hidden="1" customHeight="1">
      <c r="A892" s="1"/>
      <c r="B892" s="2"/>
      <c r="C892" s="1"/>
      <c r="D892" s="1"/>
      <c r="F892" s="59"/>
      <c r="G892" s="32"/>
      <c r="H892" s="32"/>
    </row>
    <row r="893" spans="1:8" ht="15.75" hidden="1" customHeight="1">
      <c r="A893" s="1"/>
      <c r="B893" s="2"/>
      <c r="C893" s="1"/>
      <c r="D893" s="1"/>
      <c r="F893" s="59"/>
      <c r="G893" s="32"/>
      <c r="H893" s="32"/>
    </row>
    <row r="894" spans="1:8" ht="15.75" hidden="1" customHeight="1">
      <c r="A894" s="1"/>
      <c r="B894" s="2"/>
      <c r="C894" s="1"/>
      <c r="D894" s="1"/>
      <c r="F894" s="59"/>
      <c r="G894" s="32"/>
      <c r="H894" s="32"/>
    </row>
    <row r="895" spans="1:8" ht="15.75" hidden="1" customHeight="1">
      <c r="A895" s="1"/>
      <c r="B895" s="2"/>
      <c r="C895" s="1"/>
      <c r="D895" s="1"/>
      <c r="F895" s="59"/>
      <c r="G895" s="32"/>
      <c r="H895" s="32"/>
    </row>
    <row r="896" spans="1:8" ht="15.75" hidden="1" customHeight="1">
      <c r="A896" s="1"/>
      <c r="B896" s="2"/>
      <c r="C896" s="1"/>
      <c r="D896" s="1"/>
      <c r="F896" s="59"/>
      <c r="G896" s="32"/>
      <c r="H896" s="32"/>
    </row>
    <row r="897" spans="1:8" ht="15.75" hidden="1" customHeight="1">
      <c r="A897" s="1"/>
      <c r="B897" s="2"/>
      <c r="C897" s="1"/>
      <c r="D897" s="1"/>
      <c r="F897" s="59"/>
      <c r="G897" s="32"/>
      <c r="H897" s="32"/>
    </row>
    <row r="898" spans="1:8" ht="15.75" hidden="1" customHeight="1">
      <c r="A898" s="1"/>
      <c r="B898" s="2"/>
      <c r="C898" s="1"/>
      <c r="D898" s="1"/>
      <c r="F898" s="59"/>
      <c r="G898" s="32"/>
      <c r="H898" s="32"/>
    </row>
    <row r="899" spans="1:8" ht="15.75" hidden="1" customHeight="1">
      <c r="A899" s="1"/>
      <c r="B899" s="2"/>
      <c r="C899" s="1"/>
      <c r="D899" s="1"/>
      <c r="F899" s="59"/>
      <c r="G899" s="32"/>
      <c r="H899" s="32"/>
    </row>
    <row r="900" spans="1:8" ht="15.75" hidden="1" customHeight="1">
      <c r="A900" s="1"/>
      <c r="B900" s="2"/>
      <c r="C900" s="1"/>
      <c r="D900" s="1"/>
      <c r="F900" s="59"/>
      <c r="G900" s="32"/>
      <c r="H900" s="32"/>
    </row>
    <row r="901" spans="1:8" ht="15.75" hidden="1" customHeight="1">
      <c r="A901" s="1"/>
      <c r="B901" s="2"/>
      <c r="C901" s="1"/>
      <c r="D901" s="1"/>
      <c r="F901" s="59"/>
      <c r="G901" s="32"/>
      <c r="H901" s="32"/>
    </row>
    <row r="902" spans="1:8" ht="15.75" hidden="1" customHeight="1">
      <c r="A902" s="1"/>
      <c r="B902" s="2"/>
      <c r="C902" s="1"/>
      <c r="D902" s="1"/>
      <c r="F902" s="59"/>
      <c r="G902" s="32"/>
      <c r="H902" s="32"/>
    </row>
    <row r="903" spans="1:8" ht="15.75" hidden="1" customHeight="1">
      <c r="A903" s="1"/>
      <c r="B903" s="2"/>
      <c r="C903" s="1"/>
      <c r="D903" s="1"/>
      <c r="F903" s="59"/>
      <c r="G903" s="32"/>
      <c r="H903" s="32"/>
    </row>
    <row r="904" spans="1:8" ht="15.75" hidden="1" customHeight="1">
      <c r="A904" s="1"/>
      <c r="B904" s="2"/>
      <c r="C904" s="1"/>
      <c r="D904" s="1"/>
      <c r="F904" s="59"/>
      <c r="G904" s="32"/>
      <c r="H904" s="32"/>
    </row>
    <row r="905" spans="1:8" ht="15.75" hidden="1" customHeight="1">
      <c r="A905" s="1"/>
      <c r="B905" s="2"/>
      <c r="C905" s="1"/>
      <c r="D905" s="1"/>
      <c r="F905" s="59"/>
      <c r="G905" s="32"/>
      <c r="H905" s="32"/>
    </row>
    <row r="906" spans="1:8" ht="15.75" hidden="1" customHeight="1">
      <c r="A906" s="1"/>
      <c r="B906" s="2"/>
      <c r="C906" s="1"/>
      <c r="D906" s="1"/>
      <c r="F906" s="59"/>
      <c r="G906" s="32"/>
      <c r="H906" s="32"/>
    </row>
    <row r="907" spans="1:8" ht="15.75" hidden="1" customHeight="1">
      <c r="A907" s="1"/>
      <c r="B907" s="2"/>
      <c r="C907" s="1"/>
      <c r="D907" s="1"/>
      <c r="F907" s="59"/>
      <c r="G907" s="32"/>
      <c r="H907" s="32"/>
    </row>
    <row r="908" spans="1:8" ht="15.75" hidden="1" customHeight="1">
      <c r="A908" s="1"/>
      <c r="B908" s="2"/>
      <c r="C908" s="1"/>
      <c r="D908" s="1"/>
      <c r="F908" s="59"/>
      <c r="G908" s="32"/>
      <c r="H908" s="32"/>
    </row>
    <row r="909" spans="1:8" ht="15.75" hidden="1" customHeight="1">
      <c r="A909" s="1"/>
      <c r="B909" s="2"/>
      <c r="C909" s="1"/>
      <c r="D909" s="1"/>
      <c r="F909" s="59"/>
      <c r="G909" s="32"/>
      <c r="H909" s="32"/>
    </row>
    <row r="910" spans="1:8" ht="15.75" hidden="1" customHeight="1">
      <c r="A910" s="1"/>
      <c r="B910" s="2"/>
      <c r="C910" s="1"/>
      <c r="D910" s="1"/>
      <c r="F910" s="59"/>
      <c r="G910" s="32"/>
      <c r="H910" s="32"/>
    </row>
    <row r="911" spans="1:8" ht="15.75" hidden="1" customHeight="1">
      <c r="A911" s="1"/>
      <c r="B911" s="2"/>
      <c r="C911" s="1"/>
      <c r="D911" s="1"/>
      <c r="F911" s="59"/>
      <c r="G911" s="32"/>
      <c r="H911" s="32"/>
    </row>
    <row r="912" spans="1:8" ht="15.75" hidden="1" customHeight="1">
      <c r="A912" s="1"/>
      <c r="B912" s="2"/>
      <c r="C912" s="1"/>
      <c r="D912" s="1"/>
      <c r="F912" s="59"/>
      <c r="G912" s="32"/>
      <c r="H912" s="32"/>
    </row>
    <row r="913" spans="1:8" ht="15.75" hidden="1" customHeight="1">
      <c r="A913" s="1"/>
      <c r="B913" s="2"/>
      <c r="C913" s="1"/>
      <c r="D913" s="1"/>
      <c r="F913" s="59"/>
      <c r="G913" s="32"/>
      <c r="H913" s="32"/>
    </row>
    <row r="914" spans="1:8" ht="15.75" hidden="1" customHeight="1">
      <c r="A914" s="1"/>
      <c r="B914" s="2"/>
      <c r="C914" s="1"/>
      <c r="D914" s="1"/>
      <c r="F914" s="59"/>
      <c r="G914" s="32"/>
      <c r="H914" s="32"/>
    </row>
    <row r="915" spans="1:8" ht="15.75" hidden="1" customHeight="1">
      <c r="A915" s="1"/>
      <c r="B915" s="2"/>
      <c r="C915" s="1"/>
      <c r="D915" s="1"/>
      <c r="F915" s="59"/>
      <c r="G915" s="32"/>
      <c r="H915" s="32"/>
    </row>
    <row r="916" spans="1:8" ht="15.75" hidden="1" customHeight="1">
      <c r="A916" s="1"/>
      <c r="B916" s="2"/>
      <c r="C916" s="1"/>
      <c r="D916" s="1"/>
      <c r="F916" s="59"/>
      <c r="G916" s="32"/>
      <c r="H916" s="32"/>
    </row>
    <row r="917" spans="1:8" ht="15.75" hidden="1" customHeight="1">
      <c r="A917" s="1"/>
      <c r="B917" s="2"/>
      <c r="C917" s="1"/>
      <c r="D917" s="1"/>
      <c r="F917" s="59"/>
      <c r="G917" s="32"/>
      <c r="H917" s="32"/>
    </row>
    <row r="918" spans="1:8" ht="15.75" hidden="1" customHeight="1">
      <c r="A918" s="1"/>
      <c r="B918" s="2"/>
      <c r="C918" s="1"/>
      <c r="D918" s="1"/>
      <c r="F918" s="59"/>
      <c r="G918" s="32"/>
      <c r="H918" s="32"/>
    </row>
    <row r="919" spans="1:8" ht="15.75" hidden="1" customHeight="1">
      <c r="A919" s="1"/>
      <c r="B919" s="2"/>
      <c r="C919" s="1"/>
      <c r="D919" s="1"/>
      <c r="F919" s="59"/>
      <c r="G919" s="32"/>
      <c r="H919" s="32"/>
    </row>
    <row r="920" spans="1:8" ht="15.75" hidden="1" customHeight="1">
      <c r="A920" s="1"/>
      <c r="B920" s="2"/>
      <c r="C920" s="1"/>
      <c r="D920" s="1"/>
      <c r="F920" s="59"/>
      <c r="G920" s="32"/>
      <c r="H920" s="32"/>
    </row>
    <row r="921" spans="1:8" ht="15.75" hidden="1" customHeight="1">
      <c r="A921" s="1"/>
      <c r="B921" s="2"/>
      <c r="C921" s="1"/>
      <c r="D921" s="1"/>
      <c r="F921" s="59"/>
      <c r="G921" s="32"/>
      <c r="H921" s="32"/>
    </row>
    <row r="922" spans="1:8" ht="15.75" hidden="1" customHeight="1">
      <c r="A922" s="1"/>
      <c r="B922" s="2"/>
      <c r="C922" s="1"/>
      <c r="D922" s="1"/>
      <c r="F922" s="59"/>
      <c r="G922" s="32"/>
      <c r="H922" s="32"/>
    </row>
    <row r="923" spans="1:8" ht="15.75" hidden="1" customHeight="1">
      <c r="A923" s="1"/>
      <c r="B923" s="2"/>
      <c r="C923" s="1"/>
      <c r="D923" s="1"/>
      <c r="F923" s="59"/>
      <c r="G923" s="32"/>
      <c r="H923" s="32"/>
    </row>
    <row r="924" spans="1:8" ht="15.75" hidden="1" customHeight="1">
      <c r="A924" s="1"/>
      <c r="B924" s="2"/>
      <c r="C924" s="1"/>
      <c r="D924" s="1"/>
      <c r="F924" s="59"/>
      <c r="G924" s="32"/>
      <c r="H924" s="32"/>
    </row>
    <row r="925" spans="1:8" ht="15.75" hidden="1" customHeight="1">
      <c r="A925" s="1"/>
      <c r="B925" s="2"/>
      <c r="C925" s="1"/>
      <c r="D925" s="1"/>
      <c r="F925" s="59"/>
      <c r="G925" s="32"/>
      <c r="H925" s="32"/>
    </row>
    <row r="926" spans="1:8" ht="15.75" hidden="1" customHeight="1">
      <c r="A926" s="1"/>
      <c r="B926" s="2"/>
      <c r="C926" s="1"/>
      <c r="D926" s="1"/>
      <c r="F926" s="59"/>
      <c r="G926" s="32"/>
      <c r="H926" s="32"/>
    </row>
    <row r="927" spans="1:8" ht="15.75" hidden="1" customHeight="1">
      <c r="A927" s="1"/>
      <c r="B927" s="2"/>
      <c r="C927" s="1"/>
      <c r="D927" s="1"/>
      <c r="F927" s="59"/>
      <c r="G927" s="32"/>
      <c r="H927" s="32"/>
    </row>
    <row r="928" spans="1:8" ht="15.75" hidden="1" customHeight="1">
      <c r="A928" s="1"/>
      <c r="B928" s="2"/>
      <c r="C928" s="1"/>
      <c r="D928" s="1"/>
      <c r="F928" s="59"/>
      <c r="G928" s="32"/>
      <c r="H928" s="32"/>
    </row>
    <row r="929" spans="1:8" ht="15.75" hidden="1" customHeight="1">
      <c r="A929" s="1"/>
      <c r="B929" s="2"/>
      <c r="C929" s="1"/>
      <c r="D929" s="1"/>
      <c r="F929" s="59"/>
      <c r="G929" s="32"/>
      <c r="H929" s="32"/>
    </row>
    <row r="930" spans="1:8" ht="15.75" hidden="1" customHeight="1">
      <c r="A930" s="1"/>
      <c r="B930" s="2"/>
      <c r="C930" s="1"/>
      <c r="D930" s="1"/>
      <c r="F930" s="59"/>
      <c r="G930" s="32"/>
      <c r="H930" s="32"/>
    </row>
    <row r="931" spans="1:8" ht="15.75" hidden="1" customHeight="1">
      <c r="A931" s="1"/>
      <c r="B931" s="2"/>
      <c r="C931" s="1"/>
      <c r="D931" s="1"/>
      <c r="F931" s="59"/>
      <c r="G931" s="32"/>
      <c r="H931" s="32"/>
    </row>
    <row r="932" spans="1:8" ht="15.75" hidden="1" customHeight="1">
      <c r="A932" s="1"/>
      <c r="B932" s="2"/>
      <c r="C932" s="1"/>
      <c r="D932" s="1"/>
      <c r="F932" s="59"/>
      <c r="G932" s="32"/>
      <c r="H932" s="32"/>
    </row>
    <row r="933" spans="1:8" ht="15.75" hidden="1" customHeight="1">
      <c r="A933" s="1"/>
      <c r="B933" s="2"/>
      <c r="C933" s="1"/>
      <c r="D933" s="1"/>
      <c r="F933" s="59"/>
      <c r="G933" s="32"/>
      <c r="H933" s="32"/>
    </row>
    <row r="934" spans="1:8" ht="15.75" hidden="1" customHeight="1">
      <c r="A934" s="1"/>
      <c r="B934" s="2"/>
      <c r="C934" s="1"/>
      <c r="D934" s="1"/>
      <c r="F934" s="59"/>
      <c r="G934" s="32"/>
      <c r="H934" s="32"/>
    </row>
    <row r="935" spans="1:8" ht="15.75" hidden="1" customHeight="1">
      <c r="A935" s="1"/>
      <c r="B935" s="2"/>
      <c r="C935" s="1"/>
      <c r="D935" s="1"/>
      <c r="F935" s="59"/>
      <c r="G935" s="32"/>
      <c r="H935" s="32"/>
    </row>
    <row r="936" spans="1:8" ht="15.75" hidden="1" customHeight="1">
      <c r="A936" s="1"/>
      <c r="B936" s="2"/>
      <c r="C936" s="1"/>
      <c r="D936" s="1"/>
      <c r="F936" s="59"/>
      <c r="G936" s="32"/>
      <c r="H936" s="32"/>
    </row>
    <row r="937" spans="1:8" ht="15.75" hidden="1" customHeight="1">
      <c r="A937" s="1"/>
      <c r="B937" s="2"/>
      <c r="C937" s="1"/>
      <c r="D937" s="1"/>
      <c r="F937" s="59"/>
      <c r="G937" s="32"/>
      <c r="H937" s="32"/>
    </row>
    <row r="938" spans="1:8" ht="15.75" hidden="1" customHeight="1">
      <c r="A938" s="1"/>
      <c r="B938" s="2"/>
      <c r="C938" s="1"/>
      <c r="D938" s="1"/>
      <c r="F938" s="59"/>
      <c r="G938" s="32"/>
      <c r="H938" s="32"/>
    </row>
    <row r="939" spans="1:8" ht="15.75" hidden="1" customHeight="1">
      <c r="A939" s="1"/>
      <c r="B939" s="2"/>
      <c r="C939" s="1"/>
      <c r="D939" s="1"/>
      <c r="F939" s="59"/>
      <c r="G939" s="32"/>
      <c r="H939" s="32"/>
    </row>
    <row r="940" spans="1:8" ht="15.75" hidden="1" customHeight="1">
      <c r="A940" s="1"/>
      <c r="B940" s="2"/>
      <c r="C940" s="1"/>
      <c r="D940" s="1"/>
      <c r="F940" s="59"/>
      <c r="G940" s="32"/>
      <c r="H940" s="32"/>
    </row>
    <row r="941" spans="1:8" ht="15.75" hidden="1" customHeight="1">
      <c r="A941" s="1"/>
      <c r="B941" s="2"/>
      <c r="C941" s="1"/>
      <c r="D941" s="1"/>
      <c r="F941" s="59"/>
      <c r="G941" s="32"/>
      <c r="H941" s="32"/>
    </row>
    <row r="942" spans="1:8" ht="15.75" hidden="1" customHeight="1">
      <c r="A942" s="1"/>
      <c r="B942" s="2"/>
      <c r="C942" s="1"/>
      <c r="D942" s="1"/>
      <c r="F942" s="59"/>
      <c r="G942" s="32"/>
      <c r="H942" s="32"/>
    </row>
    <row r="943" spans="1:8" ht="15.75" hidden="1" customHeight="1">
      <c r="A943" s="1"/>
      <c r="B943" s="2"/>
      <c r="C943" s="1"/>
      <c r="D943" s="1"/>
      <c r="F943" s="59"/>
      <c r="G943" s="32"/>
      <c r="H943" s="32"/>
    </row>
    <row r="944" spans="1:8" ht="15.75" hidden="1" customHeight="1">
      <c r="A944" s="1"/>
      <c r="B944" s="2"/>
      <c r="C944" s="1"/>
      <c r="D944" s="1"/>
      <c r="F944" s="59"/>
      <c r="G944" s="32"/>
      <c r="H944" s="32"/>
    </row>
    <row r="945" spans="1:8" ht="15.75" hidden="1" customHeight="1">
      <c r="A945" s="1"/>
      <c r="B945" s="2"/>
      <c r="C945" s="1"/>
      <c r="D945" s="1"/>
      <c r="F945" s="59"/>
      <c r="G945" s="32"/>
      <c r="H945" s="32"/>
    </row>
    <row r="946" spans="1:8" ht="15.75" hidden="1" customHeight="1">
      <c r="A946" s="1"/>
      <c r="B946" s="2"/>
      <c r="C946" s="1"/>
      <c r="D946" s="1"/>
      <c r="F946" s="59"/>
      <c r="G946" s="32"/>
      <c r="H946" s="32"/>
    </row>
    <row r="947" spans="1:8" ht="15.75" hidden="1" customHeight="1">
      <c r="A947" s="1"/>
      <c r="B947" s="2"/>
      <c r="C947" s="1"/>
      <c r="D947" s="1"/>
      <c r="F947" s="59"/>
      <c r="G947" s="32"/>
      <c r="H947" s="32"/>
    </row>
    <row r="948" spans="1:8" ht="15.75" hidden="1" customHeight="1">
      <c r="A948" s="1"/>
      <c r="B948" s="2"/>
      <c r="C948" s="1"/>
      <c r="D948" s="1"/>
      <c r="F948" s="59"/>
      <c r="G948" s="32"/>
      <c r="H948" s="32"/>
    </row>
    <row r="949" spans="1:8" ht="15.75" hidden="1" customHeight="1">
      <c r="A949" s="1"/>
      <c r="B949" s="2"/>
      <c r="C949" s="1"/>
      <c r="D949" s="1"/>
      <c r="F949" s="59"/>
      <c r="G949" s="32"/>
      <c r="H949" s="32"/>
    </row>
    <row r="950" spans="1:8" ht="15.75" hidden="1" customHeight="1">
      <c r="A950" s="1"/>
      <c r="B950" s="2"/>
      <c r="C950" s="1"/>
      <c r="D950" s="1"/>
      <c r="F950" s="59"/>
      <c r="G950" s="32"/>
      <c r="H950" s="32"/>
    </row>
    <row r="951" spans="1:8" ht="15.75" hidden="1" customHeight="1">
      <c r="A951" s="1"/>
      <c r="B951" s="2"/>
      <c r="C951" s="1"/>
      <c r="D951" s="1"/>
      <c r="F951" s="59"/>
      <c r="G951" s="32"/>
      <c r="H951" s="32"/>
    </row>
    <row r="952" spans="1:8" ht="15.75" hidden="1" customHeight="1">
      <c r="A952" s="1"/>
      <c r="B952" s="2"/>
      <c r="C952" s="1"/>
      <c r="D952" s="1"/>
      <c r="F952" s="59"/>
      <c r="G952" s="32"/>
      <c r="H952" s="32"/>
    </row>
    <row r="953" spans="1:8" ht="15.75" hidden="1" customHeight="1">
      <c r="A953" s="1"/>
      <c r="B953" s="2"/>
      <c r="C953" s="1"/>
      <c r="D953" s="1"/>
      <c r="F953" s="59"/>
      <c r="G953" s="32"/>
      <c r="H953" s="32"/>
    </row>
    <row r="954" spans="1:8" ht="15.75" hidden="1" customHeight="1">
      <c r="A954" s="1"/>
      <c r="B954" s="2"/>
      <c r="C954" s="1"/>
      <c r="D954" s="1"/>
      <c r="F954" s="59"/>
      <c r="G954" s="32"/>
      <c r="H954" s="32"/>
    </row>
    <row r="955" spans="1:8" ht="15.75" hidden="1" customHeight="1">
      <c r="A955" s="1"/>
      <c r="B955" s="2"/>
      <c r="C955" s="1"/>
      <c r="D955" s="1"/>
      <c r="F955" s="59"/>
      <c r="G955" s="32"/>
      <c r="H955" s="32"/>
    </row>
    <row r="956" spans="1:8" ht="15.75" hidden="1" customHeight="1">
      <c r="A956" s="1"/>
      <c r="B956" s="2"/>
      <c r="C956" s="1"/>
      <c r="D956" s="1"/>
      <c r="F956" s="59"/>
      <c r="G956" s="32"/>
      <c r="H956" s="32"/>
    </row>
    <row r="957" spans="1:8" ht="15.75" hidden="1" customHeight="1">
      <c r="A957" s="1"/>
      <c r="B957" s="2"/>
      <c r="C957" s="1"/>
      <c r="D957" s="1"/>
      <c r="F957" s="59"/>
      <c r="G957" s="32"/>
      <c r="H957" s="32"/>
    </row>
    <row r="958" spans="1:8" ht="15.75" hidden="1" customHeight="1">
      <c r="A958" s="1"/>
      <c r="B958" s="2"/>
      <c r="C958" s="1"/>
      <c r="D958" s="1"/>
      <c r="F958" s="59"/>
      <c r="G958" s="32"/>
      <c r="H958" s="32"/>
    </row>
    <row r="959" spans="1:8" ht="15.75" hidden="1" customHeight="1">
      <c r="A959" s="1"/>
      <c r="B959" s="2"/>
      <c r="C959" s="1"/>
      <c r="D959" s="1"/>
      <c r="F959" s="59"/>
      <c r="G959" s="32"/>
      <c r="H959" s="32"/>
    </row>
    <row r="960" spans="1:8" ht="15.75" hidden="1" customHeight="1">
      <c r="A960" s="1"/>
      <c r="B960" s="2"/>
      <c r="C960" s="1"/>
      <c r="D960" s="1"/>
      <c r="F960" s="59"/>
      <c r="G960" s="32"/>
      <c r="H960" s="32"/>
    </row>
    <row r="961" spans="1:8" ht="15.75" hidden="1" customHeight="1">
      <c r="A961" s="1"/>
      <c r="B961" s="2"/>
      <c r="C961" s="1"/>
      <c r="D961" s="1"/>
      <c r="F961" s="59"/>
      <c r="G961" s="32"/>
      <c r="H961" s="32"/>
    </row>
    <row r="962" spans="1:8" ht="15.75" hidden="1" customHeight="1">
      <c r="A962" s="1"/>
      <c r="B962" s="2"/>
      <c r="C962" s="1"/>
      <c r="D962" s="1"/>
      <c r="F962" s="59"/>
      <c r="G962" s="32"/>
      <c r="H962" s="32"/>
    </row>
    <row r="963" spans="1:8" ht="15.75" hidden="1" customHeight="1">
      <c r="A963" s="1"/>
      <c r="B963" s="2"/>
      <c r="C963" s="1"/>
      <c r="D963" s="1"/>
      <c r="F963" s="59"/>
      <c r="G963" s="32"/>
      <c r="H963" s="32"/>
    </row>
    <row r="964" spans="1:8" ht="15.75" hidden="1" customHeight="1">
      <c r="A964" s="1"/>
      <c r="B964" s="2"/>
      <c r="C964" s="1"/>
      <c r="D964" s="1"/>
      <c r="F964" s="59"/>
      <c r="G964" s="32"/>
      <c r="H964" s="32"/>
    </row>
    <row r="965" spans="1:8" ht="15.75" hidden="1" customHeight="1">
      <c r="A965" s="1"/>
      <c r="B965" s="2"/>
      <c r="C965" s="1"/>
      <c r="D965" s="1"/>
      <c r="F965" s="59"/>
      <c r="G965" s="32"/>
      <c r="H965" s="32"/>
    </row>
    <row r="966" spans="1:8" ht="15.75" hidden="1" customHeight="1">
      <c r="A966" s="1"/>
      <c r="B966" s="2"/>
      <c r="C966" s="1"/>
      <c r="D966" s="1"/>
      <c r="F966" s="59"/>
      <c r="G966" s="32"/>
      <c r="H966" s="32"/>
    </row>
    <row r="967" spans="1:8" ht="15.75" hidden="1" customHeight="1">
      <c r="A967" s="1"/>
      <c r="B967" s="2"/>
      <c r="C967" s="1"/>
      <c r="D967" s="1"/>
      <c r="F967" s="59"/>
      <c r="G967" s="32"/>
      <c r="H967" s="32"/>
    </row>
    <row r="968" spans="1:8" ht="15.75" hidden="1" customHeight="1">
      <c r="A968" s="1"/>
      <c r="B968" s="2"/>
      <c r="C968" s="1"/>
      <c r="D968" s="1"/>
      <c r="F968" s="59"/>
      <c r="G968" s="32"/>
      <c r="H968" s="32"/>
    </row>
    <row r="969" spans="1:8" ht="15.75" hidden="1" customHeight="1">
      <c r="A969" s="1"/>
      <c r="B969" s="2"/>
      <c r="C969" s="1"/>
      <c r="D969" s="1"/>
      <c r="F969" s="59"/>
      <c r="G969" s="32"/>
      <c r="H969" s="32"/>
    </row>
    <row r="970" spans="1:8" ht="15.75" hidden="1" customHeight="1">
      <c r="A970" s="1"/>
      <c r="B970" s="2"/>
      <c r="C970" s="1"/>
      <c r="D970" s="1"/>
      <c r="F970" s="59"/>
      <c r="G970" s="32"/>
      <c r="H970" s="32"/>
    </row>
    <row r="971" spans="1:8" ht="15.75" hidden="1" customHeight="1">
      <c r="A971" s="1"/>
      <c r="B971" s="2"/>
      <c r="C971" s="1"/>
      <c r="D971" s="1"/>
      <c r="F971" s="59"/>
      <c r="G971" s="32"/>
      <c r="H971" s="32"/>
    </row>
    <row r="972" spans="1:8" ht="15.75" hidden="1" customHeight="1">
      <c r="A972" s="1"/>
      <c r="B972" s="2"/>
      <c r="C972" s="1"/>
      <c r="D972" s="1"/>
      <c r="F972" s="59"/>
      <c r="G972" s="32"/>
      <c r="H972" s="32"/>
    </row>
    <row r="973" spans="1:8" ht="15.75" hidden="1" customHeight="1">
      <c r="A973" s="1"/>
      <c r="B973" s="2"/>
      <c r="C973" s="1"/>
      <c r="D973" s="1"/>
      <c r="F973" s="59"/>
      <c r="G973" s="32"/>
      <c r="H973" s="32"/>
    </row>
    <row r="974" spans="1:8" ht="15.75" hidden="1" customHeight="1">
      <c r="A974" s="1"/>
      <c r="B974" s="2"/>
      <c r="C974" s="1"/>
      <c r="D974" s="1"/>
      <c r="F974" s="59"/>
      <c r="G974" s="32"/>
      <c r="H974" s="32"/>
    </row>
    <row r="975" spans="1:8" ht="15.75" hidden="1" customHeight="1">
      <c r="A975" s="1"/>
      <c r="B975" s="2"/>
      <c r="C975" s="1"/>
      <c r="D975" s="1"/>
      <c r="F975" s="59"/>
      <c r="G975" s="32"/>
      <c r="H975" s="32"/>
    </row>
    <row r="976" spans="1:8" ht="15.75" hidden="1" customHeight="1">
      <c r="A976" s="1"/>
      <c r="B976" s="2"/>
      <c r="C976" s="1"/>
      <c r="D976" s="1"/>
      <c r="F976" s="59"/>
      <c r="G976" s="32"/>
      <c r="H976" s="32"/>
    </row>
    <row r="977" spans="1:8" ht="15.75" hidden="1" customHeight="1">
      <c r="A977" s="1"/>
      <c r="B977" s="2"/>
      <c r="C977" s="1"/>
      <c r="D977" s="1"/>
      <c r="F977" s="59"/>
      <c r="G977" s="32"/>
      <c r="H977" s="32"/>
    </row>
    <row r="978" spans="1:8" ht="15.75" hidden="1" customHeight="1">
      <c r="A978" s="1"/>
      <c r="B978" s="2"/>
      <c r="C978" s="1"/>
      <c r="D978" s="1"/>
      <c r="F978" s="59"/>
      <c r="G978" s="32"/>
      <c r="H978" s="32"/>
    </row>
    <row r="979" spans="1:8" ht="15.75" hidden="1" customHeight="1">
      <c r="A979" s="1"/>
      <c r="B979" s="2"/>
      <c r="C979" s="1"/>
      <c r="D979" s="1"/>
      <c r="F979" s="59"/>
      <c r="G979" s="32"/>
      <c r="H979" s="32"/>
    </row>
    <row r="980" spans="1:8" ht="15.75" hidden="1" customHeight="1">
      <c r="A980" s="1"/>
      <c r="B980" s="2"/>
      <c r="C980" s="1"/>
      <c r="D980" s="1"/>
      <c r="F980" s="59"/>
      <c r="G980" s="32"/>
      <c r="H980" s="32"/>
    </row>
    <row r="981" spans="1:8" ht="15.75" hidden="1" customHeight="1">
      <c r="A981" s="1"/>
      <c r="B981" s="2"/>
      <c r="C981" s="1"/>
      <c r="D981" s="1"/>
      <c r="F981" s="59"/>
      <c r="G981" s="32"/>
      <c r="H981" s="32"/>
    </row>
    <row r="982" spans="1:8" ht="15.75" hidden="1" customHeight="1">
      <c r="A982" s="1"/>
      <c r="B982" s="2"/>
      <c r="C982" s="1"/>
      <c r="D982" s="1"/>
      <c r="F982" s="59"/>
      <c r="G982" s="32"/>
      <c r="H982" s="32"/>
    </row>
    <row r="983" spans="1:8" ht="15.75" hidden="1" customHeight="1">
      <c r="A983" s="1"/>
      <c r="B983" s="2"/>
      <c r="C983" s="1"/>
      <c r="D983" s="1"/>
      <c r="F983" s="59"/>
      <c r="G983" s="32"/>
      <c r="H983" s="32"/>
    </row>
    <row r="984" spans="1:8" ht="15.75" hidden="1" customHeight="1">
      <c r="A984" s="1"/>
      <c r="B984" s="2"/>
      <c r="C984" s="1"/>
      <c r="D984" s="1"/>
      <c r="F984" s="59"/>
      <c r="G984" s="32"/>
      <c r="H984" s="32"/>
    </row>
    <row r="985" spans="1:8" ht="15.75" hidden="1" customHeight="1">
      <c r="A985" s="1"/>
      <c r="B985" s="2"/>
      <c r="C985" s="1"/>
      <c r="D985" s="1"/>
      <c r="F985" s="59"/>
      <c r="G985" s="32"/>
      <c r="H985" s="32"/>
    </row>
    <row r="986" spans="1:8" ht="15.75" hidden="1" customHeight="1">
      <c r="A986" s="1"/>
      <c r="B986" s="2"/>
      <c r="C986" s="1"/>
      <c r="D986" s="1"/>
      <c r="F986" s="59"/>
      <c r="G986" s="32"/>
      <c r="H986" s="32"/>
    </row>
    <row r="987" spans="1:8" ht="15.75" hidden="1" customHeight="1">
      <c r="A987" s="1"/>
      <c r="B987" s="2"/>
      <c r="C987" s="1"/>
      <c r="D987" s="1"/>
      <c r="F987" s="59"/>
      <c r="G987" s="32"/>
      <c r="H987" s="32"/>
    </row>
    <row r="988" spans="1:8" ht="15.75" hidden="1" customHeight="1">
      <c r="A988" s="1"/>
      <c r="B988" s="2"/>
      <c r="C988" s="1"/>
      <c r="D988" s="1"/>
      <c r="F988" s="59"/>
      <c r="G988" s="32"/>
      <c r="H988" s="32"/>
    </row>
    <row r="989" spans="1:8" ht="15.75" hidden="1" customHeight="1">
      <c r="A989" s="1"/>
      <c r="B989" s="2"/>
      <c r="C989" s="1"/>
      <c r="D989" s="1"/>
      <c r="F989" s="59"/>
      <c r="G989" s="32"/>
      <c r="H989" s="32"/>
    </row>
    <row r="990" spans="1:8" ht="15.75" hidden="1" customHeight="1">
      <c r="A990" s="1"/>
      <c r="B990" s="2"/>
      <c r="C990" s="1"/>
      <c r="D990" s="1"/>
      <c r="F990" s="59"/>
      <c r="G990" s="32"/>
      <c r="H990" s="32"/>
    </row>
    <row r="991" spans="1:8" ht="15.75" hidden="1" customHeight="1">
      <c r="A991" s="1"/>
      <c r="B991" s="2"/>
      <c r="C991" s="1"/>
      <c r="D991" s="1"/>
      <c r="F991" s="59"/>
      <c r="G991" s="32"/>
      <c r="H991" s="32"/>
    </row>
    <row r="992" spans="1:8" ht="15.75" hidden="1" customHeight="1">
      <c r="A992" s="1"/>
      <c r="B992" s="2"/>
      <c r="C992" s="1"/>
      <c r="D992" s="1"/>
      <c r="F992" s="59"/>
      <c r="G992" s="32"/>
      <c r="H992" s="32"/>
    </row>
    <row r="993" spans="1:8" ht="15.75" hidden="1" customHeight="1">
      <c r="A993" s="1"/>
      <c r="B993" s="2"/>
      <c r="C993" s="1"/>
      <c r="D993" s="1"/>
      <c r="F993" s="59"/>
      <c r="G993" s="32"/>
      <c r="H993" s="32"/>
    </row>
    <row r="994" spans="1:8" ht="15.75" hidden="1" customHeight="1">
      <c r="A994" s="1"/>
      <c r="B994" s="2"/>
      <c r="C994" s="1"/>
      <c r="D994" s="1"/>
      <c r="F994" s="59"/>
      <c r="G994" s="32"/>
      <c r="H994" s="32"/>
    </row>
    <row r="995" spans="1:8" ht="15.75" hidden="1" customHeight="1">
      <c r="A995" s="1"/>
      <c r="B995" s="2"/>
      <c r="C995" s="1"/>
      <c r="D995" s="1"/>
      <c r="F995" s="59"/>
      <c r="G995" s="32"/>
      <c r="H995" s="32"/>
    </row>
    <row r="996" spans="1:8" ht="15.75" hidden="1" customHeight="1">
      <c r="A996" s="1"/>
      <c r="B996" s="2"/>
      <c r="C996" s="1"/>
      <c r="D996" s="1"/>
      <c r="F996" s="59"/>
      <c r="G996" s="32"/>
      <c r="H996" s="32"/>
    </row>
    <row r="997" spans="1:8" ht="15.75" hidden="1" customHeight="1">
      <c r="A997" s="1"/>
      <c r="B997" s="2"/>
      <c r="C997" s="1"/>
      <c r="D997" s="1"/>
      <c r="F997" s="59"/>
      <c r="G997" s="32"/>
      <c r="H997" s="32"/>
    </row>
    <row r="998" spans="1:8" ht="15.75" hidden="1" customHeight="1">
      <c r="A998" s="1"/>
      <c r="B998" s="2"/>
      <c r="C998" s="1"/>
      <c r="D998" s="1"/>
      <c r="F998" s="59"/>
      <c r="G998" s="32"/>
      <c r="H998" s="32"/>
    </row>
    <row r="999" spans="1:8" ht="15.75" hidden="1" customHeight="1">
      <c r="A999" s="1"/>
      <c r="B999" s="2"/>
      <c r="C999" s="1"/>
      <c r="D999" s="1"/>
      <c r="F999" s="59"/>
      <c r="G999" s="32"/>
      <c r="H999" s="32"/>
    </row>
    <row r="1000" spans="1:8" ht="15.75" hidden="1" customHeight="1">
      <c r="A1000" s="1"/>
      <c r="B1000" s="2"/>
      <c r="C1000" s="1"/>
      <c r="D1000" s="1"/>
      <c r="F1000" s="59"/>
      <c r="G1000" s="32"/>
      <c r="H1000" s="32"/>
    </row>
    <row r="1001" spans="1:8" ht="15.75" hidden="1" customHeight="1">
      <c r="A1001" s="1"/>
      <c r="B1001" s="2"/>
      <c r="C1001" s="1"/>
      <c r="D1001" s="1"/>
      <c r="F1001" s="59"/>
      <c r="G1001" s="32"/>
      <c r="H1001" s="32"/>
    </row>
    <row r="1002" spans="1:8" ht="15.75" hidden="1" customHeight="1">
      <c r="A1002" s="1"/>
      <c r="B1002" s="2"/>
      <c r="C1002" s="1"/>
      <c r="D1002" s="1"/>
      <c r="F1002" s="59"/>
      <c r="G1002" s="32"/>
      <c r="H1002" s="32"/>
    </row>
    <row r="1003" spans="1:8" ht="15.75" hidden="1" customHeight="1">
      <c r="A1003" s="1"/>
      <c r="B1003" s="2"/>
      <c r="C1003" s="1"/>
      <c r="D1003" s="1"/>
      <c r="F1003" s="59"/>
      <c r="G1003" s="32"/>
      <c r="H1003" s="32"/>
    </row>
    <row r="1004" spans="1:8" ht="15.75" hidden="1" customHeight="1">
      <c r="A1004" s="1"/>
      <c r="B1004" s="2"/>
      <c r="C1004" s="1"/>
      <c r="D1004" s="1"/>
      <c r="F1004" s="59"/>
      <c r="G1004" s="32"/>
      <c r="H1004" s="32"/>
    </row>
    <row r="1005" spans="1:8" ht="15.75" hidden="1" customHeight="1">
      <c r="A1005" s="1"/>
      <c r="B1005" s="2"/>
      <c r="C1005" s="1"/>
      <c r="D1005" s="1"/>
      <c r="F1005" s="59"/>
      <c r="G1005" s="32"/>
      <c r="H1005" s="32"/>
    </row>
    <row r="1006" spans="1:8" ht="15.75" hidden="1" customHeight="1">
      <c r="A1006" s="1"/>
      <c r="B1006" s="2"/>
      <c r="C1006" s="1"/>
      <c r="D1006" s="1"/>
      <c r="F1006" s="59"/>
      <c r="G1006" s="32"/>
      <c r="H1006" s="32"/>
    </row>
    <row r="1007" spans="1:8" ht="15.75" hidden="1" customHeight="1">
      <c r="A1007" s="1"/>
      <c r="B1007" s="2"/>
      <c r="C1007" s="1"/>
      <c r="D1007" s="1"/>
      <c r="F1007" s="59"/>
      <c r="G1007" s="32"/>
      <c r="H1007" s="32"/>
    </row>
    <row r="1008" spans="1:8" ht="15.75" hidden="1" customHeight="1">
      <c r="A1008" s="1"/>
      <c r="B1008" s="2"/>
      <c r="C1008" s="1"/>
      <c r="D1008" s="1"/>
      <c r="F1008" s="59"/>
      <c r="G1008" s="32"/>
      <c r="H1008" s="32"/>
    </row>
    <row r="1009" spans="1:8" ht="15.75" hidden="1" customHeight="1">
      <c r="A1009" s="1"/>
      <c r="B1009" s="2"/>
      <c r="C1009" s="1"/>
      <c r="D1009" s="1"/>
      <c r="F1009" s="59"/>
      <c r="G1009" s="32"/>
      <c r="H1009" s="32"/>
    </row>
    <row r="1010" spans="1:8" ht="15.75" hidden="1" customHeight="1">
      <c r="A1010" s="1"/>
      <c r="B1010" s="2"/>
      <c r="C1010" s="1"/>
      <c r="D1010" s="1"/>
      <c r="F1010" s="59"/>
      <c r="G1010" s="32"/>
      <c r="H1010" s="32"/>
    </row>
    <row r="1011" spans="1:8" ht="15.75" hidden="1" customHeight="1">
      <c r="A1011" s="1"/>
      <c r="B1011" s="2"/>
      <c r="C1011" s="1"/>
      <c r="D1011" s="1"/>
      <c r="F1011" s="59"/>
      <c r="G1011" s="32"/>
      <c r="H1011" s="32"/>
    </row>
    <row r="1012" spans="1:8" ht="15.75" hidden="1" customHeight="1">
      <c r="A1012" s="1"/>
      <c r="B1012" s="2"/>
      <c r="C1012" s="1"/>
      <c r="D1012" s="1"/>
      <c r="F1012" s="59"/>
      <c r="G1012" s="32"/>
      <c r="H1012" s="32"/>
    </row>
    <row r="1013" spans="1:8" ht="15.75" hidden="1" customHeight="1">
      <c r="A1013" s="1"/>
      <c r="B1013" s="2"/>
      <c r="C1013" s="1"/>
      <c r="D1013" s="1"/>
      <c r="F1013" s="59"/>
      <c r="G1013" s="32"/>
      <c r="H1013" s="32"/>
    </row>
    <row r="1014" spans="1:8" ht="15.75" hidden="1" customHeight="1">
      <c r="A1014" s="1"/>
      <c r="B1014" s="2"/>
      <c r="C1014" s="1"/>
      <c r="D1014" s="1"/>
      <c r="F1014" s="59"/>
      <c r="G1014" s="32"/>
      <c r="H1014" s="32"/>
    </row>
    <row r="1015" spans="1:8" ht="15.75" hidden="1" customHeight="1">
      <c r="A1015" s="1"/>
      <c r="B1015" s="2"/>
      <c r="C1015" s="1"/>
      <c r="D1015" s="1"/>
      <c r="F1015" s="59"/>
      <c r="G1015" s="32"/>
      <c r="H1015" s="32"/>
    </row>
    <row r="1016" spans="1:8" ht="15.75" hidden="1" customHeight="1">
      <c r="A1016" s="1"/>
      <c r="B1016" s="2"/>
      <c r="C1016" s="1"/>
      <c r="D1016" s="1"/>
      <c r="F1016" s="59"/>
      <c r="G1016" s="32"/>
      <c r="H1016" s="32"/>
    </row>
    <row r="1017" spans="1:8" ht="15.75" hidden="1" customHeight="1">
      <c r="A1017" s="1"/>
      <c r="B1017" s="2"/>
      <c r="C1017" s="1"/>
      <c r="D1017" s="1"/>
      <c r="F1017" s="59"/>
      <c r="G1017" s="32"/>
      <c r="H1017" s="32"/>
    </row>
    <row r="1018" spans="1:8" ht="15.75" hidden="1" customHeight="1">
      <c r="A1018" s="1"/>
      <c r="B1018" s="2"/>
      <c r="C1018" s="1"/>
      <c r="D1018" s="1"/>
      <c r="F1018" s="59"/>
      <c r="G1018" s="32"/>
      <c r="H1018" s="32"/>
    </row>
    <row r="1019" spans="1:8" ht="15.75" hidden="1" customHeight="1">
      <c r="A1019" s="1"/>
      <c r="B1019" s="2"/>
      <c r="C1019" s="1"/>
      <c r="D1019" s="1"/>
      <c r="F1019" s="59"/>
      <c r="G1019" s="32"/>
      <c r="H1019" s="32"/>
    </row>
    <row r="1020" spans="1:8" ht="15.75" hidden="1" customHeight="1">
      <c r="A1020" s="1"/>
      <c r="B1020" s="2"/>
      <c r="C1020" s="1"/>
      <c r="D1020" s="1"/>
      <c r="F1020" s="59"/>
      <c r="G1020" s="32"/>
      <c r="H1020" s="32"/>
    </row>
    <row r="1021" spans="1:8" ht="15.75" hidden="1" customHeight="1">
      <c r="A1021" s="1"/>
      <c r="B1021" s="2"/>
      <c r="C1021" s="1"/>
      <c r="D1021" s="1"/>
      <c r="F1021" s="59"/>
      <c r="G1021" s="32"/>
      <c r="H1021" s="32"/>
    </row>
    <row r="1022" spans="1:8" ht="15.75" hidden="1" customHeight="1">
      <c r="A1022" s="1"/>
      <c r="B1022" s="2"/>
      <c r="C1022" s="1"/>
      <c r="D1022" s="1"/>
      <c r="F1022" s="59"/>
      <c r="G1022" s="32"/>
      <c r="H1022" s="32"/>
    </row>
    <row r="1023" spans="1:8" ht="15.75" hidden="1" customHeight="1">
      <c r="A1023" s="1"/>
      <c r="B1023" s="2"/>
      <c r="C1023" s="1"/>
      <c r="D1023" s="1"/>
      <c r="F1023" s="59"/>
      <c r="G1023" s="32"/>
      <c r="H1023" s="32"/>
    </row>
    <row r="1024" spans="1:8" ht="15.75" hidden="1" customHeight="1">
      <c r="A1024" s="1"/>
      <c r="B1024" s="2"/>
      <c r="C1024" s="1"/>
      <c r="D1024" s="1"/>
      <c r="F1024" s="59"/>
      <c r="G1024" s="32"/>
      <c r="H1024" s="32"/>
    </row>
    <row r="1025" spans="1:8" ht="15.75" hidden="1" customHeight="1">
      <c r="A1025" s="1"/>
      <c r="B1025" s="2"/>
      <c r="C1025" s="1"/>
      <c r="D1025" s="1"/>
      <c r="F1025" s="59"/>
      <c r="G1025" s="32"/>
      <c r="H1025" s="32"/>
    </row>
    <row r="1026" spans="1:8" ht="15.75" hidden="1" customHeight="1">
      <c r="A1026" s="1"/>
      <c r="B1026" s="2"/>
      <c r="C1026" s="1"/>
      <c r="D1026" s="1"/>
      <c r="F1026" s="59"/>
      <c r="G1026" s="32"/>
      <c r="H1026" s="32"/>
    </row>
    <row r="1027" spans="1:8" ht="15.75" hidden="1" customHeight="1">
      <c r="A1027" s="1"/>
      <c r="B1027" s="2"/>
      <c r="C1027" s="1"/>
      <c r="D1027" s="1"/>
      <c r="F1027" s="59"/>
      <c r="G1027" s="32"/>
      <c r="H1027" s="32"/>
    </row>
    <row r="1028" spans="1:8" ht="15.75" hidden="1" customHeight="1">
      <c r="A1028" s="1"/>
      <c r="B1028" s="2"/>
      <c r="C1028" s="1"/>
      <c r="D1028" s="1"/>
      <c r="F1028" s="59"/>
      <c r="G1028" s="32"/>
      <c r="H1028" s="32"/>
    </row>
    <row r="1029" spans="1:8" ht="15.75" hidden="1" customHeight="1">
      <c r="A1029" s="1"/>
      <c r="B1029" s="2"/>
      <c r="C1029" s="1"/>
      <c r="D1029" s="1"/>
      <c r="F1029" s="59"/>
      <c r="G1029" s="32"/>
      <c r="H1029" s="32"/>
    </row>
    <row r="1030" spans="1:8" ht="15.75" hidden="1" customHeight="1">
      <c r="A1030" s="1"/>
      <c r="B1030" s="2"/>
      <c r="C1030" s="1"/>
      <c r="D1030" s="1"/>
      <c r="F1030" s="59"/>
      <c r="G1030" s="32"/>
      <c r="H1030" s="32"/>
    </row>
    <row r="1031" spans="1:8" ht="15.75" hidden="1" customHeight="1">
      <c r="A1031" s="1"/>
      <c r="B1031" s="2"/>
      <c r="C1031" s="1"/>
      <c r="D1031" s="1"/>
      <c r="F1031" s="59"/>
      <c r="G1031" s="32"/>
      <c r="H1031" s="32"/>
    </row>
    <row r="1032" spans="1:8" ht="15.75" hidden="1" customHeight="1">
      <c r="A1032" s="1"/>
      <c r="B1032" s="2"/>
      <c r="C1032" s="1"/>
      <c r="D1032" s="1"/>
      <c r="F1032" s="59"/>
      <c r="G1032" s="32"/>
      <c r="H1032" s="32"/>
    </row>
    <row r="1033" spans="1:8" ht="15.75" hidden="1" customHeight="1">
      <c r="A1033" s="1"/>
      <c r="B1033" s="2"/>
      <c r="C1033" s="1"/>
      <c r="D1033" s="1"/>
      <c r="F1033" s="59"/>
      <c r="G1033" s="32"/>
      <c r="H1033" s="32"/>
    </row>
    <row r="1034" spans="1:8" ht="15.75" hidden="1" customHeight="1">
      <c r="A1034" s="1"/>
      <c r="B1034" s="2"/>
      <c r="C1034" s="1"/>
      <c r="D1034" s="1"/>
      <c r="F1034" s="59"/>
      <c r="G1034" s="32"/>
      <c r="H1034" s="32"/>
    </row>
    <row r="1035" spans="1:8" ht="15.75" hidden="1" customHeight="1">
      <c r="A1035" s="1"/>
      <c r="B1035" s="2"/>
      <c r="C1035" s="1"/>
      <c r="D1035" s="1"/>
      <c r="F1035" s="59"/>
      <c r="G1035" s="32"/>
      <c r="H1035" s="32"/>
    </row>
    <row r="1036" spans="1:8" ht="15.75" hidden="1" customHeight="1">
      <c r="A1036" s="1"/>
      <c r="B1036" s="2"/>
      <c r="C1036" s="1"/>
      <c r="D1036" s="1"/>
      <c r="F1036" s="59"/>
      <c r="G1036" s="32"/>
      <c r="H1036" s="32"/>
    </row>
    <row r="1037" spans="1:8" ht="15.75" hidden="1" customHeight="1">
      <c r="A1037" s="1"/>
      <c r="B1037" s="2"/>
      <c r="C1037" s="1"/>
      <c r="D1037" s="1"/>
      <c r="F1037" s="59"/>
      <c r="G1037" s="32"/>
      <c r="H1037" s="32"/>
    </row>
    <row r="1038" spans="1:8" ht="15.75" hidden="1" customHeight="1">
      <c r="A1038" s="1"/>
      <c r="B1038" s="2"/>
      <c r="C1038" s="1"/>
      <c r="D1038" s="1"/>
      <c r="F1038" s="59"/>
      <c r="G1038" s="32"/>
      <c r="H1038" s="32"/>
    </row>
    <row r="1039" spans="1:8" ht="15.75" hidden="1" customHeight="1">
      <c r="A1039" s="1"/>
      <c r="B1039" s="2"/>
      <c r="C1039" s="1"/>
      <c r="D1039" s="1"/>
      <c r="F1039" s="59"/>
      <c r="G1039" s="32"/>
      <c r="H1039" s="32"/>
    </row>
    <row r="1040" spans="1:8" ht="15.75" hidden="1" customHeight="1">
      <c r="A1040" s="1"/>
      <c r="B1040" s="2"/>
      <c r="C1040" s="1"/>
      <c r="D1040" s="1"/>
      <c r="F1040" s="59"/>
      <c r="G1040" s="32"/>
      <c r="H1040" s="32"/>
    </row>
    <row r="1041" spans="1:8" ht="15.75" hidden="1" customHeight="1">
      <c r="A1041" s="1"/>
      <c r="B1041" s="2"/>
      <c r="C1041" s="1"/>
      <c r="D1041" s="1"/>
      <c r="F1041" s="59"/>
      <c r="G1041" s="32"/>
      <c r="H1041" s="32"/>
    </row>
    <row r="1042" spans="1:8" ht="15.75" hidden="1" customHeight="1">
      <c r="A1042" s="1"/>
      <c r="B1042" s="2"/>
      <c r="C1042" s="1"/>
      <c r="D1042" s="1"/>
      <c r="F1042" s="59"/>
      <c r="G1042" s="32"/>
      <c r="H1042" s="32"/>
    </row>
    <row r="1043" spans="1:8" ht="15.75" hidden="1" customHeight="1">
      <c r="A1043" s="1"/>
      <c r="B1043" s="2"/>
      <c r="C1043" s="1"/>
      <c r="D1043" s="1"/>
      <c r="F1043" s="59"/>
      <c r="G1043" s="32"/>
      <c r="H1043" s="32"/>
    </row>
    <row r="1044" spans="1:8" ht="15.75" hidden="1" customHeight="1">
      <c r="A1044" s="1"/>
      <c r="B1044" s="2"/>
      <c r="C1044" s="1"/>
      <c r="D1044" s="1"/>
      <c r="F1044" s="59"/>
      <c r="G1044" s="32"/>
      <c r="H1044" s="32"/>
    </row>
    <row r="1045" spans="1:8" ht="15.75" hidden="1" customHeight="1">
      <c r="A1045" s="1"/>
      <c r="B1045" s="2"/>
      <c r="C1045" s="1"/>
      <c r="D1045" s="1"/>
      <c r="F1045" s="59"/>
      <c r="G1045" s="32"/>
      <c r="H1045" s="32"/>
    </row>
    <row r="1046" spans="1:8" ht="15.75" hidden="1" customHeight="1">
      <c r="A1046" s="1"/>
      <c r="B1046" s="2"/>
      <c r="C1046" s="1"/>
      <c r="D1046" s="1"/>
      <c r="F1046" s="59"/>
      <c r="G1046" s="32"/>
      <c r="H1046" s="32"/>
    </row>
    <row r="1047" spans="1:8" ht="15.75" hidden="1" customHeight="1">
      <c r="A1047" s="1"/>
      <c r="B1047" s="2"/>
      <c r="C1047" s="1"/>
      <c r="D1047" s="1"/>
      <c r="F1047" s="59"/>
      <c r="G1047" s="32"/>
      <c r="H1047" s="32"/>
    </row>
    <row r="1048" spans="1:8" ht="15.75" hidden="1" customHeight="1">
      <c r="A1048" s="1"/>
      <c r="B1048" s="2"/>
      <c r="C1048" s="1"/>
      <c r="D1048" s="1"/>
      <c r="F1048" s="59"/>
      <c r="G1048" s="32"/>
      <c r="H1048" s="32"/>
    </row>
    <row r="1049" spans="1:8" ht="15.75" hidden="1" customHeight="1">
      <c r="A1049" s="1"/>
      <c r="B1049" s="2"/>
      <c r="C1049" s="1"/>
      <c r="D1049" s="1"/>
      <c r="F1049" s="59"/>
      <c r="G1049" s="32"/>
      <c r="H1049" s="32"/>
    </row>
    <row r="1050" spans="1:8" ht="15.75" hidden="1" customHeight="1">
      <c r="A1050" s="1"/>
      <c r="B1050" s="2"/>
      <c r="C1050" s="1"/>
      <c r="D1050" s="1"/>
      <c r="F1050" s="59"/>
      <c r="G1050" s="32"/>
      <c r="H1050" s="32"/>
    </row>
    <row r="1051" spans="1:8" ht="15.75" hidden="1" customHeight="1">
      <c r="A1051" s="1"/>
      <c r="B1051" s="2"/>
      <c r="C1051" s="1"/>
      <c r="D1051" s="1"/>
      <c r="F1051" s="59"/>
      <c r="G1051" s="32"/>
      <c r="H1051" s="32"/>
    </row>
    <row r="1052" spans="1:8" ht="15.75" hidden="1" customHeight="1">
      <c r="A1052" s="1"/>
      <c r="B1052" s="2"/>
      <c r="C1052" s="1"/>
      <c r="D1052" s="1"/>
      <c r="F1052" s="59"/>
      <c r="G1052" s="32"/>
      <c r="H1052" s="32"/>
    </row>
    <row r="1053" spans="1:8" ht="15.75" hidden="1" customHeight="1">
      <c r="A1053" s="1"/>
      <c r="B1053" s="2"/>
      <c r="C1053" s="1"/>
      <c r="D1053" s="1"/>
      <c r="F1053" s="59"/>
      <c r="G1053" s="32"/>
      <c r="H1053" s="32"/>
    </row>
    <row r="1054" spans="1:8" ht="15.75" hidden="1" customHeight="1">
      <c r="A1054" s="1"/>
      <c r="B1054" s="2"/>
      <c r="C1054" s="1"/>
      <c r="D1054" s="1"/>
      <c r="F1054" s="59"/>
      <c r="G1054" s="32"/>
      <c r="H1054" s="32"/>
    </row>
    <row r="1055" spans="1:8" ht="15.75" hidden="1" customHeight="1">
      <c r="A1055" s="1"/>
      <c r="B1055" s="2"/>
      <c r="C1055" s="1"/>
      <c r="D1055" s="1"/>
      <c r="F1055" s="59"/>
      <c r="G1055" s="32"/>
      <c r="H1055" s="32"/>
    </row>
    <row r="1056" spans="1:8" ht="15.75" hidden="1" customHeight="1">
      <c r="A1056" s="1"/>
      <c r="B1056" s="2"/>
      <c r="C1056" s="1"/>
      <c r="D1056" s="1"/>
      <c r="F1056" s="59"/>
      <c r="G1056" s="32"/>
      <c r="H1056" s="32"/>
    </row>
    <row r="1057" spans="1:8" ht="15.75" hidden="1" customHeight="1">
      <c r="A1057" s="1"/>
      <c r="B1057" s="2"/>
      <c r="C1057" s="1"/>
      <c r="D1057" s="1"/>
      <c r="F1057" s="59"/>
      <c r="G1057" s="32"/>
      <c r="H1057" s="32"/>
    </row>
    <row r="1058" spans="1:8" ht="15.75" hidden="1" customHeight="1">
      <c r="A1058" s="1"/>
      <c r="B1058" s="2"/>
      <c r="C1058" s="1"/>
      <c r="D1058" s="1"/>
      <c r="F1058" s="59"/>
      <c r="G1058" s="32"/>
      <c r="H1058" s="32"/>
    </row>
    <row r="1059" spans="1:8" ht="15.75" hidden="1" customHeight="1">
      <c r="A1059" s="1"/>
      <c r="B1059" s="2"/>
      <c r="C1059" s="1"/>
      <c r="D1059" s="1"/>
      <c r="F1059" s="59"/>
      <c r="G1059" s="32"/>
      <c r="H1059" s="32"/>
    </row>
    <row r="1060" spans="1:8" ht="15.75" hidden="1" customHeight="1">
      <c r="A1060" s="1"/>
      <c r="B1060" s="2"/>
      <c r="C1060" s="1"/>
      <c r="D1060" s="1"/>
      <c r="F1060" s="59"/>
      <c r="G1060" s="32"/>
      <c r="H1060" s="32"/>
    </row>
    <row r="1061" spans="1:8" ht="15.75" hidden="1" customHeight="1">
      <c r="A1061" s="1"/>
      <c r="B1061" s="2"/>
      <c r="C1061" s="1"/>
      <c r="D1061" s="1"/>
      <c r="F1061" s="59"/>
      <c r="G1061" s="32"/>
      <c r="H1061" s="32"/>
    </row>
    <row r="1062" spans="1:8" ht="15.75" hidden="1" customHeight="1">
      <c r="A1062" s="1"/>
      <c r="B1062" s="2"/>
      <c r="C1062" s="1"/>
      <c r="D1062" s="1"/>
      <c r="F1062" s="59"/>
      <c r="G1062" s="32"/>
      <c r="H1062" s="32"/>
    </row>
    <row r="1063" spans="1:8" ht="15.75" hidden="1" customHeight="1">
      <c r="A1063" s="1"/>
      <c r="B1063" s="2"/>
      <c r="C1063" s="1"/>
      <c r="D1063" s="1"/>
      <c r="F1063" s="59"/>
      <c r="G1063" s="32"/>
      <c r="H1063" s="32"/>
    </row>
    <row r="1064" spans="1:8" ht="15.75" hidden="1" customHeight="1">
      <c r="A1064" s="1"/>
      <c r="B1064" s="2"/>
      <c r="C1064" s="1"/>
      <c r="D1064" s="1"/>
      <c r="F1064" s="59"/>
      <c r="G1064" s="32"/>
      <c r="H1064" s="32"/>
    </row>
    <row r="1065" spans="1:8" ht="15.75" hidden="1" customHeight="1">
      <c r="A1065" s="1"/>
      <c r="B1065" s="2"/>
      <c r="C1065" s="1"/>
      <c r="D1065" s="1"/>
      <c r="F1065" s="59"/>
      <c r="G1065" s="32"/>
      <c r="H1065" s="32"/>
    </row>
    <row r="1066" spans="1:8" ht="15.75" hidden="1" customHeight="1">
      <c r="A1066" s="1"/>
      <c r="B1066" s="2"/>
      <c r="C1066" s="1"/>
      <c r="D1066" s="1"/>
      <c r="F1066" s="59"/>
      <c r="G1066" s="32"/>
      <c r="H1066" s="32"/>
    </row>
    <row r="1067" spans="1:8" ht="15.75" hidden="1" customHeight="1">
      <c r="A1067" s="1"/>
      <c r="B1067" s="2"/>
      <c r="C1067" s="1"/>
      <c r="D1067" s="1"/>
      <c r="F1067" s="59"/>
      <c r="G1067" s="32"/>
      <c r="H1067" s="32"/>
    </row>
    <row r="1068" spans="1:8" ht="15.75" hidden="1" customHeight="1">
      <c r="A1068" s="1"/>
      <c r="B1068" s="2"/>
      <c r="C1068" s="1"/>
      <c r="D1068" s="1"/>
      <c r="F1068" s="59"/>
      <c r="G1068" s="32"/>
      <c r="H1068" s="32"/>
    </row>
    <row r="1069" spans="1:8" ht="15.75" hidden="1" customHeight="1">
      <c r="A1069" s="1"/>
      <c r="B1069" s="2"/>
      <c r="C1069" s="1"/>
      <c r="D1069" s="1"/>
      <c r="F1069" s="59"/>
      <c r="G1069" s="32"/>
      <c r="H1069" s="32"/>
    </row>
    <row r="1070" spans="1:8" ht="15.75" hidden="1" customHeight="1">
      <c r="A1070" s="1"/>
      <c r="B1070" s="2"/>
      <c r="C1070" s="1"/>
      <c r="D1070" s="1"/>
      <c r="F1070" s="59"/>
      <c r="G1070" s="32"/>
      <c r="H1070" s="32"/>
    </row>
    <row r="1071" spans="1:8" ht="15.75" hidden="1" customHeight="1">
      <c r="A1071" s="1"/>
      <c r="B1071" s="2"/>
      <c r="C1071" s="1"/>
      <c r="D1071" s="1"/>
      <c r="F1071" s="59"/>
      <c r="G1071" s="32"/>
      <c r="H1071" s="32"/>
    </row>
    <row r="1072" spans="1:8" ht="15.75" hidden="1" customHeight="1">
      <c r="A1072" s="1"/>
      <c r="B1072" s="2"/>
      <c r="C1072" s="1"/>
      <c r="D1072" s="1"/>
      <c r="F1072" s="59"/>
      <c r="G1072" s="32"/>
      <c r="H1072" s="32"/>
    </row>
    <row r="1073" spans="1:8" ht="15.75" hidden="1" customHeight="1">
      <c r="A1073" s="1"/>
      <c r="B1073" s="2"/>
      <c r="C1073" s="1"/>
      <c r="D1073" s="1"/>
      <c r="F1073" s="59"/>
      <c r="G1073" s="32"/>
      <c r="H1073" s="32"/>
    </row>
    <row r="1074" spans="1:8" ht="15.75" hidden="1" customHeight="1">
      <c r="A1074" s="1"/>
      <c r="B1074" s="2"/>
      <c r="C1074" s="1"/>
      <c r="D1074" s="1"/>
      <c r="F1074" s="59"/>
      <c r="G1074" s="32"/>
      <c r="H1074" s="32"/>
    </row>
    <row r="1075" spans="1:8" ht="15.75" hidden="1" customHeight="1">
      <c r="A1075" s="1"/>
      <c r="B1075" s="2"/>
      <c r="C1075" s="1"/>
      <c r="D1075" s="1"/>
      <c r="F1075" s="59"/>
      <c r="G1075" s="32"/>
      <c r="H1075" s="32"/>
    </row>
    <row r="1076" spans="1:8" ht="15.75" hidden="1" customHeight="1">
      <c r="A1076" s="1"/>
      <c r="B1076" s="2"/>
      <c r="C1076" s="1"/>
      <c r="D1076" s="1"/>
      <c r="F1076" s="59"/>
      <c r="G1076" s="32"/>
      <c r="H1076" s="32"/>
    </row>
    <row r="1077" spans="1:8" ht="15.75" hidden="1" customHeight="1">
      <c r="A1077" s="1"/>
      <c r="B1077" s="2"/>
      <c r="C1077" s="1"/>
      <c r="D1077" s="1"/>
      <c r="F1077" s="59"/>
      <c r="G1077" s="32"/>
      <c r="H1077" s="32"/>
    </row>
    <row r="1078" spans="1:8" ht="15.75" hidden="1" customHeight="1">
      <c r="A1078" s="1"/>
      <c r="B1078" s="2"/>
      <c r="C1078" s="1"/>
      <c r="D1078" s="1"/>
      <c r="F1078" s="59"/>
      <c r="G1078" s="32"/>
      <c r="H1078" s="32"/>
    </row>
    <row r="1079" spans="1:8" ht="15.75" hidden="1" customHeight="1">
      <c r="A1079" s="1"/>
      <c r="B1079" s="2"/>
      <c r="C1079" s="1"/>
      <c r="D1079" s="1"/>
      <c r="F1079" s="59"/>
      <c r="G1079" s="32"/>
      <c r="H1079" s="32"/>
    </row>
    <row r="1080" spans="1:8" ht="15.75" hidden="1" customHeight="1">
      <c r="A1080" s="1"/>
      <c r="B1080" s="2"/>
      <c r="C1080" s="1"/>
      <c r="D1080" s="1"/>
      <c r="F1080" s="59"/>
      <c r="G1080" s="32"/>
      <c r="H1080" s="32"/>
    </row>
    <row r="1081" spans="1:8" ht="15.75" hidden="1" customHeight="1">
      <c r="A1081" s="1"/>
      <c r="B1081" s="2"/>
      <c r="C1081" s="1"/>
      <c r="D1081" s="1"/>
      <c r="F1081" s="59"/>
      <c r="G1081" s="32"/>
      <c r="H1081" s="32"/>
    </row>
    <row r="1082" spans="1:8" ht="15.75" hidden="1" customHeight="1">
      <c r="A1082" s="1"/>
      <c r="B1082" s="2"/>
      <c r="C1082" s="1"/>
      <c r="D1082" s="1"/>
      <c r="F1082" s="59"/>
      <c r="G1082" s="32"/>
      <c r="H1082" s="32"/>
    </row>
    <row r="1083" spans="1:8" ht="15.75" hidden="1" customHeight="1">
      <c r="A1083" s="1"/>
      <c r="B1083" s="2"/>
      <c r="C1083" s="1"/>
      <c r="D1083" s="1"/>
      <c r="F1083" s="59"/>
      <c r="G1083" s="32"/>
      <c r="H1083" s="32"/>
    </row>
    <row r="1084" spans="1:8" ht="15.75" hidden="1" customHeight="1">
      <c r="A1084" s="1"/>
      <c r="B1084" s="2"/>
      <c r="C1084" s="1"/>
      <c r="D1084" s="1"/>
      <c r="F1084" s="59"/>
      <c r="G1084" s="32"/>
      <c r="H1084" s="32"/>
    </row>
    <row r="1085" spans="1:8" ht="15.75" hidden="1" customHeight="1">
      <c r="A1085" s="1"/>
      <c r="B1085" s="2"/>
      <c r="C1085" s="1"/>
      <c r="D1085" s="1"/>
      <c r="F1085" s="59"/>
      <c r="G1085" s="32"/>
      <c r="H1085" s="32"/>
    </row>
    <row r="1086" spans="1:8" ht="15.75" hidden="1" customHeight="1">
      <c r="A1086" s="1"/>
      <c r="B1086" s="2"/>
      <c r="C1086" s="1"/>
      <c r="D1086" s="1"/>
      <c r="F1086" s="59"/>
      <c r="G1086" s="32"/>
      <c r="H1086" s="32"/>
    </row>
    <row r="1087" spans="1:8" ht="15.75" hidden="1" customHeight="1">
      <c r="A1087" s="1"/>
      <c r="B1087" s="2"/>
      <c r="C1087" s="1"/>
      <c r="D1087" s="1"/>
      <c r="F1087" s="59"/>
      <c r="G1087" s="32"/>
      <c r="H1087" s="32"/>
    </row>
    <row r="1088" spans="1:8" ht="15.75" hidden="1" customHeight="1">
      <c r="A1088" s="1"/>
      <c r="B1088" s="2"/>
      <c r="C1088" s="1"/>
      <c r="D1088" s="1"/>
      <c r="F1088" s="59"/>
      <c r="G1088" s="32"/>
      <c r="H1088" s="32"/>
    </row>
    <row r="1089" spans="1:8" ht="15.75" hidden="1" customHeight="1">
      <c r="A1089" s="1"/>
      <c r="B1089" s="2"/>
      <c r="C1089" s="1"/>
      <c r="D1089" s="1"/>
      <c r="F1089" s="59"/>
      <c r="G1089" s="32"/>
      <c r="H1089" s="32"/>
    </row>
    <row r="1090" spans="1:8" ht="15.75" hidden="1" customHeight="1">
      <c r="A1090" s="1"/>
      <c r="B1090" s="2"/>
      <c r="C1090" s="1"/>
      <c r="D1090" s="1"/>
      <c r="F1090" s="59"/>
      <c r="G1090" s="32"/>
      <c r="H1090" s="32"/>
    </row>
    <row r="1091" spans="1:8" ht="15.75" hidden="1" customHeight="1">
      <c r="A1091" s="1"/>
      <c r="B1091" s="2"/>
      <c r="C1091" s="1"/>
      <c r="D1091" s="1"/>
      <c r="F1091" s="59"/>
      <c r="G1091" s="32"/>
      <c r="H1091" s="32"/>
    </row>
    <row r="1092" spans="1:8" ht="15.75" hidden="1" customHeight="1">
      <c r="A1092" s="1"/>
      <c r="B1092" s="2"/>
      <c r="C1092" s="1"/>
      <c r="D1092" s="1"/>
      <c r="F1092" s="59"/>
      <c r="G1092" s="32"/>
      <c r="H1092" s="32"/>
    </row>
    <row r="1093" spans="1:8" ht="15.75" hidden="1" customHeight="1">
      <c r="A1093" s="1"/>
      <c r="B1093" s="2"/>
      <c r="C1093" s="1"/>
      <c r="D1093" s="1"/>
      <c r="F1093" s="59"/>
      <c r="G1093" s="32"/>
      <c r="H1093" s="32"/>
    </row>
    <row r="1094" spans="1:8" ht="15.75" hidden="1" customHeight="1">
      <c r="A1094" s="1"/>
      <c r="B1094" s="2"/>
      <c r="C1094" s="1"/>
      <c r="D1094" s="1"/>
      <c r="F1094" s="59"/>
      <c r="G1094" s="32"/>
      <c r="H1094" s="32"/>
    </row>
    <row r="1095" spans="1:8" ht="15.75" hidden="1" customHeight="1">
      <c r="A1095" s="1"/>
      <c r="B1095" s="2"/>
      <c r="C1095" s="1"/>
      <c r="D1095" s="1"/>
      <c r="F1095" s="59"/>
      <c r="G1095" s="32"/>
      <c r="H1095" s="32"/>
    </row>
    <row r="1096" spans="1:8" ht="15.75" hidden="1" customHeight="1">
      <c r="A1096" s="1"/>
      <c r="B1096" s="2"/>
      <c r="C1096" s="1"/>
      <c r="D1096" s="1"/>
      <c r="F1096" s="59"/>
      <c r="G1096" s="32"/>
      <c r="H1096" s="32"/>
    </row>
    <row r="1097" spans="1:8" ht="15.75" hidden="1" customHeight="1">
      <c r="A1097" s="1"/>
      <c r="B1097" s="2"/>
      <c r="C1097" s="1"/>
      <c r="D1097" s="1"/>
      <c r="F1097" s="59"/>
      <c r="G1097" s="32"/>
      <c r="H1097" s="32"/>
    </row>
    <row r="1098" spans="1:8" ht="15.75" hidden="1" customHeight="1">
      <c r="A1098" s="1"/>
      <c r="B1098" s="2"/>
      <c r="C1098" s="1"/>
      <c r="D1098" s="1"/>
      <c r="F1098" s="59"/>
      <c r="G1098" s="32"/>
      <c r="H1098" s="32"/>
    </row>
    <row r="1099" spans="1:8" ht="15.75" hidden="1" customHeight="1">
      <c r="A1099" s="1"/>
      <c r="B1099" s="2"/>
      <c r="C1099" s="1"/>
      <c r="D1099" s="1"/>
      <c r="F1099" s="59"/>
      <c r="G1099" s="32"/>
      <c r="H1099" s="32"/>
    </row>
    <row r="1100" spans="1:8" ht="15.75" hidden="1" customHeight="1">
      <c r="A1100" s="1"/>
      <c r="B1100" s="2"/>
      <c r="C1100" s="1"/>
      <c r="D1100" s="1"/>
      <c r="F1100" s="59"/>
      <c r="G1100" s="32"/>
      <c r="H1100" s="32"/>
    </row>
    <row r="1101" spans="1:8" ht="15.75" hidden="1" customHeight="1">
      <c r="A1101" s="1"/>
      <c r="B1101" s="2"/>
      <c r="C1101" s="1"/>
      <c r="D1101" s="1"/>
      <c r="F1101" s="59"/>
      <c r="G1101" s="32"/>
      <c r="H1101" s="32"/>
    </row>
    <row r="1102" spans="1:8" ht="15.75" hidden="1" customHeight="1">
      <c r="A1102" s="1"/>
      <c r="B1102" s="2"/>
      <c r="C1102" s="1"/>
      <c r="D1102" s="1"/>
      <c r="F1102" s="59"/>
      <c r="G1102" s="32"/>
      <c r="H1102" s="32"/>
    </row>
    <row r="1103" spans="1:8" ht="15.75" hidden="1" customHeight="1">
      <c r="A1103" s="1"/>
      <c r="B1103" s="2"/>
      <c r="C1103" s="1"/>
      <c r="D1103" s="1"/>
      <c r="F1103" s="59"/>
      <c r="G1103" s="32"/>
      <c r="H1103" s="32"/>
    </row>
    <row r="1104" spans="1:8" ht="15.75" hidden="1" customHeight="1">
      <c r="A1104" s="1"/>
      <c r="B1104" s="2"/>
      <c r="C1104" s="1"/>
      <c r="D1104" s="1"/>
      <c r="F1104" s="59"/>
      <c r="G1104" s="32"/>
      <c r="H1104" s="32"/>
    </row>
    <row r="1105" spans="1:8" ht="15.75" hidden="1" customHeight="1">
      <c r="A1105" s="1"/>
      <c r="B1105" s="2"/>
      <c r="C1105" s="1"/>
      <c r="D1105" s="1"/>
      <c r="F1105" s="59"/>
      <c r="G1105" s="32"/>
      <c r="H1105" s="32"/>
    </row>
    <row r="1106" spans="1:8" ht="15.75" hidden="1" customHeight="1">
      <c r="A1106" s="1"/>
      <c r="B1106" s="2"/>
      <c r="C1106" s="1"/>
      <c r="D1106" s="1"/>
      <c r="F1106" s="59"/>
      <c r="G1106" s="32"/>
      <c r="H1106" s="32"/>
    </row>
    <row r="1107" spans="1:8" ht="15.75" hidden="1" customHeight="1">
      <c r="A1107" s="1"/>
      <c r="B1107" s="2"/>
      <c r="C1107" s="1"/>
      <c r="D1107" s="1"/>
      <c r="F1107" s="59"/>
      <c r="G1107" s="32"/>
      <c r="H1107" s="32"/>
    </row>
    <row r="1108" spans="1:8" ht="15.75" hidden="1" customHeight="1">
      <c r="A1108" s="1"/>
      <c r="B1108" s="2"/>
      <c r="C1108" s="1"/>
      <c r="D1108" s="1"/>
      <c r="F1108" s="59"/>
      <c r="G1108" s="32"/>
      <c r="H1108" s="32"/>
    </row>
    <row r="1109" spans="1:8" ht="15.75" hidden="1" customHeight="1">
      <c r="A1109" s="1"/>
      <c r="B1109" s="2"/>
      <c r="C1109" s="1"/>
      <c r="D1109" s="1"/>
      <c r="F1109" s="59"/>
      <c r="G1109" s="32"/>
      <c r="H1109" s="32"/>
    </row>
    <row r="1110" spans="1:8" ht="15.75" hidden="1" customHeight="1">
      <c r="A1110" s="1"/>
      <c r="B1110" s="2"/>
      <c r="C1110" s="1"/>
      <c r="D1110" s="1"/>
      <c r="F1110" s="59"/>
      <c r="G1110" s="32"/>
      <c r="H1110" s="32"/>
    </row>
    <row r="1111" spans="1:8" ht="15.75" hidden="1" customHeight="1">
      <c r="A1111" s="1"/>
      <c r="B1111" s="2"/>
      <c r="C1111" s="1"/>
      <c r="D1111" s="1"/>
      <c r="F1111" s="59"/>
      <c r="G1111" s="32"/>
      <c r="H1111" s="32"/>
    </row>
    <row r="1112" spans="1:8" ht="15.75" hidden="1" customHeight="1">
      <c r="A1112" s="1"/>
      <c r="B1112" s="2"/>
      <c r="C1112" s="1"/>
      <c r="D1112" s="1"/>
      <c r="F1112" s="59"/>
      <c r="G1112" s="32"/>
      <c r="H1112" s="32"/>
    </row>
    <row r="1113" spans="1:8" ht="15.75" hidden="1" customHeight="1">
      <c r="A1113" s="1"/>
      <c r="B1113" s="2"/>
      <c r="C1113" s="1"/>
      <c r="D1113" s="1"/>
      <c r="F1113" s="59"/>
      <c r="G1113" s="32"/>
      <c r="H1113" s="32"/>
    </row>
    <row r="1114" spans="1:8" ht="15.75" hidden="1" customHeight="1">
      <c r="A1114" s="1"/>
      <c r="B1114" s="2"/>
      <c r="C1114" s="1"/>
      <c r="D1114" s="1"/>
      <c r="F1114" s="59"/>
      <c r="G1114" s="32"/>
      <c r="H1114" s="32"/>
    </row>
    <row r="1115" spans="1:8" ht="15.75" hidden="1" customHeight="1">
      <c r="A1115" s="1"/>
      <c r="B1115" s="2"/>
      <c r="C1115" s="1"/>
      <c r="D1115" s="1"/>
      <c r="F1115" s="59"/>
      <c r="G1115" s="32"/>
      <c r="H1115" s="32"/>
    </row>
    <row r="1116" spans="1:8" ht="15.75" hidden="1" customHeight="1">
      <c r="A1116" s="1"/>
      <c r="B1116" s="2"/>
      <c r="C1116" s="1"/>
      <c r="D1116" s="1"/>
      <c r="F1116" s="59"/>
      <c r="G1116" s="32"/>
      <c r="H1116" s="32"/>
    </row>
    <row r="1117" spans="1:8" ht="15.75" hidden="1" customHeight="1">
      <c r="A1117" s="1"/>
      <c r="B1117" s="2"/>
      <c r="C1117" s="1"/>
      <c r="D1117" s="1"/>
      <c r="F1117" s="59"/>
      <c r="G1117" s="32"/>
      <c r="H1117" s="32"/>
    </row>
    <row r="1118" spans="1:8" ht="15.75" hidden="1" customHeight="1">
      <c r="A1118" s="1"/>
      <c r="B1118" s="2"/>
      <c r="C1118" s="1"/>
      <c r="D1118" s="1"/>
      <c r="F1118" s="59"/>
      <c r="G1118" s="32"/>
      <c r="H1118" s="32"/>
    </row>
    <row r="1119" spans="1:8" ht="15.75" hidden="1" customHeight="1">
      <c r="A1119" s="1"/>
      <c r="B1119" s="2"/>
      <c r="C1119" s="1"/>
      <c r="D1119" s="1"/>
      <c r="F1119" s="59"/>
      <c r="G1119" s="32"/>
      <c r="H1119" s="32"/>
    </row>
    <row r="1120" spans="1:8" ht="15.75" hidden="1" customHeight="1">
      <c r="A1120" s="1"/>
      <c r="B1120" s="2"/>
      <c r="C1120" s="1"/>
      <c r="D1120" s="1"/>
      <c r="F1120" s="59"/>
      <c r="G1120" s="32"/>
      <c r="H1120" s="32"/>
    </row>
    <row r="1121" spans="1:8" ht="15.75" hidden="1" customHeight="1">
      <c r="A1121" s="1"/>
      <c r="B1121" s="2"/>
      <c r="C1121" s="1"/>
      <c r="D1121" s="1"/>
      <c r="F1121" s="59"/>
      <c r="G1121" s="32"/>
      <c r="H1121" s="32"/>
    </row>
    <row r="1122" spans="1:8" ht="15.75" hidden="1" customHeight="1">
      <c r="A1122" s="1"/>
      <c r="B1122" s="2"/>
      <c r="C1122" s="1"/>
      <c r="D1122" s="1"/>
      <c r="F1122" s="59"/>
      <c r="G1122" s="32"/>
      <c r="H1122" s="32"/>
    </row>
    <row r="1123" spans="1:8" ht="15.75" hidden="1" customHeight="1">
      <c r="A1123" s="1"/>
      <c r="B1123" s="2"/>
      <c r="C1123" s="1"/>
      <c r="D1123" s="1"/>
      <c r="F1123" s="59"/>
      <c r="G1123" s="32"/>
      <c r="H1123" s="32"/>
    </row>
    <row r="1124" spans="1:8" ht="15.75" hidden="1" customHeight="1">
      <c r="A1124" s="1"/>
      <c r="B1124" s="2"/>
      <c r="C1124" s="1"/>
      <c r="D1124" s="1"/>
      <c r="F1124" s="59"/>
      <c r="G1124" s="32"/>
      <c r="H1124" s="32"/>
    </row>
    <row r="1125" spans="1:8" ht="15.75" hidden="1" customHeight="1">
      <c r="A1125" s="1"/>
      <c r="B1125" s="2"/>
      <c r="C1125" s="1"/>
      <c r="D1125" s="1"/>
      <c r="F1125" s="59"/>
      <c r="G1125" s="32"/>
      <c r="H1125" s="32"/>
    </row>
    <row r="1126" spans="1:8" ht="15.75" hidden="1" customHeight="1">
      <c r="A1126" s="1"/>
      <c r="B1126" s="2"/>
      <c r="C1126" s="1"/>
      <c r="D1126" s="1"/>
      <c r="F1126" s="59"/>
      <c r="G1126" s="32"/>
      <c r="H1126" s="32"/>
    </row>
    <row r="1127" spans="1:8" ht="15.75" hidden="1" customHeight="1">
      <c r="A1127" s="1"/>
      <c r="B1127" s="2"/>
      <c r="C1127" s="1"/>
      <c r="D1127" s="1"/>
      <c r="F1127" s="59"/>
      <c r="G1127" s="32"/>
      <c r="H1127" s="32"/>
    </row>
    <row r="1128" spans="1:8" ht="15.75" hidden="1" customHeight="1">
      <c r="A1128" s="1"/>
      <c r="B1128" s="2"/>
      <c r="C1128" s="1"/>
      <c r="D1128" s="1"/>
      <c r="F1128" s="59"/>
      <c r="G1128" s="32"/>
      <c r="H1128" s="32"/>
    </row>
    <row r="1129" spans="1:8" ht="15.75" hidden="1" customHeight="1">
      <c r="A1129" s="1"/>
      <c r="B1129" s="2"/>
      <c r="C1129" s="1"/>
      <c r="D1129" s="1"/>
      <c r="F1129" s="59"/>
      <c r="G1129" s="32"/>
      <c r="H1129" s="32"/>
    </row>
    <row r="1130" spans="1:8" ht="15.75" hidden="1" customHeight="1">
      <c r="A1130" s="1"/>
      <c r="B1130" s="2"/>
      <c r="C1130" s="1"/>
      <c r="D1130" s="1"/>
      <c r="F1130" s="59"/>
      <c r="G1130" s="32"/>
      <c r="H1130" s="32"/>
    </row>
    <row r="1131" spans="1:8" ht="15.75" hidden="1" customHeight="1">
      <c r="A1131" s="1"/>
      <c r="B1131" s="2"/>
      <c r="C1131" s="1"/>
      <c r="D1131" s="1"/>
      <c r="F1131" s="59"/>
      <c r="G1131" s="32"/>
      <c r="H1131" s="32"/>
    </row>
    <row r="1132" spans="1:8" ht="15.75" hidden="1" customHeight="1">
      <c r="A1132" s="1"/>
      <c r="B1132" s="2"/>
      <c r="C1132" s="1"/>
      <c r="D1132" s="1"/>
      <c r="F1132" s="59"/>
      <c r="G1132" s="32"/>
      <c r="H1132" s="32"/>
    </row>
    <row r="1133" spans="1:8" ht="15.75" hidden="1" customHeight="1">
      <c r="A1133" s="1"/>
      <c r="B1133" s="2"/>
      <c r="C1133" s="1"/>
      <c r="D1133" s="1"/>
      <c r="F1133" s="59"/>
      <c r="G1133" s="32"/>
      <c r="H1133" s="32"/>
    </row>
    <row r="1134" spans="1:8" ht="15.75" hidden="1" customHeight="1">
      <c r="A1134" s="1"/>
      <c r="B1134" s="2"/>
      <c r="C1134" s="1"/>
      <c r="D1134" s="1"/>
      <c r="F1134" s="59"/>
      <c r="G1134" s="32"/>
      <c r="H1134" s="32"/>
    </row>
    <row r="1135" spans="1:8" ht="15.75" hidden="1" customHeight="1">
      <c r="A1135" s="1"/>
      <c r="B1135" s="2"/>
      <c r="C1135" s="1"/>
      <c r="D1135" s="1"/>
      <c r="F1135" s="59"/>
      <c r="G1135" s="32"/>
      <c r="H1135" s="32"/>
    </row>
    <row r="1136" spans="1:8" ht="15.75" hidden="1" customHeight="1">
      <c r="A1136" s="1"/>
      <c r="B1136" s="2"/>
      <c r="C1136" s="1"/>
      <c r="D1136" s="1"/>
      <c r="F1136" s="59"/>
      <c r="G1136" s="32"/>
      <c r="H1136" s="32"/>
    </row>
    <row r="1137" spans="1:8" ht="15.75" hidden="1" customHeight="1">
      <c r="A1137" s="1"/>
      <c r="B1137" s="2"/>
      <c r="C1137" s="1"/>
      <c r="D1137" s="1"/>
      <c r="F1137" s="59"/>
      <c r="G1137" s="32"/>
      <c r="H1137" s="32"/>
    </row>
    <row r="1138" spans="1:8" ht="15.75" hidden="1" customHeight="1">
      <c r="A1138" s="1"/>
      <c r="B1138" s="2"/>
      <c r="C1138" s="1"/>
      <c r="D1138" s="1"/>
      <c r="F1138" s="59"/>
      <c r="G1138" s="32"/>
      <c r="H1138" s="32"/>
    </row>
    <row r="1139" spans="1:8" ht="15.75" hidden="1" customHeight="1">
      <c r="A1139" s="1"/>
      <c r="B1139" s="2"/>
      <c r="C1139" s="1"/>
      <c r="D1139" s="1"/>
      <c r="F1139" s="59"/>
      <c r="G1139" s="32"/>
      <c r="H1139" s="32"/>
    </row>
    <row r="1140" spans="1:8" ht="15.75" hidden="1" customHeight="1">
      <c r="A1140" s="1"/>
      <c r="B1140" s="2"/>
      <c r="C1140" s="1"/>
      <c r="D1140" s="1"/>
      <c r="F1140" s="59"/>
      <c r="G1140" s="32"/>
      <c r="H1140" s="32"/>
    </row>
    <row r="1141" spans="1:8" ht="15.75" hidden="1" customHeight="1">
      <c r="A1141" s="1"/>
      <c r="B1141" s="2"/>
      <c r="C1141" s="1"/>
      <c r="D1141" s="1"/>
      <c r="F1141" s="59"/>
      <c r="G1141" s="32"/>
      <c r="H1141" s="32"/>
    </row>
    <row r="1142" spans="1:8" ht="15.75" hidden="1" customHeight="1">
      <c r="A1142" s="1"/>
      <c r="B1142" s="2"/>
      <c r="C1142" s="1"/>
      <c r="D1142" s="1"/>
      <c r="F1142" s="59"/>
      <c r="G1142" s="32"/>
      <c r="H1142" s="32"/>
    </row>
    <row r="1143" spans="1:8" ht="15.75" hidden="1" customHeight="1">
      <c r="A1143" s="1"/>
      <c r="B1143" s="2"/>
      <c r="C1143" s="1"/>
      <c r="D1143" s="1"/>
      <c r="F1143" s="59"/>
      <c r="G1143" s="32"/>
      <c r="H1143" s="32"/>
    </row>
    <row r="1144" spans="1:8" ht="15.75" hidden="1" customHeight="1">
      <c r="A1144" s="1"/>
      <c r="B1144" s="2"/>
      <c r="C1144" s="1"/>
      <c r="D1144" s="1"/>
      <c r="F1144" s="59"/>
      <c r="G1144" s="32"/>
      <c r="H1144" s="32"/>
    </row>
    <row r="1145" spans="1:8" ht="15.75" hidden="1" customHeight="1">
      <c r="A1145" s="1"/>
      <c r="B1145" s="2"/>
      <c r="C1145" s="1"/>
      <c r="D1145" s="1"/>
      <c r="F1145" s="59"/>
      <c r="G1145" s="32"/>
      <c r="H1145" s="32"/>
    </row>
    <row r="1146" spans="1:8" ht="15.75" hidden="1" customHeight="1">
      <c r="A1146" s="1"/>
      <c r="B1146" s="2"/>
      <c r="C1146" s="1"/>
      <c r="D1146" s="1"/>
      <c r="F1146" s="59"/>
      <c r="G1146" s="32"/>
      <c r="H1146" s="32"/>
    </row>
    <row r="1147" spans="1:8" ht="15.75" hidden="1" customHeight="1">
      <c r="A1147" s="1"/>
      <c r="B1147" s="2"/>
      <c r="C1147" s="1"/>
      <c r="D1147" s="1"/>
      <c r="F1147" s="59"/>
      <c r="G1147" s="32"/>
      <c r="H1147" s="32"/>
    </row>
    <row r="1148" spans="1:8" ht="15.75" hidden="1" customHeight="1">
      <c r="A1148" s="1"/>
      <c r="B1148" s="2"/>
      <c r="C1148" s="1"/>
      <c r="D1148" s="1"/>
      <c r="F1148" s="59"/>
      <c r="G1148" s="32"/>
      <c r="H1148" s="32"/>
    </row>
    <row r="1149" spans="1:8" ht="15.75" hidden="1" customHeight="1">
      <c r="A1149" s="1"/>
      <c r="B1149" s="2"/>
      <c r="C1149" s="1"/>
      <c r="D1149" s="1"/>
      <c r="F1149" s="59"/>
      <c r="G1149" s="32"/>
      <c r="H1149" s="32"/>
    </row>
    <row r="1150" spans="1:8" ht="15.75" hidden="1" customHeight="1">
      <c r="A1150" s="1"/>
      <c r="B1150" s="2"/>
      <c r="C1150" s="1"/>
      <c r="D1150" s="1"/>
      <c r="F1150" s="59"/>
      <c r="G1150" s="32"/>
      <c r="H1150" s="32"/>
    </row>
    <row r="1151" spans="1:8" ht="15.75" hidden="1" customHeight="1">
      <c r="A1151" s="1"/>
      <c r="B1151" s="2"/>
      <c r="C1151" s="1"/>
      <c r="D1151" s="1"/>
      <c r="F1151" s="59"/>
      <c r="G1151" s="32"/>
      <c r="H1151" s="32"/>
    </row>
    <row r="1152" spans="1:8" ht="15.75" hidden="1" customHeight="1">
      <c r="A1152" s="1"/>
      <c r="B1152" s="2"/>
      <c r="C1152" s="1"/>
      <c r="D1152" s="1"/>
      <c r="F1152" s="59"/>
      <c r="G1152" s="32"/>
      <c r="H1152" s="32"/>
    </row>
    <row r="1153" spans="1:8" ht="15.75" hidden="1" customHeight="1">
      <c r="A1153" s="1"/>
      <c r="B1153" s="2"/>
      <c r="C1153" s="1"/>
      <c r="D1153" s="1"/>
      <c r="F1153" s="59"/>
      <c r="G1153" s="32"/>
      <c r="H1153" s="32"/>
    </row>
    <row r="1154" spans="1:8" ht="15.75" hidden="1" customHeight="1">
      <c r="A1154" s="1"/>
      <c r="B1154" s="2"/>
      <c r="C1154" s="1"/>
      <c r="D1154" s="1"/>
      <c r="F1154" s="59"/>
      <c r="G1154" s="32"/>
      <c r="H1154" s="32"/>
    </row>
    <row r="1155" spans="1:8" ht="15.75" hidden="1" customHeight="1">
      <c r="A1155" s="1"/>
      <c r="B1155" s="2"/>
      <c r="C1155" s="1"/>
      <c r="D1155" s="1"/>
      <c r="F1155" s="59"/>
      <c r="G1155" s="32"/>
      <c r="H1155" s="32"/>
    </row>
    <row r="1156" spans="1:8" ht="15.75" hidden="1" customHeight="1">
      <c r="A1156" s="1"/>
      <c r="B1156" s="2"/>
      <c r="C1156" s="1"/>
      <c r="D1156" s="1"/>
      <c r="F1156" s="59"/>
      <c r="G1156" s="32"/>
      <c r="H1156" s="32"/>
    </row>
    <row r="1157" spans="1:8" ht="15.75" hidden="1" customHeight="1">
      <c r="A1157" s="1"/>
      <c r="B1157" s="2"/>
      <c r="C1157" s="1"/>
      <c r="D1157" s="1"/>
      <c r="F1157" s="59"/>
      <c r="G1157" s="32"/>
      <c r="H1157" s="32"/>
    </row>
    <row r="1158" spans="1:8" ht="15.75" hidden="1" customHeight="1">
      <c r="A1158" s="1"/>
      <c r="B1158" s="2"/>
      <c r="C1158" s="1"/>
      <c r="D1158" s="1"/>
      <c r="F1158" s="59"/>
      <c r="G1158" s="32"/>
      <c r="H1158" s="32"/>
    </row>
    <row r="1159" spans="1:8" ht="15.75" hidden="1" customHeight="1">
      <c r="A1159" s="1"/>
      <c r="B1159" s="2"/>
      <c r="C1159" s="1"/>
      <c r="D1159" s="1"/>
      <c r="F1159" s="59"/>
      <c r="G1159" s="32"/>
      <c r="H1159" s="32"/>
    </row>
    <row r="1160" spans="1:8" ht="15.75" hidden="1" customHeight="1">
      <c r="A1160" s="1"/>
      <c r="B1160" s="2"/>
      <c r="C1160" s="1"/>
      <c r="D1160" s="1"/>
      <c r="F1160" s="59"/>
      <c r="G1160" s="32"/>
      <c r="H1160" s="32"/>
    </row>
    <row r="1161" spans="1:8" ht="15.75" hidden="1" customHeight="1">
      <c r="A1161" s="1"/>
      <c r="B1161" s="2"/>
      <c r="C1161" s="1"/>
      <c r="D1161" s="1"/>
      <c r="F1161" s="59"/>
      <c r="G1161" s="32"/>
      <c r="H1161" s="32"/>
    </row>
    <row r="1162" spans="1:8" ht="15.75" hidden="1" customHeight="1">
      <c r="A1162" s="1"/>
      <c r="B1162" s="2"/>
      <c r="C1162" s="1"/>
      <c r="D1162" s="1"/>
      <c r="F1162" s="59"/>
      <c r="G1162" s="32"/>
      <c r="H1162" s="32"/>
    </row>
    <row r="1163" spans="1:8" ht="15.75" hidden="1" customHeight="1">
      <c r="A1163" s="1"/>
      <c r="B1163" s="2"/>
      <c r="C1163" s="1"/>
      <c r="D1163" s="1"/>
      <c r="F1163" s="59"/>
      <c r="G1163" s="32"/>
      <c r="H1163" s="32"/>
    </row>
    <row r="1164" spans="1:8" ht="15.75" hidden="1" customHeight="1">
      <c r="A1164" s="1"/>
      <c r="B1164" s="2"/>
      <c r="C1164" s="1"/>
      <c r="D1164" s="1"/>
      <c r="F1164" s="59"/>
      <c r="G1164" s="32"/>
      <c r="H1164" s="32"/>
    </row>
    <row r="1165" spans="1:8" ht="15.75" hidden="1" customHeight="1">
      <c r="A1165" s="1"/>
      <c r="B1165" s="2"/>
      <c r="C1165" s="1"/>
      <c r="D1165" s="1"/>
      <c r="F1165" s="59"/>
      <c r="G1165" s="32"/>
      <c r="H1165" s="32"/>
    </row>
    <row r="1166" spans="1:8" ht="15.75" hidden="1" customHeight="1">
      <c r="A1166" s="1"/>
      <c r="B1166" s="2"/>
      <c r="C1166" s="1"/>
      <c r="D1166" s="1"/>
      <c r="F1166" s="59"/>
      <c r="G1166" s="32"/>
      <c r="H1166" s="32"/>
    </row>
    <row r="1167" spans="1:8" ht="15.75" hidden="1" customHeight="1">
      <c r="A1167" s="1"/>
      <c r="B1167" s="2"/>
      <c r="C1167" s="1"/>
      <c r="D1167" s="1"/>
      <c r="F1167" s="59"/>
      <c r="G1167" s="32"/>
      <c r="H1167" s="32"/>
    </row>
    <row r="1168" spans="1:8" ht="15.75" hidden="1" customHeight="1">
      <c r="A1168" s="1"/>
      <c r="B1168" s="2"/>
      <c r="C1168" s="1"/>
      <c r="D1168" s="1"/>
      <c r="F1168" s="59"/>
      <c r="G1168" s="32"/>
      <c r="H1168" s="32"/>
    </row>
    <row r="1169" spans="1:8" ht="15.75" hidden="1" customHeight="1">
      <c r="A1169" s="1"/>
      <c r="B1169" s="2"/>
      <c r="C1169" s="1"/>
      <c r="D1169" s="1"/>
      <c r="F1169" s="59"/>
      <c r="G1169" s="32"/>
      <c r="H1169" s="32"/>
    </row>
    <row r="1170" spans="1:8" ht="15.75" hidden="1" customHeight="1">
      <c r="A1170" s="1"/>
      <c r="B1170" s="2"/>
      <c r="C1170" s="1"/>
      <c r="D1170" s="1"/>
      <c r="F1170" s="59"/>
      <c r="G1170" s="32"/>
      <c r="H1170" s="32"/>
    </row>
    <row r="1171" spans="1:8" ht="15.75" hidden="1" customHeight="1">
      <c r="A1171" s="1"/>
      <c r="B1171" s="2"/>
      <c r="C1171" s="1"/>
      <c r="D1171" s="1"/>
      <c r="F1171" s="59"/>
      <c r="G1171" s="32"/>
      <c r="H1171" s="32"/>
    </row>
    <row r="1172" spans="1:8" ht="15.75" hidden="1" customHeight="1">
      <c r="A1172" s="1"/>
      <c r="B1172" s="2"/>
      <c r="C1172" s="1"/>
      <c r="D1172" s="1"/>
      <c r="F1172" s="59"/>
      <c r="G1172" s="32"/>
      <c r="H1172" s="32"/>
    </row>
    <row r="1173" spans="1:8" ht="15.75" hidden="1" customHeight="1">
      <c r="A1173" s="1"/>
      <c r="B1173" s="2"/>
      <c r="C1173" s="1"/>
      <c r="D1173" s="1"/>
      <c r="F1173" s="59"/>
      <c r="G1173" s="32"/>
      <c r="H1173" s="32"/>
    </row>
    <row r="1174" spans="1:8" ht="15.75" hidden="1" customHeight="1">
      <c r="A1174" s="1"/>
      <c r="B1174" s="2"/>
      <c r="C1174" s="1"/>
      <c r="D1174" s="1"/>
      <c r="F1174" s="59"/>
      <c r="G1174" s="32"/>
      <c r="H1174" s="32"/>
    </row>
    <row r="1175" spans="1:8" ht="15.75" hidden="1" customHeight="1">
      <c r="A1175" s="1"/>
      <c r="B1175" s="2"/>
      <c r="C1175" s="1"/>
      <c r="D1175" s="1"/>
      <c r="F1175" s="59"/>
      <c r="G1175" s="32"/>
      <c r="H1175" s="32"/>
    </row>
    <row r="1176" spans="1:8" ht="15.75" hidden="1" customHeight="1">
      <c r="A1176" s="1"/>
      <c r="B1176" s="2"/>
      <c r="C1176" s="1"/>
      <c r="D1176" s="1"/>
      <c r="F1176" s="59"/>
      <c r="G1176" s="32"/>
      <c r="H1176" s="32"/>
    </row>
    <row r="1177" spans="1:8" ht="15.75" hidden="1" customHeight="1">
      <c r="A1177" s="1"/>
      <c r="B1177" s="2"/>
      <c r="C1177" s="1"/>
      <c r="D1177" s="1"/>
      <c r="F1177" s="59"/>
      <c r="G1177" s="32"/>
      <c r="H1177" s="32"/>
    </row>
    <row r="1178" spans="1:8" ht="15.75" hidden="1" customHeight="1">
      <c r="A1178" s="1"/>
      <c r="B1178" s="2"/>
      <c r="C1178" s="1"/>
      <c r="D1178" s="1"/>
      <c r="F1178" s="59"/>
      <c r="G1178" s="32"/>
      <c r="H1178" s="32"/>
    </row>
    <row r="1179" spans="1:8" ht="15.75" hidden="1" customHeight="1">
      <c r="A1179" s="1"/>
      <c r="B1179" s="2"/>
      <c r="C1179" s="1"/>
      <c r="D1179" s="1"/>
      <c r="F1179" s="59"/>
      <c r="G1179" s="32"/>
      <c r="H1179" s="32"/>
    </row>
    <row r="1180" spans="1:8" ht="15.75" hidden="1" customHeight="1">
      <c r="A1180" s="1"/>
      <c r="B1180" s="2"/>
      <c r="C1180" s="1"/>
      <c r="D1180" s="1"/>
      <c r="F1180" s="59"/>
      <c r="G1180" s="32"/>
      <c r="H1180" s="32"/>
    </row>
    <row r="1181" spans="1:8" ht="15.75" hidden="1" customHeight="1">
      <c r="A1181" s="1"/>
      <c r="B1181" s="2"/>
      <c r="C1181" s="1"/>
      <c r="D1181" s="1"/>
      <c r="F1181" s="59"/>
      <c r="G1181" s="32"/>
      <c r="H1181" s="32"/>
    </row>
    <row r="1182" spans="1:8" ht="15.75" hidden="1" customHeight="1">
      <c r="A1182" s="1"/>
      <c r="B1182" s="2"/>
      <c r="C1182" s="1"/>
      <c r="D1182" s="1"/>
      <c r="F1182" s="59"/>
      <c r="G1182" s="32"/>
      <c r="H1182" s="32"/>
    </row>
    <row r="1183" spans="1:8" ht="15.75" hidden="1" customHeight="1">
      <c r="A1183" s="1"/>
      <c r="B1183" s="2"/>
      <c r="C1183" s="1"/>
      <c r="D1183" s="1"/>
      <c r="F1183" s="59"/>
      <c r="G1183" s="32"/>
      <c r="H1183" s="32"/>
    </row>
    <row r="1184" spans="1:8" ht="15.75" hidden="1" customHeight="1">
      <c r="A1184" s="1"/>
      <c r="B1184" s="2"/>
      <c r="C1184" s="1"/>
      <c r="D1184" s="1"/>
      <c r="F1184" s="59"/>
      <c r="G1184" s="32"/>
      <c r="H1184" s="32"/>
    </row>
    <row r="1185" spans="1:8" ht="15.75" hidden="1" customHeight="1">
      <c r="A1185" s="1"/>
      <c r="B1185" s="2"/>
      <c r="C1185" s="1"/>
      <c r="D1185" s="1"/>
      <c r="F1185" s="59"/>
      <c r="G1185" s="32"/>
      <c r="H1185" s="32"/>
    </row>
    <row r="1186" spans="1:8" ht="15.75" hidden="1" customHeight="1">
      <c r="A1186" s="1"/>
      <c r="B1186" s="2"/>
      <c r="C1186" s="1"/>
      <c r="D1186" s="1"/>
      <c r="F1186" s="59"/>
      <c r="G1186" s="32"/>
      <c r="H1186" s="32"/>
    </row>
    <row r="1187" spans="1:8" ht="15.75" hidden="1" customHeight="1">
      <c r="A1187" s="1"/>
      <c r="B1187" s="2"/>
      <c r="C1187" s="1"/>
      <c r="D1187" s="1"/>
      <c r="F1187" s="59"/>
      <c r="G1187" s="32"/>
      <c r="H1187" s="32"/>
    </row>
    <row r="1188" spans="1:8" ht="15.75" hidden="1" customHeight="1">
      <c r="A1188" s="1"/>
      <c r="B1188" s="2"/>
      <c r="C1188" s="1"/>
      <c r="D1188" s="1"/>
      <c r="F1188" s="59"/>
      <c r="G1188" s="32"/>
      <c r="H1188" s="32"/>
    </row>
    <row r="1189" spans="1:8" ht="15.75" hidden="1" customHeight="1">
      <c r="A1189" s="1"/>
      <c r="B1189" s="2"/>
      <c r="C1189" s="1"/>
      <c r="D1189" s="1"/>
      <c r="F1189" s="59"/>
      <c r="G1189" s="32"/>
      <c r="H1189" s="32"/>
    </row>
    <row r="1190" spans="1:8" ht="15.75" hidden="1" customHeight="1">
      <c r="A1190" s="1"/>
      <c r="B1190" s="2"/>
      <c r="C1190" s="1"/>
      <c r="D1190" s="1"/>
      <c r="F1190" s="59"/>
      <c r="G1190" s="32"/>
      <c r="H1190" s="32"/>
    </row>
    <row r="1191" spans="1:8" ht="15.75" hidden="1" customHeight="1">
      <c r="A1191" s="1"/>
      <c r="B1191" s="2"/>
      <c r="C1191" s="1"/>
      <c r="D1191" s="1"/>
      <c r="F1191" s="59"/>
      <c r="G1191" s="32"/>
      <c r="H1191" s="32"/>
    </row>
    <row r="1192" spans="1:8" ht="15.75" hidden="1" customHeight="1">
      <c r="A1192" s="1"/>
      <c r="B1192" s="2"/>
      <c r="C1192" s="1"/>
      <c r="D1192" s="1"/>
      <c r="F1192" s="59"/>
      <c r="G1192" s="32"/>
      <c r="H1192" s="32"/>
    </row>
    <row r="1193" spans="1:8" ht="15.75" hidden="1" customHeight="1">
      <c r="A1193" s="1"/>
      <c r="B1193" s="2"/>
      <c r="C1193" s="1"/>
      <c r="D1193" s="1"/>
      <c r="F1193" s="59"/>
      <c r="G1193" s="32"/>
      <c r="H1193" s="32"/>
    </row>
    <row r="1194" spans="1:8" ht="15.75" hidden="1" customHeight="1">
      <c r="A1194" s="1"/>
      <c r="B1194" s="2"/>
      <c r="C1194" s="1"/>
      <c r="D1194" s="1"/>
      <c r="F1194" s="59"/>
      <c r="G1194" s="32"/>
      <c r="H1194" s="32"/>
    </row>
    <row r="1195" spans="1:8" ht="15.75" hidden="1" customHeight="1">
      <c r="A1195" s="1"/>
      <c r="B1195" s="2"/>
      <c r="C1195" s="1"/>
      <c r="D1195" s="1"/>
      <c r="F1195" s="59"/>
      <c r="G1195" s="32"/>
      <c r="H1195" s="32"/>
    </row>
    <row r="1196" spans="1:8" ht="15.75" hidden="1" customHeight="1">
      <c r="A1196" s="1"/>
      <c r="B1196" s="2"/>
      <c r="C1196" s="1"/>
      <c r="D1196" s="1"/>
      <c r="F1196" s="59"/>
      <c r="G1196" s="32"/>
      <c r="H1196" s="32"/>
    </row>
    <row r="1197" spans="1:8" ht="15.75" hidden="1" customHeight="1">
      <c r="A1197" s="1"/>
      <c r="B1197" s="2"/>
      <c r="C1197" s="1"/>
      <c r="D1197" s="1"/>
      <c r="F1197" s="59"/>
      <c r="G1197" s="32"/>
      <c r="H1197" s="32"/>
    </row>
    <row r="1198" spans="1:8" ht="15.75" hidden="1" customHeight="1">
      <c r="A1198" s="1"/>
      <c r="B1198" s="2"/>
      <c r="C1198" s="1"/>
      <c r="D1198" s="1"/>
      <c r="F1198" s="59"/>
      <c r="G1198" s="32"/>
      <c r="H1198" s="32"/>
    </row>
    <row r="1199" spans="1:8" ht="15.75" hidden="1" customHeight="1">
      <c r="A1199" s="1"/>
      <c r="B1199" s="2"/>
      <c r="C1199" s="1"/>
      <c r="D1199" s="1"/>
      <c r="F1199" s="59"/>
      <c r="G1199" s="32"/>
      <c r="H1199" s="32"/>
    </row>
    <row r="1200" spans="1:8" ht="15.75" hidden="1" customHeight="1">
      <c r="A1200" s="1"/>
      <c r="B1200" s="2"/>
      <c r="C1200" s="1"/>
      <c r="D1200" s="1"/>
      <c r="F1200" s="59"/>
      <c r="G1200" s="32"/>
      <c r="H1200" s="32"/>
    </row>
    <row r="1201" spans="1:8" ht="15.75" hidden="1" customHeight="1">
      <c r="A1201" s="1"/>
      <c r="B1201" s="2"/>
      <c r="C1201" s="1"/>
      <c r="D1201" s="1"/>
      <c r="F1201" s="59"/>
      <c r="G1201" s="32"/>
      <c r="H1201" s="32"/>
    </row>
    <row r="1202" spans="1:8" ht="15.75" hidden="1" customHeight="1">
      <c r="A1202" s="1"/>
      <c r="B1202" s="2"/>
      <c r="C1202" s="1"/>
      <c r="D1202" s="1"/>
      <c r="F1202" s="59"/>
      <c r="G1202" s="32"/>
      <c r="H1202" s="32"/>
    </row>
    <row r="1203" spans="1:8" ht="15.75" hidden="1" customHeight="1">
      <c r="A1203" s="1"/>
      <c r="B1203" s="2"/>
      <c r="C1203" s="1"/>
      <c r="D1203" s="1"/>
      <c r="F1203" s="59"/>
      <c r="G1203" s="32"/>
      <c r="H1203" s="32"/>
    </row>
    <row r="1204" spans="1:8" ht="15.75" hidden="1" customHeight="1">
      <c r="A1204" s="1"/>
      <c r="B1204" s="2"/>
      <c r="C1204" s="1"/>
      <c r="D1204" s="1"/>
      <c r="F1204" s="59"/>
      <c r="G1204" s="32"/>
      <c r="H1204" s="32"/>
    </row>
    <row r="1205" spans="1:8" ht="15.75" hidden="1" customHeight="1">
      <c r="A1205" s="1"/>
      <c r="B1205" s="2"/>
      <c r="C1205" s="1"/>
      <c r="D1205" s="1"/>
      <c r="F1205" s="59"/>
      <c r="G1205" s="32"/>
      <c r="H1205" s="32"/>
    </row>
    <row r="1206" spans="1:8" ht="15.75" hidden="1" customHeight="1">
      <c r="A1206" s="1"/>
      <c r="B1206" s="2"/>
      <c r="C1206" s="1"/>
      <c r="D1206" s="1"/>
      <c r="F1206" s="59"/>
      <c r="G1206" s="32"/>
      <c r="H1206" s="32"/>
    </row>
    <row r="1207" spans="1:8" ht="15.75" hidden="1" customHeight="1">
      <c r="A1207" s="1"/>
      <c r="B1207" s="2"/>
      <c r="C1207" s="1"/>
      <c r="D1207" s="1"/>
      <c r="F1207" s="59"/>
      <c r="G1207" s="32"/>
      <c r="H1207" s="32"/>
    </row>
    <row r="1208" spans="1:8" ht="15.75" hidden="1" customHeight="1">
      <c r="A1208" s="1"/>
      <c r="B1208" s="2"/>
      <c r="C1208" s="1"/>
      <c r="D1208" s="1"/>
      <c r="F1208" s="59"/>
      <c r="G1208" s="32"/>
      <c r="H1208" s="32"/>
    </row>
    <row r="1209" spans="1:8" ht="15.75" hidden="1" customHeight="1">
      <c r="A1209" s="1"/>
      <c r="B1209" s="2"/>
      <c r="C1209" s="1"/>
      <c r="D1209" s="1"/>
      <c r="F1209" s="59"/>
      <c r="G1209" s="32"/>
      <c r="H1209" s="32"/>
    </row>
    <row r="1210" spans="1:8" ht="15.75" hidden="1" customHeight="1">
      <c r="A1210" s="1"/>
      <c r="B1210" s="2"/>
      <c r="C1210" s="1"/>
      <c r="D1210" s="1"/>
      <c r="F1210" s="59"/>
      <c r="G1210" s="32"/>
      <c r="H1210" s="32"/>
    </row>
    <row r="1211" spans="1:8" ht="15.75" hidden="1" customHeight="1">
      <c r="A1211" s="1"/>
      <c r="B1211" s="2"/>
      <c r="C1211" s="1"/>
      <c r="D1211" s="1"/>
      <c r="F1211" s="59"/>
      <c r="G1211" s="32"/>
      <c r="H1211" s="32"/>
    </row>
    <row r="1212" spans="1:8" ht="15.75" hidden="1" customHeight="1">
      <c r="A1212" s="1"/>
      <c r="B1212" s="2"/>
      <c r="C1212" s="1"/>
      <c r="D1212" s="1"/>
      <c r="F1212" s="59"/>
      <c r="G1212" s="32"/>
      <c r="H1212" s="32"/>
    </row>
    <row r="1213" spans="1:8" ht="15.75" hidden="1" customHeight="1">
      <c r="A1213" s="1"/>
      <c r="B1213" s="2"/>
      <c r="C1213" s="1"/>
      <c r="D1213" s="1"/>
      <c r="F1213" s="59"/>
      <c r="G1213" s="32"/>
      <c r="H1213" s="32"/>
    </row>
    <row r="1214" spans="1:8" ht="15.75" hidden="1" customHeight="1">
      <c r="A1214" s="1"/>
      <c r="B1214" s="2"/>
      <c r="C1214" s="1"/>
      <c r="D1214" s="1"/>
      <c r="F1214" s="59"/>
      <c r="G1214" s="32"/>
      <c r="H1214" s="32"/>
    </row>
    <row r="1215" spans="1:8" ht="15.75" hidden="1" customHeight="1">
      <c r="A1215" s="1"/>
      <c r="B1215" s="2"/>
      <c r="C1215" s="1"/>
      <c r="D1215" s="1"/>
      <c r="F1215" s="59"/>
      <c r="G1215" s="32"/>
      <c r="H1215" s="32"/>
    </row>
    <row r="1216" spans="1:8" ht="15.75" hidden="1" customHeight="1">
      <c r="A1216" s="1"/>
      <c r="B1216" s="2"/>
      <c r="C1216" s="1"/>
      <c r="D1216" s="1"/>
      <c r="F1216" s="59"/>
      <c r="G1216" s="32"/>
      <c r="H1216" s="32"/>
    </row>
    <row r="1217" spans="1:8" ht="15.75" hidden="1" customHeight="1">
      <c r="A1217" s="1"/>
      <c r="B1217" s="2"/>
      <c r="C1217" s="1"/>
      <c r="D1217" s="1"/>
      <c r="F1217" s="59"/>
      <c r="G1217" s="32"/>
      <c r="H1217" s="32"/>
    </row>
    <row r="1218" spans="1:8" ht="15.75" hidden="1" customHeight="1">
      <c r="A1218" s="1"/>
      <c r="B1218" s="2"/>
      <c r="C1218" s="1"/>
      <c r="D1218" s="1"/>
      <c r="F1218" s="59"/>
      <c r="G1218" s="32"/>
      <c r="H1218" s="32"/>
    </row>
    <row r="1219" spans="1:8" ht="15.75" hidden="1" customHeight="1">
      <c r="A1219" s="1"/>
      <c r="B1219" s="2"/>
      <c r="C1219" s="1"/>
      <c r="D1219" s="1"/>
      <c r="F1219" s="59"/>
      <c r="G1219" s="32"/>
      <c r="H1219" s="32"/>
    </row>
    <row r="1220" spans="1:8" ht="15.75" hidden="1" customHeight="1">
      <c r="A1220" s="1"/>
      <c r="B1220" s="2"/>
      <c r="C1220" s="1"/>
      <c r="D1220" s="1"/>
      <c r="F1220" s="59"/>
      <c r="G1220" s="32"/>
      <c r="H1220" s="32"/>
    </row>
    <row r="1221" spans="1:8" ht="15.75" hidden="1" customHeight="1">
      <c r="A1221" s="1"/>
      <c r="B1221" s="2"/>
      <c r="C1221" s="1"/>
      <c r="D1221" s="1"/>
      <c r="F1221" s="59"/>
      <c r="G1221" s="32"/>
      <c r="H1221" s="32"/>
    </row>
    <row r="1222" spans="1:8" ht="15.75" hidden="1" customHeight="1">
      <c r="A1222" s="1"/>
      <c r="B1222" s="2"/>
      <c r="C1222" s="1"/>
      <c r="D1222" s="1"/>
      <c r="F1222" s="59"/>
      <c r="G1222" s="32"/>
      <c r="H1222" s="32"/>
    </row>
    <row r="1223" spans="1:8" ht="15.75" hidden="1" customHeight="1">
      <c r="A1223" s="1"/>
      <c r="B1223" s="2"/>
      <c r="C1223" s="1"/>
      <c r="D1223" s="1"/>
      <c r="F1223" s="59"/>
      <c r="G1223" s="32"/>
      <c r="H1223" s="32"/>
    </row>
    <row r="1224" spans="1:8" ht="15.75" hidden="1" customHeight="1">
      <c r="A1224" s="1"/>
      <c r="B1224" s="2"/>
      <c r="C1224" s="1"/>
      <c r="D1224" s="1"/>
      <c r="F1224" s="59"/>
      <c r="G1224" s="32"/>
      <c r="H1224" s="32"/>
    </row>
    <row r="1225" spans="1:8" ht="15.75" hidden="1" customHeight="1">
      <c r="A1225" s="1"/>
      <c r="B1225" s="2"/>
      <c r="C1225" s="1"/>
      <c r="D1225" s="1"/>
      <c r="F1225" s="59"/>
      <c r="G1225" s="32"/>
      <c r="H1225" s="32"/>
    </row>
    <row r="1226" spans="1:8" ht="15.75" hidden="1" customHeight="1">
      <c r="A1226" s="1"/>
      <c r="B1226" s="2"/>
      <c r="C1226" s="1"/>
      <c r="D1226" s="1"/>
      <c r="F1226" s="59"/>
      <c r="G1226" s="32"/>
      <c r="H1226" s="32"/>
    </row>
    <row r="1227" spans="1:8" ht="15.75" hidden="1" customHeight="1">
      <c r="A1227" s="1"/>
      <c r="B1227" s="2"/>
      <c r="C1227" s="1"/>
      <c r="D1227" s="1"/>
      <c r="F1227" s="59"/>
      <c r="G1227" s="32"/>
      <c r="H1227" s="32"/>
    </row>
    <row r="1228" spans="1:8" ht="15.75" hidden="1" customHeight="1">
      <c r="A1228" s="1"/>
      <c r="B1228" s="2"/>
      <c r="C1228" s="1"/>
      <c r="D1228" s="1"/>
      <c r="F1228" s="59"/>
      <c r="G1228" s="32"/>
      <c r="H1228" s="32"/>
    </row>
    <row r="1229" spans="1:8" ht="15.75" hidden="1" customHeight="1">
      <c r="A1229" s="1"/>
      <c r="B1229" s="2"/>
      <c r="C1229" s="1"/>
      <c r="D1229" s="1"/>
      <c r="F1229" s="59"/>
      <c r="G1229" s="32"/>
      <c r="H1229" s="32"/>
    </row>
    <row r="1230" spans="1:8" ht="15.75" hidden="1" customHeight="1">
      <c r="A1230" s="1"/>
      <c r="B1230" s="2"/>
      <c r="C1230" s="1"/>
      <c r="D1230" s="1"/>
      <c r="F1230" s="59"/>
      <c r="G1230" s="32"/>
      <c r="H1230" s="32"/>
    </row>
    <row r="1231" spans="1:8" ht="15.75" hidden="1" customHeight="1">
      <c r="A1231" s="1"/>
      <c r="B1231" s="2"/>
      <c r="C1231" s="1"/>
      <c r="D1231" s="1"/>
      <c r="F1231" s="59"/>
      <c r="G1231" s="32"/>
      <c r="H1231" s="32"/>
    </row>
    <row r="1232" spans="1:8" ht="15.75" hidden="1" customHeight="1">
      <c r="A1232" s="1"/>
      <c r="B1232" s="2"/>
      <c r="C1232" s="1"/>
      <c r="D1232" s="1"/>
      <c r="F1232" s="59"/>
      <c r="G1232" s="32"/>
      <c r="H1232" s="32"/>
    </row>
    <row r="1233" spans="1:8" ht="15.75" hidden="1" customHeight="1">
      <c r="A1233" s="1"/>
      <c r="B1233" s="2"/>
      <c r="C1233" s="1"/>
      <c r="D1233" s="1"/>
      <c r="F1233" s="59"/>
      <c r="G1233" s="32"/>
      <c r="H1233" s="32"/>
    </row>
    <row r="1234" spans="1:8" ht="15.75" hidden="1" customHeight="1">
      <c r="A1234" s="1"/>
      <c r="B1234" s="2"/>
      <c r="C1234" s="1"/>
      <c r="D1234" s="1"/>
      <c r="F1234" s="59"/>
      <c r="G1234" s="32"/>
      <c r="H1234" s="32"/>
    </row>
    <row r="1235" spans="1:8" ht="15.75" hidden="1" customHeight="1">
      <c r="A1235" s="1"/>
      <c r="B1235" s="2"/>
      <c r="C1235" s="1"/>
      <c r="D1235" s="1"/>
      <c r="F1235" s="59"/>
      <c r="G1235" s="32"/>
      <c r="H1235" s="32"/>
    </row>
    <row r="1236" spans="1:8" ht="15.75" hidden="1" customHeight="1">
      <c r="A1236" s="1"/>
      <c r="B1236" s="2"/>
      <c r="C1236" s="1"/>
      <c r="D1236" s="1"/>
      <c r="F1236" s="59"/>
      <c r="G1236" s="32"/>
      <c r="H1236" s="32"/>
    </row>
    <row r="1237" spans="1:8" ht="15.75" hidden="1" customHeight="1">
      <c r="A1237" s="1"/>
      <c r="B1237" s="2"/>
      <c r="C1237" s="1"/>
      <c r="D1237" s="1"/>
      <c r="F1237" s="59"/>
      <c r="G1237" s="32"/>
      <c r="H1237" s="32"/>
    </row>
    <row r="1238" spans="1:8" ht="15.75" hidden="1" customHeight="1">
      <c r="A1238" s="1"/>
      <c r="B1238" s="2"/>
      <c r="C1238" s="1"/>
      <c r="D1238" s="1"/>
      <c r="F1238" s="59"/>
      <c r="G1238" s="32"/>
      <c r="H1238" s="32"/>
    </row>
    <row r="1239" spans="1:8" ht="15.75" hidden="1" customHeight="1">
      <c r="A1239" s="1"/>
      <c r="B1239" s="2"/>
      <c r="C1239" s="1"/>
      <c r="D1239" s="1"/>
      <c r="F1239" s="59"/>
      <c r="G1239" s="32"/>
      <c r="H1239" s="32"/>
    </row>
    <row r="1240" spans="1:8" ht="15.75" hidden="1" customHeight="1">
      <c r="A1240" s="1"/>
      <c r="B1240" s="2"/>
      <c r="C1240" s="1"/>
      <c r="D1240" s="1"/>
      <c r="F1240" s="59"/>
      <c r="G1240" s="32"/>
      <c r="H1240" s="32"/>
    </row>
    <row r="1241" spans="1:8" ht="15.75" hidden="1" customHeight="1">
      <c r="A1241" s="1"/>
      <c r="B1241" s="2"/>
      <c r="C1241" s="1"/>
      <c r="D1241" s="1"/>
      <c r="F1241" s="59"/>
      <c r="G1241" s="32"/>
      <c r="H1241" s="32"/>
    </row>
    <row r="1242" spans="1:8" ht="15.75" hidden="1" customHeight="1">
      <c r="A1242" s="1"/>
      <c r="B1242" s="2"/>
      <c r="C1242" s="1"/>
      <c r="D1242" s="1"/>
      <c r="F1242" s="59"/>
      <c r="G1242" s="32"/>
      <c r="H1242" s="32"/>
    </row>
    <row r="1243" spans="1:8" ht="15.75" hidden="1" customHeight="1">
      <c r="A1243" s="1"/>
      <c r="B1243" s="2"/>
      <c r="C1243" s="1"/>
      <c r="D1243" s="1"/>
      <c r="F1243" s="59"/>
      <c r="G1243" s="32"/>
      <c r="H1243" s="32"/>
    </row>
    <row r="1244" spans="1:8" ht="15.75" hidden="1" customHeight="1">
      <c r="A1244" s="1"/>
      <c r="B1244" s="2"/>
      <c r="C1244" s="1"/>
      <c r="D1244" s="1"/>
      <c r="F1244" s="59"/>
      <c r="G1244" s="32"/>
      <c r="H1244" s="32"/>
    </row>
    <row r="1245" spans="1:8" ht="15.75" hidden="1" customHeight="1">
      <c r="A1245" s="1"/>
      <c r="B1245" s="2"/>
      <c r="C1245" s="1"/>
      <c r="D1245" s="1"/>
      <c r="F1245" s="59"/>
      <c r="G1245" s="32"/>
      <c r="H1245" s="32"/>
    </row>
    <row r="1246" spans="1:8" ht="15.75" hidden="1" customHeight="1">
      <c r="A1246" s="1"/>
      <c r="B1246" s="2"/>
      <c r="C1246" s="1"/>
      <c r="D1246" s="1"/>
      <c r="F1246" s="59"/>
      <c r="G1246" s="32"/>
      <c r="H1246" s="32"/>
    </row>
    <row r="1247" spans="1:8" ht="15.75" hidden="1" customHeight="1">
      <c r="A1247" s="1"/>
      <c r="B1247" s="2"/>
      <c r="C1247" s="1"/>
      <c r="D1247" s="1"/>
      <c r="F1247" s="59"/>
      <c r="G1247" s="32"/>
      <c r="H1247" s="32"/>
    </row>
    <row r="1248" spans="1:8" ht="15.75" hidden="1" customHeight="1">
      <c r="A1248" s="1"/>
      <c r="B1248" s="2"/>
      <c r="C1248" s="1"/>
      <c r="D1248" s="1"/>
      <c r="F1248" s="59"/>
      <c r="G1248" s="32"/>
      <c r="H1248" s="32"/>
    </row>
    <row r="1249" spans="1:8" ht="15.75" hidden="1" customHeight="1">
      <c r="A1249" s="1"/>
      <c r="B1249" s="2"/>
      <c r="C1249" s="1"/>
      <c r="D1249" s="1"/>
      <c r="F1249" s="59"/>
      <c r="G1249" s="32"/>
      <c r="H1249" s="32"/>
    </row>
    <row r="1250" spans="1:8" ht="15.75" hidden="1" customHeight="1">
      <c r="A1250" s="1"/>
      <c r="B1250" s="2"/>
      <c r="C1250" s="1"/>
      <c r="D1250" s="1"/>
      <c r="F1250" s="59"/>
      <c r="G1250" s="32"/>
      <c r="H1250" s="32"/>
    </row>
    <row r="1251" spans="1:8" ht="15.75" hidden="1" customHeight="1">
      <c r="A1251" s="1"/>
      <c r="B1251" s="2"/>
      <c r="C1251" s="1"/>
      <c r="D1251" s="1"/>
      <c r="F1251" s="59"/>
      <c r="G1251" s="32"/>
      <c r="H1251" s="32"/>
    </row>
    <row r="1252" spans="1:8" ht="15.75" hidden="1" customHeight="1">
      <c r="A1252" s="1"/>
      <c r="B1252" s="2"/>
      <c r="C1252" s="1"/>
      <c r="D1252" s="1"/>
      <c r="F1252" s="59"/>
      <c r="G1252" s="32"/>
      <c r="H1252" s="32"/>
    </row>
    <row r="1253" spans="1:8" ht="15.75" hidden="1" customHeight="1">
      <c r="A1253" s="1"/>
      <c r="B1253" s="2"/>
      <c r="C1253" s="1"/>
      <c r="D1253" s="1"/>
      <c r="F1253" s="59"/>
      <c r="G1253" s="32"/>
      <c r="H1253" s="32"/>
    </row>
    <row r="1254" spans="1:8" ht="15.75" hidden="1" customHeight="1">
      <c r="A1254" s="1"/>
      <c r="B1254" s="2"/>
      <c r="C1254" s="1"/>
      <c r="D1254" s="1"/>
      <c r="F1254" s="59"/>
      <c r="G1254" s="32"/>
      <c r="H1254" s="32"/>
    </row>
    <row r="1255" spans="1:8" ht="15.75" hidden="1" customHeight="1">
      <c r="A1255" s="1"/>
      <c r="B1255" s="2"/>
      <c r="C1255" s="1"/>
      <c r="D1255" s="1"/>
      <c r="F1255" s="59"/>
      <c r="G1255" s="32"/>
      <c r="H1255" s="32"/>
    </row>
    <row r="1256" spans="1:8" ht="15.75" hidden="1" customHeight="1">
      <c r="A1256" s="1"/>
      <c r="B1256" s="2"/>
      <c r="C1256" s="1"/>
      <c r="D1256" s="1"/>
      <c r="F1256" s="59"/>
      <c r="G1256" s="32"/>
      <c r="H1256" s="32"/>
    </row>
    <row r="1257" spans="1:8" ht="15.75" hidden="1" customHeight="1">
      <c r="A1257" s="1"/>
      <c r="B1257" s="2"/>
      <c r="C1257" s="1"/>
      <c r="D1257" s="1"/>
      <c r="F1257" s="59"/>
      <c r="G1257" s="32"/>
      <c r="H1257" s="32"/>
    </row>
    <row r="1258" spans="1:8" ht="15.75" hidden="1" customHeight="1">
      <c r="A1258" s="1"/>
      <c r="B1258" s="2"/>
      <c r="C1258" s="1"/>
      <c r="D1258" s="1"/>
      <c r="F1258" s="59"/>
      <c r="G1258" s="32"/>
      <c r="H1258" s="32"/>
    </row>
    <row r="1259" spans="1:8" ht="15.75" hidden="1" customHeight="1">
      <c r="A1259" s="1"/>
      <c r="B1259" s="2"/>
      <c r="C1259" s="1"/>
      <c r="D1259" s="1"/>
      <c r="F1259" s="59"/>
      <c r="G1259" s="32"/>
      <c r="H1259" s="32"/>
    </row>
    <row r="1260" spans="1:8" ht="15.75" hidden="1" customHeight="1">
      <c r="A1260" s="1"/>
      <c r="B1260" s="2"/>
      <c r="C1260" s="1"/>
      <c r="D1260" s="1"/>
      <c r="F1260" s="59"/>
      <c r="G1260" s="32"/>
      <c r="H1260" s="32"/>
    </row>
    <row r="1261" spans="1:8" ht="15.75" hidden="1" customHeight="1">
      <c r="A1261" s="1"/>
      <c r="B1261" s="2"/>
      <c r="C1261" s="1"/>
      <c r="D1261" s="1"/>
      <c r="F1261" s="59"/>
      <c r="G1261" s="32"/>
      <c r="H1261" s="32"/>
    </row>
    <row r="1262" spans="1:8" ht="15.75" hidden="1" customHeight="1">
      <c r="A1262" s="1"/>
      <c r="B1262" s="2"/>
      <c r="C1262" s="1"/>
      <c r="D1262" s="1"/>
      <c r="F1262" s="59"/>
      <c r="G1262" s="32"/>
      <c r="H1262" s="32"/>
    </row>
    <row r="1263" spans="1:8" ht="15.75" hidden="1" customHeight="1">
      <c r="A1263" s="1"/>
      <c r="B1263" s="2"/>
      <c r="C1263" s="1"/>
      <c r="D1263" s="1"/>
      <c r="F1263" s="59"/>
      <c r="G1263" s="32"/>
      <c r="H1263" s="32"/>
    </row>
    <row r="1264" spans="1:8" ht="15.75" hidden="1" customHeight="1">
      <c r="A1264" s="1"/>
      <c r="B1264" s="2"/>
      <c r="C1264" s="1"/>
      <c r="D1264" s="1"/>
      <c r="F1264" s="59"/>
      <c r="G1264" s="32"/>
      <c r="H1264" s="32"/>
    </row>
    <row r="1265" spans="1:8" ht="15.75" hidden="1" customHeight="1">
      <c r="A1265" s="1"/>
      <c r="B1265" s="2"/>
      <c r="C1265" s="1"/>
      <c r="D1265" s="1"/>
      <c r="F1265" s="59"/>
      <c r="G1265" s="32"/>
      <c r="H1265" s="32"/>
    </row>
    <row r="1266" spans="1:8" ht="15.75" hidden="1" customHeight="1">
      <c r="A1266" s="1"/>
      <c r="B1266" s="2"/>
      <c r="C1266" s="1"/>
      <c r="D1266" s="1"/>
      <c r="F1266" s="59"/>
      <c r="G1266" s="32"/>
      <c r="H1266" s="32"/>
    </row>
    <row r="1267" spans="1:8" ht="15.75" hidden="1" customHeight="1">
      <c r="A1267" s="1"/>
      <c r="B1267" s="2"/>
      <c r="C1267" s="1"/>
      <c r="D1267" s="1"/>
      <c r="F1267" s="59"/>
      <c r="G1267" s="32"/>
      <c r="H1267" s="32"/>
    </row>
    <row r="1268" spans="1:8" ht="15.75" hidden="1" customHeight="1">
      <c r="A1268" s="1"/>
      <c r="B1268" s="2"/>
      <c r="C1268" s="1"/>
      <c r="D1268" s="1"/>
      <c r="F1268" s="59"/>
      <c r="G1268" s="32"/>
      <c r="H1268" s="32"/>
    </row>
    <row r="1269" spans="1:8" ht="15.75" hidden="1" customHeight="1">
      <c r="A1269" s="1"/>
      <c r="B1269" s="2"/>
      <c r="C1269" s="1"/>
      <c r="D1269" s="1"/>
      <c r="F1269" s="59"/>
      <c r="G1269" s="32"/>
      <c r="H1269" s="32"/>
    </row>
    <row r="1270" spans="1:8" ht="15.75" hidden="1" customHeight="1">
      <c r="A1270" s="1"/>
      <c r="B1270" s="2"/>
      <c r="C1270" s="1"/>
      <c r="D1270" s="1"/>
      <c r="F1270" s="59"/>
      <c r="G1270" s="32"/>
      <c r="H1270" s="32"/>
    </row>
    <row r="1271" spans="1:8" ht="15.75" hidden="1" customHeight="1">
      <c r="A1271" s="1"/>
      <c r="B1271" s="2"/>
      <c r="C1271" s="1"/>
      <c r="D1271" s="1"/>
      <c r="F1271" s="59"/>
      <c r="G1271" s="32"/>
      <c r="H1271" s="32"/>
    </row>
    <row r="1272" spans="1:8" ht="15.75" hidden="1" customHeight="1">
      <c r="A1272" s="1"/>
      <c r="B1272" s="2"/>
      <c r="C1272" s="1"/>
      <c r="D1272" s="1"/>
      <c r="F1272" s="59"/>
      <c r="G1272" s="32"/>
      <c r="H1272" s="32"/>
    </row>
    <row r="1273" spans="1:8" ht="15.75" hidden="1" customHeight="1">
      <c r="A1273" s="1"/>
      <c r="B1273" s="2"/>
      <c r="C1273" s="1"/>
      <c r="D1273" s="1"/>
      <c r="F1273" s="59"/>
      <c r="G1273" s="32"/>
      <c r="H1273" s="32"/>
    </row>
    <row r="1274" spans="1:8" ht="15.75" hidden="1" customHeight="1">
      <c r="A1274" s="1"/>
      <c r="B1274" s="2"/>
      <c r="C1274" s="1"/>
      <c r="D1274" s="1"/>
      <c r="F1274" s="59"/>
      <c r="G1274" s="32"/>
      <c r="H1274" s="32"/>
    </row>
    <row r="1275" spans="1:8" ht="15.75" hidden="1" customHeight="1">
      <c r="A1275" s="1"/>
      <c r="B1275" s="2"/>
      <c r="C1275" s="1"/>
      <c r="D1275" s="1"/>
      <c r="F1275" s="59"/>
      <c r="G1275" s="32"/>
      <c r="H1275" s="32"/>
    </row>
    <row r="1276" spans="1:8" ht="15.75" hidden="1" customHeight="1">
      <c r="A1276" s="1"/>
      <c r="B1276" s="2"/>
      <c r="C1276" s="1"/>
      <c r="D1276" s="1"/>
      <c r="F1276" s="59"/>
      <c r="G1276" s="32"/>
      <c r="H1276" s="32"/>
    </row>
    <row r="1277" spans="1:8" ht="15.75" hidden="1" customHeight="1">
      <c r="A1277" s="1"/>
      <c r="B1277" s="2"/>
      <c r="C1277" s="1"/>
      <c r="D1277" s="1"/>
      <c r="F1277" s="59"/>
      <c r="G1277" s="32"/>
      <c r="H1277" s="32"/>
    </row>
    <row r="1278" spans="1:8" ht="15.75" hidden="1" customHeight="1">
      <c r="A1278" s="1"/>
      <c r="B1278" s="2"/>
      <c r="C1278" s="1"/>
      <c r="D1278" s="1"/>
      <c r="F1278" s="59"/>
      <c r="G1278" s="32"/>
      <c r="H1278" s="32"/>
    </row>
    <row r="1279" spans="1:8" ht="15.75" hidden="1" customHeight="1">
      <c r="A1279" s="1"/>
      <c r="B1279" s="2"/>
      <c r="C1279" s="1"/>
      <c r="D1279" s="1"/>
      <c r="F1279" s="59"/>
      <c r="G1279" s="32"/>
      <c r="H1279" s="32"/>
    </row>
    <row r="1280" spans="1:8" ht="15.75" hidden="1" customHeight="1">
      <c r="A1280" s="1"/>
      <c r="B1280" s="2"/>
      <c r="C1280" s="1"/>
      <c r="D1280" s="1"/>
      <c r="F1280" s="59"/>
      <c r="G1280" s="32"/>
      <c r="H1280" s="32"/>
    </row>
    <row r="1281" spans="1:8" ht="15.75" hidden="1" customHeight="1">
      <c r="A1281" s="1"/>
      <c r="B1281" s="2"/>
      <c r="C1281" s="1"/>
      <c r="D1281" s="1"/>
      <c r="F1281" s="59"/>
      <c r="G1281" s="32"/>
      <c r="H1281" s="32"/>
    </row>
    <row r="1282" spans="1:8" ht="15.75" hidden="1" customHeight="1">
      <c r="A1282" s="1"/>
      <c r="B1282" s="2"/>
      <c r="C1282" s="1"/>
      <c r="D1282" s="1"/>
      <c r="F1282" s="59"/>
      <c r="G1282" s="32"/>
      <c r="H1282" s="32"/>
    </row>
    <row r="1283" spans="1:8" ht="15.75" hidden="1" customHeight="1">
      <c r="A1283" s="1"/>
      <c r="B1283" s="2"/>
      <c r="C1283" s="1"/>
      <c r="D1283" s="1"/>
      <c r="F1283" s="59"/>
      <c r="G1283" s="32"/>
      <c r="H1283" s="32"/>
    </row>
    <row r="1284" spans="1:8" ht="15.75" hidden="1" customHeight="1">
      <c r="A1284" s="1"/>
      <c r="B1284" s="2"/>
      <c r="C1284" s="1"/>
      <c r="D1284" s="1"/>
      <c r="F1284" s="59"/>
      <c r="G1284" s="32"/>
      <c r="H1284" s="32"/>
    </row>
    <row r="1285" spans="1:8" ht="15.75" hidden="1" customHeight="1">
      <c r="A1285" s="1"/>
      <c r="B1285" s="2"/>
      <c r="C1285" s="1"/>
      <c r="D1285" s="1"/>
      <c r="F1285" s="59"/>
      <c r="G1285" s="32"/>
      <c r="H1285" s="32"/>
    </row>
    <row r="1286" spans="1:8" ht="15.75" hidden="1" customHeight="1">
      <c r="A1286" s="1"/>
      <c r="B1286" s="2"/>
      <c r="C1286" s="1"/>
      <c r="D1286" s="1"/>
      <c r="F1286" s="59"/>
      <c r="G1286" s="32"/>
      <c r="H1286" s="32"/>
    </row>
    <row r="1287" spans="1:8" ht="15.75" hidden="1" customHeight="1">
      <c r="A1287" s="1"/>
      <c r="B1287" s="2"/>
      <c r="C1287" s="1"/>
      <c r="D1287" s="1"/>
      <c r="F1287" s="59"/>
      <c r="G1287" s="32"/>
      <c r="H1287" s="32"/>
    </row>
    <row r="1288" spans="1:8" ht="15.75" hidden="1" customHeight="1">
      <c r="A1288" s="1"/>
      <c r="B1288" s="2"/>
      <c r="C1288" s="1"/>
      <c r="D1288" s="1"/>
      <c r="F1288" s="59"/>
      <c r="G1288" s="32"/>
      <c r="H1288" s="32"/>
    </row>
    <row r="1289" spans="1:8" ht="15.75" hidden="1" customHeight="1">
      <c r="A1289" s="1"/>
      <c r="B1289" s="2"/>
      <c r="C1289" s="1"/>
      <c r="D1289" s="1"/>
      <c r="F1289" s="59"/>
      <c r="G1289" s="32"/>
      <c r="H1289" s="32"/>
    </row>
    <row r="1290" spans="1:8" ht="15.75" hidden="1" customHeight="1">
      <c r="A1290" s="1"/>
      <c r="B1290" s="2"/>
      <c r="C1290" s="1"/>
      <c r="D1290" s="1"/>
      <c r="F1290" s="59"/>
      <c r="G1290" s="32"/>
      <c r="H1290" s="32"/>
    </row>
    <row r="1291" spans="1:8" ht="15.75" hidden="1" customHeight="1">
      <c r="A1291" s="1"/>
      <c r="B1291" s="2"/>
      <c r="C1291" s="1"/>
      <c r="D1291" s="1"/>
      <c r="F1291" s="59"/>
      <c r="G1291" s="32"/>
      <c r="H1291" s="32"/>
    </row>
    <row r="1292" spans="1:8" ht="15.75" hidden="1" customHeight="1">
      <c r="A1292" s="1"/>
      <c r="B1292" s="2"/>
      <c r="C1292" s="1"/>
      <c r="D1292" s="1"/>
      <c r="F1292" s="59"/>
      <c r="G1292" s="32"/>
      <c r="H1292" s="32"/>
    </row>
    <row r="1293" spans="1:8" ht="15.75" hidden="1" customHeight="1">
      <c r="A1293" s="1"/>
      <c r="B1293" s="2"/>
      <c r="C1293" s="1"/>
      <c r="D1293" s="1"/>
      <c r="F1293" s="59"/>
      <c r="G1293" s="32"/>
      <c r="H1293" s="32"/>
    </row>
    <row r="1294" spans="1:8" ht="15.75" hidden="1" customHeight="1">
      <c r="A1294" s="1"/>
      <c r="B1294" s="2"/>
      <c r="C1294" s="1"/>
      <c r="D1294" s="1"/>
      <c r="F1294" s="59"/>
      <c r="G1294" s="32"/>
      <c r="H1294" s="32"/>
    </row>
    <row r="1295" spans="1:8" ht="15.75" hidden="1" customHeight="1">
      <c r="A1295" s="1"/>
      <c r="B1295" s="2"/>
      <c r="C1295" s="1"/>
      <c r="D1295" s="1"/>
      <c r="F1295" s="59"/>
      <c r="G1295" s="32"/>
      <c r="H1295" s="32"/>
    </row>
    <row r="1296" spans="1:8" ht="15.75" hidden="1" customHeight="1">
      <c r="A1296" s="1"/>
      <c r="B1296" s="2"/>
      <c r="C1296" s="1"/>
      <c r="D1296" s="1"/>
      <c r="F1296" s="59"/>
      <c r="G1296" s="32"/>
      <c r="H1296" s="32"/>
    </row>
    <row r="1297" spans="1:8" ht="15.75" hidden="1" customHeight="1">
      <c r="A1297" s="1"/>
      <c r="B1297" s="2"/>
      <c r="C1297" s="1"/>
      <c r="D1297" s="1"/>
      <c r="F1297" s="59"/>
      <c r="G1297" s="32"/>
      <c r="H1297" s="32"/>
    </row>
    <row r="1298" spans="1:8" ht="15.75" hidden="1" customHeight="1">
      <c r="A1298" s="1"/>
      <c r="B1298" s="2"/>
      <c r="C1298" s="1"/>
      <c r="D1298" s="1"/>
      <c r="F1298" s="59"/>
      <c r="G1298" s="32"/>
      <c r="H1298" s="32"/>
    </row>
    <row r="1299" spans="1:8" ht="15.75" hidden="1" customHeight="1">
      <c r="A1299" s="1"/>
      <c r="B1299" s="2"/>
      <c r="C1299" s="1"/>
      <c r="D1299" s="1"/>
      <c r="F1299" s="59"/>
      <c r="G1299" s="32"/>
      <c r="H1299" s="32"/>
    </row>
    <row r="1300" spans="1:8" ht="15.75" hidden="1" customHeight="1">
      <c r="A1300" s="1"/>
      <c r="B1300" s="2"/>
      <c r="C1300" s="1"/>
      <c r="D1300" s="1"/>
      <c r="F1300" s="59"/>
      <c r="G1300" s="32"/>
      <c r="H1300" s="32"/>
    </row>
    <row r="1301" spans="1:8" ht="15.75" hidden="1" customHeight="1">
      <c r="A1301" s="1"/>
      <c r="B1301" s="2"/>
      <c r="C1301" s="1"/>
      <c r="D1301" s="1"/>
      <c r="F1301" s="59"/>
      <c r="G1301" s="32"/>
      <c r="H1301" s="32"/>
    </row>
    <row r="1302" spans="1:8" ht="15.75" hidden="1" customHeight="1">
      <c r="A1302" s="1"/>
      <c r="B1302" s="2"/>
      <c r="C1302" s="1"/>
      <c r="D1302" s="1"/>
      <c r="F1302" s="59"/>
      <c r="G1302" s="32"/>
      <c r="H1302" s="32"/>
    </row>
    <row r="1303" spans="1:8" ht="15.75" hidden="1" customHeight="1">
      <c r="A1303" s="1"/>
      <c r="B1303" s="2"/>
      <c r="C1303" s="1"/>
      <c r="D1303" s="1"/>
      <c r="F1303" s="59"/>
      <c r="G1303" s="32"/>
      <c r="H1303" s="32"/>
    </row>
    <row r="1304" spans="1:8" ht="15.75" hidden="1" customHeight="1">
      <c r="A1304" s="1"/>
      <c r="B1304" s="2"/>
      <c r="C1304" s="1"/>
      <c r="D1304" s="1"/>
      <c r="F1304" s="59"/>
      <c r="G1304" s="32"/>
      <c r="H1304" s="32"/>
    </row>
    <row r="1305" spans="1:8" ht="15.75" hidden="1" customHeight="1">
      <c r="A1305" s="1"/>
      <c r="B1305" s="2"/>
      <c r="C1305" s="1"/>
      <c r="D1305" s="1"/>
      <c r="F1305" s="59"/>
      <c r="G1305" s="32"/>
      <c r="H1305" s="32"/>
    </row>
    <row r="1306" spans="1:8" ht="15.75" hidden="1" customHeight="1">
      <c r="A1306" s="1"/>
      <c r="B1306" s="2"/>
      <c r="C1306" s="1"/>
      <c r="D1306" s="1"/>
      <c r="F1306" s="59"/>
      <c r="G1306" s="32"/>
      <c r="H1306" s="32"/>
    </row>
    <row r="1307" spans="1:8" ht="15.75" hidden="1" customHeight="1">
      <c r="A1307" s="1"/>
      <c r="B1307" s="2"/>
      <c r="C1307" s="1"/>
      <c r="D1307" s="1"/>
      <c r="F1307" s="59"/>
      <c r="G1307" s="32"/>
      <c r="H1307" s="32"/>
    </row>
    <row r="1308" spans="1:8" ht="15.75" hidden="1" customHeight="1">
      <c r="A1308" s="1"/>
      <c r="B1308" s="2"/>
      <c r="C1308" s="1"/>
      <c r="D1308" s="1"/>
      <c r="F1308" s="59"/>
      <c r="G1308" s="32"/>
      <c r="H1308" s="32"/>
    </row>
    <row r="1309" spans="1:8" ht="15.75" hidden="1" customHeight="1">
      <c r="A1309" s="1"/>
      <c r="B1309" s="2"/>
      <c r="C1309" s="1"/>
      <c r="D1309" s="1"/>
      <c r="F1309" s="59"/>
      <c r="G1309" s="32"/>
      <c r="H1309" s="32"/>
    </row>
    <row r="1310" spans="1:8" ht="15.75" hidden="1" customHeight="1">
      <c r="A1310" s="1"/>
      <c r="B1310" s="2"/>
      <c r="C1310" s="1"/>
      <c r="D1310" s="1"/>
      <c r="F1310" s="59"/>
      <c r="G1310" s="32"/>
      <c r="H1310" s="32"/>
    </row>
    <row r="1311" spans="1:8" ht="15.75" hidden="1" customHeight="1">
      <c r="A1311" s="1"/>
      <c r="B1311" s="2"/>
      <c r="C1311" s="1"/>
      <c r="D1311" s="1"/>
      <c r="F1311" s="59"/>
      <c r="G1311" s="32"/>
      <c r="H1311" s="32"/>
    </row>
    <row r="1312" spans="1:8" ht="15.75" hidden="1" customHeight="1">
      <c r="A1312" s="1"/>
      <c r="B1312" s="2"/>
      <c r="C1312" s="1"/>
      <c r="D1312" s="1"/>
      <c r="F1312" s="59"/>
      <c r="G1312" s="32"/>
      <c r="H1312" s="32"/>
    </row>
    <row r="1313" spans="1:8" ht="15.75" hidden="1" customHeight="1">
      <c r="A1313" s="1"/>
      <c r="B1313" s="2"/>
      <c r="C1313" s="1"/>
      <c r="D1313" s="1"/>
      <c r="F1313" s="59"/>
      <c r="G1313" s="32"/>
      <c r="H1313" s="32"/>
    </row>
    <row r="1314" spans="1:8" ht="15.75" hidden="1" customHeight="1">
      <c r="A1314" s="1"/>
      <c r="B1314" s="2"/>
      <c r="C1314" s="1"/>
      <c r="D1314" s="1"/>
      <c r="F1314" s="59"/>
      <c r="G1314" s="32"/>
      <c r="H1314" s="32"/>
    </row>
    <row r="1315" spans="1:8" ht="15.75" hidden="1" customHeight="1">
      <c r="A1315" s="1"/>
      <c r="B1315" s="2"/>
      <c r="C1315" s="1"/>
      <c r="D1315" s="1"/>
      <c r="F1315" s="59"/>
      <c r="G1315" s="32"/>
      <c r="H1315" s="32"/>
    </row>
    <row r="1316" spans="1:8" ht="15.75" hidden="1" customHeight="1">
      <c r="A1316" s="1"/>
      <c r="B1316" s="2"/>
      <c r="C1316" s="1"/>
      <c r="D1316" s="1"/>
      <c r="F1316" s="59"/>
      <c r="G1316" s="32"/>
      <c r="H1316" s="32"/>
    </row>
    <row r="1317" spans="1:8" ht="15.75" hidden="1" customHeight="1">
      <c r="A1317" s="1"/>
      <c r="B1317" s="2"/>
      <c r="C1317" s="1"/>
      <c r="D1317" s="1"/>
      <c r="F1317" s="59"/>
      <c r="G1317" s="32"/>
      <c r="H1317" s="32"/>
    </row>
    <row r="1318" spans="1:8" ht="15.75" hidden="1" customHeight="1">
      <c r="A1318" s="1"/>
      <c r="B1318" s="2"/>
      <c r="C1318" s="1"/>
      <c r="D1318" s="1"/>
      <c r="F1318" s="59"/>
      <c r="G1318" s="32"/>
      <c r="H1318" s="32"/>
    </row>
    <row r="1319" spans="1:8" ht="15.75" hidden="1" customHeight="1">
      <c r="A1319" s="1"/>
      <c r="B1319" s="2"/>
      <c r="C1319" s="1"/>
      <c r="D1319" s="1"/>
      <c r="F1319" s="59"/>
      <c r="G1319" s="32"/>
      <c r="H1319" s="32"/>
    </row>
    <row r="1320" spans="1:8" ht="15.75" hidden="1" customHeight="1">
      <c r="A1320" s="1"/>
      <c r="B1320" s="2"/>
      <c r="C1320" s="1"/>
      <c r="D1320" s="1"/>
      <c r="F1320" s="59"/>
      <c r="G1320" s="32"/>
      <c r="H1320" s="32"/>
    </row>
    <row r="1321" spans="1:8" ht="15.75" hidden="1" customHeight="1">
      <c r="A1321" s="1"/>
      <c r="B1321" s="2"/>
      <c r="C1321" s="1"/>
      <c r="D1321" s="1"/>
      <c r="F1321" s="59"/>
      <c r="G1321" s="32"/>
      <c r="H1321" s="32"/>
    </row>
    <row r="1322" spans="1:8" ht="15.75" hidden="1" customHeight="1">
      <c r="A1322" s="1"/>
      <c r="B1322" s="2"/>
      <c r="C1322" s="1"/>
      <c r="D1322" s="1"/>
      <c r="F1322" s="59"/>
      <c r="G1322" s="32"/>
      <c r="H1322" s="32"/>
    </row>
    <row r="1323" spans="1:8" ht="15.75" hidden="1" customHeight="1">
      <c r="A1323" s="1"/>
      <c r="B1323" s="2"/>
      <c r="C1323" s="1"/>
      <c r="D1323" s="1"/>
      <c r="E1323" s="1"/>
      <c r="F1323" s="59"/>
      <c r="G1323" s="32"/>
      <c r="H1323" s="32"/>
    </row>
    <row r="1324" spans="1:8" ht="15.75" hidden="1" customHeight="1">
      <c r="A1324" s="1"/>
      <c r="B1324" s="2"/>
      <c r="C1324" s="1"/>
      <c r="D1324" s="1"/>
      <c r="E1324" s="1"/>
      <c r="F1324" s="59"/>
      <c r="G1324" s="32"/>
      <c r="H1324" s="32"/>
    </row>
    <row r="1325" spans="1:8" ht="15.75" hidden="1" customHeight="1">
      <c r="A1325" s="1"/>
      <c r="B1325" s="2"/>
      <c r="C1325" s="1"/>
      <c r="D1325" s="1"/>
      <c r="E1325" s="1"/>
      <c r="F1325" s="59"/>
      <c r="G1325" s="32"/>
      <c r="H1325" s="32"/>
    </row>
    <row r="1326" spans="1:8" ht="15.75" hidden="1" customHeight="1">
      <c r="A1326" s="1"/>
      <c r="B1326" s="2"/>
      <c r="C1326" s="1"/>
      <c r="D1326" s="1"/>
      <c r="E1326" s="1"/>
      <c r="F1326" s="59"/>
      <c r="G1326" s="32"/>
      <c r="H1326" s="32"/>
    </row>
    <row r="1327" spans="1:8" ht="15.75" hidden="1" customHeight="1">
      <c r="A1327" s="1"/>
      <c r="B1327" s="2"/>
      <c r="C1327" s="1"/>
      <c r="D1327" s="1"/>
      <c r="E1327" s="1"/>
      <c r="F1327" s="59"/>
      <c r="G1327" s="32"/>
      <c r="H1327" s="32"/>
    </row>
    <row r="1328" spans="1:8" ht="15.75" hidden="1" customHeight="1">
      <c r="A1328" s="1"/>
      <c r="B1328" s="2"/>
      <c r="C1328" s="1"/>
      <c r="D1328" s="1"/>
      <c r="E1328" s="1"/>
      <c r="F1328" s="59"/>
      <c r="G1328" s="32"/>
      <c r="H1328" s="32"/>
    </row>
    <row r="1329" spans="1:8" ht="15.75" hidden="1" customHeight="1">
      <c r="A1329" s="1"/>
      <c r="B1329" s="2"/>
      <c r="C1329" s="1"/>
      <c r="D1329" s="1"/>
      <c r="E1329" s="1"/>
      <c r="F1329" s="59"/>
      <c r="G1329" s="32"/>
      <c r="H1329" s="32"/>
    </row>
    <row r="1330" spans="1:8" ht="15.75" hidden="1" customHeight="1">
      <c r="A1330" s="1"/>
      <c r="B1330" s="2"/>
      <c r="C1330" s="1"/>
      <c r="D1330" s="1"/>
      <c r="E1330" s="1"/>
      <c r="F1330" s="59"/>
      <c r="G1330" s="32"/>
      <c r="H1330" s="32"/>
    </row>
    <row r="1331" spans="1:8" ht="15.75" hidden="1" customHeight="1">
      <c r="A1331" s="1"/>
      <c r="B1331" s="2"/>
      <c r="C1331" s="1"/>
      <c r="D1331" s="1"/>
      <c r="E1331" s="1"/>
      <c r="F1331" s="59"/>
      <c r="G1331" s="32"/>
      <c r="H1331" s="32"/>
    </row>
    <row r="1332" spans="1:8" ht="15.75" hidden="1" customHeight="1">
      <c r="A1332" s="1"/>
      <c r="B1332" s="2"/>
      <c r="C1332" s="1"/>
      <c r="D1332" s="1"/>
      <c r="E1332" s="1"/>
      <c r="F1332" s="59"/>
      <c r="G1332" s="32"/>
      <c r="H1332" s="32"/>
    </row>
    <row r="1333" spans="1:8" ht="15.75" hidden="1" customHeight="1">
      <c r="A1333" s="1"/>
      <c r="B1333" s="2"/>
      <c r="C1333" s="1"/>
      <c r="D1333" s="1"/>
      <c r="E1333" s="1"/>
      <c r="F1333" s="59"/>
      <c r="G1333" s="32"/>
      <c r="H1333" s="32"/>
    </row>
    <row r="1334" spans="1:8" ht="15.75" hidden="1" customHeight="1">
      <c r="A1334" s="1"/>
      <c r="B1334" s="2"/>
      <c r="C1334" s="1"/>
      <c r="D1334" s="1"/>
      <c r="E1334" s="1"/>
      <c r="F1334" s="59"/>
      <c r="G1334" s="32"/>
      <c r="H1334" s="32"/>
    </row>
    <row r="1335" spans="1:8" ht="15.75" hidden="1" customHeight="1">
      <c r="A1335" s="1"/>
      <c r="B1335" s="2"/>
      <c r="C1335" s="1"/>
      <c r="D1335" s="1"/>
      <c r="E1335" s="1"/>
      <c r="F1335" s="59"/>
      <c r="G1335" s="32"/>
      <c r="H1335" s="32"/>
    </row>
    <row r="1336" spans="1:8" ht="15.75" hidden="1" customHeight="1">
      <c r="A1336" s="1"/>
      <c r="B1336" s="2"/>
      <c r="C1336" s="1"/>
      <c r="D1336" s="1"/>
      <c r="E1336" s="1"/>
      <c r="F1336" s="59"/>
      <c r="G1336" s="32"/>
      <c r="H1336" s="32"/>
    </row>
    <row r="1337" spans="1:8" ht="15.75" hidden="1" customHeight="1">
      <c r="A1337" s="1"/>
      <c r="B1337" s="2"/>
      <c r="C1337" s="1"/>
      <c r="D1337" s="1"/>
      <c r="E1337" s="1"/>
      <c r="F1337" s="59"/>
      <c r="G1337" s="32"/>
      <c r="H1337" s="32"/>
    </row>
    <row r="1338" spans="1:8" ht="15.75" hidden="1" customHeight="1">
      <c r="A1338" s="1"/>
      <c r="B1338" s="2"/>
      <c r="C1338" s="1"/>
      <c r="D1338" s="1"/>
      <c r="E1338" s="1"/>
      <c r="F1338" s="59"/>
      <c r="G1338" s="32"/>
      <c r="H1338" s="32"/>
    </row>
    <row r="1339" spans="1:8" ht="15.75" hidden="1" customHeight="1">
      <c r="A1339" s="1"/>
      <c r="B1339" s="2"/>
      <c r="C1339" s="1"/>
      <c r="D1339" s="1"/>
      <c r="E1339" s="1"/>
      <c r="F1339" s="59"/>
      <c r="G1339" s="32"/>
      <c r="H1339" s="32"/>
    </row>
    <row r="1340" spans="1:8" ht="15.75" hidden="1" customHeight="1">
      <c r="A1340" s="1"/>
      <c r="B1340" s="2"/>
      <c r="C1340" s="1"/>
      <c r="D1340" s="1"/>
      <c r="E1340" s="1"/>
      <c r="F1340" s="59"/>
      <c r="G1340" s="32"/>
      <c r="H1340" s="32"/>
    </row>
    <row r="1341" spans="1:8" ht="15.75" hidden="1" customHeight="1">
      <c r="A1341" s="1"/>
      <c r="B1341" s="2"/>
      <c r="C1341" s="1"/>
      <c r="D1341" s="1"/>
      <c r="E1341" s="1"/>
      <c r="F1341" s="59"/>
      <c r="G1341" s="32"/>
      <c r="H1341" s="32"/>
    </row>
    <row r="1342" spans="1:8" ht="15.75" hidden="1" customHeight="1">
      <c r="A1342" s="1"/>
      <c r="B1342" s="2"/>
      <c r="C1342" s="1"/>
      <c r="D1342" s="1"/>
      <c r="E1342" s="1"/>
      <c r="F1342" s="59"/>
      <c r="G1342" s="32"/>
      <c r="H1342" s="32"/>
    </row>
    <row r="1343" spans="1:8" ht="15.75" hidden="1" customHeight="1">
      <c r="A1343" s="1"/>
      <c r="B1343" s="2"/>
      <c r="C1343" s="1"/>
      <c r="D1343" s="1"/>
      <c r="E1343" s="1"/>
      <c r="F1343" s="59"/>
      <c r="G1343" s="32"/>
      <c r="H1343" s="32"/>
    </row>
    <row r="1344" spans="1:8" ht="15.75" hidden="1" customHeight="1">
      <c r="A1344" s="1"/>
      <c r="B1344" s="2"/>
      <c r="C1344" s="1"/>
      <c r="D1344" s="1"/>
      <c r="E1344" s="1"/>
      <c r="F1344" s="59"/>
      <c r="G1344" s="32"/>
      <c r="H1344" s="32"/>
    </row>
    <row r="1345" spans="1:8" ht="15.75" hidden="1" customHeight="1">
      <c r="A1345" s="1"/>
      <c r="B1345" s="2"/>
      <c r="C1345" s="1"/>
      <c r="D1345" s="1"/>
      <c r="E1345" s="1"/>
      <c r="F1345" s="59"/>
      <c r="G1345" s="32"/>
      <c r="H1345" s="32"/>
    </row>
    <row r="1346" spans="1:8" ht="15.75" hidden="1" customHeight="1">
      <c r="A1346" s="1"/>
      <c r="B1346" s="2"/>
      <c r="C1346" s="1"/>
      <c r="D1346" s="1"/>
      <c r="E1346" s="1"/>
      <c r="F1346" s="59"/>
      <c r="G1346" s="32"/>
      <c r="H1346" s="32"/>
    </row>
    <row r="1347" spans="1:8" ht="15.75" hidden="1" customHeight="1">
      <c r="A1347" s="1"/>
      <c r="B1347" s="2"/>
      <c r="C1347" s="1"/>
      <c r="D1347" s="1"/>
      <c r="E1347" s="1"/>
      <c r="F1347" s="59"/>
      <c r="G1347" s="32"/>
      <c r="H1347" s="32"/>
    </row>
    <row r="1348" spans="1:8" ht="15.75" hidden="1" customHeight="1">
      <c r="A1348" s="1"/>
      <c r="B1348" s="2"/>
      <c r="C1348" s="1"/>
      <c r="D1348" s="1"/>
      <c r="E1348" s="1"/>
      <c r="F1348" s="59"/>
      <c r="G1348" s="32"/>
      <c r="H1348" s="32"/>
    </row>
    <row r="1349" spans="1:8" ht="15.75" hidden="1" customHeight="1">
      <c r="A1349" s="1"/>
      <c r="B1349" s="2"/>
      <c r="C1349" s="1"/>
      <c r="D1349" s="1"/>
      <c r="E1349" s="1"/>
      <c r="F1349" s="59"/>
      <c r="G1349" s="32"/>
      <c r="H1349" s="32"/>
    </row>
    <row r="1350" spans="1:8" ht="15.75" hidden="1" customHeight="1">
      <c r="A1350" s="1"/>
      <c r="B1350" s="2"/>
      <c r="C1350" s="1"/>
      <c r="D1350" s="1"/>
      <c r="E1350" s="1"/>
      <c r="F1350" s="59"/>
      <c r="G1350" s="32"/>
      <c r="H1350" s="32"/>
    </row>
    <row r="1351" spans="1:8" ht="15.75" hidden="1" customHeight="1">
      <c r="A1351" s="1"/>
      <c r="B1351" s="2"/>
      <c r="C1351" s="1"/>
      <c r="D1351" s="1"/>
      <c r="E1351" s="1"/>
      <c r="F1351" s="59"/>
      <c r="G1351" s="32"/>
      <c r="H1351" s="32"/>
    </row>
    <row r="1352" spans="1:8" ht="15.75" hidden="1" customHeight="1">
      <c r="A1352" s="1"/>
      <c r="B1352" s="2"/>
      <c r="C1352" s="1"/>
      <c r="D1352" s="1"/>
      <c r="E1352" s="1"/>
      <c r="F1352" s="59"/>
      <c r="G1352" s="32"/>
      <c r="H1352" s="32"/>
    </row>
    <row r="1353" spans="1:8" ht="15.75" hidden="1" customHeight="1">
      <c r="A1353" s="1"/>
      <c r="B1353" s="2"/>
      <c r="C1353" s="1"/>
      <c r="D1353" s="1"/>
      <c r="E1353" s="1"/>
      <c r="F1353" s="59"/>
      <c r="G1353" s="32"/>
      <c r="H1353" s="32"/>
    </row>
    <row r="1354" spans="1:8" ht="15.75" hidden="1" customHeight="1">
      <c r="A1354" s="1"/>
      <c r="B1354" s="2"/>
      <c r="C1354" s="1"/>
      <c r="D1354" s="1"/>
      <c r="E1354" s="1"/>
      <c r="F1354" s="59"/>
      <c r="G1354" s="32"/>
      <c r="H1354" s="32"/>
    </row>
    <row r="1355" spans="1:8" ht="15.75" hidden="1" customHeight="1">
      <c r="A1355" s="1"/>
      <c r="B1355" s="2"/>
      <c r="C1355" s="1"/>
      <c r="D1355" s="1"/>
      <c r="E1355" s="1"/>
      <c r="F1355" s="59"/>
      <c r="G1355" s="32"/>
      <c r="H1355" s="32"/>
    </row>
    <row r="1356" spans="1:8" ht="15.75" hidden="1" customHeight="1">
      <c r="A1356" s="1"/>
      <c r="B1356" s="2"/>
      <c r="C1356" s="1"/>
      <c r="D1356" s="1"/>
      <c r="E1356" s="1"/>
      <c r="F1356" s="59"/>
      <c r="G1356" s="32"/>
      <c r="H1356" s="32"/>
    </row>
    <row r="1357" spans="1:8" ht="15.75" hidden="1" customHeight="1">
      <c r="A1357" s="1"/>
      <c r="B1357" s="2"/>
      <c r="C1357" s="1"/>
      <c r="D1357" s="1"/>
      <c r="E1357" s="1"/>
      <c r="F1357" s="59"/>
      <c r="G1357" s="32"/>
      <c r="H1357" s="32"/>
    </row>
    <row r="1358" spans="1:8" ht="15.75" hidden="1" customHeight="1">
      <c r="A1358" s="1"/>
      <c r="B1358" s="2"/>
      <c r="C1358" s="1"/>
      <c r="D1358" s="1"/>
      <c r="E1358" s="1"/>
      <c r="F1358" s="59"/>
      <c r="G1358" s="32"/>
      <c r="H1358" s="32"/>
    </row>
    <row r="1359" spans="1:8" ht="15.75" hidden="1" customHeight="1">
      <c r="A1359" s="1"/>
      <c r="B1359" s="2"/>
      <c r="C1359" s="1"/>
      <c r="D1359" s="1"/>
      <c r="E1359" s="1"/>
      <c r="F1359" s="59"/>
      <c r="G1359" s="32"/>
      <c r="H1359" s="32"/>
    </row>
    <row r="1360" spans="1:8" ht="15.75" hidden="1" customHeight="1">
      <c r="A1360" s="1"/>
      <c r="B1360" s="2"/>
      <c r="C1360" s="1"/>
      <c r="D1360" s="1"/>
      <c r="E1360" s="1"/>
      <c r="F1360" s="59"/>
      <c r="G1360" s="32"/>
      <c r="H1360" s="32"/>
    </row>
    <row r="1361" spans="1:8" ht="15.75" hidden="1" customHeight="1">
      <c r="A1361" s="1"/>
      <c r="B1361" s="2"/>
      <c r="C1361" s="1"/>
      <c r="D1361" s="1"/>
      <c r="E1361" s="1"/>
      <c r="F1361" s="59"/>
      <c r="G1361" s="32"/>
      <c r="H1361" s="32"/>
    </row>
    <row r="1362" spans="1:8" ht="15.75" hidden="1" customHeight="1">
      <c r="A1362" s="1"/>
      <c r="B1362" s="2"/>
      <c r="C1362" s="1"/>
      <c r="D1362" s="1"/>
      <c r="E1362" s="1"/>
      <c r="F1362" s="59"/>
      <c r="G1362" s="32"/>
      <c r="H1362" s="32"/>
    </row>
    <row r="1363" spans="1:8" ht="15.75" hidden="1" customHeight="1">
      <c r="A1363" s="1"/>
      <c r="B1363" s="2"/>
      <c r="C1363" s="1"/>
      <c r="D1363" s="1"/>
      <c r="E1363" s="1"/>
      <c r="F1363" s="59"/>
      <c r="G1363" s="32"/>
      <c r="H1363" s="32"/>
    </row>
    <row r="1364" spans="1:8" ht="15.75" hidden="1" customHeight="1">
      <c r="A1364" s="1"/>
      <c r="B1364" s="2"/>
      <c r="C1364" s="1"/>
      <c r="D1364" s="1"/>
      <c r="E1364" s="1"/>
      <c r="F1364" s="59"/>
      <c r="G1364" s="32"/>
      <c r="H1364" s="32"/>
    </row>
    <row r="1365" spans="1:8" ht="15.75" hidden="1" customHeight="1">
      <c r="A1365" s="1"/>
      <c r="B1365" s="2"/>
      <c r="C1365" s="1"/>
      <c r="D1365" s="1"/>
      <c r="E1365" s="1"/>
      <c r="F1365" s="59"/>
      <c r="G1365" s="32"/>
      <c r="H1365" s="32"/>
    </row>
    <row r="1366" spans="1:8" ht="15.75" hidden="1" customHeight="1">
      <c r="A1366" s="1"/>
      <c r="B1366" s="2"/>
      <c r="C1366" s="1"/>
      <c r="D1366" s="1"/>
      <c r="E1366" s="1"/>
      <c r="F1366" s="59"/>
      <c r="G1366" s="32"/>
      <c r="H1366" s="32"/>
    </row>
    <row r="1367" spans="1:8" ht="15.75" hidden="1" customHeight="1">
      <c r="A1367" s="1"/>
      <c r="B1367" s="2"/>
      <c r="C1367" s="1"/>
      <c r="D1367" s="1"/>
      <c r="E1367" s="1"/>
      <c r="F1367" s="59"/>
      <c r="G1367" s="32"/>
      <c r="H1367" s="32"/>
    </row>
    <row r="1368" spans="1:8" ht="15.75" hidden="1" customHeight="1">
      <c r="A1368" s="1"/>
      <c r="B1368" s="2"/>
      <c r="C1368" s="1"/>
      <c r="D1368" s="1"/>
      <c r="E1368" s="1"/>
      <c r="F1368" s="59"/>
      <c r="G1368" s="32"/>
      <c r="H1368" s="32"/>
    </row>
    <row r="1369" spans="1:8" ht="15.75" hidden="1" customHeight="1">
      <c r="A1369" s="1"/>
      <c r="B1369" s="2"/>
      <c r="C1369" s="1"/>
      <c r="D1369" s="1"/>
      <c r="E1369" s="1"/>
      <c r="F1369" s="59"/>
      <c r="G1369" s="32"/>
      <c r="H1369" s="32"/>
    </row>
    <row r="1370" spans="1:8" ht="15.75" hidden="1" customHeight="1">
      <c r="A1370" s="1"/>
      <c r="B1370" s="2"/>
      <c r="C1370" s="1"/>
      <c r="D1370" s="1"/>
      <c r="E1370" s="1"/>
      <c r="F1370" s="59"/>
      <c r="G1370" s="32"/>
      <c r="H1370" s="32"/>
    </row>
    <row r="1371" spans="1:8" ht="15.75" hidden="1" customHeight="1">
      <c r="A1371" s="1"/>
      <c r="B1371" s="2"/>
      <c r="C1371" s="1"/>
      <c r="D1371" s="1"/>
      <c r="E1371" s="1"/>
      <c r="F1371" s="59"/>
      <c r="G1371" s="32"/>
      <c r="H1371" s="32"/>
    </row>
    <row r="1372" spans="1:8" ht="15.75" hidden="1" customHeight="1">
      <c r="A1372" s="1"/>
      <c r="B1372" s="2"/>
      <c r="C1372" s="1"/>
      <c r="D1372" s="1"/>
      <c r="E1372" s="1"/>
      <c r="F1372" s="59"/>
      <c r="G1372" s="32"/>
      <c r="H1372" s="32"/>
    </row>
    <row r="1373" spans="1:8" ht="15.75" hidden="1" customHeight="1">
      <c r="A1373" s="1"/>
      <c r="B1373" s="2"/>
      <c r="C1373" s="1"/>
      <c r="D1373" s="1"/>
      <c r="E1373" s="1"/>
      <c r="F1373" s="59"/>
      <c r="G1373" s="32"/>
      <c r="H1373" s="32"/>
    </row>
    <row r="1374" spans="1:8" ht="15.75" hidden="1" customHeight="1">
      <c r="A1374" s="1"/>
      <c r="B1374" s="2"/>
      <c r="C1374" s="1"/>
      <c r="D1374" s="1"/>
      <c r="E1374" s="1"/>
      <c r="F1374" s="59"/>
      <c r="G1374" s="32"/>
      <c r="H1374" s="32"/>
    </row>
    <row r="1375" spans="1:8" ht="15.75" hidden="1" customHeight="1">
      <c r="A1375" s="1"/>
      <c r="B1375" s="2"/>
      <c r="C1375" s="1"/>
      <c r="D1375" s="1"/>
      <c r="E1375" s="1"/>
      <c r="F1375" s="59"/>
      <c r="G1375" s="32"/>
      <c r="H1375" s="32"/>
    </row>
    <row r="1376" spans="1:8" ht="15.75" hidden="1" customHeight="1">
      <c r="A1376" s="1"/>
      <c r="B1376" s="2"/>
      <c r="C1376" s="1"/>
      <c r="D1376" s="1"/>
      <c r="E1376" s="1"/>
      <c r="F1376" s="59"/>
      <c r="G1376" s="32"/>
      <c r="H1376" s="32"/>
    </row>
    <row r="1377" spans="1:8" ht="15.75" hidden="1" customHeight="1">
      <c r="A1377" s="1"/>
      <c r="B1377" s="2"/>
      <c r="C1377" s="1"/>
      <c r="D1377" s="1"/>
      <c r="E1377" s="1"/>
      <c r="F1377" s="59"/>
      <c r="G1377" s="32"/>
      <c r="H1377" s="32"/>
    </row>
    <row r="1378" spans="1:8" ht="15.75" hidden="1" customHeight="1">
      <c r="A1378" s="1"/>
      <c r="B1378" s="2"/>
      <c r="C1378" s="1"/>
      <c r="D1378" s="1"/>
      <c r="E1378" s="1"/>
      <c r="F1378" s="59"/>
      <c r="G1378" s="32"/>
      <c r="H1378" s="32"/>
    </row>
    <row r="1379" spans="1:8" ht="15.75" hidden="1" customHeight="1">
      <c r="A1379" s="1"/>
      <c r="B1379" s="2"/>
      <c r="C1379" s="1"/>
      <c r="D1379" s="1"/>
      <c r="E1379" s="1"/>
      <c r="F1379" s="59"/>
      <c r="G1379" s="32"/>
      <c r="H1379" s="32"/>
    </row>
    <row r="1380" spans="1:8" ht="15.75" hidden="1" customHeight="1">
      <c r="A1380" s="1"/>
      <c r="B1380" s="2"/>
      <c r="C1380" s="1"/>
      <c r="D1380" s="1"/>
      <c r="E1380" s="1"/>
      <c r="F1380" s="59"/>
      <c r="G1380" s="32"/>
      <c r="H1380" s="32"/>
    </row>
    <row r="1381" spans="1:8" ht="15.75" hidden="1" customHeight="1">
      <c r="A1381" s="1"/>
      <c r="B1381" s="2"/>
      <c r="C1381" s="1"/>
      <c r="D1381" s="1"/>
      <c r="E1381" s="1"/>
      <c r="F1381" s="59"/>
      <c r="G1381" s="32"/>
      <c r="H1381" s="32"/>
    </row>
    <row r="1382" spans="1:8" ht="15.75" hidden="1" customHeight="1">
      <c r="A1382" s="1"/>
      <c r="B1382" s="2"/>
      <c r="C1382" s="1"/>
      <c r="D1382" s="1"/>
      <c r="E1382" s="1"/>
      <c r="F1382" s="59"/>
      <c r="G1382" s="32"/>
      <c r="H1382" s="32"/>
    </row>
    <row r="1383" spans="1:8" ht="15.75" hidden="1" customHeight="1">
      <c r="A1383" s="1"/>
      <c r="B1383" s="2"/>
      <c r="C1383" s="1"/>
      <c r="D1383" s="1"/>
      <c r="E1383" s="1"/>
      <c r="F1383" s="59"/>
      <c r="G1383" s="32"/>
      <c r="H1383" s="32"/>
    </row>
    <row r="1384" spans="1:8" ht="15.75" hidden="1" customHeight="1">
      <c r="A1384" s="1"/>
      <c r="B1384" s="2"/>
      <c r="C1384" s="1"/>
      <c r="D1384" s="1"/>
      <c r="E1384" s="1"/>
      <c r="F1384" s="59"/>
      <c r="G1384" s="32"/>
      <c r="H1384" s="32"/>
    </row>
    <row r="1385" spans="1:8" ht="15.75" hidden="1" customHeight="1">
      <c r="A1385" s="1"/>
      <c r="B1385" s="2"/>
      <c r="C1385" s="1"/>
      <c r="D1385" s="1"/>
      <c r="E1385" s="1"/>
      <c r="F1385" s="59"/>
      <c r="G1385" s="32"/>
      <c r="H1385" s="32"/>
    </row>
    <row r="1386" spans="1:8" ht="15.75" hidden="1" customHeight="1">
      <c r="A1386" s="1"/>
      <c r="B1386" s="2"/>
      <c r="C1386" s="1"/>
      <c r="D1386" s="1"/>
      <c r="E1386" s="1"/>
      <c r="F1386" s="59"/>
      <c r="G1386" s="32"/>
      <c r="H1386" s="32"/>
    </row>
    <row r="1387" spans="1:8" ht="15.75" hidden="1" customHeight="1">
      <c r="A1387" s="1"/>
      <c r="B1387" s="2"/>
      <c r="C1387" s="1"/>
      <c r="D1387" s="1"/>
      <c r="E1387" s="1"/>
      <c r="F1387" s="59"/>
      <c r="G1387" s="32"/>
      <c r="H1387" s="32"/>
    </row>
    <row r="1388" spans="1:8" ht="15.75" hidden="1" customHeight="1">
      <c r="A1388" s="1"/>
      <c r="B1388" s="2"/>
      <c r="C1388" s="1"/>
      <c r="D1388" s="1"/>
      <c r="E1388" s="1"/>
      <c r="F1388" s="59"/>
      <c r="G1388" s="32"/>
      <c r="H1388" s="32"/>
    </row>
    <row r="1389" spans="1:8" ht="15.75" hidden="1" customHeight="1">
      <c r="A1389" s="1"/>
      <c r="B1389" s="2"/>
      <c r="C1389" s="1"/>
      <c r="D1389" s="1"/>
      <c r="E1389" s="1"/>
      <c r="F1389" s="59"/>
      <c r="G1389" s="32"/>
      <c r="H1389" s="32"/>
    </row>
    <row r="1390" spans="1:8" ht="15.75" hidden="1" customHeight="1">
      <c r="A1390" s="1"/>
      <c r="B1390" s="2"/>
      <c r="C1390" s="1"/>
      <c r="D1390" s="1"/>
      <c r="E1390" s="1"/>
      <c r="F1390" s="59"/>
      <c r="G1390" s="32"/>
      <c r="H1390" s="32"/>
    </row>
    <row r="1391" spans="1:8" ht="15.75" hidden="1" customHeight="1">
      <c r="A1391" s="1"/>
      <c r="B1391" s="2"/>
      <c r="C1391" s="1"/>
      <c r="D1391" s="1"/>
      <c r="E1391" s="1"/>
      <c r="F1391" s="59"/>
      <c r="G1391" s="32"/>
      <c r="H1391" s="32"/>
    </row>
    <row r="1392" spans="1:8" ht="15.75" hidden="1" customHeight="1">
      <c r="A1392" s="1"/>
      <c r="B1392" s="2"/>
      <c r="C1392" s="1"/>
      <c r="D1392" s="1"/>
      <c r="E1392" s="1"/>
      <c r="F1392" s="59"/>
      <c r="G1392" s="32"/>
      <c r="H1392" s="32"/>
    </row>
    <row r="1393" spans="1:8" ht="15.75" hidden="1" customHeight="1">
      <c r="A1393" s="1"/>
      <c r="B1393" s="2"/>
      <c r="C1393" s="1"/>
      <c r="D1393" s="1"/>
      <c r="E1393" s="1"/>
      <c r="F1393" s="59"/>
      <c r="G1393" s="32"/>
      <c r="H1393" s="32"/>
    </row>
    <row r="1394" spans="1:8" ht="15.75" hidden="1" customHeight="1">
      <c r="A1394" s="1"/>
      <c r="B1394" s="2"/>
      <c r="C1394" s="1"/>
      <c r="D1394" s="1"/>
      <c r="E1394" s="1"/>
      <c r="F1394" s="59"/>
      <c r="G1394" s="32"/>
      <c r="H1394" s="32"/>
    </row>
    <row r="1395" spans="1:8" ht="15.75" hidden="1" customHeight="1">
      <c r="A1395" s="1"/>
      <c r="B1395" s="2"/>
      <c r="C1395" s="1"/>
      <c r="D1395" s="1"/>
      <c r="E1395" s="1"/>
      <c r="F1395" s="59"/>
      <c r="G1395" s="32"/>
      <c r="H1395" s="32"/>
    </row>
    <row r="1396" spans="1:8" ht="15.75" hidden="1" customHeight="1">
      <c r="A1396" s="1"/>
      <c r="B1396" s="2"/>
      <c r="C1396" s="1"/>
      <c r="D1396" s="1"/>
      <c r="E1396" s="1"/>
      <c r="F1396" s="59"/>
      <c r="G1396" s="32"/>
      <c r="H1396" s="32"/>
    </row>
    <row r="1397" spans="1:8" ht="15.75" hidden="1" customHeight="1">
      <c r="A1397" s="1"/>
      <c r="B1397" s="2"/>
      <c r="C1397" s="1"/>
      <c r="D1397" s="1"/>
      <c r="E1397" s="1"/>
      <c r="F1397" s="59"/>
      <c r="G1397" s="32"/>
      <c r="H1397" s="32"/>
    </row>
    <row r="1398" spans="1:8" ht="15.75" hidden="1" customHeight="1">
      <c r="A1398" s="1"/>
      <c r="B1398" s="2"/>
      <c r="C1398" s="1"/>
      <c r="D1398" s="1"/>
      <c r="E1398" s="1"/>
      <c r="F1398" s="59"/>
      <c r="G1398" s="32"/>
      <c r="H1398" s="32"/>
    </row>
    <row r="1399" spans="1:8" ht="15.75" hidden="1" customHeight="1">
      <c r="A1399" s="1"/>
      <c r="B1399" s="2"/>
      <c r="C1399" s="1"/>
      <c r="D1399" s="1"/>
      <c r="E1399" s="1"/>
      <c r="F1399" s="59"/>
      <c r="G1399" s="32"/>
      <c r="H1399" s="32"/>
    </row>
    <row r="1400" spans="1:8" ht="15.75" hidden="1" customHeight="1">
      <c r="A1400" s="1"/>
      <c r="B1400" s="2"/>
      <c r="C1400" s="1"/>
      <c r="D1400" s="1"/>
      <c r="E1400" s="1"/>
      <c r="F1400" s="59"/>
      <c r="G1400" s="32"/>
      <c r="H1400" s="32"/>
    </row>
    <row r="1401" spans="1:8" ht="15.75" hidden="1" customHeight="1">
      <c r="A1401" s="1"/>
      <c r="B1401" s="2"/>
      <c r="C1401" s="1"/>
      <c r="D1401" s="1"/>
      <c r="E1401" s="1"/>
      <c r="F1401" s="59"/>
      <c r="G1401" s="32"/>
      <c r="H1401" s="32"/>
    </row>
    <row r="1402" spans="1:8" ht="15.75" hidden="1" customHeight="1">
      <c r="A1402" s="1"/>
      <c r="B1402" s="2"/>
      <c r="C1402" s="1"/>
      <c r="D1402" s="1"/>
      <c r="E1402" s="1"/>
      <c r="F1402" s="59"/>
      <c r="G1402" s="32"/>
      <c r="H1402" s="32"/>
    </row>
    <row r="1403" spans="1:8" ht="15.75" hidden="1" customHeight="1">
      <c r="A1403" s="1"/>
      <c r="B1403" s="2"/>
      <c r="C1403" s="1"/>
      <c r="D1403" s="1"/>
      <c r="E1403" s="1"/>
      <c r="F1403" s="59"/>
      <c r="G1403" s="32"/>
      <c r="H1403" s="32"/>
    </row>
    <row r="1404" spans="1:8" ht="15.75" hidden="1" customHeight="1">
      <c r="A1404" s="1"/>
      <c r="B1404" s="2"/>
      <c r="C1404" s="1"/>
      <c r="D1404" s="1"/>
      <c r="E1404" s="1"/>
      <c r="F1404" s="59"/>
      <c r="G1404" s="32"/>
      <c r="H1404" s="32"/>
    </row>
    <row r="1405" spans="1:8" ht="15.75" hidden="1" customHeight="1">
      <c r="A1405" s="1"/>
      <c r="B1405" s="2"/>
      <c r="C1405" s="1"/>
      <c r="D1405" s="1"/>
      <c r="E1405" s="1"/>
      <c r="F1405" s="59"/>
      <c r="G1405" s="32"/>
      <c r="H1405" s="32"/>
    </row>
    <row r="1406" spans="1:8" ht="15.75" hidden="1" customHeight="1">
      <c r="A1406" s="1"/>
      <c r="B1406" s="2"/>
      <c r="C1406" s="1"/>
      <c r="D1406" s="1"/>
      <c r="E1406" s="1"/>
      <c r="F1406" s="59"/>
      <c r="G1406" s="32"/>
      <c r="H1406" s="32"/>
    </row>
    <row r="1407" spans="1:8" ht="15.75" hidden="1" customHeight="1">
      <c r="A1407" s="1"/>
      <c r="B1407" s="2"/>
      <c r="C1407" s="1"/>
      <c r="D1407" s="1"/>
      <c r="E1407" s="1"/>
      <c r="F1407" s="59"/>
      <c r="G1407" s="32"/>
      <c r="H1407" s="32"/>
    </row>
    <row r="1408" spans="1:8" ht="15.75" hidden="1" customHeight="1">
      <c r="A1408" s="1"/>
      <c r="B1408" s="2"/>
      <c r="C1408" s="1"/>
      <c r="D1408" s="1"/>
      <c r="E1408" s="1"/>
      <c r="F1408" s="59"/>
      <c r="G1408" s="32"/>
      <c r="H1408" s="32"/>
    </row>
    <row r="1409" spans="1:8" ht="15.75" hidden="1" customHeight="1">
      <c r="A1409" s="1"/>
      <c r="B1409" s="2"/>
      <c r="C1409" s="1"/>
      <c r="D1409" s="1"/>
      <c r="E1409" s="1"/>
      <c r="F1409" s="59"/>
      <c r="G1409" s="32"/>
      <c r="H1409" s="32"/>
    </row>
    <row r="1410" spans="1:8" ht="15.75" hidden="1" customHeight="1">
      <c r="A1410" s="1"/>
      <c r="B1410" s="2"/>
      <c r="C1410" s="1"/>
      <c r="D1410" s="1"/>
      <c r="E1410" s="1"/>
      <c r="F1410" s="59"/>
      <c r="G1410" s="32"/>
      <c r="H1410" s="32"/>
    </row>
    <row r="1411" spans="1:8" ht="15.75" hidden="1" customHeight="1">
      <c r="A1411" s="1"/>
      <c r="B1411" s="2"/>
      <c r="C1411" s="1"/>
      <c r="D1411" s="1"/>
      <c r="E1411" s="1"/>
      <c r="F1411" s="59"/>
      <c r="G1411" s="32"/>
      <c r="H1411" s="32"/>
    </row>
    <row r="1412" spans="1:8" ht="15.75" hidden="1" customHeight="1">
      <c r="A1412" s="1"/>
      <c r="B1412" s="2"/>
      <c r="C1412" s="1"/>
      <c r="D1412" s="1"/>
      <c r="E1412" s="1"/>
      <c r="F1412" s="59"/>
      <c r="G1412" s="32"/>
      <c r="H1412" s="32"/>
    </row>
    <row r="1413" spans="1:8" ht="15.75" hidden="1" customHeight="1">
      <c r="A1413" s="1"/>
      <c r="B1413" s="2"/>
      <c r="C1413" s="1"/>
      <c r="D1413" s="1"/>
      <c r="E1413" s="1"/>
      <c r="F1413" s="59"/>
      <c r="G1413" s="32"/>
      <c r="H1413" s="32"/>
    </row>
    <row r="1414" spans="1:8" ht="15.75" hidden="1" customHeight="1">
      <c r="A1414" s="1"/>
      <c r="B1414" s="2"/>
      <c r="C1414" s="1"/>
      <c r="D1414" s="1"/>
      <c r="E1414" s="1"/>
      <c r="F1414" s="59"/>
      <c r="G1414" s="32"/>
      <c r="H1414" s="32"/>
    </row>
    <row r="1415" spans="1:8" ht="15.75" hidden="1" customHeight="1">
      <c r="A1415" s="1"/>
      <c r="B1415" s="2"/>
      <c r="C1415" s="1"/>
      <c r="D1415" s="1"/>
      <c r="E1415" s="1"/>
      <c r="F1415" s="59"/>
      <c r="G1415" s="32"/>
      <c r="H1415" s="32"/>
    </row>
    <row r="1416" spans="1:8" ht="15.75" hidden="1" customHeight="1">
      <c r="A1416" s="1"/>
      <c r="B1416" s="2"/>
      <c r="C1416" s="1"/>
      <c r="D1416" s="1"/>
      <c r="E1416" s="1"/>
      <c r="F1416" s="59"/>
      <c r="G1416" s="32"/>
      <c r="H1416" s="32"/>
    </row>
    <row r="1417" spans="1:8" ht="15.75" hidden="1" customHeight="1">
      <c r="A1417" s="1"/>
      <c r="B1417" s="2"/>
      <c r="C1417" s="1"/>
      <c r="D1417" s="1"/>
      <c r="E1417" s="1"/>
      <c r="F1417" s="59"/>
      <c r="G1417" s="32"/>
      <c r="H1417" s="32"/>
    </row>
    <row r="1418" spans="1:8" ht="15.75" hidden="1" customHeight="1">
      <c r="A1418" s="1"/>
      <c r="B1418" s="2"/>
      <c r="C1418" s="1"/>
      <c r="D1418" s="1"/>
      <c r="E1418" s="1"/>
      <c r="F1418" s="59"/>
      <c r="G1418" s="32"/>
      <c r="H1418" s="32"/>
    </row>
    <row r="1419" spans="1:8" ht="15.75" hidden="1" customHeight="1">
      <c r="A1419" s="1"/>
      <c r="B1419" s="2"/>
      <c r="C1419" s="1"/>
      <c r="D1419" s="1"/>
      <c r="E1419" s="1"/>
      <c r="F1419" s="59"/>
      <c r="G1419" s="32"/>
      <c r="H1419" s="32"/>
    </row>
    <row r="1420" spans="1:8" ht="15.75" hidden="1" customHeight="1">
      <c r="A1420" s="1"/>
      <c r="B1420" s="2"/>
      <c r="C1420" s="1"/>
      <c r="D1420" s="1"/>
      <c r="E1420" s="1"/>
      <c r="F1420" s="59"/>
      <c r="G1420" s="32"/>
      <c r="H1420" s="32"/>
    </row>
    <row r="1421" spans="1:8" ht="15.75" hidden="1" customHeight="1">
      <c r="A1421" s="1"/>
      <c r="B1421" s="2"/>
      <c r="C1421" s="1"/>
      <c r="D1421" s="1"/>
      <c r="E1421" s="1"/>
      <c r="F1421" s="59"/>
      <c r="G1421" s="32"/>
      <c r="H1421" s="32"/>
    </row>
    <row r="1422" spans="1:8" ht="15.75" hidden="1" customHeight="1">
      <c r="A1422" s="1"/>
      <c r="B1422" s="2"/>
      <c r="C1422" s="1"/>
      <c r="D1422" s="1"/>
      <c r="E1422" s="1"/>
      <c r="F1422" s="59"/>
      <c r="G1422" s="32"/>
      <c r="H1422" s="32"/>
    </row>
    <row r="1423" spans="1:8" ht="15.75" hidden="1" customHeight="1">
      <c r="A1423" s="1"/>
      <c r="B1423" s="2"/>
      <c r="C1423" s="1"/>
      <c r="D1423" s="1"/>
      <c r="E1423" s="1"/>
      <c r="F1423" s="59"/>
      <c r="G1423" s="32"/>
      <c r="H1423" s="32"/>
    </row>
    <row r="1424" spans="1:8" ht="15.75" hidden="1" customHeight="1">
      <c r="A1424" s="1"/>
      <c r="B1424" s="2"/>
      <c r="C1424" s="1"/>
      <c r="D1424" s="1"/>
      <c r="E1424" s="1"/>
      <c r="F1424" s="59"/>
      <c r="G1424" s="32"/>
      <c r="H1424" s="32"/>
    </row>
    <row r="1425" spans="1:8" ht="15.75" hidden="1" customHeight="1">
      <c r="A1425" s="1"/>
      <c r="B1425" s="2"/>
      <c r="C1425" s="1"/>
      <c r="D1425" s="1"/>
      <c r="E1425" s="1"/>
      <c r="F1425" s="59"/>
      <c r="G1425" s="32"/>
      <c r="H1425" s="32"/>
    </row>
    <row r="1426" spans="1:8" ht="15.75" hidden="1" customHeight="1">
      <c r="A1426" s="1"/>
      <c r="B1426" s="2"/>
      <c r="C1426" s="1"/>
      <c r="D1426" s="1"/>
      <c r="E1426" s="1"/>
      <c r="F1426" s="59"/>
      <c r="G1426" s="32"/>
      <c r="H1426" s="32"/>
    </row>
    <row r="1427" spans="1:8" ht="15.75" hidden="1" customHeight="1">
      <c r="A1427" s="1"/>
      <c r="B1427" s="2"/>
      <c r="C1427" s="1"/>
      <c r="D1427" s="1"/>
      <c r="E1427" s="1"/>
      <c r="F1427" s="59"/>
      <c r="G1427" s="32"/>
      <c r="H1427" s="32"/>
    </row>
    <row r="1428" spans="1:8" ht="15.75" hidden="1" customHeight="1">
      <c r="A1428" s="1"/>
      <c r="B1428" s="2"/>
      <c r="C1428" s="1"/>
      <c r="D1428" s="1"/>
      <c r="E1428" s="1"/>
      <c r="F1428" s="59"/>
      <c r="G1428" s="32"/>
      <c r="H1428" s="32"/>
    </row>
    <row r="1429" spans="1:8" ht="15.75" hidden="1" customHeight="1">
      <c r="A1429" s="1"/>
      <c r="B1429" s="2"/>
      <c r="C1429" s="1"/>
      <c r="D1429" s="1"/>
      <c r="E1429" s="1"/>
      <c r="F1429" s="59"/>
      <c r="G1429" s="32"/>
      <c r="H1429" s="32"/>
    </row>
    <row r="1430" spans="1:8" ht="15.75" hidden="1" customHeight="1">
      <c r="A1430" s="1"/>
      <c r="B1430" s="2"/>
      <c r="C1430" s="1"/>
      <c r="D1430" s="1"/>
      <c r="E1430" s="1"/>
      <c r="F1430" s="59"/>
      <c r="G1430" s="32"/>
      <c r="H1430" s="32"/>
    </row>
    <row r="1431" spans="1:8" ht="15.75" hidden="1" customHeight="1">
      <c r="A1431" s="1"/>
      <c r="B1431" s="2"/>
      <c r="C1431" s="1"/>
      <c r="D1431" s="1"/>
      <c r="E1431" s="1"/>
      <c r="F1431" s="59"/>
      <c r="G1431" s="32"/>
      <c r="H1431" s="32"/>
    </row>
    <row r="1432" spans="1:8" ht="15.75" hidden="1" customHeight="1">
      <c r="A1432" s="1"/>
      <c r="B1432" s="2"/>
      <c r="C1432" s="1"/>
      <c r="D1432" s="1"/>
      <c r="E1432" s="1"/>
      <c r="F1432" s="59"/>
      <c r="G1432" s="32"/>
      <c r="H1432" s="32"/>
    </row>
    <row r="1433" spans="1:8" ht="15.75" hidden="1" customHeight="1">
      <c r="A1433" s="1"/>
      <c r="B1433" s="2"/>
      <c r="C1433" s="1"/>
      <c r="D1433" s="1"/>
      <c r="E1433" s="1"/>
      <c r="F1433" s="59"/>
      <c r="G1433" s="32"/>
      <c r="H1433" s="32"/>
    </row>
    <row r="1434" spans="1:8" ht="15.75" hidden="1" customHeight="1">
      <c r="A1434" s="1"/>
      <c r="B1434" s="2"/>
      <c r="C1434" s="1"/>
      <c r="D1434" s="1"/>
      <c r="E1434" s="1"/>
      <c r="F1434" s="59"/>
      <c r="G1434" s="32"/>
      <c r="H1434" s="32"/>
    </row>
    <row r="1435" spans="1:8" ht="15.75" hidden="1" customHeight="1">
      <c r="A1435" s="1"/>
      <c r="B1435" s="2"/>
      <c r="C1435" s="1"/>
      <c r="D1435" s="1"/>
      <c r="E1435" s="1"/>
      <c r="F1435" s="59"/>
      <c r="G1435" s="32"/>
      <c r="H1435" s="32"/>
    </row>
    <row r="1436" spans="1:8" ht="15.75" hidden="1" customHeight="1">
      <c r="A1436" s="1"/>
      <c r="B1436" s="2"/>
      <c r="C1436" s="1"/>
      <c r="D1436" s="1"/>
      <c r="E1436" s="1"/>
      <c r="F1436" s="59"/>
      <c r="G1436" s="32"/>
      <c r="H1436" s="32"/>
    </row>
    <row r="1437" spans="1:8" ht="15.75" hidden="1" customHeight="1">
      <c r="A1437" s="1"/>
      <c r="B1437" s="2"/>
      <c r="C1437" s="1"/>
      <c r="D1437" s="1"/>
      <c r="E1437" s="1"/>
      <c r="F1437" s="59"/>
      <c r="G1437" s="32"/>
      <c r="H1437" s="32"/>
    </row>
    <row r="1438" spans="1:8" ht="15.75" hidden="1" customHeight="1">
      <c r="A1438" s="1"/>
      <c r="B1438" s="2"/>
      <c r="C1438" s="1"/>
      <c r="D1438" s="1"/>
      <c r="E1438" s="1"/>
      <c r="F1438" s="59"/>
      <c r="G1438" s="32"/>
      <c r="H1438" s="32"/>
    </row>
    <row r="1439" spans="1:8" ht="15.75" hidden="1" customHeight="1">
      <c r="A1439" s="1"/>
      <c r="B1439" s="2"/>
      <c r="C1439" s="1"/>
      <c r="D1439" s="1"/>
      <c r="E1439" s="1"/>
      <c r="F1439" s="59"/>
      <c r="G1439" s="32"/>
      <c r="H1439" s="32"/>
    </row>
    <row r="1440" spans="1:8" ht="15.75" hidden="1" customHeight="1">
      <c r="A1440" s="1"/>
      <c r="B1440" s="2"/>
      <c r="C1440" s="1"/>
      <c r="D1440" s="1"/>
      <c r="E1440" s="1"/>
      <c r="F1440" s="59"/>
      <c r="G1440" s="32"/>
      <c r="H1440" s="32"/>
    </row>
    <row r="1441" spans="1:8" ht="15.75" hidden="1" customHeight="1">
      <c r="A1441" s="1"/>
      <c r="B1441" s="2"/>
      <c r="C1441" s="1"/>
      <c r="D1441" s="1"/>
      <c r="E1441" s="1"/>
      <c r="F1441" s="59"/>
      <c r="G1441" s="32"/>
      <c r="H1441" s="32"/>
    </row>
    <row r="1442" spans="1:8" ht="15.75" hidden="1" customHeight="1">
      <c r="A1442" s="1"/>
      <c r="B1442" s="2"/>
      <c r="C1442" s="1"/>
      <c r="D1442" s="1"/>
      <c r="E1442" s="1"/>
      <c r="F1442" s="59"/>
      <c r="G1442" s="32"/>
      <c r="H1442" s="32"/>
    </row>
    <row r="1443" spans="1:8" ht="15.75" hidden="1" customHeight="1">
      <c r="A1443" s="1"/>
      <c r="B1443" s="2"/>
      <c r="C1443" s="1"/>
      <c r="D1443" s="1"/>
      <c r="E1443" s="1"/>
      <c r="F1443" s="59"/>
      <c r="G1443" s="32"/>
      <c r="H1443" s="32"/>
    </row>
    <row r="1444" spans="1:8" ht="15.75" hidden="1" customHeight="1">
      <c r="A1444" s="1"/>
      <c r="B1444" s="2"/>
      <c r="C1444" s="1"/>
      <c r="D1444" s="1"/>
      <c r="E1444" s="1"/>
      <c r="F1444" s="59"/>
      <c r="G1444" s="32"/>
      <c r="H1444" s="32"/>
    </row>
    <row r="1445" spans="1:8" ht="15.75" hidden="1" customHeight="1">
      <c r="A1445" s="1"/>
      <c r="B1445" s="2"/>
      <c r="C1445" s="1"/>
      <c r="D1445" s="1"/>
      <c r="E1445" s="1"/>
      <c r="F1445" s="59"/>
      <c r="G1445" s="32"/>
      <c r="H1445" s="32"/>
    </row>
    <row r="1446" spans="1:8" ht="15.75" hidden="1" customHeight="1">
      <c r="A1446" s="1"/>
      <c r="B1446" s="2"/>
      <c r="C1446" s="1"/>
      <c r="D1446" s="1"/>
      <c r="E1446" s="1"/>
      <c r="F1446" s="59"/>
      <c r="G1446" s="32"/>
      <c r="H1446" s="32"/>
    </row>
    <row r="1447" spans="1:8" ht="15.75" hidden="1" customHeight="1">
      <c r="A1447" s="1"/>
      <c r="B1447" s="2"/>
      <c r="C1447" s="1"/>
      <c r="D1447" s="1"/>
      <c r="E1447" s="1"/>
      <c r="F1447" s="59"/>
      <c r="G1447" s="32"/>
      <c r="H1447" s="32"/>
    </row>
    <row r="1448" spans="1:8" ht="15.75" hidden="1" customHeight="1">
      <c r="A1448" s="1"/>
      <c r="B1448" s="2"/>
      <c r="C1448" s="1"/>
      <c r="D1448" s="1"/>
      <c r="E1448" s="1"/>
      <c r="F1448" s="59"/>
      <c r="G1448" s="32"/>
      <c r="H1448" s="32"/>
    </row>
    <row r="1449" spans="1:8" ht="15.75" hidden="1" customHeight="1">
      <c r="A1449" s="1"/>
      <c r="B1449" s="2"/>
      <c r="C1449" s="1"/>
      <c r="D1449" s="1"/>
      <c r="E1449" s="1"/>
      <c r="F1449" s="59"/>
      <c r="G1449" s="32"/>
      <c r="H1449" s="32"/>
    </row>
    <row r="1450" spans="1:8" ht="15.75" hidden="1" customHeight="1">
      <c r="A1450" s="1"/>
      <c r="B1450" s="2"/>
      <c r="C1450" s="1"/>
      <c r="D1450" s="1"/>
      <c r="E1450" s="1"/>
      <c r="F1450" s="59"/>
      <c r="G1450" s="32"/>
      <c r="H1450" s="32"/>
    </row>
    <row r="1451" spans="1:8" ht="15.75" hidden="1" customHeight="1">
      <c r="A1451" s="1"/>
      <c r="B1451" s="2"/>
      <c r="C1451" s="1"/>
      <c r="D1451" s="1"/>
      <c r="E1451" s="1"/>
      <c r="F1451" s="59"/>
      <c r="G1451" s="32"/>
      <c r="H1451" s="32"/>
    </row>
    <row r="1452" spans="1:8" ht="15.75" hidden="1" customHeight="1">
      <c r="A1452" s="1"/>
      <c r="B1452" s="2"/>
      <c r="C1452" s="1"/>
      <c r="D1452" s="1"/>
      <c r="E1452" s="1"/>
      <c r="F1452" s="59"/>
      <c r="G1452" s="32"/>
      <c r="H1452" s="32"/>
    </row>
    <row r="1453" spans="1:8" ht="15.75" hidden="1" customHeight="1">
      <c r="A1453" s="1"/>
      <c r="B1453" s="2"/>
      <c r="C1453" s="1"/>
      <c r="D1453" s="1"/>
      <c r="E1453" s="1"/>
      <c r="F1453" s="59"/>
      <c r="G1453" s="32"/>
      <c r="H1453" s="32"/>
    </row>
    <row r="1454" spans="1:8" ht="15.75" hidden="1" customHeight="1">
      <c r="A1454" s="1"/>
      <c r="B1454" s="2"/>
      <c r="C1454" s="1"/>
      <c r="D1454" s="1"/>
      <c r="E1454" s="1"/>
      <c r="F1454" s="59"/>
      <c r="G1454" s="32"/>
      <c r="H1454" s="32"/>
    </row>
    <row r="1455" spans="1:8" ht="15.75" hidden="1" customHeight="1">
      <c r="A1455" s="1"/>
      <c r="B1455" s="2"/>
      <c r="C1455" s="1"/>
      <c r="D1455" s="1"/>
      <c r="E1455" s="1"/>
      <c r="F1455" s="59"/>
      <c r="G1455" s="32"/>
      <c r="H1455" s="32"/>
    </row>
    <row r="1456" spans="1:8" ht="15.75" hidden="1" customHeight="1">
      <c r="A1456" s="1"/>
      <c r="B1456" s="2"/>
      <c r="C1456" s="1"/>
      <c r="D1456" s="1"/>
      <c r="E1456" s="1"/>
      <c r="F1456" s="59"/>
      <c r="G1456" s="32"/>
      <c r="H1456" s="32"/>
    </row>
    <row r="1457" spans="1:8" ht="15.75" hidden="1" customHeight="1">
      <c r="A1457" s="1"/>
      <c r="B1457" s="2"/>
      <c r="C1457" s="1"/>
      <c r="D1457" s="1"/>
      <c r="E1457" s="1"/>
      <c r="F1457" s="59"/>
      <c r="G1457" s="32"/>
      <c r="H1457" s="32"/>
    </row>
    <row r="1458" spans="1:8" ht="15.75" hidden="1" customHeight="1">
      <c r="A1458" s="1"/>
      <c r="B1458" s="2"/>
      <c r="C1458" s="1"/>
      <c r="D1458" s="1"/>
      <c r="E1458" s="1"/>
      <c r="F1458" s="59"/>
      <c r="G1458" s="32"/>
      <c r="H1458" s="32"/>
    </row>
    <row r="1459" spans="1:8" ht="15.75" hidden="1" customHeight="1">
      <c r="A1459" s="1"/>
      <c r="B1459" s="2"/>
      <c r="C1459" s="1"/>
      <c r="D1459" s="1"/>
      <c r="E1459" s="1"/>
      <c r="F1459" s="59"/>
      <c r="G1459" s="32"/>
      <c r="H1459" s="32"/>
    </row>
    <row r="1460" spans="1:8" ht="15.75" hidden="1" customHeight="1">
      <c r="A1460" s="1"/>
      <c r="B1460" s="2"/>
      <c r="C1460" s="1"/>
      <c r="D1460" s="1"/>
      <c r="E1460" s="1"/>
      <c r="F1460" s="59"/>
      <c r="G1460" s="32"/>
      <c r="H1460" s="32"/>
    </row>
    <row r="1461" spans="1:8" ht="15.75" hidden="1" customHeight="1">
      <c r="A1461" s="1"/>
      <c r="B1461" s="2"/>
      <c r="C1461" s="1"/>
      <c r="D1461" s="1"/>
      <c r="E1461" s="1"/>
      <c r="F1461" s="59"/>
      <c r="G1461" s="32"/>
      <c r="H1461" s="32"/>
    </row>
    <row r="1462" spans="1:8" ht="15.75" hidden="1" customHeight="1">
      <c r="A1462" s="1"/>
      <c r="B1462" s="2"/>
      <c r="C1462" s="1"/>
      <c r="D1462" s="1"/>
      <c r="E1462" s="1"/>
      <c r="F1462" s="59"/>
      <c r="G1462" s="32"/>
      <c r="H1462" s="32"/>
    </row>
    <row r="1463" spans="1:8" ht="15.75" hidden="1" customHeight="1">
      <c r="A1463" s="1"/>
      <c r="B1463" s="2"/>
      <c r="C1463" s="1"/>
      <c r="D1463" s="1"/>
      <c r="E1463" s="1"/>
      <c r="F1463" s="59"/>
      <c r="G1463" s="32"/>
      <c r="H1463" s="32"/>
    </row>
    <row r="1464" spans="1:8" ht="15.75" hidden="1" customHeight="1">
      <c r="A1464" s="1"/>
      <c r="B1464" s="2"/>
      <c r="C1464" s="1"/>
      <c r="D1464" s="1"/>
      <c r="E1464" s="1"/>
      <c r="F1464" s="59"/>
      <c r="G1464" s="32"/>
      <c r="H1464" s="32"/>
    </row>
    <row r="1465" spans="1:8" ht="15.75" hidden="1" customHeight="1">
      <c r="A1465" s="1"/>
      <c r="B1465" s="2"/>
      <c r="C1465" s="1"/>
      <c r="D1465" s="1"/>
      <c r="E1465" s="1"/>
      <c r="F1465" s="59"/>
      <c r="G1465" s="32"/>
      <c r="H1465" s="32"/>
    </row>
    <row r="1466" spans="1:8" ht="15.75" hidden="1" customHeight="1">
      <c r="A1466" s="1"/>
      <c r="B1466" s="2"/>
      <c r="C1466" s="1"/>
      <c r="D1466" s="1"/>
      <c r="E1466" s="1"/>
      <c r="F1466" s="59"/>
      <c r="G1466" s="32"/>
      <c r="H1466" s="32"/>
    </row>
    <row r="1467" spans="1:8" ht="15.75" hidden="1" customHeight="1">
      <c r="A1467" s="1"/>
      <c r="B1467" s="2"/>
      <c r="C1467" s="1"/>
      <c r="D1467" s="1"/>
      <c r="E1467" s="1"/>
      <c r="F1467" s="59"/>
      <c r="G1467" s="32"/>
      <c r="H1467" s="32"/>
    </row>
    <row r="1468" spans="1:8" ht="15.75" hidden="1" customHeight="1">
      <c r="A1468" s="1"/>
      <c r="B1468" s="2"/>
      <c r="C1468" s="1"/>
      <c r="D1468" s="1"/>
      <c r="E1468" s="1"/>
      <c r="F1468" s="59"/>
      <c r="G1468" s="32"/>
      <c r="H1468" s="32"/>
    </row>
    <row r="1469" spans="1:8" ht="15.75" hidden="1" customHeight="1">
      <c r="A1469" s="1"/>
      <c r="B1469" s="2"/>
      <c r="C1469" s="1"/>
      <c r="D1469" s="1"/>
      <c r="E1469" s="1"/>
      <c r="F1469" s="59"/>
      <c r="G1469" s="32"/>
      <c r="H1469" s="32"/>
    </row>
    <row r="1470" spans="1:8" ht="15.75" hidden="1" customHeight="1">
      <c r="A1470" s="1"/>
      <c r="B1470" s="2"/>
      <c r="C1470" s="1"/>
      <c r="D1470" s="1"/>
      <c r="E1470" s="1"/>
      <c r="F1470" s="59"/>
      <c r="G1470" s="32"/>
      <c r="H1470" s="32"/>
    </row>
    <row r="1471" spans="1:8" ht="15.75" hidden="1" customHeight="1">
      <c r="A1471" s="1"/>
      <c r="B1471" s="2"/>
      <c r="C1471" s="1"/>
      <c r="D1471" s="1"/>
      <c r="E1471" s="1"/>
      <c r="F1471" s="59"/>
      <c r="G1471" s="32"/>
      <c r="H1471" s="32"/>
    </row>
    <row r="1472" spans="1:8" ht="15.75" hidden="1" customHeight="1">
      <c r="A1472" s="1"/>
      <c r="B1472" s="2"/>
      <c r="C1472" s="1"/>
      <c r="D1472" s="1"/>
      <c r="E1472" s="1"/>
      <c r="F1472" s="59"/>
      <c r="G1472" s="32"/>
      <c r="H1472" s="32"/>
    </row>
    <row r="1473" spans="1:8" ht="15.75" hidden="1" customHeight="1">
      <c r="A1473" s="1"/>
      <c r="B1473" s="2"/>
      <c r="C1473" s="1"/>
      <c r="D1473" s="1"/>
      <c r="E1473" s="1"/>
      <c r="F1473" s="59"/>
      <c r="G1473" s="32"/>
      <c r="H1473" s="32"/>
    </row>
    <row r="1474" spans="1:8" ht="15.75" hidden="1" customHeight="1">
      <c r="A1474" s="1"/>
      <c r="B1474" s="2"/>
      <c r="C1474" s="1"/>
      <c r="D1474" s="1"/>
      <c r="E1474" s="1"/>
      <c r="F1474" s="59"/>
      <c r="G1474" s="32"/>
      <c r="H1474" s="32"/>
    </row>
    <row r="1475" spans="1:8" ht="15.75" hidden="1" customHeight="1">
      <c r="A1475" s="1"/>
      <c r="B1475" s="2"/>
      <c r="C1475" s="1"/>
      <c r="D1475" s="1"/>
      <c r="E1475" s="1"/>
      <c r="F1475" s="59"/>
      <c r="G1475" s="32"/>
      <c r="H1475" s="32"/>
    </row>
    <row r="1476" spans="1:8" ht="15.75" hidden="1" customHeight="1">
      <c r="A1476" s="1"/>
      <c r="B1476" s="2"/>
      <c r="C1476" s="1"/>
      <c r="D1476" s="1"/>
      <c r="E1476" s="1"/>
      <c r="F1476" s="59"/>
      <c r="G1476" s="32"/>
      <c r="H1476" s="32"/>
    </row>
    <row r="1477" spans="1:8" ht="15.75" hidden="1" customHeight="1">
      <c r="A1477" s="1"/>
      <c r="B1477" s="2"/>
      <c r="C1477" s="1"/>
      <c r="D1477" s="1"/>
      <c r="E1477" s="1"/>
      <c r="F1477" s="59"/>
      <c r="G1477" s="32"/>
      <c r="H1477" s="32"/>
    </row>
    <row r="1478" spans="1:8" ht="15.75" hidden="1" customHeight="1">
      <c r="A1478" s="1"/>
      <c r="B1478" s="2"/>
      <c r="C1478" s="1"/>
      <c r="D1478" s="1"/>
      <c r="E1478" s="1"/>
      <c r="F1478" s="59"/>
      <c r="G1478" s="32"/>
      <c r="H1478" s="32"/>
    </row>
    <row r="1479" spans="1:8" ht="15.75" hidden="1" customHeight="1">
      <c r="A1479" s="1"/>
      <c r="B1479" s="2"/>
      <c r="C1479" s="1"/>
      <c r="D1479" s="1"/>
      <c r="E1479" s="1"/>
      <c r="F1479" s="59"/>
      <c r="G1479" s="32"/>
      <c r="H1479" s="32"/>
    </row>
    <row r="1480" spans="1:8" ht="15.75" hidden="1" customHeight="1">
      <c r="A1480" s="1"/>
      <c r="B1480" s="2"/>
      <c r="C1480" s="1"/>
      <c r="D1480" s="1"/>
      <c r="E1480" s="1"/>
      <c r="F1480" s="59"/>
      <c r="G1480" s="32"/>
      <c r="H1480" s="32"/>
    </row>
    <row r="1481" spans="1:8" ht="15.75" hidden="1" customHeight="1">
      <c r="A1481" s="1"/>
      <c r="B1481" s="2"/>
      <c r="C1481" s="1"/>
      <c r="D1481" s="1"/>
      <c r="E1481" s="1"/>
      <c r="F1481" s="59"/>
      <c r="G1481" s="32"/>
      <c r="H1481" s="32"/>
    </row>
    <row r="1482" spans="1:8" ht="15.75" hidden="1" customHeight="1">
      <c r="A1482" s="1"/>
      <c r="B1482" s="2"/>
      <c r="C1482" s="1"/>
      <c r="D1482" s="1"/>
      <c r="E1482" s="1"/>
      <c r="F1482" s="59"/>
      <c r="G1482" s="32"/>
      <c r="H1482" s="32"/>
    </row>
    <row r="1483" spans="1:8" ht="15.75" hidden="1" customHeight="1">
      <c r="A1483" s="1"/>
      <c r="B1483" s="2"/>
      <c r="C1483" s="1"/>
      <c r="D1483" s="1"/>
      <c r="E1483" s="1"/>
      <c r="F1483" s="59"/>
      <c r="G1483" s="32"/>
      <c r="H1483" s="32"/>
    </row>
    <row r="1484" spans="1:8" ht="15.75" hidden="1" customHeight="1">
      <c r="A1484" s="1"/>
      <c r="B1484" s="2"/>
      <c r="C1484" s="1"/>
      <c r="D1484" s="1"/>
      <c r="E1484" s="1"/>
      <c r="F1484" s="59"/>
      <c r="G1484" s="32"/>
      <c r="H1484" s="32"/>
    </row>
    <row r="1485" spans="1:8" ht="15.75" hidden="1" customHeight="1">
      <c r="A1485" s="1"/>
      <c r="B1485" s="2"/>
      <c r="C1485" s="1"/>
      <c r="D1485" s="1"/>
      <c r="E1485" s="1"/>
      <c r="F1485" s="59"/>
      <c r="G1485" s="32"/>
      <c r="H1485" s="32"/>
    </row>
    <row r="1486" spans="1:8" ht="15.75" hidden="1" customHeight="1">
      <c r="A1486" s="1"/>
      <c r="B1486" s="2"/>
      <c r="C1486" s="1"/>
      <c r="D1486" s="1"/>
      <c r="E1486" s="1"/>
      <c r="F1486" s="59"/>
      <c r="G1486" s="32"/>
      <c r="H1486" s="32"/>
    </row>
    <row r="1487" spans="1:8" ht="15.75" hidden="1" customHeight="1">
      <c r="A1487" s="1"/>
      <c r="B1487" s="2"/>
      <c r="C1487" s="1"/>
      <c r="D1487" s="1"/>
      <c r="E1487" s="1"/>
      <c r="F1487" s="59"/>
      <c r="G1487" s="32"/>
      <c r="H1487" s="32"/>
    </row>
    <row r="1488" spans="1:8" ht="15.75" hidden="1" customHeight="1">
      <c r="A1488" s="1"/>
      <c r="B1488" s="2"/>
      <c r="C1488" s="1"/>
      <c r="D1488" s="1"/>
      <c r="E1488" s="1"/>
      <c r="F1488" s="59"/>
      <c r="G1488" s="32"/>
      <c r="H1488" s="32"/>
    </row>
    <row r="1489" spans="1:8" ht="15.75" hidden="1" customHeight="1">
      <c r="A1489" s="1"/>
      <c r="B1489" s="2"/>
      <c r="C1489" s="1"/>
      <c r="D1489" s="1"/>
      <c r="E1489" s="1"/>
      <c r="F1489" s="59"/>
      <c r="G1489" s="32"/>
      <c r="H1489" s="32"/>
    </row>
    <row r="1490" spans="1:8" ht="15.75" hidden="1" customHeight="1">
      <c r="A1490" s="1"/>
      <c r="B1490" s="2"/>
      <c r="C1490" s="1"/>
      <c r="D1490" s="1"/>
      <c r="E1490" s="1"/>
      <c r="F1490" s="59"/>
      <c r="G1490" s="32"/>
      <c r="H1490" s="32"/>
    </row>
    <row r="1491" spans="1:8" ht="15.75" hidden="1" customHeight="1">
      <c r="A1491" s="1"/>
      <c r="B1491" s="2"/>
      <c r="C1491" s="1"/>
      <c r="D1491" s="1"/>
      <c r="E1491" s="1"/>
      <c r="F1491" s="59"/>
      <c r="G1491" s="32"/>
      <c r="H1491" s="32"/>
    </row>
    <row r="1492" spans="1:8" ht="15.75" hidden="1" customHeight="1">
      <c r="A1492" s="1"/>
      <c r="B1492" s="2"/>
      <c r="C1492" s="1"/>
      <c r="D1492" s="1"/>
      <c r="E1492" s="1"/>
      <c r="F1492" s="59"/>
      <c r="G1492" s="32"/>
      <c r="H1492" s="32"/>
    </row>
    <row r="1493" spans="1:8" ht="15.75" hidden="1" customHeight="1">
      <c r="A1493" s="1"/>
      <c r="B1493" s="2"/>
      <c r="C1493" s="1"/>
      <c r="D1493" s="1"/>
      <c r="F1493" s="59"/>
      <c r="G1493" s="32"/>
      <c r="H1493" s="32"/>
    </row>
    <row r="1494" spans="1:8" ht="15.75" hidden="1" customHeight="1">
      <c r="A1494" s="1"/>
      <c r="B1494" s="2"/>
      <c r="C1494" s="1"/>
      <c r="D1494" s="1"/>
      <c r="F1494" s="59"/>
      <c r="G1494" s="32"/>
      <c r="H1494" s="32"/>
    </row>
    <row r="1495" spans="1:8" ht="15.75" hidden="1" customHeight="1">
      <c r="A1495" s="1"/>
      <c r="B1495" s="2"/>
      <c r="C1495" s="1"/>
      <c r="D1495" s="1"/>
      <c r="F1495" s="59"/>
      <c r="G1495" s="32"/>
      <c r="H1495" s="32"/>
    </row>
    <row r="1496" spans="1:8" ht="15.75" hidden="1" customHeight="1">
      <c r="A1496" s="1"/>
      <c r="B1496" s="2"/>
      <c r="C1496" s="1"/>
      <c r="D1496" s="1"/>
      <c r="F1496" s="59"/>
      <c r="G1496" s="32"/>
      <c r="H1496" s="32"/>
    </row>
    <row r="1497" spans="1:8" ht="15.75" hidden="1" customHeight="1">
      <c r="A1497" s="1"/>
      <c r="B1497" s="2"/>
      <c r="C1497" s="1"/>
      <c r="D1497" s="1"/>
      <c r="F1497" s="59"/>
      <c r="G1497" s="32"/>
      <c r="H1497" s="32"/>
    </row>
    <row r="1498" spans="1:8" ht="15.75" hidden="1" customHeight="1">
      <c r="A1498" s="1"/>
      <c r="B1498" s="2"/>
      <c r="C1498" s="1"/>
      <c r="D1498" s="1"/>
      <c r="F1498" s="59"/>
      <c r="G1498" s="32"/>
      <c r="H1498" s="32"/>
    </row>
    <row r="1499" spans="1:8" ht="15.75" hidden="1" customHeight="1">
      <c r="A1499" s="1"/>
      <c r="B1499" s="2"/>
      <c r="C1499" s="1"/>
      <c r="D1499" s="1"/>
      <c r="F1499" s="59"/>
      <c r="G1499" s="32"/>
      <c r="H1499" s="32"/>
    </row>
    <row r="1500" spans="1:8" ht="15.75" hidden="1" customHeight="1">
      <c r="A1500" s="1"/>
      <c r="B1500" s="2"/>
      <c r="C1500" s="1"/>
      <c r="D1500" s="1"/>
      <c r="F1500" s="59"/>
      <c r="G1500" s="32"/>
      <c r="H1500" s="32"/>
    </row>
    <row r="1501" spans="1:8" ht="15.75" hidden="1" customHeight="1">
      <c r="A1501" s="1"/>
      <c r="B1501" s="2"/>
      <c r="C1501" s="1"/>
      <c r="D1501" s="1"/>
      <c r="F1501" s="59"/>
      <c r="G1501" s="32"/>
      <c r="H1501" s="32"/>
    </row>
    <row r="1502" spans="1:8" ht="15.75" hidden="1" customHeight="1">
      <c r="A1502" s="1"/>
      <c r="B1502" s="2"/>
      <c r="C1502" s="1"/>
      <c r="D1502" s="1"/>
      <c r="F1502" s="59"/>
      <c r="G1502" s="32"/>
      <c r="H1502" s="32"/>
    </row>
    <row r="1503" spans="1:8" ht="15.75" hidden="1" customHeight="1">
      <c r="A1503" s="1"/>
      <c r="B1503" s="2"/>
      <c r="C1503" s="1"/>
      <c r="D1503" s="1"/>
      <c r="F1503" s="59"/>
      <c r="G1503" s="32"/>
      <c r="H1503" s="32"/>
    </row>
    <row r="1504" spans="1:8" ht="15.75" hidden="1" customHeight="1">
      <c r="A1504" s="1"/>
      <c r="B1504" s="2"/>
      <c r="C1504" s="1"/>
      <c r="D1504" s="1"/>
      <c r="F1504" s="59"/>
      <c r="G1504" s="32"/>
      <c r="H1504" s="32"/>
    </row>
    <row r="1505" spans="1:8" ht="15.75" hidden="1" customHeight="1">
      <c r="A1505" s="1"/>
      <c r="B1505" s="2"/>
      <c r="C1505" s="1"/>
      <c r="D1505" s="1"/>
      <c r="F1505" s="59"/>
      <c r="G1505" s="32"/>
      <c r="H1505" s="32"/>
    </row>
    <row r="1506" spans="1:8" ht="15.75" hidden="1" customHeight="1">
      <c r="A1506" s="1"/>
      <c r="B1506" s="2"/>
      <c r="C1506" s="1"/>
      <c r="D1506" s="1"/>
      <c r="F1506" s="59"/>
      <c r="G1506" s="32"/>
      <c r="H1506" s="32"/>
    </row>
    <row r="1507" spans="1:8" ht="15.75" hidden="1" customHeight="1">
      <c r="A1507" s="1"/>
      <c r="B1507" s="2"/>
      <c r="C1507" s="1"/>
      <c r="D1507" s="1"/>
      <c r="F1507" s="59"/>
      <c r="G1507" s="32"/>
      <c r="H1507" s="32"/>
    </row>
    <row r="1508" spans="1:8" ht="15.75" hidden="1" customHeight="1">
      <c r="A1508" s="1"/>
      <c r="B1508" s="2"/>
      <c r="C1508" s="1"/>
      <c r="D1508" s="1"/>
      <c r="F1508" s="59"/>
      <c r="G1508" s="32"/>
      <c r="H1508" s="32"/>
    </row>
    <row r="1509" spans="1:8" ht="15.75" hidden="1" customHeight="1">
      <c r="A1509" s="1"/>
      <c r="B1509" s="2"/>
      <c r="C1509" s="1"/>
      <c r="D1509" s="1"/>
      <c r="F1509" s="59"/>
      <c r="G1509" s="32"/>
      <c r="H1509" s="32"/>
    </row>
    <row r="1510" spans="1:8" ht="15.75" hidden="1" customHeight="1">
      <c r="A1510" s="1"/>
      <c r="B1510" s="2"/>
      <c r="C1510" s="1"/>
      <c r="D1510" s="1"/>
      <c r="F1510" s="59"/>
      <c r="G1510" s="32"/>
      <c r="H1510" s="32"/>
    </row>
    <row r="1511" spans="1:8" ht="15.75" hidden="1" customHeight="1">
      <c r="A1511" s="1"/>
      <c r="B1511" s="2"/>
      <c r="C1511" s="1"/>
      <c r="D1511" s="1"/>
      <c r="F1511" s="59"/>
      <c r="G1511" s="32"/>
      <c r="H1511" s="32"/>
    </row>
    <row r="1512" spans="1:8" ht="15.75" hidden="1" customHeight="1">
      <c r="A1512" s="1"/>
      <c r="B1512" s="2"/>
      <c r="C1512" s="1"/>
      <c r="D1512" s="1"/>
      <c r="F1512" s="59"/>
      <c r="G1512" s="32"/>
      <c r="H1512" s="32"/>
    </row>
    <row r="1513" spans="1:8" ht="15.75" hidden="1" customHeight="1">
      <c r="A1513" s="1"/>
      <c r="B1513" s="2"/>
      <c r="C1513" s="1"/>
      <c r="D1513" s="1"/>
      <c r="F1513" s="59"/>
      <c r="G1513" s="32"/>
      <c r="H1513" s="32"/>
    </row>
    <row r="1514" spans="1:8" ht="15.75" hidden="1" customHeight="1">
      <c r="A1514" s="1"/>
      <c r="B1514" s="2"/>
      <c r="C1514" s="1"/>
      <c r="D1514" s="1"/>
      <c r="F1514" s="59"/>
      <c r="G1514" s="32"/>
      <c r="H1514" s="32"/>
    </row>
    <row r="1515" spans="1:8" ht="15.75" hidden="1" customHeight="1">
      <c r="A1515" s="1"/>
      <c r="B1515" s="2"/>
      <c r="C1515" s="1"/>
      <c r="D1515" s="1"/>
      <c r="F1515" s="59"/>
      <c r="G1515" s="32"/>
      <c r="H1515" s="32"/>
    </row>
    <row r="1516" spans="1:8" ht="15.75" hidden="1" customHeight="1">
      <c r="A1516" s="1"/>
      <c r="B1516" s="2"/>
      <c r="C1516" s="1"/>
      <c r="D1516" s="1"/>
      <c r="F1516" s="59"/>
      <c r="G1516" s="32"/>
      <c r="H1516" s="32"/>
    </row>
    <row r="1517" spans="1:8" ht="15.75" hidden="1" customHeight="1">
      <c r="A1517" s="1"/>
      <c r="B1517" s="2"/>
      <c r="C1517" s="1"/>
      <c r="D1517" s="1"/>
      <c r="F1517" s="59"/>
      <c r="G1517" s="32"/>
      <c r="H1517" s="32"/>
    </row>
    <row r="1518" spans="1:8" ht="15.75" hidden="1" customHeight="1">
      <c r="A1518" s="1"/>
      <c r="B1518" s="2"/>
      <c r="C1518" s="1"/>
      <c r="D1518" s="1"/>
      <c r="F1518" s="59"/>
      <c r="G1518" s="32"/>
      <c r="H1518" s="32"/>
    </row>
    <row r="1519" spans="1:8" ht="15.75" hidden="1" customHeight="1">
      <c r="A1519" s="1"/>
      <c r="B1519" s="2"/>
      <c r="C1519" s="1"/>
      <c r="D1519" s="1"/>
      <c r="F1519" s="59"/>
      <c r="G1519" s="32"/>
      <c r="H1519" s="32"/>
    </row>
    <row r="1520" spans="1:8" ht="15.75" hidden="1" customHeight="1">
      <c r="A1520" s="1"/>
      <c r="B1520" s="2"/>
      <c r="C1520" s="1"/>
      <c r="D1520" s="1"/>
      <c r="F1520" s="59"/>
      <c r="G1520" s="32"/>
      <c r="H1520" s="32"/>
    </row>
    <row r="1521" spans="1:8" ht="15.75" hidden="1" customHeight="1">
      <c r="A1521" s="1"/>
      <c r="B1521" s="2"/>
      <c r="C1521" s="1"/>
      <c r="D1521" s="1"/>
      <c r="F1521" s="59"/>
      <c r="G1521" s="32"/>
      <c r="H1521" s="32"/>
    </row>
    <row r="1522" spans="1:8" ht="15.75" hidden="1" customHeight="1">
      <c r="A1522" s="1"/>
      <c r="B1522" s="2"/>
      <c r="C1522" s="1"/>
      <c r="D1522" s="1"/>
      <c r="F1522" s="59"/>
      <c r="G1522" s="32"/>
      <c r="H1522" s="32"/>
    </row>
    <row r="1523" spans="1:8" ht="15.75" hidden="1" customHeight="1">
      <c r="A1523" s="1"/>
      <c r="B1523" s="2"/>
      <c r="C1523" s="1"/>
      <c r="D1523" s="1"/>
      <c r="F1523" s="59"/>
      <c r="G1523" s="32"/>
      <c r="H1523" s="32"/>
    </row>
    <row r="1524" spans="1:8" ht="15.75" hidden="1" customHeight="1">
      <c r="A1524" s="1"/>
      <c r="B1524" s="2"/>
      <c r="C1524" s="1"/>
      <c r="D1524" s="1"/>
      <c r="F1524" s="59"/>
      <c r="G1524" s="32"/>
      <c r="H1524" s="32"/>
    </row>
    <row r="1525" spans="1:8" ht="15.75" hidden="1" customHeight="1">
      <c r="A1525" s="1"/>
      <c r="B1525" s="2"/>
      <c r="C1525" s="1"/>
      <c r="D1525" s="1"/>
      <c r="F1525" s="59"/>
      <c r="G1525" s="32"/>
      <c r="H1525" s="32"/>
    </row>
    <row r="1526" spans="1:8" ht="15.75" hidden="1" customHeight="1">
      <c r="A1526" s="1"/>
      <c r="B1526" s="2"/>
      <c r="C1526" s="1"/>
      <c r="D1526" s="1"/>
      <c r="F1526" s="59"/>
      <c r="G1526" s="32"/>
      <c r="H1526" s="32"/>
    </row>
    <row r="1527" spans="1:8" ht="15.75" hidden="1" customHeight="1">
      <c r="A1527" s="1"/>
      <c r="B1527" s="2"/>
      <c r="C1527" s="1"/>
      <c r="D1527" s="1"/>
      <c r="F1527" s="59"/>
      <c r="G1527" s="32"/>
      <c r="H1527" s="32"/>
    </row>
    <row r="1528" spans="1:8" ht="15.75" hidden="1" customHeight="1">
      <c r="A1528" s="1"/>
      <c r="B1528" s="2"/>
      <c r="C1528" s="1"/>
      <c r="D1528" s="1"/>
      <c r="F1528" s="59"/>
      <c r="G1528" s="32"/>
      <c r="H1528" s="32"/>
    </row>
    <row r="1529" spans="1:8" ht="15.75" hidden="1" customHeight="1">
      <c r="A1529" s="1"/>
      <c r="B1529" s="2"/>
      <c r="C1529" s="1"/>
      <c r="D1529" s="1"/>
      <c r="F1529" s="59"/>
      <c r="G1529" s="32"/>
      <c r="H1529" s="32"/>
    </row>
    <row r="1530" spans="1:8" ht="15.75" hidden="1" customHeight="1">
      <c r="A1530" s="1"/>
      <c r="B1530" s="2"/>
      <c r="C1530" s="1"/>
      <c r="D1530" s="1"/>
      <c r="F1530" s="59"/>
      <c r="G1530" s="32"/>
      <c r="H1530" s="32"/>
    </row>
    <row r="1531" spans="1:8" ht="15.75" hidden="1" customHeight="1">
      <c r="A1531" s="1"/>
      <c r="B1531" s="2"/>
      <c r="C1531" s="1"/>
      <c r="D1531" s="1"/>
      <c r="F1531" s="59"/>
      <c r="G1531" s="32"/>
      <c r="H1531" s="32"/>
    </row>
    <row r="1532" spans="1:8" ht="15.75" hidden="1" customHeight="1">
      <c r="A1532" s="1"/>
      <c r="B1532" s="2"/>
      <c r="C1532" s="1"/>
      <c r="D1532" s="1"/>
      <c r="F1532" s="59"/>
      <c r="G1532" s="32"/>
      <c r="H1532" s="32"/>
    </row>
    <row r="1533" spans="1:8" ht="15.75" hidden="1" customHeight="1">
      <c r="A1533" s="1"/>
      <c r="B1533" s="2"/>
      <c r="C1533" s="1"/>
      <c r="D1533" s="1"/>
      <c r="F1533" s="59"/>
      <c r="G1533" s="32"/>
      <c r="H1533" s="32"/>
    </row>
    <row r="1534" spans="1:8" ht="15.75" hidden="1" customHeight="1">
      <c r="A1534" s="1"/>
      <c r="B1534" s="2"/>
      <c r="C1534" s="1"/>
      <c r="D1534" s="1"/>
      <c r="F1534" s="59"/>
      <c r="G1534" s="32"/>
      <c r="H1534" s="32"/>
    </row>
    <row r="1535" spans="1:8" ht="15.75" hidden="1" customHeight="1">
      <c r="A1535" s="1"/>
      <c r="B1535" s="2"/>
      <c r="C1535" s="1"/>
      <c r="D1535" s="1"/>
      <c r="F1535" s="59"/>
      <c r="G1535" s="32"/>
      <c r="H1535" s="32"/>
    </row>
    <row r="1536" spans="1:8" ht="15.75" hidden="1" customHeight="1">
      <c r="A1536" s="1"/>
      <c r="B1536" s="2"/>
      <c r="C1536" s="1"/>
      <c r="D1536" s="1"/>
      <c r="F1536" s="59"/>
      <c r="G1536" s="32"/>
      <c r="H1536" s="32"/>
    </row>
    <row r="1537" spans="1:8" ht="15.75" hidden="1" customHeight="1">
      <c r="A1537" s="1"/>
      <c r="B1537" s="2"/>
      <c r="C1537" s="1"/>
      <c r="D1537" s="1"/>
      <c r="F1537" s="59"/>
      <c r="G1537" s="32"/>
      <c r="H1537" s="32"/>
    </row>
    <row r="1538" spans="1:8" ht="15.75" hidden="1" customHeight="1">
      <c r="A1538" s="1"/>
      <c r="B1538" s="2"/>
      <c r="C1538" s="1"/>
      <c r="D1538" s="1"/>
      <c r="F1538" s="59"/>
      <c r="G1538" s="32"/>
      <c r="H1538" s="32"/>
    </row>
    <row r="1539" spans="1:8" ht="15.75" hidden="1" customHeight="1">
      <c r="A1539" s="1"/>
      <c r="B1539" s="2"/>
      <c r="C1539" s="1"/>
      <c r="D1539" s="1"/>
      <c r="F1539" s="59"/>
      <c r="G1539" s="32"/>
      <c r="H1539" s="32"/>
    </row>
    <row r="1540" spans="1:8" ht="15.75" hidden="1" customHeight="1">
      <c r="A1540" s="1"/>
      <c r="B1540" s="2"/>
      <c r="C1540" s="1"/>
      <c r="D1540" s="1"/>
      <c r="F1540" s="59"/>
      <c r="G1540" s="32"/>
      <c r="H1540" s="32"/>
    </row>
    <row r="1541" spans="1:8" ht="15.75" hidden="1" customHeight="1">
      <c r="A1541" s="1"/>
      <c r="B1541" s="2"/>
      <c r="C1541" s="1"/>
      <c r="D1541" s="1"/>
      <c r="F1541" s="59"/>
      <c r="G1541" s="32"/>
      <c r="H1541" s="32"/>
    </row>
    <row r="1542" spans="1:8" ht="15.75" hidden="1" customHeight="1">
      <c r="A1542" s="1"/>
      <c r="B1542" s="2"/>
      <c r="C1542" s="1"/>
      <c r="D1542" s="1"/>
      <c r="F1542" s="59"/>
      <c r="G1542" s="32"/>
      <c r="H1542" s="32"/>
    </row>
    <row r="1543" spans="1:8" ht="15.75" hidden="1" customHeight="1">
      <c r="A1543" s="1"/>
      <c r="B1543" s="2"/>
      <c r="C1543" s="1"/>
      <c r="D1543" s="1"/>
      <c r="F1543" s="59"/>
      <c r="G1543" s="32"/>
      <c r="H1543" s="32"/>
    </row>
    <row r="1544" spans="1:8" ht="15.75" hidden="1" customHeight="1">
      <c r="A1544" s="1"/>
      <c r="B1544" s="2"/>
      <c r="C1544" s="1"/>
      <c r="D1544" s="1"/>
      <c r="F1544" s="59"/>
      <c r="G1544" s="32"/>
      <c r="H1544" s="32"/>
    </row>
    <row r="1545" spans="1:8" ht="15.75" hidden="1" customHeight="1">
      <c r="A1545" s="1"/>
      <c r="B1545" s="2"/>
      <c r="C1545" s="1"/>
      <c r="D1545" s="1"/>
      <c r="F1545" s="59"/>
      <c r="G1545" s="32"/>
      <c r="H1545" s="32"/>
    </row>
    <row r="1546" spans="1:8" ht="15.75" hidden="1" customHeight="1">
      <c r="A1546" s="1"/>
      <c r="B1546" s="2"/>
      <c r="C1546" s="1"/>
      <c r="D1546" s="1"/>
      <c r="F1546" s="59"/>
      <c r="G1546" s="32"/>
      <c r="H1546" s="32"/>
    </row>
    <row r="1547" spans="1:8" ht="15.75" hidden="1" customHeight="1">
      <c r="A1547" s="1"/>
      <c r="B1547" s="2"/>
      <c r="C1547" s="1"/>
      <c r="D1547" s="1"/>
      <c r="F1547" s="59"/>
      <c r="G1547" s="32"/>
      <c r="H1547" s="32"/>
    </row>
    <row r="1548" spans="1:8" ht="15.75" hidden="1" customHeight="1">
      <c r="A1548" s="1"/>
      <c r="B1548" s="2"/>
      <c r="C1548" s="1"/>
      <c r="D1548" s="1"/>
      <c r="F1548" s="59"/>
      <c r="G1548" s="32"/>
      <c r="H1548" s="32"/>
    </row>
    <row r="1549" spans="1:8" ht="15.75" hidden="1" customHeight="1">
      <c r="A1549" s="1"/>
      <c r="B1549" s="2"/>
      <c r="C1549" s="1"/>
      <c r="D1549" s="1"/>
      <c r="F1549" s="59"/>
      <c r="G1549" s="32"/>
      <c r="H1549" s="32"/>
    </row>
    <row r="1550" spans="1:8" ht="15.75" hidden="1" customHeight="1">
      <c r="A1550" s="1"/>
      <c r="B1550" s="2"/>
      <c r="C1550" s="1"/>
      <c r="D1550" s="1"/>
      <c r="F1550" s="59"/>
      <c r="G1550" s="32"/>
      <c r="H1550" s="32"/>
    </row>
    <row r="1551" spans="1:8" ht="15.75" hidden="1" customHeight="1">
      <c r="A1551" s="1"/>
      <c r="B1551" s="2"/>
      <c r="C1551" s="1"/>
      <c r="D1551" s="1"/>
      <c r="F1551" s="59"/>
      <c r="G1551" s="32"/>
      <c r="H1551" s="32"/>
    </row>
    <row r="1552" spans="1:8" ht="15.75" hidden="1" customHeight="1">
      <c r="A1552" s="1"/>
      <c r="B1552" s="2"/>
      <c r="C1552" s="1"/>
      <c r="D1552" s="1"/>
      <c r="F1552" s="59"/>
      <c r="G1552" s="32"/>
      <c r="H1552" s="32"/>
    </row>
    <row r="1553" spans="1:8" ht="15.75" hidden="1" customHeight="1">
      <c r="A1553" s="1"/>
      <c r="B1553" s="2"/>
      <c r="C1553" s="1"/>
      <c r="D1553" s="1"/>
      <c r="F1553" s="59"/>
      <c r="G1553" s="32"/>
      <c r="H1553" s="32"/>
    </row>
    <row r="1554" spans="1:8" ht="15.75" hidden="1" customHeight="1">
      <c r="A1554" s="1"/>
      <c r="B1554" s="2"/>
      <c r="C1554" s="1"/>
      <c r="D1554" s="1"/>
      <c r="F1554" s="59"/>
      <c r="G1554" s="32"/>
      <c r="H1554" s="32"/>
    </row>
    <row r="1555" spans="1:8" ht="15.75" hidden="1" customHeight="1">
      <c r="A1555" s="1"/>
      <c r="B1555" s="2"/>
      <c r="C1555" s="1"/>
      <c r="D1555" s="1"/>
      <c r="F1555" s="59"/>
      <c r="G1555" s="32"/>
      <c r="H1555" s="32"/>
    </row>
    <row r="1556" spans="1:8" ht="15.75" hidden="1" customHeight="1">
      <c r="A1556" s="1"/>
      <c r="B1556" s="2"/>
      <c r="C1556" s="1"/>
      <c r="D1556" s="1"/>
      <c r="F1556" s="59"/>
      <c r="G1556" s="32"/>
      <c r="H1556" s="32"/>
    </row>
    <row r="1557" spans="1:8" ht="15.75" hidden="1" customHeight="1">
      <c r="A1557" s="1"/>
      <c r="B1557" s="2"/>
      <c r="C1557" s="1"/>
      <c r="D1557" s="1"/>
      <c r="F1557" s="59"/>
      <c r="G1557" s="32"/>
      <c r="H1557" s="32"/>
    </row>
    <row r="1558" spans="1:8" ht="15.75" hidden="1" customHeight="1">
      <c r="A1558" s="1"/>
      <c r="B1558" s="2"/>
      <c r="C1558" s="1"/>
      <c r="D1558" s="1"/>
      <c r="F1558" s="59"/>
      <c r="G1558" s="32"/>
      <c r="H1558" s="32"/>
    </row>
    <row r="1559" spans="1:8" ht="15.75" hidden="1" customHeight="1">
      <c r="A1559" s="1"/>
      <c r="B1559" s="2"/>
      <c r="C1559" s="1"/>
      <c r="D1559" s="1"/>
      <c r="F1559" s="59"/>
      <c r="G1559" s="32"/>
      <c r="H1559" s="32"/>
    </row>
    <row r="1560" spans="1:8" ht="15.75" hidden="1" customHeight="1">
      <c r="A1560" s="1"/>
      <c r="B1560" s="2"/>
      <c r="C1560" s="1"/>
      <c r="D1560" s="1"/>
      <c r="F1560" s="59"/>
      <c r="G1560" s="32"/>
      <c r="H1560" s="32"/>
    </row>
    <row r="1561" spans="1:8" ht="15.75" hidden="1" customHeight="1">
      <c r="A1561" s="1"/>
      <c r="B1561" s="2"/>
      <c r="C1561" s="1"/>
      <c r="D1561" s="1"/>
      <c r="F1561" s="59"/>
      <c r="G1561" s="32"/>
      <c r="H1561" s="32"/>
    </row>
    <row r="1562" spans="1:8" ht="15.75" hidden="1" customHeight="1">
      <c r="A1562" s="1"/>
      <c r="B1562" s="2"/>
      <c r="C1562" s="1"/>
      <c r="D1562" s="1"/>
      <c r="F1562" s="59"/>
      <c r="G1562" s="32"/>
      <c r="H1562" s="32"/>
    </row>
    <row r="1563" spans="1:8" ht="15.75" hidden="1" customHeight="1">
      <c r="A1563" s="1"/>
      <c r="B1563" s="2"/>
      <c r="C1563" s="1"/>
      <c r="D1563" s="1"/>
      <c r="F1563" s="59"/>
      <c r="G1563" s="32"/>
      <c r="H1563" s="32"/>
    </row>
    <row r="1564" spans="1:8" ht="15.75" hidden="1" customHeight="1">
      <c r="A1564" s="1"/>
      <c r="B1564" s="2"/>
      <c r="C1564" s="1"/>
      <c r="D1564" s="1"/>
      <c r="F1564" s="59"/>
      <c r="G1564" s="32"/>
      <c r="H1564" s="32"/>
    </row>
    <row r="1565" spans="1:8" ht="15.75" hidden="1" customHeight="1">
      <c r="A1565" s="1"/>
      <c r="B1565" s="2"/>
      <c r="C1565" s="1"/>
      <c r="D1565" s="1"/>
      <c r="F1565" s="59"/>
      <c r="G1565" s="32"/>
      <c r="H1565" s="32"/>
    </row>
    <row r="1566" spans="1:8" ht="15.75" hidden="1" customHeight="1">
      <c r="A1566" s="1"/>
      <c r="B1566" s="2"/>
      <c r="C1566" s="1"/>
      <c r="D1566" s="1"/>
      <c r="F1566" s="59"/>
      <c r="G1566" s="32"/>
      <c r="H1566" s="32"/>
    </row>
    <row r="1567" spans="1:8" ht="15.75" hidden="1" customHeight="1">
      <c r="A1567" s="1"/>
      <c r="B1567" s="2"/>
      <c r="C1567" s="1"/>
      <c r="D1567" s="1"/>
      <c r="F1567" s="59"/>
      <c r="G1567" s="32"/>
      <c r="H1567" s="32"/>
    </row>
    <row r="1568" spans="1:8" ht="15.75" hidden="1" customHeight="1">
      <c r="A1568" s="1"/>
      <c r="B1568" s="2"/>
      <c r="C1568" s="1"/>
      <c r="D1568" s="1"/>
      <c r="F1568" s="59"/>
      <c r="G1568" s="32"/>
      <c r="H1568" s="32"/>
    </row>
    <row r="1569" spans="1:8" ht="15.75" hidden="1" customHeight="1">
      <c r="A1569" s="1"/>
      <c r="B1569" s="2"/>
      <c r="C1569" s="1"/>
      <c r="D1569" s="1"/>
      <c r="F1569" s="59"/>
      <c r="G1569" s="32"/>
      <c r="H1569" s="32"/>
    </row>
    <row r="1570" spans="1:8" ht="15.75" hidden="1" customHeight="1">
      <c r="A1570" s="1"/>
      <c r="B1570" s="2"/>
      <c r="C1570" s="1"/>
      <c r="D1570" s="1"/>
      <c r="F1570" s="59"/>
      <c r="G1570" s="32"/>
      <c r="H1570" s="32"/>
    </row>
    <row r="1571" spans="1:8" ht="15.75" hidden="1" customHeight="1">
      <c r="A1571" s="1"/>
      <c r="B1571" s="2"/>
      <c r="C1571" s="1"/>
      <c r="D1571" s="1"/>
      <c r="F1571" s="59"/>
      <c r="G1571" s="32"/>
      <c r="H1571" s="32"/>
    </row>
    <row r="1572" spans="1:8" ht="15.75" hidden="1" customHeight="1">
      <c r="A1572" s="1"/>
      <c r="B1572" s="2"/>
      <c r="C1572" s="1"/>
      <c r="D1572" s="1"/>
      <c r="F1572" s="59"/>
      <c r="G1572" s="32"/>
      <c r="H1572" s="32"/>
    </row>
    <row r="1573" spans="1:8" ht="15.75" hidden="1" customHeight="1">
      <c r="A1573" s="1"/>
      <c r="B1573" s="2"/>
      <c r="C1573" s="1"/>
      <c r="D1573" s="1"/>
      <c r="F1573" s="59"/>
      <c r="G1573" s="32"/>
      <c r="H1573" s="32"/>
    </row>
    <row r="1574" spans="1:8" ht="15.75" hidden="1" customHeight="1">
      <c r="A1574" s="1"/>
      <c r="B1574" s="2"/>
      <c r="C1574" s="1"/>
      <c r="D1574" s="1"/>
      <c r="F1574" s="59"/>
      <c r="G1574" s="32"/>
      <c r="H1574" s="32"/>
    </row>
    <row r="1575" spans="1:8" ht="15.75" hidden="1" customHeight="1">
      <c r="A1575" s="1"/>
      <c r="B1575" s="2"/>
      <c r="C1575" s="1"/>
      <c r="D1575" s="1"/>
      <c r="F1575" s="59"/>
      <c r="G1575" s="32"/>
      <c r="H1575" s="32"/>
    </row>
    <row r="1576" spans="1:8" ht="15.75" hidden="1" customHeight="1">
      <c r="A1576" s="1"/>
      <c r="B1576" s="2"/>
      <c r="C1576" s="1"/>
      <c r="D1576" s="1"/>
      <c r="F1576" s="59"/>
      <c r="G1576" s="32"/>
      <c r="H1576" s="32"/>
    </row>
    <row r="1577" spans="1:8" ht="15.75" hidden="1" customHeight="1">
      <c r="A1577" s="1"/>
      <c r="B1577" s="2"/>
      <c r="C1577" s="1"/>
      <c r="D1577" s="1"/>
      <c r="F1577" s="59"/>
      <c r="G1577" s="32"/>
      <c r="H1577" s="32"/>
    </row>
    <row r="1578" spans="1:8" ht="15.75" hidden="1" customHeight="1">
      <c r="A1578" s="1"/>
      <c r="B1578" s="2"/>
      <c r="C1578" s="1"/>
      <c r="D1578" s="1"/>
      <c r="F1578" s="59"/>
      <c r="G1578" s="32"/>
      <c r="H1578" s="32"/>
    </row>
    <row r="1579" spans="1:8" ht="15.75" hidden="1" customHeight="1">
      <c r="A1579" s="1"/>
      <c r="B1579" s="2"/>
      <c r="C1579" s="1"/>
      <c r="D1579" s="1"/>
      <c r="F1579" s="59"/>
      <c r="G1579" s="32"/>
      <c r="H1579" s="32"/>
    </row>
    <row r="1580" spans="1:8" ht="15.75" hidden="1" customHeight="1">
      <c r="A1580" s="1"/>
      <c r="B1580" s="2"/>
      <c r="C1580" s="1"/>
      <c r="D1580" s="1"/>
      <c r="F1580" s="59"/>
      <c r="G1580" s="32"/>
      <c r="H1580" s="32"/>
    </row>
    <row r="1581" spans="1:8" ht="15.75" hidden="1" customHeight="1">
      <c r="A1581" s="1"/>
      <c r="B1581" s="2"/>
      <c r="C1581" s="1"/>
      <c r="D1581" s="1"/>
      <c r="F1581" s="59"/>
      <c r="G1581" s="32"/>
      <c r="H1581" s="32"/>
    </row>
    <row r="1582" spans="1:8" ht="15.75" hidden="1" customHeight="1">
      <c r="A1582" s="1"/>
      <c r="B1582" s="2"/>
      <c r="C1582" s="1"/>
      <c r="D1582" s="1"/>
      <c r="F1582" s="59"/>
      <c r="G1582" s="32"/>
      <c r="H1582" s="32"/>
    </row>
    <row r="1583" spans="1:8" ht="15.75" hidden="1" customHeight="1">
      <c r="A1583" s="1"/>
      <c r="B1583" s="2"/>
      <c r="C1583" s="1"/>
      <c r="D1583" s="1"/>
      <c r="F1583" s="59"/>
      <c r="G1583" s="32"/>
      <c r="H1583" s="32"/>
    </row>
    <row r="1584" spans="1:8" ht="15.75" hidden="1" customHeight="1">
      <c r="A1584" s="1"/>
      <c r="B1584" s="2"/>
      <c r="C1584" s="1"/>
      <c r="D1584" s="1"/>
      <c r="F1584" s="59"/>
      <c r="G1584" s="32"/>
      <c r="H1584" s="32"/>
    </row>
    <row r="1585" spans="1:8" ht="15.75" hidden="1" customHeight="1">
      <c r="A1585" s="1"/>
      <c r="B1585" s="2"/>
      <c r="C1585" s="1"/>
      <c r="D1585" s="1"/>
      <c r="F1585" s="59"/>
      <c r="G1585" s="32"/>
      <c r="H1585" s="32"/>
    </row>
    <row r="1586" spans="1:8" ht="15.75" hidden="1" customHeight="1">
      <c r="A1586" s="1"/>
      <c r="B1586" s="2"/>
      <c r="C1586" s="1"/>
      <c r="D1586" s="1"/>
      <c r="F1586" s="59"/>
      <c r="G1586" s="32"/>
      <c r="H1586" s="32"/>
    </row>
    <row r="1587" spans="1:8" ht="15.75" hidden="1" customHeight="1">
      <c r="A1587" s="1"/>
      <c r="B1587" s="2"/>
      <c r="C1587" s="1"/>
      <c r="D1587" s="1"/>
      <c r="F1587" s="59"/>
      <c r="G1587" s="32"/>
      <c r="H1587" s="32"/>
    </row>
    <row r="1588" spans="1:8" ht="15.75" hidden="1" customHeight="1">
      <c r="A1588" s="1"/>
      <c r="B1588" s="2"/>
      <c r="C1588" s="1"/>
      <c r="D1588" s="1"/>
      <c r="F1588" s="59"/>
      <c r="G1588" s="32"/>
      <c r="H1588" s="32"/>
    </row>
    <row r="1589" spans="1:8" ht="15.75" hidden="1" customHeight="1">
      <c r="A1589" s="1"/>
      <c r="B1589" s="2"/>
      <c r="C1589" s="1"/>
      <c r="D1589" s="1"/>
      <c r="F1589" s="59"/>
      <c r="G1589" s="32"/>
      <c r="H1589" s="32"/>
    </row>
    <row r="1590" spans="1:8" ht="15.75" hidden="1" customHeight="1">
      <c r="A1590" s="1"/>
      <c r="B1590" s="2"/>
      <c r="C1590" s="1"/>
      <c r="D1590" s="1"/>
      <c r="F1590" s="59"/>
      <c r="G1590" s="32"/>
      <c r="H1590" s="32"/>
    </row>
    <row r="1591" spans="1:8" ht="15.75" hidden="1" customHeight="1">
      <c r="A1591" s="1"/>
      <c r="B1591" s="2"/>
      <c r="C1591" s="1"/>
      <c r="D1591" s="1"/>
      <c r="F1591" s="59"/>
      <c r="G1591" s="32"/>
      <c r="H1591" s="32"/>
    </row>
    <row r="1592" spans="1:8" ht="15.75" hidden="1" customHeight="1">
      <c r="A1592" s="1"/>
      <c r="B1592" s="2"/>
      <c r="C1592" s="1"/>
      <c r="D1592" s="1"/>
      <c r="F1592" s="59"/>
      <c r="G1592" s="32"/>
      <c r="H1592" s="32"/>
    </row>
    <row r="1593" spans="1:8" ht="15.75" hidden="1" customHeight="1">
      <c r="A1593" s="1"/>
      <c r="B1593" s="2"/>
      <c r="C1593" s="1"/>
      <c r="D1593" s="1"/>
      <c r="F1593" s="59"/>
      <c r="G1593" s="32"/>
      <c r="H1593" s="32"/>
    </row>
    <row r="1594" spans="1:8" ht="15.75" hidden="1" customHeight="1">
      <c r="A1594" s="1"/>
      <c r="B1594" s="2"/>
      <c r="C1594" s="1"/>
      <c r="D1594" s="1"/>
      <c r="F1594" s="59"/>
      <c r="G1594" s="32"/>
      <c r="H1594" s="32"/>
    </row>
    <row r="1595" spans="1:8" ht="15.75" hidden="1" customHeight="1">
      <c r="A1595" s="1"/>
      <c r="B1595" s="2"/>
      <c r="C1595" s="1"/>
      <c r="D1595" s="1"/>
      <c r="F1595" s="59"/>
      <c r="G1595" s="32"/>
      <c r="H1595" s="32"/>
    </row>
    <row r="1596" spans="1:8" ht="15.75" hidden="1" customHeight="1">
      <c r="A1596" s="1"/>
      <c r="B1596" s="2"/>
      <c r="C1596" s="1"/>
      <c r="D1596" s="1"/>
      <c r="F1596" s="59"/>
      <c r="G1596" s="32"/>
      <c r="H1596" s="32"/>
    </row>
    <row r="1597" spans="1:8" ht="15.75" hidden="1" customHeight="1">
      <c r="A1597" s="1"/>
      <c r="B1597" s="2"/>
      <c r="C1597" s="1"/>
      <c r="D1597" s="1"/>
      <c r="F1597" s="59"/>
      <c r="G1597" s="32"/>
      <c r="H1597" s="32"/>
    </row>
    <row r="1598" spans="1:8" ht="15.75" hidden="1" customHeight="1">
      <c r="A1598" s="1"/>
      <c r="B1598" s="2"/>
      <c r="C1598" s="1"/>
      <c r="D1598" s="1"/>
      <c r="F1598" s="59"/>
      <c r="G1598" s="32"/>
      <c r="H1598" s="32"/>
    </row>
    <row r="1599" spans="1:8" ht="15.75" hidden="1" customHeight="1">
      <c r="A1599" s="1"/>
      <c r="B1599" s="2"/>
      <c r="C1599" s="1"/>
      <c r="D1599" s="1"/>
      <c r="F1599" s="59"/>
      <c r="G1599" s="32"/>
      <c r="H1599" s="32"/>
    </row>
    <row r="1600" spans="1:8" ht="15.75" hidden="1" customHeight="1">
      <c r="A1600" s="1"/>
      <c r="B1600" s="2"/>
      <c r="C1600" s="1"/>
      <c r="D1600" s="1"/>
      <c r="F1600" s="59"/>
      <c r="G1600" s="32"/>
      <c r="H1600" s="32"/>
    </row>
    <row r="1601" spans="1:8" ht="15.75" hidden="1" customHeight="1">
      <c r="A1601" s="1"/>
      <c r="B1601" s="2"/>
      <c r="C1601" s="1"/>
      <c r="D1601" s="1"/>
      <c r="F1601" s="59"/>
      <c r="G1601" s="32"/>
      <c r="H1601" s="32"/>
    </row>
    <row r="1602" spans="1:8" ht="15.75" hidden="1" customHeight="1">
      <c r="A1602" s="1"/>
      <c r="B1602" s="2"/>
      <c r="C1602" s="1"/>
      <c r="D1602" s="1"/>
      <c r="F1602" s="59"/>
      <c r="G1602" s="32"/>
      <c r="H1602" s="32"/>
    </row>
    <row r="1603" spans="1:8" ht="15.75" hidden="1" customHeight="1">
      <c r="A1603" s="1"/>
      <c r="B1603" s="2"/>
      <c r="C1603" s="1"/>
      <c r="D1603" s="1"/>
      <c r="F1603" s="59"/>
      <c r="G1603" s="32"/>
      <c r="H1603" s="32"/>
    </row>
    <row r="1604" spans="1:8" ht="15.75" hidden="1" customHeight="1">
      <c r="A1604" s="1"/>
      <c r="B1604" s="2"/>
      <c r="C1604" s="1"/>
      <c r="D1604" s="1"/>
      <c r="F1604" s="59"/>
      <c r="G1604" s="32"/>
      <c r="H1604" s="32"/>
    </row>
    <row r="1605" spans="1:8" ht="15.75" hidden="1" customHeight="1">
      <c r="A1605" s="1"/>
      <c r="B1605" s="2"/>
      <c r="C1605" s="1"/>
      <c r="D1605" s="1"/>
      <c r="F1605" s="59"/>
      <c r="G1605" s="32"/>
      <c r="H1605" s="32"/>
    </row>
    <row r="1606" spans="1:8" ht="15.75" hidden="1" customHeight="1">
      <c r="A1606" s="1"/>
      <c r="B1606" s="2"/>
      <c r="C1606" s="1"/>
      <c r="D1606" s="1"/>
      <c r="F1606" s="59"/>
      <c r="G1606" s="32"/>
      <c r="H1606" s="32"/>
    </row>
    <row r="1607" spans="1:8" ht="15.75" hidden="1" customHeight="1">
      <c r="A1607" s="1"/>
      <c r="B1607" s="2"/>
      <c r="C1607" s="1"/>
      <c r="D1607" s="1"/>
      <c r="F1607" s="59"/>
      <c r="G1607" s="32"/>
      <c r="H1607" s="32"/>
    </row>
    <row r="1608" spans="1:8" ht="15.75" hidden="1" customHeight="1">
      <c r="A1608" s="1"/>
      <c r="B1608" s="2"/>
      <c r="C1608" s="1"/>
      <c r="D1608" s="1"/>
      <c r="F1608" s="59"/>
      <c r="G1608" s="32"/>
      <c r="H1608" s="32"/>
    </row>
    <row r="1609" spans="1:8" ht="15.75" hidden="1" customHeight="1">
      <c r="A1609" s="1"/>
      <c r="B1609" s="2"/>
      <c r="C1609" s="1"/>
      <c r="D1609" s="1"/>
      <c r="F1609" s="59"/>
      <c r="G1609" s="32"/>
      <c r="H1609" s="32"/>
    </row>
    <row r="1610" spans="1:8" ht="15.75" hidden="1" customHeight="1">
      <c r="A1610" s="1"/>
      <c r="B1610" s="2"/>
      <c r="C1610" s="1"/>
      <c r="D1610" s="1"/>
      <c r="F1610" s="59"/>
      <c r="G1610" s="32"/>
      <c r="H1610" s="32"/>
    </row>
    <row r="1611" spans="1:8" ht="15.75" hidden="1" customHeight="1">
      <c r="A1611" s="1"/>
      <c r="B1611" s="2"/>
      <c r="C1611" s="1"/>
      <c r="D1611" s="1"/>
      <c r="F1611" s="59"/>
      <c r="G1611" s="32"/>
      <c r="H1611" s="32"/>
    </row>
    <row r="1612" spans="1:8" ht="15.75" hidden="1" customHeight="1">
      <c r="A1612" s="1"/>
      <c r="B1612" s="2"/>
      <c r="C1612" s="1"/>
      <c r="D1612" s="1"/>
      <c r="F1612" s="59"/>
      <c r="G1612" s="32"/>
      <c r="H1612" s="32"/>
    </row>
    <row r="1613" spans="1:8" ht="15.75" hidden="1" customHeight="1">
      <c r="A1613" s="1"/>
      <c r="B1613" s="2"/>
      <c r="C1613" s="1"/>
      <c r="D1613" s="1"/>
      <c r="F1613" s="59"/>
      <c r="G1613" s="32"/>
      <c r="H1613" s="32"/>
    </row>
    <row r="1614" spans="1:8" ht="15.75" hidden="1" customHeight="1">
      <c r="A1614" s="1"/>
      <c r="B1614" s="2"/>
      <c r="C1614" s="1"/>
      <c r="D1614" s="1"/>
      <c r="F1614" s="59"/>
      <c r="G1614" s="32"/>
      <c r="H1614" s="32"/>
    </row>
    <row r="1615" spans="1:8" ht="15.75" hidden="1" customHeight="1">
      <c r="A1615" s="1"/>
      <c r="B1615" s="2"/>
      <c r="C1615" s="1"/>
      <c r="D1615" s="1"/>
      <c r="F1615" s="59"/>
      <c r="G1615" s="32"/>
      <c r="H1615" s="32"/>
    </row>
    <row r="1616" spans="1:8" ht="15.75" hidden="1" customHeight="1">
      <c r="A1616" s="1"/>
      <c r="B1616" s="2"/>
      <c r="C1616" s="1"/>
      <c r="D1616" s="1"/>
      <c r="F1616" s="59"/>
      <c r="G1616" s="32"/>
      <c r="H1616" s="32"/>
    </row>
    <row r="1617" spans="1:8" ht="15.75" hidden="1" customHeight="1">
      <c r="A1617" s="1"/>
      <c r="B1617" s="2"/>
      <c r="C1617" s="1"/>
      <c r="D1617" s="1"/>
      <c r="F1617" s="59"/>
      <c r="G1617" s="32"/>
      <c r="H1617" s="32"/>
    </row>
    <row r="1618" spans="1:8" ht="15.75" hidden="1" customHeight="1">
      <c r="A1618" s="1"/>
      <c r="B1618" s="2"/>
      <c r="C1618" s="1"/>
      <c r="D1618" s="1"/>
      <c r="F1618" s="59"/>
      <c r="G1618" s="32"/>
      <c r="H1618" s="32"/>
    </row>
    <row r="1619" spans="1:8" ht="15.75" hidden="1" customHeight="1">
      <c r="A1619" s="1"/>
      <c r="B1619" s="2"/>
      <c r="C1619" s="1"/>
      <c r="D1619" s="1"/>
      <c r="F1619" s="59"/>
      <c r="G1619" s="32"/>
      <c r="H1619" s="32"/>
    </row>
    <row r="1620" spans="1:8" ht="15.75" hidden="1" customHeight="1">
      <c r="A1620" s="1"/>
      <c r="B1620" s="2"/>
      <c r="C1620" s="1"/>
      <c r="D1620" s="1"/>
      <c r="F1620" s="59"/>
      <c r="G1620" s="32"/>
      <c r="H1620" s="32"/>
    </row>
    <row r="1621" spans="1:8" ht="15.75" hidden="1" customHeight="1">
      <c r="A1621" s="1"/>
      <c r="B1621" s="2"/>
      <c r="C1621" s="1"/>
      <c r="D1621" s="1"/>
      <c r="F1621" s="59"/>
      <c r="G1621" s="32"/>
      <c r="H1621" s="32"/>
    </row>
    <row r="1622" spans="1:8" ht="15.75" hidden="1" customHeight="1">
      <c r="A1622" s="1"/>
      <c r="B1622" s="2"/>
      <c r="C1622" s="1"/>
      <c r="D1622" s="1"/>
      <c r="F1622" s="59"/>
      <c r="G1622" s="32"/>
      <c r="H1622" s="32"/>
    </row>
    <row r="1623" spans="1:8" ht="15.75" hidden="1" customHeight="1">
      <c r="A1623" s="1"/>
      <c r="B1623" s="2"/>
      <c r="C1623" s="1"/>
      <c r="D1623" s="1"/>
      <c r="F1623" s="59"/>
      <c r="G1623" s="32"/>
      <c r="H1623" s="32"/>
    </row>
    <row r="1624" spans="1:8" ht="15.75" hidden="1" customHeight="1">
      <c r="A1624" s="1"/>
      <c r="B1624" s="2"/>
      <c r="C1624" s="1"/>
      <c r="D1624" s="1"/>
      <c r="F1624" s="59"/>
      <c r="G1624" s="32"/>
      <c r="H1624" s="32"/>
    </row>
    <row r="1625" spans="1:8" ht="15.75" hidden="1" customHeight="1">
      <c r="A1625" s="1"/>
      <c r="B1625" s="2"/>
      <c r="C1625" s="1"/>
      <c r="D1625" s="1"/>
      <c r="F1625" s="59"/>
      <c r="G1625" s="32"/>
      <c r="H1625" s="32"/>
    </row>
    <row r="1626" spans="1:8" ht="15.75" hidden="1" customHeight="1">
      <c r="A1626" s="1"/>
      <c r="B1626" s="2"/>
      <c r="C1626" s="1"/>
      <c r="D1626" s="1"/>
      <c r="F1626" s="59"/>
      <c r="G1626" s="32"/>
      <c r="H1626" s="32"/>
    </row>
    <row r="1627" spans="1:8" ht="15.75" hidden="1" customHeight="1">
      <c r="A1627" s="1"/>
      <c r="B1627" s="2"/>
      <c r="C1627" s="1"/>
      <c r="D1627" s="1"/>
      <c r="F1627" s="59"/>
      <c r="G1627" s="32"/>
      <c r="H1627" s="32"/>
    </row>
    <row r="1628" spans="1:8" ht="15.75" hidden="1" customHeight="1">
      <c r="A1628" s="1"/>
      <c r="B1628" s="2"/>
      <c r="C1628" s="1"/>
      <c r="D1628" s="1"/>
      <c r="F1628" s="59"/>
      <c r="G1628" s="32"/>
      <c r="H1628" s="32"/>
    </row>
    <row r="1629" spans="1:8" ht="15.75" hidden="1" customHeight="1">
      <c r="A1629" s="1"/>
      <c r="B1629" s="2"/>
      <c r="C1629" s="1"/>
      <c r="D1629" s="1"/>
      <c r="F1629" s="59"/>
      <c r="G1629" s="32"/>
      <c r="H1629" s="32"/>
    </row>
    <row r="1630" spans="1:8" ht="15.75" hidden="1" customHeight="1">
      <c r="A1630" s="1"/>
      <c r="B1630" s="2"/>
      <c r="C1630" s="1"/>
      <c r="D1630" s="1"/>
      <c r="F1630" s="59"/>
      <c r="G1630" s="32"/>
      <c r="H1630" s="32"/>
    </row>
    <row r="1631" spans="1:8" ht="15.75" hidden="1" customHeight="1">
      <c r="A1631" s="1"/>
      <c r="B1631" s="2"/>
      <c r="C1631" s="1"/>
      <c r="D1631" s="1"/>
      <c r="F1631" s="59"/>
      <c r="G1631" s="32"/>
      <c r="H1631" s="32"/>
    </row>
    <row r="1632" spans="1:8" ht="15.75" hidden="1" customHeight="1">
      <c r="A1632" s="1"/>
      <c r="B1632" s="2"/>
      <c r="C1632" s="1"/>
      <c r="D1632" s="1"/>
      <c r="F1632" s="59"/>
      <c r="G1632" s="32"/>
      <c r="H1632" s="32"/>
    </row>
    <row r="1633" spans="1:8" ht="15.75" hidden="1" customHeight="1">
      <c r="A1633" s="1"/>
      <c r="B1633" s="2"/>
      <c r="C1633" s="1"/>
      <c r="D1633" s="1"/>
      <c r="F1633" s="59"/>
      <c r="G1633" s="32"/>
      <c r="H1633" s="32"/>
    </row>
    <row r="1634" spans="1:8" ht="15.75" hidden="1" customHeight="1">
      <c r="A1634" s="1"/>
      <c r="B1634" s="2"/>
      <c r="C1634" s="1"/>
      <c r="D1634" s="1"/>
      <c r="F1634" s="59"/>
      <c r="G1634" s="32"/>
      <c r="H1634" s="32"/>
    </row>
    <row r="1635" spans="1:8" ht="15.75" hidden="1" customHeight="1">
      <c r="A1635" s="1"/>
      <c r="B1635" s="2"/>
      <c r="C1635" s="1"/>
      <c r="D1635" s="1"/>
      <c r="F1635" s="59"/>
      <c r="G1635" s="32"/>
      <c r="H1635" s="32"/>
    </row>
    <row r="1636" spans="1:8" ht="15.75" hidden="1" customHeight="1">
      <c r="A1636" s="1"/>
      <c r="B1636" s="2"/>
      <c r="C1636" s="1"/>
      <c r="D1636" s="1"/>
      <c r="F1636" s="59"/>
      <c r="G1636" s="32"/>
      <c r="H1636" s="32"/>
    </row>
    <row r="1637" spans="1:8" ht="15.75" hidden="1" customHeight="1">
      <c r="A1637" s="1"/>
      <c r="B1637" s="2"/>
      <c r="C1637" s="1"/>
      <c r="D1637" s="1"/>
      <c r="F1637" s="59"/>
      <c r="G1637" s="32"/>
      <c r="H1637" s="32"/>
    </row>
    <row r="1638" spans="1:8" ht="15.75" hidden="1" customHeight="1">
      <c r="A1638" s="1"/>
      <c r="B1638" s="2"/>
      <c r="C1638" s="1"/>
      <c r="D1638" s="1"/>
      <c r="F1638" s="59"/>
      <c r="G1638" s="32"/>
      <c r="H1638" s="32"/>
    </row>
    <row r="1639" spans="1:8" ht="15.75" hidden="1" customHeight="1">
      <c r="A1639" s="1"/>
      <c r="B1639" s="2"/>
      <c r="C1639" s="1"/>
      <c r="D1639" s="1"/>
      <c r="F1639" s="59"/>
      <c r="G1639" s="32"/>
      <c r="H1639" s="32"/>
    </row>
    <row r="1640" spans="1:8" ht="15.75" hidden="1" customHeight="1">
      <c r="A1640" s="1"/>
      <c r="B1640" s="2"/>
      <c r="C1640" s="1"/>
      <c r="D1640" s="1"/>
      <c r="F1640" s="59"/>
      <c r="G1640" s="32"/>
      <c r="H1640" s="32"/>
    </row>
    <row r="1641" spans="1:8" ht="15.75" hidden="1" customHeight="1">
      <c r="A1641" s="1"/>
      <c r="B1641" s="2"/>
      <c r="C1641" s="1"/>
      <c r="D1641" s="1"/>
      <c r="F1641" s="59"/>
      <c r="G1641" s="32"/>
      <c r="H1641" s="32"/>
    </row>
    <row r="1642" spans="1:8" ht="15.75" hidden="1" customHeight="1">
      <c r="A1642" s="1"/>
      <c r="B1642" s="2"/>
      <c r="C1642" s="1"/>
      <c r="D1642" s="1"/>
      <c r="F1642" s="59"/>
      <c r="G1642" s="32"/>
      <c r="H1642" s="32"/>
    </row>
    <row r="1643" spans="1:8" ht="15.75" hidden="1" customHeight="1">
      <c r="A1643" s="1"/>
      <c r="B1643" s="2"/>
      <c r="C1643" s="1"/>
      <c r="D1643" s="1"/>
      <c r="F1643" s="59"/>
      <c r="G1643" s="32"/>
      <c r="H1643" s="32"/>
    </row>
    <row r="1644" spans="1:8" ht="15.75" hidden="1" customHeight="1">
      <c r="A1644" s="1"/>
      <c r="B1644" s="2"/>
      <c r="C1644" s="1"/>
      <c r="D1644" s="1"/>
      <c r="F1644" s="59"/>
      <c r="G1644" s="32"/>
      <c r="H1644" s="32"/>
    </row>
    <row r="1645" spans="1:8" ht="15.75" hidden="1" customHeight="1">
      <c r="A1645" s="1"/>
      <c r="B1645" s="2"/>
      <c r="C1645" s="1"/>
      <c r="D1645" s="1"/>
      <c r="F1645" s="59"/>
      <c r="G1645" s="32"/>
      <c r="H1645" s="32"/>
    </row>
    <row r="1646" spans="1:8" ht="15.75" hidden="1" customHeight="1">
      <c r="A1646" s="1"/>
      <c r="B1646" s="2"/>
      <c r="C1646" s="1"/>
      <c r="D1646" s="1"/>
      <c r="F1646" s="59"/>
      <c r="G1646" s="32"/>
      <c r="H1646" s="32"/>
    </row>
    <row r="1647" spans="1:8" ht="15.75" hidden="1" customHeight="1">
      <c r="A1647" s="1"/>
      <c r="B1647" s="2"/>
      <c r="C1647" s="1"/>
      <c r="D1647" s="1"/>
      <c r="F1647" s="59"/>
      <c r="G1647" s="32"/>
      <c r="H1647" s="32"/>
    </row>
    <row r="1648" spans="1:8" ht="15.75" hidden="1" customHeight="1">
      <c r="A1648" s="1"/>
      <c r="B1648" s="2"/>
      <c r="C1648" s="1"/>
      <c r="D1648" s="1"/>
      <c r="F1648" s="59"/>
      <c r="G1648" s="32"/>
      <c r="H1648" s="32"/>
    </row>
    <row r="1649" spans="1:8" ht="15.75" hidden="1" customHeight="1">
      <c r="A1649" s="1"/>
      <c r="B1649" s="2"/>
      <c r="C1649" s="1"/>
      <c r="D1649" s="1"/>
      <c r="F1649" s="59"/>
      <c r="G1649" s="32"/>
      <c r="H1649" s="32"/>
    </row>
    <row r="1650" spans="1:8" ht="15.75" hidden="1" customHeight="1">
      <c r="A1650" s="1"/>
      <c r="B1650" s="2"/>
      <c r="C1650" s="1"/>
      <c r="D1650" s="1"/>
      <c r="F1650" s="59"/>
      <c r="G1650" s="32"/>
      <c r="H1650" s="32"/>
    </row>
    <row r="1651" spans="1:8" ht="15.75" hidden="1" customHeight="1">
      <c r="A1651" s="1"/>
      <c r="B1651" s="2"/>
      <c r="C1651" s="1"/>
      <c r="D1651" s="1"/>
      <c r="F1651" s="59"/>
      <c r="G1651" s="32"/>
      <c r="H1651" s="32"/>
    </row>
    <row r="1652" spans="1:8" ht="15.75" hidden="1" customHeight="1">
      <c r="A1652" s="1"/>
      <c r="B1652" s="2"/>
      <c r="C1652" s="1"/>
      <c r="D1652" s="1"/>
      <c r="F1652" s="59"/>
      <c r="G1652" s="32"/>
      <c r="H1652" s="32"/>
    </row>
    <row r="1653" spans="1:8" ht="15.75" hidden="1" customHeight="1">
      <c r="A1653" s="1"/>
      <c r="B1653" s="2"/>
      <c r="C1653" s="1"/>
      <c r="D1653" s="1"/>
      <c r="F1653" s="59"/>
      <c r="G1653" s="32"/>
      <c r="H1653" s="32"/>
    </row>
    <row r="1654" spans="1:8" ht="15.75" hidden="1" customHeight="1">
      <c r="A1654" s="1"/>
      <c r="B1654" s="2"/>
      <c r="C1654" s="1"/>
      <c r="D1654" s="1"/>
      <c r="F1654" s="59"/>
      <c r="G1654" s="32"/>
      <c r="H1654" s="32"/>
    </row>
    <row r="1655" spans="1:8" ht="15.75" hidden="1" customHeight="1">
      <c r="A1655" s="1"/>
      <c r="B1655" s="2"/>
      <c r="C1655" s="1"/>
      <c r="D1655" s="1"/>
      <c r="F1655" s="59"/>
      <c r="G1655" s="32"/>
      <c r="H1655" s="32"/>
    </row>
    <row r="1656" spans="1:8" ht="15.75" hidden="1" customHeight="1">
      <c r="A1656" s="1"/>
      <c r="B1656" s="2"/>
      <c r="C1656" s="1"/>
      <c r="D1656" s="1"/>
      <c r="F1656" s="59"/>
      <c r="G1656" s="32"/>
      <c r="H1656" s="32"/>
    </row>
    <row r="1657" spans="1:8" ht="15.75" hidden="1" customHeight="1">
      <c r="A1657" s="1"/>
      <c r="B1657" s="2"/>
      <c r="C1657" s="1"/>
      <c r="D1657" s="1"/>
      <c r="F1657" s="59"/>
      <c r="G1657" s="32"/>
      <c r="H1657" s="32"/>
    </row>
    <row r="1658" spans="1:8" ht="15.75" hidden="1" customHeight="1">
      <c r="A1658" s="1"/>
      <c r="B1658" s="2"/>
      <c r="C1658" s="1"/>
      <c r="D1658" s="1"/>
      <c r="F1658" s="59"/>
      <c r="G1658" s="32"/>
      <c r="H1658" s="32"/>
    </row>
    <row r="1659" spans="1:8" ht="15.75" hidden="1" customHeight="1">
      <c r="A1659" s="1"/>
      <c r="B1659" s="2"/>
      <c r="C1659" s="1"/>
      <c r="D1659" s="1"/>
      <c r="F1659" s="59"/>
      <c r="G1659" s="32"/>
      <c r="H1659" s="32"/>
    </row>
    <row r="1660" spans="1:8" ht="15.75" hidden="1" customHeight="1">
      <c r="A1660" s="1"/>
      <c r="B1660" s="2"/>
      <c r="C1660" s="1"/>
      <c r="D1660" s="1"/>
      <c r="F1660" s="59"/>
      <c r="G1660" s="32"/>
      <c r="H1660" s="32"/>
    </row>
    <row r="1661" spans="1:8" ht="15.75" hidden="1" customHeight="1">
      <c r="A1661" s="1"/>
      <c r="B1661" s="2"/>
      <c r="C1661" s="1"/>
      <c r="D1661" s="1"/>
      <c r="F1661" s="59"/>
      <c r="G1661" s="32"/>
      <c r="H1661" s="32"/>
    </row>
    <row r="1662" spans="1:8" ht="15.75" hidden="1" customHeight="1">
      <c r="A1662" s="1"/>
      <c r="B1662" s="2"/>
      <c r="C1662" s="1"/>
      <c r="D1662" s="1"/>
      <c r="F1662" s="59"/>
      <c r="G1662" s="32"/>
      <c r="H1662" s="32"/>
    </row>
    <row r="1663" spans="1:8" ht="15.75" hidden="1" customHeight="1">
      <c r="A1663" s="1"/>
      <c r="B1663" s="2"/>
      <c r="C1663" s="1"/>
      <c r="D1663" s="1"/>
      <c r="F1663" s="59"/>
      <c r="G1663" s="32"/>
      <c r="H1663" s="32"/>
    </row>
    <row r="1664" spans="1:8" ht="15.75" hidden="1" customHeight="1">
      <c r="A1664" s="1"/>
      <c r="B1664" s="2"/>
      <c r="C1664" s="1"/>
      <c r="D1664" s="1"/>
      <c r="F1664" s="59"/>
      <c r="G1664" s="32"/>
      <c r="H1664" s="32"/>
    </row>
    <row r="1665" spans="1:8" ht="15.75" hidden="1" customHeight="1">
      <c r="A1665" s="1"/>
      <c r="B1665" s="2"/>
      <c r="C1665" s="1"/>
      <c r="D1665" s="1"/>
      <c r="F1665" s="59"/>
      <c r="G1665" s="32"/>
      <c r="H1665" s="32"/>
    </row>
    <row r="1666" spans="1:8" ht="15.75" hidden="1" customHeight="1">
      <c r="A1666" s="1"/>
      <c r="B1666" s="2"/>
      <c r="C1666" s="1"/>
      <c r="D1666" s="1"/>
      <c r="F1666" s="59"/>
      <c r="G1666" s="32"/>
      <c r="H1666" s="32"/>
    </row>
    <row r="1667" spans="1:8" ht="15.75" hidden="1" customHeight="1">
      <c r="A1667" s="1"/>
      <c r="B1667" s="2"/>
      <c r="C1667" s="1"/>
      <c r="D1667" s="1"/>
      <c r="F1667" s="59"/>
      <c r="G1667" s="32"/>
      <c r="H1667" s="32"/>
    </row>
    <row r="1668" spans="1:8" ht="15.75" hidden="1" customHeight="1">
      <c r="A1668" s="1"/>
      <c r="B1668" s="2"/>
      <c r="C1668" s="1"/>
      <c r="D1668" s="1"/>
      <c r="F1668" s="59"/>
      <c r="G1668" s="32"/>
      <c r="H1668" s="32"/>
    </row>
    <row r="1669" spans="1:8" ht="15.75" hidden="1" customHeight="1">
      <c r="A1669" s="1"/>
      <c r="B1669" s="2"/>
      <c r="C1669" s="1"/>
      <c r="D1669" s="1"/>
      <c r="F1669" s="59"/>
      <c r="G1669" s="32"/>
      <c r="H1669" s="32"/>
    </row>
    <row r="1670" spans="1:8" ht="15.75" hidden="1" customHeight="1">
      <c r="A1670" s="1"/>
      <c r="B1670" s="2"/>
      <c r="C1670" s="1"/>
      <c r="D1670" s="1"/>
      <c r="F1670" s="59"/>
      <c r="G1670" s="32"/>
      <c r="H1670" s="32"/>
    </row>
    <row r="1671" spans="1:8" ht="15.75" hidden="1" customHeight="1">
      <c r="A1671" s="1"/>
      <c r="B1671" s="2"/>
      <c r="C1671" s="1"/>
      <c r="D1671" s="1"/>
      <c r="F1671" s="59"/>
      <c r="G1671" s="32"/>
      <c r="H1671" s="32"/>
    </row>
    <row r="1672" spans="1:8" ht="15.75" hidden="1" customHeight="1">
      <c r="A1672" s="1"/>
      <c r="B1672" s="2"/>
      <c r="C1672" s="1"/>
      <c r="D1672" s="1"/>
      <c r="F1672" s="59"/>
      <c r="G1672" s="32"/>
      <c r="H1672" s="32"/>
    </row>
    <row r="1673" spans="1:8" ht="15.75" hidden="1" customHeight="1">
      <c r="A1673" s="1"/>
      <c r="B1673" s="2"/>
      <c r="C1673" s="1"/>
      <c r="D1673" s="1"/>
      <c r="F1673" s="59"/>
      <c r="G1673" s="32"/>
      <c r="H1673" s="32"/>
    </row>
    <row r="1674" spans="1:8" ht="15.75" hidden="1" customHeight="1">
      <c r="A1674" s="1"/>
      <c r="B1674" s="2"/>
      <c r="C1674" s="1"/>
      <c r="D1674" s="1"/>
      <c r="F1674" s="59"/>
      <c r="G1674" s="32"/>
      <c r="H1674" s="32"/>
    </row>
    <row r="1675" spans="1:8" ht="15.75" hidden="1" customHeight="1">
      <c r="A1675" s="1"/>
      <c r="B1675" s="2"/>
      <c r="C1675" s="1"/>
      <c r="D1675" s="1"/>
      <c r="F1675" s="59"/>
      <c r="G1675" s="32"/>
      <c r="H1675" s="32"/>
    </row>
    <row r="1676" spans="1:8" ht="15.75" hidden="1" customHeight="1">
      <c r="A1676" s="1"/>
      <c r="B1676" s="2"/>
      <c r="C1676" s="1"/>
      <c r="D1676" s="1"/>
      <c r="F1676" s="59"/>
      <c r="G1676" s="32"/>
      <c r="H1676" s="32"/>
    </row>
    <row r="1677" spans="1:8" ht="15.75" hidden="1" customHeight="1">
      <c r="A1677" s="1"/>
      <c r="B1677" s="2"/>
      <c r="C1677" s="1"/>
      <c r="D1677" s="1"/>
      <c r="F1677" s="59"/>
      <c r="G1677" s="32"/>
      <c r="H1677" s="32"/>
    </row>
    <row r="1678" spans="1:8" ht="15.75" hidden="1" customHeight="1">
      <c r="A1678" s="1"/>
      <c r="B1678" s="2"/>
      <c r="C1678" s="1"/>
      <c r="D1678" s="1"/>
      <c r="F1678" s="59"/>
      <c r="G1678" s="32"/>
      <c r="H1678" s="32"/>
    </row>
    <row r="1679" spans="1:8" ht="15.75" hidden="1" customHeight="1">
      <c r="A1679" s="1"/>
      <c r="B1679" s="2"/>
      <c r="C1679" s="1"/>
      <c r="D1679" s="1"/>
      <c r="F1679" s="59"/>
      <c r="G1679" s="32"/>
      <c r="H1679" s="32"/>
    </row>
    <row r="1680" spans="1:8" ht="15.75" hidden="1" customHeight="1">
      <c r="A1680" s="1"/>
      <c r="B1680" s="2"/>
      <c r="C1680" s="1"/>
      <c r="D1680" s="1"/>
      <c r="F1680" s="59"/>
      <c r="G1680" s="32"/>
      <c r="H1680" s="32"/>
    </row>
    <row r="1681" spans="1:8" ht="15.75" hidden="1" customHeight="1">
      <c r="A1681" s="1"/>
      <c r="B1681" s="2"/>
      <c r="C1681" s="1"/>
      <c r="D1681" s="1"/>
      <c r="F1681" s="59"/>
      <c r="G1681" s="32"/>
      <c r="H1681" s="32"/>
    </row>
    <row r="1682" spans="1:8" ht="15.75" hidden="1" customHeight="1">
      <c r="A1682" s="1"/>
      <c r="B1682" s="2"/>
      <c r="C1682" s="1"/>
      <c r="D1682" s="1"/>
      <c r="F1682" s="59"/>
      <c r="G1682" s="32"/>
      <c r="H1682" s="32"/>
    </row>
    <row r="1683" spans="1:8" ht="15.75" hidden="1" customHeight="1">
      <c r="A1683" s="1"/>
      <c r="B1683" s="2"/>
      <c r="C1683" s="1"/>
      <c r="D1683" s="1"/>
      <c r="F1683" s="59"/>
      <c r="G1683" s="32"/>
      <c r="H1683" s="32"/>
    </row>
    <row r="1684" spans="1:8" ht="15.75" hidden="1" customHeight="1">
      <c r="A1684" s="1"/>
      <c r="B1684" s="2"/>
      <c r="C1684" s="1"/>
      <c r="D1684" s="1"/>
      <c r="F1684" s="59"/>
      <c r="G1684" s="32"/>
      <c r="H1684" s="32"/>
    </row>
    <row r="1685" spans="1:8" ht="15.75" hidden="1" customHeight="1">
      <c r="A1685" s="1"/>
      <c r="B1685" s="2"/>
      <c r="C1685" s="1"/>
      <c r="D1685" s="1"/>
      <c r="F1685" s="59"/>
      <c r="G1685" s="32"/>
      <c r="H1685" s="32"/>
    </row>
    <row r="1686" spans="1:8" ht="15.75" hidden="1" customHeight="1">
      <c r="A1686" s="1"/>
      <c r="B1686" s="2"/>
      <c r="C1686" s="1"/>
      <c r="D1686" s="1"/>
      <c r="F1686" s="59"/>
      <c r="G1686" s="32"/>
      <c r="H1686" s="32"/>
    </row>
    <row r="1687" spans="1:8" ht="15.75" hidden="1" customHeight="1">
      <c r="A1687" s="1"/>
      <c r="B1687" s="2"/>
      <c r="C1687" s="1"/>
      <c r="D1687" s="1"/>
      <c r="F1687" s="59"/>
      <c r="G1687" s="32"/>
      <c r="H1687" s="32"/>
    </row>
    <row r="1688" spans="1:8" ht="15.75" hidden="1" customHeight="1">
      <c r="A1688" s="1"/>
      <c r="B1688" s="2"/>
      <c r="C1688" s="1"/>
      <c r="D1688" s="1"/>
      <c r="F1688" s="59"/>
      <c r="G1688" s="32"/>
      <c r="H1688" s="32"/>
    </row>
    <row r="1689" spans="1:8" ht="15.75" hidden="1" customHeight="1">
      <c r="A1689" s="1"/>
      <c r="B1689" s="2"/>
      <c r="C1689" s="1"/>
      <c r="D1689" s="1"/>
      <c r="F1689" s="59"/>
      <c r="G1689" s="32"/>
      <c r="H1689" s="32"/>
    </row>
    <row r="1690" spans="1:8" ht="15.75" hidden="1" customHeight="1">
      <c r="A1690" s="1"/>
      <c r="B1690" s="2"/>
      <c r="C1690" s="1"/>
      <c r="D1690" s="1"/>
      <c r="F1690" s="59"/>
      <c r="G1690" s="32"/>
      <c r="H1690" s="32"/>
    </row>
    <row r="1691" spans="1:8" ht="15.75" hidden="1" customHeight="1">
      <c r="A1691" s="1"/>
      <c r="B1691" s="2"/>
      <c r="C1691" s="1"/>
      <c r="D1691" s="1"/>
      <c r="F1691" s="59"/>
      <c r="G1691" s="32"/>
      <c r="H1691" s="32"/>
    </row>
    <row r="1692" spans="1:8" ht="15.75" hidden="1" customHeight="1">
      <c r="A1692" s="1"/>
      <c r="B1692" s="2"/>
      <c r="C1692" s="1"/>
      <c r="D1692" s="1"/>
      <c r="F1692" s="59"/>
      <c r="G1692" s="32"/>
      <c r="H1692" s="32"/>
    </row>
    <row r="1693" spans="1:8" ht="15.75" hidden="1" customHeight="1">
      <c r="A1693" s="1"/>
      <c r="B1693" s="2"/>
      <c r="C1693" s="1"/>
      <c r="D1693" s="1"/>
      <c r="F1693" s="59"/>
      <c r="G1693" s="32"/>
      <c r="H1693" s="32"/>
    </row>
    <row r="1694" spans="1:8" ht="15.75" hidden="1" customHeight="1">
      <c r="A1694" s="1"/>
      <c r="B1694" s="2"/>
      <c r="C1694" s="1"/>
      <c r="D1694" s="1"/>
      <c r="F1694" s="59"/>
      <c r="G1694" s="32"/>
      <c r="H1694" s="32"/>
    </row>
    <row r="1695" spans="1:8" ht="15.75" hidden="1" customHeight="1">
      <c r="A1695" s="1"/>
      <c r="B1695" s="2"/>
      <c r="C1695" s="1"/>
      <c r="D1695" s="1"/>
      <c r="F1695" s="59"/>
      <c r="G1695" s="32"/>
      <c r="H1695" s="32"/>
    </row>
    <row r="1696" spans="1:8" ht="15.75" hidden="1" customHeight="1">
      <c r="A1696" s="1"/>
      <c r="B1696" s="2"/>
      <c r="C1696" s="1"/>
      <c r="D1696" s="1"/>
      <c r="F1696" s="59"/>
      <c r="G1696" s="32"/>
      <c r="H1696" s="32"/>
    </row>
    <row r="1697" spans="1:8" ht="15.75" hidden="1" customHeight="1">
      <c r="A1697" s="1"/>
      <c r="B1697" s="2"/>
      <c r="C1697" s="1"/>
      <c r="D1697" s="1"/>
      <c r="F1697" s="59"/>
      <c r="G1697" s="32"/>
      <c r="H1697" s="32"/>
    </row>
    <row r="1698" spans="1:8" ht="15.75" hidden="1" customHeight="1">
      <c r="A1698" s="1"/>
      <c r="B1698" s="2"/>
      <c r="C1698" s="1"/>
      <c r="D1698" s="1"/>
      <c r="F1698" s="59"/>
      <c r="G1698" s="32"/>
      <c r="H1698" s="32"/>
    </row>
    <row r="1699" spans="1:8" ht="15.75" hidden="1" customHeight="1">
      <c r="A1699" s="1"/>
      <c r="B1699" s="2"/>
      <c r="C1699" s="1"/>
      <c r="D1699" s="1"/>
      <c r="F1699" s="59"/>
      <c r="G1699" s="32"/>
      <c r="H1699" s="32"/>
    </row>
    <row r="1700" spans="1:8" ht="15.75" hidden="1" customHeight="1">
      <c r="A1700" s="1"/>
      <c r="B1700" s="2"/>
      <c r="C1700" s="1"/>
      <c r="D1700" s="1"/>
      <c r="F1700" s="59"/>
      <c r="G1700" s="32"/>
      <c r="H1700" s="32"/>
    </row>
    <row r="1701" spans="1:8" ht="15.75" hidden="1" customHeight="1">
      <c r="A1701" s="1"/>
      <c r="B1701" s="2"/>
      <c r="C1701" s="1"/>
      <c r="D1701" s="1"/>
      <c r="F1701" s="59"/>
      <c r="G1701" s="32"/>
      <c r="H1701" s="32"/>
    </row>
    <row r="1702" spans="1:8" ht="15.75" hidden="1" customHeight="1">
      <c r="A1702" s="1"/>
      <c r="B1702" s="2"/>
      <c r="C1702" s="1"/>
      <c r="D1702" s="1"/>
      <c r="F1702" s="59"/>
      <c r="G1702" s="32"/>
      <c r="H1702" s="32"/>
    </row>
    <row r="1703" spans="1:8" ht="15.75" hidden="1" customHeight="1">
      <c r="A1703" s="1"/>
      <c r="B1703" s="2"/>
      <c r="C1703" s="1"/>
      <c r="D1703" s="1"/>
      <c r="F1703" s="59"/>
      <c r="G1703" s="32"/>
      <c r="H1703" s="32"/>
    </row>
    <row r="1704" spans="1:8" ht="15.75" hidden="1" customHeight="1">
      <c r="A1704" s="1"/>
      <c r="B1704" s="2"/>
      <c r="C1704" s="1"/>
      <c r="D1704" s="1"/>
      <c r="F1704" s="59"/>
      <c r="G1704" s="32"/>
      <c r="H1704" s="32"/>
    </row>
    <row r="1705" spans="1:8" ht="15.75" hidden="1" customHeight="1">
      <c r="A1705" s="1"/>
      <c r="B1705" s="2"/>
      <c r="C1705" s="1"/>
      <c r="D1705" s="1"/>
      <c r="F1705" s="59"/>
      <c r="G1705" s="32"/>
      <c r="H1705" s="32"/>
    </row>
    <row r="1706" spans="1:8" ht="15.75" hidden="1" customHeight="1">
      <c r="A1706" s="1"/>
      <c r="B1706" s="2"/>
      <c r="C1706" s="1"/>
      <c r="D1706" s="1"/>
      <c r="F1706" s="59"/>
      <c r="G1706" s="32"/>
      <c r="H1706" s="32"/>
    </row>
    <row r="1707" spans="1:8" ht="15.75" hidden="1" customHeight="1">
      <c r="A1707" s="1"/>
      <c r="B1707" s="2"/>
      <c r="C1707" s="1"/>
      <c r="D1707" s="1"/>
      <c r="F1707" s="59"/>
      <c r="G1707" s="32"/>
      <c r="H1707" s="32"/>
    </row>
    <row r="1708" spans="1:8" ht="15.75" hidden="1" customHeight="1">
      <c r="A1708" s="1"/>
      <c r="B1708" s="2"/>
      <c r="C1708" s="1"/>
      <c r="D1708" s="1"/>
      <c r="F1708" s="59"/>
      <c r="G1708" s="32"/>
      <c r="H1708" s="32"/>
    </row>
    <row r="1709" spans="1:8" ht="15.75" hidden="1" customHeight="1">
      <c r="A1709" s="1"/>
      <c r="B1709" s="2"/>
      <c r="C1709" s="1"/>
      <c r="D1709" s="1"/>
      <c r="F1709" s="59"/>
      <c r="G1709" s="32"/>
      <c r="H1709" s="32"/>
    </row>
    <row r="1710" spans="1:8" ht="15.75" hidden="1" customHeight="1">
      <c r="A1710" s="1"/>
      <c r="B1710" s="2"/>
      <c r="C1710" s="1"/>
      <c r="D1710" s="1"/>
      <c r="F1710" s="59"/>
      <c r="G1710" s="32"/>
      <c r="H1710" s="32"/>
    </row>
    <row r="1711" spans="1:8" ht="15.75" hidden="1" customHeight="1">
      <c r="A1711" s="1"/>
      <c r="B1711" s="2"/>
      <c r="C1711" s="1"/>
      <c r="D1711" s="1"/>
      <c r="F1711" s="59"/>
      <c r="G1711" s="32"/>
      <c r="H1711" s="32"/>
    </row>
    <row r="1712" spans="1:8" ht="15.75" hidden="1" customHeight="1">
      <c r="A1712" s="1"/>
      <c r="B1712" s="2"/>
      <c r="C1712" s="1"/>
      <c r="D1712" s="1"/>
      <c r="F1712" s="59"/>
      <c r="G1712" s="32"/>
      <c r="H1712" s="32"/>
    </row>
    <row r="1713" spans="1:8" ht="15.75" hidden="1" customHeight="1">
      <c r="A1713" s="1"/>
      <c r="B1713" s="2"/>
      <c r="C1713" s="1"/>
      <c r="D1713" s="1"/>
      <c r="F1713" s="59"/>
      <c r="G1713" s="32"/>
      <c r="H1713" s="32"/>
    </row>
    <row r="1714" spans="1:8" ht="15.75" hidden="1" customHeight="1">
      <c r="A1714" s="1"/>
      <c r="B1714" s="2"/>
      <c r="C1714" s="1"/>
      <c r="D1714" s="1"/>
      <c r="F1714" s="59"/>
      <c r="G1714" s="32"/>
      <c r="H1714" s="32"/>
    </row>
    <row r="1715" spans="1:8" ht="15.75" hidden="1" customHeight="1">
      <c r="A1715" s="1"/>
      <c r="B1715" s="2"/>
      <c r="C1715" s="1"/>
      <c r="D1715" s="1"/>
      <c r="F1715" s="59"/>
      <c r="G1715" s="32"/>
      <c r="H1715" s="32"/>
    </row>
    <row r="1716" spans="1:8" ht="15.75" hidden="1" customHeight="1">
      <c r="A1716" s="1"/>
      <c r="B1716" s="2"/>
      <c r="C1716" s="1"/>
      <c r="D1716" s="1"/>
      <c r="F1716" s="59"/>
      <c r="G1716" s="32"/>
      <c r="H1716" s="32"/>
    </row>
    <row r="1717" spans="1:8" ht="15.75" hidden="1" customHeight="1">
      <c r="A1717" s="1"/>
      <c r="B1717" s="2"/>
      <c r="C1717" s="1"/>
      <c r="D1717" s="1"/>
      <c r="F1717" s="59"/>
      <c r="G1717" s="32"/>
      <c r="H1717" s="32"/>
    </row>
    <row r="1718" spans="1:8" ht="15.75" hidden="1" customHeight="1">
      <c r="A1718" s="1"/>
      <c r="B1718" s="2"/>
      <c r="C1718" s="1"/>
      <c r="D1718" s="1"/>
      <c r="F1718" s="59"/>
      <c r="G1718" s="32"/>
      <c r="H1718" s="32"/>
    </row>
    <row r="1719" spans="1:8" ht="15.75" hidden="1" customHeight="1">
      <c r="A1719" s="1"/>
      <c r="B1719" s="2"/>
      <c r="C1719" s="1"/>
      <c r="D1719" s="1"/>
      <c r="F1719" s="59"/>
      <c r="G1719" s="32"/>
      <c r="H1719" s="32"/>
    </row>
    <row r="1720" spans="1:8" ht="15.75" hidden="1" customHeight="1">
      <c r="A1720" s="1"/>
      <c r="B1720" s="2"/>
      <c r="C1720" s="1"/>
      <c r="D1720" s="1"/>
      <c r="F1720" s="59"/>
      <c r="G1720" s="32"/>
      <c r="H1720" s="32"/>
    </row>
    <row r="1721" spans="1:8" ht="15.75" hidden="1" customHeight="1">
      <c r="A1721" s="1"/>
      <c r="B1721" s="2"/>
      <c r="C1721" s="1"/>
      <c r="D1721" s="1"/>
      <c r="F1721" s="59"/>
      <c r="G1721" s="32"/>
      <c r="H1721" s="32"/>
    </row>
    <row r="1722" spans="1:8" ht="15.75" hidden="1" customHeight="1">
      <c r="A1722" s="1"/>
      <c r="B1722" s="2"/>
      <c r="C1722" s="1"/>
      <c r="D1722" s="1"/>
      <c r="F1722" s="59"/>
      <c r="G1722" s="32"/>
      <c r="H1722" s="32"/>
    </row>
    <row r="1723" spans="1:8" ht="15.75" hidden="1" customHeight="1">
      <c r="A1723" s="1"/>
      <c r="B1723" s="2"/>
      <c r="C1723" s="1"/>
      <c r="D1723" s="1"/>
      <c r="F1723" s="59"/>
      <c r="G1723" s="32"/>
      <c r="H1723" s="32"/>
    </row>
    <row r="1724" spans="1:8" ht="15.75" hidden="1" customHeight="1">
      <c r="A1724" s="1"/>
      <c r="B1724" s="2"/>
      <c r="C1724" s="1"/>
      <c r="D1724" s="1"/>
      <c r="F1724" s="59"/>
      <c r="G1724" s="32"/>
      <c r="H1724" s="32"/>
    </row>
    <row r="1725" spans="1:8" ht="15.75" hidden="1" customHeight="1">
      <c r="A1725" s="1"/>
      <c r="B1725" s="2"/>
      <c r="C1725" s="1"/>
      <c r="D1725" s="1"/>
      <c r="F1725" s="59"/>
      <c r="G1725" s="32"/>
      <c r="H1725" s="32"/>
    </row>
    <row r="1726" spans="1:8" ht="15.75" hidden="1" customHeight="1">
      <c r="A1726" s="1"/>
      <c r="B1726" s="2"/>
      <c r="C1726" s="1"/>
      <c r="D1726" s="1"/>
      <c r="F1726" s="59"/>
      <c r="G1726" s="32"/>
      <c r="H1726" s="32"/>
    </row>
    <row r="1727" spans="1:8" ht="15.75" hidden="1" customHeight="1">
      <c r="A1727" s="1"/>
      <c r="B1727" s="2"/>
      <c r="C1727" s="1"/>
      <c r="D1727" s="1"/>
      <c r="F1727" s="59"/>
      <c r="G1727" s="32"/>
      <c r="H1727" s="32"/>
    </row>
    <row r="1728" spans="1:8" ht="15.75" hidden="1" customHeight="1">
      <c r="A1728" s="1"/>
      <c r="B1728" s="2"/>
      <c r="C1728" s="1"/>
      <c r="D1728" s="1"/>
      <c r="F1728" s="59"/>
      <c r="G1728" s="32"/>
      <c r="H1728" s="32"/>
    </row>
    <row r="1729" spans="1:8" ht="15.75" hidden="1" customHeight="1">
      <c r="A1729" s="1"/>
      <c r="B1729" s="2"/>
      <c r="C1729" s="1"/>
      <c r="D1729" s="1"/>
      <c r="F1729" s="59"/>
      <c r="G1729" s="32"/>
      <c r="H1729" s="32"/>
    </row>
    <row r="1730" spans="1:8" ht="15.75" hidden="1" customHeight="1">
      <c r="A1730" s="1"/>
      <c r="B1730" s="2"/>
      <c r="C1730" s="1"/>
      <c r="D1730" s="1"/>
      <c r="F1730" s="59"/>
      <c r="G1730" s="32"/>
      <c r="H1730" s="32"/>
    </row>
    <row r="1731" spans="1:8" ht="15.75" hidden="1" customHeight="1">
      <c r="A1731" s="1"/>
      <c r="B1731" s="2"/>
      <c r="C1731" s="1"/>
      <c r="D1731" s="1"/>
      <c r="F1731" s="59"/>
      <c r="G1731" s="32"/>
      <c r="H1731" s="32"/>
    </row>
    <row r="1732" spans="1:8" ht="15.75" hidden="1" customHeight="1">
      <c r="A1732" s="1"/>
      <c r="B1732" s="2"/>
      <c r="C1732" s="1"/>
      <c r="D1732" s="1"/>
      <c r="F1732" s="59"/>
      <c r="G1732" s="32"/>
      <c r="H1732" s="32"/>
    </row>
    <row r="1733" spans="1:8" ht="15.75" hidden="1" customHeight="1">
      <c r="A1733" s="1"/>
      <c r="B1733" s="2"/>
      <c r="C1733" s="1"/>
      <c r="D1733" s="1"/>
      <c r="F1733" s="59"/>
      <c r="G1733" s="32"/>
      <c r="H1733" s="32"/>
    </row>
    <row r="1734" spans="1:8" ht="15.75" hidden="1" customHeight="1">
      <c r="A1734" s="1"/>
      <c r="B1734" s="2"/>
      <c r="C1734" s="1"/>
      <c r="D1734" s="1"/>
      <c r="F1734" s="59"/>
      <c r="G1734" s="32"/>
      <c r="H1734" s="32"/>
    </row>
    <row r="1735" spans="1:8" ht="15.75" hidden="1" customHeight="1">
      <c r="A1735" s="1"/>
      <c r="B1735" s="2"/>
      <c r="C1735" s="1"/>
      <c r="D1735" s="1"/>
      <c r="F1735" s="59"/>
      <c r="G1735" s="32"/>
      <c r="H1735" s="32"/>
    </row>
    <row r="1736" spans="1:8" ht="15.75" hidden="1" customHeight="1">
      <c r="A1736" s="1"/>
      <c r="B1736" s="2"/>
      <c r="C1736" s="1"/>
      <c r="D1736" s="1"/>
      <c r="F1736" s="59"/>
      <c r="G1736" s="32"/>
      <c r="H1736" s="32"/>
    </row>
    <row r="1737" spans="1:8" ht="15.75" hidden="1" customHeight="1">
      <c r="A1737" s="1"/>
      <c r="B1737" s="2"/>
      <c r="C1737" s="1"/>
      <c r="D1737" s="1"/>
      <c r="F1737" s="59"/>
      <c r="G1737" s="32"/>
      <c r="H1737" s="32"/>
    </row>
    <row r="1738" spans="1:8" ht="15.75" hidden="1" customHeight="1">
      <c r="A1738" s="1"/>
      <c r="B1738" s="2"/>
      <c r="C1738" s="1"/>
      <c r="D1738" s="1"/>
      <c r="F1738" s="59"/>
      <c r="G1738" s="32"/>
      <c r="H1738" s="32"/>
    </row>
    <row r="1739" spans="1:8" ht="15.75" hidden="1" customHeight="1">
      <c r="A1739" s="1"/>
      <c r="B1739" s="2"/>
      <c r="C1739" s="1"/>
      <c r="D1739" s="1"/>
      <c r="F1739" s="59"/>
      <c r="G1739" s="32"/>
      <c r="H1739" s="32"/>
    </row>
    <row r="1740" spans="1:8" ht="15.75" hidden="1" customHeight="1">
      <c r="A1740" s="1"/>
      <c r="B1740" s="2"/>
      <c r="C1740" s="1"/>
      <c r="D1740" s="1"/>
      <c r="F1740" s="59"/>
      <c r="G1740" s="32"/>
      <c r="H1740" s="32"/>
    </row>
    <row r="1741" spans="1:8" ht="15.75" hidden="1" customHeight="1">
      <c r="A1741" s="1"/>
      <c r="B1741" s="2"/>
      <c r="C1741" s="1"/>
      <c r="D1741" s="1"/>
      <c r="F1741" s="59"/>
      <c r="G1741" s="32"/>
      <c r="H1741" s="32"/>
    </row>
    <row r="1742" spans="1:8" ht="15.75" hidden="1" customHeight="1">
      <c r="A1742" s="1"/>
      <c r="B1742" s="2"/>
      <c r="C1742" s="1"/>
      <c r="D1742" s="1"/>
      <c r="F1742" s="59"/>
      <c r="G1742" s="32"/>
      <c r="H1742" s="32"/>
    </row>
    <row r="1743" spans="1:8" ht="15.75" hidden="1" customHeight="1">
      <c r="A1743" s="1"/>
      <c r="B1743" s="2"/>
      <c r="C1743" s="1"/>
      <c r="D1743" s="1"/>
      <c r="F1743" s="59"/>
      <c r="G1743" s="32"/>
      <c r="H1743" s="32"/>
    </row>
    <row r="1744" spans="1:8" ht="15.75" hidden="1" customHeight="1">
      <c r="A1744" s="1"/>
      <c r="B1744" s="2"/>
      <c r="C1744" s="1"/>
      <c r="D1744" s="1"/>
      <c r="F1744" s="59"/>
      <c r="G1744" s="32"/>
      <c r="H1744" s="32"/>
    </row>
    <row r="1745" spans="1:8" ht="15.75" hidden="1" customHeight="1">
      <c r="A1745" s="1"/>
      <c r="B1745" s="2"/>
      <c r="C1745" s="1"/>
      <c r="D1745" s="1"/>
      <c r="F1745" s="59"/>
      <c r="G1745" s="32"/>
      <c r="H1745" s="32"/>
    </row>
    <row r="1746" spans="1:8" ht="15.75" hidden="1" customHeight="1">
      <c r="A1746" s="1"/>
      <c r="B1746" s="2"/>
      <c r="C1746" s="1"/>
      <c r="D1746" s="1"/>
      <c r="F1746" s="59"/>
      <c r="G1746" s="32"/>
      <c r="H1746" s="32"/>
    </row>
    <row r="1747" spans="1:8" ht="15.75" hidden="1" customHeight="1">
      <c r="A1747" s="1"/>
      <c r="B1747" s="2"/>
      <c r="C1747" s="1"/>
      <c r="D1747" s="1"/>
      <c r="F1747" s="59"/>
      <c r="G1747" s="32"/>
      <c r="H1747" s="32"/>
    </row>
    <row r="1748" spans="1:8" ht="15.75" hidden="1" customHeight="1">
      <c r="A1748" s="1"/>
      <c r="B1748" s="2"/>
      <c r="C1748" s="1"/>
      <c r="D1748" s="1"/>
      <c r="F1748" s="59"/>
      <c r="G1748" s="32"/>
      <c r="H1748" s="32"/>
    </row>
    <row r="1749" spans="1:8" ht="15.75" hidden="1" customHeight="1">
      <c r="A1749" s="1"/>
      <c r="B1749" s="2"/>
      <c r="C1749" s="1"/>
      <c r="D1749" s="1"/>
      <c r="F1749" s="59"/>
      <c r="G1749" s="32"/>
      <c r="H1749" s="32"/>
    </row>
    <row r="1750" spans="1:8" ht="15.75" hidden="1" customHeight="1">
      <c r="A1750" s="1"/>
      <c r="B1750" s="2"/>
      <c r="C1750" s="1"/>
      <c r="D1750" s="1"/>
      <c r="F1750" s="59"/>
      <c r="G1750" s="32"/>
      <c r="H1750" s="32"/>
    </row>
    <row r="1751" spans="1:8" ht="15.75" hidden="1" customHeight="1">
      <c r="A1751" s="1"/>
      <c r="B1751" s="2"/>
      <c r="C1751" s="1"/>
      <c r="D1751" s="1"/>
      <c r="F1751" s="59"/>
      <c r="G1751" s="32"/>
      <c r="H1751" s="32"/>
    </row>
    <row r="1752" spans="1:8" ht="15.75" hidden="1" customHeight="1">
      <c r="A1752" s="1"/>
      <c r="B1752" s="2"/>
      <c r="C1752" s="1"/>
      <c r="D1752" s="1"/>
      <c r="F1752" s="59"/>
      <c r="G1752" s="32"/>
      <c r="H1752" s="32"/>
    </row>
    <row r="1753" spans="1:8" ht="15.75" hidden="1" customHeight="1">
      <c r="A1753" s="1"/>
      <c r="B1753" s="2"/>
      <c r="C1753" s="1"/>
      <c r="D1753" s="1"/>
      <c r="F1753" s="59"/>
      <c r="G1753" s="32"/>
      <c r="H1753" s="32"/>
    </row>
    <row r="1754" spans="1:8" ht="15.75" hidden="1" customHeight="1">
      <c r="A1754" s="1"/>
      <c r="B1754" s="2"/>
      <c r="C1754" s="1"/>
      <c r="D1754" s="1"/>
      <c r="F1754" s="59"/>
      <c r="G1754" s="32"/>
      <c r="H1754" s="32"/>
    </row>
    <row r="1755" spans="1:8" ht="15.75" hidden="1" customHeight="1">
      <c r="A1755" s="1"/>
      <c r="B1755" s="2"/>
      <c r="C1755" s="1"/>
      <c r="D1755" s="1"/>
      <c r="F1755" s="59"/>
      <c r="G1755" s="32"/>
      <c r="H1755" s="32"/>
    </row>
    <row r="1756" spans="1:8" ht="15.75" hidden="1" customHeight="1">
      <c r="A1756" s="1"/>
      <c r="B1756" s="2"/>
      <c r="C1756" s="1"/>
      <c r="D1756" s="1"/>
      <c r="F1756" s="59"/>
      <c r="G1756" s="32"/>
      <c r="H1756" s="32"/>
    </row>
    <row r="1757" spans="1:8" ht="15.75" hidden="1" customHeight="1">
      <c r="A1757" s="1"/>
      <c r="B1757" s="2"/>
      <c r="C1757" s="1"/>
      <c r="D1757" s="1"/>
      <c r="F1757" s="59"/>
      <c r="G1757" s="32"/>
      <c r="H1757" s="32"/>
    </row>
    <row r="1758" spans="1:8" ht="15.75" hidden="1" customHeight="1">
      <c r="A1758" s="1"/>
      <c r="B1758" s="2"/>
      <c r="C1758" s="1"/>
      <c r="D1758" s="1"/>
      <c r="F1758" s="59"/>
      <c r="G1758" s="32"/>
      <c r="H1758" s="32"/>
    </row>
    <row r="1759" spans="1:8" ht="15.75" hidden="1" customHeight="1">
      <c r="A1759" s="1"/>
      <c r="B1759" s="2"/>
      <c r="C1759" s="1"/>
      <c r="D1759" s="1"/>
      <c r="F1759" s="59"/>
      <c r="G1759" s="32"/>
      <c r="H1759" s="32"/>
    </row>
    <row r="1760" spans="1:8" ht="15.75" hidden="1" customHeight="1">
      <c r="A1760" s="1"/>
      <c r="B1760" s="2"/>
      <c r="C1760" s="1"/>
      <c r="D1760" s="1"/>
      <c r="F1760" s="59"/>
      <c r="G1760" s="32"/>
      <c r="H1760" s="32"/>
    </row>
    <row r="1761" spans="1:8" ht="15.75" hidden="1" customHeight="1">
      <c r="A1761" s="1"/>
      <c r="B1761" s="2"/>
      <c r="C1761" s="1"/>
      <c r="D1761" s="1"/>
      <c r="F1761" s="59"/>
      <c r="G1761" s="32"/>
      <c r="H1761" s="32"/>
    </row>
    <row r="1762" spans="1:8" ht="15.75" hidden="1" customHeight="1">
      <c r="A1762" s="1"/>
      <c r="B1762" s="2"/>
      <c r="C1762" s="1"/>
      <c r="D1762" s="1"/>
      <c r="F1762" s="59"/>
      <c r="G1762" s="32"/>
      <c r="H1762" s="32"/>
    </row>
    <row r="1763" spans="1:8" ht="15.75" hidden="1" customHeight="1">
      <c r="A1763" s="1"/>
      <c r="B1763" s="2"/>
      <c r="C1763" s="1"/>
      <c r="D1763" s="1"/>
      <c r="F1763" s="59"/>
      <c r="G1763" s="32"/>
      <c r="H1763" s="32"/>
    </row>
    <row r="1764" spans="1:8" ht="15.75" hidden="1" customHeight="1">
      <c r="A1764" s="1"/>
      <c r="B1764" s="2"/>
      <c r="C1764" s="1"/>
      <c r="D1764" s="1"/>
      <c r="F1764" s="59"/>
      <c r="G1764" s="32"/>
      <c r="H1764" s="32"/>
    </row>
    <row r="1765" spans="1:8" ht="15.75" hidden="1" customHeight="1">
      <c r="A1765" s="1"/>
      <c r="B1765" s="2"/>
      <c r="C1765" s="1"/>
      <c r="D1765" s="1"/>
      <c r="F1765" s="59"/>
      <c r="G1765" s="32"/>
      <c r="H1765" s="32"/>
    </row>
    <row r="1766" spans="1:8" ht="15.75" hidden="1" customHeight="1">
      <c r="A1766" s="1"/>
      <c r="B1766" s="2"/>
      <c r="C1766" s="1"/>
      <c r="D1766" s="1"/>
      <c r="F1766" s="59"/>
      <c r="G1766" s="32"/>
      <c r="H1766" s="32"/>
    </row>
    <row r="1767" spans="1:8" ht="15.75" hidden="1" customHeight="1">
      <c r="A1767" s="1"/>
      <c r="B1767" s="2"/>
      <c r="C1767" s="1"/>
      <c r="D1767" s="1"/>
      <c r="F1767" s="59"/>
      <c r="G1767" s="32"/>
      <c r="H1767" s="32"/>
    </row>
    <row r="1768" spans="1:8" ht="15.75" hidden="1" customHeight="1">
      <c r="A1768" s="1"/>
      <c r="B1768" s="2"/>
      <c r="C1768" s="1"/>
      <c r="D1768" s="1"/>
      <c r="F1768" s="59"/>
      <c r="G1768" s="32"/>
      <c r="H1768" s="32"/>
    </row>
    <row r="1769" spans="1:8" ht="15.75" hidden="1" customHeight="1">
      <c r="A1769" s="1"/>
      <c r="B1769" s="2"/>
      <c r="C1769" s="1"/>
      <c r="D1769" s="1"/>
      <c r="F1769" s="59"/>
      <c r="G1769" s="32"/>
      <c r="H1769" s="32"/>
    </row>
    <row r="1770" spans="1:8" ht="15.75" hidden="1" customHeight="1">
      <c r="A1770" s="1"/>
      <c r="B1770" s="2"/>
      <c r="C1770" s="1"/>
      <c r="D1770" s="1"/>
      <c r="F1770" s="59"/>
      <c r="G1770" s="32"/>
      <c r="H1770" s="32"/>
    </row>
    <row r="1771" spans="1:8" ht="15.75" hidden="1" customHeight="1">
      <c r="A1771" s="1"/>
      <c r="B1771" s="2"/>
      <c r="C1771" s="1"/>
      <c r="D1771" s="1"/>
      <c r="F1771" s="59"/>
      <c r="G1771" s="32"/>
      <c r="H1771" s="32"/>
    </row>
    <row r="1772" spans="1:8" ht="15.75" hidden="1" customHeight="1">
      <c r="A1772" s="1"/>
      <c r="B1772" s="2"/>
      <c r="C1772" s="1"/>
      <c r="D1772" s="1"/>
      <c r="F1772" s="59"/>
      <c r="G1772" s="32"/>
      <c r="H1772" s="32"/>
    </row>
    <row r="1773" spans="1:8" ht="15.75" hidden="1" customHeight="1">
      <c r="A1773" s="1"/>
      <c r="B1773" s="2"/>
      <c r="C1773" s="1"/>
      <c r="D1773" s="1"/>
      <c r="F1773" s="59"/>
      <c r="G1773" s="32"/>
      <c r="H1773" s="32"/>
    </row>
    <row r="1774" spans="1:8" ht="15.75" hidden="1" customHeight="1">
      <c r="A1774" s="1"/>
      <c r="B1774" s="2"/>
      <c r="C1774" s="1"/>
      <c r="D1774" s="1"/>
      <c r="F1774" s="59"/>
      <c r="G1774" s="32"/>
      <c r="H1774" s="32"/>
    </row>
    <row r="1775" spans="1:8" ht="15.75" hidden="1" customHeight="1">
      <c r="A1775" s="1"/>
      <c r="B1775" s="2"/>
      <c r="C1775" s="1"/>
      <c r="D1775" s="1"/>
      <c r="F1775" s="59"/>
      <c r="G1775" s="32"/>
      <c r="H1775" s="32"/>
    </row>
    <row r="1776" spans="1:8" ht="15.75" hidden="1" customHeight="1">
      <c r="A1776" s="1"/>
      <c r="B1776" s="2"/>
      <c r="C1776" s="1"/>
      <c r="D1776" s="1"/>
      <c r="F1776" s="59"/>
      <c r="G1776" s="32"/>
      <c r="H1776" s="32"/>
    </row>
    <row r="1777" spans="1:8" ht="15.75" hidden="1" customHeight="1">
      <c r="A1777" s="1"/>
      <c r="B1777" s="2"/>
      <c r="C1777" s="1"/>
      <c r="D1777" s="1"/>
      <c r="F1777" s="59"/>
      <c r="G1777" s="32"/>
      <c r="H1777" s="32"/>
    </row>
    <row r="1778" spans="1:8" ht="15.75" hidden="1" customHeight="1">
      <c r="A1778" s="1"/>
      <c r="B1778" s="2"/>
      <c r="C1778" s="1"/>
      <c r="D1778" s="1"/>
      <c r="F1778" s="59"/>
      <c r="G1778" s="32"/>
      <c r="H1778" s="32"/>
    </row>
    <row r="1779" spans="1:8" ht="15.75" hidden="1" customHeight="1">
      <c r="A1779" s="1"/>
      <c r="B1779" s="2"/>
      <c r="C1779" s="1"/>
      <c r="D1779" s="1"/>
      <c r="F1779" s="59"/>
      <c r="G1779" s="32"/>
      <c r="H1779" s="32"/>
    </row>
    <row r="1780" spans="1:8" ht="15.75" hidden="1" customHeight="1">
      <c r="A1780" s="1"/>
      <c r="B1780" s="2"/>
      <c r="C1780" s="1"/>
      <c r="D1780" s="1"/>
      <c r="F1780" s="59"/>
      <c r="G1780" s="32"/>
      <c r="H1780" s="32"/>
    </row>
    <row r="1781" spans="1:8" ht="15.75" hidden="1" customHeight="1">
      <c r="A1781" s="1"/>
      <c r="B1781" s="2"/>
      <c r="C1781" s="1"/>
      <c r="D1781" s="1"/>
      <c r="F1781" s="59"/>
      <c r="G1781" s="32"/>
      <c r="H1781" s="32"/>
    </row>
    <row r="1782" spans="1:8" ht="15.75" hidden="1" customHeight="1">
      <c r="A1782" s="1"/>
      <c r="B1782" s="2"/>
      <c r="C1782" s="1"/>
      <c r="D1782" s="1"/>
      <c r="F1782" s="59"/>
      <c r="G1782" s="32"/>
      <c r="H1782" s="32"/>
    </row>
    <row r="1783" spans="1:8" ht="15.75" hidden="1" customHeight="1">
      <c r="A1783" s="1"/>
      <c r="B1783" s="2"/>
      <c r="C1783" s="1"/>
      <c r="D1783" s="1"/>
      <c r="F1783" s="59"/>
      <c r="G1783" s="32"/>
      <c r="H1783" s="32"/>
    </row>
    <row r="1784" spans="1:8" ht="15.75" hidden="1" customHeight="1">
      <c r="A1784" s="1"/>
      <c r="B1784" s="2"/>
      <c r="C1784" s="1"/>
      <c r="D1784" s="1"/>
      <c r="F1784" s="59"/>
      <c r="G1784" s="32"/>
      <c r="H1784" s="32"/>
    </row>
    <row r="1785" spans="1:8" ht="15.75" hidden="1" customHeight="1">
      <c r="A1785" s="1"/>
      <c r="B1785" s="2"/>
      <c r="C1785" s="1"/>
      <c r="D1785" s="1"/>
      <c r="F1785" s="59"/>
      <c r="G1785" s="32"/>
      <c r="H1785" s="32"/>
    </row>
    <row r="1786" spans="1:8" ht="15.75" hidden="1" customHeight="1">
      <c r="A1786" s="1"/>
      <c r="B1786" s="2"/>
      <c r="C1786" s="1"/>
      <c r="D1786" s="1"/>
      <c r="F1786" s="59"/>
      <c r="G1786" s="32"/>
      <c r="H1786" s="32"/>
    </row>
    <row r="1787" spans="1:8" ht="15.75" hidden="1" customHeight="1">
      <c r="A1787" s="1"/>
      <c r="B1787" s="2"/>
      <c r="C1787" s="1"/>
      <c r="D1787" s="1"/>
      <c r="F1787" s="59"/>
      <c r="G1787" s="32"/>
      <c r="H1787" s="32"/>
    </row>
    <row r="1788" spans="1:8" ht="15.75" hidden="1" customHeight="1">
      <c r="A1788" s="1"/>
      <c r="B1788" s="2"/>
      <c r="C1788" s="1"/>
      <c r="D1788" s="1"/>
      <c r="F1788" s="59"/>
      <c r="G1788" s="32"/>
      <c r="H1788" s="32"/>
    </row>
    <row r="1789" spans="1:8" ht="15.75" hidden="1" customHeight="1">
      <c r="A1789" s="1"/>
      <c r="B1789" s="2"/>
      <c r="C1789" s="1"/>
      <c r="D1789" s="1"/>
      <c r="F1789" s="59"/>
      <c r="G1789" s="32"/>
      <c r="H1789" s="32"/>
    </row>
    <row r="1790" spans="1:8" ht="15.75" hidden="1" customHeight="1">
      <c r="A1790" s="1"/>
      <c r="B1790" s="2"/>
      <c r="C1790" s="1"/>
      <c r="D1790" s="1"/>
      <c r="F1790" s="59"/>
      <c r="G1790" s="32"/>
      <c r="H1790" s="32"/>
    </row>
    <row r="1791" spans="1:8" ht="15.75" hidden="1" customHeight="1">
      <c r="A1791" s="1"/>
      <c r="B1791" s="2"/>
      <c r="C1791" s="1"/>
      <c r="D1791" s="1"/>
      <c r="F1791" s="59"/>
      <c r="G1791" s="32"/>
      <c r="H1791" s="32"/>
    </row>
    <row r="1792" spans="1:8" ht="15.75" hidden="1" customHeight="1">
      <c r="A1792" s="1"/>
      <c r="B1792" s="2"/>
      <c r="C1792" s="1"/>
      <c r="D1792" s="1"/>
      <c r="F1792" s="59"/>
      <c r="G1792" s="32"/>
      <c r="H1792" s="32"/>
    </row>
    <row r="1793" spans="1:8" ht="15.75" hidden="1" customHeight="1">
      <c r="A1793" s="1"/>
      <c r="B1793" s="2"/>
      <c r="C1793" s="1"/>
      <c r="D1793" s="1"/>
      <c r="F1793" s="59"/>
      <c r="G1793" s="32"/>
      <c r="H1793" s="32"/>
    </row>
    <row r="1794" spans="1:8" ht="15.75" hidden="1" customHeight="1">
      <c r="A1794" s="1"/>
      <c r="B1794" s="2"/>
      <c r="C1794" s="1"/>
      <c r="D1794" s="1"/>
      <c r="F1794" s="59"/>
      <c r="G1794" s="32"/>
      <c r="H1794" s="32"/>
    </row>
    <row r="1795" spans="1:8" ht="15.75" hidden="1" customHeight="1">
      <c r="A1795" s="1"/>
      <c r="B1795" s="2"/>
      <c r="C1795" s="1"/>
      <c r="D1795" s="1"/>
      <c r="F1795" s="59"/>
      <c r="G1795" s="32"/>
      <c r="H1795" s="32"/>
    </row>
    <row r="1796" spans="1:8" ht="15.75" hidden="1" customHeight="1">
      <c r="A1796" s="1"/>
      <c r="B1796" s="2"/>
      <c r="C1796" s="1"/>
      <c r="D1796" s="1"/>
      <c r="F1796" s="59"/>
      <c r="G1796" s="32"/>
      <c r="H1796" s="32"/>
    </row>
    <row r="1797" spans="1:8" ht="15.75" hidden="1" customHeight="1">
      <c r="A1797" s="1"/>
      <c r="B1797" s="2"/>
      <c r="C1797" s="1"/>
      <c r="D1797" s="1"/>
      <c r="F1797" s="59"/>
      <c r="G1797" s="32"/>
      <c r="H1797" s="32"/>
    </row>
    <row r="1798" spans="1:8" ht="15.75" hidden="1" customHeight="1">
      <c r="A1798" s="1"/>
      <c r="B1798" s="2"/>
      <c r="C1798" s="1"/>
      <c r="D1798" s="1"/>
      <c r="F1798" s="59"/>
      <c r="G1798" s="32"/>
      <c r="H1798" s="32"/>
    </row>
    <row r="1799" spans="1:8" ht="15.75" hidden="1" customHeight="1">
      <c r="A1799" s="1"/>
      <c r="B1799" s="2"/>
      <c r="C1799" s="1"/>
      <c r="D1799" s="1"/>
      <c r="F1799" s="59"/>
      <c r="G1799" s="32"/>
      <c r="H1799" s="32"/>
    </row>
    <row r="1800" spans="1:8" ht="15.75" hidden="1" customHeight="1">
      <c r="A1800" s="1"/>
      <c r="B1800" s="2"/>
      <c r="C1800" s="1"/>
      <c r="D1800" s="1"/>
      <c r="F1800" s="59"/>
      <c r="G1800" s="32"/>
      <c r="H1800" s="32"/>
    </row>
    <row r="1801" spans="1:8" ht="15.75" hidden="1" customHeight="1">
      <c r="A1801" s="1"/>
      <c r="B1801" s="2"/>
      <c r="C1801" s="1"/>
      <c r="D1801" s="1"/>
      <c r="F1801" s="59"/>
      <c r="G1801" s="32"/>
      <c r="H1801" s="32"/>
    </row>
    <row r="1802" spans="1:8" ht="15.75" hidden="1" customHeight="1">
      <c r="A1802" s="1"/>
      <c r="B1802" s="2"/>
      <c r="C1802" s="1"/>
      <c r="D1802" s="1"/>
      <c r="F1802" s="59"/>
      <c r="G1802" s="32"/>
      <c r="H1802" s="32"/>
    </row>
    <row r="1803" spans="1:8" ht="15.75" hidden="1" customHeight="1">
      <c r="A1803" s="1"/>
      <c r="B1803" s="2"/>
      <c r="C1803" s="1"/>
      <c r="D1803" s="1"/>
      <c r="F1803" s="59"/>
      <c r="G1803" s="32"/>
      <c r="H1803" s="32"/>
    </row>
    <row r="1804" spans="1:8" ht="15.75" hidden="1" customHeight="1">
      <c r="A1804" s="1"/>
      <c r="B1804" s="2"/>
      <c r="C1804" s="1"/>
      <c r="D1804" s="1"/>
      <c r="F1804" s="59"/>
      <c r="G1804" s="32"/>
      <c r="H1804" s="32"/>
    </row>
    <row r="1805" spans="1:8" ht="15.75" hidden="1" customHeight="1">
      <c r="A1805" s="1"/>
      <c r="B1805" s="2"/>
      <c r="C1805" s="1"/>
      <c r="D1805" s="1"/>
      <c r="F1805" s="59"/>
      <c r="G1805" s="32"/>
      <c r="H1805" s="32"/>
    </row>
    <row r="1806" spans="1:8" ht="15.75" hidden="1" customHeight="1">
      <c r="A1806" s="1"/>
      <c r="B1806" s="2"/>
      <c r="C1806" s="1"/>
      <c r="D1806" s="1"/>
      <c r="F1806" s="59"/>
      <c r="G1806" s="32"/>
      <c r="H1806" s="32"/>
    </row>
    <row r="1807" spans="1:8" ht="15.75" hidden="1" customHeight="1">
      <c r="A1807" s="1"/>
      <c r="B1807" s="2"/>
      <c r="C1807" s="1"/>
      <c r="D1807" s="1"/>
      <c r="F1807" s="59"/>
      <c r="G1807" s="32"/>
      <c r="H1807" s="32"/>
    </row>
    <row r="1808" spans="1:8" ht="15.75" hidden="1" customHeight="1">
      <c r="A1808" s="1"/>
      <c r="B1808" s="2"/>
      <c r="C1808" s="1"/>
      <c r="D1808" s="1"/>
      <c r="F1808" s="59"/>
      <c r="G1808" s="32"/>
      <c r="H1808" s="32"/>
    </row>
    <row r="1809" spans="1:8" ht="15.75" hidden="1" customHeight="1">
      <c r="A1809" s="1"/>
      <c r="B1809" s="2"/>
      <c r="C1809" s="1"/>
      <c r="D1809" s="1"/>
      <c r="F1809" s="59"/>
      <c r="G1809" s="32"/>
      <c r="H1809" s="32"/>
    </row>
    <row r="1810" spans="1:8" ht="15.75" hidden="1" customHeight="1">
      <c r="A1810" s="1"/>
      <c r="B1810" s="2"/>
      <c r="C1810" s="1"/>
      <c r="D1810" s="1"/>
      <c r="F1810" s="59"/>
      <c r="G1810" s="32"/>
      <c r="H1810" s="32"/>
    </row>
    <row r="1811" spans="1:8" ht="15.75" hidden="1" customHeight="1">
      <c r="A1811" s="1"/>
      <c r="B1811" s="2"/>
      <c r="C1811" s="1"/>
      <c r="D1811" s="1"/>
      <c r="F1811" s="59"/>
      <c r="G1811" s="32"/>
      <c r="H1811" s="32"/>
    </row>
    <row r="1812" spans="1:8" ht="15.75" hidden="1" customHeight="1">
      <c r="A1812" s="1"/>
      <c r="B1812" s="2"/>
      <c r="C1812" s="1"/>
      <c r="D1812" s="1"/>
      <c r="F1812" s="59"/>
      <c r="G1812" s="32"/>
      <c r="H1812" s="32"/>
    </row>
    <row r="1813" spans="1:8" ht="15.75" hidden="1" customHeight="1">
      <c r="A1813" s="1"/>
      <c r="B1813" s="2"/>
      <c r="C1813" s="1"/>
      <c r="D1813" s="1"/>
      <c r="F1813" s="59"/>
      <c r="G1813" s="32"/>
      <c r="H1813" s="32"/>
    </row>
    <row r="1814" spans="1:8" ht="15.75" hidden="1" customHeight="1">
      <c r="A1814" s="1"/>
      <c r="B1814" s="2"/>
      <c r="C1814" s="1"/>
      <c r="D1814" s="1"/>
      <c r="F1814" s="59"/>
      <c r="G1814" s="32"/>
      <c r="H1814" s="32"/>
    </row>
    <row r="1815" spans="1:8" ht="15.75" hidden="1" customHeight="1">
      <c r="A1815" s="1"/>
      <c r="B1815" s="2"/>
      <c r="C1815" s="1"/>
      <c r="D1815" s="1"/>
      <c r="F1815" s="59"/>
      <c r="G1815" s="32"/>
      <c r="H1815" s="32"/>
    </row>
    <row r="1816" spans="1:8" ht="15.75" hidden="1" customHeight="1">
      <c r="A1816" s="1"/>
      <c r="B1816" s="2"/>
      <c r="C1816" s="1"/>
      <c r="D1816" s="1"/>
      <c r="F1816" s="59"/>
      <c r="G1816" s="32"/>
      <c r="H1816" s="32"/>
    </row>
    <row r="1817" spans="1:8" ht="15.75" hidden="1" customHeight="1">
      <c r="A1817" s="1"/>
      <c r="B1817" s="2"/>
      <c r="C1817" s="1"/>
      <c r="D1817" s="1"/>
      <c r="F1817" s="59"/>
      <c r="G1817" s="32"/>
      <c r="H1817" s="32"/>
    </row>
    <row r="1818" spans="1:8" ht="15.75" hidden="1" customHeight="1">
      <c r="A1818" s="1"/>
      <c r="B1818" s="2"/>
      <c r="C1818" s="1"/>
      <c r="D1818" s="1"/>
      <c r="F1818" s="59"/>
      <c r="G1818" s="32"/>
      <c r="H1818" s="32"/>
    </row>
    <row r="1819" spans="1:8" ht="15.75" hidden="1" customHeight="1">
      <c r="A1819" s="1"/>
      <c r="B1819" s="2"/>
      <c r="C1819" s="1"/>
      <c r="D1819" s="1"/>
      <c r="F1819" s="59"/>
      <c r="G1819" s="32"/>
      <c r="H1819" s="32"/>
    </row>
    <row r="1820" spans="1:8" ht="15.75" hidden="1" customHeight="1">
      <c r="A1820" s="1"/>
      <c r="B1820" s="2"/>
      <c r="C1820" s="1"/>
      <c r="D1820" s="1"/>
      <c r="F1820" s="59"/>
      <c r="G1820" s="32"/>
      <c r="H1820" s="32"/>
    </row>
    <row r="1821" spans="1:8" ht="15.75" hidden="1" customHeight="1">
      <c r="A1821" s="1"/>
      <c r="B1821" s="2"/>
      <c r="C1821" s="1"/>
      <c r="D1821" s="1"/>
      <c r="F1821" s="59"/>
      <c r="G1821" s="32"/>
      <c r="H1821" s="32"/>
    </row>
    <row r="1822" spans="1:8" ht="15.75" hidden="1" customHeight="1">
      <c r="A1822" s="1"/>
      <c r="B1822" s="2"/>
      <c r="C1822" s="1"/>
      <c r="D1822" s="1"/>
      <c r="F1822" s="59"/>
      <c r="G1822" s="32"/>
      <c r="H1822" s="32"/>
    </row>
    <row r="1823" spans="1:8" ht="15.75" hidden="1" customHeight="1">
      <c r="A1823" s="1"/>
      <c r="B1823" s="2"/>
      <c r="C1823" s="1"/>
      <c r="D1823" s="1"/>
      <c r="F1823" s="59"/>
      <c r="G1823" s="32"/>
      <c r="H1823" s="32"/>
    </row>
    <row r="1824" spans="1:8" ht="15.75" hidden="1" customHeight="1">
      <c r="A1824" s="1"/>
      <c r="B1824" s="2"/>
      <c r="C1824" s="1"/>
      <c r="D1824" s="1"/>
      <c r="F1824" s="59"/>
      <c r="G1824" s="32"/>
      <c r="H1824" s="32"/>
    </row>
    <row r="1825" spans="1:8" ht="15.75" hidden="1" customHeight="1">
      <c r="A1825" s="1"/>
      <c r="B1825" s="2"/>
      <c r="C1825" s="1"/>
      <c r="D1825" s="1"/>
      <c r="F1825" s="59"/>
      <c r="G1825" s="32"/>
      <c r="H1825" s="32"/>
    </row>
    <row r="1826" spans="1:8" ht="15.75" hidden="1" customHeight="1">
      <c r="A1826" s="1"/>
      <c r="B1826" s="2"/>
      <c r="C1826" s="1"/>
      <c r="D1826" s="1"/>
      <c r="F1826" s="59"/>
      <c r="G1826" s="32"/>
      <c r="H1826" s="32"/>
    </row>
    <row r="1827" spans="1:8" ht="15.75" hidden="1" customHeight="1">
      <c r="A1827" s="1"/>
      <c r="B1827" s="2"/>
      <c r="C1827" s="1"/>
      <c r="D1827" s="1"/>
      <c r="F1827" s="59"/>
      <c r="G1827" s="32"/>
      <c r="H1827" s="32"/>
    </row>
    <row r="1828" spans="1:8" ht="15.75" hidden="1" customHeight="1">
      <c r="A1828" s="1"/>
      <c r="B1828" s="2"/>
      <c r="C1828" s="1"/>
      <c r="D1828" s="1"/>
      <c r="F1828" s="59"/>
      <c r="G1828" s="32"/>
      <c r="H1828" s="32"/>
    </row>
    <row r="1829" spans="1:8" ht="15.75" hidden="1" customHeight="1">
      <c r="A1829" s="1"/>
      <c r="B1829" s="2"/>
      <c r="C1829" s="1"/>
      <c r="D1829" s="1"/>
      <c r="F1829" s="59"/>
      <c r="G1829" s="32"/>
      <c r="H1829" s="32"/>
    </row>
    <row r="1830" spans="1:8" ht="15.75" hidden="1" customHeight="1">
      <c r="A1830" s="1"/>
      <c r="B1830" s="2"/>
      <c r="C1830" s="1"/>
      <c r="D1830" s="1"/>
      <c r="F1830" s="59"/>
      <c r="G1830" s="32"/>
      <c r="H1830" s="32"/>
    </row>
    <row r="1831" spans="1:8" ht="15.75" hidden="1" customHeight="1">
      <c r="A1831" s="1"/>
      <c r="B1831" s="2"/>
      <c r="C1831" s="1"/>
      <c r="D1831" s="1"/>
      <c r="F1831" s="59"/>
      <c r="G1831" s="32"/>
      <c r="H1831" s="32"/>
    </row>
    <row r="1832" spans="1:8" ht="15.75" hidden="1" customHeight="1">
      <c r="A1832" s="1"/>
      <c r="B1832" s="2"/>
      <c r="C1832" s="1"/>
      <c r="D1832" s="1"/>
      <c r="F1832" s="59"/>
      <c r="G1832" s="32"/>
      <c r="H1832" s="32"/>
    </row>
    <row r="1833" spans="1:8" ht="15.75" hidden="1" customHeight="1">
      <c r="A1833" s="1"/>
      <c r="B1833" s="2"/>
      <c r="C1833" s="1"/>
      <c r="D1833" s="1"/>
      <c r="F1833" s="59"/>
      <c r="G1833" s="32"/>
      <c r="H1833" s="32"/>
    </row>
    <row r="1834" spans="1:8" ht="15.75" hidden="1" customHeight="1">
      <c r="A1834" s="1"/>
      <c r="B1834" s="2"/>
      <c r="C1834" s="1"/>
      <c r="D1834" s="1"/>
      <c r="F1834" s="59"/>
      <c r="G1834" s="32"/>
      <c r="H1834" s="32"/>
    </row>
    <row r="1835" spans="1:8" ht="15.75" hidden="1" customHeight="1">
      <c r="A1835" s="1"/>
      <c r="B1835" s="2"/>
      <c r="C1835" s="1"/>
      <c r="D1835" s="1"/>
      <c r="F1835" s="59"/>
      <c r="G1835" s="32"/>
      <c r="H1835" s="32"/>
    </row>
    <row r="1836" spans="1:8" ht="15.75" hidden="1" customHeight="1">
      <c r="A1836" s="1"/>
      <c r="B1836" s="2"/>
      <c r="C1836" s="1"/>
      <c r="D1836" s="1"/>
      <c r="F1836" s="59"/>
      <c r="G1836" s="32"/>
      <c r="H1836" s="32"/>
    </row>
    <row r="1837" spans="1:8" ht="15.75" hidden="1" customHeight="1">
      <c r="A1837" s="1"/>
      <c r="B1837" s="2"/>
      <c r="C1837" s="1"/>
      <c r="D1837" s="1"/>
      <c r="F1837" s="59"/>
      <c r="G1837" s="32"/>
      <c r="H1837" s="32"/>
    </row>
    <row r="1838" spans="1:8" ht="15.75" hidden="1" customHeight="1">
      <c r="A1838" s="1"/>
      <c r="B1838" s="2"/>
      <c r="C1838" s="1"/>
      <c r="D1838" s="1"/>
      <c r="F1838" s="59"/>
      <c r="G1838" s="32"/>
      <c r="H1838" s="32"/>
    </row>
    <row r="1839" spans="1:8" ht="15.75" hidden="1" customHeight="1">
      <c r="A1839" s="1"/>
      <c r="B1839" s="2"/>
      <c r="C1839" s="1"/>
      <c r="D1839" s="1"/>
      <c r="F1839" s="59"/>
      <c r="G1839" s="32"/>
      <c r="H1839" s="32"/>
    </row>
    <row r="1840" spans="1:8" ht="15.75" hidden="1" customHeight="1">
      <c r="A1840" s="1"/>
      <c r="B1840" s="2"/>
      <c r="C1840" s="1"/>
      <c r="D1840" s="1"/>
      <c r="F1840" s="59"/>
      <c r="G1840" s="32"/>
      <c r="H1840" s="32"/>
    </row>
    <row r="1841" spans="1:8" ht="15.75" hidden="1" customHeight="1">
      <c r="A1841" s="1"/>
      <c r="B1841" s="2"/>
      <c r="C1841" s="1"/>
      <c r="D1841" s="1"/>
      <c r="F1841" s="59"/>
      <c r="G1841" s="32"/>
      <c r="H1841" s="32"/>
    </row>
    <row r="1842" spans="1:8" ht="15.75" hidden="1" customHeight="1">
      <c r="A1842" s="1"/>
      <c r="B1842" s="2"/>
      <c r="C1842" s="1"/>
      <c r="D1842" s="1"/>
      <c r="F1842" s="59"/>
      <c r="G1842" s="32"/>
      <c r="H1842" s="32"/>
    </row>
    <row r="1843" spans="1:8" ht="15.75" hidden="1" customHeight="1">
      <c r="A1843" s="1"/>
      <c r="B1843" s="2"/>
      <c r="C1843" s="1"/>
      <c r="D1843" s="1"/>
      <c r="F1843" s="59"/>
      <c r="G1843" s="32"/>
      <c r="H1843" s="32"/>
    </row>
    <row r="1844" spans="1:8" ht="15.75" hidden="1" customHeight="1">
      <c r="A1844" s="1"/>
      <c r="B1844" s="2"/>
      <c r="C1844" s="1"/>
      <c r="D1844" s="1"/>
      <c r="F1844" s="59"/>
      <c r="G1844" s="32"/>
      <c r="H1844" s="32"/>
    </row>
    <row r="1845" spans="1:8" ht="15.75" hidden="1" customHeight="1">
      <c r="A1845" s="1"/>
      <c r="B1845" s="2"/>
      <c r="C1845" s="1"/>
      <c r="D1845" s="1"/>
      <c r="F1845" s="59"/>
      <c r="G1845" s="32"/>
      <c r="H1845" s="32"/>
    </row>
    <row r="1846" spans="1:8" ht="15.75" hidden="1" customHeight="1">
      <c r="A1846" s="1"/>
      <c r="B1846" s="2"/>
      <c r="C1846" s="1"/>
      <c r="D1846" s="1"/>
      <c r="F1846" s="59"/>
      <c r="G1846" s="32"/>
      <c r="H1846" s="32"/>
    </row>
    <row r="1847" spans="1:8" ht="15.75" hidden="1" customHeight="1">
      <c r="A1847" s="1"/>
      <c r="B1847" s="2"/>
      <c r="C1847" s="1"/>
      <c r="D1847" s="1"/>
      <c r="F1847" s="59"/>
      <c r="G1847" s="32"/>
      <c r="H1847" s="32"/>
    </row>
    <row r="1848" spans="1:8" ht="15.75" hidden="1" customHeight="1">
      <c r="A1848" s="1"/>
      <c r="B1848" s="2"/>
      <c r="C1848" s="1"/>
      <c r="D1848" s="1"/>
      <c r="F1848" s="59"/>
      <c r="G1848" s="32"/>
      <c r="H1848" s="32"/>
    </row>
    <row r="1849" spans="1:8" ht="15.75" hidden="1" customHeight="1">
      <c r="A1849" s="1"/>
      <c r="B1849" s="2"/>
      <c r="C1849" s="1"/>
      <c r="D1849" s="1"/>
      <c r="F1849" s="59"/>
      <c r="G1849" s="32"/>
      <c r="H1849" s="32"/>
    </row>
    <row r="1850" spans="1:8" ht="15.75" hidden="1" customHeight="1">
      <c r="A1850" s="1"/>
      <c r="B1850" s="2"/>
      <c r="C1850" s="1"/>
      <c r="D1850" s="1"/>
      <c r="F1850" s="59"/>
      <c r="G1850" s="32"/>
      <c r="H1850" s="32"/>
    </row>
    <row r="1851" spans="1:8" ht="15.75" hidden="1" customHeight="1">
      <c r="A1851" s="1"/>
      <c r="B1851" s="2"/>
      <c r="C1851" s="1"/>
      <c r="D1851" s="1"/>
      <c r="F1851" s="59"/>
      <c r="G1851" s="32"/>
      <c r="H1851" s="32"/>
    </row>
    <row r="1852" spans="1:8" ht="15.75" hidden="1" customHeight="1">
      <c r="A1852" s="1"/>
      <c r="B1852" s="2"/>
      <c r="C1852" s="1"/>
      <c r="D1852" s="1"/>
      <c r="F1852" s="59"/>
      <c r="G1852" s="32"/>
      <c r="H1852" s="32"/>
    </row>
    <row r="1853" spans="1:8" ht="15.75" hidden="1" customHeight="1">
      <c r="A1853" s="1"/>
      <c r="B1853" s="2"/>
      <c r="C1853" s="1"/>
      <c r="D1853" s="1"/>
      <c r="F1853" s="59"/>
      <c r="G1853" s="32"/>
      <c r="H1853" s="32"/>
    </row>
    <row r="1854" spans="1:8" ht="15.75" hidden="1" customHeight="1">
      <c r="A1854" s="1"/>
      <c r="B1854" s="2"/>
      <c r="C1854" s="1"/>
      <c r="D1854" s="1"/>
      <c r="F1854" s="59"/>
      <c r="G1854" s="32"/>
      <c r="H1854" s="32"/>
    </row>
    <row r="1855" spans="1:8" ht="15.75" hidden="1" customHeight="1">
      <c r="A1855" s="1"/>
      <c r="B1855" s="2"/>
      <c r="C1855" s="1"/>
      <c r="D1855" s="1"/>
      <c r="F1855" s="59"/>
      <c r="G1855" s="32"/>
      <c r="H1855" s="32"/>
    </row>
    <row r="1856" spans="1:8" ht="15.75" hidden="1" customHeight="1">
      <c r="A1856" s="1"/>
      <c r="B1856" s="2"/>
      <c r="C1856" s="1"/>
      <c r="D1856" s="1"/>
      <c r="F1856" s="59"/>
      <c r="G1856" s="32"/>
      <c r="H1856" s="32"/>
    </row>
    <row r="1857" spans="1:8" ht="15.75" hidden="1" customHeight="1">
      <c r="A1857" s="1"/>
      <c r="B1857" s="2"/>
      <c r="C1857" s="1"/>
      <c r="D1857" s="1"/>
      <c r="F1857" s="59"/>
      <c r="G1857" s="32"/>
      <c r="H1857" s="32"/>
    </row>
    <row r="1858" spans="1:8" ht="15.75" hidden="1" customHeight="1">
      <c r="A1858" s="1"/>
      <c r="B1858" s="2"/>
      <c r="C1858" s="1"/>
      <c r="D1858" s="1"/>
      <c r="F1858" s="59"/>
      <c r="G1858" s="32"/>
      <c r="H1858" s="32"/>
    </row>
    <row r="1859" spans="1:8" ht="15.75" hidden="1" customHeight="1">
      <c r="A1859" s="1"/>
      <c r="B1859" s="2"/>
      <c r="C1859" s="1"/>
      <c r="D1859" s="1"/>
      <c r="F1859" s="59"/>
      <c r="G1859" s="32"/>
      <c r="H1859" s="32"/>
    </row>
    <row r="1860" spans="1:8" ht="15.75" hidden="1" customHeight="1">
      <c r="A1860" s="1"/>
      <c r="B1860" s="2"/>
      <c r="C1860" s="1"/>
      <c r="D1860" s="1"/>
      <c r="F1860" s="59"/>
      <c r="G1860" s="32"/>
      <c r="H1860" s="32"/>
    </row>
    <row r="1861" spans="1:8" ht="15.75" hidden="1" customHeight="1">
      <c r="A1861" s="1"/>
      <c r="B1861" s="2"/>
      <c r="C1861" s="1"/>
      <c r="D1861" s="1"/>
      <c r="F1861" s="59"/>
      <c r="G1861" s="32"/>
      <c r="H1861" s="32"/>
    </row>
    <row r="1862" spans="1:8" ht="15.75" hidden="1" customHeight="1">
      <c r="A1862" s="1"/>
      <c r="B1862" s="2"/>
      <c r="C1862" s="1"/>
      <c r="D1862" s="1"/>
      <c r="F1862" s="59"/>
      <c r="G1862" s="32"/>
      <c r="H1862" s="32"/>
    </row>
    <row r="1863" spans="1:8" ht="15.75" hidden="1" customHeight="1">
      <c r="A1863" s="1"/>
      <c r="B1863" s="2"/>
      <c r="C1863" s="1"/>
      <c r="D1863" s="1"/>
      <c r="F1863" s="59"/>
      <c r="G1863" s="32"/>
      <c r="H1863" s="32"/>
    </row>
    <row r="1864" spans="1:8" ht="15.75" hidden="1" customHeight="1">
      <c r="A1864" s="1"/>
      <c r="B1864" s="2"/>
      <c r="C1864" s="1"/>
      <c r="D1864" s="1"/>
      <c r="F1864" s="59"/>
      <c r="G1864" s="32"/>
      <c r="H1864" s="32"/>
    </row>
    <row r="1865" spans="1:8" ht="15.75" hidden="1" customHeight="1">
      <c r="A1865" s="1"/>
      <c r="B1865" s="2"/>
      <c r="C1865" s="1"/>
      <c r="D1865" s="1"/>
      <c r="F1865" s="59"/>
      <c r="G1865" s="32"/>
      <c r="H1865" s="32"/>
    </row>
    <row r="1866" spans="1:8" ht="15.75" hidden="1" customHeight="1">
      <c r="A1866" s="1"/>
      <c r="B1866" s="2"/>
      <c r="C1866" s="1"/>
      <c r="D1866" s="1"/>
      <c r="F1866" s="59"/>
      <c r="G1866" s="32"/>
      <c r="H1866" s="32"/>
    </row>
    <row r="1867" spans="1:8" ht="15.75" hidden="1" customHeight="1">
      <c r="A1867" s="1"/>
      <c r="B1867" s="2"/>
      <c r="C1867" s="1"/>
      <c r="D1867" s="1"/>
      <c r="F1867" s="59"/>
      <c r="G1867" s="32"/>
      <c r="H1867" s="32"/>
    </row>
    <row r="1868" spans="1:8" ht="15.75" hidden="1" customHeight="1">
      <c r="A1868" s="1"/>
      <c r="B1868" s="2"/>
      <c r="C1868" s="1"/>
      <c r="D1868" s="1"/>
      <c r="F1868" s="59"/>
      <c r="G1868" s="32"/>
      <c r="H1868" s="32"/>
    </row>
    <row r="1869" spans="1:8" ht="15.75" hidden="1" customHeight="1">
      <c r="A1869" s="1"/>
      <c r="B1869" s="2"/>
      <c r="C1869" s="1"/>
      <c r="D1869" s="1"/>
      <c r="F1869" s="59"/>
      <c r="G1869" s="32"/>
      <c r="H1869" s="32"/>
    </row>
    <row r="1870" spans="1:8" ht="15.75" hidden="1" customHeight="1">
      <c r="A1870" s="1"/>
      <c r="B1870" s="2"/>
      <c r="C1870" s="1"/>
      <c r="D1870" s="1"/>
      <c r="F1870" s="59"/>
      <c r="G1870" s="32"/>
      <c r="H1870" s="32"/>
    </row>
    <row r="1871" spans="1:8" ht="15.75" hidden="1" customHeight="1">
      <c r="A1871" s="1"/>
      <c r="B1871" s="2"/>
      <c r="C1871" s="1"/>
      <c r="D1871" s="1"/>
      <c r="F1871" s="59"/>
      <c r="G1871" s="32"/>
      <c r="H1871" s="32"/>
    </row>
    <row r="1872" spans="1:8" ht="15.75" hidden="1" customHeight="1">
      <c r="A1872" s="1"/>
      <c r="B1872" s="2"/>
      <c r="C1872" s="1"/>
      <c r="D1872" s="1"/>
      <c r="F1872" s="59"/>
      <c r="G1872" s="32"/>
      <c r="H1872" s="32"/>
    </row>
    <row r="1873" spans="1:8" ht="15.75" hidden="1" customHeight="1">
      <c r="A1873" s="1"/>
      <c r="B1873" s="2"/>
      <c r="C1873" s="1"/>
      <c r="D1873" s="1"/>
      <c r="F1873" s="59"/>
      <c r="G1873" s="32"/>
      <c r="H1873" s="32"/>
    </row>
    <row r="1874" spans="1:8" ht="15.75" hidden="1" customHeight="1">
      <c r="A1874" s="1"/>
      <c r="B1874" s="2"/>
      <c r="C1874" s="1"/>
      <c r="D1874" s="1"/>
      <c r="F1874" s="59"/>
      <c r="G1874" s="32"/>
      <c r="H1874" s="32"/>
    </row>
    <row r="1875" spans="1:8" ht="15.75" hidden="1" customHeight="1">
      <c r="A1875" s="1"/>
      <c r="B1875" s="2"/>
      <c r="C1875" s="1"/>
      <c r="D1875" s="1"/>
      <c r="F1875" s="59"/>
      <c r="G1875" s="32"/>
      <c r="H1875" s="32"/>
    </row>
    <row r="1876" spans="1:8" ht="15.75" hidden="1" customHeight="1">
      <c r="A1876" s="1"/>
      <c r="B1876" s="2"/>
      <c r="C1876" s="1"/>
      <c r="D1876" s="1"/>
      <c r="F1876" s="59"/>
      <c r="G1876" s="32"/>
      <c r="H1876" s="32"/>
    </row>
    <row r="1877" spans="1:8" ht="15.75" hidden="1" customHeight="1">
      <c r="A1877" s="1"/>
      <c r="B1877" s="2"/>
      <c r="C1877" s="1"/>
      <c r="D1877" s="1"/>
      <c r="F1877" s="59"/>
      <c r="G1877" s="32"/>
      <c r="H1877" s="32"/>
    </row>
    <row r="1878" spans="1:8" ht="15.75" hidden="1" customHeight="1">
      <c r="A1878" s="1"/>
      <c r="B1878" s="2"/>
      <c r="C1878" s="1"/>
      <c r="D1878" s="1"/>
      <c r="F1878" s="59"/>
      <c r="G1878" s="32"/>
      <c r="H1878" s="32"/>
    </row>
    <row r="1879" spans="1:8" ht="15.75" hidden="1" customHeight="1">
      <c r="A1879" s="1"/>
      <c r="B1879" s="2"/>
      <c r="C1879" s="1"/>
      <c r="D1879" s="1"/>
      <c r="F1879" s="59"/>
      <c r="G1879" s="32"/>
      <c r="H1879" s="32"/>
    </row>
    <row r="1880" spans="1:8" ht="15.75" hidden="1" customHeight="1">
      <c r="A1880" s="1"/>
      <c r="B1880" s="2"/>
      <c r="C1880" s="1"/>
      <c r="D1880" s="1"/>
      <c r="F1880" s="59"/>
      <c r="G1880" s="32"/>
      <c r="H1880" s="32"/>
    </row>
    <row r="1881" spans="1:8" ht="15.75" hidden="1" customHeight="1">
      <c r="A1881" s="1"/>
      <c r="B1881" s="2"/>
      <c r="C1881" s="1"/>
      <c r="D1881" s="1"/>
      <c r="F1881" s="59"/>
      <c r="G1881" s="32"/>
      <c r="H1881" s="32"/>
    </row>
    <row r="1882" spans="1:8" ht="15.75" hidden="1" customHeight="1">
      <c r="A1882" s="1"/>
      <c r="B1882" s="2"/>
      <c r="C1882" s="1"/>
      <c r="D1882" s="1"/>
      <c r="F1882" s="59"/>
      <c r="G1882" s="32"/>
      <c r="H1882" s="32"/>
    </row>
    <row r="1883" spans="1:8" ht="15.75" hidden="1" customHeight="1">
      <c r="A1883" s="1"/>
      <c r="B1883" s="2"/>
      <c r="C1883" s="1"/>
      <c r="D1883" s="1"/>
      <c r="F1883" s="59"/>
      <c r="G1883" s="32"/>
      <c r="H1883" s="32"/>
    </row>
    <row r="1884" spans="1:8" ht="15.75" hidden="1" customHeight="1">
      <c r="A1884" s="1"/>
      <c r="B1884" s="2"/>
      <c r="C1884" s="1"/>
      <c r="D1884" s="1"/>
      <c r="F1884" s="59"/>
      <c r="G1884" s="32"/>
      <c r="H1884" s="32"/>
    </row>
    <row r="1885" spans="1:8" ht="15.75" hidden="1" customHeight="1">
      <c r="A1885" s="1"/>
      <c r="B1885" s="2"/>
      <c r="C1885" s="1"/>
      <c r="D1885" s="1"/>
      <c r="F1885" s="59"/>
      <c r="G1885" s="32"/>
      <c r="H1885" s="32"/>
    </row>
    <row r="1886" spans="1:8" ht="15.75" hidden="1" customHeight="1">
      <c r="A1886" s="1"/>
      <c r="B1886" s="2"/>
      <c r="C1886" s="1"/>
      <c r="D1886" s="1"/>
      <c r="F1886" s="59"/>
      <c r="G1886" s="32"/>
      <c r="H1886" s="32"/>
    </row>
    <row r="1887" spans="1:8" ht="15.75" hidden="1" customHeight="1">
      <c r="A1887" s="1"/>
      <c r="B1887" s="2"/>
      <c r="C1887" s="1"/>
      <c r="D1887" s="1"/>
      <c r="F1887" s="59"/>
      <c r="G1887" s="32"/>
      <c r="H1887" s="32"/>
    </row>
    <row r="1888" spans="1:8" ht="15.75" hidden="1" customHeight="1">
      <c r="A1888" s="1"/>
      <c r="B1888" s="2"/>
      <c r="C1888" s="1"/>
      <c r="D1888" s="1"/>
      <c r="F1888" s="59"/>
      <c r="G1888" s="32"/>
      <c r="H1888" s="32"/>
    </row>
    <row r="1889" spans="1:8" ht="15.75" hidden="1" customHeight="1">
      <c r="A1889" s="1"/>
      <c r="B1889" s="2"/>
      <c r="C1889" s="1"/>
      <c r="D1889" s="1"/>
      <c r="F1889" s="59"/>
      <c r="G1889" s="32"/>
      <c r="H1889" s="32"/>
    </row>
    <row r="1890" spans="1:8" ht="15.75" hidden="1" customHeight="1">
      <c r="A1890" s="1"/>
      <c r="B1890" s="2"/>
      <c r="C1890" s="1"/>
      <c r="D1890" s="1"/>
      <c r="F1890" s="59"/>
      <c r="G1890" s="32"/>
      <c r="H1890" s="32"/>
    </row>
    <row r="1891" spans="1:8" ht="15.75" hidden="1" customHeight="1">
      <c r="A1891" s="1"/>
      <c r="B1891" s="2"/>
      <c r="C1891" s="1"/>
      <c r="D1891" s="1"/>
      <c r="F1891" s="59"/>
      <c r="G1891" s="32"/>
      <c r="H1891" s="32"/>
    </row>
    <row r="1892" spans="1:8" ht="15.75" hidden="1" customHeight="1">
      <c r="A1892" s="1"/>
      <c r="B1892" s="2"/>
      <c r="C1892" s="1"/>
      <c r="D1892" s="1"/>
      <c r="F1892" s="59"/>
      <c r="G1892" s="32"/>
      <c r="H1892" s="32"/>
    </row>
    <row r="1893" spans="1:8" ht="15.75" hidden="1" customHeight="1">
      <c r="A1893" s="1"/>
      <c r="B1893" s="2"/>
      <c r="C1893" s="1"/>
      <c r="D1893" s="1"/>
      <c r="F1893" s="59"/>
      <c r="G1893" s="32"/>
      <c r="H1893" s="32"/>
    </row>
    <row r="1894" spans="1:8" ht="15.75" hidden="1" customHeight="1">
      <c r="A1894" s="1"/>
      <c r="B1894" s="2"/>
      <c r="C1894" s="1"/>
      <c r="D1894" s="1"/>
      <c r="F1894" s="59"/>
      <c r="G1894" s="32"/>
      <c r="H1894" s="32"/>
    </row>
    <row r="1895" spans="1:8" ht="15.75" hidden="1" customHeight="1">
      <c r="A1895" s="1"/>
      <c r="B1895" s="2"/>
      <c r="C1895" s="1"/>
      <c r="D1895" s="1"/>
      <c r="F1895" s="59"/>
      <c r="G1895" s="32"/>
      <c r="H1895" s="32"/>
    </row>
    <row r="1896" spans="1:8" ht="15.75" hidden="1" customHeight="1">
      <c r="A1896" s="1"/>
      <c r="B1896" s="2"/>
      <c r="C1896" s="1"/>
      <c r="D1896" s="1"/>
      <c r="F1896" s="59"/>
      <c r="G1896" s="32"/>
      <c r="H1896" s="32"/>
    </row>
    <row r="1897" spans="1:8" ht="15.75" hidden="1" customHeight="1">
      <c r="A1897" s="1"/>
      <c r="B1897" s="2"/>
      <c r="C1897" s="1"/>
      <c r="D1897" s="1"/>
      <c r="F1897" s="59"/>
      <c r="G1897" s="32"/>
      <c r="H1897" s="32"/>
    </row>
    <row r="1898" spans="1:8" ht="15.75" hidden="1" customHeight="1">
      <c r="A1898" s="1"/>
      <c r="B1898" s="2"/>
      <c r="C1898" s="1"/>
      <c r="D1898" s="1"/>
      <c r="F1898" s="59"/>
      <c r="G1898" s="32"/>
      <c r="H1898" s="32"/>
    </row>
    <row r="1899" spans="1:8" ht="15.75" hidden="1" customHeight="1">
      <c r="A1899" s="1"/>
      <c r="B1899" s="2"/>
      <c r="C1899" s="1"/>
      <c r="D1899" s="1"/>
      <c r="F1899" s="59"/>
      <c r="G1899" s="32"/>
      <c r="H1899" s="32"/>
    </row>
    <row r="1900" spans="1:8" ht="15.75" hidden="1" customHeight="1">
      <c r="A1900" s="1"/>
      <c r="B1900" s="2"/>
      <c r="C1900" s="1"/>
      <c r="D1900" s="1"/>
      <c r="F1900" s="59"/>
      <c r="G1900" s="32"/>
      <c r="H1900" s="32"/>
    </row>
    <row r="1901" spans="1:8" ht="15.75" hidden="1" customHeight="1">
      <c r="A1901" s="1"/>
      <c r="B1901" s="2"/>
      <c r="C1901" s="1"/>
      <c r="D1901" s="1"/>
      <c r="F1901" s="59"/>
      <c r="G1901" s="32"/>
      <c r="H1901" s="32"/>
    </row>
    <row r="1902" spans="1:8" ht="15.75" hidden="1" customHeight="1">
      <c r="A1902" s="1"/>
      <c r="B1902" s="2"/>
      <c r="C1902" s="1"/>
      <c r="D1902" s="1"/>
      <c r="F1902" s="59"/>
      <c r="G1902" s="32"/>
      <c r="H1902" s="32"/>
    </row>
    <row r="1903" spans="1:8" ht="15.75" hidden="1" customHeight="1">
      <c r="A1903" s="1"/>
      <c r="B1903" s="2"/>
      <c r="C1903" s="1"/>
      <c r="D1903" s="1"/>
      <c r="F1903" s="59"/>
      <c r="G1903" s="32"/>
      <c r="H1903" s="32"/>
    </row>
    <row r="1904" spans="1:8" ht="15.75" hidden="1" customHeight="1">
      <c r="A1904" s="1"/>
      <c r="B1904" s="2"/>
      <c r="C1904" s="1"/>
      <c r="D1904" s="1"/>
      <c r="F1904" s="59"/>
      <c r="G1904" s="32"/>
      <c r="H1904" s="32"/>
    </row>
    <row r="1905" spans="1:8" ht="15.75" hidden="1" customHeight="1">
      <c r="A1905" s="1"/>
      <c r="B1905" s="2"/>
      <c r="C1905" s="1"/>
      <c r="D1905" s="1"/>
      <c r="F1905" s="59"/>
      <c r="G1905" s="32"/>
      <c r="H1905" s="32"/>
    </row>
    <row r="1906" spans="1:8" ht="15.75" hidden="1" customHeight="1">
      <c r="A1906" s="1"/>
      <c r="B1906" s="2"/>
      <c r="C1906" s="1"/>
      <c r="D1906" s="1"/>
      <c r="F1906" s="59"/>
      <c r="G1906" s="32"/>
      <c r="H1906" s="32"/>
    </row>
    <row r="1907" spans="1:8" ht="15.75" hidden="1" customHeight="1">
      <c r="A1907" s="1"/>
      <c r="B1907" s="2"/>
      <c r="C1907" s="1"/>
      <c r="D1907" s="1"/>
      <c r="F1907" s="59"/>
      <c r="G1907" s="32"/>
      <c r="H1907" s="32"/>
    </row>
    <row r="1908" spans="1:8" ht="15.75" hidden="1" customHeight="1">
      <c r="A1908" s="1"/>
      <c r="B1908" s="2"/>
      <c r="C1908" s="1"/>
      <c r="D1908" s="1"/>
      <c r="F1908" s="59"/>
      <c r="G1908" s="32"/>
      <c r="H1908" s="32"/>
    </row>
    <row r="1909" spans="1:8" ht="15.75" hidden="1" customHeight="1">
      <c r="A1909" s="1"/>
      <c r="B1909" s="2"/>
      <c r="C1909" s="1"/>
      <c r="D1909" s="1"/>
      <c r="F1909" s="59"/>
      <c r="G1909" s="32"/>
      <c r="H1909" s="32"/>
    </row>
    <row r="1910" spans="1:8" ht="15.75" hidden="1" customHeight="1">
      <c r="A1910" s="1"/>
      <c r="B1910" s="2"/>
      <c r="C1910" s="1"/>
      <c r="D1910" s="1"/>
      <c r="F1910" s="59"/>
      <c r="G1910" s="32"/>
      <c r="H1910" s="32"/>
    </row>
    <row r="1911" spans="1:8" ht="15.75" hidden="1" customHeight="1">
      <c r="A1911" s="1"/>
      <c r="B1911" s="2"/>
      <c r="C1911" s="1"/>
      <c r="D1911" s="1"/>
      <c r="F1911" s="59"/>
      <c r="G1911" s="32"/>
      <c r="H1911" s="32"/>
    </row>
    <row r="1912" spans="1:8" ht="15.75" hidden="1" customHeight="1">
      <c r="A1912" s="1"/>
      <c r="B1912" s="2"/>
      <c r="C1912" s="1"/>
      <c r="D1912" s="1"/>
      <c r="F1912" s="59"/>
      <c r="G1912" s="32"/>
      <c r="H1912" s="32"/>
    </row>
    <row r="1913" spans="1:8" ht="15.75" hidden="1" customHeight="1">
      <c r="A1913" s="1"/>
      <c r="B1913" s="2"/>
      <c r="C1913" s="1"/>
      <c r="D1913" s="1"/>
      <c r="F1913" s="59"/>
      <c r="G1913" s="32"/>
      <c r="H1913" s="32"/>
    </row>
    <row r="1914" spans="1:8" ht="15.75" hidden="1" customHeight="1">
      <c r="A1914" s="1"/>
      <c r="B1914" s="2"/>
      <c r="C1914" s="1"/>
      <c r="D1914" s="1"/>
      <c r="F1914" s="59"/>
      <c r="G1914" s="32"/>
      <c r="H1914" s="32"/>
    </row>
    <row r="1915" spans="1:8" ht="15.75" hidden="1" customHeight="1">
      <c r="A1915" s="1"/>
      <c r="B1915" s="2"/>
      <c r="C1915" s="1"/>
      <c r="D1915" s="1"/>
      <c r="F1915" s="59"/>
      <c r="G1915" s="32"/>
      <c r="H1915" s="32"/>
    </row>
    <row r="1916" spans="1:8" ht="15.75" hidden="1" customHeight="1">
      <c r="A1916" s="1"/>
      <c r="B1916" s="2"/>
      <c r="C1916" s="1"/>
      <c r="D1916" s="1"/>
      <c r="F1916" s="59"/>
      <c r="G1916" s="32"/>
      <c r="H1916" s="32"/>
    </row>
    <row r="1917" spans="1:8" ht="15.75" hidden="1" customHeight="1">
      <c r="A1917" s="1"/>
      <c r="B1917" s="2"/>
      <c r="C1917" s="1"/>
      <c r="D1917" s="1"/>
      <c r="F1917" s="59"/>
      <c r="G1917" s="32"/>
      <c r="H1917" s="32"/>
    </row>
    <row r="1918" spans="1:8" ht="15.75" hidden="1" customHeight="1">
      <c r="A1918" s="1"/>
      <c r="B1918" s="2"/>
      <c r="C1918" s="1"/>
      <c r="D1918" s="1"/>
      <c r="F1918" s="59"/>
      <c r="G1918" s="32"/>
      <c r="H1918" s="32"/>
    </row>
    <row r="1919" spans="1:8" ht="15.75" hidden="1" customHeight="1">
      <c r="A1919" s="1"/>
      <c r="B1919" s="2"/>
      <c r="C1919" s="1"/>
      <c r="D1919" s="1"/>
      <c r="F1919" s="59"/>
      <c r="G1919" s="32"/>
      <c r="H1919" s="32"/>
    </row>
    <row r="1920" spans="1:8" ht="15.75" hidden="1" customHeight="1">
      <c r="A1920" s="1"/>
      <c r="B1920" s="2"/>
      <c r="C1920" s="1"/>
      <c r="D1920" s="1"/>
      <c r="F1920" s="59"/>
      <c r="G1920" s="32"/>
      <c r="H1920" s="32"/>
    </row>
    <row r="1921" spans="1:8" ht="15.75" hidden="1" customHeight="1">
      <c r="A1921" s="1"/>
      <c r="B1921" s="2"/>
      <c r="C1921" s="1"/>
      <c r="D1921" s="1"/>
      <c r="F1921" s="59"/>
      <c r="G1921" s="32"/>
      <c r="H1921" s="32"/>
    </row>
    <row r="1922" spans="1:8" ht="15.75" hidden="1" customHeight="1">
      <c r="A1922" s="1"/>
      <c r="B1922" s="2"/>
      <c r="C1922" s="1"/>
      <c r="D1922" s="1"/>
      <c r="F1922" s="59"/>
      <c r="G1922" s="32"/>
      <c r="H1922" s="32"/>
    </row>
    <row r="1923" spans="1:8" ht="15.75" hidden="1" customHeight="1">
      <c r="A1923" s="1"/>
      <c r="B1923" s="2"/>
      <c r="C1923" s="1"/>
      <c r="D1923" s="1"/>
      <c r="F1923" s="59"/>
      <c r="G1923" s="32"/>
      <c r="H1923" s="32"/>
    </row>
    <row r="1924" spans="1:8" ht="15.75" hidden="1" customHeight="1">
      <c r="A1924" s="1"/>
      <c r="B1924" s="2"/>
      <c r="C1924" s="1"/>
      <c r="D1924" s="1"/>
      <c r="F1924" s="59"/>
      <c r="G1924" s="32"/>
      <c r="H1924" s="32"/>
    </row>
    <row r="1925" spans="1:8" ht="15.75" hidden="1" customHeight="1">
      <c r="A1925" s="1"/>
      <c r="B1925" s="2"/>
      <c r="C1925" s="1"/>
      <c r="D1925" s="1"/>
      <c r="F1925" s="59"/>
      <c r="G1925" s="32"/>
      <c r="H1925" s="32"/>
    </row>
    <row r="1926" spans="1:8" ht="15.75" hidden="1" customHeight="1">
      <c r="A1926" s="1"/>
      <c r="B1926" s="2"/>
      <c r="C1926" s="1"/>
      <c r="D1926" s="1"/>
      <c r="F1926" s="59"/>
      <c r="G1926" s="32"/>
      <c r="H1926" s="32"/>
    </row>
    <row r="1927" spans="1:8" ht="15.75" hidden="1" customHeight="1">
      <c r="A1927" s="1"/>
      <c r="B1927" s="2"/>
      <c r="C1927" s="1"/>
      <c r="D1927" s="1"/>
      <c r="F1927" s="59"/>
      <c r="G1927" s="32"/>
      <c r="H1927" s="32"/>
    </row>
    <row r="1928" spans="1:8" ht="15.75" hidden="1" customHeight="1">
      <c r="A1928" s="1"/>
      <c r="B1928" s="2"/>
      <c r="C1928" s="1"/>
      <c r="D1928" s="1"/>
      <c r="F1928" s="59"/>
      <c r="G1928" s="32"/>
      <c r="H1928" s="32"/>
    </row>
    <row r="1929" spans="1:8" ht="15.75" hidden="1" customHeight="1">
      <c r="A1929" s="1"/>
      <c r="B1929" s="2"/>
      <c r="C1929" s="1"/>
      <c r="D1929" s="1"/>
      <c r="F1929" s="59"/>
      <c r="G1929" s="32"/>
      <c r="H1929" s="32"/>
    </row>
    <row r="1930" spans="1:8" ht="15.75" hidden="1" customHeight="1">
      <c r="A1930" s="1"/>
      <c r="B1930" s="2"/>
      <c r="C1930" s="1"/>
      <c r="D1930" s="1"/>
      <c r="F1930" s="59"/>
      <c r="G1930" s="32"/>
      <c r="H1930" s="32"/>
    </row>
    <row r="1931" spans="1:8" ht="15.75" hidden="1" customHeight="1">
      <c r="A1931" s="1"/>
      <c r="B1931" s="2"/>
      <c r="C1931" s="1"/>
      <c r="D1931" s="1"/>
      <c r="F1931" s="59"/>
      <c r="G1931" s="32"/>
      <c r="H1931" s="32"/>
    </row>
    <row r="1932" spans="1:8" ht="15.75" hidden="1" customHeight="1">
      <c r="A1932" s="1"/>
      <c r="B1932" s="2"/>
      <c r="C1932" s="1"/>
      <c r="D1932" s="1"/>
      <c r="F1932" s="59"/>
      <c r="G1932" s="32"/>
      <c r="H1932" s="32"/>
    </row>
    <row r="1933" spans="1:8" ht="15.75" hidden="1" customHeight="1">
      <c r="A1933" s="1"/>
      <c r="B1933" s="2"/>
      <c r="C1933" s="1"/>
      <c r="D1933" s="1"/>
      <c r="F1933" s="59"/>
      <c r="G1933" s="32"/>
      <c r="H1933" s="32"/>
    </row>
    <row r="1934" spans="1:8" ht="15.75" hidden="1" customHeight="1">
      <c r="A1934" s="1"/>
      <c r="B1934" s="2"/>
      <c r="C1934" s="1"/>
      <c r="D1934" s="1"/>
      <c r="F1934" s="59"/>
      <c r="G1934" s="32"/>
      <c r="H1934" s="32"/>
    </row>
    <row r="1935" spans="1:8" ht="15.75" hidden="1" customHeight="1">
      <c r="A1935" s="1"/>
      <c r="B1935" s="2"/>
      <c r="C1935" s="1"/>
      <c r="D1935" s="1"/>
      <c r="F1935" s="59"/>
      <c r="G1935" s="32"/>
      <c r="H1935" s="32"/>
    </row>
    <row r="1936" spans="1:8" ht="15.75" hidden="1" customHeight="1">
      <c r="A1936" s="1"/>
      <c r="B1936" s="2"/>
      <c r="C1936" s="1"/>
      <c r="D1936" s="1"/>
      <c r="F1936" s="59"/>
      <c r="G1936" s="32"/>
      <c r="H1936" s="32"/>
    </row>
    <row r="1937" spans="1:8" ht="15.75" hidden="1" customHeight="1">
      <c r="A1937" s="1"/>
      <c r="B1937" s="2"/>
      <c r="C1937" s="1"/>
      <c r="D1937" s="1"/>
      <c r="F1937" s="59"/>
      <c r="G1937" s="32"/>
      <c r="H1937" s="32"/>
    </row>
    <row r="1938" spans="1:8" ht="15.75" hidden="1" customHeight="1">
      <c r="A1938" s="1"/>
      <c r="B1938" s="2"/>
      <c r="C1938" s="1"/>
      <c r="D1938" s="1"/>
      <c r="F1938" s="59"/>
      <c r="G1938" s="32"/>
      <c r="H1938" s="32"/>
    </row>
    <row r="1939" spans="1:8" ht="15.75" hidden="1" customHeight="1">
      <c r="A1939" s="1"/>
      <c r="B1939" s="2"/>
      <c r="C1939" s="1"/>
      <c r="D1939" s="1"/>
      <c r="F1939" s="59"/>
      <c r="G1939" s="32"/>
      <c r="H1939" s="32"/>
    </row>
    <row r="1940" spans="1:8" ht="15.75" hidden="1" customHeight="1">
      <c r="A1940" s="1"/>
      <c r="B1940" s="2"/>
      <c r="C1940" s="1"/>
      <c r="D1940" s="1"/>
      <c r="F1940" s="59"/>
      <c r="G1940" s="32"/>
      <c r="H1940" s="32"/>
    </row>
    <row r="1941" spans="1:8" ht="15.75" hidden="1" customHeight="1">
      <c r="A1941" s="1"/>
      <c r="B1941" s="2"/>
      <c r="C1941" s="1"/>
      <c r="D1941" s="1"/>
      <c r="F1941" s="59"/>
      <c r="G1941" s="32"/>
      <c r="H1941" s="32"/>
    </row>
    <row r="1942" spans="1:8" ht="15.75" hidden="1" customHeight="1">
      <c r="A1942" s="1"/>
      <c r="B1942" s="2"/>
      <c r="C1942" s="1"/>
      <c r="D1942" s="1"/>
      <c r="F1942" s="59"/>
      <c r="G1942" s="32"/>
      <c r="H1942" s="32"/>
    </row>
    <row r="1943" spans="1:8" ht="15.75" hidden="1" customHeight="1">
      <c r="A1943" s="1"/>
      <c r="B1943" s="2"/>
      <c r="C1943" s="1"/>
      <c r="D1943" s="1"/>
      <c r="F1943" s="59"/>
      <c r="G1943" s="32"/>
      <c r="H1943" s="32"/>
    </row>
    <row r="1944" spans="1:8" ht="15.75" hidden="1" customHeight="1">
      <c r="A1944" s="1"/>
      <c r="B1944" s="2"/>
      <c r="C1944" s="1"/>
      <c r="D1944" s="1"/>
      <c r="F1944" s="59"/>
      <c r="G1944" s="32"/>
      <c r="H1944" s="32"/>
    </row>
    <row r="1945" spans="1:8" ht="15.75" hidden="1" customHeight="1">
      <c r="A1945" s="1"/>
      <c r="B1945" s="2"/>
      <c r="C1945" s="1"/>
      <c r="D1945" s="1"/>
      <c r="F1945" s="59"/>
      <c r="G1945" s="32"/>
      <c r="H1945" s="32"/>
    </row>
    <row r="1946" spans="1:8" ht="15.75" hidden="1" customHeight="1">
      <c r="A1946" s="1"/>
      <c r="B1946" s="2"/>
      <c r="C1946" s="1"/>
      <c r="D1946" s="1"/>
      <c r="F1946" s="59"/>
      <c r="G1946" s="32"/>
      <c r="H1946" s="32"/>
    </row>
    <row r="1947" spans="1:8" ht="15.75" hidden="1" customHeight="1">
      <c r="A1947" s="1"/>
      <c r="B1947" s="2"/>
      <c r="C1947" s="1"/>
      <c r="D1947" s="1"/>
      <c r="F1947" s="59"/>
      <c r="G1947" s="32"/>
      <c r="H1947" s="32"/>
    </row>
    <row r="1948" spans="1:8" ht="15.75" hidden="1" customHeight="1">
      <c r="A1948" s="1"/>
      <c r="B1948" s="2"/>
      <c r="C1948" s="1"/>
      <c r="D1948" s="1"/>
      <c r="F1948" s="59"/>
      <c r="G1948" s="32"/>
      <c r="H1948" s="32"/>
    </row>
    <row r="1949" spans="1:8" ht="15.75" hidden="1" customHeight="1">
      <c r="A1949" s="1"/>
      <c r="B1949" s="2"/>
      <c r="C1949" s="1"/>
      <c r="D1949" s="1"/>
      <c r="F1949" s="59"/>
      <c r="G1949" s="32"/>
      <c r="H1949" s="32"/>
    </row>
    <row r="1950" spans="1:8" ht="15.75" hidden="1" customHeight="1">
      <c r="A1950" s="1"/>
      <c r="B1950" s="2"/>
      <c r="C1950" s="1"/>
      <c r="D1950" s="1"/>
      <c r="F1950" s="59"/>
      <c r="G1950" s="32"/>
      <c r="H1950" s="32"/>
    </row>
    <row r="1951" spans="1:8" ht="15.75" hidden="1" customHeight="1">
      <c r="A1951" s="1"/>
      <c r="B1951" s="2"/>
      <c r="C1951" s="1"/>
      <c r="D1951" s="1"/>
      <c r="F1951" s="59"/>
      <c r="G1951" s="32"/>
      <c r="H1951" s="32"/>
    </row>
    <row r="1952" spans="1:8" ht="15.75" hidden="1" customHeight="1">
      <c r="A1952" s="1"/>
      <c r="B1952" s="2"/>
      <c r="C1952" s="1"/>
      <c r="D1952" s="1"/>
      <c r="F1952" s="59"/>
      <c r="G1952" s="32"/>
      <c r="H1952" s="32"/>
    </row>
    <row r="1953" spans="1:8" ht="15.75" hidden="1" customHeight="1">
      <c r="A1953" s="1"/>
      <c r="B1953" s="2"/>
      <c r="C1953" s="1"/>
      <c r="D1953" s="1"/>
      <c r="F1953" s="59"/>
      <c r="G1953" s="32"/>
      <c r="H1953" s="32"/>
    </row>
    <row r="1954" spans="1:8" ht="15.75" hidden="1" customHeight="1">
      <c r="A1954" s="1"/>
      <c r="B1954" s="2"/>
      <c r="C1954" s="1"/>
      <c r="D1954" s="1"/>
      <c r="F1954" s="59"/>
      <c r="G1954" s="32"/>
      <c r="H1954" s="32"/>
    </row>
    <row r="1955" spans="1:8" ht="15.75" hidden="1" customHeight="1">
      <c r="A1955" s="1"/>
      <c r="B1955" s="2"/>
      <c r="C1955" s="1"/>
      <c r="D1955" s="1"/>
      <c r="F1955" s="59"/>
      <c r="G1955" s="32"/>
      <c r="H1955" s="32"/>
    </row>
    <row r="1956" spans="1:8" ht="15.75" hidden="1" customHeight="1">
      <c r="A1956" s="1"/>
      <c r="B1956" s="2"/>
      <c r="C1956" s="1"/>
      <c r="D1956" s="1"/>
      <c r="F1956" s="59"/>
      <c r="G1956" s="32"/>
      <c r="H1956" s="32"/>
    </row>
    <row r="1957" spans="1:8" ht="15.75" hidden="1" customHeight="1">
      <c r="A1957" s="1"/>
      <c r="B1957" s="2"/>
      <c r="C1957" s="1"/>
      <c r="D1957" s="1"/>
      <c r="F1957" s="59"/>
      <c r="G1957" s="32"/>
      <c r="H1957" s="32"/>
    </row>
    <row r="1958" spans="1:8" ht="15.75" hidden="1" customHeight="1">
      <c r="A1958" s="1"/>
      <c r="B1958" s="2"/>
      <c r="C1958" s="1"/>
      <c r="D1958" s="1"/>
      <c r="F1958" s="59"/>
      <c r="G1958" s="32"/>
      <c r="H1958" s="32"/>
    </row>
    <row r="1959" spans="1:8" ht="15.75" hidden="1" customHeight="1">
      <c r="A1959" s="1"/>
      <c r="B1959" s="2"/>
      <c r="C1959" s="1"/>
      <c r="D1959" s="1"/>
      <c r="F1959" s="59"/>
      <c r="G1959" s="32"/>
      <c r="H1959" s="32"/>
    </row>
    <row r="1960" spans="1:8" ht="15.75" hidden="1" customHeight="1">
      <c r="A1960" s="1"/>
      <c r="B1960" s="2"/>
      <c r="C1960" s="1"/>
      <c r="D1960" s="1"/>
      <c r="F1960" s="59"/>
      <c r="G1960" s="32"/>
      <c r="H1960" s="32"/>
    </row>
    <row r="1961" spans="1:8" ht="15.75" hidden="1" customHeight="1">
      <c r="A1961" s="1"/>
      <c r="B1961" s="2"/>
      <c r="C1961" s="1"/>
      <c r="D1961" s="1"/>
      <c r="F1961" s="59"/>
      <c r="G1961" s="32"/>
      <c r="H1961" s="32"/>
    </row>
    <row r="1962" spans="1:8" ht="15.75" hidden="1" customHeight="1">
      <c r="A1962" s="1"/>
      <c r="B1962" s="2"/>
      <c r="C1962" s="1"/>
      <c r="D1962" s="1"/>
      <c r="F1962" s="59"/>
      <c r="G1962" s="32"/>
      <c r="H1962" s="32"/>
    </row>
    <row r="1963" spans="1:8" ht="15.75" hidden="1" customHeight="1">
      <c r="A1963" s="1"/>
      <c r="B1963" s="2"/>
      <c r="C1963" s="1"/>
      <c r="D1963" s="1"/>
      <c r="F1963" s="59"/>
      <c r="G1963" s="32"/>
      <c r="H1963" s="32"/>
    </row>
    <row r="1964" spans="1:8" ht="15.75" hidden="1" customHeight="1">
      <c r="A1964" s="1"/>
      <c r="B1964" s="2"/>
      <c r="C1964" s="1"/>
      <c r="D1964" s="1"/>
      <c r="F1964" s="59"/>
      <c r="G1964" s="32"/>
      <c r="H1964" s="32"/>
    </row>
    <row r="1965" spans="1:8" ht="15.75" hidden="1" customHeight="1">
      <c r="A1965" s="1"/>
      <c r="B1965" s="2"/>
      <c r="C1965" s="1"/>
      <c r="D1965" s="1"/>
      <c r="F1965" s="59"/>
      <c r="G1965" s="32"/>
      <c r="H1965" s="32"/>
    </row>
    <row r="1966" spans="1:8" ht="15.75" hidden="1" customHeight="1">
      <c r="A1966" s="1"/>
      <c r="B1966" s="2"/>
      <c r="C1966" s="1"/>
      <c r="D1966" s="1"/>
      <c r="F1966" s="59"/>
      <c r="G1966" s="32"/>
      <c r="H1966" s="32"/>
    </row>
    <row r="1967" spans="1:8" ht="15.75" hidden="1" customHeight="1">
      <c r="A1967" s="1"/>
      <c r="B1967" s="2"/>
      <c r="C1967" s="1"/>
      <c r="D1967" s="1"/>
      <c r="F1967" s="59"/>
      <c r="G1967" s="32"/>
      <c r="H1967" s="32"/>
    </row>
    <row r="1968" spans="1:8" ht="15.75" hidden="1" customHeight="1">
      <c r="A1968" s="1"/>
      <c r="B1968" s="2"/>
      <c r="C1968" s="1"/>
      <c r="D1968" s="1"/>
      <c r="F1968" s="59"/>
      <c r="G1968" s="32"/>
      <c r="H1968" s="32"/>
    </row>
    <row r="1969" spans="1:8" ht="15.75" hidden="1" customHeight="1">
      <c r="A1969" s="1"/>
      <c r="B1969" s="2"/>
      <c r="C1969" s="1"/>
      <c r="D1969" s="1"/>
      <c r="F1969" s="59"/>
      <c r="G1969" s="32"/>
      <c r="H1969" s="32"/>
    </row>
    <row r="1970" spans="1:8" ht="15.75" hidden="1" customHeight="1">
      <c r="A1970" s="1"/>
      <c r="B1970" s="2"/>
      <c r="C1970" s="1"/>
      <c r="D1970" s="1"/>
      <c r="F1970" s="59"/>
      <c r="G1970" s="32"/>
      <c r="H1970" s="32"/>
    </row>
    <row r="1971" spans="1:8" ht="15.75" hidden="1" customHeight="1">
      <c r="A1971" s="1"/>
      <c r="B1971" s="2"/>
      <c r="C1971" s="1"/>
      <c r="D1971" s="1"/>
      <c r="F1971" s="59"/>
      <c r="G1971" s="32"/>
      <c r="H1971" s="32"/>
    </row>
    <row r="1972" spans="1:8" ht="15.75" hidden="1" customHeight="1">
      <c r="A1972" s="1"/>
      <c r="B1972" s="2"/>
      <c r="C1972" s="1"/>
      <c r="D1972" s="1"/>
      <c r="F1972" s="59"/>
      <c r="G1972" s="32"/>
      <c r="H1972" s="32"/>
    </row>
    <row r="1973" spans="1:8" ht="15.75" hidden="1" customHeight="1">
      <c r="A1973" s="1"/>
      <c r="B1973" s="2"/>
      <c r="C1973" s="1"/>
      <c r="D1973" s="1"/>
      <c r="F1973" s="59"/>
      <c r="G1973" s="32"/>
      <c r="H1973" s="32"/>
    </row>
    <row r="1974" spans="1:8" ht="15.75" hidden="1" customHeight="1">
      <c r="A1974" s="1"/>
      <c r="B1974" s="2"/>
      <c r="C1974" s="1"/>
      <c r="D1974" s="1"/>
      <c r="F1974" s="59"/>
      <c r="G1974" s="32"/>
      <c r="H1974" s="32"/>
    </row>
    <row r="1975" spans="1:8" ht="15.75" hidden="1" customHeight="1">
      <c r="A1975" s="1"/>
      <c r="B1975" s="2"/>
      <c r="C1975" s="1"/>
      <c r="D1975" s="1"/>
      <c r="F1975" s="59"/>
      <c r="G1975" s="32"/>
      <c r="H1975" s="32"/>
    </row>
    <row r="1976" spans="1:8" ht="15.75" hidden="1" customHeight="1">
      <c r="A1976" s="1"/>
      <c r="B1976" s="2"/>
      <c r="C1976" s="1"/>
      <c r="D1976" s="1"/>
      <c r="F1976" s="59"/>
      <c r="G1976" s="32"/>
      <c r="H1976" s="32"/>
    </row>
    <row r="1977" spans="1:8" ht="15.75" hidden="1" customHeight="1">
      <c r="A1977" s="1"/>
      <c r="B1977" s="2"/>
      <c r="C1977" s="1"/>
      <c r="D1977" s="1"/>
      <c r="F1977" s="59"/>
      <c r="G1977" s="32"/>
      <c r="H1977" s="32"/>
    </row>
    <row r="1978" spans="1:8" ht="15.75" hidden="1" customHeight="1">
      <c r="A1978" s="1"/>
      <c r="B1978" s="2"/>
      <c r="C1978" s="1"/>
      <c r="D1978" s="1"/>
      <c r="F1978" s="59"/>
      <c r="G1978" s="32"/>
      <c r="H1978" s="32"/>
    </row>
    <row r="1979" spans="1:8" ht="15.75" hidden="1" customHeight="1">
      <c r="A1979" s="1"/>
      <c r="B1979" s="2"/>
      <c r="C1979" s="1"/>
      <c r="D1979" s="1"/>
      <c r="F1979" s="59"/>
      <c r="G1979" s="32"/>
      <c r="H1979" s="32"/>
    </row>
    <row r="1980" spans="1:8" ht="15.75" hidden="1" customHeight="1">
      <c r="A1980" s="1"/>
      <c r="B1980" s="2"/>
      <c r="C1980" s="1"/>
      <c r="D1980" s="1"/>
      <c r="F1980" s="59"/>
      <c r="G1980" s="32"/>
      <c r="H1980" s="32"/>
    </row>
    <row r="1981" spans="1:8" ht="15.75" hidden="1" customHeight="1">
      <c r="A1981" s="1"/>
      <c r="B1981" s="2"/>
      <c r="C1981" s="1"/>
      <c r="D1981" s="1"/>
      <c r="F1981" s="59"/>
      <c r="G1981" s="32"/>
      <c r="H1981" s="32"/>
    </row>
    <row r="1982" spans="1:8" ht="15.75" hidden="1" customHeight="1">
      <c r="A1982" s="1"/>
      <c r="B1982" s="2"/>
      <c r="C1982" s="1"/>
      <c r="D1982" s="1"/>
      <c r="F1982" s="59"/>
      <c r="G1982" s="32"/>
      <c r="H1982" s="32"/>
    </row>
    <row r="1983" spans="1:8" ht="15.75" hidden="1" customHeight="1">
      <c r="A1983" s="1"/>
      <c r="B1983" s="2"/>
      <c r="C1983" s="1"/>
      <c r="D1983" s="1"/>
      <c r="F1983" s="59"/>
      <c r="G1983" s="32"/>
      <c r="H1983" s="32"/>
    </row>
    <row r="1984" spans="1:8" ht="15.75" hidden="1" customHeight="1">
      <c r="A1984" s="1"/>
      <c r="B1984" s="2"/>
      <c r="C1984" s="1"/>
      <c r="D1984" s="1"/>
      <c r="F1984" s="59"/>
      <c r="G1984" s="32"/>
      <c r="H1984" s="32"/>
    </row>
    <row r="1985" spans="1:8" ht="15.75" hidden="1" customHeight="1">
      <c r="A1985" s="1"/>
      <c r="B1985" s="2"/>
      <c r="C1985" s="1"/>
      <c r="D1985" s="1"/>
      <c r="F1985" s="59"/>
      <c r="G1985" s="32"/>
      <c r="H1985" s="32"/>
    </row>
    <row r="1986" spans="1:8" ht="15.75" hidden="1" customHeight="1">
      <c r="A1986" s="1"/>
      <c r="B1986" s="2"/>
      <c r="C1986" s="1"/>
      <c r="D1986" s="1"/>
      <c r="F1986" s="59"/>
      <c r="G1986" s="32"/>
      <c r="H1986" s="32"/>
    </row>
    <row r="1987" spans="1:8" ht="15.75" hidden="1" customHeight="1">
      <c r="A1987" s="1"/>
      <c r="B1987" s="2"/>
      <c r="C1987" s="1"/>
      <c r="D1987" s="1"/>
      <c r="F1987" s="59"/>
      <c r="G1987" s="32"/>
      <c r="H1987" s="32"/>
    </row>
    <row r="1988" spans="1:8" ht="15.75" hidden="1" customHeight="1">
      <c r="A1988" s="1"/>
      <c r="B1988" s="2"/>
      <c r="C1988" s="1"/>
      <c r="D1988" s="1"/>
      <c r="F1988" s="59"/>
      <c r="G1988" s="32"/>
      <c r="H1988" s="32"/>
    </row>
    <row r="1989" spans="1:8" ht="15.75" hidden="1" customHeight="1">
      <c r="A1989" s="1"/>
      <c r="B1989" s="2"/>
      <c r="C1989" s="1"/>
      <c r="D1989" s="1"/>
      <c r="F1989" s="59"/>
      <c r="G1989" s="32"/>
      <c r="H1989" s="32"/>
    </row>
    <row r="1990" spans="1:8" ht="15.75" hidden="1" customHeight="1">
      <c r="A1990" s="1"/>
      <c r="B1990" s="2"/>
      <c r="C1990" s="1"/>
      <c r="D1990" s="1"/>
      <c r="F1990" s="59"/>
      <c r="G1990" s="32"/>
      <c r="H1990" s="32"/>
    </row>
    <row r="1991" spans="1:8" ht="15.75" hidden="1" customHeight="1">
      <c r="A1991" s="1"/>
      <c r="B1991" s="2"/>
      <c r="C1991" s="1"/>
      <c r="D1991" s="1"/>
      <c r="F1991" s="59"/>
      <c r="G1991" s="32"/>
      <c r="H1991" s="32"/>
    </row>
    <row r="1992" spans="1:8" ht="15.75" hidden="1" customHeight="1">
      <c r="A1992" s="1"/>
      <c r="B1992" s="2"/>
      <c r="C1992" s="1"/>
      <c r="D1992" s="1"/>
      <c r="F1992" s="59"/>
      <c r="G1992" s="32"/>
      <c r="H1992" s="32"/>
    </row>
    <row r="1993" spans="1:8" ht="15.75" hidden="1" customHeight="1">
      <c r="A1993" s="1"/>
      <c r="B1993" s="2"/>
      <c r="C1993" s="1"/>
      <c r="D1993" s="1"/>
      <c r="F1993" s="59"/>
      <c r="G1993" s="32"/>
      <c r="H1993" s="32"/>
    </row>
    <row r="1994" spans="1:8" ht="15.75" hidden="1" customHeight="1">
      <c r="A1994" s="1"/>
      <c r="B1994" s="2"/>
      <c r="C1994" s="1"/>
      <c r="D1994" s="1"/>
      <c r="F1994" s="59"/>
      <c r="G1994" s="32"/>
      <c r="H1994" s="32"/>
    </row>
    <row r="1995" spans="1:8" ht="15.75" hidden="1" customHeight="1">
      <c r="A1995" s="1"/>
      <c r="B1995" s="2"/>
      <c r="C1995" s="1"/>
      <c r="D1995" s="1"/>
      <c r="E1995" s="1"/>
      <c r="F1995" s="59"/>
      <c r="G1995" s="32"/>
      <c r="H1995" s="32"/>
    </row>
    <row r="1996" spans="1:8" ht="15.75" hidden="1" customHeight="1">
      <c r="A1996" s="1"/>
      <c r="B1996" s="2"/>
      <c r="C1996" s="1"/>
      <c r="D1996" s="1"/>
      <c r="E1996" s="1"/>
      <c r="F1996" s="59"/>
      <c r="G1996" s="32"/>
      <c r="H1996" s="32"/>
    </row>
    <row r="1997" spans="1:8" ht="15.75" hidden="1" customHeight="1">
      <c r="A1997" s="1"/>
      <c r="B1997" s="2"/>
      <c r="C1997" s="1"/>
      <c r="D1997" s="1"/>
      <c r="E1997" s="1"/>
      <c r="F1997" s="59"/>
      <c r="G1997" s="32"/>
      <c r="H1997" s="32"/>
    </row>
    <row r="1998" spans="1:8" ht="15.75" hidden="1" customHeight="1">
      <c r="A1998" s="1"/>
      <c r="B1998" s="2"/>
      <c r="C1998" s="1"/>
      <c r="D1998" s="1"/>
      <c r="E1998" s="1"/>
      <c r="F1998" s="59"/>
      <c r="G1998" s="32"/>
      <c r="H1998" s="32"/>
    </row>
    <row r="1999" spans="1:8" ht="15.75" hidden="1" customHeight="1">
      <c r="A1999" s="1"/>
      <c r="B1999" s="2"/>
      <c r="C1999" s="1"/>
      <c r="D1999" s="1"/>
      <c r="E1999" s="1"/>
      <c r="F1999" s="59"/>
      <c r="G1999" s="32"/>
      <c r="H1999" s="32"/>
    </row>
    <row r="2000" spans="1:8" ht="15.75" hidden="1" customHeight="1">
      <c r="A2000" s="1"/>
      <c r="B2000" s="2"/>
      <c r="C2000" s="1"/>
      <c r="D2000" s="1"/>
      <c r="E2000" s="1"/>
      <c r="F2000" s="59"/>
      <c r="G2000" s="32"/>
      <c r="H2000" s="32"/>
    </row>
    <row r="2001" spans="1:8" ht="15.75" hidden="1" customHeight="1">
      <c r="A2001" s="1"/>
      <c r="B2001" s="2"/>
      <c r="C2001" s="1"/>
      <c r="D2001" s="1"/>
      <c r="E2001" s="1"/>
      <c r="F2001" s="59"/>
      <c r="G2001" s="32"/>
      <c r="H2001" s="32"/>
    </row>
    <row r="2002" spans="1:8" ht="15.75" hidden="1" customHeight="1">
      <c r="A2002" s="1"/>
      <c r="B2002" s="2"/>
      <c r="C2002" s="1"/>
      <c r="D2002" s="1"/>
      <c r="E2002" s="1"/>
      <c r="F2002" s="59"/>
      <c r="G2002" s="32"/>
      <c r="H2002" s="32"/>
    </row>
    <row r="2003" spans="1:8" ht="15.75" hidden="1" customHeight="1">
      <c r="A2003" s="1"/>
      <c r="B2003" s="2"/>
      <c r="C2003" s="1"/>
      <c r="D2003" s="1"/>
      <c r="E2003" s="1"/>
      <c r="F2003" s="59"/>
      <c r="G2003" s="32"/>
      <c r="H2003" s="32"/>
    </row>
    <row r="2004" spans="1:8" ht="15.75" hidden="1" customHeight="1">
      <c r="A2004" s="1"/>
      <c r="B2004" s="2"/>
      <c r="C2004" s="1"/>
      <c r="D2004" s="1"/>
      <c r="E2004" s="1"/>
      <c r="F2004" s="59"/>
      <c r="G2004" s="32"/>
      <c r="H2004" s="32"/>
    </row>
    <row r="2005" spans="1:8" ht="15.75" hidden="1" customHeight="1">
      <c r="A2005" s="1"/>
      <c r="B2005" s="2"/>
      <c r="C2005" s="1"/>
      <c r="D2005" s="1"/>
      <c r="E2005" s="1"/>
      <c r="F2005" s="59"/>
      <c r="G2005" s="32"/>
      <c r="H2005" s="32"/>
    </row>
    <row r="2006" spans="1:8" ht="15.75" hidden="1" customHeight="1">
      <c r="A2006" s="1"/>
      <c r="B2006" s="2"/>
      <c r="C2006" s="1"/>
      <c r="D2006" s="1"/>
      <c r="E2006" s="1"/>
      <c r="F2006" s="59"/>
      <c r="G2006" s="32"/>
      <c r="H2006" s="32"/>
    </row>
    <row r="2007" spans="1:8" ht="15.75" hidden="1" customHeight="1">
      <c r="A2007" s="1"/>
      <c r="B2007" s="2"/>
      <c r="C2007" s="1"/>
      <c r="D2007" s="1"/>
      <c r="F2007" s="59"/>
      <c r="G2007" s="32"/>
      <c r="H2007" s="32"/>
    </row>
    <row r="2008" spans="1:8" ht="15.75" hidden="1" customHeight="1">
      <c r="A2008" s="1"/>
      <c r="B2008" s="2"/>
      <c r="C2008" s="1"/>
      <c r="D2008" s="1"/>
      <c r="E2008" s="1"/>
      <c r="F2008" s="59"/>
      <c r="G2008" s="32"/>
      <c r="H2008" s="32"/>
    </row>
    <row r="2009" spans="1:8" ht="15.75" hidden="1" customHeight="1">
      <c r="A2009" s="1"/>
      <c r="B2009" s="2"/>
      <c r="C2009" s="1"/>
      <c r="D2009" s="1"/>
      <c r="E2009" s="1"/>
      <c r="F2009" s="59"/>
      <c r="G2009" s="32"/>
      <c r="H2009" s="32"/>
    </row>
    <row r="2010" spans="1:8" ht="15.75" hidden="1" customHeight="1">
      <c r="A2010" s="1"/>
      <c r="B2010" s="2"/>
      <c r="C2010" s="1"/>
      <c r="D2010" s="1"/>
      <c r="E2010" s="1"/>
      <c r="F2010" s="59"/>
      <c r="G2010" s="32"/>
      <c r="H2010" s="32"/>
    </row>
    <row r="2011" spans="1:8" ht="15.75" hidden="1" customHeight="1">
      <c r="A2011" s="1"/>
      <c r="B2011" s="2"/>
      <c r="C2011" s="1"/>
      <c r="D2011" s="1"/>
      <c r="E2011" s="1"/>
      <c r="F2011" s="59"/>
      <c r="G2011" s="32"/>
      <c r="H2011" s="32"/>
    </row>
    <row r="2012" spans="1:8" ht="15.75" hidden="1" customHeight="1">
      <c r="A2012" s="1"/>
      <c r="B2012" s="2"/>
      <c r="C2012" s="1"/>
      <c r="D2012" s="1"/>
      <c r="E2012" s="1"/>
      <c r="F2012" s="59"/>
      <c r="G2012" s="32"/>
      <c r="H2012" s="32"/>
    </row>
    <row r="2013" spans="1:8" ht="15.75" hidden="1" customHeight="1">
      <c r="A2013" s="1"/>
      <c r="B2013" s="2"/>
      <c r="C2013" s="1"/>
      <c r="D2013" s="1"/>
      <c r="E2013" s="1"/>
      <c r="F2013" s="59"/>
      <c r="G2013" s="32"/>
      <c r="H2013" s="32"/>
    </row>
    <row r="2014" spans="1:8" ht="15.75" hidden="1" customHeight="1">
      <c r="A2014" s="1"/>
      <c r="B2014" s="2"/>
      <c r="C2014" s="1"/>
      <c r="D2014" s="1"/>
      <c r="E2014" s="1"/>
      <c r="F2014" s="59"/>
      <c r="G2014" s="32"/>
      <c r="H2014" s="32"/>
    </row>
    <row r="2015" spans="1:8" ht="15.75" hidden="1" customHeight="1">
      <c r="A2015" s="1"/>
      <c r="B2015" s="2"/>
      <c r="C2015" s="1"/>
      <c r="D2015" s="1"/>
      <c r="E2015" s="1"/>
      <c r="F2015" s="59"/>
      <c r="G2015" s="32"/>
      <c r="H2015" s="32"/>
    </row>
    <row r="2016" spans="1:8" ht="15.75" hidden="1" customHeight="1">
      <c r="A2016" s="1"/>
      <c r="B2016" s="2"/>
      <c r="C2016" s="1"/>
      <c r="D2016" s="1"/>
      <c r="E2016" s="1"/>
      <c r="F2016" s="59"/>
      <c r="G2016" s="32"/>
      <c r="H2016" s="32"/>
    </row>
    <row r="2017" spans="1:8" ht="15.75" hidden="1" customHeight="1">
      <c r="A2017" s="1"/>
      <c r="B2017" s="2"/>
      <c r="C2017" s="1"/>
      <c r="D2017" s="1"/>
      <c r="E2017" s="1"/>
      <c r="F2017" s="59"/>
      <c r="G2017" s="32"/>
      <c r="H2017" s="32"/>
    </row>
    <row r="2018" spans="1:8" ht="15.75" hidden="1" customHeight="1">
      <c r="A2018" s="1"/>
      <c r="B2018" s="2"/>
      <c r="C2018" s="1"/>
      <c r="D2018" s="1"/>
      <c r="E2018" s="1"/>
      <c r="F2018" s="59"/>
      <c r="G2018" s="32"/>
      <c r="H2018" s="32"/>
    </row>
    <row r="2019" spans="1:8" ht="15.75" hidden="1" customHeight="1">
      <c r="A2019" s="1"/>
      <c r="B2019" s="2"/>
      <c r="C2019" s="1"/>
      <c r="D2019" s="1"/>
      <c r="E2019" s="1"/>
      <c r="F2019" s="59"/>
      <c r="G2019" s="32"/>
      <c r="H2019" s="32"/>
    </row>
    <row r="2020" spans="1:8" ht="15.75" hidden="1" customHeight="1">
      <c r="A2020" s="1"/>
      <c r="B2020" s="2"/>
      <c r="C2020" s="1"/>
      <c r="D2020" s="1"/>
      <c r="E2020" s="1"/>
      <c r="F2020" s="59"/>
      <c r="G2020" s="32"/>
      <c r="H2020" s="32"/>
    </row>
    <row r="2021" spans="1:8" ht="15.75" hidden="1" customHeight="1">
      <c r="A2021" s="1"/>
      <c r="B2021" s="2"/>
      <c r="C2021" s="1"/>
      <c r="D2021" s="1"/>
      <c r="E2021" s="1"/>
      <c r="F2021" s="59"/>
      <c r="G2021" s="32"/>
      <c r="H2021" s="32"/>
    </row>
    <row r="2022" spans="1:8" ht="15.75" hidden="1" customHeight="1">
      <c r="A2022" s="1"/>
      <c r="B2022" s="2"/>
      <c r="C2022" s="1"/>
      <c r="D2022" s="1"/>
      <c r="E2022" s="1"/>
      <c r="F2022" s="59"/>
      <c r="G2022" s="32"/>
      <c r="H2022" s="32"/>
    </row>
    <row r="2023" spans="1:8" ht="15.75" hidden="1" customHeight="1">
      <c r="A2023" s="1"/>
      <c r="B2023" s="2"/>
      <c r="C2023" s="1"/>
      <c r="D2023" s="1"/>
      <c r="E2023" s="1"/>
      <c r="F2023" s="59"/>
      <c r="G2023" s="32"/>
      <c r="H2023" s="32"/>
    </row>
    <row r="2024" spans="1:8" ht="15.75" hidden="1" customHeight="1">
      <c r="A2024" s="1"/>
      <c r="B2024" s="2"/>
      <c r="C2024" s="1"/>
      <c r="D2024" s="1"/>
      <c r="E2024" s="1"/>
      <c r="F2024" s="59"/>
      <c r="G2024" s="32"/>
      <c r="H2024" s="32"/>
    </row>
    <row r="2025" spans="1:8" ht="15.75" hidden="1" customHeight="1">
      <c r="A2025" s="1"/>
      <c r="B2025" s="2"/>
      <c r="C2025" s="1"/>
      <c r="D2025" s="1"/>
      <c r="E2025" s="1"/>
      <c r="F2025" s="59"/>
      <c r="G2025" s="32"/>
      <c r="H2025" s="32"/>
    </row>
    <row r="2026" spans="1:8" ht="15.75" hidden="1" customHeight="1">
      <c r="A2026" s="1"/>
      <c r="B2026" s="2"/>
      <c r="C2026" s="1"/>
      <c r="D2026" s="1"/>
      <c r="E2026" s="1"/>
      <c r="F2026" s="59"/>
      <c r="G2026" s="32"/>
      <c r="H2026" s="32"/>
    </row>
    <row r="2027" spans="1:8" ht="15.75" hidden="1" customHeight="1">
      <c r="A2027" s="1"/>
      <c r="B2027" s="2"/>
      <c r="C2027" s="1"/>
      <c r="D2027" s="1"/>
      <c r="E2027" s="1"/>
      <c r="F2027" s="59"/>
      <c r="G2027" s="32"/>
      <c r="H2027" s="32"/>
    </row>
    <row r="2028" spans="1:8" ht="15.75" hidden="1" customHeight="1">
      <c r="A2028" s="1"/>
      <c r="B2028" s="2"/>
      <c r="C2028" s="1"/>
      <c r="D2028" s="1"/>
      <c r="E2028" s="1"/>
      <c r="F2028" s="59"/>
      <c r="G2028" s="32"/>
      <c r="H2028" s="32"/>
    </row>
    <row r="2029" spans="1:8" ht="15.75" hidden="1" customHeight="1">
      <c r="A2029" s="1"/>
      <c r="B2029" s="2"/>
      <c r="C2029" s="1"/>
      <c r="D2029" s="1"/>
      <c r="E2029" s="1"/>
      <c r="F2029" s="59"/>
      <c r="G2029" s="32"/>
      <c r="H2029" s="32"/>
    </row>
    <row r="2030" spans="1:8" ht="15.75" hidden="1" customHeight="1">
      <c r="A2030" s="1"/>
      <c r="B2030" s="2"/>
      <c r="C2030" s="1"/>
      <c r="D2030" s="1"/>
      <c r="E2030" s="1"/>
      <c r="F2030" s="59"/>
      <c r="G2030" s="32"/>
      <c r="H2030" s="32"/>
    </row>
    <row r="2031" spans="1:8" ht="15.75" hidden="1" customHeight="1">
      <c r="A2031" s="1"/>
      <c r="B2031" s="2"/>
      <c r="C2031" s="1"/>
      <c r="D2031" s="1"/>
      <c r="E2031" s="1"/>
      <c r="F2031" s="59"/>
      <c r="G2031" s="32"/>
      <c r="H2031" s="32"/>
    </row>
    <row r="2032" spans="1:8" ht="15.75" hidden="1" customHeight="1">
      <c r="A2032" s="1"/>
      <c r="B2032" s="2"/>
      <c r="C2032" s="1"/>
      <c r="D2032" s="1"/>
      <c r="E2032" s="1"/>
      <c r="F2032" s="59"/>
      <c r="G2032" s="32"/>
      <c r="H2032" s="32"/>
    </row>
    <row r="2033" spans="1:8" ht="15.75" hidden="1" customHeight="1">
      <c r="A2033" s="1"/>
      <c r="B2033" s="2"/>
      <c r="C2033" s="1"/>
      <c r="D2033" s="1"/>
      <c r="E2033" s="1"/>
      <c r="F2033" s="59"/>
      <c r="G2033" s="32"/>
      <c r="H2033" s="32"/>
    </row>
    <row r="2034" spans="1:8" ht="15.75" hidden="1" customHeight="1">
      <c r="A2034" s="1"/>
      <c r="B2034" s="2"/>
      <c r="C2034" s="1"/>
      <c r="D2034" s="1"/>
      <c r="E2034" s="1"/>
      <c r="F2034" s="59"/>
      <c r="G2034" s="32"/>
      <c r="H2034" s="32"/>
    </row>
    <row r="2035" spans="1:8" ht="15.75" hidden="1" customHeight="1">
      <c r="A2035" s="1"/>
      <c r="B2035" s="2"/>
      <c r="C2035" s="1"/>
      <c r="D2035" s="1"/>
      <c r="E2035" s="1"/>
      <c r="F2035" s="59"/>
      <c r="G2035" s="32"/>
      <c r="H2035" s="32"/>
    </row>
    <row r="2036" spans="1:8" ht="15.75" hidden="1" customHeight="1">
      <c r="A2036" s="1"/>
      <c r="B2036" s="2"/>
      <c r="C2036" s="1"/>
      <c r="D2036" s="1"/>
      <c r="E2036" s="1"/>
      <c r="F2036" s="59"/>
      <c r="G2036" s="32"/>
      <c r="H2036" s="32"/>
    </row>
    <row r="2037" spans="1:8" ht="15.75" hidden="1" customHeight="1">
      <c r="A2037" s="1"/>
      <c r="B2037" s="2"/>
      <c r="C2037" s="1"/>
      <c r="D2037" s="1"/>
      <c r="E2037" s="1"/>
      <c r="F2037" s="59"/>
      <c r="G2037" s="32"/>
      <c r="H2037" s="32"/>
    </row>
    <row r="2038" spans="1:8" ht="15.75" hidden="1" customHeight="1">
      <c r="A2038" s="1"/>
      <c r="B2038" s="2"/>
      <c r="C2038" s="1"/>
      <c r="D2038" s="1"/>
      <c r="E2038" s="1"/>
      <c r="F2038" s="59"/>
      <c r="G2038" s="32"/>
      <c r="H2038" s="32"/>
    </row>
    <row r="2039" spans="1:8" ht="15.75" hidden="1" customHeight="1">
      <c r="A2039" s="1"/>
      <c r="B2039" s="2"/>
      <c r="C2039" s="1"/>
      <c r="D2039" s="1"/>
      <c r="E2039" s="1"/>
      <c r="F2039" s="59"/>
      <c r="G2039" s="32"/>
      <c r="H2039" s="32"/>
    </row>
    <row r="2040" spans="1:8" ht="15.75" hidden="1" customHeight="1">
      <c r="A2040" s="1"/>
      <c r="B2040" s="2"/>
      <c r="C2040" s="1"/>
      <c r="D2040" s="1"/>
      <c r="E2040" s="1"/>
      <c r="F2040" s="59"/>
      <c r="G2040" s="32"/>
      <c r="H2040" s="32"/>
    </row>
    <row r="2041" spans="1:8" ht="15.75" hidden="1" customHeight="1">
      <c r="A2041" s="1"/>
      <c r="B2041" s="2"/>
      <c r="C2041" s="1"/>
      <c r="D2041" s="1"/>
      <c r="E2041" s="1"/>
      <c r="F2041" s="59"/>
      <c r="G2041" s="32"/>
      <c r="H2041" s="32"/>
    </row>
    <row r="2042" spans="1:8" ht="15.75" hidden="1" customHeight="1">
      <c r="A2042" s="1"/>
      <c r="B2042" s="2"/>
      <c r="C2042" s="1"/>
      <c r="D2042" s="1"/>
      <c r="E2042" s="1"/>
      <c r="F2042" s="59"/>
      <c r="G2042" s="32"/>
      <c r="H2042" s="32"/>
    </row>
    <row r="2043" spans="1:8" ht="15.75" hidden="1" customHeight="1">
      <c r="A2043" s="1"/>
      <c r="B2043" s="2"/>
      <c r="C2043" s="1"/>
      <c r="D2043" s="1"/>
      <c r="E2043" s="1"/>
      <c r="F2043" s="59"/>
      <c r="G2043" s="32"/>
      <c r="H2043" s="32"/>
    </row>
    <row r="2044" spans="1:8" ht="15.75" hidden="1" customHeight="1">
      <c r="A2044" s="1"/>
      <c r="B2044" s="2"/>
      <c r="C2044" s="1"/>
      <c r="D2044" s="1"/>
      <c r="E2044" s="1"/>
      <c r="F2044" s="59"/>
      <c r="G2044" s="32"/>
      <c r="H2044" s="32"/>
    </row>
    <row r="2045" spans="1:8" ht="15.75" hidden="1" customHeight="1">
      <c r="A2045" s="1"/>
      <c r="B2045" s="2"/>
      <c r="C2045" s="1"/>
      <c r="D2045" s="1"/>
      <c r="E2045" s="1"/>
      <c r="F2045" s="59"/>
      <c r="G2045" s="32"/>
      <c r="H2045" s="32"/>
    </row>
    <row r="2046" spans="1:8" ht="15.75" hidden="1" customHeight="1">
      <c r="A2046" s="1"/>
      <c r="B2046" s="2"/>
      <c r="C2046" s="1"/>
      <c r="D2046" s="1"/>
      <c r="E2046" s="1"/>
      <c r="F2046" s="59"/>
      <c r="G2046" s="32"/>
      <c r="H2046" s="32"/>
    </row>
    <row r="2047" spans="1:8" ht="15.75" hidden="1" customHeight="1">
      <c r="A2047" s="1"/>
      <c r="B2047" s="2"/>
      <c r="C2047" s="1"/>
      <c r="D2047" s="1"/>
      <c r="E2047" s="1"/>
      <c r="F2047" s="59"/>
      <c r="G2047" s="32"/>
      <c r="H2047" s="32"/>
    </row>
    <row r="2048" spans="1:8" ht="15.75" hidden="1" customHeight="1">
      <c r="A2048" s="1"/>
      <c r="B2048" s="2"/>
      <c r="C2048" s="1"/>
      <c r="D2048" s="1"/>
      <c r="E2048" s="1"/>
      <c r="F2048" s="59"/>
      <c r="G2048" s="32"/>
      <c r="H2048" s="32"/>
    </row>
    <row r="2049" spans="1:8" ht="15.75" hidden="1" customHeight="1">
      <c r="A2049" s="1"/>
      <c r="B2049" s="2"/>
      <c r="C2049" s="1"/>
      <c r="D2049" s="1"/>
      <c r="E2049" s="1"/>
      <c r="F2049" s="59"/>
      <c r="G2049" s="32"/>
      <c r="H2049" s="32"/>
    </row>
    <row r="2050" spans="1:8" ht="15.75" hidden="1" customHeight="1">
      <c r="A2050" s="1"/>
      <c r="B2050" s="2"/>
      <c r="C2050" s="1"/>
      <c r="D2050" s="1"/>
      <c r="E2050" s="1"/>
      <c r="F2050" s="59"/>
      <c r="G2050" s="32"/>
      <c r="H2050" s="32"/>
    </row>
    <row r="2051" spans="1:8" ht="15.75" hidden="1" customHeight="1">
      <c r="A2051" s="1"/>
      <c r="B2051" s="2"/>
      <c r="C2051" s="1"/>
      <c r="D2051" s="1"/>
      <c r="E2051" s="1"/>
      <c r="F2051" s="59"/>
      <c r="G2051" s="32"/>
      <c r="H2051" s="32"/>
    </row>
    <row r="2052" spans="1:8" ht="15.75" hidden="1" customHeight="1">
      <c r="A2052" s="1"/>
      <c r="B2052" s="2"/>
      <c r="C2052" s="1"/>
      <c r="D2052" s="1"/>
      <c r="E2052" s="1"/>
      <c r="F2052" s="59"/>
      <c r="G2052" s="32"/>
      <c r="H2052" s="32"/>
    </row>
    <row r="2053" spans="1:8" ht="15.75" hidden="1" customHeight="1">
      <c r="A2053" s="1"/>
      <c r="B2053" s="2"/>
      <c r="C2053" s="1"/>
      <c r="D2053" s="1"/>
      <c r="E2053" s="1"/>
      <c r="F2053" s="59"/>
      <c r="G2053" s="32"/>
      <c r="H2053" s="32"/>
    </row>
    <row r="2054" spans="1:8" ht="15.75" hidden="1" customHeight="1">
      <c r="A2054" s="1"/>
      <c r="B2054" s="2"/>
      <c r="C2054" s="1"/>
      <c r="D2054" s="1"/>
      <c r="E2054" s="1"/>
      <c r="F2054" s="59"/>
      <c r="G2054" s="32"/>
      <c r="H2054" s="32"/>
    </row>
    <row r="2055" spans="1:8" ht="15.75" hidden="1" customHeight="1">
      <c r="A2055" s="1"/>
      <c r="B2055" s="2"/>
      <c r="C2055" s="1"/>
      <c r="D2055" s="1"/>
      <c r="E2055" s="1"/>
      <c r="F2055" s="59"/>
      <c r="G2055" s="32"/>
      <c r="H2055" s="32"/>
    </row>
    <row r="2056" spans="1:8" ht="15.75" hidden="1" customHeight="1">
      <c r="A2056" s="1"/>
      <c r="B2056" s="2"/>
      <c r="C2056" s="1"/>
      <c r="D2056" s="1"/>
      <c r="E2056" s="1"/>
      <c r="F2056" s="59"/>
      <c r="G2056" s="32"/>
      <c r="H2056" s="32"/>
    </row>
    <row r="2057" spans="1:8" ht="15.75" hidden="1" customHeight="1">
      <c r="A2057" s="1"/>
      <c r="B2057" s="2"/>
      <c r="C2057" s="1"/>
      <c r="D2057" s="1"/>
      <c r="E2057" s="1"/>
      <c r="F2057" s="59"/>
      <c r="G2057" s="32"/>
      <c r="H2057" s="32"/>
    </row>
    <row r="2058" spans="1:8" ht="15.75" hidden="1" customHeight="1">
      <c r="A2058" s="1"/>
      <c r="B2058" s="2"/>
      <c r="C2058" s="1"/>
      <c r="D2058" s="1"/>
      <c r="E2058" s="1"/>
      <c r="F2058" s="59"/>
      <c r="G2058" s="32"/>
      <c r="H2058" s="32"/>
    </row>
    <row r="2059" spans="1:8" ht="15.75" hidden="1" customHeight="1">
      <c r="A2059" s="1"/>
      <c r="B2059" s="2"/>
      <c r="C2059" s="1"/>
      <c r="D2059" s="1"/>
      <c r="E2059" s="1"/>
      <c r="F2059" s="59"/>
      <c r="G2059" s="32"/>
      <c r="H2059" s="32"/>
    </row>
    <row r="2060" spans="1:8" ht="15.75" hidden="1" customHeight="1">
      <c r="A2060" s="1"/>
      <c r="B2060" s="2"/>
      <c r="C2060" s="1"/>
      <c r="D2060" s="1"/>
      <c r="E2060" s="1"/>
      <c r="F2060" s="59"/>
      <c r="G2060" s="32"/>
      <c r="H2060" s="32"/>
    </row>
    <row r="2061" spans="1:8" ht="15.75" hidden="1" customHeight="1">
      <c r="A2061" s="1"/>
      <c r="B2061" s="2"/>
      <c r="C2061" s="1"/>
      <c r="D2061" s="1"/>
      <c r="E2061" s="1"/>
      <c r="F2061" s="59"/>
      <c r="G2061" s="32"/>
      <c r="H2061" s="32"/>
    </row>
    <row r="2062" spans="1:8" ht="15.75" hidden="1" customHeight="1">
      <c r="A2062" s="1"/>
      <c r="B2062" s="2"/>
      <c r="C2062" s="1"/>
      <c r="D2062" s="1"/>
      <c r="E2062" s="1"/>
      <c r="F2062" s="59"/>
      <c r="G2062" s="32"/>
      <c r="H2062" s="32"/>
    </row>
    <row r="2063" spans="1:8" ht="15.75" hidden="1" customHeight="1">
      <c r="A2063" s="1"/>
      <c r="B2063" s="2"/>
      <c r="C2063" s="1"/>
      <c r="D2063" s="1"/>
      <c r="E2063" s="1"/>
      <c r="F2063" s="59"/>
      <c r="G2063" s="32"/>
      <c r="H2063" s="32"/>
    </row>
    <row r="2064" spans="1:8" ht="15.75" hidden="1" customHeight="1">
      <c r="A2064" s="1"/>
      <c r="B2064" s="2"/>
      <c r="C2064" s="1"/>
      <c r="D2064" s="1"/>
      <c r="E2064" s="1"/>
      <c r="F2064" s="59"/>
      <c r="G2064" s="32"/>
      <c r="H2064" s="32"/>
    </row>
    <row r="2065" spans="1:8" ht="15.75" hidden="1" customHeight="1">
      <c r="A2065" s="1"/>
      <c r="B2065" s="2"/>
      <c r="C2065" s="1"/>
      <c r="D2065" s="1"/>
      <c r="E2065" s="1"/>
      <c r="F2065" s="59"/>
      <c r="G2065" s="32"/>
      <c r="H2065" s="32"/>
    </row>
    <row r="2066" spans="1:8" ht="15.75" hidden="1" customHeight="1">
      <c r="A2066" s="1"/>
      <c r="B2066" s="2"/>
      <c r="C2066" s="1"/>
      <c r="D2066" s="1"/>
      <c r="E2066" s="1"/>
      <c r="F2066" s="59"/>
      <c r="G2066" s="32"/>
      <c r="H2066" s="32"/>
    </row>
    <row r="2067" spans="1:8" ht="15.75" hidden="1" customHeight="1">
      <c r="A2067" s="1"/>
      <c r="B2067" s="2"/>
      <c r="C2067" s="1"/>
      <c r="D2067" s="1"/>
      <c r="E2067" s="1"/>
      <c r="F2067" s="59"/>
      <c r="G2067" s="32"/>
      <c r="H2067" s="32"/>
    </row>
    <row r="2068" spans="1:8" ht="15.75" hidden="1" customHeight="1">
      <c r="A2068" s="1"/>
      <c r="B2068" s="2"/>
      <c r="C2068" s="1"/>
      <c r="D2068" s="1"/>
      <c r="E2068" s="1"/>
      <c r="F2068" s="59"/>
      <c r="G2068" s="32"/>
      <c r="H2068" s="32"/>
    </row>
    <row r="2069" spans="1:8" ht="15.75" hidden="1" customHeight="1">
      <c r="A2069" s="1"/>
      <c r="B2069" s="2"/>
      <c r="C2069" s="1"/>
      <c r="D2069" s="1"/>
      <c r="E2069" s="1"/>
      <c r="F2069" s="59"/>
      <c r="G2069" s="32"/>
      <c r="H2069" s="32"/>
    </row>
    <row r="2070" spans="1:8" ht="15.75" hidden="1" customHeight="1">
      <c r="A2070" s="1"/>
      <c r="B2070" s="2"/>
      <c r="C2070" s="1"/>
      <c r="D2070" s="1"/>
      <c r="E2070" s="1"/>
      <c r="F2070" s="59"/>
      <c r="G2070" s="32"/>
      <c r="H2070" s="32"/>
    </row>
    <row r="2071" spans="1:8" ht="15.75" hidden="1" customHeight="1">
      <c r="A2071" s="1"/>
      <c r="B2071" s="2"/>
      <c r="C2071" s="1"/>
      <c r="D2071" s="1"/>
      <c r="E2071" s="1"/>
      <c r="F2071" s="59"/>
      <c r="G2071" s="32"/>
      <c r="H2071" s="32"/>
    </row>
    <row r="2072" spans="1:8" ht="15.75" hidden="1" customHeight="1">
      <c r="A2072" s="1"/>
      <c r="B2072" s="2"/>
      <c r="C2072" s="1"/>
      <c r="D2072" s="1"/>
      <c r="E2072" s="1"/>
      <c r="F2072" s="59"/>
      <c r="G2072" s="32"/>
      <c r="H2072" s="32"/>
    </row>
    <row r="2073" spans="1:8" ht="15.75" hidden="1" customHeight="1">
      <c r="A2073" s="1"/>
      <c r="B2073" s="2"/>
      <c r="C2073" s="1"/>
      <c r="D2073" s="1"/>
      <c r="E2073" s="1"/>
      <c r="F2073" s="59"/>
      <c r="G2073" s="32"/>
      <c r="H2073" s="32"/>
    </row>
    <row r="2074" spans="1:8" ht="15.75" hidden="1" customHeight="1">
      <c r="A2074" s="1"/>
      <c r="B2074" s="2"/>
      <c r="C2074" s="1"/>
      <c r="D2074" s="1"/>
      <c r="E2074" s="1"/>
      <c r="F2074" s="59"/>
      <c r="G2074" s="32"/>
      <c r="H2074" s="32"/>
    </row>
    <row r="2075" spans="1:8" ht="15.75" hidden="1" customHeight="1">
      <c r="A2075" s="1"/>
      <c r="B2075" s="2"/>
      <c r="C2075" s="1"/>
      <c r="D2075" s="1"/>
      <c r="E2075" s="1"/>
      <c r="F2075" s="59"/>
      <c r="G2075" s="32"/>
      <c r="H2075" s="32"/>
    </row>
    <row r="2076" spans="1:8" ht="15.75" hidden="1" customHeight="1">
      <c r="A2076" s="1"/>
      <c r="B2076" s="2"/>
      <c r="C2076" s="1"/>
      <c r="D2076" s="1"/>
      <c r="E2076" s="1"/>
      <c r="F2076" s="59"/>
      <c r="G2076" s="32"/>
      <c r="H2076" s="32"/>
    </row>
    <row r="2077" spans="1:8" ht="15.75" hidden="1" customHeight="1">
      <c r="A2077" s="1"/>
      <c r="B2077" s="2"/>
      <c r="C2077" s="1"/>
      <c r="D2077" s="1"/>
      <c r="E2077" s="1"/>
      <c r="F2077" s="59"/>
      <c r="G2077" s="32"/>
      <c r="H2077" s="32"/>
    </row>
    <row r="2078" spans="1:8" ht="15.75" hidden="1" customHeight="1">
      <c r="A2078" s="1"/>
      <c r="B2078" s="2"/>
      <c r="C2078" s="1"/>
      <c r="D2078" s="1"/>
      <c r="E2078" s="1"/>
      <c r="F2078" s="59"/>
      <c r="G2078" s="32"/>
      <c r="H2078" s="32"/>
    </row>
    <row r="2079" spans="1:8" ht="15.75" hidden="1" customHeight="1">
      <c r="A2079" s="1"/>
      <c r="B2079" s="2"/>
      <c r="C2079" s="1"/>
      <c r="D2079" s="1"/>
      <c r="E2079" s="1"/>
      <c r="F2079" s="59"/>
      <c r="G2079" s="32"/>
      <c r="H2079" s="32"/>
    </row>
    <row r="2080" spans="1:8" ht="15.75" hidden="1" customHeight="1">
      <c r="A2080" s="1"/>
      <c r="B2080" s="2"/>
      <c r="C2080" s="1"/>
      <c r="D2080" s="1"/>
      <c r="E2080" s="1"/>
      <c r="F2080" s="59"/>
      <c r="G2080" s="32"/>
      <c r="H2080" s="32"/>
    </row>
    <row r="2081" spans="1:8" ht="15.75" hidden="1" customHeight="1">
      <c r="A2081" s="1"/>
      <c r="B2081" s="2"/>
      <c r="C2081" s="1"/>
      <c r="D2081" s="1"/>
      <c r="E2081" s="1"/>
      <c r="F2081" s="59"/>
      <c r="G2081" s="32"/>
      <c r="H2081" s="32"/>
    </row>
    <row r="2082" spans="1:8" ht="15.75" hidden="1" customHeight="1">
      <c r="A2082" s="1"/>
      <c r="B2082" s="2"/>
      <c r="C2082" s="1"/>
      <c r="D2082" s="1"/>
      <c r="E2082" s="1"/>
      <c r="F2082" s="59"/>
      <c r="G2082" s="32"/>
      <c r="H2082" s="32"/>
    </row>
    <row r="2083" spans="1:8" ht="15.75" hidden="1" customHeight="1">
      <c r="A2083" s="1"/>
      <c r="B2083" s="2"/>
      <c r="C2083" s="1"/>
      <c r="D2083" s="1"/>
      <c r="E2083" s="1"/>
      <c r="F2083" s="59"/>
      <c r="G2083" s="32"/>
      <c r="H2083" s="32"/>
    </row>
    <row r="2084" spans="1:8" ht="15.75" hidden="1" customHeight="1">
      <c r="A2084" s="1"/>
      <c r="B2084" s="2"/>
      <c r="C2084" s="1"/>
      <c r="D2084" s="1"/>
      <c r="E2084" s="1"/>
      <c r="F2084" s="59"/>
      <c r="G2084" s="32"/>
      <c r="H2084" s="32"/>
    </row>
    <row r="2085" spans="1:8" ht="15.75" hidden="1" customHeight="1">
      <c r="A2085" s="1"/>
      <c r="B2085" s="2"/>
      <c r="C2085" s="1"/>
      <c r="D2085" s="1"/>
      <c r="E2085" s="1"/>
      <c r="F2085" s="59"/>
      <c r="G2085" s="32"/>
      <c r="H2085" s="32"/>
    </row>
    <row r="2086" spans="1:8" ht="15.75" hidden="1" customHeight="1">
      <c r="A2086" s="1"/>
      <c r="B2086" s="2"/>
      <c r="C2086" s="1"/>
      <c r="D2086" s="1"/>
      <c r="E2086" s="1"/>
      <c r="F2086" s="59"/>
      <c r="G2086" s="32"/>
      <c r="H2086" s="32"/>
    </row>
    <row r="2087" spans="1:8" ht="15.75" hidden="1" customHeight="1">
      <c r="A2087" s="1"/>
      <c r="B2087" s="2"/>
      <c r="C2087" s="1"/>
      <c r="D2087" s="1"/>
      <c r="E2087" s="1"/>
      <c r="F2087" s="59"/>
      <c r="G2087" s="32"/>
      <c r="H2087" s="32"/>
    </row>
    <row r="2088" spans="1:8" ht="15.75" hidden="1" customHeight="1">
      <c r="A2088" s="1"/>
      <c r="B2088" s="2"/>
      <c r="C2088" s="1"/>
      <c r="D2088" s="1"/>
      <c r="E2088" s="1"/>
      <c r="F2088" s="59"/>
      <c r="G2088" s="32"/>
      <c r="H2088" s="32"/>
    </row>
    <row r="2089" spans="1:8" ht="15.75" hidden="1" customHeight="1">
      <c r="A2089" s="1"/>
      <c r="B2089" s="2"/>
      <c r="C2089" s="1"/>
      <c r="D2089" s="1"/>
      <c r="E2089" s="1"/>
      <c r="F2089" s="59"/>
      <c r="G2089" s="32"/>
      <c r="H2089" s="32"/>
    </row>
    <row r="2090" spans="1:8" ht="15.75" hidden="1" customHeight="1">
      <c r="A2090" s="1"/>
      <c r="B2090" s="2"/>
      <c r="C2090" s="1"/>
      <c r="D2090" s="1"/>
      <c r="E2090" s="1"/>
      <c r="F2090" s="59"/>
      <c r="G2090" s="32"/>
      <c r="H2090" s="32"/>
    </row>
    <row r="2091" spans="1:8" ht="15.75" hidden="1" customHeight="1">
      <c r="A2091" s="1"/>
      <c r="B2091" s="2"/>
      <c r="C2091" s="1"/>
      <c r="D2091" s="1"/>
      <c r="E2091" s="1"/>
      <c r="F2091" s="59"/>
      <c r="G2091" s="32"/>
      <c r="H2091" s="32"/>
    </row>
    <row r="2092" spans="1:8" ht="15.75" hidden="1" customHeight="1">
      <c r="A2092" s="1"/>
      <c r="B2092" s="2"/>
      <c r="C2092" s="1"/>
      <c r="D2092" s="1"/>
      <c r="E2092" s="1"/>
      <c r="F2092" s="59"/>
      <c r="G2092" s="32"/>
      <c r="H2092" s="32"/>
    </row>
    <row r="2093" spans="1:8" ht="15.75" hidden="1" customHeight="1">
      <c r="A2093" s="1"/>
      <c r="B2093" s="2"/>
      <c r="C2093" s="1"/>
      <c r="D2093" s="1"/>
      <c r="E2093" s="1"/>
      <c r="F2093" s="59"/>
      <c r="G2093" s="32"/>
      <c r="H2093" s="32"/>
    </row>
    <row r="2094" spans="1:8" ht="15.75" hidden="1" customHeight="1">
      <c r="A2094" s="1"/>
      <c r="B2094" s="2"/>
      <c r="C2094" s="1"/>
      <c r="D2094" s="1"/>
      <c r="E2094" s="1"/>
      <c r="F2094" s="59"/>
      <c r="G2094" s="32"/>
      <c r="H2094" s="32"/>
    </row>
    <row r="2095" spans="1:8" ht="15.75" hidden="1" customHeight="1">
      <c r="A2095" s="1"/>
      <c r="B2095" s="2"/>
      <c r="C2095" s="1"/>
      <c r="D2095" s="1"/>
      <c r="E2095" s="1"/>
      <c r="F2095" s="59"/>
      <c r="G2095" s="32"/>
      <c r="H2095" s="32"/>
    </row>
    <row r="2096" spans="1:8" ht="15.75" hidden="1" customHeight="1">
      <c r="A2096" s="1"/>
      <c r="B2096" s="2"/>
      <c r="C2096" s="1"/>
      <c r="D2096" s="1"/>
      <c r="E2096" s="1"/>
      <c r="F2096" s="59"/>
      <c r="G2096" s="32"/>
      <c r="H2096" s="32"/>
    </row>
    <row r="2097" spans="1:8" ht="15.75" hidden="1" customHeight="1">
      <c r="A2097" s="1"/>
      <c r="B2097" s="2"/>
      <c r="C2097" s="1"/>
      <c r="D2097" s="1"/>
      <c r="E2097" s="1"/>
      <c r="F2097" s="59"/>
      <c r="G2097" s="32"/>
      <c r="H2097" s="32"/>
    </row>
    <row r="2098" spans="1:8" ht="15.75" hidden="1" customHeight="1">
      <c r="A2098" s="1"/>
      <c r="B2098" s="2"/>
      <c r="C2098" s="1"/>
      <c r="D2098" s="1"/>
      <c r="E2098" s="1"/>
      <c r="F2098" s="59"/>
      <c r="G2098" s="32"/>
      <c r="H2098" s="32"/>
    </row>
    <row r="2099" spans="1:8" ht="15.75" hidden="1" customHeight="1">
      <c r="A2099" s="1"/>
      <c r="B2099" s="2"/>
      <c r="C2099" s="1"/>
      <c r="D2099" s="1"/>
      <c r="E2099" s="1"/>
      <c r="F2099" s="59"/>
      <c r="G2099" s="32"/>
      <c r="H2099" s="32"/>
    </row>
    <row r="2100" spans="1:8" ht="15.75" hidden="1" customHeight="1">
      <c r="A2100" s="1"/>
      <c r="B2100" s="2"/>
      <c r="C2100" s="1"/>
      <c r="D2100" s="1"/>
      <c r="E2100" s="1"/>
      <c r="F2100" s="59"/>
      <c r="G2100" s="32"/>
      <c r="H2100" s="32"/>
    </row>
    <row r="2101" spans="1:8" ht="15.75" hidden="1" customHeight="1">
      <c r="A2101" s="1"/>
      <c r="B2101" s="2"/>
      <c r="C2101" s="1"/>
      <c r="D2101" s="1"/>
      <c r="E2101" s="1"/>
      <c r="F2101" s="59"/>
      <c r="G2101" s="32"/>
      <c r="H2101" s="32"/>
    </row>
    <row r="2102" spans="1:8" ht="15.75" hidden="1" customHeight="1">
      <c r="A2102" s="1"/>
      <c r="B2102" s="2"/>
      <c r="C2102" s="1"/>
      <c r="D2102" s="1"/>
      <c r="E2102" s="1"/>
      <c r="F2102" s="59"/>
      <c r="G2102" s="32"/>
      <c r="H2102" s="32"/>
    </row>
    <row r="2103" spans="1:8" ht="15.75" hidden="1" customHeight="1">
      <c r="A2103" s="1"/>
      <c r="B2103" s="2"/>
      <c r="C2103" s="1"/>
      <c r="D2103" s="1"/>
      <c r="E2103" s="1"/>
      <c r="F2103" s="59"/>
      <c r="G2103" s="32"/>
      <c r="H2103" s="32"/>
    </row>
    <row r="2104" spans="1:8" ht="15.75" hidden="1" customHeight="1">
      <c r="A2104" s="1"/>
      <c r="B2104" s="2"/>
      <c r="C2104" s="1"/>
      <c r="D2104" s="1"/>
      <c r="E2104" s="1"/>
      <c r="F2104" s="59"/>
      <c r="G2104" s="32"/>
      <c r="H2104" s="32"/>
    </row>
    <row r="2105" spans="1:8" ht="15.75" hidden="1" customHeight="1">
      <c r="A2105" s="1"/>
      <c r="B2105" s="2"/>
      <c r="C2105" s="1"/>
      <c r="D2105" s="1"/>
      <c r="E2105" s="1"/>
      <c r="F2105" s="59"/>
      <c r="G2105" s="32"/>
      <c r="H2105" s="32"/>
    </row>
    <row r="2106" spans="1:8" ht="15.75" hidden="1" customHeight="1">
      <c r="A2106" s="1"/>
      <c r="B2106" s="2"/>
      <c r="C2106" s="1"/>
      <c r="D2106" s="1"/>
      <c r="E2106" s="1"/>
      <c r="F2106" s="59"/>
      <c r="G2106" s="32"/>
      <c r="H2106" s="32"/>
    </row>
    <row r="2107" spans="1:8" ht="15.75" hidden="1" customHeight="1">
      <c r="A2107" s="1"/>
      <c r="B2107" s="2"/>
      <c r="C2107" s="1"/>
      <c r="D2107" s="1"/>
      <c r="E2107" s="1"/>
      <c r="F2107" s="59"/>
      <c r="G2107" s="32"/>
      <c r="H2107" s="32"/>
    </row>
    <row r="2108" spans="1:8" ht="15.75" hidden="1" customHeight="1">
      <c r="A2108" s="1"/>
      <c r="B2108" s="2"/>
      <c r="C2108" s="1"/>
      <c r="D2108" s="1"/>
      <c r="E2108" s="1"/>
      <c r="F2108" s="59"/>
      <c r="G2108" s="32"/>
      <c r="H2108" s="32"/>
    </row>
    <row r="2109" spans="1:8" ht="15.75" hidden="1" customHeight="1">
      <c r="A2109" s="1"/>
      <c r="B2109" s="2"/>
      <c r="C2109" s="1"/>
      <c r="D2109" s="1"/>
      <c r="E2109" s="1"/>
      <c r="F2109" s="59"/>
      <c r="G2109" s="32"/>
      <c r="H2109" s="32"/>
    </row>
    <row r="2110" spans="1:8" ht="15.75" hidden="1" customHeight="1">
      <c r="A2110" s="1"/>
      <c r="B2110" s="2"/>
      <c r="C2110" s="1"/>
      <c r="D2110" s="1"/>
      <c r="E2110" s="1"/>
      <c r="F2110" s="59"/>
      <c r="G2110" s="32"/>
      <c r="H2110" s="32"/>
    </row>
    <row r="2111" spans="1:8" ht="15.75" hidden="1" customHeight="1">
      <c r="A2111" s="1"/>
      <c r="B2111" s="2"/>
      <c r="C2111" s="1"/>
      <c r="D2111" s="1"/>
      <c r="E2111" s="1"/>
      <c r="F2111" s="59"/>
      <c r="G2111" s="32"/>
      <c r="H2111" s="32"/>
    </row>
    <row r="2112" spans="1:8" ht="15.75" hidden="1" customHeight="1">
      <c r="A2112" s="1"/>
      <c r="B2112" s="2"/>
      <c r="C2112" s="1"/>
      <c r="D2112" s="1"/>
      <c r="E2112" s="1"/>
      <c r="F2112" s="59"/>
      <c r="G2112" s="32"/>
      <c r="H2112" s="32"/>
    </row>
    <row r="2113" spans="1:8" ht="15.75" hidden="1" customHeight="1">
      <c r="A2113" s="1"/>
      <c r="B2113" s="2"/>
      <c r="C2113" s="1"/>
      <c r="D2113" s="1"/>
      <c r="E2113" s="1"/>
      <c r="F2113" s="59"/>
      <c r="G2113" s="32"/>
      <c r="H2113" s="32"/>
    </row>
    <row r="2114" spans="1:8" ht="15.75" hidden="1" customHeight="1">
      <c r="A2114" s="1"/>
      <c r="B2114" s="2"/>
      <c r="C2114" s="1"/>
      <c r="D2114" s="1"/>
      <c r="E2114" s="1"/>
      <c r="F2114" s="59"/>
      <c r="G2114" s="32"/>
      <c r="H2114" s="32"/>
    </row>
    <row r="2115" spans="1:8" ht="15.75" hidden="1" customHeight="1">
      <c r="A2115" s="1"/>
      <c r="B2115" s="2"/>
      <c r="C2115" s="1"/>
      <c r="D2115" s="1"/>
      <c r="E2115" s="1"/>
      <c r="F2115" s="59"/>
      <c r="G2115" s="32"/>
      <c r="H2115" s="32"/>
    </row>
    <row r="2116" spans="1:8" ht="15.75" hidden="1" customHeight="1">
      <c r="A2116" s="1"/>
      <c r="B2116" s="2"/>
      <c r="C2116" s="1"/>
      <c r="D2116" s="1"/>
      <c r="E2116" s="1"/>
      <c r="F2116" s="59"/>
      <c r="G2116" s="32"/>
      <c r="H2116" s="32"/>
    </row>
    <row r="2117" spans="1:8" ht="15.75" hidden="1" customHeight="1">
      <c r="A2117" s="1"/>
      <c r="B2117" s="2"/>
      <c r="C2117" s="1"/>
      <c r="D2117" s="1"/>
      <c r="E2117" s="1"/>
      <c r="F2117" s="59"/>
      <c r="G2117" s="32"/>
      <c r="H2117" s="32"/>
    </row>
    <row r="2118" spans="1:8" ht="15.75" hidden="1" customHeight="1">
      <c r="A2118" s="1"/>
      <c r="B2118" s="2"/>
      <c r="C2118" s="1"/>
      <c r="D2118" s="1"/>
      <c r="E2118" s="1"/>
      <c r="F2118" s="59"/>
      <c r="G2118" s="32"/>
      <c r="H2118" s="32"/>
    </row>
    <row r="2119" spans="1:8" ht="15.75" hidden="1" customHeight="1">
      <c r="A2119" s="1"/>
      <c r="B2119" s="2"/>
      <c r="C2119" s="1"/>
      <c r="D2119" s="1"/>
      <c r="E2119" s="1"/>
      <c r="F2119" s="59"/>
      <c r="G2119" s="32"/>
      <c r="H2119" s="32"/>
    </row>
    <row r="2120" spans="1:8" ht="15.75" hidden="1" customHeight="1">
      <c r="A2120" s="1"/>
      <c r="B2120" s="2"/>
      <c r="C2120" s="1"/>
      <c r="D2120" s="1"/>
      <c r="E2120" s="1"/>
      <c r="F2120" s="59"/>
      <c r="G2120" s="32"/>
      <c r="H2120" s="32"/>
    </row>
    <row r="2121" spans="1:8" ht="15.75" hidden="1" customHeight="1">
      <c r="A2121" s="1"/>
      <c r="B2121" s="2"/>
      <c r="C2121" s="1"/>
      <c r="D2121" s="1"/>
      <c r="E2121" s="1"/>
      <c r="F2121" s="59"/>
      <c r="G2121" s="32"/>
      <c r="H2121" s="32"/>
    </row>
    <row r="2122" spans="1:8" ht="15.75" hidden="1" customHeight="1">
      <c r="A2122" s="1"/>
      <c r="B2122" s="2"/>
      <c r="C2122" s="1"/>
      <c r="D2122" s="1"/>
      <c r="E2122" s="1"/>
      <c r="F2122" s="59"/>
      <c r="G2122" s="32"/>
      <c r="H2122" s="32"/>
    </row>
    <row r="2123" spans="1:8" ht="15.75" hidden="1" customHeight="1">
      <c r="A2123" s="1"/>
      <c r="B2123" s="2"/>
      <c r="C2123" s="1"/>
      <c r="D2123" s="1"/>
      <c r="E2123" s="1"/>
      <c r="F2123" s="59"/>
      <c r="G2123" s="32"/>
      <c r="H2123" s="32"/>
    </row>
    <row r="2124" spans="1:8" ht="15.75" hidden="1" customHeight="1">
      <c r="A2124" s="1"/>
      <c r="B2124" s="2"/>
      <c r="C2124" s="1"/>
      <c r="D2124" s="1"/>
      <c r="E2124" s="1"/>
      <c r="F2124" s="59"/>
      <c r="G2124" s="32"/>
      <c r="H2124" s="32"/>
    </row>
    <row r="2125" spans="1:8" ht="15.75" hidden="1" customHeight="1">
      <c r="A2125" s="1"/>
      <c r="B2125" s="2"/>
      <c r="C2125" s="1"/>
      <c r="D2125" s="1"/>
      <c r="E2125" s="1"/>
      <c r="F2125" s="59"/>
      <c r="G2125" s="32"/>
      <c r="H2125" s="32"/>
    </row>
    <row r="2126" spans="1:8" ht="15.75" hidden="1" customHeight="1">
      <c r="A2126" s="1"/>
      <c r="B2126" s="2"/>
      <c r="C2126" s="1"/>
      <c r="D2126" s="1"/>
      <c r="E2126" s="1"/>
      <c r="F2126" s="59"/>
      <c r="G2126" s="32"/>
      <c r="H2126" s="32"/>
    </row>
    <row r="2127" spans="1:8" ht="15.75" hidden="1" customHeight="1">
      <c r="A2127" s="1"/>
      <c r="B2127" s="2"/>
      <c r="C2127" s="1"/>
      <c r="D2127" s="1"/>
      <c r="E2127" s="1"/>
      <c r="F2127" s="59"/>
      <c r="G2127" s="32"/>
      <c r="H2127" s="32"/>
    </row>
    <row r="2128" spans="1:8" ht="15.75" hidden="1" customHeight="1">
      <c r="A2128" s="1"/>
      <c r="B2128" s="2"/>
      <c r="C2128" s="1"/>
      <c r="D2128" s="1"/>
      <c r="E2128" s="1"/>
      <c r="F2128" s="59"/>
      <c r="G2128" s="32"/>
      <c r="H2128" s="32"/>
    </row>
    <row r="2129" spans="1:8" ht="15.75" hidden="1" customHeight="1">
      <c r="A2129" s="1"/>
      <c r="B2129" s="2"/>
      <c r="C2129" s="1"/>
      <c r="D2129" s="1"/>
      <c r="E2129" s="1"/>
      <c r="F2129" s="59"/>
      <c r="G2129" s="32"/>
      <c r="H2129" s="32"/>
    </row>
    <row r="2130" spans="1:8" ht="15.75" hidden="1" customHeight="1">
      <c r="A2130" s="1"/>
      <c r="B2130" s="2"/>
      <c r="C2130" s="1"/>
      <c r="D2130" s="1"/>
      <c r="E2130" s="1"/>
      <c r="F2130" s="59"/>
      <c r="G2130" s="32"/>
      <c r="H2130" s="32"/>
    </row>
    <row r="2131" spans="1:8" ht="15.75" hidden="1" customHeight="1">
      <c r="A2131" s="1"/>
      <c r="B2131" s="2"/>
      <c r="C2131" s="1"/>
      <c r="D2131" s="1"/>
      <c r="E2131" s="1"/>
      <c r="F2131" s="59"/>
      <c r="G2131" s="32"/>
      <c r="H2131" s="32"/>
    </row>
    <row r="2132" spans="1:8" ht="15.75" hidden="1" customHeight="1">
      <c r="A2132" s="1"/>
      <c r="B2132" s="2"/>
      <c r="C2132" s="1"/>
      <c r="D2132" s="1"/>
      <c r="E2132" s="1"/>
      <c r="F2132" s="59"/>
      <c r="G2132" s="32"/>
      <c r="H2132" s="32"/>
    </row>
    <row r="2133" spans="1:8" ht="15.75" hidden="1" customHeight="1">
      <c r="A2133" s="1"/>
      <c r="B2133" s="2"/>
      <c r="C2133" s="1"/>
      <c r="D2133" s="1"/>
      <c r="E2133" s="1"/>
      <c r="F2133" s="59"/>
      <c r="G2133" s="32"/>
      <c r="H2133" s="32"/>
    </row>
    <row r="2134" spans="1:8" ht="15.75" hidden="1" customHeight="1">
      <c r="A2134" s="1"/>
      <c r="B2134" s="2"/>
      <c r="C2134" s="1"/>
      <c r="D2134" s="1"/>
      <c r="E2134" s="1"/>
      <c r="F2134" s="59"/>
      <c r="G2134" s="32"/>
      <c r="H2134" s="32"/>
    </row>
    <row r="2135" spans="1:8" ht="15.75" hidden="1" customHeight="1">
      <c r="A2135" s="1"/>
      <c r="B2135" s="2"/>
      <c r="C2135" s="1"/>
      <c r="D2135" s="1"/>
      <c r="E2135" s="1"/>
      <c r="F2135" s="59"/>
      <c r="G2135" s="32"/>
      <c r="H2135" s="32"/>
    </row>
    <row r="2136" spans="1:8" ht="15.75" hidden="1" customHeight="1">
      <c r="A2136" s="1"/>
      <c r="B2136" s="2"/>
      <c r="C2136" s="1"/>
      <c r="D2136" s="1"/>
      <c r="E2136" s="1"/>
      <c r="F2136" s="59"/>
      <c r="G2136" s="32"/>
      <c r="H2136" s="32"/>
    </row>
    <row r="2137" spans="1:8" ht="15.75" hidden="1" customHeight="1">
      <c r="A2137" s="1"/>
      <c r="B2137" s="2"/>
      <c r="C2137" s="1"/>
      <c r="D2137" s="1"/>
      <c r="E2137" s="1"/>
      <c r="F2137" s="59"/>
      <c r="G2137" s="32"/>
      <c r="H2137" s="32"/>
    </row>
    <row r="2138" spans="1:8" ht="15.75" hidden="1" customHeight="1">
      <c r="A2138" s="1"/>
      <c r="B2138" s="2"/>
      <c r="C2138" s="1"/>
      <c r="D2138" s="1"/>
      <c r="E2138" s="1"/>
      <c r="F2138" s="59"/>
      <c r="G2138" s="32"/>
      <c r="H2138" s="32"/>
    </row>
    <row r="2139" spans="1:8" ht="15.75" hidden="1" customHeight="1">
      <c r="A2139" s="1"/>
      <c r="B2139" s="2"/>
      <c r="C2139" s="1"/>
      <c r="D2139" s="1"/>
      <c r="E2139" s="1"/>
      <c r="F2139" s="59"/>
      <c r="G2139" s="32"/>
      <c r="H2139" s="32"/>
    </row>
    <row r="2140" spans="1:8" ht="15.75" hidden="1" customHeight="1">
      <c r="A2140" s="1"/>
      <c r="B2140" s="2"/>
      <c r="C2140" s="1"/>
      <c r="D2140" s="1"/>
      <c r="E2140" s="1"/>
      <c r="F2140" s="59"/>
      <c r="G2140" s="32"/>
      <c r="H2140" s="32"/>
    </row>
    <row r="2141" spans="1:8" ht="15.75" hidden="1" customHeight="1">
      <c r="A2141" s="1"/>
      <c r="B2141" s="2"/>
      <c r="C2141" s="1"/>
      <c r="D2141" s="1"/>
      <c r="E2141" s="1"/>
      <c r="F2141" s="59"/>
      <c r="G2141" s="32"/>
      <c r="H2141" s="32"/>
    </row>
    <row r="2142" spans="1:8" ht="15.75" hidden="1" customHeight="1">
      <c r="A2142" s="1"/>
      <c r="B2142" s="2"/>
      <c r="C2142" s="1"/>
      <c r="D2142" s="1"/>
      <c r="E2142" s="1"/>
      <c r="F2142" s="59"/>
      <c r="G2142" s="32"/>
      <c r="H2142" s="32"/>
    </row>
    <row r="2143" spans="1:8" ht="15.75" hidden="1" customHeight="1">
      <c r="A2143" s="1"/>
      <c r="B2143" s="2"/>
      <c r="C2143" s="1"/>
      <c r="D2143" s="1"/>
      <c r="E2143" s="1"/>
      <c r="F2143" s="59"/>
      <c r="G2143" s="32"/>
      <c r="H2143" s="32"/>
    </row>
    <row r="2144" spans="1:8" ht="15.75" hidden="1" customHeight="1">
      <c r="A2144" s="1"/>
      <c r="B2144" s="2"/>
      <c r="C2144" s="1"/>
      <c r="D2144" s="1"/>
      <c r="E2144" s="1"/>
      <c r="F2144" s="59"/>
      <c r="G2144" s="32"/>
      <c r="H2144" s="32"/>
    </row>
    <row r="2145" spans="1:8" ht="15.75" hidden="1" customHeight="1">
      <c r="A2145" s="1"/>
      <c r="B2145" s="2"/>
      <c r="C2145" s="1"/>
      <c r="D2145" s="1"/>
      <c r="E2145" s="1"/>
      <c r="F2145" s="59"/>
      <c r="G2145" s="32"/>
      <c r="H2145" s="32"/>
    </row>
    <row r="2146" spans="1:8" ht="15.75" hidden="1" customHeight="1">
      <c r="A2146" s="1"/>
      <c r="B2146" s="2"/>
      <c r="C2146" s="1"/>
      <c r="D2146" s="1"/>
      <c r="E2146" s="1"/>
      <c r="F2146" s="59"/>
      <c r="G2146" s="32"/>
      <c r="H2146" s="32"/>
    </row>
    <row r="2147" spans="1:8" ht="15.75" hidden="1" customHeight="1">
      <c r="A2147" s="1"/>
      <c r="B2147" s="2"/>
      <c r="C2147" s="1"/>
      <c r="D2147" s="1"/>
      <c r="E2147" s="1"/>
      <c r="F2147" s="59"/>
      <c r="G2147" s="32"/>
      <c r="H2147" s="32"/>
    </row>
    <row r="2148" spans="1:8" ht="15.75" hidden="1" customHeight="1">
      <c r="A2148" s="1"/>
      <c r="B2148" s="2"/>
      <c r="C2148" s="1"/>
      <c r="D2148" s="1"/>
      <c r="E2148" s="1"/>
      <c r="F2148" s="59"/>
      <c r="G2148" s="32"/>
      <c r="H2148" s="32"/>
    </row>
    <row r="2149" spans="1:8" ht="15.75" hidden="1" customHeight="1">
      <c r="A2149" s="1"/>
      <c r="B2149" s="2"/>
      <c r="C2149" s="1"/>
      <c r="D2149" s="1"/>
      <c r="E2149" s="1"/>
      <c r="F2149" s="59"/>
      <c r="G2149" s="32"/>
      <c r="H2149" s="32"/>
    </row>
    <row r="2150" spans="1:8" ht="15.75" hidden="1" customHeight="1">
      <c r="A2150" s="1"/>
      <c r="B2150" s="2"/>
      <c r="C2150" s="1"/>
      <c r="D2150" s="1"/>
      <c r="E2150" s="1"/>
      <c r="F2150" s="59"/>
      <c r="G2150" s="32"/>
      <c r="H2150" s="32"/>
    </row>
    <row r="2151" spans="1:8" ht="15.75" hidden="1" customHeight="1">
      <c r="A2151" s="1"/>
      <c r="B2151" s="2"/>
      <c r="C2151" s="1"/>
      <c r="D2151" s="1"/>
      <c r="E2151" s="1"/>
      <c r="F2151" s="59"/>
      <c r="G2151" s="32"/>
      <c r="H2151" s="32"/>
    </row>
    <row r="2152" spans="1:8" ht="15.75" hidden="1" customHeight="1">
      <c r="A2152" s="1"/>
      <c r="B2152" s="2"/>
      <c r="C2152" s="1"/>
      <c r="D2152" s="1"/>
      <c r="E2152" s="1"/>
      <c r="F2152" s="59"/>
      <c r="G2152" s="32"/>
      <c r="H2152" s="32"/>
    </row>
    <row r="2153" spans="1:8" ht="15.75" hidden="1" customHeight="1">
      <c r="A2153" s="1"/>
      <c r="B2153" s="2"/>
      <c r="C2153" s="1"/>
      <c r="D2153" s="1"/>
      <c r="E2153" s="1"/>
      <c r="F2153" s="59"/>
      <c r="G2153" s="32"/>
      <c r="H2153" s="32"/>
    </row>
    <row r="2154" spans="1:8" ht="15.75" hidden="1" customHeight="1">
      <c r="A2154" s="1"/>
      <c r="B2154" s="2"/>
      <c r="C2154" s="1"/>
      <c r="D2154" s="1"/>
      <c r="E2154" s="1"/>
      <c r="F2154" s="59"/>
      <c r="G2154" s="32"/>
      <c r="H2154" s="32"/>
    </row>
    <row r="2155" spans="1:8" ht="15.75" hidden="1" customHeight="1">
      <c r="A2155" s="1"/>
      <c r="B2155" s="2"/>
      <c r="C2155" s="1"/>
      <c r="D2155" s="1"/>
      <c r="E2155" s="1"/>
      <c r="F2155" s="59"/>
      <c r="G2155" s="32"/>
      <c r="H2155" s="32"/>
    </row>
    <row r="2156" spans="1:8" ht="15.75" hidden="1" customHeight="1">
      <c r="A2156" s="1"/>
      <c r="B2156" s="2"/>
      <c r="C2156" s="1"/>
      <c r="D2156" s="1"/>
      <c r="E2156" s="1"/>
      <c r="F2156" s="59"/>
      <c r="G2156" s="32"/>
      <c r="H2156" s="32"/>
    </row>
    <row r="2157" spans="1:8" ht="15.75" hidden="1" customHeight="1">
      <c r="A2157" s="1"/>
      <c r="B2157" s="2"/>
      <c r="C2157" s="1"/>
      <c r="D2157" s="1"/>
      <c r="E2157" s="1"/>
      <c r="F2157" s="59"/>
      <c r="G2157" s="32"/>
      <c r="H2157" s="32"/>
    </row>
    <row r="2158" spans="1:8" ht="15.75" hidden="1" customHeight="1">
      <c r="A2158" s="1"/>
      <c r="B2158" s="2"/>
      <c r="C2158" s="1"/>
      <c r="D2158" s="1"/>
      <c r="E2158" s="1"/>
      <c r="F2158" s="59"/>
      <c r="G2158" s="32"/>
      <c r="H2158" s="32"/>
    </row>
    <row r="2159" spans="1:8" ht="15.75" hidden="1" customHeight="1">
      <c r="A2159" s="1"/>
      <c r="B2159" s="2"/>
      <c r="C2159" s="1"/>
      <c r="D2159" s="1"/>
      <c r="E2159" s="1"/>
      <c r="F2159" s="59"/>
      <c r="G2159" s="32"/>
      <c r="H2159" s="32"/>
    </row>
    <row r="2160" spans="1:8" ht="15.75" hidden="1" customHeight="1">
      <c r="A2160" s="1"/>
      <c r="B2160" s="2"/>
      <c r="C2160" s="1"/>
      <c r="D2160" s="1"/>
      <c r="E2160" s="1"/>
      <c r="F2160" s="59"/>
      <c r="G2160" s="32"/>
      <c r="H2160" s="32"/>
    </row>
    <row r="2161" spans="1:8" ht="15.75" hidden="1" customHeight="1">
      <c r="A2161" s="1"/>
      <c r="B2161" s="2"/>
      <c r="C2161" s="1"/>
      <c r="D2161" s="1"/>
      <c r="E2161" s="1"/>
      <c r="F2161" s="59"/>
      <c r="G2161" s="32"/>
      <c r="H2161" s="32"/>
    </row>
    <row r="2162" spans="1:8" ht="15.75" hidden="1" customHeight="1">
      <c r="A2162" s="1"/>
      <c r="B2162" s="2"/>
      <c r="C2162" s="1"/>
      <c r="D2162" s="1"/>
      <c r="E2162" s="1"/>
      <c r="F2162" s="59"/>
      <c r="G2162" s="32"/>
      <c r="H2162" s="32"/>
    </row>
    <row r="2163" spans="1:8" ht="15.75" hidden="1" customHeight="1">
      <c r="A2163" s="1"/>
      <c r="B2163" s="2"/>
      <c r="C2163" s="1"/>
      <c r="D2163" s="1"/>
      <c r="E2163" s="1"/>
      <c r="F2163" s="59"/>
      <c r="G2163" s="32"/>
      <c r="H2163" s="32"/>
    </row>
    <row r="2164" spans="1:8" ht="15.75" hidden="1" customHeight="1">
      <c r="A2164" s="1"/>
      <c r="B2164" s="2"/>
      <c r="C2164" s="1"/>
      <c r="D2164" s="1"/>
      <c r="E2164" s="1"/>
      <c r="F2164" s="59"/>
      <c r="G2164" s="32"/>
      <c r="H2164" s="32"/>
    </row>
    <row r="2165" spans="1:8" ht="15.75" hidden="1" customHeight="1">
      <c r="A2165" s="1"/>
      <c r="B2165" s="2"/>
      <c r="C2165" s="1"/>
      <c r="D2165" s="1"/>
      <c r="E2165" s="1"/>
      <c r="F2165" s="59"/>
      <c r="G2165" s="32"/>
      <c r="H2165" s="32"/>
    </row>
    <row r="2166" spans="1:8" ht="15.75" hidden="1" customHeight="1">
      <c r="A2166" s="1"/>
      <c r="B2166" s="2"/>
      <c r="C2166" s="1"/>
      <c r="D2166" s="1"/>
      <c r="E2166" s="1"/>
      <c r="F2166" s="59"/>
      <c r="G2166" s="32"/>
      <c r="H2166" s="32"/>
    </row>
    <row r="2167" spans="1:8" ht="15.75" hidden="1" customHeight="1">
      <c r="A2167" s="1"/>
      <c r="B2167" s="2"/>
      <c r="C2167" s="1"/>
      <c r="D2167" s="1"/>
      <c r="E2167" s="1"/>
      <c r="F2167" s="59"/>
      <c r="G2167" s="32"/>
      <c r="H2167" s="32"/>
    </row>
    <row r="2168" spans="1:8" ht="15.75" hidden="1" customHeight="1">
      <c r="A2168" s="1"/>
      <c r="B2168" s="2"/>
      <c r="C2168" s="1"/>
      <c r="D2168" s="1"/>
      <c r="E2168" s="1"/>
      <c r="F2168" s="59"/>
      <c r="G2168" s="32"/>
      <c r="H2168" s="32"/>
    </row>
    <row r="2169" spans="1:8" ht="15.75" hidden="1" customHeight="1">
      <c r="A2169" s="1"/>
      <c r="B2169" s="2"/>
      <c r="C2169" s="1"/>
      <c r="D2169" s="1"/>
      <c r="E2169" s="1"/>
      <c r="F2169" s="59"/>
      <c r="G2169" s="32"/>
      <c r="H2169" s="32"/>
    </row>
    <row r="2170" spans="1:8" ht="15.75" hidden="1" customHeight="1">
      <c r="A2170" s="1"/>
      <c r="B2170" s="2"/>
      <c r="C2170" s="1"/>
      <c r="D2170" s="1"/>
      <c r="E2170" s="1"/>
      <c r="F2170" s="59"/>
      <c r="G2170" s="32"/>
      <c r="H2170" s="32"/>
    </row>
    <row r="2171" spans="1:8" ht="15.75" hidden="1" customHeight="1">
      <c r="A2171" s="1"/>
      <c r="B2171" s="2"/>
      <c r="C2171" s="1"/>
      <c r="D2171" s="1"/>
      <c r="E2171" s="1"/>
      <c r="F2171" s="59"/>
      <c r="G2171" s="32"/>
      <c r="H2171" s="32"/>
    </row>
    <row r="2172" spans="1:8" ht="15.75" hidden="1" customHeight="1">
      <c r="A2172" s="1"/>
      <c r="B2172" s="2"/>
      <c r="C2172" s="1"/>
      <c r="D2172" s="1"/>
      <c r="E2172" s="1"/>
      <c r="F2172" s="59"/>
      <c r="G2172" s="32"/>
      <c r="H2172" s="32"/>
    </row>
    <row r="2173" spans="1:8" ht="15.75" hidden="1" customHeight="1">
      <c r="A2173" s="1"/>
      <c r="B2173" s="2"/>
      <c r="C2173" s="1"/>
      <c r="D2173" s="1"/>
      <c r="E2173" s="1"/>
      <c r="F2173" s="59"/>
      <c r="G2173" s="32"/>
      <c r="H2173" s="32"/>
    </row>
    <row r="2174" spans="1:8" ht="15.75" hidden="1" customHeight="1">
      <c r="A2174" s="1"/>
      <c r="B2174" s="2"/>
      <c r="C2174" s="1"/>
      <c r="D2174" s="1"/>
      <c r="E2174" s="1"/>
      <c r="F2174" s="59"/>
      <c r="G2174" s="32"/>
      <c r="H2174" s="32"/>
    </row>
    <row r="2175" spans="1:8" ht="15.75" hidden="1" customHeight="1">
      <c r="A2175" s="1"/>
      <c r="B2175" s="2"/>
      <c r="C2175" s="1"/>
      <c r="D2175" s="1"/>
      <c r="E2175" s="1"/>
      <c r="F2175" s="59"/>
      <c r="G2175" s="32"/>
      <c r="H2175" s="32"/>
    </row>
    <row r="2176" spans="1:8" ht="15.75" hidden="1" customHeight="1">
      <c r="A2176" s="1"/>
      <c r="B2176" s="2"/>
      <c r="C2176" s="1"/>
      <c r="D2176" s="1"/>
      <c r="E2176" s="1"/>
      <c r="F2176" s="59"/>
      <c r="G2176" s="32"/>
      <c r="H2176" s="32"/>
    </row>
    <row r="2177" spans="1:8" ht="15.75" hidden="1" customHeight="1">
      <c r="A2177" s="1"/>
      <c r="B2177" s="2"/>
      <c r="C2177" s="1"/>
      <c r="D2177" s="1"/>
      <c r="E2177" s="1"/>
      <c r="F2177" s="59"/>
      <c r="G2177" s="32"/>
      <c r="H2177" s="32"/>
    </row>
    <row r="2178" spans="1:8" ht="15.75" hidden="1" customHeight="1">
      <c r="A2178" s="1"/>
      <c r="B2178" s="2"/>
      <c r="C2178" s="1"/>
      <c r="D2178" s="1"/>
      <c r="E2178" s="1"/>
      <c r="F2178" s="59"/>
      <c r="G2178" s="32"/>
      <c r="H2178" s="32"/>
    </row>
    <row r="2179" spans="1:8" ht="15.75" hidden="1" customHeight="1">
      <c r="A2179" s="1"/>
      <c r="B2179" s="2"/>
      <c r="C2179" s="1"/>
      <c r="D2179" s="1"/>
      <c r="E2179" s="1"/>
      <c r="F2179" s="59"/>
      <c r="G2179" s="32"/>
      <c r="H2179" s="32"/>
    </row>
    <row r="2180" spans="1:8" ht="15.75" hidden="1" customHeight="1">
      <c r="A2180" s="1"/>
      <c r="B2180" s="2"/>
      <c r="C2180" s="1"/>
      <c r="D2180" s="1"/>
      <c r="E2180" s="1"/>
      <c r="F2180" s="59"/>
      <c r="G2180" s="32"/>
      <c r="H2180" s="32"/>
    </row>
    <row r="2181" spans="1:8" ht="15.75" hidden="1" customHeight="1">
      <c r="A2181" s="1"/>
      <c r="B2181" s="2"/>
      <c r="C2181" s="1"/>
      <c r="D2181" s="1"/>
      <c r="E2181" s="1"/>
      <c r="F2181" s="59"/>
      <c r="G2181" s="32"/>
      <c r="H2181" s="32"/>
    </row>
    <row r="2182" spans="1:8" ht="15.75" hidden="1" customHeight="1">
      <c r="A2182" s="1"/>
      <c r="B2182" s="2"/>
      <c r="C2182" s="1"/>
      <c r="D2182" s="1"/>
      <c r="E2182" s="1"/>
      <c r="F2182" s="59"/>
      <c r="G2182" s="32"/>
      <c r="H2182" s="32"/>
    </row>
    <row r="2183" spans="1:8" ht="15.75" hidden="1" customHeight="1">
      <c r="A2183" s="1"/>
      <c r="B2183" s="2"/>
      <c r="C2183" s="1"/>
      <c r="D2183" s="1"/>
      <c r="E2183" s="1"/>
      <c r="F2183" s="59"/>
      <c r="G2183" s="32"/>
      <c r="H2183" s="32"/>
    </row>
    <row r="2184" spans="1:8" ht="15.75" hidden="1" customHeight="1">
      <c r="A2184" s="1"/>
      <c r="B2184" s="2"/>
      <c r="C2184" s="1"/>
      <c r="D2184" s="1"/>
      <c r="E2184" s="1"/>
      <c r="F2184" s="59"/>
      <c r="G2184" s="32"/>
      <c r="H2184" s="32"/>
    </row>
    <row r="2185" spans="1:8" ht="15.75" hidden="1" customHeight="1">
      <c r="A2185" s="1"/>
      <c r="B2185" s="2"/>
      <c r="C2185" s="1"/>
      <c r="D2185" s="1"/>
      <c r="E2185" s="1"/>
      <c r="F2185" s="59"/>
      <c r="G2185" s="32"/>
      <c r="H2185" s="32"/>
    </row>
    <row r="2186" spans="1:8" ht="15.75" hidden="1" customHeight="1">
      <c r="A2186" s="1"/>
      <c r="B2186" s="2"/>
      <c r="C2186" s="1"/>
      <c r="D2186" s="1"/>
      <c r="E2186" s="1"/>
      <c r="F2186" s="59"/>
      <c r="G2186" s="32"/>
      <c r="H2186" s="32"/>
    </row>
    <row r="2187" spans="1:8" ht="15.75" hidden="1" customHeight="1">
      <c r="A2187" s="1"/>
      <c r="B2187" s="2"/>
      <c r="C2187" s="1"/>
      <c r="D2187" s="1"/>
      <c r="E2187" s="1"/>
      <c r="F2187" s="59"/>
      <c r="G2187" s="32"/>
      <c r="H2187" s="32"/>
    </row>
    <row r="2188" spans="1:8" ht="15.75" hidden="1" customHeight="1">
      <c r="A2188" s="1"/>
      <c r="B2188" s="2"/>
      <c r="C2188" s="1"/>
      <c r="D2188" s="1"/>
      <c r="E2188" s="1"/>
      <c r="F2188" s="59"/>
      <c r="G2188" s="32"/>
      <c r="H2188" s="32"/>
    </row>
    <row r="2189" spans="1:8" ht="15.75" hidden="1" customHeight="1">
      <c r="A2189" s="1"/>
      <c r="B2189" s="2"/>
      <c r="C2189" s="1"/>
      <c r="D2189" s="1"/>
      <c r="E2189" s="1"/>
      <c r="F2189" s="59"/>
      <c r="G2189" s="32"/>
      <c r="H2189" s="32"/>
    </row>
    <row r="2190" spans="1:8" ht="15.75" hidden="1" customHeight="1">
      <c r="A2190" s="1"/>
      <c r="B2190" s="2"/>
      <c r="C2190" s="1"/>
      <c r="D2190" s="1"/>
      <c r="E2190" s="1"/>
      <c r="F2190" s="59"/>
      <c r="G2190" s="32"/>
      <c r="H2190" s="32"/>
    </row>
    <row r="2191" spans="1:8" ht="15.75" hidden="1" customHeight="1">
      <c r="A2191" s="1"/>
      <c r="B2191" s="2"/>
      <c r="C2191" s="1"/>
      <c r="D2191" s="1"/>
      <c r="E2191" s="1"/>
      <c r="F2191" s="59"/>
      <c r="G2191" s="32"/>
      <c r="H2191" s="32"/>
    </row>
    <row r="2192" spans="1:8" ht="15.75" hidden="1" customHeight="1">
      <c r="A2192" s="1"/>
      <c r="B2192" s="2"/>
      <c r="C2192" s="1"/>
      <c r="D2192" s="1"/>
      <c r="E2192" s="1"/>
      <c r="F2192" s="59"/>
      <c r="G2192" s="32"/>
      <c r="H2192" s="32"/>
    </row>
    <row r="2193" spans="1:8" ht="15.75" hidden="1" customHeight="1">
      <c r="A2193" s="1"/>
      <c r="B2193" s="2"/>
      <c r="C2193" s="1"/>
      <c r="D2193" s="1"/>
      <c r="E2193" s="1"/>
      <c r="F2193" s="59"/>
      <c r="G2193" s="32"/>
      <c r="H2193" s="32"/>
    </row>
    <row r="2194" spans="1:8" ht="15.75" hidden="1" customHeight="1">
      <c r="A2194" s="1"/>
      <c r="B2194" s="2"/>
      <c r="C2194" s="1"/>
      <c r="D2194" s="1"/>
      <c r="E2194" s="1"/>
      <c r="F2194" s="59"/>
      <c r="G2194" s="32"/>
      <c r="H2194" s="32"/>
    </row>
    <row r="2195" spans="1:8" ht="15.75" hidden="1" customHeight="1">
      <c r="A2195" s="1"/>
      <c r="B2195" s="2"/>
      <c r="C2195" s="1"/>
      <c r="D2195" s="1"/>
      <c r="E2195" s="1"/>
      <c r="F2195" s="59"/>
      <c r="G2195" s="32"/>
      <c r="H2195" s="32"/>
    </row>
    <row r="2196" spans="1:8" ht="15.75" hidden="1" customHeight="1">
      <c r="A2196" s="1"/>
      <c r="B2196" s="2"/>
      <c r="C2196" s="1"/>
      <c r="D2196" s="1"/>
      <c r="E2196" s="1"/>
      <c r="F2196" s="59"/>
      <c r="G2196" s="32"/>
      <c r="H2196" s="32"/>
    </row>
    <row r="2197" spans="1:8" ht="15.75" hidden="1" customHeight="1">
      <c r="A2197" s="1"/>
      <c r="B2197" s="2"/>
      <c r="C2197" s="1"/>
      <c r="D2197" s="1"/>
      <c r="E2197" s="1"/>
      <c r="F2197" s="59"/>
      <c r="G2197" s="32"/>
      <c r="H2197" s="32"/>
    </row>
    <row r="2198" spans="1:8" ht="15.75" hidden="1" customHeight="1">
      <c r="A2198" s="1"/>
      <c r="B2198" s="2"/>
      <c r="C2198" s="1"/>
      <c r="D2198" s="1"/>
      <c r="E2198" s="1"/>
      <c r="F2198" s="59"/>
      <c r="G2198" s="32"/>
      <c r="H2198" s="32"/>
    </row>
    <row r="2199" spans="1:8" ht="15.75" hidden="1" customHeight="1">
      <c r="A2199" s="1"/>
      <c r="B2199" s="2"/>
      <c r="C2199" s="1"/>
      <c r="D2199" s="1"/>
      <c r="E2199" s="1"/>
      <c r="F2199" s="59"/>
      <c r="G2199" s="32"/>
      <c r="H2199" s="32"/>
    </row>
    <row r="2200" spans="1:8" ht="15.75" hidden="1" customHeight="1">
      <c r="A2200" s="1"/>
      <c r="B2200" s="2"/>
      <c r="C2200" s="1"/>
      <c r="D2200" s="1"/>
      <c r="E2200" s="1"/>
      <c r="F2200" s="59"/>
      <c r="G2200" s="32"/>
      <c r="H2200" s="32"/>
    </row>
    <row r="2201" spans="1:8" ht="15.75" hidden="1" customHeight="1">
      <c r="A2201" s="1"/>
      <c r="B2201" s="2"/>
      <c r="C2201" s="1"/>
      <c r="D2201" s="1"/>
      <c r="E2201" s="1"/>
      <c r="F2201" s="59"/>
      <c r="G2201" s="32"/>
      <c r="H2201" s="32"/>
    </row>
    <row r="2202" spans="1:8" ht="15.75" hidden="1" customHeight="1">
      <c r="A2202" s="1"/>
      <c r="B2202" s="2"/>
      <c r="C2202" s="1"/>
      <c r="D2202" s="1"/>
      <c r="E2202" s="1"/>
      <c r="F2202" s="59"/>
      <c r="G2202" s="32"/>
      <c r="H2202" s="32"/>
    </row>
    <row r="2203" spans="1:8" ht="15.75" hidden="1" customHeight="1">
      <c r="A2203" s="1"/>
      <c r="B2203" s="2"/>
      <c r="C2203" s="1"/>
      <c r="D2203" s="1"/>
      <c r="E2203" s="1"/>
      <c r="F2203" s="59"/>
      <c r="G2203" s="32"/>
      <c r="H2203" s="32"/>
    </row>
    <row r="2204" spans="1:8" ht="15.75" hidden="1" customHeight="1">
      <c r="A2204" s="1"/>
      <c r="B2204" s="2"/>
      <c r="C2204" s="1"/>
      <c r="D2204" s="1"/>
      <c r="E2204" s="1"/>
      <c r="F2204" s="59"/>
      <c r="G2204" s="32"/>
      <c r="H2204" s="32"/>
    </row>
    <row r="2205" spans="1:8" ht="15.75" hidden="1" customHeight="1">
      <c r="A2205" s="1"/>
      <c r="B2205" s="2"/>
      <c r="C2205" s="1"/>
      <c r="D2205" s="1"/>
      <c r="E2205" s="1"/>
      <c r="F2205" s="59"/>
      <c r="G2205" s="32"/>
      <c r="H2205" s="32"/>
    </row>
    <row r="2206" spans="1:8" ht="15.75" hidden="1" customHeight="1">
      <c r="A2206" s="1"/>
      <c r="B2206" s="2"/>
      <c r="C2206" s="1"/>
      <c r="D2206" s="1"/>
      <c r="E2206" s="1"/>
      <c r="F2206" s="59"/>
      <c r="G2206" s="32"/>
      <c r="H2206" s="32"/>
    </row>
    <row r="2207" spans="1:8" ht="15.75" hidden="1" customHeight="1">
      <c r="A2207" s="1"/>
      <c r="B2207" s="2"/>
      <c r="C2207" s="1"/>
      <c r="D2207" s="1"/>
      <c r="E2207" s="1"/>
      <c r="F2207" s="59"/>
      <c r="G2207" s="32"/>
      <c r="H2207" s="32"/>
    </row>
    <row r="2208" spans="1:8" ht="15.75" hidden="1" customHeight="1">
      <c r="A2208" s="1"/>
      <c r="B2208" s="2"/>
      <c r="C2208" s="1"/>
      <c r="D2208" s="1"/>
      <c r="E2208" s="1"/>
      <c r="F2208" s="59"/>
      <c r="G2208" s="32"/>
      <c r="H2208" s="32"/>
    </row>
    <row r="2209" spans="1:8" ht="15.75" hidden="1" customHeight="1">
      <c r="A2209" s="1"/>
      <c r="B2209" s="2"/>
      <c r="C2209" s="1"/>
      <c r="D2209" s="1"/>
      <c r="E2209" s="1"/>
      <c r="F2209" s="59"/>
      <c r="G2209" s="32"/>
      <c r="H2209" s="32"/>
    </row>
    <row r="2210" spans="1:8" ht="15.75" hidden="1" customHeight="1">
      <c r="A2210" s="1"/>
      <c r="B2210" s="2"/>
      <c r="C2210" s="1"/>
      <c r="D2210" s="1"/>
      <c r="E2210" s="1"/>
      <c r="F2210" s="59"/>
      <c r="G2210" s="32"/>
      <c r="H2210" s="32"/>
    </row>
    <row r="2211" spans="1:8" ht="15.75" hidden="1" customHeight="1">
      <c r="A2211" s="1"/>
      <c r="B2211" s="2"/>
      <c r="C2211" s="1"/>
      <c r="D2211" s="1"/>
      <c r="E2211" s="1"/>
      <c r="F2211" s="59"/>
      <c r="G2211" s="32"/>
      <c r="H2211" s="32"/>
    </row>
    <row r="2212" spans="1:8" ht="15.75" hidden="1" customHeight="1">
      <c r="A2212" s="1"/>
      <c r="B2212" s="2"/>
      <c r="C2212" s="1"/>
      <c r="D2212" s="1"/>
      <c r="E2212" s="1"/>
      <c r="F2212" s="59"/>
      <c r="G2212" s="32"/>
      <c r="H2212" s="32"/>
    </row>
    <row r="2213" spans="1:8" ht="15.75" hidden="1" customHeight="1">
      <c r="A2213" s="1"/>
      <c r="B2213" s="2"/>
      <c r="C2213" s="1"/>
      <c r="D2213" s="1"/>
      <c r="E2213" s="1"/>
      <c r="F2213" s="59"/>
      <c r="G2213" s="32"/>
      <c r="H2213" s="32"/>
    </row>
    <row r="2214" spans="1:8" ht="15.75" hidden="1" customHeight="1">
      <c r="A2214" s="1"/>
      <c r="B2214" s="2"/>
      <c r="C2214" s="1"/>
      <c r="D2214" s="1"/>
      <c r="E2214" s="1"/>
      <c r="F2214" s="59"/>
      <c r="G2214" s="32"/>
      <c r="H2214" s="32"/>
    </row>
    <row r="2215" spans="1:8" ht="15.75" hidden="1" customHeight="1">
      <c r="A2215" s="1"/>
      <c r="B2215" s="2"/>
      <c r="C2215" s="1"/>
      <c r="D2215" s="1"/>
      <c r="E2215" s="1"/>
      <c r="F2215" s="59"/>
      <c r="G2215" s="32"/>
      <c r="H2215" s="32"/>
    </row>
    <row r="2216" spans="1:8" ht="15.75" hidden="1" customHeight="1">
      <c r="A2216" s="1"/>
      <c r="B2216" s="2"/>
      <c r="C2216" s="1"/>
      <c r="D2216" s="1"/>
      <c r="E2216" s="1"/>
      <c r="F2216" s="59"/>
      <c r="G2216" s="32"/>
      <c r="H2216" s="32"/>
    </row>
    <row r="2217" spans="1:8" ht="15.75" hidden="1" customHeight="1">
      <c r="A2217" s="1"/>
      <c r="B2217" s="2"/>
      <c r="C2217" s="1"/>
      <c r="D2217" s="1"/>
      <c r="E2217" s="1"/>
      <c r="F2217" s="59"/>
      <c r="G2217" s="32"/>
      <c r="H2217" s="32"/>
    </row>
    <row r="2218" spans="1:8" ht="15.75" hidden="1" customHeight="1">
      <c r="A2218" s="1"/>
      <c r="B2218" s="2"/>
      <c r="C2218" s="1"/>
      <c r="D2218" s="1"/>
      <c r="E2218" s="1"/>
      <c r="F2218" s="59"/>
      <c r="G2218" s="32"/>
      <c r="H2218" s="32"/>
    </row>
    <row r="2219" spans="1:8" ht="15.75" hidden="1" customHeight="1">
      <c r="A2219" s="1"/>
      <c r="B2219" s="2"/>
      <c r="C2219" s="1"/>
      <c r="D2219" s="1"/>
      <c r="E2219" s="1"/>
      <c r="F2219" s="59"/>
      <c r="G2219" s="32"/>
      <c r="H2219" s="32"/>
    </row>
    <row r="2220" spans="1:8" ht="15.75" hidden="1" customHeight="1">
      <c r="A2220" s="1"/>
      <c r="B2220" s="2"/>
      <c r="C2220" s="1"/>
      <c r="D2220" s="1"/>
      <c r="E2220" s="1"/>
      <c r="F2220" s="59"/>
      <c r="G2220" s="32"/>
      <c r="H2220" s="32"/>
    </row>
    <row r="2221" spans="1:8" ht="15.75" hidden="1" customHeight="1">
      <c r="A2221" s="1"/>
      <c r="B2221" s="2"/>
      <c r="C2221" s="1"/>
      <c r="D2221" s="1"/>
      <c r="E2221" s="1"/>
      <c r="F2221" s="59"/>
      <c r="G2221" s="32"/>
      <c r="H2221" s="32"/>
    </row>
    <row r="2222" spans="1:8" ht="15.75" hidden="1" customHeight="1">
      <c r="A2222" s="1"/>
      <c r="B2222" s="2"/>
      <c r="C2222" s="1"/>
      <c r="D2222" s="1"/>
      <c r="E2222" s="1"/>
      <c r="F2222" s="59"/>
      <c r="G2222" s="32"/>
      <c r="H2222" s="32"/>
    </row>
    <row r="2223" spans="1:8" ht="15.75" hidden="1" customHeight="1">
      <c r="A2223" s="1"/>
      <c r="B2223" s="2"/>
      <c r="C2223" s="1"/>
      <c r="D2223" s="1"/>
      <c r="E2223" s="1"/>
      <c r="F2223" s="59"/>
      <c r="G2223" s="32"/>
      <c r="H2223" s="32"/>
    </row>
    <row r="2224" spans="1:8" ht="15.75" hidden="1" customHeight="1">
      <c r="A2224" s="1"/>
      <c r="B2224" s="2"/>
      <c r="C2224" s="1"/>
      <c r="D2224" s="1"/>
      <c r="E2224" s="1"/>
      <c r="F2224" s="59"/>
      <c r="G2224" s="32"/>
      <c r="H2224" s="32"/>
    </row>
    <row r="2225" spans="1:8" ht="15.75" hidden="1" customHeight="1">
      <c r="A2225" s="1"/>
      <c r="B2225" s="2"/>
      <c r="C2225" s="1"/>
      <c r="D2225" s="1"/>
      <c r="E2225" s="1"/>
      <c r="F2225" s="59"/>
      <c r="G2225" s="32"/>
      <c r="H2225" s="32"/>
    </row>
    <row r="2226" spans="1:8" ht="15.75" hidden="1" customHeight="1">
      <c r="A2226" s="1"/>
      <c r="B2226" s="2"/>
      <c r="C2226" s="1"/>
      <c r="D2226" s="1"/>
      <c r="E2226" s="1"/>
      <c r="F2226" s="59"/>
      <c r="G2226" s="32"/>
      <c r="H2226" s="32"/>
    </row>
    <row r="2227" spans="1:8" ht="15.75" hidden="1" customHeight="1">
      <c r="A2227" s="1"/>
      <c r="B2227" s="2"/>
      <c r="C2227" s="1"/>
      <c r="D2227" s="1"/>
      <c r="E2227" s="1"/>
      <c r="F2227" s="59"/>
      <c r="G2227" s="32"/>
      <c r="H2227" s="32"/>
    </row>
    <row r="2228" spans="1:8" ht="15.75" hidden="1" customHeight="1">
      <c r="A2228" s="1"/>
      <c r="B2228" s="2"/>
      <c r="C2228" s="1"/>
      <c r="D2228" s="1"/>
      <c r="E2228" s="1"/>
      <c r="F2228" s="59"/>
      <c r="G2228" s="32"/>
      <c r="H2228" s="32"/>
    </row>
    <row r="2229" spans="1:8" ht="15.75" hidden="1" customHeight="1">
      <c r="A2229" s="1"/>
      <c r="B2229" s="2"/>
      <c r="C2229" s="1"/>
      <c r="D2229" s="1"/>
      <c r="E2229" s="1"/>
      <c r="F2229" s="59"/>
      <c r="G2229" s="32"/>
      <c r="H2229" s="32"/>
    </row>
    <row r="2230" spans="1:8" ht="15.75" hidden="1" customHeight="1">
      <c r="A2230" s="1"/>
      <c r="B2230" s="2"/>
      <c r="C2230" s="1"/>
      <c r="D2230" s="1"/>
      <c r="E2230" s="1"/>
      <c r="F2230" s="59"/>
      <c r="G2230" s="32"/>
      <c r="H2230" s="32"/>
    </row>
    <row r="2231" spans="1:8" ht="15.75" hidden="1" customHeight="1">
      <c r="A2231" s="1"/>
      <c r="B2231" s="2"/>
      <c r="C2231" s="1"/>
      <c r="D2231" s="1"/>
      <c r="E2231" s="1"/>
      <c r="F2231" s="59"/>
      <c r="G2231" s="32"/>
      <c r="H2231" s="32"/>
    </row>
    <row r="2232" spans="1:8" ht="15.75" hidden="1" customHeight="1">
      <c r="A2232" s="1"/>
      <c r="B2232" s="2"/>
      <c r="C2232" s="1"/>
      <c r="D2232" s="1"/>
      <c r="E2232" s="1"/>
      <c r="F2232" s="59"/>
      <c r="G2232" s="32"/>
      <c r="H2232" s="32"/>
    </row>
    <row r="2233" spans="1:8" ht="15.75" hidden="1" customHeight="1">
      <c r="A2233" s="1"/>
      <c r="B2233" s="2"/>
      <c r="C2233" s="1"/>
      <c r="D2233" s="1"/>
      <c r="E2233" s="1"/>
      <c r="F2233" s="59"/>
      <c r="G2233" s="32"/>
      <c r="H2233" s="32"/>
    </row>
    <row r="2234" spans="1:8" ht="15.75" hidden="1" customHeight="1">
      <c r="A2234" s="1"/>
      <c r="B2234" s="2"/>
      <c r="C2234" s="1"/>
      <c r="D2234" s="1"/>
      <c r="E2234" s="1"/>
      <c r="F2234" s="59"/>
      <c r="G2234" s="32"/>
      <c r="H2234" s="32"/>
    </row>
    <row r="2235" spans="1:8" ht="15.75" hidden="1" customHeight="1">
      <c r="A2235" s="1"/>
      <c r="B2235" s="2"/>
      <c r="C2235" s="1"/>
      <c r="D2235" s="1"/>
      <c r="E2235" s="1"/>
      <c r="F2235" s="59"/>
      <c r="G2235" s="32"/>
      <c r="H2235" s="32"/>
    </row>
    <row r="2236" spans="1:8" ht="15.75" hidden="1" customHeight="1">
      <c r="A2236" s="1"/>
      <c r="B2236" s="2"/>
      <c r="C2236" s="1"/>
      <c r="D2236" s="1"/>
      <c r="E2236" s="1"/>
      <c r="F2236" s="59"/>
      <c r="G2236" s="32"/>
      <c r="H2236" s="32"/>
    </row>
    <row r="2237" spans="1:8" ht="15.75" hidden="1" customHeight="1">
      <c r="A2237" s="1"/>
      <c r="B2237" s="2"/>
      <c r="C2237" s="1"/>
      <c r="D2237" s="1"/>
      <c r="E2237" s="1"/>
      <c r="F2237" s="59"/>
      <c r="G2237" s="32"/>
      <c r="H2237" s="32"/>
    </row>
    <row r="2238" spans="1:8" ht="15.75" hidden="1" customHeight="1">
      <c r="A2238" s="1"/>
      <c r="B2238" s="2"/>
      <c r="C2238" s="1"/>
      <c r="D2238" s="1"/>
      <c r="E2238" s="1"/>
      <c r="F2238" s="59"/>
      <c r="G2238" s="32"/>
      <c r="H2238" s="32"/>
    </row>
    <row r="2239" spans="1:8" ht="15.75" hidden="1" customHeight="1">
      <c r="A2239" s="1"/>
      <c r="B2239" s="2"/>
      <c r="C2239" s="1"/>
      <c r="D2239" s="1"/>
      <c r="E2239" s="1"/>
      <c r="F2239" s="59"/>
      <c r="G2239" s="32"/>
      <c r="H2239" s="32"/>
    </row>
    <row r="2240" spans="1:8" ht="15.75" hidden="1" customHeight="1">
      <c r="A2240" s="1"/>
      <c r="B2240" s="2"/>
      <c r="C2240" s="1"/>
      <c r="D2240" s="1"/>
      <c r="E2240" s="1"/>
      <c r="F2240" s="59"/>
      <c r="G2240" s="32"/>
      <c r="H2240" s="32"/>
    </row>
    <row r="2241" spans="1:8" ht="15.75" hidden="1" customHeight="1">
      <c r="A2241" s="1"/>
      <c r="B2241" s="2"/>
      <c r="C2241" s="1"/>
      <c r="D2241" s="1"/>
      <c r="E2241" s="1"/>
      <c r="F2241" s="59"/>
      <c r="G2241" s="32"/>
      <c r="H2241" s="32"/>
    </row>
    <row r="2242" spans="1:8" ht="15.75" hidden="1" customHeight="1">
      <c r="A2242" s="1"/>
      <c r="B2242" s="2"/>
      <c r="C2242" s="1"/>
      <c r="D2242" s="1"/>
      <c r="E2242" s="1"/>
      <c r="F2242" s="59"/>
      <c r="G2242" s="32"/>
      <c r="H2242" s="32"/>
    </row>
    <row r="2243" spans="1:8" ht="15.75" hidden="1" customHeight="1">
      <c r="A2243" s="1"/>
      <c r="B2243" s="2"/>
      <c r="C2243" s="1"/>
      <c r="D2243" s="1"/>
      <c r="E2243" s="1"/>
      <c r="F2243" s="59"/>
      <c r="G2243" s="32"/>
      <c r="H2243" s="32"/>
    </row>
    <row r="2244" spans="1:8" ht="15.75" hidden="1" customHeight="1">
      <c r="A2244" s="1"/>
      <c r="B2244" s="2"/>
      <c r="C2244" s="1"/>
      <c r="D2244" s="1"/>
      <c r="E2244" s="1"/>
      <c r="F2244" s="59"/>
      <c r="G2244" s="32"/>
      <c r="H2244" s="32"/>
    </row>
    <row r="2245" spans="1:8" ht="15.75" hidden="1" customHeight="1">
      <c r="A2245" s="1"/>
      <c r="B2245" s="2"/>
      <c r="C2245" s="1"/>
      <c r="D2245" s="1"/>
      <c r="E2245" s="1"/>
      <c r="F2245" s="59"/>
      <c r="G2245" s="32"/>
      <c r="H2245" s="32"/>
    </row>
    <row r="2246" spans="1:8" ht="15.75" hidden="1" customHeight="1">
      <c r="A2246" s="1"/>
      <c r="B2246" s="2"/>
      <c r="C2246" s="1"/>
      <c r="D2246" s="1"/>
      <c r="E2246" s="1"/>
      <c r="F2246" s="59"/>
      <c r="G2246" s="32"/>
      <c r="H2246" s="32"/>
    </row>
    <row r="2247" spans="1:8" ht="15.75" hidden="1" customHeight="1">
      <c r="A2247" s="1"/>
      <c r="B2247" s="2"/>
      <c r="C2247" s="1"/>
      <c r="D2247" s="1"/>
      <c r="E2247" s="1"/>
      <c r="F2247" s="59"/>
      <c r="G2247" s="32"/>
      <c r="H2247" s="32"/>
    </row>
    <row r="2248" spans="1:8" ht="15.75" hidden="1" customHeight="1">
      <c r="A2248" s="1"/>
      <c r="B2248" s="2"/>
      <c r="C2248" s="1"/>
      <c r="D2248" s="1"/>
      <c r="E2248" s="1"/>
      <c r="F2248" s="59"/>
      <c r="G2248" s="32"/>
      <c r="H2248" s="32"/>
    </row>
    <row r="2249" spans="1:8" ht="15.75" hidden="1" customHeight="1">
      <c r="A2249" s="1"/>
      <c r="B2249" s="2"/>
      <c r="C2249" s="1"/>
      <c r="D2249" s="1"/>
      <c r="E2249" s="1"/>
      <c r="F2249" s="59"/>
      <c r="G2249" s="32"/>
      <c r="H2249" s="32"/>
    </row>
    <row r="2250" spans="1:8" ht="15.75" hidden="1" customHeight="1">
      <c r="A2250" s="1"/>
      <c r="B2250" s="2"/>
      <c r="C2250" s="1"/>
      <c r="D2250" s="1"/>
      <c r="E2250" s="1"/>
      <c r="F2250" s="59"/>
      <c r="G2250" s="32"/>
      <c r="H2250" s="32"/>
    </row>
    <row r="2251" spans="1:8" ht="15.75" hidden="1" customHeight="1">
      <c r="A2251" s="1"/>
      <c r="B2251" s="2"/>
      <c r="C2251" s="1"/>
      <c r="D2251" s="1"/>
      <c r="E2251" s="1"/>
      <c r="F2251" s="59"/>
      <c r="G2251" s="32"/>
      <c r="H2251" s="32"/>
    </row>
    <row r="2252" spans="1:8" ht="15.75" hidden="1" customHeight="1">
      <c r="A2252" s="1"/>
      <c r="B2252" s="2"/>
      <c r="C2252" s="1"/>
      <c r="D2252" s="1"/>
      <c r="E2252" s="1"/>
      <c r="F2252" s="59"/>
      <c r="G2252" s="32"/>
      <c r="H2252" s="32"/>
    </row>
    <row r="2253" spans="1:8" ht="15.75" hidden="1" customHeight="1">
      <c r="A2253" s="1"/>
      <c r="B2253" s="2"/>
      <c r="C2253" s="1"/>
      <c r="D2253" s="1"/>
      <c r="E2253" s="1"/>
      <c r="F2253" s="59"/>
      <c r="G2253" s="32"/>
      <c r="H2253" s="32"/>
    </row>
    <row r="2254" spans="1:8" ht="15.75" hidden="1" customHeight="1">
      <c r="A2254" s="1"/>
      <c r="B2254" s="2"/>
      <c r="C2254" s="1"/>
      <c r="D2254" s="1"/>
      <c r="E2254" s="1"/>
      <c r="F2254" s="59"/>
      <c r="G2254" s="32"/>
      <c r="H2254" s="32"/>
    </row>
    <row r="2255" spans="1:8" ht="15.75" hidden="1" customHeight="1">
      <c r="A2255" s="1"/>
      <c r="B2255" s="2"/>
      <c r="C2255" s="1"/>
      <c r="D2255" s="1"/>
      <c r="E2255" s="1"/>
      <c r="F2255" s="59"/>
      <c r="G2255" s="32"/>
      <c r="H2255" s="32"/>
    </row>
    <row r="2256" spans="1:8" ht="15.75" hidden="1" customHeight="1">
      <c r="A2256" s="1"/>
      <c r="B2256" s="2"/>
      <c r="C2256" s="1"/>
      <c r="D2256" s="1"/>
      <c r="E2256" s="1"/>
      <c r="F2256" s="59"/>
      <c r="G2256" s="32"/>
      <c r="H2256" s="32"/>
    </row>
    <row r="2257" spans="1:8" ht="15.75" hidden="1" customHeight="1">
      <c r="A2257" s="1"/>
      <c r="B2257" s="2"/>
      <c r="C2257" s="1"/>
      <c r="D2257" s="1"/>
      <c r="E2257" s="1"/>
      <c r="F2257" s="59"/>
      <c r="G2257" s="32"/>
      <c r="H2257" s="32"/>
    </row>
    <row r="2258" spans="1:8" ht="15.75" hidden="1" customHeight="1">
      <c r="A2258" s="1"/>
      <c r="B2258" s="2"/>
      <c r="C2258" s="1"/>
      <c r="D2258" s="1"/>
      <c r="E2258" s="1"/>
      <c r="F2258" s="59"/>
      <c r="G2258" s="32"/>
      <c r="H2258" s="32"/>
    </row>
    <row r="2259" spans="1:8" ht="15.75" hidden="1" customHeight="1">
      <c r="A2259" s="1"/>
      <c r="B2259" s="2"/>
      <c r="C2259" s="1"/>
      <c r="D2259" s="1"/>
      <c r="E2259" s="1"/>
      <c r="F2259" s="59"/>
      <c r="G2259" s="32"/>
      <c r="H2259" s="32"/>
    </row>
    <row r="2260" spans="1:8" ht="15.75" hidden="1" customHeight="1">
      <c r="A2260" s="1"/>
      <c r="B2260" s="2"/>
      <c r="C2260" s="1"/>
      <c r="D2260" s="1"/>
      <c r="E2260" s="1"/>
      <c r="F2260" s="59"/>
      <c r="G2260" s="32"/>
      <c r="H2260" s="32"/>
    </row>
    <row r="2261" spans="1:8" ht="15.75" hidden="1" customHeight="1">
      <c r="A2261" s="1"/>
      <c r="B2261" s="2"/>
      <c r="C2261" s="1"/>
      <c r="D2261" s="1"/>
      <c r="E2261" s="1"/>
      <c r="F2261" s="59"/>
      <c r="G2261" s="32"/>
      <c r="H2261" s="32"/>
    </row>
    <row r="2262" spans="1:8" ht="15.75" hidden="1" customHeight="1">
      <c r="A2262" s="1"/>
      <c r="B2262" s="2"/>
      <c r="C2262" s="1"/>
      <c r="D2262" s="1"/>
      <c r="E2262" s="1"/>
      <c r="F2262" s="59"/>
      <c r="G2262" s="32"/>
      <c r="H2262" s="32"/>
    </row>
    <row r="2263" spans="1:8" ht="15.75" hidden="1" customHeight="1">
      <c r="A2263" s="1"/>
      <c r="B2263" s="2"/>
      <c r="C2263" s="1"/>
      <c r="D2263" s="1"/>
      <c r="E2263" s="1"/>
      <c r="F2263" s="59"/>
      <c r="G2263" s="32"/>
      <c r="H2263" s="32"/>
    </row>
    <row r="2264" spans="1:8" ht="15.75" hidden="1" customHeight="1">
      <c r="A2264" s="1"/>
      <c r="B2264" s="2"/>
      <c r="C2264" s="1"/>
      <c r="D2264" s="1"/>
      <c r="E2264" s="1"/>
      <c r="F2264" s="59"/>
      <c r="G2264" s="32"/>
      <c r="H2264" s="32"/>
    </row>
    <row r="2265" spans="1:8" ht="15.75" hidden="1" customHeight="1">
      <c r="A2265" s="1"/>
      <c r="B2265" s="2"/>
      <c r="C2265" s="1"/>
      <c r="D2265" s="1"/>
      <c r="E2265" s="1"/>
      <c r="F2265" s="59"/>
      <c r="G2265" s="32"/>
      <c r="H2265" s="32"/>
    </row>
    <row r="2266" spans="1:8" ht="15.75" hidden="1" customHeight="1">
      <c r="A2266" s="1"/>
      <c r="B2266" s="2"/>
      <c r="C2266" s="1"/>
      <c r="D2266" s="1"/>
      <c r="E2266" s="1"/>
      <c r="F2266" s="59"/>
      <c r="G2266" s="32"/>
      <c r="H2266" s="32"/>
    </row>
    <row r="2267" spans="1:8" ht="15.75" hidden="1" customHeight="1">
      <c r="A2267" s="1"/>
      <c r="B2267" s="2"/>
      <c r="C2267" s="1"/>
      <c r="D2267" s="1"/>
      <c r="E2267" s="1"/>
      <c r="F2267" s="59"/>
      <c r="G2267" s="32"/>
      <c r="H2267" s="32"/>
    </row>
    <row r="2268" spans="1:8" ht="15.75" hidden="1" customHeight="1">
      <c r="A2268" s="1"/>
      <c r="B2268" s="2"/>
      <c r="C2268" s="1"/>
      <c r="D2268" s="1"/>
      <c r="E2268" s="1"/>
      <c r="F2268" s="59"/>
      <c r="G2268" s="32"/>
      <c r="H2268" s="32"/>
    </row>
    <row r="2269" spans="1:8" ht="15.75" hidden="1" customHeight="1">
      <c r="A2269" s="1"/>
      <c r="B2269" s="2"/>
      <c r="C2269" s="1"/>
      <c r="D2269" s="1"/>
      <c r="E2269" s="1"/>
      <c r="F2269" s="59"/>
      <c r="G2269" s="32"/>
      <c r="H2269" s="32"/>
    </row>
    <row r="2270" spans="1:8" ht="15.75" hidden="1" customHeight="1">
      <c r="A2270" s="1"/>
      <c r="B2270" s="2"/>
      <c r="C2270" s="1"/>
      <c r="D2270" s="1"/>
      <c r="E2270" s="1"/>
      <c r="F2270" s="59"/>
      <c r="G2270" s="32"/>
      <c r="H2270" s="32"/>
    </row>
    <row r="2271" spans="1:8" ht="15.75" hidden="1" customHeight="1">
      <c r="A2271" s="1"/>
      <c r="B2271" s="2"/>
      <c r="C2271" s="1"/>
      <c r="D2271" s="1"/>
      <c r="E2271" s="1"/>
      <c r="F2271" s="59"/>
      <c r="G2271" s="32"/>
      <c r="H2271" s="32"/>
    </row>
    <row r="2272" spans="1:8" ht="15.75" hidden="1" customHeight="1">
      <c r="A2272" s="1"/>
      <c r="B2272" s="2"/>
      <c r="C2272" s="1"/>
      <c r="D2272" s="1"/>
      <c r="E2272" s="1"/>
      <c r="F2272" s="59"/>
      <c r="G2272" s="32"/>
      <c r="H2272" s="32"/>
    </row>
    <row r="2273" spans="1:8" ht="15.75" hidden="1" customHeight="1">
      <c r="A2273" s="1"/>
      <c r="B2273" s="2"/>
      <c r="C2273" s="1"/>
      <c r="D2273" s="1"/>
      <c r="E2273" s="1"/>
      <c r="F2273" s="59"/>
      <c r="G2273" s="32"/>
      <c r="H2273" s="32"/>
    </row>
    <row r="2274" spans="1:8" ht="15.75" hidden="1" customHeight="1">
      <c r="A2274" s="1"/>
      <c r="B2274" s="2"/>
      <c r="C2274" s="1"/>
      <c r="D2274" s="1"/>
      <c r="E2274" s="1"/>
      <c r="F2274" s="59"/>
      <c r="G2274" s="32"/>
      <c r="H2274" s="32"/>
    </row>
    <row r="2275" spans="1:8" ht="15.75" hidden="1" customHeight="1">
      <c r="A2275" s="1"/>
      <c r="B2275" s="2"/>
      <c r="C2275" s="1"/>
      <c r="D2275" s="1"/>
      <c r="E2275" s="1"/>
      <c r="F2275" s="59"/>
      <c r="G2275" s="32"/>
      <c r="H2275" s="32"/>
    </row>
    <row r="2276" spans="1:8" ht="15.75" hidden="1" customHeight="1">
      <c r="A2276" s="1"/>
      <c r="B2276" s="2"/>
      <c r="C2276" s="1"/>
      <c r="D2276" s="1"/>
      <c r="E2276" s="1"/>
      <c r="F2276" s="59"/>
      <c r="G2276" s="32"/>
      <c r="H2276" s="32"/>
    </row>
    <row r="2277" spans="1:8" ht="15.75" hidden="1" customHeight="1">
      <c r="A2277" s="1"/>
      <c r="B2277" s="2"/>
      <c r="C2277" s="1"/>
      <c r="D2277" s="1"/>
      <c r="E2277" s="1"/>
      <c r="F2277" s="59"/>
      <c r="G2277" s="32"/>
      <c r="H2277" s="32"/>
    </row>
    <row r="2278" spans="1:8" ht="15.75" hidden="1" customHeight="1">
      <c r="A2278" s="1"/>
      <c r="B2278" s="2"/>
      <c r="C2278" s="1"/>
      <c r="D2278" s="1"/>
      <c r="E2278" s="1"/>
      <c r="F2278" s="59"/>
      <c r="G2278" s="32"/>
      <c r="H2278" s="32"/>
    </row>
    <row r="2279" spans="1:8" ht="15.75" hidden="1" customHeight="1">
      <c r="A2279" s="1"/>
      <c r="B2279" s="2"/>
      <c r="C2279" s="1"/>
      <c r="D2279" s="1"/>
      <c r="E2279" s="1"/>
      <c r="F2279" s="59"/>
      <c r="G2279" s="32"/>
      <c r="H2279" s="32"/>
    </row>
    <row r="2280" spans="1:8" ht="15.75" hidden="1" customHeight="1">
      <c r="A2280" s="1"/>
      <c r="B2280" s="2"/>
      <c r="C2280" s="1"/>
      <c r="D2280" s="1"/>
      <c r="E2280" s="1"/>
      <c r="F2280" s="59"/>
      <c r="G2280" s="32"/>
      <c r="H2280" s="32"/>
    </row>
    <row r="2281" spans="1:8" ht="15.75" hidden="1" customHeight="1">
      <c r="A2281" s="1"/>
      <c r="B2281" s="2"/>
      <c r="C2281" s="1"/>
      <c r="D2281" s="1"/>
      <c r="E2281" s="1"/>
      <c r="F2281" s="59"/>
      <c r="G2281" s="32"/>
      <c r="H2281" s="32"/>
    </row>
    <row r="2282" spans="1:8" ht="15.75" hidden="1" customHeight="1">
      <c r="A2282" s="1"/>
      <c r="B2282" s="2"/>
      <c r="C2282" s="1"/>
      <c r="D2282" s="1"/>
      <c r="E2282" s="1"/>
      <c r="F2282" s="59"/>
      <c r="G2282" s="32"/>
      <c r="H2282" s="32"/>
    </row>
    <row r="2283" spans="1:8" ht="15.75" hidden="1" customHeight="1">
      <c r="A2283" s="1"/>
      <c r="B2283" s="2"/>
      <c r="C2283" s="1"/>
      <c r="D2283" s="1"/>
      <c r="E2283" s="1"/>
      <c r="F2283" s="59"/>
      <c r="G2283" s="32"/>
      <c r="H2283" s="32"/>
    </row>
    <row r="2284" spans="1:8" ht="15.75" hidden="1" customHeight="1">
      <c r="A2284" s="1"/>
      <c r="B2284" s="2"/>
      <c r="C2284" s="1"/>
      <c r="D2284" s="1"/>
      <c r="E2284" s="1"/>
      <c r="F2284" s="59"/>
      <c r="G2284" s="32"/>
      <c r="H2284" s="32"/>
    </row>
    <row r="2285" spans="1:8" ht="15.75" hidden="1" customHeight="1">
      <c r="A2285" s="1"/>
      <c r="B2285" s="2"/>
      <c r="C2285" s="1"/>
      <c r="D2285" s="1"/>
      <c r="E2285" s="1"/>
      <c r="F2285" s="59"/>
      <c r="G2285" s="32"/>
      <c r="H2285" s="32"/>
    </row>
    <row r="2286" spans="1:8" ht="15.75" hidden="1" customHeight="1">
      <c r="A2286" s="1"/>
      <c r="B2286" s="2"/>
      <c r="C2286" s="1"/>
      <c r="D2286" s="1"/>
      <c r="E2286" s="1"/>
      <c r="F2286" s="59"/>
      <c r="G2286" s="32"/>
      <c r="H2286" s="32"/>
    </row>
    <row r="2287" spans="1:8" ht="15.75" hidden="1" customHeight="1">
      <c r="A2287" s="1"/>
      <c r="B2287" s="2"/>
      <c r="C2287" s="1"/>
      <c r="D2287" s="1"/>
      <c r="E2287" s="1"/>
      <c r="F2287" s="59"/>
      <c r="G2287" s="32"/>
      <c r="H2287" s="32"/>
    </row>
    <row r="2288" spans="1:8" ht="15.75" hidden="1" customHeight="1">
      <c r="A2288" s="1"/>
      <c r="B2288" s="2"/>
      <c r="C2288" s="1"/>
      <c r="D2288" s="1"/>
      <c r="E2288" s="1"/>
      <c r="F2288" s="59"/>
      <c r="G2288" s="32"/>
      <c r="H2288" s="32"/>
    </row>
    <row r="2289" spans="1:8" ht="15.75" hidden="1" customHeight="1">
      <c r="A2289" s="1"/>
      <c r="B2289" s="2"/>
      <c r="C2289" s="1"/>
      <c r="D2289" s="1"/>
      <c r="E2289" s="1"/>
      <c r="F2289" s="59"/>
      <c r="G2289" s="32"/>
      <c r="H2289" s="32"/>
    </row>
    <row r="2290" spans="1:8" ht="15.75" hidden="1" customHeight="1">
      <c r="A2290" s="1"/>
      <c r="B2290" s="2"/>
      <c r="C2290" s="1"/>
      <c r="D2290" s="1"/>
      <c r="E2290" s="1"/>
      <c r="F2290" s="59"/>
      <c r="G2290" s="32"/>
      <c r="H2290" s="32"/>
    </row>
    <row r="2291" spans="1:8" ht="15.75" hidden="1" customHeight="1">
      <c r="A2291" s="1"/>
      <c r="B2291" s="2"/>
      <c r="C2291" s="1"/>
      <c r="D2291" s="1"/>
      <c r="E2291" s="1"/>
      <c r="F2291" s="59"/>
      <c r="G2291" s="32"/>
      <c r="H2291" s="32"/>
    </row>
    <row r="2292" spans="1:8" ht="15.75" hidden="1" customHeight="1">
      <c r="A2292" s="1"/>
      <c r="B2292" s="2"/>
      <c r="C2292" s="1"/>
      <c r="D2292" s="1"/>
      <c r="E2292" s="1"/>
      <c r="F2292" s="59"/>
      <c r="G2292" s="32"/>
      <c r="H2292" s="32"/>
    </row>
    <row r="2293" spans="1:8" ht="15.75" hidden="1" customHeight="1">
      <c r="A2293" s="1"/>
      <c r="B2293" s="2"/>
      <c r="C2293" s="1"/>
      <c r="D2293" s="1"/>
      <c r="E2293" s="1"/>
      <c r="F2293" s="59"/>
      <c r="G2293" s="32"/>
      <c r="H2293" s="32"/>
    </row>
    <row r="2294" spans="1:8" ht="15.75" hidden="1" customHeight="1">
      <c r="A2294" s="1"/>
      <c r="B2294" s="2"/>
      <c r="C2294" s="1"/>
      <c r="D2294" s="1"/>
      <c r="E2294" s="1"/>
      <c r="F2294" s="59"/>
      <c r="G2294" s="32"/>
      <c r="H2294" s="32"/>
    </row>
    <row r="2295" spans="1:8" ht="15.75" hidden="1" customHeight="1">
      <c r="A2295" s="1"/>
      <c r="B2295" s="2"/>
      <c r="C2295" s="1"/>
      <c r="D2295" s="1"/>
      <c r="E2295" s="1"/>
      <c r="F2295" s="59"/>
      <c r="G2295" s="32"/>
      <c r="H2295" s="32"/>
    </row>
    <row r="2296" spans="1:8" ht="15.75" hidden="1" customHeight="1">
      <c r="A2296" s="1"/>
      <c r="B2296" s="2"/>
      <c r="C2296" s="1"/>
      <c r="D2296" s="1"/>
      <c r="E2296" s="1"/>
      <c r="F2296" s="59"/>
      <c r="G2296" s="32"/>
      <c r="H2296" s="32"/>
    </row>
    <row r="2297" spans="1:8" ht="15.75" hidden="1" customHeight="1">
      <c r="A2297" s="1"/>
      <c r="B2297" s="2"/>
      <c r="C2297" s="1"/>
      <c r="D2297" s="1"/>
      <c r="E2297" s="1"/>
      <c r="F2297" s="59"/>
      <c r="G2297" s="32"/>
      <c r="H2297" s="32"/>
    </row>
    <row r="2298" spans="1:8" ht="15.75" hidden="1" customHeight="1">
      <c r="A2298" s="1"/>
      <c r="B2298" s="2"/>
      <c r="C2298" s="1"/>
      <c r="D2298" s="1"/>
      <c r="E2298" s="1"/>
      <c r="F2298" s="59"/>
      <c r="G2298" s="32"/>
      <c r="H2298" s="32"/>
    </row>
    <row r="2299" spans="1:8" ht="15.75" hidden="1" customHeight="1">
      <c r="A2299" s="1"/>
      <c r="B2299" s="2"/>
      <c r="C2299" s="1"/>
      <c r="D2299" s="1"/>
      <c r="E2299" s="1"/>
      <c r="F2299" s="59"/>
      <c r="G2299" s="32"/>
      <c r="H2299" s="32"/>
    </row>
    <row r="2300" spans="1:8" ht="15.75" hidden="1" customHeight="1">
      <c r="A2300" s="1"/>
      <c r="B2300" s="2"/>
      <c r="C2300" s="1"/>
      <c r="D2300" s="1"/>
      <c r="E2300" s="1"/>
      <c r="F2300" s="59"/>
      <c r="G2300" s="32"/>
      <c r="H2300" s="32"/>
    </row>
    <row r="2301" spans="1:8" ht="15.75" hidden="1" customHeight="1">
      <c r="A2301" s="1"/>
      <c r="B2301" s="2"/>
      <c r="C2301" s="1"/>
      <c r="D2301" s="1"/>
      <c r="E2301" s="1"/>
      <c r="F2301" s="59"/>
      <c r="G2301" s="32"/>
      <c r="H2301" s="32"/>
    </row>
    <row r="2302" spans="1:8" ht="15.75" hidden="1" customHeight="1">
      <c r="A2302" s="1"/>
      <c r="B2302" s="2"/>
      <c r="C2302" s="1"/>
      <c r="D2302" s="1"/>
      <c r="E2302" s="1"/>
      <c r="F2302" s="59"/>
      <c r="G2302" s="32"/>
      <c r="H2302" s="32"/>
    </row>
    <row r="2303" spans="1:8" ht="15.75" hidden="1" customHeight="1">
      <c r="A2303" s="1"/>
      <c r="B2303" s="2"/>
      <c r="C2303" s="1"/>
      <c r="D2303" s="1"/>
      <c r="E2303" s="1"/>
      <c r="F2303" s="59"/>
      <c r="G2303" s="32"/>
      <c r="H2303" s="32"/>
    </row>
    <row r="2304" spans="1:8" ht="15.75" hidden="1" customHeight="1">
      <c r="A2304" s="1"/>
      <c r="B2304" s="2"/>
      <c r="C2304" s="1"/>
      <c r="D2304" s="1"/>
      <c r="E2304" s="1"/>
      <c r="F2304" s="59"/>
      <c r="G2304" s="32"/>
      <c r="H2304" s="32"/>
    </row>
    <row r="2305" spans="1:8" ht="15.75" hidden="1" customHeight="1">
      <c r="A2305" s="1"/>
      <c r="B2305" s="2"/>
      <c r="C2305" s="1"/>
      <c r="D2305" s="1"/>
      <c r="E2305" s="1"/>
      <c r="F2305" s="59"/>
      <c r="G2305" s="32"/>
      <c r="H2305" s="32"/>
    </row>
    <row r="2306" spans="1:8" ht="15.75" hidden="1" customHeight="1">
      <c r="A2306" s="1"/>
      <c r="B2306" s="2"/>
      <c r="C2306" s="1"/>
      <c r="D2306" s="1"/>
      <c r="E2306" s="1"/>
      <c r="F2306" s="59"/>
      <c r="G2306" s="32"/>
      <c r="H2306" s="32"/>
    </row>
    <row r="2307" spans="1:8" ht="15.75" hidden="1" customHeight="1">
      <c r="A2307" s="1"/>
      <c r="B2307" s="2"/>
      <c r="C2307" s="1"/>
      <c r="D2307" s="1"/>
      <c r="E2307" s="1"/>
      <c r="F2307" s="59"/>
      <c r="G2307" s="32"/>
      <c r="H2307" s="32"/>
    </row>
    <row r="2308" spans="1:8" ht="15.75" hidden="1" customHeight="1">
      <c r="A2308" s="1"/>
      <c r="B2308" s="2"/>
      <c r="C2308" s="1"/>
      <c r="D2308" s="1"/>
      <c r="E2308" s="1"/>
      <c r="F2308" s="59"/>
      <c r="G2308" s="32"/>
      <c r="H2308" s="32"/>
    </row>
    <row r="2309" spans="1:8" ht="15.75" hidden="1" customHeight="1">
      <c r="A2309" s="1"/>
      <c r="B2309" s="2"/>
      <c r="C2309" s="1"/>
      <c r="D2309" s="1"/>
      <c r="E2309" s="1"/>
      <c r="F2309" s="59"/>
      <c r="G2309" s="32"/>
      <c r="H2309" s="32"/>
    </row>
    <row r="2310" spans="1:8" ht="15.75" hidden="1" customHeight="1">
      <c r="A2310" s="1"/>
      <c r="B2310" s="2"/>
      <c r="C2310" s="1"/>
      <c r="D2310" s="1"/>
      <c r="E2310" s="1"/>
      <c r="F2310" s="59"/>
      <c r="G2310" s="32"/>
      <c r="H2310" s="32"/>
    </row>
    <row r="2311" spans="1:8" ht="15.75" hidden="1" customHeight="1">
      <c r="A2311" s="1"/>
      <c r="B2311" s="2"/>
      <c r="C2311" s="1"/>
      <c r="D2311" s="1"/>
      <c r="E2311" s="1"/>
      <c r="F2311" s="59"/>
      <c r="G2311" s="32"/>
      <c r="H2311" s="32"/>
    </row>
    <row r="2312" spans="1:8" ht="15.75" hidden="1" customHeight="1">
      <c r="A2312" s="1"/>
      <c r="B2312" s="2"/>
      <c r="C2312" s="1"/>
      <c r="D2312" s="1"/>
      <c r="E2312" s="1"/>
      <c r="F2312" s="59"/>
      <c r="G2312" s="32"/>
      <c r="H2312" s="32"/>
    </row>
    <row r="2313" spans="1:8" ht="15.75" hidden="1" customHeight="1">
      <c r="A2313" s="1"/>
      <c r="B2313" s="2"/>
      <c r="C2313" s="1"/>
      <c r="D2313" s="1"/>
      <c r="E2313" s="1"/>
      <c r="F2313" s="59"/>
      <c r="G2313" s="32"/>
      <c r="H2313" s="32"/>
    </row>
    <row r="2314" spans="1:8" ht="15.75" hidden="1" customHeight="1">
      <c r="A2314" s="1"/>
      <c r="B2314" s="2"/>
      <c r="C2314" s="1"/>
      <c r="D2314" s="1"/>
      <c r="E2314" s="1"/>
      <c r="F2314" s="59"/>
      <c r="G2314" s="32"/>
      <c r="H2314" s="32"/>
    </row>
    <row r="2315" spans="1:8" ht="15.75" hidden="1" customHeight="1">
      <c r="A2315" s="1"/>
      <c r="B2315" s="2"/>
      <c r="C2315" s="1"/>
      <c r="D2315" s="1"/>
      <c r="E2315" s="1"/>
      <c r="F2315" s="59"/>
      <c r="G2315" s="32"/>
      <c r="H2315" s="32"/>
    </row>
    <row r="2316" spans="1:8" ht="15.75" hidden="1" customHeight="1">
      <c r="A2316" s="1"/>
      <c r="B2316" s="2"/>
      <c r="C2316" s="1"/>
      <c r="D2316" s="1"/>
      <c r="E2316" s="1"/>
      <c r="F2316" s="59"/>
      <c r="G2316" s="32"/>
      <c r="H2316" s="32"/>
    </row>
    <row r="2317" spans="1:8" ht="15.75" hidden="1" customHeight="1">
      <c r="A2317" s="1"/>
      <c r="B2317" s="2"/>
      <c r="C2317" s="1"/>
      <c r="D2317" s="1"/>
      <c r="E2317" s="1"/>
      <c r="F2317" s="59"/>
      <c r="G2317" s="32"/>
      <c r="H2317" s="32"/>
    </row>
    <row r="2318" spans="1:8" ht="15.75" hidden="1" customHeight="1">
      <c r="A2318" s="1"/>
      <c r="B2318" s="2"/>
      <c r="C2318" s="1"/>
      <c r="D2318" s="1"/>
      <c r="E2318" s="1"/>
      <c r="F2318" s="59"/>
      <c r="G2318" s="32"/>
      <c r="H2318" s="32"/>
    </row>
    <row r="2319" spans="1:8" ht="15.75" hidden="1" customHeight="1">
      <c r="A2319" s="1"/>
      <c r="B2319" s="2"/>
      <c r="C2319" s="1"/>
      <c r="D2319" s="1"/>
      <c r="E2319" s="1"/>
      <c r="F2319" s="59"/>
      <c r="G2319" s="32"/>
      <c r="H2319" s="32"/>
    </row>
    <row r="2320" spans="1:8" ht="15.75" hidden="1" customHeight="1">
      <c r="A2320" s="1"/>
      <c r="B2320" s="2"/>
      <c r="C2320" s="1"/>
      <c r="D2320" s="1"/>
      <c r="E2320" s="1"/>
      <c r="F2320" s="59"/>
      <c r="G2320" s="32"/>
      <c r="H2320" s="32"/>
    </row>
    <row r="2321" spans="1:8" ht="15.75" hidden="1" customHeight="1">
      <c r="A2321" s="1"/>
      <c r="B2321" s="2"/>
      <c r="C2321" s="1"/>
      <c r="D2321" s="1"/>
      <c r="E2321" s="1"/>
      <c r="F2321" s="59"/>
      <c r="G2321" s="32"/>
      <c r="H2321" s="32"/>
    </row>
    <row r="2322" spans="1:8" ht="15.75" hidden="1" customHeight="1">
      <c r="A2322" s="1"/>
      <c r="B2322" s="2"/>
      <c r="C2322" s="1"/>
      <c r="D2322" s="1"/>
      <c r="E2322" s="1"/>
      <c r="F2322" s="59"/>
      <c r="G2322" s="32"/>
      <c r="H2322" s="32"/>
    </row>
    <row r="2323" spans="1:8" ht="15.75" hidden="1" customHeight="1">
      <c r="A2323" s="1"/>
      <c r="B2323" s="2"/>
      <c r="C2323" s="1"/>
      <c r="D2323" s="1"/>
      <c r="E2323" s="1"/>
      <c r="F2323" s="59"/>
      <c r="G2323" s="32"/>
      <c r="H2323" s="32"/>
    </row>
    <row r="2324" spans="1:8" ht="15.75" hidden="1" customHeight="1">
      <c r="A2324" s="1"/>
      <c r="B2324" s="2"/>
      <c r="C2324" s="1"/>
      <c r="D2324" s="1"/>
      <c r="E2324" s="1"/>
      <c r="F2324" s="59"/>
      <c r="G2324" s="32"/>
      <c r="H2324" s="32"/>
    </row>
    <row r="2325" spans="1:8" ht="15.75" hidden="1" customHeight="1">
      <c r="A2325" s="1"/>
      <c r="B2325" s="2"/>
      <c r="C2325" s="1"/>
      <c r="D2325" s="1"/>
      <c r="E2325" s="1"/>
      <c r="F2325" s="59"/>
      <c r="G2325" s="32"/>
      <c r="H2325" s="32"/>
    </row>
    <row r="2326" spans="1:8" ht="15.75" hidden="1" customHeight="1">
      <c r="A2326" s="1"/>
      <c r="B2326" s="2"/>
      <c r="C2326" s="1"/>
      <c r="D2326" s="1"/>
      <c r="E2326" s="1"/>
      <c r="F2326" s="59"/>
      <c r="G2326" s="32"/>
      <c r="H2326" s="32"/>
    </row>
    <row r="2327" spans="1:8" ht="15.75" hidden="1" customHeight="1">
      <c r="A2327" s="1"/>
      <c r="B2327" s="2"/>
      <c r="C2327" s="1"/>
      <c r="D2327" s="1"/>
      <c r="E2327" s="1"/>
      <c r="F2327" s="59"/>
      <c r="G2327" s="32"/>
      <c r="H2327" s="32"/>
    </row>
    <row r="2328" spans="1:8" ht="15.75" hidden="1" customHeight="1">
      <c r="A2328" s="1"/>
      <c r="B2328" s="2"/>
      <c r="C2328" s="1"/>
      <c r="D2328" s="1"/>
      <c r="E2328" s="1"/>
      <c r="F2328" s="59"/>
      <c r="G2328" s="32"/>
      <c r="H2328" s="32"/>
    </row>
    <row r="2329" spans="1:8" ht="15.75" hidden="1" customHeight="1">
      <c r="A2329" s="1"/>
      <c r="B2329" s="2"/>
      <c r="C2329" s="1"/>
      <c r="D2329" s="1"/>
      <c r="E2329" s="1"/>
      <c r="F2329" s="59"/>
      <c r="G2329" s="32"/>
      <c r="H2329" s="32"/>
    </row>
    <row r="2330" spans="1:8" ht="15.75" hidden="1" customHeight="1">
      <c r="A2330" s="1"/>
      <c r="B2330" s="2"/>
      <c r="C2330" s="1"/>
      <c r="D2330" s="1"/>
      <c r="E2330" s="1"/>
      <c r="F2330" s="59"/>
      <c r="G2330" s="32"/>
      <c r="H2330" s="32"/>
    </row>
    <row r="2331" spans="1:8" ht="15.75" hidden="1" customHeight="1">
      <c r="A2331" s="1"/>
      <c r="B2331" s="2"/>
      <c r="C2331" s="1"/>
      <c r="D2331" s="1"/>
      <c r="E2331" s="1"/>
      <c r="F2331" s="59"/>
      <c r="G2331" s="32"/>
      <c r="H2331" s="32"/>
    </row>
    <row r="2332" spans="1:8" ht="15.75" hidden="1" customHeight="1">
      <c r="A2332" s="1"/>
      <c r="B2332" s="2"/>
      <c r="C2332" s="1"/>
      <c r="D2332" s="1"/>
      <c r="E2332" s="1"/>
      <c r="F2332" s="59"/>
      <c r="G2332" s="32"/>
      <c r="H2332" s="32"/>
    </row>
    <row r="2333" spans="1:8" ht="15.75" hidden="1" customHeight="1">
      <c r="A2333" s="1"/>
      <c r="B2333" s="2"/>
      <c r="C2333" s="1"/>
      <c r="D2333" s="1"/>
      <c r="E2333" s="1"/>
      <c r="F2333" s="59"/>
      <c r="G2333" s="32"/>
      <c r="H2333" s="32"/>
    </row>
    <row r="2334" spans="1:8" ht="15.75" hidden="1" customHeight="1">
      <c r="A2334" s="1"/>
      <c r="B2334" s="2"/>
      <c r="C2334" s="1"/>
      <c r="D2334" s="1"/>
      <c r="E2334" s="1"/>
      <c r="F2334" s="59"/>
      <c r="G2334" s="32"/>
      <c r="H2334" s="32"/>
    </row>
    <row r="2335" spans="1:8" ht="15.75" hidden="1" customHeight="1">
      <c r="A2335" s="1"/>
      <c r="B2335" s="2"/>
      <c r="C2335" s="1"/>
      <c r="D2335" s="1"/>
      <c r="E2335" s="1"/>
      <c r="F2335" s="59"/>
      <c r="G2335" s="32"/>
      <c r="H2335" s="32"/>
    </row>
    <row r="2336" spans="1:8" ht="15.75" hidden="1" customHeight="1">
      <c r="A2336" s="1"/>
      <c r="B2336" s="2"/>
      <c r="C2336" s="1"/>
      <c r="D2336" s="1"/>
      <c r="E2336" s="1"/>
      <c r="F2336" s="59"/>
      <c r="G2336" s="32"/>
      <c r="H2336" s="32"/>
    </row>
    <row r="2337" spans="1:8" ht="15.75" hidden="1" customHeight="1">
      <c r="A2337" s="1"/>
      <c r="B2337" s="2"/>
      <c r="C2337" s="1"/>
      <c r="D2337" s="1"/>
      <c r="E2337" s="1"/>
      <c r="F2337" s="59"/>
      <c r="G2337" s="32"/>
      <c r="H2337" s="32"/>
    </row>
    <row r="2338" spans="1:8" ht="15.75" hidden="1" customHeight="1">
      <c r="A2338" s="1"/>
      <c r="B2338" s="2"/>
      <c r="C2338" s="1"/>
      <c r="D2338" s="1"/>
      <c r="E2338" s="1"/>
      <c r="F2338" s="59"/>
      <c r="G2338" s="32"/>
      <c r="H2338" s="32"/>
    </row>
    <row r="2339" spans="1:8" ht="15.75" hidden="1" customHeight="1">
      <c r="A2339" s="1"/>
      <c r="B2339" s="2"/>
      <c r="C2339" s="1"/>
      <c r="D2339" s="1"/>
      <c r="E2339" s="1"/>
      <c r="F2339" s="59"/>
      <c r="G2339" s="32"/>
      <c r="H2339" s="32"/>
    </row>
    <row r="2340" spans="1:8" ht="15.75" hidden="1" customHeight="1">
      <c r="A2340" s="1"/>
      <c r="B2340" s="2"/>
      <c r="C2340" s="1"/>
      <c r="D2340" s="1"/>
      <c r="E2340" s="1"/>
      <c r="F2340" s="59"/>
      <c r="G2340" s="32"/>
      <c r="H2340" s="32"/>
    </row>
    <row r="2341" spans="1:8" ht="15.75" hidden="1" customHeight="1">
      <c r="A2341" s="1"/>
      <c r="B2341" s="2"/>
      <c r="C2341" s="1"/>
      <c r="D2341" s="1"/>
      <c r="E2341" s="1"/>
      <c r="F2341" s="59"/>
      <c r="G2341" s="32"/>
      <c r="H2341" s="32"/>
    </row>
    <row r="2342" spans="1:8" ht="15.75" hidden="1" customHeight="1">
      <c r="A2342" s="1"/>
      <c r="B2342" s="2"/>
      <c r="C2342" s="1"/>
      <c r="D2342" s="1"/>
      <c r="E2342" s="1"/>
      <c r="F2342" s="59"/>
      <c r="G2342" s="32"/>
      <c r="H2342" s="32"/>
    </row>
    <row r="2343" spans="1:8" ht="15.75" hidden="1" customHeight="1">
      <c r="A2343" s="1"/>
      <c r="B2343" s="2"/>
      <c r="C2343" s="1"/>
      <c r="D2343" s="1"/>
      <c r="E2343" s="1"/>
      <c r="F2343" s="59"/>
      <c r="G2343" s="32"/>
      <c r="H2343" s="32"/>
    </row>
    <row r="2344" spans="1:8" ht="15.75" hidden="1" customHeight="1">
      <c r="A2344" s="1"/>
      <c r="B2344" s="2"/>
      <c r="C2344" s="1"/>
      <c r="D2344" s="1"/>
      <c r="E2344" s="1"/>
      <c r="F2344" s="59"/>
      <c r="G2344" s="32"/>
      <c r="H2344" s="32"/>
    </row>
    <row r="2345" spans="1:8" ht="15.75" hidden="1" customHeight="1">
      <c r="A2345" s="1"/>
      <c r="B2345" s="2"/>
      <c r="C2345" s="1"/>
      <c r="D2345" s="1"/>
      <c r="E2345" s="1"/>
      <c r="F2345" s="59"/>
      <c r="G2345" s="32"/>
      <c r="H2345" s="32"/>
    </row>
    <row r="2346" spans="1:8" ht="15.75" hidden="1" customHeight="1">
      <c r="A2346" s="1"/>
      <c r="B2346" s="2"/>
      <c r="C2346" s="1"/>
      <c r="D2346" s="1"/>
      <c r="E2346" s="1"/>
      <c r="F2346" s="59"/>
      <c r="G2346" s="32"/>
      <c r="H2346" s="32"/>
    </row>
    <row r="2347" spans="1:8" ht="15.75" hidden="1" customHeight="1">
      <c r="A2347" s="1"/>
      <c r="B2347" s="2"/>
      <c r="C2347" s="1"/>
      <c r="D2347" s="1"/>
      <c r="E2347" s="1"/>
      <c r="F2347" s="59"/>
      <c r="G2347" s="32"/>
      <c r="H2347" s="32"/>
    </row>
    <row r="2348" spans="1:8" ht="15.75" hidden="1" customHeight="1">
      <c r="A2348" s="1"/>
      <c r="B2348" s="2"/>
      <c r="C2348" s="1"/>
      <c r="D2348" s="1"/>
      <c r="E2348" s="1"/>
      <c r="F2348" s="59"/>
      <c r="G2348" s="32"/>
      <c r="H2348" s="32"/>
    </row>
    <row r="2349" spans="1:8" ht="15.75" hidden="1" customHeight="1">
      <c r="A2349" s="1"/>
      <c r="B2349" s="2"/>
      <c r="C2349" s="1"/>
      <c r="D2349" s="1"/>
      <c r="E2349" s="1"/>
      <c r="F2349" s="59"/>
      <c r="G2349" s="32"/>
      <c r="H2349" s="32"/>
    </row>
    <row r="2350" spans="1:8" ht="15.75" hidden="1" customHeight="1">
      <c r="A2350" s="1"/>
      <c r="B2350" s="2"/>
      <c r="C2350" s="1"/>
      <c r="D2350" s="1"/>
      <c r="E2350" s="1"/>
      <c r="F2350" s="59"/>
      <c r="G2350" s="32"/>
      <c r="H2350" s="32"/>
    </row>
    <row r="2351" spans="1:8" ht="15.75" hidden="1" customHeight="1">
      <c r="A2351" s="1"/>
      <c r="B2351" s="2"/>
      <c r="C2351" s="1"/>
      <c r="D2351" s="1"/>
      <c r="E2351" s="1"/>
      <c r="F2351" s="59"/>
      <c r="G2351" s="32"/>
      <c r="H2351" s="32"/>
    </row>
    <row r="2352" spans="1:8" ht="15.75" hidden="1" customHeight="1">
      <c r="A2352" s="1"/>
      <c r="B2352" s="2"/>
      <c r="C2352" s="1"/>
      <c r="D2352" s="1"/>
      <c r="E2352" s="1"/>
      <c r="F2352" s="59"/>
      <c r="G2352" s="32"/>
      <c r="H2352" s="32"/>
    </row>
    <row r="2353" spans="1:8" ht="15.75" hidden="1" customHeight="1">
      <c r="A2353" s="1"/>
      <c r="B2353" s="2"/>
      <c r="C2353" s="1"/>
      <c r="D2353" s="1"/>
      <c r="E2353" s="1"/>
      <c r="F2353" s="59"/>
      <c r="G2353" s="32"/>
      <c r="H2353" s="32"/>
    </row>
    <row r="2354" spans="1:8" ht="15.75" hidden="1" customHeight="1">
      <c r="A2354" s="1"/>
      <c r="B2354" s="2"/>
      <c r="C2354" s="1"/>
      <c r="D2354" s="1"/>
      <c r="E2354" s="1"/>
      <c r="F2354" s="59"/>
      <c r="G2354" s="32"/>
      <c r="H2354" s="32"/>
    </row>
    <row r="2355" spans="1:8" ht="15.75" hidden="1" customHeight="1">
      <c r="A2355" s="1"/>
      <c r="B2355" s="2"/>
      <c r="C2355" s="1"/>
      <c r="D2355" s="1"/>
      <c r="E2355" s="1"/>
      <c r="F2355" s="59"/>
      <c r="G2355" s="32"/>
      <c r="H2355" s="32"/>
    </row>
    <row r="2356" spans="1:8" ht="15.75" hidden="1" customHeight="1">
      <c r="A2356" s="1"/>
      <c r="B2356" s="2"/>
      <c r="C2356" s="1"/>
      <c r="D2356" s="1"/>
      <c r="E2356" s="1"/>
      <c r="F2356" s="59"/>
      <c r="G2356" s="32"/>
      <c r="H2356" s="32"/>
    </row>
    <row r="2357" spans="1:8" ht="15.75" hidden="1" customHeight="1">
      <c r="A2357" s="1"/>
      <c r="B2357" s="2"/>
      <c r="C2357" s="1"/>
      <c r="D2357" s="1"/>
      <c r="E2357" s="1"/>
      <c r="F2357" s="59"/>
      <c r="G2357" s="32"/>
      <c r="H2357" s="32"/>
    </row>
    <row r="2358" spans="1:8" ht="15.75" hidden="1" customHeight="1">
      <c r="A2358" s="1"/>
      <c r="B2358" s="2"/>
      <c r="C2358" s="1"/>
      <c r="D2358" s="1"/>
      <c r="E2358" s="1"/>
      <c r="F2358" s="59"/>
      <c r="G2358" s="32"/>
      <c r="H2358" s="32"/>
    </row>
    <row r="2359" spans="1:8" ht="15.75" hidden="1" customHeight="1">
      <c r="A2359" s="1"/>
      <c r="B2359" s="2"/>
      <c r="C2359" s="1"/>
      <c r="D2359" s="1"/>
      <c r="E2359" s="1"/>
      <c r="F2359" s="59"/>
      <c r="G2359" s="32"/>
      <c r="H2359" s="32"/>
    </row>
    <row r="2360" spans="1:8" ht="15.75" hidden="1" customHeight="1">
      <c r="A2360" s="1"/>
      <c r="B2360" s="2"/>
      <c r="C2360" s="1"/>
      <c r="D2360" s="1"/>
      <c r="E2360" s="1"/>
      <c r="F2360" s="59"/>
      <c r="G2360" s="32"/>
      <c r="H2360" s="32"/>
    </row>
    <row r="2361" spans="1:8" ht="15.75" hidden="1" customHeight="1">
      <c r="A2361" s="1"/>
      <c r="B2361" s="2"/>
      <c r="C2361" s="1"/>
      <c r="D2361" s="1"/>
      <c r="E2361" s="1"/>
      <c r="F2361" s="59"/>
      <c r="G2361" s="32"/>
      <c r="H2361" s="32"/>
    </row>
    <row r="2362" spans="1:8" ht="15.75" hidden="1" customHeight="1">
      <c r="A2362" s="1"/>
      <c r="B2362" s="2"/>
      <c r="C2362" s="1"/>
      <c r="D2362" s="1"/>
      <c r="E2362" s="1"/>
      <c r="F2362" s="59"/>
      <c r="G2362" s="32"/>
      <c r="H2362" s="32"/>
    </row>
    <row r="2363" spans="1:8" ht="15.75" hidden="1" customHeight="1">
      <c r="A2363" s="1"/>
      <c r="B2363" s="2"/>
      <c r="C2363" s="1"/>
      <c r="D2363" s="1"/>
      <c r="E2363" s="1"/>
      <c r="F2363" s="59"/>
      <c r="G2363" s="32"/>
      <c r="H2363" s="32"/>
    </row>
    <row r="2364" spans="1:8" ht="15.75" hidden="1" customHeight="1">
      <c r="A2364" s="1"/>
      <c r="B2364" s="2"/>
      <c r="C2364" s="1"/>
      <c r="D2364" s="1"/>
      <c r="E2364" s="1"/>
      <c r="F2364" s="59"/>
      <c r="G2364" s="32"/>
      <c r="H2364" s="32"/>
    </row>
    <row r="2365" spans="1:8" ht="15.75" hidden="1" customHeight="1">
      <c r="A2365" s="1"/>
      <c r="B2365" s="2"/>
      <c r="C2365" s="1"/>
      <c r="D2365" s="1"/>
      <c r="E2365" s="1"/>
      <c r="F2365" s="59"/>
      <c r="G2365" s="32"/>
      <c r="H2365" s="32"/>
    </row>
    <row r="2366" spans="1:8" ht="15.75" hidden="1" customHeight="1">
      <c r="A2366" s="1"/>
      <c r="B2366" s="2"/>
      <c r="C2366" s="1"/>
      <c r="D2366" s="1"/>
      <c r="E2366" s="1"/>
      <c r="F2366" s="59"/>
      <c r="G2366" s="32"/>
      <c r="H2366" s="32"/>
    </row>
    <row r="2367" spans="1:8" ht="15.75" hidden="1" customHeight="1">
      <c r="A2367" s="1"/>
      <c r="B2367" s="2"/>
      <c r="C2367" s="1"/>
      <c r="D2367" s="1"/>
      <c r="E2367" s="1"/>
      <c r="F2367" s="59"/>
      <c r="G2367" s="32"/>
      <c r="H2367" s="32"/>
    </row>
    <row r="2368" spans="1:8" ht="15.75" hidden="1" customHeight="1">
      <c r="A2368" s="1"/>
      <c r="B2368" s="2"/>
      <c r="C2368" s="1"/>
      <c r="D2368" s="1"/>
      <c r="E2368" s="1"/>
      <c r="F2368" s="59"/>
      <c r="G2368" s="32"/>
      <c r="H2368" s="32"/>
    </row>
    <row r="2369" spans="1:8" ht="15.75" hidden="1" customHeight="1">
      <c r="A2369" s="1"/>
      <c r="B2369" s="2"/>
      <c r="C2369" s="1"/>
      <c r="D2369" s="1"/>
      <c r="E2369" s="1"/>
      <c r="F2369" s="59"/>
      <c r="G2369" s="32"/>
      <c r="H2369" s="32"/>
    </row>
    <row r="2370" spans="1:8" ht="15.75" hidden="1" customHeight="1">
      <c r="A2370" s="1"/>
      <c r="B2370" s="2"/>
      <c r="C2370" s="1"/>
      <c r="D2370" s="1"/>
      <c r="F2370" s="59"/>
      <c r="G2370" s="32"/>
      <c r="H2370" s="32"/>
    </row>
    <row r="2371" spans="1:8" ht="15.75" hidden="1" customHeight="1">
      <c r="A2371" s="1"/>
      <c r="B2371" s="2"/>
      <c r="C2371" s="1"/>
      <c r="D2371" s="1"/>
      <c r="E2371" s="1"/>
      <c r="F2371" s="59"/>
      <c r="G2371" s="32"/>
      <c r="H2371" s="32"/>
    </row>
    <row r="2372" spans="1:8" ht="15.75" hidden="1" customHeight="1">
      <c r="A2372" s="1"/>
      <c r="B2372" s="2"/>
      <c r="C2372" s="1"/>
      <c r="D2372" s="1"/>
      <c r="E2372" s="1"/>
      <c r="F2372" s="59"/>
      <c r="G2372" s="32"/>
      <c r="H2372" s="32"/>
    </row>
    <row r="2373" spans="1:8" ht="15.75" hidden="1" customHeight="1">
      <c r="A2373" s="1"/>
      <c r="B2373" s="2"/>
      <c r="C2373" s="1"/>
      <c r="D2373" s="1"/>
      <c r="E2373" s="1"/>
      <c r="F2373" s="59"/>
      <c r="G2373" s="32"/>
      <c r="H2373" s="32"/>
    </row>
    <row r="2374" spans="1:8" ht="15.75" hidden="1" customHeight="1">
      <c r="A2374" s="1"/>
      <c r="B2374" s="2"/>
      <c r="C2374" s="1"/>
      <c r="D2374" s="1"/>
      <c r="E2374" s="1"/>
      <c r="F2374" s="59"/>
      <c r="G2374" s="32"/>
      <c r="H2374" s="32"/>
    </row>
    <row r="2375" spans="1:8" ht="15.75" hidden="1" customHeight="1">
      <c r="A2375" s="1"/>
      <c r="B2375" s="2"/>
      <c r="C2375" s="1"/>
      <c r="D2375" s="1"/>
      <c r="E2375" s="1"/>
      <c r="F2375" s="59"/>
      <c r="G2375" s="32"/>
      <c r="H2375" s="32"/>
    </row>
    <row r="2376" spans="1:8" ht="15.75" hidden="1" customHeight="1">
      <c r="A2376" s="1"/>
      <c r="B2376" s="2"/>
      <c r="C2376" s="1"/>
      <c r="D2376" s="1"/>
      <c r="E2376" s="1"/>
      <c r="F2376" s="59"/>
      <c r="G2376" s="32"/>
      <c r="H2376" s="32"/>
    </row>
    <row r="2377" spans="1:8" ht="15.75" hidden="1" customHeight="1">
      <c r="A2377" s="1"/>
      <c r="B2377" s="2"/>
      <c r="C2377" s="1"/>
      <c r="D2377" s="1"/>
      <c r="E2377" s="1"/>
      <c r="F2377" s="59"/>
      <c r="G2377" s="32"/>
      <c r="H2377" s="32"/>
    </row>
    <row r="2378" spans="1:8" ht="15.75" hidden="1" customHeight="1">
      <c r="A2378" s="1"/>
      <c r="B2378" s="2"/>
      <c r="C2378" s="1"/>
      <c r="D2378" s="1"/>
      <c r="E2378" s="1"/>
      <c r="F2378" s="59"/>
      <c r="G2378" s="32"/>
      <c r="H2378" s="32"/>
    </row>
    <row r="2379" spans="1:8" ht="15.75" hidden="1" customHeight="1">
      <c r="A2379" s="1"/>
      <c r="B2379" s="2"/>
      <c r="C2379" s="1"/>
      <c r="D2379" s="1"/>
      <c r="E2379" s="1"/>
      <c r="F2379" s="59"/>
      <c r="G2379" s="32"/>
      <c r="H2379" s="32"/>
    </row>
    <row r="2380" spans="1:8" ht="15.75" hidden="1" customHeight="1">
      <c r="A2380" s="1"/>
      <c r="B2380" s="2"/>
      <c r="C2380" s="1"/>
      <c r="D2380" s="1"/>
      <c r="E2380" s="1"/>
      <c r="F2380" s="59"/>
      <c r="G2380" s="32"/>
      <c r="H2380" s="32"/>
    </row>
    <row r="2381" spans="1:8" ht="15.75" hidden="1" customHeight="1">
      <c r="A2381" s="1"/>
      <c r="B2381" s="2"/>
      <c r="C2381" s="1"/>
      <c r="D2381" s="1"/>
      <c r="E2381" s="1"/>
      <c r="F2381" s="59"/>
      <c r="G2381" s="32"/>
      <c r="H2381" s="32"/>
    </row>
    <row r="2382" spans="1:8" ht="15.75" hidden="1" customHeight="1">
      <c r="A2382" s="1"/>
      <c r="B2382" s="2"/>
      <c r="C2382" s="1"/>
      <c r="D2382" s="1"/>
      <c r="E2382" s="1"/>
      <c r="F2382" s="59"/>
      <c r="G2382" s="32"/>
      <c r="H2382" s="32"/>
    </row>
    <row r="2383" spans="1:8" ht="15.75" hidden="1" customHeight="1">
      <c r="A2383" s="1"/>
      <c r="B2383" s="2"/>
      <c r="C2383" s="1"/>
      <c r="D2383" s="1"/>
      <c r="E2383" s="1"/>
      <c r="F2383" s="59"/>
      <c r="G2383" s="32"/>
      <c r="H2383" s="32"/>
    </row>
    <row r="2384" spans="1:8" ht="15.75" hidden="1" customHeight="1">
      <c r="A2384" s="1"/>
      <c r="B2384" s="2"/>
      <c r="C2384" s="1"/>
      <c r="D2384" s="1"/>
      <c r="E2384" s="1"/>
      <c r="F2384" s="59"/>
      <c r="G2384" s="32"/>
      <c r="H2384" s="32"/>
    </row>
    <row r="2385" spans="1:8" ht="15.75" hidden="1" customHeight="1">
      <c r="A2385" s="1"/>
      <c r="B2385" s="2"/>
      <c r="C2385" s="1"/>
      <c r="D2385" s="1"/>
      <c r="E2385" s="1"/>
      <c r="F2385" s="59"/>
      <c r="G2385" s="32"/>
      <c r="H2385" s="32"/>
    </row>
    <row r="2386" spans="1:8" ht="15.75" hidden="1" customHeight="1">
      <c r="A2386" s="1"/>
      <c r="B2386" s="2"/>
      <c r="C2386" s="1"/>
      <c r="D2386" s="1"/>
      <c r="E2386" s="1"/>
      <c r="F2386" s="59"/>
      <c r="G2386" s="32"/>
      <c r="H2386" s="32"/>
    </row>
    <row r="2387" spans="1:8" ht="15.75" hidden="1" customHeight="1">
      <c r="A2387" s="1"/>
      <c r="B2387" s="2"/>
      <c r="C2387" s="1"/>
      <c r="D2387" s="1"/>
      <c r="E2387" s="1"/>
      <c r="F2387" s="59"/>
      <c r="G2387" s="32"/>
      <c r="H2387" s="32"/>
    </row>
    <row r="2388" spans="1:8" ht="15.75" hidden="1" customHeight="1">
      <c r="A2388" s="1"/>
      <c r="B2388" s="2"/>
      <c r="C2388" s="1"/>
      <c r="D2388" s="1"/>
      <c r="E2388" s="1"/>
      <c r="F2388" s="59"/>
      <c r="G2388" s="32"/>
      <c r="H2388" s="32"/>
    </row>
    <row r="2389" spans="1:8" ht="15.75" hidden="1" customHeight="1">
      <c r="A2389" s="1"/>
      <c r="B2389" s="2"/>
      <c r="C2389" s="1"/>
      <c r="D2389" s="1"/>
      <c r="E2389" s="1"/>
      <c r="F2389" s="59"/>
      <c r="G2389" s="32"/>
      <c r="H2389" s="32"/>
    </row>
    <row r="2390" spans="1:8" ht="15.75" hidden="1" customHeight="1">
      <c r="A2390" s="1"/>
      <c r="B2390" s="2"/>
      <c r="C2390" s="1"/>
      <c r="D2390" s="1"/>
      <c r="E2390" s="1"/>
      <c r="F2390" s="59"/>
      <c r="G2390" s="32"/>
      <c r="H2390" s="32"/>
    </row>
    <row r="2391" spans="1:8" ht="15.75" hidden="1" customHeight="1">
      <c r="A2391" s="1"/>
      <c r="B2391" s="2"/>
      <c r="C2391" s="1"/>
      <c r="D2391" s="1"/>
      <c r="E2391" s="1"/>
      <c r="F2391" s="59"/>
      <c r="G2391" s="32"/>
      <c r="H2391" s="32"/>
    </row>
    <row r="2392" spans="1:8" ht="15.75" hidden="1" customHeight="1">
      <c r="A2392" s="1"/>
      <c r="B2392" s="2"/>
      <c r="C2392" s="1"/>
      <c r="D2392" s="1"/>
      <c r="E2392" s="1"/>
      <c r="F2392" s="59"/>
      <c r="G2392" s="32"/>
      <c r="H2392" s="32"/>
    </row>
    <row r="2393" spans="1:8" ht="15.75" hidden="1" customHeight="1">
      <c r="A2393" s="1"/>
      <c r="B2393" s="2"/>
      <c r="C2393" s="1"/>
      <c r="D2393" s="1"/>
      <c r="E2393" s="1"/>
      <c r="F2393" s="59"/>
      <c r="G2393" s="32"/>
      <c r="H2393" s="32"/>
    </row>
    <row r="2394" spans="1:8" ht="15.75" hidden="1" customHeight="1">
      <c r="A2394" s="1"/>
      <c r="B2394" s="2"/>
      <c r="C2394" s="1"/>
      <c r="D2394" s="1"/>
      <c r="E2394" s="1"/>
      <c r="F2394" s="59"/>
      <c r="G2394" s="32"/>
      <c r="H2394" s="32"/>
    </row>
    <row r="2395" spans="1:8" ht="15.75" hidden="1" customHeight="1">
      <c r="A2395" s="1"/>
      <c r="B2395" s="2"/>
      <c r="C2395" s="1"/>
      <c r="D2395" s="1"/>
      <c r="F2395" s="59"/>
      <c r="G2395" s="32"/>
      <c r="H2395" s="32"/>
    </row>
    <row r="2396" spans="1:8" ht="15.75" hidden="1" customHeight="1">
      <c r="A2396" s="1"/>
      <c r="B2396" s="2"/>
      <c r="C2396" s="1"/>
      <c r="D2396" s="1"/>
      <c r="E2396" s="1"/>
      <c r="F2396" s="59"/>
      <c r="G2396" s="32"/>
      <c r="H2396" s="32"/>
    </row>
    <row r="2397" spans="1:8" ht="15.75" hidden="1" customHeight="1">
      <c r="A2397" s="1"/>
      <c r="B2397" s="2"/>
      <c r="C2397" s="1"/>
      <c r="D2397" s="1"/>
      <c r="E2397" s="1"/>
      <c r="F2397" s="59"/>
      <c r="G2397" s="32"/>
      <c r="H2397" s="32"/>
    </row>
    <row r="2398" spans="1:8" ht="15.75" hidden="1" customHeight="1">
      <c r="A2398" s="1"/>
      <c r="B2398" s="2"/>
      <c r="C2398" s="1"/>
      <c r="D2398" s="1"/>
      <c r="E2398" s="1"/>
      <c r="F2398" s="59"/>
      <c r="G2398" s="32"/>
      <c r="H2398" s="32"/>
    </row>
    <row r="2399" spans="1:8" ht="15.75" hidden="1" customHeight="1">
      <c r="A2399" s="1"/>
      <c r="B2399" s="2"/>
      <c r="C2399" s="1"/>
      <c r="D2399" s="1"/>
      <c r="E2399" s="1"/>
      <c r="F2399" s="59"/>
      <c r="G2399" s="32"/>
      <c r="H2399" s="32"/>
    </row>
    <row r="2400" spans="1:8" ht="15.75" hidden="1" customHeight="1">
      <c r="A2400" s="1"/>
      <c r="B2400" s="2"/>
      <c r="C2400" s="1"/>
      <c r="D2400" s="1"/>
      <c r="E2400" s="1"/>
      <c r="F2400" s="59"/>
      <c r="G2400" s="32"/>
      <c r="H2400" s="32"/>
    </row>
    <row r="2401" spans="1:8" ht="15.75" hidden="1" customHeight="1">
      <c r="A2401" s="1"/>
      <c r="B2401" s="2"/>
      <c r="C2401" s="1"/>
      <c r="D2401" s="1"/>
      <c r="E2401" s="1"/>
      <c r="F2401" s="59"/>
      <c r="G2401" s="32"/>
      <c r="H2401" s="32"/>
    </row>
    <row r="2402" spans="1:8" ht="15.75" hidden="1" customHeight="1">
      <c r="A2402" s="1"/>
      <c r="B2402" s="2"/>
      <c r="C2402" s="1"/>
      <c r="D2402" s="1"/>
      <c r="E2402" s="1"/>
      <c r="F2402" s="59"/>
      <c r="G2402" s="32"/>
      <c r="H2402" s="32"/>
    </row>
    <row r="2403" spans="1:8" ht="15.75" hidden="1" customHeight="1">
      <c r="A2403" s="1"/>
      <c r="B2403" s="2"/>
      <c r="C2403" s="1"/>
      <c r="D2403" s="1"/>
      <c r="E2403" s="1"/>
      <c r="F2403" s="59"/>
      <c r="G2403" s="32"/>
      <c r="H2403" s="32"/>
    </row>
    <row r="2404" spans="1:8" ht="15.75" hidden="1" customHeight="1">
      <c r="A2404" s="1"/>
      <c r="B2404" s="2"/>
      <c r="C2404" s="1"/>
      <c r="D2404" s="1"/>
      <c r="E2404" s="1"/>
      <c r="F2404" s="59"/>
      <c r="G2404" s="32"/>
      <c r="H2404" s="32"/>
    </row>
    <row r="2405" spans="1:8" ht="15.75" hidden="1" customHeight="1">
      <c r="A2405" s="1"/>
      <c r="B2405" s="2"/>
      <c r="C2405" s="1"/>
      <c r="D2405" s="1"/>
      <c r="E2405" s="1"/>
      <c r="F2405" s="59"/>
      <c r="G2405" s="32"/>
      <c r="H2405" s="32"/>
    </row>
    <row r="2406" spans="1:8" ht="15.75" hidden="1" customHeight="1">
      <c r="A2406" s="1"/>
      <c r="B2406" s="2"/>
      <c r="C2406" s="1"/>
      <c r="D2406" s="1"/>
      <c r="E2406" s="1"/>
      <c r="F2406" s="59"/>
      <c r="G2406" s="32"/>
      <c r="H2406" s="32"/>
    </row>
    <row r="2407" spans="1:8" ht="15.75" hidden="1" customHeight="1">
      <c r="A2407" s="1"/>
      <c r="B2407" s="2"/>
      <c r="C2407" s="1"/>
      <c r="D2407" s="1"/>
      <c r="E2407" s="1"/>
      <c r="F2407" s="59"/>
      <c r="G2407" s="32"/>
      <c r="H2407" s="32"/>
    </row>
    <row r="2408" spans="1:8" ht="15.75" hidden="1" customHeight="1">
      <c r="A2408" s="1"/>
      <c r="B2408" s="2"/>
      <c r="C2408" s="1"/>
      <c r="D2408" s="1"/>
      <c r="E2408" s="1"/>
      <c r="F2408" s="59"/>
      <c r="G2408" s="32"/>
      <c r="H2408" s="32"/>
    </row>
    <row r="2409" spans="1:8" ht="15.75" hidden="1" customHeight="1">
      <c r="A2409" s="1"/>
      <c r="B2409" s="2"/>
      <c r="C2409" s="1"/>
      <c r="D2409" s="1"/>
      <c r="E2409" s="1"/>
      <c r="F2409" s="59"/>
      <c r="G2409" s="32"/>
      <c r="H2409" s="32"/>
    </row>
    <row r="2410" spans="1:8" ht="15.75" hidden="1" customHeight="1">
      <c r="A2410" s="1"/>
      <c r="B2410" s="2"/>
      <c r="C2410" s="1"/>
      <c r="D2410" s="1"/>
      <c r="E2410" s="1"/>
      <c r="F2410" s="59"/>
      <c r="G2410" s="32"/>
      <c r="H2410" s="32"/>
    </row>
    <row r="2411" spans="1:8" ht="15.75" hidden="1" customHeight="1">
      <c r="A2411" s="1"/>
      <c r="B2411" s="2"/>
      <c r="C2411" s="1"/>
      <c r="D2411" s="1"/>
      <c r="E2411" s="1"/>
      <c r="F2411" s="59"/>
      <c r="G2411" s="32"/>
      <c r="H2411" s="32"/>
    </row>
    <row r="2412" spans="1:8" ht="15.75" hidden="1" customHeight="1">
      <c r="A2412" s="1"/>
      <c r="B2412" s="2"/>
      <c r="C2412" s="1"/>
      <c r="D2412" s="1"/>
      <c r="E2412" s="1"/>
      <c r="F2412" s="59"/>
      <c r="G2412" s="32"/>
      <c r="H2412" s="32"/>
    </row>
    <row r="2413" spans="1:8" ht="15.75" hidden="1" customHeight="1">
      <c r="A2413" s="1"/>
      <c r="B2413" s="2"/>
      <c r="C2413" s="1"/>
      <c r="D2413" s="1"/>
      <c r="E2413" s="1"/>
      <c r="F2413" s="59"/>
      <c r="G2413" s="32"/>
      <c r="H2413" s="32"/>
    </row>
    <row r="2414" spans="1:8" ht="15.75" hidden="1" customHeight="1">
      <c r="A2414" s="1"/>
      <c r="B2414" s="2"/>
      <c r="C2414" s="1"/>
      <c r="D2414" s="1"/>
      <c r="E2414" s="1"/>
      <c r="F2414" s="59"/>
      <c r="G2414" s="32"/>
      <c r="H2414" s="32"/>
    </row>
    <row r="2415" spans="1:8" ht="15.75" hidden="1" customHeight="1">
      <c r="A2415" s="1"/>
      <c r="B2415" s="2"/>
      <c r="C2415" s="1"/>
      <c r="D2415" s="1"/>
      <c r="E2415" s="1"/>
      <c r="F2415" s="59"/>
      <c r="G2415" s="32"/>
      <c r="H2415" s="32"/>
    </row>
    <row r="2416" spans="1:8" ht="15.75" hidden="1" customHeight="1">
      <c r="A2416" s="1"/>
      <c r="B2416" s="2"/>
      <c r="C2416" s="1"/>
      <c r="D2416" s="1"/>
      <c r="E2416" s="1"/>
      <c r="F2416" s="59"/>
      <c r="G2416" s="32"/>
      <c r="H2416" s="32"/>
    </row>
    <row r="2417" spans="1:8" ht="15.75" hidden="1" customHeight="1">
      <c r="A2417" s="1"/>
      <c r="B2417" s="2"/>
      <c r="C2417" s="1"/>
      <c r="D2417" s="1"/>
      <c r="E2417" s="1"/>
      <c r="F2417" s="59"/>
      <c r="G2417" s="32"/>
      <c r="H2417" s="32"/>
    </row>
    <row r="2418" spans="1:8" ht="15.75" hidden="1" customHeight="1">
      <c r="A2418" s="1"/>
      <c r="B2418" s="2"/>
      <c r="C2418" s="1"/>
      <c r="D2418" s="1"/>
      <c r="E2418" s="1"/>
      <c r="F2418" s="59"/>
      <c r="G2418" s="32"/>
      <c r="H2418" s="32"/>
    </row>
    <row r="2419" spans="1:8" ht="15.75" hidden="1" customHeight="1">
      <c r="A2419" s="1"/>
      <c r="B2419" s="2"/>
      <c r="C2419" s="1"/>
      <c r="D2419" s="1"/>
      <c r="E2419" s="1"/>
      <c r="F2419" s="59"/>
      <c r="G2419" s="32"/>
      <c r="H2419" s="32"/>
    </row>
    <row r="2420" spans="1:8" ht="15.75" hidden="1" customHeight="1">
      <c r="A2420" s="1"/>
      <c r="B2420" s="2"/>
      <c r="C2420" s="1"/>
      <c r="D2420" s="1"/>
      <c r="E2420" s="1"/>
      <c r="F2420" s="59"/>
      <c r="G2420" s="32"/>
      <c r="H2420" s="32"/>
    </row>
    <row r="2421" spans="1:8" ht="15.75" hidden="1" customHeight="1">
      <c r="A2421" s="1"/>
      <c r="B2421" s="2"/>
      <c r="C2421" s="1"/>
      <c r="D2421" s="1"/>
      <c r="E2421" s="1"/>
      <c r="F2421" s="59"/>
      <c r="G2421" s="32"/>
      <c r="H2421" s="32"/>
    </row>
    <row r="2422" spans="1:8" ht="15.75" hidden="1" customHeight="1">
      <c r="A2422" s="1"/>
      <c r="B2422" s="2"/>
      <c r="C2422" s="1"/>
      <c r="D2422" s="1"/>
      <c r="E2422" s="1"/>
      <c r="F2422" s="59"/>
      <c r="G2422" s="32"/>
      <c r="H2422" s="32"/>
    </row>
    <row r="2423" spans="1:8" ht="15.75" hidden="1" customHeight="1">
      <c r="A2423" s="1"/>
      <c r="B2423" s="2"/>
      <c r="C2423" s="1"/>
      <c r="D2423" s="1"/>
      <c r="E2423" s="1"/>
      <c r="F2423" s="59"/>
      <c r="G2423" s="32"/>
      <c r="H2423" s="32"/>
    </row>
    <row r="2424" spans="1:8" ht="15.75" hidden="1" customHeight="1">
      <c r="A2424" s="1"/>
      <c r="B2424" s="2"/>
      <c r="C2424" s="1"/>
      <c r="D2424" s="1"/>
      <c r="E2424" s="1"/>
      <c r="F2424" s="59"/>
      <c r="G2424" s="32"/>
      <c r="H2424" s="32"/>
    </row>
    <row r="2425" spans="1:8" ht="15.75" hidden="1" customHeight="1">
      <c r="A2425" s="1"/>
      <c r="B2425" s="2"/>
      <c r="C2425" s="1"/>
      <c r="D2425" s="1"/>
      <c r="E2425" s="1"/>
      <c r="F2425" s="59"/>
      <c r="G2425" s="32"/>
      <c r="H2425" s="32"/>
    </row>
    <row r="2426" spans="1:8" ht="15.75" hidden="1" customHeight="1">
      <c r="A2426" s="1"/>
      <c r="B2426" s="2"/>
      <c r="C2426" s="1"/>
      <c r="D2426" s="1"/>
      <c r="E2426" s="1"/>
      <c r="F2426" s="59"/>
      <c r="G2426" s="32"/>
      <c r="H2426" s="32"/>
    </row>
    <row r="2427" spans="1:8" ht="15.75" hidden="1" customHeight="1">
      <c r="A2427" s="1"/>
      <c r="B2427" s="2"/>
      <c r="C2427" s="1"/>
      <c r="D2427" s="1"/>
      <c r="E2427" s="1"/>
      <c r="F2427" s="59"/>
      <c r="G2427" s="32"/>
      <c r="H2427" s="32"/>
    </row>
    <row r="2428" spans="1:8" ht="15.75" hidden="1" customHeight="1">
      <c r="A2428" s="1"/>
      <c r="B2428" s="2"/>
      <c r="C2428" s="1"/>
      <c r="D2428" s="1"/>
      <c r="E2428" s="1"/>
      <c r="F2428" s="59"/>
      <c r="G2428" s="32"/>
      <c r="H2428" s="32"/>
    </row>
    <row r="2429" spans="1:8" ht="15.75" hidden="1" customHeight="1">
      <c r="A2429" s="1"/>
      <c r="B2429" s="2"/>
      <c r="C2429" s="1"/>
      <c r="D2429" s="1"/>
      <c r="E2429" s="1"/>
      <c r="F2429" s="59"/>
      <c r="G2429" s="32"/>
      <c r="H2429" s="32"/>
    </row>
    <row r="2430" spans="1:8" ht="15.75" hidden="1" customHeight="1">
      <c r="A2430" s="1"/>
      <c r="B2430" s="2"/>
      <c r="C2430" s="1"/>
      <c r="D2430" s="1"/>
      <c r="E2430" s="1"/>
      <c r="F2430" s="59"/>
      <c r="G2430" s="32"/>
      <c r="H2430" s="32"/>
    </row>
    <row r="2431" spans="1:8" ht="15.75" hidden="1" customHeight="1">
      <c r="A2431" s="1"/>
      <c r="B2431" s="2"/>
      <c r="C2431" s="1"/>
      <c r="D2431" s="1"/>
      <c r="E2431" s="1"/>
      <c r="F2431" s="59"/>
      <c r="G2431" s="32"/>
      <c r="H2431" s="32"/>
    </row>
    <row r="2432" spans="1:8" ht="15.75" hidden="1" customHeight="1">
      <c r="A2432" s="1"/>
      <c r="B2432" s="2"/>
      <c r="C2432" s="1"/>
      <c r="D2432" s="1"/>
      <c r="E2432" s="1"/>
      <c r="F2432" s="59"/>
      <c r="G2432" s="32"/>
      <c r="H2432" s="32"/>
    </row>
    <row r="2433" spans="1:8" ht="15.75" hidden="1" customHeight="1">
      <c r="A2433" s="1"/>
      <c r="B2433" s="2"/>
      <c r="C2433" s="1"/>
      <c r="D2433" s="1"/>
      <c r="E2433" s="1"/>
      <c r="F2433" s="59"/>
      <c r="G2433" s="32"/>
      <c r="H2433" s="32"/>
    </row>
    <row r="2434" spans="1:8" ht="15.75" hidden="1" customHeight="1">
      <c r="A2434" s="1"/>
      <c r="B2434" s="2"/>
      <c r="C2434" s="1"/>
      <c r="D2434" s="1"/>
      <c r="E2434" s="1"/>
      <c r="F2434" s="59"/>
      <c r="G2434" s="32"/>
      <c r="H2434" s="32"/>
    </row>
    <row r="2435" spans="1:8" ht="15.75" hidden="1" customHeight="1">
      <c r="A2435" s="1"/>
      <c r="B2435" s="2"/>
      <c r="C2435" s="1"/>
      <c r="D2435" s="1"/>
      <c r="E2435" s="1"/>
      <c r="F2435" s="59"/>
      <c r="G2435" s="32"/>
      <c r="H2435" s="32"/>
    </row>
    <row r="2436" spans="1:8" ht="15.75" hidden="1" customHeight="1">
      <c r="A2436" s="1"/>
      <c r="B2436" s="2"/>
      <c r="C2436" s="1"/>
      <c r="D2436" s="1"/>
      <c r="E2436" s="1"/>
      <c r="F2436" s="59"/>
      <c r="G2436" s="32"/>
      <c r="H2436" s="32"/>
    </row>
    <row r="2437" spans="1:8" ht="15.75" hidden="1" customHeight="1">
      <c r="A2437" s="1"/>
      <c r="B2437" s="2"/>
      <c r="C2437" s="1"/>
      <c r="D2437" s="1"/>
      <c r="E2437" s="1"/>
      <c r="F2437" s="59"/>
      <c r="G2437" s="32"/>
      <c r="H2437" s="32"/>
    </row>
    <row r="2438" spans="1:8" ht="15.75" hidden="1" customHeight="1">
      <c r="A2438" s="1"/>
      <c r="B2438" s="2"/>
      <c r="C2438" s="1"/>
      <c r="D2438" s="1"/>
      <c r="E2438" s="1"/>
      <c r="F2438" s="59"/>
      <c r="G2438" s="32"/>
      <c r="H2438" s="32"/>
    </row>
    <row r="2439" spans="1:8" ht="15.75" hidden="1" customHeight="1">
      <c r="A2439" s="1"/>
      <c r="B2439" s="2"/>
      <c r="C2439" s="1"/>
      <c r="D2439" s="1"/>
      <c r="E2439" s="1"/>
      <c r="F2439" s="59"/>
      <c r="G2439" s="32"/>
      <c r="H2439" s="32"/>
    </row>
    <row r="2440" spans="1:8" ht="15.75" hidden="1" customHeight="1">
      <c r="A2440" s="1"/>
      <c r="B2440" s="2"/>
      <c r="C2440" s="1"/>
      <c r="D2440" s="1"/>
      <c r="E2440" s="1"/>
      <c r="F2440" s="59"/>
      <c r="G2440" s="32"/>
      <c r="H2440" s="32"/>
    </row>
    <row r="2441" spans="1:8" ht="15.75" hidden="1" customHeight="1">
      <c r="A2441" s="1"/>
      <c r="B2441" s="2"/>
      <c r="C2441" s="1"/>
      <c r="D2441" s="1"/>
      <c r="E2441" s="1"/>
      <c r="F2441" s="59"/>
      <c r="G2441" s="32"/>
      <c r="H2441" s="32"/>
    </row>
    <row r="2442" spans="1:8" ht="15.75" hidden="1" customHeight="1">
      <c r="A2442" s="1"/>
      <c r="B2442" s="2"/>
      <c r="C2442" s="1"/>
      <c r="D2442" s="1"/>
      <c r="E2442" s="1"/>
      <c r="F2442" s="59"/>
      <c r="G2442" s="32"/>
      <c r="H2442" s="32"/>
    </row>
    <row r="2443" spans="1:8" ht="15.75" hidden="1" customHeight="1">
      <c r="A2443" s="1"/>
      <c r="B2443" s="2"/>
      <c r="C2443" s="1"/>
      <c r="D2443" s="1"/>
      <c r="E2443" s="1"/>
      <c r="F2443" s="59"/>
      <c r="G2443" s="32"/>
      <c r="H2443" s="32"/>
    </row>
    <row r="2444" spans="1:8" ht="15.75" hidden="1" customHeight="1">
      <c r="A2444" s="1"/>
      <c r="B2444" s="2"/>
      <c r="C2444" s="1"/>
      <c r="D2444" s="1"/>
      <c r="E2444" s="1"/>
      <c r="F2444" s="59"/>
      <c r="G2444" s="32"/>
      <c r="H2444" s="32"/>
    </row>
    <row r="2445" spans="1:8" ht="15.75" hidden="1" customHeight="1">
      <c r="A2445" s="1"/>
      <c r="B2445" s="2"/>
      <c r="C2445" s="1"/>
      <c r="D2445" s="1"/>
      <c r="E2445" s="1"/>
      <c r="F2445" s="59"/>
      <c r="G2445" s="32"/>
      <c r="H2445" s="32"/>
    </row>
    <row r="2446" spans="1:8" ht="15.75" hidden="1" customHeight="1">
      <c r="A2446" s="1"/>
      <c r="B2446" s="2"/>
      <c r="C2446" s="1"/>
      <c r="D2446" s="1"/>
      <c r="E2446" s="1"/>
      <c r="F2446" s="59"/>
      <c r="G2446" s="32"/>
      <c r="H2446" s="32"/>
    </row>
    <row r="2447" spans="1:8" ht="15.75" hidden="1" customHeight="1">
      <c r="A2447" s="1"/>
      <c r="B2447" s="2"/>
      <c r="C2447" s="1"/>
      <c r="D2447" s="1"/>
      <c r="E2447" s="1"/>
      <c r="F2447" s="59"/>
      <c r="G2447" s="32"/>
      <c r="H2447" s="32"/>
    </row>
    <row r="2448" spans="1:8" ht="15.75" hidden="1" customHeight="1">
      <c r="A2448" s="1"/>
      <c r="B2448" s="2"/>
      <c r="C2448" s="1"/>
      <c r="D2448" s="1"/>
      <c r="E2448" s="1"/>
      <c r="F2448" s="59"/>
      <c r="G2448" s="32"/>
      <c r="H2448" s="32"/>
    </row>
    <row r="2449" spans="1:8" ht="15.75" hidden="1" customHeight="1">
      <c r="A2449" s="1"/>
      <c r="B2449" s="2"/>
      <c r="C2449" s="1"/>
      <c r="D2449" s="1"/>
      <c r="E2449" s="1"/>
      <c r="F2449" s="59"/>
      <c r="G2449" s="32"/>
      <c r="H2449" s="32"/>
    </row>
    <row r="2450" spans="1:8" ht="15.75" hidden="1" customHeight="1">
      <c r="A2450" s="1"/>
      <c r="B2450" s="2"/>
      <c r="C2450" s="1"/>
      <c r="D2450" s="1"/>
      <c r="E2450" s="1"/>
      <c r="F2450" s="59"/>
      <c r="G2450" s="32"/>
      <c r="H2450" s="32"/>
    </row>
    <row r="2451" spans="1:8" ht="15.75" hidden="1" customHeight="1">
      <c r="A2451" s="1"/>
      <c r="B2451" s="2"/>
      <c r="C2451" s="1"/>
      <c r="D2451" s="1"/>
      <c r="E2451" s="1"/>
      <c r="F2451" s="59"/>
      <c r="G2451" s="32"/>
      <c r="H2451" s="32"/>
    </row>
    <row r="2452" spans="1:8" ht="15.75" hidden="1" customHeight="1">
      <c r="A2452" s="1"/>
      <c r="B2452" s="2"/>
      <c r="C2452" s="1"/>
      <c r="D2452" s="1"/>
      <c r="E2452" s="1"/>
      <c r="F2452" s="59"/>
      <c r="G2452" s="32"/>
      <c r="H2452" s="32"/>
    </row>
    <row r="2453" spans="1:8" ht="15.75" hidden="1" customHeight="1">
      <c r="A2453" s="1"/>
      <c r="B2453" s="2"/>
      <c r="C2453" s="1"/>
      <c r="D2453" s="1"/>
      <c r="E2453" s="1"/>
      <c r="F2453" s="59"/>
      <c r="G2453" s="32"/>
      <c r="H2453" s="32"/>
    </row>
    <row r="2454" spans="1:8" ht="15.75" hidden="1" customHeight="1">
      <c r="A2454" s="1"/>
      <c r="B2454" s="2"/>
      <c r="C2454" s="1"/>
      <c r="D2454" s="1"/>
      <c r="E2454" s="1"/>
      <c r="F2454" s="59"/>
      <c r="G2454" s="32"/>
      <c r="H2454" s="32"/>
    </row>
    <row r="2455" spans="1:8" ht="15.75" hidden="1" customHeight="1">
      <c r="A2455" s="1"/>
      <c r="B2455" s="2"/>
      <c r="C2455" s="1"/>
      <c r="D2455" s="1"/>
      <c r="E2455" s="1"/>
      <c r="F2455" s="59"/>
      <c r="G2455" s="32"/>
      <c r="H2455" s="32"/>
    </row>
    <row r="2456" spans="1:8" ht="15.75" hidden="1" customHeight="1">
      <c r="A2456" s="1"/>
      <c r="B2456" s="2"/>
      <c r="C2456" s="1"/>
      <c r="D2456" s="1"/>
      <c r="E2456" s="1"/>
      <c r="F2456" s="59"/>
      <c r="G2456" s="32"/>
      <c r="H2456" s="32"/>
    </row>
    <row r="2457" spans="1:8" ht="15.75" hidden="1" customHeight="1">
      <c r="A2457" s="1"/>
      <c r="B2457" s="2"/>
      <c r="C2457" s="1"/>
      <c r="D2457" s="1"/>
      <c r="E2457" s="1"/>
      <c r="F2457" s="59"/>
      <c r="G2457" s="32"/>
      <c r="H2457" s="32"/>
    </row>
    <row r="2458" spans="1:8" ht="15.75" hidden="1" customHeight="1">
      <c r="A2458" s="1"/>
      <c r="B2458" s="2"/>
      <c r="C2458" s="1"/>
      <c r="D2458" s="1"/>
      <c r="E2458" s="1"/>
      <c r="F2458" s="59"/>
      <c r="G2458" s="32"/>
      <c r="H2458" s="32"/>
    </row>
    <row r="2459" spans="1:8" ht="15.75" hidden="1" customHeight="1">
      <c r="A2459" s="1"/>
      <c r="B2459" s="2"/>
      <c r="C2459" s="1"/>
      <c r="D2459" s="1"/>
      <c r="E2459" s="1"/>
      <c r="F2459" s="59"/>
      <c r="G2459" s="32"/>
      <c r="H2459" s="32"/>
    </row>
    <row r="2460" spans="1:8" ht="15.75" hidden="1" customHeight="1">
      <c r="A2460" s="1"/>
      <c r="B2460" s="2"/>
      <c r="C2460" s="1"/>
      <c r="D2460" s="1"/>
      <c r="E2460" s="1"/>
      <c r="F2460" s="59"/>
      <c r="G2460" s="32"/>
      <c r="H2460" s="32"/>
    </row>
    <row r="2461" spans="1:8" ht="15.75" hidden="1" customHeight="1">
      <c r="A2461" s="1"/>
      <c r="B2461" s="2"/>
      <c r="C2461" s="1"/>
      <c r="D2461" s="1"/>
      <c r="E2461" s="1"/>
      <c r="F2461" s="59"/>
      <c r="G2461" s="32"/>
      <c r="H2461" s="32"/>
    </row>
    <row r="2462" spans="1:8" ht="15.75" hidden="1" customHeight="1">
      <c r="A2462" s="1"/>
      <c r="B2462" s="2"/>
      <c r="C2462" s="1"/>
      <c r="D2462" s="1"/>
      <c r="E2462" s="1"/>
      <c r="F2462" s="59"/>
      <c r="G2462" s="32"/>
      <c r="H2462" s="32"/>
    </row>
    <row r="2463" spans="1:8" ht="15.75" hidden="1" customHeight="1">
      <c r="A2463" s="1"/>
      <c r="B2463" s="2"/>
      <c r="C2463" s="1"/>
      <c r="D2463" s="1"/>
      <c r="E2463" s="1"/>
      <c r="F2463" s="59"/>
      <c r="G2463" s="32"/>
      <c r="H2463" s="32"/>
    </row>
    <row r="2464" spans="1:8" ht="15.75" hidden="1" customHeight="1">
      <c r="A2464" s="1"/>
      <c r="B2464" s="2"/>
      <c r="C2464" s="1"/>
      <c r="D2464" s="1"/>
      <c r="E2464" s="1"/>
      <c r="F2464" s="59"/>
      <c r="G2464" s="32"/>
      <c r="H2464" s="32"/>
    </row>
    <row r="2465" spans="1:8" ht="15.75" hidden="1" customHeight="1">
      <c r="A2465" s="1"/>
      <c r="B2465" s="2"/>
      <c r="C2465" s="1"/>
      <c r="D2465" s="1"/>
      <c r="E2465" s="1"/>
      <c r="F2465" s="59"/>
      <c r="G2465" s="32"/>
      <c r="H2465" s="32"/>
    </row>
    <row r="2466" spans="1:8" ht="15.75" hidden="1" customHeight="1">
      <c r="A2466" s="1"/>
      <c r="B2466" s="2"/>
      <c r="C2466" s="1"/>
      <c r="D2466" s="1"/>
      <c r="E2466" s="1"/>
      <c r="F2466" s="59"/>
      <c r="G2466" s="32"/>
      <c r="H2466" s="32"/>
    </row>
    <row r="2467" spans="1:8" ht="15.75" hidden="1" customHeight="1">
      <c r="A2467" s="1"/>
      <c r="B2467" s="2"/>
      <c r="C2467" s="1"/>
      <c r="D2467" s="1"/>
      <c r="E2467" s="1"/>
      <c r="F2467" s="59"/>
      <c r="G2467" s="32"/>
      <c r="H2467" s="32"/>
    </row>
    <row r="2468" spans="1:8" ht="15.75" hidden="1" customHeight="1">
      <c r="A2468" s="1"/>
      <c r="B2468" s="2"/>
      <c r="C2468" s="1"/>
      <c r="D2468" s="1"/>
      <c r="E2468" s="1"/>
      <c r="F2468" s="59"/>
      <c r="G2468" s="32"/>
      <c r="H2468" s="32"/>
    </row>
    <row r="2469" spans="1:8" ht="15.75" hidden="1" customHeight="1">
      <c r="A2469" s="1"/>
      <c r="B2469" s="2"/>
      <c r="C2469" s="1"/>
      <c r="D2469" s="1"/>
      <c r="E2469" s="1"/>
      <c r="F2469" s="59"/>
      <c r="G2469" s="32"/>
      <c r="H2469" s="32"/>
    </row>
    <row r="2470" spans="1:8" ht="15.75" hidden="1" customHeight="1">
      <c r="A2470" s="1"/>
      <c r="B2470" s="2"/>
      <c r="C2470" s="1"/>
      <c r="D2470" s="1"/>
      <c r="E2470" s="1"/>
      <c r="F2470" s="59"/>
      <c r="G2470" s="32"/>
      <c r="H2470" s="32"/>
    </row>
    <row r="2471" spans="1:8" ht="15.75" hidden="1" customHeight="1">
      <c r="A2471" s="1"/>
      <c r="B2471" s="2"/>
      <c r="C2471" s="1"/>
      <c r="D2471" s="1"/>
      <c r="E2471" s="1"/>
      <c r="F2471" s="59"/>
      <c r="G2471" s="32"/>
      <c r="H2471" s="32"/>
    </row>
    <row r="2472" spans="1:8" ht="15.75" hidden="1" customHeight="1">
      <c r="A2472" s="1"/>
      <c r="B2472" s="2"/>
      <c r="C2472" s="1"/>
      <c r="D2472" s="1"/>
      <c r="E2472" s="1"/>
      <c r="F2472" s="59"/>
      <c r="G2472" s="32"/>
      <c r="H2472" s="32"/>
    </row>
    <row r="2473" spans="1:8" ht="15.75" hidden="1" customHeight="1">
      <c r="A2473" s="1"/>
      <c r="B2473" s="2"/>
      <c r="C2473" s="1"/>
      <c r="D2473" s="1"/>
      <c r="E2473" s="1"/>
      <c r="F2473" s="59"/>
      <c r="G2473" s="32"/>
      <c r="H2473" s="32"/>
    </row>
    <row r="2474" spans="1:8" ht="15.75" hidden="1" customHeight="1">
      <c r="A2474" s="1"/>
      <c r="B2474" s="2"/>
      <c r="C2474" s="1"/>
      <c r="D2474" s="1"/>
      <c r="E2474" s="1"/>
      <c r="F2474" s="59"/>
      <c r="G2474" s="32"/>
      <c r="H2474" s="32"/>
    </row>
    <row r="2475" spans="1:8" ht="15.75" hidden="1" customHeight="1">
      <c r="A2475" s="1"/>
      <c r="B2475" s="2"/>
      <c r="C2475" s="1"/>
      <c r="D2475" s="1"/>
      <c r="E2475" s="1"/>
      <c r="F2475" s="59"/>
      <c r="G2475" s="32"/>
      <c r="H2475" s="32"/>
    </row>
    <row r="2476" spans="1:8" ht="15.75" hidden="1" customHeight="1">
      <c r="A2476" s="1"/>
      <c r="B2476" s="2"/>
      <c r="C2476" s="1"/>
      <c r="D2476" s="1"/>
      <c r="E2476" s="1"/>
      <c r="F2476" s="59"/>
      <c r="G2476" s="32"/>
      <c r="H2476" s="32"/>
    </row>
    <row r="2477" spans="1:8" ht="15.75" hidden="1" customHeight="1">
      <c r="A2477" s="1"/>
      <c r="B2477" s="2"/>
      <c r="C2477" s="1"/>
      <c r="D2477" s="1"/>
      <c r="E2477" s="1"/>
      <c r="F2477" s="59"/>
      <c r="G2477" s="32"/>
      <c r="H2477" s="32"/>
    </row>
    <row r="2478" spans="1:8" ht="15.75" hidden="1" customHeight="1">
      <c r="A2478" s="1"/>
      <c r="B2478" s="2"/>
      <c r="C2478" s="1"/>
      <c r="D2478" s="1"/>
      <c r="E2478" s="1"/>
      <c r="F2478" s="59"/>
      <c r="G2478" s="32"/>
      <c r="H2478" s="32"/>
    </row>
    <row r="2479" spans="1:8" ht="15.75" hidden="1" customHeight="1">
      <c r="A2479" s="1"/>
      <c r="B2479" s="2"/>
      <c r="C2479" s="1"/>
      <c r="D2479" s="1"/>
      <c r="E2479" s="1"/>
      <c r="F2479" s="59"/>
      <c r="G2479" s="32"/>
      <c r="H2479" s="32"/>
    </row>
    <row r="2480" spans="1:8" ht="15.75" hidden="1" customHeight="1">
      <c r="A2480" s="1"/>
      <c r="B2480" s="2"/>
      <c r="C2480" s="1"/>
      <c r="D2480" s="1"/>
      <c r="E2480" s="1"/>
      <c r="F2480" s="59"/>
      <c r="G2480" s="32"/>
      <c r="H2480" s="32"/>
    </row>
    <row r="2481" spans="1:8" ht="15.75" hidden="1" customHeight="1">
      <c r="A2481" s="1"/>
      <c r="B2481" s="2"/>
      <c r="C2481" s="1"/>
      <c r="D2481" s="1"/>
      <c r="E2481" s="1"/>
      <c r="F2481" s="59"/>
      <c r="G2481" s="32"/>
      <c r="H2481" s="32"/>
    </row>
    <row r="2482" spans="1:8" ht="15.75" hidden="1" customHeight="1">
      <c r="A2482" s="1"/>
      <c r="B2482" s="2"/>
      <c r="C2482" s="1"/>
      <c r="D2482" s="1"/>
      <c r="E2482" s="1"/>
      <c r="F2482" s="59"/>
      <c r="G2482" s="32"/>
      <c r="H2482" s="32"/>
    </row>
    <row r="2483" spans="1:8" ht="15.75" hidden="1" customHeight="1">
      <c r="A2483" s="1"/>
      <c r="B2483" s="2"/>
      <c r="C2483" s="1"/>
      <c r="D2483" s="1"/>
      <c r="E2483" s="1"/>
      <c r="F2483" s="59"/>
      <c r="G2483" s="32"/>
      <c r="H2483" s="32"/>
    </row>
    <row r="2484" spans="1:8" ht="15.75" hidden="1" customHeight="1">
      <c r="A2484" s="1"/>
      <c r="B2484" s="2"/>
      <c r="C2484" s="1"/>
      <c r="D2484" s="1"/>
      <c r="E2484" s="1"/>
      <c r="F2484" s="59"/>
      <c r="G2484" s="32"/>
      <c r="H2484" s="32"/>
    </row>
    <row r="2485" spans="1:8" ht="15.75" hidden="1" customHeight="1">
      <c r="A2485" s="1"/>
      <c r="B2485" s="2"/>
      <c r="C2485" s="1"/>
      <c r="D2485" s="1"/>
      <c r="E2485" s="1"/>
      <c r="F2485" s="59"/>
      <c r="G2485" s="32"/>
      <c r="H2485" s="32"/>
    </row>
    <row r="2486" spans="1:8" ht="15.75" hidden="1" customHeight="1">
      <c r="A2486" s="1"/>
      <c r="B2486" s="2"/>
      <c r="C2486" s="1"/>
      <c r="D2486" s="1"/>
      <c r="E2486" s="1"/>
      <c r="F2486" s="59"/>
      <c r="G2486" s="32"/>
      <c r="H2486" s="32"/>
    </row>
    <row r="2487" spans="1:8" ht="15.75" hidden="1" customHeight="1">
      <c r="A2487" s="1"/>
      <c r="B2487" s="2"/>
      <c r="C2487" s="1"/>
      <c r="D2487" s="1"/>
      <c r="E2487" s="1"/>
      <c r="F2487" s="59"/>
      <c r="G2487" s="32"/>
      <c r="H2487" s="32"/>
    </row>
    <row r="2488" spans="1:8" ht="15.75" hidden="1" customHeight="1">
      <c r="A2488" s="1"/>
      <c r="B2488" s="2"/>
      <c r="C2488" s="1"/>
      <c r="D2488" s="1"/>
      <c r="E2488" s="1"/>
      <c r="F2488" s="59"/>
      <c r="G2488" s="32"/>
      <c r="H2488" s="32"/>
    </row>
    <row r="2489" spans="1:8" ht="15.75" hidden="1" customHeight="1">
      <c r="A2489" s="1"/>
      <c r="B2489" s="2"/>
      <c r="C2489" s="1"/>
      <c r="D2489" s="1"/>
      <c r="E2489" s="1"/>
      <c r="F2489" s="59"/>
      <c r="G2489" s="32"/>
      <c r="H2489" s="32"/>
    </row>
    <row r="2490" spans="1:8" ht="15.75" hidden="1" customHeight="1">
      <c r="A2490" s="1"/>
      <c r="B2490" s="2"/>
      <c r="C2490" s="1"/>
      <c r="D2490" s="1"/>
      <c r="E2490" s="1"/>
      <c r="F2490" s="59"/>
      <c r="G2490" s="32"/>
      <c r="H2490" s="32"/>
    </row>
    <row r="2491" spans="1:8" ht="15.75" hidden="1" customHeight="1">
      <c r="A2491" s="1"/>
      <c r="B2491" s="2"/>
      <c r="C2491" s="1"/>
      <c r="D2491" s="1"/>
      <c r="E2491" s="1"/>
      <c r="F2491" s="59"/>
      <c r="G2491" s="32"/>
      <c r="H2491" s="32"/>
    </row>
    <row r="2492" spans="1:8" ht="15.75" hidden="1" customHeight="1">
      <c r="A2492" s="1"/>
      <c r="B2492" s="2"/>
      <c r="C2492" s="1"/>
      <c r="D2492" s="1"/>
      <c r="E2492" s="1"/>
      <c r="F2492" s="59"/>
      <c r="G2492" s="32"/>
      <c r="H2492" s="32"/>
    </row>
    <row r="2493" spans="1:8" ht="15.75" hidden="1" customHeight="1">
      <c r="A2493" s="1"/>
      <c r="B2493" s="2"/>
      <c r="C2493" s="1"/>
      <c r="D2493" s="1"/>
      <c r="E2493" s="1"/>
      <c r="F2493" s="59"/>
      <c r="G2493" s="32"/>
      <c r="H2493" s="32"/>
    </row>
    <row r="2494" spans="1:8" ht="15.75" hidden="1" customHeight="1">
      <c r="A2494" s="1"/>
      <c r="B2494" s="2"/>
      <c r="C2494" s="1"/>
      <c r="D2494" s="1"/>
      <c r="E2494" s="1"/>
      <c r="F2494" s="59"/>
      <c r="G2494" s="32"/>
      <c r="H2494" s="32"/>
    </row>
    <row r="2495" spans="1:8" ht="15.75" hidden="1" customHeight="1">
      <c r="A2495" s="1"/>
      <c r="B2495" s="2"/>
      <c r="C2495" s="1"/>
      <c r="D2495" s="1"/>
      <c r="E2495" s="1"/>
      <c r="F2495" s="59"/>
      <c r="G2495" s="32"/>
      <c r="H2495" s="32"/>
    </row>
    <row r="2496" spans="1:8" ht="15.75" hidden="1" customHeight="1">
      <c r="A2496" s="1"/>
      <c r="B2496" s="2"/>
      <c r="C2496" s="1"/>
      <c r="D2496" s="1"/>
      <c r="E2496" s="1"/>
      <c r="F2496" s="59"/>
      <c r="G2496" s="32"/>
      <c r="H2496" s="32"/>
    </row>
    <row r="2497" spans="1:8" ht="15.75" hidden="1" customHeight="1">
      <c r="A2497" s="1"/>
      <c r="B2497" s="2"/>
      <c r="C2497" s="1"/>
      <c r="D2497" s="1"/>
      <c r="E2497" s="1"/>
      <c r="F2497" s="59"/>
      <c r="G2497" s="32"/>
      <c r="H2497" s="32"/>
    </row>
    <row r="2498" spans="1:8" ht="15.75" hidden="1" customHeight="1">
      <c r="A2498" s="1"/>
      <c r="B2498" s="2"/>
      <c r="C2498" s="1"/>
      <c r="D2498" s="1"/>
      <c r="E2498" s="1"/>
      <c r="F2498" s="59"/>
      <c r="G2498" s="32"/>
      <c r="H2498" s="32"/>
    </row>
    <row r="2499" spans="1:8" ht="15.75" hidden="1" customHeight="1">
      <c r="A2499" s="1"/>
      <c r="B2499" s="2"/>
      <c r="C2499" s="1"/>
      <c r="D2499" s="1"/>
      <c r="E2499" s="1"/>
      <c r="F2499" s="59"/>
      <c r="G2499" s="32"/>
      <c r="H2499" s="32"/>
    </row>
    <row r="2500" spans="1:8" ht="15.75" hidden="1" customHeight="1">
      <c r="A2500" s="1"/>
      <c r="B2500" s="2"/>
      <c r="C2500" s="1"/>
      <c r="D2500" s="1"/>
      <c r="E2500" s="1"/>
      <c r="F2500" s="59"/>
      <c r="G2500" s="32"/>
      <c r="H2500" s="32"/>
    </row>
    <row r="2501" spans="1:8" ht="15.75" hidden="1" customHeight="1">
      <c r="A2501" s="1"/>
      <c r="B2501" s="2"/>
      <c r="C2501" s="1"/>
      <c r="D2501" s="1"/>
      <c r="E2501" s="1"/>
      <c r="F2501" s="59"/>
      <c r="G2501" s="32"/>
      <c r="H2501" s="32"/>
    </row>
    <row r="2502" spans="1:8" ht="15.75" hidden="1" customHeight="1">
      <c r="A2502" s="1"/>
      <c r="B2502" s="2"/>
      <c r="C2502" s="1"/>
      <c r="D2502" s="1"/>
      <c r="E2502" s="1"/>
      <c r="F2502" s="59"/>
      <c r="G2502" s="32"/>
      <c r="H2502" s="32"/>
    </row>
    <row r="2503" spans="1:8" ht="15.75" hidden="1" customHeight="1">
      <c r="A2503" s="1"/>
      <c r="B2503" s="2"/>
      <c r="C2503" s="1"/>
      <c r="D2503" s="1"/>
      <c r="E2503" s="1"/>
      <c r="F2503" s="59"/>
      <c r="G2503" s="32"/>
      <c r="H2503" s="32"/>
    </row>
    <row r="2504" spans="1:8" ht="15.75" hidden="1" customHeight="1">
      <c r="A2504" s="1"/>
      <c r="B2504" s="2"/>
      <c r="C2504" s="1"/>
      <c r="D2504" s="1"/>
      <c r="E2504" s="1"/>
      <c r="F2504" s="59"/>
      <c r="G2504" s="32"/>
      <c r="H2504" s="32"/>
    </row>
    <row r="2505" spans="1:8" ht="15.75" hidden="1" customHeight="1">
      <c r="A2505" s="1"/>
      <c r="B2505" s="2"/>
      <c r="C2505" s="1"/>
      <c r="D2505" s="1"/>
      <c r="E2505" s="1"/>
      <c r="F2505" s="59"/>
      <c r="G2505" s="32"/>
      <c r="H2505" s="32"/>
    </row>
    <row r="2506" spans="1:8" ht="15.75" hidden="1" customHeight="1">
      <c r="A2506" s="1"/>
      <c r="B2506" s="2"/>
      <c r="C2506" s="1"/>
      <c r="D2506" s="1"/>
      <c r="E2506" s="1"/>
      <c r="F2506" s="59"/>
      <c r="G2506" s="32"/>
      <c r="H2506" s="32"/>
    </row>
    <row r="2507" spans="1:8" ht="15.75" hidden="1" customHeight="1">
      <c r="A2507" s="1"/>
      <c r="B2507" s="2"/>
      <c r="C2507" s="1"/>
      <c r="D2507" s="1"/>
      <c r="E2507" s="1"/>
      <c r="F2507" s="59"/>
      <c r="G2507" s="32"/>
      <c r="H2507" s="32"/>
    </row>
    <row r="2508" spans="1:8" ht="15.75" hidden="1" customHeight="1">
      <c r="A2508" s="1"/>
      <c r="B2508" s="2"/>
      <c r="C2508" s="1"/>
      <c r="D2508" s="1"/>
      <c r="E2508" s="1"/>
      <c r="F2508" s="59"/>
      <c r="G2508" s="32"/>
      <c r="H2508" s="32"/>
    </row>
    <row r="2509" spans="1:8" ht="15.75" hidden="1" customHeight="1">
      <c r="A2509" s="1"/>
      <c r="B2509" s="2"/>
      <c r="C2509" s="1"/>
      <c r="D2509" s="1"/>
      <c r="E2509" s="1"/>
      <c r="F2509" s="59"/>
      <c r="G2509" s="32"/>
      <c r="H2509" s="32"/>
    </row>
    <row r="2510" spans="1:8" ht="15.75" hidden="1" customHeight="1">
      <c r="A2510" s="1"/>
      <c r="B2510" s="2"/>
      <c r="C2510" s="1"/>
      <c r="D2510" s="1"/>
      <c r="E2510" s="1"/>
      <c r="F2510" s="59"/>
      <c r="G2510" s="32"/>
      <c r="H2510" s="32"/>
    </row>
    <row r="2511" spans="1:8" ht="15.75" hidden="1" customHeight="1">
      <c r="A2511" s="1"/>
      <c r="B2511" s="2"/>
      <c r="C2511" s="1"/>
      <c r="D2511" s="1"/>
      <c r="E2511" s="1"/>
      <c r="F2511" s="59"/>
      <c r="G2511" s="32"/>
      <c r="H2511" s="32"/>
    </row>
    <row r="2512" spans="1:8" ht="15.75" hidden="1" customHeight="1">
      <c r="A2512" s="1"/>
      <c r="B2512" s="2"/>
      <c r="C2512" s="1"/>
      <c r="D2512" s="1"/>
      <c r="E2512" s="1"/>
      <c r="F2512" s="59"/>
      <c r="G2512" s="32"/>
      <c r="H2512" s="32"/>
    </row>
    <row r="2513" spans="1:8" ht="15.75" hidden="1" customHeight="1">
      <c r="A2513" s="1"/>
      <c r="B2513" s="2"/>
      <c r="C2513" s="1"/>
      <c r="D2513" s="1"/>
      <c r="E2513" s="1"/>
      <c r="F2513" s="59"/>
      <c r="G2513" s="32"/>
      <c r="H2513" s="32"/>
    </row>
    <row r="2514" spans="1:8" ht="15.75" hidden="1" customHeight="1">
      <c r="A2514" s="1"/>
      <c r="B2514" s="2"/>
      <c r="C2514" s="1"/>
      <c r="D2514" s="1"/>
      <c r="E2514" s="1"/>
      <c r="F2514" s="59"/>
      <c r="G2514" s="32"/>
      <c r="H2514" s="32"/>
    </row>
    <row r="2515" spans="1:8" ht="15.75" hidden="1" customHeight="1">
      <c r="A2515" s="1"/>
      <c r="B2515" s="2"/>
      <c r="C2515" s="1"/>
      <c r="D2515" s="1"/>
      <c r="E2515" s="1"/>
      <c r="F2515" s="59"/>
      <c r="G2515" s="32"/>
      <c r="H2515" s="32"/>
    </row>
    <row r="2516" spans="1:8" ht="15.75" hidden="1" customHeight="1">
      <c r="A2516" s="1"/>
      <c r="B2516" s="2"/>
      <c r="C2516" s="1"/>
      <c r="D2516" s="1"/>
      <c r="E2516" s="1"/>
      <c r="F2516" s="59"/>
      <c r="G2516" s="32"/>
      <c r="H2516" s="32"/>
    </row>
    <row r="2517" spans="1:8" ht="15.75" hidden="1" customHeight="1">
      <c r="A2517" s="1"/>
      <c r="B2517" s="2"/>
      <c r="C2517" s="1"/>
      <c r="D2517" s="1"/>
      <c r="E2517" s="1"/>
      <c r="F2517" s="59"/>
      <c r="G2517" s="32"/>
      <c r="H2517" s="32"/>
    </row>
    <row r="2518" spans="1:8" ht="15.75" hidden="1" customHeight="1">
      <c r="A2518" s="1"/>
      <c r="B2518" s="2"/>
      <c r="C2518" s="1"/>
      <c r="D2518" s="1"/>
      <c r="E2518" s="1"/>
      <c r="F2518" s="59"/>
      <c r="G2518" s="32"/>
      <c r="H2518" s="32"/>
    </row>
    <row r="2519" spans="1:8" ht="15.75" hidden="1" customHeight="1">
      <c r="A2519" s="1"/>
      <c r="B2519" s="2"/>
      <c r="C2519" s="1"/>
      <c r="D2519" s="1"/>
      <c r="E2519" s="1"/>
      <c r="F2519" s="59"/>
      <c r="G2519" s="32"/>
      <c r="H2519" s="32"/>
    </row>
    <row r="2520" spans="1:8" ht="15.75" hidden="1" customHeight="1">
      <c r="A2520" s="1"/>
      <c r="B2520" s="2"/>
      <c r="C2520" s="1"/>
      <c r="D2520" s="1"/>
      <c r="E2520" s="1"/>
      <c r="F2520" s="59"/>
      <c r="G2520" s="32"/>
      <c r="H2520" s="32"/>
    </row>
    <row r="2521" spans="1:8" ht="15.75" hidden="1" customHeight="1">
      <c r="A2521" s="1"/>
      <c r="B2521" s="2"/>
      <c r="C2521" s="1"/>
      <c r="D2521" s="1"/>
      <c r="E2521" s="1"/>
      <c r="F2521" s="59"/>
      <c r="G2521" s="32"/>
      <c r="H2521" s="32"/>
    </row>
    <row r="2522" spans="1:8" ht="15.75" hidden="1" customHeight="1">
      <c r="A2522" s="1"/>
      <c r="B2522" s="2"/>
      <c r="C2522" s="1"/>
      <c r="D2522" s="1"/>
      <c r="E2522" s="1"/>
      <c r="F2522" s="59"/>
      <c r="G2522" s="32"/>
      <c r="H2522" s="32"/>
    </row>
    <row r="2523" spans="1:8" ht="15.75" hidden="1" customHeight="1">
      <c r="A2523" s="1"/>
      <c r="B2523" s="2"/>
      <c r="C2523" s="1"/>
      <c r="D2523" s="1"/>
      <c r="E2523" s="1"/>
      <c r="F2523" s="59"/>
      <c r="G2523" s="32"/>
      <c r="H2523" s="32"/>
    </row>
    <row r="2524" spans="1:8" ht="15.75" hidden="1" customHeight="1">
      <c r="A2524" s="1"/>
      <c r="B2524" s="2"/>
      <c r="C2524" s="1"/>
      <c r="D2524" s="1"/>
      <c r="E2524" s="1"/>
      <c r="F2524" s="59"/>
      <c r="G2524" s="32"/>
      <c r="H2524" s="32"/>
    </row>
    <row r="2525" spans="1:8" ht="15.75" hidden="1" customHeight="1">
      <c r="A2525" s="1"/>
      <c r="B2525" s="2"/>
      <c r="C2525" s="1"/>
      <c r="D2525" s="1"/>
      <c r="E2525" s="1"/>
      <c r="F2525" s="59"/>
      <c r="G2525" s="32"/>
      <c r="H2525" s="32"/>
    </row>
    <row r="2526" spans="1:8" ht="15.75" hidden="1" customHeight="1">
      <c r="A2526" s="1"/>
      <c r="B2526" s="2"/>
      <c r="C2526" s="1"/>
      <c r="D2526" s="1"/>
      <c r="E2526" s="1"/>
      <c r="F2526" s="59"/>
      <c r="G2526" s="32"/>
      <c r="H2526" s="32"/>
    </row>
    <row r="2527" spans="1:8" ht="15.75" hidden="1" customHeight="1">
      <c r="A2527" s="1"/>
      <c r="B2527" s="2"/>
      <c r="C2527" s="1"/>
      <c r="D2527" s="1"/>
      <c r="E2527" s="1"/>
      <c r="F2527" s="59"/>
      <c r="G2527" s="32"/>
      <c r="H2527" s="32"/>
    </row>
    <row r="2528" spans="1:8" ht="15.75" hidden="1" customHeight="1">
      <c r="A2528" s="1"/>
      <c r="B2528" s="2"/>
      <c r="C2528" s="1"/>
      <c r="D2528" s="1"/>
      <c r="E2528" s="1"/>
      <c r="F2528" s="59"/>
      <c r="G2528" s="32"/>
      <c r="H2528" s="32"/>
    </row>
    <row r="2529" spans="1:8" ht="15.75" hidden="1" customHeight="1">
      <c r="A2529" s="1"/>
      <c r="B2529" s="2"/>
      <c r="C2529" s="1"/>
      <c r="D2529" s="1"/>
      <c r="E2529" s="1"/>
      <c r="F2529" s="59"/>
      <c r="G2529" s="32"/>
      <c r="H2529" s="32"/>
    </row>
    <row r="2530" spans="1:8" ht="15.75" hidden="1" customHeight="1">
      <c r="A2530" s="1"/>
      <c r="B2530" s="2"/>
      <c r="C2530" s="1"/>
      <c r="D2530" s="1"/>
      <c r="E2530" s="1"/>
      <c r="F2530" s="59"/>
      <c r="G2530" s="32"/>
      <c r="H2530" s="32"/>
    </row>
    <row r="2531" spans="1:8" ht="15.75" hidden="1" customHeight="1">
      <c r="A2531" s="1"/>
      <c r="B2531" s="2"/>
      <c r="C2531" s="1"/>
      <c r="D2531" s="1"/>
      <c r="E2531" s="1"/>
      <c r="F2531" s="59"/>
      <c r="G2531" s="32"/>
      <c r="H2531" s="32"/>
    </row>
    <row r="2532" spans="1:8" ht="15.75" hidden="1" customHeight="1">
      <c r="A2532" s="1"/>
      <c r="B2532" s="2"/>
      <c r="C2532" s="1"/>
      <c r="D2532" s="1"/>
      <c r="E2532" s="1"/>
      <c r="F2532" s="59"/>
      <c r="G2532" s="32"/>
      <c r="H2532" s="32"/>
    </row>
    <row r="2533" spans="1:8" ht="15.75" hidden="1" customHeight="1">
      <c r="A2533" s="1"/>
      <c r="B2533" s="2"/>
      <c r="C2533" s="1"/>
      <c r="D2533" s="1"/>
      <c r="E2533" s="1"/>
      <c r="F2533" s="59"/>
      <c r="G2533" s="32"/>
      <c r="H2533" s="32"/>
    </row>
    <row r="2534" spans="1:8" ht="15.75" hidden="1" customHeight="1">
      <c r="A2534" s="1"/>
      <c r="B2534" s="2"/>
      <c r="C2534" s="1"/>
      <c r="D2534" s="1"/>
      <c r="E2534" s="1"/>
      <c r="F2534" s="59"/>
      <c r="G2534" s="32"/>
      <c r="H2534" s="32"/>
    </row>
    <row r="2535" spans="1:8" ht="15.75" hidden="1" customHeight="1">
      <c r="A2535" s="1"/>
      <c r="B2535" s="2"/>
      <c r="C2535" s="1"/>
      <c r="D2535" s="1"/>
      <c r="E2535" s="1"/>
      <c r="F2535" s="59"/>
      <c r="G2535" s="32"/>
      <c r="H2535" s="32"/>
    </row>
    <row r="2536" spans="1:8" ht="15.75" hidden="1" customHeight="1">
      <c r="A2536" s="1"/>
      <c r="B2536" s="2"/>
      <c r="C2536" s="1"/>
      <c r="D2536" s="1"/>
      <c r="E2536" s="1"/>
      <c r="F2536" s="59"/>
      <c r="G2536" s="32"/>
      <c r="H2536" s="32"/>
    </row>
    <row r="2537" spans="1:8" ht="15.75" hidden="1" customHeight="1">
      <c r="A2537" s="1"/>
      <c r="B2537" s="2"/>
      <c r="C2537" s="1"/>
      <c r="D2537" s="1"/>
      <c r="E2537" s="1"/>
      <c r="F2537" s="59"/>
      <c r="G2537" s="32"/>
      <c r="H2537" s="32"/>
    </row>
    <row r="2538" spans="1:8" ht="15.75" hidden="1" customHeight="1">
      <c r="A2538" s="1"/>
      <c r="B2538" s="2"/>
      <c r="C2538" s="1"/>
      <c r="D2538" s="1"/>
      <c r="E2538" s="1"/>
      <c r="F2538" s="59"/>
      <c r="G2538" s="32"/>
      <c r="H2538" s="32"/>
    </row>
    <row r="2539" spans="1:8" ht="15.75" hidden="1" customHeight="1">
      <c r="A2539" s="1"/>
      <c r="B2539" s="2"/>
      <c r="C2539" s="1"/>
      <c r="D2539" s="1"/>
      <c r="E2539" s="1"/>
      <c r="F2539" s="59"/>
      <c r="G2539" s="32"/>
      <c r="H2539" s="32"/>
    </row>
    <row r="2540" spans="1:8" ht="15.75" hidden="1" customHeight="1">
      <c r="A2540" s="1"/>
      <c r="B2540" s="2"/>
      <c r="C2540" s="1"/>
      <c r="D2540" s="1"/>
      <c r="E2540" s="1"/>
      <c r="F2540" s="59"/>
      <c r="G2540" s="32"/>
      <c r="H2540" s="32"/>
    </row>
    <row r="2541" spans="1:8" ht="15.75" hidden="1" customHeight="1">
      <c r="A2541" s="1"/>
      <c r="B2541" s="2"/>
      <c r="C2541" s="1"/>
      <c r="D2541" s="1"/>
      <c r="E2541" s="1"/>
      <c r="F2541" s="59"/>
      <c r="G2541" s="32"/>
      <c r="H2541" s="32"/>
    </row>
    <row r="2542" spans="1:8" ht="15.75" hidden="1" customHeight="1">
      <c r="A2542" s="1"/>
      <c r="B2542" s="2"/>
      <c r="C2542" s="1"/>
      <c r="D2542" s="1"/>
      <c r="E2542" s="1"/>
      <c r="F2542" s="59"/>
      <c r="G2542" s="32"/>
      <c r="H2542" s="32"/>
    </row>
    <row r="2543" spans="1:8" ht="15.75" hidden="1" customHeight="1">
      <c r="A2543" s="1"/>
      <c r="B2543" s="2"/>
      <c r="C2543" s="1"/>
      <c r="D2543" s="1"/>
      <c r="E2543" s="1"/>
      <c r="F2543" s="59"/>
      <c r="G2543" s="32"/>
      <c r="H2543" s="32"/>
    </row>
    <row r="2544" spans="1:8" ht="15.75" hidden="1" customHeight="1">
      <c r="A2544" s="1"/>
      <c r="B2544" s="2"/>
      <c r="C2544" s="1"/>
      <c r="D2544" s="1"/>
      <c r="E2544" s="1"/>
      <c r="F2544" s="59"/>
      <c r="G2544" s="32"/>
      <c r="H2544" s="32"/>
    </row>
    <row r="2545" spans="1:8" ht="15.75" hidden="1" customHeight="1">
      <c r="A2545" s="1"/>
      <c r="B2545" s="2"/>
      <c r="C2545" s="1"/>
      <c r="D2545" s="1"/>
      <c r="E2545" s="1"/>
      <c r="F2545" s="59"/>
      <c r="G2545" s="32"/>
      <c r="H2545" s="32"/>
    </row>
    <row r="2546" spans="1:8" ht="15.75" hidden="1" customHeight="1">
      <c r="A2546" s="1"/>
      <c r="B2546" s="2"/>
      <c r="C2546" s="1"/>
      <c r="D2546" s="1"/>
      <c r="E2546" s="1"/>
      <c r="F2546" s="59"/>
      <c r="G2546" s="32"/>
      <c r="H2546" s="32"/>
    </row>
    <row r="2547" spans="1:8" ht="15.75" hidden="1" customHeight="1">
      <c r="A2547" s="1"/>
      <c r="B2547" s="2"/>
      <c r="C2547" s="1"/>
      <c r="D2547" s="1"/>
      <c r="E2547" s="1"/>
      <c r="F2547" s="59"/>
      <c r="G2547" s="32"/>
      <c r="H2547" s="32"/>
    </row>
    <row r="2548" spans="1:8" ht="15.75" hidden="1" customHeight="1">
      <c r="A2548" s="1"/>
      <c r="B2548" s="2"/>
      <c r="C2548" s="1"/>
      <c r="D2548" s="1"/>
      <c r="E2548" s="1"/>
      <c r="F2548" s="59"/>
      <c r="G2548" s="32"/>
      <c r="H2548" s="32"/>
    </row>
    <row r="2549" spans="1:8" ht="15.75" hidden="1" customHeight="1">
      <c r="A2549" s="1"/>
      <c r="B2549" s="2"/>
      <c r="C2549" s="1"/>
      <c r="D2549" s="1"/>
      <c r="E2549" s="1"/>
      <c r="F2549" s="59"/>
      <c r="G2549" s="32"/>
      <c r="H2549" s="32"/>
    </row>
    <row r="2550" spans="1:8" ht="15.75" hidden="1" customHeight="1">
      <c r="A2550" s="1"/>
      <c r="B2550" s="2"/>
      <c r="C2550" s="1"/>
      <c r="D2550" s="1"/>
      <c r="E2550" s="1"/>
      <c r="F2550" s="59"/>
      <c r="G2550" s="32"/>
      <c r="H2550" s="32"/>
    </row>
    <row r="2551" spans="1:8" ht="15.75" hidden="1" customHeight="1">
      <c r="A2551" s="1"/>
      <c r="B2551" s="2"/>
      <c r="C2551" s="1"/>
      <c r="D2551" s="1"/>
      <c r="E2551" s="1"/>
      <c r="F2551" s="59"/>
      <c r="G2551" s="32"/>
      <c r="H2551" s="32"/>
    </row>
    <row r="2552" spans="1:8" ht="15.75" hidden="1" customHeight="1">
      <c r="A2552" s="1"/>
      <c r="B2552" s="2"/>
      <c r="C2552" s="1"/>
      <c r="D2552" s="1"/>
      <c r="E2552" s="1"/>
      <c r="F2552" s="59"/>
      <c r="G2552" s="32"/>
      <c r="H2552" s="32"/>
    </row>
    <row r="2553" spans="1:8" ht="15.75" hidden="1" customHeight="1">
      <c r="A2553" s="1"/>
      <c r="B2553" s="2"/>
      <c r="C2553" s="1"/>
      <c r="D2553" s="1"/>
      <c r="E2553" s="1"/>
      <c r="F2553" s="59"/>
      <c r="G2553" s="32"/>
      <c r="H2553" s="32"/>
    </row>
    <row r="2554" spans="1:8" ht="15.75" hidden="1" customHeight="1">
      <c r="A2554" s="1"/>
      <c r="B2554" s="2"/>
      <c r="C2554" s="1"/>
      <c r="D2554" s="1"/>
      <c r="E2554" s="1"/>
      <c r="F2554" s="59"/>
      <c r="G2554" s="32"/>
      <c r="H2554" s="32"/>
    </row>
    <row r="2555" spans="1:8" ht="15.75" hidden="1" customHeight="1">
      <c r="A2555" s="1"/>
      <c r="B2555" s="2"/>
      <c r="C2555" s="1"/>
      <c r="D2555" s="1"/>
      <c r="E2555" s="1"/>
      <c r="F2555" s="59"/>
      <c r="G2555" s="32"/>
      <c r="H2555" s="32"/>
    </row>
    <row r="2556" spans="1:8" ht="15.75" hidden="1" customHeight="1">
      <c r="A2556" s="1"/>
      <c r="B2556" s="2"/>
      <c r="C2556" s="1"/>
      <c r="D2556" s="1"/>
      <c r="E2556" s="1"/>
      <c r="F2556" s="59"/>
      <c r="G2556" s="32"/>
      <c r="H2556" s="32"/>
    </row>
    <row r="2557" spans="1:8" ht="15.75" hidden="1" customHeight="1">
      <c r="A2557" s="1"/>
      <c r="B2557" s="2"/>
      <c r="C2557" s="1"/>
      <c r="D2557" s="1"/>
      <c r="E2557" s="1"/>
      <c r="F2557" s="59"/>
      <c r="G2557" s="32"/>
      <c r="H2557" s="32"/>
    </row>
    <row r="2558" spans="1:8" ht="15.75" hidden="1" customHeight="1">
      <c r="A2558" s="1"/>
      <c r="B2558" s="2"/>
      <c r="C2558" s="1"/>
      <c r="D2558" s="1"/>
      <c r="E2558" s="1"/>
      <c r="F2558" s="59"/>
      <c r="G2558" s="32"/>
      <c r="H2558" s="32"/>
    </row>
    <row r="2559" spans="1:8" ht="15.75" hidden="1" customHeight="1">
      <c r="A2559" s="1"/>
      <c r="B2559" s="2"/>
      <c r="C2559" s="1"/>
      <c r="D2559" s="1"/>
      <c r="E2559" s="1"/>
      <c r="F2559" s="59"/>
      <c r="G2559" s="32"/>
      <c r="H2559" s="32"/>
    </row>
    <row r="2560" spans="1:8" ht="15.75" hidden="1" customHeight="1">
      <c r="A2560" s="1"/>
      <c r="B2560" s="2"/>
      <c r="C2560" s="1"/>
      <c r="D2560" s="1"/>
      <c r="E2560" s="1"/>
      <c r="F2560" s="59"/>
      <c r="G2560" s="32"/>
      <c r="H2560" s="32"/>
    </row>
    <row r="2561" spans="1:8" ht="15.75" hidden="1" customHeight="1">
      <c r="A2561" s="1"/>
      <c r="B2561" s="2"/>
      <c r="C2561" s="1"/>
      <c r="D2561" s="1"/>
      <c r="E2561" s="1"/>
      <c r="F2561" s="59"/>
      <c r="G2561" s="32"/>
      <c r="H2561" s="32"/>
    </row>
    <row r="2562" spans="1:8" ht="15.75" hidden="1" customHeight="1">
      <c r="A2562" s="1"/>
      <c r="B2562" s="2"/>
      <c r="C2562" s="1"/>
      <c r="D2562" s="1"/>
      <c r="E2562" s="1"/>
      <c r="F2562" s="59"/>
      <c r="G2562" s="32"/>
      <c r="H2562" s="32"/>
    </row>
    <row r="2563" spans="1:8" ht="15.75" hidden="1" customHeight="1">
      <c r="A2563" s="1"/>
      <c r="B2563" s="2"/>
      <c r="C2563" s="1"/>
      <c r="D2563" s="1"/>
      <c r="E2563" s="1"/>
      <c r="F2563" s="59"/>
      <c r="G2563" s="32"/>
      <c r="H2563" s="32"/>
    </row>
    <row r="2564" spans="1:8" ht="15.75" hidden="1" customHeight="1">
      <c r="A2564" s="1"/>
      <c r="B2564" s="2"/>
      <c r="C2564" s="1"/>
      <c r="D2564" s="1"/>
      <c r="E2564" s="1"/>
      <c r="F2564" s="59"/>
      <c r="G2564" s="32"/>
      <c r="H2564" s="32"/>
    </row>
    <row r="2565" spans="1:8" ht="15.75" hidden="1" customHeight="1">
      <c r="A2565" s="1"/>
      <c r="B2565" s="2"/>
      <c r="C2565" s="1"/>
      <c r="D2565" s="1"/>
      <c r="E2565" s="1"/>
      <c r="F2565" s="59"/>
      <c r="G2565" s="32"/>
      <c r="H2565" s="32"/>
    </row>
    <row r="2566" spans="1:8" ht="15.75" hidden="1" customHeight="1">
      <c r="A2566" s="1"/>
      <c r="B2566" s="2"/>
      <c r="C2566" s="1"/>
      <c r="D2566" s="1"/>
      <c r="E2566" s="1"/>
      <c r="F2566" s="59"/>
      <c r="G2566" s="32"/>
      <c r="H2566" s="32"/>
    </row>
    <row r="2567" spans="1:8" ht="15.75" hidden="1" customHeight="1">
      <c r="A2567" s="1"/>
      <c r="B2567" s="2"/>
      <c r="C2567" s="1"/>
      <c r="D2567" s="1"/>
      <c r="E2567" s="1"/>
      <c r="F2567" s="59"/>
      <c r="G2567" s="32"/>
      <c r="H2567" s="32"/>
    </row>
    <row r="2568" spans="1:8" ht="15.75" hidden="1" customHeight="1">
      <c r="A2568" s="1"/>
      <c r="B2568" s="2"/>
      <c r="C2568" s="1"/>
      <c r="D2568" s="1"/>
      <c r="E2568" s="1"/>
      <c r="F2568" s="59"/>
      <c r="G2568" s="32"/>
      <c r="H2568" s="32"/>
    </row>
    <row r="2569" spans="1:8" ht="15.75" hidden="1" customHeight="1">
      <c r="A2569" s="1"/>
      <c r="B2569" s="2"/>
      <c r="C2569" s="1"/>
      <c r="D2569" s="1"/>
      <c r="E2569" s="1"/>
      <c r="F2569" s="59"/>
      <c r="G2569" s="32"/>
      <c r="H2569" s="32"/>
    </row>
    <row r="2570" spans="1:8" ht="15.75" hidden="1" customHeight="1">
      <c r="A2570" s="1"/>
      <c r="B2570" s="2"/>
      <c r="C2570" s="1"/>
      <c r="D2570" s="1"/>
      <c r="E2570" s="1"/>
      <c r="F2570" s="59"/>
      <c r="G2570" s="32"/>
      <c r="H2570" s="32"/>
    </row>
    <row r="2571" spans="1:8" ht="15.75" hidden="1" customHeight="1">
      <c r="A2571" s="1"/>
      <c r="B2571" s="2"/>
      <c r="C2571" s="1"/>
      <c r="D2571" s="1"/>
      <c r="E2571" s="1"/>
      <c r="F2571" s="59"/>
      <c r="G2571" s="32"/>
      <c r="H2571" s="32"/>
    </row>
    <row r="2572" spans="1:8" ht="15.75" hidden="1" customHeight="1">
      <c r="A2572" s="1"/>
      <c r="B2572" s="2"/>
      <c r="C2572" s="1"/>
      <c r="D2572" s="1"/>
      <c r="E2572" s="1"/>
      <c r="F2572" s="59"/>
      <c r="G2572" s="32"/>
      <c r="H2572" s="32"/>
    </row>
    <row r="2573" spans="1:8" ht="15.75" hidden="1" customHeight="1">
      <c r="A2573" s="1"/>
      <c r="B2573" s="2"/>
      <c r="C2573" s="1"/>
      <c r="D2573" s="1"/>
      <c r="E2573" s="1"/>
      <c r="F2573" s="59"/>
      <c r="G2573" s="32"/>
      <c r="H2573" s="32"/>
    </row>
    <row r="2574" spans="1:8" ht="15.75" hidden="1" customHeight="1">
      <c r="A2574" s="1"/>
      <c r="B2574" s="2"/>
      <c r="C2574" s="1"/>
      <c r="D2574" s="1"/>
      <c r="E2574" s="1"/>
      <c r="F2574" s="59"/>
      <c r="G2574" s="32"/>
      <c r="H2574" s="32"/>
    </row>
    <row r="2575" spans="1:8" ht="15.75" hidden="1" customHeight="1">
      <c r="A2575" s="1"/>
      <c r="B2575" s="2"/>
      <c r="C2575" s="1"/>
      <c r="D2575" s="1"/>
      <c r="E2575" s="1"/>
      <c r="F2575" s="59"/>
      <c r="G2575" s="32"/>
      <c r="H2575" s="32"/>
    </row>
    <row r="2576" spans="1:8" ht="15.75" hidden="1" customHeight="1">
      <c r="A2576" s="1"/>
      <c r="B2576" s="2"/>
      <c r="C2576" s="1"/>
      <c r="D2576" s="1"/>
      <c r="E2576" s="1"/>
      <c r="F2576" s="59"/>
      <c r="G2576" s="32"/>
      <c r="H2576" s="32"/>
    </row>
    <row r="2577" spans="1:8" ht="15.75" hidden="1" customHeight="1">
      <c r="A2577" s="1"/>
      <c r="B2577" s="2"/>
      <c r="C2577" s="1"/>
      <c r="D2577" s="1"/>
      <c r="E2577" s="1"/>
      <c r="F2577" s="59"/>
      <c r="G2577" s="32"/>
      <c r="H2577" s="32"/>
    </row>
    <row r="2578" spans="1:8" ht="15.75" hidden="1" customHeight="1">
      <c r="A2578" s="1"/>
      <c r="B2578" s="2"/>
      <c r="C2578" s="1"/>
      <c r="D2578" s="1"/>
      <c r="E2578" s="1"/>
      <c r="F2578" s="59"/>
      <c r="G2578" s="32"/>
      <c r="H2578" s="32"/>
    </row>
    <row r="2579" spans="1:8" ht="15.75" hidden="1" customHeight="1">
      <c r="A2579" s="1"/>
      <c r="B2579" s="2"/>
      <c r="C2579" s="1"/>
      <c r="D2579" s="1"/>
      <c r="E2579" s="1"/>
      <c r="F2579" s="59"/>
      <c r="G2579" s="32"/>
      <c r="H2579" s="32"/>
    </row>
    <row r="2580" spans="1:8" ht="15.75" hidden="1" customHeight="1">
      <c r="A2580" s="1"/>
      <c r="B2580" s="2"/>
      <c r="C2580" s="1"/>
      <c r="D2580" s="1"/>
      <c r="E2580" s="1"/>
      <c r="F2580" s="59"/>
      <c r="G2580" s="32"/>
      <c r="H2580" s="32"/>
    </row>
    <row r="2581" spans="1:8" ht="15.75" hidden="1" customHeight="1">
      <c r="A2581" s="1"/>
      <c r="B2581" s="2"/>
      <c r="C2581" s="1"/>
      <c r="D2581" s="1"/>
      <c r="E2581" s="1"/>
      <c r="F2581" s="59"/>
      <c r="G2581" s="32"/>
      <c r="H2581" s="32"/>
    </row>
    <row r="2582" spans="1:8" ht="15.75" hidden="1" customHeight="1">
      <c r="A2582" s="1"/>
      <c r="B2582" s="2"/>
      <c r="C2582" s="1"/>
      <c r="D2582" s="1"/>
      <c r="E2582" s="1"/>
      <c r="F2582" s="59"/>
      <c r="G2582" s="32"/>
      <c r="H2582" s="32"/>
    </row>
    <row r="2583" spans="1:8" ht="15.75" hidden="1" customHeight="1">
      <c r="A2583" s="1"/>
      <c r="B2583" s="2"/>
      <c r="C2583" s="1"/>
      <c r="D2583" s="1"/>
      <c r="E2583" s="1"/>
      <c r="F2583" s="59"/>
      <c r="G2583" s="32"/>
      <c r="H2583" s="32"/>
    </row>
    <row r="2584" spans="1:8" ht="15.75" hidden="1" customHeight="1">
      <c r="A2584" s="1"/>
      <c r="B2584" s="2"/>
      <c r="C2584" s="1"/>
      <c r="D2584" s="1"/>
      <c r="E2584" s="1"/>
      <c r="F2584" s="59"/>
      <c r="G2584" s="32"/>
      <c r="H2584" s="32"/>
    </row>
    <row r="2585" spans="1:8" ht="15.75" hidden="1" customHeight="1">
      <c r="A2585" s="1"/>
      <c r="B2585" s="2"/>
      <c r="C2585" s="1"/>
      <c r="D2585" s="1"/>
      <c r="E2585" s="1"/>
      <c r="F2585" s="59"/>
      <c r="G2585" s="32"/>
      <c r="H2585" s="32"/>
    </row>
    <row r="2586" spans="1:8" ht="15.75" hidden="1" customHeight="1">
      <c r="A2586" s="1"/>
      <c r="B2586" s="2"/>
      <c r="C2586" s="1"/>
      <c r="D2586" s="1"/>
      <c r="E2586" s="1"/>
      <c r="F2586" s="59"/>
      <c r="G2586" s="32"/>
      <c r="H2586" s="32"/>
    </row>
    <row r="2587" spans="1:8" ht="15.75" hidden="1" customHeight="1">
      <c r="A2587" s="1"/>
      <c r="B2587" s="2"/>
      <c r="C2587" s="1"/>
      <c r="D2587" s="1"/>
      <c r="E2587" s="1"/>
      <c r="F2587" s="59"/>
      <c r="G2587" s="32"/>
      <c r="H2587" s="32"/>
    </row>
    <row r="2588" spans="1:8" ht="15.75" hidden="1" customHeight="1">
      <c r="A2588" s="1"/>
      <c r="B2588" s="2"/>
      <c r="C2588" s="1"/>
      <c r="D2588" s="1"/>
      <c r="E2588" s="1"/>
      <c r="F2588" s="59"/>
      <c r="G2588" s="32"/>
      <c r="H2588" s="32"/>
    </row>
    <row r="2589" spans="1:8" ht="15.75" hidden="1" customHeight="1">
      <c r="A2589" s="1"/>
      <c r="B2589" s="2"/>
      <c r="C2589" s="1"/>
      <c r="D2589" s="1"/>
      <c r="E2589" s="1"/>
      <c r="F2589" s="59"/>
      <c r="G2589" s="32"/>
      <c r="H2589" s="32"/>
    </row>
    <row r="2590" spans="1:8" ht="15.75" hidden="1" customHeight="1">
      <c r="A2590" s="1"/>
      <c r="B2590" s="2"/>
      <c r="C2590" s="1"/>
      <c r="D2590" s="1"/>
      <c r="E2590" s="1"/>
      <c r="F2590" s="59"/>
      <c r="G2590" s="32"/>
      <c r="H2590" s="32"/>
    </row>
    <row r="2591" spans="1:8" ht="15.75" hidden="1" customHeight="1">
      <c r="A2591" s="1"/>
      <c r="B2591" s="2"/>
      <c r="C2591" s="1"/>
      <c r="D2591" s="1"/>
      <c r="E2591" s="1"/>
      <c r="F2591" s="59"/>
      <c r="G2591" s="32"/>
      <c r="H2591" s="32"/>
    </row>
    <row r="2592" spans="1:8" ht="15.75" hidden="1" customHeight="1">
      <c r="A2592" s="1"/>
      <c r="B2592" s="2"/>
      <c r="C2592" s="1"/>
      <c r="D2592" s="1"/>
      <c r="E2592" s="1"/>
      <c r="F2592" s="59"/>
      <c r="G2592" s="32"/>
      <c r="H2592" s="32"/>
    </row>
    <row r="2593" spans="1:8" ht="15.75" hidden="1" customHeight="1">
      <c r="A2593" s="1"/>
      <c r="B2593" s="2"/>
      <c r="C2593" s="1"/>
      <c r="D2593" s="1"/>
      <c r="E2593" s="1"/>
      <c r="F2593" s="59"/>
      <c r="G2593" s="32"/>
      <c r="H2593" s="32"/>
    </row>
    <row r="2594" spans="1:8" ht="15.75" hidden="1" customHeight="1">
      <c r="A2594" s="1"/>
      <c r="B2594" s="2"/>
      <c r="C2594" s="1"/>
      <c r="D2594" s="1"/>
      <c r="E2594" s="1"/>
      <c r="F2594" s="59"/>
      <c r="G2594" s="32"/>
      <c r="H2594" s="32"/>
    </row>
    <row r="2595" spans="1:8" ht="15.75" hidden="1" customHeight="1">
      <c r="A2595" s="1"/>
      <c r="B2595" s="2"/>
      <c r="C2595" s="1"/>
      <c r="D2595" s="1"/>
      <c r="E2595" s="1"/>
      <c r="F2595" s="59"/>
      <c r="G2595" s="32"/>
      <c r="H2595" s="32"/>
    </row>
    <row r="2596" spans="1:8" ht="15.75" hidden="1" customHeight="1">
      <c r="A2596" s="1"/>
      <c r="B2596" s="2"/>
      <c r="C2596" s="1"/>
      <c r="D2596" s="1"/>
      <c r="E2596" s="1"/>
      <c r="F2596" s="59"/>
      <c r="G2596" s="32"/>
      <c r="H2596" s="32"/>
    </row>
    <row r="2597" spans="1:8" ht="15.75" hidden="1" customHeight="1">
      <c r="A2597" s="1"/>
      <c r="B2597" s="2"/>
      <c r="C2597" s="1"/>
      <c r="D2597" s="1"/>
      <c r="E2597" s="1"/>
      <c r="F2597" s="59"/>
      <c r="G2597" s="32"/>
      <c r="H2597" s="32"/>
    </row>
    <row r="2598" spans="1:8" ht="15.75" hidden="1" customHeight="1">
      <c r="A2598" s="1"/>
      <c r="B2598" s="2"/>
      <c r="C2598" s="1"/>
      <c r="D2598" s="1"/>
      <c r="E2598" s="1"/>
      <c r="F2598" s="59"/>
      <c r="G2598" s="32"/>
      <c r="H2598" s="32"/>
    </row>
    <row r="2599" spans="1:8" ht="15.75" hidden="1" customHeight="1">
      <c r="A2599" s="1"/>
      <c r="B2599" s="2"/>
      <c r="C2599" s="1"/>
      <c r="D2599" s="1"/>
      <c r="E2599" s="1"/>
      <c r="F2599" s="59"/>
      <c r="G2599" s="32"/>
      <c r="H2599" s="32"/>
    </row>
    <row r="2600" spans="1:8" ht="15.75" hidden="1" customHeight="1">
      <c r="A2600" s="1"/>
      <c r="B2600" s="2"/>
      <c r="C2600" s="1"/>
      <c r="D2600" s="1"/>
      <c r="E2600" s="1"/>
      <c r="F2600" s="59"/>
      <c r="G2600" s="32"/>
      <c r="H2600" s="32"/>
    </row>
    <row r="2601" spans="1:8" ht="15.75" hidden="1" customHeight="1">
      <c r="A2601" s="1"/>
      <c r="B2601" s="2"/>
      <c r="C2601" s="1"/>
      <c r="D2601" s="1"/>
      <c r="E2601" s="1"/>
      <c r="F2601" s="59"/>
      <c r="G2601" s="32"/>
      <c r="H2601" s="32"/>
    </row>
    <row r="2602" spans="1:8" ht="15.75" hidden="1" customHeight="1">
      <c r="A2602" s="1"/>
      <c r="B2602" s="2"/>
      <c r="C2602" s="1"/>
      <c r="D2602" s="1"/>
      <c r="E2602" s="1"/>
      <c r="F2602" s="59"/>
      <c r="G2602" s="32"/>
      <c r="H2602" s="32"/>
    </row>
    <row r="2603" spans="1:8" ht="15.75" hidden="1" customHeight="1">
      <c r="A2603" s="1"/>
      <c r="B2603" s="2"/>
      <c r="C2603" s="1"/>
      <c r="D2603" s="1"/>
      <c r="E2603" s="1"/>
      <c r="F2603" s="59"/>
      <c r="G2603" s="32"/>
      <c r="H2603" s="32"/>
    </row>
    <row r="2604" spans="1:8" ht="15.75" hidden="1" customHeight="1">
      <c r="A2604" s="1"/>
      <c r="B2604" s="2"/>
      <c r="C2604" s="1"/>
      <c r="D2604" s="1"/>
      <c r="E2604" s="1"/>
      <c r="F2604" s="59"/>
      <c r="G2604" s="32"/>
      <c r="H2604" s="32"/>
    </row>
    <row r="2605" spans="1:8" ht="15.75" hidden="1" customHeight="1">
      <c r="A2605" s="1"/>
      <c r="B2605" s="2"/>
      <c r="C2605" s="1"/>
      <c r="D2605" s="1"/>
      <c r="E2605" s="1"/>
      <c r="F2605" s="59"/>
      <c r="G2605" s="32"/>
      <c r="H2605" s="32"/>
    </row>
    <row r="2606" spans="1:8" ht="15.75" hidden="1" customHeight="1">
      <c r="A2606" s="1"/>
      <c r="B2606" s="2"/>
      <c r="C2606" s="1"/>
      <c r="D2606" s="1"/>
      <c r="E2606" s="1"/>
      <c r="F2606" s="59"/>
      <c r="G2606" s="32"/>
      <c r="H2606" s="32"/>
    </row>
    <row r="2607" spans="1:8" ht="15.75" hidden="1" customHeight="1">
      <c r="A2607" s="1"/>
      <c r="B2607" s="2"/>
      <c r="C2607" s="1"/>
      <c r="D2607" s="1"/>
      <c r="E2607" s="1"/>
      <c r="F2607" s="59"/>
      <c r="G2607" s="32"/>
      <c r="H2607" s="32"/>
    </row>
    <row r="2608" spans="1:8" ht="15.75" hidden="1" customHeight="1">
      <c r="A2608" s="1"/>
      <c r="B2608" s="2"/>
      <c r="C2608" s="1"/>
      <c r="D2608" s="1"/>
      <c r="E2608" s="1"/>
      <c r="F2608" s="59"/>
      <c r="G2608" s="32"/>
      <c r="H2608" s="32"/>
    </row>
    <row r="2609" spans="1:8" ht="15.75" hidden="1" customHeight="1">
      <c r="A2609" s="1"/>
      <c r="B2609" s="2"/>
      <c r="C2609" s="1"/>
      <c r="D2609" s="1"/>
      <c r="E2609" s="1"/>
      <c r="F2609" s="59"/>
      <c r="G2609" s="32"/>
      <c r="H2609" s="32"/>
    </row>
    <row r="2610" spans="1:8" ht="15.75" hidden="1" customHeight="1">
      <c r="A2610" s="1"/>
      <c r="B2610" s="2"/>
      <c r="C2610" s="1"/>
      <c r="D2610" s="1"/>
      <c r="E2610" s="1"/>
      <c r="F2610" s="59"/>
      <c r="G2610" s="32"/>
      <c r="H2610" s="32"/>
    </row>
    <row r="2611" spans="1:8" ht="15.75" hidden="1" customHeight="1">
      <c r="A2611" s="1"/>
      <c r="B2611" s="2"/>
      <c r="C2611" s="1"/>
      <c r="D2611" s="1"/>
      <c r="E2611" s="1"/>
      <c r="F2611" s="59"/>
      <c r="G2611" s="32"/>
      <c r="H2611" s="32"/>
    </row>
    <row r="2612" spans="1:8" ht="15.75" hidden="1" customHeight="1">
      <c r="A2612" s="1"/>
      <c r="B2612" s="2"/>
      <c r="C2612" s="1"/>
      <c r="D2612" s="1"/>
      <c r="E2612" s="1"/>
      <c r="F2612" s="59"/>
      <c r="G2612" s="32"/>
      <c r="H2612" s="32"/>
    </row>
    <row r="2613" spans="1:8" ht="15.75" hidden="1" customHeight="1">
      <c r="A2613" s="1"/>
      <c r="B2613" s="2"/>
      <c r="C2613" s="1"/>
      <c r="D2613" s="1"/>
      <c r="E2613" s="1"/>
      <c r="F2613" s="59"/>
      <c r="G2613" s="32"/>
      <c r="H2613" s="32"/>
    </row>
    <row r="2614" spans="1:8" ht="15.75" hidden="1" customHeight="1">
      <c r="A2614" s="1"/>
      <c r="B2614" s="2"/>
      <c r="C2614" s="1"/>
      <c r="D2614" s="1"/>
      <c r="E2614" s="1"/>
      <c r="F2614" s="59"/>
      <c r="G2614" s="32"/>
      <c r="H2614" s="32"/>
    </row>
    <row r="2615" spans="1:8" ht="15.75" hidden="1" customHeight="1">
      <c r="A2615" s="1"/>
      <c r="B2615" s="2"/>
      <c r="C2615" s="1"/>
      <c r="D2615" s="1"/>
      <c r="E2615" s="1"/>
      <c r="F2615" s="59"/>
      <c r="G2615" s="32"/>
      <c r="H2615" s="32"/>
    </row>
    <row r="2616" spans="1:8" ht="15.75" hidden="1" customHeight="1">
      <c r="A2616" s="1"/>
      <c r="B2616" s="2"/>
      <c r="C2616" s="1"/>
      <c r="D2616" s="1"/>
      <c r="E2616" s="1"/>
      <c r="F2616" s="59"/>
      <c r="G2616" s="32"/>
      <c r="H2616" s="32"/>
    </row>
    <row r="2617" spans="1:8" ht="15.75" hidden="1" customHeight="1">
      <c r="A2617" s="1"/>
      <c r="B2617" s="2"/>
      <c r="C2617" s="1"/>
      <c r="D2617" s="1"/>
      <c r="E2617" s="1"/>
      <c r="F2617" s="59"/>
      <c r="G2617" s="32"/>
      <c r="H2617" s="32"/>
    </row>
    <row r="2618" spans="1:8" ht="15.75" hidden="1" customHeight="1">
      <c r="A2618" s="1"/>
      <c r="B2618" s="2"/>
      <c r="C2618" s="1"/>
      <c r="D2618" s="1"/>
      <c r="E2618" s="1"/>
      <c r="F2618" s="59"/>
      <c r="G2618" s="32"/>
      <c r="H2618" s="32"/>
    </row>
    <row r="2619" spans="1:8" ht="15.75" hidden="1" customHeight="1">
      <c r="A2619" s="1"/>
      <c r="B2619" s="2"/>
      <c r="C2619" s="1"/>
      <c r="D2619" s="1"/>
      <c r="E2619" s="1"/>
      <c r="F2619" s="59"/>
      <c r="G2619" s="32"/>
      <c r="H2619" s="32"/>
    </row>
    <row r="2620" spans="1:8" ht="15.75" hidden="1" customHeight="1">
      <c r="A2620" s="1"/>
      <c r="B2620" s="2"/>
      <c r="C2620" s="1"/>
      <c r="D2620" s="1"/>
      <c r="E2620" s="1"/>
      <c r="F2620" s="59"/>
      <c r="G2620" s="32"/>
      <c r="H2620" s="32"/>
    </row>
    <row r="2621" spans="1:8" ht="15.75" hidden="1" customHeight="1">
      <c r="A2621" s="1"/>
      <c r="B2621" s="2"/>
      <c r="C2621" s="1"/>
      <c r="D2621" s="1"/>
      <c r="E2621" s="1"/>
      <c r="F2621" s="59"/>
      <c r="G2621" s="32"/>
      <c r="H2621" s="32"/>
    </row>
    <row r="2622" spans="1:8" ht="15.75" hidden="1" customHeight="1">
      <c r="A2622" s="1"/>
      <c r="B2622" s="2"/>
      <c r="C2622" s="1"/>
      <c r="D2622" s="1"/>
      <c r="E2622" s="1"/>
      <c r="F2622" s="59"/>
      <c r="G2622" s="32"/>
      <c r="H2622" s="32"/>
    </row>
    <row r="2623" spans="1:8" ht="15.75" hidden="1" customHeight="1">
      <c r="A2623" s="1"/>
      <c r="B2623" s="2"/>
      <c r="C2623" s="1"/>
      <c r="D2623" s="1"/>
      <c r="E2623" s="1"/>
      <c r="F2623" s="59"/>
      <c r="G2623" s="32"/>
      <c r="H2623" s="32"/>
    </row>
    <row r="2624" spans="1:8" ht="15.75" hidden="1" customHeight="1">
      <c r="A2624" s="1"/>
      <c r="B2624" s="2"/>
      <c r="C2624" s="1"/>
      <c r="D2624" s="1"/>
      <c r="E2624" s="1"/>
      <c r="F2624" s="59"/>
      <c r="G2624" s="32"/>
      <c r="H2624" s="32"/>
    </row>
    <row r="2625" spans="1:8" ht="15.75" hidden="1" customHeight="1">
      <c r="A2625" s="1"/>
      <c r="B2625" s="2"/>
      <c r="C2625" s="1"/>
      <c r="D2625" s="1"/>
      <c r="E2625" s="1"/>
      <c r="F2625" s="59"/>
      <c r="G2625" s="32"/>
      <c r="H2625" s="32"/>
    </row>
    <row r="2626" spans="1:8" ht="15.75" hidden="1" customHeight="1">
      <c r="A2626" s="1"/>
      <c r="B2626" s="2"/>
      <c r="C2626" s="1"/>
      <c r="D2626" s="1"/>
      <c r="E2626" s="1"/>
      <c r="F2626" s="59"/>
      <c r="G2626" s="32"/>
      <c r="H2626" s="32"/>
    </row>
    <row r="2627" spans="1:8" ht="15.75" hidden="1" customHeight="1">
      <c r="A2627" s="1"/>
      <c r="B2627" s="2"/>
      <c r="C2627" s="1"/>
      <c r="D2627" s="1"/>
      <c r="E2627" s="1"/>
      <c r="F2627" s="59"/>
      <c r="G2627" s="32"/>
      <c r="H2627" s="32"/>
    </row>
    <row r="2628" spans="1:8" ht="15.75" hidden="1" customHeight="1">
      <c r="A2628" s="1"/>
      <c r="B2628" s="2"/>
      <c r="C2628" s="1"/>
      <c r="D2628" s="1"/>
      <c r="E2628" s="1"/>
      <c r="F2628" s="59"/>
      <c r="G2628" s="32"/>
      <c r="H2628" s="32"/>
    </row>
    <row r="2629" spans="1:8" ht="15.75" hidden="1" customHeight="1">
      <c r="A2629" s="1"/>
      <c r="B2629" s="2"/>
      <c r="C2629" s="1"/>
      <c r="D2629" s="1"/>
      <c r="E2629" s="1"/>
      <c r="F2629" s="59"/>
      <c r="G2629" s="32"/>
      <c r="H2629" s="32"/>
    </row>
    <row r="2630" spans="1:8" ht="15.75" hidden="1" customHeight="1">
      <c r="A2630" s="1"/>
      <c r="B2630" s="2"/>
      <c r="C2630" s="1"/>
      <c r="D2630" s="1"/>
      <c r="E2630" s="1"/>
      <c r="F2630" s="59"/>
      <c r="G2630" s="32"/>
      <c r="H2630" s="32"/>
    </row>
    <row r="2631" spans="1:8" ht="15.75" hidden="1" customHeight="1">
      <c r="A2631" s="1"/>
      <c r="B2631" s="2"/>
      <c r="C2631" s="1"/>
      <c r="D2631" s="1"/>
      <c r="E2631" s="1"/>
      <c r="F2631" s="59"/>
      <c r="G2631" s="32"/>
      <c r="H2631" s="32"/>
    </row>
    <row r="2632" spans="1:8" ht="15.75" hidden="1" customHeight="1">
      <c r="A2632" s="1"/>
      <c r="B2632" s="2"/>
      <c r="C2632" s="1"/>
      <c r="D2632" s="1"/>
      <c r="E2632" s="1"/>
      <c r="F2632" s="59"/>
      <c r="G2632" s="32"/>
      <c r="H2632" s="32"/>
    </row>
    <row r="2633" spans="1:8" ht="15.75" hidden="1" customHeight="1">
      <c r="A2633" s="1"/>
      <c r="B2633" s="2"/>
      <c r="C2633" s="1"/>
      <c r="D2633" s="1"/>
      <c r="E2633" s="1"/>
      <c r="F2633" s="59"/>
      <c r="G2633" s="32"/>
      <c r="H2633" s="32"/>
    </row>
    <row r="2634" spans="1:8" ht="15.75" hidden="1" customHeight="1">
      <c r="A2634" s="1"/>
      <c r="B2634" s="2"/>
      <c r="C2634" s="1"/>
      <c r="D2634" s="1"/>
      <c r="E2634" s="1"/>
      <c r="F2634" s="59"/>
      <c r="G2634" s="32"/>
      <c r="H2634" s="32"/>
    </row>
    <row r="2635" spans="1:8" ht="15.75" hidden="1" customHeight="1">
      <c r="A2635" s="1"/>
      <c r="B2635" s="2"/>
      <c r="C2635" s="1"/>
      <c r="D2635" s="1"/>
      <c r="E2635" s="1"/>
      <c r="F2635" s="59"/>
      <c r="G2635" s="32"/>
      <c r="H2635" s="32"/>
    </row>
    <row r="2636" spans="1:8" ht="15.75" hidden="1" customHeight="1">
      <c r="A2636" s="1"/>
      <c r="B2636" s="2"/>
      <c r="C2636" s="1"/>
      <c r="D2636" s="1"/>
      <c r="E2636" s="1"/>
      <c r="F2636" s="59"/>
      <c r="G2636" s="32"/>
      <c r="H2636" s="32"/>
    </row>
    <row r="2637" spans="1:8" ht="15.75" hidden="1" customHeight="1">
      <c r="A2637" s="1"/>
      <c r="B2637" s="2"/>
      <c r="C2637" s="1"/>
      <c r="D2637" s="1"/>
      <c r="E2637" s="1"/>
      <c r="F2637" s="59"/>
      <c r="G2637" s="32"/>
      <c r="H2637" s="32"/>
    </row>
    <row r="2638" spans="1:8" ht="15.75" hidden="1" customHeight="1">
      <c r="A2638" s="1"/>
      <c r="B2638" s="2"/>
      <c r="C2638" s="1"/>
      <c r="D2638" s="1"/>
      <c r="E2638" s="1"/>
      <c r="F2638" s="59"/>
      <c r="G2638" s="32"/>
      <c r="H2638" s="32"/>
    </row>
    <row r="2639" spans="1:8" ht="15.75" hidden="1" customHeight="1">
      <c r="A2639" s="1"/>
      <c r="B2639" s="2"/>
      <c r="C2639" s="1"/>
      <c r="D2639" s="1"/>
      <c r="E2639" s="1"/>
      <c r="F2639" s="59"/>
      <c r="G2639" s="32"/>
      <c r="H2639" s="32"/>
    </row>
    <row r="2640" spans="1:8" ht="15.75" hidden="1" customHeight="1">
      <c r="A2640" s="1"/>
      <c r="B2640" s="2"/>
      <c r="C2640" s="1"/>
      <c r="D2640" s="1"/>
      <c r="E2640" s="1"/>
      <c r="F2640" s="59"/>
      <c r="G2640" s="32"/>
      <c r="H2640" s="32"/>
    </row>
    <row r="2641" spans="1:8" ht="15.75" hidden="1" customHeight="1">
      <c r="A2641" s="1"/>
      <c r="B2641" s="2"/>
      <c r="C2641" s="1"/>
      <c r="D2641" s="1"/>
      <c r="E2641" s="1"/>
      <c r="F2641" s="59"/>
      <c r="G2641" s="32"/>
      <c r="H2641" s="32"/>
    </row>
    <row r="2642" spans="1:8" ht="15.75" hidden="1" customHeight="1">
      <c r="A2642" s="1"/>
      <c r="B2642" s="2"/>
      <c r="C2642" s="1"/>
      <c r="D2642" s="1"/>
      <c r="E2642" s="1"/>
      <c r="F2642" s="59"/>
      <c r="G2642" s="32"/>
      <c r="H2642" s="32"/>
    </row>
    <row r="2643" spans="1:8" ht="15.75" hidden="1" customHeight="1">
      <c r="A2643" s="1"/>
      <c r="B2643" s="2"/>
      <c r="C2643" s="1"/>
      <c r="D2643" s="1"/>
      <c r="E2643" s="1"/>
      <c r="F2643" s="59"/>
      <c r="G2643" s="32"/>
      <c r="H2643" s="32"/>
    </row>
    <row r="2644" spans="1:8" ht="15.75" hidden="1" customHeight="1">
      <c r="A2644" s="1"/>
      <c r="B2644" s="2"/>
      <c r="C2644" s="1"/>
      <c r="D2644" s="1"/>
      <c r="E2644" s="1"/>
      <c r="F2644" s="59"/>
      <c r="G2644" s="32"/>
      <c r="H2644" s="32"/>
    </row>
    <row r="2645" spans="1:8" ht="15.75" hidden="1" customHeight="1">
      <c r="A2645" s="1"/>
      <c r="B2645" s="2"/>
      <c r="C2645" s="1"/>
      <c r="D2645" s="1"/>
      <c r="F2645" s="59"/>
      <c r="G2645" s="32"/>
      <c r="H2645" s="32"/>
    </row>
    <row r="2646" spans="1:8" ht="15.75" hidden="1" customHeight="1">
      <c r="A2646" s="1"/>
      <c r="B2646" s="2"/>
      <c r="C2646" s="1"/>
      <c r="D2646" s="1"/>
      <c r="E2646" s="1"/>
      <c r="F2646" s="59"/>
      <c r="G2646" s="32"/>
      <c r="H2646" s="32"/>
    </row>
    <row r="2647" spans="1:8" ht="15.75" hidden="1" customHeight="1">
      <c r="A2647" s="1"/>
      <c r="B2647" s="2"/>
      <c r="C2647" s="1"/>
      <c r="D2647" s="1"/>
      <c r="E2647" s="1"/>
      <c r="F2647" s="59"/>
      <c r="G2647" s="32"/>
      <c r="H2647" s="32"/>
    </row>
    <row r="2648" spans="1:8" ht="15.75" hidden="1" customHeight="1">
      <c r="A2648" s="1"/>
      <c r="B2648" s="2"/>
      <c r="C2648" s="1"/>
      <c r="D2648" s="1"/>
      <c r="E2648" s="1"/>
      <c r="F2648" s="59"/>
      <c r="G2648" s="32"/>
      <c r="H2648" s="32"/>
    </row>
    <row r="2649" spans="1:8" ht="15.75" hidden="1" customHeight="1">
      <c r="A2649" s="1"/>
      <c r="B2649" s="2"/>
      <c r="C2649" s="1"/>
      <c r="D2649" s="1"/>
      <c r="E2649" s="1"/>
      <c r="F2649" s="59"/>
      <c r="G2649" s="32"/>
      <c r="H2649" s="32"/>
    </row>
    <row r="2650" spans="1:8" ht="15.75" hidden="1" customHeight="1">
      <c r="A2650" s="1"/>
      <c r="B2650" s="2"/>
      <c r="C2650" s="1"/>
      <c r="D2650" s="1"/>
      <c r="E2650" s="1"/>
      <c r="F2650" s="59"/>
      <c r="G2650" s="32"/>
      <c r="H2650" s="32"/>
    </row>
    <row r="2651" spans="1:8" ht="15.75" hidden="1" customHeight="1">
      <c r="A2651" s="1"/>
      <c r="B2651" s="2"/>
      <c r="C2651" s="1"/>
      <c r="D2651" s="1"/>
      <c r="E2651" s="1"/>
      <c r="F2651" s="59"/>
      <c r="G2651" s="32"/>
      <c r="H2651" s="32"/>
    </row>
    <row r="2652" spans="1:8" ht="15.75" hidden="1" customHeight="1">
      <c r="A2652" s="1"/>
      <c r="B2652" s="2"/>
      <c r="C2652" s="1"/>
      <c r="D2652" s="1"/>
      <c r="E2652" s="1"/>
      <c r="F2652" s="59"/>
      <c r="G2652" s="32"/>
      <c r="H2652" s="32"/>
    </row>
    <row r="2653" spans="1:8" ht="15.75" hidden="1" customHeight="1">
      <c r="A2653" s="1"/>
      <c r="B2653" s="2"/>
      <c r="C2653" s="1"/>
      <c r="D2653" s="1"/>
      <c r="E2653" s="1"/>
      <c r="F2653" s="59"/>
      <c r="G2653" s="32"/>
      <c r="H2653" s="32"/>
    </row>
    <row r="2654" spans="1:8" ht="15.75" hidden="1" customHeight="1">
      <c r="A2654" s="1"/>
      <c r="B2654" s="2"/>
      <c r="C2654" s="1"/>
      <c r="D2654" s="1"/>
      <c r="E2654" s="1"/>
      <c r="F2654" s="59"/>
      <c r="G2654" s="32"/>
      <c r="H2654" s="32"/>
    </row>
    <row r="2655" spans="1:8" ht="15.75" hidden="1" customHeight="1">
      <c r="A2655" s="1"/>
      <c r="B2655" s="2"/>
      <c r="C2655" s="1"/>
      <c r="D2655" s="1"/>
      <c r="E2655" s="1"/>
      <c r="F2655" s="59"/>
      <c r="G2655" s="32"/>
      <c r="H2655" s="32"/>
    </row>
    <row r="2656" spans="1:8" ht="15.75" hidden="1" customHeight="1">
      <c r="A2656" s="1"/>
      <c r="B2656" s="2"/>
      <c r="C2656" s="1"/>
      <c r="D2656" s="1"/>
      <c r="E2656" s="1"/>
      <c r="F2656" s="59"/>
      <c r="G2656" s="32"/>
      <c r="H2656" s="32"/>
    </row>
    <row r="2657" spans="1:8" ht="15.75" hidden="1" customHeight="1">
      <c r="A2657" s="1"/>
      <c r="B2657" s="2"/>
      <c r="C2657" s="1"/>
      <c r="D2657" s="1"/>
      <c r="E2657" s="1"/>
      <c r="F2657" s="59"/>
      <c r="G2657" s="32"/>
      <c r="H2657" s="32"/>
    </row>
    <row r="2658" spans="1:8" ht="15.75" hidden="1" customHeight="1">
      <c r="A2658" s="1"/>
      <c r="B2658" s="2"/>
      <c r="C2658" s="1"/>
      <c r="D2658" s="1"/>
      <c r="E2658" s="1"/>
      <c r="F2658" s="59"/>
      <c r="G2658" s="32"/>
      <c r="H2658" s="32"/>
    </row>
    <row r="2659" spans="1:8" ht="15.75" hidden="1" customHeight="1">
      <c r="A2659" s="1"/>
      <c r="B2659" s="2"/>
      <c r="C2659" s="1"/>
      <c r="D2659" s="1"/>
      <c r="E2659" s="1"/>
      <c r="F2659" s="59"/>
      <c r="G2659" s="32"/>
      <c r="H2659" s="32"/>
    </row>
    <row r="2660" spans="1:8" ht="15.75" hidden="1" customHeight="1">
      <c r="A2660" s="1"/>
      <c r="B2660" s="2"/>
      <c r="C2660" s="1"/>
      <c r="D2660" s="1"/>
      <c r="E2660" s="1"/>
      <c r="F2660" s="59"/>
      <c r="G2660" s="32"/>
      <c r="H2660" s="32"/>
    </row>
    <row r="2661" spans="1:8" ht="15.75" hidden="1" customHeight="1">
      <c r="A2661" s="1"/>
      <c r="B2661" s="2"/>
      <c r="C2661" s="1"/>
      <c r="D2661" s="1"/>
      <c r="E2661" s="1"/>
      <c r="F2661" s="59"/>
      <c r="G2661" s="32"/>
      <c r="H2661" s="32"/>
    </row>
    <row r="2662" spans="1:8" ht="15.75" hidden="1" customHeight="1">
      <c r="A2662" s="1"/>
      <c r="B2662" s="2"/>
      <c r="C2662" s="1"/>
      <c r="D2662" s="1"/>
      <c r="E2662" s="1"/>
      <c r="F2662" s="59"/>
      <c r="G2662" s="32"/>
      <c r="H2662" s="32"/>
    </row>
    <row r="2663" spans="1:8" ht="15.75" hidden="1" customHeight="1">
      <c r="A2663" s="1"/>
      <c r="B2663" s="2"/>
      <c r="C2663" s="1"/>
      <c r="D2663" s="1"/>
      <c r="E2663" s="1"/>
      <c r="F2663" s="59"/>
      <c r="G2663" s="32"/>
      <c r="H2663" s="32"/>
    </row>
    <row r="2664" spans="1:8" ht="15.75" hidden="1" customHeight="1">
      <c r="A2664" s="1"/>
      <c r="B2664" s="2"/>
      <c r="C2664" s="1"/>
      <c r="D2664" s="1"/>
      <c r="E2664" s="1"/>
      <c r="F2664" s="59"/>
      <c r="G2664" s="32"/>
      <c r="H2664" s="32"/>
    </row>
    <row r="2665" spans="1:8" ht="15.75" hidden="1" customHeight="1">
      <c r="A2665" s="1"/>
      <c r="B2665" s="2"/>
      <c r="C2665" s="1"/>
      <c r="D2665" s="1"/>
      <c r="E2665" s="1"/>
      <c r="F2665" s="59"/>
      <c r="G2665" s="32"/>
      <c r="H2665" s="32"/>
    </row>
    <row r="2666" spans="1:8" ht="15.75" hidden="1" customHeight="1">
      <c r="A2666" s="1"/>
      <c r="B2666" s="2"/>
      <c r="C2666" s="1"/>
      <c r="D2666" s="1"/>
      <c r="E2666" s="1"/>
      <c r="F2666" s="59"/>
      <c r="G2666" s="32"/>
      <c r="H2666" s="32"/>
    </row>
    <row r="2667" spans="1:8" ht="15.75" hidden="1" customHeight="1">
      <c r="A2667" s="1"/>
      <c r="B2667" s="2"/>
      <c r="C2667" s="1"/>
      <c r="D2667" s="1"/>
      <c r="E2667" s="1"/>
      <c r="F2667" s="59"/>
      <c r="G2667" s="32"/>
      <c r="H2667" s="32"/>
    </row>
    <row r="2668" spans="1:8" ht="15.75" hidden="1" customHeight="1">
      <c r="A2668" s="1"/>
      <c r="B2668" s="2"/>
      <c r="C2668" s="1"/>
      <c r="D2668" s="1"/>
      <c r="E2668" s="1"/>
      <c r="F2668" s="59"/>
      <c r="G2668" s="32"/>
      <c r="H2668" s="32"/>
    </row>
    <row r="2669" spans="1:8" ht="15.75" hidden="1" customHeight="1">
      <c r="A2669" s="1"/>
      <c r="B2669" s="2"/>
      <c r="C2669" s="1"/>
      <c r="D2669" s="1"/>
      <c r="E2669" s="1"/>
      <c r="F2669" s="59"/>
      <c r="G2669" s="32"/>
      <c r="H2669" s="32"/>
    </row>
    <row r="2670" spans="1:8" ht="15.75" hidden="1" customHeight="1">
      <c r="A2670" s="1"/>
      <c r="B2670" s="2"/>
      <c r="C2670" s="1"/>
      <c r="D2670" s="1"/>
      <c r="E2670" s="1"/>
      <c r="F2670" s="59"/>
      <c r="G2670" s="32"/>
      <c r="H2670" s="32"/>
    </row>
    <row r="2671" spans="1:8" ht="15.75" hidden="1" customHeight="1">
      <c r="A2671" s="1"/>
      <c r="B2671" s="2"/>
      <c r="C2671" s="1"/>
      <c r="D2671" s="1"/>
      <c r="E2671" s="1"/>
      <c r="F2671" s="59"/>
      <c r="G2671" s="32"/>
      <c r="H2671" s="32"/>
    </row>
    <row r="2672" spans="1:8" ht="15.75" hidden="1" customHeight="1">
      <c r="A2672" s="1"/>
      <c r="B2672" s="2"/>
      <c r="C2672" s="1"/>
      <c r="D2672" s="1"/>
      <c r="E2672" s="1"/>
      <c r="F2672" s="59"/>
      <c r="G2672" s="32"/>
      <c r="H2672" s="32"/>
    </row>
    <row r="2673" spans="1:8" ht="15.75" hidden="1" customHeight="1">
      <c r="A2673" s="1"/>
      <c r="B2673" s="2"/>
      <c r="C2673" s="1"/>
      <c r="D2673" s="1"/>
      <c r="E2673" s="1"/>
      <c r="F2673" s="59"/>
      <c r="G2673" s="32"/>
      <c r="H2673" s="32"/>
    </row>
    <row r="2674" spans="1:8" ht="15.75" hidden="1" customHeight="1">
      <c r="A2674" s="1"/>
      <c r="B2674" s="2"/>
      <c r="C2674" s="1"/>
      <c r="D2674" s="1"/>
      <c r="E2674" s="1"/>
      <c r="F2674" s="59"/>
      <c r="G2674" s="32"/>
      <c r="H2674" s="32"/>
    </row>
    <row r="2675" spans="1:8" ht="15.75" hidden="1" customHeight="1">
      <c r="A2675" s="1"/>
      <c r="B2675" s="2"/>
      <c r="C2675" s="1"/>
      <c r="D2675" s="1"/>
      <c r="E2675" s="1"/>
      <c r="F2675" s="59"/>
      <c r="G2675" s="32"/>
      <c r="H2675" s="32"/>
    </row>
    <row r="2676" spans="1:8" ht="15.75" hidden="1" customHeight="1">
      <c r="A2676" s="1"/>
      <c r="B2676" s="2"/>
      <c r="C2676" s="1"/>
      <c r="D2676" s="1"/>
      <c r="E2676" s="1"/>
      <c r="F2676" s="59"/>
      <c r="G2676" s="32"/>
      <c r="H2676" s="32"/>
    </row>
    <row r="2677" spans="1:8" ht="15.75" hidden="1" customHeight="1">
      <c r="A2677" s="1"/>
      <c r="B2677" s="2"/>
      <c r="C2677" s="1"/>
      <c r="D2677" s="1"/>
      <c r="F2677" s="59"/>
      <c r="G2677" s="32"/>
      <c r="H2677" s="32"/>
    </row>
    <row r="2678" spans="1:8" ht="15.75" hidden="1" customHeight="1">
      <c r="A2678" s="1"/>
      <c r="B2678" s="2"/>
      <c r="C2678" s="1"/>
      <c r="D2678" s="1"/>
      <c r="F2678" s="59"/>
      <c r="G2678" s="32"/>
      <c r="H2678" s="32"/>
    </row>
    <row r="2679" spans="1:8" ht="15.75" hidden="1" customHeight="1">
      <c r="A2679" s="1"/>
      <c r="B2679" s="2"/>
      <c r="C2679" s="1"/>
      <c r="D2679" s="1"/>
      <c r="F2679" s="59"/>
      <c r="G2679" s="32"/>
      <c r="H2679" s="32"/>
    </row>
    <row r="2680" spans="1:8" ht="15.75" hidden="1" customHeight="1">
      <c r="A2680" s="1"/>
      <c r="B2680" s="2"/>
      <c r="C2680" s="1"/>
      <c r="D2680" s="1"/>
      <c r="F2680" s="59"/>
      <c r="G2680" s="32"/>
      <c r="H2680" s="32"/>
    </row>
    <row r="2681" spans="1:8" ht="15.75" hidden="1" customHeight="1">
      <c r="A2681" s="1"/>
      <c r="B2681" s="2"/>
      <c r="C2681" s="1"/>
      <c r="D2681" s="1"/>
      <c r="F2681" s="59"/>
      <c r="G2681" s="32"/>
      <c r="H2681" s="32"/>
    </row>
    <row r="2682" spans="1:8" ht="15.75" hidden="1" customHeight="1">
      <c r="A2682" s="1"/>
      <c r="B2682" s="2"/>
      <c r="C2682" s="1"/>
      <c r="D2682" s="1"/>
      <c r="F2682" s="59"/>
      <c r="G2682" s="32"/>
      <c r="H2682" s="32"/>
    </row>
    <row r="2683" spans="1:8" ht="15.75" hidden="1" customHeight="1">
      <c r="A2683" s="1"/>
      <c r="B2683" s="2"/>
      <c r="C2683" s="1"/>
      <c r="D2683" s="1"/>
      <c r="F2683" s="59"/>
      <c r="G2683" s="32"/>
      <c r="H2683" s="32"/>
    </row>
    <row r="2684" spans="1:8" ht="15.75" hidden="1" customHeight="1">
      <c r="A2684" s="1"/>
      <c r="B2684" s="2"/>
      <c r="C2684" s="1"/>
      <c r="D2684" s="1"/>
      <c r="F2684" s="59"/>
      <c r="G2684" s="32"/>
      <c r="H2684" s="32"/>
    </row>
    <row r="2685" spans="1:8" ht="15.75" hidden="1" customHeight="1">
      <c r="A2685" s="1"/>
      <c r="B2685" s="2"/>
      <c r="C2685" s="1"/>
      <c r="D2685" s="1"/>
      <c r="F2685" s="59"/>
      <c r="G2685" s="32"/>
      <c r="H2685" s="32"/>
    </row>
    <row r="2686" spans="1:8" ht="15.75" hidden="1" customHeight="1">
      <c r="A2686" s="1"/>
      <c r="B2686" s="2"/>
      <c r="C2686" s="1"/>
      <c r="D2686" s="1"/>
      <c r="F2686" s="59"/>
      <c r="G2686" s="32"/>
      <c r="H2686" s="32"/>
    </row>
    <row r="2687" spans="1:8" ht="15.75" hidden="1" customHeight="1">
      <c r="A2687" s="1"/>
      <c r="B2687" s="2"/>
      <c r="C2687" s="1"/>
      <c r="D2687" s="1"/>
      <c r="F2687" s="59"/>
      <c r="G2687" s="32"/>
      <c r="H2687" s="32"/>
    </row>
    <row r="2688" spans="1:8" ht="15.75" hidden="1" customHeight="1">
      <c r="A2688" s="1"/>
      <c r="B2688" s="2"/>
      <c r="C2688" s="1"/>
      <c r="D2688" s="1"/>
      <c r="F2688" s="59"/>
      <c r="G2688" s="32"/>
      <c r="H2688" s="32"/>
    </row>
    <row r="2689" spans="1:8" ht="15.75" hidden="1" customHeight="1">
      <c r="A2689" s="1"/>
      <c r="B2689" s="2"/>
      <c r="C2689" s="1"/>
      <c r="D2689" s="1"/>
      <c r="F2689" s="59"/>
      <c r="G2689" s="32"/>
      <c r="H2689" s="32"/>
    </row>
    <row r="2690" spans="1:8" ht="15.75" hidden="1" customHeight="1">
      <c r="A2690" s="1"/>
      <c r="B2690" s="2"/>
      <c r="C2690" s="1"/>
      <c r="D2690" s="1"/>
      <c r="F2690" s="59"/>
      <c r="G2690" s="32"/>
      <c r="H2690" s="32"/>
    </row>
    <row r="2691" spans="1:8" ht="15.75" hidden="1" customHeight="1">
      <c r="A2691" s="1"/>
      <c r="B2691" s="2"/>
      <c r="C2691" s="1"/>
      <c r="D2691" s="1"/>
      <c r="F2691" s="59"/>
      <c r="G2691" s="32"/>
      <c r="H2691" s="32"/>
    </row>
    <row r="2692" spans="1:8" ht="15.75" hidden="1" customHeight="1">
      <c r="A2692" s="1"/>
      <c r="B2692" s="2"/>
      <c r="C2692" s="1"/>
      <c r="D2692" s="1"/>
      <c r="F2692" s="59"/>
      <c r="G2692" s="32"/>
      <c r="H2692" s="32"/>
    </row>
    <row r="2693" spans="1:8" ht="15.75" hidden="1" customHeight="1">
      <c r="A2693" s="1"/>
      <c r="B2693" s="2"/>
      <c r="C2693" s="1"/>
      <c r="D2693" s="1"/>
      <c r="F2693" s="59"/>
      <c r="G2693" s="32"/>
      <c r="H2693" s="32"/>
    </row>
    <row r="2694" spans="1:8" ht="15.75" hidden="1" customHeight="1">
      <c r="A2694" s="1"/>
      <c r="B2694" s="2"/>
      <c r="C2694" s="1"/>
      <c r="D2694" s="1"/>
      <c r="F2694" s="59"/>
      <c r="G2694" s="32"/>
      <c r="H2694" s="32"/>
    </row>
    <row r="2695" spans="1:8" ht="15.75" hidden="1" customHeight="1">
      <c r="A2695" s="1"/>
      <c r="B2695" s="2"/>
      <c r="C2695" s="1"/>
      <c r="D2695" s="1"/>
      <c r="F2695" s="59"/>
      <c r="G2695" s="32"/>
      <c r="H2695" s="32"/>
    </row>
    <row r="2696" spans="1:8" ht="15.75" hidden="1" customHeight="1">
      <c r="A2696" s="1"/>
      <c r="B2696" s="2"/>
      <c r="C2696" s="1"/>
      <c r="D2696" s="1"/>
      <c r="F2696" s="59"/>
      <c r="G2696" s="32"/>
      <c r="H2696" s="32"/>
    </row>
    <row r="2697" spans="1:8" ht="15.75" hidden="1" customHeight="1">
      <c r="A2697" s="1"/>
      <c r="B2697" s="2"/>
      <c r="C2697" s="1"/>
      <c r="D2697" s="1"/>
      <c r="F2697" s="59"/>
      <c r="G2697" s="32"/>
      <c r="H2697" s="32"/>
    </row>
    <row r="2698" spans="1:8" ht="15.75" hidden="1" customHeight="1">
      <c r="A2698" s="1"/>
      <c r="B2698" s="2"/>
      <c r="C2698" s="1"/>
      <c r="D2698" s="1"/>
      <c r="F2698" s="59"/>
      <c r="G2698" s="32"/>
      <c r="H2698" s="32"/>
    </row>
    <row r="2699" spans="1:8" ht="15.75" hidden="1" customHeight="1">
      <c r="A2699" s="1"/>
      <c r="B2699" s="2"/>
      <c r="C2699" s="1"/>
      <c r="D2699" s="1"/>
      <c r="F2699" s="59"/>
      <c r="G2699" s="32"/>
      <c r="H2699" s="32"/>
    </row>
    <row r="2700" spans="1:8" ht="15.75" hidden="1" customHeight="1">
      <c r="A2700" s="1"/>
      <c r="B2700" s="2"/>
      <c r="C2700" s="1"/>
      <c r="D2700" s="1"/>
      <c r="E2700" s="1"/>
      <c r="F2700" s="59"/>
      <c r="G2700" s="32"/>
      <c r="H2700" s="32"/>
    </row>
    <row r="2701" spans="1:8" ht="15.75" hidden="1" customHeight="1">
      <c r="A2701" s="1"/>
      <c r="B2701" s="2"/>
      <c r="C2701" s="1"/>
      <c r="D2701" s="1"/>
      <c r="E2701" s="1"/>
      <c r="F2701" s="59"/>
      <c r="G2701" s="32"/>
      <c r="H2701" s="32"/>
    </row>
    <row r="2702" spans="1:8" ht="15.75" hidden="1" customHeight="1">
      <c r="A2702" s="1"/>
      <c r="B2702" s="2"/>
      <c r="C2702" s="1"/>
      <c r="D2702" s="1"/>
      <c r="F2702" s="59"/>
      <c r="G2702" s="32"/>
      <c r="H2702" s="32"/>
    </row>
    <row r="2703" spans="1:8" ht="15.75" hidden="1" customHeight="1">
      <c r="A2703" s="1"/>
      <c r="B2703" s="2"/>
      <c r="C2703" s="1"/>
      <c r="D2703" s="1"/>
      <c r="E2703" s="1"/>
      <c r="F2703" s="59"/>
      <c r="G2703" s="32"/>
      <c r="H2703" s="32"/>
    </row>
    <row r="2704" spans="1:8" ht="15.75" hidden="1" customHeight="1">
      <c r="A2704" s="1"/>
      <c r="B2704" s="2"/>
      <c r="C2704" s="1"/>
      <c r="D2704" s="1"/>
      <c r="E2704" s="1"/>
      <c r="F2704" s="59"/>
      <c r="G2704" s="32"/>
      <c r="H2704" s="32"/>
    </row>
    <row r="2705" spans="1:8" ht="15.75" hidden="1" customHeight="1">
      <c r="A2705" s="1"/>
      <c r="B2705" s="2"/>
      <c r="C2705" s="1"/>
      <c r="D2705" s="1"/>
      <c r="E2705" s="1"/>
      <c r="F2705" s="59"/>
      <c r="G2705" s="32"/>
      <c r="H2705" s="32"/>
    </row>
    <row r="2706" spans="1:8" ht="15.75" hidden="1" customHeight="1">
      <c r="A2706" s="1"/>
      <c r="B2706" s="2"/>
      <c r="C2706" s="1"/>
      <c r="D2706" s="1"/>
      <c r="F2706" s="59"/>
      <c r="G2706" s="32"/>
      <c r="H2706" s="32"/>
    </row>
    <row r="2707" spans="1:8" ht="15.75" hidden="1" customHeight="1">
      <c r="A2707" s="1"/>
      <c r="B2707" s="2"/>
      <c r="C2707" s="1"/>
      <c r="D2707" s="1"/>
      <c r="F2707" s="59"/>
      <c r="G2707" s="32"/>
      <c r="H2707" s="32"/>
    </row>
    <row r="2708" spans="1:8" ht="15.75" hidden="1" customHeight="1">
      <c r="A2708" s="1"/>
      <c r="B2708" s="2"/>
      <c r="C2708" s="1"/>
      <c r="D2708" s="1"/>
      <c r="E2708" s="1"/>
      <c r="F2708" s="59"/>
      <c r="G2708" s="32"/>
      <c r="H2708" s="32"/>
    </row>
    <row r="2709" spans="1:8" ht="15.75" hidden="1" customHeight="1">
      <c r="A2709" s="1"/>
      <c r="B2709" s="2"/>
      <c r="C2709" s="1"/>
      <c r="D2709" s="1"/>
      <c r="F2709" s="59"/>
      <c r="G2709" s="32"/>
      <c r="H2709" s="32"/>
    </row>
    <row r="2710" spans="1:8" ht="15.75" hidden="1" customHeight="1">
      <c r="A2710" s="1"/>
      <c r="B2710" s="2"/>
      <c r="C2710" s="1"/>
      <c r="D2710" s="1"/>
      <c r="F2710" s="59"/>
      <c r="G2710" s="32"/>
      <c r="H2710" s="32"/>
    </row>
    <row r="2711" spans="1:8" ht="15.75" hidden="1" customHeight="1">
      <c r="A2711" s="1"/>
      <c r="B2711" s="2"/>
      <c r="C2711" s="1"/>
      <c r="D2711" s="1"/>
      <c r="F2711" s="59"/>
      <c r="G2711" s="32"/>
      <c r="H2711" s="32"/>
    </row>
    <row r="2712" spans="1:8" ht="15.75" hidden="1" customHeight="1">
      <c r="A2712" s="1"/>
      <c r="B2712" s="2"/>
      <c r="C2712" s="1"/>
      <c r="D2712" s="1"/>
      <c r="F2712" s="59"/>
      <c r="G2712" s="32"/>
      <c r="H2712" s="32"/>
    </row>
    <row r="2713" spans="1:8" ht="15.75" hidden="1" customHeight="1">
      <c r="A2713" s="1"/>
      <c r="B2713" s="2"/>
      <c r="C2713" s="1"/>
      <c r="D2713" s="1"/>
      <c r="E2713" s="1"/>
      <c r="F2713" s="59"/>
      <c r="G2713" s="32"/>
      <c r="H2713" s="32"/>
    </row>
    <row r="2714" spans="1:8" ht="15.75" hidden="1" customHeight="1">
      <c r="A2714" s="1"/>
      <c r="B2714" s="2"/>
      <c r="C2714" s="1"/>
      <c r="D2714" s="1"/>
      <c r="E2714" s="1"/>
      <c r="F2714" s="59"/>
      <c r="G2714" s="32"/>
      <c r="H2714" s="32"/>
    </row>
    <row r="2715" spans="1:8" ht="15.75" hidden="1" customHeight="1">
      <c r="A2715" s="1"/>
      <c r="B2715" s="2"/>
      <c r="C2715" s="1"/>
      <c r="D2715" s="1"/>
      <c r="E2715" s="1"/>
      <c r="F2715" s="59"/>
      <c r="G2715" s="32"/>
      <c r="H2715" s="32"/>
    </row>
    <row r="2716" spans="1:8" ht="15.75" hidden="1" customHeight="1">
      <c r="A2716" s="1"/>
      <c r="B2716" s="2"/>
      <c r="C2716" s="1"/>
      <c r="D2716" s="1"/>
      <c r="E2716" s="1"/>
      <c r="F2716" s="59"/>
      <c r="G2716" s="32"/>
      <c r="H2716" s="32"/>
    </row>
    <row r="2717" spans="1:8" ht="15.75" hidden="1" customHeight="1">
      <c r="A2717" s="1"/>
      <c r="B2717" s="2"/>
      <c r="C2717" s="1"/>
      <c r="D2717" s="1"/>
      <c r="E2717" s="1"/>
      <c r="F2717" s="59"/>
      <c r="G2717" s="32"/>
      <c r="H2717" s="32"/>
    </row>
    <row r="2718" spans="1:8" ht="15.75" hidden="1" customHeight="1">
      <c r="A2718" s="1"/>
      <c r="B2718" s="2"/>
      <c r="C2718" s="1"/>
      <c r="D2718" s="1"/>
      <c r="E2718" s="1"/>
      <c r="F2718" s="59"/>
      <c r="G2718" s="32"/>
      <c r="H2718" s="32"/>
    </row>
    <row r="2719" spans="1:8" ht="15.75" hidden="1" customHeight="1">
      <c r="A2719" s="1"/>
      <c r="B2719" s="2"/>
      <c r="C2719" s="1"/>
      <c r="D2719" s="1"/>
      <c r="E2719" s="1"/>
      <c r="F2719" s="59"/>
      <c r="G2719" s="32"/>
      <c r="H2719" s="32"/>
    </row>
    <row r="2720" spans="1:8" ht="15.75" hidden="1" customHeight="1">
      <c r="A2720" s="1"/>
      <c r="B2720" s="2"/>
      <c r="C2720" s="1"/>
      <c r="D2720" s="1"/>
      <c r="E2720" s="1"/>
      <c r="F2720" s="59"/>
      <c r="G2720" s="32"/>
      <c r="H2720" s="32"/>
    </row>
    <row r="2721" spans="1:8" ht="15.75" hidden="1" customHeight="1">
      <c r="A2721" s="1"/>
      <c r="B2721" s="2"/>
      <c r="C2721" s="1"/>
      <c r="D2721" s="1"/>
      <c r="E2721" s="1"/>
      <c r="F2721" s="59"/>
      <c r="G2721" s="32"/>
      <c r="H2721" s="32"/>
    </row>
    <row r="2722" spans="1:8" ht="15.75" hidden="1" customHeight="1">
      <c r="A2722" s="1"/>
      <c r="B2722" s="2"/>
      <c r="C2722" s="1"/>
      <c r="D2722" s="1"/>
      <c r="E2722" s="1"/>
      <c r="F2722" s="59"/>
      <c r="G2722" s="32"/>
      <c r="H2722" s="32"/>
    </row>
    <row r="2723" spans="1:8" ht="15.75" hidden="1" customHeight="1">
      <c r="A2723" s="1"/>
      <c r="B2723" s="2"/>
      <c r="C2723" s="1"/>
      <c r="D2723" s="1"/>
      <c r="E2723" s="1"/>
      <c r="F2723" s="59"/>
      <c r="G2723" s="32"/>
      <c r="H2723" s="32"/>
    </row>
    <row r="2724" spans="1:8" ht="15.75" hidden="1" customHeight="1">
      <c r="A2724" s="1"/>
      <c r="B2724" s="2"/>
      <c r="C2724" s="1"/>
      <c r="D2724" s="1"/>
      <c r="E2724" s="1"/>
      <c r="F2724" s="59"/>
      <c r="G2724" s="32"/>
      <c r="H2724" s="32"/>
    </row>
    <row r="2725" spans="1:8" ht="15.75" hidden="1" customHeight="1">
      <c r="A2725" s="1"/>
      <c r="B2725" s="2"/>
      <c r="C2725" s="1"/>
      <c r="D2725" s="1"/>
      <c r="E2725" s="1"/>
      <c r="F2725" s="59"/>
      <c r="G2725" s="32"/>
      <c r="H2725" s="32"/>
    </row>
    <row r="2726" spans="1:8" ht="15.75" hidden="1" customHeight="1">
      <c r="A2726" s="1"/>
      <c r="B2726" s="2"/>
      <c r="C2726" s="1"/>
      <c r="D2726" s="1"/>
      <c r="E2726" s="1"/>
      <c r="F2726" s="59"/>
      <c r="G2726" s="32"/>
      <c r="H2726" s="32"/>
    </row>
    <row r="2727" spans="1:8" ht="15.75" hidden="1" customHeight="1">
      <c r="A2727" s="1"/>
      <c r="B2727" s="2"/>
      <c r="C2727" s="1"/>
      <c r="D2727" s="1"/>
      <c r="E2727" s="1"/>
      <c r="F2727" s="59"/>
      <c r="G2727" s="32"/>
      <c r="H2727" s="32"/>
    </row>
    <row r="2728" spans="1:8" ht="15.75" hidden="1" customHeight="1">
      <c r="A2728" s="1"/>
      <c r="B2728" s="2"/>
      <c r="C2728" s="1"/>
      <c r="D2728" s="1"/>
      <c r="E2728" s="1"/>
      <c r="F2728" s="59"/>
      <c r="G2728" s="32"/>
      <c r="H2728" s="32"/>
    </row>
    <row r="2729" spans="1:8" ht="15.75" hidden="1" customHeight="1">
      <c r="A2729" s="1"/>
      <c r="B2729" s="2"/>
      <c r="C2729" s="1"/>
      <c r="D2729" s="1"/>
      <c r="E2729" s="1"/>
      <c r="F2729" s="59"/>
      <c r="G2729" s="32"/>
      <c r="H2729" s="32"/>
    </row>
    <row r="2730" spans="1:8" ht="15.75" hidden="1" customHeight="1">
      <c r="A2730" s="1"/>
      <c r="B2730" s="2"/>
      <c r="C2730" s="1"/>
      <c r="D2730" s="1"/>
      <c r="E2730" s="1"/>
      <c r="F2730" s="59"/>
      <c r="G2730" s="32"/>
      <c r="H2730" s="32"/>
    </row>
    <row r="2731" spans="1:8" ht="15.75" hidden="1" customHeight="1">
      <c r="A2731" s="1"/>
      <c r="B2731" s="2"/>
      <c r="C2731" s="1"/>
      <c r="D2731" s="1"/>
      <c r="E2731" s="1"/>
      <c r="F2731" s="59"/>
      <c r="G2731" s="32"/>
      <c r="H2731" s="32"/>
    </row>
    <row r="2732" spans="1:8" ht="15.75" hidden="1" customHeight="1">
      <c r="A2732" s="1"/>
      <c r="B2732" s="2"/>
      <c r="C2732" s="1"/>
      <c r="D2732" s="1"/>
      <c r="E2732" s="1"/>
      <c r="F2732" s="59"/>
      <c r="G2732" s="32"/>
      <c r="H2732" s="32"/>
    </row>
    <row r="2733" spans="1:8" ht="15.75" hidden="1" customHeight="1">
      <c r="A2733" s="1"/>
      <c r="B2733" s="2"/>
      <c r="C2733" s="1"/>
      <c r="D2733" s="1"/>
      <c r="E2733" s="1"/>
      <c r="F2733" s="59"/>
      <c r="G2733" s="32"/>
      <c r="H2733" s="32"/>
    </row>
    <row r="2734" spans="1:8" ht="15.75" hidden="1" customHeight="1">
      <c r="A2734" s="1"/>
      <c r="B2734" s="2"/>
      <c r="C2734" s="1"/>
      <c r="D2734" s="1"/>
      <c r="E2734" s="1"/>
      <c r="F2734" s="59"/>
      <c r="G2734" s="32"/>
      <c r="H2734" s="32"/>
    </row>
    <row r="2735" spans="1:8" ht="15.75" hidden="1" customHeight="1">
      <c r="A2735" s="1"/>
      <c r="B2735" s="2"/>
      <c r="C2735" s="1"/>
      <c r="D2735" s="1"/>
      <c r="E2735" s="1"/>
      <c r="F2735" s="59"/>
      <c r="G2735" s="32"/>
      <c r="H2735" s="32"/>
    </row>
    <row r="2736" spans="1:8" ht="15.75" hidden="1" customHeight="1">
      <c r="A2736" s="1"/>
      <c r="B2736" s="2"/>
      <c r="C2736" s="1"/>
      <c r="D2736" s="1"/>
      <c r="E2736" s="1"/>
      <c r="F2736" s="59"/>
      <c r="G2736" s="32"/>
      <c r="H2736" s="32"/>
    </row>
    <row r="2737" spans="1:8" ht="15.75" hidden="1" customHeight="1">
      <c r="A2737" s="1"/>
      <c r="B2737" s="2"/>
      <c r="C2737" s="1"/>
      <c r="D2737" s="1"/>
      <c r="E2737" s="1"/>
      <c r="F2737" s="59"/>
      <c r="G2737" s="32"/>
      <c r="H2737" s="32"/>
    </row>
    <row r="2738" spans="1:8" ht="15.75" hidden="1" customHeight="1">
      <c r="A2738" s="1"/>
      <c r="B2738" s="2"/>
      <c r="C2738" s="1"/>
      <c r="D2738" s="1"/>
      <c r="E2738" s="1"/>
      <c r="F2738" s="59"/>
      <c r="G2738" s="32"/>
      <c r="H2738" s="32"/>
    </row>
    <row r="2739" spans="1:8" ht="15.75" hidden="1" customHeight="1">
      <c r="A2739" s="1"/>
      <c r="B2739" s="2"/>
      <c r="C2739" s="1"/>
      <c r="D2739" s="1"/>
      <c r="E2739" s="1"/>
      <c r="F2739" s="59"/>
      <c r="G2739" s="32"/>
      <c r="H2739" s="32"/>
    </row>
    <row r="2740" spans="1:8" ht="15.75" hidden="1" customHeight="1">
      <c r="A2740" s="1"/>
      <c r="B2740" s="2"/>
      <c r="C2740" s="1"/>
      <c r="D2740" s="1"/>
      <c r="E2740" s="1"/>
      <c r="F2740" s="59"/>
      <c r="G2740" s="32"/>
      <c r="H2740" s="32"/>
    </row>
    <row r="2741" spans="1:8" ht="15.75" hidden="1" customHeight="1">
      <c r="A2741" s="1"/>
      <c r="B2741" s="2"/>
      <c r="C2741" s="1"/>
      <c r="D2741" s="1"/>
      <c r="E2741" s="1"/>
      <c r="F2741" s="59"/>
      <c r="G2741" s="32"/>
      <c r="H2741" s="32"/>
    </row>
    <row r="2742" spans="1:8" ht="15.75" hidden="1" customHeight="1">
      <c r="A2742" s="1"/>
      <c r="B2742" s="2"/>
      <c r="C2742" s="1"/>
      <c r="D2742" s="1"/>
      <c r="E2742" s="1"/>
      <c r="F2742" s="59"/>
      <c r="G2742" s="32"/>
      <c r="H2742" s="32"/>
    </row>
    <row r="2743" spans="1:8" ht="15.75" hidden="1" customHeight="1">
      <c r="A2743" s="1"/>
      <c r="B2743" s="2"/>
      <c r="C2743" s="1"/>
      <c r="D2743" s="1"/>
      <c r="E2743" s="1"/>
      <c r="F2743" s="59"/>
      <c r="G2743" s="32"/>
      <c r="H2743" s="32"/>
    </row>
    <row r="2744" spans="1:8" ht="15.75" hidden="1" customHeight="1">
      <c r="A2744" s="1"/>
      <c r="B2744" s="2"/>
      <c r="C2744" s="1"/>
      <c r="D2744" s="1"/>
      <c r="E2744" s="1"/>
      <c r="F2744" s="59"/>
      <c r="G2744" s="32"/>
      <c r="H2744" s="32"/>
    </row>
    <row r="2745" spans="1:8" ht="15.75" hidden="1" customHeight="1">
      <c r="A2745" s="1"/>
      <c r="B2745" s="2"/>
      <c r="C2745" s="1"/>
      <c r="D2745" s="1"/>
      <c r="E2745" s="1"/>
      <c r="F2745" s="59"/>
      <c r="G2745" s="32"/>
      <c r="H2745" s="32"/>
    </row>
    <row r="2746" spans="1:8" ht="15.75" hidden="1" customHeight="1">
      <c r="A2746" s="1"/>
      <c r="B2746" s="2"/>
      <c r="C2746" s="1"/>
      <c r="D2746" s="1"/>
      <c r="E2746" s="1"/>
      <c r="F2746" s="59"/>
      <c r="G2746" s="32"/>
      <c r="H2746" s="32"/>
    </row>
    <row r="2747" spans="1:8" ht="15.75" hidden="1" customHeight="1">
      <c r="A2747" s="1"/>
      <c r="B2747" s="2"/>
      <c r="C2747" s="1"/>
      <c r="D2747" s="1"/>
      <c r="E2747" s="1"/>
      <c r="F2747" s="59"/>
      <c r="G2747" s="32"/>
      <c r="H2747" s="32"/>
    </row>
    <row r="2748" spans="1:8" ht="15.75" hidden="1" customHeight="1">
      <c r="A2748" s="1"/>
      <c r="B2748" s="2"/>
      <c r="C2748" s="1"/>
      <c r="D2748" s="1"/>
      <c r="E2748" s="1"/>
      <c r="F2748" s="59"/>
      <c r="G2748" s="32"/>
      <c r="H2748" s="32"/>
    </row>
    <row r="2749" spans="1:8" ht="15.75" hidden="1" customHeight="1">
      <c r="A2749" s="1"/>
      <c r="B2749" s="2"/>
      <c r="C2749" s="1"/>
      <c r="D2749" s="1"/>
      <c r="E2749" s="1"/>
      <c r="F2749" s="59"/>
      <c r="G2749" s="32"/>
      <c r="H2749" s="32"/>
    </row>
    <row r="2750" spans="1:8" ht="15.75" hidden="1" customHeight="1">
      <c r="A2750" s="1"/>
      <c r="B2750" s="2"/>
      <c r="C2750" s="1"/>
      <c r="D2750" s="1"/>
      <c r="E2750" s="1"/>
      <c r="F2750" s="59"/>
      <c r="G2750" s="32"/>
      <c r="H2750" s="32"/>
    </row>
    <row r="2751" spans="1:8" ht="15.75" hidden="1" customHeight="1">
      <c r="A2751" s="1"/>
      <c r="B2751" s="2"/>
      <c r="C2751" s="1"/>
      <c r="D2751" s="1"/>
      <c r="E2751" s="1"/>
      <c r="F2751" s="59"/>
      <c r="G2751" s="32"/>
      <c r="H2751" s="32"/>
    </row>
    <row r="2752" spans="1:8" ht="15.75" hidden="1" customHeight="1">
      <c r="A2752" s="1"/>
      <c r="B2752" s="2"/>
      <c r="C2752" s="1"/>
      <c r="D2752" s="1"/>
      <c r="E2752" s="1"/>
      <c r="F2752" s="59"/>
      <c r="G2752" s="32"/>
      <c r="H2752" s="32"/>
    </row>
    <row r="2753" spans="1:8" ht="15.75" hidden="1" customHeight="1">
      <c r="A2753" s="1"/>
      <c r="B2753" s="2"/>
      <c r="C2753" s="1"/>
      <c r="D2753" s="1"/>
      <c r="E2753" s="1"/>
      <c r="F2753" s="59"/>
      <c r="G2753" s="32"/>
      <c r="H2753" s="32"/>
    </row>
    <row r="2754" spans="1:8" ht="15.75" hidden="1" customHeight="1">
      <c r="A2754" s="1"/>
      <c r="B2754" s="2"/>
      <c r="C2754" s="1"/>
      <c r="D2754" s="1"/>
      <c r="E2754" s="1"/>
      <c r="F2754" s="59"/>
      <c r="G2754" s="32"/>
      <c r="H2754" s="32"/>
    </row>
    <row r="2755" spans="1:8" ht="15.75" hidden="1" customHeight="1">
      <c r="A2755" s="1"/>
      <c r="B2755" s="2"/>
      <c r="C2755" s="1"/>
      <c r="D2755" s="1"/>
      <c r="E2755" s="1"/>
      <c r="F2755" s="59"/>
      <c r="G2755" s="32"/>
      <c r="H2755" s="32"/>
    </row>
    <row r="2756" spans="1:8" ht="15.75" hidden="1" customHeight="1">
      <c r="A2756" s="1"/>
      <c r="B2756" s="2"/>
      <c r="C2756" s="1"/>
      <c r="D2756" s="1"/>
      <c r="E2756" s="1"/>
      <c r="F2756" s="59"/>
      <c r="G2756" s="32"/>
      <c r="H2756" s="32"/>
    </row>
    <row r="2757" spans="1:8" ht="15.75" hidden="1" customHeight="1">
      <c r="A2757" s="1"/>
      <c r="B2757" s="2"/>
      <c r="C2757" s="1"/>
      <c r="D2757" s="1"/>
      <c r="E2757" s="1"/>
      <c r="F2757" s="59"/>
      <c r="G2757" s="32"/>
      <c r="H2757" s="32"/>
    </row>
    <row r="2758" spans="1:8" ht="15.75" hidden="1" customHeight="1">
      <c r="A2758" s="1"/>
      <c r="B2758" s="2"/>
      <c r="C2758" s="1"/>
      <c r="D2758" s="1"/>
      <c r="E2758" s="1"/>
      <c r="F2758" s="59"/>
      <c r="G2758" s="32"/>
      <c r="H2758" s="32"/>
    </row>
    <row r="2759" spans="1:8" ht="15.75" hidden="1" customHeight="1">
      <c r="A2759" s="1"/>
      <c r="B2759" s="2"/>
      <c r="C2759" s="1"/>
      <c r="D2759" s="1"/>
      <c r="E2759" s="1"/>
      <c r="F2759" s="59"/>
      <c r="G2759" s="32"/>
      <c r="H2759" s="32"/>
    </row>
    <row r="2760" spans="1:8" ht="15.75" hidden="1" customHeight="1">
      <c r="A2760" s="1"/>
      <c r="B2760" s="2"/>
      <c r="C2760" s="1"/>
      <c r="D2760" s="1"/>
      <c r="E2760" s="1"/>
      <c r="F2760" s="59"/>
      <c r="G2760" s="32"/>
      <c r="H2760" s="32"/>
    </row>
    <row r="2761" spans="1:8" ht="15.75" hidden="1" customHeight="1">
      <c r="A2761" s="1"/>
      <c r="B2761" s="2"/>
      <c r="C2761" s="1"/>
      <c r="D2761" s="1"/>
      <c r="E2761" s="1"/>
      <c r="F2761" s="59"/>
      <c r="G2761" s="32"/>
      <c r="H2761" s="32"/>
    </row>
    <row r="2762" spans="1:8" ht="15.75" hidden="1" customHeight="1">
      <c r="A2762" s="1"/>
      <c r="B2762" s="2"/>
      <c r="C2762" s="1"/>
      <c r="D2762" s="1"/>
      <c r="E2762" s="1"/>
      <c r="F2762" s="59"/>
      <c r="G2762" s="32"/>
      <c r="H2762" s="32"/>
    </row>
    <row r="2763" spans="1:8" ht="15.75" hidden="1" customHeight="1">
      <c r="A2763" s="1"/>
      <c r="B2763" s="2"/>
      <c r="C2763" s="1"/>
      <c r="D2763" s="1"/>
      <c r="F2763" s="59"/>
      <c r="G2763" s="32"/>
      <c r="H2763" s="32"/>
    </row>
    <row r="2764" spans="1:8" ht="15.75" hidden="1" customHeight="1">
      <c r="A2764" s="1"/>
      <c r="B2764" s="2"/>
      <c r="C2764" s="1"/>
      <c r="D2764" s="1"/>
      <c r="E2764" s="1"/>
      <c r="F2764" s="59"/>
      <c r="G2764" s="32"/>
      <c r="H2764" s="32"/>
    </row>
    <row r="2765" spans="1:8" ht="15.75" hidden="1" customHeight="1">
      <c r="A2765" s="1"/>
      <c r="B2765" s="2"/>
      <c r="C2765" s="1"/>
      <c r="D2765" s="1"/>
      <c r="E2765" s="1"/>
      <c r="F2765" s="59"/>
      <c r="G2765" s="32"/>
      <c r="H2765" s="32"/>
    </row>
    <row r="2766" spans="1:8" ht="15.75" hidden="1" customHeight="1">
      <c r="A2766" s="1"/>
      <c r="B2766" s="2"/>
      <c r="C2766" s="1"/>
      <c r="D2766" s="1"/>
      <c r="E2766" s="1"/>
      <c r="F2766" s="59"/>
      <c r="G2766" s="32"/>
      <c r="H2766" s="32"/>
    </row>
    <row r="2767" spans="1:8" ht="15.75" hidden="1" customHeight="1">
      <c r="A2767" s="1"/>
      <c r="B2767" s="2"/>
      <c r="C2767" s="1"/>
      <c r="D2767" s="1"/>
      <c r="E2767" s="1"/>
      <c r="F2767" s="59"/>
      <c r="G2767" s="32"/>
      <c r="H2767" s="32"/>
    </row>
    <row r="2768" spans="1:8" ht="15.75" hidden="1" customHeight="1">
      <c r="B2768" s="2"/>
      <c r="F2768" s="59"/>
      <c r="G2768" s="32"/>
      <c r="H2768" s="32"/>
    </row>
    <row r="2769" spans="2:8" ht="15.75" hidden="1" customHeight="1">
      <c r="B2769" s="2"/>
      <c r="F2769" s="59"/>
      <c r="G2769" s="32"/>
      <c r="H2769" s="32"/>
    </row>
    <row r="2770" spans="2:8" ht="15.75" hidden="1" customHeight="1">
      <c r="B2770" s="2"/>
      <c r="F2770" s="59"/>
      <c r="G2770" s="32"/>
      <c r="H2770" s="32"/>
    </row>
    <row r="2771" spans="2:8" ht="15.75" hidden="1" customHeight="1">
      <c r="B2771" s="2"/>
      <c r="F2771" s="59"/>
      <c r="G2771" s="32"/>
      <c r="H2771" s="32"/>
    </row>
    <row r="2772" spans="2:8" ht="15.75" hidden="1" customHeight="1">
      <c r="B2772" s="2"/>
      <c r="F2772" s="59"/>
      <c r="G2772" s="32"/>
      <c r="H2772" s="32"/>
    </row>
    <row r="2773" spans="2:8" ht="15.75" hidden="1" customHeight="1">
      <c r="B2773" s="2"/>
      <c r="F2773" s="59"/>
      <c r="G2773" s="32"/>
      <c r="H2773" s="32"/>
    </row>
    <row r="2774" spans="2:8" ht="15.75" hidden="1" customHeight="1">
      <c r="B2774" s="2"/>
      <c r="F2774" s="59"/>
      <c r="G2774" s="32"/>
      <c r="H2774" s="32"/>
    </row>
    <row r="2775" spans="2:8" ht="15.75" hidden="1" customHeight="1">
      <c r="B2775" s="2"/>
      <c r="F2775" s="59"/>
      <c r="G2775" s="32"/>
      <c r="H2775" s="32"/>
    </row>
    <row r="2776" spans="2:8" ht="15.75" hidden="1" customHeight="1">
      <c r="B2776" s="2"/>
      <c r="F2776" s="59"/>
      <c r="G2776" s="32"/>
      <c r="H2776" s="32"/>
    </row>
    <row r="2777" spans="2:8" ht="15.75" hidden="1" customHeight="1">
      <c r="B2777" s="2"/>
      <c r="F2777" s="59"/>
      <c r="G2777" s="32"/>
      <c r="H2777" s="32"/>
    </row>
    <row r="2778" spans="2:8" ht="15.75" hidden="1" customHeight="1">
      <c r="B2778" s="2"/>
      <c r="F2778" s="59"/>
      <c r="G2778" s="32"/>
      <c r="H2778" s="32"/>
    </row>
    <row r="2779" spans="2:8" ht="15.75" hidden="1" customHeight="1">
      <c r="B2779" s="2"/>
      <c r="F2779" s="59"/>
      <c r="G2779" s="32"/>
      <c r="H2779" s="32"/>
    </row>
    <row r="2780" spans="2:8" ht="15.75" hidden="1" customHeight="1">
      <c r="B2780" s="2"/>
      <c r="F2780" s="59"/>
      <c r="G2780" s="32"/>
      <c r="H2780" s="32"/>
    </row>
    <row r="2781" spans="2:8" ht="15.75" hidden="1" customHeight="1">
      <c r="B2781" s="2"/>
      <c r="F2781" s="59"/>
      <c r="G2781" s="32"/>
      <c r="H2781" s="32"/>
    </row>
    <row r="2782" spans="2:8" ht="15.75" hidden="1" customHeight="1">
      <c r="B2782" s="2"/>
      <c r="F2782" s="59"/>
      <c r="G2782" s="32"/>
      <c r="H2782" s="32"/>
    </row>
    <row r="2783" spans="2:8" ht="15.75" hidden="1" customHeight="1">
      <c r="B2783" s="2"/>
      <c r="F2783" s="59"/>
      <c r="G2783" s="32"/>
      <c r="H2783" s="32"/>
    </row>
    <row r="2784" spans="2:8" ht="15.75" hidden="1" customHeight="1">
      <c r="B2784" s="2"/>
      <c r="F2784" s="59"/>
      <c r="G2784" s="32"/>
      <c r="H2784" s="32"/>
    </row>
    <row r="2785" spans="2:8" ht="15.75" hidden="1" customHeight="1">
      <c r="B2785" s="2"/>
      <c r="F2785" s="59"/>
      <c r="G2785" s="32"/>
      <c r="H2785" s="32"/>
    </row>
    <row r="2786" spans="2:8" ht="15.75" hidden="1" customHeight="1">
      <c r="B2786" s="2"/>
      <c r="F2786" s="59"/>
      <c r="G2786" s="32"/>
      <c r="H2786" s="32"/>
    </row>
    <row r="2787" spans="2:8" ht="15.75" hidden="1" customHeight="1">
      <c r="B2787" s="2"/>
      <c r="F2787" s="59"/>
      <c r="G2787" s="32"/>
      <c r="H2787" s="32"/>
    </row>
    <row r="2788" spans="2:8" ht="15.75" hidden="1" customHeight="1">
      <c r="B2788" s="2"/>
      <c r="F2788" s="59"/>
      <c r="G2788" s="32"/>
      <c r="H2788" s="32"/>
    </row>
    <row r="2789" spans="2:8" ht="15.75" hidden="1" customHeight="1">
      <c r="B2789" s="2"/>
      <c r="F2789" s="59"/>
      <c r="G2789" s="32"/>
      <c r="H2789" s="32"/>
    </row>
    <row r="2790" spans="2:8" ht="15.75" hidden="1" customHeight="1">
      <c r="B2790" s="2"/>
      <c r="F2790" s="59"/>
      <c r="G2790" s="32"/>
      <c r="H2790" s="32"/>
    </row>
    <row r="2791" spans="2:8" ht="15.75" hidden="1" customHeight="1">
      <c r="B2791" s="2"/>
      <c r="F2791" s="59"/>
      <c r="G2791" s="32"/>
      <c r="H2791" s="32"/>
    </row>
    <row r="2792" spans="2:8" ht="15.75" hidden="1" customHeight="1">
      <c r="B2792" s="2"/>
      <c r="F2792" s="59"/>
      <c r="G2792" s="32"/>
      <c r="H2792" s="32"/>
    </row>
    <row r="2793" spans="2:8" ht="15.75" hidden="1" customHeight="1">
      <c r="B2793" s="2"/>
      <c r="F2793" s="59"/>
      <c r="G2793" s="32"/>
      <c r="H2793" s="32"/>
    </row>
    <row r="2794" spans="2:8" ht="15.75" hidden="1" customHeight="1">
      <c r="B2794" s="2"/>
      <c r="F2794" s="59"/>
      <c r="G2794" s="32"/>
      <c r="H2794" s="32"/>
    </row>
    <row r="2795" spans="2:8" ht="15.75" hidden="1" customHeight="1">
      <c r="B2795" s="2"/>
      <c r="F2795" s="59"/>
      <c r="G2795" s="32"/>
      <c r="H2795" s="32"/>
    </row>
    <row r="2796" spans="2:8" ht="15.75" hidden="1" customHeight="1">
      <c r="B2796" s="2"/>
      <c r="F2796" s="59"/>
      <c r="G2796" s="32"/>
      <c r="H2796" s="32"/>
    </row>
    <row r="2797" spans="2:8" ht="15.75" hidden="1" customHeight="1">
      <c r="B2797" s="2"/>
      <c r="F2797" s="59"/>
      <c r="G2797" s="32"/>
      <c r="H2797" s="32"/>
    </row>
    <row r="2798" spans="2:8" ht="15.75" hidden="1" customHeight="1">
      <c r="B2798" s="2"/>
      <c r="F2798" s="59"/>
      <c r="G2798" s="32"/>
      <c r="H2798" s="32"/>
    </row>
    <row r="2799" spans="2:8" ht="15.75" hidden="1" customHeight="1">
      <c r="B2799" s="2"/>
      <c r="F2799" s="59"/>
      <c r="G2799" s="32"/>
      <c r="H2799" s="32"/>
    </row>
    <row r="2800" spans="2:8" ht="15.75" hidden="1" customHeight="1">
      <c r="B2800" s="2"/>
      <c r="F2800" s="59"/>
      <c r="G2800" s="32"/>
      <c r="H2800" s="32"/>
    </row>
    <row r="2801" spans="2:8" ht="15.75" hidden="1" customHeight="1">
      <c r="B2801" s="2"/>
      <c r="F2801" s="59"/>
      <c r="G2801" s="32"/>
      <c r="H2801" s="32"/>
    </row>
    <row r="2802" spans="2:8" ht="15.75" hidden="1" customHeight="1">
      <c r="B2802" s="2"/>
      <c r="F2802" s="59"/>
      <c r="G2802" s="32"/>
      <c r="H2802" s="32"/>
    </row>
    <row r="2803" spans="2:8" ht="15.75" hidden="1" customHeight="1">
      <c r="B2803" s="2"/>
      <c r="F2803" s="59"/>
      <c r="G2803" s="32"/>
      <c r="H2803" s="32"/>
    </row>
    <row r="2804" spans="2:8" ht="15.75" hidden="1" customHeight="1">
      <c r="B2804" s="2"/>
      <c r="F2804" s="59"/>
      <c r="G2804" s="32"/>
      <c r="H2804" s="32"/>
    </row>
    <row r="2805" spans="2:8" ht="15.75" hidden="1" customHeight="1">
      <c r="B2805" s="2"/>
      <c r="F2805" s="59"/>
      <c r="G2805" s="32"/>
      <c r="H2805" s="32"/>
    </row>
    <row r="2806" spans="2:8" ht="15.75" hidden="1" customHeight="1">
      <c r="B2806" s="2"/>
      <c r="F2806" s="59"/>
      <c r="G2806" s="32"/>
      <c r="H2806" s="32"/>
    </row>
    <row r="2807" spans="2:8" ht="15.75" hidden="1" customHeight="1">
      <c r="B2807" s="2"/>
      <c r="F2807" s="59"/>
      <c r="G2807" s="32"/>
      <c r="H2807" s="32"/>
    </row>
    <row r="2808" spans="2:8" ht="15.75" hidden="1" customHeight="1">
      <c r="B2808" s="2"/>
      <c r="F2808" s="59"/>
      <c r="G2808" s="32"/>
      <c r="H2808" s="32"/>
    </row>
    <row r="2809" spans="2:8" ht="15.75" hidden="1" customHeight="1">
      <c r="B2809" s="2"/>
      <c r="F2809" s="59"/>
      <c r="G2809" s="32"/>
      <c r="H2809" s="32"/>
    </row>
    <row r="2810" spans="2:8" ht="15.75" hidden="1" customHeight="1">
      <c r="B2810" s="2"/>
      <c r="F2810" s="59"/>
      <c r="G2810" s="32"/>
      <c r="H2810" s="32"/>
    </row>
    <row r="2811" spans="2:8" ht="15.75" hidden="1" customHeight="1">
      <c r="B2811" s="2"/>
      <c r="F2811" s="59"/>
      <c r="G2811" s="32"/>
      <c r="H2811" s="32"/>
    </row>
    <row r="2812" spans="2:8" ht="15.75" hidden="1" customHeight="1">
      <c r="B2812" s="2"/>
      <c r="F2812" s="59"/>
      <c r="G2812" s="32"/>
      <c r="H2812" s="32"/>
    </row>
    <row r="2813" spans="2:8" ht="15.75" hidden="1" customHeight="1">
      <c r="B2813" s="2"/>
      <c r="F2813" s="59"/>
      <c r="G2813" s="32"/>
      <c r="H2813" s="32"/>
    </row>
    <row r="2814" spans="2:8" ht="15.75" hidden="1" customHeight="1">
      <c r="B2814" s="2"/>
      <c r="F2814" s="59"/>
      <c r="G2814" s="32"/>
      <c r="H2814" s="32"/>
    </row>
    <row r="2815" spans="2:8" ht="15.75" hidden="1" customHeight="1">
      <c r="B2815" s="2"/>
      <c r="F2815" s="59"/>
      <c r="G2815" s="32"/>
      <c r="H2815" s="32"/>
    </row>
    <row r="2816" spans="2:8" ht="15.75" hidden="1" customHeight="1">
      <c r="B2816" s="2"/>
      <c r="F2816" s="59"/>
      <c r="G2816" s="32"/>
      <c r="H2816" s="32"/>
    </row>
    <row r="2817" spans="2:8" ht="15.75" hidden="1" customHeight="1">
      <c r="B2817" s="2"/>
      <c r="F2817" s="59"/>
      <c r="G2817" s="32"/>
      <c r="H2817" s="32"/>
    </row>
    <row r="2818" spans="2:8" ht="15.75" hidden="1" customHeight="1">
      <c r="B2818" s="2"/>
      <c r="F2818" s="59"/>
      <c r="G2818" s="32"/>
      <c r="H2818" s="32"/>
    </row>
    <row r="2819" spans="2:8" ht="15.75" hidden="1" customHeight="1">
      <c r="B2819" s="2"/>
      <c r="F2819" s="59"/>
      <c r="G2819" s="32"/>
      <c r="H2819" s="32"/>
    </row>
    <row r="2820" spans="2:8" ht="15.75" hidden="1" customHeight="1">
      <c r="B2820" s="2"/>
      <c r="F2820" s="59"/>
      <c r="G2820" s="32"/>
      <c r="H2820" s="32"/>
    </row>
    <row r="2821" spans="2:8" ht="15.75" hidden="1" customHeight="1">
      <c r="B2821" s="2"/>
      <c r="F2821" s="59"/>
      <c r="G2821" s="32"/>
      <c r="H2821" s="32"/>
    </row>
    <row r="2822" spans="2:8" ht="15.75" hidden="1" customHeight="1">
      <c r="B2822" s="2"/>
      <c r="F2822" s="59"/>
      <c r="G2822" s="32"/>
      <c r="H2822" s="32"/>
    </row>
    <row r="2823" spans="2:8" ht="15.75" hidden="1" customHeight="1">
      <c r="B2823" s="2"/>
      <c r="F2823" s="59"/>
      <c r="G2823" s="32"/>
      <c r="H2823" s="32"/>
    </row>
    <row r="2824" spans="2:8" ht="15.75" hidden="1" customHeight="1">
      <c r="B2824" s="2"/>
      <c r="F2824" s="59"/>
      <c r="G2824" s="32"/>
      <c r="H2824" s="32"/>
    </row>
    <row r="2825" spans="2:8" ht="15.75" hidden="1" customHeight="1">
      <c r="B2825" s="2"/>
      <c r="F2825" s="59"/>
      <c r="G2825" s="32"/>
      <c r="H2825" s="32"/>
    </row>
    <row r="2826" spans="2:8" ht="15.75" hidden="1" customHeight="1">
      <c r="B2826" s="2"/>
      <c r="F2826" s="59"/>
      <c r="G2826" s="32"/>
      <c r="H2826" s="32"/>
    </row>
    <row r="2827" spans="2:8" ht="15.75" hidden="1" customHeight="1">
      <c r="B2827" s="2"/>
      <c r="F2827" s="59"/>
      <c r="G2827" s="32"/>
      <c r="H2827" s="32"/>
    </row>
    <row r="2828" spans="2:8" ht="15.75" hidden="1" customHeight="1">
      <c r="B2828" s="2"/>
      <c r="F2828" s="59"/>
      <c r="G2828" s="32"/>
      <c r="H2828" s="32"/>
    </row>
    <row r="2829" spans="2:8" ht="15.75" hidden="1" customHeight="1">
      <c r="B2829" s="2"/>
      <c r="F2829" s="59"/>
      <c r="G2829" s="32"/>
      <c r="H2829" s="32"/>
    </row>
    <row r="2830" spans="2:8" ht="15.75" hidden="1" customHeight="1">
      <c r="B2830" s="2"/>
      <c r="F2830" s="59"/>
      <c r="G2830" s="32"/>
      <c r="H2830" s="32"/>
    </row>
    <row r="2831" spans="2:8" ht="15.75" hidden="1" customHeight="1">
      <c r="B2831" s="2"/>
      <c r="F2831" s="59"/>
      <c r="G2831" s="32"/>
      <c r="H2831" s="32"/>
    </row>
    <row r="2832" spans="2:8" ht="15.75" hidden="1" customHeight="1">
      <c r="B2832" s="2"/>
      <c r="F2832" s="59"/>
      <c r="G2832" s="32"/>
      <c r="H2832" s="32"/>
    </row>
    <row r="2833" spans="2:8" ht="15.75" hidden="1" customHeight="1">
      <c r="B2833" s="2"/>
      <c r="F2833" s="59"/>
      <c r="G2833" s="32"/>
      <c r="H2833" s="32"/>
    </row>
    <row r="2834" spans="2:8" ht="15.75" hidden="1" customHeight="1">
      <c r="B2834" s="2"/>
      <c r="F2834" s="59"/>
      <c r="G2834" s="32"/>
      <c r="H2834" s="32"/>
    </row>
    <row r="2835" spans="2:8" ht="15.75" hidden="1" customHeight="1">
      <c r="B2835" s="2"/>
      <c r="F2835" s="59"/>
      <c r="G2835" s="32"/>
      <c r="H2835" s="32"/>
    </row>
    <row r="2836" spans="2:8" ht="15.75" hidden="1" customHeight="1">
      <c r="B2836" s="2"/>
      <c r="F2836" s="59"/>
      <c r="G2836" s="32"/>
      <c r="H2836" s="32"/>
    </row>
    <row r="2837" spans="2:8" ht="15.75" hidden="1" customHeight="1">
      <c r="B2837" s="2"/>
      <c r="F2837" s="59"/>
      <c r="G2837" s="32"/>
      <c r="H2837" s="32"/>
    </row>
    <row r="2838" spans="2:8" ht="15.75" hidden="1" customHeight="1">
      <c r="B2838" s="2"/>
      <c r="F2838" s="59"/>
      <c r="G2838" s="32"/>
      <c r="H2838" s="32"/>
    </row>
    <row r="2839" spans="2:8" ht="15.75" hidden="1" customHeight="1">
      <c r="B2839" s="2"/>
      <c r="F2839" s="59"/>
      <c r="G2839" s="32"/>
      <c r="H2839" s="32"/>
    </row>
    <row r="2840" spans="2:8" ht="15.75" hidden="1" customHeight="1">
      <c r="B2840" s="2"/>
      <c r="F2840" s="59"/>
      <c r="G2840" s="32"/>
      <c r="H2840" s="32"/>
    </row>
    <row r="2841" spans="2:8" ht="15.75" hidden="1" customHeight="1">
      <c r="B2841" s="2"/>
      <c r="F2841" s="59"/>
      <c r="G2841" s="32"/>
      <c r="H2841" s="32"/>
    </row>
    <row r="2842" spans="2:8" ht="15.75" hidden="1" customHeight="1">
      <c r="B2842" s="2"/>
      <c r="F2842" s="59"/>
      <c r="G2842" s="32"/>
      <c r="H2842" s="32"/>
    </row>
    <row r="2843" spans="2:8" ht="15.75" hidden="1" customHeight="1">
      <c r="B2843" s="2"/>
      <c r="F2843" s="59"/>
      <c r="G2843" s="32"/>
      <c r="H2843" s="32"/>
    </row>
    <row r="2844" spans="2:8" ht="15.75" hidden="1" customHeight="1">
      <c r="B2844" s="2"/>
      <c r="F2844" s="59"/>
      <c r="G2844" s="32"/>
      <c r="H2844" s="32"/>
    </row>
    <row r="2845" spans="2:8" ht="15.75" hidden="1" customHeight="1">
      <c r="B2845" s="2"/>
      <c r="F2845" s="59"/>
      <c r="G2845" s="32"/>
      <c r="H2845" s="32"/>
    </row>
    <row r="2846" spans="2:8" ht="15.75" hidden="1" customHeight="1">
      <c r="B2846" s="2"/>
      <c r="F2846" s="59"/>
      <c r="G2846" s="32"/>
      <c r="H2846" s="32"/>
    </row>
    <row r="2847" spans="2:8" ht="15.75" hidden="1" customHeight="1">
      <c r="B2847" s="2"/>
      <c r="F2847" s="59"/>
      <c r="G2847" s="32"/>
      <c r="H2847" s="32"/>
    </row>
    <row r="2848" spans="2:8" ht="15.75" hidden="1" customHeight="1">
      <c r="B2848" s="2"/>
      <c r="F2848" s="59"/>
      <c r="G2848" s="32"/>
      <c r="H2848" s="32"/>
    </row>
    <row r="2849" spans="2:8" ht="15.75" hidden="1" customHeight="1">
      <c r="B2849" s="2"/>
      <c r="F2849" s="59"/>
      <c r="G2849" s="32"/>
      <c r="H2849" s="32"/>
    </row>
    <row r="2850" spans="2:8" ht="15.75" hidden="1" customHeight="1">
      <c r="B2850" s="2"/>
      <c r="F2850" s="59"/>
      <c r="G2850" s="32"/>
      <c r="H2850" s="32"/>
    </row>
    <row r="2851" spans="2:8" ht="15.75" hidden="1" customHeight="1">
      <c r="B2851" s="2"/>
      <c r="F2851" s="59"/>
      <c r="G2851" s="32"/>
      <c r="H2851" s="32"/>
    </row>
    <row r="2852" spans="2:8" ht="15.75" hidden="1" customHeight="1">
      <c r="B2852" s="2"/>
      <c r="F2852" s="59"/>
      <c r="G2852" s="32"/>
      <c r="H2852" s="32"/>
    </row>
    <row r="2853" spans="2:8" ht="15.75" hidden="1" customHeight="1">
      <c r="B2853" s="2"/>
      <c r="F2853" s="59"/>
      <c r="G2853" s="32"/>
      <c r="H2853" s="32"/>
    </row>
    <row r="2854" spans="2:8" ht="15.75" hidden="1" customHeight="1">
      <c r="B2854" s="2"/>
      <c r="F2854" s="59"/>
      <c r="G2854" s="32"/>
      <c r="H2854" s="32"/>
    </row>
    <row r="2855" spans="2:8" ht="15.75" hidden="1" customHeight="1">
      <c r="B2855" s="2"/>
      <c r="F2855" s="59"/>
      <c r="G2855" s="32"/>
      <c r="H2855" s="32"/>
    </row>
    <row r="2856" spans="2:8" ht="15.75" hidden="1" customHeight="1">
      <c r="B2856" s="2"/>
      <c r="F2856" s="59"/>
      <c r="G2856" s="32"/>
      <c r="H2856" s="32"/>
    </row>
    <row r="2857" spans="2:8" ht="15.75" hidden="1" customHeight="1">
      <c r="B2857" s="2"/>
      <c r="F2857" s="59"/>
      <c r="G2857" s="32"/>
      <c r="H2857" s="32"/>
    </row>
    <row r="2858" spans="2:8" ht="15.75" hidden="1" customHeight="1">
      <c r="B2858" s="2"/>
      <c r="F2858" s="59"/>
      <c r="G2858" s="32"/>
      <c r="H2858" s="32"/>
    </row>
    <row r="2859" spans="2:8" ht="15.75" hidden="1" customHeight="1">
      <c r="B2859" s="2"/>
      <c r="F2859" s="59"/>
      <c r="G2859" s="32"/>
      <c r="H2859" s="32"/>
    </row>
    <row r="2860" spans="2:8" ht="15.75" hidden="1" customHeight="1">
      <c r="B2860" s="2"/>
      <c r="F2860" s="59"/>
      <c r="G2860" s="32"/>
      <c r="H2860" s="32"/>
    </row>
    <row r="2861" spans="2:8" ht="15.75" hidden="1" customHeight="1">
      <c r="B2861" s="2"/>
      <c r="F2861" s="59"/>
      <c r="G2861" s="32"/>
      <c r="H2861" s="32"/>
    </row>
    <row r="2862" spans="2:8" ht="15.75" hidden="1" customHeight="1">
      <c r="B2862" s="2"/>
      <c r="F2862" s="59"/>
      <c r="G2862" s="32"/>
      <c r="H2862" s="32"/>
    </row>
    <row r="2863" spans="2:8" ht="15.75" hidden="1" customHeight="1">
      <c r="B2863" s="2"/>
      <c r="F2863" s="59"/>
      <c r="G2863" s="32"/>
      <c r="H2863" s="32"/>
    </row>
    <row r="2864" spans="2:8" ht="15.75" hidden="1" customHeight="1">
      <c r="B2864" s="2"/>
      <c r="F2864" s="59"/>
      <c r="G2864" s="32"/>
      <c r="H2864" s="32"/>
    </row>
    <row r="2865" spans="2:8" ht="15.75" hidden="1" customHeight="1">
      <c r="B2865" s="2"/>
      <c r="F2865" s="59"/>
      <c r="G2865" s="32"/>
      <c r="H2865" s="32"/>
    </row>
    <row r="2866" spans="2:8" ht="15.75" hidden="1" customHeight="1">
      <c r="B2866" s="2"/>
      <c r="F2866" s="59"/>
      <c r="G2866" s="32"/>
      <c r="H2866" s="32"/>
    </row>
    <row r="2867" spans="2:8" ht="15.75" hidden="1" customHeight="1">
      <c r="B2867" s="2"/>
      <c r="F2867" s="59"/>
      <c r="G2867" s="32"/>
      <c r="H2867" s="32"/>
    </row>
    <row r="2868" spans="2:8" ht="15.75" hidden="1" customHeight="1">
      <c r="B2868" s="2"/>
      <c r="F2868" s="59"/>
      <c r="G2868" s="32"/>
      <c r="H2868" s="32"/>
    </row>
    <row r="2869" spans="2:8" ht="15.75" hidden="1" customHeight="1">
      <c r="B2869" s="2"/>
      <c r="F2869" s="59"/>
      <c r="G2869" s="32"/>
      <c r="H2869" s="32"/>
    </row>
    <row r="2870" spans="2:8" ht="15.75" hidden="1" customHeight="1">
      <c r="B2870" s="2"/>
      <c r="F2870" s="59"/>
      <c r="G2870" s="32"/>
      <c r="H2870" s="32"/>
    </row>
    <row r="2871" spans="2:8" ht="15.75" hidden="1" customHeight="1">
      <c r="B2871" s="2"/>
      <c r="F2871" s="59"/>
      <c r="G2871" s="32"/>
      <c r="H2871" s="32"/>
    </row>
    <row r="2872" spans="2:8" ht="15.75" hidden="1" customHeight="1">
      <c r="B2872" s="2"/>
      <c r="F2872" s="59"/>
      <c r="G2872" s="32"/>
      <c r="H2872" s="32"/>
    </row>
    <row r="2873" spans="2:8" ht="15.75" hidden="1" customHeight="1">
      <c r="B2873" s="2"/>
      <c r="F2873" s="59"/>
      <c r="G2873" s="32"/>
      <c r="H2873" s="32"/>
    </row>
    <row r="2874" spans="2:8" ht="15.75" hidden="1" customHeight="1">
      <c r="B2874" s="2"/>
      <c r="F2874" s="59"/>
      <c r="G2874" s="32"/>
      <c r="H2874" s="32"/>
    </row>
    <row r="2875" spans="2:8" ht="15.75" hidden="1" customHeight="1">
      <c r="B2875" s="2"/>
      <c r="F2875" s="59"/>
      <c r="G2875" s="32"/>
      <c r="H2875" s="32"/>
    </row>
    <row r="2876" spans="2:8" ht="15.75" hidden="1" customHeight="1">
      <c r="B2876" s="2"/>
      <c r="F2876" s="59"/>
      <c r="G2876" s="32"/>
      <c r="H2876" s="32"/>
    </row>
    <row r="2877" spans="2:8" ht="15.75" hidden="1" customHeight="1">
      <c r="B2877" s="2"/>
      <c r="F2877" s="59"/>
      <c r="G2877" s="32"/>
      <c r="H2877" s="32"/>
    </row>
    <row r="2878" spans="2:8" ht="15.75" hidden="1" customHeight="1">
      <c r="B2878" s="2"/>
      <c r="F2878" s="59"/>
      <c r="G2878" s="32"/>
      <c r="H2878" s="32"/>
    </row>
    <row r="2879" spans="2:8" ht="15.75" hidden="1" customHeight="1">
      <c r="B2879" s="2"/>
      <c r="F2879" s="59"/>
      <c r="G2879" s="32"/>
      <c r="H2879" s="32"/>
    </row>
    <row r="2880" spans="2:8" ht="15.75" hidden="1" customHeight="1">
      <c r="B2880" s="2"/>
      <c r="F2880" s="59"/>
      <c r="G2880" s="32"/>
      <c r="H2880" s="32"/>
    </row>
    <row r="2881" spans="2:8" ht="15.75" hidden="1" customHeight="1">
      <c r="B2881" s="2"/>
      <c r="F2881" s="59"/>
      <c r="G2881" s="32"/>
      <c r="H2881" s="32"/>
    </row>
    <row r="2882" spans="2:8" ht="15.75" hidden="1" customHeight="1">
      <c r="B2882" s="2"/>
      <c r="F2882" s="59"/>
      <c r="G2882" s="32"/>
      <c r="H2882" s="32"/>
    </row>
    <row r="2883" spans="2:8" ht="15.75" hidden="1" customHeight="1">
      <c r="B2883" s="2"/>
      <c r="F2883" s="59"/>
      <c r="G2883" s="32"/>
      <c r="H2883" s="32"/>
    </row>
    <row r="2884" spans="2:8" ht="15.75" hidden="1" customHeight="1">
      <c r="B2884" s="2"/>
      <c r="F2884" s="59"/>
      <c r="G2884" s="32"/>
      <c r="H2884" s="32"/>
    </row>
    <row r="2885" spans="2:8" ht="15.75" hidden="1" customHeight="1">
      <c r="B2885" s="2"/>
      <c r="F2885" s="59"/>
      <c r="G2885" s="32"/>
      <c r="H2885" s="32"/>
    </row>
    <row r="2886" spans="2:8" ht="15.75" hidden="1" customHeight="1">
      <c r="B2886" s="2"/>
      <c r="F2886" s="59"/>
      <c r="G2886" s="32"/>
      <c r="H2886" s="32"/>
    </row>
    <row r="2887" spans="2:8" ht="15.75" hidden="1" customHeight="1">
      <c r="B2887" s="2"/>
      <c r="F2887" s="59"/>
      <c r="G2887" s="32"/>
      <c r="H2887" s="32"/>
    </row>
    <row r="2888" spans="2:8" ht="15.75" hidden="1" customHeight="1">
      <c r="B2888" s="2"/>
      <c r="F2888" s="59"/>
      <c r="G2888" s="32"/>
      <c r="H2888" s="32"/>
    </row>
    <row r="2889" spans="2:8" ht="15.75" hidden="1" customHeight="1">
      <c r="B2889" s="2"/>
      <c r="F2889" s="59"/>
      <c r="G2889" s="32"/>
      <c r="H2889" s="32"/>
    </row>
    <row r="2890" spans="2:8" ht="15.75" hidden="1" customHeight="1">
      <c r="B2890" s="2"/>
      <c r="F2890" s="59"/>
      <c r="G2890" s="32"/>
      <c r="H2890" s="32"/>
    </row>
    <row r="2891" spans="2:8" ht="15.75" hidden="1" customHeight="1">
      <c r="B2891" s="2"/>
      <c r="F2891" s="59"/>
      <c r="G2891" s="32"/>
      <c r="H2891" s="32"/>
    </row>
    <row r="2892" spans="2:8" ht="15.75" hidden="1" customHeight="1">
      <c r="B2892" s="2"/>
      <c r="F2892" s="59"/>
      <c r="G2892" s="32"/>
      <c r="H2892" s="32"/>
    </row>
    <row r="2893" spans="2:8" ht="15.75" hidden="1" customHeight="1">
      <c r="B2893" s="2"/>
      <c r="F2893" s="59"/>
      <c r="G2893" s="32"/>
      <c r="H2893" s="32"/>
    </row>
    <row r="2894" spans="2:8" ht="15.75" hidden="1" customHeight="1">
      <c r="B2894" s="2"/>
      <c r="F2894" s="59"/>
      <c r="G2894" s="32"/>
      <c r="H2894" s="32"/>
    </row>
    <row r="2895" spans="2:8" ht="15.75" hidden="1" customHeight="1">
      <c r="B2895" s="2"/>
      <c r="F2895" s="59"/>
      <c r="G2895" s="32"/>
      <c r="H2895" s="32"/>
    </row>
    <row r="2896" spans="2:8" ht="15.75" hidden="1" customHeight="1">
      <c r="B2896" s="2"/>
      <c r="F2896" s="59"/>
      <c r="G2896" s="32"/>
      <c r="H2896" s="32"/>
    </row>
    <row r="2897" spans="2:8" ht="15.75" hidden="1" customHeight="1">
      <c r="B2897" s="2"/>
      <c r="F2897" s="59"/>
      <c r="G2897" s="32"/>
      <c r="H2897" s="32"/>
    </row>
    <row r="2898" spans="2:8" ht="15.75" hidden="1" customHeight="1">
      <c r="B2898" s="2"/>
      <c r="F2898" s="59"/>
      <c r="G2898" s="32"/>
      <c r="H2898" s="32"/>
    </row>
    <row r="2899" spans="2:8" ht="15.75" hidden="1" customHeight="1">
      <c r="B2899" s="2"/>
      <c r="F2899" s="59"/>
      <c r="G2899" s="32"/>
      <c r="H2899" s="32"/>
    </row>
    <row r="2900" spans="2:8" ht="15.75" hidden="1" customHeight="1">
      <c r="B2900" s="2"/>
      <c r="F2900" s="59"/>
      <c r="G2900" s="32"/>
      <c r="H2900" s="32"/>
    </row>
    <row r="2901" spans="2:8" ht="15.75" hidden="1" customHeight="1">
      <c r="B2901" s="2"/>
      <c r="F2901" s="59"/>
      <c r="G2901" s="32"/>
      <c r="H2901" s="32"/>
    </row>
    <row r="2902" spans="2:8" ht="15.75" hidden="1" customHeight="1">
      <c r="B2902" s="2"/>
      <c r="F2902" s="59"/>
      <c r="G2902" s="32"/>
      <c r="H2902" s="32"/>
    </row>
    <row r="2903" spans="2:8" ht="15.75" hidden="1" customHeight="1">
      <c r="B2903" s="2"/>
      <c r="F2903" s="59"/>
      <c r="G2903" s="32"/>
      <c r="H2903" s="32"/>
    </row>
    <row r="2904" spans="2:8" ht="15.75" hidden="1" customHeight="1">
      <c r="B2904" s="2"/>
      <c r="F2904" s="59"/>
      <c r="G2904" s="32"/>
      <c r="H2904" s="32"/>
    </row>
    <row r="2905" spans="2:8" ht="15.75" hidden="1" customHeight="1">
      <c r="B2905" s="2"/>
      <c r="F2905" s="59"/>
      <c r="G2905" s="32"/>
      <c r="H2905" s="32"/>
    </row>
    <row r="2906" spans="2:8" ht="15.75" hidden="1" customHeight="1">
      <c r="B2906" s="2"/>
      <c r="F2906" s="59"/>
      <c r="G2906" s="32"/>
      <c r="H2906" s="32"/>
    </row>
    <row r="2907" spans="2:8" ht="15.75" hidden="1" customHeight="1">
      <c r="B2907" s="2"/>
      <c r="F2907" s="59"/>
      <c r="G2907" s="32"/>
      <c r="H2907" s="32"/>
    </row>
    <row r="2908" spans="2:8" ht="15.75" hidden="1" customHeight="1">
      <c r="B2908" s="2"/>
      <c r="F2908" s="59"/>
      <c r="G2908" s="32"/>
      <c r="H2908" s="32"/>
    </row>
    <row r="2909" spans="2:8" ht="15.75" hidden="1" customHeight="1">
      <c r="B2909" s="2"/>
      <c r="F2909" s="59"/>
      <c r="G2909" s="32"/>
      <c r="H2909" s="32"/>
    </row>
    <row r="2910" spans="2:8" ht="15.75" hidden="1" customHeight="1">
      <c r="B2910" s="2"/>
      <c r="F2910" s="59"/>
      <c r="G2910" s="32"/>
      <c r="H2910" s="32"/>
    </row>
    <row r="2911" spans="2:8" ht="15.75" hidden="1" customHeight="1">
      <c r="B2911" s="2"/>
      <c r="F2911" s="59"/>
      <c r="G2911" s="32"/>
      <c r="H2911" s="32"/>
    </row>
    <row r="2912" spans="2:8" ht="15.75" hidden="1" customHeight="1">
      <c r="B2912" s="2"/>
      <c r="F2912" s="59"/>
      <c r="G2912" s="32"/>
      <c r="H2912" s="32"/>
    </row>
    <row r="2913" spans="2:8" ht="15.75" hidden="1" customHeight="1">
      <c r="B2913" s="2"/>
      <c r="F2913" s="59"/>
      <c r="G2913" s="32"/>
      <c r="H2913" s="32"/>
    </row>
    <row r="2914" spans="2:8" ht="15.75" hidden="1" customHeight="1">
      <c r="B2914" s="2"/>
      <c r="F2914" s="59"/>
      <c r="G2914" s="32"/>
      <c r="H2914" s="32"/>
    </row>
    <row r="2915" spans="2:8" ht="15.75" hidden="1" customHeight="1">
      <c r="B2915" s="2"/>
      <c r="F2915" s="59"/>
      <c r="G2915" s="32"/>
      <c r="H2915" s="32"/>
    </row>
    <row r="2916" spans="2:8" ht="15.75" hidden="1" customHeight="1">
      <c r="B2916" s="2"/>
      <c r="F2916" s="59"/>
      <c r="G2916" s="32"/>
      <c r="H2916" s="32"/>
    </row>
    <row r="2917" spans="2:8" ht="15.75" hidden="1" customHeight="1">
      <c r="B2917" s="2"/>
      <c r="F2917" s="59"/>
      <c r="G2917" s="32"/>
      <c r="H2917" s="32"/>
    </row>
    <row r="2918" spans="2:8" ht="15.75" hidden="1" customHeight="1">
      <c r="B2918" s="2"/>
      <c r="F2918" s="59"/>
      <c r="G2918" s="32"/>
      <c r="H2918" s="32"/>
    </row>
    <row r="2919" spans="2:8" ht="15.75" hidden="1" customHeight="1">
      <c r="B2919" s="2"/>
      <c r="F2919" s="59"/>
      <c r="G2919" s="32"/>
      <c r="H2919" s="32"/>
    </row>
    <row r="2920" spans="2:8" ht="15.75" hidden="1" customHeight="1">
      <c r="B2920" s="2"/>
      <c r="F2920" s="59"/>
      <c r="G2920" s="32"/>
      <c r="H2920" s="32"/>
    </row>
    <row r="2921" spans="2:8" ht="15.75" hidden="1" customHeight="1">
      <c r="B2921" s="2"/>
      <c r="F2921" s="59"/>
      <c r="G2921" s="32"/>
      <c r="H2921" s="32"/>
    </row>
    <row r="2922" spans="2:8" ht="15.75" hidden="1" customHeight="1">
      <c r="B2922" s="2"/>
      <c r="F2922" s="59"/>
      <c r="G2922" s="32"/>
      <c r="H2922" s="32"/>
    </row>
    <row r="2923" spans="2:8" ht="15.75" hidden="1" customHeight="1">
      <c r="B2923" s="2"/>
      <c r="F2923" s="59"/>
      <c r="G2923" s="32"/>
      <c r="H2923" s="32"/>
    </row>
    <row r="2924" spans="2:8" ht="15.75" hidden="1" customHeight="1">
      <c r="B2924" s="2"/>
      <c r="F2924" s="59"/>
      <c r="G2924" s="32"/>
      <c r="H2924" s="32"/>
    </row>
    <row r="2925" spans="2:8" ht="15.75" hidden="1" customHeight="1">
      <c r="B2925" s="2"/>
      <c r="F2925" s="59"/>
      <c r="G2925" s="32"/>
      <c r="H2925" s="32"/>
    </row>
    <row r="2926" spans="2:8" ht="15.75" hidden="1" customHeight="1">
      <c r="B2926" s="2"/>
      <c r="F2926" s="59"/>
      <c r="G2926" s="32"/>
      <c r="H2926" s="32"/>
    </row>
    <row r="2927" spans="2:8" ht="15.75" hidden="1" customHeight="1">
      <c r="B2927" s="2"/>
      <c r="F2927" s="59"/>
      <c r="G2927" s="32"/>
      <c r="H2927" s="32"/>
    </row>
    <row r="2928" spans="2:8" ht="15.75" hidden="1" customHeight="1">
      <c r="B2928" s="2"/>
      <c r="F2928" s="59"/>
      <c r="G2928" s="32"/>
      <c r="H2928" s="32"/>
    </row>
    <row r="2929" spans="2:8" ht="15.75" hidden="1" customHeight="1">
      <c r="B2929" s="2"/>
      <c r="F2929" s="59"/>
      <c r="G2929" s="32"/>
      <c r="H2929" s="32"/>
    </row>
    <row r="2930" spans="2:8" ht="15.75" hidden="1" customHeight="1">
      <c r="B2930" s="2"/>
      <c r="F2930" s="59"/>
      <c r="G2930" s="32"/>
      <c r="H2930" s="32"/>
    </row>
    <row r="2931" spans="2:8" ht="15.75" hidden="1" customHeight="1">
      <c r="B2931" s="2"/>
      <c r="F2931" s="59"/>
      <c r="G2931" s="32"/>
      <c r="H2931" s="32"/>
    </row>
    <row r="2932" spans="2:8" ht="15.75" hidden="1" customHeight="1">
      <c r="B2932" s="2"/>
      <c r="F2932" s="59"/>
      <c r="G2932" s="32"/>
      <c r="H2932" s="32"/>
    </row>
    <row r="2933" spans="2:8" ht="15.75" hidden="1" customHeight="1">
      <c r="B2933" s="2"/>
      <c r="F2933" s="59"/>
      <c r="G2933" s="32"/>
      <c r="H2933" s="32"/>
    </row>
    <row r="2934" spans="2:8" ht="15.75" hidden="1" customHeight="1">
      <c r="B2934" s="2"/>
      <c r="F2934" s="59"/>
      <c r="G2934" s="32"/>
      <c r="H2934" s="32"/>
    </row>
    <row r="2935" spans="2:8" ht="15.75" hidden="1" customHeight="1">
      <c r="B2935" s="2"/>
      <c r="F2935" s="59"/>
      <c r="G2935" s="32"/>
      <c r="H2935" s="32"/>
    </row>
    <row r="2936" spans="2:8" ht="15.75" hidden="1" customHeight="1">
      <c r="B2936" s="2"/>
      <c r="F2936" s="59"/>
      <c r="G2936" s="32"/>
      <c r="H2936" s="32"/>
    </row>
    <row r="2937" spans="2:8" ht="15.75" hidden="1" customHeight="1">
      <c r="B2937" s="2"/>
      <c r="F2937" s="59"/>
      <c r="G2937" s="32"/>
      <c r="H2937" s="32"/>
    </row>
    <row r="2938" spans="2:8" ht="15.75" hidden="1" customHeight="1">
      <c r="B2938" s="2"/>
      <c r="F2938" s="59"/>
      <c r="G2938" s="32"/>
      <c r="H2938" s="32"/>
    </row>
    <row r="2939" spans="2:8" ht="15.75" hidden="1" customHeight="1">
      <c r="B2939" s="2"/>
      <c r="F2939" s="59"/>
      <c r="G2939" s="32"/>
      <c r="H2939" s="32"/>
    </row>
    <row r="2940" spans="2:8" ht="15.75" hidden="1" customHeight="1">
      <c r="B2940" s="2"/>
      <c r="F2940" s="59"/>
      <c r="G2940" s="32"/>
      <c r="H2940" s="32"/>
    </row>
    <row r="2941" spans="2:8" ht="15.75" hidden="1" customHeight="1">
      <c r="B2941" s="2"/>
      <c r="F2941" s="59"/>
      <c r="G2941" s="32"/>
      <c r="H2941" s="32"/>
    </row>
    <row r="2942" spans="2:8" ht="15.75" hidden="1" customHeight="1">
      <c r="B2942" s="2"/>
      <c r="F2942" s="59"/>
      <c r="G2942" s="32"/>
      <c r="H2942" s="32"/>
    </row>
    <row r="2943" spans="2:8" ht="15.75" hidden="1" customHeight="1">
      <c r="B2943" s="2"/>
      <c r="F2943" s="59"/>
      <c r="G2943" s="32"/>
      <c r="H2943" s="32"/>
    </row>
    <row r="2944" spans="2:8" ht="15.75" hidden="1" customHeight="1">
      <c r="B2944" s="2"/>
      <c r="F2944" s="59"/>
      <c r="G2944" s="32"/>
      <c r="H2944" s="32"/>
    </row>
    <row r="2945" spans="2:8" ht="15.75" hidden="1" customHeight="1">
      <c r="B2945" s="2"/>
      <c r="F2945" s="59"/>
      <c r="G2945" s="32"/>
      <c r="H2945" s="32"/>
    </row>
    <row r="2946" spans="2:8" ht="15.75" hidden="1" customHeight="1">
      <c r="B2946" s="2"/>
      <c r="F2946" s="59"/>
      <c r="G2946" s="32"/>
      <c r="H2946" s="32"/>
    </row>
    <row r="2947" spans="2:8" ht="15.75" hidden="1" customHeight="1">
      <c r="B2947" s="2"/>
      <c r="F2947" s="59"/>
      <c r="G2947" s="32"/>
      <c r="H2947" s="32"/>
    </row>
    <row r="2948" spans="2:8" ht="15.75" hidden="1" customHeight="1">
      <c r="B2948" s="2"/>
      <c r="F2948" s="59"/>
      <c r="G2948" s="32"/>
      <c r="H2948" s="32"/>
    </row>
    <row r="2949" spans="2:8" ht="15.75" hidden="1" customHeight="1">
      <c r="B2949" s="2"/>
      <c r="F2949" s="59"/>
      <c r="G2949" s="32"/>
      <c r="H2949" s="32"/>
    </row>
    <row r="2950" spans="2:8" ht="15.75" hidden="1" customHeight="1">
      <c r="B2950" s="2"/>
      <c r="F2950" s="59"/>
      <c r="G2950" s="32"/>
      <c r="H2950" s="32"/>
    </row>
    <row r="2951" spans="2:8" ht="15.75" hidden="1" customHeight="1">
      <c r="B2951" s="2"/>
      <c r="F2951" s="59"/>
      <c r="G2951" s="32"/>
      <c r="H2951" s="32"/>
    </row>
    <row r="2952" spans="2:8" ht="15.75" hidden="1" customHeight="1">
      <c r="B2952" s="2"/>
      <c r="F2952" s="59"/>
      <c r="G2952" s="32"/>
      <c r="H2952" s="32"/>
    </row>
    <row r="2953" spans="2:8" ht="15.75" hidden="1" customHeight="1">
      <c r="B2953" s="2"/>
      <c r="F2953" s="59"/>
      <c r="G2953" s="32"/>
      <c r="H2953" s="32"/>
    </row>
    <row r="2954" spans="2:8" ht="15.75" hidden="1" customHeight="1">
      <c r="B2954" s="2"/>
      <c r="F2954" s="59"/>
      <c r="G2954" s="32"/>
      <c r="H2954" s="32"/>
    </row>
    <row r="2955" spans="2:8" ht="15.75" hidden="1" customHeight="1">
      <c r="B2955" s="2"/>
      <c r="F2955" s="59"/>
      <c r="G2955" s="32"/>
      <c r="H2955" s="32"/>
    </row>
    <row r="2956" spans="2:8" ht="15.75" hidden="1" customHeight="1">
      <c r="B2956" s="2"/>
      <c r="F2956" s="59"/>
      <c r="G2956" s="32"/>
      <c r="H2956" s="32"/>
    </row>
    <row r="2957" spans="2:8" ht="15.75" hidden="1" customHeight="1">
      <c r="B2957" s="2"/>
      <c r="F2957" s="59"/>
      <c r="G2957" s="32"/>
      <c r="H2957" s="32"/>
    </row>
    <row r="2958" spans="2:8" ht="15.75" hidden="1" customHeight="1">
      <c r="B2958" s="2"/>
      <c r="F2958" s="59"/>
      <c r="G2958" s="32"/>
      <c r="H2958" s="32"/>
    </row>
    <row r="2959" spans="2:8" ht="15.75" hidden="1" customHeight="1">
      <c r="B2959" s="2"/>
      <c r="F2959" s="59"/>
      <c r="G2959" s="32"/>
      <c r="H2959" s="32"/>
    </row>
    <row r="2960" spans="2:8" ht="15.75" hidden="1" customHeight="1">
      <c r="B2960" s="2"/>
      <c r="F2960" s="59"/>
      <c r="G2960" s="32"/>
      <c r="H2960" s="32"/>
    </row>
    <row r="2961" spans="2:8" ht="15.75" hidden="1" customHeight="1">
      <c r="B2961" s="2"/>
      <c r="F2961" s="59"/>
      <c r="G2961" s="32"/>
      <c r="H2961" s="32"/>
    </row>
    <row r="2962" spans="2:8" ht="15.75" hidden="1" customHeight="1">
      <c r="B2962" s="2"/>
      <c r="F2962" s="59"/>
      <c r="G2962" s="32"/>
      <c r="H2962" s="32"/>
    </row>
    <row r="2963" spans="2:8" ht="15.75" hidden="1" customHeight="1">
      <c r="B2963" s="2"/>
      <c r="F2963" s="59"/>
      <c r="G2963" s="32"/>
      <c r="H2963" s="32"/>
    </row>
    <row r="2964" spans="2:8" ht="15.75" hidden="1" customHeight="1">
      <c r="B2964" s="2"/>
      <c r="F2964" s="59"/>
      <c r="G2964" s="32"/>
      <c r="H2964" s="32"/>
    </row>
    <row r="2965" spans="2:8" ht="15.75" hidden="1" customHeight="1">
      <c r="B2965" s="2"/>
      <c r="F2965" s="59"/>
      <c r="G2965" s="32"/>
      <c r="H2965" s="32"/>
    </row>
    <row r="2966" spans="2:8" ht="15.75" hidden="1" customHeight="1">
      <c r="B2966" s="2"/>
      <c r="F2966" s="59"/>
      <c r="G2966" s="32"/>
      <c r="H2966" s="32"/>
    </row>
    <row r="2967" spans="2:8" ht="15.75" hidden="1" customHeight="1">
      <c r="B2967" s="2"/>
      <c r="F2967" s="59"/>
      <c r="G2967" s="32"/>
      <c r="H2967" s="32"/>
    </row>
    <row r="2968" spans="2:8" ht="15.75" hidden="1" customHeight="1"/>
    <row r="2969" spans="2:8" ht="15.75" hidden="1" customHeight="1"/>
    <row r="2970" spans="2:8" ht="15.75" hidden="1" customHeight="1"/>
    <row r="2971" spans="2:8" ht="15.75" hidden="1" customHeight="1"/>
    <row r="2972" spans="2:8" ht="15.75" hidden="1" customHeight="1"/>
    <row r="2973" spans="2:8" ht="15.75" hidden="1" customHeight="1"/>
    <row r="2974" spans="2:8" ht="15.75" hidden="1" customHeight="1"/>
    <row r="2975" spans="2:8" ht="15.75" hidden="1" customHeight="1"/>
    <row r="2976" spans="2:8" ht="15.75" hidden="1" customHeight="1"/>
    <row r="2977" ht="15.75" hidden="1" customHeight="1"/>
    <row r="2978" ht="15.75" hidden="1" customHeight="1"/>
    <row r="2979" ht="15.75" hidden="1" customHeight="1"/>
    <row r="2980" ht="15.75" hidden="1" customHeight="1"/>
    <row r="2981" ht="15.75" hidden="1" customHeight="1"/>
    <row r="2982" ht="15.75" hidden="1" customHeight="1"/>
    <row r="2983" ht="15.75" hidden="1" customHeight="1"/>
    <row r="2984" ht="15.75" hidden="1" customHeight="1"/>
    <row r="2985" ht="15.75" hidden="1" customHeight="1"/>
    <row r="2986" ht="15.75" hidden="1" customHeight="1"/>
    <row r="2987" ht="15.75" hidden="1" customHeight="1"/>
    <row r="2988" ht="15.75" hidden="1" customHeight="1"/>
    <row r="2989" ht="15.75" hidden="1" customHeight="1"/>
    <row r="2990" ht="15.75" hidden="1" customHeight="1"/>
    <row r="2991" ht="15.75" hidden="1" customHeight="1"/>
    <row r="2992" ht="15.75" hidden="1" customHeight="1"/>
    <row r="2993" ht="15.75" hidden="1" customHeight="1"/>
    <row r="2994" ht="15.75" hidden="1" customHeight="1"/>
    <row r="2995" ht="15.75" hidden="1" customHeight="1"/>
    <row r="2996" ht="15.75" hidden="1" customHeight="1"/>
    <row r="2997" ht="15.75" hidden="1" customHeight="1"/>
    <row r="2998" ht="15.75" hidden="1" customHeight="1"/>
    <row r="2999" ht="15.75" hidden="1" customHeight="1"/>
    <row r="3000" ht="15.75" hidden="1" customHeight="1"/>
    <row r="3001" ht="15.75" hidden="1" customHeight="1"/>
    <row r="3002" ht="15.75" hidden="1" customHeight="1"/>
    <row r="3003" ht="15.75" hidden="1" customHeight="1"/>
    <row r="3004" ht="15.75" hidden="1" customHeight="1"/>
    <row r="3005" ht="15.75" hidden="1" customHeight="1"/>
    <row r="3006" ht="15.75" hidden="1" customHeight="1"/>
    <row r="3007" ht="15.75" hidden="1" customHeight="1"/>
    <row r="3008" ht="15.75" hidden="1" customHeight="1"/>
    <row r="3009" ht="15.75" hidden="1" customHeight="1"/>
    <row r="3010" ht="15.75" hidden="1" customHeight="1"/>
    <row r="3011" ht="15.75" hidden="1" customHeight="1"/>
    <row r="3012" ht="15.75" hidden="1" customHeight="1"/>
    <row r="3013" ht="15.75" hidden="1" customHeight="1"/>
    <row r="3014" ht="15.75" hidden="1" customHeight="1"/>
    <row r="3015" ht="15.75" hidden="1" customHeight="1"/>
    <row r="3016" ht="15.75" hidden="1" customHeight="1"/>
    <row r="3017" ht="15.75" hidden="1" customHeight="1"/>
    <row r="3018" ht="15.75" hidden="1" customHeight="1"/>
    <row r="3019" ht="15.75" hidden="1" customHeight="1"/>
    <row r="3020" ht="15.75" hidden="1" customHeight="1"/>
    <row r="3021" ht="15.75" hidden="1" customHeight="1"/>
    <row r="3022" ht="15.75" hidden="1" customHeight="1"/>
    <row r="3023" ht="15.75" hidden="1" customHeight="1"/>
    <row r="3024" ht="15.75" hidden="1" customHeight="1"/>
    <row r="3025" ht="15.75" hidden="1" customHeight="1"/>
    <row r="3026" ht="15.75" hidden="1" customHeight="1"/>
    <row r="3027" ht="15.75" hidden="1" customHeight="1"/>
    <row r="3028" ht="15.75" hidden="1" customHeight="1"/>
    <row r="3029" ht="15.75" hidden="1" customHeight="1"/>
    <row r="3030" ht="15.75" hidden="1" customHeight="1"/>
    <row r="3031" ht="15.75" hidden="1" customHeight="1"/>
    <row r="3032" ht="15.75" hidden="1" customHeight="1"/>
    <row r="3033" ht="15.75" hidden="1" customHeight="1"/>
    <row r="3034" ht="15.75" hidden="1" customHeight="1"/>
    <row r="3035" ht="15.75" hidden="1" customHeight="1"/>
    <row r="3036" ht="15.75" hidden="1" customHeight="1"/>
    <row r="3037" ht="15.75" hidden="1" customHeight="1"/>
    <row r="3038" ht="15.75" hidden="1" customHeight="1"/>
    <row r="3039" ht="15.75" hidden="1" customHeight="1"/>
    <row r="3040" ht="15.75" hidden="1" customHeight="1"/>
    <row r="3041" ht="15.75" hidden="1" customHeight="1"/>
    <row r="3042" ht="15.75" hidden="1" customHeight="1"/>
    <row r="3043" ht="15.75" hidden="1" customHeight="1"/>
    <row r="3044" ht="15.75" hidden="1" customHeight="1"/>
    <row r="3045" ht="15.75" hidden="1" customHeight="1"/>
    <row r="3046" ht="15.75" hidden="1" customHeight="1"/>
    <row r="3047" ht="15.75" hidden="1" customHeight="1"/>
    <row r="3048" ht="15.75" hidden="1" customHeight="1"/>
    <row r="3049" ht="15.75" hidden="1" customHeight="1"/>
    <row r="3050" ht="15.75" hidden="1" customHeight="1"/>
    <row r="3051" ht="15.75" hidden="1" customHeight="1"/>
    <row r="3052" ht="15.75" hidden="1" customHeight="1"/>
    <row r="3053" ht="15.75" hidden="1" customHeight="1"/>
    <row r="3054" ht="15.75" hidden="1" customHeight="1"/>
    <row r="3055" ht="15.75" hidden="1" customHeight="1"/>
    <row r="3056" ht="15.75" hidden="1" customHeight="1"/>
    <row r="3057" ht="15.75" hidden="1" customHeight="1"/>
    <row r="3058" ht="15.75" hidden="1" customHeight="1"/>
    <row r="3059" ht="15.75" hidden="1" customHeight="1"/>
    <row r="3060" ht="15.75" hidden="1" customHeight="1"/>
    <row r="3061" ht="15.75" hidden="1" customHeight="1"/>
    <row r="3062" ht="15.75" hidden="1" customHeight="1"/>
    <row r="3063" ht="15.75" hidden="1" customHeight="1"/>
    <row r="3064" ht="15.75" hidden="1" customHeight="1"/>
    <row r="3065" ht="15.75" hidden="1" customHeight="1"/>
    <row r="3066" ht="15.75" hidden="1" customHeight="1"/>
    <row r="3067" ht="15.75" hidden="1" customHeight="1"/>
    <row r="3068" ht="15.75" hidden="1" customHeight="1"/>
    <row r="3069" ht="15.75" hidden="1" customHeight="1"/>
    <row r="3070" ht="15.75" hidden="1" customHeight="1"/>
    <row r="3071" ht="15.75" hidden="1" customHeight="1"/>
    <row r="3072" ht="15.75" hidden="1" customHeight="1"/>
    <row r="3073" ht="15.75" hidden="1" customHeight="1"/>
    <row r="3074" ht="15.75" hidden="1" customHeight="1"/>
    <row r="3075" ht="15.75" hidden="1" customHeight="1"/>
    <row r="3076" ht="15.75" hidden="1" customHeight="1"/>
    <row r="3077" ht="15.75" hidden="1" customHeight="1"/>
    <row r="3078" ht="15.75" hidden="1" customHeight="1"/>
    <row r="3079" ht="15.75" hidden="1" customHeight="1"/>
    <row r="3080" ht="15.75" hidden="1" customHeight="1"/>
    <row r="3081" ht="15.75" hidden="1" customHeight="1"/>
    <row r="3082" ht="15.75" hidden="1" customHeight="1"/>
    <row r="3083" ht="15.75" hidden="1" customHeight="1"/>
    <row r="3084" ht="15.75" hidden="1" customHeight="1"/>
    <row r="3085" ht="15.75" hidden="1" customHeight="1"/>
    <row r="3086" ht="15.75" hidden="1" customHeight="1"/>
    <row r="3087" ht="15.75" hidden="1" customHeight="1"/>
    <row r="3088" ht="15.75" hidden="1" customHeight="1"/>
    <row r="3089" ht="15.75" hidden="1" customHeight="1"/>
    <row r="3090" ht="15.75" hidden="1" customHeight="1"/>
    <row r="3091" ht="15.75" hidden="1" customHeight="1"/>
    <row r="3092" ht="15.75" hidden="1" customHeight="1"/>
    <row r="3093" ht="15.75" hidden="1" customHeight="1"/>
    <row r="3094" ht="15.75" hidden="1" customHeight="1"/>
    <row r="3095" ht="15.75" hidden="1" customHeight="1"/>
    <row r="3096" ht="15.75" hidden="1" customHeight="1"/>
    <row r="3097" ht="15.75" hidden="1" customHeight="1"/>
    <row r="3098" ht="15.75" hidden="1" customHeight="1"/>
    <row r="3099" ht="15.75" hidden="1" customHeight="1"/>
    <row r="3100" ht="15.75" hidden="1" customHeight="1"/>
    <row r="3101" ht="15.75" hidden="1" customHeight="1"/>
    <row r="3102" ht="15.75" hidden="1" customHeight="1"/>
    <row r="3103" ht="15.75" hidden="1" customHeight="1"/>
    <row r="3104" ht="15.75" hidden="1" customHeight="1"/>
    <row r="3105" ht="15.75" hidden="1" customHeight="1"/>
    <row r="3106" ht="15.75" hidden="1" customHeight="1"/>
    <row r="3107" ht="15.75" hidden="1" customHeight="1"/>
    <row r="3108" ht="15.75" hidden="1" customHeight="1"/>
    <row r="3109" ht="15.75" hidden="1" customHeight="1"/>
    <row r="3110" ht="15.75" hidden="1" customHeight="1"/>
    <row r="3111" ht="15.75" hidden="1" customHeight="1"/>
    <row r="3112" ht="15.75" hidden="1" customHeight="1"/>
    <row r="3113" ht="15.75" hidden="1" customHeight="1"/>
    <row r="3114" ht="15.75" hidden="1" customHeight="1"/>
    <row r="3115" ht="15.75" hidden="1" customHeight="1"/>
    <row r="3116" ht="15.75" hidden="1" customHeight="1"/>
    <row r="3117" ht="15.75" hidden="1" customHeight="1"/>
    <row r="3118" ht="15.75" hidden="1" customHeight="1"/>
    <row r="3119" ht="15.75" hidden="1" customHeight="1"/>
    <row r="3120" ht="15.75" hidden="1" customHeight="1"/>
    <row r="3121" ht="15.75" hidden="1" customHeight="1"/>
    <row r="3122" ht="15.75" hidden="1" customHeight="1"/>
    <row r="3123" ht="15.75" hidden="1" customHeight="1"/>
    <row r="3124" ht="15.75" hidden="1" customHeight="1"/>
    <row r="3125" ht="15.75" hidden="1" customHeight="1"/>
    <row r="3126" ht="15.75" hidden="1" customHeight="1"/>
    <row r="3127" ht="15.75" hidden="1" customHeight="1"/>
    <row r="3128" ht="15.75" hidden="1" customHeight="1"/>
    <row r="3129" ht="15.75" hidden="1" customHeight="1"/>
    <row r="3130" ht="15.75" hidden="1" customHeight="1"/>
    <row r="3131" ht="15.75" hidden="1" customHeight="1"/>
    <row r="3132" ht="15.75" hidden="1" customHeight="1"/>
    <row r="3133" ht="15.75" hidden="1" customHeight="1"/>
    <row r="3134" ht="15.75" hidden="1" customHeight="1"/>
    <row r="3135" ht="15.75" hidden="1" customHeight="1"/>
    <row r="3136" ht="15.75" hidden="1" customHeight="1"/>
    <row r="3137" ht="15.75" hidden="1" customHeight="1"/>
    <row r="3138" ht="15.75" hidden="1" customHeight="1"/>
    <row r="3139" ht="15.75" hidden="1" customHeight="1"/>
    <row r="3140" ht="15.75" hidden="1" customHeight="1"/>
    <row r="3141" ht="15.75" hidden="1" customHeight="1"/>
    <row r="3142" ht="15.75" hidden="1" customHeight="1"/>
    <row r="3143" ht="15.75" hidden="1" customHeight="1"/>
    <row r="3144" ht="15.75" hidden="1" customHeight="1"/>
    <row r="3145" ht="15.75" hidden="1" customHeight="1"/>
    <row r="3146" ht="15.75" hidden="1" customHeight="1"/>
    <row r="3147" ht="15.75" hidden="1" customHeight="1"/>
    <row r="3148" ht="15.75" hidden="1" customHeight="1"/>
    <row r="3149" ht="15.75" hidden="1" customHeight="1"/>
    <row r="3150" ht="15.75" hidden="1" customHeight="1"/>
    <row r="3151" ht="15.75" hidden="1" customHeight="1"/>
    <row r="3152" ht="15.75" hidden="1" customHeight="1"/>
    <row r="3153" ht="15.75" hidden="1" customHeight="1"/>
    <row r="3154" ht="15.75" hidden="1" customHeight="1"/>
    <row r="3155" ht="15.75" hidden="1" customHeight="1"/>
    <row r="3156" ht="15.75" hidden="1" customHeight="1"/>
    <row r="3157" ht="15.75" hidden="1" customHeight="1"/>
    <row r="3158" ht="15.75" hidden="1" customHeight="1"/>
    <row r="3159" ht="15.75" hidden="1" customHeight="1"/>
    <row r="3160" ht="15.75" hidden="1" customHeight="1"/>
    <row r="3161" ht="15.75" hidden="1" customHeight="1"/>
    <row r="3162" ht="15.75" hidden="1" customHeight="1"/>
    <row r="3163" ht="15.75" hidden="1" customHeight="1"/>
    <row r="3164" ht="15.75" hidden="1" customHeight="1"/>
    <row r="3165" ht="15.75" hidden="1" customHeight="1"/>
    <row r="3166" ht="15.75" hidden="1" customHeight="1"/>
    <row r="3167" ht="15.75" hidden="1" customHeight="1"/>
    <row r="3168" ht="15.75" hidden="1" customHeight="1"/>
    <row r="3169" ht="15.75" hidden="1" customHeight="1"/>
    <row r="3170" ht="15.75" hidden="1" customHeight="1"/>
    <row r="3171" ht="15.75" hidden="1" customHeight="1"/>
    <row r="3172" ht="15.75" hidden="1" customHeight="1"/>
    <row r="3173" ht="15.75" hidden="1" customHeight="1"/>
    <row r="3174" ht="15.75" hidden="1" customHeight="1"/>
    <row r="3175" ht="15.75" hidden="1" customHeight="1"/>
    <row r="3176" ht="15.75" hidden="1" customHeight="1"/>
    <row r="3177" ht="15.75" hidden="1" customHeight="1"/>
    <row r="3178" ht="15.75" hidden="1" customHeight="1"/>
    <row r="3179" ht="15.75" hidden="1" customHeight="1"/>
    <row r="3180" ht="15.75" hidden="1" customHeight="1"/>
    <row r="3181" ht="15.75" hidden="1" customHeight="1"/>
    <row r="3182" ht="15.75" hidden="1" customHeight="1"/>
    <row r="3183" ht="15.75" hidden="1" customHeight="1"/>
    <row r="3184" ht="15.75" hidden="1" customHeight="1"/>
    <row r="3185" ht="15.75" hidden="1" customHeight="1"/>
    <row r="3186" ht="15.75" hidden="1" customHeight="1"/>
    <row r="3187" ht="15.75" hidden="1" customHeight="1"/>
    <row r="3188" ht="15.75" hidden="1" customHeight="1"/>
    <row r="3189" ht="15.75" hidden="1" customHeight="1"/>
    <row r="3190" ht="15.75" hidden="1" customHeight="1"/>
    <row r="3191" ht="15.75" hidden="1" customHeight="1"/>
    <row r="3192" ht="15.75" hidden="1" customHeight="1"/>
    <row r="3193" ht="15.75" hidden="1" customHeight="1"/>
    <row r="3194" ht="15.75" hidden="1" customHeight="1"/>
    <row r="3195" ht="15.75" hidden="1" customHeight="1"/>
    <row r="3196" ht="15.75" hidden="1" customHeight="1"/>
    <row r="3197" ht="15.75" hidden="1" customHeight="1"/>
    <row r="3198" ht="15.75" hidden="1" customHeight="1"/>
    <row r="3199" ht="15.75" hidden="1" customHeight="1"/>
    <row r="3200" ht="15.75" hidden="1" customHeight="1"/>
    <row r="3201" ht="15.75" hidden="1" customHeight="1"/>
    <row r="3202" ht="15.75" hidden="1" customHeight="1"/>
    <row r="3203" ht="15.75" hidden="1" customHeight="1"/>
    <row r="3204" ht="15.75" hidden="1" customHeight="1"/>
    <row r="3205" ht="15.75" hidden="1" customHeight="1"/>
    <row r="3206" ht="15.75" hidden="1" customHeight="1"/>
    <row r="3207" ht="15.75" hidden="1" customHeight="1"/>
    <row r="3208" ht="15.75" hidden="1" customHeight="1"/>
    <row r="3209" ht="15.75" hidden="1" customHeight="1"/>
    <row r="3210" ht="15.75" hidden="1" customHeight="1"/>
    <row r="3211" ht="15.75" hidden="1" customHeight="1"/>
    <row r="3212" ht="15.75" hidden="1" customHeight="1"/>
    <row r="3213" ht="15.75" hidden="1" customHeight="1"/>
    <row r="3214" ht="15.75" hidden="1" customHeight="1"/>
    <row r="3215" ht="15.75" hidden="1" customHeight="1"/>
    <row r="3216" ht="15.75" hidden="1" customHeight="1"/>
    <row r="3217" ht="15.75" hidden="1" customHeight="1"/>
    <row r="3218" ht="15.75" hidden="1" customHeight="1"/>
    <row r="3219" ht="15.75" hidden="1" customHeight="1"/>
    <row r="3220" ht="15.75" hidden="1" customHeight="1"/>
    <row r="3221" ht="15.75" hidden="1" customHeight="1"/>
    <row r="3222" ht="15.75" hidden="1" customHeight="1"/>
    <row r="3223" ht="15.75" hidden="1" customHeight="1"/>
    <row r="3224" ht="15.75" hidden="1" customHeight="1"/>
    <row r="3225" ht="15.75" hidden="1" customHeight="1"/>
    <row r="3226" ht="15.75" hidden="1" customHeight="1"/>
    <row r="3227" ht="15.75" hidden="1" customHeight="1"/>
    <row r="3228" ht="15.75" hidden="1" customHeight="1"/>
    <row r="3229" ht="15.75" hidden="1" customHeight="1"/>
    <row r="3230" ht="15.75" hidden="1" customHeight="1"/>
    <row r="3231" ht="15.75" hidden="1" customHeight="1"/>
    <row r="3232" ht="15.75" hidden="1" customHeight="1"/>
    <row r="3233" ht="15.75" hidden="1" customHeight="1"/>
    <row r="3234" ht="15.75" hidden="1" customHeight="1"/>
    <row r="3235" ht="15.75" hidden="1" customHeight="1"/>
    <row r="3236" ht="15.75" hidden="1" customHeight="1"/>
    <row r="3237" ht="15.75" hidden="1" customHeight="1"/>
    <row r="3238" ht="15.75" hidden="1" customHeight="1"/>
    <row r="3239" ht="15.75" hidden="1" customHeight="1"/>
    <row r="3240" ht="15.75" hidden="1" customHeight="1"/>
    <row r="3241" ht="15.75" hidden="1" customHeight="1"/>
    <row r="3242" ht="15.75" hidden="1" customHeight="1"/>
    <row r="3243" ht="15.75" hidden="1" customHeight="1"/>
    <row r="3244" ht="15.75" hidden="1" customHeight="1"/>
    <row r="3245" ht="15.75" hidden="1" customHeight="1"/>
    <row r="3246" ht="15.75" hidden="1" customHeight="1"/>
    <row r="3247" ht="15.75" hidden="1" customHeight="1"/>
    <row r="3248" ht="15.75" hidden="1" customHeight="1"/>
    <row r="3249" ht="15.75" hidden="1" customHeight="1"/>
    <row r="3250" ht="15.75" hidden="1" customHeight="1"/>
    <row r="3251" ht="15.75" hidden="1" customHeight="1"/>
    <row r="3252" ht="15.75" hidden="1" customHeight="1"/>
    <row r="3253" ht="15.75" hidden="1" customHeight="1"/>
    <row r="3254" ht="15.75" hidden="1" customHeight="1"/>
    <row r="3255" ht="15.75" hidden="1" customHeight="1"/>
    <row r="3256" ht="15.75" hidden="1" customHeight="1"/>
    <row r="3257" ht="15.75" hidden="1" customHeight="1"/>
    <row r="3258" ht="15.75" hidden="1" customHeight="1"/>
    <row r="3259" ht="15.75" hidden="1" customHeight="1"/>
    <row r="3260" ht="15.75" hidden="1" customHeight="1"/>
    <row r="3261" ht="15.75" hidden="1" customHeight="1"/>
    <row r="3262" ht="15.75" hidden="1" customHeight="1"/>
    <row r="3263" ht="15.75" hidden="1" customHeight="1"/>
    <row r="3264" ht="15.75" hidden="1" customHeight="1"/>
    <row r="3265" ht="15.75" hidden="1" customHeight="1"/>
    <row r="3266" ht="15.75" hidden="1" customHeight="1"/>
    <row r="3267" ht="15.75" hidden="1" customHeight="1"/>
    <row r="3268" ht="15.75" hidden="1" customHeight="1"/>
    <row r="3269" ht="15.75" hidden="1" customHeight="1"/>
    <row r="3270" ht="15.75" hidden="1" customHeight="1"/>
    <row r="3271" ht="15.75" hidden="1" customHeight="1"/>
    <row r="3272" ht="15.75" hidden="1" customHeight="1"/>
    <row r="3273" ht="15.75" hidden="1" customHeight="1"/>
    <row r="3274" ht="15.75" hidden="1" customHeight="1"/>
    <row r="3275" ht="15.75" hidden="1" customHeight="1"/>
    <row r="3276" ht="15.75" hidden="1" customHeight="1"/>
    <row r="3277" ht="15.75" hidden="1" customHeight="1"/>
    <row r="3278" ht="15.75" hidden="1" customHeight="1"/>
    <row r="3279" ht="15.75" hidden="1" customHeight="1"/>
    <row r="3280" ht="15.75" hidden="1" customHeight="1"/>
    <row r="3281" ht="15.75" hidden="1" customHeight="1"/>
    <row r="3282" ht="15.75" hidden="1" customHeight="1"/>
    <row r="3283" ht="15.75" hidden="1" customHeight="1"/>
    <row r="3284" ht="15.75" hidden="1" customHeight="1"/>
    <row r="3285" ht="15.75" hidden="1" customHeight="1"/>
    <row r="3286" ht="15.75" hidden="1" customHeight="1"/>
    <row r="3287" ht="15.75" hidden="1" customHeight="1"/>
    <row r="3288" ht="15.75" hidden="1" customHeight="1"/>
    <row r="3289" ht="15.75" hidden="1" customHeight="1"/>
    <row r="3290" ht="15.75" hidden="1" customHeight="1"/>
    <row r="3291" ht="15.75" hidden="1" customHeight="1"/>
    <row r="3292" ht="15.75" hidden="1" customHeight="1"/>
    <row r="3293" ht="15.75" hidden="1" customHeight="1"/>
    <row r="3294" ht="15.75" hidden="1" customHeight="1"/>
    <row r="3295" ht="15.75" hidden="1" customHeight="1"/>
    <row r="3296" ht="15.75" hidden="1" customHeight="1"/>
    <row r="3297" ht="15.75" hidden="1" customHeight="1"/>
    <row r="3298" ht="15.75" hidden="1" customHeight="1"/>
    <row r="3299" ht="15.75" hidden="1" customHeight="1"/>
    <row r="3300" ht="15.75" hidden="1" customHeight="1"/>
    <row r="3301" ht="15.75" hidden="1" customHeight="1"/>
    <row r="3302" ht="15.75" hidden="1" customHeight="1"/>
    <row r="3303" ht="15.75" hidden="1" customHeight="1"/>
    <row r="3304" ht="15.75" hidden="1" customHeight="1"/>
    <row r="3305" ht="15.75" hidden="1" customHeight="1"/>
    <row r="3306" ht="15.75" hidden="1" customHeight="1"/>
    <row r="3307" ht="15.75" hidden="1" customHeight="1"/>
    <row r="3308" ht="15.75" hidden="1" customHeight="1"/>
    <row r="3309" ht="15.75" hidden="1" customHeight="1"/>
    <row r="3310" ht="15.75" hidden="1" customHeight="1"/>
    <row r="3311" ht="15.75" hidden="1" customHeight="1"/>
    <row r="3312" ht="15.75" hidden="1" customHeight="1"/>
    <row r="3313" ht="15.75" hidden="1" customHeight="1"/>
    <row r="3314" ht="15.75" hidden="1" customHeight="1"/>
    <row r="3315" ht="15.75" hidden="1" customHeight="1"/>
    <row r="3316" ht="15.75" hidden="1" customHeight="1"/>
    <row r="3317" ht="15.75" hidden="1" customHeight="1"/>
    <row r="3318" ht="15.75" hidden="1" customHeight="1"/>
    <row r="3319" ht="15.75" hidden="1" customHeight="1"/>
    <row r="3320" ht="15.75" hidden="1" customHeight="1"/>
    <row r="3321" ht="15.75" hidden="1" customHeight="1"/>
    <row r="3322" ht="15.75" hidden="1" customHeight="1"/>
    <row r="3323" ht="15.75" hidden="1" customHeight="1"/>
    <row r="3324" ht="15.75" hidden="1" customHeight="1"/>
    <row r="3325" ht="15.75" hidden="1" customHeight="1"/>
    <row r="3326" ht="15.75" hidden="1" customHeight="1"/>
    <row r="3327" ht="15.75" hidden="1" customHeight="1"/>
    <row r="3328" ht="15.75" hidden="1" customHeight="1"/>
    <row r="3329" ht="15.75" hidden="1" customHeight="1"/>
    <row r="3330" ht="15.75" hidden="1" customHeight="1"/>
    <row r="3331" ht="15.75" hidden="1" customHeight="1"/>
    <row r="3332" ht="15.75" hidden="1" customHeight="1"/>
    <row r="3333" ht="15.75" hidden="1" customHeight="1"/>
    <row r="3334" ht="15.75" hidden="1" customHeight="1"/>
    <row r="3335" ht="15.75" hidden="1" customHeight="1"/>
    <row r="3336" ht="15.75" hidden="1" customHeight="1"/>
    <row r="3337" ht="15.75" hidden="1" customHeight="1"/>
    <row r="3338" ht="15.75" hidden="1" customHeight="1"/>
    <row r="3339" ht="15.75" hidden="1" customHeight="1"/>
    <row r="3340" ht="15.75" hidden="1" customHeight="1"/>
    <row r="3341" ht="15.75" hidden="1" customHeight="1"/>
    <row r="3342" ht="15.75" hidden="1" customHeight="1"/>
    <row r="3343" ht="15.75" hidden="1" customHeight="1"/>
    <row r="3344" ht="15.75" hidden="1" customHeight="1"/>
    <row r="3345" ht="15.75" hidden="1" customHeight="1"/>
    <row r="3346" ht="15.75" hidden="1" customHeight="1"/>
    <row r="3347" ht="15.75" hidden="1" customHeight="1"/>
    <row r="3348" ht="15.75" hidden="1" customHeight="1"/>
    <row r="3349" ht="15.75" hidden="1" customHeight="1"/>
    <row r="3350" ht="15.75" hidden="1" customHeight="1"/>
    <row r="3351" ht="15.75" hidden="1" customHeight="1"/>
    <row r="3352" ht="15.75" hidden="1" customHeight="1"/>
    <row r="3353" ht="15.75" hidden="1" customHeight="1"/>
    <row r="3354" ht="15.75" hidden="1" customHeight="1"/>
    <row r="3355" ht="15.75" hidden="1" customHeight="1"/>
    <row r="3356" ht="15.75" hidden="1" customHeight="1"/>
    <row r="3357" ht="15.75" hidden="1" customHeight="1"/>
    <row r="3358" ht="15.75" hidden="1" customHeight="1"/>
    <row r="3359" ht="15.75" hidden="1" customHeight="1"/>
    <row r="3360" ht="15.75" hidden="1" customHeight="1"/>
    <row r="3361" ht="15.75" hidden="1" customHeight="1"/>
    <row r="3362" ht="15.75" hidden="1" customHeight="1"/>
    <row r="3363" ht="15.75" hidden="1" customHeight="1"/>
    <row r="3364" ht="15.75" hidden="1" customHeight="1"/>
    <row r="3365" ht="15.75" hidden="1" customHeight="1"/>
    <row r="3366" ht="15.75" hidden="1" customHeight="1"/>
    <row r="3367" ht="15.75" hidden="1" customHeight="1"/>
    <row r="3368" ht="15.75" hidden="1" customHeight="1"/>
    <row r="3369" ht="15.75" hidden="1" customHeight="1"/>
    <row r="3370" ht="15.75" hidden="1" customHeight="1"/>
    <row r="3371" ht="15.75" hidden="1" customHeight="1"/>
    <row r="3372" ht="15.75" hidden="1" customHeight="1"/>
    <row r="3373" ht="15.75" hidden="1" customHeight="1"/>
    <row r="3374" ht="15.75" hidden="1" customHeight="1"/>
    <row r="3375" ht="15.75" hidden="1" customHeight="1"/>
    <row r="3376" ht="15.75" hidden="1" customHeight="1"/>
    <row r="3377" ht="15.75" hidden="1" customHeight="1"/>
    <row r="3378" ht="15.75" hidden="1" customHeight="1"/>
    <row r="3379" ht="15.75" hidden="1" customHeight="1"/>
    <row r="3380" ht="15.75" hidden="1" customHeight="1"/>
    <row r="3381" ht="15.75" hidden="1" customHeight="1"/>
    <row r="3382" ht="15.75" hidden="1" customHeight="1"/>
    <row r="3383" ht="15.75" hidden="1" customHeight="1"/>
    <row r="3384" ht="15.75" hidden="1" customHeight="1"/>
    <row r="3385" ht="15.75" hidden="1" customHeight="1"/>
    <row r="3386" ht="15.75" hidden="1" customHeight="1"/>
    <row r="3387" ht="15.75" hidden="1" customHeight="1"/>
    <row r="3388" ht="15.75" hidden="1" customHeight="1"/>
    <row r="3389" ht="15.75" hidden="1" customHeight="1"/>
    <row r="3390" ht="15.75" hidden="1" customHeight="1"/>
    <row r="3391" ht="15.75" hidden="1" customHeight="1"/>
    <row r="3392" ht="15.75" hidden="1" customHeight="1"/>
    <row r="3393" ht="15.75" hidden="1" customHeight="1"/>
    <row r="3394" ht="15.75" hidden="1" customHeight="1"/>
    <row r="3395" ht="15.75" hidden="1" customHeight="1"/>
    <row r="3396" ht="15.75" hidden="1" customHeight="1"/>
    <row r="3397" ht="15.75" hidden="1" customHeight="1"/>
    <row r="3398" ht="15.75" hidden="1" customHeight="1"/>
    <row r="3399" ht="15.75" hidden="1" customHeight="1"/>
    <row r="3400" ht="15.75" hidden="1" customHeight="1"/>
    <row r="3401" ht="15.75" hidden="1" customHeight="1"/>
    <row r="3402" ht="15.75" hidden="1" customHeight="1"/>
    <row r="3403" ht="15.75" hidden="1" customHeight="1"/>
    <row r="3404" ht="15.75" hidden="1" customHeight="1"/>
    <row r="3405" ht="15.75" hidden="1" customHeight="1"/>
    <row r="3406" ht="15.75" hidden="1" customHeight="1"/>
    <row r="3407" ht="15.75" hidden="1" customHeight="1"/>
    <row r="3408" ht="15.75" hidden="1" customHeight="1"/>
    <row r="3409" ht="15.75" hidden="1" customHeight="1"/>
    <row r="3410" ht="15.75" hidden="1" customHeight="1"/>
    <row r="3411" ht="15.75" hidden="1" customHeight="1"/>
    <row r="3412" ht="15.75" hidden="1" customHeight="1"/>
    <row r="3413" ht="15.75" hidden="1" customHeight="1"/>
    <row r="3414" ht="15.75" hidden="1" customHeight="1"/>
    <row r="3415" ht="15.75" hidden="1" customHeight="1"/>
    <row r="3416" ht="15.75" hidden="1" customHeight="1"/>
    <row r="3417" ht="15.75" hidden="1" customHeight="1"/>
    <row r="3418" ht="15.75" hidden="1" customHeight="1"/>
    <row r="3419" ht="15.75" hidden="1" customHeight="1"/>
    <row r="3420" ht="15.75" hidden="1" customHeight="1"/>
    <row r="3421" ht="15.75" hidden="1" customHeight="1"/>
    <row r="3422" ht="15.75" hidden="1" customHeight="1"/>
    <row r="3423" ht="15.75" hidden="1" customHeight="1"/>
    <row r="3424" ht="15.75" hidden="1" customHeight="1"/>
    <row r="3425" ht="15.75" hidden="1" customHeight="1"/>
    <row r="3426" ht="15.75" hidden="1" customHeight="1"/>
    <row r="3427" ht="15.75" hidden="1" customHeight="1"/>
    <row r="3428" ht="15.75" hidden="1" customHeight="1"/>
    <row r="3429" ht="15.75" hidden="1" customHeight="1"/>
    <row r="3430" ht="15.75" hidden="1" customHeight="1"/>
    <row r="3431" ht="15.75" hidden="1" customHeight="1"/>
    <row r="3432" ht="15.75" hidden="1" customHeight="1"/>
    <row r="3433" ht="15.75" hidden="1" customHeight="1"/>
    <row r="3434" ht="15.75" hidden="1" customHeight="1"/>
    <row r="3435" ht="15.75" hidden="1" customHeight="1"/>
    <row r="3436" ht="15.75" hidden="1" customHeight="1"/>
    <row r="3437" ht="15.75" hidden="1" customHeight="1"/>
    <row r="3438" ht="15.75" hidden="1" customHeight="1"/>
    <row r="3439" ht="15.75" hidden="1" customHeight="1"/>
    <row r="3440" ht="15.75" hidden="1" customHeight="1"/>
    <row r="3441" ht="15.75" hidden="1" customHeight="1"/>
    <row r="3442" ht="15.75" hidden="1" customHeight="1"/>
    <row r="3443" ht="15.75" hidden="1" customHeight="1"/>
    <row r="3444" ht="15.75" hidden="1" customHeight="1"/>
    <row r="3445" ht="15.75" hidden="1" customHeight="1"/>
    <row r="3446" ht="15.75" hidden="1" customHeight="1"/>
    <row r="3447" ht="15.75" hidden="1" customHeight="1"/>
    <row r="3448" ht="15.75" hidden="1" customHeight="1"/>
    <row r="3449" ht="15.75" hidden="1" customHeight="1"/>
    <row r="3450" ht="15.75" hidden="1" customHeight="1"/>
    <row r="3451" ht="15.75" hidden="1" customHeight="1"/>
    <row r="3452" ht="15.75" hidden="1" customHeight="1"/>
    <row r="3453" ht="15.75" hidden="1" customHeight="1"/>
    <row r="3454" ht="15.75" hidden="1" customHeight="1"/>
    <row r="3455" ht="15.75" hidden="1" customHeight="1"/>
    <row r="3456" ht="15.75" hidden="1" customHeight="1"/>
    <row r="3457" ht="15.75" hidden="1" customHeight="1"/>
    <row r="3458" ht="15.75" hidden="1" customHeight="1"/>
    <row r="3459" ht="15.75" hidden="1" customHeight="1"/>
    <row r="3460" ht="15.75" hidden="1" customHeight="1"/>
    <row r="3461" ht="15.75" hidden="1" customHeight="1"/>
    <row r="3462" ht="15.75" hidden="1" customHeight="1"/>
    <row r="3463" ht="15.75" hidden="1" customHeight="1"/>
    <row r="3464" ht="15.75" hidden="1" customHeight="1"/>
    <row r="3465" ht="15.75" hidden="1" customHeight="1"/>
    <row r="3466" ht="15.75" hidden="1" customHeight="1"/>
    <row r="3467" ht="15.75" hidden="1" customHeight="1"/>
    <row r="3468" ht="15.75" hidden="1" customHeight="1"/>
    <row r="3469" ht="15.75" hidden="1" customHeight="1"/>
    <row r="3470" ht="15.75" hidden="1" customHeight="1"/>
    <row r="3471" ht="15.75" hidden="1" customHeight="1"/>
    <row r="3472" ht="15.75" hidden="1" customHeight="1"/>
    <row r="3473" ht="15.75" hidden="1" customHeight="1"/>
    <row r="3474" ht="15.75" hidden="1" customHeight="1"/>
    <row r="3475" ht="15.75" hidden="1" customHeight="1"/>
    <row r="3476" ht="15.75" hidden="1" customHeight="1"/>
    <row r="3477" ht="15.75" hidden="1" customHeight="1"/>
    <row r="3478" ht="15.75" hidden="1" customHeight="1"/>
    <row r="3479" ht="15.75" hidden="1" customHeight="1"/>
    <row r="3480" ht="15.75" hidden="1" customHeight="1"/>
    <row r="3481" ht="15.75" hidden="1" customHeight="1"/>
    <row r="3482" ht="15.75" hidden="1" customHeight="1"/>
    <row r="3483" ht="15.75" hidden="1" customHeight="1"/>
    <row r="3484" ht="15.75" hidden="1" customHeight="1"/>
    <row r="3485" ht="15.75" hidden="1" customHeight="1"/>
    <row r="3486" ht="15.75" hidden="1" customHeight="1"/>
    <row r="3487" ht="15.75" hidden="1" customHeight="1"/>
    <row r="3488" ht="15.75" hidden="1" customHeight="1"/>
    <row r="3489" ht="15.75" hidden="1" customHeight="1"/>
    <row r="3490" ht="15.75" hidden="1" customHeight="1"/>
    <row r="3491" ht="15.75" hidden="1" customHeight="1"/>
    <row r="3492" ht="15.75" hidden="1" customHeight="1"/>
    <row r="3493" ht="15.75" hidden="1" customHeight="1"/>
    <row r="3494" ht="15.75" hidden="1" customHeight="1"/>
    <row r="3495" ht="15.75" hidden="1" customHeight="1"/>
    <row r="3496" ht="15.75" hidden="1" customHeight="1"/>
    <row r="3497" ht="15.75" hidden="1" customHeight="1"/>
    <row r="3498" ht="15.75" hidden="1" customHeight="1"/>
    <row r="3499" ht="15.75" hidden="1" customHeight="1"/>
    <row r="3500" ht="15.75" hidden="1" customHeight="1"/>
    <row r="3501" ht="15.75" hidden="1" customHeight="1"/>
    <row r="3502" ht="15.75" hidden="1" customHeight="1"/>
    <row r="3503" ht="15.75" hidden="1" customHeight="1"/>
    <row r="3504" ht="15.75" hidden="1" customHeight="1"/>
    <row r="3505" ht="15.75" hidden="1" customHeight="1"/>
    <row r="3506" ht="15.75" hidden="1" customHeight="1"/>
    <row r="3507" ht="15.75" hidden="1" customHeight="1"/>
    <row r="3508" ht="15.75" hidden="1" customHeight="1"/>
    <row r="3509" ht="15.75" hidden="1" customHeight="1"/>
    <row r="3510" ht="15.75" hidden="1" customHeight="1"/>
    <row r="3511" ht="15.75" hidden="1" customHeight="1"/>
    <row r="3512" ht="15.75" hidden="1" customHeight="1"/>
    <row r="3513" ht="15.75" hidden="1" customHeight="1"/>
    <row r="3514" ht="15.75" hidden="1" customHeight="1"/>
    <row r="3515" ht="15.75" hidden="1" customHeight="1"/>
    <row r="3516" ht="15.75" hidden="1" customHeight="1"/>
    <row r="3517" ht="15.75" hidden="1" customHeight="1"/>
    <row r="3518" ht="15.75" hidden="1" customHeight="1"/>
    <row r="3519" ht="15.75" hidden="1" customHeight="1"/>
    <row r="3520" ht="15.75" hidden="1" customHeight="1"/>
    <row r="3521" ht="15.75" hidden="1" customHeight="1"/>
    <row r="3522" ht="15.75" hidden="1" customHeight="1"/>
    <row r="3523" ht="15.75" hidden="1" customHeight="1"/>
    <row r="3524" ht="15.75" hidden="1" customHeight="1"/>
    <row r="3525" ht="15.75" hidden="1" customHeight="1"/>
    <row r="3526" ht="15.75" hidden="1" customHeight="1"/>
    <row r="3527" ht="15.75" hidden="1" customHeight="1"/>
    <row r="3528" ht="15.75" hidden="1" customHeight="1"/>
    <row r="3529" ht="15.75" hidden="1" customHeight="1"/>
    <row r="3530" ht="15.75" hidden="1" customHeight="1"/>
    <row r="3531" ht="15.75" hidden="1" customHeight="1"/>
    <row r="3532" ht="15.75" hidden="1" customHeight="1"/>
    <row r="3533" ht="15.75" hidden="1" customHeight="1"/>
    <row r="3534" ht="15.75" hidden="1" customHeight="1"/>
    <row r="3535" ht="15.75" hidden="1" customHeight="1"/>
    <row r="3536" ht="15.75" hidden="1" customHeight="1"/>
    <row r="3537" ht="15.75" hidden="1" customHeight="1"/>
    <row r="3538" ht="15.75" hidden="1" customHeight="1"/>
    <row r="3539" ht="15.75" hidden="1" customHeight="1"/>
    <row r="3540" ht="15.75" hidden="1" customHeight="1"/>
    <row r="3541" ht="15.75" hidden="1" customHeight="1"/>
    <row r="3542" ht="15.75" hidden="1" customHeight="1"/>
    <row r="3543" ht="15.75" hidden="1" customHeight="1"/>
    <row r="3544" ht="15.75" hidden="1" customHeight="1"/>
    <row r="3545" ht="15.75" hidden="1" customHeight="1"/>
    <row r="3546" ht="15.75" hidden="1" customHeight="1"/>
    <row r="3547" ht="15.75" hidden="1" customHeight="1"/>
    <row r="3548" ht="15.75" hidden="1" customHeight="1"/>
    <row r="3549" ht="15.75" hidden="1" customHeight="1"/>
    <row r="3550" ht="15.75" hidden="1" customHeight="1"/>
    <row r="3551" ht="15.75" hidden="1" customHeight="1"/>
    <row r="3552" ht="15.75" hidden="1" customHeight="1"/>
    <row r="3553" ht="15.75" hidden="1" customHeight="1"/>
    <row r="3554" ht="15.75" hidden="1" customHeight="1"/>
    <row r="3555" ht="15.75" hidden="1" customHeight="1"/>
    <row r="3556" ht="15.75" hidden="1" customHeight="1"/>
    <row r="3557" ht="15.75" hidden="1" customHeight="1"/>
    <row r="3558" ht="15.75" hidden="1" customHeight="1"/>
    <row r="3559" ht="15.75" hidden="1" customHeight="1"/>
    <row r="3560" ht="15.75" hidden="1" customHeight="1"/>
    <row r="3561" ht="15.75" hidden="1" customHeight="1"/>
    <row r="3562" ht="15.75" hidden="1" customHeight="1"/>
    <row r="3563" ht="15.75" hidden="1" customHeight="1"/>
    <row r="3564" ht="15.75" hidden="1" customHeight="1"/>
    <row r="3565" ht="15.75" hidden="1" customHeight="1"/>
    <row r="3566" ht="15.75" hidden="1" customHeight="1"/>
    <row r="3567" ht="15.75" hidden="1" customHeight="1"/>
    <row r="3568" ht="15.75" hidden="1" customHeight="1"/>
    <row r="3569" ht="15.75" hidden="1" customHeight="1"/>
    <row r="3570" ht="15.75" hidden="1" customHeight="1"/>
    <row r="3571" ht="15.75" hidden="1" customHeight="1"/>
    <row r="3572" ht="15.75" hidden="1" customHeight="1"/>
    <row r="3573" ht="15.75" hidden="1" customHeight="1"/>
    <row r="3574" ht="15.75" hidden="1" customHeight="1"/>
    <row r="3575" ht="15.75" hidden="1" customHeight="1"/>
    <row r="3576" ht="15.75" hidden="1" customHeight="1"/>
    <row r="3577" ht="15.75" hidden="1" customHeight="1"/>
    <row r="3578" ht="15.75" hidden="1" customHeight="1"/>
    <row r="3579" ht="15.75" hidden="1" customHeight="1"/>
    <row r="3580" ht="15.75" hidden="1" customHeight="1"/>
    <row r="3581" ht="15.75" hidden="1" customHeight="1"/>
    <row r="3582" ht="15.75" hidden="1" customHeight="1"/>
    <row r="3583" ht="15.75" hidden="1" customHeight="1"/>
    <row r="3584" ht="15.75" hidden="1" customHeight="1"/>
    <row r="3585" ht="15.75" hidden="1" customHeight="1"/>
    <row r="3586" ht="15.75" hidden="1" customHeight="1"/>
    <row r="3587" ht="15.75" hidden="1" customHeight="1"/>
    <row r="3588" ht="15.75" hidden="1" customHeight="1"/>
    <row r="3589" ht="15.75" hidden="1" customHeight="1"/>
    <row r="3590" ht="15.75" hidden="1" customHeight="1"/>
    <row r="3591" ht="15.75" hidden="1" customHeight="1"/>
    <row r="3592" ht="15.75" hidden="1" customHeight="1"/>
    <row r="3593" ht="15.75" hidden="1" customHeight="1"/>
    <row r="3594" ht="15.75" hidden="1" customHeight="1"/>
    <row r="3595" ht="15.75" hidden="1" customHeight="1"/>
    <row r="3596" ht="15.75" hidden="1" customHeight="1"/>
    <row r="3597" ht="15.75" hidden="1" customHeight="1"/>
    <row r="3598" ht="15.75" hidden="1" customHeight="1"/>
    <row r="3599" ht="15.75" hidden="1" customHeight="1"/>
    <row r="3600" ht="15.75" hidden="1" customHeight="1"/>
    <row r="3601" ht="15.75" hidden="1" customHeight="1"/>
    <row r="3602" ht="15.75" hidden="1" customHeight="1"/>
    <row r="3603" ht="15.75" hidden="1" customHeight="1"/>
    <row r="3604" ht="15.75" hidden="1" customHeight="1"/>
    <row r="3605" ht="15.75" hidden="1" customHeight="1"/>
    <row r="3606" ht="15.75" hidden="1" customHeight="1"/>
    <row r="3607" ht="15.75" hidden="1" customHeight="1"/>
    <row r="3608" ht="15.75" hidden="1" customHeight="1"/>
    <row r="3609" ht="15.75" hidden="1" customHeight="1"/>
    <row r="3610" ht="15.75" hidden="1" customHeight="1"/>
    <row r="3611" ht="15.75" hidden="1" customHeight="1"/>
    <row r="3612" ht="15.75" hidden="1" customHeight="1"/>
    <row r="3613" ht="15.75" hidden="1" customHeight="1"/>
    <row r="3614" ht="15.75" hidden="1" customHeight="1"/>
    <row r="3615" ht="15.75" hidden="1" customHeight="1"/>
    <row r="3616" ht="15.75" hidden="1" customHeight="1"/>
    <row r="3617" ht="15.75" hidden="1" customHeight="1"/>
    <row r="3618" ht="15.75" hidden="1" customHeight="1"/>
    <row r="3619" ht="15.75" hidden="1" customHeight="1"/>
    <row r="3620" ht="15.75" hidden="1" customHeight="1"/>
    <row r="3621" ht="15.75" hidden="1" customHeight="1"/>
    <row r="3622" ht="15.75" hidden="1" customHeight="1"/>
    <row r="3623" ht="15.75" hidden="1" customHeight="1"/>
    <row r="3624" ht="15.75" hidden="1" customHeight="1"/>
    <row r="3625" ht="15.75" hidden="1" customHeight="1"/>
    <row r="3626" ht="15.75" hidden="1" customHeight="1"/>
    <row r="3627" ht="15.75" hidden="1" customHeight="1"/>
    <row r="3628" ht="15.75" hidden="1" customHeight="1"/>
    <row r="3629" ht="15.75" hidden="1" customHeight="1"/>
    <row r="3630" ht="15.75" hidden="1" customHeight="1"/>
    <row r="3631" ht="15.75" hidden="1" customHeight="1"/>
    <row r="3632" ht="15.75" hidden="1" customHeight="1"/>
    <row r="3633" ht="15.75" hidden="1" customHeight="1"/>
    <row r="3634" ht="15.75" hidden="1" customHeight="1"/>
    <row r="3635" ht="15.75" hidden="1" customHeight="1"/>
    <row r="3636" ht="15.75" hidden="1" customHeight="1"/>
    <row r="3637" ht="15.75" hidden="1" customHeight="1"/>
    <row r="3638" ht="15.75" hidden="1" customHeight="1"/>
    <row r="3639" ht="15.75" hidden="1" customHeight="1"/>
    <row r="3640" ht="15.75" hidden="1" customHeight="1"/>
    <row r="3641" ht="15.75" hidden="1" customHeight="1"/>
    <row r="3642" ht="15.75" hidden="1" customHeight="1"/>
    <row r="3643" ht="15.75" hidden="1" customHeight="1"/>
    <row r="3644" ht="15.75" hidden="1" customHeight="1"/>
    <row r="3645" ht="15.75" hidden="1" customHeight="1"/>
    <row r="3646" ht="15.75" hidden="1" customHeight="1"/>
    <row r="3647" ht="15.75" hidden="1" customHeight="1"/>
    <row r="3648" ht="15.75" hidden="1" customHeight="1"/>
    <row r="3649" ht="15.75" hidden="1" customHeight="1"/>
    <row r="3650" ht="15.75" hidden="1" customHeight="1"/>
    <row r="3651" ht="15.75" hidden="1" customHeight="1"/>
    <row r="3652" ht="15.75" hidden="1" customHeight="1"/>
    <row r="3653" ht="15.75" hidden="1" customHeight="1"/>
    <row r="3654" ht="15.75" hidden="1" customHeight="1"/>
    <row r="3655" ht="15.75" hidden="1" customHeight="1"/>
    <row r="3656" ht="15.75" hidden="1" customHeight="1"/>
    <row r="3657" ht="15.75" hidden="1" customHeight="1"/>
    <row r="3658" ht="15.75" hidden="1" customHeight="1"/>
    <row r="3659" ht="15.75" hidden="1" customHeight="1"/>
    <row r="3660" ht="15.75" hidden="1" customHeight="1"/>
    <row r="3661" ht="15.75" hidden="1" customHeight="1"/>
    <row r="3662" ht="15.75" hidden="1" customHeight="1"/>
    <row r="3663" ht="15.75" hidden="1" customHeight="1"/>
    <row r="3664" ht="15.75" hidden="1" customHeight="1"/>
    <row r="3665" ht="15.75" hidden="1" customHeight="1"/>
    <row r="3666" ht="15.75" hidden="1" customHeight="1"/>
    <row r="3667" ht="15.75" hidden="1" customHeight="1"/>
    <row r="3668" ht="15.75" hidden="1" customHeight="1"/>
    <row r="3669" ht="15.75" hidden="1" customHeight="1"/>
    <row r="3670" ht="15.75" hidden="1" customHeight="1"/>
    <row r="3671" ht="15.75" hidden="1" customHeight="1"/>
    <row r="3672" ht="15.75" hidden="1" customHeight="1"/>
    <row r="3673" ht="15.75" hidden="1" customHeight="1"/>
    <row r="3674" ht="15.75" hidden="1" customHeight="1"/>
    <row r="3675" ht="15.75" hidden="1" customHeight="1"/>
    <row r="3676" ht="15.75" hidden="1" customHeight="1"/>
    <row r="3677" ht="15.75" hidden="1" customHeight="1"/>
    <row r="3678" ht="15.75" hidden="1" customHeight="1"/>
    <row r="3679" ht="15.75" hidden="1" customHeight="1"/>
    <row r="3680" ht="15.75" hidden="1" customHeight="1"/>
    <row r="3681" ht="15.75" hidden="1" customHeight="1"/>
    <row r="3682" ht="15.75" hidden="1" customHeight="1"/>
    <row r="3683" ht="15.75" hidden="1" customHeight="1"/>
    <row r="3684" ht="15.75" hidden="1" customHeight="1"/>
    <row r="3685" ht="15.75" hidden="1" customHeight="1"/>
    <row r="3686" ht="15.75" hidden="1" customHeight="1"/>
    <row r="3687" ht="15.75" hidden="1" customHeight="1"/>
    <row r="3688" ht="15.75" hidden="1" customHeight="1"/>
    <row r="3689" ht="15.75" hidden="1" customHeight="1"/>
    <row r="3690" ht="15.75" hidden="1" customHeight="1"/>
    <row r="3691" ht="15.75" hidden="1" customHeight="1"/>
    <row r="3692" ht="15.75" hidden="1" customHeight="1"/>
    <row r="3693" ht="15.75" hidden="1" customHeight="1"/>
    <row r="3694" ht="15.75" hidden="1" customHeight="1"/>
    <row r="3695" ht="15.75" hidden="1" customHeight="1"/>
    <row r="3696" ht="15.75" hidden="1" customHeight="1"/>
    <row r="3697" ht="15.75" hidden="1" customHeight="1"/>
    <row r="3698" ht="15.75" hidden="1" customHeight="1"/>
    <row r="3699" ht="15.75" hidden="1" customHeight="1"/>
    <row r="3700" ht="15.75" hidden="1" customHeight="1"/>
    <row r="3701" ht="15.75" hidden="1" customHeight="1"/>
    <row r="3702" ht="15.75" hidden="1" customHeight="1"/>
    <row r="3703" ht="15.75" hidden="1" customHeight="1"/>
    <row r="3704" ht="15.75" hidden="1" customHeight="1"/>
    <row r="3705" ht="15.75" hidden="1" customHeight="1"/>
    <row r="3706" ht="15.75" hidden="1" customHeight="1"/>
    <row r="3707" ht="15.75" hidden="1" customHeight="1"/>
    <row r="3708" ht="15.75" hidden="1" customHeight="1"/>
    <row r="3709" ht="15.75" hidden="1" customHeight="1"/>
    <row r="3710" ht="15.75" hidden="1" customHeight="1"/>
    <row r="3711" ht="15.75" hidden="1" customHeight="1"/>
    <row r="3712" ht="15.75" hidden="1" customHeight="1"/>
    <row r="3713" ht="15.75" hidden="1" customHeight="1"/>
    <row r="3714" ht="15.75" hidden="1" customHeight="1"/>
    <row r="3715" ht="15.75" hidden="1" customHeight="1"/>
    <row r="3716" ht="15.75" hidden="1" customHeight="1"/>
    <row r="3717" ht="15.75" hidden="1" customHeight="1"/>
    <row r="3718" ht="15.75" hidden="1" customHeight="1"/>
    <row r="3719" ht="15.75" hidden="1" customHeight="1"/>
    <row r="3720" ht="15.75" hidden="1" customHeight="1"/>
    <row r="3721" ht="15.75" hidden="1" customHeight="1"/>
    <row r="3722" ht="15.75" hidden="1" customHeight="1"/>
    <row r="3723" ht="15.75" hidden="1" customHeight="1"/>
    <row r="3724" ht="15.75" hidden="1" customHeight="1"/>
    <row r="3725" ht="15.75" hidden="1" customHeight="1"/>
    <row r="3726" ht="15.75" hidden="1" customHeight="1"/>
    <row r="3727" ht="15.75" hidden="1" customHeight="1"/>
    <row r="3728" ht="15.75" hidden="1" customHeight="1"/>
    <row r="3729" ht="15.75" hidden="1" customHeight="1"/>
    <row r="3730" ht="15.75" hidden="1" customHeight="1"/>
    <row r="3731" ht="15.75" hidden="1" customHeight="1"/>
    <row r="3732" ht="15.75" hidden="1" customHeight="1"/>
    <row r="3733" ht="15.75" hidden="1" customHeight="1"/>
    <row r="3734" ht="15.75" hidden="1" customHeight="1"/>
    <row r="3735" ht="15.75" hidden="1" customHeight="1"/>
    <row r="3736" ht="15.75" hidden="1" customHeight="1"/>
    <row r="3737" ht="15.75" hidden="1" customHeight="1"/>
    <row r="3738" ht="15.75" hidden="1" customHeight="1"/>
    <row r="3739" ht="15.75" hidden="1" customHeight="1"/>
    <row r="3740" ht="15.75" hidden="1" customHeight="1"/>
    <row r="3741" ht="15.75" hidden="1" customHeight="1"/>
    <row r="3742" ht="15.75" hidden="1" customHeight="1"/>
    <row r="3743" ht="15.75" hidden="1" customHeight="1"/>
    <row r="3744" ht="15.75" hidden="1" customHeight="1"/>
    <row r="3745" ht="15.75" hidden="1" customHeight="1"/>
    <row r="3746" ht="15.75" hidden="1" customHeight="1"/>
    <row r="3747" ht="15.75" hidden="1" customHeight="1"/>
    <row r="3748" ht="15.75" hidden="1" customHeight="1"/>
    <row r="3749" ht="15.75" hidden="1" customHeight="1"/>
    <row r="3750" ht="15.75" hidden="1" customHeight="1"/>
    <row r="3751" ht="15.75" hidden="1" customHeight="1"/>
    <row r="3752" ht="15.75" hidden="1" customHeight="1"/>
    <row r="3753" ht="15.75" hidden="1" customHeight="1"/>
    <row r="3754" ht="15.75" hidden="1" customHeight="1"/>
    <row r="3755" ht="15.75" hidden="1" customHeight="1"/>
    <row r="3756" ht="15.75" hidden="1" customHeight="1"/>
    <row r="3757" ht="15.75" hidden="1" customHeight="1"/>
    <row r="3758" ht="15.75" hidden="1" customHeight="1"/>
    <row r="3759" ht="15.75" hidden="1" customHeight="1"/>
    <row r="3760" ht="15.75" hidden="1" customHeight="1"/>
    <row r="3761" ht="15.75" hidden="1" customHeight="1"/>
    <row r="3762" ht="15.75" hidden="1" customHeight="1"/>
    <row r="3763" ht="15.75" hidden="1" customHeight="1"/>
    <row r="3764" ht="15.75" hidden="1" customHeight="1"/>
    <row r="3765" ht="15.75" hidden="1" customHeight="1"/>
    <row r="3766" ht="15.75" hidden="1" customHeight="1"/>
    <row r="3767" ht="15.75" hidden="1" customHeight="1"/>
    <row r="3768" ht="15.75" hidden="1" customHeight="1"/>
    <row r="3769" ht="15.75" hidden="1" customHeight="1"/>
    <row r="3770" ht="15.75" hidden="1" customHeight="1"/>
    <row r="3771" ht="15.75" hidden="1" customHeight="1"/>
    <row r="3772" ht="15.75" hidden="1" customHeight="1"/>
    <row r="3773" ht="15.75" hidden="1" customHeight="1"/>
    <row r="3774" ht="15.75" hidden="1" customHeight="1"/>
    <row r="3775" ht="15.75" hidden="1" customHeight="1"/>
    <row r="3776" ht="15.75" hidden="1" customHeight="1"/>
    <row r="3777" ht="15.75" hidden="1" customHeight="1"/>
    <row r="3778" ht="15.75" hidden="1" customHeight="1"/>
    <row r="3779" ht="15.75" hidden="1" customHeight="1"/>
    <row r="3780" ht="15.75" hidden="1" customHeight="1"/>
    <row r="3781" ht="15.75" hidden="1" customHeight="1"/>
    <row r="3782" ht="15.75" hidden="1" customHeight="1"/>
    <row r="3783" ht="15.75" hidden="1" customHeight="1"/>
    <row r="3784" ht="15.75" hidden="1" customHeight="1"/>
    <row r="3785" ht="15.75" hidden="1" customHeight="1"/>
    <row r="3786" ht="15.75" hidden="1" customHeight="1"/>
    <row r="3787" ht="15.75" hidden="1" customHeight="1"/>
    <row r="3788" ht="15.75" hidden="1" customHeight="1"/>
    <row r="3789" ht="15.75" hidden="1" customHeight="1"/>
    <row r="3790" ht="15.75" hidden="1" customHeight="1"/>
    <row r="3791" ht="15.75" hidden="1" customHeight="1"/>
    <row r="3792" ht="15.75" hidden="1" customHeight="1"/>
    <row r="3793" ht="15.75" hidden="1" customHeight="1"/>
    <row r="3794" ht="15.75" hidden="1" customHeight="1"/>
    <row r="3795" ht="15.75" hidden="1" customHeight="1"/>
    <row r="3796" ht="15.75" hidden="1" customHeight="1"/>
    <row r="3797" ht="15.75" hidden="1" customHeight="1"/>
    <row r="3798" ht="15.75" hidden="1" customHeight="1"/>
    <row r="3799" ht="15.75" hidden="1" customHeight="1"/>
    <row r="3800" ht="15.75" hidden="1" customHeight="1"/>
    <row r="3801" ht="15.75" hidden="1" customHeight="1"/>
    <row r="3802" ht="15.75" hidden="1" customHeight="1"/>
    <row r="3803" ht="15.75" hidden="1" customHeight="1"/>
    <row r="3804" ht="15.75" hidden="1" customHeight="1"/>
    <row r="3805" ht="15.75" hidden="1" customHeight="1"/>
    <row r="3806" ht="15.75" hidden="1" customHeight="1"/>
    <row r="3807" ht="15.75" hidden="1" customHeight="1"/>
    <row r="3808" ht="15.75" hidden="1" customHeight="1"/>
    <row r="3809" ht="15.75" hidden="1" customHeight="1"/>
    <row r="3810" ht="15.75" hidden="1" customHeight="1"/>
    <row r="3811" ht="15.75" hidden="1" customHeight="1"/>
    <row r="3812" ht="15.75" hidden="1" customHeight="1"/>
    <row r="3813" ht="15.75" hidden="1" customHeight="1"/>
    <row r="3814" ht="15.75" hidden="1" customHeight="1"/>
    <row r="3815" ht="15.75" hidden="1" customHeight="1"/>
    <row r="3816" ht="15.75" hidden="1" customHeight="1"/>
    <row r="3817" ht="15.75" hidden="1" customHeight="1"/>
    <row r="3818" ht="15.75" hidden="1" customHeight="1"/>
    <row r="3819" ht="15.75" hidden="1" customHeight="1"/>
    <row r="3820" ht="15.75" hidden="1" customHeight="1"/>
    <row r="3821" ht="15.75" hidden="1" customHeight="1"/>
    <row r="3822" ht="15.75" hidden="1" customHeight="1"/>
    <row r="3823" ht="15.75" hidden="1" customHeight="1"/>
    <row r="3824" ht="15.75" hidden="1" customHeight="1"/>
    <row r="3825" ht="15.75" hidden="1" customHeight="1"/>
    <row r="3826" ht="15.75" hidden="1" customHeight="1"/>
    <row r="3827" ht="15.75" hidden="1" customHeight="1"/>
    <row r="3828" ht="15.75" hidden="1" customHeight="1"/>
    <row r="3829" ht="15.75" hidden="1" customHeight="1"/>
    <row r="3830" ht="15.75" hidden="1" customHeight="1"/>
    <row r="3831" ht="15.75" hidden="1" customHeight="1"/>
    <row r="3832" ht="15.75" hidden="1" customHeight="1"/>
    <row r="3833" ht="15.75" hidden="1" customHeight="1"/>
    <row r="3834" ht="15.75" hidden="1" customHeight="1"/>
    <row r="3835" ht="15.75" hidden="1" customHeight="1"/>
    <row r="3836" ht="15.75" hidden="1" customHeight="1"/>
    <row r="3837" ht="15.75" hidden="1" customHeight="1"/>
    <row r="3838" ht="15.75" hidden="1" customHeight="1"/>
    <row r="3839" ht="15.75" hidden="1" customHeight="1"/>
    <row r="3840" ht="15.75" hidden="1" customHeight="1"/>
    <row r="3841" ht="15.75" hidden="1" customHeight="1"/>
    <row r="3842" ht="15.75" hidden="1" customHeight="1"/>
    <row r="3843" ht="15.75" hidden="1" customHeight="1"/>
    <row r="3844" ht="15.75" hidden="1" customHeight="1"/>
    <row r="3845" ht="15.75" hidden="1" customHeight="1"/>
    <row r="3846" ht="15.75" hidden="1" customHeight="1"/>
    <row r="3847" ht="15.75" hidden="1" customHeight="1"/>
    <row r="3848" ht="15.75" hidden="1" customHeight="1"/>
    <row r="3849" ht="15.75" hidden="1" customHeight="1"/>
    <row r="3850" ht="15.75" hidden="1" customHeight="1"/>
    <row r="3851" ht="15.75" hidden="1" customHeight="1"/>
    <row r="3852" ht="15.75" hidden="1" customHeight="1"/>
    <row r="3853" ht="15.75" hidden="1" customHeight="1"/>
    <row r="3854" ht="15.75" hidden="1" customHeight="1"/>
    <row r="3855" ht="15.75" hidden="1" customHeight="1"/>
    <row r="3856" ht="15.75" hidden="1" customHeight="1"/>
    <row r="3857" ht="15.75" hidden="1" customHeight="1"/>
    <row r="3858" ht="15.75" hidden="1" customHeight="1"/>
    <row r="3859" ht="15.75" hidden="1" customHeight="1"/>
    <row r="3860" ht="15.75" hidden="1" customHeight="1"/>
    <row r="3861" ht="15.75" hidden="1" customHeight="1"/>
    <row r="3862" ht="15.75" hidden="1" customHeight="1"/>
    <row r="3863" ht="15.75" hidden="1" customHeight="1"/>
    <row r="3864" ht="15.75" hidden="1" customHeight="1"/>
    <row r="3865" ht="15.75" hidden="1" customHeight="1"/>
    <row r="3866" ht="15.75" hidden="1" customHeight="1"/>
    <row r="3867" ht="15.75" hidden="1" customHeight="1"/>
    <row r="3868" ht="15.75" hidden="1" customHeight="1"/>
    <row r="3869" ht="15.75" hidden="1" customHeight="1"/>
    <row r="3870" ht="15.75" hidden="1" customHeight="1"/>
    <row r="3871" ht="15.75" hidden="1" customHeight="1"/>
    <row r="3872" ht="15.75" hidden="1" customHeight="1"/>
    <row r="3873" ht="15.75" hidden="1" customHeight="1"/>
    <row r="3874" ht="15.75" hidden="1" customHeight="1"/>
    <row r="3875" ht="15.75" hidden="1" customHeight="1"/>
    <row r="3876" ht="15.75" hidden="1" customHeight="1"/>
    <row r="3877" ht="15.75" hidden="1" customHeight="1"/>
    <row r="3878" ht="15.75" hidden="1" customHeight="1"/>
    <row r="3879" ht="15.75" hidden="1" customHeight="1"/>
    <row r="3880" ht="15.75" hidden="1" customHeight="1"/>
    <row r="3881" ht="15.75" hidden="1" customHeight="1"/>
    <row r="3882" ht="15.75" hidden="1" customHeight="1"/>
    <row r="3883" ht="15.75" hidden="1" customHeight="1"/>
    <row r="3884" ht="15.75" hidden="1" customHeight="1"/>
    <row r="3885" ht="15.75" hidden="1" customHeight="1"/>
    <row r="3886" ht="15.75" hidden="1" customHeight="1"/>
    <row r="3887" ht="15.75" hidden="1" customHeight="1"/>
    <row r="3888" ht="15.75" hidden="1" customHeight="1"/>
    <row r="3889" ht="15.75" hidden="1" customHeight="1"/>
    <row r="3890" ht="15.75" hidden="1" customHeight="1"/>
    <row r="3891" ht="15.75" hidden="1" customHeight="1"/>
    <row r="3892" ht="15.75" hidden="1" customHeight="1"/>
    <row r="3893" ht="15.75" hidden="1" customHeight="1"/>
    <row r="3894" ht="15.75" hidden="1" customHeight="1"/>
    <row r="3895" ht="15.75" hidden="1" customHeight="1"/>
    <row r="3896" ht="15.75" hidden="1" customHeight="1"/>
    <row r="3897" ht="15.75" hidden="1" customHeight="1"/>
    <row r="3898" ht="15.75" hidden="1" customHeight="1"/>
    <row r="3899" ht="15.75" hidden="1" customHeight="1"/>
    <row r="3900" ht="15.75" hidden="1" customHeight="1"/>
    <row r="3901" ht="15.75" hidden="1" customHeight="1"/>
    <row r="3902" ht="15.75" hidden="1" customHeight="1"/>
    <row r="3903" ht="15.75" hidden="1" customHeight="1"/>
    <row r="3904" ht="15.75" hidden="1" customHeight="1"/>
    <row r="3905" ht="15.75" hidden="1" customHeight="1"/>
    <row r="3906" ht="15.75" hidden="1" customHeight="1"/>
    <row r="3907" ht="15.75" hidden="1" customHeight="1"/>
    <row r="3908" ht="15.75" hidden="1" customHeight="1"/>
    <row r="3909" ht="15.75" hidden="1" customHeight="1"/>
    <row r="3910" ht="15.75" hidden="1" customHeight="1"/>
    <row r="3911" ht="15.75" hidden="1" customHeight="1"/>
    <row r="3912" ht="15.75" hidden="1" customHeight="1"/>
    <row r="3913" ht="15.75" hidden="1" customHeight="1"/>
    <row r="3914" ht="15.75" hidden="1" customHeight="1"/>
    <row r="3915" ht="15.75" hidden="1" customHeight="1"/>
    <row r="3916" ht="15.75" hidden="1" customHeight="1"/>
    <row r="3917" ht="15.75" hidden="1" customHeight="1"/>
    <row r="3918" ht="15.75" hidden="1" customHeight="1"/>
    <row r="3919" ht="15.75" hidden="1" customHeight="1"/>
    <row r="3920" ht="15.75" hidden="1" customHeight="1"/>
    <row r="3921" ht="15.75" hidden="1" customHeight="1"/>
    <row r="3922" ht="15.75" hidden="1" customHeight="1"/>
    <row r="3923" ht="15.75" hidden="1" customHeight="1"/>
    <row r="3924" ht="15.75" hidden="1" customHeight="1"/>
    <row r="3925" ht="15.75" hidden="1" customHeight="1"/>
    <row r="3926" ht="15.75" hidden="1" customHeight="1"/>
    <row r="3927" ht="15.75" hidden="1" customHeight="1"/>
    <row r="3928" ht="15.75" hidden="1" customHeight="1"/>
    <row r="3929" ht="15.75" hidden="1" customHeight="1"/>
    <row r="3930" ht="15.75" hidden="1" customHeight="1"/>
    <row r="3931" ht="15.75" hidden="1" customHeight="1"/>
    <row r="3932" ht="15.75" hidden="1" customHeight="1"/>
    <row r="3933" ht="15.75" hidden="1" customHeight="1"/>
    <row r="3934" ht="15.75" hidden="1" customHeight="1"/>
    <row r="3935" ht="15.75" hidden="1" customHeight="1"/>
    <row r="3936" ht="15.75" hidden="1" customHeight="1"/>
    <row r="3937" ht="15.75" hidden="1" customHeight="1"/>
    <row r="3938" ht="15.75" hidden="1" customHeight="1"/>
    <row r="3939" ht="15.75" hidden="1" customHeight="1"/>
    <row r="3940" ht="15.75" hidden="1" customHeight="1"/>
    <row r="3941" ht="15.75" hidden="1" customHeight="1"/>
    <row r="3942" ht="15.75" hidden="1" customHeight="1"/>
    <row r="3943" ht="15.75" hidden="1" customHeight="1"/>
    <row r="3944" ht="15.75" hidden="1" customHeight="1"/>
    <row r="3945" ht="15.75" hidden="1" customHeight="1"/>
    <row r="3946" ht="15.75" hidden="1" customHeight="1"/>
    <row r="3947" ht="15.75" hidden="1" customHeight="1"/>
    <row r="3948" ht="15.75" hidden="1" customHeight="1"/>
    <row r="3949" ht="15.75" hidden="1" customHeight="1"/>
    <row r="3950" ht="15.75" hidden="1" customHeight="1"/>
    <row r="3951" ht="15.75" hidden="1" customHeight="1"/>
    <row r="3952" ht="15.75" hidden="1" customHeight="1"/>
    <row r="3953" ht="15.75" hidden="1" customHeight="1"/>
    <row r="3954" ht="15.75" hidden="1" customHeight="1"/>
    <row r="3955" ht="15.75" hidden="1" customHeight="1"/>
    <row r="3956" ht="15.75" hidden="1" customHeight="1"/>
    <row r="3957" ht="15.75" hidden="1" customHeight="1"/>
    <row r="3958" ht="15.75" hidden="1" customHeight="1"/>
    <row r="3959" ht="15.75" hidden="1" customHeight="1"/>
    <row r="3960" ht="15.75" hidden="1" customHeight="1"/>
    <row r="3961" ht="15.75" hidden="1" customHeight="1"/>
    <row r="3962" ht="15.75" hidden="1" customHeight="1"/>
    <row r="3963" ht="15.75" hidden="1" customHeight="1"/>
    <row r="3964" ht="15.75" hidden="1" customHeight="1"/>
    <row r="3965" ht="15.75" hidden="1" customHeight="1"/>
    <row r="3966" ht="15.75" hidden="1" customHeight="1"/>
    <row r="3967" ht="15.75" hidden="1" customHeight="1"/>
    <row r="3968" ht="15.75" hidden="1" customHeight="1"/>
    <row r="3969" ht="15.75" hidden="1" customHeight="1"/>
    <row r="3970" ht="15.75" hidden="1" customHeight="1"/>
    <row r="3971" ht="15.75" hidden="1" customHeight="1"/>
    <row r="3972" ht="15.75" hidden="1" customHeight="1"/>
    <row r="3973" ht="15.75" hidden="1" customHeight="1"/>
    <row r="3974" ht="15.75" hidden="1" customHeight="1"/>
    <row r="3975" ht="15.75" hidden="1" customHeight="1"/>
    <row r="3976" ht="15.75" hidden="1" customHeight="1"/>
    <row r="3977" ht="15.75" hidden="1" customHeight="1"/>
    <row r="3978" ht="15.75" hidden="1" customHeight="1"/>
    <row r="3979" ht="15.75" hidden="1" customHeight="1"/>
    <row r="3980" ht="15.75" hidden="1" customHeight="1"/>
    <row r="3981" ht="15.75" hidden="1" customHeight="1"/>
    <row r="3982" ht="15.75" hidden="1" customHeight="1"/>
    <row r="3983" ht="15.75" hidden="1" customHeight="1"/>
    <row r="3984" ht="15.75" hidden="1" customHeight="1"/>
    <row r="3985" ht="15.75" hidden="1" customHeight="1"/>
    <row r="3986" ht="15.75" hidden="1" customHeight="1"/>
    <row r="3987" ht="15.75" hidden="1" customHeight="1"/>
    <row r="3988" ht="15.75" hidden="1" customHeight="1"/>
    <row r="3989" ht="15.75" hidden="1" customHeight="1"/>
    <row r="3990" ht="15.75" hidden="1" customHeight="1"/>
    <row r="3991" ht="15.75" hidden="1" customHeight="1"/>
    <row r="3992" ht="15.75" hidden="1" customHeight="1"/>
    <row r="3993" ht="15.75" hidden="1" customHeight="1"/>
    <row r="3994" ht="15.75" hidden="1" customHeight="1"/>
    <row r="3995" ht="15.75" hidden="1" customHeight="1"/>
    <row r="3996" ht="15.75" hidden="1" customHeight="1"/>
    <row r="3997" ht="15.75" hidden="1" customHeight="1"/>
    <row r="3998" ht="15.75" hidden="1" customHeight="1"/>
    <row r="3999" ht="15.75" hidden="1" customHeight="1"/>
    <row r="4000" ht="15.75" hidden="1" customHeight="1"/>
    <row r="4001" ht="15.75" hidden="1" customHeight="1"/>
    <row r="4002" ht="15.75" hidden="1" customHeight="1"/>
    <row r="4003" ht="15.75" hidden="1" customHeight="1"/>
    <row r="4004" ht="15.75" hidden="1" customHeight="1"/>
    <row r="4005" ht="15.75" hidden="1" customHeight="1"/>
    <row r="4006" ht="15.75" hidden="1" customHeight="1"/>
    <row r="4007" ht="15.75" hidden="1" customHeight="1"/>
    <row r="4008" ht="15.75" hidden="1" customHeight="1"/>
    <row r="4009" ht="15.75" hidden="1" customHeight="1"/>
    <row r="4010" ht="15.75" hidden="1" customHeight="1"/>
    <row r="4011" ht="15.75" hidden="1" customHeight="1"/>
    <row r="4012" ht="15.75" hidden="1" customHeight="1"/>
    <row r="4013" ht="15.75" hidden="1" customHeight="1"/>
    <row r="4014" ht="15.75" hidden="1" customHeight="1"/>
    <row r="4015" ht="15.75" hidden="1" customHeight="1"/>
    <row r="4016" ht="15.75" hidden="1" customHeight="1"/>
    <row r="4017" ht="15.75" hidden="1" customHeight="1"/>
    <row r="4018" ht="15.75" hidden="1" customHeight="1"/>
    <row r="4019" ht="15.75" hidden="1" customHeight="1"/>
    <row r="4020" ht="15.75" hidden="1" customHeight="1"/>
    <row r="4021" ht="15.75" hidden="1" customHeight="1"/>
    <row r="4022" ht="15.75" hidden="1" customHeight="1"/>
    <row r="4023" ht="15.75" hidden="1" customHeight="1"/>
    <row r="4024" ht="15.75" hidden="1" customHeight="1"/>
    <row r="4025" ht="15.75" hidden="1" customHeight="1"/>
    <row r="4026" ht="15.75" hidden="1" customHeight="1"/>
    <row r="4027" ht="15.75" hidden="1" customHeight="1"/>
    <row r="4028" ht="15.75" hidden="1" customHeight="1"/>
    <row r="4029" ht="15.75" hidden="1" customHeight="1"/>
    <row r="4030" ht="15.75" hidden="1" customHeight="1"/>
    <row r="4031" ht="15.75" hidden="1" customHeight="1"/>
    <row r="4032" ht="15.75" hidden="1" customHeight="1"/>
    <row r="4033" ht="15.75" hidden="1" customHeight="1"/>
    <row r="4034" ht="15.75" hidden="1" customHeight="1"/>
    <row r="4035" ht="15.75" hidden="1" customHeight="1"/>
    <row r="4036" ht="15.75" hidden="1" customHeight="1"/>
    <row r="4037" ht="15.75" hidden="1" customHeight="1"/>
    <row r="4038" ht="15.75" hidden="1" customHeight="1"/>
    <row r="4039" ht="15.75" hidden="1" customHeight="1"/>
    <row r="4040" ht="15.75" hidden="1" customHeight="1"/>
    <row r="4041" ht="15.75" hidden="1" customHeight="1"/>
    <row r="4042" ht="15.75" hidden="1" customHeight="1"/>
    <row r="4043" ht="15.75" hidden="1" customHeight="1"/>
    <row r="4044" ht="15.75" hidden="1" customHeight="1"/>
    <row r="4045" ht="15.75" hidden="1" customHeight="1"/>
    <row r="4046" ht="15.75" hidden="1" customHeight="1"/>
    <row r="4047" ht="15.75" hidden="1" customHeight="1"/>
    <row r="4048" ht="15.75" hidden="1" customHeight="1"/>
    <row r="4049" ht="15.75" hidden="1" customHeight="1"/>
    <row r="4050" ht="15.75" hidden="1" customHeight="1"/>
    <row r="4051" ht="15.75" hidden="1" customHeight="1"/>
    <row r="4052" ht="15.75" hidden="1" customHeight="1"/>
    <row r="4053" ht="15.75" hidden="1" customHeight="1"/>
    <row r="4054" ht="15.75" hidden="1" customHeight="1"/>
    <row r="4055" ht="15.75" hidden="1" customHeight="1"/>
    <row r="4056" ht="15.75" hidden="1" customHeight="1"/>
    <row r="4057" ht="15.75" hidden="1" customHeight="1"/>
    <row r="4058" ht="15.75" hidden="1" customHeight="1"/>
    <row r="4059" ht="15.75" hidden="1" customHeight="1"/>
    <row r="4060" ht="15.75" hidden="1" customHeight="1"/>
    <row r="4061" ht="15.75" hidden="1" customHeight="1"/>
    <row r="4062" ht="15.75" hidden="1" customHeight="1"/>
    <row r="4063" ht="15.75" hidden="1" customHeight="1"/>
    <row r="4064" ht="15.75" hidden="1" customHeight="1"/>
    <row r="4065" ht="15.75" hidden="1" customHeight="1"/>
    <row r="4066" ht="15.75" hidden="1" customHeight="1"/>
    <row r="4067" ht="15.75" hidden="1" customHeight="1"/>
    <row r="4068" ht="15.75" hidden="1" customHeight="1"/>
    <row r="4069" ht="15.75" hidden="1" customHeight="1"/>
    <row r="4070" ht="15.75" hidden="1" customHeight="1"/>
    <row r="4071" ht="15.75" hidden="1" customHeight="1"/>
    <row r="4072" ht="15.75" hidden="1" customHeight="1"/>
    <row r="4073" ht="15.75" hidden="1" customHeight="1"/>
    <row r="4074" ht="15.75" hidden="1" customHeight="1"/>
    <row r="4075" ht="15.75" hidden="1" customHeight="1"/>
    <row r="4076" ht="15.75" hidden="1" customHeight="1"/>
    <row r="4077" ht="15.75" hidden="1" customHeight="1"/>
    <row r="4078" ht="15.75" hidden="1" customHeight="1"/>
    <row r="4079" ht="15.75" hidden="1" customHeight="1"/>
    <row r="4080" ht="15.75" hidden="1" customHeight="1"/>
    <row r="4081" ht="15.75" hidden="1" customHeight="1"/>
    <row r="4082" ht="15.75" hidden="1" customHeight="1"/>
    <row r="4083" ht="15.75" hidden="1" customHeight="1"/>
    <row r="4084" ht="15.75" hidden="1" customHeight="1"/>
    <row r="4085" ht="15.75" hidden="1" customHeight="1"/>
    <row r="4086" ht="15.75" hidden="1" customHeight="1"/>
    <row r="4087" ht="15.75" hidden="1" customHeight="1"/>
    <row r="4088" ht="15.75" hidden="1" customHeight="1"/>
    <row r="4089" ht="15.75" hidden="1" customHeight="1"/>
    <row r="4090" ht="15.75" hidden="1" customHeight="1"/>
    <row r="4091" ht="15.75" hidden="1" customHeight="1"/>
    <row r="4092" ht="15.75" hidden="1" customHeight="1"/>
    <row r="4093" ht="15.75" hidden="1" customHeight="1"/>
    <row r="4094" ht="15.75" hidden="1" customHeight="1"/>
    <row r="4095" ht="15.75" hidden="1" customHeight="1"/>
    <row r="4096" ht="15.75" hidden="1" customHeight="1"/>
    <row r="4097" ht="15.75" hidden="1" customHeight="1"/>
    <row r="4098" ht="15.75" hidden="1" customHeight="1"/>
    <row r="4099" ht="15.75" hidden="1" customHeight="1"/>
    <row r="4100" ht="15.75" hidden="1" customHeight="1"/>
    <row r="4101" ht="15.75" hidden="1" customHeight="1"/>
    <row r="4102" ht="15.75" hidden="1" customHeight="1"/>
    <row r="4103" ht="15.75" hidden="1" customHeight="1"/>
    <row r="4104" ht="15.75" hidden="1" customHeight="1"/>
    <row r="4105" ht="15.75" hidden="1" customHeight="1"/>
    <row r="4106" ht="15.75" hidden="1" customHeight="1"/>
    <row r="4107" ht="15.75" hidden="1" customHeight="1"/>
    <row r="4108" ht="15.75" hidden="1" customHeight="1"/>
    <row r="4109" ht="15.75" hidden="1" customHeight="1"/>
    <row r="4110" ht="15.75" hidden="1" customHeight="1"/>
    <row r="4111" ht="15.75" hidden="1" customHeight="1"/>
    <row r="4112" ht="15.75" hidden="1" customHeight="1"/>
    <row r="4113" ht="15.75" hidden="1" customHeight="1"/>
    <row r="4114" ht="15.75" hidden="1" customHeight="1"/>
    <row r="4115" ht="15.75" hidden="1" customHeight="1"/>
    <row r="4116" ht="15.75" hidden="1" customHeight="1"/>
    <row r="4117" ht="15.75" hidden="1" customHeight="1"/>
    <row r="4118" ht="15.75" hidden="1" customHeight="1"/>
    <row r="4119" ht="15.75" hidden="1" customHeight="1"/>
    <row r="4120" ht="15.75" hidden="1" customHeight="1"/>
    <row r="4121" ht="15.75" hidden="1" customHeight="1"/>
    <row r="4122" ht="15.75" hidden="1" customHeight="1"/>
    <row r="4123" ht="15.75" hidden="1" customHeight="1"/>
    <row r="4124" ht="15.75" hidden="1" customHeight="1"/>
    <row r="4125" ht="15.75" hidden="1" customHeight="1"/>
    <row r="4126" ht="15.75" hidden="1" customHeight="1"/>
    <row r="4127" ht="15.75" hidden="1" customHeight="1"/>
    <row r="4128" ht="15.75" hidden="1" customHeight="1"/>
    <row r="4129" ht="15.75" hidden="1" customHeight="1"/>
    <row r="4130" ht="15.75" hidden="1" customHeight="1"/>
    <row r="4131" ht="15.75" hidden="1" customHeight="1"/>
    <row r="4132" ht="15.75" hidden="1" customHeight="1"/>
    <row r="4133" ht="15.75" hidden="1" customHeight="1"/>
    <row r="4134" ht="15.75" hidden="1" customHeight="1"/>
    <row r="4135" ht="15.75" hidden="1" customHeight="1"/>
    <row r="4136" ht="15.75" hidden="1" customHeight="1"/>
    <row r="4137" ht="15.75" hidden="1" customHeight="1"/>
    <row r="4138" ht="15.75" hidden="1" customHeight="1"/>
    <row r="4139" ht="15.75" hidden="1" customHeight="1"/>
    <row r="4140" ht="15.75" hidden="1" customHeight="1"/>
    <row r="4141" ht="15.75" hidden="1" customHeight="1"/>
    <row r="4142" ht="15.75" hidden="1" customHeight="1"/>
    <row r="4143" ht="15.75" hidden="1" customHeight="1"/>
    <row r="4144" ht="15.75" hidden="1" customHeight="1"/>
    <row r="4145" ht="15.75" hidden="1" customHeight="1"/>
    <row r="4146" ht="15.75" hidden="1" customHeight="1"/>
    <row r="4147" ht="15.75" hidden="1" customHeight="1"/>
    <row r="4148" ht="15.75" hidden="1" customHeight="1"/>
    <row r="4149" ht="15.75" hidden="1" customHeight="1"/>
    <row r="4150" ht="15.75" hidden="1" customHeight="1"/>
    <row r="4151" ht="15.75" hidden="1" customHeight="1"/>
    <row r="4152" ht="15.75" hidden="1" customHeight="1"/>
    <row r="4153" ht="15.75" hidden="1" customHeight="1"/>
    <row r="4154" ht="15.75" hidden="1" customHeight="1"/>
    <row r="4155" ht="15.75" hidden="1" customHeight="1"/>
    <row r="4156" ht="15.75" hidden="1" customHeight="1"/>
    <row r="4157" ht="15.75" hidden="1" customHeight="1"/>
    <row r="4158" ht="15.75" hidden="1" customHeight="1"/>
    <row r="4159" ht="15.75" hidden="1" customHeight="1"/>
    <row r="4160" ht="15.75" hidden="1" customHeight="1"/>
    <row r="4161" ht="15.75" hidden="1" customHeight="1"/>
    <row r="4162" ht="15.75" hidden="1" customHeight="1"/>
    <row r="4163" ht="15.75" hidden="1" customHeight="1"/>
    <row r="4164" ht="15.75" hidden="1" customHeight="1"/>
    <row r="4165" ht="15.75" hidden="1" customHeight="1"/>
    <row r="4166" ht="15.75" hidden="1" customHeight="1"/>
    <row r="4167" ht="15.75" hidden="1" customHeight="1"/>
    <row r="4168" ht="15.75" hidden="1" customHeight="1"/>
    <row r="4169" ht="15.75" hidden="1" customHeight="1"/>
    <row r="4170" ht="15.75" hidden="1" customHeight="1"/>
    <row r="4171" ht="15.75" hidden="1" customHeight="1"/>
    <row r="4172" ht="15.75" hidden="1" customHeight="1"/>
    <row r="4173" ht="15.75" hidden="1" customHeight="1"/>
    <row r="4174" ht="15.75" hidden="1" customHeight="1"/>
    <row r="4175" ht="15.75" hidden="1" customHeight="1"/>
    <row r="4176" ht="15.75" hidden="1" customHeight="1"/>
    <row r="4177" ht="15.75" hidden="1" customHeight="1"/>
    <row r="4178" ht="15.75" hidden="1" customHeight="1"/>
    <row r="4179" ht="15.75" hidden="1" customHeight="1"/>
    <row r="4180" ht="15.75" hidden="1" customHeight="1"/>
    <row r="4181" ht="15.75" hidden="1" customHeight="1"/>
    <row r="4182" ht="15.75" hidden="1" customHeight="1"/>
    <row r="4183" ht="15.75" hidden="1" customHeight="1"/>
    <row r="4184" ht="15.75" hidden="1" customHeight="1"/>
    <row r="4185" ht="15.75" hidden="1" customHeight="1"/>
    <row r="4186" ht="15.75" hidden="1" customHeight="1"/>
    <row r="4187" ht="15.75" hidden="1" customHeight="1"/>
    <row r="4188" ht="15.75" hidden="1" customHeight="1"/>
    <row r="4189" ht="15.75" hidden="1" customHeight="1"/>
    <row r="4190" ht="15.75" hidden="1" customHeight="1"/>
    <row r="4191" ht="15.75" hidden="1" customHeight="1"/>
    <row r="4192" ht="15.75" hidden="1" customHeight="1"/>
    <row r="4193" ht="15.75" hidden="1" customHeight="1"/>
    <row r="4194" ht="15.75" hidden="1" customHeight="1"/>
    <row r="4195" ht="15.75" hidden="1" customHeight="1"/>
    <row r="4196" ht="15.75" hidden="1" customHeight="1"/>
    <row r="4197" ht="15.75" hidden="1" customHeight="1"/>
    <row r="4198" ht="15.75" hidden="1" customHeight="1"/>
    <row r="4199" ht="15.75" hidden="1" customHeight="1"/>
    <row r="4200" ht="15.75" hidden="1" customHeight="1"/>
    <row r="4201" ht="15.75" hidden="1" customHeight="1"/>
    <row r="4202" ht="15.75" hidden="1" customHeight="1"/>
    <row r="4203" ht="15.75" hidden="1" customHeight="1"/>
    <row r="4204" ht="15.75" hidden="1" customHeight="1"/>
    <row r="4205" ht="15.75" hidden="1" customHeight="1"/>
    <row r="4206" ht="15.75" hidden="1" customHeight="1"/>
    <row r="4207" ht="15.75" hidden="1" customHeight="1"/>
    <row r="4208" ht="15.75" hidden="1" customHeight="1"/>
    <row r="4209" ht="15.75" hidden="1" customHeight="1"/>
    <row r="4210" ht="15.75" hidden="1" customHeight="1"/>
    <row r="4211" ht="15.75" hidden="1" customHeight="1"/>
    <row r="4212" ht="15.75" hidden="1" customHeight="1"/>
    <row r="4213" ht="15.75" hidden="1" customHeight="1"/>
    <row r="4214" ht="15.75" hidden="1" customHeight="1"/>
    <row r="4215" ht="15.75" hidden="1" customHeight="1"/>
    <row r="4216" ht="15.75" hidden="1" customHeight="1"/>
    <row r="4217" ht="15.75" hidden="1" customHeight="1"/>
    <row r="4218" ht="15.75" hidden="1" customHeight="1"/>
    <row r="4219" ht="15.75" hidden="1" customHeight="1"/>
    <row r="4220" ht="15.75" hidden="1" customHeight="1"/>
    <row r="4221" ht="15.75" hidden="1" customHeight="1"/>
    <row r="4222" ht="15.75" hidden="1" customHeight="1"/>
    <row r="4223" ht="15.75" hidden="1" customHeight="1"/>
    <row r="4224" ht="15.75" hidden="1" customHeight="1"/>
    <row r="4225" ht="15.75" hidden="1" customHeight="1"/>
    <row r="4226" ht="15.75" hidden="1" customHeight="1"/>
    <row r="4227" ht="15.75" hidden="1" customHeight="1"/>
    <row r="4228" ht="15.75" hidden="1" customHeight="1"/>
    <row r="4229" ht="15.75" hidden="1" customHeight="1"/>
    <row r="4230" ht="15.75" hidden="1" customHeight="1"/>
    <row r="4231" ht="15.75" hidden="1" customHeight="1"/>
    <row r="4232" ht="15.75" hidden="1" customHeight="1"/>
    <row r="4233" ht="15.75" hidden="1" customHeight="1"/>
    <row r="4234" ht="15.75" hidden="1" customHeight="1"/>
    <row r="4235" ht="15.75" hidden="1" customHeight="1"/>
    <row r="4236" ht="15.75" hidden="1" customHeight="1"/>
    <row r="4237" ht="15.75" hidden="1" customHeight="1"/>
    <row r="4238" ht="15.75" hidden="1" customHeight="1"/>
    <row r="4239" ht="15.75" hidden="1" customHeight="1"/>
    <row r="4240" ht="15.75" hidden="1" customHeight="1"/>
    <row r="4241" ht="15.75" hidden="1" customHeight="1"/>
    <row r="4242" ht="15.75" hidden="1" customHeight="1"/>
    <row r="4243" ht="15.75" hidden="1" customHeight="1"/>
    <row r="4244" ht="15.75" hidden="1" customHeight="1"/>
    <row r="4245" ht="15.75" hidden="1" customHeight="1"/>
    <row r="4246" ht="15.75" hidden="1" customHeight="1"/>
    <row r="4247" ht="15.75" hidden="1" customHeight="1"/>
    <row r="4248" ht="15.75" hidden="1" customHeight="1"/>
    <row r="4249" ht="15.75" hidden="1" customHeight="1"/>
    <row r="4250" ht="15.75" hidden="1" customHeight="1"/>
    <row r="4251" ht="15.75" hidden="1" customHeight="1"/>
    <row r="4252" ht="15.75" hidden="1" customHeight="1"/>
    <row r="4253" ht="15.75" hidden="1" customHeight="1"/>
    <row r="4254" ht="15.75" hidden="1" customHeight="1"/>
    <row r="4255" ht="15.75" hidden="1" customHeight="1"/>
    <row r="4256" ht="15.75" hidden="1" customHeight="1"/>
    <row r="4257" ht="15.75" hidden="1" customHeight="1"/>
    <row r="4258" ht="15.75" hidden="1" customHeight="1"/>
    <row r="4259" ht="15.75" hidden="1" customHeight="1"/>
    <row r="4260" ht="15.75" hidden="1" customHeight="1"/>
    <row r="4261" ht="15.75" hidden="1" customHeight="1"/>
    <row r="4262" ht="15.75" hidden="1" customHeight="1"/>
    <row r="4263" ht="15.75" hidden="1" customHeight="1"/>
    <row r="4264" ht="15.75" hidden="1" customHeight="1"/>
    <row r="4265" ht="15.75" hidden="1" customHeight="1"/>
    <row r="4266" ht="15.75" hidden="1" customHeight="1"/>
    <row r="4267" ht="15.75" hidden="1" customHeight="1"/>
    <row r="4268" ht="15.75" hidden="1" customHeight="1"/>
    <row r="4269" ht="15.75" hidden="1" customHeight="1"/>
    <row r="4270" ht="15.75" hidden="1" customHeight="1"/>
    <row r="4271" ht="15.75" hidden="1" customHeight="1"/>
    <row r="4272" ht="15.75" hidden="1" customHeight="1"/>
    <row r="4273" ht="15.75" hidden="1" customHeight="1"/>
    <row r="4274" ht="15.75" hidden="1" customHeight="1"/>
    <row r="4275" ht="15.75" hidden="1" customHeight="1"/>
    <row r="4276" ht="15.75" hidden="1" customHeight="1"/>
    <row r="4277" ht="15.75" hidden="1" customHeight="1"/>
    <row r="4278" ht="15.75" hidden="1" customHeight="1"/>
    <row r="4279" ht="15.75" hidden="1" customHeight="1"/>
    <row r="4280" ht="15.75" hidden="1" customHeight="1"/>
    <row r="4281" ht="15.75" hidden="1" customHeight="1"/>
    <row r="4282" ht="15.75" hidden="1" customHeight="1"/>
    <row r="4283" ht="15.75" hidden="1" customHeight="1"/>
    <row r="4284" ht="15.75" hidden="1" customHeight="1"/>
    <row r="4285" ht="15.75" hidden="1" customHeight="1"/>
    <row r="4286" ht="15.75" hidden="1" customHeight="1"/>
    <row r="4287" ht="15.75" hidden="1" customHeight="1"/>
    <row r="4288" ht="15.75" hidden="1" customHeight="1"/>
    <row r="4289" ht="15.75" hidden="1" customHeight="1"/>
    <row r="4290" ht="15.75" hidden="1" customHeight="1"/>
    <row r="4291" ht="15.75" hidden="1" customHeight="1"/>
    <row r="4292" ht="15.75" hidden="1" customHeight="1"/>
    <row r="4293" ht="15.75" hidden="1" customHeight="1"/>
    <row r="4294" ht="15.75" hidden="1" customHeight="1"/>
    <row r="4295" ht="15.75" hidden="1" customHeight="1"/>
    <row r="4296" ht="15.75" hidden="1" customHeight="1"/>
    <row r="4297" ht="15.75" hidden="1" customHeight="1"/>
    <row r="4298" ht="15.75" hidden="1" customHeight="1"/>
    <row r="4299" ht="15.75" hidden="1" customHeight="1"/>
    <row r="4300" ht="15.75" hidden="1" customHeight="1"/>
    <row r="4301" ht="15.75" hidden="1" customHeight="1"/>
    <row r="4302" ht="15.75" hidden="1" customHeight="1"/>
    <row r="4303" ht="15.75" hidden="1" customHeight="1"/>
    <row r="4304" ht="15.75" hidden="1" customHeight="1"/>
    <row r="4305" ht="15.75" hidden="1" customHeight="1"/>
    <row r="4306" ht="15.75" hidden="1" customHeight="1"/>
    <row r="4307" ht="15.75" hidden="1" customHeight="1"/>
    <row r="4308" ht="15.75" hidden="1" customHeight="1"/>
    <row r="4309" ht="15.75" hidden="1" customHeight="1"/>
    <row r="4310" ht="15.75" hidden="1" customHeight="1"/>
    <row r="4311" ht="15.75" hidden="1" customHeight="1"/>
    <row r="4312" ht="15.75" hidden="1" customHeight="1"/>
    <row r="4313" ht="15.75" hidden="1" customHeight="1"/>
    <row r="4314" ht="15.75" hidden="1" customHeight="1"/>
    <row r="4315" ht="15.75" hidden="1" customHeight="1"/>
    <row r="4316" ht="15.75" hidden="1" customHeight="1"/>
    <row r="4317" ht="15.75" hidden="1" customHeight="1"/>
    <row r="4318" ht="15.75" hidden="1" customHeight="1"/>
    <row r="4319" ht="15.75" hidden="1" customHeight="1"/>
    <row r="4320" ht="15.75" hidden="1" customHeight="1"/>
    <row r="4321" ht="15.75" hidden="1" customHeight="1"/>
    <row r="4322" ht="15.75" hidden="1" customHeight="1"/>
    <row r="4323" ht="15.75" hidden="1" customHeight="1"/>
    <row r="4324" ht="15.75" hidden="1" customHeight="1"/>
    <row r="4325" ht="15.75" hidden="1" customHeight="1"/>
    <row r="4326" ht="15.75" hidden="1" customHeight="1"/>
    <row r="4327" ht="15.75" hidden="1" customHeight="1"/>
    <row r="4328" ht="15.75" hidden="1" customHeight="1"/>
    <row r="4329" ht="15.75" hidden="1" customHeight="1"/>
    <row r="4330" ht="15.75" hidden="1" customHeight="1"/>
    <row r="4331" ht="15.75" hidden="1" customHeight="1"/>
    <row r="4332" ht="15.75" hidden="1" customHeight="1"/>
    <row r="4333" ht="15.75" hidden="1" customHeight="1"/>
    <row r="4334" ht="15.75" hidden="1" customHeight="1"/>
    <row r="4335" ht="15.75" hidden="1" customHeight="1"/>
    <row r="4336" ht="15.75" hidden="1" customHeight="1"/>
    <row r="4337" ht="15.75" hidden="1" customHeight="1"/>
    <row r="4338" ht="15.75" hidden="1" customHeight="1"/>
    <row r="4339" ht="15.75" hidden="1" customHeight="1"/>
    <row r="4340" ht="15.75" hidden="1" customHeight="1"/>
    <row r="4341" ht="15.75" hidden="1" customHeight="1"/>
    <row r="4342" ht="15.75" hidden="1" customHeight="1"/>
    <row r="4343" ht="15.75" hidden="1" customHeight="1"/>
    <row r="4344" ht="15.75" hidden="1" customHeight="1"/>
    <row r="4345" ht="15.75" hidden="1" customHeight="1"/>
    <row r="4346" ht="15.75" hidden="1" customHeight="1"/>
    <row r="4347" ht="15.75" hidden="1" customHeight="1"/>
    <row r="4348" ht="15.75" hidden="1" customHeight="1"/>
    <row r="4349" ht="15.75" hidden="1" customHeight="1"/>
    <row r="4350" ht="15.75" hidden="1" customHeight="1"/>
    <row r="4351" ht="15.75" hidden="1" customHeight="1"/>
    <row r="4352" ht="15.75" hidden="1" customHeight="1"/>
    <row r="4353" ht="15.75" hidden="1" customHeight="1"/>
    <row r="4354" ht="15.75" hidden="1" customHeight="1"/>
    <row r="4355" ht="15.75" hidden="1" customHeight="1"/>
    <row r="4356" ht="15.75" hidden="1" customHeight="1"/>
    <row r="4357" ht="15.75" hidden="1" customHeight="1"/>
    <row r="4358" ht="15.75" hidden="1" customHeight="1"/>
    <row r="4359" ht="15.75" hidden="1" customHeight="1"/>
    <row r="4360" ht="15.75" hidden="1" customHeight="1"/>
    <row r="4361" ht="15.75" hidden="1" customHeight="1"/>
    <row r="4362" ht="15.75" hidden="1" customHeight="1"/>
    <row r="4363" ht="15.75" hidden="1" customHeight="1"/>
    <row r="4364" ht="15.75" hidden="1" customHeight="1"/>
    <row r="4365" ht="15.75" hidden="1" customHeight="1"/>
    <row r="4366" ht="15.75" hidden="1" customHeight="1"/>
    <row r="4367" ht="15.75" hidden="1" customHeight="1"/>
    <row r="4368" ht="15.75" hidden="1" customHeight="1"/>
    <row r="4369" ht="15.75" hidden="1" customHeight="1"/>
    <row r="4370" ht="15.75" hidden="1" customHeight="1"/>
    <row r="4371" ht="15.75" hidden="1" customHeight="1"/>
    <row r="4372" ht="15.75" hidden="1" customHeight="1"/>
    <row r="4373" ht="15.75" hidden="1" customHeight="1"/>
    <row r="4374" ht="15.75" hidden="1" customHeight="1"/>
    <row r="4375" ht="15.75" hidden="1" customHeight="1"/>
    <row r="4376" ht="15.75" hidden="1" customHeight="1"/>
    <row r="4377" ht="15.75" hidden="1" customHeight="1"/>
    <row r="4378" ht="15.75" hidden="1" customHeight="1"/>
    <row r="4379" ht="15.75" hidden="1" customHeight="1"/>
    <row r="4380" ht="15.75" hidden="1" customHeight="1"/>
    <row r="4381" ht="15.75" hidden="1" customHeight="1"/>
    <row r="4382" ht="15.75" hidden="1" customHeight="1"/>
    <row r="4383" ht="15.75" hidden="1" customHeight="1"/>
    <row r="4384" ht="15.75" hidden="1" customHeight="1"/>
    <row r="4385" ht="15.75" hidden="1" customHeight="1"/>
    <row r="4386" ht="15.75" hidden="1" customHeight="1"/>
    <row r="4387" ht="15.75" hidden="1" customHeight="1"/>
    <row r="4388" ht="15.75" hidden="1" customHeight="1"/>
    <row r="4389" ht="15.75" hidden="1" customHeight="1"/>
    <row r="4390" ht="15.75" hidden="1" customHeight="1"/>
    <row r="4391" ht="15.75" hidden="1" customHeight="1"/>
    <row r="4392" ht="15.75" hidden="1" customHeight="1"/>
    <row r="4393" ht="15.75" hidden="1" customHeight="1"/>
    <row r="4394" ht="15.75" hidden="1" customHeight="1"/>
    <row r="4395" ht="15.75" hidden="1" customHeight="1"/>
    <row r="4396" ht="15.75" hidden="1" customHeight="1"/>
    <row r="4397" ht="15.75" hidden="1" customHeight="1"/>
    <row r="4398" ht="15.75" hidden="1" customHeight="1"/>
    <row r="4399" ht="15.75" hidden="1" customHeight="1"/>
    <row r="4400" ht="15.75" hidden="1" customHeight="1"/>
    <row r="4401" ht="15.75" hidden="1" customHeight="1"/>
    <row r="4402" ht="15.75" hidden="1" customHeight="1"/>
    <row r="4403" ht="15.75" hidden="1" customHeight="1"/>
    <row r="4404" ht="15.75" hidden="1" customHeight="1"/>
    <row r="4405" ht="15.75" hidden="1" customHeight="1"/>
    <row r="4406" ht="15.75" hidden="1" customHeight="1"/>
    <row r="4407" ht="15.75" hidden="1" customHeight="1"/>
    <row r="4408" ht="15.75" hidden="1" customHeight="1"/>
    <row r="4409" ht="15.75" hidden="1" customHeight="1"/>
    <row r="4410" ht="15.75" hidden="1" customHeight="1"/>
    <row r="4411" ht="15.75" hidden="1" customHeight="1"/>
    <row r="4412" ht="15.75" hidden="1" customHeight="1"/>
    <row r="4413" ht="15.75" hidden="1" customHeight="1"/>
    <row r="4414" ht="15.75" hidden="1" customHeight="1"/>
    <row r="4415" ht="15.75" hidden="1" customHeight="1"/>
    <row r="4416" ht="15.75" hidden="1" customHeight="1"/>
    <row r="4417" ht="15.75" hidden="1" customHeight="1"/>
    <row r="4418" ht="15.75" hidden="1" customHeight="1"/>
    <row r="4419" ht="15.75" hidden="1" customHeight="1"/>
    <row r="4420" ht="15.75" hidden="1" customHeight="1"/>
    <row r="4421" ht="15.75" hidden="1" customHeight="1"/>
    <row r="4422" ht="15.75" hidden="1" customHeight="1"/>
    <row r="4423" ht="15.75" hidden="1" customHeight="1"/>
    <row r="4424" ht="15.75" hidden="1" customHeight="1"/>
    <row r="4425" ht="15.75" hidden="1" customHeight="1"/>
    <row r="4426" ht="15.75" hidden="1" customHeight="1"/>
    <row r="4427" ht="15.75" hidden="1" customHeight="1"/>
    <row r="4428" ht="15.75" hidden="1" customHeight="1"/>
    <row r="4429" ht="15.75" hidden="1" customHeight="1"/>
    <row r="4430" ht="15.75" hidden="1" customHeight="1"/>
    <row r="4431" ht="15.75" hidden="1" customHeight="1"/>
    <row r="4432" ht="15.75" hidden="1" customHeight="1"/>
    <row r="4433" ht="15.75" hidden="1" customHeight="1"/>
    <row r="4434" ht="15.75" hidden="1" customHeight="1"/>
    <row r="4435" ht="15.75" hidden="1" customHeight="1"/>
    <row r="4436" ht="15.75" hidden="1" customHeight="1"/>
    <row r="4437" ht="15.75" hidden="1" customHeight="1"/>
    <row r="4438" ht="15.75" hidden="1" customHeight="1"/>
    <row r="4439" ht="15.75" hidden="1" customHeight="1"/>
    <row r="4440" ht="15.75" hidden="1" customHeight="1"/>
    <row r="4441" ht="15.75" hidden="1" customHeight="1"/>
    <row r="4442" ht="15.75" hidden="1" customHeight="1"/>
    <row r="4443" ht="15.75" hidden="1" customHeight="1"/>
    <row r="4444" ht="15.75" hidden="1" customHeight="1"/>
    <row r="4445" ht="15.75" hidden="1" customHeight="1"/>
    <row r="4446" ht="15.75" hidden="1" customHeight="1"/>
    <row r="4447" ht="15.75" hidden="1" customHeight="1"/>
    <row r="4448" ht="15.75" hidden="1" customHeight="1"/>
    <row r="4449" ht="15.75" hidden="1" customHeight="1"/>
    <row r="4450" ht="15.75" hidden="1" customHeight="1"/>
    <row r="4451" ht="15.75" hidden="1" customHeight="1"/>
    <row r="4452" ht="15.75" hidden="1" customHeight="1"/>
    <row r="4453" ht="15.75" hidden="1" customHeight="1"/>
    <row r="4454" ht="15.75" hidden="1" customHeight="1"/>
    <row r="4455" ht="15.75" hidden="1" customHeight="1"/>
    <row r="4456" ht="15.75" hidden="1" customHeight="1"/>
    <row r="4457" ht="15.75" hidden="1" customHeight="1"/>
    <row r="4458" ht="15.75" hidden="1" customHeight="1"/>
    <row r="4459" ht="15.75" hidden="1" customHeight="1"/>
    <row r="4460" ht="15.75" hidden="1" customHeight="1"/>
    <row r="4461" ht="15.75" hidden="1" customHeight="1"/>
    <row r="4462" ht="15.75" hidden="1" customHeight="1"/>
    <row r="4463" ht="15.75" hidden="1" customHeight="1"/>
    <row r="4464" ht="15.75" hidden="1" customHeight="1"/>
    <row r="4465" ht="15.75" hidden="1" customHeight="1"/>
    <row r="4466" ht="15.75" hidden="1" customHeight="1"/>
    <row r="4467" ht="15.75" hidden="1" customHeight="1"/>
    <row r="4468" ht="15.75" hidden="1" customHeight="1"/>
    <row r="4469" ht="15.75" hidden="1" customHeight="1"/>
    <row r="4470" ht="15.75" hidden="1" customHeight="1"/>
    <row r="4471" ht="15.75" hidden="1" customHeight="1"/>
    <row r="4472" ht="15.75" hidden="1" customHeight="1"/>
    <row r="4473" ht="15.75" hidden="1" customHeight="1"/>
    <row r="4474" ht="15.75" hidden="1" customHeight="1"/>
    <row r="4475" ht="15.75" hidden="1" customHeight="1"/>
    <row r="4476" ht="15.75" hidden="1" customHeight="1"/>
    <row r="4477" ht="15.75" hidden="1" customHeight="1"/>
    <row r="4478" ht="15.75" hidden="1" customHeight="1"/>
    <row r="4479" ht="15.75" hidden="1" customHeight="1"/>
    <row r="4480" ht="15.75" hidden="1" customHeight="1"/>
    <row r="4481" ht="15.75" hidden="1" customHeight="1"/>
    <row r="4482" ht="15.75" hidden="1" customHeight="1"/>
    <row r="4483" ht="15.75" hidden="1" customHeight="1"/>
    <row r="4484" ht="15.75" hidden="1" customHeight="1"/>
    <row r="4485" ht="15.75" hidden="1" customHeight="1"/>
    <row r="4486" ht="15.75" hidden="1" customHeight="1"/>
    <row r="4487" ht="15.75" hidden="1" customHeight="1"/>
    <row r="4488" ht="15.75" hidden="1" customHeight="1"/>
    <row r="4489" ht="15.75" hidden="1" customHeight="1"/>
    <row r="4490" ht="15.75" hidden="1" customHeight="1"/>
    <row r="4491" ht="15.75" hidden="1" customHeight="1"/>
    <row r="4492" ht="15.75" hidden="1" customHeight="1"/>
    <row r="4493" ht="15.75" hidden="1" customHeight="1"/>
    <row r="4494" ht="15.75" hidden="1" customHeight="1"/>
    <row r="4495" ht="15.75" hidden="1" customHeight="1"/>
    <row r="4496" ht="15.75" hidden="1" customHeight="1"/>
    <row r="4497" ht="15.75" hidden="1" customHeight="1"/>
    <row r="4498" ht="15.75" hidden="1" customHeight="1"/>
    <row r="4499" ht="15.75" hidden="1" customHeight="1"/>
    <row r="4500" ht="15.75" hidden="1" customHeight="1"/>
    <row r="4501" ht="15.75" hidden="1" customHeight="1"/>
    <row r="4502" ht="15.75" hidden="1" customHeight="1"/>
    <row r="4503" ht="15.75" hidden="1" customHeight="1"/>
    <row r="4504" ht="15.75" hidden="1" customHeight="1"/>
    <row r="4505" ht="15.75" hidden="1" customHeight="1"/>
    <row r="4506" ht="15.75" hidden="1" customHeight="1"/>
    <row r="4507" ht="15.75" hidden="1" customHeight="1"/>
    <row r="4508" ht="15.75" hidden="1" customHeight="1"/>
    <row r="4509" ht="15.75" hidden="1" customHeight="1"/>
    <row r="4510" ht="15.75" hidden="1" customHeight="1"/>
    <row r="4511" ht="15.75" hidden="1" customHeight="1"/>
    <row r="4512" ht="15.75" hidden="1" customHeight="1"/>
    <row r="4513" ht="15.75" hidden="1" customHeight="1"/>
    <row r="4514" ht="15.75" hidden="1" customHeight="1"/>
    <row r="4515" ht="15.75" hidden="1" customHeight="1"/>
    <row r="4516" ht="15.75" hidden="1" customHeight="1"/>
    <row r="4517" ht="15.75" hidden="1" customHeight="1"/>
    <row r="4518" ht="15.75" hidden="1" customHeight="1"/>
    <row r="4519" ht="15.75" hidden="1" customHeight="1"/>
    <row r="4520" ht="15.75" hidden="1" customHeight="1"/>
    <row r="4521" ht="15.75" hidden="1" customHeight="1"/>
    <row r="4522" ht="15.75" hidden="1" customHeight="1"/>
    <row r="4523" ht="15.75" hidden="1" customHeight="1"/>
    <row r="4524" ht="15.75" hidden="1" customHeight="1"/>
    <row r="4525" ht="15.75" hidden="1" customHeight="1"/>
    <row r="4526" ht="15.75" hidden="1" customHeight="1"/>
    <row r="4527" ht="15.75" hidden="1" customHeight="1"/>
    <row r="4528" ht="15.75" hidden="1" customHeight="1"/>
    <row r="4529" ht="15.75" hidden="1" customHeight="1"/>
    <row r="4530" ht="15.75" hidden="1" customHeight="1"/>
    <row r="4531" ht="15.75" hidden="1" customHeight="1"/>
    <row r="4532" ht="15.75" hidden="1" customHeight="1"/>
    <row r="4533" ht="15.75" hidden="1" customHeight="1"/>
    <row r="4534" ht="15.75" hidden="1" customHeight="1"/>
    <row r="4535" ht="15.75" hidden="1" customHeight="1"/>
    <row r="4536" ht="15.75" hidden="1" customHeight="1"/>
    <row r="4537" ht="15.75" hidden="1" customHeight="1"/>
    <row r="4538" ht="15.75" hidden="1" customHeight="1"/>
    <row r="4539" ht="15.75" hidden="1" customHeight="1"/>
    <row r="4540" ht="15.75" hidden="1" customHeight="1"/>
    <row r="4541" ht="15.75" hidden="1" customHeight="1"/>
    <row r="4542" ht="15.75" hidden="1" customHeight="1"/>
    <row r="4543" ht="15.75" hidden="1" customHeight="1"/>
    <row r="4544" ht="15.75" hidden="1" customHeight="1"/>
    <row r="4545" ht="15.75" hidden="1" customHeight="1"/>
    <row r="4546" ht="15.75" hidden="1" customHeight="1"/>
    <row r="4547" ht="15.75" hidden="1" customHeight="1"/>
    <row r="4548" ht="15.75" hidden="1" customHeight="1"/>
    <row r="4549" ht="15.75" hidden="1" customHeight="1"/>
    <row r="4550" ht="15.75" hidden="1" customHeight="1"/>
    <row r="4551" ht="15.75" hidden="1" customHeight="1"/>
    <row r="4552" ht="15.75" hidden="1" customHeight="1"/>
    <row r="4553" ht="15.75" hidden="1" customHeight="1"/>
    <row r="4554" ht="15.75" hidden="1" customHeight="1"/>
    <row r="4555" ht="15.75" hidden="1" customHeight="1"/>
    <row r="4556" ht="15.75" hidden="1" customHeight="1"/>
    <row r="4557" ht="15.75" hidden="1" customHeight="1"/>
    <row r="4558" ht="15.75" hidden="1" customHeight="1"/>
    <row r="4559" ht="15.75" hidden="1" customHeight="1"/>
    <row r="4560" ht="15.75" hidden="1" customHeight="1"/>
    <row r="4561" ht="15.75" hidden="1" customHeight="1"/>
    <row r="4562" ht="15.75" hidden="1" customHeight="1"/>
    <row r="4563" ht="15.75" hidden="1" customHeight="1"/>
    <row r="4564" ht="15.75" hidden="1" customHeight="1"/>
    <row r="4565" ht="15.75" hidden="1" customHeight="1"/>
    <row r="4566" ht="15.75" hidden="1" customHeight="1"/>
    <row r="4567" ht="15.75" hidden="1" customHeight="1"/>
    <row r="4568" ht="15.75" hidden="1" customHeight="1"/>
    <row r="4569" ht="15.75" hidden="1" customHeight="1"/>
    <row r="4570" ht="15.75" hidden="1" customHeight="1"/>
    <row r="4571" ht="15.75" hidden="1" customHeight="1"/>
    <row r="4572" ht="15.75" hidden="1" customHeight="1"/>
    <row r="4573" ht="15.75" hidden="1" customHeight="1"/>
    <row r="4574" ht="15.75" hidden="1" customHeight="1"/>
    <row r="4575" ht="15.75" hidden="1" customHeight="1"/>
    <row r="4576" ht="15.75" hidden="1" customHeight="1"/>
    <row r="4577" ht="15.75" hidden="1" customHeight="1"/>
    <row r="4578" ht="15.75" hidden="1" customHeight="1"/>
    <row r="4579" ht="15.75" hidden="1" customHeight="1"/>
    <row r="4580" ht="15.75" hidden="1" customHeight="1"/>
    <row r="4581" ht="15.75" hidden="1" customHeight="1"/>
    <row r="4582" ht="15.75" hidden="1" customHeight="1"/>
    <row r="4583" ht="15.75" hidden="1" customHeight="1"/>
    <row r="4584" ht="15.75" hidden="1" customHeight="1"/>
    <row r="4585" ht="15.75" hidden="1" customHeight="1"/>
    <row r="4586" ht="15.75" hidden="1" customHeight="1"/>
    <row r="4587" ht="15.75" hidden="1" customHeight="1"/>
    <row r="4588" ht="15.75" hidden="1" customHeight="1"/>
    <row r="4589" ht="15.75" hidden="1" customHeight="1"/>
    <row r="4590" ht="15.75" hidden="1" customHeight="1"/>
    <row r="4591" ht="15.75" hidden="1" customHeight="1"/>
    <row r="4592" ht="15.75" hidden="1" customHeight="1"/>
    <row r="4593" ht="15.75" hidden="1" customHeight="1"/>
    <row r="4594" ht="15.75" hidden="1" customHeight="1"/>
    <row r="4595" ht="15.75" hidden="1" customHeight="1"/>
    <row r="4596" ht="15.75" hidden="1" customHeight="1"/>
    <row r="4597" ht="15.75" hidden="1" customHeight="1"/>
    <row r="4598" ht="15.75" hidden="1" customHeight="1"/>
    <row r="4599" ht="15.75" hidden="1" customHeight="1"/>
    <row r="4600" ht="15.75" hidden="1" customHeight="1"/>
    <row r="4601" ht="15.75" hidden="1" customHeight="1"/>
    <row r="4602" ht="15.75" hidden="1" customHeight="1"/>
    <row r="4603" ht="15.75" hidden="1" customHeight="1"/>
    <row r="4604" ht="15.75" hidden="1" customHeight="1"/>
    <row r="4605" ht="15.75" hidden="1" customHeight="1"/>
    <row r="4606" ht="15.75" hidden="1" customHeight="1"/>
    <row r="4607" ht="15.75" hidden="1" customHeight="1"/>
    <row r="4608" ht="15.75" hidden="1" customHeight="1"/>
    <row r="4609" ht="15.75" hidden="1" customHeight="1"/>
    <row r="4610" ht="15.75" hidden="1" customHeight="1"/>
    <row r="4611" ht="15.75" hidden="1" customHeight="1"/>
    <row r="4612" ht="15.75" hidden="1" customHeight="1"/>
    <row r="4613" ht="15.75" hidden="1" customHeight="1"/>
    <row r="4614" ht="15.75" hidden="1" customHeight="1"/>
    <row r="4615" ht="15.75" hidden="1" customHeight="1"/>
    <row r="4616" ht="15.75" hidden="1" customHeight="1"/>
    <row r="4617" ht="15.75" hidden="1" customHeight="1"/>
    <row r="4618" ht="15.75" hidden="1" customHeight="1"/>
    <row r="4619" ht="15.75" hidden="1" customHeight="1"/>
    <row r="4620" ht="15.75" hidden="1" customHeight="1"/>
    <row r="4621" ht="15.75" hidden="1" customHeight="1"/>
    <row r="4622" ht="15.75" hidden="1" customHeight="1"/>
    <row r="4623" ht="15.75" hidden="1" customHeight="1"/>
    <row r="4624" ht="15.75" hidden="1" customHeight="1"/>
    <row r="4625" ht="15.75" hidden="1" customHeight="1"/>
    <row r="4626" ht="15.75" hidden="1" customHeight="1"/>
    <row r="4627" ht="15.75" hidden="1" customHeight="1"/>
    <row r="4628" ht="15.75" hidden="1" customHeight="1"/>
    <row r="4629" ht="15.75" hidden="1" customHeight="1"/>
    <row r="4630" ht="15.75" hidden="1" customHeight="1"/>
    <row r="4631" ht="15.75" hidden="1" customHeight="1"/>
    <row r="4632" ht="15.75" hidden="1" customHeight="1"/>
    <row r="4633" ht="15.75" hidden="1" customHeight="1"/>
    <row r="4634" ht="15.75" hidden="1" customHeight="1"/>
    <row r="4635" ht="15.75" hidden="1" customHeight="1"/>
    <row r="4636" ht="15.75" hidden="1" customHeight="1"/>
    <row r="4637" ht="15.75" hidden="1" customHeight="1"/>
    <row r="4638" ht="15.75" hidden="1" customHeight="1"/>
    <row r="4639" ht="15.75" hidden="1" customHeight="1"/>
    <row r="4640" ht="15.75" hidden="1" customHeight="1"/>
    <row r="4641" ht="15.75" hidden="1" customHeight="1"/>
    <row r="4642" ht="15.75" hidden="1" customHeight="1"/>
    <row r="4643" ht="15.75" hidden="1" customHeight="1"/>
    <row r="4644" ht="15.75" hidden="1" customHeight="1"/>
    <row r="4645" ht="15.75" hidden="1" customHeight="1"/>
    <row r="4646" ht="15.75" hidden="1" customHeight="1"/>
    <row r="4647" ht="15.75" hidden="1" customHeight="1"/>
    <row r="4648" ht="15.75" hidden="1" customHeight="1"/>
    <row r="4649" ht="15.75" hidden="1" customHeight="1"/>
    <row r="4650" ht="15.75" hidden="1" customHeight="1"/>
    <row r="4651" ht="15.75" hidden="1" customHeight="1"/>
    <row r="4652" ht="15.75" hidden="1" customHeight="1"/>
    <row r="4653" ht="15.75" hidden="1" customHeight="1"/>
    <row r="4654" ht="15.75" hidden="1" customHeight="1"/>
    <row r="4655" ht="15.75" hidden="1" customHeight="1"/>
    <row r="4656" ht="15.75" hidden="1" customHeight="1"/>
    <row r="4657" ht="15.75" hidden="1" customHeight="1"/>
    <row r="4658" ht="15.75" hidden="1" customHeight="1"/>
    <row r="4659" ht="15.75" hidden="1" customHeight="1"/>
    <row r="4660" ht="15.75" hidden="1" customHeight="1"/>
    <row r="4661" ht="15.75" hidden="1" customHeight="1"/>
    <row r="4662" ht="15.75" hidden="1" customHeight="1"/>
    <row r="4663" ht="15.75" hidden="1" customHeight="1"/>
    <row r="4664" ht="15.75" hidden="1" customHeight="1"/>
    <row r="4665" ht="15.75" hidden="1" customHeight="1"/>
    <row r="4666" ht="15.75" hidden="1" customHeight="1"/>
    <row r="4667" ht="15.75" hidden="1" customHeight="1"/>
    <row r="4668" ht="15.75" hidden="1" customHeight="1"/>
    <row r="4669" ht="15.75" hidden="1" customHeight="1"/>
    <row r="4670" ht="15.75" hidden="1" customHeight="1"/>
    <row r="4671" ht="15.75" hidden="1" customHeight="1"/>
    <row r="4672" ht="15.75" hidden="1" customHeight="1"/>
    <row r="4673" ht="15.75" hidden="1" customHeight="1"/>
    <row r="4674" ht="15.75" hidden="1" customHeight="1"/>
    <row r="4675" ht="15.75" hidden="1" customHeight="1"/>
    <row r="4676" ht="15.75" hidden="1" customHeight="1"/>
    <row r="4677" ht="15.75" hidden="1" customHeight="1"/>
    <row r="4678" ht="15.75" hidden="1" customHeight="1"/>
    <row r="4679" ht="15.75" hidden="1" customHeight="1"/>
    <row r="4680" ht="15.75" hidden="1" customHeight="1"/>
    <row r="4681" ht="15.75" hidden="1" customHeight="1"/>
    <row r="4682" ht="15.75" hidden="1" customHeight="1"/>
    <row r="4683" ht="15.75" hidden="1" customHeight="1"/>
    <row r="4684" ht="15.75" hidden="1" customHeight="1"/>
    <row r="4685" ht="15.75" hidden="1" customHeight="1"/>
    <row r="4686" ht="15.75" hidden="1" customHeight="1"/>
    <row r="4687" ht="15.75" hidden="1" customHeight="1"/>
    <row r="4688" ht="15.75" hidden="1" customHeight="1"/>
    <row r="4689" ht="15.75" hidden="1" customHeight="1"/>
    <row r="4690" ht="15.75" hidden="1" customHeight="1"/>
    <row r="4691" ht="15.75" hidden="1" customHeight="1"/>
    <row r="4692" ht="15.75" hidden="1" customHeight="1"/>
    <row r="4693" ht="15.75" hidden="1" customHeight="1"/>
    <row r="4694" ht="15.75" hidden="1" customHeight="1"/>
    <row r="4695" ht="15.75" hidden="1" customHeight="1"/>
    <row r="4696" ht="15.75" hidden="1" customHeight="1"/>
    <row r="4697" ht="15.75" hidden="1" customHeight="1"/>
    <row r="4698" ht="15.75" hidden="1" customHeight="1"/>
    <row r="4699" ht="15.75" hidden="1" customHeight="1"/>
    <row r="4700" ht="15.75" hidden="1" customHeight="1"/>
    <row r="4701" ht="15.75" hidden="1" customHeight="1"/>
    <row r="4702" ht="15.75" hidden="1" customHeight="1"/>
    <row r="4703" ht="15.75" hidden="1" customHeight="1"/>
    <row r="4704" ht="15.75" hidden="1" customHeight="1"/>
    <row r="4705" ht="15.75" hidden="1" customHeight="1"/>
    <row r="4706" ht="15.75" hidden="1" customHeight="1"/>
    <row r="4707" ht="15.75" hidden="1" customHeight="1"/>
    <row r="4708" ht="15.75" hidden="1" customHeight="1"/>
    <row r="4709" ht="15.75" hidden="1" customHeight="1"/>
    <row r="4710" ht="15.75" hidden="1" customHeight="1"/>
    <row r="4711" ht="15.75" hidden="1" customHeight="1"/>
    <row r="4712" ht="15.75" hidden="1" customHeight="1"/>
    <row r="4713" ht="15.75" hidden="1" customHeight="1"/>
    <row r="4714" ht="15.75" hidden="1" customHeight="1"/>
    <row r="4715" ht="15.75" hidden="1" customHeight="1"/>
    <row r="4716" ht="15.75" hidden="1" customHeight="1"/>
    <row r="4717" ht="15.75" hidden="1" customHeight="1"/>
    <row r="4718" ht="15.75" hidden="1" customHeight="1"/>
    <row r="4719" ht="15.75" hidden="1" customHeight="1"/>
    <row r="4720" ht="15.75" hidden="1" customHeight="1"/>
    <row r="4721" ht="15.75" hidden="1" customHeight="1"/>
    <row r="4722" ht="15.75" hidden="1" customHeight="1"/>
    <row r="4723" ht="15.75" hidden="1" customHeight="1"/>
    <row r="4724" ht="15.75" hidden="1" customHeight="1"/>
    <row r="4725" ht="15.75" hidden="1" customHeight="1"/>
    <row r="4726" ht="15.75" hidden="1" customHeight="1"/>
    <row r="4727" ht="15.75" hidden="1" customHeight="1"/>
    <row r="4728" ht="15.75" hidden="1" customHeight="1"/>
    <row r="4729" ht="15.75" hidden="1" customHeight="1"/>
    <row r="4730" ht="15.75" hidden="1" customHeight="1"/>
    <row r="4731" ht="15.75" hidden="1" customHeight="1"/>
    <row r="4732" ht="15.75" hidden="1" customHeight="1"/>
    <row r="4733" ht="15.75" hidden="1" customHeight="1"/>
    <row r="4734" ht="15.75" hidden="1" customHeight="1"/>
    <row r="4735" ht="15.75" hidden="1" customHeight="1"/>
    <row r="4736" ht="15.75" hidden="1" customHeight="1"/>
    <row r="4737" ht="15.75" hidden="1" customHeight="1"/>
    <row r="4738" ht="15.75" hidden="1" customHeight="1"/>
    <row r="4739" ht="15.75" hidden="1" customHeight="1"/>
    <row r="4740" ht="15.75" hidden="1" customHeight="1"/>
    <row r="4741" ht="15.75" hidden="1" customHeight="1"/>
    <row r="4742" ht="15.75" hidden="1" customHeight="1"/>
    <row r="4743" ht="15.75" hidden="1" customHeight="1"/>
    <row r="4744" ht="15.75" hidden="1" customHeight="1"/>
    <row r="4745" ht="15.75" hidden="1" customHeight="1"/>
    <row r="4746" ht="15.75" hidden="1" customHeight="1"/>
    <row r="4747" ht="15.75" hidden="1" customHeight="1"/>
    <row r="4748" ht="15.75" hidden="1" customHeight="1"/>
    <row r="4749" ht="15.75" hidden="1" customHeight="1"/>
    <row r="4750" ht="15.75" hidden="1" customHeight="1"/>
    <row r="4751" ht="15.75" hidden="1" customHeight="1"/>
    <row r="4752" ht="15.75" hidden="1" customHeight="1"/>
    <row r="4753" ht="15.75" hidden="1" customHeight="1"/>
    <row r="4754" ht="15.75" hidden="1" customHeight="1"/>
    <row r="4755" ht="15.75" hidden="1" customHeight="1"/>
    <row r="4756" ht="15.75" hidden="1" customHeight="1"/>
    <row r="4757" ht="15.75" hidden="1" customHeight="1"/>
    <row r="4758" ht="15.75" hidden="1" customHeight="1"/>
    <row r="4759" ht="15.75" hidden="1" customHeight="1"/>
    <row r="4760" ht="15.75" hidden="1" customHeight="1"/>
    <row r="4761" ht="15.75" hidden="1" customHeight="1"/>
    <row r="4762" ht="15.75" hidden="1" customHeight="1"/>
    <row r="4763" ht="15.75" hidden="1" customHeight="1"/>
    <row r="4764" ht="15.75" hidden="1" customHeight="1"/>
    <row r="4765" ht="15.75" hidden="1" customHeight="1"/>
    <row r="4766" ht="15.75" hidden="1" customHeight="1"/>
    <row r="4767" ht="15.75" hidden="1" customHeight="1"/>
    <row r="4768" ht="15.75" hidden="1" customHeight="1"/>
    <row r="4769" ht="15.75" hidden="1" customHeight="1"/>
    <row r="4770" ht="15.75" hidden="1" customHeight="1"/>
    <row r="4771" ht="15.75" hidden="1" customHeight="1"/>
    <row r="4772" ht="15.75" hidden="1" customHeight="1"/>
    <row r="4773" ht="15.75" hidden="1" customHeight="1"/>
    <row r="4774" ht="15.75" hidden="1" customHeight="1"/>
    <row r="4775" ht="15.75" hidden="1" customHeight="1"/>
    <row r="4776" ht="15.75" hidden="1" customHeight="1"/>
    <row r="4777" ht="15.75" hidden="1" customHeight="1"/>
    <row r="4778" ht="15.75" hidden="1" customHeight="1"/>
    <row r="4779" ht="15.75" hidden="1" customHeight="1"/>
    <row r="4780" ht="15.75" hidden="1" customHeight="1"/>
    <row r="4781" ht="15.75" hidden="1" customHeight="1"/>
    <row r="4782" ht="15.75" hidden="1" customHeight="1"/>
    <row r="4783" ht="15.75" hidden="1" customHeight="1"/>
    <row r="4784" ht="15.75" hidden="1" customHeight="1"/>
    <row r="4785" ht="15.75" hidden="1" customHeight="1"/>
    <row r="4786" ht="15.75" hidden="1" customHeight="1"/>
    <row r="4787" ht="15.75" hidden="1" customHeight="1"/>
    <row r="4788" ht="15.75" hidden="1" customHeight="1"/>
    <row r="4789" ht="15.75" hidden="1" customHeight="1"/>
    <row r="4790" ht="15.75" hidden="1" customHeight="1"/>
    <row r="4791" ht="15.75" hidden="1" customHeight="1"/>
    <row r="4792" ht="15.75" hidden="1" customHeight="1"/>
    <row r="4793" ht="15.75" hidden="1" customHeight="1"/>
    <row r="4794" ht="15.75" hidden="1" customHeight="1"/>
    <row r="4795" ht="15.75" hidden="1" customHeight="1"/>
    <row r="4796" ht="15.75" hidden="1" customHeight="1"/>
    <row r="4797" ht="15.75" hidden="1" customHeight="1"/>
    <row r="4798" ht="15.75" hidden="1" customHeight="1"/>
    <row r="4799" ht="15.75" hidden="1" customHeight="1"/>
    <row r="4800" ht="15.75" hidden="1" customHeight="1"/>
    <row r="4801" ht="15.75" hidden="1" customHeight="1"/>
    <row r="4802" ht="15.75" hidden="1" customHeight="1"/>
    <row r="4803" ht="15.75" hidden="1" customHeight="1"/>
    <row r="4804" ht="15.75" hidden="1" customHeight="1"/>
    <row r="4805" ht="15.75" hidden="1" customHeight="1"/>
    <row r="4806" ht="15.75" hidden="1" customHeight="1"/>
    <row r="4807" ht="15.75" hidden="1" customHeight="1"/>
    <row r="4808" ht="15.75" hidden="1" customHeight="1"/>
    <row r="4809" ht="15.75" hidden="1" customHeight="1"/>
    <row r="4810" ht="15.75" hidden="1" customHeight="1"/>
    <row r="4811" ht="15.75" hidden="1" customHeight="1"/>
    <row r="4812" ht="15.75" hidden="1" customHeight="1"/>
    <row r="4813" ht="15.75" hidden="1" customHeight="1"/>
    <row r="4814" ht="15.75" hidden="1" customHeight="1"/>
    <row r="4815" ht="15.75" hidden="1" customHeight="1"/>
    <row r="4816" ht="15.75" hidden="1" customHeight="1"/>
    <row r="4817" ht="15.75" hidden="1" customHeight="1"/>
    <row r="4818" ht="15.75" hidden="1" customHeight="1"/>
    <row r="4819" ht="15.75" hidden="1" customHeight="1"/>
    <row r="4820" ht="15.75" hidden="1" customHeight="1"/>
    <row r="4821" ht="15.75" hidden="1" customHeight="1"/>
    <row r="4822" ht="15.75" hidden="1" customHeight="1"/>
    <row r="4823" ht="15.75" hidden="1" customHeight="1"/>
    <row r="4824" ht="15.75" hidden="1" customHeight="1"/>
    <row r="4825" ht="15.75" hidden="1" customHeight="1"/>
    <row r="4826" ht="15.75" hidden="1" customHeight="1"/>
    <row r="4827" ht="15.75" hidden="1" customHeight="1"/>
    <row r="4828" ht="15.75" hidden="1" customHeight="1"/>
    <row r="4829" ht="15.75" hidden="1" customHeight="1"/>
    <row r="4830" ht="15.75" hidden="1" customHeight="1"/>
    <row r="4831" ht="15.75" hidden="1" customHeight="1"/>
    <row r="4832" ht="15.75" hidden="1" customHeight="1"/>
    <row r="4833" ht="15.75" hidden="1" customHeight="1"/>
    <row r="4834" ht="15.75" hidden="1" customHeight="1"/>
    <row r="4835" ht="15.75" hidden="1" customHeight="1"/>
    <row r="4836" ht="15.75" hidden="1" customHeight="1"/>
    <row r="4837" ht="15.75" hidden="1" customHeight="1"/>
    <row r="4838" ht="15.75" hidden="1" customHeight="1"/>
    <row r="4839" ht="15.75" hidden="1" customHeight="1"/>
    <row r="4840" ht="15.75" hidden="1" customHeight="1"/>
    <row r="4841" ht="15.75" hidden="1" customHeight="1"/>
    <row r="4842" ht="15.75" hidden="1" customHeight="1"/>
    <row r="4843" ht="15.75" hidden="1" customHeight="1"/>
    <row r="4844" ht="15.75" hidden="1" customHeight="1"/>
    <row r="4845" ht="15.75" hidden="1" customHeight="1"/>
    <row r="4846" ht="15.75" hidden="1" customHeight="1"/>
    <row r="4847" ht="15.75" hidden="1" customHeight="1"/>
    <row r="4848" ht="15.75" hidden="1" customHeight="1"/>
    <row r="4849" ht="15.75" hidden="1" customHeight="1"/>
    <row r="4850" ht="15.75" hidden="1" customHeight="1"/>
    <row r="4851" ht="15.75" hidden="1" customHeight="1"/>
    <row r="4852" ht="15.75" hidden="1" customHeight="1"/>
    <row r="4853" ht="15.75" hidden="1" customHeight="1"/>
    <row r="4854" ht="15.75" hidden="1" customHeight="1"/>
    <row r="4855" ht="15.75" hidden="1" customHeight="1"/>
    <row r="4856" ht="15.75" hidden="1" customHeight="1"/>
    <row r="4857" ht="15.75" hidden="1" customHeight="1"/>
    <row r="4858" ht="15.75" hidden="1" customHeight="1"/>
    <row r="4859" ht="15.75" hidden="1" customHeight="1"/>
    <row r="4860" ht="15.75" hidden="1" customHeight="1"/>
    <row r="4861" ht="15.75" hidden="1" customHeight="1"/>
    <row r="4862" ht="15.75" hidden="1" customHeight="1"/>
    <row r="4863" ht="15.75" hidden="1" customHeight="1"/>
    <row r="4864" ht="15.75" hidden="1" customHeight="1"/>
    <row r="4865" ht="15.75" hidden="1" customHeight="1"/>
    <row r="4866" ht="15.75" hidden="1" customHeight="1"/>
    <row r="4867" ht="15.75" hidden="1" customHeight="1"/>
    <row r="4868" ht="15.75" hidden="1" customHeight="1"/>
    <row r="4869" ht="15.75" hidden="1" customHeight="1"/>
    <row r="4870" ht="15.75" hidden="1" customHeight="1"/>
    <row r="4871" ht="15.75" hidden="1" customHeight="1"/>
    <row r="4872" ht="15.75" hidden="1" customHeight="1"/>
    <row r="4873" ht="15.75" hidden="1" customHeight="1"/>
    <row r="4874" ht="15.75" hidden="1" customHeight="1"/>
    <row r="4875" ht="15.75" hidden="1" customHeight="1"/>
    <row r="4876" ht="15.75" hidden="1" customHeight="1"/>
    <row r="4877" ht="15.75" hidden="1" customHeight="1"/>
    <row r="4878" ht="15.75" hidden="1" customHeight="1"/>
    <row r="4879" ht="15.75" hidden="1" customHeight="1"/>
    <row r="4880" ht="15.75" hidden="1" customHeight="1"/>
    <row r="4881" ht="15.75" hidden="1" customHeight="1"/>
    <row r="4882" ht="15.75" hidden="1" customHeight="1"/>
    <row r="4883" ht="15.75" hidden="1" customHeight="1"/>
    <row r="4884" ht="15.75" hidden="1" customHeight="1"/>
    <row r="4885" ht="15.75" hidden="1" customHeight="1"/>
    <row r="4886" ht="15.75" hidden="1" customHeight="1"/>
    <row r="4887" ht="15.75" hidden="1" customHeight="1"/>
    <row r="4888" ht="15.75" hidden="1" customHeight="1"/>
    <row r="4889" ht="15.75" hidden="1" customHeight="1"/>
    <row r="4890" ht="15.75" hidden="1" customHeight="1"/>
    <row r="4891" ht="15.75" hidden="1" customHeight="1"/>
    <row r="4892" ht="15.75" hidden="1" customHeight="1"/>
    <row r="4893" ht="15.75" hidden="1" customHeight="1"/>
    <row r="4894" ht="15.75" hidden="1" customHeight="1"/>
    <row r="4895" ht="15.75" hidden="1" customHeight="1"/>
    <row r="4896" ht="15.75" hidden="1" customHeight="1"/>
    <row r="4897" ht="15.75" hidden="1" customHeight="1"/>
    <row r="4898" ht="15.75" hidden="1" customHeight="1"/>
    <row r="4899" ht="15.75" hidden="1" customHeight="1"/>
    <row r="4900" ht="15.75" hidden="1" customHeight="1"/>
    <row r="4901" ht="15.75" hidden="1" customHeight="1"/>
    <row r="4902" ht="15.75" hidden="1" customHeight="1"/>
    <row r="4903" ht="15.75" hidden="1" customHeight="1"/>
    <row r="4904" ht="15.75" hidden="1" customHeight="1"/>
    <row r="4905" ht="15.75" hidden="1" customHeight="1"/>
    <row r="4906" ht="15.75" hidden="1" customHeight="1"/>
    <row r="4907" ht="15.75" hidden="1" customHeight="1"/>
    <row r="4908" ht="15.75" hidden="1" customHeight="1"/>
    <row r="4909" ht="15.75" hidden="1" customHeight="1"/>
    <row r="4910" ht="15.75" hidden="1" customHeight="1"/>
    <row r="4911" ht="15.75" hidden="1" customHeight="1"/>
    <row r="4912" ht="15.75" hidden="1" customHeight="1"/>
    <row r="4913" ht="15.75" hidden="1" customHeight="1"/>
    <row r="4914" ht="15.75" hidden="1" customHeight="1"/>
    <row r="4915" ht="15.75" hidden="1" customHeight="1"/>
    <row r="4916" ht="15.75" hidden="1" customHeight="1"/>
    <row r="4917" ht="15.75" hidden="1" customHeight="1"/>
    <row r="4918" ht="15.75" hidden="1" customHeight="1"/>
    <row r="4919" ht="15.75" hidden="1" customHeight="1"/>
    <row r="4920" ht="15.75" hidden="1" customHeight="1"/>
    <row r="4921" ht="15.75" hidden="1" customHeight="1"/>
    <row r="4922" ht="15.75" hidden="1" customHeight="1"/>
    <row r="4923" ht="15.75" hidden="1" customHeight="1"/>
    <row r="4924" ht="15.75" hidden="1" customHeight="1"/>
    <row r="4925" ht="15.75" hidden="1" customHeight="1"/>
    <row r="4926" ht="15.75" hidden="1" customHeight="1"/>
    <row r="4927" ht="15.75" hidden="1" customHeight="1"/>
    <row r="4928" ht="15.75" hidden="1" customHeight="1"/>
    <row r="4929" ht="15.75" hidden="1" customHeight="1"/>
    <row r="4930" ht="15.75" hidden="1" customHeight="1"/>
    <row r="4931" ht="15.75" hidden="1" customHeight="1"/>
    <row r="4932" ht="15.75" hidden="1" customHeight="1"/>
    <row r="4933" ht="15.75" hidden="1" customHeight="1"/>
    <row r="4934" ht="15.75" hidden="1" customHeight="1"/>
    <row r="4935" ht="15.75" hidden="1" customHeight="1"/>
    <row r="4936" ht="15.75" hidden="1" customHeight="1"/>
    <row r="4937" ht="15.75" hidden="1" customHeight="1"/>
    <row r="4938" ht="15.75" hidden="1" customHeight="1"/>
    <row r="4939" ht="15.75" hidden="1" customHeight="1"/>
    <row r="4940" ht="15.75" hidden="1" customHeight="1"/>
    <row r="4941" ht="15.75" hidden="1" customHeight="1"/>
    <row r="4942" ht="15.75" hidden="1" customHeight="1"/>
    <row r="4943" ht="15.75" hidden="1" customHeight="1"/>
    <row r="4944" ht="15.75" hidden="1" customHeight="1"/>
    <row r="4945" ht="15.75" hidden="1" customHeight="1"/>
    <row r="4946" ht="15.75" hidden="1" customHeight="1"/>
    <row r="4947" ht="15.75" hidden="1" customHeight="1"/>
    <row r="4948" ht="15.75" hidden="1" customHeight="1"/>
    <row r="4949" ht="15.75" hidden="1" customHeight="1"/>
    <row r="4950" ht="15.75" hidden="1" customHeight="1"/>
    <row r="4951" ht="15.75" hidden="1" customHeight="1"/>
    <row r="4952" ht="15.75" hidden="1" customHeight="1"/>
    <row r="4953" ht="15.75" hidden="1" customHeight="1"/>
    <row r="4954" ht="15.75" hidden="1" customHeight="1"/>
    <row r="4955" ht="15.75" hidden="1" customHeight="1"/>
    <row r="4956" ht="15.75" hidden="1" customHeight="1"/>
    <row r="4957" ht="15.75" hidden="1" customHeight="1"/>
    <row r="4958" ht="15.75" hidden="1" customHeight="1"/>
    <row r="4959" ht="15.75" hidden="1" customHeight="1"/>
    <row r="4960" ht="15.75" hidden="1" customHeight="1"/>
    <row r="4961" ht="15.75" hidden="1" customHeight="1"/>
    <row r="4962" ht="15.75" hidden="1" customHeight="1"/>
    <row r="4963" ht="15.75" hidden="1" customHeight="1"/>
    <row r="4964" ht="15.75" hidden="1" customHeight="1"/>
    <row r="4965" ht="15.75" hidden="1" customHeight="1"/>
    <row r="4966" ht="15.75" hidden="1" customHeight="1"/>
    <row r="4967" ht="15.75" hidden="1" customHeight="1"/>
    <row r="4968" ht="15.75" hidden="1" customHeight="1"/>
    <row r="4969" ht="15.75" hidden="1" customHeight="1"/>
    <row r="4970" ht="15.75" hidden="1" customHeight="1"/>
    <row r="4971" ht="15.75" hidden="1" customHeight="1"/>
    <row r="4972" ht="15.75" hidden="1" customHeight="1"/>
    <row r="4973" ht="15.75" hidden="1" customHeight="1"/>
    <row r="4974" ht="15.75" hidden="1" customHeight="1"/>
    <row r="4975" ht="15.75" hidden="1" customHeight="1"/>
    <row r="4976" ht="15.75" hidden="1" customHeight="1"/>
    <row r="4977" ht="15.75" hidden="1" customHeight="1"/>
    <row r="4978" ht="15.75" hidden="1" customHeight="1"/>
    <row r="4979" ht="15.75" hidden="1" customHeight="1"/>
    <row r="4980" ht="15.75" hidden="1" customHeight="1"/>
    <row r="4981" ht="15.75" hidden="1" customHeight="1"/>
    <row r="4982" ht="15.75" hidden="1" customHeight="1"/>
    <row r="4983" ht="15.75" hidden="1" customHeight="1"/>
    <row r="4984" ht="15.75" hidden="1" customHeight="1"/>
    <row r="4985" ht="15.75" hidden="1" customHeight="1"/>
    <row r="4986" ht="15.75" hidden="1" customHeight="1"/>
    <row r="4987" ht="15.75" hidden="1" customHeight="1"/>
    <row r="4988" ht="15.75" hidden="1" customHeight="1"/>
    <row r="4989" ht="15.75" hidden="1" customHeight="1"/>
    <row r="4990" ht="15.75" hidden="1" customHeight="1"/>
    <row r="4991" ht="15.75" hidden="1" customHeight="1"/>
    <row r="4992" ht="15.75" hidden="1" customHeight="1"/>
    <row r="4993" ht="15.75" hidden="1" customHeight="1"/>
    <row r="4994" ht="15.75" hidden="1" customHeight="1"/>
    <row r="4995" ht="15.75" hidden="1" customHeight="1"/>
    <row r="4996" ht="15.75" hidden="1" customHeight="1"/>
    <row r="4997" ht="15.75" hidden="1" customHeight="1"/>
    <row r="4998" ht="15.75" hidden="1" customHeight="1"/>
    <row r="4999" ht="15.75" hidden="1" customHeight="1"/>
    <row r="5000" ht="15.75" hidden="1" customHeight="1"/>
    <row r="5001" ht="15.75" hidden="1" customHeight="1"/>
    <row r="5002" ht="15.75" hidden="1" customHeight="1"/>
    <row r="5003" ht="15.75" hidden="1" customHeight="1"/>
    <row r="5004" ht="15.75" hidden="1" customHeight="1"/>
    <row r="5005" ht="15.75" hidden="1" customHeight="1"/>
    <row r="5006" ht="15.75" hidden="1" customHeight="1"/>
    <row r="5007" ht="15.75" hidden="1" customHeight="1"/>
    <row r="5008" ht="15.75" hidden="1" customHeight="1"/>
    <row r="5009" ht="15.75" hidden="1" customHeight="1"/>
    <row r="5010" ht="15.75" hidden="1" customHeight="1"/>
    <row r="5011" ht="15.75" hidden="1" customHeight="1"/>
    <row r="5012" ht="15.75" hidden="1" customHeight="1"/>
    <row r="5013" ht="15.75" hidden="1" customHeight="1"/>
    <row r="5014" ht="15.75" hidden="1" customHeight="1"/>
    <row r="5015" ht="15.75" hidden="1" customHeight="1"/>
    <row r="5016" ht="15.75" hidden="1" customHeight="1"/>
    <row r="5017" ht="15.75" hidden="1" customHeight="1"/>
    <row r="5018" ht="15.75" hidden="1" customHeight="1"/>
    <row r="5019" ht="15.75" hidden="1" customHeight="1"/>
    <row r="5020" ht="15.75" hidden="1" customHeight="1"/>
    <row r="5021" ht="15.75" hidden="1" customHeight="1"/>
    <row r="5022" ht="15.75" hidden="1" customHeight="1"/>
    <row r="5023" ht="15.75" hidden="1" customHeight="1"/>
    <row r="5024" ht="15.75" hidden="1" customHeight="1"/>
    <row r="5025" ht="15.75" hidden="1" customHeight="1"/>
    <row r="5026" ht="15.75" hidden="1" customHeight="1"/>
    <row r="5027" ht="15.75" hidden="1" customHeight="1"/>
    <row r="5028" ht="15.75" hidden="1" customHeight="1"/>
    <row r="5029" ht="15.75" hidden="1" customHeight="1"/>
    <row r="5030" ht="15.75" hidden="1" customHeight="1"/>
    <row r="5031" ht="15.75" hidden="1" customHeight="1"/>
    <row r="5032" ht="15.75" hidden="1" customHeight="1"/>
    <row r="5033" ht="15.75" hidden="1" customHeight="1"/>
    <row r="5034" ht="15.75" hidden="1" customHeight="1"/>
    <row r="5035" ht="15.75" hidden="1" customHeight="1"/>
    <row r="5036" ht="15.75" hidden="1" customHeight="1"/>
    <row r="5037" ht="15.75" hidden="1" customHeight="1"/>
    <row r="5038" ht="15.75" hidden="1" customHeight="1"/>
    <row r="5039" ht="15.75" hidden="1" customHeight="1"/>
    <row r="5040" ht="15.75" hidden="1" customHeight="1"/>
    <row r="5041" ht="15.75" hidden="1" customHeight="1"/>
    <row r="5042" ht="15.75" hidden="1" customHeight="1"/>
    <row r="5043" ht="15.75" hidden="1" customHeight="1"/>
    <row r="5044" ht="15.75" hidden="1" customHeight="1"/>
    <row r="5045" ht="15.75" hidden="1" customHeight="1"/>
    <row r="5046" ht="15.75" hidden="1" customHeight="1"/>
    <row r="5047" ht="15.75" hidden="1" customHeight="1"/>
    <row r="5048" ht="15.75" hidden="1" customHeight="1"/>
    <row r="5049" ht="15.75" hidden="1" customHeight="1"/>
    <row r="5050" ht="15.75" hidden="1" customHeight="1"/>
    <row r="5051" ht="15.75" hidden="1" customHeight="1"/>
    <row r="5052" ht="15.75" hidden="1" customHeight="1"/>
    <row r="5053" ht="15.75" hidden="1" customHeight="1"/>
    <row r="5054" ht="15.75" hidden="1" customHeight="1"/>
    <row r="5055" ht="15.75" hidden="1" customHeight="1"/>
    <row r="5056" ht="15.75" hidden="1" customHeight="1"/>
    <row r="5057" ht="15.75" hidden="1" customHeight="1"/>
    <row r="5058" ht="15.75" hidden="1" customHeight="1"/>
    <row r="5059" ht="15.75" hidden="1" customHeight="1"/>
    <row r="5060" ht="15.75" hidden="1" customHeight="1"/>
    <row r="5061" ht="15.75" hidden="1" customHeight="1"/>
    <row r="5062" ht="15.75" hidden="1" customHeight="1"/>
    <row r="5063" ht="15.75" hidden="1" customHeight="1"/>
    <row r="5064" ht="15.75" hidden="1" customHeight="1"/>
    <row r="5065" ht="15.75" hidden="1" customHeight="1"/>
    <row r="5066" ht="15.75" hidden="1" customHeight="1"/>
    <row r="5067" ht="15.75" hidden="1" customHeight="1"/>
    <row r="5068" ht="15.75" hidden="1" customHeight="1"/>
    <row r="5069" ht="15.75" hidden="1" customHeight="1"/>
    <row r="5070" ht="15.75" hidden="1" customHeight="1"/>
    <row r="5071" ht="15.75" hidden="1" customHeight="1"/>
    <row r="5072" ht="15.75" hidden="1" customHeight="1"/>
    <row r="5073" ht="15.75" hidden="1" customHeight="1"/>
    <row r="5074" ht="15.75" hidden="1" customHeight="1"/>
    <row r="5075" ht="15.75" hidden="1" customHeight="1"/>
    <row r="5076" ht="15.75" hidden="1" customHeight="1"/>
    <row r="5077" ht="15.75" hidden="1" customHeight="1"/>
    <row r="5078" ht="15.75" hidden="1" customHeight="1"/>
    <row r="5079" ht="15.75" hidden="1" customHeight="1"/>
    <row r="5080" ht="15.75" hidden="1" customHeight="1"/>
    <row r="5081" ht="15.75" hidden="1" customHeight="1"/>
    <row r="5082" ht="15.75" hidden="1" customHeight="1"/>
    <row r="5083" ht="15.75" hidden="1" customHeight="1"/>
    <row r="5084" ht="15.75" hidden="1" customHeight="1"/>
    <row r="5085" ht="15.75" hidden="1" customHeight="1"/>
    <row r="5086" ht="15.75" hidden="1" customHeight="1"/>
    <row r="5087" ht="15.75" hidden="1" customHeight="1"/>
    <row r="5088" ht="15.75" hidden="1" customHeight="1"/>
    <row r="5089" ht="15.75" hidden="1" customHeight="1"/>
    <row r="5090" ht="15.75" hidden="1" customHeight="1"/>
    <row r="5091" ht="15.75" hidden="1" customHeight="1"/>
    <row r="5092" ht="15.75" hidden="1" customHeight="1"/>
    <row r="5093" ht="15.75" hidden="1" customHeight="1"/>
    <row r="5094" ht="15.75" hidden="1" customHeight="1"/>
    <row r="5095" ht="15.75" hidden="1" customHeight="1"/>
    <row r="5096" ht="15.75" hidden="1" customHeight="1"/>
    <row r="5097" ht="15.75" hidden="1" customHeight="1"/>
    <row r="5098" ht="15.75" hidden="1" customHeight="1"/>
    <row r="5099" ht="15.75" hidden="1" customHeight="1"/>
    <row r="5100" ht="15.75" hidden="1" customHeight="1"/>
    <row r="5101" ht="15.75" hidden="1" customHeight="1"/>
    <row r="5102" ht="15.75" hidden="1" customHeight="1"/>
    <row r="5103" ht="15.75" hidden="1" customHeight="1"/>
    <row r="5104" ht="15.75" hidden="1" customHeight="1"/>
    <row r="5105" ht="15.75" hidden="1" customHeight="1"/>
    <row r="5106" ht="15.75" hidden="1" customHeight="1"/>
    <row r="5107" ht="15.75" hidden="1" customHeight="1"/>
    <row r="5108" ht="15.75" hidden="1" customHeight="1"/>
    <row r="5109" ht="15.75" hidden="1" customHeight="1"/>
    <row r="5110" ht="15.75" hidden="1" customHeight="1"/>
    <row r="5111" ht="15.75" hidden="1" customHeight="1"/>
    <row r="5112" ht="15.75" hidden="1" customHeight="1"/>
    <row r="5113" ht="15.75" hidden="1" customHeight="1"/>
    <row r="5114" ht="15.75" hidden="1" customHeight="1"/>
    <row r="5115" ht="15.75" hidden="1" customHeight="1"/>
    <row r="5116" ht="15.75" hidden="1" customHeight="1"/>
    <row r="5117" ht="15.75" hidden="1" customHeight="1"/>
    <row r="5118" ht="15.75" hidden="1" customHeight="1"/>
    <row r="5119" ht="15.75" hidden="1" customHeight="1"/>
    <row r="5120" ht="15.75" hidden="1" customHeight="1"/>
    <row r="5121" ht="15.75" hidden="1" customHeight="1"/>
    <row r="5122" ht="15.75" hidden="1" customHeight="1"/>
    <row r="5123" ht="15.75" hidden="1" customHeight="1"/>
    <row r="5124" ht="15.75" hidden="1" customHeight="1"/>
    <row r="5125" ht="15.75" hidden="1" customHeight="1"/>
    <row r="5126" ht="15.75" hidden="1" customHeight="1"/>
    <row r="5127" ht="15.75" hidden="1" customHeight="1"/>
    <row r="5128" ht="15.75" hidden="1" customHeight="1"/>
    <row r="5129" ht="15.75" hidden="1" customHeight="1"/>
    <row r="5130" ht="15.75" hidden="1" customHeight="1"/>
    <row r="5131" ht="15.75" hidden="1" customHeight="1"/>
    <row r="5132" ht="15.75" hidden="1" customHeight="1"/>
    <row r="5133" ht="15.75" hidden="1" customHeight="1"/>
    <row r="5134" ht="15.75" hidden="1" customHeight="1"/>
    <row r="5135" ht="15.75" hidden="1" customHeight="1"/>
    <row r="5136" ht="15.75" hidden="1" customHeight="1"/>
    <row r="5137" ht="15.75" hidden="1" customHeight="1"/>
    <row r="5138" ht="15.75" hidden="1" customHeight="1"/>
    <row r="5139" ht="15.75" hidden="1" customHeight="1"/>
    <row r="5140" ht="15.75" hidden="1" customHeight="1"/>
    <row r="5141" ht="15.75" hidden="1" customHeight="1"/>
    <row r="5142" ht="15.75" hidden="1" customHeight="1"/>
    <row r="5143" ht="15.75" hidden="1" customHeight="1"/>
    <row r="5144" ht="15.75" hidden="1" customHeight="1"/>
    <row r="5145" ht="15.75" hidden="1" customHeight="1"/>
    <row r="5146" ht="15.75" hidden="1" customHeight="1"/>
    <row r="5147" ht="15.75" hidden="1" customHeight="1"/>
    <row r="5148" ht="15.75" hidden="1" customHeight="1"/>
    <row r="5149" ht="15.75" hidden="1" customHeight="1"/>
    <row r="5150" ht="15.75" hidden="1" customHeight="1"/>
    <row r="5151" ht="15.75" hidden="1" customHeight="1"/>
    <row r="5152" ht="15.75" hidden="1" customHeight="1"/>
    <row r="5153" ht="15.75" hidden="1" customHeight="1"/>
    <row r="5154" ht="15.75" hidden="1" customHeight="1"/>
    <row r="5155" ht="15.75" hidden="1" customHeight="1"/>
    <row r="5156" ht="15.75" hidden="1" customHeight="1"/>
    <row r="5157" ht="15.75" hidden="1" customHeight="1"/>
    <row r="5158" ht="15.75" hidden="1" customHeight="1"/>
    <row r="5159" ht="15.75" hidden="1" customHeight="1"/>
    <row r="5160" ht="15.75" hidden="1" customHeight="1"/>
    <row r="5161" ht="15.75" hidden="1" customHeight="1"/>
    <row r="5162" ht="15.75" hidden="1" customHeight="1"/>
    <row r="5163" ht="15.75" hidden="1" customHeight="1"/>
    <row r="5164" ht="15.75" hidden="1" customHeight="1"/>
    <row r="5165" ht="15.75" hidden="1" customHeight="1"/>
    <row r="5166" ht="15.75" hidden="1" customHeight="1"/>
    <row r="5167" ht="15.75" hidden="1" customHeight="1"/>
    <row r="5168" ht="15.75" hidden="1" customHeight="1"/>
    <row r="5169" ht="15.75" hidden="1" customHeight="1"/>
    <row r="5170" ht="15.75" hidden="1" customHeight="1"/>
    <row r="5171" ht="15.75" hidden="1" customHeight="1"/>
    <row r="5172" ht="15.75" hidden="1" customHeight="1"/>
    <row r="5173" ht="15.75" hidden="1" customHeight="1"/>
    <row r="5174" ht="15.75" hidden="1" customHeight="1"/>
    <row r="5175" ht="15.75" hidden="1" customHeight="1"/>
    <row r="5176" ht="15.75" hidden="1" customHeight="1"/>
    <row r="5177" ht="15.75" hidden="1" customHeight="1"/>
    <row r="5178" ht="15.75" hidden="1" customHeight="1"/>
    <row r="5179" ht="15.75" hidden="1" customHeight="1"/>
    <row r="5180" ht="15.75" hidden="1" customHeight="1"/>
    <row r="5181" ht="15.75" hidden="1" customHeight="1"/>
    <row r="5182" ht="15.75" hidden="1" customHeight="1"/>
    <row r="5183" ht="15.75" hidden="1" customHeight="1"/>
    <row r="5184" ht="15.75" hidden="1" customHeight="1"/>
    <row r="5185" ht="15.75" hidden="1" customHeight="1"/>
    <row r="5186" ht="15.75" hidden="1" customHeight="1"/>
    <row r="5187" ht="15.75" hidden="1" customHeight="1"/>
    <row r="5188" ht="15.75" hidden="1" customHeight="1"/>
    <row r="5189" ht="15.75" hidden="1" customHeight="1"/>
    <row r="5190" ht="15.75" hidden="1" customHeight="1"/>
    <row r="5191" ht="15.75" hidden="1" customHeight="1"/>
    <row r="5192" ht="15.75" hidden="1" customHeight="1"/>
    <row r="5193" ht="15.75" hidden="1" customHeight="1"/>
    <row r="5194" ht="15.75" hidden="1" customHeight="1"/>
    <row r="5195" ht="15.75" hidden="1" customHeight="1"/>
    <row r="5196" ht="15.75" hidden="1" customHeight="1"/>
    <row r="5197" ht="15.75" hidden="1" customHeight="1"/>
    <row r="5198" ht="15.75" hidden="1" customHeight="1"/>
    <row r="5199" ht="15.75" hidden="1" customHeight="1"/>
    <row r="5200" ht="15.75" hidden="1" customHeight="1"/>
    <row r="5201" ht="15.75" hidden="1" customHeight="1"/>
    <row r="5202" ht="15.75" hidden="1" customHeight="1"/>
    <row r="5203" ht="15.75" hidden="1" customHeight="1"/>
    <row r="5204" ht="15.75" hidden="1" customHeight="1"/>
    <row r="5205" ht="15.75" hidden="1" customHeight="1"/>
    <row r="5206" ht="15.75" hidden="1" customHeight="1"/>
    <row r="5207" ht="15.75" hidden="1" customHeight="1"/>
    <row r="5208" ht="15.75" hidden="1" customHeight="1"/>
    <row r="5209" ht="15.75" hidden="1" customHeight="1"/>
    <row r="5210" ht="15.75" hidden="1" customHeight="1"/>
    <row r="5211" ht="15.75" hidden="1" customHeight="1"/>
    <row r="5212" ht="15.75" hidden="1" customHeight="1"/>
    <row r="5213" ht="15.75" hidden="1" customHeight="1"/>
    <row r="5214" ht="15.75" hidden="1" customHeight="1"/>
    <row r="5215" ht="15.75" hidden="1" customHeight="1"/>
    <row r="5216" ht="15.75" hidden="1" customHeight="1"/>
    <row r="5217" ht="15.75" hidden="1" customHeight="1"/>
    <row r="5218" ht="15.75" hidden="1" customHeight="1"/>
    <row r="5219" ht="15.75" hidden="1" customHeight="1"/>
    <row r="5220" ht="15.75" hidden="1" customHeight="1"/>
    <row r="5221" ht="15.75" hidden="1" customHeight="1"/>
    <row r="5222" ht="15.75" hidden="1" customHeight="1"/>
    <row r="5223" ht="15.75" hidden="1" customHeight="1"/>
    <row r="5224" ht="15.75" hidden="1" customHeight="1"/>
    <row r="5225" ht="15.75" hidden="1" customHeight="1"/>
    <row r="5226" ht="15.75" hidden="1" customHeight="1"/>
    <row r="5227" ht="15.75" hidden="1" customHeight="1"/>
    <row r="5228" ht="15.75" hidden="1" customHeight="1"/>
    <row r="5229" ht="15.75" hidden="1" customHeight="1"/>
    <row r="5230" ht="15.75" hidden="1" customHeight="1"/>
    <row r="5231" ht="15.75" hidden="1" customHeight="1"/>
    <row r="5232" ht="15.75" hidden="1" customHeight="1"/>
    <row r="5233" ht="15.75" hidden="1" customHeight="1"/>
    <row r="5234" ht="15.75" hidden="1" customHeight="1"/>
    <row r="5235" ht="15.75" hidden="1" customHeight="1"/>
    <row r="5236" ht="15.75" hidden="1" customHeight="1"/>
    <row r="5237" ht="15.75" hidden="1" customHeight="1"/>
    <row r="5238" ht="15.75" hidden="1" customHeight="1"/>
    <row r="5239" ht="15.75" hidden="1" customHeight="1"/>
    <row r="5240" ht="15.75" hidden="1" customHeight="1"/>
    <row r="5241" ht="15.75" hidden="1" customHeight="1"/>
    <row r="5242" ht="15.75" hidden="1" customHeight="1"/>
    <row r="5243" ht="15.75" hidden="1" customHeight="1"/>
    <row r="5244" ht="15.75" hidden="1" customHeight="1"/>
    <row r="5245" ht="15.75" hidden="1" customHeight="1"/>
    <row r="5246" ht="15.75" hidden="1" customHeight="1"/>
    <row r="5247" ht="15.75" hidden="1" customHeight="1"/>
    <row r="5248" ht="15.75" hidden="1" customHeight="1"/>
    <row r="5249" ht="15.75" hidden="1" customHeight="1"/>
    <row r="5250" ht="15.75" hidden="1" customHeight="1"/>
    <row r="5251" ht="15.75" hidden="1" customHeight="1"/>
    <row r="5252" ht="15.75" hidden="1" customHeight="1"/>
    <row r="5253" ht="15.75" hidden="1" customHeight="1"/>
    <row r="5254" ht="15.75" hidden="1" customHeight="1"/>
    <row r="5255" ht="15.75" hidden="1" customHeight="1"/>
    <row r="5256" ht="15.75" hidden="1" customHeight="1"/>
    <row r="5257" ht="15.75" hidden="1" customHeight="1"/>
    <row r="5258" ht="15.75" hidden="1" customHeight="1"/>
    <row r="5259" ht="15.75" hidden="1" customHeight="1"/>
    <row r="5260" ht="15.75" hidden="1" customHeight="1"/>
    <row r="5261" ht="15.75" hidden="1" customHeight="1"/>
    <row r="5262" ht="15.75" hidden="1" customHeight="1"/>
    <row r="5263" ht="15.75" hidden="1" customHeight="1"/>
    <row r="5264" ht="15.75" hidden="1" customHeight="1"/>
    <row r="5265" ht="15.75" hidden="1" customHeight="1"/>
    <row r="5266" ht="15.75" hidden="1" customHeight="1"/>
    <row r="5267" ht="15.75" hidden="1" customHeight="1"/>
    <row r="5268" ht="15.75" hidden="1" customHeight="1"/>
    <row r="5269" ht="15.75" hidden="1" customHeight="1"/>
    <row r="5270" ht="15.75" hidden="1" customHeight="1"/>
    <row r="5271" ht="15.75" hidden="1" customHeight="1"/>
    <row r="5272" ht="15.75" hidden="1" customHeight="1"/>
    <row r="5273" ht="15.75" hidden="1" customHeight="1"/>
    <row r="5274" ht="15.75" hidden="1" customHeight="1"/>
    <row r="5275" ht="15.75" hidden="1" customHeight="1"/>
    <row r="5276" ht="15.75" hidden="1" customHeight="1"/>
    <row r="5277" ht="15.75" hidden="1" customHeight="1"/>
    <row r="5278" ht="15.75" hidden="1" customHeight="1"/>
    <row r="5279" ht="15.75" hidden="1" customHeight="1"/>
    <row r="5280" ht="15.75" hidden="1" customHeight="1"/>
    <row r="5281" ht="15.75" hidden="1" customHeight="1"/>
    <row r="5282" ht="15.75" hidden="1" customHeight="1"/>
    <row r="5283" ht="15.75" hidden="1" customHeight="1"/>
    <row r="5284" ht="15.75" hidden="1" customHeight="1"/>
    <row r="5285" ht="15.75" hidden="1" customHeight="1"/>
    <row r="5286" ht="15.75" hidden="1" customHeight="1"/>
    <row r="5287" ht="15.75" hidden="1" customHeight="1"/>
    <row r="5288" ht="15.75" hidden="1" customHeight="1"/>
    <row r="5289" ht="15.75" hidden="1" customHeight="1"/>
    <row r="5290" ht="15.75" hidden="1" customHeight="1"/>
    <row r="5291" ht="15.75" hidden="1" customHeight="1"/>
    <row r="5292" ht="15.75" hidden="1" customHeight="1"/>
    <row r="5293" ht="15.75" hidden="1" customHeight="1"/>
    <row r="5294" ht="15.75" hidden="1" customHeight="1"/>
    <row r="5295" ht="15.75" hidden="1" customHeight="1"/>
    <row r="5296" ht="15.75" hidden="1" customHeight="1"/>
    <row r="5297" ht="15.75" hidden="1" customHeight="1"/>
    <row r="5298" ht="15.75" hidden="1" customHeight="1"/>
    <row r="5299" ht="15.75" hidden="1" customHeight="1"/>
    <row r="5300" ht="15.75" hidden="1" customHeight="1"/>
    <row r="5301" ht="15.75" hidden="1" customHeight="1"/>
    <row r="5302" ht="15.75" hidden="1" customHeight="1"/>
    <row r="5303" ht="15.75" hidden="1" customHeight="1"/>
    <row r="5304" ht="15.75" hidden="1" customHeight="1"/>
    <row r="5305" ht="15.75" hidden="1" customHeight="1"/>
    <row r="5306" ht="15.75" hidden="1" customHeight="1"/>
    <row r="5307" ht="15.75" hidden="1" customHeight="1"/>
    <row r="5308" ht="15.75" hidden="1" customHeight="1"/>
    <row r="5309" ht="15.75" hidden="1" customHeight="1"/>
    <row r="5310" ht="15.75" hidden="1" customHeight="1"/>
    <row r="5311" ht="15.75" hidden="1" customHeight="1"/>
    <row r="5312" ht="15.75" hidden="1" customHeight="1"/>
    <row r="5313" ht="15.75" hidden="1" customHeight="1"/>
    <row r="5314" ht="15.75" hidden="1" customHeight="1"/>
    <row r="5315" ht="15.75" hidden="1" customHeight="1"/>
    <row r="5316" ht="15.75" hidden="1" customHeight="1"/>
    <row r="5317" ht="15.75" hidden="1" customHeight="1"/>
    <row r="5318" ht="15.75" hidden="1" customHeight="1"/>
    <row r="5319" ht="15.75" hidden="1" customHeight="1"/>
    <row r="5320" ht="15.75" hidden="1" customHeight="1"/>
    <row r="5321" ht="15.75" hidden="1" customHeight="1"/>
    <row r="5322" ht="15.75" hidden="1" customHeight="1"/>
    <row r="5323" ht="15.75" hidden="1" customHeight="1"/>
    <row r="5324" ht="15.75" hidden="1" customHeight="1"/>
    <row r="5325" ht="15.75" hidden="1" customHeight="1"/>
    <row r="5326" ht="15.75" hidden="1" customHeight="1"/>
    <row r="5327" ht="15.75" hidden="1" customHeight="1"/>
    <row r="5328" ht="15.75" hidden="1" customHeight="1"/>
    <row r="5329" ht="15.75" hidden="1" customHeight="1"/>
    <row r="5330" ht="15.75" hidden="1" customHeight="1"/>
    <row r="5331" ht="15.75" hidden="1" customHeight="1"/>
    <row r="5332" ht="15.75" hidden="1" customHeight="1"/>
    <row r="5333" ht="15.75" hidden="1" customHeight="1"/>
    <row r="5334" ht="15.75" hidden="1" customHeight="1"/>
    <row r="5335" ht="15.75" hidden="1" customHeight="1"/>
    <row r="5336" ht="15.75" hidden="1" customHeight="1"/>
    <row r="5337" ht="15.75" hidden="1" customHeight="1"/>
    <row r="5338" ht="15.75" hidden="1" customHeight="1"/>
    <row r="5339" ht="15.75" hidden="1" customHeight="1"/>
    <row r="5340" ht="15.75" hidden="1" customHeight="1"/>
    <row r="5341" ht="15.75" hidden="1" customHeight="1"/>
    <row r="5342" ht="15.75" hidden="1" customHeight="1"/>
    <row r="5343" ht="15.75" hidden="1" customHeight="1"/>
    <row r="5344" ht="15.75" hidden="1" customHeight="1"/>
    <row r="5345" ht="15.75" hidden="1" customHeight="1"/>
    <row r="5346" ht="15.75" hidden="1" customHeight="1"/>
    <row r="5347" ht="15.75" hidden="1" customHeight="1"/>
    <row r="5348" ht="15.75" hidden="1" customHeight="1"/>
    <row r="5349" ht="15.75" hidden="1" customHeight="1"/>
    <row r="5350" ht="15.75" hidden="1" customHeight="1"/>
    <row r="5351" ht="15.75" hidden="1" customHeight="1"/>
    <row r="5352" ht="15.75" hidden="1" customHeight="1"/>
    <row r="5353" ht="15.75" hidden="1" customHeight="1"/>
    <row r="5354" ht="15.75" hidden="1" customHeight="1"/>
    <row r="5355" ht="15.75" hidden="1" customHeight="1"/>
    <row r="5356" ht="15.75" hidden="1" customHeight="1"/>
    <row r="5357" ht="15.75" hidden="1" customHeight="1"/>
    <row r="5358" ht="15.75" hidden="1" customHeight="1"/>
    <row r="5359" ht="15.75" hidden="1" customHeight="1"/>
    <row r="5360" ht="15.75" hidden="1" customHeight="1"/>
    <row r="5361" ht="15.75" hidden="1" customHeight="1"/>
    <row r="5362" ht="15.75" hidden="1" customHeight="1"/>
    <row r="5363" ht="15.75" hidden="1" customHeight="1"/>
    <row r="5364" ht="15.75" hidden="1" customHeight="1"/>
    <row r="5365" ht="15.75" hidden="1" customHeight="1"/>
    <row r="5366" ht="15.75" hidden="1" customHeight="1"/>
    <row r="5367" ht="15.75" hidden="1" customHeight="1"/>
    <row r="5368" ht="15.75" hidden="1" customHeight="1"/>
    <row r="5369" ht="15.75" hidden="1" customHeight="1"/>
    <row r="5370" ht="15.75" hidden="1" customHeight="1"/>
    <row r="5371" ht="15.75" hidden="1" customHeight="1"/>
    <row r="5372" ht="15.75" hidden="1" customHeight="1"/>
    <row r="5373" ht="15.75" hidden="1" customHeight="1"/>
    <row r="5374" ht="15.75" hidden="1" customHeight="1"/>
    <row r="5375" ht="15.75" hidden="1" customHeight="1"/>
    <row r="5376" ht="15.75" hidden="1" customHeight="1"/>
    <row r="5377" ht="15.75" hidden="1" customHeight="1"/>
    <row r="5378" ht="15.75" hidden="1" customHeight="1"/>
    <row r="5379" ht="15.75" hidden="1" customHeight="1"/>
    <row r="5380" ht="15.75" hidden="1" customHeight="1"/>
    <row r="5381" ht="15.75" hidden="1" customHeight="1"/>
    <row r="5382" ht="15.75" hidden="1" customHeight="1"/>
    <row r="5383" ht="15.75" hidden="1" customHeight="1"/>
    <row r="5384" ht="15.75" hidden="1" customHeight="1"/>
    <row r="5385" ht="15.75" hidden="1" customHeight="1"/>
    <row r="5386" ht="15.75" hidden="1" customHeight="1"/>
    <row r="5387" ht="15.75" hidden="1" customHeight="1"/>
    <row r="5388" ht="15.75" hidden="1" customHeight="1"/>
    <row r="5389" ht="15.75" hidden="1" customHeight="1"/>
    <row r="5390" ht="15.75" hidden="1" customHeight="1"/>
    <row r="5391" ht="15.75" hidden="1" customHeight="1"/>
    <row r="5392" ht="15.75" hidden="1" customHeight="1"/>
    <row r="5393" ht="15.75" hidden="1" customHeight="1"/>
    <row r="5394" ht="15.75" hidden="1" customHeight="1"/>
    <row r="5395" ht="15.75" hidden="1" customHeight="1"/>
    <row r="5396" ht="15.75" hidden="1" customHeight="1"/>
    <row r="5397" ht="15.75" hidden="1" customHeight="1"/>
    <row r="5398" ht="15.75" hidden="1" customHeight="1"/>
    <row r="5399" ht="15.75" hidden="1" customHeight="1"/>
    <row r="5400" ht="15.75" hidden="1" customHeight="1"/>
    <row r="5401" ht="15.75" hidden="1" customHeight="1"/>
    <row r="5402" ht="15.75" hidden="1" customHeight="1"/>
    <row r="5403" ht="15.75" hidden="1" customHeight="1"/>
    <row r="5404" ht="15.75" hidden="1" customHeight="1"/>
    <row r="5405" ht="15.75" hidden="1" customHeight="1"/>
    <row r="5406" ht="15.75" hidden="1" customHeight="1"/>
    <row r="5407" ht="15.75" hidden="1" customHeight="1"/>
    <row r="5408" ht="15.75" hidden="1" customHeight="1"/>
    <row r="5409" ht="15.75" hidden="1" customHeight="1"/>
    <row r="5410" ht="15.75" hidden="1" customHeight="1"/>
    <row r="5411" ht="15.75" hidden="1" customHeight="1"/>
    <row r="5412" ht="15.75" hidden="1" customHeight="1"/>
    <row r="5413" ht="15.75" hidden="1" customHeight="1"/>
    <row r="5414" ht="15.75" hidden="1" customHeight="1"/>
    <row r="5415" ht="15.75" hidden="1" customHeight="1"/>
    <row r="5416" ht="15.75" hidden="1" customHeight="1"/>
    <row r="5417" ht="15.75" hidden="1" customHeight="1"/>
    <row r="5418" ht="15.75" hidden="1" customHeight="1"/>
    <row r="5419" ht="15.75" hidden="1" customHeight="1"/>
    <row r="5420" ht="15.75" hidden="1" customHeight="1"/>
    <row r="5421" ht="15.75" hidden="1" customHeight="1"/>
    <row r="5422" ht="15.75" hidden="1" customHeight="1"/>
    <row r="5423" ht="15.75" hidden="1" customHeight="1"/>
    <row r="5424" ht="15.75" hidden="1" customHeight="1"/>
    <row r="5425" ht="15.75" hidden="1" customHeight="1"/>
    <row r="5426" ht="15.75" hidden="1" customHeight="1"/>
    <row r="5427" ht="15.75" hidden="1" customHeight="1"/>
    <row r="5428" ht="15.75" hidden="1" customHeight="1"/>
    <row r="5429" ht="15.75" hidden="1" customHeight="1"/>
    <row r="5430" ht="15.75" hidden="1" customHeight="1"/>
    <row r="5431" ht="15.75" hidden="1" customHeight="1"/>
    <row r="5432" ht="15.75" hidden="1" customHeight="1"/>
    <row r="5433" ht="15.75" hidden="1" customHeight="1"/>
    <row r="5434" ht="15.75" hidden="1" customHeight="1"/>
    <row r="5435" ht="15.75" hidden="1" customHeight="1"/>
    <row r="5436" ht="15.75" hidden="1" customHeight="1"/>
    <row r="5437" ht="15.75" hidden="1" customHeight="1"/>
    <row r="5438" ht="15.75" hidden="1" customHeight="1"/>
    <row r="5439" ht="15.75" hidden="1" customHeight="1"/>
    <row r="5440" ht="15.75" hidden="1" customHeight="1"/>
    <row r="5441" ht="15.75" hidden="1" customHeight="1"/>
    <row r="5442" ht="15.75" hidden="1" customHeight="1"/>
    <row r="5443" ht="15.75" hidden="1" customHeight="1"/>
    <row r="5444" ht="15.75" hidden="1" customHeight="1"/>
    <row r="5445" ht="15.75" hidden="1" customHeight="1"/>
    <row r="5446" ht="15.75" hidden="1" customHeight="1"/>
    <row r="5447" ht="15.75" hidden="1" customHeight="1"/>
    <row r="5448" ht="15.75" hidden="1" customHeight="1"/>
    <row r="5449" ht="15.75" hidden="1" customHeight="1"/>
    <row r="5450" ht="15.75" hidden="1" customHeight="1"/>
    <row r="5451" ht="15.75" hidden="1" customHeight="1"/>
    <row r="5452" ht="15.75" hidden="1" customHeight="1"/>
    <row r="5453" ht="15.75" hidden="1" customHeight="1"/>
    <row r="5454" ht="15.75" hidden="1" customHeight="1"/>
    <row r="5455" ht="15.75" hidden="1" customHeight="1"/>
    <row r="5456" ht="15.75" hidden="1" customHeight="1"/>
    <row r="5457" ht="15.75" hidden="1" customHeight="1"/>
    <row r="5458" ht="15.75" hidden="1" customHeight="1"/>
    <row r="5459" ht="15.75" hidden="1" customHeight="1"/>
    <row r="5460" ht="15.75" hidden="1" customHeight="1"/>
    <row r="5461" ht="15.75" hidden="1" customHeight="1"/>
    <row r="5462" ht="15.75" hidden="1" customHeight="1"/>
    <row r="5463" ht="15.75" hidden="1" customHeight="1"/>
    <row r="5464" ht="15.75" hidden="1" customHeight="1"/>
    <row r="5465" ht="15.75" hidden="1" customHeight="1"/>
    <row r="5466" ht="15.75" hidden="1" customHeight="1"/>
    <row r="5467" ht="15.75" hidden="1" customHeight="1"/>
    <row r="5468" ht="15.75" hidden="1" customHeight="1"/>
    <row r="5469" ht="15.75" hidden="1" customHeight="1"/>
    <row r="5470" ht="15.75" hidden="1" customHeight="1"/>
    <row r="5471" ht="15.75" hidden="1" customHeight="1"/>
    <row r="5472" ht="15.75" hidden="1" customHeight="1"/>
    <row r="5473" ht="15.75" hidden="1" customHeight="1"/>
    <row r="5474" ht="15.75" hidden="1" customHeight="1"/>
    <row r="5475" ht="15.75" hidden="1" customHeight="1"/>
    <row r="5476" ht="15.75" hidden="1" customHeight="1"/>
    <row r="5477" ht="15.75" hidden="1" customHeight="1"/>
    <row r="5478" ht="15.75" hidden="1" customHeight="1"/>
    <row r="5479" ht="15.75" hidden="1" customHeight="1"/>
    <row r="5480" ht="15.75" hidden="1" customHeight="1"/>
    <row r="5481" ht="15.75" hidden="1" customHeight="1"/>
    <row r="5482" ht="15.75" hidden="1" customHeight="1"/>
    <row r="5483" ht="15.75" hidden="1" customHeight="1"/>
    <row r="5484" ht="15.75" hidden="1" customHeight="1"/>
    <row r="5485" ht="15.75" hidden="1" customHeight="1"/>
    <row r="5486" ht="15.75" hidden="1" customHeight="1"/>
    <row r="5487" ht="15.75" hidden="1" customHeight="1"/>
    <row r="5488" ht="15.75" hidden="1" customHeight="1"/>
    <row r="5489" ht="15.75" hidden="1" customHeight="1"/>
    <row r="5490" ht="15.75" hidden="1" customHeight="1"/>
    <row r="5491" ht="15.75" hidden="1" customHeight="1"/>
    <row r="5492" ht="15.75" hidden="1" customHeight="1"/>
    <row r="5493" ht="15.75" hidden="1" customHeight="1"/>
    <row r="5494" ht="15.75" hidden="1" customHeight="1"/>
    <row r="5495" ht="15.75" hidden="1" customHeight="1"/>
    <row r="5496" ht="15.75" hidden="1" customHeight="1"/>
    <row r="5497" ht="15.75" hidden="1" customHeight="1"/>
    <row r="5498" ht="15.75" hidden="1" customHeight="1"/>
    <row r="5499" ht="15.75" hidden="1" customHeight="1"/>
    <row r="5500" ht="15.75" hidden="1" customHeight="1"/>
    <row r="5501" ht="15.75" hidden="1" customHeight="1"/>
    <row r="5502" ht="15.75" hidden="1" customHeight="1"/>
    <row r="5503" ht="15.75" hidden="1" customHeight="1"/>
    <row r="5504" ht="15.75" hidden="1" customHeight="1"/>
    <row r="5505" ht="15.75" hidden="1" customHeight="1"/>
    <row r="5506" ht="15.75" hidden="1" customHeight="1"/>
    <row r="5507" ht="15.75" hidden="1" customHeight="1"/>
    <row r="5508" ht="15.75" hidden="1" customHeight="1"/>
    <row r="5509" ht="15.75" hidden="1" customHeight="1"/>
    <row r="5510" ht="15.75" hidden="1" customHeight="1"/>
    <row r="5511" ht="15.75" hidden="1" customHeight="1"/>
    <row r="5512" ht="15.75" hidden="1" customHeight="1"/>
    <row r="5513" ht="15.75" hidden="1" customHeight="1"/>
    <row r="5514" ht="15.75" hidden="1" customHeight="1"/>
    <row r="5515" ht="15.75" hidden="1" customHeight="1"/>
    <row r="5516" ht="15.75" hidden="1" customHeight="1"/>
    <row r="5517" ht="15.75" hidden="1" customHeight="1"/>
    <row r="5518" ht="15.75" hidden="1" customHeight="1"/>
    <row r="5519" ht="15.75" hidden="1" customHeight="1"/>
    <row r="5520" ht="15.75" hidden="1" customHeight="1"/>
    <row r="5521" ht="15.75" hidden="1" customHeight="1"/>
    <row r="5522" ht="15.75" hidden="1" customHeight="1"/>
    <row r="5523" ht="15.75" hidden="1" customHeight="1"/>
    <row r="5524" ht="15.75" hidden="1" customHeight="1"/>
    <row r="5525" ht="15.75" hidden="1" customHeight="1"/>
    <row r="5526" ht="15.75" hidden="1" customHeight="1"/>
    <row r="5527" ht="15.75" hidden="1" customHeight="1"/>
    <row r="5528" ht="15.75" hidden="1" customHeight="1"/>
    <row r="5529" ht="15.75" hidden="1" customHeight="1"/>
    <row r="5530" ht="15.75" hidden="1" customHeight="1"/>
    <row r="5531" ht="15.75" hidden="1" customHeight="1"/>
    <row r="5532" ht="15.75" hidden="1" customHeight="1"/>
    <row r="5533" ht="15.75" hidden="1" customHeight="1"/>
    <row r="5534" ht="15.75" hidden="1" customHeight="1"/>
    <row r="5535" ht="15.75" hidden="1" customHeight="1"/>
    <row r="5536" ht="15.75" hidden="1" customHeight="1"/>
    <row r="5537" ht="15.75" hidden="1" customHeight="1"/>
    <row r="5538" ht="15.75" hidden="1" customHeight="1"/>
    <row r="5539" ht="15.75" hidden="1" customHeight="1"/>
    <row r="5540" ht="15.75" hidden="1" customHeight="1"/>
    <row r="5541" ht="15.75" hidden="1" customHeight="1"/>
    <row r="5542" ht="15.75" hidden="1" customHeight="1"/>
    <row r="5543" ht="15.75" hidden="1" customHeight="1"/>
    <row r="5544" ht="15.75" hidden="1" customHeight="1"/>
    <row r="5545" ht="15.75" hidden="1" customHeight="1"/>
    <row r="5546" ht="15.75" hidden="1" customHeight="1"/>
    <row r="5547" ht="15.75" hidden="1" customHeight="1"/>
    <row r="5548" ht="15.75" hidden="1" customHeight="1"/>
    <row r="5549" ht="15.75" hidden="1" customHeight="1"/>
    <row r="5550" ht="15.75" hidden="1" customHeight="1"/>
    <row r="5551" ht="15.75" hidden="1" customHeight="1"/>
    <row r="5552" ht="15.75" hidden="1" customHeight="1"/>
    <row r="5553" ht="15.75" hidden="1" customHeight="1"/>
    <row r="5554" ht="15.75" hidden="1" customHeight="1"/>
    <row r="5555" ht="15.75" hidden="1" customHeight="1"/>
    <row r="5556" ht="15.75" hidden="1" customHeight="1"/>
    <row r="5557" ht="15.75" hidden="1" customHeight="1"/>
    <row r="5558" ht="15.75" hidden="1" customHeight="1"/>
    <row r="5559" ht="15.75" hidden="1" customHeight="1"/>
    <row r="5560" ht="15.75" hidden="1" customHeight="1"/>
    <row r="5561" ht="15.75" hidden="1" customHeight="1"/>
    <row r="5562" ht="15.75" hidden="1" customHeight="1"/>
    <row r="5563" ht="15.75" hidden="1" customHeight="1"/>
    <row r="5564" ht="15.75" hidden="1" customHeight="1"/>
    <row r="5565" ht="15.75" hidden="1" customHeight="1"/>
    <row r="5566" ht="15.75" hidden="1" customHeight="1"/>
    <row r="5567" ht="15.75" hidden="1" customHeight="1"/>
    <row r="5568" ht="15.75" hidden="1" customHeight="1"/>
    <row r="5569" ht="15.75" hidden="1" customHeight="1"/>
    <row r="5570" ht="15.75" hidden="1" customHeight="1"/>
    <row r="5571" ht="15.75" hidden="1" customHeight="1"/>
    <row r="5572" ht="15.75" hidden="1" customHeight="1"/>
    <row r="5573" ht="15.75" hidden="1" customHeight="1"/>
    <row r="5574" ht="15.75" hidden="1" customHeight="1"/>
    <row r="5575" ht="15.75" hidden="1" customHeight="1"/>
    <row r="5576" ht="15.75" hidden="1" customHeight="1"/>
    <row r="5577" ht="15.75" hidden="1" customHeight="1"/>
    <row r="5578" ht="15.75" hidden="1" customHeight="1"/>
    <row r="5579" ht="15.75" hidden="1" customHeight="1"/>
    <row r="5580" ht="15.75" hidden="1" customHeight="1"/>
    <row r="5581" ht="15.75" hidden="1" customHeight="1"/>
    <row r="5582" ht="15.75" hidden="1" customHeight="1"/>
    <row r="5583" ht="15.75" hidden="1" customHeight="1"/>
    <row r="5584" ht="15.75" hidden="1" customHeight="1"/>
    <row r="5585" ht="15.75" hidden="1" customHeight="1"/>
    <row r="5586" ht="15.75" hidden="1" customHeight="1"/>
    <row r="5587" ht="15.75" hidden="1" customHeight="1"/>
    <row r="5588" ht="15.75" hidden="1" customHeight="1"/>
    <row r="5589" ht="15.75" hidden="1" customHeight="1"/>
    <row r="5590" ht="15.75" hidden="1" customHeight="1"/>
    <row r="5591" ht="15.75" hidden="1" customHeight="1"/>
    <row r="5592" ht="15.75" hidden="1" customHeight="1"/>
    <row r="5593" ht="15.75" hidden="1" customHeight="1"/>
    <row r="5594" ht="15.75" hidden="1" customHeight="1"/>
    <row r="5595" ht="15.75" hidden="1" customHeight="1"/>
    <row r="5596" ht="15.75" hidden="1" customHeight="1"/>
    <row r="5597" ht="15.75" hidden="1" customHeight="1"/>
    <row r="5598" ht="15.75" hidden="1" customHeight="1"/>
    <row r="5599" ht="15.75" hidden="1" customHeight="1"/>
    <row r="5600" ht="15.75" hidden="1" customHeight="1"/>
    <row r="5601" ht="15.75" hidden="1" customHeight="1"/>
    <row r="5602" ht="15.75" hidden="1" customHeight="1"/>
    <row r="5603" ht="15.75" hidden="1" customHeight="1"/>
    <row r="5604" ht="15.75" hidden="1" customHeight="1"/>
    <row r="5605" ht="15.75" hidden="1" customHeight="1"/>
    <row r="5606" ht="15.75" hidden="1" customHeight="1"/>
    <row r="5607" ht="15.75" hidden="1" customHeight="1"/>
    <row r="5608" ht="15.75" hidden="1" customHeight="1"/>
    <row r="5609" ht="15.75" hidden="1" customHeight="1"/>
    <row r="5610" ht="15.75" hidden="1" customHeight="1"/>
    <row r="5611" ht="15.75" hidden="1" customHeight="1"/>
    <row r="5612" ht="15.75" hidden="1" customHeight="1"/>
    <row r="5613" ht="15.75" hidden="1" customHeight="1"/>
    <row r="5614" ht="15.75" hidden="1" customHeight="1"/>
    <row r="5615" ht="15.75" hidden="1" customHeight="1"/>
    <row r="5616" ht="15.75" hidden="1" customHeight="1"/>
    <row r="5617" ht="15.75" hidden="1" customHeight="1"/>
    <row r="5618" ht="15.75" hidden="1" customHeight="1"/>
    <row r="5619" ht="15.75" hidden="1" customHeight="1"/>
    <row r="5620" ht="15.75" hidden="1" customHeight="1"/>
    <row r="5621" ht="15.75" hidden="1" customHeight="1"/>
    <row r="5622" ht="15.75" hidden="1" customHeight="1"/>
    <row r="5623" ht="15.75" hidden="1" customHeight="1"/>
    <row r="5624" ht="15.75" hidden="1" customHeight="1"/>
    <row r="5625" ht="15.75" hidden="1" customHeight="1"/>
    <row r="5626" ht="15.75" hidden="1" customHeight="1"/>
    <row r="5627" ht="15.75" hidden="1" customHeight="1"/>
    <row r="5628" ht="15.75" hidden="1" customHeight="1"/>
    <row r="5629" ht="15.75" hidden="1" customHeight="1"/>
    <row r="5630" ht="15.75" hidden="1" customHeight="1"/>
    <row r="5631" ht="15.75" hidden="1" customHeight="1"/>
    <row r="5632" ht="15.75" hidden="1" customHeight="1"/>
    <row r="5633" ht="15.75" hidden="1" customHeight="1"/>
    <row r="5634" ht="15.75" hidden="1" customHeight="1"/>
    <row r="5635" ht="15.75" hidden="1" customHeight="1"/>
    <row r="5636" ht="15.75" hidden="1" customHeight="1"/>
    <row r="5637" ht="15.75" hidden="1" customHeight="1"/>
    <row r="5638" ht="15.75" hidden="1" customHeight="1"/>
    <row r="5639" ht="15.75" hidden="1" customHeight="1"/>
    <row r="5640" ht="15.75" hidden="1" customHeight="1"/>
    <row r="5641" ht="15.75" hidden="1" customHeight="1"/>
    <row r="5642" ht="15.75" hidden="1" customHeight="1"/>
    <row r="5643" ht="15.75" hidden="1" customHeight="1"/>
    <row r="5644" ht="15.75" hidden="1" customHeight="1"/>
    <row r="5645" ht="15.75" hidden="1" customHeight="1"/>
    <row r="5646" ht="15.75" hidden="1" customHeight="1"/>
    <row r="5647" ht="15.75" hidden="1" customHeight="1"/>
    <row r="5648" ht="15.75" hidden="1" customHeight="1"/>
    <row r="5649" ht="15.75" hidden="1" customHeight="1"/>
    <row r="5650" ht="15.75" hidden="1" customHeight="1"/>
    <row r="5651" ht="15.75" hidden="1" customHeight="1"/>
    <row r="5652" ht="15.75" hidden="1" customHeight="1"/>
    <row r="5653" ht="15.75" hidden="1" customHeight="1"/>
    <row r="5654" ht="15.75" hidden="1" customHeight="1"/>
    <row r="5655" ht="15.75" hidden="1" customHeight="1"/>
    <row r="5656" ht="15.75" hidden="1" customHeight="1"/>
    <row r="5657" ht="15.75" hidden="1" customHeight="1"/>
    <row r="5658" ht="15.75" hidden="1" customHeight="1"/>
    <row r="5659" ht="15.75" hidden="1" customHeight="1"/>
    <row r="5660" ht="15.75" hidden="1" customHeight="1"/>
    <row r="5661" ht="15.75" hidden="1" customHeight="1"/>
    <row r="5662" ht="15.75" hidden="1" customHeight="1"/>
    <row r="5663" ht="15.75" hidden="1" customHeight="1"/>
    <row r="5664" ht="15.75" hidden="1" customHeight="1"/>
    <row r="5665" ht="15.75" hidden="1" customHeight="1"/>
    <row r="5666" ht="15.75" hidden="1" customHeight="1"/>
    <row r="5667" ht="15.75" hidden="1" customHeight="1"/>
    <row r="5668" ht="15.75" hidden="1" customHeight="1"/>
    <row r="5669" ht="15.75" hidden="1" customHeight="1"/>
    <row r="5670" ht="15.75" hidden="1" customHeight="1"/>
    <row r="5671" ht="15.75" hidden="1" customHeight="1"/>
    <row r="5672" ht="15.75" hidden="1" customHeight="1"/>
    <row r="5673" ht="15.75" hidden="1" customHeight="1"/>
    <row r="5674" ht="15.75" hidden="1" customHeight="1"/>
    <row r="5675" ht="15.75" hidden="1" customHeight="1"/>
    <row r="5676" ht="15.75" hidden="1" customHeight="1"/>
    <row r="5677" ht="15.75" hidden="1" customHeight="1"/>
    <row r="5678" ht="15.75" hidden="1" customHeight="1"/>
    <row r="5679" ht="15.75" hidden="1" customHeight="1"/>
    <row r="5680" ht="15.75" hidden="1" customHeight="1"/>
    <row r="5681" ht="15.75" hidden="1" customHeight="1"/>
    <row r="5682" ht="15.75" hidden="1" customHeight="1"/>
    <row r="5683" ht="15.75" hidden="1" customHeight="1"/>
    <row r="5684" ht="15.75" hidden="1" customHeight="1"/>
    <row r="5685" ht="15.75" hidden="1" customHeight="1"/>
    <row r="5686" ht="15.75" hidden="1" customHeight="1"/>
    <row r="5687" ht="15.75" hidden="1" customHeight="1"/>
    <row r="5688" ht="15.75" hidden="1" customHeight="1"/>
    <row r="5689" ht="15.75" hidden="1" customHeight="1"/>
    <row r="5690" ht="15.75" hidden="1" customHeight="1"/>
    <row r="5691" ht="15.75" hidden="1" customHeight="1"/>
    <row r="5692" ht="15.75" hidden="1" customHeight="1"/>
    <row r="5693" ht="15.75" hidden="1" customHeight="1"/>
    <row r="5694" ht="15.75" hidden="1" customHeight="1"/>
    <row r="5695" ht="15.75" hidden="1" customHeight="1"/>
    <row r="5696" ht="15.75" hidden="1" customHeight="1"/>
    <row r="5697" ht="15.75" hidden="1" customHeight="1"/>
    <row r="5698" ht="15.75" hidden="1" customHeight="1"/>
    <row r="5699" ht="15.75" hidden="1" customHeight="1"/>
    <row r="5700" ht="15.75" hidden="1" customHeight="1"/>
    <row r="5701" ht="15.75" hidden="1" customHeight="1"/>
    <row r="5702" ht="15.75" hidden="1" customHeight="1"/>
    <row r="5703" ht="15.75" hidden="1" customHeight="1"/>
    <row r="5704" ht="15.75" hidden="1" customHeight="1"/>
    <row r="5705" ht="15.75" hidden="1" customHeight="1"/>
    <row r="5706" ht="15.75" hidden="1" customHeight="1"/>
    <row r="5707" ht="15.75" hidden="1" customHeight="1"/>
    <row r="5708" ht="15.75" hidden="1" customHeight="1"/>
    <row r="5709" ht="15.75" hidden="1" customHeight="1"/>
    <row r="5710" ht="15.75" hidden="1" customHeight="1"/>
    <row r="5711" ht="15.75" hidden="1" customHeight="1"/>
    <row r="5712" ht="15.75" hidden="1" customHeight="1"/>
    <row r="5713" ht="15.75" hidden="1" customHeight="1"/>
    <row r="5714" ht="15.75" hidden="1" customHeight="1"/>
    <row r="5715" ht="15.75" hidden="1" customHeight="1"/>
    <row r="5716" ht="15.75" hidden="1" customHeight="1"/>
    <row r="5717" ht="15.75" hidden="1" customHeight="1"/>
    <row r="5718" ht="15.75" hidden="1" customHeight="1"/>
    <row r="5719" ht="15.75" hidden="1" customHeight="1"/>
    <row r="5720" ht="15.75" hidden="1" customHeight="1"/>
    <row r="5721" ht="15.75" hidden="1" customHeight="1"/>
    <row r="5722" ht="15.75" hidden="1" customHeight="1"/>
    <row r="5723" ht="15.75" hidden="1" customHeight="1"/>
    <row r="5724" ht="15.75" hidden="1" customHeight="1"/>
    <row r="5725" ht="15.75" hidden="1" customHeight="1"/>
    <row r="5726" ht="15.75" hidden="1" customHeight="1"/>
    <row r="5727" ht="15.75" hidden="1" customHeight="1"/>
    <row r="5728" ht="15.75" hidden="1" customHeight="1"/>
    <row r="5729" ht="15.75" hidden="1" customHeight="1"/>
    <row r="5730" ht="15.75" hidden="1" customHeight="1"/>
    <row r="5731" ht="15.75" hidden="1" customHeight="1"/>
    <row r="5732" ht="15.75" hidden="1" customHeight="1"/>
    <row r="5733" ht="15.75" hidden="1" customHeight="1"/>
    <row r="5734" ht="15.75" hidden="1" customHeight="1"/>
    <row r="5735" ht="15.75" hidden="1" customHeight="1"/>
    <row r="5736" ht="15.75" hidden="1" customHeight="1"/>
    <row r="5737" ht="15.75" hidden="1" customHeight="1"/>
    <row r="5738" ht="15.75" hidden="1" customHeight="1"/>
    <row r="5739" ht="15.75" hidden="1" customHeight="1"/>
    <row r="5740" ht="15.75" hidden="1" customHeight="1"/>
    <row r="5741" ht="15.75" hidden="1" customHeight="1"/>
    <row r="5742" ht="15.75" hidden="1" customHeight="1"/>
    <row r="5743" ht="15.75" hidden="1" customHeight="1"/>
    <row r="5744" ht="15.75" hidden="1" customHeight="1"/>
    <row r="5745" ht="15.75" hidden="1" customHeight="1"/>
    <row r="5746" ht="15.75" hidden="1" customHeight="1"/>
    <row r="5747" ht="15.75" hidden="1" customHeight="1"/>
    <row r="5748" ht="15.75" hidden="1" customHeight="1"/>
    <row r="5749" ht="15.75" hidden="1" customHeight="1"/>
    <row r="5750" ht="15.75" hidden="1" customHeight="1"/>
    <row r="5751" ht="15.75" hidden="1" customHeight="1"/>
    <row r="5752" ht="15.75" hidden="1" customHeight="1"/>
    <row r="5753" ht="15.75" hidden="1" customHeight="1"/>
    <row r="5754" ht="15.75" hidden="1" customHeight="1"/>
    <row r="5755" ht="15.75" hidden="1" customHeight="1"/>
    <row r="5756" ht="15.75" hidden="1" customHeight="1"/>
    <row r="5757" ht="15.75" hidden="1" customHeight="1"/>
    <row r="5758" ht="15.75" hidden="1" customHeight="1"/>
    <row r="5759" ht="15.75" hidden="1" customHeight="1"/>
    <row r="5760" ht="15.75" hidden="1" customHeight="1"/>
    <row r="5761" ht="15.75" hidden="1" customHeight="1"/>
    <row r="5762" ht="15.75" hidden="1" customHeight="1"/>
    <row r="5763" ht="15.75" hidden="1" customHeight="1"/>
    <row r="5764" ht="15.75" hidden="1" customHeight="1"/>
    <row r="5765" ht="15.75" hidden="1" customHeight="1"/>
    <row r="5766" ht="15.75" hidden="1" customHeight="1"/>
    <row r="5767" ht="15.75" hidden="1" customHeight="1"/>
    <row r="5768" ht="15.75" hidden="1" customHeight="1"/>
    <row r="5769" ht="15.75" hidden="1" customHeight="1"/>
    <row r="5770" ht="15.75" hidden="1" customHeight="1"/>
    <row r="5771" ht="15.75" hidden="1" customHeight="1"/>
    <row r="5772" ht="15.75" hidden="1" customHeight="1"/>
    <row r="5773" ht="15.75" hidden="1" customHeight="1"/>
    <row r="5774" ht="15.75" hidden="1" customHeight="1"/>
    <row r="5775" ht="15.75" hidden="1" customHeight="1"/>
    <row r="5776" ht="15.75" hidden="1" customHeight="1"/>
    <row r="5777" ht="15.75" hidden="1" customHeight="1"/>
    <row r="5778" ht="15.75" hidden="1" customHeight="1"/>
    <row r="5779" ht="15.75" hidden="1" customHeight="1"/>
    <row r="5780" ht="15.75" hidden="1" customHeight="1"/>
    <row r="5781" ht="15.75" hidden="1" customHeight="1"/>
    <row r="5782" ht="15.75" hidden="1" customHeight="1"/>
    <row r="5783" ht="15.75" hidden="1" customHeight="1"/>
    <row r="5784" ht="15.75" hidden="1" customHeight="1"/>
    <row r="5785" ht="15.75" hidden="1" customHeight="1"/>
    <row r="5786" ht="15.75" hidden="1" customHeight="1"/>
    <row r="5787" ht="15.75" hidden="1" customHeight="1"/>
    <row r="5788" ht="15.75" hidden="1" customHeight="1"/>
    <row r="5789" ht="15.75" hidden="1" customHeight="1"/>
    <row r="5790" ht="15.75" hidden="1" customHeight="1"/>
    <row r="5791" ht="15.75" hidden="1" customHeight="1"/>
    <row r="5792" ht="15.75" hidden="1" customHeight="1"/>
    <row r="5793" ht="15.75" hidden="1" customHeight="1"/>
    <row r="5794" ht="15.75" hidden="1" customHeight="1"/>
    <row r="5795" ht="15.75" hidden="1" customHeight="1"/>
    <row r="5796" ht="15.75" hidden="1" customHeight="1"/>
    <row r="5797" ht="15.75" hidden="1" customHeight="1"/>
    <row r="5798" ht="15.75" hidden="1" customHeight="1"/>
    <row r="5799" ht="15.75" hidden="1" customHeight="1"/>
    <row r="5800" ht="15.75" hidden="1" customHeight="1"/>
    <row r="5801" ht="15.75" hidden="1" customHeight="1"/>
    <row r="5802" ht="15.75" hidden="1" customHeight="1"/>
    <row r="5803" ht="15.75" hidden="1" customHeight="1"/>
    <row r="5804" ht="15.75" hidden="1" customHeight="1"/>
    <row r="5805" ht="15.75" hidden="1" customHeight="1"/>
    <row r="5806" ht="15.75" hidden="1" customHeight="1"/>
    <row r="5807" ht="15.75" hidden="1" customHeight="1"/>
    <row r="5808" ht="15.75" hidden="1" customHeight="1"/>
    <row r="5809" ht="15.75" hidden="1" customHeight="1"/>
    <row r="5810" ht="15.75" hidden="1" customHeight="1"/>
    <row r="5811" ht="15.75" hidden="1" customHeight="1"/>
    <row r="5812" ht="15.75" hidden="1" customHeight="1"/>
    <row r="5813" ht="15.75" hidden="1" customHeight="1"/>
    <row r="5814" ht="15.75" hidden="1" customHeight="1"/>
    <row r="5815" ht="15.75" hidden="1" customHeight="1"/>
    <row r="5816" ht="15.75" hidden="1" customHeight="1"/>
    <row r="5817" ht="15.75" hidden="1" customHeight="1"/>
    <row r="5818" ht="15.75" hidden="1" customHeight="1"/>
    <row r="5819" ht="15.75" hidden="1" customHeight="1"/>
    <row r="5820" ht="15.75" hidden="1" customHeight="1"/>
    <row r="5821" ht="15.75" hidden="1" customHeight="1"/>
    <row r="5822" ht="15.75" hidden="1" customHeight="1"/>
    <row r="5823" ht="15.75" hidden="1" customHeight="1"/>
    <row r="5824" ht="15.75" hidden="1" customHeight="1"/>
    <row r="5825" ht="15.75" hidden="1" customHeight="1"/>
    <row r="5826" ht="15.75" hidden="1" customHeight="1"/>
    <row r="5827" ht="15.75" hidden="1" customHeight="1"/>
    <row r="5828" ht="15.75" hidden="1" customHeight="1"/>
    <row r="5829" ht="15.75" hidden="1" customHeight="1"/>
    <row r="5830" ht="15.75" hidden="1" customHeight="1"/>
    <row r="5831" ht="15.75" hidden="1" customHeight="1"/>
    <row r="5832" ht="15.75" hidden="1" customHeight="1"/>
    <row r="5833" ht="15.75" hidden="1" customHeight="1"/>
    <row r="5834" ht="15.75" hidden="1" customHeight="1"/>
    <row r="5835" ht="15.75" hidden="1" customHeight="1"/>
    <row r="5836" ht="15.75" hidden="1" customHeight="1"/>
    <row r="5837" ht="15.75" hidden="1" customHeight="1"/>
    <row r="5838" ht="15.75" hidden="1" customHeight="1"/>
    <row r="5839" ht="15.75" hidden="1" customHeight="1"/>
    <row r="5840" ht="15.75" hidden="1" customHeight="1"/>
    <row r="5841" ht="15.75" hidden="1" customHeight="1"/>
    <row r="5842" ht="15.75" hidden="1" customHeight="1"/>
    <row r="5843" ht="15.75" hidden="1" customHeight="1"/>
    <row r="5844" ht="15.75" hidden="1" customHeight="1"/>
    <row r="5845" ht="15.75" hidden="1" customHeight="1"/>
    <row r="5846" ht="15.75" hidden="1" customHeight="1"/>
    <row r="5847" ht="15.75" hidden="1" customHeight="1"/>
    <row r="5848" ht="15.75" hidden="1" customHeight="1"/>
    <row r="5849" ht="15.75" hidden="1" customHeight="1"/>
    <row r="5850" ht="15.75" hidden="1" customHeight="1"/>
    <row r="5851" ht="15.75" hidden="1" customHeight="1"/>
    <row r="5852" ht="15.75" hidden="1" customHeight="1"/>
    <row r="5853" ht="15.75" hidden="1" customHeight="1"/>
    <row r="5854" ht="15.75" hidden="1" customHeight="1"/>
    <row r="5855" ht="15.75" hidden="1" customHeight="1"/>
    <row r="5856" ht="15.75" hidden="1" customHeight="1"/>
    <row r="5857" ht="15.75" hidden="1" customHeight="1"/>
    <row r="5858" ht="15.75" hidden="1" customHeight="1"/>
    <row r="5859" ht="15.75" hidden="1" customHeight="1"/>
    <row r="5860" ht="15.75" hidden="1" customHeight="1"/>
    <row r="5861" ht="15.75" hidden="1" customHeight="1"/>
    <row r="5862" ht="15.75" hidden="1" customHeight="1"/>
    <row r="5863" ht="15.75" hidden="1" customHeight="1"/>
    <row r="5864" ht="15.75" hidden="1" customHeight="1"/>
    <row r="5865" ht="15.75" hidden="1" customHeight="1"/>
    <row r="5866" ht="15.75" hidden="1" customHeight="1"/>
    <row r="5867" ht="15.75" hidden="1" customHeight="1"/>
    <row r="5868" ht="15.75" hidden="1" customHeight="1"/>
    <row r="5869" ht="15.75" hidden="1" customHeight="1"/>
    <row r="5870" ht="15.75" hidden="1" customHeight="1"/>
    <row r="5871" ht="15.75" hidden="1" customHeight="1"/>
    <row r="5872" ht="15.75" hidden="1" customHeight="1"/>
    <row r="5873" ht="15.75" hidden="1" customHeight="1"/>
    <row r="5874" ht="15.75" hidden="1" customHeight="1"/>
    <row r="5875" ht="15.75" hidden="1" customHeight="1"/>
    <row r="5876" ht="15.75" hidden="1" customHeight="1"/>
    <row r="5877" ht="15.75" hidden="1" customHeight="1"/>
    <row r="5878" ht="15.75" hidden="1" customHeight="1"/>
    <row r="5879" ht="15.75" hidden="1" customHeight="1"/>
    <row r="5880" ht="15.75" hidden="1" customHeight="1"/>
    <row r="5881" ht="15.75" hidden="1" customHeight="1"/>
    <row r="5882" ht="15.75" hidden="1" customHeight="1"/>
    <row r="5883" ht="15.75" hidden="1" customHeight="1"/>
    <row r="5884" ht="15.75" hidden="1" customHeight="1"/>
    <row r="5885" ht="15.75" hidden="1" customHeight="1"/>
    <row r="5886" ht="15.75" hidden="1" customHeight="1"/>
    <row r="5887" ht="15.75" hidden="1" customHeight="1"/>
    <row r="5888" ht="15.75" hidden="1" customHeight="1"/>
    <row r="5889" ht="15.75" hidden="1" customHeight="1"/>
    <row r="5890" ht="15.75" hidden="1" customHeight="1"/>
    <row r="5891" ht="15.75" hidden="1" customHeight="1"/>
    <row r="5892" ht="15.75" hidden="1" customHeight="1"/>
    <row r="5893" ht="15.75" hidden="1" customHeight="1"/>
    <row r="5894" ht="15.75" hidden="1" customHeight="1"/>
    <row r="5895" ht="15.75" hidden="1" customHeight="1"/>
    <row r="5896" ht="15.75" hidden="1" customHeight="1"/>
    <row r="5897" ht="15.75" hidden="1" customHeight="1"/>
    <row r="5898" ht="15.75" hidden="1" customHeight="1"/>
    <row r="5899" ht="15.75" hidden="1" customHeight="1"/>
    <row r="5900" ht="15.75" hidden="1" customHeight="1"/>
    <row r="5901" ht="15.75" hidden="1" customHeight="1"/>
    <row r="5902" ht="15.75" hidden="1" customHeight="1"/>
    <row r="5903" ht="15.75" hidden="1" customHeight="1"/>
    <row r="5904" ht="15.75" hidden="1" customHeight="1"/>
    <row r="5905" ht="15.75" hidden="1" customHeight="1"/>
    <row r="5906" ht="15.75" hidden="1" customHeight="1"/>
    <row r="5907" ht="15.75" hidden="1" customHeight="1"/>
    <row r="5908" ht="15.75" hidden="1" customHeight="1"/>
    <row r="5909" ht="15.75" hidden="1" customHeight="1"/>
    <row r="5910" ht="15.75" hidden="1" customHeight="1"/>
    <row r="5911" ht="15.75" hidden="1" customHeight="1"/>
    <row r="5912" ht="15.75" hidden="1" customHeight="1"/>
    <row r="5913" ht="15.75" hidden="1" customHeight="1"/>
    <row r="5914" ht="15.75" hidden="1" customHeight="1"/>
    <row r="5915" ht="15.75" hidden="1" customHeight="1"/>
    <row r="5916" ht="15.75" hidden="1" customHeight="1"/>
    <row r="5917" ht="15.75" hidden="1" customHeight="1"/>
    <row r="5918" ht="15.75" hidden="1" customHeight="1"/>
    <row r="5919" ht="15.75" hidden="1" customHeight="1"/>
    <row r="5920" ht="15.75" hidden="1" customHeight="1"/>
    <row r="5921" ht="15.75" hidden="1" customHeight="1"/>
    <row r="5922" ht="15.75" hidden="1" customHeight="1"/>
    <row r="5923" ht="15.75" hidden="1" customHeight="1"/>
    <row r="5924" ht="15.75" hidden="1" customHeight="1"/>
    <row r="5925" ht="15.75" hidden="1" customHeight="1"/>
    <row r="5926" ht="15.75" hidden="1" customHeight="1"/>
    <row r="5927" ht="15.75" hidden="1" customHeight="1"/>
    <row r="5928" ht="15.75" hidden="1" customHeight="1"/>
    <row r="5929" ht="15.75" hidden="1" customHeight="1"/>
    <row r="5930" ht="15.75" hidden="1" customHeight="1"/>
    <row r="5931" ht="15.75" hidden="1" customHeight="1"/>
    <row r="5932" ht="15.75" hidden="1" customHeight="1"/>
    <row r="5933" ht="15.75" hidden="1" customHeight="1"/>
    <row r="5934" ht="15.75" hidden="1" customHeight="1"/>
    <row r="5935" ht="15.75" hidden="1" customHeight="1"/>
    <row r="5936" ht="15.75" hidden="1" customHeight="1"/>
    <row r="5937" ht="15.75" hidden="1" customHeight="1"/>
    <row r="5938" ht="15.75" hidden="1" customHeight="1"/>
    <row r="5939" ht="15.75" hidden="1" customHeight="1"/>
    <row r="5940" ht="15.75" hidden="1" customHeight="1"/>
    <row r="5941" ht="15.75" hidden="1" customHeight="1"/>
    <row r="5942" ht="15.75" hidden="1" customHeight="1"/>
    <row r="5943" ht="15.75" hidden="1" customHeight="1"/>
    <row r="5944" ht="15.75" hidden="1" customHeight="1"/>
    <row r="5945" ht="15.75" hidden="1" customHeight="1"/>
    <row r="5946" ht="15.75" hidden="1" customHeight="1"/>
    <row r="5947" ht="15.75" hidden="1" customHeight="1"/>
    <row r="5948" ht="15.75" hidden="1" customHeight="1"/>
    <row r="5949" ht="15.75" hidden="1" customHeight="1"/>
    <row r="5950" ht="15.75" hidden="1" customHeight="1"/>
    <row r="5951" ht="15.75" hidden="1" customHeight="1"/>
    <row r="5952" ht="15.75" hidden="1" customHeight="1"/>
    <row r="5953" ht="15.75" hidden="1" customHeight="1"/>
    <row r="5954" ht="15.75" hidden="1" customHeight="1"/>
    <row r="5955" ht="15.75" hidden="1" customHeight="1"/>
    <row r="5956" ht="15.75" hidden="1" customHeight="1"/>
    <row r="5957" ht="15.75" hidden="1" customHeight="1"/>
    <row r="5958" ht="15.75" hidden="1" customHeight="1"/>
    <row r="5959" ht="15.75" hidden="1" customHeight="1"/>
    <row r="5960" ht="15.75" hidden="1" customHeight="1"/>
    <row r="5961" ht="15.75" hidden="1" customHeight="1"/>
    <row r="5962" ht="15.75" hidden="1" customHeight="1"/>
    <row r="5963" ht="15.75" hidden="1" customHeight="1"/>
    <row r="5964" ht="15.75" hidden="1" customHeight="1"/>
    <row r="5965" ht="15.75" hidden="1" customHeight="1"/>
    <row r="5966" ht="15.75" hidden="1" customHeight="1"/>
    <row r="5967" ht="15.75" hidden="1" customHeight="1"/>
    <row r="5968" ht="15.75" hidden="1" customHeight="1"/>
    <row r="5969" ht="15.75" hidden="1" customHeight="1"/>
    <row r="5970" ht="15.75" hidden="1" customHeight="1"/>
    <row r="5971" ht="15.75" hidden="1" customHeight="1"/>
    <row r="5972" ht="15.75" hidden="1" customHeight="1"/>
    <row r="5973" ht="15.75" hidden="1" customHeight="1"/>
    <row r="5974" ht="15.75" hidden="1" customHeight="1"/>
    <row r="5975" ht="15.75" hidden="1" customHeight="1"/>
    <row r="5976" ht="15.75" hidden="1" customHeight="1"/>
    <row r="5977" ht="15.75" hidden="1" customHeight="1"/>
    <row r="5978" ht="15.75" hidden="1" customHeight="1"/>
    <row r="5979" ht="15.75" hidden="1" customHeight="1"/>
    <row r="5980" ht="15.75" hidden="1" customHeight="1"/>
    <row r="5981" ht="15.75" hidden="1" customHeight="1"/>
    <row r="5982" ht="15.75" hidden="1" customHeight="1"/>
    <row r="5983" ht="15.75" hidden="1" customHeight="1"/>
    <row r="5984" ht="15.75" hidden="1" customHeight="1"/>
    <row r="5985" ht="15.75" hidden="1" customHeight="1"/>
    <row r="5986" ht="15.75" hidden="1" customHeight="1"/>
    <row r="5987" ht="15.75" hidden="1" customHeight="1"/>
    <row r="5988" ht="15.75" hidden="1" customHeight="1"/>
    <row r="5989" ht="15.75" hidden="1" customHeight="1"/>
    <row r="5990" ht="15.75" hidden="1" customHeight="1"/>
    <row r="5991" ht="15.75" hidden="1" customHeight="1"/>
    <row r="5992" ht="15.75" hidden="1" customHeight="1"/>
    <row r="5993" ht="15.75" hidden="1" customHeight="1"/>
    <row r="5994" ht="15.75" hidden="1" customHeight="1"/>
    <row r="5995" ht="15.75" hidden="1" customHeight="1"/>
    <row r="5996" ht="15.75" hidden="1" customHeight="1"/>
    <row r="5997" ht="15.75" hidden="1" customHeight="1"/>
    <row r="5998" ht="15.75" hidden="1" customHeight="1"/>
    <row r="5999" ht="15.75" hidden="1" customHeight="1"/>
    <row r="6000" ht="15.75" hidden="1" customHeight="1"/>
    <row r="6001" ht="15.75" hidden="1" customHeight="1"/>
    <row r="6002" ht="15.75" hidden="1" customHeight="1"/>
    <row r="6003" ht="15.75" hidden="1" customHeight="1"/>
    <row r="6004" ht="15.75" hidden="1" customHeight="1"/>
    <row r="6005" ht="15.75" hidden="1" customHeight="1"/>
    <row r="6006" ht="15.75" hidden="1" customHeight="1"/>
    <row r="6007" ht="15.75" hidden="1" customHeight="1"/>
    <row r="6008" ht="15.75" hidden="1" customHeight="1"/>
    <row r="6009" ht="15.75" hidden="1" customHeight="1"/>
    <row r="6010" ht="15.75" hidden="1" customHeight="1"/>
    <row r="6011" ht="15.75" hidden="1" customHeight="1"/>
    <row r="6012" ht="15.75" hidden="1" customHeight="1"/>
    <row r="6013" ht="15.75" hidden="1" customHeight="1"/>
    <row r="6014" ht="15.75" hidden="1" customHeight="1"/>
    <row r="6015" ht="15.75" hidden="1" customHeight="1"/>
    <row r="6016" ht="15.75" hidden="1" customHeight="1"/>
    <row r="6017" ht="15.75" hidden="1" customHeight="1"/>
    <row r="6018" ht="15.75" hidden="1" customHeight="1"/>
    <row r="6019" ht="15.75" hidden="1" customHeight="1"/>
    <row r="6020" ht="15.75" hidden="1" customHeight="1"/>
    <row r="6021" ht="15.75" hidden="1" customHeight="1"/>
    <row r="6022" ht="15.75" hidden="1" customHeight="1"/>
    <row r="6023" ht="15.75" hidden="1" customHeight="1"/>
    <row r="6024" ht="15.75" hidden="1" customHeight="1"/>
    <row r="6025" ht="15.75" hidden="1" customHeight="1"/>
    <row r="6026" ht="15.75" hidden="1" customHeight="1"/>
    <row r="6027" ht="15.75" hidden="1" customHeight="1"/>
    <row r="6028" ht="15.75" hidden="1" customHeight="1"/>
    <row r="6029" ht="15.75" hidden="1" customHeight="1"/>
    <row r="6030" ht="15.75" hidden="1" customHeight="1"/>
    <row r="6031" ht="15.75" hidden="1" customHeight="1"/>
    <row r="6032" ht="15.75" hidden="1" customHeight="1"/>
    <row r="6033" ht="15.75" hidden="1" customHeight="1"/>
    <row r="6034" ht="15.75" hidden="1" customHeight="1"/>
    <row r="6035" ht="15.75" hidden="1" customHeight="1"/>
    <row r="6036" ht="15.75" hidden="1" customHeight="1"/>
    <row r="6037" ht="15.75" hidden="1" customHeight="1"/>
    <row r="6038" ht="15.75" hidden="1" customHeight="1"/>
    <row r="6039" ht="15.75" hidden="1" customHeight="1"/>
    <row r="6040" ht="15.75" hidden="1" customHeight="1"/>
    <row r="6041" ht="15.75" hidden="1" customHeight="1"/>
    <row r="6042" ht="15.75" hidden="1" customHeight="1"/>
    <row r="6043" ht="15.75" hidden="1" customHeight="1"/>
    <row r="6044" ht="15.75" hidden="1" customHeight="1"/>
    <row r="6045" ht="15.75" hidden="1" customHeight="1"/>
    <row r="6046" ht="15.75" hidden="1" customHeight="1"/>
    <row r="6047" ht="15.75" hidden="1" customHeight="1"/>
    <row r="6048" ht="15.75" hidden="1" customHeight="1"/>
    <row r="6049" ht="15.75" hidden="1" customHeight="1"/>
    <row r="6050" ht="15.75" hidden="1" customHeight="1"/>
    <row r="6051" ht="15.75" hidden="1" customHeight="1"/>
    <row r="6052" ht="15.75" hidden="1" customHeight="1"/>
    <row r="6053" ht="15.75" hidden="1" customHeight="1"/>
    <row r="6054" ht="15.75" hidden="1" customHeight="1"/>
    <row r="6055" ht="15.75" hidden="1" customHeight="1"/>
    <row r="6056" ht="15.75" hidden="1" customHeight="1"/>
    <row r="6057" ht="15.75" hidden="1" customHeight="1"/>
    <row r="6058" ht="15.75" hidden="1" customHeight="1"/>
    <row r="6059" ht="15.75" hidden="1" customHeight="1"/>
    <row r="6060" ht="15.75" hidden="1" customHeight="1"/>
    <row r="6061" ht="15.75" hidden="1" customHeight="1"/>
    <row r="6062" ht="15.75" hidden="1" customHeight="1"/>
    <row r="6063" ht="15.75" hidden="1" customHeight="1"/>
    <row r="6064" ht="15.75" hidden="1" customHeight="1"/>
    <row r="6065" ht="15.75" hidden="1" customHeight="1"/>
    <row r="6066" ht="15.75" hidden="1" customHeight="1"/>
    <row r="6067" ht="15.75" hidden="1" customHeight="1"/>
    <row r="6068" ht="15.75" hidden="1" customHeight="1"/>
    <row r="6069" ht="15.75" hidden="1" customHeight="1"/>
    <row r="6070" ht="15.75" hidden="1" customHeight="1"/>
    <row r="6071" ht="15.75" hidden="1" customHeight="1"/>
    <row r="6072" ht="15.75" hidden="1" customHeight="1"/>
    <row r="6073" ht="15.75" hidden="1" customHeight="1"/>
    <row r="6074" ht="15.75" hidden="1" customHeight="1"/>
    <row r="6075" ht="15.75" hidden="1" customHeight="1"/>
    <row r="6076" ht="15.75" hidden="1" customHeight="1"/>
    <row r="6077" ht="15.75" hidden="1" customHeight="1"/>
    <row r="6078" ht="15.75" hidden="1" customHeight="1"/>
    <row r="6079" ht="15.75" hidden="1" customHeight="1"/>
    <row r="6080" ht="15.75" hidden="1" customHeight="1"/>
    <row r="6081" ht="15.75" hidden="1" customHeight="1"/>
    <row r="6082" ht="15.75" hidden="1" customHeight="1"/>
    <row r="6083" ht="15.75" hidden="1" customHeight="1"/>
    <row r="6084" ht="15.75" hidden="1" customHeight="1"/>
    <row r="6085" ht="15.75" hidden="1" customHeight="1"/>
    <row r="6086" ht="15.75" hidden="1" customHeight="1"/>
    <row r="6087" ht="15.75" hidden="1" customHeight="1"/>
    <row r="6088" ht="15.75" hidden="1" customHeight="1"/>
    <row r="6089" ht="15.75" hidden="1" customHeight="1"/>
    <row r="6090" ht="15.75" hidden="1" customHeight="1"/>
    <row r="6091" ht="15.75" hidden="1" customHeight="1"/>
    <row r="6092" ht="15.75" hidden="1" customHeight="1"/>
    <row r="6093" ht="15.75" hidden="1" customHeight="1"/>
    <row r="6094" ht="15.75" hidden="1" customHeight="1"/>
    <row r="6095" ht="15.75" hidden="1" customHeight="1"/>
    <row r="6096" ht="15.75" hidden="1" customHeight="1"/>
    <row r="6097" ht="15.75" hidden="1" customHeight="1"/>
    <row r="6098" ht="15.75" hidden="1" customHeight="1"/>
    <row r="6099" ht="15.75" hidden="1" customHeight="1"/>
    <row r="6100" ht="15.75" hidden="1" customHeight="1"/>
    <row r="6101" ht="15.75" hidden="1" customHeight="1"/>
    <row r="6102" ht="15.75" hidden="1" customHeight="1"/>
    <row r="6103" ht="15.75" hidden="1" customHeight="1"/>
    <row r="6104" ht="15.75" hidden="1" customHeight="1"/>
    <row r="6105" ht="15.75" hidden="1" customHeight="1"/>
    <row r="6106" ht="15.75" hidden="1" customHeight="1"/>
    <row r="6107" ht="15.75" hidden="1" customHeight="1"/>
    <row r="6108" ht="15.75" hidden="1" customHeight="1"/>
    <row r="6109" ht="15.75" hidden="1" customHeight="1"/>
    <row r="6110" ht="15.75" hidden="1" customHeight="1"/>
    <row r="6111" ht="15.75" hidden="1" customHeight="1"/>
    <row r="6112" ht="15.75" hidden="1" customHeight="1"/>
    <row r="6113" ht="15.75" hidden="1" customHeight="1"/>
    <row r="6114" ht="15.75" hidden="1" customHeight="1"/>
    <row r="6115" ht="15.75" hidden="1" customHeight="1"/>
    <row r="6116" ht="15.75" hidden="1" customHeight="1"/>
    <row r="6117" ht="15.75" hidden="1" customHeight="1"/>
    <row r="6118" ht="15.75" hidden="1" customHeight="1"/>
    <row r="6119" ht="15.75" hidden="1" customHeight="1"/>
    <row r="6120" ht="15.75" hidden="1" customHeight="1"/>
    <row r="6121" ht="15.75" hidden="1" customHeight="1"/>
    <row r="6122" ht="15.75" hidden="1" customHeight="1"/>
    <row r="6123" ht="15.75" hidden="1" customHeight="1"/>
    <row r="6124" ht="15.75" hidden="1" customHeight="1"/>
    <row r="6125" ht="15.75" hidden="1" customHeight="1"/>
    <row r="6126" ht="15.75" hidden="1" customHeight="1"/>
    <row r="6127" ht="15.75" hidden="1" customHeight="1"/>
    <row r="6128" ht="15.75" hidden="1" customHeight="1"/>
    <row r="6129" ht="15.75" hidden="1" customHeight="1"/>
    <row r="6130" ht="15.75" hidden="1" customHeight="1"/>
    <row r="6131" ht="15.75" hidden="1" customHeight="1"/>
    <row r="6132" ht="15.75" hidden="1" customHeight="1"/>
    <row r="6133" ht="15.75" hidden="1" customHeight="1"/>
    <row r="6134" ht="15.75" hidden="1" customHeight="1"/>
    <row r="6135" ht="15.75" hidden="1" customHeight="1"/>
    <row r="6136" ht="15.75" hidden="1" customHeight="1"/>
    <row r="6137" ht="15.75" hidden="1" customHeight="1"/>
    <row r="6138" ht="15.75" hidden="1" customHeight="1"/>
    <row r="6139" ht="15.75" hidden="1" customHeight="1"/>
    <row r="6140" ht="15.75" hidden="1" customHeight="1"/>
    <row r="6141" ht="15.75" hidden="1" customHeight="1"/>
    <row r="6142" ht="15.75" hidden="1" customHeight="1"/>
    <row r="6143" ht="15.75" hidden="1" customHeight="1"/>
    <row r="6144" ht="15.75" hidden="1" customHeight="1"/>
    <row r="6145" ht="15.75" hidden="1" customHeight="1"/>
    <row r="6146" ht="15.75" hidden="1" customHeight="1"/>
    <row r="6147" ht="15.75" hidden="1" customHeight="1"/>
    <row r="6148" ht="15.75" hidden="1" customHeight="1"/>
    <row r="6149" ht="15.75" hidden="1" customHeight="1"/>
    <row r="6150" ht="15.75" hidden="1" customHeight="1"/>
    <row r="6151" ht="15.75" hidden="1" customHeight="1"/>
    <row r="6152" ht="15.75" hidden="1" customHeight="1"/>
    <row r="6153" ht="15.75" hidden="1" customHeight="1"/>
    <row r="6154" ht="15.75" hidden="1" customHeight="1"/>
    <row r="6155" ht="15.75" hidden="1" customHeight="1"/>
    <row r="6156" ht="15.75" hidden="1" customHeight="1"/>
    <row r="6157" ht="15.75" hidden="1" customHeight="1"/>
    <row r="6158" ht="15.75" hidden="1" customHeight="1"/>
    <row r="6159" ht="15.75" hidden="1" customHeight="1"/>
    <row r="6160" ht="15.75" hidden="1" customHeight="1"/>
    <row r="6161" ht="15.75" hidden="1" customHeight="1"/>
    <row r="6162" ht="15.75" hidden="1" customHeight="1"/>
    <row r="6163" ht="15.75" hidden="1" customHeight="1"/>
    <row r="6164" ht="15.75" hidden="1" customHeight="1"/>
    <row r="6165" ht="15.75" hidden="1" customHeight="1"/>
    <row r="6166" ht="15.75" hidden="1" customHeight="1"/>
    <row r="6167" ht="15.75" hidden="1" customHeight="1"/>
    <row r="6168" ht="15.75" hidden="1" customHeight="1"/>
    <row r="6169" ht="15.75" hidden="1" customHeight="1"/>
    <row r="6170" ht="15.75" hidden="1" customHeight="1"/>
    <row r="6171" ht="15.75" hidden="1" customHeight="1"/>
    <row r="6172" ht="15.75" hidden="1" customHeight="1"/>
    <row r="6173" ht="15.75" hidden="1" customHeight="1"/>
    <row r="6174" ht="15.75" hidden="1" customHeight="1"/>
    <row r="6175" ht="15.75" hidden="1" customHeight="1"/>
    <row r="6176" ht="15.75" hidden="1" customHeight="1"/>
    <row r="6177" ht="15.75" hidden="1" customHeight="1"/>
    <row r="6178" ht="15.75" hidden="1" customHeight="1"/>
    <row r="6179" ht="15.75" hidden="1" customHeight="1"/>
    <row r="6180" ht="15.75" hidden="1" customHeight="1"/>
    <row r="6181" ht="15.75" hidden="1" customHeight="1"/>
    <row r="6182" ht="15.75" hidden="1" customHeight="1"/>
    <row r="6183" ht="15.75" hidden="1" customHeight="1"/>
    <row r="6184" ht="15.75" hidden="1" customHeight="1"/>
    <row r="6185" ht="15.75" hidden="1" customHeight="1"/>
    <row r="6186" ht="15.75" hidden="1" customHeight="1"/>
    <row r="6187" ht="15.75" hidden="1" customHeight="1"/>
    <row r="6188" ht="15.75" hidden="1" customHeight="1"/>
    <row r="6189" ht="15.75" hidden="1" customHeight="1"/>
    <row r="6190" ht="15.75" hidden="1" customHeight="1"/>
    <row r="6191" ht="15.75" hidden="1" customHeight="1"/>
    <row r="6192" ht="15.75" hidden="1" customHeight="1"/>
    <row r="6193" ht="15.75" hidden="1" customHeight="1"/>
    <row r="6194" ht="15.75" hidden="1" customHeight="1"/>
    <row r="6195" ht="15.75" hidden="1" customHeight="1"/>
    <row r="6196" ht="15.75" hidden="1" customHeight="1"/>
    <row r="6197" ht="15.75" hidden="1" customHeight="1"/>
    <row r="6198" ht="15.75" hidden="1" customHeight="1"/>
    <row r="6199" ht="15.75" hidden="1" customHeight="1"/>
    <row r="6200" ht="15.75" hidden="1" customHeight="1"/>
    <row r="6201" ht="15.75" hidden="1" customHeight="1"/>
    <row r="6202" ht="15.75" hidden="1" customHeight="1"/>
    <row r="6203" ht="15.75" hidden="1" customHeight="1"/>
    <row r="6204" ht="15.75" hidden="1" customHeight="1"/>
    <row r="6205" ht="15.75" hidden="1" customHeight="1"/>
    <row r="6206" ht="15.75" hidden="1" customHeight="1"/>
    <row r="6207" ht="15.75" hidden="1" customHeight="1"/>
    <row r="6208" ht="15.75" hidden="1" customHeight="1"/>
    <row r="6209" ht="15.75" hidden="1" customHeight="1"/>
    <row r="6210" ht="15.75" hidden="1" customHeight="1"/>
    <row r="6211" ht="15.75" hidden="1" customHeight="1"/>
    <row r="6212" ht="15.75" hidden="1" customHeight="1"/>
    <row r="6213" ht="15.75" hidden="1" customHeight="1"/>
    <row r="6214" ht="15.75" hidden="1" customHeight="1"/>
    <row r="6215" ht="15.75" hidden="1" customHeight="1"/>
    <row r="6216" ht="15.75" hidden="1" customHeight="1"/>
    <row r="6217" ht="15.75" hidden="1" customHeight="1"/>
    <row r="6218" ht="15.75" hidden="1" customHeight="1"/>
    <row r="6219" ht="15.75" hidden="1" customHeight="1"/>
    <row r="6220" ht="15.75" hidden="1" customHeight="1"/>
    <row r="6221" ht="15.75" hidden="1" customHeight="1"/>
    <row r="6222" ht="15.75" hidden="1" customHeight="1"/>
    <row r="6223" ht="15.75" hidden="1" customHeight="1"/>
    <row r="6224" ht="15.75" hidden="1" customHeight="1"/>
    <row r="6225" ht="15.75" hidden="1" customHeight="1"/>
    <row r="6226" ht="15.75" hidden="1" customHeight="1"/>
    <row r="6227" ht="15.75" hidden="1" customHeight="1"/>
    <row r="6228" ht="15.75" hidden="1" customHeight="1"/>
    <row r="6229" ht="15.75" hidden="1" customHeight="1"/>
    <row r="6230" ht="15.75" hidden="1" customHeight="1"/>
    <row r="6231" ht="15.75" hidden="1" customHeight="1"/>
    <row r="6232" ht="15.75" hidden="1" customHeight="1"/>
    <row r="6233" ht="15.75" hidden="1" customHeight="1"/>
    <row r="6234" ht="15.75" hidden="1" customHeight="1"/>
    <row r="6235" ht="15.75" hidden="1" customHeight="1"/>
    <row r="6236" ht="15.75" hidden="1" customHeight="1"/>
    <row r="6237" ht="15.75" hidden="1" customHeight="1"/>
    <row r="6238" ht="15.75" hidden="1" customHeight="1"/>
    <row r="6239" ht="15.75" hidden="1" customHeight="1"/>
    <row r="6240" ht="15.75" hidden="1" customHeight="1"/>
    <row r="6241" ht="15.75" hidden="1" customHeight="1"/>
    <row r="6242" ht="15.75" hidden="1" customHeight="1"/>
    <row r="6243" ht="15.75" hidden="1" customHeight="1"/>
    <row r="6244" ht="15.75" hidden="1" customHeight="1"/>
    <row r="6245" ht="15.75" hidden="1" customHeight="1"/>
    <row r="6246" ht="15.75" hidden="1" customHeight="1"/>
    <row r="6247" ht="15.75" hidden="1" customHeight="1"/>
    <row r="6248" ht="15.75" hidden="1" customHeight="1"/>
    <row r="6249" ht="15.75" hidden="1" customHeight="1"/>
    <row r="6250" ht="15.75" hidden="1" customHeight="1"/>
    <row r="6251" ht="15.75" hidden="1" customHeight="1"/>
    <row r="6252" ht="15.75" hidden="1" customHeight="1"/>
    <row r="6253" ht="15.75" hidden="1" customHeight="1"/>
    <row r="6254" ht="15.75" hidden="1" customHeight="1"/>
    <row r="6255" ht="15.75" hidden="1" customHeight="1"/>
    <row r="6256" ht="15.75" hidden="1" customHeight="1"/>
    <row r="6257" ht="15.75" hidden="1" customHeight="1"/>
    <row r="6258" ht="15.75" hidden="1" customHeight="1"/>
    <row r="6259" ht="15.75" hidden="1" customHeight="1"/>
    <row r="6260" ht="15.75" hidden="1" customHeight="1"/>
    <row r="6261" ht="15.75" hidden="1" customHeight="1"/>
    <row r="6262" ht="15.75" hidden="1" customHeight="1"/>
    <row r="6263" ht="15.75" hidden="1" customHeight="1"/>
    <row r="6264" ht="15.75" hidden="1" customHeight="1"/>
    <row r="6265" ht="15.75" hidden="1" customHeight="1"/>
    <row r="6266" ht="15.75" hidden="1" customHeight="1"/>
    <row r="6267" ht="15.75" hidden="1" customHeight="1"/>
    <row r="6268" ht="15.75" hidden="1" customHeight="1"/>
    <row r="6269" ht="15.75" hidden="1" customHeight="1"/>
    <row r="6270" ht="15.75" hidden="1" customHeight="1"/>
    <row r="6271" ht="15.75" hidden="1" customHeight="1"/>
    <row r="6272" ht="15.75" hidden="1" customHeight="1"/>
    <row r="6273" ht="15.75" hidden="1" customHeight="1"/>
    <row r="6274" ht="15.75" hidden="1" customHeight="1"/>
    <row r="6275" ht="15.75" hidden="1" customHeight="1"/>
    <row r="6276" ht="15.75" hidden="1" customHeight="1"/>
    <row r="6277" ht="15.75" hidden="1" customHeight="1"/>
    <row r="6278" ht="15.75" hidden="1" customHeight="1"/>
    <row r="6279" ht="15.75" hidden="1" customHeight="1"/>
    <row r="6280" ht="15.75" hidden="1" customHeight="1"/>
    <row r="6281" ht="15.75" hidden="1" customHeight="1"/>
    <row r="6282" ht="15.75" hidden="1" customHeight="1"/>
    <row r="6283" ht="15.75" hidden="1" customHeight="1"/>
    <row r="6284" ht="15.75" hidden="1" customHeight="1"/>
    <row r="6285" ht="15.75" hidden="1" customHeight="1"/>
    <row r="6286" ht="15.75" hidden="1" customHeight="1"/>
    <row r="6287" ht="15.75" hidden="1" customHeight="1"/>
    <row r="6288" ht="15.75" hidden="1" customHeight="1"/>
    <row r="6289" ht="15.75" hidden="1" customHeight="1"/>
    <row r="6290" ht="15.75" hidden="1" customHeight="1"/>
    <row r="6291" ht="15.75" hidden="1" customHeight="1"/>
    <row r="6292" ht="15.75" hidden="1" customHeight="1"/>
    <row r="6293" ht="15.75" hidden="1" customHeight="1"/>
    <row r="6294" ht="15.75" hidden="1" customHeight="1"/>
    <row r="6295" ht="15.75" hidden="1" customHeight="1"/>
    <row r="6296" ht="15.75" hidden="1" customHeight="1"/>
    <row r="6297" ht="15.75" hidden="1" customHeight="1"/>
    <row r="6298" ht="15.75" hidden="1" customHeight="1"/>
    <row r="6299" ht="15.75" hidden="1" customHeight="1"/>
    <row r="6300" ht="15.75" hidden="1" customHeight="1"/>
    <row r="6301" ht="15.75" hidden="1" customHeight="1"/>
    <row r="6302" ht="15.75" hidden="1" customHeight="1"/>
    <row r="6303" ht="15.75" hidden="1" customHeight="1"/>
    <row r="6304" ht="15.75" hidden="1" customHeight="1"/>
    <row r="6305" ht="15.75" hidden="1" customHeight="1"/>
    <row r="6306" ht="15.75" hidden="1" customHeight="1"/>
    <row r="6307" ht="15.75" hidden="1" customHeight="1"/>
    <row r="6308" ht="15.75" hidden="1" customHeight="1"/>
    <row r="6309" ht="15.75" hidden="1" customHeight="1"/>
    <row r="6310" ht="15.75" hidden="1" customHeight="1"/>
    <row r="6311" ht="15.75" hidden="1" customHeight="1"/>
    <row r="6312" ht="15.75" hidden="1" customHeight="1"/>
    <row r="6313" ht="15.75" hidden="1" customHeight="1"/>
    <row r="6314" ht="15.75" hidden="1" customHeight="1"/>
    <row r="6315" ht="15.75" hidden="1" customHeight="1"/>
    <row r="6316" ht="15.75" hidden="1" customHeight="1"/>
    <row r="6317" ht="15.75" hidden="1" customHeight="1"/>
    <row r="6318" ht="15.75" hidden="1" customHeight="1"/>
    <row r="6319" ht="15.75" hidden="1" customHeight="1"/>
    <row r="6320" ht="15.75" hidden="1" customHeight="1"/>
    <row r="6321" ht="15.75" hidden="1" customHeight="1"/>
    <row r="6322" ht="15.75" hidden="1" customHeight="1"/>
    <row r="6323" ht="15.75" hidden="1" customHeight="1"/>
    <row r="6324" ht="15.75" hidden="1" customHeight="1"/>
    <row r="6325" ht="15.75" hidden="1" customHeight="1"/>
    <row r="6326" ht="15.75" hidden="1" customHeight="1"/>
    <row r="6327" ht="15.75" hidden="1" customHeight="1"/>
    <row r="6328" ht="15.75" hidden="1" customHeight="1"/>
    <row r="6329" ht="15.75" hidden="1" customHeight="1"/>
    <row r="6330" ht="15.75" hidden="1" customHeight="1"/>
    <row r="6331" ht="15.75" hidden="1" customHeight="1"/>
    <row r="6332" ht="15.75" hidden="1" customHeight="1"/>
    <row r="6333" ht="15.75" hidden="1" customHeight="1"/>
    <row r="6334" ht="15.75" hidden="1" customHeight="1"/>
    <row r="6335" ht="15.75" hidden="1" customHeight="1"/>
    <row r="6336" ht="15.75" hidden="1" customHeight="1"/>
    <row r="6337" ht="15.75" hidden="1" customHeight="1"/>
    <row r="6338" ht="15.75" hidden="1" customHeight="1"/>
    <row r="6339" ht="15.75" hidden="1" customHeight="1"/>
    <row r="6340" ht="15.75" hidden="1" customHeight="1"/>
    <row r="6341" ht="15.75" hidden="1" customHeight="1"/>
    <row r="6342" ht="15.75" hidden="1" customHeight="1"/>
    <row r="6343" ht="15.75" hidden="1" customHeight="1"/>
    <row r="6344" ht="15.75" hidden="1" customHeight="1"/>
    <row r="6345" ht="15.75" hidden="1" customHeight="1"/>
    <row r="6346" ht="15.75" hidden="1" customHeight="1"/>
    <row r="6347" ht="15.75" hidden="1" customHeight="1"/>
    <row r="6348" ht="15.75" hidden="1" customHeight="1"/>
    <row r="6349" ht="15.75" hidden="1" customHeight="1"/>
    <row r="6350" ht="15.75" hidden="1" customHeight="1"/>
    <row r="6351" ht="15.75" hidden="1" customHeight="1"/>
    <row r="6352" ht="15.75" hidden="1" customHeight="1"/>
    <row r="6353" ht="15.75" hidden="1" customHeight="1"/>
    <row r="6354" ht="15.75" hidden="1" customHeight="1"/>
    <row r="6355" ht="15.75" hidden="1" customHeight="1"/>
    <row r="6356" ht="15.75" hidden="1" customHeight="1"/>
    <row r="6357" ht="15.75" hidden="1" customHeight="1"/>
    <row r="6358" ht="15.75" hidden="1" customHeight="1"/>
    <row r="6359" ht="15.75" hidden="1" customHeight="1"/>
    <row r="6360" ht="15.75" hidden="1" customHeight="1"/>
    <row r="6361" ht="15.75" hidden="1" customHeight="1"/>
    <row r="6362" ht="15.75" hidden="1" customHeight="1"/>
    <row r="6363" ht="15.75" hidden="1" customHeight="1"/>
    <row r="6364" ht="15.75" hidden="1" customHeight="1"/>
    <row r="6365" ht="15.75" hidden="1" customHeight="1"/>
    <row r="6366" ht="15.75" hidden="1" customHeight="1"/>
    <row r="6367" ht="15.75" hidden="1" customHeight="1"/>
    <row r="6368" ht="15.75" hidden="1" customHeight="1"/>
    <row r="6369" ht="15.75" hidden="1" customHeight="1"/>
    <row r="6370" ht="15.75" hidden="1" customHeight="1"/>
    <row r="6371" ht="15.75" hidden="1" customHeight="1"/>
    <row r="6372" ht="15.75" hidden="1" customHeight="1"/>
    <row r="6373" ht="15.75" hidden="1" customHeight="1"/>
    <row r="6374" ht="15.75" hidden="1" customHeight="1"/>
    <row r="6375" ht="15.75" hidden="1" customHeight="1"/>
    <row r="6376" ht="15.75" hidden="1" customHeight="1"/>
    <row r="6377" ht="15.75" hidden="1" customHeight="1"/>
    <row r="6378" ht="15.75" hidden="1" customHeight="1"/>
    <row r="6379" ht="15.75" hidden="1" customHeight="1"/>
    <row r="6380" ht="15.75" hidden="1" customHeight="1"/>
    <row r="6381" ht="15.75" hidden="1" customHeight="1"/>
    <row r="6382" ht="15.75" hidden="1" customHeight="1"/>
    <row r="6383" ht="15.75" hidden="1" customHeight="1"/>
    <row r="6384" ht="15.75" hidden="1" customHeight="1"/>
    <row r="6385" ht="15.75" hidden="1" customHeight="1"/>
    <row r="6386" ht="15.75" hidden="1" customHeight="1"/>
    <row r="6387" ht="15.75" hidden="1" customHeight="1"/>
    <row r="6388" ht="15.75" hidden="1" customHeight="1"/>
    <row r="6389" ht="15.75" hidden="1" customHeight="1"/>
    <row r="6390" ht="15.75" hidden="1" customHeight="1"/>
    <row r="6391" ht="15.75" hidden="1" customHeight="1"/>
    <row r="6392" ht="15.75" hidden="1" customHeight="1"/>
    <row r="6393" ht="15.75" hidden="1" customHeight="1"/>
    <row r="6394" ht="15.75" hidden="1" customHeight="1"/>
    <row r="6395" ht="15.75" hidden="1" customHeight="1"/>
    <row r="6396" ht="15.75" hidden="1" customHeight="1"/>
    <row r="6397" ht="15.75" hidden="1" customHeight="1"/>
    <row r="6398" ht="15.75" hidden="1" customHeight="1"/>
    <row r="6399" ht="15.75" hidden="1" customHeight="1"/>
    <row r="6400" ht="15.75" hidden="1" customHeight="1"/>
    <row r="6401" ht="15.75" hidden="1" customHeight="1"/>
    <row r="6402" ht="15.75" hidden="1" customHeight="1"/>
    <row r="6403" ht="15.75" hidden="1" customHeight="1"/>
    <row r="6404" ht="15.75" hidden="1" customHeight="1"/>
    <row r="6405" ht="15.75" hidden="1" customHeight="1"/>
    <row r="6406" ht="15.75" hidden="1" customHeight="1"/>
    <row r="6407" ht="15.75" hidden="1" customHeight="1"/>
    <row r="6408" ht="15.75" hidden="1" customHeight="1"/>
    <row r="6409" ht="15.75" hidden="1" customHeight="1"/>
    <row r="6410" ht="15.75" hidden="1" customHeight="1"/>
    <row r="6411" ht="15.75" hidden="1" customHeight="1"/>
    <row r="6412" ht="15.75" hidden="1" customHeight="1"/>
    <row r="6413" ht="15.75" hidden="1" customHeight="1"/>
    <row r="6414" ht="15.75" hidden="1" customHeight="1"/>
    <row r="6415" ht="15.75" hidden="1" customHeight="1"/>
    <row r="6416" ht="15.75" hidden="1" customHeight="1"/>
    <row r="6417" ht="15.75" hidden="1" customHeight="1"/>
    <row r="6418" ht="15.75" hidden="1" customHeight="1"/>
    <row r="6419" ht="15.75" hidden="1" customHeight="1"/>
    <row r="6420" ht="15.75" hidden="1" customHeight="1"/>
    <row r="6421" ht="15.75" hidden="1" customHeight="1"/>
    <row r="6422" ht="15.75" hidden="1" customHeight="1"/>
    <row r="6423" ht="15.75" hidden="1" customHeight="1"/>
    <row r="6424" ht="15.75" hidden="1" customHeight="1"/>
    <row r="6425" ht="15.75" hidden="1" customHeight="1"/>
    <row r="6426" ht="15.75" hidden="1" customHeight="1"/>
    <row r="6427" ht="15.75" hidden="1" customHeight="1"/>
    <row r="6428" ht="15.75" hidden="1" customHeight="1"/>
    <row r="6429" ht="15.75" hidden="1" customHeight="1"/>
    <row r="6430" ht="15.75" hidden="1" customHeight="1"/>
    <row r="6431" ht="15.75" hidden="1" customHeight="1"/>
    <row r="6432" ht="15.75" hidden="1" customHeight="1"/>
    <row r="6433" ht="15.75" hidden="1" customHeight="1"/>
    <row r="6434" ht="15.75" hidden="1" customHeight="1"/>
    <row r="6435" ht="15.75" hidden="1" customHeight="1"/>
    <row r="6436" ht="15.75" hidden="1" customHeight="1"/>
    <row r="6437" ht="15.75" hidden="1" customHeight="1"/>
    <row r="6438" ht="15.75" hidden="1" customHeight="1"/>
    <row r="6439" ht="15.75" hidden="1" customHeight="1"/>
    <row r="6440" ht="15.75" hidden="1" customHeight="1"/>
    <row r="6441" ht="15.75" hidden="1" customHeight="1"/>
    <row r="6442" ht="15.75" hidden="1" customHeight="1"/>
    <row r="6443" ht="15.75" hidden="1" customHeight="1"/>
    <row r="6444" ht="15.75" hidden="1" customHeight="1"/>
    <row r="6445" ht="15.75" hidden="1" customHeight="1"/>
    <row r="6446" ht="15.75" hidden="1" customHeight="1"/>
    <row r="6447" ht="15.75" hidden="1" customHeight="1"/>
    <row r="6448" ht="15.75" hidden="1" customHeight="1"/>
    <row r="6449" ht="15.75" hidden="1" customHeight="1"/>
    <row r="6450" ht="15.75" hidden="1" customHeight="1"/>
    <row r="6451" ht="15.75" hidden="1" customHeight="1"/>
    <row r="6452" ht="15.75" hidden="1" customHeight="1"/>
    <row r="6453" ht="15.75" hidden="1" customHeight="1"/>
    <row r="6454" ht="15.75" hidden="1" customHeight="1"/>
    <row r="6455" ht="15.75" hidden="1" customHeight="1"/>
    <row r="6456" ht="15.75" hidden="1" customHeight="1"/>
    <row r="6457" ht="15.75" hidden="1" customHeight="1"/>
    <row r="6458" ht="15.75" hidden="1" customHeight="1"/>
    <row r="6459" ht="15.75" hidden="1" customHeight="1"/>
    <row r="6460" ht="15.75" hidden="1" customHeight="1"/>
    <row r="6461" ht="15.75" hidden="1" customHeight="1"/>
    <row r="6462" ht="15.75" hidden="1" customHeight="1"/>
    <row r="6463" ht="15.75" hidden="1" customHeight="1"/>
    <row r="6464" ht="15.75" hidden="1" customHeight="1"/>
    <row r="6465" ht="15.75" hidden="1" customHeight="1"/>
    <row r="6466" ht="15.75" hidden="1" customHeight="1"/>
    <row r="6467" ht="15.75" hidden="1" customHeight="1"/>
    <row r="6468" ht="15.75" hidden="1" customHeight="1"/>
    <row r="6469" ht="15.75" hidden="1" customHeight="1"/>
    <row r="6470" ht="15.75" hidden="1" customHeight="1"/>
    <row r="6471" ht="15.75" hidden="1" customHeight="1"/>
    <row r="6472" ht="15.75" hidden="1" customHeight="1"/>
    <row r="6473" ht="15.75" hidden="1" customHeight="1"/>
    <row r="6474" ht="15.75" hidden="1" customHeight="1"/>
    <row r="6475" ht="15.75" hidden="1" customHeight="1"/>
    <row r="6476" ht="15.75" hidden="1" customHeight="1"/>
    <row r="6477" ht="15.75" hidden="1" customHeight="1"/>
    <row r="6478" ht="15.75" hidden="1" customHeight="1"/>
    <row r="6479" ht="15.75" hidden="1" customHeight="1"/>
    <row r="6480" ht="15.75" hidden="1" customHeight="1"/>
    <row r="6481" ht="15.75" hidden="1" customHeight="1"/>
    <row r="6482" ht="15.75" hidden="1" customHeight="1"/>
    <row r="6483" ht="15.75" hidden="1" customHeight="1"/>
    <row r="6484" ht="15.75" hidden="1" customHeight="1"/>
    <row r="6485" ht="15.75" hidden="1" customHeight="1"/>
    <row r="6486" ht="15.75" hidden="1" customHeight="1"/>
    <row r="6487" ht="15.75" hidden="1" customHeight="1"/>
    <row r="6488" ht="15.75" hidden="1" customHeight="1"/>
    <row r="6489" ht="15.75" hidden="1" customHeight="1"/>
    <row r="6490" ht="15.75" hidden="1" customHeight="1"/>
    <row r="6491" ht="15.75" hidden="1" customHeight="1"/>
    <row r="6492" ht="15.75" hidden="1" customHeight="1"/>
    <row r="6493" ht="15.75" hidden="1" customHeight="1"/>
    <row r="6494" ht="15.75" hidden="1" customHeight="1"/>
    <row r="6495" ht="15.75" hidden="1" customHeight="1"/>
    <row r="6496" ht="15.75" hidden="1" customHeight="1"/>
    <row r="6497" ht="15.75" hidden="1" customHeight="1"/>
    <row r="6498" ht="15.75" hidden="1" customHeight="1"/>
    <row r="6499" ht="15.75" hidden="1" customHeight="1"/>
    <row r="6500" ht="15.75" hidden="1" customHeight="1"/>
    <row r="6501" ht="15.75" hidden="1" customHeight="1"/>
    <row r="6502" ht="15.75" hidden="1" customHeight="1"/>
    <row r="6503" ht="15.75" hidden="1" customHeight="1"/>
    <row r="6504" ht="15.75" hidden="1" customHeight="1"/>
    <row r="6505" ht="15.75" hidden="1" customHeight="1"/>
    <row r="6506" ht="15.75" hidden="1" customHeight="1"/>
    <row r="6507" ht="15.75" hidden="1" customHeight="1"/>
    <row r="6508" ht="15.75" hidden="1" customHeight="1"/>
    <row r="6509" ht="15.75" hidden="1" customHeight="1"/>
    <row r="6510" ht="15.75" hidden="1" customHeight="1"/>
    <row r="6511" ht="15.75" hidden="1" customHeight="1"/>
    <row r="6512" ht="15.75" hidden="1" customHeight="1"/>
    <row r="6513" ht="15.75" hidden="1" customHeight="1"/>
    <row r="6514" ht="15.75" hidden="1" customHeight="1"/>
    <row r="6515" ht="15.75" hidden="1" customHeight="1"/>
    <row r="6516" ht="15.75" hidden="1" customHeight="1"/>
    <row r="6517" ht="15.75" hidden="1" customHeight="1"/>
    <row r="6518" ht="15.75" hidden="1" customHeight="1"/>
    <row r="6519" ht="15.75" hidden="1" customHeight="1"/>
    <row r="6520" ht="15.75" hidden="1" customHeight="1"/>
    <row r="6521" ht="15.75" hidden="1" customHeight="1"/>
    <row r="6522" ht="15.75" hidden="1" customHeight="1"/>
    <row r="6523" ht="15.75" hidden="1" customHeight="1"/>
    <row r="6524" ht="15.75" hidden="1" customHeight="1"/>
    <row r="6525" ht="15.75" hidden="1" customHeight="1"/>
    <row r="6526" ht="15.75" hidden="1" customHeight="1"/>
    <row r="6527" ht="15.75" hidden="1" customHeight="1"/>
    <row r="6528" ht="15.75" hidden="1" customHeight="1"/>
    <row r="6529" ht="15.75" hidden="1" customHeight="1"/>
    <row r="6530" ht="15.75" hidden="1" customHeight="1"/>
    <row r="6531" ht="15.75" hidden="1" customHeight="1"/>
    <row r="6532" ht="15.75" hidden="1" customHeight="1"/>
    <row r="6533" ht="15.75" hidden="1" customHeight="1"/>
    <row r="6534" ht="15.75" hidden="1" customHeight="1"/>
    <row r="6535" ht="15.75" hidden="1" customHeight="1"/>
    <row r="6536" ht="15.75" hidden="1" customHeight="1"/>
    <row r="6537" ht="15.75" hidden="1" customHeight="1"/>
    <row r="6538" ht="15.75" hidden="1" customHeight="1"/>
    <row r="6539" ht="15.75" hidden="1" customHeight="1"/>
    <row r="6540" ht="15.75" hidden="1" customHeight="1"/>
    <row r="6541" ht="15.75" hidden="1" customHeight="1"/>
    <row r="6542" ht="15.75" hidden="1" customHeight="1"/>
    <row r="6543" ht="15.75" hidden="1" customHeight="1"/>
    <row r="6544" ht="15.75" hidden="1" customHeight="1"/>
    <row r="6545" ht="15.75" hidden="1" customHeight="1"/>
    <row r="6546" ht="15.75" hidden="1" customHeight="1"/>
    <row r="6547" ht="15.75" hidden="1" customHeight="1"/>
    <row r="6548" ht="15.75" hidden="1" customHeight="1"/>
    <row r="6549" ht="15.75" hidden="1" customHeight="1"/>
    <row r="6550" ht="15.75" hidden="1" customHeight="1"/>
    <row r="6551" ht="15.75" hidden="1" customHeight="1"/>
    <row r="6552" ht="15.75" hidden="1" customHeight="1"/>
    <row r="6553" ht="15.75" hidden="1" customHeight="1"/>
    <row r="6554" ht="15.75" hidden="1" customHeight="1"/>
    <row r="6555" ht="15.75" hidden="1" customHeight="1"/>
    <row r="6556" ht="15.75" hidden="1" customHeight="1"/>
    <row r="6557" ht="15.75" hidden="1" customHeight="1"/>
    <row r="6558" ht="15.75" hidden="1" customHeight="1"/>
    <row r="6559" ht="15.75" hidden="1" customHeight="1"/>
    <row r="6560" ht="15.75" hidden="1" customHeight="1"/>
    <row r="6561" ht="15.75" hidden="1" customHeight="1"/>
    <row r="6562" ht="15.75" hidden="1" customHeight="1"/>
    <row r="6563" ht="15.75" hidden="1" customHeight="1"/>
    <row r="6564" ht="15.75" hidden="1" customHeight="1"/>
    <row r="6565" ht="15.75" hidden="1" customHeight="1"/>
    <row r="6566" ht="15.75" hidden="1" customHeight="1"/>
    <row r="6567" ht="15.75" hidden="1" customHeight="1"/>
    <row r="6568" ht="15.75" hidden="1" customHeight="1"/>
    <row r="6569" ht="15.75" hidden="1" customHeight="1"/>
    <row r="6570" ht="15.75" hidden="1" customHeight="1"/>
    <row r="6571" ht="15.75" hidden="1" customHeight="1"/>
    <row r="6572" ht="15.75" hidden="1" customHeight="1"/>
    <row r="6573" ht="15.75" hidden="1" customHeight="1"/>
    <row r="6574" ht="15.75" hidden="1" customHeight="1"/>
    <row r="6575" ht="15.75" hidden="1" customHeight="1"/>
    <row r="6576" ht="15.75" hidden="1" customHeight="1"/>
    <row r="6577" ht="15.75" hidden="1" customHeight="1"/>
    <row r="6578" ht="15.75" hidden="1" customHeight="1"/>
    <row r="6579" ht="15.75" hidden="1" customHeight="1"/>
    <row r="6580" ht="15.75" hidden="1" customHeight="1"/>
    <row r="6581" ht="15.75" hidden="1" customHeight="1"/>
    <row r="6582" ht="15.75" hidden="1" customHeight="1"/>
    <row r="6583" ht="15.75" hidden="1" customHeight="1"/>
    <row r="6584" ht="15.75" hidden="1" customHeight="1"/>
    <row r="6585" ht="15.75" hidden="1" customHeight="1"/>
    <row r="6586" ht="15.75" hidden="1" customHeight="1"/>
    <row r="6587" ht="15.75" hidden="1" customHeight="1"/>
    <row r="6588" ht="15.75" hidden="1" customHeight="1"/>
    <row r="6589" ht="15.75" hidden="1" customHeight="1"/>
    <row r="6590" ht="15.75" hidden="1" customHeight="1"/>
    <row r="6591" ht="15.75" hidden="1" customHeight="1"/>
    <row r="6592" ht="15.75" hidden="1" customHeight="1"/>
    <row r="6593" ht="15.75" hidden="1" customHeight="1"/>
    <row r="6594" ht="15.75" hidden="1" customHeight="1"/>
    <row r="6595" ht="15.75" hidden="1" customHeight="1"/>
    <row r="6596" ht="15.75" hidden="1" customHeight="1"/>
    <row r="6597" ht="15.75" hidden="1" customHeight="1"/>
    <row r="6598" ht="15.75" hidden="1" customHeight="1"/>
    <row r="6599" ht="15.75" hidden="1" customHeight="1"/>
    <row r="6600" ht="15.75" hidden="1" customHeight="1"/>
    <row r="6601" ht="15.75" hidden="1" customHeight="1"/>
    <row r="6602" ht="15.75" hidden="1" customHeight="1"/>
    <row r="6603" ht="15.75" hidden="1" customHeight="1"/>
    <row r="6604" ht="15.75" hidden="1" customHeight="1"/>
    <row r="6605" ht="15.75" hidden="1" customHeight="1"/>
    <row r="6606" ht="15.75" hidden="1" customHeight="1"/>
    <row r="6607" ht="15.75" hidden="1" customHeight="1"/>
    <row r="6608" ht="15.75" hidden="1" customHeight="1"/>
    <row r="6609" ht="15.75" hidden="1" customHeight="1"/>
    <row r="6610" ht="15.75" hidden="1" customHeight="1"/>
    <row r="6611" ht="15.75" hidden="1" customHeight="1"/>
    <row r="6612" ht="15.75" hidden="1" customHeight="1"/>
    <row r="6613" ht="15.75" hidden="1" customHeight="1"/>
    <row r="6614" ht="15.75" hidden="1" customHeight="1"/>
    <row r="6615" ht="15.75" hidden="1" customHeight="1"/>
    <row r="6616" ht="15.75" hidden="1" customHeight="1"/>
    <row r="6617" ht="15.75" hidden="1" customHeight="1"/>
    <row r="6618" ht="15.75" hidden="1" customHeight="1"/>
    <row r="6619" ht="15.75" hidden="1" customHeight="1"/>
    <row r="6620" ht="15.75" hidden="1" customHeight="1"/>
    <row r="6621" ht="15.75" hidden="1" customHeight="1"/>
    <row r="6622" ht="15.75" hidden="1" customHeight="1"/>
    <row r="6623" ht="15.75" hidden="1" customHeight="1"/>
    <row r="6624" ht="15.75" hidden="1" customHeight="1"/>
    <row r="6625" ht="15.75" hidden="1" customHeight="1"/>
    <row r="6626" ht="15.75" hidden="1" customHeight="1"/>
    <row r="6627" ht="15.75" hidden="1" customHeight="1"/>
    <row r="6628" ht="15.75" hidden="1" customHeight="1"/>
    <row r="6629" ht="15.75" hidden="1" customHeight="1"/>
    <row r="6630" ht="15.75" hidden="1" customHeight="1"/>
    <row r="6631" ht="15.75" hidden="1" customHeight="1"/>
    <row r="6632" ht="15.75" hidden="1" customHeight="1"/>
    <row r="6633" ht="15.75" hidden="1" customHeight="1"/>
    <row r="6634" ht="15.75" hidden="1" customHeight="1"/>
    <row r="6635" ht="15.75" hidden="1" customHeight="1"/>
    <row r="6636" ht="15.75" hidden="1" customHeight="1"/>
    <row r="6637" ht="15.75" hidden="1" customHeight="1"/>
    <row r="6638" ht="15.75" hidden="1" customHeight="1"/>
    <row r="6639" ht="15.75" hidden="1" customHeight="1"/>
    <row r="6640" ht="15.75" hidden="1" customHeight="1"/>
    <row r="6641" ht="15.75" hidden="1" customHeight="1"/>
    <row r="6642" ht="15.75" hidden="1" customHeight="1"/>
    <row r="6643" ht="15.75" hidden="1" customHeight="1"/>
    <row r="6644" ht="15.75" hidden="1" customHeight="1"/>
    <row r="6645" ht="15.75" hidden="1" customHeight="1"/>
    <row r="6646" ht="15.75" hidden="1" customHeight="1"/>
    <row r="6647" ht="15.75" hidden="1" customHeight="1"/>
    <row r="6648" ht="15.75" hidden="1" customHeight="1"/>
    <row r="6649" ht="15.75" hidden="1" customHeight="1"/>
    <row r="6650" ht="15.75" hidden="1" customHeight="1"/>
    <row r="6651" ht="15.75" hidden="1" customHeight="1"/>
    <row r="6652" ht="15.75" hidden="1" customHeight="1"/>
    <row r="6653" ht="15.75" hidden="1" customHeight="1"/>
    <row r="6654" ht="15.75" hidden="1" customHeight="1"/>
    <row r="6655" ht="15.75" hidden="1" customHeight="1"/>
    <row r="6656" ht="15.75" hidden="1" customHeight="1"/>
    <row r="6657" ht="15.75" hidden="1" customHeight="1"/>
    <row r="6658" ht="15.75" hidden="1" customHeight="1"/>
    <row r="6659" ht="15.75" hidden="1" customHeight="1"/>
    <row r="6660" ht="15.75" hidden="1" customHeight="1"/>
    <row r="6661" ht="15.75" hidden="1" customHeight="1"/>
    <row r="6662" ht="15.75" hidden="1" customHeight="1"/>
    <row r="6663" ht="15.75" hidden="1" customHeight="1"/>
    <row r="6664" ht="15.75" hidden="1" customHeight="1"/>
    <row r="6665" ht="15.75" hidden="1" customHeight="1"/>
    <row r="6666" ht="15.75" hidden="1" customHeight="1"/>
    <row r="6667" ht="15.75" hidden="1" customHeight="1"/>
    <row r="6668" ht="15.75" hidden="1" customHeight="1"/>
    <row r="6669" ht="15.75" hidden="1" customHeight="1"/>
    <row r="6670" ht="15.75" hidden="1" customHeight="1"/>
    <row r="6671" ht="15.75" hidden="1" customHeight="1"/>
    <row r="6672" ht="15.75" hidden="1" customHeight="1"/>
    <row r="6673" ht="15.75" hidden="1" customHeight="1"/>
    <row r="6674" ht="15.75" hidden="1" customHeight="1"/>
    <row r="6675" ht="15.75" hidden="1" customHeight="1"/>
    <row r="6676" ht="15.75" hidden="1" customHeight="1"/>
    <row r="6677" ht="15.75" hidden="1" customHeight="1"/>
    <row r="6678" ht="15.75" hidden="1" customHeight="1"/>
    <row r="6679" ht="15.75" hidden="1" customHeight="1"/>
    <row r="6680" ht="15.75" hidden="1" customHeight="1"/>
    <row r="6681" ht="15.75" hidden="1" customHeight="1"/>
    <row r="6682" ht="15.75" hidden="1" customHeight="1"/>
    <row r="6683" ht="15.75" hidden="1" customHeight="1"/>
    <row r="6684" ht="15.75" hidden="1" customHeight="1"/>
    <row r="6685" ht="15.75" hidden="1" customHeight="1"/>
    <row r="6686" ht="15.75" hidden="1" customHeight="1"/>
    <row r="6687" ht="15.75" hidden="1" customHeight="1"/>
    <row r="6688" ht="15.75" hidden="1" customHeight="1"/>
    <row r="6689" ht="15.75" hidden="1" customHeight="1"/>
    <row r="6690" ht="15.75" hidden="1" customHeight="1"/>
    <row r="6691" ht="15.75" hidden="1" customHeight="1"/>
    <row r="6692" ht="15.75" hidden="1" customHeight="1"/>
    <row r="6693" ht="15.75" hidden="1" customHeight="1"/>
    <row r="6694" ht="15.75" hidden="1" customHeight="1"/>
    <row r="6695" ht="15.75" hidden="1" customHeight="1"/>
    <row r="6696" ht="15.75" hidden="1" customHeight="1"/>
    <row r="6697" ht="15.75" hidden="1" customHeight="1"/>
    <row r="6698" ht="15.75" hidden="1" customHeight="1"/>
    <row r="6699" ht="15.75" hidden="1" customHeight="1"/>
    <row r="6700" ht="15.75" hidden="1" customHeight="1"/>
    <row r="6701" ht="15.75" hidden="1" customHeight="1"/>
    <row r="6702" ht="15.75" hidden="1" customHeight="1"/>
    <row r="6703" ht="15.75" hidden="1" customHeight="1"/>
    <row r="6704" ht="15.75" hidden="1" customHeight="1"/>
    <row r="6705" ht="15.75" hidden="1" customHeight="1"/>
    <row r="6706" ht="15.75" hidden="1" customHeight="1"/>
    <row r="6707" ht="15.75" hidden="1" customHeight="1"/>
    <row r="6708" ht="15.75" hidden="1" customHeight="1"/>
    <row r="6709" ht="15.75" hidden="1" customHeight="1"/>
    <row r="6710" ht="15.75" hidden="1" customHeight="1"/>
    <row r="6711" ht="15.75" hidden="1" customHeight="1"/>
    <row r="6712" ht="15.75" hidden="1" customHeight="1"/>
    <row r="6713" ht="15.75" hidden="1" customHeight="1"/>
    <row r="6714" ht="15.75" hidden="1" customHeight="1"/>
    <row r="6715" ht="15.75" hidden="1" customHeight="1"/>
    <row r="6716" ht="15.75" hidden="1" customHeight="1"/>
    <row r="6717" ht="15.75" hidden="1" customHeight="1"/>
    <row r="6718" ht="15.75" hidden="1" customHeight="1"/>
    <row r="6719" ht="15.75" hidden="1" customHeight="1"/>
    <row r="6720" ht="15.75" hidden="1" customHeight="1"/>
    <row r="6721" ht="15.75" hidden="1" customHeight="1"/>
    <row r="6722" ht="15.75" hidden="1" customHeight="1"/>
    <row r="6723" ht="15.75" hidden="1" customHeight="1"/>
    <row r="6724" ht="15.75" hidden="1" customHeight="1"/>
    <row r="6725" ht="15.75" hidden="1" customHeight="1"/>
    <row r="6726" ht="15.75" hidden="1" customHeight="1"/>
    <row r="6727" ht="15.75" hidden="1" customHeight="1"/>
    <row r="6728" ht="15.75" hidden="1" customHeight="1"/>
    <row r="6729" ht="15.75" hidden="1" customHeight="1"/>
    <row r="6730" ht="15.75" hidden="1" customHeight="1"/>
    <row r="6731" ht="15.75" hidden="1" customHeight="1"/>
    <row r="6732" ht="15.75" hidden="1" customHeight="1"/>
    <row r="6733" ht="15.75" hidden="1" customHeight="1"/>
    <row r="6734" ht="15.75" hidden="1" customHeight="1"/>
    <row r="6735" ht="15.75" hidden="1" customHeight="1"/>
    <row r="6736" ht="15.75" hidden="1" customHeight="1"/>
    <row r="6737" ht="15.75" hidden="1" customHeight="1"/>
    <row r="6738" ht="15.75" hidden="1" customHeight="1"/>
    <row r="6739" ht="15.75" hidden="1" customHeight="1"/>
    <row r="6740" ht="15.75" hidden="1" customHeight="1"/>
    <row r="6741" ht="15.75" hidden="1" customHeight="1"/>
    <row r="6742" ht="15.75" hidden="1" customHeight="1"/>
    <row r="6743" ht="15.75" hidden="1" customHeight="1"/>
    <row r="6744" ht="15.75" hidden="1" customHeight="1"/>
    <row r="6745" ht="15.75" hidden="1" customHeight="1"/>
    <row r="6746" ht="15.75" hidden="1" customHeight="1"/>
    <row r="6747" ht="15.75" hidden="1" customHeight="1"/>
    <row r="6748" ht="15.75" hidden="1" customHeight="1"/>
    <row r="6749" ht="15.75" hidden="1" customHeight="1"/>
    <row r="6750" ht="15.75" hidden="1" customHeight="1"/>
    <row r="6751" ht="15.75" hidden="1" customHeight="1"/>
    <row r="6752" ht="15.75" hidden="1" customHeight="1"/>
    <row r="6753" ht="15.75" hidden="1" customHeight="1"/>
    <row r="6754" ht="15.75" hidden="1" customHeight="1"/>
    <row r="6755" ht="15.75" hidden="1" customHeight="1"/>
    <row r="6756" ht="15.75" hidden="1" customHeight="1"/>
    <row r="6757" ht="15.75" hidden="1" customHeight="1"/>
    <row r="6758" ht="15.75" hidden="1" customHeight="1"/>
    <row r="6759" ht="15.75" hidden="1" customHeight="1"/>
    <row r="6760" ht="15.75" hidden="1" customHeight="1"/>
    <row r="6761" ht="15.75" hidden="1" customHeight="1"/>
    <row r="6762" ht="15.75" hidden="1" customHeight="1"/>
    <row r="6763" ht="15.75" hidden="1" customHeight="1"/>
    <row r="6764" ht="15.75" hidden="1" customHeight="1"/>
    <row r="6765" ht="15.75" hidden="1" customHeight="1"/>
    <row r="6766" ht="15.75" hidden="1" customHeight="1"/>
    <row r="6767" ht="15.75" hidden="1" customHeight="1"/>
    <row r="6768" ht="15.75" hidden="1" customHeight="1"/>
    <row r="6769" ht="15.75" hidden="1" customHeight="1"/>
    <row r="6770" ht="15.75" hidden="1" customHeight="1"/>
    <row r="6771" ht="15.75" hidden="1" customHeight="1"/>
    <row r="6772" ht="15.75" hidden="1" customHeight="1"/>
    <row r="6773" ht="15.75" hidden="1" customHeight="1"/>
    <row r="6774" ht="15.75" hidden="1" customHeight="1"/>
    <row r="6775" ht="15.75" hidden="1" customHeight="1"/>
    <row r="6776" ht="15.75" hidden="1" customHeight="1"/>
    <row r="6777" ht="15.75" hidden="1" customHeight="1"/>
    <row r="6778" ht="15.75" hidden="1" customHeight="1"/>
    <row r="6779" ht="15.75" hidden="1" customHeight="1"/>
    <row r="6780" ht="15.75" hidden="1" customHeight="1"/>
    <row r="6781" ht="15.75" hidden="1" customHeight="1"/>
    <row r="6782" ht="15.75" hidden="1" customHeight="1"/>
    <row r="6783" ht="15.75" hidden="1" customHeight="1"/>
    <row r="6784" ht="15.75" hidden="1" customHeight="1"/>
    <row r="6785" ht="15.75" hidden="1" customHeight="1"/>
    <row r="6786" ht="15.75" hidden="1" customHeight="1"/>
    <row r="6787" ht="15.75" hidden="1" customHeight="1"/>
    <row r="6788" ht="15.75" hidden="1" customHeight="1"/>
    <row r="6789" ht="15.75" hidden="1" customHeight="1"/>
    <row r="6790" ht="15.75" hidden="1" customHeight="1"/>
    <row r="6791" ht="15.75" hidden="1" customHeight="1"/>
    <row r="6792" ht="15.75" hidden="1" customHeight="1"/>
    <row r="6793" ht="15.75" hidden="1" customHeight="1"/>
    <row r="6794" ht="15.75" hidden="1" customHeight="1"/>
    <row r="6795" ht="15.75" hidden="1" customHeight="1"/>
    <row r="6796" ht="15.75" hidden="1" customHeight="1"/>
    <row r="6797" ht="15.75" hidden="1" customHeight="1"/>
    <row r="6798" ht="15.75" hidden="1" customHeight="1"/>
    <row r="6799" ht="15.75" hidden="1" customHeight="1"/>
    <row r="6800" ht="15.75" hidden="1" customHeight="1"/>
    <row r="6801" ht="15.75" hidden="1" customHeight="1"/>
    <row r="6802" ht="15.75" hidden="1" customHeight="1"/>
    <row r="6803" ht="15.75" hidden="1" customHeight="1"/>
    <row r="6804" ht="15.75" hidden="1" customHeight="1"/>
    <row r="6805" ht="15.75" hidden="1" customHeight="1"/>
    <row r="6806" ht="15.75" hidden="1" customHeight="1"/>
    <row r="6807" ht="15.75" hidden="1" customHeight="1"/>
    <row r="6808" ht="15.75" hidden="1" customHeight="1"/>
    <row r="6809" ht="15.75" hidden="1" customHeight="1"/>
    <row r="6810" ht="15.75" hidden="1" customHeight="1"/>
    <row r="6811" ht="15.75" hidden="1" customHeight="1"/>
    <row r="6812" ht="15.75" hidden="1" customHeight="1"/>
    <row r="6813" ht="15.75" hidden="1" customHeight="1"/>
    <row r="6814" ht="15.75" hidden="1" customHeight="1"/>
    <row r="6815" ht="15.75" hidden="1" customHeight="1"/>
    <row r="6816" ht="15.75" hidden="1" customHeight="1"/>
    <row r="6817" ht="15.75" hidden="1" customHeight="1"/>
    <row r="6818" ht="15.75" hidden="1" customHeight="1"/>
    <row r="6819" ht="15.75" hidden="1" customHeight="1"/>
    <row r="6820" ht="15.75" hidden="1" customHeight="1"/>
    <row r="6821" ht="15.75" hidden="1" customHeight="1"/>
    <row r="6822" ht="15.75" hidden="1" customHeight="1"/>
    <row r="6823" ht="15.75" hidden="1" customHeight="1"/>
    <row r="6824" ht="15.75" hidden="1" customHeight="1"/>
    <row r="6825" ht="15.75" hidden="1" customHeight="1"/>
    <row r="6826" ht="15.75" hidden="1" customHeight="1"/>
    <row r="6827" ht="15.75" hidden="1" customHeight="1"/>
    <row r="6828" ht="15.75" hidden="1" customHeight="1"/>
    <row r="6829" ht="15.75" hidden="1" customHeight="1"/>
    <row r="6830" ht="15.75" hidden="1" customHeight="1"/>
    <row r="6831" ht="15.75" hidden="1" customHeight="1"/>
    <row r="6832" ht="15.75" hidden="1" customHeight="1"/>
    <row r="6833" ht="15.75" hidden="1" customHeight="1"/>
    <row r="6834" ht="15.75" hidden="1" customHeight="1"/>
    <row r="6835" ht="15.75" hidden="1" customHeight="1"/>
    <row r="6836" ht="15.75" hidden="1" customHeight="1"/>
    <row r="6837" ht="15.75" hidden="1" customHeight="1"/>
    <row r="6838" ht="15.75" hidden="1" customHeight="1"/>
    <row r="6839" ht="15.75" hidden="1" customHeight="1"/>
    <row r="6840" ht="15.75" hidden="1" customHeight="1"/>
    <row r="6841" ht="15.75" hidden="1" customHeight="1"/>
    <row r="6842" ht="15.75" hidden="1" customHeight="1"/>
    <row r="6843" ht="15.75" hidden="1" customHeight="1"/>
    <row r="6844" ht="15.75" hidden="1" customHeight="1"/>
    <row r="6845" ht="15.75" hidden="1" customHeight="1"/>
    <row r="6846" ht="15.75" hidden="1" customHeight="1"/>
    <row r="6847" ht="15.75" hidden="1" customHeight="1"/>
    <row r="6848" ht="15.75" hidden="1" customHeight="1"/>
    <row r="6849" ht="15.75" hidden="1" customHeight="1"/>
    <row r="6850" ht="15.75" hidden="1" customHeight="1"/>
    <row r="6851" ht="15.75" hidden="1" customHeight="1"/>
    <row r="6852" ht="15.75" hidden="1" customHeight="1"/>
    <row r="6853" ht="15.75" hidden="1" customHeight="1"/>
    <row r="6854" ht="15.75" hidden="1" customHeight="1"/>
    <row r="6855" ht="15.75" hidden="1" customHeight="1"/>
    <row r="6856" ht="15.75" hidden="1" customHeight="1"/>
    <row r="6857" ht="15.75" hidden="1" customHeight="1"/>
    <row r="6858" ht="15.75" hidden="1" customHeight="1"/>
    <row r="6859" ht="15.75" hidden="1" customHeight="1"/>
    <row r="6860" ht="15.75" hidden="1" customHeight="1"/>
    <row r="6861" ht="15.75" hidden="1" customHeight="1"/>
    <row r="6862" ht="15.75" hidden="1" customHeight="1"/>
    <row r="6863" ht="15.75" hidden="1" customHeight="1"/>
    <row r="6864" ht="15.75" hidden="1" customHeight="1"/>
    <row r="6865" ht="15.75" hidden="1" customHeight="1"/>
    <row r="6866" ht="15.75" hidden="1" customHeight="1"/>
    <row r="6867" ht="15.75" hidden="1" customHeight="1"/>
    <row r="6868" ht="15.75" hidden="1" customHeight="1"/>
    <row r="6869" ht="15.75" hidden="1" customHeight="1"/>
    <row r="6870" ht="15.75" hidden="1" customHeight="1"/>
    <row r="6871" ht="15.75" hidden="1" customHeight="1"/>
    <row r="6872" ht="15.75" hidden="1" customHeight="1"/>
    <row r="6873" ht="15.75" hidden="1" customHeight="1"/>
    <row r="6874" ht="15.75" hidden="1" customHeight="1"/>
    <row r="6875" ht="15.75" hidden="1" customHeight="1"/>
    <row r="6876" ht="15.75" hidden="1" customHeight="1"/>
    <row r="6877" ht="15.75" hidden="1" customHeight="1"/>
    <row r="6878" ht="15.75" hidden="1" customHeight="1"/>
    <row r="6879" ht="15.75" hidden="1" customHeight="1"/>
    <row r="6880" ht="15.75" hidden="1" customHeight="1"/>
    <row r="6881" ht="15.75" hidden="1" customHeight="1"/>
    <row r="6882" ht="15.75" hidden="1" customHeight="1"/>
    <row r="6883" ht="15.75" hidden="1" customHeight="1"/>
    <row r="6884" ht="15.75" hidden="1" customHeight="1"/>
    <row r="6885" ht="15.75" hidden="1" customHeight="1"/>
    <row r="6886" ht="15.75" hidden="1" customHeight="1"/>
    <row r="6887" ht="15.75" hidden="1" customHeight="1"/>
    <row r="6888" ht="15.75" hidden="1" customHeight="1"/>
    <row r="6889" ht="15.75" hidden="1" customHeight="1"/>
    <row r="6890" ht="15.75" hidden="1" customHeight="1"/>
    <row r="6891" ht="15.75" hidden="1" customHeight="1"/>
    <row r="6892" ht="15.75" hidden="1" customHeight="1"/>
    <row r="6893" ht="15.75" hidden="1" customHeight="1"/>
    <row r="6894" ht="15.75" hidden="1" customHeight="1"/>
    <row r="6895" ht="15.75" hidden="1" customHeight="1"/>
    <row r="6896" ht="15.75" hidden="1" customHeight="1"/>
    <row r="6897" ht="15.75" hidden="1" customHeight="1"/>
    <row r="6898" ht="15.75" hidden="1" customHeight="1"/>
    <row r="6899" ht="15.75" hidden="1" customHeight="1"/>
    <row r="6900" ht="15.75" hidden="1" customHeight="1"/>
    <row r="6901" ht="15.75" hidden="1" customHeight="1"/>
    <row r="6902" ht="15.75" hidden="1" customHeight="1"/>
    <row r="6903" ht="15.75" hidden="1" customHeight="1"/>
    <row r="6904" ht="15.75" hidden="1" customHeight="1"/>
    <row r="6905" ht="15.75" hidden="1" customHeight="1"/>
    <row r="6906" ht="15.75" hidden="1" customHeight="1"/>
    <row r="6907" ht="15.75" hidden="1" customHeight="1"/>
    <row r="6908" ht="15.75" hidden="1" customHeight="1"/>
    <row r="6909" ht="15.75" hidden="1" customHeight="1"/>
    <row r="6910" ht="15.75" hidden="1" customHeight="1"/>
    <row r="6911" ht="15.75" hidden="1" customHeight="1"/>
    <row r="6912" ht="15.75" hidden="1" customHeight="1"/>
    <row r="6913" ht="15.75" hidden="1" customHeight="1"/>
    <row r="6914" ht="15.75" hidden="1" customHeight="1"/>
    <row r="6915" ht="15.75" hidden="1" customHeight="1"/>
    <row r="6916" ht="15.75" hidden="1" customHeight="1"/>
    <row r="6917" ht="15.75" hidden="1" customHeight="1"/>
    <row r="6918" ht="15.75" hidden="1" customHeight="1"/>
    <row r="6919" ht="15.75" hidden="1" customHeight="1"/>
    <row r="6920" ht="15.75" hidden="1" customHeight="1"/>
    <row r="6921" ht="15.75" hidden="1" customHeight="1"/>
    <row r="6922" ht="15.75" hidden="1" customHeight="1"/>
    <row r="6923" ht="15.75" hidden="1" customHeight="1"/>
    <row r="6924" ht="15.75" hidden="1" customHeight="1"/>
    <row r="6925" ht="15.75" hidden="1" customHeight="1"/>
    <row r="6926" ht="15.75" hidden="1" customHeight="1"/>
    <row r="6927" ht="15.75" hidden="1" customHeight="1"/>
    <row r="6928" ht="15.75" hidden="1" customHeight="1"/>
    <row r="6929" ht="15.75" hidden="1" customHeight="1"/>
    <row r="6930" ht="15.75" hidden="1" customHeight="1"/>
    <row r="6931" ht="15.75" hidden="1" customHeight="1"/>
    <row r="6932" ht="15.75" hidden="1" customHeight="1"/>
    <row r="6933" ht="15.75" hidden="1" customHeight="1"/>
    <row r="6934" ht="15.75" hidden="1" customHeight="1"/>
    <row r="6935" ht="15.75" hidden="1" customHeight="1"/>
    <row r="6936" ht="15.75" hidden="1" customHeight="1"/>
    <row r="6937" ht="15.75" hidden="1" customHeight="1"/>
    <row r="6938" ht="15.75" hidden="1" customHeight="1"/>
    <row r="6939" ht="15.75" hidden="1" customHeight="1"/>
    <row r="6940" ht="15.75" hidden="1" customHeight="1"/>
    <row r="6941" ht="15.75" hidden="1" customHeight="1"/>
    <row r="6942" ht="15.75" hidden="1" customHeight="1"/>
    <row r="6943" ht="15.75" hidden="1" customHeight="1"/>
    <row r="6944" ht="15.75" hidden="1" customHeight="1"/>
    <row r="6945" ht="15.75" hidden="1" customHeight="1"/>
    <row r="6946" ht="15.75" hidden="1" customHeight="1"/>
    <row r="6947" ht="15.75" hidden="1" customHeight="1"/>
    <row r="6948" ht="15.75" hidden="1" customHeight="1"/>
    <row r="6949" ht="15.75" hidden="1" customHeight="1"/>
    <row r="6950" ht="15.75" hidden="1" customHeight="1"/>
    <row r="6951" ht="15.75" hidden="1" customHeight="1"/>
    <row r="6952" ht="15.75" hidden="1" customHeight="1"/>
    <row r="6953" ht="15.75" hidden="1" customHeight="1"/>
    <row r="6954" ht="15.75" hidden="1" customHeight="1"/>
    <row r="6955" ht="15.75" hidden="1" customHeight="1"/>
    <row r="6956" ht="15.75" hidden="1" customHeight="1"/>
    <row r="6957" ht="15.75" hidden="1" customHeight="1"/>
    <row r="6958" ht="15.75" hidden="1" customHeight="1"/>
    <row r="6959" ht="15.75" hidden="1" customHeight="1"/>
    <row r="6960" ht="15.75" hidden="1" customHeight="1"/>
    <row r="6961" ht="15.75" hidden="1" customHeight="1"/>
    <row r="6962" ht="15.75" hidden="1" customHeight="1"/>
    <row r="6963" ht="15.75" hidden="1" customHeight="1"/>
    <row r="6964" ht="15.75" hidden="1" customHeight="1"/>
    <row r="6965" ht="15.75" hidden="1" customHeight="1"/>
    <row r="6966" ht="15.75" hidden="1" customHeight="1"/>
    <row r="6967" ht="15.75" hidden="1" customHeight="1"/>
    <row r="6968" ht="15.75" hidden="1" customHeight="1"/>
    <row r="6969" ht="15.75" hidden="1" customHeight="1"/>
    <row r="6970" ht="15.75" hidden="1" customHeight="1"/>
    <row r="6971" ht="15.75" hidden="1" customHeight="1"/>
    <row r="6972" ht="15.75" hidden="1" customHeight="1"/>
    <row r="6973" ht="15.75" hidden="1" customHeight="1"/>
    <row r="6974" ht="15.75" hidden="1" customHeight="1"/>
    <row r="6975" ht="15.75" hidden="1" customHeight="1"/>
    <row r="6976" ht="15.75" hidden="1" customHeight="1"/>
    <row r="6977" ht="15.75" hidden="1" customHeight="1"/>
    <row r="6978" ht="15.75" hidden="1" customHeight="1"/>
    <row r="6979" ht="15.75" hidden="1" customHeight="1"/>
    <row r="6980" ht="15.75" hidden="1" customHeight="1"/>
    <row r="6981" ht="15.75" hidden="1" customHeight="1"/>
    <row r="6982" ht="15.75" hidden="1" customHeight="1"/>
    <row r="6983" ht="15.75" hidden="1" customHeight="1"/>
    <row r="6984" ht="15.75" hidden="1" customHeight="1"/>
    <row r="6985" ht="15.75" hidden="1" customHeight="1"/>
    <row r="6986" ht="15.75" hidden="1" customHeight="1"/>
    <row r="6987" ht="15.75" hidden="1" customHeight="1"/>
    <row r="6988" ht="15.75" hidden="1" customHeight="1"/>
    <row r="6989" ht="15.75" hidden="1" customHeight="1"/>
    <row r="6990" ht="15.75" hidden="1" customHeight="1"/>
    <row r="6991" ht="15.75" hidden="1" customHeight="1"/>
    <row r="6992" ht="15.75" hidden="1" customHeight="1"/>
    <row r="6993" ht="15.75" hidden="1" customHeight="1"/>
    <row r="6994" ht="15.75" hidden="1" customHeight="1"/>
    <row r="6995" ht="15.75" hidden="1" customHeight="1"/>
    <row r="6996" ht="15.75" hidden="1" customHeight="1"/>
    <row r="6997" ht="15.75" hidden="1" customHeight="1"/>
    <row r="6998" ht="15.75" hidden="1" customHeight="1"/>
    <row r="6999" ht="15.75" hidden="1" customHeight="1"/>
    <row r="7000" ht="15.75" hidden="1" customHeight="1"/>
    <row r="7001" ht="15.75" hidden="1" customHeight="1"/>
    <row r="7002" ht="15.75" hidden="1" customHeight="1"/>
    <row r="7003" ht="15.75" hidden="1" customHeight="1"/>
    <row r="7004" ht="15.75" hidden="1" customHeight="1"/>
    <row r="7005" ht="15.75" hidden="1" customHeight="1"/>
    <row r="7006" ht="15.75" hidden="1" customHeight="1"/>
    <row r="7007" ht="15.75" hidden="1" customHeight="1"/>
    <row r="7008" ht="15.75" hidden="1" customHeight="1"/>
    <row r="7009" ht="15.75" hidden="1" customHeight="1"/>
    <row r="7010" ht="15.75" hidden="1" customHeight="1"/>
    <row r="7011" ht="15.75" hidden="1" customHeight="1"/>
    <row r="7012" ht="15.75" hidden="1" customHeight="1"/>
    <row r="7013" ht="15.75" hidden="1" customHeight="1"/>
    <row r="7014" ht="15.75" hidden="1" customHeight="1"/>
    <row r="7015" ht="15.75" hidden="1" customHeight="1"/>
    <row r="7016" ht="15.75" hidden="1" customHeight="1"/>
    <row r="7017" ht="15.75" hidden="1" customHeight="1"/>
    <row r="7018" ht="15.75" hidden="1" customHeight="1"/>
    <row r="7019" ht="15.75" hidden="1" customHeight="1"/>
    <row r="7020" ht="15.75" hidden="1" customHeight="1"/>
    <row r="7021" ht="15.75" hidden="1" customHeight="1"/>
    <row r="7022" ht="15.75" hidden="1" customHeight="1"/>
    <row r="7023" ht="15.75" hidden="1" customHeight="1"/>
    <row r="7024" ht="15.75" hidden="1" customHeight="1"/>
    <row r="7025" ht="15.75" hidden="1" customHeight="1"/>
    <row r="7026" ht="15.75" hidden="1" customHeight="1"/>
    <row r="7027" ht="15.75" hidden="1" customHeight="1"/>
    <row r="7028" ht="15.75" hidden="1" customHeight="1"/>
    <row r="7029" ht="15.75" hidden="1" customHeight="1"/>
    <row r="7030" ht="15.75" hidden="1" customHeight="1"/>
    <row r="7031" ht="15.75" hidden="1" customHeight="1"/>
    <row r="7032" ht="15.75" hidden="1" customHeight="1"/>
    <row r="7033" ht="15.75" hidden="1" customHeight="1"/>
    <row r="7034" ht="15.75" hidden="1" customHeight="1"/>
    <row r="7035" ht="15.75" hidden="1" customHeight="1"/>
    <row r="7036" ht="15.75" hidden="1" customHeight="1"/>
    <row r="7037" ht="15.75" hidden="1" customHeight="1"/>
    <row r="7038" ht="15.75" hidden="1" customHeight="1"/>
    <row r="7039" ht="15.75" hidden="1" customHeight="1"/>
    <row r="7040" ht="15.75" hidden="1" customHeight="1"/>
    <row r="7041" ht="15.75" hidden="1" customHeight="1"/>
    <row r="7042" ht="15.75" hidden="1" customHeight="1"/>
    <row r="7043" ht="15.75" hidden="1" customHeight="1"/>
    <row r="7044" ht="15.75" hidden="1" customHeight="1"/>
    <row r="7045" ht="15.75" hidden="1" customHeight="1"/>
    <row r="7046" ht="15.75" hidden="1" customHeight="1"/>
    <row r="7047" ht="15.75" hidden="1" customHeight="1"/>
    <row r="7048" ht="15.75" hidden="1" customHeight="1"/>
    <row r="7049" ht="15.75" hidden="1" customHeight="1"/>
    <row r="7050" ht="15.75" hidden="1" customHeight="1"/>
    <row r="7051" ht="15.75" hidden="1" customHeight="1"/>
    <row r="7052" ht="15.75" hidden="1" customHeight="1"/>
    <row r="7053" ht="15.75" hidden="1" customHeight="1"/>
    <row r="7054" ht="15.75" hidden="1" customHeight="1"/>
    <row r="7055" ht="15.75" hidden="1" customHeight="1"/>
    <row r="7056" ht="15.75" hidden="1" customHeight="1"/>
    <row r="7057" ht="15.75" hidden="1" customHeight="1"/>
    <row r="7058" ht="15.75" hidden="1" customHeight="1"/>
    <row r="7059" ht="15.75" hidden="1" customHeight="1"/>
    <row r="7060" ht="15.75" hidden="1" customHeight="1"/>
    <row r="7061" ht="15.75" hidden="1" customHeight="1"/>
    <row r="7062" ht="15.75" hidden="1" customHeight="1"/>
    <row r="7063" ht="15.75" hidden="1" customHeight="1"/>
    <row r="7064" ht="15.75" hidden="1" customHeight="1"/>
    <row r="7065" ht="15.75" hidden="1" customHeight="1"/>
    <row r="7066" ht="15.75" hidden="1" customHeight="1"/>
    <row r="7067" ht="15.75" hidden="1" customHeight="1"/>
    <row r="7068" ht="15.75" hidden="1" customHeight="1"/>
    <row r="7069" ht="15.75" hidden="1" customHeight="1"/>
    <row r="7070" ht="15.75" hidden="1" customHeight="1"/>
    <row r="7071" ht="15.75" hidden="1" customHeight="1"/>
    <row r="7072" ht="15.75" hidden="1" customHeight="1"/>
    <row r="7073" ht="15.75" hidden="1" customHeight="1"/>
    <row r="7074" ht="15.75" hidden="1" customHeight="1"/>
    <row r="7075" ht="15.75" hidden="1" customHeight="1"/>
    <row r="7076" ht="15.75" hidden="1" customHeight="1"/>
    <row r="7077" ht="15.75" hidden="1" customHeight="1"/>
    <row r="7078" ht="15.75" hidden="1" customHeight="1"/>
    <row r="7079" ht="15.75" hidden="1" customHeight="1"/>
    <row r="7080" ht="15.75" hidden="1" customHeight="1"/>
    <row r="7081" ht="15.75" hidden="1" customHeight="1"/>
    <row r="7082" ht="15.75" hidden="1" customHeight="1"/>
    <row r="7083" ht="15.75" hidden="1" customHeight="1"/>
    <row r="7084" ht="15.75" hidden="1" customHeight="1"/>
    <row r="7085" ht="15.75" hidden="1" customHeight="1"/>
    <row r="7086" ht="15.75" hidden="1" customHeight="1"/>
    <row r="7087" ht="15.75" hidden="1" customHeight="1"/>
    <row r="7088" ht="15.75" hidden="1" customHeight="1"/>
    <row r="7089" ht="15.75" hidden="1" customHeight="1"/>
    <row r="7090" ht="15.75" hidden="1" customHeight="1"/>
    <row r="7091" ht="15.75" hidden="1" customHeight="1"/>
    <row r="7092" ht="15.75" hidden="1" customHeight="1"/>
    <row r="7093" ht="15.75" hidden="1" customHeight="1"/>
    <row r="7094" ht="15.75" hidden="1" customHeight="1"/>
    <row r="7095" ht="15.75" hidden="1" customHeight="1"/>
    <row r="7096" ht="15.75" hidden="1" customHeight="1"/>
    <row r="7097" ht="15.75" hidden="1" customHeight="1"/>
    <row r="7098" ht="15.75" hidden="1" customHeight="1"/>
    <row r="7099" ht="15.75" hidden="1" customHeight="1"/>
    <row r="7100" ht="15.75" hidden="1" customHeight="1"/>
    <row r="7101" ht="15.75" hidden="1" customHeight="1"/>
    <row r="7102" ht="15.75" hidden="1" customHeight="1"/>
    <row r="7103" ht="15.75" hidden="1" customHeight="1"/>
    <row r="7104" ht="15.75" hidden="1" customHeight="1"/>
    <row r="7105" ht="15.75" hidden="1" customHeight="1"/>
    <row r="7106" ht="15.75" hidden="1" customHeight="1"/>
    <row r="7107" ht="15.75" hidden="1" customHeight="1"/>
    <row r="7108" ht="15.75" hidden="1" customHeight="1"/>
    <row r="7109" ht="15.75" hidden="1" customHeight="1"/>
    <row r="7110" ht="15.75" hidden="1" customHeight="1"/>
    <row r="7111" ht="15.75" hidden="1" customHeight="1"/>
    <row r="7112" ht="15.75" hidden="1" customHeight="1"/>
    <row r="7113" ht="15.75" hidden="1" customHeight="1"/>
    <row r="7114" ht="15.75" hidden="1" customHeight="1"/>
    <row r="7115" ht="15.75" hidden="1" customHeight="1"/>
    <row r="7116" ht="15.75" hidden="1" customHeight="1"/>
    <row r="7117" ht="15.75" hidden="1" customHeight="1"/>
    <row r="7118" ht="15.75" hidden="1" customHeight="1"/>
    <row r="7119" ht="15.75" hidden="1" customHeight="1"/>
    <row r="7120" ht="15.75" hidden="1" customHeight="1"/>
    <row r="7121" ht="15.75" hidden="1" customHeight="1"/>
    <row r="7122" ht="15.75" hidden="1" customHeight="1"/>
    <row r="7123" ht="15.75" hidden="1" customHeight="1"/>
    <row r="7124" ht="15.75" hidden="1" customHeight="1"/>
    <row r="7125" ht="15.75" hidden="1" customHeight="1"/>
    <row r="7126" ht="15.75" hidden="1" customHeight="1"/>
    <row r="7127" ht="15.75" hidden="1" customHeight="1"/>
    <row r="7128" ht="15.75" hidden="1" customHeight="1"/>
    <row r="7129" ht="15.75" hidden="1" customHeight="1"/>
    <row r="7130" ht="15.75" hidden="1" customHeight="1"/>
    <row r="7131" ht="15.75" hidden="1" customHeight="1"/>
    <row r="7132" ht="15.75" hidden="1" customHeight="1"/>
    <row r="7133" ht="15.75" hidden="1" customHeight="1"/>
    <row r="7134" ht="15.75" hidden="1" customHeight="1"/>
    <row r="7135" ht="15.75" hidden="1" customHeight="1"/>
    <row r="7136" ht="15.75" hidden="1" customHeight="1"/>
    <row r="7137" ht="15.75" hidden="1" customHeight="1"/>
    <row r="7138" ht="15.75" hidden="1" customHeight="1"/>
    <row r="7139" ht="15.75" hidden="1" customHeight="1"/>
    <row r="7140" ht="15.75" hidden="1" customHeight="1"/>
    <row r="7141" ht="15.75" hidden="1" customHeight="1"/>
    <row r="7142" ht="15.75" hidden="1" customHeight="1"/>
    <row r="7143" ht="15.75" hidden="1" customHeight="1"/>
    <row r="7144" ht="15.75" hidden="1" customHeight="1"/>
    <row r="7145" ht="15.75" hidden="1" customHeight="1"/>
    <row r="7146" ht="15.75" hidden="1" customHeight="1"/>
    <row r="7147" ht="15.75" hidden="1" customHeight="1"/>
    <row r="7148" ht="15.75" hidden="1" customHeight="1"/>
    <row r="7149" ht="15.75" hidden="1" customHeight="1"/>
    <row r="7150" ht="15.75" hidden="1" customHeight="1"/>
    <row r="7151" ht="15.75" hidden="1" customHeight="1"/>
    <row r="7152" ht="15.75" hidden="1" customHeight="1"/>
    <row r="7153" ht="15.75" hidden="1" customHeight="1"/>
    <row r="7154" ht="15.75" hidden="1" customHeight="1"/>
    <row r="7155" ht="15.75" hidden="1" customHeight="1"/>
    <row r="7156" ht="15.75" hidden="1" customHeight="1"/>
    <row r="7157" ht="15.75" hidden="1" customHeight="1"/>
    <row r="7158" ht="15.75" hidden="1" customHeight="1"/>
    <row r="7159" ht="15.75" hidden="1" customHeight="1"/>
    <row r="7160" ht="15.75" hidden="1" customHeight="1"/>
    <row r="7161" ht="15.75" hidden="1" customHeight="1"/>
    <row r="7162" ht="15.75" hidden="1" customHeight="1"/>
    <row r="7163" ht="15.75" hidden="1" customHeight="1"/>
    <row r="7164" ht="15.75" hidden="1" customHeight="1"/>
    <row r="7165" ht="15.75" hidden="1" customHeight="1"/>
    <row r="7166" ht="15.75" hidden="1" customHeight="1"/>
    <row r="7167" ht="15.75" hidden="1" customHeight="1"/>
    <row r="7168" ht="15.75" hidden="1" customHeight="1"/>
    <row r="7169" ht="15.75" hidden="1" customHeight="1"/>
    <row r="7170" ht="15.75" hidden="1" customHeight="1"/>
    <row r="7171" ht="15.75" hidden="1" customHeight="1"/>
    <row r="7172" ht="15.75" hidden="1" customHeight="1"/>
    <row r="7173" ht="15.75" hidden="1" customHeight="1"/>
    <row r="7174" ht="15.75" hidden="1" customHeight="1"/>
    <row r="7175" ht="15.75" hidden="1" customHeight="1"/>
    <row r="7176" ht="15.75" hidden="1" customHeight="1"/>
    <row r="7177" ht="15.75" hidden="1" customHeight="1"/>
    <row r="7178" ht="15.75" hidden="1" customHeight="1"/>
    <row r="7179" ht="15.75" hidden="1" customHeight="1"/>
    <row r="7180" ht="15.75" hidden="1" customHeight="1"/>
    <row r="7181" ht="15.75" hidden="1" customHeight="1"/>
    <row r="7182" ht="15.75" hidden="1" customHeight="1"/>
    <row r="7183" ht="15.75" hidden="1" customHeight="1"/>
    <row r="7184" ht="15.75" hidden="1" customHeight="1"/>
    <row r="7185" ht="15.75" hidden="1" customHeight="1"/>
    <row r="7186" ht="15.75" hidden="1" customHeight="1"/>
    <row r="7187" ht="15.75" hidden="1" customHeight="1"/>
    <row r="7188" ht="15.75" hidden="1" customHeight="1"/>
    <row r="7189" ht="15.75" hidden="1" customHeight="1"/>
    <row r="7190" ht="15.75" hidden="1" customHeight="1"/>
    <row r="7191" ht="15.75" hidden="1" customHeight="1"/>
    <row r="7192" ht="15.75" hidden="1" customHeight="1"/>
    <row r="7193" ht="15.75" hidden="1" customHeight="1"/>
    <row r="7194" ht="15.75" hidden="1" customHeight="1"/>
    <row r="7195" ht="15.75" hidden="1" customHeight="1"/>
    <row r="7196" ht="15.75" hidden="1" customHeight="1"/>
    <row r="7197" ht="15.75" hidden="1" customHeight="1"/>
    <row r="7198" ht="15.75" hidden="1" customHeight="1"/>
    <row r="7199" ht="15.75" hidden="1" customHeight="1"/>
    <row r="7200" ht="15.75" hidden="1" customHeight="1"/>
    <row r="7201" ht="15.75" hidden="1" customHeight="1"/>
    <row r="7202" ht="15.75" hidden="1" customHeight="1"/>
    <row r="7203" ht="15.75" hidden="1" customHeight="1"/>
    <row r="7204" ht="15.75" hidden="1" customHeight="1"/>
    <row r="7205" ht="15.75" hidden="1" customHeight="1"/>
    <row r="7206" ht="15.75" hidden="1" customHeight="1"/>
    <row r="7207" ht="15.75" hidden="1" customHeight="1"/>
    <row r="7208" ht="15.75" hidden="1" customHeight="1"/>
    <row r="7209" ht="15.75" hidden="1" customHeight="1"/>
    <row r="7210" ht="15.75" hidden="1" customHeight="1"/>
    <row r="7211" ht="15.75" hidden="1" customHeight="1"/>
    <row r="7212" ht="15.75" hidden="1" customHeight="1"/>
    <row r="7213" ht="15.75" hidden="1" customHeight="1"/>
    <row r="7214" ht="15.75" hidden="1" customHeight="1"/>
    <row r="7215" ht="15.75" hidden="1" customHeight="1"/>
    <row r="7216" ht="15.75" hidden="1" customHeight="1"/>
    <row r="7217" ht="15.75" hidden="1" customHeight="1"/>
    <row r="7218" ht="15.75" hidden="1" customHeight="1"/>
    <row r="7219" ht="15.75" hidden="1" customHeight="1"/>
    <row r="7220" ht="15.75" hidden="1" customHeight="1"/>
    <row r="7221" ht="15.75" hidden="1" customHeight="1"/>
    <row r="7222" ht="15.75" hidden="1" customHeight="1"/>
    <row r="7223" ht="15.75" hidden="1" customHeight="1"/>
    <row r="7224" ht="15.75" hidden="1" customHeight="1"/>
    <row r="7225" ht="15.75" hidden="1" customHeight="1"/>
    <row r="7226" ht="15.75" hidden="1" customHeight="1"/>
    <row r="7227" ht="15.75" hidden="1" customHeight="1"/>
    <row r="7228" ht="15.75" hidden="1" customHeight="1"/>
    <row r="7229" ht="15.75" hidden="1" customHeight="1"/>
    <row r="7230" ht="15.75" hidden="1" customHeight="1"/>
    <row r="7231" ht="15.75" hidden="1" customHeight="1"/>
    <row r="7232" ht="15.75" hidden="1" customHeight="1"/>
    <row r="7233" ht="15.75" hidden="1" customHeight="1"/>
    <row r="7234" ht="15.75" hidden="1" customHeight="1"/>
    <row r="7235" ht="15.75" hidden="1" customHeight="1"/>
    <row r="7236" ht="15.75" hidden="1" customHeight="1"/>
    <row r="7237" ht="15.75" hidden="1" customHeight="1"/>
    <row r="7238" ht="15.75" hidden="1" customHeight="1"/>
    <row r="7239" ht="15.75" hidden="1" customHeight="1"/>
    <row r="7240" ht="15.75" hidden="1" customHeight="1"/>
    <row r="7241" ht="15.75" hidden="1" customHeight="1"/>
    <row r="7242" ht="15.75" hidden="1" customHeight="1"/>
    <row r="7243" ht="15.75" hidden="1" customHeight="1"/>
    <row r="7244" ht="15.75" hidden="1" customHeight="1"/>
    <row r="7245" ht="15.75" hidden="1" customHeight="1"/>
    <row r="7246" ht="15.75" hidden="1" customHeight="1"/>
    <row r="7247" ht="15.75" hidden="1" customHeight="1"/>
    <row r="7248" ht="15.75" hidden="1" customHeight="1"/>
    <row r="7249" ht="15.75" hidden="1" customHeight="1"/>
    <row r="7250" ht="15.75" hidden="1" customHeight="1"/>
    <row r="7251" ht="15.75" hidden="1" customHeight="1"/>
    <row r="7252" ht="15.75" hidden="1" customHeight="1"/>
    <row r="7253" ht="15.75" hidden="1" customHeight="1"/>
    <row r="7254" ht="15.75" hidden="1" customHeight="1"/>
    <row r="7255" ht="15.75" hidden="1" customHeight="1"/>
    <row r="7256" ht="15.75" hidden="1" customHeight="1"/>
    <row r="7257" ht="15.75" hidden="1" customHeight="1"/>
    <row r="7258" ht="15.75" hidden="1" customHeight="1"/>
    <row r="7259" ht="15.75" hidden="1" customHeight="1"/>
    <row r="7260" ht="15.75" hidden="1" customHeight="1"/>
    <row r="7261" ht="15.75" hidden="1" customHeight="1"/>
    <row r="7262" ht="15.75" hidden="1" customHeight="1"/>
    <row r="7263" ht="15.75" hidden="1" customHeight="1"/>
    <row r="7264" ht="15.75" hidden="1" customHeight="1"/>
    <row r="7265" ht="15.75" hidden="1" customHeight="1"/>
    <row r="7266" ht="15.75" hidden="1" customHeight="1"/>
    <row r="7267" ht="15.75" hidden="1" customHeight="1"/>
    <row r="7268" ht="15.75" hidden="1" customHeight="1"/>
    <row r="7269" ht="15.75" hidden="1" customHeight="1"/>
    <row r="7270" ht="15.75" hidden="1" customHeight="1"/>
    <row r="7271" ht="15.75" hidden="1" customHeight="1"/>
    <row r="7272" ht="15.75" hidden="1" customHeight="1"/>
    <row r="7273" ht="15.75" hidden="1" customHeight="1"/>
    <row r="7274" ht="15.75" hidden="1" customHeight="1"/>
    <row r="7275" ht="15.75" hidden="1" customHeight="1"/>
    <row r="7276" ht="15.75" hidden="1" customHeight="1"/>
    <row r="7277" ht="15.75" hidden="1" customHeight="1"/>
    <row r="7278" ht="15.75" hidden="1" customHeight="1"/>
    <row r="7279" ht="15.75" hidden="1" customHeight="1"/>
    <row r="7280" ht="15.75" hidden="1" customHeight="1"/>
    <row r="7281" ht="15.75" hidden="1" customHeight="1"/>
    <row r="7282" ht="15.75" hidden="1" customHeight="1"/>
    <row r="7283" ht="15.75" hidden="1" customHeight="1"/>
    <row r="7284" ht="15.75" hidden="1" customHeight="1"/>
    <row r="7285" ht="15.75" hidden="1" customHeight="1"/>
    <row r="7286" ht="15.75" hidden="1" customHeight="1"/>
    <row r="7287" ht="15.75" hidden="1" customHeight="1"/>
    <row r="7288" ht="15.75" hidden="1" customHeight="1"/>
    <row r="7289" ht="15.75" hidden="1" customHeight="1"/>
    <row r="7290" ht="15.75" hidden="1" customHeight="1"/>
    <row r="7291" ht="15.75" hidden="1" customHeight="1"/>
    <row r="7292" ht="15.75" hidden="1" customHeight="1"/>
    <row r="7293" ht="15.75" hidden="1" customHeight="1"/>
    <row r="7294" ht="15.75" hidden="1" customHeight="1"/>
    <row r="7295" ht="15.75" hidden="1" customHeight="1"/>
    <row r="7296" ht="15.75" hidden="1" customHeight="1"/>
    <row r="7297" ht="15.75" hidden="1" customHeight="1"/>
    <row r="7298" ht="15.75" hidden="1" customHeight="1"/>
    <row r="7299" ht="15.75" hidden="1" customHeight="1"/>
    <row r="7300" ht="15.75" hidden="1" customHeight="1"/>
    <row r="7301" ht="15.75" hidden="1" customHeight="1"/>
    <row r="7302" ht="15.75" hidden="1" customHeight="1"/>
    <row r="7303" ht="15.75" hidden="1" customHeight="1"/>
    <row r="7304" ht="15.75" hidden="1" customHeight="1"/>
    <row r="7305" ht="15.75" hidden="1" customHeight="1"/>
    <row r="7306" ht="15.75" hidden="1" customHeight="1"/>
    <row r="7307" ht="15.75" hidden="1" customHeight="1"/>
    <row r="7308" ht="15.75" hidden="1" customHeight="1"/>
    <row r="7309" ht="15.75" hidden="1" customHeight="1"/>
    <row r="7310" ht="15.75" hidden="1" customHeight="1"/>
    <row r="7311" ht="15.75" hidden="1" customHeight="1"/>
    <row r="7312" ht="15.75" hidden="1" customHeight="1"/>
    <row r="7313" ht="15.75" hidden="1" customHeight="1"/>
    <row r="7314" ht="15.75" hidden="1" customHeight="1"/>
    <row r="7315" ht="15.75" hidden="1" customHeight="1"/>
    <row r="7316" ht="15.75" hidden="1" customHeight="1"/>
    <row r="7317" ht="15.75" hidden="1" customHeight="1"/>
    <row r="7318" ht="15.75" hidden="1" customHeight="1"/>
    <row r="7319" ht="15.75" hidden="1" customHeight="1"/>
    <row r="7320" ht="15.75" hidden="1" customHeight="1"/>
    <row r="7321" ht="15.75" hidden="1" customHeight="1"/>
    <row r="7322" ht="15.75" hidden="1" customHeight="1"/>
    <row r="7323" ht="15.75" hidden="1" customHeight="1"/>
    <row r="7324" ht="15.75" hidden="1" customHeight="1"/>
    <row r="7325" ht="15.75" hidden="1" customHeight="1"/>
    <row r="7326" ht="15.75" hidden="1" customHeight="1"/>
    <row r="7327" ht="15.75" hidden="1" customHeight="1"/>
    <row r="7328" ht="15.75" hidden="1" customHeight="1"/>
    <row r="7329" ht="15.75" hidden="1" customHeight="1"/>
    <row r="7330" ht="15.75" hidden="1" customHeight="1"/>
    <row r="7331" ht="15.75" hidden="1" customHeight="1"/>
    <row r="7332" ht="15.75" hidden="1" customHeight="1"/>
    <row r="7333" ht="15.75" hidden="1" customHeight="1"/>
    <row r="7334" ht="15.75" hidden="1" customHeight="1"/>
    <row r="7335" ht="15.75" hidden="1" customHeight="1"/>
    <row r="7336" ht="15.75" hidden="1" customHeight="1"/>
    <row r="7337" ht="15.75" hidden="1" customHeight="1"/>
    <row r="7338" ht="15.75" hidden="1" customHeight="1"/>
    <row r="7339" ht="15.75" hidden="1" customHeight="1"/>
    <row r="7340" ht="15.75" hidden="1" customHeight="1"/>
    <row r="7341" ht="15.75" hidden="1" customHeight="1"/>
    <row r="7342" ht="15.75" hidden="1" customHeight="1"/>
    <row r="7343" ht="15.75" hidden="1" customHeight="1"/>
    <row r="7344" ht="15.75" hidden="1" customHeight="1"/>
    <row r="7345" ht="15.75" hidden="1" customHeight="1"/>
    <row r="7346" ht="15.75" hidden="1" customHeight="1"/>
    <row r="7347" ht="15.75" hidden="1" customHeight="1"/>
    <row r="7348" ht="15.75" hidden="1" customHeight="1"/>
    <row r="7349" ht="15.75" hidden="1" customHeight="1"/>
    <row r="7350" ht="15.75" hidden="1" customHeight="1"/>
    <row r="7351" ht="15.75" hidden="1" customHeight="1"/>
    <row r="7352" ht="15.75" hidden="1" customHeight="1"/>
    <row r="7353" ht="15.75" hidden="1" customHeight="1"/>
    <row r="7354" ht="15.75" hidden="1" customHeight="1"/>
    <row r="7355" ht="15.75" hidden="1" customHeight="1"/>
    <row r="7356" ht="15.75" hidden="1" customHeight="1"/>
    <row r="7357" ht="15.75" hidden="1" customHeight="1"/>
    <row r="7358" ht="15.75" hidden="1" customHeight="1"/>
    <row r="7359" ht="15.75" hidden="1" customHeight="1"/>
    <row r="7360" ht="15.75" hidden="1" customHeight="1"/>
    <row r="7361" ht="15.75" hidden="1" customHeight="1"/>
    <row r="7362" ht="15.75" hidden="1" customHeight="1"/>
    <row r="7363" ht="15.75" hidden="1" customHeight="1"/>
    <row r="7364" ht="15.75" hidden="1" customHeight="1"/>
    <row r="7365" ht="15.75" hidden="1" customHeight="1"/>
    <row r="7366" ht="15.75" hidden="1" customHeight="1"/>
    <row r="7367" ht="15.75" hidden="1" customHeight="1"/>
    <row r="7368" ht="15.75" hidden="1" customHeight="1"/>
    <row r="7369" ht="15.75" hidden="1" customHeight="1"/>
    <row r="7370" ht="15.75" hidden="1" customHeight="1"/>
    <row r="7371" ht="15.75" hidden="1" customHeight="1"/>
    <row r="7372" ht="15.75" hidden="1" customHeight="1"/>
    <row r="7373" ht="15.75" hidden="1" customHeight="1"/>
    <row r="7374" ht="15.75" hidden="1" customHeight="1"/>
    <row r="7375" ht="15.75" hidden="1" customHeight="1"/>
    <row r="7376" ht="15.75" hidden="1" customHeight="1"/>
    <row r="7377" ht="15.75" hidden="1" customHeight="1"/>
    <row r="7378" ht="15.75" hidden="1" customHeight="1"/>
    <row r="7379" ht="15.75" hidden="1" customHeight="1"/>
    <row r="7380" ht="15.75" hidden="1" customHeight="1"/>
    <row r="7381" ht="15.75" hidden="1" customHeight="1"/>
    <row r="7382" ht="15.75" hidden="1" customHeight="1"/>
    <row r="7383" ht="15.75" hidden="1" customHeight="1"/>
    <row r="7384" ht="15.75" hidden="1" customHeight="1"/>
    <row r="7385" ht="15.75" hidden="1" customHeight="1"/>
    <row r="7386" ht="15.75" hidden="1" customHeight="1"/>
    <row r="7387" ht="15.75" hidden="1" customHeight="1"/>
    <row r="7388" ht="15.75" hidden="1" customHeight="1"/>
    <row r="7389" ht="15.75" hidden="1" customHeight="1"/>
    <row r="7390" ht="15.75" hidden="1" customHeight="1"/>
    <row r="7391" ht="15.75" hidden="1" customHeight="1"/>
    <row r="7392" ht="15.75" hidden="1" customHeight="1"/>
    <row r="7393" ht="15.75" hidden="1" customHeight="1"/>
    <row r="7394" ht="15.75" hidden="1" customHeight="1"/>
    <row r="7395" ht="15.75" hidden="1" customHeight="1"/>
    <row r="7396" ht="15.75" hidden="1" customHeight="1"/>
    <row r="7397" ht="15.75" hidden="1" customHeight="1"/>
    <row r="7398" ht="15.75" hidden="1" customHeight="1"/>
    <row r="7399" ht="15.75" hidden="1" customHeight="1"/>
    <row r="7400" ht="15.75" hidden="1" customHeight="1"/>
    <row r="7401" ht="15.75" hidden="1" customHeight="1"/>
    <row r="7402" ht="15.75" hidden="1" customHeight="1"/>
    <row r="7403" ht="15.75" hidden="1" customHeight="1"/>
    <row r="7404" ht="15.75" hidden="1" customHeight="1"/>
    <row r="7405" ht="15.75" hidden="1" customHeight="1"/>
    <row r="7406" ht="15.75" hidden="1" customHeight="1"/>
    <row r="7407" ht="15.75" hidden="1" customHeight="1"/>
    <row r="7408" ht="15.75" hidden="1" customHeight="1"/>
    <row r="7409" ht="15.75" hidden="1" customHeight="1"/>
    <row r="7410" ht="15.75" hidden="1" customHeight="1"/>
    <row r="7411" ht="15.75" hidden="1" customHeight="1"/>
    <row r="7412" ht="15.75" hidden="1" customHeight="1"/>
    <row r="7413" ht="15.75" hidden="1" customHeight="1"/>
    <row r="7414" ht="15.75" hidden="1" customHeight="1"/>
    <row r="7415" ht="15.75" hidden="1" customHeight="1"/>
    <row r="7416" ht="15.75" hidden="1" customHeight="1"/>
    <row r="7417" ht="15.75" hidden="1" customHeight="1"/>
    <row r="7418" ht="15.75" hidden="1" customHeight="1"/>
    <row r="7419" ht="15.75" hidden="1" customHeight="1"/>
    <row r="7420" ht="15.75" hidden="1" customHeight="1"/>
    <row r="7421" ht="15.75" hidden="1" customHeight="1"/>
    <row r="7422" ht="15.75" hidden="1" customHeight="1"/>
    <row r="7423" ht="15.75" hidden="1" customHeight="1"/>
    <row r="7424" ht="15.75" hidden="1" customHeight="1"/>
    <row r="7425" ht="15.75" hidden="1" customHeight="1"/>
    <row r="7426" ht="15.75" hidden="1" customHeight="1"/>
    <row r="7427" ht="15.75" hidden="1" customHeight="1"/>
    <row r="7428" ht="15.75" hidden="1" customHeight="1"/>
    <row r="7429" ht="15.75" hidden="1" customHeight="1"/>
    <row r="7430" ht="15.75" hidden="1" customHeight="1"/>
    <row r="7431" ht="15.75" hidden="1" customHeight="1"/>
    <row r="7432" ht="15.75" hidden="1" customHeight="1"/>
    <row r="7433" ht="15.75" hidden="1" customHeight="1"/>
    <row r="7434" ht="15.75" hidden="1" customHeight="1"/>
    <row r="7435" ht="15.75" hidden="1" customHeight="1"/>
    <row r="7436" ht="15.75" hidden="1" customHeight="1"/>
    <row r="7437" ht="15.75" hidden="1" customHeight="1"/>
    <row r="7438" ht="15.75" hidden="1" customHeight="1"/>
    <row r="7439" ht="15.75" hidden="1" customHeight="1"/>
    <row r="7440" ht="15.75" hidden="1" customHeight="1"/>
    <row r="7441" ht="15.75" hidden="1" customHeight="1"/>
    <row r="7442" ht="15.75" hidden="1" customHeight="1"/>
    <row r="7443" ht="15.75" hidden="1" customHeight="1"/>
    <row r="7444" ht="15.75" hidden="1" customHeight="1"/>
    <row r="7445" ht="15.75" hidden="1" customHeight="1"/>
    <row r="7446" ht="15.75" hidden="1" customHeight="1"/>
    <row r="7447" ht="15.75" hidden="1" customHeight="1"/>
    <row r="7448" ht="15.75" hidden="1" customHeight="1"/>
    <row r="7449" ht="15.75" hidden="1" customHeight="1"/>
    <row r="7450" ht="15.75" hidden="1" customHeight="1"/>
    <row r="7451" ht="15.75" hidden="1" customHeight="1"/>
    <row r="7452" ht="15.75" hidden="1" customHeight="1"/>
    <row r="7453" ht="15.75" hidden="1" customHeight="1"/>
    <row r="7454" ht="15.75" hidden="1" customHeight="1"/>
    <row r="7455" ht="15.75" hidden="1" customHeight="1"/>
    <row r="7456" ht="15.75" hidden="1" customHeight="1"/>
    <row r="7457" ht="15.75" hidden="1" customHeight="1"/>
    <row r="7458" ht="15.75" hidden="1" customHeight="1"/>
    <row r="7459" ht="15.75" hidden="1" customHeight="1"/>
    <row r="7460" ht="15.75" hidden="1" customHeight="1"/>
    <row r="7461" ht="15.75" hidden="1" customHeight="1"/>
    <row r="7462" ht="15.75" hidden="1" customHeight="1"/>
    <row r="7463" ht="15.75" hidden="1" customHeight="1"/>
    <row r="7464" ht="15.75" hidden="1" customHeight="1"/>
    <row r="7465" ht="15.75" hidden="1" customHeight="1"/>
    <row r="7466" ht="15.75" hidden="1" customHeight="1"/>
    <row r="7467" ht="15.75" hidden="1" customHeight="1"/>
    <row r="7468" ht="15.75" hidden="1" customHeight="1"/>
    <row r="7469" ht="15.75" hidden="1" customHeight="1"/>
    <row r="7470" ht="15.75" hidden="1" customHeight="1"/>
    <row r="7471" ht="15.75" hidden="1" customHeight="1"/>
    <row r="7472" ht="15.75" hidden="1" customHeight="1"/>
    <row r="7473" ht="15.75" hidden="1" customHeight="1"/>
    <row r="7474" ht="15.75" hidden="1" customHeight="1"/>
    <row r="7475" ht="15.75" hidden="1" customHeight="1"/>
    <row r="7476" ht="15.75" hidden="1" customHeight="1"/>
    <row r="7477" ht="15.75" hidden="1" customHeight="1"/>
    <row r="7478" ht="15.75" hidden="1" customHeight="1"/>
    <row r="7479" ht="15.75" hidden="1" customHeight="1"/>
    <row r="7480" ht="15.75" hidden="1" customHeight="1"/>
    <row r="7481" ht="15.75" hidden="1" customHeight="1"/>
    <row r="7482" ht="15.75" hidden="1" customHeight="1"/>
    <row r="7483" ht="15.75" hidden="1" customHeight="1"/>
    <row r="7484" ht="15.75" hidden="1" customHeight="1"/>
    <row r="7485" ht="15.75" hidden="1" customHeight="1"/>
    <row r="7486" ht="15.75" hidden="1" customHeight="1"/>
    <row r="7487" ht="15.75" hidden="1" customHeight="1"/>
    <row r="7488" ht="15.75" hidden="1" customHeight="1"/>
    <row r="7489" ht="15.75" hidden="1" customHeight="1"/>
    <row r="7490" ht="15.75" hidden="1" customHeight="1"/>
    <row r="7491" ht="15.75" hidden="1" customHeight="1"/>
    <row r="7492" ht="15.75" hidden="1" customHeight="1"/>
    <row r="7493" ht="15.75" hidden="1" customHeight="1"/>
    <row r="7494" ht="15.75" hidden="1" customHeight="1"/>
    <row r="7495" ht="15.75" hidden="1" customHeight="1"/>
    <row r="7496" ht="15.75" hidden="1" customHeight="1"/>
    <row r="7497" ht="15.75" hidden="1" customHeight="1"/>
    <row r="7498" ht="15.75" hidden="1" customHeight="1"/>
    <row r="7499" ht="15.75" hidden="1" customHeight="1"/>
    <row r="7500" ht="15.75" hidden="1" customHeight="1"/>
    <row r="7501" ht="15.75" hidden="1" customHeight="1"/>
    <row r="7502" ht="15.75" hidden="1" customHeight="1"/>
    <row r="7503" ht="15.75" hidden="1" customHeight="1"/>
    <row r="7504" ht="15.75" hidden="1" customHeight="1"/>
    <row r="7505" ht="15.75" hidden="1" customHeight="1"/>
    <row r="7506" ht="15.75" hidden="1" customHeight="1"/>
    <row r="7507" ht="15.75" hidden="1" customHeight="1"/>
    <row r="7508" ht="15.75" hidden="1" customHeight="1"/>
    <row r="7509" ht="15.75" hidden="1" customHeight="1"/>
    <row r="7510" ht="15.75" hidden="1" customHeight="1"/>
    <row r="7511" ht="15.75" hidden="1" customHeight="1"/>
    <row r="7512" ht="15.75" hidden="1" customHeight="1"/>
    <row r="7513" ht="15.75" hidden="1" customHeight="1"/>
    <row r="7514" ht="15.75" hidden="1" customHeight="1"/>
    <row r="7515" ht="15.75" hidden="1" customHeight="1"/>
    <row r="7516" ht="15.75" hidden="1" customHeight="1"/>
    <row r="7517" ht="15.75" hidden="1" customHeight="1"/>
    <row r="7518" ht="15.75" hidden="1" customHeight="1"/>
    <row r="7519" ht="15.75" hidden="1" customHeight="1"/>
    <row r="7520" ht="15.75" hidden="1" customHeight="1"/>
    <row r="7521" ht="15.75" hidden="1" customHeight="1"/>
    <row r="7522" ht="15.75" hidden="1" customHeight="1"/>
    <row r="7523" ht="15.75" hidden="1" customHeight="1"/>
    <row r="7524" ht="15.75" hidden="1" customHeight="1"/>
    <row r="7525" ht="15.75" hidden="1" customHeight="1"/>
    <row r="7526" ht="15.75" hidden="1" customHeight="1"/>
    <row r="7527" ht="15.75" hidden="1" customHeight="1"/>
    <row r="7528" ht="15.75" hidden="1" customHeight="1"/>
    <row r="7529" ht="15.75" hidden="1" customHeight="1"/>
    <row r="7530" ht="15.75" hidden="1" customHeight="1"/>
    <row r="7531" ht="15.75" hidden="1" customHeight="1"/>
    <row r="7532" ht="15.75" hidden="1" customHeight="1"/>
    <row r="7533" ht="15.75" hidden="1" customHeight="1"/>
    <row r="7534" ht="15.75" hidden="1" customHeight="1"/>
    <row r="7535" ht="15.75" hidden="1" customHeight="1"/>
    <row r="7536" ht="15.75" hidden="1" customHeight="1"/>
    <row r="7537" ht="15.75" hidden="1" customHeight="1"/>
    <row r="7538" ht="15.75" hidden="1" customHeight="1"/>
    <row r="7539" ht="15.75" hidden="1" customHeight="1"/>
    <row r="7540" ht="15.75" hidden="1" customHeight="1"/>
    <row r="7541" ht="15.75" hidden="1" customHeight="1"/>
    <row r="7542" ht="15.75" hidden="1" customHeight="1"/>
    <row r="7543" ht="15.75" hidden="1" customHeight="1"/>
    <row r="7544" ht="15.75" hidden="1" customHeight="1"/>
    <row r="7545" ht="15.75" hidden="1" customHeight="1"/>
    <row r="7546" ht="15.75" hidden="1" customHeight="1"/>
    <row r="7547" ht="15.75" hidden="1" customHeight="1"/>
    <row r="7548" ht="15.75" hidden="1" customHeight="1"/>
    <row r="7549" ht="15.75" hidden="1" customHeight="1"/>
    <row r="7550" ht="15.75" hidden="1" customHeight="1"/>
    <row r="7551" ht="15.75" hidden="1" customHeight="1"/>
    <row r="7552" ht="15.75" hidden="1" customHeight="1"/>
    <row r="7553" ht="15.75" hidden="1" customHeight="1"/>
    <row r="7554" ht="15.75" hidden="1" customHeight="1"/>
    <row r="7555" ht="15.75" hidden="1" customHeight="1"/>
    <row r="7556" ht="15.75" hidden="1" customHeight="1"/>
    <row r="7557" ht="15.75" hidden="1" customHeight="1"/>
    <row r="7558" ht="15.75" hidden="1" customHeight="1"/>
    <row r="7559" ht="15.75" hidden="1" customHeight="1"/>
    <row r="7560" ht="15.75" hidden="1" customHeight="1"/>
    <row r="7561" ht="15.75" hidden="1" customHeight="1"/>
    <row r="7562" ht="15.75" hidden="1" customHeight="1"/>
    <row r="7563" ht="15.75" hidden="1" customHeight="1"/>
    <row r="7564" ht="15.75" hidden="1" customHeight="1"/>
    <row r="7565" ht="15.75" hidden="1" customHeight="1"/>
    <row r="7566" ht="15.75" hidden="1" customHeight="1"/>
    <row r="7567" ht="15.75" hidden="1" customHeight="1"/>
    <row r="7568" ht="15.75" hidden="1" customHeight="1"/>
    <row r="7569" ht="15.75" hidden="1" customHeight="1"/>
    <row r="7570" ht="15.75" hidden="1" customHeight="1"/>
    <row r="7571" ht="15.75" hidden="1" customHeight="1"/>
    <row r="7572" ht="15.75" hidden="1" customHeight="1"/>
    <row r="7573" ht="15.75" hidden="1" customHeight="1"/>
    <row r="7574" ht="15.75" hidden="1" customHeight="1"/>
    <row r="7575" ht="15.75" hidden="1" customHeight="1"/>
    <row r="7576" ht="15.75" hidden="1" customHeight="1"/>
    <row r="7577" ht="15.75" hidden="1" customHeight="1"/>
    <row r="7578" ht="15.75" hidden="1" customHeight="1"/>
    <row r="7579" ht="15.75" hidden="1" customHeight="1"/>
    <row r="7580" ht="15.75" hidden="1" customHeight="1"/>
    <row r="7581" ht="15.75" hidden="1" customHeight="1"/>
    <row r="7582" ht="15.75" hidden="1" customHeight="1"/>
    <row r="7583" ht="15.75" hidden="1" customHeight="1"/>
    <row r="7584" ht="15.75" hidden="1" customHeight="1"/>
    <row r="7585" ht="15.75" hidden="1" customHeight="1"/>
    <row r="7586" ht="15.75" hidden="1" customHeight="1"/>
    <row r="7587" ht="15.75" hidden="1" customHeight="1"/>
    <row r="7588" ht="15.75" hidden="1" customHeight="1"/>
    <row r="7589" ht="15.75" hidden="1" customHeight="1"/>
    <row r="7590" ht="15.75" hidden="1" customHeight="1"/>
    <row r="7591" ht="15.75" hidden="1" customHeight="1"/>
    <row r="7592" ht="15.75" hidden="1" customHeight="1"/>
    <row r="7593" ht="15.75" hidden="1" customHeight="1"/>
    <row r="7594" ht="15.75" hidden="1" customHeight="1"/>
    <row r="7595" ht="15.75" hidden="1" customHeight="1"/>
    <row r="7596" ht="15.75" hidden="1" customHeight="1"/>
    <row r="7597" ht="15.75" hidden="1" customHeight="1"/>
    <row r="7598" ht="15.75" hidden="1" customHeight="1"/>
    <row r="7599" ht="15.75" hidden="1" customHeight="1"/>
    <row r="7600" ht="15.75" hidden="1" customHeight="1"/>
    <row r="7601" ht="15.75" hidden="1" customHeight="1"/>
    <row r="7602" ht="15.75" hidden="1" customHeight="1"/>
    <row r="7603" ht="15.75" hidden="1" customHeight="1"/>
    <row r="7604" ht="15.75" hidden="1" customHeight="1"/>
    <row r="7605" ht="15.75" hidden="1" customHeight="1"/>
    <row r="7606" ht="15.75" hidden="1" customHeight="1"/>
    <row r="7607" ht="15.75" hidden="1" customHeight="1"/>
    <row r="7608" ht="15.75" hidden="1" customHeight="1"/>
    <row r="7609" ht="15.75" hidden="1" customHeight="1"/>
    <row r="7610" ht="15.75" hidden="1" customHeight="1"/>
    <row r="7611" ht="15.75" hidden="1" customHeight="1"/>
    <row r="7612" ht="15.75" hidden="1" customHeight="1"/>
    <row r="7613" ht="15.75" hidden="1" customHeight="1"/>
    <row r="7614" ht="15.75" hidden="1" customHeight="1"/>
    <row r="7615" ht="15.75" hidden="1" customHeight="1"/>
    <row r="7616" ht="15.75" hidden="1" customHeight="1"/>
    <row r="7617" ht="15.75" hidden="1" customHeight="1"/>
    <row r="7618" ht="15.75" hidden="1" customHeight="1"/>
    <row r="7619" ht="15.75" hidden="1" customHeight="1"/>
    <row r="7620" ht="15.75" hidden="1" customHeight="1"/>
    <row r="7621" ht="15.75" hidden="1" customHeight="1"/>
    <row r="7622" ht="15.75" hidden="1" customHeight="1"/>
    <row r="7623" ht="15.75" hidden="1" customHeight="1"/>
    <row r="7624" ht="15.75" hidden="1" customHeight="1"/>
    <row r="7625" ht="15.75" hidden="1" customHeight="1"/>
    <row r="7626" ht="15.75" hidden="1" customHeight="1"/>
    <row r="7627" ht="15.75" hidden="1" customHeight="1"/>
    <row r="7628" ht="15.75" hidden="1" customHeight="1"/>
    <row r="7629" ht="15.75" hidden="1" customHeight="1"/>
    <row r="7630" ht="15.75" hidden="1" customHeight="1"/>
    <row r="7631" ht="15.75" hidden="1" customHeight="1"/>
    <row r="7632" ht="15.75" hidden="1" customHeight="1"/>
    <row r="7633" ht="15.75" hidden="1" customHeight="1"/>
    <row r="7634" ht="15.75" hidden="1" customHeight="1"/>
    <row r="7635" ht="15.75" hidden="1" customHeight="1"/>
    <row r="7636" ht="15.75" hidden="1" customHeight="1"/>
    <row r="7637" ht="15.75" hidden="1" customHeight="1"/>
    <row r="7638" ht="15.75" hidden="1" customHeight="1"/>
    <row r="7639" ht="15.75" hidden="1" customHeight="1"/>
    <row r="7640" ht="15.75" hidden="1" customHeight="1"/>
    <row r="7641" ht="15.75" hidden="1" customHeight="1"/>
    <row r="7642" ht="15.75" hidden="1" customHeight="1"/>
    <row r="7643" ht="15.75" hidden="1" customHeight="1"/>
    <row r="7644" ht="15.75" hidden="1" customHeight="1"/>
    <row r="7645" ht="15.75" hidden="1" customHeight="1"/>
    <row r="7646" ht="15.75" hidden="1" customHeight="1"/>
    <row r="7647" ht="15.75" hidden="1" customHeight="1"/>
    <row r="7648" ht="15.75" hidden="1" customHeight="1"/>
    <row r="7649" ht="15.75" hidden="1" customHeight="1"/>
    <row r="7650" ht="15.75" hidden="1" customHeight="1"/>
    <row r="7651" ht="15.75" hidden="1" customHeight="1"/>
    <row r="7652" ht="15.75" hidden="1" customHeight="1"/>
    <row r="7653" ht="15.75" hidden="1" customHeight="1"/>
    <row r="7654" ht="15.75" hidden="1" customHeight="1"/>
    <row r="7655" ht="15.75" hidden="1" customHeight="1"/>
    <row r="7656" ht="15.75" hidden="1" customHeight="1"/>
    <row r="7657" ht="15.75" hidden="1" customHeight="1"/>
    <row r="7658" ht="15.75" hidden="1" customHeight="1"/>
    <row r="7659" ht="15.75" hidden="1" customHeight="1"/>
    <row r="7660" ht="15.75" hidden="1" customHeight="1"/>
    <row r="7661" ht="15.75" hidden="1" customHeight="1"/>
    <row r="7662" ht="15.75" hidden="1" customHeight="1"/>
    <row r="7663" ht="15.75" hidden="1" customHeight="1"/>
    <row r="7664" ht="15.75" hidden="1" customHeight="1"/>
    <row r="7665" ht="15.75" hidden="1" customHeight="1"/>
    <row r="7666" ht="15.75" hidden="1" customHeight="1"/>
    <row r="7667" ht="15.75" hidden="1" customHeight="1"/>
    <row r="7668" ht="15.75" hidden="1" customHeight="1"/>
    <row r="7669" ht="15.75" hidden="1" customHeight="1"/>
    <row r="7670" ht="15.75" hidden="1" customHeight="1"/>
    <row r="7671" ht="15.75" hidden="1" customHeight="1"/>
    <row r="7672" ht="15.75" hidden="1" customHeight="1"/>
    <row r="7673" ht="15.75" hidden="1" customHeight="1"/>
    <row r="7674" ht="15.75" hidden="1" customHeight="1"/>
    <row r="7675" ht="15.75" hidden="1" customHeight="1"/>
    <row r="7676" ht="15.75" hidden="1" customHeight="1"/>
    <row r="7677" ht="15.75" hidden="1" customHeight="1"/>
    <row r="7678" ht="15.75" hidden="1" customHeight="1"/>
    <row r="7679" ht="15.75" hidden="1" customHeight="1"/>
    <row r="7680" ht="15.75" hidden="1" customHeight="1"/>
    <row r="7681" ht="15.75" hidden="1" customHeight="1"/>
    <row r="7682" ht="15.75" hidden="1" customHeight="1"/>
    <row r="7683" ht="15.75" hidden="1" customHeight="1"/>
    <row r="7684" ht="15.75" hidden="1" customHeight="1"/>
    <row r="7685" ht="15.75" hidden="1" customHeight="1"/>
    <row r="7686" ht="15.75" hidden="1" customHeight="1"/>
    <row r="7687" ht="15.75" hidden="1" customHeight="1"/>
    <row r="7688" ht="15.75" hidden="1" customHeight="1"/>
    <row r="7689" ht="15.75" hidden="1" customHeight="1"/>
    <row r="7690" ht="15.75" hidden="1" customHeight="1"/>
    <row r="7691" ht="15.75" hidden="1" customHeight="1"/>
    <row r="7692" ht="15.75" hidden="1" customHeight="1"/>
    <row r="7693" ht="15.75" hidden="1" customHeight="1"/>
    <row r="7694" ht="15.75" hidden="1" customHeight="1"/>
    <row r="7695" ht="15.75" hidden="1" customHeight="1"/>
    <row r="7696" ht="15.75" hidden="1" customHeight="1"/>
    <row r="7697" ht="15.75" hidden="1" customHeight="1"/>
    <row r="7698" ht="15.75" hidden="1" customHeight="1"/>
    <row r="7699" ht="15.75" hidden="1" customHeight="1"/>
    <row r="7700" ht="15.75" hidden="1" customHeight="1"/>
    <row r="7701" ht="15.75" hidden="1" customHeight="1"/>
    <row r="7702" ht="15.75" hidden="1" customHeight="1"/>
    <row r="7703" ht="15.75" hidden="1" customHeight="1"/>
    <row r="7704" ht="15.75" hidden="1" customHeight="1"/>
    <row r="7705" ht="15.75" hidden="1" customHeight="1"/>
    <row r="7706" ht="15.75" hidden="1" customHeight="1"/>
    <row r="7707" ht="15.75" hidden="1" customHeight="1"/>
    <row r="7708" ht="15.75" hidden="1" customHeight="1"/>
    <row r="7709" ht="15.75" hidden="1" customHeight="1"/>
    <row r="7710" ht="15.75" hidden="1" customHeight="1"/>
    <row r="7711" ht="15.75" hidden="1" customHeight="1"/>
    <row r="7712" ht="15.75" hidden="1" customHeight="1"/>
    <row r="7713" ht="15.75" hidden="1" customHeight="1"/>
    <row r="7714" ht="15.75" hidden="1" customHeight="1"/>
    <row r="7715" ht="15.75" hidden="1" customHeight="1"/>
    <row r="7716" ht="15.75" hidden="1" customHeight="1"/>
    <row r="7717" ht="15.75" hidden="1" customHeight="1"/>
    <row r="7718" ht="15.75" hidden="1" customHeight="1"/>
    <row r="7719" ht="15.75" hidden="1" customHeight="1"/>
    <row r="7720" ht="15.75" hidden="1" customHeight="1"/>
    <row r="7721" ht="15.75" hidden="1" customHeight="1"/>
    <row r="7722" ht="15.75" hidden="1" customHeight="1"/>
    <row r="7723" ht="15.75" hidden="1" customHeight="1"/>
    <row r="7724" ht="15.75" hidden="1" customHeight="1"/>
    <row r="7725" ht="15.75" hidden="1" customHeight="1"/>
    <row r="7726" ht="15.75" hidden="1" customHeight="1"/>
    <row r="7727" ht="15.75" hidden="1" customHeight="1"/>
    <row r="7728" ht="15.75" hidden="1" customHeight="1"/>
    <row r="7729" ht="15.75" hidden="1" customHeight="1"/>
    <row r="7730" ht="15.75" hidden="1" customHeight="1"/>
    <row r="7731" ht="15.75" hidden="1" customHeight="1"/>
    <row r="7732" ht="15.75" hidden="1" customHeight="1"/>
    <row r="7733" ht="15.75" hidden="1" customHeight="1"/>
    <row r="7734" ht="15.75" hidden="1" customHeight="1"/>
    <row r="7735" ht="15.75" hidden="1" customHeight="1"/>
    <row r="7736" ht="15.75" hidden="1" customHeight="1"/>
    <row r="7737" ht="15.75" hidden="1" customHeight="1"/>
    <row r="7738" ht="15.75" hidden="1" customHeight="1"/>
    <row r="7739" ht="15.75" hidden="1" customHeight="1"/>
    <row r="7740" ht="15.75" hidden="1" customHeight="1"/>
    <row r="7741" ht="15.75" hidden="1" customHeight="1"/>
    <row r="7742" ht="15.75" hidden="1" customHeight="1"/>
    <row r="7743" ht="15.75" hidden="1" customHeight="1"/>
    <row r="7744" ht="15.75" hidden="1" customHeight="1"/>
    <row r="7745" ht="15.75" hidden="1" customHeight="1"/>
    <row r="7746" ht="15.75" hidden="1" customHeight="1"/>
    <row r="7747" ht="15.75" hidden="1" customHeight="1"/>
    <row r="7748" ht="15.75" hidden="1" customHeight="1"/>
    <row r="7749" ht="15.75" hidden="1" customHeight="1"/>
    <row r="7750" ht="15.75" hidden="1" customHeight="1"/>
    <row r="7751" ht="15.75" hidden="1" customHeight="1"/>
    <row r="7752" ht="15.75" hidden="1" customHeight="1"/>
    <row r="7753" ht="15.75" hidden="1" customHeight="1"/>
    <row r="7754" ht="15.75" hidden="1" customHeight="1"/>
    <row r="7755" ht="15.75" hidden="1" customHeight="1"/>
    <row r="7756" ht="15.75" hidden="1" customHeight="1"/>
    <row r="7757" ht="15.75" hidden="1" customHeight="1"/>
    <row r="7758" ht="15.75" hidden="1" customHeight="1"/>
    <row r="7759" ht="15.75" hidden="1" customHeight="1"/>
    <row r="7760" ht="15.75" hidden="1" customHeight="1"/>
    <row r="7761" ht="15.75" hidden="1" customHeight="1"/>
    <row r="7762" ht="15.75" hidden="1" customHeight="1"/>
    <row r="7763" ht="15.75" hidden="1" customHeight="1"/>
    <row r="7764" ht="15.75" hidden="1" customHeight="1"/>
    <row r="7765" ht="15.75" hidden="1" customHeight="1"/>
    <row r="7766" ht="15.75" hidden="1" customHeight="1"/>
    <row r="7767" ht="15.75" hidden="1" customHeight="1"/>
    <row r="7768" ht="15.75" hidden="1" customHeight="1"/>
    <row r="7769" ht="15.75" hidden="1" customHeight="1"/>
    <row r="7770" ht="15.75" hidden="1" customHeight="1"/>
    <row r="7771" ht="15.75" hidden="1" customHeight="1"/>
    <row r="7772" ht="15.75" hidden="1" customHeight="1"/>
    <row r="7773" ht="15.75" hidden="1" customHeight="1"/>
    <row r="7774" ht="15.75" hidden="1" customHeight="1"/>
    <row r="7775" ht="15.75" hidden="1" customHeight="1"/>
    <row r="7776" ht="15.75" hidden="1" customHeight="1"/>
    <row r="7777" ht="15.75" hidden="1" customHeight="1"/>
    <row r="7778" ht="15.75" hidden="1" customHeight="1"/>
    <row r="7779" ht="15.75" hidden="1" customHeight="1"/>
    <row r="7780" ht="15.75" hidden="1" customHeight="1"/>
    <row r="7781" ht="15.75" hidden="1" customHeight="1"/>
    <row r="7782" ht="15.75" hidden="1" customHeight="1"/>
    <row r="7783" ht="15.75" hidden="1" customHeight="1"/>
    <row r="7784" ht="15.75" hidden="1" customHeight="1"/>
    <row r="7785" ht="15.75" hidden="1" customHeight="1"/>
    <row r="7786" ht="15.75" hidden="1" customHeight="1"/>
    <row r="7787" ht="15.75" hidden="1" customHeight="1"/>
    <row r="7788" ht="15.75" hidden="1" customHeight="1"/>
    <row r="7789" ht="15.75" hidden="1" customHeight="1"/>
    <row r="7790" ht="15.75" hidden="1" customHeight="1"/>
    <row r="7791" ht="15.75" hidden="1" customHeight="1"/>
    <row r="7792" ht="15.75" hidden="1" customHeight="1"/>
    <row r="7793" ht="15.75" hidden="1" customHeight="1"/>
    <row r="7794" ht="15.75" hidden="1" customHeight="1"/>
    <row r="7795" ht="15.75" hidden="1" customHeight="1"/>
    <row r="7796" ht="15.75" hidden="1" customHeight="1"/>
    <row r="7797" ht="15.75" hidden="1" customHeight="1"/>
    <row r="7798" ht="15.75" hidden="1" customHeight="1"/>
    <row r="7799" ht="15.75" hidden="1" customHeight="1"/>
    <row r="7800" ht="15.75" hidden="1" customHeight="1"/>
    <row r="7801" ht="15.75" hidden="1" customHeight="1"/>
    <row r="7802" ht="15.75" hidden="1" customHeight="1"/>
    <row r="7803" ht="15.75" hidden="1" customHeight="1"/>
    <row r="7804" ht="15.75" hidden="1" customHeight="1"/>
    <row r="7805" ht="15.75" hidden="1" customHeight="1"/>
    <row r="7806" ht="15.75" hidden="1" customHeight="1"/>
    <row r="7807" ht="15.75" hidden="1" customHeight="1"/>
    <row r="7808" ht="15.75" hidden="1" customHeight="1"/>
    <row r="7809" ht="15.75" hidden="1" customHeight="1"/>
    <row r="7810" ht="15.75" hidden="1" customHeight="1"/>
    <row r="7811" ht="15.75" hidden="1" customHeight="1"/>
    <row r="7812" ht="15.75" hidden="1" customHeight="1"/>
    <row r="7813" ht="15.75" hidden="1" customHeight="1"/>
    <row r="7814" ht="15.75" hidden="1" customHeight="1"/>
    <row r="7815" ht="15.75" hidden="1" customHeight="1"/>
    <row r="7816" ht="15.75" hidden="1" customHeight="1"/>
    <row r="7817" ht="15.75" hidden="1" customHeight="1"/>
    <row r="7818" ht="15.75" hidden="1" customHeight="1"/>
    <row r="7819" ht="15.75" hidden="1" customHeight="1"/>
    <row r="7820" ht="15.75" hidden="1" customHeight="1"/>
    <row r="7821" ht="15.75" hidden="1" customHeight="1"/>
    <row r="7822" ht="15.75" hidden="1" customHeight="1"/>
    <row r="7823" ht="15.75" hidden="1" customHeight="1"/>
    <row r="7824" ht="15.75" hidden="1" customHeight="1"/>
    <row r="7825" ht="15.75" hidden="1" customHeight="1"/>
    <row r="7826" ht="15.75" hidden="1" customHeight="1"/>
    <row r="7827" ht="15.75" hidden="1" customHeight="1"/>
    <row r="7828" ht="15.75" hidden="1" customHeight="1"/>
    <row r="7829" ht="15.75" hidden="1" customHeight="1"/>
    <row r="7830" ht="15.75" hidden="1" customHeight="1"/>
    <row r="7831" ht="15.75" hidden="1" customHeight="1"/>
    <row r="7832" ht="15.75" hidden="1" customHeight="1"/>
    <row r="7833" ht="15.75" hidden="1" customHeight="1"/>
    <row r="7834" ht="15.75" hidden="1" customHeight="1"/>
    <row r="7835" ht="15.75" hidden="1" customHeight="1"/>
    <row r="7836" ht="15.75" hidden="1" customHeight="1"/>
    <row r="7837" ht="15.75" hidden="1" customHeight="1"/>
    <row r="7838" ht="15.75" hidden="1" customHeight="1"/>
    <row r="7839" ht="15.75" hidden="1" customHeight="1"/>
    <row r="7840" ht="15.75" hidden="1" customHeight="1"/>
    <row r="7841" ht="15.75" hidden="1" customHeight="1"/>
    <row r="7842" ht="15.75" hidden="1" customHeight="1"/>
    <row r="7843" ht="15.75" hidden="1" customHeight="1"/>
    <row r="7844" ht="15.75" hidden="1" customHeight="1"/>
    <row r="7845" ht="15.75" hidden="1" customHeight="1"/>
    <row r="7846" ht="15.75" hidden="1" customHeight="1"/>
    <row r="7847" ht="15.75" hidden="1" customHeight="1"/>
    <row r="7848" ht="15.75" hidden="1" customHeight="1"/>
    <row r="7849" ht="15.75" hidden="1" customHeight="1"/>
    <row r="7850" ht="15.75" hidden="1" customHeight="1"/>
    <row r="7851" ht="15.75" hidden="1" customHeight="1"/>
    <row r="7852" ht="15.75" hidden="1" customHeight="1"/>
    <row r="7853" ht="15.75" hidden="1" customHeight="1"/>
    <row r="7854" ht="15.75" hidden="1" customHeight="1"/>
    <row r="7855" ht="15.75" hidden="1" customHeight="1"/>
    <row r="7856" ht="15.75" hidden="1" customHeight="1"/>
    <row r="7857" ht="15.75" hidden="1" customHeight="1"/>
    <row r="7858" ht="15.75" hidden="1" customHeight="1"/>
    <row r="7859" ht="15.75" hidden="1" customHeight="1"/>
    <row r="7860" ht="15.75" hidden="1" customHeight="1"/>
    <row r="7861" ht="15.75" hidden="1" customHeight="1"/>
    <row r="7862" ht="15.75" hidden="1" customHeight="1"/>
    <row r="7863" ht="15.75" hidden="1" customHeight="1"/>
    <row r="7864" ht="15.75" hidden="1" customHeight="1"/>
    <row r="7865" ht="15.75" hidden="1" customHeight="1"/>
    <row r="7866" ht="15.75" hidden="1" customHeight="1"/>
    <row r="7867" ht="15.75" hidden="1" customHeight="1"/>
    <row r="7868" ht="15.75" hidden="1" customHeight="1"/>
    <row r="7869" ht="15.75" hidden="1" customHeight="1"/>
    <row r="7870" ht="15.75" hidden="1" customHeight="1"/>
    <row r="7871" ht="15.75" hidden="1" customHeight="1"/>
    <row r="7872" ht="15.75" hidden="1" customHeight="1"/>
    <row r="7873" ht="15.75" hidden="1" customHeight="1"/>
    <row r="7874" ht="15.75" hidden="1" customHeight="1"/>
    <row r="7875" ht="15.75" hidden="1" customHeight="1"/>
    <row r="7876" ht="15.75" hidden="1" customHeight="1"/>
    <row r="7877" ht="15.75" hidden="1" customHeight="1"/>
    <row r="7878" ht="15.75" hidden="1" customHeight="1"/>
    <row r="7879" ht="15.75" hidden="1" customHeight="1"/>
    <row r="7880" ht="15.75" hidden="1" customHeight="1"/>
    <row r="7881" ht="15.75" hidden="1" customHeight="1"/>
    <row r="7882" ht="15.75" hidden="1" customHeight="1"/>
    <row r="7883" ht="15.75" hidden="1" customHeight="1"/>
    <row r="7884" ht="15.75" hidden="1" customHeight="1"/>
    <row r="7885" ht="15.75" hidden="1" customHeight="1"/>
    <row r="7886" ht="15.75" hidden="1" customHeight="1"/>
    <row r="7887" ht="15.75" hidden="1" customHeight="1"/>
    <row r="7888" ht="15.75" hidden="1" customHeight="1"/>
    <row r="7889" ht="15.75" hidden="1" customHeight="1"/>
    <row r="7890" ht="15.75" hidden="1" customHeight="1"/>
    <row r="7891" ht="15.75" hidden="1" customHeight="1"/>
    <row r="7892" ht="15.75" hidden="1" customHeight="1"/>
    <row r="7893" ht="15.75" hidden="1" customHeight="1"/>
    <row r="7894" ht="15.75" hidden="1" customHeight="1"/>
    <row r="7895" ht="15.75" hidden="1" customHeight="1"/>
    <row r="7896" ht="15.75" hidden="1" customHeight="1"/>
    <row r="7897" ht="15.75" hidden="1" customHeight="1"/>
    <row r="7898" ht="15.75" hidden="1" customHeight="1"/>
    <row r="7899" ht="15.75" hidden="1" customHeight="1"/>
    <row r="7900" ht="15.75" hidden="1" customHeight="1"/>
    <row r="7901" ht="15.75" hidden="1" customHeight="1"/>
    <row r="7902" ht="15.75" hidden="1" customHeight="1"/>
    <row r="7903" ht="15.75" hidden="1" customHeight="1"/>
    <row r="7904" ht="15.75" hidden="1" customHeight="1"/>
    <row r="7905" ht="15.75" hidden="1" customHeight="1"/>
    <row r="7906" ht="15.75" hidden="1" customHeight="1"/>
    <row r="7907" ht="15.75" hidden="1" customHeight="1"/>
    <row r="7908" ht="15.75" hidden="1" customHeight="1"/>
    <row r="7909" ht="15.75" hidden="1" customHeight="1"/>
    <row r="7910" ht="15.75" hidden="1" customHeight="1"/>
    <row r="7911" ht="15.75" hidden="1" customHeight="1"/>
    <row r="7912" ht="15.75" hidden="1" customHeight="1"/>
    <row r="7913" ht="15.75" hidden="1" customHeight="1"/>
    <row r="7914" ht="15.75" hidden="1" customHeight="1"/>
    <row r="7915" ht="15.75" hidden="1" customHeight="1"/>
    <row r="7916" ht="15.75" hidden="1" customHeight="1"/>
    <row r="7917" ht="15.75" hidden="1" customHeight="1"/>
    <row r="7918" ht="15.75" hidden="1" customHeight="1"/>
    <row r="7919" ht="15.75" hidden="1" customHeight="1"/>
    <row r="7920" ht="15.75" hidden="1" customHeight="1"/>
    <row r="7921" ht="15.75" hidden="1" customHeight="1"/>
    <row r="7922" ht="15.75" hidden="1" customHeight="1"/>
    <row r="7923" ht="15.75" hidden="1" customHeight="1"/>
    <row r="7924" ht="15.75" hidden="1" customHeight="1"/>
    <row r="7925" ht="15.75" hidden="1" customHeight="1"/>
    <row r="7926" ht="15.75" hidden="1" customHeight="1"/>
    <row r="7927" ht="15.75" hidden="1" customHeight="1"/>
    <row r="7928" ht="15.75" hidden="1" customHeight="1"/>
    <row r="7929" ht="15.75" hidden="1" customHeight="1"/>
    <row r="7930" ht="15.75" hidden="1" customHeight="1"/>
    <row r="7931" ht="15.75" hidden="1" customHeight="1"/>
    <row r="7932" ht="15.75" hidden="1" customHeight="1"/>
    <row r="7933" ht="15.75" hidden="1" customHeight="1"/>
    <row r="7934" ht="15.75" hidden="1" customHeight="1"/>
    <row r="7935" ht="15.75" hidden="1" customHeight="1"/>
    <row r="7936" ht="15.75" hidden="1" customHeight="1"/>
    <row r="7937" ht="15.75" hidden="1" customHeight="1"/>
    <row r="7938" ht="15.75" hidden="1" customHeight="1"/>
    <row r="7939" ht="15.75" hidden="1" customHeight="1"/>
    <row r="7940" ht="15.75" hidden="1" customHeight="1"/>
    <row r="7941" ht="15.75" hidden="1" customHeight="1"/>
    <row r="7942" ht="15.75" hidden="1" customHeight="1"/>
    <row r="7943" ht="15.75" hidden="1" customHeight="1"/>
    <row r="7944" ht="15.75" hidden="1" customHeight="1"/>
    <row r="7945" ht="15.75" hidden="1" customHeight="1"/>
    <row r="7946" ht="15.75" hidden="1" customHeight="1"/>
    <row r="7947" ht="15.75" hidden="1" customHeight="1"/>
    <row r="7948" ht="15.75" hidden="1" customHeight="1"/>
    <row r="7949" ht="15.75" hidden="1" customHeight="1"/>
    <row r="7950" ht="15.75" hidden="1" customHeight="1"/>
    <row r="7951" ht="15.75" hidden="1" customHeight="1"/>
    <row r="7952" ht="15.75" hidden="1" customHeight="1"/>
    <row r="7953" ht="15.75" hidden="1" customHeight="1"/>
    <row r="7954" ht="15.75" hidden="1" customHeight="1"/>
    <row r="7955" ht="15.75" hidden="1" customHeight="1"/>
    <row r="7956" ht="15.75" hidden="1" customHeight="1"/>
    <row r="7957" ht="15.75" hidden="1" customHeight="1"/>
    <row r="7958" ht="15.75" hidden="1" customHeight="1"/>
    <row r="7959" ht="15.75" hidden="1" customHeight="1"/>
    <row r="7960" ht="15.75" hidden="1" customHeight="1"/>
    <row r="7961" ht="15.75" hidden="1" customHeight="1"/>
    <row r="7962" ht="15.75" hidden="1" customHeight="1"/>
    <row r="7963" ht="15.75" hidden="1" customHeight="1"/>
    <row r="7964" ht="15.75" hidden="1" customHeight="1"/>
    <row r="7965" ht="15.75" hidden="1" customHeight="1"/>
    <row r="7966" ht="15.75" hidden="1" customHeight="1"/>
    <row r="7967" ht="15.75" hidden="1" customHeight="1"/>
    <row r="7968" ht="15.75" hidden="1" customHeight="1"/>
    <row r="7969" ht="15.75" hidden="1" customHeight="1"/>
    <row r="7970" ht="15.75" hidden="1" customHeight="1"/>
    <row r="7971" ht="15.75" hidden="1" customHeight="1"/>
    <row r="7972" ht="15.75" hidden="1" customHeight="1"/>
    <row r="7973" ht="15.75" hidden="1" customHeight="1"/>
    <row r="7974" ht="15.75" hidden="1" customHeight="1"/>
    <row r="7975" ht="15.75" hidden="1" customHeight="1"/>
    <row r="7976" ht="15.75" hidden="1" customHeight="1"/>
    <row r="7977" ht="15.75" hidden="1" customHeight="1"/>
    <row r="7978" ht="15.75" hidden="1" customHeight="1"/>
    <row r="7979" ht="15.75" hidden="1" customHeight="1"/>
    <row r="7980" ht="15.75" hidden="1" customHeight="1"/>
    <row r="7981" ht="15.75" hidden="1" customHeight="1"/>
    <row r="7982" ht="15.75" hidden="1" customHeight="1"/>
    <row r="7983" ht="15.75" hidden="1" customHeight="1"/>
    <row r="7984" ht="15.75" hidden="1" customHeight="1"/>
    <row r="7985" ht="15.75" hidden="1" customHeight="1"/>
    <row r="7986" ht="15.75" hidden="1" customHeight="1"/>
    <row r="7987" ht="15.75" hidden="1" customHeight="1"/>
    <row r="7988" ht="15.75" hidden="1" customHeight="1"/>
    <row r="7989" ht="15.75" hidden="1" customHeight="1"/>
    <row r="7990" ht="15.75" hidden="1" customHeight="1"/>
    <row r="7991" ht="15.75" hidden="1" customHeight="1"/>
    <row r="7992" ht="15.75" hidden="1" customHeight="1"/>
    <row r="7993" ht="15.75" hidden="1" customHeight="1"/>
    <row r="7994" ht="15.75" hidden="1" customHeight="1"/>
    <row r="7995" ht="15.75" hidden="1" customHeight="1"/>
    <row r="7996" ht="15.75" hidden="1" customHeight="1"/>
    <row r="7997" ht="15.75" hidden="1" customHeight="1"/>
    <row r="7998" ht="15.75" hidden="1" customHeight="1"/>
    <row r="7999" ht="15.75" hidden="1" customHeight="1"/>
    <row r="8000" ht="15.75" hidden="1" customHeight="1"/>
    <row r="8001" ht="15.75" hidden="1" customHeight="1"/>
    <row r="8002" ht="15.75" hidden="1" customHeight="1"/>
    <row r="8003" ht="15.75" hidden="1" customHeight="1"/>
    <row r="8004" ht="15.75" hidden="1" customHeight="1"/>
    <row r="8005" ht="15.75" hidden="1" customHeight="1"/>
    <row r="8006" ht="15.75" hidden="1" customHeight="1"/>
    <row r="8007" ht="15.75" hidden="1" customHeight="1"/>
    <row r="8008" ht="15.75" hidden="1" customHeight="1"/>
    <row r="8009" ht="15.75" hidden="1" customHeight="1"/>
    <row r="8010" ht="15.75" hidden="1" customHeight="1"/>
    <row r="8011" ht="15.75" hidden="1" customHeight="1"/>
    <row r="8012" ht="15.75" hidden="1" customHeight="1"/>
    <row r="8013" ht="15.75" hidden="1" customHeight="1"/>
    <row r="8014" ht="15.75" hidden="1" customHeight="1"/>
    <row r="8015" ht="15.75" hidden="1" customHeight="1"/>
    <row r="8016" ht="15.75" hidden="1" customHeight="1"/>
    <row r="8017" ht="15.75" hidden="1" customHeight="1"/>
    <row r="8018" ht="15.75" hidden="1" customHeight="1"/>
    <row r="8019" ht="15.75" hidden="1" customHeight="1"/>
    <row r="8020" ht="15.75" hidden="1" customHeight="1"/>
    <row r="8021" ht="15.75" hidden="1" customHeight="1"/>
    <row r="8022" ht="15.75" hidden="1" customHeight="1"/>
    <row r="8023" ht="15.75" hidden="1" customHeight="1"/>
    <row r="8024" ht="15.75" hidden="1" customHeight="1"/>
    <row r="8025" ht="15.75" hidden="1" customHeight="1"/>
    <row r="8026" ht="15.75" hidden="1" customHeight="1"/>
    <row r="8027" ht="15.75" hidden="1" customHeight="1"/>
    <row r="8028" ht="15.75" hidden="1" customHeight="1"/>
    <row r="8029" ht="15.75" hidden="1" customHeight="1"/>
    <row r="8030" ht="15.75" hidden="1" customHeight="1"/>
    <row r="8031" ht="15.75" hidden="1" customHeight="1"/>
    <row r="8032" ht="15.75" hidden="1" customHeight="1"/>
    <row r="8033" ht="15.75" hidden="1" customHeight="1"/>
    <row r="8034" ht="15.75" hidden="1" customHeight="1"/>
    <row r="8035" ht="15.75" hidden="1" customHeight="1"/>
    <row r="8036" ht="15.75" hidden="1" customHeight="1"/>
    <row r="8037" ht="15.75" hidden="1" customHeight="1"/>
    <row r="8038" ht="15.75" hidden="1" customHeight="1"/>
    <row r="8039" ht="15.75" hidden="1" customHeight="1"/>
    <row r="8040" ht="15.75" hidden="1" customHeight="1"/>
    <row r="8041" ht="15.75" hidden="1" customHeight="1"/>
    <row r="8042" ht="15.75" hidden="1" customHeight="1"/>
    <row r="8043" ht="15.75" hidden="1" customHeight="1"/>
    <row r="8044" ht="15.75" hidden="1" customHeight="1"/>
    <row r="8045" ht="15.75" hidden="1" customHeight="1"/>
    <row r="8046" ht="15.75" hidden="1" customHeight="1"/>
    <row r="8047" ht="15.75" hidden="1" customHeight="1"/>
    <row r="8048" ht="15.75" hidden="1" customHeight="1"/>
    <row r="8049" ht="15.75" hidden="1" customHeight="1"/>
    <row r="8050" ht="15.75" hidden="1" customHeight="1"/>
    <row r="8051" ht="15.75" hidden="1" customHeight="1"/>
    <row r="8052" ht="15.75" hidden="1" customHeight="1"/>
    <row r="8053" ht="15.75" hidden="1" customHeight="1"/>
    <row r="8054" ht="15.75" hidden="1" customHeight="1"/>
    <row r="8055" ht="15.75" hidden="1" customHeight="1"/>
    <row r="8056" ht="15.75" hidden="1" customHeight="1"/>
    <row r="8057" ht="15.75" hidden="1" customHeight="1"/>
    <row r="8058" ht="15.75" hidden="1" customHeight="1"/>
    <row r="8059" ht="15.75" hidden="1" customHeight="1"/>
    <row r="8060" ht="15.75" hidden="1" customHeight="1"/>
    <row r="8061" ht="15.75" hidden="1" customHeight="1"/>
    <row r="8062" ht="15.75" hidden="1" customHeight="1"/>
    <row r="8063" ht="15.75" hidden="1" customHeight="1"/>
    <row r="8064" ht="15.75" hidden="1" customHeight="1"/>
    <row r="8065" ht="15.75" hidden="1" customHeight="1"/>
    <row r="8066" ht="15.75" hidden="1" customHeight="1"/>
    <row r="8067" ht="15.75" hidden="1" customHeight="1"/>
    <row r="8068" ht="15.75" hidden="1" customHeight="1"/>
    <row r="8069" ht="15.75" hidden="1" customHeight="1"/>
    <row r="8070" ht="15.75" hidden="1" customHeight="1"/>
    <row r="8071" ht="15.75" hidden="1" customHeight="1"/>
    <row r="8072" ht="15.75" hidden="1" customHeight="1"/>
    <row r="8073" ht="15.75" hidden="1" customHeight="1"/>
    <row r="8074" ht="15.75" hidden="1" customHeight="1"/>
    <row r="8075" ht="15.75" hidden="1" customHeight="1"/>
    <row r="8076" ht="15.75" hidden="1" customHeight="1"/>
    <row r="8077" ht="15.75" hidden="1" customHeight="1"/>
    <row r="8078" ht="15.75" hidden="1" customHeight="1"/>
    <row r="8079" ht="15.75" hidden="1" customHeight="1"/>
    <row r="8080" ht="15.75" hidden="1" customHeight="1"/>
    <row r="8081" ht="15.75" hidden="1" customHeight="1"/>
    <row r="8082" ht="15.75" hidden="1" customHeight="1"/>
    <row r="8083" ht="15.75" hidden="1" customHeight="1"/>
    <row r="8084" ht="15.75" hidden="1" customHeight="1"/>
    <row r="8085" ht="15.75" hidden="1" customHeight="1"/>
    <row r="8086" ht="15.75" hidden="1" customHeight="1"/>
    <row r="8087" ht="15.75" hidden="1" customHeight="1"/>
    <row r="8088" ht="15.75" hidden="1" customHeight="1"/>
    <row r="8089" ht="15.75" hidden="1" customHeight="1"/>
    <row r="8090" ht="15.75" hidden="1" customHeight="1"/>
    <row r="8091" ht="15.75" hidden="1" customHeight="1"/>
    <row r="8092" ht="15.75" hidden="1" customHeight="1"/>
    <row r="8093" ht="15.75" hidden="1" customHeight="1"/>
    <row r="8094" ht="15.75" hidden="1" customHeight="1"/>
    <row r="8095" ht="15.75" hidden="1" customHeight="1"/>
    <row r="8096" ht="15.75" hidden="1" customHeight="1"/>
    <row r="8097" ht="15.75" hidden="1" customHeight="1"/>
    <row r="8098" ht="15.75" hidden="1" customHeight="1"/>
    <row r="8099" ht="15.75" hidden="1" customHeight="1"/>
    <row r="8100" ht="15.75" hidden="1" customHeight="1"/>
    <row r="8101" ht="15.75" hidden="1" customHeight="1"/>
    <row r="8102" ht="15.75" hidden="1" customHeight="1"/>
    <row r="8103" ht="15.75" hidden="1" customHeight="1"/>
    <row r="8104" ht="15.75" hidden="1" customHeight="1"/>
    <row r="8105" ht="15.75" hidden="1" customHeight="1"/>
    <row r="8106" ht="15.75" hidden="1" customHeight="1"/>
    <row r="8107" ht="15.75" hidden="1" customHeight="1"/>
    <row r="8108" ht="15.75" hidden="1" customHeight="1"/>
    <row r="8109" ht="15.75" hidden="1" customHeight="1"/>
    <row r="8110" ht="15.75" hidden="1" customHeight="1"/>
    <row r="8111" ht="15.75" hidden="1" customHeight="1"/>
    <row r="8112" ht="15.75" hidden="1" customHeight="1"/>
    <row r="8113" ht="15.75" hidden="1" customHeight="1"/>
    <row r="8114" ht="15.75" hidden="1" customHeight="1"/>
    <row r="8115" ht="15.75" hidden="1" customHeight="1"/>
    <row r="8116" ht="15.75" hidden="1" customHeight="1"/>
    <row r="8117" ht="15.75" hidden="1" customHeight="1"/>
    <row r="8118" ht="15.75" hidden="1" customHeight="1"/>
    <row r="8119" ht="15.75" hidden="1" customHeight="1"/>
    <row r="8120" ht="15.75" hidden="1" customHeight="1"/>
    <row r="8121" ht="15.75" hidden="1" customHeight="1"/>
    <row r="8122" ht="15.75" hidden="1" customHeight="1"/>
    <row r="8123" ht="15.75" hidden="1" customHeight="1"/>
    <row r="8124" ht="15.75" hidden="1" customHeight="1"/>
    <row r="8125" ht="15.75" hidden="1" customHeight="1"/>
    <row r="8126" ht="15.75" hidden="1" customHeight="1"/>
    <row r="8127" ht="15.75" hidden="1" customHeight="1"/>
    <row r="8128" ht="15.75" hidden="1" customHeight="1"/>
    <row r="8129" ht="15.75" hidden="1" customHeight="1"/>
    <row r="8130" ht="15.75" hidden="1" customHeight="1"/>
    <row r="8131" ht="15.75" hidden="1" customHeight="1"/>
    <row r="8132" ht="15.75" hidden="1" customHeight="1"/>
    <row r="8133" ht="15.75" hidden="1" customHeight="1"/>
    <row r="8134" ht="15.75" hidden="1" customHeight="1"/>
    <row r="8135" ht="15.75" hidden="1" customHeight="1"/>
    <row r="8136" ht="15.75" hidden="1" customHeight="1"/>
    <row r="8137" ht="15.75" hidden="1" customHeight="1"/>
    <row r="8138" ht="15.75" hidden="1" customHeight="1"/>
    <row r="8139" ht="15.75" hidden="1" customHeight="1"/>
    <row r="8140" ht="15.75" hidden="1" customHeight="1"/>
    <row r="8141" ht="15.75" hidden="1" customHeight="1"/>
    <row r="8142" ht="15.75" hidden="1" customHeight="1"/>
    <row r="8143" ht="15.75" hidden="1" customHeight="1"/>
    <row r="8144" ht="15.75" hidden="1" customHeight="1"/>
    <row r="8145" ht="15.75" hidden="1" customHeight="1"/>
    <row r="8146" ht="15.75" hidden="1" customHeight="1"/>
    <row r="8147" ht="15.75" hidden="1" customHeight="1"/>
    <row r="8148" ht="15.75" hidden="1" customHeight="1"/>
    <row r="8149" ht="15.75" hidden="1" customHeight="1"/>
    <row r="8150" ht="15.75" hidden="1" customHeight="1"/>
    <row r="8151" ht="15.75" hidden="1" customHeight="1"/>
    <row r="8152" ht="15.75" hidden="1" customHeight="1"/>
    <row r="8153" ht="15.75" hidden="1" customHeight="1"/>
    <row r="8154" ht="15.75" hidden="1" customHeight="1"/>
    <row r="8155" ht="15.75" hidden="1" customHeight="1"/>
    <row r="8156" ht="15.75" hidden="1" customHeight="1"/>
    <row r="8157" ht="15.75" hidden="1" customHeight="1"/>
    <row r="8158" ht="15.75" hidden="1" customHeight="1"/>
    <row r="8159" ht="15.75" hidden="1" customHeight="1"/>
    <row r="8160" ht="15.75" hidden="1" customHeight="1"/>
    <row r="8161" ht="15.75" hidden="1" customHeight="1"/>
    <row r="8162" ht="15.75" hidden="1" customHeight="1"/>
    <row r="8163" ht="15.75" hidden="1" customHeight="1"/>
    <row r="8164" ht="15.75" hidden="1" customHeight="1"/>
    <row r="8165" ht="15.75" hidden="1" customHeight="1"/>
    <row r="8166" ht="15.75" hidden="1" customHeight="1"/>
    <row r="8167" ht="15.75" hidden="1" customHeight="1"/>
    <row r="8168" ht="15.75" hidden="1" customHeight="1"/>
    <row r="8169" ht="15.75" hidden="1" customHeight="1"/>
    <row r="8170" ht="15.75" hidden="1" customHeight="1"/>
    <row r="8171" ht="15.75" hidden="1" customHeight="1"/>
    <row r="8172" ht="15.75" hidden="1" customHeight="1"/>
    <row r="8173" ht="15.75" hidden="1" customHeight="1"/>
    <row r="8174" ht="15.75" hidden="1" customHeight="1"/>
    <row r="8175" ht="15.75" hidden="1" customHeight="1"/>
    <row r="8176" ht="15.75" hidden="1" customHeight="1"/>
    <row r="8177" ht="15.75" hidden="1" customHeight="1"/>
    <row r="8178" ht="15.75" hidden="1" customHeight="1"/>
    <row r="8179" ht="15.75" hidden="1" customHeight="1"/>
    <row r="8180" ht="15.75" hidden="1" customHeight="1"/>
    <row r="8181" ht="15.75" hidden="1" customHeight="1"/>
    <row r="8182" ht="15.75" hidden="1" customHeight="1"/>
    <row r="8183" ht="15.75" hidden="1" customHeight="1"/>
    <row r="8184" ht="15.75" hidden="1" customHeight="1"/>
    <row r="8185" ht="15.75" hidden="1" customHeight="1"/>
    <row r="8186" ht="15.75" hidden="1" customHeight="1"/>
    <row r="8187" ht="15.75" hidden="1" customHeight="1"/>
    <row r="8188" ht="15.75" hidden="1" customHeight="1"/>
    <row r="8189" ht="15.75" hidden="1" customHeight="1"/>
    <row r="8190" ht="15.75" hidden="1" customHeight="1"/>
    <row r="8191" ht="15.75" hidden="1" customHeight="1"/>
    <row r="8192" ht="15.75" hidden="1" customHeight="1"/>
    <row r="8193" ht="15.75" hidden="1" customHeight="1"/>
    <row r="8194" ht="15.75" hidden="1" customHeight="1"/>
    <row r="8195" ht="15.75" hidden="1" customHeight="1"/>
    <row r="8196" ht="15.75" hidden="1" customHeight="1"/>
    <row r="8197" ht="15.75" hidden="1" customHeight="1"/>
    <row r="8198" ht="15.75" hidden="1" customHeight="1"/>
    <row r="8199" ht="15.75" hidden="1" customHeight="1"/>
    <row r="8200" ht="15.75" hidden="1" customHeight="1"/>
    <row r="8201" ht="15.75" hidden="1" customHeight="1"/>
    <row r="8202" ht="15.75" hidden="1" customHeight="1"/>
    <row r="8203" ht="15.75" hidden="1" customHeight="1"/>
    <row r="8204" ht="15.75" hidden="1" customHeight="1"/>
    <row r="8205" ht="15.75" hidden="1" customHeight="1"/>
    <row r="8206" ht="15.75" hidden="1" customHeight="1"/>
    <row r="8207" ht="15.75" hidden="1" customHeight="1"/>
    <row r="8208" ht="15.75" hidden="1" customHeight="1"/>
    <row r="8209" ht="15.75" hidden="1" customHeight="1"/>
    <row r="8210" ht="15.75" hidden="1" customHeight="1"/>
    <row r="8211" ht="15.75" hidden="1" customHeight="1"/>
    <row r="8212" ht="15.75" hidden="1" customHeight="1"/>
    <row r="8213" ht="15.75" hidden="1" customHeight="1"/>
    <row r="8214" ht="15.75" hidden="1" customHeight="1"/>
    <row r="8215" ht="15.75" hidden="1" customHeight="1"/>
    <row r="8216" ht="15.75" hidden="1" customHeight="1"/>
    <row r="8217" ht="15.75" hidden="1" customHeight="1"/>
    <row r="8218" ht="15.75" hidden="1" customHeight="1"/>
    <row r="8219" ht="15.75" hidden="1" customHeight="1"/>
    <row r="8220" ht="15.75" hidden="1" customHeight="1"/>
    <row r="8221" ht="15.75" hidden="1" customHeight="1"/>
    <row r="8222" ht="15.75" hidden="1" customHeight="1"/>
    <row r="8223" ht="15.75" hidden="1" customHeight="1"/>
    <row r="8224" ht="15.75" hidden="1" customHeight="1"/>
    <row r="8225" ht="15.75" hidden="1" customHeight="1"/>
    <row r="8226" ht="15.75" hidden="1" customHeight="1"/>
    <row r="8227" ht="15.75" hidden="1" customHeight="1"/>
    <row r="8228" ht="15.75" hidden="1" customHeight="1"/>
    <row r="8229" ht="15.75" hidden="1" customHeight="1"/>
    <row r="8230" ht="15.75" hidden="1" customHeight="1"/>
    <row r="8231" ht="15.75" hidden="1" customHeight="1"/>
    <row r="8232" ht="15.75" hidden="1" customHeight="1"/>
    <row r="8233" ht="15.75" hidden="1" customHeight="1"/>
    <row r="8234" ht="15.75" hidden="1" customHeight="1"/>
    <row r="8235" ht="15.75" hidden="1" customHeight="1"/>
    <row r="8236" ht="15.75" hidden="1" customHeight="1"/>
    <row r="8237" ht="15.75" hidden="1" customHeight="1"/>
    <row r="8238" ht="15.75" hidden="1" customHeight="1"/>
    <row r="8239" ht="15.75" hidden="1" customHeight="1"/>
    <row r="8240" ht="15.75" hidden="1" customHeight="1"/>
    <row r="8241" ht="15.75" hidden="1" customHeight="1"/>
    <row r="8242" ht="15.75" hidden="1" customHeight="1"/>
    <row r="8243" ht="15.75" hidden="1" customHeight="1"/>
    <row r="8244" ht="15.75" hidden="1" customHeight="1"/>
    <row r="8245" ht="15.75" hidden="1" customHeight="1"/>
    <row r="8246" ht="15.75" hidden="1" customHeight="1"/>
    <row r="8247" ht="15.75" hidden="1" customHeight="1"/>
    <row r="8248" ht="15.75" hidden="1" customHeight="1"/>
    <row r="8249" ht="15.75" hidden="1" customHeight="1"/>
    <row r="8250" ht="15.75" hidden="1" customHeight="1"/>
    <row r="8251" ht="15.75" hidden="1" customHeight="1"/>
    <row r="8252" ht="15.75" hidden="1" customHeight="1"/>
    <row r="8253" ht="15.75" hidden="1" customHeight="1"/>
    <row r="8254" ht="15.75" hidden="1" customHeight="1"/>
    <row r="8255" ht="15.75" hidden="1" customHeight="1"/>
    <row r="8256" ht="15.75" hidden="1" customHeight="1"/>
    <row r="8257" ht="15.75" hidden="1" customHeight="1"/>
    <row r="8258" ht="15.75" hidden="1" customHeight="1"/>
    <row r="8259" ht="15.75" hidden="1" customHeight="1"/>
    <row r="8260" ht="15.75" hidden="1" customHeight="1"/>
    <row r="8261" ht="15.75" hidden="1" customHeight="1"/>
    <row r="8262" ht="15.75" hidden="1" customHeight="1"/>
    <row r="8263" ht="15.75" hidden="1" customHeight="1"/>
    <row r="8264" ht="15.75" hidden="1" customHeight="1"/>
    <row r="8265" ht="15.75" hidden="1" customHeight="1"/>
    <row r="8266" ht="15.75" hidden="1" customHeight="1"/>
    <row r="8267" ht="15.75" hidden="1" customHeight="1"/>
    <row r="8268" ht="15.75" hidden="1" customHeight="1"/>
    <row r="8269" ht="15.75" hidden="1" customHeight="1"/>
    <row r="8270" ht="15.75" hidden="1" customHeight="1"/>
    <row r="8271" ht="15.75" hidden="1" customHeight="1"/>
    <row r="8272" ht="15.75" hidden="1" customHeight="1"/>
    <row r="8273" ht="15.75" hidden="1" customHeight="1"/>
    <row r="8274" ht="15.75" hidden="1" customHeight="1"/>
    <row r="8275" ht="15.75" hidden="1" customHeight="1"/>
    <row r="8276" ht="15.75" hidden="1" customHeight="1"/>
    <row r="8277" ht="15.75" hidden="1" customHeight="1"/>
    <row r="8278" ht="15.75" hidden="1" customHeight="1"/>
    <row r="8279" ht="15.75" hidden="1" customHeight="1"/>
    <row r="8280" ht="15.75" hidden="1" customHeight="1"/>
    <row r="8281" ht="15.75" hidden="1" customHeight="1"/>
    <row r="8282" ht="15.75" hidden="1" customHeight="1"/>
    <row r="8283" ht="15.75" hidden="1" customHeight="1"/>
    <row r="8284" ht="15.75" hidden="1" customHeight="1"/>
    <row r="8285" ht="15.75" hidden="1" customHeight="1"/>
    <row r="8286" ht="15.75" hidden="1" customHeight="1"/>
    <row r="8287" ht="15.75" hidden="1" customHeight="1"/>
    <row r="8288" ht="15.75" hidden="1" customHeight="1"/>
    <row r="8289" ht="15.75" hidden="1" customHeight="1"/>
    <row r="8290" ht="15.75" hidden="1" customHeight="1"/>
    <row r="8291" ht="15.75" hidden="1" customHeight="1"/>
    <row r="8292" ht="15.75" hidden="1" customHeight="1"/>
    <row r="8293" ht="15.75" hidden="1" customHeight="1"/>
    <row r="8294" ht="15.75" hidden="1" customHeight="1"/>
    <row r="8295" ht="15.75" hidden="1" customHeight="1"/>
    <row r="8296" ht="15.75" hidden="1" customHeight="1"/>
    <row r="8297" ht="15.75" hidden="1" customHeight="1"/>
    <row r="8298" ht="15.75" hidden="1" customHeight="1"/>
    <row r="8299" ht="15.75" hidden="1" customHeight="1"/>
    <row r="8300" ht="15.75" hidden="1" customHeight="1"/>
    <row r="8301" ht="15.75" hidden="1" customHeight="1"/>
    <row r="8302" ht="15.75" hidden="1" customHeight="1"/>
    <row r="8303" ht="15.75" hidden="1" customHeight="1"/>
    <row r="8304" ht="15.75" hidden="1" customHeight="1"/>
    <row r="8305" ht="15.75" hidden="1" customHeight="1"/>
    <row r="8306" ht="15.75" hidden="1" customHeight="1"/>
    <row r="8307" ht="15.75" hidden="1" customHeight="1"/>
    <row r="8308" ht="15.75" hidden="1" customHeight="1"/>
    <row r="8309" ht="15.75" hidden="1" customHeight="1"/>
    <row r="8310" ht="15.75" hidden="1" customHeight="1"/>
    <row r="8311" ht="15.75" hidden="1" customHeight="1"/>
    <row r="8312" ht="15.75" hidden="1" customHeight="1"/>
    <row r="8313" ht="15.75" hidden="1" customHeight="1"/>
    <row r="8314" ht="15.75" hidden="1" customHeight="1"/>
    <row r="8315" ht="15.75" hidden="1" customHeight="1"/>
    <row r="8316" ht="15.75" hidden="1" customHeight="1"/>
    <row r="8317" ht="15.75" hidden="1" customHeight="1"/>
    <row r="8318" ht="15.75" hidden="1" customHeight="1"/>
    <row r="8319" ht="15.75" hidden="1" customHeight="1"/>
    <row r="8320" ht="15.75" hidden="1" customHeight="1"/>
    <row r="8321" ht="15.75" hidden="1" customHeight="1"/>
    <row r="8322" ht="15.75" hidden="1" customHeight="1"/>
    <row r="8323" ht="15.75" hidden="1" customHeight="1"/>
    <row r="8324" ht="15.75" hidden="1" customHeight="1"/>
    <row r="8325" ht="15.75" hidden="1" customHeight="1"/>
    <row r="8326" ht="15.75" hidden="1" customHeight="1"/>
    <row r="8327" ht="15.75" hidden="1" customHeight="1"/>
    <row r="8328" ht="15.75" hidden="1" customHeight="1"/>
    <row r="8329" ht="15.75" hidden="1" customHeight="1"/>
    <row r="8330" ht="15.75" hidden="1" customHeight="1"/>
    <row r="8331" ht="15.75" hidden="1" customHeight="1"/>
    <row r="8332" ht="15.75" hidden="1" customHeight="1"/>
    <row r="8333" ht="15.75" hidden="1" customHeight="1"/>
    <row r="8334" ht="15.75" hidden="1" customHeight="1"/>
    <row r="8335" ht="15.75" hidden="1" customHeight="1"/>
    <row r="8336" ht="15.75" hidden="1" customHeight="1"/>
    <row r="8337" ht="15.75" hidden="1" customHeight="1"/>
    <row r="8338" ht="15.75" hidden="1" customHeight="1"/>
    <row r="8339" ht="15.75" hidden="1" customHeight="1"/>
    <row r="8340" ht="15.75" hidden="1" customHeight="1"/>
    <row r="8341" ht="15.75" hidden="1" customHeight="1"/>
    <row r="8342" ht="15.75" hidden="1" customHeight="1"/>
    <row r="8343" ht="15.75" hidden="1" customHeight="1"/>
    <row r="8344" ht="15.75" hidden="1" customHeight="1"/>
    <row r="8345" ht="15.75" hidden="1" customHeight="1"/>
    <row r="8346" ht="15.75" hidden="1" customHeight="1"/>
    <row r="8347" ht="15.75" hidden="1" customHeight="1"/>
    <row r="8348" ht="15.75" hidden="1" customHeight="1"/>
    <row r="8349" ht="15.75" hidden="1" customHeight="1"/>
    <row r="8350" ht="15.75" hidden="1" customHeight="1"/>
    <row r="8351" ht="15.75" hidden="1" customHeight="1"/>
    <row r="8352" ht="15.75" hidden="1" customHeight="1"/>
    <row r="8353" ht="15.75" hidden="1" customHeight="1"/>
    <row r="8354" ht="15.75" hidden="1" customHeight="1"/>
    <row r="8355" ht="15.75" hidden="1" customHeight="1"/>
    <row r="8356" ht="15.75" hidden="1" customHeight="1"/>
    <row r="8357" ht="15.75" hidden="1" customHeight="1"/>
    <row r="8358" ht="15.75" hidden="1" customHeight="1"/>
    <row r="8359" ht="15.75" hidden="1" customHeight="1"/>
    <row r="8360" ht="15.75" hidden="1" customHeight="1"/>
    <row r="8361" ht="15.75" hidden="1" customHeight="1"/>
    <row r="8362" ht="15.75" hidden="1" customHeight="1"/>
    <row r="8363" ht="15.75" hidden="1" customHeight="1"/>
    <row r="8364" ht="15.75" hidden="1" customHeight="1"/>
    <row r="8365" ht="15.75" hidden="1" customHeight="1"/>
    <row r="8366" ht="15.75" hidden="1" customHeight="1"/>
    <row r="8367" ht="15.75" hidden="1" customHeight="1"/>
    <row r="8368" ht="15.75" hidden="1" customHeight="1"/>
    <row r="8369" ht="15.75" hidden="1" customHeight="1"/>
    <row r="8370" ht="15.75" hidden="1" customHeight="1"/>
    <row r="8371" ht="15.75" hidden="1" customHeight="1"/>
    <row r="8372" ht="15.75" hidden="1" customHeight="1"/>
    <row r="8373" ht="15.75" hidden="1" customHeight="1"/>
    <row r="8374" ht="15.75" hidden="1" customHeight="1"/>
    <row r="8375" ht="15.75" hidden="1" customHeight="1"/>
    <row r="8376" ht="15.75" hidden="1" customHeight="1"/>
    <row r="8377" ht="15.75" hidden="1" customHeight="1"/>
    <row r="8378" ht="15.75" hidden="1" customHeight="1"/>
    <row r="8379" ht="15.75" hidden="1" customHeight="1"/>
    <row r="8380" ht="15.75" hidden="1" customHeight="1"/>
    <row r="8381" ht="15.75" hidden="1" customHeight="1"/>
    <row r="8382" ht="15.75" hidden="1" customHeight="1"/>
    <row r="8383" ht="15.75" hidden="1" customHeight="1"/>
    <row r="8384" ht="15.75" hidden="1" customHeight="1"/>
    <row r="8385" ht="15.75" hidden="1" customHeight="1"/>
    <row r="8386" ht="15.75" hidden="1" customHeight="1"/>
    <row r="8387" ht="15.75" hidden="1" customHeight="1"/>
    <row r="8388" ht="15.75" hidden="1" customHeight="1"/>
    <row r="8389" ht="15.75" hidden="1" customHeight="1"/>
    <row r="8390" ht="15.75" hidden="1" customHeight="1"/>
    <row r="8391" ht="15.75" hidden="1" customHeight="1"/>
    <row r="8392" ht="15.75" hidden="1" customHeight="1"/>
    <row r="8393" ht="15.75" hidden="1" customHeight="1"/>
    <row r="8394" ht="15.75" hidden="1" customHeight="1"/>
    <row r="8395" ht="15.75" hidden="1" customHeight="1"/>
    <row r="8396" ht="15.75" hidden="1" customHeight="1"/>
    <row r="8397" ht="15.75" hidden="1" customHeight="1"/>
    <row r="8398" ht="15.75" hidden="1" customHeight="1"/>
    <row r="8399" ht="15.75" hidden="1" customHeight="1"/>
    <row r="8400" ht="15.75" hidden="1" customHeight="1"/>
    <row r="8401" ht="15.75" hidden="1" customHeight="1"/>
    <row r="8402" ht="15.75" hidden="1" customHeight="1"/>
    <row r="8403" ht="15.75" hidden="1" customHeight="1"/>
    <row r="8404" ht="15.75" hidden="1" customHeight="1"/>
    <row r="8405" ht="15.75" hidden="1" customHeight="1"/>
    <row r="8406" ht="15.75" hidden="1" customHeight="1"/>
    <row r="8407" ht="15.75" hidden="1" customHeight="1"/>
    <row r="8408" ht="15.75" hidden="1" customHeight="1"/>
    <row r="8409" ht="15.75" hidden="1" customHeight="1"/>
    <row r="8410" ht="15.75" hidden="1" customHeight="1"/>
    <row r="8411" ht="15.75" hidden="1" customHeight="1"/>
    <row r="8412" ht="15.75" hidden="1" customHeight="1"/>
    <row r="8413" ht="15.75" hidden="1" customHeight="1"/>
    <row r="8414" ht="15.75" hidden="1" customHeight="1"/>
    <row r="8415" ht="15.75" hidden="1" customHeight="1"/>
    <row r="8416" ht="15.75" hidden="1" customHeight="1"/>
    <row r="8417" ht="15.75" hidden="1" customHeight="1"/>
    <row r="8418" ht="15.75" hidden="1" customHeight="1"/>
    <row r="8419" ht="15.75" hidden="1" customHeight="1"/>
    <row r="8420" ht="15.75" hidden="1" customHeight="1"/>
    <row r="8421" ht="15.75" hidden="1" customHeight="1"/>
    <row r="8422" ht="15.75" hidden="1" customHeight="1"/>
    <row r="8423" ht="15.75" hidden="1" customHeight="1"/>
    <row r="8424" ht="15.75" hidden="1" customHeight="1"/>
    <row r="8425" ht="15.75" hidden="1" customHeight="1"/>
    <row r="8426" ht="15.75" hidden="1" customHeight="1"/>
    <row r="8427" ht="15.75" hidden="1" customHeight="1"/>
    <row r="8428" ht="15.75" hidden="1" customHeight="1"/>
    <row r="8429" ht="15.75" hidden="1" customHeight="1"/>
    <row r="8430" ht="15.75" hidden="1" customHeight="1"/>
    <row r="8431" ht="15.75" hidden="1" customHeight="1"/>
    <row r="8432" ht="15.75" hidden="1" customHeight="1"/>
    <row r="8433" ht="15.75" hidden="1" customHeight="1"/>
    <row r="8434" ht="15.75" hidden="1" customHeight="1"/>
    <row r="8435" ht="15.75" hidden="1" customHeight="1"/>
    <row r="8436" ht="15.75" hidden="1" customHeight="1"/>
    <row r="8437" ht="15.75" hidden="1" customHeight="1"/>
    <row r="8438" ht="15.75" hidden="1" customHeight="1"/>
    <row r="8439" ht="15.75" hidden="1" customHeight="1"/>
    <row r="8440" ht="15.75" hidden="1" customHeight="1"/>
    <row r="8441" ht="15.75" hidden="1" customHeight="1"/>
    <row r="8442" ht="15.75" hidden="1" customHeight="1"/>
    <row r="8443" ht="15.75" hidden="1" customHeight="1"/>
    <row r="8444" ht="15.75" hidden="1" customHeight="1"/>
    <row r="8445" ht="15.75" hidden="1" customHeight="1"/>
    <row r="8446" ht="15.75" hidden="1" customHeight="1"/>
    <row r="8447" ht="15.75" hidden="1" customHeight="1"/>
    <row r="8448" ht="15.75" hidden="1" customHeight="1"/>
    <row r="8449" ht="15.75" hidden="1" customHeight="1"/>
    <row r="8450" ht="15.75" hidden="1" customHeight="1"/>
    <row r="8451" ht="15.75" hidden="1" customHeight="1"/>
    <row r="8452" ht="15.75" hidden="1" customHeight="1"/>
    <row r="8453" ht="15.75" hidden="1" customHeight="1"/>
    <row r="8454" ht="15.75" hidden="1" customHeight="1"/>
    <row r="8455" ht="15.75" hidden="1" customHeight="1"/>
    <row r="8456" ht="15.75" hidden="1" customHeight="1"/>
    <row r="8457" ht="15.75" hidden="1" customHeight="1"/>
    <row r="8458" ht="15.75" hidden="1" customHeight="1"/>
    <row r="8459" ht="15.75" hidden="1" customHeight="1"/>
    <row r="8460" ht="15.75" hidden="1" customHeight="1"/>
    <row r="8461" ht="15.75" hidden="1" customHeight="1"/>
    <row r="8462" ht="15.75" hidden="1" customHeight="1"/>
    <row r="8463" ht="15.75" hidden="1" customHeight="1"/>
    <row r="8464" ht="15.75" hidden="1" customHeight="1"/>
    <row r="8465" ht="15.75" hidden="1" customHeight="1"/>
    <row r="8466" ht="15.75" hidden="1" customHeight="1"/>
    <row r="8467" ht="15.75" hidden="1" customHeight="1"/>
    <row r="8468" ht="15.75" hidden="1" customHeight="1"/>
    <row r="8469" ht="15.75" hidden="1" customHeight="1"/>
    <row r="8470" ht="15.75" hidden="1" customHeight="1"/>
    <row r="8471" ht="15.75" hidden="1" customHeight="1"/>
    <row r="8472" ht="15.75" hidden="1" customHeight="1"/>
    <row r="8473" ht="15.75" hidden="1" customHeight="1"/>
    <row r="8474" ht="15.75" hidden="1" customHeight="1"/>
    <row r="8475" ht="15.75" hidden="1" customHeight="1"/>
    <row r="8476" ht="15.75" hidden="1" customHeight="1"/>
    <row r="8477" ht="15.75" hidden="1" customHeight="1"/>
    <row r="8478" ht="15.75" hidden="1" customHeight="1"/>
    <row r="8479" ht="15.75" hidden="1" customHeight="1"/>
    <row r="8480" ht="15.75" hidden="1" customHeight="1"/>
    <row r="8481" ht="15.75" hidden="1" customHeight="1"/>
    <row r="8482" ht="15.75" hidden="1" customHeight="1"/>
    <row r="8483" ht="15.75" hidden="1" customHeight="1"/>
    <row r="8484" ht="15.75" hidden="1" customHeight="1"/>
    <row r="8485" ht="15.75" hidden="1" customHeight="1"/>
    <row r="8486" ht="15.75" hidden="1" customHeight="1"/>
    <row r="8487" ht="15.75" hidden="1" customHeight="1"/>
    <row r="8488" ht="15.75" hidden="1" customHeight="1"/>
    <row r="8489" ht="15.75" hidden="1" customHeight="1"/>
    <row r="8490" ht="15.75" hidden="1" customHeight="1"/>
    <row r="8491" ht="15.75" hidden="1" customHeight="1"/>
    <row r="8492" ht="15.75" hidden="1" customHeight="1"/>
    <row r="8493" ht="15.75" hidden="1" customHeight="1"/>
    <row r="8494" ht="15.75" hidden="1" customHeight="1"/>
    <row r="8495" ht="15.75" hidden="1" customHeight="1"/>
    <row r="8496" ht="15.75" hidden="1" customHeight="1"/>
    <row r="8497" ht="15.75" hidden="1" customHeight="1"/>
    <row r="8498" ht="15.75" hidden="1" customHeight="1"/>
    <row r="8499" ht="15.75" hidden="1" customHeight="1"/>
    <row r="8500" ht="15.75" hidden="1" customHeight="1"/>
    <row r="8501" ht="15.75" hidden="1" customHeight="1"/>
    <row r="8502" ht="15.75" hidden="1" customHeight="1"/>
    <row r="8503" ht="15.75" hidden="1" customHeight="1"/>
    <row r="8504" ht="15.75" hidden="1" customHeight="1"/>
    <row r="8505" ht="15.75" hidden="1" customHeight="1"/>
    <row r="8506" ht="15.75" hidden="1" customHeight="1"/>
    <row r="8507" ht="15.75" hidden="1" customHeight="1"/>
    <row r="8508" ht="15.75" hidden="1" customHeight="1"/>
    <row r="8509" ht="15.75" hidden="1" customHeight="1"/>
    <row r="8510" ht="15.75" hidden="1" customHeight="1"/>
    <row r="8511" ht="15.75" hidden="1" customHeight="1"/>
    <row r="8512" ht="15.75" hidden="1" customHeight="1"/>
    <row r="8513" ht="15.75" hidden="1" customHeight="1"/>
    <row r="8514" ht="15.75" hidden="1" customHeight="1"/>
    <row r="8515" ht="15.75" hidden="1" customHeight="1"/>
    <row r="8516" ht="15.75" hidden="1" customHeight="1"/>
    <row r="8517" ht="15.75" hidden="1" customHeight="1"/>
    <row r="8518" ht="15.75" hidden="1" customHeight="1"/>
    <row r="8519" ht="15.75" hidden="1" customHeight="1"/>
    <row r="8520" ht="15.75" hidden="1" customHeight="1"/>
    <row r="8521" ht="15.75" hidden="1" customHeight="1"/>
    <row r="8522" ht="15.75" hidden="1" customHeight="1"/>
    <row r="8523" ht="15.75" hidden="1" customHeight="1"/>
    <row r="8524" ht="15.75" hidden="1" customHeight="1"/>
    <row r="8525" ht="15.75" hidden="1" customHeight="1"/>
    <row r="8526" ht="15.75" hidden="1" customHeight="1"/>
    <row r="8527" ht="15.75" hidden="1" customHeight="1"/>
    <row r="8528" ht="15.75" hidden="1" customHeight="1"/>
    <row r="8529" ht="15.75" hidden="1" customHeight="1"/>
    <row r="8530" ht="15.75" hidden="1" customHeight="1"/>
    <row r="8531" ht="15.75" hidden="1" customHeight="1"/>
    <row r="8532" ht="15.75" hidden="1" customHeight="1"/>
    <row r="8533" ht="15.75" hidden="1" customHeight="1"/>
    <row r="8534" ht="15.75" hidden="1" customHeight="1"/>
    <row r="8535" ht="15.75" hidden="1" customHeight="1"/>
    <row r="8536" ht="15.75" hidden="1" customHeight="1"/>
    <row r="8537" ht="15.75" hidden="1" customHeight="1"/>
    <row r="8538" ht="15.75" hidden="1" customHeight="1"/>
    <row r="8539" ht="15.75" hidden="1" customHeight="1"/>
    <row r="8540" ht="15.75" hidden="1" customHeight="1"/>
    <row r="8541" ht="15.75" hidden="1" customHeight="1"/>
    <row r="8542" ht="15.75" hidden="1" customHeight="1"/>
    <row r="8543" ht="15.75" hidden="1" customHeight="1"/>
    <row r="8544" ht="15.75" hidden="1" customHeight="1"/>
    <row r="8545" ht="15.75" hidden="1" customHeight="1"/>
    <row r="8546" ht="15.75" hidden="1" customHeight="1"/>
    <row r="8547" ht="15.75" hidden="1" customHeight="1"/>
    <row r="8548" ht="15.75" hidden="1" customHeight="1"/>
    <row r="8549" ht="15.75" hidden="1" customHeight="1"/>
    <row r="8550" ht="15.75" hidden="1" customHeight="1"/>
    <row r="8551" ht="15.75" hidden="1" customHeight="1"/>
    <row r="8552" ht="15.75" hidden="1" customHeight="1"/>
    <row r="8553" ht="15.75" hidden="1" customHeight="1"/>
    <row r="8554" ht="15.75" hidden="1" customHeight="1"/>
    <row r="8555" ht="15.75" hidden="1" customHeight="1"/>
    <row r="8556" ht="15.75" hidden="1" customHeight="1"/>
    <row r="8557" ht="15.75" hidden="1" customHeight="1"/>
    <row r="8558" ht="15.75" hidden="1" customHeight="1"/>
    <row r="8559" ht="15.75" hidden="1" customHeight="1"/>
    <row r="8560" ht="15.75" hidden="1" customHeight="1"/>
    <row r="8561" ht="15.75" hidden="1" customHeight="1"/>
    <row r="8562" ht="15.75" hidden="1" customHeight="1"/>
    <row r="8563" ht="15.75" hidden="1" customHeight="1"/>
    <row r="8564" ht="15.75" hidden="1" customHeight="1"/>
    <row r="8565" ht="15.75" hidden="1" customHeight="1"/>
    <row r="8566" ht="15.75" hidden="1" customHeight="1"/>
    <row r="8567" ht="15.75" hidden="1" customHeight="1"/>
    <row r="8568" ht="15.75" hidden="1" customHeight="1"/>
    <row r="8569" ht="15.75" hidden="1" customHeight="1"/>
    <row r="8570" ht="15.75" hidden="1" customHeight="1"/>
    <row r="8571" ht="15.75" hidden="1" customHeight="1"/>
    <row r="8572" ht="15.75" hidden="1" customHeight="1"/>
    <row r="8573" ht="15.75" hidden="1" customHeight="1"/>
    <row r="8574" ht="15.75" hidden="1" customHeight="1"/>
    <row r="8575" ht="15.75" hidden="1" customHeight="1"/>
    <row r="8576" ht="15.75" hidden="1" customHeight="1"/>
    <row r="8577" ht="15.75" hidden="1" customHeight="1"/>
    <row r="8578" ht="15.75" hidden="1" customHeight="1"/>
    <row r="8579" ht="15.75" hidden="1" customHeight="1"/>
    <row r="8580" ht="15.75" hidden="1" customHeight="1"/>
    <row r="8581" ht="15.75" hidden="1" customHeight="1"/>
    <row r="8582" ht="15.75" hidden="1" customHeight="1"/>
    <row r="8583" ht="15.75" hidden="1" customHeight="1"/>
    <row r="8584" ht="15.75" hidden="1" customHeight="1"/>
    <row r="8585" ht="15.75" hidden="1" customHeight="1"/>
    <row r="8586" ht="15.75" hidden="1" customHeight="1"/>
    <row r="8587" ht="15.75" hidden="1" customHeight="1"/>
    <row r="8588" ht="15.75" hidden="1" customHeight="1"/>
    <row r="8589" ht="15.75" hidden="1" customHeight="1"/>
    <row r="8590" ht="15.75" hidden="1" customHeight="1"/>
    <row r="8591" ht="15.75" hidden="1" customHeight="1"/>
    <row r="8592" ht="15.75" hidden="1" customHeight="1"/>
    <row r="8593" ht="15.75" hidden="1" customHeight="1"/>
    <row r="8594" ht="15.75" hidden="1" customHeight="1"/>
    <row r="8595" ht="15.75" hidden="1" customHeight="1"/>
    <row r="8596" ht="15.75" hidden="1" customHeight="1"/>
    <row r="8597" ht="15.75" hidden="1" customHeight="1"/>
    <row r="8598" ht="15.75" hidden="1" customHeight="1"/>
    <row r="8599" ht="15.75" hidden="1" customHeight="1"/>
    <row r="8600" ht="15.75" hidden="1" customHeight="1"/>
    <row r="8601" ht="15.75" hidden="1" customHeight="1"/>
    <row r="8602" ht="15.75" hidden="1" customHeight="1"/>
    <row r="8603" ht="15.75" hidden="1" customHeight="1"/>
    <row r="8604" ht="15.75" hidden="1" customHeight="1"/>
    <row r="8605" ht="15.75" hidden="1" customHeight="1"/>
    <row r="8606" ht="15.75" hidden="1" customHeight="1"/>
    <row r="8607" ht="15.75" hidden="1" customHeight="1"/>
    <row r="8608" ht="15.75" hidden="1" customHeight="1"/>
    <row r="8609" ht="15.75" hidden="1" customHeight="1"/>
    <row r="8610" ht="15.75" hidden="1" customHeight="1"/>
    <row r="8611" ht="15.75" hidden="1" customHeight="1"/>
    <row r="8612" ht="15.75" hidden="1" customHeight="1"/>
    <row r="8613" ht="15.75" hidden="1" customHeight="1"/>
    <row r="8614" ht="15.75" hidden="1" customHeight="1"/>
    <row r="8615" ht="15.75" hidden="1" customHeight="1"/>
    <row r="8616" ht="15.75" hidden="1" customHeight="1"/>
    <row r="8617" ht="15.75" hidden="1" customHeight="1"/>
    <row r="8618" ht="15.75" hidden="1" customHeight="1"/>
    <row r="8619" ht="15.75" hidden="1" customHeight="1"/>
    <row r="8620" ht="15.75" hidden="1" customHeight="1"/>
    <row r="8621" ht="15.75" hidden="1" customHeight="1"/>
    <row r="8622" ht="15.75" hidden="1" customHeight="1"/>
    <row r="8623" ht="15.75" hidden="1" customHeight="1"/>
    <row r="8624" ht="15.75" hidden="1" customHeight="1"/>
    <row r="8625" ht="15.75" hidden="1" customHeight="1"/>
    <row r="8626" ht="15.75" hidden="1" customHeight="1"/>
    <row r="8627" ht="15.75" hidden="1" customHeight="1"/>
    <row r="8628" ht="15.75" hidden="1" customHeight="1"/>
    <row r="8629" ht="15.75" hidden="1" customHeight="1"/>
    <row r="8630" ht="15.75" hidden="1" customHeight="1"/>
    <row r="8631" ht="15.75" hidden="1" customHeight="1"/>
    <row r="8632" ht="15.75" hidden="1" customHeight="1"/>
    <row r="8633" ht="15.75" hidden="1" customHeight="1"/>
    <row r="8634" ht="15.75" hidden="1" customHeight="1"/>
    <row r="8635" ht="15.75" hidden="1" customHeight="1"/>
    <row r="8636" ht="15.75" hidden="1" customHeight="1"/>
    <row r="8637" ht="15.75" hidden="1" customHeight="1"/>
    <row r="8638" ht="15.75" hidden="1" customHeight="1"/>
    <row r="8639" ht="15.75" hidden="1" customHeight="1"/>
    <row r="8640" ht="15.75" hidden="1" customHeight="1"/>
    <row r="8641" ht="15.75" hidden="1" customHeight="1"/>
    <row r="8642" ht="15.75" hidden="1" customHeight="1"/>
    <row r="8643" ht="15.75" hidden="1" customHeight="1"/>
    <row r="8644" ht="15.75" hidden="1" customHeight="1"/>
    <row r="8645" ht="15.75" hidden="1" customHeight="1"/>
    <row r="8646" ht="15.75" hidden="1" customHeight="1"/>
    <row r="8647" ht="15.75" hidden="1" customHeight="1"/>
    <row r="8648" ht="15.75" hidden="1" customHeight="1"/>
    <row r="8649" ht="15.75" hidden="1" customHeight="1"/>
    <row r="8650" ht="15.75" hidden="1" customHeight="1"/>
    <row r="8651" ht="15.75" hidden="1" customHeight="1"/>
    <row r="8652" ht="15.75" hidden="1" customHeight="1"/>
    <row r="8653" ht="15.75" hidden="1" customHeight="1"/>
    <row r="8654" ht="15.75" hidden="1" customHeight="1"/>
    <row r="8655" ht="15.75" hidden="1" customHeight="1"/>
    <row r="8656" ht="15.75" hidden="1" customHeight="1"/>
    <row r="8657" ht="15.75" hidden="1" customHeight="1"/>
    <row r="8658" ht="15.75" hidden="1" customHeight="1"/>
    <row r="8659" ht="15.75" hidden="1" customHeight="1"/>
    <row r="8660" ht="15.75" hidden="1" customHeight="1"/>
    <row r="8661" ht="15.75" hidden="1" customHeight="1"/>
    <row r="8662" ht="15.75" hidden="1" customHeight="1"/>
    <row r="8663" ht="15.75" hidden="1" customHeight="1"/>
    <row r="8664" ht="15.75" hidden="1" customHeight="1"/>
    <row r="8665" ht="15.75" hidden="1" customHeight="1"/>
    <row r="8666" ht="15.75" hidden="1" customHeight="1"/>
    <row r="8667" ht="15.75" hidden="1" customHeight="1"/>
    <row r="8668" ht="15.75" hidden="1" customHeight="1"/>
    <row r="8669" ht="15.75" hidden="1" customHeight="1"/>
    <row r="8670" ht="15.75" hidden="1" customHeight="1"/>
    <row r="8671" ht="15.75" hidden="1" customHeight="1"/>
    <row r="8672" ht="15.75" hidden="1" customHeight="1"/>
    <row r="8673" ht="15.75" hidden="1" customHeight="1"/>
    <row r="8674" ht="15.75" hidden="1" customHeight="1"/>
    <row r="8675" ht="15.75" hidden="1" customHeight="1"/>
    <row r="8676" ht="15.75" hidden="1" customHeight="1"/>
    <row r="8677" ht="15.75" hidden="1" customHeight="1"/>
    <row r="8678" ht="15.75" hidden="1" customHeight="1"/>
    <row r="8679" ht="15.75" hidden="1" customHeight="1"/>
    <row r="8680" ht="15.75" hidden="1" customHeight="1"/>
    <row r="8681" ht="15.75" hidden="1" customHeight="1"/>
    <row r="8682" ht="15.75" hidden="1" customHeight="1"/>
    <row r="8683" ht="15.75" hidden="1" customHeight="1"/>
    <row r="8684" ht="15.75" hidden="1" customHeight="1"/>
    <row r="8685" ht="15.75" hidden="1" customHeight="1"/>
    <row r="8686" ht="15.75" hidden="1" customHeight="1"/>
    <row r="8687" ht="15.75" hidden="1" customHeight="1"/>
    <row r="8688" ht="15.75" hidden="1" customHeight="1"/>
    <row r="8689" ht="15.75" hidden="1" customHeight="1"/>
    <row r="8690" ht="15.75" hidden="1" customHeight="1"/>
    <row r="8691" ht="15.75" hidden="1" customHeight="1"/>
    <row r="8692" ht="15.75" hidden="1" customHeight="1"/>
    <row r="8693" ht="15.75" hidden="1" customHeight="1"/>
    <row r="8694" ht="15.75" hidden="1" customHeight="1"/>
    <row r="8695" ht="15.75" hidden="1" customHeight="1"/>
    <row r="8696" ht="15.75" hidden="1" customHeight="1"/>
    <row r="8697" ht="15.75" hidden="1" customHeight="1"/>
    <row r="8698" ht="15.75" hidden="1" customHeight="1"/>
    <row r="8699" ht="15.75" hidden="1" customHeight="1"/>
    <row r="8700" ht="15.75" hidden="1" customHeight="1"/>
    <row r="8701" ht="15.75" hidden="1" customHeight="1"/>
    <row r="8702" ht="15.75" hidden="1" customHeight="1"/>
    <row r="8703" ht="15.75" hidden="1" customHeight="1"/>
    <row r="8704" ht="15.75" hidden="1" customHeight="1"/>
    <row r="8705" ht="15.75" hidden="1" customHeight="1"/>
    <row r="8706" ht="15.75" hidden="1" customHeight="1"/>
    <row r="8707" ht="15.75" hidden="1" customHeight="1"/>
    <row r="8708" ht="15.75" hidden="1" customHeight="1"/>
    <row r="8709" ht="15.75" hidden="1" customHeight="1"/>
    <row r="8710" ht="15.75" hidden="1" customHeight="1"/>
    <row r="8711" ht="15.75" hidden="1" customHeight="1"/>
    <row r="8712" ht="15.75" hidden="1" customHeight="1"/>
    <row r="8713" ht="15.75" hidden="1" customHeight="1"/>
    <row r="8714" ht="15.75" hidden="1" customHeight="1"/>
    <row r="8715" ht="15.75" hidden="1" customHeight="1"/>
    <row r="8716" ht="15.75" hidden="1" customHeight="1"/>
    <row r="8717" ht="15.75" hidden="1" customHeight="1"/>
    <row r="8718" ht="15.75" hidden="1" customHeight="1"/>
    <row r="8719" ht="15.75" hidden="1" customHeight="1"/>
    <row r="8720" ht="15.75" hidden="1" customHeight="1"/>
    <row r="8721" ht="15.75" hidden="1" customHeight="1"/>
    <row r="8722" ht="15.75" hidden="1" customHeight="1"/>
    <row r="8723" ht="15.75" hidden="1" customHeight="1"/>
    <row r="8724" ht="15.75" hidden="1" customHeight="1"/>
    <row r="8725" ht="15.75" hidden="1" customHeight="1"/>
    <row r="8726" ht="15.75" hidden="1" customHeight="1"/>
    <row r="8727" ht="15.75" hidden="1" customHeight="1"/>
    <row r="8728" ht="15.75" hidden="1" customHeight="1"/>
    <row r="8729" ht="15.75" hidden="1" customHeight="1"/>
    <row r="8730" ht="15.75" hidden="1" customHeight="1"/>
    <row r="8731" ht="15.75" hidden="1" customHeight="1"/>
    <row r="8732" ht="15.75" hidden="1" customHeight="1"/>
    <row r="8733" ht="15.75" hidden="1" customHeight="1"/>
    <row r="8734" ht="15.75" hidden="1" customHeight="1"/>
    <row r="8735" ht="15.75" hidden="1" customHeight="1"/>
    <row r="8736" ht="15.75" hidden="1" customHeight="1"/>
    <row r="8737" ht="15.75" hidden="1" customHeight="1"/>
    <row r="8738" ht="15.75" hidden="1" customHeight="1"/>
    <row r="8739" ht="15.75" hidden="1" customHeight="1"/>
    <row r="8740" ht="15.75" hidden="1" customHeight="1"/>
    <row r="8741" ht="15.75" hidden="1" customHeight="1"/>
    <row r="8742" ht="15.75" hidden="1" customHeight="1"/>
    <row r="8743" ht="15.75" hidden="1" customHeight="1"/>
    <row r="8744" ht="15.75" hidden="1" customHeight="1"/>
    <row r="8745" ht="15.75" hidden="1" customHeight="1"/>
    <row r="8746" ht="15.75" hidden="1" customHeight="1"/>
    <row r="8747" ht="15.75" hidden="1" customHeight="1"/>
    <row r="8748" ht="15.75" hidden="1" customHeight="1"/>
    <row r="8749" ht="15.75" hidden="1" customHeight="1"/>
    <row r="8750" ht="15.75" hidden="1" customHeight="1"/>
    <row r="8751" ht="15.75" hidden="1" customHeight="1"/>
    <row r="8752" ht="15.75" hidden="1" customHeight="1"/>
    <row r="8753" ht="15.75" hidden="1" customHeight="1"/>
    <row r="8754" ht="15.75" hidden="1" customHeight="1"/>
    <row r="8755" ht="15.75" hidden="1" customHeight="1"/>
    <row r="8756" ht="15.75" hidden="1" customHeight="1"/>
    <row r="8757" ht="15.75" hidden="1" customHeight="1"/>
    <row r="8758" ht="15.75" hidden="1" customHeight="1"/>
    <row r="8759" ht="15.75" hidden="1" customHeight="1"/>
    <row r="8760" ht="15.75" hidden="1" customHeight="1"/>
    <row r="8761" ht="15.75" hidden="1" customHeight="1"/>
    <row r="8762" ht="15.75" hidden="1" customHeight="1"/>
    <row r="8763" ht="15.75" hidden="1" customHeight="1"/>
    <row r="8764" ht="15.75" hidden="1" customHeight="1"/>
    <row r="8765" ht="15.75" hidden="1" customHeight="1"/>
    <row r="8766" ht="15.75" hidden="1" customHeight="1"/>
    <row r="8767" ht="15.75" hidden="1" customHeight="1"/>
    <row r="8768" ht="15.75" hidden="1" customHeight="1"/>
    <row r="8769" ht="15.75" hidden="1" customHeight="1"/>
    <row r="8770" ht="15.75" hidden="1" customHeight="1"/>
    <row r="8771" ht="15.75" hidden="1" customHeight="1"/>
    <row r="8772" ht="15.75" hidden="1" customHeight="1"/>
    <row r="8773" ht="15.75" hidden="1" customHeight="1"/>
    <row r="8774" ht="15.75" hidden="1" customHeight="1"/>
    <row r="8775" ht="15.75" hidden="1" customHeight="1"/>
    <row r="8776" ht="15.75" hidden="1" customHeight="1"/>
    <row r="8777" ht="15.75" hidden="1" customHeight="1"/>
    <row r="8778" ht="15.75" hidden="1" customHeight="1"/>
    <row r="8779" ht="15.75" hidden="1" customHeight="1"/>
    <row r="8780" ht="15.75" hidden="1" customHeight="1"/>
    <row r="8781" ht="15.75" hidden="1" customHeight="1"/>
    <row r="8782" ht="15.75" hidden="1" customHeight="1"/>
    <row r="8783" ht="15.75" hidden="1" customHeight="1"/>
    <row r="8784" ht="15.75" hidden="1" customHeight="1"/>
    <row r="8785" ht="15.75" hidden="1" customHeight="1"/>
    <row r="8786" ht="15.75" hidden="1" customHeight="1"/>
    <row r="8787" ht="15.75" hidden="1" customHeight="1"/>
    <row r="8788" ht="15.75" hidden="1" customHeight="1"/>
    <row r="8789" ht="15.75" hidden="1" customHeight="1"/>
    <row r="8790" ht="15.75" hidden="1" customHeight="1"/>
    <row r="8791" ht="15.75" hidden="1" customHeight="1"/>
    <row r="8792" ht="15.75" hidden="1" customHeight="1"/>
    <row r="8793" ht="15.75" hidden="1" customHeight="1"/>
    <row r="8794" ht="15.75" hidden="1" customHeight="1"/>
    <row r="8795" ht="15.75" hidden="1" customHeight="1"/>
    <row r="8796" ht="15.75" hidden="1" customHeight="1"/>
    <row r="8797" ht="15.75" hidden="1" customHeight="1"/>
    <row r="8798" ht="15.75" hidden="1" customHeight="1"/>
    <row r="8799" ht="15.75" hidden="1" customHeight="1"/>
    <row r="8800" ht="15.75" hidden="1" customHeight="1"/>
    <row r="8801" ht="15.75" hidden="1" customHeight="1"/>
    <row r="8802" ht="15.75" hidden="1" customHeight="1"/>
    <row r="8803" ht="15.75" hidden="1" customHeight="1"/>
    <row r="8804" ht="15.75" hidden="1" customHeight="1"/>
    <row r="8805" ht="15.75" hidden="1" customHeight="1"/>
    <row r="8806" ht="15.75" hidden="1" customHeight="1"/>
    <row r="8807" ht="15.75" hidden="1" customHeight="1"/>
    <row r="8808" ht="15.75" hidden="1" customHeight="1"/>
    <row r="8809" ht="15.75" hidden="1" customHeight="1"/>
    <row r="8810" ht="15.75" hidden="1" customHeight="1"/>
    <row r="8811" ht="15.75" hidden="1" customHeight="1"/>
    <row r="8812" ht="15.75" hidden="1" customHeight="1"/>
    <row r="8813" ht="15.75" hidden="1" customHeight="1"/>
    <row r="8814" ht="15.75" hidden="1" customHeight="1"/>
    <row r="8815" ht="15.75" hidden="1" customHeight="1"/>
    <row r="8816" ht="15.75" hidden="1" customHeight="1"/>
    <row r="8817" ht="15.75" hidden="1" customHeight="1"/>
    <row r="8818" ht="15.75" hidden="1" customHeight="1"/>
    <row r="8819" ht="15.75" hidden="1" customHeight="1"/>
    <row r="8820" ht="15.75" hidden="1" customHeight="1"/>
    <row r="8821" ht="15.75" hidden="1" customHeight="1"/>
    <row r="8822" ht="15.75" hidden="1" customHeight="1"/>
    <row r="8823" ht="15.75" hidden="1" customHeight="1"/>
    <row r="8824" ht="15.75" hidden="1" customHeight="1"/>
    <row r="8825" ht="15.75" hidden="1" customHeight="1"/>
    <row r="8826" ht="15.75" hidden="1" customHeight="1"/>
    <row r="8827" ht="15.75" hidden="1" customHeight="1"/>
    <row r="8828" ht="15.75" hidden="1" customHeight="1"/>
    <row r="8829" ht="15.75" hidden="1" customHeight="1"/>
    <row r="8830" ht="15.75" hidden="1" customHeight="1"/>
    <row r="8831" ht="15.75" hidden="1" customHeight="1"/>
    <row r="8832" ht="15.75" hidden="1" customHeight="1"/>
    <row r="8833" ht="15.75" hidden="1" customHeight="1"/>
    <row r="8834" ht="15.75" hidden="1" customHeight="1"/>
    <row r="8835" ht="15.75" hidden="1" customHeight="1"/>
    <row r="8836" ht="15.75" hidden="1" customHeight="1"/>
    <row r="8837" ht="15.75" hidden="1" customHeight="1"/>
    <row r="8838" ht="15.75" hidden="1" customHeight="1"/>
    <row r="8839" ht="15.75" hidden="1" customHeight="1"/>
    <row r="8840" ht="15.75" hidden="1" customHeight="1"/>
    <row r="8841" ht="15.75" hidden="1" customHeight="1"/>
    <row r="8842" ht="15.75" hidden="1" customHeight="1"/>
    <row r="8843" ht="15.75" hidden="1" customHeight="1"/>
    <row r="8844" ht="15.75" hidden="1" customHeight="1"/>
    <row r="8845" ht="15.75" hidden="1" customHeight="1"/>
    <row r="8846" ht="15.75" hidden="1" customHeight="1"/>
    <row r="8847" ht="15.75" hidden="1" customHeight="1"/>
    <row r="8848" ht="15.75" hidden="1" customHeight="1"/>
    <row r="8849" ht="15.75" hidden="1" customHeight="1"/>
    <row r="8850" ht="15.75" hidden="1" customHeight="1"/>
    <row r="8851" ht="15.75" hidden="1" customHeight="1"/>
    <row r="8852" ht="15.75" hidden="1" customHeight="1"/>
    <row r="8853" ht="15.75" hidden="1" customHeight="1"/>
    <row r="8854" ht="15.75" hidden="1" customHeight="1"/>
    <row r="8855" ht="15.75" hidden="1" customHeight="1"/>
    <row r="8856" ht="15.75" hidden="1" customHeight="1"/>
    <row r="8857" ht="15.75" hidden="1" customHeight="1"/>
    <row r="8858" ht="15.75" hidden="1" customHeight="1"/>
    <row r="8859" ht="15.75" hidden="1" customHeight="1"/>
    <row r="8860" ht="15.75" hidden="1" customHeight="1"/>
    <row r="8861" ht="15.75" hidden="1" customHeight="1"/>
    <row r="8862" ht="15.75" hidden="1" customHeight="1"/>
    <row r="8863" ht="15.75" hidden="1" customHeight="1"/>
    <row r="8864" ht="15.75" hidden="1" customHeight="1"/>
    <row r="8865" ht="15.75" hidden="1" customHeight="1"/>
    <row r="8866" ht="15.75" hidden="1" customHeight="1"/>
    <row r="8867" ht="15.75" hidden="1" customHeight="1"/>
    <row r="8868" ht="15.75" hidden="1" customHeight="1"/>
    <row r="8869" ht="15.75" hidden="1" customHeight="1"/>
    <row r="8870" ht="15.75" hidden="1" customHeight="1"/>
    <row r="8871" ht="15.75" hidden="1" customHeight="1"/>
    <row r="8872" ht="15.75" hidden="1" customHeight="1"/>
    <row r="8873" ht="15.75" hidden="1" customHeight="1"/>
    <row r="8874" ht="15.75" hidden="1" customHeight="1"/>
    <row r="8875" ht="15.75" hidden="1" customHeight="1"/>
    <row r="8876" ht="15.75" hidden="1" customHeight="1"/>
    <row r="8877" ht="15.75" hidden="1" customHeight="1"/>
    <row r="8878" ht="15.75" hidden="1" customHeight="1"/>
    <row r="8879" ht="15.75" hidden="1" customHeight="1"/>
    <row r="8880" ht="15.75" hidden="1" customHeight="1"/>
    <row r="8881" ht="15.75" hidden="1" customHeight="1"/>
    <row r="8882" ht="15.75" hidden="1" customHeight="1"/>
    <row r="8883" ht="15.75" hidden="1" customHeight="1"/>
    <row r="8884" ht="15.75" hidden="1" customHeight="1"/>
    <row r="8885" ht="15.75" hidden="1" customHeight="1"/>
    <row r="8886" ht="15.75" hidden="1" customHeight="1"/>
    <row r="8887" ht="15.75" hidden="1" customHeight="1"/>
    <row r="8888" ht="15.75" hidden="1" customHeight="1"/>
    <row r="8889" ht="15.75" hidden="1" customHeight="1"/>
    <row r="8890" ht="15.75" hidden="1" customHeight="1"/>
    <row r="8891" ht="15.75" hidden="1" customHeight="1"/>
    <row r="8892" ht="15.75" hidden="1" customHeight="1"/>
    <row r="8893" ht="15.75" hidden="1" customHeight="1"/>
    <row r="8894" ht="15.75" hidden="1" customHeight="1"/>
    <row r="8895" ht="15.75" hidden="1" customHeight="1"/>
    <row r="8896" ht="15.75" hidden="1" customHeight="1"/>
    <row r="8897" ht="15.75" hidden="1" customHeight="1"/>
    <row r="8898" ht="15.75" hidden="1" customHeight="1"/>
    <row r="8899" ht="15.75" hidden="1" customHeight="1"/>
    <row r="8900" ht="15.75" hidden="1" customHeight="1"/>
    <row r="8901" ht="15.75" hidden="1" customHeight="1"/>
    <row r="8902" ht="15.75" hidden="1" customHeight="1"/>
    <row r="8903" ht="15.75" hidden="1" customHeight="1"/>
    <row r="8904" ht="15.75" hidden="1" customHeight="1"/>
    <row r="8905" ht="15.75" hidden="1" customHeight="1"/>
    <row r="8906" ht="15.75" hidden="1" customHeight="1"/>
    <row r="8907" ht="15.75" hidden="1" customHeight="1"/>
    <row r="8908" ht="15.75" hidden="1" customHeight="1"/>
    <row r="8909" ht="15.75" hidden="1" customHeight="1"/>
    <row r="8910" ht="15.75" hidden="1" customHeight="1"/>
    <row r="8911" ht="15.75" hidden="1" customHeight="1"/>
    <row r="8912" ht="15.75" hidden="1" customHeight="1"/>
    <row r="8913" ht="15.75" hidden="1" customHeight="1"/>
    <row r="8914" ht="15.75" hidden="1" customHeight="1"/>
    <row r="8915" ht="15.75" hidden="1" customHeight="1"/>
    <row r="8916" ht="15.75" hidden="1" customHeight="1"/>
    <row r="8917" ht="15.75" hidden="1" customHeight="1"/>
    <row r="8918" ht="15.75" hidden="1" customHeight="1"/>
    <row r="8919" ht="15.75" hidden="1" customHeight="1"/>
    <row r="8920" ht="15.75" hidden="1" customHeight="1"/>
    <row r="8921" ht="15.75" hidden="1" customHeight="1"/>
    <row r="8922" ht="15.75" hidden="1" customHeight="1"/>
    <row r="8923" ht="15.75" hidden="1" customHeight="1"/>
    <row r="8924" ht="15.75" hidden="1" customHeight="1"/>
    <row r="8925" ht="15.75" hidden="1" customHeight="1"/>
    <row r="8926" ht="15.75" hidden="1" customHeight="1"/>
    <row r="8927" ht="15.75" hidden="1" customHeight="1"/>
    <row r="8928" ht="15.75" hidden="1" customHeight="1"/>
    <row r="8929" ht="15.75" hidden="1" customHeight="1"/>
    <row r="8930" ht="15.75" hidden="1" customHeight="1"/>
    <row r="8931" ht="15.75" hidden="1" customHeight="1"/>
    <row r="8932" ht="15.75" hidden="1" customHeight="1"/>
    <row r="8933" ht="15.75" hidden="1" customHeight="1"/>
    <row r="8934" ht="15.75" hidden="1" customHeight="1"/>
    <row r="8935" ht="15.75" hidden="1" customHeight="1"/>
    <row r="8936" ht="15.75" hidden="1" customHeight="1"/>
    <row r="8937" ht="15.75" hidden="1" customHeight="1"/>
    <row r="8938" ht="15.75" hidden="1" customHeight="1"/>
    <row r="8939" ht="15.75" hidden="1" customHeight="1"/>
    <row r="8940" ht="15.75" hidden="1" customHeight="1"/>
    <row r="8941" ht="15.75" hidden="1" customHeight="1"/>
    <row r="8942" ht="15.75" hidden="1" customHeight="1"/>
    <row r="8943" ht="15.75" hidden="1" customHeight="1"/>
    <row r="8944" ht="15.75" hidden="1" customHeight="1"/>
    <row r="8945" ht="15.75" hidden="1" customHeight="1"/>
    <row r="8946" ht="15.75" hidden="1" customHeight="1"/>
    <row r="8947" ht="15.75" hidden="1" customHeight="1"/>
    <row r="8948" ht="15.75" hidden="1" customHeight="1"/>
    <row r="8949" ht="15.75" hidden="1" customHeight="1"/>
    <row r="8950" ht="15.75" hidden="1" customHeight="1"/>
    <row r="8951" ht="15.75" hidden="1" customHeight="1"/>
    <row r="8952" ht="15.75" hidden="1" customHeight="1"/>
    <row r="8953" ht="15.75" hidden="1" customHeight="1"/>
    <row r="8954" ht="15.75" hidden="1" customHeight="1"/>
    <row r="8955" ht="15.75" hidden="1" customHeight="1"/>
    <row r="8956" ht="15.75" hidden="1" customHeight="1"/>
    <row r="8957" ht="15.75" hidden="1" customHeight="1"/>
    <row r="8958" ht="15.75" hidden="1" customHeight="1"/>
    <row r="8959" ht="15.75" hidden="1" customHeight="1"/>
    <row r="8960" ht="15.75" hidden="1" customHeight="1"/>
    <row r="8961" ht="15.75" hidden="1" customHeight="1"/>
    <row r="8962" ht="15.75" hidden="1" customHeight="1"/>
    <row r="8963" ht="15.75" hidden="1" customHeight="1"/>
    <row r="8964" ht="15.75" hidden="1" customHeight="1"/>
    <row r="8965" ht="15.75" hidden="1" customHeight="1"/>
    <row r="8966" ht="15.75" hidden="1" customHeight="1"/>
    <row r="8967" ht="15.75" hidden="1" customHeight="1"/>
    <row r="8968" ht="15.75" hidden="1" customHeight="1"/>
    <row r="8969" ht="15.75" hidden="1" customHeight="1"/>
    <row r="8970" ht="15.75" hidden="1" customHeight="1"/>
    <row r="8971" ht="15.75" hidden="1" customHeight="1"/>
    <row r="8972" ht="15.75" hidden="1" customHeight="1"/>
    <row r="8973" ht="15.75" hidden="1" customHeight="1"/>
    <row r="8974" ht="15.75" hidden="1" customHeight="1"/>
    <row r="8975" ht="15.75" hidden="1" customHeight="1"/>
    <row r="8976" ht="15.75" hidden="1" customHeight="1"/>
    <row r="8977" ht="15.75" hidden="1" customHeight="1"/>
    <row r="8978" ht="15.75" hidden="1" customHeight="1"/>
    <row r="8979" ht="15.75" hidden="1" customHeight="1"/>
    <row r="8980" ht="15.75" hidden="1" customHeight="1"/>
    <row r="8981" ht="15.75" hidden="1" customHeight="1"/>
    <row r="8982" ht="15.75" hidden="1" customHeight="1"/>
    <row r="8983" ht="15.75" hidden="1" customHeight="1"/>
    <row r="8984" ht="15.75" hidden="1" customHeight="1"/>
    <row r="8985" ht="15.75" hidden="1" customHeight="1"/>
    <row r="8986" ht="15.75" hidden="1" customHeight="1"/>
    <row r="8987" ht="15.75" hidden="1" customHeight="1"/>
    <row r="8988" ht="15.75" hidden="1" customHeight="1"/>
    <row r="8989" ht="15.75" hidden="1" customHeight="1"/>
    <row r="8990" ht="15.75" hidden="1" customHeight="1"/>
    <row r="8991" ht="15.75" hidden="1" customHeight="1"/>
    <row r="8992" ht="15.75" hidden="1" customHeight="1"/>
    <row r="8993" ht="15.75" hidden="1" customHeight="1"/>
    <row r="8994" ht="15.75" hidden="1" customHeight="1"/>
    <row r="8995" ht="15.75" hidden="1" customHeight="1"/>
    <row r="8996" ht="15.75" hidden="1" customHeight="1"/>
    <row r="8997" ht="15.75" hidden="1" customHeight="1"/>
    <row r="8998" ht="15.75" hidden="1" customHeight="1"/>
    <row r="8999" ht="15.75" hidden="1" customHeight="1"/>
    <row r="9000" ht="15.75" hidden="1" customHeight="1"/>
    <row r="9001" ht="15.75" hidden="1" customHeight="1"/>
    <row r="9002" ht="15.75" hidden="1" customHeight="1"/>
    <row r="9003" ht="15.75" hidden="1" customHeight="1"/>
    <row r="9004" ht="15.75" hidden="1" customHeight="1"/>
    <row r="9005" ht="15.75" hidden="1" customHeight="1"/>
    <row r="9006" ht="15.75" hidden="1" customHeight="1"/>
    <row r="9007" ht="15.75" hidden="1" customHeight="1"/>
    <row r="9008" ht="15.75" hidden="1" customHeight="1"/>
    <row r="9009" ht="15.75" hidden="1" customHeight="1"/>
    <row r="9010" ht="15.75" hidden="1" customHeight="1"/>
    <row r="9011" ht="15.75" hidden="1" customHeight="1"/>
    <row r="9012" ht="15.75" hidden="1" customHeight="1"/>
    <row r="9013" ht="15.75" hidden="1" customHeight="1"/>
    <row r="9014" ht="15.75" hidden="1" customHeight="1"/>
    <row r="9015" ht="15.75" hidden="1" customHeight="1"/>
    <row r="9016" ht="15.75" hidden="1" customHeight="1"/>
    <row r="9017" ht="15.75" hidden="1" customHeight="1"/>
    <row r="9018" ht="15.75" hidden="1" customHeight="1"/>
    <row r="9019" ht="15.75" hidden="1" customHeight="1"/>
    <row r="9020" ht="15.75" hidden="1" customHeight="1"/>
    <row r="9021" ht="15.75" hidden="1" customHeight="1"/>
    <row r="9022" ht="15.75" hidden="1" customHeight="1"/>
    <row r="9023" ht="15.75" hidden="1" customHeight="1"/>
    <row r="9024" ht="15.75" hidden="1" customHeight="1"/>
    <row r="9025" ht="15.75" hidden="1" customHeight="1"/>
    <row r="9026" ht="15.75" hidden="1" customHeight="1"/>
    <row r="9027" ht="15.75" hidden="1" customHeight="1"/>
    <row r="9028" ht="15.75" hidden="1" customHeight="1"/>
    <row r="9029" ht="15.75" hidden="1" customHeight="1"/>
    <row r="9030" ht="15.75" hidden="1" customHeight="1"/>
    <row r="9031" ht="15.75" hidden="1" customHeight="1"/>
    <row r="9032" ht="15.75" hidden="1" customHeight="1"/>
    <row r="9033" ht="15.75" hidden="1" customHeight="1"/>
    <row r="9034" ht="15.75" hidden="1" customHeight="1"/>
    <row r="9035" ht="15.75" hidden="1" customHeight="1"/>
    <row r="9036" ht="15.75" hidden="1" customHeight="1"/>
    <row r="9037" ht="15.75" hidden="1" customHeight="1"/>
    <row r="9038" ht="15.75" hidden="1" customHeight="1"/>
    <row r="9039" ht="15.75" hidden="1" customHeight="1"/>
    <row r="9040" ht="15.75" hidden="1" customHeight="1"/>
    <row r="9041" ht="15.75" hidden="1" customHeight="1"/>
    <row r="9042" ht="15.75" hidden="1" customHeight="1"/>
    <row r="9043" ht="15.75" hidden="1" customHeight="1"/>
    <row r="9044" ht="15.75" hidden="1" customHeight="1"/>
    <row r="9045" ht="15.75" hidden="1" customHeight="1"/>
    <row r="9046" ht="15.75" hidden="1" customHeight="1"/>
    <row r="9047" ht="15.75" hidden="1" customHeight="1"/>
    <row r="9048" ht="15.75" hidden="1" customHeight="1"/>
    <row r="9049" ht="15.75" hidden="1" customHeight="1"/>
    <row r="9050" ht="15.75" hidden="1" customHeight="1"/>
    <row r="9051" ht="15.75" hidden="1" customHeight="1"/>
    <row r="9052" ht="15.75" hidden="1" customHeight="1"/>
    <row r="9053" ht="15.75" hidden="1" customHeight="1"/>
    <row r="9054" ht="15.75" hidden="1" customHeight="1"/>
    <row r="9055" ht="15.75" hidden="1" customHeight="1"/>
    <row r="9056" ht="15.75" hidden="1" customHeight="1"/>
    <row r="9057" ht="15.75" hidden="1" customHeight="1"/>
    <row r="9058" ht="15.75" hidden="1" customHeight="1"/>
    <row r="9059" ht="15.75" hidden="1" customHeight="1"/>
    <row r="9060" ht="15.75" hidden="1" customHeight="1"/>
    <row r="9061" ht="15.75" hidden="1" customHeight="1"/>
    <row r="9062" ht="15.75" hidden="1" customHeight="1"/>
    <row r="9063" ht="15.75" hidden="1" customHeight="1"/>
    <row r="9064" ht="15.75" hidden="1" customHeight="1"/>
    <row r="9065" ht="15.75" hidden="1" customHeight="1"/>
    <row r="9066" ht="15.75" hidden="1" customHeight="1"/>
    <row r="9067" ht="15.75" hidden="1" customHeight="1"/>
    <row r="9068" ht="15.75" hidden="1" customHeight="1"/>
    <row r="9069" ht="15.75" hidden="1" customHeight="1"/>
    <row r="9070" ht="15.75" hidden="1" customHeight="1"/>
    <row r="9071" ht="15.75" hidden="1" customHeight="1"/>
    <row r="9072" ht="15.75" hidden="1" customHeight="1"/>
    <row r="9073" ht="15.75" hidden="1" customHeight="1"/>
    <row r="9074" ht="15.75" hidden="1" customHeight="1"/>
    <row r="9075" ht="15.75" hidden="1" customHeight="1"/>
    <row r="9076" ht="15.75" hidden="1" customHeight="1"/>
    <row r="9077" ht="15.75" hidden="1" customHeight="1"/>
    <row r="9078" ht="15.75" hidden="1" customHeight="1"/>
    <row r="9079" ht="15.75" hidden="1" customHeight="1"/>
    <row r="9080" ht="15.75" hidden="1" customHeight="1"/>
    <row r="9081" ht="15.75" hidden="1" customHeight="1"/>
    <row r="9082" ht="15.75" hidden="1" customHeight="1"/>
    <row r="9083" ht="15.75" hidden="1" customHeight="1"/>
    <row r="9084" ht="15.75" hidden="1" customHeight="1"/>
    <row r="9085" ht="15.75" hidden="1" customHeight="1"/>
    <row r="9086" ht="15.75" hidden="1" customHeight="1"/>
    <row r="9087" ht="15.75" hidden="1" customHeight="1"/>
    <row r="9088" ht="15.75" hidden="1" customHeight="1"/>
    <row r="9089" ht="15.75" hidden="1" customHeight="1"/>
    <row r="9090" ht="15.75" hidden="1" customHeight="1"/>
    <row r="9091" ht="15.75" hidden="1" customHeight="1"/>
    <row r="9092" ht="15.75" hidden="1" customHeight="1"/>
    <row r="9093" ht="15.75" hidden="1" customHeight="1"/>
    <row r="9094" ht="15.75" hidden="1" customHeight="1"/>
    <row r="9095" ht="15.75" hidden="1" customHeight="1"/>
    <row r="9096" ht="15.75" hidden="1" customHeight="1"/>
    <row r="9097" ht="15.75" hidden="1" customHeight="1"/>
    <row r="9098" ht="15.75" hidden="1" customHeight="1"/>
    <row r="9099" ht="15.75" hidden="1" customHeight="1"/>
    <row r="9100" ht="15.75" hidden="1" customHeight="1"/>
    <row r="9101" ht="15.75" hidden="1" customHeight="1"/>
    <row r="9102" ht="15.75" hidden="1" customHeight="1"/>
    <row r="9103" ht="15.75" hidden="1" customHeight="1"/>
    <row r="9104" ht="15.75" hidden="1" customHeight="1"/>
    <row r="9105" ht="15.75" hidden="1" customHeight="1"/>
    <row r="9106" ht="15.75" hidden="1" customHeight="1"/>
    <row r="9107" ht="15.75" hidden="1" customHeight="1"/>
    <row r="9108" ht="15.75" hidden="1" customHeight="1"/>
    <row r="9109" ht="15.75" hidden="1" customHeight="1"/>
    <row r="9110" ht="15.75" hidden="1" customHeight="1"/>
    <row r="9111" ht="15.75" hidden="1" customHeight="1"/>
    <row r="9112" ht="15.75" hidden="1" customHeight="1"/>
    <row r="9113" ht="15.75" hidden="1" customHeight="1"/>
    <row r="9114" ht="15.75" hidden="1" customHeight="1"/>
    <row r="9115" ht="15.75" hidden="1" customHeight="1"/>
    <row r="9116" ht="15.75" hidden="1" customHeight="1"/>
    <row r="9117" ht="15.75" hidden="1" customHeight="1"/>
    <row r="9118" ht="15.75" hidden="1" customHeight="1"/>
    <row r="9119" ht="15.75" hidden="1" customHeight="1"/>
    <row r="9120" ht="15.75" hidden="1" customHeight="1"/>
    <row r="9121" ht="15.75" hidden="1" customHeight="1"/>
    <row r="9122" ht="15.75" hidden="1" customHeight="1"/>
    <row r="9123" ht="15.75" hidden="1" customHeight="1"/>
    <row r="9124" ht="15.75" hidden="1" customHeight="1"/>
    <row r="9125" ht="15.75" hidden="1" customHeight="1"/>
    <row r="9126" ht="15.75" hidden="1" customHeight="1"/>
    <row r="9127" ht="15.75" hidden="1" customHeight="1"/>
    <row r="9128" ht="15.75" hidden="1" customHeight="1"/>
    <row r="9129" ht="15.75" hidden="1" customHeight="1"/>
    <row r="9130" ht="15.75" hidden="1" customHeight="1"/>
    <row r="9131" ht="15.75" hidden="1" customHeight="1"/>
    <row r="9132" ht="15.75" hidden="1" customHeight="1"/>
    <row r="9133" ht="15.75" hidden="1" customHeight="1"/>
    <row r="9134" ht="15.75" hidden="1" customHeight="1"/>
    <row r="9135" ht="15.75" hidden="1" customHeight="1"/>
    <row r="9136" ht="15.75" hidden="1" customHeight="1"/>
    <row r="9137" ht="15.75" hidden="1" customHeight="1"/>
    <row r="9138" ht="15.75" hidden="1" customHeight="1"/>
    <row r="9139" ht="15.75" hidden="1" customHeight="1"/>
    <row r="9140" ht="15.75" hidden="1" customHeight="1"/>
    <row r="9141" ht="15.75" hidden="1" customHeight="1"/>
    <row r="9142" ht="15.75" hidden="1" customHeight="1"/>
    <row r="9143" ht="15.75" hidden="1" customHeight="1"/>
    <row r="9144" ht="15.75" hidden="1" customHeight="1"/>
    <row r="9145" ht="15.75" hidden="1" customHeight="1"/>
    <row r="9146" ht="15.75" hidden="1" customHeight="1"/>
    <row r="9147" ht="15.75" hidden="1" customHeight="1"/>
    <row r="9148" ht="15.75" hidden="1" customHeight="1"/>
    <row r="9149" ht="15.75" hidden="1" customHeight="1"/>
    <row r="9150" ht="15.75" hidden="1" customHeight="1"/>
    <row r="9151" ht="15.75" hidden="1" customHeight="1"/>
    <row r="9152" ht="15.75" hidden="1" customHeight="1"/>
    <row r="9153" ht="15.75" hidden="1" customHeight="1"/>
    <row r="9154" ht="15.75" hidden="1" customHeight="1"/>
    <row r="9155" ht="15.75" hidden="1" customHeight="1"/>
    <row r="9156" ht="15.75" hidden="1" customHeight="1"/>
    <row r="9157" ht="15.75" hidden="1" customHeight="1"/>
    <row r="9158" ht="15.75" hidden="1" customHeight="1"/>
    <row r="9159" ht="15.75" hidden="1" customHeight="1"/>
    <row r="9160" ht="15.75" hidden="1" customHeight="1"/>
    <row r="9161" ht="15.75" hidden="1" customHeight="1"/>
    <row r="9162" ht="15.75" hidden="1" customHeight="1"/>
    <row r="9163" ht="15.75" hidden="1" customHeight="1"/>
    <row r="9164" ht="15.75" hidden="1" customHeight="1"/>
    <row r="9165" ht="15.75" hidden="1" customHeight="1"/>
    <row r="9166" ht="15.75" hidden="1" customHeight="1"/>
    <row r="9167" ht="15.75" hidden="1" customHeight="1"/>
    <row r="9168" ht="15.75" hidden="1" customHeight="1"/>
    <row r="9169" ht="15.75" hidden="1" customHeight="1"/>
    <row r="9170" ht="15.75" hidden="1" customHeight="1"/>
    <row r="9171" ht="15.75" hidden="1" customHeight="1"/>
    <row r="9172" ht="15.75" hidden="1" customHeight="1"/>
    <row r="9173" ht="15.75" hidden="1" customHeight="1"/>
    <row r="9174" ht="15.75" hidden="1" customHeight="1"/>
    <row r="9175" ht="15.75" hidden="1" customHeight="1"/>
    <row r="9176" ht="15.75" hidden="1" customHeight="1"/>
    <row r="9177" ht="15.75" hidden="1" customHeight="1"/>
    <row r="9178" ht="15.75" hidden="1" customHeight="1"/>
    <row r="9179" ht="15.75" hidden="1" customHeight="1"/>
    <row r="9180" ht="15.75" hidden="1" customHeight="1"/>
    <row r="9181" ht="15.75" hidden="1" customHeight="1"/>
    <row r="9182" ht="15.75" hidden="1" customHeight="1"/>
    <row r="9183" ht="15.75" hidden="1" customHeight="1"/>
    <row r="9184" ht="15.75" hidden="1" customHeight="1"/>
    <row r="9185" ht="15.75" hidden="1" customHeight="1"/>
    <row r="9186" ht="15.75" hidden="1" customHeight="1"/>
    <row r="9187" ht="15.75" hidden="1" customHeight="1"/>
    <row r="9188" ht="15.75" hidden="1" customHeight="1"/>
    <row r="9189" ht="15.75" hidden="1" customHeight="1"/>
    <row r="9190" ht="15.75" hidden="1" customHeight="1"/>
    <row r="9191" ht="15.75" hidden="1" customHeight="1"/>
    <row r="9192" ht="15.75" hidden="1" customHeight="1"/>
    <row r="9193" ht="15.75" hidden="1" customHeight="1"/>
    <row r="9194" ht="15.75" hidden="1" customHeight="1"/>
    <row r="9195" ht="15.75" hidden="1" customHeight="1"/>
    <row r="9196" ht="15.75" hidden="1" customHeight="1"/>
    <row r="9197" ht="15.75" hidden="1" customHeight="1"/>
    <row r="9198" ht="15.75" hidden="1" customHeight="1"/>
    <row r="9199" ht="15.75" hidden="1" customHeight="1"/>
    <row r="9200" ht="15.75" hidden="1" customHeight="1"/>
    <row r="9201" ht="15.75" hidden="1" customHeight="1"/>
    <row r="9202" ht="15.75" hidden="1" customHeight="1"/>
    <row r="9203" ht="15.75" hidden="1" customHeight="1"/>
    <row r="9204" ht="15.75" hidden="1" customHeight="1"/>
    <row r="9205" ht="15.75" hidden="1" customHeight="1"/>
    <row r="9206" ht="15.75" hidden="1" customHeight="1"/>
    <row r="9207" ht="15.75" hidden="1" customHeight="1"/>
    <row r="9208" ht="15.75" hidden="1" customHeight="1"/>
    <row r="9209" ht="15.75" hidden="1" customHeight="1"/>
    <row r="9210" ht="15.75" hidden="1" customHeight="1"/>
    <row r="9211" ht="15.75" hidden="1" customHeight="1"/>
    <row r="9212" ht="15.75" hidden="1" customHeight="1"/>
    <row r="9213" ht="15.75" hidden="1" customHeight="1"/>
    <row r="9214" ht="15.75" hidden="1" customHeight="1"/>
    <row r="9215" ht="15.75" hidden="1" customHeight="1"/>
    <row r="9216" ht="15.75" hidden="1" customHeight="1"/>
    <row r="9217" ht="15.75" hidden="1" customHeight="1"/>
    <row r="9218" ht="15.75" hidden="1" customHeight="1"/>
    <row r="9219" ht="15.75" hidden="1" customHeight="1"/>
    <row r="9220" ht="15.75" hidden="1" customHeight="1"/>
    <row r="9221" ht="15.75" hidden="1" customHeight="1"/>
    <row r="9222" ht="15.75" hidden="1" customHeight="1"/>
    <row r="9223" ht="15.75" hidden="1" customHeight="1"/>
    <row r="9224" ht="15.75" hidden="1" customHeight="1"/>
    <row r="9225" ht="15.75" hidden="1" customHeight="1"/>
    <row r="9226" ht="15.75" hidden="1" customHeight="1"/>
    <row r="9227" ht="15.75" hidden="1" customHeight="1"/>
    <row r="9228" ht="15.75" hidden="1" customHeight="1"/>
    <row r="9229" ht="15.75" hidden="1" customHeight="1"/>
    <row r="9230" ht="15.75" hidden="1" customHeight="1"/>
    <row r="9231" ht="15.75" hidden="1" customHeight="1"/>
    <row r="9232" ht="15.75" hidden="1" customHeight="1"/>
    <row r="9233" ht="15.75" hidden="1" customHeight="1"/>
    <row r="9234" ht="15.75" hidden="1" customHeight="1"/>
    <row r="9235" ht="15.75" hidden="1" customHeight="1"/>
    <row r="9236" ht="15.75" hidden="1" customHeight="1"/>
    <row r="9237" ht="15.75" hidden="1" customHeight="1"/>
    <row r="9238" ht="15.75" hidden="1" customHeight="1"/>
    <row r="9239" ht="15.75" hidden="1" customHeight="1"/>
    <row r="9240" ht="15.75" hidden="1" customHeight="1"/>
    <row r="9241" ht="15.75" hidden="1" customHeight="1"/>
    <row r="9242" ht="15.75" hidden="1" customHeight="1"/>
    <row r="9243" ht="15.75" hidden="1" customHeight="1"/>
    <row r="9244" ht="15.75" hidden="1" customHeight="1"/>
    <row r="9245" ht="15.75" hidden="1" customHeight="1"/>
    <row r="9246" ht="15.75" hidden="1" customHeight="1"/>
    <row r="9247" ht="15.75" hidden="1" customHeight="1"/>
    <row r="9248" ht="15.75" hidden="1" customHeight="1"/>
    <row r="9249" ht="15.75" hidden="1" customHeight="1"/>
    <row r="9250" ht="15.75" hidden="1" customHeight="1"/>
    <row r="9251" ht="15.75" hidden="1" customHeight="1"/>
    <row r="9252" ht="15.75" hidden="1" customHeight="1"/>
    <row r="9253" ht="15.75" hidden="1" customHeight="1"/>
    <row r="9254" ht="15.75" hidden="1" customHeight="1"/>
    <row r="9255" ht="15.75" hidden="1" customHeight="1"/>
    <row r="9256" ht="15.75" hidden="1" customHeight="1"/>
    <row r="9257" ht="15.75" hidden="1" customHeight="1"/>
    <row r="9258" ht="15.75" hidden="1" customHeight="1"/>
    <row r="9259" ht="15.75" hidden="1" customHeight="1"/>
    <row r="9260" ht="15.75" hidden="1" customHeight="1"/>
    <row r="9261" ht="15.75" hidden="1" customHeight="1"/>
    <row r="9262" ht="15.75" hidden="1" customHeight="1"/>
    <row r="9263" ht="15.75" hidden="1" customHeight="1"/>
    <row r="9264" ht="15.75" hidden="1" customHeight="1"/>
    <row r="9265" ht="15.75" hidden="1" customHeight="1"/>
    <row r="9266" ht="15.75" hidden="1" customHeight="1"/>
    <row r="9267" ht="15.75" hidden="1" customHeight="1"/>
    <row r="9268" ht="15.75" hidden="1" customHeight="1"/>
    <row r="9269" ht="15.75" hidden="1" customHeight="1"/>
    <row r="9270" ht="15.75" hidden="1" customHeight="1"/>
    <row r="9271" ht="15.75" hidden="1" customHeight="1"/>
    <row r="9272" ht="15.75" hidden="1" customHeight="1"/>
    <row r="9273" ht="15.75" hidden="1" customHeight="1"/>
    <row r="9274" ht="15.75" hidden="1" customHeight="1"/>
    <row r="9275" ht="15.75" hidden="1" customHeight="1"/>
    <row r="9276" ht="15.75" hidden="1" customHeight="1"/>
    <row r="9277" ht="15.75" hidden="1" customHeight="1"/>
    <row r="9278" ht="15.75" hidden="1" customHeight="1"/>
    <row r="9279" ht="15.75" hidden="1" customHeight="1"/>
    <row r="9280" ht="15.75" hidden="1" customHeight="1"/>
    <row r="9281" ht="15.75" hidden="1" customHeight="1"/>
    <row r="9282" ht="15.75" hidden="1" customHeight="1"/>
    <row r="9283" ht="15.75" hidden="1" customHeight="1"/>
    <row r="9284" ht="15.75" hidden="1" customHeight="1"/>
    <row r="9285" ht="15.75" hidden="1" customHeight="1"/>
    <row r="9286" ht="15.75" hidden="1" customHeight="1"/>
    <row r="9287" ht="15.75" hidden="1" customHeight="1"/>
    <row r="9288" ht="15.75" hidden="1" customHeight="1"/>
    <row r="9289" ht="15.75" hidden="1" customHeight="1"/>
    <row r="9290" ht="15.75" hidden="1" customHeight="1"/>
    <row r="9291" ht="15.75" hidden="1" customHeight="1"/>
    <row r="9292" ht="15.75" hidden="1" customHeight="1"/>
    <row r="9293" ht="15.75" hidden="1" customHeight="1"/>
    <row r="9294" ht="15.75" hidden="1" customHeight="1"/>
    <row r="9295" ht="15.75" hidden="1" customHeight="1"/>
    <row r="9296" ht="15.75" hidden="1" customHeight="1"/>
    <row r="9297" ht="15.75" hidden="1" customHeight="1"/>
    <row r="9298" ht="15.75" hidden="1" customHeight="1"/>
    <row r="9299" ht="15.75" hidden="1" customHeight="1"/>
    <row r="9300" ht="15.75" hidden="1" customHeight="1"/>
    <row r="9301" ht="15.75" hidden="1" customHeight="1"/>
    <row r="9302" ht="15.75" hidden="1" customHeight="1"/>
    <row r="9303" ht="15.75" hidden="1" customHeight="1"/>
    <row r="9304" ht="15.75" hidden="1" customHeight="1"/>
    <row r="9305" ht="15.75" hidden="1" customHeight="1"/>
    <row r="9306" ht="15.75" hidden="1" customHeight="1"/>
    <row r="9307" ht="15.75" hidden="1" customHeight="1"/>
    <row r="9308" ht="15.75" hidden="1" customHeight="1"/>
    <row r="9309" ht="15.75" hidden="1" customHeight="1"/>
    <row r="9310" ht="15.75" hidden="1" customHeight="1"/>
    <row r="9311" ht="15.75" hidden="1" customHeight="1"/>
    <row r="9312" ht="15.75" hidden="1" customHeight="1"/>
    <row r="9313" ht="15.75" hidden="1" customHeight="1"/>
    <row r="9314" ht="15.75" hidden="1" customHeight="1"/>
    <row r="9315" ht="15.75" hidden="1" customHeight="1"/>
    <row r="9316" ht="15.75" hidden="1" customHeight="1"/>
    <row r="9317" ht="15.75" hidden="1" customHeight="1"/>
    <row r="9318" ht="15.75" hidden="1" customHeight="1"/>
    <row r="9319" ht="15.75" hidden="1" customHeight="1"/>
    <row r="9320" ht="15.75" hidden="1" customHeight="1"/>
    <row r="9321" ht="15.75" hidden="1" customHeight="1"/>
    <row r="9322" ht="15.75" hidden="1" customHeight="1"/>
    <row r="9323" ht="15.75" hidden="1" customHeight="1"/>
    <row r="9324" ht="15.75" hidden="1" customHeight="1"/>
    <row r="9325" ht="15.75" hidden="1" customHeight="1"/>
    <row r="9326" ht="15.75" hidden="1" customHeight="1"/>
    <row r="9327" ht="15.75" hidden="1" customHeight="1"/>
    <row r="9328" ht="15.75" hidden="1" customHeight="1"/>
    <row r="9329" ht="15.75" hidden="1" customHeight="1"/>
    <row r="9330" ht="15.75" hidden="1" customHeight="1"/>
    <row r="9331" ht="15.75" hidden="1" customHeight="1"/>
    <row r="9332" ht="15.75" hidden="1" customHeight="1"/>
    <row r="9333" ht="15.75" hidden="1" customHeight="1"/>
    <row r="9334" ht="15.75" hidden="1" customHeight="1"/>
    <row r="9335" ht="15.75" hidden="1" customHeight="1"/>
    <row r="9336" ht="15.75" hidden="1" customHeight="1"/>
    <row r="9337" ht="15.75" hidden="1" customHeight="1"/>
    <row r="9338" ht="15.75" hidden="1" customHeight="1"/>
    <row r="9339" ht="15.75" hidden="1" customHeight="1"/>
    <row r="9340" ht="15.75" hidden="1" customHeight="1"/>
    <row r="9341" ht="15.75" hidden="1" customHeight="1"/>
    <row r="9342" ht="15.75" hidden="1" customHeight="1"/>
    <row r="9343" ht="15.75" hidden="1" customHeight="1"/>
    <row r="9344" ht="15.75" hidden="1" customHeight="1"/>
    <row r="9345" ht="15.75" hidden="1" customHeight="1"/>
    <row r="9346" ht="15.75" hidden="1" customHeight="1"/>
    <row r="9347" ht="15.75" hidden="1" customHeight="1"/>
    <row r="9348" ht="15.75" hidden="1" customHeight="1"/>
    <row r="9349" ht="15.75" hidden="1" customHeight="1"/>
    <row r="9350" ht="15.75" hidden="1" customHeight="1"/>
    <row r="9351" ht="15.75" hidden="1" customHeight="1"/>
    <row r="9352" ht="15.75" hidden="1" customHeight="1"/>
    <row r="9353" ht="15.75" hidden="1" customHeight="1"/>
    <row r="9354" ht="15.75" hidden="1" customHeight="1"/>
    <row r="9355" ht="15.75" hidden="1" customHeight="1"/>
    <row r="9356" ht="15.75" hidden="1" customHeight="1"/>
    <row r="9357" ht="15.75" hidden="1" customHeight="1"/>
    <row r="9358" ht="15.75" hidden="1" customHeight="1"/>
    <row r="9359" ht="15.75" hidden="1" customHeight="1"/>
    <row r="9360" ht="15.75" hidden="1" customHeight="1"/>
    <row r="9361" ht="15.75" hidden="1" customHeight="1"/>
    <row r="9362" ht="15.75" hidden="1" customHeight="1"/>
    <row r="9363" ht="15.75" hidden="1" customHeight="1"/>
    <row r="9364" ht="15.75" hidden="1" customHeight="1"/>
    <row r="9365" ht="15.75" hidden="1" customHeight="1"/>
    <row r="9366" ht="15.75" hidden="1" customHeight="1"/>
    <row r="9367" ht="15.75" hidden="1" customHeight="1"/>
    <row r="9368" ht="15.75" hidden="1" customHeight="1"/>
    <row r="9369" ht="15.75" hidden="1" customHeight="1"/>
    <row r="9370" ht="15.75" hidden="1" customHeight="1"/>
    <row r="9371" ht="15.75" hidden="1" customHeight="1"/>
    <row r="9372" ht="15.75" hidden="1" customHeight="1"/>
    <row r="9373" ht="15.75" hidden="1" customHeight="1"/>
    <row r="9374" ht="15.75" hidden="1" customHeight="1"/>
    <row r="9375" ht="15.75" hidden="1" customHeight="1"/>
    <row r="9376" ht="15.75" hidden="1" customHeight="1"/>
    <row r="9377" ht="15.75" hidden="1" customHeight="1"/>
    <row r="9378" ht="15.75" hidden="1" customHeight="1"/>
    <row r="9379" ht="15.75" hidden="1" customHeight="1"/>
    <row r="9380" ht="15.75" hidden="1" customHeight="1"/>
    <row r="9381" ht="15.75" hidden="1" customHeight="1"/>
    <row r="9382" ht="15.75" hidden="1" customHeight="1"/>
    <row r="9383" ht="15.75" hidden="1" customHeight="1"/>
    <row r="9384" ht="15.75" hidden="1" customHeight="1"/>
    <row r="9385" ht="15.75" hidden="1" customHeight="1"/>
    <row r="9386" ht="15.75" hidden="1" customHeight="1"/>
    <row r="9387" ht="15.75" hidden="1" customHeight="1"/>
    <row r="9388" ht="15.75" hidden="1" customHeight="1"/>
    <row r="9389" ht="15.75" hidden="1" customHeight="1"/>
    <row r="9390" ht="15.75" hidden="1" customHeight="1"/>
    <row r="9391" ht="15.75" hidden="1" customHeight="1"/>
    <row r="9392" ht="15.75" hidden="1" customHeight="1"/>
    <row r="9393" ht="15.75" hidden="1" customHeight="1"/>
    <row r="9394" ht="15.75" hidden="1" customHeight="1"/>
    <row r="9395" ht="15.75" hidden="1" customHeight="1"/>
    <row r="9396" ht="15.75" hidden="1" customHeight="1"/>
    <row r="9397" ht="15.75" hidden="1" customHeight="1"/>
    <row r="9398" ht="15.75" hidden="1" customHeight="1"/>
    <row r="9399" ht="15.75" hidden="1" customHeight="1"/>
    <row r="9400" ht="15.75" hidden="1" customHeight="1"/>
    <row r="9401" ht="15.75" hidden="1" customHeight="1"/>
    <row r="9402" ht="15.75" hidden="1" customHeight="1"/>
    <row r="9403" ht="15.75" hidden="1" customHeight="1"/>
    <row r="9404" ht="15.75" hidden="1" customHeight="1"/>
    <row r="9405" ht="15.75" hidden="1" customHeight="1"/>
    <row r="9406" ht="15.75" hidden="1" customHeight="1"/>
    <row r="9407" ht="15.75" hidden="1" customHeight="1"/>
    <row r="9408" ht="15.75" hidden="1" customHeight="1"/>
    <row r="9409" ht="15.75" hidden="1" customHeight="1"/>
    <row r="9410" ht="15.75" hidden="1" customHeight="1"/>
    <row r="9411" ht="15.75" hidden="1" customHeight="1"/>
    <row r="9412" ht="15.75" hidden="1" customHeight="1"/>
    <row r="9413" ht="15.75" hidden="1" customHeight="1"/>
    <row r="9414" ht="15.75" hidden="1" customHeight="1"/>
    <row r="9415" ht="15.75" hidden="1" customHeight="1"/>
    <row r="9416" ht="15.75" hidden="1" customHeight="1"/>
    <row r="9417" ht="15.75" hidden="1" customHeight="1"/>
    <row r="9418" ht="15.75" hidden="1" customHeight="1"/>
    <row r="9419" ht="15.75" hidden="1" customHeight="1"/>
    <row r="9420" ht="15.75" hidden="1" customHeight="1"/>
    <row r="9421" ht="15.75" hidden="1" customHeight="1"/>
    <row r="9422" ht="15.75" hidden="1" customHeight="1"/>
    <row r="9423" ht="15.75" hidden="1" customHeight="1"/>
    <row r="9424" ht="15.75" hidden="1" customHeight="1"/>
    <row r="9425" ht="15.75" hidden="1" customHeight="1"/>
    <row r="9426" ht="15.75" hidden="1" customHeight="1"/>
    <row r="9427" ht="15.75" hidden="1" customHeight="1"/>
    <row r="9428" ht="15.75" hidden="1" customHeight="1"/>
    <row r="9429" ht="15.75" hidden="1" customHeight="1"/>
    <row r="9430" ht="15.75" hidden="1" customHeight="1"/>
    <row r="9431" ht="15.75" hidden="1" customHeight="1"/>
    <row r="9432" ht="15.75" hidden="1" customHeight="1"/>
    <row r="9433" ht="15.75" hidden="1" customHeight="1"/>
    <row r="9434" ht="15.75" hidden="1" customHeight="1"/>
    <row r="9435" ht="15.75" hidden="1" customHeight="1"/>
    <row r="9436" ht="15.75" hidden="1" customHeight="1"/>
    <row r="9437" ht="15.75" hidden="1" customHeight="1"/>
    <row r="9438" ht="15.75" hidden="1" customHeight="1"/>
    <row r="9439" ht="15.75" hidden="1" customHeight="1"/>
    <row r="9440" ht="15.75" hidden="1" customHeight="1"/>
    <row r="9441" ht="15.75" hidden="1" customHeight="1"/>
    <row r="9442" ht="15.75" hidden="1" customHeight="1"/>
    <row r="9443" ht="15.75" hidden="1" customHeight="1"/>
    <row r="9444" ht="15.75" hidden="1" customHeight="1"/>
    <row r="9445" ht="15.75" hidden="1" customHeight="1"/>
    <row r="9446" ht="15.75" hidden="1" customHeight="1"/>
    <row r="9447" ht="15.75" hidden="1" customHeight="1"/>
    <row r="9448" ht="15.75" hidden="1" customHeight="1"/>
    <row r="9449" ht="15.75" hidden="1" customHeight="1"/>
    <row r="9450" ht="15.75" hidden="1" customHeight="1"/>
    <row r="9451" ht="15.75" hidden="1" customHeight="1"/>
    <row r="9452" ht="15.75" hidden="1" customHeight="1"/>
    <row r="9453" ht="15.75" hidden="1" customHeight="1"/>
    <row r="9454" ht="15.75" hidden="1" customHeight="1"/>
    <row r="9455" ht="15.75" hidden="1" customHeight="1"/>
    <row r="9456" ht="15.75" hidden="1" customHeight="1"/>
    <row r="9457" ht="15.75" hidden="1" customHeight="1"/>
    <row r="9458" ht="15.75" hidden="1" customHeight="1"/>
    <row r="9459" ht="15.75" hidden="1" customHeight="1"/>
    <row r="9460" ht="15.75" hidden="1" customHeight="1"/>
    <row r="9461" ht="15.75" hidden="1" customHeight="1"/>
    <row r="9462" ht="15.75" hidden="1" customHeight="1"/>
    <row r="9463" ht="15.75" hidden="1" customHeight="1"/>
    <row r="9464" ht="15.75" hidden="1" customHeight="1"/>
    <row r="9465" ht="15.75" hidden="1" customHeight="1"/>
    <row r="9466" ht="15.75" hidden="1" customHeight="1"/>
    <row r="9467" ht="15.75" hidden="1" customHeight="1"/>
    <row r="9468" ht="15.75" hidden="1" customHeight="1"/>
    <row r="9469" ht="15.75" hidden="1" customHeight="1"/>
    <row r="9470" ht="15.75" hidden="1" customHeight="1"/>
    <row r="9471" ht="15.75" hidden="1" customHeight="1"/>
    <row r="9472" ht="15.75" hidden="1" customHeight="1"/>
    <row r="9473" ht="15.75" hidden="1" customHeight="1"/>
    <row r="9474" ht="15.75" hidden="1" customHeight="1"/>
    <row r="9475" ht="15.75" hidden="1" customHeight="1"/>
    <row r="9476" ht="15.75" hidden="1" customHeight="1"/>
    <row r="9477" ht="15.75" hidden="1" customHeight="1"/>
    <row r="9478" ht="15.75" hidden="1" customHeight="1"/>
    <row r="9479" ht="15.75" hidden="1" customHeight="1"/>
    <row r="9480" ht="15.75" hidden="1" customHeight="1"/>
    <row r="9481" ht="15.75" hidden="1" customHeight="1"/>
    <row r="9482" ht="15.75" hidden="1" customHeight="1"/>
    <row r="9483" ht="15.75" hidden="1" customHeight="1"/>
    <row r="9484" ht="15.75" hidden="1" customHeight="1"/>
    <row r="9485" ht="15.75" hidden="1" customHeight="1"/>
    <row r="9486" ht="15.75" hidden="1" customHeight="1"/>
    <row r="9487" ht="15.75" hidden="1" customHeight="1"/>
    <row r="9488" ht="15.75" hidden="1" customHeight="1"/>
    <row r="9489" ht="15.75" hidden="1" customHeight="1"/>
    <row r="9490" ht="15.75" hidden="1" customHeight="1"/>
    <row r="9491" ht="15.75" hidden="1" customHeight="1"/>
    <row r="9492" ht="15.75" hidden="1" customHeight="1"/>
    <row r="9493" ht="15.75" hidden="1" customHeight="1"/>
    <row r="9494" ht="15.75" hidden="1" customHeight="1"/>
    <row r="9495" ht="15.75" hidden="1" customHeight="1"/>
    <row r="9496" ht="15.75" hidden="1" customHeight="1"/>
    <row r="9497" ht="15.75" hidden="1" customHeight="1"/>
    <row r="9498" ht="15.75" hidden="1" customHeight="1"/>
    <row r="9499" ht="15.75" hidden="1" customHeight="1"/>
    <row r="9500" ht="15.75" hidden="1" customHeight="1"/>
    <row r="9501" ht="15.75" hidden="1" customHeight="1"/>
    <row r="9502" ht="15.75" hidden="1" customHeight="1"/>
    <row r="9503" ht="15.75" hidden="1" customHeight="1"/>
    <row r="9504" ht="15.75" hidden="1" customHeight="1"/>
    <row r="9505" ht="15.75" hidden="1" customHeight="1"/>
    <row r="9506" ht="15.75" hidden="1" customHeight="1"/>
    <row r="9507" ht="15.75" hidden="1" customHeight="1"/>
    <row r="9508" ht="15.75" hidden="1" customHeight="1"/>
    <row r="9509" ht="15.75" hidden="1" customHeight="1"/>
    <row r="9510" ht="15.75" hidden="1" customHeight="1"/>
    <row r="9511" ht="15.75" hidden="1" customHeight="1"/>
    <row r="9512" ht="15.75" hidden="1" customHeight="1"/>
    <row r="9513" ht="15.75" hidden="1" customHeight="1"/>
    <row r="9514" ht="15.75" hidden="1" customHeight="1"/>
    <row r="9515" ht="15.75" hidden="1" customHeight="1"/>
    <row r="9516" ht="15.75" hidden="1" customHeight="1"/>
    <row r="9517" ht="15.75" hidden="1" customHeight="1"/>
    <row r="9518" ht="15.75" hidden="1" customHeight="1"/>
    <row r="9519" ht="15.75" hidden="1" customHeight="1"/>
    <row r="9520" ht="15.75" hidden="1" customHeight="1"/>
    <row r="9521" ht="15.75" hidden="1" customHeight="1"/>
    <row r="9522" ht="15.75" hidden="1" customHeight="1"/>
    <row r="9523" ht="15.75" hidden="1" customHeight="1"/>
    <row r="9524" ht="15.75" hidden="1" customHeight="1"/>
    <row r="9525" ht="15.75" hidden="1" customHeight="1"/>
    <row r="9526" ht="15.75" hidden="1" customHeight="1"/>
    <row r="9527" ht="15.75" hidden="1" customHeight="1"/>
    <row r="9528" ht="15.75" hidden="1" customHeight="1"/>
    <row r="9529" ht="15.75" hidden="1" customHeight="1"/>
    <row r="9530" ht="15.75" hidden="1" customHeight="1"/>
    <row r="9531" ht="15.75" hidden="1" customHeight="1"/>
    <row r="9532" ht="15.75" hidden="1" customHeight="1"/>
    <row r="9533" ht="15.75" hidden="1" customHeight="1"/>
    <row r="9534" ht="15.75" hidden="1" customHeight="1"/>
    <row r="9535" ht="15.75" hidden="1" customHeight="1"/>
    <row r="9536" ht="15.75" hidden="1" customHeight="1"/>
    <row r="9537" ht="15.75" hidden="1" customHeight="1"/>
    <row r="9538" ht="15.75" hidden="1" customHeight="1"/>
    <row r="9539" ht="15.75" hidden="1" customHeight="1"/>
    <row r="9540" ht="15.75" hidden="1" customHeight="1"/>
    <row r="9541" ht="15.75" hidden="1" customHeight="1"/>
    <row r="9542" ht="15.75" hidden="1" customHeight="1"/>
    <row r="9543" ht="15.75" hidden="1" customHeight="1"/>
    <row r="9544" ht="15.75" hidden="1" customHeight="1"/>
    <row r="9545" ht="15.75" hidden="1" customHeight="1"/>
    <row r="9546" ht="15.75" hidden="1" customHeight="1"/>
    <row r="9547" ht="15.75" hidden="1" customHeight="1"/>
    <row r="9548" ht="15.75" hidden="1" customHeight="1"/>
    <row r="9549" ht="15.75" hidden="1" customHeight="1"/>
    <row r="9550" ht="15.75" hidden="1" customHeight="1"/>
    <row r="9551" ht="15.75" hidden="1" customHeight="1"/>
    <row r="9552" ht="15.75" hidden="1" customHeight="1"/>
    <row r="9553" ht="15.75" hidden="1" customHeight="1"/>
    <row r="9554" ht="15.75" hidden="1" customHeight="1"/>
    <row r="9555" ht="15.75" hidden="1" customHeight="1"/>
    <row r="9556" ht="15.75" hidden="1" customHeight="1"/>
    <row r="9557" ht="15.75" hidden="1" customHeight="1"/>
    <row r="9558" ht="15.75" hidden="1" customHeight="1"/>
    <row r="9559" ht="15.75" hidden="1" customHeight="1"/>
    <row r="9560" ht="15.75" hidden="1" customHeight="1"/>
    <row r="9561" ht="15.75" hidden="1" customHeight="1"/>
    <row r="9562" ht="15.75" hidden="1" customHeight="1"/>
    <row r="9563" ht="15.75" hidden="1" customHeight="1"/>
    <row r="9564" ht="15.75" hidden="1" customHeight="1"/>
    <row r="9565" ht="15.75" hidden="1" customHeight="1"/>
    <row r="9566" ht="15.75" hidden="1" customHeight="1"/>
    <row r="9567" ht="15.75" hidden="1" customHeight="1"/>
    <row r="9568" ht="15.75" hidden="1" customHeight="1"/>
    <row r="9569" ht="15.75" hidden="1" customHeight="1"/>
    <row r="9570" ht="15.75" hidden="1" customHeight="1"/>
    <row r="9571" ht="15.75" hidden="1" customHeight="1"/>
    <row r="9572" ht="15.75" hidden="1" customHeight="1"/>
    <row r="9573" ht="15.75" hidden="1" customHeight="1"/>
    <row r="9574" ht="15.75" hidden="1" customHeight="1"/>
    <row r="9575" ht="15.75" hidden="1" customHeight="1"/>
    <row r="9576" ht="15.75" hidden="1" customHeight="1"/>
    <row r="9577" ht="15.75" hidden="1" customHeight="1"/>
    <row r="9578" ht="15.75" hidden="1" customHeight="1"/>
    <row r="9579" ht="15.75" hidden="1" customHeight="1"/>
    <row r="9580" ht="15.75" hidden="1" customHeight="1"/>
    <row r="9581" ht="15.75" hidden="1" customHeight="1"/>
    <row r="9582" ht="15.75" hidden="1" customHeight="1"/>
    <row r="9583" ht="15.75" hidden="1" customHeight="1"/>
    <row r="9584" ht="15.75" hidden="1" customHeight="1"/>
    <row r="9585" ht="15.75" hidden="1" customHeight="1"/>
    <row r="9586" ht="15.75" hidden="1" customHeight="1"/>
    <row r="9587" ht="15.75" hidden="1" customHeight="1"/>
    <row r="9588" ht="15.75" hidden="1" customHeight="1"/>
    <row r="9589" ht="15.75" hidden="1" customHeight="1"/>
    <row r="9590" ht="15.75" hidden="1" customHeight="1"/>
    <row r="9591" ht="15.75" hidden="1" customHeight="1"/>
    <row r="9592" ht="15.75" hidden="1" customHeight="1"/>
    <row r="9593" ht="15.75" hidden="1" customHeight="1"/>
    <row r="9594" ht="15.75" hidden="1" customHeight="1"/>
    <row r="9595" ht="15.75" hidden="1" customHeight="1"/>
    <row r="9596" ht="15.75" hidden="1" customHeight="1"/>
    <row r="9597" ht="15.75" hidden="1" customHeight="1"/>
    <row r="9598" ht="15.75" hidden="1" customHeight="1"/>
    <row r="9599" ht="15.75" hidden="1" customHeight="1"/>
    <row r="9600" ht="15.75" hidden="1" customHeight="1"/>
    <row r="9601" ht="15.75" hidden="1" customHeight="1"/>
    <row r="9602" ht="15.75" hidden="1" customHeight="1"/>
    <row r="9603" ht="15.75" hidden="1" customHeight="1"/>
    <row r="9604" ht="15.75" hidden="1" customHeight="1"/>
    <row r="9605" ht="15.75" hidden="1" customHeight="1"/>
    <row r="9606" ht="15.75" hidden="1" customHeight="1"/>
    <row r="9607" ht="15.75" hidden="1" customHeight="1"/>
    <row r="9608" ht="15.75" hidden="1" customHeight="1"/>
    <row r="9609" ht="15.75" hidden="1" customHeight="1"/>
    <row r="9610" ht="15.75" hidden="1" customHeight="1"/>
    <row r="9611" ht="15.75" hidden="1" customHeight="1"/>
    <row r="9612" ht="15.75" hidden="1" customHeight="1"/>
    <row r="9613" ht="15.75" hidden="1" customHeight="1"/>
    <row r="9614" ht="15.75" hidden="1" customHeight="1"/>
    <row r="9615" ht="15.75" hidden="1" customHeight="1"/>
    <row r="9616" ht="15.75" hidden="1" customHeight="1"/>
    <row r="9617" ht="15.75" hidden="1" customHeight="1"/>
    <row r="9618" ht="15.75" hidden="1" customHeight="1"/>
    <row r="9619" ht="15.75" hidden="1" customHeight="1"/>
    <row r="9620" ht="15.75" hidden="1" customHeight="1"/>
    <row r="9621" ht="15.75" hidden="1" customHeight="1"/>
    <row r="9622" ht="15.75" hidden="1" customHeight="1"/>
    <row r="9623" ht="15.75" hidden="1" customHeight="1"/>
    <row r="9624" ht="15.75" hidden="1" customHeight="1"/>
    <row r="9625" ht="15.75" hidden="1" customHeight="1"/>
    <row r="9626" ht="15.75" hidden="1" customHeight="1"/>
    <row r="9627" ht="15.75" hidden="1" customHeight="1"/>
    <row r="9628" ht="15.75" hidden="1" customHeight="1"/>
    <row r="9629" ht="15.75" hidden="1" customHeight="1"/>
    <row r="9630" ht="15.75" hidden="1" customHeight="1"/>
    <row r="9631" ht="15.75" hidden="1" customHeight="1"/>
    <row r="9632" ht="15.75" hidden="1" customHeight="1"/>
    <row r="9633" ht="15.75" hidden="1" customHeight="1"/>
    <row r="9634" ht="15.75" hidden="1" customHeight="1"/>
    <row r="9635" ht="15.75" hidden="1" customHeight="1"/>
    <row r="9636" ht="15.75" hidden="1" customHeight="1"/>
    <row r="9637" ht="15.75" hidden="1" customHeight="1"/>
    <row r="9638" ht="15.75" hidden="1" customHeight="1"/>
    <row r="9639" ht="15.75" hidden="1" customHeight="1"/>
    <row r="9640" ht="15.75" hidden="1" customHeight="1"/>
    <row r="9641" ht="15.75" hidden="1" customHeight="1"/>
    <row r="9642" ht="15.75" hidden="1" customHeight="1"/>
    <row r="9643" ht="15.75" hidden="1" customHeight="1"/>
    <row r="9644" ht="15.75" hidden="1" customHeight="1"/>
    <row r="9645" ht="15.75" hidden="1" customHeight="1"/>
    <row r="9646" ht="15.75" hidden="1" customHeight="1"/>
    <row r="9647" ht="15.75" hidden="1" customHeight="1"/>
    <row r="9648" ht="15.75" hidden="1" customHeight="1"/>
    <row r="9649" ht="15.75" hidden="1" customHeight="1"/>
    <row r="9650" ht="15.75" hidden="1" customHeight="1"/>
    <row r="9651" ht="15.75" hidden="1" customHeight="1"/>
    <row r="9652" ht="15.75" hidden="1" customHeight="1"/>
    <row r="9653" ht="15.75" hidden="1" customHeight="1"/>
    <row r="9654" ht="15.75" hidden="1" customHeight="1"/>
    <row r="9655" ht="15.75" hidden="1" customHeight="1"/>
    <row r="9656" ht="15.75" hidden="1" customHeight="1"/>
    <row r="9657" ht="15.75" hidden="1" customHeight="1"/>
    <row r="9658" ht="15.75" hidden="1" customHeight="1"/>
    <row r="9659" ht="15.75" hidden="1" customHeight="1"/>
    <row r="9660" ht="15.75" hidden="1" customHeight="1"/>
    <row r="9661" ht="15.75" hidden="1" customHeight="1"/>
    <row r="9662" ht="15.75" hidden="1" customHeight="1"/>
    <row r="9663" ht="15.75" hidden="1" customHeight="1"/>
    <row r="9664" ht="15.75" hidden="1" customHeight="1"/>
    <row r="9665" ht="15.75" hidden="1" customHeight="1"/>
    <row r="9666" ht="15.75" hidden="1" customHeight="1"/>
    <row r="9667" ht="15.75" hidden="1" customHeight="1"/>
    <row r="9668" ht="15.75" hidden="1" customHeight="1"/>
    <row r="9669" ht="15.75" hidden="1" customHeight="1"/>
    <row r="9670" ht="15.75" hidden="1" customHeight="1"/>
    <row r="9671" ht="15.75" hidden="1" customHeight="1"/>
    <row r="9672" ht="15.75" hidden="1" customHeight="1"/>
    <row r="9673" ht="15.75" hidden="1" customHeight="1"/>
    <row r="9674" ht="15.75" hidden="1" customHeight="1"/>
    <row r="9675" ht="15.75" hidden="1" customHeight="1"/>
    <row r="9676" ht="15.75" hidden="1" customHeight="1"/>
    <row r="9677" ht="15.75" hidden="1" customHeight="1"/>
    <row r="9678" ht="15.75" hidden="1" customHeight="1"/>
    <row r="9679" ht="15.75" hidden="1" customHeight="1"/>
    <row r="9680" ht="15.75" hidden="1" customHeight="1"/>
    <row r="9681" ht="15.75" hidden="1" customHeight="1"/>
    <row r="9682" ht="15.75" hidden="1" customHeight="1"/>
    <row r="9683" ht="15.75" hidden="1" customHeight="1"/>
    <row r="9684" ht="15.75" hidden="1" customHeight="1"/>
    <row r="9685" ht="15.75" hidden="1" customHeight="1"/>
    <row r="9686" ht="15.75" hidden="1" customHeight="1"/>
    <row r="9687" ht="15.75" hidden="1" customHeight="1"/>
    <row r="9688" ht="15.75" hidden="1" customHeight="1"/>
    <row r="9689" ht="15.75" hidden="1" customHeight="1"/>
    <row r="9690" ht="15.75" hidden="1" customHeight="1"/>
    <row r="9691" ht="15.75" hidden="1" customHeight="1"/>
    <row r="9692" ht="15.75" hidden="1" customHeight="1"/>
    <row r="9693" ht="15.75" hidden="1" customHeight="1"/>
    <row r="9694" ht="15.75" hidden="1" customHeight="1"/>
    <row r="9695" ht="15.75" hidden="1" customHeight="1"/>
    <row r="9696" ht="15.75" hidden="1" customHeight="1"/>
    <row r="9697" ht="15.75" hidden="1" customHeight="1"/>
    <row r="9698" ht="15.75" hidden="1" customHeight="1"/>
    <row r="9699" ht="15.75" hidden="1" customHeight="1"/>
    <row r="9700" ht="15.75" hidden="1" customHeight="1"/>
    <row r="9701" ht="15.75" hidden="1" customHeight="1"/>
    <row r="9702" ht="15.75" hidden="1" customHeight="1"/>
    <row r="9703" ht="15.75" hidden="1" customHeight="1"/>
    <row r="9704" ht="15.75" hidden="1" customHeight="1"/>
    <row r="9705" ht="15.75" hidden="1" customHeight="1"/>
    <row r="9706" ht="15.75" hidden="1" customHeight="1"/>
    <row r="9707" ht="15.75" hidden="1" customHeight="1"/>
    <row r="9708" ht="15.75" hidden="1" customHeight="1"/>
    <row r="9709" ht="15.75" hidden="1" customHeight="1"/>
    <row r="9710" ht="15.75" hidden="1" customHeight="1"/>
    <row r="9711" ht="15.75" hidden="1" customHeight="1"/>
    <row r="9712" ht="15.75" hidden="1" customHeight="1"/>
    <row r="9713" ht="15.75" hidden="1" customHeight="1"/>
    <row r="9714" ht="15.75" hidden="1" customHeight="1"/>
    <row r="9715" ht="15.75" hidden="1" customHeight="1"/>
    <row r="9716" ht="15.75" hidden="1" customHeight="1"/>
    <row r="9717" ht="15.75" hidden="1" customHeight="1"/>
    <row r="9718" ht="15.75" hidden="1" customHeight="1"/>
    <row r="9719" ht="15.75" hidden="1" customHeight="1"/>
    <row r="9720" ht="15.75" hidden="1" customHeight="1"/>
    <row r="9721" ht="15.75" hidden="1" customHeight="1"/>
    <row r="9722" ht="15.75" hidden="1" customHeight="1"/>
    <row r="9723" ht="15.75" hidden="1" customHeight="1"/>
    <row r="9724" ht="15.75" hidden="1" customHeight="1"/>
    <row r="9725" ht="15.75" hidden="1" customHeight="1"/>
    <row r="9726" ht="15.75" hidden="1" customHeight="1"/>
    <row r="9727" ht="15.75" hidden="1" customHeight="1"/>
    <row r="9728" ht="15.75" hidden="1" customHeight="1"/>
    <row r="9729" ht="15.75" hidden="1" customHeight="1"/>
    <row r="9730" ht="15.75" hidden="1" customHeight="1"/>
    <row r="9731" ht="15.75" hidden="1" customHeight="1"/>
    <row r="9732" ht="15.75" hidden="1" customHeight="1"/>
    <row r="9733" ht="15.75" hidden="1" customHeight="1"/>
    <row r="9734" ht="15.75" hidden="1" customHeight="1"/>
    <row r="9735" ht="15.75" hidden="1" customHeight="1"/>
    <row r="9736" ht="15.75" hidden="1" customHeight="1"/>
    <row r="9737" ht="15.75" hidden="1" customHeight="1"/>
    <row r="9738" ht="15.75" hidden="1" customHeight="1"/>
    <row r="9739" ht="15.75" hidden="1" customHeight="1"/>
    <row r="9740" ht="15.75" hidden="1" customHeight="1"/>
    <row r="9741" ht="15.75" hidden="1" customHeight="1"/>
    <row r="9742" ht="15.75" hidden="1" customHeight="1"/>
    <row r="9743" ht="15.75" hidden="1" customHeight="1"/>
    <row r="9744" ht="15.75" hidden="1" customHeight="1"/>
    <row r="9745" ht="15.75" hidden="1" customHeight="1"/>
    <row r="9746" ht="15.75" hidden="1" customHeight="1"/>
    <row r="9747" ht="15.75" hidden="1" customHeight="1"/>
    <row r="9748" ht="15.75" hidden="1" customHeight="1"/>
    <row r="9749" ht="15.75" hidden="1" customHeight="1"/>
    <row r="9750" ht="15.75" hidden="1" customHeight="1"/>
    <row r="9751" ht="15.75" hidden="1" customHeight="1"/>
    <row r="9752" ht="15.75" hidden="1" customHeight="1"/>
    <row r="9753" ht="15.75" hidden="1" customHeight="1"/>
    <row r="9754" ht="15.75" hidden="1" customHeight="1"/>
    <row r="9755" ht="15.75" hidden="1" customHeight="1"/>
    <row r="9756" ht="15.75" hidden="1" customHeight="1"/>
    <row r="9757" ht="15.75" hidden="1" customHeight="1"/>
    <row r="9758" ht="15.75" hidden="1" customHeight="1"/>
    <row r="9759" ht="15.75" hidden="1" customHeight="1"/>
    <row r="9760" ht="15.75" hidden="1" customHeight="1"/>
    <row r="9761" ht="15.75" hidden="1" customHeight="1"/>
    <row r="9762" ht="15.75" hidden="1" customHeight="1"/>
    <row r="9763" ht="15.75" hidden="1" customHeight="1"/>
    <row r="9764" ht="15.75" hidden="1" customHeight="1"/>
    <row r="9765" ht="15.75" hidden="1" customHeight="1"/>
    <row r="9766" ht="15.75" hidden="1" customHeight="1"/>
    <row r="9767" ht="15.75" hidden="1" customHeight="1"/>
    <row r="9768" ht="15.75" hidden="1" customHeight="1"/>
    <row r="9769" ht="15.75" hidden="1" customHeight="1"/>
    <row r="9770" ht="15.75" hidden="1" customHeight="1"/>
    <row r="9771" ht="15.75" hidden="1" customHeight="1"/>
    <row r="9772" ht="15.75" hidden="1" customHeight="1"/>
    <row r="9773" ht="15.75" hidden="1" customHeight="1"/>
    <row r="9774" ht="15.75" hidden="1" customHeight="1"/>
    <row r="9775" ht="15.75" hidden="1" customHeight="1"/>
    <row r="9776" ht="15.75" hidden="1" customHeight="1"/>
    <row r="9777" ht="15.75" hidden="1" customHeight="1"/>
    <row r="9778" ht="15.75" hidden="1" customHeight="1"/>
    <row r="9779" ht="15.75" hidden="1" customHeight="1"/>
    <row r="9780" ht="15.75" hidden="1" customHeight="1"/>
    <row r="9781" ht="15.75" hidden="1" customHeight="1"/>
    <row r="9782" ht="15.75" hidden="1" customHeight="1"/>
    <row r="9783" ht="15.75" hidden="1" customHeight="1"/>
    <row r="9784" ht="15.75" hidden="1" customHeight="1"/>
    <row r="9785" ht="15.75" hidden="1" customHeight="1"/>
    <row r="9786" ht="15.75" hidden="1" customHeight="1"/>
    <row r="9787" ht="15.75" hidden="1" customHeight="1"/>
    <row r="9788" ht="15.75" hidden="1" customHeight="1"/>
    <row r="9789" ht="15.75" hidden="1" customHeight="1"/>
    <row r="9790" ht="15.75" hidden="1" customHeight="1"/>
    <row r="9791" ht="15.75" hidden="1" customHeight="1"/>
    <row r="9792" ht="15.75" hidden="1" customHeight="1"/>
    <row r="9793" ht="15.75" hidden="1" customHeight="1"/>
    <row r="9794" ht="15.75" hidden="1" customHeight="1"/>
    <row r="9795" ht="15.75" hidden="1" customHeight="1"/>
    <row r="9796" ht="15.75" hidden="1" customHeight="1"/>
    <row r="9797" ht="15.75" hidden="1" customHeight="1"/>
    <row r="9798" ht="15.75" hidden="1" customHeight="1"/>
    <row r="9799" ht="15.75" hidden="1" customHeight="1"/>
    <row r="9800" ht="15.75" hidden="1" customHeight="1"/>
    <row r="9801" ht="15.75" hidden="1" customHeight="1"/>
    <row r="9802" ht="15.75" hidden="1" customHeight="1"/>
    <row r="9803" ht="15.75" hidden="1" customHeight="1"/>
    <row r="9804" ht="15.75" hidden="1" customHeight="1"/>
    <row r="9805" ht="15.75" hidden="1" customHeight="1"/>
    <row r="9806" ht="15.75" hidden="1" customHeight="1"/>
    <row r="9807" ht="15.75" hidden="1" customHeight="1"/>
    <row r="9808" ht="15.75" hidden="1" customHeight="1"/>
    <row r="9809" ht="15.75" hidden="1" customHeight="1"/>
    <row r="9810" ht="15.75" hidden="1" customHeight="1"/>
    <row r="9811" ht="15.75" hidden="1" customHeight="1"/>
    <row r="9812" ht="15.75" hidden="1" customHeight="1"/>
    <row r="9813" ht="15.75" hidden="1" customHeight="1"/>
    <row r="9814" ht="15.75" hidden="1" customHeight="1"/>
    <row r="9815" ht="15.75" hidden="1" customHeight="1"/>
    <row r="9816" ht="15.75" hidden="1" customHeight="1"/>
    <row r="9817" ht="15.75" hidden="1" customHeight="1"/>
    <row r="9818" ht="15.75" hidden="1" customHeight="1"/>
    <row r="9819" ht="15.75" hidden="1" customHeight="1"/>
    <row r="9820" ht="15.75" hidden="1" customHeight="1"/>
    <row r="9821" ht="15.75" hidden="1" customHeight="1"/>
    <row r="9822" ht="15.75" hidden="1" customHeight="1"/>
    <row r="9823" ht="15.75" hidden="1" customHeight="1"/>
    <row r="9824" ht="15.75" hidden="1" customHeight="1"/>
    <row r="9825" ht="15.75" hidden="1" customHeight="1"/>
    <row r="9826" ht="15.75" hidden="1" customHeight="1"/>
    <row r="9827" ht="15.75" hidden="1" customHeight="1"/>
    <row r="9828" ht="15.75" hidden="1" customHeight="1"/>
    <row r="9829" ht="15.75" hidden="1" customHeight="1"/>
    <row r="9830" ht="15.75" hidden="1" customHeight="1"/>
    <row r="9831" ht="15.75" hidden="1" customHeight="1"/>
    <row r="9832" ht="15.75" hidden="1" customHeight="1"/>
    <row r="9833" ht="15.75" hidden="1" customHeight="1"/>
    <row r="9834" ht="15.75" hidden="1" customHeight="1"/>
    <row r="9835" ht="15.75" hidden="1" customHeight="1"/>
    <row r="9836" ht="15.75" hidden="1" customHeight="1"/>
    <row r="9837" ht="15.75" hidden="1" customHeight="1"/>
    <row r="9838" ht="15.75" hidden="1" customHeight="1"/>
    <row r="9839" ht="15.75" hidden="1" customHeight="1"/>
    <row r="9840" ht="15.75" hidden="1" customHeight="1"/>
    <row r="9841" ht="15.75" hidden="1" customHeight="1"/>
    <row r="9842" ht="15.75" hidden="1" customHeight="1"/>
    <row r="9843" ht="15.75" hidden="1" customHeight="1"/>
    <row r="9844" ht="15.75" hidden="1" customHeight="1"/>
    <row r="9845" ht="15.75" hidden="1" customHeight="1"/>
    <row r="9846" ht="15.75" hidden="1" customHeight="1"/>
    <row r="9847" ht="15.75" hidden="1" customHeight="1"/>
    <row r="9848" ht="15.75" hidden="1" customHeight="1"/>
    <row r="9849" ht="15.75" hidden="1" customHeight="1"/>
    <row r="9850" ht="15.75" hidden="1" customHeight="1"/>
    <row r="9851" ht="15.75" hidden="1" customHeight="1"/>
    <row r="9852" ht="15.75" hidden="1" customHeight="1"/>
    <row r="9853" ht="15.75" hidden="1" customHeight="1"/>
    <row r="9854" ht="15.75" hidden="1" customHeight="1"/>
    <row r="9855" ht="15.75" hidden="1" customHeight="1"/>
    <row r="9856" ht="15.75" hidden="1" customHeight="1"/>
    <row r="9857" ht="15.75" hidden="1" customHeight="1"/>
    <row r="9858" ht="15.75" hidden="1" customHeight="1"/>
    <row r="9859" ht="15.75" hidden="1" customHeight="1"/>
    <row r="9860" ht="15.75" hidden="1" customHeight="1"/>
    <row r="9861" ht="15.75" hidden="1" customHeight="1"/>
    <row r="9862" ht="15.75" hidden="1" customHeight="1"/>
    <row r="9863" ht="15.75" hidden="1" customHeight="1"/>
    <row r="9864" ht="15.75" hidden="1" customHeight="1"/>
    <row r="9865" ht="15.75" hidden="1" customHeight="1"/>
    <row r="9866" ht="15.75" hidden="1" customHeight="1"/>
    <row r="9867" ht="15.75" hidden="1" customHeight="1"/>
    <row r="9868" ht="15.75" hidden="1" customHeight="1"/>
    <row r="9869" ht="15.75" hidden="1" customHeight="1"/>
    <row r="9870" ht="15.75" hidden="1" customHeight="1"/>
    <row r="9871" ht="15.75" hidden="1" customHeight="1"/>
    <row r="9872" ht="15.75" hidden="1" customHeight="1"/>
    <row r="9873" ht="15.75" hidden="1" customHeight="1"/>
    <row r="9874" ht="15.75" hidden="1" customHeight="1"/>
    <row r="9875" ht="15.75" hidden="1" customHeight="1"/>
    <row r="9876" ht="15.75" hidden="1" customHeight="1"/>
    <row r="9877" ht="15.75" hidden="1" customHeight="1"/>
    <row r="9878" ht="15.75" hidden="1" customHeight="1"/>
    <row r="9879" ht="15.75" hidden="1" customHeight="1"/>
    <row r="9880" ht="15.75" hidden="1" customHeight="1"/>
    <row r="9881" ht="15.75" hidden="1" customHeight="1"/>
    <row r="9882" ht="15.75" hidden="1" customHeight="1"/>
    <row r="9883" ht="15.75" hidden="1" customHeight="1"/>
    <row r="9884" ht="15.75" hidden="1" customHeight="1"/>
    <row r="9885" ht="15.75" hidden="1" customHeight="1"/>
    <row r="9886" ht="15.75" hidden="1" customHeight="1"/>
    <row r="9887" ht="15.75" hidden="1" customHeight="1"/>
    <row r="9888" ht="15.75" hidden="1" customHeight="1"/>
    <row r="9889" ht="15.75" hidden="1" customHeight="1"/>
    <row r="9890" ht="15.75" hidden="1" customHeight="1"/>
    <row r="9891" ht="15.75" hidden="1" customHeight="1"/>
    <row r="9892" ht="15.75" hidden="1" customHeight="1"/>
    <row r="9893" ht="15.75" hidden="1" customHeight="1"/>
    <row r="9894" ht="15.75" hidden="1" customHeight="1"/>
    <row r="9895" ht="15.75" hidden="1" customHeight="1"/>
    <row r="9896" ht="15.75" hidden="1" customHeight="1"/>
    <row r="9897" ht="15.75" hidden="1" customHeight="1"/>
    <row r="9898" ht="15.75" hidden="1" customHeight="1"/>
    <row r="9899" ht="15.75" hidden="1" customHeight="1"/>
    <row r="9900" ht="15.75" hidden="1" customHeight="1"/>
    <row r="9901" ht="15.75" hidden="1" customHeight="1"/>
    <row r="9902" ht="15.75" hidden="1" customHeight="1"/>
    <row r="9903" ht="15.75" hidden="1" customHeight="1"/>
    <row r="9904" ht="15.75" hidden="1" customHeight="1"/>
    <row r="9905" ht="15.75" hidden="1" customHeight="1"/>
    <row r="9906" ht="15.75" hidden="1" customHeight="1"/>
    <row r="9907" ht="15.75" hidden="1" customHeight="1"/>
    <row r="9908" ht="15.75" hidden="1" customHeight="1"/>
    <row r="9909" ht="15.75" hidden="1" customHeight="1"/>
    <row r="9910" ht="15.75" hidden="1" customHeight="1"/>
    <row r="9911" ht="15.75" hidden="1" customHeight="1"/>
    <row r="9912" ht="15.75" hidden="1" customHeight="1"/>
    <row r="9913" ht="15.75" hidden="1" customHeight="1"/>
    <row r="9914" ht="15.75" hidden="1" customHeight="1"/>
    <row r="9915" ht="15.75" hidden="1" customHeight="1"/>
    <row r="9916" ht="15.75" hidden="1" customHeight="1"/>
    <row r="9917" ht="15.75" hidden="1" customHeight="1"/>
    <row r="9918" ht="15.75" hidden="1" customHeight="1"/>
    <row r="9919" ht="15.75" hidden="1" customHeight="1"/>
    <row r="9920" ht="15.75" hidden="1" customHeight="1"/>
    <row r="9921" ht="15.75" hidden="1" customHeight="1"/>
    <row r="9922" ht="15.75" hidden="1" customHeight="1"/>
    <row r="9923" ht="15.75" hidden="1" customHeight="1"/>
    <row r="9924" ht="15.75" hidden="1" customHeight="1"/>
    <row r="9925" ht="15.75" hidden="1" customHeight="1"/>
    <row r="9926" ht="15.75" hidden="1" customHeight="1"/>
    <row r="9927" ht="15.75" hidden="1" customHeight="1"/>
    <row r="9928" ht="15.75" hidden="1" customHeight="1"/>
    <row r="9929" ht="15.75" hidden="1" customHeight="1"/>
    <row r="9930" ht="15.75" hidden="1" customHeight="1"/>
    <row r="9931" ht="15.75" hidden="1" customHeight="1"/>
    <row r="9932" ht="15.75" hidden="1" customHeight="1"/>
    <row r="9933" ht="15.75" hidden="1" customHeight="1"/>
    <row r="9934" ht="15.75" hidden="1" customHeight="1"/>
    <row r="9935" ht="15.75" hidden="1" customHeight="1"/>
    <row r="9936" ht="15.75" hidden="1" customHeight="1"/>
    <row r="9937" ht="15.75" hidden="1" customHeight="1"/>
    <row r="9938" ht="15.75" hidden="1" customHeight="1"/>
    <row r="9939" ht="15.75" hidden="1" customHeight="1"/>
    <row r="9940" ht="15.75" hidden="1" customHeight="1"/>
    <row r="9941" ht="15.75" hidden="1" customHeight="1"/>
    <row r="9942" ht="15.75" hidden="1" customHeight="1"/>
    <row r="9943" ht="15.75" hidden="1" customHeight="1"/>
    <row r="9944" ht="15.75" hidden="1" customHeight="1"/>
    <row r="9945" ht="15.75" hidden="1" customHeight="1"/>
    <row r="9946" ht="15.75" hidden="1" customHeight="1"/>
    <row r="9947" ht="15.75" hidden="1" customHeight="1"/>
    <row r="9948" ht="15.75" hidden="1" customHeight="1"/>
    <row r="9949" ht="15.75" hidden="1" customHeight="1"/>
    <row r="9950" ht="15.75" hidden="1" customHeight="1"/>
    <row r="9951" ht="15.75" hidden="1" customHeight="1"/>
    <row r="9952" ht="15.75" hidden="1" customHeight="1"/>
    <row r="9953" ht="15.75" hidden="1" customHeight="1"/>
    <row r="9954" ht="15.75" hidden="1" customHeight="1"/>
    <row r="9955" ht="15.75" hidden="1" customHeight="1"/>
    <row r="9956" ht="15.75" hidden="1" customHeight="1"/>
    <row r="9957" ht="15.75" hidden="1" customHeight="1"/>
    <row r="9958" ht="15.75" hidden="1" customHeight="1"/>
    <row r="9959" ht="15.75" hidden="1" customHeight="1"/>
    <row r="9960" ht="15.75" hidden="1" customHeight="1"/>
    <row r="9961" ht="15.75" hidden="1" customHeight="1"/>
    <row r="9962" ht="15.75" hidden="1" customHeight="1"/>
    <row r="9963" ht="15.75" hidden="1" customHeight="1"/>
    <row r="9964" ht="15.75" hidden="1" customHeight="1"/>
    <row r="9965" ht="15.75" hidden="1" customHeight="1"/>
    <row r="9966" ht="15.75" hidden="1" customHeight="1"/>
    <row r="9967" ht="15.75" hidden="1" customHeight="1"/>
    <row r="9968" ht="15.75" hidden="1" customHeight="1"/>
    <row r="9969" ht="15.75" hidden="1" customHeight="1"/>
    <row r="9970" ht="15.75" hidden="1" customHeight="1"/>
    <row r="9971" ht="15.75" hidden="1" customHeight="1"/>
    <row r="9972" ht="15.75" hidden="1" customHeight="1"/>
    <row r="9973" ht="15.75" hidden="1" customHeight="1"/>
    <row r="9974" ht="15.75" hidden="1" customHeight="1"/>
    <row r="9975" ht="15.75" hidden="1" customHeight="1"/>
    <row r="9976" ht="15.75" hidden="1" customHeight="1"/>
    <row r="9977" ht="15.75" hidden="1" customHeight="1"/>
    <row r="9978" ht="15.75" hidden="1" customHeight="1"/>
    <row r="9979" ht="15.75" hidden="1" customHeight="1"/>
    <row r="9980" ht="15.75" hidden="1" customHeight="1"/>
    <row r="9981" ht="15.75" hidden="1" customHeight="1"/>
    <row r="9982" ht="15.75" hidden="1" customHeight="1"/>
    <row r="9983" ht="15.75" hidden="1" customHeight="1"/>
    <row r="9984" ht="15.75" hidden="1" customHeight="1"/>
    <row r="9985" ht="15.75" hidden="1" customHeight="1"/>
    <row r="9986" ht="15.75" hidden="1" customHeight="1"/>
    <row r="9987" ht="15.75" hidden="1" customHeight="1"/>
    <row r="9988" ht="15.75" hidden="1" customHeight="1"/>
    <row r="9989" ht="15.75" hidden="1" customHeight="1"/>
    <row r="9990" ht="15.75" hidden="1" customHeight="1"/>
    <row r="9991" ht="15.75" hidden="1" customHeight="1"/>
    <row r="9992" ht="15.75" hidden="1" customHeight="1"/>
    <row r="9993" ht="15.75" hidden="1" customHeight="1"/>
    <row r="9994" ht="15.75" hidden="1" customHeight="1"/>
    <row r="9995" ht="15.75" hidden="1" customHeight="1"/>
    <row r="9996" ht="15.75" hidden="1" customHeight="1"/>
    <row r="9997" ht="15.75" hidden="1" customHeight="1"/>
    <row r="9998" ht="15.75" hidden="1" customHeight="1"/>
    <row r="9999" ht="15.75" hidden="1" customHeight="1"/>
    <row r="10000" ht="15.75" hidden="1" customHeight="1"/>
    <row r="10001" ht="15.75" hidden="1" customHeight="1"/>
    <row r="10002" ht="15.75" hidden="1" customHeight="1"/>
    <row r="10003" ht="15.75" hidden="1" customHeight="1"/>
    <row r="10004" ht="15.75" hidden="1" customHeight="1"/>
    <row r="10005" ht="15.75" hidden="1" customHeight="1"/>
    <row r="10006" ht="15.75" hidden="1" customHeight="1"/>
    <row r="10007" ht="15.75" hidden="1" customHeight="1"/>
    <row r="10008" ht="15.75" hidden="1" customHeight="1"/>
    <row r="10009" ht="15.75" hidden="1" customHeight="1"/>
    <row r="10010" ht="15.75" hidden="1" customHeight="1"/>
    <row r="10011" ht="15.75" hidden="1" customHeight="1"/>
    <row r="10012" ht="15.75" hidden="1" customHeight="1"/>
    <row r="10013" ht="15.75" hidden="1" customHeight="1"/>
    <row r="10014" ht="15.75" hidden="1" customHeight="1"/>
    <row r="10015" ht="15.75" hidden="1" customHeight="1"/>
    <row r="10016" ht="15.75" hidden="1" customHeight="1"/>
    <row r="10017" ht="15.75" hidden="1" customHeight="1"/>
    <row r="10018" ht="15.75" hidden="1" customHeight="1"/>
    <row r="10019" ht="15.75" hidden="1" customHeight="1"/>
    <row r="10020" ht="15.75" hidden="1" customHeight="1"/>
    <row r="10021" ht="15.75" hidden="1" customHeight="1"/>
    <row r="10022" ht="15.75" hidden="1" customHeight="1"/>
    <row r="10023" ht="15.75" hidden="1" customHeight="1"/>
    <row r="10024" ht="15.75" hidden="1" customHeight="1"/>
    <row r="10025" ht="15.75" hidden="1" customHeight="1"/>
    <row r="10026" ht="15.75" hidden="1" customHeight="1"/>
    <row r="10027" ht="15.75" hidden="1" customHeight="1"/>
    <row r="10028" ht="15.75" hidden="1" customHeight="1"/>
    <row r="10029" ht="15.75" hidden="1" customHeight="1"/>
    <row r="10030" ht="15.75" hidden="1" customHeight="1"/>
    <row r="10031" ht="15.75" hidden="1" customHeight="1"/>
    <row r="10032" ht="15.75" hidden="1" customHeight="1"/>
    <row r="10033" ht="15.75" hidden="1" customHeight="1"/>
    <row r="10034" ht="15.75" hidden="1" customHeight="1"/>
    <row r="10035" ht="15.75" hidden="1" customHeight="1"/>
    <row r="10036" ht="15.75" hidden="1" customHeight="1"/>
    <row r="10037" ht="15.75" hidden="1" customHeight="1"/>
    <row r="10038" ht="15.75" hidden="1" customHeight="1"/>
    <row r="10039" ht="15.75" hidden="1" customHeight="1"/>
    <row r="10040" ht="15.75" hidden="1" customHeight="1"/>
    <row r="10041" ht="15.75" hidden="1" customHeight="1"/>
    <row r="10042" ht="15.75" hidden="1" customHeight="1"/>
    <row r="10043" ht="15.75" hidden="1" customHeight="1"/>
    <row r="10044" ht="15.75" hidden="1" customHeight="1"/>
    <row r="10045" ht="15.75" hidden="1" customHeight="1"/>
    <row r="10046" ht="15.75" hidden="1" customHeight="1"/>
    <row r="10047" ht="15.75" hidden="1" customHeight="1"/>
    <row r="10048" ht="15.75" hidden="1" customHeight="1"/>
    <row r="10049" ht="15.75" hidden="1" customHeight="1"/>
    <row r="10050" ht="15.75" hidden="1" customHeight="1"/>
    <row r="10051" ht="15.75" hidden="1" customHeight="1"/>
    <row r="10052" ht="15.75" hidden="1" customHeight="1"/>
    <row r="10053" ht="15.75" hidden="1" customHeight="1"/>
    <row r="10054" ht="15.75" hidden="1" customHeight="1"/>
    <row r="10055" ht="15.75" hidden="1" customHeight="1"/>
    <row r="10056" ht="15.75" hidden="1" customHeight="1"/>
    <row r="10057" ht="15.75" hidden="1" customHeight="1"/>
    <row r="10058" ht="15.75" hidden="1" customHeight="1"/>
    <row r="10059" ht="15.75" hidden="1" customHeight="1"/>
    <row r="10060" ht="15.75" hidden="1" customHeight="1"/>
    <row r="10061" ht="15.75" hidden="1" customHeight="1"/>
    <row r="10062" ht="15.75" hidden="1" customHeight="1"/>
    <row r="10063" ht="15.75" hidden="1" customHeight="1"/>
    <row r="10064" ht="15.75" hidden="1" customHeight="1"/>
    <row r="10065" ht="15.75" hidden="1" customHeight="1"/>
    <row r="10066" ht="15.75" hidden="1" customHeight="1"/>
    <row r="10067" ht="15.75" hidden="1" customHeight="1"/>
    <row r="10068" ht="15.75" hidden="1" customHeight="1"/>
    <row r="10069" ht="15.75" hidden="1" customHeight="1"/>
    <row r="10070" ht="15.75" hidden="1" customHeight="1"/>
    <row r="10071" ht="15.75" hidden="1" customHeight="1"/>
    <row r="10072" ht="15.75" hidden="1" customHeight="1"/>
    <row r="10073" ht="15.75" hidden="1" customHeight="1"/>
    <row r="10074" ht="15.75" hidden="1" customHeight="1"/>
    <row r="10075" ht="15.75" hidden="1" customHeight="1"/>
    <row r="10076" ht="15.75" hidden="1" customHeight="1"/>
    <row r="10077" ht="15.75" hidden="1" customHeight="1"/>
    <row r="10078" ht="15.75" hidden="1" customHeight="1"/>
    <row r="10079" ht="15.75" hidden="1" customHeight="1"/>
    <row r="10080" ht="15.75" hidden="1" customHeight="1"/>
    <row r="10081" ht="15.75" hidden="1" customHeight="1"/>
    <row r="10082" ht="15.75" hidden="1" customHeight="1"/>
    <row r="10083" ht="15.75" hidden="1" customHeight="1"/>
    <row r="10084" ht="15.75" hidden="1" customHeight="1"/>
    <row r="10085" ht="15.75" hidden="1" customHeight="1"/>
    <row r="10086" ht="15.75" hidden="1" customHeight="1"/>
    <row r="10087" ht="15.75" hidden="1" customHeight="1"/>
    <row r="10088" ht="15.75" hidden="1" customHeight="1"/>
    <row r="10089" ht="15.75" hidden="1" customHeight="1"/>
    <row r="10090" ht="15.75" hidden="1" customHeight="1"/>
    <row r="10091" ht="15.75" hidden="1" customHeight="1"/>
    <row r="10092" ht="15.75" hidden="1" customHeight="1"/>
    <row r="10093" ht="15.75" hidden="1" customHeight="1"/>
    <row r="10094" ht="15.75" hidden="1" customHeight="1"/>
    <row r="10095" ht="15.75" hidden="1" customHeight="1"/>
    <row r="10096" ht="15.75" hidden="1" customHeight="1"/>
    <row r="10097" ht="15.75" hidden="1" customHeight="1"/>
    <row r="10098" ht="15.75" hidden="1" customHeight="1"/>
    <row r="10099" ht="15.75" hidden="1" customHeight="1"/>
    <row r="10100" ht="15.75" hidden="1" customHeight="1"/>
    <row r="10101" ht="15.75" hidden="1" customHeight="1"/>
    <row r="10102" ht="15.75" hidden="1" customHeight="1"/>
    <row r="10103" ht="15.75" hidden="1" customHeight="1"/>
    <row r="10104" ht="15.75" hidden="1" customHeight="1"/>
    <row r="10105" ht="15.75" hidden="1" customHeight="1"/>
    <row r="10106" ht="15.75" hidden="1" customHeight="1"/>
    <row r="10107" ht="15.75" hidden="1" customHeight="1"/>
    <row r="10108" ht="15.75" hidden="1" customHeight="1"/>
    <row r="10109" ht="15.75" hidden="1" customHeight="1"/>
    <row r="10110" ht="15.75" hidden="1" customHeight="1"/>
    <row r="10111" ht="15.75" hidden="1" customHeight="1"/>
    <row r="10112" ht="15.75" hidden="1" customHeight="1"/>
    <row r="10113" ht="15.75" hidden="1" customHeight="1"/>
    <row r="10114" ht="15.75" hidden="1" customHeight="1"/>
    <row r="10115" ht="15.75" hidden="1" customHeight="1"/>
    <row r="10116" ht="15.75" hidden="1" customHeight="1"/>
    <row r="10117" ht="15.75" hidden="1" customHeight="1"/>
    <row r="10118" ht="15.75" hidden="1" customHeight="1"/>
    <row r="10119" ht="15.75" hidden="1" customHeight="1"/>
    <row r="10120" ht="15.75" hidden="1" customHeight="1"/>
    <row r="10121" ht="15.75" hidden="1" customHeight="1"/>
    <row r="10122" ht="15.75" hidden="1" customHeight="1"/>
    <row r="10123" ht="15.75" hidden="1" customHeight="1"/>
    <row r="10124" ht="15.75" hidden="1" customHeight="1"/>
    <row r="10125" ht="15.75" hidden="1" customHeight="1"/>
    <row r="10126" ht="15.75" hidden="1" customHeight="1"/>
    <row r="10127" ht="15.75" hidden="1" customHeight="1"/>
    <row r="10128" ht="15.75" hidden="1" customHeight="1"/>
    <row r="10129" ht="15.75" hidden="1" customHeight="1"/>
    <row r="10130" ht="15.75" hidden="1" customHeight="1"/>
    <row r="10131" ht="15.75" hidden="1" customHeight="1"/>
    <row r="10132" ht="15.75" hidden="1" customHeight="1"/>
    <row r="10133" ht="15.75" hidden="1" customHeight="1"/>
    <row r="10134" ht="15.75" hidden="1" customHeight="1"/>
    <row r="10135" ht="15.75" hidden="1" customHeight="1"/>
    <row r="10136" ht="15.75" hidden="1" customHeight="1"/>
    <row r="10137" ht="15.75" hidden="1" customHeight="1"/>
    <row r="10138" ht="15.75" hidden="1" customHeight="1"/>
    <row r="10139" ht="15.75" hidden="1" customHeight="1"/>
    <row r="10140" ht="15.75" hidden="1" customHeight="1"/>
    <row r="10141" ht="15.75" hidden="1" customHeight="1"/>
    <row r="10142" ht="15.75" hidden="1" customHeight="1"/>
    <row r="10143" ht="15.75" hidden="1" customHeight="1"/>
    <row r="10144" ht="15.75" hidden="1" customHeight="1"/>
    <row r="10145" ht="15.75" hidden="1" customHeight="1"/>
    <row r="10146" ht="15.75" hidden="1" customHeight="1"/>
    <row r="10147" ht="15.75" hidden="1" customHeight="1"/>
    <row r="10148" ht="15.75" hidden="1" customHeight="1"/>
    <row r="10149" ht="15.75" hidden="1" customHeight="1"/>
    <row r="10150" ht="15.75" hidden="1" customHeight="1"/>
    <row r="10151" ht="15.75" hidden="1" customHeight="1"/>
    <row r="10152" ht="15.75" hidden="1" customHeight="1"/>
    <row r="10153" ht="15.75" hidden="1" customHeight="1"/>
    <row r="10154" ht="15.75" hidden="1" customHeight="1"/>
    <row r="10155" ht="15.75" hidden="1" customHeight="1"/>
    <row r="10156" ht="15.75" hidden="1" customHeight="1"/>
    <row r="10157" ht="15.75" hidden="1" customHeight="1"/>
    <row r="10158" ht="15.75" hidden="1" customHeight="1"/>
    <row r="10159" ht="15.75" hidden="1" customHeight="1"/>
    <row r="10160" ht="15.75" hidden="1" customHeight="1"/>
    <row r="10161" ht="15.75" hidden="1" customHeight="1"/>
    <row r="10162" ht="15.75" hidden="1" customHeight="1"/>
    <row r="10163" ht="15.75" hidden="1" customHeight="1"/>
    <row r="10164" ht="15.75" hidden="1" customHeight="1"/>
    <row r="10165" ht="15.75" hidden="1" customHeight="1"/>
    <row r="10166" ht="15.75" hidden="1" customHeight="1"/>
    <row r="10167" ht="15.75" hidden="1" customHeight="1"/>
    <row r="10168" ht="15.75" hidden="1" customHeight="1"/>
    <row r="10169" ht="15.75" hidden="1" customHeight="1"/>
    <row r="10170" ht="15.75" hidden="1" customHeight="1"/>
    <row r="10171" ht="15.75" hidden="1" customHeight="1"/>
    <row r="10172" ht="15.75" hidden="1" customHeight="1"/>
    <row r="10173" ht="15.75" hidden="1" customHeight="1"/>
    <row r="10174" ht="15.75" hidden="1" customHeight="1"/>
    <row r="10175" ht="15.75" hidden="1" customHeight="1"/>
    <row r="10176" ht="15.75" hidden="1" customHeight="1"/>
    <row r="10177" ht="15.75" hidden="1" customHeight="1"/>
    <row r="10178" ht="15.75" hidden="1" customHeight="1"/>
    <row r="10179" ht="15.75" hidden="1" customHeight="1"/>
    <row r="10180" ht="15.75" hidden="1" customHeight="1"/>
    <row r="10181" ht="15.75" hidden="1" customHeight="1"/>
    <row r="10182" ht="15.75" hidden="1" customHeight="1"/>
    <row r="10183" ht="15.75" hidden="1" customHeight="1"/>
    <row r="10184" ht="15.75" hidden="1" customHeight="1"/>
    <row r="10185" ht="15.75" hidden="1" customHeight="1"/>
    <row r="10186" ht="15.75" hidden="1" customHeight="1"/>
    <row r="10187" ht="15.75" hidden="1" customHeight="1"/>
    <row r="10188" ht="15.75" hidden="1" customHeight="1"/>
    <row r="10189" ht="15.75" hidden="1" customHeight="1"/>
    <row r="10190" ht="15.75" hidden="1" customHeight="1"/>
    <row r="10191" ht="15.75" hidden="1" customHeight="1"/>
    <row r="10192" ht="15.75" hidden="1" customHeight="1"/>
    <row r="10193" ht="15.75" hidden="1" customHeight="1"/>
    <row r="10194" ht="15.75" hidden="1" customHeight="1"/>
    <row r="10195" ht="15.75" hidden="1" customHeight="1"/>
    <row r="10196" ht="15.75" hidden="1" customHeight="1"/>
    <row r="10197" ht="15.75" hidden="1" customHeight="1"/>
    <row r="10198" ht="15.75" hidden="1" customHeight="1"/>
    <row r="10199" ht="15.75" hidden="1" customHeight="1"/>
    <row r="10200" ht="15.75" hidden="1" customHeight="1"/>
    <row r="10201" ht="15.75" hidden="1" customHeight="1"/>
    <row r="10202" ht="15.75" hidden="1" customHeight="1"/>
    <row r="10203" ht="15.75" hidden="1" customHeight="1"/>
    <row r="10204" ht="15.75" hidden="1" customHeight="1"/>
    <row r="10205" ht="15.75" hidden="1" customHeight="1"/>
    <row r="10206" ht="15.75" hidden="1" customHeight="1"/>
    <row r="10207" ht="15.75" hidden="1" customHeight="1"/>
    <row r="10208" ht="15.75" hidden="1" customHeight="1"/>
    <row r="10209" ht="15.75" hidden="1" customHeight="1"/>
    <row r="10210" ht="15.75" hidden="1" customHeight="1"/>
    <row r="10211" ht="15.75" hidden="1" customHeight="1"/>
    <row r="10212" ht="15.75" hidden="1" customHeight="1"/>
    <row r="10213" ht="15.75" hidden="1" customHeight="1"/>
    <row r="10214" ht="15.75" hidden="1" customHeight="1"/>
    <row r="10215" ht="15.75" hidden="1" customHeight="1"/>
    <row r="10216" ht="15.75" hidden="1" customHeight="1"/>
    <row r="10217" ht="15.75" hidden="1" customHeight="1"/>
    <row r="10218" ht="15.75" hidden="1" customHeight="1"/>
    <row r="10219" ht="15.75" hidden="1" customHeight="1"/>
    <row r="10220" ht="15.75" hidden="1" customHeight="1"/>
    <row r="10221" ht="15.75" hidden="1" customHeight="1"/>
    <row r="10222" ht="15.75" hidden="1" customHeight="1"/>
    <row r="10223" ht="15.75" hidden="1" customHeight="1"/>
    <row r="10224" ht="15.75" hidden="1" customHeight="1"/>
    <row r="10225" ht="15.75" hidden="1" customHeight="1"/>
    <row r="10226" ht="15.75" hidden="1" customHeight="1"/>
    <row r="10227" ht="15.75" hidden="1" customHeight="1"/>
    <row r="10228" ht="15.75" hidden="1" customHeight="1"/>
    <row r="10229" ht="15.75" hidden="1" customHeight="1"/>
    <row r="10230" ht="15.75" hidden="1" customHeight="1"/>
    <row r="10231" ht="15.75" hidden="1" customHeight="1"/>
    <row r="10232" ht="15.75" hidden="1" customHeight="1"/>
    <row r="10233" ht="15.75" hidden="1" customHeight="1"/>
    <row r="10234" ht="15.75" hidden="1" customHeight="1"/>
    <row r="10235" ht="15.75" hidden="1" customHeight="1"/>
    <row r="10236" ht="15.75" hidden="1" customHeight="1"/>
    <row r="10237" ht="15.75" hidden="1" customHeight="1"/>
    <row r="10238" ht="15.75" hidden="1" customHeight="1"/>
    <row r="10239" ht="15.75" hidden="1" customHeight="1"/>
    <row r="10240" ht="15.75" hidden="1" customHeight="1"/>
    <row r="10241" ht="15.75" hidden="1" customHeight="1"/>
    <row r="10242" ht="15.75" hidden="1" customHeight="1"/>
    <row r="10243" ht="15.75" hidden="1" customHeight="1"/>
    <row r="10244" ht="15.75" hidden="1" customHeight="1"/>
    <row r="10245" ht="15.75" hidden="1" customHeight="1"/>
    <row r="10246" ht="15.75" hidden="1" customHeight="1"/>
    <row r="10247" ht="15.75" hidden="1" customHeight="1"/>
    <row r="10248" ht="15.75" hidden="1" customHeight="1"/>
    <row r="10249" ht="15.75" hidden="1" customHeight="1"/>
    <row r="10250" ht="15.75" hidden="1" customHeight="1"/>
    <row r="10251" ht="15.75" hidden="1" customHeight="1"/>
    <row r="10252" ht="15.75" hidden="1" customHeight="1"/>
    <row r="10253" ht="15.75" hidden="1" customHeight="1"/>
    <row r="10254" ht="15.75" hidden="1" customHeight="1"/>
    <row r="10255" ht="15.75" hidden="1" customHeight="1"/>
    <row r="10256" ht="15.75" hidden="1" customHeight="1"/>
    <row r="10257" ht="15.75" hidden="1" customHeight="1"/>
    <row r="10258" ht="15.75" hidden="1" customHeight="1"/>
    <row r="10259" ht="15.75" hidden="1" customHeight="1"/>
    <row r="10260" ht="15.75" hidden="1" customHeight="1"/>
    <row r="10261" ht="15.75" hidden="1" customHeight="1"/>
    <row r="10262" ht="15.75" hidden="1" customHeight="1"/>
    <row r="10263" ht="15.75" hidden="1" customHeight="1"/>
    <row r="10264" ht="15.75" hidden="1" customHeight="1"/>
    <row r="10265" ht="15.75" hidden="1" customHeight="1"/>
    <row r="10266" ht="15.75" hidden="1" customHeight="1"/>
    <row r="10267" ht="15.75" hidden="1" customHeight="1"/>
    <row r="10268" ht="15.75" hidden="1" customHeight="1"/>
    <row r="10269" ht="15.75" hidden="1" customHeight="1"/>
    <row r="10270" ht="15.75" hidden="1" customHeight="1"/>
    <row r="10271" ht="15.75" hidden="1" customHeight="1"/>
    <row r="10272" ht="15.75" hidden="1" customHeight="1"/>
    <row r="10273" ht="15.75" hidden="1" customHeight="1"/>
    <row r="10274" ht="15.75" hidden="1" customHeight="1"/>
    <row r="10275" ht="15.75" hidden="1" customHeight="1"/>
    <row r="10276" ht="15.75" hidden="1" customHeight="1"/>
    <row r="10277" ht="15.75" hidden="1" customHeight="1"/>
    <row r="10278" ht="15.75" hidden="1" customHeight="1"/>
    <row r="10279" ht="15.75" hidden="1" customHeight="1"/>
    <row r="10280" ht="15.75" hidden="1" customHeight="1"/>
    <row r="10281" ht="15.75" hidden="1" customHeight="1"/>
    <row r="10282" ht="15.75" hidden="1" customHeight="1"/>
    <row r="10283" ht="15.75" hidden="1" customHeight="1"/>
    <row r="10284" ht="15.75" hidden="1" customHeight="1"/>
    <row r="10285" ht="15.75" hidden="1" customHeight="1"/>
    <row r="10286" ht="15.75" hidden="1" customHeight="1"/>
    <row r="10287" ht="15.75" hidden="1" customHeight="1"/>
    <row r="10288" ht="15.75" hidden="1" customHeight="1"/>
    <row r="10289" ht="15.75" hidden="1" customHeight="1"/>
    <row r="10290" ht="15.75" hidden="1" customHeight="1"/>
    <row r="10291" ht="15.75" hidden="1" customHeight="1"/>
    <row r="10292" ht="15.75" hidden="1" customHeight="1"/>
    <row r="10293" ht="15.75" hidden="1" customHeight="1"/>
    <row r="10294" ht="15.75" hidden="1" customHeight="1"/>
    <row r="10295" ht="15.75" hidden="1" customHeight="1"/>
    <row r="10296" ht="15.75" hidden="1" customHeight="1"/>
    <row r="10297" ht="15.75" hidden="1" customHeight="1"/>
    <row r="10298" ht="15.75" hidden="1" customHeight="1"/>
    <row r="10299" ht="15.75" hidden="1" customHeight="1"/>
    <row r="10300" ht="15.75" hidden="1" customHeight="1"/>
    <row r="10301" ht="15.75" hidden="1" customHeight="1"/>
    <row r="10302" ht="15.75" hidden="1" customHeight="1"/>
    <row r="10303" ht="15.75" hidden="1" customHeight="1"/>
    <row r="10304" ht="15.75" hidden="1" customHeight="1"/>
    <row r="10305" ht="15.75" hidden="1" customHeight="1"/>
    <row r="10306" ht="15.75" hidden="1" customHeight="1"/>
    <row r="10307" ht="15.75" hidden="1" customHeight="1"/>
    <row r="10308" ht="15.75" hidden="1" customHeight="1"/>
    <row r="10309" ht="15.75" hidden="1" customHeight="1"/>
    <row r="10310" ht="15.75" hidden="1" customHeight="1"/>
    <row r="10311" ht="15.75" hidden="1" customHeight="1"/>
    <row r="10312" ht="15.75" hidden="1" customHeight="1"/>
    <row r="10313" ht="15.75" hidden="1" customHeight="1"/>
    <row r="10314" ht="15.75" hidden="1" customHeight="1"/>
    <row r="10315" ht="15.75" hidden="1" customHeight="1"/>
    <row r="10316" ht="15.75" hidden="1" customHeight="1"/>
    <row r="10317" ht="15.75" hidden="1" customHeight="1"/>
    <row r="10318" ht="15.75" hidden="1" customHeight="1"/>
    <row r="10319" ht="15.75" hidden="1" customHeight="1"/>
    <row r="10320" ht="15.75" hidden="1" customHeight="1"/>
    <row r="10321" ht="15.75" hidden="1" customHeight="1"/>
    <row r="10322" ht="15.75" hidden="1" customHeight="1"/>
    <row r="10323" ht="15.75" hidden="1" customHeight="1"/>
    <row r="10324" ht="15.75" hidden="1" customHeight="1"/>
    <row r="10325" ht="15.75" hidden="1" customHeight="1"/>
    <row r="10326" ht="15.75" hidden="1" customHeight="1"/>
    <row r="10327" ht="15.75" hidden="1" customHeight="1"/>
    <row r="10328" ht="15.75" hidden="1" customHeight="1"/>
    <row r="10329" ht="15.75" hidden="1" customHeight="1"/>
    <row r="10330" ht="15.75" hidden="1" customHeight="1"/>
    <row r="10331" ht="15.75" hidden="1" customHeight="1"/>
    <row r="10332" ht="15.75" hidden="1" customHeight="1"/>
    <row r="10333" ht="15.75" hidden="1" customHeight="1"/>
    <row r="10334" ht="15.75" hidden="1" customHeight="1"/>
    <row r="10335" ht="15.75" hidden="1" customHeight="1"/>
    <row r="10336" ht="15.75" hidden="1" customHeight="1"/>
    <row r="10337" ht="15.75" hidden="1" customHeight="1"/>
    <row r="10338" ht="15.75" hidden="1" customHeight="1"/>
    <row r="10339" ht="15.75" hidden="1" customHeight="1"/>
    <row r="10340" ht="15.75" hidden="1" customHeight="1"/>
    <row r="10341" ht="15.75" hidden="1" customHeight="1"/>
    <row r="10342" ht="15.75" hidden="1" customHeight="1"/>
    <row r="10343" ht="15.75" hidden="1" customHeight="1"/>
    <row r="10344" ht="15.75" hidden="1" customHeight="1"/>
    <row r="10345" ht="15.75" hidden="1" customHeight="1"/>
    <row r="10346" ht="15.75" hidden="1" customHeight="1"/>
    <row r="10347" ht="15.75" hidden="1" customHeight="1"/>
    <row r="10348" ht="15.75" hidden="1" customHeight="1"/>
    <row r="10349" ht="15.75" hidden="1" customHeight="1"/>
    <row r="10350" ht="15.75" hidden="1" customHeight="1"/>
    <row r="10351" ht="15.75" hidden="1" customHeight="1"/>
    <row r="10352" ht="15.75" hidden="1" customHeight="1"/>
    <row r="10353" ht="15.75" hidden="1" customHeight="1"/>
    <row r="10354" ht="15.75" hidden="1" customHeight="1"/>
    <row r="10355" ht="15.75" hidden="1" customHeight="1"/>
    <row r="10356" ht="15.75" hidden="1" customHeight="1"/>
    <row r="10357" ht="15.75" hidden="1" customHeight="1"/>
    <row r="10358" ht="15.75" hidden="1" customHeight="1"/>
    <row r="10359" ht="15.75" hidden="1" customHeight="1"/>
    <row r="10360" ht="15.75" hidden="1" customHeight="1"/>
    <row r="10361" ht="15.75" hidden="1" customHeight="1"/>
    <row r="10362" ht="15.75" hidden="1" customHeight="1"/>
    <row r="10363" ht="15.75" hidden="1" customHeight="1"/>
    <row r="10364" ht="15.75" hidden="1" customHeight="1"/>
    <row r="10365" ht="15.75" hidden="1" customHeight="1"/>
    <row r="10366" ht="15.75" hidden="1" customHeight="1"/>
    <row r="10367" ht="15.75" hidden="1" customHeight="1"/>
    <row r="10368" ht="15.75" hidden="1" customHeight="1"/>
    <row r="10369" ht="15.75" hidden="1" customHeight="1"/>
    <row r="10370" ht="15.75" hidden="1" customHeight="1"/>
    <row r="10371" ht="15.75" hidden="1" customHeight="1"/>
    <row r="10372" ht="15.75" hidden="1" customHeight="1"/>
    <row r="10373" ht="15.75" hidden="1" customHeight="1"/>
    <row r="10374" ht="15.75" hidden="1" customHeight="1"/>
    <row r="10375" ht="15.75" hidden="1" customHeight="1"/>
    <row r="10376" ht="15.75" hidden="1" customHeight="1"/>
    <row r="10377" ht="15.75" hidden="1" customHeight="1"/>
    <row r="10378" ht="15.75" hidden="1" customHeight="1"/>
    <row r="10379" ht="15.75" hidden="1" customHeight="1"/>
    <row r="10380" ht="15.75" hidden="1" customHeight="1"/>
    <row r="10381" ht="15.75" hidden="1" customHeight="1"/>
    <row r="10382" ht="15.75" hidden="1" customHeight="1"/>
    <row r="10383" ht="15.75" hidden="1" customHeight="1"/>
    <row r="10384" ht="15.75" hidden="1" customHeight="1"/>
    <row r="10385" ht="15.75" hidden="1" customHeight="1"/>
    <row r="10386" ht="15.75" hidden="1" customHeight="1"/>
    <row r="10387" ht="15.75" hidden="1" customHeight="1"/>
    <row r="10388" ht="15.75" hidden="1" customHeight="1"/>
    <row r="10389" ht="15.75" hidden="1" customHeight="1"/>
    <row r="10390" ht="15.75" hidden="1" customHeight="1"/>
    <row r="10391" ht="15.75" hidden="1" customHeight="1"/>
    <row r="10392" ht="15.75" hidden="1" customHeight="1"/>
    <row r="10393" ht="15.75" hidden="1" customHeight="1"/>
    <row r="10394" ht="15.75" hidden="1" customHeight="1"/>
    <row r="10395" ht="15.75" hidden="1" customHeight="1"/>
    <row r="10396" ht="15.75" hidden="1" customHeight="1"/>
    <row r="10397" ht="15.75" hidden="1" customHeight="1"/>
    <row r="10398" ht="15.75" hidden="1" customHeight="1"/>
    <row r="10399" ht="15.75" hidden="1" customHeight="1"/>
    <row r="10400" ht="15.75" hidden="1" customHeight="1"/>
    <row r="10401" ht="15.75" hidden="1" customHeight="1"/>
    <row r="10402" ht="15.75" hidden="1" customHeight="1"/>
    <row r="10403" ht="15.75" hidden="1" customHeight="1"/>
    <row r="10404" ht="15.75" hidden="1" customHeight="1"/>
    <row r="10405" ht="15.75" hidden="1" customHeight="1"/>
    <row r="10406" ht="15.75" hidden="1" customHeight="1"/>
    <row r="10407" ht="15.75" hidden="1" customHeight="1"/>
    <row r="10408" ht="15.75" hidden="1" customHeight="1"/>
    <row r="10409" ht="15.75" hidden="1" customHeight="1"/>
    <row r="10410" ht="15.75" hidden="1" customHeight="1"/>
    <row r="10411" ht="15.75" hidden="1" customHeight="1"/>
    <row r="10412" ht="15.75" hidden="1" customHeight="1"/>
    <row r="10413" ht="15.75" hidden="1" customHeight="1"/>
    <row r="10414" ht="15.75" hidden="1" customHeight="1"/>
    <row r="10415" ht="15.75" hidden="1" customHeight="1"/>
    <row r="10416" ht="15.75" hidden="1" customHeight="1"/>
    <row r="10417" ht="15.75" hidden="1" customHeight="1"/>
    <row r="10418" ht="15.75" hidden="1" customHeight="1"/>
    <row r="10419" ht="15.75" hidden="1" customHeight="1"/>
    <row r="10420" ht="15.75" hidden="1" customHeight="1"/>
    <row r="10421" ht="15.75" hidden="1" customHeight="1"/>
    <row r="10422" ht="15.75" hidden="1" customHeight="1"/>
    <row r="10423" ht="15.75" hidden="1" customHeight="1"/>
    <row r="10424" ht="15.75" hidden="1" customHeight="1"/>
    <row r="10425" ht="15.75" hidden="1" customHeight="1"/>
    <row r="10426" ht="15.75" hidden="1" customHeight="1"/>
    <row r="10427" ht="15.75" hidden="1" customHeight="1"/>
    <row r="10428" ht="15.75" hidden="1" customHeight="1"/>
    <row r="10429" ht="15.75" hidden="1" customHeight="1"/>
    <row r="10430" ht="15.75" hidden="1" customHeight="1"/>
    <row r="10431" ht="15.75" hidden="1" customHeight="1"/>
    <row r="10432" ht="15.75" hidden="1" customHeight="1"/>
    <row r="10433" ht="15.75" hidden="1" customHeight="1"/>
    <row r="10434" ht="15.75" hidden="1" customHeight="1"/>
    <row r="10435" ht="15.75" hidden="1" customHeight="1"/>
    <row r="10436" ht="15.75" hidden="1" customHeight="1"/>
    <row r="10437" ht="15.75" hidden="1" customHeight="1"/>
    <row r="10438" ht="15.75" hidden="1" customHeight="1"/>
    <row r="10439" ht="15.75" hidden="1" customHeight="1"/>
    <row r="10440" ht="15.75" hidden="1" customHeight="1"/>
    <row r="10441" ht="15.75" hidden="1" customHeight="1"/>
    <row r="10442" ht="15.75" hidden="1" customHeight="1"/>
    <row r="10443" ht="15.75" hidden="1" customHeight="1"/>
    <row r="10444" ht="15.75" hidden="1" customHeight="1"/>
    <row r="10445" ht="15.75" hidden="1" customHeight="1"/>
    <row r="10446" ht="15.75" hidden="1" customHeight="1"/>
    <row r="10447" ht="15.75" hidden="1" customHeight="1"/>
    <row r="10448" ht="15.75" hidden="1" customHeight="1"/>
    <row r="10449" ht="15.75" hidden="1" customHeight="1"/>
    <row r="10450" ht="15.75" hidden="1" customHeight="1"/>
    <row r="10451" ht="15.75" hidden="1" customHeight="1"/>
    <row r="10452" ht="15.75" hidden="1" customHeight="1"/>
    <row r="10453" ht="15.75" hidden="1" customHeight="1"/>
    <row r="10454" ht="15.75" hidden="1" customHeight="1"/>
    <row r="10455" ht="15.75" hidden="1" customHeight="1"/>
    <row r="10456" ht="15.75" hidden="1" customHeight="1"/>
    <row r="10457" ht="15.75" hidden="1" customHeight="1"/>
    <row r="10458" ht="15.75" hidden="1" customHeight="1"/>
    <row r="10459" ht="15.75" hidden="1" customHeight="1"/>
    <row r="10460" ht="15.75" hidden="1" customHeight="1"/>
    <row r="10461" ht="15.75" hidden="1" customHeight="1"/>
    <row r="10462" ht="15.75" hidden="1" customHeight="1"/>
    <row r="10463" ht="15.75" hidden="1" customHeight="1"/>
    <row r="10464" ht="15.75" hidden="1" customHeight="1"/>
    <row r="10465" ht="15.75" hidden="1" customHeight="1"/>
    <row r="10466" ht="15.75" hidden="1" customHeight="1"/>
    <row r="10467" ht="15.75" hidden="1" customHeight="1"/>
    <row r="10468" ht="15.75" hidden="1" customHeight="1"/>
    <row r="10469" ht="15.75" hidden="1" customHeight="1"/>
    <row r="10470" ht="15.75" hidden="1" customHeight="1"/>
    <row r="10471" ht="15.75" hidden="1" customHeight="1"/>
    <row r="10472" ht="15.75" hidden="1" customHeight="1"/>
    <row r="10473" ht="15.75" hidden="1" customHeight="1"/>
    <row r="10474" ht="15.75" hidden="1" customHeight="1"/>
    <row r="10475" ht="15.75" hidden="1" customHeight="1"/>
    <row r="10476" ht="15.75" hidden="1" customHeight="1"/>
    <row r="10477" ht="15.75" hidden="1" customHeight="1"/>
    <row r="10478" ht="15.75" hidden="1" customHeight="1"/>
    <row r="10479" ht="15.75" hidden="1" customHeight="1"/>
    <row r="10480" ht="15.75" hidden="1" customHeight="1"/>
    <row r="10481" ht="15.75" hidden="1" customHeight="1"/>
    <row r="10482" ht="15.75" hidden="1" customHeight="1"/>
    <row r="10483" ht="15.75" hidden="1" customHeight="1"/>
    <row r="10484" ht="15.75" hidden="1" customHeight="1"/>
    <row r="10485" ht="15.75" hidden="1" customHeight="1"/>
    <row r="10486" ht="15.75" hidden="1" customHeight="1"/>
    <row r="10487" ht="15.75" hidden="1" customHeight="1"/>
    <row r="10488" ht="15.75" hidden="1" customHeight="1"/>
    <row r="10489" ht="15.75" hidden="1" customHeight="1"/>
    <row r="10490" ht="15.75" hidden="1" customHeight="1"/>
    <row r="10491" ht="15.75" hidden="1" customHeight="1"/>
    <row r="10492" ht="15.75" hidden="1" customHeight="1"/>
    <row r="10493" ht="15.75" hidden="1" customHeight="1"/>
    <row r="10494" ht="15.75" hidden="1" customHeight="1"/>
    <row r="10495" ht="15.75" hidden="1" customHeight="1"/>
    <row r="10496" ht="15.75" hidden="1" customHeight="1"/>
    <row r="10497" ht="15.75" hidden="1" customHeight="1"/>
    <row r="10498" ht="15.75" hidden="1" customHeight="1"/>
    <row r="10499" ht="15.75" hidden="1" customHeight="1"/>
    <row r="10500" ht="15.75" hidden="1" customHeight="1"/>
    <row r="10501" ht="15.75" hidden="1" customHeight="1"/>
    <row r="10502" ht="15.75" hidden="1" customHeight="1"/>
    <row r="10503" ht="15.75" hidden="1" customHeight="1"/>
    <row r="10504" ht="15.75" hidden="1" customHeight="1"/>
    <row r="10505" ht="15.75" hidden="1" customHeight="1"/>
    <row r="10506" ht="15.75" hidden="1" customHeight="1"/>
    <row r="10507" ht="15.75" hidden="1" customHeight="1"/>
    <row r="10508" ht="15.75" hidden="1" customHeight="1"/>
    <row r="10509" ht="15.75" hidden="1" customHeight="1"/>
    <row r="10510" ht="15.75" hidden="1" customHeight="1"/>
    <row r="10511" ht="15.75" hidden="1" customHeight="1"/>
    <row r="10512" ht="15.75" hidden="1" customHeight="1"/>
    <row r="10513" ht="15.75" hidden="1" customHeight="1"/>
    <row r="10514" ht="15.75" hidden="1" customHeight="1"/>
    <row r="10515" ht="15.75" hidden="1" customHeight="1"/>
    <row r="10516" ht="15.75" hidden="1" customHeight="1"/>
    <row r="10517" ht="15.75" hidden="1" customHeight="1"/>
    <row r="10518" ht="15.75" hidden="1" customHeight="1"/>
    <row r="10519" ht="15.75" hidden="1" customHeight="1"/>
    <row r="10520" ht="15.75" hidden="1" customHeight="1"/>
    <row r="10521" ht="15.75" hidden="1" customHeight="1"/>
    <row r="10522" ht="15.75" hidden="1" customHeight="1"/>
    <row r="10523" ht="15.75" hidden="1" customHeight="1"/>
    <row r="10524" ht="15.75" hidden="1" customHeight="1"/>
    <row r="10525" ht="15.75" hidden="1" customHeight="1"/>
    <row r="10526" ht="15.75" hidden="1" customHeight="1"/>
    <row r="10527" ht="15.75" hidden="1" customHeight="1"/>
    <row r="10528" ht="15.75" hidden="1" customHeight="1"/>
    <row r="10529" ht="15.75" hidden="1" customHeight="1"/>
    <row r="10530" ht="15.75" hidden="1" customHeight="1"/>
    <row r="10531" ht="15.75" hidden="1" customHeight="1"/>
    <row r="10532" ht="15.75" hidden="1" customHeight="1"/>
    <row r="10533" ht="15.75" hidden="1" customHeight="1"/>
    <row r="10534" ht="15.75" hidden="1" customHeight="1"/>
    <row r="10535" ht="15.75" hidden="1" customHeight="1"/>
    <row r="10536" ht="15.75" hidden="1" customHeight="1"/>
    <row r="10537" ht="15.75" hidden="1" customHeight="1"/>
    <row r="10538" ht="15.75" hidden="1" customHeight="1"/>
    <row r="10539" ht="15.75" hidden="1" customHeight="1"/>
    <row r="10540" ht="15.75" hidden="1" customHeight="1"/>
    <row r="10541" ht="15.75" hidden="1" customHeight="1"/>
    <row r="10542" ht="15.75" hidden="1" customHeight="1"/>
    <row r="10543" ht="15.75" hidden="1" customHeight="1"/>
    <row r="10544" ht="15.75" hidden="1" customHeight="1"/>
    <row r="10545" ht="15.75" hidden="1" customHeight="1"/>
    <row r="10546" ht="15.75" hidden="1" customHeight="1"/>
    <row r="10547" ht="15.75" hidden="1" customHeight="1"/>
    <row r="10548" ht="15.75" hidden="1" customHeight="1"/>
    <row r="10549" ht="15.75" hidden="1" customHeight="1"/>
    <row r="10550" ht="15.75" hidden="1" customHeight="1"/>
    <row r="10551" ht="15.75" hidden="1" customHeight="1"/>
    <row r="10552" ht="15.75" hidden="1" customHeight="1"/>
    <row r="10553" ht="15.75" hidden="1" customHeight="1"/>
    <row r="10554" ht="15.75" hidden="1" customHeight="1"/>
    <row r="10555" ht="15.75" hidden="1" customHeight="1"/>
    <row r="10556" ht="15.75" hidden="1" customHeight="1"/>
    <row r="10557" ht="15.75" hidden="1" customHeight="1"/>
    <row r="10558" ht="15.75" hidden="1" customHeight="1"/>
    <row r="10559" ht="15.75" hidden="1" customHeight="1"/>
    <row r="10560" ht="15.75" hidden="1" customHeight="1"/>
    <row r="10561" ht="15.75" hidden="1" customHeight="1"/>
    <row r="10562" ht="15.75" hidden="1" customHeight="1"/>
    <row r="10563" ht="15.75" hidden="1" customHeight="1"/>
    <row r="10564" ht="15.75" hidden="1" customHeight="1"/>
    <row r="10565" ht="15.75" hidden="1" customHeight="1"/>
    <row r="10566" ht="15.75" hidden="1" customHeight="1"/>
    <row r="10567" ht="15.75" hidden="1" customHeight="1"/>
    <row r="10568" ht="15.75" hidden="1" customHeight="1"/>
    <row r="10569" ht="15.75" hidden="1" customHeight="1"/>
    <row r="10570" ht="15.75" hidden="1" customHeight="1"/>
    <row r="10571" ht="15.75" hidden="1" customHeight="1"/>
    <row r="10572" ht="15.75" hidden="1" customHeight="1"/>
    <row r="10573" ht="15.75" hidden="1" customHeight="1"/>
    <row r="10574" ht="15.75" hidden="1" customHeight="1"/>
    <row r="10575" ht="15.75" hidden="1" customHeight="1"/>
    <row r="10576" ht="15.75" hidden="1" customHeight="1"/>
    <row r="10577" ht="15.75" hidden="1" customHeight="1"/>
    <row r="10578" ht="15.75" hidden="1" customHeight="1"/>
    <row r="10579" ht="15.75" hidden="1" customHeight="1"/>
    <row r="10580" ht="15.75" hidden="1" customHeight="1"/>
    <row r="10581" ht="15.75" hidden="1" customHeight="1"/>
    <row r="10582" ht="15.75" hidden="1" customHeight="1"/>
    <row r="10583" ht="15.75" hidden="1" customHeight="1"/>
    <row r="10584" ht="15.75" hidden="1" customHeight="1"/>
    <row r="10585" ht="15.75" hidden="1" customHeight="1"/>
    <row r="10586" ht="15.75" hidden="1" customHeight="1"/>
    <row r="10587" ht="15.75" hidden="1" customHeight="1"/>
    <row r="10588" ht="15.75" hidden="1" customHeight="1"/>
    <row r="10589" ht="15.75" hidden="1" customHeight="1"/>
    <row r="10590" ht="15.75" hidden="1" customHeight="1"/>
    <row r="10591" ht="15.75" hidden="1" customHeight="1"/>
    <row r="10592" ht="15.75" hidden="1" customHeight="1"/>
    <row r="10593" ht="15.75" hidden="1" customHeight="1"/>
    <row r="10594" ht="15.75" hidden="1" customHeight="1"/>
    <row r="10595" ht="15.75" hidden="1" customHeight="1"/>
    <row r="10596" ht="15.75" hidden="1" customHeight="1"/>
    <row r="10597" ht="15.75" hidden="1" customHeight="1"/>
    <row r="10598" ht="15.75" hidden="1" customHeight="1"/>
    <row r="10599" ht="15.75" hidden="1" customHeight="1"/>
    <row r="10600" ht="15.75" hidden="1" customHeight="1"/>
    <row r="10601" ht="15.75" hidden="1" customHeight="1"/>
    <row r="10602" ht="15.75" hidden="1" customHeight="1"/>
    <row r="10603" ht="15.75" hidden="1" customHeight="1"/>
    <row r="10604" ht="15.75" hidden="1" customHeight="1"/>
    <row r="10605" ht="15.75" hidden="1" customHeight="1"/>
    <row r="10606" ht="15.75" hidden="1" customHeight="1"/>
    <row r="10607" ht="15.75" hidden="1" customHeight="1"/>
    <row r="10608" ht="15.75" hidden="1" customHeight="1"/>
    <row r="10609" ht="15.75" hidden="1" customHeight="1"/>
    <row r="10610" ht="15.75" hidden="1" customHeight="1"/>
    <row r="10611" ht="15.75" hidden="1" customHeight="1"/>
    <row r="10612" ht="15.75" hidden="1" customHeight="1"/>
    <row r="10613" ht="15.75" hidden="1" customHeight="1"/>
    <row r="10614" ht="15.75" hidden="1" customHeight="1"/>
    <row r="10615" ht="15.75" hidden="1" customHeight="1"/>
    <row r="10616" ht="15.75" hidden="1" customHeight="1"/>
    <row r="10617" ht="15.75" hidden="1" customHeight="1"/>
    <row r="10618" ht="15.75" hidden="1" customHeight="1"/>
    <row r="10619" ht="15.75" hidden="1" customHeight="1"/>
    <row r="10620" ht="15.75" hidden="1" customHeight="1"/>
    <row r="10621" ht="15.75" hidden="1" customHeight="1"/>
    <row r="10622" ht="15.75" hidden="1" customHeight="1"/>
    <row r="10623" ht="15.75" hidden="1" customHeight="1"/>
    <row r="10624" ht="15.75" hidden="1" customHeight="1"/>
    <row r="10625" ht="15.75" hidden="1" customHeight="1"/>
    <row r="10626" ht="15.75" hidden="1" customHeight="1"/>
    <row r="10627" ht="15.75" hidden="1" customHeight="1"/>
    <row r="10628" ht="15.75" hidden="1" customHeight="1"/>
    <row r="10629" ht="15.75" hidden="1" customHeight="1"/>
    <row r="10630" ht="15.75" hidden="1" customHeight="1"/>
    <row r="10631" ht="15.75" hidden="1" customHeight="1"/>
    <row r="10632" ht="15.75" hidden="1" customHeight="1"/>
    <row r="10633" ht="15.75" hidden="1" customHeight="1"/>
    <row r="10634" ht="15.75" hidden="1" customHeight="1"/>
    <row r="10635" ht="15.75" hidden="1" customHeight="1"/>
    <row r="10636" ht="15.75" hidden="1" customHeight="1"/>
    <row r="10637" ht="15.75" hidden="1" customHeight="1"/>
    <row r="10638" ht="15.75" hidden="1" customHeight="1"/>
    <row r="10639" ht="15.75" hidden="1" customHeight="1"/>
    <row r="10640" ht="15.75" hidden="1" customHeight="1"/>
    <row r="10641" ht="15.75" hidden="1" customHeight="1"/>
    <row r="10642" ht="15.75" hidden="1" customHeight="1"/>
    <row r="10643" ht="15.75" hidden="1" customHeight="1"/>
    <row r="10644" ht="15.75" hidden="1" customHeight="1"/>
    <row r="10645" ht="15.75" hidden="1" customHeight="1"/>
    <row r="10646" ht="15.75" hidden="1" customHeight="1"/>
    <row r="10647" ht="15.75" hidden="1" customHeight="1"/>
    <row r="10648" ht="15.75" hidden="1" customHeight="1"/>
    <row r="10649" ht="15.75" hidden="1" customHeight="1"/>
    <row r="10650" ht="15.75" hidden="1" customHeight="1"/>
    <row r="10651" ht="15.75" hidden="1" customHeight="1"/>
    <row r="10652" ht="15.75" hidden="1" customHeight="1"/>
    <row r="10653" ht="15.75" hidden="1" customHeight="1"/>
    <row r="10654" ht="15.75" hidden="1" customHeight="1"/>
    <row r="10655" ht="15.75" hidden="1" customHeight="1"/>
    <row r="10656" ht="15.75" hidden="1" customHeight="1"/>
    <row r="10657" ht="15.75" hidden="1" customHeight="1"/>
    <row r="10658" ht="15.75" hidden="1" customHeight="1"/>
    <row r="10659" ht="15.75" hidden="1" customHeight="1"/>
    <row r="10660" ht="15.75" hidden="1" customHeight="1"/>
    <row r="10661" ht="15.75" hidden="1" customHeight="1"/>
    <row r="10662" ht="15.75" hidden="1" customHeight="1"/>
    <row r="10663" ht="15.75" hidden="1" customHeight="1"/>
    <row r="10664" ht="15.75" hidden="1" customHeight="1"/>
    <row r="10665" ht="15.75" hidden="1" customHeight="1"/>
    <row r="10666" ht="15.75" hidden="1" customHeight="1"/>
    <row r="10667" ht="15.75" hidden="1" customHeight="1"/>
    <row r="10668" ht="15.75" hidden="1" customHeight="1"/>
    <row r="10669" ht="15.75" hidden="1" customHeight="1"/>
    <row r="10670" ht="15.75" hidden="1" customHeight="1"/>
    <row r="10671" ht="15.75" hidden="1" customHeight="1"/>
    <row r="10672" ht="15.75" hidden="1" customHeight="1"/>
    <row r="10673" ht="15.75" hidden="1" customHeight="1"/>
    <row r="10674" ht="15.75" hidden="1" customHeight="1"/>
    <row r="10675" ht="15.75" hidden="1" customHeight="1"/>
    <row r="10676" ht="15.75" hidden="1" customHeight="1"/>
    <row r="10677" ht="15.75" hidden="1" customHeight="1"/>
    <row r="10678" ht="15.75" hidden="1" customHeight="1"/>
    <row r="10679" ht="15.75" hidden="1" customHeight="1"/>
    <row r="10680" ht="15.75" hidden="1" customHeight="1"/>
    <row r="10681" ht="15.75" hidden="1" customHeight="1"/>
    <row r="10682" ht="15.75" hidden="1" customHeight="1"/>
    <row r="10683" ht="15.75" hidden="1" customHeight="1"/>
    <row r="10684" ht="15.75" hidden="1" customHeight="1"/>
    <row r="10685" ht="15.75" hidden="1" customHeight="1"/>
    <row r="10686" ht="15.75" hidden="1" customHeight="1"/>
    <row r="10687" ht="15.75" hidden="1" customHeight="1"/>
    <row r="10688" ht="15.75" hidden="1" customHeight="1"/>
    <row r="10689" ht="15.75" hidden="1" customHeight="1"/>
    <row r="10690" ht="15.75" hidden="1" customHeight="1"/>
    <row r="10691" ht="15.75" hidden="1" customHeight="1"/>
    <row r="10692" ht="15.75" hidden="1" customHeight="1"/>
    <row r="10693" ht="15.75" hidden="1" customHeight="1"/>
    <row r="10694" ht="15.75" hidden="1" customHeight="1"/>
    <row r="10695" ht="15.75" hidden="1" customHeight="1"/>
    <row r="10696" ht="15.75" hidden="1" customHeight="1"/>
    <row r="10697" ht="15.75" hidden="1" customHeight="1"/>
    <row r="10698" ht="15.75" hidden="1" customHeight="1"/>
    <row r="10699" ht="15.75" hidden="1" customHeight="1"/>
    <row r="10700" ht="15.75" hidden="1" customHeight="1"/>
    <row r="10701" ht="15.75" hidden="1" customHeight="1"/>
    <row r="10702" ht="15.75" hidden="1" customHeight="1"/>
    <row r="10703" ht="15.75" hidden="1" customHeight="1"/>
    <row r="10704" ht="15.75" hidden="1" customHeight="1"/>
    <row r="10705" ht="15.75" hidden="1" customHeight="1"/>
    <row r="10706" ht="15.75" hidden="1" customHeight="1"/>
    <row r="10707" ht="15.75" hidden="1" customHeight="1"/>
    <row r="10708" ht="15.75" hidden="1" customHeight="1"/>
    <row r="10709" ht="15.75" hidden="1" customHeight="1"/>
    <row r="10710" ht="15.75" hidden="1" customHeight="1"/>
    <row r="10711" ht="15.75" hidden="1" customHeight="1"/>
    <row r="10712" ht="15.75" hidden="1" customHeight="1"/>
    <row r="10713" ht="15.75" hidden="1" customHeight="1"/>
    <row r="10714" ht="15.75" hidden="1" customHeight="1"/>
    <row r="10715" ht="15.75" hidden="1" customHeight="1"/>
    <row r="10716" ht="15.75" hidden="1" customHeight="1"/>
    <row r="10717" ht="15.75" hidden="1" customHeight="1"/>
    <row r="10718" ht="15.75" hidden="1" customHeight="1"/>
    <row r="10719" ht="15.75" hidden="1" customHeight="1"/>
    <row r="10720" ht="15.75" hidden="1" customHeight="1"/>
    <row r="10721" ht="15.75" hidden="1" customHeight="1"/>
    <row r="10722" ht="15.75" hidden="1" customHeight="1"/>
    <row r="10723" ht="15.75" hidden="1" customHeight="1"/>
    <row r="10724" ht="15.75" hidden="1" customHeight="1"/>
    <row r="10725" ht="15.75" hidden="1" customHeight="1"/>
    <row r="10726" ht="15.75" hidden="1" customHeight="1"/>
    <row r="10727" ht="15.75" hidden="1" customHeight="1"/>
    <row r="10728" ht="15.75" hidden="1" customHeight="1"/>
    <row r="10729" ht="15.75" hidden="1" customHeight="1"/>
    <row r="10730" ht="15.75" hidden="1" customHeight="1"/>
    <row r="10731" ht="15.75" hidden="1" customHeight="1"/>
    <row r="10732" ht="15.75" hidden="1" customHeight="1"/>
    <row r="10733" ht="15.75" hidden="1" customHeight="1"/>
    <row r="10734" ht="15.75" hidden="1" customHeight="1"/>
    <row r="10735" ht="15.75" hidden="1" customHeight="1"/>
    <row r="10736" ht="15.75" hidden="1" customHeight="1"/>
    <row r="10737" ht="15.75" hidden="1" customHeight="1"/>
    <row r="10738" ht="15.75" hidden="1" customHeight="1"/>
    <row r="10739" ht="15.75" hidden="1" customHeight="1"/>
    <row r="10740" ht="15.75" hidden="1" customHeight="1"/>
    <row r="10741" ht="15.75" hidden="1" customHeight="1"/>
    <row r="10742" ht="15.75" hidden="1" customHeight="1"/>
    <row r="10743" ht="15.75" hidden="1" customHeight="1"/>
    <row r="10744" ht="15.75" hidden="1" customHeight="1"/>
    <row r="10745" ht="15.75" hidden="1" customHeight="1"/>
    <row r="10746" ht="15.75" hidden="1" customHeight="1"/>
    <row r="10747" ht="15.75" hidden="1" customHeight="1"/>
    <row r="10748" ht="15.75" hidden="1" customHeight="1"/>
    <row r="10749" ht="15.75" hidden="1" customHeight="1"/>
    <row r="10750" ht="15.75" hidden="1" customHeight="1"/>
    <row r="10751" ht="15.75" hidden="1" customHeight="1"/>
    <row r="10752" ht="15.75" hidden="1" customHeight="1"/>
    <row r="10753" ht="15.75" hidden="1" customHeight="1"/>
    <row r="10754" ht="15.75" hidden="1" customHeight="1"/>
    <row r="10755" ht="15.75" hidden="1" customHeight="1"/>
    <row r="10756" ht="15.75" hidden="1" customHeight="1"/>
    <row r="10757" ht="15.75" hidden="1" customHeight="1"/>
    <row r="10758" ht="15.75" hidden="1" customHeight="1"/>
    <row r="10759" ht="15.75" hidden="1" customHeight="1"/>
    <row r="10760" ht="15.75" hidden="1" customHeight="1"/>
    <row r="10761" ht="15.75" hidden="1" customHeight="1"/>
    <row r="10762" ht="15.75" hidden="1" customHeight="1"/>
    <row r="10763" ht="15.75" hidden="1" customHeight="1"/>
    <row r="10764" ht="15.75" hidden="1" customHeight="1"/>
    <row r="10765" ht="15.75" hidden="1" customHeight="1"/>
    <row r="10766" ht="15.75" hidden="1" customHeight="1"/>
    <row r="10767" ht="15.75" hidden="1" customHeight="1"/>
    <row r="10768" ht="15.75" hidden="1" customHeight="1"/>
    <row r="10769" ht="15.75" hidden="1" customHeight="1"/>
    <row r="10770" ht="15.75" hidden="1" customHeight="1"/>
    <row r="10771" ht="15.75" hidden="1" customHeight="1"/>
    <row r="10772" ht="15.75" hidden="1" customHeight="1"/>
    <row r="10773" ht="15.75" hidden="1" customHeight="1"/>
    <row r="10774" ht="15.75" hidden="1" customHeight="1"/>
    <row r="10775" ht="15.75" hidden="1" customHeight="1"/>
    <row r="10776" ht="15.75" hidden="1" customHeight="1"/>
    <row r="10777" ht="15.75" hidden="1" customHeight="1"/>
    <row r="10778" ht="15.75" hidden="1" customHeight="1"/>
    <row r="10779" ht="15.75" hidden="1" customHeight="1"/>
    <row r="10780" ht="15.75" hidden="1" customHeight="1"/>
    <row r="10781" ht="15.75" hidden="1" customHeight="1"/>
    <row r="10782" ht="15.75" hidden="1" customHeight="1"/>
    <row r="10783" ht="15.75" hidden="1" customHeight="1"/>
    <row r="10784" ht="15.75" hidden="1" customHeight="1"/>
    <row r="10785" ht="15.75" hidden="1" customHeight="1"/>
    <row r="10786" ht="15.75" hidden="1" customHeight="1"/>
    <row r="10787" ht="15.75" hidden="1" customHeight="1"/>
    <row r="10788" ht="15.75" hidden="1" customHeight="1"/>
    <row r="10789" ht="15.75" hidden="1" customHeight="1"/>
    <row r="10790" ht="15.75" hidden="1" customHeight="1"/>
    <row r="10791" ht="15.75" hidden="1" customHeight="1"/>
    <row r="10792" ht="15.75" hidden="1" customHeight="1"/>
    <row r="10793" ht="15.75" hidden="1" customHeight="1"/>
    <row r="10794" ht="15.75" hidden="1" customHeight="1"/>
    <row r="10795" ht="15.75" hidden="1" customHeight="1"/>
    <row r="10796" ht="15.75" hidden="1" customHeight="1"/>
    <row r="10797" ht="15.75" hidden="1" customHeight="1"/>
    <row r="10798" ht="15.75" hidden="1" customHeight="1"/>
    <row r="10799" ht="15.75" hidden="1" customHeight="1"/>
    <row r="10800" ht="15.75" hidden="1" customHeight="1"/>
    <row r="10801" ht="15.75" hidden="1" customHeight="1"/>
    <row r="10802" ht="15.75" hidden="1" customHeight="1"/>
    <row r="10803" ht="15.75" hidden="1" customHeight="1"/>
    <row r="10804" ht="15.75" hidden="1" customHeight="1"/>
    <row r="10805" ht="15.75" hidden="1" customHeight="1"/>
    <row r="10806" ht="15.75" hidden="1" customHeight="1"/>
    <row r="10807" ht="15.75" hidden="1" customHeight="1"/>
    <row r="10808" ht="15.75" hidden="1" customHeight="1"/>
    <row r="10809" ht="15.75" hidden="1" customHeight="1"/>
    <row r="10810" ht="15.75" hidden="1" customHeight="1"/>
    <row r="10811" ht="15.75" hidden="1" customHeight="1"/>
    <row r="10812" ht="15.75" hidden="1" customHeight="1"/>
    <row r="10813" ht="15.75" hidden="1" customHeight="1"/>
    <row r="10814" ht="15.75" hidden="1" customHeight="1"/>
    <row r="10815" ht="15.75" hidden="1" customHeight="1"/>
    <row r="10816" ht="15.75" hidden="1" customHeight="1"/>
    <row r="10817" ht="15.75" hidden="1" customHeight="1"/>
    <row r="10818" ht="15.75" hidden="1" customHeight="1"/>
    <row r="10819" ht="15.75" hidden="1" customHeight="1"/>
    <row r="10820" ht="15.75" hidden="1" customHeight="1"/>
    <row r="10821" ht="15.75" hidden="1" customHeight="1"/>
    <row r="10822" ht="15.75" hidden="1" customHeight="1"/>
    <row r="10823" ht="15.75" hidden="1" customHeight="1"/>
    <row r="10824" ht="15.75" hidden="1" customHeight="1"/>
    <row r="10825" ht="15.75" hidden="1" customHeight="1"/>
    <row r="10826" ht="15.75" hidden="1" customHeight="1"/>
    <row r="10827" ht="15.75" hidden="1" customHeight="1"/>
    <row r="10828" ht="15.75" hidden="1" customHeight="1"/>
    <row r="10829" ht="15.75" hidden="1" customHeight="1"/>
    <row r="10830" ht="15.75" hidden="1" customHeight="1"/>
    <row r="10831" ht="15.75" hidden="1" customHeight="1"/>
    <row r="10832" ht="15.75" hidden="1" customHeight="1"/>
    <row r="10833" ht="15.75" hidden="1" customHeight="1"/>
    <row r="10834" ht="15.75" hidden="1" customHeight="1"/>
    <row r="10835" ht="15.75" hidden="1" customHeight="1"/>
    <row r="10836" ht="15.75" hidden="1" customHeight="1"/>
    <row r="10837" ht="15.75" hidden="1" customHeight="1"/>
    <row r="10838" ht="15.75" hidden="1" customHeight="1"/>
    <row r="10839" ht="15.75" hidden="1" customHeight="1"/>
    <row r="10840" ht="15.75" hidden="1" customHeight="1"/>
    <row r="10841" ht="15.75" hidden="1" customHeight="1"/>
    <row r="10842" ht="15.75" hidden="1" customHeight="1"/>
    <row r="10843" ht="15.75" hidden="1" customHeight="1"/>
    <row r="10844" ht="15.75" hidden="1" customHeight="1"/>
    <row r="10845" ht="15.75" hidden="1" customHeight="1"/>
    <row r="10846" ht="15.75" hidden="1" customHeight="1"/>
    <row r="10847" ht="15.75" hidden="1" customHeight="1"/>
    <row r="10848" ht="15.75" hidden="1" customHeight="1"/>
    <row r="10849" ht="15.75" hidden="1" customHeight="1"/>
    <row r="10850" ht="15.75" hidden="1" customHeight="1"/>
    <row r="10851" ht="15.75" hidden="1" customHeight="1"/>
    <row r="10852" ht="15.75" hidden="1" customHeight="1"/>
    <row r="10853" ht="15.75" hidden="1" customHeight="1"/>
    <row r="10854" ht="15.75" hidden="1" customHeight="1"/>
    <row r="10855" ht="15.75" hidden="1" customHeight="1"/>
    <row r="10856" ht="15.75" hidden="1" customHeight="1"/>
    <row r="10857" ht="15.75" hidden="1" customHeight="1"/>
    <row r="10858" ht="15.75" hidden="1" customHeight="1"/>
    <row r="10859" ht="15.75" hidden="1" customHeight="1"/>
    <row r="10860" ht="15.75" hidden="1" customHeight="1"/>
    <row r="10861" ht="15.75" hidden="1" customHeight="1"/>
    <row r="10862" ht="15.75" hidden="1" customHeight="1"/>
    <row r="10863" ht="15.75" hidden="1" customHeight="1"/>
    <row r="10864" ht="15.75" hidden="1" customHeight="1"/>
    <row r="10865" ht="15.75" hidden="1" customHeight="1"/>
    <row r="10866" ht="15.75" hidden="1" customHeight="1"/>
    <row r="10867" ht="15.75" hidden="1" customHeight="1"/>
    <row r="10868" ht="15.75" hidden="1" customHeight="1"/>
    <row r="10869" ht="15.75" hidden="1" customHeight="1"/>
    <row r="10870" ht="15.75" hidden="1" customHeight="1"/>
    <row r="10871" ht="15.75" hidden="1" customHeight="1"/>
    <row r="10872" ht="15.75" hidden="1" customHeight="1"/>
    <row r="10873" ht="15.75" hidden="1" customHeight="1"/>
    <row r="10874" ht="15.75" hidden="1" customHeight="1"/>
    <row r="10875" ht="15.75" hidden="1" customHeight="1"/>
    <row r="10876" ht="15.75" hidden="1" customHeight="1"/>
    <row r="10877" ht="15.75" hidden="1" customHeight="1"/>
    <row r="10878" ht="15.75" hidden="1" customHeight="1"/>
    <row r="10879" ht="15.75" hidden="1" customHeight="1"/>
    <row r="10880" ht="15.75" hidden="1" customHeight="1"/>
    <row r="10881" ht="15.75" hidden="1" customHeight="1"/>
    <row r="10882" ht="15.75" hidden="1" customHeight="1"/>
    <row r="10883" ht="15.75" hidden="1" customHeight="1"/>
    <row r="10884" ht="15.75" hidden="1" customHeight="1"/>
    <row r="10885" ht="15.75" hidden="1" customHeight="1"/>
    <row r="10886" ht="15.75" hidden="1" customHeight="1"/>
    <row r="10887" ht="15.75" hidden="1" customHeight="1"/>
    <row r="10888" ht="15.75" hidden="1" customHeight="1"/>
    <row r="10889" ht="15.75" hidden="1" customHeight="1"/>
    <row r="10890" ht="15.75" hidden="1" customHeight="1"/>
    <row r="10891" ht="15.75" hidden="1" customHeight="1"/>
    <row r="10892" ht="15.75" hidden="1" customHeight="1"/>
    <row r="10893" ht="15.75" hidden="1" customHeight="1"/>
    <row r="10894" ht="15.75" hidden="1" customHeight="1"/>
    <row r="10895" ht="15.75" hidden="1" customHeight="1"/>
    <row r="10896" ht="15.75" hidden="1" customHeight="1"/>
    <row r="10897" ht="15.75" hidden="1" customHeight="1"/>
    <row r="10898" ht="15.75" hidden="1" customHeight="1"/>
    <row r="10899" ht="15.75" hidden="1" customHeight="1"/>
    <row r="10900" ht="15.75" hidden="1" customHeight="1"/>
    <row r="10901" ht="15.75" hidden="1" customHeight="1"/>
    <row r="10902" ht="15.75" hidden="1" customHeight="1"/>
    <row r="10903" ht="15.75" hidden="1" customHeight="1"/>
    <row r="10904" ht="15.75" hidden="1" customHeight="1"/>
    <row r="10905" ht="15.75" hidden="1" customHeight="1"/>
    <row r="10906" ht="15.75" hidden="1" customHeight="1"/>
    <row r="10907" ht="15.75" hidden="1" customHeight="1"/>
    <row r="10908" ht="15.75" hidden="1" customHeight="1"/>
    <row r="10909" ht="15.75" hidden="1" customHeight="1"/>
    <row r="10910" ht="15.75" hidden="1" customHeight="1"/>
    <row r="10911" ht="15.75" hidden="1" customHeight="1"/>
    <row r="10912" ht="15.75" hidden="1" customHeight="1"/>
    <row r="10913" ht="15.75" hidden="1" customHeight="1"/>
    <row r="10914" ht="15.75" hidden="1" customHeight="1"/>
    <row r="10915" ht="15.75" hidden="1" customHeight="1"/>
    <row r="10916" ht="15.75" hidden="1" customHeight="1"/>
    <row r="10917" ht="15.75" hidden="1" customHeight="1"/>
    <row r="10918" ht="15.75" hidden="1" customHeight="1"/>
    <row r="10919" ht="15.75" hidden="1" customHeight="1"/>
    <row r="10920" ht="15.75" hidden="1" customHeight="1"/>
    <row r="10921" ht="15.75" hidden="1" customHeight="1"/>
    <row r="10922" ht="15.75" hidden="1" customHeight="1"/>
    <row r="10923" ht="15.75" hidden="1" customHeight="1"/>
    <row r="10924" ht="15.75" hidden="1" customHeight="1"/>
    <row r="10925" ht="15.75" hidden="1" customHeight="1"/>
    <row r="10926" ht="15.75" hidden="1" customHeight="1"/>
    <row r="10927" ht="15.75" hidden="1" customHeight="1"/>
    <row r="10928" ht="15.75" hidden="1" customHeight="1"/>
    <row r="10929" ht="15.75" hidden="1" customHeight="1"/>
    <row r="10930" ht="15.75" hidden="1" customHeight="1"/>
    <row r="10931" ht="15.75" hidden="1" customHeight="1"/>
    <row r="10932" ht="15.75" hidden="1" customHeight="1"/>
    <row r="10933" ht="15.75" hidden="1" customHeight="1"/>
    <row r="10934" ht="15.75" hidden="1" customHeight="1"/>
    <row r="10935" ht="15.75" hidden="1" customHeight="1"/>
    <row r="10936" ht="15.75" hidden="1" customHeight="1"/>
    <row r="10937" ht="15.75" hidden="1" customHeight="1"/>
    <row r="10938" ht="15.75" hidden="1" customHeight="1"/>
    <row r="10939" ht="15.75" hidden="1" customHeight="1"/>
    <row r="10940" ht="15.75" hidden="1" customHeight="1"/>
    <row r="10941" ht="15.75" hidden="1" customHeight="1"/>
    <row r="10942" ht="15.75" hidden="1" customHeight="1"/>
    <row r="10943" ht="15.75" hidden="1" customHeight="1"/>
    <row r="10944" ht="15.75" hidden="1" customHeight="1"/>
    <row r="10945" ht="15.75" hidden="1" customHeight="1"/>
    <row r="10946" ht="15.75" hidden="1" customHeight="1"/>
    <row r="10947" ht="15.75" hidden="1" customHeight="1"/>
    <row r="10948" ht="15.75" hidden="1" customHeight="1"/>
    <row r="10949" ht="15.75" hidden="1" customHeight="1"/>
    <row r="10950" ht="15.75" hidden="1" customHeight="1"/>
    <row r="10951" ht="15.75" hidden="1" customHeight="1"/>
    <row r="10952" ht="15.75" hidden="1" customHeight="1"/>
    <row r="10953" ht="15.75" hidden="1" customHeight="1"/>
    <row r="10954" ht="15.75" hidden="1" customHeight="1"/>
    <row r="10955" ht="15.75" hidden="1" customHeight="1"/>
    <row r="10956" ht="15.75" hidden="1" customHeight="1"/>
    <row r="10957" ht="15.75" hidden="1" customHeight="1"/>
    <row r="10958" ht="15.75" hidden="1" customHeight="1"/>
    <row r="10959" ht="15.75" hidden="1" customHeight="1"/>
    <row r="10960" ht="15.75" hidden="1" customHeight="1"/>
    <row r="10961" ht="15.75" hidden="1" customHeight="1"/>
    <row r="10962" ht="15.75" hidden="1" customHeight="1"/>
    <row r="10963" ht="15.75" hidden="1" customHeight="1"/>
    <row r="10964" ht="15.75" hidden="1" customHeight="1"/>
    <row r="10965" ht="15.75" hidden="1" customHeight="1"/>
    <row r="10966" ht="15.75" hidden="1" customHeight="1"/>
    <row r="10967" ht="15.75" hidden="1" customHeight="1"/>
    <row r="10968" ht="15.75" hidden="1" customHeight="1"/>
    <row r="10969" ht="15.75" hidden="1" customHeight="1"/>
    <row r="10970" ht="15.75" hidden="1" customHeight="1"/>
    <row r="10971" ht="15.75" hidden="1" customHeight="1"/>
    <row r="10972" ht="15.75" hidden="1" customHeight="1"/>
    <row r="10973" ht="15.75" hidden="1" customHeight="1"/>
    <row r="10974" ht="15.75" hidden="1" customHeight="1"/>
    <row r="10975" ht="15.75" hidden="1" customHeight="1"/>
    <row r="10976" ht="15.75" hidden="1" customHeight="1"/>
    <row r="10977" ht="15.75" hidden="1" customHeight="1"/>
    <row r="10978" ht="15.75" hidden="1" customHeight="1"/>
    <row r="10979" ht="15.75" hidden="1" customHeight="1"/>
    <row r="10980" ht="15.75" hidden="1" customHeight="1"/>
    <row r="10981" ht="15.75" hidden="1" customHeight="1"/>
    <row r="10982" ht="15.75" hidden="1" customHeight="1"/>
    <row r="10983" ht="15.75" hidden="1" customHeight="1"/>
    <row r="10984" ht="15.75" hidden="1" customHeight="1"/>
    <row r="10985" ht="15.75" hidden="1" customHeight="1"/>
    <row r="10986" ht="15.75" hidden="1" customHeight="1"/>
    <row r="10987" ht="15.75" hidden="1" customHeight="1"/>
    <row r="10988" ht="15.75" hidden="1" customHeight="1"/>
    <row r="10989" ht="15.75" hidden="1" customHeight="1"/>
    <row r="10990" ht="15.75" hidden="1" customHeight="1"/>
    <row r="10991" ht="15.75" hidden="1" customHeight="1"/>
    <row r="10992" ht="15.75" hidden="1" customHeight="1"/>
    <row r="10993" ht="15.75" hidden="1" customHeight="1"/>
    <row r="10994" ht="15.75" hidden="1" customHeight="1"/>
    <row r="10995" ht="15.75" hidden="1" customHeight="1"/>
    <row r="10996" ht="15.75" hidden="1" customHeight="1"/>
    <row r="10997" ht="15.75" hidden="1" customHeight="1"/>
    <row r="10998" ht="15.75" hidden="1" customHeight="1"/>
    <row r="10999" ht="15.75" hidden="1" customHeight="1"/>
    <row r="11000" ht="15.75" hidden="1" customHeight="1"/>
    <row r="11001" ht="15.75" hidden="1" customHeight="1"/>
    <row r="11002" ht="15.75" hidden="1" customHeight="1"/>
    <row r="11003" ht="15.75" hidden="1" customHeight="1"/>
    <row r="11004" ht="15.75" hidden="1" customHeight="1"/>
    <row r="11005" ht="15.75" hidden="1" customHeight="1"/>
    <row r="11006" ht="15.75" hidden="1" customHeight="1"/>
    <row r="11007" ht="15.75" hidden="1" customHeight="1"/>
    <row r="11008" ht="15.75" hidden="1" customHeight="1"/>
    <row r="11009" ht="15.75" hidden="1" customHeight="1"/>
    <row r="11010" ht="15.75" hidden="1" customHeight="1"/>
    <row r="11011" ht="15.75" hidden="1" customHeight="1"/>
    <row r="11012" ht="15.75" hidden="1" customHeight="1"/>
    <row r="11013" ht="15.75" hidden="1" customHeight="1"/>
    <row r="11014" ht="15.75" hidden="1" customHeight="1"/>
    <row r="11015" ht="15.75" hidden="1" customHeight="1"/>
    <row r="11016" ht="15.75" hidden="1" customHeight="1"/>
    <row r="11017" ht="15.75" hidden="1" customHeight="1"/>
    <row r="11018" ht="15.75" hidden="1" customHeight="1"/>
    <row r="11019" ht="15.75" hidden="1" customHeight="1"/>
    <row r="11020" ht="15.75" hidden="1" customHeight="1"/>
    <row r="11021" ht="15.75" hidden="1" customHeight="1"/>
    <row r="11022" ht="15.75" hidden="1" customHeight="1"/>
    <row r="11023" ht="15.75" hidden="1" customHeight="1"/>
    <row r="11024" ht="15.75" hidden="1" customHeight="1"/>
    <row r="11025" ht="15.75" hidden="1" customHeight="1"/>
    <row r="11026" ht="15.75" hidden="1" customHeight="1"/>
    <row r="11027" ht="15.75" hidden="1" customHeight="1"/>
    <row r="11028" ht="15.75" hidden="1" customHeight="1"/>
    <row r="11029" ht="15.75" hidden="1" customHeight="1"/>
    <row r="11030" ht="15.75" hidden="1" customHeight="1"/>
    <row r="11031" ht="15.75" hidden="1" customHeight="1"/>
    <row r="11032" ht="15.75" hidden="1" customHeight="1"/>
    <row r="11033" ht="15.75" hidden="1" customHeight="1"/>
    <row r="11034" ht="15.75" hidden="1" customHeight="1"/>
    <row r="11035" ht="15.75" hidden="1" customHeight="1"/>
    <row r="11036" ht="15.75" hidden="1" customHeight="1"/>
    <row r="11037" ht="15.75" hidden="1" customHeight="1"/>
    <row r="11038" ht="15.75" hidden="1" customHeight="1"/>
    <row r="11039" ht="15.75" hidden="1" customHeight="1"/>
    <row r="11040" ht="15.75" hidden="1" customHeight="1"/>
    <row r="11041" ht="15.75" hidden="1" customHeight="1"/>
    <row r="11042" ht="15.75" hidden="1" customHeight="1"/>
    <row r="11043" ht="15.75" hidden="1" customHeight="1"/>
    <row r="11044" ht="15.75" hidden="1" customHeight="1"/>
    <row r="11045" ht="15.75" hidden="1" customHeight="1"/>
    <row r="11046" ht="15.75" hidden="1" customHeight="1"/>
    <row r="11047" ht="15.75" hidden="1" customHeight="1"/>
    <row r="11048" ht="15.75" hidden="1" customHeight="1"/>
    <row r="11049" ht="15.75" hidden="1" customHeight="1"/>
    <row r="11050" ht="15.75" hidden="1" customHeight="1"/>
    <row r="11051" ht="15.75" hidden="1" customHeight="1"/>
    <row r="11052" ht="15.75" hidden="1" customHeight="1"/>
    <row r="11053" ht="15.75" hidden="1" customHeight="1"/>
    <row r="11054" ht="15.75" hidden="1" customHeight="1"/>
    <row r="11055" ht="15.75" hidden="1" customHeight="1"/>
    <row r="11056" ht="15.75" hidden="1" customHeight="1"/>
    <row r="11057" ht="15.75" hidden="1" customHeight="1"/>
    <row r="11058" ht="15.75" hidden="1" customHeight="1"/>
    <row r="11059" ht="15.75" hidden="1" customHeight="1"/>
    <row r="11060" ht="15.75" hidden="1" customHeight="1"/>
    <row r="11061" ht="15.75" hidden="1" customHeight="1"/>
    <row r="11062" ht="15.75" hidden="1" customHeight="1"/>
    <row r="11063" ht="15.75" hidden="1" customHeight="1"/>
    <row r="11064" ht="15.75" hidden="1" customHeight="1"/>
    <row r="11065" ht="15.75" hidden="1" customHeight="1"/>
    <row r="11066" ht="15.75" hidden="1" customHeight="1"/>
    <row r="11067" ht="15.75" hidden="1" customHeight="1"/>
    <row r="11068" ht="15.75" hidden="1" customHeight="1"/>
    <row r="11069" ht="15.75" hidden="1" customHeight="1"/>
    <row r="11070" ht="15.75" hidden="1" customHeight="1"/>
    <row r="11071" ht="15.75" hidden="1" customHeight="1"/>
    <row r="11072" ht="15.75" hidden="1" customHeight="1"/>
    <row r="11073" ht="15.75" hidden="1" customHeight="1"/>
    <row r="11074" ht="15.75" hidden="1" customHeight="1"/>
    <row r="11075" ht="15.75" hidden="1" customHeight="1"/>
    <row r="11076" ht="15.75" hidden="1" customHeight="1"/>
    <row r="11077" ht="15.75" hidden="1" customHeight="1"/>
    <row r="11078" ht="15.75" hidden="1" customHeight="1"/>
    <row r="11079" ht="15.75" hidden="1" customHeight="1"/>
    <row r="11080" ht="15.75" hidden="1" customHeight="1"/>
    <row r="11081" ht="15.75" hidden="1" customHeight="1"/>
    <row r="11082" ht="15.75" hidden="1" customHeight="1"/>
    <row r="11083" ht="15.75" hidden="1" customHeight="1"/>
    <row r="11084" ht="15.75" hidden="1" customHeight="1"/>
    <row r="11085" ht="15.75" hidden="1" customHeight="1"/>
    <row r="11086" ht="15.75" hidden="1" customHeight="1"/>
    <row r="11087" ht="15.75" hidden="1" customHeight="1"/>
    <row r="11088" ht="15.75" hidden="1" customHeight="1"/>
    <row r="11089" ht="15.75" hidden="1" customHeight="1"/>
    <row r="11090" ht="15.75" hidden="1" customHeight="1"/>
    <row r="11091" ht="15.75" hidden="1" customHeight="1"/>
    <row r="11092" ht="15.75" hidden="1" customHeight="1"/>
    <row r="11093" ht="15.75" hidden="1" customHeight="1"/>
    <row r="11094" ht="15.75" hidden="1" customHeight="1"/>
    <row r="11095" ht="15.75" hidden="1" customHeight="1"/>
    <row r="11096" ht="15.75" hidden="1" customHeight="1"/>
    <row r="11097" ht="15.75" hidden="1" customHeight="1"/>
    <row r="11098" ht="15.75" hidden="1" customHeight="1"/>
    <row r="11099" ht="15.75" hidden="1" customHeight="1"/>
    <row r="11100" ht="15.75" hidden="1" customHeight="1"/>
    <row r="11101" ht="15.75" hidden="1" customHeight="1"/>
    <row r="11102" ht="15.75" hidden="1" customHeight="1"/>
    <row r="11103" ht="15.75" hidden="1" customHeight="1"/>
    <row r="11104" ht="15.75" hidden="1" customHeight="1"/>
    <row r="11105" ht="15.75" hidden="1" customHeight="1"/>
    <row r="11106" ht="15.75" hidden="1" customHeight="1"/>
    <row r="11107" ht="15.75" hidden="1" customHeight="1"/>
    <row r="11108" ht="15.75" hidden="1" customHeight="1"/>
    <row r="11109" ht="15.75" hidden="1" customHeight="1"/>
    <row r="11110" ht="15.75" hidden="1" customHeight="1"/>
    <row r="11111" ht="15.75" hidden="1" customHeight="1"/>
    <row r="11112" ht="15.75" hidden="1" customHeight="1"/>
    <row r="11113" ht="15.75" hidden="1" customHeight="1"/>
    <row r="11114" ht="15.75" hidden="1" customHeight="1"/>
    <row r="11115" ht="15.75" hidden="1" customHeight="1"/>
    <row r="11116" ht="15.75" hidden="1" customHeight="1"/>
    <row r="11117" ht="15.75" hidden="1" customHeight="1"/>
    <row r="11118" ht="15.75" hidden="1" customHeight="1"/>
    <row r="11119" ht="15.75" hidden="1" customHeight="1"/>
    <row r="11120" ht="15.75" hidden="1" customHeight="1"/>
    <row r="11121" ht="15.75" hidden="1" customHeight="1"/>
    <row r="11122" ht="15.75" hidden="1" customHeight="1"/>
    <row r="11123" ht="15.75" hidden="1" customHeight="1"/>
    <row r="11124" ht="15.75" hidden="1" customHeight="1"/>
    <row r="11125" ht="15.75" hidden="1" customHeight="1"/>
    <row r="11126" ht="15.75" hidden="1" customHeight="1"/>
    <row r="11127" ht="15.75" hidden="1" customHeight="1"/>
    <row r="11128" ht="15.75" hidden="1" customHeight="1"/>
    <row r="11129" ht="15.75" hidden="1" customHeight="1"/>
    <row r="11130" ht="15.75" hidden="1" customHeight="1"/>
    <row r="11131" ht="15.75" hidden="1" customHeight="1"/>
    <row r="11132" ht="15.75" hidden="1" customHeight="1"/>
    <row r="11133" ht="15.75" hidden="1" customHeight="1"/>
    <row r="11134" ht="15.75" hidden="1" customHeight="1"/>
    <row r="11135" ht="15.75" hidden="1" customHeight="1"/>
    <row r="11136" ht="15.75" hidden="1" customHeight="1"/>
    <row r="11137" ht="15.75" hidden="1" customHeight="1"/>
    <row r="11138" ht="15.75" hidden="1" customHeight="1"/>
    <row r="11139" ht="15.75" hidden="1" customHeight="1"/>
    <row r="11140" ht="15.75" hidden="1" customHeight="1"/>
    <row r="11141" ht="15.75" hidden="1" customHeight="1"/>
    <row r="11142" ht="15.75" hidden="1" customHeight="1"/>
    <row r="11143" ht="15.75" hidden="1" customHeight="1"/>
    <row r="11144" ht="15.75" hidden="1" customHeight="1"/>
    <row r="11145" ht="15.75" hidden="1" customHeight="1"/>
    <row r="11146" ht="15.75" hidden="1" customHeight="1"/>
    <row r="11147" ht="15.75" hidden="1" customHeight="1"/>
    <row r="11148" ht="15.75" hidden="1" customHeight="1"/>
    <row r="11149" ht="15.75" hidden="1" customHeight="1"/>
    <row r="11150" ht="15.75" hidden="1" customHeight="1"/>
    <row r="11151" ht="15.75" hidden="1" customHeight="1"/>
    <row r="11152" ht="15.75" hidden="1" customHeight="1"/>
    <row r="11153" ht="15.75" hidden="1" customHeight="1"/>
    <row r="11154" ht="15.75" hidden="1" customHeight="1"/>
    <row r="11155" ht="15.75" hidden="1" customHeight="1"/>
    <row r="11156" ht="15.75" hidden="1" customHeight="1"/>
    <row r="11157" ht="15.75" hidden="1" customHeight="1"/>
    <row r="11158" ht="15.75" hidden="1" customHeight="1"/>
    <row r="11159" ht="15.75" hidden="1" customHeight="1"/>
    <row r="11160" ht="15.75" hidden="1" customHeight="1"/>
    <row r="11161" ht="15.75" hidden="1" customHeight="1"/>
    <row r="11162" ht="15.75" hidden="1" customHeight="1"/>
    <row r="11163" ht="15.75" hidden="1" customHeight="1"/>
    <row r="11164" ht="15.75" hidden="1" customHeight="1"/>
    <row r="11165" ht="15.75" hidden="1" customHeight="1"/>
    <row r="11166" ht="15.75" hidden="1" customHeight="1"/>
    <row r="11167" ht="15.75" hidden="1" customHeight="1"/>
    <row r="11168" ht="15.75" hidden="1" customHeight="1"/>
    <row r="11169" ht="15.75" hidden="1" customHeight="1"/>
    <row r="11170" ht="15.75" hidden="1" customHeight="1"/>
    <row r="11171" ht="15.75" hidden="1" customHeight="1"/>
    <row r="11172" ht="15.75" hidden="1" customHeight="1"/>
    <row r="11173" ht="15.75" hidden="1" customHeight="1"/>
    <row r="11174" ht="15.75" hidden="1" customHeight="1"/>
    <row r="11175" ht="15.75" hidden="1" customHeight="1"/>
    <row r="11176" ht="15.75" hidden="1" customHeight="1"/>
    <row r="11177" ht="15.75" hidden="1" customHeight="1"/>
    <row r="11178" ht="15.75" hidden="1" customHeight="1"/>
    <row r="11179" ht="15.75" hidden="1" customHeight="1"/>
    <row r="11180" ht="15.75" hidden="1" customHeight="1"/>
    <row r="11181" ht="15.75" hidden="1" customHeight="1"/>
    <row r="11182" ht="15.75" hidden="1" customHeight="1"/>
    <row r="11183" ht="15.75" hidden="1" customHeight="1"/>
    <row r="11184" ht="15.75" hidden="1" customHeight="1"/>
    <row r="11185" ht="15.75" hidden="1" customHeight="1"/>
    <row r="11186" ht="15.75" hidden="1" customHeight="1"/>
    <row r="11187" ht="15.75" hidden="1" customHeight="1"/>
    <row r="11188" ht="15.75" hidden="1" customHeight="1"/>
    <row r="11189" ht="15.75" hidden="1" customHeight="1"/>
    <row r="11190" ht="15.75" hidden="1" customHeight="1"/>
    <row r="11191" ht="15.75" hidden="1" customHeight="1"/>
    <row r="11192" ht="15.75" hidden="1" customHeight="1"/>
    <row r="11193" ht="15.75" hidden="1" customHeight="1"/>
    <row r="11194" ht="15.75" hidden="1" customHeight="1"/>
    <row r="11195" ht="15.75" hidden="1" customHeight="1"/>
    <row r="11196" ht="15.75" hidden="1" customHeight="1"/>
    <row r="11197" ht="15.75" hidden="1" customHeight="1"/>
    <row r="11198" ht="15.75" hidden="1" customHeight="1"/>
    <row r="11199" ht="15.75" hidden="1" customHeight="1"/>
    <row r="11200" ht="15.75" hidden="1" customHeight="1"/>
    <row r="11201" ht="15.75" hidden="1" customHeight="1"/>
    <row r="11202" ht="15.75" hidden="1" customHeight="1"/>
    <row r="11203" ht="15.75" hidden="1" customHeight="1"/>
    <row r="11204" ht="15.75" hidden="1" customHeight="1"/>
    <row r="11205" ht="15.75" hidden="1" customHeight="1"/>
    <row r="11206" ht="15.75" hidden="1" customHeight="1"/>
    <row r="11207" ht="15.75" hidden="1" customHeight="1"/>
    <row r="11208" ht="15.75" hidden="1" customHeight="1"/>
    <row r="11209" ht="15.75" hidden="1" customHeight="1"/>
    <row r="11210" ht="15.75" hidden="1" customHeight="1"/>
    <row r="11211" ht="15.75" hidden="1" customHeight="1"/>
    <row r="11212" ht="15.75" hidden="1" customHeight="1"/>
    <row r="11213" ht="15.75" hidden="1" customHeight="1"/>
    <row r="11214" ht="15.75" hidden="1" customHeight="1"/>
    <row r="11215" ht="15.75" hidden="1" customHeight="1"/>
    <row r="11216" ht="15.75" hidden="1" customHeight="1"/>
    <row r="11217" ht="15.75" hidden="1" customHeight="1"/>
    <row r="11218" ht="15.75" hidden="1" customHeight="1"/>
    <row r="11219" ht="15.75" hidden="1" customHeight="1"/>
    <row r="11220" ht="15.75" hidden="1" customHeight="1"/>
    <row r="11221" ht="15.75" hidden="1" customHeight="1"/>
    <row r="11222" ht="15.75" hidden="1" customHeight="1"/>
    <row r="11223" ht="15.75" hidden="1" customHeight="1"/>
    <row r="11224" ht="15.75" hidden="1" customHeight="1"/>
    <row r="11225" ht="15.75" hidden="1" customHeight="1"/>
    <row r="11226" ht="15.75" hidden="1" customHeight="1"/>
    <row r="11227" ht="15.75" hidden="1" customHeight="1"/>
    <row r="11228" ht="15.75" hidden="1" customHeight="1"/>
    <row r="11229" ht="15.75" hidden="1" customHeight="1"/>
    <row r="11230" ht="15.75" hidden="1" customHeight="1"/>
    <row r="11231" ht="15.75" hidden="1" customHeight="1"/>
    <row r="11232" ht="15.75" hidden="1" customHeight="1"/>
    <row r="11233" ht="15.75" hidden="1" customHeight="1"/>
    <row r="11234" ht="15.75" hidden="1" customHeight="1"/>
    <row r="11235" ht="15.75" hidden="1" customHeight="1"/>
    <row r="11236" ht="15.75" hidden="1" customHeight="1"/>
    <row r="11237" ht="15.75" hidden="1" customHeight="1"/>
    <row r="11238" ht="15.75" hidden="1" customHeight="1"/>
    <row r="11239" ht="15.75" hidden="1" customHeight="1"/>
    <row r="11240" ht="15.75" hidden="1" customHeight="1"/>
    <row r="11241" ht="15.75" hidden="1" customHeight="1"/>
    <row r="11242" ht="15.75" hidden="1" customHeight="1"/>
    <row r="11243" ht="15.75" hidden="1" customHeight="1"/>
    <row r="11244" ht="15.75" hidden="1" customHeight="1"/>
    <row r="11245" ht="15.75" hidden="1" customHeight="1"/>
    <row r="11246" ht="15.75" hidden="1" customHeight="1"/>
    <row r="11247" ht="15.75" hidden="1" customHeight="1"/>
    <row r="11248" ht="15.75" hidden="1" customHeight="1"/>
    <row r="11249" ht="15.75" hidden="1" customHeight="1"/>
    <row r="11250" ht="15.75" hidden="1" customHeight="1"/>
    <row r="11251" ht="15.75" hidden="1" customHeight="1"/>
    <row r="11252" ht="15.75" hidden="1" customHeight="1"/>
    <row r="11253" ht="15.75" hidden="1" customHeight="1"/>
    <row r="11254" ht="15.75" hidden="1" customHeight="1"/>
    <row r="11255" ht="15.75" hidden="1" customHeight="1"/>
    <row r="11256" ht="15.75" hidden="1" customHeight="1"/>
    <row r="11257" ht="15.75" hidden="1" customHeight="1"/>
    <row r="11258" ht="15.75" hidden="1" customHeight="1"/>
    <row r="11259" ht="15.75" hidden="1" customHeight="1"/>
    <row r="11260" ht="15.75" hidden="1" customHeight="1"/>
    <row r="11261" ht="15.75" hidden="1" customHeight="1"/>
    <row r="11262" ht="15.75" hidden="1" customHeight="1"/>
    <row r="11263" ht="15.75" hidden="1" customHeight="1"/>
    <row r="11264" ht="15.75" hidden="1" customHeight="1"/>
    <row r="11265" ht="15.75" hidden="1" customHeight="1"/>
    <row r="11266" ht="15.75" hidden="1" customHeight="1"/>
    <row r="11267" ht="15.75" hidden="1" customHeight="1"/>
    <row r="11268" ht="15.75" hidden="1" customHeight="1"/>
    <row r="11269" ht="15.75" hidden="1" customHeight="1"/>
    <row r="11270" ht="15.75" hidden="1" customHeight="1"/>
    <row r="11271" ht="15.75" hidden="1" customHeight="1"/>
    <row r="11272" ht="15.75" hidden="1" customHeight="1"/>
    <row r="11273" ht="15.75" hidden="1" customHeight="1"/>
    <row r="11274" ht="15.75" hidden="1" customHeight="1"/>
    <row r="11275" ht="15.75" hidden="1" customHeight="1"/>
    <row r="11276" ht="15.75" hidden="1" customHeight="1"/>
    <row r="11277" ht="15.75" hidden="1" customHeight="1"/>
    <row r="11278" ht="15.75" hidden="1" customHeight="1"/>
    <row r="11279" ht="15.75" hidden="1" customHeight="1"/>
    <row r="11280" ht="15.75" hidden="1" customHeight="1"/>
    <row r="11281" ht="15.75" hidden="1" customHeight="1"/>
    <row r="11282" ht="15.75" hidden="1" customHeight="1"/>
    <row r="11283" ht="15.75" hidden="1" customHeight="1"/>
    <row r="11284" ht="15.75" hidden="1" customHeight="1"/>
    <row r="11285" ht="15.75" hidden="1" customHeight="1"/>
    <row r="11286" ht="15.75" hidden="1" customHeight="1"/>
    <row r="11287" ht="15.75" hidden="1" customHeight="1"/>
    <row r="11288" ht="15.75" hidden="1" customHeight="1"/>
    <row r="11289" ht="15.75" hidden="1" customHeight="1"/>
    <row r="11290" ht="15.75" hidden="1" customHeight="1"/>
    <row r="11291" ht="15.75" hidden="1" customHeight="1"/>
    <row r="11292" ht="15.75" hidden="1" customHeight="1"/>
    <row r="11293" ht="15.75" hidden="1" customHeight="1"/>
    <row r="11294" ht="15.75" hidden="1" customHeight="1"/>
    <row r="11295" ht="15.75" hidden="1" customHeight="1"/>
    <row r="11296" ht="15.75" hidden="1" customHeight="1"/>
    <row r="11297" ht="15.75" hidden="1" customHeight="1"/>
    <row r="11298" ht="15.75" hidden="1" customHeight="1"/>
    <row r="11299" ht="15.75" hidden="1" customHeight="1"/>
    <row r="11300" ht="15.75" hidden="1" customHeight="1"/>
    <row r="11301" ht="15.75" hidden="1" customHeight="1"/>
    <row r="11302" ht="15.75" hidden="1" customHeight="1"/>
    <row r="11303" ht="15.75" hidden="1" customHeight="1"/>
    <row r="11304" ht="15.75" hidden="1" customHeight="1"/>
    <row r="11305" ht="15.75" hidden="1" customHeight="1"/>
    <row r="11306" ht="15.75" hidden="1" customHeight="1"/>
    <row r="11307" ht="15.75" hidden="1" customHeight="1"/>
    <row r="11308" ht="15.75" hidden="1" customHeight="1"/>
    <row r="11309" ht="15.75" hidden="1" customHeight="1"/>
    <row r="11310" ht="15.75" hidden="1" customHeight="1"/>
    <row r="11311" ht="15.75" hidden="1" customHeight="1"/>
    <row r="11312" ht="15.75" hidden="1" customHeight="1"/>
    <row r="11313" ht="15.75" hidden="1" customHeight="1"/>
    <row r="11314" ht="15.75" hidden="1" customHeight="1"/>
    <row r="11315" ht="15.75" hidden="1" customHeight="1"/>
    <row r="11316" ht="15.75" hidden="1" customHeight="1"/>
    <row r="11317" ht="15.75" hidden="1" customHeight="1"/>
    <row r="11318" ht="15.75" hidden="1" customHeight="1"/>
    <row r="11319" ht="15.75" hidden="1" customHeight="1"/>
    <row r="11320" ht="15.75" hidden="1" customHeight="1"/>
    <row r="11321" ht="15.75" hidden="1" customHeight="1"/>
    <row r="11322" ht="15.75" hidden="1" customHeight="1"/>
    <row r="11323" ht="15.75" hidden="1" customHeight="1"/>
    <row r="11324" ht="15.75" hidden="1" customHeight="1"/>
    <row r="11325" ht="15.75" hidden="1" customHeight="1"/>
    <row r="11326" ht="15.75" hidden="1" customHeight="1"/>
    <row r="11327" ht="15.75" hidden="1" customHeight="1"/>
    <row r="11328" ht="15.75" hidden="1" customHeight="1"/>
    <row r="11329" ht="15.75" hidden="1" customHeight="1"/>
    <row r="11330" ht="15.75" hidden="1" customHeight="1"/>
    <row r="11331" ht="15.75" hidden="1" customHeight="1"/>
    <row r="11332" ht="15.75" hidden="1" customHeight="1"/>
    <row r="11333" ht="15.75" hidden="1" customHeight="1"/>
    <row r="11334" ht="15.75" hidden="1" customHeight="1"/>
    <row r="11335" ht="15.75" hidden="1" customHeight="1"/>
    <row r="11336" ht="15.75" hidden="1" customHeight="1"/>
    <row r="11337" ht="15.75" hidden="1" customHeight="1"/>
    <row r="11338" ht="15.75" hidden="1" customHeight="1"/>
    <row r="11339" ht="15.75" hidden="1" customHeight="1"/>
    <row r="11340" ht="15.75" hidden="1" customHeight="1"/>
    <row r="11341" ht="15.75" hidden="1" customHeight="1"/>
    <row r="11342" ht="15.75" hidden="1" customHeight="1"/>
    <row r="11343" ht="15.75" hidden="1" customHeight="1"/>
    <row r="11344" ht="15.75" hidden="1" customHeight="1"/>
    <row r="11345" ht="15.75" hidden="1" customHeight="1"/>
    <row r="11346" ht="15.75" hidden="1" customHeight="1"/>
    <row r="11347" ht="15.75" hidden="1" customHeight="1"/>
    <row r="11348" ht="15.75" hidden="1" customHeight="1"/>
    <row r="11349" ht="15.75" hidden="1" customHeight="1"/>
    <row r="11350" ht="15.75" hidden="1" customHeight="1"/>
    <row r="11351" ht="15.75" hidden="1" customHeight="1"/>
    <row r="11352" ht="15.75" hidden="1" customHeight="1"/>
    <row r="11353" ht="15.75" hidden="1" customHeight="1"/>
    <row r="11354" ht="15.75" hidden="1" customHeight="1"/>
    <row r="11355" ht="15.75" hidden="1" customHeight="1"/>
    <row r="11356" ht="15.75" hidden="1" customHeight="1"/>
    <row r="11357" ht="15.75" hidden="1" customHeight="1"/>
    <row r="11358" ht="15.75" hidden="1" customHeight="1"/>
    <row r="11359" ht="15.75" hidden="1" customHeight="1"/>
    <row r="11360" ht="15.75" hidden="1" customHeight="1"/>
    <row r="11361" ht="15.75" hidden="1" customHeight="1"/>
    <row r="11362" ht="15.75" hidden="1" customHeight="1"/>
    <row r="11363" ht="15.75" hidden="1" customHeight="1"/>
    <row r="11364" ht="15.75" hidden="1" customHeight="1"/>
    <row r="11365" ht="15.75" hidden="1" customHeight="1"/>
    <row r="11366" ht="15.75" hidden="1" customHeight="1"/>
    <row r="11367" ht="15.75" hidden="1" customHeight="1"/>
    <row r="11368" ht="15.75" hidden="1" customHeight="1"/>
    <row r="11369" ht="15.75" hidden="1" customHeight="1"/>
    <row r="11370" ht="15.75" hidden="1" customHeight="1"/>
    <row r="11371" ht="15.75" hidden="1" customHeight="1"/>
    <row r="11372" ht="15.75" hidden="1" customHeight="1"/>
    <row r="11373" ht="15.75" hidden="1" customHeight="1"/>
    <row r="11374" ht="15.75" hidden="1" customHeight="1"/>
    <row r="11375" ht="15.75" hidden="1" customHeight="1"/>
    <row r="11376" ht="15.75" hidden="1" customHeight="1"/>
    <row r="11377" ht="15.75" hidden="1" customHeight="1"/>
    <row r="11378" ht="15.75" hidden="1" customHeight="1"/>
    <row r="11379" ht="15.75" hidden="1" customHeight="1"/>
    <row r="11380" ht="15.75" hidden="1" customHeight="1"/>
    <row r="11381" ht="15.75" hidden="1" customHeight="1"/>
    <row r="11382" ht="15.75" hidden="1" customHeight="1"/>
    <row r="11383" ht="15.75" hidden="1" customHeight="1"/>
    <row r="11384" ht="15.75" hidden="1" customHeight="1"/>
    <row r="11385" ht="15.75" hidden="1" customHeight="1"/>
    <row r="11386" ht="15.75" hidden="1" customHeight="1"/>
    <row r="11387" ht="15.75" hidden="1" customHeight="1"/>
    <row r="11388" ht="15.75" hidden="1" customHeight="1"/>
    <row r="11389" ht="15.75" hidden="1" customHeight="1"/>
    <row r="11390" ht="15.75" hidden="1" customHeight="1"/>
    <row r="11391" ht="15.75" hidden="1" customHeight="1"/>
    <row r="11392" ht="15.75" hidden="1" customHeight="1"/>
    <row r="11393" ht="15.75" hidden="1" customHeight="1"/>
    <row r="11394" ht="15.75" hidden="1" customHeight="1"/>
    <row r="11395" ht="15.75" hidden="1" customHeight="1"/>
    <row r="11396" ht="15.75" hidden="1" customHeight="1"/>
    <row r="11397" ht="15.75" hidden="1" customHeight="1"/>
    <row r="11398" ht="15.75" hidden="1" customHeight="1"/>
    <row r="11399" ht="15.75" hidden="1" customHeight="1"/>
    <row r="11400" ht="15.75" hidden="1" customHeight="1"/>
    <row r="11401" ht="15.75" hidden="1" customHeight="1"/>
    <row r="11402" ht="15.75" hidden="1" customHeight="1"/>
    <row r="11403" ht="15.75" hidden="1" customHeight="1"/>
    <row r="11404" ht="15.75" hidden="1" customHeight="1"/>
    <row r="11405" ht="15.75" hidden="1" customHeight="1"/>
    <row r="11406" ht="15.75" hidden="1" customHeight="1"/>
    <row r="11407" ht="15.75" hidden="1" customHeight="1"/>
    <row r="11408" ht="15.75" hidden="1" customHeight="1"/>
    <row r="11409" ht="15.75" hidden="1" customHeight="1"/>
    <row r="11410" ht="15.75" hidden="1" customHeight="1"/>
    <row r="11411" ht="15.75" hidden="1" customHeight="1"/>
    <row r="11412" ht="15.75" hidden="1" customHeight="1"/>
    <row r="11413" ht="15.75" hidden="1" customHeight="1"/>
    <row r="11414" ht="15.75" hidden="1" customHeight="1"/>
    <row r="11415" ht="15.75" hidden="1" customHeight="1"/>
    <row r="11416" ht="15.75" hidden="1" customHeight="1"/>
    <row r="11417" ht="15.75" hidden="1" customHeight="1"/>
    <row r="11418" ht="15.75" hidden="1" customHeight="1"/>
    <row r="11419" ht="15.75" hidden="1" customHeight="1"/>
    <row r="11420" ht="15.75" hidden="1" customHeight="1"/>
    <row r="11421" ht="15.75" hidden="1" customHeight="1"/>
    <row r="11422" ht="15.75" hidden="1" customHeight="1"/>
    <row r="11423" ht="15.75" hidden="1" customHeight="1"/>
    <row r="11424" ht="15.75" hidden="1" customHeight="1"/>
    <row r="11425" ht="15.75" hidden="1" customHeight="1"/>
    <row r="11426" ht="15.75" hidden="1" customHeight="1"/>
    <row r="11427" ht="15.75" hidden="1" customHeight="1"/>
    <row r="11428" ht="15.75" hidden="1" customHeight="1"/>
    <row r="11429" ht="15.75" hidden="1" customHeight="1"/>
    <row r="11430" ht="15.75" hidden="1" customHeight="1"/>
    <row r="11431" ht="15.75" hidden="1" customHeight="1"/>
    <row r="11432" ht="15.75" hidden="1" customHeight="1"/>
    <row r="11433" ht="15.75" hidden="1" customHeight="1"/>
    <row r="11434" ht="15.75" hidden="1" customHeight="1"/>
    <row r="11435" ht="15.75" hidden="1" customHeight="1"/>
    <row r="11436" ht="15.75" hidden="1" customHeight="1"/>
    <row r="11437" ht="15.75" hidden="1" customHeight="1"/>
    <row r="11438" ht="15.75" hidden="1" customHeight="1"/>
    <row r="11439" ht="15.75" hidden="1" customHeight="1"/>
    <row r="11440" ht="15.75" hidden="1" customHeight="1"/>
    <row r="11441" ht="15.75" hidden="1" customHeight="1"/>
    <row r="11442" ht="15.75" hidden="1" customHeight="1"/>
    <row r="11443" ht="15.75" hidden="1" customHeight="1"/>
    <row r="11444" ht="15.75" hidden="1" customHeight="1"/>
    <row r="11445" ht="15.75" hidden="1" customHeight="1"/>
    <row r="11446" ht="15.75" hidden="1" customHeight="1"/>
    <row r="11447" ht="15.75" hidden="1" customHeight="1"/>
    <row r="11448" ht="15.75" hidden="1" customHeight="1"/>
    <row r="11449" ht="15.75" hidden="1" customHeight="1"/>
    <row r="11450" ht="15.75" hidden="1" customHeight="1"/>
    <row r="11451" ht="15.75" hidden="1" customHeight="1"/>
    <row r="11452" ht="15.75" hidden="1" customHeight="1"/>
    <row r="11453" ht="15.75" hidden="1" customHeight="1"/>
    <row r="11454" ht="15.75" hidden="1" customHeight="1"/>
    <row r="11455" ht="15.75" hidden="1" customHeight="1"/>
    <row r="11456" ht="15.75" hidden="1" customHeight="1"/>
    <row r="11457" ht="15.75" hidden="1" customHeight="1"/>
    <row r="11458" ht="15.75" hidden="1" customHeight="1"/>
    <row r="11459" ht="15.75" hidden="1" customHeight="1"/>
    <row r="11460" ht="15.75" hidden="1" customHeight="1"/>
    <row r="11461" ht="15.75" hidden="1" customHeight="1"/>
    <row r="11462" ht="15.75" hidden="1" customHeight="1"/>
    <row r="11463" ht="15.75" hidden="1" customHeight="1"/>
    <row r="11464" ht="15.75" hidden="1" customHeight="1"/>
    <row r="11465" ht="15.75" hidden="1" customHeight="1"/>
    <row r="11466" ht="15.75" hidden="1" customHeight="1"/>
    <row r="11467" ht="15.75" hidden="1" customHeight="1"/>
    <row r="11468" ht="15.75" hidden="1" customHeight="1"/>
    <row r="11469" ht="15.75" hidden="1" customHeight="1"/>
    <row r="11470" ht="15.75" hidden="1" customHeight="1"/>
    <row r="11471" ht="15.75" hidden="1" customHeight="1"/>
    <row r="11472" ht="15.75" hidden="1" customHeight="1"/>
    <row r="11473" ht="15.75" hidden="1" customHeight="1"/>
    <row r="11474" ht="15.75" hidden="1" customHeight="1"/>
    <row r="11475" ht="15.75" hidden="1" customHeight="1"/>
    <row r="11476" ht="15.75" hidden="1" customHeight="1"/>
    <row r="11477" ht="15.75" hidden="1" customHeight="1"/>
    <row r="11478" ht="15.75" hidden="1" customHeight="1"/>
    <row r="11479" ht="15.75" hidden="1" customHeight="1"/>
    <row r="11480" ht="15.75" hidden="1" customHeight="1"/>
    <row r="11481" ht="15.75" hidden="1" customHeight="1"/>
    <row r="11482" ht="15.75" hidden="1" customHeight="1"/>
    <row r="11483" ht="15.75" hidden="1" customHeight="1"/>
    <row r="11484" ht="15.75" hidden="1" customHeight="1"/>
    <row r="11485" ht="15.75" hidden="1" customHeight="1"/>
    <row r="11486" ht="15.75" hidden="1" customHeight="1"/>
    <row r="11487" ht="15.75" hidden="1" customHeight="1"/>
    <row r="11488" ht="15.75" hidden="1" customHeight="1"/>
    <row r="11489" ht="15.75" hidden="1" customHeight="1"/>
    <row r="11490" ht="15.75" hidden="1" customHeight="1"/>
    <row r="11491" ht="15.75" hidden="1" customHeight="1"/>
    <row r="11492" ht="15.75" hidden="1" customHeight="1"/>
    <row r="11493" ht="15.75" hidden="1" customHeight="1"/>
    <row r="11494" ht="15.75" hidden="1" customHeight="1"/>
    <row r="11495" ht="15.75" hidden="1" customHeight="1"/>
    <row r="11496" ht="15.75" hidden="1" customHeight="1"/>
    <row r="11497" ht="15.75" hidden="1" customHeight="1"/>
    <row r="11498" ht="15.75" hidden="1" customHeight="1"/>
    <row r="11499" ht="15.75" hidden="1" customHeight="1"/>
    <row r="11500" ht="15.75" hidden="1" customHeight="1"/>
    <row r="11501" ht="15.75" hidden="1" customHeight="1"/>
    <row r="11502" ht="15.75" hidden="1" customHeight="1"/>
    <row r="11503" ht="15.75" hidden="1" customHeight="1"/>
    <row r="11504" ht="15.75" hidden="1" customHeight="1"/>
    <row r="11505" ht="15.75" hidden="1" customHeight="1"/>
    <row r="11506" ht="15.75" hidden="1" customHeight="1"/>
    <row r="11507" ht="15.75" hidden="1" customHeight="1"/>
    <row r="11508" ht="15.75" hidden="1" customHeight="1"/>
    <row r="11509" ht="15.75" hidden="1" customHeight="1"/>
    <row r="11510" ht="15.75" hidden="1" customHeight="1"/>
    <row r="11511" ht="15.75" hidden="1" customHeight="1"/>
    <row r="11512" ht="15.75" hidden="1" customHeight="1"/>
    <row r="11513" ht="15.75" hidden="1" customHeight="1"/>
    <row r="11514" ht="15.75" hidden="1" customHeight="1"/>
    <row r="11515" ht="15.75" hidden="1" customHeight="1"/>
    <row r="11516" ht="15.75" hidden="1" customHeight="1"/>
    <row r="11517" ht="15.75" hidden="1" customHeight="1"/>
    <row r="11518" ht="15.75" hidden="1" customHeight="1"/>
    <row r="11519" ht="15.75" hidden="1" customHeight="1"/>
    <row r="11520" ht="15.75" hidden="1" customHeight="1"/>
    <row r="11521" ht="15.75" hidden="1" customHeight="1"/>
    <row r="11522" ht="15.75" hidden="1" customHeight="1"/>
    <row r="11523" ht="15.75" hidden="1" customHeight="1"/>
    <row r="11524" ht="15.75" hidden="1" customHeight="1"/>
    <row r="11525" ht="15.75" hidden="1" customHeight="1"/>
    <row r="11526" ht="15.75" hidden="1" customHeight="1"/>
    <row r="11527" ht="15.75" hidden="1" customHeight="1"/>
    <row r="11528" ht="15.75" hidden="1" customHeight="1"/>
    <row r="11529" ht="15.75" hidden="1" customHeight="1"/>
    <row r="11530" ht="15.75" hidden="1" customHeight="1"/>
    <row r="11531" ht="15.75" hidden="1" customHeight="1"/>
    <row r="11532" ht="15.75" hidden="1" customHeight="1"/>
    <row r="11533" ht="15.75" hidden="1" customHeight="1"/>
    <row r="11534" ht="15.75" hidden="1" customHeight="1"/>
    <row r="11535" ht="15.75" hidden="1" customHeight="1"/>
    <row r="11536" ht="15.75" hidden="1" customHeight="1"/>
    <row r="11537" ht="15.75" hidden="1" customHeight="1"/>
    <row r="11538" ht="15.75" hidden="1" customHeight="1"/>
    <row r="11539" ht="15.75" hidden="1" customHeight="1"/>
    <row r="11540" ht="15.75" hidden="1" customHeight="1"/>
    <row r="11541" ht="15.75" hidden="1" customHeight="1"/>
    <row r="11542" ht="15.75" hidden="1" customHeight="1"/>
    <row r="11543" ht="15.75" hidden="1" customHeight="1"/>
    <row r="11544" ht="15.75" hidden="1" customHeight="1"/>
    <row r="11545" ht="15.75" hidden="1" customHeight="1"/>
    <row r="11546" ht="15.75" hidden="1" customHeight="1"/>
    <row r="11547" ht="15.75" hidden="1" customHeight="1"/>
    <row r="11548" ht="15.75" hidden="1" customHeight="1"/>
    <row r="11549" ht="15.75" hidden="1" customHeight="1"/>
    <row r="11550" ht="15.75" hidden="1" customHeight="1"/>
    <row r="11551" ht="15.75" hidden="1" customHeight="1"/>
    <row r="11552" ht="15.75" hidden="1" customHeight="1"/>
    <row r="11553" ht="15.75" hidden="1" customHeight="1"/>
    <row r="11554" ht="15.75" hidden="1" customHeight="1"/>
    <row r="11555" ht="15.75" hidden="1" customHeight="1"/>
    <row r="11556" ht="15.75" hidden="1" customHeight="1"/>
    <row r="11557" ht="15.75" hidden="1" customHeight="1"/>
    <row r="11558" ht="15.75" hidden="1" customHeight="1"/>
    <row r="11559" ht="15.75" hidden="1" customHeight="1"/>
    <row r="11560" ht="15.75" hidden="1" customHeight="1"/>
    <row r="11561" ht="15.75" hidden="1" customHeight="1"/>
    <row r="11562" ht="15.75" hidden="1" customHeight="1"/>
    <row r="11563" ht="15.75" hidden="1" customHeight="1"/>
    <row r="11564" ht="15.75" hidden="1" customHeight="1"/>
    <row r="11565" ht="15.75" hidden="1" customHeight="1"/>
    <row r="11566" ht="15.75" hidden="1" customHeight="1"/>
    <row r="11567" ht="15.75" hidden="1" customHeight="1"/>
    <row r="11568" ht="15.75" hidden="1" customHeight="1"/>
    <row r="11569" ht="15.75" hidden="1" customHeight="1"/>
    <row r="11570" ht="15.75" hidden="1" customHeight="1"/>
    <row r="11571" ht="15.75" hidden="1" customHeight="1"/>
    <row r="11572" ht="15.75" hidden="1" customHeight="1"/>
    <row r="11573" ht="15.75" hidden="1" customHeight="1"/>
    <row r="11574" ht="15.75" hidden="1" customHeight="1"/>
    <row r="11575" ht="15.75" hidden="1" customHeight="1"/>
    <row r="11576" ht="15.75" hidden="1" customHeight="1"/>
    <row r="11577" ht="15.75" hidden="1" customHeight="1"/>
    <row r="11578" ht="15.75" hidden="1" customHeight="1"/>
    <row r="11579" ht="15.75" hidden="1" customHeight="1"/>
    <row r="11580" ht="15.75" hidden="1" customHeight="1"/>
    <row r="11581" ht="15.75" hidden="1" customHeight="1"/>
    <row r="11582" ht="15.75" hidden="1" customHeight="1"/>
    <row r="11583" ht="15.75" hidden="1" customHeight="1"/>
    <row r="11584" ht="15.75" hidden="1" customHeight="1"/>
    <row r="11585" ht="15.75" hidden="1" customHeight="1"/>
    <row r="11586" ht="15.75" hidden="1" customHeight="1"/>
    <row r="11587" ht="15.75" hidden="1" customHeight="1"/>
    <row r="11588" ht="15.75" hidden="1" customHeight="1"/>
    <row r="11589" ht="15.75" hidden="1" customHeight="1"/>
    <row r="11590" ht="15.75" hidden="1" customHeight="1"/>
    <row r="11591" ht="15.75" hidden="1" customHeight="1"/>
    <row r="11592" ht="15.75" hidden="1" customHeight="1"/>
    <row r="11593" ht="15.75" hidden="1" customHeight="1"/>
    <row r="11594" ht="15.75" hidden="1" customHeight="1"/>
    <row r="11595" ht="15.75" hidden="1" customHeight="1"/>
    <row r="11596" ht="15.75" hidden="1" customHeight="1"/>
    <row r="11597" ht="15.75" hidden="1" customHeight="1"/>
    <row r="11598" ht="15.75" hidden="1" customHeight="1"/>
    <row r="11599" ht="15.75" hidden="1" customHeight="1"/>
    <row r="11600" ht="15.75" hidden="1" customHeight="1"/>
    <row r="11601" ht="15.75" hidden="1" customHeight="1"/>
    <row r="11602" ht="15.75" hidden="1" customHeight="1"/>
    <row r="11603" ht="15.75" hidden="1" customHeight="1"/>
    <row r="11604" ht="15.75" hidden="1" customHeight="1"/>
    <row r="11605" ht="15.75" hidden="1" customHeight="1"/>
    <row r="11606" ht="15.75" hidden="1" customHeight="1"/>
    <row r="11607" ht="15.75" hidden="1" customHeight="1"/>
    <row r="11608" ht="15.75" hidden="1" customHeight="1"/>
    <row r="11609" ht="15.75" hidden="1" customHeight="1"/>
    <row r="11610" ht="15.75" hidden="1" customHeight="1"/>
    <row r="11611" ht="15.75" hidden="1" customHeight="1"/>
    <row r="11612" ht="15.75" hidden="1" customHeight="1"/>
    <row r="11613" ht="15.75" hidden="1" customHeight="1"/>
    <row r="11614" ht="15.75" hidden="1" customHeight="1"/>
    <row r="11615" ht="15.75" hidden="1" customHeight="1"/>
    <row r="11616" ht="15.75" hidden="1" customHeight="1"/>
    <row r="11617" ht="15.75" hidden="1" customHeight="1"/>
    <row r="11618" ht="15.75" hidden="1" customHeight="1"/>
    <row r="11619" ht="15.75" hidden="1" customHeight="1"/>
    <row r="11620" ht="15.75" hidden="1" customHeight="1"/>
    <row r="11621" ht="15.75" hidden="1" customHeight="1"/>
    <row r="11622" ht="15.75" hidden="1" customHeight="1"/>
    <row r="11623" ht="15.75" hidden="1" customHeight="1"/>
    <row r="11624" ht="15.75" hidden="1" customHeight="1"/>
    <row r="11625" ht="15.75" hidden="1" customHeight="1"/>
    <row r="11626" ht="15.75" hidden="1" customHeight="1"/>
    <row r="11627" ht="15.75" hidden="1" customHeight="1"/>
    <row r="11628" ht="15.75" hidden="1" customHeight="1"/>
    <row r="11629" ht="15.75" hidden="1" customHeight="1"/>
    <row r="11630" ht="15.75" hidden="1" customHeight="1"/>
    <row r="11631" ht="15.75" hidden="1" customHeight="1"/>
    <row r="11632" ht="15.75" hidden="1" customHeight="1"/>
    <row r="11633" ht="15.75" hidden="1" customHeight="1"/>
    <row r="11634" ht="15.75" hidden="1" customHeight="1"/>
    <row r="11635" ht="15.75" hidden="1" customHeight="1"/>
    <row r="11636" ht="15.75" hidden="1" customHeight="1"/>
    <row r="11637" ht="15.75" hidden="1" customHeight="1"/>
    <row r="11638" ht="15.75" hidden="1" customHeight="1"/>
    <row r="11639" ht="15.75" hidden="1" customHeight="1"/>
    <row r="11640" ht="15.75" hidden="1" customHeight="1"/>
    <row r="11641" ht="15.75" hidden="1" customHeight="1"/>
    <row r="11642" ht="15.75" hidden="1" customHeight="1"/>
    <row r="11643" ht="15.75" hidden="1" customHeight="1"/>
    <row r="11644" ht="15.75" hidden="1" customHeight="1"/>
    <row r="11645" ht="15.75" hidden="1" customHeight="1"/>
    <row r="11646" ht="15.75" hidden="1" customHeight="1"/>
    <row r="11647" ht="15.75" hidden="1" customHeight="1"/>
    <row r="11648" ht="15.75" hidden="1" customHeight="1"/>
    <row r="11649" ht="15.75" hidden="1" customHeight="1"/>
    <row r="11650" ht="15.75" hidden="1" customHeight="1"/>
    <row r="11651" ht="15.75" hidden="1" customHeight="1"/>
    <row r="11652" ht="15.75" hidden="1" customHeight="1"/>
    <row r="11653" ht="15.75" hidden="1" customHeight="1"/>
    <row r="11654" ht="15.75" hidden="1" customHeight="1"/>
    <row r="11655" ht="15.75" hidden="1" customHeight="1"/>
    <row r="11656" ht="15.75" hidden="1" customHeight="1"/>
    <row r="11657" ht="15.75" hidden="1" customHeight="1"/>
    <row r="11658" ht="15.75" hidden="1" customHeight="1"/>
    <row r="11659" ht="15.75" hidden="1" customHeight="1"/>
    <row r="11660" ht="15.75" hidden="1" customHeight="1"/>
    <row r="11661" ht="15.75" hidden="1" customHeight="1"/>
    <row r="11662" ht="15.75" hidden="1" customHeight="1"/>
    <row r="11663" ht="15.75" hidden="1" customHeight="1"/>
    <row r="11664" ht="15.75" hidden="1" customHeight="1"/>
    <row r="11665" ht="15.75" hidden="1" customHeight="1"/>
    <row r="11666" ht="15.75" hidden="1" customHeight="1"/>
    <row r="11667" ht="15.75" hidden="1" customHeight="1"/>
    <row r="11668" ht="15.75" hidden="1" customHeight="1"/>
    <row r="11669" ht="15.75" hidden="1" customHeight="1"/>
    <row r="11670" ht="15.75" hidden="1" customHeight="1"/>
    <row r="11671" ht="15.75" hidden="1" customHeight="1"/>
    <row r="11672" ht="15.75" hidden="1" customHeight="1"/>
    <row r="11673" ht="15.75" hidden="1" customHeight="1"/>
    <row r="11674" ht="15.75" hidden="1" customHeight="1"/>
    <row r="11675" ht="15.75" hidden="1" customHeight="1"/>
    <row r="11676" ht="15.75" hidden="1" customHeight="1"/>
    <row r="11677" ht="15.75" hidden="1" customHeight="1"/>
    <row r="11678" ht="15.75" hidden="1" customHeight="1"/>
    <row r="11679" ht="15.75" hidden="1" customHeight="1"/>
    <row r="11680" ht="15.75" hidden="1" customHeight="1"/>
    <row r="11681" ht="15.75" hidden="1" customHeight="1"/>
    <row r="11682" ht="15.75" hidden="1" customHeight="1"/>
    <row r="11683" ht="15.75" hidden="1" customHeight="1"/>
    <row r="11684" ht="15.75" hidden="1" customHeight="1"/>
    <row r="11685" ht="15.75" hidden="1" customHeight="1"/>
    <row r="11686" ht="15.75" hidden="1" customHeight="1"/>
    <row r="11687" ht="15.75" hidden="1" customHeight="1"/>
    <row r="11688" ht="15.75" hidden="1" customHeight="1"/>
    <row r="11689" ht="15.75" hidden="1" customHeight="1"/>
    <row r="11690" ht="15.75" hidden="1" customHeight="1"/>
    <row r="11691" ht="15.75" hidden="1" customHeight="1"/>
    <row r="11692" ht="15.75" hidden="1" customHeight="1"/>
    <row r="11693" ht="15.75" hidden="1" customHeight="1"/>
    <row r="11694" ht="15.75" hidden="1" customHeight="1"/>
    <row r="11695" ht="15.75" hidden="1" customHeight="1"/>
    <row r="11696" ht="15.75" hidden="1" customHeight="1"/>
    <row r="11697" ht="15.75" hidden="1" customHeight="1"/>
    <row r="11698" ht="15.75" hidden="1" customHeight="1"/>
    <row r="11699" ht="15.75" hidden="1" customHeight="1"/>
    <row r="11700" ht="15.75" hidden="1" customHeight="1"/>
    <row r="11701" ht="15.75" hidden="1" customHeight="1"/>
    <row r="11702" ht="15.75" hidden="1" customHeight="1"/>
    <row r="11703" ht="15.75" hidden="1" customHeight="1"/>
    <row r="11704" ht="15.75" hidden="1" customHeight="1"/>
    <row r="11705" ht="15.75" hidden="1" customHeight="1"/>
    <row r="11706" ht="15.75" hidden="1" customHeight="1"/>
    <row r="11707" ht="15.75" hidden="1" customHeight="1"/>
    <row r="11708" ht="15.75" hidden="1" customHeight="1"/>
    <row r="11709" ht="15.75" hidden="1" customHeight="1"/>
    <row r="11710" ht="15.75" hidden="1" customHeight="1"/>
    <row r="11711" ht="15.75" hidden="1" customHeight="1"/>
    <row r="11712" ht="15.75" hidden="1" customHeight="1"/>
    <row r="11713" ht="15.75" hidden="1" customHeight="1"/>
    <row r="11714" ht="15.75" hidden="1" customHeight="1"/>
    <row r="11715" ht="15.75" hidden="1" customHeight="1"/>
    <row r="11716" ht="15.75" hidden="1" customHeight="1"/>
    <row r="11717" ht="15.75" hidden="1" customHeight="1"/>
    <row r="11718" ht="15.75" hidden="1" customHeight="1"/>
    <row r="11719" ht="15.75" hidden="1" customHeight="1"/>
    <row r="11720" ht="15.75" hidden="1" customHeight="1"/>
    <row r="11721" ht="15.75" hidden="1" customHeight="1"/>
    <row r="11722" ht="15.75" hidden="1" customHeight="1"/>
    <row r="11723" ht="15.75" hidden="1" customHeight="1"/>
    <row r="11724" ht="15.75" hidden="1" customHeight="1"/>
    <row r="11725" ht="15.75" hidden="1" customHeight="1"/>
    <row r="11726" ht="15.75" hidden="1" customHeight="1"/>
    <row r="11727" ht="15.75" hidden="1" customHeight="1"/>
    <row r="11728" ht="15.75" hidden="1" customHeight="1"/>
    <row r="11729" ht="15.75" hidden="1" customHeight="1"/>
    <row r="11730" ht="15.75" hidden="1" customHeight="1"/>
    <row r="11731" ht="15.75" hidden="1" customHeight="1"/>
    <row r="11732" ht="15.75" hidden="1" customHeight="1"/>
    <row r="11733" ht="15.75" hidden="1" customHeight="1"/>
    <row r="11734" ht="15.75" hidden="1" customHeight="1"/>
    <row r="11735" ht="15.75" hidden="1" customHeight="1"/>
    <row r="11736" ht="15.75" hidden="1" customHeight="1"/>
    <row r="11737" ht="15.75" hidden="1" customHeight="1"/>
    <row r="11738" ht="15.75" hidden="1" customHeight="1"/>
    <row r="11739" ht="15.75" hidden="1" customHeight="1"/>
    <row r="11740" ht="15.75" hidden="1" customHeight="1"/>
    <row r="11741" ht="15.75" hidden="1" customHeight="1"/>
    <row r="11742" ht="15.75" hidden="1" customHeight="1"/>
    <row r="11743" ht="15.75" hidden="1" customHeight="1"/>
    <row r="11744" ht="15.75" hidden="1" customHeight="1"/>
    <row r="11745" ht="15.75" hidden="1" customHeight="1"/>
    <row r="11746" ht="15.75" hidden="1" customHeight="1"/>
    <row r="11747" ht="15.75" hidden="1" customHeight="1"/>
    <row r="11748" ht="15.75" hidden="1" customHeight="1"/>
    <row r="11749" ht="15.75" hidden="1" customHeight="1"/>
    <row r="11750" ht="15.75" hidden="1" customHeight="1"/>
    <row r="11751" ht="15.75" hidden="1" customHeight="1"/>
    <row r="11752" ht="15.75" hidden="1" customHeight="1"/>
    <row r="11753" ht="15.75" hidden="1" customHeight="1"/>
    <row r="11754" ht="15.75" hidden="1" customHeight="1"/>
    <row r="11755" ht="15.75" hidden="1" customHeight="1"/>
    <row r="11756" ht="15.75" hidden="1" customHeight="1"/>
    <row r="11757" ht="15.75" hidden="1" customHeight="1"/>
    <row r="11758" ht="15.75" hidden="1" customHeight="1"/>
    <row r="11759" ht="15.75" hidden="1" customHeight="1"/>
    <row r="11760" ht="15.75" hidden="1" customHeight="1"/>
    <row r="11761" ht="15.75" hidden="1" customHeight="1"/>
    <row r="11762" ht="15.75" hidden="1" customHeight="1"/>
    <row r="11763" ht="15.75" hidden="1" customHeight="1"/>
    <row r="11764" ht="15.75" hidden="1" customHeight="1"/>
    <row r="11765" ht="15.75" hidden="1" customHeight="1"/>
    <row r="11766" ht="15.75" hidden="1" customHeight="1"/>
    <row r="11767" ht="15.75" hidden="1" customHeight="1"/>
    <row r="11768" ht="15.75" hidden="1" customHeight="1"/>
    <row r="11769" ht="15.75" hidden="1" customHeight="1"/>
    <row r="11770" ht="15.75" hidden="1" customHeight="1"/>
    <row r="11771" ht="15.75" hidden="1" customHeight="1"/>
    <row r="11772" ht="15.75" hidden="1" customHeight="1"/>
    <row r="11773" ht="15.75" hidden="1" customHeight="1"/>
    <row r="11774" ht="15.75" hidden="1" customHeight="1"/>
    <row r="11775" ht="15.75" hidden="1" customHeight="1"/>
    <row r="11776" ht="15.75" hidden="1" customHeight="1"/>
    <row r="11777" ht="15.75" hidden="1" customHeight="1"/>
    <row r="11778" ht="15.75" hidden="1" customHeight="1"/>
    <row r="11779" ht="15.75" hidden="1" customHeight="1"/>
    <row r="11780" ht="15.75" hidden="1" customHeight="1"/>
    <row r="11781" ht="15.75" hidden="1" customHeight="1"/>
    <row r="11782" ht="15.75" hidden="1" customHeight="1"/>
    <row r="11783" ht="15.75" hidden="1" customHeight="1"/>
    <row r="11784" ht="15.75" hidden="1" customHeight="1"/>
    <row r="11785" ht="15.75" hidden="1" customHeight="1"/>
    <row r="11786" ht="15.75" hidden="1" customHeight="1"/>
    <row r="11787" ht="15.75" hidden="1" customHeight="1"/>
    <row r="11788" ht="15.75" hidden="1" customHeight="1"/>
    <row r="11789" ht="15.75" hidden="1" customHeight="1"/>
    <row r="11790" ht="15.75" hidden="1" customHeight="1"/>
    <row r="11791" ht="15.75" hidden="1" customHeight="1"/>
    <row r="11792" ht="15.75" hidden="1" customHeight="1"/>
    <row r="11793" ht="15.75" hidden="1" customHeight="1"/>
    <row r="11794" ht="15.75" hidden="1" customHeight="1"/>
    <row r="11795" ht="15.75" hidden="1" customHeight="1"/>
    <row r="11796" ht="15.75" hidden="1" customHeight="1"/>
    <row r="11797" ht="15.75" hidden="1" customHeight="1"/>
    <row r="11798" ht="15.75" hidden="1" customHeight="1"/>
    <row r="11799" ht="15.75" hidden="1" customHeight="1"/>
    <row r="11800" ht="15.75" hidden="1" customHeight="1"/>
    <row r="11801" ht="15.75" hidden="1" customHeight="1"/>
    <row r="11802" ht="15.75" hidden="1" customHeight="1"/>
    <row r="11803" ht="15.75" hidden="1" customHeight="1"/>
    <row r="11804" ht="15.75" hidden="1" customHeight="1"/>
    <row r="11805" ht="15.75" hidden="1" customHeight="1"/>
    <row r="11806" ht="15.75" hidden="1" customHeight="1"/>
    <row r="11807" ht="15.75" hidden="1" customHeight="1"/>
    <row r="11808" ht="15.75" hidden="1" customHeight="1"/>
    <row r="11809" ht="15.75" hidden="1" customHeight="1"/>
    <row r="11810" ht="15.75" hidden="1" customHeight="1"/>
    <row r="11811" ht="15.75" hidden="1" customHeight="1"/>
    <row r="11812" ht="15.75" hidden="1" customHeight="1"/>
    <row r="11813" ht="15.75" hidden="1" customHeight="1"/>
    <row r="11814" ht="15.75" hidden="1" customHeight="1"/>
    <row r="11815" ht="15.75" hidden="1" customHeight="1"/>
    <row r="11816" ht="15.75" hidden="1" customHeight="1"/>
    <row r="11817" ht="15.75" hidden="1" customHeight="1"/>
    <row r="11818" ht="15.75" hidden="1" customHeight="1"/>
    <row r="11819" ht="15.75" hidden="1" customHeight="1"/>
    <row r="11820" ht="15.75" hidden="1" customHeight="1"/>
    <row r="11821" ht="15.75" hidden="1" customHeight="1"/>
    <row r="11822" ht="15.75" hidden="1" customHeight="1"/>
    <row r="11823" ht="15.75" hidden="1" customHeight="1"/>
    <row r="11824" ht="15.75" hidden="1" customHeight="1"/>
    <row r="11825" ht="15.75" hidden="1" customHeight="1"/>
    <row r="11826" ht="15.75" hidden="1" customHeight="1"/>
    <row r="11827" ht="15.75" hidden="1" customHeight="1"/>
    <row r="11828" ht="15.75" hidden="1" customHeight="1"/>
    <row r="11829" ht="15.75" hidden="1" customHeight="1"/>
    <row r="11830" ht="15.75" hidden="1" customHeight="1"/>
    <row r="11831" ht="15.75" hidden="1" customHeight="1"/>
    <row r="11832" ht="15.75" hidden="1" customHeight="1"/>
    <row r="11833" ht="15.75" hidden="1" customHeight="1"/>
    <row r="11834" ht="15.75" hidden="1" customHeight="1"/>
    <row r="11835" ht="15.75" hidden="1" customHeight="1"/>
    <row r="11836" ht="15.75" hidden="1" customHeight="1"/>
    <row r="11837" ht="15.75" hidden="1" customHeight="1"/>
    <row r="11838" ht="15.75" hidden="1" customHeight="1"/>
    <row r="11839" ht="15.75" hidden="1" customHeight="1"/>
    <row r="11840" ht="15.75" hidden="1" customHeight="1"/>
    <row r="11841" ht="15.75" hidden="1" customHeight="1"/>
    <row r="11842" ht="15.75" hidden="1" customHeight="1"/>
    <row r="11843" ht="15.75" hidden="1" customHeight="1"/>
    <row r="11844" ht="15.75" hidden="1" customHeight="1"/>
    <row r="11845" ht="15.75" hidden="1" customHeight="1"/>
    <row r="11846" ht="15.75" hidden="1" customHeight="1"/>
    <row r="11847" ht="15.75" hidden="1" customHeight="1"/>
    <row r="11848" ht="15.75" hidden="1" customHeight="1"/>
    <row r="11849" ht="15.75" hidden="1" customHeight="1"/>
    <row r="11850" ht="15.75" hidden="1" customHeight="1"/>
    <row r="11851" ht="15.75" hidden="1" customHeight="1"/>
    <row r="11852" ht="15.75" hidden="1" customHeight="1"/>
    <row r="11853" ht="15.75" hidden="1" customHeight="1"/>
    <row r="11854" ht="15.75" hidden="1" customHeight="1"/>
    <row r="11855" ht="15.75" hidden="1" customHeight="1"/>
    <row r="11856" ht="15.75" hidden="1" customHeight="1"/>
    <row r="11857" ht="15.75" hidden="1" customHeight="1"/>
    <row r="11858" ht="15.75" hidden="1" customHeight="1"/>
    <row r="11859" ht="15.75" hidden="1" customHeight="1"/>
    <row r="11860" ht="15.75" hidden="1" customHeight="1"/>
    <row r="11861" ht="15.75" hidden="1" customHeight="1"/>
    <row r="11862" ht="15.75" hidden="1" customHeight="1"/>
    <row r="11863" ht="15.75" hidden="1" customHeight="1"/>
    <row r="11864" ht="15.75" hidden="1" customHeight="1"/>
    <row r="11865" ht="15.75" hidden="1" customHeight="1"/>
    <row r="11866" ht="15.75" hidden="1" customHeight="1"/>
    <row r="11867" ht="15.75" hidden="1" customHeight="1"/>
    <row r="11868" ht="15.75" hidden="1" customHeight="1"/>
    <row r="11869" ht="15.75" hidden="1" customHeight="1"/>
    <row r="11870" ht="15.75" hidden="1" customHeight="1"/>
    <row r="11871" ht="15.75" hidden="1" customHeight="1"/>
    <row r="11872" ht="15.75" hidden="1" customHeight="1"/>
    <row r="11873" ht="15.75" hidden="1" customHeight="1"/>
    <row r="11874" ht="15.75" hidden="1" customHeight="1"/>
    <row r="11875" ht="15.75" hidden="1" customHeight="1"/>
    <row r="11876" ht="15.75" hidden="1" customHeight="1"/>
    <row r="11877" ht="15.75" hidden="1" customHeight="1"/>
    <row r="11878" ht="15.75" hidden="1" customHeight="1"/>
    <row r="11879" ht="15.75" hidden="1" customHeight="1"/>
    <row r="11880" ht="15.75" hidden="1" customHeight="1"/>
    <row r="11881" ht="15.75" hidden="1" customHeight="1"/>
    <row r="11882" ht="15.75" hidden="1" customHeight="1"/>
    <row r="11883" ht="15.75" hidden="1" customHeight="1"/>
    <row r="11884" ht="15.75" hidden="1" customHeight="1"/>
    <row r="11885" ht="15.75" hidden="1" customHeight="1"/>
    <row r="11886" ht="15.75" hidden="1" customHeight="1"/>
    <row r="11887" ht="15.75" hidden="1" customHeight="1"/>
    <row r="11888" ht="15.75" hidden="1" customHeight="1"/>
    <row r="11889" ht="15.75" hidden="1" customHeight="1"/>
    <row r="11890" ht="15.75" hidden="1" customHeight="1"/>
    <row r="11891" ht="15.75" hidden="1" customHeight="1"/>
    <row r="11892" ht="15.75" hidden="1" customHeight="1"/>
    <row r="11893" ht="15.75" hidden="1" customHeight="1"/>
    <row r="11894" ht="15.75" hidden="1" customHeight="1"/>
    <row r="11895" ht="15.75" hidden="1" customHeight="1"/>
    <row r="11896" ht="15.75" hidden="1" customHeight="1"/>
    <row r="11897" ht="15.75" hidden="1" customHeight="1"/>
    <row r="11898" ht="15.75" hidden="1" customHeight="1"/>
    <row r="11899" ht="15.75" hidden="1" customHeight="1"/>
    <row r="11900" ht="15.75" hidden="1" customHeight="1"/>
    <row r="11901" ht="15.75" hidden="1" customHeight="1"/>
    <row r="11902" ht="15.75" hidden="1" customHeight="1"/>
    <row r="11903" ht="15.75" hidden="1" customHeight="1"/>
    <row r="11904" ht="15.75" hidden="1" customHeight="1"/>
    <row r="11905" ht="15.75" hidden="1" customHeight="1"/>
    <row r="11906" ht="15.75" hidden="1" customHeight="1"/>
    <row r="11907" ht="15.75" hidden="1" customHeight="1"/>
    <row r="11908" ht="15.75" hidden="1" customHeight="1"/>
    <row r="11909" ht="15.75" hidden="1" customHeight="1"/>
    <row r="11910" ht="15.75" hidden="1" customHeight="1"/>
    <row r="11911" ht="15.75" hidden="1" customHeight="1"/>
    <row r="11912" ht="15.75" hidden="1" customHeight="1"/>
    <row r="11913" ht="15.75" hidden="1" customHeight="1"/>
    <row r="11914" ht="15.75" hidden="1" customHeight="1"/>
    <row r="11915" ht="15.75" hidden="1" customHeight="1"/>
    <row r="11916" ht="15.75" hidden="1" customHeight="1"/>
    <row r="11917" ht="15.75" hidden="1" customHeight="1"/>
    <row r="11918" ht="15.75" hidden="1" customHeight="1"/>
    <row r="11919" ht="15.75" hidden="1" customHeight="1"/>
    <row r="11920" ht="15.75" hidden="1" customHeight="1"/>
    <row r="11921" ht="15.75" hidden="1" customHeight="1"/>
    <row r="11922" ht="15.75" hidden="1" customHeight="1"/>
    <row r="11923" ht="15.75" hidden="1" customHeight="1"/>
    <row r="11924" ht="15.75" hidden="1" customHeight="1"/>
    <row r="11925" ht="15.75" hidden="1" customHeight="1"/>
    <row r="11926" ht="15.75" hidden="1" customHeight="1"/>
    <row r="11927" ht="15.75" hidden="1" customHeight="1"/>
    <row r="11928" ht="15.75" hidden="1" customHeight="1"/>
    <row r="11929" ht="15.75" hidden="1" customHeight="1"/>
    <row r="11930" ht="15.75" hidden="1" customHeight="1"/>
    <row r="11931" ht="15.75" hidden="1" customHeight="1"/>
    <row r="11932" ht="15.75" hidden="1" customHeight="1"/>
    <row r="11933" ht="15.75" hidden="1" customHeight="1"/>
    <row r="11934" ht="15.75" hidden="1" customHeight="1"/>
    <row r="11935" ht="15.75" hidden="1" customHeight="1"/>
    <row r="11936" ht="15.75" hidden="1" customHeight="1"/>
    <row r="11937" ht="15.75" hidden="1" customHeight="1"/>
    <row r="11938" ht="15.75" hidden="1" customHeight="1"/>
    <row r="11939" ht="15.75" hidden="1" customHeight="1"/>
    <row r="11940" ht="15.75" hidden="1" customHeight="1"/>
    <row r="11941" ht="15.75" hidden="1" customHeight="1"/>
    <row r="11942" ht="15.75" hidden="1" customHeight="1"/>
    <row r="11943" ht="15.75" hidden="1" customHeight="1"/>
    <row r="11944" ht="15.75" hidden="1" customHeight="1"/>
    <row r="11945" ht="15.75" hidden="1" customHeight="1"/>
    <row r="11946" ht="15.75" hidden="1" customHeight="1"/>
    <row r="11947" ht="15.75" hidden="1" customHeight="1"/>
    <row r="11948" ht="15.75" hidden="1" customHeight="1"/>
    <row r="11949" ht="15.75" hidden="1" customHeight="1"/>
    <row r="11950" ht="15.75" hidden="1" customHeight="1"/>
    <row r="11951" ht="15.75" hidden="1" customHeight="1"/>
    <row r="11952" ht="15.75" hidden="1" customHeight="1"/>
    <row r="11953" ht="15.75" hidden="1" customHeight="1"/>
    <row r="11954" ht="15.75" hidden="1" customHeight="1"/>
    <row r="11955" ht="15.75" hidden="1" customHeight="1"/>
    <row r="11956" ht="15.75" hidden="1" customHeight="1"/>
    <row r="11957" ht="15.75" hidden="1" customHeight="1"/>
    <row r="11958" ht="15.75" hidden="1" customHeight="1"/>
    <row r="11959" ht="15.75" hidden="1" customHeight="1"/>
    <row r="11960" ht="15.75" hidden="1" customHeight="1"/>
    <row r="11961" ht="15.75" hidden="1" customHeight="1"/>
    <row r="11962" ht="15.75" hidden="1" customHeight="1"/>
    <row r="11963" ht="15.75" hidden="1" customHeight="1"/>
    <row r="11964" ht="15.75" hidden="1" customHeight="1"/>
    <row r="11965" ht="15.75" hidden="1" customHeight="1"/>
    <row r="11966" ht="15.75" hidden="1" customHeight="1"/>
    <row r="11967" ht="15.75" hidden="1" customHeight="1"/>
    <row r="11968" ht="15.75" hidden="1" customHeight="1"/>
    <row r="11969" ht="15.75" hidden="1" customHeight="1"/>
    <row r="11970" ht="15.75" hidden="1" customHeight="1"/>
    <row r="11971" ht="15.75" hidden="1" customHeight="1"/>
    <row r="11972" ht="15.75" hidden="1" customHeight="1"/>
    <row r="11973" ht="15.75" hidden="1" customHeight="1"/>
    <row r="11974" ht="15.75" hidden="1" customHeight="1"/>
    <row r="11975" ht="15.75" hidden="1" customHeight="1"/>
    <row r="11976" ht="15.75" hidden="1" customHeight="1"/>
    <row r="11977" ht="15.75" hidden="1" customHeight="1"/>
    <row r="11978" ht="15.75" hidden="1" customHeight="1"/>
    <row r="11979" ht="15.75" hidden="1" customHeight="1"/>
    <row r="11980" ht="15.75" hidden="1" customHeight="1"/>
    <row r="11981" ht="15.75" hidden="1" customHeight="1"/>
    <row r="11982" ht="15.75" hidden="1" customHeight="1"/>
    <row r="11983" ht="15.75" hidden="1" customHeight="1"/>
    <row r="11984" ht="15.75" hidden="1" customHeight="1"/>
    <row r="11985" ht="15.75" hidden="1" customHeight="1"/>
    <row r="11986" ht="15.75" hidden="1" customHeight="1"/>
    <row r="11987" ht="15.75" hidden="1" customHeight="1"/>
    <row r="11988" ht="15.75" hidden="1" customHeight="1"/>
    <row r="11989" ht="15.75" hidden="1" customHeight="1"/>
    <row r="11990" ht="15.75" hidden="1" customHeight="1"/>
    <row r="11991" ht="15.75" hidden="1" customHeight="1"/>
    <row r="11992" ht="15.75" hidden="1" customHeight="1"/>
    <row r="11993" ht="15.75" hidden="1" customHeight="1"/>
    <row r="11994" ht="15.75" hidden="1" customHeight="1"/>
    <row r="11995" ht="15.75" hidden="1" customHeight="1"/>
    <row r="11996" ht="15.75" hidden="1" customHeight="1"/>
    <row r="11997" ht="15.75" hidden="1" customHeight="1"/>
    <row r="11998" ht="15.75" hidden="1" customHeight="1"/>
    <row r="11999" ht="15.75" hidden="1" customHeight="1"/>
    <row r="12000" ht="15.75" hidden="1" customHeight="1"/>
    <row r="12001" ht="15.75" hidden="1" customHeight="1"/>
    <row r="12002" ht="15.75" hidden="1" customHeight="1"/>
    <row r="12003" ht="15.75" hidden="1" customHeight="1"/>
    <row r="12004" ht="15.75" hidden="1" customHeight="1"/>
    <row r="12005" ht="15.75" hidden="1" customHeight="1"/>
    <row r="12006" ht="15.75" hidden="1" customHeight="1"/>
    <row r="12007" ht="15.75" hidden="1" customHeight="1"/>
    <row r="12008" ht="15.75" hidden="1" customHeight="1"/>
    <row r="12009" ht="15.75" hidden="1" customHeight="1"/>
    <row r="12010" ht="15.75" hidden="1" customHeight="1"/>
    <row r="12011" ht="15.75" hidden="1" customHeight="1"/>
    <row r="12012" ht="15.75" hidden="1" customHeight="1"/>
    <row r="12013" ht="15.75" hidden="1" customHeight="1"/>
    <row r="12014" ht="15.75" hidden="1" customHeight="1"/>
    <row r="12015" ht="15.75" hidden="1" customHeight="1"/>
    <row r="12016" ht="15.75" hidden="1" customHeight="1"/>
    <row r="12017" ht="15.75" hidden="1" customHeight="1"/>
    <row r="12018" ht="15.75" hidden="1" customHeight="1"/>
    <row r="12019" ht="15.75" hidden="1" customHeight="1"/>
    <row r="12020" ht="15.75" hidden="1" customHeight="1"/>
    <row r="12021" ht="15.75" hidden="1" customHeight="1"/>
    <row r="12022" ht="15.75" hidden="1" customHeight="1"/>
    <row r="12023" ht="15.75" hidden="1" customHeight="1"/>
    <row r="12024" ht="15.75" hidden="1" customHeight="1"/>
    <row r="12025" ht="15.75" hidden="1" customHeight="1"/>
    <row r="12026" ht="15.75" hidden="1" customHeight="1"/>
    <row r="12027" ht="15.75" hidden="1" customHeight="1"/>
    <row r="12028" ht="15.75" hidden="1" customHeight="1"/>
    <row r="12029" ht="15.75" hidden="1" customHeight="1"/>
    <row r="12030" ht="15.75" hidden="1" customHeight="1"/>
    <row r="12031" ht="15.75" hidden="1" customHeight="1"/>
    <row r="12032" ht="15.75" hidden="1" customHeight="1"/>
    <row r="12033" ht="15.75" hidden="1" customHeight="1"/>
    <row r="12034" ht="15.75" hidden="1" customHeight="1"/>
    <row r="12035" ht="15.75" hidden="1" customHeight="1"/>
    <row r="12036" ht="15.75" hidden="1" customHeight="1"/>
    <row r="12037" ht="15.75" hidden="1" customHeight="1"/>
    <row r="12038" ht="15.75" hidden="1" customHeight="1"/>
    <row r="12039" ht="15.75" hidden="1" customHeight="1"/>
    <row r="12040" ht="15.75" hidden="1" customHeight="1"/>
    <row r="12041" ht="15.75" hidden="1" customHeight="1"/>
    <row r="12042" ht="15.75" hidden="1" customHeight="1"/>
    <row r="12043" ht="15.75" hidden="1" customHeight="1"/>
    <row r="12044" ht="15.75" hidden="1" customHeight="1"/>
    <row r="12045" ht="15.75" hidden="1" customHeight="1"/>
    <row r="12046" ht="15.75" hidden="1" customHeight="1"/>
    <row r="12047" ht="15.75" hidden="1" customHeight="1"/>
    <row r="12048" ht="15.75" hidden="1" customHeight="1"/>
    <row r="12049" ht="15.75" hidden="1" customHeight="1"/>
    <row r="12050" ht="15.75" hidden="1" customHeight="1"/>
    <row r="12051" ht="15.75" hidden="1" customHeight="1"/>
    <row r="12052" ht="15.75" hidden="1" customHeight="1"/>
    <row r="12053" ht="15.75" hidden="1" customHeight="1"/>
    <row r="12054" ht="15.75" hidden="1" customHeight="1"/>
    <row r="12055" ht="15.75" hidden="1" customHeight="1"/>
    <row r="12056" ht="15.75" hidden="1" customHeight="1"/>
    <row r="12057" ht="15.75" hidden="1" customHeight="1"/>
    <row r="12058" ht="15.75" hidden="1" customHeight="1"/>
    <row r="12059" ht="15.75" hidden="1" customHeight="1"/>
    <row r="12060" ht="15.75" hidden="1" customHeight="1"/>
    <row r="12061" ht="15.75" hidden="1" customHeight="1"/>
    <row r="12062" ht="15.75" hidden="1" customHeight="1"/>
    <row r="12063" ht="15.75" hidden="1" customHeight="1"/>
    <row r="12064" ht="15.75" hidden="1" customHeight="1"/>
    <row r="12065" ht="15.75" hidden="1" customHeight="1"/>
    <row r="12066" ht="15.75" hidden="1" customHeight="1"/>
    <row r="12067" ht="15.75" hidden="1" customHeight="1"/>
    <row r="12068" ht="15.75" hidden="1" customHeight="1"/>
    <row r="12069" ht="15.75" hidden="1" customHeight="1"/>
    <row r="12070" ht="15.75" hidden="1" customHeight="1"/>
    <row r="12071" ht="15.75" hidden="1" customHeight="1"/>
    <row r="12072" ht="15.75" hidden="1" customHeight="1"/>
    <row r="12073" ht="15.75" hidden="1" customHeight="1"/>
    <row r="12074" ht="15.75" hidden="1" customHeight="1"/>
    <row r="12075" ht="15.75" hidden="1" customHeight="1"/>
    <row r="12076" ht="15.75" hidden="1" customHeight="1"/>
    <row r="12077" ht="15.75" hidden="1" customHeight="1"/>
    <row r="12078" ht="15.75" hidden="1" customHeight="1"/>
    <row r="12079" ht="15.75" hidden="1" customHeight="1"/>
    <row r="12080" ht="15.75" hidden="1" customHeight="1"/>
    <row r="12081" ht="15.75" hidden="1" customHeight="1"/>
    <row r="12082" ht="15.75" hidden="1" customHeight="1"/>
    <row r="12083" ht="15.75" hidden="1" customHeight="1"/>
    <row r="12084" ht="15.75" hidden="1" customHeight="1"/>
    <row r="12085" ht="15.75" hidden="1" customHeight="1"/>
    <row r="12086" ht="15.75" hidden="1" customHeight="1"/>
    <row r="12087" ht="15.75" hidden="1" customHeight="1"/>
    <row r="12088" ht="15.75" hidden="1" customHeight="1"/>
    <row r="12089" ht="15.75" hidden="1" customHeight="1"/>
    <row r="12090" ht="15.75" hidden="1" customHeight="1"/>
    <row r="12091" ht="15.75" hidden="1" customHeight="1"/>
    <row r="12092" ht="15.75" hidden="1" customHeight="1"/>
    <row r="12093" ht="15.75" hidden="1" customHeight="1"/>
    <row r="12094" ht="15.75" hidden="1" customHeight="1"/>
    <row r="12095" ht="15.75" hidden="1" customHeight="1"/>
    <row r="12096" ht="15.75" hidden="1" customHeight="1"/>
    <row r="12097" ht="15.75" hidden="1" customHeight="1"/>
    <row r="12098" ht="15.75" hidden="1" customHeight="1"/>
    <row r="12099" ht="15.75" hidden="1" customHeight="1"/>
    <row r="12100" ht="15.75" hidden="1" customHeight="1"/>
    <row r="12101" ht="15.75" hidden="1" customHeight="1"/>
    <row r="12102" ht="15.75" hidden="1" customHeight="1"/>
    <row r="12103" ht="15.75" hidden="1" customHeight="1"/>
    <row r="12104" ht="15.75" hidden="1" customHeight="1"/>
    <row r="12105" ht="15.75" hidden="1" customHeight="1"/>
    <row r="12106" ht="15.75" hidden="1" customHeight="1"/>
    <row r="12107" ht="15.75" hidden="1" customHeight="1"/>
    <row r="12108" ht="15.75" hidden="1" customHeight="1"/>
    <row r="12109" ht="15.75" hidden="1" customHeight="1"/>
    <row r="12110" ht="15.75" hidden="1" customHeight="1"/>
    <row r="12111" ht="15.75" hidden="1" customHeight="1"/>
    <row r="12112" ht="15.75" hidden="1" customHeight="1"/>
    <row r="12113" ht="15.75" hidden="1" customHeight="1"/>
    <row r="12114" ht="15.75" hidden="1" customHeight="1"/>
    <row r="12115" ht="15.75" hidden="1" customHeight="1"/>
    <row r="12116" ht="15.75" hidden="1" customHeight="1"/>
    <row r="12117" ht="15.75" hidden="1" customHeight="1"/>
    <row r="12118" ht="15.75" hidden="1" customHeight="1"/>
    <row r="12119" ht="15.75" hidden="1" customHeight="1"/>
    <row r="12120" ht="15.75" hidden="1" customHeight="1"/>
    <row r="12121" ht="15.75" hidden="1" customHeight="1"/>
    <row r="12122" ht="15.75" hidden="1" customHeight="1"/>
    <row r="12123" ht="15.75" hidden="1" customHeight="1"/>
    <row r="12124" ht="15.75" hidden="1" customHeight="1"/>
    <row r="12125" ht="15.75" hidden="1" customHeight="1"/>
    <row r="12126" ht="15.75" hidden="1" customHeight="1"/>
    <row r="12127" ht="15.75" hidden="1" customHeight="1"/>
    <row r="12128" ht="15.75" hidden="1" customHeight="1"/>
    <row r="12129" ht="15.75" hidden="1" customHeight="1"/>
    <row r="12130" ht="15.75" hidden="1" customHeight="1"/>
    <row r="12131" ht="15.75" hidden="1" customHeight="1"/>
    <row r="12132" ht="15.75" hidden="1" customHeight="1"/>
    <row r="12133" ht="15.75" hidden="1" customHeight="1"/>
    <row r="12134" ht="15.75" hidden="1" customHeight="1"/>
    <row r="12135" ht="15.75" hidden="1" customHeight="1"/>
    <row r="12136" ht="15.75" hidden="1" customHeight="1"/>
    <row r="12137" ht="15.75" hidden="1" customHeight="1"/>
    <row r="12138" ht="15.75" hidden="1" customHeight="1"/>
    <row r="12139" ht="15.75" hidden="1" customHeight="1"/>
    <row r="12140" ht="15.75" hidden="1" customHeight="1"/>
    <row r="12141" ht="15.75" hidden="1" customHeight="1"/>
    <row r="12142" ht="15.75" hidden="1" customHeight="1"/>
    <row r="12143" ht="15.75" hidden="1" customHeight="1"/>
    <row r="12144" ht="15.75" hidden="1" customHeight="1"/>
    <row r="12145" ht="15.75" hidden="1" customHeight="1"/>
    <row r="12146" ht="15.75" hidden="1" customHeight="1"/>
    <row r="12147" ht="15.75" hidden="1" customHeight="1"/>
    <row r="12148" ht="15.75" hidden="1" customHeight="1"/>
    <row r="12149" ht="15.75" hidden="1" customHeight="1"/>
    <row r="12150" ht="15.75" hidden="1" customHeight="1"/>
    <row r="12151" ht="15.75" hidden="1" customHeight="1"/>
    <row r="12152" ht="15.75" hidden="1" customHeight="1"/>
    <row r="12153" ht="15.75" hidden="1" customHeight="1"/>
    <row r="12154" ht="15.75" hidden="1" customHeight="1"/>
    <row r="12155" ht="15.75" hidden="1" customHeight="1"/>
    <row r="12156" ht="15.75" hidden="1" customHeight="1"/>
    <row r="12157" ht="15.75" hidden="1" customHeight="1"/>
    <row r="12158" ht="15.75" hidden="1" customHeight="1"/>
    <row r="12159" ht="15.75" hidden="1" customHeight="1"/>
    <row r="12160" ht="15.75" hidden="1" customHeight="1"/>
    <row r="12161" ht="15.75" hidden="1" customHeight="1"/>
    <row r="12162" ht="15.75" hidden="1" customHeight="1"/>
    <row r="12163" ht="15.75" hidden="1" customHeight="1"/>
    <row r="12164" ht="15.75" hidden="1" customHeight="1"/>
    <row r="12165" ht="15.75" hidden="1" customHeight="1"/>
    <row r="12166" ht="15.75" hidden="1" customHeight="1"/>
    <row r="12167" ht="15.75" hidden="1" customHeight="1"/>
    <row r="12168" ht="15.75" hidden="1" customHeight="1"/>
    <row r="12169" ht="15.75" hidden="1" customHeight="1"/>
    <row r="12170" ht="15.75" hidden="1" customHeight="1"/>
    <row r="12171" ht="15.75" hidden="1" customHeight="1"/>
    <row r="12172" ht="15.75" hidden="1" customHeight="1"/>
    <row r="12173" ht="15.75" hidden="1" customHeight="1"/>
    <row r="12174" ht="15.75" hidden="1" customHeight="1"/>
    <row r="12175" ht="15.75" hidden="1" customHeight="1"/>
    <row r="12176" ht="15.75" hidden="1" customHeight="1"/>
    <row r="12177" ht="15.75" hidden="1" customHeight="1"/>
    <row r="12178" ht="15.75" hidden="1" customHeight="1"/>
    <row r="12179" ht="15.75" hidden="1" customHeight="1"/>
    <row r="12180" ht="15.75" hidden="1" customHeight="1"/>
    <row r="12181" ht="15.75" hidden="1" customHeight="1"/>
    <row r="12182" ht="15.75" hidden="1" customHeight="1"/>
    <row r="12183" ht="15.75" hidden="1" customHeight="1"/>
    <row r="12184" ht="15.75" hidden="1" customHeight="1"/>
    <row r="12185" ht="15.75" hidden="1" customHeight="1"/>
    <row r="12186" ht="15.75" hidden="1" customHeight="1"/>
    <row r="12187" ht="15.75" hidden="1" customHeight="1"/>
    <row r="12188" ht="15.75" hidden="1" customHeight="1"/>
    <row r="12189" ht="15.75" hidden="1" customHeight="1"/>
    <row r="12190" ht="15.75" hidden="1" customHeight="1"/>
    <row r="12191" ht="15.75" hidden="1" customHeight="1"/>
    <row r="12192" ht="15.75" hidden="1" customHeight="1"/>
    <row r="12193" ht="15.75" hidden="1" customHeight="1"/>
    <row r="12194" ht="15.75" hidden="1" customHeight="1"/>
    <row r="12195" ht="15.75" hidden="1" customHeight="1"/>
    <row r="12196" ht="15.75" hidden="1" customHeight="1"/>
    <row r="12197" ht="15.75" hidden="1" customHeight="1"/>
    <row r="12198" ht="15.75" hidden="1" customHeight="1"/>
    <row r="12199" ht="15.75" hidden="1" customHeight="1"/>
    <row r="12200" ht="15.75" hidden="1" customHeight="1"/>
    <row r="12201" ht="15.75" hidden="1" customHeight="1"/>
    <row r="12202" ht="15.75" hidden="1" customHeight="1"/>
    <row r="12203" ht="15.75" hidden="1" customHeight="1"/>
    <row r="12204" ht="15.75" hidden="1" customHeight="1"/>
    <row r="12205" ht="15.75" hidden="1" customHeight="1"/>
    <row r="12206" ht="15.75" hidden="1" customHeight="1"/>
    <row r="12207" ht="15.75" hidden="1" customHeight="1"/>
    <row r="12208" ht="15.75" hidden="1" customHeight="1"/>
    <row r="12209" ht="15.75" hidden="1" customHeight="1"/>
    <row r="12210" ht="15.75" hidden="1" customHeight="1"/>
    <row r="12211" ht="15.75" hidden="1" customHeight="1"/>
    <row r="12212" ht="15.75" hidden="1" customHeight="1"/>
    <row r="12213" ht="15.75" hidden="1" customHeight="1"/>
    <row r="12214" ht="15.75" hidden="1" customHeight="1"/>
    <row r="12215" ht="15.75" hidden="1" customHeight="1"/>
    <row r="12216" ht="15.75" hidden="1" customHeight="1"/>
    <row r="12217" ht="15.75" hidden="1" customHeight="1"/>
    <row r="12218" ht="15.75" hidden="1" customHeight="1"/>
    <row r="12219" ht="15.75" hidden="1" customHeight="1"/>
    <row r="12220" ht="15.75" hidden="1" customHeight="1"/>
    <row r="12221" ht="15.75" hidden="1" customHeight="1"/>
    <row r="12222" ht="15.75" hidden="1" customHeight="1"/>
    <row r="12223" ht="15.75" hidden="1" customHeight="1"/>
    <row r="12224" ht="15.75" hidden="1" customHeight="1"/>
    <row r="12225" ht="15.75" hidden="1" customHeight="1"/>
    <row r="12226" ht="15.75" hidden="1" customHeight="1"/>
    <row r="12227" ht="15.75" hidden="1" customHeight="1"/>
    <row r="12228" ht="15.75" hidden="1" customHeight="1"/>
    <row r="12229" ht="15.75" hidden="1" customHeight="1"/>
    <row r="12230" ht="15.75" hidden="1" customHeight="1"/>
    <row r="12231" ht="15.75" hidden="1" customHeight="1"/>
    <row r="12232" ht="15.75" hidden="1" customHeight="1"/>
    <row r="12233" ht="15.75" hidden="1" customHeight="1"/>
    <row r="12234" ht="15.75" hidden="1" customHeight="1"/>
    <row r="12235" ht="15.75" hidden="1" customHeight="1"/>
    <row r="12236" ht="15.75" hidden="1" customHeight="1"/>
    <row r="12237" ht="15.75" hidden="1" customHeight="1"/>
    <row r="12238" ht="15.75" hidden="1" customHeight="1"/>
    <row r="12239" ht="15.75" hidden="1" customHeight="1"/>
    <row r="12240" ht="15.75" hidden="1" customHeight="1"/>
    <row r="12241" ht="15.75" hidden="1" customHeight="1"/>
    <row r="12242" ht="15.75" hidden="1" customHeight="1"/>
    <row r="12243" ht="15.75" hidden="1" customHeight="1"/>
    <row r="12244" ht="15.75" hidden="1" customHeight="1"/>
    <row r="12245" ht="15.75" hidden="1" customHeight="1"/>
    <row r="12246" ht="15.75" hidden="1" customHeight="1"/>
    <row r="12247" ht="15.75" hidden="1" customHeight="1"/>
    <row r="12248" ht="15.75" hidden="1" customHeight="1"/>
    <row r="12249" ht="15.75" hidden="1" customHeight="1"/>
    <row r="12250" ht="15.75" hidden="1" customHeight="1"/>
    <row r="12251" ht="15.75" hidden="1" customHeight="1"/>
    <row r="12252" ht="15.75" hidden="1" customHeight="1"/>
    <row r="12253" ht="15.75" hidden="1" customHeight="1"/>
    <row r="12254" ht="15.75" hidden="1" customHeight="1"/>
    <row r="12255" ht="15.75" hidden="1" customHeight="1"/>
    <row r="12256" ht="15.75" hidden="1" customHeight="1"/>
    <row r="12257" ht="15.75" hidden="1" customHeight="1"/>
    <row r="12258" ht="15.75" hidden="1" customHeight="1"/>
    <row r="12259" ht="15.75" hidden="1" customHeight="1"/>
    <row r="12260" ht="15.75" hidden="1" customHeight="1"/>
    <row r="12261" ht="15.75" hidden="1" customHeight="1"/>
    <row r="12262" ht="15.75" hidden="1" customHeight="1"/>
    <row r="12263" ht="15.75" hidden="1" customHeight="1"/>
    <row r="12264" ht="15.75" hidden="1" customHeight="1"/>
    <row r="12265" ht="15.75" hidden="1" customHeight="1"/>
    <row r="12266" ht="15.75" hidden="1" customHeight="1"/>
    <row r="12267" ht="15.75" hidden="1" customHeight="1"/>
    <row r="12268" ht="15.75" hidden="1" customHeight="1"/>
    <row r="12269" ht="15.75" hidden="1" customHeight="1"/>
    <row r="12270" ht="15.75" hidden="1" customHeight="1"/>
    <row r="12271" ht="15.75" hidden="1" customHeight="1"/>
    <row r="12272" ht="15.75" hidden="1" customHeight="1"/>
    <row r="12273" ht="15.75" hidden="1" customHeight="1"/>
    <row r="12274" ht="15.75" hidden="1" customHeight="1"/>
    <row r="12275" ht="15.75" hidden="1" customHeight="1"/>
    <row r="12276" ht="15.75" hidden="1" customHeight="1"/>
    <row r="12277" ht="15.75" hidden="1" customHeight="1"/>
    <row r="12278" ht="15.75" hidden="1" customHeight="1"/>
    <row r="12279" ht="15.75" hidden="1" customHeight="1"/>
    <row r="12280" ht="15.75" hidden="1" customHeight="1"/>
    <row r="12281" ht="15.75" hidden="1" customHeight="1"/>
    <row r="12282" ht="15.75" hidden="1" customHeight="1"/>
    <row r="12283" ht="15.75" hidden="1" customHeight="1"/>
    <row r="12284" ht="15.75" hidden="1" customHeight="1"/>
    <row r="12285" ht="15.75" hidden="1" customHeight="1"/>
    <row r="12286" ht="15.75" hidden="1" customHeight="1"/>
    <row r="12287" ht="15.75" hidden="1" customHeight="1"/>
    <row r="12288" ht="15.75" hidden="1" customHeight="1"/>
    <row r="12289" ht="15.75" hidden="1" customHeight="1"/>
    <row r="12290" ht="15.75" hidden="1" customHeight="1"/>
    <row r="12291" ht="15.75" hidden="1" customHeight="1"/>
    <row r="12292" ht="15.75" hidden="1" customHeight="1"/>
    <row r="12293" ht="15.75" hidden="1" customHeight="1"/>
    <row r="12294" ht="15.75" hidden="1" customHeight="1"/>
    <row r="12295" ht="15.75" hidden="1" customHeight="1"/>
    <row r="12296" ht="15.75" hidden="1" customHeight="1"/>
    <row r="12297" ht="15.75" hidden="1" customHeight="1"/>
    <row r="12298" ht="15.75" hidden="1" customHeight="1"/>
    <row r="12299" ht="15.75" hidden="1" customHeight="1"/>
    <row r="12300" ht="15.75" hidden="1" customHeight="1"/>
    <row r="12301" ht="15.75" hidden="1" customHeight="1"/>
    <row r="12302" ht="15.75" hidden="1" customHeight="1"/>
    <row r="12303" ht="15.75" hidden="1" customHeight="1"/>
    <row r="12304" ht="15.75" hidden="1" customHeight="1"/>
    <row r="12305" ht="15.75" hidden="1" customHeight="1"/>
    <row r="12306" ht="15.75" hidden="1" customHeight="1"/>
    <row r="12307" ht="15.75" hidden="1" customHeight="1"/>
    <row r="12308" ht="15.75" hidden="1" customHeight="1"/>
    <row r="12309" ht="15.75" hidden="1" customHeight="1"/>
    <row r="12310" ht="15.75" hidden="1" customHeight="1"/>
    <row r="12311" ht="15.75" hidden="1" customHeight="1"/>
    <row r="12312" ht="15.75" hidden="1" customHeight="1"/>
    <row r="12313" ht="15.75" hidden="1" customHeight="1"/>
    <row r="12314" ht="15.75" hidden="1" customHeight="1"/>
    <row r="12315" ht="15.75" hidden="1" customHeight="1"/>
    <row r="12316" ht="15.75" hidden="1" customHeight="1"/>
    <row r="12317" ht="15.75" hidden="1" customHeight="1"/>
    <row r="12318" ht="15.75" hidden="1" customHeight="1"/>
    <row r="12319" ht="15.75" hidden="1" customHeight="1"/>
    <row r="12320" ht="15.75" hidden="1" customHeight="1"/>
    <row r="12321" ht="15.75" hidden="1" customHeight="1"/>
    <row r="12322" ht="15.75" hidden="1" customHeight="1"/>
    <row r="12323" ht="15.75" hidden="1" customHeight="1"/>
    <row r="12324" ht="15.75" hidden="1" customHeight="1"/>
    <row r="12325" ht="15.75" hidden="1" customHeight="1"/>
    <row r="12326" ht="15.75" hidden="1" customHeight="1"/>
    <row r="12327" ht="15.75" hidden="1" customHeight="1"/>
    <row r="12328" ht="15.75" hidden="1" customHeight="1"/>
    <row r="12329" ht="15.75" hidden="1" customHeight="1"/>
    <row r="12330" ht="15.75" hidden="1" customHeight="1"/>
    <row r="12331" ht="15.75" hidden="1" customHeight="1"/>
    <row r="12332" ht="15.75" hidden="1" customHeight="1"/>
    <row r="12333" ht="15.75" hidden="1" customHeight="1"/>
    <row r="12334" ht="15.75" hidden="1" customHeight="1"/>
    <row r="12335" ht="15.75" hidden="1" customHeight="1"/>
    <row r="12336" ht="15.75" hidden="1" customHeight="1"/>
    <row r="12337" ht="15.75" hidden="1" customHeight="1"/>
    <row r="12338" ht="15.75" hidden="1" customHeight="1"/>
    <row r="12339" ht="15.75" hidden="1" customHeight="1"/>
    <row r="12340" ht="15.75" hidden="1" customHeight="1"/>
    <row r="12341" ht="15.75" hidden="1" customHeight="1"/>
    <row r="12342" ht="15.75" hidden="1" customHeight="1"/>
    <row r="12343" ht="15.75" hidden="1" customHeight="1"/>
    <row r="12344" ht="15.75" hidden="1" customHeight="1"/>
    <row r="12345" ht="15.75" hidden="1" customHeight="1"/>
    <row r="12346" ht="15.75" hidden="1" customHeight="1"/>
    <row r="12347" ht="15.75" hidden="1" customHeight="1"/>
    <row r="12348" ht="15.75" hidden="1" customHeight="1"/>
    <row r="12349" ht="15.75" hidden="1" customHeight="1"/>
    <row r="12350" ht="15.75" hidden="1" customHeight="1"/>
    <row r="12351" ht="15.75" hidden="1" customHeight="1"/>
    <row r="12352" ht="15.75" hidden="1" customHeight="1"/>
    <row r="12353" ht="15.75" hidden="1" customHeight="1"/>
    <row r="12354" ht="15.75" hidden="1" customHeight="1"/>
    <row r="12355" ht="15.75" hidden="1" customHeight="1"/>
    <row r="12356" ht="15.75" hidden="1" customHeight="1"/>
    <row r="12357" ht="15.75" hidden="1" customHeight="1"/>
    <row r="12358" ht="15.75" hidden="1" customHeight="1"/>
    <row r="12359" ht="15.75" hidden="1" customHeight="1"/>
    <row r="12360" ht="15.75" hidden="1" customHeight="1"/>
    <row r="12361" ht="15.75" hidden="1" customHeight="1"/>
    <row r="12362" ht="15.75" hidden="1" customHeight="1"/>
    <row r="12363" ht="15.75" hidden="1" customHeight="1"/>
    <row r="12364" ht="15.75" hidden="1" customHeight="1"/>
    <row r="12365" ht="15.75" hidden="1" customHeight="1"/>
    <row r="12366" ht="15.75" hidden="1" customHeight="1"/>
    <row r="12367" ht="15.75" hidden="1" customHeight="1"/>
    <row r="12368" ht="15.75" hidden="1" customHeight="1"/>
    <row r="12369" ht="15.75" hidden="1" customHeight="1"/>
    <row r="12370" ht="15.75" hidden="1" customHeight="1"/>
    <row r="12371" ht="15.75" hidden="1" customHeight="1"/>
    <row r="12372" ht="15.75" hidden="1" customHeight="1"/>
    <row r="12373" ht="15.75" hidden="1" customHeight="1"/>
    <row r="12374" ht="15.75" hidden="1" customHeight="1"/>
    <row r="12375" ht="15.75" hidden="1" customHeight="1"/>
    <row r="12376" ht="15.75" hidden="1" customHeight="1"/>
    <row r="12377" ht="15.75" hidden="1" customHeight="1"/>
    <row r="12378" ht="15.75" hidden="1" customHeight="1"/>
    <row r="12379" ht="15.75" hidden="1" customHeight="1"/>
    <row r="12380" ht="15.75" hidden="1" customHeight="1"/>
    <row r="12381" ht="15.75" hidden="1" customHeight="1"/>
    <row r="12382" ht="15.75" hidden="1" customHeight="1"/>
    <row r="12383" ht="15.75" hidden="1" customHeight="1"/>
    <row r="12384" ht="15.75" hidden="1" customHeight="1"/>
    <row r="12385" ht="15.75" hidden="1" customHeight="1"/>
    <row r="12386" ht="15.75" hidden="1" customHeight="1"/>
    <row r="12387" ht="15.75" hidden="1" customHeight="1"/>
    <row r="12388" ht="15.75" hidden="1" customHeight="1"/>
    <row r="12389" ht="15.75" hidden="1" customHeight="1"/>
    <row r="12390" ht="15.75" hidden="1" customHeight="1"/>
    <row r="12391" ht="15.75" hidden="1" customHeight="1"/>
    <row r="12392" ht="15.75" hidden="1" customHeight="1"/>
    <row r="12393" ht="15.75" hidden="1" customHeight="1"/>
    <row r="12394" ht="15.75" hidden="1" customHeight="1"/>
    <row r="12395" ht="15.75" hidden="1" customHeight="1"/>
    <row r="12396" ht="15.75" hidden="1" customHeight="1"/>
    <row r="12397" ht="15.75" hidden="1" customHeight="1"/>
    <row r="12398" ht="15.75" hidden="1" customHeight="1"/>
    <row r="12399" ht="15.75" hidden="1" customHeight="1"/>
    <row r="12400" ht="15.75" hidden="1" customHeight="1"/>
    <row r="12401" ht="15.75" hidden="1" customHeight="1"/>
    <row r="12402" ht="15.75" hidden="1" customHeight="1"/>
    <row r="12403" ht="15.75" hidden="1" customHeight="1"/>
    <row r="12404" ht="15.75" hidden="1" customHeight="1"/>
    <row r="12405" ht="15.75" hidden="1" customHeight="1"/>
    <row r="12406" ht="15.75" hidden="1" customHeight="1"/>
    <row r="12407" ht="15.75" hidden="1" customHeight="1"/>
    <row r="12408" ht="15.75" hidden="1" customHeight="1"/>
    <row r="12409" ht="15.75" hidden="1" customHeight="1"/>
    <row r="12410" ht="15.75" hidden="1" customHeight="1"/>
    <row r="12411" ht="15.75" hidden="1" customHeight="1"/>
    <row r="12412" ht="15.75" hidden="1" customHeight="1"/>
    <row r="12413" ht="15.75" hidden="1" customHeight="1"/>
    <row r="12414" ht="15.75" hidden="1" customHeight="1"/>
    <row r="12415" ht="15.75" hidden="1" customHeight="1"/>
    <row r="12416" ht="15.75" hidden="1" customHeight="1"/>
    <row r="12417" ht="15.75" hidden="1" customHeight="1"/>
    <row r="12418" ht="15.75" hidden="1" customHeight="1"/>
    <row r="12419" ht="15.75" hidden="1" customHeight="1"/>
    <row r="12420" ht="15.75" hidden="1" customHeight="1"/>
    <row r="12421" ht="15.75" hidden="1" customHeight="1"/>
    <row r="12422" ht="15.75" hidden="1" customHeight="1"/>
    <row r="12423" ht="15.75" hidden="1" customHeight="1"/>
    <row r="12424" ht="15.75" hidden="1" customHeight="1"/>
    <row r="12425" ht="15.75" hidden="1" customHeight="1"/>
    <row r="12426" ht="15.75" hidden="1" customHeight="1"/>
    <row r="12427" ht="15.75" hidden="1" customHeight="1"/>
    <row r="12428" ht="15.75" hidden="1" customHeight="1"/>
    <row r="12429" ht="15.75" hidden="1" customHeight="1"/>
    <row r="12430" ht="15.75" hidden="1" customHeight="1"/>
    <row r="12431" ht="15.75" hidden="1" customHeight="1"/>
    <row r="12432" ht="15.75" hidden="1" customHeight="1"/>
    <row r="12433" ht="15.75" hidden="1" customHeight="1"/>
    <row r="12434" ht="15.75" hidden="1" customHeight="1"/>
    <row r="12435" ht="15.75" hidden="1" customHeight="1"/>
    <row r="12436" ht="15.75" hidden="1" customHeight="1"/>
    <row r="12437" ht="15.75" hidden="1" customHeight="1"/>
    <row r="12438" ht="15.75" hidden="1" customHeight="1"/>
    <row r="12439" ht="15.75" hidden="1" customHeight="1"/>
    <row r="12440" ht="15.75" hidden="1" customHeight="1"/>
    <row r="12441" ht="15.75" hidden="1" customHeight="1"/>
    <row r="12442" ht="15.75" hidden="1" customHeight="1"/>
    <row r="12443" ht="15.75" hidden="1" customHeight="1"/>
    <row r="12444" ht="15.75" hidden="1" customHeight="1"/>
    <row r="12445" ht="15.75" hidden="1" customHeight="1"/>
    <row r="12446" ht="15.75" hidden="1" customHeight="1"/>
    <row r="12447" ht="15.75" hidden="1" customHeight="1"/>
    <row r="12448" ht="15.75" hidden="1" customHeight="1"/>
    <row r="12449" ht="15.75" hidden="1" customHeight="1"/>
    <row r="12450" ht="15.75" hidden="1" customHeight="1"/>
    <row r="12451" ht="15.75" hidden="1" customHeight="1"/>
    <row r="12452" ht="15.75" hidden="1" customHeight="1"/>
    <row r="12453" ht="15.75" hidden="1" customHeight="1"/>
    <row r="12454" ht="15.75" hidden="1" customHeight="1"/>
    <row r="12455" ht="15.75" hidden="1" customHeight="1"/>
    <row r="12456" ht="15.75" hidden="1" customHeight="1"/>
    <row r="12457" ht="15.75" hidden="1" customHeight="1"/>
    <row r="12458" ht="15.75" hidden="1" customHeight="1"/>
    <row r="12459" ht="15.75" hidden="1" customHeight="1"/>
    <row r="12460" ht="15.75" hidden="1" customHeight="1"/>
    <row r="12461" ht="15.75" hidden="1" customHeight="1"/>
    <row r="12462" ht="15.75" hidden="1" customHeight="1"/>
    <row r="12463" ht="15.75" hidden="1" customHeight="1"/>
    <row r="12464" ht="15.75" hidden="1" customHeight="1"/>
    <row r="12465" ht="15.75" hidden="1" customHeight="1"/>
    <row r="12466" ht="15.75" hidden="1" customHeight="1"/>
    <row r="12467" ht="15.75" hidden="1" customHeight="1"/>
    <row r="12468" ht="15.75" hidden="1" customHeight="1"/>
    <row r="12469" ht="15.75" hidden="1" customHeight="1"/>
    <row r="12470" ht="15.75" hidden="1" customHeight="1"/>
    <row r="12471" ht="15.75" hidden="1" customHeight="1"/>
    <row r="12472" ht="15.75" hidden="1" customHeight="1"/>
    <row r="12473" ht="15.75" hidden="1" customHeight="1"/>
    <row r="12474" ht="15.75" hidden="1" customHeight="1"/>
    <row r="12475" ht="15.75" hidden="1" customHeight="1"/>
    <row r="12476" ht="15.75" hidden="1" customHeight="1"/>
    <row r="12477" ht="15.75" hidden="1" customHeight="1"/>
    <row r="12478" ht="15.75" hidden="1" customHeight="1"/>
    <row r="12479" ht="15.75" hidden="1" customHeight="1"/>
    <row r="12480" ht="15.75" hidden="1" customHeight="1"/>
    <row r="12481" ht="15.75" hidden="1" customHeight="1"/>
    <row r="12482" ht="15.75" hidden="1" customHeight="1"/>
    <row r="12483" ht="15.75" hidden="1" customHeight="1"/>
    <row r="12484" ht="15.75" hidden="1" customHeight="1"/>
    <row r="12485" ht="15.75" hidden="1" customHeight="1"/>
    <row r="12486" ht="15.75" hidden="1" customHeight="1"/>
    <row r="12487" ht="15.75" hidden="1" customHeight="1"/>
    <row r="12488" ht="15.75" hidden="1" customHeight="1"/>
    <row r="12489" ht="15.75" hidden="1" customHeight="1"/>
    <row r="12490" ht="15.75" hidden="1" customHeight="1"/>
    <row r="12491" ht="15.75" hidden="1" customHeight="1"/>
    <row r="12492" ht="15.75" hidden="1" customHeight="1"/>
    <row r="12493" ht="15.75" hidden="1" customHeight="1"/>
    <row r="12494" ht="15.75" hidden="1" customHeight="1"/>
    <row r="12495" ht="15.75" hidden="1" customHeight="1"/>
    <row r="12496" ht="15.75" hidden="1" customHeight="1"/>
    <row r="12497" ht="15.75" hidden="1" customHeight="1"/>
    <row r="12498" ht="15.75" hidden="1" customHeight="1"/>
    <row r="12499" ht="15.75" hidden="1" customHeight="1"/>
    <row r="12500" ht="15.75" hidden="1" customHeight="1"/>
    <row r="12501" ht="15.75" hidden="1" customHeight="1"/>
    <row r="12502" ht="15.75" hidden="1" customHeight="1"/>
    <row r="12503" ht="15.75" hidden="1" customHeight="1"/>
    <row r="12504" ht="15.75" hidden="1" customHeight="1"/>
    <row r="12505" ht="15.75" hidden="1" customHeight="1"/>
    <row r="12506" ht="15.75" hidden="1" customHeight="1"/>
    <row r="12507" ht="15.75" hidden="1" customHeight="1"/>
    <row r="12508" ht="15.75" hidden="1" customHeight="1"/>
    <row r="12509" ht="15.75" hidden="1" customHeight="1"/>
    <row r="12510" ht="15.75" hidden="1" customHeight="1"/>
    <row r="12511" ht="15.75" hidden="1" customHeight="1"/>
    <row r="12512" ht="15.75" hidden="1" customHeight="1"/>
    <row r="12513" ht="15.75" hidden="1" customHeight="1"/>
    <row r="12514" ht="15.75" hidden="1" customHeight="1"/>
    <row r="12515" ht="15.75" hidden="1" customHeight="1"/>
    <row r="12516" ht="15.75" hidden="1" customHeight="1"/>
    <row r="12517" ht="15.75" hidden="1" customHeight="1"/>
    <row r="12518" ht="15.75" hidden="1" customHeight="1"/>
    <row r="12519" ht="15.75" hidden="1" customHeight="1"/>
    <row r="12520" ht="15.75" hidden="1" customHeight="1"/>
    <row r="12521" ht="15.75" hidden="1" customHeight="1"/>
    <row r="12522" ht="15.75" hidden="1" customHeight="1"/>
    <row r="12523" ht="15.75" hidden="1" customHeight="1"/>
    <row r="12524" ht="15.75" hidden="1" customHeight="1"/>
    <row r="12525" ht="15.75" hidden="1" customHeight="1"/>
    <row r="12526" ht="15.75" hidden="1" customHeight="1"/>
    <row r="12527" ht="15.75" hidden="1" customHeight="1"/>
    <row r="12528" ht="15.75" hidden="1" customHeight="1"/>
    <row r="12529" ht="15.75" hidden="1" customHeight="1"/>
    <row r="12530" ht="15.75" hidden="1" customHeight="1"/>
    <row r="12531" ht="15.75" hidden="1" customHeight="1"/>
    <row r="12532" ht="15.75" hidden="1" customHeight="1"/>
    <row r="12533" ht="15.75" hidden="1" customHeight="1"/>
    <row r="12534" ht="15.75" hidden="1" customHeight="1"/>
    <row r="12535" ht="15.75" hidden="1" customHeight="1"/>
    <row r="12536" ht="15.75" hidden="1" customHeight="1"/>
    <row r="12537" ht="15.75" hidden="1" customHeight="1"/>
    <row r="12538" ht="15.75" hidden="1" customHeight="1"/>
    <row r="12539" ht="15.75" hidden="1" customHeight="1"/>
    <row r="12540" ht="15.75" hidden="1" customHeight="1"/>
    <row r="12541" ht="15.75" hidden="1" customHeight="1"/>
    <row r="12542" ht="15.75" hidden="1" customHeight="1"/>
    <row r="12543" ht="15.75" hidden="1" customHeight="1"/>
    <row r="12544" ht="15.75" hidden="1" customHeight="1"/>
    <row r="12545" ht="15.75" hidden="1" customHeight="1"/>
    <row r="12546" ht="15.75" hidden="1" customHeight="1"/>
    <row r="12547" ht="15.75" hidden="1" customHeight="1"/>
    <row r="12548" ht="15.75" hidden="1" customHeight="1"/>
    <row r="12549" ht="15.75" hidden="1" customHeight="1"/>
    <row r="12550" ht="15.75" hidden="1" customHeight="1"/>
    <row r="12551" ht="15.75" hidden="1" customHeight="1"/>
    <row r="12552" ht="15.75" hidden="1" customHeight="1"/>
    <row r="12553" ht="15.75" hidden="1" customHeight="1"/>
    <row r="12554" ht="15.75" hidden="1" customHeight="1"/>
    <row r="12555" ht="15.75" hidden="1" customHeight="1"/>
    <row r="12556" ht="15.75" hidden="1" customHeight="1"/>
    <row r="12557" ht="15.75" hidden="1" customHeight="1"/>
    <row r="12558" ht="15.75" hidden="1" customHeight="1"/>
    <row r="12559" ht="15.75" hidden="1" customHeight="1"/>
    <row r="12560" ht="15.75" hidden="1" customHeight="1"/>
    <row r="12561" ht="15.75" hidden="1" customHeight="1"/>
    <row r="12562" ht="15.75" hidden="1" customHeight="1"/>
    <row r="12563" ht="15.75" hidden="1" customHeight="1"/>
    <row r="12564" ht="15.75" hidden="1" customHeight="1"/>
    <row r="12565" ht="15.75" hidden="1" customHeight="1"/>
    <row r="12566" ht="15.75" hidden="1" customHeight="1"/>
    <row r="12567" ht="15.75" hidden="1" customHeight="1"/>
    <row r="12568" ht="15.75" hidden="1" customHeight="1"/>
    <row r="12569" ht="15.75" hidden="1" customHeight="1"/>
    <row r="12570" ht="15.75" hidden="1" customHeight="1"/>
    <row r="12571" ht="15.75" hidden="1" customHeight="1"/>
    <row r="12572" ht="15.75" hidden="1" customHeight="1"/>
    <row r="12573" ht="15.75" hidden="1" customHeight="1"/>
    <row r="12574" ht="15.75" hidden="1" customHeight="1"/>
    <row r="12575" ht="15.75" hidden="1" customHeight="1"/>
    <row r="12576" ht="15.75" hidden="1" customHeight="1"/>
    <row r="12577" ht="15.75" hidden="1" customHeight="1"/>
    <row r="12578" ht="15.75" hidden="1" customHeight="1"/>
    <row r="12579" ht="15.75" hidden="1" customHeight="1"/>
    <row r="12580" ht="15.75" hidden="1" customHeight="1"/>
    <row r="12581" ht="15.75" hidden="1" customHeight="1"/>
    <row r="12582" ht="15.75" hidden="1" customHeight="1"/>
    <row r="12583" ht="15.75" hidden="1" customHeight="1"/>
    <row r="12584" ht="15.75" hidden="1" customHeight="1"/>
    <row r="12585" ht="15.75" hidden="1" customHeight="1"/>
    <row r="12586" ht="15.75" hidden="1" customHeight="1"/>
    <row r="12587" ht="15.75" hidden="1" customHeight="1"/>
    <row r="12588" ht="15.75" hidden="1" customHeight="1"/>
    <row r="12589" ht="15.75" hidden="1" customHeight="1"/>
    <row r="12590" ht="15.75" hidden="1" customHeight="1"/>
    <row r="12591" ht="15.75" hidden="1" customHeight="1"/>
    <row r="12592" ht="15.75" hidden="1" customHeight="1"/>
    <row r="12593" ht="15.75" hidden="1" customHeight="1"/>
    <row r="12594" ht="15.75" hidden="1" customHeight="1"/>
    <row r="12595" ht="15.75" hidden="1" customHeight="1"/>
    <row r="12596" ht="15.75" hidden="1" customHeight="1"/>
    <row r="12597" ht="15.75" hidden="1" customHeight="1"/>
    <row r="12598" ht="15.75" hidden="1" customHeight="1"/>
    <row r="12599" ht="15.75" hidden="1" customHeight="1"/>
    <row r="12600" ht="15.75" hidden="1" customHeight="1"/>
    <row r="12601" ht="15.75" hidden="1" customHeight="1"/>
    <row r="12602" ht="15.75" hidden="1" customHeight="1"/>
    <row r="12603" ht="15.75" hidden="1" customHeight="1"/>
    <row r="12604" ht="15.75" hidden="1" customHeight="1"/>
    <row r="12605" ht="15.75" hidden="1" customHeight="1"/>
    <row r="12606" ht="15.75" hidden="1" customHeight="1"/>
    <row r="12607" ht="15.75" hidden="1" customHeight="1"/>
    <row r="12608" ht="15.75" hidden="1" customHeight="1"/>
    <row r="12609" ht="15.75" hidden="1" customHeight="1"/>
    <row r="12610" ht="15.75" hidden="1" customHeight="1"/>
    <row r="12611" ht="15.75" hidden="1" customHeight="1"/>
    <row r="12612" ht="15.75" hidden="1" customHeight="1"/>
    <row r="12613" ht="15.75" hidden="1" customHeight="1"/>
    <row r="12614" ht="15.75" hidden="1" customHeight="1"/>
    <row r="12615" ht="15.75" hidden="1" customHeight="1"/>
    <row r="12616" ht="15.75" hidden="1" customHeight="1"/>
    <row r="12617" ht="15.75" hidden="1" customHeight="1"/>
    <row r="12618" ht="15.75" hidden="1" customHeight="1"/>
    <row r="12619" ht="15.75" hidden="1" customHeight="1"/>
    <row r="12620" ht="15.75" hidden="1" customHeight="1"/>
    <row r="12621" ht="15.75" hidden="1" customHeight="1"/>
    <row r="12622" ht="15.75" hidden="1" customHeight="1"/>
    <row r="12623" ht="15.75" hidden="1" customHeight="1"/>
    <row r="12624" ht="15.75" hidden="1" customHeight="1"/>
    <row r="12625" ht="15.75" hidden="1" customHeight="1"/>
    <row r="12626" ht="15.75" hidden="1" customHeight="1"/>
    <row r="12627" ht="15.75" hidden="1" customHeight="1"/>
    <row r="12628" ht="15.75" hidden="1" customHeight="1"/>
    <row r="12629" ht="15.75" hidden="1" customHeight="1"/>
    <row r="12630" ht="15.75" hidden="1" customHeight="1"/>
    <row r="12631" ht="15.75" hidden="1" customHeight="1"/>
    <row r="12632" ht="15.75" hidden="1" customHeight="1"/>
    <row r="12633" ht="15.75" hidden="1" customHeight="1"/>
    <row r="12634" ht="15.75" hidden="1" customHeight="1"/>
    <row r="12635" ht="15.75" hidden="1" customHeight="1"/>
    <row r="12636" ht="15.75" hidden="1" customHeight="1"/>
    <row r="12637" ht="15.75" hidden="1" customHeight="1"/>
    <row r="12638" ht="15.75" hidden="1" customHeight="1"/>
    <row r="12639" ht="15.75" hidden="1" customHeight="1"/>
    <row r="12640" ht="15.75" hidden="1" customHeight="1"/>
    <row r="12641" ht="15.75" hidden="1" customHeight="1"/>
    <row r="12642" ht="15.75" hidden="1" customHeight="1"/>
    <row r="12643" ht="15.75" hidden="1" customHeight="1"/>
    <row r="12644" ht="15.75" hidden="1" customHeight="1"/>
    <row r="12645" ht="15.75" hidden="1" customHeight="1"/>
    <row r="12646" ht="15.75" hidden="1" customHeight="1"/>
    <row r="12647" ht="15.75" hidden="1" customHeight="1"/>
    <row r="12648" ht="15.75" hidden="1" customHeight="1"/>
    <row r="12649" ht="15.75" hidden="1" customHeight="1"/>
    <row r="12650" ht="15.75" hidden="1" customHeight="1"/>
    <row r="12651" ht="15.75" hidden="1" customHeight="1"/>
    <row r="12652" ht="15.75" hidden="1" customHeight="1"/>
    <row r="12653" ht="15.75" hidden="1" customHeight="1"/>
    <row r="12654" ht="15.75" hidden="1" customHeight="1"/>
    <row r="12655" ht="15.75" hidden="1" customHeight="1"/>
    <row r="12656" ht="15.75" hidden="1" customHeight="1"/>
    <row r="12657" ht="15.75" hidden="1" customHeight="1"/>
    <row r="12658" ht="15.75" hidden="1" customHeight="1"/>
    <row r="12659" ht="15.75" hidden="1" customHeight="1"/>
    <row r="12660" ht="15.75" hidden="1" customHeight="1"/>
    <row r="12661" ht="15.75" hidden="1" customHeight="1"/>
    <row r="12662" ht="15.75" hidden="1" customHeight="1"/>
    <row r="12663" ht="15.75" hidden="1" customHeight="1"/>
    <row r="12664" ht="15.75" hidden="1" customHeight="1"/>
    <row r="12665" ht="15.75" hidden="1" customHeight="1"/>
    <row r="12666" ht="15.75" hidden="1" customHeight="1"/>
    <row r="12667" ht="15.75" hidden="1" customHeight="1"/>
    <row r="12668" ht="15.75" hidden="1" customHeight="1"/>
    <row r="12669" ht="15.75" hidden="1" customHeight="1"/>
    <row r="12670" ht="15.75" hidden="1" customHeight="1"/>
    <row r="12671" ht="15.75" hidden="1" customHeight="1"/>
    <row r="12672" ht="15.75" hidden="1" customHeight="1"/>
    <row r="12673" ht="15.75" hidden="1" customHeight="1"/>
    <row r="12674" ht="15.75" hidden="1" customHeight="1"/>
    <row r="12675" ht="15.75" hidden="1" customHeight="1"/>
    <row r="12676" ht="15.75" hidden="1" customHeight="1"/>
    <row r="12677" ht="15.75" hidden="1" customHeight="1"/>
    <row r="12678" ht="15.75" hidden="1" customHeight="1"/>
    <row r="12679" ht="15.75" hidden="1" customHeight="1"/>
    <row r="12680" ht="15.75" hidden="1" customHeight="1"/>
    <row r="12681" ht="15.75" hidden="1" customHeight="1"/>
    <row r="12682" ht="15.75" hidden="1" customHeight="1"/>
    <row r="12683" ht="15.75" hidden="1" customHeight="1"/>
    <row r="12684" ht="15.75" hidden="1" customHeight="1"/>
    <row r="12685" ht="15.75" hidden="1" customHeight="1"/>
    <row r="12686" ht="15.75" hidden="1" customHeight="1"/>
    <row r="12687" ht="15.75" hidden="1" customHeight="1"/>
    <row r="12688" ht="15.75" hidden="1" customHeight="1"/>
    <row r="12689" ht="15.75" hidden="1" customHeight="1"/>
    <row r="12690" ht="15.75" hidden="1" customHeight="1"/>
    <row r="12691" ht="15.75" hidden="1" customHeight="1"/>
    <row r="12692" ht="15.75" hidden="1" customHeight="1"/>
    <row r="12693" ht="15.75" hidden="1" customHeight="1"/>
    <row r="12694" ht="15.75" hidden="1" customHeight="1"/>
    <row r="12695" ht="15.75" hidden="1" customHeight="1"/>
    <row r="12696" ht="15.75" hidden="1" customHeight="1"/>
    <row r="12697" ht="15.75" hidden="1" customHeight="1"/>
    <row r="12698" ht="15.75" hidden="1" customHeight="1"/>
    <row r="12699" ht="15.75" hidden="1" customHeight="1"/>
    <row r="12700" ht="15.75" hidden="1" customHeight="1"/>
    <row r="12701" ht="15.75" hidden="1" customHeight="1"/>
    <row r="12702" ht="15.75" hidden="1" customHeight="1"/>
    <row r="12703" ht="15.75" hidden="1" customHeight="1"/>
    <row r="12704" ht="15.75" hidden="1" customHeight="1"/>
    <row r="12705" ht="15.75" hidden="1" customHeight="1"/>
    <row r="12706" ht="15.75" hidden="1" customHeight="1"/>
    <row r="12707" ht="15.75" hidden="1" customHeight="1"/>
    <row r="12708" ht="15.75" hidden="1" customHeight="1"/>
    <row r="12709" ht="15.75" hidden="1" customHeight="1"/>
    <row r="12710" ht="15.75" hidden="1" customHeight="1"/>
    <row r="12711" ht="15.75" hidden="1" customHeight="1"/>
    <row r="12712" ht="15.75" hidden="1" customHeight="1"/>
    <row r="12713" ht="15.75" hidden="1" customHeight="1"/>
    <row r="12714" ht="15.75" hidden="1" customHeight="1"/>
    <row r="12715" ht="15.75" hidden="1" customHeight="1"/>
    <row r="12716" ht="15.75" hidden="1" customHeight="1"/>
    <row r="12717" ht="15.75" hidden="1" customHeight="1"/>
    <row r="12718" ht="15.75" hidden="1" customHeight="1"/>
    <row r="12719" ht="15.75" hidden="1" customHeight="1"/>
    <row r="12720" ht="15.75" hidden="1" customHeight="1"/>
    <row r="12721" ht="15.75" hidden="1" customHeight="1"/>
    <row r="12722" ht="15.75" hidden="1" customHeight="1"/>
    <row r="12723" ht="15.75" hidden="1" customHeight="1"/>
    <row r="12724" ht="15.75" hidden="1" customHeight="1"/>
    <row r="12725" ht="15.75" hidden="1" customHeight="1"/>
    <row r="12726" ht="15.75" hidden="1" customHeight="1"/>
    <row r="12727" ht="15.75" hidden="1" customHeight="1"/>
    <row r="12728" ht="15.75" hidden="1" customHeight="1"/>
    <row r="12729" ht="15.75" hidden="1" customHeight="1"/>
    <row r="12730" ht="15.75" hidden="1" customHeight="1"/>
    <row r="12731" ht="15.75" hidden="1" customHeight="1"/>
    <row r="12732" ht="15.75" hidden="1" customHeight="1"/>
    <row r="12733" ht="15.75" hidden="1" customHeight="1"/>
    <row r="12734" ht="15.75" hidden="1" customHeight="1"/>
    <row r="12735" ht="15.75" hidden="1" customHeight="1"/>
    <row r="12736" ht="15.75" hidden="1" customHeight="1"/>
    <row r="12737" ht="15.75" hidden="1" customHeight="1"/>
    <row r="12738" ht="15.75" hidden="1" customHeight="1"/>
    <row r="12739" ht="15.75" hidden="1" customHeight="1"/>
    <row r="12740" ht="15.75" hidden="1" customHeight="1"/>
    <row r="12741" ht="15.75" hidden="1" customHeight="1"/>
    <row r="12742" ht="15.75" hidden="1" customHeight="1"/>
    <row r="12743" ht="15.75" hidden="1" customHeight="1"/>
    <row r="12744" ht="15.75" hidden="1" customHeight="1"/>
    <row r="12745" ht="15.75" hidden="1" customHeight="1"/>
    <row r="12746" ht="15.75" hidden="1" customHeight="1"/>
    <row r="12747" ht="15.75" hidden="1" customHeight="1"/>
    <row r="12748" ht="15.75" hidden="1" customHeight="1"/>
    <row r="12749" ht="15.75" hidden="1" customHeight="1"/>
    <row r="12750" ht="15.75" hidden="1" customHeight="1"/>
    <row r="12751" ht="15.75" hidden="1" customHeight="1"/>
    <row r="12752" ht="15.75" hidden="1" customHeight="1"/>
    <row r="12753" ht="15.75" hidden="1" customHeight="1"/>
    <row r="12754" ht="15.75" hidden="1" customHeight="1"/>
    <row r="12755" ht="15.75" hidden="1" customHeight="1"/>
    <row r="12756" ht="15.75" hidden="1" customHeight="1"/>
    <row r="12757" ht="15.75" hidden="1" customHeight="1"/>
    <row r="12758" ht="15.75" hidden="1" customHeight="1"/>
    <row r="12759" ht="15.75" hidden="1" customHeight="1"/>
    <row r="12760" ht="15.75" hidden="1" customHeight="1"/>
    <row r="12761" ht="15.75" hidden="1" customHeight="1"/>
    <row r="12762" ht="15.75" hidden="1" customHeight="1"/>
    <row r="12763" ht="15.75" hidden="1" customHeight="1"/>
    <row r="12764" ht="15.75" hidden="1" customHeight="1"/>
    <row r="12765" ht="15.75" hidden="1" customHeight="1"/>
    <row r="12766" ht="15.75" hidden="1" customHeight="1"/>
    <row r="12767" ht="15.75" hidden="1" customHeight="1"/>
    <row r="12768" ht="15.75" hidden="1" customHeight="1"/>
    <row r="12769" ht="15.75" hidden="1" customHeight="1"/>
    <row r="12770" ht="15.75" hidden="1" customHeight="1"/>
    <row r="12771" ht="15.75" hidden="1" customHeight="1"/>
    <row r="12772" ht="15.75" hidden="1" customHeight="1"/>
    <row r="12773" ht="15.75" hidden="1" customHeight="1"/>
    <row r="12774" ht="15.75" hidden="1" customHeight="1"/>
    <row r="12775" ht="15.75" hidden="1" customHeight="1"/>
    <row r="12776" ht="15.75" hidden="1" customHeight="1"/>
    <row r="12777" ht="15.75" hidden="1" customHeight="1"/>
    <row r="12778" ht="15.75" hidden="1" customHeight="1"/>
    <row r="12779" ht="15.75" hidden="1" customHeight="1"/>
    <row r="12780" ht="15.75" hidden="1" customHeight="1"/>
    <row r="12781" ht="15.75" hidden="1" customHeight="1"/>
    <row r="12782" ht="15.75" hidden="1" customHeight="1"/>
    <row r="12783" ht="15.75" hidden="1" customHeight="1"/>
    <row r="12784" ht="15.75" hidden="1" customHeight="1"/>
    <row r="12785" ht="15.75" hidden="1" customHeight="1"/>
    <row r="12786" ht="15.75" hidden="1" customHeight="1"/>
    <row r="12787" ht="15.75" hidden="1" customHeight="1"/>
    <row r="12788" ht="15.75" hidden="1" customHeight="1"/>
    <row r="12789" ht="15.75" hidden="1" customHeight="1"/>
    <row r="12790" ht="15.75" hidden="1" customHeight="1"/>
    <row r="12791" ht="15.75" hidden="1" customHeight="1"/>
    <row r="12792" ht="15.75" hidden="1" customHeight="1"/>
    <row r="12793" ht="15.75" hidden="1" customHeight="1"/>
    <row r="12794" ht="15.75" hidden="1" customHeight="1"/>
    <row r="12795" ht="15.75" hidden="1" customHeight="1"/>
    <row r="12796" ht="15.75" hidden="1" customHeight="1"/>
    <row r="12797" ht="15.75" hidden="1" customHeight="1"/>
    <row r="12798" ht="15.75" hidden="1" customHeight="1"/>
    <row r="12799" ht="15.75" hidden="1" customHeight="1"/>
    <row r="12800" ht="15.75" hidden="1" customHeight="1"/>
    <row r="12801" ht="15.75" hidden="1" customHeight="1"/>
    <row r="12802" ht="15.75" hidden="1" customHeight="1"/>
    <row r="12803" ht="15.75" hidden="1" customHeight="1"/>
    <row r="12804" ht="15.75" hidden="1" customHeight="1"/>
    <row r="12805" ht="15.75" hidden="1" customHeight="1"/>
    <row r="12806" ht="15.75" hidden="1" customHeight="1"/>
    <row r="12807" ht="15.75" hidden="1" customHeight="1"/>
    <row r="12808" ht="15.75" hidden="1" customHeight="1"/>
    <row r="12809" ht="15.75" hidden="1" customHeight="1"/>
    <row r="12810" ht="15.75" hidden="1" customHeight="1"/>
    <row r="12811" ht="15.75" hidden="1" customHeight="1"/>
    <row r="12812" ht="15.75" hidden="1" customHeight="1"/>
    <row r="12813" ht="15.75" hidden="1" customHeight="1"/>
    <row r="12814" ht="15.75" hidden="1" customHeight="1"/>
    <row r="12815" ht="15.75" hidden="1" customHeight="1"/>
    <row r="12816" ht="15.75" hidden="1" customHeight="1"/>
    <row r="12817" ht="15.75" hidden="1" customHeight="1"/>
    <row r="12818" ht="15.75" hidden="1" customHeight="1"/>
    <row r="12819" ht="15.75" hidden="1" customHeight="1"/>
    <row r="12820" ht="15.75" hidden="1" customHeight="1"/>
    <row r="12821" ht="15.75" hidden="1" customHeight="1"/>
    <row r="12822" ht="15.75" hidden="1" customHeight="1"/>
    <row r="12823" ht="15.75" hidden="1" customHeight="1"/>
    <row r="12824" ht="15.75" hidden="1" customHeight="1"/>
    <row r="12825" ht="15.75" hidden="1" customHeight="1"/>
    <row r="12826" ht="15.75" hidden="1" customHeight="1"/>
    <row r="12827" ht="15.75" hidden="1" customHeight="1"/>
    <row r="12828" ht="15.75" hidden="1" customHeight="1"/>
    <row r="12829" ht="15.75" hidden="1" customHeight="1"/>
    <row r="12830" ht="15.75" hidden="1" customHeight="1"/>
    <row r="12831" ht="15.75" hidden="1" customHeight="1"/>
    <row r="12832" ht="15.75" hidden="1" customHeight="1"/>
    <row r="12833" ht="15.75" hidden="1" customHeight="1"/>
    <row r="12834" ht="15.75" hidden="1" customHeight="1"/>
    <row r="12835" ht="15.75" hidden="1" customHeight="1"/>
    <row r="12836" ht="15.75" hidden="1" customHeight="1"/>
    <row r="12837" ht="15.75" hidden="1" customHeight="1"/>
    <row r="12838" ht="15.75" hidden="1" customHeight="1"/>
    <row r="12839" ht="15.75" hidden="1" customHeight="1"/>
    <row r="12840" ht="15.75" hidden="1" customHeight="1"/>
    <row r="12841" ht="15.75" hidden="1" customHeight="1"/>
    <row r="12842" ht="15.75" hidden="1" customHeight="1"/>
    <row r="12843" ht="15.75" hidden="1" customHeight="1"/>
    <row r="12844" ht="15.75" hidden="1" customHeight="1"/>
    <row r="12845" ht="15.75" hidden="1" customHeight="1"/>
    <row r="12846" ht="15.75" hidden="1" customHeight="1"/>
    <row r="12847" ht="15.75" hidden="1" customHeight="1"/>
    <row r="12848" ht="15.75" hidden="1" customHeight="1"/>
    <row r="12849" ht="15.75" hidden="1" customHeight="1"/>
    <row r="12850" ht="15.75" hidden="1" customHeight="1"/>
    <row r="12851" ht="15.75" hidden="1" customHeight="1"/>
    <row r="12852" ht="15.75" hidden="1" customHeight="1"/>
    <row r="12853" ht="15.75" hidden="1" customHeight="1"/>
    <row r="12854" ht="15.75" hidden="1" customHeight="1"/>
    <row r="12855" ht="15.75" hidden="1" customHeight="1"/>
    <row r="12856" ht="15.75" hidden="1" customHeight="1"/>
    <row r="12857" ht="15.75" hidden="1" customHeight="1"/>
    <row r="12858" ht="15.75" hidden="1" customHeight="1"/>
    <row r="12859" ht="15.75" hidden="1" customHeight="1"/>
    <row r="12860" ht="15.75" hidden="1" customHeight="1"/>
    <row r="12861" ht="15.75" hidden="1" customHeight="1"/>
    <row r="12862" ht="15.75" hidden="1" customHeight="1"/>
    <row r="12863" ht="15.75" hidden="1" customHeight="1"/>
    <row r="12864" ht="15.75" hidden="1" customHeight="1"/>
    <row r="12865" ht="15.75" hidden="1" customHeight="1"/>
    <row r="12866" ht="15.75" hidden="1" customHeight="1"/>
    <row r="12867" ht="15.75" hidden="1" customHeight="1"/>
    <row r="12868" ht="15.75" hidden="1" customHeight="1"/>
    <row r="12869" ht="15.75" hidden="1" customHeight="1"/>
    <row r="12870" ht="15.75" hidden="1" customHeight="1"/>
    <row r="12871" ht="15.75" hidden="1" customHeight="1"/>
    <row r="12872" ht="15.75" hidden="1" customHeight="1"/>
    <row r="12873" ht="15.75" hidden="1" customHeight="1"/>
    <row r="12874" ht="15.75" hidden="1" customHeight="1"/>
    <row r="12875" ht="15.75" hidden="1" customHeight="1"/>
    <row r="12876" ht="15.75" hidden="1" customHeight="1"/>
    <row r="12877" ht="15.75" hidden="1" customHeight="1"/>
    <row r="12878" ht="15.75" hidden="1" customHeight="1"/>
    <row r="12879" ht="15.75" hidden="1" customHeight="1"/>
    <row r="12880" ht="15.75" hidden="1" customHeight="1"/>
    <row r="12881" ht="15.75" hidden="1" customHeight="1"/>
    <row r="12882" ht="15.75" hidden="1" customHeight="1"/>
    <row r="12883" ht="15.75" hidden="1" customHeight="1"/>
    <row r="12884" ht="15.75" hidden="1" customHeight="1"/>
    <row r="12885" ht="15.75" hidden="1" customHeight="1"/>
    <row r="12886" ht="15.75" hidden="1" customHeight="1"/>
    <row r="12887" ht="15.75" hidden="1" customHeight="1"/>
    <row r="12888" ht="15.75" hidden="1" customHeight="1"/>
    <row r="12889" ht="15.75" hidden="1" customHeight="1"/>
    <row r="12890" ht="15.75" hidden="1" customHeight="1"/>
    <row r="12891" ht="15.75" hidden="1" customHeight="1"/>
    <row r="12892" ht="15.75" hidden="1" customHeight="1"/>
    <row r="12893" ht="15.75" hidden="1" customHeight="1"/>
    <row r="12894" ht="15.75" hidden="1" customHeight="1"/>
    <row r="12895" ht="15.75" hidden="1" customHeight="1"/>
    <row r="12896" ht="15.75" hidden="1" customHeight="1"/>
    <row r="12897" ht="15.75" hidden="1" customHeight="1"/>
    <row r="12898" ht="15.75" hidden="1" customHeight="1"/>
    <row r="12899" ht="15.75" hidden="1" customHeight="1"/>
    <row r="12900" ht="15.75" hidden="1" customHeight="1"/>
    <row r="12901" ht="15.75" hidden="1" customHeight="1"/>
    <row r="12902" ht="15.75" hidden="1" customHeight="1"/>
    <row r="12903" ht="15.75" hidden="1" customHeight="1"/>
    <row r="12904" ht="15.75" hidden="1" customHeight="1"/>
    <row r="12905" ht="15.75" hidden="1" customHeight="1"/>
    <row r="12906" ht="15.75" hidden="1" customHeight="1"/>
    <row r="12907" ht="15.75" hidden="1" customHeight="1"/>
    <row r="12908" ht="15.75" hidden="1" customHeight="1"/>
    <row r="12909" ht="15.75" hidden="1" customHeight="1"/>
    <row r="12910" ht="15.75" hidden="1" customHeight="1"/>
    <row r="12911" ht="15.75" hidden="1" customHeight="1"/>
    <row r="12912" ht="15.75" hidden="1" customHeight="1"/>
    <row r="12913" ht="15.75" hidden="1" customHeight="1"/>
    <row r="12914" ht="15.75" hidden="1" customHeight="1"/>
    <row r="12915" ht="15.75" hidden="1" customHeight="1"/>
    <row r="12916" ht="15.75" hidden="1" customHeight="1"/>
    <row r="12917" ht="15.75" hidden="1" customHeight="1"/>
    <row r="12918" ht="15.75" hidden="1" customHeight="1"/>
    <row r="12919" ht="15.75" hidden="1" customHeight="1"/>
    <row r="12920" ht="15.75" hidden="1" customHeight="1"/>
    <row r="12921" ht="15.75" hidden="1" customHeight="1"/>
    <row r="12922" ht="15.75" hidden="1" customHeight="1"/>
    <row r="12923" ht="15.75" hidden="1" customHeight="1"/>
    <row r="12924" ht="15.75" hidden="1" customHeight="1"/>
    <row r="12925" ht="15.75" hidden="1" customHeight="1"/>
    <row r="12926" ht="15.75" hidden="1" customHeight="1"/>
    <row r="12927" ht="15.75" hidden="1" customHeight="1"/>
    <row r="12928" ht="15.75" hidden="1" customHeight="1"/>
    <row r="12929" ht="15.75" hidden="1" customHeight="1"/>
    <row r="12930" ht="15.75" hidden="1" customHeight="1"/>
    <row r="12931" ht="15.75" hidden="1" customHeight="1"/>
    <row r="12932" ht="15.75" hidden="1" customHeight="1"/>
    <row r="12933" ht="15.75" hidden="1" customHeight="1"/>
    <row r="12934" ht="15.75" hidden="1" customHeight="1"/>
    <row r="12935" ht="15.75" hidden="1" customHeight="1"/>
    <row r="12936" ht="15.75" hidden="1" customHeight="1"/>
    <row r="12937" ht="15.75" hidden="1" customHeight="1"/>
    <row r="12938" ht="15.75" hidden="1" customHeight="1"/>
    <row r="12939" ht="15.75" hidden="1" customHeight="1"/>
    <row r="12940" ht="15.75" hidden="1" customHeight="1"/>
    <row r="12941" ht="15.75" hidden="1" customHeight="1"/>
    <row r="12942" ht="15.75" hidden="1" customHeight="1"/>
    <row r="12943" ht="15.75" hidden="1" customHeight="1"/>
    <row r="12944" ht="15.75" hidden="1" customHeight="1"/>
    <row r="12945" ht="15.75" hidden="1" customHeight="1"/>
    <row r="12946" ht="15.75" hidden="1" customHeight="1"/>
    <row r="12947" ht="15.75" hidden="1" customHeight="1"/>
    <row r="12948" ht="15.75" hidden="1" customHeight="1"/>
    <row r="12949" ht="15.75" hidden="1" customHeight="1"/>
    <row r="12950" ht="15.75" hidden="1" customHeight="1"/>
    <row r="12951" ht="15.75" hidden="1" customHeight="1"/>
    <row r="12952" ht="15.75" hidden="1" customHeight="1"/>
    <row r="12953" ht="15.75" hidden="1" customHeight="1"/>
    <row r="12954" ht="15.75" hidden="1" customHeight="1"/>
    <row r="12955" ht="15.75" hidden="1" customHeight="1"/>
    <row r="12956" ht="15.75" hidden="1" customHeight="1"/>
    <row r="12957" ht="15.75" hidden="1" customHeight="1"/>
    <row r="12958" ht="15.75" hidden="1" customHeight="1"/>
    <row r="12959" ht="15.75" hidden="1" customHeight="1"/>
    <row r="12960" ht="15.75" hidden="1" customHeight="1"/>
    <row r="12961" ht="15.75" hidden="1" customHeight="1"/>
    <row r="12962" ht="15.75" hidden="1" customHeight="1"/>
    <row r="12963" ht="15.75" hidden="1" customHeight="1"/>
    <row r="12964" ht="15.75" hidden="1" customHeight="1"/>
    <row r="12965" ht="15.75" hidden="1" customHeight="1"/>
    <row r="12966" ht="15.75" hidden="1" customHeight="1"/>
    <row r="12967" ht="15.75" hidden="1" customHeight="1"/>
    <row r="12968" ht="15.75" hidden="1" customHeight="1"/>
    <row r="12969" ht="15.75" hidden="1" customHeight="1"/>
    <row r="12970" ht="15.75" hidden="1" customHeight="1"/>
    <row r="12971" ht="15.75" hidden="1" customHeight="1"/>
    <row r="12972" ht="15.75" hidden="1" customHeight="1"/>
    <row r="12973" ht="15.75" hidden="1" customHeight="1"/>
    <row r="12974" ht="15.75" hidden="1" customHeight="1"/>
    <row r="12975" ht="15.75" hidden="1" customHeight="1"/>
    <row r="12976" ht="15.75" hidden="1" customHeight="1"/>
    <row r="12977" ht="15.75" hidden="1" customHeight="1"/>
    <row r="12978" ht="15.75" hidden="1" customHeight="1"/>
    <row r="12979" ht="15.75" hidden="1" customHeight="1"/>
    <row r="12980" ht="15.75" hidden="1" customHeight="1"/>
    <row r="12981" ht="15.75" hidden="1" customHeight="1"/>
    <row r="12982" ht="15.75" hidden="1" customHeight="1"/>
    <row r="12983" ht="15.75" hidden="1" customHeight="1"/>
    <row r="12984" ht="15.75" hidden="1" customHeight="1"/>
    <row r="12985" ht="15.75" hidden="1" customHeight="1"/>
    <row r="12986" ht="15.75" hidden="1" customHeight="1"/>
    <row r="12987" ht="15.75" hidden="1" customHeight="1"/>
    <row r="12988" ht="15.75" hidden="1" customHeight="1"/>
    <row r="12989" ht="15.75" hidden="1" customHeight="1"/>
    <row r="12990" ht="15.75" hidden="1" customHeight="1"/>
    <row r="12991" ht="15.75" hidden="1" customHeight="1"/>
    <row r="12992" ht="15.75" hidden="1" customHeight="1"/>
    <row r="12993" ht="15.75" hidden="1" customHeight="1"/>
    <row r="12994" ht="15.75" hidden="1" customHeight="1"/>
    <row r="12995" ht="15.75" hidden="1" customHeight="1"/>
    <row r="12996" ht="15.75" hidden="1" customHeight="1"/>
    <row r="12997" ht="15.75" hidden="1" customHeight="1"/>
    <row r="12998" ht="15.75" hidden="1" customHeight="1"/>
    <row r="12999" ht="15.75" hidden="1" customHeight="1"/>
    <row r="13000" ht="15.75" hidden="1" customHeight="1"/>
    <row r="13001" ht="15.75" hidden="1" customHeight="1"/>
    <row r="13002" ht="15.75" hidden="1" customHeight="1"/>
    <row r="13003" ht="15.75" hidden="1" customHeight="1"/>
    <row r="13004" ht="15.75" hidden="1" customHeight="1"/>
    <row r="13005" ht="15.75" hidden="1" customHeight="1"/>
    <row r="13006" ht="15.75" hidden="1" customHeight="1"/>
    <row r="13007" ht="15.75" hidden="1" customHeight="1"/>
    <row r="13008" ht="15.75" hidden="1" customHeight="1"/>
    <row r="13009" ht="15.75" hidden="1" customHeight="1"/>
    <row r="13010" ht="15.75" hidden="1" customHeight="1"/>
    <row r="13011" ht="15.75" hidden="1" customHeight="1"/>
    <row r="13012" ht="15.75" hidden="1" customHeight="1"/>
    <row r="13013" ht="15.75" hidden="1" customHeight="1"/>
    <row r="13014" ht="15.75" hidden="1" customHeight="1"/>
    <row r="13015" ht="15.75" hidden="1" customHeight="1"/>
    <row r="13016" ht="15.75" hidden="1" customHeight="1"/>
    <row r="13017" ht="15.75" hidden="1" customHeight="1"/>
    <row r="13018" ht="15.75" hidden="1" customHeight="1"/>
    <row r="13019" ht="15.75" hidden="1" customHeight="1"/>
    <row r="13020" ht="15.75" hidden="1" customHeight="1"/>
    <row r="13021" ht="15.75" hidden="1" customHeight="1"/>
    <row r="13022" ht="15.75" hidden="1" customHeight="1"/>
    <row r="13023" ht="15.75" hidden="1" customHeight="1"/>
    <row r="13024" ht="15.75" hidden="1" customHeight="1"/>
    <row r="13025" ht="15.75" hidden="1" customHeight="1"/>
    <row r="13026" ht="15.75" hidden="1" customHeight="1"/>
    <row r="13027" ht="15.75" hidden="1" customHeight="1"/>
    <row r="13028" ht="15.75" hidden="1" customHeight="1"/>
    <row r="13029" ht="15.75" hidden="1" customHeight="1"/>
    <row r="13030" ht="15.75" hidden="1" customHeight="1"/>
    <row r="13031" ht="15.75" hidden="1" customHeight="1"/>
    <row r="13032" ht="15.75" hidden="1" customHeight="1"/>
    <row r="13033" ht="15.75" hidden="1" customHeight="1"/>
    <row r="13034" ht="15.75" hidden="1" customHeight="1"/>
    <row r="13035" ht="15.75" hidden="1" customHeight="1"/>
    <row r="13036" ht="15.75" hidden="1" customHeight="1"/>
    <row r="13037" ht="15.75" hidden="1" customHeight="1"/>
    <row r="13038" ht="15.75" hidden="1" customHeight="1"/>
    <row r="13039" ht="15.75" hidden="1" customHeight="1"/>
    <row r="13040" ht="15.75" hidden="1" customHeight="1"/>
    <row r="13041" ht="15.75" hidden="1" customHeight="1"/>
    <row r="13042" ht="15.75" hidden="1" customHeight="1"/>
    <row r="13043" ht="15.75" hidden="1" customHeight="1"/>
    <row r="13044" ht="15.75" hidden="1" customHeight="1"/>
    <row r="13045" ht="15.75" hidden="1" customHeight="1"/>
    <row r="13046" ht="15.75" hidden="1" customHeight="1"/>
    <row r="13047" ht="15.75" hidden="1" customHeight="1"/>
    <row r="13048" ht="15.75" hidden="1" customHeight="1"/>
    <row r="13049" ht="15.75" hidden="1" customHeight="1"/>
    <row r="13050" ht="15.75" hidden="1" customHeight="1"/>
    <row r="13051" ht="15.75" hidden="1" customHeight="1"/>
    <row r="13052" ht="15.75" hidden="1" customHeight="1"/>
    <row r="13053" ht="15.75" hidden="1" customHeight="1"/>
    <row r="13054" ht="15.75" hidden="1" customHeight="1"/>
    <row r="13055" ht="15.75" hidden="1" customHeight="1"/>
    <row r="13056" ht="15.75" hidden="1" customHeight="1"/>
    <row r="13057" ht="15.75" hidden="1" customHeight="1"/>
    <row r="13058" ht="15.75" hidden="1" customHeight="1"/>
    <row r="13059" ht="15.75" hidden="1" customHeight="1"/>
    <row r="13060" ht="15.75" hidden="1" customHeight="1"/>
    <row r="13061" ht="15.75" hidden="1" customHeight="1"/>
    <row r="13062" ht="15.75" hidden="1" customHeight="1"/>
    <row r="13063" ht="15.75" hidden="1" customHeight="1"/>
    <row r="13064" ht="15.75" hidden="1" customHeight="1"/>
    <row r="13065" ht="15.75" hidden="1" customHeight="1"/>
    <row r="13066" ht="15.75" hidden="1" customHeight="1"/>
    <row r="13067" ht="15.75" hidden="1" customHeight="1"/>
    <row r="13068" ht="15.75" hidden="1" customHeight="1"/>
    <row r="13069" ht="15.75" hidden="1" customHeight="1"/>
    <row r="13070" ht="15.75" hidden="1" customHeight="1"/>
    <row r="13071" ht="15.75" hidden="1" customHeight="1"/>
    <row r="13072" ht="15.75" hidden="1" customHeight="1"/>
    <row r="13073" ht="15.75" hidden="1" customHeight="1"/>
    <row r="13074" ht="15.75" hidden="1" customHeight="1"/>
    <row r="13075" ht="15.75" hidden="1" customHeight="1"/>
    <row r="13076" ht="15.75" hidden="1" customHeight="1"/>
    <row r="13077" ht="15.75" hidden="1" customHeight="1"/>
    <row r="13078" ht="15.75" hidden="1" customHeight="1"/>
    <row r="13079" ht="15.75" hidden="1" customHeight="1"/>
    <row r="13080" ht="15.75" hidden="1" customHeight="1"/>
    <row r="13081" ht="15.75" hidden="1" customHeight="1"/>
    <row r="13082" ht="15.75" hidden="1" customHeight="1"/>
    <row r="13083" ht="15.75" hidden="1" customHeight="1"/>
    <row r="13084" ht="15.75" hidden="1" customHeight="1"/>
    <row r="13085" ht="15.75" hidden="1" customHeight="1"/>
    <row r="13086" ht="15.75" hidden="1" customHeight="1"/>
    <row r="13087" ht="15.75" hidden="1" customHeight="1"/>
    <row r="13088" ht="15.75" hidden="1" customHeight="1"/>
    <row r="13089" ht="15.75" hidden="1" customHeight="1"/>
    <row r="13090" ht="15.75" hidden="1" customHeight="1"/>
    <row r="13091" ht="15.75" hidden="1" customHeight="1"/>
    <row r="13092" ht="15.75" hidden="1" customHeight="1"/>
    <row r="13093" ht="15.75" hidden="1" customHeight="1"/>
    <row r="13094" ht="15.75" hidden="1" customHeight="1"/>
    <row r="13095" ht="15.75" hidden="1" customHeight="1"/>
    <row r="13096" ht="15.75" hidden="1" customHeight="1"/>
    <row r="13097" ht="15.75" hidden="1" customHeight="1"/>
    <row r="13098" ht="15.75" hidden="1" customHeight="1"/>
    <row r="13099" ht="15.75" hidden="1" customHeight="1"/>
    <row r="13100" ht="15.75" hidden="1" customHeight="1"/>
    <row r="13101" ht="15.75" hidden="1" customHeight="1"/>
    <row r="13102" ht="15.75" hidden="1" customHeight="1"/>
    <row r="13103" ht="15.75" hidden="1" customHeight="1"/>
    <row r="13104" ht="15.75" hidden="1" customHeight="1"/>
    <row r="13105" ht="15.75" hidden="1" customHeight="1"/>
    <row r="13106" ht="15.75" hidden="1" customHeight="1"/>
    <row r="13107" ht="15.75" hidden="1" customHeight="1"/>
    <row r="13108" ht="15.75" hidden="1" customHeight="1"/>
    <row r="13109" ht="15.75" hidden="1" customHeight="1"/>
    <row r="13110" ht="15.75" hidden="1" customHeight="1"/>
    <row r="13111" ht="15.75" hidden="1" customHeight="1"/>
    <row r="13112" ht="15.75" hidden="1" customHeight="1"/>
    <row r="13113" ht="15.75" hidden="1" customHeight="1"/>
    <row r="13114" ht="15.75" hidden="1" customHeight="1"/>
    <row r="13115" ht="15.75" hidden="1" customHeight="1"/>
    <row r="13116" ht="15.75" hidden="1" customHeight="1"/>
    <row r="13117" ht="15.75" hidden="1" customHeight="1"/>
    <row r="13118" ht="15.75" hidden="1" customHeight="1"/>
    <row r="13119" ht="15.75" hidden="1" customHeight="1"/>
    <row r="13120" ht="15.75" hidden="1" customHeight="1"/>
    <row r="13121" ht="15.75" hidden="1" customHeight="1"/>
    <row r="13122" ht="15.75" hidden="1" customHeight="1"/>
    <row r="13123" ht="15.75" hidden="1" customHeight="1"/>
    <row r="13124" ht="15.75" hidden="1" customHeight="1"/>
    <row r="13125" ht="15.75" hidden="1" customHeight="1"/>
    <row r="13126" ht="15.75" hidden="1" customHeight="1"/>
    <row r="13127" ht="15.75" hidden="1" customHeight="1"/>
    <row r="13128" ht="15.75" hidden="1" customHeight="1"/>
    <row r="13129" ht="15.75" hidden="1" customHeight="1"/>
    <row r="13130" ht="15.75" hidden="1" customHeight="1"/>
    <row r="13131" ht="15.75" hidden="1" customHeight="1"/>
    <row r="13132" ht="15.75" hidden="1" customHeight="1"/>
    <row r="13133" ht="15.75" hidden="1" customHeight="1"/>
    <row r="13134" ht="15.75" hidden="1" customHeight="1"/>
    <row r="13135" ht="15.75" hidden="1" customHeight="1"/>
    <row r="13136" ht="15.75" hidden="1" customHeight="1"/>
    <row r="13137" ht="15.75" hidden="1" customHeight="1"/>
    <row r="13138" ht="15.75" hidden="1" customHeight="1"/>
    <row r="13139" ht="15.75" hidden="1" customHeight="1"/>
    <row r="13140" ht="15.75" hidden="1" customHeight="1"/>
    <row r="13141" ht="15.75" hidden="1" customHeight="1"/>
    <row r="13142" ht="15.75" hidden="1" customHeight="1"/>
    <row r="13143" ht="15.75" hidden="1" customHeight="1"/>
    <row r="13144" ht="15.75" hidden="1" customHeight="1"/>
    <row r="13145" ht="15.75" hidden="1" customHeight="1"/>
    <row r="13146" ht="15.75" hidden="1" customHeight="1"/>
    <row r="13147" ht="15.75" hidden="1" customHeight="1"/>
    <row r="13148" ht="15.75" hidden="1" customHeight="1"/>
    <row r="13149" ht="15.75" hidden="1" customHeight="1"/>
    <row r="13150" ht="15.75" hidden="1" customHeight="1"/>
    <row r="13151" ht="15.75" hidden="1" customHeight="1"/>
    <row r="13152" ht="15.75" hidden="1" customHeight="1"/>
    <row r="13153" ht="15.75" hidden="1" customHeight="1"/>
    <row r="13154" ht="15.75" hidden="1" customHeight="1"/>
    <row r="13155" ht="15.75" hidden="1" customHeight="1"/>
    <row r="13156" ht="15.75" hidden="1" customHeight="1"/>
    <row r="13157" ht="15.75" hidden="1" customHeight="1"/>
    <row r="13158" ht="15.75" hidden="1" customHeight="1"/>
    <row r="13159" ht="15.75" hidden="1" customHeight="1"/>
    <row r="13160" ht="15.75" hidden="1" customHeight="1"/>
    <row r="13161" ht="15.75" hidden="1" customHeight="1"/>
    <row r="13162" ht="15.75" hidden="1" customHeight="1"/>
    <row r="13163" ht="15.75" hidden="1" customHeight="1"/>
    <row r="13164" ht="15.75" hidden="1" customHeight="1"/>
    <row r="13165" ht="15.75" hidden="1" customHeight="1"/>
    <row r="13166" ht="15.75" hidden="1" customHeight="1"/>
    <row r="13167" ht="15.75" hidden="1" customHeight="1"/>
    <row r="13168" ht="15.75" hidden="1" customHeight="1"/>
    <row r="13169" ht="15.75" hidden="1" customHeight="1"/>
    <row r="13170" ht="15.75" hidden="1" customHeight="1"/>
    <row r="13171" ht="15.75" hidden="1" customHeight="1"/>
    <row r="13172" ht="15.75" hidden="1" customHeight="1"/>
    <row r="13173" ht="15.75" hidden="1" customHeight="1"/>
    <row r="13174" ht="15.75" hidden="1" customHeight="1"/>
    <row r="13175" ht="15.75" hidden="1" customHeight="1"/>
    <row r="13176" ht="15.75" hidden="1" customHeight="1"/>
    <row r="13177" ht="15.75" hidden="1" customHeight="1"/>
    <row r="13178" ht="15.75" hidden="1" customHeight="1"/>
    <row r="13179" ht="15.75" hidden="1" customHeight="1"/>
    <row r="13180" ht="15.75" hidden="1" customHeight="1"/>
    <row r="13181" ht="15.75" hidden="1" customHeight="1"/>
    <row r="13182" ht="15.75" hidden="1" customHeight="1"/>
    <row r="13183" ht="15.75" hidden="1" customHeight="1"/>
    <row r="13184" ht="15.75" hidden="1" customHeight="1"/>
    <row r="13185" ht="15.75" hidden="1" customHeight="1"/>
    <row r="13186" ht="15.75" hidden="1" customHeight="1"/>
    <row r="13187" ht="15.75" hidden="1" customHeight="1"/>
    <row r="13188" ht="15.75" hidden="1" customHeight="1"/>
    <row r="13189" ht="15.75" hidden="1" customHeight="1"/>
    <row r="13190" ht="15.75" hidden="1" customHeight="1"/>
    <row r="13191" ht="15.75" hidden="1" customHeight="1"/>
    <row r="13192" ht="15.75" hidden="1" customHeight="1"/>
    <row r="13193" ht="15.75" hidden="1" customHeight="1"/>
    <row r="13194" ht="15.75" hidden="1" customHeight="1"/>
    <row r="13195" ht="15.75" hidden="1" customHeight="1"/>
    <row r="13196" ht="15.75" hidden="1" customHeight="1"/>
    <row r="13197" ht="15.75" hidden="1" customHeight="1"/>
    <row r="13198" ht="15.75" hidden="1" customHeight="1"/>
    <row r="13199" ht="15.75" hidden="1" customHeight="1"/>
    <row r="13200" ht="15.75" hidden="1" customHeight="1"/>
    <row r="13201" ht="15.75" hidden="1" customHeight="1"/>
    <row r="13202" ht="15.75" hidden="1" customHeight="1"/>
    <row r="13203" ht="15.75" hidden="1" customHeight="1"/>
    <row r="13204" ht="15.75" hidden="1" customHeight="1"/>
    <row r="13205" ht="15.75" hidden="1" customHeight="1"/>
    <row r="13206" ht="15.75" hidden="1" customHeight="1"/>
    <row r="13207" ht="15.75" hidden="1" customHeight="1"/>
    <row r="13208" ht="15.75" hidden="1" customHeight="1"/>
    <row r="13209" ht="15.75" hidden="1" customHeight="1"/>
    <row r="13210" ht="15.75" hidden="1" customHeight="1"/>
    <row r="13211" ht="15.75" hidden="1" customHeight="1"/>
    <row r="13212" ht="15.75" hidden="1" customHeight="1"/>
    <row r="13213" ht="15.75" hidden="1" customHeight="1"/>
    <row r="13214" ht="15.75" hidden="1" customHeight="1"/>
    <row r="13215" ht="15.75" hidden="1" customHeight="1"/>
    <row r="13216" ht="15.75" hidden="1" customHeight="1"/>
    <row r="13217" ht="15.75" hidden="1" customHeight="1"/>
    <row r="13218" ht="15.75" hidden="1" customHeight="1"/>
    <row r="13219" ht="15.75" hidden="1" customHeight="1"/>
    <row r="13220" ht="15.75" hidden="1" customHeight="1"/>
    <row r="13221" ht="15.75" hidden="1" customHeight="1"/>
    <row r="13222" ht="15.75" hidden="1" customHeight="1"/>
    <row r="13223" ht="15.75" hidden="1" customHeight="1"/>
    <row r="13224" ht="15.75" hidden="1" customHeight="1"/>
    <row r="13225" ht="15.75" hidden="1" customHeight="1"/>
    <row r="13226" ht="15.75" hidden="1" customHeight="1"/>
    <row r="13227" ht="15.75" hidden="1" customHeight="1"/>
    <row r="13228" ht="15.75" hidden="1" customHeight="1"/>
    <row r="13229" ht="15.75" hidden="1" customHeight="1"/>
    <row r="13230" ht="15.75" hidden="1" customHeight="1"/>
    <row r="13231" ht="15.75" hidden="1" customHeight="1"/>
    <row r="13232" ht="15.75" hidden="1" customHeight="1"/>
    <row r="13233" ht="15.75" hidden="1" customHeight="1"/>
    <row r="13234" ht="15.75" hidden="1" customHeight="1"/>
    <row r="13235" ht="15.75" hidden="1" customHeight="1"/>
    <row r="13236" ht="15.75" hidden="1" customHeight="1"/>
    <row r="13237" ht="15.75" hidden="1" customHeight="1"/>
    <row r="13238" ht="15.75" hidden="1" customHeight="1"/>
    <row r="13239" ht="15.75" hidden="1" customHeight="1"/>
    <row r="13240" ht="15.75" hidden="1" customHeight="1"/>
    <row r="13241" ht="15.75" hidden="1" customHeight="1"/>
    <row r="13242" ht="15.75" hidden="1" customHeight="1"/>
    <row r="13243" ht="15.75" hidden="1" customHeight="1"/>
    <row r="13244" ht="15.75" hidden="1" customHeight="1"/>
    <row r="13245" ht="15.75" hidden="1" customHeight="1"/>
    <row r="13246" ht="15.75" hidden="1" customHeight="1"/>
    <row r="13247" ht="15.75" hidden="1" customHeight="1"/>
    <row r="13248" ht="15.75" hidden="1" customHeight="1"/>
    <row r="13249" ht="15.75" hidden="1" customHeight="1"/>
    <row r="13250" ht="15.75" hidden="1" customHeight="1"/>
    <row r="13251" ht="15.75" hidden="1" customHeight="1"/>
    <row r="13252" ht="15.75" hidden="1" customHeight="1"/>
    <row r="13253" ht="15.75" hidden="1" customHeight="1"/>
    <row r="13254" ht="15.75" hidden="1" customHeight="1"/>
    <row r="13255" ht="15.75" hidden="1" customHeight="1"/>
    <row r="13256" ht="15.75" hidden="1" customHeight="1"/>
    <row r="13257" ht="15.75" hidden="1" customHeight="1"/>
    <row r="13258" ht="15.75" hidden="1" customHeight="1"/>
    <row r="13259" ht="15.75" hidden="1" customHeight="1"/>
    <row r="13260" ht="15.75" hidden="1" customHeight="1"/>
    <row r="13261" ht="15.75" hidden="1" customHeight="1"/>
    <row r="13262" ht="15.75" hidden="1" customHeight="1"/>
    <row r="13263" ht="15.75" hidden="1" customHeight="1"/>
    <row r="13264" ht="15.75" hidden="1" customHeight="1"/>
    <row r="13265" ht="15.75" hidden="1" customHeight="1"/>
    <row r="13266" ht="15.75" hidden="1" customHeight="1"/>
    <row r="13267" ht="15.75" hidden="1" customHeight="1"/>
    <row r="13268" ht="15.75" hidden="1" customHeight="1"/>
    <row r="13269" ht="15.75" hidden="1" customHeight="1"/>
    <row r="13270" ht="15.75" hidden="1" customHeight="1"/>
    <row r="13271" ht="15.75" hidden="1" customHeight="1"/>
    <row r="13272" ht="15.75" hidden="1" customHeight="1"/>
    <row r="13273" ht="15.75" hidden="1" customHeight="1"/>
    <row r="13274" ht="15.75" hidden="1" customHeight="1"/>
    <row r="13275" ht="15.75" hidden="1" customHeight="1"/>
    <row r="13276" ht="15.75" hidden="1" customHeight="1"/>
    <row r="13277" ht="15.75" hidden="1" customHeight="1"/>
    <row r="13278" ht="15.75" hidden="1" customHeight="1"/>
    <row r="13279" ht="15.75" hidden="1" customHeight="1"/>
    <row r="13280" ht="15.75" hidden="1" customHeight="1"/>
    <row r="13281" ht="15.75" hidden="1" customHeight="1"/>
    <row r="13282" ht="15.75" hidden="1" customHeight="1"/>
    <row r="13283" ht="15.75" hidden="1" customHeight="1"/>
    <row r="13284" ht="15.75" hidden="1" customHeight="1"/>
    <row r="13285" ht="15.75" hidden="1" customHeight="1"/>
    <row r="13286" ht="15.75" hidden="1" customHeight="1"/>
    <row r="13287" ht="15.75" hidden="1" customHeight="1"/>
    <row r="13288" ht="15.75" hidden="1" customHeight="1"/>
    <row r="13289" ht="15.75" hidden="1" customHeight="1"/>
    <row r="13290" ht="15.75" hidden="1" customHeight="1"/>
    <row r="13291" ht="15.75" hidden="1" customHeight="1"/>
    <row r="13292" ht="15.75" hidden="1" customHeight="1"/>
    <row r="13293" ht="15.75" hidden="1" customHeight="1"/>
    <row r="13294" ht="15.75" hidden="1" customHeight="1"/>
    <row r="13295" ht="15.75" hidden="1" customHeight="1"/>
    <row r="13296" ht="15.75" hidden="1" customHeight="1"/>
    <row r="13297" ht="15.75" hidden="1" customHeight="1"/>
    <row r="13298" ht="15.75" hidden="1" customHeight="1"/>
    <row r="13299" ht="15.75" hidden="1" customHeight="1"/>
    <row r="13300" ht="15.75" hidden="1" customHeight="1"/>
    <row r="13301" ht="15.75" hidden="1" customHeight="1"/>
    <row r="13302" ht="15.75" hidden="1" customHeight="1"/>
    <row r="13303" ht="15.75" hidden="1" customHeight="1"/>
    <row r="13304" ht="15.75" hidden="1" customHeight="1"/>
    <row r="13305" ht="15.75" hidden="1" customHeight="1"/>
    <row r="13306" ht="15.75" hidden="1" customHeight="1"/>
    <row r="13307" ht="15.75" hidden="1" customHeight="1"/>
    <row r="13308" ht="15.75" hidden="1" customHeight="1"/>
    <row r="13309" ht="15.75" hidden="1" customHeight="1"/>
    <row r="13310" ht="15.75" hidden="1" customHeight="1"/>
    <row r="13311" ht="15.75" hidden="1" customHeight="1"/>
    <row r="13312" ht="15.75" hidden="1" customHeight="1"/>
    <row r="13313" ht="15.75" hidden="1" customHeight="1"/>
    <row r="13314" ht="15.75" hidden="1" customHeight="1"/>
    <row r="13315" ht="15.75" hidden="1" customHeight="1"/>
    <row r="13316" ht="15.75" hidden="1" customHeight="1"/>
    <row r="13317" ht="15.75" hidden="1" customHeight="1"/>
    <row r="13318" ht="15.75" hidden="1" customHeight="1"/>
    <row r="13319" ht="15.75" hidden="1" customHeight="1"/>
    <row r="13320" ht="15.75" hidden="1" customHeight="1"/>
    <row r="13321" ht="15.75" hidden="1" customHeight="1"/>
    <row r="13322" ht="15.75" hidden="1" customHeight="1"/>
    <row r="13323" ht="15.75" hidden="1" customHeight="1"/>
    <row r="13324" ht="15.75" hidden="1" customHeight="1"/>
    <row r="13325" ht="15.75" hidden="1" customHeight="1"/>
    <row r="13326" ht="15.75" hidden="1" customHeight="1"/>
    <row r="13327" ht="15.75" hidden="1" customHeight="1"/>
    <row r="13328" ht="15.75" hidden="1" customHeight="1"/>
    <row r="13329" ht="15.75" hidden="1" customHeight="1"/>
    <row r="13330" ht="15.75" hidden="1" customHeight="1"/>
    <row r="13331" ht="15.75" hidden="1" customHeight="1"/>
    <row r="13332" ht="15.75" hidden="1" customHeight="1"/>
    <row r="13333" ht="15.75" hidden="1" customHeight="1"/>
    <row r="13334" ht="15.75" hidden="1" customHeight="1"/>
    <row r="13335" ht="15.75" hidden="1" customHeight="1"/>
    <row r="13336" ht="15.75" hidden="1" customHeight="1"/>
    <row r="13337" ht="15.75" hidden="1" customHeight="1"/>
    <row r="13338" ht="15.75" hidden="1" customHeight="1"/>
    <row r="13339" ht="15.75" hidden="1" customHeight="1"/>
    <row r="13340" ht="15.75" hidden="1" customHeight="1"/>
    <row r="13341" ht="15.75" hidden="1" customHeight="1"/>
    <row r="13342" ht="15.75" hidden="1" customHeight="1"/>
    <row r="13343" ht="15.75" hidden="1" customHeight="1"/>
    <row r="13344" ht="15.75" hidden="1" customHeight="1"/>
    <row r="13345" ht="15.75" hidden="1" customHeight="1"/>
    <row r="13346" ht="15.75" hidden="1" customHeight="1"/>
    <row r="13347" ht="15.75" hidden="1" customHeight="1"/>
    <row r="13348" ht="15.75" hidden="1" customHeight="1"/>
    <row r="13349" ht="15.75" hidden="1" customHeight="1"/>
    <row r="13350" ht="15.75" hidden="1" customHeight="1"/>
    <row r="13351" ht="15.75" hidden="1" customHeight="1"/>
    <row r="13352" ht="15.75" hidden="1" customHeight="1"/>
    <row r="13353" ht="15.75" hidden="1" customHeight="1"/>
    <row r="13354" ht="15.75" hidden="1" customHeight="1"/>
    <row r="13355" ht="15.75" hidden="1" customHeight="1"/>
    <row r="13356" ht="15.75" hidden="1" customHeight="1"/>
    <row r="13357" ht="15.75" hidden="1" customHeight="1"/>
    <row r="13358" ht="15.75" hidden="1" customHeight="1"/>
    <row r="13359" ht="15.75" hidden="1" customHeight="1"/>
    <row r="13360" ht="15.75" hidden="1" customHeight="1"/>
    <row r="13361" ht="15.75" hidden="1" customHeight="1"/>
    <row r="13362" ht="15.75" hidden="1" customHeight="1"/>
    <row r="13363" ht="15.75" hidden="1" customHeight="1"/>
    <row r="13364" ht="15.75" hidden="1" customHeight="1"/>
    <row r="13365" ht="15.75" hidden="1" customHeight="1"/>
    <row r="13366" ht="15.75" hidden="1" customHeight="1"/>
    <row r="13367" ht="15.75" hidden="1" customHeight="1"/>
    <row r="13368" ht="15.75" hidden="1" customHeight="1"/>
    <row r="13369" ht="15.75" hidden="1" customHeight="1"/>
    <row r="13370" ht="15.75" hidden="1" customHeight="1"/>
    <row r="13371" ht="15.75" hidden="1" customHeight="1"/>
    <row r="13372" ht="15.75" hidden="1" customHeight="1"/>
    <row r="13373" ht="15.75" hidden="1" customHeight="1"/>
    <row r="13374" ht="15.75" hidden="1" customHeight="1"/>
    <row r="13375" ht="15.75" hidden="1" customHeight="1"/>
    <row r="13376" ht="15.75" hidden="1" customHeight="1"/>
    <row r="13377" ht="15.75" hidden="1" customHeight="1"/>
    <row r="13378" ht="15.75" hidden="1" customHeight="1"/>
    <row r="13379" ht="15.75" hidden="1" customHeight="1"/>
    <row r="13380" ht="15.75" hidden="1" customHeight="1"/>
    <row r="13381" ht="15.75" hidden="1" customHeight="1"/>
    <row r="13382" ht="15.75" hidden="1" customHeight="1"/>
    <row r="13383" ht="15.75" hidden="1" customHeight="1"/>
    <row r="13384" ht="15.75" hidden="1" customHeight="1"/>
    <row r="13385" ht="15.75" hidden="1" customHeight="1"/>
    <row r="13386" ht="15.75" hidden="1" customHeight="1"/>
    <row r="13387" ht="15.75" hidden="1" customHeight="1"/>
    <row r="13388" ht="15.75" hidden="1" customHeight="1"/>
    <row r="13389" ht="15.75" hidden="1" customHeight="1"/>
    <row r="13390" ht="15.75" hidden="1" customHeight="1"/>
    <row r="13391" ht="15.75" hidden="1" customHeight="1"/>
    <row r="13392" ht="15.75" hidden="1" customHeight="1"/>
    <row r="13393" ht="15.75" hidden="1" customHeight="1"/>
    <row r="13394" ht="15.75" hidden="1" customHeight="1"/>
    <row r="13395" ht="15.75" hidden="1" customHeight="1"/>
    <row r="13396" ht="15.75" hidden="1" customHeight="1"/>
    <row r="13397" ht="15.75" hidden="1" customHeight="1"/>
    <row r="13398" ht="15.75" hidden="1" customHeight="1"/>
    <row r="13399" ht="15.75" hidden="1" customHeight="1"/>
    <row r="13400" ht="15.75" hidden="1" customHeight="1"/>
    <row r="13401" ht="15.75" hidden="1" customHeight="1"/>
    <row r="13402" ht="15.75" hidden="1" customHeight="1"/>
    <row r="13403" ht="15.75" hidden="1" customHeight="1"/>
    <row r="13404" ht="15.75" hidden="1" customHeight="1"/>
    <row r="13405" ht="15.75" hidden="1" customHeight="1"/>
    <row r="13406" ht="15.75" hidden="1" customHeight="1"/>
    <row r="13407" ht="15.75" hidden="1" customHeight="1"/>
    <row r="13408" ht="15.75" hidden="1" customHeight="1"/>
    <row r="13409" ht="15.75" hidden="1" customHeight="1"/>
    <row r="13410" ht="15.75" hidden="1" customHeight="1"/>
    <row r="13411" ht="15.75" hidden="1" customHeight="1"/>
    <row r="13412" ht="15.75" hidden="1" customHeight="1"/>
    <row r="13413" ht="15.75" hidden="1" customHeight="1"/>
    <row r="13414" ht="15.75" hidden="1" customHeight="1"/>
    <row r="13415" ht="15.75" hidden="1" customHeight="1"/>
    <row r="13416" ht="15.75" hidden="1" customHeight="1"/>
    <row r="13417" ht="15.75" hidden="1" customHeight="1"/>
    <row r="13418" ht="15.75" hidden="1" customHeight="1"/>
    <row r="13419" ht="15.75" hidden="1" customHeight="1"/>
    <row r="13420" ht="15.75" hidden="1" customHeight="1"/>
    <row r="13421" ht="15.75" hidden="1" customHeight="1"/>
    <row r="13422" ht="15.75" hidden="1" customHeight="1"/>
    <row r="13423" ht="15.75" hidden="1" customHeight="1"/>
    <row r="13424" ht="15.75" hidden="1" customHeight="1"/>
    <row r="13425" ht="15.75" hidden="1" customHeight="1"/>
    <row r="13426" ht="15.75" hidden="1" customHeight="1"/>
    <row r="13427" ht="15.75" hidden="1" customHeight="1"/>
    <row r="13428" ht="15.75" hidden="1" customHeight="1"/>
    <row r="13429" ht="15.75" hidden="1" customHeight="1"/>
    <row r="13430" ht="15.75" hidden="1" customHeight="1"/>
    <row r="13431" ht="15.75" hidden="1" customHeight="1"/>
    <row r="13432" ht="15.75" hidden="1" customHeight="1"/>
    <row r="13433" ht="15.75" hidden="1" customHeight="1"/>
    <row r="13434" ht="15.75" hidden="1" customHeight="1"/>
    <row r="13435" ht="15.75" hidden="1" customHeight="1"/>
    <row r="13436" ht="15.75" hidden="1" customHeight="1"/>
    <row r="13437" ht="15.75" hidden="1" customHeight="1"/>
    <row r="13438" ht="15.75" hidden="1" customHeight="1"/>
    <row r="13439" ht="15.75" hidden="1" customHeight="1"/>
    <row r="13440" ht="15.75" hidden="1" customHeight="1"/>
    <row r="13441" ht="15.75" hidden="1" customHeight="1"/>
    <row r="13442" ht="15.75" hidden="1" customHeight="1"/>
    <row r="13443" ht="15.75" hidden="1" customHeight="1"/>
    <row r="13444" ht="15.75" hidden="1" customHeight="1"/>
    <row r="13445" ht="15.75" hidden="1" customHeight="1"/>
    <row r="13446" ht="15.75" hidden="1" customHeight="1"/>
    <row r="13447" ht="15.75" hidden="1" customHeight="1"/>
    <row r="13448" ht="15.75" hidden="1" customHeight="1"/>
    <row r="13449" ht="15.75" hidden="1" customHeight="1"/>
    <row r="13450" ht="15.75" hidden="1" customHeight="1"/>
    <row r="13451" ht="15.75" hidden="1" customHeight="1"/>
    <row r="13452" ht="15.75" hidden="1" customHeight="1"/>
    <row r="13453" ht="15.75" hidden="1" customHeight="1"/>
    <row r="13454" ht="15.75" hidden="1" customHeight="1"/>
    <row r="13455" ht="15.75" hidden="1" customHeight="1"/>
    <row r="13456" ht="15.75" hidden="1" customHeight="1"/>
    <row r="13457" ht="15.75" hidden="1" customHeight="1"/>
    <row r="13458" ht="15.75" hidden="1" customHeight="1"/>
    <row r="13459" ht="15.75" hidden="1" customHeight="1"/>
    <row r="13460" ht="15.75" hidden="1" customHeight="1"/>
    <row r="13461" ht="15.75" hidden="1" customHeight="1"/>
    <row r="13462" ht="15.75" hidden="1" customHeight="1"/>
    <row r="13463" ht="15.75" hidden="1" customHeight="1"/>
    <row r="13464" ht="15.75" hidden="1" customHeight="1"/>
    <row r="13465" ht="15.75" hidden="1" customHeight="1"/>
    <row r="13466" ht="15.75" hidden="1" customHeight="1"/>
    <row r="13467" ht="15.75" hidden="1" customHeight="1"/>
    <row r="13468" ht="15.75" hidden="1" customHeight="1"/>
    <row r="13469" ht="15.75" hidden="1" customHeight="1"/>
    <row r="13470" ht="15.75" hidden="1" customHeight="1"/>
    <row r="13471" ht="15.75" hidden="1" customHeight="1"/>
    <row r="13472" ht="15.75" hidden="1" customHeight="1"/>
    <row r="13473" ht="15.75" hidden="1" customHeight="1"/>
    <row r="13474" ht="15.75" hidden="1" customHeight="1"/>
    <row r="13475" ht="15.75" hidden="1" customHeight="1"/>
    <row r="13476" ht="15.75" hidden="1" customHeight="1"/>
    <row r="13477" ht="15.75" hidden="1" customHeight="1"/>
    <row r="13478" ht="15.75" hidden="1" customHeight="1"/>
    <row r="13479" ht="15.75" hidden="1" customHeight="1"/>
    <row r="13480" ht="15.75" hidden="1" customHeight="1"/>
    <row r="13481" ht="15.75" hidden="1" customHeight="1"/>
    <row r="13482" ht="15.75" hidden="1" customHeight="1"/>
    <row r="13483" ht="15.75" hidden="1" customHeight="1"/>
    <row r="13484" ht="15.75" hidden="1" customHeight="1"/>
    <row r="13485" ht="15.75" hidden="1" customHeight="1"/>
    <row r="13486" ht="15.75" hidden="1" customHeight="1"/>
    <row r="13487" ht="15.75" hidden="1" customHeight="1"/>
    <row r="13488" ht="15.75" hidden="1" customHeight="1"/>
    <row r="13489" ht="15.75" hidden="1" customHeight="1"/>
    <row r="13490" ht="15.75" hidden="1" customHeight="1"/>
    <row r="13491" ht="15.75" hidden="1" customHeight="1"/>
    <row r="13492" ht="15.75" hidden="1" customHeight="1"/>
    <row r="13493" ht="15.75" hidden="1" customHeight="1"/>
    <row r="13494" ht="15.75" hidden="1" customHeight="1"/>
    <row r="13495" ht="15.75" hidden="1" customHeight="1"/>
    <row r="13496" ht="15.75" hidden="1" customHeight="1"/>
    <row r="13497" ht="15.75" hidden="1" customHeight="1"/>
    <row r="13498" ht="15.75" hidden="1" customHeight="1"/>
    <row r="13499" ht="15.75" hidden="1" customHeight="1"/>
    <row r="13500" ht="15.75" hidden="1" customHeight="1"/>
    <row r="13501" ht="15.75" hidden="1" customHeight="1"/>
    <row r="13502" ht="15.75" hidden="1" customHeight="1"/>
    <row r="13503" ht="15.75" hidden="1" customHeight="1"/>
    <row r="13504" ht="15.75" hidden="1" customHeight="1"/>
    <row r="13505" ht="15.75" hidden="1" customHeight="1"/>
    <row r="13506" ht="15.75" hidden="1" customHeight="1"/>
    <row r="13507" ht="15.75" hidden="1" customHeight="1"/>
    <row r="13508" ht="15.75" hidden="1" customHeight="1"/>
    <row r="13509" ht="15.75" hidden="1" customHeight="1"/>
    <row r="13510" ht="15.75" hidden="1" customHeight="1"/>
    <row r="13511" ht="15.75" hidden="1" customHeight="1"/>
    <row r="13512" ht="15.75" hidden="1" customHeight="1"/>
    <row r="13513" ht="15.75" hidden="1" customHeight="1"/>
    <row r="13514" ht="15.75" hidden="1" customHeight="1"/>
    <row r="13515" ht="15.75" hidden="1" customHeight="1"/>
    <row r="13516" ht="15.75" hidden="1" customHeight="1"/>
    <row r="13517" ht="15.75" hidden="1" customHeight="1"/>
    <row r="13518" ht="15.75" hidden="1" customHeight="1"/>
    <row r="13519" ht="15.75" hidden="1" customHeight="1"/>
    <row r="13520" ht="15.75" hidden="1" customHeight="1"/>
    <row r="13521" ht="15.75" hidden="1" customHeight="1"/>
    <row r="13522" ht="15.75" hidden="1" customHeight="1"/>
    <row r="13523" ht="15.75" hidden="1" customHeight="1"/>
    <row r="13524" ht="15.75" hidden="1" customHeight="1"/>
    <row r="13525" ht="15.75" hidden="1" customHeight="1"/>
    <row r="13526" ht="15.75" hidden="1" customHeight="1"/>
    <row r="13527" ht="15.75" hidden="1" customHeight="1"/>
    <row r="13528" ht="15.75" hidden="1" customHeight="1"/>
    <row r="13529" ht="15.75" hidden="1" customHeight="1"/>
    <row r="13530" ht="15.75" hidden="1" customHeight="1"/>
    <row r="13531" ht="15.75" hidden="1" customHeight="1"/>
    <row r="13532" ht="15.75" hidden="1" customHeight="1"/>
    <row r="13533" ht="15.75" hidden="1" customHeight="1"/>
    <row r="13534" ht="15.75" hidden="1" customHeight="1"/>
    <row r="13535" ht="15.75" hidden="1" customHeight="1"/>
    <row r="13536" ht="15.75" hidden="1" customHeight="1"/>
    <row r="13537" ht="15.75" hidden="1" customHeight="1"/>
    <row r="13538" ht="15.75" hidden="1" customHeight="1"/>
    <row r="13539" ht="15.75" hidden="1" customHeight="1"/>
    <row r="13540" ht="15.75" hidden="1" customHeight="1"/>
    <row r="13541" ht="15.75" hidden="1" customHeight="1"/>
    <row r="13542" ht="15.75" hidden="1" customHeight="1"/>
    <row r="13543" ht="15.75" hidden="1" customHeight="1"/>
    <row r="13544" ht="15.75" hidden="1" customHeight="1"/>
    <row r="13545" ht="15.75" hidden="1" customHeight="1"/>
    <row r="13546" ht="15.75" hidden="1" customHeight="1"/>
    <row r="13547" ht="15.75" hidden="1" customHeight="1"/>
    <row r="13548" ht="15.75" hidden="1" customHeight="1"/>
    <row r="13549" ht="15.75" hidden="1" customHeight="1"/>
    <row r="13550" ht="15.75" hidden="1" customHeight="1"/>
    <row r="13551" ht="15.75" hidden="1" customHeight="1"/>
    <row r="13552" ht="15.75" hidden="1" customHeight="1"/>
    <row r="13553" ht="15.75" hidden="1" customHeight="1"/>
    <row r="13554" ht="15.75" hidden="1" customHeight="1"/>
    <row r="13555" ht="15.75" hidden="1" customHeight="1"/>
    <row r="13556" ht="15.75" hidden="1" customHeight="1"/>
    <row r="13557" ht="15.75" hidden="1" customHeight="1"/>
    <row r="13558" ht="15.75" hidden="1" customHeight="1"/>
    <row r="13559" ht="15.75" hidden="1" customHeight="1"/>
    <row r="13560" ht="15.75" hidden="1" customHeight="1"/>
    <row r="13561" ht="15.75" hidden="1" customHeight="1"/>
    <row r="13562" ht="15.75" hidden="1" customHeight="1"/>
    <row r="13563" ht="15.75" hidden="1" customHeight="1"/>
    <row r="13564" ht="15.75" hidden="1" customHeight="1"/>
    <row r="13565" ht="15.75" hidden="1" customHeight="1"/>
    <row r="13566" ht="15.75" hidden="1" customHeight="1"/>
    <row r="13567" ht="15.75" hidden="1" customHeight="1"/>
    <row r="13568" ht="15.75" hidden="1" customHeight="1"/>
    <row r="13569" ht="15.75" hidden="1" customHeight="1"/>
    <row r="13570" ht="15.75" hidden="1" customHeight="1"/>
    <row r="13571" ht="15.75" hidden="1" customHeight="1"/>
    <row r="13572" ht="15.75" hidden="1" customHeight="1"/>
    <row r="13573" ht="15.75" hidden="1" customHeight="1"/>
    <row r="13574" ht="15.75" hidden="1" customHeight="1"/>
    <row r="13575" ht="15.75" hidden="1" customHeight="1"/>
    <row r="13576" ht="15.75" hidden="1" customHeight="1"/>
    <row r="13577" ht="15.75" hidden="1" customHeight="1"/>
    <row r="13578" ht="15.75" hidden="1" customHeight="1"/>
    <row r="13579" ht="15.75" hidden="1" customHeight="1"/>
    <row r="13580" ht="15.75" hidden="1" customHeight="1"/>
    <row r="13581" ht="15.75" hidden="1" customHeight="1"/>
    <row r="13582" ht="15.75" hidden="1" customHeight="1"/>
    <row r="13583" ht="15.75" hidden="1" customHeight="1"/>
    <row r="13584" ht="15.75" hidden="1" customHeight="1"/>
    <row r="13585" ht="15.75" hidden="1" customHeight="1"/>
    <row r="13586" ht="15.75" hidden="1" customHeight="1"/>
    <row r="13587" ht="15.75" hidden="1" customHeight="1"/>
    <row r="13588" ht="15.75" hidden="1" customHeight="1"/>
    <row r="13589" ht="15.75" hidden="1" customHeight="1"/>
    <row r="13590" ht="15.75" hidden="1" customHeight="1"/>
    <row r="13591" ht="15.75" hidden="1" customHeight="1"/>
    <row r="13592" ht="15.75" hidden="1" customHeight="1"/>
    <row r="13593" ht="15.75" hidden="1" customHeight="1"/>
    <row r="13594" ht="15.75" hidden="1" customHeight="1"/>
    <row r="13595" ht="15.75" hidden="1" customHeight="1"/>
    <row r="13596" ht="15.75" hidden="1" customHeight="1"/>
    <row r="13597" ht="15.75" hidden="1" customHeight="1"/>
    <row r="13598" ht="15.75" hidden="1" customHeight="1"/>
    <row r="13599" ht="15.75" hidden="1" customHeight="1"/>
    <row r="13600" ht="15.75" hidden="1" customHeight="1"/>
    <row r="13601" ht="15.75" hidden="1" customHeight="1"/>
    <row r="13602" ht="15.75" hidden="1" customHeight="1"/>
    <row r="13603" ht="15.75" hidden="1" customHeight="1"/>
    <row r="13604" ht="15.75" hidden="1" customHeight="1"/>
    <row r="13605" ht="15.75" hidden="1" customHeight="1"/>
    <row r="13606" ht="15.75" hidden="1" customHeight="1"/>
    <row r="13607" ht="15.75" hidden="1" customHeight="1"/>
    <row r="13608" ht="15.75" hidden="1" customHeight="1"/>
    <row r="13609" ht="15.75" hidden="1" customHeight="1"/>
    <row r="13610" ht="15.75" hidden="1" customHeight="1"/>
    <row r="13611" ht="15.75" hidden="1" customHeight="1"/>
    <row r="13612" ht="15.75" hidden="1" customHeight="1"/>
    <row r="13613" ht="15.75" hidden="1" customHeight="1"/>
    <row r="13614" ht="15.75" hidden="1" customHeight="1"/>
    <row r="13615" ht="15.75" hidden="1" customHeight="1"/>
    <row r="13616" ht="15.75" hidden="1" customHeight="1"/>
    <row r="13617" ht="15.75" hidden="1" customHeight="1"/>
    <row r="13618" ht="15.75" hidden="1" customHeight="1"/>
    <row r="13619" ht="15.75" hidden="1" customHeight="1"/>
    <row r="13620" ht="15.75" hidden="1" customHeight="1"/>
    <row r="13621" ht="15.75" hidden="1" customHeight="1"/>
    <row r="13622" ht="15.75" hidden="1" customHeight="1"/>
    <row r="13623" ht="15.75" hidden="1" customHeight="1"/>
    <row r="13624" ht="15.75" hidden="1" customHeight="1"/>
    <row r="13625" ht="15.75" hidden="1" customHeight="1"/>
    <row r="13626" ht="15.75" hidden="1" customHeight="1"/>
    <row r="13627" ht="15.75" hidden="1" customHeight="1"/>
    <row r="13628" ht="15.75" hidden="1" customHeight="1"/>
    <row r="13629" ht="15.75" hidden="1" customHeight="1"/>
    <row r="13630" ht="15.75" hidden="1" customHeight="1"/>
    <row r="13631" ht="15.75" hidden="1" customHeight="1"/>
    <row r="13632" ht="15.75" hidden="1" customHeight="1"/>
    <row r="13633" ht="15.75" hidden="1" customHeight="1"/>
    <row r="13634" ht="15.75" hidden="1" customHeight="1"/>
    <row r="13635" ht="15.75" hidden="1" customHeight="1"/>
    <row r="13636" ht="15.75" hidden="1" customHeight="1"/>
    <row r="13637" ht="15.75" hidden="1" customHeight="1"/>
    <row r="13638" ht="15.75" hidden="1" customHeight="1"/>
    <row r="13639" ht="15.75" hidden="1" customHeight="1"/>
    <row r="13640" ht="15.75" hidden="1" customHeight="1"/>
    <row r="13641" ht="15.75" hidden="1" customHeight="1"/>
    <row r="13642" ht="15.75" hidden="1" customHeight="1"/>
    <row r="13643" ht="15.75" hidden="1" customHeight="1"/>
    <row r="13644" ht="15.75" hidden="1" customHeight="1"/>
    <row r="13645" ht="15.75" hidden="1" customHeight="1"/>
    <row r="13646" ht="15.75" hidden="1" customHeight="1"/>
    <row r="13647" ht="15.75" hidden="1" customHeight="1"/>
    <row r="13648" ht="15.75" hidden="1" customHeight="1"/>
    <row r="13649" ht="15.75" hidden="1" customHeight="1"/>
    <row r="13650" ht="15.75" hidden="1" customHeight="1"/>
    <row r="13651" ht="15.75" hidden="1" customHeight="1"/>
    <row r="13652" ht="15.75" hidden="1" customHeight="1"/>
    <row r="13653" ht="15.75" hidden="1" customHeight="1"/>
    <row r="13654" ht="15.75" hidden="1" customHeight="1"/>
    <row r="13655" ht="15.75" hidden="1" customHeight="1"/>
    <row r="13656" ht="15.75" hidden="1" customHeight="1"/>
    <row r="13657" ht="15.75" hidden="1" customHeight="1"/>
    <row r="13658" ht="15.75" hidden="1" customHeight="1"/>
    <row r="13659" ht="15.75" hidden="1" customHeight="1"/>
    <row r="13660" ht="15.75" hidden="1" customHeight="1"/>
    <row r="13661" ht="15.75" hidden="1" customHeight="1"/>
    <row r="13662" ht="15.75" hidden="1" customHeight="1"/>
    <row r="13663" ht="15.75" hidden="1" customHeight="1"/>
    <row r="13664" ht="15.75" hidden="1" customHeight="1"/>
    <row r="13665" ht="15.75" hidden="1" customHeight="1"/>
    <row r="13666" ht="15.75" hidden="1" customHeight="1"/>
    <row r="13667" ht="15.75" hidden="1" customHeight="1"/>
    <row r="13668" ht="15.75" hidden="1" customHeight="1"/>
    <row r="13669" ht="15.75" hidden="1" customHeight="1"/>
    <row r="13670" ht="15.75" hidden="1" customHeight="1"/>
    <row r="13671" ht="15.75" hidden="1" customHeight="1"/>
    <row r="13672" ht="15.75" hidden="1" customHeight="1"/>
    <row r="13673" ht="15.75" hidden="1" customHeight="1"/>
    <row r="13674" ht="15.75" hidden="1" customHeight="1"/>
    <row r="13675" ht="15.75" hidden="1" customHeight="1"/>
    <row r="13676" ht="15.75" hidden="1" customHeight="1"/>
    <row r="13677" ht="15.75" hidden="1" customHeight="1"/>
    <row r="13678" ht="15.75" hidden="1" customHeight="1"/>
    <row r="13679" ht="15.75" hidden="1" customHeight="1"/>
    <row r="13680" ht="15.75" hidden="1" customHeight="1"/>
    <row r="13681" ht="15.75" hidden="1" customHeight="1"/>
    <row r="13682" ht="15.75" hidden="1" customHeight="1"/>
    <row r="13683" ht="15.75" hidden="1" customHeight="1"/>
    <row r="13684" ht="15.75" hidden="1" customHeight="1"/>
    <row r="13685" ht="15.75" hidden="1" customHeight="1"/>
    <row r="13686" ht="15.75" hidden="1" customHeight="1"/>
    <row r="13687" ht="15.75" hidden="1" customHeight="1"/>
    <row r="13688" ht="15.75" hidden="1" customHeight="1"/>
    <row r="13689" ht="15.75" hidden="1" customHeight="1"/>
    <row r="13690" ht="15.75" hidden="1" customHeight="1"/>
    <row r="13691" ht="15.75" hidden="1" customHeight="1"/>
    <row r="13692" ht="15.75" hidden="1" customHeight="1"/>
    <row r="13693" ht="15.75" hidden="1" customHeight="1"/>
    <row r="13694" ht="15.75" hidden="1" customHeight="1"/>
    <row r="13695" ht="15.75" hidden="1" customHeight="1"/>
    <row r="13696" ht="15.75" hidden="1" customHeight="1"/>
    <row r="13697" ht="15.75" hidden="1" customHeight="1"/>
    <row r="13698" ht="15.75" hidden="1" customHeight="1"/>
    <row r="13699" ht="15.75" hidden="1" customHeight="1"/>
    <row r="13700" ht="15.75" hidden="1" customHeight="1"/>
    <row r="13701" ht="15.75" hidden="1" customHeight="1"/>
    <row r="13702" ht="15.75" hidden="1" customHeight="1"/>
    <row r="13703" ht="15.75" hidden="1" customHeight="1"/>
    <row r="13704" ht="15.75" hidden="1" customHeight="1"/>
    <row r="13705" ht="15.75" hidden="1" customHeight="1"/>
    <row r="13706" ht="15.75" hidden="1" customHeight="1"/>
    <row r="13707" ht="15.75" hidden="1" customHeight="1"/>
    <row r="13708" ht="15.75" hidden="1" customHeight="1"/>
    <row r="13709" ht="15.75" hidden="1" customHeight="1"/>
    <row r="13710" ht="15.75" hidden="1" customHeight="1"/>
    <row r="13711" ht="15.75" hidden="1" customHeight="1"/>
    <row r="13712" ht="15.75" hidden="1" customHeight="1"/>
    <row r="13713" ht="15.75" hidden="1" customHeight="1"/>
    <row r="13714" ht="15.75" hidden="1" customHeight="1"/>
    <row r="13715" ht="15.75" hidden="1" customHeight="1"/>
    <row r="13716" ht="15.75" hidden="1" customHeight="1"/>
    <row r="13717" ht="15.75" hidden="1" customHeight="1"/>
    <row r="13718" ht="15.75" hidden="1" customHeight="1"/>
    <row r="13719" ht="15.75" hidden="1" customHeight="1"/>
    <row r="13720" ht="15.75" hidden="1" customHeight="1"/>
    <row r="13721" ht="15.75" hidden="1" customHeight="1"/>
    <row r="13722" ht="15.75" hidden="1" customHeight="1"/>
    <row r="13723" ht="15.75" hidden="1" customHeight="1"/>
    <row r="13724" ht="15.75" hidden="1" customHeight="1"/>
    <row r="13725" ht="15.75" hidden="1" customHeight="1"/>
    <row r="13726" ht="15.75" hidden="1" customHeight="1"/>
    <row r="13727" ht="15.75" hidden="1" customHeight="1"/>
    <row r="13728" ht="15.75" hidden="1" customHeight="1"/>
    <row r="13729" ht="15.75" hidden="1" customHeight="1"/>
    <row r="13730" ht="15.75" hidden="1" customHeight="1"/>
    <row r="13731" ht="15.75" hidden="1" customHeight="1"/>
    <row r="13732" ht="15.75" hidden="1" customHeight="1"/>
    <row r="13733" ht="15.75" hidden="1" customHeight="1"/>
    <row r="13734" ht="15.75" hidden="1" customHeight="1"/>
    <row r="13735" ht="15.75" hidden="1" customHeight="1"/>
    <row r="13736" ht="15.75" hidden="1" customHeight="1"/>
    <row r="13737" ht="15.75" hidden="1" customHeight="1"/>
    <row r="13738" ht="15.75" hidden="1" customHeight="1"/>
    <row r="13739" ht="15.75" hidden="1" customHeight="1"/>
    <row r="13740" ht="15.75" hidden="1" customHeight="1"/>
    <row r="13741" ht="15.75" hidden="1" customHeight="1"/>
    <row r="13742" ht="15.75" hidden="1" customHeight="1"/>
    <row r="13743" ht="15.75" hidden="1" customHeight="1"/>
    <row r="13744" ht="15.75" hidden="1" customHeight="1"/>
    <row r="13745" ht="15.75" hidden="1" customHeight="1"/>
    <row r="13746" ht="15.75" hidden="1" customHeight="1"/>
    <row r="13747" ht="15.75" hidden="1" customHeight="1"/>
    <row r="13748" ht="15.75" hidden="1" customHeight="1"/>
    <row r="13749" ht="15.75" hidden="1" customHeight="1"/>
    <row r="13750" ht="15.75" hidden="1" customHeight="1"/>
    <row r="13751" ht="15.75" hidden="1" customHeight="1"/>
    <row r="13752" ht="15.75" hidden="1" customHeight="1"/>
    <row r="13753" ht="15.75" hidden="1" customHeight="1"/>
    <row r="13754" ht="15.75" hidden="1" customHeight="1"/>
    <row r="13755" ht="15.75" hidden="1" customHeight="1"/>
    <row r="13756" ht="15.75" hidden="1" customHeight="1"/>
    <row r="13757" ht="15.75" hidden="1" customHeight="1"/>
    <row r="13758" ht="15.75" hidden="1" customHeight="1"/>
    <row r="13759" ht="15.75" hidden="1" customHeight="1"/>
    <row r="13760" ht="15.75" hidden="1" customHeight="1"/>
    <row r="13761" ht="15.75" hidden="1" customHeight="1"/>
    <row r="13762" ht="15.75" hidden="1" customHeight="1"/>
    <row r="13763" ht="15.75" hidden="1" customHeight="1"/>
    <row r="13764" ht="15.75" hidden="1" customHeight="1"/>
    <row r="13765" ht="15.75" hidden="1" customHeight="1"/>
    <row r="13766" ht="15.75" hidden="1" customHeight="1"/>
    <row r="13767" ht="15.75" hidden="1" customHeight="1"/>
    <row r="13768" ht="15.75" hidden="1" customHeight="1"/>
    <row r="13769" ht="15.75" hidden="1" customHeight="1"/>
    <row r="13770" ht="15.75" hidden="1" customHeight="1"/>
    <row r="13771" ht="15.75" hidden="1" customHeight="1"/>
    <row r="13772" ht="15.75" hidden="1" customHeight="1"/>
    <row r="13773" ht="15.75" hidden="1" customHeight="1"/>
    <row r="13774" ht="15.75" hidden="1" customHeight="1"/>
    <row r="13775" ht="15.75" hidden="1" customHeight="1"/>
    <row r="13776" ht="15.75" hidden="1" customHeight="1"/>
    <row r="13777" ht="15.75" hidden="1" customHeight="1"/>
    <row r="13778" ht="15.75" hidden="1" customHeight="1"/>
    <row r="13779" ht="15.75" hidden="1" customHeight="1"/>
    <row r="13780" ht="15.75" hidden="1" customHeight="1"/>
    <row r="13781" ht="15.75" hidden="1" customHeight="1"/>
    <row r="13782" ht="15.75" hidden="1" customHeight="1"/>
    <row r="13783" ht="15.75" hidden="1" customHeight="1"/>
    <row r="13784" ht="15.75" hidden="1" customHeight="1"/>
    <row r="13785" ht="15.75" hidden="1" customHeight="1"/>
    <row r="13786" ht="15.75" hidden="1" customHeight="1"/>
    <row r="13787" ht="15.75" hidden="1" customHeight="1"/>
    <row r="13788" ht="15.75" hidden="1" customHeight="1"/>
    <row r="13789" ht="15.75" hidden="1" customHeight="1"/>
    <row r="13790" ht="15.75" hidden="1" customHeight="1"/>
    <row r="13791" ht="15.75" hidden="1" customHeight="1"/>
    <row r="13792" ht="15.75" hidden="1" customHeight="1"/>
    <row r="13793" ht="15.75" hidden="1" customHeight="1"/>
    <row r="13794" ht="15.75" hidden="1" customHeight="1"/>
    <row r="13795" ht="15.75" hidden="1" customHeight="1"/>
    <row r="13796" ht="15.75" hidden="1" customHeight="1"/>
    <row r="13797" ht="15.75" hidden="1" customHeight="1"/>
    <row r="13798" ht="15.75" hidden="1" customHeight="1"/>
    <row r="13799" ht="15.75" hidden="1" customHeight="1"/>
    <row r="13800" ht="15.75" hidden="1" customHeight="1"/>
    <row r="13801" ht="15.75" hidden="1" customHeight="1"/>
    <row r="13802" ht="15.75" hidden="1" customHeight="1"/>
    <row r="13803" ht="15.75" hidden="1" customHeight="1"/>
    <row r="13804" ht="15.75" hidden="1" customHeight="1"/>
    <row r="13805" ht="15.75" hidden="1" customHeight="1"/>
    <row r="13806" ht="15.75" hidden="1" customHeight="1"/>
    <row r="13807" ht="15.75" hidden="1" customHeight="1"/>
    <row r="13808" ht="15.75" hidden="1" customHeight="1"/>
    <row r="13809" ht="15.75" hidden="1" customHeight="1"/>
    <row r="13810" ht="15.75" hidden="1" customHeight="1"/>
    <row r="13811" ht="15.75" hidden="1" customHeight="1"/>
    <row r="13812" ht="15.75" hidden="1" customHeight="1"/>
    <row r="13813" ht="15.75" hidden="1" customHeight="1"/>
    <row r="13814" ht="15.75" hidden="1" customHeight="1"/>
    <row r="13815" ht="15.75" hidden="1" customHeight="1"/>
    <row r="13816" ht="15.75" hidden="1" customHeight="1"/>
    <row r="13817" ht="15.75" hidden="1" customHeight="1"/>
    <row r="13818" ht="15.75" hidden="1" customHeight="1"/>
    <row r="13819" ht="15.75" hidden="1" customHeight="1"/>
    <row r="13820" ht="15.75" hidden="1" customHeight="1"/>
    <row r="13821" ht="15.75" hidden="1" customHeight="1"/>
    <row r="13822" ht="15.75" hidden="1" customHeight="1"/>
    <row r="13823" ht="15.75" hidden="1" customHeight="1"/>
    <row r="13824" ht="15.75" hidden="1" customHeight="1"/>
    <row r="13825" ht="15.75" hidden="1" customHeight="1"/>
    <row r="13826" ht="15.75" hidden="1" customHeight="1"/>
    <row r="13827" ht="15.75" hidden="1" customHeight="1"/>
    <row r="13828" ht="15.75" hidden="1" customHeight="1"/>
    <row r="13829" ht="15.75" hidden="1" customHeight="1"/>
    <row r="13830" ht="15.75" hidden="1" customHeight="1"/>
    <row r="13831" ht="15.75" hidden="1" customHeight="1"/>
    <row r="13832" ht="15.75" hidden="1" customHeight="1"/>
    <row r="13833" ht="15.75" hidden="1" customHeight="1"/>
    <row r="13834" ht="15.75" hidden="1" customHeight="1"/>
    <row r="13835" ht="15.75" hidden="1" customHeight="1"/>
    <row r="13836" ht="15.75" hidden="1" customHeight="1"/>
    <row r="13837" ht="15.75" hidden="1" customHeight="1"/>
    <row r="13838" ht="15.75" hidden="1" customHeight="1"/>
    <row r="13839" ht="15.75" hidden="1" customHeight="1"/>
    <row r="13840" ht="15.75" hidden="1" customHeight="1"/>
    <row r="13841" ht="15.75" hidden="1" customHeight="1"/>
    <row r="13842" ht="15.75" hidden="1" customHeight="1"/>
    <row r="13843" ht="15.75" hidden="1" customHeight="1"/>
    <row r="13844" ht="15.75" hidden="1" customHeight="1"/>
    <row r="13845" ht="15.75" hidden="1" customHeight="1"/>
    <row r="13846" ht="15.75" hidden="1" customHeight="1"/>
    <row r="13847" ht="15.75" hidden="1" customHeight="1"/>
    <row r="13848" ht="15.75" hidden="1" customHeight="1"/>
    <row r="13849" ht="15.75" hidden="1" customHeight="1"/>
    <row r="13850" ht="15.75" hidden="1" customHeight="1"/>
    <row r="13851" ht="15.75" hidden="1" customHeight="1"/>
    <row r="13852" ht="15.75" hidden="1" customHeight="1"/>
    <row r="13853" ht="15.75" hidden="1" customHeight="1"/>
    <row r="13854" ht="15.75" hidden="1" customHeight="1"/>
    <row r="13855" ht="15.75" hidden="1" customHeight="1"/>
    <row r="13856" ht="15.75" hidden="1" customHeight="1"/>
    <row r="13857" ht="15.75" hidden="1" customHeight="1"/>
    <row r="13858" ht="15.75" hidden="1" customHeight="1"/>
    <row r="13859" ht="15.75" hidden="1" customHeight="1"/>
    <row r="13860" ht="15.75" hidden="1" customHeight="1"/>
    <row r="13861" ht="15.75" hidden="1" customHeight="1"/>
    <row r="13862" ht="15.75" hidden="1" customHeight="1"/>
    <row r="13863" ht="15.75" hidden="1" customHeight="1"/>
    <row r="13864" ht="15.75" hidden="1" customHeight="1"/>
    <row r="13865" ht="15.75" hidden="1" customHeight="1"/>
    <row r="13866" ht="15.75" hidden="1" customHeight="1"/>
    <row r="13867" ht="15.75" hidden="1" customHeight="1"/>
    <row r="13868" ht="15.75" hidden="1" customHeight="1"/>
    <row r="13869" ht="15.75" hidden="1" customHeight="1"/>
    <row r="13870" ht="15.75" hidden="1" customHeight="1"/>
    <row r="13871" ht="15.75" hidden="1" customHeight="1"/>
    <row r="13872" ht="15.75" hidden="1" customHeight="1"/>
    <row r="13873" ht="15.75" hidden="1" customHeight="1"/>
    <row r="13874" ht="15.75" hidden="1" customHeight="1"/>
    <row r="13875" ht="15.75" hidden="1" customHeight="1"/>
    <row r="13876" ht="15.75" hidden="1" customHeight="1"/>
    <row r="13877" ht="15.75" hidden="1" customHeight="1"/>
    <row r="13878" ht="15.75" hidden="1" customHeight="1"/>
    <row r="13879" ht="15.75" hidden="1" customHeight="1"/>
    <row r="13880" ht="15.75" hidden="1" customHeight="1"/>
    <row r="13881" ht="15.75" hidden="1" customHeight="1"/>
    <row r="13882" ht="15.75" hidden="1" customHeight="1"/>
    <row r="13883" ht="15.75" hidden="1" customHeight="1"/>
    <row r="13884" ht="15.75" hidden="1" customHeight="1"/>
    <row r="13885" ht="15.75" hidden="1" customHeight="1"/>
    <row r="13886" ht="15.75" hidden="1" customHeight="1"/>
    <row r="13887" ht="15.75" hidden="1" customHeight="1"/>
    <row r="13888" ht="15.75" hidden="1" customHeight="1"/>
    <row r="13889" ht="15.75" hidden="1" customHeight="1"/>
    <row r="13890" ht="15.75" hidden="1" customHeight="1"/>
    <row r="13891" ht="15.75" hidden="1" customHeight="1"/>
    <row r="13892" ht="15.75" hidden="1" customHeight="1"/>
    <row r="13893" ht="15.75" hidden="1" customHeight="1"/>
    <row r="13894" ht="15.75" hidden="1" customHeight="1"/>
    <row r="13895" ht="15.75" hidden="1" customHeight="1"/>
    <row r="13896" ht="15.75" hidden="1" customHeight="1"/>
    <row r="13897" ht="15.75" hidden="1" customHeight="1"/>
    <row r="13898" ht="15.75" hidden="1" customHeight="1"/>
    <row r="13899" ht="15.75" hidden="1" customHeight="1"/>
    <row r="13900" ht="15.75" hidden="1" customHeight="1"/>
    <row r="13901" ht="15.75" hidden="1" customHeight="1"/>
    <row r="13902" ht="15.75" hidden="1" customHeight="1"/>
    <row r="13903" ht="15.75" hidden="1" customHeight="1"/>
    <row r="13904" ht="15.75" hidden="1" customHeight="1"/>
    <row r="13905" ht="15.75" hidden="1" customHeight="1"/>
    <row r="13906" ht="15.75" hidden="1" customHeight="1"/>
    <row r="13907" ht="15.75" hidden="1" customHeight="1"/>
    <row r="13908" ht="15.75" hidden="1" customHeight="1"/>
    <row r="13909" ht="15.75" hidden="1" customHeight="1"/>
    <row r="13910" ht="15.75" hidden="1" customHeight="1"/>
    <row r="13911" ht="15.75" hidden="1" customHeight="1"/>
    <row r="13912" ht="15.75" hidden="1" customHeight="1"/>
    <row r="13913" ht="15.75" hidden="1" customHeight="1"/>
    <row r="13914" ht="15.75" hidden="1" customHeight="1"/>
    <row r="13915" ht="15.75" hidden="1" customHeight="1"/>
    <row r="13916" ht="15.75" hidden="1" customHeight="1"/>
    <row r="13917" ht="15.75" hidden="1" customHeight="1"/>
    <row r="13918" ht="15.75" hidden="1" customHeight="1"/>
    <row r="13919" ht="15.75" hidden="1" customHeight="1"/>
    <row r="13920" ht="15.75" hidden="1" customHeight="1"/>
    <row r="13921" ht="15.75" hidden="1" customHeight="1"/>
    <row r="13922" ht="15.75" hidden="1" customHeight="1"/>
    <row r="13923" ht="15.75" hidden="1" customHeight="1"/>
    <row r="13924" ht="15.75" hidden="1" customHeight="1"/>
    <row r="13925" ht="15.75" hidden="1" customHeight="1"/>
    <row r="13926" ht="15.75" hidden="1" customHeight="1"/>
    <row r="13927" ht="15.75" hidden="1" customHeight="1"/>
    <row r="13928" ht="15.75" hidden="1" customHeight="1"/>
    <row r="13929" ht="15.75" hidden="1" customHeight="1"/>
    <row r="13930" ht="15.75" hidden="1" customHeight="1"/>
    <row r="13931" ht="15.75" hidden="1" customHeight="1"/>
    <row r="13932" ht="15.75" hidden="1" customHeight="1"/>
    <row r="13933" ht="15.75" hidden="1" customHeight="1"/>
    <row r="13934" ht="15.75" hidden="1" customHeight="1"/>
    <row r="13935" ht="15.75" hidden="1" customHeight="1"/>
    <row r="13936" ht="15.75" hidden="1" customHeight="1"/>
    <row r="13937" ht="15.75" hidden="1" customHeight="1"/>
    <row r="13938" ht="15.75" hidden="1" customHeight="1"/>
    <row r="13939" ht="15.75" hidden="1" customHeight="1"/>
    <row r="13940" ht="15.75" hidden="1" customHeight="1"/>
    <row r="13941" ht="15.75" hidden="1" customHeight="1"/>
    <row r="13942" ht="15.75" hidden="1" customHeight="1"/>
    <row r="13943" ht="15.75" hidden="1" customHeight="1"/>
    <row r="13944" ht="15.75" hidden="1" customHeight="1"/>
    <row r="13945" ht="15.75" hidden="1" customHeight="1"/>
    <row r="13946" ht="15.75" hidden="1" customHeight="1"/>
    <row r="13947" ht="15.75" hidden="1" customHeight="1"/>
    <row r="13948" ht="15.75" hidden="1" customHeight="1"/>
    <row r="13949" ht="15.75" hidden="1" customHeight="1"/>
    <row r="13950" ht="15.75" hidden="1" customHeight="1"/>
    <row r="13951" ht="15.75" hidden="1" customHeight="1"/>
    <row r="13952" ht="15.75" hidden="1" customHeight="1"/>
    <row r="13953" ht="15.75" hidden="1" customHeight="1"/>
    <row r="13954" ht="15.75" hidden="1" customHeight="1"/>
    <row r="13955" ht="15.75" hidden="1" customHeight="1"/>
    <row r="13956" ht="15.75" hidden="1" customHeight="1"/>
    <row r="13957" ht="15.75" hidden="1" customHeight="1"/>
    <row r="13958" ht="15.75" hidden="1" customHeight="1"/>
    <row r="13959" ht="15.75" hidden="1" customHeight="1"/>
    <row r="13960" ht="15.75" hidden="1" customHeight="1"/>
    <row r="13961" ht="15.75" hidden="1" customHeight="1"/>
    <row r="13962" ht="15.75" hidden="1" customHeight="1"/>
    <row r="13963" ht="15.75" hidden="1" customHeight="1"/>
    <row r="13964" ht="15.75" hidden="1" customHeight="1"/>
    <row r="13965" ht="15.75" hidden="1" customHeight="1"/>
    <row r="13966" ht="15.75" hidden="1" customHeight="1"/>
    <row r="13967" ht="15.75" hidden="1" customHeight="1"/>
    <row r="13968" ht="15.75" hidden="1" customHeight="1"/>
    <row r="13969" ht="15.75" hidden="1" customHeight="1"/>
    <row r="13970" ht="15.75" hidden="1" customHeight="1"/>
    <row r="13971" ht="15.75" hidden="1" customHeight="1"/>
    <row r="13972" ht="15.75" hidden="1" customHeight="1"/>
    <row r="13973" ht="15.75" hidden="1" customHeight="1"/>
    <row r="13974" ht="15.75" hidden="1" customHeight="1"/>
    <row r="13975" ht="15.75" hidden="1" customHeight="1"/>
    <row r="13976" ht="15.75" hidden="1" customHeight="1"/>
    <row r="13977" ht="15.75" hidden="1" customHeight="1"/>
    <row r="13978" ht="15.75" hidden="1" customHeight="1"/>
    <row r="13979" ht="15.75" hidden="1" customHeight="1"/>
    <row r="13980" ht="15.75" hidden="1" customHeight="1"/>
    <row r="13981" ht="15.75" hidden="1" customHeight="1"/>
    <row r="13982" ht="15.75" hidden="1" customHeight="1"/>
    <row r="13983" ht="15.75" hidden="1" customHeight="1"/>
    <row r="13984" ht="15.75" hidden="1" customHeight="1"/>
    <row r="13985" ht="15.75" hidden="1" customHeight="1"/>
    <row r="13986" ht="15.75" hidden="1" customHeight="1"/>
    <row r="13987" ht="15.75" hidden="1" customHeight="1"/>
    <row r="13988" ht="15.75" hidden="1" customHeight="1"/>
    <row r="13989" ht="15.75" hidden="1" customHeight="1"/>
    <row r="13990" ht="15.75" hidden="1" customHeight="1"/>
    <row r="13991" ht="15.75" hidden="1" customHeight="1"/>
    <row r="13992" ht="15.75" hidden="1" customHeight="1"/>
    <row r="13993" ht="15.75" hidden="1" customHeight="1"/>
    <row r="13994" ht="15.75" hidden="1" customHeight="1"/>
    <row r="13995" ht="15.75" hidden="1" customHeight="1"/>
    <row r="13996" ht="15.75" hidden="1" customHeight="1"/>
    <row r="13997" ht="15.75" hidden="1" customHeight="1"/>
    <row r="13998" ht="15.75" hidden="1" customHeight="1"/>
    <row r="13999" ht="15.75" hidden="1" customHeight="1"/>
    <row r="14000" ht="15.75" hidden="1" customHeight="1"/>
    <row r="14001" ht="15.75" hidden="1" customHeight="1"/>
    <row r="14002" ht="15.75" hidden="1" customHeight="1"/>
    <row r="14003" ht="15.75" hidden="1" customHeight="1"/>
    <row r="14004" ht="15.75" hidden="1" customHeight="1"/>
    <row r="14005" ht="15.75" hidden="1" customHeight="1"/>
    <row r="14006" ht="15.75" hidden="1" customHeight="1"/>
    <row r="14007" ht="15.75" hidden="1" customHeight="1"/>
    <row r="14008" ht="15.75" hidden="1" customHeight="1"/>
    <row r="14009" ht="15.75" hidden="1" customHeight="1"/>
    <row r="14010" ht="15.75" hidden="1" customHeight="1"/>
    <row r="14011" ht="15.75" hidden="1" customHeight="1"/>
    <row r="14012" ht="15.75" hidden="1" customHeight="1"/>
    <row r="14013" ht="15.75" hidden="1" customHeight="1"/>
    <row r="14014" ht="15.75" hidden="1" customHeight="1"/>
    <row r="14015" ht="15.75" hidden="1" customHeight="1"/>
    <row r="14016" ht="15.75" hidden="1" customHeight="1"/>
    <row r="14017" ht="15.75" hidden="1" customHeight="1"/>
    <row r="14018" ht="15.75" hidden="1" customHeight="1"/>
    <row r="14019" ht="15.75" hidden="1" customHeight="1"/>
    <row r="14020" ht="15.75" hidden="1" customHeight="1"/>
    <row r="14021" ht="15.75" hidden="1" customHeight="1"/>
    <row r="14022" ht="15.75" hidden="1" customHeight="1"/>
    <row r="14023" ht="15.75" hidden="1" customHeight="1"/>
    <row r="14024" ht="15.75" hidden="1" customHeight="1"/>
    <row r="14025" ht="15.75" hidden="1" customHeight="1"/>
    <row r="14026" ht="15.75" hidden="1" customHeight="1"/>
    <row r="14027" ht="15.75" hidden="1" customHeight="1"/>
    <row r="14028" ht="15.75" hidden="1" customHeight="1"/>
    <row r="14029" ht="15.75" hidden="1" customHeight="1"/>
    <row r="14030" ht="15.75" hidden="1" customHeight="1"/>
    <row r="14031" ht="15.75" hidden="1" customHeight="1"/>
    <row r="14032" ht="15.75" hidden="1" customHeight="1"/>
    <row r="14033" ht="15.75" hidden="1" customHeight="1"/>
    <row r="14034" ht="15.75" hidden="1" customHeight="1"/>
    <row r="14035" ht="15.75" hidden="1" customHeight="1"/>
    <row r="14036" ht="15.75" hidden="1" customHeight="1"/>
    <row r="14037" ht="15.75" hidden="1" customHeight="1"/>
    <row r="14038" ht="15.75" hidden="1" customHeight="1"/>
    <row r="14039" ht="15.75" hidden="1" customHeight="1"/>
    <row r="14040" ht="15.75" hidden="1" customHeight="1"/>
    <row r="14041" ht="15.75" hidden="1" customHeight="1"/>
    <row r="14042" ht="15.75" hidden="1" customHeight="1"/>
    <row r="14043" ht="15.75" hidden="1" customHeight="1"/>
    <row r="14044" ht="15.75" hidden="1" customHeight="1"/>
    <row r="14045" ht="15.75" hidden="1" customHeight="1"/>
    <row r="14046" ht="15.75" hidden="1" customHeight="1"/>
    <row r="14047" ht="15.75" hidden="1" customHeight="1"/>
    <row r="14048" ht="15.75" hidden="1" customHeight="1"/>
    <row r="14049" ht="15.75" hidden="1" customHeight="1"/>
    <row r="14050" ht="15.75" hidden="1" customHeight="1"/>
    <row r="14051" ht="15.75" hidden="1" customHeight="1"/>
    <row r="14052" ht="15.75" hidden="1" customHeight="1"/>
    <row r="14053" ht="15.75" hidden="1" customHeight="1"/>
    <row r="14054" ht="15.75" hidden="1" customHeight="1"/>
    <row r="14055" ht="15.75" hidden="1" customHeight="1"/>
    <row r="14056" ht="15.75" hidden="1" customHeight="1"/>
    <row r="14057" ht="15.75" hidden="1" customHeight="1"/>
    <row r="14058" ht="15.75" hidden="1" customHeight="1"/>
    <row r="14059" ht="15.75" hidden="1" customHeight="1"/>
    <row r="14060" ht="15.75" hidden="1" customHeight="1"/>
    <row r="14061" ht="15.75" hidden="1" customHeight="1"/>
    <row r="14062" ht="15.75" hidden="1" customHeight="1"/>
    <row r="14063" ht="15.75" hidden="1" customHeight="1"/>
    <row r="14064" ht="15.75" hidden="1" customHeight="1"/>
    <row r="14065" ht="15.75" hidden="1" customHeight="1"/>
    <row r="14066" ht="15.75" hidden="1" customHeight="1"/>
    <row r="14067" ht="15.75" hidden="1" customHeight="1"/>
    <row r="14068" ht="15.75" hidden="1" customHeight="1"/>
    <row r="14069" ht="15.75" hidden="1" customHeight="1"/>
    <row r="14070" ht="15.75" hidden="1" customHeight="1"/>
    <row r="14071" ht="15.75" hidden="1" customHeight="1"/>
    <row r="14072" ht="15.75" hidden="1" customHeight="1"/>
    <row r="14073" ht="15.75" hidden="1" customHeight="1"/>
    <row r="14074" ht="15.75" hidden="1" customHeight="1"/>
    <row r="14075" ht="15.75" hidden="1" customHeight="1"/>
    <row r="14076" ht="15.75" hidden="1" customHeight="1"/>
    <row r="14077" ht="15.75" hidden="1" customHeight="1"/>
    <row r="14078" ht="15.75" hidden="1" customHeight="1"/>
    <row r="14079" ht="15.75" hidden="1" customHeight="1"/>
    <row r="14080" ht="15.75" hidden="1" customHeight="1"/>
    <row r="14081" ht="15.75" hidden="1" customHeight="1"/>
    <row r="14082" ht="15.75" hidden="1" customHeight="1"/>
    <row r="14083" ht="15.75" hidden="1" customHeight="1"/>
    <row r="14084" ht="15.75" hidden="1" customHeight="1"/>
    <row r="14085" ht="15.75" hidden="1" customHeight="1"/>
    <row r="14086" ht="15.75" hidden="1" customHeight="1"/>
    <row r="14087" ht="15.75" hidden="1" customHeight="1"/>
    <row r="14088" ht="15.75" hidden="1" customHeight="1"/>
    <row r="14089" ht="15.75" hidden="1" customHeight="1"/>
    <row r="14090" ht="15.75" hidden="1" customHeight="1"/>
    <row r="14091" ht="15.75" hidden="1" customHeight="1"/>
    <row r="14092" ht="15.75" hidden="1" customHeight="1"/>
    <row r="14093" ht="15.75" hidden="1" customHeight="1"/>
    <row r="14094" ht="15.75" hidden="1" customHeight="1"/>
    <row r="14095" ht="15.75" hidden="1" customHeight="1"/>
    <row r="14096" ht="15.75" hidden="1" customHeight="1"/>
    <row r="14097" ht="15.75" hidden="1" customHeight="1"/>
    <row r="14098" ht="15.75" hidden="1" customHeight="1"/>
    <row r="14099" ht="15.75" hidden="1" customHeight="1"/>
    <row r="14100" ht="15.75" hidden="1" customHeight="1"/>
    <row r="14101" ht="15.75" hidden="1" customHeight="1"/>
    <row r="14102" ht="15.75" hidden="1" customHeight="1"/>
    <row r="14103" ht="15.75" hidden="1" customHeight="1"/>
    <row r="14104" ht="15.75" hidden="1" customHeight="1"/>
    <row r="14105" ht="15.75" hidden="1" customHeight="1"/>
    <row r="14106" ht="15.75" hidden="1" customHeight="1"/>
    <row r="14107" ht="15.75" hidden="1" customHeight="1"/>
    <row r="14108" ht="15.75" hidden="1" customHeight="1"/>
    <row r="14109" ht="15.75" hidden="1" customHeight="1"/>
    <row r="14110" ht="15.75" hidden="1" customHeight="1"/>
    <row r="14111" ht="15.75" hidden="1" customHeight="1"/>
    <row r="14112" ht="15.75" hidden="1" customHeight="1"/>
    <row r="14113" ht="15.75" hidden="1" customHeight="1"/>
    <row r="14114" ht="15.75" hidden="1" customHeight="1"/>
    <row r="14115" ht="15.75" hidden="1" customHeight="1"/>
    <row r="14116" ht="15.75" hidden="1" customHeight="1"/>
    <row r="14117" ht="15.75" hidden="1" customHeight="1"/>
    <row r="14118" ht="15.75" hidden="1" customHeight="1"/>
    <row r="14119" ht="15.75" hidden="1" customHeight="1"/>
    <row r="14120" ht="15.75" hidden="1" customHeight="1"/>
    <row r="14121" ht="15.75" hidden="1" customHeight="1"/>
    <row r="14122" ht="15.75" hidden="1" customHeight="1"/>
    <row r="14123" ht="15.75" hidden="1" customHeight="1"/>
    <row r="14124" ht="15.75" hidden="1" customHeight="1"/>
    <row r="14125" ht="15.75" hidden="1" customHeight="1"/>
    <row r="14126" ht="15.75" hidden="1" customHeight="1"/>
    <row r="14127" ht="15.75" hidden="1" customHeight="1"/>
    <row r="14128" ht="15.75" hidden="1" customHeight="1"/>
    <row r="14129" ht="15.75" hidden="1" customHeight="1"/>
    <row r="14130" ht="15.75" hidden="1" customHeight="1"/>
    <row r="14131" ht="15.75" hidden="1" customHeight="1"/>
    <row r="14132" ht="15.75" hidden="1" customHeight="1"/>
    <row r="14133" ht="15.75" hidden="1" customHeight="1"/>
    <row r="14134" ht="15.75" hidden="1" customHeight="1"/>
    <row r="14135" ht="15.75" hidden="1" customHeight="1"/>
    <row r="14136" ht="15.75" hidden="1" customHeight="1"/>
    <row r="14137" ht="15.75" hidden="1" customHeight="1"/>
    <row r="14138" ht="15.75" hidden="1" customHeight="1"/>
    <row r="14139" ht="15.75" hidden="1" customHeight="1"/>
    <row r="14140" ht="15.75" hidden="1" customHeight="1"/>
    <row r="14141" ht="15.75" hidden="1" customHeight="1"/>
    <row r="14142" ht="15.75" hidden="1" customHeight="1"/>
    <row r="14143" ht="15.75" hidden="1" customHeight="1"/>
    <row r="14144" ht="15.75" hidden="1" customHeight="1"/>
    <row r="14145" ht="15.75" hidden="1" customHeight="1"/>
    <row r="14146" ht="15.75" hidden="1" customHeight="1"/>
    <row r="14147" ht="15.75" hidden="1" customHeight="1"/>
    <row r="14148" ht="15.75" hidden="1" customHeight="1"/>
    <row r="14149" ht="15.75" hidden="1" customHeight="1"/>
    <row r="14150" ht="15.75" hidden="1" customHeight="1"/>
    <row r="14151" ht="15.75" hidden="1" customHeight="1"/>
    <row r="14152" ht="15.75" hidden="1" customHeight="1"/>
    <row r="14153" ht="15.75" hidden="1" customHeight="1"/>
    <row r="14154" ht="15.75" hidden="1" customHeight="1"/>
    <row r="14155" ht="15.75" hidden="1" customHeight="1"/>
    <row r="14156" ht="15.75" hidden="1" customHeight="1"/>
    <row r="14157" ht="15.75" hidden="1" customHeight="1"/>
    <row r="14158" ht="15.75" hidden="1" customHeight="1"/>
    <row r="14159" ht="15.75" hidden="1" customHeight="1"/>
    <row r="14160" ht="15.75" hidden="1" customHeight="1"/>
    <row r="14161" ht="15.75" hidden="1" customHeight="1"/>
    <row r="14162" ht="15.75" hidden="1" customHeight="1"/>
    <row r="14163" ht="15.75" hidden="1" customHeight="1"/>
    <row r="14164" ht="15.75" hidden="1" customHeight="1"/>
    <row r="14165" ht="15.75" hidden="1" customHeight="1"/>
    <row r="14166" ht="15.75" hidden="1" customHeight="1"/>
    <row r="14167" ht="15.75" hidden="1" customHeight="1"/>
    <row r="14168" ht="15.75" hidden="1" customHeight="1"/>
    <row r="14169" ht="15.75" hidden="1" customHeight="1"/>
    <row r="14170" ht="15.75" hidden="1" customHeight="1"/>
    <row r="14171" ht="15.75" hidden="1" customHeight="1"/>
    <row r="14172" ht="15.75" hidden="1" customHeight="1"/>
    <row r="14173" ht="15.75" hidden="1" customHeight="1"/>
    <row r="14174" ht="15.75" hidden="1" customHeight="1"/>
    <row r="14175" ht="15.75" hidden="1" customHeight="1"/>
    <row r="14176" ht="15.75" hidden="1" customHeight="1"/>
    <row r="14177" ht="15.75" hidden="1" customHeight="1"/>
    <row r="14178" ht="15.75" hidden="1" customHeight="1"/>
    <row r="14179" ht="15.75" hidden="1" customHeight="1"/>
    <row r="14180" ht="15.75" hidden="1" customHeight="1"/>
    <row r="14181" ht="15.75" hidden="1" customHeight="1"/>
    <row r="14182" ht="15.75" hidden="1" customHeight="1"/>
    <row r="14183" ht="15.75" hidden="1" customHeight="1"/>
    <row r="14184" ht="15.75" hidden="1" customHeight="1"/>
    <row r="14185" ht="15.75" hidden="1" customHeight="1"/>
    <row r="14186" ht="15.75" hidden="1" customHeight="1"/>
    <row r="14187" ht="15.75" hidden="1" customHeight="1"/>
    <row r="14188" ht="15.75" hidden="1" customHeight="1"/>
    <row r="14189" ht="15.75" hidden="1" customHeight="1"/>
    <row r="14190" ht="15.75" hidden="1" customHeight="1"/>
    <row r="14191" ht="15.75" hidden="1" customHeight="1"/>
    <row r="14192" ht="15.75" hidden="1" customHeight="1"/>
    <row r="14193" ht="15.75" hidden="1" customHeight="1"/>
    <row r="14194" ht="15.75" hidden="1" customHeight="1"/>
    <row r="14195" ht="15.75" hidden="1" customHeight="1"/>
    <row r="14196" ht="15.75" hidden="1" customHeight="1"/>
    <row r="14197" ht="15.75" hidden="1" customHeight="1"/>
    <row r="14198" ht="15.75" hidden="1" customHeight="1"/>
    <row r="14199" ht="15.75" hidden="1" customHeight="1"/>
    <row r="14200" ht="15.75" hidden="1" customHeight="1"/>
    <row r="14201" ht="15.75" hidden="1" customHeight="1"/>
    <row r="14202" ht="15.75" hidden="1" customHeight="1"/>
    <row r="14203" ht="15.75" hidden="1" customHeight="1"/>
    <row r="14204" ht="15.75" hidden="1" customHeight="1"/>
    <row r="14205" ht="15.75" hidden="1" customHeight="1"/>
    <row r="14206" ht="15.75" hidden="1" customHeight="1"/>
    <row r="14207" ht="15.75" hidden="1" customHeight="1"/>
    <row r="14208" ht="15.75" hidden="1" customHeight="1"/>
    <row r="14209" ht="15.75" hidden="1" customHeight="1"/>
    <row r="14210" ht="15.75" hidden="1" customHeight="1"/>
    <row r="14211" ht="15.75" hidden="1" customHeight="1"/>
    <row r="14212" ht="15.75" hidden="1" customHeight="1"/>
    <row r="14213" ht="15.75" hidden="1" customHeight="1"/>
    <row r="14214" ht="15.75" hidden="1" customHeight="1"/>
    <row r="14215" ht="15.75" hidden="1" customHeight="1"/>
    <row r="14216" ht="15.75" hidden="1" customHeight="1"/>
    <row r="14217" ht="15.75" hidden="1" customHeight="1"/>
    <row r="14218" ht="15.75" hidden="1" customHeight="1"/>
    <row r="14219" ht="15.75" hidden="1" customHeight="1"/>
    <row r="14220" ht="15.75" hidden="1" customHeight="1"/>
    <row r="14221" ht="15.75" hidden="1" customHeight="1"/>
    <row r="14222" ht="15.75" hidden="1" customHeight="1"/>
    <row r="14223" ht="15.75" hidden="1" customHeight="1"/>
    <row r="14224" ht="15.75" hidden="1" customHeight="1"/>
    <row r="14225" ht="15.75" hidden="1" customHeight="1"/>
    <row r="14226" ht="15.75" hidden="1" customHeight="1"/>
    <row r="14227" ht="15.75" hidden="1" customHeight="1"/>
    <row r="14228" ht="15.75" hidden="1" customHeight="1"/>
    <row r="14229" ht="15.75" hidden="1" customHeight="1"/>
    <row r="14230" ht="15.75" hidden="1" customHeight="1"/>
    <row r="14231" ht="15.75" hidden="1" customHeight="1"/>
    <row r="14232" ht="15.75" hidden="1" customHeight="1"/>
    <row r="14233" ht="15.75" hidden="1" customHeight="1"/>
    <row r="14234" ht="15.75" hidden="1" customHeight="1"/>
    <row r="14235" ht="15.75" hidden="1" customHeight="1"/>
    <row r="14236" ht="15.75" hidden="1" customHeight="1"/>
    <row r="14237" ht="15.75" hidden="1" customHeight="1"/>
    <row r="14238" ht="15.75" hidden="1" customHeight="1"/>
    <row r="14239" ht="15.75" hidden="1" customHeight="1"/>
    <row r="14240" ht="15.75" hidden="1" customHeight="1"/>
    <row r="14241" ht="15.75" hidden="1" customHeight="1"/>
    <row r="14242" ht="15.75" hidden="1" customHeight="1"/>
    <row r="14243" ht="15.75" hidden="1" customHeight="1"/>
    <row r="14244" ht="15.75" hidden="1" customHeight="1"/>
    <row r="14245" ht="15.75" hidden="1" customHeight="1"/>
    <row r="14246" ht="15.75" hidden="1" customHeight="1"/>
    <row r="14247" ht="15.75" hidden="1" customHeight="1"/>
    <row r="14248" ht="15.75" hidden="1" customHeight="1"/>
    <row r="14249" ht="15.75" hidden="1" customHeight="1"/>
    <row r="14250" ht="15.75" hidden="1" customHeight="1"/>
    <row r="14251" ht="15.75" hidden="1" customHeight="1"/>
    <row r="14252" ht="15.75" hidden="1" customHeight="1"/>
    <row r="14253" ht="15.75" hidden="1" customHeight="1"/>
    <row r="14254" ht="15.75" hidden="1" customHeight="1"/>
    <row r="14255" ht="15.75" hidden="1" customHeight="1"/>
    <row r="14256" ht="15.75" hidden="1" customHeight="1"/>
    <row r="14257" ht="15.75" hidden="1" customHeight="1"/>
    <row r="14258" ht="15.75" hidden="1" customHeight="1"/>
    <row r="14259" ht="15.75" hidden="1" customHeight="1"/>
    <row r="14260" ht="15.75" hidden="1" customHeight="1"/>
    <row r="14261" ht="15.75" hidden="1" customHeight="1"/>
    <row r="14262" ht="15.75" hidden="1" customHeight="1"/>
    <row r="14263" ht="15.75" hidden="1" customHeight="1"/>
    <row r="14264" ht="15.75" hidden="1" customHeight="1"/>
    <row r="14265" ht="15.75" hidden="1" customHeight="1"/>
    <row r="14266" ht="15.75" hidden="1" customHeight="1"/>
    <row r="14267" ht="15.75" hidden="1" customHeight="1"/>
    <row r="14268" ht="15.75" hidden="1" customHeight="1"/>
    <row r="14269" ht="15.75" hidden="1" customHeight="1"/>
    <row r="14270" ht="15.75" hidden="1" customHeight="1"/>
    <row r="14271" ht="15.75" hidden="1" customHeight="1"/>
    <row r="14272" ht="15.75" hidden="1" customHeight="1"/>
    <row r="14273" ht="15.75" hidden="1" customHeight="1"/>
    <row r="14274" ht="15.75" hidden="1" customHeight="1"/>
    <row r="14275" ht="15.75" hidden="1" customHeight="1"/>
    <row r="14276" ht="15.75" hidden="1" customHeight="1"/>
    <row r="14277" ht="15.75" hidden="1" customHeight="1"/>
    <row r="14278" ht="15.75" hidden="1" customHeight="1"/>
    <row r="14279" ht="15.75" hidden="1" customHeight="1"/>
    <row r="14280" ht="15.75" hidden="1" customHeight="1"/>
    <row r="14281" ht="15.75" hidden="1" customHeight="1"/>
    <row r="14282" ht="15.75" hidden="1" customHeight="1"/>
    <row r="14283" ht="15.75" hidden="1" customHeight="1"/>
    <row r="14284" ht="15.75" hidden="1" customHeight="1"/>
    <row r="14285" ht="15.75" hidden="1" customHeight="1"/>
    <row r="14286" ht="15.75" hidden="1" customHeight="1"/>
    <row r="14287" ht="15.75" hidden="1" customHeight="1"/>
    <row r="14288" ht="15.75" hidden="1" customHeight="1"/>
    <row r="14289" ht="15.75" hidden="1" customHeight="1"/>
    <row r="14290" ht="15.75" hidden="1" customHeight="1"/>
    <row r="14291" ht="15.75" hidden="1" customHeight="1"/>
    <row r="14292" ht="15.75" hidden="1" customHeight="1"/>
    <row r="14293" ht="15.75" hidden="1" customHeight="1"/>
    <row r="14294" ht="15.75" hidden="1" customHeight="1"/>
    <row r="14295" ht="15.75" hidden="1" customHeight="1"/>
    <row r="14296" ht="15.75" hidden="1" customHeight="1"/>
    <row r="14297" ht="15.75" hidden="1" customHeight="1"/>
    <row r="14298" ht="15.75" hidden="1" customHeight="1"/>
    <row r="14299" ht="15.75" hidden="1" customHeight="1"/>
    <row r="14300" ht="15.75" hidden="1" customHeight="1"/>
    <row r="14301" ht="15.75" hidden="1" customHeight="1"/>
    <row r="14302" ht="15.75" hidden="1" customHeight="1"/>
    <row r="14303" ht="15.75" hidden="1" customHeight="1"/>
    <row r="14304" ht="15.75" hidden="1" customHeight="1"/>
    <row r="14305" ht="15.75" hidden="1" customHeight="1"/>
    <row r="14306" ht="15.75" hidden="1" customHeight="1"/>
    <row r="14307" ht="15.75" hidden="1" customHeight="1"/>
    <row r="14308" ht="15.75" hidden="1" customHeight="1"/>
    <row r="14309" ht="15.75" hidden="1" customHeight="1"/>
    <row r="14310" ht="15.75" hidden="1" customHeight="1"/>
    <row r="14311" ht="15.75" hidden="1" customHeight="1"/>
    <row r="14312" ht="15.75" hidden="1" customHeight="1"/>
    <row r="14313" ht="15.75" hidden="1" customHeight="1"/>
    <row r="14314" ht="15.75" hidden="1" customHeight="1"/>
    <row r="14315" ht="15.75" hidden="1" customHeight="1"/>
    <row r="14316" ht="15.75" hidden="1" customHeight="1"/>
    <row r="14317" ht="15.75" hidden="1" customHeight="1"/>
    <row r="14318" ht="15.75" hidden="1" customHeight="1"/>
    <row r="14319" ht="15.75" hidden="1" customHeight="1"/>
    <row r="14320" ht="15.75" hidden="1" customHeight="1"/>
    <row r="14321" ht="15.75" hidden="1" customHeight="1"/>
    <row r="14322" ht="15.75" hidden="1" customHeight="1"/>
    <row r="14323" ht="15.75" hidden="1" customHeight="1"/>
    <row r="14324" ht="15.75" hidden="1" customHeight="1"/>
    <row r="14325" ht="15.75" hidden="1" customHeight="1"/>
    <row r="14326" ht="15.75" hidden="1" customHeight="1"/>
    <row r="14327" ht="15.75" hidden="1" customHeight="1"/>
    <row r="14328" ht="15.75" hidden="1" customHeight="1"/>
    <row r="14329" ht="15.75" hidden="1" customHeight="1"/>
    <row r="14330" ht="15.75" hidden="1" customHeight="1"/>
    <row r="14331" ht="15.75" hidden="1" customHeight="1"/>
    <row r="14332" ht="15.75" hidden="1" customHeight="1"/>
    <row r="14333" ht="15.75" hidden="1" customHeight="1"/>
    <row r="14334" ht="15.75" hidden="1" customHeight="1"/>
    <row r="14335" ht="15.75" hidden="1" customHeight="1"/>
    <row r="14336" ht="15.75" hidden="1" customHeight="1"/>
    <row r="14337" ht="15.75" hidden="1" customHeight="1"/>
    <row r="14338" ht="15.75" hidden="1" customHeight="1"/>
    <row r="14339" ht="15.75" hidden="1" customHeight="1"/>
    <row r="14340" ht="15.75" hidden="1" customHeight="1"/>
    <row r="14341" ht="15.75" hidden="1" customHeight="1"/>
    <row r="14342" ht="15.75" hidden="1" customHeight="1"/>
    <row r="14343" ht="15.75" hidden="1" customHeight="1"/>
    <row r="14344" ht="15.75" hidden="1" customHeight="1"/>
    <row r="14345" ht="15.75" hidden="1" customHeight="1"/>
    <row r="14346" ht="15.75" hidden="1" customHeight="1"/>
    <row r="14347" ht="15.75" hidden="1" customHeight="1"/>
    <row r="14348" ht="15.75" hidden="1" customHeight="1"/>
    <row r="14349" ht="15.75" hidden="1" customHeight="1"/>
    <row r="14350" ht="15.75" hidden="1" customHeight="1"/>
    <row r="14351" ht="15.75" hidden="1" customHeight="1"/>
    <row r="14352" ht="15.75" hidden="1" customHeight="1"/>
    <row r="14353" ht="15.75" hidden="1" customHeight="1"/>
    <row r="14354" ht="15.75" hidden="1" customHeight="1"/>
    <row r="14355" ht="15.75" hidden="1" customHeight="1"/>
    <row r="14356" ht="15.75" hidden="1" customHeight="1"/>
    <row r="14357" ht="15.75" hidden="1" customHeight="1"/>
    <row r="14358" ht="15.75" hidden="1" customHeight="1"/>
    <row r="14359" ht="15.75" hidden="1" customHeight="1"/>
    <row r="14360" ht="15.75" hidden="1" customHeight="1"/>
    <row r="14361" ht="15.75" hidden="1" customHeight="1"/>
    <row r="14362" ht="15.75" hidden="1" customHeight="1"/>
    <row r="14363" ht="15.75" hidden="1" customHeight="1"/>
    <row r="14364" ht="15.75" hidden="1" customHeight="1"/>
    <row r="14365" ht="15.75" hidden="1" customHeight="1"/>
    <row r="14366" ht="15.75" hidden="1" customHeight="1"/>
    <row r="14367" ht="15.75" hidden="1" customHeight="1"/>
    <row r="14368" ht="15.75" hidden="1" customHeight="1"/>
    <row r="14369" ht="15.75" hidden="1" customHeight="1"/>
    <row r="14370" ht="15.75" hidden="1" customHeight="1"/>
    <row r="14371" ht="15.75" hidden="1" customHeight="1"/>
    <row r="14372" ht="15.75" hidden="1" customHeight="1"/>
    <row r="14373" ht="15.75" hidden="1" customHeight="1"/>
    <row r="14374" ht="15.75" hidden="1" customHeight="1"/>
    <row r="14375" ht="15.75" hidden="1" customHeight="1"/>
    <row r="14376" ht="15.75" hidden="1" customHeight="1"/>
    <row r="14377" ht="15.75" hidden="1" customHeight="1"/>
    <row r="14378" ht="15.75" hidden="1" customHeight="1"/>
    <row r="14379" ht="15.75" hidden="1" customHeight="1"/>
    <row r="14380" ht="15.75" hidden="1" customHeight="1"/>
    <row r="14381" ht="15.75" hidden="1" customHeight="1"/>
    <row r="14382" ht="15.75" hidden="1" customHeight="1"/>
    <row r="14383" ht="15.75" hidden="1" customHeight="1"/>
    <row r="14384" ht="15.75" hidden="1" customHeight="1"/>
    <row r="14385" ht="15.75" hidden="1" customHeight="1"/>
    <row r="14386" ht="15.75" hidden="1" customHeight="1"/>
    <row r="14387" ht="15.75" hidden="1" customHeight="1"/>
    <row r="14388" ht="15.75" hidden="1" customHeight="1"/>
    <row r="14389" ht="15.75" hidden="1" customHeight="1"/>
    <row r="14390" ht="15.75" hidden="1" customHeight="1"/>
    <row r="14391" ht="15.75" hidden="1" customHeight="1"/>
    <row r="14392" ht="15.75" hidden="1" customHeight="1"/>
    <row r="14393" ht="15.75" hidden="1" customHeight="1"/>
    <row r="14394" ht="15.75" hidden="1" customHeight="1"/>
    <row r="14395" ht="15.75" hidden="1" customHeight="1"/>
    <row r="14396" ht="15.75" hidden="1" customHeight="1"/>
    <row r="14397" ht="15.75" hidden="1" customHeight="1"/>
    <row r="14398" ht="15.75" hidden="1" customHeight="1"/>
    <row r="14399" ht="15.75" hidden="1" customHeight="1"/>
    <row r="14400" ht="15.75" hidden="1" customHeight="1"/>
    <row r="14401" ht="15.75" hidden="1" customHeight="1"/>
    <row r="14402" ht="15.75" hidden="1" customHeight="1"/>
    <row r="14403" ht="15.75" hidden="1" customHeight="1"/>
    <row r="14404" ht="15.75" hidden="1" customHeight="1"/>
    <row r="14405" ht="15.75" hidden="1" customHeight="1"/>
    <row r="14406" ht="15.75" hidden="1" customHeight="1"/>
    <row r="14407" ht="15.75" hidden="1" customHeight="1"/>
    <row r="14408" ht="15.75" hidden="1" customHeight="1"/>
    <row r="14409" ht="15.75" hidden="1" customHeight="1"/>
    <row r="14410" ht="15.75" hidden="1" customHeight="1"/>
    <row r="14411" ht="15.75" hidden="1" customHeight="1"/>
    <row r="14412" ht="15.75" hidden="1" customHeight="1"/>
    <row r="14413" ht="15.75" hidden="1" customHeight="1"/>
    <row r="14414" ht="15.75" hidden="1" customHeight="1"/>
    <row r="14415" ht="15.75" hidden="1" customHeight="1"/>
    <row r="14416" ht="15.75" hidden="1" customHeight="1"/>
    <row r="14417" ht="15.75" hidden="1" customHeight="1"/>
    <row r="14418" ht="15.75" hidden="1" customHeight="1"/>
    <row r="14419" ht="15.75" hidden="1" customHeight="1"/>
    <row r="14420" ht="15.75" hidden="1" customHeight="1"/>
    <row r="14421" ht="15.75" hidden="1" customHeight="1"/>
    <row r="14422" ht="15.75" hidden="1" customHeight="1"/>
    <row r="14423" ht="15.75" hidden="1" customHeight="1"/>
    <row r="14424" ht="15.75" hidden="1" customHeight="1"/>
    <row r="14425" ht="15.75" hidden="1" customHeight="1"/>
    <row r="14426" ht="15.75" hidden="1" customHeight="1"/>
    <row r="14427" ht="15.75" hidden="1" customHeight="1"/>
    <row r="14428" ht="15.75" hidden="1" customHeight="1"/>
    <row r="14429" ht="15.75" hidden="1" customHeight="1"/>
    <row r="14430" ht="15.75" hidden="1" customHeight="1"/>
    <row r="14431" ht="15.75" hidden="1" customHeight="1"/>
    <row r="14432" ht="15.75" hidden="1" customHeight="1"/>
    <row r="14433" ht="15.75" hidden="1" customHeight="1"/>
    <row r="14434" ht="15.75" hidden="1" customHeight="1"/>
    <row r="14435" ht="15.75" hidden="1" customHeight="1"/>
    <row r="14436" ht="15.75" hidden="1" customHeight="1"/>
    <row r="14437" ht="15.75" hidden="1" customHeight="1"/>
    <row r="14438" ht="15.75" hidden="1" customHeight="1"/>
    <row r="14439" ht="15.75" hidden="1" customHeight="1"/>
    <row r="14440" ht="15.75" hidden="1" customHeight="1"/>
    <row r="14441" ht="15.75" hidden="1" customHeight="1"/>
    <row r="14442" ht="15.75" hidden="1" customHeight="1"/>
    <row r="14443" ht="15.75" hidden="1" customHeight="1"/>
    <row r="14444" ht="15.75" hidden="1" customHeight="1"/>
    <row r="14445" ht="15.75" hidden="1" customHeight="1"/>
    <row r="14446" ht="15.75" hidden="1" customHeight="1"/>
    <row r="14447" ht="15.75" hidden="1" customHeight="1"/>
    <row r="14448" ht="15.75" hidden="1" customHeight="1"/>
    <row r="14449" ht="15.75" hidden="1" customHeight="1"/>
    <row r="14450" ht="15.75" hidden="1" customHeight="1"/>
    <row r="14451" ht="15.75" hidden="1" customHeight="1"/>
    <row r="14452" ht="15.75" hidden="1" customHeight="1"/>
    <row r="14453" ht="15.75" hidden="1" customHeight="1"/>
    <row r="14454" ht="15.75" hidden="1" customHeight="1"/>
    <row r="14455" ht="15.75" hidden="1" customHeight="1"/>
    <row r="14456" ht="15.75" hidden="1" customHeight="1"/>
    <row r="14457" ht="15.75" hidden="1" customHeight="1"/>
    <row r="14458" ht="15.75" hidden="1" customHeight="1"/>
    <row r="14459" ht="15.75" hidden="1" customHeight="1"/>
    <row r="14460" ht="15.75" hidden="1" customHeight="1"/>
    <row r="14461" ht="15.75" hidden="1" customHeight="1"/>
    <row r="14462" ht="15.75" hidden="1" customHeight="1"/>
    <row r="14463" ht="15.75" hidden="1" customHeight="1"/>
    <row r="14464" ht="15.75" hidden="1" customHeight="1"/>
    <row r="14465" ht="15.75" hidden="1" customHeight="1"/>
    <row r="14466" ht="15.75" hidden="1" customHeight="1"/>
    <row r="14467" ht="15.75" hidden="1" customHeight="1"/>
    <row r="14468" ht="15.75" hidden="1" customHeight="1"/>
    <row r="14469" ht="15.75" hidden="1" customHeight="1"/>
    <row r="14470" ht="15.75" hidden="1" customHeight="1"/>
    <row r="14471" ht="15.75" hidden="1" customHeight="1"/>
    <row r="14472" ht="15.75" hidden="1" customHeight="1"/>
    <row r="14473" ht="15.75" hidden="1" customHeight="1"/>
    <row r="14474" ht="15.75" hidden="1" customHeight="1"/>
    <row r="14475" ht="15.75" hidden="1" customHeight="1"/>
    <row r="14476" ht="15.75" hidden="1" customHeight="1"/>
    <row r="14477" ht="15.75" hidden="1" customHeight="1"/>
    <row r="14478" ht="15.75" hidden="1" customHeight="1"/>
    <row r="14479" ht="15.75" hidden="1" customHeight="1"/>
    <row r="14480" ht="15.75" hidden="1" customHeight="1"/>
    <row r="14481" ht="15.75" hidden="1" customHeight="1"/>
    <row r="14482" ht="15.75" hidden="1" customHeight="1"/>
    <row r="14483" ht="15.75" hidden="1" customHeight="1"/>
    <row r="14484" ht="15.75" hidden="1" customHeight="1"/>
    <row r="14485" ht="15.75" hidden="1" customHeight="1"/>
    <row r="14486" ht="15.75" hidden="1" customHeight="1"/>
    <row r="14487" ht="15.75" hidden="1" customHeight="1"/>
    <row r="14488" ht="15.75" hidden="1" customHeight="1"/>
    <row r="14489" ht="15.75" hidden="1" customHeight="1"/>
    <row r="14490" ht="15.75" hidden="1" customHeight="1"/>
    <row r="14491" ht="15.75" hidden="1" customHeight="1"/>
    <row r="14492" ht="15.75" hidden="1" customHeight="1"/>
    <row r="14493" ht="15.75" hidden="1" customHeight="1"/>
    <row r="14494" ht="15.75" hidden="1" customHeight="1"/>
    <row r="14495" ht="15.75" hidden="1" customHeight="1"/>
    <row r="14496" ht="15.75" hidden="1" customHeight="1"/>
    <row r="14497" ht="15.75" hidden="1" customHeight="1"/>
    <row r="14498" ht="15.75" hidden="1" customHeight="1"/>
    <row r="14499" ht="15.75" hidden="1" customHeight="1"/>
    <row r="14500" ht="15.75" hidden="1" customHeight="1"/>
    <row r="14501" ht="15.75" hidden="1" customHeight="1"/>
    <row r="14502" ht="15.75" hidden="1" customHeight="1"/>
    <row r="14503" ht="15.75" hidden="1" customHeight="1"/>
    <row r="14504" ht="15.75" hidden="1" customHeight="1"/>
    <row r="14505" ht="15.75" hidden="1" customHeight="1"/>
    <row r="14506" ht="15.75" hidden="1" customHeight="1"/>
    <row r="14507" ht="15.75" hidden="1" customHeight="1"/>
    <row r="14508" ht="15.75" hidden="1" customHeight="1"/>
    <row r="14509" ht="15.75" hidden="1" customHeight="1"/>
    <row r="14510" ht="15.75" hidden="1" customHeight="1"/>
    <row r="14511" ht="15.75" hidden="1" customHeight="1"/>
    <row r="14512" ht="15.75" hidden="1" customHeight="1"/>
    <row r="14513" ht="15.75" hidden="1" customHeight="1"/>
    <row r="14514" ht="15.75" hidden="1" customHeight="1"/>
    <row r="14515" ht="15.75" hidden="1" customHeight="1"/>
    <row r="14516" ht="15.75" hidden="1" customHeight="1"/>
    <row r="14517" ht="15.75" hidden="1" customHeight="1"/>
    <row r="14518" ht="15.75" hidden="1" customHeight="1"/>
    <row r="14519" ht="15.75" hidden="1" customHeight="1"/>
    <row r="14520" ht="15.75" hidden="1" customHeight="1"/>
    <row r="14521" ht="15.75" hidden="1" customHeight="1"/>
    <row r="14522" ht="15.75" hidden="1" customHeight="1"/>
    <row r="14523" ht="15.75" hidden="1" customHeight="1"/>
    <row r="14524" ht="15.75" hidden="1" customHeight="1"/>
    <row r="14525" ht="15.75" hidden="1" customHeight="1"/>
    <row r="14526" ht="15.75" hidden="1" customHeight="1"/>
    <row r="14527" ht="15.75" hidden="1" customHeight="1"/>
    <row r="14528" ht="15.75" hidden="1" customHeight="1"/>
    <row r="14529" ht="15.75" hidden="1" customHeight="1"/>
    <row r="14530" ht="15.75" hidden="1" customHeight="1"/>
    <row r="14531" ht="15.75" hidden="1" customHeight="1"/>
    <row r="14532" ht="15.75" hidden="1" customHeight="1"/>
    <row r="14533" ht="15.75" hidden="1" customHeight="1"/>
    <row r="14534" ht="15.75" hidden="1" customHeight="1"/>
    <row r="14535" ht="15.75" hidden="1" customHeight="1"/>
    <row r="14536" ht="15.75" hidden="1" customHeight="1"/>
    <row r="14537" ht="15.75" hidden="1" customHeight="1"/>
    <row r="14538" ht="15.75" hidden="1" customHeight="1"/>
    <row r="14539" ht="15.75" hidden="1" customHeight="1"/>
    <row r="14540" ht="15.75" hidden="1" customHeight="1"/>
    <row r="14541" ht="15.75" hidden="1" customHeight="1"/>
    <row r="14542" ht="15.75" hidden="1" customHeight="1"/>
    <row r="14543" ht="15.75" hidden="1" customHeight="1"/>
    <row r="14544" ht="15.75" hidden="1" customHeight="1"/>
    <row r="14545" ht="15.75" hidden="1" customHeight="1"/>
    <row r="14546" ht="15.75" hidden="1" customHeight="1"/>
    <row r="14547" ht="15.75" hidden="1" customHeight="1"/>
    <row r="14548" ht="15.75" hidden="1" customHeight="1"/>
    <row r="14549" ht="15.75" hidden="1" customHeight="1"/>
    <row r="14550" ht="15.75" hidden="1" customHeight="1"/>
    <row r="14551" ht="15.75" hidden="1" customHeight="1"/>
    <row r="14552" ht="15.75" hidden="1" customHeight="1"/>
    <row r="14553" ht="15.75" hidden="1" customHeight="1"/>
    <row r="14554" ht="15.75" hidden="1" customHeight="1"/>
    <row r="14555" ht="15.75" hidden="1" customHeight="1"/>
    <row r="14556" ht="15.75" hidden="1" customHeight="1"/>
    <row r="14557" ht="15.75" hidden="1" customHeight="1"/>
    <row r="14558" ht="15.75" hidden="1" customHeight="1"/>
    <row r="14559" ht="15.75" hidden="1" customHeight="1"/>
    <row r="14560" ht="15.75" hidden="1" customHeight="1"/>
    <row r="14561" ht="15.75" hidden="1" customHeight="1"/>
    <row r="14562" ht="15.75" hidden="1" customHeight="1"/>
    <row r="14563" ht="15.75" hidden="1" customHeight="1"/>
    <row r="14564" ht="15.75" hidden="1" customHeight="1"/>
    <row r="14565" ht="15.75" hidden="1" customHeight="1"/>
    <row r="14566" ht="15.75" hidden="1" customHeight="1"/>
    <row r="14567" ht="15.75" hidden="1" customHeight="1"/>
    <row r="14568" ht="15.75" hidden="1" customHeight="1"/>
    <row r="14569" ht="15.75" hidden="1" customHeight="1"/>
    <row r="14570" ht="15.75" hidden="1" customHeight="1"/>
    <row r="14571" ht="15.75" hidden="1" customHeight="1"/>
    <row r="14572" ht="15.75" hidden="1" customHeight="1"/>
    <row r="14573" ht="15.75" hidden="1" customHeight="1"/>
    <row r="14574" ht="15.75" hidden="1" customHeight="1"/>
    <row r="14575" ht="15.75" hidden="1" customHeight="1"/>
    <row r="14576" ht="15.75" hidden="1" customHeight="1"/>
    <row r="14577" ht="15.75" hidden="1" customHeight="1"/>
    <row r="14578" ht="15.75" hidden="1" customHeight="1"/>
    <row r="14579" ht="15.75" hidden="1" customHeight="1"/>
    <row r="14580" ht="15.75" hidden="1" customHeight="1"/>
    <row r="14581" ht="15.75" hidden="1" customHeight="1"/>
    <row r="14582" ht="15.75" hidden="1" customHeight="1"/>
    <row r="14583" ht="15.75" hidden="1" customHeight="1"/>
    <row r="14584" ht="15.75" hidden="1" customHeight="1"/>
    <row r="14585" ht="15.75" hidden="1" customHeight="1"/>
    <row r="14586" ht="15.75" hidden="1" customHeight="1"/>
    <row r="14587" ht="15.75" hidden="1" customHeight="1"/>
    <row r="14588" ht="15.75" hidden="1" customHeight="1"/>
    <row r="14589" ht="15.75" hidden="1" customHeight="1"/>
    <row r="14590" ht="15.75" hidden="1" customHeight="1"/>
    <row r="14591" ht="15.75" hidden="1" customHeight="1"/>
    <row r="14592" ht="15.75" hidden="1" customHeight="1"/>
    <row r="14593" ht="15.75" hidden="1" customHeight="1"/>
    <row r="14594" ht="15.75" hidden="1" customHeight="1"/>
    <row r="14595" ht="15.75" hidden="1" customHeight="1"/>
    <row r="14596" ht="15.75" hidden="1" customHeight="1"/>
    <row r="14597" ht="15.75" hidden="1" customHeight="1"/>
    <row r="14598" ht="15.75" hidden="1" customHeight="1"/>
    <row r="14599" ht="15.75" hidden="1" customHeight="1"/>
    <row r="14600" ht="15.75" hidden="1" customHeight="1"/>
    <row r="14601" ht="15.75" hidden="1" customHeight="1"/>
    <row r="14602" ht="15.75" hidden="1" customHeight="1"/>
    <row r="14603" ht="15.75" hidden="1" customHeight="1"/>
    <row r="14604" ht="15.75" hidden="1" customHeight="1"/>
    <row r="14605" ht="15.75" hidden="1" customHeight="1"/>
    <row r="14606" ht="15.75" hidden="1" customHeight="1"/>
    <row r="14607" ht="15.75" hidden="1" customHeight="1"/>
    <row r="14608" ht="15.75" hidden="1" customHeight="1"/>
    <row r="14609" ht="15.75" hidden="1" customHeight="1"/>
    <row r="14610" ht="15.75" hidden="1" customHeight="1"/>
    <row r="14611" ht="15.75" hidden="1" customHeight="1"/>
    <row r="14612" ht="15.75" hidden="1" customHeight="1"/>
    <row r="14613" ht="15.75" hidden="1" customHeight="1"/>
    <row r="14614" ht="15.75" hidden="1" customHeight="1"/>
    <row r="14615" ht="15.75" hidden="1" customHeight="1"/>
    <row r="14616" ht="15.75" hidden="1" customHeight="1"/>
    <row r="14617" ht="15.75" hidden="1" customHeight="1"/>
    <row r="14618" ht="15.75" hidden="1" customHeight="1"/>
    <row r="14619" ht="15.75" hidden="1" customHeight="1"/>
    <row r="14620" ht="15.75" hidden="1" customHeight="1"/>
    <row r="14621" ht="15.75" hidden="1" customHeight="1"/>
    <row r="14622" ht="15.75" hidden="1" customHeight="1"/>
    <row r="14623" ht="15.75" hidden="1" customHeight="1"/>
    <row r="14624" ht="15.75" hidden="1" customHeight="1"/>
    <row r="14625" ht="15.75" hidden="1" customHeight="1"/>
    <row r="14626" ht="15.75" hidden="1" customHeight="1"/>
    <row r="14627" ht="15.75" hidden="1" customHeight="1"/>
    <row r="14628" ht="15.75" hidden="1" customHeight="1"/>
    <row r="14629" ht="15.75" hidden="1" customHeight="1"/>
    <row r="14630" ht="15.75" hidden="1" customHeight="1"/>
    <row r="14631" ht="15.75" hidden="1" customHeight="1"/>
    <row r="14632" ht="15.75" hidden="1" customHeight="1"/>
    <row r="14633" ht="15.75" hidden="1" customHeight="1"/>
    <row r="14634" ht="15.75" hidden="1" customHeight="1"/>
    <row r="14635" ht="15.75" hidden="1" customHeight="1"/>
    <row r="14636" ht="15.75" hidden="1" customHeight="1"/>
    <row r="14637" ht="15.75" hidden="1" customHeight="1"/>
    <row r="14638" ht="15.75" hidden="1" customHeight="1"/>
    <row r="14639" ht="15.75" hidden="1" customHeight="1"/>
    <row r="14640" ht="15.75" hidden="1" customHeight="1"/>
    <row r="14641" ht="15.75" hidden="1" customHeight="1"/>
    <row r="14642" ht="15.75" hidden="1" customHeight="1"/>
    <row r="14643" ht="15.75" hidden="1" customHeight="1"/>
    <row r="14644" ht="15.75" hidden="1" customHeight="1"/>
    <row r="14645" ht="15.75" hidden="1" customHeight="1"/>
    <row r="14646" ht="15.75" hidden="1" customHeight="1"/>
    <row r="14647" ht="15.75" hidden="1" customHeight="1"/>
    <row r="14648" ht="15.75" hidden="1" customHeight="1"/>
    <row r="14649" ht="15.75" hidden="1" customHeight="1"/>
    <row r="14650" ht="15.75" hidden="1" customHeight="1"/>
    <row r="14651" ht="15.75" hidden="1" customHeight="1"/>
    <row r="14652" ht="15.75" hidden="1" customHeight="1"/>
    <row r="14653" ht="15.75" hidden="1" customHeight="1"/>
    <row r="14654" ht="15.75" hidden="1" customHeight="1"/>
    <row r="14655" ht="15.75" hidden="1" customHeight="1"/>
    <row r="14656" ht="15.75" hidden="1" customHeight="1"/>
    <row r="14657" ht="15.75" hidden="1" customHeight="1"/>
    <row r="14658" ht="15.75" hidden="1" customHeight="1"/>
    <row r="14659" ht="15.75" hidden="1" customHeight="1"/>
    <row r="14660" ht="15.75" hidden="1" customHeight="1"/>
    <row r="14661" ht="15.75" hidden="1" customHeight="1"/>
    <row r="14662" ht="15.75" hidden="1" customHeight="1"/>
    <row r="14663" ht="15.75" hidden="1" customHeight="1"/>
    <row r="14664" ht="15.75" hidden="1" customHeight="1"/>
    <row r="14665" ht="15.75" hidden="1" customHeight="1"/>
    <row r="14666" ht="15.75" hidden="1" customHeight="1"/>
    <row r="14667" ht="15.75" hidden="1" customHeight="1"/>
    <row r="14668" ht="15.75" hidden="1" customHeight="1"/>
    <row r="14669" ht="15.75" hidden="1" customHeight="1"/>
    <row r="14670" ht="15.75" hidden="1" customHeight="1"/>
    <row r="14671" ht="15.75" hidden="1" customHeight="1"/>
    <row r="14672" ht="15.75" hidden="1" customHeight="1"/>
    <row r="14673" ht="15.75" hidden="1" customHeight="1"/>
    <row r="14674" ht="15.75" hidden="1" customHeight="1"/>
    <row r="14675" ht="15.75" hidden="1" customHeight="1"/>
    <row r="14676" ht="15.75" hidden="1" customHeight="1"/>
    <row r="14677" ht="15.75" hidden="1" customHeight="1"/>
    <row r="14678" ht="15.75" hidden="1" customHeight="1"/>
    <row r="14679" ht="15.75" hidden="1" customHeight="1"/>
    <row r="14680" ht="15.75" hidden="1" customHeight="1"/>
    <row r="14681" ht="15.75" hidden="1" customHeight="1"/>
    <row r="14682" ht="15.75" hidden="1" customHeight="1"/>
    <row r="14683" ht="15.75" hidden="1" customHeight="1"/>
    <row r="14684" ht="15.75" hidden="1" customHeight="1"/>
    <row r="14685" ht="15.75" hidden="1" customHeight="1"/>
    <row r="14686" ht="15.75" hidden="1" customHeight="1"/>
    <row r="14687" ht="15.75" hidden="1" customHeight="1"/>
    <row r="14688" ht="15.75" hidden="1" customHeight="1"/>
    <row r="14689" ht="15.75" hidden="1" customHeight="1"/>
    <row r="14690" ht="15.75" hidden="1" customHeight="1"/>
    <row r="14691" ht="15.75" hidden="1" customHeight="1"/>
    <row r="14692" ht="15.75" hidden="1" customHeight="1"/>
    <row r="14693" ht="15.75" hidden="1" customHeight="1"/>
    <row r="14694" ht="15.75" hidden="1" customHeight="1"/>
    <row r="14695" ht="15.75" hidden="1" customHeight="1"/>
    <row r="14696" ht="15.75" hidden="1" customHeight="1"/>
    <row r="14697" ht="15.75" hidden="1" customHeight="1"/>
    <row r="14698" ht="15.75" hidden="1" customHeight="1"/>
    <row r="14699" ht="15.75" hidden="1" customHeight="1"/>
    <row r="14700" ht="15.75" hidden="1" customHeight="1"/>
    <row r="14701" ht="15.75" hidden="1" customHeight="1"/>
    <row r="14702" ht="15.75" hidden="1" customHeight="1"/>
    <row r="14703" ht="15.75" hidden="1" customHeight="1"/>
    <row r="14704" ht="15.75" hidden="1" customHeight="1"/>
    <row r="14705" ht="15.75" hidden="1" customHeight="1"/>
    <row r="14706" ht="15.75" hidden="1" customHeight="1"/>
    <row r="14707" ht="15.75" hidden="1" customHeight="1"/>
    <row r="14708" ht="15.75" hidden="1" customHeight="1"/>
    <row r="14709" ht="15.75" hidden="1" customHeight="1"/>
    <row r="14710" ht="15.75" hidden="1" customHeight="1"/>
    <row r="14711" ht="15.75" hidden="1" customHeight="1"/>
    <row r="14712" ht="15.75" hidden="1" customHeight="1"/>
    <row r="14713" ht="15.75" hidden="1" customHeight="1"/>
    <row r="14714" ht="15.75" hidden="1" customHeight="1"/>
    <row r="14715" ht="15.75" hidden="1" customHeight="1"/>
    <row r="14716" ht="15.75" hidden="1" customHeight="1"/>
    <row r="14717" ht="15.75" hidden="1" customHeight="1"/>
    <row r="14718" ht="15.75" hidden="1" customHeight="1"/>
    <row r="14719" ht="15.75" hidden="1" customHeight="1"/>
    <row r="14720" ht="15.75" hidden="1" customHeight="1"/>
    <row r="14721" ht="15.75" hidden="1" customHeight="1"/>
    <row r="14722" ht="15.75" hidden="1" customHeight="1"/>
    <row r="14723" ht="15.75" hidden="1" customHeight="1"/>
    <row r="14724" ht="15.75" hidden="1" customHeight="1"/>
    <row r="14725" ht="15.75" hidden="1" customHeight="1"/>
    <row r="14726" ht="15.75" hidden="1" customHeight="1"/>
    <row r="14727" ht="15.75" hidden="1" customHeight="1"/>
    <row r="14728" ht="15.75" hidden="1" customHeight="1"/>
    <row r="14729" ht="15.75" hidden="1" customHeight="1"/>
    <row r="14730" ht="15.75" hidden="1" customHeight="1"/>
    <row r="14731" ht="15.75" hidden="1" customHeight="1"/>
    <row r="14732" ht="15.75" hidden="1" customHeight="1"/>
    <row r="14733" ht="15.75" hidden="1" customHeight="1"/>
    <row r="14734" ht="15.75" hidden="1" customHeight="1"/>
    <row r="14735" ht="15.75" hidden="1" customHeight="1"/>
    <row r="14736" ht="15.75" hidden="1" customHeight="1"/>
    <row r="14737" ht="15.75" hidden="1" customHeight="1"/>
    <row r="14738" ht="15.75" hidden="1" customHeight="1"/>
    <row r="14739" ht="15.75" hidden="1" customHeight="1"/>
    <row r="14740" ht="15.75" hidden="1" customHeight="1"/>
    <row r="14741" ht="15.75" hidden="1" customHeight="1"/>
    <row r="14742" ht="15.75" hidden="1" customHeight="1"/>
    <row r="14743" ht="15.75" hidden="1" customHeight="1"/>
    <row r="14744" ht="15.75" hidden="1" customHeight="1"/>
    <row r="14745" ht="15.75" hidden="1" customHeight="1"/>
    <row r="14746" ht="15.75" hidden="1" customHeight="1"/>
    <row r="14747" ht="15.75" hidden="1" customHeight="1"/>
    <row r="14748" ht="15.75" hidden="1" customHeight="1"/>
    <row r="14749" ht="15.75" hidden="1" customHeight="1"/>
    <row r="14750" ht="15.75" hidden="1" customHeight="1"/>
    <row r="14751" ht="15.75" hidden="1" customHeight="1"/>
    <row r="14752" ht="15.75" hidden="1" customHeight="1"/>
    <row r="14753" ht="15.75" hidden="1" customHeight="1"/>
    <row r="14754" ht="15.75" hidden="1" customHeight="1"/>
    <row r="14755" ht="15.75" hidden="1" customHeight="1"/>
    <row r="14756" ht="15.75" hidden="1" customHeight="1"/>
    <row r="14757" ht="15.75" hidden="1" customHeight="1"/>
    <row r="14758" ht="15.75" hidden="1" customHeight="1"/>
    <row r="14759" ht="15.75" hidden="1" customHeight="1"/>
    <row r="14760" ht="15.75" hidden="1" customHeight="1"/>
    <row r="14761" ht="15.75" hidden="1" customHeight="1"/>
    <row r="14762" ht="15.75" hidden="1" customHeight="1"/>
    <row r="14763" ht="15.75" hidden="1" customHeight="1"/>
    <row r="14764" ht="15.75" hidden="1" customHeight="1"/>
    <row r="14765" ht="15.75" hidden="1" customHeight="1"/>
    <row r="14766" ht="15.75" hidden="1" customHeight="1"/>
    <row r="14767" ht="15.75" hidden="1" customHeight="1"/>
    <row r="14768" ht="15.75" hidden="1" customHeight="1"/>
    <row r="14769" ht="15.75" hidden="1" customHeight="1"/>
    <row r="14770" ht="15.75" hidden="1" customHeight="1"/>
    <row r="14771" ht="15.75" hidden="1" customHeight="1"/>
    <row r="14772" ht="15.75" hidden="1" customHeight="1"/>
    <row r="14773" ht="15.75" hidden="1" customHeight="1"/>
    <row r="14774" ht="15.75" hidden="1" customHeight="1"/>
    <row r="14775" ht="15.75" hidden="1" customHeight="1"/>
    <row r="14776" ht="15.75" hidden="1" customHeight="1"/>
    <row r="14777" ht="15.75" hidden="1" customHeight="1"/>
    <row r="14778" ht="15.75" hidden="1" customHeight="1"/>
    <row r="14779" ht="15.75" hidden="1" customHeight="1"/>
    <row r="14780" ht="15.75" hidden="1" customHeight="1"/>
    <row r="14781" ht="15.75" hidden="1" customHeight="1"/>
    <row r="14782" ht="15.75" hidden="1" customHeight="1"/>
    <row r="14783" ht="15.75" hidden="1" customHeight="1"/>
    <row r="14784" ht="15.75" hidden="1" customHeight="1"/>
    <row r="14785" ht="15.75" hidden="1" customHeight="1"/>
    <row r="14786" ht="15.75" hidden="1" customHeight="1"/>
    <row r="14787" ht="15.75" hidden="1" customHeight="1"/>
    <row r="14788" ht="15.75" hidden="1" customHeight="1"/>
    <row r="14789" ht="15.75" hidden="1" customHeight="1"/>
    <row r="14790" ht="15.75" hidden="1" customHeight="1"/>
    <row r="14791" ht="15.75" hidden="1" customHeight="1"/>
    <row r="14792" ht="15.75" hidden="1" customHeight="1"/>
    <row r="14793" ht="15.75" hidden="1" customHeight="1"/>
    <row r="14794" ht="15.75" hidden="1" customHeight="1"/>
    <row r="14795" ht="15.75" hidden="1" customHeight="1"/>
    <row r="14796" ht="15.75" hidden="1" customHeight="1"/>
    <row r="14797" ht="15.75" hidden="1" customHeight="1"/>
    <row r="14798" ht="15.75" hidden="1" customHeight="1"/>
    <row r="14799" ht="15.75" hidden="1" customHeight="1"/>
    <row r="14800" ht="15.75" hidden="1" customHeight="1"/>
    <row r="14801" ht="15.75" hidden="1" customHeight="1"/>
    <row r="14802" ht="15.75" hidden="1" customHeight="1"/>
    <row r="14803" ht="15.75" hidden="1" customHeight="1"/>
    <row r="14804" ht="15.75" hidden="1" customHeight="1"/>
    <row r="14805" ht="15.75" hidden="1" customHeight="1"/>
    <row r="14806" ht="15.75" hidden="1" customHeight="1"/>
    <row r="14807" ht="15.75" hidden="1" customHeight="1"/>
    <row r="14808" ht="15.75" hidden="1" customHeight="1"/>
    <row r="14809" ht="15.75" hidden="1" customHeight="1"/>
    <row r="14810" ht="15.75" hidden="1" customHeight="1"/>
    <row r="14811" ht="15.75" hidden="1" customHeight="1"/>
    <row r="14812" ht="15.75" hidden="1" customHeight="1"/>
    <row r="14813" ht="15.75" hidden="1" customHeight="1"/>
    <row r="14814" ht="15.75" hidden="1" customHeight="1"/>
    <row r="14815" ht="15.75" hidden="1" customHeight="1"/>
    <row r="14816" ht="15.75" hidden="1" customHeight="1"/>
    <row r="14817" ht="15.75" hidden="1" customHeight="1"/>
    <row r="14818" ht="15.75" hidden="1" customHeight="1"/>
    <row r="14819" ht="15.75" hidden="1" customHeight="1"/>
    <row r="14820" ht="15.75" hidden="1" customHeight="1"/>
    <row r="14821" ht="15.75" hidden="1" customHeight="1"/>
    <row r="14822" ht="15.75" hidden="1" customHeight="1"/>
    <row r="14823" ht="15.75" hidden="1" customHeight="1"/>
    <row r="14824" ht="15.75" hidden="1" customHeight="1"/>
    <row r="14825" ht="15.75" hidden="1" customHeight="1"/>
    <row r="14826" ht="15.75" hidden="1" customHeight="1"/>
    <row r="14827" ht="15.75" hidden="1" customHeight="1"/>
    <row r="14828" ht="15.75" hidden="1" customHeight="1"/>
    <row r="14829" ht="15.75" hidden="1" customHeight="1"/>
    <row r="14830" ht="15.75" hidden="1" customHeight="1"/>
    <row r="14831" ht="15.75" hidden="1" customHeight="1"/>
    <row r="14832" ht="15.75" hidden="1" customHeight="1"/>
    <row r="14833" ht="15.75" hidden="1" customHeight="1"/>
    <row r="14834" ht="15.75" hidden="1" customHeight="1"/>
    <row r="14835" ht="15.75" hidden="1" customHeight="1"/>
    <row r="14836" ht="15.75" hidden="1" customHeight="1"/>
    <row r="14837" ht="15.75" hidden="1" customHeight="1"/>
    <row r="14838" ht="15.75" hidden="1" customHeight="1"/>
    <row r="14839" ht="15.75" hidden="1" customHeight="1"/>
    <row r="14840" ht="15.75" hidden="1" customHeight="1"/>
    <row r="14841" ht="15.75" hidden="1" customHeight="1"/>
    <row r="14842" ht="15.75" hidden="1" customHeight="1"/>
    <row r="14843" ht="15.75" hidden="1" customHeight="1"/>
    <row r="14844" ht="15.75" hidden="1" customHeight="1"/>
    <row r="14845" ht="15.75" hidden="1" customHeight="1"/>
    <row r="14846" ht="15.75" hidden="1" customHeight="1"/>
    <row r="14847" ht="15.75" hidden="1" customHeight="1"/>
    <row r="14848" ht="15.75" hidden="1" customHeight="1"/>
    <row r="14849" ht="15.75" hidden="1" customHeight="1"/>
    <row r="14850" ht="15.75" hidden="1" customHeight="1"/>
    <row r="14851" ht="15.75" hidden="1" customHeight="1"/>
    <row r="14852" ht="15.75" hidden="1" customHeight="1"/>
    <row r="14853" ht="15.75" hidden="1" customHeight="1"/>
    <row r="14854" ht="15.75" hidden="1" customHeight="1"/>
    <row r="14855" ht="15.75" hidden="1" customHeight="1"/>
    <row r="14856" ht="15.75" hidden="1" customHeight="1"/>
    <row r="14857" ht="15.75" hidden="1" customHeight="1"/>
    <row r="14858" ht="15.75" hidden="1" customHeight="1"/>
    <row r="14859" ht="15.75" hidden="1" customHeight="1"/>
    <row r="14860" ht="15.75" hidden="1" customHeight="1"/>
    <row r="14861" ht="15.75" hidden="1" customHeight="1"/>
    <row r="14862" ht="15.75" hidden="1" customHeight="1"/>
    <row r="14863" ht="15.75" hidden="1" customHeight="1"/>
    <row r="14864" ht="15.75" hidden="1" customHeight="1"/>
    <row r="14865" ht="15.75" hidden="1" customHeight="1"/>
    <row r="14866" ht="15.75" hidden="1" customHeight="1"/>
    <row r="14867" ht="15.75" hidden="1" customHeight="1"/>
    <row r="14868" ht="15.75" hidden="1" customHeight="1"/>
    <row r="14869" ht="15.75" hidden="1" customHeight="1"/>
    <row r="14870" ht="15.75" hidden="1" customHeight="1"/>
    <row r="14871" ht="15.75" hidden="1" customHeight="1"/>
    <row r="14872" ht="15.75" hidden="1" customHeight="1"/>
    <row r="14873" ht="15.75" hidden="1" customHeight="1"/>
    <row r="14874" ht="15.75" hidden="1" customHeight="1"/>
    <row r="14875" ht="15.75" hidden="1" customHeight="1"/>
    <row r="14876" ht="15.75" hidden="1" customHeight="1"/>
    <row r="14877" ht="15.75" hidden="1" customHeight="1"/>
    <row r="14878" ht="15.75" hidden="1" customHeight="1"/>
    <row r="14879" ht="15.75" hidden="1" customHeight="1"/>
    <row r="14880" ht="15.75" hidden="1" customHeight="1"/>
    <row r="14881" ht="15.75" hidden="1" customHeight="1"/>
    <row r="14882" ht="15.75" hidden="1" customHeight="1"/>
    <row r="14883" ht="15.75" hidden="1" customHeight="1"/>
    <row r="14884" ht="15.75" hidden="1" customHeight="1"/>
    <row r="14885" ht="15.75" hidden="1" customHeight="1"/>
    <row r="14886" ht="15.75" hidden="1" customHeight="1"/>
    <row r="14887" ht="15.75" hidden="1" customHeight="1"/>
    <row r="14888" ht="15.75" hidden="1" customHeight="1"/>
    <row r="14889" ht="15.75" hidden="1" customHeight="1"/>
    <row r="14890" ht="15.75" hidden="1" customHeight="1"/>
    <row r="14891" ht="15.75" hidden="1" customHeight="1"/>
    <row r="14892" ht="15.75" hidden="1" customHeight="1"/>
    <row r="14893" ht="15.75" hidden="1" customHeight="1"/>
    <row r="14894" ht="15.75" hidden="1" customHeight="1"/>
    <row r="14895" ht="15.75" hidden="1" customHeight="1"/>
    <row r="14896" ht="15.75" hidden="1" customHeight="1"/>
    <row r="14897" ht="15.75" hidden="1" customHeight="1"/>
    <row r="14898" ht="15.75" hidden="1" customHeight="1"/>
    <row r="14899" ht="15.75" hidden="1" customHeight="1"/>
    <row r="14900" ht="15.75" hidden="1" customHeight="1"/>
    <row r="14901" ht="15.75" hidden="1" customHeight="1"/>
    <row r="14902" ht="15.75" hidden="1" customHeight="1"/>
    <row r="14903" ht="15.75" hidden="1" customHeight="1"/>
    <row r="14904" ht="15.75" hidden="1" customHeight="1"/>
    <row r="14905" ht="15.75" hidden="1" customHeight="1"/>
    <row r="14906" ht="15.75" hidden="1" customHeight="1"/>
    <row r="14907" ht="15.75" hidden="1" customHeight="1"/>
    <row r="14908" ht="15.75" hidden="1" customHeight="1"/>
    <row r="14909" ht="15.75" hidden="1" customHeight="1"/>
    <row r="14910" ht="15.75" hidden="1" customHeight="1"/>
    <row r="14911" ht="15.75" hidden="1" customHeight="1"/>
    <row r="14912" ht="15.75" hidden="1" customHeight="1"/>
    <row r="14913" ht="15.75" hidden="1" customHeight="1"/>
    <row r="14914" ht="15.75" hidden="1" customHeight="1"/>
    <row r="14915" ht="15.75" hidden="1" customHeight="1"/>
    <row r="14916" ht="15.75" hidden="1" customHeight="1"/>
    <row r="14917" ht="15.75" hidden="1" customHeight="1"/>
    <row r="14918" ht="15.75" hidden="1" customHeight="1"/>
    <row r="14919" ht="15.75" hidden="1" customHeight="1"/>
    <row r="14920" ht="15.75" hidden="1" customHeight="1"/>
    <row r="14921" ht="15.75" hidden="1" customHeight="1"/>
    <row r="14922" ht="15.75" hidden="1" customHeight="1"/>
    <row r="14923" ht="15.75" hidden="1" customHeight="1"/>
    <row r="14924" ht="15.75" hidden="1" customHeight="1"/>
    <row r="14925" ht="15.75" hidden="1" customHeight="1"/>
    <row r="14926" ht="15.75" hidden="1" customHeight="1"/>
    <row r="14927" ht="15.75" hidden="1" customHeight="1"/>
    <row r="14928" ht="15.75" hidden="1" customHeight="1"/>
    <row r="14929" ht="15.75" hidden="1" customHeight="1"/>
    <row r="14930" ht="15.75" hidden="1" customHeight="1"/>
    <row r="14931" ht="15.75" hidden="1" customHeight="1"/>
    <row r="14932" ht="15.75" hidden="1" customHeight="1"/>
    <row r="14933" ht="15.75" hidden="1" customHeight="1"/>
    <row r="14934" ht="15.75" hidden="1" customHeight="1"/>
    <row r="14935" ht="15.75" hidden="1" customHeight="1"/>
    <row r="14936" ht="15.75" hidden="1" customHeight="1"/>
    <row r="14937" ht="15.75" hidden="1" customHeight="1"/>
    <row r="14938" ht="15.75" hidden="1" customHeight="1"/>
    <row r="14939" ht="15.75" hidden="1" customHeight="1"/>
    <row r="14940" ht="15.75" hidden="1" customHeight="1"/>
    <row r="14941" ht="15.75" hidden="1" customHeight="1"/>
    <row r="14942" ht="15.75" hidden="1" customHeight="1"/>
    <row r="14943" ht="15.75" hidden="1" customHeight="1"/>
    <row r="14944" ht="15.75" hidden="1" customHeight="1"/>
    <row r="14945" ht="15.75" hidden="1" customHeight="1"/>
    <row r="14946" ht="15.75" hidden="1" customHeight="1"/>
    <row r="14947" ht="15.75" hidden="1" customHeight="1"/>
    <row r="14948" ht="15.75" hidden="1" customHeight="1"/>
    <row r="14949" ht="15.75" hidden="1" customHeight="1"/>
    <row r="14950" ht="15.75" hidden="1" customHeight="1"/>
    <row r="14951" ht="15.75" hidden="1" customHeight="1"/>
    <row r="14952" ht="15.75" hidden="1" customHeight="1"/>
    <row r="14953" ht="15.75" hidden="1" customHeight="1"/>
    <row r="14954" ht="15.75" hidden="1" customHeight="1"/>
    <row r="14955" ht="15.75" hidden="1" customHeight="1"/>
    <row r="14956" ht="15.75" hidden="1" customHeight="1"/>
    <row r="14957" ht="15.75" hidden="1" customHeight="1"/>
    <row r="14958" ht="15.75" hidden="1" customHeight="1"/>
    <row r="14959" ht="15.75" hidden="1" customHeight="1"/>
    <row r="14960" ht="15.75" hidden="1" customHeight="1"/>
    <row r="14961" ht="15.75" hidden="1" customHeight="1"/>
    <row r="14962" ht="15.75" hidden="1" customHeight="1"/>
    <row r="14963" ht="15.75" hidden="1" customHeight="1"/>
    <row r="14964" ht="15.75" hidden="1" customHeight="1"/>
    <row r="14965" ht="15.75" hidden="1" customHeight="1"/>
    <row r="14966" ht="15.75" hidden="1" customHeight="1"/>
    <row r="14967" ht="15.75" hidden="1" customHeight="1"/>
    <row r="14968" ht="15.75" hidden="1" customHeight="1"/>
    <row r="14969" ht="15.75" hidden="1" customHeight="1"/>
    <row r="14970" ht="15.75" hidden="1" customHeight="1"/>
    <row r="14971" ht="15.75" hidden="1" customHeight="1"/>
    <row r="14972" ht="15.75" hidden="1" customHeight="1"/>
    <row r="14973" ht="15.75" hidden="1" customHeight="1"/>
    <row r="14974" ht="15.75" hidden="1" customHeight="1"/>
    <row r="14975" ht="15.75" hidden="1" customHeight="1"/>
    <row r="14976" ht="15.75" hidden="1" customHeight="1"/>
    <row r="14977" ht="15.75" hidden="1" customHeight="1"/>
    <row r="14978" ht="15.75" hidden="1" customHeight="1"/>
    <row r="14979" ht="15.75" hidden="1" customHeight="1"/>
    <row r="14980" ht="15.75" hidden="1" customHeight="1"/>
    <row r="14981" ht="15.75" hidden="1" customHeight="1"/>
    <row r="14982" ht="15.75" hidden="1" customHeight="1"/>
    <row r="14983" ht="15.75" hidden="1" customHeight="1"/>
    <row r="14984" ht="15.75" hidden="1" customHeight="1"/>
    <row r="14985" ht="15.75" hidden="1" customHeight="1"/>
    <row r="14986" ht="15.75" hidden="1" customHeight="1"/>
    <row r="14987" ht="15.75" hidden="1" customHeight="1"/>
    <row r="14988" ht="15.75" hidden="1" customHeight="1"/>
    <row r="14989" ht="15.75" hidden="1" customHeight="1"/>
    <row r="14990" ht="15.75" hidden="1" customHeight="1"/>
    <row r="14991" ht="15.75" hidden="1" customHeight="1"/>
    <row r="14992" ht="15.75" hidden="1" customHeight="1"/>
    <row r="14993" ht="15.75" hidden="1" customHeight="1"/>
    <row r="14994" ht="15.75" hidden="1" customHeight="1"/>
    <row r="14995" ht="15.75" hidden="1" customHeight="1"/>
    <row r="14996" ht="15.75" hidden="1" customHeight="1"/>
    <row r="14997" ht="15.75" hidden="1" customHeight="1"/>
    <row r="14998" ht="15.75" hidden="1" customHeight="1"/>
    <row r="14999" ht="15.75" hidden="1" customHeight="1"/>
    <row r="15000" ht="15.75" hidden="1" customHeight="1"/>
    <row r="15001" ht="15.75" hidden="1" customHeight="1"/>
    <row r="15002" ht="15.75" hidden="1" customHeight="1"/>
    <row r="15003" ht="15.75" hidden="1" customHeight="1"/>
    <row r="15004" ht="15.75" hidden="1" customHeight="1"/>
    <row r="15005" ht="15.75" hidden="1" customHeight="1"/>
    <row r="15006" ht="15.75" hidden="1" customHeight="1"/>
    <row r="15007" ht="15.75" hidden="1" customHeight="1"/>
    <row r="15008" ht="15.75" hidden="1" customHeight="1"/>
    <row r="15009" ht="15.75" hidden="1" customHeight="1"/>
    <row r="15010" ht="15.75" hidden="1" customHeight="1"/>
    <row r="15011" ht="15.75" hidden="1" customHeight="1"/>
    <row r="15012" ht="15.75" hidden="1" customHeight="1"/>
    <row r="15013" ht="15.75" hidden="1" customHeight="1"/>
    <row r="15014" ht="15.75" hidden="1" customHeight="1"/>
    <row r="15015" ht="15.75" hidden="1" customHeight="1"/>
    <row r="15016" ht="15.75" hidden="1" customHeight="1"/>
    <row r="15017" ht="15.75" hidden="1" customHeight="1"/>
    <row r="15018" ht="15.75" hidden="1" customHeight="1"/>
    <row r="15019" ht="15.75" hidden="1" customHeight="1"/>
    <row r="15020" ht="15.75" hidden="1" customHeight="1"/>
    <row r="15021" ht="15.75" hidden="1" customHeight="1"/>
    <row r="15022" ht="15.75" hidden="1" customHeight="1"/>
    <row r="15023" ht="15.75" hidden="1" customHeight="1"/>
    <row r="15024" ht="15.75" hidden="1" customHeight="1"/>
    <row r="15025" ht="15.75" hidden="1" customHeight="1"/>
    <row r="15026" ht="15.75" hidden="1" customHeight="1"/>
    <row r="15027" ht="15.75" hidden="1" customHeight="1"/>
    <row r="15028" ht="15.75" hidden="1" customHeight="1"/>
    <row r="15029" ht="15.75" hidden="1" customHeight="1"/>
    <row r="15030" ht="15.75" hidden="1" customHeight="1"/>
    <row r="15031" ht="15.75" hidden="1" customHeight="1"/>
    <row r="15032" ht="15.75" hidden="1" customHeight="1"/>
    <row r="15033" ht="15.75" hidden="1" customHeight="1"/>
    <row r="15034" ht="15.75" hidden="1" customHeight="1"/>
    <row r="15035" ht="15.75" hidden="1" customHeight="1"/>
    <row r="15036" ht="15.75" hidden="1" customHeight="1"/>
    <row r="15037" ht="15.75" hidden="1" customHeight="1"/>
    <row r="15038" ht="15.75" hidden="1" customHeight="1"/>
    <row r="15039" ht="15.75" hidden="1" customHeight="1"/>
    <row r="15040" ht="15.75" hidden="1" customHeight="1"/>
    <row r="15041" ht="15.75" hidden="1" customHeight="1"/>
    <row r="15042" ht="15.75" hidden="1" customHeight="1"/>
    <row r="15043" ht="15.75" hidden="1" customHeight="1"/>
    <row r="15044" ht="15.75" hidden="1" customHeight="1"/>
    <row r="15045" ht="15.75" hidden="1" customHeight="1"/>
    <row r="15046" ht="15.75" hidden="1" customHeight="1"/>
    <row r="15047" ht="15.75" hidden="1" customHeight="1"/>
    <row r="15048" ht="15.75" hidden="1" customHeight="1"/>
    <row r="15049" ht="15.75" hidden="1" customHeight="1"/>
    <row r="15050" ht="15.75" hidden="1" customHeight="1"/>
    <row r="15051" ht="15.75" hidden="1" customHeight="1"/>
    <row r="15052" ht="15.75" hidden="1" customHeight="1"/>
    <row r="15053" ht="15.75" hidden="1" customHeight="1"/>
    <row r="15054" ht="15.75" hidden="1" customHeight="1"/>
    <row r="15055" ht="15.75" hidden="1" customHeight="1"/>
    <row r="15056" ht="15.75" hidden="1" customHeight="1"/>
    <row r="15057" ht="15.75" hidden="1" customHeight="1"/>
    <row r="15058" ht="15.75" hidden="1" customHeight="1"/>
    <row r="15059" ht="15.75" hidden="1" customHeight="1"/>
    <row r="15060" ht="15.75" hidden="1" customHeight="1"/>
    <row r="15061" ht="15.75" hidden="1" customHeight="1"/>
    <row r="15062" ht="15.75" hidden="1" customHeight="1"/>
    <row r="15063" ht="15.75" hidden="1" customHeight="1"/>
    <row r="15064" ht="15.75" hidden="1" customHeight="1"/>
    <row r="15065" ht="15.75" hidden="1" customHeight="1"/>
    <row r="15066" ht="15.75" hidden="1" customHeight="1"/>
    <row r="15067" ht="15.75" hidden="1" customHeight="1"/>
    <row r="15068" ht="15.75" hidden="1" customHeight="1"/>
    <row r="15069" ht="15.75" hidden="1" customHeight="1"/>
    <row r="15070" ht="15.75" hidden="1" customHeight="1"/>
    <row r="15071" ht="15.75" hidden="1" customHeight="1"/>
    <row r="15072" ht="15.75" hidden="1" customHeight="1"/>
    <row r="15073" ht="15.75" hidden="1" customHeight="1"/>
    <row r="15074" ht="15.75" hidden="1" customHeight="1"/>
    <row r="15075" ht="15.75" hidden="1" customHeight="1"/>
    <row r="15076" ht="15.75" hidden="1" customHeight="1"/>
    <row r="15077" ht="15.75" hidden="1" customHeight="1"/>
    <row r="15078" ht="15.75" hidden="1" customHeight="1"/>
    <row r="15079" ht="15.75" hidden="1" customHeight="1"/>
    <row r="15080" ht="15.75" hidden="1" customHeight="1"/>
    <row r="15081" ht="15.75" hidden="1" customHeight="1"/>
    <row r="15082" ht="15.75" hidden="1" customHeight="1"/>
    <row r="15083" ht="15.75" hidden="1" customHeight="1"/>
    <row r="15084" ht="15.75" hidden="1" customHeight="1"/>
    <row r="15085" ht="15.75" hidden="1" customHeight="1"/>
    <row r="15086" ht="15.75" hidden="1" customHeight="1"/>
    <row r="15087" ht="15.75" hidden="1" customHeight="1"/>
    <row r="15088" ht="15.75" hidden="1" customHeight="1"/>
    <row r="15089" ht="15.75" hidden="1" customHeight="1"/>
    <row r="15090" ht="15.75" hidden="1" customHeight="1"/>
    <row r="15091" ht="15.75" hidden="1" customHeight="1"/>
    <row r="15092" ht="15.75" hidden="1" customHeight="1"/>
    <row r="15093" ht="15.75" hidden="1" customHeight="1"/>
    <row r="15094" ht="15.75" hidden="1" customHeight="1"/>
    <row r="15095" ht="15.75" hidden="1" customHeight="1"/>
    <row r="15096" ht="15.75" hidden="1" customHeight="1"/>
    <row r="15097" ht="15.75" hidden="1" customHeight="1"/>
    <row r="15098" ht="15.75" hidden="1" customHeight="1"/>
    <row r="15099" ht="15.75" hidden="1" customHeight="1"/>
    <row r="15100" ht="15.75" hidden="1" customHeight="1"/>
    <row r="15101" ht="15.75" hidden="1" customHeight="1"/>
    <row r="15102" ht="15.75" hidden="1" customHeight="1"/>
    <row r="15103" ht="15.75" hidden="1" customHeight="1"/>
    <row r="15104" ht="15.75" hidden="1" customHeight="1"/>
    <row r="15105" ht="15.75" hidden="1" customHeight="1"/>
    <row r="15106" ht="15.75" hidden="1" customHeight="1"/>
    <row r="15107" ht="15.75" hidden="1" customHeight="1"/>
    <row r="15108" ht="15.75" hidden="1" customHeight="1"/>
    <row r="15109" ht="15.75" hidden="1" customHeight="1"/>
    <row r="15110" ht="15.75" hidden="1" customHeight="1"/>
    <row r="15111" ht="15.75" hidden="1" customHeight="1"/>
    <row r="15112" ht="15.75" hidden="1" customHeight="1"/>
    <row r="15113" ht="15.75" hidden="1" customHeight="1"/>
    <row r="15114" ht="15.75" hidden="1" customHeight="1"/>
    <row r="15115" ht="15.75" hidden="1" customHeight="1"/>
    <row r="15116" ht="15.75" hidden="1" customHeight="1"/>
    <row r="15117" ht="15.75" hidden="1" customHeight="1"/>
    <row r="15118" ht="15.75" hidden="1" customHeight="1"/>
    <row r="15119" ht="15.75" hidden="1" customHeight="1"/>
    <row r="15120" ht="15.75" hidden="1" customHeight="1"/>
    <row r="15121" ht="15.75" hidden="1" customHeight="1"/>
    <row r="15122" ht="15.75" hidden="1" customHeight="1"/>
    <row r="15123" ht="15.75" hidden="1" customHeight="1"/>
    <row r="15124" ht="15.75" hidden="1" customHeight="1"/>
    <row r="15125" ht="15.75" hidden="1" customHeight="1"/>
    <row r="15126" ht="15.75" hidden="1" customHeight="1"/>
    <row r="15127" ht="15.75" hidden="1" customHeight="1"/>
    <row r="15128" ht="15.75" hidden="1" customHeight="1"/>
    <row r="15129" ht="15.75" hidden="1" customHeight="1"/>
    <row r="15130" ht="15.75" hidden="1" customHeight="1"/>
    <row r="15131" ht="15.75" hidden="1" customHeight="1"/>
    <row r="15132" ht="15.75" hidden="1" customHeight="1"/>
    <row r="15133" ht="15.75" hidden="1" customHeight="1"/>
    <row r="15134" ht="15.75" hidden="1" customHeight="1"/>
    <row r="15135" ht="15.75" hidden="1" customHeight="1"/>
    <row r="15136" ht="15.75" hidden="1" customHeight="1"/>
    <row r="15137" ht="15.75" hidden="1" customHeight="1"/>
    <row r="15138" ht="15.75" hidden="1" customHeight="1"/>
    <row r="15139" ht="15.75" hidden="1" customHeight="1"/>
    <row r="15140" ht="15.75" hidden="1" customHeight="1"/>
    <row r="15141" ht="15.75" hidden="1" customHeight="1"/>
    <row r="15142" ht="15.75" hidden="1" customHeight="1"/>
    <row r="15143" ht="15.75" hidden="1" customHeight="1"/>
    <row r="15144" ht="15.75" hidden="1" customHeight="1"/>
    <row r="15145" ht="15.75" hidden="1" customHeight="1"/>
    <row r="15146" ht="15.75" hidden="1" customHeight="1"/>
    <row r="15147" ht="15.75" hidden="1" customHeight="1"/>
    <row r="15148" ht="15.75" hidden="1" customHeight="1"/>
    <row r="15149" ht="15.75" hidden="1" customHeight="1"/>
    <row r="15150" ht="15.75" hidden="1" customHeight="1"/>
    <row r="15151" ht="15.75" hidden="1" customHeight="1"/>
    <row r="15152" ht="15.75" hidden="1" customHeight="1"/>
    <row r="15153" ht="15.75" hidden="1" customHeight="1"/>
    <row r="15154" ht="15.75" hidden="1" customHeight="1"/>
    <row r="15155" ht="15.75" hidden="1" customHeight="1"/>
    <row r="15156" ht="15.75" hidden="1" customHeight="1"/>
    <row r="15157" ht="15.75" hidden="1" customHeight="1"/>
    <row r="15158" ht="15.75" hidden="1" customHeight="1"/>
    <row r="15159" ht="15.75" hidden="1" customHeight="1"/>
    <row r="15160" ht="15.75" hidden="1" customHeight="1"/>
    <row r="15161" ht="15.75" hidden="1" customHeight="1"/>
    <row r="15162" ht="15.75" hidden="1" customHeight="1"/>
    <row r="15163" ht="15.75" hidden="1" customHeight="1"/>
    <row r="15164" ht="15.75" hidden="1" customHeight="1"/>
    <row r="15165" ht="15.75" hidden="1" customHeight="1"/>
    <row r="15166" ht="15.75" hidden="1" customHeight="1"/>
    <row r="15167" ht="15.75" hidden="1" customHeight="1"/>
    <row r="15168" ht="15.75" hidden="1" customHeight="1"/>
    <row r="15169" ht="15.75" hidden="1" customHeight="1"/>
    <row r="15170" ht="15.75" hidden="1" customHeight="1"/>
    <row r="15171" ht="15.75" hidden="1" customHeight="1"/>
    <row r="15172" ht="15.75" hidden="1" customHeight="1"/>
    <row r="15173" ht="15.75" hidden="1" customHeight="1"/>
    <row r="15174" ht="15.75" hidden="1" customHeight="1"/>
    <row r="15175" ht="15.75" hidden="1" customHeight="1"/>
    <row r="15176" ht="15.75" hidden="1" customHeight="1"/>
    <row r="15177" ht="15.75" hidden="1" customHeight="1"/>
    <row r="15178" ht="15.75" hidden="1" customHeight="1"/>
    <row r="15179" ht="15.75" hidden="1" customHeight="1"/>
    <row r="15180" ht="15.75" hidden="1" customHeight="1"/>
    <row r="15181" ht="15.75" hidden="1" customHeight="1"/>
    <row r="15182" ht="15.75" hidden="1" customHeight="1"/>
    <row r="15183" ht="15.75" hidden="1" customHeight="1"/>
    <row r="15184" ht="15.75" hidden="1" customHeight="1"/>
    <row r="15185" ht="15.75" hidden="1" customHeight="1"/>
    <row r="15186" ht="15.75" hidden="1" customHeight="1"/>
    <row r="15187" ht="15.75" hidden="1" customHeight="1"/>
    <row r="15188" ht="15.75" hidden="1" customHeight="1"/>
    <row r="15189" ht="15.75" hidden="1" customHeight="1"/>
    <row r="15190" ht="15.75" hidden="1" customHeight="1"/>
    <row r="15191" ht="15.75" hidden="1" customHeight="1"/>
    <row r="15192" ht="15.75" hidden="1" customHeight="1"/>
    <row r="15193" ht="15.75" hidden="1" customHeight="1"/>
    <row r="15194" ht="15.75" hidden="1" customHeight="1"/>
    <row r="15195" ht="15.75" hidden="1" customHeight="1"/>
    <row r="15196" ht="15.75" hidden="1" customHeight="1"/>
    <row r="15197" ht="15.75" hidden="1" customHeight="1"/>
    <row r="15198" ht="15.75" hidden="1" customHeight="1"/>
    <row r="15199" ht="15.75" hidden="1" customHeight="1"/>
    <row r="15200" ht="15.75" hidden="1" customHeight="1"/>
    <row r="15201" ht="15.75" hidden="1" customHeight="1"/>
    <row r="15202" ht="15.75" hidden="1" customHeight="1"/>
    <row r="15203" ht="15.75" hidden="1" customHeight="1"/>
    <row r="15204" ht="15.75" hidden="1" customHeight="1"/>
    <row r="15205" ht="15.75" hidden="1" customHeight="1"/>
    <row r="15206" ht="15.75" hidden="1" customHeight="1"/>
    <row r="15207" ht="15.75" hidden="1" customHeight="1"/>
    <row r="15208" ht="15.75" hidden="1" customHeight="1"/>
    <row r="15209" ht="15.75" hidden="1" customHeight="1"/>
    <row r="15210" ht="15.75" hidden="1" customHeight="1"/>
    <row r="15211" ht="15.75" hidden="1" customHeight="1"/>
    <row r="15212" ht="15.75" hidden="1" customHeight="1"/>
    <row r="15213" ht="15.75" hidden="1" customHeight="1"/>
    <row r="15214" ht="15.75" hidden="1" customHeight="1"/>
    <row r="15215" ht="15.75" hidden="1" customHeight="1"/>
    <row r="15216" ht="15.75" hidden="1" customHeight="1"/>
    <row r="15217" ht="15.75" hidden="1" customHeight="1"/>
    <row r="15218" ht="15.75" hidden="1" customHeight="1"/>
    <row r="15219" ht="15.75" hidden="1" customHeight="1"/>
    <row r="15220" ht="15.75" hidden="1" customHeight="1"/>
    <row r="15221" ht="15.75" hidden="1" customHeight="1"/>
    <row r="15222" ht="15.75" hidden="1" customHeight="1"/>
    <row r="15223" ht="15.75" hidden="1" customHeight="1"/>
    <row r="15224" ht="15.75" hidden="1" customHeight="1"/>
    <row r="15225" ht="15.75" hidden="1" customHeight="1"/>
    <row r="15226" ht="15.75" hidden="1" customHeight="1"/>
    <row r="15227" ht="15.75" hidden="1" customHeight="1"/>
    <row r="15228" ht="15.75" hidden="1" customHeight="1"/>
    <row r="15229" ht="15.75" hidden="1" customHeight="1"/>
    <row r="15230" ht="15.75" hidden="1" customHeight="1"/>
    <row r="15231" ht="15.75" hidden="1" customHeight="1"/>
    <row r="15232" ht="15.75" hidden="1" customHeight="1"/>
    <row r="15233" ht="15.75" hidden="1" customHeight="1"/>
    <row r="15234" ht="15.75" hidden="1" customHeight="1"/>
    <row r="15235" ht="15.75" hidden="1" customHeight="1"/>
    <row r="15236" ht="15.75" hidden="1" customHeight="1"/>
    <row r="15237" ht="15.75" hidden="1" customHeight="1"/>
    <row r="15238" ht="15.75" hidden="1" customHeight="1"/>
    <row r="15239" ht="15.75" hidden="1" customHeight="1"/>
    <row r="15240" ht="15.75" hidden="1" customHeight="1"/>
    <row r="15241" ht="15.75" hidden="1" customHeight="1"/>
    <row r="15242" ht="15.75" hidden="1" customHeight="1"/>
    <row r="15243" ht="15.75" hidden="1" customHeight="1"/>
    <row r="15244" ht="15.75" hidden="1" customHeight="1"/>
    <row r="15245" ht="15.75" hidden="1" customHeight="1"/>
    <row r="15246" ht="15.75" hidden="1" customHeight="1"/>
    <row r="15247" ht="15.75" hidden="1" customHeight="1"/>
    <row r="15248" ht="15.75" hidden="1" customHeight="1"/>
    <row r="15249" ht="15.75" hidden="1" customHeight="1"/>
    <row r="15250" ht="15.75" hidden="1" customHeight="1"/>
    <row r="15251" ht="15.75" hidden="1" customHeight="1"/>
    <row r="15252" ht="15.75" hidden="1" customHeight="1"/>
    <row r="15253" ht="15.75" hidden="1" customHeight="1"/>
    <row r="15254" ht="15.75" hidden="1" customHeight="1"/>
    <row r="15255" ht="15.75" hidden="1" customHeight="1"/>
    <row r="15256" ht="15.75" hidden="1" customHeight="1"/>
    <row r="15257" ht="15.75" hidden="1" customHeight="1"/>
    <row r="15258" ht="15.75" hidden="1" customHeight="1"/>
    <row r="15259" ht="15.75" hidden="1" customHeight="1"/>
    <row r="15260" ht="15.75" hidden="1" customHeight="1"/>
    <row r="15261" ht="15.75" hidden="1" customHeight="1"/>
    <row r="15262" ht="15.75" hidden="1" customHeight="1"/>
    <row r="15263" ht="15.75" hidden="1" customHeight="1"/>
    <row r="15264" ht="15.75" hidden="1" customHeight="1"/>
    <row r="15265" ht="15.75" hidden="1" customHeight="1"/>
    <row r="15266" ht="15.75" hidden="1" customHeight="1"/>
    <row r="15267" ht="15.75" hidden="1" customHeight="1"/>
    <row r="15268" ht="15.75" hidden="1" customHeight="1"/>
    <row r="15269" ht="15.75" hidden="1" customHeight="1"/>
    <row r="15270" ht="15.75" hidden="1" customHeight="1"/>
    <row r="15271" ht="15.75" hidden="1" customHeight="1"/>
    <row r="15272" ht="15.75" hidden="1" customHeight="1"/>
    <row r="15273" ht="15.75" hidden="1" customHeight="1"/>
    <row r="15274" ht="15.75" hidden="1" customHeight="1"/>
    <row r="15275" ht="15.75" hidden="1" customHeight="1"/>
    <row r="15276" ht="15.75" hidden="1" customHeight="1"/>
    <row r="15277" ht="15.75" hidden="1" customHeight="1"/>
    <row r="15278" ht="15.75" hidden="1" customHeight="1"/>
    <row r="15279" ht="15.75" hidden="1" customHeight="1"/>
    <row r="15280" ht="15.75" hidden="1" customHeight="1"/>
    <row r="15281" ht="15.75" hidden="1" customHeight="1"/>
    <row r="15282" ht="15.75" hidden="1" customHeight="1"/>
    <row r="15283" ht="15.75" hidden="1" customHeight="1"/>
    <row r="15284" ht="15.75" hidden="1" customHeight="1"/>
    <row r="15285" ht="15.75" hidden="1" customHeight="1"/>
    <row r="15286" ht="15.75" hidden="1" customHeight="1"/>
    <row r="15287" ht="15.75" hidden="1" customHeight="1"/>
    <row r="15288" ht="15.75" hidden="1" customHeight="1"/>
    <row r="15289" ht="15.75" hidden="1" customHeight="1"/>
    <row r="15290" ht="15.75" hidden="1" customHeight="1"/>
    <row r="15291" ht="15.75" hidden="1" customHeight="1"/>
    <row r="15292" ht="15.75" hidden="1" customHeight="1"/>
    <row r="15293" ht="15.75" hidden="1" customHeight="1"/>
    <row r="15294" ht="15.75" hidden="1" customHeight="1"/>
    <row r="15295" ht="15.75" hidden="1" customHeight="1"/>
    <row r="15296" ht="15.75" hidden="1" customHeight="1"/>
    <row r="15297" ht="15.75" hidden="1" customHeight="1"/>
    <row r="15298" ht="15.75" hidden="1" customHeight="1"/>
    <row r="15299" ht="15.75" hidden="1" customHeight="1"/>
    <row r="15300" ht="15.75" hidden="1" customHeight="1"/>
    <row r="15301" ht="15.75" hidden="1" customHeight="1"/>
    <row r="15302" ht="15.75" hidden="1" customHeight="1"/>
    <row r="15303" ht="15.75" hidden="1" customHeight="1"/>
    <row r="15304" ht="15.75" hidden="1" customHeight="1"/>
    <row r="15305" ht="15.75" hidden="1" customHeight="1"/>
    <row r="15306" ht="15.75" hidden="1" customHeight="1"/>
    <row r="15307" ht="15.75" hidden="1" customHeight="1"/>
    <row r="15308" ht="15.75" hidden="1" customHeight="1"/>
    <row r="15309" ht="15.75" hidden="1" customHeight="1"/>
    <row r="15310" ht="15.75" hidden="1" customHeight="1"/>
    <row r="15311" ht="15.75" hidden="1" customHeight="1"/>
    <row r="15312" ht="15.75" hidden="1" customHeight="1"/>
    <row r="15313" ht="15.75" hidden="1" customHeight="1"/>
    <row r="15314" ht="15.75" hidden="1" customHeight="1"/>
    <row r="15315" ht="15.75" hidden="1" customHeight="1"/>
    <row r="15316" ht="15.75" hidden="1" customHeight="1"/>
    <row r="15317" ht="15.75" hidden="1" customHeight="1"/>
    <row r="15318" ht="15.75" hidden="1" customHeight="1"/>
    <row r="15319" ht="15.75" hidden="1" customHeight="1"/>
    <row r="15320" ht="15.75" hidden="1" customHeight="1"/>
    <row r="15321" ht="15.75" hidden="1" customHeight="1"/>
    <row r="15322" ht="15.75" hidden="1" customHeight="1"/>
    <row r="15323" ht="15.75" hidden="1" customHeight="1"/>
    <row r="15324" ht="15.75" hidden="1" customHeight="1"/>
    <row r="15325" ht="15.75" hidden="1" customHeight="1"/>
    <row r="15326" ht="15.75" hidden="1" customHeight="1"/>
    <row r="15327" ht="15.75" hidden="1" customHeight="1"/>
    <row r="15328" ht="15.75" hidden="1" customHeight="1"/>
    <row r="15329" ht="15.75" hidden="1" customHeight="1"/>
    <row r="15330" ht="15.75" hidden="1" customHeight="1"/>
    <row r="15331" ht="15.75" hidden="1" customHeight="1"/>
    <row r="15332" ht="15.75" hidden="1" customHeight="1"/>
    <row r="15333" ht="15.75" hidden="1" customHeight="1"/>
    <row r="15334" ht="15.75" hidden="1" customHeight="1"/>
    <row r="15335" ht="15.75" hidden="1" customHeight="1"/>
    <row r="15336" ht="15.75" hidden="1" customHeight="1"/>
    <row r="15337" ht="15.75" hidden="1" customHeight="1"/>
    <row r="15338" ht="15.75" hidden="1" customHeight="1"/>
    <row r="15339" ht="15.75" hidden="1" customHeight="1"/>
    <row r="15340" ht="15.75" hidden="1" customHeight="1"/>
    <row r="15341" ht="15.75" hidden="1" customHeight="1"/>
    <row r="15342" ht="15.75" hidden="1" customHeight="1"/>
    <row r="15343" ht="15.75" hidden="1" customHeight="1"/>
    <row r="15344" ht="15.75" hidden="1" customHeight="1"/>
    <row r="15345" ht="15.75" hidden="1" customHeight="1"/>
    <row r="15346" ht="15.75" hidden="1" customHeight="1"/>
    <row r="15347" ht="15.75" hidden="1" customHeight="1"/>
    <row r="15348" ht="15.75" hidden="1" customHeight="1"/>
    <row r="15349" ht="15.75" hidden="1" customHeight="1"/>
    <row r="15350" ht="15.75" hidden="1" customHeight="1"/>
    <row r="15351" ht="15.75" hidden="1" customHeight="1"/>
    <row r="15352" ht="15.75" hidden="1" customHeight="1"/>
    <row r="15353" ht="15.75" hidden="1" customHeight="1"/>
    <row r="15354" ht="15.75" hidden="1" customHeight="1"/>
    <row r="15355" ht="15.75" hidden="1" customHeight="1"/>
    <row r="15356" ht="15.75" hidden="1" customHeight="1"/>
    <row r="15357" ht="15.75" hidden="1" customHeight="1"/>
    <row r="15358" ht="15.75" hidden="1" customHeight="1"/>
    <row r="15359" ht="15.75" hidden="1" customHeight="1"/>
    <row r="15360" ht="15.75" hidden="1" customHeight="1"/>
    <row r="15361" ht="15.75" hidden="1" customHeight="1"/>
    <row r="15362" ht="15.75" hidden="1" customHeight="1"/>
    <row r="15363" ht="15.75" hidden="1" customHeight="1"/>
    <row r="15364" ht="15.75" hidden="1" customHeight="1"/>
    <row r="15365" ht="15.75" hidden="1" customHeight="1"/>
    <row r="15366" ht="15.75" hidden="1" customHeight="1"/>
    <row r="15367" ht="15.75" hidden="1" customHeight="1"/>
    <row r="15368" ht="15.75" hidden="1" customHeight="1"/>
    <row r="15369" ht="15.75" hidden="1" customHeight="1"/>
    <row r="15370" ht="15.75" hidden="1" customHeight="1"/>
    <row r="15371" ht="15.75" hidden="1" customHeight="1"/>
    <row r="15372" ht="15.75" hidden="1" customHeight="1"/>
    <row r="15373" ht="15.75" hidden="1" customHeight="1"/>
    <row r="15374" ht="15.75" hidden="1" customHeight="1"/>
    <row r="15375" ht="15.75" hidden="1" customHeight="1"/>
    <row r="15376" ht="15.75" hidden="1" customHeight="1"/>
    <row r="15377" ht="15.75" hidden="1" customHeight="1"/>
    <row r="15378" ht="15.75" hidden="1" customHeight="1"/>
    <row r="15379" ht="15.75" hidden="1" customHeight="1"/>
    <row r="15380" ht="15.75" hidden="1" customHeight="1"/>
    <row r="15381" ht="15.75" hidden="1" customHeight="1"/>
    <row r="15382" ht="15.75" hidden="1" customHeight="1"/>
    <row r="15383" ht="15.75" hidden="1" customHeight="1"/>
    <row r="15384" ht="15.75" hidden="1" customHeight="1"/>
    <row r="15385" ht="15.75" hidden="1" customHeight="1"/>
    <row r="15386" ht="15.75" hidden="1" customHeight="1"/>
    <row r="15387" ht="15.75" hidden="1" customHeight="1"/>
    <row r="15388" ht="15.75" hidden="1" customHeight="1"/>
    <row r="15389" ht="15.75" hidden="1" customHeight="1"/>
    <row r="15390" ht="15.75" hidden="1" customHeight="1"/>
    <row r="15391" ht="15.75" hidden="1" customHeight="1"/>
    <row r="15392" ht="15.75" hidden="1" customHeight="1"/>
    <row r="15393" ht="15.75" hidden="1" customHeight="1"/>
    <row r="15394" ht="15.75" hidden="1" customHeight="1"/>
    <row r="15395" ht="15.75" hidden="1" customHeight="1"/>
    <row r="15396" ht="15.75" hidden="1" customHeight="1"/>
    <row r="15397" ht="15.75" hidden="1" customHeight="1"/>
    <row r="15398" ht="15.75" hidden="1" customHeight="1"/>
    <row r="15399" ht="15.75" hidden="1" customHeight="1"/>
    <row r="15400" ht="15.75" hidden="1" customHeight="1"/>
    <row r="15401" ht="15.75" hidden="1" customHeight="1"/>
    <row r="15402" ht="15.75" hidden="1" customHeight="1"/>
    <row r="15403" ht="15.75" hidden="1" customHeight="1"/>
    <row r="15404" ht="15.75" hidden="1" customHeight="1"/>
    <row r="15405" ht="15.75" hidden="1" customHeight="1"/>
    <row r="15406" ht="15.75" hidden="1" customHeight="1"/>
    <row r="15407" ht="15.75" hidden="1" customHeight="1"/>
    <row r="15408" ht="15.75" hidden="1" customHeight="1"/>
    <row r="15409" ht="15.75" hidden="1" customHeight="1"/>
    <row r="15410" ht="15.75" hidden="1" customHeight="1"/>
    <row r="15411" ht="15.75" hidden="1" customHeight="1"/>
    <row r="15412" ht="15.75" hidden="1" customHeight="1"/>
    <row r="15413" ht="15.75" hidden="1" customHeight="1"/>
    <row r="15414" ht="15.75" hidden="1" customHeight="1"/>
    <row r="15415" ht="15.75" hidden="1" customHeight="1"/>
    <row r="15416" ht="15.75" hidden="1" customHeight="1"/>
    <row r="15417" ht="15.75" hidden="1" customHeight="1"/>
    <row r="15418" ht="15.75" hidden="1" customHeight="1"/>
    <row r="15419" ht="15.75" hidden="1" customHeight="1"/>
    <row r="15420" ht="15.75" hidden="1" customHeight="1"/>
    <row r="15421" ht="15.75" hidden="1" customHeight="1"/>
    <row r="15422" ht="15.75" hidden="1" customHeight="1"/>
    <row r="15423" ht="15.75" hidden="1" customHeight="1"/>
    <row r="15424" ht="15.75" hidden="1" customHeight="1"/>
    <row r="15425" ht="15.75" hidden="1" customHeight="1"/>
    <row r="15426" ht="15.75" hidden="1" customHeight="1"/>
    <row r="15427" ht="15.75" hidden="1" customHeight="1"/>
    <row r="15428" ht="15.75" hidden="1" customHeight="1"/>
    <row r="15429" ht="15.75" hidden="1" customHeight="1"/>
    <row r="15430" ht="15.75" hidden="1" customHeight="1"/>
    <row r="15431" ht="15.75" hidden="1" customHeight="1"/>
    <row r="15432" ht="15.75" hidden="1" customHeight="1"/>
    <row r="15433" ht="15.75" hidden="1" customHeight="1"/>
    <row r="15434" ht="15.75" hidden="1" customHeight="1"/>
    <row r="15435" ht="15.75" hidden="1" customHeight="1"/>
    <row r="15436" ht="15.75" hidden="1" customHeight="1"/>
    <row r="15437" ht="15.75" hidden="1" customHeight="1"/>
    <row r="15438" ht="15.75" hidden="1" customHeight="1"/>
    <row r="15439" ht="15.75" hidden="1" customHeight="1"/>
    <row r="15440" ht="15.75" hidden="1" customHeight="1"/>
    <row r="15441" ht="15.75" hidden="1" customHeight="1"/>
    <row r="15442" ht="15.75" hidden="1" customHeight="1"/>
    <row r="15443" ht="15.75" hidden="1" customHeight="1"/>
    <row r="15444" ht="15.75" hidden="1" customHeight="1"/>
    <row r="15445" ht="15.75" hidden="1" customHeight="1"/>
    <row r="15446" ht="15.75" hidden="1" customHeight="1"/>
    <row r="15447" ht="15.75" hidden="1" customHeight="1"/>
    <row r="15448" ht="15.75" hidden="1" customHeight="1"/>
    <row r="15449" ht="15.75" hidden="1" customHeight="1"/>
    <row r="15450" ht="15.75" hidden="1" customHeight="1"/>
    <row r="15451" ht="15.75" hidden="1" customHeight="1"/>
    <row r="15452" ht="15.75" hidden="1" customHeight="1"/>
    <row r="15453" ht="15.75" hidden="1" customHeight="1"/>
    <row r="15454" ht="15.75" hidden="1" customHeight="1"/>
    <row r="15455" ht="15.75" hidden="1" customHeight="1"/>
    <row r="15456" ht="15.75" hidden="1" customHeight="1"/>
    <row r="15457" ht="15.75" hidden="1" customHeight="1"/>
    <row r="15458" ht="15.75" hidden="1" customHeight="1"/>
    <row r="15459" ht="15.75" hidden="1" customHeight="1"/>
    <row r="15460" ht="15.75" hidden="1" customHeight="1"/>
    <row r="15461" ht="15.75" hidden="1" customHeight="1"/>
    <row r="15462" ht="15.75" hidden="1" customHeight="1"/>
    <row r="15463" ht="15.75" hidden="1" customHeight="1"/>
    <row r="15464" ht="15.75" hidden="1" customHeight="1"/>
    <row r="15465" ht="15.75" hidden="1" customHeight="1"/>
    <row r="15466" ht="15.75" hidden="1" customHeight="1"/>
    <row r="15467" ht="15.75" hidden="1" customHeight="1"/>
    <row r="15468" ht="15.75" hidden="1" customHeight="1"/>
    <row r="15469" ht="15.75" hidden="1" customHeight="1"/>
    <row r="15470" ht="15.75" hidden="1" customHeight="1"/>
    <row r="15471" ht="15.75" hidden="1" customHeight="1"/>
    <row r="15472" ht="15.75" hidden="1" customHeight="1"/>
    <row r="15473" ht="15.75" hidden="1" customHeight="1"/>
    <row r="15474" ht="15.75" hidden="1" customHeight="1"/>
    <row r="15475" ht="15.75" hidden="1" customHeight="1"/>
    <row r="15476" ht="15.75" hidden="1" customHeight="1"/>
    <row r="15477" ht="15.75" hidden="1" customHeight="1"/>
    <row r="15478" ht="15.75" hidden="1" customHeight="1"/>
    <row r="15479" ht="15.75" hidden="1" customHeight="1"/>
    <row r="15480" ht="15.75" hidden="1" customHeight="1"/>
    <row r="15481" ht="15.75" hidden="1" customHeight="1"/>
    <row r="15482" ht="15.75" hidden="1" customHeight="1"/>
    <row r="15483" ht="15.75" hidden="1" customHeight="1"/>
    <row r="15484" ht="15.75" hidden="1" customHeight="1"/>
    <row r="15485" ht="15.75" hidden="1" customHeight="1"/>
    <row r="15486" ht="15.75" hidden="1" customHeight="1"/>
    <row r="15487" ht="15.75" hidden="1" customHeight="1"/>
    <row r="15488" ht="15.75" hidden="1" customHeight="1"/>
    <row r="15489" ht="15.75" hidden="1" customHeight="1"/>
    <row r="15490" ht="15.75" hidden="1" customHeight="1"/>
    <row r="15491" ht="15.75" hidden="1" customHeight="1"/>
    <row r="15492" ht="15.75" hidden="1" customHeight="1"/>
    <row r="15493" ht="15.75" hidden="1" customHeight="1"/>
    <row r="15494" ht="15.75" hidden="1" customHeight="1"/>
    <row r="15495" ht="15.75" hidden="1" customHeight="1"/>
    <row r="15496" ht="15.75" hidden="1" customHeight="1"/>
    <row r="15497" ht="15.75" hidden="1" customHeight="1"/>
    <row r="15498" ht="15.75" hidden="1" customHeight="1"/>
    <row r="15499" ht="15.75" hidden="1" customHeight="1"/>
    <row r="15500" ht="15.75" hidden="1" customHeight="1"/>
    <row r="15501" ht="15.75" hidden="1" customHeight="1"/>
    <row r="15502" ht="15.75" hidden="1" customHeight="1"/>
    <row r="15503" ht="15.75" hidden="1" customHeight="1"/>
    <row r="15504" ht="15.75" hidden="1" customHeight="1"/>
    <row r="15505" ht="15.75" hidden="1" customHeight="1"/>
    <row r="15506" ht="15.75" hidden="1" customHeight="1"/>
    <row r="15507" ht="15.75" hidden="1" customHeight="1"/>
    <row r="15508" ht="15.75" hidden="1" customHeight="1"/>
    <row r="15509" ht="15.75" hidden="1" customHeight="1"/>
    <row r="15510" ht="15.75" hidden="1" customHeight="1"/>
    <row r="15511" ht="15.75" hidden="1" customHeight="1"/>
    <row r="15512" ht="15.75" hidden="1" customHeight="1"/>
    <row r="15513" ht="15.75" hidden="1" customHeight="1"/>
    <row r="15514" ht="15.75" hidden="1" customHeight="1"/>
    <row r="15515" ht="15.75" hidden="1" customHeight="1"/>
    <row r="15516" ht="15.75" hidden="1" customHeight="1"/>
    <row r="15517" ht="15.75" hidden="1" customHeight="1"/>
    <row r="15518" ht="15.75" hidden="1" customHeight="1"/>
    <row r="15519" ht="15.75" hidden="1" customHeight="1"/>
    <row r="15520" ht="15.75" hidden="1" customHeight="1"/>
    <row r="15521" ht="15.75" hidden="1" customHeight="1"/>
    <row r="15522" ht="15.75" hidden="1" customHeight="1"/>
    <row r="15523" ht="15.75" hidden="1" customHeight="1"/>
    <row r="15524" ht="15.75" hidden="1" customHeight="1"/>
    <row r="15525" ht="15.75" hidden="1" customHeight="1"/>
    <row r="15526" ht="15.75" hidden="1" customHeight="1"/>
    <row r="15527" ht="15.75" hidden="1" customHeight="1"/>
    <row r="15528" ht="15.75" hidden="1" customHeight="1"/>
    <row r="15529" ht="15.75" hidden="1" customHeight="1"/>
    <row r="15530" ht="15.75" hidden="1" customHeight="1"/>
    <row r="15531" ht="15.75" hidden="1" customHeight="1"/>
    <row r="15532" ht="15.75" hidden="1" customHeight="1"/>
    <row r="15533" ht="15.75" hidden="1" customHeight="1"/>
    <row r="15534" ht="15.75" hidden="1" customHeight="1"/>
    <row r="15535" ht="15.75" hidden="1" customHeight="1"/>
    <row r="15536" ht="15.75" hidden="1" customHeight="1"/>
    <row r="15537" ht="15.75" hidden="1" customHeight="1"/>
    <row r="15538" ht="15.75" hidden="1" customHeight="1"/>
    <row r="15539" ht="15.75" hidden="1" customHeight="1"/>
    <row r="15540" ht="15.75" hidden="1" customHeight="1"/>
    <row r="15541" ht="15.75" hidden="1" customHeight="1"/>
    <row r="15542" ht="15.75" hidden="1" customHeight="1"/>
    <row r="15543" ht="15.75" hidden="1" customHeight="1"/>
    <row r="15544" ht="15.75" hidden="1" customHeight="1"/>
    <row r="15545" ht="15.75" hidden="1" customHeight="1"/>
    <row r="15546" ht="15.75" hidden="1" customHeight="1"/>
    <row r="15547" ht="15.75" hidden="1" customHeight="1"/>
    <row r="15548" ht="15.75" hidden="1" customHeight="1"/>
    <row r="15549" ht="15.75" hidden="1" customHeight="1"/>
    <row r="15550" ht="15.75" hidden="1" customHeight="1"/>
    <row r="15551" ht="15.75" hidden="1" customHeight="1"/>
    <row r="15552" ht="15.75" hidden="1" customHeight="1"/>
    <row r="15553" ht="15.75" hidden="1" customHeight="1"/>
    <row r="15554" ht="15.75" hidden="1" customHeight="1"/>
    <row r="15555" ht="15.75" hidden="1" customHeight="1"/>
    <row r="15556" ht="15.75" hidden="1" customHeight="1"/>
    <row r="15557" ht="15.75" hidden="1" customHeight="1"/>
    <row r="15558" ht="15.75" hidden="1" customHeight="1"/>
    <row r="15559" ht="15.75" hidden="1" customHeight="1"/>
    <row r="15560" ht="15.75" hidden="1" customHeight="1"/>
    <row r="15561" ht="15.75" hidden="1" customHeight="1"/>
    <row r="15562" ht="15.75" hidden="1" customHeight="1"/>
    <row r="15563" ht="15.75" hidden="1" customHeight="1"/>
    <row r="15564" ht="15.75" hidden="1" customHeight="1"/>
    <row r="15565" ht="15.75" hidden="1" customHeight="1"/>
    <row r="15566" ht="15.75" hidden="1" customHeight="1"/>
    <row r="15567" ht="15.75" hidden="1" customHeight="1"/>
    <row r="15568" ht="15.75" hidden="1" customHeight="1"/>
    <row r="15569" ht="15.75" hidden="1" customHeight="1"/>
    <row r="15570" ht="15.75" hidden="1" customHeight="1"/>
    <row r="15571" ht="15.75" hidden="1" customHeight="1"/>
    <row r="15572" ht="15.75" hidden="1" customHeight="1"/>
    <row r="15573" ht="15.75" hidden="1" customHeight="1"/>
    <row r="15574" ht="15.75" hidden="1" customHeight="1"/>
    <row r="15575" ht="15.75" hidden="1" customHeight="1"/>
    <row r="15576" ht="15.75" hidden="1" customHeight="1"/>
    <row r="15577" ht="15.75" hidden="1" customHeight="1"/>
    <row r="15578" ht="15.75" hidden="1" customHeight="1"/>
    <row r="15579" ht="15.75" hidden="1" customHeight="1"/>
    <row r="15580" ht="15.75" hidden="1" customHeight="1"/>
    <row r="15581" ht="15.75" hidden="1" customHeight="1"/>
    <row r="15582" ht="15.75" hidden="1" customHeight="1"/>
    <row r="15583" ht="15.75" hidden="1" customHeight="1"/>
    <row r="15584" ht="15.75" hidden="1" customHeight="1"/>
    <row r="15585" ht="15.75" hidden="1" customHeight="1"/>
    <row r="15586" ht="15.75" hidden="1" customHeight="1"/>
    <row r="15587" ht="15.75" hidden="1" customHeight="1"/>
    <row r="15588" ht="15.75" hidden="1" customHeight="1"/>
    <row r="15589" ht="15.75" hidden="1" customHeight="1"/>
    <row r="15590" ht="15.75" hidden="1" customHeight="1"/>
    <row r="15591" ht="15.75" hidden="1" customHeight="1"/>
    <row r="15592" ht="15.75" hidden="1" customHeight="1"/>
    <row r="15593" ht="15.75" hidden="1" customHeight="1"/>
    <row r="15594" ht="15.75" hidden="1" customHeight="1"/>
    <row r="15595" ht="15.75" hidden="1" customHeight="1"/>
    <row r="15596" ht="15.75" hidden="1" customHeight="1"/>
    <row r="15597" ht="15.75" hidden="1" customHeight="1"/>
    <row r="15598" ht="15.75" hidden="1" customHeight="1"/>
    <row r="15599" ht="15.75" hidden="1" customHeight="1"/>
    <row r="15600" ht="15.75" hidden="1" customHeight="1"/>
    <row r="15601" ht="15.75" hidden="1" customHeight="1"/>
    <row r="15602" ht="15.75" hidden="1" customHeight="1"/>
    <row r="15603" ht="15.75" hidden="1" customHeight="1"/>
    <row r="15604" ht="15.75" hidden="1" customHeight="1"/>
    <row r="15605" ht="15.75" hidden="1" customHeight="1"/>
    <row r="15606" ht="15.75" hidden="1" customHeight="1"/>
    <row r="15607" ht="15.75" hidden="1" customHeight="1"/>
    <row r="15608" ht="15.75" hidden="1" customHeight="1"/>
    <row r="15609" ht="15.75" hidden="1" customHeight="1"/>
    <row r="15610" ht="15.75" hidden="1" customHeight="1"/>
    <row r="15611" ht="15.75" hidden="1" customHeight="1"/>
    <row r="15612" ht="15.75" hidden="1" customHeight="1"/>
    <row r="15613" ht="15.75" hidden="1" customHeight="1"/>
    <row r="15614" ht="15.75" hidden="1" customHeight="1"/>
    <row r="15615" ht="15.75" hidden="1" customHeight="1"/>
    <row r="15616" ht="15.75" hidden="1" customHeight="1"/>
    <row r="15617" ht="15.75" hidden="1" customHeight="1"/>
    <row r="15618" ht="15.75" hidden="1" customHeight="1"/>
    <row r="15619" ht="15.75" hidden="1" customHeight="1"/>
    <row r="15620" ht="15.75" hidden="1" customHeight="1"/>
    <row r="15621" ht="15.75" hidden="1" customHeight="1"/>
    <row r="15622" ht="15.75" hidden="1" customHeight="1"/>
    <row r="15623" ht="15.75" hidden="1" customHeight="1"/>
    <row r="15624" ht="15.75" hidden="1" customHeight="1"/>
    <row r="15625" ht="15.75" hidden="1" customHeight="1"/>
    <row r="15626" ht="15.75" hidden="1" customHeight="1"/>
    <row r="15627" ht="15.75" hidden="1" customHeight="1"/>
    <row r="15628" ht="15.75" hidden="1" customHeight="1"/>
    <row r="15629" ht="15.75" hidden="1" customHeight="1"/>
    <row r="15630" ht="15.75" hidden="1" customHeight="1"/>
    <row r="15631" ht="15.75" hidden="1" customHeight="1"/>
    <row r="15632" ht="15.75" hidden="1" customHeight="1"/>
    <row r="15633" ht="15.75" hidden="1" customHeight="1"/>
    <row r="15634" ht="15.75" hidden="1" customHeight="1"/>
    <row r="15635" ht="15.75" hidden="1" customHeight="1"/>
    <row r="15636" ht="15.75" hidden="1" customHeight="1"/>
    <row r="15637" ht="15.75" hidden="1" customHeight="1"/>
    <row r="15638" ht="15.75" hidden="1" customHeight="1"/>
    <row r="15639" ht="15.75" hidden="1" customHeight="1"/>
    <row r="15640" ht="15.75" hidden="1" customHeight="1"/>
    <row r="15641" ht="15.75" hidden="1" customHeight="1"/>
    <row r="15642" ht="15.75" hidden="1" customHeight="1"/>
    <row r="15643" ht="15.75" hidden="1" customHeight="1"/>
    <row r="15644" ht="15.75" hidden="1" customHeight="1"/>
    <row r="15645" ht="15.75" hidden="1" customHeight="1"/>
    <row r="15646" ht="15.75" hidden="1" customHeight="1"/>
    <row r="15647" ht="15.75" hidden="1" customHeight="1"/>
    <row r="15648" ht="15.75" hidden="1" customHeight="1"/>
    <row r="15649" ht="15.75" hidden="1" customHeight="1"/>
    <row r="15650" ht="15.75" hidden="1" customHeight="1"/>
    <row r="15651" ht="15.75" hidden="1" customHeight="1"/>
    <row r="15652" ht="15.75" hidden="1" customHeight="1"/>
    <row r="15653" ht="15.75" hidden="1" customHeight="1"/>
    <row r="15654" ht="15.75" hidden="1" customHeight="1"/>
    <row r="15655" ht="15.75" hidden="1" customHeight="1"/>
    <row r="15656" ht="15.75" hidden="1" customHeight="1"/>
    <row r="15657" ht="15.75" hidden="1" customHeight="1"/>
    <row r="15658" ht="15.75" hidden="1" customHeight="1"/>
    <row r="15659" ht="15.75" hidden="1" customHeight="1"/>
    <row r="15660" ht="15.75" hidden="1" customHeight="1"/>
    <row r="15661" ht="15.75" hidden="1" customHeight="1"/>
    <row r="15662" ht="15.75" hidden="1" customHeight="1"/>
    <row r="15663" ht="15.75" hidden="1" customHeight="1"/>
    <row r="15664" ht="15.75" hidden="1" customHeight="1"/>
    <row r="15665" ht="15.75" hidden="1" customHeight="1"/>
    <row r="15666" ht="15.75" hidden="1" customHeight="1"/>
    <row r="15667" ht="15.75" hidden="1" customHeight="1"/>
    <row r="15668" ht="15.75" hidden="1" customHeight="1"/>
    <row r="15669" ht="15.75" hidden="1" customHeight="1"/>
    <row r="15670" ht="15.75" hidden="1" customHeight="1"/>
    <row r="15671" ht="15.75" hidden="1" customHeight="1"/>
    <row r="15672" ht="15.75" hidden="1" customHeight="1"/>
    <row r="15673" ht="15.75" hidden="1" customHeight="1"/>
    <row r="15674" ht="15.75" hidden="1" customHeight="1"/>
    <row r="15675" ht="15.75" hidden="1" customHeight="1"/>
    <row r="15676" ht="15.75" hidden="1" customHeight="1"/>
    <row r="15677" ht="15.75" hidden="1" customHeight="1"/>
    <row r="15678" ht="15.75" hidden="1" customHeight="1"/>
    <row r="15679" ht="15.75" hidden="1" customHeight="1"/>
    <row r="15680" ht="15.75" hidden="1" customHeight="1"/>
    <row r="15681" ht="15.75" hidden="1" customHeight="1"/>
    <row r="15682" ht="15.75" hidden="1" customHeight="1"/>
    <row r="15683" ht="15.75" hidden="1" customHeight="1"/>
    <row r="15684" ht="15.75" hidden="1" customHeight="1"/>
    <row r="15685" ht="15.75" hidden="1" customHeight="1"/>
    <row r="15686" ht="15.75" hidden="1" customHeight="1"/>
    <row r="15687" ht="15.75" hidden="1" customHeight="1"/>
    <row r="15688" ht="15.75" hidden="1" customHeight="1"/>
    <row r="15689" ht="15.75" hidden="1" customHeight="1"/>
    <row r="15690" ht="15.75" hidden="1" customHeight="1"/>
    <row r="15691" ht="15.75" hidden="1" customHeight="1"/>
    <row r="15692" ht="15.75" hidden="1" customHeight="1"/>
    <row r="15693" ht="15.75" hidden="1" customHeight="1"/>
    <row r="15694" ht="15.75" hidden="1" customHeight="1"/>
    <row r="15695" ht="15.75" hidden="1" customHeight="1"/>
    <row r="15696" ht="15.75" hidden="1" customHeight="1"/>
    <row r="15697" ht="15.75" hidden="1" customHeight="1"/>
    <row r="15698" ht="15.75" hidden="1" customHeight="1"/>
    <row r="15699" ht="15.75" hidden="1" customHeight="1"/>
    <row r="15700" ht="15.75" hidden="1" customHeight="1"/>
    <row r="15701" ht="15.75" hidden="1" customHeight="1"/>
    <row r="15702" ht="15.75" hidden="1" customHeight="1"/>
    <row r="15703" ht="15.75" hidden="1" customHeight="1"/>
    <row r="15704" ht="15.75" hidden="1" customHeight="1"/>
    <row r="15705" ht="15.75" hidden="1" customHeight="1"/>
    <row r="15706" ht="15.75" hidden="1" customHeight="1"/>
    <row r="15707" ht="15.75" hidden="1" customHeight="1"/>
    <row r="15708" ht="15.75" hidden="1" customHeight="1"/>
    <row r="15709" ht="15.75" hidden="1" customHeight="1"/>
    <row r="15710" ht="15.75" hidden="1" customHeight="1"/>
    <row r="15711" ht="15.75" hidden="1" customHeight="1"/>
    <row r="15712" ht="15.75" hidden="1" customHeight="1"/>
    <row r="15713" ht="15.75" hidden="1" customHeight="1"/>
    <row r="15714" ht="15.75" hidden="1" customHeight="1"/>
    <row r="15715" ht="15.75" hidden="1" customHeight="1"/>
    <row r="15716" ht="15.75" hidden="1" customHeight="1"/>
    <row r="15717" ht="15.75" hidden="1" customHeight="1"/>
    <row r="15718" ht="15.75" hidden="1" customHeight="1"/>
    <row r="15719" ht="15.75" hidden="1" customHeight="1"/>
    <row r="15720" ht="15.75" hidden="1" customHeight="1"/>
    <row r="15721" ht="15.75" hidden="1" customHeight="1"/>
    <row r="15722" ht="15.75" hidden="1" customHeight="1"/>
    <row r="15723" ht="15.75" hidden="1" customHeight="1"/>
    <row r="15724" ht="15.75" hidden="1" customHeight="1"/>
    <row r="15725" ht="15.75" hidden="1" customHeight="1"/>
    <row r="15726" ht="15.75" hidden="1" customHeight="1"/>
    <row r="15727" ht="15.75" hidden="1" customHeight="1"/>
    <row r="15728" ht="15.75" hidden="1" customHeight="1"/>
    <row r="15729" ht="15.75" hidden="1" customHeight="1"/>
    <row r="15730" ht="15.75" hidden="1" customHeight="1"/>
    <row r="15731" ht="15.75" hidden="1" customHeight="1"/>
    <row r="15732" ht="15.75" hidden="1" customHeight="1"/>
    <row r="15733" ht="15.75" hidden="1" customHeight="1"/>
    <row r="15734" ht="15.75" hidden="1" customHeight="1"/>
    <row r="15735" ht="15.75" hidden="1" customHeight="1"/>
    <row r="15736" ht="15.75" hidden="1" customHeight="1"/>
    <row r="15737" ht="15.75" hidden="1" customHeight="1"/>
    <row r="15738" ht="15.75" hidden="1" customHeight="1"/>
    <row r="15739" ht="15.75" hidden="1" customHeight="1"/>
    <row r="15740" ht="15.75" hidden="1" customHeight="1"/>
    <row r="15741" ht="15.75" hidden="1" customHeight="1"/>
    <row r="15742" ht="15.75" hidden="1" customHeight="1"/>
    <row r="15743" ht="15.75" hidden="1" customHeight="1"/>
    <row r="15744" ht="15.75" hidden="1" customHeight="1"/>
    <row r="15745" ht="15.75" hidden="1" customHeight="1"/>
    <row r="15746" ht="15.75" hidden="1" customHeight="1"/>
    <row r="15747" ht="15.75" hidden="1" customHeight="1"/>
    <row r="15748" ht="15.75" hidden="1" customHeight="1"/>
    <row r="15749" ht="15.75" hidden="1" customHeight="1"/>
    <row r="15750" ht="15.75" hidden="1" customHeight="1"/>
    <row r="15751" ht="15.75" hidden="1" customHeight="1"/>
    <row r="15752" ht="15.75" hidden="1" customHeight="1"/>
    <row r="15753" ht="15.75" hidden="1" customHeight="1"/>
    <row r="15754" ht="15.75" hidden="1" customHeight="1"/>
    <row r="15755" ht="15.75" hidden="1" customHeight="1"/>
    <row r="15756" ht="15.75" hidden="1" customHeight="1"/>
    <row r="15757" ht="15.75" hidden="1" customHeight="1"/>
    <row r="15758" ht="15.75" hidden="1" customHeight="1"/>
    <row r="15759" ht="15.75" hidden="1" customHeight="1"/>
    <row r="15760" ht="15.75" hidden="1" customHeight="1"/>
    <row r="15761" ht="15.75" hidden="1" customHeight="1"/>
    <row r="15762" ht="15.75" hidden="1" customHeight="1"/>
    <row r="15763" ht="15.75" hidden="1" customHeight="1"/>
    <row r="15764" ht="15.75" hidden="1" customHeight="1"/>
    <row r="15765" ht="15.75" hidden="1" customHeight="1"/>
    <row r="15766" ht="15.75" hidden="1" customHeight="1"/>
    <row r="15767" ht="15.75" hidden="1" customHeight="1"/>
    <row r="15768" ht="15.75" hidden="1" customHeight="1"/>
    <row r="15769" ht="15.75" hidden="1" customHeight="1"/>
    <row r="15770" ht="15.75" hidden="1" customHeight="1"/>
    <row r="15771" ht="15.75" hidden="1" customHeight="1"/>
    <row r="15772" ht="15.75" hidden="1" customHeight="1"/>
    <row r="15773" ht="15.75" hidden="1" customHeight="1"/>
    <row r="15774" ht="15.75" hidden="1" customHeight="1"/>
    <row r="15775" ht="15.75" hidden="1" customHeight="1"/>
    <row r="15776" ht="15.75" hidden="1" customHeight="1"/>
    <row r="15777" ht="15.75" hidden="1" customHeight="1"/>
    <row r="15778" ht="15.75" hidden="1" customHeight="1"/>
    <row r="15779" ht="15.75" hidden="1" customHeight="1"/>
    <row r="15780" ht="15.75" hidden="1" customHeight="1"/>
    <row r="15781" ht="15.75" hidden="1" customHeight="1"/>
    <row r="15782" ht="15.75" hidden="1" customHeight="1"/>
    <row r="15783" ht="15.75" hidden="1" customHeight="1"/>
    <row r="15784" ht="15.75" hidden="1" customHeight="1"/>
    <row r="15785" ht="15.75" hidden="1" customHeight="1"/>
    <row r="15786" ht="15.75" hidden="1" customHeight="1"/>
    <row r="15787" ht="15.75" hidden="1" customHeight="1"/>
    <row r="15788" ht="15.75" hidden="1" customHeight="1"/>
    <row r="15789" ht="15.75" hidden="1" customHeight="1"/>
    <row r="15790" ht="15.75" hidden="1" customHeight="1"/>
    <row r="15791" ht="15.75" hidden="1" customHeight="1"/>
    <row r="15792" ht="15.75" hidden="1" customHeight="1"/>
    <row r="15793" ht="15.75" hidden="1" customHeight="1"/>
    <row r="15794" ht="15.75" hidden="1" customHeight="1"/>
    <row r="15795" ht="15.75" hidden="1" customHeight="1"/>
    <row r="15796" ht="15.75" hidden="1" customHeight="1"/>
    <row r="15797" ht="15.75" hidden="1" customHeight="1"/>
    <row r="15798" ht="15.75" hidden="1" customHeight="1"/>
    <row r="15799" ht="15.75" hidden="1" customHeight="1"/>
    <row r="15800" ht="15.75" hidden="1" customHeight="1"/>
    <row r="15801" ht="15.75" hidden="1" customHeight="1"/>
    <row r="15802" ht="15.75" hidden="1" customHeight="1"/>
    <row r="15803" ht="15.75" hidden="1" customHeight="1"/>
    <row r="15804" ht="15.75" hidden="1" customHeight="1"/>
    <row r="15805" ht="15.75" hidden="1" customHeight="1"/>
    <row r="15806" ht="15.75" hidden="1" customHeight="1"/>
    <row r="15807" ht="15.75" hidden="1" customHeight="1"/>
    <row r="15808" ht="15.75" hidden="1" customHeight="1"/>
    <row r="15809" ht="15.75" hidden="1" customHeight="1"/>
    <row r="15810" ht="15.75" hidden="1" customHeight="1"/>
    <row r="15811" ht="15.75" hidden="1" customHeight="1"/>
    <row r="15812" ht="15.75" hidden="1" customHeight="1"/>
    <row r="15813" ht="15.75" hidden="1" customHeight="1"/>
    <row r="15814" ht="15.75" hidden="1" customHeight="1"/>
    <row r="15815" ht="15.75" hidden="1" customHeight="1"/>
    <row r="15816" ht="15.75" hidden="1" customHeight="1"/>
    <row r="15817" ht="15.75" hidden="1" customHeight="1"/>
    <row r="15818" ht="15.75" hidden="1" customHeight="1"/>
    <row r="15819" ht="15.75" hidden="1" customHeight="1"/>
    <row r="15820" ht="15.75" hidden="1" customHeight="1"/>
    <row r="15821" ht="15.75" hidden="1" customHeight="1"/>
    <row r="15822" ht="15.75" hidden="1" customHeight="1"/>
    <row r="15823" ht="15.75" hidden="1" customHeight="1"/>
    <row r="15824" ht="15.75" hidden="1" customHeight="1"/>
    <row r="15825" ht="15.75" hidden="1" customHeight="1"/>
    <row r="15826" ht="15.75" hidden="1" customHeight="1"/>
    <row r="15827" ht="15.75" hidden="1" customHeight="1"/>
    <row r="15828" ht="15.75" hidden="1" customHeight="1"/>
    <row r="15829" ht="15.75" hidden="1" customHeight="1"/>
    <row r="15830" ht="15.75" hidden="1" customHeight="1"/>
    <row r="15831" ht="15.75" hidden="1" customHeight="1"/>
    <row r="15832" ht="15.75" hidden="1" customHeight="1"/>
    <row r="15833" ht="15.75" hidden="1" customHeight="1"/>
    <row r="15834" ht="15.75" hidden="1" customHeight="1"/>
    <row r="15835" ht="15.75" hidden="1" customHeight="1"/>
    <row r="15836" ht="15.75" hidden="1" customHeight="1"/>
    <row r="15837" ht="15.75" hidden="1" customHeight="1"/>
    <row r="15838" ht="15.75" hidden="1" customHeight="1"/>
    <row r="15839" ht="15.75" hidden="1" customHeight="1"/>
    <row r="15840" ht="15.75" hidden="1" customHeight="1"/>
    <row r="15841" ht="15.75" hidden="1" customHeight="1"/>
    <row r="15842" ht="15.75" hidden="1" customHeight="1"/>
    <row r="15843" ht="15.75" hidden="1" customHeight="1"/>
    <row r="15844" ht="15.75" hidden="1" customHeight="1"/>
    <row r="15845" ht="15.75" hidden="1" customHeight="1"/>
    <row r="15846" ht="15.75" hidden="1" customHeight="1"/>
    <row r="15847" ht="15.75" hidden="1" customHeight="1"/>
    <row r="15848" ht="15.75" hidden="1" customHeight="1"/>
    <row r="15849" ht="15.75" hidden="1" customHeight="1"/>
    <row r="15850" ht="15.75" hidden="1" customHeight="1"/>
    <row r="15851" ht="15.75" hidden="1" customHeight="1"/>
    <row r="15852" ht="15.75" hidden="1" customHeight="1"/>
    <row r="15853" ht="15.75" hidden="1" customHeight="1"/>
    <row r="15854" ht="15.75" hidden="1" customHeight="1"/>
    <row r="15855" ht="15.75" hidden="1" customHeight="1"/>
    <row r="15856" ht="15.75" hidden="1" customHeight="1"/>
    <row r="15857" ht="15.75" hidden="1" customHeight="1"/>
    <row r="15858" ht="15.75" hidden="1" customHeight="1"/>
    <row r="15859" ht="15.75" hidden="1" customHeight="1"/>
    <row r="15860" ht="15.75" hidden="1" customHeight="1"/>
    <row r="15861" ht="15.75" hidden="1" customHeight="1"/>
    <row r="15862" ht="15.75" hidden="1" customHeight="1"/>
    <row r="15863" ht="15.75" hidden="1" customHeight="1"/>
    <row r="15864" ht="15.75" hidden="1" customHeight="1"/>
    <row r="15865" ht="15.75" hidden="1" customHeight="1"/>
    <row r="15866" ht="15.75" hidden="1" customHeight="1"/>
    <row r="15867" ht="15.75" hidden="1" customHeight="1"/>
    <row r="15868" ht="15.75" hidden="1" customHeight="1"/>
    <row r="15869" ht="15.75" hidden="1" customHeight="1"/>
    <row r="15870" ht="15.75" hidden="1" customHeight="1"/>
    <row r="15871" ht="15.75" hidden="1" customHeight="1"/>
    <row r="15872" ht="15.75" hidden="1" customHeight="1"/>
    <row r="15873" ht="15.75" hidden="1" customHeight="1"/>
    <row r="15874" ht="15.75" hidden="1" customHeight="1"/>
    <row r="15875" ht="15.75" hidden="1" customHeight="1"/>
    <row r="15876" ht="15.75" hidden="1" customHeight="1"/>
    <row r="15877" ht="15.75" hidden="1" customHeight="1"/>
    <row r="15878" ht="15.75" hidden="1" customHeight="1"/>
    <row r="15879" ht="15.75" hidden="1" customHeight="1"/>
    <row r="15880" ht="15.75" hidden="1" customHeight="1"/>
    <row r="15881" ht="15.75" hidden="1" customHeight="1"/>
    <row r="15882" ht="15.75" hidden="1" customHeight="1"/>
    <row r="15883" ht="15.75" hidden="1" customHeight="1"/>
    <row r="15884" ht="15.75" hidden="1" customHeight="1"/>
    <row r="15885" ht="15.75" hidden="1" customHeight="1"/>
    <row r="15886" ht="15.75" hidden="1" customHeight="1"/>
    <row r="15887" ht="15.75" hidden="1" customHeight="1"/>
    <row r="15888" ht="15.75" hidden="1" customHeight="1"/>
    <row r="15889" ht="15.75" hidden="1" customHeight="1"/>
    <row r="15890" ht="15.75" hidden="1" customHeight="1"/>
    <row r="15891" ht="15.75" hidden="1" customHeight="1"/>
    <row r="15892" ht="15.75" hidden="1" customHeight="1"/>
    <row r="15893" ht="15.75" hidden="1" customHeight="1"/>
    <row r="15894" ht="15.75" hidden="1" customHeight="1"/>
    <row r="15895" ht="15.75" hidden="1" customHeight="1"/>
    <row r="15896" ht="15.75" hidden="1" customHeight="1"/>
    <row r="15897" ht="15.75" hidden="1" customHeight="1"/>
    <row r="15898" ht="15.75" hidden="1" customHeight="1"/>
    <row r="15899" ht="15.75" hidden="1" customHeight="1"/>
    <row r="15900" ht="15.75" hidden="1" customHeight="1"/>
    <row r="15901" ht="15.75" hidden="1" customHeight="1"/>
    <row r="15902" ht="15.75" hidden="1" customHeight="1"/>
    <row r="15903" ht="15.75" hidden="1" customHeight="1"/>
    <row r="15904" ht="15.75" hidden="1" customHeight="1"/>
    <row r="15905" ht="15.75" hidden="1" customHeight="1"/>
    <row r="15906" ht="15.75" hidden="1" customHeight="1"/>
    <row r="15907" ht="15.75" hidden="1" customHeight="1"/>
    <row r="15908" ht="15.75" hidden="1" customHeight="1"/>
    <row r="15909" ht="15.75" hidden="1" customHeight="1"/>
    <row r="15910" ht="15.75" hidden="1" customHeight="1"/>
    <row r="15911" ht="15.75" hidden="1" customHeight="1"/>
    <row r="15912" ht="15.75" hidden="1" customHeight="1"/>
    <row r="15913" ht="15.75" hidden="1" customHeight="1"/>
    <row r="15914" ht="15.75" hidden="1" customHeight="1"/>
    <row r="15915" ht="15.75" hidden="1" customHeight="1"/>
    <row r="15916" ht="15.75" hidden="1" customHeight="1"/>
    <row r="15917" ht="15.75" hidden="1" customHeight="1"/>
    <row r="15918" ht="15.75" hidden="1" customHeight="1"/>
    <row r="15919" ht="15.75" hidden="1" customHeight="1"/>
    <row r="15920" ht="15.75" hidden="1" customHeight="1"/>
    <row r="15921" ht="15.75" hidden="1" customHeight="1"/>
    <row r="15922" ht="15.75" hidden="1" customHeight="1"/>
    <row r="15923" ht="15.75" hidden="1" customHeight="1"/>
    <row r="15924" ht="15.75" hidden="1" customHeight="1"/>
    <row r="15925" ht="15.75" hidden="1" customHeight="1"/>
    <row r="15926" ht="15.75" hidden="1" customHeight="1"/>
    <row r="15927" ht="15.75" hidden="1" customHeight="1"/>
    <row r="15928" ht="15.75" hidden="1" customHeight="1"/>
    <row r="15929" ht="15.75" hidden="1" customHeight="1"/>
    <row r="15930" ht="15.75" hidden="1" customHeight="1"/>
    <row r="15931" ht="15.75" hidden="1" customHeight="1"/>
    <row r="15932" ht="15.75" hidden="1" customHeight="1"/>
    <row r="15933" ht="15.75" hidden="1" customHeight="1"/>
    <row r="15934" ht="15.75" hidden="1" customHeight="1"/>
    <row r="15935" ht="15.75" hidden="1" customHeight="1"/>
    <row r="15936" ht="15.75" hidden="1" customHeight="1"/>
    <row r="15937" ht="15.75" hidden="1" customHeight="1"/>
    <row r="15938" ht="15.75" hidden="1" customHeight="1"/>
    <row r="15939" ht="15.75" hidden="1" customHeight="1"/>
    <row r="15940" ht="15.75" hidden="1" customHeight="1"/>
    <row r="15941" ht="15.75" hidden="1" customHeight="1"/>
    <row r="15942" ht="15.75" hidden="1" customHeight="1"/>
    <row r="15943" ht="15.75" hidden="1" customHeight="1"/>
    <row r="15944" ht="15.75" hidden="1" customHeight="1"/>
    <row r="15945" ht="15.75" hidden="1" customHeight="1"/>
    <row r="15946" ht="15.75" hidden="1" customHeight="1"/>
    <row r="15947" ht="15.75" hidden="1" customHeight="1"/>
    <row r="15948" ht="15.75" hidden="1" customHeight="1"/>
    <row r="15949" ht="15.75" hidden="1" customHeight="1"/>
    <row r="15950" ht="15.75" hidden="1" customHeight="1"/>
    <row r="15951" ht="15.75" hidden="1" customHeight="1"/>
    <row r="15952" ht="15.75" hidden="1" customHeight="1"/>
    <row r="15953" ht="15.75" hidden="1" customHeight="1"/>
    <row r="15954" ht="15.75" hidden="1" customHeight="1"/>
    <row r="15955" ht="15.75" hidden="1" customHeight="1"/>
    <row r="15956" ht="15.75" hidden="1" customHeight="1"/>
    <row r="15957" ht="15.75" hidden="1" customHeight="1"/>
    <row r="15958" ht="15.75" hidden="1" customHeight="1"/>
    <row r="15959" ht="15.75" hidden="1" customHeight="1"/>
    <row r="15960" ht="15.75" hidden="1" customHeight="1"/>
    <row r="15961" ht="15.75" hidden="1" customHeight="1"/>
    <row r="15962" ht="15.75" hidden="1" customHeight="1"/>
    <row r="15963" ht="15.75" hidden="1" customHeight="1"/>
    <row r="15964" ht="15.75" hidden="1" customHeight="1"/>
    <row r="15965" ht="15.75" hidden="1" customHeight="1"/>
    <row r="15966" ht="15.75" hidden="1" customHeight="1"/>
    <row r="15967" ht="15.75" hidden="1" customHeight="1"/>
    <row r="15968" ht="15.75" hidden="1" customHeight="1"/>
    <row r="15969" ht="15.75" hidden="1" customHeight="1"/>
    <row r="15970" ht="15.75" hidden="1" customHeight="1"/>
    <row r="15971" ht="15.75" hidden="1" customHeight="1"/>
    <row r="15972" ht="15.75" hidden="1" customHeight="1"/>
    <row r="15973" ht="15.75" hidden="1" customHeight="1"/>
    <row r="15974" ht="15.75" hidden="1" customHeight="1"/>
    <row r="15975" ht="15.75" hidden="1" customHeight="1"/>
    <row r="15976" ht="15.75" hidden="1" customHeight="1"/>
    <row r="15977" ht="15.75" hidden="1" customHeight="1"/>
    <row r="15978" ht="15.75" hidden="1" customHeight="1"/>
    <row r="15979" ht="15.75" hidden="1" customHeight="1"/>
    <row r="15980" ht="15.75" hidden="1" customHeight="1"/>
    <row r="15981" ht="15.75" hidden="1" customHeight="1"/>
    <row r="15982" ht="15.75" hidden="1" customHeight="1"/>
    <row r="15983" ht="15.75" hidden="1" customHeight="1"/>
    <row r="15984" ht="15.75" hidden="1" customHeight="1"/>
    <row r="15985" ht="15.75" hidden="1" customHeight="1"/>
    <row r="15986" ht="15.75" hidden="1" customHeight="1"/>
    <row r="15987" ht="15.75" hidden="1" customHeight="1"/>
    <row r="15988" ht="15.75" hidden="1" customHeight="1"/>
    <row r="15989" ht="15.75" hidden="1" customHeight="1"/>
    <row r="15990" ht="15.75" hidden="1" customHeight="1"/>
    <row r="15991" ht="15.75" hidden="1" customHeight="1"/>
    <row r="15992" ht="15.75" hidden="1" customHeight="1"/>
    <row r="15993" ht="15.75" hidden="1" customHeight="1"/>
    <row r="15994" ht="15.75" hidden="1" customHeight="1"/>
    <row r="15995" ht="15.75" hidden="1" customHeight="1"/>
    <row r="15996" ht="15.75" hidden="1" customHeight="1"/>
    <row r="15997" ht="15.75" hidden="1" customHeight="1"/>
    <row r="15998" ht="15.75" hidden="1" customHeight="1"/>
    <row r="15999" ht="15.75" hidden="1" customHeight="1"/>
    <row r="16000" ht="15.75" hidden="1" customHeight="1"/>
    <row r="16001" ht="15.75" hidden="1" customHeight="1"/>
    <row r="16002" ht="15.75" hidden="1" customHeight="1"/>
    <row r="16003" ht="15.75" hidden="1" customHeight="1"/>
    <row r="16004" ht="15.75" hidden="1" customHeight="1"/>
    <row r="16005" ht="15.75" hidden="1" customHeight="1"/>
    <row r="16006" ht="15.75" hidden="1" customHeight="1"/>
    <row r="16007" ht="15.75" hidden="1" customHeight="1"/>
    <row r="16008" ht="15.75" hidden="1" customHeight="1"/>
    <row r="16009" ht="15.75" hidden="1" customHeight="1"/>
    <row r="16010" ht="15.75" hidden="1" customHeight="1"/>
    <row r="16011" ht="15.75" hidden="1" customHeight="1"/>
    <row r="16012" ht="15.75" hidden="1" customHeight="1"/>
    <row r="16013" ht="15.75" hidden="1" customHeight="1"/>
    <row r="16014" ht="15.75" hidden="1" customHeight="1"/>
    <row r="16015" ht="15.75" hidden="1" customHeight="1"/>
    <row r="16016" ht="15.75" hidden="1" customHeight="1"/>
    <row r="16017" ht="15.75" hidden="1" customHeight="1"/>
    <row r="16018" ht="15.75" hidden="1" customHeight="1"/>
    <row r="16019" ht="15.75" hidden="1" customHeight="1"/>
    <row r="16020" ht="15.75" hidden="1" customHeight="1"/>
    <row r="16021" ht="15.75" hidden="1" customHeight="1"/>
    <row r="16022" ht="15.75" hidden="1" customHeight="1"/>
    <row r="16023" ht="15.75" hidden="1" customHeight="1"/>
    <row r="16024" ht="15.75" hidden="1" customHeight="1"/>
    <row r="16025" ht="15.75" hidden="1" customHeight="1"/>
    <row r="16026" ht="15.75" hidden="1" customHeight="1"/>
    <row r="16027" ht="15.75" hidden="1" customHeight="1"/>
    <row r="16028" ht="15.75" hidden="1" customHeight="1"/>
    <row r="16029" ht="15.75" hidden="1" customHeight="1"/>
    <row r="16030" ht="15.75" hidden="1" customHeight="1"/>
    <row r="16031" ht="15.75" hidden="1" customHeight="1"/>
    <row r="16032" ht="15.75" hidden="1" customHeight="1"/>
    <row r="16033" ht="15.75" hidden="1" customHeight="1"/>
    <row r="16034" ht="15.75" hidden="1" customHeight="1"/>
    <row r="16035" ht="15.75" hidden="1" customHeight="1"/>
    <row r="16036" ht="15.75" hidden="1" customHeight="1"/>
    <row r="16037" ht="15.75" hidden="1" customHeight="1"/>
    <row r="16038" ht="15.75" hidden="1" customHeight="1"/>
    <row r="16039" ht="15.75" hidden="1" customHeight="1"/>
    <row r="16040" ht="15.75" hidden="1" customHeight="1"/>
    <row r="16041" ht="15.75" hidden="1" customHeight="1"/>
    <row r="16042" ht="15.75" hidden="1" customHeight="1"/>
    <row r="16043" ht="15.75" hidden="1" customHeight="1"/>
    <row r="16044" ht="15.75" hidden="1" customHeight="1"/>
    <row r="16045" ht="15.75" hidden="1" customHeight="1"/>
    <row r="16046" ht="15.75" hidden="1" customHeight="1"/>
    <row r="16047" ht="15.75" hidden="1" customHeight="1"/>
    <row r="16048" ht="15.75" hidden="1" customHeight="1"/>
    <row r="16049" ht="15.75" hidden="1" customHeight="1"/>
    <row r="16050" ht="15.75" hidden="1" customHeight="1"/>
    <row r="16051" ht="15.75" hidden="1" customHeight="1"/>
    <row r="16052" ht="15.75" hidden="1" customHeight="1"/>
    <row r="16053" ht="15.75" hidden="1" customHeight="1"/>
    <row r="16054" ht="15.75" hidden="1" customHeight="1"/>
    <row r="16055" ht="15.75" hidden="1" customHeight="1"/>
    <row r="16056" ht="15.75" hidden="1" customHeight="1"/>
    <row r="16057" ht="15.75" hidden="1" customHeight="1"/>
    <row r="16058" ht="15.75" hidden="1" customHeight="1"/>
    <row r="16059" ht="15.75" hidden="1" customHeight="1"/>
    <row r="16060" ht="15.75" hidden="1" customHeight="1"/>
    <row r="16061" ht="15.75" hidden="1" customHeight="1"/>
    <row r="16062" ht="15.75" hidden="1" customHeight="1"/>
    <row r="16063" ht="15.75" hidden="1" customHeight="1"/>
    <row r="16064" ht="15.75" hidden="1" customHeight="1"/>
    <row r="16065" ht="15.75" hidden="1" customHeight="1"/>
    <row r="16066" ht="15.75" hidden="1" customHeight="1"/>
    <row r="16067" ht="15.75" hidden="1" customHeight="1"/>
    <row r="16068" ht="15.75" hidden="1" customHeight="1"/>
    <row r="16069" ht="15.75" hidden="1" customHeight="1"/>
    <row r="16070" ht="15.75" hidden="1" customHeight="1"/>
    <row r="16071" ht="15.75" hidden="1" customHeight="1"/>
    <row r="16072" ht="15.75" hidden="1" customHeight="1"/>
    <row r="16073" ht="15.75" hidden="1" customHeight="1"/>
    <row r="16074" ht="15.75" hidden="1" customHeight="1"/>
    <row r="16075" ht="15.75" hidden="1" customHeight="1"/>
    <row r="16076" ht="15.75" hidden="1" customHeight="1"/>
    <row r="16077" ht="15.75" hidden="1" customHeight="1"/>
    <row r="16078" ht="15.75" hidden="1" customHeight="1"/>
    <row r="16079" ht="15.75" hidden="1" customHeight="1"/>
    <row r="16080" ht="15.75" hidden="1" customHeight="1"/>
    <row r="16081" ht="15.75" hidden="1" customHeight="1"/>
    <row r="16082" ht="15.75" hidden="1" customHeight="1"/>
    <row r="16083" ht="15.75" hidden="1" customHeight="1"/>
    <row r="16084" ht="15.75" hidden="1" customHeight="1"/>
    <row r="16085" ht="15.75" hidden="1" customHeight="1"/>
    <row r="16086" ht="15.75" hidden="1" customHeight="1"/>
    <row r="16087" ht="15.75" hidden="1" customHeight="1"/>
    <row r="16088" ht="15.75" hidden="1" customHeight="1"/>
    <row r="16089" ht="15.75" hidden="1" customHeight="1"/>
    <row r="16090" ht="15.75" hidden="1" customHeight="1"/>
    <row r="16091" ht="15.75" hidden="1" customHeight="1"/>
    <row r="16092" ht="15.75" hidden="1" customHeight="1"/>
    <row r="16093" ht="15.75" hidden="1" customHeight="1"/>
    <row r="16094" ht="15.75" hidden="1" customHeight="1"/>
    <row r="16095" ht="15.75" hidden="1" customHeight="1"/>
    <row r="16096" ht="15.75" hidden="1" customHeight="1"/>
    <row r="16097" ht="15.75" hidden="1" customHeight="1"/>
    <row r="16098" ht="15.75" hidden="1" customHeight="1"/>
    <row r="16099" ht="15.75" hidden="1" customHeight="1"/>
    <row r="16100" ht="15.75" hidden="1" customHeight="1"/>
    <row r="16101" ht="15.75" hidden="1" customHeight="1"/>
    <row r="16102" ht="15.75" hidden="1" customHeight="1"/>
    <row r="16103" ht="15.75" hidden="1" customHeight="1"/>
    <row r="16104" ht="15.75" hidden="1" customHeight="1"/>
    <row r="16105" ht="15.75" hidden="1" customHeight="1"/>
    <row r="16106" ht="15.75" hidden="1" customHeight="1"/>
    <row r="16107" ht="15.75" hidden="1" customHeight="1"/>
    <row r="16108" ht="15.75" hidden="1" customHeight="1"/>
    <row r="16109" ht="15.75" hidden="1" customHeight="1"/>
    <row r="16110" ht="15.75" hidden="1" customHeight="1"/>
    <row r="16111" ht="15.75" hidden="1" customHeight="1"/>
    <row r="16112" ht="15.75" hidden="1" customHeight="1"/>
    <row r="16113" ht="15.75" hidden="1" customHeight="1"/>
    <row r="16114" ht="15.75" hidden="1" customHeight="1"/>
    <row r="16115" ht="15.75" hidden="1" customHeight="1"/>
    <row r="16116" ht="15.75" hidden="1" customHeight="1"/>
    <row r="16117" ht="15.75" hidden="1" customHeight="1"/>
    <row r="16118" ht="15.75" hidden="1" customHeight="1"/>
    <row r="16119" ht="15.75" hidden="1" customHeight="1"/>
    <row r="16120" ht="15.75" hidden="1" customHeight="1"/>
    <row r="16121" ht="15.75" hidden="1" customHeight="1"/>
    <row r="16122" ht="15.75" hidden="1" customHeight="1"/>
    <row r="16123" ht="15.75" hidden="1" customHeight="1"/>
    <row r="16124" ht="15.75" hidden="1" customHeight="1"/>
    <row r="16125" ht="15.75" hidden="1" customHeight="1"/>
    <row r="16126" ht="15.75" hidden="1" customHeight="1"/>
    <row r="16127" ht="15.75" hidden="1" customHeight="1"/>
    <row r="16128" ht="15.75" hidden="1" customHeight="1"/>
    <row r="16129" ht="15.75" hidden="1" customHeight="1"/>
    <row r="16130" ht="15.75" hidden="1" customHeight="1"/>
    <row r="16131" ht="15.75" hidden="1" customHeight="1"/>
    <row r="16132" ht="15.75" hidden="1" customHeight="1"/>
    <row r="16133" ht="15.75" hidden="1" customHeight="1"/>
    <row r="16134" ht="15.75" hidden="1" customHeight="1"/>
    <row r="16135" ht="15.75" hidden="1" customHeight="1"/>
    <row r="16136" ht="15.75" hidden="1" customHeight="1"/>
    <row r="16137" ht="15.75" hidden="1" customHeight="1"/>
    <row r="16138" ht="15.75" hidden="1" customHeight="1"/>
    <row r="16139" ht="15.75" hidden="1" customHeight="1"/>
    <row r="16140" ht="15.75" hidden="1" customHeight="1"/>
    <row r="16141" ht="15.75" hidden="1" customHeight="1"/>
    <row r="16142" ht="15.75" hidden="1" customHeight="1"/>
    <row r="16143" ht="15.75" hidden="1" customHeight="1"/>
    <row r="16144" ht="15.75" hidden="1" customHeight="1"/>
    <row r="16145" ht="15.75" hidden="1" customHeight="1"/>
    <row r="16146" ht="15.75" hidden="1" customHeight="1"/>
    <row r="16147" ht="15.75" hidden="1" customHeight="1"/>
    <row r="16148" ht="15.75" hidden="1" customHeight="1"/>
    <row r="16149" ht="15.75" hidden="1" customHeight="1"/>
    <row r="16150" ht="15.75" hidden="1" customHeight="1"/>
    <row r="16151" ht="15.75" hidden="1" customHeight="1"/>
    <row r="16152" ht="15.75" hidden="1" customHeight="1"/>
    <row r="16153" ht="15.75" hidden="1" customHeight="1"/>
    <row r="16154" ht="15.75" hidden="1" customHeight="1"/>
    <row r="16155" ht="15.75" hidden="1" customHeight="1"/>
    <row r="16156" ht="15.75" hidden="1" customHeight="1"/>
    <row r="16157" ht="15.75" hidden="1" customHeight="1"/>
    <row r="16158" ht="15.75" hidden="1" customHeight="1"/>
    <row r="16159" ht="15.75" hidden="1" customHeight="1"/>
    <row r="16160" ht="15.75" hidden="1" customHeight="1"/>
    <row r="16161" ht="15.75" hidden="1" customHeight="1"/>
    <row r="16162" ht="15.75" hidden="1" customHeight="1"/>
    <row r="16163" ht="15.75" hidden="1" customHeight="1"/>
    <row r="16164" ht="15.75" hidden="1" customHeight="1"/>
    <row r="16165" ht="15.75" hidden="1" customHeight="1"/>
    <row r="16166" ht="15.75" hidden="1" customHeight="1"/>
    <row r="16167" ht="15.75" hidden="1" customHeight="1"/>
    <row r="16168" ht="15.75" hidden="1" customHeight="1"/>
    <row r="16169" ht="15.75" hidden="1" customHeight="1"/>
    <row r="16170" ht="15.75" hidden="1" customHeight="1"/>
    <row r="16171" ht="15.75" hidden="1" customHeight="1"/>
    <row r="16172" ht="15.75" hidden="1" customHeight="1"/>
    <row r="16173" ht="15.75" hidden="1" customHeight="1"/>
    <row r="16174" ht="15.75" hidden="1" customHeight="1"/>
    <row r="16175" ht="15.75" hidden="1" customHeight="1"/>
    <row r="16176" ht="15.75" hidden="1" customHeight="1"/>
    <row r="16177" ht="15.75" hidden="1" customHeight="1"/>
    <row r="16178" ht="15.75" hidden="1" customHeight="1"/>
    <row r="16179" ht="15.75" hidden="1" customHeight="1"/>
    <row r="16180" ht="15.75" hidden="1" customHeight="1"/>
    <row r="16181" ht="15.75" hidden="1" customHeight="1"/>
    <row r="16182" ht="15.75" hidden="1" customHeight="1"/>
    <row r="16183" ht="15.75" hidden="1" customHeight="1"/>
    <row r="16184" ht="15.75" hidden="1" customHeight="1"/>
    <row r="16185" ht="15.75" hidden="1" customHeight="1"/>
    <row r="16186" ht="15.75" hidden="1" customHeight="1"/>
    <row r="16187" ht="15.75" hidden="1" customHeight="1"/>
    <row r="16188" ht="15.75" hidden="1" customHeight="1"/>
    <row r="16189" ht="15.75" hidden="1" customHeight="1"/>
    <row r="16190" ht="15.75" hidden="1" customHeight="1"/>
    <row r="16191" ht="15.75" hidden="1" customHeight="1"/>
    <row r="16192" ht="15.75" hidden="1" customHeight="1"/>
    <row r="16193" ht="15.75" hidden="1" customHeight="1"/>
    <row r="16194" ht="15.75" hidden="1" customHeight="1"/>
    <row r="16195" ht="15.75" hidden="1" customHeight="1"/>
    <row r="16196" ht="15.75" hidden="1" customHeight="1"/>
    <row r="16197" ht="15.75" hidden="1" customHeight="1"/>
    <row r="16198" ht="15.75" hidden="1" customHeight="1"/>
    <row r="16199" ht="15.75" hidden="1" customHeight="1"/>
    <row r="16200" ht="15.75" hidden="1" customHeight="1"/>
    <row r="16201" ht="15.75" hidden="1" customHeight="1"/>
    <row r="16202" ht="15.75" hidden="1" customHeight="1"/>
    <row r="16203" ht="15.75" hidden="1" customHeight="1"/>
    <row r="16204" ht="15.75" hidden="1" customHeight="1"/>
    <row r="16205" ht="15.75" hidden="1" customHeight="1"/>
    <row r="16206" ht="15.75" hidden="1" customHeight="1"/>
    <row r="16207" ht="15.75" hidden="1" customHeight="1"/>
    <row r="16208" ht="15.75" hidden="1" customHeight="1"/>
    <row r="16209" ht="15.75" hidden="1" customHeight="1"/>
    <row r="16210" ht="15.75" hidden="1" customHeight="1"/>
    <row r="16211" ht="15.75" hidden="1" customHeight="1"/>
    <row r="16212" ht="15.75" hidden="1" customHeight="1"/>
    <row r="16213" ht="15.75" hidden="1" customHeight="1"/>
    <row r="16214" ht="15.75" hidden="1" customHeight="1"/>
    <row r="16215" ht="15.75" hidden="1" customHeight="1"/>
    <row r="16216" ht="15.75" hidden="1" customHeight="1"/>
    <row r="16217" ht="15.75" hidden="1" customHeight="1"/>
    <row r="16218" ht="15.75" hidden="1" customHeight="1"/>
    <row r="16219" ht="15.75" hidden="1" customHeight="1"/>
    <row r="16220" ht="15.75" hidden="1" customHeight="1"/>
    <row r="16221" ht="15.75" hidden="1" customHeight="1"/>
    <row r="16222" ht="15.75" hidden="1" customHeight="1"/>
    <row r="16223" ht="15.75" hidden="1" customHeight="1"/>
    <row r="16224" ht="15.75" hidden="1" customHeight="1"/>
    <row r="16225" ht="15.75" hidden="1" customHeight="1"/>
    <row r="16226" ht="15.75" hidden="1" customHeight="1"/>
    <row r="16227" ht="15.75" hidden="1" customHeight="1"/>
    <row r="16228" ht="15.75" hidden="1" customHeight="1"/>
    <row r="16229" ht="15.75" hidden="1" customHeight="1"/>
    <row r="16230" ht="15.75" hidden="1" customHeight="1"/>
    <row r="16231" ht="15.75" hidden="1" customHeight="1"/>
    <row r="16232" ht="15.75" hidden="1" customHeight="1"/>
    <row r="16233" ht="15.75" hidden="1" customHeight="1"/>
    <row r="16234" ht="15.75" hidden="1" customHeight="1"/>
    <row r="16235" ht="15.75" hidden="1" customHeight="1"/>
    <row r="16236" ht="15.75" hidden="1" customHeight="1"/>
    <row r="16237" ht="15.75" hidden="1" customHeight="1"/>
    <row r="16238" ht="15.75" hidden="1" customHeight="1"/>
    <row r="16239" ht="15.75" hidden="1" customHeight="1"/>
    <row r="16240" ht="15.75" hidden="1" customHeight="1"/>
    <row r="16241" ht="15.75" hidden="1" customHeight="1"/>
    <row r="16242" ht="15.75" hidden="1" customHeight="1"/>
    <row r="16243" ht="15.75" hidden="1" customHeight="1"/>
    <row r="16244" ht="15.75" hidden="1" customHeight="1"/>
    <row r="16245" ht="15.75" hidden="1" customHeight="1"/>
    <row r="16246" ht="15.75" hidden="1" customHeight="1"/>
    <row r="16247" ht="15.75" hidden="1" customHeight="1"/>
    <row r="16248" ht="15.75" hidden="1" customHeight="1"/>
    <row r="16249" ht="15.75" hidden="1" customHeight="1"/>
    <row r="16250" ht="15.75" hidden="1" customHeight="1"/>
    <row r="16251" ht="15.75" hidden="1" customHeight="1"/>
    <row r="16252" ht="15.75" hidden="1" customHeight="1"/>
    <row r="16253" ht="15.75" hidden="1" customHeight="1"/>
    <row r="16254" ht="15.75" hidden="1" customHeight="1"/>
    <row r="16255" ht="15.75" hidden="1" customHeight="1"/>
    <row r="16256" ht="15.75" hidden="1" customHeight="1"/>
    <row r="16257" ht="15.75" hidden="1" customHeight="1"/>
    <row r="16258" ht="15.75" hidden="1" customHeight="1"/>
    <row r="16259" ht="15.75" hidden="1" customHeight="1"/>
    <row r="16260" ht="15.75" hidden="1" customHeight="1"/>
    <row r="16261" ht="15.75" hidden="1" customHeight="1"/>
    <row r="16262" ht="15.75" hidden="1" customHeight="1"/>
    <row r="16263" ht="15.75" hidden="1" customHeight="1"/>
    <row r="16264" ht="15.75" hidden="1" customHeight="1"/>
    <row r="16265" ht="15.75" hidden="1" customHeight="1"/>
    <row r="16266" ht="15.75" hidden="1" customHeight="1"/>
    <row r="16267" ht="15.75" hidden="1" customHeight="1"/>
    <row r="16268" ht="15.75" hidden="1" customHeight="1"/>
    <row r="16269" ht="15.75" hidden="1" customHeight="1"/>
    <row r="16270" ht="15.75" hidden="1" customHeight="1"/>
    <row r="16271" ht="15.75" hidden="1" customHeight="1"/>
    <row r="16272" ht="15.75" hidden="1" customHeight="1"/>
    <row r="16273" ht="15.75" hidden="1" customHeight="1"/>
    <row r="16274" ht="15.75" hidden="1" customHeight="1"/>
    <row r="16275" ht="15.75" hidden="1" customHeight="1"/>
    <row r="16276" ht="15.75" hidden="1" customHeight="1"/>
    <row r="16277" ht="15.75" hidden="1" customHeight="1"/>
    <row r="16278" ht="15.75" hidden="1" customHeight="1"/>
    <row r="16279" ht="15.75" hidden="1" customHeight="1"/>
    <row r="16280" ht="15.75" hidden="1" customHeight="1"/>
    <row r="16281" ht="15.75" hidden="1" customHeight="1"/>
    <row r="16282" ht="15.75" hidden="1" customHeight="1"/>
    <row r="16283" ht="15.75" hidden="1" customHeight="1"/>
    <row r="16284" ht="15.75" hidden="1" customHeight="1"/>
    <row r="16285" ht="15.75" hidden="1" customHeight="1"/>
    <row r="16286" ht="15.75" hidden="1" customHeight="1"/>
    <row r="16287" ht="15.75" hidden="1" customHeight="1"/>
    <row r="16288" ht="15.75" hidden="1" customHeight="1"/>
    <row r="16289" ht="15.75" hidden="1" customHeight="1"/>
    <row r="16290" ht="15.75" hidden="1" customHeight="1"/>
    <row r="16291" ht="15.75" hidden="1" customHeight="1"/>
    <row r="16292" ht="15.75" hidden="1" customHeight="1"/>
    <row r="16293" ht="15.75" hidden="1" customHeight="1"/>
    <row r="16294" ht="15.75" hidden="1" customHeight="1"/>
    <row r="16295" ht="15.75" hidden="1" customHeight="1"/>
    <row r="16296" ht="15.75" hidden="1" customHeight="1"/>
    <row r="16297" ht="15.75" hidden="1" customHeight="1"/>
    <row r="16298" ht="15.75" hidden="1" customHeight="1"/>
    <row r="16299" ht="15.75" hidden="1" customHeight="1"/>
    <row r="16300" ht="15.75" hidden="1" customHeight="1"/>
    <row r="16301" ht="15.75" hidden="1" customHeight="1"/>
    <row r="16302" ht="15.75" hidden="1" customHeight="1"/>
    <row r="16303" ht="15.75" hidden="1" customHeight="1"/>
    <row r="16304" ht="15.75" hidden="1" customHeight="1"/>
    <row r="16305" ht="15.75" hidden="1" customHeight="1"/>
    <row r="16306" ht="15.75" hidden="1" customHeight="1"/>
    <row r="16307" ht="15.75" hidden="1" customHeight="1"/>
    <row r="16308" ht="15.75" hidden="1" customHeight="1"/>
    <row r="16309" ht="15.75" hidden="1" customHeight="1"/>
    <row r="16310" ht="15.75" hidden="1" customHeight="1"/>
    <row r="16311" ht="15.75" hidden="1" customHeight="1"/>
    <row r="16312" ht="15.75" hidden="1" customHeight="1"/>
    <row r="16313" ht="15.75" hidden="1" customHeight="1"/>
    <row r="16314" ht="15.75" hidden="1" customHeight="1"/>
    <row r="16315" ht="15.75" hidden="1" customHeight="1"/>
    <row r="16316" ht="15.75" hidden="1" customHeight="1"/>
    <row r="16317" ht="15.75" hidden="1" customHeight="1"/>
    <row r="16318" ht="15.75" hidden="1" customHeight="1"/>
    <row r="16319" ht="15.75" hidden="1" customHeight="1"/>
    <row r="16320" ht="15.75" hidden="1" customHeight="1"/>
    <row r="16321" ht="15.75" hidden="1" customHeight="1"/>
    <row r="16322" ht="15.75" hidden="1" customHeight="1"/>
    <row r="16323" ht="15.75" hidden="1" customHeight="1"/>
    <row r="16324" ht="15.75" hidden="1" customHeight="1"/>
    <row r="16325" ht="15.75" hidden="1" customHeight="1"/>
    <row r="16326" ht="15.75" hidden="1" customHeight="1"/>
    <row r="16327" ht="15.75" hidden="1" customHeight="1"/>
    <row r="16328" ht="15.75" hidden="1" customHeight="1"/>
    <row r="16329" ht="15.75" hidden="1" customHeight="1"/>
    <row r="16330" ht="15.75" hidden="1" customHeight="1"/>
    <row r="16331" ht="15.75" hidden="1" customHeight="1"/>
    <row r="16332" ht="15.75" hidden="1" customHeight="1"/>
    <row r="16333" ht="15.75" hidden="1" customHeight="1"/>
    <row r="16334" ht="15.75" hidden="1" customHeight="1"/>
    <row r="16335" ht="15.75" hidden="1" customHeight="1"/>
    <row r="16336" ht="15.75" hidden="1" customHeight="1"/>
    <row r="16337" ht="15.75" hidden="1" customHeight="1"/>
    <row r="16338" ht="15.75" hidden="1" customHeight="1"/>
    <row r="16339" ht="15.75" hidden="1" customHeight="1"/>
    <row r="16340" ht="15.75" hidden="1" customHeight="1"/>
    <row r="16341" ht="15.75" hidden="1" customHeight="1"/>
    <row r="16342" ht="15.75" hidden="1" customHeight="1"/>
    <row r="16343" ht="15.75" hidden="1" customHeight="1"/>
    <row r="16344" ht="15.75" hidden="1" customHeight="1"/>
    <row r="16345" ht="15.75" hidden="1" customHeight="1"/>
    <row r="16346" ht="15.75" hidden="1" customHeight="1"/>
    <row r="16347" ht="15.75" hidden="1" customHeight="1"/>
    <row r="16348" ht="15.75" hidden="1" customHeight="1"/>
    <row r="16349" ht="15.75" hidden="1" customHeight="1"/>
    <row r="16350" ht="15.75" hidden="1" customHeight="1"/>
    <row r="16351" ht="15.75" hidden="1" customHeight="1"/>
    <row r="16352" ht="15.75" hidden="1" customHeight="1"/>
    <row r="16353" ht="15.75" hidden="1" customHeight="1"/>
    <row r="16354" ht="15.75" hidden="1" customHeight="1"/>
    <row r="16355" ht="15.75" hidden="1" customHeight="1"/>
    <row r="16356" ht="15.75" hidden="1" customHeight="1"/>
    <row r="16357" ht="15.75" hidden="1" customHeight="1"/>
    <row r="16358" ht="15.75" hidden="1" customHeight="1"/>
    <row r="16359" ht="15.75" hidden="1" customHeight="1"/>
    <row r="16360" ht="15.75" hidden="1" customHeight="1"/>
    <row r="16361" ht="15.75" hidden="1" customHeight="1"/>
    <row r="16362" ht="15.75" hidden="1" customHeight="1"/>
    <row r="16363" ht="15.75" hidden="1" customHeight="1"/>
    <row r="16364" ht="15.75" hidden="1" customHeight="1"/>
    <row r="16365" ht="15.75" hidden="1" customHeight="1"/>
    <row r="16366" ht="15.75" hidden="1" customHeight="1"/>
    <row r="16367" ht="15.75" hidden="1" customHeight="1"/>
    <row r="16368" ht="15.75" hidden="1" customHeight="1"/>
    <row r="16369" ht="15.75" hidden="1" customHeight="1"/>
    <row r="16370" ht="15.75" hidden="1" customHeight="1"/>
    <row r="16371" ht="15.75" hidden="1" customHeight="1"/>
    <row r="16372" ht="15.75" hidden="1" customHeight="1"/>
    <row r="16373" ht="15.75" hidden="1" customHeight="1"/>
    <row r="16374" ht="15.75" hidden="1" customHeight="1"/>
    <row r="16375" ht="15.75" hidden="1" customHeight="1"/>
    <row r="16376" ht="15.75" hidden="1" customHeight="1"/>
    <row r="16377" ht="15.75" hidden="1" customHeight="1"/>
    <row r="16378" ht="15.75" hidden="1" customHeight="1"/>
    <row r="16379" ht="15.75" hidden="1" customHeight="1"/>
    <row r="16380" ht="15.75" hidden="1" customHeight="1"/>
    <row r="16381" ht="15.75" hidden="1" customHeight="1"/>
    <row r="16382" ht="15.75" hidden="1" customHeight="1"/>
    <row r="16383" ht="15.75" hidden="1" customHeight="1"/>
    <row r="16384" ht="15.75" hidden="1" customHeight="1"/>
    <row r="16385" ht="15.75" hidden="1" customHeight="1"/>
    <row r="16386" ht="15.75" hidden="1" customHeight="1"/>
    <row r="16387" ht="15.75" hidden="1" customHeight="1"/>
    <row r="16388" ht="15.75" hidden="1" customHeight="1"/>
    <row r="16389" ht="15.75" hidden="1" customHeight="1"/>
    <row r="16390" ht="15.75" hidden="1" customHeight="1"/>
    <row r="16391" ht="15.75" hidden="1" customHeight="1"/>
    <row r="16392" ht="15.75" hidden="1" customHeight="1"/>
    <row r="16393" ht="15.75" hidden="1" customHeight="1"/>
    <row r="16394" ht="15.75" hidden="1" customHeight="1"/>
    <row r="16395" ht="15.75" hidden="1" customHeight="1"/>
    <row r="16396" ht="15.75" hidden="1" customHeight="1"/>
    <row r="16397" ht="15.75" hidden="1" customHeight="1"/>
    <row r="16398" ht="15.75" hidden="1" customHeight="1"/>
    <row r="16399" ht="15.75" hidden="1" customHeight="1"/>
    <row r="16400" ht="15.75" hidden="1" customHeight="1"/>
    <row r="16401" ht="15.75" hidden="1" customHeight="1"/>
    <row r="16402" ht="15.75" hidden="1" customHeight="1"/>
    <row r="16403" ht="15.75" hidden="1" customHeight="1"/>
    <row r="16404" ht="15.75" hidden="1" customHeight="1"/>
    <row r="16405" ht="15.75" hidden="1" customHeight="1"/>
    <row r="16406" ht="15.75" hidden="1" customHeight="1"/>
    <row r="16407" ht="15.75" hidden="1" customHeight="1"/>
    <row r="16408" ht="15.75" hidden="1" customHeight="1"/>
    <row r="16409" ht="15.75" hidden="1" customHeight="1"/>
    <row r="16410" ht="15.75" hidden="1" customHeight="1"/>
    <row r="16411" ht="15.75" hidden="1" customHeight="1"/>
    <row r="16412" ht="15.75" hidden="1" customHeight="1"/>
    <row r="16413" ht="15.75" hidden="1" customHeight="1"/>
    <row r="16414" ht="15.75" hidden="1" customHeight="1"/>
    <row r="16415" ht="15.75" hidden="1" customHeight="1"/>
    <row r="16416" ht="15.75" hidden="1" customHeight="1"/>
    <row r="16417" ht="15.75" hidden="1" customHeight="1"/>
    <row r="16418" ht="15.75" hidden="1" customHeight="1"/>
    <row r="16419" ht="15.75" hidden="1" customHeight="1"/>
    <row r="16420" ht="15.75" hidden="1" customHeight="1"/>
    <row r="16421" ht="15.75" hidden="1" customHeight="1"/>
    <row r="16422" ht="15.75" hidden="1" customHeight="1"/>
    <row r="16423" ht="15.75" hidden="1" customHeight="1"/>
    <row r="16424" ht="15.75" hidden="1" customHeight="1"/>
    <row r="16425" ht="15.75" hidden="1" customHeight="1"/>
    <row r="16426" ht="15.75" hidden="1" customHeight="1"/>
    <row r="16427" ht="15.75" hidden="1" customHeight="1"/>
    <row r="16428" ht="15.75" hidden="1" customHeight="1"/>
    <row r="16429" ht="15.75" hidden="1" customHeight="1"/>
    <row r="16430" ht="15.75" hidden="1" customHeight="1"/>
    <row r="16431" ht="15.75" hidden="1" customHeight="1"/>
    <row r="16432" ht="15.75" hidden="1" customHeight="1"/>
    <row r="16433" ht="15.75" hidden="1" customHeight="1"/>
    <row r="16434" ht="15.75" hidden="1" customHeight="1"/>
    <row r="16435" ht="15.75" hidden="1" customHeight="1"/>
    <row r="16436" ht="15.75" hidden="1" customHeight="1"/>
    <row r="16437" ht="15.75" hidden="1" customHeight="1"/>
    <row r="16438" ht="15.75" hidden="1" customHeight="1"/>
    <row r="16439" ht="15.75" hidden="1" customHeight="1"/>
    <row r="16440" ht="15.75" hidden="1" customHeight="1"/>
    <row r="16441" ht="15.75" hidden="1" customHeight="1"/>
    <row r="16442" ht="15.75" hidden="1" customHeight="1"/>
    <row r="16443" ht="15.75" hidden="1" customHeight="1"/>
    <row r="16444" ht="15.75" hidden="1" customHeight="1"/>
    <row r="16445" ht="15.75" hidden="1" customHeight="1"/>
    <row r="16446" ht="15.75" hidden="1" customHeight="1"/>
    <row r="16447" ht="15.75" hidden="1" customHeight="1"/>
    <row r="16448" ht="15.75" hidden="1" customHeight="1"/>
    <row r="16449" ht="15.75" hidden="1" customHeight="1"/>
    <row r="16450" ht="15.75" hidden="1" customHeight="1"/>
    <row r="16451" ht="15.75" hidden="1" customHeight="1"/>
    <row r="16452" ht="15.75" hidden="1" customHeight="1"/>
    <row r="16453" ht="15.75" hidden="1" customHeight="1"/>
    <row r="16454" ht="15.75" hidden="1" customHeight="1"/>
    <row r="16455" ht="15.75" hidden="1" customHeight="1"/>
    <row r="16456" ht="15.75" hidden="1" customHeight="1"/>
    <row r="16457" ht="15.75" hidden="1" customHeight="1"/>
    <row r="16458" ht="15.75" hidden="1" customHeight="1"/>
    <row r="16459" ht="15.75" hidden="1" customHeight="1"/>
    <row r="16460" ht="15.75" hidden="1" customHeight="1"/>
    <row r="16461" ht="15.75" hidden="1" customHeight="1"/>
    <row r="16462" ht="15.75" hidden="1" customHeight="1"/>
    <row r="16463" ht="15.75" hidden="1" customHeight="1"/>
    <row r="16464" ht="15.75" hidden="1" customHeight="1"/>
    <row r="16465" ht="15.75" hidden="1" customHeight="1"/>
    <row r="16466" ht="15.75" hidden="1" customHeight="1"/>
    <row r="16467" ht="15.75" hidden="1" customHeight="1"/>
    <row r="16468" ht="15.75" hidden="1" customHeight="1"/>
    <row r="16469" ht="15.75" hidden="1" customHeight="1"/>
    <row r="16470" ht="15.75" hidden="1" customHeight="1"/>
    <row r="16471" ht="15.75" hidden="1" customHeight="1"/>
    <row r="16472" ht="15.75" hidden="1" customHeight="1"/>
    <row r="16473" ht="15.75" hidden="1" customHeight="1"/>
    <row r="16474" ht="15.75" hidden="1" customHeight="1"/>
    <row r="16475" ht="15.75" hidden="1" customHeight="1"/>
    <row r="16476" ht="15.75" hidden="1" customHeight="1"/>
    <row r="16477" ht="15.75" hidden="1" customHeight="1"/>
    <row r="16478" ht="15.75" hidden="1" customHeight="1"/>
    <row r="16479" ht="15.75" hidden="1" customHeight="1"/>
    <row r="16480" ht="15.75" hidden="1" customHeight="1"/>
    <row r="16481" ht="15.75" hidden="1" customHeight="1"/>
    <row r="16482" ht="15.75" hidden="1" customHeight="1"/>
    <row r="16483" ht="15.75" hidden="1" customHeight="1"/>
    <row r="16484" ht="15.75" hidden="1" customHeight="1"/>
    <row r="16485" ht="15.75" hidden="1" customHeight="1"/>
    <row r="16486" ht="15.75" hidden="1" customHeight="1"/>
    <row r="16487" ht="15.75" hidden="1" customHeight="1"/>
    <row r="16488" ht="15.75" hidden="1" customHeight="1"/>
    <row r="16489" ht="15.75" hidden="1" customHeight="1"/>
    <row r="16490" ht="15.75" hidden="1" customHeight="1"/>
    <row r="16491" ht="15.75" hidden="1" customHeight="1"/>
    <row r="16492" ht="15.75" hidden="1" customHeight="1"/>
    <row r="16493" ht="15.75" hidden="1" customHeight="1"/>
    <row r="16494" ht="15.75" hidden="1" customHeight="1"/>
    <row r="16495" ht="15.75" hidden="1" customHeight="1"/>
    <row r="16496" ht="15.75" hidden="1" customHeight="1"/>
    <row r="16497" ht="15.75" hidden="1" customHeight="1"/>
    <row r="16498" ht="15.75" hidden="1" customHeight="1"/>
    <row r="16499" ht="15.75" hidden="1" customHeight="1"/>
    <row r="16500" ht="15.75" hidden="1" customHeight="1"/>
    <row r="16501" ht="15.75" hidden="1" customHeight="1"/>
    <row r="16502" ht="15.75" hidden="1" customHeight="1"/>
    <row r="16503" ht="15.75" hidden="1" customHeight="1"/>
    <row r="16504" ht="15.75" hidden="1" customHeight="1"/>
    <row r="16505" ht="15.75" hidden="1" customHeight="1"/>
    <row r="16506" ht="15.75" hidden="1" customHeight="1"/>
    <row r="16507" ht="15.75" hidden="1" customHeight="1"/>
    <row r="16508" ht="15.75" hidden="1" customHeight="1"/>
    <row r="16509" ht="15.75" hidden="1" customHeight="1"/>
    <row r="16510" ht="15.75" hidden="1" customHeight="1"/>
    <row r="16511" ht="15.75" hidden="1" customHeight="1"/>
    <row r="16512" ht="15.75" hidden="1" customHeight="1"/>
    <row r="16513" ht="15.75" hidden="1" customHeight="1"/>
    <row r="16514" ht="15.75" hidden="1" customHeight="1"/>
    <row r="16515" ht="15.75" hidden="1" customHeight="1"/>
    <row r="16516" ht="15.75" hidden="1" customHeight="1"/>
    <row r="16517" ht="15.75" hidden="1" customHeight="1"/>
    <row r="16518" ht="15.75" hidden="1" customHeight="1"/>
    <row r="16519" ht="15.75" hidden="1" customHeight="1"/>
    <row r="16520" ht="15.75" hidden="1" customHeight="1"/>
    <row r="16521" ht="15.75" hidden="1" customHeight="1"/>
    <row r="16522" ht="15.75" hidden="1" customHeight="1"/>
    <row r="16523" ht="15.75" hidden="1" customHeight="1"/>
    <row r="16524" ht="15.75" hidden="1" customHeight="1"/>
    <row r="16525" ht="15.75" hidden="1" customHeight="1"/>
    <row r="16526" ht="15.75" hidden="1" customHeight="1"/>
    <row r="16527" ht="15.75" hidden="1" customHeight="1"/>
    <row r="16528" ht="15.75" hidden="1" customHeight="1"/>
    <row r="16529" ht="15.75" hidden="1" customHeight="1"/>
    <row r="16530" ht="15.75" hidden="1" customHeight="1"/>
    <row r="16531" ht="15.75" hidden="1" customHeight="1"/>
    <row r="16532" ht="15.75" hidden="1" customHeight="1"/>
    <row r="16533" ht="15.75" hidden="1" customHeight="1"/>
    <row r="16534" ht="15.75" hidden="1" customHeight="1"/>
    <row r="16535" ht="15.75" hidden="1" customHeight="1"/>
    <row r="16536" ht="15.75" hidden="1" customHeight="1"/>
    <row r="16537" ht="15.75" hidden="1" customHeight="1"/>
    <row r="16538" ht="15.75" hidden="1" customHeight="1"/>
    <row r="16539" ht="15.75" hidden="1" customHeight="1"/>
    <row r="16540" ht="15.75" hidden="1" customHeight="1"/>
    <row r="16541" ht="15.75" hidden="1" customHeight="1"/>
    <row r="16542" ht="15.75" hidden="1" customHeight="1"/>
    <row r="16543" ht="15.75" hidden="1" customHeight="1"/>
    <row r="16544" ht="15.75" hidden="1" customHeight="1"/>
    <row r="16545" ht="15.75" hidden="1" customHeight="1"/>
    <row r="16546" ht="15.75" hidden="1" customHeight="1"/>
    <row r="16547" ht="15.75" hidden="1" customHeight="1"/>
    <row r="16548" ht="15.75" hidden="1" customHeight="1"/>
    <row r="16549" ht="15.75" hidden="1" customHeight="1"/>
    <row r="16550" ht="15.75" hidden="1" customHeight="1"/>
    <row r="16551" ht="15.75" hidden="1" customHeight="1"/>
    <row r="16552" ht="15.75" hidden="1" customHeight="1"/>
    <row r="16553" ht="15.75" hidden="1" customHeight="1"/>
    <row r="16554" ht="15.75" hidden="1" customHeight="1"/>
    <row r="16555" ht="15.75" hidden="1" customHeight="1"/>
    <row r="16556" ht="15.75" hidden="1" customHeight="1"/>
    <row r="16557" ht="15.75" hidden="1" customHeight="1"/>
    <row r="16558" ht="15.75" hidden="1" customHeight="1"/>
    <row r="16559" ht="15.75" hidden="1" customHeight="1"/>
    <row r="16560" ht="15.75" hidden="1" customHeight="1"/>
    <row r="16561" ht="15.75" hidden="1" customHeight="1"/>
    <row r="16562" ht="15.75" hidden="1" customHeight="1"/>
    <row r="16563" ht="15.75" hidden="1" customHeight="1"/>
    <row r="16564" ht="15.75" hidden="1" customHeight="1"/>
    <row r="16565" ht="15.75" hidden="1" customHeight="1"/>
    <row r="16566" ht="15.75" hidden="1" customHeight="1"/>
    <row r="16567" ht="15.75" hidden="1" customHeight="1"/>
    <row r="16568" ht="15.75" hidden="1" customHeight="1"/>
    <row r="16569" ht="15.75" hidden="1" customHeight="1"/>
    <row r="16570" ht="15.75" hidden="1" customHeight="1"/>
    <row r="16571" ht="15.75" hidden="1" customHeight="1"/>
    <row r="16572" ht="15.75" hidden="1" customHeight="1"/>
    <row r="16573" ht="15.75" hidden="1" customHeight="1"/>
    <row r="16574" ht="15.75" hidden="1" customHeight="1"/>
    <row r="16575" ht="15.75" hidden="1" customHeight="1"/>
    <row r="16576" ht="15.75" hidden="1" customHeight="1"/>
    <row r="16577" ht="15.75" hidden="1" customHeight="1"/>
    <row r="16578" ht="15.75" hidden="1" customHeight="1"/>
    <row r="16579" ht="15.75" hidden="1" customHeight="1"/>
    <row r="16580" ht="15.75" hidden="1" customHeight="1"/>
    <row r="16581" ht="15.75" hidden="1" customHeight="1"/>
    <row r="16582" ht="15.75" hidden="1" customHeight="1"/>
    <row r="16583" ht="15.75" hidden="1" customHeight="1"/>
    <row r="16584" ht="15.75" hidden="1" customHeight="1"/>
    <row r="16585" ht="15.75" hidden="1" customHeight="1"/>
    <row r="16586" ht="15.75" hidden="1" customHeight="1"/>
    <row r="16587" ht="15.75" hidden="1" customHeight="1"/>
    <row r="16588" ht="15.75" hidden="1" customHeight="1"/>
    <row r="16589" ht="15.75" hidden="1" customHeight="1"/>
    <row r="16590" ht="15.75" hidden="1" customHeight="1"/>
    <row r="16591" ht="15.75" hidden="1" customHeight="1"/>
    <row r="16592" ht="15.75" hidden="1" customHeight="1"/>
    <row r="16593" ht="15.75" hidden="1" customHeight="1"/>
    <row r="16594" ht="15.75" hidden="1" customHeight="1"/>
    <row r="16595" ht="15.75" hidden="1" customHeight="1"/>
    <row r="16596" ht="15.75" hidden="1" customHeight="1"/>
    <row r="16597" ht="15.75" hidden="1" customHeight="1"/>
    <row r="16598" ht="15.75" hidden="1" customHeight="1"/>
    <row r="16599" ht="15.75" hidden="1" customHeight="1"/>
    <row r="16600" ht="15.75" hidden="1" customHeight="1"/>
    <row r="16601" ht="15.75" hidden="1" customHeight="1"/>
    <row r="16602" ht="15.75" hidden="1" customHeight="1"/>
    <row r="16603" ht="15.75" hidden="1" customHeight="1"/>
    <row r="16604" ht="15.75" hidden="1" customHeight="1"/>
    <row r="16605" ht="15.75" hidden="1" customHeight="1"/>
    <row r="16606" ht="15.75" hidden="1" customHeight="1"/>
    <row r="16607" ht="15.75" hidden="1" customHeight="1"/>
    <row r="16608" ht="15.75" hidden="1" customHeight="1"/>
    <row r="16609" ht="15.75" hidden="1" customHeight="1"/>
    <row r="16610" ht="15.75" hidden="1" customHeight="1"/>
    <row r="16611" ht="15.75" hidden="1" customHeight="1"/>
    <row r="16612" ht="15.75" hidden="1" customHeight="1"/>
    <row r="16613" ht="15.75" hidden="1" customHeight="1"/>
    <row r="16614" ht="15.75" hidden="1" customHeight="1"/>
    <row r="16615" ht="15.75" hidden="1" customHeight="1"/>
    <row r="16616" ht="15.75" hidden="1" customHeight="1"/>
    <row r="16617" ht="15.75" hidden="1" customHeight="1"/>
    <row r="16618" ht="15.75" hidden="1" customHeight="1"/>
    <row r="16619" ht="15.75" hidden="1" customHeight="1"/>
    <row r="16620" ht="15.75" hidden="1" customHeight="1"/>
    <row r="16621" ht="15.75" hidden="1" customHeight="1"/>
    <row r="16622" ht="15.75" hidden="1" customHeight="1"/>
    <row r="16623" ht="15.75" hidden="1" customHeight="1"/>
    <row r="16624" ht="15.75" hidden="1" customHeight="1"/>
    <row r="16625" ht="15.75" hidden="1" customHeight="1"/>
    <row r="16626" ht="15.75" hidden="1" customHeight="1"/>
    <row r="16627" ht="15.75" hidden="1" customHeight="1"/>
    <row r="16628" ht="15.75" hidden="1" customHeight="1"/>
    <row r="16629" ht="15.75" hidden="1" customHeight="1"/>
    <row r="16630" ht="15.75" hidden="1" customHeight="1"/>
    <row r="16631" ht="15.75" hidden="1" customHeight="1"/>
    <row r="16632" ht="15.75" hidden="1" customHeight="1"/>
    <row r="16633" ht="15.75" hidden="1" customHeight="1"/>
    <row r="16634" ht="15.75" hidden="1" customHeight="1"/>
    <row r="16635" ht="15.75" hidden="1" customHeight="1"/>
    <row r="16636" ht="15.75" hidden="1" customHeight="1"/>
    <row r="16637" ht="15.75" hidden="1" customHeight="1"/>
    <row r="16638" ht="15.75" hidden="1" customHeight="1"/>
    <row r="16639" ht="15.75" hidden="1" customHeight="1"/>
    <row r="16640" ht="15.75" hidden="1" customHeight="1"/>
    <row r="16641" ht="15.75" hidden="1" customHeight="1"/>
    <row r="16642" ht="15.75" hidden="1" customHeight="1"/>
    <row r="16643" ht="15.75" hidden="1" customHeight="1"/>
    <row r="16644" ht="15.75" hidden="1" customHeight="1"/>
    <row r="16645" ht="15.75" hidden="1" customHeight="1"/>
    <row r="16646" ht="15.75" hidden="1" customHeight="1"/>
    <row r="16647" ht="15.75" hidden="1" customHeight="1"/>
    <row r="16648" ht="15.75" hidden="1" customHeight="1"/>
    <row r="16649" ht="15.75" hidden="1" customHeight="1"/>
    <row r="16650" ht="15.75" hidden="1" customHeight="1"/>
    <row r="16651" ht="15.75" hidden="1" customHeight="1"/>
    <row r="16652" ht="15.75" hidden="1" customHeight="1"/>
    <row r="16653" ht="15.75" hidden="1" customHeight="1"/>
    <row r="16654" ht="15.75" hidden="1" customHeight="1"/>
    <row r="16655" ht="15.75" hidden="1" customHeight="1"/>
    <row r="16656" ht="15.75" hidden="1" customHeight="1"/>
    <row r="16657" ht="15.75" hidden="1" customHeight="1"/>
    <row r="16658" ht="15.75" hidden="1" customHeight="1"/>
    <row r="16659" ht="15.75" hidden="1" customHeight="1"/>
    <row r="16660" ht="15.75" hidden="1" customHeight="1"/>
    <row r="16661" ht="15.75" hidden="1" customHeight="1"/>
    <row r="16662" ht="15.75" hidden="1" customHeight="1"/>
    <row r="16663" ht="15.75" hidden="1" customHeight="1"/>
    <row r="16664" ht="15.75" hidden="1" customHeight="1"/>
    <row r="16665" ht="15.75" hidden="1" customHeight="1"/>
    <row r="16666" ht="15.75" hidden="1" customHeight="1"/>
    <row r="16667" ht="15.75" hidden="1" customHeight="1"/>
    <row r="16668" ht="15.75" hidden="1" customHeight="1"/>
    <row r="16669" ht="15.75" hidden="1" customHeight="1"/>
    <row r="16670" ht="15.75" hidden="1" customHeight="1"/>
    <row r="16671" ht="15.75" hidden="1" customHeight="1"/>
    <row r="16672" ht="15.75" hidden="1" customHeight="1"/>
    <row r="16673" ht="15.75" hidden="1" customHeight="1"/>
    <row r="16674" ht="15.75" hidden="1" customHeight="1"/>
    <row r="16675" ht="15.75" hidden="1" customHeight="1"/>
    <row r="16676" ht="15.75" hidden="1" customHeight="1"/>
    <row r="16677" ht="15.75" hidden="1" customHeight="1"/>
    <row r="16678" ht="15.75" hidden="1" customHeight="1"/>
    <row r="16679" ht="15.75" hidden="1" customHeight="1"/>
    <row r="16680" ht="15.75" hidden="1" customHeight="1"/>
    <row r="16681" ht="15.75" hidden="1" customHeight="1"/>
    <row r="16682" ht="15.75" hidden="1" customHeight="1"/>
    <row r="16683" ht="15.75" hidden="1" customHeight="1"/>
    <row r="16684" ht="15.75" hidden="1" customHeight="1"/>
    <row r="16685" ht="15.75" hidden="1" customHeight="1"/>
    <row r="16686" ht="15.75" hidden="1" customHeight="1"/>
    <row r="16687" ht="15.75" hidden="1" customHeight="1"/>
    <row r="16688" ht="15.75" hidden="1" customHeight="1"/>
    <row r="16689" ht="15.75" hidden="1" customHeight="1"/>
    <row r="16690" ht="15.75" hidden="1" customHeight="1"/>
    <row r="16691" ht="15.75" hidden="1" customHeight="1"/>
    <row r="16692" ht="15.75" hidden="1" customHeight="1"/>
    <row r="16693" ht="15.75" hidden="1" customHeight="1"/>
    <row r="16694" ht="15.75" hidden="1" customHeight="1"/>
    <row r="16695" ht="15.75" hidden="1" customHeight="1"/>
    <row r="16696" ht="15.75" hidden="1" customHeight="1"/>
    <row r="16697" ht="15.75" hidden="1" customHeight="1"/>
    <row r="16698" ht="15.75" hidden="1" customHeight="1"/>
    <row r="16699" ht="15.75" hidden="1" customHeight="1"/>
    <row r="16700" ht="15.75" hidden="1" customHeight="1"/>
    <row r="16701" ht="15.75" hidden="1" customHeight="1"/>
    <row r="16702" ht="15.75" hidden="1" customHeight="1"/>
    <row r="16703" ht="15.75" hidden="1" customHeight="1"/>
    <row r="16704" ht="15.75" hidden="1" customHeight="1"/>
    <row r="16705" ht="15.75" hidden="1" customHeight="1"/>
    <row r="16706" ht="15.75" hidden="1" customHeight="1"/>
    <row r="16707" ht="15.75" hidden="1" customHeight="1"/>
    <row r="16708" ht="15.75" hidden="1" customHeight="1"/>
    <row r="16709" ht="15.75" hidden="1" customHeight="1"/>
    <row r="16710" ht="15.75" hidden="1" customHeight="1"/>
    <row r="16711" ht="15.75" hidden="1" customHeight="1"/>
    <row r="16712" ht="15.75" hidden="1" customHeight="1"/>
    <row r="16713" ht="15.75" hidden="1" customHeight="1"/>
    <row r="16714" ht="15.75" hidden="1" customHeight="1"/>
    <row r="16715" ht="15.75" hidden="1" customHeight="1"/>
    <row r="16716" ht="15.75" hidden="1" customHeight="1"/>
    <row r="16717" ht="15.75" hidden="1" customHeight="1"/>
    <row r="16718" ht="15.75" hidden="1" customHeight="1"/>
    <row r="16719" ht="15.75" hidden="1" customHeight="1"/>
    <row r="16720" ht="15.75" hidden="1" customHeight="1"/>
    <row r="16721" ht="15.75" hidden="1" customHeight="1"/>
    <row r="16722" ht="15.75" hidden="1" customHeight="1"/>
    <row r="16723" ht="15.75" hidden="1" customHeight="1"/>
    <row r="16724" ht="15.75" hidden="1" customHeight="1"/>
    <row r="16725" ht="15.75" hidden="1" customHeight="1"/>
    <row r="16726" ht="15.75" hidden="1" customHeight="1"/>
    <row r="16727" ht="15.75" hidden="1" customHeight="1"/>
    <row r="16728" ht="15.75" hidden="1" customHeight="1"/>
    <row r="16729" ht="15.75" hidden="1" customHeight="1"/>
    <row r="16730" ht="15.75" hidden="1" customHeight="1"/>
    <row r="16731" ht="15.75" hidden="1" customHeight="1"/>
    <row r="16732" ht="15.75" hidden="1" customHeight="1"/>
    <row r="16733" ht="15.75" hidden="1" customHeight="1"/>
    <row r="16734" ht="15.75" hidden="1" customHeight="1"/>
    <row r="16735" ht="15.75" hidden="1" customHeight="1"/>
    <row r="16736" ht="15.75" hidden="1" customHeight="1"/>
    <row r="16737" ht="15.75" hidden="1" customHeight="1"/>
    <row r="16738" ht="15.75" hidden="1" customHeight="1"/>
    <row r="16739" ht="15.75" hidden="1" customHeight="1"/>
    <row r="16740" ht="15.75" hidden="1" customHeight="1"/>
    <row r="16741" ht="15.75" hidden="1" customHeight="1"/>
    <row r="16742" ht="15.75" hidden="1" customHeight="1"/>
    <row r="16743" ht="15.75" hidden="1" customHeight="1"/>
    <row r="16744" ht="15.75" hidden="1" customHeight="1"/>
    <row r="16745" ht="15.75" hidden="1" customHeight="1"/>
    <row r="16746" ht="15.75" hidden="1" customHeight="1"/>
    <row r="16747" ht="15.75" hidden="1" customHeight="1"/>
    <row r="16748" ht="15.75" hidden="1" customHeight="1"/>
    <row r="16749" ht="15.75" hidden="1" customHeight="1"/>
    <row r="16750" ht="15.75" hidden="1" customHeight="1"/>
    <row r="16751" ht="15.75" hidden="1" customHeight="1"/>
    <row r="16752" ht="15.75" hidden="1" customHeight="1"/>
    <row r="16753" ht="15.75" hidden="1" customHeight="1"/>
    <row r="16754" ht="15.75" hidden="1" customHeight="1"/>
    <row r="16755" ht="15.75" hidden="1" customHeight="1"/>
    <row r="16756" ht="15.75" hidden="1" customHeight="1"/>
    <row r="16757" ht="15.75" hidden="1" customHeight="1"/>
    <row r="16758" ht="15.75" hidden="1" customHeight="1"/>
    <row r="16759" ht="15.75" hidden="1" customHeight="1"/>
    <row r="16760" ht="15.75" hidden="1" customHeight="1"/>
    <row r="16761" ht="15.75" hidden="1" customHeight="1"/>
    <row r="16762" ht="15.75" hidden="1" customHeight="1"/>
    <row r="16763" ht="15.75" hidden="1" customHeight="1"/>
    <row r="16764" ht="15.75" hidden="1" customHeight="1"/>
    <row r="16765" ht="15.75" hidden="1" customHeight="1"/>
    <row r="16766" ht="15.75" hidden="1" customHeight="1"/>
    <row r="16767" ht="15.75" hidden="1" customHeight="1"/>
    <row r="16768" ht="15.75" hidden="1" customHeight="1"/>
    <row r="16769" ht="15.75" hidden="1" customHeight="1"/>
    <row r="16770" ht="15.75" hidden="1" customHeight="1"/>
    <row r="16771" ht="15.75" hidden="1" customHeight="1"/>
    <row r="16772" ht="15.75" hidden="1" customHeight="1"/>
    <row r="16773" ht="15.75" hidden="1" customHeight="1"/>
    <row r="16774" ht="15.75" hidden="1" customHeight="1"/>
    <row r="16775" ht="15.75" hidden="1" customHeight="1"/>
    <row r="16776" ht="15.75" hidden="1" customHeight="1"/>
    <row r="16777" ht="15.75" hidden="1" customHeight="1"/>
    <row r="16778" ht="15.75" hidden="1" customHeight="1"/>
    <row r="16779" ht="15.75" hidden="1" customHeight="1"/>
    <row r="16780" ht="15.75" hidden="1" customHeight="1"/>
    <row r="16781" ht="15.75" hidden="1" customHeight="1"/>
    <row r="16782" ht="15.75" hidden="1" customHeight="1"/>
    <row r="16783" ht="15.75" hidden="1" customHeight="1"/>
    <row r="16784" ht="15.75" hidden="1" customHeight="1"/>
    <row r="16785" ht="15.75" hidden="1" customHeight="1"/>
    <row r="16786" ht="15.75" hidden="1" customHeight="1"/>
    <row r="16787" ht="15.75" hidden="1" customHeight="1"/>
    <row r="16788" ht="15.75" hidden="1" customHeight="1"/>
    <row r="16789" ht="15.75" hidden="1" customHeight="1"/>
    <row r="16790" ht="15.75" hidden="1" customHeight="1"/>
    <row r="16791" ht="15.75" hidden="1" customHeight="1"/>
    <row r="16792" ht="15.75" hidden="1" customHeight="1"/>
    <row r="16793" ht="15.75" hidden="1" customHeight="1"/>
    <row r="16794" ht="15.75" hidden="1" customHeight="1"/>
    <row r="16795" ht="15.75" hidden="1" customHeight="1"/>
    <row r="16796" ht="15.75" hidden="1" customHeight="1"/>
    <row r="16797" ht="15.75" hidden="1" customHeight="1"/>
    <row r="16798" ht="15.75" hidden="1" customHeight="1"/>
    <row r="16799" ht="15.75" hidden="1" customHeight="1"/>
    <row r="16800" ht="15.75" hidden="1" customHeight="1"/>
    <row r="16801" ht="15.75" hidden="1" customHeight="1"/>
    <row r="16802" ht="15.75" hidden="1" customHeight="1"/>
    <row r="16803" ht="15.75" hidden="1" customHeight="1"/>
    <row r="16804" ht="15.75" hidden="1" customHeight="1"/>
    <row r="16805" ht="15.75" hidden="1" customHeight="1"/>
    <row r="16806" ht="15.75" hidden="1" customHeight="1"/>
    <row r="16807" ht="15.75" hidden="1" customHeight="1"/>
    <row r="16808" ht="15.75" hidden="1" customHeight="1"/>
    <row r="16809" ht="15.75" hidden="1" customHeight="1"/>
    <row r="16810" ht="15.75" hidden="1" customHeight="1"/>
    <row r="16811" ht="15.75" hidden="1" customHeight="1"/>
    <row r="16812" ht="15.75" hidden="1" customHeight="1"/>
    <row r="16813" ht="15.75" hidden="1" customHeight="1"/>
    <row r="16814" ht="15.75" hidden="1" customHeight="1"/>
    <row r="16815" ht="15.75" hidden="1" customHeight="1"/>
    <row r="16816" ht="15.75" hidden="1" customHeight="1"/>
    <row r="16817" ht="15.75" hidden="1" customHeight="1"/>
    <row r="16818" ht="15.75" hidden="1" customHeight="1"/>
    <row r="16819" ht="15.75" hidden="1" customHeight="1"/>
    <row r="16820" ht="15.75" hidden="1" customHeight="1"/>
    <row r="16821" ht="15.75" hidden="1" customHeight="1"/>
    <row r="16822" ht="15.75" hidden="1" customHeight="1"/>
    <row r="16823" ht="15.75" hidden="1" customHeight="1"/>
    <row r="16824" ht="15.75" hidden="1" customHeight="1"/>
    <row r="16825" ht="15.75" hidden="1" customHeight="1"/>
    <row r="16826" ht="15.75" hidden="1" customHeight="1"/>
    <row r="16827" ht="15.75" hidden="1" customHeight="1"/>
    <row r="16828" ht="15.75" hidden="1" customHeight="1"/>
    <row r="16829" ht="15.75" hidden="1" customHeight="1"/>
    <row r="16830" ht="15.75" hidden="1" customHeight="1"/>
    <row r="16831" ht="15.75" hidden="1" customHeight="1"/>
    <row r="16832" ht="15.75" hidden="1" customHeight="1"/>
    <row r="16833" ht="15.75" hidden="1" customHeight="1"/>
    <row r="16834" ht="15.75" hidden="1" customHeight="1"/>
    <row r="16835" ht="15.75" hidden="1" customHeight="1"/>
    <row r="16836" ht="15.75" hidden="1" customHeight="1"/>
    <row r="16837" ht="15.75" hidden="1" customHeight="1"/>
    <row r="16838" ht="15.75" hidden="1" customHeight="1"/>
    <row r="16839" ht="15.75" hidden="1" customHeight="1"/>
    <row r="16840" ht="15.75" hidden="1" customHeight="1"/>
    <row r="16841" ht="15.75" hidden="1" customHeight="1"/>
    <row r="16842" ht="15.75" hidden="1" customHeight="1"/>
    <row r="16843" ht="15.75" hidden="1" customHeight="1"/>
    <row r="16844" ht="15.75" hidden="1" customHeight="1"/>
    <row r="16845" ht="15.75" hidden="1" customHeight="1"/>
    <row r="16846" ht="15.75" hidden="1" customHeight="1"/>
    <row r="16847" ht="15.75" hidden="1" customHeight="1"/>
    <row r="16848" ht="15.75" hidden="1" customHeight="1"/>
    <row r="16849" ht="15.75" hidden="1" customHeight="1"/>
    <row r="16850" ht="15.75" hidden="1" customHeight="1"/>
    <row r="16851" ht="15.75" hidden="1" customHeight="1"/>
    <row r="16852" ht="15.75" hidden="1" customHeight="1"/>
    <row r="16853" ht="15.75" hidden="1" customHeight="1"/>
    <row r="16854" ht="15.75" hidden="1" customHeight="1"/>
    <row r="16855" ht="15.75" hidden="1" customHeight="1"/>
    <row r="16856" ht="15.75" hidden="1" customHeight="1"/>
    <row r="16857" ht="15.75" hidden="1" customHeight="1"/>
    <row r="16858" ht="15.75" hidden="1" customHeight="1"/>
    <row r="16859" ht="15.75" hidden="1" customHeight="1"/>
    <row r="16860" ht="15.75" hidden="1" customHeight="1"/>
    <row r="16861" ht="15.75" hidden="1" customHeight="1"/>
    <row r="16862" ht="15.75" hidden="1" customHeight="1"/>
    <row r="16863" ht="15.75" hidden="1" customHeight="1"/>
    <row r="16864" ht="15.75" hidden="1" customHeight="1"/>
    <row r="16865" ht="15.75" hidden="1" customHeight="1"/>
    <row r="16866" ht="15.75" hidden="1" customHeight="1"/>
    <row r="16867" ht="15.75" hidden="1" customHeight="1"/>
    <row r="16868" ht="15.75" hidden="1" customHeight="1"/>
    <row r="16869" ht="15.75" hidden="1" customHeight="1"/>
    <row r="16870" ht="15.75" hidden="1" customHeight="1"/>
    <row r="16871" ht="15.75" hidden="1" customHeight="1"/>
    <row r="16872" ht="15.75" hidden="1" customHeight="1"/>
    <row r="16873" ht="15.75" hidden="1" customHeight="1"/>
    <row r="16874" ht="15.75" hidden="1" customHeight="1"/>
    <row r="16875" ht="15.75" hidden="1" customHeight="1"/>
    <row r="16876" ht="15.75" hidden="1" customHeight="1"/>
    <row r="16877" ht="15.75" hidden="1" customHeight="1"/>
    <row r="16878" ht="15.75" hidden="1" customHeight="1"/>
    <row r="16879" ht="15.75" hidden="1" customHeight="1"/>
    <row r="16880" ht="15.75" hidden="1" customHeight="1"/>
    <row r="16881" ht="15.75" hidden="1" customHeight="1"/>
    <row r="16882" ht="15.75" hidden="1" customHeight="1"/>
    <row r="16883" ht="15.75" hidden="1" customHeight="1"/>
    <row r="16884" ht="15.75" hidden="1" customHeight="1"/>
    <row r="16885" ht="15.75" hidden="1" customHeight="1"/>
    <row r="16886" ht="15.75" hidden="1" customHeight="1"/>
    <row r="16887" ht="15.75" hidden="1" customHeight="1"/>
    <row r="16888" ht="15.75" hidden="1" customHeight="1"/>
    <row r="16889" ht="15.75" hidden="1" customHeight="1"/>
    <row r="16890" ht="15.75" hidden="1" customHeight="1"/>
    <row r="16891" ht="15.75" hidden="1" customHeight="1"/>
    <row r="16892" ht="15.75" hidden="1" customHeight="1"/>
    <row r="16893" ht="15.75" hidden="1" customHeight="1"/>
    <row r="16894" ht="15.75" hidden="1" customHeight="1"/>
    <row r="16895" ht="15.75" hidden="1" customHeight="1"/>
    <row r="16896" ht="15.75" hidden="1" customHeight="1"/>
    <row r="16897" ht="15.75" hidden="1" customHeight="1"/>
    <row r="16898" ht="15.75" hidden="1" customHeight="1"/>
    <row r="16899" ht="15.75" hidden="1" customHeight="1"/>
    <row r="16900" ht="15.75" hidden="1" customHeight="1"/>
    <row r="16901" ht="15.75" hidden="1" customHeight="1"/>
    <row r="16902" ht="15.75" hidden="1" customHeight="1"/>
    <row r="16903" ht="15.75" hidden="1" customHeight="1"/>
    <row r="16904" ht="15.75" hidden="1" customHeight="1"/>
    <row r="16905" ht="15.75" hidden="1" customHeight="1"/>
    <row r="16906" ht="15.75" hidden="1" customHeight="1"/>
    <row r="16907" ht="15.75" hidden="1" customHeight="1"/>
    <row r="16908" ht="15.75" hidden="1" customHeight="1"/>
    <row r="16909" ht="15.75" hidden="1" customHeight="1"/>
    <row r="16910" ht="15.75" hidden="1" customHeight="1"/>
    <row r="16911" ht="15.75" hidden="1" customHeight="1"/>
    <row r="16912" ht="15.75" hidden="1" customHeight="1"/>
    <row r="16913" ht="15.75" hidden="1" customHeight="1"/>
    <row r="16914" ht="15.75" hidden="1" customHeight="1"/>
    <row r="16915" ht="15.75" hidden="1" customHeight="1"/>
    <row r="16916" ht="15.75" hidden="1" customHeight="1"/>
    <row r="16917" ht="15.75" hidden="1" customHeight="1"/>
    <row r="16918" ht="15.75" hidden="1" customHeight="1"/>
    <row r="16919" ht="15.75" hidden="1" customHeight="1"/>
    <row r="16920" ht="15.75" hidden="1" customHeight="1"/>
    <row r="16921" ht="15.75" hidden="1" customHeight="1"/>
    <row r="16922" ht="15.75" hidden="1" customHeight="1"/>
    <row r="16923" ht="15.75" hidden="1" customHeight="1"/>
    <row r="16924" ht="15.75" hidden="1" customHeight="1"/>
    <row r="16925" ht="15.75" hidden="1" customHeight="1"/>
    <row r="16926" ht="15.75" hidden="1" customHeight="1"/>
    <row r="16927" ht="15.75" hidden="1" customHeight="1"/>
    <row r="16928" ht="15.75" hidden="1" customHeight="1"/>
    <row r="16929" ht="15.75" hidden="1" customHeight="1"/>
    <row r="16930" ht="15.75" hidden="1" customHeight="1"/>
    <row r="16931" ht="15.75" hidden="1" customHeight="1"/>
    <row r="16932" ht="15.75" hidden="1" customHeight="1"/>
    <row r="16933" ht="15.75" hidden="1" customHeight="1"/>
    <row r="16934" ht="15.75" hidden="1" customHeight="1"/>
    <row r="16935" ht="15.75" hidden="1" customHeight="1"/>
    <row r="16936" ht="15.75" hidden="1" customHeight="1"/>
    <row r="16937" ht="15.75" hidden="1" customHeight="1"/>
    <row r="16938" ht="15.75" hidden="1" customHeight="1"/>
    <row r="16939" ht="15.75" hidden="1" customHeight="1"/>
    <row r="16940" ht="15.75" hidden="1" customHeight="1"/>
    <row r="16941" ht="15.75" hidden="1" customHeight="1"/>
    <row r="16942" ht="15.75" hidden="1" customHeight="1"/>
    <row r="16943" ht="15.75" hidden="1" customHeight="1"/>
    <row r="16944" ht="15.75" hidden="1" customHeight="1"/>
    <row r="16945" ht="15.75" hidden="1" customHeight="1"/>
    <row r="16946" ht="15.75" hidden="1" customHeight="1"/>
    <row r="16947" ht="15.75" hidden="1" customHeight="1"/>
    <row r="16948" ht="15.75" hidden="1" customHeight="1"/>
    <row r="16949" ht="15.75" hidden="1" customHeight="1"/>
    <row r="16950" ht="15.75" hidden="1" customHeight="1"/>
    <row r="16951" ht="15.75" hidden="1" customHeight="1"/>
    <row r="16952" ht="15.75" hidden="1" customHeight="1"/>
    <row r="16953" ht="15.75" hidden="1" customHeight="1"/>
    <row r="16954" ht="15.75" hidden="1" customHeight="1"/>
    <row r="16955" ht="15.75" hidden="1" customHeight="1"/>
    <row r="16956" ht="15.75" hidden="1" customHeight="1"/>
    <row r="16957" ht="15.75" hidden="1" customHeight="1"/>
    <row r="16958" ht="15.75" hidden="1" customHeight="1"/>
    <row r="16959" ht="15.75" hidden="1" customHeight="1"/>
    <row r="16960" ht="15.75" hidden="1" customHeight="1"/>
    <row r="16961" ht="15.75" hidden="1" customHeight="1"/>
    <row r="16962" ht="15.75" hidden="1" customHeight="1"/>
    <row r="16963" ht="15.75" hidden="1" customHeight="1"/>
    <row r="16964" ht="15.75" hidden="1" customHeight="1"/>
    <row r="16965" ht="15.75" hidden="1" customHeight="1"/>
    <row r="16966" ht="15.75" hidden="1" customHeight="1"/>
    <row r="16967" ht="15.75" hidden="1" customHeight="1"/>
    <row r="16968" ht="15.75" hidden="1" customHeight="1"/>
    <row r="16969" ht="15.75" hidden="1" customHeight="1"/>
    <row r="16970" ht="15.75" hidden="1" customHeight="1"/>
    <row r="16971" ht="15.75" hidden="1" customHeight="1"/>
    <row r="16972" ht="15.75" hidden="1" customHeight="1"/>
    <row r="16973" ht="15.75" hidden="1" customHeight="1"/>
    <row r="16974" ht="15.75" hidden="1" customHeight="1"/>
    <row r="16975" ht="15.75" hidden="1" customHeight="1"/>
    <row r="16976" ht="15.75" hidden="1" customHeight="1"/>
    <row r="16977" ht="15.75" hidden="1" customHeight="1"/>
    <row r="16978" ht="15.75" hidden="1" customHeight="1"/>
    <row r="16979" ht="15.75" hidden="1" customHeight="1"/>
    <row r="16980" ht="15.75" hidden="1" customHeight="1"/>
    <row r="16981" ht="15.75" hidden="1" customHeight="1"/>
    <row r="16982" ht="15.75" hidden="1" customHeight="1"/>
    <row r="16983" ht="15.75" hidden="1" customHeight="1"/>
    <row r="16984" ht="15.75" hidden="1" customHeight="1"/>
    <row r="16985" ht="15.75" hidden="1" customHeight="1"/>
    <row r="16986" ht="15.75" hidden="1" customHeight="1"/>
    <row r="16987" ht="15.75" hidden="1" customHeight="1"/>
    <row r="16988" ht="15.75" hidden="1" customHeight="1"/>
    <row r="16989" ht="15.75" hidden="1" customHeight="1"/>
    <row r="16990" ht="15.75" hidden="1" customHeight="1"/>
    <row r="16991" ht="15.75" hidden="1" customHeight="1"/>
    <row r="16992" ht="15.75" hidden="1" customHeight="1"/>
    <row r="16993" ht="15.75" hidden="1" customHeight="1"/>
    <row r="16994" ht="15.75" hidden="1" customHeight="1"/>
    <row r="16995" ht="15.75" hidden="1" customHeight="1"/>
    <row r="16996" ht="15.75" hidden="1" customHeight="1"/>
    <row r="16997" ht="15.75" hidden="1" customHeight="1"/>
    <row r="16998" ht="15.75" hidden="1" customHeight="1"/>
    <row r="16999" ht="15.75" hidden="1" customHeight="1"/>
    <row r="17000" ht="15.75" hidden="1" customHeight="1"/>
    <row r="17001" ht="15.75" hidden="1" customHeight="1"/>
    <row r="17002" ht="15.75" hidden="1" customHeight="1"/>
    <row r="17003" ht="15.75" hidden="1" customHeight="1"/>
    <row r="17004" ht="15.75" hidden="1" customHeight="1"/>
    <row r="17005" ht="15.75" hidden="1" customHeight="1"/>
    <row r="17006" ht="15.75" hidden="1" customHeight="1"/>
    <row r="17007" ht="15.75" hidden="1" customHeight="1"/>
    <row r="17008" ht="15.75" hidden="1" customHeight="1"/>
    <row r="17009" ht="15.75" hidden="1" customHeight="1"/>
    <row r="17010" ht="15.75" hidden="1" customHeight="1"/>
    <row r="17011" ht="15.75" hidden="1" customHeight="1"/>
    <row r="17012" ht="15.75" hidden="1" customHeight="1"/>
    <row r="17013" ht="15.75" hidden="1" customHeight="1"/>
    <row r="17014" ht="15.75" hidden="1" customHeight="1"/>
    <row r="17015" ht="15.75" hidden="1" customHeight="1"/>
    <row r="17016" ht="15.75" hidden="1" customHeight="1"/>
    <row r="17017" ht="15.75" hidden="1" customHeight="1"/>
    <row r="17018" ht="15.75" hidden="1" customHeight="1"/>
    <row r="17019" ht="15.75" hidden="1" customHeight="1"/>
    <row r="17020" ht="15.75" hidden="1" customHeight="1"/>
    <row r="17021" ht="15.75" hidden="1" customHeight="1"/>
    <row r="17022" ht="15.75" hidden="1" customHeight="1"/>
    <row r="17023" ht="15.75" hidden="1" customHeight="1"/>
    <row r="17024" ht="15.75" hidden="1" customHeight="1"/>
    <row r="17025" ht="15.75" hidden="1" customHeight="1"/>
    <row r="17026" ht="15.75" hidden="1" customHeight="1"/>
    <row r="17027" ht="15.75" hidden="1" customHeight="1"/>
    <row r="17028" ht="15.75" hidden="1" customHeight="1"/>
    <row r="17029" ht="15.75" hidden="1" customHeight="1"/>
    <row r="17030" ht="15.75" hidden="1" customHeight="1"/>
    <row r="17031" ht="15.75" hidden="1" customHeight="1"/>
    <row r="17032" ht="15.75" hidden="1" customHeight="1"/>
    <row r="17033" ht="15.75" hidden="1" customHeight="1"/>
    <row r="17034" ht="15.75" hidden="1" customHeight="1"/>
    <row r="17035" ht="15.75" hidden="1" customHeight="1"/>
    <row r="17036" ht="15.75" hidden="1" customHeight="1"/>
    <row r="17037" ht="15.75" hidden="1" customHeight="1"/>
    <row r="17038" ht="15.75" hidden="1" customHeight="1"/>
    <row r="17039" ht="15.75" hidden="1" customHeight="1"/>
    <row r="17040" ht="15.75" hidden="1" customHeight="1"/>
    <row r="17041" ht="15.75" hidden="1" customHeight="1"/>
    <row r="17042" ht="15.75" hidden="1" customHeight="1"/>
    <row r="17043" ht="15.75" hidden="1" customHeight="1"/>
    <row r="17044" ht="15.75" hidden="1" customHeight="1"/>
    <row r="17045" ht="15.75" hidden="1" customHeight="1"/>
    <row r="17046" ht="15.75" hidden="1" customHeight="1"/>
    <row r="17047" ht="15.75" hidden="1" customHeight="1"/>
    <row r="17048" ht="15.75" hidden="1" customHeight="1"/>
    <row r="17049" ht="15.75" hidden="1" customHeight="1"/>
    <row r="17050" ht="15.75" hidden="1" customHeight="1"/>
    <row r="17051" ht="15.75" hidden="1" customHeight="1"/>
    <row r="17052" ht="15.75" hidden="1" customHeight="1"/>
    <row r="17053" ht="15.75" hidden="1" customHeight="1"/>
    <row r="17054" ht="15.75" hidden="1" customHeight="1"/>
    <row r="17055" ht="15.75" hidden="1" customHeight="1"/>
    <row r="17056" ht="15.75" hidden="1" customHeight="1"/>
    <row r="17057" ht="15.75" hidden="1" customHeight="1"/>
    <row r="17058" ht="15.75" hidden="1" customHeight="1"/>
    <row r="17059" ht="15.75" hidden="1" customHeight="1"/>
    <row r="17060" ht="15.75" hidden="1" customHeight="1"/>
    <row r="17061" ht="15.75" hidden="1" customHeight="1"/>
    <row r="17062" ht="15.75" hidden="1" customHeight="1"/>
    <row r="17063" ht="15.75" hidden="1" customHeight="1"/>
    <row r="17064" ht="15.75" hidden="1" customHeight="1"/>
    <row r="17065" ht="15.75" hidden="1" customHeight="1"/>
    <row r="17066" ht="15.75" hidden="1" customHeight="1"/>
    <row r="17067" ht="15.75" hidden="1" customHeight="1"/>
    <row r="17068" ht="15.75" hidden="1" customHeight="1"/>
    <row r="17069" ht="15.75" hidden="1" customHeight="1"/>
    <row r="17070" ht="15.75" hidden="1" customHeight="1"/>
    <row r="17071" ht="15.75" hidden="1" customHeight="1"/>
    <row r="17072" ht="15.75" hidden="1" customHeight="1"/>
    <row r="17073" ht="15.75" hidden="1" customHeight="1"/>
    <row r="17074" ht="15.75" hidden="1" customHeight="1"/>
    <row r="17075" ht="15.75" hidden="1" customHeight="1"/>
    <row r="17076" ht="15.75" hidden="1" customHeight="1"/>
    <row r="17077" ht="15.75" hidden="1" customHeight="1"/>
    <row r="17078" ht="15.75" hidden="1" customHeight="1"/>
    <row r="17079" ht="15.75" hidden="1" customHeight="1"/>
    <row r="17080" ht="15.75" hidden="1" customHeight="1"/>
    <row r="17081" ht="15.75" hidden="1" customHeight="1"/>
    <row r="17082" ht="15.75" hidden="1" customHeight="1"/>
    <row r="17083" ht="15.75" hidden="1" customHeight="1"/>
    <row r="17084" ht="15.75" hidden="1" customHeight="1"/>
    <row r="17085" ht="15.75" hidden="1" customHeight="1"/>
    <row r="17086" ht="15.75" hidden="1" customHeight="1"/>
    <row r="17087" ht="15.75" hidden="1" customHeight="1"/>
    <row r="17088" ht="15.75" hidden="1" customHeight="1"/>
    <row r="17089" ht="15.75" hidden="1" customHeight="1"/>
    <row r="17090" ht="15.75" hidden="1" customHeight="1"/>
    <row r="17091" ht="15.75" hidden="1" customHeight="1"/>
    <row r="17092" ht="15.75" hidden="1" customHeight="1"/>
    <row r="17093" ht="15.75" hidden="1" customHeight="1"/>
    <row r="17094" ht="15.75" hidden="1" customHeight="1"/>
    <row r="17095" ht="15.75" hidden="1" customHeight="1"/>
    <row r="17096" ht="15.75" hidden="1" customHeight="1"/>
    <row r="17097" ht="15.75" hidden="1" customHeight="1"/>
    <row r="17098" ht="15.75" hidden="1" customHeight="1"/>
    <row r="17099" ht="15.75" hidden="1" customHeight="1"/>
    <row r="17100" ht="15.75" hidden="1" customHeight="1"/>
    <row r="17101" ht="15.75" hidden="1" customHeight="1"/>
    <row r="17102" ht="15.75" hidden="1" customHeight="1"/>
    <row r="17103" ht="15.75" hidden="1" customHeight="1"/>
    <row r="17104" ht="15.75" hidden="1" customHeight="1"/>
    <row r="17105" ht="15.75" hidden="1" customHeight="1"/>
    <row r="17106" ht="15.75" hidden="1" customHeight="1"/>
    <row r="17107" ht="15.75" hidden="1" customHeight="1"/>
    <row r="17108" ht="15.75" hidden="1" customHeight="1"/>
    <row r="17109" ht="15.75" hidden="1" customHeight="1"/>
    <row r="17110" ht="15.75" hidden="1" customHeight="1"/>
    <row r="17111" ht="15.75" hidden="1" customHeight="1"/>
    <row r="17112" ht="15.75" hidden="1" customHeight="1"/>
    <row r="17113" ht="15.75" hidden="1" customHeight="1"/>
    <row r="17114" ht="15.75" hidden="1" customHeight="1"/>
    <row r="17115" ht="15.75" hidden="1" customHeight="1"/>
    <row r="17116" ht="15.75" hidden="1" customHeight="1"/>
    <row r="17117" ht="15.75" hidden="1" customHeight="1"/>
    <row r="17118" ht="15.75" hidden="1" customHeight="1"/>
    <row r="17119" ht="15.75" hidden="1" customHeight="1"/>
    <row r="17120" ht="15.75" hidden="1" customHeight="1"/>
    <row r="17121" ht="15.75" hidden="1" customHeight="1"/>
    <row r="17122" ht="15.75" hidden="1" customHeight="1"/>
    <row r="17123" ht="15.75" hidden="1" customHeight="1"/>
    <row r="17124" ht="15.75" hidden="1" customHeight="1"/>
    <row r="17125" ht="15.75" hidden="1" customHeight="1"/>
    <row r="17126" ht="15.75" hidden="1" customHeight="1"/>
    <row r="17127" ht="15.75" hidden="1" customHeight="1"/>
    <row r="17128" ht="15.75" hidden="1" customHeight="1"/>
    <row r="17129" ht="15.75" hidden="1" customHeight="1"/>
    <row r="17130" ht="15.75" hidden="1" customHeight="1"/>
    <row r="17131" ht="15.75" hidden="1" customHeight="1"/>
    <row r="17132" ht="15.75" hidden="1" customHeight="1"/>
    <row r="17133" ht="15.75" hidden="1" customHeight="1"/>
    <row r="17134" ht="15.75" hidden="1" customHeight="1"/>
    <row r="17135" ht="15.75" hidden="1" customHeight="1"/>
    <row r="17136" ht="15.75" hidden="1" customHeight="1"/>
    <row r="17137" ht="15.75" hidden="1" customHeight="1"/>
    <row r="17138" ht="15.75" hidden="1" customHeight="1"/>
    <row r="17139" ht="15.75" hidden="1" customHeight="1"/>
    <row r="17140" ht="15.75" hidden="1" customHeight="1"/>
    <row r="17141" ht="15.75" hidden="1" customHeight="1"/>
    <row r="17142" ht="15.75" hidden="1" customHeight="1"/>
    <row r="17143" ht="15.75" hidden="1" customHeight="1"/>
    <row r="17144" ht="15.75" hidden="1" customHeight="1"/>
    <row r="17145" ht="15.75" hidden="1" customHeight="1"/>
    <row r="17146" ht="15.75" hidden="1" customHeight="1"/>
    <row r="17147" ht="15.75" hidden="1" customHeight="1"/>
    <row r="17148" ht="15.75" hidden="1" customHeight="1"/>
    <row r="17149" ht="15.75" hidden="1" customHeight="1"/>
    <row r="17150" ht="15.75" hidden="1" customHeight="1"/>
    <row r="17151" ht="15.75" hidden="1" customHeight="1"/>
    <row r="17152" ht="15.75" hidden="1" customHeight="1"/>
    <row r="17153" ht="15.75" hidden="1" customHeight="1"/>
    <row r="17154" ht="15.75" hidden="1" customHeight="1"/>
    <row r="17155" ht="15.75" hidden="1" customHeight="1"/>
    <row r="17156" ht="15.75" hidden="1" customHeight="1"/>
    <row r="17157" ht="15.75" hidden="1" customHeight="1"/>
    <row r="17158" ht="15.75" hidden="1" customHeight="1"/>
    <row r="17159" ht="15.75" hidden="1" customHeight="1"/>
    <row r="17160" ht="15.75" hidden="1" customHeight="1"/>
    <row r="17161" ht="15.75" hidden="1" customHeight="1"/>
    <row r="17162" ht="15.75" hidden="1" customHeight="1"/>
    <row r="17163" ht="15.75" hidden="1" customHeight="1"/>
    <row r="17164" ht="15.75" hidden="1" customHeight="1"/>
    <row r="17165" ht="15.75" hidden="1" customHeight="1"/>
    <row r="17166" ht="15.75" hidden="1" customHeight="1"/>
    <row r="17167" ht="15.75" hidden="1" customHeight="1"/>
    <row r="17168" ht="15.75" hidden="1" customHeight="1"/>
    <row r="17169" ht="15.75" hidden="1" customHeight="1"/>
    <row r="17170" ht="15.75" hidden="1" customHeight="1"/>
    <row r="17171" ht="15.75" hidden="1" customHeight="1"/>
    <row r="17172" ht="15.75" hidden="1" customHeight="1"/>
    <row r="17173" ht="15.75" hidden="1" customHeight="1"/>
    <row r="17174" ht="15.75" hidden="1" customHeight="1"/>
    <row r="17175" ht="15.75" hidden="1" customHeight="1"/>
    <row r="17176" ht="15.75" hidden="1" customHeight="1"/>
    <row r="17177" ht="15.75" hidden="1" customHeight="1"/>
    <row r="17178" ht="15.75" hidden="1" customHeight="1"/>
    <row r="17179" ht="15.75" hidden="1" customHeight="1"/>
    <row r="17180" ht="15.75" hidden="1" customHeight="1"/>
    <row r="17181" ht="15.75" hidden="1" customHeight="1"/>
    <row r="17182" ht="15.75" hidden="1" customHeight="1"/>
    <row r="17183" ht="15.75" hidden="1" customHeight="1"/>
    <row r="17184" ht="15.75" hidden="1" customHeight="1"/>
    <row r="17185" ht="15.75" hidden="1" customHeight="1"/>
    <row r="17186" ht="15.75" hidden="1" customHeight="1"/>
    <row r="17187" ht="15.75" hidden="1" customHeight="1"/>
    <row r="17188" ht="15.75" hidden="1" customHeight="1"/>
    <row r="17189" ht="15.75" hidden="1" customHeight="1"/>
    <row r="17190" ht="15.75" hidden="1" customHeight="1"/>
    <row r="17191" ht="15.75" hidden="1" customHeight="1"/>
    <row r="17192" ht="15.75" hidden="1" customHeight="1"/>
    <row r="17193" ht="15.75" hidden="1" customHeight="1"/>
    <row r="17194" ht="15.75" hidden="1" customHeight="1"/>
    <row r="17195" ht="15.75" hidden="1" customHeight="1"/>
    <row r="17196" ht="15.75" hidden="1" customHeight="1"/>
    <row r="17197" ht="15.75" hidden="1" customHeight="1"/>
    <row r="17198" ht="15.75" hidden="1" customHeight="1"/>
    <row r="17199" ht="15.75" hidden="1" customHeight="1"/>
    <row r="17200" ht="15.75" hidden="1" customHeight="1"/>
    <row r="17201" ht="15.75" hidden="1" customHeight="1"/>
    <row r="17202" ht="15.75" hidden="1" customHeight="1"/>
    <row r="17203" ht="15.75" hidden="1" customHeight="1"/>
    <row r="17204" ht="15.75" hidden="1" customHeight="1"/>
    <row r="17205" ht="15.75" hidden="1" customHeight="1"/>
    <row r="17206" ht="15.75" hidden="1" customHeight="1"/>
    <row r="17207" ht="15.75" hidden="1" customHeight="1"/>
    <row r="17208" ht="15.75" hidden="1" customHeight="1"/>
    <row r="17209" ht="15.75" hidden="1" customHeight="1"/>
    <row r="17210" ht="15.75" hidden="1" customHeight="1"/>
    <row r="17211" ht="15.75" hidden="1" customHeight="1"/>
    <row r="17212" ht="15.75" hidden="1" customHeight="1"/>
    <row r="17213" ht="15.75" hidden="1" customHeight="1"/>
    <row r="17214" ht="15.75" hidden="1" customHeight="1"/>
    <row r="17215" ht="15.75" hidden="1" customHeight="1"/>
    <row r="17216" ht="15.75" hidden="1" customHeight="1"/>
    <row r="17217" ht="15.75" hidden="1" customHeight="1"/>
    <row r="17218" ht="15.75" hidden="1" customHeight="1"/>
    <row r="17219" ht="15.75" hidden="1" customHeight="1"/>
    <row r="17220" ht="15.75" hidden="1" customHeight="1"/>
    <row r="17221" ht="15.75" hidden="1" customHeight="1"/>
    <row r="17222" ht="15.75" hidden="1" customHeight="1"/>
    <row r="17223" ht="15.75" hidden="1" customHeight="1"/>
    <row r="17224" ht="15.75" hidden="1" customHeight="1"/>
    <row r="17225" ht="15.75" hidden="1" customHeight="1"/>
    <row r="17226" ht="15.75" hidden="1" customHeight="1"/>
    <row r="17227" ht="15.75" hidden="1" customHeight="1"/>
    <row r="17228" ht="15.75" hidden="1" customHeight="1"/>
    <row r="17229" ht="15.75" hidden="1" customHeight="1"/>
    <row r="17230" ht="15.75" hidden="1" customHeight="1"/>
    <row r="17231" ht="15.75" hidden="1" customHeight="1"/>
    <row r="17232" ht="15.75" hidden="1" customHeight="1"/>
    <row r="17233" ht="15.75" hidden="1" customHeight="1"/>
    <row r="17234" ht="15.75" hidden="1" customHeight="1"/>
    <row r="17235" ht="15.75" hidden="1" customHeight="1"/>
    <row r="17236" ht="15.75" hidden="1" customHeight="1"/>
    <row r="17237" ht="15.75" hidden="1" customHeight="1"/>
    <row r="17238" ht="15.75" hidden="1" customHeight="1"/>
    <row r="17239" ht="15.75" hidden="1" customHeight="1"/>
    <row r="17240" ht="15.75" hidden="1" customHeight="1"/>
    <row r="17241" ht="15.75" hidden="1" customHeight="1"/>
    <row r="17242" ht="15.75" hidden="1" customHeight="1"/>
    <row r="17243" ht="15.75" hidden="1" customHeight="1"/>
    <row r="17244" ht="15.75" hidden="1" customHeight="1"/>
    <row r="17245" ht="15.75" hidden="1" customHeight="1"/>
    <row r="17246" ht="15.75" hidden="1" customHeight="1"/>
    <row r="17247" ht="15.75" hidden="1" customHeight="1"/>
    <row r="17248" ht="15.75" hidden="1" customHeight="1"/>
    <row r="17249" ht="15.75" hidden="1" customHeight="1"/>
    <row r="17250" ht="15.75" hidden="1" customHeight="1"/>
    <row r="17251" ht="15.75" hidden="1" customHeight="1"/>
    <row r="17252" ht="15.75" hidden="1" customHeight="1"/>
    <row r="17253" ht="15.75" hidden="1" customHeight="1"/>
    <row r="17254" ht="15.75" hidden="1" customHeight="1"/>
    <row r="17255" ht="15.75" hidden="1" customHeight="1"/>
    <row r="17256" ht="15.75" hidden="1" customHeight="1"/>
    <row r="17257" ht="15.75" hidden="1" customHeight="1"/>
    <row r="17258" ht="15.75" hidden="1" customHeight="1"/>
    <row r="17259" ht="15.75" hidden="1" customHeight="1"/>
    <row r="17260" ht="15.75" hidden="1" customHeight="1"/>
    <row r="17261" ht="15.75" hidden="1" customHeight="1"/>
    <row r="17262" ht="15.75" hidden="1" customHeight="1"/>
    <row r="17263" ht="15.75" hidden="1" customHeight="1"/>
    <row r="17264" ht="15.75" hidden="1" customHeight="1"/>
    <row r="17265" ht="15.75" hidden="1" customHeight="1"/>
    <row r="17266" ht="15.75" hidden="1" customHeight="1"/>
    <row r="17267" ht="15.75" hidden="1" customHeight="1"/>
    <row r="17268" ht="15.75" hidden="1" customHeight="1"/>
    <row r="17269" ht="15.75" hidden="1" customHeight="1"/>
    <row r="17270" ht="15.75" hidden="1" customHeight="1"/>
    <row r="17271" ht="15.75" hidden="1" customHeight="1"/>
    <row r="17272" ht="15.75" hidden="1" customHeight="1"/>
    <row r="17273" ht="15.75" hidden="1" customHeight="1"/>
    <row r="17274" ht="15.75" hidden="1" customHeight="1"/>
    <row r="17275" ht="15.75" hidden="1" customHeight="1"/>
    <row r="17276" ht="15.75" hidden="1" customHeight="1"/>
    <row r="17277" ht="15.75" hidden="1" customHeight="1"/>
    <row r="17278" ht="15.75" hidden="1" customHeight="1"/>
    <row r="17279" ht="15.75" hidden="1" customHeight="1"/>
    <row r="17280" ht="15.75" hidden="1" customHeight="1"/>
    <row r="17281" ht="15.75" hidden="1" customHeight="1"/>
    <row r="17282" ht="15.75" hidden="1" customHeight="1"/>
    <row r="17283" ht="15.75" hidden="1" customHeight="1"/>
    <row r="17284" ht="15.75" hidden="1" customHeight="1"/>
    <row r="17285" ht="15.75" hidden="1" customHeight="1"/>
    <row r="17286" ht="15.75" hidden="1" customHeight="1"/>
    <row r="17287" ht="15.75" hidden="1" customHeight="1"/>
    <row r="17288" ht="15.75" hidden="1" customHeight="1"/>
    <row r="17289" ht="15.75" hidden="1" customHeight="1"/>
    <row r="17290" ht="15.75" hidden="1" customHeight="1"/>
    <row r="17291" ht="15.75" hidden="1" customHeight="1"/>
    <row r="17292" ht="15.75" hidden="1" customHeight="1"/>
    <row r="17293" ht="15.75" hidden="1" customHeight="1"/>
    <row r="17294" ht="15.75" hidden="1" customHeight="1"/>
    <row r="17295" ht="15.75" hidden="1" customHeight="1"/>
    <row r="17296" ht="15.75" hidden="1" customHeight="1"/>
    <row r="17297" ht="15.75" hidden="1" customHeight="1"/>
    <row r="17298" ht="15.75" hidden="1" customHeight="1"/>
    <row r="17299" ht="15.75" hidden="1" customHeight="1"/>
    <row r="17300" ht="15.75" hidden="1" customHeight="1"/>
    <row r="17301" ht="15.75" hidden="1" customHeight="1"/>
    <row r="17302" ht="15.75" hidden="1" customHeight="1"/>
    <row r="17303" ht="15.75" hidden="1" customHeight="1"/>
    <row r="17304" ht="15.75" hidden="1" customHeight="1"/>
    <row r="17305" ht="15.75" hidden="1" customHeight="1"/>
    <row r="17306" ht="15.75" hidden="1" customHeight="1"/>
    <row r="17307" ht="15.75" hidden="1" customHeight="1"/>
    <row r="17308" ht="15.75" hidden="1" customHeight="1"/>
    <row r="17309" ht="15.75" hidden="1" customHeight="1"/>
    <row r="17310" ht="15.75" hidden="1" customHeight="1"/>
    <row r="17311" ht="15.75" hidden="1" customHeight="1"/>
    <row r="17312" ht="15.75" hidden="1" customHeight="1"/>
    <row r="17313" ht="15.75" hidden="1" customHeight="1"/>
    <row r="17314" ht="15.75" hidden="1" customHeight="1"/>
    <row r="17315" ht="15.75" hidden="1" customHeight="1"/>
    <row r="17316" ht="15.75" hidden="1" customHeight="1"/>
    <row r="17317" ht="15.75" hidden="1" customHeight="1"/>
    <row r="17318" ht="15.75" hidden="1" customHeight="1"/>
    <row r="17319" ht="15.75" hidden="1" customHeight="1"/>
    <row r="17320" ht="15.75" hidden="1" customHeight="1"/>
    <row r="17321" ht="15.75" hidden="1" customHeight="1"/>
    <row r="17322" ht="15.75" hidden="1" customHeight="1"/>
    <row r="17323" ht="15.75" hidden="1" customHeight="1"/>
    <row r="17324" ht="15.75" hidden="1" customHeight="1"/>
    <row r="17325" ht="15.75" hidden="1" customHeight="1"/>
    <row r="17326" ht="15.75" hidden="1" customHeight="1"/>
    <row r="17327" ht="15.75" hidden="1" customHeight="1"/>
    <row r="17328" ht="15.75" hidden="1" customHeight="1"/>
    <row r="17329" ht="15.75" hidden="1" customHeight="1"/>
    <row r="17330" ht="15.75" hidden="1" customHeight="1"/>
    <row r="17331" ht="15.75" hidden="1" customHeight="1"/>
    <row r="17332" ht="15.75" hidden="1" customHeight="1"/>
    <row r="17333" ht="15.75" hidden="1" customHeight="1"/>
    <row r="17334" ht="15.75" hidden="1" customHeight="1"/>
    <row r="17335" ht="15.75" hidden="1" customHeight="1"/>
    <row r="17336" ht="15.75" hidden="1" customHeight="1"/>
    <row r="17337" ht="15.75" hidden="1" customHeight="1"/>
    <row r="17338" ht="15.75" hidden="1" customHeight="1"/>
    <row r="17339" ht="15.75" hidden="1" customHeight="1"/>
    <row r="17340" ht="15.75" hidden="1" customHeight="1"/>
    <row r="17341" ht="15.75" hidden="1" customHeight="1"/>
    <row r="17342" ht="15.75" hidden="1" customHeight="1"/>
    <row r="17343" ht="15.75" hidden="1" customHeight="1"/>
    <row r="17344" ht="15.75" hidden="1" customHeight="1"/>
    <row r="17345" ht="15.75" hidden="1" customHeight="1"/>
    <row r="17346" ht="15.75" hidden="1" customHeight="1"/>
    <row r="17347" ht="15.75" hidden="1" customHeight="1"/>
    <row r="17348" ht="15.75" hidden="1" customHeight="1"/>
    <row r="17349" ht="15.75" hidden="1" customHeight="1"/>
    <row r="17350" ht="15.75" hidden="1" customHeight="1"/>
    <row r="17351" ht="15.75" hidden="1" customHeight="1"/>
    <row r="17352" ht="15.75" hidden="1" customHeight="1"/>
    <row r="17353" ht="15.75" hidden="1" customHeight="1"/>
    <row r="17354" ht="15.75" hidden="1" customHeight="1"/>
    <row r="17355" ht="15.75" hidden="1" customHeight="1"/>
    <row r="17356" ht="15.75" hidden="1" customHeight="1"/>
    <row r="17357" ht="15.75" hidden="1" customHeight="1"/>
    <row r="17358" ht="15.75" hidden="1" customHeight="1"/>
    <row r="17359" ht="15.75" hidden="1" customHeight="1"/>
    <row r="17360" ht="15.75" hidden="1" customHeight="1"/>
    <row r="17361" ht="15.75" hidden="1" customHeight="1"/>
    <row r="17362" ht="15.75" hidden="1" customHeight="1"/>
    <row r="17363" ht="15.75" hidden="1" customHeight="1"/>
    <row r="17364" ht="15.75" hidden="1" customHeight="1"/>
    <row r="17365" ht="15.75" hidden="1" customHeight="1"/>
    <row r="17366" ht="15.75" hidden="1" customHeight="1"/>
    <row r="17367" ht="15.75" hidden="1" customHeight="1"/>
    <row r="17368" ht="15.75" hidden="1" customHeight="1"/>
    <row r="17369" ht="15.75" hidden="1" customHeight="1"/>
    <row r="17370" ht="15.75" hidden="1" customHeight="1"/>
    <row r="17371" ht="15.75" hidden="1" customHeight="1"/>
    <row r="17372" ht="15.75" hidden="1" customHeight="1"/>
    <row r="17373" ht="15.75" hidden="1" customHeight="1"/>
    <row r="17374" ht="15.75" hidden="1" customHeight="1"/>
    <row r="17375" ht="15.75" hidden="1" customHeight="1"/>
    <row r="17376" ht="15.75" hidden="1" customHeight="1"/>
    <row r="17377" ht="15.75" hidden="1" customHeight="1"/>
    <row r="17378" ht="15.75" hidden="1" customHeight="1"/>
    <row r="17379" ht="15.75" hidden="1" customHeight="1"/>
    <row r="17380" ht="15.75" hidden="1" customHeight="1"/>
    <row r="17381" ht="15.75" hidden="1" customHeight="1"/>
    <row r="17382" ht="15.75" hidden="1" customHeight="1"/>
    <row r="17383" ht="15.75" hidden="1" customHeight="1"/>
    <row r="17384" ht="15.75" hidden="1" customHeight="1"/>
    <row r="17385" ht="15.75" hidden="1" customHeight="1"/>
    <row r="17386" ht="15.75" hidden="1" customHeight="1"/>
    <row r="17387" ht="15.75" hidden="1" customHeight="1"/>
    <row r="17388" ht="15.75" hidden="1" customHeight="1"/>
    <row r="17389" ht="15.75" hidden="1" customHeight="1"/>
    <row r="17390" ht="15.75" hidden="1" customHeight="1"/>
    <row r="17391" ht="15.75" hidden="1" customHeight="1"/>
    <row r="17392" ht="15.75" hidden="1" customHeight="1"/>
    <row r="17393" ht="15.75" hidden="1" customHeight="1"/>
    <row r="17394" ht="15.75" hidden="1" customHeight="1"/>
    <row r="17395" ht="15.75" hidden="1" customHeight="1"/>
    <row r="17396" ht="15.75" hidden="1" customHeight="1"/>
    <row r="17397" ht="15.75" hidden="1" customHeight="1"/>
    <row r="17398" ht="15.75" hidden="1" customHeight="1"/>
    <row r="17399" ht="15.75" hidden="1" customHeight="1"/>
    <row r="17400" ht="15.75" hidden="1" customHeight="1"/>
    <row r="17401" ht="15.75" hidden="1" customHeight="1"/>
    <row r="17402" ht="15.75" hidden="1" customHeight="1"/>
    <row r="17403" ht="15.75" hidden="1" customHeight="1"/>
    <row r="17404" ht="15.75" hidden="1" customHeight="1"/>
    <row r="17405" ht="15.75" hidden="1" customHeight="1"/>
    <row r="17406" ht="15.75" hidden="1" customHeight="1"/>
    <row r="17407" ht="15.75" hidden="1" customHeight="1"/>
    <row r="17408" ht="15.75" hidden="1" customHeight="1"/>
    <row r="17409" ht="15.75" hidden="1" customHeight="1"/>
    <row r="17410" ht="15.75" hidden="1" customHeight="1"/>
    <row r="17411" ht="15.75" hidden="1" customHeight="1"/>
    <row r="17412" ht="15.75" hidden="1" customHeight="1"/>
    <row r="17413" ht="15.75" hidden="1" customHeight="1"/>
    <row r="17414" ht="15.75" hidden="1" customHeight="1"/>
    <row r="17415" ht="15.75" hidden="1" customHeight="1"/>
    <row r="17416" ht="15.75" hidden="1" customHeight="1"/>
    <row r="17417" ht="15.75" hidden="1" customHeight="1"/>
    <row r="17418" ht="15.75" hidden="1" customHeight="1"/>
    <row r="17419" ht="15.75" hidden="1" customHeight="1"/>
    <row r="17420" ht="15.75" hidden="1" customHeight="1"/>
    <row r="17421" ht="15.75" hidden="1" customHeight="1"/>
    <row r="17422" ht="15.75" hidden="1" customHeight="1"/>
    <row r="17423" ht="15.75" hidden="1" customHeight="1"/>
    <row r="17424" ht="15.75" hidden="1" customHeight="1"/>
    <row r="17425" ht="15.75" hidden="1" customHeight="1"/>
    <row r="17426" ht="15.75" hidden="1" customHeight="1"/>
    <row r="17427" ht="15.75" hidden="1" customHeight="1"/>
    <row r="17428" ht="15.75" hidden="1" customHeight="1"/>
    <row r="17429" ht="15.75" hidden="1" customHeight="1"/>
    <row r="17430" ht="15.75" hidden="1" customHeight="1"/>
    <row r="17431" ht="15.75" hidden="1" customHeight="1"/>
    <row r="17432" ht="15.75" hidden="1" customHeight="1"/>
    <row r="17433" ht="15.75" hidden="1" customHeight="1"/>
    <row r="17434" ht="15.75" hidden="1" customHeight="1"/>
    <row r="17435" ht="15.75" hidden="1" customHeight="1"/>
    <row r="17436" ht="15.75" hidden="1" customHeight="1"/>
    <row r="17437" ht="15.75" hidden="1" customHeight="1"/>
    <row r="17438" ht="15.75" hidden="1" customHeight="1"/>
    <row r="17439" ht="15.75" hidden="1" customHeight="1"/>
    <row r="17440" ht="15.75" hidden="1" customHeight="1"/>
    <row r="17441" ht="15.75" hidden="1" customHeight="1"/>
    <row r="17442" ht="15.75" hidden="1" customHeight="1"/>
    <row r="17443" ht="15.75" hidden="1" customHeight="1"/>
    <row r="17444" ht="15.75" hidden="1" customHeight="1"/>
    <row r="17445" ht="15.75" hidden="1" customHeight="1"/>
    <row r="17446" ht="15.75" hidden="1" customHeight="1"/>
    <row r="17447" ht="15.75" hidden="1" customHeight="1"/>
    <row r="17448" ht="15.75" hidden="1" customHeight="1"/>
    <row r="17449" ht="15.75" hidden="1" customHeight="1"/>
    <row r="17450" ht="15.75" hidden="1" customHeight="1"/>
    <row r="17451" ht="15.75" hidden="1" customHeight="1"/>
    <row r="17452" ht="15.75" hidden="1" customHeight="1"/>
    <row r="17453" ht="15.75" hidden="1" customHeight="1"/>
    <row r="17454" ht="15.75" hidden="1" customHeight="1"/>
    <row r="17455" ht="15.75" hidden="1" customHeight="1"/>
    <row r="17456" ht="15.75" hidden="1" customHeight="1"/>
    <row r="17457" ht="15.75" hidden="1" customHeight="1"/>
    <row r="17458" ht="15.75" hidden="1" customHeight="1"/>
    <row r="17459" ht="15.75" hidden="1" customHeight="1"/>
    <row r="17460" ht="15.75" hidden="1" customHeight="1"/>
    <row r="17461" ht="15.75" hidden="1" customHeight="1"/>
    <row r="17462" ht="15.75" hidden="1" customHeight="1"/>
    <row r="17463" ht="15.75" hidden="1" customHeight="1"/>
    <row r="17464" ht="15.75" hidden="1" customHeight="1"/>
    <row r="17465" ht="15.75" hidden="1" customHeight="1"/>
    <row r="17466" ht="15.75" hidden="1" customHeight="1"/>
    <row r="17467" ht="15.75" hidden="1" customHeight="1"/>
    <row r="17468" ht="15.75" hidden="1" customHeight="1"/>
    <row r="17469" ht="15.75" hidden="1" customHeight="1"/>
    <row r="17470" ht="15.75" hidden="1" customHeight="1"/>
    <row r="17471" ht="15.75" hidden="1" customHeight="1"/>
    <row r="17472" ht="15.75" hidden="1" customHeight="1"/>
    <row r="17473" ht="15.75" hidden="1" customHeight="1"/>
    <row r="17474" ht="15.75" hidden="1" customHeight="1"/>
    <row r="17475" ht="15.75" hidden="1" customHeight="1"/>
    <row r="17476" ht="15.75" hidden="1" customHeight="1"/>
    <row r="17477" ht="15.75" hidden="1" customHeight="1"/>
    <row r="17478" ht="15.75" hidden="1" customHeight="1"/>
    <row r="17479" ht="15.75" hidden="1" customHeight="1"/>
    <row r="17480" ht="15.75" hidden="1" customHeight="1"/>
    <row r="17481" ht="15.75" hidden="1" customHeight="1"/>
    <row r="17482" ht="15.75" hidden="1" customHeight="1"/>
    <row r="17483" ht="15.75" hidden="1" customHeight="1"/>
    <row r="17484" ht="15.75" hidden="1" customHeight="1"/>
    <row r="17485" ht="15.75" hidden="1" customHeight="1"/>
    <row r="17486" ht="15.75" hidden="1" customHeight="1"/>
    <row r="17487" ht="15.75" hidden="1" customHeight="1"/>
    <row r="17488" ht="15.75" hidden="1" customHeight="1"/>
    <row r="17489" ht="15.75" hidden="1" customHeight="1"/>
    <row r="17490" ht="15.75" hidden="1" customHeight="1"/>
    <row r="17491" ht="15.75" hidden="1" customHeight="1"/>
    <row r="17492" ht="15.75" hidden="1" customHeight="1"/>
    <row r="17493" ht="15.75" hidden="1" customHeight="1"/>
    <row r="17494" ht="15.75" hidden="1" customHeight="1"/>
    <row r="17495" ht="15.75" hidden="1" customHeight="1"/>
    <row r="17496" ht="15.75" hidden="1" customHeight="1"/>
    <row r="17497" ht="15.75" hidden="1" customHeight="1"/>
    <row r="17498" ht="15.75" hidden="1" customHeight="1"/>
    <row r="17499" ht="15.75" hidden="1" customHeight="1"/>
    <row r="17500" ht="15.75" hidden="1" customHeight="1"/>
    <row r="17501" ht="15.75" hidden="1" customHeight="1"/>
    <row r="17502" ht="15.75" hidden="1" customHeight="1"/>
    <row r="17503" ht="15.75" hidden="1" customHeight="1"/>
    <row r="17504" ht="15.75" hidden="1" customHeight="1"/>
    <row r="17505" ht="15.75" hidden="1" customHeight="1"/>
    <row r="17506" ht="15.75" hidden="1" customHeight="1"/>
    <row r="17507" ht="15.75" hidden="1" customHeight="1"/>
    <row r="17508" ht="15.75" hidden="1" customHeight="1"/>
    <row r="17509" ht="15.75" hidden="1" customHeight="1"/>
    <row r="17510" ht="15.75" hidden="1" customHeight="1"/>
    <row r="17511" ht="15.75" hidden="1" customHeight="1"/>
    <row r="17512" ht="15.75" hidden="1" customHeight="1"/>
    <row r="17513" ht="15.75" hidden="1" customHeight="1"/>
    <row r="17514" ht="15.75" hidden="1" customHeight="1"/>
    <row r="17515" ht="15.75" hidden="1" customHeight="1"/>
    <row r="17516" ht="15.75" hidden="1" customHeight="1"/>
    <row r="17517" ht="15.75" hidden="1" customHeight="1"/>
    <row r="17518" ht="15.75" hidden="1" customHeight="1"/>
    <row r="17519" ht="15.75" hidden="1" customHeight="1"/>
    <row r="17520" ht="15.75" hidden="1" customHeight="1"/>
    <row r="17521" ht="15.75" hidden="1" customHeight="1"/>
    <row r="17522" ht="15.75" hidden="1" customHeight="1"/>
    <row r="17523" ht="15.75" hidden="1" customHeight="1"/>
    <row r="17524" ht="15.75" hidden="1" customHeight="1"/>
    <row r="17525" ht="15.75" hidden="1" customHeight="1"/>
    <row r="17526" ht="15.75" hidden="1" customHeight="1"/>
    <row r="17527" ht="15.75" hidden="1" customHeight="1"/>
    <row r="17528" ht="15.75" hidden="1" customHeight="1"/>
    <row r="17529" ht="15.75" hidden="1" customHeight="1"/>
    <row r="17530" ht="15.75" hidden="1" customHeight="1"/>
    <row r="17531" ht="15.75" hidden="1" customHeight="1"/>
    <row r="17532" ht="15.75" hidden="1" customHeight="1"/>
    <row r="17533" ht="15.75" hidden="1" customHeight="1"/>
    <row r="17534" ht="15.75" hidden="1" customHeight="1"/>
    <row r="17535" ht="15.75" hidden="1" customHeight="1"/>
    <row r="17536" ht="15.75" hidden="1" customHeight="1"/>
    <row r="17537" ht="15.75" hidden="1" customHeight="1"/>
    <row r="17538" ht="15.75" hidden="1" customHeight="1"/>
    <row r="17539" ht="15.75" hidden="1" customHeight="1"/>
    <row r="17540" ht="15.75" hidden="1" customHeight="1"/>
    <row r="17541" ht="15.75" hidden="1" customHeight="1"/>
    <row r="17542" ht="15.75" hidden="1" customHeight="1"/>
    <row r="17543" ht="15.75" hidden="1" customHeight="1"/>
    <row r="17544" ht="15.75" hidden="1" customHeight="1"/>
    <row r="17545" ht="15.75" hidden="1" customHeight="1"/>
    <row r="17546" ht="15.75" hidden="1" customHeight="1"/>
    <row r="17547" ht="15.75" hidden="1" customHeight="1"/>
    <row r="17548" ht="15.75" hidden="1" customHeight="1"/>
    <row r="17549" ht="15.75" hidden="1" customHeight="1"/>
    <row r="17550" ht="15.75" hidden="1" customHeight="1"/>
    <row r="17551" ht="15.75" hidden="1" customHeight="1"/>
    <row r="17552" ht="15.75" hidden="1" customHeight="1"/>
    <row r="17553" ht="15.75" hidden="1" customHeight="1"/>
    <row r="17554" ht="15.75" hidden="1" customHeight="1"/>
    <row r="17555" ht="15.75" hidden="1" customHeight="1"/>
    <row r="17556" ht="15.75" hidden="1" customHeight="1"/>
    <row r="17557" ht="15.75" hidden="1" customHeight="1"/>
    <row r="17558" ht="15.75" hidden="1" customHeight="1"/>
    <row r="17559" ht="15.75" hidden="1" customHeight="1"/>
    <row r="17560" ht="15.75" hidden="1" customHeight="1"/>
    <row r="17561" ht="15.75" hidden="1" customHeight="1"/>
    <row r="17562" ht="15.75" hidden="1" customHeight="1"/>
    <row r="17563" ht="15.75" hidden="1" customHeight="1"/>
    <row r="17564" ht="15.75" hidden="1" customHeight="1"/>
    <row r="17565" ht="15.75" hidden="1" customHeight="1"/>
    <row r="17566" ht="15.75" hidden="1" customHeight="1"/>
    <row r="17567" ht="15.75" hidden="1" customHeight="1"/>
    <row r="17568" ht="15.75" hidden="1" customHeight="1"/>
    <row r="17569" ht="15.75" hidden="1" customHeight="1"/>
    <row r="17570" ht="15.75" hidden="1" customHeight="1"/>
    <row r="17571" ht="15.75" hidden="1" customHeight="1"/>
    <row r="17572" ht="15.75" hidden="1" customHeight="1"/>
    <row r="17573" ht="15.75" hidden="1" customHeight="1"/>
    <row r="17574" ht="15.75" hidden="1" customHeight="1"/>
    <row r="17575" ht="15.75" hidden="1" customHeight="1"/>
    <row r="17576" ht="15.75" hidden="1" customHeight="1"/>
    <row r="17577" ht="15.75" hidden="1" customHeight="1"/>
    <row r="17578" ht="15.75" hidden="1" customHeight="1"/>
    <row r="17579" ht="15.75" hidden="1" customHeight="1"/>
    <row r="17580" ht="15.75" hidden="1" customHeight="1"/>
    <row r="17581" ht="15.75" hidden="1" customHeight="1"/>
    <row r="17582" ht="15.75" hidden="1" customHeight="1"/>
    <row r="17583" ht="15.75" hidden="1" customHeight="1"/>
    <row r="17584" ht="15.75" hidden="1" customHeight="1"/>
    <row r="17585" ht="15.75" hidden="1" customHeight="1"/>
    <row r="17586" ht="15.75" hidden="1" customHeight="1"/>
    <row r="17587" ht="15.75" hidden="1" customHeight="1"/>
    <row r="17588" ht="15.75" hidden="1" customHeight="1"/>
    <row r="17589" ht="15.75" hidden="1" customHeight="1"/>
    <row r="17590" ht="15.75" hidden="1" customHeight="1"/>
    <row r="17591" ht="15.75" hidden="1" customHeight="1"/>
    <row r="17592" ht="15.75" hidden="1" customHeight="1"/>
    <row r="17593" ht="15.75" hidden="1" customHeight="1"/>
    <row r="17594" ht="15.75" hidden="1" customHeight="1"/>
    <row r="17595" ht="15.75" hidden="1" customHeight="1"/>
    <row r="17596" ht="15.75" hidden="1" customHeight="1"/>
    <row r="17597" ht="15.75" hidden="1" customHeight="1"/>
    <row r="17598" ht="15.75" hidden="1" customHeight="1"/>
    <row r="17599" ht="15.75" hidden="1" customHeight="1"/>
    <row r="17600" ht="15.75" hidden="1" customHeight="1"/>
    <row r="17601" ht="15.75" hidden="1" customHeight="1"/>
    <row r="17602" ht="15.75" hidden="1" customHeight="1"/>
    <row r="17603" ht="15.75" hidden="1" customHeight="1"/>
    <row r="17604" ht="15.75" hidden="1" customHeight="1"/>
    <row r="17605" ht="15.75" hidden="1" customHeight="1"/>
    <row r="17606" ht="15.75" hidden="1" customHeight="1"/>
    <row r="17607" ht="15.75" hidden="1" customHeight="1"/>
    <row r="17608" ht="15.75" hidden="1" customHeight="1"/>
    <row r="17609" ht="15.75" hidden="1" customHeight="1"/>
    <row r="17610" ht="15.75" hidden="1" customHeight="1"/>
    <row r="17611" ht="15.75" hidden="1" customHeight="1"/>
    <row r="17612" ht="15.75" hidden="1" customHeight="1"/>
    <row r="17613" ht="15.75" hidden="1" customHeight="1"/>
    <row r="17614" ht="15.75" hidden="1" customHeight="1"/>
    <row r="17615" ht="15.75" hidden="1" customHeight="1"/>
    <row r="17616" ht="15.75" hidden="1" customHeight="1"/>
    <row r="17617" ht="15.75" hidden="1" customHeight="1"/>
    <row r="17618" ht="15.75" hidden="1" customHeight="1"/>
    <row r="17619" ht="15.75" hidden="1" customHeight="1"/>
    <row r="17620" ht="15.75" hidden="1" customHeight="1"/>
    <row r="17621" ht="15.75" hidden="1" customHeight="1"/>
    <row r="17622" ht="15.75" hidden="1" customHeight="1"/>
    <row r="17623" ht="15.75" hidden="1" customHeight="1"/>
    <row r="17624" ht="15.75" hidden="1" customHeight="1"/>
    <row r="17625" ht="15.75" hidden="1" customHeight="1"/>
    <row r="17626" ht="15.75" hidden="1" customHeight="1"/>
    <row r="17627" ht="15.75" hidden="1" customHeight="1"/>
    <row r="17628" ht="15.75" hidden="1" customHeight="1"/>
    <row r="17629" ht="15.75" hidden="1" customHeight="1"/>
    <row r="17630" ht="15.75" hidden="1" customHeight="1"/>
    <row r="17631" ht="15.75" hidden="1" customHeight="1"/>
    <row r="17632" ht="15.75" hidden="1" customHeight="1"/>
    <row r="17633" ht="15.75" hidden="1" customHeight="1"/>
    <row r="17634" ht="15.75" hidden="1" customHeight="1"/>
    <row r="17635" ht="15.75" hidden="1" customHeight="1"/>
    <row r="17636" ht="15.75" hidden="1" customHeight="1"/>
    <row r="17637" ht="15.75" hidden="1" customHeight="1"/>
    <row r="17638" ht="15.75" hidden="1" customHeight="1"/>
    <row r="17639" ht="15.75" hidden="1" customHeight="1"/>
    <row r="17640" ht="15.75" hidden="1" customHeight="1"/>
    <row r="17641" ht="15.75" hidden="1" customHeight="1"/>
    <row r="17642" ht="15.75" hidden="1" customHeight="1"/>
    <row r="17643" ht="15.75" hidden="1" customHeight="1"/>
    <row r="17644" ht="15.75" hidden="1" customHeight="1"/>
    <row r="17645" ht="15.75" hidden="1" customHeight="1"/>
    <row r="17646" ht="15.75" hidden="1" customHeight="1"/>
    <row r="17647" ht="15.75" hidden="1" customHeight="1"/>
    <row r="17648" ht="15.75" hidden="1" customHeight="1"/>
    <row r="17649" ht="15.75" hidden="1" customHeight="1"/>
    <row r="17650" ht="15.75" hidden="1" customHeight="1"/>
    <row r="17651" ht="15.75" hidden="1" customHeight="1"/>
    <row r="17652" ht="15.75" hidden="1" customHeight="1"/>
    <row r="17653" ht="15.75" hidden="1" customHeight="1"/>
    <row r="17654" ht="15.75" hidden="1" customHeight="1"/>
    <row r="17655" ht="15.75" hidden="1" customHeight="1"/>
    <row r="17656" ht="15.75" hidden="1" customHeight="1"/>
    <row r="17657" ht="15.75" hidden="1" customHeight="1"/>
    <row r="17658" ht="15.75" hidden="1" customHeight="1"/>
    <row r="17659" ht="15.75" hidden="1" customHeight="1"/>
    <row r="17660" ht="15.75" hidden="1" customHeight="1"/>
    <row r="17661" ht="15.75" hidden="1" customHeight="1"/>
    <row r="17662" ht="15.75" hidden="1" customHeight="1"/>
    <row r="17663" ht="15.75" hidden="1" customHeight="1"/>
    <row r="17664" ht="15.75" hidden="1" customHeight="1"/>
    <row r="17665" ht="15.75" hidden="1" customHeight="1"/>
    <row r="17666" ht="15.75" hidden="1" customHeight="1"/>
    <row r="17667" ht="15.75" hidden="1" customHeight="1"/>
    <row r="17668" ht="15.75" hidden="1" customHeight="1"/>
    <row r="17669" ht="15.75" hidden="1" customHeight="1"/>
    <row r="17670" ht="15.75" hidden="1" customHeight="1"/>
    <row r="17671" ht="15.75" hidden="1" customHeight="1"/>
    <row r="17672" ht="15.75" hidden="1" customHeight="1"/>
    <row r="17673" ht="15.75" hidden="1" customHeight="1"/>
    <row r="17674" ht="15.75" hidden="1" customHeight="1"/>
    <row r="17675" ht="15.75" hidden="1" customHeight="1"/>
    <row r="17676" ht="15.75" hidden="1" customHeight="1"/>
    <row r="17677" ht="15.75" hidden="1" customHeight="1"/>
    <row r="17678" ht="15.75" hidden="1" customHeight="1"/>
    <row r="17679" ht="15.75" hidden="1" customHeight="1"/>
    <row r="17680" ht="15.75" hidden="1" customHeight="1"/>
    <row r="17681" ht="15.75" hidden="1" customHeight="1"/>
    <row r="17682" ht="15.75" hidden="1" customHeight="1"/>
    <row r="17683" ht="15.75" hidden="1" customHeight="1"/>
    <row r="17684" ht="15.75" hidden="1" customHeight="1"/>
    <row r="17685" ht="15.75" hidden="1" customHeight="1"/>
    <row r="17686" ht="15.75" hidden="1" customHeight="1"/>
    <row r="17687" ht="15.75" hidden="1" customHeight="1"/>
    <row r="17688" ht="15.75" hidden="1" customHeight="1"/>
    <row r="17689" ht="15.75" hidden="1" customHeight="1"/>
    <row r="17690" ht="15.75" hidden="1" customHeight="1"/>
    <row r="17691" ht="15.75" hidden="1" customHeight="1"/>
    <row r="17692" ht="15.75" hidden="1" customHeight="1"/>
    <row r="17693" ht="15.75" hidden="1" customHeight="1"/>
    <row r="17694" ht="15.75" hidden="1" customHeight="1"/>
    <row r="17695" ht="15.75" hidden="1" customHeight="1"/>
    <row r="17696" ht="15.75" hidden="1" customHeight="1"/>
    <row r="17697" ht="15.75" hidden="1" customHeight="1"/>
    <row r="17698" ht="15.75" hidden="1" customHeight="1"/>
    <row r="17699" ht="15.75" hidden="1" customHeight="1"/>
    <row r="17700" ht="15.75" hidden="1" customHeight="1"/>
    <row r="17701" ht="15.75" hidden="1" customHeight="1"/>
    <row r="17702" ht="15.75" hidden="1" customHeight="1"/>
    <row r="17703" ht="15.75" hidden="1" customHeight="1"/>
    <row r="17704" ht="15.75" hidden="1" customHeight="1"/>
    <row r="17705" ht="15.75" hidden="1" customHeight="1"/>
    <row r="17706" ht="15.75" hidden="1" customHeight="1"/>
    <row r="17707" ht="15.75" hidden="1" customHeight="1"/>
    <row r="17708" ht="15.75" hidden="1" customHeight="1"/>
    <row r="17709" ht="15.75" hidden="1" customHeight="1"/>
    <row r="17710" ht="15.75" hidden="1" customHeight="1"/>
    <row r="17711" ht="15.75" hidden="1" customHeight="1"/>
    <row r="17712" ht="15.75" hidden="1" customHeight="1"/>
    <row r="17713" ht="15.75" hidden="1" customHeight="1"/>
    <row r="17714" ht="15.75" hidden="1" customHeight="1"/>
    <row r="17715" ht="15.75" hidden="1" customHeight="1"/>
    <row r="17716" ht="15.75" hidden="1" customHeight="1"/>
    <row r="17717" ht="15.75" hidden="1" customHeight="1"/>
    <row r="17718" ht="15.75" hidden="1" customHeight="1"/>
    <row r="17719" ht="15.75" hidden="1" customHeight="1"/>
    <row r="17720" ht="15.75" hidden="1" customHeight="1"/>
    <row r="17721" ht="15.75" hidden="1" customHeight="1"/>
    <row r="17722" ht="15.75" hidden="1" customHeight="1"/>
    <row r="17723" ht="15.75" hidden="1" customHeight="1"/>
    <row r="17724" ht="15.75" hidden="1" customHeight="1"/>
    <row r="17725" ht="15.75" hidden="1" customHeight="1"/>
    <row r="17726" ht="15.75" hidden="1" customHeight="1"/>
    <row r="17727" ht="15.75" hidden="1" customHeight="1"/>
    <row r="17728" ht="15.75" hidden="1" customHeight="1"/>
    <row r="17729" ht="15.75" hidden="1" customHeight="1"/>
    <row r="17730" ht="15.75" hidden="1" customHeight="1"/>
    <row r="17731" ht="15.75" hidden="1" customHeight="1"/>
    <row r="17732" ht="15.75" hidden="1" customHeight="1"/>
    <row r="17733" ht="15.75" hidden="1" customHeight="1"/>
    <row r="17734" ht="15.75" hidden="1" customHeight="1"/>
    <row r="17735" ht="15.75" hidden="1" customHeight="1"/>
    <row r="17736" ht="15.75" hidden="1" customHeight="1"/>
    <row r="17737" ht="15.75" hidden="1" customHeight="1"/>
    <row r="17738" ht="15.75" hidden="1" customHeight="1"/>
    <row r="17739" ht="15.75" hidden="1" customHeight="1"/>
    <row r="17740" ht="15.75" hidden="1" customHeight="1"/>
    <row r="17741" ht="15.75" hidden="1" customHeight="1"/>
    <row r="17742" ht="15.75" hidden="1" customHeight="1"/>
    <row r="17743" ht="15.75" hidden="1" customHeight="1"/>
    <row r="17744" ht="15.75" hidden="1" customHeight="1"/>
    <row r="17745" ht="15.75" hidden="1" customHeight="1"/>
    <row r="17746" ht="15.75" hidden="1" customHeight="1"/>
    <row r="17747" ht="15.75" hidden="1" customHeight="1"/>
    <row r="17748" ht="15.75" hidden="1" customHeight="1"/>
    <row r="17749" ht="15.75" hidden="1" customHeight="1"/>
    <row r="17750" ht="15.75" hidden="1" customHeight="1"/>
    <row r="17751" ht="15.75" hidden="1" customHeight="1"/>
    <row r="17752" ht="15.75" hidden="1" customHeight="1"/>
    <row r="17753" ht="15.75" hidden="1" customHeight="1"/>
    <row r="17754" ht="15.75" hidden="1" customHeight="1"/>
    <row r="17755" ht="15.75" hidden="1" customHeight="1"/>
    <row r="17756" ht="15.75" hidden="1" customHeight="1"/>
    <row r="17757" ht="15.75" hidden="1" customHeight="1"/>
    <row r="17758" ht="15.75" hidden="1" customHeight="1"/>
    <row r="17759" ht="15.75" hidden="1" customHeight="1"/>
    <row r="17760" ht="15.75" hidden="1" customHeight="1"/>
    <row r="17761" ht="15.75" hidden="1" customHeight="1"/>
    <row r="17762" ht="15.75" hidden="1" customHeight="1"/>
    <row r="17763" ht="15.75" hidden="1" customHeight="1"/>
    <row r="17764" ht="15.75" hidden="1" customHeight="1"/>
    <row r="17765" ht="15.75" hidden="1" customHeight="1"/>
    <row r="17766" ht="15.75" hidden="1" customHeight="1"/>
    <row r="17767" ht="15.75" hidden="1" customHeight="1"/>
    <row r="17768" ht="15.75" hidden="1" customHeight="1"/>
    <row r="17769" ht="15.75" hidden="1" customHeight="1"/>
    <row r="17770" ht="15.75" hidden="1" customHeight="1"/>
    <row r="17771" ht="15.75" hidden="1" customHeight="1"/>
    <row r="17772" ht="15.75" hidden="1" customHeight="1"/>
    <row r="17773" ht="15.75" hidden="1" customHeight="1"/>
    <row r="17774" ht="15.75" hidden="1" customHeight="1"/>
    <row r="17775" ht="15.75" hidden="1" customHeight="1"/>
    <row r="17776" ht="15.75" hidden="1" customHeight="1"/>
    <row r="17777" ht="15.75" hidden="1" customHeight="1"/>
    <row r="17778" ht="15.75" hidden="1" customHeight="1"/>
    <row r="17779" ht="15.75" hidden="1" customHeight="1"/>
    <row r="17780" ht="15.75" hidden="1" customHeight="1"/>
    <row r="17781" ht="15.75" hidden="1" customHeight="1"/>
    <row r="17782" ht="15.75" hidden="1" customHeight="1"/>
    <row r="17783" ht="15.75" hidden="1" customHeight="1"/>
    <row r="17784" ht="15.75" hidden="1" customHeight="1"/>
    <row r="17785" ht="15.75" hidden="1" customHeight="1"/>
    <row r="17786" ht="15.75" hidden="1" customHeight="1"/>
    <row r="17787" ht="15.75" hidden="1" customHeight="1"/>
    <row r="17788" ht="15.75" hidden="1" customHeight="1"/>
    <row r="17789" ht="15.75" hidden="1" customHeight="1"/>
    <row r="17790" ht="15.75" hidden="1" customHeight="1"/>
    <row r="17791" ht="15.75" hidden="1" customHeight="1"/>
    <row r="17792" ht="15.75" hidden="1" customHeight="1"/>
    <row r="17793" ht="15.75" hidden="1" customHeight="1"/>
    <row r="17794" ht="15.75" hidden="1" customHeight="1"/>
    <row r="17795" ht="15.75" hidden="1" customHeight="1"/>
    <row r="17796" ht="15.75" hidden="1" customHeight="1"/>
    <row r="17797" ht="15.75" hidden="1" customHeight="1"/>
    <row r="17798" ht="15.75" hidden="1" customHeight="1"/>
    <row r="17799" ht="15.75" hidden="1" customHeight="1"/>
    <row r="17800" ht="15.75" hidden="1" customHeight="1"/>
    <row r="17801" ht="15.75" hidden="1" customHeight="1"/>
    <row r="17802" ht="15.75" hidden="1" customHeight="1"/>
    <row r="17803" ht="15.75" hidden="1" customHeight="1"/>
    <row r="17804" ht="15.75" hidden="1" customHeight="1"/>
    <row r="17805" ht="15.75" hidden="1" customHeight="1"/>
    <row r="17806" ht="15.75" hidden="1" customHeight="1"/>
    <row r="17807" ht="15.75" hidden="1" customHeight="1"/>
    <row r="17808" ht="15.75" hidden="1" customHeight="1"/>
    <row r="17809" ht="15.75" hidden="1" customHeight="1"/>
    <row r="17810" ht="15.75" hidden="1" customHeight="1"/>
    <row r="17811" ht="15.75" hidden="1" customHeight="1"/>
    <row r="17812" ht="15.75" hidden="1" customHeight="1"/>
    <row r="17813" ht="15.75" hidden="1" customHeight="1"/>
    <row r="17814" ht="15.75" hidden="1" customHeight="1"/>
    <row r="17815" ht="15.75" hidden="1" customHeight="1"/>
    <row r="17816" ht="15.75" hidden="1" customHeight="1"/>
    <row r="17817" ht="15.75" hidden="1" customHeight="1"/>
    <row r="17818" ht="15.75" hidden="1" customHeight="1"/>
    <row r="17819" ht="15.75" hidden="1" customHeight="1"/>
    <row r="17820" ht="15.75" hidden="1" customHeight="1"/>
    <row r="17821" ht="15.75" hidden="1" customHeight="1"/>
    <row r="17822" ht="15.75" hidden="1" customHeight="1"/>
    <row r="17823" ht="15.75" hidden="1" customHeight="1"/>
    <row r="17824" ht="15.75" hidden="1" customHeight="1"/>
    <row r="17825" ht="15.75" hidden="1" customHeight="1"/>
    <row r="17826" ht="15.75" hidden="1" customHeight="1"/>
    <row r="17827" ht="15.75" hidden="1" customHeight="1"/>
    <row r="17828" ht="15.75" hidden="1" customHeight="1"/>
    <row r="17829" ht="15.75" hidden="1" customHeight="1"/>
    <row r="17830" ht="15.75" hidden="1" customHeight="1"/>
    <row r="17831" ht="15.75" hidden="1" customHeight="1"/>
    <row r="17832" ht="15.75" hidden="1" customHeight="1"/>
    <row r="17833" ht="15.75" hidden="1" customHeight="1"/>
    <row r="17834" ht="15.75" hidden="1" customHeight="1"/>
    <row r="17835" ht="15.75" hidden="1" customHeight="1"/>
    <row r="17836" ht="15.75" hidden="1" customHeight="1"/>
    <row r="17837" ht="15.75" hidden="1" customHeight="1"/>
    <row r="17838" ht="15.75" hidden="1" customHeight="1"/>
    <row r="17839" ht="15.75" hidden="1" customHeight="1"/>
    <row r="17840" ht="15.75" hidden="1" customHeight="1"/>
    <row r="17841" ht="15.75" hidden="1" customHeight="1"/>
    <row r="17842" ht="15.75" hidden="1" customHeight="1"/>
    <row r="17843" ht="15.75" hidden="1" customHeight="1"/>
    <row r="17844" ht="15.75" hidden="1" customHeight="1"/>
    <row r="17845" ht="15.75" hidden="1" customHeight="1"/>
    <row r="17846" ht="15.75" hidden="1" customHeight="1"/>
    <row r="17847" ht="15.75" hidden="1" customHeight="1"/>
    <row r="17848" ht="15.75" hidden="1" customHeight="1"/>
    <row r="17849" ht="15.75" hidden="1" customHeight="1"/>
    <row r="17850" ht="15.75" hidden="1" customHeight="1"/>
    <row r="17851" ht="15.75" hidden="1" customHeight="1"/>
    <row r="17852" ht="15.75" hidden="1" customHeight="1"/>
    <row r="17853" ht="15.75" hidden="1" customHeight="1"/>
    <row r="17854" ht="15.75" hidden="1" customHeight="1"/>
    <row r="17855" ht="15.75" hidden="1" customHeight="1"/>
    <row r="17856" ht="15.75" hidden="1" customHeight="1"/>
    <row r="17857" ht="15.75" hidden="1" customHeight="1"/>
    <row r="17858" ht="15.75" hidden="1" customHeight="1"/>
    <row r="17859" ht="15.75" hidden="1" customHeight="1"/>
    <row r="17860" ht="15.75" hidden="1" customHeight="1"/>
    <row r="17861" ht="15.75" hidden="1" customHeight="1"/>
    <row r="17862" ht="15.75" hidden="1" customHeight="1"/>
    <row r="17863" ht="15.75" hidden="1" customHeight="1"/>
    <row r="17864" ht="15.75" hidden="1" customHeight="1"/>
    <row r="17865" ht="15.75" hidden="1" customHeight="1"/>
    <row r="17866" ht="15.75" hidden="1" customHeight="1"/>
    <row r="17867" ht="15.75" hidden="1" customHeight="1"/>
    <row r="17868" ht="15.75" hidden="1" customHeight="1"/>
    <row r="17869" ht="15.75" hidden="1" customHeight="1"/>
    <row r="17870" ht="15.75" hidden="1" customHeight="1"/>
    <row r="17871" ht="15.75" hidden="1" customHeight="1"/>
    <row r="17872" ht="15.75" hidden="1" customHeight="1"/>
    <row r="17873" ht="15.75" hidden="1" customHeight="1"/>
    <row r="17874" ht="15.75" hidden="1" customHeight="1"/>
    <row r="17875" ht="15.75" hidden="1" customHeight="1"/>
    <row r="17876" ht="15.75" hidden="1" customHeight="1"/>
    <row r="17877" ht="15.75" hidden="1" customHeight="1"/>
    <row r="17878" ht="15.75" hidden="1" customHeight="1"/>
    <row r="17879" ht="15.75" hidden="1" customHeight="1"/>
    <row r="17880" ht="15.75" hidden="1" customHeight="1"/>
    <row r="17881" ht="15.75" hidden="1" customHeight="1"/>
    <row r="17882" ht="15.75" hidden="1" customHeight="1"/>
    <row r="17883" ht="15.75" hidden="1" customHeight="1"/>
    <row r="17884" ht="15.75" hidden="1" customHeight="1"/>
    <row r="17885" ht="15.75" hidden="1" customHeight="1"/>
    <row r="17886" ht="15.75" hidden="1" customHeight="1"/>
    <row r="17887" ht="15.75" hidden="1" customHeight="1"/>
    <row r="17888" ht="15.75" hidden="1" customHeight="1"/>
    <row r="17889" ht="15.75" hidden="1" customHeight="1"/>
    <row r="17890" ht="15.75" hidden="1" customHeight="1"/>
    <row r="17891" ht="15.75" hidden="1" customHeight="1"/>
    <row r="17892" ht="15.75" hidden="1" customHeight="1"/>
    <row r="17893" ht="15.75" hidden="1" customHeight="1"/>
    <row r="17894" ht="15.75" hidden="1" customHeight="1"/>
    <row r="17895" ht="15.75" hidden="1" customHeight="1"/>
    <row r="17896" ht="15.75" hidden="1" customHeight="1"/>
    <row r="17897" ht="15.75" hidden="1" customHeight="1"/>
    <row r="17898" ht="15.75" hidden="1" customHeight="1"/>
    <row r="17899" ht="15.75" hidden="1" customHeight="1"/>
    <row r="17900" ht="15.75" hidden="1" customHeight="1"/>
    <row r="17901" ht="15.75" hidden="1" customHeight="1"/>
    <row r="17902" ht="15.75" hidden="1" customHeight="1"/>
    <row r="17903" ht="15.75" hidden="1" customHeight="1"/>
    <row r="17904" ht="15.75" hidden="1" customHeight="1"/>
    <row r="17905" ht="15.75" hidden="1" customHeight="1"/>
    <row r="17906" ht="15.75" hidden="1" customHeight="1"/>
    <row r="17907" ht="15.75" hidden="1" customHeight="1"/>
    <row r="17908" ht="15.75" hidden="1" customHeight="1"/>
    <row r="17909" ht="15.75" hidden="1" customHeight="1"/>
    <row r="17910" ht="15.75" hidden="1" customHeight="1"/>
    <row r="17911" ht="15.75" hidden="1" customHeight="1"/>
    <row r="17912" ht="15.75" hidden="1" customHeight="1"/>
    <row r="17913" ht="15.75" hidden="1" customHeight="1"/>
    <row r="17914" ht="15.75" hidden="1" customHeight="1"/>
    <row r="17915" ht="15.75" hidden="1" customHeight="1"/>
    <row r="17916" ht="15.75" hidden="1" customHeight="1"/>
    <row r="17917" ht="15.75" hidden="1" customHeight="1"/>
    <row r="17918" ht="15.75" hidden="1" customHeight="1"/>
    <row r="17919" ht="15.75" hidden="1" customHeight="1"/>
    <row r="17920" ht="15.75" hidden="1" customHeight="1"/>
    <row r="17921" ht="15.75" hidden="1" customHeight="1"/>
    <row r="17922" ht="15.75" hidden="1" customHeight="1"/>
    <row r="17923" ht="15.75" hidden="1" customHeight="1"/>
    <row r="17924" ht="15.75" hidden="1" customHeight="1"/>
    <row r="17925" ht="15.75" hidden="1" customHeight="1"/>
    <row r="17926" ht="15.75" hidden="1" customHeight="1"/>
    <row r="17927" ht="15.75" hidden="1" customHeight="1"/>
    <row r="17928" ht="15.75" hidden="1" customHeight="1"/>
    <row r="17929" ht="15.75" hidden="1" customHeight="1"/>
    <row r="17930" ht="15.75" hidden="1" customHeight="1"/>
    <row r="17931" ht="15.75" hidden="1" customHeight="1"/>
    <row r="17932" ht="15.75" hidden="1" customHeight="1"/>
    <row r="17933" ht="15.75" hidden="1" customHeight="1"/>
    <row r="17934" ht="15.75" hidden="1" customHeight="1"/>
    <row r="17935" ht="15.75" hidden="1" customHeight="1"/>
    <row r="17936" ht="15.75" hidden="1" customHeight="1"/>
    <row r="17937" ht="15.75" hidden="1" customHeight="1"/>
    <row r="17938" ht="15.75" hidden="1" customHeight="1"/>
    <row r="17939" ht="15.75" hidden="1" customHeight="1"/>
    <row r="17940" ht="15.75" hidden="1" customHeight="1"/>
    <row r="17941" ht="15.75" hidden="1" customHeight="1"/>
    <row r="17942" ht="15.75" hidden="1" customHeight="1"/>
    <row r="17943" ht="15.75" hidden="1" customHeight="1"/>
    <row r="17944" ht="15.75" hidden="1" customHeight="1"/>
    <row r="17945" ht="15.75" hidden="1" customHeight="1"/>
    <row r="17946" ht="15.75" hidden="1" customHeight="1"/>
    <row r="17947" ht="15.75" hidden="1" customHeight="1"/>
    <row r="17948" ht="15.75" hidden="1" customHeight="1"/>
    <row r="17949" ht="15.75" hidden="1" customHeight="1"/>
    <row r="17950" ht="15.75" hidden="1" customHeight="1"/>
    <row r="17951" ht="15.75" hidden="1" customHeight="1"/>
    <row r="17952" ht="15.75" hidden="1" customHeight="1"/>
    <row r="17953" ht="15.75" hidden="1" customHeight="1"/>
    <row r="17954" ht="15.75" hidden="1" customHeight="1"/>
    <row r="17955" ht="15.75" hidden="1" customHeight="1"/>
    <row r="17956" ht="15.75" hidden="1" customHeight="1"/>
    <row r="17957" ht="15.75" hidden="1" customHeight="1"/>
    <row r="17958" ht="15.75" hidden="1" customHeight="1"/>
    <row r="17959" ht="15.75" hidden="1" customHeight="1"/>
    <row r="17960" ht="15.75" hidden="1" customHeight="1"/>
    <row r="17961" ht="15.75" hidden="1" customHeight="1"/>
    <row r="17962" ht="15.75" hidden="1" customHeight="1"/>
    <row r="17963" ht="15.75" hidden="1" customHeight="1"/>
    <row r="17964" ht="15.75" hidden="1" customHeight="1"/>
    <row r="17965" ht="15.75" hidden="1" customHeight="1"/>
    <row r="17966" ht="15.75" hidden="1" customHeight="1"/>
    <row r="17967" ht="15.75" hidden="1" customHeight="1"/>
    <row r="17968" ht="15.75" hidden="1" customHeight="1"/>
    <row r="17969" ht="15.75" hidden="1" customHeight="1"/>
    <row r="17970" ht="15.75" hidden="1" customHeight="1"/>
    <row r="17971" ht="15.75" hidden="1" customHeight="1"/>
    <row r="17972" ht="15.75" hidden="1" customHeight="1"/>
    <row r="17973" ht="15.75" hidden="1" customHeight="1"/>
    <row r="17974" ht="15.75" hidden="1" customHeight="1"/>
    <row r="17975" ht="15.75" hidden="1" customHeight="1"/>
    <row r="17976" ht="15.75" hidden="1" customHeight="1"/>
    <row r="17977" ht="15.75" hidden="1" customHeight="1"/>
    <row r="17978" ht="15.75" hidden="1" customHeight="1"/>
    <row r="17979" ht="15.75" hidden="1" customHeight="1"/>
    <row r="17980" ht="15.75" hidden="1" customHeight="1"/>
    <row r="17981" ht="15.75" hidden="1" customHeight="1"/>
    <row r="17982" ht="15.75" hidden="1" customHeight="1"/>
    <row r="17983" ht="15.75" hidden="1" customHeight="1"/>
    <row r="17984" ht="15.75" hidden="1" customHeight="1"/>
    <row r="17985" ht="15.75" hidden="1" customHeight="1"/>
    <row r="17986" ht="15.75" hidden="1" customHeight="1"/>
    <row r="17987" ht="15.75" hidden="1" customHeight="1"/>
    <row r="17988" ht="15.75" hidden="1" customHeight="1"/>
    <row r="17989" ht="15.75" hidden="1" customHeight="1"/>
    <row r="17990" ht="15.75" hidden="1" customHeight="1"/>
    <row r="17991" ht="15.75" hidden="1" customHeight="1"/>
    <row r="17992" ht="15.75" hidden="1" customHeight="1"/>
    <row r="17993" ht="15.75" hidden="1" customHeight="1"/>
    <row r="17994" ht="15.75" hidden="1" customHeight="1"/>
    <row r="17995" ht="15.75" hidden="1" customHeight="1"/>
    <row r="17996" ht="15.75" hidden="1" customHeight="1"/>
    <row r="17997" ht="15.75" hidden="1" customHeight="1"/>
    <row r="17998" ht="15.75" hidden="1" customHeight="1"/>
    <row r="17999" ht="15.75" hidden="1" customHeight="1"/>
    <row r="18000" ht="15.75" hidden="1" customHeight="1"/>
    <row r="18001" ht="15.75" hidden="1" customHeight="1"/>
    <row r="18002" ht="15.75" hidden="1" customHeight="1"/>
    <row r="18003" ht="15.75" hidden="1" customHeight="1"/>
    <row r="18004" ht="15.75" hidden="1" customHeight="1"/>
    <row r="18005" ht="15.75" hidden="1" customHeight="1"/>
    <row r="18006" ht="15.75" hidden="1" customHeight="1"/>
    <row r="18007" ht="15.75" hidden="1" customHeight="1"/>
    <row r="18008" ht="15.75" hidden="1" customHeight="1"/>
    <row r="18009" ht="15.75" hidden="1" customHeight="1"/>
    <row r="18010" ht="15.75" hidden="1" customHeight="1"/>
    <row r="18011" ht="15.75" hidden="1" customHeight="1"/>
    <row r="18012" ht="15.75" hidden="1" customHeight="1"/>
    <row r="18013" ht="15.75" hidden="1" customHeight="1"/>
    <row r="18014" ht="15.75" hidden="1" customHeight="1"/>
    <row r="18015" ht="15.75" hidden="1" customHeight="1"/>
    <row r="18016" ht="15.75" hidden="1" customHeight="1"/>
    <row r="18017" ht="15.75" hidden="1" customHeight="1"/>
    <row r="18018" ht="15.75" hidden="1" customHeight="1"/>
    <row r="18019" ht="15.75" hidden="1" customHeight="1"/>
    <row r="18020" ht="15.75" hidden="1" customHeight="1"/>
    <row r="18021" ht="15.75" hidden="1" customHeight="1"/>
    <row r="18022" ht="15.75" hidden="1" customHeight="1"/>
    <row r="18023" ht="15.75" hidden="1" customHeight="1"/>
    <row r="18024" ht="15.75" hidden="1" customHeight="1"/>
    <row r="18025" ht="15.75" hidden="1" customHeight="1"/>
    <row r="18026" ht="15.75" hidden="1" customHeight="1"/>
    <row r="18027" ht="15.75" hidden="1" customHeight="1"/>
    <row r="18028" ht="15.75" hidden="1" customHeight="1"/>
    <row r="18029" ht="15.75" hidden="1" customHeight="1"/>
    <row r="18030" ht="15.75" hidden="1" customHeight="1"/>
    <row r="18031" ht="15.75" hidden="1" customHeight="1"/>
    <row r="18032" ht="15.75" hidden="1" customHeight="1"/>
    <row r="18033" ht="15.75" hidden="1" customHeight="1"/>
    <row r="18034" ht="15.75" hidden="1" customHeight="1"/>
    <row r="18035" ht="15.75" hidden="1" customHeight="1"/>
    <row r="18036" ht="15.75" hidden="1" customHeight="1"/>
    <row r="18037" ht="15.75" hidden="1" customHeight="1"/>
    <row r="18038" ht="15.75" hidden="1" customHeight="1"/>
    <row r="18039" ht="15.75" hidden="1" customHeight="1"/>
    <row r="18040" ht="15.75" hidden="1" customHeight="1"/>
    <row r="18041" ht="15.75" hidden="1" customHeight="1"/>
    <row r="18042" ht="15.75" hidden="1" customHeight="1"/>
    <row r="18043" ht="15.75" hidden="1" customHeight="1"/>
    <row r="18044" ht="15.75" hidden="1" customHeight="1"/>
    <row r="18045" ht="15.75" hidden="1" customHeight="1"/>
    <row r="18046" ht="15.75" hidden="1" customHeight="1"/>
    <row r="18047" ht="15.75" hidden="1" customHeight="1"/>
    <row r="18048" ht="15.75" hidden="1" customHeight="1"/>
    <row r="18049" ht="15.75" hidden="1" customHeight="1"/>
    <row r="18050" ht="15.75" hidden="1" customHeight="1"/>
    <row r="18051" ht="15.75" hidden="1" customHeight="1"/>
    <row r="18052" ht="15.75" hidden="1" customHeight="1"/>
    <row r="18053" ht="15.75" hidden="1" customHeight="1"/>
    <row r="18054" ht="15.75" hidden="1" customHeight="1"/>
    <row r="18055" ht="15.75" hidden="1" customHeight="1"/>
    <row r="18056" ht="15.75" hidden="1" customHeight="1"/>
    <row r="18057" ht="15.75" hidden="1" customHeight="1"/>
    <row r="18058" ht="15.75" hidden="1" customHeight="1"/>
    <row r="18059" ht="15.75" hidden="1" customHeight="1"/>
    <row r="18060" ht="15.75" hidden="1" customHeight="1"/>
    <row r="18061" ht="15.75" hidden="1" customHeight="1"/>
    <row r="18062" ht="15.75" hidden="1" customHeight="1"/>
    <row r="18063" ht="15.75" hidden="1" customHeight="1"/>
    <row r="18064" ht="15.75" hidden="1" customHeight="1"/>
    <row r="18065" ht="15.75" hidden="1" customHeight="1"/>
    <row r="18066" ht="15.75" hidden="1" customHeight="1"/>
    <row r="18067" ht="15.75" hidden="1" customHeight="1"/>
    <row r="18068" ht="15.75" hidden="1" customHeight="1"/>
    <row r="18069" ht="15.75" hidden="1" customHeight="1"/>
    <row r="18070" ht="15.75" hidden="1" customHeight="1"/>
    <row r="18071" ht="15.75" hidden="1" customHeight="1"/>
    <row r="18072" ht="15.75" hidden="1" customHeight="1"/>
    <row r="18073" ht="15.75" hidden="1" customHeight="1"/>
    <row r="18074" ht="15.75" hidden="1" customHeight="1"/>
    <row r="18075" ht="15.75" hidden="1" customHeight="1"/>
    <row r="18076" ht="15.75" hidden="1" customHeight="1"/>
    <row r="18077" ht="15.75" hidden="1" customHeight="1"/>
    <row r="18078" ht="15.75" hidden="1" customHeight="1"/>
    <row r="18079" ht="15.75" hidden="1" customHeight="1"/>
    <row r="18080" ht="15.75" hidden="1" customHeight="1"/>
    <row r="18081" ht="15.75" hidden="1" customHeight="1"/>
    <row r="18082" ht="15.75" hidden="1" customHeight="1"/>
    <row r="18083" ht="15.75" hidden="1" customHeight="1"/>
    <row r="18084" ht="15.75" hidden="1" customHeight="1"/>
    <row r="18085" ht="15.75" hidden="1" customHeight="1"/>
    <row r="18086" ht="15.75" hidden="1" customHeight="1"/>
    <row r="18087" ht="15.75" hidden="1" customHeight="1"/>
    <row r="18088" ht="15.75" hidden="1" customHeight="1"/>
    <row r="18089" ht="15.75" hidden="1" customHeight="1"/>
    <row r="18090" ht="15.75" hidden="1" customHeight="1"/>
    <row r="18091" ht="15.75" hidden="1" customHeight="1"/>
    <row r="18092" ht="15.75" hidden="1" customHeight="1"/>
    <row r="18093" ht="15.75" hidden="1" customHeight="1"/>
    <row r="18094" ht="15.75" hidden="1" customHeight="1"/>
    <row r="18095" ht="15.75" hidden="1" customHeight="1"/>
    <row r="18096" ht="15.75" hidden="1" customHeight="1"/>
    <row r="18097" ht="15.75" hidden="1" customHeight="1"/>
    <row r="18098" ht="15.75" hidden="1" customHeight="1"/>
    <row r="18099" ht="15.75" hidden="1" customHeight="1"/>
    <row r="18100" ht="15.75" hidden="1" customHeight="1"/>
    <row r="18101" ht="15.75" hidden="1" customHeight="1"/>
    <row r="18102" ht="15.75" hidden="1" customHeight="1"/>
    <row r="18103" ht="15.75" hidden="1" customHeight="1"/>
    <row r="18104" ht="15.75" hidden="1" customHeight="1"/>
    <row r="18105" ht="15.75" hidden="1" customHeight="1"/>
    <row r="18106" ht="15.75" hidden="1" customHeight="1"/>
    <row r="18107" ht="15.75" hidden="1" customHeight="1"/>
    <row r="18108" ht="15.75" hidden="1" customHeight="1"/>
    <row r="18109" ht="15.75" hidden="1" customHeight="1"/>
    <row r="18110" ht="15.75" hidden="1" customHeight="1"/>
    <row r="18111" ht="15.75" hidden="1" customHeight="1"/>
    <row r="18112" ht="15.75" hidden="1" customHeight="1"/>
    <row r="18113" ht="15.75" hidden="1" customHeight="1"/>
    <row r="18114" ht="15.75" hidden="1" customHeight="1"/>
    <row r="18115" ht="15.75" hidden="1" customHeight="1"/>
    <row r="18116" ht="15.75" hidden="1" customHeight="1"/>
    <row r="18117" ht="15.75" hidden="1" customHeight="1"/>
    <row r="18118" ht="15.75" hidden="1" customHeight="1"/>
    <row r="18119" ht="15.75" hidden="1" customHeight="1"/>
    <row r="18120" ht="15.75" hidden="1" customHeight="1"/>
    <row r="18121" ht="15.75" hidden="1" customHeight="1"/>
    <row r="18122" ht="15.75" hidden="1" customHeight="1"/>
    <row r="18123" ht="15.75" hidden="1" customHeight="1"/>
    <row r="18124" ht="15.75" hidden="1" customHeight="1"/>
    <row r="18125" ht="15.75" hidden="1" customHeight="1"/>
    <row r="18126" ht="15.75" hidden="1" customHeight="1"/>
    <row r="18127" ht="15.75" hidden="1" customHeight="1"/>
    <row r="18128" ht="15.75" hidden="1" customHeight="1"/>
    <row r="18129" ht="15.75" hidden="1" customHeight="1"/>
    <row r="18130" ht="15.75" hidden="1" customHeight="1"/>
    <row r="18131" ht="15.75" hidden="1" customHeight="1"/>
    <row r="18132" ht="15.75" hidden="1" customHeight="1"/>
    <row r="18133" ht="15.75" hidden="1" customHeight="1"/>
    <row r="18134" ht="15.75" hidden="1" customHeight="1"/>
    <row r="18135" ht="15.75" hidden="1" customHeight="1"/>
    <row r="18136" ht="15.75" hidden="1" customHeight="1"/>
    <row r="18137" ht="15.75" hidden="1" customHeight="1"/>
    <row r="18138" ht="15.75" hidden="1" customHeight="1"/>
    <row r="18139" ht="15.75" hidden="1" customHeight="1"/>
    <row r="18140" ht="15.75" hidden="1" customHeight="1"/>
    <row r="18141" ht="15.75" hidden="1" customHeight="1"/>
    <row r="18142" ht="15.75" hidden="1" customHeight="1"/>
    <row r="18143" ht="15.75" hidden="1" customHeight="1"/>
    <row r="18144" ht="15.75" hidden="1" customHeight="1"/>
    <row r="18145" ht="15.75" hidden="1" customHeight="1"/>
    <row r="18146" ht="15.75" hidden="1" customHeight="1"/>
    <row r="18147" ht="15.75" hidden="1" customHeight="1"/>
    <row r="18148" ht="15.75" hidden="1" customHeight="1"/>
    <row r="18149" ht="15.75" hidden="1" customHeight="1"/>
    <row r="18150" ht="15.75" hidden="1" customHeight="1"/>
    <row r="18151" ht="15.75" hidden="1" customHeight="1"/>
    <row r="18152" ht="15.75" hidden="1" customHeight="1"/>
    <row r="18153" ht="15.75" hidden="1" customHeight="1"/>
    <row r="18154" ht="15.75" hidden="1" customHeight="1"/>
    <row r="18155" ht="15.75" hidden="1" customHeight="1"/>
    <row r="18156" ht="15.75" hidden="1" customHeight="1"/>
    <row r="18157" ht="15.75" hidden="1" customHeight="1"/>
    <row r="18158" ht="15.75" hidden="1" customHeight="1"/>
    <row r="18159" ht="15.75" hidden="1" customHeight="1"/>
    <row r="18160" ht="15.75" hidden="1" customHeight="1"/>
    <row r="18161" ht="15.75" hidden="1" customHeight="1"/>
    <row r="18162" ht="15.75" hidden="1" customHeight="1"/>
    <row r="18163" ht="15.75" hidden="1" customHeight="1"/>
    <row r="18164" ht="15.75" hidden="1" customHeight="1"/>
    <row r="18165" ht="15.75" hidden="1" customHeight="1"/>
    <row r="18166" ht="15.75" hidden="1" customHeight="1"/>
    <row r="18167" ht="15.75" hidden="1" customHeight="1"/>
    <row r="18168" ht="15.75" hidden="1" customHeight="1"/>
    <row r="18169" ht="15.75" hidden="1" customHeight="1"/>
    <row r="18170" ht="15.75" hidden="1" customHeight="1"/>
    <row r="18171" ht="15.75" hidden="1" customHeight="1"/>
    <row r="18172" ht="15.75" hidden="1" customHeight="1"/>
    <row r="18173" ht="15.75" hidden="1" customHeight="1"/>
    <row r="18174" ht="15.75" hidden="1" customHeight="1"/>
    <row r="18175" ht="15.75" hidden="1" customHeight="1"/>
    <row r="18176" ht="15.75" hidden="1" customHeight="1"/>
    <row r="18177" ht="15.75" hidden="1" customHeight="1"/>
    <row r="18178" ht="15.75" hidden="1" customHeight="1"/>
    <row r="18179" ht="15.75" hidden="1" customHeight="1"/>
    <row r="18180" ht="15.75" hidden="1" customHeight="1"/>
    <row r="18181" ht="15.75" hidden="1" customHeight="1"/>
    <row r="18182" ht="15.75" hidden="1" customHeight="1"/>
    <row r="18183" ht="15.75" hidden="1" customHeight="1"/>
    <row r="18184" ht="15.75" hidden="1" customHeight="1"/>
    <row r="18185" ht="15.75" hidden="1" customHeight="1"/>
    <row r="18186" ht="15.75" hidden="1" customHeight="1"/>
    <row r="18187" ht="15.75" hidden="1" customHeight="1"/>
    <row r="18188" ht="15.75" hidden="1" customHeight="1"/>
    <row r="18189" ht="15.75" hidden="1" customHeight="1"/>
    <row r="18190" ht="15.75" hidden="1" customHeight="1"/>
    <row r="18191" ht="15.75" hidden="1" customHeight="1"/>
    <row r="18192" ht="15.75" hidden="1" customHeight="1"/>
    <row r="18193" ht="15.75" hidden="1" customHeight="1"/>
    <row r="18194" ht="15.75" hidden="1" customHeight="1"/>
    <row r="18195" ht="15.75" hidden="1" customHeight="1"/>
    <row r="18196" ht="15.75" hidden="1" customHeight="1"/>
    <row r="18197" ht="15.75" hidden="1" customHeight="1"/>
    <row r="18198" ht="15.75" hidden="1" customHeight="1"/>
    <row r="18199" ht="15.75" hidden="1" customHeight="1"/>
    <row r="18200" ht="15.75" hidden="1" customHeight="1"/>
    <row r="18201" ht="15.75" hidden="1" customHeight="1"/>
    <row r="18202" ht="15.75" hidden="1" customHeight="1"/>
    <row r="18203" ht="15.75" hidden="1" customHeight="1"/>
    <row r="18204" ht="15.75" hidden="1" customHeight="1"/>
    <row r="18205" ht="15.75" hidden="1" customHeight="1"/>
    <row r="18206" ht="15.75" hidden="1" customHeight="1"/>
    <row r="18207" ht="15.75" hidden="1" customHeight="1"/>
    <row r="18208" ht="15.75" hidden="1" customHeight="1"/>
    <row r="18209" ht="15.75" hidden="1" customHeight="1"/>
    <row r="18210" ht="15.75" hidden="1" customHeight="1"/>
    <row r="18211" ht="15.75" hidden="1" customHeight="1"/>
    <row r="18212" ht="15.75" hidden="1" customHeight="1"/>
    <row r="18213" ht="15.75" hidden="1" customHeight="1"/>
    <row r="18214" ht="15.75" hidden="1" customHeight="1"/>
    <row r="18215" ht="15.75" hidden="1" customHeight="1"/>
    <row r="18216" ht="15.75" hidden="1" customHeight="1"/>
    <row r="18217" ht="15.75" hidden="1" customHeight="1"/>
    <row r="18218" ht="15.75" hidden="1" customHeight="1"/>
    <row r="18219" ht="15.75" hidden="1" customHeight="1"/>
    <row r="18220" ht="15.75" hidden="1" customHeight="1"/>
    <row r="18221" ht="15.75" hidden="1" customHeight="1"/>
    <row r="18222" ht="15.75" hidden="1" customHeight="1"/>
    <row r="18223" ht="15.75" hidden="1" customHeight="1"/>
    <row r="18224" ht="15.75" hidden="1" customHeight="1"/>
    <row r="18225" ht="15.75" hidden="1" customHeight="1"/>
    <row r="18226" ht="15.75" hidden="1" customHeight="1"/>
    <row r="18227" ht="15.75" hidden="1" customHeight="1"/>
    <row r="18228" ht="15.75" hidden="1" customHeight="1"/>
    <row r="18229" ht="15.75" hidden="1" customHeight="1"/>
    <row r="18230" ht="15.75" hidden="1" customHeight="1"/>
    <row r="18231" ht="15.75" hidden="1" customHeight="1"/>
    <row r="18232" ht="15.75" hidden="1" customHeight="1"/>
    <row r="18233" ht="15.75" hidden="1" customHeight="1"/>
    <row r="18234" ht="15.75" hidden="1" customHeight="1"/>
    <row r="18235" ht="15.75" hidden="1" customHeight="1"/>
    <row r="18236" ht="15.75" hidden="1" customHeight="1"/>
    <row r="18237" ht="15.75" hidden="1" customHeight="1"/>
    <row r="18238" ht="15.75" hidden="1" customHeight="1"/>
    <row r="18239" ht="15.75" hidden="1" customHeight="1"/>
    <row r="18240" ht="15.75" hidden="1" customHeight="1"/>
    <row r="18241" ht="15.75" hidden="1" customHeight="1"/>
    <row r="18242" ht="15.75" hidden="1" customHeight="1"/>
    <row r="18243" ht="15.75" hidden="1" customHeight="1"/>
    <row r="18244" ht="15.75" hidden="1" customHeight="1"/>
    <row r="18245" ht="15.75" hidden="1" customHeight="1"/>
    <row r="18246" ht="15.75" hidden="1" customHeight="1"/>
    <row r="18247" ht="15.75" hidden="1" customHeight="1"/>
    <row r="18248" ht="15.75" hidden="1" customHeight="1"/>
    <row r="18249" ht="15.75" hidden="1" customHeight="1"/>
    <row r="18250" ht="15.75" hidden="1" customHeight="1"/>
    <row r="18251" ht="15.75" hidden="1" customHeight="1"/>
    <row r="18252" ht="15.75" hidden="1" customHeight="1"/>
    <row r="18253" ht="15.75" hidden="1" customHeight="1"/>
    <row r="18254" ht="15.75" hidden="1" customHeight="1"/>
    <row r="18255" ht="15.75" hidden="1" customHeight="1"/>
    <row r="18256" ht="15.75" hidden="1" customHeight="1"/>
    <row r="18257" ht="15.75" hidden="1" customHeight="1"/>
    <row r="18258" ht="15.75" hidden="1" customHeight="1"/>
    <row r="18259" ht="15.75" hidden="1" customHeight="1"/>
    <row r="18260" ht="15.75" hidden="1" customHeight="1"/>
    <row r="18261" ht="15.75" hidden="1" customHeight="1"/>
    <row r="18262" ht="15.75" hidden="1" customHeight="1"/>
    <row r="18263" ht="15.75" hidden="1" customHeight="1"/>
    <row r="18264" ht="15.75" hidden="1" customHeight="1"/>
    <row r="18265" ht="15.75" hidden="1" customHeight="1"/>
    <row r="18266" ht="15.75" hidden="1" customHeight="1"/>
    <row r="18267" ht="15.75" hidden="1" customHeight="1"/>
    <row r="18268" ht="15.75" hidden="1" customHeight="1"/>
    <row r="18269" ht="15.75" hidden="1" customHeight="1"/>
    <row r="18270" ht="15.75" hidden="1" customHeight="1"/>
    <row r="18271" ht="15.75" hidden="1" customHeight="1"/>
    <row r="18272" ht="15.75" hidden="1" customHeight="1"/>
    <row r="18273" ht="15.75" hidden="1" customHeight="1"/>
    <row r="18274" ht="15.75" hidden="1" customHeight="1"/>
    <row r="18275" ht="15.75" hidden="1" customHeight="1"/>
    <row r="18276" ht="15.75" hidden="1" customHeight="1"/>
    <row r="18277" ht="15.75" hidden="1" customHeight="1"/>
    <row r="18278" ht="15.75" hidden="1" customHeight="1"/>
    <row r="18279" ht="15.75" hidden="1" customHeight="1"/>
    <row r="18280" ht="15.75" hidden="1" customHeight="1"/>
    <row r="18281" ht="15.75" hidden="1" customHeight="1"/>
    <row r="18282" ht="15.75" hidden="1" customHeight="1"/>
    <row r="18283" ht="15.75" hidden="1" customHeight="1"/>
    <row r="18284" ht="15.75" hidden="1" customHeight="1"/>
    <row r="18285" ht="15.75" hidden="1" customHeight="1"/>
    <row r="18286" ht="15.75" hidden="1" customHeight="1"/>
    <row r="18287" ht="15.75" hidden="1" customHeight="1"/>
    <row r="18288" ht="15.75" hidden="1" customHeight="1"/>
    <row r="18289" ht="15.75" hidden="1" customHeight="1"/>
    <row r="18290" ht="15.75" hidden="1" customHeight="1"/>
    <row r="18291" ht="15.75" hidden="1" customHeight="1"/>
    <row r="18292" ht="15.75" hidden="1" customHeight="1"/>
    <row r="18293" ht="15.75" hidden="1" customHeight="1"/>
    <row r="18294" ht="15.75" hidden="1" customHeight="1"/>
    <row r="18295" ht="15.75" hidden="1" customHeight="1"/>
    <row r="18296" ht="15.75" hidden="1" customHeight="1"/>
    <row r="18297" ht="15.75" hidden="1" customHeight="1"/>
    <row r="18298" ht="15.75" hidden="1" customHeight="1"/>
    <row r="18299" ht="15.75" hidden="1" customHeight="1"/>
    <row r="18300" ht="15.75" hidden="1" customHeight="1"/>
    <row r="18301" ht="15.75" hidden="1" customHeight="1"/>
    <row r="18302" ht="15.75" hidden="1" customHeight="1"/>
    <row r="18303" ht="15.75" hidden="1" customHeight="1"/>
    <row r="18304" ht="15.75" hidden="1" customHeight="1"/>
    <row r="18305" ht="15.75" hidden="1" customHeight="1"/>
    <row r="18306" ht="15.75" hidden="1" customHeight="1"/>
    <row r="18307" ht="15.75" hidden="1" customHeight="1"/>
    <row r="18308" ht="15.75" hidden="1" customHeight="1"/>
    <row r="18309" ht="15.75" hidden="1" customHeight="1"/>
    <row r="18310" ht="15.75" hidden="1" customHeight="1"/>
    <row r="18311" ht="15.75" hidden="1" customHeight="1"/>
    <row r="18312" ht="15.75" hidden="1" customHeight="1"/>
    <row r="18313" ht="15.75" hidden="1" customHeight="1"/>
    <row r="18314" ht="15.75" hidden="1" customHeight="1"/>
    <row r="18315" ht="15.75" hidden="1" customHeight="1"/>
    <row r="18316" ht="15.75" hidden="1" customHeight="1"/>
    <row r="18317" ht="15.75" hidden="1" customHeight="1"/>
    <row r="18318" ht="15.75" hidden="1" customHeight="1"/>
    <row r="18319" ht="15.75" hidden="1" customHeight="1"/>
    <row r="18320" ht="15.75" hidden="1" customHeight="1"/>
    <row r="18321" ht="15.75" hidden="1" customHeight="1"/>
    <row r="18322" ht="15.75" hidden="1" customHeight="1"/>
    <row r="18323" ht="15.75" hidden="1" customHeight="1"/>
    <row r="18324" ht="15.75" hidden="1" customHeight="1"/>
    <row r="18325" ht="15.75" hidden="1" customHeight="1"/>
    <row r="18326" ht="15.75" hidden="1" customHeight="1"/>
    <row r="18327" ht="15.75" hidden="1" customHeight="1"/>
    <row r="18328" ht="15.75" hidden="1" customHeight="1"/>
    <row r="18329" ht="15.75" hidden="1" customHeight="1"/>
    <row r="18330" ht="15.75" hidden="1" customHeight="1"/>
    <row r="18331" ht="15.75" hidden="1" customHeight="1"/>
    <row r="18332" ht="15.75" hidden="1" customHeight="1"/>
    <row r="18333" ht="15.75" hidden="1" customHeight="1"/>
    <row r="18334" ht="15.75" hidden="1" customHeight="1"/>
    <row r="18335" ht="15.75" hidden="1" customHeight="1"/>
    <row r="18336" ht="15.75" hidden="1" customHeight="1"/>
    <row r="18337" ht="15.75" hidden="1" customHeight="1"/>
    <row r="18338" ht="15.75" hidden="1" customHeight="1"/>
    <row r="18339" ht="15.75" hidden="1" customHeight="1"/>
    <row r="18340" ht="15.75" hidden="1" customHeight="1"/>
    <row r="18341" ht="15.75" hidden="1" customHeight="1"/>
    <row r="18342" ht="15.75" hidden="1" customHeight="1"/>
    <row r="18343" ht="15.75" hidden="1" customHeight="1"/>
    <row r="18344" ht="15.75" hidden="1" customHeight="1"/>
    <row r="18345" ht="15.75" hidden="1" customHeight="1"/>
    <row r="18346" ht="15.75" hidden="1" customHeight="1"/>
    <row r="18347" ht="15.75" hidden="1" customHeight="1"/>
    <row r="18348" ht="15.75" hidden="1" customHeight="1"/>
    <row r="18349" ht="15.75" hidden="1" customHeight="1"/>
    <row r="18350" ht="15.75" hidden="1" customHeight="1"/>
    <row r="18351" ht="15.75" hidden="1" customHeight="1"/>
    <row r="18352" ht="15.75" hidden="1" customHeight="1"/>
    <row r="18353" ht="15.75" hidden="1" customHeight="1"/>
    <row r="18354" ht="15.75" hidden="1" customHeight="1"/>
    <row r="18355" ht="15.75" hidden="1" customHeight="1"/>
    <row r="18356" ht="15.75" hidden="1" customHeight="1"/>
    <row r="18357" ht="15.75" hidden="1" customHeight="1"/>
    <row r="18358" ht="15.75" hidden="1" customHeight="1"/>
    <row r="18359" ht="15.75" hidden="1" customHeight="1"/>
    <row r="18360" ht="15.75" hidden="1" customHeight="1"/>
    <row r="18361" ht="15.75" hidden="1" customHeight="1"/>
    <row r="18362" ht="15.75" hidden="1" customHeight="1"/>
    <row r="18363" ht="15.75" hidden="1" customHeight="1"/>
    <row r="18364" ht="15.75" hidden="1" customHeight="1"/>
    <row r="18365" ht="15.75" hidden="1" customHeight="1"/>
    <row r="18366" ht="15.75" hidden="1" customHeight="1"/>
    <row r="18367" ht="15.75" hidden="1" customHeight="1"/>
    <row r="18368" ht="15.75" hidden="1" customHeight="1"/>
    <row r="18369" ht="15.75" hidden="1" customHeight="1"/>
    <row r="18370" ht="15.75" hidden="1" customHeight="1"/>
    <row r="18371" ht="15.75" hidden="1" customHeight="1"/>
    <row r="18372" ht="15.75" hidden="1" customHeight="1"/>
    <row r="18373" ht="15.75" hidden="1" customHeight="1"/>
    <row r="18374" ht="15.75" hidden="1" customHeight="1"/>
    <row r="18375" ht="15.75" hidden="1" customHeight="1"/>
    <row r="18376" ht="15.75" hidden="1" customHeight="1"/>
    <row r="18377" ht="15.75" hidden="1" customHeight="1"/>
    <row r="18378" ht="15.75" hidden="1" customHeight="1"/>
    <row r="18379" ht="15.75" hidden="1" customHeight="1"/>
    <row r="18380" ht="15.75" hidden="1" customHeight="1"/>
    <row r="18381" ht="15.75" hidden="1" customHeight="1"/>
    <row r="18382" ht="15.75" hidden="1" customHeight="1"/>
    <row r="18383" ht="15.75" hidden="1" customHeight="1"/>
    <row r="18384" ht="15.75" hidden="1" customHeight="1"/>
    <row r="18385" ht="15.75" hidden="1" customHeight="1"/>
    <row r="18386" ht="15.75" hidden="1" customHeight="1"/>
    <row r="18387" ht="15.75" hidden="1" customHeight="1"/>
    <row r="18388" ht="15.75" hidden="1" customHeight="1"/>
    <row r="18389" ht="15.75" hidden="1" customHeight="1"/>
    <row r="18390" ht="15.75" hidden="1" customHeight="1"/>
    <row r="18391" ht="15.75" hidden="1" customHeight="1"/>
    <row r="18392" ht="15.75" hidden="1" customHeight="1"/>
    <row r="18393" ht="15.75" hidden="1" customHeight="1"/>
    <row r="18394" ht="15.75" hidden="1" customHeight="1"/>
    <row r="18395" ht="15.75" hidden="1" customHeight="1"/>
    <row r="18396" ht="15.75" hidden="1" customHeight="1"/>
    <row r="18397" ht="15.75" hidden="1" customHeight="1"/>
    <row r="18398" ht="15.75" hidden="1" customHeight="1"/>
    <row r="18399" ht="15.75" hidden="1" customHeight="1"/>
    <row r="18400" ht="15.75" hidden="1" customHeight="1"/>
    <row r="18401" ht="15.75" hidden="1" customHeight="1"/>
    <row r="18402" ht="15.75" hidden="1" customHeight="1"/>
    <row r="18403" ht="15.75" hidden="1" customHeight="1"/>
    <row r="18404" ht="15.75" hidden="1" customHeight="1"/>
    <row r="18405" ht="15.75" hidden="1" customHeight="1"/>
    <row r="18406" ht="15.75" hidden="1" customHeight="1"/>
    <row r="18407" ht="15.75" hidden="1" customHeight="1"/>
    <row r="18408" ht="15.75" hidden="1" customHeight="1"/>
    <row r="18409" ht="15.75" hidden="1" customHeight="1"/>
    <row r="18410" ht="15.75" hidden="1" customHeight="1"/>
    <row r="18411" ht="15.75" hidden="1" customHeight="1"/>
    <row r="18412" ht="15.75" hidden="1" customHeight="1"/>
    <row r="18413" ht="15.75" hidden="1" customHeight="1"/>
    <row r="18414" ht="15.75" hidden="1" customHeight="1"/>
    <row r="18415" ht="15.75" hidden="1" customHeight="1"/>
    <row r="18416" ht="15.75" hidden="1" customHeight="1"/>
    <row r="18417" ht="15.75" hidden="1" customHeight="1"/>
    <row r="18418" ht="15.75" hidden="1" customHeight="1"/>
    <row r="18419" ht="15.75" hidden="1" customHeight="1"/>
    <row r="18420" ht="15.75" hidden="1" customHeight="1"/>
    <row r="18421" ht="15.75" hidden="1" customHeight="1"/>
    <row r="18422" ht="15.75" hidden="1" customHeight="1"/>
    <row r="18423" ht="15.75" hidden="1" customHeight="1"/>
    <row r="18424" ht="15.75" hidden="1" customHeight="1"/>
    <row r="18425" ht="15.75" hidden="1" customHeight="1"/>
    <row r="18426" ht="15.75" hidden="1" customHeight="1"/>
    <row r="18427" ht="15.75" hidden="1" customHeight="1"/>
    <row r="18428" ht="15.75" hidden="1" customHeight="1"/>
    <row r="18429" ht="15.75" hidden="1" customHeight="1"/>
    <row r="18430" ht="15.75" hidden="1" customHeight="1"/>
    <row r="18431" ht="15.75" hidden="1" customHeight="1"/>
    <row r="18432" ht="15.75" hidden="1" customHeight="1"/>
    <row r="18433" ht="15.75" hidden="1" customHeight="1"/>
    <row r="18434" ht="15.75" hidden="1" customHeight="1"/>
    <row r="18435" ht="15.75" hidden="1" customHeight="1"/>
    <row r="18436" ht="15.75" hidden="1" customHeight="1"/>
    <row r="18437" ht="15.75" hidden="1" customHeight="1"/>
    <row r="18438" ht="15.75" hidden="1" customHeight="1"/>
    <row r="18439" ht="15.75" hidden="1" customHeight="1"/>
    <row r="18440" ht="15.75" hidden="1" customHeight="1"/>
    <row r="18441" ht="15.75" hidden="1" customHeight="1"/>
    <row r="18442" ht="15.75" hidden="1" customHeight="1"/>
    <row r="18443" ht="15.75" hidden="1" customHeight="1"/>
    <row r="18444" ht="15.75" hidden="1" customHeight="1"/>
    <row r="18445" ht="15.75" hidden="1" customHeight="1"/>
    <row r="18446" ht="15.75" hidden="1" customHeight="1"/>
    <row r="18447" ht="15.75" hidden="1" customHeight="1"/>
    <row r="18448" ht="15.75" hidden="1" customHeight="1"/>
    <row r="18449" ht="15.75" hidden="1" customHeight="1"/>
    <row r="18450" ht="15.75" hidden="1" customHeight="1"/>
    <row r="18451" ht="15.75" hidden="1" customHeight="1"/>
    <row r="18452" ht="15.75" hidden="1" customHeight="1"/>
    <row r="18453" ht="15.75" hidden="1" customHeight="1"/>
    <row r="18454" ht="15.75" hidden="1" customHeight="1"/>
    <row r="18455" ht="15.75" hidden="1" customHeight="1"/>
    <row r="18456" ht="15.75" hidden="1" customHeight="1"/>
    <row r="18457" ht="15.75" hidden="1" customHeight="1"/>
    <row r="18458" ht="15.75" hidden="1" customHeight="1"/>
    <row r="18459" ht="15.75" hidden="1" customHeight="1"/>
    <row r="18460" ht="15.75" hidden="1" customHeight="1"/>
    <row r="18461" ht="15.75" hidden="1" customHeight="1"/>
    <row r="18462" ht="15.75" hidden="1" customHeight="1"/>
    <row r="18463" ht="15.75" hidden="1" customHeight="1"/>
    <row r="18464" ht="15.75" hidden="1" customHeight="1"/>
    <row r="18465" ht="15.75" hidden="1" customHeight="1"/>
    <row r="18466" ht="15.75" hidden="1" customHeight="1"/>
    <row r="18467" ht="15.75" hidden="1" customHeight="1"/>
    <row r="18468" ht="15.75" hidden="1" customHeight="1"/>
    <row r="18469" ht="15.75" hidden="1" customHeight="1"/>
    <row r="18470" ht="15.75" hidden="1" customHeight="1"/>
    <row r="18471" ht="15.75" hidden="1" customHeight="1"/>
    <row r="18472" ht="15.75" hidden="1" customHeight="1"/>
    <row r="18473" ht="15.75" hidden="1" customHeight="1"/>
    <row r="18474" ht="15.75" hidden="1" customHeight="1"/>
    <row r="18475" ht="15.75" hidden="1" customHeight="1"/>
    <row r="18476" ht="15.75" hidden="1" customHeight="1"/>
    <row r="18477" ht="15.75" hidden="1" customHeight="1"/>
    <row r="18478" ht="15.75" hidden="1" customHeight="1"/>
    <row r="18479" ht="15.75" hidden="1" customHeight="1"/>
    <row r="18480" ht="15.75" hidden="1" customHeight="1"/>
    <row r="18481" ht="15.75" hidden="1" customHeight="1"/>
    <row r="18482" ht="15.75" hidden="1" customHeight="1"/>
    <row r="18483" ht="15.75" hidden="1" customHeight="1"/>
    <row r="18484" ht="15.75" hidden="1" customHeight="1"/>
    <row r="18485" ht="15.75" hidden="1" customHeight="1"/>
    <row r="18486" ht="15.75" hidden="1" customHeight="1"/>
    <row r="18487" ht="15.75" hidden="1" customHeight="1"/>
    <row r="18488" ht="15.75" hidden="1" customHeight="1"/>
    <row r="18489" ht="15.75" hidden="1" customHeight="1"/>
    <row r="18490" ht="15.75" hidden="1" customHeight="1"/>
    <row r="18491" ht="15.75" hidden="1" customHeight="1"/>
    <row r="18492" ht="15.75" hidden="1" customHeight="1"/>
    <row r="18493" ht="15.75" hidden="1" customHeight="1"/>
    <row r="18494" ht="15.75" hidden="1" customHeight="1"/>
    <row r="18495" ht="15.75" hidden="1" customHeight="1"/>
    <row r="18496" ht="15.75" hidden="1" customHeight="1"/>
    <row r="18497" ht="15.75" hidden="1" customHeight="1"/>
    <row r="18498" ht="15.75" hidden="1" customHeight="1"/>
    <row r="18499" ht="15.75" hidden="1" customHeight="1"/>
    <row r="18500" ht="15.75" hidden="1" customHeight="1"/>
    <row r="18501" ht="15.75" hidden="1" customHeight="1"/>
    <row r="18502" ht="15.75" hidden="1" customHeight="1"/>
    <row r="18503" ht="15.75" hidden="1" customHeight="1"/>
    <row r="18504" ht="15.75" hidden="1" customHeight="1"/>
    <row r="18505" ht="15.75" hidden="1" customHeight="1"/>
    <row r="18506" ht="15.75" hidden="1" customHeight="1"/>
    <row r="18507" ht="15.75" hidden="1" customHeight="1"/>
    <row r="18508" ht="15.75" hidden="1" customHeight="1"/>
    <row r="18509" ht="15.75" hidden="1" customHeight="1"/>
    <row r="18510" ht="15.75" hidden="1" customHeight="1"/>
    <row r="18511" ht="15.75" hidden="1" customHeight="1"/>
    <row r="18512" ht="15.75" hidden="1" customHeight="1"/>
    <row r="18513" ht="15.75" hidden="1" customHeight="1"/>
    <row r="18514" ht="15.75" hidden="1" customHeight="1"/>
    <row r="18515" ht="15.75" hidden="1" customHeight="1"/>
    <row r="18516" ht="15.75" hidden="1" customHeight="1"/>
    <row r="18517" ht="15.75" hidden="1" customHeight="1"/>
    <row r="18518" ht="15.75" hidden="1" customHeight="1"/>
    <row r="18519" ht="15.75" hidden="1" customHeight="1"/>
    <row r="18520" ht="15.75" hidden="1" customHeight="1"/>
    <row r="18521" ht="15.75" hidden="1" customHeight="1"/>
    <row r="18522" ht="15.75" hidden="1" customHeight="1"/>
    <row r="18523" ht="15.75" hidden="1" customHeight="1"/>
    <row r="18524" ht="15.75" hidden="1" customHeight="1"/>
    <row r="18525" ht="15.75" hidden="1" customHeight="1"/>
    <row r="18526" ht="15.75" hidden="1" customHeight="1"/>
    <row r="18527" ht="15.75" hidden="1" customHeight="1"/>
    <row r="18528" ht="15.75" hidden="1" customHeight="1"/>
    <row r="18529" ht="15.75" hidden="1" customHeight="1"/>
    <row r="18530" ht="15.75" hidden="1" customHeight="1"/>
    <row r="18531" ht="15.75" hidden="1" customHeight="1"/>
    <row r="18532" ht="15.75" hidden="1" customHeight="1"/>
    <row r="18533" ht="15.75" hidden="1" customHeight="1"/>
    <row r="18534" ht="15.75" hidden="1" customHeight="1"/>
    <row r="18535" ht="15.75" hidden="1" customHeight="1"/>
    <row r="18536" ht="15.75" hidden="1" customHeight="1"/>
    <row r="18537" ht="15.75" hidden="1" customHeight="1"/>
    <row r="18538" ht="15.75" hidden="1" customHeight="1"/>
    <row r="18539" ht="15.75" hidden="1" customHeight="1"/>
    <row r="18540" ht="15.75" hidden="1" customHeight="1"/>
    <row r="18541" ht="15.75" hidden="1" customHeight="1"/>
    <row r="18542" ht="15.75" hidden="1" customHeight="1"/>
    <row r="18543" ht="15.75" hidden="1" customHeight="1"/>
    <row r="18544" ht="15.75" hidden="1" customHeight="1"/>
    <row r="18545" ht="15.75" hidden="1" customHeight="1"/>
    <row r="18546" ht="15.75" hidden="1" customHeight="1"/>
    <row r="18547" ht="15.75" hidden="1" customHeight="1"/>
    <row r="18548" ht="15.75" hidden="1" customHeight="1"/>
    <row r="18549" ht="15.75" hidden="1" customHeight="1"/>
    <row r="18550" ht="15.75" hidden="1" customHeight="1"/>
    <row r="18551" ht="15.75" hidden="1" customHeight="1"/>
    <row r="18552" ht="15.75" hidden="1" customHeight="1"/>
    <row r="18553" ht="15.75" hidden="1" customHeight="1"/>
    <row r="18554" ht="15.75" hidden="1" customHeight="1"/>
    <row r="18555" ht="15.75" hidden="1" customHeight="1"/>
    <row r="18556" ht="15.75" hidden="1" customHeight="1"/>
    <row r="18557" ht="15.75" hidden="1" customHeight="1"/>
    <row r="18558" ht="15.75" hidden="1" customHeight="1"/>
    <row r="18559" ht="15.75" hidden="1" customHeight="1"/>
    <row r="18560" ht="15.75" hidden="1" customHeight="1"/>
    <row r="18561" ht="15.75" hidden="1" customHeight="1"/>
    <row r="18562" ht="15.75" hidden="1" customHeight="1"/>
    <row r="18563" ht="15.75" hidden="1" customHeight="1"/>
    <row r="18564" ht="15.75" hidden="1" customHeight="1"/>
    <row r="18565" ht="15.75" hidden="1" customHeight="1"/>
    <row r="18566" ht="15.75" hidden="1" customHeight="1"/>
    <row r="18567" ht="15.75" hidden="1" customHeight="1"/>
    <row r="18568" ht="15.75" hidden="1" customHeight="1"/>
    <row r="18569" ht="15.75" hidden="1" customHeight="1"/>
    <row r="18570" ht="15.75" hidden="1" customHeight="1"/>
    <row r="18571" ht="15.75" hidden="1" customHeight="1"/>
    <row r="18572" ht="15.75" hidden="1" customHeight="1"/>
    <row r="18573" ht="15.75" hidden="1" customHeight="1"/>
    <row r="18574" ht="15.75" hidden="1" customHeight="1"/>
    <row r="18575" ht="15.75" hidden="1" customHeight="1"/>
    <row r="18576" ht="15.75" hidden="1" customHeight="1"/>
    <row r="18577" ht="15.75" hidden="1" customHeight="1"/>
    <row r="18578" ht="15.75" hidden="1" customHeight="1"/>
    <row r="18579" ht="15.75" hidden="1" customHeight="1"/>
    <row r="18580" ht="15.75" hidden="1" customHeight="1"/>
    <row r="18581" ht="15.75" hidden="1" customHeight="1"/>
    <row r="18582" ht="15.75" hidden="1" customHeight="1"/>
    <row r="18583" ht="15.75" hidden="1" customHeight="1"/>
    <row r="18584" ht="15.75" hidden="1" customHeight="1"/>
    <row r="18585" ht="15.75" hidden="1" customHeight="1"/>
    <row r="18586" ht="15.75" hidden="1" customHeight="1"/>
    <row r="18587" ht="15.75" hidden="1" customHeight="1"/>
    <row r="18588" ht="15.75" hidden="1" customHeight="1"/>
    <row r="18589" ht="15.75" hidden="1" customHeight="1"/>
    <row r="18590" ht="15.75" hidden="1" customHeight="1"/>
    <row r="18591" ht="15.75" hidden="1" customHeight="1"/>
    <row r="18592" ht="15.75" hidden="1" customHeight="1"/>
    <row r="18593" ht="15.75" hidden="1" customHeight="1"/>
    <row r="18594" ht="15.75" hidden="1" customHeight="1"/>
    <row r="18595" ht="15.75" hidden="1" customHeight="1"/>
    <row r="18596" ht="15.75" hidden="1" customHeight="1"/>
    <row r="18597" ht="15.75" hidden="1" customHeight="1"/>
    <row r="18598" ht="15.75" hidden="1" customHeight="1"/>
    <row r="18599" ht="15.75" hidden="1" customHeight="1"/>
    <row r="18600" ht="15.75" hidden="1" customHeight="1"/>
    <row r="18601" ht="15.75" hidden="1" customHeight="1"/>
    <row r="18602" ht="15.75" hidden="1" customHeight="1"/>
    <row r="18603" ht="15.75" hidden="1" customHeight="1"/>
    <row r="18604" ht="15.75" hidden="1" customHeight="1"/>
    <row r="18605" ht="15.75" hidden="1" customHeight="1"/>
    <row r="18606" ht="15.75" hidden="1" customHeight="1"/>
    <row r="18607" ht="15.75" hidden="1" customHeight="1"/>
    <row r="18608" ht="15.75" hidden="1" customHeight="1"/>
    <row r="18609" ht="15.75" hidden="1" customHeight="1"/>
    <row r="18610" ht="15.75" hidden="1" customHeight="1"/>
    <row r="18611" ht="15.75" hidden="1" customHeight="1"/>
    <row r="18612" ht="15.75" hidden="1" customHeight="1"/>
    <row r="18613" ht="15.75" hidden="1" customHeight="1"/>
    <row r="18614" ht="15.75" hidden="1" customHeight="1"/>
    <row r="18615" ht="15.75" hidden="1" customHeight="1"/>
    <row r="18616" ht="15.75" hidden="1" customHeight="1"/>
    <row r="18617" ht="15.75" hidden="1" customHeight="1"/>
    <row r="18618" ht="15.75" hidden="1" customHeight="1"/>
    <row r="18619" ht="15.75" hidden="1" customHeight="1"/>
    <row r="18620" ht="15.75" hidden="1" customHeight="1"/>
    <row r="18621" ht="15.75" hidden="1" customHeight="1"/>
    <row r="18622" ht="15.75" hidden="1" customHeight="1"/>
    <row r="18623" ht="15.75" hidden="1" customHeight="1"/>
    <row r="18624" ht="15.75" hidden="1" customHeight="1"/>
    <row r="18625" ht="15.75" hidden="1" customHeight="1"/>
    <row r="18626" ht="15.75" hidden="1" customHeight="1"/>
    <row r="18627" ht="15.75" hidden="1" customHeight="1"/>
    <row r="18628" ht="15.75" hidden="1" customHeight="1"/>
    <row r="18629" ht="15.75" hidden="1" customHeight="1"/>
    <row r="18630" ht="15.75" hidden="1" customHeight="1"/>
    <row r="18631" ht="15.75" hidden="1" customHeight="1"/>
    <row r="18632" ht="15.75" hidden="1" customHeight="1"/>
    <row r="18633" ht="15.75" hidden="1" customHeight="1"/>
    <row r="18634" ht="15.75" hidden="1" customHeight="1"/>
    <row r="18635" ht="15.75" hidden="1" customHeight="1"/>
    <row r="18636" ht="15.75" hidden="1" customHeight="1"/>
    <row r="18637" ht="15.75" hidden="1" customHeight="1"/>
    <row r="18638" ht="15.75" hidden="1" customHeight="1"/>
    <row r="18639" ht="15.75" hidden="1" customHeight="1"/>
    <row r="18640" ht="15.75" hidden="1" customHeight="1"/>
    <row r="18641" ht="15.75" hidden="1" customHeight="1"/>
    <row r="18642" ht="15.75" hidden="1" customHeight="1"/>
    <row r="18643" ht="15.75" hidden="1" customHeight="1"/>
    <row r="18644" ht="15.75" hidden="1" customHeight="1"/>
    <row r="18645" ht="15.75" hidden="1" customHeight="1"/>
    <row r="18646" ht="15.75" hidden="1" customHeight="1"/>
    <row r="18647" ht="15.75" hidden="1" customHeight="1"/>
    <row r="18648" ht="15.75" hidden="1" customHeight="1"/>
    <row r="18649" ht="15.75" hidden="1" customHeight="1"/>
    <row r="18650" ht="15.75" hidden="1" customHeight="1"/>
    <row r="18651" ht="15.75" hidden="1" customHeight="1"/>
    <row r="18652" ht="15.75" hidden="1" customHeight="1"/>
    <row r="18653" ht="15.75" hidden="1" customHeight="1"/>
    <row r="18654" ht="15.75" hidden="1" customHeight="1"/>
    <row r="18655" ht="15.75" hidden="1" customHeight="1"/>
    <row r="18656" ht="15.75" hidden="1" customHeight="1"/>
    <row r="18657" ht="15.75" hidden="1" customHeight="1"/>
    <row r="18658" ht="15.75" hidden="1" customHeight="1"/>
    <row r="18659" ht="15.75" hidden="1" customHeight="1"/>
    <row r="18660" ht="15.75" hidden="1" customHeight="1"/>
    <row r="18661" ht="15.75" hidden="1" customHeight="1"/>
    <row r="18662" ht="15.75" hidden="1" customHeight="1"/>
    <row r="18663" ht="15.75" hidden="1" customHeight="1"/>
    <row r="18664" ht="15.75" hidden="1" customHeight="1"/>
    <row r="18665" ht="15.75" hidden="1" customHeight="1"/>
    <row r="18666" ht="15.75" hidden="1" customHeight="1"/>
    <row r="18667" ht="15.75" hidden="1" customHeight="1"/>
    <row r="18668" ht="15.75" hidden="1" customHeight="1"/>
    <row r="18669" ht="15.75" hidden="1" customHeight="1"/>
    <row r="18670" ht="15.75" hidden="1" customHeight="1"/>
    <row r="18671" ht="15.75" hidden="1" customHeight="1"/>
    <row r="18672" ht="15.75" hidden="1" customHeight="1"/>
    <row r="18673" ht="15.75" hidden="1" customHeight="1"/>
    <row r="18674" ht="15.75" hidden="1" customHeight="1"/>
    <row r="18675" ht="15.75" hidden="1" customHeight="1"/>
    <row r="18676" ht="15.75" hidden="1" customHeight="1"/>
    <row r="18677" ht="15.75" hidden="1" customHeight="1"/>
    <row r="18678" ht="15.75" hidden="1" customHeight="1"/>
    <row r="18679" ht="15.75" hidden="1" customHeight="1"/>
    <row r="18680" ht="15.75" hidden="1" customHeight="1"/>
    <row r="18681" ht="15.75" hidden="1" customHeight="1"/>
    <row r="18682" ht="15.75" hidden="1" customHeight="1"/>
    <row r="18683" ht="15.75" hidden="1" customHeight="1"/>
    <row r="18684" ht="15.75" hidden="1" customHeight="1"/>
    <row r="18685" ht="15.75" hidden="1" customHeight="1"/>
    <row r="18686" ht="15.75" hidden="1" customHeight="1"/>
    <row r="18687" ht="15.75" hidden="1" customHeight="1"/>
    <row r="18688" ht="15.75" hidden="1" customHeight="1"/>
    <row r="18689" ht="15.75" hidden="1" customHeight="1"/>
    <row r="18690" ht="15.75" hidden="1" customHeight="1"/>
    <row r="18691" ht="15.75" hidden="1" customHeight="1"/>
    <row r="18692" ht="15.75" hidden="1" customHeight="1"/>
    <row r="18693" ht="15.75" hidden="1" customHeight="1"/>
    <row r="18694" ht="15.75" hidden="1" customHeight="1"/>
    <row r="18695" ht="15.75" hidden="1" customHeight="1"/>
    <row r="18696" ht="15.75" hidden="1" customHeight="1"/>
    <row r="18697" ht="15.75" hidden="1" customHeight="1"/>
    <row r="18698" ht="15.75" hidden="1" customHeight="1"/>
    <row r="18699" ht="15.75" hidden="1" customHeight="1"/>
    <row r="18700" ht="15.75" hidden="1" customHeight="1"/>
    <row r="18701" ht="15.75" hidden="1" customHeight="1"/>
    <row r="18702" ht="15.75" hidden="1" customHeight="1"/>
    <row r="18703" ht="15.75" hidden="1" customHeight="1"/>
    <row r="18704" ht="15.75" hidden="1" customHeight="1"/>
    <row r="18705" ht="15.75" hidden="1" customHeight="1"/>
    <row r="18706" ht="15.75" hidden="1" customHeight="1"/>
    <row r="18707" ht="15.75" hidden="1" customHeight="1"/>
    <row r="18708" ht="15.75" hidden="1" customHeight="1"/>
    <row r="18709" ht="15.75" hidden="1" customHeight="1"/>
    <row r="18710" ht="15.75" hidden="1" customHeight="1"/>
    <row r="18711" ht="15.75" hidden="1" customHeight="1"/>
    <row r="18712" ht="15.75" hidden="1" customHeight="1"/>
    <row r="18713" ht="15.75" hidden="1" customHeight="1"/>
    <row r="18714" ht="15.75" hidden="1" customHeight="1"/>
    <row r="18715" ht="15.75" hidden="1" customHeight="1"/>
    <row r="18716" ht="15.75" hidden="1" customHeight="1"/>
    <row r="18717" ht="15.75" hidden="1" customHeight="1"/>
    <row r="18718" ht="15.75" hidden="1" customHeight="1"/>
    <row r="18719" ht="15.75" hidden="1" customHeight="1"/>
    <row r="18720" ht="15.75" hidden="1" customHeight="1"/>
    <row r="18721" ht="15.75" hidden="1" customHeight="1"/>
    <row r="18722" ht="15.75" hidden="1" customHeight="1"/>
    <row r="18723" ht="15.75" hidden="1" customHeight="1"/>
    <row r="18724" ht="15.75" hidden="1" customHeight="1"/>
    <row r="18725" ht="15.75" hidden="1" customHeight="1"/>
    <row r="18726" ht="15.75" hidden="1" customHeight="1"/>
    <row r="18727" ht="15.75" hidden="1" customHeight="1"/>
    <row r="18728" ht="15.75" hidden="1" customHeight="1"/>
    <row r="18729" ht="15.75" hidden="1" customHeight="1"/>
    <row r="18730" ht="15.75" hidden="1" customHeight="1"/>
    <row r="18731" ht="15.75" hidden="1" customHeight="1"/>
    <row r="18732" ht="15.75" hidden="1" customHeight="1"/>
    <row r="18733" ht="15.75" hidden="1" customHeight="1"/>
    <row r="18734" ht="15.75" hidden="1" customHeight="1"/>
    <row r="18735" ht="15.75" hidden="1" customHeight="1"/>
    <row r="18736" ht="15.75" hidden="1" customHeight="1"/>
    <row r="18737" ht="15.75" hidden="1" customHeight="1"/>
    <row r="18738" ht="15.75" hidden="1" customHeight="1"/>
    <row r="18739" ht="15.75" hidden="1" customHeight="1"/>
    <row r="18740" ht="15.75" hidden="1" customHeight="1"/>
    <row r="18741" ht="15.75" hidden="1" customHeight="1"/>
    <row r="18742" ht="15.75" hidden="1" customHeight="1"/>
    <row r="18743" ht="15.75" hidden="1" customHeight="1"/>
    <row r="18744" ht="15.75" hidden="1" customHeight="1"/>
    <row r="18745" ht="15.75" hidden="1" customHeight="1"/>
    <row r="18746" ht="15.75" hidden="1" customHeight="1"/>
    <row r="18747" ht="15.75" hidden="1" customHeight="1"/>
    <row r="18748" ht="15.75" hidden="1" customHeight="1"/>
    <row r="18749" ht="15.75" hidden="1" customHeight="1"/>
    <row r="18750" ht="15.75" hidden="1" customHeight="1"/>
    <row r="18751" ht="15.75" hidden="1" customHeight="1"/>
    <row r="18752" ht="15.75" hidden="1" customHeight="1"/>
    <row r="18753" ht="15.75" hidden="1" customHeight="1"/>
    <row r="18754" ht="15.75" hidden="1" customHeight="1"/>
    <row r="18755" ht="15.75" hidden="1" customHeight="1"/>
    <row r="18756" ht="15.75" hidden="1" customHeight="1"/>
    <row r="18757" ht="15.75" hidden="1" customHeight="1"/>
    <row r="18758" ht="15.75" hidden="1" customHeight="1"/>
    <row r="18759" ht="15.75" hidden="1" customHeight="1"/>
    <row r="18760" ht="15.75" hidden="1" customHeight="1"/>
    <row r="18761" ht="15.75" hidden="1" customHeight="1"/>
    <row r="18762" ht="15.75" hidden="1" customHeight="1"/>
    <row r="18763" ht="15.75" hidden="1" customHeight="1"/>
    <row r="18764" ht="15.75" hidden="1" customHeight="1"/>
    <row r="18765" ht="15.75" hidden="1" customHeight="1"/>
    <row r="18766" ht="15.75" hidden="1" customHeight="1"/>
    <row r="18767" ht="15.75" hidden="1" customHeight="1"/>
    <row r="18768" ht="15.75" hidden="1" customHeight="1"/>
    <row r="18769" ht="15.75" hidden="1" customHeight="1"/>
    <row r="18770" ht="15.75" hidden="1" customHeight="1"/>
    <row r="18771" ht="15.75" hidden="1" customHeight="1"/>
    <row r="18772" ht="15.75" hidden="1" customHeight="1"/>
    <row r="18773" ht="15.75" hidden="1" customHeight="1"/>
    <row r="18774" ht="15.75" hidden="1" customHeight="1"/>
    <row r="18775" ht="15.75" hidden="1" customHeight="1"/>
    <row r="18776" ht="15.75" hidden="1" customHeight="1"/>
    <row r="18777" ht="15.75" hidden="1" customHeight="1"/>
    <row r="18778" ht="15.75" hidden="1" customHeight="1"/>
    <row r="18779" ht="15.75" hidden="1" customHeight="1"/>
    <row r="18780" ht="15.75" hidden="1" customHeight="1"/>
    <row r="18781" ht="15.75" hidden="1" customHeight="1"/>
    <row r="18782" ht="15.75" hidden="1" customHeight="1"/>
    <row r="18783" ht="15.75" hidden="1" customHeight="1"/>
    <row r="18784" ht="15.75" hidden="1" customHeight="1"/>
    <row r="18785" ht="15.75" hidden="1" customHeight="1"/>
    <row r="18786" ht="15.75" hidden="1" customHeight="1"/>
    <row r="18787" ht="15.75" hidden="1" customHeight="1"/>
    <row r="18788" ht="15.75" hidden="1" customHeight="1"/>
    <row r="18789" ht="15.75" hidden="1" customHeight="1"/>
    <row r="18790" ht="15.75" hidden="1" customHeight="1"/>
    <row r="18791" ht="15.75" hidden="1" customHeight="1"/>
    <row r="18792" ht="15.75" hidden="1" customHeight="1"/>
    <row r="18793" ht="15.75" hidden="1" customHeight="1"/>
    <row r="18794" ht="15.75" hidden="1" customHeight="1"/>
    <row r="18795" ht="15.75" hidden="1" customHeight="1"/>
    <row r="18796" ht="15.75" hidden="1" customHeight="1"/>
    <row r="18797" ht="15.75" hidden="1" customHeight="1"/>
    <row r="18798" ht="15.75" hidden="1" customHeight="1"/>
    <row r="18799" ht="15.75" hidden="1" customHeight="1"/>
    <row r="18800" ht="15.75" hidden="1" customHeight="1"/>
    <row r="18801" ht="15.75" hidden="1" customHeight="1"/>
    <row r="18802" ht="15.75" hidden="1" customHeight="1"/>
    <row r="18803" ht="15.75" hidden="1" customHeight="1"/>
    <row r="18804" ht="15.75" hidden="1" customHeight="1"/>
    <row r="18805" ht="15.75" hidden="1" customHeight="1"/>
    <row r="18806" ht="15.75" hidden="1" customHeight="1"/>
    <row r="18807" ht="15.75" hidden="1" customHeight="1"/>
    <row r="18808" ht="15.75" hidden="1" customHeight="1"/>
    <row r="18809" ht="15.75" hidden="1" customHeight="1"/>
    <row r="18810" ht="15.75" hidden="1" customHeight="1"/>
    <row r="18811" ht="15.75" hidden="1" customHeight="1"/>
    <row r="18812" ht="15.75" hidden="1" customHeight="1"/>
    <row r="18813" ht="15.75" hidden="1" customHeight="1"/>
    <row r="18814" ht="15.75" hidden="1" customHeight="1"/>
    <row r="18815" ht="15.75" hidden="1" customHeight="1"/>
    <row r="18816" ht="15.75" hidden="1" customHeight="1"/>
    <row r="18817" ht="15.75" hidden="1" customHeight="1"/>
    <row r="18818" ht="15.75" hidden="1" customHeight="1"/>
    <row r="18819" ht="15.75" hidden="1" customHeight="1"/>
    <row r="18820" ht="15.75" hidden="1" customHeight="1"/>
    <row r="18821" ht="15.75" hidden="1" customHeight="1"/>
    <row r="18822" ht="15.75" hidden="1" customHeight="1"/>
    <row r="18823" ht="15.75" hidden="1" customHeight="1"/>
    <row r="18824" ht="15.75" hidden="1" customHeight="1"/>
    <row r="18825" ht="15.75" hidden="1" customHeight="1"/>
    <row r="18826" ht="15.75" hidden="1" customHeight="1"/>
    <row r="18827" ht="15.75" hidden="1" customHeight="1"/>
    <row r="18828" ht="15.75" hidden="1" customHeight="1"/>
    <row r="18829" ht="15.75" hidden="1" customHeight="1"/>
    <row r="18830" ht="15.75" hidden="1" customHeight="1"/>
    <row r="18831" ht="15.75" hidden="1" customHeight="1"/>
    <row r="18832" ht="15.75" hidden="1" customHeight="1"/>
    <row r="18833" ht="15.75" hidden="1" customHeight="1"/>
    <row r="18834" ht="15.75" hidden="1" customHeight="1"/>
    <row r="18835" ht="15.75" hidden="1" customHeight="1"/>
    <row r="18836" ht="15.75" hidden="1" customHeight="1"/>
    <row r="18837" ht="15.75" hidden="1" customHeight="1"/>
    <row r="18838" ht="15.75" hidden="1" customHeight="1"/>
    <row r="18839" ht="15.75" hidden="1" customHeight="1"/>
    <row r="18840" ht="15.75" hidden="1" customHeight="1"/>
    <row r="18841" ht="15.75" hidden="1" customHeight="1"/>
    <row r="18842" ht="15.75" hidden="1" customHeight="1"/>
    <row r="18843" ht="15.75" hidden="1" customHeight="1"/>
    <row r="18844" ht="15.75" hidden="1" customHeight="1"/>
    <row r="18845" ht="15.75" hidden="1" customHeight="1"/>
    <row r="18846" ht="15.75" hidden="1" customHeight="1"/>
    <row r="18847" ht="15.75" hidden="1" customHeight="1"/>
    <row r="18848" ht="15.75" hidden="1" customHeight="1"/>
    <row r="18849" ht="15.75" hidden="1" customHeight="1"/>
    <row r="18850" ht="15.75" hidden="1" customHeight="1"/>
    <row r="18851" ht="15.75" hidden="1" customHeight="1"/>
    <row r="18852" ht="15.75" hidden="1" customHeight="1"/>
    <row r="18853" ht="15.75" hidden="1" customHeight="1"/>
    <row r="18854" ht="15.75" hidden="1" customHeight="1"/>
    <row r="18855" ht="15.75" hidden="1" customHeight="1"/>
    <row r="18856" ht="15.75" hidden="1" customHeight="1"/>
    <row r="18857" ht="15.75" hidden="1" customHeight="1"/>
    <row r="18858" ht="15.75" hidden="1" customHeight="1"/>
    <row r="18859" ht="15.75" hidden="1" customHeight="1"/>
    <row r="18860" ht="15.75" hidden="1" customHeight="1"/>
    <row r="18861" ht="15.75" hidden="1" customHeight="1"/>
    <row r="18862" ht="15.75" hidden="1" customHeight="1"/>
    <row r="18863" ht="15.75" hidden="1" customHeight="1"/>
    <row r="18864" ht="15.75" hidden="1" customHeight="1"/>
    <row r="18865" ht="15.75" hidden="1" customHeight="1"/>
    <row r="18866" ht="15.75" hidden="1" customHeight="1"/>
    <row r="18867" ht="15.75" hidden="1" customHeight="1"/>
    <row r="18868" ht="15.75" hidden="1" customHeight="1"/>
    <row r="18869" ht="15.75" hidden="1" customHeight="1"/>
    <row r="18870" ht="15.75" hidden="1" customHeight="1"/>
    <row r="18871" ht="15.75" hidden="1" customHeight="1"/>
    <row r="18872" ht="15.75" hidden="1" customHeight="1"/>
    <row r="18873" ht="15.75" hidden="1" customHeight="1"/>
    <row r="18874" ht="15.75" hidden="1" customHeight="1"/>
    <row r="18875" ht="15.75" hidden="1" customHeight="1"/>
    <row r="18876" ht="15.75" hidden="1" customHeight="1"/>
    <row r="18877" ht="15.75" hidden="1" customHeight="1"/>
    <row r="18878" ht="15.75" hidden="1" customHeight="1"/>
    <row r="18879" ht="15.75" hidden="1" customHeight="1"/>
    <row r="18880" ht="15.75" hidden="1" customHeight="1"/>
    <row r="18881" ht="15.75" hidden="1" customHeight="1"/>
    <row r="18882" ht="15.75" hidden="1" customHeight="1"/>
    <row r="18883" ht="15.75" hidden="1" customHeight="1"/>
    <row r="18884" ht="15.75" hidden="1" customHeight="1"/>
    <row r="18885" ht="15.75" hidden="1" customHeight="1"/>
    <row r="18886" ht="15.75" hidden="1" customHeight="1"/>
    <row r="18887" ht="15.75" hidden="1" customHeight="1"/>
    <row r="18888" ht="15.75" hidden="1" customHeight="1"/>
    <row r="18889" ht="15.75" hidden="1" customHeight="1"/>
    <row r="18890" ht="15.75" hidden="1" customHeight="1"/>
    <row r="18891" ht="15.75" hidden="1" customHeight="1"/>
    <row r="18892" ht="15.75" hidden="1" customHeight="1"/>
    <row r="18893" ht="15.75" hidden="1" customHeight="1"/>
    <row r="18894" ht="15.75" hidden="1" customHeight="1"/>
    <row r="18895" ht="15.75" hidden="1" customHeight="1"/>
    <row r="18896" ht="15.75" hidden="1" customHeight="1"/>
    <row r="18897" ht="15.75" hidden="1" customHeight="1"/>
    <row r="18898" ht="15.75" hidden="1" customHeight="1"/>
    <row r="18899" ht="15.75" hidden="1" customHeight="1"/>
    <row r="18900" ht="15.75" hidden="1" customHeight="1"/>
    <row r="18901" ht="15.75" hidden="1" customHeight="1"/>
    <row r="18902" ht="15.75" hidden="1" customHeight="1"/>
    <row r="18903" ht="15.75" hidden="1" customHeight="1"/>
    <row r="18904" ht="15.75" hidden="1" customHeight="1"/>
    <row r="18905" ht="15.75" hidden="1" customHeight="1"/>
    <row r="18906" ht="15.75" hidden="1" customHeight="1"/>
    <row r="18907" ht="15.75" hidden="1" customHeight="1"/>
    <row r="18908" ht="15.75" hidden="1" customHeight="1"/>
    <row r="18909" ht="15.75" hidden="1" customHeight="1"/>
    <row r="18910" ht="15.75" hidden="1" customHeight="1"/>
    <row r="18911" ht="15.75" hidden="1" customHeight="1"/>
    <row r="18912" ht="15.75" hidden="1" customHeight="1"/>
    <row r="18913" ht="15.75" hidden="1" customHeight="1"/>
    <row r="18914" ht="15.75" hidden="1" customHeight="1"/>
    <row r="18915" ht="15.75" hidden="1" customHeight="1"/>
    <row r="18916" ht="15.75" hidden="1" customHeight="1"/>
    <row r="18917" ht="15.75" hidden="1" customHeight="1"/>
    <row r="18918" ht="15.75" hidden="1" customHeight="1"/>
    <row r="18919" ht="15.75" hidden="1" customHeight="1"/>
    <row r="18920" ht="15.75" hidden="1" customHeight="1"/>
    <row r="18921" ht="15.75" hidden="1" customHeight="1"/>
    <row r="18922" ht="15.75" hidden="1" customHeight="1"/>
    <row r="18923" ht="15.75" hidden="1" customHeight="1"/>
    <row r="18924" ht="15.75" hidden="1" customHeight="1"/>
    <row r="18925" ht="15.75" hidden="1" customHeight="1"/>
    <row r="18926" ht="15.75" hidden="1" customHeight="1"/>
    <row r="18927" ht="15.75" hidden="1" customHeight="1"/>
    <row r="18928" ht="15.75" hidden="1" customHeight="1"/>
    <row r="18929" ht="15.75" hidden="1" customHeight="1"/>
    <row r="18930" ht="15.75" hidden="1" customHeight="1"/>
    <row r="18931" ht="15.75" hidden="1" customHeight="1"/>
    <row r="18932" ht="15.75" hidden="1" customHeight="1"/>
    <row r="18933" ht="15.75" hidden="1" customHeight="1"/>
    <row r="18934" ht="15.75" hidden="1" customHeight="1"/>
    <row r="18935" ht="15.75" hidden="1" customHeight="1"/>
    <row r="18936" ht="15.75" hidden="1" customHeight="1"/>
    <row r="18937" ht="15.75" hidden="1" customHeight="1"/>
    <row r="18938" ht="15.75" hidden="1" customHeight="1"/>
    <row r="18939" ht="15.75" hidden="1" customHeight="1"/>
    <row r="18940" ht="15.75" hidden="1" customHeight="1"/>
    <row r="18941" ht="15.75" hidden="1" customHeight="1"/>
    <row r="18942" ht="15.75" hidden="1" customHeight="1"/>
    <row r="18943" ht="15.75" hidden="1" customHeight="1"/>
    <row r="18944" ht="15.75" hidden="1" customHeight="1"/>
    <row r="18945" ht="15.75" hidden="1" customHeight="1"/>
    <row r="18946" ht="15.75" hidden="1" customHeight="1"/>
    <row r="18947" ht="15.75" hidden="1" customHeight="1"/>
    <row r="18948" ht="15.75" hidden="1" customHeight="1"/>
    <row r="18949" ht="15.75" hidden="1" customHeight="1"/>
    <row r="18950" ht="15.75" hidden="1" customHeight="1"/>
    <row r="18951" ht="15.75" hidden="1" customHeight="1"/>
    <row r="18952" ht="15.75" hidden="1" customHeight="1"/>
    <row r="18953" ht="15.75" hidden="1" customHeight="1"/>
    <row r="18954" ht="15.75" hidden="1" customHeight="1"/>
    <row r="18955" ht="15.75" hidden="1" customHeight="1"/>
    <row r="18956" ht="15.75" hidden="1" customHeight="1"/>
    <row r="18957" ht="15.75" hidden="1" customHeight="1"/>
    <row r="18958" ht="15.75" hidden="1" customHeight="1"/>
    <row r="18959" ht="15.75" hidden="1" customHeight="1"/>
    <row r="18960" ht="15.75" hidden="1" customHeight="1"/>
    <row r="18961" ht="15.75" hidden="1" customHeight="1"/>
    <row r="18962" ht="15.75" hidden="1" customHeight="1"/>
    <row r="18963" ht="15.75" hidden="1" customHeight="1"/>
    <row r="18964" ht="15.75" hidden="1" customHeight="1"/>
    <row r="18965" ht="15.75" hidden="1" customHeight="1"/>
    <row r="18966" ht="15.75" hidden="1" customHeight="1"/>
    <row r="18967" ht="15.75" hidden="1" customHeight="1"/>
    <row r="18968" ht="15.75" hidden="1" customHeight="1"/>
    <row r="18969" ht="15.75" hidden="1" customHeight="1"/>
    <row r="18970" ht="15.75" hidden="1" customHeight="1"/>
    <row r="18971" ht="15.75" hidden="1" customHeight="1"/>
    <row r="18972" ht="15.75" hidden="1" customHeight="1"/>
    <row r="18973" ht="15.75" hidden="1" customHeight="1"/>
    <row r="18974" ht="15.75" hidden="1" customHeight="1"/>
    <row r="18975" ht="15.75" hidden="1" customHeight="1"/>
    <row r="18976" ht="15.75" hidden="1" customHeight="1"/>
    <row r="18977" ht="15.75" hidden="1" customHeight="1"/>
    <row r="18978" ht="15.75" hidden="1" customHeight="1"/>
    <row r="18979" ht="15.75" hidden="1" customHeight="1"/>
    <row r="18980" ht="15.75" hidden="1" customHeight="1"/>
    <row r="18981" ht="15.75" hidden="1" customHeight="1"/>
    <row r="18982" ht="15.75" hidden="1" customHeight="1"/>
    <row r="18983" ht="15.75" hidden="1" customHeight="1"/>
    <row r="18984" ht="15.75" hidden="1" customHeight="1"/>
    <row r="18985" ht="15.75" hidden="1" customHeight="1"/>
    <row r="18986" ht="15.75" hidden="1" customHeight="1"/>
    <row r="18987" ht="15.75" hidden="1" customHeight="1"/>
    <row r="18988" ht="15.75" hidden="1" customHeight="1"/>
    <row r="18989" ht="15.75" hidden="1" customHeight="1"/>
    <row r="18990" ht="15.75" hidden="1" customHeight="1"/>
    <row r="18991" ht="15.75" hidden="1" customHeight="1"/>
    <row r="18992" ht="15.75" hidden="1" customHeight="1"/>
    <row r="18993" ht="15.75" hidden="1" customHeight="1"/>
    <row r="18994" ht="15.75" hidden="1" customHeight="1"/>
    <row r="18995" ht="15.75" hidden="1" customHeight="1"/>
    <row r="18996" ht="15.75" hidden="1" customHeight="1"/>
    <row r="18997" ht="15.75" hidden="1" customHeight="1"/>
    <row r="18998" ht="15.75" hidden="1" customHeight="1"/>
    <row r="18999" ht="15.75" hidden="1" customHeight="1"/>
    <row r="19000" ht="15.75" hidden="1" customHeight="1"/>
    <row r="19001" ht="15.75" hidden="1" customHeight="1"/>
    <row r="19002" ht="15.75" hidden="1" customHeight="1"/>
    <row r="19003" ht="15.75" hidden="1" customHeight="1"/>
    <row r="19004" ht="15.75" hidden="1" customHeight="1"/>
    <row r="19005" ht="15.75" hidden="1" customHeight="1"/>
    <row r="19006" ht="15.75" hidden="1" customHeight="1"/>
    <row r="19007" ht="15.75" hidden="1" customHeight="1"/>
    <row r="19008" ht="15.75" hidden="1" customHeight="1"/>
    <row r="19009" ht="15.75" hidden="1" customHeight="1"/>
    <row r="19010" ht="15.75" hidden="1" customHeight="1"/>
    <row r="19011" ht="15.75" hidden="1" customHeight="1"/>
    <row r="19012" ht="15.75" hidden="1" customHeight="1"/>
    <row r="19013" ht="15.75" hidden="1" customHeight="1"/>
    <row r="19014" ht="15.75" hidden="1" customHeight="1"/>
    <row r="19015" ht="15.75" hidden="1" customHeight="1"/>
    <row r="19016" ht="15.75" hidden="1" customHeight="1"/>
    <row r="19017" ht="15.75" hidden="1" customHeight="1"/>
    <row r="19018" ht="15.75" hidden="1" customHeight="1"/>
    <row r="19019" ht="15.75" hidden="1" customHeight="1"/>
    <row r="19020" ht="15.75" hidden="1" customHeight="1"/>
    <row r="19021" ht="15.75" hidden="1" customHeight="1"/>
    <row r="19022" ht="15.75" hidden="1" customHeight="1"/>
    <row r="19023" ht="15.75" hidden="1" customHeight="1"/>
    <row r="19024" ht="15.75" hidden="1" customHeight="1"/>
    <row r="19025" ht="15.75" hidden="1" customHeight="1"/>
    <row r="19026" ht="15.75" hidden="1" customHeight="1"/>
    <row r="19027" ht="15.75" hidden="1" customHeight="1"/>
    <row r="19028" ht="15.75" hidden="1" customHeight="1"/>
    <row r="19029" ht="15.75" hidden="1" customHeight="1"/>
    <row r="19030" ht="15.75" hidden="1" customHeight="1"/>
    <row r="19031" ht="15.75" hidden="1" customHeight="1"/>
    <row r="19032" ht="15.75" hidden="1" customHeight="1"/>
    <row r="19033" ht="15.75" hidden="1" customHeight="1"/>
    <row r="19034" ht="15.75" hidden="1" customHeight="1"/>
    <row r="19035" ht="15.75" hidden="1" customHeight="1"/>
    <row r="19036" ht="15.75" hidden="1" customHeight="1"/>
    <row r="19037" ht="15.75" hidden="1" customHeight="1"/>
    <row r="19038" ht="15.75" hidden="1" customHeight="1"/>
    <row r="19039" ht="15.75" hidden="1" customHeight="1"/>
    <row r="19040" ht="15.75" hidden="1" customHeight="1"/>
    <row r="19041" ht="15.75" hidden="1" customHeight="1"/>
    <row r="19042" ht="15.75" hidden="1" customHeight="1"/>
    <row r="19043" ht="15.75" hidden="1" customHeight="1"/>
    <row r="19044" ht="15.75" hidden="1" customHeight="1"/>
    <row r="19045" ht="15.75" hidden="1" customHeight="1"/>
    <row r="19046" ht="15.75" hidden="1" customHeight="1"/>
    <row r="19047" ht="15.75" hidden="1" customHeight="1"/>
    <row r="19048" ht="15.75" hidden="1" customHeight="1"/>
    <row r="19049" ht="15.75" hidden="1" customHeight="1"/>
    <row r="19050" ht="15.75" hidden="1" customHeight="1"/>
    <row r="19051" ht="15.75" hidden="1" customHeight="1"/>
    <row r="19052" ht="15.75" hidden="1" customHeight="1"/>
    <row r="19053" ht="15.75" hidden="1" customHeight="1"/>
    <row r="19054" ht="15.75" hidden="1" customHeight="1"/>
    <row r="19055" ht="15.75" hidden="1" customHeight="1"/>
    <row r="19056" ht="15.75" hidden="1" customHeight="1"/>
    <row r="19057" ht="15.75" hidden="1" customHeight="1"/>
    <row r="19058" ht="15.75" hidden="1" customHeight="1"/>
    <row r="19059" ht="15.75" hidden="1" customHeight="1"/>
    <row r="19060" ht="15.75" hidden="1" customHeight="1"/>
    <row r="19061" ht="15.75" hidden="1" customHeight="1"/>
    <row r="19062" ht="15.75" hidden="1" customHeight="1"/>
    <row r="19063" ht="15.75" hidden="1" customHeight="1"/>
    <row r="19064" ht="15.75" hidden="1" customHeight="1"/>
    <row r="19065" ht="15.75" hidden="1" customHeight="1"/>
    <row r="19066" ht="15.75" hidden="1" customHeight="1"/>
    <row r="19067" ht="15.75" hidden="1" customHeight="1"/>
    <row r="19068" ht="15.75" hidden="1" customHeight="1"/>
    <row r="19069" ht="15.75" hidden="1" customHeight="1"/>
    <row r="19070" ht="15.75" hidden="1" customHeight="1"/>
    <row r="19071" ht="15.75" hidden="1" customHeight="1"/>
    <row r="19072" ht="15.75" hidden="1" customHeight="1"/>
    <row r="19073" ht="15.75" hidden="1" customHeight="1"/>
    <row r="19074" ht="15.75" hidden="1" customHeight="1"/>
    <row r="19075" ht="15.75" hidden="1" customHeight="1"/>
    <row r="19076" ht="15.75" hidden="1" customHeight="1"/>
    <row r="19077" ht="15.75" hidden="1" customHeight="1"/>
    <row r="19078" ht="15.75" hidden="1" customHeight="1"/>
    <row r="19079" ht="15.75" hidden="1" customHeight="1"/>
    <row r="19080" ht="15.75" hidden="1" customHeight="1"/>
    <row r="19081" ht="15.75" hidden="1" customHeight="1"/>
    <row r="19082" ht="15.75" hidden="1" customHeight="1"/>
    <row r="19083" ht="15.75" hidden="1" customHeight="1"/>
    <row r="19084" ht="15.75" hidden="1" customHeight="1"/>
    <row r="19085" ht="15.75" hidden="1" customHeight="1"/>
    <row r="19086" ht="15.75" hidden="1" customHeight="1"/>
    <row r="19087" ht="15.75" hidden="1" customHeight="1"/>
    <row r="19088" ht="15.75" hidden="1" customHeight="1"/>
    <row r="19089" ht="15.75" hidden="1" customHeight="1"/>
    <row r="19090" ht="15.75" hidden="1" customHeight="1"/>
    <row r="19091" ht="15.75" hidden="1" customHeight="1"/>
    <row r="19092" ht="15.75" hidden="1" customHeight="1"/>
    <row r="19093" ht="15.75" hidden="1" customHeight="1"/>
    <row r="19094" ht="15.75" hidden="1" customHeight="1"/>
    <row r="19095" ht="15.75" hidden="1" customHeight="1"/>
    <row r="19096" ht="15.75" hidden="1" customHeight="1"/>
    <row r="19097" ht="15.75" hidden="1" customHeight="1"/>
    <row r="19098" ht="15.75" hidden="1" customHeight="1"/>
    <row r="19099" ht="15.75" hidden="1" customHeight="1"/>
    <row r="19100" ht="15.75" hidden="1" customHeight="1"/>
    <row r="19101" ht="15.75" hidden="1" customHeight="1"/>
    <row r="19102" ht="15.75" hidden="1" customHeight="1"/>
    <row r="19103" ht="15.75" hidden="1" customHeight="1"/>
    <row r="19104" ht="15.75" hidden="1" customHeight="1"/>
    <row r="19105" ht="15.75" hidden="1" customHeight="1"/>
    <row r="19106" ht="15.75" hidden="1" customHeight="1"/>
    <row r="19107" ht="15.75" hidden="1" customHeight="1"/>
    <row r="19108" ht="15.75" hidden="1" customHeight="1"/>
    <row r="19109" ht="15.75" hidden="1" customHeight="1"/>
    <row r="19110" ht="15.75" hidden="1" customHeight="1"/>
    <row r="19111" ht="15.75" hidden="1" customHeight="1"/>
    <row r="19112" ht="15.75" hidden="1" customHeight="1"/>
    <row r="19113" ht="15.75" hidden="1" customHeight="1"/>
    <row r="19114" ht="15.75" hidden="1" customHeight="1"/>
    <row r="19115" ht="15.75" hidden="1" customHeight="1"/>
    <row r="19116" ht="15.75" hidden="1" customHeight="1"/>
    <row r="19117" ht="15.75" hidden="1" customHeight="1"/>
    <row r="19118" ht="15.75" hidden="1" customHeight="1"/>
    <row r="19119" ht="15.75" hidden="1" customHeight="1"/>
    <row r="19120" ht="15.75" hidden="1" customHeight="1"/>
    <row r="19121" ht="15.75" hidden="1" customHeight="1"/>
    <row r="19122" ht="15.75" hidden="1" customHeight="1"/>
    <row r="19123" ht="15.75" hidden="1" customHeight="1"/>
    <row r="19124" ht="15.75" hidden="1" customHeight="1"/>
    <row r="19125" ht="15.75" hidden="1" customHeight="1"/>
    <row r="19126" ht="15.75" hidden="1" customHeight="1"/>
    <row r="19127" ht="15.75" hidden="1" customHeight="1"/>
    <row r="19128" ht="15.75" hidden="1" customHeight="1"/>
    <row r="19129" ht="15.75" hidden="1" customHeight="1"/>
    <row r="19130" ht="15.75" hidden="1" customHeight="1"/>
    <row r="19131" ht="15.75" hidden="1" customHeight="1"/>
    <row r="19132" ht="15.75" hidden="1" customHeight="1"/>
    <row r="19133" ht="15.75" hidden="1" customHeight="1"/>
    <row r="19134" ht="15.75" hidden="1" customHeight="1"/>
    <row r="19135" ht="15.75" hidden="1" customHeight="1"/>
    <row r="19136" ht="15.75" hidden="1" customHeight="1"/>
    <row r="19137" ht="15.75" hidden="1" customHeight="1"/>
    <row r="19138" ht="15.75" hidden="1" customHeight="1"/>
    <row r="19139" ht="15.75" hidden="1" customHeight="1"/>
    <row r="19140" ht="15.75" hidden="1" customHeight="1"/>
    <row r="19141" ht="15.75" hidden="1" customHeight="1"/>
    <row r="19142" ht="15.75" hidden="1" customHeight="1"/>
    <row r="19143" ht="15.75" hidden="1" customHeight="1"/>
    <row r="19144" ht="15.75" hidden="1" customHeight="1"/>
    <row r="19145" ht="15.75" hidden="1" customHeight="1"/>
    <row r="19146" ht="15.75" hidden="1" customHeight="1"/>
    <row r="19147" ht="15.75" hidden="1" customHeight="1"/>
    <row r="19148" ht="15.75" hidden="1" customHeight="1"/>
    <row r="19149" ht="15.75" hidden="1" customHeight="1"/>
    <row r="19150" ht="15.75" hidden="1" customHeight="1"/>
    <row r="19151" ht="15.75" hidden="1" customHeight="1"/>
    <row r="19152" ht="15.75" hidden="1" customHeight="1"/>
    <row r="19153" ht="15.75" hidden="1" customHeight="1"/>
    <row r="19154" ht="15.75" hidden="1" customHeight="1"/>
    <row r="19155" ht="15.75" hidden="1" customHeight="1"/>
    <row r="19156" ht="15.75" hidden="1" customHeight="1"/>
    <row r="19157" ht="15.75" hidden="1" customHeight="1"/>
    <row r="19158" ht="15.75" hidden="1" customHeight="1"/>
    <row r="19159" ht="15.75" hidden="1" customHeight="1"/>
    <row r="19160" ht="15.75" hidden="1" customHeight="1"/>
    <row r="19161" ht="15.75" hidden="1" customHeight="1"/>
    <row r="19162" ht="15.75" hidden="1" customHeight="1"/>
    <row r="19163" ht="15.75" hidden="1" customHeight="1"/>
    <row r="19164" ht="15.75" hidden="1" customHeight="1"/>
    <row r="19165" ht="15.75" hidden="1" customHeight="1"/>
    <row r="19166" ht="15.75" hidden="1" customHeight="1"/>
    <row r="19167" ht="15.75" hidden="1" customHeight="1"/>
    <row r="19168" ht="15.75" hidden="1" customHeight="1"/>
    <row r="19169" ht="15.75" hidden="1" customHeight="1"/>
    <row r="19170" ht="15.75" hidden="1" customHeight="1"/>
    <row r="19171" ht="15.75" hidden="1" customHeight="1"/>
    <row r="19172" ht="15.75" hidden="1" customHeight="1"/>
    <row r="19173" ht="15.75" hidden="1" customHeight="1"/>
    <row r="19174" ht="15.75" hidden="1" customHeight="1"/>
    <row r="19175" ht="15.75" hidden="1" customHeight="1"/>
    <row r="19176" ht="15.75" hidden="1" customHeight="1"/>
    <row r="19177" ht="15.75" hidden="1" customHeight="1"/>
    <row r="19178" ht="15.75" hidden="1" customHeight="1"/>
    <row r="19179" ht="15.75" hidden="1" customHeight="1"/>
    <row r="19180" ht="15.75" hidden="1" customHeight="1"/>
    <row r="19181" ht="15.75" hidden="1" customHeight="1"/>
    <row r="19182" ht="15.75" hidden="1" customHeight="1"/>
    <row r="19183" ht="15.75" hidden="1" customHeight="1"/>
    <row r="19184" ht="15.75" hidden="1" customHeight="1"/>
    <row r="19185" ht="15.75" hidden="1" customHeight="1"/>
    <row r="19186" ht="15.75" hidden="1" customHeight="1"/>
    <row r="19187" ht="15.75" hidden="1" customHeight="1"/>
    <row r="19188" ht="15.75" hidden="1" customHeight="1"/>
    <row r="19189" ht="15.75" hidden="1" customHeight="1"/>
    <row r="19190" ht="15.75" hidden="1" customHeight="1"/>
    <row r="19191" ht="15.75" hidden="1" customHeight="1"/>
    <row r="19192" ht="15.75" hidden="1" customHeight="1"/>
    <row r="19193" ht="15.75" hidden="1" customHeight="1"/>
    <row r="19194" ht="15.75" hidden="1" customHeight="1"/>
    <row r="19195" ht="15.75" hidden="1" customHeight="1"/>
    <row r="19196" ht="15.75" hidden="1" customHeight="1"/>
    <row r="19197" ht="15.75" hidden="1" customHeight="1"/>
    <row r="19198" ht="15.75" hidden="1" customHeight="1"/>
    <row r="19199" ht="15.75" hidden="1" customHeight="1"/>
    <row r="19200" ht="15.75" hidden="1" customHeight="1"/>
    <row r="19201" ht="15.75" hidden="1" customHeight="1"/>
    <row r="19202" ht="15.75" hidden="1" customHeight="1"/>
    <row r="19203" ht="15.75" hidden="1" customHeight="1"/>
    <row r="19204" ht="15.75" hidden="1" customHeight="1"/>
    <row r="19205" ht="15.75" hidden="1" customHeight="1"/>
    <row r="19206" ht="15.75" hidden="1" customHeight="1"/>
    <row r="19207" ht="15.75" hidden="1" customHeight="1"/>
    <row r="19208" ht="15.75" hidden="1" customHeight="1"/>
    <row r="19209" ht="15.75" hidden="1" customHeight="1"/>
    <row r="19210" ht="15.75" hidden="1" customHeight="1"/>
    <row r="19211" ht="15.75" hidden="1" customHeight="1"/>
    <row r="19212" ht="15.75" hidden="1" customHeight="1"/>
    <row r="19213" ht="15.75" hidden="1" customHeight="1"/>
    <row r="19214" ht="15.75" hidden="1" customHeight="1"/>
    <row r="19215" ht="15.75" hidden="1" customHeight="1"/>
    <row r="19216" ht="15.75" hidden="1" customHeight="1"/>
    <row r="19217" ht="15.75" hidden="1" customHeight="1"/>
    <row r="19218" ht="15.75" hidden="1" customHeight="1"/>
    <row r="19219" ht="15.75" hidden="1" customHeight="1"/>
    <row r="19220" ht="15.75" hidden="1" customHeight="1"/>
    <row r="19221" ht="15.75" hidden="1" customHeight="1"/>
    <row r="19222" ht="15.75" hidden="1" customHeight="1"/>
    <row r="19223" ht="15.75" hidden="1" customHeight="1"/>
    <row r="19224" ht="15.75" hidden="1" customHeight="1"/>
    <row r="19225" ht="15.75" hidden="1" customHeight="1"/>
    <row r="19226" ht="15.75" hidden="1" customHeight="1"/>
    <row r="19227" ht="15.75" hidden="1" customHeight="1"/>
    <row r="19228" ht="15.75" hidden="1" customHeight="1"/>
    <row r="19229" ht="15.75" hidden="1" customHeight="1"/>
    <row r="19230" ht="15.75" hidden="1" customHeight="1"/>
    <row r="19231" ht="15.75" hidden="1" customHeight="1"/>
    <row r="19232" ht="15.75" hidden="1" customHeight="1"/>
    <row r="19233" ht="15.75" hidden="1" customHeight="1"/>
    <row r="19234" ht="15.75" hidden="1" customHeight="1"/>
    <row r="19235" ht="15.75" hidden="1" customHeight="1"/>
    <row r="19236" ht="15.75" hidden="1" customHeight="1"/>
    <row r="19237" ht="15.75" hidden="1" customHeight="1"/>
    <row r="19238" ht="15.75" hidden="1" customHeight="1"/>
    <row r="19239" ht="15.75" hidden="1" customHeight="1"/>
    <row r="19240" ht="15.75" hidden="1" customHeight="1"/>
    <row r="19241" ht="15.75" hidden="1" customHeight="1"/>
    <row r="19242" ht="15.75" hidden="1" customHeight="1"/>
    <row r="19243" ht="15.75" hidden="1" customHeight="1"/>
    <row r="19244" ht="15.75" hidden="1" customHeight="1"/>
    <row r="19245" ht="15.75" hidden="1" customHeight="1"/>
    <row r="19246" ht="15.75" hidden="1" customHeight="1"/>
    <row r="19247" ht="15.75" hidden="1" customHeight="1"/>
    <row r="19248" ht="15.75" hidden="1" customHeight="1"/>
    <row r="19249" ht="15.75" hidden="1" customHeight="1"/>
    <row r="19250" ht="15.75" hidden="1" customHeight="1"/>
    <row r="19251" ht="15.75" hidden="1" customHeight="1"/>
    <row r="19252" ht="15.75" hidden="1" customHeight="1"/>
    <row r="19253" ht="15.75" hidden="1" customHeight="1"/>
    <row r="19254" ht="15.75" hidden="1" customHeight="1"/>
    <row r="19255" ht="15.75" hidden="1" customHeight="1"/>
    <row r="19256" ht="15.75" hidden="1" customHeight="1"/>
    <row r="19257" ht="15.75" hidden="1" customHeight="1"/>
    <row r="19258" ht="15.75" hidden="1" customHeight="1"/>
    <row r="19259" ht="15.75" hidden="1" customHeight="1"/>
    <row r="19260" ht="15.75" hidden="1" customHeight="1"/>
    <row r="19261" ht="15.75" hidden="1" customHeight="1"/>
    <row r="19262" ht="15.75" hidden="1" customHeight="1"/>
    <row r="19263" ht="15.75" hidden="1" customHeight="1"/>
    <row r="19264" ht="15.75" hidden="1" customHeight="1"/>
    <row r="19265" ht="15.75" hidden="1" customHeight="1"/>
    <row r="19266" ht="15.75" hidden="1" customHeight="1"/>
    <row r="19267" ht="15.75" hidden="1" customHeight="1"/>
    <row r="19268" ht="15.75" hidden="1" customHeight="1"/>
    <row r="19269" ht="15.75" hidden="1" customHeight="1"/>
    <row r="19270" ht="15.75" hidden="1" customHeight="1"/>
    <row r="19271" ht="15.75" hidden="1" customHeight="1"/>
    <row r="19272" ht="15.75" hidden="1" customHeight="1"/>
    <row r="19273" ht="15.75" hidden="1" customHeight="1"/>
    <row r="19274" ht="15.75" hidden="1" customHeight="1"/>
    <row r="19275" ht="15.75" hidden="1" customHeight="1"/>
    <row r="19276" ht="15.75" hidden="1" customHeight="1"/>
    <row r="19277" ht="15.75" hidden="1" customHeight="1"/>
    <row r="19278" ht="15.75" hidden="1" customHeight="1"/>
    <row r="19279" ht="15.75" hidden="1" customHeight="1"/>
    <row r="19280" ht="15.75" hidden="1" customHeight="1"/>
    <row r="19281" ht="15.75" hidden="1" customHeight="1"/>
    <row r="19282" ht="15.75" hidden="1" customHeight="1"/>
    <row r="19283" ht="15.75" hidden="1" customHeight="1"/>
    <row r="19284" ht="15.75" hidden="1" customHeight="1"/>
    <row r="19285" ht="15.75" hidden="1" customHeight="1"/>
    <row r="19286" ht="15.75" hidden="1" customHeight="1"/>
    <row r="19287" ht="15.75" hidden="1" customHeight="1"/>
    <row r="19288" ht="15.75" hidden="1" customHeight="1"/>
    <row r="19289" ht="15.75" hidden="1" customHeight="1"/>
    <row r="19290" ht="15.75" hidden="1" customHeight="1"/>
    <row r="19291" ht="15.75" hidden="1" customHeight="1"/>
    <row r="19292" ht="15.75" hidden="1" customHeight="1"/>
    <row r="19293" ht="15.75" hidden="1" customHeight="1"/>
    <row r="19294" ht="15.75" hidden="1" customHeight="1"/>
    <row r="19295" ht="15.75" hidden="1" customHeight="1"/>
    <row r="19296" ht="15.75" hidden="1" customHeight="1"/>
    <row r="19297" ht="15.75" hidden="1" customHeight="1"/>
    <row r="19298" ht="15.75" hidden="1" customHeight="1"/>
    <row r="19299" ht="15.75" hidden="1" customHeight="1"/>
    <row r="19300" ht="15.75" hidden="1" customHeight="1"/>
    <row r="19301" ht="15.75" hidden="1" customHeight="1"/>
    <row r="19302" ht="15.75" hidden="1" customHeight="1"/>
    <row r="19303" ht="15.75" hidden="1" customHeight="1"/>
    <row r="19304" ht="15.75" hidden="1" customHeight="1"/>
    <row r="19305" ht="15.75" hidden="1" customHeight="1"/>
    <row r="19306" ht="15.75" hidden="1" customHeight="1"/>
    <row r="19307" ht="15.75" hidden="1" customHeight="1"/>
    <row r="19308" ht="15.75" hidden="1" customHeight="1"/>
    <row r="19309" ht="15.75" hidden="1" customHeight="1"/>
    <row r="19310" ht="15.75" hidden="1" customHeight="1"/>
    <row r="19311" ht="15.75" hidden="1" customHeight="1"/>
    <row r="19312" ht="15.75" hidden="1" customHeight="1"/>
    <row r="19313" ht="15.75" hidden="1" customHeight="1"/>
    <row r="19314" ht="15.75" hidden="1" customHeight="1"/>
    <row r="19315" ht="15.75" hidden="1" customHeight="1"/>
    <row r="19316" ht="15.75" hidden="1" customHeight="1"/>
    <row r="19317" ht="15.75" hidden="1" customHeight="1"/>
    <row r="19318" ht="15.75" hidden="1" customHeight="1"/>
    <row r="19319" ht="15.75" hidden="1" customHeight="1"/>
    <row r="19320" ht="15.75" hidden="1" customHeight="1"/>
    <row r="19321" ht="15.75" hidden="1" customHeight="1"/>
    <row r="19322" ht="15.75" hidden="1" customHeight="1"/>
    <row r="19323" ht="15.75" hidden="1" customHeight="1"/>
    <row r="19324" ht="15.75" hidden="1" customHeight="1"/>
    <row r="19325" ht="15.75" hidden="1" customHeight="1"/>
    <row r="19326" ht="15.75" hidden="1" customHeight="1"/>
    <row r="19327" ht="15.75" hidden="1" customHeight="1"/>
    <row r="19328" ht="15.75" hidden="1" customHeight="1"/>
    <row r="19329" ht="15.75" hidden="1" customHeight="1"/>
    <row r="19330" ht="15.75" hidden="1" customHeight="1"/>
    <row r="19331" ht="15.75" hidden="1" customHeight="1"/>
    <row r="19332" ht="15.75" hidden="1" customHeight="1"/>
    <row r="19333" ht="15.75" hidden="1" customHeight="1"/>
    <row r="19334" ht="15.75" hidden="1" customHeight="1"/>
    <row r="19335" ht="15.75" hidden="1" customHeight="1"/>
    <row r="19336" ht="15.75" hidden="1" customHeight="1"/>
    <row r="19337" ht="15.75" hidden="1" customHeight="1"/>
    <row r="19338" ht="15.75" hidden="1" customHeight="1"/>
    <row r="19339" ht="15.75" hidden="1" customHeight="1"/>
    <row r="19340" ht="15.75" hidden="1" customHeight="1"/>
    <row r="19341" ht="15.75" hidden="1" customHeight="1"/>
    <row r="19342" ht="15.75" hidden="1" customHeight="1"/>
    <row r="19343" ht="15.75" hidden="1" customHeight="1"/>
    <row r="19344" ht="15.75" hidden="1" customHeight="1"/>
    <row r="19345" ht="15.75" hidden="1" customHeight="1"/>
    <row r="19346" ht="15.75" hidden="1" customHeight="1"/>
    <row r="19347" ht="15.75" hidden="1" customHeight="1"/>
    <row r="19348" ht="15.75" hidden="1" customHeight="1"/>
    <row r="19349" ht="15.75" hidden="1" customHeight="1"/>
    <row r="19350" ht="15.75" hidden="1" customHeight="1"/>
    <row r="19351" ht="15.75" hidden="1" customHeight="1"/>
    <row r="19352" ht="15.75" hidden="1" customHeight="1"/>
    <row r="19353" ht="15.75" hidden="1" customHeight="1"/>
    <row r="19354" ht="15.75" hidden="1" customHeight="1"/>
    <row r="19355" ht="15.75" hidden="1" customHeight="1"/>
    <row r="19356" ht="15.75" hidden="1" customHeight="1"/>
    <row r="19357" ht="15.75" hidden="1" customHeight="1"/>
    <row r="19358" ht="15.75" hidden="1" customHeight="1"/>
    <row r="19359" ht="15.75" hidden="1" customHeight="1"/>
    <row r="19360" ht="15.75" hidden="1" customHeight="1"/>
    <row r="19361" ht="15.75" hidden="1" customHeight="1"/>
    <row r="19362" ht="15.75" hidden="1" customHeight="1"/>
    <row r="19363" ht="15.75" hidden="1" customHeight="1"/>
    <row r="19364" ht="15.75" hidden="1" customHeight="1"/>
    <row r="19365" ht="15.75" hidden="1" customHeight="1"/>
    <row r="19366" ht="15.75" hidden="1" customHeight="1"/>
    <row r="19367" ht="15.75" hidden="1" customHeight="1"/>
    <row r="19368" ht="15.75" hidden="1" customHeight="1"/>
    <row r="19369" ht="15.75" hidden="1" customHeight="1"/>
    <row r="19370" ht="15.75" hidden="1" customHeight="1"/>
    <row r="19371" ht="15.75" hidden="1" customHeight="1"/>
    <row r="19372" ht="15.75" hidden="1" customHeight="1"/>
    <row r="19373" ht="15.75" hidden="1" customHeight="1"/>
    <row r="19374" ht="15.75" hidden="1" customHeight="1"/>
    <row r="19375" ht="15.75" hidden="1" customHeight="1"/>
    <row r="19376" ht="15.75" hidden="1" customHeight="1"/>
    <row r="19377" ht="15.75" hidden="1" customHeight="1"/>
    <row r="19378" ht="15.75" hidden="1" customHeight="1"/>
    <row r="19379" ht="15.75" hidden="1" customHeight="1"/>
    <row r="19380" ht="15.75" hidden="1" customHeight="1"/>
    <row r="19381" ht="15.75" hidden="1" customHeight="1"/>
    <row r="19382" ht="15.75" hidden="1" customHeight="1"/>
    <row r="19383" ht="15.75" hidden="1" customHeight="1"/>
    <row r="19384" ht="15.75" hidden="1" customHeight="1"/>
    <row r="19385" ht="15.75" hidden="1" customHeight="1"/>
    <row r="19386" ht="15.75" hidden="1" customHeight="1"/>
    <row r="19387" ht="15.75" hidden="1" customHeight="1"/>
    <row r="19388" ht="15.75" hidden="1" customHeight="1"/>
    <row r="19389" ht="15.75" hidden="1" customHeight="1"/>
    <row r="19390" ht="15.75" hidden="1" customHeight="1"/>
    <row r="19391" ht="15.75" hidden="1" customHeight="1"/>
    <row r="19392" ht="15.75" hidden="1" customHeight="1"/>
    <row r="19393" ht="15.75" hidden="1" customHeight="1"/>
    <row r="19394" ht="15.75" hidden="1" customHeight="1"/>
    <row r="19395" ht="15.75" hidden="1" customHeight="1"/>
    <row r="19396" ht="15.75" hidden="1" customHeight="1"/>
    <row r="19397" ht="15.75" hidden="1" customHeight="1"/>
    <row r="19398" ht="15.75" hidden="1" customHeight="1"/>
    <row r="19399" ht="15.75" hidden="1" customHeight="1"/>
    <row r="19400" ht="15.75" hidden="1" customHeight="1"/>
    <row r="19401" ht="15.75" hidden="1" customHeight="1"/>
    <row r="19402" ht="15.75" hidden="1" customHeight="1"/>
    <row r="19403" ht="15.75" hidden="1" customHeight="1"/>
    <row r="19404" ht="15.75" hidden="1" customHeight="1"/>
    <row r="19405" ht="15.75" hidden="1" customHeight="1"/>
    <row r="19406" ht="15.75" hidden="1" customHeight="1"/>
    <row r="19407" ht="15.75" hidden="1" customHeight="1"/>
    <row r="19408" ht="15.75" hidden="1" customHeight="1"/>
    <row r="19409" ht="15.75" hidden="1" customHeight="1"/>
    <row r="19410" ht="15.75" hidden="1" customHeight="1"/>
    <row r="19411" ht="15.75" hidden="1" customHeight="1"/>
    <row r="19412" ht="15.75" hidden="1" customHeight="1"/>
    <row r="19413" ht="15.75" hidden="1" customHeight="1"/>
    <row r="19414" ht="15.75" hidden="1" customHeight="1"/>
    <row r="19415" ht="15.75" hidden="1" customHeight="1"/>
    <row r="19416" ht="15.75" hidden="1" customHeight="1"/>
    <row r="19417" ht="15.75" hidden="1" customHeight="1"/>
    <row r="19418" ht="15.75" hidden="1" customHeight="1"/>
    <row r="19419" ht="15.75" hidden="1" customHeight="1"/>
    <row r="19420" ht="15.75" hidden="1" customHeight="1"/>
    <row r="19421" ht="15.75" hidden="1" customHeight="1"/>
    <row r="19422" ht="15.75" hidden="1" customHeight="1"/>
    <row r="19423" ht="15.75" hidden="1" customHeight="1"/>
    <row r="19424" ht="15.75" hidden="1" customHeight="1"/>
    <row r="19425" ht="15.75" hidden="1" customHeight="1"/>
    <row r="19426" ht="15.75" hidden="1" customHeight="1"/>
    <row r="19427" ht="15.75" hidden="1" customHeight="1"/>
    <row r="19428" ht="15.75" hidden="1" customHeight="1"/>
    <row r="19429" ht="15.75" hidden="1" customHeight="1"/>
    <row r="19430" ht="15.75" hidden="1" customHeight="1"/>
    <row r="19431" ht="15.75" hidden="1" customHeight="1"/>
    <row r="19432" ht="15.75" hidden="1" customHeight="1"/>
    <row r="19433" ht="15.75" hidden="1" customHeight="1"/>
    <row r="19434" ht="15.75" hidden="1" customHeight="1"/>
    <row r="19435" ht="15.75" hidden="1" customHeight="1"/>
    <row r="19436" ht="15.75" hidden="1" customHeight="1"/>
    <row r="19437" ht="15.75" hidden="1" customHeight="1"/>
    <row r="19438" ht="15.75" hidden="1" customHeight="1"/>
    <row r="19439" ht="15.75" hidden="1" customHeight="1"/>
    <row r="19440" ht="15.75" hidden="1" customHeight="1"/>
    <row r="19441" ht="15.75" hidden="1" customHeight="1"/>
    <row r="19442" ht="15.75" hidden="1" customHeight="1"/>
    <row r="19443" ht="15.75" hidden="1" customHeight="1"/>
    <row r="19444" ht="15.75" hidden="1" customHeight="1"/>
    <row r="19445" ht="15.75" hidden="1" customHeight="1"/>
    <row r="19446" ht="15.75" hidden="1" customHeight="1"/>
    <row r="19447" ht="15.75" hidden="1" customHeight="1"/>
    <row r="19448" ht="15.75" hidden="1" customHeight="1"/>
    <row r="19449" ht="15.75" hidden="1" customHeight="1"/>
    <row r="19450" ht="15.75" hidden="1" customHeight="1"/>
    <row r="19451" ht="15.75" hidden="1" customHeight="1"/>
    <row r="19452" ht="15.75" hidden="1" customHeight="1"/>
    <row r="19453" ht="15.75" hidden="1" customHeight="1"/>
    <row r="19454" ht="15.75" hidden="1" customHeight="1"/>
    <row r="19455" ht="15.75" hidden="1" customHeight="1"/>
    <row r="19456" ht="15.75" hidden="1" customHeight="1"/>
    <row r="19457" ht="15.75" hidden="1" customHeight="1"/>
    <row r="19458" ht="15.75" hidden="1" customHeight="1"/>
    <row r="19459" ht="15.75" hidden="1" customHeight="1"/>
    <row r="19460" ht="15.75" hidden="1" customHeight="1"/>
    <row r="19461" ht="15.75" hidden="1" customHeight="1"/>
    <row r="19462" ht="15.75" hidden="1" customHeight="1"/>
    <row r="19463" ht="15.75" hidden="1" customHeight="1"/>
    <row r="19464" ht="15.75" hidden="1" customHeight="1"/>
    <row r="19465" ht="15.75" hidden="1" customHeight="1"/>
    <row r="19466" ht="15.75" hidden="1" customHeight="1"/>
    <row r="19467" ht="15.75" hidden="1" customHeight="1"/>
    <row r="19468" ht="15.75" hidden="1" customHeight="1"/>
    <row r="19469" ht="15.75" hidden="1" customHeight="1"/>
    <row r="19470" ht="15.75" hidden="1" customHeight="1"/>
    <row r="19471" ht="15.75" hidden="1" customHeight="1"/>
    <row r="19472" ht="15.75" hidden="1" customHeight="1"/>
    <row r="19473" ht="15.75" hidden="1" customHeight="1"/>
    <row r="19474" ht="15.75" hidden="1" customHeight="1"/>
    <row r="19475" ht="15.75" hidden="1" customHeight="1"/>
    <row r="19476" ht="15.75" hidden="1" customHeight="1"/>
    <row r="19477" ht="15.75" hidden="1" customHeight="1"/>
    <row r="19478" ht="15.75" hidden="1" customHeight="1"/>
    <row r="19479" ht="15.75" hidden="1" customHeight="1"/>
    <row r="19480" ht="15.75" hidden="1" customHeight="1"/>
    <row r="19481" ht="15.75" hidden="1" customHeight="1"/>
    <row r="19482" ht="15.75" hidden="1" customHeight="1"/>
    <row r="19483" ht="15.75" hidden="1" customHeight="1"/>
    <row r="19484" ht="15.75" hidden="1" customHeight="1"/>
    <row r="19485" ht="15.75" hidden="1" customHeight="1"/>
    <row r="19486" ht="15.75" hidden="1" customHeight="1"/>
    <row r="19487" ht="15.75" hidden="1" customHeight="1"/>
    <row r="19488" ht="15.75" hidden="1" customHeight="1"/>
    <row r="19489" ht="15.75" hidden="1" customHeight="1"/>
    <row r="19490" ht="15.75" hidden="1" customHeight="1"/>
    <row r="19491" ht="15.75" hidden="1" customHeight="1"/>
    <row r="19492" ht="15.75" hidden="1" customHeight="1"/>
    <row r="19493" ht="15.75" hidden="1" customHeight="1"/>
    <row r="19494" ht="15.75" hidden="1" customHeight="1"/>
    <row r="19495" ht="15.75" hidden="1" customHeight="1"/>
    <row r="19496" ht="15.75" hidden="1" customHeight="1"/>
    <row r="19497" ht="15.75" hidden="1" customHeight="1"/>
    <row r="19498" ht="15.75" hidden="1" customHeight="1"/>
    <row r="19499" ht="15.75" hidden="1" customHeight="1"/>
    <row r="19500" ht="15.75" hidden="1" customHeight="1"/>
    <row r="19501" ht="15.75" hidden="1" customHeight="1"/>
    <row r="19502" ht="15.75" hidden="1" customHeight="1"/>
    <row r="19503" ht="15.75" hidden="1" customHeight="1"/>
    <row r="19504" ht="15.75" hidden="1" customHeight="1"/>
    <row r="19505" ht="15.75" hidden="1" customHeight="1"/>
    <row r="19506" ht="15.75" hidden="1" customHeight="1"/>
    <row r="19507" ht="15.75" hidden="1" customHeight="1"/>
    <row r="19508" ht="15.75" hidden="1" customHeight="1"/>
    <row r="19509" ht="15.75" hidden="1" customHeight="1"/>
    <row r="19510" ht="15.75" hidden="1" customHeight="1"/>
    <row r="19511" ht="15.75" hidden="1" customHeight="1"/>
    <row r="19512" ht="15.75" hidden="1" customHeight="1"/>
    <row r="19513" ht="15.75" hidden="1" customHeight="1"/>
    <row r="19514" ht="15.75" hidden="1" customHeight="1"/>
    <row r="19515" ht="15.75" hidden="1" customHeight="1"/>
    <row r="19516" ht="15.75" hidden="1" customHeight="1"/>
    <row r="19517" ht="15.75" hidden="1" customHeight="1"/>
    <row r="19518" ht="15.75" hidden="1" customHeight="1"/>
    <row r="19519" ht="15.75" hidden="1" customHeight="1"/>
    <row r="19520" ht="15.75" hidden="1" customHeight="1"/>
    <row r="19521" ht="15.75" hidden="1" customHeight="1"/>
    <row r="19522" ht="15.75" hidden="1" customHeight="1"/>
    <row r="19523" ht="15.75" hidden="1" customHeight="1"/>
    <row r="19524" ht="15.75" hidden="1" customHeight="1"/>
    <row r="19525" ht="15.75" hidden="1" customHeight="1"/>
    <row r="19526" ht="15.75" hidden="1" customHeight="1"/>
    <row r="19527" ht="15.75" hidden="1" customHeight="1"/>
    <row r="19528" ht="15.75" hidden="1" customHeight="1"/>
    <row r="19529" ht="15.75" hidden="1" customHeight="1"/>
    <row r="19530" ht="15.75" hidden="1" customHeight="1"/>
    <row r="19531" ht="15.75" hidden="1" customHeight="1"/>
    <row r="19532" ht="15.75" hidden="1" customHeight="1"/>
    <row r="19533" ht="15.75" hidden="1" customHeight="1"/>
    <row r="19534" ht="15.75" hidden="1" customHeight="1"/>
    <row r="19535" ht="15.75" hidden="1" customHeight="1"/>
    <row r="19536" ht="15.75" hidden="1" customHeight="1"/>
    <row r="19537" ht="15.75" hidden="1" customHeight="1"/>
    <row r="19538" ht="15.75" hidden="1" customHeight="1"/>
    <row r="19539" ht="15.75" hidden="1" customHeight="1"/>
    <row r="19540" ht="15.75" hidden="1" customHeight="1"/>
    <row r="19541" ht="15.75" hidden="1" customHeight="1"/>
    <row r="19542" ht="15.75" hidden="1" customHeight="1"/>
    <row r="19543" ht="15.75" hidden="1" customHeight="1"/>
    <row r="19544" ht="15.75" hidden="1" customHeight="1"/>
    <row r="19545" ht="15.75" hidden="1" customHeight="1"/>
    <row r="19546" ht="15.75" hidden="1" customHeight="1"/>
    <row r="19547" ht="15.75" hidden="1" customHeight="1"/>
    <row r="19548" ht="15.75" hidden="1" customHeight="1"/>
    <row r="19549" ht="15.75" hidden="1" customHeight="1"/>
    <row r="19550" ht="15.75" hidden="1" customHeight="1"/>
    <row r="19551" ht="15.75" hidden="1" customHeight="1"/>
    <row r="19552" ht="15.75" hidden="1" customHeight="1"/>
    <row r="19553" ht="15.75" hidden="1" customHeight="1"/>
    <row r="19554" ht="15.75" hidden="1" customHeight="1"/>
    <row r="19555" ht="15.75" hidden="1" customHeight="1"/>
    <row r="19556" ht="15.75" hidden="1" customHeight="1"/>
    <row r="19557" ht="15.75" hidden="1" customHeight="1"/>
    <row r="19558" ht="15.75" hidden="1" customHeight="1"/>
    <row r="19559" ht="15.75" hidden="1" customHeight="1"/>
    <row r="19560" ht="15.75" hidden="1" customHeight="1"/>
    <row r="19561" ht="15.75" hidden="1" customHeight="1"/>
    <row r="19562" ht="15.75" hidden="1" customHeight="1"/>
    <row r="19563" ht="15.75" hidden="1" customHeight="1"/>
    <row r="19564" ht="15.75" hidden="1" customHeight="1"/>
    <row r="19565" ht="15.75" hidden="1" customHeight="1"/>
    <row r="19566" ht="15.75" hidden="1" customHeight="1"/>
    <row r="19567" ht="15.75" hidden="1" customHeight="1"/>
    <row r="19568" ht="15.75" hidden="1" customHeight="1"/>
    <row r="19569" ht="15.75" hidden="1" customHeight="1"/>
    <row r="19570" ht="15.75" hidden="1" customHeight="1"/>
    <row r="19571" ht="15.75" hidden="1" customHeight="1"/>
    <row r="19572" ht="15.75" hidden="1" customHeight="1"/>
    <row r="19573" ht="15.75" hidden="1" customHeight="1"/>
    <row r="19574" ht="15.75" hidden="1" customHeight="1"/>
    <row r="19575" ht="15.75" hidden="1" customHeight="1"/>
    <row r="19576" ht="15.75" hidden="1" customHeight="1"/>
    <row r="19577" ht="15.75" hidden="1" customHeight="1"/>
    <row r="19578" ht="15.75" hidden="1" customHeight="1"/>
    <row r="19579" ht="15.75" hidden="1" customHeight="1"/>
    <row r="19580" ht="15.75" hidden="1" customHeight="1"/>
    <row r="19581" ht="15.75" hidden="1" customHeight="1"/>
    <row r="19582" ht="15.75" hidden="1" customHeight="1"/>
    <row r="19583" ht="15.75" hidden="1" customHeight="1"/>
    <row r="19584" ht="15.75" hidden="1" customHeight="1"/>
    <row r="19585" ht="15.75" hidden="1" customHeight="1"/>
    <row r="19586" ht="15.75" hidden="1" customHeight="1"/>
    <row r="19587" ht="15.75" hidden="1" customHeight="1"/>
    <row r="19588" ht="15.75" hidden="1" customHeight="1"/>
    <row r="19589" ht="15.75" hidden="1" customHeight="1"/>
    <row r="19590" ht="15.75" hidden="1" customHeight="1"/>
    <row r="19591" ht="15.75" hidden="1" customHeight="1"/>
    <row r="19592" ht="15.75" hidden="1" customHeight="1"/>
    <row r="19593" ht="15.75" hidden="1" customHeight="1"/>
    <row r="19594" ht="15.75" hidden="1" customHeight="1"/>
    <row r="19595" ht="15.75" hidden="1" customHeight="1"/>
    <row r="19596" ht="15.75" hidden="1" customHeight="1"/>
    <row r="19597" ht="15.75" hidden="1" customHeight="1"/>
    <row r="19598" ht="15.75" hidden="1" customHeight="1"/>
    <row r="19599" ht="15.75" hidden="1" customHeight="1"/>
    <row r="19600" ht="15.75" hidden="1" customHeight="1"/>
    <row r="19601" ht="15.75" hidden="1" customHeight="1"/>
    <row r="19602" ht="15.75" hidden="1" customHeight="1"/>
    <row r="19603" ht="15.75" hidden="1" customHeight="1"/>
    <row r="19604" ht="15.75" hidden="1" customHeight="1"/>
    <row r="19605" ht="15.75" hidden="1" customHeight="1"/>
    <row r="19606" ht="15.75" hidden="1" customHeight="1"/>
    <row r="19607" ht="15.75" hidden="1" customHeight="1"/>
    <row r="19608" ht="15.75" hidden="1" customHeight="1"/>
    <row r="19609" ht="15.75" hidden="1" customHeight="1"/>
    <row r="19610" ht="15.75" hidden="1" customHeight="1"/>
    <row r="19611" ht="15.75" hidden="1" customHeight="1"/>
    <row r="19612" ht="15.75" hidden="1" customHeight="1"/>
    <row r="19613" ht="15.75" hidden="1" customHeight="1"/>
    <row r="19614" ht="15.75" hidden="1" customHeight="1"/>
    <row r="19615" ht="15.75" hidden="1" customHeight="1"/>
    <row r="19616" ht="15.75" hidden="1" customHeight="1"/>
    <row r="19617" ht="15.75" hidden="1" customHeight="1"/>
    <row r="19618" ht="15.75" hidden="1" customHeight="1"/>
    <row r="19619" ht="15.75" hidden="1" customHeight="1"/>
    <row r="19620" ht="15.75" hidden="1" customHeight="1"/>
    <row r="19621" ht="15.75" hidden="1" customHeight="1"/>
    <row r="19622" ht="15.75" hidden="1" customHeight="1"/>
    <row r="19623" ht="15.75" hidden="1" customHeight="1"/>
    <row r="19624" ht="15.75" hidden="1" customHeight="1"/>
    <row r="19625" ht="15.75" hidden="1" customHeight="1"/>
    <row r="19626" ht="15.75" hidden="1" customHeight="1"/>
    <row r="19627" ht="15.75" hidden="1" customHeight="1"/>
    <row r="19628" ht="15.75" hidden="1" customHeight="1"/>
    <row r="19629" ht="15.75" hidden="1" customHeight="1"/>
    <row r="19630" ht="15.75" hidden="1" customHeight="1"/>
    <row r="19631" ht="15.75" hidden="1" customHeight="1"/>
    <row r="19632" ht="15.75" hidden="1" customHeight="1"/>
    <row r="19633" ht="15.75" hidden="1" customHeight="1"/>
    <row r="19634" ht="15.75" hidden="1" customHeight="1"/>
    <row r="19635" ht="15.75" hidden="1" customHeight="1"/>
    <row r="19636" ht="15.75" hidden="1" customHeight="1"/>
    <row r="19637" ht="15.75" hidden="1" customHeight="1"/>
    <row r="19638" ht="15.75" hidden="1" customHeight="1"/>
    <row r="19639" ht="15.75" hidden="1" customHeight="1"/>
    <row r="19640" ht="15.75" hidden="1" customHeight="1"/>
    <row r="19641" ht="15.75" hidden="1" customHeight="1"/>
    <row r="19642" ht="15.75" hidden="1" customHeight="1"/>
    <row r="19643" ht="15.75" hidden="1" customHeight="1"/>
    <row r="19644" ht="15.75" hidden="1" customHeight="1"/>
    <row r="19645" ht="15.75" hidden="1" customHeight="1"/>
    <row r="19646" ht="15.75" hidden="1" customHeight="1"/>
    <row r="19647" ht="15.75" hidden="1" customHeight="1"/>
    <row r="19648" ht="15.75" hidden="1" customHeight="1"/>
    <row r="19649" ht="15.75" hidden="1" customHeight="1"/>
    <row r="19650" ht="15.75" hidden="1" customHeight="1"/>
    <row r="19651" ht="15.75" hidden="1" customHeight="1"/>
    <row r="19652" ht="15.75" hidden="1" customHeight="1"/>
    <row r="19653" ht="15.75" hidden="1" customHeight="1"/>
    <row r="19654" ht="15.75" hidden="1" customHeight="1"/>
    <row r="19655" ht="15.75" hidden="1" customHeight="1"/>
    <row r="19656" ht="15.75" hidden="1" customHeight="1"/>
    <row r="19657" ht="15.75" hidden="1" customHeight="1"/>
    <row r="19658" ht="15.75" hidden="1" customHeight="1"/>
    <row r="19659" ht="15.75" hidden="1" customHeight="1"/>
    <row r="19660" ht="15.75" hidden="1" customHeight="1"/>
    <row r="19661" ht="15.75" hidden="1" customHeight="1"/>
    <row r="19662" ht="15.75" hidden="1" customHeight="1"/>
    <row r="19663" ht="15.75" hidden="1" customHeight="1"/>
    <row r="19664" ht="15.75" hidden="1" customHeight="1"/>
    <row r="19665" ht="15.75" hidden="1" customHeight="1"/>
    <row r="19666" ht="15.75" hidden="1" customHeight="1"/>
    <row r="19667" ht="15.75" hidden="1" customHeight="1"/>
    <row r="19668" ht="15.75" hidden="1" customHeight="1"/>
    <row r="19669" ht="15.75" hidden="1" customHeight="1"/>
    <row r="19670" ht="15.75" hidden="1" customHeight="1"/>
    <row r="19671" ht="15.75" hidden="1" customHeight="1"/>
    <row r="19672" ht="15.75" hidden="1" customHeight="1"/>
    <row r="19673" ht="15.75" hidden="1" customHeight="1"/>
    <row r="19674" ht="15.75" hidden="1" customHeight="1"/>
    <row r="19675" ht="15.75" hidden="1" customHeight="1"/>
    <row r="19676" ht="15.75" hidden="1" customHeight="1"/>
    <row r="19677" ht="15.75" hidden="1" customHeight="1"/>
    <row r="19678" ht="15.75" hidden="1" customHeight="1"/>
    <row r="19679" ht="15.75" hidden="1" customHeight="1"/>
    <row r="19680" ht="15.75" hidden="1" customHeight="1"/>
    <row r="19681" ht="15.75" hidden="1" customHeight="1"/>
    <row r="19682" ht="15.75" hidden="1" customHeight="1"/>
    <row r="19683" ht="15.75" hidden="1" customHeight="1"/>
    <row r="19684" ht="15.75" hidden="1" customHeight="1"/>
    <row r="19685" ht="15.75" hidden="1" customHeight="1"/>
    <row r="19686" ht="15.75" hidden="1" customHeight="1"/>
    <row r="19687" ht="15.75" hidden="1" customHeight="1"/>
    <row r="19688" ht="15.75" hidden="1" customHeight="1"/>
    <row r="19689" ht="15.75" hidden="1" customHeight="1"/>
    <row r="19690" ht="15.75" hidden="1" customHeight="1"/>
    <row r="19691" ht="15.75" hidden="1" customHeight="1"/>
    <row r="19692" ht="15.75" hidden="1" customHeight="1"/>
    <row r="19693" ht="15.75" hidden="1" customHeight="1"/>
    <row r="19694" ht="15.75" hidden="1" customHeight="1"/>
    <row r="19695" ht="15.75" hidden="1" customHeight="1"/>
    <row r="19696" ht="15.75" hidden="1" customHeight="1"/>
    <row r="19697" ht="15.75" hidden="1" customHeight="1"/>
    <row r="19698" ht="15.75" hidden="1" customHeight="1"/>
    <row r="19699" ht="15.75" hidden="1" customHeight="1"/>
    <row r="19700" ht="15.75" hidden="1" customHeight="1"/>
    <row r="19701" ht="15.75" hidden="1" customHeight="1"/>
    <row r="19702" ht="15.75" hidden="1" customHeight="1"/>
    <row r="19703" ht="15.75" hidden="1" customHeight="1"/>
    <row r="19704" ht="15.75" hidden="1" customHeight="1"/>
    <row r="19705" ht="15.75" hidden="1" customHeight="1"/>
    <row r="19706" ht="15.75" hidden="1" customHeight="1"/>
    <row r="19707" ht="15.75" hidden="1" customHeight="1"/>
    <row r="19708" ht="15.75" hidden="1" customHeight="1"/>
    <row r="19709" ht="15.75" hidden="1" customHeight="1"/>
    <row r="19710" ht="15.75" hidden="1" customHeight="1"/>
    <row r="19711" ht="15.75" hidden="1" customHeight="1"/>
    <row r="19712" ht="15.75" hidden="1" customHeight="1"/>
    <row r="19713" ht="15.75" hidden="1" customHeight="1"/>
    <row r="19714" ht="15.75" hidden="1" customHeight="1"/>
    <row r="19715" ht="15.75" hidden="1" customHeight="1"/>
    <row r="19716" ht="15.75" hidden="1" customHeight="1"/>
    <row r="19717" ht="15.75" hidden="1" customHeight="1"/>
    <row r="19718" ht="15.75" hidden="1" customHeight="1"/>
    <row r="19719" ht="15.75" hidden="1" customHeight="1"/>
    <row r="19720" ht="15.75" hidden="1" customHeight="1"/>
    <row r="19721" ht="15.75" hidden="1" customHeight="1"/>
    <row r="19722" ht="15.75" hidden="1" customHeight="1"/>
    <row r="19723" ht="15.75" hidden="1" customHeight="1"/>
    <row r="19724" ht="15.75" hidden="1" customHeight="1"/>
    <row r="19725" ht="15.75" hidden="1" customHeight="1"/>
    <row r="19726" ht="15.75" hidden="1" customHeight="1"/>
    <row r="19727" ht="15.75" hidden="1" customHeight="1"/>
    <row r="19728" ht="15.75" hidden="1" customHeight="1"/>
    <row r="19729" ht="15.75" hidden="1" customHeight="1"/>
    <row r="19730" ht="15.75" hidden="1" customHeight="1"/>
    <row r="19731" ht="15.75" hidden="1" customHeight="1"/>
    <row r="19732" ht="15.75" hidden="1" customHeight="1"/>
    <row r="19733" ht="15.75" hidden="1" customHeight="1"/>
    <row r="19734" ht="15.75" hidden="1" customHeight="1"/>
    <row r="19735" ht="15.75" hidden="1" customHeight="1"/>
    <row r="19736" ht="15.75" hidden="1" customHeight="1"/>
    <row r="19737" ht="15.75" hidden="1" customHeight="1"/>
    <row r="19738" ht="15.75" hidden="1" customHeight="1"/>
    <row r="19739" ht="15.75" hidden="1" customHeight="1"/>
    <row r="19740" ht="15.75" hidden="1" customHeight="1"/>
    <row r="19741" ht="15.75" hidden="1" customHeight="1"/>
    <row r="19742" ht="15.75" hidden="1" customHeight="1"/>
    <row r="19743" ht="15.75" hidden="1" customHeight="1"/>
    <row r="19744" ht="15.75" hidden="1" customHeight="1"/>
    <row r="19745" ht="15.75" hidden="1" customHeight="1"/>
    <row r="19746" ht="15.75" hidden="1" customHeight="1"/>
    <row r="19747" ht="15.75" hidden="1" customHeight="1"/>
    <row r="19748" ht="15.75" hidden="1" customHeight="1"/>
    <row r="19749" ht="15.75" hidden="1" customHeight="1"/>
    <row r="19750" ht="15.75" hidden="1" customHeight="1"/>
    <row r="19751" ht="15.75" hidden="1" customHeight="1"/>
    <row r="19752" ht="15.75" hidden="1" customHeight="1"/>
    <row r="19753" ht="15.75" hidden="1" customHeight="1"/>
    <row r="19754" ht="15.75" hidden="1" customHeight="1"/>
    <row r="19755" ht="15.75" hidden="1" customHeight="1"/>
    <row r="19756" ht="15.75" hidden="1" customHeight="1"/>
    <row r="19757" ht="15.75" hidden="1" customHeight="1"/>
    <row r="19758" ht="15.75" hidden="1" customHeight="1"/>
    <row r="19759" ht="15.75" hidden="1" customHeight="1"/>
    <row r="19760" ht="15.75" hidden="1" customHeight="1"/>
    <row r="19761" ht="15.75" hidden="1" customHeight="1"/>
    <row r="19762" ht="15.75" hidden="1" customHeight="1"/>
    <row r="19763" ht="15.75" hidden="1" customHeight="1"/>
    <row r="19764" ht="15.75" hidden="1" customHeight="1"/>
    <row r="19765" ht="15.75" hidden="1" customHeight="1"/>
    <row r="19766" ht="15.75" hidden="1" customHeight="1"/>
    <row r="19767" ht="15.75" hidden="1" customHeight="1"/>
    <row r="19768" ht="15.75" hidden="1" customHeight="1"/>
    <row r="19769" ht="15.75" hidden="1" customHeight="1"/>
    <row r="19770" ht="15.75" hidden="1" customHeight="1"/>
    <row r="19771" ht="15.75" hidden="1" customHeight="1"/>
    <row r="19772" ht="15.75" hidden="1" customHeight="1"/>
    <row r="19773" ht="15.75" hidden="1" customHeight="1"/>
    <row r="19774" ht="15.75" hidden="1" customHeight="1"/>
    <row r="19775" ht="15.75" hidden="1" customHeight="1"/>
    <row r="19776" ht="15.75" hidden="1" customHeight="1"/>
    <row r="19777" ht="15.75" hidden="1" customHeight="1"/>
    <row r="19778" ht="15.75" hidden="1" customHeight="1"/>
    <row r="19779" ht="15.75" hidden="1" customHeight="1"/>
    <row r="19780" ht="15.75" hidden="1" customHeight="1"/>
    <row r="19781" ht="15.75" hidden="1" customHeight="1"/>
    <row r="19782" ht="15.75" hidden="1" customHeight="1"/>
    <row r="19783" ht="15.75" hidden="1" customHeight="1"/>
    <row r="19784" ht="15.75" hidden="1" customHeight="1"/>
    <row r="19785" ht="15.75" hidden="1" customHeight="1"/>
    <row r="19786" ht="15.75" hidden="1" customHeight="1"/>
    <row r="19787" ht="15.75" hidden="1" customHeight="1"/>
    <row r="19788" ht="15.75" hidden="1" customHeight="1"/>
    <row r="19789" ht="15.75" hidden="1" customHeight="1"/>
    <row r="19790" ht="15.75" hidden="1" customHeight="1"/>
    <row r="19791" ht="15.75" hidden="1" customHeight="1"/>
    <row r="19792" ht="15.75" hidden="1" customHeight="1"/>
    <row r="19793" ht="15.75" hidden="1" customHeight="1"/>
    <row r="19794" ht="15.75" hidden="1" customHeight="1"/>
    <row r="19795" ht="15.75" hidden="1" customHeight="1"/>
    <row r="19796" ht="15.75" hidden="1" customHeight="1"/>
    <row r="19797" ht="15.75" hidden="1" customHeight="1"/>
    <row r="19798" ht="15.75" hidden="1" customHeight="1"/>
    <row r="19799" ht="15.75" hidden="1" customHeight="1"/>
    <row r="19800" ht="15.75" hidden="1" customHeight="1"/>
    <row r="19801" ht="15.75" hidden="1" customHeight="1"/>
    <row r="19802" ht="15.75" hidden="1" customHeight="1"/>
    <row r="19803" ht="15.75" hidden="1" customHeight="1"/>
    <row r="19804" ht="15.75" hidden="1" customHeight="1"/>
    <row r="19805" ht="15.75" hidden="1" customHeight="1"/>
    <row r="19806" ht="15.75" hidden="1" customHeight="1"/>
    <row r="19807" ht="15.75" hidden="1" customHeight="1"/>
    <row r="19808" ht="15.75" hidden="1" customHeight="1"/>
    <row r="19809" ht="15.75" hidden="1" customHeight="1"/>
    <row r="19810" ht="15.75" hidden="1" customHeight="1"/>
    <row r="19811" ht="15.75" hidden="1" customHeight="1"/>
    <row r="19812" ht="15.75" hidden="1" customHeight="1"/>
    <row r="19813" ht="15.75" hidden="1" customHeight="1"/>
    <row r="19814" ht="15.75" hidden="1" customHeight="1"/>
    <row r="19815" ht="15.75" hidden="1" customHeight="1"/>
    <row r="19816" ht="15.75" hidden="1" customHeight="1"/>
    <row r="19817" ht="15.75" hidden="1" customHeight="1"/>
    <row r="19818" ht="15.75" hidden="1" customHeight="1"/>
    <row r="19819" ht="15.75" hidden="1" customHeight="1"/>
    <row r="19820" ht="15.75" hidden="1" customHeight="1"/>
    <row r="19821" ht="15.75" hidden="1" customHeight="1"/>
    <row r="19822" ht="15.75" hidden="1" customHeight="1"/>
    <row r="19823" ht="15.75" hidden="1" customHeight="1"/>
    <row r="19824" ht="15.75" hidden="1" customHeight="1"/>
    <row r="19825" ht="15.75" hidden="1" customHeight="1"/>
    <row r="19826" ht="15.75" hidden="1" customHeight="1"/>
    <row r="19827" ht="15.75" hidden="1" customHeight="1"/>
    <row r="19828" ht="15.75" hidden="1" customHeight="1"/>
    <row r="19829" ht="15.75" hidden="1" customHeight="1"/>
    <row r="19830" ht="15.75" hidden="1" customHeight="1"/>
    <row r="19831" ht="15.75" hidden="1" customHeight="1"/>
    <row r="19832" ht="15.75" hidden="1" customHeight="1"/>
    <row r="19833" ht="15.75" hidden="1" customHeight="1"/>
    <row r="19834" ht="15.75" hidden="1" customHeight="1"/>
    <row r="19835" ht="15.75" hidden="1" customHeight="1"/>
    <row r="19836" ht="15.75" hidden="1" customHeight="1"/>
    <row r="19837" ht="15.75" hidden="1" customHeight="1"/>
    <row r="19838" ht="15.75" hidden="1" customHeight="1"/>
    <row r="19839" ht="15.75" hidden="1" customHeight="1"/>
    <row r="19840" ht="15.75" hidden="1" customHeight="1"/>
    <row r="19841" ht="15.75" hidden="1" customHeight="1"/>
    <row r="19842" ht="15.75" hidden="1" customHeight="1"/>
    <row r="19843" ht="15.75" hidden="1" customHeight="1"/>
    <row r="19844" ht="15.75" hidden="1" customHeight="1"/>
    <row r="19845" ht="15.75" hidden="1" customHeight="1"/>
    <row r="19846" ht="15.75" hidden="1" customHeight="1"/>
    <row r="19847" ht="15.75" hidden="1" customHeight="1"/>
    <row r="19848" ht="15.75" hidden="1" customHeight="1"/>
    <row r="19849" ht="15.75" hidden="1" customHeight="1"/>
    <row r="19850" ht="15.75" hidden="1" customHeight="1"/>
    <row r="19851" ht="15.75" hidden="1" customHeight="1"/>
    <row r="19852" ht="15.75" hidden="1" customHeight="1"/>
    <row r="19853" ht="15.75" hidden="1" customHeight="1"/>
    <row r="19854" ht="15.75" hidden="1" customHeight="1"/>
    <row r="19855" ht="15.75" hidden="1" customHeight="1"/>
    <row r="19856" ht="15.75" hidden="1" customHeight="1"/>
    <row r="19857" ht="15.75" hidden="1" customHeight="1"/>
    <row r="19858" ht="15.75" hidden="1" customHeight="1"/>
    <row r="19859" ht="15.75" hidden="1" customHeight="1"/>
    <row r="19860" ht="15.75" hidden="1" customHeight="1"/>
    <row r="19861" ht="15.75" hidden="1" customHeight="1"/>
    <row r="19862" ht="15.75" hidden="1" customHeight="1"/>
    <row r="19863" ht="15.75" hidden="1" customHeight="1"/>
    <row r="19864" ht="15.75" hidden="1" customHeight="1"/>
    <row r="19865" ht="15.75" hidden="1" customHeight="1"/>
    <row r="19866" ht="15.75" hidden="1" customHeight="1"/>
    <row r="19867" ht="15.75" hidden="1" customHeight="1"/>
    <row r="19868" ht="15.75" hidden="1" customHeight="1"/>
    <row r="19869" ht="15.75" hidden="1" customHeight="1"/>
    <row r="19870" ht="15.75" hidden="1" customHeight="1"/>
    <row r="19871" ht="15.75" hidden="1" customHeight="1"/>
    <row r="19872" ht="15.75" hidden="1" customHeight="1"/>
    <row r="19873" ht="15.75" hidden="1" customHeight="1"/>
    <row r="19874" ht="15.75" hidden="1" customHeight="1"/>
    <row r="19875" ht="15.75" hidden="1" customHeight="1"/>
    <row r="19876" ht="15.75" hidden="1" customHeight="1"/>
    <row r="19877" ht="15.75" hidden="1" customHeight="1"/>
    <row r="19878" ht="15.75" hidden="1" customHeight="1"/>
    <row r="19879" ht="15.75" hidden="1" customHeight="1"/>
    <row r="19880" ht="15.75" hidden="1" customHeight="1"/>
    <row r="19881" ht="15.75" hidden="1" customHeight="1"/>
    <row r="19882" ht="15.75" hidden="1" customHeight="1"/>
    <row r="19883" ht="15.75" hidden="1" customHeight="1"/>
    <row r="19884" ht="15.75" hidden="1" customHeight="1"/>
    <row r="19885" ht="15.75" hidden="1" customHeight="1"/>
    <row r="19886" ht="15.75" hidden="1" customHeight="1"/>
    <row r="19887" ht="15.75" hidden="1" customHeight="1"/>
    <row r="19888" ht="15.75" hidden="1" customHeight="1"/>
    <row r="19889" ht="15.75" hidden="1" customHeight="1"/>
    <row r="19890" ht="15.75" hidden="1" customHeight="1"/>
    <row r="19891" ht="15.75" hidden="1" customHeight="1"/>
    <row r="19892" ht="15.75" hidden="1" customHeight="1"/>
    <row r="19893" ht="15.75" hidden="1" customHeight="1"/>
    <row r="19894" ht="15.75" hidden="1" customHeight="1"/>
    <row r="19895" ht="15.75" hidden="1" customHeight="1"/>
    <row r="19896" ht="15.75" hidden="1" customHeight="1"/>
    <row r="19897" ht="15.75" hidden="1" customHeight="1"/>
    <row r="19898" ht="15.75" hidden="1" customHeight="1"/>
    <row r="19899" ht="15.75" hidden="1" customHeight="1"/>
    <row r="19900" ht="15.75" hidden="1" customHeight="1"/>
    <row r="19901" ht="15.75" hidden="1" customHeight="1"/>
    <row r="19902" ht="15.75" hidden="1" customHeight="1"/>
    <row r="19903" ht="15.75" hidden="1" customHeight="1"/>
    <row r="19904" ht="15.75" hidden="1" customHeight="1"/>
    <row r="19905" ht="15.75" hidden="1" customHeight="1"/>
    <row r="19906" ht="15.75" hidden="1" customHeight="1"/>
    <row r="19907" ht="15.75" hidden="1" customHeight="1"/>
    <row r="19908" ht="15.75" hidden="1" customHeight="1"/>
    <row r="19909" ht="15.75" hidden="1" customHeight="1"/>
    <row r="19910" ht="15.75" hidden="1" customHeight="1"/>
    <row r="19911" ht="15.75" hidden="1" customHeight="1"/>
    <row r="19912" ht="15.75" hidden="1" customHeight="1"/>
    <row r="19913" ht="15.75" hidden="1" customHeight="1"/>
    <row r="19914" ht="15.75" hidden="1" customHeight="1"/>
    <row r="19915" ht="15.75" hidden="1" customHeight="1"/>
    <row r="19916" ht="15.75" hidden="1" customHeight="1"/>
    <row r="19917" ht="15.75" hidden="1" customHeight="1"/>
    <row r="19918" ht="15.75" hidden="1" customHeight="1"/>
    <row r="19919" ht="15.75" hidden="1" customHeight="1"/>
    <row r="19920" ht="15.75" hidden="1" customHeight="1"/>
    <row r="19921" ht="15.75" hidden="1" customHeight="1"/>
    <row r="19922" ht="15.75" hidden="1" customHeight="1"/>
    <row r="19923" ht="15.75" hidden="1" customHeight="1"/>
    <row r="19924" ht="15.75" hidden="1" customHeight="1"/>
    <row r="19925" ht="15.75" hidden="1" customHeight="1"/>
    <row r="19926" ht="15.75" hidden="1" customHeight="1"/>
    <row r="19927" ht="15.75" hidden="1" customHeight="1"/>
    <row r="19928" ht="15.75" hidden="1" customHeight="1"/>
    <row r="19929" ht="15.75" hidden="1" customHeight="1"/>
    <row r="19930" ht="15.75" hidden="1" customHeight="1"/>
    <row r="19931" ht="15.75" hidden="1" customHeight="1"/>
    <row r="19932" ht="15.75" hidden="1" customHeight="1"/>
    <row r="19933" ht="15.75" hidden="1" customHeight="1"/>
    <row r="19934" ht="15.75" hidden="1" customHeight="1"/>
    <row r="19935" ht="15.75" hidden="1" customHeight="1"/>
    <row r="19936" ht="15.75" hidden="1" customHeight="1"/>
    <row r="19937" ht="15.75" hidden="1" customHeight="1"/>
    <row r="19938" ht="15.75" hidden="1" customHeight="1"/>
    <row r="19939" ht="15.75" hidden="1" customHeight="1"/>
    <row r="19940" ht="15.75" hidden="1" customHeight="1"/>
    <row r="19941" ht="15.75" hidden="1" customHeight="1"/>
    <row r="19942" ht="15.75" hidden="1" customHeight="1"/>
    <row r="19943" ht="15.75" hidden="1" customHeight="1"/>
    <row r="19944" ht="15.75" hidden="1" customHeight="1"/>
    <row r="19945" ht="15.75" hidden="1" customHeight="1"/>
    <row r="19946" ht="15.75" hidden="1" customHeight="1"/>
    <row r="19947" ht="15.75" hidden="1" customHeight="1"/>
    <row r="19948" ht="15.75" hidden="1" customHeight="1"/>
    <row r="19949" ht="15.75" hidden="1" customHeight="1"/>
    <row r="19950" ht="15.75" hidden="1" customHeight="1"/>
    <row r="19951" ht="15.75" hidden="1" customHeight="1"/>
    <row r="19952" ht="15.75" hidden="1" customHeight="1"/>
    <row r="19953" ht="15.75" hidden="1" customHeight="1"/>
    <row r="19954" ht="15.75" hidden="1" customHeight="1"/>
    <row r="19955" ht="15.75" hidden="1" customHeight="1"/>
    <row r="19956" ht="15.75" hidden="1" customHeight="1"/>
    <row r="19957" ht="15.75" hidden="1" customHeight="1"/>
    <row r="19958" ht="15.75" hidden="1" customHeight="1"/>
    <row r="19959" ht="15.75" hidden="1" customHeight="1"/>
    <row r="19960" ht="15.75" hidden="1" customHeight="1"/>
    <row r="19961" ht="15.75" hidden="1" customHeight="1"/>
    <row r="19962" ht="15.75" hidden="1" customHeight="1"/>
    <row r="19963" ht="15.75" hidden="1" customHeight="1"/>
    <row r="19964" ht="15.75" hidden="1" customHeight="1"/>
    <row r="19965" ht="15.75" hidden="1" customHeight="1"/>
    <row r="19966" ht="15.75" hidden="1" customHeight="1"/>
    <row r="19967" ht="15.75" hidden="1" customHeight="1"/>
    <row r="19968" ht="15.75" hidden="1" customHeight="1"/>
    <row r="19969" ht="15.75" hidden="1" customHeight="1"/>
    <row r="19970" ht="15.75" hidden="1" customHeight="1"/>
    <row r="19971" ht="15.75" hidden="1" customHeight="1"/>
    <row r="19972" ht="15.75" hidden="1" customHeight="1"/>
    <row r="19973" ht="15.75" hidden="1" customHeight="1"/>
    <row r="19974" ht="15.75" hidden="1" customHeight="1"/>
    <row r="19975" ht="15.75" hidden="1" customHeight="1"/>
    <row r="19976" ht="15.75" hidden="1" customHeight="1"/>
    <row r="19977" ht="15.75" hidden="1" customHeight="1"/>
    <row r="19978" ht="15.75" hidden="1" customHeight="1"/>
    <row r="19979" ht="15.75" hidden="1" customHeight="1"/>
    <row r="19980" ht="15.75" hidden="1" customHeight="1"/>
    <row r="19981" ht="15.75" hidden="1" customHeight="1"/>
    <row r="19982" ht="15.75" hidden="1" customHeight="1"/>
    <row r="19983" ht="15.75" hidden="1" customHeight="1"/>
    <row r="19984" ht="15.75" hidden="1" customHeight="1"/>
    <row r="19985" ht="15.75" hidden="1" customHeight="1"/>
    <row r="19986" ht="15.75" hidden="1" customHeight="1"/>
    <row r="19987" ht="15.75" hidden="1" customHeight="1"/>
    <row r="19988" ht="15.75" hidden="1" customHeight="1"/>
    <row r="19989" ht="15.75" hidden="1" customHeight="1"/>
    <row r="19990" ht="15.75" hidden="1" customHeight="1"/>
    <row r="19991" ht="15.75" hidden="1" customHeight="1"/>
    <row r="19992" ht="15.75" hidden="1" customHeight="1"/>
    <row r="19993" ht="15.75" hidden="1" customHeight="1"/>
    <row r="19994" ht="15.75" hidden="1" customHeight="1"/>
    <row r="19995" ht="15.75" hidden="1" customHeight="1"/>
    <row r="19996" ht="15.75" hidden="1" customHeight="1"/>
    <row r="19997" ht="15.75" hidden="1" customHeight="1"/>
    <row r="19998" ht="15.75" hidden="1" customHeight="1"/>
    <row r="19999" ht="15.75" hidden="1" customHeight="1"/>
    <row r="20000" ht="15.75" hidden="1" customHeight="1"/>
    <row r="20001" ht="15.75" hidden="1" customHeight="1"/>
    <row r="20002" ht="15.75" hidden="1" customHeight="1"/>
    <row r="20003" ht="15.75" hidden="1" customHeight="1"/>
    <row r="20004" ht="15.75" hidden="1" customHeight="1"/>
    <row r="20005" ht="15.75" hidden="1" customHeight="1"/>
    <row r="20006" ht="15.75" hidden="1" customHeight="1"/>
    <row r="20007" ht="15.75" hidden="1" customHeight="1"/>
    <row r="20008" ht="15.75" hidden="1" customHeight="1"/>
    <row r="20009" ht="15.75" hidden="1" customHeight="1"/>
    <row r="20010" ht="15.75" hidden="1" customHeight="1"/>
    <row r="20011" ht="15.75" hidden="1" customHeight="1"/>
    <row r="20012" ht="15.75" hidden="1" customHeight="1"/>
    <row r="20013" ht="15.75" hidden="1" customHeight="1"/>
    <row r="20014" ht="15.75" hidden="1" customHeight="1"/>
    <row r="20015" ht="15.75" hidden="1" customHeight="1"/>
    <row r="20016" ht="15.75" hidden="1" customHeight="1"/>
    <row r="20017" ht="15.75" hidden="1" customHeight="1"/>
    <row r="20018" ht="15.75" hidden="1" customHeight="1"/>
    <row r="20019" ht="15.75" hidden="1" customHeight="1"/>
    <row r="20020" ht="15.75" hidden="1" customHeight="1"/>
    <row r="20021" ht="15.75" hidden="1" customHeight="1"/>
    <row r="20022" ht="15.75" hidden="1" customHeight="1"/>
    <row r="20023" ht="15.75" hidden="1" customHeight="1"/>
    <row r="20024" ht="15.75" hidden="1" customHeight="1"/>
    <row r="20025" ht="15.75" hidden="1" customHeight="1"/>
    <row r="20026" ht="15.75" hidden="1" customHeight="1"/>
    <row r="20027" ht="15.75" hidden="1" customHeight="1"/>
    <row r="20028" ht="15.75" hidden="1" customHeight="1"/>
    <row r="20029" ht="15.75" hidden="1" customHeight="1"/>
    <row r="20030" ht="15.75" hidden="1" customHeight="1"/>
    <row r="20031" ht="15.75" hidden="1" customHeight="1"/>
    <row r="20032" ht="15.75" hidden="1" customHeight="1"/>
    <row r="20033" ht="15.75" hidden="1" customHeight="1"/>
    <row r="20034" ht="15.75" hidden="1" customHeight="1"/>
    <row r="20035" ht="15.75" hidden="1" customHeight="1"/>
    <row r="20036" ht="15.75" hidden="1" customHeight="1"/>
    <row r="20037" ht="15.75" hidden="1" customHeight="1"/>
    <row r="20038" ht="15.75" hidden="1" customHeight="1"/>
    <row r="20039" ht="15.75" hidden="1" customHeight="1"/>
    <row r="20040" ht="15.75" hidden="1" customHeight="1"/>
    <row r="20041" ht="15.75" hidden="1" customHeight="1"/>
    <row r="20042" ht="15.75" hidden="1" customHeight="1"/>
    <row r="20043" ht="15.75" hidden="1" customHeight="1"/>
    <row r="20044" ht="15.75" hidden="1" customHeight="1"/>
    <row r="20045" ht="15.75" hidden="1" customHeight="1"/>
    <row r="20046" ht="15.75" hidden="1" customHeight="1"/>
    <row r="20047" ht="15.75" hidden="1" customHeight="1"/>
    <row r="20048" ht="15.75" hidden="1" customHeight="1"/>
    <row r="20049" ht="15.75" hidden="1" customHeight="1"/>
    <row r="20050" ht="15.75" hidden="1" customHeight="1"/>
    <row r="20051" ht="15.75" hidden="1" customHeight="1"/>
    <row r="20052" ht="15.75" hidden="1" customHeight="1"/>
    <row r="20053" ht="15.75" hidden="1" customHeight="1"/>
    <row r="20054" ht="15.75" customHeight="1"/>
    <row r="20055" ht="15.75" customHeight="1"/>
    <row r="20056" ht="15.75" customHeight="1"/>
    <row r="20057" ht="15.75" customHeight="1"/>
    <row r="20058" ht="15.75" customHeight="1"/>
    <row r="20059" ht="15.75" customHeight="1"/>
    <row r="20060" ht="15.75" customHeight="1"/>
    <row r="20061" ht="15.75" customHeight="1"/>
    <row r="20062" ht="15.75" customHeight="1"/>
    <row r="20063" ht="15.75" customHeight="1"/>
    <row r="20064" ht="15.75" customHeight="1"/>
    <row r="20065" ht="15.75" customHeight="1"/>
    <row r="20066" ht="15.75" customHeight="1"/>
    <row r="20067" ht="15.75" customHeight="1"/>
    <row r="20068" ht="15.75" customHeight="1"/>
    <row r="20069" ht="15.75" customHeight="1"/>
    <row r="20070" ht="15.75" customHeight="1"/>
    <row r="20071" ht="15.75" customHeight="1"/>
    <row r="20072" ht="15.75" customHeight="1"/>
    <row r="20073" ht="15.75" customHeight="1"/>
    <row r="20074" ht="15.75" customHeight="1"/>
    <row r="20075" ht="15.75" customHeight="1"/>
    <row r="20076" ht="15.75" customHeight="1"/>
    <row r="20077" ht="15.75" customHeight="1"/>
    <row r="20078" ht="15.75" customHeight="1"/>
    <row r="20079" ht="15.75" customHeight="1"/>
    <row r="20080" ht="15.75" customHeight="1"/>
    <row r="20081" ht="15.75" customHeight="1"/>
    <row r="20082" ht="15.75" customHeight="1"/>
    <row r="20083" ht="15.75" customHeight="1"/>
    <row r="20084" ht="15.75" customHeight="1"/>
    <row r="20085" ht="15.75" customHeight="1"/>
    <row r="20086" ht="15.75" customHeight="1"/>
    <row r="20087" ht="15.75" customHeight="1"/>
    <row r="20088" ht="15.75" customHeight="1"/>
    <row r="20089" ht="15.75" customHeight="1"/>
    <row r="20090" ht="15.75" customHeight="1"/>
    <row r="20091" ht="15.75" customHeight="1"/>
    <row r="20092" ht="15.75" customHeight="1"/>
    <row r="20093" ht="15.75" customHeight="1"/>
    <row r="20094" ht="15.75" customHeight="1"/>
    <row r="20095" ht="15.75" customHeight="1"/>
    <row r="20096" ht="15.75" customHeight="1"/>
    <row r="20097" ht="15.75" customHeight="1"/>
    <row r="20098" ht="15.75" customHeight="1"/>
    <row r="20099" ht="15.75" customHeight="1"/>
    <row r="20100" ht="15.75" customHeight="1"/>
    <row r="20101" ht="15.75" customHeight="1"/>
    <row r="20102" ht="15.75" customHeight="1"/>
    <row r="20103" ht="15.75" customHeight="1"/>
    <row r="20104" ht="15.75" customHeight="1"/>
    <row r="20105" ht="15.75" customHeight="1"/>
    <row r="20106" ht="15.75" customHeight="1"/>
    <row r="20107" ht="15.75" customHeight="1"/>
    <row r="20108" ht="15.75" customHeight="1"/>
    <row r="20109" ht="15.75" customHeight="1"/>
    <row r="20110" ht="15.75" customHeight="1"/>
    <row r="20111" ht="15.75" customHeight="1"/>
    <row r="20112" ht="15.75" customHeight="1"/>
    <row r="20113" ht="15.75" customHeight="1"/>
    <row r="20114" ht="15.75" customHeight="1"/>
    <row r="20115" ht="15.75" customHeight="1"/>
    <row r="20116" ht="15.75" customHeight="1"/>
    <row r="20117" ht="15.75" customHeight="1"/>
    <row r="20118" ht="15.75" customHeight="1"/>
    <row r="20119" ht="15.75" customHeight="1"/>
    <row r="20120" ht="15.75" customHeight="1"/>
    <row r="20121" ht="15.75" customHeight="1"/>
    <row r="20122" ht="15.75" customHeight="1"/>
    <row r="20123" ht="15.75" customHeight="1"/>
    <row r="20124" ht="15.75" customHeight="1"/>
    <row r="20125" ht="15.75" customHeight="1"/>
    <row r="20126" ht="15.75" customHeight="1"/>
    <row r="20127" ht="15.75" customHeight="1"/>
    <row r="20128" ht="15.75" customHeight="1"/>
    <row r="20129" ht="15.75" customHeight="1"/>
    <row r="20130" ht="15.75" customHeight="1"/>
    <row r="20131" ht="15.75" customHeight="1"/>
    <row r="20132" ht="15.75" customHeight="1"/>
    <row r="20133" ht="15.75" customHeight="1"/>
    <row r="20134" ht="15.75" customHeight="1"/>
    <row r="20135" ht="15.75" customHeight="1"/>
    <row r="20136" ht="15.75" customHeight="1"/>
    <row r="20137" ht="15.75" customHeight="1"/>
    <row r="20138" ht="15.75" customHeight="1"/>
    <row r="20139" ht="15.75" customHeight="1"/>
    <row r="20140" ht="15.75" customHeight="1"/>
    <row r="20141" ht="15.75" customHeight="1"/>
    <row r="20142" ht="15.75" customHeight="1"/>
    <row r="20143" ht="15.75" customHeight="1"/>
    <row r="20144" ht="15.75" customHeight="1"/>
    <row r="20145" ht="15.75" customHeight="1"/>
    <row r="20146" ht="15.75" customHeight="1"/>
    <row r="20147" ht="15.75" customHeight="1"/>
    <row r="20148" ht="15.75" customHeight="1"/>
    <row r="20149" ht="15.75" customHeight="1"/>
    <row r="20150" ht="15.75" customHeight="1"/>
    <row r="20151" ht="15.75" customHeight="1"/>
    <row r="20152" ht="15.75" customHeight="1"/>
    <row r="20153" ht="15.75" customHeight="1"/>
    <row r="20154" ht="15.75" customHeight="1"/>
    <row r="20155" ht="15.75" customHeight="1"/>
    <row r="20156" ht="15.75" customHeight="1"/>
    <row r="20157" ht="15.75" customHeight="1"/>
    <row r="20158" ht="15.75" customHeight="1"/>
    <row r="20159" ht="15.75" customHeight="1"/>
    <row r="20160" ht="15.75" customHeight="1"/>
    <row r="20161" ht="15.75" customHeight="1"/>
    <row r="20162" ht="15.75" customHeight="1"/>
    <row r="20163" ht="15.75" customHeight="1"/>
    <row r="20164" ht="15.75" customHeight="1"/>
    <row r="20165" ht="15.75" customHeight="1"/>
    <row r="20166" ht="15.75" customHeight="1"/>
    <row r="20167" ht="15.75" customHeight="1"/>
    <row r="20168" ht="15.75" customHeight="1"/>
    <row r="20169" ht="15.75" customHeight="1"/>
    <row r="20170" ht="15.75" customHeight="1"/>
    <row r="20171" ht="15.75" customHeight="1"/>
    <row r="20172" ht="15.75" customHeight="1"/>
    <row r="20173" ht="15.75" customHeight="1"/>
    <row r="20174" ht="15.75" customHeight="1"/>
    <row r="20175" ht="15.75" customHeight="1"/>
    <row r="20176" ht="15.75" customHeight="1"/>
    <row r="20177" ht="15.75" customHeight="1"/>
    <row r="20178" ht="15.75" customHeight="1"/>
    <row r="20179" ht="15.75" customHeight="1"/>
    <row r="20180" ht="15.75" customHeight="1"/>
    <row r="20181" ht="15.75" customHeight="1"/>
    <row r="20182" ht="15.75" customHeight="1"/>
    <row r="20183" ht="15.75" customHeight="1"/>
    <row r="20184" ht="15.75" customHeight="1"/>
    <row r="20185" ht="15.75" customHeight="1"/>
    <row r="20186" ht="15.75" customHeight="1"/>
    <row r="20187" ht="15.75" customHeight="1"/>
    <row r="20188" ht="15.75" customHeight="1"/>
    <row r="20189" ht="15.75" customHeight="1"/>
    <row r="20190" ht="15.75" customHeight="1"/>
    <row r="20191" ht="15.75" customHeight="1"/>
    <row r="20192" ht="15.75" customHeight="1"/>
    <row r="20193" ht="15.75" customHeight="1"/>
    <row r="20194" ht="15.75" customHeight="1"/>
    <row r="20195" ht="15.75" customHeight="1"/>
    <row r="20196" ht="15.75" customHeight="1"/>
    <row r="20197" ht="15.75" customHeight="1"/>
    <row r="20198" ht="15.75" customHeight="1"/>
    <row r="20199" ht="15.75" customHeight="1"/>
    <row r="20200" ht="15.75" customHeight="1"/>
    <row r="20201" ht="15.75" customHeight="1"/>
    <row r="20202" ht="15.75" customHeight="1"/>
    <row r="20203" ht="15.75" customHeight="1"/>
    <row r="20204" ht="15.75" customHeight="1"/>
    <row r="20205" ht="15.75" customHeight="1"/>
    <row r="20206" ht="15.75" customHeight="1"/>
    <row r="20207" ht="15.75" customHeight="1"/>
    <row r="20208" ht="15.75" customHeight="1"/>
    <row r="20209" ht="15.75" customHeight="1"/>
    <row r="20210" ht="15.75" customHeight="1"/>
    <row r="20211" ht="15.75" customHeight="1"/>
    <row r="20212" ht="15.75" customHeight="1"/>
    <row r="20213" ht="15.75" customHeight="1"/>
    <row r="20214" ht="15.75" customHeight="1"/>
    <row r="20215" ht="15.75" customHeight="1"/>
    <row r="20216" ht="15.75" customHeight="1"/>
    <row r="20217" ht="15.75" customHeight="1"/>
    <row r="20218" ht="15.75" customHeight="1"/>
    <row r="20219" ht="15.75" customHeight="1"/>
    <row r="20220" ht="15.75" customHeight="1"/>
    <row r="20221" ht="15.75" customHeight="1"/>
    <row r="20222" ht="15.75" customHeight="1"/>
    <row r="20223" ht="15.75" customHeight="1"/>
    <row r="20224" ht="15.75" customHeight="1"/>
    <row r="20225" ht="15.75" customHeight="1"/>
    <row r="20226" ht="15.75" customHeight="1"/>
    <row r="20227" ht="15.75" customHeight="1"/>
    <row r="20228" ht="15.75" customHeight="1"/>
    <row r="20229" ht="15.75" customHeight="1"/>
    <row r="20230" ht="15.75" customHeight="1"/>
    <row r="20231" ht="15.75" customHeight="1"/>
    <row r="20232" ht="15.75" customHeight="1"/>
    <row r="20233" ht="15.75" customHeight="1"/>
    <row r="20234" ht="15.75" customHeight="1"/>
    <row r="20235" ht="15.75" customHeight="1"/>
    <row r="20236" ht="15.75" customHeight="1"/>
    <row r="20237" ht="15.75" customHeight="1"/>
    <row r="20238" ht="15.75" customHeight="1"/>
    <row r="20239" ht="15.75" customHeight="1"/>
    <row r="20240" ht="15.75" customHeight="1"/>
    <row r="20241" ht="15.75" customHeight="1"/>
    <row r="20242" ht="15.75" customHeight="1"/>
    <row r="20243" ht="15.75" customHeight="1"/>
    <row r="20244" ht="15.75" customHeight="1"/>
    <row r="20245" ht="15.75" customHeight="1"/>
    <row r="20246" ht="15.75" customHeight="1"/>
    <row r="20247" ht="15.75" customHeight="1"/>
    <row r="20248" ht="15.75" customHeight="1"/>
    <row r="20249" ht="15.75" customHeight="1"/>
    <row r="20250" ht="15.75" customHeight="1"/>
    <row r="20251" ht="15.75" customHeight="1"/>
    <row r="20252" ht="15.75" customHeight="1"/>
    <row r="20253" ht="15.75" customHeight="1"/>
    <row r="20254" ht="15.75" customHeight="1"/>
    <row r="20255" ht="15.75" customHeight="1"/>
    <row r="20256" ht="15.75" customHeight="1"/>
    <row r="20257" ht="15.75" customHeight="1"/>
    <row r="20258" ht="15.75" customHeight="1"/>
    <row r="20259" ht="15.75" customHeight="1"/>
    <row r="20260" ht="15.75" customHeight="1"/>
    <row r="20261" ht="15.75" customHeight="1"/>
    <row r="20262" ht="15.75" customHeight="1"/>
    <row r="20263" ht="15.75" customHeight="1"/>
    <row r="20264" ht="15.75" customHeight="1"/>
    <row r="20265" ht="15.75" customHeight="1"/>
    <row r="20266" ht="15.75" customHeight="1"/>
    <row r="20267" ht="15.75" customHeight="1"/>
    <row r="20268" ht="15.75" customHeight="1"/>
    <row r="20269" ht="15.75" customHeight="1"/>
    <row r="20270" ht="15.75" customHeight="1"/>
    <row r="20271" ht="15.75" customHeight="1"/>
    <row r="20272" ht="15.75" customHeight="1"/>
    <row r="20273" ht="15.75" customHeight="1"/>
    <row r="20274" ht="15.75" customHeight="1"/>
    <row r="20275" ht="15.75" customHeight="1"/>
    <row r="20276" ht="15.75" customHeight="1"/>
    <row r="20277" ht="15.75" customHeight="1"/>
    <row r="20278" ht="15.75" customHeight="1"/>
    <row r="20279" ht="15.75" customHeight="1"/>
    <row r="20280" ht="15.75" customHeight="1"/>
    <row r="20281" ht="15.75" customHeight="1"/>
    <row r="20282" ht="15.75" customHeight="1"/>
    <row r="20283" ht="15.75" customHeight="1"/>
    <row r="20284" ht="15.75" customHeight="1"/>
    <row r="20285" ht="15.75" customHeight="1"/>
    <row r="20286" ht="15.75" customHeight="1"/>
    <row r="20287" ht="15.75" customHeight="1"/>
    <row r="20288" ht="15.75" customHeight="1"/>
    <row r="20289" ht="15.75" customHeight="1"/>
    <row r="20290" ht="15.75" customHeight="1"/>
    <row r="20291" ht="15.75" customHeight="1"/>
    <row r="20292" ht="15.75" customHeight="1"/>
    <row r="20293" ht="15.75" customHeight="1"/>
    <row r="20294" ht="15.75" customHeight="1"/>
    <row r="20295" ht="15.75" customHeight="1"/>
    <row r="20296" ht="15.75" customHeight="1"/>
    <row r="20297" ht="15.75" customHeight="1"/>
    <row r="20298" ht="15.75" customHeight="1"/>
    <row r="20299" ht="15.75" customHeight="1"/>
    <row r="20300" ht="15.75" customHeight="1"/>
    <row r="20301" ht="15.75" customHeight="1"/>
    <row r="20302" ht="15.75" customHeight="1"/>
    <row r="20303" ht="15.75" customHeight="1"/>
    <row r="20304" ht="15.75" customHeight="1"/>
    <row r="20305" ht="15.75" customHeight="1"/>
    <row r="20306" ht="15.75" customHeight="1"/>
    <row r="20307" ht="15.75" customHeight="1"/>
    <row r="20308" ht="15.75" customHeight="1"/>
    <row r="20309" ht="15.75" customHeight="1"/>
    <row r="20310" ht="15.75" customHeight="1"/>
    <row r="20311" ht="15.75" customHeight="1"/>
    <row r="20312" ht="15.75" customHeight="1"/>
    <row r="20313" ht="15.75" customHeight="1"/>
    <row r="20314" ht="15.75" customHeight="1"/>
    <row r="20315" ht="15.75" customHeight="1"/>
    <row r="20316" ht="15.75" customHeight="1"/>
    <row r="20317" ht="15.75" customHeight="1"/>
    <row r="20318" ht="15.75" customHeight="1"/>
    <row r="20319" ht="15.75" customHeight="1"/>
    <row r="20320" ht="15.75" customHeight="1"/>
    <row r="20321" ht="15.75" customHeight="1"/>
    <row r="20322" ht="15.75" customHeight="1"/>
    <row r="20323" ht="15.75" customHeight="1"/>
    <row r="20324" ht="15.75" customHeight="1"/>
    <row r="20325" ht="15.75" customHeight="1"/>
    <row r="20326" ht="15.75" customHeight="1"/>
    <row r="20327" ht="15.75" customHeight="1"/>
    <row r="20328" ht="15.75" customHeight="1"/>
    <row r="20329" ht="15.75" customHeight="1"/>
    <row r="20330" ht="15.75" customHeight="1"/>
    <row r="20331" ht="15.75" customHeight="1"/>
    <row r="20332" ht="15.75" customHeight="1"/>
    <row r="20333" ht="15.75" customHeight="1"/>
    <row r="20334" ht="15.75" customHeight="1"/>
    <row r="20335" ht="15.75" customHeight="1"/>
    <row r="20336" ht="15.75" customHeight="1"/>
    <row r="20337" ht="15.75" customHeight="1"/>
    <row r="20338" ht="15.75" customHeight="1"/>
    <row r="20339" ht="15.75" customHeight="1"/>
    <row r="20340" ht="15.75" customHeight="1"/>
    <row r="20341" ht="15.75" customHeight="1"/>
    <row r="20342" ht="15.75" customHeight="1"/>
    <row r="20343" ht="15.75" customHeight="1"/>
    <row r="20344" ht="15.75" customHeight="1"/>
    <row r="20345" ht="15.75" customHeight="1"/>
    <row r="20346" ht="15.75" customHeight="1"/>
    <row r="20347" ht="15.75" customHeight="1"/>
    <row r="20348" ht="15.75" customHeight="1"/>
    <row r="20349" ht="15.75" customHeight="1"/>
    <row r="20350" ht="15.75" customHeight="1"/>
    <row r="20351" ht="15.75" customHeight="1"/>
    <row r="20352" ht="15.75" customHeight="1"/>
    <row r="20353" ht="15.75" customHeight="1"/>
    <row r="20354" ht="15.75" customHeight="1"/>
    <row r="20355" ht="15.75" customHeight="1"/>
    <row r="20356" ht="15.75" customHeight="1"/>
    <row r="20357" ht="15.75" customHeight="1"/>
    <row r="20358" ht="15.75" customHeight="1"/>
    <row r="20359" ht="15.75" customHeight="1"/>
    <row r="20360" ht="15.75" customHeight="1"/>
    <row r="20361" ht="15.75" customHeight="1"/>
    <row r="20362" ht="15.75" customHeight="1"/>
    <row r="20363" ht="15.75" customHeight="1"/>
    <row r="20364" ht="15.75" customHeight="1"/>
    <row r="20365" ht="15.75" customHeight="1"/>
    <row r="20366" ht="15.75" customHeight="1"/>
    <row r="20367" ht="15.75" customHeight="1"/>
    <row r="20368" ht="15.75" customHeight="1"/>
    <row r="20369" ht="15.75" customHeight="1"/>
    <row r="20370" ht="15.75" customHeight="1"/>
    <row r="20371" ht="15.75" customHeight="1"/>
    <row r="20372" ht="15.75" customHeight="1"/>
    <row r="20373" ht="15.75" customHeight="1"/>
    <row r="20374" ht="15.75" customHeight="1"/>
    <row r="20375" ht="15.75" customHeight="1"/>
    <row r="20376" ht="15.75" customHeight="1"/>
    <row r="20377" ht="15.75" customHeight="1"/>
    <row r="20378" ht="15.75" customHeight="1"/>
    <row r="20379" ht="15.75" customHeight="1"/>
    <row r="20380" ht="15.75" customHeight="1"/>
    <row r="20381" ht="15.75" customHeight="1"/>
    <row r="20382" ht="15.75" customHeight="1"/>
    <row r="20383" ht="15.75" customHeight="1"/>
    <row r="20384" ht="15.75" customHeight="1"/>
    <row r="20385" ht="15.75" customHeight="1"/>
    <row r="20386" ht="15.75" customHeight="1"/>
    <row r="20387" ht="15.75" customHeight="1"/>
    <row r="20388" ht="15.75" customHeight="1"/>
    <row r="20389" ht="15.75" customHeight="1"/>
    <row r="20390" ht="15.75" customHeight="1"/>
    <row r="20391" ht="15.75" customHeight="1"/>
    <row r="20392" ht="15.75" customHeight="1"/>
    <row r="20393" ht="15.75" customHeight="1"/>
    <row r="20394" ht="15.75" customHeight="1"/>
    <row r="20395" ht="15.75" customHeight="1"/>
    <row r="20396" ht="15.75" customHeight="1"/>
    <row r="20397" ht="15.75" customHeight="1"/>
    <row r="20398" ht="15.75" customHeight="1"/>
    <row r="20399" ht="15.75" customHeight="1"/>
    <row r="20400" ht="15.75" customHeight="1"/>
    <row r="20401" ht="15.75" customHeight="1"/>
    <row r="20402" ht="15.75" customHeight="1"/>
    <row r="20403" ht="15.75" customHeight="1"/>
    <row r="20404" ht="15.75" customHeight="1"/>
    <row r="20405" ht="15.75" customHeight="1"/>
    <row r="20406" ht="15.75" customHeight="1"/>
    <row r="20407" ht="15.75" customHeight="1"/>
    <row r="20408" ht="15.75" customHeight="1"/>
    <row r="20409" ht="15.75" customHeight="1"/>
    <row r="20410" ht="15.75" customHeight="1"/>
    <row r="20411" ht="15.75" customHeight="1"/>
    <row r="20412" ht="15.75" customHeight="1"/>
    <row r="20413" ht="15.75" customHeight="1"/>
    <row r="20414" ht="15.75" customHeight="1"/>
    <row r="20415" ht="15.75" customHeight="1"/>
    <row r="20416" ht="15.75" customHeight="1"/>
    <row r="20417" ht="15.75" customHeight="1"/>
    <row r="20418" ht="15.75" customHeight="1"/>
    <row r="20419" ht="15.75" customHeight="1"/>
    <row r="20420" ht="15.75" customHeight="1"/>
    <row r="20421" ht="15.75" customHeight="1"/>
    <row r="20422" ht="15.75" customHeight="1"/>
    <row r="20423" ht="15.75" customHeight="1"/>
    <row r="20424" ht="15.75" customHeight="1"/>
    <row r="20425" ht="15.75" customHeight="1"/>
    <row r="20426" ht="15.75" customHeight="1"/>
    <row r="20427" ht="15.75" customHeight="1"/>
    <row r="20428" ht="15.75" customHeight="1"/>
    <row r="20429" ht="15.75" customHeight="1"/>
    <row r="20430" ht="15.75" customHeight="1"/>
    <row r="20431" ht="15.75" customHeight="1"/>
    <row r="20432" ht="15.75" customHeight="1"/>
    <row r="20433" ht="15.75" customHeight="1"/>
    <row r="20434" ht="15.75" customHeight="1"/>
    <row r="20435" ht="15.75" customHeight="1"/>
    <row r="20436" ht="15.75" customHeight="1"/>
    <row r="20437" ht="15.75" customHeight="1"/>
    <row r="20438" ht="15.75" customHeight="1"/>
    <row r="20439" ht="15.75" customHeight="1"/>
    <row r="20440" ht="15.75" customHeight="1"/>
    <row r="20441" ht="15.75" customHeight="1"/>
    <row r="20442" ht="15.75" customHeight="1"/>
    <row r="20443" ht="15.75" customHeight="1"/>
    <row r="20444" ht="15.75" customHeight="1"/>
    <row r="20445" ht="15.75" customHeight="1"/>
    <row r="20446" ht="15.75" customHeight="1"/>
    <row r="20447" ht="15.75" customHeight="1"/>
    <row r="20448" ht="15.75" customHeight="1"/>
    <row r="20449" ht="15.75" customHeight="1"/>
    <row r="20450" ht="15.75" customHeight="1"/>
    <row r="20451" ht="15.75" customHeight="1"/>
    <row r="20452" ht="15.75" customHeight="1"/>
    <row r="20453" ht="15.75" customHeight="1"/>
    <row r="20454" ht="15.75" customHeight="1"/>
    <row r="20455" ht="15.75" customHeight="1"/>
    <row r="20456" ht="15.75" customHeight="1"/>
    <row r="20457" ht="15.75" customHeight="1"/>
    <row r="20458" ht="15.75" customHeight="1"/>
    <row r="20459" ht="15.75" customHeight="1"/>
    <row r="20460" ht="15.75" customHeight="1"/>
    <row r="20461" ht="15.75" customHeight="1"/>
    <row r="20462" ht="15.75" customHeight="1"/>
    <row r="20463" ht="15.75" customHeight="1"/>
    <row r="20464" ht="15.75" customHeight="1"/>
    <row r="20465" ht="15.75" customHeight="1"/>
    <row r="20466" ht="15.75" customHeight="1"/>
    <row r="20467" ht="15.75" customHeight="1"/>
    <row r="20468" ht="15.75" customHeight="1"/>
    <row r="20469" ht="15.75" customHeight="1"/>
    <row r="20470" ht="15.75" customHeight="1"/>
    <row r="20471" ht="15.75" customHeight="1"/>
    <row r="20472" ht="15.75" customHeight="1"/>
    <row r="20473" ht="15.75" customHeight="1"/>
    <row r="20474" ht="15.75" customHeight="1"/>
    <row r="20475" ht="15.75" customHeight="1"/>
    <row r="20476" ht="15.75" customHeight="1"/>
    <row r="20477" ht="15.75" customHeight="1"/>
    <row r="20478" ht="15.75" customHeight="1"/>
    <row r="20479" ht="15.75" customHeight="1"/>
    <row r="20480" ht="15.75" customHeight="1"/>
    <row r="20481" ht="15.75" customHeight="1"/>
    <row r="20482" ht="15.75" customHeight="1"/>
    <row r="20483" ht="15.75" customHeight="1"/>
    <row r="20484" ht="15.75" customHeight="1"/>
    <row r="20485" ht="15.75" customHeight="1"/>
    <row r="20486" ht="15.75" customHeight="1"/>
    <row r="20487" ht="15.75" customHeight="1"/>
    <row r="20488" ht="15.75" customHeight="1"/>
    <row r="20489" ht="15.75" customHeight="1"/>
    <row r="20490" ht="15.75" customHeight="1"/>
    <row r="20491" ht="15.75" customHeight="1"/>
    <row r="20492" ht="15.75" customHeight="1"/>
    <row r="20493" ht="15.75" customHeight="1"/>
    <row r="20494" ht="15.75" customHeight="1"/>
    <row r="20495" ht="15.75" customHeight="1"/>
    <row r="20496" ht="15.75" customHeight="1"/>
    <row r="20497" ht="15.75" customHeight="1"/>
    <row r="20498" ht="15.75" customHeight="1"/>
    <row r="20499" ht="15.75" customHeight="1"/>
    <row r="20500" ht="15.75" customHeight="1"/>
    <row r="20501" ht="15.75" customHeight="1"/>
    <row r="20502" ht="15.75" customHeight="1"/>
    <row r="20503" ht="15.75" customHeight="1"/>
    <row r="20504" ht="15.75" customHeight="1"/>
    <row r="20505" ht="15.75" customHeight="1"/>
    <row r="20506" ht="15.75" customHeight="1"/>
    <row r="20507" ht="15.75" customHeight="1"/>
    <row r="20508" ht="15.75" customHeight="1"/>
    <row r="20509" ht="15.75" customHeight="1"/>
    <row r="20510" ht="15.75" customHeight="1"/>
    <row r="20511" ht="15.75" customHeight="1"/>
    <row r="20512" ht="15.75" customHeight="1"/>
    <row r="20513" ht="15.75" customHeight="1"/>
    <row r="20514" ht="15.75" customHeight="1"/>
    <row r="20515" ht="15.75" customHeight="1"/>
    <row r="20516" ht="15.75" customHeight="1"/>
    <row r="20517" ht="15.75" customHeight="1"/>
    <row r="20518" ht="15.75" customHeight="1"/>
    <row r="20519" ht="15.75" customHeight="1"/>
    <row r="20520" ht="15.75" customHeight="1"/>
    <row r="20521" ht="15.75" customHeight="1"/>
    <row r="20522" ht="15.75" customHeight="1"/>
    <row r="20523" ht="15.75" customHeight="1"/>
    <row r="20524" ht="15.75" customHeight="1"/>
    <row r="20525" ht="15.75" customHeight="1"/>
    <row r="20526" ht="15.75" customHeight="1"/>
    <row r="20527" ht="15.75" customHeight="1"/>
    <row r="20528" ht="15.75" customHeight="1"/>
    <row r="20529" ht="15.75" customHeight="1"/>
    <row r="20530" ht="15.75" customHeight="1"/>
    <row r="20531" ht="15.75" customHeight="1"/>
    <row r="20532" ht="15.75" customHeight="1"/>
    <row r="20533" ht="15.75" customHeight="1"/>
    <row r="20534" ht="15.75" customHeight="1"/>
    <row r="20535" ht="15.75" customHeight="1"/>
    <row r="20536" ht="15.75" customHeight="1"/>
    <row r="20537" ht="15.75" customHeight="1"/>
    <row r="20538" ht="15.75" customHeight="1"/>
    <row r="20539" ht="15.75" customHeight="1"/>
    <row r="20540" ht="15.75" customHeight="1"/>
    <row r="20541" ht="15.75" customHeight="1"/>
    <row r="20542" ht="15.75" customHeight="1"/>
    <row r="20543" ht="15.75" customHeight="1"/>
    <row r="20544" ht="15.75" customHeight="1"/>
    <row r="20545" ht="15.75" customHeight="1"/>
    <row r="20546" ht="15.75" customHeight="1"/>
    <row r="20547" ht="15.75" customHeight="1"/>
    <row r="20548" ht="15.75" customHeight="1"/>
    <row r="20549" ht="15.75" customHeight="1"/>
    <row r="20550" ht="15.75" customHeight="1"/>
    <row r="20551" ht="15.75" customHeight="1"/>
    <row r="20552" ht="15.75" customHeight="1"/>
    <row r="20553" ht="15.75" customHeight="1"/>
    <row r="20554" ht="15.75" customHeight="1"/>
    <row r="20555" ht="15.75" customHeight="1"/>
    <row r="20556" ht="15.75" customHeight="1"/>
    <row r="20557" ht="15.75" customHeight="1"/>
    <row r="20558" ht="15.75" customHeight="1"/>
    <row r="20559" ht="15.75" customHeight="1"/>
    <row r="20560" ht="15.75" customHeight="1"/>
    <row r="20561" ht="15.75" customHeight="1"/>
    <row r="20562" ht="15.75" customHeight="1"/>
    <row r="20563" ht="15.75" customHeight="1"/>
    <row r="20564" ht="15.75" customHeight="1"/>
    <row r="20565" ht="15.75" customHeight="1"/>
    <row r="20566" ht="15.75" customHeight="1"/>
    <row r="20567" ht="15.75" customHeight="1"/>
    <row r="20568" ht="15.75" customHeight="1"/>
    <row r="20569" ht="15.75" customHeight="1"/>
    <row r="20570" ht="15.75" customHeight="1"/>
    <row r="20571" ht="15.75" customHeight="1"/>
    <row r="20572" ht="15.75" customHeight="1"/>
    <row r="20573" ht="15.75" customHeight="1"/>
    <row r="20574" ht="15.75" customHeight="1"/>
    <row r="20575" ht="15.75" customHeight="1"/>
    <row r="20576" ht="15.75" customHeight="1"/>
    <row r="20577" ht="15.75" customHeight="1"/>
    <row r="20578" ht="15.75" customHeight="1"/>
    <row r="20579" ht="15.75" customHeight="1"/>
    <row r="20580" ht="15.75" customHeight="1"/>
    <row r="20581" ht="15.75" customHeight="1"/>
    <row r="20582" ht="15.75" customHeight="1"/>
    <row r="20583" ht="15.75" customHeight="1"/>
    <row r="20584" ht="15.75" customHeight="1"/>
    <row r="20585" ht="15.75" customHeight="1"/>
    <row r="20586" ht="15.75" customHeight="1"/>
    <row r="20587" ht="15.75" customHeight="1"/>
    <row r="20588" ht="15.75" customHeight="1"/>
    <row r="20589" ht="15.75" customHeight="1"/>
    <row r="20590" ht="15.75" customHeight="1"/>
    <row r="20591" ht="15.75" customHeight="1"/>
    <row r="20592" ht="15.75" customHeight="1"/>
    <row r="20593" ht="15.75" customHeight="1"/>
    <row r="20594" ht="15.75" customHeight="1"/>
    <row r="20595" ht="15.75" customHeight="1"/>
    <row r="20596" ht="15.75" customHeight="1"/>
    <row r="20597" ht="15.75" customHeight="1"/>
    <row r="20598" ht="15.75" customHeight="1"/>
    <row r="20599" ht="15.75" customHeight="1"/>
    <row r="20600" ht="15.75" customHeight="1"/>
    <row r="20601" ht="15.75" customHeight="1"/>
    <row r="20602" ht="15.75" customHeight="1"/>
    <row r="20603" ht="15.75" customHeight="1"/>
    <row r="20604" ht="15.75" customHeight="1"/>
    <row r="20605" ht="15.75" customHeight="1"/>
    <row r="20606" ht="15.75" customHeight="1"/>
    <row r="20607" ht="15.75" customHeight="1"/>
    <row r="20608" ht="15.75" customHeight="1"/>
    <row r="20609" ht="15.75" customHeight="1"/>
    <row r="20610" ht="15.75" customHeight="1"/>
    <row r="20611" ht="15.75" customHeight="1"/>
    <row r="20612" ht="15.75" customHeight="1"/>
    <row r="20613" ht="15.75" customHeight="1"/>
    <row r="20614" ht="15.75" customHeight="1"/>
    <row r="20615" ht="15.75" customHeight="1"/>
    <row r="20616" ht="15.75" customHeight="1"/>
    <row r="20617" ht="15.75" customHeight="1"/>
    <row r="20618" ht="15.75" customHeight="1"/>
    <row r="20619" ht="15.75" customHeight="1"/>
    <row r="20620" ht="15.75" customHeight="1"/>
    <row r="20621" ht="15.75" customHeight="1"/>
    <row r="20622" ht="15.75" customHeight="1"/>
    <row r="20623" ht="15.75" customHeight="1"/>
    <row r="20624" ht="15.75" customHeight="1"/>
    <row r="20625" ht="15.75" customHeight="1"/>
    <row r="20626" ht="15.75" customHeight="1"/>
    <row r="20627" ht="15.75" customHeight="1"/>
    <row r="20628" ht="15.75" customHeight="1"/>
    <row r="20629" ht="15.75" customHeight="1"/>
    <row r="20630" ht="15.75" customHeight="1"/>
    <row r="20631" ht="15.75" customHeight="1"/>
    <row r="20632" ht="15.75" customHeight="1"/>
    <row r="20633" ht="15.75" customHeight="1"/>
    <row r="20634" ht="15.75" customHeight="1"/>
    <row r="20635" ht="15.75" customHeight="1"/>
    <row r="20636" ht="15.75" customHeight="1"/>
    <row r="20637" ht="15.75" customHeight="1"/>
    <row r="20638" ht="15.75" customHeight="1"/>
    <row r="20639" ht="15.75" customHeight="1"/>
    <row r="20640" ht="15.75" customHeight="1"/>
    <row r="20641" ht="15.75" customHeight="1"/>
    <row r="20642" ht="15.75" customHeight="1"/>
    <row r="20643" ht="15.75" customHeight="1"/>
    <row r="20644" ht="15.75" customHeight="1"/>
    <row r="20645" ht="15.75" customHeight="1"/>
    <row r="20646" ht="15.75" customHeight="1"/>
    <row r="20647" ht="15.75" customHeight="1"/>
    <row r="20648" ht="15.75" customHeight="1"/>
    <row r="20649" ht="15.75" customHeight="1"/>
    <row r="20650" ht="15.75" customHeight="1"/>
    <row r="20651" ht="15.75" customHeight="1"/>
    <row r="20652" ht="15.75" customHeight="1"/>
    <row r="20653" ht="15.75" customHeight="1"/>
    <row r="20654" ht="15.75" customHeight="1"/>
    <row r="20655" ht="15.75" customHeight="1"/>
    <row r="20656" ht="15.75" customHeight="1"/>
    <row r="20657" ht="15.75" customHeight="1"/>
    <row r="20658" ht="15.75" customHeight="1"/>
    <row r="20659" ht="15.75" customHeight="1"/>
    <row r="20660" ht="15.75" customHeight="1"/>
    <row r="20661" ht="15.75" customHeight="1"/>
    <row r="20662" ht="15.75" customHeight="1"/>
    <row r="20663" ht="15.75" customHeight="1"/>
    <row r="20664" ht="15.75" customHeight="1"/>
    <row r="20665" ht="15.75" customHeight="1"/>
    <row r="20666" ht="15.75" customHeight="1"/>
    <row r="20667" ht="15.75" customHeight="1"/>
    <row r="20668" ht="15.75" customHeight="1"/>
    <row r="20669" ht="15.75" customHeight="1"/>
    <row r="20670" ht="15.75" customHeight="1"/>
    <row r="20671" ht="15.75" customHeight="1"/>
    <row r="20672" ht="15.75" customHeight="1"/>
    <row r="20673" ht="15.75" customHeight="1"/>
    <row r="20674" ht="15.75" customHeight="1"/>
    <row r="20675" ht="15.75" customHeight="1"/>
    <row r="20676" ht="15.75" customHeight="1"/>
    <row r="20677" ht="15.75" customHeight="1"/>
    <row r="20678" ht="15.75" customHeight="1"/>
    <row r="20679" ht="15.75" customHeight="1"/>
    <row r="20680" ht="15.75" customHeight="1"/>
    <row r="20681" ht="15.75" customHeight="1"/>
    <row r="20682" ht="15.75" customHeight="1"/>
    <row r="20683" ht="15.75" customHeight="1"/>
    <row r="20684" ht="15.75" customHeight="1"/>
    <row r="20685" ht="15.75" customHeight="1"/>
    <row r="20686" ht="15.75" customHeight="1"/>
    <row r="20687" ht="15.75" customHeight="1"/>
    <row r="20688" ht="15.75" customHeight="1"/>
    <row r="20689" ht="15.75" customHeight="1"/>
    <row r="20690" ht="15.75" customHeight="1"/>
    <row r="20691" ht="15.75" customHeight="1"/>
    <row r="20692" ht="15.75" customHeight="1"/>
    <row r="20693" ht="15.75" customHeight="1"/>
    <row r="20694" ht="15.75" customHeight="1"/>
    <row r="20695" ht="15.75" customHeight="1"/>
    <row r="20696" ht="15.75" customHeight="1"/>
    <row r="20697" ht="15.75" customHeight="1"/>
    <row r="20698" ht="15.75" customHeight="1"/>
    <row r="20699" ht="15.75" customHeight="1"/>
    <row r="20700" ht="15.75" customHeight="1"/>
    <row r="20701" ht="15.75" customHeight="1"/>
    <row r="20702" ht="15.75" customHeight="1"/>
    <row r="20703" ht="15.75" customHeight="1"/>
    <row r="20704" ht="15.75" customHeight="1"/>
    <row r="20705" ht="15.75" customHeight="1"/>
    <row r="20706" ht="15.75" customHeight="1"/>
    <row r="20707" ht="15.75" customHeight="1"/>
    <row r="20708" ht="15.75" customHeight="1"/>
    <row r="20709" ht="15.75" customHeight="1"/>
    <row r="20710" ht="15.75" customHeight="1"/>
    <row r="20711" ht="15.75" customHeight="1"/>
    <row r="20712" ht="15.75" customHeight="1"/>
    <row r="20713" ht="15.75" customHeight="1"/>
    <row r="20714" ht="15.75" customHeight="1"/>
    <row r="20715" ht="15.75" customHeight="1"/>
    <row r="20716" ht="15.75" customHeight="1"/>
    <row r="20717" ht="15.75" customHeight="1"/>
    <row r="20718" ht="15.75" customHeight="1"/>
    <row r="20719" ht="15.75" customHeight="1"/>
    <row r="20720" ht="15.75" customHeight="1"/>
    <row r="20721" ht="15.75" customHeight="1"/>
    <row r="20722" ht="15.75" customHeight="1"/>
    <row r="20723" ht="15.75" customHeight="1"/>
    <row r="20724" ht="15.75" customHeight="1"/>
    <row r="20725" ht="15.75" customHeight="1"/>
    <row r="20726" ht="15.75" customHeight="1"/>
    <row r="20727" ht="15.75" customHeight="1"/>
    <row r="20728" ht="15.75" customHeight="1"/>
    <row r="20729" ht="15.75" customHeight="1"/>
    <row r="20730" ht="15.75" customHeight="1"/>
    <row r="20731" ht="15.75" customHeight="1"/>
    <row r="20732" ht="15.75" customHeight="1"/>
    <row r="20733" ht="15.75" customHeight="1"/>
    <row r="20734" ht="15.75" customHeight="1"/>
    <row r="20735" ht="15.75" customHeight="1"/>
    <row r="20736" ht="15.75" customHeight="1"/>
    <row r="20737" ht="15.75" customHeight="1"/>
    <row r="20738" ht="15.75" customHeight="1"/>
    <row r="20739" ht="15.75" customHeight="1"/>
    <row r="20740" ht="15.75" customHeight="1"/>
    <row r="20741" ht="15.75" customHeight="1"/>
    <row r="20742" ht="15.75" customHeight="1"/>
    <row r="20743" ht="15.75" customHeight="1"/>
    <row r="20744" ht="15.75" customHeight="1"/>
    <row r="20745" ht="15.75" customHeight="1"/>
    <row r="20746" ht="15.75" customHeight="1"/>
    <row r="20747" ht="15.75" customHeight="1"/>
    <row r="20748" ht="15.75" customHeight="1"/>
    <row r="20749" ht="15.75" customHeight="1"/>
    <row r="20750" ht="15.75" customHeight="1"/>
    <row r="20751" ht="15.75" customHeight="1"/>
    <row r="20752" ht="15.75" customHeight="1"/>
    <row r="20753" ht="15.75" customHeight="1"/>
    <row r="20754" ht="15.75" customHeight="1"/>
    <row r="20755" ht="15.75" customHeight="1"/>
    <row r="20756" ht="15.75" customHeight="1"/>
    <row r="20757" ht="15.75" customHeight="1"/>
    <row r="20758" ht="15.75" customHeight="1"/>
    <row r="20759" ht="15.75" customHeight="1"/>
    <row r="20760" ht="15.75" customHeight="1"/>
    <row r="20761" ht="15.75" customHeight="1"/>
    <row r="20762" ht="15.75" customHeight="1"/>
    <row r="20763" ht="15.75" customHeight="1"/>
    <row r="20764" ht="15.75" customHeight="1"/>
    <row r="20765" ht="15.75" customHeight="1"/>
    <row r="20766" ht="15.75" customHeight="1"/>
    <row r="20767" ht="15.75" customHeight="1"/>
    <row r="20768" ht="15.75" customHeight="1"/>
    <row r="20769" ht="15.75" customHeight="1"/>
    <row r="20770" ht="15.75" customHeight="1"/>
    <row r="20771" ht="15.75" customHeight="1"/>
    <row r="20772" ht="15.75" customHeight="1"/>
    <row r="20773" ht="15.75" customHeight="1"/>
    <row r="20774" ht="15.75" customHeight="1"/>
    <row r="20775" ht="15.75" customHeight="1"/>
    <row r="20776" ht="15.75" customHeight="1"/>
    <row r="20777" ht="15.75" customHeight="1"/>
    <row r="20778" ht="15.75" customHeight="1"/>
    <row r="20779" ht="15.75" customHeight="1"/>
    <row r="20780" ht="15.75" customHeight="1"/>
    <row r="20781" ht="15.75" customHeight="1"/>
    <row r="20782" ht="15.75" customHeight="1"/>
    <row r="20783" ht="15.75" customHeight="1"/>
    <row r="20784" ht="15.75" customHeight="1"/>
    <row r="20785" ht="15.75" customHeight="1"/>
    <row r="20786" ht="15.75" customHeight="1"/>
    <row r="20787" ht="15.75" customHeight="1"/>
    <row r="20788" ht="15.75" customHeight="1"/>
    <row r="20789" ht="15.75" customHeight="1"/>
    <row r="20790" ht="15.75" customHeight="1"/>
    <row r="20791" ht="15.75" customHeight="1"/>
    <row r="20792" ht="15.75" customHeight="1"/>
    <row r="20793" ht="15.75" customHeight="1"/>
    <row r="20794" ht="15.75" customHeight="1"/>
    <row r="20795" ht="15.75" customHeight="1"/>
    <row r="20796" ht="15.75" customHeight="1"/>
    <row r="20797" ht="15.75" customHeight="1"/>
    <row r="20798" ht="15.75" customHeight="1"/>
    <row r="20799" ht="15.75" customHeight="1"/>
    <row r="20800" ht="15.75" customHeight="1"/>
    <row r="20801" ht="15.75" customHeight="1"/>
    <row r="20802" ht="15.75" customHeight="1"/>
    <row r="20803" ht="15.75" customHeight="1"/>
    <row r="20804" ht="15.75" customHeight="1"/>
    <row r="20805" ht="15.75" customHeight="1"/>
    <row r="20806" ht="15.75" customHeight="1"/>
    <row r="20807" ht="15.75" customHeight="1"/>
    <row r="20808" ht="15.75" customHeight="1"/>
    <row r="20809" ht="15.75" customHeight="1"/>
    <row r="20810" ht="15.75" customHeight="1"/>
    <row r="20811" ht="15.75" customHeight="1"/>
    <row r="20812" ht="15.75" customHeight="1"/>
    <row r="20813" ht="15.75" customHeight="1"/>
    <row r="20814" ht="15.75" customHeight="1"/>
    <row r="20815" ht="15.75" customHeight="1"/>
    <row r="20816" ht="15.75" customHeight="1"/>
    <row r="20817" ht="15.75" customHeight="1"/>
    <row r="20818" ht="15.75" customHeight="1"/>
    <row r="20819" ht="15.75" customHeight="1"/>
    <row r="20820" ht="15.75" customHeight="1"/>
    <row r="20821" ht="15.75" customHeight="1"/>
    <row r="20822" ht="15.75" customHeight="1"/>
    <row r="20823" ht="15.75" customHeight="1"/>
    <row r="20824" ht="15.75" customHeight="1"/>
    <row r="20825" ht="15.75" customHeight="1"/>
    <row r="20826" ht="15.75" customHeight="1"/>
    <row r="20827" ht="15.75" customHeight="1"/>
    <row r="20828" ht="15.75" customHeight="1"/>
    <row r="20829" ht="15.75" customHeight="1"/>
    <row r="20830" ht="15.75" customHeight="1"/>
    <row r="20831" ht="15.75" customHeight="1"/>
    <row r="20832" ht="15.75" customHeight="1"/>
    <row r="20833" ht="15.75" customHeight="1"/>
    <row r="20834" ht="15.75" customHeight="1"/>
    <row r="20835" ht="15.75" customHeight="1"/>
    <row r="20836" ht="15.75" customHeight="1"/>
    <row r="20837" ht="15.75" customHeight="1"/>
    <row r="20838" ht="15.75" customHeight="1"/>
    <row r="20839" ht="15.75" customHeight="1"/>
    <row r="20840" ht="15.75" customHeight="1"/>
    <row r="20841" ht="15.75" customHeight="1"/>
    <row r="20842" ht="15.75" customHeight="1"/>
    <row r="20843" ht="15.75" customHeight="1"/>
    <row r="20844" ht="15.75" customHeight="1"/>
    <row r="20845" ht="15.75" customHeight="1"/>
    <row r="20846" ht="15.75" customHeight="1"/>
    <row r="20847" ht="15.75" customHeight="1"/>
    <row r="20848" ht="15.75" customHeight="1"/>
    <row r="20849" ht="15.75" customHeight="1"/>
    <row r="20850" ht="15.75" customHeight="1"/>
    <row r="20851" ht="15.75" customHeight="1"/>
    <row r="20852" ht="15.75" customHeight="1"/>
    <row r="20853" ht="15.75" customHeight="1"/>
    <row r="20854" ht="15.75" customHeight="1"/>
    <row r="20855" ht="15.75" customHeight="1"/>
    <row r="20856" ht="15.75" customHeight="1"/>
    <row r="20857" ht="15.75" customHeight="1"/>
    <row r="20858" ht="15.75" customHeight="1"/>
    <row r="20859" ht="15.75" customHeight="1"/>
    <row r="20860" ht="15.75" customHeight="1"/>
    <row r="20861" ht="15.75" customHeight="1"/>
    <row r="20862" ht="15.75" customHeight="1"/>
    <row r="20863" ht="15.75" customHeight="1"/>
    <row r="20864" ht="15.75" customHeight="1"/>
    <row r="20865" ht="15.75" customHeight="1"/>
    <row r="20866" ht="15.75" customHeight="1"/>
    <row r="20867" ht="15.75" customHeight="1"/>
    <row r="20868" ht="15.75" customHeight="1"/>
    <row r="20869" ht="15.75" customHeight="1"/>
    <row r="20870" ht="15.75" customHeight="1"/>
    <row r="20871" ht="15.75" customHeight="1"/>
    <row r="20872" ht="15.75" customHeight="1"/>
    <row r="20873" ht="15.75" customHeight="1"/>
    <row r="20874" ht="15.75" customHeight="1"/>
    <row r="20875" ht="15.75" customHeight="1"/>
    <row r="20876" ht="15.75" customHeight="1"/>
    <row r="20877" ht="15.75" customHeight="1"/>
    <row r="20878" ht="15.75" customHeight="1"/>
    <row r="20879" ht="15.75" customHeight="1"/>
    <row r="20880" ht="15.75" customHeight="1"/>
    <row r="20881" ht="15.75" customHeight="1"/>
    <row r="20882" ht="15.75" customHeight="1"/>
    <row r="20883" ht="15.75" customHeight="1"/>
    <row r="20884" ht="15.75" customHeight="1"/>
    <row r="20885" ht="15.75" customHeight="1"/>
    <row r="20886" ht="15.75" customHeight="1"/>
    <row r="20887" ht="15.75" customHeight="1"/>
    <row r="20888" ht="15.75" customHeight="1"/>
    <row r="20889" ht="15.75" customHeight="1"/>
    <row r="20890" ht="15.75" customHeight="1"/>
    <row r="20891" ht="15.75" customHeight="1"/>
    <row r="20892" ht="15.75" customHeight="1"/>
    <row r="20893" ht="15.75" customHeight="1"/>
    <row r="20894" ht="15.75" customHeight="1"/>
    <row r="20895" ht="15.75" customHeight="1"/>
    <row r="20896" ht="15.75" customHeight="1"/>
    <row r="20897" ht="15.75" customHeight="1"/>
    <row r="20898" ht="15.75" customHeight="1"/>
    <row r="20899" ht="15.75" customHeight="1"/>
    <row r="20900" ht="15.75" customHeight="1"/>
    <row r="20901" ht="15.75" customHeight="1"/>
    <row r="20902" ht="15.75" customHeight="1"/>
    <row r="20903" ht="15.75" customHeight="1"/>
    <row r="20904" ht="15.75" customHeight="1"/>
    <row r="20905" ht="15.75" customHeight="1"/>
    <row r="20906" ht="15.75" customHeight="1"/>
    <row r="20907" ht="15.75" customHeight="1"/>
    <row r="20908" ht="15.75" customHeight="1"/>
    <row r="20909" ht="15.75" customHeight="1"/>
    <row r="20910" ht="15.75" customHeight="1"/>
    <row r="20911" ht="15.75" customHeight="1"/>
    <row r="20912" ht="15.75" customHeight="1"/>
    <row r="20913" ht="15.75" customHeight="1"/>
    <row r="20914" ht="15.75" customHeight="1"/>
    <row r="20915" ht="15.75" customHeight="1"/>
    <row r="20916" ht="15.75" customHeight="1"/>
    <row r="20917" ht="15.75" customHeight="1"/>
    <row r="20918" ht="15.75" customHeight="1"/>
    <row r="20919" ht="15.75" customHeight="1"/>
    <row r="20920" ht="15.75" customHeight="1"/>
    <row r="20921" ht="15.75" customHeight="1"/>
    <row r="20922" ht="15.75" customHeight="1"/>
    <row r="20923" ht="15.75" customHeight="1"/>
    <row r="20924" ht="15.75" customHeight="1"/>
    <row r="20925" ht="15.75" customHeight="1"/>
    <row r="20926" ht="15.75" customHeight="1"/>
    <row r="20927" ht="15.75" customHeight="1"/>
    <row r="20928" ht="15.75" customHeight="1"/>
    <row r="20929" ht="15.75" customHeight="1"/>
    <row r="20930" ht="15.75" customHeight="1"/>
    <row r="20931" ht="15.75" customHeight="1"/>
    <row r="20932" ht="15.75" customHeight="1"/>
    <row r="20933" ht="15.75" customHeight="1"/>
    <row r="20934" ht="15.75" customHeight="1"/>
    <row r="20935" ht="15.75" customHeight="1"/>
    <row r="20936" ht="15.75" customHeight="1"/>
    <row r="20937" ht="15.75" customHeight="1"/>
    <row r="20938" ht="15.75" customHeight="1"/>
    <row r="20939" ht="15.75" customHeight="1"/>
    <row r="20940" ht="15.75" customHeight="1"/>
    <row r="20941" ht="15.75" customHeight="1"/>
    <row r="20942" ht="15.75" customHeight="1"/>
    <row r="20943" ht="15.75" customHeight="1"/>
    <row r="20944" ht="15.75" customHeight="1"/>
    <row r="20945" ht="15.75" customHeight="1"/>
    <row r="20946" ht="15.75" customHeight="1"/>
    <row r="20947" ht="15.75" customHeight="1"/>
    <row r="20948" ht="15.75" customHeight="1"/>
    <row r="20949" ht="15.75" customHeight="1"/>
    <row r="20950" ht="15.75" customHeight="1"/>
    <row r="20951" ht="15.75" customHeight="1"/>
    <row r="20952" ht="15.75" customHeight="1"/>
    <row r="20953" ht="15.75" customHeight="1"/>
    <row r="20954" ht="15.75" customHeight="1"/>
    <row r="20955" ht="15.75" customHeight="1"/>
    <row r="20956" ht="15.75" customHeight="1"/>
    <row r="20957" ht="15.75" customHeight="1"/>
    <row r="20958" ht="15.75" customHeight="1"/>
    <row r="20959" ht="15.75" customHeight="1"/>
    <row r="20960" ht="15.75" customHeight="1"/>
    <row r="20961" ht="15.75" customHeight="1"/>
    <row r="20962" ht="15.75" customHeight="1"/>
    <row r="20963" ht="15.75" customHeight="1"/>
    <row r="20964" ht="15.75" customHeight="1"/>
    <row r="20965" ht="15.75" customHeight="1"/>
    <row r="20966" ht="15.75" customHeight="1"/>
    <row r="20967" ht="15.75" customHeight="1"/>
    <row r="20968" ht="15.75" customHeight="1"/>
    <row r="20969" ht="15.75" customHeight="1"/>
    <row r="20970" ht="15.75" customHeight="1"/>
    <row r="20971" ht="15.75" customHeight="1"/>
    <row r="20972" ht="15.75" customHeight="1"/>
    <row r="20973" ht="15.75" customHeight="1"/>
    <row r="20974" ht="15.75" customHeight="1"/>
    <row r="20975" ht="15.75" customHeight="1"/>
    <row r="20976" ht="15.75" customHeight="1"/>
    <row r="20977" ht="15.75" customHeight="1"/>
    <row r="20978" ht="15.75" customHeight="1"/>
    <row r="20979" ht="15.75" customHeight="1"/>
    <row r="20980" ht="15.75" customHeight="1"/>
    <row r="20981" ht="15.75" customHeight="1"/>
    <row r="20982" ht="15.75" customHeight="1"/>
    <row r="20983" ht="15.75" customHeight="1"/>
    <row r="20984" ht="15.75" customHeight="1"/>
    <row r="20985" ht="15.75" customHeight="1"/>
    <row r="20986" ht="15.75" customHeight="1"/>
    <row r="20987" ht="15.75" customHeight="1"/>
    <row r="20988" ht="15.75" customHeight="1"/>
    <row r="20989" ht="15.75" customHeight="1"/>
    <row r="20990" ht="15.75" customHeight="1"/>
    <row r="20991" ht="15.75" customHeight="1"/>
    <row r="20992" ht="15.75" customHeight="1"/>
    <row r="20993" ht="15.75" customHeight="1"/>
    <row r="20994" ht="15.75" customHeight="1"/>
    <row r="20995" ht="15.75" customHeight="1"/>
    <row r="20996" ht="15.75" customHeight="1"/>
    <row r="20997" ht="15.75" customHeight="1"/>
    <row r="20998" ht="15.75" customHeight="1"/>
    <row r="20999" ht="15.75" customHeight="1"/>
    <row r="21000" ht="15.75" customHeight="1"/>
    <row r="21001" ht="15.75" customHeight="1"/>
    <row r="21002" ht="15.75" customHeight="1"/>
    <row r="21003" ht="15.75" customHeight="1"/>
    <row r="21004" ht="15.75" customHeight="1"/>
    <row r="21005" ht="15.75" customHeight="1"/>
    <row r="21006" ht="15.75" customHeight="1"/>
    <row r="21007" ht="15.75" customHeight="1"/>
    <row r="21008" ht="15.75" customHeight="1"/>
    <row r="21009" ht="15.75" customHeight="1"/>
    <row r="21010" ht="15.75" customHeight="1"/>
    <row r="21011" ht="15.75" customHeight="1"/>
    <row r="21012" ht="15.75" customHeight="1"/>
    <row r="21013" ht="15.75" customHeight="1"/>
    <row r="21014" ht="15.75" customHeight="1"/>
    <row r="21015" ht="15.75" customHeight="1"/>
    <row r="21016" ht="15.75" customHeight="1"/>
    <row r="21017" ht="15.75" customHeight="1"/>
    <row r="21018" ht="15.75" customHeight="1"/>
    <row r="21019" ht="15.75" customHeight="1"/>
    <row r="21020" ht="15.75" customHeight="1"/>
    <row r="21021" ht="15.75" customHeight="1"/>
    <row r="21022" ht="15.75" customHeight="1"/>
    <row r="21023" ht="15.75" customHeight="1"/>
    <row r="21024" ht="15.75" customHeight="1"/>
    <row r="21025" ht="15.75" customHeight="1"/>
    <row r="21026" ht="15.75" customHeight="1"/>
    <row r="21027" ht="15.75" customHeight="1"/>
    <row r="21028" ht="15.75" customHeight="1"/>
    <row r="21029" ht="15.75" customHeight="1"/>
    <row r="21030" ht="15.75" customHeight="1"/>
    <row r="21031" ht="15.75" customHeight="1"/>
    <row r="21032" ht="15.75" customHeight="1"/>
    <row r="21033" ht="15.75" customHeight="1"/>
    <row r="21034" ht="15.75" customHeight="1"/>
    <row r="21035" ht="15.75" customHeight="1"/>
    <row r="21036" ht="15.75" customHeight="1"/>
    <row r="21037" ht="15.75" customHeight="1"/>
    <row r="21038" ht="15.75" customHeight="1"/>
    <row r="21039" ht="15.75" customHeight="1"/>
    <row r="21040" ht="15.75" customHeight="1"/>
    <row r="21041" ht="15.75" customHeight="1"/>
    <row r="21042" ht="15.75" customHeight="1"/>
    <row r="21043" ht="15.75" customHeight="1"/>
    <row r="21044" ht="15.75" customHeight="1"/>
    <row r="21045" ht="15.75" customHeight="1"/>
    <row r="21046" ht="15.75" customHeight="1"/>
    <row r="21047" ht="15.75" customHeight="1"/>
    <row r="21048" ht="15.75" customHeight="1"/>
    <row r="21049" ht="15.75" customHeight="1"/>
    <row r="21050" ht="15.75" customHeight="1"/>
    <row r="21051" ht="15.75" customHeight="1"/>
    <row r="21052" ht="15.75" customHeight="1"/>
  </sheetData>
  <autoFilter ref="A1:E20053">
    <filterColumn colId="4">
      <filters>
        <filter val="Erie North Shore Hockey"/>
        <filter val="Kingsville Soccer Association"/>
        <filter val="Riverside Minor Baseball Association"/>
        <filter val="Tecumseh Minor Baseball"/>
      </filters>
    </filterColumn>
  </autoFilter>
  <conditionalFormatting sqref="B17:E2766 A101:A2766 A2768:E20017">
    <cfRule type="expression" dxfId="2" priority="1">
      <formula>COUNTIF($A$17:$A20053, $A17)&gt;1</formula>
    </cfRule>
  </conditionalFormatting>
  <conditionalFormatting sqref="A2767:E2767">
    <cfRule type="expression" dxfId="1" priority="2">
      <formula>COUNTIF($A$17:$A23800, $A2767)&gt;1</formula>
    </cfRule>
  </conditionalFormatting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H1000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2.5703125" defaultRowHeight="15" customHeight="1"/>
  <cols>
    <col min="1" max="1" width="5.7109375" customWidth="1"/>
    <col min="2" max="2" width="43.85546875" customWidth="1"/>
    <col min="3" max="3" width="37.5703125" customWidth="1"/>
    <col min="4" max="4" width="32.7109375" customWidth="1"/>
    <col min="5" max="5" width="23" customWidth="1"/>
    <col min="6" max="6" width="32.7109375" customWidth="1"/>
    <col min="7" max="8" width="17.28515625" hidden="1" customWidth="1"/>
  </cols>
  <sheetData>
    <row r="1" spans="1:8" ht="39.75" customHeight="1">
      <c r="A1" s="4"/>
      <c r="B1" s="4"/>
      <c r="C1" s="98" t="s">
        <v>63</v>
      </c>
      <c r="D1" s="99"/>
      <c r="E1" s="100"/>
      <c r="F1" s="60"/>
      <c r="G1" s="60"/>
      <c r="H1" s="60"/>
    </row>
    <row r="2" spans="1:8" ht="39.75" customHeight="1">
      <c r="A2" s="4"/>
      <c r="B2" s="4"/>
      <c r="C2" s="101"/>
      <c r="D2" s="102"/>
      <c r="E2" s="103"/>
      <c r="F2" s="60"/>
      <c r="G2" s="60"/>
      <c r="H2" s="60"/>
    </row>
    <row r="3" spans="1:8" ht="33" customHeight="1">
      <c r="A3" s="5"/>
      <c r="B3" s="61" t="e">
        <f>F3/D3</f>
        <v>#DIV/0!</v>
      </c>
      <c r="C3" s="62" t="s">
        <v>64</v>
      </c>
      <c r="D3" s="63">
        <f>SUM(D5:D49291)</f>
        <v>0</v>
      </c>
      <c r="E3" s="64"/>
      <c r="F3" s="64">
        <f>SUM($C$5:$C49291)</f>
        <v>0</v>
      </c>
      <c r="G3" s="65">
        <v>44927</v>
      </c>
      <c r="H3" s="65">
        <v>45429</v>
      </c>
    </row>
    <row r="4" spans="1:8" ht="25.5" customHeight="1">
      <c r="A4" s="7" t="s">
        <v>55</v>
      </c>
      <c r="B4" s="8" t="s">
        <v>1</v>
      </c>
      <c r="C4" s="9" t="s">
        <v>56</v>
      </c>
      <c r="D4" s="9" t="s">
        <v>65</v>
      </c>
      <c r="E4" s="9" t="s">
        <v>66</v>
      </c>
      <c r="F4" s="9" t="s">
        <v>67</v>
      </c>
      <c r="G4" s="66"/>
      <c r="H4" s="66"/>
    </row>
    <row r="5" spans="1:8" ht="34.5" customHeight="1">
      <c r="A5" s="10">
        <v>1</v>
      </c>
      <c r="B5" s="67" t="s">
        <v>60</v>
      </c>
      <c r="C5" s="12">
        <f>SUMIFS('From Woocommerce'!D:D, 'From Woocommerce'!E:E, "Tecumseh Minor Baseball")</f>
        <v>0</v>
      </c>
      <c r="D5" s="13">
        <f>COUNTIFS('From Woocommerce'!E:E, "Tecumseh Minor Baseball")</f>
        <v>0</v>
      </c>
      <c r="E5" s="68" t="e">
        <f>AVERAGEIFS('From Woocommerce'!D:D,  'From Woocommerce'!E:E, "Tecumseh Minor Baseball")</f>
        <v>#DIV/0!</v>
      </c>
      <c r="F5" s="69">
        <f t="shared" ref="F5:F8" si="0">IFERROR(IF(B5="","",C5/SUM($C$5:$C49291)),0)</f>
        <v>0</v>
      </c>
      <c r="G5" s="70"/>
      <c r="H5" s="70"/>
    </row>
    <row r="6" spans="1:8" ht="34.5" customHeight="1">
      <c r="A6" s="16">
        <v>2</v>
      </c>
      <c r="B6" s="71" t="s">
        <v>59</v>
      </c>
      <c r="C6" s="18">
        <f>SUMIFS('From Woocommerce'!D:D, 'From Woocommerce'!E:E, "Kingsville Soccer Association")</f>
        <v>0</v>
      </c>
      <c r="D6" s="19">
        <f>COUNTIFS('From Woocommerce'!E:E, "Kingsville Soccer Association")</f>
        <v>0</v>
      </c>
      <c r="E6" s="68" t="e">
        <f>AVERAGEIFS('From Woocommerce'!D:D, 'From Woocommerce'!E:E, "Kingsville Soccer Association")</f>
        <v>#DIV/0!</v>
      </c>
      <c r="F6" s="69">
        <f t="shared" si="0"/>
        <v>0</v>
      </c>
      <c r="G6" s="70"/>
      <c r="H6" s="70"/>
    </row>
    <row r="7" spans="1:8" ht="34.5" customHeight="1">
      <c r="A7" s="10">
        <v>3</v>
      </c>
      <c r="B7" s="67" t="s">
        <v>62</v>
      </c>
      <c r="C7" s="72">
        <f>SUMIFS('From Woocommerce'!D:D, 'From Woocommerce'!E:E, "Erie North Shore Hockey")</f>
        <v>0</v>
      </c>
      <c r="D7" s="13">
        <f>COUNTIFS('From Woocommerce'!E:E, "Erie North Shore Hockey")</f>
        <v>0</v>
      </c>
      <c r="E7" s="68" t="e">
        <f>AVERAGEIFS('From Woocommerce'!D:D, 'From Woocommerce'!E:E, "Erie North Shore Hockey")</f>
        <v>#DIV/0!</v>
      </c>
      <c r="F7" s="69">
        <f t="shared" si="0"/>
        <v>0</v>
      </c>
      <c r="G7" s="70"/>
      <c r="H7" s="70"/>
    </row>
    <row r="8" spans="1:8" ht="34.5" customHeight="1">
      <c r="A8" s="73">
        <v>4</v>
      </c>
      <c r="B8" s="71" t="s">
        <v>61</v>
      </c>
      <c r="C8" s="18">
        <f>SUMIFS('From Woocommerce'!D:D, 'From Woocommerce'!E:E, "Riverside Minor Baseball Association")</f>
        <v>0</v>
      </c>
      <c r="D8" s="19">
        <f>COUNTIFS('From Woocommerce'!E:E, "Riverside Minor Baseball Association")</f>
        <v>0</v>
      </c>
      <c r="E8" s="68" t="e">
        <f>AVERAGEIFS('From Woocommerce'!D:D, 'From Woocommerce'!C:C, "completed", 'From Woocommerce'!E:E, "Riverside Minor Baseball Association")</f>
        <v>#DIV/0!</v>
      </c>
      <c r="F8" s="69">
        <f t="shared" si="0"/>
        <v>0</v>
      </c>
      <c r="G8" s="70"/>
      <c r="H8" s="70"/>
    </row>
    <row r="9" spans="1:8" ht="34.5" customHeight="1">
      <c r="A9" s="20"/>
      <c r="B9" s="21"/>
      <c r="C9" s="12"/>
      <c r="D9" s="22"/>
      <c r="E9" s="68"/>
      <c r="F9" s="69"/>
      <c r="G9" s="70"/>
      <c r="H9" s="70"/>
    </row>
    <row r="10" spans="1:8" ht="34.5" customHeight="1">
      <c r="A10" s="16"/>
      <c r="B10" s="17"/>
      <c r="C10" s="23"/>
      <c r="D10" s="19"/>
      <c r="E10" s="74"/>
      <c r="F10" s="75"/>
      <c r="G10" s="70"/>
      <c r="H10" s="70"/>
    </row>
    <row r="11" spans="1:8" ht="34.5" customHeight="1">
      <c r="A11" s="10"/>
      <c r="B11" s="11"/>
      <c r="C11" s="12"/>
      <c r="D11" s="22"/>
      <c r="E11" s="68"/>
      <c r="F11" s="69"/>
      <c r="G11" s="70"/>
      <c r="H11" s="70"/>
    </row>
    <row r="12" spans="1:8" ht="34.5" customHeight="1">
      <c r="A12" s="16"/>
      <c r="B12" s="17"/>
      <c r="C12" s="23"/>
      <c r="D12" s="19"/>
      <c r="E12" s="74"/>
      <c r="F12" s="75"/>
      <c r="G12" s="70"/>
      <c r="H12" s="70"/>
    </row>
    <row r="13" spans="1:8" ht="34.5" customHeight="1">
      <c r="A13" s="10"/>
      <c r="B13" s="11"/>
      <c r="C13" s="12"/>
      <c r="D13" s="22"/>
      <c r="E13" s="68"/>
      <c r="F13" s="69"/>
      <c r="G13" s="70"/>
      <c r="H13" s="70"/>
    </row>
    <row r="14" spans="1:8" ht="34.5" customHeight="1">
      <c r="A14" s="16"/>
      <c r="B14" s="17"/>
      <c r="C14" s="23"/>
      <c r="D14" s="19"/>
      <c r="E14" s="74"/>
      <c r="F14" s="75"/>
      <c r="G14" s="70"/>
      <c r="H14" s="70"/>
    </row>
    <row r="15" spans="1:8" ht="34.5" customHeight="1">
      <c r="A15" s="10"/>
      <c r="B15" s="11"/>
      <c r="C15" s="12"/>
      <c r="D15" s="22"/>
      <c r="E15" s="68"/>
      <c r="F15" s="69"/>
      <c r="G15" s="70"/>
      <c r="H15" s="70"/>
    </row>
    <row r="16" spans="1:8" ht="34.5" customHeight="1">
      <c r="A16" s="16"/>
      <c r="B16" s="17"/>
      <c r="C16" s="23"/>
      <c r="D16" s="19"/>
      <c r="E16" s="74"/>
      <c r="F16" s="75"/>
      <c r="G16" s="70"/>
      <c r="H16" s="70"/>
    </row>
    <row r="17" spans="1:8" ht="34.5" customHeight="1">
      <c r="A17" s="10"/>
      <c r="B17" s="11"/>
      <c r="C17" s="12"/>
      <c r="D17" s="22"/>
      <c r="E17" s="68"/>
      <c r="F17" s="69"/>
      <c r="G17" s="70"/>
      <c r="H17" s="70"/>
    </row>
    <row r="18" spans="1:8" ht="35.25" customHeight="1">
      <c r="A18" s="16"/>
      <c r="B18" s="17"/>
      <c r="C18" s="23"/>
      <c r="D18" s="19"/>
      <c r="E18" s="74"/>
      <c r="F18" s="75"/>
      <c r="G18" s="70"/>
      <c r="H18" s="70"/>
    </row>
    <row r="19" spans="1:8" ht="34.5" customHeight="1">
      <c r="A19" s="10"/>
      <c r="B19" s="11"/>
      <c r="C19" s="12"/>
      <c r="D19" s="22"/>
      <c r="E19" s="68"/>
      <c r="F19" s="69"/>
      <c r="G19" s="70"/>
      <c r="H19" s="70"/>
    </row>
    <row r="20" spans="1:8" ht="34.5" customHeight="1">
      <c r="A20" s="16"/>
      <c r="B20" s="17"/>
      <c r="C20" s="23"/>
      <c r="D20" s="19"/>
      <c r="E20" s="74"/>
      <c r="F20" s="75"/>
      <c r="G20" s="70"/>
      <c r="H20" s="70"/>
    </row>
    <row r="21" spans="1:8" ht="34.5" customHeight="1">
      <c r="A21" s="10"/>
      <c r="B21" s="11"/>
      <c r="C21" s="12"/>
      <c r="D21" s="22"/>
      <c r="E21" s="68"/>
      <c r="F21" s="69"/>
      <c r="G21" s="70"/>
      <c r="H21" s="70"/>
    </row>
    <row r="22" spans="1:8" ht="34.5" customHeight="1">
      <c r="A22" s="16"/>
      <c r="B22" s="17"/>
      <c r="C22" s="23"/>
      <c r="D22" s="19"/>
      <c r="E22" s="74"/>
      <c r="F22" s="75"/>
      <c r="G22" s="70"/>
      <c r="H22" s="70"/>
    </row>
    <row r="23" spans="1:8" ht="34.5" customHeight="1">
      <c r="A23" s="10"/>
      <c r="B23" s="11"/>
      <c r="C23" s="12"/>
      <c r="D23" s="22"/>
      <c r="E23" s="68"/>
      <c r="F23" s="69"/>
      <c r="G23" s="70"/>
      <c r="H23" s="70"/>
    </row>
    <row r="24" spans="1:8" ht="34.5" customHeight="1">
      <c r="A24" s="16"/>
      <c r="B24" s="17"/>
      <c r="C24" s="23"/>
      <c r="D24" s="19"/>
      <c r="E24" s="74"/>
      <c r="F24" s="75"/>
      <c r="G24" s="70"/>
      <c r="H24" s="70"/>
    </row>
    <row r="25" spans="1:8" ht="34.5" customHeight="1">
      <c r="A25" s="10"/>
      <c r="B25" s="11"/>
      <c r="C25" s="12"/>
      <c r="D25" s="22"/>
      <c r="E25" s="68"/>
      <c r="F25" s="69"/>
      <c r="G25" s="70"/>
      <c r="H25" s="70"/>
    </row>
    <row r="26" spans="1:8" ht="34.5" customHeight="1">
      <c r="A26" s="24"/>
      <c r="B26" s="25"/>
      <c r="C26" s="23"/>
      <c r="D26" s="19"/>
      <c r="E26" s="74"/>
      <c r="F26" s="75"/>
      <c r="G26" s="70"/>
      <c r="H26" s="70"/>
    </row>
    <row r="27" spans="1:8" ht="15.75" customHeight="1">
      <c r="A27" s="76"/>
      <c r="B27" s="77"/>
      <c r="C27" s="78"/>
      <c r="D27" s="79"/>
      <c r="E27" s="79"/>
      <c r="F27" s="79"/>
      <c r="G27" s="28"/>
      <c r="H27" s="28"/>
    </row>
    <row r="28" spans="1:8" ht="15.75" customHeight="1">
      <c r="A28" s="26"/>
      <c r="B28" s="1"/>
      <c r="C28" s="27"/>
      <c r="D28" s="28"/>
      <c r="E28" s="28"/>
      <c r="F28" s="28"/>
      <c r="G28" s="28"/>
      <c r="H28" s="28"/>
    </row>
    <row r="29" spans="1:8" ht="15.75" customHeight="1">
      <c r="A29" s="26"/>
      <c r="C29" s="27"/>
      <c r="D29" s="28"/>
      <c r="E29" s="28"/>
      <c r="F29" s="28"/>
      <c r="G29" s="28"/>
      <c r="H29" s="28"/>
    </row>
    <row r="30" spans="1:8" ht="15.75" customHeight="1">
      <c r="A30" s="26"/>
      <c r="C30" s="27"/>
      <c r="D30" s="28"/>
      <c r="E30" s="28"/>
      <c r="F30" s="28"/>
      <c r="G30" s="28"/>
      <c r="H30" s="28"/>
    </row>
    <row r="31" spans="1:8" ht="15.75" customHeight="1">
      <c r="A31" s="26"/>
      <c r="C31" s="27"/>
      <c r="D31" s="28"/>
      <c r="E31" s="28"/>
      <c r="G31" s="28"/>
      <c r="H31" s="28"/>
    </row>
    <row r="32" spans="1:8" ht="15.75" customHeight="1">
      <c r="A32" s="26"/>
      <c r="C32" s="27"/>
      <c r="D32" s="28"/>
      <c r="E32" s="28"/>
      <c r="G32" s="28"/>
      <c r="H32" s="28"/>
    </row>
    <row r="33" spans="1:8" ht="15.75" customHeight="1">
      <c r="A33" s="26"/>
      <c r="C33" s="27"/>
      <c r="D33" s="28"/>
      <c r="E33" s="28"/>
      <c r="G33" s="28"/>
      <c r="H33" s="28"/>
    </row>
    <row r="34" spans="1:8" ht="15.75" customHeight="1">
      <c r="A34" s="26"/>
      <c r="C34" s="27"/>
      <c r="D34" s="28"/>
      <c r="E34" s="28"/>
      <c r="G34" s="28"/>
      <c r="H34" s="28"/>
    </row>
    <row r="35" spans="1:8" ht="15.75" customHeight="1">
      <c r="A35" s="26"/>
      <c r="C35" s="27"/>
      <c r="D35" s="28"/>
      <c r="E35" s="28"/>
      <c r="G35" s="28"/>
      <c r="H35" s="28"/>
    </row>
    <row r="36" spans="1:8" ht="15.75" customHeight="1">
      <c r="A36" s="26"/>
      <c r="C36" s="27"/>
      <c r="D36" s="28"/>
      <c r="E36" s="28"/>
      <c r="G36" s="28"/>
      <c r="H36" s="28"/>
    </row>
    <row r="37" spans="1:8" ht="15.75" customHeight="1">
      <c r="A37" s="26"/>
      <c r="C37" s="27"/>
      <c r="D37" s="28"/>
      <c r="E37" s="28"/>
      <c r="G37" s="28"/>
      <c r="H37" s="28"/>
    </row>
    <row r="38" spans="1:8" ht="15.75" customHeight="1">
      <c r="A38" s="26"/>
      <c r="C38" s="27"/>
      <c r="D38" s="28"/>
    </row>
    <row r="39" spans="1:8" ht="15.75" customHeight="1">
      <c r="A39" s="26"/>
      <c r="C39" s="27"/>
      <c r="D39" s="28"/>
    </row>
    <row r="40" spans="1:8" ht="15.75" customHeight="1">
      <c r="A40" s="26"/>
      <c r="C40" s="27"/>
      <c r="D40" s="28"/>
    </row>
    <row r="41" spans="1:8" ht="15.75" customHeight="1">
      <c r="A41" s="26"/>
      <c r="C41" s="27"/>
      <c r="D41" s="28"/>
    </row>
    <row r="42" spans="1:8" ht="15.75" customHeight="1">
      <c r="A42" s="26"/>
      <c r="C42" s="27"/>
      <c r="D42" s="28"/>
    </row>
    <row r="43" spans="1:8" ht="15.75" customHeight="1">
      <c r="A43" s="26"/>
      <c r="C43" s="27"/>
      <c r="D43" s="28"/>
    </row>
    <row r="44" spans="1:8" ht="15.75" customHeight="1">
      <c r="A44" s="26"/>
      <c r="C44" s="27"/>
      <c r="D44" s="28"/>
    </row>
    <row r="45" spans="1:8" ht="15.75" customHeight="1">
      <c r="A45" s="26"/>
      <c r="C45" s="27"/>
      <c r="D45" s="28"/>
    </row>
    <row r="46" spans="1:8" ht="15.75" customHeight="1">
      <c r="A46" s="26"/>
      <c r="C46" s="27"/>
      <c r="D46" s="28"/>
    </row>
    <row r="47" spans="1:8" ht="15.75" customHeight="1">
      <c r="A47" s="26"/>
      <c r="C47" s="27"/>
      <c r="D47" s="28"/>
    </row>
    <row r="48" spans="1:8" ht="15.75" customHeight="1">
      <c r="A48" s="26"/>
      <c r="C48" s="27"/>
      <c r="D48" s="28"/>
    </row>
    <row r="49" spans="1:8" ht="15.75" customHeight="1">
      <c r="A49" s="26"/>
      <c r="C49" s="27"/>
      <c r="D49" s="28"/>
      <c r="E49" s="28"/>
      <c r="F49" s="28"/>
      <c r="G49" s="28"/>
      <c r="H49" s="28"/>
    </row>
    <row r="50" spans="1:8" ht="15.75" customHeight="1">
      <c r="A50" s="26"/>
      <c r="C50" s="27"/>
      <c r="D50" s="28"/>
      <c r="E50" s="28"/>
      <c r="F50" s="28"/>
      <c r="G50" s="28"/>
      <c r="H50" s="28"/>
    </row>
    <row r="51" spans="1:8" ht="15.75" customHeight="1">
      <c r="A51" s="26"/>
      <c r="C51" s="27"/>
      <c r="D51" s="28"/>
      <c r="E51" s="28"/>
      <c r="F51" s="28"/>
      <c r="G51" s="28"/>
      <c r="H51" s="28"/>
    </row>
    <row r="52" spans="1:8" ht="15.75" customHeight="1">
      <c r="A52" s="26"/>
      <c r="C52" s="27"/>
      <c r="D52" s="28"/>
      <c r="E52" s="28"/>
      <c r="F52" s="28"/>
      <c r="G52" s="28"/>
      <c r="H52" s="28"/>
    </row>
    <row r="53" spans="1:8" ht="15.75" customHeight="1">
      <c r="A53" s="26"/>
      <c r="C53" s="27"/>
      <c r="D53" s="28"/>
      <c r="E53" s="28"/>
      <c r="F53" s="28"/>
      <c r="G53" s="28"/>
      <c r="H53" s="28"/>
    </row>
    <row r="54" spans="1:8" ht="15.75" customHeight="1">
      <c r="A54" s="26"/>
      <c r="C54" s="27"/>
      <c r="D54" s="28"/>
      <c r="E54" s="28"/>
      <c r="F54" s="28"/>
      <c r="G54" s="28"/>
      <c r="H54" s="28"/>
    </row>
    <row r="55" spans="1:8" ht="15.75" customHeight="1">
      <c r="A55" s="26"/>
      <c r="C55" s="27"/>
      <c r="D55" s="28"/>
      <c r="E55" s="28"/>
      <c r="F55" s="28"/>
      <c r="G55" s="28"/>
      <c r="H55" s="28"/>
    </row>
    <row r="56" spans="1:8" ht="15.75" customHeight="1">
      <c r="A56" s="26"/>
      <c r="C56" s="27"/>
      <c r="D56" s="28"/>
      <c r="E56" s="28"/>
      <c r="F56" s="28"/>
      <c r="G56" s="28"/>
      <c r="H56" s="28"/>
    </row>
    <row r="57" spans="1:8" ht="15.75" customHeight="1">
      <c r="A57" s="26"/>
      <c r="C57" s="27"/>
      <c r="D57" s="28"/>
      <c r="E57" s="28"/>
      <c r="F57" s="28"/>
      <c r="G57" s="28"/>
      <c r="H57" s="28"/>
    </row>
    <row r="58" spans="1:8" ht="15.75" customHeight="1">
      <c r="A58" s="26"/>
      <c r="C58" s="27"/>
      <c r="D58" s="28"/>
      <c r="E58" s="28"/>
      <c r="F58" s="28"/>
      <c r="G58" s="28"/>
      <c r="H58" s="28"/>
    </row>
    <row r="59" spans="1:8" ht="15.75" customHeight="1">
      <c r="A59" s="26"/>
      <c r="C59" s="27"/>
      <c r="D59" s="28"/>
      <c r="E59" s="28"/>
      <c r="F59" s="28"/>
      <c r="G59" s="28"/>
      <c r="H59" s="28"/>
    </row>
    <row r="60" spans="1:8" ht="15.75" customHeight="1">
      <c r="A60" s="26"/>
      <c r="C60" s="27"/>
      <c r="D60" s="28"/>
      <c r="E60" s="28"/>
      <c r="F60" s="28"/>
      <c r="G60" s="28"/>
      <c r="H60" s="28"/>
    </row>
    <row r="61" spans="1:8" ht="15.75" customHeight="1">
      <c r="A61" s="26"/>
      <c r="C61" s="27"/>
      <c r="D61" s="28"/>
      <c r="E61" s="28"/>
      <c r="F61" s="28"/>
      <c r="G61" s="28"/>
      <c r="H61" s="28"/>
    </row>
    <row r="62" spans="1:8" ht="15.75" customHeight="1">
      <c r="A62" s="26"/>
      <c r="C62" s="27"/>
      <c r="D62" s="28"/>
      <c r="E62" s="28"/>
      <c r="F62" s="28"/>
      <c r="G62" s="28"/>
      <c r="H62" s="28"/>
    </row>
    <row r="63" spans="1:8" ht="15.75" customHeight="1">
      <c r="A63" s="26"/>
      <c r="C63" s="27"/>
      <c r="D63" s="28"/>
      <c r="E63" s="28"/>
      <c r="F63" s="28"/>
      <c r="G63" s="28"/>
      <c r="H63" s="28"/>
    </row>
    <row r="64" spans="1:8" ht="15.75" customHeight="1">
      <c r="A64" s="26"/>
      <c r="C64" s="27"/>
      <c r="D64" s="28"/>
      <c r="E64" s="28"/>
      <c r="F64" s="28"/>
      <c r="G64" s="28"/>
      <c r="H64" s="28"/>
    </row>
    <row r="65" spans="1:8" ht="15.75" customHeight="1">
      <c r="A65" s="26"/>
      <c r="C65" s="27"/>
      <c r="D65" s="28"/>
      <c r="E65" s="28"/>
      <c r="F65" s="28"/>
      <c r="G65" s="28"/>
      <c r="H65" s="28"/>
    </row>
    <row r="66" spans="1:8" ht="15.75" customHeight="1">
      <c r="A66" s="26"/>
      <c r="C66" s="27"/>
      <c r="D66" s="28"/>
      <c r="E66" s="28"/>
      <c r="F66" s="28"/>
      <c r="G66" s="28"/>
      <c r="H66" s="28"/>
    </row>
    <row r="67" spans="1:8" ht="15.75" customHeight="1">
      <c r="A67" s="26"/>
      <c r="C67" s="27"/>
      <c r="D67" s="28"/>
      <c r="E67" s="28"/>
      <c r="F67" s="28"/>
      <c r="G67" s="28"/>
      <c r="H67" s="28"/>
    </row>
    <row r="68" spans="1:8" ht="15.75" customHeight="1">
      <c r="A68" s="26"/>
      <c r="C68" s="27"/>
      <c r="D68" s="28"/>
      <c r="E68" s="28"/>
      <c r="F68" s="28"/>
      <c r="G68" s="28"/>
      <c r="H68" s="28"/>
    </row>
    <row r="69" spans="1:8" ht="15.75" customHeight="1">
      <c r="A69" s="26"/>
      <c r="C69" s="27"/>
      <c r="D69" s="28"/>
      <c r="E69" s="28"/>
      <c r="F69" s="28"/>
      <c r="G69" s="28"/>
      <c r="H69" s="28"/>
    </row>
    <row r="70" spans="1:8" ht="15.75" customHeight="1">
      <c r="A70" s="26"/>
      <c r="C70" s="27"/>
      <c r="D70" s="28"/>
      <c r="E70" s="28"/>
      <c r="F70" s="28"/>
      <c r="G70" s="28"/>
      <c r="H70" s="28"/>
    </row>
    <row r="71" spans="1:8" ht="15.75" customHeight="1">
      <c r="A71" s="26"/>
      <c r="C71" s="27"/>
      <c r="D71" s="28"/>
      <c r="E71" s="28"/>
      <c r="F71" s="28"/>
      <c r="G71" s="28"/>
      <c r="H71" s="28"/>
    </row>
    <row r="72" spans="1:8" ht="15.75" customHeight="1">
      <c r="A72" s="26"/>
      <c r="C72" s="27"/>
      <c r="D72" s="28"/>
      <c r="E72" s="28"/>
      <c r="F72" s="28"/>
      <c r="G72" s="28"/>
      <c r="H72" s="28"/>
    </row>
    <row r="73" spans="1:8" ht="15.75" customHeight="1">
      <c r="A73" s="26"/>
      <c r="C73" s="27"/>
      <c r="D73" s="28"/>
      <c r="E73" s="28"/>
      <c r="F73" s="28"/>
      <c r="G73" s="28"/>
      <c r="H73" s="28"/>
    </row>
    <row r="74" spans="1:8" ht="15.75" customHeight="1">
      <c r="A74" s="26"/>
      <c r="C74" s="27"/>
      <c r="D74" s="28"/>
      <c r="E74" s="28"/>
      <c r="F74" s="28"/>
      <c r="G74" s="28"/>
      <c r="H74" s="28"/>
    </row>
    <row r="75" spans="1:8" ht="15.75" customHeight="1">
      <c r="A75" s="26"/>
      <c r="C75" s="27"/>
      <c r="D75" s="28"/>
      <c r="E75" s="28"/>
      <c r="F75" s="28"/>
      <c r="G75" s="28"/>
      <c r="H75" s="28"/>
    </row>
    <row r="76" spans="1:8" ht="15.75" customHeight="1">
      <c r="A76" s="26"/>
      <c r="C76" s="27"/>
      <c r="D76" s="28"/>
      <c r="E76" s="28"/>
      <c r="F76" s="28"/>
      <c r="G76" s="28"/>
      <c r="H76" s="28"/>
    </row>
    <row r="77" spans="1:8" ht="15.75" customHeight="1">
      <c r="A77" s="26"/>
      <c r="C77" s="27"/>
      <c r="D77" s="28"/>
      <c r="E77" s="28"/>
      <c r="F77" s="28"/>
      <c r="G77" s="28"/>
      <c r="H77" s="28"/>
    </row>
    <row r="78" spans="1:8" ht="15.75" customHeight="1">
      <c r="A78" s="26"/>
      <c r="C78" s="27"/>
      <c r="D78" s="28"/>
      <c r="E78" s="28"/>
      <c r="F78" s="28"/>
      <c r="G78" s="28"/>
      <c r="H78" s="28"/>
    </row>
    <row r="79" spans="1:8" ht="15.75" customHeight="1">
      <c r="A79" s="26"/>
      <c r="C79" s="27"/>
      <c r="D79" s="28"/>
      <c r="E79" s="28"/>
      <c r="F79" s="28"/>
      <c r="G79" s="28"/>
      <c r="H79" s="28"/>
    </row>
    <row r="80" spans="1:8" ht="15.75" customHeight="1">
      <c r="A80" s="26"/>
      <c r="C80" s="27"/>
      <c r="D80" s="28"/>
      <c r="E80" s="28"/>
      <c r="F80" s="28"/>
      <c r="G80" s="28"/>
      <c r="H80" s="28"/>
    </row>
    <row r="81" spans="1:8" ht="15.75" customHeight="1">
      <c r="A81" s="26"/>
      <c r="C81" s="27"/>
      <c r="D81" s="28"/>
      <c r="E81" s="28"/>
      <c r="F81" s="28"/>
      <c r="G81" s="28"/>
      <c r="H81" s="28"/>
    </row>
    <row r="82" spans="1:8" ht="15.75" customHeight="1">
      <c r="A82" s="26"/>
      <c r="C82" s="27"/>
      <c r="D82" s="28"/>
      <c r="E82" s="28"/>
      <c r="F82" s="28"/>
      <c r="G82" s="28"/>
      <c r="H82" s="28"/>
    </row>
    <row r="83" spans="1:8" ht="15.75" customHeight="1">
      <c r="A83" s="26"/>
      <c r="C83" s="27"/>
      <c r="D83" s="28"/>
      <c r="E83" s="28"/>
      <c r="F83" s="28"/>
      <c r="G83" s="28"/>
      <c r="H83" s="28"/>
    </row>
    <row r="84" spans="1:8" ht="15.75" customHeight="1">
      <c r="A84" s="26"/>
      <c r="C84" s="27"/>
      <c r="D84" s="28"/>
      <c r="E84" s="28"/>
      <c r="F84" s="28"/>
      <c r="G84" s="28"/>
      <c r="H84" s="28"/>
    </row>
    <row r="85" spans="1:8" ht="15.75" customHeight="1">
      <c r="A85" s="26"/>
      <c r="C85" s="27"/>
      <c r="D85" s="28"/>
      <c r="E85" s="28"/>
      <c r="F85" s="28"/>
      <c r="G85" s="28"/>
      <c r="H85" s="28"/>
    </row>
    <row r="86" spans="1:8" ht="15.75" customHeight="1">
      <c r="A86" s="26"/>
      <c r="C86" s="27"/>
      <c r="D86" s="28"/>
      <c r="E86" s="28"/>
      <c r="F86" s="28"/>
      <c r="G86" s="28"/>
      <c r="H86" s="28"/>
    </row>
    <row r="87" spans="1:8" ht="15.75" customHeight="1">
      <c r="A87" s="26"/>
      <c r="C87" s="27"/>
      <c r="D87" s="28"/>
      <c r="E87" s="28"/>
      <c r="F87" s="28"/>
      <c r="G87" s="28"/>
      <c r="H87" s="28"/>
    </row>
    <row r="88" spans="1:8" ht="15.75" customHeight="1">
      <c r="A88" s="26"/>
      <c r="C88" s="27"/>
      <c r="D88" s="28"/>
      <c r="E88" s="28"/>
      <c r="F88" s="28"/>
      <c r="G88" s="28"/>
      <c r="H88" s="28"/>
    </row>
    <row r="89" spans="1:8" ht="15.75" customHeight="1">
      <c r="A89" s="26"/>
      <c r="C89" s="27"/>
      <c r="D89" s="28"/>
      <c r="E89" s="28"/>
      <c r="F89" s="28"/>
      <c r="G89" s="28"/>
      <c r="H89" s="28"/>
    </row>
    <row r="90" spans="1:8" ht="15.75" customHeight="1">
      <c r="A90" s="26"/>
      <c r="C90" s="27"/>
      <c r="D90" s="28"/>
      <c r="E90" s="28"/>
      <c r="F90" s="28"/>
      <c r="G90" s="28"/>
      <c r="H90" s="28"/>
    </row>
    <row r="91" spans="1:8" ht="15.75" customHeight="1">
      <c r="A91" s="26"/>
      <c r="C91" s="27"/>
      <c r="D91" s="28"/>
      <c r="E91" s="28"/>
      <c r="F91" s="28"/>
      <c r="G91" s="28"/>
      <c r="H91" s="28"/>
    </row>
    <row r="92" spans="1:8" ht="15.75" customHeight="1">
      <c r="A92" s="26"/>
      <c r="C92" s="27"/>
      <c r="D92" s="28"/>
      <c r="E92" s="28"/>
      <c r="F92" s="28"/>
      <c r="G92" s="28"/>
      <c r="H92" s="28"/>
    </row>
    <row r="93" spans="1:8" ht="15.75" customHeight="1">
      <c r="A93" s="26"/>
      <c r="C93" s="27"/>
      <c r="D93" s="28"/>
      <c r="E93" s="28"/>
      <c r="F93" s="28"/>
      <c r="G93" s="28"/>
      <c r="H93" s="28"/>
    </row>
    <row r="94" spans="1:8" ht="15.75" customHeight="1">
      <c r="A94" s="26"/>
      <c r="C94" s="27"/>
      <c r="D94" s="28"/>
      <c r="E94" s="28"/>
      <c r="F94" s="28"/>
      <c r="G94" s="28"/>
      <c r="H94" s="28"/>
    </row>
    <row r="95" spans="1:8" ht="15.75" customHeight="1">
      <c r="A95" s="26"/>
      <c r="C95" s="27"/>
      <c r="D95" s="28"/>
      <c r="E95" s="28"/>
      <c r="F95" s="28"/>
      <c r="G95" s="28"/>
      <c r="H95" s="28"/>
    </row>
    <row r="96" spans="1:8" ht="15.75" customHeight="1">
      <c r="A96" s="26"/>
      <c r="C96" s="27"/>
      <c r="D96" s="28"/>
      <c r="E96" s="28"/>
      <c r="F96" s="28"/>
      <c r="G96" s="28"/>
      <c r="H96" s="28"/>
    </row>
    <row r="97" spans="1:8" ht="15.75" customHeight="1">
      <c r="A97" s="26"/>
      <c r="C97" s="27"/>
      <c r="D97" s="28"/>
      <c r="E97" s="28"/>
      <c r="F97" s="28"/>
      <c r="G97" s="28"/>
      <c r="H97" s="28"/>
    </row>
    <row r="98" spans="1:8" ht="15.75" customHeight="1">
      <c r="A98" s="26"/>
      <c r="C98" s="27"/>
      <c r="D98" s="28"/>
      <c r="E98" s="28"/>
      <c r="F98" s="28"/>
      <c r="G98" s="28"/>
      <c r="H98" s="28"/>
    </row>
    <row r="99" spans="1:8" ht="15.75" customHeight="1">
      <c r="A99" s="26"/>
      <c r="C99" s="27"/>
      <c r="D99" s="28"/>
      <c r="E99" s="28"/>
      <c r="F99" s="28"/>
      <c r="G99" s="28"/>
      <c r="H99" s="28"/>
    </row>
    <row r="100" spans="1:8" ht="15.75" customHeight="1">
      <c r="A100" s="26"/>
      <c r="C100" s="27"/>
      <c r="D100" s="28"/>
      <c r="E100" s="28"/>
      <c r="F100" s="28"/>
      <c r="G100" s="28"/>
      <c r="H100" s="28"/>
    </row>
    <row r="101" spans="1:8" ht="15.75" customHeight="1">
      <c r="A101" s="26"/>
      <c r="C101" s="27"/>
      <c r="D101" s="28"/>
      <c r="E101" s="28"/>
      <c r="F101" s="28"/>
      <c r="G101" s="28"/>
      <c r="H101" s="28"/>
    </row>
    <row r="102" spans="1:8" ht="15.75" customHeight="1">
      <c r="A102" s="26"/>
      <c r="C102" s="27"/>
      <c r="D102" s="28"/>
      <c r="E102" s="28"/>
      <c r="F102" s="28"/>
      <c r="G102" s="28"/>
      <c r="H102" s="28"/>
    </row>
    <row r="103" spans="1:8" ht="15.75" customHeight="1">
      <c r="A103" s="26"/>
      <c r="C103" s="27"/>
      <c r="D103" s="28"/>
      <c r="E103" s="28"/>
      <c r="F103" s="28"/>
      <c r="G103" s="28"/>
      <c r="H103" s="28"/>
    </row>
    <row r="104" spans="1:8" ht="15.75" customHeight="1">
      <c r="A104" s="26"/>
      <c r="C104" s="27"/>
      <c r="D104" s="28"/>
      <c r="E104" s="28"/>
      <c r="F104" s="28"/>
      <c r="G104" s="28"/>
      <c r="H104" s="28"/>
    </row>
    <row r="105" spans="1:8" ht="15.75" customHeight="1">
      <c r="A105" s="26"/>
      <c r="C105" s="27"/>
      <c r="D105" s="28"/>
      <c r="E105" s="28"/>
      <c r="F105" s="28"/>
      <c r="G105" s="28"/>
      <c r="H105" s="28"/>
    </row>
    <row r="106" spans="1:8" ht="15.75" customHeight="1">
      <c r="A106" s="26"/>
      <c r="C106" s="27"/>
      <c r="D106" s="28"/>
      <c r="E106" s="28"/>
      <c r="F106" s="28"/>
      <c r="G106" s="28"/>
      <c r="H106" s="28"/>
    </row>
    <row r="107" spans="1:8" ht="15.75" customHeight="1">
      <c r="A107" s="26"/>
      <c r="C107" s="27"/>
      <c r="D107" s="28"/>
      <c r="E107" s="28"/>
      <c r="F107" s="28"/>
      <c r="G107" s="28"/>
      <c r="H107" s="28"/>
    </row>
    <row r="108" spans="1:8" ht="15.75" customHeight="1">
      <c r="A108" s="26"/>
      <c r="C108" s="27"/>
      <c r="D108" s="28"/>
      <c r="E108" s="28"/>
      <c r="F108" s="28"/>
      <c r="G108" s="28"/>
      <c r="H108" s="28"/>
    </row>
    <row r="109" spans="1:8" ht="15.75" customHeight="1">
      <c r="A109" s="26"/>
      <c r="C109" s="27"/>
      <c r="D109" s="28"/>
      <c r="E109" s="28"/>
      <c r="F109" s="28"/>
      <c r="G109" s="28"/>
      <c r="H109" s="28"/>
    </row>
    <row r="110" spans="1:8" ht="15.75" customHeight="1">
      <c r="A110" s="26"/>
      <c r="C110" s="27"/>
      <c r="D110" s="28"/>
      <c r="E110" s="28"/>
      <c r="F110" s="28"/>
      <c r="G110" s="28"/>
      <c r="H110" s="28"/>
    </row>
    <row r="111" spans="1:8" ht="15.75" customHeight="1">
      <c r="A111" s="26"/>
      <c r="C111" s="27"/>
      <c r="D111" s="28"/>
      <c r="E111" s="28"/>
      <c r="F111" s="28"/>
      <c r="G111" s="28"/>
      <c r="H111" s="28"/>
    </row>
    <row r="112" spans="1:8" ht="15.75" customHeight="1">
      <c r="A112" s="26"/>
      <c r="C112" s="27"/>
      <c r="D112" s="28"/>
      <c r="E112" s="28"/>
      <c r="F112" s="28"/>
      <c r="G112" s="28"/>
      <c r="H112" s="28"/>
    </row>
    <row r="113" spans="1:8" ht="15.75" customHeight="1">
      <c r="A113" s="26"/>
      <c r="C113" s="27"/>
      <c r="D113" s="28"/>
      <c r="E113" s="28"/>
      <c r="F113" s="28"/>
      <c r="G113" s="28"/>
      <c r="H113" s="28"/>
    </row>
    <row r="114" spans="1:8" ht="15.75" customHeight="1">
      <c r="A114" s="26"/>
      <c r="C114" s="27"/>
      <c r="D114" s="28"/>
      <c r="E114" s="28"/>
      <c r="F114" s="28"/>
      <c r="G114" s="28"/>
      <c r="H114" s="28"/>
    </row>
    <row r="115" spans="1:8" ht="15.75" customHeight="1">
      <c r="A115" s="26"/>
      <c r="C115" s="27"/>
      <c r="D115" s="28"/>
      <c r="E115" s="28"/>
      <c r="F115" s="28"/>
      <c r="G115" s="28"/>
      <c r="H115" s="28"/>
    </row>
    <row r="116" spans="1:8" ht="15.75" customHeight="1">
      <c r="A116" s="26"/>
      <c r="C116" s="27"/>
      <c r="D116" s="28"/>
      <c r="E116" s="28"/>
      <c r="F116" s="28"/>
      <c r="G116" s="28"/>
      <c r="H116" s="28"/>
    </row>
    <row r="117" spans="1:8" ht="15.75" customHeight="1">
      <c r="A117" s="26"/>
      <c r="C117" s="27"/>
      <c r="D117" s="28"/>
      <c r="E117" s="28"/>
      <c r="F117" s="28"/>
      <c r="G117" s="28"/>
      <c r="H117" s="28"/>
    </row>
    <row r="118" spans="1:8" ht="15.75" customHeight="1">
      <c r="A118" s="26"/>
      <c r="C118" s="27"/>
      <c r="D118" s="28"/>
      <c r="E118" s="28"/>
      <c r="F118" s="28"/>
      <c r="G118" s="28"/>
      <c r="H118" s="28"/>
    </row>
    <row r="119" spans="1:8" ht="15.75" customHeight="1">
      <c r="A119" s="26"/>
      <c r="C119" s="27"/>
      <c r="D119" s="28"/>
      <c r="E119" s="28"/>
      <c r="F119" s="28"/>
      <c r="G119" s="28"/>
      <c r="H119" s="28"/>
    </row>
    <row r="120" spans="1:8" ht="15.75" customHeight="1">
      <c r="A120" s="26"/>
      <c r="C120" s="27"/>
      <c r="D120" s="28"/>
      <c r="E120" s="28"/>
      <c r="F120" s="28"/>
      <c r="G120" s="28"/>
      <c r="H120" s="28"/>
    </row>
    <row r="121" spans="1:8" ht="15.75" customHeight="1">
      <c r="A121" s="26"/>
      <c r="C121" s="27"/>
      <c r="D121" s="28"/>
      <c r="E121" s="28"/>
      <c r="F121" s="28"/>
      <c r="G121" s="28"/>
      <c r="H121" s="28"/>
    </row>
    <row r="122" spans="1:8" ht="15.75" customHeight="1">
      <c r="A122" s="26"/>
      <c r="C122" s="27"/>
      <c r="D122" s="28"/>
      <c r="E122" s="28"/>
      <c r="F122" s="28"/>
      <c r="G122" s="28"/>
      <c r="H122" s="28"/>
    </row>
    <row r="123" spans="1:8" ht="15.75" customHeight="1">
      <c r="A123" s="26"/>
      <c r="C123" s="27"/>
      <c r="D123" s="28"/>
      <c r="E123" s="28"/>
      <c r="F123" s="28"/>
      <c r="G123" s="28"/>
      <c r="H123" s="28"/>
    </row>
    <row r="124" spans="1:8" ht="15.75" customHeight="1">
      <c r="A124" s="26"/>
      <c r="C124" s="27"/>
      <c r="D124" s="28"/>
      <c r="E124" s="28"/>
      <c r="F124" s="28"/>
      <c r="G124" s="28"/>
      <c r="H124" s="28"/>
    </row>
    <row r="125" spans="1:8" ht="15.75" customHeight="1">
      <c r="A125" s="26"/>
      <c r="C125" s="27"/>
      <c r="D125" s="28"/>
      <c r="E125" s="28"/>
      <c r="F125" s="28"/>
      <c r="G125" s="28"/>
      <c r="H125" s="28"/>
    </row>
    <row r="126" spans="1:8" ht="15.75" customHeight="1">
      <c r="A126" s="26"/>
      <c r="C126" s="27"/>
      <c r="D126" s="28"/>
      <c r="E126" s="28"/>
      <c r="F126" s="28"/>
      <c r="G126" s="28"/>
      <c r="H126" s="28"/>
    </row>
    <row r="127" spans="1:8" ht="15.75" customHeight="1">
      <c r="A127" s="26"/>
      <c r="C127" s="27"/>
      <c r="D127" s="28"/>
      <c r="E127" s="28"/>
      <c r="F127" s="28"/>
      <c r="G127" s="28"/>
      <c r="H127" s="28"/>
    </row>
    <row r="128" spans="1:8" ht="15.75" customHeight="1">
      <c r="A128" s="26"/>
      <c r="C128" s="27"/>
      <c r="D128" s="28"/>
      <c r="E128" s="28"/>
      <c r="F128" s="28"/>
      <c r="G128" s="28"/>
      <c r="H128" s="28"/>
    </row>
    <row r="129" spans="1:8" ht="15.75" customHeight="1">
      <c r="A129" s="26"/>
      <c r="C129" s="27"/>
      <c r="D129" s="28"/>
      <c r="E129" s="28"/>
      <c r="F129" s="28"/>
      <c r="G129" s="28"/>
      <c r="H129" s="28"/>
    </row>
    <row r="130" spans="1:8" ht="15.75" customHeight="1">
      <c r="A130" s="26"/>
      <c r="C130" s="27"/>
      <c r="D130" s="28"/>
      <c r="E130" s="28"/>
      <c r="F130" s="28"/>
      <c r="G130" s="28"/>
      <c r="H130" s="28"/>
    </row>
    <row r="131" spans="1:8" ht="15.75" customHeight="1">
      <c r="A131" s="26"/>
      <c r="C131" s="27"/>
      <c r="D131" s="28"/>
      <c r="E131" s="28"/>
      <c r="F131" s="28"/>
      <c r="G131" s="28"/>
      <c r="H131" s="28"/>
    </row>
    <row r="132" spans="1:8" ht="15.75" customHeight="1">
      <c r="A132" s="26"/>
      <c r="C132" s="27"/>
      <c r="D132" s="28"/>
      <c r="E132" s="28"/>
      <c r="F132" s="28"/>
      <c r="G132" s="28"/>
      <c r="H132" s="28"/>
    </row>
    <row r="133" spans="1:8" ht="15.75" customHeight="1">
      <c r="A133" s="26"/>
      <c r="C133" s="27"/>
      <c r="D133" s="28"/>
      <c r="E133" s="28"/>
      <c r="F133" s="28"/>
      <c r="G133" s="28"/>
      <c r="H133" s="28"/>
    </row>
    <row r="134" spans="1:8" ht="15.75" customHeight="1">
      <c r="A134" s="26"/>
      <c r="C134" s="27"/>
      <c r="D134" s="28"/>
      <c r="E134" s="28"/>
      <c r="F134" s="28"/>
      <c r="G134" s="28"/>
      <c r="H134" s="28"/>
    </row>
    <row r="135" spans="1:8" ht="15.75" customHeight="1">
      <c r="A135" s="26"/>
      <c r="C135" s="27"/>
      <c r="D135" s="28"/>
      <c r="E135" s="28"/>
      <c r="F135" s="28"/>
      <c r="G135" s="28"/>
      <c r="H135" s="28"/>
    </row>
    <row r="136" spans="1:8" ht="15.75" customHeight="1">
      <c r="A136" s="26"/>
      <c r="C136" s="27"/>
      <c r="D136" s="28"/>
      <c r="E136" s="28"/>
      <c r="F136" s="28"/>
      <c r="G136" s="28"/>
      <c r="H136" s="28"/>
    </row>
    <row r="137" spans="1:8" ht="15.75" customHeight="1">
      <c r="A137" s="26"/>
      <c r="C137" s="27"/>
      <c r="D137" s="28"/>
      <c r="E137" s="28"/>
      <c r="F137" s="28"/>
      <c r="G137" s="28"/>
      <c r="H137" s="28"/>
    </row>
    <row r="138" spans="1:8" ht="15.75" customHeight="1">
      <c r="A138" s="26"/>
      <c r="C138" s="27"/>
      <c r="D138" s="28"/>
      <c r="E138" s="28"/>
      <c r="F138" s="28"/>
      <c r="G138" s="28"/>
      <c r="H138" s="28"/>
    </row>
    <row r="139" spans="1:8" ht="15.75" customHeight="1">
      <c r="A139" s="26"/>
      <c r="C139" s="27"/>
      <c r="D139" s="28"/>
      <c r="E139" s="28"/>
      <c r="F139" s="28"/>
      <c r="G139" s="28"/>
      <c r="H139" s="28"/>
    </row>
    <row r="140" spans="1:8" ht="15.75" customHeight="1">
      <c r="A140" s="26"/>
      <c r="C140" s="27"/>
      <c r="D140" s="28"/>
      <c r="E140" s="28"/>
      <c r="F140" s="28"/>
      <c r="G140" s="28"/>
      <c r="H140" s="28"/>
    </row>
    <row r="141" spans="1:8" ht="15.75" customHeight="1">
      <c r="A141" s="26"/>
      <c r="C141" s="27"/>
      <c r="D141" s="28"/>
      <c r="E141" s="28"/>
      <c r="F141" s="28"/>
      <c r="G141" s="28"/>
      <c r="H141" s="28"/>
    </row>
    <row r="142" spans="1:8" ht="15.75" customHeight="1">
      <c r="A142" s="26"/>
      <c r="C142" s="27"/>
      <c r="D142" s="28"/>
      <c r="E142" s="28"/>
      <c r="F142" s="28"/>
      <c r="G142" s="28"/>
      <c r="H142" s="28"/>
    </row>
    <row r="143" spans="1:8" ht="15.75" customHeight="1">
      <c r="A143" s="26"/>
      <c r="C143" s="27"/>
      <c r="D143" s="28"/>
      <c r="E143" s="28"/>
      <c r="F143" s="28"/>
      <c r="G143" s="28"/>
      <c r="H143" s="28"/>
    </row>
    <row r="144" spans="1:8" ht="15.75" customHeight="1">
      <c r="A144" s="26"/>
      <c r="C144" s="27"/>
      <c r="D144" s="28"/>
      <c r="E144" s="28"/>
      <c r="F144" s="28"/>
      <c r="G144" s="28"/>
      <c r="H144" s="28"/>
    </row>
    <row r="145" spans="1:8" ht="15.75" customHeight="1">
      <c r="A145" s="26"/>
      <c r="C145" s="27"/>
      <c r="D145" s="28"/>
      <c r="E145" s="28"/>
      <c r="F145" s="28"/>
      <c r="G145" s="28"/>
      <c r="H145" s="28"/>
    </row>
    <row r="146" spans="1:8" ht="15.75" customHeight="1">
      <c r="A146" s="26"/>
      <c r="C146" s="27"/>
      <c r="D146" s="28"/>
      <c r="E146" s="28"/>
      <c r="F146" s="28"/>
      <c r="G146" s="28"/>
      <c r="H146" s="28"/>
    </row>
    <row r="147" spans="1:8" ht="15.75" customHeight="1">
      <c r="A147" s="26"/>
      <c r="C147" s="27"/>
      <c r="D147" s="28"/>
      <c r="E147" s="28"/>
      <c r="F147" s="28"/>
      <c r="G147" s="28"/>
      <c r="H147" s="28"/>
    </row>
    <row r="148" spans="1:8" ht="15.75" customHeight="1">
      <c r="A148" s="26"/>
      <c r="C148" s="27"/>
      <c r="D148" s="28"/>
      <c r="E148" s="28"/>
      <c r="F148" s="28"/>
      <c r="G148" s="28"/>
      <c r="H148" s="28"/>
    </row>
    <row r="149" spans="1:8" ht="15.75" customHeight="1">
      <c r="A149" s="26"/>
      <c r="C149" s="27"/>
      <c r="D149" s="28"/>
      <c r="E149" s="28"/>
      <c r="F149" s="28"/>
      <c r="G149" s="28"/>
      <c r="H149" s="28"/>
    </row>
    <row r="150" spans="1:8" ht="15.75" customHeight="1">
      <c r="A150" s="26"/>
      <c r="C150" s="27"/>
      <c r="D150" s="28"/>
      <c r="E150" s="28"/>
      <c r="F150" s="28"/>
      <c r="G150" s="28"/>
      <c r="H150" s="28"/>
    </row>
    <row r="151" spans="1:8" ht="15.75" customHeight="1">
      <c r="A151" s="26"/>
      <c r="C151" s="27"/>
      <c r="D151" s="28"/>
      <c r="E151" s="28"/>
      <c r="F151" s="28"/>
      <c r="G151" s="28"/>
      <c r="H151" s="28"/>
    </row>
    <row r="152" spans="1:8" ht="15.75" customHeight="1">
      <c r="A152" s="26"/>
      <c r="C152" s="27"/>
      <c r="D152" s="28"/>
      <c r="E152" s="28"/>
      <c r="F152" s="28"/>
      <c r="G152" s="28"/>
      <c r="H152" s="28"/>
    </row>
    <row r="153" spans="1:8" ht="15.75" customHeight="1">
      <c r="A153" s="26"/>
      <c r="C153" s="27"/>
      <c r="D153" s="28"/>
      <c r="E153" s="28"/>
      <c r="F153" s="28"/>
      <c r="G153" s="28"/>
      <c r="H153" s="28"/>
    </row>
    <row r="154" spans="1:8" ht="15.75" customHeight="1">
      <c r="A154" s="26"/>
      <c r="C154" s="27"/>
      <c r="D154" s="28"/>
      <c r="E154" s="28"/>
      <c r="F154" s="28"/>
      <c r="G154" s="28"/>
      <c r="H154" s="28"/>
    </row>
    <row r="155" spans="1:8" ht="15.75" customHeight="1">
      <c r="A155" s="26"/>
      <c r="C155" s="27"/>
      <c r="D155" s="28"/>
      <c r="E155" s="28"/>
      <c r="F155" s="28"/>
      <c r="G155" s="28"/>
      <c r="H155" s="28"/>
    </row>
    <row r="156" spans="1:8" ht="15.75" customHeight="1">
      <c r="A156" s="26"/>
      <c r="C156" s="27"/>
      <c r="D156" s="28"/>
      <c r="E156" s="28"/>
      <c r="F156" s="28"/>
      <c r="G156" s="28"/>
      <c r="H156" s="28"/>
    </row>
    <row r="157" spans="1:8" ht="15.75" customHeight="1">
      <c r="A157" s="26"/>
      <c r="C157" s="27"/>
      <c r="D157" s="28"/>
      <c r="E157" s="28"/>
      <c r="F157" s="28"/>
      <c r="G157" s="28"/>
      <c r="H157" s="28"/>
    </row>
    <row r="158" spans="1:8" ht="15.75" customHeight="1">
      <c r="A158" s="26"/>
      <c r="C158" s="27"/>
      <c r="D158" s="28"/>
      <c r="E158" s="28"/>
      <c r="F158" s="28"/>
      <c r="G158" s="28"/>
      <c r="H158" s="28"/>
    </row>
    <row r="159" spans="1:8" ht="15.75" customHeight="1">
      <c r="A159" s="26"/>
      <c r="C159" s="27"/>
      <c r="D159" s="28"/>
      <c r="E159" s="28"/>
      <c r="F159" s="28"/>
      <c r="G159" s="28"/>
      <c r="H159" s="28"/>
    </row>
    <row r="160" spans="1:8" ht="15.75" customHeight="1">
      <c r="A160" s="26"/>
      <c r="C160" s="27"/>
      <c r="D160" s="28"/>
      <c r="E160" s="28"/>
      <c r="F160" s="28"/>
      <c r="G160" s="28"/>
      <c r="H160" s="28"/>
    </row>
    <row r="161" spans="1:8" ht="15.75" customHeight="1">
      <c r="A161" s="26"/>
      <c r="C161" s="27"/>
      <c r="D161" s="28"/>
      <c r="E161" s="28"/>
      <c r="F161" s="28"/>
      <c r="G161" s="28"/>
      <c r="H161" s="28"/>
    </row>
    <row r="162" spans="1:8" ht="15.75" customHeight="1">
      <c r="A162" s="26"/>
      <c r="C162" s="27"/>
      <c r="D162" s="28"/>
      <c r="E162" s="28"/>
      <c r="F162" s="28"/>
      <c r="G162" s="28"/>
      <c r="H162" s="28"/>
    </row>
    <row r="163" spans="1:8" ht="15.75" customHeight="1">
      <c r="A163" s="26"/>
      <c r="C163" s="27"/>
      <c r="D163" s="28"/>
      <c r="E163" s="28"/>
      <c r="F163" s="28"/>
      <c r="G163" s="28"/>
      <c r="H163" s="28"/>
    </row>
    <row r="164" spans="1:8" ht="15.75" customHeight="1">
      <c r="A164" s="26"/>
      <c r="C164" s="27"/>
      <c r="D164" s="28"/>
      <c r="E164" s="28"/>
      <c r="F164" s="28"/>
      <c r="G164" s="28"/>
      <c r="H164" s="28"/>
    </row>
    <row r="165" spans="1:8" ht="15.75" customHeight="1">
      <c r="A165" s="26"/>
      <c r="C165" s="27"/>
      <c r="D165" s="28"/>
      <c r="E165" s="28"/>
      <c r="F165" s="28"/>
      <c r="G165" s="28"/>
      <c r="H165" s="28"/>
    </row>
    <row r="166" spans="1:8" ht="15.75" customHeight="1">
      <c r="A166" s="26"/>
      <c r="C166" s="27"/>
      <c r="D166" s="28"/>
      <c r="E166" s="28"/>
      <c r="F166" s="28"/>
      <c r="G166" s="28"/>
      <c r="H166" s="28"/>
    </row>
    <row r="167" spans="1:8" ht="15.75" customHeight="1">
      <c r="A167" s="26"/>
      <c r="C167" s="27"/>
      <c r="D167" s="28"/>
      <c r="E167" s="28"/>
      <c r="F167" s="28"/>
      <c r="G167" s="28"/>
      <c r="H167" s="28"/>
    </row>
    <row r="168" spans="1:8" ht="15.75" customHeight="1">
      <c r="A168" s="26"/>
      <c r="C168" s="27"/>
      <c r="D168" s="28"/>
      <c r="E168" s="28"/>
      <c r="F168" s="28"/>
      <c r="G168" s="28"/>
      <c r="H168" s="28"/>
    </row>
    <row r="169" spans="1:8" ht="15.75" customHeight="1">
      <c r="A169" s="26"/>
      <c r="C169" s="27"/>
      <c r="D169" s="28"/>
      <c r="E169" s="28"/>
      <c r="F169" s="28"/>
      <c r="G169" s="28"/>
      <c r="H169" s="28"/>
    </row>
    <row r="170" spans="1:8" ht="15.75" customHeight="1">
      <c r="A170" s="26"/>
      <c r="C170" s="27"/>
      <c r="D170" s="28"/>
      <c r="E170" s="28"/>
      <c r="F170" s="28"/>
      <c r="G170" s="28"/>
      <c r="H170" s="28"/>
    </row>
    <row r="171" spans="1:8" ht="15.75" customHeight="1">
      <c r="A171" s="26"/>
      <c r="C171" s="27"/>
      <c r="D171" s="28"/>
      <c r="E171" s="28"/>
      <c r="F171" s="28"/>
      <c r="G171" s="28"/>
      <c r="H171" s="28"/>
    </row>
    <row r="172" spans="1:8" ht="15.75" customHeight="1">
      <c r="A172" s="26"/>
      <c r="C172" s="27"/>
      <c r="D172" s="28"/>
      <c r="E172" s="28"/>
      <c r="F172" s="28"/>
      <c r="G172" s="28"/>
      <c r="H172" s="28"/>
    </row>
    <row r="173" spans="1:8" ht="15.75" customHeight="1">
      <c r="A173" s="26"/>
      <c r="C173" s="27"/>
      <c r="D173" s="28"/>
      <c r="E173" s="28"/>
      <c r="F173" s="28"/>
      <c r="G173" s="28"/>
      <c r="H173" s="28"/>
    </row>
    <row r="174" spans="1:8" ht="15.75" customHeight="1">
      <c r="A174" s="26"/>
      <c r="C174" s="27"/>
      <c r="D174" s="28"/>
      <c r="E174" s="28"/>
      <c r="F174" s="28"/>
      <c r="G174" s="28"/>
      <c r="H174" s="28"/>
    </row>
    <row r="175" spans="1:8" ht="15.75" customHeight="1">
      <c r="A175" s="26"/>
      <c r="C175" s="27"/>
      <c r="D175" s="28"/>
      <c r="E175" s="28"/>
      <c r="F175" s="28"/>
      <c r="G175" s="28"/>
      <c r="H175" s="28"/>
    </row>
    <row r="176" spans="1:8" ht="15.75" customHeight="1">
      <c r="A176" s="26"/>
      <c r="C176" s="27"/>
      <c r="D176" s="28"/>
      <c r="E176" s="28"/>
      <c r="F176" s="28"/>
      <c r="G176" s="28"/>
      <c r="H176" s="28"/>
    </row>
    <row r="177" spans="1:8" ht="15.75" customHeight="1">
      <c r="A177" s="26"/>
      <c r="C177" s="27"/>
      <c r="D177" s="28"/>
      <c r="E177" s="28"/>
      <c r="F177" s="28"/>
      <c r="G177" s="28"/>
      <c r="H177" s="28"/>
    </row>
    <row r="178" spans="1:8" ht="15.75" customHeight="1">
      <c r="A178" s="26"/>
      <c r="C178" s="27"/>
      <c r="D178" s="28"/>
      <c r="E178" s="28"/>
      <c r="F178" s="28"/>
      <c r="G178" s="28"/>
      <c r="H178" s="28"/>
    </row>
    <row r="179" spans="1:8" ht="15.75" customHeight="1">
      <c r="A179" s="26"/>
      <c r="C179" s="27"/>
      <c r="D179" s="28"/>
      <c r="E179" s="28"/>
      <c r="F179" s="28"/>
      <c r="G179" s="28"/>
      <c r="H179" s="28"/>
    </row>
    <row r="180" spans="1:8" ht="15.75" customHeight="1">
      <c r="A180" s="26"/>
      <c r="C180" s="27"/>
      <c r="D180" s="28"/>
      <c r="E180" s="28"/>
      <c r="F180" s="28"/>
      <c r="G180" s="28"/>
      <c r="H180" s="28"/>
    </row>
    <row r="181" spans="1:8" ht="15.75" customHeight="1">
      <c r="A181" s="26"/>
      <c r="C181" s="27"/>
      <c r="D181" s="28"/>
      <c r="E181" s="28"/>
      <c r="F181" s="28"/>
      <c r="G181" s="28"/>
      <c r="H181" s="28"/>
    </row>
    <row r="182" spans="1:8" ht="15.75" customHeight="1">
      <c r="A182" s="26"/>
      <c r="C182" s="27"/>
      <c r="D182" s="28"/>
      <c r="E182" s="28"/>
      <c r="F182" s="28"/>
      <c r="G182" s="28"/>
      <c r="H182" s="28"/>
    </row>
    <row r="183" spans="1:8" ht="15.75" customHeight="1">
      <c r="A183" s="26"/>
      <c r="C183" s="27"/>
      <c r="D183" s="28"/>
      <c r="E183" s="28"/>
      <c r="F183" s="28"/>
      <c r="G183" s="28"/>
      <c r="H183" s="28"/>
    </row>
    <row r="184" spans="1:8" ht="15.75" customHeight="1">
      <c r="A184" s="26"/>
      <c r="C184" s="27"/>
      <c r="D184" s="28"/>
      <c r="E184" s="28"/>
      <c r="F184" s="28"/>
      <c r="G184" s="28"/>
      <c r="H184" s="28"/>
    </row>
    <row r="185" spans="1:8" ht="15.75" customHeight="1">
      <c r="A185" s="26"/>
      <c r="C185" s="27"/>
      <c r="D185" s="28"/>
      <c r="E185" s="28"/>
      <c r="F185" s="28"/>
      <c r="G185" s="28"/>
      <c r="H185" s="28"/>
    </row>
    <row r="186" spans="1:8" ht="15.75" customHeight="1">
      <c r="A186" s="26"/>
      <c r="C186" s="27"/>
      <c r="D186" s="28"/>
      <c r="E186" s="28"/>
      <c r="F186" s="28"/>
      <c r="G186" s="28"/>
      <c r="H186" s="28"/>
    </row>
    <row r="187" spans="1:8" ht="15.75" customHeight="1">
      <c r="A187" s="26"/>
      <c r="C187" s="27"/>
      <c r="D187" s="28"/>
      <c r="E187" s="28"/>
      <c r="F187" s="28"/>
      <c r="G187" s="28"/>
      <c r="H187" s="28"/>
    </row>
    <row r="188" spans="1:8" ht="15.75" customHeight="1">
      <c r="A188" s="26"/>
      <c r="C188" s="27"/>
      <c r="D188" s="28"/>
      <c r="E188" s="28"/>
      <c r="F188" s="28"/>
      <c r="G188" s="28"/>
      <c r="H188" s="28"/>
    </row>
    <row r="189" spans="1:8" ht="15.75" customHeight="1">
      <c r="A189" s="26"/>
      <c r="C189" s="27"/>
      <c r="D189" s="28"/>
      <c r="E189" s="28"/>
      <c r="F189" s="28"/>
      <c r="G189" s="28"/>
      <c r="H189" s="28"/>
    </row>
    <row r="190" spans="1:8" ht="15.75" customHeight="1">
      <c r="A190" s="26"/>
      <c r="C190" s="27"/>
      <c r="D190" s="28"/>
      <c r="E190" s="28"/>
      <c r="F190" s="28"/>
      <c r="G190" s="28"/>
      <c r="H190" s="28"/>
    </row>
    <row r="191" spans="1:8" ht="15.75" customHeight="1">
      <c r="A191" s="26"/>
      <c r="C191" s="27"/>
      <c r="D191" s="28"/>
      <c r="E191" s="28"/>
      <c r="F191" s="28"/>
      <c r="G191" s="28"/>
      <c r="H191" s="28"/>
    </row>
    <row r="192" spans="1:8" ht="15.75" customHeight="1">
      <c r="A192" s="26"/>
      <c r="C192" s="27"/>
      <c r="D192" s="28"/>
      <c r="E192" s="28"/>
      <c r="F192" s="28"/>
      <c r="G192" s="28"/>
      <c r="H192" s="28"/>
    </row>
    <row r="193" spans="1:8" ht="15.75" customHeight="1">
      <c r="A193" s="26"/>
      <c r="C193" s="27"/>
      <c r="D193" s="28"/>
      <c r="E193" s="28"/>
      <c r="F193" s="28"/>
      <c r="G193" s="28"/>
      <c r="H193" s="28"/>
    </row>
    <row r="194" spans="1:8" ht="15.75" customHeight="1">
      <c r="A194" s="26"/>
      <c r="C194" s="27"/>
      <c r="D194" s="28"/>
      <c r="E194" s="28"/>
      <c r="F194" s="28"/>
      <c r="G194" s="28"/>
      <c r="H194" s="28"/>
    </row>
    <row r="195" spans="1:8" ht="15.75" customHeight="1">
      <c r="A195" s="26"/>
      <c r="C195" s="27"/>
      <c r="D195" s="28"/>
      <c r="E195" s="28"/>
      <c r="F195" s="28"/>
      <c r="G195" s="28"/>
      <c r="H195" s="28"/>
    </row>
    <row r="196" spans="1:8" ht="15.75" customHeight="1">
      <c r="A196" s="26"/>
      <c r="C196" s="27"/>
      <c r="D196" s="28"/>
      <c r="E196" s="28"/>
      <c r="F196" s="28"/>
      <c r="G196" s="28"/>
      <c r="H196" s="28"/>
    </row>
    <row r="197" spans="1:8" ht="15.75" customHeight="1">
      <c r="A197" s="26"/>
      <c r="C197" s="27"/>
      <c r="D197" s="28"/>
      <c r="E197" s="28"/>
      <c r="F197" s="28"/>
      <c r="G197" s="28"/>
      <c r="H197" s="28"/>
    </row>
    <row r="198" spans="1:8" ht="15.75" customHeight="1">
      <c r="A198" s="26"/>
      <c r="C198" s="27"/>
      <c r="D198" s="28"/>
      <c r="E198" s="28"/>
      <c r="F198" s="28"/>
      <c r="G198" s="28"/>
      <c r="H198" s="28"/>
    </row>
    <row r="199" spans="1:8" ht="15.75" customHeight="1">
      <c r="A199" s="26"/>
      <c r="C199" s="27"/>
      <c r="D199" s="28"/>
      <c r="E199" s="28"/>
      <c r="F199" s="28"/>
      <c r="G199" s="28"/>
      <c r="H199" s="28"/>
    </row>
    <row r="200" spans="1:8" ht="15.75" customHeight="1">
      <c r="A200" s="26"/>
      <c r="C200" s="27"/>
      <c r="D200" s="28"/>
      <c r="E200" s="28"/>
      <c r="F200" s="28"/>
      <c r="G200" s="28"/>
      <c r="H200" s="28"/>
    </row>
    <row r="201" spans="1:8" ht="15.75" customHeight="1">
      <c r="A201" s="26"/>
      <c r="C201" s="27"/>
      <c r="D201" s="28"/>
      <c r="E201" s="28"/>
      <c r="F201" s="28"/>
      <c r="G201" s="28"/>
      <c r="H201" s="28"/>
    </row>
    <row r="202" spans="1:8" ht="15.75" customHeight="1">
      <c r="A202" s="26"/>
      <c r="C202" s="27"/>
      <c r="D202" s="28"/>
      <c r="E202" s="28"/>
      <c r="F202" s="28"/>
      <c r="G202" s="28"/>
      <c r="H202" s="28"/>
    </row>
    <row r="203" spans="1:8" ht="15.75" customHeight="1">
      <c r="A203" s="26"/>
      <c r="C203" s="27"/>
      <c r="D203" s="28"/>
      <c r="E203" s="28"/>
      <c r="F203" s="28"/>
      <c r="G203" s="28"/>
      <c r="H203" s="28"/>
    </row>
    <row r="204" spans="1:8" ht="15.75" customHeight="1">
      <c r="A204" s="26"/>
      <c r="C204" s="27"/>
      <c r="D204" s="28"/>
      <c r="E204" s="28"/>
      <c r="F204" s="28"/>
      <c r="G204" s="28"/>
      <c r="H204" s="28"/>
    </row>
    <row r="205" spans="1:8" ht="15.75" customHeight="1">
      <c r="A205" s="26"/>
      <c r="C205" s="27"/>
      <c r="D205" s="28"/>
      <c r="E205" s="28"/>
      <c r="F205" s="28"/>
      <c r="G205" s="28"/>
      <c r="H205" s="28"/>
    </row>
    <row r="206" spans="1:8" ht="15.75" customHeight="1">
      <c r="A206" s="26"/>
      <c r="C206" s="27"/>
      <c r="D206" s="28"/>
      <c r="E206" s="28"/>
      <c r="F206" s="28"/>
      <c r="G206" s="28"/>
      <c r="H206" s="28"/>
    </row>
    <row r="207" spans="1:8" ht="15.75" customHeight="1">
      <c r="A207" s="26"/>
      <c r="C207" s="27"/>
      <c r="D207" s="28"/>
      <c r="E207" s="28"/>
      <c r="F207" s="28"/>
      <c r="G207" s="28"/>
      <c r="H207" s="28"/>
    </row>
    <row r="208" spans="1:8" ht="15.75" customHeight="1">
      <c r="A208" s="26"/>
      <c r="C208" s="27"/>
      <c r="D208" s="28"/>
      <c r="E208" s="28"/>
      <c r="F208" s="28"/>
      <c r="G208" s="28"/>
      <c r="H208" s="28"/>
    </row>
    <row r="209" spans="1:8" ht="15.75" customHeight="1">
      <c r="A209" s="26"/>
      <c r="C209" s="27"/>
      <c r="D209" s="28"/>
      <c r="E209" s="28"/>
      <c r="F209" s="28"/>
      <c r="G209" s="28"/>
      <c r="H209" s="28"/>
    </row>
    <row r="210" spans="1:8" ht="15.75" customHeight="1">
      <c r="A210" s="26"/>
      <c r="C210" s="27"/>
      <c r="D210" s="28"/>
      <c r="E210" s="28"/>
      <c r="F210" s="28"/>
      <c r="G210" s="28"/>
      <c r="H210" s="28"/>
    </row>
    <row r="211" spans="1:8" ht="15.75" customHeight="1">
      <c r="A211" s="26"/>
      <c r="C211" s="27"/>
      <c r="D211" s="28"/>
      <c r="E211" s="28"/>
      <c r="F211" s="28"/>
      <c r="G211" s="28"/>
      <c r="H211" s="28"/>
    </row>
    <row r="212" spans="1:8" ht="15.75" customHeight="1">
      <c r="A212" s="26"/>
      <c r="C212" s="27"/>
      <c r="D212" s="28"/>
      <c r="E212" s="28"/>
      <c r="F212" s="28"/>
      <c r="G212" s="28"/>
      <c r="H212" s="28"/>
    </row>
    <row r="213" spans="1:8" ht="15.75" customHeight="1">
      <c r="A213" s="26"/>
      <c r="C213" s="27"/>
      <c r="D213" s="28"/>
      <c r="E213" s="28"/>
      <c r="F213" s="28"/>
      <c r="G213" s="28"/>
      <c r="H213" s="28"/>
    </row>
    <row r="214" spans="1:8" ht="15.75" customHeight="1">
      <c r="A214" s="26"/>
      <c r="C214" s="27"/>
      <c r="D214" s="28"/>
      <c r="E214" s="28"/>
      <c r="F214" s="28"/>
      <c r="G214" s="28"/>
      <c r="H214" s="28"/>
    </row>
    <row r="215" spans="1:8" ht="15.75" customHeight="1">
      <c r="A215" s="26"/>
      <c r="C215" s="27"/>
      <c r="D215" s="28"/>
      <c r="E215" s="28"/>
      <c r="F215" s="28"/>
      <c r="G215" s="28"/>
      <c r="H215" s="28"/>
    </row>
    <row r="216" spans="1:8" ht="15.75" customHeight="1">
      <c r="A216" s="26"/>
      <c r="C216" s="27"/>
      <c r="D216" s="28"/>
      <c r="E216" s="28"/>
      <c r="F216" s="28"/>
      <c r="G216" s="28"/>
      <c r="H216" s="28"/>
    </row>
    <row r="217" spans="1:8" ht="15.75" customHeight="1">
      <c r="A217" s="26"/>
      <c r="C217" s="27"/>
      <c r="D217" s="28"/>
      <c r="E217" s="28"/>
      <c r="F217" s="28"/>
      <c r="G217" s="28"/>
      <c r="H217" s="28"/>
    </row>
    <row r="218" spans="1:8" ht="15.75" customHeight="1">
      <c r="A218" s="26"/>
      <c r="C218" s="27"/>
      <c r="D218" s="28"/>
      <c r="E218" s="28"/>
      <c r="F218" s="28"/>
      <c r="G218" s="28"/>
      <c r="H218" s="28"/>
    </row>
    <row r="219" spans="1:8" ht="15.75" customHeight="1">
      <c r="A219" s="26"/>
      <c r="C219" s="27"/>
      <c r="D219" s="28"/>
      <c r="E219" s="28"/>
      <c r="F219" s="28"/>
      <c r="G219" s="28"/>
      <c r="H219" s="28"/>
    </row>
    <row r="220" spans="1:8" ht="15.75" customHeight="1">
      <c r="A220" s="26"/>
      <c r="C220" s="27"/>
      <c r="D220" s="28"/>
      <c r="E220" s="28"/>
      <c r="F220" s="28"/>
      <c r="G220" s="28"/>
      <c r="H220" s="28"/>
    </row>
    <row r="221" spans="1:8" ht="15.75" customHeight="1">
      <c r="A221" s="26"/>
      <c r="C221" s="27"/>
      <c r="D221" s="28"/>
      <c r="E221" s="28"/>
      <c r="F221" s="28"/>
      <c r="G221" s="28"/>
      <c r="H221" s="28"/>
    </row>
    <row r="222" spans="1:8" ht="15.75" customHeight="1">
      <c r="A222" s="26"/>
      <c r="C222" s="27"/>
      <c r="D222" s="28"/>
      <c r="E222" s="28"/>
      <c r="F222" s="28"/>
      <c r="G222" s="28"/>
      <c r="H222" s="28"/>
    </row>
    <row r="223" spans="1:8" ht="15.75" customHeight="1">
      <c r="A223" s="26"/>
      <c r="C223" s="27"/>
      <c r="D223" s="28"/>
      <c r="E223" s="28"/>
      <c r="F223" s="28"/>
      <c r="G223" s="28"/>
      <c r="H223" s="28"/>
    </row>
    <row r="224" spans="1:8" ht="15.75" customHeight="1">
      <c r="A224" s="26"/>
      <c r="C224" s="27"/>
      <c r="D224" s="28"/>
      <c r="E224" s="28"/>
      <c r="F224" s="28"/>
      <c r="G224" s="28"/>
      <c r="H224" s="28"/>
    </row>
    <row r="225" spans="1:8" ht="15.75" customHeight="1">
      <c r="A225" s="26"/>
      <c r="C225" s="27"/>
      <c r="D225" s="28"/>
      <c r="E225" s="28"/>
      <c r="F225" s="28"/>
      <c r="G225" s="28"/>
      <c r="H225" s="28"/>
    </row>
    <row r="226" spans="1:8" ht="15.75" customHeight="1">
      <c r="A226" s="26"/>
      <c r="C226" s="27"/>
      <c r="D226" s="28"/>
      <c r="E226" s="28"/>
      <c r="F226" s="28"/>
      <c r="G226" s="28"/>
      <c r="H226" s="28"/>
    </row>
    <row r="227" spans="1:8" ht="15.75" customHeight="1"/>
    <row r="228" spans="1:8" ht="15.75" customHeight="1"/>
    <row r="229" spans="1:8" ht="15.75" customHeight="1"/>
    <row r="230" spans="1:8" ht="15.75" customHeight="1"/>
    <row r="231" spans="1:8" ht="15.75" customHeight="1"/>
    <row r="232" spans="1:8" ht="15.75" customHeight="1"/>
    <row r="233" spans="1:8" ht="15.75" customHeight="1"/>
    <row r="234" spans="1:8" ht="15.75" customHeight="1"/>
    <row r="235" spans="1:8" ht="15.75" customHeight="1"/>
    <row r="236" spans="1:8" ht="15.75" customHeight="1"/>
    <row r="237" spans="1:8" ht="15.75" customHeight="1"/>
    <row r="238" spans="1:8" ht="15.75" customHeight="1"/>
    <row r="239" spans="1:8" ht="15.75" customHeight="1"/>
    <row r="240" spans="1: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1:E2"/>
  </mergeCell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'Data Validation'!$C$3:$C$14</xm:f>
          </x14:formula1>
          <xm:sqref>C3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H1000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2.5703125" defaultRowHeight="15" customHeight="1"/>
  <cols>
    <col min="1" max="1" width="5.7109375" customWidth="1"/>
    <col min="2" max="2" width="43.85546875" customWidth="1"/>
    <col min="3" max="3" width="37.5703125" customWidth="1"/>
    <col min="4" max="4" width="32.7109375" customWidth="1"/>
    <col min="5" max="5" width="23" customWidth="1"/>
    <col min="6" max="6" width="32.7109375" customWidth="1"/>
    <col min="7" max="8" width="17.28515625" hidden="1" customWidth="1"/>
  </cols>
  <sheetData>
    <row r="1" spans="1:8" ht="39.75" customHeight="1">
      <c r="A1" s="4"/>
      <c r="B1" s="4"/>
      <c r="C1" s="98" t="s">
        <v>68</v>
      </c>
      <c r="D1" s="99"/>
      <c r="E1" s="100"/>
      <c r="F1" s="60"/>
      <c r="G1" s="60"/>
      <c r="H1" s="60"/>
    </row>
    <row r="2" spans="1:8" ht="39.75" customHeight="1">
      <c r="A2" s="4"/>
      <c r="B2" s="4"/>
      <c r="C2" s="101"/>
      <c r="D2" s="102"/>
      <c r="E2" s="103"/>
      <c r="F2" s="60"/>
      <c r="G2" s="60"/>
      <c r="H2" s="60"/>
    </row>
    <row r="3" spans="1:8" ht="33" customHeight="1">
      <c r="A3" s="5"/>
      <c r="B3" s="61" t="e">
        <f>F3/D3</f>
        <v>#DIV/0!</v>
      </c>
      <c r="C3" s="62"/>
      <c r="D3" s="63">
        <f>SUM(D5:D49291)</f>
        <v>0</v>
      </c>
      <c r="E3" s="64"/>
      <c r="F3" s="64">
        <f>SUM($C$5:$C49291)</f>
        <v>0</v>
      </c>
      <c r="G3" s="65">
        <v>44927</v>
      </c>
      <c r="H3" s="65">
        <v>45429</v>
      </c>
    </row>
    <row r="4" spans="1:8" ht="25.5" customHeight="1">
      <c r="A4" s="7" t="s">
        <v>55</v>
      </c>
      <c r="B4" s="8" t="s">
        <v>1</v>
      </c>
      <c r="C4" s="9" t="s">
        <v>56</v>
      </c>
      <c r="D4" s="9" t="s">
        <v>65</v>
      </c>
      <c r="E4" s="9" t="s">
        <v>66</v>
      </c>
      <c r="F4" s="9" t="s">
        <v>67</v>
      </c>
      <c r="G4" s="66"/>
      <c r="H4" s="66"/>
    </row>
    <row r="5" spans="1:8" ht="34.5" customHeight="1">
      <c r="A5" s="10">
        <v>1</v>
      </c>
      <c r="B5" s="67" t="s">
        <v>60</v>
      </c>
      <c r="C5" s="12">
        <f>SUMIFS('From Woocommerce'!D:D, 'From Woocommerce'!E:E, "Tecumseh Minor Baseball", 'From Woocommerce'!C:C, "Completed")</f>
        <v>0</v>
      </c>
      <c r="D5" s="13">
        <f>COUNTIFS('From Woocommerce'!E:E, "Tecumseh Minor Baseball", 'From Woocommerce'!C:C, "Completed")</f>
        <v>0</v>
      </c>
      <c r="E5" s="68" t="e">
        <f>AVERAGEIFS('From Woocommerce'!D:D,  'From Woocommerce'!E:E, "Tecumseh Minor Baseball", 'From Woocommerce'!C:C, "Completed")</f>
        <v>#DIV/0!</v>
      </c>
      <c r="F5" s="69">
        <f t="shared" ref="F5:F8" si="0">IFERROR(IF(B5="","",C5/SUM($C$5:$C49291)),0)</f>
        <v>0</v>
      </c>
      <c r="G5" s="70"/>
      <c r="H5" s="70"/>
    </row>
    <row r="6" spans="1:8" ht="34.5" customHeight="1">
      <c r="A6" s="16">
        <v>2</v>
      </c>
      <c r="B6" s="71" t="s">
        <v>59</v>
      </c>
      <c r="C6" s="18">
        <f>SUMIFS('From Woocommerce'!D:D, 'From Woocommerce'!E:E, "Kingsville Soccer Association", 'From Woocommerce'!C:C, "Completed")</f>
        <v>0</v>
      </c>
      <c r="D6" s="19">
        <f>COUNTIFS('From Woocommerce'!E:E, "Kingsville Soccer Association", 'From Woocommerce'!C:C, "Completed")</f>
        <v>0</v>
      </c>
      <c r="E6" s="68" t="e">
        <f>AVERAGEIFS('From Woocommerce'!D:D, 'From Woocommerce'!C:C, "Completed", 'From Woocommerce'!E:E, "Kingsville Soccer Association")</f>
        <v>#DIV/0!</v>
      </c>
      <c r="F6" s="69">
        <f t="shared" si="0"/>
        <v>0</v>
      </c>
      <c r="G6" s="70"/>
      <c r="H6" s="70"/>
    </row>
    <row r="7" spans="1:8" ht="34.5" customHeight="1">
      <c r="A7" s="10">
        <v>3</v>
      </c>
      <c r="B7" s="67" t="s">
        <v>62</v>
      </c>
      <c r="C7" s="72">
        <f>SUMIFS('From Woocommerce'!D:D, 'From Woocommerce'!E:E, "Erie North Shore Hockey", 'From Woocommerce'!C:C, "Completed")</f>
        <v>0</v>
      </c>
      <c r="D7" s="13">
        <f>COUNTIFS('From Woocommerce'!E:E, "Erie North Shore Hockey", 'From Woocommerce'!C:C, "Completed")</f>
        <v>0</v>
      </c>
      <c r="E7" s="68" t="e">
        <f>AVERAGEIFS('From Woocommerce'!D:D, 'From Woocommerce'!C:C, "Completed", 'From Woocommerce'!E:E, "Erie North Shore Hockey")</f>
        <v>#DIV/0!</v>
      </c>
      <c r="F7" s="69">
        <f t="shared" si="0"/>
        <v>0</v>
      </c>
      <c r="G7" s="70"/>
      <c r="H7" s="70"/>
    </row>
    <row r="8" spans="1:8" ht="34.5" customHeight="1">
      <c r="A8" s="73">
        <v>4</v>
      </c>
      <c r="B8" s="71" t="s">
        <v>61</v>
      </c>
      <c r="C8" s="18">
        <f>SUMIFS('From Woocommerce'!D:D, 'From Woocommerce'!E:E, "Riverside Minor Baseball Association", 'From Woocommerce'!C:C, "Completed")</f>
        <v>0</v>
      </c>
      <c r="D8" s="19">
        <f>COUNTIFS('From Woocommerce'!E:E, "Riverside Minor Baseball Association", 'From Woocommerce'!C:C, "Completed")</f>
        <v>0</v>
      </c>
      <c r="E8" s="68" t="e">
        <f>AVERAGEIFS('From Woocommerce'!D:D, 'From Woocommerce'!C:C, "Completed", 'From Woocommerce'!E:E, "Riverside Minor Baseball Association")</f>
        <v>#DIV/0!</v>
      </c>
      <c r="F8" s="69">
        <f t="shared" si="0"/>
        <v>0</v>
      </c>
      <c r="G8" s="70"/>
      <c r="H8" s="70"/>
    </row>
    <row r="9" spans="1:8" ht="34.5" customHeight="1">
      <c r="A9" s="20"/>
      <c r="B9" s="21"/>
      <c r="C9" s="12"/>
      <c r="D9" s="22"/>
      <c r="E9" s="68"/>
      <c r="F9" s="69"/>
      <c r="G9" s="70"/>
      <c r="H9" s="70"/>
    </row>
    <row r="10" spans="1:8" ht="34.5" customHeight="1">
      <c r="A10" s="16"/>
      <c r="B10" s="17"/>
      <c r="C10" s="23"/>
      <c r="D10" s="19"/>
      <c r="E10" s="74"/>
      <c r="F10" s="75"/>
      <c r="G10" s="70"/>
      <c r="H10" s="70"/>
    </row>
    <row r="11" spans="1:8" ht="34.5" customHeight="1">
      <c r="A11" s="10"/>
      <c r="B11" s="11"/>
      <c r="C11" s="12"/>
      <c r="D11" s="22"/>
      <c r="E11" s="68"/>
      <c r="F11" s="69"/>
      <c r="G11" s="70"/>
      <c r="H11" s="70"/>
    </row>
    <row r="12" spans="1:8" ht="34.5" customHeight="1">
      <c r="A12" s="16"/>
      <c r="B12" s="17"/>
      <c r="C12" s="23"/>
      <c r="D12" s="19"/>
      <c r="E12" s="74"/>
      <c r="F12" s="75"/>
      <c r="G12" s="70"/>
      <c r="H12" s="70"/>
    </row>
    <row r="13" spans="1:8" ht="34.5" customHeight="1">
      <c r="A13" s="10"/>
      <c r="B13" s="11"/>
      <c r="C13" s="12"/>
      <c r="D13" s="22"/>
      <c r="E13" s="68"/>
      <c r="F13" s="69"/>
      <c r="G13" s="70"/>
      <c r="H13" s="70"/>
    </row>
    <row r="14" spans="1:8" ht="34.5" customHeight="1">
      <c r="A14" s="16"/>
      <c r="B14" s="17"/>
      <c r="C14" s="23"/>
      <c r="D14" s="19"/>
      <c r="E14" s="74"/>
      <c r="F14" s="75"/>
      <c r="G14" s="70"/>
      <c r="H14" s="70"/>
    </row>
    <row r="15" spans="1:8" ht="34.5" customHeight="1">
      <c r="A15" s="10"/>
      <c r="B15" s="11"/>
      <c r="C15" s="12"/>
      <c r="D15" s="22"/>
      <c r="E15" s="68"/>
      <c r="F15" s="69"/>
      <c r="G15" s="70"/>
      <c r="H15" s="70"/>
    </row>
    <row r="16" spans="1:8" ht="34.5" customHeight="1">
      <c r="A16" s="16"/>
      <c r="B16" s="17"/>
      <c r="C16" s="23"/>
      <c r="D16" s="19"/>
      <c r="E16" s="74"/>
      <c r="F16" s="75"/>
      <c r="G16" s="70"/>
      <c r="H16" s="70"/>
    </row>
    <row r="17" spans="1:8" ht="34.5" customHeight="1">
      <c r="A17" s="10"/>
      <c r="B17" s="11"/>
      <c r="C17" s="12"/>
      <c r="D17" s="22"/>
      <c r="E17" s="68"/>
      <c r="F17" s="69"/>
      <c r="G17" s="70"/>
      <c r="H17" s="70"/>
    </row>
    <row r="18" spans="1:8" ht="35.25" customHeight="1">
      <c r="A18" s="16"/>
      <c r="B18" s="17"/>
      <c r="C18" s="23"/>
      <c r="D18" s="19"/>
      <c r="E18" s="74"/>
      <c r="F18" s="75"/>
      <c r="G18" s="70"/>
      <c r="H18" s="70"/>
    </row>
    <row r="19" spans="1:8" ht="34.5" customHeight="1">
      <c r="A19" s="10"/>
      <c r="B19" s="11"/>
      <c r="C19" s="12"/>
      <c r="D19" s="22"/>
      <c r="E19" s="68"/>
      <c r="F19" s="69"/>
      <c r="G19" s="70"/>
      <c r="H19" s="70"/>
    </row>
    <row r="20" spans="1:8" ht="34.5" customHeight="1">
      <c r="A20" s="16"/>
      <c r="B20" s="17"/>
      <c r="C20" s="23"/>
      <c r="D20" s="19"/>
      <c r="E20" s="74"/>
      <c r="F20" s="75"/>
      <c r="G20" s="70"/>
      <c r="H20" s="70"/>
    </row>
    <row r="21" spans="1:8" ht="34.5" customHeight="1">
      <c r="A21" s="10"/>
      <c r="B21" s="11"/>
      <c r="C21" s="12"/>
      <c r="D21" s="22"/>
      <c r="E21" s="68"/>
      <c r="F21" s="69"/>
      <c r="G21" s="70"/>
      <c r="H21" s="70"/>
    </row>
    <row r="22" spans="1:8" ht="34.5" customHeight="1">
      <c r="A22" s="16"/>
      <c r="B22" s="17"/>
      <c r="C22" s="23"/>
      <c r="D22" s="19"/>
      <c r="E22" s="74"/>
      <c r="F22" s="75"/>
      <c r="G22" s="70"/>
      <c r="H22" s="70"/>
    </row>
    <row r="23" spans="1:8" ht="34.5" customHeight="1">
      <c r="A23" s="10"/>
      <c r="B23" s="11"/>
      <c r="C23" s="12"/>
      <c r="D23" s="22"/>
      <c r="E23" s="68"/>
      <c r="F23" s="69"/>
      <c r="G23" s="70"/>
      <c r="H23" s="70"/>
    </row>
    <row r="24" spans="1:8" ht="34.5" customHeight="1">
      <c r="A24" s="16"/>
      <c r="B24" s="17"/>
      <c r="C24" s="23"/>
      <c r="D24" s="19"/>
      <c r="E24" s="74"/>
      <c r="F24" s="75"/>
      <c r="G24" s="70"/>
      <c r="H24" s="70"/>
    </row>
    <row r="25" spans="1:8" ht="34.5" customHeight="1">
      <c r="A25" s="10"/>
      <c r="B25" s="11"/>
      <c r="C25" s="12"/>
      <c r="D25" s="22"/>
      <c r="E25" s="68"/>
      <c r="F25" s="69"/>
      <c r="G25" s="70"/>
      <c r="H25" s="70"/>
    </row>
    <row r="26" spans="1:8" ht="34.5" customHeight="1">
      <c r="A26" s="24"/>
      <c r="B26" s="25"/>
      <c r="C26" s="23"/>
      <c r="D26" s="19"/>
      <c r="E26" s="74"/>
      <c r="F26" s="75"/>
      <c r="G26" s="70"/>
      <c r="H26" s="70"/>
    </row>
    <row r="27" spans="1:8" ht="15.75" customHeight="1">
      <c r="A27" s="76"/>
      <c r="B27" s="77"/>
      <c r="C27" s="78"/>
      <c r="D27" s="79"/>
      <c r="E27" s="79"/>
      <c r="F27" s="79"/>
      <c r="G27" s="28"/>
      <c r="H27" s="28"/>
    </row>
    <row r="28" spans="1:8" ht="15.75" customHeight="1">
      <c r="A28" s="26"/>
      <c r="B28" s="1"/>
      <c r="C28" s="27"/>
      <c r="D28" s="28"/>
      <c r="E28" s="28"/>
      <c r="F28" s="28"/>
      <c r="G28" s="28"/>
      <c r="H28" s="28"/>
    </row>
    <row r="29" spans="1:8" ht="15.75" customHeight="1">
      <c r="A29" s="26"/>
      <c r="C29" s="27"/>
      <c r="D29" s="28"/>
      <c r="E29" s="28"/>
      <c r="F29" s="28"/>
      <c r="G29" s="28"/>
      <c r="H29" s="28"/>
    </row>
    <row r="30" spans="1:8" ht="15.75" customHeight="1">
      <c r="A30" s="26"/>
      <c r="C30" s="27"/>
      <c r="D30" s="28"/>
      <c r="E30" s="28"/>
      <c r="F30" s="28"/>
      <c r="G30" s="28"/>
      <c r="H30" s="28"/>
    </row>
    <row r="31" spans="1:8" ht="15.75" customHeight="1">
      <c r="A31" s="26"/>
      <c r="C31" s="27"/>
      <c r="D31" s="28"/>
      <c r="E31" s="28"/>
      <c r="G31" s="28"/>
      <c r="H31" s="28"/>
    </row>
    <row r="32" spans="1:8" ht="15.75" customHeight="1">
      <c r="A32" s="26"/>
      <c r="C32" s="27"/>
      <c r="D32" s="28"/>
      <c r="E32" s="28"/>
      <c r="G32" s="28"/>
      <c r="H32" s="28"/>
    </row>
    <row r="33" spans="1:8" ht="15.75" customHeight="1">
      <c r="A33" s="26"/>
      <c r="C33" s="27"/>
      <c r="D33" s="28"/>
      <c r="E33" s="28"/>
      <c r="G33" s="28"/>
      <c r="H33" s="28"/>
    </row>
    <row r="34" spans="1:8" ht="15.75" customHeight="1">
      <c r="A34" s="26"/>
      <c r="C34" s="27"/>
      <c r="D34" s="28"/>
      <c r="E34" s="28"/>
      <c r="G34" s="28"/>
      <c r="H34" s="28"/>
    </row>
    <row r="35" spans="1:8" ht="15.75" customHeight="1">
      <c r="A35" s="26"/>
      <c r="C35" s="27"/>
      <c r="D35" s="28"/>
      <c r="E35" s="28"/>
      <c r="G35" s="28"/>
      <c r="H35" s="28"/>
    </row>
    <row r="36" spans="1:8" ht="15.75" customHeight="1">
      <c r="A36" s="26"/>
      <c r="C36" s="27"/>
      <c r="D36" s="28"/>
      <c r="E36" s="28"/>
      <c r="G36" s="28"/>
      <c r="H36" s="28"/>
    </row>
    <row r="37" spans="1:8" ht="15.75" customHeight="1">
      <c r="A37" s="26"/>
      <c r="C37" s="27"/>
      <c r="D37" s="28"/>
      <c r="E37" s="28"/>
      <c r="G37" s="28"/>
      <c r="H37" s="28"/>
    </row>
    <row r="38" spans="1:8" ht="15.75" customHeight="1">
      <c r="A38" s="26"/>
      <c r="C38" s="27"/>
      <c r="D38" s="28"/>
    </row>
    <row r="39" spans="1:8" ht="15.75" customHeight="1">
      <c r="A39" s="26"/>
      <c r="C39" s="27"/>
      <c r="D39" s="28"/>
    </row>
    <row r="40" spans="1:8" ht="15.75" customHeight="1">
      <c r="A40" s="26"/>
      <c r="C40" s="27"/>
      <c r="D40" s="28"/>
    </row>
    <row r="41" spans="1:8" ht="15.75" customHeight="1">
      <c r="A41" s="26"/>
      <c r="C41" s="27"/>
      <c r="D41" s="28"/>
    </row>
    <row r="42" spans="1:8" ht="15.75" customHeight="1">
      <c r="A42" s="26"/>
      <c r="C42" s="27"/>
      <c r="D42" s="28"/>
    </row>
    <row r="43" spans="1:8" ht="15.75" customHeight="1">
      <c r="A43" s="26"/>
      <c r="C43" s="27"/>
      <c r="D43" s="28"/>
    </row>
    <row r="44" spans="1:8" ht="15.75" customHeight="1">
      <c r="A44" s="26"/>
      <c r="C44" s="27"/>
      <c r="D44" s="28"/>
    </row>
    <row r="45" spans="1:8" ht="15.75" customHeight="1">
      <c r="A45" s="26"/>
      <c r="C45" s="27"/>
      <c r="D45" s="28"/>
    </row>
    <row r="46" spans="1:8" ht="15.75" customHeight="1">
      <c r="A46" s="26"/>
      <c r="C46" s="27"/>
      <c r="D46" s="28"/>
    </row>
    <row r="47" spans="1:8" ht="15.75" customHeight="1">
      <c r="A47" s="26"/>
      <c r="C47" s="27"/>
      <c r="D47" s="28"/>
    </row>
    <row r="48" spans="1:8" ht="15.75" customHeight="1">
      <c r="A48" s="26"/>
      <c r="C48" s="27"/>
      <c r="D48" s="28"/>
    </row>
    <row r="49" spans="1:8" ht="15.75" customHeight="1">
      <c r="A49" s="26"/>
      <c r="C49" s="27"/>
      <c r="D49" s="28"/>
      <c r="E49" s="28"/>
      <c r="F49" s="28"/>
      <c r="G49" s="28"/>
      <c r="H49" s="28"/>
    </row>
    <row r="50" spans="1:8" ht="15.75" customHeight="1">
      <c r="A50" s="26"/>
      <c r="C50" s="27"/>
      <c r="D50" s="28"/>
      <c r="E50" s="28"/>
      <c r="F50" s="28"/>
      <c r="G50" s="28"/>
      <c r="H50" s="28"/>
    </row>
    <row r="51" spans="1:8" ht="15.75" customHeight="1">
      <c r="A51" s="26"/>
      <c r="C51" s="27"/>
      <c r="D51" s="28"/>
      <c r="E51" s="28"/>
      <c r="F51" s="28"/>
      <c r="G51" s="28"/>
      <c r="H51" s="28"/>
    </row>
    <row r="52" spans="1:8" ht="15.75" customHeight="1">
      <c r="A52" s="26"/>
      <c r="C52" s="27"/>
      <c r="D52" s="28"/>
      <c r="E52" s="28"/>
      <c r="F52" s="28"/>
      <c r="G52" s="28"/>
      <c r="H52" s="28"/>
    </row>
    <row r="53" spans="1:8" ht="15.75" customHeight="1">
      <c r="A53" s="26"/>
      <c r="C53" s="27"/>
      <c r="D53" s="28"/>
      <c r="E53" s="28"/>
      <c r="F53" s="28"/>
      <c r="G53" s="28"/>
      <c r="H53" s="28"/>
    </row>
    <row r="54" spans="1:8" ht="15.75" customHeight="1">
      <c r="A54" s="26"/>
      <c r="C54" s="27"/>
      <c r="D54" s="28"/>
      <c r="E54" s="28"/>
      <c r="F54" s="28"/>
      <c r="G54" s="28"/>
      <c r="H54" s="28"/>
    </row>
    <row r="55" spans="1:8" ht="15.75" customHeight="1">
      <c r="A55" s="26"/>
      <c r="C55" s="27"/>
      <c r="D55" s="28"/>
      <c r="E55" s="28"/>
      <c r="F55" s="28"/>
      <c r="G55" s="28"/>
      <c r="H55" s="28"/>
    </row>
    <row r="56" spans="1:8" ht="15.75" customHeight="1">
      <c r="A56" s="26"/>
      <c r="C56" s="27"/>
      <c r="D56" s="28"/>
      <c r="E56" s="28"/>
      <c r="F56" s="28"/>
      <c r="G56" s="28"/>
      <c r="H56" s="28"/>
    </row>
    <row r="57" spans="1:8" ht="15.75" customHeight="1">
      <c r="A57" s="26"/>
      <c r="C57" s="27"/>
      <c r="D57" s="28"/>
      <c r="E57" s="28"/>
      <c r="F57" s="28"/>
      <c r="G57" s="28"/>
      <c r="H57" s="28"/>
    </row>
    <row r="58" spans="1:8" ht="15.75" customHeight="1">
      <c r="A58" s="26"/>
      <c r="C58" s="27"/>
      <c r="D58" s="28"/>
      <c r="E58" s="28"/>
      <c r="F58" s="28"/>
      <c r="G58" s="28"/>
      <c r="H58" s="28"/>
    </row>
    <row r="59" spans="1:8" ht="15.75" customHeight="1">
      <c r="A59" s="26"/>
      <c r="C59" s="27"/>
      <c r="D59" s="28"/>
      <c r="E59" s="28"/>
      <c r="F59" s="28"/>
      <c r="G59" s="28"/>
      <c r="H59" s="28"/>
    </row>
    <row r="60" spans="1:8" ht="15.75" customHeight="1">
      <c r="A60" s="26"/>
      <c r="C60" s="27"/>
      <c r="D60" s="28"/>
      <c r="E60" s="28"/>
      <c r="F60" s="28"/>
      <c r="G60" s="28"/>
      <c r="H60" s="28"/>
    </row>
    <row r="61" spans="1:8" ht="15.75" customHeight="1">
      <c r="A61" s="26"/>
      <c r="C61" s="27"/>
      <c r="D61" s="28"/>
      <c r="E61" s="28"/>
      <c r="F61" s="28"/>
      <c r="G61" s="28"/>
      <c r="H61" s="28"/>
    </row>
    <row r="62" spans="1:8" ht="15.75" customHeight="1">
      <c r="A62" s="26"/>
      <c r="C62" s="27"/>
      <c r="D62" s="28"/>
      <c r="E62" s="28"/>
      <c r="F62" s="28"/>
      <c r="G62" s="28"/>
      <c r="H62" s="28"/>
    </row>
    <row r="63" spans="1:8" ht="15.75" customHeight="1">
      <c r="A63" s="26"/>
      <c r="C63" s="27"/>
      <c r="D63" s="28"/>
      <c r="E63" s="28"/>
      <c r="F63" s="28"/>
      <c r="G63" s="28"/>
      <c r="H63" s="28"/>
    </row>
    <row r="64" spans="1:8" ht="15.75" customHeight="1">
      <c r="A64" s="26"/>
      <c r="C64" s="27"/>
      <c r="D64" s="28"/>
      <c r="E64" s="28"/>
      <c r="F64" s="28"/>
      <c r="G64" s="28"/>
      <c r="H64" s="28"/>
    </row>
    <row r="65" spans="1:8" ht="15.75" customHeight="1">
      <c r="A65" s="26"/>
      <c r="C65" s="27"/>
      <c r="D65" s="28"/>
      <c r="E65" s="28"/>
      <c r="F65" s="28"/>
      <c r="G65" s="28"/>
      <c r="H65" s="28"/>
    </row>
    <row r="66" spans="1:8" ht="15.75" customHeight="1">
      <c r="A66" s="26"/>
      <c r="C66" s="27"/>
      <c r="D66" s="28"/>
      <c r="E66" s="28"/>
      <c r="F66" s="28"/>
      <c r="G66" s="28"/>
      <c r="H66" s="28"/>
    </row>
    <row r="67" spans="1:8" ht="15.75" customHeight="1">
      <c r="A67" s="26"/>
      <c r="C67" s="27"/>
      <c r="D67" s="28"/>
      <c r="E67" s="28"/>
      <c r="F67" s="28"/>
      <c r="G67" s="28"/>
      <c r="H67" s="28"/>
    </row>
    <row r="68" spans="1:8" ht="15.75" customHeight="1">
      <c r="A68" s="26"/>
      <c r="C68" s="27"/>
      <c r="D68" s="28"/>
      <c r="E68" s="28"/>
      <c r="F68" s="28"/>
      <c r="G68" s="28"/>
      <c r="H68" s="28"/>
    </row>
    <row r="69" spans="1:8" ht="15.75" customHeight="1">
      <c r="A69" s="26"/>
      <c r="C69" s="27"/>
      <c r="D69" s="28"/>
      <c r="E69" s="28"/>
      <c r="F69" s="28"/>
      <c r="G69" s="28"/>
      <c r="H69" s="28"/>
    </row>
    <row r="70" spans="1:8" ht="15.75" customHeight="1">
      <c r="A70" s="26"/>
      <c r="C70" s="27"/>
      <c r="D70" s="28"/>
      <c r="E70" s="28"/>
      <c r="F70" s="28"/>
      <c r="G70" s="28"/>
      <c r="H70" s="28"/>
    </row>
    <row r="71" spans="1:8" ht="15.75" customHeight="1">
      <c r="A71" s="26"/>
      <c r="C71" s="27"/>
      <c r="D71" s="28"/>
      <c r="E71" s="28"/>
      <c r="F71" s="28"/>
      <c r="G71" s="28"/>
      <c r="H71" s="28"/>
    </row>
    <row r="72" spans="1:8" ht="15.75" customHeight="1">
      <c r="A72" s="26"/>
      <c r="C72" s="27"/>
      <c r="D72" s="28"/>
      <c r="E72" s="28"/>
      <c r="F72" s="28"/>
      <c r="G72" s="28"/>
      <c r="H72" s="28"/>
    </row>
    <row r="73" spans="1:8" ht="15.75" customHeight="1">
      <c r="A73" s="26"/>
      <c r="C73" s="27"/>
      <c r="D73" s="28"/>
      <c r="E73" s="28"/>
      <c r="F73" s="28"/>
      <c r="G73" s="28"/>
      <c r="H73" s="28"/>
    </row>
    <row r="74" spans="1:8" ht="15.75" customHeight="1">
      <c r="A74" s="26"/>
      <c r="C74" s="27"/>
      <c r="D74" s="28"/>
      <c r="E74" s="28"/>
      <c r="F74" s="28"/>
      <c r="G74" s="28"/>
      <c r="H74" s="28"/>
    </row>
    <row r="75" spans="1:8" ht="15.75" customHeight="1">
      <c r="A75" s="26"/>
      <c r="C75" s="27"/>
      <c r="D75" s="28"/>
      <c r="E75" s="28"/>
      <c r="F75" s="28"/>
      <c r="G75" s="28"/>
      <c r="H75" s="28"/>
    </row>
    <row r="76" spans="1:8" ht="15.75" customHeight="1">
      <c r="A76" s="26"/>
      <c r="C76" s="27"/>
      <c r="D76" s="28"/>
      <c r="E76" s="28"/>
      <c r="F76" s="28"/>
      <c r="G76" s="28"/>
      <c r="H76" s="28"/>
    </row>
    <row r="77" spans="1:8" ht="15.75" customHeight="1">
      <c r="A77" s="26"/>
      <c r="C77" s="27"/>
      <c r="D77" s="28"/>
      <c r="E77" s="28"/>
      <c r="F77" s="28"/>
      <c r="G77" s="28"/>
      <c r="H77" s="28"/>
    </row>
    <row r="78" spans="1:8" ht="15.75" customHeight="1">
      <c r="A78" s="26"/>
      <c r="C78" s="27"/>
      <c r="D78" s="28"/>
      <c r="E78" s="28"/>
      <c r="F78" s="28"/>
      <c r="G78" s="28"/>
      <c r="H78" s="28"/>
    </row>
    <row r="79" spans="1:8" ht="15.75" customHeight="1">
      <c r="A79" s="26"/>
      <c r="C79" s="27"/>
      <c r="D79" s="28"/>
      <c r="E79" s="28"/>
      <c r="F79" s="28"/>
      <c r="G79" s="28"/>
      <c r="H79" s="28"/>
    </row>
    <row r="80" spans="1:8" ht="15.75" customHeight="1">
      <c r="A80" s="26"/>
      <c r="C80" s="27"/>
      <c r="D80" s="28"/>
      <c r="E80" s="28"/>
      <c r="F80" s="28"/>
      <c r="G80" s="28"/>
      <c r="H80" s="28"/>
    </row>
    <row r="81" spans="1:8" ht="15.75" customHeight="1">
      <c r="A81" s="26"/>
      <c r="C81" s="27"/>
      <c r="D81" s="28"/>
      <c r="E81" s="28"/>
      <c r="F81" s="28"/>
      <c r="G81" s="28"/>
      <c r="H81" s="28"/>
    </row>
    <row r="82" spans="1:8" ht="15.75" customHeight="1">
      <c r="A82" s="26"/>
      <c r="C82" s="27"/>
      <c r="D82" s="28"/>
      <c r="E82" s="28"/>
      <c r="F82" s="28"/>
      <c r="G82" s="28"/>
      <c r="H82" s="28"/>
    </row>
    <row r="83" spans="1:8" ht="15.75" customHeight="1">
      <c r="A83" s="26"/>
      <c r="C83" s="27"/>
      <c r="D83" s="28"/>
      <c r="E83" s="28"/>
      <c r="F83" s="28"/>
      <c r="G83" s="28"/>
      <c r="H83" s="28"/>
    </row>
    <row r="84" spans="1:8" ht="15.75" customHeight="1">
      <c r="A84" s="26"/>
      <c r="C84" s="27"/>
      <c r="D84" s="28"/>
      <c r="E84" s="28"/>
      <c r="F84" s="28"/>
      <c r="G84" s="28"/>
      <c r="H84" s="28"/>
    </row>
    <row r="85" spans="1:8" ht="15.75" customHeight="1">
      <c r="A85" s="26"/>
      <c r="C85" s="27"/>
      <c r="D85" s="28"/>
      <c r="E85" s="28"/>
      <c r="F85" s="28"/>
      <c r="G85" s="28"/>
      <c r="H85" s="28"/>
    </row>
    <row r="86" spans="1:8" ht="15.75" customHeight="1">
      <c r="A86" s="26"/>
      <c r="C86" s="27"/>
      <c r="D86" s="28"/>
      <c r="E86" s="28"/>
      <c r="F86" s="28"/>
      <c r="G86" s="28"/>
      <c r="H86" s="28"/>
    </row>
    <row r="87" spans="1:8" ht="15.75" customHeight="1">
      <c r="A87" s="26"/>
      <c r="C87" s="27"/>
      <c r="D87" s="28"/>
      <c r="E87" s="28"/>
      <c r="F87" s="28"/>
      <c r="G87" s="28"/>
      <c r="H87" s="28"/>
    </row>
    <row r="88" spans="1:8" ht="15.75" customHeight="1">
      <c r="A88" s="26"/>
      <c r="C88" s="27"/>
      <c r="D88" s="28"/>
      <c r="E88" s="28"/>
      <c r="F88" s="28"/>
      <c r="G88" s="28"/>
      <c r="H88" s="28"/>
    </row>
    <row r="89" spans="1:8" ht="15.75" customHeight="1">
      <c r="A89" s="26"/>
      <c r="C89" s="27"/>
      <c r="D89" s="28"/>
      <c r="E89" s="28"/>
      <c r="F89" s="28"/>
      <c r="G89" s="28"/>
      <c r="H89" s="28"/>
    </row>
    <row r="90" spans="1:8" ht="15.75" customHeight="1">
      <c r="A90" s="26"/>
      <c r="C90" s="27"/>
      <c r="D90" s="28"/>
      <c r="E90" s="28"/>
      <c r="F90" s="28"/>
      <c r="G90" s="28"/>
      <c r="H90" s="28"/>
    </row>
    <row r="91" spans="1:8" ht="15.75" customHeight="1">
      <c r="A91" s="26"/>
      <c r="C91" s="27"/>
      <c r="D91" s="28"/>
      <c r="E91" s="28"/>
      <c r="F91" s="28"/>
      <c r="G91" s="28"/>
      <c r="H91" s="28"/>
    </row>
    <row r="92" spans="1:8" ht="15.75" customHeight="1">
      <c r="A92" s="26"/>
      <c r="C92" s="27"/>
      <c r="D92" s="28"/>
      <c r="E92" s="28"/>
      <c r="F92" s="28"/>
      <c r="G92" s="28"/>
      <c r="H92" s="28"/>
    </row>
    <row r="93" spans="1:8" ht="15.75" customHeight="1">
      <c r="A93" s="26"/>
      <c r="C93" s="27"/>
      <c r="D93" s="28"/>
      <c r="E93" s="28"/>
      <c r="F93" s="28"/>
      <c r="G93" s="28"/>
      <c r="H93" s="28"/>
    </row>
    <row r="94" spans="1:8" ht="15.75" customHeight="1">
      <c r="A94" s="26"/>
      <c r="C94" s="27"/>
      <c r="D94" s="28"/>
      <c r="E94" s="28"/>
      <c r="F94" s="28"/>
      <c r="G94" s="28"/>
      <c r="H94" s="28"/>
    </row>
    <row r="95" spans="1:8" ht="15.75" customHeight="1">
      <c r="A95" s="26"/>
      <c r="C95" s="27"/>
      <c r="D95" s="28"/>
      <c r="E95" s="28"/>
      <c r="F95" s="28"/>
      <c r="G95" s="28"/>
      <c r="H95" s="28"/>
    </row>
    <row r="96" spans="1:8" ht="15.75" customHeight="1">
      <c r="A96" s="26"/>
      <c r="C96" s="27"/>
      <c r="D96" s="28"/>
      <c r="E96" s="28"/>
      <c r="F96" s="28"/>
      <c r="G96" s="28"/>
      <c r="H96" s="28"/>
    </row>
    <row r="97" spans="1:8" ht="15.75" customHeight="1">
      <c r="A97" s="26"/>
      <c r="C97" s="27"/>
      <c r="D97" s="28"/>
      <c r="E97" s="28"/>
      <c r="F97" s="28"/>
      <c r="G97" s="28"/>
      <c r="H97" s="28"/>
    </row>
    <row r="98" spans="1:8" ht="15.75" customHeight="1">
      <c r="A98" s="26"/>
      <c r="C98" s="27"/>
      <c r="D98" s="28"/>
      <c r="E98" s="28"/>
      <c r="F98" s="28"/>
      <c r="G98" s="28"/>
      <c r="H98" s="28"/>
    </row>
    <row r="99" spans="1:8" ht="15.75" customHeight="1">
      <c r="A99" s="26"/>
      <c r="C99" s="27"/>
      <c r="D99" s="28"/>
      <c r="E99" s="28"/>
      <c r="F99" s="28"/>
      <c r="G99" s="28"/>
      <c r="H99" s="28"/>
    </row>
    <row r="100" spans="1:8" ht="15.75" customHeight="1">
      <c r="A100" s="26"/>
      <c r="C100" s="27"/>
      <c r="D100" s="28"/>
      <c r="E100" s="28"/>
      <c r="F100" s="28"/>
      <c r="G100" s="28"/>
      <c r="H100" s="28"/>
    </row>
    <row r="101" spans="1:8" ht="15.75" customHeight="1">
      <c r="A101" s="26"/>
      <c r="C101" s="27"/>
      <c r="D101" s="28"/>
      <c r="E101" s="28"/>
      <c r="F101" s="28"/>
      <c r="G101" s="28"/>
      <c r="H101" s="28"/>
    </row>
    <row r="102" spans="1:8" ht="15.75" customHeight="1">
      <c r="A102" s="26"/>
      <c r="C102" s="27"/>
      <c r="D102" s="28"/>
      <c r="E102" s="28"/>
      <c r="F102" s="28"/>
      <c r="G102" s="28"/>
      <c r="H102" s="28"/>
    </row>
    <row r="103" spans="1:8" ht="15.75" customHeight="1">
      <c r="A103" s="26"/>
      <c r="C103" s="27"/>
      <c r="D103" s="28"/>
      <c r="E103" s="28"/>
      <c r="F103" s="28"/>
      <c r="G103" s="28"/>
      <c r="H103" s="28"/>
    </row>
    <row r="104" spans="1:8" ht="15.75" customHeight="1">
      <c r="A104" s="26"/>
      <c r="C104" s="27"/>
      <c r="D104" s="28"/>
      <c r="E104" s="28"/>
      <c r="F104" s="28"/>
      <c r="G104" s="28"/>
      <c r="H104" s="28"/>
    </row>
    <row r="105" spans="1:8" ht="15.75" customHeight="1">
      <c r="A105" s="26"/>
      <c r="C105" s="27"/>
      <c r="D105" s="28"/>
      <c r="E105" s="28"/>
      <c r="F105" s="28"/>
      <c r="G105" s="28"/>
      <c r="H105" s="28"/>
    </row>
    <row r="106" spans="1:8" ht="15.75" customHeight="1">
      <c r="A106" s="26"/>
      <c r="C106" s="27"/>
      <c r="D106" s="28"/>
      <c r="E106" s="28"/>
      <c r="F106" s="28"/>
      <c r="G106" s="28"/>
      <c r="H106" s="28"/>
    </row>
    <row r="107" spans="1:8" ht="15.75" customHeight="1">
      <c r="A107" s="26"/>
      <c r="C107" s="27"/>
      <c r="D107" s="28"/>
      <c r="E107" s="28"/>
      <c r="F107" s="28"/>
      <c r="G107" s="28"/>
      <c r="H107" s="28"/>
    </row>
    <row r="108" spans="1:8" ht="15.75" customHeight="1">
      <c r="A108" s="26"/>
      <c r="C108" s="27"/>
      <c r="D108" s="28"/>
      <c r="E108" s="28"/>
      <c r="F108" s="28"/>
      <c r="G108" s="28"/>
      <c r="H108" s="28"/>
    </row>
    <row r="109" spans="1:8" ht="15.75" customHeight="1">
      <c r="A109" s="26"/>
      <c r="C109" s="27"/>
      <c r="D109" s="28"/>
      <c r="E109" s="28"/>
      <c r="F109" s="28"/>
      <c r="G109" s="28"/>
      <c r="H109" s="28"/>
    </row>
    <row r="110" spans="1:8" ht="15.75" customHeight="1">
      <c r="A110" s="26"/>
      <c r="C110" s="27"/>
      <c r="D110" s="28"/>
      <c r="E110" s="28"/>
      <c r="F110" s="28"/>
      <c r="G110" s="28"/>
      <c r="H110" s="28"/>
    </row>
    <row r="111" spans="1:8" ht="15.75" customHeight="1">
      <c r="A111" s="26"/>
      <c r="C111" s="27"/>
      <c r="D111" s="28"/>
      <c r="E111" s="28"/>
      <c r="F111" s="28"/>
      <c r="G111" s="28"/>
      <c r="H111" s="28"/>
    </row>
    <row r="112" spans="1:8" ht="15.75" customHeight="1">
      <c r="A112" s="26"/>
      <c r="C112" s="27"/>
      <c r="D112" s="28"/>
      <c r="E112" s="28"/>
      <c r="F112" s="28"/>
      <c r="G112" s="28"/>
      <c r="H112" s="28"/>
    </row>
    <row r="113" spans="1:8" ht="15.75" customHeight="1">
      <c r="A113" s="26"/>
      <c r="C113" s="27"/>
      <c r="D113" s="28"/>
      <c r="E113" s="28"/>
      <c r="F113" s="28"/>
      <c r="G113" s="28"/>
      <c r="H113" s="28"/>
    </row>
    <row r="114" spans="1:8" ht="15.75" customHeight="1">
      <c r="A114" s="26"/>
      <c r="C114" s="27"/>
      <c r="D114" s="28"/>
      <c r="E114" s="28"/>
      <c r="F114" s="28"/>
      <c r="G114" s="28"/>
      <c r="H114" s="28"/>
    </row>
    <row r="115" spans="1:8" ht="15.75" customHeight="1">
      <c r="A115" s="26"/>
      <c r="C115" s="27"/>
      <c r="D115" s="28"/>
      <c r="E115" s="28"/>
      <c r="F115" s="28"/>
      <c r="G115" s="28"/>
      <c r="H115" s="28"/>
    </row>
    <row r="116" spans="1:8" ht="15.75" customHeight="1">
      <c r="A116" s="26"/>
      <c r="C116" s="27"/>
      <c r="D116" s="28"/>
      <c r="E116" s="28"/>
      <c r="F116" s="28"/>
      <c r="G116" s="28"/>
      <c r="H116" s="28"/>
    </row>
    <row r="117" spans="1:8" ht="15.75" customHeight="1">
      <c r="A117" s="26"/>
      <c r="C117" s="27"/>
      <c r="D117" s="28"/>
      <c r="E117" s="28"/>
      <c r="F117" s="28"/>
      <c r="G117" s="28"/>
      <c r="H117" s="28"/>
    </row>
    <row r="118" spans="1:8" ht="15.75" customHeight="1">
      <c r="A118" s="26"/>
      <c r="C118" s="27"/>
      <c r="D118" s="28"/>
      <c r="E118" s="28"/>
      <c r="F118" s="28"/>
      <c r="G118" s="28"/>
      <c r="H118" s="28"/>
    </row>
    <row r="119" spans="1:8" ht="15.75" customHeight="1">
      <c r="A119" s="26"/>
      <c r="C119" s="27"/>
      <c r="D119" s="28"/>
      <c r="E119" s="28"/>
      <c r="F119" s="28"/>
      <c r="G119" s="28"/>
      <c r="H119" s="28"/>
    </row>
    <row r="120" spans="1:8" ht="15.75" customHeight="1">
      <c r="A120" s="26"/>
      <c r="C120" s="27"/>
      <c r="D120" s="28"/>
      <c r="E120" s="28"/>
      <c r="F120" s="28"/>
      <c r="G120" s="28"/>
      <c r="H120" s="28"/>
    </row>
    <row r="121" spans="1:8" ht="15.75" customHeight="1">
      <c r="A121" s="26"/>
      <c r="C121" s="27"/>
      <c r="D121" s="28"/>
      <c r="E121" s="28"/>
      <c r="F121" s="28"/>
      <c r="G121" s="28"/>
      <c r="H121" s="28"/>
    </row>
    <row r="122" spans="1:8" ht="15.75" customHeight="1">
      <c r="A122" s="26"/>
      <c r="C122" s="27"/>
      <c r="D122" s="28"/>
      <c r="E122" s="28"/>
      <c r="F122" s="28"/>
      <c r="G122" s="28"/>
      <c r="H122" s="28"/>
    </row>
    <row r="123" spans="1:8" ht="15.75" customHeight="1">
      <c r="A123" s="26"/>
      <c r="C123" s="27"/>
      <c r="D123" s="28"/>
      <c r="E123" s="28"/>
      <c r="F123" s="28"/>
      <c r="G123" s="28"/>
      <c r="H123" s="28"/>
    </row>
    <row r="124" spans="1:8" ht="15.75" customHeight="1">
      <c r="A124" s="26"/>
      <c r="C124" s="27"/>
      <c r="D124" s="28"/>
      <c r="E124" s="28"/>
      <c r="F124" s="28"/>
      <c r="G124" s="28"/>
      <c r="H124" s="28"/>
    </row>
    <row r="125" spans="1:8" ht="15.75" customHeight="1">
      <c r="A125" s="26"/>
      <c r="C125" s="27"/>
      <c r="D125" s="28"/>
      <c r="E125" s="28"/>
      <c r="F125" s="28"/>
      <c r="G125" s="28"/>
      <c r="H125" s="28"/>
    </row>
    <row r="126" spans="1:8" ht="15.75" customHeight="1">
      <c r="A126" s="26"/>
      <c r="C126" s="27"/>
      <c r="D126" s="28"/>
      <c r="E126" s="28"/>
      <c r="F126" s="28"/>
      <c r="G126" s="28"/>
      <c r="H126" s="28"/>
    </row>
    <row r="127" spans="1:8" ht="15.75" customHeight="1">
      <c r="A127" s="26"/>
      <c r="C127" s="27"/>
      <c r="D127" s="28"/>
      <c r="E127" s="28"/>
      <c r="F127" s="28"/>
      <c r="G127" s="28"/>
      <c r="H127" s="28"/>
    </row>
    <row r="128" spans="1:8" ht="15.75" customHeight="1">
      <c r="A128" s="26"/>
      <c r="C128" s="27"/>
      <c r="D128" s="28"/>
      <c r="E128" s="28"/>
      <c r="F128" s="28"/>
      <c r="G128" s="28"/>
      <c r="H128" s="28"/>
    </row>
    <row r="129" spans="1:8" ht="15.75" customHeight="1">
      <c r="A129" s="26"/>
      <c r="C129" s="27"/>
      <c r="D129" s="28"/>
      <c r="E129" s="28"/>
      <c r="F129" s="28"/>
      <c r="G129" s="28"/>
      <c r="H129" s="28"/>
    </row>
    <row r="130" spans="1:8" ht="15.75" customHeight="1">
      <c r="A130" s="26"/>
      <c r="C130" s="27"/>
      <c r="D130" s="28"/>
      <c r="E130" s="28"/>
      <c r="F130" s="28"/>
      <c r="G130" s="28"/>
      <c r="H130" s="28"/>
    </row>
    <row r="131" spans="1:8" ht="15.75" customHeight="1">
      <c r="A131" s="26"/>
      <c r="C131" s="27"/>
      <c r="D131" s="28"/>
      <c r="E131" s="28"/>
      <c r="F131" s="28"/>
      <c r="G131" s="28"/>
      <c r="H131" s="28"/>
    </row>
    <row r="132" spans="1:8" ht="15.75" customHeight="1">
      <c r="A132" s="26"/>
      <c r="C132" s="27"/>
      <c r="D132" s="28"/>
      <c r="E132" s="28"/>
      <c r="F132" s="28"/>
      <c r="G132" s="28"/>
      <c r="H132" s="28"/>
    </row>
    <row r="133" spans="1:8" ht="15.75" customHeight="1">
      <c r="A133" s="26"/>
      <c r="C133" s="27"/>
      <c r="D133" s="28"/>
      <c r="E133" s="28"/>
      <c r="F133" s="28"/>
      <c r="G133" s="28"/>
      <c r="H133" s="28"/>
    </row>
    <row r="134" spans="1:8" ht="15.75" customHeight="1">
      <c r="A134" s="26"/>
      <c r="C134" s="27"/>
      <c r="D134" s="28"/>
      <c r="E134" s="28"/>
      <c r="F134" s="28"/>
      <c r="G134" s="28"/>
      <c r="H134" s="28"/>
    </row>
    <row r="135" spans="1:8" ht="15.75" customHeight="1">
      <c r="A135" s="26"/>
      <c r="C135" s="27"/>
      <c r="D135" s="28"/>
      <c r="E135" s="28"/>
      <c r="F135" s="28"/>
      <c r="G135" s="28"/>
      <c r="H135" s="28"/>
    </row>
    <row r="136" spans="1:8" ht="15.75" customHeight="1">
      <c r="A136" s="26"/>
      <c r="C136" s="27"/>
      <c r="D136" s="28"/>
      <c r="E136" s="28"/>
      <c r="F136" s="28"/>
      <c r="G136" s="28"/>
      <c r="H136" s="28"/>
    </row>
    <row r="137" spans="1:8" ht="15.75" customHeight="1">
      <c r="A137" s="26"/>
      <c r="C137" s="27"/>
      <c r="D137" s="28"/>
      <c r="E137" s="28"/>
      <c r="F137" s="28"/>
      <c r="G137" s="28"/>
      <c r="H137" s="28"/>
    </row>
    <row r="138" spans="1:8" ht="15.75" customHeight="1">
      <c r="A138" s="26"/>
      <c r="C138" s="27"/>
      <c r="D138" s="28"/>
      <c r="E138" s="28"/>
      <c r="F138" s="28"/>
      <c r="G138" s="28"/>
      <c r="H138" s="28"/>
    </row>
    <row r="139" spans="1:8" ht="15.75" customHeight="1">
      <c r="A139" s="26"/>
      <c r="C139" s="27"/>
      <c r="D139" s="28"/>
      <c r="E139" s="28"/>
      <c r="F139" s="28"/>
      <c r="G139" s="28"/>
      <c r="H139" s="28"/>
    </row>
    <row r="140" spans="1:8" ht="15.75" customHeight="1">
      <c r="A140" s="26"/>
      <c r="C140" s="27"/>
      <c r="D140" s="28"/>
      <c r="E140" s="28"/>
      <c r="F140" s="28"/>
      <c r="G140" s="28"/>
      <c r="H140" s="28"/>
    </row>
    <row r="141" spans="1:8" ht="15.75" customHeight="1">
      <c r="A141" s="26"/>
      <c r="C141" s="27"/>
      <c r="D141" s="28"/>
      <c r="E141" s="28"/>
      <c r="F141" s="28"/>
      <c r="G141" s="28"/>
      <c r="H141" s="28"/>
    </row>
    <row r="142" spans="1:8" ht="15.75" customHeight="1">
      <c r="A142" s="26"/>
      <c r="C142" s="27"/>
      <c r="D142" s="28"/>
      <c r="E142" s="28"/>
      <c r="F142" s="28"/>
      <c r="G142" s="28"/>
      <c r="H142" s="28"/>
    </row>
    <row r="143" spans="1:8" ht="15.75" customHeight="1">
      <c r="A143" s="26"/>
      <c r="C143" s="27"/>
      <c r="D143" s="28"/>
      <c r="E143" s="28"/>
      <c r="F143" s="28"/>
      <c r="G143" s="28"/>
      <c r="H143" s="28"/>
    </row>
    <row r="144" spans="1:8" ht="15.75" customHeight="1">
      <c r="A144" s="26"/>
      <c r="C144" s="27"/>
      <c r="D144" s="28"/>
      <c r="E144" s="28"/>
      <c r="F144" s="28"/>
      <c r="G144" s="28"/>
      <c r="H144" s="28"/>
    </row>
    <row r="145" spans="1:8" ht="15.75" customHeight="1">
      <c r="A145" s="26"/>
      <c r="C145" s="27"/>
      <c r="D145" s="28"/>
      <c r="E145" s="28"/>
      <c r="F145" s="28"/>
      <c r="G145" s="28"/>
      <c r="H145" s="28"/>
    </row>
    <row r="146" spans="1:8" ht="15.75" customHeight="1">
      <c r="A146" s="26"/>
      <c r="C146" s="27"/>
      <c r="D146" s="28"/>
      <c r="E146" s="28"/>
      <c r="F146" s="28"/>
      <c r="G146" s="28"/>
      <c r="H146" s="28"/>
    </row>
    <row r="147" spans="1:8" ht="15.75" customHeight="1">
      <c r="A147" s="26"/>
      <c r="C147" s="27"/>
      <c r="D147" s="28"/>
      <c r="E147" s="28"/>
      <c r="F147" s="28"/>
      <c r="G147" s="28"/>
      <c r="H147" s="28"/>
    </row>
    <row r="148" spans="1:8" ht="15.75" customHeight="1">
      <c r="A148" s="26"/>
      <c r="C148" s="27"/>
      <c r="D148" s="28"/>
      <c r="E148" s="28"/>
      <c r="F148" s="28"/>
      <c r="G148" s="28"/>
      <c r="H148" s="28"/>
    </row>
    <row r="149" spans="1:8" ht="15.75" customHeight="1">
      <c r="A149" s="26"/>
      <c r="C149" s="27"/>
      <c r="D149" s="28"/>
      <c r="E149" s="28"/>
      <c r="F149" s="28"/>
      <c r="G149" s="28"/>
      <c r="H149" s="28"/>
    </row>
    <row r="150" spans="1:8" ht="15.75" customHeight="1">
      <c r="A150" s="26"/>
      <c r="C150" s="27"/>
      <c r="D150" s="28"/>
      <c r="E150" s="28"/>
      <c r="F150" s="28"/>
      <c r="G150" s="28"/>
      <c r="H150" s="28"/>
    </row>
    <row r="151" spans="1:8" ht="15.75" customHeight="1">
      <c r="A151" s="26"/>
      <c r="C151" s="27"/>
      <c r="D151" s="28"/>
      <c r="E151" s="28"/>
      <c r="F151" s="28"/>
      <c r="G151" s="28"/>
      <c r="H151" s="28"/>
    </row>
    <row r="152" spans="1:8" ht="15.75" customHeight="1">
      <c r="A152" s="26"/>
      <c r="C152" s="27"/>
      <c r="D152" s="28"/>
      <c r="E152" s="28"/>
      <c r="F152" s="28"/>
      <c r="G152" s="28"/>
      <c r="H152" s="28"/>
    </row>
    <row r="153" spans="1:8" ht="15.75" customHeight="1">
      <c r="A153" s="26"/>
      <c r="C153" s="27"/>
      <c r="D153" s="28"/>
      <c r="E153" s="28"/>
      <c r="F153" s="28"/>
      <c r="G153" s="28"/>
      <c r="H153" s="28"/>
    </row>
    <row r="154" spans="1:8" ht="15.75" customHeight="1">
      <c r="A154" s="26"/>
      <c r="C154" s="27"/>
      <c r="D154" s="28"/>
      <c r="E154" s="28"/>
      <c r="F154" s="28"/>
      <c r="G154" s="28"/>
      <c r="H154" s="28"/>
    </row>
    <row r="155" spans="1:8" ht="15.75" customHeight="1">
      <c r="A155" s="26"/>
      <c r="C155" s="27"/>
      <c r="D155" s="28"/>
      <c r="E155" s="28"/>
      <c r="F155" s="28"/>
      <c r="G155" s="28"/>
      <c r="H155" s="28"/>
    </row>
    <row r="156" spans="1:8" ht="15.75" customHeight="1">
      <c r="A156" s="26"/>
      <c r="C156" s="27"/>
      <c r="D156" s="28"/>
      <c r="E156" s="28"/>
      <c r="F156" s="28"/>
      <c r="G156" s="28"/>
      <c r="H156" s="28"/>
    </row>
    <row r="157" spans="1:8" ht="15.75" customHeight="1">
      <c r="A157" s="26"/>
      <c r="C157" s="27"/>
      <c r="D157" s="28"/>
      <c r="E157" s="28"/>
      <c r="F157" s="28"/>
      <c r="G157" s="28"/>
      <c r="H157" s="28"/>
    </row>
    <row r="158" spans="1:8" ht="15.75" customHeight="1">
      <c r="A158" s="26"/>
      <c r="C158" s="27"/>
      <c r="D158" s="28"/>
      <c r="E158" s="28"/>
      <c r="F158" s="28"/>
      <c r="G158" s="28"/>
      <c r="H158" s="28"/>
    </row>
    <row r="159" spans="1:8" ht="15.75" customHeight="1">
      <c r="A159" s="26"/>
      <c r="C159" s="27"/>
      <c r="D159" s="28"/>
      <c r="E159" s="28"/>
      <c r="F159" s="28"/>
      <c r="G159" s="28"/>
      <c r="H159" s="28"/>
    </row>
    <row r="160" spans="1:8" ht="15.75" customHeight="1">
      <c r="A160" s="26"/>
      <c r="C160" s="27"/>
      <c r="D160" s="28"/>
      <c r="E160" s="28"/>
      <c r="F160" s="28"/>
      <c r="G160" s="28"/>
      <c r="H160" s="28"/>
    </row>
    <row r="161" spans="1:8" ht="15.75" customHeight="1">
      <c r="A161" s="26"/>
      <c r="C161" s="27"/>
      <c r="D161" s="28"/>
      <c r="E161" s="28"/>
      <c r="F161" s="28"/>
      <c r="G161" s="28"/>
      <c r="H161" s="28"/>
    </row>
    <row r="162" spans="1:8" ht="15.75" customHeight="1">
      <c r="A162" s="26"/>
      <c r="C162" s="27"/>
      <c r="D162" s="28"/>
      <c r="E162" s="28"/>
      <c r="F162" s="28"/>
      <c r="G162" s="28"/>
      <c r="H162" s="28"/>
    </row>
    <row r="163" spans="1:8" ht="15.75" customHeight="1">
      <c r="A163" s="26"/>
      <c r="C163" s="27"/>
      <c r="D163" s="28"/>
      <c r="E163" s="28"/>
      <c r="F163" s="28"/>
      <c r="G163" s="28"/>
      <c r="H163" s="28"/>
    </row>
    <row r="164" spans="1:8" ht="15.75" customHeight="1">
      <c r="A164" s="26"/>
      <c r="C164" s="27"/>
      <c r="D164" s="28"/>
      <c r="E164" s="28"/>
      <c r="F164" s="28"/>
      <c r="G164" s="28"/>
      <c r="H164" s="28"/>
    </row>
    <row r="165" spans="1:8" ht="15.75" customHeight="1">
      <c r="A165" s="26"/>
      <c r="C165" s="27"/>
      <c r="D165" s="28"/>
      <c r="E165" s="28"/>
      <c r="F165" s="28"/>
      <c r="G165" s="28"/>
      <c r="H165" s="28"/>
    </row>
    <row r="166" spans="1:8" ht="15.75" customHeight="1">
      <c r="A166" s="26"/>
      <c r="C166" s="27"/>
      <c r="D166" s="28"/>
      <c r="E166" s="28"/>
      <c r="F166" s="28"/>
      <c r="G166" s="28"/>
      <c r="H166" s="28"/>
    </row>
    <row r="167" spans="1:8" ht="15.75" customHeight="1">
      <c r="A167" s="26"/>
      <c r="C167" s="27"/>
      <c r="D167" s="28"/>
      <c r="E167" s="28"/>
      <c r="F167" s="28"/>
      <c r="G167" s="28"/>
      <c r="H167" s="28"/>
    </row>
    <row r="168" spans="1:8" ht="15.75" customHeight="1">
      <c r="A168" s="26"/>
      <c r="C168" s="27"/>
      <c r="D168" s="28"/>
      <c r="E168" s="28"/>
      <c r="F168" s="28"/>
      <c r="G168" s="28"/>
      <c r="H168" s="28"/>
    </row>
    <row r="169" spans="1:8" ht="15.75" customHeight="1">
      <c r="A169" s="26"/>
      <c r="C169" s="27"/>
      <c r="D169" s="28"/>
      <c r="E169" s="28"/>
      <c r="F169" s="28"/>
      <c r="G169" s="28"/>
      <c r="H169" s="28"/>
    </row>
    <row r="170" spans="1:8" ht="15.75" customHeight="1">
      <c r="A170" s="26"/>
      <c r="C170" s="27"/>
      <c r="D170" s="28"/>
      <c r="E170" s="28"/>
      <c r="F170" s="28"/>
      <c r="G170" s="28"/>
      <c r="H170" s="28"/>
    </row>
    <row r="171" spans="1:8" ht="15.75" customHeight="1">
      <c r="A171" s="26"/>
      <c r="C171" s="27"/>
      <c r="D171" s="28"/>
      <c r="E171" s="28"/>
      <c r="F171" s="28"/>
      <c r="G171" s="28"/>
      <c r="H171" s="28"/>
    </row>
    <row r="172" spans="1:8" ht="15.75" customHeight="1">
      <c r="A172" s="26"/>
      <c r="C172" s="27"/>
      <c r="D172" s="28"/>
      <c r="E172" s="28"/>
      <c r="F172" s="28"/>
      <c r="G172" s="28"/>
      <c r="H172" s="28"/>
    </row>
    <row r="173" spans="1:8" ht="15.75" customHeight="1">
      <c r="A173" s="26"/>
      <c r="C173" s="27"/>
      <c r="D173" s="28"/>
      <c r="E173" s="28"/>
      <c r="F173" s="28"/>
      <c r="G173" s="28"/>
      <c r="H173" s="28"/>
    </row>
    <row r="174" spans="1:8" ht="15.75" customHeight="1">
      <c r="A174" s="26"/>
      <c r="C174" s="27"/>
      <c r="D174" s="28"/>
      <c r="E174" s="28"/>
      <c r="F174" s="28"/>
      <c r="G174" s="28"/>
      <c r="H174" s="28"/>
    </row>
    <row r="175" spans="1:8" ht="15.75" customHeight="1">
      <c r="A175" s="26"/>
      <c r="C175" s="27"/>
      <c r="D175" s="28"/>
      <c r="E175" s="28"/>
      <c r="F175" s="28"/>
      <c r="G175" s="28"/>
      <c r="H175" s="28"/>
    </row>
    <row r="176" spans="1:8" ht="15.75" customHeight="1">
      <c r="A176" s="26"/>
      <c r="C176" s="27"/>
      <c r="D176" s="28"/>
      <c r="E176" s="28"/>
      <c r="F176" s="28"/>
      <c r="G176" s="28"/>
      <c r="H176" s="28"/>
    </row>
    <row r="177" spans="1:8" ht="15.75" customHeight="1">
      <c r="A177" s="26"/>
      <c r="C177" s="27"/>
      <c r="D177" s="28"/>
      <c r="E177" s="28"/>
      <c r="F177" s="28"/>
      <c r="G177" s="28"/>
      <c r="H177" s="28"/>
    </row>
    <row r="178" spans="1:8" ht="15.75" customHeight="1">
      <c r="A178" s="26"/>
      <c r="C178" s="27"/>
      <c r="D178" s="28"/>
      <c r="E178" s="28"/>
      <c r="F178" s="28"/>
      <c r="G178" s="28"/>
      <c r="H178" s="28"/>
    </row>
    <row r="179" spans="1:8" ht="15.75" customHeight="1">
      <c r="A179" s="26"/>
      <c r="C179" s="27"/>
      <c r="D179" s="28"/>
      <c r="E179" s="28"/>
      <c r="F179" s="28"/>
      <c r="G179" s="28"/>
      <c r="H179" s="28"/>
    </row>
    <row r="180" spans="1:8" ht="15.75" customHeight="1">
      <c r="A180" s="26"/>
      <c r="C180" s="27"/>
      <c r="D180" s="28"/>
      <c r="E180" s="28"/>
      <c r="F180" s="28"/>
      <c r="G180" s="28"/>
      <c r="H180" s="28"/>
    </row>
    <row r="181" spans="1:8" ht="15.75" customHeight="1">
      <c r="A181" s="26"/>
      <c r="C181" s="27"/>
      <c r="D181" s="28"/>
      <c r="E181" s="28"/>
      <c r="F181" s="28"/>
      <c r="G181" s="28"/>
      <c r="H181" s="28"/>
    </row>
    <row r="182" spans="1:8" ht="15.75" customHeight="1">
      <c r="A182" s="26"/>
      <c r="C182" s="27"/>
      <c r="D182" s="28"/>
      <c r="E182" s="28"/>
      <c r="F182" s="28"/>
      <c r="G182" s="28"/>
      <c r="H182" s="28"/>
    </row>
    <row r="183" spans="1:8" ht="15.75" customHeight="1">
      <c r="A183" s="26"/>
      <c r="C183" s="27"/>
      <c r="D183" s="28"/>
      <c r="E183" s="28"/>
      <c r="F183" s="28"/>
      <c r="G183" s="28"/>
      <c r="H183" s="28"/>
    </row>
    <row r="184" spans="1:8" ht="15.75" customHeight="1">
      <c r="A184" s="26"/>
      <c r="C184" s="27"/>
      <c r="D184" s="28"/>
      <c r="E184" s="28"/>
      <c r="F184" s="28"/>
      <c r="G184" s="28"/>
      <c r="H184" s="28"/>
    </row>
    <row r="185" spans="1:8" ht="15.75" customHeight="1">
      <c r="A185" s="26"/>
      <c r="C185" s="27"/>
      <c r="D185" s="28"/>
      <c r="E185" s="28"/>
      <c r="F185" s="28"/>
      <c r="G185" s="28"/>
      <c r="H185" s="28"/>
    </row>
    <row r="186" spans="1:8" ht="15.75" customHeight="1">
      <c r="A186" s="26"/>
      <c r="C186" s="27"/>
      <c r="D186" s="28"/>
      <c r="E186" s="28"/>
      <c r="F186" s="28"/>
      <c r="G186" s="28"/>
      <c r="H186" s="28"/>
    </row>
    <row r="187" spans="1:8" ht="15.75" customHeight="1">
      <c r="A187" s="26"/>
      <c r="C187" s="27"/>
      <c r="D187" s="28"/>
      <c r="E187" s="28"/>
      <c r="F187" s="28"/>
      <c r="G187" s="28"/>
      <c r="H187" s="28"/>
    </row>
    <row r="188" spans="1:8" ht="15.75" customHeight="1">
      <c r="A188" s="26"/>
      <c r="C188" s="27"/>
      <c r="D188" s="28"/>
      <c r="E188" s="28"/>
      <c r="F188" s="28"/>
      <c r="G188" s="28"/>
      <c r="H188" s="28"/>
    </row>
    <row r="189" spans="1:8" ht="15.75" customHeight="1">
      <c r="A189" s="26"/>
      <c r="C189" s="27"/>
      <c r="D189" s="28"/>
      <c r="E189" s="28"/>
      <c r="F189" s="28"/>
      <c r="G189" s="28"/>
      <c r="H189" s="28"/>
    </row>
    <row r="190" spans="1:8" ht="15.75" customHeight="1">
      <c r="A190" s="26"/>
      <c r="C190" s="27"/>
      <c r="D190" s="28"/>
      <c r="E190" s="28"/>
      <c r="F190" s="28"/>
      <c r="G190" s="28"/>
      <c r="H190" s="28"/>
    </row>
    <row r="191" spans="1:8" ht="15.75" customHeight="1">
      <c r="A191" s="26"/>
      <c r="C191" s="27"/>
      <c r="D191" s="28"/>
      <c r="E191" s="28"/>
      <c r="F191" s="28"/>
      <c r="G191" s="28"/>
      <c r="H191" s="28"/>
    </row>
    <row r="192" spans="1:8" ht="15.75" customHeight="1">
      <c r="A192" s="26"/>
      <c r="C192" s="27"/>
      <c r="D192" s="28"/>
      <c r="E192" s="28"/>
      <c r="F192" s="28"/>
      <c r="G192" s="28"/>
      <c r="H192" s="28"/>
    </row>
    <row r="193" spans="1:8" ht="15.75" customHeight="1">
      <c r="A193" s="26"/>
      <c r="C193" s="27"/>
      <c r="D193" s="28"/>
      <c r="E193" s="28"/>
      <c r="F193" s="28"/>
      <c r="G193" s="28"/>
      <c r="H193" s="28"/>
    </row>
    <row r="194" spans="1:8" ht="15.75" customHeight="1">
      <c r="A194" s="26"/>
      <c r="C194" s="27"/>
      <c r="D194" s="28"/>
      <c r="E194" s="28"/>
      <c r="F194" s="28"/>
      <c r="G194" s="28"/>
      <c r="H194" s="28"/>
    </row>
    <row r="195" spans="1:8" ht="15.75" customHeight="1">
      <c r="A195" s="26"/>
      <c r="C195" s="27"/>
      <c r="D195" s="28"/>
      <c r="E195" s="28"/>
      <c r="F195" s="28"/>
      <c r="G195" s="28"/>
      <c r="H195" s="28"/>
    </row>
    <row r="196" spans="1:8" ht="15.75" customHeight="1">
      <c r="A196" s="26"/>
      <c r="C196" s="27"/>
      <c r="D196" s="28"/>
      <c r="E196" s="28"/>
      <c r="F196" s="28"/>
      <c r="G196" s="28"/>
      <c r="H196" s="28"/>
    </row>
    <row r="197" spans="1:8" ht="15.75" customHeight="1">
      <c r="A197" s="26"/>
      <c r="C197" s="27"/>
      <c r="D197" s="28"/>
      <c r="E197" s="28"/>
      <c r="F197" s="28"/>
      <c r="G197" s="28"/>
      <c r="H197" s="28"/>
    </row>
    <row r="198" spans="1:8" ht="15.75" customHeight="1">
      <c r="A198" s="26"/>
      <c r="C198" s="27"/>
      <c r="D198" s="28"/>
      <c r="E198" s="28"/>
      <c r="F198" s="28"/>
      <c r="G198" s="28"/>
      <c r="H198" s="28"/>
    </row>
    <row r="199" spans="1:8" ht="15.75" customHeight="1">
      <c r="A199" s="26"/>
      <c r="C199" s="27"/>
      <c r="D199" s="28"/>
      <c r="E199" s="28"/>
      <c r="F199" s="28"/>
      <c r="G199" s="28"/>
      <c r="H199" s="28"/>
    </row>
    <row r="200" spans="1:8" ht="15.75" customHeight="1">
      <c r="A200" s="26"/>
      <c r="C200" s="27"/>
      <c r="D200" s="28"/>
      <c r="E200" s="28"/>
      <c r="F200" s="28"/>
      <c r="G200" s="28"/>
      <c r="H200" s="28"/>
    </row>
    <row r="201" spans="1:8" ht="15.75" customHeight="1">
      <c r="A201" s="26"/>
      <c r="C201" s="27"/>
      <c r="D201" s="28"/>
      <c r="E201" s="28"/>
      <c r="F201" s="28"/>
      <c r="G201" s="28"/>
      <c r="H201" s="28"/>
    </row>
    <row r="202" spans="1:8" ht="15.75" customHeight="1">
      <c r="A202" s="26"/>
      <c r="C202" s="27"/>
      <c r="D202" s="28"/>
      <c r="E202" s="28"/>
      <c r="F202" s="28"/>
      <c r="G202" s="28"/>
      <c r="H202" s="28"/>
    </row>
    <row r="203" spans="1:8" ht="15.75" customHeight="1">
      <c r="A203" s="26"/>
      <c r="C203" s="27"/>
      <c r="D203" s="28"/>
      <c r="E203" s="28"/>
      <c r="F203" s="28"/>
      <c r="G203" s="28"/>
      <c r="H203" s="28"/>
    </row>
    <row r="204" spans="1:8" ht="15.75" customHeight="1">
      <c r="A204" s="26"/>
      <c r="C204" s="27"/>
      <c r="D204" s="28"/>
      <c r="E204" s="28"/>
      <c r="F204" s="28"/>
      <c r="G204" s="28"/>
      <c r="H204" s="28"/>
    </row>
    <row r="205" spans="1:8" ht="15.75" customHeight="1">
      <c r="A205" s="26"/>
      <c r="C205" s="27"/>
      <c r="D205" s="28"/>
      <c r="E205" s="28"/>
      <c r="F205" s="28"/>
      <c r="G205" s="28"/>
      <c r="H205" s="28"/>
    </row>
    <row r="206" spans="1:8" ht="15.75" customHeight="1">
      <c r="A206" s="26"/>
      <c r="C206" s="27"/>
      <c r="D206" s="28"/>
      <c r="E206" s="28"/>
      <c r="F206" s="28"/>
      <c r="G206" s="28"/>
      <c r="H206" s="28"/>
    </row>
    <row r="207" spans="1:8" ht="15.75" customHeight="1">
      <c r="A207" s="26"/>
      <c r="C207" s="27"/>
      <c r="D207" s="28"/>
      <c r="E207" s="28"/>
      <c r="F207" s="28"/>
      <c r="G207" s="28"/>
      <c r="H207" s="28"/>
    </row>
    <row r="208" spans="1:8" ht="15.75" customHeight="1">
      <c r="A208" s="26"/>
      <c r="C208" s="27"/>
      <c r="D208" s="28"/>
      <c r="E208" s="28"/>
      <c r="F208" s="28"/>
      <c r="G208" s="28"/>
      <c r="H208" s="28"/>
    </row>
    <row r="209" spans="1:8" ht="15.75" customHeight="1">
      <c r="A209" s="26"/>
      <c r="C209" s="27"/>
      <c r="D209" s="28"/>
      <c r="E209" s="28"/>
      <c r="F209" s="28"/>
      <c r="G209" s="28"/>
      <c r="H209" s="28"/>
    </row>
    <row r="210" spans="1:8" ht="15.75" customHeight="1">
      <c r="A210" s="26"/>
      <c r="C210" s="27"/>
      <c r="D210" s="28"/>
      <c r="E210" s="28"/>
      <c r="F210" s="28"/>
      <c r="G210" s="28"/>
      <c r="H210" s="28"/>
    </row>
    <row r="211" spans="1:8" ht="15.75" customHeight="1">
      <c r="A211" s="26"/>
      <c r="C211" s="27"/>
      <c r="D211" s="28"/>
      <c r="E211" s="28"/>
      <c r="F211" s="28"/>
      <c r="G211" s="28"/>
      <c r="H211" s="28"/>
    </row>
    <row r="212" spans="1:8" ht="15.75" customHeight="1">
      <c r="A212" s="26"/>
      <c r="C212" s="27"/>
      <c r="D212" s="28"/>
      <c r="E212" s="28"/>
      <c r="F212" s="28"/>
      <c r="G212" s="28"/>
      <c r="H212" s="28"/>
    </row>
    <row r="213" spans="1:8" ht="15.75" customHeight="1">
      <c r="A213" s="26"/>
      <c r="C213" s="27"/>
      <c r="D213" s="28"/>
      <c r="E213" s="28"/>
      <c r="F213" s="28"/>
      <c r="G213" s="28"/>
      <c r="H213" s="28"/>
    </row>
    <row r="214" spans="1:8" ht="15.75" customHeight="1">
      <c r="A214" s="26"/>
      <c r="C214" s="27"/>
      <c r="D214" s="28"/>
      <c r="E214" s="28"/>
      <c r="F214" s="28"/>
      <c r="G214" s="28"/>
      <c r="H214" s="28"/>
    </row>
    <row r="215" spans="1:8" ht="15.75" customHeight="1">
      <c r="A215" s="26"/>
      <c r="C215" s="27"/>
      <c r="D215" s="28"/>
      <c r="E215" s="28"/>
      <c r="F215" s="28"/>
      <c r="G215" s="28"/>
      <c r="H215" s="28"/>
    </row>
    <row r="216" spans="1:8" ht="15.75" customHeight="1">
      <c r="A216" s="26"/>
      <c r="C216" s="27"/>
      <c r="D216" s="28"/>
      <c r="E216" s="28"/>
      <c r="F216" s="28"/>
      <c r="G216" s="28"/>
      <c r="H216" s="28"/>
    </row>
    <row r="217" spans="1:8" ht="15.75" customHeight="1">
      <c r="A217" s="26"/>
      <c r="C217" s="27"/>
      <c r="D217" s="28"/>
      <c r="E217" s="28"/>
      <c r="F217" s="28"/>
      <c r="G217" s="28"/>
      <c r="H217" s="28"/>
    </row>
    <row r="218" spans="1:8" ht="15.75" customHeight="1">
      <c r="A218" s="26"/>
      <c r="C218" s="27"/>
      <c r="D218" s="28"/>
      <c r="E218" s="28"/>
      <c r="F218" s="28"/>
      <c r="G218" s="28"/>
      <c r="H218" s="28"/>
    </row>
    <row r="219" spans="1:8" ht="15.75" customHeight="1">
      <c r="A219" s="26"/>
      <c r="C219" s="27"/>
      <c r="D219" s="28"/>
      <c r="E219" s="28"/>
      <c r="F219" s="28"/>
      <c r="G219" s="28"/>
      <c r="H219" s="28"/>
    </row>
    <row r="220" spans="1:8" ht="15.75" customHeight="1">
      <c r="A220" s="26"/>
      <c r="C220" s="27"/>
      <c r="D220" s="28"/>
      <c r="E220" s="28"/>
      <c r="F220" s="28"/>
      <c r="G220" s="28"/>
      <c r="H220" s="28"/>
    </row>
    <row r="221" spans="1:8" ht="15.75" customHeight="1">
      <c r="A221" s="26"/>
      <c r="C221" s="27"/>
      <c r="D221" s="28"/>
      <c r="E221" s="28"/>
      <c r="F221" s="28"/>
      <c r="G221" s="28"/>
      <c r="H221" s="28"/>
    </row>
    <row r="222" spans="1:8" ht="15.75" customHeight="1">
      <c r="A222" s="26"/>
      <c r="C222" s="27"/>
      <c r="D222" s="28"/>
      <c r="E222" s="28"/>
      <c r="F222" s="28"/>
      <c r="G222" s="28"/>
      <c r="H222" s="28"/>
    </row>
    <row r="223" spans="1:8" ht="15.75" customHeight="1">
      <c r="A223" s="26"/>
      <c r="C223" s="27"/>
      <c r="D223" s="28"/>
      <c r="E223" s="28"/>
      <c r="F223" s="28"/>
      <c r="G223" s="28"/>
      <c r="H223" s="28"/>
    </row>
    <row r="224" spans="1:8" ht="15.75" customHeight="1">
      <c r="A224" s="26"/>
      <c r="C224" s="27"/>
      <c r="D224" s="28"/>
      <c r="E224" s="28"/>
      <c r="F224" s="28"/>
      <c r="G224" s="28"/>
      <c r="H224" s="28"/>
    </row>
    <row r="225" spans="1:8" ht="15.75" customHeight="1">
      <c r="A225" s="26"/>
      <c r="C225" s="27"/>
      <c r="D225" s="28"/>
      <c r="E225" s="28"/>
      <c r="F225" s="28"/>
      <c r="G225" s="28"/>
      <c r="H225" s="28"/>
    </row>
    <row r="226" spans="1:8" ht="15.75" customHeight="1">
      <c r="A226" s="26"/>
      <c r="C226" s="27"/>
      <c r="D226" s="28"/>
      <c r="E226" s="28"/>
      <c r="F226" s="28"/>
      <c r="G226" s="28"/>
      <c r="H226" s="28"/>
    </row>
    <row r="227" spans="1:8" ht="15.75" customHeight="1"/>
    <row r="228" spans="1:8" ht="15.75" customHeight="1"/>
    <row r="229" spans="1:8" ht="15.75" customHeight="1"/>
    <row r="230" spans="1:8" ht="15.75" customHeight="1"/>
    <row r="231" spans="1:8" ht="15.75" customHeight="1"/>
    <row r="232" spans="1:8" ht="15.75" customHeight="1"/>
    <row r="233" spans="1:8" ht="15.75" customHeight="1"/>
    <row r="234" spans="1:8" ht="15.75" customHeight="1"/>
    <row r="235" spans="1:8" ht="15.75" customHeight="1"/>
    <row r="236" spans="1:8" ht="15.75" customHeight="1"/>
    <row r="237" spans="1:8" ht="15.75" customHeight="1"/>
    <row r="238" spans="1:8" ht="15.75" customHeight="1"/>
    <row r="239" spans="1:8" ht="15.75" customHeight="1"/>
    <row r="240" spans="1: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1:E2"/>
  </mergeCell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'Data Validation'!$C$3:$C$14</xm:f>
          </x14:formula1>
          <xm:sqref>C3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H1000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2.5703125" defaultRowHeight="15" customHeight="1"/>
  <cols>
    <col min="1" max="1" width="5.7109375" customWidth="1"/>
    <col min="2" max="2" width="43.85546875" customWidth="1"/>
    <col min="3" max="3" width="37.5703125" customWidth="1"/>
    <col min="4" max="4" width="32.7109375" customWidth="1"/>
    <col min="5" max="5" width="23" customWidth="1"/>
    <col min="6" max="6" width="32.7109375" customWidth="1"/>
    <col min="7" max="8" width="17.28515625" hidden="1" customWidth="1"/>
  </cols>
  <sheetData>
    <row r="1" spans="1:8" ht="39.75" customHeight="1">
      <c r="A1" s="4"/>
      <c r="B1" s="4"/>
      <c r="C1" s="98" t="s">
        <v>69</v>
      </c>
      <c r="D1" s="99"/>
      <c r="E1" s="100"/>
      <c r="F1" s="60"/>
      <c r="G1" s="60"/>
      <c r="H1" s="60"/>
    </row>
    <row r="2" spans="1:8" ht="39.75" customHeight="1">
      <c r="A2" s="4"/>
      <c r="B2" s="4"/>
      <c r="C2" s="101"/>
      <c r="D2" s="102"/>
      <c r="E2" s="103"/>
      <c r="F2" s="60"/>
      <c r="G2" s="60"/>
      <c r="H2" s="60"/>
    </row>
    <row r="3" spans="1:8" ht="33" customHeight="1">
      <c r="A3" s="5"/>
      <c r="B3" s="61" t="e">
        <f>F3/D3</f>
        <v>#DIV/0!</v>
      </c>
      <c r="C3" s="62"/>
      <c r="D3" s="63">
        <f>SUM(D5:D49291)</f>
        <v>0</v>
      </c>
      <c r="E3" s="64"/>
      <c r="F3" s="64">
        <f>SUM($C$5:$C49291)</f>
        <v>0</v>
      </c>
      <c r="G3" s="65">
        <v>44927</v>
      </c>
      <c r="H3" s="65">
        <v>45429</v>
      </c>
    </row>
    <row r="4" spans="1:8" ht="25.5" customHeight="1">
      <c r="A4" s="7" t="s">
        <v>55</v>
      </c>
      <c r="B4" s="8" t="s">
        <v>1</v>
      </c>
      <c r="C4" s="9" t="s">
        <v>56</v>
      </c>
      <c r="D4" s="9" t="s">
        <v>65</v>
      </c>
      <c r="E4" s="9" t="s">
        <v>66</v>
      </c>
      <c r="F4" s="9" t="s">
        <v>67</v>
      </c>
      <c r="G4" s="66"/>
      <c r="H4" s="66"/>
    </row>
    <row r="5" spans="1:8" ht="34.5" customHeight="1">
      <c r="A5" s="10">
        <v>1</v>
      </c>
      <c r="B5" s="67" t="s">
        <v>60</v>
      </c>
      <c r="C5" s="12">
        <f>SUMIFS('From Woocommerce'!D:D, 'From Woocommerce'!E:E, "Tecumseh Minor Baseball", 'From Woocommerce'!C:C, "Created")</f>
        <v>0</v>
      </c>
      <c r="D5" s="13">
        <f>COUNTIFS('From Woocommerce'!E:E, "Tecumseh Minor Baseball", 'From Woocommerce'!C:C, "Created")</f>
        <v>0</v>
      </c>
      <c r="E5" s="68" t="e">
        <f>AVERAGEIFS('From Woocommerce'!D:D,  'From Woocommerce'!E:E, "Tecumseh Minor Baseball", 'From Woocommerce'!C:C, "Created")</f>
        <v>#DIV/0!</v>
      </c>
      <c r="F5" s="69">
        <f t="shared" ref="F5:F8" si="0">IFERROR(IF(B5="","",C5/SUM($C$5:$C49291)),0)</f>
        <v>0</v>
      </c>
      <c r="G5" s="70"/>
      <c r="H5" s="70"/>
    </row>
    <row r="6" spans="1:8" ht="34.5" customHeight="1">
      <c r="A6" s="16">
        <v>2</v>
      </c>
      <c r="B6" s="71" t="s">
        <v>59</v>
      </c>
      <c r="C6" s="18">
        <f>SUMIFS('From Woocommerce'!D:D, 'From Woocommerce'!E:E, "Kingsville Soccer Association", 'From Woocommerce'!C:C, "Created")</f>
        <v>0</v>
      </c>
      <c r="D6" s="19">
        <f>COUNTIFS('From Woocommerce'!E:E, "Kingsville Soccer Association", 'From Woocommerce'!C:C, "Created")</f>
        <v>0</v>
      </c>
      <c r="E6" s="68" t="e">
        <f>AVERAGEIFS('From Woocommerce'!D:D, 'From Woocommerce'!C:C, "Created", 'From Woocommerce'!E:E, "Kingsville Soccer Association")</f>
        <v>#DIV/0!</v>
      </c>
      <c r="F6" s="69">
        <f t="shared" si="0"/>
        <v>0</v>
      </c>
      <c r="G6" s="70"/>
      <c r="H6" s="70"/>
    </row>
    <row r="7" spans="1:8" ht="34.5" customHeight="1">
      <c r="A7" s="10">
        <v>3</v>
      </c>
      <c r="B7" s="67" t="s">
        <v>62</v>
      </c>
      <c r="C7" s="72">
        <f>SUMIFS('From Woocommerce'!D:D, 'From Woocommerce'!E:E, "Erie North Shore Hockey", 'From Woocommerce'!C:C, "Created")</f>
        <v>0</v>
      </c>
      <c r="D7" s="13">
        <f>COUNTIFS('From Woocommerce'!E:E, "Erie North Shore Hockey", 'From Woocommerce'!C:C, "Created")</f>
        <v>0</v>
      </c>
      <c r="E7" s="68" t="e">
        <f>AVERAGEIFS('From Woocommerce'!D:D, 'From Woocommerce'!C:C, "Created", 'From Woocommerce'!E:E, "Erie North Shore Hockey")</f>
        <v>#DIV/0!</v>
      </c>
      <c r="F7" s="69">
        <f t="shared" si="0"/>
        <v>0</v>
      </c>
      <c r="G7" s="70"/>
      <c r="H7" s="70"/>
    </row>
    <row r="8" spans="1:8" ht="34.5" customHeight="1">
      <c r="A8" s="73">
        <v>4</v>
      </c>
      <c r="B8" s="71" t="s">
        <v>61</v>
      </c>
      <c r="C8" s="18">
        <f>SUMIFS('From Woocommerce'!D:D, 'From Woocommerce'!E:E, "Riverside Minor Baseball Association", 'From Woocommerce'!C:C, "Created")</f>
        <v>0</v>
      </c>
      <c r="D8" s="19">
        <f>COUNTIFS('From Woocommerce'!E:E, "Riverside Minor Baseball Association", 'From Woocommerce'!C:C, "Created")</f>
        <v>0</v>
      </c>
      <c r="E8" s="68" t="e">
        <f>AVERAGEIFS('From Woocommerce'!D:D, 'From Woocommerce'!C:C, "Created", 'From Woocommerce'!E:E, "Riverside Minor Baseball Association")</f>
        <v>#DIV/0!</v>
      </c>
      <c r="F8" s="69">
        <f t="shared" si="0"/>
        <v>0</v>
      </c>
      <c r="G8" s="70"/>
      <c r="H8" s="70"/>
    </row>
    <row r="9" spans="1:8" ht="34.5" customHeight="1">
      <c r="A9" s="20"/>
      <c r="B9" s="21"/>
      <c r="C9" s="12"/>
      <c r="D9" s="22"/>
      <c r="E9" s="68"/>
      <c r="F9" s="69"/>
      <c r="G9" s="70"/>
      <c r="H9" s="70"/>
    </row>
    <row r="10" spans="1:8" ht="34.5" customHeight="1">
      <c r="A10" s="16"/>
      <c r="B10" s="17"/>
      <c r="C10" s="23"/>
      <c r="D10" s="19"/>
      <c r="E10" s="74"/>
      <c r="F10" s="75"/>
      <c r="G10" s="70"/>
      <c r="H10" s="70"/>
    </row>
    <row r="11" spans="1:8" ht="34.5" customHeight="1">
      <c r="A11" s="10"/>
      <c r="B11" s="11"/>
      <c r="C11" s="12"/>
      <c r="D11" s="22"/>
      <c r="E11" s="68"/>
      <c r="F11" s="69"/>
      <c r="G11" s="70"/>
      <c r="H11" s="70"/>
    </row>
    <row r="12" spans="1:8" ht="34.5" customHeight="1">
      <c r="A12" s="16"/>
      <c r="B12" s="17"/>
      <c r="C12" s="23"/>
      <c r="D12" s="19"/>
      <c r="E12" s="74"/>
      <c r="F12" s="75"/>
      <c r="G12" s="70"/>
      <c r="H12" s="70"/>
    </row>
    <row r="13" spans="1:8" ht="34.5" customHeight="1">
      <c r="A13" s="10"/>
      <c r="B13" s="11"/>
      <c r="C13" s="12"/>
      <c r="D13" s="22"/>
      <c r="E13" s="68"/>
      <c r="F13" s="69"/>
      <c r="G13" s="70"/>
      <c r="H13" s="70"/>
    </row>
    <row r="14" spans="1:8" ht="34.5" customHeight="1">
      <c r="A14" s="16"/>
      <c r="B14" s="17"/>
      <c r="C14" s="23"/>
      <c r="D14" s="19"/>
      <c r="E14" s="74"/>
      <c r="F14" s="75"/>
      <c r="G14" s="70"/>
      <c r="H14" s="70"/>
    </row>
    <row r="15" spans="1:8" ht="34.5" customHeight="1">
      <c r="A15" s="10"/>
      <c r="B15" s="11"/>
      <c r="C15" s="12"/>
      <c r="D15" s="22"/>
      <c r="E15" s="68"/>
      <c r="F15" s="69"/>
      <c r="G15" s="70"/>
      <c r="H15" s="70"/>
    </row>
    <row r="16" spans="1:8" ht="34.5" customHeight="1">
      <c r="A16" s="16"/>
      <c r="B16" s="17"/>
      <c r="C16" s="23"/>
      <c r="D16" s="19"/>
      <c r="E16" s="74"/>
      <c r="F16" s="75"/>
      <c r="G16" s="70"/>
      <c r="H16" s="70"/>
    </row>
    <row r="17" spans="1:8" ht="34.5" customHeight="1">
      <c r="A17" s="10"/>
      <c r="B17" s="11"/>
      <c r="C17" s="12"/>
      <c r="D17" s="22"/>
      <c r="E17" s="68"/>
      <c r="F17" s="69"/>
      <c r="G17" s="70"/>
      <c r="H17" s="70"/>
    </row>
    <row r="18" spans="1:8" ht="35.25" customHeight="1">
      <c r="A18" s="16"/>
      <c r="B18" s="17"/>
      <c r="C18" s="23"/>
      <c r="D18" s="19"/>
      <c r="E18" s="74"/>
      <c r="F18" s="75"/>
      <c r="G18" s="70"/>
      <c r="H18" s="70"/>
    </row>
    <row r="19" spans="1:8" ht="34.5" customHeight="1">
      <c r="A19" s="10"/>
      <c r="B19" s="11"/>
      <c r="C19" s="12"/>
      <c r="D19" s="22"/>
      <c r="E19" s="68"/>
      <c r="F19" s="69"/>
      <c r="G19" s="70"/>
      <c r="H19" s="70"/>
    </row>
    <row r="20" spans="1:8" ht="34.5" customHeight="1">
      <c r="A20" s="16"/>
      <c r="B20" s="17"/>
      <c r="C20" s="23"/>
      <c r="D20" s="19"/>
      <c r="E20" s="74"/>
      <c r="F20" s="75"/>
      <c r="G20" s="70"/>
      <c r="H20" s="70"/>
    </row>
    <row r="21" spans="1:8" ht="34.5" customHeight="1">
      <c r="A21" s="10"/>
      <c r="B21" s="11"/>
      <c r="C21" s="12"/>
      <c r="D21" s="22"/>
      <c r="E21" s="68"/>
      <c r="F21" s="69"/>
      <c r="G21" s="70"/>
      <c r="H21" s="70"/>
    </row>
    <row r="22" spans="1:8" ht="34.5" customHeight="1">
      <c r="A22" s="16"/>
      <c r="B22" s="17"/>
      <c r="C22" s="23"/>
      <c r="D22" s="19"/>
      <c r="E22" s="74"/>
      <c r="F22" s="75"/>
      <c r="G22" s="70"/>
      <c r="H22" s="70"/>
    </row>
    <row r="23" spans="1:8" ht="34.5" customHeight="1">
      <c r="A23" s="10"/>
      <c r="B23" s="11"/>
      <c r="C23" s="12"/>
      <c r="D23" s="22"/>
      <c r="E23" s="68"/>
      <c r="F23" s="69"/>
      <c r="G23" s="70"/>
      <c r="H23" s="70"/>
    </row>
    <row r="24" spans="1:8" ht="34.5" customHeight="1">
      <c r="A24" s="16"/>
      <c r="B24" s="17"/>
      <c r="C24" s="23"/>
      <c r="D24" s="19"/>
      <c r="E24" s="74"/>
      <c r="F24" s="75"/>
      <c r="G24" s="70"/>
      <c r="H24" s="70"/>
    </row>
    <row r="25" spans="1:8" ht="34.5" customHeight="1">
      <c r="A25" s="10"/>
      <c r="B25" s="11"/>
      <c r="C25" s="12"/>
      <c r="D25" s="22"/>
      <c r="E25" s="68"/>
      <c r="F25" s="69"/>
      <c r="G25" s="70"/>
      <c r="H25" s="70"/>
    </row>
    <row r="26" spans="1:8" ht="34.5" customHeight="1">
      <c r="A26" s="24"/>
      <c r="B26" s="25"/>
      <c r="C26" s="23"/>
      <c r="D26" s="19"/>
      <c r="E26" s="74"/>
      <c r="F26" s="75"/>
      <c r="G26" s="70"/>
      <c r="H26" s="70"/>
    </row>
    <row r="27" spans="1:8" ht="15.75" customHeight="1">
      <c r="A27" s="76"/>
      <c r="B27" s="77"/>
      <c r="C27" s="78"/>
      <c r="D27" s="79"/>
      <c r="E27" s="79"/>
      <c r="F27" s="79"/>
      <c r="G27" s="28"/>
      <c r="H27" s="28"/>
    </row>
    <row r="28" spans="1:8" ht="15.75" customHeight="1">
      <c r="A28" s="26"/>
      <c r="B28" s="1"/>
      <c r="C28" s="27"/>
      <c r="D28" s="28"/>
      <c r="E28" s="28"/>
      <c r="F28" s="28"/>
      <c r="G28" s="28"/>
      <c r="H28" s="28"/>
    </row>
    <row r="29" spans="1:8" ht="15.75" customHeight="1">
      <c r="A29" s="26"/>
      <c r="C29" s="27"/>
      <c r="D29" s="28"/>
      <c r="E29" s="28"/>
      <c r="F29" s="28"/>
      <c r="G29" s="28"/>
      <c r="H29" s="28"/>
    </row>
    <row r="30" spans="1:8" ht="15.75" customHeight="1">
      <c r="A30" s="26"/>
      <c r="C30" s="27"/>
      <c r="D30" s="28"/>
      <c r="E30" s="28"/>
      <c r="F30" s="28"/>
      <c r="G30" s="28"/>
      <c r="H30" s="28"/>
    </row>
    <row r="31" spans="1:8" ht="15.75" customHeight="1">
      <c r="A31" s="26"/>
      <c r="C31" s="27"/>
      <c r="D31" s="28"/>
      <c r="E31" s="28"/>
      <c r="G31" s="28"/>
      <c r="H31" s="28"/>
    </row>
    <row r="32" spans="1:8" ht="15.75" customHeight="1">
      <c r="A32" s="26"/>
      <c r="C32" s="27"/>
      <c r="D32" s="28"/>
      <c r="E32" s="28"/>
      <c r="G32" s="28"/>
      <c r="H32" s="28"/>
    </row>
    <row r="33" spans="1:8" ht="15.75" customHeight="1">
      <c r="A33" s="26"/>
      <c r="C33" s="27"/>
      <c r="D33" s="28"/>
      <c r="E33" s="28"/>
      <c r="G33" s="28"/>
      <c r="H33" s="28"/>
    </row>
    <row r="34" spans="1:8" ht="15.75" customHeight="1">
      <c r="A34" s="26"/>
      <c r="C34" s="27"/>
      <c r="D34" s="28"/>
      <c r="E34" s="28"/>
      <c r="G34" s="28"/>
      <c r="H34" s="28"/>
    </row>
    <row r="35" spans="1:8" ht="15.75" customHeight="1">
      <c r="A35" s="26"/>
      <c r="C35" s="27"/>
      <c r="D35" s="28"/>
      <c r="E35" s="28"/>
      <c r="G35" s="28"/>
      <c r="H35" s="28"/>
    </row>
    <row r="36" spans="1:8" ht="15.75" customHeight="1">
      <c r="A36" s="26"/>
      <c r="C36" s="27"/>
      <c r="D36" s="28"/>
      <c r="E36" s="28"/>
      <c r="G36" s="28"/>
      <c r="H36" s="28"/>
    </row>
    <row r="37" spans="1:8" ht="15.75" customHeight="1">
      <c r="A37" s="26"/>
      <c r="C37" s="27"/>
      <c r="D37" s="28"/>
      <c r="E37" s="28"/>
      <c r="G37" s="28"/>
      <c r="H37" s="28"/>
    </row>
    <row r="38" spans="1:8" ht="15.75" customHeight="1">
      <c r="A38" s="26"/>
      <c r="C38" s="27"/>
      <c r="D38" s="28"/>
    </row>
    <row r="39" spans="1:8" ht="15.75" customHeight="1">
      <c r="A39" s="26"/>
      <c r="C39" s="27"/>
      <c r="D39" s="28"/>
    </row>
    <row r="40" spans="1:8" ht="15.75" customHeight="1">
      <c r="A40" s="26"/>
      <c r="C40" s="27"/>
      <c r="D40" s="28"/>
    </row>
    <row r="41" spans="1:8" ht="15.75" customHeight="1">
      <c r="A41" s="26"/>
      <c r="C41" s="27"/>
      <c r="D41" s="28"/>
    </row>
    <row r="42" spans="1:8" ht="15.75" customHeight="1">
      <c r="A42" s="26"/>
      <c r="C42" s="27"/>
      <c r="D42" s="28"/>
    </row>
    <row r="43" spans="1:8" ht="15.75" customHeight="1">
      <c r="A43" s="26"/>
      <c r="C43" s="27"/>
      <c r="D43" s="28"/>
    </row>
    <row r="44" spans="1:8" ht="15.75" customHeight="1">
      <c r="A44" s="26"/>
      <c r="C44" s="27"/>
      <c r="D44" s="28"/>
    </row>
    <row r="45" spans="1:8" ht="15.75" customHeight="1">
      <c r="A45" s="26"/>
      <c r="C45" s="27"/>
      <c r="D45" s="28"/>
    </row>
    <row r="46" spans="1:8" ht="15.75" customHeight="1">
      <c r="A46" s="26"/>
      <c r="C46" s="27"/>
      <c r="D46" s="28"/>
    </row>
    <row r="47" spans="1:8" ht="15.75" customHeight="1">
      <c r="A47" s="26"/>
      <c r="C47" s="27"/>
      <c r="D47" s="28"/>
    </row>
    <row r="48" spans="1:8" ht="15.75" customHeight="1">
      <c r="A48" s="26"/>
      <c r="C48" s="27"/>
      <c r="D48" s="28"/>
    </row>
    <row r="49" spans="1:8" ht="15.75" customHeight="1">
      <c r="A49" s="26"/>
      <c r="C49" s="27"/>
      <c r="D49" s="28"/>
      <c r="E49" s="28"/>
      <c r="F49" s="28"/>
      <c r="G49" s="28"/>
      <c r="H49" s="28"/>
    </row>
    <row r="50" spans="1:8" ht="15.75" customHeight="1">
      <c r="A50" s="26"/>
      <c r="C50" s="27"/>
      <c r="D50" s="28"/>
      <c r="E50" s="28"/>
      <c r="F50" s="28"/>
      <c r="G50" s="28"/>
      <c r="H50" s="28"/>
    </row>
    <row r="51" spans="1:8" ht="15.75" customHeight="1">
      <c r="A51" s="26"/>
      <c r="C51" s="27"/>
      <c r="D51" s="28"/>
      <c r="E51" s="28"/>
      <c r="F51" s="28"/>
      <c r="G51" s="28"/>
      <c r="H51" s="28"/>
    </row>
    <row r="52" spans="1:8" ht="15.75" customHeight="1">
      <c r="A52" s="26"/>
      <c r="C52" s="27"/>
      <c r="D52" s="28"/>
      <c r="E52" s="28"/>
      <c r="F52" s="28"/>
      <c r="G52" s="28"/>
      <c r="H52" s="28"/>
    </row>
    <row r="53" spans="1:8" ht="15.75" customHeight="1">
      <c r="A53" s="26"/>
      <c r="C53" s="27"/>
      <c r="D53" s="28"/>
      <c r="E53" s="28"/>
      <c r="F53" s="28"/>
      <c r="G53" s="28"/>
      <c r="H53" s="28"/>
    </row>
    <row r="54" spans="1:8" ht="15.75" customHeight="1">
      <c r="A54" s="26"/>
      <c r="C54" s="27"/>
      <c r="D54" s="28"/>
      <c r="E54" s="28"/>
      <c r="F54" s="28"/>
      <c r="G54" s="28"/>
      <c r="H54" s="28"/>
    </row>
    <row r="55" spans="1:8" ht="15.75" customHeight="1">
      <c r="A55" s="26"/>
      <c r="C55" s="27"/>
      <c r="D55" s="28"/>
      <c r="E55" s="28"/>
      <c r="F55" s="28"/>
      <c r="G55" s="28"/>
      <c r="H55" s="28"/>
    </row>
    <row r="56" spans="1:8" ht="15.75" customHeight="1">
      <c r="A56" s="26"/>
      <c r="C56" s="27"/>
      <c r="D56" s="28"/>
      <c r="E56" s="28"/>
      <c r="F56" s="28"/>
      <c r="G56" s="28"/>
      <c r="H56" s="28"/>
    </row>
    <row r="57" spans="1:8" ht="15.75" customHeight="1">
      <c r="A57" s="26"/>
      <c r="C57" s="27"/>
      <c r="D57" s="28"/>
      <c r="E57" s="28"/>
      <c r="F57" s="28"/>
      <c r="G57" s="28"/>
      <c r="H57" s="28"/>
    </row>
    <row r="58" spans="1:8" ht="15.75" customHeight="1">
      <c r="A58" s="26"/>
      <c r="C58" s="27"/>
      <c r="D58" s="28"/>
      <c r="E58" s="28"/>
      <c r="F58" s="28"/>
      <c r="G58" s="28"/>
      <c r="H58" s="28"/>
    </row>
    <row r="59" spans="1:8" ht="15.75" customHeight="1">
      <c r="A59" s="26"/>
      <c r="C59" s="27"/>
      <c r="D59" s="28"/>
      <c r="E59" s="28"/>
      <c r="F59" s="28"/>
      <c r="G59" s="28"/>
      <c r="H59" s="28"/>
    </row>
    <row r="60" spans="1:8" ht="15.75" customHeight="1">
      <c r="A60" s="26"/>
      <c r="C60" s="27"/>
      <c r="D60" s="28"/>
      <c r="E60" s="28"/>
      <c r="F60" s="28"/>
      <c r="G60" s="28"/>
      <c r="H60" s="28"/>
    </row>
    <row r="61" spans="1:8" ht="15.75" customHeight="1">
      <c r="A61" s="26"/>
      <c r="C61" s="27"/>
      <c r="D61" s="28"/>
      <c r="E61" s="28"/>
      <c r="F61" s="28"/>
      <c r="G61" s="28"/>
      <c r="H61" s="28"/>
    </row>
    <row r="62" spans="1:8" ht="15.75" customHeight="1">
      <c r="A62" s="26"/>
      <c r="C62" s="27"/>
      <c r="D62" s="28"/>
      <c r="E62" s="28"/>
      <c r="F62" s="28"/>
      <c r="G62" s="28"/>
      <c r="H62" s="28"/>
    </row>
    <row r="63" spans="1:8" ht="15.75" customHeight="1">
      <c r="A63" s="26"/>
      <c r="C63" s="27"/>
      <c r="D63" s="28"/>
      <c r="E63" s="28"/>
      <c r="F63" s="28"/>
      <c r="G63" s="28"/>
      <c r="H63" s="28"/>
    </row>
    <row r="64" spans="1:8" ht="15.75" customHeight="1">
      <c r="A64" s="26"/>
      <c r="C64" s="27"/>
      <c r="D64" s="28"/>
      <c r="E64" s="28"/>
      <c r="F64" s="28"/>
      <c r="G64" s="28"/>
      <c r="H64" s="28"/>
    </row>
    <row r="65" spans="1:8" ht="15.75" customHeight="1">
      <c r="A65" s="26"/>
      <c r="C65" s="27"/>
      <c r="D65" s="28"/>
      <c r="E65" s="28"/>
      <c r="F65" s="28"/>
      <c r="G65" s="28"/>
      <c r="H65" s="28"/>
    </row>
    <row r="66" spans="1:8" ht="15.75" customHeight="1">
      <c r="A66" s="26"/>
      <c r="C66" s="27"/>
      <c r="D66" s="28"/>
      <c r="E66" s="28"/>
      <c r="F66" s="28"/>
      <c r="G66" s="28"/>
      <c r="H66" s="28"/>
    </row>
    <row r="67" spans="1:8" ht="15.75" customHeight="1">
      <c r="A67" s="26"/>
      <c r="C67" s="27"/>
      <c r="D67" s="28"/>
      <c r="E67" s="28"/>
      <c r="F67" s="28"/>
      <c r="G67" s="28"/>
      <c r="H67" s="28"/>
    </row>
    <row r="68" spans="1:8" ht="15.75" customHeight="1">
      <c r="A68" s="26"/>
      <c r="C68" s="27"/>
      <c r="D68" s="28"/>
      <c r="E68" s="28"/>
      <c r="F68" s="28"/>
      <c r="G68" s="28"/>
      <c r="H68" s="28"/>
    </row>
    <row r="69" spans="1:8" ht="15.75" customHeight="1">
      <c r="A69" s="26"/>
      <c r="C69" s="27"/>
      <c r="D69" s="28"/>
      <c r="E69" s="28"/>
      <c r="F69" s="28"/>
      <c r="G69" s="28"/>
      <c r="H69" s="28"/>
    </row>
    <row r="70" spans="1:8" ht="15.75" customHeight="1">
      <c r="A70" s="26"/>
      <c r="C70" s="27"/>
      <c r="D70" s="28"/>
      <c r="E70" s="28"/>
      <c r="F70" s="28"/>
      <c r="G70" s="28"/>
      <c r="H70" s="28"/>
    </row>
    <row r="71" spans="1:8" ht="15.75" customHeight="1">
      <c r="A71" s="26"/>
      <c r="C71" s="27"/>
      <c r="D71" s="28"/>
      <c r="E71" s="28"/>
      <c r="F71" s="28"/>
      <c r="G71" s="28"/>
      <c r="H71" s="28"/>
    </row>
    <row r="72" spans="1:8" ht="15.75" customHeight="1">
      <c r="A72" s="26"/>
      <c r="C72" s="27"/>
      <c r="D72" s="28"/>
      <c r="E72" s="28"/>
      <c r="F72" s="28"/>
      <c r="G72" s="28"/>
      <c r="H72" s="28"/>
    </row>
    <row r="73" spans="1:8" ht="15.75" customHeight="1">
      <c r="A73" s="26"/>
      <c r="C73" s="27"/>
      <c r="D73" s="28"/>
      <c r="E73" s="28"/>
      <c r="F73" s="28"/>
      <c r="G73" s="28"/>
      <c r="H73" s="28"/>
    </row>
    <row r="74" spans="1:8" ht="15.75" customHeight="1">
      <c r="A74" s="26"/>
      <c r="C74" s="27"/>
      <c r="D74" s="28"/>
      <c r="E74" s="28"/>
      <c r="F74" s="28"/>
      <c r="G74" s="28"/>
      <c r="H74" s="28"/>
    </row>
    <row r="75" spans="1:8" ht="15.75" customHeight="1">
      <c r="A75" s="26"/>
      <c r="C75" s="27"/>
      <c r="D75" s="28"/>
      <c r="E75" s="28"/>
      <c r="F75" s="28"/>
      <c r="G75" s="28"/>
      <c r="H75" s="28"/>
    </row>
    <row r="76" spans="1:8" ht="15.75" customHeight="1">
      <c r="A76" s="26"/>
      <c r="C76" s="27"/>
      <c r="D76" s="28"/>
      <c r="E76" s="28"/>
      <c r="F76" s="28"/>
      <c r="G76" s="28"/>
      <c r="H76" s="28"/>
    </row>
    <row r="77" spans="1:8" ht="15.75" customHeight="1">
      <c r="A77" s="26"/>
      <c r="C77" s="27"/>
      <c r="D77" s="28"/>
      <c r="E77" s="28"/>
      <c r="F77" s="28"/>
      <c r="G77" s="28"/>
      <c r="H77" s="28"/>
    </row>
    <row r="78" spans="1:8" ht="15.75" customHeight="1">
      <c r="A78" s="26"/>
      <c r="C78" s="27"/>
      <c r="D78" s="28"/>
      <c r="E78" s="28"/>
      <c r="F78" s="28"/>
      <c r="G78" s="28"/>
      <c r="H78" s="28"/>
    </row>
    <row r="79" spans="1:8" ht="15.75" customHeight="1">
      <c r="A79" s="26"/>
      <c r="C79" s="27"/>
      <c r="D79" s="28"/>
      <c r="E79" s="28"/>
      <c r="F79" s="28"/>
      <c r="G79" s="28"/>
      <c r="H79" s="28"/>
    </row>
    <row r="80" spans="1:8" ht="15.75" customHeight="1">
      <c r="A80" s="26"/>
      <c r="C80" s="27"/>
      <c r="D80" s="28"/>
      <c r="E80" s="28"/>
      <c r="F80" s="28"/>
      <c r="G80" s="28"/>
      <c r="H80" s="28"/>
    </row>
    <row r="81" spans="1:8" ht="15.75" customHeight="1">
      <c r="A81" s="26"/>
      <c r="C81" s="27"/>
      <c r="D81" s="28"/>
      <c r="E81" s="28"/>
      <c r="F81" s="28"/>
      <c r="G81" s="28"/>
      <c r="H81" s="28"/>
    </row>
    <row r="82" spans="1:8" ht="15.75" customHeight="1">
      <c r="A82" s="26"/>
      <c r="C82" s="27"/>
      <c r="D82" s="28"/>
      <c r="E82" s="28"/>
      <c r="F82" s="28"/>
      <c r="G82" s="28"/>
      <c r="H82" s="28"/>
    </row>
    <row r="83" spans="1:8" ht="15.75" customHeight="1">
      <c r="A83" s="26"/>
      <c r="C83" s="27"/>
      <c r="D83" s="28"/>
      <c r="E83" s="28"/>
      <c r="F83" s="28"/>
      <c r="G83" s="28"/>
      <c r="H83" s="28"/>
    </row>
    <row r="84" spans="1:8" ht="15.75" customHeight="1">
      <c r="A84" s="26"/>
      <c r="C84" s="27"/>
      <c r="D84" s="28"/>
      <c r="E84" s="28"/>
      <c r="F84" s="28"/>
      <c r="G84" s="28"/>
      <c r="H84" s="28"/>
    </row>
    <row r="85" spans="1:8" ht="15.75" customHeight="1">
      <c r="A85" s="26"/>
      <c r="C85" s="27"/>
      <c r="D85" s="28"/>
      <c r="E85" s="28"/>
      <c r="F85" s="28"/>
      <c r="G85" s="28"/>
      <c r="H85" s="28"/>
    </row>
    <row r="86" spans="1:8" ht="15.75" customHeight="1">
      <c r="A86" s="26"/>
      <c r="C86" s="27"/>
      <c r="D86" s="28"/>
      <c r="E86" s="28"/>
      <c r="F86" s="28"/>
      <c r="G86" s="28"/>
      <c r="H86" s="28"/>
    </row>
    <row r="87" spans="1:8" ht="15.75" customHeight="1">
      <c r="A87" s="26"/>
      <c r="C87" s="27"/>
      <c r="D87" s="28"/>
      <c r="E87" s="28"/>
      <c r="F87" s="28"/>
      <c r="G87" s="28"/>
      <c r="H87" s="28"/>
    </row>
    <row r="88" spans="1:8" ht="15.75" customHeight="1">
      <c r="A88" s="26"/>
      <c r="C88" s="27"/>
      <c r="D88" s="28"/>
      <c r="E88" s="28"/>
      <c r="F88" s="28"/>
      <c r="G88" s="28"/>
      <c r="H88" s="28"/>
    </row>
    <row r="89" spans="1:8" ht="15.75" customHeight="1">
      <c r="A89" s="26"/>
      <c r="C89" s="27"/>
      <c r="D89" s="28"/>
      <c r="E89" s="28"/>
      <c r="F89" s="28"/>
      <c r="G89" s="28"/>
      <c r="H89" s="28"/>
    </row>
    <row r="90" spans="1:8" ht="15.75" customHeight="1">
      <c r="A90" s="26"/>
      <c r="C90" s="27"/>
      <c r="D90" s="28"/>
      <c r="E90" s="28"/>
      <c r="F90" s="28"/>
      <c r="G90" s="28"/>
      <c r="H90" s="28"/>
    </row>
    <row r="91" spans="1:8" ht="15.75" customHeight="1">
      <c r="A91" s="26"/>
      <c r="C91" s="27"/>
      <c r="D91" s="28"/>
      <c r="E91" s="28"/>
      <c r="F91" s="28"/>
      <c r="G91" s="28"/>
      <c r="H91" s="28"/>
    </row>
    <row r="92" spans="1:8" ht="15.75" customHeight="1">
      <c r="A92" s="26"/>
      <c r="C92" s="27"/>
      <c r="D92" s="28"/>
      <c r="E92" s="28"/>
      <c r="F92" s="28"/>
      <c r="G92" s="28"/>
      <c r="H92" s="28"/>
    </row>
    <row r="93" spans="1:8" ht="15.75" customHeight="1">
      <c r="A93" s="26"/>
      <c r="C93" s="27"/>
      <c r="D93" s="28"/>
      <c r="E93" s="28"/>
      <c r="F93" s="28"/>
      <c r="G93" s="28"/>
      <c r="H93" s="28"/>
    </row>
    <row r="94" spans="1:8" ht="15.75" customHeight="1">
      <c r="A94" s="26"/>
      <c r="C94" s="27"/>
      <c r="D94" s="28"/>
      <c r="E94" s="28"/>
      <c r="F94" s="28"/>
      <c r="G94" s="28"/>
      <c r="H94" s="28"/>
    </row>
    <row r="95" spans="1:8" ht="15.75" customHeight="1">
      <c r="A95" s="26"/>
      <c r="C95" s="27"/>
      <c r="D95" s="28"/>
      <c r="E95" s="28"/>
      <c r="F95" s="28"/>
      <c r="G95" s="28"/>
      <c r="H95" s="28"/>
    </row>
    <row r="96" spans="1:8" ht="15.75" customHeight="1">
      <c r="A96" s="26"/>
      <c r="C96" s="27"/>
      <c r="D96" s="28"/>
      <c r="E96" s="28"/>
      <c r="F96" s="28"/>
      <c r="G96" s="28"/>
      <c r="H96" s="28"/>
    </row>
    <row r="97" spans="1:8" ht="15.75" customHeight="1">
      <c r="A97" s="26"/>
      <c r="C97" s="27"/>
      <c r="D97" s="28"/>
      <c r="E97" s="28"/>
      <c r="F97" s="28"/>
      <c r="G97" s="28"/>
      <c r="H97" s="28"/>
    </row>
    <row r="98" spans="1:8" ht="15.75" customHeight="1">
      <c r="A98" s="26"/>
      <c r="C98" s="27"/>
      <c r="D98" s="28"/>
      <c r="E98" s="28"/>
      <c r="F98" s="28"/>
      <c r="G98" s="28"/>
      <c r="H98" s="28"/>
    </row>
    <row r="99" spans="1:8" ht="15.75" customHeight="1">
      <c r="A99" s="26"/>
      <c r="C99" s="27"/>
      <c r="D99" s="28"/>
      <c r="E99" s="28"/>
      <c r="F99" s="28"/>
      <c r="G99" s="28"/>
      <c r="H99" s="28"/>
    </row>
    <row r="100" spans="1:8" ht="15.75" customHeight="1">
      <c r="A100" s="26"/>
      <c r="C100" s="27"/>
      <c r="D100" s="28"/>
      <c r="E100" s="28"/>
      <c r="F100" s="28"/>
      <c r="G100" s="28"/>
      <c r="H100" s="28"/>
    </row>
    <row r="101" spans="1:8" ht="15.75" customHeight="1">
      <c r="A101" s="26"/>
      <c r="C101" s="27"/>
      <c r="D101" s="28"/>
      <c r="E101" s="28"/>
      <c r="F101" s="28"/>
      <c r="G101" s="28"/>
      <c r="H101" s="28"/>
    </row>
    <row r="102" spans="1:8" ht="15.75" customHeight="1">
      <c r="A102" s="26"/>
      <c r="C102" s="27"/>
      <c r="D102" s="28"/>
      <c r="E102" s="28"/>
      <c r="F102" s="28"/>
      <c r="G102" s="28"/>
      <c r="H102" s="28"/>
    </row>
    <row r="103" spans="1:8" ht="15.75" customHeight="1">
      <c r="A103" s="26"/>
      <c r="C103" s="27"/>
      <c r="D103" s="28"/>
      <c r="E103" s="28"/>
      <c r="F103" s="28"/>
      <c r="G103" s="28"/>
      <c r="H103" s="28"/>
    </row>
    <row r="104" spans="1:8" ht="15.75" customHeight="1">
      <c r="A104" s="26"/>
      <c r="C104" s="27"/>
      <c r="D104" s="28"/>
      <c r="E104" s="28"/>
      <c r="F104" s="28"/>
      <c r="G104" s="28"/>
      <c r="H104" s="28"/>
    </row>
    <row r="105" spans="1:8" ht="15.75" customHeight="1">
      <c r="A105" s="26"/>
      <c r="C105" s="27"/>
      <c r="D105" s="28"/>
      <c r="E105" s="28"/>
      <c r="F105" s="28"/>
      <c r="G105" s="28"/>
      <c r="H105" s="28"/>
    </row>
    <row r="106" spans="1:8" ht="15.75" customHeight="1">
      <c r="A106" s="26"/>
      <c r="C106" s="27"/>
      <c r="D106" s="28"/>
      <c r="E106" s="28"/>
      <c r="F106" s="28"/>
      <c r="G106" s="28"/>
      <c r="H106" s="28"/>
    </row>
    <row r="107" spans="1:8" ht="15.75" customHeight="1">
      <c r="A107" s="26"/>
      <c r="C107" s="27"/>
      <c r="D107" s="28"/>
      <c r="E107" s="28"/>
      <c r="F107" s="28"/>
      <c r="G107" s="28"/>
      <c r="H107" s="28"/>
    </row>
    <row r="108" spans="1:8" ht="15.75" customHeight="1">
      <c r="A108" s="26"/>
      <c r="C108" s="27"/>
      <c r="D108" s="28"/>
      <c r="E108" s="28"/>
      <c r="F108" s="28"/>
      <c r="G108" s="28"/>
      <c r="H108" s="28"/>
    </row>
    <row r="109" spans="1:8" ht="15.75" customHeight="1">
      <c r="A109" s="26"/>
      <c r="C109" s="27"/>
      <c r="D109" s="28"/>
      <c r="E109" s="28"/>
      <c r="F109" s="28"/>
      <c r="G109" s="28"/>
      <c r="H109" s="28"/>
    </row>
    <row r="110" spans="1:8" ht="15.75" customHeight="1">
      <c r="A110" s="26"/>
      <c r="C110" s="27"/>
      <c r="D110" s="28"/>
      <c r="E110" s="28"/>
      <c r="F110" s="28"/>
      <c r="G110" s="28"/>
      <c r="H110" s="28"/>
    </row>
    <row r="111" spans="1:8" ht="15.75" customHeight="1">
      <c r="A111" s="26"/>
      <c r="C111" s="27"/>
      <c r="D111" s="28"/>
      <c r="E111" s="28"/>
      <c r="F111" s="28"/>
      <c r="G111" s="28"/>
      <c r="H111" s="28"/>
    </row>
    <row r="112" spans="1:8" ht="15.75" customHeight="1">
      <c r="A112" s="26"/>
      <c r="C112" s="27"/>
      <c r="D112" s="28"/>
      <c r="E112" s="28"/>
      <c r="F112" s="28"/>
      <c r="G112" s="28"/>
      <c r="H112" s="28"/>
    </row>
    <row r="113" spans="1:8" ht="15.75" customHeight="1">
      <c r="A113" s="26"/>
      <c r="C113" s="27"/>
      <c r="D113" s="28"/>
      <c r="E113" s="28"/>
      <c r="F113" s="28"/>
      <c r="G113" s="28"/>
      <c r="H113" s="28"/>
    </row>
    <row r="114" spans="1:8" ht="15.75" customHeight="1">
      <c r="A114" s="26"/>
      <c r="C114" s="27"/>
      <c r="D114" s="28"/>
      <c r="E114" s="28"/>
      <c r="F114" s="28"/>
      <c r="G114" s="28"/>
      <c r="H114" s="28"/>
    </row>
    <row r="115" spans="1:8" ht="15.75" customHeight="1">
      <c r="A115" s="26"/>
      <c r="C115" s="27"/>
      <c r="D115" s="28"/>
      <c r="E115" s="28"/>
      <c r="F115" s="28"/>
      <c r="G115" s="28"/>
      <c r="H115" s="28"/>
    </row>
    <row r="116" spans="1:8" ht="15.75" customHeight="1">
      <c r="A116" s="26"/>
      <c r="C116" s="27"/>
      <c r="D116" s="28"/>
      <c r="E116" s="28"/>
      <c r="F116" s="28"/>
      <c r="G116" s="28"/>
      <c r="H116" s="28"/>
    </row>
    <row r="117" spans="1:8" ht="15.75" customHeight="1">
      <c r="A117" s="26"/>
      <c r="C117" s="27"/>
      <c r="D117" s="28"/>
      <c r="E117" s="28"/>
      <c r="F117" s="28"/>
      <c r="G117" s="28"/>
      <c r="H117" s="28"/>
    </row>
    <row r="118" spans="1:8" ht="15.75" customHeight="1">
      <c r="A118" s="26"/>
      <c r="C118" s="27"/>
      <c r="D118" s="28"/>
      <c r="E118" s="28"/>
      <c r="F118" s="28"/>
      <c r="G118" s="28"/>
      <c r="H118" s="28"/>
    </row>
    <row r="119" spans="1:8" ht="15.75" customHeight="1">
      <c r="A119" s="26"/>
      <c r="C119" s="27"/>
      <c r="D119" s="28"/>
      <c r="E119" s="28"/>
      <c r="F119" s="28"/>
      <c r="G119" s="28"/>
      <c r="H119" s="28"/>
    </row>
    <row r="120" spans="1:8" ht="15.75" customHeight="1">
      <c r="A120" s="26"/>
      <c r="C120" s="27"/>
      <c r="D120" s="28"/>
      <c r="E120" s="28"/>
      <c r="F120" s="28"/>
      <c r="G120" s="28"/>
      <c r="H120" s="28"/>
    </row>
    <row r="121" spans="1:8" ht="15.75" customHeight="1">
      <c r="A121" s="26"/>
      <c r="C121" s="27"/>
      <c r="D121" s="28"/>
      <c r="E121" s="28"/>
      <c r="F121" s="28"/>
      <c r="G121" s="28"/>
      <c r="H121" s="28"/>
    </row>
    <row r="122" spans="1:8" ht="15.75" customHeight="1">
      <c r="A122" s="26"/>
      <c r="C122" s="27"/>
      <c r="D122" s="28"/>
      <c r="E122" s="28"/>
      <c r="F122" s="28"/>
      <c r="G122" s="28"/>
      <c r="H122" s="28"/>
    </row>
    <row r="123" spans="1:8" ht="15.75" customHeight="1">
      <c r="A123" s="26"/>
      <c r="C123" s="27"/>
      <c r="D123" s="28"/>
      <c r="E123" s="28"/>
      <c r="F123" s="28"/>
      <c r="G123" s="28"/>
      <c r="H123" s="28"/>
    </row>
    <row r="124" spans="1:8" ht="15.75" customHeight="1">
      <c r="A124" s="26"/>
      <c r="C124" s="27"/>
      <c r="D124" s="28"/>
      <c r="E124" s="28"/>
      <c r="F124" s="28"/>
      <c r="G124" s="28"/>
      <c r="H124" s="28"/>
    </row>
    <row r="125" spans="1:8" ht="15.75" customHeight="1">
      <c r="A125" s="26"/>
      <c r="C125" s="27"/>
      <c r="D125" s="28"/>
      <c r="E125" s="28"/>
      <c r="F125" s="28"/>
      <c r="G125" s="28"/>
      <c r="H125" s="28"/>
    </row>
    <row r="126" spans="1:8" ht="15.75" customHeight="1">
      <c r="A126" s="26"/>
      <c r="C126" s="27"/>
      <c r="D126" s="28"/>
      <c r="E126" s="28"/>
      <c r="F126" s="28"/>
      <c r="G126" s="28"/>
      <c r="H126" s="28"/>
    </row>
    <row r="127" spans="1:8" ht="15.75" customHeight="1">
      <c r="A127" s="26"/>
      <c r="C127" s="27"/>
      <c r="D127" s="28"/>
      <c r="E127" s="28"/>
      <c r="F127" s="28"/>
      <c r="G127" s="28"/>
      <c r="H127" s="28"/>
    </row>
    <row r="128" spans="1:8" ht="15.75" customHeight="1">
      <c r="A128" s="26"/>
      <c r="C128" s="27"/>
      <c r="D128" s="28"/>
      <c r="E128" s="28"/>
      <c r="F128" s="28"/>
      <c r="G128" s="28"/>
      <c r="H128" s="28"/>
    </row>
    <row r="129" spans="1:8" ht="15.75" customHeight="1">
      <c r="A129" s="26"/>
      <c r="C129" s="27"/>
      <c r="D129" s="28"/>
      <c r="E129" s="28"/>
      <c r="F129" s="28"/>
      <c r="G129" s="28"/>
      <c r="H129" s="28"/>
    </row>
    <row r="130" spans="1:8" ht="15.75" customHeight="1">
      <c r="A130" s="26"/>
      <c r="C130" s="27"/>
      <c r="D130" s="28"/>
      <c r="E130" s="28"/>
      <c r="F130" s="28"/>
      <c r="G130" s="28"/>
      <c r="H130" s="28"/>
    </row>
    <row r="131" spans="1:8" ht="15.75" customHeight="1">
      <c r="A131" s="26"/>
      <c r="C131" s="27"/>
      <c r="D131" s="28"/>
      <c r="E131" s="28"/>
      <c r="F131" s="28"/>
      <c r="G131" s="28"/>
      <c r="H131" s="28"/>
    </row>
    <row r="132" spans="1:8" ht="15.75" customHeight="1">
      <c r="A132" s="26"/>
      <c r="C132" s="27"/>
      <c r="D132" s="28"/>
      <c r="E132" s="28"/>
      <c r="F132" s="28"/>
      <c r="G132" s="28"/>
      <c r="H132" s="28"/>
    </row>
    <row r="133" spans="1:8" ht="15.75" customHeight="1">
      <c r="A133" s="26"/>
      <c r="C133" s="27"/>
      <c r="D133" s="28"/>
      <c r="E133" s="28"/>
      <c r="F133" s="28"/>
      <c r="G133" s="28"/>
      <c r="H133" s="28"/>
    </row>
    <row r="134" spans="1:8" ht="15.75" customHeight="1">
      <c r="A134" s="26"/>
      <c r="C134" s="27"/>
      <c r="D134" s="28"/>
      <c r="E134" s="28"/>
      <c r="F134" s="28"/>
      <c r="G134" s="28"/>
      <c r="H134" s="28"/>
    </row>
    <row r="135" spans="1:8" ht="15.75" customHeight="1">
      <c r="A135" s="26"/>
      <c r="C135" s="27"/>
      <c r="D135" s="28"/>
      <c r="E135" s="28"/>
      <c r="F135" s="28"/>
      <c r="G135" s="28"/>
      <c r="H135" s="28"/>
    </row>
    <row r="136" spans="1:8" ht="15.75" customHeight="1">
      <c r="A136" s="26"/>
      <c r="C136" s="27"/>
      <c r="D136" s="28"/>
      <c r="E136" s="28"/>
      <c r="F136" s="28"/>
      <c r="G136" s="28"/>
      <c r="H136" s="28"/>
    </row>
    <row r="137" spans="1:8" ht="15.75" customHeight="1">
      <c r="A137" s="26"/>
      <c r="C137" s="27"/>
      <c r="D137" s="28"/>
      <c r="E137" s="28"/>
      <c r="F137" s="28"/>
      <c r="G137" s="28"/>
      <c r="H137" s="28"/>
    </row>
    <row r="138" spans="1:8" ht="15.75" customHeight="1">
      <c r="A138" s="26"/>
      <c r="C138" s="27"/>
      <c r="D138" s="28"/>
      <c r="E138" s="28"/>
      <c r="F138" s="28"/>
      <c r="G138" s="28"/>
      <c r="H138" s="28"/>
    </row>
    <row r="139" spans="1:8" ht="15.75" customHeight="1">
      <c r="A139" s="26"/>
      <c r="C139" s="27"/>
      <c r="D139" s="28"/>
      <c r="E139" s="28"/>
      <c r="F139" s="28"/>
      <c r="G139" s="28"/>
      <c r="H139" s="28"/>
    </row>
    <row r="140" spans="1:8" ht="15.75" customHeight="1">
      <c r="A140" s="26"/>
      <c r="C140" s="27"/>
      <c r="D140" s="28"/>
      <c r="E140" s="28"/>
      <c r="F140" s="28"/>
      <c r="G140" s="28"/>
      <c r="H140" s="28"/>
    </row>
    <row r="141" spans="1:8" ht="15.75" customHeight="1">
      <c r="A141" s="26"/>
      <c r="C141" s="27"/>
      <c r="D141" s="28"/>
      <c r="E141" s="28"/>
      <c r="F141" s="28"/>
      <c r="G141" s="28"/>
      <c r="H141" s="28"/>
    </row>
    <row r="142" spans="1:8" ht="15.75" customHeight="1">
      <c r="A142" s="26"/>
      <c r="C142" s="27"/>
      <c r="D142" s="28"/>
      <c r="E142" s="28"/>
      <c r="F142" s="28"/>
      <c r="G142" s="28"/>
      <c r="H142" s="28"/>
    </row>
    <row r="143" spans="1:8" ht="15.75" customHeight="1">
      <c r="A143" s="26"/>
      <c r="C143" s="27"/>
      <c r="D143" s="28"/>
      <c r="E143" s="28"/>
      <c r="F143" s="28"/>
      <c r="G143" s="28"/>
      <c r="H143" s="28"/>
    </row>
    <row r="144" spans="1:8" ht="15.75" customHeight="1">
      <c r="A144" s="26"/>
      <c r="C144" s="27"/>
      <c r="D144" s="28"/>
      <c r="E144" s="28"/>
      <c r="F144" s="28"/>
      <c r="G144" s="28"/>
      <c r="H144" s="28"/>
    </row>
    <row r="145" spans="1:8" ht="15.75" customHeight="1">
      <c r="A145" s="26"/>
      <c r="C145" s="27"/>
      <c r="D145" s="28"/>
      <c r="E145" s="28"/>
      <c r="F145" s="28"/>
      <c r="G145" s="28"/>
      <c r="H145" s="28"/>
    </row>
    <row r="146" spans="1:8" ht="15.75" customHeight="1">
      <c r="A146" s="26"/>
      <c r="C146" s="27"/>
      <c r="D146" s="28"/>
      <c r="E146" s="28"/>
      <c r="F146" s="28"/>
      <c r="G146" s="28"/>
      <c r="H146" s="28"/>
    </row>
    <row r="147" spans="1:8" ht="15.75" customHeight="1">
      <c r="A147" s="26"/>
      <c r="C147" s="27"/>
      <c r="D147" s="28"/>
      <c r="E147" s="28"/>
      <c r="F147" s="28"/>
      <c r="G147" s="28"/>
      <c r="H147" s="28"/>
    </row>
    <row r="148" spans="1:8" ht="15.75" customHeight="1">
      <c r="A148" s="26"/>
      <c r="C148" s="27"/>
      <c r="D148" s="28"/>
      <c r="E148" s="28"/>
      <c r="F148" s="28"/>
      <c r="G148" s="28"/>
      <c r="H148" s="28"/>
    </row>
    <row r="149" spans="1:8" ht="15.75" customHeight="1">
      <c r="A149" s="26"/>
      <c r="C149" s="27"/>
      <c r="D149" s="28"/>
      <c r="E149" s="28"/>
      <c r="F149" s="28"/>
      <c r="G149" s="28"/>
      <c r="H149" s="28"/>
    </row>
    <row r="150" spans="1:8" ht="15.75" customHeight="1">
      <c r="A150" s="26"/>
      <c r="C150" s="27"/>
      <c r="D150" s="28"/>
      <c r="E150" s="28"/>
      <c r="F150" s="28"/>
      <c r="G150" s="28"/>
      <c r="H150" s="28"/>
    </row>
    <row r="151" spans="1:8" ht="15.75" customHeight="1">
      <c r="A151" s="26"/>
      <c r="C151" s="27"/>
      <c r="D151" s="28"/>
      <c r="E151" s="28"/>
      <c r="F151" s="28"/>
      <c r="G151" s="28"/>
      <c r="H151" s="28"/>
    </row>
    <row r="152" spans="1:8" ht="15.75" customHeight="1">
      <c r="A152" s="26"/>
      <c r="C152" s="27"/>
      <c r="D152" s="28"/>
      <c r="E152" s="28"/>
      <c r="F152" s="28"/>
      <c r="G152" s="28"/>
      <c r="H152" s="28"/>
    </row>
    <row r="153" spans="1:8" ht="15.75" customHeight="1">
      <c r="A153" s="26"/>
      <c r="C153" s="27"/>
      <c r="D153" s="28"/>
      <c r="E153" s="28"/>
      <c r="F153" s="28"/>
      <c r="G153" s="28"/>
      <c r="H153" s="28"/>
    </row>
    <row r="154" spans="1:8" ht="15.75" customHeight="1">
      <c r="A154" s="26"/>
      <c r="C154" s="27"/>
      <c r="D154" s="28"/>
      <c r="E154" s="28"/>
      <c r="F154" s="28"/>
      <c r="G154" s="28"/>
      <c r="H154" s="28"/>
    </row>
    <row r="155" spans="1:8" ht="15.75" customHeight="1">
      <c r="A155" s="26"/>
      <c r="C155" s="27"/>
      <c r="D155" s="28"/>
      <c r="E155" s="28"/>
      <c r="F155" s="28"/>
      <c r="G155" s="28"/>
      <c r="H155" s="28"/>
    </row>
    <row r="156" spans="1:8" ht="15.75" customHeight="1">
      <c r="A156" s="26"/>
      <c r="C156" s="27"/>
      <c r="D156" s="28"/>
      <c r="E156" s="28"/>
      <c r="F156" s="28"/>
      <c r="G156" s="28"/>
      <c r="H156" s="28"/>
    </row>
    <row r="157" spans="1:8" ht="15.75" customHeight="1">
      <c r="A157" s="26"/>
      <c r="C157" s="27"/>
      <c r="D157" s="28"/>
      <c r="E157" s="28"/>
      <c r="F157" s="28"/>
      <c r="G157" s="28"/>
      <c r="H157" s="28"/>
    </row>
    <row r="158" spans="1:8" ht="15.75" customHeight="1">
      <c r="A158" s="26"/>
      <c r="C158" s="27"/>
      <c r="D158" s="28"/>
      <c r="E158" s="28"/>
      <c r="F158" s="28"/>
      <c r="G158" s="28"/>
      <c r="H158" s="28"/>
    </row>
    <row r="159" spans="1:8" ht="15.75" customHeight="1">
      <c r="A159" s="26"/>
      <c r="C159" s="27"/>
      <c r="D159" s="28"/>
      <c r="E159" s="28"/>
      <c r="F159" s="28"/>
      <c r="G159" s="28"/>
      <c r="H159" s="28"/>
    </row>
    <row r="160" spans="1:8" ht="15.75" customHeight="1">
      <c r="A160" s="26"/>
      <c r="C160" s="27"/>
      <c r="D160" s="28"/>
      <c r="E160" s="28"/>
      <c r="F160" s="28"/>
      <c r="G160" s="28"/>
      <c r="H160" s="28"/>
    </row>
    <row r="161" spans="1:8" ht="15.75" customHeight="1">
      <c r="A161" s="26"/>
      <c r="C161" s="27"/>
      <c r="D161" s="28"/>
      <c r="E161" s="28"/>
      <c r="F161" s="28"/>
      <c r="G161" s="28"/>
      <c r="H161" s="28"/>
    </row>
    <row r="162" spans="1:8" ht="15.75" customHeight="1">
      <c r="A162" s="26"/>
      <c r="C162" s="27"/>
      <c r="D162" s="28"/>
      <c r="E162" s="28"/>
      <c r="F162" s="28"/>
      <c r="G162" s="28"/>
      <c r="H162" s="28"/>
    </row>
    <row r="163" spans="1:8" ht="15.75" customHeight="1">
      <c r="A163" s="26"/>
      <c r="C163" s="27"/>
      <c r="D163" s="28"/>
      <c r="E163" s="28"/>
      <c r="F163" s="28"/>
      <c r="G163" s="28"/>
      <c r="H163" s="28"/>
    </row>
    <row r="164" spans="1:8" ht="15.75" customHeight="1">
      <c r="A164" s="26"/>
      <c r="C164" s="27"/>
      <c r="D164" s="28"/>
      <c r="E164" s="28"/>
      <c r="F164" s="28"/>
      <c r="G164" s="28"/>
      <c r="H164" s="28"/>
    </row>
    <row r="165" spans="1:8" ht="15.75" customHeight="1">
      <c r="A165" s="26"/>
      <c r="C165" s="27"/>
      <c r="D165" s="28"/>
      <c r="E165" s="28"/>
      <c r="F165" s="28"/>
      <c r="G165" s="28"/>
      <c r="H165" s="28"/>
    </row>
    <row r="166" spans="1:8" ht="15.75" customHeight="1">
      <c r="A166" s="26"/>
      <c r="C166" s="27"/>
      <c r="D166" s="28"/>
      <c r="E166" s="28"/>
      <c r="F166" s="28"/>
      <c r="G166" s="28"/>
      <c r="H166" s="28"/>
    </row>
    <row r="167" spans="1:8" ht="15.75" customHeight="1">
      <c r="A167" s="26"/>
      <c r="C167" s="27"/>
      <c r="D167" s="28"/>
      <c r="E167" s="28"/>
      <c r="F167" s="28"/>
      <c r="G167" s="28"/>
      <c r="H167" s="28"/>
    </row>
    <row r="168" spans="1:8" ht="15.75" customHeight="1">
      <c r="A168" s="26"/>
      <c r="C168" s="27"/>
      <c r="D168" s="28"/>
      <c r="E168" s="28"/>
      <c r="F168" s="28"/>
      <c r="G168" s="28"/>
      <c r="H168" s="28"/>
    </row>
    <row r="169" spans="1:8" ht="15.75" customHeight="1">
      <c r="A169" s="26"/>
      <c r="C169" s="27"/>
      <c r="D169" s="28"/>
      <c r="E169" s="28"/>
      <c r="F169" s="28"/>
      <c r="G169" s="28"/>
      <c r="H169" s="28"/>
    </row>
    <row r="170" spans="1:8" ht="15.75" customHeight="1">
      <c r="A170" s="26"/>
      <c r="C170" s="27"/>
      <c r="D170" s="28"/>
      <c r="E170" s="28"/>
      <c r="F170" s="28"/>
      <c r="G170" s="28"/>
      <c r="H170" s="28"/>
    </row>
    <row r="171" spans="1:8" ht="15.75" customHeight="1">
      <c r="A171" s="26"/>
      <c r="C171" s="27"/>
      <c r="D171" s="28"/>
      <c r="E171" s="28"/>
      <c r="F171" s="28"/>
      <c r="G171" s="28"/>
      <c r="H171" s="28"/>
    </row>
    <row r="172" spans="1:8" ht="15.75" customHeight="1">
      <c r="A172" s="26"/>
      <c r="C172" s="27"/>
      <c r="D172" s="28"/>
      <c r="E172" s="28"/>
      <c r="F172" s="28"/>
      <c r="G172" s="28"/>
      <c r="H172" s="28"/>
    </row>
    <row r="173" spans="1:8" ht="15.75" customHeight="1">
      <c r="A173" s="26"/>
      <c r="C173" s="27"/>
      <c r="D173" s="28"/>
      <c r="E173" s="28"/>
      <c r="F173" s="28"/>
      <c r="G173" s="28"/>
      <c r="H173" s="28"/>
    </row>
    <row r="174" spans="1:8" ht="15.75" customHeight="1">
      <c r="A174" s="26"/>
      <c r="C174" s="27"/>
      <c r="D174" s="28"/>
      <c r="E174" s="28"/>
      <c r="F174" s="28"/>
      <c r="G174" s="28"/>
      <c r="H174" s="28"/>
    </row>
    <row r="175" spans="1:8" ht="15.75" customHeight="1">
      <c r="A175" s="26"/>
      <c r="C175" s="27"/>
      <c r="D175" s="28"/>
      <c r="E175" s="28"/>
      <c r="F175" s="28"/>
      <c r="G175" s="28"/>
      <c r="H175" s="28"/>
    </row>
    <row r="176" spans="1:8" ht="15.75" customHeight="1">
      <c r="A176" s="26"/>
      <c r="C176" s="27"/>
      <c r="D176" s="28"/>
      <c r="E176" s="28"/>
      <c r="F176" s="28"/>
      <c r="G176" s="28"/>
      <c r="H176" s="28"/>
    </row>
    <row r="177" spans="1:8" ht="15.75" customHeight="1">
      <c r="A177" s="26"/>
      <c r="C177" s="27"/>
      <c r="D177" s="28"/>
      <c r="E177" s="28"/>
      <c r="F177" s="28"/>
      <c r="G177" s="28"/>
      <c r="H177" s="28"/>
    </row>
    <row r="178" spans="1:8" ht="15.75" customHeight="1">
      <c r="A178" s="26"/>
      <c r="C178" s="27"/>
      <c r="D178" s="28"/>
      <c r="E178" s="28"/>
      <c r="F178" s="28"/>
      <c r="G178" s="28"/>
      <c r="H178" s="28"/>
    </row>
    <row r="179" spans="1:8" ht="15.75" customHeight="1">
      <c r="A179" s="26"/>
      <c r="C179" s="27"/>
      <c r="D179" s="28"/>
      <c r="E179" s="28"/>
      <c r="F179" s="28"/>
      <c r="G179" s="28"/>
      <c r="H179" s="28"/>
    </row>
    <row r="180" spans="1:8" ht="15.75" customHeight="1">
      <c r="A180" s="26"/>
      <c r="C180" s="27"/>
      <c r="D180" s="28"/>
      <c r="E180" s="28"/>
      <c r="F180" s="28"/>
      <c r="G180" s="28"/>
      <c r="H180" s="28"/>
    </row>
    <row r="181" spans="1:8" ht="15.75" customHeight="1">
      <c r="A181" s="26"/>
      <c r="C181" s="27"/>
      <c r="D181" s="28"/>
      <c r="E181" s="28"/>
      <c r="F181" s="28"/>
      <c r="G181" s="28"/>
      <c r="H181" s="28"/>
    </row>
    <row r="182" spans="1:8" ht="15.75" customHeight="1">
      <c r="A182" s="26"/>
      <c r="C182" s="27"/>
      <c r="D182" s="28"/>
      <c r="E182" s="28"/>
      <c r="F182" s="28"/>
      <c r="G182" s="28"/>
      <c r="H182" s="28"/>
    </row>
    <row r="183" spans="1:8" ht="15.75" customHeight="1">
      <c r="A183" s="26"/>
      <c r="C183" s="27"/>
      <c r="D183" s="28"/>
      <c r="E183" s="28"/>
      <c r="F183" s="28"/>
      <c r="G183" s="28"/>
      <c r="H183" s="28"/>
    </row>
    <row r="184" spans="1:8" ht="15.75" customHeight="1">
      <c r="A184" s="26"/>
      <c r="C184" s="27"/>
      <c r="D184" s="28"/>
      <c r="E184" s="28"/>
      <c r="F184" s="28"/>
      <c r="G184" s="28"/>
      <c r="H184" s="28"/>
    </row>
    <row r="185" spans="1:8" ht="15.75" customHeight="1">
      <c r="A185" s="26"/>
      <c r="C185" s="27"/>
      <c r="D185" s="28"/>
      <c r="E185" s="28"/>
      <c r="F185" s="28"/>
      <c r="G185" s="28"/>
      <c r="H185" s="28"/>
    </row>
    <row r="186" spans="1:8" ht="15.75" customHeight="1">
      <c r="A186" s="26"/>
      <c r="C186" s="27"/>
      <c r="D186" s="28"/>
      <c r="E186" s="28"/>
      <c r="F186" s="28"/>
      <c r="G186" s="28"/>
      <c r="H186" s="28"/>
    </row>
    <row r="187" spans="1:8" ht="15.75" customHeight="1">
      <c r="A187" s="26"/>
      <c r="C187" s="27"/>
      <c r="D187" s="28"/>
      <c r="E187" s="28"/>
      <c r="F187" s="28"/>
      <c r="G187" s="28"/>
      <c r="H187" s="28"/>
    </row>
    <row r="188" spans="1:8" ht="15.75" customHeight="1">
      <c r="A188" s="26"/>
      <c r="C188" s="27"/>
      <c r="D188" s="28"/>
      <c r="E188" s="28"/>
      <c r="F188" s="28"/>
      <c r="G188" s="28"/>
      <c r="H188" s="28"/>
    </row>
    <row r="189" spans="1:8" ht="15.75" customHeight="1">
      <c r="A189" s="26"/>
      <c r="C189" s="27"/>
      <c r="D189" s="28"/>
      <c r="E189" s="28"/>
      <c r="F189" s="28"/>
      <c r="G189" s="28"/>
      <c r="H189" s="28"/>
    </row>
    <row r="190" spans="1:8" ht="15.75" customHeight="1">
      <c r="A190" s="26"/>
      <c r="C190" s="27"/>
      <c r="D190" s="28"/>
      <c r="E190" s="28"/>
      <c r="F190" s="28"/>
      <c r="G190" s="28"/>
      <c r="H190" s="28"/>
    </row>
    <row r="191" spans="1:8" ht="15.75" customHeight="1">
      <c r="A191" s="26"/>
      <c r="C191" s="27"/>
      <c r="D191" s="28"/>
      <c r="E191" s="28"/>
      <c r="F191" s="28"/>
      <c r="G191" s="28"/>
      <c r="H191" s="28"/>
    </row>
    <row r="192" spans="1:8" ht="15.75" customHeight="1">
      <c r="A192" s="26"/>
      <c r="C192" s="27"/>
      <c r="D192" s="28"/>
      <c r="E192" s="28"/>
      <c r="F192" s="28"/>
      <c r="G192" s="28"/>
      <c r="H192" s="28"/>
    </row>
    <row r="193" spans="1:8" ht="15.75" customHeight="1">
      <c r="A193" s="26"/>
      <c r="C193" s="27"/>
      <c r="D193" s="28"/>
      <c r="E193" s="28"/>
      <c r="F193" s="28"/>
      <c r="G193" s="28"/>
      <c r="H193" s="28"/>
    </row>
    <row r="194" spans="1:8" ht="15.75" customHeight="1">
      <c r="A194" s="26"/>
      <c r="C194" s="27"/>
      <c r="D194" s="28"/>
      <c r="E194" s="28"/>
      <c r="F194" s="28"/>
      <c r="G194" s="28"/>
      <c r="H194" s="28"/>
    </row>
    <row r="195" spans="1:8" ht="15.75" customHeight="1">
      <c r="A195" s="26"/>
      <c r="C195" s="27"/>
      <c r="D195" s="28"/>
      <c r="E195" s="28"/>
      <c r="F195" s="28"/>
      <c r="G195" s="28"/>
      <c r="H195" s="28"/>
    </row>
    <row r="196" spans="1:8" ht="15.75" customHeight="1">
      <c r="A196" s="26"/>
      <c r="C196" s="27"/>
      <c r="D196" s="28"/>
      <c r="E196" s="28"/>
      <c r="F196" s="28"/>
      <c r="G196" s="28"/>
      <c r="H196" s="28"/>
    </row>
    <row r="197" spans="1:8" ht="15.75" customHeight="1">
      <c r="A197" s="26"/>
      <c r="C197" s="27"/>
      <c r="D197" s="28"/>
      <c r="E197" s="28"/>
      <c r="F197" s="28"/>
      <c r="G197" s="28"/>
      <c r="H197" s="28"/>
    </row>
    <row r="198" spans="1:8" ht="15.75" customHeight="1">
      <c r="A198" s="26"/>
      <c r="C198" s="27"/>
      <c r="D198" s="28"/>
      <c r="E198" s="28"/>
      <c r="F198" s="28"/>
      <c r="G198" s="28"/>
      <c r="H198" s="28"/>
    </row>
    <row r="199" spans="1:8" ht="15.75" customHeight="1">
      <c r="A199" s="26"/>
      <c r="C199" s="27"/>
      <c r="D199" s="28"/>
      <c r="E199" s="28"/>
      <c r="F199" s="28"/>
      <c r="G199" s="28"/>
      <c r="H199" s="28"/>
    </row>
    <row r="200" spans="1:8" ht="15.75" customHeight="1">
      <c r="A200" s="26"/>
      <c r="C200" s="27"/>
      <c r="D200" s="28"/>
      <c r="E200" s="28"/>
      <c r="F200" s="28"/>
      <c r="G200" s="28"/>
      <c r="H200" s="28"/>
    </row>
    <row r="201" spans="1:8" ht="15.75" customHeight="1">
      <c r="A201" s="26"/>
      <c r="C201" s="27"/>
      <c r="D201" s="28"/>
      <c r="E201" s="28"/>
      <c r="F201" s="28"/>
      <c r="G201" s="28"/>
      <c r="H201" s="28"/>
    </row>
    <row r="202" spans="1:8" ht="15.75" customHeight="1">
      <c r="A202" s="26"/>
      <c r="C202" s="27"/>
      <c r="D202" s="28"/>
      <c r="E202" s="28"/>
      <c r="F202" s="28"/>
      <c r="G202" s="28"/>
      <c r="H202" s="28"/>
    </row>
    <row r="203" spans="1:8" ht="15.75" customHeight="1">
      <c r="A203" s="26"/>
      <c r="C203" s="27"/>
      <c r="D203" s="28"/>
      <c r="E203" s="28"/>
      <c r="F203" s="28"/>
      <c r="G203" s="28"/>
      <c r="H203" s="28"/>
    </row>
    <row r="204" spans="1:8" ht="15.75" customHeight="1">
      <c r="A204" s="26"/>
      <c r="C204" s="27"/>
      <c r="D204" s="28"/>
      <c r="E204" s="28"/>
      <c r="F204" s="28"/>
      <c r="G204" s="28"/>
      <c r="H204" s="28"/>
    </row>
    <row r="205" spans="1:8" ht="15.75" customHeight="1">
      <c r="A205" s="26"/>
      <c r="C205" s="27"/>
      <c r="D205" s="28"/>
      <c r="E205" s="28"/>
      <c r="F205" s="28"/>
      <c r="G205" s="28"/>
      <c r="H205" s="28"/>
    </row>
    <row r="206" spans="1:8" ht="15.75" customHeight="1">
      <c r="A206" s="26"/>
      <c r="C206" s="27"/>
      <c r="D206" s="28"/>
      <c r="E206" s="28"/>
      <c r="F206" s="28"/>
      <c r="G206" s="28"/>
      <c r="H206" s="28"/>
    </row>
    <row r="207" spans="1:8" ht="15.75" customHeight="1">
      <c r="A207" s="26"/>
      <c r="C207" s="27"/>
      <c r="D207" s="28"/>
      <c r="E207" s="28"/>
      <c r="F207" s="28"/>
      <c r="G207" s="28"/>
      <c r="H207" s="28"/>
    </row>
    <row r="208" spans="1:8" ht="15.75" customHeight="1">
      <c r="A208" s="26"/>
      <c r="C208" s="27"/>
      <c r="D208" s="28"/>
      <c r="E208" s="28"/>
      <c r="F208" s="28"/>
      <c r="G208" s="28"/>
      <c r="H208" s="28"/>
    </row>
    <row r="209" spans="1:8" ht="15.75" customHeight="1">
      <c r="A209" s="26"/>
      <c r="C209" s="27"/>
      <c r="D209" s="28"/>
      <c r="E209" s="28"/>
      <c r="F209" s="28"/>
      <c r="G209" s="28"/>
      <c r="H209" s="28"/>
    </row>
    <row r="210" spans="1:8" ht="15.75" customHeight="1">
      <c r="A210" s="26"/>
      <c r="C210" s="27"/>
      <c r="D210" s="28"/>
      <c r="E210" s="28"/>
      <c r="F210" s="28"/>
      <c r="G210" s="28"/>
      <c r="H210" s="28"/>
    </row>
    <row r="211" spans="1:8" ht="15.75" customHeight="1">
      <c r="A211" s="26"/>
      <c r="C211" s="27"/>
      <c r="D211" s="28"/>
      <c r="E211" s="28"/>
      <c r="F211" s="28"/>
      <c r="G211" s="28"/>
      <c r="H211" s="28"/>
    </row>
    <row r="212" spans="1:8" ht="15.75" customHeight="1">
      <c r="A212" s="26"/>
      <c r="C212" s="27"/>
      <c r="D212" s="28"/>
      <c r="E212" s="28"/>
      <c r="F212" s="28"/>
      <c r="G212" s="28"/>
      <c r="H212" s="28"/>
    </row>
    <row r="213" spans="1:8" ht="15.75" customHeight="1">
      <c r="A213" s="26"/>
      <c r="C213" s="27"/>
      <c r="D213" s="28"/>
      <c r="E213" s="28"/>
      <c r="F213" s="28"/>
      <c r="G213" s="28"/>
      <c r="H213" s="28"/>
    </row>
    <row r="214" spans="1:8" ht="15.75" customHeight="1">
      <c r="A214" s="26"/>
      <c r="C214" s="27"/>
      <c r="D214" s="28"/>
      <c r="E214" s="28"/>
      <c r="F214" s="28"/>
      <c r="G214" s="28"/>
      <c r="H214" s="28"/>
    </row>
    <row r="215" spans="1:8" ht="15.75" customHeight="1">
      <c r="A215" s="26"/>
      <c r="C215" s="27"/>
      <c r="D215" s="28"/>
      <c r="E215" s="28"/>
      <c r="F215" s="28"/>
      <c r="G215" s="28"/>
      <c r="H215" s="28"/>
    </row>
    <row r="216" spans="1:8" ht="15.75" customHeight="1">
      <c r="A216" s="26"/>
      <c r="C216" s="27"/>
      <c r="D216" s="28"/>
      <c r="E216" s="28"/>
      <c r="F216" s="28"/>
      <c r="G216" s="28"/>
      <c r="H216" s="28"/>
    </row>
    <row r="217" spans="1:8" ht="15.75" customHeight="1">
      <c r="A217" s="26"/>
      <c r="C217" s="27"/>
      <c r="D217" s="28"/>
      <c r="E217" s="28"/>
      <c r="F217" s="28"/>
      <c r="G217" s="28"/>
      <c r="H217" s="28"/>
    </row>
    <row r="218" spans="1:8" ht="15.75" customHeight="1">
      <c r="A218" s="26"/>
      <c r="C218" s="27"/>
      <c r="D218" s="28"/>
      <c r="E218" s="28"/>
      <c r="F218" s="28"/>
      <c r="G218" s="28"/>
      <c r="H218" s="28"/>
    </row>
    <row r="219" spans="1:8" ht="15.75" customHeight="1">
      <c r="A219" s="26"/>
      <c r="C219" s="27"/>
      <c r="D219" s="28"/>
      <c r="E219" s="28"/>
      <c r="F219" s="28"/>
      <c r="G219" s="28"/>
      <c r="H219" s="28"/>
    </row>
    <row r="220" spans="1:8" ht="15.75" customHeight="1">
      <c r="A220" s="26"/>
      <c r="C220" s="27"/>
      <c r="D220" s="28"/>
      <c r="E220" s="28"/>
      <c r="F220" s="28"/>
      <c r="G220" s="28"/>
      <c r="H220" s="28"/>
    </row>
    <row r="221" spans="1:8" ht="15.75" customHeight="1">
      <c r="A221" s="26"/>
      <c r="C221" s="27"/>
      <c r="D221" s="28"/>
      <c r="E221" s="28"/>
      <c r="F221" s="28"/>
      <c r="G221" s="28"/>
      <c r="H221" s="28"/>
    </row>
    <row r="222" spans="1:8" ht="15.75" customHeight="1">
      <c r="A222" s="26"/>
      <c r="C222" s="27"/>
      <c r="D222" s="28"/>
      <c r="E222" s="28"/>
      <c r="F222" s="28"/>
      <c r="G222" s="28"/>
      <c r="H222" s="28"/>
    </row>
    <row r="223" spans="1:8" ht="15.75" customHeight="1">
      <c r="A223" s="26"/>
      <c r="C223" s="27"/>
      <c r="D223" s="28"/>
      <c r="E223" s="28"/>
      <c r="F223" s="28"/>
      <c r="G223" s="28"/>
      <c r="H223" s="28"/>
    </row>
    <row r="224" spans="1:8" ht="15.75" customHeight="1">
      <c r="A224" s="26"/>
      <c r="C224" s="27"/>
      <c r="D224" s="28"/>
      <c r="E224" s="28"/>
      <c r="F224" s="28"/>
      <c r="G224" s="28"/>
      <c r="H224" s="28"/>
    </row>
    <row r="225" spans="1:8" ht="15.75" customHeight="1">
      <c r="A225" s="26"/>
      <c r="C225" s="27"/>
      <c r="D225" s="28"/>
      <c r="E225" s="28"/>
      <c r="F225" s="28"/>
      <c r="G225" s="28"/>
      <c r="H225" s="28"/>
    </row>
    <row r="226" spans="1:8" ht="15.75" customHeight="1">
      <c r="A226" s="26"/>
      <c r="C226" s="27"/>
      <c r="D226" s="28"/>
      <c r="E226" s="28"/>
      <c r="F226" s="28"/>
      <c r="G226" s="28"/>
      <c r="H226" s="28"/>
    </row>
    <row r="227" spans="1:8" ht="15.75" customHeight="1"/>
    <row r="228" spans="1:8" ht="15.75" customHeight="1"/>
    <row r="229" spans="1:8" ht="15.75" customHeight="1"/>
    <row r="230" spans="1:8" ht="15.75" customHeight="1"/>
    <row r="231" spans="1:8" ht="15.75" customHeight="1"/>
    <row r="232" spans="1:8" ht="15.75" customHeight="1"/>
    <row r="233" spans="1:8" ht="15.75" customHeight="1"/>
    <row r="234" spans="1:8" ht="15.75" customHeight="1"/>
    <row r="235" spans="1:8" ht="15.75" customHeight="1"/>
    <row r="236" spans="1:8" ht="15.75" customHeight="1"/>
    <row r="237" spans="1:8" ht="15.75" customHeight="1"/>
    <row r="238" spans="1:8" ht="15.75" customHeight="1"/>
    <row r="239" spans="1:8" ht="15.75" customHeight="1"/>
    <row r="240" spans="1: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1:E2"/>
  </mergeCell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'Data Validation'!$C$3:$C$14</xm:f>
          </x14:formula1>
          <xm:sqref>C3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H1000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2.5703125" defaultRowHeight="15" customHeight="1"/>
  <cols>
    <col min="1" max="1" width="5.7109375" customWidth="1"/>
    <col min="2" max="2" width="43.85546875" customWidth="1"/>
    <col min="3" max="3" width="37.5703125" customWidth="1"/>
    <col min="4" max="4" width="32.7109375" customWidth="1"/>
    <col min="5" max="5" width="23" customWidth="1"/>
    <col min="6" max="6" width="32.7109375" customWidth="1"/>
    <col min="7" max="8" width="17.28515625" hidden="1" customWidth="1"/>
  </cols>
  <sheetData>
    <row r="1" spans="1:8" ht="39.75" customHeight="1">
      <c r="A1" s="4"/>
      <c r="B1" s="4"/>
      <c r="C1" s="98" t="s">
        <v>70</v>
      </c>
      <c r="D1" s="99"/>
      <c r="E1" s="100"/>
      <c r="F1" s="60"/>
      <c r="G1" s="60"/>
      <c r="H1" s="60"/>
    </row>
    <row r="2" spans="1:8" ht="39.75" customHeight="1">
      <c r="A2" s="4"/>
      <c r="B2" s="4"/>
      <c r="C2" s="101"/>
      <c r="D2" s="102"/>
      <c r="E2" s="103"/>
      <c r="F2" s="60"/>
      <c r="G2" s="60"/>
      <c r="H2" s="60"/>
    </row>
    <row r="3" spans="1:8" ht="33" customHeight="1">
      <c r="A3" s="5"/>
      <c r="B3" s="61" t="e">
        <f>F3/D3</f>
        <v>#DIV/0!</v>
      </c>
      <c r="C3" s="62"/>
      <c r="D3" s="63">
        <f>SUM(D5:D49291)</f>
        <v>0</v>
      </c>
      <c r="E3" s="64"/>
      <c r="F3" s="64">
        <f>SUM($C$5:$C49291)</f>
        <v>0</v>
      </c>
      <c r="G3" s="65">
        <v>44927</v>
      </c>
      <c r="H3" s="65">
        <v>45429</v>
      </c>
    </row>
    <row r="4" spans="1:8" ht="25.5" customHeight="1">
      <c r="A4" s="7" t="s">
        <v>55</v>
      </c>
      <c r="B4" s="8" t="s">
        <v>1</v>
      </c>
      <c r="C4" s="9" t="s">
        <v>56</v>
      </c>
      <c r="D4" s="9" t="s">
        <v>65</v>
      </c>
      <c r="E4" s="9" t="s">
        <v>66</v>
      </c>
      <c r="F4" s="9" t="s">
        <v>67</v>
      </c>
      <c r="G4" s="66"/>
      <c r="H4" s="66"/>
    </row>
    <row r="5" spans="1:8" ht="34.5" customHeight="1">
      <c r="A5" s="10">
        <v>1</v>
      </c>
      <c r="B5" s="67" t="s">
        <v>60</v>
      </c>
      <c r="C5" s="12">
        <f>SUMIFS('From Woocommerce'!D:D, 'From Woocommerce'!E:E, "Tecumseh Minor Baseball", 'From Woocommerce'!C:C, "Processing")</f>
        <v>0</v>
      </c>
      <c r="D5" s="13">
        <f>COUNTIFS('From Woocommerce'!E:E, "Tecumseh Minor Baseball", 'From Woocommerce'!C:C, "Processing")</f>
        <v>0</v>
      </c>
      <c r="E5" s="68" t="e">
        <f>AVERAGEIFS('From Woocommerce'!D:D,  'From Woocommerce'!E:E, "Tecumseh Minor Baseball", 'From Woocommerce'!C:C, "Processing")</f>
        <v>#DIV/0!</v>
      </c>
      <c r="F5" s="69">
        <f t="shared" ref="F5:F8" si="0">IFERROR(IF(B5="","",C5/SUM($C$5:$C49291)),0)</f>
        <v>0</v>
      </c>
      <c r="G5" s="70"/>
      <c r="H5" s="70"/>
    </row>
    <row r="6" spans="1:8" ht="34.5" customHeight="1">
      <c r="A6" s="16">
        <v>2</v>
      </c>
      <c r="B6" s="71" t="s">
        <v>59</v>
      </c>
      <c r="C6" s="18">
        <f>SUMIFS('From Woocommerce'!D:D, 'From Woocommerce'!E:E, "Kingsville Soccer Association", 'From Woocommerce'!C:C, "Processing")</f>
        <v>0</v>
      </c>
      <c r="D6" s="19">
        <f>COUNTIFS('From Woocommerce'!E:E, "Kingsville Soccer Association", 'From Woocommerce'!C:C, "Processing")</f>
        <v>0</v>
      </c>
      <c r="E6" s="68" t="e">
        <f>AVERAGEIFS('From Woocommerce'!D:D, 'From Woocommerce'!C:C, "Processing", 'From Woocommerce'!E:E, "Kingsville Soccer Association")</f>
        <v>#DIV/0!</v>
      </c>
      <c r="F6" s="69">
        <f t="shared" si="0"/>
        <v>0</v>
      </c>
      <c r="G6" s="70"/>
      <c r="H6" s="70"/>
    </row>
    <row r="7" spans="1:8" ht="34.5" customHeight="1">
      <c r="A7" s="10">
        <v>3</v>
      </c>
      <c r="B7" s="67" t="s">
        <v>62</v>
      </c>
      <c r="C7" s="72">
        <f>SUMIFS('From Woocommerce'!D:D, 'From Woocommerce'!E:E, "Erie North Shore Hockey", 'From Woocommerce'!C:C, "Processing")</f>
        <v>0</v>
      </c>
      <c r="D7" s="13">
        <f>COUNTIFS('From Woocommerce'!E:E, "Erie North Shore Hockey", 'From Woocommerce'!C:C, "Processing")</f>
        <v>0</v>
      </c>
      <c r="E7" s="68" t="e">
        <f>AVERAGEIFS('From Woocommerce'!D:D, 'From Woocommerce'!C:C, "Processing", 'From Woocommerce'!E:E, "Erie North Shore Hockey")</f>
        <v>#DIV/0!</v>
      </c>
      <c r="F7" s="69">
        <f t="shared" si="0"/>
        <v>0</v>
      </c>
      <c r="G7" s="70"/>
      <c r="H7" s="70"/>
    </row>
    <row r="8" spans="1:8" ht="34.5" customHeight="1">
      <c r="A8" s="73">
        <v>4</v>
      </c>
      <c r="B8" s="71" t="s">
        <v>61</v>
      </c>
      <c r="C8" s="18">
        <f>SUMIFS('From Woocommerce'!D:D, 'From Woocommerce'!E:E, "Riverside Minor Baseball Association", 'From Woocommerce'!C:C, "Processing")</f>
        <v>0</v>
      </c>
      <c r="D8" s="19">
        <f>COUNTIFS('From Woocommerce'!E:E, "Riverside Minor Baseball Association", 'From Woocommerce'!C:C, "Processing")</f>
        <v>0</v>
      </c>
      <c r="E8" s="68" t="e">
        <f>AVERAGEIFS('From Woocommerce'!D:D, 'From Woocommerce'!C:C, "Processing", 'From Woocommerce'!E:E, "Riverside Minor Baseball Association")</f>
        <v>#DIV/0!</v>
      </c>
      <c r="F8" s="69">
        <f t="shared" si="0"/>
        <v>0</v>
      </c>
      <c r="G8" s="70"/>
      <c r="H8" s="70"/>
    </row>
    <row r="9" spans="1:8" ht="34.5" customHeight="1">
      <c r="A9" s="20"/>
      <c r="B9" s="21"/>
      <c r="C9" s="12"/>
      <c r="D9" s="22"/>
      <c r="E9" s="68"/>
      <c r="F9" s="69"/>
      <c r="G9" s="70"/>
      <c r="H9" s="70"/>
    </row>
    <row r="10" spans="1:8" ht="34.5" customHeight="1">
      <c r="A10" s="16"/>
      <c r="B10" s="17"/>
      <c r="C10" s="23"/>
      <c r="D10" s="19"/>
      <c r="E10" s="74"/>
      <c r="F10" s="75"/>
      <c r="G10" s="70"/>
      <c r="H10" s="70"/>
    </row>
    <row r="11" spans="1:8" ht="34.5" customHeight="1">
      <c r="A11" s="10"/>
      <c r="B11" s="11"/>
      <c r="C11" s="12"/>
      <c r="D11" s="22"/>
      <c r="E11" s="68"/>
      <c r="F11" s="69"/>
      <c r="G11" s="70"/>
      <c r="H11" s="70"/>
    </row>
    <row r="12" spans="1:8" ht="34.5" customHeight="1">
      <c r="A12" s="16"/>
      <c r="B12" s="17"/>
      <c r="C12" s="23"/>
      <c r="D12" s="19"/>
      <c r="E12" s="74"/>
      <c r="F12" s="75"/>
      <c r="G12" s="70"/>
      <c r="H12" s="70"/>
    </row>
    <row r="13" spans="1:8" ht="34.5" customHeight="1">
      <c r="A13" s="10"/>
      <c r="B13" s="11"/>
      <c r="C13" s="12"/>
      <c r="D13" s="22"/>
      <c r="E13" s="68"/>
      <c r="F13" s="69"/>
      <c r="G13" s="70"/>
      <c r="H13" s="70"/>
    </row>
    <row r="14" spans="1:8" ht="34.5" customHeight="1">
      <c r="A14" s="16"/>
      <c r="B14" s="17"/>
      <c r="C14" s="23"/>
      <c r="D14" s="19"/>
      <c r="E14" s="74"/>
      <c r="F14" s="75"/>
      <c r="G14" s="70"/>
      <c r="H14" s="70"/>
    </row>
    <row r="15" spans="1:8" ht="34.5" customHeight="1">
      <c r="A15" s="10"/>
      <c r="B15" s="11"/>
      <c r="C15" s="12"/>
      <c r="D15" s="22"/>
      <c r="E15" s="68"/>
      <c r="F15" s="69"/>
      <c r="G15" s="70"/>
      <c r="H15" s="70"/>
    </row>
    <row r="16" spans="1:8" ht="34.5" customHeight="1">
      <c r="A16" s="16"/>
      <c r="B16" s="17"/>
      <c r="C16" s="23"/>
      <c r="D16" s="19"/>
      <c r="E16" s="74"/>
      <c r="F16" s="75"/>
      <c r="G16" s="70"/>
      <c r="H16" s="70"/>
    </row>
    <row r="17" spans="1:8" ht="34.5" customHeight="1">
      <c r="A17" s="10"/>
      <c r="B17" s="11"/>
      <c r="C17" s="12"/>
      <c r="D17" s="22"/>
      <c r="E17" s="68"/>
      <c r="F17" s="69"/>
      <c r="G17" s="70"/>
      <c r="H17" s="70"/>
    </row>
    <row r="18" spans="1:8" ht="35.25" customHeight="1">
      <c r="A18" s="16"/>
      <c r="B18" s="17"/>
      <c r="C18" s="23"/>
      <c r="D18" s="19"/>
      <c r="E18" s="74"/>
      <c r="F18" s="75"/>
      <c r="G18" s="70"/>
      <c r="H18" s="70"/>
    </row>
    <row r="19" spans="1:8" ht="34.5" customHeight="1">
      <c r="A19" s="10"/>
      <c r="B19" s="11"/>
      <c r="C19" s="12"/>
      <c r="D19" s="22"/>
      <c r="E19" s="68"/>
      <c r="F19" s="69"/>
      <c r="G19" s="70"/>
      <c r="H19" s="70"/>
    </row>
    <row r="20" spans="1:8" ht="34.5" customHeight="1">
      <c r="A20" s="16"/>
      <c r="B20" s="17"/>
      <c r="C20" s="23"/>
      <c r="D20" s="19"/>
      <c r="E20" s="74"/>
      <c r="F20" s="75"/>
      <c r="G20" s="70"/>
      <c r="H20" s="70"/>
    </row>
    <row r="21" spans="1:8" ht="34.5" customHeight="1">
      <c r="A21" s="10"/>
      <c r="B21" s="11"/>
      <c r="C21" s="12"/>
      <c r="D21" s="22"/>
      <c r="E21" s="68"/>
      <c r="F21" s="69"/>
      <c r="G21" s="70"/>
      <c r="H21" s="70"/>
    </row>
    <row r="22" spans="1:8" ht="34.5" customHeight="1">
      <c r="A22" s="16"/>
      <c r="B22" s="17"/>
      <c r="C22" s="23"/>
      <c r="D22" s="19"/>
      <c r="E22" s="74"/>
      <c r="F22" s="75"/>
      <c r="G22" s="70"/>
      <c r="H22" s="70"/>
    </row>
    <row r="23" spans="1:8" ht="34.5" customHeight="1">
      <c r="A23" s="10"/>
      <c r="B23" s="11"/>
      <c r="C23" s="12"/>
      <c r="D23" s="22"/>
      <c r="E23" s="68"/>
      <c r="F23" s="69"/>
      <c r="G23" s="70"/>
      <c r="H23" s="70"/>
    </row>
    <row r="24" spans="1:8" ht="34.5" customHeight="1">
      <c r="A24" s="16"/>
      <c r="B24" s="17"/>
      <c r="C24" s="23"/>
      <c r="D24" s="19"/>
      <c r="E24" s="74"/>
      <c r="F24" s="75"/>
      <c r="G24" s="70"/>
      <c r="H24" s="70"/>
    </row>
    <row r="25" spans="1:8" ht="34.5" customHeight="1">
      <c r="A25" s="10"/>
      <c r="B25" s="11"/>
      <c r="C25" s="12"/>
      <c r="D25" s="22"/>
      <c r="E25" s="68"/>
      <c r="F25" s="69"/>
      <c r="G25" s="70"/>
      <c r="H25" s="70"/>
    </row>
    <row r="26" spans="1:8" ht="34.5" customHeight="1">
      <c r="A26" s="24"/>
      <c r="B26" s="25"/>
      <c r="C26" s="23"/>
      <c r="D26" s="19"/>
      <c r="E26" s="74"/>
      <c r="F26" s="75"/>
      <c r="G26" s="70"/>
      <c r="H26" s="70"/>
    </row>
    <row r="27" spans="1:8" ht="15.75" customHeight="1">
      <c r="A27" s="76"/>
      <c r="B27" s="77"/>
      <c r="C27" s="78"/>
      <c r="D27" s="79"/>
      <c r="E27" s="79"/>
      <c r="F27" s="79"/>
      <c r="G27" s="28"/>
      <c r="H27" s="28"/>
    </row>
    <row r="28" spans="1:8" ht="15.75" customHeight="1">
      <c r="A28" s="26"/>
      <c r="B28" s="1"/>
      <c r="C28" s="27"/>
      <c r="D28" s="28"/>
      <c r="E28" s="28"/>
      <c r="F28" s="28"/>
      <c r="G28" s="28"/>
      <c r="H28" s="28"/>
    </row>
    <row r="29" spans="1:8" ht="15.75" customHeight="1">
      <c r="A29" s="26"/>
      <c r="C29" s="27"/>
      <c r="D29" s="28"/>
      <c r="E29" s="28"/>
      <c r="F29" s="28"/>
      <c r="G29" s="28"/>
      <c r="H29" s="28"/>
    </row>
    <row r="30" spans="1:8" ht="15.75" customHeight="1">
      <c r="A30" s="26"/>
      <c r="C30" s="27"/>
      <c r="D30" s="28"/>
      <c r="E30" s="28"/>
      <c r="F30" s="28"/>
      <c r="G30" s="28"/>
      <c r="H30" s="28"/>
    </row>
    <row r="31" spans="1:8" ht="15.75" customHeight="1">
      <c r="A31" s="26"/>
      <c r="C31" s="27"/>
      <c r="D31" s="28"/>
      <c r="E31" s="28"/>
      <c r="G31" s="28"/>
      <c r="H31" s="28"/>
    </row>
    <row r="32" spans="1:8" ht="15.75" customHeight="1">
      <c r="A32" s="26"/>
      <c r="C32" s="27"/>
      <c r="D32" s="28"/>
      <c r="E32" s="28"/>
      <c r="G32" s="28"/>
      <c r="H32" s="28"/>
    </row>
    <row r="33" spans="1:8" ht="15.75" customHeight="1">
      <c r="A33" s="26"/>
      <c r="C33" s="27"/>
      <c r="D33" s="28"/>
      <c r="E33" s="28"/>
      <c r="G33" s="28"/>
      <c r="H33" s="28"/>
    </row>
    <row r="34" spans="1:8" ht="15.75" customHeight="1">
      <c r="A34" s="26"/>
      <c r="C34" s="27"/>
      <c r="D34" s="28"/>
      <c r="E34" s="28"/>
      <c r="G34" s="28"/>
      <c r="H34" s="28"/>
    </row>
    <row r="35" spans="1:8" ht="15.75" customHeight="1">
      <c r="A35" s="26"/>
      <c r="C35" s="27"/>
      <c r="D35" s="28"/>
      <c r="E35" s="28"/>
      <c r="G35" s="28"/>
      <c r="H35" s="28"/>
    </row>
    <row r="36" spans="1:8" ht="15.75" customHeight="1">
      <c r="A36" s="26"/>
      <c r="C36" s="27"/>
      <c r="D36" s="28"/>
      <c r="E36" s="28"/>
      <c r="G36" s="28"/>
      <c r="H36" s="28"/>
    </row>
    <row r="37" spans="1:8" ht="15.75" customHeight="1">
      <c r="A37" s="26"/>
      <c r="C37" s="27"/>
      <c r="D37" s="28"/>
      <c r="E37" s="28"/>
      <c r="G37" s="28"/>
      <c r="H37" s="28"/>
    </row>
    <row r="38" spans="1:8" ht="15.75" customHeight="1">
      <c r="A38" s="26"/>
      <c r="C38" s="27"/>
      <c r="D38" s="28"/>
    </row>
    <row r="39" spans="1:8" ht="15.75" customHeight="1">
      <c r="A39" s="26"/>
      <c r="C39" s="27"/>
      <c r="D39" s="28"/>
    </row>
    <row r="40" spans="1:8" ht="15.75" customHeight="1">
      <c r="A40" s="26"/>
      <c r="C40" s="27"/>
      <c r="D40" s="28"/>
    </row>
    <row r="41" spans="1:8" ht="15.75" customHeight="1">
      <c r="A41" s="26"/>
      <c r="C41" s="27"/>
      <c r="D41" s="28"/>
    </row>
    <row r="42" spans="1:8" ht="15.75" customHeight="1">
      <c r="A42" s="26"/>
      <c r="C42" s="27"/>
      <c r="D42" s="28"/>
    </row>
    <row r="43" spans="1:8" ht="15.75" customHeight="1">
      <c r="A43" s="26"/>
      <c r="C43" s="27"/>
      <c r="D43" s="28"/>
    </row>
    <row r="44" spans="1:8" ht="15.75" customHeight="1">
      <c r="A44" s="26"/>
      <c r="C44" s="27"/>
      <c r="D44" s="28"/>
    </row>
    <row r="45" spans="1:8" ht="15.75" customHeight="1">
      <c r="A45" s="26"/>
      <c r="C45" s="27"/>
      <c r="D45" s="28"/>
    </row>
    <row r="46" spans="1:8" ht="15.75" customHeight="1">
      <c r="A46" s="26"/>
      <c r="C46" s="27"/>
      <c r="D46" s="28"/>
    </row>
    <row r="47" spans="1:8" ht="15.75" customHeight="1">
      <c r="A47" s="26"/>
      <c r="C47" s="27"/>
      <c r="D47" s="28"/>
    </row>
    <row r="48" spans="1:8" ht="15.75" customHeight="1">
      <c r="A48" s="26"/>
      <c r="C48" s="27"/>
      <c r="D48" s="28"/>
    </row>
    <row r="49" spans="1:8" ht="15.75" customHeight="1">
      <c r="A49" s="26"/>
      <c r="C49" s="27"/>
      <c r="D49" s="28"/>
      <c r="E49" s="28"/>
      <c r="F49" s="28"/>
      <c r="G49" s="28"/>
      <c r="H49" s="28"/>
    </row>
    <row r="50" spans="1:8" ht="15.75" customHeight="1">
      <c r="A50" s="26"/>
      <c r="C50" s="27"/>
      <c r="D50" s="28"/>
      <c r="E50" s="28"/>
      <c r="F50" s="28"/>
      <c r="G50" s="28"/>
      <c r="H50" s="28"/>
    </row>
    <row r="51" spans="1:8" ht="15.75" customHeight="1">
      <c r="A51" s="26"/>
      <c r="C51" s="27"/>
      <c r="D51" s="28"/>
      <c r="E51" s="28"/>
      <c r="F51" s="28"/>
      <c r="G51" s="28"/>
      <c r="H51" s="28"/>
    </row>
    <row r="52" spans="1:8" ht="15.75" customHeight="1">
      <c r="A52" s="26"/>
      <c r="C52" s="27"/>
      <c r="D52" s="28"/>
      <c r="E52" s="28"/>
      <c r="F52" s="28"/>
      <c r="G52" s="28"/>
      <c r="H52" s="28"/>
    </row>
    <row r="53" spans="1:8" ht="15.75" customHeight="1">
      <c r="A53" s="26"/>
      <c r="C53" s="27"/>
      <c r="D53" s="28"/>
      <c r="E53" s="28"/>
      <c r="F53" s="28"/>
      <c r="G53" s="28"/>
      <c r="H53" s="28"/>
    </row>
    <row r="54" spans="1:8" ht="15.75" customHeight="1">
      <c r="A54" s="26"/>
      <c r="C54" s="27"/>
      <c r="D54" s="28"/>
      <c r="E54" s="28"/>
      <c r="F54" s="28"/>
      <c r="G54" s="28"/>
      <c r="H54" s="28"/>
    </row>
    <row r="55" spans="1:8" ht="15.75" customHeight="1">
      <c r="A55" s="26"/>
      <c r="C55" s="27"/>
      <c r="D55" s="28"/>
      <c r="E55" s="28"/>
      <c r="F55" s="28"/>
      <c r="G55" s="28"/>
      <c r="H55" s="28"/>
    </row>
    <row r="56" spans="1:8" ht="15.75" customHeight="1">
      <c r="A56" s="26"/>
      <c r="C56" s="27"/>
      <c r="D56" s="28"/>
      <c r="E56" s="28"/>
      <c r="F56" s="28"/>
      <c r="G56" s="28"/>
      <c r="H56" s="28"/>
    </row>
    <row r="57" spans="1:8" ht="15.75" customHeight="1">
      <c r="A57" s="26"/>
      <c r="C57" s="27"/>
      <c r="D57" s="28"/>
      <c r="E57" s="28"/>
      <c r="F57" s="28"/>
      <c r="G57" s="28"/>
      <c r="H57" s="28"/>
    </row>
    <row r="58" spans="1:8" ht="15.75" customHeight="1">
      <c r="A58" s="26"/>
      <c r="C58" s="27"/>
      <c r="D58" s="28"/>
      <c r="E58" s="28"/>
      <c r="F58" s="28"/>
      <c r="G58" s="28"/>
      <c r="H58" s="28"/>
    </row>
    <row r="59" spans="1:8" ht="15.75" customHeight="1">
      <c r="A59" s="26"/>
      <c r="C59" s="27"/>
      <c r="D59" s="28"/>
      <c r="E59" s="28"/>
      <c r="F59" s="28"/>
      <c r="G59" s="28"/>
      <c r="H59" s="28"/>
    </row>
    <row r="60" spans="1:8" ht="15.75" customHeight="1">
      <c r="A60" s="26"/>
      <c r="C60" s="27"/>
      <c r="D60" s="28"/>
      <c r="E60" s="28"/>
      <c r="F60" s="28"/>
      <c r="G60" s="28"/>
      <c r="H60" s="28"/>
    </row>
    <row r="61" spans="1:8" ht="15.75" customHeight="1">
      <c r="A61" s="26"/>
      <c r="C61" s="27"/>
      <c r="D61" s="28"/>
      <c r="E61" s="28"/>
      <c r="F61" s="28"/>
      <c r="G61" s="28"/>
      <c r="H61" s="28"/>
    </row>
    <row r="62" spans="1:8" ht="15.75" customHeight="1">
      <c r="A62" s="26"/>
      <c r="C62" s="27"/>
      <c r="D62" s="28"/>
      <c r="E62" s="28"/>
      <c r="F62" s="28"/>
      <c r="G62" s="28"/>
      <c r="H62" s="28"/>
    </row>
    <row r="63" spans="1:8" ht="15.75" customHeight="1">
      <c r="A63" s="26"/>
      <c r="C63" s="27"/>
      <c r="D63" s="28"/>
      <c r="E63" s="28"/>
      <c r="F63" s="28"/>
      <c r="G63" s="28"/>
      <c r="H63" s="28"/>
    </row>
    <row r="64" spans="1:8" ht="15.75" customHeight="1">
      <c r="A64" s="26"/>
      <c r="C64" s="27"/>
      <c r="D64" s="28"/>
      <c r="E64" s="28"/>
      <c r="F64" s="28"/>
      <c r="G64" s="28"/>
      <c r="H64" s="28"/>
    </row>
    <row r="65" spans="1:8" ht="15.75" customHeight="1">
      <c r="A65" s="26"/>
      <c r="C65" s="27"/>
      <c r="D65" s="28"/>
      <c r="E65" s="28"/>
      <c r="F65" s="28"/>
      <c r="G65" s="28"/>
      <c r="H65" s="28"/>
    </row>
    <row r="66" spans="1:8" ht="15.75" customHeight="1">
      <c r="A66" s="26"/>
      <c r="C66" s="27"/>
      <c r="D66" s="28"/>
      <c r="E66" s="28"/>
      <c r="F66" s="28"/>
      <c r="G66" s="28"/>
      <c r="H66" s="28"/>
    </row>
    <row r="67" spans="1:8" ht="15.75" customHeight="1">
      <c r="A67" s="26"/>
      <c r="C67" s="27"/>
      <c r="D67" s="28"/>
      <c r="E67" s="28"/>
      <c r="F67" s="28"/>
      <c r="G67" s="28"/>
      <c r="H67" s="28"/>
    </row>
    <row r="68" spans="1:8" ht="15.75" customHeight="1">
      <c r="A68" s="26"/>
      <c r="C68" s="27"/>
      <c r="D68" s="28"/>
      <c r="E68" s="28"/>
      <c r="F68" s="28"/>
      <c r="G68" s="28"/>
      <c r="H68" s="28"/>
    </row>
    <row r="69" spans="1:8" ht="15.75" customHeight="1">
      <c r="A69" s="26"/>
      <c r="C69" s="27"/>
      <c r="D69" s="28"/>
      <c r="E69" s="28"/>
      <c r="F69" s="28"/>
      <c r="G69" s="28"/>
      <c r="H69" s="28"/>
    </row>
    <row r="70" spans="1:8" ht="15.75" customHeight="1">
      <c r="A70" s="26"/>
      <c r="C70" s="27"/>
      <c r="D70" s="28"/>
      <c r="E70" s="28"/>
      <c r="F70" s="28"/>
      <c r="G70" s="28"/>
      <c r="H70" s="28"/>
    </row>
    <row r="71" spans="1:8" ht="15.75" customHeight="1">
      <c r="A71" s="26"/>
      <c r="C71" s="27"/>
      <c r="D71" s="28"/>
      <c r="E71" s="28"/>
      <c r="F71" s="28"/>
      <c r="G71" s="28"/>
      <c r="H71" s="28"/>
    </row>
    <row r="72" spans="1:8" ht="15.75" customHeight="1">
      <c r="A72" s="26"/>
      <c r="C72" s="27"/>
      <c r="D72" s="28"/>
      <c r="E72" s="28"/>
      <c r="F72" s="28"/>
      <c r="G72" s="28"/>
      <c r="H72" s="28"/>
    </row>
    <row r="73" spans="1:8" ht="15.75" customHeight="1">
      <c r="A73" s="26"/>
      <c r="C73" s="27"/>
      <c r="D73" s="28"/>
      <c r="E73" s="28"/>
      <c r="F73" s="28"/>
      <c r="G73" s="28"/>
      <c r="H73" s="28"/>
    </row>
    <row r="74" spans="1:8" ht="15.75" customHeight="1">
      <c r="A74" s="26"/>
      <c r="C74" s="27"/>
      <c r="D74" s="28"/>
      <c r="E74" s="28"/>
      <c r="F74" s="28"/>
      <c r="G74" s="28"/>
      <c r="H74" s="28"/>
    </row>
    <row r="75" spans="1:8" ht="15.75" customHeight="1">
      <c r="A75" s="26"/>
      <c r="C75" s="27"/>
      <c r="D75" s="28"/>
      <c r="E75" s="28"/>
      <c r="F75" s="28"/>
      <c r="G75" s="28"/>
      <c r="H75" s="28"/>
    </row>
    <row r="76" spans="1:8" ht="15.75" customHeight="1">
      <c r="A76" s="26"/>
      <c r="C76" s="27"/>
      <c r="D76" s="28"/>
      <c r="E76" s="28"/>
      <c r="F76" s="28"/>
      <c r="G76" s="28"/>
      <c r="H76" s="28"/>
    </row>
    <row r="77" spans="1:8" ht="15.75" customHeight="1">
      <c r="A77" s="26"/>
      <c r="C77" s="27"/>
      <c r="D77" s="28"/>
      <c r="E77" s="28"/>
      <c r="F77" s="28"/>
      <c r="G77" s="28"/>
      <c r="H77" s="28"/>
    </row>
    <row r="78" spans="1:8" ht="15.75" customHeight="1">
      <c r="A78" s="26"/>
      <c r="C78" s="27"/>
      <c r="D78" s="28"/>
      <c r="E78" s="28"/>
      <c r="F78" s="28"/>
      <c r="G78" s="28"/>
      <c r="H78" s="28"/>
    </row>
    <row r="79" spans="1:8" ht="15.75" customHeight="1">
      <c r="A79" s="26"/>
      <c r="C79" s="27"/>
      <c r="D79" s="28"/>
      <c r="E79" s="28"/>
      <c r="F79" s="28"/>
      <c r="G79" s="28"/>
      <c r="H79" s="28"/>
    </row>
    <row r="80" spans="1:8" ht="15.75" customHeight="1">
      <c r="A80" s="26"/>
      <c r="C80" s="27"/>
      <c r="D80" s="28"/>
      <c r="E80" s="28"/>
      <c r="F80" s="28"/>
      <c r="G80" s="28"/>
      <c r="H80" s="28"/>
    </row>
    <row r="81" spans="1:8" ht="15.75" customHeight="1">
      <c r="A81" s="26"/>
      <c r="C81" s="27"/>
      <c r="D81" s="28"/>
      <c r="E81" s="28"/>
      <c r="F81" s="28"/>
      <c r="G81" s="28"/>
      <c r="H81" s="28"/>
    </row>
    <row r="82" spans="1:8" ht="15.75" customHeight="1">
      <c r="A82" s="26"/>
      <c r="C82" s="27"/>
      <c r="D82" s="28"/>
      <c r="E82" s="28"/>
      <c r="F82" s="28"/>
      <c r="G82" s="28"/>
      <c r="H82" s="28"/>
    </row>
    <row r="83" spans="1:8" ht="15.75" customHeight="1">
      <c r="A83" s="26"/>
      <c r="C83" s="27"/>
      <c r="D83" s="28"/>
      <c r="E83" s="28"/>
      <c r="F83" s="28"/>
      <c r="G83" s="28"/>
      <c r="H83" s="28"/>
    </row>
    <row r="84" spans="1:8" ht="15.75" customHeight="1">
      <c r="A84" s="26"/>
      <c r="C84" s="27"/>
      <c r="D84" s="28"/>
      <c r="E84" s="28"/>
      <c r="F84" s="28"/>
      <c r="G84" s="28"/>
      <c r="H84" s="28"/>
    </row>
    <row r="85" spans="1:8" ht="15.75" customHeight="1">
      <c r="A85" s="26"/>
      <c r="C85" s="27"/>
      <c r="D85" s="28"/>
      <c r="E85" s="28"/>
      <c r="F85" s="28"/>
      <c r="G85" s="28"/>
      <c r="H85" s="28"/>
    </row>
    <row r="86" spans="1:8" ht="15.75" customHeight="1">
      <c r="A86" s="26"/>
      <c r="C86" s="27"/>
      <c r="D86" s="28"/>
      <c r="E86" s="28"/>
      <c r="F86" s="28"/>
      <c r="G86" s="28"/>
      <c r="H86" s="28"/>
    </row>
    <row r="87" spans="1:8" ht="15.75" customHeight="1">
      <c r="A87" s="26"/>
      <c r="C87" s="27"/>
      <c r="D87" s="28"/>
      <c r="E87" s="28"/>
      <c r="F87" s="28"/>
      <c r="G87" s="28"/>
      <c r="H87" s="28"/>
    </row>
    <row r="88" spans="1:8" ht="15.75" customHeight="1">
      <c r="A88" s="26"/>
      <c r="C88" s="27"/>
      <c r="D88" s="28"/>
      <c r="E88" s="28"/>
      <c r="F88" s="28"/>
      <c r="G88" s="28"/>
      <c r="H88" s="28"/>
    </row>
    <row r="89" spans="1:8" ht="15.75" customHeight="1">
      <c r="A89" s="26"/>
      <c r="C89" s="27"/>
      <c r="D89" s="28"/>
      <c r="E89" s="28"/>
      <c r="F89" s="28"/>
      <c r="G89" s="28"/>
      <c r="H89" s="28"/>
    </row>
    <row r="90" spans="1:8" ht="15.75" customHeight="1">
      <c r="A90" s="26"/>
      <c r="C90" s="27"/>
      <c r="D90" s="28"/>
      <c r="E90" s="28"/>
      <c r="F90" s="28"/>
      <c r="G90" s="28"/>
      <c r="H90" s="28"/>
    </row>
    <row r="91" spans="1:8" ht="15.75" customHeight="1">
      <c r="A91" s="26"/>
      <c r="C91" s="27"/>
      <c r="D91" s="28"/>
      <c r="E91" s="28"/>
      <c r="F91" s="28"/>
      <c r="G91" s="28"/>
      <c r="H91" s="28"/>
    </row>
    <row r="92" spans="1:8" ht="15.75" customHeight="1">
      <c r="A92" s="26"/>
      <c r="C92" s="27"/>
      <c r="D92" s="28"/>
      <c r="E92" s="28"/>
      <c r="F92" s="28"/>
      <c r="G92" s="28"/>
      <c r="H92" s="28"/>
    </row>
    <row r="93" spans="1:8" ht="15.75" customHeight="1">
      <c r="A93" s="26"/>
      <c r="C93" s="27"/>
      <c r="D93" s="28"/>
      <c r="E93" s="28"/>
      <c r="F93" s="28"/>
      <c r="G93" s="28"/>
      <c r="H93" s="28"/>
    </row>
    <row r="94" spans="1:8" ht="15.75" customHeight="1">
      <c r="A94" s="26"/>
      <c r="C94" s="27"/>
      <c r="D94" s="28"/>
      <c r="E94" s="28"/>
      <c r="F94" s="28"/>
      <c r="G94" s="28"/>
      <c r="H94" s="28"/>
    </row>
    <row r="95" spans="1:8" ht="15.75" customHeight="1">
      <c r="A95" s="26"/>
      <c r="C95" s="27"/>
      <c r="D95" s="28"/>
      <c r="E95" s="28"/>
      <c r="F95" s="28"/>
      <c r="G95" s="28"/>
      <c r="H95" s="28"/>
    </row>
    <row r="96" spans="1:8" ht="15.75" customHeight="1">
      <c r="A96" s="26"/>
      <c r="C96" s="27"/>
      <c r="D96" s="28"/>
      <c r="E96" s="28"/>
      <c r="F96" s="28"/>
      <c r="G96" s="28"/>
      <c r="H96" s="28"/>
    </row>
    <row r="97" spans="1:8" ht="15.75" customHeight="1">
      <c r="A97" s="26"/>
      <c r="C97" s="27"/>
      <c r="D97" s="28"/>
      <c r="E97" s="28"/>
      <c r="F97" s="28"/>
      <c r="G97" s="28"/>
      <c r="H97" s="28"/>
    </row>
    <row r="98" spans="1:8" ht="15.75" customHeight="1">
      <c r="A98" s="26"/>
      <c r="C98" s="27"/>
      <c r="D98" s="28"/>
      <c r="E98" s="28"/>
      <c r="F98" s="28"/>
      <c r="G98" s="28"/>
      <c r="H98" s="28"/>
    </row>
    <row r="99" spans="1:8" ht="15.75" customHeight="1">
      <c r="A99" s="26"/>
      <c r="C99" s="27"/>
      <c r="D99" s="28"/>
      <c r="E99" s="28"/>
      <c r="F99" s="28"/>
      <c r="G99" s="28"/>
      <c r="H99" s="28"/>
    </row>
    <row r="100" spans="1:8" ht="15.75" customHeight="1">
      <c r="A100" s="26"/>
      <c r="C100" s="27"/>
      <c r="D100" s="28"/>
      <c r="E100" s="28"/>
      <c r="F100" s="28"/>
      <c r="G100" s="28"/>
      <c r="H100" s="28"/>
    </row>
    <row r="101" spans="1:8" ht="15.75" customHeight="1">
      <c r="A101" s="26"/>
      <c r="C101" s="27"/>
      <c r="D101" s="28"/>
      <c r="E101" s="28"/>
      <c r="F101" s="28"/>
      <c r="G101" s="28"/>
      <c r="H101" s="28"/>
    </row>
    <row r="102" spans="1:8" ht="15.75" customHeight="1">
      <c r="A102" s="26"/>
      <c r="C102" s="27"/>
      <c r="D102" s="28"/>
      <c r="E102" s="28"/>
      <c r="F102" s="28"/>
      <c r="G102" s="28"/>
      <c r="H102" s="28"/>
    </row>
    <row r="103" spans="1:8" ht="15.75" customHeight="1">
      <c r="A103" s="26"/>
      <c r="C103" s="27"/>
      <c r="D103" s="28"/>
      <c r="E103" s="28"/>
      <c r="F103" s="28"/>
      <c r="G103" s="28"/>
      <c r="H103" s="28"/>
    </row>
    <row r="104" spans="1:8" ht="15.75" customHeight="1">
      <c r="A104" s="26"/>
      <c r="C104" s="27"/>
      <c r="D104" s="28"/>
      <c r="E104" s="28"/>
      <c r="F104" s="28"/>
      <c r="G104" s="28"/>
      <c r="H104" s="28"/>
    </row>
    <row r="105" spans="1:8" ht="15.75" customHeight="1">
      <c r="A105" s="26"/>
      <c r="C105" s="27"/>
      <c r="D105" s="28"/>
      <c r="E105" s="28"/>
      <c r="F105" s="28"/>
      <c r="G105" s="28"/>
      <c r="H105" s="28"/>
    </row>
    <row r="106" spans="1:8" ht="15.75" customHeight="1">
      <c r="A106" s="26"/>
      <c r="C106" s="27"/>
      <c r="D106" s="28"/>
      <c r="E106" s="28"/>
      <c r="F106" s="28"/>
      <c r="G106" s="28"/>
      <c r="H106" s="28"/>
    </row>
    <row r="107" spans="1:8" ht="15.75" customHeight="1">
      <c r="A107" s="26"/>
      <c r="C107" s="27"/>
      <c r="D107" s="28"/>
      <c r="E107" s="28"/>
      <c r="F107" s="28"/>
      <c r="G107" s="28"/>
      <c r="H107" s="28"/>
    </row>
    <row r="108" spans="1:8" ht="15.75" customHeight="1">
      <c r="A108" s="26"/>
      <c r="C108" s="27"/>
      <c r="D108" s="28"/>
      <c r="E108" s="28"/>
      <c r="F108" s="28"/>
      <c r="G108" s="28"/>
      <c r="H108" s="28"/>
    </row>
    <row r="109" spans="1:8" ht="15.75" customHeight="1">
      <c r="A109" s="26"/>
      <c r="C109" s="27"/>
      <c r="D109" s="28"/>
      <c r="E109" s="28"/>
      <c r="F109" s="28"/>
      <c r="G109" s="28"/>
      <c r="H109" s="28"/>
    </row>
    <row r="110" spans="1:8" ht="15.75" customHeight="1">
      <c r="A110" s="26"/>
      <c r="C110" s="27"/>
      <c r="D110" s="28"/>
      <c r="E110" s="28"/>
      <c r="F110" s="28"/>
      <c r="G110" s="28"/>
      <c r="H110" s="28"/>
    </row>
    <row r="111" spans="1:8" ht="15.75" customHeight="1">
      <c r="A111" s="26"/>
      <c r="C111" s="27"/>
      <c r="D111" s="28"/>
      <c r="E111" s="28"/>
      <c r="F111" s="28"/>
      <c r="G111" s="28"/>
      <c r="H111" s="28"/>
    </row>
    <row r="112" spans="1:8" ht="15.75" customHeight="1">
      <c r="A112" s="26"/>
      <c r="C112" s="27"/>
      <c r="D112" s="28"/>
      <c r="E112" s="28"/>
      <c r="F112" s="28"/>
      <c r="G112" s="28"/>
      <c r="H112" s="28"/>
    </row>
    <row r="113" spans="1:8" ht="15.75" customHeight="1">
      <c r="A113" s="26"/>
      <c r="C113" s="27"/>
      <c r="D113" s="28"/>
      <c r="E113" s="28"/>
      <c r="F113" s="28"/>
      <c r="G113" s="28"/>
      <c r="H113" s="28"/>
    </row>
    <row r="114" spans="1:8" ht="15.75" customHeight="1">
      <c r="A114" s="26"/>
      <c r="C114" s="27"/>
      <c r="D114" s="28"/>
      <c r="E114" s="28"/>
      <c r="F114" s="28"/>
      <c r="G114" s="28"/>
      <c r="H114" s="28"/>
    </row>
    <row r="115" spans="1:8" ht="15.75" customHeight="1">
      <c r="A115" s="26"/>
      <c r="C115" s="27"/>
      <c r="D115" s="28"/>
      <c r="E115" s="28"/>
      <c r="F115" s="28"/>
      <c r="G115" s="28"/>
      <c r="H115" s="28"/>
    </row>
    <row r="116" spans="1:8" ht="15.75" customHeight="1">
      <c r="A116" s="26"/>
      <c r="C116" s="27"/>
      <c r="D116" s="28"/>
      <c r="E116" s="28"/>
      <c r="F116" s="28"/>
      <c r="G116" s="28"/>
      <c r="H116" s="28"/>
    </row>
    <row r="117" spans="1:8" ht="15.75" customHeight="1">
      <c r="A117" s="26"/>
      <c r="C117" s="27"/>
      <c r="D117" s="28"/>
      <c r="E117" s="28"/>
      <c r="F117" s="28"/>
      <c r="G117" s="28"/>
      <c r="H117" s="28"/>
    </row>
    <row r="118" spans="1:8" ht="15.75" customHeight="1">
      <c r="A118" s="26"/>
      <c r="C118" s="27"/>
      <c r="D118" s="28"/>
      <c r="E118" s="28"/>
      <c r="F118" s="28"/>
      <c r="G118" s="28"/>
      <c r="H118" s="28"/>
    </row>
    <row r="119" spans="1:8" ht="15.75" customHeight="1">
      <c r="A119" s="26"/>
      <c r="C119" s="27"/>
      <c r="D119" s="28"/>
      <c r="E119" s="28"/>
      <c r="F119" s="28"/>
      <c r="G119" s="28"/>
      <c r="H119" s="28"/>
    </row>
    <row r="120" spans="1:8" ht="15.75" customHeight="1">
      <c r="A120" s="26"/>
      <c r="C120" s="27"/>
      <c r="D120" s="28"/>
      <c r="E120" s="28"/>
      <c r="F120" s="28"/>
      <c r="G120" s="28"/>
      <c r="H120" s="28"/>
    </row>
    <row r="121" spans="1:8" ht="15.75" customHeight="1">
      <c r="A121" s="26"/>
      <c r="C121" s="27"/>
      <c r="D121" s="28"/>
      <c r="E121" s="28"/>
      <c r="F121" s="28"/>
      <c r="G121" s="28"/>
      <c r="H121" s="28"/>
    </row>
    <row r="122" spans="1:8" ht="15.75" customHeight="1">
      <c r="A122" s="26"/>
      <c r="C122" s="27"/>
      <c r="D122" s="28"/>
      <c r="E122" s="28"/>
      <c r="F122" s="28"/>
      <c r="G122" s="28"/>
      <c r="H122" s="28"/>
    </row>
    <row r="123" spans="1:8" ht="15.75" customHeight="1">
      <c r="A123" s="26"/>
      <c r="C123" s="27"/>
      <c r="D123" s="28"/>
      <c r="E123" s="28"/>
      <c r="F123" s="28"/>
      <c r="G123" s="28"/>
      <c r="H123" s="28"/>
    </row>
    <row r="124" spans="1:8" ht="15.75" customHeight="1">
      <c r="A124" s="26"/>
      <c r="C124" s="27"/>
      <c r="D124" s="28"/>
      <c r="E124" s="28"/>
      <c r="F124" s="28"/>
      <c r="G124" s="28"/>
      <c r="H124" s="28"/>
    </row>
    <row r="125" spans="1:8" ht="15.75" customHeight="1">
      <c r="A125" s="26"/>
      <c r="C125" s="27"/>
      <c r="D125" s="28"/>
      <c r="E125" s="28"/>
      <c r="F125" s="28"/>
      <c r="G125" s="28"/>
      <c r="H125" s="28"/>
    </row>
    <row r="126" spans="1:8" ht="15.75" customHeight="1">
      <c r="A126" s="26"/>
      <c r="C126" s="27"/>
      <c r="D126" s="28"/>
      <c r="E126" s="28"/>
      <c r="F126" s="28"/>
      <c r="G126" s="28"/>
      <c r="H126" s="28"/>
    </row>
    <row r="127" spans="1:8" ht="15.75" customHeight="1">
      <c r="A127" s="26"/>
      <c r="C127" s="27"/>
      <c r="D127" s="28"/>
      <c r="E127" s="28"/>
      <c r="F127" s="28"/>
      <c r="G127" s="28"/>
      <c r="H127" s="28"/>
    </row>
    <row r="128" spans="1:8" ht="15.75" customHeight="1">
      <c r="A128" s="26"/>
      <c r="C128" s="27"/>
      <c r="D128" s="28"/>
      <c r="E128" s="28"/>
      <c r="F128" s="28"/>
      <c r="G128" s="28"/>
      <c r="H128" s="28"/>
    </row>
    <row r="129" spans="1:8" ht="15.75" customHeight="1">
      <c r="A129" s="26"/>
      <c r="C129" s="27"/>
      <c r="D129" s="28"/>
      <c r="E129" s="28"/>
      <c r="F129" s="28"/>
      <c r="G129" s="28"/>
      <c r="H129" s="28"/>
    </row>
    <row r="130" spans="1:8" ht="15.75" customHeight="1">
      <c r="A130" s="26"/>
      <c r="C130" s="27"/>
      <c r="D130" s="28"/>
      <c r="E130" s="28"/>
      <c r="F130" s="28"/>
      <c r="G130" s="28"/>
      <c r="H130" s="28"/>
    </row>
    <row r="131" spans="1:8" ht="15.75" customHeight="1">
      <c r="A131" s="26"/>
      <c r="C131" s="27"/>
      <c r="D131" s="28"/>
      <c r="E131" s="28"/>
      <c r="F131" s="28"/>
      <c r="G131" s="28"/>
      <c r="H131" s="28"/>
    </row>
    <row r="132" spans="1:8" ht="15.75" customHeight="1">
      <c r="A132" s="26"/>
      <c r="C132" s="27"/>
      <c r="D132" s="28"/>
      <c r="E132" s="28"/>
      <c r="F132" s="28"/>
      <c r="G132" s="28"/>
      <c r="H132" s="28"/>
    </row>
    <row r="133" spans="1:8" ht="15.75" customHeight="1">
      <c r="A133" s="26"/>
      <c r="C133" s="27"/>
      <c r="D133" s="28"/>
      <c r="E133" s="28"/>
      <c r="F133" s="28"/>
      <c r="G133" s="28"/>
      <c r="H133" s="28"/>
    </row>
    <row r="134" spans="1:8" ht="15.75" customHeight="1">
      <c r="A134" s="26"/>
      <c r="C134" s="27"/>
      <c r="D134" s="28"/>
      <c r="E134" s="28"/>
      <c r="F134" s="28"/>
      <c r="G134" s="28"/>
      <c r="H134" s="28"/>
    </row>
    <row r="135" spans="1:8" ht="15.75" customHeight="1">
      <c r="A135" s="26"/>
      <c r="C135" s="27"/>
      <c r="D135" s="28"/>
      <c r="E135" s="28"/>
      <c r="F135" s="28"/>
      <c r="G135" s="28"/>
      <c r="H135" s="28"/>
    </row>
    <row r="136" spans="1:8" ht="15.75" customHeight="1">
      <c r="A136" s="26"/>
      <c r="C136" s="27"/>
      <c r="D136" s="28"/>
      <c r="E136" s="28"/>
      <c r="F136" s="28"/>
      <c r="G136" s="28"/>
      <c r="H136" s="28"/>
    </row>
    <row r="137" spans="1:8" ht="15.75" customHeight="1">
      <c r="A137" s="26"/>
      <c r="C137" s="27"/>
      <c r="D137" s="28"/>
      <c r="E137" s="28"/>
      <c r="F137" s="28"/>
      <c r="G137" s="28"/>
      <c r="H137" s="28"/>
    </row>
    <row r="138" spans="1:8" ht="15.75" customHeight="1">
      <c r="A138" s="26"/>
      <c r="C138" s="27"/>
      <c r="D138" s="28"/>
      <c r="E138" s="28"/>
      <c r="F138" s="28"/>
      <c r="G138" s="28"/>
      <c r="H138" s="28"/>
    </row>
    <row r="139" spans="1:8" ht="15.75" customHeight="1">
      <c r="A139" s="26"/>
      <c r="C139" s="27"/>
      <c r="D139" s="28"/>
      <c r="E139" s="28"/>
      <c r="F139" s="28"/>
      <c r="G139" s="28"/>
      <c r="H139" s="28"/>
    </row>
    <row r="140" spans="1:8" ht="15.75" customHeight="1">
      <c r="A140" s="26"/>
      <c r="C140" s="27"/>
      <c r="D140" s="28"/>
      <c r="E140" s="28"/>
      <c r="F140" s="28"/>
      <c r="G140" s="28"/>
      <c r="H140" s="28"/>
    </row>
    <row r="141" spans="1:8" ht="15.75" customHeight="1">
      <c r="A141" s="26"/>
      <c r="C141" s="27"/>
      <c r="D141" s="28"/>
      <c r="E141" s="28"/>
      <c r="F141" s="28"/>
      <c r="G141" s="28"/>
      <c r="H141" s="28"/>
    </row>
    <row r="142" spans="1:8" ht="15.75" customHeight="1">
      <c r="A142" s="26"/>
      <c r="C142" s="27"/>
      <c r="D142" s="28"/>
      <c r="E142" s="28"/>
      <c r="F142" s="28"/>
      <c r="G142" s="28"/>
      <c r="H142" s="28"/>
    </row>
    <row r="143" spans="1:8" ht="15.75" customHeight="1">
      <c r="A143" s="26"/>
      <c r="C143" s="27"/>
      <c r="D143" s="28"/>
      <c r="E143" s="28"/>
      <c r="F143" s="28"/>
      <c r="G143" s="28"/>
      <c r="H143" s="28"/>
    </row>
    <row r="144" spans="1:8" ht="15.75" customHeight="1">
      <c r="A144" s="26"/>
      <c r="C144" s="27"/>
      <c r="D144" s="28"/>
      <c r="E144" s="28"/>
      <c r="F144" s="28"/>
      <c r="G144" s="28"/>
      <c r="H144" s="28"/>
    </row>
    <row r="145" spans="1:8" ht="15.75" customHeight="1">
      <c r="A145" s="26"/>
      <c r="C145" s="27"/>
      <c r="D145" s="28"/>
      <c r="E145" s="28"/>
      <c r="F145" s="28"/>
      <c r="G145" s="28"/>
      <c r="H145" s="28"/>
    </row>
    <row r="146" spans="1:8" ht="15.75" customHeight="1">
      <c r="A146" s="26"/>
      <c r="C146" s="27"/>
      <c r="D146" s="28"/>
      <c r="E146" s="28"/>
      <c r="F146" s="28"/>
      <c r="G146" s="28"/>
      <c r="H146" s="28"/>
    </row>
    <row r="147" spans="1:8" ht="15.75" customHeight="1">
      <c r="A147" s="26"/>
      <c r="C147" s="27"/>
      <c r="D147" s="28"/>
      <c r="E147" s="28"/>
      <c r="F147" s="28"/>
      <c r="G147" s="28"/>
      <c r="H147" s="28"/>
    </row>
    <row r="148" spans="1:8" ht="15.75" customHeight="1">
      <c r="A148" s="26"/>
      <c r="C148" s="27"/>
      <c r="D148" s="28"/>
      <c r="E148" s="28"/>
      <c r="F148" s="28"/>
      <c r="G148" s="28"/>
      <c r="H148" s="28"/>
    </row>
    <row r="149" spans="1:8" ht="15.75" customHeight="1">
      <c r="A149" s="26"/>
      <c r="C149" s="27"/>
      <c r="D149" s="28"/>
      <c r="E149" s="28"/>
      <c r="F149" s="28"/>
      <c r="G149" s="28"/>
      <c r="H149" s="28"/>
    </row>
    <row r="150" spans="1:8" ht="15.75" customHeight="1">
      <c r="A150" s="26"/>
      <c r="C150" s="27"/>
      <c r="D150" s="28"/>
      <c r="E150" s="28"/>
      <c r="F150" s="28"/>
      <c r="G150" s="28"/>
      <c r="H150" s="28"/>
    </row>
    <row r="151" spans="1:8" ht="15.75" customHeight="1">
      <c r="A151" s="26"/>
      <c r="C151" s="27"/>
      <c r="D151" s="28"/>
      <c r="E151" s="28"/>
      <c r="F151" s="28"/>
      <c r="G151" s="28"/>
      <c r="H151" s="28"/>
    </row>
    <row r="152" spans="1:8" ht="15.75" customHeight="1">
      <c r="A152" s="26"/>
      <c r="C152" s="27"/>
      <c r="D152" s="28"/>
      <c r="E152" s="28"/>
      <c r="F152" s="28"/>
      <c r="G152" s="28"/>
      <c r="H152" s="28"/>
    </row>
    <row r="153" spans="1:8" ht="15.75" customHeight="1">
      <c r="A153" s="26"/>
      <c r="C153" s="27"/>
      <c r="D153" s="28"/>
      <c r="E153" s="28"/>
      <c r="F153" s="28"/>
      <c r="G153" s="28"/>
      <c r="H153" s="28"/>
    </row>
    <row r="154" spans="1:8" ht="15.75" customHeight="1">
      <c r="A154" s="26"/>
      <c r="C154" s="27"/>
      <c r="D154" s="28"/>
      <c r="E154" s="28"/>
      <c r="F154" s="28"/>
      <c r="G154" s="28"/>
      <c r="H154" s="28"/>
    </row>
    <row r="155" spans="1:8" ht="15.75" customHeight="1">
      <c r="A155" s="26"/>
      <c r="C155" s="27"/>
      <c r="D155" s="28"/>
      <c r="E155" s="28"/>
      <c r="F155" s="28"/>
      <c r="G155" s="28"/>
      <c r="H155" s="28"/>
    </row>
    <row r="156" spans="1:8" ht="15.75" customHeight="1">
      <c r="A156" s="26"/>
      <c r="C156" s="27"/>
      <c r="D156" s="28"/>
      <c r="E156" s="28"/>
      <c r="F156" s="28"/>
      <c r="G156" s="28"/>
      <c r="H156" s="28"/>
    </row>
    <row r="157" spans="1:8" ht="15.75" customHeight="1">
      <c r="A157" s="26"/>
      <c r="C157" s="27"/>
      <c r="D157" s="28"/>
      <c r="E157" s="28"/>
      <c r="F157" s="28"/>
      <c r="G157" s="28"/>
      <c r="H157" s="28"/>
    </row>
    <row r="158" spans="1:8" ht="15.75" customHeight="1">
      <c r="A158" s="26"/>
      <c r="C158" s="27"/>
      <c r="D158" s="28"/>
      <c r="E158" s="28"/>
      <c r="F158" s="28"/>
      <c r="G158" s="28"/>
      <c r="H158" s="28"/>
    </row>
    <row r="159" spans="1:8" ht="15.75" customHeight="1">
      <c r="A159" s="26"/>
      <c r="C159" s="27"/>
      <c r="D159" s="28"/>
      <c r="E159" s="28"/>
      <c r="F159" s="28"/>
      <c r="G159" s="28"/>
      <c r="H159" s="28"/>
    </row>
    <row r="160" spans="1:8" ht="15.75" customHeight="1">
      <c r="A160" s="26"/>
      <c r="C160" s="27"/>
      <c r="D160" s="28"/>
      <c r="E160" s="28"/>
      <c r="F160" s="28"/>
      <c r="G160" s="28"/>
      <c r="H160" s="28"/>
    </row>
    <row r="161" spans="1:8" ht="15.75" customHeight="1">
      <c r="A161" s="26"/>
      <c r="C161" s="27"/>
      <c r="D161" s="28"/>
      <c r="E161" s="28"/>
      <c r="F161" s="28"/>
      <c r="G161" s="28"/>
      <c r="H161" s="28"/>
    </row>
    <row r="162" spans="1:8" ht="15.75" customHeight="1">
      <c r="A162" s="26"/>
      <c r="C162" s="27"/>
      <c r="D162" s="28"/>
      <c r="E162" s="28"/>
      <c r="F162" s="28"/>
      <c r="G162" s="28"/>
      <c r="H162" s="28"/>
    </row>
    <row r="163" spans="1:8" ht="15.75" customHeight="1">
      <c r="A163" s="26"/>
      <c r="C163" s="27"/>
      <c r="D163" s="28"/>
      <c r="E163" s="28"/>
      <c r="F163" s="28"/>
      <c r="G163" s="28"/>
      <c r="H163" s="28"/>
    </row>
    <row r="164" spans="1:8" ht="15.75" customHeight="1">
      <c r="A164" s="26"/>
      <c r="C164" s="27"/>
      <c r="D164" s="28"/>
      <c r="E164" s="28"/>
      <c r="F164" s="28"/>
      <c r="G164" s="28"/>
      <c r="H164" s="28"/>
    </row>
    <row r="165" spans="1:8" ht="15.75" customHeight="1">
      <c r="A165" s="26"/>
      <c r="C165" s="27"/>
      <c r="D165" s="28"/>
      <c r="E165" s="28"/>
      <c r="F165" s="28"/>
      <c r="G165" s="28"/>
      <c r="H165" s="28"/>
    </row>
    <row r="166" spans="1:8" ht="15.75" customHeight="1">
      <c r="A166" s="26"/>
      <c r="C166" s="27"/>
      <c r="D166" s="28"/>
      <c r="E166" s="28"/>
      <c r="F166" s="28"/>
      <c r="G166" s="28"/>
      <c r="H166" s="28"/>
    </row>
    <row r="167" spans="1:8" ht="15.75" customHeight="1">
      <c r="A167" s="26"/>
      <c r="C167" s="27"/>
      <c r="D167" s="28"/>
      <c r="E167" s="28"/>
      <c r="F167" s="28"/>
      <c r="G167" s="28"/>
      <c r="H167" s="28"/>
    </row>
    <row r="168" spans="1:8" ht="15.75" customHeight="1">
      <c r="A168" s="26"/>
      <c r="C168" s="27"/>
      <c r="D168" s="28"/>
      <c r="E168" s="28"/>
      <c r="F168" s="28"/>
      <c r="G168" s="28"/>
      <c r="H168" s="28"/>
    </row>
    <row r="169" spans="1:8" ht="15.75" customHeight="1">
      <c r="A169" s="26"/>
      <c r="C169" s="27"/>
      <c r="D169" s="28"/>
      <c r="E169" s="28"/>
      <c r="F169" s="28"/>
      <c r="G169" s="28"/>
      <c r="H169" s="28"/>
    </row>
    <row r="170" spans="1:8" ht="15.75" customHeight="1">
      <c r="A170" s="26"/>
      <c r="C170" s="27"/>
      <c r="D170" s="28"/>
      <c r="E170" s="28"/>
      <c r="F170" s="28"/>
      <c r="G170" s="28"/>
      <c r="H170" s="28"/>
    </row>
    <row r="171" spans="1:8" ht="15.75" customHeight="1">
      <c r="A171" s="26"/>
      <c r="C171" s="27"/>
      <c r="D171" s="28"/>
      <c r="E171" s="28"/>
      <c r="F171" s="28"/>
      <c r="G171" s="28"/>
      <c r="H171" s="28"/>
    </row>
    <row r="172" spans="1:8" ht="15.75" customHeight="1">
      <c r="A172" s="26"/>
      <c r="C172" s="27"/>
      <c r="D172" s="28"/>
      <c r="E172" s="28"/>
      <c r="F172" s="28"/>
      <c r="G172" s="28"/>
      <c r="H172" s="28"/>
    </row>
    <row r="173" spans="1:8" ht="15.75" customHeight="1">
      <c r="A173" s="26"/>
      <c r="C173" s="27"/>
      <c r="D173" s="28"/>
      <c r="E173" s="28"/>
      <c r="F173" s="28"/>
      <c r="G173" s="28"/>
      <c r="H173" s="28"/>
    </row>
    <row r="174" spans="1:8" ht="15.75" customHeight="1">
      <c r="A174" s="26"/>
      <c r="C174" s="27"/>
      <c r="D174" s="28"/>
      <c r="E174" s="28"/>
      <c r="F174" s="28"/>
      <c r="G174" s="28"/>
      <c r="H174" s="28"/>
    </row>
    <row r="175" spans="1:8" ht="15.75" customHeight="1">
      <c r="A175" s="26"/>
      <c r="C175" s="27"/>
      <c r="D175" s="28"/>
      <c r="E175" s="28"/>
      <c r="F175" s="28"/>
      <c r="G175" s="28"/>
      <c r="H175" s="28"/>
    </row>
    <row r="176" spans="1:8" ht="15.75" customHeight="1">
      <c r="A176" s="26"/>
      <c r="C176" s="27"/>
      <c r="D176" s="28"/>
      <c r="E176" s="28"/>
      <c r="F176" s="28"/>
      <c r="G176" s="28"/>
      <c r="H176" s="28"/>
    </row>
    <row r="177" spans="1:8" ht="15.75" customHeight="1">
      <c r="A177" s="26"/>
      <c r="C177" s="27"/>
      <c r="D177" s="28"/>
      <c r="E177" s="28"/>
      <c r="F177" s="28"/>
      <c r="G177" s="28"/>
      <c r="H177" s="28"/>
    </row>
    <row r="178" spans="1:8" ht="15.75" customHeight="1">
      <c r="A178" s="26"/>
      <c r="C178" s="27"/>
      <c r="D178" s="28"/>
      <c r="E178" s="28"/>
      <c r="F178" s="28"/>
      <c r="G178" s="28"/>
      <c r="H178" s="28"/>
    </row>
    <row r="179" spans="1:8" ht="15.75" customHeight="1">
      <c r="A179" s="26"/>
      <c r="C179" s="27"/>
      <c r="D179" s="28"/>
      <c r="E179" s="28"/>
      <c r="F179" s="28"/>
      <c r="G179" s="28"/>
      <c r="H179" s="28"/>
    </row>
    <row r="180" spans="1:8" ht="15.75" customHeight="1">
      <c r="A180" s="26"/>
      <c r="C180" s="27"/>
      <c r="D180" s="28"/>
      <c r="E180" s="28"/>
      <c r="F180" s="28"/>
      <c r="G180" s="28"/>
      <c r="H180" s="28"/>
    </row>
    <row r="181" spans="1:8" ht="15.75" customHeight="1">
      <c r="A181" s="26"/>
      <c r="C181" s="27"/>
      <c r="D181" s="28"/>
      <c r="E181" s="28"/>
      <c r="F181" s="28"/>
      <c r="G181" s="28"/>
      <c r="H181" s="28"/>
    </row>
    <row r="182" spans="1:8" ht="15.75" customHeight="1">
      <c r="A182" s="26"/>
      <c r="C182" s="27"/>
      <c r="D182" s="28"/>
      <c r="E182" s="28"/>
      <c r="F182" s="28"/>
      <c r="G182" s="28"/>
      <c r="H182" s="28"/>
    </row>
    <row r="183" spans="1:8" ht="15.75" customHeight="1">
      <c r="A183" s="26"/>
      <c r="C183" s="27"/>
      <c r="D183" s="28"/>
      <c r="E183" s="28"/>
      <c r="F183" s="28"/>
      <c r="G183" s="28"/>
      <c r="H183" s="28"/>
    </row>
    <row r="184" spans="1:8" ht="15.75" customHeight="1">
      <c r="A184" s="26"/>
      <c r="C184" s="27"/>
      <c r="D184" s="28"/>
      <c r="E184" s="28"/>
      <c r="F184" s="28"/>
      <c r="G184" s="28"/>
      <c r="H184" s="28"/>
    </row>
    <row r="185" spans="1:8" ht="15.75" customHeight="1">
      <c r="A185" s="26"/>
      <c r="C185" s="27"/>
      <c r="D185" s="28"/>
      <c r="E185" s="28"/>
      <c r="F185" s="28"/>
      <c r="G185" s="28"/>
      <c r="H185" s="28"/>
    </row>
    <row r="186" spans="1:8" ht="15.75" customHeight="1">
      <c r="A186" s="26"/>
      <c r="C186" s="27"/>
      <c r="D186" s="28"/>
      <c r="E186" s="28"/>
      <c r="F186" s="28"/>
      <c r="G186" s="28"/>
      <c r="H186" s="28"/>
    </row>
    <row r="187" spans="1:8" ht="15.75" customHeight="1">
      <c r="A187" s="26"/>
      <c r="C187" s="27"/>
      <c r="D187" s="28"/>
      <c r="E187" s="28"/>
      <c r="F187" s="28"/>
      <c r="G187" s="28"/>
      <c r="H187" s="28"/>
    </row>
    <row r="188" spans="1:8" ht="15.75" customHeight="1">
      <c r="A188" s="26"/>
      <c r="C188" s="27"/>
      <c r="D188" s="28"/>
      <c r="E188" s="28"/>
      <c r="F188" s="28"/>
      <c r="G188" s="28"/>
      <c r="H188" s="28"/>
    </row>
    <row r="189" spans="1:8" ht="15.75" customHeight="1">
      <c r="A189" s="26"/>
      <c r="C189" s="27"/>
      <c r="D189" s="28"/>
      <c r="E189" s="28"/>
      <c r="F189" s="28"/>
      <c r="G189" s="28"/>
      <c r="H189" s="28"/>
    </row>
    <row r="190" spans="1:8" ht="15.75" customHeight="1">
      <c r="A190" s="26"/>
      <c r="C190" s="27"/>
      <c r="D190" s="28"/>
      <c r="E190" s="28"/>
      <c r="F190" s="28"/>
      <c r="G190" s="28"/>
      <c r="H190" s="28"/>
    </row>
    <row r="191" spans="1:8" ht="15.75" customHeight="1">
      <c r="A191" s="26"/>
      <c r="C191" s="27"/>
      <c r="D191" s="28"/>
      <c r="E191" s="28"/>
      <c r="F191" s="28"/>
      <c r="G191" s="28"/>
      <c r="H191" s="28"/>
    </row>
    <row r="192" spans="1:8" ht="15.75" customHeight="1">
      <c r="A192" s="26"/>
      <c r="C192" s="27"/>
      <c r="D192" s="28"/>
      <c r="E192" s="28"/>
      <c r="F192" s="28"/>
      <c r="G192" s="28"/>
      <c r="H192" s="28"/>
    </row>
    <row r="193" spans="1:8" ht="15.75" customHeight="1">
      <c r="A193" s="26"/>
      <c r="C193" s="27"/>
      <c r="D193" s="28"/>
      <c r="E193" s="28"/>
      <c r="F193" s="28"/>
      <c r="G193" s="28"/>
      <c r="H193" s="28"/>
    </row>
    <row r="194" spans="1:8" ht="15.75" customHeight="1">
      <c r="A194" s="26"/>
      <c r="C194" s="27"/>
      <c r="D194" s="28"/>
      <c r="E194" s="28"/>
      <c r="F194" s="28"/>
      <c r="G194" s="28"/>
      <c r="H194" s="28"/>
    </row>
    <row r="195" spans="1:8" ht="15.75" customHeight="1">
      <c r="A195" s="26"/>
      <c r="C195" s="27"/>
      <c r="D195" s="28"/>
      <c r="E195" s="28"/>
      <c r="F195" s="28"/>
      <c r="G195" s="28"/>
      <c r="H195" s="28"/>
    </row>
    <row r="196" spans="1:8" ht="15.75" customHeight="1">
      <c r="A196" s="26"/>
      <c r="C196" s="27"/>
      <c r="D196" s="28"/>
      <c r="E196" s="28"/>
      <c r="F196" s="28"/>
      <c r="G196" s="28"/>
      <c r="H196" s="28"/>
    </row>
    <row r="197" spans="1:8" ht="15.75" customHeight="1">
      <c r="A197" s="26"/>
      <c r="C197" s="27"/>
      <c r="D197" s="28"/>
      <c r="E197" s="28"/>
      <c r="F197" s="28"/>
      <c r="G197" s="28"/>
      <c r="H197" s="28"/>
    </row>
    <row r="198" spans="1:8" ht="15.75" customHeight="1">
      <c r="A198" s="26"/>
      <c r="C198" s="27"/>
      <c r="D198" s="28"/>
      <c r="E198" s="28"/>
      <c r="F198" s="28"/>
      <c r="G198" s="28"/>
      <c r="H198" s="28"/>
    </row>
    <row r="199" spans="1:8" ht="15.75" customHeight="1">
      <c r="A199" s="26"/>
      <c r="C199" s="27"/>
      <c r="D199" s="28"/>
      <c r="E199" s="28"/>
      <c r="F199" s="28"/>
      <c r="G199" s="28"/>
      <c r="H199" s="28"/>
    </row>
    <row r="200" spans="1:8" ht="15.75" customHeight="1">
      <c r="A200" s="26"/>
      <c r="C200" s="27"/>
      <c r="D200" s="28"/>
      <c r="E200" s="28"/>
      <c r="F200" s="28"/>
      <c r="G200" s="28"/>
      <c r="H200" s="28"/>
    </row>
    <row r="201" spans="1:8" ht="15.75" customHeight="1">
      <c r="A201" s="26"/>
      <c r="C201" s="27"/>
      <c r="D201" s="28"/>
      <c r="E201" s="28"/>
      <c r="F201" s="28"/>
      <c r="G201" s="28"/>
      <c r="H201" s="28"/>
    </row>
    <row r="202" spans="1:8" ht="15.75" customHeight="1">
      <c r="A202" s="26"/>
      <c r="C202" s="27"/>
      <c r="D202" s="28"/>
      <c r="E202" s="28"/>
      <c r="F202" s="28"/>
      <c r="G202" s="28"/>
      <c r="H202" s="28"/>
    </row>
    <row r="203" spans="1:8" ht="15.75" customHeight="1">
      <c r="A203" s="26"/>
      <c r="C203" s="27"/>
      <c r="D203" s="28"/>
      <c r="E203" s="28"/>
      <c r="F203" s="28"/>
      <c r="G203" s="28"/>
      <c r="H203" s="28"/>
    </row>
    <row r="204" spans="1:8" ht="15.75" customHeight="1">
      <c r="A204" s="26"/>
      <c r="C204" s="27"/>
      <c r="D204" s="28"/>
      <c r="E204" s="28"/>
      <c r="F204" s="28"/>
      <c r="G204" s="28"/>
      <c r="H204" s="28"/>
    </row>
    <row r="205" spans="1:8" ht="15.75" customHeight="1">
      <c r="A205" s="26"/>
      <c r="C205" s="27"/>
      <c r="D205" s="28"/>
      <c r="E205" s="28"/>
      <c r="F205" s="28"/>
      <c r="G205" s="28"/>
      <c r="H205" s="28"/>
    </row>
    <row r="206" spans="1:8" ht="15.75" customHeight="1">
      <c r="A206" s="26"/>
      <c r="C206" s="27"/>
      <c r="D206" s="28"/>
      <c r="E206" s="28"/>
      <c r="F206" s="28"/>
      <c r="G206" s="28"/>
      <c r="H206" s="28"/>
    </row>
    <row r="207" spans="1:8" ht="15.75" customHeight="1">
      <c r="A207" s="26"/>
      <c r="C207" s="27"/>
      <c r="D207" s="28"/>
      <c r="E207" s="28"/>
      <c r="F207" s="28"/>
      <c r="G207" s="28"/>
      <c r="H207" s="28"/>
    </row>
    <row r="208" spans="1:8" ht="15.75" customHeight="1">
      <c r="A208" s="26"/>
      <c r="C208" s="27"/>
      <c r="D208" s="28"/>
      <c r="E208" s="28"/>
      <c r="F208" s="28"/>
      <c r="G208" s="28"/>
      <c r="H208" s="28"/>
    </row>
    <row r="209" spans="1:8" ht="15.75" customHeight="1">
      <c r="A209" s="26"/>
      <c r="C209" s="27"/>
      <c r="D209" s="28"/>
      <c r="E209" s="28"/>
      <c r="F209" s="28"/>
      <c r="G209" s="28"/>
      <c r="H209" s="28"/>
    </row>
    <row r="210" spans="1:8" ht="15.75" customHeight="1">
      <c r="A210" s="26"/>
      <c r="C210" s="27"/>
      <c r="D210" s="28"/>
      <c r="E210" s="28"/>
      <c r="F210" s="28"/>
      <c r="G210" s="28"/>
      <c r="H210" s="28"/>
    </row>
    <row r="211" spans="1:8" ht="15.75" customHeight="1">
      <c r="A211" s="26"/>
      <c r="C211" s="27"/>
      <c r="D211" s="28"/>
      <c r="E211" s="28"/>
      <c r="F211" s="28"/>
      <c r="G211" s="28"/>
      <c r="H211" s="28"/>
    </row>
    <row r="212" spans="1:8" ht="15.75" customHeight="1">
      <c r="A212" s="26"/>
      <c r="C212" s="27"/>
      <c r="D212" s="28"/>
      <c r="E212" s="28"/>
      <c r="F212" s="28"/>
      <c r="G212" s="28"/>
      <c r="H212" s="28"/>
    </row>
    <row r="213" spans="1:8" ht="15.75" customHeight="1">
      <c r="A213" s="26"/>
      <c r="C213" s="27"/>
      <c r="D213" s="28"/>
      <c r="E213" s="28"/>
      <c r="F213" s="28"/>
      <c r="G213" s="28"/>
      <c r="H213" s="28"/>
    </row>
    <row r="214" spans="1:8" ht="15.75" customHeight="1">
      <c r="A214" s="26"/>
      <c r="C214" s="27"/>
      <c r="D214" s="28"/>
      <c r="E214" s="28"/>
      <c r="F214" s="28"/>
      <c r="G214" s="28"/>
      <c r="H214" s="28"/>
    </row>
    <row r="215" spans="1:8" ht="15.75" customHeight="1">
      <c r="A215" s="26"/>
      <c r="C215" s="27"/>
      <c r="D215" s="28"/>
      <c r="E215" s="28"/>
      <c r="F215" s="28"/>
      <c r="G215" s="28"/>
      <c r="H215" s="28"/>
    </row>
    <row r="216" spans="1:8" ht="15.75" customHeight="1">
      <c r="A216" s="26"/>
      <c r="C216" s="27"/>
      <c r="D216" s="28"/>
      <c r="E216" s="28"/>
      <c r="F216" s="28"/>
      <c r="G216" s="28"/>
      <c r="H216" s="28"/>
    </row>
    <row r="217" spans="1:8" ht="15.75" customHeight="1">
      <c r="A217" s="26"/>
      <c r="C217" s="27"/>
      <c r="D217" s="28"/>
      <c r="E217" s="28"/>
      <c r="F217" s="28"/>
      <c r="G217" s="28"/>
      <c r="H217" s="28"/>
    </row>
    <row r="218" spans="1:8" ht="15.75" customHeight="1">
      <c r="A218" s="26"/>
      <c r="C218" s="27"/>
      <c r="D218" s="28"/>
      <c r="E218" s="28"/>
      <c r="F218" s="28"/>
      <c r="G218" s="28"/>
      <c r="H218" s="28"/>
    </row>
    <row r="219" spans="1:8" ht="15.75" customHeight="1">
      <c r="A219" s="26"/>
      <c r="C219" s="27"/>
      <c r="D219" s="28"/>
      <c r="E219" s="28"/>
      <c r="F219" s="28"/>
      <c r="G219" s="28"/>
      <c r="H219" s="28"/>
    </row>
    <row r="220" spans="1:8" ht="15.75" customHeight="1">
      <c r="A220" s="26"/>
      <c r="C220" s="27"/>
      <c r="D220" s="28"/>
      <c r="E220" s="28"/>
      <c r="F220" s="28"/>
      <c r="G220" s="28"/>
      <c r="H220" s="28"/>
    </row>
    <row r="221" spans="1:8" ht="15.75" customHeight="1">
      <c r="A221" s="26"/>
      <c r="C221" s="27"/>
      <c r="D221" s="28"/>
      <c r="E221" s="28"/>
      <c r="F221" s="28"/>
      <c r="G221" s="28"/>
      <c r="H221" s="28"/>
    </row>
    <row r="222" spans="1:8" ht="15.75" customHeight="1">
      <c r="A222" s="26"/>
      <c r="C222" s="27"/>
      <c r="D222" s="28"/>
      <c r="E222" s="28"/>
      <c r="F222" s="28"/>
      <c r="G222" s="28"/>
      <c r="H222" s="28"/>
    </row>
    <row r="223" spans="1:8" ht="15.75" customHeight="1">
      <c r="A223" s="26"/>
      <c r="C223" s="27"/>
      <c r="D223" s="28"/>
      <c r="E223" s="28"/>
      <c r="F223" s="28"/>
      <c r="G223" s="28"/>
      <c r="H223" s="28"/>
    </row>
    <row r="224" spans="1:8" ht="15.75" customHeight="1">
      <c r="A224" s="26"/>
      <c r="C224" s="27"/>
      <c r="D224" s="28"/>
      <c r="E224" s="28"/>
      <c r="F224" s="28"/>
      <c r="G224" s="28"/>
      <c r="H224" s="28"/>
    </row>
    <row r="225" spans="1:8" ht="15.75" customHeight="1">
      <c r="A225" s="26"/>
      <c r="C225" s="27"/>
      <c r="D225" s="28"/>
      <c r="E225" s="28"/>
      <c r="F225" s="28"/>
      <c r="G225" s="28"/>
      <c r="H225" s="28"/>
    </row>
    <row r="226" spans="1:8" ht="15.75" customHeight="1">
      <c r="A226" s="26"/>
      <c r="C226" s="27"/>
      <c r="D226" s="28"/>
      <c r="E226" s="28"/>
      <c r="F226" s="28"/>
      <c r="G226" s="28"/>
      <c r="H226" s="28"/>
    </row>
    <row r="227" spans="1:8" ht="15.75" customHeight="1"/>
    <row r="228" spans="1:8" ht="15.75" customHeight="1"/>
    <row r="229" spans="1:8" ht="15.75" customHeight="1"/>
    <row r="230" spans="1:8" ht="15.75" customHeight="1"/>
    <row r="231" spans="1:8" ht="15.75" customHeight="1"/>
    <row r="232" spans="1:8" ht="15.75" customHeight="1"/>
    <row r="233" spans="1:8" ht="15.75" customHeight="1"/>
    <row r="234" spans="1:8" ht="15.75" customHeight="1"/>
    <row r="235" spans="1:8" ht="15.75" customHeight="1"/>
    <row r="236" spans="1:8" ht="15.75" customHeight="1"/>
    <row r="237" spans="1:8" ht="15.75" customHeight="1"/>
    <row r="238" spans="1:8" ht="15.75" customHeight="1"/>
    <row r="239" spans="1:8" ht="15.75" customHeight="1"/>
    <row r="240" spans="1: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1:E2"/>
  </mergeCell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'Data Validation'!$C$3:$C$14</xm:f>
          </x14:formula1>
          <xm:sqref>C3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H1000"/>
  <sheetViews>
    <sheetView showGridLines="0" workbookViewId="0">
      <pane ySplit="4" topLeftCell="A5" activePane="bottomLeft" state="frozen"/>
      <selection pane="bottomLeft" activeCell="B6" sqref="B6"/>
    </sheetView>
  </sheetViews>
  <sheetFormatPr defaultColWidth="12.5703125" defaultRowHeight="15" customHeight="1"/>
  <cols>
    <col min="1" max="1" width="5.7109375" customWidth="1"/>
    <col min="2" max="2" width="43.85546875" customWidth="1"/>
    <col min="3" max="3" width="37.5703125" customWidth="1"/>
    <col min="4" max="4" width="32.7109375" customWidth="1"/>
    <col min="5" max="5" width="23" customWidth="1"/>
    <col min="6" max="6" width="32.7109375" customWidth="1"/>
    <col min="7" max="8" width="17.28515625" hidden="1" customWidth="1"/>
  </cols>
  <sheetData>
    <row r="1" spans="1:8" ht="39.75" customHeight="1">
      <c r="A1" s="4"/>
      <c r="B1" s="4"/>
      <c r="C1" s="98" t="s">
        <v>71</v>
      </c>
      <c r="D1" s="99"/>
      <c r="E1" s="100"/>
      <c r="F1" s="60"/>
      <c r="G1" s="60"/>
      <c r="H1" s="60"/>
    </row>
    <row r="2" spans="1:8" ht="39.75" customHeight="1">
      <c r="A2" s="4"/>
      <c r="B2" s="4"/>
      <c r="C2" s="101"/>
      <c r="D2" s="102"/>
      <c r="E2" s="103"/>
      <c r="F2" s="60"/>
      <c r="G2" s="60"/>
      <c r="H2" s="60"/>
    </row>
    <row r="3" spans="1:8" ht="33" customHeight="1">
      <c r="A3" s="5"/>
      <c r="B3" s="61" t="e">
        <f>F3/D3</f>
        <v>#DIV/0!</v>
      </c>
      <c r="C3" s="62" t="s">
        <v>72</v>
      </c>
      <c r="D3" s="63">
        <f>SUM(D5:D49291)</f>
        <v>0</v>
      </c>
      <c r="E3" s="64"/>
      <c r="F3" s="64">
        <f>SUM($C$5:$C49291)</f>
        <v>0</v>
      </c>
      <c r="G3" s="65">
        <v>44927</v>
      </c>
      <c r="H3" s="65">
        <v>45429</v>
      </c>
    </row>
    <row r="4" spans="1:8" ht="25.5" customHeight="1">
      <c r="A4" s="7" t="s">
        <v>55</v>
      </c>
      <c r="B4" s="8" t="s">
        <v>1</v>
      </c>
      <c r="C4" s="9" t="s">
        <v>56</v>
      </c>
      <c r="D4" s="9" t="s">
        <v>65</v>
      </c>
      <c r="E4" s="9" t="s">
        <v>66</v>
      </c>
      <c r="F4" s="9" t="s">
        <v>67</v>
      </c>
      <c r="G4" s="66"/>
      <c r="H4" s="66"/>
    </row>
    <row r="5" spans="1:8" ht="34.5" customHeight="1">
      <c r="A5" s="10">
        <v>1</v>
      </c>
      <c r="B5" s="67" t="s">
        <v>60</v>
      </c>
      <c r="C5" s="12">
        <f>SUMIFS('From Woocommerce'!D:D, 'From Woocommerce'!E:E, "Tecumseh Minor Baseball", 'From Woocommerce'!C:C, "Refunded")</f>
        <v>0</v>
      </c>
      <c r="D5" s="13">
        <f>COUNTIFS('From Woocommerce'!E:E, "Tecumseh Minor Baseball", 'From Woocommerce'!C:C, "Refunded")</f>
        <v>0</v>
      </c>
      <c r="E5" s="68" t="e">
        <f>AVERAGEIFS('From Woocommerce'!D:D,  'From Woocommerce'!E:E, "Tecumseh Minor Baseball", 'From Woocommerce'!C:C, "Refunded")</f>
        <v>#DIV/0!</v>
      </c>
      <c r="F5" s="69">
        <f t="shared" ref="F5:F8" si="0">IFERROR(IF(B5="","",C5/SUM($C$5:$C49291)),0)</f>
        <v>0</v>
      </c>
      <c r="G5" s="70"/>
      <c r="H5" s="70"/>
    </row>
    <row r="6" spans="1:8" ht="34.5" customHeight="1">
      <c r="A6" s="16">
        <v>2</v>
      </c>
      <c r="B6" s="71" t="s">
        <v>59</v>
      </c>
      <c r="C6" s="18">
        <f>SUMIFS('From Woocommerce'!D:D, 'From Woocommerce'!E:E, "Kingsville Soccer Association", 'From Woocommerce'!C:C, "Refunded")</f>
        <v>0</v>
      </c>
      <c r="D6" s="19">
        <f>COUNTIFS('From Woocommerce'!E:E, "Kingsville Soccer Association", 'From Woocommerce'!C:C, "Refunded")</f>
        <v>0</v>
      </c>
      <c r="E6" s="68" t="e">
        <f>AVERAGEIFS('From Woocommerce'!D:D, 'From Woocommerce'!C:C, "Refunded", 'From Woocommerce'!E:E, "Kingsville Soccer Association")</f>
        <v>#DIV/0!</v>
      </c>
      <c r="F6" s="69">
        <f t="shared" si="0"/>
        <v>0</v>
      </c>
      <c r="G6" s="70"/>
      <c r="H6" s="70"/>
    </row>
    <row r="7" spans="1:8" ht="34.5" customHeight="1">
      <c r="A7" s="10">
        <v>3</v>
      </c>
      <c r="B7" s="67" t="s">
        <v>62</v>
      </c>
      <c r="C7" s="72">
        <f>SUMIFS('From Woocommerce'!D:D, 'From Woocommerce'!E:E, "Erie North Shore Hockey", 'From Woocommerce'!C:C, "Refunded")</f>
        <v>0</v>
      </c>
      <c r="D7" s="13">
        <f>COUNTIFS('From Woocommerce'!E:E, "Erie North Shore Hockey", 'From Woocommerce'!C:C, "Refunded")</f>
        <v>0</v>
      </c>
      <c r="E7" s="68" t="e">
        <f>AVERAGEIFS('From Woocommerce'!D:D, 'From Woocommerce'!C:C, "Refunded", 'From Woocommerce'!E:E, "Erie North Shore Hockey")</f>
        <v>#DIV/0!</v>
      </c>
      <c r="F7" s="69">
        <f t="shared" si="0"/>
        <v>0</v>
      </c>
      <c r="G7" s="70"/>
      <c r="H7" s="70"/>
    </row>
    <row r="8" spans="1:8" ht="34.5" customHeight="1">
      <c r="A8" s="73">
        <v>4</v>
      </c>
      <c r="B8" s="71" t="s">
        <v>61</v>
      </c>
      <c r="C8" s="18">
        <f>SUMIFS('From Woocommerce'!D:D, 'From Woocommerce'!E:E, "Riverside Minor Baseball Association", 'From Woocommerce'!C:C, "Refunded")</f>
        <v>0</v>
      </c>
      <c r="D8" s="19">
        <f>COUNTIFS('From Woocommerce'!E:E, "Riverside Minor Baseball Association", 'From Woocommerce'!C:C, "Refunded")</f>
        <v>0</v>
      </c>
      <c r="E8" s="68" t="e">
        <f>AVERAGEIFS('From Woocommerce'!D:D, 'From Woocommerce'!C:C, "Refunded", 'From Woocommerce'!E:E, "Riverside Minor Baseball Association")</f>
        <v>#DIV/0!</v>
      </c>
      <c r="F8" s="69">
        <f t="shared" si="0"/>
        <v>0</v>
      </c>
      <c r="G8" s="70"/>
      <c r="H8" s="70"/>
    </row>
    <row r="9" spans="1:8" ht="34.5" customHeight="1">
      <c r="A9" s="20"/>
      <c r="B9" s="21"/>
      <c r="C9" s="12"/>
      <c r="D9" s="22"/>
      <c r="E9" s="68"/>
      <c r="F9" s="69"/>
      <c r="G9" s="70"/>
      <c r="H9" s="70"/>
    </row>
    <row r="10" spans="1:8" ht="34.5" customHeight="1">
      <c r="A10" s="16"/>
      <c r="B10" s="17"/>
      <c r="C10" s="23"/>
      <c r="D10" s="19"/>
      <c r="E10" s="74"/>
      <c r="F10" s="75"/>
      <c r="G10" s="70"/>
      <c r="H10" s="70"/>
    </row>
    <row r="11" spans="1:8" ht="34.5" customHeight="1">
      <c r="A11" s="10"/>
      <c r="B11" s="11"/>
      <c r="C11" s="12"/>
      <c r="D11" s="22"/>
      <c r="E11" s="68"/>
      <c r="F11" s="69"/>
      <c r="G11" s="70"/>
      <c r="H11" s="70"/>
    </row>
    <row r="12" spans="1:8" ht="34.5" customHeight="1">
      <c r="A12" s="16"/>
      <c r="B12" s="17"/>
      <c r="C12" s="23"/>
      <c r="D12" s="19"/>
      <c r="E12" s="74"/>
      <c r="F12" s="75"/>
      <c r="G12" s="70"/>
      <c r="H12" s="70"/>
    </row>
    <row r="13" spans="1:8" ht="34.5" customHeight="1">
      <c r="A13" s="10"/>
      <c r="B13" s="11"/>
      <c r="C13" s="12"/>
      <c r="D13" s="22"/>
      <c r="E13" s="68"/>
      <c r="F13" s="69"/>
      <c r="G13" s="70"/>
      <c r="H13" s="70"/>
    </row>
    <row r="14" spans="1:8" ht="34.5" customHeight="1">
      <c r="A14" s="16"/>
      <c r="B14" s="17"/>
      <c r="C14" s="23"/>
      <c r="D14" s="19"/>
      <c r="E14" s="74"/>
      <c r="F14" s="75"/>
      <c r="G14" s="70"/>
      <c r="H14" s="70"/>
    </row>
    <row r="15" spans="1:8" ht="34.5" customHeight="1">
      <c r="A15" s="10"/>
      <c r="B15" s="11"/>
      <c r="C15" s="12"/>
      <c r="D15" s="22"/>
      <c r="E15" s="68"/>
      <c r="F15" s="69"/>
      <c r="G15" s="70"/>
      <c r="H15" s="70"/>
    </row>
    <row r="16" spans="1:8" ht="34.5" customHeight="1">
      <c r="A16" s="16"/>
      <c r="B16" s="17"/>
      <c r="C16" s="23"/>
      <c r="D16" s="19"/>
      <c r="E16" s="74"/>
      <c r="F16" s="75"/>
      <c r="G16" s="70"/>
      <c r="H16" s="70"/>
    </row>
    <row r="17" spans="1:8" ht="34.5" customHeight="1">
      <c r="A17" s="10"/>
      <c r="B17" s="11"/>
      <c r="C17" s="12"/>
      <c r="D17" s="22"/>
      <c r="E17" s="68"/>
      <c r="F17" s="69"/>
      <c r="G17" s="70"/>
      <c r="H17" s="70"/>
    </row>
    <row r="18" spans="1:8" ht="35.25" customHeight="1">
      <c r="A18" s="16"/>
      <c r="B18" s="17"/>
      <c r="C18" s="23"/>
      <c r="D18" s="19"/>
      <c r="E18" s="74"/>
      <c r="F18" s="75"/>
      <c r="G18" s="70"/>
      <c r="H18" s="70"/>
    </row>
    <row r="19" spans="1:8" ht="34.5" customHeight="1">
      <c r="A19" s="10"/>
      <c r="B19" s="11"/>
      <c r="C19" s="12"/>
      <c r="D19" s="22"/>
      <c r="E19" s="68"/>
      <c r="F19" s="69"/>
      <c r="G19" s="70"/>
      <c r="H19" s="70"/>
    </row>
    <row r="20" spans="1:8" ht="34.5" customHeight="1">
      <c r="A20" s="16"/>
      <c r="B20" s="17"/>
      <c r="C20" s="23"/>
      <c r="D20" s="19"/>
      <c r="E20" s="74"/>
      <c r="F20" s="75"/>
      <c r="G20" s="70"/>
      <c r="H20" s="70"/>
    </row>
    <row r="21" spans="1:8" ht="34.5" customHeight="1">
      <c r="A21" s="10"/>
      <c r="B21" s="11"/>
      <c r="C21" s="12"/>
      <c r="D21" s="22"/>
      <c r="E21" s="68"/>
      <c r="F21" s="69"/>
      <c r="G21" s="70"/>
      <c r="H21" s="70"/>
    </row>
    <row r="22" spans="1:8" ht="34.5" customHeight="1">
      <c r="A22" s="16"/>
      <c r="B22" s="17"/>
      <c r="C22" s="23"/>
      <c r="D22" s="19"/>
      <c r="E22" s="74"/>
      <c r="F22" s="75"/>
      <c r="G22" s="70"/>
      <c r="H22" s="70"/>
    </row>
    <row r="23" spans="1:8" ht="34.5" customHeight="1">
      <c r="A23" s="10"/>
      <c r="B23" s="11"/>
      <c r="C23" s="12"/>
      <c r="D23" s="22"/>
      <c r="E23" s="68"/>
      <c r="F23" s="69"/>
      <c r="G23" s="70"/>
      <c r="H23" s="70"/>
    </row>
    <row r="24" spans="1:8" ht="34.5" customHeight="1">
      <c r="A24" s="16"/>
      <c r="B24" s="17"/>
      <c r="C24" s="23"/>
      <c r="D24" s="19"/>
      <c r="E24" s="74"/>
      <c r="F24" s="75"/>
      <c r="G24" s="70"/>
      <c r="H24" s="70"/>
    </row>
    <row r="25" spans="1:8" ht="34.5" customHeight="1">
      <c r="A25" s="10"/>
      <c r="B25" s="11"/>
      <c r="C25" s="12"/>
      <c r="D25" s="22"/>
      <c r="E25" s="68"/>
      <c r="F25" s="69"/>
      <c r="G25" s="70"/>
      <c r="H25" s="70"/>
    </row>
    <row r="26" spans="1:8" ht="34.5" customHeight="1">
      <c r="A26" s="24"/>
      <c r="B26" s="25"/>
      <c r="C26" s="23"/>
      <c r="D26" s="19"/>
      <c r="E26" s="74"/>
      <c r="F26" s="75"/>
      <c r="G26" s="70"/>
      <c r="H26" s="70"/>
    </row>
    <row r="27" spans="1:8" ht="15.75" customHeight="1">
      <c r="A27" s="76"/>
      <c r="B27" s="77"/>
      <c r="C27" s="78"/>
      <c r="D27" s="79"/>
      <c r="E27" s="79"/>
      <c r="F27" s="79"/>
      <c r="G27" s="28"/>
      <c r="H27" s="28"/>
    </row>
    <row r="28" spans="1:8" ht="15.75" customHeight="1">
      <c r="A28" s="26"/>
      <c r="B28" s="1"/>
      <c r="C28" s="27"/>
      <c r="D28" s="28"/>
      <c r="E28" s="28"/>
      <c r="F28" s="28"/>
      <c r="G28" s="28"/>
      <c r="H28" s="28"/>
    </row>
    <row r="29" spans="1:8" ht="15.75" customHeight="1">
      <c r="A29" s="26"/>
      <c r="C29" s="27"/>
      <c r="D29" s="28"/>
      <c r="E29" s="28"/>
      <c r="F29" s="28"/>
      <c r="G29" s="28"/>
      <c r="H29" s="28"/>
    </row>
    <row r="30" spans="1:8" ht="15.75" customHeight="1">
      <c r="A30" s="26"/>
      <c r="C30" s="27"/>
      <c r="D30" s="28"/>
      <c r="E30" s="28"/>
      <c r="F30" s="28"/>
      <c r="G30" s="28"/>
      <c r="H30" s="28"/>
    </row>
    <row r="31" spans="1:8" ht="15.75" customHeight="1">
      <c r="A31" s="26"/>
      <c r="C31" s="27"/>
      <c r="D31" s="28"/>
      <c r="E31" s="28"/>
      <c r="G31" s="28"/>
      <c r="H31" s="28"/>
    </row>
    <row r="32" spans="1:8" ht="15.75" customHeight="1">
      <c r="A32" s="26"/>
      <c r="C32" s="27"/>
      <c r="D32" s="28"/>
      <c r="E32" s="28"/>
      <c r="G32" s="28"/>
      <c r="H32" s="28"/>
    </row>
    <row r="33" spans="1:8" ht="15.75" customHeight="1">
      <c r="A33" s="26"/>
      <c r="C33" s="27"/>
      <c r="D33" s="28"/>
      <c r="E33" s="28"/>
      <c r="G33" s="28"/>
      <c r="H33" s="28"/>
    </row>
    <row r="34" spans="1:8" ht="15.75" customHeight="1">
      <c r="A34" s="26"/>
      <c r="C34" s="27"/>
      <c r="D34" s="28"/>
      <c r="E34" s="28"/>
      <c r="G34" s="28"/>
      <c r="H34" s="28"/>
    </row>
    <row r="35" spans="1:8" ht="15.75" customHeight="1">
      <c r="A35" s="26"/>
      <c r="C35" s="27"/>
      <c r="D35" s="28"/>
      <c r="E35" s="28"/>
      <c r="G35" s="28"/>
      <c r="H35" s="28"/>
    </row>
    <row r="36" spans="1:8" ht="15.75" customHeight="1">
      <c r="A36" s="26"/>
      <c r="C36" s="27"/>
      <c r="D36" s="28"/>
      <c r="E36" s="28"/>
      <c r="G36" s="28"/>
      <c r="H36" s="28"/>
    </row>
    <row r="37" spans="1:8" ht="15.75" customHeight="1">
      <c r="A37" s="26"/>
      <c r="C37" s="27"/>
      <c r="D37" s="28"/>
      <c r="E37" s="28"/>
      <c r="G37" s="28"/>
      <c r="H37" s="28"/>
    </row>
    <row r="38" spans="1:8" ht="15.75" customHeight="1">
      <c r="A38" s="26"/>
      <c r="C38" s="27"/>
      <c r="D38" s="28"/>
    </row>
    <row r="39" spans="1:8" ht="15.75" customHeight="1">
      <c r="A39" s="26"/>
      <c r="C39" s="27"/>
      <c r="D39" s="28"/>
    </row>
    <row r="40" spans="1:8" ht="15.75" customHeight="1">
      <c r="A40" s="26"/>
      <c r="C40" s="27"/>
      <c r="D40" s="28"/>
    </row>
    <row r="41" spans="1:8" ht="15.75" customHeight="1">
      <c r="A41" s="26"/>
      <c r="C41" s="27"/>
      <c r="D41" s="28"/>
    </row>
    <row r="42" spans="1:8" ht="15.75" customHeight="1">
      <c r="A42" s="26"/>
      <c r="C42" s="27"/>
      <c r="D42" s="28"/>
    </row>
    <row r="43" spans="1:8" ht="15.75" customHeight="1">
      <c r="A43" s="26"/>
      <c r="C43" s="27"/>
      <c r="D43" s="28"/>
    </row>
    <row r="44" spans="1:8" ht="15.75" customHeight="1">
      <c r="A44" s="26"/>
      <c r="C44" s="27"/>
      <c r="D44" s="28"/>
    </row>
    <row r="45" spans="1:8" ht="15.75" customHeight="1">
      <c r="A45" s="26"/>
      <c r="C45" s="27"/>
      <c r="D45" s="28"/>
    </row>
    <row r="46" spans="1:8" ht="15.75" customHeight="1">
      <c r="A46" s="26"/>
      <c r="C46" s="27"/>
      <c r="D46" s="28"/>
    </row>
    <row r="47" spans="1:8" ht="15.75" customHeight="1">
      <c r="A47" s="26"/>
      <c r="C47" s="27"/>
      <c r="D47" s="28"/>
    </row>
    <row r="48" spans="1:8" ht="15.75" customHeight="1">
      <c r="A48" s="26"/>
      <c r="C48" s="27"/>
      <c r="D48" s="28"/>
    </row>
    <row r="49" spans="1:8" ht="15.75" customHeight="1">
      <c r="A49" s="26"/>
      <c r="C49" s="27"/>
      <c r="D49" s="28"/>
      <c r="E49" s="28"/>
      <c r="F49" s="28"/>
      <c r="G49" s="28"/>
      <c r="H49" s="28"/>
    </row>
    <row r="50" spans="1:8" ht="15.75" customHeight="1">
      <c r="A50" s="26"/>
      <c r="C50" s="27"/>
      <c r="D50" s="28"/>
      <c r="E50" s="28"/>
      <c r="F50" s="28"/>
      <c r="G50" s="28"/>
      <c r="H50" s="28"/>
    </row>
    <row r="51" spans="1:8" ht="15.75" customHeight="1">
      <c r="A51" s="26"/>
      <c r="C51" s="27"/>
      <c r="D51" s="28"/>
      <c r="E51" s="28"/>
      <c r="F51" s="28"/>
      <c r="G51" s="28"/>
      <c r="H51" s="28"/>
    </row>
    <row r="52" spans="1:8" ht="15.75" customHeight="1">
      <c r="A52" s="26"/>
      <c r="C52" s="27"/>
      <c r="D52" s="28"/>
      <c r="E52" s="28"/>
      <c r="F52" s="28"/>
      <c r="G52" s="28"/>
      <c r="H52" s="28"/>
    </row>
    <row r="53" spans="1:8" ht="15.75" customHeight="1">
      <c r="A53" s="26"/>
      <c r="C53" s="27"/>
      <c r="D53" s="28"/>
      <c r="E53" s="28"/>
      <c r="F53" s="28"/>
      <c r="G53" s="28"/>
      <c r="H53" s="28"/>
    </row>
    <row r="54" spans="1:8" ht="15.75" customHeight="1">
      <c r="A54" s="26"/>
      <c r="C54" s="27"/>
      <c r="D54" s="28"/>
      <c r="E54" s="28"/>
      <c r="F54" s="28"/>
      <c r="G54" s="28"/>
      <c r="H54" s="28"/>
    </row>
    <row r="55" spans="1:8" ht="15.75" customHeight="1">
      <c r="A55" s="26"/>
      <c r="C55" s="27"/>
      <c r="D55" s="28"/>
      <c r="E55" s="28"/>
      <c r="F55" s="28"/>
      <c r="G55" s="28"/>
      <c r="H55" s="28"/>
    </row>
    <row r="56" spans="1:8" ht="15.75" customHeight="1">
      <c r="A56" s="26"/>
      <c r="C56" s="27"/>
      <c r="D56" s="28"/>
      <c r="E56" s="28"/>
      <c r="F56" s="28"/>
      <c r="G56" s="28"/>
      <c r="H56" s="28"/>
    </row>
    <row r="57" spans="1:8" ht="15.75" customHeight="1">
      <c r="A57" s="26"/>
      <c r="C57" s="27"/>
      <c r="D57" s="28"/>
      <c r="E57" s="28"/>
      <c r="F57" s="28"/>
      <c r="G57" s="28"/>
      <c r="H57" s="28"/>
    </row>
    <row r="58" spans="1:8" ht="15.75" customHeight="1">
      <c r="A58" s="26"/>
      <c r="C58" s="27"/>
      <c r="D58" s="28"/>
      <c r="E58" s="28"/>
      <c r="F58" s="28"/>
      <c r="G58" s="28"/>
      <c r="H58" s="28"/>
    </row>
    <row r="59" spans="1:8" ht="15.75" customHeight="1">
      <c r="A59" s="26"/>
      <c r="C59" s="27"/>
      <c r="D59" s="28"/>
      <c r="E59" s="28"/>
      <c r="F59" s="28"/>
      <c r="G59" s="28"/>
      <c r="H59" s="28"/>
    </row>
    <row r="60" spans="1:8" ht="15.75" customHeight="1">
      <c r="A60" s="26"/>
      <c r="C60" s="27"/>
      <c r="D60" s="28"/>
      <c r="E60" s="28"/>
      <c r="F60" s="28"/>
      <c r="G60" s="28"/>
      <c r="H60" s="28"/>
    </row>
    <row r="61" spans="1:8" ht="15.75" customHeight="1">
      <c r="A61" s="26"/>
      <c r="C61" s="27"/>
      <c r="D61" s="28"/>
      <c r="E61" s="28"/>
      <c r="F61" s="28"/>
      <c r="G61" s="28"/>
      <c r="H61" s="28"/>
    </row>
    <row r="62" spans="1:8" ht="15.75" customHeight="1">
      <c r="A62" s="26"/>
      <c r="C62" s="27"/>
      <c r="D62" s="28"/>
      <c r="E62" s="28"/>
      <c r="F62" s="28"/>
      <c r="G62" s="28"/>
      <c r="H62" s="28"/>
    </row>
    <row r="63" spans="1:8" ht="15.75" customHeight="1">
      <c r="A63" s="26"/>
      <c r="C63" s="27"/>
      <c r="D63" s="28"/>
      <c r="E63" s="28"/>
      <c r="F63" s="28"/>
      <c r="G63" s="28"/>
      <c r="H63" s="28"/>
    </row>
    <row r="64" spans="1:8" ht="15.75" customHeight="1">
      <c r="A64" s="26"/>
      <c r="C64" s="27"/>
      <c r="D64" s="28"/>
      <c r="E64" s="28"/>
      <c r="F64" s="28"/>
      <c r="G64" s="28"/>
      <c r="H64" s="28"/>
    </row>
    <row r="65" spans="1:8" ht="15.75" customHeight="1">
      <c r="A65" s="26"/>
      <c r="C65" s="27"/>
      <c r="D65" s="28"/>
      <c r="E65" s="28"/>
      <c r="F65" s="28"/>
      <c r="G65" s="28"/>
      <c r="H65" s="28"/>
    </row>
    <row r="66" spans="1:8" ht="15.75" customHeight="1">
      <c r="A66" s="26"/>
      <c r="C66" s="27"/>
      <c r="D66" s="28"/>
      <c r="E66" s="28"/>
      <c r="F66" s="28"/>
      <c r="G66" s="28"/>
      <c r="H66" s="28"/>
    </row>
    <row r="67" spans="1:8" ht="15.75" customHeight="1">
      <c r="A67" s="26"/>
      <c r="C67" s="27"/>
      <c r="D67" s="28"/>
      <c r="E67" s="28"/>
      <c r="F67" s="28"/>
      <c r="G67" s="28"/>
      <c r="H67" s="28"/>
    </row>
    <row r="68" spans="1:8" ht="15.75" customHeight="1">
      <c r="A68" s="26"/>
      <c r="C68" s="27"/>
      <c r="D68" s="28"/>
      <c r="E68" s="28"/>
      <c r="F68" s="28"/>
      <c r="G68" s="28"/>
      <c r="H68" s="28"/>
    </row>
    <row r="69" spans="1:8" ht="15.75" customHeight="1">
      <c r="A69" s="26"/>
      <c r="C69" s="27"/>
      <c r="D69" s="28"/>
      <c r="E69" s="28"/>
      <c r="F69" s="28"/>
      <c r="G69" s="28"/>
      <c r="H69" s="28"/>
    </row>
    <row r="70" spans="1:8" ht="15.75" customHeight="1">
      <c r="A70" s="26"/>
      <c r="C70" s="27"/>
      <c r="D70" s="28"/>
      <c r="E70" s="28"/>
      <c r="F70" s="28"/>
      <c r="G70" s="28"/>
      <c r="H70" s="28"/>
    </row>
    <row r="71" spans="1:8" ht="15.75" customHeight="1">
      <c r="A71" s="26"/>
      <c r="C71" s="27"/>
      <c r="D71" s="28"/>
      <c r="E71" s="28"/>
      <c r="F71" s="28"/>
      <c r="G71" s="28"/>
      <c r="H71" s="28"/>
    </row>
    <row r="72" spans="1:8" ht="15.75" customHeight="1">
      <c r="A72" s="26"/>
      <c r="C72" s="27"/>
      <c r="D72" s="28"/>
      <c r="E72" s="28"/>
      <c r="F72" s="28"/>
      <c r="G72" s="28"/>
      <c r="H72" s="28"/>
    </row>
    <row r="73" spans="1:8" ht="15.75" customHeight="1">
      <c r="A73" s="26"/>
      <c r="C73" s="27"/>
      <c r="D73" s="28"/>
      <c r="E73" s="28"/>
      <c r="F73" s="28"/>
      <c r="G73" s="28"/>
      <c r="H73" s="28"/>
    </row>
    <row r="74" spans="1:8" ht="15.75" customHeight="1">
      <c r="A74" s="26"/>
      <c r="C74" s="27"/>
      <c r="D74" s="28"/>
      <c r="E74" s="28"/>
      <c r="F74" s="28"/>
      <c r="G74" s="28"/>
      <c r="H74" s="28"/>
    </row>
    <row r="75" spans="1:8" ht="15.75" customHeight="1">
      <c r="A75" s="26"/>
      <c r="C75" s="27"/>
      <c r="D75" s="28"/>
      <c r="E75" s="28"/>
      <c r="F75" s="28"/>
      <c r="G75" s="28"/>
      <c r="H75" s="28"/>
    </row>
    <row r="76" spans="1:8" ht="15.75" customHeight="1">
      <c r="A76" s="26"/>
      <c r="C76" s="27"/>
      <c r="D76" s="28"/>
      <c r="E76" s="28"/>
      <c r="F76" s="28"/>
      <c r="G76" s="28"/>
      <c r="H76" s="28"/>
    </row>
    <row r="77" spans="1:8" ht="15.75" customHeight="1">
      <c r="A77" s="26"/>
      <c r="C77" s="27"/>
      <c r="D77" s="28"/>
      <c r="E77" s="28"/>
      <c r="F77" s="28"/>
      <c r="G77" s="28"/>
      <c r="H77" s="28"/>
    </row>
    <row r="78" spans="1:8" ht="15.75" customHeight="1">
      <c r="A78" s="26"/>
      <c r="C78" s="27"/>
      <c r="D78" s="28"/>
      <c r="E78" s="28"/>
      <c r="F78" s="28"/>
      <c r="G78" s="28"/>
      <c r="H78" s="28"/>
    </row>
    <row r="79" spans="1:8" ht="15.75" customHeight="1">
      <c r="A79" s="26"/>
      <c r="C79" s="27"/>
      <c r="D79" s="28"/>
      <c r="E79" s="28"/>
      <c r="F79" s="28"/>
      <c r="G79" s="28"/>
      <c r="H79" s="28"/>
    </row>
    <row r="80" spans="1:8" ht="15.75" customHeight="1">
      <c r="A80" s="26"/>
      <c r="C80" s="27"/>
      <c r="D80" s="28"/>
      <c r="E80" s="28"/>
      <c r="F80" s="28"/>
      <c r="G80" s="28"/>
      <c r="H80" s="28"/>
    </row>
    <row r="81" spans="1:8" ht="15.75" customHeight="1">
      <c r="A81" s="26"/>
      <c r="C81" s="27"/>
      <c r="D81" s="28"/>
      <c r="E81" s="28"/>
      <c r="F81" s="28"/>
      <c r="G81" s="28"/>
      <c r="H81" s="28"/>
    </row>
    <row r="82" spans="1:8" ht="15.75" customHeight="1">
      <c r="A82" s="26"/>
      <c r="C82" s="27"/>
      <c r="D82" s="28"/>
      <c r="E82" s="28"/>
      <c r="F82" s="28"/>
      <c r="G82" s="28"/>
      <c r="H82" s="28"/>
    </row>
    <row r="83" spans="1:8" ht="15.75" customHeight="1">
      <c r="A83" s="26"/>
      <c r="C83" s="27"/>
      <c r="D83" s="28"/>
      <c r="E83" s="28"/>
      <c r="F83" s="28"/>
      <c r="G83" s="28"/>
      <c r="H83" s="28"/>
    </row>
    <row r="84" spans="1:8" ht="15.75" customHeight="1">
      <c r="A84" s="26"/>
      <c r="C84" s="27"/>
      <c r="D84" s="28"/>
      <c r="E84" s="28"/>
      <c r="F84" s="28"/>
      <c r="G84" s="28"/>
      <c r="H84" s="28"/>
    </row>
    <row r="85" spans="1:8" ht="15.75" customHeight="1">
      <c r="A85" s="26"/>
      <c r="C85" s="27"/>
      <c r="D85" s="28"/>
      <c r="E85" s="28"/>
      <c r="F85" s="28"/>
      <c r="G85" s="28"/>
      <c r="H85" s="28"/>
    </row>
    <row r="86" spans="1:8" ht="15.75" customHeight="1">
      <c r="A86" s="26"/>
      <c r="C86" s="27"/>
      <c r="D86" s="28"/>
      <c r="E86" s="28"/>
      <c r="F86" s="28"/>
      <c r="G86" s="28"/>
      <c r="H86" s="28"/>
    </row>
    <row r="87" spans="1:8" ht="15.75" customHeight="1">
      <c r="A87" s="26"/>
      <c r="C87" s="27"/>
      <c r="D87" s="28"/>
      <c r="E87" s="28"/>
      <c r="F87" s="28"/>
      <c r="G87" s="28"/>
      <c r="H87" s="28"/>
    </row>
    <row r="88" spans="1:8" ht="15.75" customHeight="1">
      <c r="A88" s="26"/>
      <c r="C88" s="27"/>
      <c r="D88" s="28"/>
      <c r="E88" s="28"/>
      <c r="F88" s="28"/>
      <c r="G88" s="28"/>
      <c r="H88" s="28"/>
    </row>
    <row r="89" spans="1:8" ht="15.75" customHeight="1">
      <c r="A89" s="26"/>
      <c r="C89" s="27"/>
      <c r="D89" s="28"/>
      <c r="E89" s="28"/>
      <c r="F89" s="28"/>
      <c r="G89" s="28"/>
      <c r="H89" s="28"/>
    </row>
    <row r="90" spans="1:8" ht="15.75" customHeight="1">
      <c r="A90" s="26"/>
      <c r="C90" s="27"/>
      <c r="D90" s="28"/>
      <c r="E90" s="28"/>
      <c r="F90" s="28"/>
      <c r="G90" s="28"/>
      <c r="H90" s="28"/>
    </row>
    <row r="91" spans="1:8" ht="15.75" customHeight="1">
      <c r="A91" s="26"/>
      <c r="C91" s="27"/>
      <c r="D91" s="28"/>
      <c r="E91" s="28"/>
      <c r="F91" s="28"/>
      <c r="G91" s="28"/>
      <c r="H91" s="28"/>
    </row>
    <row r="92" spans="1:8" ht="15.75" customHeight="1">
      <c r="A92" s="26"/>
      <c r="C92" s="27"/>
      <c r="D92" s="28"/>
      <c r="E92" s="28"/>
      <c r="F92" s="28"/>
      <c r="G92" s="28"/>
      <c r="H92" s="28"/>
    </row>
    <row r="93" spans="1:8" ht="15.75" customHeight="1">
      <c r="A93" s="26"/>
      <c r="C93" s="27"/>
      <c r="D93" s="28"/>
      <c r="E93" s="28"/>
      <c r="F93" s="28"/>
      <c r="G93" s="28"/>
      <c r="H93" s="28"/>
    </row>
    <row r="94" spans="1:8" ht="15.75" customHeight="1">
      <c r="A94" s="26"/>
      <c r="C94" s="27"/>
      <c r="D94" s="28"/>
      <c r="E94" s="28"/>
      <c r="F94" s="28"/>
      <c r="G94" s="28"/>
      <c r="H94" s="28"/>
    </row>
    <row r="95" spans="1:8" ht="15.75" customHeight="1">
      <c r="A95" s="26"/>
      <c r="C95" s="27"/>
      <c r="D95" s="28"/>
      <c r="E95" s="28"/>
      <c r="F95" s="28"/>
      <c r="G95" s="28"/>
      <c r="H95" s="28"/>
    </row>
    <row r="96" spans="1:8" ht="15.75" customHeight="1">
      <c r="A96" s="26"/>
      <c r="C96" s="27"/>
      <c r="D96" s="28"/>
      <c r="E96" s="28"/>
      <c r="F96" s="28"/>
      <c r="G96" s="28"/>
      <c r="H96" s="28"/>
    </row>
    <row r="97" spans="1:8" ht="15.75" customHeight="1">
      <c r="A97" s="26"/>
      <c r="C97" s="27"/>
      <c r="D97" s="28"/>
      <c r="E97" s="28"/>
      <c r="F97" s="28"/>
      <c r="G97" s="28"/>
      <c r="H97" s="28"/>
    </row>
    <row r="98" spans="1:8" ht="15.75" customHeight="1">
      <c r="A98" s="26"/>
      <c r="C98" s="27"/>
      <c r="D98" s="28"/>
      <c r="E98" s="28"/>
      <c r="F98" s="28"/>
      <c r="G98" s="28"/>
      <c r="H98" s="28"/>
    </row>
    <row r="99" spans="1:8" ht="15.75" customHeight="1">
      <c r="A99" s="26"/>
      <c r="C99" s="27"/>
      <c r="D99" s="28"/>
      <c r="E99" s="28"/>
      <c r="F99" s="28"/>
      <c r="G99" s="28"/>
      <c r="H99" s="28"/>
    </row>
    <row r="100" spans="1:8" ht="15.75" customHeight="1">
      <c r="A100" s="26"/>
      <c r="C100" s="27"/>
      <c r="D100" s="28"/>
      <c r="E100" s="28"/>
      <c r="F100" s="28"/>
      <c r="G100" s="28"/>
      <c r="H100" s="28"/>
    </row>
    <row r="101" spans="1:8" ht="15.75" customHeight="1">
      <c r="A101" s="26"/>
      <c r="C101" s="27"/>
      <c r="D101" s="28"/>
      <c r="E101" s="28"/>
      <c r="F101" s="28"/>
      <c r="G101" s="28"/>
      <c r="H101" s="28"/>
    </row>
    <row r="102" spans="1:8" ht="15.75" customHeight="1">
      <c r="A102" s="26"/>
      <c r="C102" s="27"/>
      <c r="D102" s="28"/>
      <c r="E102" s="28"/>
      <c r="F102" s="28"/>
      <c r="G102" s="28"/>
      <c r="H102" s="28"/>
    </row>
    <row r="103" spans="1:8" ht="15.75" customHeight="1">
      <c r="A103" s="26"/>
      <c r="C103" s="27"/>
      <c r="D103" s="28"/>
      <c r="E103" s="28"/>
      <c r="F103" s="28"/>
      <c r="G103" s="28"/>
      <c r="H103" s="28"/>
    </row>
    <row r="104" spans="1:8" ht="15.75" customHeight="1">
      <c r="A104" s="26"/>
      <c r="C104" s="27"/>
      <c r="D104" s="28"/>
      <c r="E104" s="28"/>
      <c r="F104" s="28"/>
      <c r="G104" s="28"/>
      <c r="H104" s="28"/>
    </row>
    <row r="105" spans="1:8" ht="15.75" customHeight="1">
      <c r="A105" s="26"/>
      <c r="C105" s="27"/>
      <c r="D105" s="28"/>
      <c r="E105" s="28"/>
      <c r="F105" s="28"/>
      <c r="G105" s="28"/>
      <c r="H105" s="28"/>
    </row>
    <row r="106" spans="1:8" ht="15.75" customHeight="1">
      <c r="A106" s="26"/>
      <c r="C106" s="27"/>
      <c r="D106" s="28"/>
      <c r="E106" s="28"/>
      <c r="F106" s="28"/>
      <c r="G106" s="28"/>
      <c r="H106" s="28"/>
    </row>
    <row r="107" spans="1:8" ht="15.75" customHeight="1">
      <c r="A107" s="26"/>
      <c r="C107" s="27"/>
      <c r="D107" s="28"/>
      <c r="E107" s="28"/>
      <c r="F107" s="28"/>
      <c r="G107" s="28"/>
      <c r="H107" s="28"/>
    </row>
    <row r="108" spans="1:8" ht="15.75" customHeight="1">
      <c r="A108" s="26"/>
      <c r="C108" s="27"/>
      <c r="D108" s="28"/>
      <c r="E108" s="28"/>
      <c r="F108" s="28"/>
      <c r="G108" s="28"/>
      <c r="H108" s="28"/>
    </row>
    <row r="109" spans="1:8" ht="15.75" customHeight="1">
      <c r="A109" s="26"/>
      <c r="C109" s="27"/>
      <c r="D109" s="28"/>
      <c r="E109" s="28"/>
      <c r="F109" s="28"/>
      <c r="G109" s="28"/>
      <c r="H109" s="28"/>
    </row>
    <row r="110" spans="1:8" ht="15.75" customHeight="1">
      <c r="A110" s="26"/>
      <c r="C110" s="27"/>
      <c r="D110" s="28"/>
      <c r="E110" s="28"/>
      <c r="F110" s="28"/>
      <c r="G110" s="28"/>
      <c r="H110" s="28"/>
    </row>
    <row r="111" spans="1:8" ht="15.75" customHeight="1">
      <c r="A111" s="26"/>
      <c r="C111" s="27"/>
      <c r="D111" s="28"/>
      <c r="E111" s="28"/>
      <c r="F111" s="28"/>
      <c r="G111" s="28"/>
      <c r="H111" s="28"/>
    </row>
    <row r="112" spans="1:8" ht="15.75" customHeight="1">
      <c r="A112" s="26"/>
      <c r="C112" s="27"/>
      <c r="D112" s="28"/>
      <c r="E112" s="28"/>
      <c r="F112" s="28"/>
      <c r="G112" s="28"/>
      <c r="H112" s="28"/>
    </row>
    <row r="113" spans="1:8" ht="15.75" customHeight="1">
      <c r="A113" s="26"/>
      <c r="C113" s="27"/>
      <c r="D113" s="28"/>
      <c r="E113" s="28"/>
      <c r="F113" s="28"/>
      <c r="G113" s="28"/>
      <c r="H113" s="28"/>
    </row>
    <row r="114" spans="1:8" ht="15.75" customHeight="1">
      <c r="A114" s="26"/>
      <c r="C114" s="27"/>
      <c r="D114" s="28"/>
      <c r="E114" s="28"/>
      <c r="F114" s="28"/>
      <c r="G114" s="28"/>
      <c r="H114" s="28"/>
    </row>
    <row r="115" spans="1:8" ht="15.75" customHeight="1">
      <c r="A115" s="26"/>
      <c r="C115" s="27"/>
      <c r="D115" s="28"/>
      <c r="E115" s="28"/>
      <c r="F115" s="28"/>
      <c r="G115" s="28"/>
      <c r="H115" s="28"/>
    </row>
    <row r="116" spans="1:8" ht="15.75" customHeight="1">
      <c r="A116" s="26"/>
      <c r="C116" s="27"/>
      <c r="D116" s="28"/>
      <c r="E116" s="28"/>
      <c r="F116" s="28"/>
      <c r="G116" s="28"/>
      <c r="H116" s="28"/>
    </row>
    <row r="117" spans="1:8" ht="15.75" customHeight="1">
      <c r="A117" s="26"/>
      <c r="C117" s="27"/>
      <c r="D117" s="28"/>
      <c r="E117" s="28"/>
      <c r="F117" s="28"/>
      <c r="G117" s="28"/>
      <c r="H117" s="28"/>
    </row>
    <row r="118" spans="1:8" ht="15.75" customHeight="1">
      <c r="A118" s="26"/>
      <c r="C118" s="27"/>
      <c r="D118" s="28"/>
      <c r="E118" s="28"/>
      <c r="F118" s="28"/>
      <c r="G118" s="28"/>
      <c r="H118" s="28"/>
    </row>
    <row r="119" spans="1:8" ht="15.75" customHeight="1">
      <c r="A119" s="26"/>
      <c r="C119" s="27"/>
      <c r="D119" s="28"/>
      <c r="E119" s="28"/>
      <c r="F119" s="28"/>
      <c r="G119" s="28"/>
      <c r="H119" s="28"/>
    </row>
    <row r="120" spans="1:8" ht="15.75" customHeight="1">
      <c r="A120" s="26"/>
      <c r="C120" s="27"/>
      <c r="D120" s="28"/>
      <c r="E120" s="28"/>
      <c r="F120" s="28"/>
      <c r="G120" s="28"/>
      <c r="H120" s="28"/>
    </row>
    <row r="121" spans="1:8" ht="15.75" customHeight="1">
      <c r="A121" s="26"/>
      <c r="C121" s="27"/>
      <c r="D121" s="28"/>
      <c r="E121" s="28"/>
      <c r="F121" s="28"/>
      <c r="G121" s="28"/>
      <c r="H121" s="28"/>
    </row>
    <row r="122" spans="1:8" ht="15.75" customHeight="1">
      <c r="A122" s="26"/>
      <c r="C122" s="27"/>
      <c r="D122" s="28"/>
      <c r="E122" s="28"/>
      <c r="F122" s="28"/>
      <c r="G122" s="28"/>
      <c r="H122" s="28"/>
    </row>
    <row r="123" spans="1:8" ht="15.75" customHeight="1">
      <c r="A123" s="26"/>
      <c r="C123" s="27"/>
      <c r="D123" s="28"/>
      <c r="E123" s="28"/>
      <c r="F123" s="28"/>
      <c r="G123" s="28"/>
      <c r="H123" s="28"/>
    </row>
    <row r="124" spans="1:8" ht="15.75" customHeight="1">
      <c r="A124" s="26"/>
      <c r="C124" s="27"/>
      <c r="D124" s="28"/>
      <c r="E124" s="28"/>
      <c r="F124" s="28"/>
      <c r="G124" s="28"/>
      <c r="H124" s="28"/>
    </row>
    <row r="125" spans="1:8" ht="15.75" customHeight="1">
      <c r="A125" s="26"/>
      <c r="C125" s="27"/>
      <c r="D125" s="28"/>
      <c r="E125" s="28"/>
      <c r="F125" s="28"/>
      <c r="G125" s="28"/>
      <c r="H125" s="28"/>
    </row>
    <row r="126" spans="1:8" ht="15.75" customHeight="1">
      <c r="A126" s="26"/>
      <c r="C126" s="27"/>
      <c r="D126" s="28"/>
      <c r="E126" s="28"/>
      <c r="F126" s="28"/>
      <c r="G126" s="28"/>
      <c r="H126" s="28"/>
    </row>
    <row r="127" spans="1:8" ht="15.75" customHeight="1">
      <c r="A127" s="26"/>
      <c r="C127" s="27"/>
      <c r="D127" s="28"/>
      <c r="E127" s="28"/>
      <c r="F127" s="28"/>
      <c r="G127" s="28"/>
      <c r="H127" s="28"/>
    </row>
    <row r="128" spans="1:8" ht="15.75" customHeight="1">
      <c r="A128" s="26"/>
      <c r="C128" s="27"/>
      <c r="D128" s="28"/>
      <c r="E128" s="28"/>
      <c r="F128" s="28"/>
      <c r="G128" s="28"/>
      <c r="H128" s="28"/>
    </row>
    <row r="129" spans="1:8" ht="15.75" customHeight="1">
      <c r="A129" s="26"/>
      <c r="C129" s="27"/>
      <c r="D129" s="28"/>
      <c r="E129" s="28"/>
      <c r="F129" s="28"/>
      <c r="G129" s="28"/>
      <c r="H129" s="28"/>
    </row>
    <row r="130" spans="1:8" ht="15.75" customHeight="1">
      <c r="A130" s="26"/>
      <c r="C130" s="27"/>
      <c r="D130" s="28"/>
      <c r="E130" s="28"/>
      <c r="F130" s="28"/>
      <c r="G130" s="28"/>
      <c r="H130" s="28"/>
    </row>
    <row r="131" spans="1:8" ht="15.75" customHeight="1">
      <c r="A131" s="26"/>
      <c r="C131" s="27"/>
      <c r="D131" s="28"/>
      <c r="E131" s="28"/>
      <c r="F131" s="28"/>
      <c r="G131" s="28"/>
      <c r="H131" s="28"/>
    </row>
    <row r="132" spans="1:8" ht="15.75" customHeight="1">
      <c r="A132" s="26"/>
      <c r="C132" s="27"/>
      <c r="D132" s="28"/>
      <c r="E132" s="28"/>
      <c r="F132" s="28"/>
      <c r="G132" s="28"/>
      <c r="H132" s="28"/>
    </row>
    <row r="133" spans="1:8" ht="15.75" customHeight="1">
      <c r="A133" s="26"/>
      <c r="C133" s="27"/>
      <c r="D133" s="28"/>
      <c r="E133" s="28"/>
      <c r="F133" s="28"/>
      <c r="G133" s="28"/>
      <c r="H133" s="28"/>
    </row>
    <row r="134" spans="1:8" ht="15.75" customHeight="1">
      <c r="A134" s="26"/>
      <c r="C134" s="27"/>
      <c r="D134" s="28"/>
      <c r="E134" s="28"/>
      <c r="F134" s="28"/>
      <c r="G134" s="28"/>
      <c r="H134" s="28"/>
    </row>
    <row r="135" spans="1:8" ht="15.75" customHeight="1">
      <c r="A135" s="26"/>
      <c r="C135" s="27"/>
      <c r="D135" s="28"/>
      <c r="E135" s="28"/>
      <c r="F135" s="28"/>
      <c r="G135" s="28"/>
      <c r="H135" s="28"/>
    </row>
    <row r="136" spans="1:8" ht="15.75" customHeight="1">
      <c r="A136" s="26"/>
      <c r="C136" s="27"/>
      <c r="D136" s="28"/>
      <c r="E136" s="28"/>
      <c r="F136" s="28"/>
      <c r="G136" s="28"/>
      <c r="H136" s="28"/>
    </row>
    <row r="137" spans="1:8" ht="15.75" customHeight="1">
      <c r="A137" s="26"/>
      <c r="C137" s="27"/>
      <c r="D137" s="28"/>
      <c r="E137" s="28"/>
      <c r="F137" s="28"/>
      <c r="G137" s="28"/>
      <c r="H137" s="28"/>
    </row>
    <row r="138" spans="1:8" ht="15.75" customHeight="1">
      <c r="A138" s="26"/>
      <c r="C138" s="27"/>
      <c r="D138" s="28"/>
      <c r="E138" s="28"/>
      <c r="F138" s="28"/>
      <c r="G138" s="28"/>
      <c r="H138" s="28"/>
    </row>
    <row r="139" spans="1:8" ht="15.75" customHeight="1">
      <c r="A139" s="26"/>
      <c r="C139" s="27"/>
      <c r="D139" s="28"/>
      <c r="E139" s="28"/>
      <c r="F139" s="28"/>
      <c r="G139" s="28"/>
      <c r="H139" s="28"/>
    </row>
    <row r="140" spans="1:8" ht="15.75" customHeight="1">
      <c r="A140" s="26"/>
      <c r="C140" s="27"/>
      <c r="D140" s="28"/>
      <c r="E140" s="28"/>
      <c r="F140" s="28"/>
      <c r="G140" s="28"/>
      <c r="H140" s="28"/>
    </row>
    <row r="141" spans="1:8" ht="15.75" customHeight="1">
      <c r="A141" s="26"/>
      <c r="C141" s="27"/>
      <c r="D141" s="28"/>
      <c r="E141" s="28"/>
      <c r="F141" s="28"/>
      <c r="G141" s="28"/>
      <c r="H141" s="28"/>
    </row>
    <row r="142" spans="1:8" ht="15.75" customHeight="1">
      <c r="A142" s="26"/>
      <c r="C142" s="27"/>
      <c r="D142" s="28"/>
      <c r="E142" s="28"/>
      <c r="F142" s="28"/>
      <c r="G142" s="28"/>
      <c r="H142" s="28"/>
    </row>
    <row r="143" spans="1:8" ht="15.75" customHeight="1">
      <c r="A143" s="26"/>
      <c r="C143" s="27"/>
      <c r="D143" s="28"/>
      <c r="E143" s="28"/>
      <c r="F143" s="28"/>
      <c r="G143" s="28"/>
      <c r="H143" s="28"/>
    </row>
    <row r="144" spans="1:8" ht="15.75" customHeight="1">
      <c r="A144" s="26"/>
      <c r="C144" s="27"/>
      <c r="D144" s="28"/>
      <c r="E144" s="28"/>
      <c r="F144" s="28"/>
      <c r="G144" s="28"/>
      <c r="H144" s="28"/>
    </row>
    <row r="145" spans="1:8" ht="15.75" customHeight="1">
      <c r="A145" s="26"/>
      <c r="C145" s="27"/>
      <c r="D145" s="28"/>
      <c r="E145" s="28"/>
      <c r="F145" s="28"/>
      <c r="G145" s="28"/>
      <c r="H145" s="28"/>
    </row>
    <row r="146" spans="1:8" ht="15.75" customHeight="1">
      <c r="A146" s="26"/>
      <c r="C146" s="27"/>
      <c r="D146" s="28"/>
      <c r="E146" s="28"/>
      <c r="F146" s="28"/>
      <c r="G146" s="28"/>
      <c r="H146" s="28"/>
    </row>
    <row r="147" spans="1:8" ht="15.75" customHeight="1">
      <c r="A147" s="26"/>
      <c r="C147" s="27"/>
      <c r="D147" s="28"/>
      <c r="E147" s="28"/>
      <c r="F147" s="28"/>
      <c r="G147" s="28"/>
      <c r="H147" s="28"/>
    </row>
    <row r="148" spans="1:8" ht="15.75" customHeight="1">
      <c r="A148" s="26"/>
      <c r="C148" s="27"/>
      <c r="D148" s="28"/>
      <c r="E148" s="28"/>
      <c r="F148" s="28"/>
      <c r="G148" s="28"/>
      <c r="H148" s="28"/>
    </row>
    <row r="149" spans="1:8" ht="15.75" customHeight="1">
      <c r="A149" s="26"/>
      <c r="C149" s="27"/>
      <c r="D149" s="28"/>
      <c r="E149" s="28"/>
      <c r="F149" s="28"/>
      <c r="G149" s="28"/>
      <c r="H149" s="28"/>
    </row>
    <row r="150" spans="1:8" ht="15.75" customHeight="1">
      <c r="A150" s="26"/>
      <c r="C150" s="27"/>
      <c r="D150" s="28"/>
      <c r="E150" s="28"/>
      <c r="F150" s="28"/>
      <c r="G150" s="28"/>
      <c r="H150" s="28"/>
    </row>
    <row r="151" spans="1:8" ht="15.75" customHeight="1">
      <c r="A151" s="26"/>
      <c r="C151" s="27"/>
      <c r="D151" s="28"/>
      <c r="E151" s="28"/>
      <c r="F151" s="28"/>
      <c r="G151" s="28"/>
      <c r="H151" s="28"/>
    </row>
    <row r="152" spans="1:8" ht="15.75" customHeight="1">
      <c r="A152" s="26"/>
      <c r="C152" s="27"/>
      <c r="D152" s="28"/>
      <c r="E152" s="28"/>
      <c r="F152" s="28"/>
      <c r="G152" s="28"/>
      <c r="H152" s="28"/>
    </row>
    <row r="153" spans="1:8" ht="15.75" customHeight="1">
      <c r="A153" s="26"/>
      <c r="C153" s="27"/>
      <c r="D153" s="28"/>
      <c r="E153" s="28"/>
      <c r="F153" s="28"/>
      <c r="G153" s="28"/>
      <c r="H153" s="28"/>
    </row>
    <row r="154" spans="1:8" ht="15.75" customHeight="1">
      <c r="A154" s="26"/>
      <c r="C154" s="27"/>
      <c r="D154" s="28"/>
      <c r="E154" s="28"/>
      <c r="F154" s="28"/>
      <c r="G154" s="28"/>
      <c r="H154" s="28"/>
    </row>
    <row r="155" spans="1:8" ht="15.75" customHeight="1">
      <c r="A155" s="26"/>
      <c r="C155" s="27"/>
      <c r="D155" s="28"/>
      <c r="E155" s="28"/>
      <c r="F155" s="28"/>
      <c r="G155" s="28"/>
      <c r="H155" s="28"/>
    </row>
    <row r="156" spans="1:8" ht="15.75" customHeight="1">
      <c r="A156" s="26"/>
      <c r="C156" s="27"/>
      <c r="D156" s="28"/>
      <c r="E156" s="28"/>
      <c r="F156" s="28"/>
      <c r="G156" s="28"/>
      <c r="H156" s="28"/>
    </row>
    <row r="157" spans="1:8" ht="15.75" customHeight="1">
      <c r="A157" s="26"/>
      <c r="C157" s="27"/>
      <c r="D157" s="28"/>
      <c r="E157" s="28"/>
      <c r="F157" s="28"/>
      <c r="G157" s="28"/>
      <c r="H157" s="28"/>
    </row>
    <row r="158" spans="1:8" ht="15.75" customHeight="1">
      <c r="A158" s="26"/>
      <c r="C158" s="27"/>
      <c r="D158" s="28"/>
      <c r="E158" s="28"/>
      <c r="F158" s="28"/>
      <c r="G158" s="28"/>
      <c r="H158" s="28"/>
    </row>
    <row r="159" spans="1:8" ht="15.75" customHeight="1">
      <c r="A159" s="26"/>
      <c r="C159" s="27"/>
      <c r="D159" s="28"/>
      <c r="E159" s="28"/>
      <c r="F159" s="28"/>
      <c r="G159" s="28"/>
      <c r="H159" s="28"/>
    </row>
    <row r="160" spans="1:8" ht="15.75" customHeight="1">
      <c r="A160" s="26"/>
      <c r="C160" s="27"/>
      <c r="D160" s="28"/>
      <c r="E160" s="28"/>
      <c r="F160" s="28"/>
      <c r="G160" s="28"/>
      <c r="H160" s="28"/>
    </row>
    <row r="161" spans="1:8" ht="15.75" customHeight="1">
      <c r="A161" s="26"/>
      <c r="C161" s="27"/>
      <c r="D161" s="28"/>
      <c r="E161" s="28"/>
      <c r="F161" s="28"/>
      <c r="G161" s="28"/>
      <c r="H161" s="28"/>
    </row>
    <row r="162" spans="1:8" ht="15.75" customHeight="1">
      <c r="A162" s="26"/>
      <c r="C162" s="27"/>
      <c r="D162" s="28"/>
      <c r="E162" s="28"/>
      <c r="F162" s="28"/>
      <c r="G162" s="28"/>
      <c r="H162" s="28"/>
    </row>
    <row r="163" spans="1:8" ht="15.75" customHeight="1">
      <c r="A163" s="26"/>
      <c r="C163" s="27"/>
      <c r="D163" s="28"/>
      <c r="E163" s="28"/>
      <c r="F163" s="28"/>
      <c r="G163" s="28"/>
      <c r="H163" s="28"/>
    </row>
    <row r="164" spans="1:8" ht="15.75" customHeight="1">
      <c r="A164" s="26"/>
      <c r="C164" s="27"/>
      <c r="D164" s="28"/>
      <c r="E164" s="28"/>
      <c r="F164" s="28"/>
      <c r="G164" s="28"/>
      <c r="H164" s="28"/>
    </row>
    <row r="165" spans="1:8" ht="15.75" customHeight="1">
      <c r="A165" s="26"/>
      <c r="C165" s="27"/>
      <c r="D165" s="28"/>
      <c r="E165" s="28"/>
      <c r="F165" s="28"/>
      <c r="G165" s="28"/>
      <c r="H165" s="28"/>
    </row>
    <row r="166" spans="1:8" ht="15.75" customHeight="1">
      <c r="A166" s="26"/>
      <c r="C166" s="27"/>
      <c r="D166" s="28"/>
      <c r="E166" s="28"/>
      <c r="F166" s="28"/>
      <c r="G166" s="28"/>
      <c r="H166" s="28"/>
    </row>
    <row r="167" spans="1:8" ht="15.75" customHeight="1">
      <c r="A167" s="26"/>
      <c r="C167" s="27"/>
      <c r="D167" s="28"/>
      <c r="E167" s="28"/>
      <c r="F167" s="28"/>
      <c r="G167" s="28"/>
      <c r="H167" s="28"/>
    </row>
    <row r="168" spans="1:8" ht="15.75" customHeight="1">
      <c r="A168" s="26"/>
      <c r="C168" s="27"/>
      <c r="D168" s="28"/>
      <c r="E168" s="28"/>
      <c r="F168" s="28"/>
      <c r="G168" s="28"/>
      <c r="H168" s="28"/>
    </row>
    <row r="169" spans="1:8" ht="15.75" customHeight="1">
      <c r="A169" s="26"/>
      <c r="C169" s="27"/>
      <c r="D169" s="28"/>
      <c r="E169" s="28"/>
      <c r="F169" s="28"/>
      <c r="G169" s="28"/>
      <c r="H169" s="28"/>
    </row>
    <row r="170" spans="1:8" ht="15.75" customHeight="1">
      <c r="A170" s="26"/>
      <c r="C170" s="27"/>
      <c r="D170" s="28"/>
      <c r="E170" s="28"/>
      <c r="F170" s="28"/>
      <c r="G170" s="28"/>
      <c r="H170" s="28"/>
    </row>
    <row r="171" spans="1:8" ht="15.75" customHeight="1">
      <c r="A171" s="26"/>
      <c r="C171" s="27"/>
      <c r="D171" s="28"/>
      <c r="E171" s="28"/>
      <c r="F171" s="28"/>
      <c r="G171" s="28"/>
      <c r="H171" s="28"/>
    </row>
    <row r="172" spans="1:8" ht="15.75" customHeight="1">
      <c r="A172" s="26"/>
      <c r="C172" s="27"/>
      <c r="D172" s="28"/>
      <c r="E172" s="28"/>
      <c r="F172" s="28"/>
      <c r="G172" s="28"/>
      <c r="H172" s="28"/>
    </row>
    <row r="173" spans="1:8" ht="15.75" customHeight="1">
      <c r="A173" s="26"/>
      <c r="C173" s="27"/>
      <c r="D173" s="28"/>
      <c r="E173" s="28"/>
      <c r="F173" s="28"/>
      <c r="G173" s="28"/>
      <c r="H173" s="28"/>
    </row>
    <row r="174" spans="1:8" ht="15.75" customHeight="1">
      <c r="A174" s="26"/>
      <c r="C174" s="27"/>
      <c r="D174" s="28"/>
      <c r="E174" s="28"/>
      <c r="F174" s="28"/>
      <c r="G174" s="28"/>
      <c r="H174" s="28"/>
    </row>
    <row r="175" spans="1:8" ht="15.75" customHeight="1">
      <c r="A175" s="26"/>
      <c r="C175" s="27"/>
      <c r="D175" s="28"/>
      <c r="E175" s="28"/>
      <c r="F175" s="28"/>
      <c r="G175" s="28"/>
      <c r="H175" s="28"/>
    </row>
    <row r="176" spans="1:8" ht="15.75" customHeight="1">
      <c r="A176" s="26"/>
      <c r="C176" s="27"/>
      <c r="D176" s="28"/>
      <c r="E176" s="28"/>
      <c r="F176" s="28"/>
      <c r="G176" s="28"/>
      <c r="H176" s="28"/>
    </row>
    <row r="177" spans="1:8" ht="15.75" customHeight="1">
      <c r="A177" s="26"/>
      <c r="C177" s="27"/>
      <c r="D177" s="28"/>
      <c r="E177" s="28"/>
      <c r="F177" s="28"/>
      <c r="G177" s="28"/>
      <c r="H177" s="28"/>
    </row>
    <row r="178" spans="1:8" ht="15.75" customHeight="1">
      <c r="A178" s="26"/>
      <c r="C178" s="27"/>
      <c r="D178" s="28"/>
      <c r="E178" s="28"/>
      <c r="F178" s="28"/>
      <c r="G178" s="28"/>
      <c r="H178" s="28"/>
    </row>
    <row r="179" spans="1:8" ht="15.75" customHeight="1">
      <c r="A179" s="26"/>
      <c r="C179" s="27"/>
      <c r="D179" s="28"/>
      <c r="E179" s="28"/>
      <c r="F179" s="28"/>
      <c r="G179" s="28"/>
      <c r="H179" s="28"/>
    </row>
    <row r="180" spans="1:8" ht="15.75" customHeight="1">
      <c r="A180" s="26"/>
      <c r="C180" s="27"/>
      <c r="D180" s="28"/>
      <c r="E180" s="28"/>
      <c r="F180" s="28"/>
      <c r="G180" s="28"/>
      <c r="H180" s="28"/>
    </row>
    <row r="181" spans="1:8" ht="15.75" customHeight="1">
      <c r="A181" s="26"/>
      <c r="C181" s="27"/>
      <c r="D181" s="28"/>
      <c r="E181" s="28"/>
      <c r="F181" s="28"/>
      <c r="G181" s="28"/>
      <c r="H181" s="28"/>
    </row>
    <row r="182" spans="1:8" ht="15.75" customHeight="1">
      <c r="A182" s="26"/>
      <c r="C182" s="27"/>
      <c r="D182" s="28"/>
      <c r="E182" s="28"/>
      <c r="F182" s="28"/>
      <c r="G182" s="28"/>
      <c r="H182" s="28"/>
    </row>
    <row r="183" spans="1:8" ht="15.75" customHeight="1">
      <c r="A183" s="26"/>
      <c r="C183" s="27"/>
      <c r="D183" s="28"/>
      <c r="E183" s="28"/>
      <c r="F183" s="28"/>
      <c r="G183" s="28"/>
      <c r="H183" s="28"/>
    </row>
    <row r="184" spans="1:8" ht="15.75" customHeight="1">
      <c r="A184" s="26"/>
      <c r="C184" s="27"/>
      <c r="D184" s="28"/>
      <c r="E184" s="28"/>
      <c r="F184" s="28"/>
      <c r="G184" s="28"/>
      <c r="H184" s="28"/>
    </row>
    <row r="185" spans="1:8" ht="15.75" customHeight="1">
      <c r="A185" s="26"/>
      <c r="C185" s="27"/>
      <c r="D185" s="28"/>
      <c r="E185" s="28"/>
      <c r="F185" s="28"/>
      <c r="G185" s="28"/>
      <c r="H185" s="28"/>
    </row>
    <row r="186" spans="1:8" ht="15.75" customHeight="1">
      <c r="A186" s="26"/>
      <c r="C186" s="27"/>
      <c r="D186" s="28"/>
      <c r="E186" s="28"/>
      <c r="F186" s="28"/>
      <c r="G186" s="28"/>
      <c r="H186" s="28"/>
    </row>
    <row r="187" spans="1:8" ht="15.75" customHeight="1">
      <c r="A187" s="26"/>
      <c r="C187" s="27"/>
      <c r="D187" s="28"/>
      <c r="E187" s="28"/>
      <c r="F187" s="28"/>
      <c r="G187" s="28"/>
      <c r="H187" s="28"/>
    </row>
    <row r="188" spans="1:8" ht="15.75" customHeight="1">
      <c r="A188" s="26"/>
      <c r="C188" s="27"/>
      <c r="D188" s="28"/>
      <c r="E188" s="28"/>
      <c r="F188" s="28"/>
      <c r="G188" s="28"/>
      <c r="H188" s="28"/>
    </row>
    <row r="189" spans="1:8" ht="15.75" customHeight="1">
      <c r="A189" s="26"/>
      <c r="C189" s="27"/>
      <c r="D189" s="28"/>
      <c r="E189" s="28"/>
      <c r="F189" s="28"/>
      <c r="G189" s="28"/>
      <c r="H189" s="28"/>
    </row>
    <row r="190" spans="1:8" ht="15.75" customHeight="1">
      <c r="A190" s="26"/>
      <c r="C190" s="27"/>
      <c r="D190" s="28"/>
      <c r="E190" s="28"/>
      <c r="F190" s="28"/>
      <c r="G190" s="28"/>
      <c r="H190" s="28"/>
    </row>
    <row r="191" spans="1:8" ht="15.75" customHeight="1">
      <c r="A191" s="26"/>
      <c r="C191" s="27"/>
      <c r="D191" s="28"/>
      <c r="E191" s="28"/>
      <c r="F191" s="28"/>
      <c r="G191" s="28"/>
      <c r="H191" s="28"/>
    </row>
    <row r="192" spans="1:8" ht="15.75" customHeight="1">
      <c r="A192" s="26"/>
      <c r="C192" s="27"/>
      <c r="D192" s="28"/>
      <c r="E192" s="28"/>
      <c r="F192" s="28"/>
      <c r="G192" s="28"/>
      <c r="H192" s="28"/>
    </row>
    <row r="193" spans="1:8" ht="15.75" customHeight="1">
      <c r="A193" s="26"/>
      <c r="C193" s="27"/>
      <c r="D193" s="28"/>
      <c r="E193" s="28"/>
      <c r="F193" s="28"/>
      <c r="G193" s="28"/>
      <c r="H193" s="28"/>
    </row>
    <row r="194" spans="1:8" ht="15.75" customHeight="1">
      <c r="A194" s="26"/>
      <c r="C194" s="27"/>
      <c r="D194" s="28"/>
      <c r="E194" s="28"/>
      <c r="F194" s="28"/>
      <c r="G194" s="28"/>
      <c r="H194" s="28"/>
    </row>
    <row r="195" spans="1:8" ht="15.75" customHeight="1">
      <c r="A195" s="26"/>
      <c r="C195" s="27"/>
      <c r="D195" s="28"/>
      <c r="E195" s="28"/>
      <c r="F195" s="28"/>
      <c r="G195" s="28"/>
      <c r="H195" s="28"/>
    </row>
    <row r="196" spans="1:8" ht="15.75" customHeight="1">
      <c r="A196" s="26"/>
      <c r="C196" s="27"/>
      <c r="D196" s="28"/>
      <c r="E196" s="28"/>
      <c r="F196" s="28"/>
      <c r="G196" s="28"/>
      <c r="H196" s="28"/>
    </row>
    <row r="197" spans="1:8" ht="15.75" customHeight="1">
      <c r="A197" s="26"/>
      <c r="C197" s="27"/>
      <c r="D197" s="28"/>
      <c r="E197" s="28"/>
      <c r="F197" s="28"/>
      <c r="G197" s="28"/>
      <c r="H197" s="28"/>
    </row>
    <row r="198" spans="1:8" ht="15.75" customHeight="1">
      <c r="A198" s="26"/>
      <c r="C198" s="27"/>
      <c r="D198" s="28"/>
      <c r="E198" s="28"/>
      <c r="F198" s="28"/>
      <c r="G198" s="28"/>
      <c r="H198" s="28"/>
    </row>
    <row r="199" spans="1:8" ht="15.75" customHeight="1">
      <c r="A199" s="26"/>
      <c r="C199" s="27"/>
      <c r="D199" s="28"/>
      <c r="E199" s="28"/>
      <c r="F199" s="28"/>
      <c r="G199" s="28"/>
      <c r="H199" s="28"/>
    </row>
    <row r="200" spans="1:8" ht="15.75" customHeight="1">
      <c r="A200" s="26"/>
      <c r="C200" s="27"/>
      <c r="D200" s="28"/>
      <c r="E200" s="28"/>
      <c r="F200" s="28"/>
      <c r="G200" s="28"/>
      <c r="H200" s="28"/>
    </row>
    <row r="201" spans="1:8" ht="15.75" customHeight="1">
      <c r="A201" s="26"/>
      <c r="C201" s="27"/>
      <c r="D201" s="28"/>
      <c r="E201" s="28"/>
      <c r="F201" s="28"/>
      <c r="G201" s="28"/>
      <c r="H201" s="28"/>
    </row>
    <row r="202" spans="1:8" ht="15.75" customHeight="1">
      <c r="A202" s="26"/>
      <c r="C202" s="27"/>
      <c r="D202" s="28"/>
      <c r="E202" s="28"/>
      <c r="F202" s="28"/>
      <c r="G202" s="28"/>
      <c r="H202" s="28"/>
    </row>
    <row r="203" spans="1:8" ht="15.75" customHeight="1">
      <c r="A203" s="26"/>
      <c r="C203" s="27"/>
      <c r="D203" s="28"/>
      <c r="E203" s="28"/>
      <c r="F203" s="28"/>
      <c r="G203" s="28"/>
      <c r="H203" s="28"/>
    </row>
    <row r="204" spans="1:8" ht="15.75" customHeight="1">
      <c r="A204" s="26"/>
      <c r="C204" s="27"/>
      <c r="D204" s="28"/>
      <c r="E204" s="28"/>
      <c r="F204" s="28"/>
      <c r="G204" s="28"/>
      <c r="H204" s="28"/>
    </row>
    <row r="205" spans="1:8" ht="15.75" customHeight="1">
      <c r="A205" s="26"/>
      <c r="C205" s="27"/>
      <c r="D205" s="28"/>
      <c r="E205" s="28"/>
      <c r="F205" s="28"/>
      <c r="G205" s="28"/>
      <c r="H205" s="28"/>
    </row>
    <row r="206" spans="1:8" ht="15.75" customHeight="1">
      <c r="A206" s="26"/>
      <c r="C206" s="27"/>
      <c r="D206" s="28"/>
      <c r="E206" s="28"/>
      <c r="F206" s="28"/>
      <c r="G206" s="28"/>
      <c r="H206" s="28"/>
    </row>
    <row r="207" spans="1:8" ht="15.75" customHeight="1">
      <c r="A207" s="26"/>
      <c r="C207" s="27"/>
      <c r="D207" s="28"/>
      <c r="E207" s="28"/>
      <c r="F207" s="28"/>
      <c r="G207" s="28"/>
      <c r="H207" s="28"/>
    </row>
    <row r="208" spans="1:8" ht="15.75" customHeight="1">
      <c r="A208" s="26"/>
      <c r="C208" s="27"/>
      <c r="D208" s="28"/>
      <c r="E208" s="28"/>
      <c r="F208" s="28"/>
      <c r="G208" s="28"/>
      <c r="H208" s="28"/>
    </row>
    <row r="209" spans="1:8" ht="15.75" customHeight="1">
      <c r="A209" s="26"/>
      <c r="C209" s="27"/>
      <c r="D209" s="28"/>
      <c r="E209" s="28"/>
      <c r="F209" s="28"/>
      <c r="G209" s="28"/>
      <c r="H209" s="28"/>
    </row>
    <row r="210" spans="1:8" ht="15.75" customHeight="1">
      <c r="A210" s="26"/>
      <c r="C210" s="27"/>
      <c r="D210" s="28"/>
      <c r="E210" s="28"/>
      <c r="F210" s="28"/>
      <c r="G210" s="28"/>
      <c r="H210" s="28"/>
    </row>
    <row r="211" spans="1:8" ht="15.75" customHeight="1">
      <c r="A211" s="26"/>
      <c r="C211" s="27"/>
      <c r="D211" s="28"/>
      <c r="E211" s="28"/>
      <c r="F211" s="28"/>
      <c r="G211" s="28"/>
      <c r="H211" s="28"/>
    </row>
    <row r="212" spans="1:8" ht="15.75" customHeight="1">
      <c r="A212" s="26"/>
      <c r="C212" s="27"/>
      <c r="D212" s="28"/>
      <c r="E212" s="28"/>
      <c r="F212" s="28"/>
      <c r="G212" s="28"/>
      <c r="H212" s="28"/>
    </row>
    <row r="213" spans="1:8" ht="15.75" customHeight="1">
      <c r="A213" s="26"/>
      <c r="C213" s="27"/>
      <c r="D213" s="28"/>
      <c r="E213" s="28"/>
      <c r="F213" s="28"/>
      <c r="G213" s="28"/>
      <c r="H213" s="28"/>
    </row>
    <row r="214" spans="1:8" ht="15.75" customHeight="1">
      <c r="A214" s="26"/>
      <c r="C214" s="27"/>
      <c r="D214" s="28"/>
      <c r="E214" s="28"/>
      <c r="F214" s="28"/>
      <c r="G214" s="28"/>
      <c r="H214" s="28"/>
    </row>
    <row r="215" spans="1:8" ht="15.75" customHeight="1">
      <c r="A215" s="26"/>
      <c r="C215" s="27"/>
      <c r="D215" s="28"/>
      <c r="E215" s="28"/>
      <c r="F215" s="28"/>
      <c r="G215" s="28"/>
      <c r="H215" s="28"/>
    </row>
    <row r="216" spans="1:8" ht="15.75" customHeight="1">
      <c r="A216" s="26"/>
      <c r="C216" s="27"/>
      <c r="D216" s="28"/>
      <c r="E216" s="28"/>
      <c r="F216" s="28"/>
      <c r="G216" s="28"/>
      <c r="H216" s="28"/>
    </row>
    <row r="217" spans="1:8" ht="15.75" customHeight="1">
      <c r="A217" s="26"/>
      <c r="C217" s="27"/>
      <c r="D217" s="28"/>
      <c r="E217" s="28"/>
      <c r="F217" s="28"/>
      <c r="G217" s="28"/>
      <c r="H217" s="28"/>
    </row>
    <row r="218" spans="1:8" ht="15.75" customHeight="1">
      <c r="A218" s="26"/>
      <c r="C218" s="27"/>
      <c r="D218" s="28"/>
      <c r="E218" s="28"/>
      <c r="F218" s="28"/>
      <c r="G218" s="28"/>
      <c r="H218" s="28"/>
    </row>
    <row r="219" spans="1:8" ht="15.75" customHeight="1">
      <c r="A219" s="26"/>
      <c r="C219" s="27"/>
      <c r="D219" s="28"/>
      <c r="E219" s="28"/>
      <c r="F219" s="28"/>
      <c r="G219" s="28"/>
      <c r="H219" s="28"/>
    </row>
    <row r="220" spans="1:8" ht="15.75" customHeight="1">
      <c r="A220" s="26"/>
      <c r="C220" s="27"/>
      <c r="D220" s="28"/>
      <c r="E220" s="28"/>
      <c r="F220" s="28"/>
      <c r="G220" s="28"/>
      <c r="H220" s="28"/>
    </row>
    <row r="221" spans="1:8" ht="15.75" customHeight="1">
      <c r="A221" s="26"/>
      <c r="C221" s="27"/>
      <c r="D221" s="28"/>
      <c r="E221" s="28"/>
      <c r="F221" s="28"/>
      <c r="G221" s="28"/>
      <c r="H221" s="28"/>
    </row>
    <row r="222" spans="1:8" ht="15.75" customHeight="1">
      <c r="A222" s="26"/>
      <c r="C222" s="27"/>
      <c r="D222" s="28"/>
      <c r="E222" s="28"/>
      <c r="F222" s="28"/>
      <c r="G222" s="28"/>
      <c r="H222" s="28"/>
    </row>
    <row r="223" spans="1:8" ht="15.75" customHeight="1">
      <c r="A223" s="26"/>
      <c r="C223" s="27"/>
      <c r="D223" s="28"/>
      <c r="E223" s="28"/>
      <c r="F223" s="28"/>
      <c r="G223" s="28"/>
      <c r="H223" s="28"/>
    </row>
    <row r="224" spans="1:8" ht="15.75" customHeight="1">
      <c r="A224" s="26"/>
      <c r="C224" s="27"/>
      <c r="D224" s="28"/>
      <c r="E224" s="28"/>
      <c r="F224" s="28"/>
      <c r="G224" s="28"/>
      <c r="H224" s="28"/>
    </row>
    <row r="225" spans="1:8" ht="15.75" customHeight="1">
      <c r="A225" s="26"/>
      <c r="C225" s="27"/>
      <c r="D225" s="28"/>
      <c r="E225" s="28"/>
      <c r="F225" s="28"/>
      <c r="G225" s="28"/>
      <c r="H225" s="28"/>
    </row>
    <row r="226" spans="1:8" ht="15.75" customHeight="1">
      <c r="A226" s="26"/>
      <c r="C226" s="27"/>
      <c r="D226" s="28"/>
      <c r="E226" s="28"/>
      <c r="F226" s="28"/>
      <c r="G226" s="28"/>
      <c r="H226" s="28"/>
    </row>
    <row r="227" spans="1:8" ht="15.75" customHeight="1"/>
    <row r="228" spans="1:8" ht="15.75" customHeight="1"/>
    <row r="229" spans="1:8" ht="15.75" customHeight="1"/>
    <row r="230" spans="1:8" ht="15.75" customHeight="1"/>
    <row r="231" spans="1:8" ht="15.75" customHeight="1"/>
    <row r="232" spans="1:8" ht="15.75" customHeight="1"/>
    <row r="233" spans="1:8" ht="15.75" customHeight="1"/>
    <row r="234" spans="1:8" ht="15.75" customHeight="1"/>
    <row r="235" spans="1:8" ht="15.75" customHeight="1"/>
    <row r="236" spans="1:8" ht="15.75" customHeight="1"/>
    <row r="237" spans="1:8" ht="15.75" customHeight="1"/>
    <row r="238" spans="1:8" ht="15.75" customHeight="1"/>
    <row r="239" spans="1:8" ht="15.75" customHeight="1"/>
    <row r="240" spans="1: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1:E2"/>
  </mergeCell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'Data Validation'!$C$3:$C$14</xm:f>
          </x14:formula1>
          <xm:sqref>C3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H20036"/>
  <sheetViews>
    <sheetView workbookViewId="0"/>
  </sheetViews>
  <sheetFormatPr defaultColWidth="12.5703125" defaultRowHeight="15" customHeight="1"/>
  <cols>
    <col min="1" max="1" width="13.42578125" customWidth="1"/>
    <col min="2" max="2" width="20.5703125" customWidth="1"/>
    <col min="3" max="3" width="33.42578125" customWidth="1"/>
    <col min="4" max="4" width="16.140625" customWidth="1"/>
    <col min="5" max="5" width="35.140625" customWidth="1"/>
    <col min="6" max="6" width="36.28515625" customWidth="1"/>
    <col min="7" max="7" width="14.7109375" customWidth="1"/>
    <col min="8" max="8" width="26.42578125" customWidth="1"/>
  </cols>
  <sheetData>
    <row r="1" spans="1:8" ht="15.75" customHeight="1">
      <c r="A1" s="30" t="s">
        <v>41</v>
      </c>
      <c r="B1" s="30" t="s">
        <v>42</v>
      </c>
      <c r="C1" s="30" t="s">
        <v>43</v>
      </c>
      <c r="D1" s="30" t="s">
        <v>44</v>
      </c>
      <c r="E1" s="30" t="s">
        <v>1</v>
      </c>
      <c r="F1" s="80" t="s">
        <v>73</v>
      </c>
      <c r="G1" s="32"/>
      <c r="H1" s="32"/>
    </row>
    <row r="2" spans="1:8" ht="15.75" customHeight="1">
      <c r="A2" s="1">
        <v>20615</v>
      </c>
      <c r="B2" s="2">
        <v>45202.762939814813</v>
      </c>
      <c r="C2" s="1" t="s">
        <v>10</v>
      </c>
      <c r="D2" s="1">
        <v>53</v>
      </c>
      <c r="E2" s="1" t="s">
        <v>74</v>
      </c>
      <c r="F2" s="59"/>
      <c r="G2" s="32"/>
      <c r="H2" s="32"/>
    </row>
    <row r="3" spans="1:8" ht="15.75" customHeight="1">
      <c r="A3" s="1">
        <v>20612</v>
      </c>
      <c r="B3" s="2">
        <v>45202.566504629634</v>
      </c>
      <c r="C3" s="1" t="s">
        <v>10</v>
      </c>
      <c r="D3" s="1">
        <v>70</v>
      </c>
      <c r="E3" s="1" t="s">
        <v>75</v>
      </c>
      <c r="F3" s="59"/>
      <c r="G3" s="32"/>
      <c r="H3" s="32"/>
    </row>
    <row r="4" spans="1:8" ht="15.75" customHeight="1">
      <c r="A4" s="1">
        <v>20611</v>
      </c>
      <c r="B4" s="2">
        <v>45202.559976851851</v>
      </c>
      <c r="C4" s="1" t="s">
        <v>10</v>
      </c>
      <c r="D4" s="1">
        <v>70</v>
      </c>
      <c r="E4" s="1" t="s">
        <v>75</v>
      </c>
      <c r="F4" s="59"/>
      <c r="G4" s="32"/>
      <c r="H4" s="32"/>
    </row>
    <row r="5" spans="1:8" ht="15.75" customHeight="1">
      <c r="A5" s="1">
        <v>20610</v>
      </c>
      <c r="B5" s="2">
        <v>45202.023402777777</v>
      </c>
      <c r="C5" s="1" t="s">
        <v>10</v>
      </c>
      <c r="D5" s="1">
        <v>45</v>
      </c>
      <c r="E5" s="1" t="s">
        <v>75</v>
      </c>
      <c r="F5" s="59"/>
      <c r="G5" s="32"/>
      <c r="H5" s="32"/>
    </row>
    <row r="6" spans="1:8" ht="15.75" customHeight="1">
      <c r="A6" s="1">
        <v>20609</v>
      </c>
      <c r="B6" s="2">
        <v>45201.954606481479</v>
      </c>
      <c r="C6" s="1" t="s">
        <v>10</v>
      </c>
      <c r="D6" s="1">
        <v>15</v>
      </c>
      <c r="E6" s="1" t="s">
        <v>76</v>
      </c>
      <c r="F6" s="59"/>
      <c r="G6" s="32"/>
      <c r="H6" s="32"/>
    </row>
    <row r="7" spans="1:8" ht="15.75" customHeight="1">
      <c r="A7" s="1">
        <v>20608</v>
      </c>
      <c r="B7" s="2">
        <v>45201.635995370365</v>
      </c>
      <c r="C7" s="1" t="s">
        <v>10</v>
      </c>
      <c r="D7" s="1">
        <v>52</v>
      </c>
      <c r="E7" s="1" t="s">
        <v>76</v>
      </c>
      <c r="F7" s="59"/>
      <c r="G7" s="32"/>
      <c r="H7" s="32"/>
    </row>
    <row r="8" spans="1:8" ht="15.75" customHeight="1">
      <c r="A8" s="1">
        <v>20607</v>
      </c>
      <c r="B8" s="2">
        <v>45201.091678240744</v>
      </c>
      <c r="C8" s="1" t="s">
        <v>10</v>
      </c>
      <c r="D8" s="1">
        <v>109</v>
      </c>
      <c r="E8" s="1" t="s">
        <v>75</v>
      </c>
      <c r="F8" s="59"/>
      <c r="G8" s="32"/>
      <c r="H8" s="32"/>
    </row>
    <row r="9" spans="1:8" ht="15.75" customHeight="1">
      <c r="A9" s="1">
        <v>20606</v>
      </c>
      <c r="B9" s="2">
        <v>45201.049780092595</v>
      </c>
      <c r="C9" s="1" t="s">
        <v>10</v>
      </c>
      <c r="D9" s="1">
        <v>83</v>
      </c>
      <c r="E9" s="1" t="s">
        <v>75</v>
      </c>
      <c r="F9" s="59"/>
      <c r="G9" s="32"/>
      <c r="H9" s="32"/>
    </row>
    <row r="10" spans="1:8" ht="15.75" customHeight="1">
      <c r="A10" s="1">
        <v>20605</v>
      </c>
      <c r="B10" s="2">
        <v>45201.041168981479</v>
      </c>
      <c r="C10" s="1" t="s">
        <v>10</v>
      </c>
      <c r="D10" s="1">
        <v>37</v>
      </c>
      <c r="E10" s="1" t="s">
        <v>75</v>
      </c>
      <c r="F10" s="59"/>
      <c r="G10" s="32"/>
      <c r="H10" s="32"/>
    </row>
    <row r="11" spans="1:8" ht="15.75" customHeight="1">
      <c r="A11" s="1">
        <v>20604</v>
      </c>
      <c r="B11" s="2">
        <v>45200.93445601852</v>
      </c>
      <c r="C11" s="1" t="s">
        <v>10</v>
      </c>
      <c r="D11" s="1">
        <v>15</v>
      </c>
      <c r="E11" s="1" t="s">
        <v>28</v>
      </c>
      <c r="F11" s="59"/>
      <c r="G11" s="32"/>
      <c r="H11" s="32"/>
    </row>
    <row r="12" spans="1:8" ht="15.75" customHeight="1">
      <c r="A12" s="1">
        <v>20603</v>
      </c>
      <c r="B12" s="2">
        <v>45200.600729166668</v>
      </c>
      <c r="C12" s="1" t="s">
        <v>10</v>
      </c>
      <c r="D12" s="1">
        <v>53</v>
      </c>
      <c r="E12" s="1" t="s">
        <v>75</v>
      </c>
      <c r="F12" s="59"/>
      <c r="G12" s="32"/>
      <c r="H12" s="32"/>
    </row>
    <row r="13" spans="1:8" ht="15.75" customHeight="1">
      <c r="A13" s="1">
        <v>20602</v>
      </c>
      <c r="B13" s="2">
        <v>45200.558101851857</v>
      </c>
      <c r="C13" s="1" t="s">
        <v>10</v>
      </c>
      <c r="D13" s="1">
        <v>595</v>
      </c>
      <c r="E13" s="1" t="s">
        <v>77</v>
      </c>
      <c r="F13" s="59"/>
      <c r="G13" s="32"/>
      <c r="H13" s="32"/>
    </row>
    <row r="14" spans="1:8" ht="15.75" customHeight="1">
      <c r="A14" s="1">
        <v>20597</v>
      </c>
      <c r="B14" s="2">
        <v>45200.526898148149</v>
      </c>
      <c r="C14" s="1" t="s">
        <v>10</v>
      </c>
      <c r="D14" s="1">
        <v>64</v>
      </c>
      <c r="E14" s="1" t="s">
        <v>75</v>
      </c>
      <c r="F14" s="59"/>
      <c r="G14" s="32"/>
      <c r="H14" s="32"/>
    </row>
    <row r="15" spans="1:8" ht="15.75" customHeight="1">
      <c r="A15" s="1">
        <v>20596</v>
      </c>
      <c r="B15" s="2">
        <v>45199.824907407412</v>
      </c>
      <c r="C15" s="1" t="s">
        <v>10</v>
      </c>
      <c r="D15" s="1">
        <v>35</v>
      </c>
      <c r="E15" s="1" t="s">
        <v>75</v>
      </c>
      <c r="F15" s="59"/>
      <c r="G15" s="32"/>
      <c r="H15" s="32"/>
    </row>
    <row r="16" spans="1:8" ht="15.75" customHeight="1">
      <c r="A16" s="1">
        <v>20595</v>
      </c>
      <c r="B16" s="2">
        <v>45199.776446759264</v>
      </c>
      <c r="C16" s="1" t="s">
        <v>10</v>
      </c>
      <c r="D16" s="1">
        <v>25</v>
      </c>
      <c r="E16" s="1" t="s">
        <v>75</v>
      </c>
      <c r="F16" s="59"/>
      <c r="G16" s="32"/>
      <c r="H16" s="32"/>
    </row>
    <row r="17" spans="1:8" ht="15.75" customHeight="1">
      <c r="A17" s="1">
        <v>20594</v>
      </c>
      <c r="B17" s="2">
        <v>45199.695081018523</v>
      </c>
      <c r="C17" s="1" t="s">
        <v>10</v>
      </c>
      <c r="D17" s="1">
        <v>24</v>
      </c>
      <c r="E17" s="1" t="s">
        <v>75</v>
      </c>
      <c r="F17" s="59"/>
      <c r="G17" s="32"/>
      <c r="H17" s="32"/>
    </row>
    <row r="18" spans="1:8" ht="15.75" customHeight="1">
      <c r="A18" s="1">
        <v>20590</v>
      </c>
      <c r="B18" s="2">
        <v>45199.522407407407</v>
      </c>
      <c r="C18" s="1" t="s">
        <v>10</v>
      </c>
      <c r="D18" s="1">
        <v>25</v>
      </c>
      <c r="E18" s="1" t="s">
        <v>75</v>
      </c>
      <c r="F18" s="59"/>
      <c r="G18" s="32"/>
      <c r="H18" s="32"/>
    </row>
    <row r="19" spans="1:8" ht="15.75" customHeight="1">
      <c r="A19" s="1">
        <v>20589</v>
      </c>
      <c r="B19" s="2">
        <v>45199.068043981482</v>
      </c>
      <c r="C19" s="1" t="s">
        <v>10</v>
      </c>
      <c r="D19" s="1">
        <v>40</v>
      </c>
      <c r="E19" s="1" t="s">
        <v>75</v>
      </c>
      <c r="F19" s="59"/>
      <c r="G19" s="32"/>
      <c r="H19" s="32"/>
    </row>
    <row r="20" spans="1:8" ht="15.75" customHeight="1">
      <c r="A20" s="1">
        <v>20588</v>
      </c>
      <c r="B20" s="2">
        <v>45198.653483796297</v>
      </c>
      <c r="C20" s="1" t="s">
        <v>10</v>
      </c>
      <c r="D20" s="1">
        <v>0</v>
      </c>
      <c r="E20" s="1" t="s">
        <v>75</v>
      </c>
      <c r="F20" s="59"/>
      <c r="G20" s="32"/>
      <c r="H20" s="32"/>
    </row>
    <row r="21" spans="1:8" ht="15.75" customHeight="1">
      <c r="A21" s="1">
        <v>20587</v>
      </c>
      <c r="B21" s="2">
        <v>45198.630844907406</v>
      </c>
      <c r="C21" s="1" t="s">
        <v>10</v>
      </c>
      <c r="D21" s="1">
        <v>33</v>
      </c>
      <c r="E21" s="1" t="s">
        <v>75</v>
      </c>
      <c r="F21" s="59"/>
      <c r="G21" s="32"/>
      <c r="H21" s="32"/>
    </row>
    <row r="22" spans="1:8" ht="15.75" customHeight="1">
      <c r="A22" s="1">
        <v>20586</v>
      </c>
      <c r="B22" s="2">
        <v>45197.496493055558</v>
      </c>
      <c r="C22" s="1" t="s">
        <v>10</v>
      </c>
      <c r="D22" s="1">
        <v>55</v>
      </c>
      <c r="E22" s="1" t="s">
        <v>75</v>
      </c>
      <c r="F22" s="59"/>
      <c r="G22" s="32"/>
      <c r="H22" s="32"/>
    </row>
    <row r="23" spans="1:8" ht="15.75" customHeight="1">
      <c r="A23" s="1">
        <v>20585</v>
      </c>
      <c r="B23" s="2">
        <v>45196.8753125</v>
      </c>
      <c r="C23" s="1" t="s">
        <v>10</v>
      </c>
      <c r="D23" s="1">
        <v>43</v>
      </c>
      <c r="E23" s="1" t="s">
        <v>75</v>
      </c>
      <c r="F23" s="59"/>
      <c r="G23" s="32"/>
      <c r="H23" s="32"/>
    </row>
    <row r="24" spans="1:8" ht="15.75" customHeight="1">
      <c r="A24" s="1">
        <v>20584</v>
      </c>
      <c r="B24" s="2">
        <v>45196.872337962966</v>
      </c>
      <c r="C24" s="1" t="s">
        <v>10</v>
      </c>
      <c r="D24" s="1">
        <v>63</v>
      </c>
      <c r="E24" s="1" t="s">
        <v>75</v>
      </c>
      <c r="F24" s="59"/>
      <c r="G24" s="32"/>
      <c r="H24" s="32"/>
    </row>
    <row r="25" spans="1:8" ht="15.75" customHeight="1">
      <c r="A25" s="1">
        <v>20583</v>
      </c>
      <c r="B25" s="2">
        <v>45195.874699074076</v>
      </c>
      <c r="C25" s="1" t="s">
        <v>10</v>
      </c>
      <c r="D25" s="1">
        <v>35</v>
      </c>
      <c r="E25" s="1" t="s">
        <v>75</v>
      </c>
      <c r="F25" s="59"/>
      <c r="G25" s="32"/>
      <c r="H25" s="32"/>
    </row>
    <row r="26" spans="1:8" ht="15.75" customHeight="1">
      <c r="A26" s="1">
        <v>20582</v>
      </c>
      <c r="B26" s="2">
        <v>45195.810972222222</v>
      </c>
      <c r="C26" s="1" t="s">
        <v>10</v>
      </c>
      <c r="D26" s="1">
        <v>75</v>
      </c>
      <c r="E26" s="1" t="s">
        <v>75</v>
      </c>
      <c r="F26" s="59"/>
      <c r="G26" s="32"/>
      <c r="H26" s="32"/>
    </row>
    <row r="27" spans="1:8" ht="15.75" customHeight="1">
      <c r="A27" s="1">
        <v>20581</v>
      </c>
      <c r="B27" s="2">
        <v>45195.506064814814</v>
      </c>
      <c r="C27" s="1" t="s">
        <v>10</v>
      </c>
      <c r="D27" s="1">
        <v>28</v>
      </c>
      <c r="E27" s="1" t="s">
        <v>75</v>
      </c>
      <c r="F27" s="59"/>
      <c r="G27" s="32"/>
      <c r="H27" s="32"/>
    </row>
    <row r="28" spans="1:8" ht="15.75" customHeight="1">
      <c r="A28" s="1">
        <v>20580</v>
      </c>
      <c r="B28" s="2">
        <v>45195.504826388889</v>
      </c>
      <c r="C28" s="1" t="s">
        <v>10</v>
      </c>
      <c r="D28" s="1">
        <v>28</v>
      </c>
      <c r="E28" s="1" t="s">
        <v>75</v>
      </c>
      <c r="F28" s="59"/>
      <c r="G28" s="32"/>
      <c r="H28" s="32"/>
    </row>
    <row r="29" spans="1:8" ht="15.75" customHeight="1">
      <c r="A29" s="1">
        <v>20579</v>
      </c>
      <c r="B29" s="2">
        <v>45195.502326388887</v>
      </c>
      <c r="C29" s="1" t="s">
        <v>10</v>
      </c>
      <c r="D29" s="1">
        <v>53</v>
      </c>
      <c r="E29" s="1" t="s">
        <v>75</v>
      </c>
      <c r="F29" s="59"/>
      <c r="G29" s="32"/>
      <c r="H29" s="32"/>
    </row>
    <row r="30" spans="1:8" ht="15.75" customHeight="1">
      <c r="A30" s="1">
        <v>20569</v>
      </c>
      <c r="B30" s="2">
        <v>45194.074074074073</v>
      </c>
      <c r="C30" s="1" t="s">
        <v>10</v>
      </c>
      <c r="D30" s="1">
        <v>25</v>
      </c>
      <c r="E30" s="1" t="s">
        <v>75</v>
      </c>
      <c r="F30" s="59"/>
      <c r="G30" s="32"/>
      <c r="H30" s="32"/>
    </row>
    <row r="31" spans="1:8" ht="15.75" customHeight="1">
      <c r="A31" s="1">
        <v>20568</v>
      </c>
      <c r="B31" s="2">
        <v>45193.930428240739</v>
      </c>
      <c r="C31" s="1" t="s">
        <v>10</v>
      </c>
      <c r="D31" s="1">
        <v>81</v>
      </c>
      <c r="E31" s="1" t="s">
        <v>75</v>
      </c>
      <c r="F31" s="59"/>
      <c r="G31" s="32"/>
      <c r="H31" s="32"/>
    </row>
    <row r="32" spans="1:8" ht="15.75" customHeight="1">
      <c r="A32" s="1">
        <v>20567</v>
      </c>
      <c r="B32" s="2">
        <v>45193.871192129634</v>
      </c>
      <c r="C32" s="1" t="s">
        <v>10</v>
      </c>
      <c r="D32" s="1">
        <v>15</v>
      </c>
      <c r="E32" s="1" t="s">
        <v>75</v>
      </c>
      <c r="F32" s="59"/>
      <c r="G32" s="32"/>
      <c r="H32" s="32"/>
    </row>
    <row r="33" spans="1:8" ht="15.75" customHeight="1">
      <c r="A33" s="1">
        <v>20566</v>
      </c>
      <c r="B33" s="2">
        <v>45193.752037037033</v>
      </c>
      <c r="C33" s="1" t="s">
        <v>10</v>
      </c>
      <c r="D33" s="1">
        <v>35</v>
      </c>
      <c r="E33" s="1" t="s">
        <v>75</v>
      </c>
      <c r="F33" s="59"/>
      <c r="G33" s="32"/>
      <c r="H33" s="32"/>
    </row>
    <row r="34" spans="1:8" ht="15.75" customHeight="1">
      <c r="A34" s="1">
        <v>20565</v>
      </c>
      <c r="B34" s="2">
        <v>45193.691736111112</v>
      </c>
      <c r="C34" s="1" t="s">
        <v>10</v>
      </c>
      <c r="D34" s="1">
        <v>28</v>
      </c>
      <c r="E34" s="1" t="s">
        <v>75</v>
      </c>
      <c r="F34" s="59"/>
      <c r="G34" s="32"/>
      <c r="H34" s="32"/>
    </row>
    <row r="35" spans="1:8" ht="15.75" customHeight="1">
      <c r="A35" s="1">
        <v>20564</v>
      </c>
      <c r="B35" s="2">
        <v>45193.691689814819</v>
      </c>
      <c r="C35" s="1" t="s">
        <v>10</v>
      </c>
      <c r="D35" s="1">
        <v>35</v>
      </c>
      <c r="E35" s="1" t="s">
        <v>75</v>
      </c>
      <c r="F35" s="59"/>
      <c r="G35" s="32"/>
      <c r="H35" s="32"/>
    </row>
    <row r="36" spans="1:8" ht="15.75" customHeight="1">
      <c r="A36" s="1">
        <v>20563</v>
      </c>
      <c r="B36" s="2">
        <v>45193.689652777779</v>
      </c>
      <c r="C36" s="1" t="s">
        <v>10</v>
      </c>
      <c r="D36" s="1">
        <v>35</v>
      </c>
      <c r="E36" s="1" t="s">
        <v>75</v>
      </c>
      <c r="F36" s="59"/>
      <c r="G36" s="32"/>
      <c r="H36" s="32"/>
    </row>
    <row r="37" spans="1:8" ht="15.75" customHeight="1">
      <c r="A37" s="1">
        <v>20562</v>
      </c>
      <c r="B37" s="2">
        <v>45193.687210648146</v>
      </c>
      <c r="C37" s="1" t="s">
        <v>10</v>
      </c>
      <c r="D37" s="1">
        <v>22</v>
      </c>
      <c r="E37" s="1" t="s">
        <v>75</v>
      </c>
      <c r="F37" s="59"/>
      <c r="G37" s="32"/>
      <c r="H37" s="32"/>
    </row>
    <row r="38" spans="1:8" ht="15.75" customHeight="1">
      <c r="A38" s="1">
        <v>20561</v>
      </c>
      <c r="B38" s="2">
        <v>45193.686238425929</v>
      </c>
      <c r="C38" s="1" t="s">
        <v>10</v>
      </c>
      <c r="D38" s="1">
        <v>35</v>
      </c>
      <c r="E38" s="1" t="s">
        <v>75</v>
      </c>
      <c r="F38" s="59"/>
      <c r="G38" s="32"/>
      <c r="H38" s="32"/>
    </row>
    <row r="39" spans="1:8" ht="15.75" customHeight="1">
      <c r="A39" s="1">
        <v>20560</v>
      </c>
      <c r="B39" s="2">
        <v>45193.683206018519</v>
      </c>
      <c r="C39" s="1" t="s">
        <v>10</v>
      </c>
      <c r="D39" s="1">
        <v>55</v>
      </c>
      <c r="E39" s="1" t="s">
        <v>75</v>
      </c>
      <c r="F39" s="59"/>
      <c r="G39" s="32"/>
      <c r="H39" s="32"/>
    </row>
    <row r="40" spans="1:8" ht="15.75" customHeight="1">
      <c r="A40" s="1">
        <v>20559</v>
      </c>
      <c r="B40" s="2">
        <v>45193.682164351849</v>
      </c>
      <c r="C40" s="1" t="s">
        <v>16</v>
      </c>
      <c r="D40" s="1">
        <v>35</v>
      </c>
      <c r="E40" s="1" t="s">
        <v>75</v>
      </c>
      <c r="F40" s="59"/>
      <c r="G40" s="32"/>
      <c r="H40" s="32"/>
    </row>
    <row r="41" spans="1:8" ht="15.75" customHeight="1">
      <c r="A41" s="1">
        <v>20558</v>
      </c>
      <c r="B41" s="2">
        <v>45193.679965277777</v>
      </c>
      <c r="C41" s="1" t="s">
        <v>10</v>
      </c>
      <c r="D41" s="1">
        <v>35</v>
      </c>
      <c r="E41" s="1" t="s">
        <v>75</v>
      </c>
      <c r="F41" s="59"/>
      <c r="G41" s="32"/>
      <c r="H41" s="32"/>
    </row>
    <row r="42" spans="1:8" ht="15.75" customHeight="1">
      <c r="A42" s="1">
        <v>20557</v>
      </c>
      <c r="B42" s="2">
        <v>45193.674247685187</v>
      </c>
      <c r="C42" s="1" t="s">
        <v>10</v>
      </c>
      <c r="D42" s="1">
        <v>35</v>
      </c>
      <c r="E42" s="1" t="s">
        <v>75</v>
      </c>
      <c r="F42" s="59"/>
      <c r="G42" s="32"/>
      <c r="H42" s="32"/>
    </row>
    <row r="43" spans="1:8" ht="15.75" customHeight="1">
      <c r="A43" s="1">
        <v>20556</v>
      </c>
      <c r="B43" s="2">
        <v>45193.665995370371</v>
      </c>
      <c r="C43" s="1" t="s">
        <v>10</v>
      </c>
      <c r="D43" s="1">
        <v>35</v>
      </c>
      <c r="E43" s="1" t="s">
        <v>75</v>
      </c>
      <c r="F43" s="59"/>
      <c r="G43" s="32"/>
      <c r="H43" s="32"/>
    </row>
    <row r="44" spans="1:8" ht="15.75" customHeight="1">
      <c r="A44" s="1">
        <v>20555</v>
      </c>
      <c r="B44" s="2">
        <v>45193.659733796296</v>
      </c>
      <c r="C44" s="1" t="s">
        <v>10</v>
      </c>
      <c r="D44" s="1">
        <v>35</v>
      </c>
      <c r="E44" s="1" t="s">
        <v>75</v>
      </c>
      <c r="F44" s="59"/>
      <c r="G44" s="32"/>
      <c r="H44" s="32"/>
    </row>
    <row r="45" spans="1:8" ht="15.75" customHeight="1">
      <c r="A45" s="1">
        <v>20554</v>
      </c>
      <c r="B45" s="2">
        <v>45193.659641203703</v>
      </c>
      <c r="C45" s="1" t="s">
        <v>10</v>
      </c>
      <c r="D45" s="1">
        <v>37</v>
      </c>
      <c r="E45" s="1" t="s">
        <v>75</v>
      </c>
      <c r="F45" s="59"/>
      <c r="G45" s="32"/>
      <c r="H45" s="32"/>
    </row>
    <row r="46" spans="1:8" ht="15.75" customHeight="1">
      <c r="A46" s="1">
        <v>20553</v>
      </c>
      <c r="B46" s="2">
        <v>45193.657581018517</v>
      </c>
      <c r="C46" s="1" t="s">
        <v>10</v>
      </c>
      <c r="D46" s="1">
        <v>35</v>
      </c>
      <c r="E46" s="1" t="s">
        <v>75</v>
      </c>
      <c r="F46" s="59"/>
      <c r="G46" s="32"/>
      <c r="H46" s="32"/>
    </row>
    <row r="47" spans="1:8" ht="15.75" customHeight="1">
      <c r="A47" s="1">
        <v>20552</v>
      </c>
      <c r="B47" s="2">
        <v>45193.640300925923</v>
      </c>
      <c r="C47" s="1" t="s">
        <v>10</v>
      </c>
      <c r="D47" s="1">
        <v>40</v>
      </c>
      <c r="E47" s="1" t="s">
        <v>75</v>
      </c>
      <c r="F47" s="59"/>
      <c r="G47" s="32"/>
      <c r="H47" s="32"/>
    </row>
    <row r="48" spans="1:8" ht="15.75" customHeight="1">
      <c r="A48" s="1">
        <v>20551</v>
      </c>
      <c r="B48" s="2">
        <v>45193.635405092587</v>
      </c>
      <c r="C48" s="1" t="s">
        <v>10</v>
      </c>
      <c r="D48" s="1">
        <v>45</v>
      </c>
      <c r="E48" s="1" t="s">
        <v>75</v>
      </c>
      <c r="F48" s="59"/>
      <c r="G48" s="32"/>
      <c r="H48" s="32"/>
    </row>
    <row r="49" spans="1:8" ht="15.75" customHeight="1">
      <c r="A49" s="1">
        <v>20550</v>
      </c>
      <c r="B49" s="2">
        <v>45193.633252314816</v>
      </c>
      <c r="C49" s="1" t="s">
        <v>10</v>
      </c>
      <c r="D49" s="1">
        <v>25</v>
      </c>
      <c r="E49" s="1" t="s">
        <v>75</v>
      </c>
      <c r="F49" s="59"/>
      <c r="G49" s="32"/>
      <c r="H49" s="32"/>
    </row>
    <row r="50" spans="1:8" ht="15.75" customHeight="1">
      <c r="A50" s="1">
        <v>20549</v>
      </c>
      <c r="B50" s="2">
        <v>45193.618564814809</v>
      </c>
      <c r="C50" s="1" t="s">
        <v>10</v>
      </c>
      <c r="D50" s="1">
        <v>35</v>
      </c>
      <c r="E50" s="1" t="s">
        <v>75</v>
      </c>
      <c r="F50" s="59"/>
      <c r="G50" s="32"/>
      <c r="H50" s="32"/>
    </row>
    <row r="51" spans="1:8" ht="15.75" customHeight="1">
      <c r="A51" s="1">
        <v>20548</v>
      </c>
      <c r="B51" s="2">
        <v>45193.606111111112</v>
      </c>
      <c r="C51" s="1" t="s">
        <v>10</v>
      </c>
      <c r="D51" s="1">
        <v>55</v>
      </c>
      <c r="E51" s="1" t="s">
        <v>75</v>
      </c>
      <c r="F51" s="59"/>
      <c r="G51" s="32"/>
      <c r="H51" s="32"/>
    </row>
    <row r="52" spans="1:8" ht="15.75" customHeight="1">
      <c r="A52" s="1">
        <v>20547</v>
      </c>
      <c r="B52" s="2">
        <v>45193.602523148147</v>
      </c>
      <c r="C52" s="1" t="s">
        <v>10</v>
      </c>
      <c r="D52" s="1">
        <v>55</v>
      </c>
      <c r="E52" s="1" t="s">
        <v>75</v>
      </c>
      <c r="F52" s="59"/>
      <c r="G52" s="32"/>
      <c r="H52" s="32"/>
    </row>
    <row r="53" spans="1:8" ht="15.75" customHeight="1">
      <c r="A53" s="1">
        <v>20546</v>
      </c>
      <c r="B53" s="2">
        <v>45193.59778935185</v>
      </c>
      <c r="C53" s="1" t="s">
        <v>10</v>
      </c>
      <c r="D53" s="1">
        <v>65</v>
      </c>
      <c r="E53" s="1" t="s">
        <v>75</v>
      </c>
      <c r="F53" s="59"/>
      <c r="G53" s="32"/>
      <c r="H53" s="32"/>
    </row>
    <row r="54" spans="1:8" ht="15.75" customHeight="1">
      <c r="A54" s="1">
        <v>20545</v>
      </c>
      <c r="B54" s="2">
        <v>45193.597777777773</v>
      </c>
      <c r="C54" s="1" t="s">
        <v>10</v>
      </c>
      <c r="D54" s="1">
        <v>35</v>
      </c>
      <c r="E54" s="1" t="s">
        <v>75</v>
      </c>
      <c r="F54" s="59"/>
      <c r="G54" s="32"/>
      <c r="H54" s="32"/>
    </row>
    <row r="55" spans="1:8" ht="15.75" customHeight="1">
      <c r="A55" s="1">
        <v>20544</v>
      </c>
      <c r="B55" s="2">
        <v>45193.592314814814</v>
      </c>
      <c r="C55" s="1" t="s">
        <v>10</v>
      </c>
      <c r="D55" s="1">
        <v>77</v>
      </c>
      <c r="E55" s="1" t="s">
        <v>75</v>
      </c>
      <c r="F55" s="59"/>
      <c r="G55" s="32"/>
      <c r="H55" s="32"/>
    </row>
    <row r="56" spans="1:8" ht="15.75" customHeight="1">
      <c r="A56" s="1">
        <v>20543</v>
      </c>
      <c r="B56" s="2">
        <v>45193.591782407406</v>
      </c>
      <c r="C56" s="1" t="s">
        <v>10</v>
      </c>
      <c r="D56" s="1">
        <v>55</v>
      </c>
      <c r="E56" s="1" t="s">
        <v>75</v>
      </c>
      <c r="F56" s="59"/>
      <c r="G56" s="32"/>
      <c r="H56" s="32"/>
    </row>
    <row r="57" spans="1:8" ht="15.75" customHeight="1">
      <c r="A57" s="1">
        <v>20542</v>
      </c>
      <c r="B57" s="2">
        <v>45193.591273148151</v>
      </c>
      <c r="C57" s="1" t="s">
        <v>10</v>
      </c>
      <c r="D57" s="1">
        <v>33</v>
      </c>
      <c r="E57" s="1" t="s">
        <v>75</v>
      </c>
      <c r="F57" s="59"/>
      <c r="G57" s="32"/>
      <c r="H57" s="32"/>
    </row>
    <row r="58" spans="1:8" ht="15.75" customHeight="1">
      <c r="A58" s="1">
        <v>20541</v>
      </c>
      <c r="B58" s="2">
        <v>45193.586805555555</v>
      </c>
      <c r="C58" s="1" t="s">
        <v>10</v>
      </c>
      <c r="D58" s="1">
        <v>20</v>
      </c>
      <c r="E58" s="1" t="s">
        <v>75</v>
      </c>
      <c r="F58" s="59"/>
      <c r="G58" s="32"/>
      <c r="H58" s="32"/>
    </row>
    <row r="59" spans="1:8" ht="15.75" customHeight="1">
      <c r="A59" s="1">
        <v>20540</v>
      </c>
      <c r="B59" s="2">
        <v>45193.582361111112</v>
      </c>
      <c r="C59" s="1" t="s">
        <v>10</v>
      </c>
      <c r="D59" s="1">
        <v>35</v>
      </c>
      <c r="E59" s="1" t="s">
        <v>75</v>
      </c>
      <c r="F59" s="59"/>
      <c r="G59" s="32"/>
      <c r="H59" s="32"/>
    </row>
    <row r="60" spans="1:8" ht="15.75" customHeight="1">
      <c r="A60" s="1">
        <v>20539</v>
      </c>
      <c r="B60" s="2">
        <v>45193.576319444444</v>
      </c>
      <c r="C60" s="1" t="s">
        <v>10</v>
      </c>
      <c r="D60" s="1">
        <v>41</v>
      </c>
      <c r="E60" s="1" t="s">
        <v>75</v>
      </c>
      <c r="F60" s="59"/>
      <c r="G60" s="32"/>
      <c r="H60" s="32"/>
    </row>
    <row r="61" spans="1:8" ht="15.75" customHeight="1">
      <c r="A61" s="1">
        <v>20538</v>
      </c>
      <c r="B61" s="2">
        <v>45193.531145833331</v>
      </c>
      <c r="C61" s="1" t="s">
        <v>10</v>
      </c>
      <c r="D61" s="1">
        <v>55</v>
      </c>
      <c r="E61" s="1" t="s">
        <v>75</v>
      </c>
      <c r="F61" s="59"/>
      <c r="G61" s="32"/>
      <c r="H61" s="32"/>
    </row>
    <row r="62" spans="1:8" ht="15.75" customHeight="1">
      <c r="A62" s="1">
        <v>20537</v>
      </c>
      <c r="B62" s="2">
        <v>45193.530775462961</v>
      </c>
      <c r="C62" s="1" t="s">
        <v>10</v>
      </c>
      <c r="D62" s="1">
        <v>35</v>
      </c>
      <c r="E62" s="1" t="s">
        <v>75</v>
      </c>
      <c r="F62" s="59"/>
      <c r="G62" s="32"/>
      <c r="H62" s="32"/>
    </row>
    <row r="63" spans="1:8" ht="15.75" customHeight="1">
      <c r="A63" s="1">
        <v>20536</v>
      </c>
      <c r="B63" s="2">
        <v>45193.52847222222</v>
      </c>
      <c r="C63" s="1" t="s">
        <v>10</v>
      </c>
      <c r="D63" s="1">
        <v>41</v>
      </c>
      <c r="E63" s="1" t="s">
        <v>75</v>
      </c>
      <c r="F63" s="59"/>
      <c r="G63" s="32"/>
      <c r="H63" s="32"/>
    </row>
    <row r="64" spans="1:8" ht="15.75" customHeight="1">
      <c r="A64" s="1">
        <v>20535</v>
      </c>
      <c r="B64" s="2">
        <v>45193.526666666672</v>
      </c>
      <c r="C64" s="1" t="s">
        <v>10</v>
      </c>
      <c r="D64" s="1">
        <v>55</v>
      </c>
      <c r="E64" s="1" t="s">
        <v>75</v>
      </c>
      <c r="F64" s="59"/>
      <c r="G64" s="32"/>
      <c r="H64" s="32"/>
    </row>
    <row r="65" spans="1:8" ht="15.75" customHeight="1">
      <c r="A65" s="1">
        <v>20534</v>
      </c>
      <c r="B65" s="2">
        <v>45193.524456018524</v>
      </c>
      <c r="C65" s="1" t="s">
        <v>10</v>
      </c>
      <c r="D65" s="1">
        <v>28</v>
      </c>
      <c r="E65" s="1" t="s">
        <v>75</v>
      </c>
      <c r="F65" s="59"/>
      <c r="G65" s="32"/>
      <c r="H65" s="32"/>
    </row>
    <row r="66" spans="1:8" ht="15.75" customHeight="1">
      <c r="A66" s="1">
        <v>20533</v>
      </c>
      <c r="B66" s="2">
        <v>45193.522696759261</v>
      </c>
      <c r="C66" s="1" t="s">
        <v>10</v>
      </c>
      <c r="D66" s="1">
        <v>48</v>
      </c>
      <c r="E66" s="1" t="s">
        <v>75</v>
      </c>
      <c r="F66" s="59"/>
      <c r="G66" s="32"/>
      <c r="H66" s="32"/>
    </row>
    <row r="67" spans="1:8" ht="15.75" customHeight="1">
      <c r="A67" s="1">
        <v>20532</v>
      </c>
      <c r="B67" s="2">
        <v>45193.520868055552</v>
      </c>
      <c r="C67" s="1" t="s">
        <v>10</v>
      </c>
      <c r="D67" s="1">
        <v>35</v>
      </c>
      <c r="E67" s="1" t="s">
        <v>75</v>
      </c>
      <c r="F67" s="59"/>
      <c r="G67" s="32"/>
      <c r="H67" s="32"/>
    </row>
    <row r="68" spans="1:8" ht="15.75" customHeight="1">
      <c r="A68" s="1">
        <v>20531</v>
      </c>
      <c r="B68" s="2">
        <v>45193.517129629632</v>
      </c>
      <c r="C68" s="1" t="s">
        <v>10</v>
      </c>
      <c r="D68" s="1">
        <v>25</v>
      </c>
      <c r="E68" s="1" t="s">
        <v>75</v>
      </c>
      <c r="F68" s="59"/>
      <c r="G68" s="32"/>
      <c r="H68" s="32"/>
    </row>
    <row r="69" spans="1:8" ht="15.75" customHeight="1">
      <c r="A69" s="1">
        <v>20530</v>
      </c>
      <c r="B69" s="2">
        <v>45193.512638888889</v>
      </c>
      <c r="C69" s="1" t="s">
        <v>10</v>
      </c>
      <c r="D69" s="1">
        <v>15</v>
      </c>
      <c r="E69" s="1" t="s">
        <v>75</v>
      </c>
      <c r="F69" s="59"/>
      <c r="G69" s="32"/>
      <c r="H69" s="32"/>
    </row>
    <row r="70" spans="1:8" ht="15.75" customHeight="1">
      <c r="A70" s="1">
        <v>20529</v>
      </c>
      <c r="B70" s="2">
        <v>45193.512141203704</v>
      </c>
      <c r="C70" s="1" t="s">
        <v>10</v>
      </c>
      <c r="D70" s="1">
        <v>25</v>
      </c>
      <c r="E70" s="1" t="s">
        <v>75</v>
      </c>
      <c r="F70" s="59"/>
      <c r="G70" s="32"/>
      <c r="H70" s="32"/>
    </row>
    <row r="71" spans="1:8" ht="15.75" customHeight="1">
      <c r="A71" s="1">
        <v>20528</v>
      </c>
      <c r="B71" s="2">
        <v>45193.508611111116</v>
      </c>
      <c r="C71" s="1" t="s">
        <v>10</v>
      </c>
      <c r="D71" s="1">
        <v>25</v>
      </c>
      <c r="E71" s="1" t="s">
        <v>75</v>
      </c>
      <c r="F71" s="59"/>
      <c r="G71" s="32"/>
      <c r="H71" s="32"/>
    </row>
    <row r="72" spans="1:8" ht="15.75" customHeight="1">
      <c r="A72" s="1">
        <v>20527</v>
      </c>
      <c r="B72" s="2">
        <v>45193.493518518517</v>
      </c>
      <c r="C72" s="1" t="s">
        <v>10</v>
      </c>
      <c r="D72" s="1">
        <v>26</v>
      </c>
      <c r="E72" s="1" t="s">
        <v>75</v>
      </c>
      <c r="F72" s="59"/>
      <c r="G72" s="32"/>
      <c r="H72" s="32"/>
    </row>
    <row r="73" spans="1:8" ht="15.75" customHeight="1">
      <c r="A73" s="1">
        <v>20526</v>
      </c>
      <c r="B73" s="2">
        <v>45193.490972222222</v>
      </c>
      <c r="C73" s="1" t="s">
        <v>10</v>
      </c>
      <c r="D73" s="1">
        <v>37</v>
      </c>
      <c r="E73" s="1" t="s">
        <v>75</v>
      </c>
      <c r="F73" s="59"/>
      <c r="G73" s="32"/>
      <c r="H73" s="32"/>
    </row>
    <row r="74" spans="1:8" ht="15.75" customHeight="1">
      <c r="A74" s="1">
        <v>20525</v>
      </c>
      <c r="B74" s="2">
        <v>45193.487951388888</v>
      </c>
      <c r="C74" s="1" t="s">
        <v>10</v>
      </c>
      <c r="D74" s="1">
        <v>25</v>
      </c>
      <c r="E74" s="1" t="s">
        <v>75</v>
      </c>
      <c r="F74" s="59"/>
      <c r="G74" s="32"/>
      <c r="H74" s="32"/>
    </row>
    <row r="75" spans="1:8" ht="15.75" customHeight="1">
      <c r="A75" s="1">
        <v>20524</v>
      </c>
      <c r="B75" s="2">
        <v>45193.478738425925</v>
      </c>
      <c r="C75" s="1" t="s">
        <v>10</v>
      </c>
      <c r="D75" s="1">
        <v>28</v>
      </c>
      <c r="E75" s="1" t="s">
        <v>75</v>
      </c>
      <c r="F75" s="59"/>
      <c r="G75" s="32"/>
      <c r="H75" s="32"/>
    </row>
    <row r="76" spans="1:8" ht="15.75" customHeight="1">
      <c r="A76" s="1">
        <v>20523</v>
      </c>
      <c r="B76" s="2">
        <v>45193.117129629631</v>
      </c>
      <c r="C76" s="1" t="s">
        <v>10</v>
      </c>
      <c r="D76" s="1">
        <v>28</v>
      </c>
      <c r="E76" s="1" t="s">
        <v>75</v>
      </c>
      <c r="F76" s="59"/>
      <c r="G76" s="32"/>
      <c r="H76" s="32"/>
    </row>
    <row r="77" spans="1:8" ht="15.75" customHeight="1">
      <c r="A77" s="1">
        <v>20505</v>
      </c>
      <c r="B77" s="2">
        <v>45193.036504629628</v>
      </c>
      <c r="C77" s="1" t="s">
        <v>10</v>
      </c>
      <c r="D77" s="1">
        <v>15</v>
      </c>
      <c r="E77" s="1" t="s">
        <v>75</v>
      </c>
      <c r="F77" s="59"/>
      <c r="G77" s="32"/>
      <c r="H77" s="32"/>
    </row>
    <row r="78" spans="1:8" ht="15.75" customHeight="1">
      <c r="A78" s="1">
        <v>20480</v>
      </c>
      <c r="B78" s="2">
        <v>45192.796979166669</v>
      </c>
      <c r="C78" s="1" t="s">
        <v>10</v>
      </c>
      <c r="D78" s="1">
        <v>90</v>
      </c>
      <c r="E78" s="1" t="s">
        <v>75</v>
      </c>
      <c r="F78" s="59"/>
      <c r="G78" s="32"/>
      <c r="H78" s="32"/>
    </row>
    <row r="79" spans="1:8" ht="15.75" customHeight="1">
      <c r="A79" s="1">
        <v>20479</v>
      </c>
      <c r="B79" s="2">
        <v>45192.758090277777</v>
      </c>
      <c r="C79" s="1" t="s">
        <v>10</v>
      </c>
      <c r="D79" s="1">
        <v>35</v>
      </c>
      <c r="E79" s="1" t="s">
        <v>75</v>
      </c>
      <c r="F79" s="59"/>
      <c r="G79" s="32"/>
      <c r="H79" s="32"/>
    </row>
    <row r="80" spans="1:8" ht="15.75" customHeight="1">
      <c r="A80" s="1">
        <v>20478</v>
      </c>
      <c r="B80" s="2">
        <v>45192.698715277773</v>
      </c>
      <c r="C80" s="1" t="s">
        <v>10</v>
      </c>
      <c r="D80" s="1">
        <v>15</v>
      </c>
      <c r="E80" s="1" t="s">
        <v>75</v>
      </c>
      <c r="F80" s="59"/>
      <c r="G80" s="32"/>
      <c r="H80" s="32"/>
    </row>
    <row r="81" spans="1:8" ht="15.75" customHeight="1">
      <c r="A81" s="1">
        <v>20477</v>
      </c>
      <c r="B81" s="2">
        <v>45192.585057870368</v>
      </c>
      <c r="C81" s="1" t="s">
        <v>10</v>
      </c>
      <c r="D81" s="1">
        <v>35</v>
      </c>
      <c r="E81" s="1" t="s">
        <v>75</v>
      </c>
      <c r="F81" s="59"/>
      <c r="G81" s="32"/>
      <c r="H81" s="32"/>
    </row>
    <row r="82" spans="1:8" ht="15.75" customHeight="1">
      <c r="A82" s="1">
        <v>20475</v>
      </c>
      <c r="B82" s="2">
        <v>45192.068715277783</v>
      </c>
      <c r="C82" s="1" t="s">
        <v>10</v>
      </c>
      <c r="D82" s="1">
        <v>22</v>
      </c>
      <c r="E82" s="1" t="s">
        <v>74</v>
      </c>
      <c r="F82" s="59"/>
      <c r="G82" s="32"/>
      <c r="H82" s="32"/>
    </row>
    <row r="83" spans="1:8" ht="15.75" customHeight="1">
      <c r="A83" s="1">
        <v>20472</v>
      </c>
      <c r="B83" s="2">
        <v>45191.667685185181</v>
      </c>
      <c r="C83" s="1" t="s">
        <v>10</v>
      </c>
      <c r="D83" s="1">
        <v>26</v>
      </c>
      <c r="E83" s="1" t="s">
        <v>75</v>
      </c>
      <c r="F83" s="59"/>
      <c r="G83" s="32"/>
      <c r="H83" s="32"/>
    </row>
    <row r="84" spans="1:8" ht="15.75" customHeight="1">
      <c r="A84" s="1">
        <v>20471</v>
      </c>
      <c r="B84" s="2">
        <v>45191.552708333329</v>
      </c>
      <c r="C84" s="1" t="s">
        <v>10</v>
      </c>
      <c r="D84" s="1">
        <v>26</v>
      </c>
      <c r="E84" s="1" t="s">
        <v>75</v>
      </c>
      <c r="F84" s="59"/>
      <c r="G84" s="32"/>
      <c r="H84" s="32"/>
    </row>
    <row r="85" spans="1:8" ht="15.75" customHeight="1">
      <c r="A85" s="1">
        <v>20470</v>
      </c>
      <c r="B85" s="2">
        <v>45191.133877314816</v>
      </c>
      <c r="C85" s="1" t="s">
        <v>10</v>
      </c>
      <c r="D85" s="1">
        <v>43</v>
      </c>
      <c r="E85" s="1" t="s">
        <v>75</v>
      </c>
      <c r="F85" s="59"/>
      <c r="G85" s="32"/>
      <c r="H85" s="32"/>
    </row>
    <row r="86" spans="1:8" ht="15.75" customHeight="1">
      <c r="A86" s="1">
        <v>20469</v>
      </c>
      <c r="B86" s="2">
        <v>45191.120879629627</v>
      </c>
      <c r="C86" s="1" t="s">
        <v>18</v>
      </c>
      <c r="D86" s="1">
        <v>25</v>
      </c>
      <c r="E86" s="1" t="s">
        <v>75</v>
      </c>
      <c r="F86" s="59"/>
      <c r="G86" s="32"/>
      <c r="H86" s="32"/>
    </row>
    <row r="87" spans="1:8" ht="15.75" customHeight="1">
      <c r="A87" s="1">
        <v>20468</v>
      </c>
      <c r="B87" s="2">
        <v>45191.117476851854</v>
      </c>
      <c r="C87" s="1" t="s">
        <v>18</v>
      </c>
      <c r="D87" s="1">
        <v>25</v>
      </c>
      <c r="E87" s="1" t="s">
        <v>75</v>
      </c>
      <c r="F87" s="59"/>
      <c r="G87" s="32"/>
      <c r="H87" s="32"/>
    </row>
    <row r="88" spans="1:8" ht="15.75" customHeight="1">
      <c r="A88" s="1">
        <v>20466</v>
      </c>
      <c r="B88" s="2">
        <v>45190.554745370369</v>
      </c>
      <c r="C88" s="1" t="s">
        <v>10</v>
      </c>
      <c r="D88" s="1">
        <v>35</v>
      </c>
      <c r="E88" s="1" t="s">
        <v>75</v>
      </c>
      <c r="F88" s="59"/>
      <c r="G88" s="32"/>
      <c r="H88" s="32"/>
    </row>
    <row r="89" spans="1:8" ht="15.75" customHeight="1">
      <c r="A89" s="1">
        <v>20464</v>
      </c>
      <c r="B89" s="2">
        <v>45189.902581018519</v>
      </c>
      <c r="C89" s="1" t="s">
        <v>10</v>
      </c>
      <c r="D89" s="1">
        <v>35</v>
      </c>
      <c r="E89" s="1" t="s">
        <v>75</v>
      </c>
      <c r="F89" s="59"/>
      <c r="G89" s="32"/>
      <c r="H89" s="32"/>
    </row>
    <row r="90" spans="1:8" ht="15.75" customHeight="1">
      <c r="A90" s="1">
        <v>20463</v>
      </c>
      <c r="B90" s="2">
        <v>45189.657395833332</v>
      </c>
      <c r="C90" s="1" t="s">
        <v>10</v>
      </c>
      <c r="D90" s="1">
        <v>25</v>
      </c>
      <c r="E90" s="1" t="s">
        <v>74</v>
      </c>
      <c r="F90" s="59"/>
      <c r="G90" s="32"/>
      <c r="H90" s="32"/>
    </row>
    <row r="91" spans="1:8" ht="15.75" customHeight="1">
      <c r="A91" s="1">
        <v>20462</v>
      </c>
      <c r="B91" s="2">
        <v>45189.566296296296</v>
      </c>
      <c r="C91" s="1" t="s">
        <v>10</v>
      </c>
      <c r="D91" s="1">
        <v>35</v>
      </c>
      <c r="E91" s="1" t="s">
        <v>75</v>
      </c>
      <c r="F91" s="59"/>
      <c r="G91" s="32"/>
      <c r="H91" s="32"/>
    </row>
    <row r="92" spans="1:8" ht="15.75" customHeight="1">
      <c r="A92" s="1">
        <v>20461</v>
      </c>
      <c r="B92" s="2">
        <v>45189.342650462961</v>
      </c>
      <c r="C92" s="1" t="s">
        <v>10</v>
      </c>
      <c r="D92" s="1">
        <v>35</v>
      </c>
      <c r="E92" s="1" t="s">
        <v>75</v>
      </c>
      <c r="F92" s="59"/>
      <c r="G92" s="32"/>
      <c r="H92" s="32"/>
    </row>
    <row r="93" spans="1:8" ht="15.75" customHeight="1">
      <c r="A93" s="1">
        <v>20459</v>
      </c>
      <c r="B93" s="2">
        <v>45188.689189814817</v>
      </c>
      <c r="C93" s="1" t="s">
        <v>10</v>
      </c>
      <c r="D93" s="1">
        <v>26</v>
      </c>
      <c r="E93" s="1" t="s">
        <v>28</v>
      </c>
      <c r="F93" s="59"/>
      <c r="G93" s="32"/>
      <c r="H93" s="32"/>
    </row>
    <row r="94" spans="1:8" ht="15.75" customHeight="1">
      <c r="A94" s="1">
        <v>20458</v>
      </c>
      <c r="B94" s="2">
        <v>45188.518865740742</v>
      </c>
      <c r="C94" s="1" t="s">
        <v>10</v>
      </c>
      <c r="D94" s="1">
        <v>101</v>
      </c>
      <c r="E94" s="1" t="s">
        <v>75</v>
      </c>
      <c r="F94" s="59"/>
      <c r="G94" s="32"/>
      <c r="H94" s="32"/>
    </row>
    <row r="95" spans="1:8" ht="15.75" customHeight="1">
      <c r="A95" s="1">
        <v>20457</v>
      </c>
      <c r="B95" s="2">
        <v>45187.952418981484</v>
      </c>
      <c r="C95" s="1" t="s">
        <v>10</v>
      </c>
      <c r="D95" s="1">
        <v>18</v>
      </c>
      <c r="E95" s="1" t="s">
        <v>75</v>
      </c>
      <c r="F95" s="59"/>
      <c r="G95" s="32"/>
      <c r="H95" s="32"/>
    </row>
    <row r="96" spans="1:8" ht="15.75" customHeight="1">
      <c r="A96" s="1">
        <v>20432</v>
      </c>
      <c r="B96" s="2">
        <v>45187.49119212963</v>
      </c>
      <c r="C96" s="1" t="s">
        <v>10</v>
      </c>
      <c r="D96" s="1">
        <v>55</v>
      </c>
      <c r="E96" s="1" t="s">
        <v>75</v>
      </c>
      <c r="F96" s="59"/>
      <c r="G96" s="32"/>
      <c r="H96" s="32"/>
    </row>
    <row r="97" spans="1:8" ht="15.75" customHeight="1">
      <c r="A97" s="1">
        <v>20431</v>
      </c>
      <c r="B97" s="2">
        <v>45187.08421296296</v>
      </c>
      <c r="C97" s="1" t="s">
        <v>10</v>
      </c>
      <c r="D97" s="1">
        <v>38</v>
      </c>
      <c r="E97" s="1" t="s">
        <v>75</v>
      </c>
      <c r="F97" s="59"/>
      <c r="G97" s="32"/>
      <c r="H97" s="32"/>
    </row>
    <row r="98" spans="1:8" ht="15.75" customHeight="1">
      <c r="A98" s="1">
        <v>20430</v>
      </c>
      <c r="B98" s="2">
        <v>45187.006203703699</v>
      </c>
      <c r="C98" s="1" t="s">
        <v>10</v>
      </c>
      <c r="D98" s="1">
        <v>28</v>
      </c>
      <c r="E98" s="1" t="s">
        <v>75</v>
      </c>
      <c r="F98" s="59"/>
      <c r="G98" s="32"/>
      <c r="H98" s="32"/>
    </row>
    <row r="99" spans="1:8" ht="15.75" customHeight="1">
      <c r="A99" s="1">
        <v>20429</v>
      </c>
      <c r="B99" s="2">
        <v>45186.930671296301</v>
      </c>
      <c r="C99" s="1" t="s">
        <v>10</v>
      </c>
      <c r="D99" s="1">
        <v>28</v>
      </c>
      <c r="E99" s="1" t="s">
        <v>75</v>
      </c>
      <c r="F99" s="59"/>
      <c r="G99" s="32"/>
      <c r="H99" s="32"/>
    </row>
    <row r="100" spans="1:8" ht="15.75" customHeight="1">
      <c r="A100" s="1">
        <v>20428</v>
      </c>
      <c r="B100" s="2">
        <v>45186.762164351851</v>
      </c>
      <c r="C100" s="1" t="s">
        <v>10</v>
      </c>
      <c r="D100" s="1">
        <v>26</v>
      </c>
      <c r="E100" s="1" t="s">
        <v>75</v>
      </c>
      <c r="F100" s="59"/>
      <c r="G100" s="32"/>
      <c r="H100" s="32"/>
    </row>
    <row r="101" spans="1:8" ht="15.75" customHeight="1">
      <c r="A101" s="1">
        <v>20427</v>
      </c>
      <c r="B101" s="2">
        <v>45186.684340277774</v>
      </c>
      <c r="C101" s="1" t="s">
        <v>10</v>
      </c>
      <c r="D101" s="1">
        <v>35</v>
      </c>
      <c r="E101" s="1" t="s">
        <v>75</v>
      </c>
      <c r="F101" s="59"/>
      <c r="G101" s="32"/>
      <c r="H101" s="32"/>
    </row>
    <row r="102" spans="1:8" ht="15.75" customHeight="1">
      <c r="A102" s="1">
        <v>20426</v>
      </c>
      <c r="B102" s="2">
        <v>45186.682627314818</v>
      </c>
      <c r="C102" s="1" t="s">
        <v>10</v>
      </c>
      <c r="D102" s="1">
        <v>53</v>
      </c>
      <c r="E102" s="1" t="s">
        <v>75</v>
      </c>
      <c r="F102" s="59"/>
      <c r="G102" s="32"/>
      <c r="H102" s="32"/>
    </row>
    <row r="103" spans="1:8" ht="15.75" customHeight="1">
      <c r="A103" s="1">
        <v>20425</v>
      </c>
      <c r="B103" s="2">
        <v>45186.680625000001</v>
      </c>
      <c r="C103" s="1" t="s">
        <v>10</v>
      </c>
      <c r="D103" s="1">
        <v>37</v>
      </c>
      <c r="E103" s="1" t="s">
        <v>75</v>
      </c>
      <c r="F103" s="59"/>
      <c r="G103" s="32"/>
      <c r="H103" s="32"/>
    </row>
    <row r="104" spans="1:8" ht="15.75" customHeight="1">
      <c r="A104" s="1">
        <v>20424</v>
      </c>
      <c r="B104" s="2">
        <v>45186.661087962959</v>
      </c>
      <c r="C104" s="1" t="s">
        <v>10</v>
      </c>
      <c r="D104" s="1">
        <v>35</v>
      </c>
      <c r="E104" s="1" t="s">
        <v>75</v>
      </c>
      <c r="F104" s="59"/>
      <c r="G104" s="32"/>
      <c r="H104" s="32"/>
    </row>
    <row r="105" spans="1:8" ht="15.75" customHeight="1">
      <c r="A105" s="1">
        <v>20423</v>
      </c>
      <c r="B105" s="2">
        <v>45186.65861111111</v>
      </c>
      <c r="C105" s="1" t="s">
        <v>10</v>
      </c>
      <c r="D105" s="1">
        <v>45</v>
      </c>
      <c r="E105" s="1" t="s">
        <v>75</v>
      </c>
      <c r="F105" s="59"/>
      <c r="G105" s="32"/>
      <c r="H105" s="32"/>
    </row>
    <row r="106" spans="1:8" ht="15.75" customHeight="1">
      <c r="A106" s="1">
        <v>20422</v>
      </c>
      <c r="B106" s="2">
        <v>45186.658587962964</v>
      </c>
      <c r="C106" s="1" t="s">
        <v>10</v>
      </c>
      <c r="D106" s="1">
        <v>55</v>
      </c>
      <c r="E106" s="1" t="s">
        <v>75</v>
      </c>
      <c r="F106" s="59"/>
      <c r="G106" s="32"/>
      <c r="H106" s="32"/>
    </row>
    <row r="107" spans="1:8" ht="15.75" customHeight="1">
      <c r="A107" s="1">
        <v>20421</v>
      </c>
      <c r="B107" s="2">
        <v>45186.654097222221</v>
      </c>
      <c r="C107" s="1" t="s">
        <v>10</v>
      </c>
      <c r="D107" s="1">
        <v>55</v>
      </c>
      <c r="E107" s="1" t="s">
        <v>75</v>
      </c>
      <c r="F107" s="59"/>
      <c r="G107" s="32"/>
      <c r="H107" s="32"/>
    </row>
    <row r="108" spans="1:8" ht="15.75" customHeight="1">
      <c r="A108" s="1">
        <v>20420</v>
      </c>
      <c r="B108" s="2">
        <v>45186.643009259264</v>
      </c>
      <c r="C108" s="1" t="s">
        <v>10</v>
      </c>
      <c r="D108" s="1">
        <v>48</v>
      </c>
      <c r="E108" s="1" t="s">
        <v>75</v>
      </c>
      <c r="F108" s="59"/>
      <c r="G108" s="32"/>
      <c r="H108" s="32"/>
    </row>
    <row r="109" spans="1:8" ht="15.75" customHeight="1">
      <c r="A109" s="1">
        <v>20419</v>
      </c>
      <c r="B109" s="2">
        <v>45186.621076388888</v>
      </c>
      <c r="C109" s="1" t="s">
        <v>10</v>
      </c>
      <c r="D109" s="1">
        <v>15</v>
      </c>
      <c r="E109" s="1" t="s">
        <v>75</v>
      </c>
      <c r="F109" s="59"/>
      <c r="G109" s="32"/>
      <c r="H109" s="32"/>
    </row>
    <row r="110" spans="1:8" ht="15.75" customHeight="1">
      <c r="A110" s="1">
        <v>20418</v>
      </c>
      <c r="B110" s="2">
        <v>45186.618402777778</v>
      </c>
      <c r="C110" s="1" t="s">
        <v>10</v>
      </c>
      <c r="D110" s="1">
        <v>45</v>
      </c>
      <c r="E110" s="1" t="s">
        <v>75</v>
      </c>
      <c r="F110" s="59"/>
      <c r="G110" s="32"/>
      <c r="H110" s="32"/>
    </row>
    <row r="111" spans="1:8" ht="15.75" customHeight="1">
      <c r="A111" s="1">
        <v>20417</v>
      </c>
      <c r="B111" s="2">
        <v>45186.614490740743</v>
      </c>
      <c r="C111" s="1" t="s">
        <v>10</v>
      </c>
      <c r="D111" s="1">
        <v>25</v>
      </c>
      <c r="E111" s="1" t="s">
        <v>75</v>
      </c>
      <c r="F111" s="59"/>
      <c r="G111" s="32"/>
      <c r="H111" s="32"/>
    </row>
    <row r="112" spans="1:8" ht="15.75" customHeight="1">
      <c r="A112" s="1">
        <v>20416</v>
      </c>
      <c r="B112" s="2">
        <v>45186.613437499997</v>
      </c>
      <c r="C112" s="1" t="s">
        <v>10</v>
      </c>
      <c r="D112" s="1">
        <v>37</v>
      </c>
      <c r="E112" s="1" t="s">
        <v>75</v>
      </c>
      <c r="F112" s="59"/>
      <c r="G112" s="32"/>
      <c r="H112" s="32"/>
    </row>
    <row r="113" spans="1:8" ht="15.75" customHeight="1">
      <c r="A113" s="1">
        <v>20415</v>
      </c>
      <c r="B113" s="2">
        <v>45186.607708333337</v>
      </c>
      <c r="C113" s="1" t="s">
        <v>10</v>
      </c>
      <c r="D113" s="1">
        <v>44</v>
      </c>
      <c r="E113" s="1" t="s">
        <v>75</v>
      </c>
      <c r="F113" s="59"/>
      <c r="G113" s="32"/>
      <c r="H113" s="32"/>
    </row>
    <row r="114" spans="1:8" ht="15.75" customHeight="1">
      <c r="A114" s="1">
        <v>20414</v>
      </c>
      <c r="B114" s="2">
        <v>45186.606342592597</v>
      </c>
      <c r="C114" s="1" t="s">
        <v>10</v>
      </c>
      <c r="D114" s="1">
        <v>15</v>
      </c>
      <c r="E114" s="1" t="s">
        <v>75</v>
      </c>
      <c r="F114" s="59"/>
      <c r="G114" s="32"/>
      <c r="H114" s="32"/>
    </row>
    <row r="115" spans="1:8" ht="15.75" customHeight="1">
      <c r="A115" s="1">
        <v>20413</v>
      </c>
      <c r="B115" s="2">
        <v>45186.599664351852</v>
      </c>
      <c r="C115" s="1" t="s">
        <v>10</v>
      </c>
      <c r="D115" s="1">
        <v>68</v>
      </c>
      <c r="E115" s="1" t="s">
        <v>75</v>
      </c>
      <c r="F115" s="59"/>
      <c r="G115" s="32"/>
      <c r="H115" s="32"/>
    </row>
    <row r="116" spans="1:8" ht="15.75" customHeight="1">
      <c r="A116" s="1">
        <v>20412</v>
      </c>
      <c r="B116" s="2">
        <v>45186.598379629635</v>
      </c>
      <c r="C116" s="1" t="s">
        <v>10</v>
      </c>
      <c r="D116" s="1">
        <v>35</v>
      </c>
      <c r="E116" s="1" t="s">
        <v>75</v>
      </c>
      <c r="F116" s="59"/>
      <c r="G116" s="32"/>
      <c r="H116" s="32"/>
    </row>
    <row r="117" spans="1:8" ht="15.75" customHeight="1">
      <c r="A117" s="1">
        <v>20411</v>
      </c>
      <c r="B117" s="2">
        <v>45186.595266203702</v>
      </c>
      <c r="C117" s="1" t="s">
        <v>10</v>
      </c>
      <c r="D117" s="1">
        <v>15</v>
      </c>
      <c r="E117" s="1" t="s">
        <v>75</v>
      </c>
      <c r="F117" s="59"/>
      <c r="G117" s="32"/>
      <c r="H117" s="32"/>
    </row>
    <row r="118" spans="1:8" ht="15.75" customHeight="1">
      <c r="A118" s="1">
        <v>20410</v>
      </c>
      <c r="B118" s="2">
        <v>45186.5933912037</v>
      </c>
      <c r="C118" s="1" t="s">
        <v>10</v>
      </c>
      <c r="D118" s="1">
        <v>55</v>
      </c>
      <c r="E118" s="1" t="s">
        <v>75</v>
      </c>
      <c r="F118" s="59"/>
      <c r="G118" s="32"/>
      <c r="H118" s="32"/>
    </row>
    <row r="119" spans="1:8" ht="15.75" customHeight="1">
      <c r="A119" s="1">
        <v>20409</v>
      </c>
      <c r="B119" s="2">
        <v>45186.592731481476</v>
      </c>
      <c r="C119" s="1" t="s">
        <v>10</v>
      </c>
      <c r="D119" s="1">
        <v>30</v>
      </c>
      <c r="E119" s="1" t="s">
        <v>75</v>
      </c>
      <c r="F119" s="59"/>
      <c r="G119" s="32"/>
      <c r="H119" s="32"/>
    </row>
    <row r="120" spans="1:8" ht="15.75" customHeight="1">
      <c r="A120" s="1">
        <v>20408</v>
      </c>
      <c r="B120" s="2">
        <v>45186.590069444443</v>
      </c>
      <c r="C120" s="1" t="s">
        <v>10</v>
      </c>
      <c r="D120" s="1">
        <v>48</v>
      </c>
      <c r="E120" s="1" t="s">
        <v>75</v>
      </c>
      <c r="F120" s="59"/>
      <c r="G120" s="32"/>
      <c r="H120" s="32"/>
    </row>
    <row r="121" spans="1:8" ht="15.75" customHeight="1">
      <c r="A121" s="1">
        <v>20407</v>
      </c>
      <c r="B121" s="2">
        <v>45186.587847222225</v>
      </c>
      <c r="C121" s="1" t="s">
        <v>10</v>
      </c>
      <c r="D121" s="1">
        <v>35</v>
      </c>
      <c r="E121" s="1" t="s">
        <v>75</v>
      </c>
      <c r="F121" s="59"/>
      <c r="G121" s="32"/>
      <c r="H121" s="32"/>
    </row>
    <row r="122" spans="1:8" ht="15.75" customHeight="1">
      <c r="A122" s="1">
        <v>20406</v>
      </c>
      <c r="B122" s="2">
        <v>45186.585972222223</v>
      </c>
      <c r="C122" s="1" t="s">
        <v>10</v>
      </c>
      <c r="D122" s="1">
        <v>35</v>
      </c>
      <c r="E122" s="1" t="s">
        <v>75</v>
      </c>
      <c r="F122" s="59"/>
      <c r="G122" s="32"/>
      <c r="H122" s="32"/>
    </row>
    <row r="123" spans="1:8" ht="15.75" customHeight="1">
      <c r="A123" s="1">
        <v>20405</v>
      </c>
      <c r="B123" s="2">
        <v>45186.58421296296</v>
      </c>
      <c r="C123" s="1" t="s">
        <v>10</v>
      </c>
      <c r="D123" s="1">
        <v>33</v>
      </c>
      <c r="E123" s="1" t="s">
        <v>75</v>
      </c>
      <c r="F123" s="59"/>
      <c r="G123" s="32"/>
      <c r="H123" s="32"/>
    </row>
    <row r="124" spans="1:8" ht="15.75" customHeight="1">
      <c r="A124" s="1">
        <v>20404</v>
      </c>
      <c r="B124" s="2">
        <v>45186.578402777777</v>
      </c>
      <c r="C124" s="1" t="s">
        <v>10</v>
      </c>
      <c r="D124" s="1">
        <v>48</v>
      </c>
      <c r="E124" s="1" t="s">
        <v>75</v>
      </c>
      <c r="F124" s="59"/>
      <c r="G124" s="32"/>
      <c r="H124" s="32"/>
    </row>
    <row r="125" spans="1:8" ht="15.75" customHeight="1">
      <c r="A125" s="1">
        <v>20403</v>
      </c>
      <c r="B125" s="2">
        <v>45186.572465277779</v>
      </c>
      <c r="C125" s="1" t="s">
        <v>10</v>
      </c>
      <c r="D125" s="1">
        <v>100</v>
      </c>
      <c r="E125" s="1" t="s">
        <v>75</v>
      </c>
      <c r="F125" s="59"/>
      <c r="G125" s="32"/>
      <c r="H125" s="32"/>
    </row>
    <row r="126" spans="1:8" ht="15.75" customHeight="1">
      <c r="A126" s="1">
        <v>20402</v>
      </c>
      <c r="B126" s="2">
        <v>45186.563379629632</v>
      </c>
      <c r="C126" s="1" t="s">
        <v>10</v>
      </c>
      <c r="D126" s="1">
        <v>35</v>
      </c>
      <c r="E126" s="1" t="s">
        <v>75</v>
      </c>
      <c r="F126" s="59"/>
      <c r="G126" s="32"/>
      <c r="H126" s="32"/>
    </row>
    <row r="127" spans="1:8" ht="15.75" customHeight="1">
      <c r="A127" s="1">
        <v>20401</v>
      </c>
      <c r="B127" s="2">
        <v>45186.559212962966</v>
      </c>
      <c r="C127" s="1" t="s">
        <v>10</v>
      </c>
      <c r="D127" s="1">
        <v>78</v>
      </c>
      <c r="E127" s="1" t="s">
        <v>75</v>
      </c>
      <c r="F127" s="59"/>
      <c r="G127" s="32"/>
      <c r="H127" s="32"/>
    </row>
    <row r="128" spans="1:8" ht="15.75" customHeight="1">
      <c r="A128" s="1">
        <v>20400</v>
      </c>
      <c r="B128" s="2">
        <v>45186.55405092593</v>
      </c>
      <c r="C128" s="1" t="s">
        <v>10</v>
      </c>
      <c r="D128" s="1">
        <v>18</v>
      </c>
      <c r="E128" s="1" t="s">
        <v>75</v>
      </c>
      <c r="F128" s="59"/>
      <c r="G128" s="32"/>
      <c r="H128" s="32"/>
    </row>
    <row r="129" spans="1:8" ht="15.75" customHeight="1">
      <c r="A129" s="1">
        <v>20399</v>
      </c>
      <c r="B129" s="2">
        <v>45186.54278935185</v>
      </c>
      <c r="C129" s="1" t="s">
        <v>10</v>
      </c>
      <c r="D129" s="1">
        <v>66</v>
      </c>
      <c r="E129" s="1" t="s">
        <v>75</v>
      </c>
      <c r="F129" s="59"/>
      <c r="G129" s="32"/>
      <c r="H129" s="32"/>
    </row>
    <row r="130" spans="1:8" ht="15.75" customHeight="1">
      <c r="A130" s="1">
        <v>20398</v>
      </c>
      <c r="B130" s="2">
        <v>45186.540520833332</v>
      </c>
      <c r="C130" s="1" t="s">
        <v>10</v>
      </c>
      <c r="D130" s="1">
        <v>56</v>
      </c>
      <c r="E130" s="1" t="s">
        <v>75</v>
      </c>
      <c r="F130" s="59"/>
      <c r="G130" s="32"/>
      <c r="H130" s="32"/>
    </row>
    <row r="131" spans="1:8" ht="15.75" customHeight="1">
      <c r="A131" s="1">
        <v>20397</v>
      </c>
      <c r="B131" s="2">
        <v>45186.537743055553</v>
      </c>
      <c r="C131" s="1" t="s">
        <v>10</v>
      </c>
      <c r="D131" s="1">
        <v>73</v>
      </c>
      <c r="E131" s="1" t="s">
        <v>75</v>
      </c>
      <c r="F131" s="59"/>
      <c r="G131" s="32"/>
      <c r="H131" s="32"/>
    </row>
    <row r="132" spans="1:8" ht="15.75" customHeight="1">
      <c r="A132" s="1">
        <v>20396</v>
      </c>
      <c r="B132" s="2">
        <v>45186.532048611116</v>
      </c>
      <c r="C132" s="1" t="s">
        <v>10</v>
      </c>
      <c r="D132" s="1">
        <v>37</v>
      </c>
      <c r="E132" s="1" t="s">
        <v>75</v>
      </c>
      <c r="F132" s="59"/>
      <c r="G132" s="32"/>
      <c r="H132" s="32"/>
    </row>
    <row r="133" spans="1:8" ht="15.75" customHeight="1">
      <c r="A133" s="1">
        <v>20395</v>
      </c>
      <c r="B133" s="2">
        <v>45186.523263888885</v>
      </c>
      <c r="C133" s="1" t="s">
        <v>10</v>
      </c>
      <c r="D133" s="1">
        <v>35</v>
      </c>
      <c r="E133" s="1" t="s">
        <v>75</v>
      </c>
      <c r="F133" s="59"/>
      <c r="G133" s="32"/>
      <c r="H133" s="32"/>
    </row>
    <row r="134" spans="1:8" ht="15.75" customHeight="1">
      <c r="A134" s="1">
        <v>20394</v>
      </c>
      <c r="B134" s="2">
        <v>45186.521493055552</v>
      </c>
      <c r="C134" s="1" t="s">
        <v>10</v>
      </c>
      <c r="D134" s="1">
        <v>60</v>
      </c>
      <c r="E134" s="1" t="s">
        <v>75</v>
      </c>
      <c r="F134" s="59"/>
      <c r="G134" s="32"/>
      <c r="H134" s="32"/>
    </row>
    <row r="135" spans="1:8" ht="15.75" customHeight="1">
      <c r="A135" s="1">
        <v>20393</v>
      </c>
      <c r="B135" s="2">
        <v>45186.517951388887</v>
      </c>
      <c r="C135" s="1" t="s">
        <v>10</v>
      </c>
      <c r="D135" s="1">
        <v>50</v>
      </c>
      <c r="E135" s="1" t="s">
        <v>75</v>
      </c>
      <c r="F135" s="59"/>
      <c r="G135" s="32"/>
      <c r="H135" s="32"/>
    </row>
    <row r="136" spans="1:8" ht="15.75" customHeight="1">
      <c r="A136" s="1">
        <v>20392</v>
      </c>
      <c r="B136" s="2">
        <v>45186.514293981483</v>
      </c>
      <c r="C136" s="1" t="s">
        <v>10</v>
      </c>
      <c r="D136" s="1">
        <v>35</v>
      </c>
      <c r="E136" s="1" t="s">
        <v>75</v>
      </c>
      <c r="F136" s="59"/>
      <c r="G136" s="32"/>
      <c r="H136" s="32"/>
    </row>
    <row r="137" spans="1:8" ht="15.75" customHeight="1">
      <c r="A137" s="1">
        <v>20391</v>
      </c>
      <c r="B137" s="2">
        <v>45186.510891203703</v>
      </c>
      <c r="C137" s="1" t="s">
        <v>10</v>
      </c>
      <c r="D137" s="1">
        <v>26</v>
      </c>
      <c r="E137" s="1" t="s">
        <v>75</v>
      </c>
      <c r="F137" s="59"/>
      <c r="G137" s="32"/>
      <c r="H137" s="32"/>
    </row>
    <row r="138" spans="1:8" ht="15.75" customHeight="1">
      <c r="A138" s="1">
        <v>20390</v>
      </c>
      <c r="B138" s="2">
        <v>45186.50849537037</v>
      </c>
      <c r="C138" s="1" t="s">
        <v>10</v>
      </c>
      <c r="D138" s="1">
        <v>35</v>
      </c>
      <c r="E138" s="1" t="s">
        <v>75</v>
      </c>
      <c r="F138" s="59"/>
      <c r="G138" s="32"/>
      <c r="H138" s="32"/>
    </row>
    <row r="139" spans="1:8" ht="15.75" customHeight="1">
      <c r="A139" s="1">
        <v>20389</v>
      </c>
      <c r="B139" s="2">
        <v>45186.465925925921</v>
      </c>
      <c r="C139" s="1" t="s">
        <v>10</v>
      </c>
      <c r="D139" s="1">
        <v>50</v>
      </c>
      <c r="E139" s="1" t="s">
        <v>75</v>
      </c>
      <c r="F139" s="59"/>
      <c r="G139" s="32"/>
      <c r="H139" s="32"/>
    </row>
    <row r="140" spans="1:8" ht="15.75" customHeight="1">
      <c r="A140" s="1">
        <v>20388</v>
      </c>
      <c r="B140" s="2">
        <v>45186.461863425924</v>
      </c>
      <c r="C140" s="1" t="s">
        <v>10</v>
      </c>
      <c r="D140" s="1">
        <v>25</v>
      </c>
      <c r="E140" s="1" t="s">
        <v>75</v>
      </c>
      <c r="F140" s="59"/>
      <c r="G140" s="32"/>
      <c r="H140" s="32"/>
    </row>
    <row r="141" spans="1:8" ht="15.75" customHeight="1">
      <c r="A141" s="1">
        <v>20387</v>
      </c>
      <c r="B141" s="2">
        <v>45186.139745370368</v>
      </c>
      <c r="C141" s="1" t="s">
        <v>10</v>
      </c>
      <c r="D141" s="1">
        <v>47</v>
      </c>
      <c r="E141" s="1" t="s">
        <v>75</v>
      </c>
      <c r="F141" s="59"/>
      <c r="G141" s="32"/>
      <c r="H141" s="32"/>
    </row>
    <row r="142" spans="1:8" ht="15.75" customHeight="1">
      <c r="A142" s="1">
        <v>20386</v>
      </c>
      <c r="B142" s="2">
        <v>45186.090624999997</v>
      </c>
      <c r="C142" s="1" t="s">
        <v>10</v>
      </c>
      <c r="D142" s="1">
        <v>48</v>
      </c>
      <c r="E142" s="1" t="s">
        <v>75</v>
      </c>
      <c r="F142" s="59"/>
      <c r="G142" s="32"/>
      <c r="H142" s="32"/>
    </row>
    <row r="143" spans="1:8" ht="15.75" customHeight="1">
      <c r="A143" s="1">
        <v>20385</v>
      </c>
      <c r="B143" s="2">
        <v>45186.080648148149</v>
      </c>
      <c r="C143" s="1" t="s">
        <v>10</v>
      </c>
      <c r="D143" s="1">
        <v>47</v>
      </c>
      <c r="E143" s="1" t="s">
        <v>75</v>
      </c>
      <c r="F143" s="59"/>
      <c r="G143" s="32"/>
      <c r="H143" s="32"/>
    </row>
    <row r="144" spans="1:8" ht="15.75" customHeight="1">
      <c r="A144" s="1">
        <v>20384</v>
      </c>
      <c r="B144" s="2">
        <v>45186.028749999998</v>
      </c>
      <c r="C144" s="1" t="s">
        <v>10</v>
      </c>
      <c r="D144" s="1">
        <v>18</v>
      </c>
      <c r="E144" s="1" t="s">
        <v>75</v>
      </c>
      <c r="F144" s="59"/>
      <c r="G144" s="32"/>
      <c r="H144" s="32"/>
    </row>
    <row r="145" spans="1:8" ht="15.75" customHeight="1">
      <c r="A145" s="1">
        <v>20383</v>
      </c>
      <c r="B145" s="2">
        <v>45185.983611111107</v>
      </c>
      <c r="C145" s="1" t="s">
        <v>10</v>
      </c>
      <c r="D145" s="1">
        <v>53</v>
      </c>
      <c r="E145" s="1" t="s">
        <v>75</v>
      </c>
      <c r="F145" s="59"/>
      <c r="G145" s="32"/>
      <c r="H145" s="32"/>
    </row>
    <row r="146" spans="1:8" ht="15.75" customHeight="1">
      <c r="A146" s="1">
        <v>20382</v>
      </c>
      <c r="B146" s="2">
        <v>45185.946828703702</v>
      </c>
      <c r="C146" s="1" t="s">
        <v>10</v>
      </c>
      <c r="D146" s="1">
        <v>57</v>
      </c>
      <c r="E146" s="1" t="s">
        <v>75</v>
      </c>
      <c r="F146" s="59"/>
      <c r="G146" s="32"/>
      <c r="H146" s="32"/>
    </row>
    <row r="147" spans="1:8" ht="15.75" customHeight="1">
      <c r="A147" s="1">
        <v>20381</v>
      </c>
      <c r="B147" s="2">
        <v>45185.899375000001</v>
      </c>
      <c r="C147" s="1" t="s">
        <v>10</v>
      </c>
      <c r="D147" s="1">
        <v>55</v>
      </c>
      <c r="E147" s="1" t="s">
        <v>75</v>
      </c>
      <c r="F147" s="59"/>
      <c r="G147" s="32"/>
      <c r="H147" s="32"/>
    </row>
    <row r="148" spans="1:8" ht="15.75" customHeight="1">
      <c r="A148" s="1">
        <v>20380</v>
      </c>
      <c r="B148" s="2">
        <v>45185.855428240742</v>
      </c>
      <c r="C148" s="1" t="s">
        <v>10</v>
      </c>
      <c r="D148" s="1">
        <v>46</v>
      </c>
      <c r="E148" s="1" t="s">
        <v>75</v>
      </c>
      <c r="F148" s="59"/>
      <c r="G148" s="32"/>
      <c r="H148" s="32"/>
    </row>
    <row r="149" spans="1:8" ht="15.75" customHeight="1">
      <c r="A149" s="1">
        <v>20379</v>
      </c>
      <c r="B149" s="2">
        <v>45185.806134259255</v>
      </c>
      <c r="C149" s="1" t="s">
        <v>10</v>
      </c>
      <c r="D149" s="1">
        <v>40</v>
      </c>
      <c r="E149" s="1" t="s">
        <v>75</v>
      </c>
      <c r="F149" s="59"/>
      <c r="G149" s="32"/>
      <c r="H149" s="32"/>
    </row>
    <row r="150" spans="1:8" ht="15.75" customHeight="1">
      <c r="A150" s="1">
        <v>20378</v>
      </c>
      <c r="B150" s="2">
        <v>45185.802858796298</v>
      </c>
      <c r="C150" s="1" t="s">
        <v>10</v>
      </c>
      <c r="D150" s="1">
        <v>35</v>
      </c>
      <c r="E150" s="1" t="s">
        <v>75</v>
      </c>
      <c r="F150" s="59"/>
      <c r="G150" s="32"/>
      <c r="H150" s="32"/>
    </row>
    <row r="151" spans="1:8" ht="15.75" customHeight="1">
      <c r="A151" s="1">
        <v>20377</v>
      </c>
      <c r="B151" s="2">
        <v>45185.786168981482</v>
      </c>
      <c r="C151" s="1" t="s">
        <v>10</v>
      </c>
      <c r="D151" s="1">
        <v>41</v>
      </c>
      <c r="E151" s="1" t="s">
        <v>75</v>
      </c>
      <c r="F151" s="59"/>
      <c r="G151" s="32"/>
      <c r="H151" s="32"/>
    </row>
    <row r="152" spans="1:8" ht="15.75" customHeight="1">
      <c r="A152" s="1">
        <v>20376</v>
      </c>
      <c r="B152" s="2">
        <v>45185.726018518515</v>
      </c>
      <c r="C152" s="1" t="s">
        <v>10</v>
      </c>
      <c r="D152" s="1">
        <v>25</v>
      </c>
      <c r="E152" s="1" t="s">
        <v>75</v>
      </c>
      <c r="F152" s="59"/>
      <c r="G152" s="32"/>
      <c r="H152" s="32"/>
    </row>
    <row r="153" spans="1:8" ht="15.75" customHeight="1">
      <c r="A153" s="1">
        <v>20375</v>
      </c>
      <c r="B153" s="2">
        <v>45185.69430555556</v>
      </c>
      <c r="C153" s="1" t="s">
        <v>10</v>
      </c>
      <c r="D153" s="1">
        <v>51</v>
      </c>
      <c r="E153" s="1" t="s">
        <v>75</v>
      </c>
      <c r="F153" s="59"/>
      <c r="G153" s="32"/>
      <c r="H153" s="32"/>
    </row>
    <row r="154" spans="1:8" ht="15.75" customHeight="1">
      <c r="A154" s="1">
        <v>20374</v>
      </c>
      <c r="B154" s="2">
        <v>45185.552974537037</v>
      </c>
      <c r="C154" s="1" t="s">
        <v>10</v>
      </c>
      <c r="D154" s="1">
        <v>26</v>
      </c>
      <c r="E154" s="1" t="s">
        <v>75</v>
      </c>
      <c r="F154" s="59"/>
      <c r="G154" s="32"/>
      <c r="H154" s="32"/>
    </row>
    <row r="155" spans="1:8" ht="15.75" customHeight="1">
      <c r="A155" s="1">
        <v>20373</v>
      </c>
      <c r="B155" s="2">
        <v>45185.539409722223</v>
      </c>
      <c r="C155" s="1" t="s">
        <v>10</v>
      </c>
      <c r="D155" s="1">
        <v>55</v>
      </c>
      <c r="E155" s="1" t="s">
        <v>75</v>
      </c>
      <c r="F155" s="59"/>
      <c r="G155" s="32"/>
      <c r="H155" s="32"/>
    </row>
    <row r="156" spans="1:8" ht="15.75" customHeight="1">
      <c r="A156" s="1">
        <v>20372</v>
      </c>
      <c r="B156" s="2">
        <v>45185.491898148146</v>
      </c>
      <c r="C156" s="1" t="s">
        <v>10</v>
      </c>
      <c r="D156" s="1">
        <v>54</v>
      </c>
      <c r="E156" s="1" t="s">
        <v>75</v>
      </c>
      <c r="F156" s="59"/>
      <c r="G156" s="32"/>
      <c r="H156" s="32"/>
    </row>
    <row r="157" spans="1:8" ht="15.75" customHeight="1">
      <c r="A157" s="1">
        <v>20371</v>
      </c>
      <c r="B157" s="2">
        <v>45185.06386574074</v>
      </c>
      <c r="C157" s="1" t="s">
        <v>10</v>
      </c>
      <c r="D157" s="1">
        <v>35</v>
      </c>
      <c r="E157" s="1" t="s">
        <v>75</v>
      </c>
      <c r="F157" s="59"/>
      <c r="G157" s="32"/>
      <c r="H157" s="32"/>
    </row>
    <row r="158" spans="1:8" ht="15.75" customHeight="1">
      <c r="A158" s="1">
        <v>20370</v>
      </c>
      <c r="B158" s="2">
        <v>45184.95685185185</v>
      </c>
      <c r="C158" s="1" t="s">
        <v>10</v>
      </c>
      <c r="D158" s="1">
        <v>37</v>
      </c>
      <c r="E158" s="1" t="s">
        <v>75</v>
      </c>
      <c r="F158" s="59"/>
      <c r="G158" s="32"/>
      <c r="H158" s="32"/>
    </row>
    <row r="159" spans="1:8" ht="15.75" customHeight="1">
      <c r="A159" s="1">
        <v>20369</v>
      </c>
      <c r="B159" s="2">
        <v>45184.935324074075</v>
      </c>
      <c r="C159" s="1" t="s">
        <v>10</v>
      </c>
      <c r="D159" s="1">
        <v>51</v>
      </c>
      <c r="E159" s="1" t="s">
        <v>75</v>
      </c>
      <c r="F159" s="59"/>
      <c r="G159" s="32"/>
      <c r="H159" s="32"/>
    </row>
    <row r="160" spans="1:8" ht="15.75" customHeight="1">
      <c r="A160" s="1">
        <v>20368</v>
      </c>
      <c r="B160" s="2">
        <v>45184.93472222222</v>
      </c>
      <c r="C160" s="1" t="s">
        <v>10</v>
      </c>
      <c r="D160" s="1">
        <v>78</v>
      </c>
      <c r="E160" s="1" t="s">
        <v>75</v>
      </c>
      <c r="F160" s="59"/>
      <c r="G160" s="32"/>
      <c r="H160" s="32"/>
    </row>
    <row r="161" spans="1:8" ht="15.75" customHeight="1">
      <c r="A161" s="1">
        <v>20367</v>
      </c>
      <c r="B161" s="2">
        <v>45184.862534722226</v>
      </c>
      <c r="C161" s="1" t="s">
        <v>10</v>
      </c>
      <c r="D161" s="1">
        <v>25</v>
      </c>
      <c r="E161" s="1" t="s">
        <v>75</v>
      </c>
      <c r="F161" s="59"/>
      <c r="G161" s="32"/>
      <c r="H161" s="32"/>
    </row>
    <row r="162" spans="1:8" ht="15.75" customHeight="1">
      <c r="A162" s="1">
        <v>20364</v>
      </c>
      <c r="B162" s="2">
        <v>45184.625300925924</v>
      </c>
      <c r="C162" s="1" t="s">
        <v>10</v>
      </c>
      <c r="D162" s="1">
        <v>35</v>
      </c>
      <c r="E162" s="1" t="s">
        <v>75</v>
      </c>
      <c r="F162" s="59"/>
      <c r="G162" s="32"/>
      <c r="H162" s="32"/>
    </row>
    <row r="163" spans="1:8" ht="15.75" customHeight="1">
      <c r="A163" s="1">
        <v>20363</v>
      </c>
      <c r="B163" s="2">
        <v>45184.605300925927</v>
      </c>
      <c r="C163" s="1" t="s">
        <v>10</v>
      </c>
      <c r="D163" s="1">
        <v>70</v>
      </c>
      <c r="E163" s="1" t="s">
        <v>75</v>
      </c>
      <c r="F163" s="59"/>
      <c r="G163" s="32"/>
      <c r="H163" s="32"/>
    </row>
    <row r="164" spans="1:8" ht="15.75" customHeight="1">
      <c r="A164" s="1">
        <v>20362</v>
      </c>
      <c r="B164" s="2">
        <v>45184.577141203699</v>
      </c>
      <c r="C164" s="1" t="s">
        <v>10</v>
      </c>
      <c r="D164" s="1">
        <v>35</v>
      </c>
      <c r="E164" s="1" t="s">
        <v>75</v>
      </c>
      <c r="F164" s="59"/>
      <c r="G164" s="32"/>
      <c r="H164" s="32"/>
    </row>
    <row r="165" spans="1:8" ht="15.75" customHeight="1">
      <c r="A165" s="1">
        <v>20361</v>
      </c>
      <c r="B165" s="2">
        <v>45184.575266203705</v>
      </c>
      <c r="C165" s="1" t="s">
        <v>10</v>
      </c>
      <c r="D165" s="1">
        <v>55</v>
      </c>
      <c r="E165" s="1" t="s">
        <v>75</v>
      </c>
      <c r="F165" s="59"/>
      <c r="G165" s="32"/>
      <c r="H165" s="32"/>
    </row>
    <row r="166" spans="1:8" ht="15.75" customHeight="1">
      <c r="A166" s="1">
        <v>20360</v>
      </c>
      <c r="B166" s="2">
        <v>45184.568553240737</v>
      </c>
      <c r="C166" s="1" t="s">
        <v>10</v>
      </c>
      <c r="D166" s="1">
        <v>22</v>
      </c>
      <c r="E166" s="1" t="s">
        <v>75</v>
      </c>
      <c r="F166" s="59"/>
      <c r="G166" s="32"/>
      <c r="H166" s="32"/>
    </row>
    <row r="167" spans="1:8" ht="15.75" customHeight="1">
      <c r="A167" s="1">
        <v>20359</v>
      </c>
      <c r="B167" s="2">
        <v>45184.423148148147</v>
      </c>
      <c r="C167" s="1" t="s">
        <v>10</v>
      </c>
      <c r="D167" s="1">
        <v>63</v>
      </c>
      <c r="E167" s="1" t="s">
        <v>75</v>
      </c>
      <c r="F167" s="59"/>
      <c r="G167" s="32"/>
      <c r="H167" s="32"/>
    </row>
    <row r="168" spans="1:8" ht="15.75" customHeight="1">
      <c r="A168" s="1">
        <v>20358</v>
      </c>
      <c r="B168" s="2">
        <v>45184.04650462963</v>
      </c>
      <c r="C168" s="1" t="s">
        <v>10</v>
      </c>
      <c r="D168" s="1">
        <v>26</v>
      </c>
      <c r="E168" s="1" t="s">
        <v>75</v>
      </c>
      <c r="F168" s="59"/>
      <c r="G168" s="32"/>
      <c r="H168" s="32"/>
    </row>
    <row r="169" spans="1:8" ht="15.75" customHeight="1">
      <c r="A169" s="1">
        <v>20357</v>
      </c>
      <c r="B169" s="2">
        <v>45183.924328703702</v>
      </c>
      <c r="C169" s="1" t="s">
        <v>10</v>
      </c>
      <c r="D169" s="1">
        <v>22</v>
      </c>
      <c r="E169" s="1" t="s">
        <v>75</v>
      </c>
      <c r="F169" s="59"/>
      <c r="G169" s="32"/>
      <c r="H169" s="32"/>
    </row>
    <row r="170" spans="1:8" ht="15.75" customHeight="1">
      <c r="A170" s="1">
        <v>20356</v>
      </c>
      <c r="B170" s="2">
        <v>45183.58792824074</v>
      </c>
      <c r="C170" s="1" t="s">
        <v>10</v>
      </c>
      <c r="D170" s="1">
        <v>35</v>
      </c>
      <c r="E170" s="1" t="s">
        <v>75</v>
      </c>
      <c r="F170" s="59"/>
      <c r="G170" s="32"/>
      <c r="H170" s="32"/>
    </row>
    <row r="171" spans="1:8" ht="15.75" customHeight="1">
      <c r="A171" s="1">
        <v>20355</v>
      </c>
      <c r="B171" s="2">
        <v>45183.554976851854</v>
      </c>
      <c r="C171" s="1" t="s">
        <v>10</v>
      </c>
      <c r="D171" s="1">
        <v>80</v>
      </c>
      <c r="E171" s="1" t="s">
        <v>75</v>
      </c>
      <c r="F171" s="59"/>
      <c r="G171" s="32"/>
      <c r="H171" s="32"/>
    </row>
    <row r="172" spans="1:8" ht="15.75" customHeight="1">
      <c r="A172" s="1">
        <v>20354</v>
      </c>
      <c r="B172" s="2">
        <v>45182.958530092597</v>
      </c>
      <c r="C172" s="1" t="s">
        <v>10</v>
      </c>
      <c r="D172" s="1">
        <v>55</v>
      </c>
      <c r="E172" s="1" t="s">
        <v>75</v>
      </c>
      <c r="F172" s="59"/>
      <c r="G172" s="32"/>
      <c r="H172" s="32"/>
    </row>
    <row r="173" spans="1:8" ht="15.75" customHeight="1">
      <c r="A173" s="1">
        <v>20353</v>
      </c>
      <c r="B173" s="2">
        <v>45182.936273148152</v>
      </c>
      <c r="C173" s="1" t="s">
        <v>10</v>
      </c>
      <c r="D173" s="1">
        <v>25</v>
      </c>
      <c r="E173" s="1" t="s">
        <v>75</v>
      </c>
      <c r="F173" s="59"/>
      <c r="G173" s="32"/>
      <c r="H173" s="32"/>
    </row>
    <row r="174" spans="1:8" ht="15.75" customHeight="1">
      <c r="A174" s="1">
        <v>20352</v>
      </c>
      <c r="B174" s="2">
        <v>45182.722094907411</v>
      </c>
      <c r="C174" s="1" t="s">
        <v>10</v>
      </c>
      <c r="D174" s="1">
        <v>55</v>
      </c>
      <c r="E174" s="1" t="s">
        <v>75</v>
      </c>
      <c r="F174" s="59"/>
      <c r="G174" s="32"/>
      <c r="H174" s="32"/>
    </row>
    <row r="175" spans="1:8" ht="15.75" customHeight="1">
      <c r="A175" s="1">
        <v>20351</v>
      </c>
      <c r="B175" s="2">
        <v>45182.694756944446</v>
      </c>
      <c r="C175" s="1" t="s">
        <v>10</v>
      </c>
      <c r="D175" s="1">
        <v>55</v>
      </c>
      <c r="E175" s="1" t="s">
        <v>75</v>
      </c>
      <c r="F175" s="59"/>
      <c r="G175" s="32"/>
      <c r="H175" s="32"/>
    </row>
    <row r="176" spans="1:8" ht="15.75" customHeight="1">
      <c r="A176" s="1">
        <v>20350</v>
      </c>
      <c r="B176" s="2">
        <v>45182.610138888893</v>
      </c>
      <c r="C176" s="1" t="s">
        <v>10</v>
      </c>
      <c r="D176" s="1">
        <v>15</v>
      </c>
      <c r="E176" s="1" t="s">
        <v>75</v>
      </c>
      <c r="F176" s="59"/>
      <c r="G176" s="32"/>
      <c r="H176" s="32"/>
    </row>
    <row r="177" spans="1:8" ht="15.75" customHeight="1">
      <c r="A177" s="1">
        <v>20349</v>
      </c>
      <c r="B177" s="2">
        <v>45182.561701388884</v>
      </c>
      <c r="C177" s="1" t="s">
        <v>10</v>
      </c>
      <c r="D177" s="1">
        <v>55</v>
      </c>
      <c r="E177" s="1" t="s">
        <v>75</v>
      </c>
      <c r="F177" s="59"/>
      <c r="G177" s="32"/>
      <c r="H177" s="32"/>
    </row>
    <row r="178" spans="1:8" ht="15.75" customHeight="1">
      <c r="A178" s="1">
        <v>20348</v>
      </c>
      <c r="B178" s="2">
        <v>45182.496111111112</v>
      </c>
      <c r="C178" s="1" t="s">
        <v>10</v>
      </c>
      <c r="D178" s="1">
        <v>47</v>
      </c>
      <c r="E178" s="1" t="s">
        <v>75</v>
      </c>
      <c r="F178" s="59"/>
      <c r="G178" s="32"/>
      <c r="H178" s="32"/>
    </row>
    <row r="179" spans="1:8" ht="15.75" customHeight="1">
      <c r="A179" s="1">
        <v>20347</v>
      </c>
      <c r="B179" s="2">
        <v>45182.45484953704</v>
      </c>
      <c r="C179" s="1" t="s">
        <v>10</v>
      </c>
      <c r="D179" s="1">
        <v>15</v>
      </c>
      <c r="E179" s="1" t="s">
        <v>75</v>
      </c>
      <c r="F179" s="59"/>
      <c r="G179" s="32"/>
      <c r="H179" s="32"/>
    </row>
    <row r="180" spans="1:8" ht="15.75" customHeight="1">
      <c r="A180" s="1">
        <v>20346</v>
      </c>
      <c r="B180" s="2">
        <v>45182.181631944448</v>
      </c>
      <c r="C180" s="1" t="s">
        <v>10</v>
      </c>
      <c r="D180" s="1">
        <v>40</v>
      </c>
      <c r="E180" s="1" t="s">
        <v>75</v>
      </c>
      <c r="F180" s="59"/>
      <c r="G180" s="32"/>
      <c r="H180" s="32"/>
    </row>
    <row r="181" spans="1:8" ht="15.75" customHeight="1">
      <c r="A181" s="1">
        <v>20345</v>
      </c>
      <c r="B181" s="2">
        <v>45182.148009259261</v>
      </c>
      <c r="C181" s="1" t="s">
        <v>10</v>
      </c>
      <c r="D181" s="1">
        <v>48</v>
      </c>
      <c r="E181" s="1" t="s">
        <v>75</v>
      </c>
      <c r="F181" s="59"/>
      <c r="G181" s="32"/>
      <c r="H181" s="32"/>
    </row>
    <row r="182" spans="1:8" ht="15.75" customHeight="1">
      <c r="A182" s="1">
        <v>20344</v>
      </c>
      <c r="B182" s="2">
        <v>45182.124722222223</v>
      </c>
      <c r="C182" s="1" t="s">
        <v>10</v>
      </c>
      <c r="D182" s="1">
        <v>90</v>
      </c>
      <c r="E182" s="1" t="s">
        <v>75</v>
      </c>
      <c r="F182" s="59"/>
      <c r="G182" s="32"/>
      <c r="H182" s="32"/>
    </row>
    <row r="183" spans="1:8" ht="15.75" customHeight="1">
      <c r="A183" s="1">
        <v>20343</v>
      </c>
      <c r="B183" s="2">
        <v>45182.116273148145</v>
      </c>
      <c r="C183" s="1" t="s">
        <v>10</v>
      </c>
      <c r="D183" s="1">
        <v>46</v>
      </c>
      <c r="E183" s="1" t="s">
        <v>75</v>
      </c>
      <c r="F183" s="59"/>
      <c r="G183" s="32"/>
      <c r="H183" s="32"/>
    </row>
    <row r="184" spans="1:8" ht="15.75" customHeight="1">
      <c r="A184" s="1">
        <v>20342</v>
      </c>
      <c r="B184" s="2">
        <v>45182.109189814815</v>
      </c>
      <c r="C184" s="1" t="s">
        <v>10</v>
      </c>
      <c r="D184" s="1">
        <v>35</v>
      </c>
      <c r="E184" s="1" t="s">
        <v>75</v>
      </c>
      <c r="F184" s="59"/>
      <c r="G184" s="32"/>
      <c r="H184" s="32"/>
    </row>
    <row r="185" spans="1:8" ht="15.75" customHeight="1">
      <c r="A185" s="1">
        <v>20314</v>
      </c>
      <c r="B185" s="2">
        <v>45181.575624999998</v>
      </c>
      <c r="C185" s="1" t="s">
        <v>10</v>
      </c>
      <c r="D185" s="1">
        <v>35</v>
      </c>
      <c r="E185" s="1" t="s">
        <v>75</v>
      </c>
      <c r="F185" s="59"/>
      <c r="G185" s="32"/>
      <c r="H185" s="32"/>
    </row>
    <row r="186" spans="1:8" ht="15.75" customHeight="1">
      <c r="A186" s="1">
        <v>20313</v>
      </c>
      <c r="B186" s="2">
        <v>45181.055208333331</v>
      </c>
      <c r="C186" s="1" t="s">
        <v>10</v>
      </c>
      <c r="D186" s="1">
        <v>25</v>
      </c>
      <c r="E186" s="1" t="s">
        <v>28</v>
      </c>
      <c r="F186" s="59"/>
      <c r="G186" s="32"/>
      <c r="H186" s="32"/>
    </row>
    <row r="187" spans="1:8" ht="15.75" customHeight="1">
      <c r="A187" s="1">
        <v>20312</v>
      </c>
      <c r="B187" s="2">
        <v>45181.035150462965</v>
      </c>
      <c r="C187" s="1" t="s">
        <v>10</v>
      </c>
      <c r="D187" s="1">
        <v>20</v>
      </c>
      <c r="E187" s="1" t="s">
        <v>28</v>
      </c>
      <c r="F187" s="59"/>
      <c r="G187" s="32"/>
      <c r="H187" s="32"/>
    </row>
    <row r="188" spans="1:8" ht="15.75" customHeight="1">
      <c r="A188" s="1">
        <v>20311</v>
      </c>
      <c r="B188" s="2">
        <v>45181.015439814815</v>
      </c>
      <c r="C188" s="1" t="s">
        <v>10</v>
      </c>
      <c r="D188" s="1">
        <v>33</v>
      </c>
      <c r="E188" s="1" t="s">
        <v>28</v>
      </c>
      <c r="F188" s="59"/>
      <c r="G188" s="32"/>
      <c r="H188" s="32"/>
    </row>
    <row r="189" spans="1:8" ht="15.75" customHeight="1">
      <c r="A189" s="1">
        <v>20244</v>
      </c>
      <c r="B189" s="2">
        <v>45179.782777777778</v>
      </c>
      <c r="C189" s="1" t="s">
        <v>10</v>
      </c>
      <c r="D189" s="1">
        <v>1300</v>
      </c>
      <c r="E189" s="1" t="s">
        <v>78</v>
      </c>
      <c r="F189" s="59"/>
      <c r="G189" s="32"/>
      <c r="H189" s="32"/>
    </row>
    <row r="190" spans="1:8" ht="15.75" customHeight="1">
      <c r="A190" s="1">
        <v>20227</v>
      </c>
      <c r="B190" s="2">
        <v>45179.561736111107</v>
      </c>
      <c r="C190" s="1" t="s">
        <v>10</v>
      </c>
      <c r="D190" s="1">
        <v>55</v>
      </c>
      <c r="E190" s="1" t="s">
        <v>74</v>
      </c>
      <c r="F190" s="59"/>
      <c r="G190" s="32"/>
      <c r="H190" s="32"/>
    </row>
    <row r="191" spans="1:8" ht="15.75" customHeight="1">
      <c r="A191" s="1">
        <v>20226</v>
      </c>
      <c r="B191" s="2">
        <v>45179.554259259261</v>
      </c>
      <c r="C191" s="1" t="s">
        <v>10</v>
      </c>
      <c r="D191" s="1">
        <v>40</v>
      </c>
      <c r="E191" s="1" t="s">
        <v>74</v>
      </c>
      <c r="F191" s="59"/>
      <c r="G191" s="32"/>
      <c r="H191" s="32"/>
    </row>
    <row r="192" spans="1:8" ht="15.75" customHeight="1">
      <c r="A192" s="1">
        <v>20214</v>
      </c>
      <c r="B192" s="2">
        <v>45178.680729166663</v>
      </c>
      <c r="C192" s="1" t="s">
        <v>10</v>
      </c>
      <c r="D192" s="1">
        <v>18</v>
      </c>
      <c r="E192" s="1" t="s">
        <v>79</v>
      </c>
      <c r="F192" s="59"/>
      <c r="G192" s="32"/>
      <c r="H192" s="32"/>
    </row>
    <row r="193" spans="1:8" ht="15.75" customHeight="1">
      <c r="A193" s="1">
        <v>20172</v>
      </c>
      <c r="B193" s="2">
        <v>45175.799085648148</v>
      </c>
      <c r="C193" s="1" t="s">
        <v>10</v>
      </c>
      <c r="D193" s="1">
        <v>56</v>
      </c>
      <c r="E193" s="1" t="s">
        <v>28</v>
      </c>
      <c r="F193" s="59"/>
      <c r="G193" s="32"/>
      <c r="H193" s="32"/>
    </row>
    <row r="194" spans="1:8" ht="15.75" customHeight="1">
      <c r="A194" s="1">
        <v>20171</v>
      </c>
      <c r="B194" s="2">
        <v>45175.727141203708</v>
      </c>
      <c r="C194" s="1" t="s">
        <v>10</v>
      </c>
      <c r="D194" s="1">
        <v>57</v>
      </c>
      <c r="E194" s="1" t="s">
        <v>28</v>
      </c>
      <c r="F194" s="59"/>
      <c r="G194" s="32"/>
      <c r="H194" s="32"/>
    </row>
    <row r="195" spans="1:8" ht="15.75" customHeight="1">
      <c r="A195" s="1">
        <v>20161</v>
      </c>
      <c r="B195" s="2">
        <v>45174.14916666667</v>
      </c>
      <c r="C195" s="1" t="s">
        <v>10</v>
      </c>
      <c r="D195" s="1">
        <v>35</v>
      </c>
      <c r="E195" s="1" t="s">
        <v>28</v>
      </c>
      <c r="F195" s="59"/>
      <c r="G195" s="32"/>
      <c r="H195" s="32"/>
    </row>
    <row r="196" spans="1:8" ht="15.75" customHeight="1">
      <c r="A196" s="1">
        <v>20069</v>
      </c>
      <c r="B196" s="2">
        <v>45173.574618055558</v>
      </c>
      <c r="C196" s="1" t="s">
        <v>10</v>
      </c>
      <c r="D196" s="1">
        <v>88</v>
      </c>
      <c r="E196" s="1" t="s">
        <v>28</v>
      </c>
      <c r="F196" s="59"/>
      <c r="G196" s="32"/>
      <c r="H196" s="32"/>
    </row>
    <row r="197" spans="1:8" ht="15.75" customHeight="1">
      <c r="A197" s="1">
        <v>20068</v>
      </c>
      <c r="B197" s="2">
        <v>45173.541539351849</v>
      </c>
      <c r="C197" s="1" t="s">
        <v>10</v>
      </c>
      <c r="D197" s="1">
        <v>15</v>
      </c>
      <c r="E197" s="1" t="s">
        <v>28</v>
      </c>
      <c r="F197" s="59"/>
      <c r="G197" s="32"/>
      <c r="H197" s="32"/>
    </row>
    <row r="198" spans="1:8" ht="15.75" customHeight="1">
      <c r="A198" s="1">
        <v>19991</v>
      </c>
      <c r="B198" s="2">
        <v>45171.741701388892</v>
      </c>
      <c r="C198" s="1" t="s">
        <v>10</v>
      </c>
      <c r="D198" s="1">
        <v>47</v>
      </c>
      <c r="E198" s="1" t="s">
        <v>28</v>
      </c>
      <c r="F198" s="59"/>
      <c r="G198" s="32"/>
      <c r="H198" s="32"/>
    </row>
    <row r="199" spans="1:8" ht="15.75" customHeight="1">
      <c r="A199" s="1">
        <v>19990</v>
      </c>
      <c r="B199" s="2">
        <v>45171.692349537036</v>
      </c>
      <c r="C199" s="1" t="s">
        <v>10</v>
      </c>
      <c r="D199" s="1">
        <v>55</v>
      </c>
      <c r="E199" s="1" t="s">
        <v>28</v>
      </c>
      <c r="F199" s="59"/>
      <c r="G199" s="32"/>
      <c r="H199" s="32"/>
    </row>
    <row r="200" spans="1:8" ht="15.75" customHeight="1">
      <c r="A200" s="1">
        <v>19989</v>
      </c>
      <c r="B200" s="2">
        <v>45171.551666666666</v>
      </c>
      <c r="C200" s="1" t="s">
        <v>10</v>
      </c>
      <c r="D200" s="1">
        <v>25</v>
      </c>
      <c r="E200" s="1" t="s">
        <v>74</v>
      </c>
      <c r="F200" s="59"/>
      <c r="G200" s="32"/>
      <c r="H200" s="32"/>
    </row>
    <row r="201" spans="1:8" ht="15.75" customHeight="1">
      <c r="A201" s="1">
        <v>19931</v>
      </c>
      <c r="B201" s="2">
        <v>45169.172662037032</v>
      </c>
      <c r="C201" s="1" t="s">
        <v>10</v>
      </c>
      <c r="D201" s="1">
        <v>25</v>
      </c>
      <c r="E201" s="1" t="s">
        <v>28</v>
      </c>
      <c r="F201" s="59"/>
      <c r="G201" s="32"/>
      <c r="H201" s="32"/>
    </row>
    <row r="202" spans="1:8" ht="15.75" customHeight="1">
      <c r="A202" s="1">
        <v>19930</v>
      </c>
      <c r="B202" s="2">
        <v>45169.168472222227</v>
      </c>
      <c r="C202" s="1" t="s">
        <v>10</v>
      </c>
      <c r="D202" s="1">
        <v>25</v>
      </c>
      <c r="E202" s="1" t="s">
        <v>28</v>
      </c>
      <c r="F202" s="59"/>
      <c r="G202" s="32"/>
      <c r="H202" s="32"/>
    </row>
    <row r="203" spans="1:8" ht="15.75" customHeight="1">
      <c r="A203" s="1">
        <v>19929</v>
      </c>
      <c r="B203" s="2">
        <v>45168.949560185181</v>
      </c>
      <c r="C203" s="1" t="s">
        <v>10</v>
      </c>
      <c r="D203" s="1">
        <v>25</v>
      </c>
      <c r="E203" s="1" t="s">
        <v>28</v>
      </c>
      <c r="F203" s="59"/>
      <c r="G203" s="32"/>
      <c r="H203" s="32"/>
    </row>
    <row r="204" spans="1:8" ht="15.75" customHeight="1">
      <c r="A204" s="1">
        <v>19899</v>
      </c>
      <c r="B204" s="2">
        <v>45166.029270833329</v>
      </c>
      <c r="C204" s="1" t="s">
        <v>10</v>
      </c>
      <c r="D204" s="1">
        <v>70</v>
      </c>
      <c r="E204" s="1" t="s">
        <v>74</v>
      </c>
      <c r="F204" s="59"/>
      <c r="G204" s="32"/>
      <c r="H204" s="32"/>
    </row>
    <row r="205" spans="1:8" ht="15.75" customHeight="1">
      <c r="A205" s="1">
        <v>19890</v>
      </c>
      <c r="B205" s="2">
        <v>45165.758958333332</v>
      </c>
      <c r="C205" s="1" t="s">
        <v>10</v>
      </c>
      <c r="D205" s="1">
        <v>61</v>
      </c>
      <c r="E205" s="1" t="s">
        <v>74</v>
      </c>
      <c r="F205" s="59"/>
      <c r="G205" s="32"/>
      <c r="H205" s="32"/>
    </row>
    <row r="206" spans="1:8" ht="15.75" customHeight="1">
      <c r="A206" s="1">
        <v>19851</v>
      </c>
      <c r="B206" s="2">
        <v>45164.59480324074</v>
      </c>
      <c r="C206" s="1" t="s">
        <v>10</v>
      </c>
      <c r="D206" s="1">
        <v>25</v>
      </c>
      <c r="E206" s="1" t="s">
        <v>28</v>
      </c>
      <c r="F206" s="59"/>
      <c r="G206" s="32"/>
      <c r="H206" s="32"/>
    </row>
    <row r="207" spans="1:8" ht="15.75" customHeight="1">
      <c r="A207" s="1">
        <v>19850</v>
      </c>
      <c r="B207" s="2">
        <v>45164.592129629629</v>
      </c>
      <c r="C207" s="1" t="s">
        <v>8</v>
      </c>
      <c r="D207" s="1">
        <v>55</v>
      </c>
      <c r="E207" s="1" t="s">
        <v>28</v>
      </c>
      <c r="F207" s="59"/>
      <c r="G207" s="32"/>
      <c r="H207" s="32"/>
    </row>
    <row r="208" spans="1:8" ht="15.75" customHeight="1">
      <c r="A208" s="1">
        <v>19849</v>
      </c>
      <c r="B208" s="2">
        <v>45163.964143518519</v>
      </c>
      <c r="C208" s="1" t="s">
        <v>10</v>
      </c>
      <c r="D208" s="1">
        <v>25</v>
      </c>
      <c r="E208" s="1" t="s">
        <v>74</v>
      </c>
      <c r="F208" s="59"/>
      <c r="G208" s="32"/>
      <c r="H208" s="32"/>
    </row>
    <row r="209" spans="1:8" ht="15.75" customHeight="1">
      <c r="A209" s="1">
        <v>19848</v>
      </c>
      <c r="B209" s="2">
        <v>45163.819178240738</v>
      </c>
      <c r="C209" s="1" t="s">
        <v>10</v>
      </c>
      <c r="D209" s="1">
        <v>51</v>
      </c>
      <c r="E209" s="1" t="s">
        <v>74</v>
      </c>
      <c r="F209" s="59"/>
      <c r="G209" s="32"/>
      <c r="H209" s="32"/>
    </row>
    <row r="210" spans="1:8" ht="15.75" customHeight="1">
      <c r="A210" s="1">
        <v>19784</v>
      </c>
      <c r="B210" s="2">
        <v>45161.103368055556</v>
      </c>
      <c r="C210" s="1" t="s">
        <v>10</v>
      </c>
      <c r="D210" s="1">
        <v>2001</v>
      </c>
      <c r="E210" s="1" t="s">
        <v>28</v>
      </c>
      <c r="F210" s="59"/>
      <c r="G210" s="32"/>
      <c r="H210" s="32"/>
    </row>
    <row r="211" spans="1:8" ht="15.75" customHeight="1">
      <c r="A211" s="1">
        <v>19783</v>
      </c>
      <c r="B211" s="2">
        <v>45161.068252314813</v>
      </c>
      <c r="C211" s="1" t="s">
        <v>10</v>
      </c>
      <c r="D211" s="1">
        <v>52</v>
      </c>
      <c r="E211" s="1" t="s">
        <v>79</v>
      </c>
      <c r="F211" s="59"/>
      <c r="G211" s="32"/>
      <c r="H211" s="32"/>
    </row>
    <row r="212" spans="1:8" ht="15.75" customHeight="1">
      <c r="A212" s="1">
        <v>19782</v>
      </c>
      <c r="B212" s="2">
        <v>45161.044803240744</v>
      </c>
      <c r="C212" s="1" t="s">
        <v>10</v>
      </c>
      <c r="D212" s="1">
        <v>589</v>
      </c>
      <c r="F212" s="59"/>
      <c r="G212" s="32"/>
      <c r="H212" s="32"/>
    </row>
    <row r="213" spans="1:8" ht="15.75" customHeight="1">
      <c r="A213" s="1">
        <v>19627</v>
      </c>
      <c r="B213" s="2">
        <v>45158.66878472222</v>
      </c>
      <c r="C213" s="1" t="s">
        <v>10</v>
      </c>
      <c r="D213" s="1">
        <v>15</v>
      </c>
      <c r="E213" s="1" t="s">
        <v>28</v>
      </c>
      <c r="F213" s="59"/>
      <c r="G213" s="32"/>
      <c r="H213" s="32"/>
    </row>
    <row r="214" spans="1:8" ht="15.75" customHeight="1">
      <c r="A214" s="1">
        <v>19626</v>
      </c>
      <c r="B214" s="2">
        <v>45158.194467592592</v>
      </c>
      <c r="C214" s="1" t="s">
        <v>10</v>
      </c>
      <c r="D214" s="1">
        <v>72</v>
      </c>
      <c r="E214" s="1" t="s">
        <v>28</v>
      </c>
      <c r="F214" s="59"/>
      <c r="G214" s="32"/>
      <c r="H214" s="32"/>
    </row>
    <row r="215" spans="1:8" ht="15.75" customHeight="1">
      <c r="A215" s="1">
        <v>19623</v>
      </c>
      <c r="B215" s="2">
        <v>45157.568657407406</v>
      </c>
      <c r="C215" s="1" t="s">
        <v>10</v>
      </c>
      <c r="D215" s="1">
        <v>41</v>
      </c>
      <c r="E215" s="1" t="s">
        <v>74</v>
      </c>
      <c r="F215" s="59"/>
      <c r="G215" s="32"/>
      <c r="H215" s="32"/>
    </row>
    <row r="216" spans="1:8" ht="15.75" customHeight="1">
      <c r="A216" s="1">
        <v>19621</v>
      </c>
      <c r="B216" s="2">
        <v>45156.963807870372</v>
      </c>
      <c r="C216" s="1" t="s">
        <v>10</v>
      </c>
      <c r="D216" s="1">
        <v>51</v>
      </c>
      <c r="E216" s="1" t="s">
        <v>74</v>
      </c>
      <c r="F216" s="59"/>
      <c r="G216" s="32"/>
      <c r="H216" s="32"/>
    </row>
    <row r="217" spans="1:8" ht="15.75" customHeight="1">
      <c r="A217" s="1">
        <v>19620</v>
      </c>
      <c r="B217" s="2">
        <v>45156.935844907406</v>
      </c>
      <c r="C217" s="1" t="s">
        <v>10</v>
      </c>
      <c r="D217" s="1">
        <v>28</v>
      </c>
      <c r="E217" s="1" t="s">
        <v>74</v>
      </c>
      <c r="F217" s="59"/>
      <c r="G217" s="32"/>
      <c r="H217" s="32"/>
    </row>
    <row r="218" spans="1:8" ht="15.75" customHeight="1">
      <c r="A218" s="1">
        <v>19619</v>
      </c>
      <c r="B218" s="2">
        <v>45156.934108796297</v>
      </c>
      <c r="C218" s="1" t="s">
        <v>10</v>
      </c>
      <c r="D218" s="1">
        <v>28</v>
      </c>
      <c r="E218" s="1" t="s">
        <v>74</v>
      </c>
      <c r="F218" s="59"/>
      <c r="G218" s="32"/>
      <c r="H218" s="32"/>
    </row>
    <row r="219" spans="1:8" ht="15.75" customHeight="1">
      <c r="A219" s="1">
        <v>19618</v>
      </c>
      <c r="B219" s="2">
        <v>45156.899930555555</v>
      </c>
      <c r="C219" s="1" t="s">
        <v>10</v>
      </c>
      <c r="D219" s="1">
        <v>28</v>
      </c>
      <c r="E219" s="1" t="s">
        <v>74</v>
      </c>
      <c r="F219" s="59"/>
      <c r="G219" s="32"/>
      <c r="H219" s="32"/>
    </row>
    <row r="220" spans="1:8" ht="15.75" customHeight="1">
      <c r="A220" s="1">
        <v>19617</v>
      </c>
      <c r="B220" s="2">
        <v>45156.88890046296</v>
      </c>
      <c r="C220" s="1" t="s">
        <v>10</v>
      </c>
      <c r="D220" s="1">
        <v>77</v>
      </c>
      <c r="E220" s="1" t="s">
        <v>74</v>
      </c>
      <c r="F220" s="59"/>
      <c r="G220" s="32"/>
      <c r="H220" s="32"/>
    </row>
    <row r="221" spans="1:8" ht="15.75" customHeight="1">
      <c r="A221" s="1">
        <v>19616</v>
      </c>
      <c r="B221" s="2">
        <v>45156.878634259258</v>
      </c>
      <c r="C221" s="1" t="s">
        <v>10</v>
      </c>
      <c r="D221" s="1">
        <v>20</v>
      </c>
      <c r="E221" s="1" t="s">
        <v>74</v>
      </c>
      <c r="F221" s="59"/>
      <c r="G221" s="32"/>
      <c r="H221" s="32"/>
    </row>
    <row r="222" spans="1:8" ht="15.75" customHeight="1">
      <c r="A222" s="1">
        <v>19615</v>
      </c>
      <c r="B222" s="2">
        <v>45156.877465277779</v>
      </c>
      <c r="C222" s="1" t="s">
        <v>10</v>
      </c>
      <c r="D222" s="1">
        <v>51</v>
      </c>
      <c r="E222" s="1" t="s">
        <v>74</v>
      </c>
      <c r="F222" s="59"/>
      <c r="G222" s="32"/>
      <c r="H222" s="32"/>
    </row>
    <row r="223" spans="1:8" ht="15.75" customHeight="1">
      <c r="A223" s="1">
        <v>19614</v>
      </c>
      <c r="B223" s="2">
        <v>45156.87663194444</v>
      </c>
      <c r="C223" s="1" t="s">
        <v>10</v>
      </c>
      <c r="D223" s="1">
        <v>61</v>
      </c>
      <c r="E223" s="1" t="s">
        <v>74</v>
      </c>
      <c r="F223" s="59"/>
      <c r="G223" s="32"/>
      <c r="H223" s="32"/>
    </row>
    <row r="224" spans="1:8" ht="15.75" customHeight="1">
      <c r="A224" s="1">
        <v>19613</v>
      </c>
      <c r="B224" s="2">
        <v>45156.874710648146</v>
      </c>
      <c r="C224" s="1" t="s">
        <v>10</v>
      </c>
      <c r="D224" s="1">
        <v>28</v>
      </c>
      <c r="E224" s="1" t="s">
        <v>74</v>
      </c>
      <c r="F224" s="59"/>
      <c r="G224" s="32"/>
      <c r="H224" s="32"/>
    </row>
    <row r="225" spans="1:8" ht="15.75" customHeight="1">
      <c r="A225" s="1">
        <v>19612</v>
      </c>
      <c r="B225" s="2">
        <v>45156.873344907406</v>
      </c>
      <c r="C225" s="1" t="s">
        <v>8</v>
      </c>
      <c r="D225" s="1">
        <v>45</v>
      </c>
      <c r="E225" s="1" t="s">
        <v>74</v>
      </c>
      <c r="F225" s="59"/>
      <c r="G225" s="32"/>
      <c r="H225" s="32"/>
    </row>
    <row r="226" spans="1:8" ht="15.75" customHeight="1">
      <c r="A226" s="1">
        <v>19611</v>
      </c>
      <c r="B226" s="2">
        <v>45156.871701388889</v>
      </c>
      <c r="C226" s="1" t="s">
        <v>8</v>
      </c>
      <c r="D226" s="1">
        <v>25</v>
      </c>
      <c r="E226" s="1" t="s">
        <v>74</v>
      </c>
      <c r="F226" s="59"/>
      <c r="G226" s="32"/>
      <c r="H226" s="32"/>
    </row>
    <row r="227" spans="1:8" ht="15.75" customHeight="1">
      <c r="A227" s="1">
        <v>19610</v>
      </c>
      <c r="B227" s="2">
        <v>45156.871307870373</v>
      </c>
      <c r="C227" s="1" t="s">
        <v>10</v>
      </c>
      <c r="D227" s="1">
        <v>35</v>
      </c>
      <c r="E227" s="1" t="s">
        <v>74</v>
      </c>
      <c r="F227" s="59"/>
      <c r="G227" s="32"/>
      <c r="H227" s="32"/>
    </row>
    <row r="228" spans="1:8" ht="15.75" customHeight="1">
      <c r="A228" s="1">
        <v>19609</v>
      </c>
      <c r="B228" s="2">
        <v>45156.871168981481</v>
      </c>
      <c r="C228" s="1" t="s">
        <v>10</v>
      </c>
      <c r="D228" s="1">
        <v>60</v>
      </c>
      <c r="E228" s="1" t="s">
        <v>74</v>
      </c>
      <c r="F228" s="59"/>
      <c r="G228" s="32"/>
      <c r="H228" s="32"/>
    </row>
    <row r="229" spans="1:8" ht="15.75" customHeight="1">
      <c r="A229" s="1">
        <v>19608</v>
      </c>
      <c r="B229" s="2">
        <v>45156.862476851849</v>
      </c>
      <c r="C229" s="1" t="s">
        <v>10</v>
      </c>
      <c r="D229" s="1">
        <v>51</v>
      </c>
      <c r="E229" s="1" t="s">
        <v>74</v>
      </c>
      <c r="F229" s="59"/>
      <c r="G229" s="32"/>
      <c r="H229" s="32"/>
    </row>
    <row r="230" spans="1:8" ht="15.75" customHeight="1">
      <c r="A230" s="1">
        <v>19607</v>
      </c>
      <c r="B230" s="2">
        <v>45156.829907407402</v>
      </c>
      <c r="C230" s="1" t="s">
        <v>10</v>
      </c>
      <c r="D230" s="1">
        <v>22</v>
      </c>
      <c r="E230" s="1" t="s">
        <v>28</v>
      </c>
      <c r="F230" s="59"/>
      <c r="G230" s="32"/>
      <c r="H230" s="32"/>
    </row>
    <row r="231" spans="1:8" ht="15.75" customHeight="1">
      <c r="A231" s="1">
        <v>19606</v>
      </c>
      <c r="B231" s="2">
        <v>45156.828715277778</v>
      </c>
      <c r="C231" s="1" t="s">
        <v>10</v>
      </c>
      <c r="D231" s="1">
        <v>22</v>
      </c>
      <c r="E231" s="1" t="s">
        <v>28</v>
      </c>
      <c r="F231" s="59"/>
      <c r="G231" s="32"/>
      <c r="H231" s="32"/>
    </row>
    <row r="232" spans="1:8" ht="15.75" customHeight="1">
      <c r="A232" s="1">
        <v>19605</v>
      </c>
      <c r="B232" s="2">
        <v>45156.827349537038</v>
      </c>
      <c r="C232" s="1" t="s">
        <v>10</v>
      </c>
      <c r="D232" s="1">
        <v>22</v>
      </c>
      <c r="E232" s="1" t="s">
        <v>28</v>
      </c>
      <c r="F232" s="59"/>
      <c r="G232" s="32"/>
      <c r="H232" s="32"/>
    </row>
    <row r="233" spans="1:8" ht="15.75" customHeight="1">
      <c r="A233" s="1">
        <v>19604</v>
      </c>
      <c r="B233" s="2">
        <v>45156.823888888888</v>
      </c>
      <c r="C233" s="1" t="s">
        <v>10</v>
      </c>
      <c r="D233" s="1">
        <v>25</v>
      </c>
      <c r="E233" s="1" t="s">
        <v>74</v>
      </c>
      <c r="F233" s="59"/>
      <c r="G233" s="32"/>
      <c r="H233" s="32"/>
    </row>
    <row r="234" spans="1:8" ht="15.75" customHeight="1">
      <c r="A234" s="1">
        <v>19603</v>
      </c>
      <c r="B234" s="2">
        <v>45156.743680555555</v>
      </c>
      <c r="C234" s="1" t="s">
        <v>10</v>
      </c>
      <c r="D234" s="1">
        <v>25</v>
      </c>
      <c r="E234" s="1" t="s">
        <v>74</v>
      </c>
      <c r="F234" s="59"/>
      <c r="G234" s="32"/>
      <c r="H234" s="32"/>
    </row>
    <row r="235" spans="1:8" ht="15.75" customHeight="1">
      <c r="A235" s="1">
        <v>19602</v>
      </c>
      <c r="B235" s="2">
        <v>45156.717442129629</v>
      </c>
      <c r="C235" s="1" t="s">
        <v>10</v>
      </c>
      <c r="D235" s="1">
        <v>0</v>
      </c>
      <c r="E235" s="1" t="s">
        <v>74</v>
      </c>
      <c r="F235" s="59"/>
      <c r="G235" s="32"/>
      <c r="H235" s="32"/>
    </row>
    <row r="236" spans="1:8" ht="15.75" customHeight="1">
      <c r="A236" s="1">
        <v>19601</v>
      </c>
      <c r="B236" s="2">
        <v>45156.715555555551</v>
      </c>
      <c r="C236" s="1" t="s">
        <v>10</v>
      </c>
      <c r="D236" s="1">
        <v>54</v>
      </c>
      <c r="E236" s="1" t="s">
        <v>74</v>
      </c>
      <c r="F236" s="59"/>
      <c r="G236" s="32"/>
      <c r="H236" s="32"/>
    </row>
    <row r="237" spans="1:8" ht="15.75" customHeight="1">
      <c r="A237" s="1">
        <v>19600</v>
      </c>
      <c r="B237" s="2">
        <v>45156.714895833335</v>
      </c>
      <c r="C237" s="1" t="s">
        <v>10</v>
      </c>
      <c r="D237" s="1">
        <v>63</v>
      </c>
      <c r="E237" s="1" t="s">
        <v>74</v>
      </c>
      <c r="F237" s="59"/>
      <c r="G237" s="32"/>
      <c r="H237" s="32"/>
    </row>
    <row r="238" spans="1:8" ht="15.75" customHeight="1">
      <c r="A238" s="1">
        <v>19599</v>
      </c>
      <c r="B238" s="2">
        <v>45156.712789351848</v>
      </c>
      <c r="C238" s="1" t="s">
        <v>10</v>
      </c>
      <c r="D238" s="1">
        <v>0</v>
      </c>
      <c r="E238" s="1" t="s">
        <v>74</v>
      </c>
      <c r="F238" s="59"/>
      <c r="G238" s="32"/>
      <c r="H238" s="32"/>
    </row>
    <row r="239" spans="1:8" ht="15.75" customHeight="1">
      <c r="A239" s="1">
        <v>19598</v>
      </c>
      <c r="B239" s="2">
        <v>45156.711875000001</v>
      </c>
      <c r="C239" s="1" t="s">
        <v>10</v>
      </c>
      <c r="D239" s="1">
        <v>63</v>
      </c>
      <c r="E239" s="1" t="s">
        <v>74</v>
      </c>
      <c r="F239" s="59"/>
      <c r="G239" s="32"/>
      <c r="H239" s="32"/>
    </row>
    <row r="240" spans="1:8" ht="15.75" customHeight="1">
      <c r="A240" s="1">
        <v>19597</v>
      </c>
      <c r="B240" s="2">
        <v>45156.606736111113</v>
      </c>
      <c r="C240" s="1" t="s">
        <v>10</v>
      </c>
      <c r="D240" s="1">
        <v>25</v>
      </c>
      <c r="E240" s="1" t="s">
        <v>74</v>
      </c>
      <c r="F240" s="59"/>
      <c r="G240" s="32"/>
      <c r="H240" s="32"/>
    </row>
    <row r="241" spans="1:8" ht="15.75" customHeight="1">
      <c r="A241" s="1">
        <v>19596</v>
      </c>
      <c r="B241" s="2">
        <v>45156.549907407403</v>
      </c>
      <c r="C241" s="1" t="s">
        <v>10</v>
      </c>
      <c r="D241" s="1">
        <v>25</v>
      </c>
      <c r="E241" s="1" t="s">
        <v>74</v>
      </c>
      <c r="F241" s="59"/>
      <c r="G241" s="32"/>
      <c r="H241" s="32"/>
    </row>
    <row r="242" spans="1:8" ht="15.75" customHeight="1">
      <c r="A242" s="1">
        <v>19595</v>
      </c>
      <c r="B242" s="2">
        <v>45156.479201388887</v>
      </c>
      <c r="C242" s="1" t="s">
        <v>10</v>
      </c>
      <c r="D242" s="1">
        <v>35</v>
      </c>
      <c r="E242" s="1" t="s">
        <v>28</v>
      </c>
      <c r="F242" s="59"/>
      <c r="G242" s="32"/>
      <c r="H242" s="32"/>
    </row>
    <row r="243" spans="1:8" ht="15.75" customHeight="1">
      <c r="A243" s="1">
        <v>19594</v>
      </c>
      <c r="B243" s="2">
        <v>45155.864293981482</v>
      </c>
      <c r="C243" s="1" t="s">
        <v>10</v>
      </c>
      <c r="D243" s="1">
        <v>40</v>
      </c>
      <c r="E243" s="1" t="s">
        <v>79</v>
      </c>
      <c r="F243" s="59"/>
      <c r="G243" s="32"/>
      <c r="H243" s="32"/>
    </row>
    <row r="244" spans="1:8" ht="15.75" customHeight="1">
      <c r="A244" s="1">
        <v>19593</v>
      </c>
      <c r="B244" s="2">
        <v>45155.750069444446</v>
      </c>
      <c r="C244" s="1" t="s">
        <v>10</v>
      </c>
      <c r="D244" s="1">
        <v>84</v>
      </c>
      <c r="E244" s="1" t="s">
        <v>74</v>
      </c>
      <c r="F244" s="59"/>
      <c r="G244" s="32"/>
      <c r="H244" s="32"/>
    </row>
    <row r="245" spans="1:8" ht="15.75" customHeight="1">
      <c r="A245" s="1">
        <v>19592</v>
      </c>
      <c r="B245" s="2">
        <v>45155.746076388888</v>
      </c>
      <c r="C245" s="1" t="s">
        <v>10</v>
      </c>
      <c r="D245" s="1">
        <v>48</v>
      </c>
      <c r="E245" s="1" t="s">
        <v>28</v>
      </c>
      <c r="F245" s="59"/>
      <c r="G245" s="32"/>
      <c r="H245" s="32"/>
    </row>
    <row r="246" spans="1:8" ht="15.75" customHeight="1">
      <c r="A246" s="1">
        <v>19591</v>
      </c>
      <c r="B246" s="2">
        <v>45155.451226851852</v>
      </c>
      <c r="C246" s="1" t="s">
        <v>10</v>
      </c>
      <c r="D246" s="1">
        <v>35</v>
      </c>
      <c r="E246" s="1" t="s">
        <v>74</v>
      </c>
      <c r="F246" s="59"/>
      <c r="G246" s="32"/>
      <c r="H246" s="32"/>
    </row>
    <row r="247" spans="1:8" ht="15.75" customHeight="1">
      <c r="A247" s="1">
        <v>19589</v>
      </c>
      <c r="B247" s="2">
        <v>45154.632303240738</v>
      </c>
      <c r="C247" s="1" t="s">
        <v>10</v>
      </c>
      <c r="D247" s="1">
        <v>25</v>
      </c>
      <c r="E247" s="1" t="s">
        <v>28</v>
      </c>
      <c r="F247" s="59"/>
      <c r="G247" s="32"/>
      <c r="H247" s="32"/>
    </row>
    <row r="248" spans="1:8" ht="15.75" customHeight="1">
      <c r="A248" s="1">
        <v>19588</v>
      </c>
      <c r="B248" s="2">
        <v>45154.630405092597</v>
      </c>
      <c r="C248" s="1" t="s">
        <v>10</v>
      </c>
      <c r="D248" s="1">
        <v>25</v>
      </c>
      <c r="E248" s="1" t="s">
        <v>28</v>
      </c>
      <c r="F248" s="59"/>
      <c r="G248" s="32"/>
      <c r="H248" s="32"/>
    </row>
    <row r="249" spans="1:8" ht="15.75" customHeight="1">
      <c r="A249" s="1">
        <v>19587</v>
      </c>
      <c r="B249" s="2">
        <v>45154.539895833332</v>
      </c>
      <c r="C249" s="1" t="s">
        <v>10</v>
      </c>
      <c r="D249" s="1">
        <v>25</v>
      </c>
      <c r="E249" s="1" t="s">
        <v>74</v>
      </c>
      <c r="F249" s="59"/>
      <c r="G249" s="32"/>
      <c r="H249" s="32"/>
    </row>
    <row r="250" spans="1:8" ht="15.75" customHeight="1">
      <c r="A250" s="1">
        <v>19586</v>
      </c>
      <c r="B250" s="2">
        <v>45154.536261574074</v>
      </c>
      <c r="C250" s="1" t="s">
        <v>10</v>
      </c>
      <c r="D250" s="1">
        <v>25</v>
      </c>
      <c r="E250" s="1" t="s">
        <v>74</v>
      </c>
      <c r="F250" s="59"/>
      <c r="G250" s="32"/>
      <c r="H250" s="32"/>
    </row>
    <row r="251" spans="1:8" ht="15.75" customHeight="1">
      <c r="A251" s="1">
        <v>19584</v>
      </c>
      <c r="B251" s="2">
        <v>45153.928703703699</v>
      </c>
      <c r="C251" s="1" t="s">
        <v>10</v>
      </c>
      <c r="D251" s="1">
        <v>15</v>
      </c>
      <c r="E251" s="1" t="s">
        <v>28</v>
      </c>
      <c r="F251" s="59"/>
      <c r="G251" s="32"/>
      <c r="H251" s="32"/>
    </row>
    <row r="252" spans="1:8" ht="15.75" customHeight="1">
      <c r="A252" s="1">
        <v>19583</v>
      </c>
      <c r="B252" s="2">
        <v>45153.679884259254</v>
      </c>
      <c r="C252" s="1" t="s">
        <v>10</v>
      </c>
      <c r="D252" s="1">
        <v>43</v>
      </c>
      <c r="E252" s="1" t="s">
        <v>28</v>
      </c>
      <c r="F252" s="59"/>
      <c r="G252" s="32"/>
      <c r="H252" s="32"/>
    </row>
    <row r="253" spans="1:8" ht="15.75" customHeight="1">
      <c r="A253" s="1">
        <v>19582</v>
      </c>
      <c r="B253" s="2">
        <v>45153.659722222219</v>
      </c>
      <c r="C253" s="1" t="s">
        <v>10</v>
      </c>
      <c r="D253" s="1">
        <v>25</v>
      </c>
      <c r="E253" s="1" t="s">
        <v>28</v>
      </c>
      <c r="F253" s="59"/>
      <c r="G253" s="32"/>
      <c r="H253" s="32"/>
    </row>
    <row r="254" spans="1:8" ht="15.75" customHeight="1">
      <c r="A254" s="1">
        <v>19581</v>
      </c>
      <c r="B254" s="2">
        <v>45153.558969907404</v>
      </c>
      <c r="C254" s="1" t="s">
        <v>10</v>
      </c>
      <c r="D254" s="1">
        <v>25</v>
      </c>
      <c r="E254" s="1" t="s">
        <v>80</v>
      </c>
      <c r="F254" s="59"/>
      <c r="G254" s="32"/>
      <c r="H254" s="32"/>
    </row>
    <row r="255" spans="1:8" ht="15.75" customHeight="1">
      <c r="A255" s="1">
        <v>19580</v>
      </c>
      <c r="B255" s="2">
        <v>45153.557708333334</v>
      </c>
      <c r="C255" s="1" t="s">
        <v>10</v>
      </c>
      <c r="D255" s="1">
        <v>25</v>
      </c>
      <c r="E255" s="1" t="s">
        <v>80</v>
      </c>
      <c r="F255" s="59"/>
      <c r="G255" s="32"/>
      <c r="H255" s="32"/>
    </row>
    <row r="256" spans="1:8" ht="15.75" customHeight="1">
      <c r="A256" s="1">
        <v>19579</v>
      </c>
      <c r="B256" s="2">
        <v>45153.553807870368</v>
      </c>
      <c r="C256" s="1" t="s">
        <v>10</v>
      </c>
      <c r="D256" s="1">
        <v>15</v>
      </c>
      <c r="E256" s="1" t="s">
        <v>28</v>
      </c>
      <c r="F256" s="59"/>
      <c r="G256" s="32"/>
      <c r="H256" s="32"/>
    </row>
    <row r="257" spans="1:8" ht="15.75" customHeight="1">
      <c r="A257" s="1">
        <v>19578</v>
      </c>
      <c r="B257" s="2">
        <v>45153.546990740739</v>
      </c>
      <c r="C257" s="1" t="s">
        <v>10</v>
      </c>
      <c r="D257" s="1">
        <v>15</v>
      </c>
      <c r="E257" s="1" t="s">
        <v>28</v>
      </c>
      <c r="F257" s="59"/>
      <c r="G257" s="32"/>
      <c r="H257" s="32"/>
    </row>
    <row r="258" spans="1:8" ht="15.75" customHeight="1">
      <c r="A258" s="1">
        <v>19577</v>
      </c>
      <c r="B258" s="2">
        <v>45153.546261574069</v>
      </c>
      <c r="C258" s="1" t="s">
        <v>10</v>
      </c>
      <c r="D258" s="1">
        <v>25</v>
      </c>
      <c r="E258" s="1" t="s">
        <v>28</v>
      </c>
      <c r="F258" s="59"/>
      <c r="G258" s="32"/>
      <c r="H258" s="32"/>
    </row>
    <row r="259" spans="1:8" ht="15.75" customHeight="1">
      <c r="A259" s="1">
        <v>19576</v>
      </c>
      <c r="B259" s="2">
        <v>45153.544317129628</v>
      </c>
      <c r="C259" s="1" t="s">
        <v>10</v>
      </c>
      <c r="D259" s="1">
        <v>15</v>
      </c>
      <c r="E259" s="1" t="s">
        <v>28</v>
      </c>
      <c r="F259" s="59"/>
      <c r="G259" s="32"/>
      <c r="H259" s="32"/>
    </row>
    <row r="260" spans="1:8" ht="15.75" customHeight="1">
      <c r="A260" s="1">
        <v>19575</v>
      </c>
      <c r="B260" s="2">
        <v>45153.530648148153</v>
      </c>
      <c r="C260" s="1" t="s">
        <v>10</v>
      </c>
      <c r="D260" s="1">
        <v>25</v>
      </c>
      <c r="E260" s="1" t="s">
        <v>28</v>
      </c>
      <c r="F260" s="59"/>
      <c r="G260" s="32"/>
      <c r="H260" s="32"/>
    </row>
    <row r="261" spans="1:8" ht="15.75" customHeight="1">
      <c r="A261" s="1">
        <v>19574</v>
      </c>
      <c r="B261" s="2">
        <v>45153.529965277776</v>
      </c>
      <c r="C261" s="1" t="s">
        <v>10</v>
      </c>
      <c r="D261" s="1">
        <v>25</v>
      </c>
      <c r="E261" s="1" t="s">
        <v>28</v>
      </c>
      <c r="F261" s="59"/>
      <c r="G261" s="32"/>
      <c r="H261" s="32"/>
    </row>
    <row r="262" spans="1:8" ht="15.75" customHeight="1">
      <c r="A262" s="1">
        <v>19573</v>
      </c>
      <c r="B262" s="2">
        <v>45153.519027777773</v>
      </c>
      <c r="C262" s="1" t="s">
        <v>10</v>
      </c>
      <c r="D262" s="1">
        <v>35</v>
      </c>
      <c r="E262" s="1" t="s">
        <v>28</v>
      </c>
      <c r="F262" s="59"/>
      <c r="G262" s="32"/>
      <c r="H262" s="32"/>
    </row>
    <row r="263" spans="1:8" ht="15.75" customHeight="1">
      <c r="A263" s="1">
        <v>19572</v>
      </c>
      <c r="B263" s="2">
        <v>45153.494687500002</v>
      </c>
      <c r="C263" s="1" t="s">
        <v>10</v>
      </c>
      <c r="D263" s="1">
        <v>25</v>
      </c>
      <c r="E263" s="1" t="s">
        <v>28</v>
      </c>
      <c r="F263" s="59"/>
      <c r="G263" s="32"/>
      <c r="H263" s="32"/>
    </row>
    <row r="264" spans="1:8" ht="15.75" customHeight="1">
      <c r="A264" s="1">
        <v>19571</v>
      </c>
      <c r="B264" s="2">
        <v>45153.115439814814</v>
      </c>
      <c r="C264" s="1" t="s">
        <v>10</v>
      </c>
      <c r="D264" s="1">
        <v>35</v>
      </c>
      <c r="E264" s="1" t="s">
        <v>28</v>
      </c>
      <c r="F264" s="59"/>
      <c r="G264" s="32"/>
      <c r="H264" s="32"/>
    </row>
    <row r="265" spans="1:8" ht="15.75" customHeight="1">
      <c r="A265" s="1">
        <v>19570</v>
      </c>
      <c r="B265" s="2">
        <v>45153.095590277779</v>
      </c>
      <c r="C265" s="1" t="s">
        <v>10</v>
      </c>
      <c r="D265" s="1">
        <v>45</v>
      </c>
      <c r="E265" s="1" t="s">
        <v>28</v>
      </c>
      <c r="F265" s="59"/>
      <c r="G265" s="32"/>
      <c r="H265" s="32"/>
    </row>
    <row r="266" spans="1:8" ht="15.75" customHeight="1">
      <c r="A266" s="1">
        <v>19569</v>
      </c>
      <c r="B266" s="2">
        <v>45152.844583333332</v>
      </c>
      <c r="C266" s="1" t="s">
        <v>10</v>
      </c>
      <c r="D266" s="1">
        <v>28</v>
      </c>
      <c r="E266" s="1" t="s">
        <v>28</v>
      </c>
      <c r="F266" s="59"/>
      <c r="G266" s="32"/>
      <c r="H266" s="32"/>
    </row>
    <row r="267" spans="1:8" ht="15.75" customHeight="1">
      <c r="A267" s="1">
        <v>19568</v>
      </c>
      <c r="B267" s="2">
        <v>45152.020358796297</v>
      </c>
      <c r="C267" s="1" t="s">
        <v>10</v>
      </c>
      <c r="D267" s="1">
        <v>25</v>
      </c>
      <c r="E267" s="1" t="s">
        <v>28</v>
      </c>
      <c r="F267" s="59"/>
      <c r="G267" s="32"/>
      <c r="H267" s="32"/>
    </row>
    <row r="268" spans="1:8" ht="15.75" customHeight="1">
      <c r="A268" s="1">
        <v>19567</v>
      </c>
      <c r="B268" s="2">
        <v>45151.685162037036</v>
      </c>
      <c r="C268" s="1" t="s">
        <v>10</v>
      </c>
      <c r="D268" s="1">
        <v>45</v>
      </c>
      <c r="E268" s="1" t="s">
        <v>28</v>
      </c>
      <c r="F268" s="59"/>
      <c r="G268" s="32"/>
      <c r="H268" s="32"/>
    </row>
    <row r="269" spans="1:8" ht="15.75" customHeight="1">
      <c r="A269" s="1">
        <v>19566</v>
      </c>
      <c r="B269" s="2">
        <v>45151.679907407408</v>
      </c>
      <c r="C269" s="1" t="s">
        <v>10</v>
      </c>
      <c r="D269" s="1">
        <v>45</v>
      </c>
      <c r="E269" s="1" t="s">
        <v>28</v>
      </c>
      <c r="F269" s="59"/>
      <c r="G269" s="32"/>
      <c r="H269" s="32"/>
    </row>
    <row r="270" spans="1:8" ht="15.75" customHeight="1">
      <c r="A270" s="1">
        <v>19565</v>
      </c>
      <c r="B270" s="2">
        <v>45151.576192129629</v>
      </c>
      <c r="C270" s="1" t="s">
        <v>10</v>
      </c>
      <c r="D270" s="1">
        <v>63</v>
      </c>
      <c r="E270" s="1" t="s">
        <v>28</v>
      </c>
      <c r="F270" s="59"/>
      <c r="G270" s="32"/>
      <c r="H270" s="32"/>
    </row>
    <row r="271" spans="1:8" ht="15.75" customHeight="1">
      <c r="A271" s="1">
        <v>19564</v>
      </c>
      <c r="B271" s="2">
        <v>45151.572696759264</v>
      </c>
      <c r="C271" s="1" t="s">
        <v>10</v>
      </c>
      <c r="D271" s="1">
        <v>63</v>
      </c>
      <c r="E271" s="1" t="s">
        <v>28</v>
      </c>
      <c r="F271" s="59"/>
      <c r="G271" s="32"/>
      <c r="H271" s="32"/>
    </row>
    <row r="272" spans="1:8" ht="15.75" customHeight="1">
      <c r="A272" s="1">
        <v>19563</v>
      </c>
      <c r="B272" s="2">
        <v>45150.916018518517</v>
      </c>
      <c r="C272" s="1" t="s">
        <v>10</v>
      </c>
      <c r="D272" s="1">
        <v>25</v>
      </c>
      <c r="E272" s="1" t="s">
        <v>28</v>
      </c>
      <c r="F272" s="59"/>
      <c r="G272" s="32"/>
      <c r="H272" s="32"/>
    </row>
    <row r="273" spans="1:8" ht="15.75" customHeight="1">
      <c r="A273" s="1">
        <v>19562</v>
      </c>
      <c r="B273" s="2">
        <v>45150.666805555556</v>
      </c>
      <c r="C273" s="1" t="s">
        <v>10</v>
      </c>
      <c r="D273" s="1">
        <v>132</v>
      </c>
      <c r="E273" s="1" t="s">
        <v>28</v>
      </c>
      <c r="F273" s="59"/>
      <c r="G273" s="32"/>
      <c r="H273" s="32"/>
    </row>
    <row r="274" spans="1:8" ht="15.75" customHeight="1">
      <c r="A274" s="1">
        <v>19561</v>
      </c>
      <c r="B274" s="2">
        <v>45150.120624999996</v>
      </c>
      <c r="C274" s="1" t="s">
        <v>10</v>
      </c>
      <c r="D274" s="1">
        <v>20</v>
      </c>
      <c r="E274" s="1" t="s">
        <v>28</v>
      </c>
      <c r="F274" s="59"/>
      <c r="G274" s="32"/>
      <c r="H274" s="32"/>
    </row>
    <row r="275" spans="1:8" ht="15.75" customHeight="1">
      <c r="A275" s="1">
        <v>19560</v>
      </c>
      <c r="B275" s="2">
        <v>45150.117604166662</v>
      </c>
      <c r="C275" s="1" t="s">
        <v>8</v>
      </c>
      <c r="D275" s="1">
        <v>20</v>
      </c>
      <c r="E275" s="1" t="s">
        <v>28</v>
      </c>
      <c r="F275" s="59"/>
      <c r="G275" s="32"/>
      <c r="H275" s="32"/>
    </row>
    <row r="276" spans="1:8" ht="15.75" customHeight="1">
      <c r="A276" s="1">
        <v>19559</v>
      </c>
      <c r="B276" s="2">
        <v>45149.944456018522</v>
      </c>
      <c r="C276" s="1" t="s">
        <v>10</v>
      </c>
      <c r="D276" s="1">
        <v>20</v>
      </c>
      <c r="E276" s="1" t="s">
        <v>28</v>
      </c>
      <c r="F276" s="59"/>
      <c r="G276" s="32"/>
      <c r="H276" s="32"/>
    </row>
    <row r="277" spans="1:8" ht="15.75" customHeight="1">
      <c r="A277" s="1">
        <v>19558</v>
      </c>
      <c r="B277" s="2">
        <v>45149.941747685181</v>
      </c>
      <c r="C277" s="1" t="s">
        <v>10</v>
      </c>
      <c r="D277" s="1">
        <v>35</v>
      </c>
      <c r="E277" s="1" t="s">
        <v>28</v>
      </c>
      <c r="F277" s="59"/>
      <c r="G277" s="32"/>
      <c r="H277" s="32"/>
    </row>
    <row r="278" spans="1:8" ht="15.75" customHeight="1">
      <c r="A278" s="1">
        <v>19551</v>
      </c>
      <c r="B278" s="2">
        <v>45149.666446759264</v>
      </c>
      <c r="C278" s="1" t="s">
        <v>10</v>
      </c>
      <c r="D278" s="1">
        <v>35</v>
      </c>
      <c r="E278" s="1" t="s">
        <v>28</v>
      </c>
      <c r="F278" s="59"/>
      <c r="G278" s="32"/>
      <c r="H278" s="32"/>
    </row>
    <row r="279" spans="1:8" ht="15.75" customHeight="1">
      <c r="A279" s="1">
        <v>19548</v>
      </c>
      <c r="B279" s="2">
        <v>45148.804201388892</v>
      </c>
      <c r="C279" s="1" t="s">
        <v>10</v>
      </c>
      <c r="D279" s="1">
        <v>28</v>
      </c>
      <c r="E279" s="1" t="s">
        <v>28</v>
      </c>
      <c r="F279" s="59"/>
      <c r="G279" s="32"/>
      <c r="H279" s="32"/>
    </row>
    <row r="280" spans="1:8" ht="15.75" customHeight="1">
      <c r="A280" s="1">
        <v>19547</v>
      </c>
      <c r="B280" s="2">
        <v>45148.115393518514</v>
      </c>
      <c r="C280" s="1" t="s">
        <v>10</v>
      </c>
      <c r="D280" s="1">
        <v>28</v>
      </c>
      <c r="E280" s="1" t="s">
        <v>59</v>
      </c>
      <c r="F280" s="59"/>
      <c r="G280" s="32"/>
      <c r="H280" s="32"/>
    </row>
    <row r="281" spans="1:8" ht="15.75" customHeight="1">
      <c r="A281" s="1">
        <v>19546</v>
      </c>
      <c r="B281" s="2">
        <v>45148.019583333335</v>
      </c>
      <c r="C281" s="1" t="s">
        <v>10</v>
      </c>
      <c r="D281" s="1">
        <v>20</v>
      </c>
      <c r="E281" s="1" t="s">
        <v>28</v>
      </c>
      <c r="F281" s="59"/>
      <c r="G281" s="32"/>
      <c r="H281" s="32"/>
    </row>
    <row r="282" spans="1:8" ht="15.75" customHeight="1">
      <c r="A282" s="1">
        <v>19545</v>
      </c>
      <c r="B282" s="2">
        <v>45147.953263888892</v>
      </c>
      <c r="C282" s="1" t="s">
        <v>10</v>
      </c>
      <c r="D282" s="1">
        <v>25</v>
      </c>
      <c r="E282" s="1" t="s">
        <v>28</v>
      </c>
      <c r="F282" s="59"/>
      <c r="G282" s="32"/>
      <c r="H282" s="32"/>
    </row>
    <row r="283" spans="1:8" ht="15.75" customHeight="1">
      <c r="A283" s="1">
        <v>19544</v>
      </c>
      <c r="B283" s="2">
        <v>45147.932152777779</v>
      </c>
      <c r="C283" s="1" t="s">
        <v>10</v>
      </c>
      <c r="D283" s="1">
        <v>45</v>
      </c>
      <c r="E283" s="1" t="s">
        <v>28</v>
      </c>
      <c r="F283" s="59"/>
      <c r="G283" s="32"/>
      <c r="H283" s="32"/>
    </row>
    <row r="284" spans="1:8" ht="15.75" customHeight="1">
      <c r="A284" s="1">
        <v>19543</v>
      </c>
      <c r="B284" s="2">
        <v>45147.609467592592</v>
      </c>
      <c r="C284" s="1" t="s">
        <v>10</v>
      </c>
      <c r="D284" s="1">
        <v>30</v>
      </c>
      <c r="E284" s="1" t="s">
        <v>28</v>
      </c>
      <c r="F284" s="59"/>
      <c r="G284" s="32"/>
      <c r="H284" s="32"/>
    </row>
    <row r="285" spans="1:8" ht="15.75" customHeight="1">
      <c r="A285" s="1">
        <v>19542</v>
      </c>
      <c r="B285" s="2">
        <v>45147.607858796298</v>
      </c>
      <c r="C285" s="1" t="s">
        <v>10</v>
      </c>
      <c r="D285" s="1">
        <v>30</v>
      </c>
      <c r="E285" s="1" t="s">
        <v>28</v>
      </c>
      <c r="F285" s="59"/>
      <c r="G285" s="32"/>
      <c r="H285" s="32"/>
    </row>
    <row r="286" spans="1:8" ht="15.75" customHeight="1">
      <c r="A286" s="1">
        <v>19541</v>
      </c>
      <c r="B286" s="2">
        <v>45146.706921296296</v>
      </c>
      <c r="C286" s="1" t="s">
        <v>8</v>
      </c>
      <c r="D286" s="1">
        <v>20</v>
      </c>
      <c r="E286" s="1" t="s">
        <v>28</v>
      </c>
      <c r="F286" s="59"/>
      <c r="G286" s="32"/>
      <c r="H286" s="32"/>
    </row>
    <row r="287" spans="1:8" ht="15.75" customHeight="1">
      <c r="A287" s="1">
        <v>19540</v>
      </c>
      <c r="B287" s="2">
        <v>45146.168599537035</v>
      </c>
      <c r="C287" s="1" t="s">
        <v>10</v>
      </c>
      <c r="D287" s="1">
        <v>35</v>
      </c>
      <c r="E287" s="1" t="s">
        <v>28</v>
      </c>
      <c r="F287" s="59"/>
      <c r="G287" s="32"/>
      <c r="H287" s="32"/>
    </row>
    <row r="288" spans="1:8" ht="15.75" customHeight="1">
      <c r="A288" s="1">
        <v>19539</v>
      </c>
      <c r="B288" s="2">
        <v>45146.166863425926</v>
      </c>
      <c r="C288" s="1" t="s">
        <v>10</v>
      </c>
      <c r="D288" s="1">
        <v>55</v>
      </c>
      <c r="E288" s="1" t="s">
        <v>28</v>
      </c>
      <c r="F288" s="59"/>
      <c r="G288" s="32"/>
      <c r="H288" s="32"/>
    </row>
    <row r="289" spans="1:8" ht="15.75" customHeight="1">
      <c r="A289" s="1">
        <v>19536</v>
      </c>
      <c r="B289" s="2">
        <v>45144.542719907404</v>
      </c>
      <c r="C289" s="1" t="s">
        <v>10</v>
      </c>
      <c r="D289" s="1">
        <v>25</v>
      </c>
      <c r="E289" s="1" t="s">
        <v>28</v>
      </c>
      <c r="F289" s="59"/>
      <c r="G289" s="32"/>
      <c r="H289" s="32"/>
    </row>
    <row r="290" spans="1:8" ht="15.75" customHeight="1">
      <c r="A290" s="1">
        <v>19535</v>
      </c>
      <c r="B290" s="2">
        <v>45144.15289351852</v>
      </c>
      <c r="C290" s="1" t="s">
        <v>10</v>
      </c>
      <c r="D290" s="1">
        <v>28</v>
      </c>
      <c r="E290" s="1" t="s">
        <v>28</v>
      </c>
      <c r="F290" s="59"/>
      <c r="G290" s="32"/>
      <c r="H290" s="32"/>
    </row>
    <row r="291" spans="1:8" ht="15.75" customHeight="1">
      <c r="A291" s="1">
        <v>19534</v>
      </c>
      <c r="B291" s="2">
        <v>45143.093148148153</v>
      </c>
      <c r="C291" s="1" t="s">
        <v>10</v>
      </c>
      <c r="D291" s="1">
        <v>35</v>
      </c>
      <c r="E291" s="1" t="s">
        <v>28</v>
      </c>
      <c r="F291" s="59"/>
      <c r="G291" s="32"/>
      <c r="H291" s="32"/>
    </row>
    <row r="292" spans="1:8" ht="15.75" customHeight="1">
      <c r="A292" s="1">
        <v>19532</v>
      </c>
      <c r="B292" s="2">
        <v>45142.939351851848</v>
      </c>
      <c r="C292" s="1" t="s">
        <v>10</v>
      </c>
      <c r="D292" s="1">
        <v>30</v>
      </c>
      <c r="E292" s="1" t="s">
        <v>28</v>
      </c>
      <c r="F292" s="59"/>
      <c r="G292" s="32"/>
      <c r="H292" s="32"/>
    </row>
    <row r="293" spans="1:8" ht="15.75" customHeight="1">
      <c r="A293" s="1">
        <v>19531</v>
      </c>
      <c r="B293" s="2">
        <v>45142.765625</v>
      </c>
      <c r="C293" s="1" t="s">
        <v>10</v>
      </c>
      <c r="D293" s="1">
        <v>25</v>
      </c>
      <c r="E293" s="1" t="s">
        <v>28</v>
      </c>
      <c r="F293" s="59"/>
      <c r="G293" s="32"/>
      <c r="H293" s="32"/>
    </row>
    <row r="294" spans="1:8" ht="15.75" customHeight="1">
      <c r="A294" s="1">
        <v>19530</v>
      </c>
      <c r="B294" s="2">
        <v>45142.150451388894</v>
      </c>
      <c r="C294" s="1" t="s">
        <v>10</v>
      </c>
      <c r="D294" s="1">
        <v>0</v>
      </c>
      <c r="E294" s="1" t="s">
        <v>28</v>
      </c>
      <c r="F294" s="59"/>
      <c r="G294" s="32"/>
      <c r="H294" s="32"/>
    </row>
    <row r="295" spans="1:8" ht="15.75" customHeight="1">
      <c r="A295" s="1">
        <v>19529</v>
      </c>
      <c r="B295" s="2">
        <v>45142.148553240739</v>
      </c>
      <c r="C295" s="1" t="s">
        <v>10</v>
      </c>
      <c r="D295" s="1">
        <v>0</v>
      </c>
      <c r="E295" s="1" t="s">
        <v>28</v>
      </c>
      <c r="F295" s="59"/>
      <c r="G295" s="32"/>
      <c r="H295" s="32"/>
    </row>
    <row r="296" spans="1:8" ht="15.75" customHeight="1">
      <c r="A296" s="1">
        <v>19528</v>
      </c>
      <c r="B296" s="2">
        <v>45141.922546296293</v>
      </c>
      <c r="C296" s="1" t="s">
        <v>10</v>
      </c>
      <c r="D296" s="1">
        <v>78</v>
      </c>
      <c r="E296" s="1" t="s">
        <v>28</v>
      </c>
      <c r="F296" s="59"/>
      <c r="G296" s="32"/>
      <c r="H296" s="32"/>
    </row>
    <row r="297" spans="1:8" ht="15.75" customHeight="1">
      <c r="A297" s="1">
        <v>19527</v>
      </c>
      <c r="B297" s="2">
        <v>45141.810995370368</v>
      </c>
      <c r="C297" s="1" t="s">
        <v>10</v>
      </c>
      <c r="D297" s="1">
        <v>0</v>
      </c>
      <c r="E297" s="1" t="s">
        <v>28</v>
      </c>
      <c r="F297" s="59"/>
      <c r="G297" s="32"/>
      <c r="H297" s="32"/>
    </row>
    <row r="298" spans="1:8" ht="15.75" customHeight="1">
      <c r="A298" s="1">
        <v>19526</v>
      </c>
      <c r="B298" s="2">
        <v>45141.707002314812</v>
      </c>
      <c r="C298" s="1" t="s">
        <v>10</v>
      </c>
      <c r="D298" s="1">
        <v>25</v>
      </c>
      <c r="E298" s="1" t="s">
        <v>28</v>
      </c>
      <c r="F298" s="59"/>
      <c r="G298" s="32"/>
      <c r="H298" s="32"/>
    </row>
    <row r="299" spans="1:8" ht="15.75" customHeight="1">
      <c r="A299" s="1">
        <v>19525</v>
      </c>
      <c r="B299" s="2">
        <v>45141.538888888885</v>
      </c>
      <c r="C299" s="1" t="s">
        <v>10</v>
      </c>
      <c r="D299" s="1">
        <v>25</v>
      </c>
      <c r="E299" s="1" t="s">
        <v>28</v>
      </c>
      <c r="F299" s="59"/>
      <c r="G299" s="32"/>
      <c r="H299" s="32"/>
    </row>
    <row r="300" spans="1:8" ht="15.75" customHeight="1">
      <c r="A300" s="1">
        <v>19524</v>
      </c>
      <c r="B300" s="2">
        <v>45141.180439814816</v>
      </c>
      <c r="C300" s="1" t="s">
        <v>10</v>
      </c>
      <c r="D300" s="1">
        <v>53</v>
      </c>
      <c r="E300" s="1" t="s">
        <v>28</v>
      </c>
      <c r="F300" s="59"/>
      <c r="G300" s="32"/>
      <c r="H300" s="32"/>
    </row>
    <row r="301" spans="1:8" ht="15.75" customHeight="1">
      <c r="A301" s="1">
        <v>19523</v>
      </c>
      <c r="B301" s="2">
        <v>45141.116805555561</v>
      </c>
      <c r="C301" s="1" t="s">
        <v>10</v>
      </c>
      <c r="D301" s="1">
        <v>25</v>
      </c>
      <c r="E301" s="1" t="s">
        <v>28</v>
      </c>
      <c r="F301" s="59"/>
      <c r="G301" s="32"/>
      <c r="H301" s="32"/>
    </row>
    <row r="302" spans="1:8" ht="15.75" customHeight="1">
      <c r="A302" s="1">
        <v>19522</v>
      </c>
      <c r="B302" s="2">
        <v>45141.115104166667</v>
      </c>
      <c r="C302" s="1" t="s">
        <v>10</v>
      </c>
      <c r="D302" s="1">
        <v>25</v>
      </c>
      <c r="E302" s="1" t="s">
        <v>28</v>
      </c>
      <c r="F302" s="59"/>
      <c r="G302" s="32"/>
      <c r="H302" s="32"/>
    </row>
    <row r="303" spans="1:8" ht="15.75" customHeight="1">
      <c r="A303" s="1">
        <v>19521</v>
      </c>
      <c r="B303" s="2">
        <v>45141.060752314814</v>
      </c>
      <c r="C303" s="1" t="s">
        <v>10</v>
      </c>
      <c r="D303" s="1">
        <v>20</v>
      </c>
      <c r="E303" s="1" t="s">
        <v>28</v>
      </c>
      <c r="F303" s="59"/>
      <c r="G303" s="32"/>
      <c r="H303" s="32"/>
    </row>
    <row r="304" spans="1:8" ht="15.75" customHeight="1">
      <c r="A304" s="1">
        <v>19520</v>
      </c>
      <c r="B304" s="2">
        <v>45141.058981481481</v>
      </c>
      <c r="C304" s="1" t="s">
        <v>10</v>
      </c>
      <c r="D304" s="1">
        <v>20</v>
      </c>
      <c r="E304" s="1" t="s">
        <v>28</v>
      </c>
      <c r="F304" s="59"/>
      <c r="G304" s="32"/>
      <c r="H304" s="32"/>
    </row>
    <row r="305" spans="1:8" ht="15.75" customHeight="1">
      <c r="A305" s="1">
        <v>19519</v>
      </c>
      <c r="B305" s="2">
        <v>45141.057604166665</v>
      </c>
      <c r="C305" s="1" t="s">
        <v>10</v>
      </c>
      <c r="D305" s="1">
        <v>20</v>
      </c>
      <c r="E305" s="1" t="s">
        <v>28</v>
      </c>
      <c r="F305" s="59"/>
      <c r="G305" s="32"/>
      <c r="H305" s="32"/>
    </row>
    <row r="306" spans="1:8" ht="15.75" customHeight="1">
      <c r="A306" s="1">
        <v>19518</v>
      </c>
      <c r="B306" s="2">
        <v>45141.02138888889</v>
      </c>
      <c r="C306" s="1" t="s">
        <v>10</v>
      </c>
      <c r="D306" s="1">
        <v>33</v>
      </c>
      <c r="E306" s="1" t="s">
        <v>79</v>
      </c>
      <c r="F306" s="59"/>
      <c r="G306" s="32"/>
      <c r="H306" s="32"/>
    </row>
    <row r="307" spans="1:8" ht="15.75" customHeight="1">
      <c r="A307" s="1">
        <v>19517</v>
      </c>
      <c r="B307" s="2">
        <v>45140.619849537034</v>
      </c>
      <c r="C307" s="1" t="s">
        <v>10</v>
      </c>
      <c r="D307" s="1">
        <v>25</v>
      </c>
      <c r="E307" s="1" t="s">
        <v>28</v>
      </c>
      <c r="F307" s="59"/>
      <c r="G307" s="32"/>
      <c r="H307" s="32"/>
    </row>
    <row r="308" spans="1:8" ht="15.75" customHeight="1">
      <c r="A308" s="1">
        <v>19516</v>
      </c>
      <c r="B308" s="2">
        <v>45140.619143518517</v>
      </c>
      <c r="C308" s="1" t="s">
        <v>10</v>
      </c>
      <c r="D308" s="1">
        <v>25</v>
      </c>
      <c r="E308" s="1" t="s">
        <v>28</v>
      </c>
      <c r="F308" s="59"/>
      <c r="G308" s="32"/>
      <c r="H308" s="32"/>
    </row>
    <row r="309" spans="1:8" ht="15.75" customHeight="1">
      <c r="A309" s="1">
        <v>19515</v>
      </c>
      <c r="B309" s="2">
        <v>45140.618136574078</v>
      </c>
      <c r="C309" s="1" t="s">
        <v>10</v>
      </c>
      <c r="D309" s="1">
        <v>30</v>
      </c>
      <c r="E309" s="1" t="s">
        <v>28</v>
      </c>
      <c r="F309" s="59"/>
      <c r="G309" s="32"/>
      <c r="H309" s="32"/>
    </row>
    <row r="310" spans="1:8" ht="15.75" customHeight="1">
      <c r="A310" s="1">
        <v>19514</v>
      </c>
      <c r="B310" s="2">
        <v>45140.545555555553</v>
      </c>
      <c r="C310" s="1" t="s">
        <v>10</v>
      </c>
      <c r="D310" s="1">
        <v>25</v>
      </c>
      <c r="E310" s="1" t="s">
        <v>28</v>
      </c>
      <c r="F310" s="59"/>
      <c r="G310" s="32"/>
      <c r="H310" s="32"/>
    </row>
    <row r="311" spans="1:8" ht="15.75" customHeight="1">
      <c r="A311" s="1">
        <v>19513</v>
      </c>
      <c r="B311" s="2">
        <v>45139.947326388894</v>
      </c>
      <c r="C311" s="1" t="s">
        <v>10</v>
      </c>
      <c r="D311" s="1">
        <v>25</v>
      </c>
      <c r="E311" s="1" t="s">
        <v>28</v>
      </c>
      <c r="F311" s="59"/>
      <c r="G311" s="32"/>
      <c r="H311" s="32"/>
    </row>
    <row r="312" spans="1:8" ht="15.75" customHeight="1">
      <c r="A312" s="1">
        <v>19512</v>
      </c>
      <c r="B312" s="2">
        <v>45139.945208333331</v>
      </c>
      <c r="C312" s="1" t="s">
        <v>10</v>
      </c>
      <c r="D312" s="1">
        <v>25</v>
      </c>
      <c r="E312" s="1" t="s">
        <v>28</v>
      </c>
      <c r="F312" s="59"/>
      <c r="G312" s="32"/>
      <c r="H312" s="32"/>
    </row>
    <row r="313" spans="1:8" ht="15.75" customHeight="1">
      <c r="A313" s="1">
        <v>19511</v>
      </c>
      <c r="B313" s="2">
        <v>45139.646828703699</v>
      </c>
      <c r="C313" s="1" t="s">
        <v>10</v>
      </c>
      <c r="D313" s="1">
        <v>15</v>
      </c>
      <c r="E313" s="1" t="s">
        <v>28</v>
      </c>
      <c r="F313" s="59"/>
      <c r="G313" s="32"/>
      <c r="H313" s="32"/>
    </row>
    <row r="314" spans="1:8" ht="15.75" customHeight="1">
      <c r="A314" s="1">
        <v>19509</v>
      </c>
      <c r="B314" s="2">
        <v>45138.657465277778</v>
      </c>
      <c r="C314" s="1" t="s">
        <v>52</v>
      </c>
      <c r="D314" s="1">
        <v>22</v>
      </c>
      <c r="E314" s="1" t="s">
        <v>28</v>
      </c>
      <c r="F314" s="59"/>
      <c r="G314" s="32"/>
      <c r="H314" s="32"/>
    </row>
    <row r="315" spans="1:8" ht="15.75" customHeight="1">
      <c r="A315" s="1">
        <v>19508</v>
      </c>
      <c r="B315" s="2">
        <v>45138.199745370366</v>
      </c>
      <c r="C315" s="1" t="s">
        <v>10</v>
      </c>
      <c r="D315" s="1">
        <v>15</v>
      </c>
      <c r="E315" s="1" t="s">
        <v>28</v>
      </c>
      <c r="F315" s="59"/>
      <c r="G315" s="32"/>
      <c r="H315" s="32"/>
    </row>
    <row r="316" spans="1:8" ht="15.75" customHeight="1">
      <c r="A316" s="1">
        <v>19507</v>
      </c>
      <c r="B316" s="2">
        <v>45137.840370370366</v>
      </c>
      <c r="C316" s="1" t="s">
        <v>10</v>
      </c>
      <c r="D316" s="1">
        <v>75</v>
      </c>
      <c r="E316" s="1" t="s">
        <v>79</v>
      </c>
      <c r="F316" s="59"/>
      <c r="G316" s="32"/>
      <c r="H316" s="32"/>
    </row>
    <row r="317" spans="1:8" ht="15.75" customHeight="1">
      <c r="A317" s="1">
        <v>19506</v>
      </c>
      <c r="B317" s="2">
        <v>45137.755486111113</v>
      </c>
      <c r="C317" s="1" t="s">
        <v>10</v>
      </c>
      <c r="D317" s="1">
        <v>35</v>
      </c>
      <c r="E317" s="1" t="s">
        <v>28</v>
      </c>
      <c r="F317" s="59"/>
      <c r="G317" s="32"/>
      <c r="H317" s="32"/>
    </row>
    <row r="318" spans="1:8" ht="15.75" customHeight="1">
      <c r="A318" s="1">
        <v>19505</v>
      </c>
      <c r="B318" s="2">
        <v>45137.751157407409</v>
      </c>
      <c r="C318" s="1" t="s">
        <v>10</v>
      </c>
      <c r="D318" s="1">
        <v>26</v>
      </c>
      <c r="E318" s="1" t="s">
        <v>79</v>
      </c>
      <c r="F318" s="59"/>
      <c r="G318" s="32"/>
      <c r="H318" s="32"/>
    </row>
    <row r="319" spans="1:8" ht="15.75" customHeight="1">
      <c r="A319" s="1">
        <v>19504</v>
      </c>
      <c r="B319" s="2">
        <v>45137.68787037037</v>
      </c>
      <c r="C319" s="1" t="s">
        <v>10</v>
      </c>
      <c r="D319" s="1">
        <v>26</v>
      </c>
      <c r="E319" s="1" t="s">
        <v>79</v>
      </c>
      <c r="F319" s="59"/>
      <c r="G319" s="32"/>
      <c r="H319" s="32"/>
    </row>
    <row r="320" spans="1:8" ht="15.75" customHeight="1">
      <c r="A320" s="1">
        <v>19503</v>
      </c>
      <c r="B320" s="2">
        <v>45137.626319444447</v>
      </c>
      <c r="C320" s="1" t="s">
        <v>10</v>
      </c>
      <c r="D320" s="1">
        <v>26</v>
      </c>
      <c r="E320" s="1" t="s">
        <v>28</v>
      </c>
      <c r="F320" s="59"/>
      <c r="G320" s="32"/>
      <c r="H320" s="32"/>
    </row>
    <row r="321" spans="1:8" ht="15.75" customHeight="1">
      <c r="A321" s="1">
        <v>19502</v>
      </c>
      <c r="B321" s="2">
        <v>45137.62399305556</v>
      </c>
      <c r="C321" s="1" t="s">
        <v>10</v>
      </c>
      <c r="D321" s="1">
        <v>26</v>
      </c>
      <c r="E321" s="1" t="s">
        <v>28</v>
      </c>
      <c r="F321" s="59"/>
      <c r="G321" s="32"/>
      <c r="H321" s="32"/>
    </row>
    <row r="322" spans="1:8" ht="15.75" customHeight="1">
      <c r="A322" s="1">
        <v>19501</v>
      </c>
      <c r="B322" s="2">
        <v>45137.549120370371</v>
      </c>
      <c r="C322" s="1" t="s">
        <v>8</v>
      </c>
      <c r="D322" s="1">
        <v>0</v>
      </c>
      <c r="E322" s="1" t="s">
        <v>28</v>
      </c>
      <c r="F322" s="59"/>
      <c r="G322" s="32"/>
      <c r="H322" s="32"/>
    </row>
    <row r="323" spans="1:8" ht="15.75" customHeight="1">
      <c r="A323" s="1">
        <v>19500</v>
      </c>
      <c r="B323" s="2">
        <v>45137.104664351849</v>
      </c>
      <c r="C323" s="1" t="s">
        <v>10</v>
      </c>
      <c r="D323" s="1">
        <v>20</v>
      </c>
      <c r="E323" s="1" t="s">
        <v>79</v>
      </c>
      <c r="F323" s="59"/>
      <c r="G323" s="32"/>
      <c r="H323" s="32"/>
    </row>
    <row r="324" spans="1:8" ht="15.75" customHeight="1">
      <c r="A324" s="1">
        <v>19499</v>
      </c>
      <c r="B324" s="2">
        <v>45137.001030092593</v>
      </c>
      <c r="C324" s="1" t="s">
        <v>10</v>
      </c>
      <c r="D324" s="1">
        <v>25</v>
      </c>
      <c r="E324" s="1" t="s">
        <v>28</v>
      </c>
      <c r="F324" s="59"/>
      <c r="G324" s="32"/>
      <c r="H324" s="32"/>
    </row>
    <row r="325" spans="1:8" ht="15.75" customHeight="1">
      <c r="A325" s="1">
        <v>19498</v>
      </c>
      <c r="B325" s="2">
        <v>45136.768240740741</v>
      </c>
      <c r="C325" s="1" t="s">
        <v>10</v>
      </c>
      <c r="D325" s="1">
        <v>15</v>
      </c>
      <c r="E325" s="1" t="s">
        <v>28</v>
      </c>
      <c r="F325" s="59"/>
      <c r="G325" s="32"/>
      <c r="H325" s="32"/>
    </row>
    <row r="326" spans="1:8" ht="15.75" customHeight="1">
      <c r="A326" s="1">
        <v>19497</v>
      </c>
      <c r="B326" s="2">
        <v>45136.684282407412</v>
      </c>
      <c r="C326" s="1" t="s">
        <v>10</v>
      </c>
      <c r="D326" s="1">
        <v>25</v>
      </c>
      <c r="E326" s="1" t="s">
        <v>28</v>
      </c>
      <c r="F326" s="59"/>
      <c r="G326" s="32"/>
      <c r="H326" s="32"/>
    </row>
    <row r="327" spans="1:8" ht="15.75" customHeight="1">
      <c r="A327" s="1">
        <v>19496</v>
      </c>
      <c r="B327" s="2">
        <v>45136.54619212963</v>
      </c>
      <c r="C327" s="1" t="s">
        <v>10</v>
      </c>
      <c r="D327" s="1">
        <v>35</v>
      </c>
      <c r="E327" s="1" t="s">
        <v>80</v>
      </c>
      <c r="F327" s="59"/>
      <c r="G327" s="32"/>
      <c r="H327" s="32"/>
    </row>
    <row r="328" spans="1:8" ht="15.75" customHeight="1">
      <c r="A328" s="1">
        <v>19494</v>
      </c>
      <c r="B328" s="2">
        <v>45136.0544212963</v>
      </c>
      <c r="C328" s="1" t="s">
        <v>10</v>
      </c>
      <c r="D328" s="1">
        <v>35</v>
      </c>
      <c r="E328" s="1" t="s">
        <v>79</v>
      </c>
      <c r="F328" s="59"/>
      <c r="G328" s="32"/>
      <c r="H328" s="32"/>
    </row>
    <row r="329" spans="1:8" ht="15.75" customHeight="1">
      <c r="A329" s="1">
        <v>19493</v>
      </c>
      <c r="B329" s="2">
        <v>45135.944525462968</v>
      </c>
      <c r="C329" s="1" t="s">
        <v>10</v>
      </c>
      <c r="D329" s="1">
        <v>35</v>
      </c>
      <c r="E329" s="1" t="s">
        <v>79</v>
      </c>
      <c r="F329" s="59"/>
      <c r="G329" s="32"/>
      <c r="H329" s="32"/>
    </row>
    <row r="330" spans="1:8" ht="15.75" customHeight="1">
      <c r="A330" s="1">
        <v>19492</v>
      </c>
      <c r="B330" s="2">
        <v>45135.930891203709</v>
      </c>
      <c r="C330" s="1" t="s">
        <v>8</v>
      </c>
      <c r="D330" s="1">
        <v>25</v>
      </c>
      <c r="E330" s="1" t="s">
        <v>80</v>
      </c>
      <c r="F330" s="59"/>
      <c r="G330" s="32"/>
      <c r="H330" s="32"/>
    </row>
    <row r="331" spans="1:8" ht="15.75" customHeight="1">
      <c r="A331" s="1">
        <v>19491</v>
      </c>
      <c r="B331" s="2">
        <v>45133.881643518514</v>
      </c>
      <c r="C331" s="1" t="s">
        <v>10</v>
      </c>
      <c r="D331" s="1">
        <v>20</v>
      </c>
      <c r="E331" s="1" t="s">
        <v>28</v>
      </c>
      <c r="F331" s="59"/>
      <c r="G331" s="32"/>
      <c r="H331" s="32"/>
    </row>
    <row r="332" spans="1:8" ht="15.75" customHeight="1">
      <c r="A332" s="1">
        <v>19490</v>
      </c>
      <c r="B332" s="2">
        <v>45133.844212962962</v>
      </c>
      <c r="C332" s="1" t="s">
        <v>10</v>
      </c>
      <c r="D332" s="1">
        <v>25</v>
      </c>
      <c r="E332" s="1" t="s">
        <v>28</v>
      </c>
      <c r="F332" s="59"/>
      <c r="G332" s="32"/>
      <c r="H332" s="32"/>
    </row>
    <row r="333" spans="1:8" ht="15.75" customHeight="1">
      <c r="A333" s="1">
        <v>19489</v>
      </c>
      <c r="B333" s="2">
        <v>45133.81318287037</v>
      </c>
      <c r="C333" s="1" t="s">
        <v>10</v>
      </c>
      <c r="D333" s="1">
        <v>25</v>
      </c>
      <c r="E333" s="1" t="s">
        <v>28</v>
      </c>
      <c r="F333" s="59"/>
      <c r="G333" s="32"/>
      <c r="H333" s="32"/>
    </row>
    <row r="334" spans="1:8" ht="15.75" customHeight="1">
      <c r="A334" s="1">
        <v>19488</v>
      </c>
      <c r="B334" s="2">
        <v>45133.810659722221</v>
      </c>
      <c r="C334" s="1" t="s">
        <v>10</v>
      </c>
      <c r="D334" s="1">
        <v>25</v>
      </c>
      <c r="E334" s="1" t="s">
        <v>28</v>
      </c>
      <c r="F334" s="59"/>
      <c r="G334" s="32"/>
      <c r="H334" s="32"/>
    </row>
    <row r="335" spans="1:8" ht="15.75" customHeight="1">
      <c r="A335" s="1">
        <v>19487</v>
      </c>
      <c r="B335" s="2">
        <v>45133.808634259258</v>
      </c>
      <c r="C335" s="1" t="s">
        <v>10</v>
      </c>
      <c r="D335" s="1">
        <v>0</v>
      </c>
      <c r="E335" s="1" t="s">
        <v>28</v>
      </c>
      <c r="F335" s="59"/>
      <c r="G335" s="32"/>
      <c r="H335" s="32"/>
    </row>
    <row r="336" spans="1:8" ht="15.75" customHeight="1">
      <c r="A336" s="1">
        <v>19486</v>
      </c>
      <c r="B336" s="2">
        <v>45133.807060185187</v>
      </c>
      <c r="C336" s="1" t="s">
        <v>10</v>
      </c>
      <c r="D336" s="1">
        <v>25</v>
      </c>
      <c r="E336" s="1" t="s">
        <v>28</v>
      </c>
      <c r="F336" s="59"/>
      <c r="G336" s="32"/>
      <c r="H336" s="32"/>
    </row>
    <row r="337" spans="1:8" ht="15.75" customHeight="1">
      <c r="A337" s="1">
        <v>19485</v>
      </c>
      <c r="B337" s="2">
        <v>45133.607789351852</v>
      </c>
      <c r="C337" s="1" t="s">
        <v>10</v>
      </c>
      <c r="D337" s="1">
        <v>18</v>
      </c>
      <c r="E337" s="1" t="s">
        <v>28</v>
      </c>
      <c r="F337" s="59"/>
      <c r="G337" s="32"/>
      <c r="H337" s="32"/>
    </row>
    <row r="338" spans="1:8" ht="15.75" customHeight="1">
      <c r="A338" s="1">
        <v>19484</v>
      </c>
      <c r="B338" s="2">
        <v>45133.55668981481</v>
      </c>
      <c r="C338" s="1" t="s">
        <v>10</v>
      </c>
      <c r="D338" s="1">
        <v>43</v>
      </c>
      <c r="E338" s="1" t="s">
        <v>28</v>
      </c>
      <c r="F338" s="59"/>
      <c r="G338" s="32"/>
      <c r="H338" s="32"/>
    </row>
    <row r="339" spans="1:8" ht="15.75" customHeight="1">
      <c r="A339" s="1">
        <v>19483</v>
      </c>
      <c r="B339" s="2">
        <v>45133.090150462958</v>
      </c>
      <c r="C339" s="1" t="s">
        <v>10</v>
      </c>
      <c r="D339" s="1">
        <v>20</v>
      </c>
      <c r="E339" s="1" t="s">
        <v>28</v>
      </c>
      <c r="F339" s="59"/>
      <c r="G339" s="32"/>
      <c r="H339" s="32"/>
    </row>
    <row r="340" spans="1:8" ht="15.75" customHeight="1">
      <c r="A340" s="1">
        <v>19482</v>
      </c>
      <c r="B340" s="2">
        <v>45132.848402777774</v>
      </c>
      <c r="C340" s="1" t="s">
        <v>10</v>
      </c>
      <c r="D340" s="1">
        <v>69</v>
      </c>
      <c r="E340" s="1" t="s">
        <v>28</v>
      </c>
      <c r="F340" s="59"/>
      <c r="G340" s="32"/>
      <c r="H340" s="32"/>
    </row>
    <row r="341" spans="1:8" ht="15.75" customHeight="1">
      <c r="A341" s="1">
        <v>19481</v>
      </c>
      <c r="B341" s="2">
        <v>45132.789039351846</v>
      </c>
      <c r="C341" s="1" t="s">
        <v>10</v>
      </c>
      <c r="D341" s="1">
        <v>25</v>
      </c>
      <c r="E341" s="1" t="s">
        <v>28</v>
      </c>
      <c r="F341" s="59"/>
      <c r="G341" s="32"/>
      <c r="H341" s="32"/>
    </row>
    <row r="342" spans="1:8" ht="15.75" customHeight="1">
      <c r="A342" s="1">
        <v>19480</v>
      </c>
      <c r="B342" s="2">
        <v>45132.615300925929</v>
      </c>
      <c r="C342" s="1" t="s">
        <v>10</v>
      </c>
      <c r="D342" s="1">
        <v>18</v>
      </c>
      <c r="E342" s="1" t="s">
        <v>28</v>
      </c>
      <c r="F342" s="59"/>
      <c r="G342" s="32"/>
      <c r="H342" s="32"/>
    </row>
    <row r="343" spans="1:8" ht="15.75" customHeight="1">
      <c r="A343" s="1">
        <v>19479</v>
      </c>
      <c r="B343" s="2">
        <v>45132.60020833333</v>
      </c>
      <c r="C343" s="1" t="s">
        <v>10</v>
      </c>
      <c r="D343" s="1">
        <v>25</v>
      </c>
      <c r="E343" s="1" t="s">
        <v>28</v>
      </c>
      <c r="F343" s="59"/>
      <c r="G343" s="32"/>
      <c r="H343" s="32"/>
    </row>
    <row r="344" spans="1:8" ht="15.75" customHeight="1">
      <c r="A344" s="1">
        <v>19478</v>
      </c>
      <c r="B344" s="2">
        <v>45132.051481481481</v>
      </c>
      <c r="C344" s="1" t="s">
        <v>10</v>
      </c>
      <c r="D344" s="1">
        <v>25</v>
      </c>
      <c r="E344" s="1" t="s">
        <v>79</v>
      </c>
      <c r="F344" s="59"/>
      <c r="G344" s="32"/>
      <c r="H344" s="32"/>
    </row>
    <row r="345" spans="1:8" ht="15.75" customHeight="1">
      <c r="A345" s="1">
        <v>19477</v>
      </c>
      <c r="B345" s="2">
        <v>45131.873032407406</v>
      </c>
      <c r="C345" s="1" t="s">
        <v>10</v>
      </c>
      <c r="D345" s="1">
        <v>0</v>
      </c>
      <c r="E345" s="1" t="s">
        <v>28</v>
      </c>
      <c r="F345" s="59"/>
      <c r="G345" s="32"/>
      <c r="H345" s="32"/>
    </row>
    <row r="346" spans="1:8" ht="15.75" customHeight="1">
      <c r="A346" s="1">
        <v>19476</v>
      </c>
      <c r="B346" s="2">
        <v>45131.000740740739</v>
      </c>
      <c r="C346" s="1" t="s">
        <v>10</v>
      </c>
      <c r="D346" s="1">
        <v>15</v>
      </c>
      <c r="E346" s="1" t="s">
        <v>28</v>
      </c>
      <c r="F346" s="59"/>
      <c r="G346" s="32"/>
      <c r="H346" s="32"/>
    </row>
    <row r="347" spans="1:8" ht="15.75" customHeight="1">
      <c r="A347" s="1">
        <v>19475</v>
      </c>
      <c r="B347" s="2">
        <v>45130.998402777783</v>
      </c>
      <c r="C347" s="1" t="s">
        <v>10</v>
      </c>
      <c r="D347" s="1">
        <v>15</v>
      </c>
      <c r="E347" s="1" t="s">
        <v>28</v>
      </c>
      <c r="F347" s="59"/>
      <c r="G347" s="32"/>
      <c r="H347" s="32"/>
    </row>
    <row r="348" spans="1:8" ht="15.75" customHeight="1">
      <c r="A348" s="1">
        <v>19474</v>
      </c>
      <c r="B348" s="2">
        <v>45130.982870370368</v>
      </c>
      <c r="C348" s="1" t="s">
        <v>10</v>
      </c>
      <c r="D348" s="1">
        <v>28</v>
      </c>
      <c r="E348" s="1" t="s">
        <v>79</v>
      </c>
      <c r="F348" s="59"/>
      <c r="G348" s="32"/>
      <c r="H348" s="32"/>
    </row>
    <row r="349" spans="1:8" ht="15.75" customHeight="1">
      <c r="A349" s="1">
        <v>19473</v>
      </c>
      <c r="B349" s="2">
        <v>45130.980358796296</v>
      </c>
      <c r="C349" s="1" t="s">
        <v>10</v>
      </c>
      <c r="D349" s="1">
        <v>28</v>
      </c>
      <c r="E349" s="1" t="s">
        <v>79</v>
      </c>
      <c r="F349" s="59"/>
      <c r="G349" s="32"/>
      <c r="H349" s="32"/>
    </row>
    <row r="350" spans="1:8" ht="15.75" customHeight="1">
      <c r="A350" s="1">
        <v>19472</v>
      </c>
      <c r="B350" s="2">
        <v>45130.741759259261</v>
      </c>
      <c r="C350" s="1" t="s">
        <v>10</v>
      </c>
      <c r="D350" s="1">
        <v>25</v>
      </c>
      <c r="E350" s="1" t="s">
        <v>28</v>
      </c>
      <c r="F350" s="59"/>
      <c r="G350" s="32"/>
      <c r="H350" s="32"/>
    </row>
    <row r="351" spans="1:8" ht="15.75" customHeight="1">
      <c r="A351" s="1">
        <v>19470</v>
      </c>
      <c r="B351" s="2">
        <v>45130.559641203705</v>
      </c>
      <c r="C351" s="1" t="s">
        <v>10</v>
      </c>
      <c r="D351" s="1">
        <v>0</v>
      </c>
      <c r="E351" s="1" t="s">
        <v>28</v>
      </c>
      <c r="F351" s="59"/>
      <c r="G351" s="32"/>
      <c r="H351" s="32"/>
    </row>
    <row r="352" spans="1:8" ht="15.75" customHeight="1">
      <c r="A352" s="1">
        <v>19469</v>
      </c>
      <c r="B352" s="2">
        <v>45129.085717592592</v>
      </c>
      <c r="C352" s="1" t="s">
        <v>10</v>
      </c>
      <c r="D352" s="1">
        <v>63</v>
      </c>
      <c r="E352" s="1" t="s">
        <v>28</v>
      </c>
      <c r="F352" s="59"/>
      <c r="G352" s="32"/>
      <c r="H352" s="32"/>
    </row>
    <row r="353" spans="1:8" ht="15.75" customHeight="1">
      <c r="A353" s="1">
        <v>19468</v>
      </c>
      <c r="B353" s="2">
        <v>45128.886886574073</v>
      </c>
      <c r="C353" s="1" t="s">
        <v>10</v>
      </c>
      <c r="D353" s="1">
        <v>55</v>
      </c>
      <c r="E353" s="1" t="s">
        <v>79</v>
      </c>
      <c r="F353" s="59"/>
      <c r="G353" s="32"/>
      <c r="H353" s="32"/>
    </row>
    <row r="354" spans="1:8" ht="15.75" customHeight="1">
      <c r="A354" s="1">
        <v>19467</v>
      </c>
      <c r="B354" s="2">
        <v>45128.732800925922</v>
      </c>
      <c r="C354" s="1" t="s">
        <v>10</v>
      </c>
      <c r="D354" s="1">
        <v>18</v>
      </c>
      <c r="E354" s="1" t="s">
        <v>28</v>
      </c>
      <c r="F354" s="59"/>
      <c r="G354" s="32"/>
      <c r="H354" s="32"/>
    </row>
    <row r="355" spans="1:8" ht="15.75" customHeight="1">
      <c r="A355" s="1">
        <v>19466</v>
      </c>
      <c r="B355" s="2">
        <v>45128.648726851854</v>
      </c>
      <c r="C355" s="1" t="s">
        <v>10</v>
      </c>
      <c r="D355" s="1">
        <v>40</v>
      </c>
      <c r="E355" s="1" t="s">
        <v>79</v>
      </c>
      <c r="F355" s="59"/>
      <c r="G355" s="32"/>
      <c r="H355" s="32"/>
    </row>
    <row r="356" spans="1:8" ht="15.75" customHeight="1">
      <c r="A356" s="1">
        <v>19465</v>
      </c>
      <c r="B356" s="2">
        <v>45128.044317129628</v>
      </c>
      <c r="C356" s="1" t="s">
        <v>10</v>
      </c>
      <c r="D356" s="1">
        <v>18</v>
      </c>
      <c r="E356" s="1" t="s">
        <v>79</v>
      </c>
      <c r="F356" s="59"/>
      <c r="G356" s="32"/>
      <c r="H356" s="32"/>
    </row>
    <row r="357" spans="1:8" ht="15.75" customHeight="1">
      <c r="A357" s="1">
        <v>19464</v>
      </c>
      <c r="B357" s="2">
        <v>45127.885381944448</v>
      </c>
      <c r="C357" s="1" t="s">
        <v>10</v>
      </c>
      <c r="D357" s="1">
        <v>52</v>
      </c>
      <c r="E357" s="1" t="s">
        <v>28</v>
      </c>
      <c r="F357" s="59"/>
      <c r="G357" s="32"/>
      <c r="H357" s="32"/>
    </row>
    <row r="358" spans="1:8" ht="15.75" customHeight="1">
      <c r="A358" s="1">
        <v>19463</v>
      </c>
      <c r="B358" s="2">
        <v>45127.884097222224</v>
      </c>
      <c r="C358" s="1" t="s">
        <v>10</v>
      </c>
      <c r="D358" s="1">
        <v>25</v>
      </c>
      <c r="E358" s="1" t="s">
        <v>28</v>
      </c>
      <c r="F358" s="59"/>
      <c r="G358" s="32"/>
      <c r="H358" s="32"/>
    </row>
    <row r="359" spans="1:8" ht="15.75" customHeight="1">
      <c r="A359" s="1">
        <v>19458</v>
      </c>
      <c r="B359" s="2">
        <v>45127.674756944441</v>
      </c>
      <c r="C359" s="1" t="s">
        <v>10</v>
      </c>
      <c r="D359" s="1">
        <v>25</v>
      </c>
      <c r="E359" s="1" t="s">
        <v>28</v>
      </c>
      <c r="F359" s="59"/>
      <c r="G359" s="32"/>
      <c r="H359" s="32"/>
    </row>
    <row r="360" spans="1:8" ht="15.75" customHeight="1">
      <c r="A360" s="1">
        <v>19457</v>
      </c>
      <c r="B360" s="2">
        <v>45127.040393518517</v>
      </c>
      <c r="C360" s="1" t="s">
        <v>10</v>
      </c>
      <c r="D360" s="1">
        <v>50</v>
      </c>
      <c r="E360" s="1" t="s">
        <v>28</v>
      </c>
      <c r="F360" s="59"/>
      <c r="G360" s="32"/>
      <c r="H360" s="32"/>
    </row>
    <row r="361" spans="1:8" ht="15.75" customHeight="1">
      <c r="A361" s="1">
        <v>19456</v>
      </c>
      <c r="B361" s="2">
        <v>45127.031574074077</v>
      </c>
      <c r="C361" s="1" t="s">
        <v>10</v>
      </c>
      <c r="D361" s="1">
        <v>25</v>
      </c>
      <c r="E361" s="1" t="s">
        <v>79</v>
      </c>
      <c r="F361" s="59"/>
      <c r="G361" s="32"/>
      <c r="H361" s="32"/>
    </row>
    <row r="362" spans="1:8" ht="15.75" customHeight="1">
      <c r="A362" s="1">
        <v>19455</v>
      </c>
      <c r="B362" s="2">
        <v>45126.989837962959</v>
      </c>
      <c r="C362" s="1" t="s">
        <v>10</v>
      </c>
      <c r="D362" s="1">
        <v>35</v>
      </c>
      <c r="E362" s="1" t="s">
        <v>28</v>
      </c>
      <c r="F362" s="59"/>
      <c r="G362" s="32"/>
      <c r="H362" s="32"/>
    </row>
    <row r="363" spans="1:8" ht="15.75" customHeight="1">
      <c r="A363" s="1">
        <v>19454</v>
      </c>
      <c r="B363" s="2">
        <v>45126.988240740742</v>
      </c>
      <c r="C363" s="1" t="s">
        <v>10</v>
      </c>
      <c r="D363" s="1">
        <v>35</v>
      </c>
      <c r="E363" s="1" t="s">
        <v>28</v>
      </c>
      <c r="F363" s="59"/>
      <c r="G363" s="32"/>
      <c r="H363" s="32"/>
    </row>
    <row r="364" spans="1:8" ht="15.75" customHeight="1">
      <c r="A364" s="1">
        <v>19453</v>
      </c>
      <c r="B364" s="2">
        <v>45126.984548611115</v>
      </c>
      <c r="C364" s="1" t="s">
        <v>10</v>
      </c>
      <c r="D364" s="1">
        <v>35</v>
      </c>
      <c r="E364" s="1" t="s">
        <v>28</v>
      </c>
      <c r="F364" s="59"/>
      <c r="G364" s="32"/>
      <c r="H364" s="32"/>
    </row>
    <row r="365" spans="1:8" ht="15.75" customHeight="1">
      <c r="A365" s="1">
        <v>19452</v>
      </c>
      <c r="B365" s="2">
        <v>45126.963020833333</v>
      </c>
      <c r="C365" s="1" t="s">
        <v>10</v>
      </c>
      <c r="D365" s="1">
        <v>43</v>
      </c>
      <c r="E365" s="1" t="s">
        <v>79</v>
      </c>
      <c r="F365" s="59"/>
      <c r="G365" s="32"/>
      <c r="H365" s="32"/>
    </row>
    <row r="366" spans="1:8" ht="15.75" customHeight="1">
      <c r="A366" s="1">
        <v>19451</v>
      </c>
      <c r="B366" s="2">
        <v>45126.817766203705</v>
      </c>
      <c r="C366" s="1" t="s">
        <v>10</v>
      </c>
      <c r="D366" s="1">
        <v>0</v>
      </c>
      <c r="E366" s="1" t="s">
        <v>28</v>
      </c>
      <c r="F366" s="59"/>
      <c r="G366" s="32"/>
      <c r="H366" s="32"/>
    </row>
    <row r="367" spans="1:8" ht="15.75" customHeight="1">
      <c r="A367" s="1">
        <v>19450</v>
      </c>
      <c r="B367" s="2">
        <v>45126.730810185181</v>
      </c>
      <c r="C367" s="1" t="s">
        <v>10</v>
      </c>
      <c r="D367" s="1">
        <v>15</v>
      </c>
      <c r="E367" s="1" t="s">
        <v>28</v>
      </c>
      <c r="F367" s="59"/>
      <c r="G367" s="32"/>
      <c r="H367" s="32"/>
    </row>
    <row r="368" spans="1:8" ht="15.75" customHeight="1">
      <c r="A368" s="1">
        <v>19449</v>
      </c>
      <c r="B368" s="2">
        <v>45126.546759259261</v>
      </c>
      <c r="C368" s="1" t="s">
        <v>10</v>
      </c>
      <c r="D368" s="1">
        <v>38</v>
      </c>
      <c r="E368" s="1" t="s">
        <v>28</v>
      </c>
      <c r="F368" s="59"/>
      <c r="G368" s="32"/>
      <c r="H368" s="32"/>
    </row>
    <row r="369" spans="1:8" ht="15.75" customHeight="1">
      <c r="A369" s="1">
        <v>19448</v>
      </c>
      <c r="B369" s="2">
        <v>45126.092245370368</v>
      </c>
      <c r="C369" s="1" t="s">
        <v>10</v>
      </c>
      <c r="D369" s="1">
        <v>26</v>
      </c>
      <c r="E369" s="1" t="s">
        <v>28</v>
      </c>
      <c r="F369" s="59"/>
      <c r="G369" s="32"/>
      <c r="H369" s="32"/>
    </row>
    <row r="370" spans="1:8" ht="15.75" customHeight="1">
      <c r="A370" s="1">
        <v>19447</v>
      </c>
      <c r="B370" s="2">
        <v>45126.077499999999</v>
      </c>
      <c r="C370" s="1" t="s">
        <v>10</v>
      </c>
      <c r="D370" s="1">
        <v>25</v>
      </c>
      <c r="E370" s="1" t="s">
        <v>28</v>
      </c>
      <c r="F370" s="59"/>
      <c r="G370" s="32"/>
      <c r="H370" s="32"/>
    </row>
    <row r="371" spans="1:8" ht="15.75" customHeight="1">
      <c r="A371" s="1">
        <v>19446</v>
      </c>
      <c r="B371" s="2">
        <v>45126.057812500003</v>
      </c>
      <c r="C371" s="1" t="s">
        <v>10</v>
      </c>
      <c r="D371" s="1">
        <v>22</v>
      </c>
      <c r="E371" s="1" t="s">
        <v>28</v>
      </c>
      <c r="F371" s="59"/>
      <c r="G371" s="32"/>
      <c r="H371" s="32"/>
    </row>
    <row r="372" spans="1:8" ht="15.75" customHeight="1">
      <c r="A372" s="1">
        <v>19445</v>
      </c>
      <c r="B372" s="2">
        <v>45126.05096064815</v>
      </c>
      <c r="C372" s="1" t="s">
        <v>10</v>
      </c>
      <c r="D372" s="1">
        <v>18</v>
      </c>
      <c r="E372" s="1" t="s">
        <v>28</v>
      </c>
      <c r="F372" s="59"/>
      <c r="G372" s="32"/>
      <c r="H372" s="32"/>
    </row>
    <row r="373" spans="1:8" ht="15.75" customHeight="1">
      <c r="A373" s="1">
        <v>19444</v>
      </c>
      <c r="B373" s="2">
        <v>45125.959918981476</v>
      </c>
      <c r="C373" s="1" t="s">
        <v>10</v>
      </c>
      <c r="D373" s="1">
        <v>35</v>
      </c>
      <c r="E373" s="1" t="s">
        <v>28</v>
      </c>
      <c r="F373" s="59"/>
      <c r="G373" s="32"/>
      <c r="H373" s="32"/>
    </row>
    <row r="374" spans="1:8" ht="15.75" customHeight="1">
      <c r="A374" s="1">
        <v>19443</v>
      </c>
      <c r="B374" s="2">
        <v>45125.947118055556</v>
      </c>
      <c r="C374" s="1" t="s">
        <v>10</v>
      </c>
      <c r="D374" s="1">
        <v>26</v>
      </c>
      <c r="E374" s="1" t="s">
        <v>28</v>
      </c>
      <c r="F374" s="59"/>
      <c r="G374" s="32"/>
      <c r="H374" s="32"/>
    </row>
    <row r="375" spans="1:8" ht="15.75" customHeight="1">
      <c r="A375" s="1">
        <v>19442</v>
      </c>
      <c r="B375" s="2">
        <v>45125.946956018517</v>
      </c>
      <c r="C375" s="1" t="s">
        <v>10</v>
      </c>
      <c r="D375" s="1">
        <v>55</v>
      </c>
      <c r="E375" s="1" t="s">
        <v>28</v>
      </c>
      <c r="F375" s="59"/>
      <c r="G375" s="32"/>
      <c r="H375" s="32"/>
    </row>
    <row r="376" spans="1:8" ht="15.75" customHeight="1">
      <c r="A376" s="1">
        <v>19441</v>
      </c>
      <c r="B376" s="2">
        <v>45125.946631944447</v>
      </c>
      <c r="C376" s="1" t="s">
        <v>8</v>
      </c>
      <c r="D376" s="1">
        <v>35</v>
      </c>
      <c r="E376" s="1" t="s">
        <v>28</v>
      </c>
      <c r="F376" s="59"/>
      <c r="G376" s="32"/>
      <c r="H376" s="32"/>
    </row>
    <row r="377" spans="1:8" ht="15.75" customHeight="1">
      <c r="A377" s="1">
        <v>19440</v>
      </c>
      <c r="B377" s="2">
        <v>45125.926817129628</v>
      </c>
      <c r="C377" s="1" t="s">
        <v>10</v>
      </c>
      <c r="D377" s="1">
        <v>25</v>
      </c>
      <c r="E377" s="1" t="s">
        <v>28</v>
      </c>
      <c r="F377" s="59"/>
      <c r="G377" s="32"/>
      <c r="H377" s="32"/>
    </row>
    <row r="378" spans="1:8" ht="15.75" customHeight="1">
      <c r="A378" s="1">
        <v>19439</v>
      </c>
      <c r="B378" s="2">
        <v>45125.912719907406</v>
      </c>
      <c r="C378" s="1" t="s">
        <v>10</v>
      </c>
      <c r="D378" s="1">
        <v>46</v>
      </c>
      <c r="E378" s="1" t="s">
        <v>28</v>
      </c>
      <c r="F378" s="59"/>
      <c r="G378" s="32"/>
      <c r="H378" s="32"/>
    </row>
    <row r="379" spans="1:8" ht="15.75" customHeight="1">
      <c r="A379" s="1">
        <v>19438</v>
      </c>
      <c r="B379" s="2">
        <v>45125.890590277777</v>
      </c>
      <c r="C379" s="1" t="s">
        <v>10</v>
      </c>
      <c r="D379" s="1">
        <v>79</v>
      </c>
      <c r="E379" s="1" t="s">
        <v>28</v>
      </c>
      <c r="F379" s="59"/>
      <c r="G379" s="32"/>
      <c r="H379" s="32"/>
    </row>
    <row r="380" spans="1:8" ht="15.75" customHeight="1">
      <c r="A380" s="1">
        <v>19437</v>
      </c>
      <c r="B380" s="2">
        <v>45125.886736111112</v>
      </c>
      <c r="C380" s="1" t="s">
        <v>10</v>
      </c>
      <c r="D380" s="1">
        <v>25</v>
      </c>
      <c r="E380" s="1" t="s">
        <v>28</v>
      </c>
      <c r="F380" s="59"/>
      <c r="G380" s="32"/>
      <c r="H380" s="32"/>
    </row>
    <row r="381" spans="1:8" ht="15.75" customHeight="1">
      <c r="A381" s="1">
        <v>19436</v>
      </c>
      <c r="B381" s="2">
        <v>45125.883553240739</v>
      </c>
      <c r="C381" s="1" t="s">
        <v>10</v>
      </c>
      <c r="D381" s="1">
        <v>0</v>
      </c>
      <c r="E381" s="1" t="s">
        <v>28</v>
      </c>
      <c r="F381" s="59"/>
      <c r="G381" s="32"/>
      <c r="H381" s="32"/>
    </row>
    <row r="382" spans="1:8" ht="15.75" customHeight="1">
      <c r="A382" s="1">
        <v>19435</v>
      </c>
      <c r="B382" s="2">
        <v>45125.857245370367</v>
      </c>
      <c r="C382" s="1" t="s">
        <v>10</v>
      </c>
      <c r="D382" s="1">
        <v>28</v>
      </c>
      <c r="E382" s="1" t="s">
        <v>28</v>
      </c>
      <c r="F382" s="59"/>
      <c r="G382" s="32"/>
      <c r="H382" s="32"/>
    </row>
    <row r="383" spans="1:8" ht="15.75" customHeight="1">
      <c r="A383" s="1">
        <v>19434</v>
      </c>
      <c r="B383" s="2">
        <v>45125.845995370371</v>
      </c>
      <c r="C383" s="1" t="s">
        <v>10</v>
      </c>
      <c r="D383" s="1">
        <v>28</v>
      </c>
      <c r="E383" s="1" t="s">
        <v>28</v>
      </c>
      <c r="F383" s="59"/>
      <c r="G383" s="32"/>
      <c r="H383" s="32"/>
    </row>
    <row r="384" spans="1:8" ht="15.75" customHeight="1">
      <c r="A384" s="1">
        <v>19433</v>
      </c>
      <c r="B384" s="2">
        <v>45125.840416666666</v>
      </c>
      <c r="C384" s="1" t="s">
        <v>10</v>
      </c>
      <c r="D384" s="1">
        <v>15</v>
      </c>
      <c r="E384" s="1" t="s">
        <v>28</v>
      </c>
      <c r="F384" s="59"/>
      <c r="G384" s="32"/>
      <c r="H384" s="32"/>
    </row>
    <row r="385" spans="1:8" ht="15.75" customHeight="1">
      <c r="A385" s="1">
        <v>19432</v>
      </c>
      <c r="B385" s="2">
        <v>45125.775810185187</v>
      </c>
      <c r="C385" s="1" t="s">
        <v>8</v>
      </c>
      <c r="D385" s="1">
        <v>0</v>
      </c>
      <c r="E385" s="1" t="s">
        <v>28</v>
      </c>
      <c r="F385" s="59"/>
      <c r="G385" s="32"/>
      <c r="H385" s="32"/>
    </row>
    <row r="386" spans="1:8" ht="15.75" customHeight="1">
      <c r="A386" s="1">
        <v>19431</v>
      </c>
      <c r="B386" s="2">
        <v>45125.771527777775</v>
      </c>
      <c r="C386" s="1" t="s">
        <v>10</v>
      </c>
      <c r="D386" s="1">
        <v>20</v>
      </c>
      <c r="E386" s="1" t="s">
        <v>28</v>
      </c>
      <c r="F386" s="59"/>
      <c r="G386" s="32"/>
      <c r="H386" s="32"/>
    </row>
    <row r="387" spans="1:8" ht="15.75" customHeight="1">
      <c r="A387" s="1">
        <v>19430</v>
      </c>
      <c r="B387" s="2">
        <v>45125.756099537037</v>
      </c>
      <c r="C387" s="1" t="s">
        <v>10</v>
      </c>
      <c r="D387" s="1">
        <v>0</v>
      </c>
      <c r="E387" s="1" t="s">
        <v>28</v>
      </c>
      <c r="F387" s="59"/>
      <c r="G387" s="32"/>
      <c r="H387" s="32"/>
    </row>
    <row r="388" spans="1:8" ht="15.75" customHeight="1">
      <c r="A388" s="1">
        <v>19429</v>
      </c>
      <c r="B388" s="2">
        <v>45125.755150462966</v>
      </c>
      <c r="C388" s="1" t="s">
        <v>10</v>
      </c>
      <c r="D388" s="1">
        <v>35</v>
      </c>
      <c r="E388" s="1" t="s">
        <v>28</v>
      </c>
      <c r="F388" s="59"/>
      <c r="G388" s="32"/>
      <c r="H388" s="32"/>
    </row>
    <row r="389" spans="1:8" ht="15.75" customHeight="1">
      <c r="A389" s="1">
        <v>19428</v>
      </c>
      <c r="B389" s="2">
        <v>45125.748518518521</v>
      </c>
      <c r="C389" s="1" t="s">
        <v>10</v>
      </c>
      <c r="D389" s="1">
        <v>15</v>
      </c>
      <c r="E389" s="1" t="s">
        <v>28</v>
      </c>
      <c r="F389" s="59"/>
      <c r="G389" s="32"/>
      <c r="H389" s="32"/>
    </row>
    <row r="390" spans="1:8" ht="15.75" customHeight="1">
      <c r="A390" s="1">
        <v>19427</v>
      </c>
      <c r="B390" s="2">
        <v>45125.670370370368</v>
      </c>
      <c r="C390" s="1" t="s">
        <v>10</v>
      </c>
      <c r="D390" s="1">
        <v>52</v>
      </c>
      <c r="E390" s="1" t="s">
        <v>28</v>
      </c>
      <c r="F390" s="59"/>
      <c r="G390" s="32"/>
      <c r="H390" s="32"/>
    </row>
    <row r="391" spans="1:8" ht="15.75" customHeight="1">
      <c r="A391" s="1">
        <v>19426</v>
      </c>
      <c r="B391" s="2">
        <v>45125.58766203704</v>
      </c>
      <c r="C391" s="1" t="s">
        <v>10</v>
      </c>
      <c r="D391" s="1">
        <v>18</v>
      </c>
      <c r="E391" s="1" t="s">
        <v>79</v>
      </c>
      <c r="F391" s="59"/>
      <c r="G391" s="32"/>
      <c r="H391" s="32"/>
    </row>
    <row r="392" spans="1:8" ht="15.75" customHeight="1">
      <c r="A392" s="1">
        <v>19425</v>
      </c>
      <c r="B392" s="2">
        <v>45125.562638888892</v>
      </c>
      <c r="C392" s="1" t="s">
        <v>10</v>
      </c>
      <c r="D392" s="1">
        <v>26</v>
      </c>
      <c r="E392" s="1" t="s">
        <v>28</v>
      </c>
      <c r="F392" s="59"/>
      <c r="G392" s="32"/>
      <c r="H392" s="32"/>
    </row>
    <row r="393" spans="1:8" ht="15.75" customHeight="1">
      <c r="A393" s="1">
        <v>19424</v>
      </c>
      <c r="B393" s="2">
        <v>45125.111608796295</v>
      </c>
      <c r="C393" s="1" t="s">
        <v>10</v>
      </c>
      <c r="D393" s="1">
        <v>25</v>
      </c>
      <c r="E393" s="1" t="s">
        <v>79</v>
      </c>
      <c r="F393" s="59"/>
      <c r="G393" s="32"/>
      <c r="H393" s="32"/>
    </row>
    <row r="394" spans="1:8" ht="15.75" customHeight="1">
      <c r="A394" s="1">
        <v>19423</v>
      </c>
      <c r="B394" s="2">
        <v>45125.109791666662</v>
      </c>
      <c r="C394" s="1" t="s">
        <v>10</v>
      </c>
      <c r="D394" s="1">
        <v>25</v>
      </c>
      <c r="E394" s="1" t="s">
        <v>79</v>
      </c>
      <c r="F394" s="59"/>
      <c r="G394" s="32"/>
      <c r="H394" s="32"/>
    </row>
    <row r="395" spans="1:8" ht="15.75" customHeight="1">
      <c r="A395" s="1">
        <v>19414</v>
      </c>
      <c r="B395" s="2">
        <v>45125.102094907408</v>
      </c>
      <c r="C395" s="1" t="s">
        <v>10</v>
      </c>
      <c r="D395" s="1">
        <v>25</v>
      </c>
      <c r="E395" s="1" t="s">
        <v>79</v>
      </c>
      <c r="F395" s="59"/>
      <c r="G395" s="32"/>
      <c r="H395" s="32"/>
    </row>
    <row r="396" spans="1:8" ht="15.75" customHeight="1">
      <c r="A396" s="1">
        <v>19413</v>
      </c>
      <c r="B396" s="2">
        <v>45125.098715277782</v>
      </c>
      <c r="C396" s="1" t="s">
        <v>10</v>
      </c>
      <c r="D396" s="1">
        <v>35</v>
      </c>
      <c r="E396" s="1" t="s">
        <v>79</v>
      </c>
      <c r="F396" s="59"/>
      <c r="G396" s="32"/>
      <c r="H396" s="32"/>
    </row>
    <row r="397" spans="1:8" ht="15.75" customHeight="1">
      <c r="A397" s="1">
        <v>19378</v>
      </c>
      <c r="B397" s="2">
        <v>45125.082615740743</v>
      </c>
      <c r="C397" s="1" t="s">
        <v>10</v>
      </c>
      <c r="D397" s="1">
        <v>44</v>
      </c>
      <c r="E397" s="1" t="s">
        <v>79</v>
      </c>
      <c r="F397" s="59"/>
      <c r="G397" s="32"/>
      <c r="H397" s="32"/>
    </row>
    <row r="398" spans="1:8" ht="15.75" customHeight="1">
      <c r="A398" s="1">
        <v>19374</v>
      </c>
      <c r="B398" s="2">
        <v>45125.075196759259</v>
      </c>
      <c r="C398" s="1" t="s">
        <v>10</v>
      </c>
      <c r="D398" s="1">
        <v>40</v>
      </c>
      <c r="E398" s="1" t="s">
        <v>28</v>
      </c>
      <c r="F398" s="59"/>
      <c r="G398" s="32"/>
      <c r="H398" s="32"/>
    </row>
    <row r="399" spans="1:8" ht="15.75" customHeight="1">
      <c r="A399" s="1">
        <v>19373</v>
      </c>
      <c r="B399" s="2">
        <v>45125.046122685184</v>
      </c>
      <c r="C399" s="1" t="s">
        <v>10</v>
      </c>
      <c r="D399" s="1">
        <v>15</v>
      </c>
      <c r="E399" s="1" t="s">
        <v>79</v>
      </c>
      <c r="F399" s="59"/>
      <c r="G399" s="32"/>
      <c r="H399" s="32"/>
    </row>
    <row r="400" spans="1:8" ht="15.75" customHeight="1">
      <c r="A400" s="1">
        <v>19372</v>
      </c>
      <c r="B400" s="2">
        <v>45125.030729166669</v>
      </c>
      <c r="C400" s="1" t="s">
        <v>10</v>
      </c>
      <c r="D400" s="1">
        <v>25</v>
      </c>
      <c r="E400" s="1" t="s">
        <v>79</v>
      </c>
      <c r="F400" s="59"/>
      <c r="G400" s="32"/>
      <c r="H400" s="32"/>
    </row>
    <row r="401" spans="1:8" ht="15.75" customHeight="1">
      <c r="A401" s="1">
        <v>19371</v>
      </c>
      <c r="B401" s="2">
        <v>45124.955277777779</v>
      </c>
      <c r="C401" s="1" t="s">
        <v>10</v>
      </c>
      <c r="D401" s="1">
        <v>0</v>
      </c>
      <c r="E401" s="1" t="s">
        <v>28</v>
      </c>
      <c r="F401" s="59"/>
      <c r="G401" s="32"/>
      <c r="H401" s="32"/>
    </row>
    <row r="402" spans="1:8" ht="15.75" customHeight="1">
      <c r="A402" s="1">
        <v>19370</v>
      </c>
      <c r="B402" s="2">
        <v>45124.92769675926</v>
      </c>
      <c r="C402" s="1" t="s">
        <v>10</v>
      </c>
      <c r="D402" s="1">
        <v>71</v>
      </c>
      <c r="E402" s="1" t="s">
        <v>28</v>
      </c>
      <c r="F402" s="59"/>
      <c r="G402" s="32"/>
      <c r="H402" s="32"/>
    </row>
    <row r="403" spans="1:8" ht="15.75" customHeight="1">
      <c r="A403" s="1">
        <v>19369</v>
      </c>
      <c r="B403" s="2">
        <v>45124.82340277778</v>
      </c>
      <c r="C403" s="1" t="s">
        <v>10</v>
      </c>
      <c r="D403" s="1">
        <v>20</v>
      </c>
      <c r="E403" s="1" t="s">
        <v>28</v>
      </c>
      <c r="F403" s="59"/>
      <c r="G403" s="32"/>
      <c r="H403" s="32"/>
    </row>
    <row r="404" spans="1:8" ht="15.75" customHeight="1">
      <c r="A404" s="1">
        <v>19368</v>
      </c>
      <c r="B404" s="2">
        <v>45124.623252314814</v>
      </c>
      <c r="C404" s="1" t="s">
        <v>10</v>
      </c>
      <c r="D404" s="1">
        <v>15</v>
      </c>
      <c r="E404" s="1" t="s">
        <v>28</v>
      </c>
      <c r="F404" s="59"/>
      <c r="G404" s="32"/>
      <c r="H404" s="32"/>
    </row>
    <row r="405" spans="1:8" ht="15.75" customHeight="1">
      <c r="A405" s="1">
        <v>19367</v>
      </c>
      <c r="B405" s="2">
        <v>45124.621168981481</v>
      </c>
      <c r="C405" s="1" t="s">
        <v>10</v>
      </c>
      <c r="D405" s="1">
        <v>15</v>
      </c>
      <c r="E405" s="1" t="s">
        <v>28</v>
      </c>
      <c r="F405" s="59"/>
      <c r="G405" s="32"/>
      <c r="H405" s="32"/>
    </row>
    <row r="406" spans="1:8" ht="15.75" customHeight="1">
      <c r="A406" s="1">
        <v>19366</v>
      </c>
      <c r="B406" s="2">
        <v>45123.828819444447</v>
      </c>
      <c r="C406" s="1" t="s">
        <v>10</v>
      </c>
      <c r="D406" s="1">
        <v>55</v>
      </c>
      <c r="E406" s="1" t="s">
        <v>79</v>
      </c>
      <c r="F406" s="59"/>
      <c r="G406" s="32"/>
      <c r="H406" s="32"/>
    </row>
    <row r="407" spans="1:8" ht="15.75" customHeight="1">
      <c r="A407" s="1">
        <v>19365</v>
      </c>
      <c r="B407" s="2">
        <v>45123.73133101852</v>
      </c>
      <c r="C407" s="1" t="s">
        <v>10</v>
      </c>
      <c r="D407" s="1">
        <v>28</v>
      </c>
      <c r="E407" s="1" t="s">
        <v>28</v>
      </c>
      <c r="F407" s="59"/>
      <c r="G407" s="32"/>
      <c r="H407" s="32"/>
    </row>
    <row r="408" spans="1:8" ht="15.75" customHeight="1">
      <c r="A408" s="1">
        <v>19364</v>
      </c>
      <c r="B408" s="2">
        <v>45122.909062499995</v>
      </c>
      <c r="C408" s="1" t="s">
        <v>10</v>
      </c>
      <c r="D408" s="1">
        <v>25</v>
      </c>
      <c r="E408" s="1" t="s">
        <v>28</v>
      </c>
      <c r="F408" s="59"/>
      <c r="G408" s="32"/>
      <c r="H408" s="32"/>
    </row>
    <row r="409" spans="1:8" ht="15.75" customHeight="1">
      <c r="A409" s="1">
        <v>19363</v>
      </c>
      <c r="B409" s="2">
        <v>45122.761747685188</v>
      </c>
      <c r="C409" s="1" t="s">
        <v>10</v>
      </c>
      <c r="D409" s="1">
        <v>20</v>
      </c>
      <c r="E409" s="1" t="s">
        <v>28</v>
      </c>
      <c r="F409" s="59"/>
      <c r="G409" s="32"/>
      <c r="H409" s="32"/>
    </row>
    <row r="410" spans="1:8" ht="15.75" customHeight="1">
      <c r="A410" s="1">
        <v>19362</v>
      </c>
      <c r="B410" s="2">
        <v>45122.593425925923</v>
      </c>
      <c r="C410" s="1" t="s">
        <v>10</v>
      </c>
      <c r="D410" s="1">
        <v>15</v>
      </c>
      <c r="E410" s="1" t="s">
        <v>28</v>
      </c>
      <c r="F410" s="59"/>
      <c r="G410" s="32"/>
      <c r="H410" s="32"/>
    </row>
    <row r="411" spans="1:8" ht="15.75" customHeight="1">
      <c r="A411" s="1">
        <v>19361</v>
      </c>
      <c r="B411" s="2">
        <v>45122.592476851853</v>
      </c>
      <c r="C411" s="1" t="s">
        <v>10</v>
      </c>
      <c r="D411" s="1">
        <v>15</v>
      </c>
      <c r="E411" s="1" t="s">
        <v>28</v>
      </c>
      <c r="F411" s="59"/>
      <c r="G411" s="32"/>
      <c r="H411" s="32"/>
    </row>
    <row r="412" spans="1:8" ht="15.75" customHeight="1">
      <c r="A412" s="1">
        <v>19360</v>
      </c>
      <c r="B412" s="2">
        <v>45122.591145833328</v>
      </c>
      <c r="C412" s="1" t="s">
        <v>10</v>
      </c>
      <c r="D412" s="1">
        <v>15</v>
      </c>
      <c r="E412" s="1" t="s">
        <v>28</v>
      </c>
      <c r="F412" s="59"/>
      <c r="G412" s="32"/>
      <c r="H412" s="32"/>
    </row>
    <row r="413" spans="1:8" ht="15.75" customHeight="1">
      <c r="A413" s="1">
        <v>19359</v>
      </c>
      <c r="B413" s="2">
        <v>45122.491979166662</v>
      </c>
      <c r="C413" s="1" t="s">
        <v>10</v>
      </c>
      <c r="D413" s="1">
        <v>18</v>
      </c>
      <c r="E413" s="1" t="s">
        <v>28</v>
      </c>
      <c r="F413" s="59"/>
      <c r="G413" s="32"/>
      <c r="H413" s="32"/>
    </row>
    <row r="414" spans="1:8" ht="15.75" customHeight="1">
      <c r="A414" s="1">
        <v>19358</v>
      </c>
      <c r="B414" s="2">
        <v>45121.617337962962</v>
      </c>
      <c r="C414" s="1" t="s">
        <v>10</v>
      </c>
      <c r="D414" s="1">
        <v>28</v>
      </c>
      <c r="E414" s="1" t="s">
        <v>28</v>
      </c>
      <c r="F414" s="59"/>
      <c r="G414" s="32"/>
      <c r="H414" s="32"/>
    </row>
    <row r="415" spans="1:8" ht="15.75" customHeight="1">
      <c r="A415" s="1">
        <v>19357</v>
      </c>
      <c r="B415" s="2">
        <v>45121.597453703704</v>
      </c>
      <c r="C415" s="1" t="s">
        <v>10</v>
      </c>
      <c r="D415" s="1">
        <v>52</v>
      </c>
      <c r="E415" s="1" t="s">
        <v>28</v>
      </c>
      <c r="F415" s="59"/>
      <c r="G415" s="32"/>
      <c r="H415" s="32"/>
    </row>
    <row r="416" spans="1:8" ht="15.75" customHeight="1">
      <c r="A416" s="1">
        <v>19356</v>
      </c>
      <c r="B416" s="2">
        <v>45121.528726851851</v>
      </c>
      <c r="C416" s="1" t="s">
        <v>10</v>
      </c>
      <c r="D416" s="1">
        <v>15</v>
      </c>
      <c r="E416" s="1" t="s">
        <v>28</v>
      </c>
      <c r="F416" s="59"/>
      <c r="G416" s="32"/>
      <c r="H416" s="32"/>
    </row>
    <row r="417" spans="1:8" ht="15.75" customHeight="1">
      <c r="A417" s="1">
        <v>19355</v>
      </c>
      <c r="B417" s="2">
        <v>45121.101875</v>
      </c>
      <c r="C417" s="1" t="s">
        <v>10</v>
      </c>
      <c r="D417" s="1">
        <v>15</v>
      </c>
      <c r="E417" s="1" t="s">
        <v>28</v>
      </c>
      <c r="F417" s="59"/>
      <c r="G417" s="32"/>
      <c r="H417" s="32"/>
    </row>
    <row r="418" spans="1:8" ht="15.75" customHeight="1">
      <c r="A418" s="1">
        <v>19354</v>
      </c>
      <c r="B418" s="2">
        <v>45120.988865740743</v>
      </c>
      <c r="C418" s="1" t="s">
        <v>10</v>
      </c>
      <c r="D418" s="1">
        <v>0</v>
      </c>
      <c r="E418" s="1" t="s">
        <v>28</v>
      </c>
      <c r="F418" s="59"/>
      <c r="G418" s="32"/>
      <c r="H418" s="32"/>
    </row>
    <row r="419" spans="1:8" ht="15.75" customHeight="1">
      <c r="A419" s="1">
        <v>19353</v>
      </c>
      <c r="B419" s="2">
        <v>45120.986284722225</v>
      </c>
      <c r="C419" s="1" t="s">
        <v>10</v>
      </c>
      <c r="D419" s="1">
        <v>0</v>
      </c>
      <c r="E419" s="1" t="s">
        <v>28</v>
      </c>
      <c r="F419" s="59"/>
      <c r="G419" s="32"/>
      <c r="H419" s="32"/>
    </row>
    <row r="420" spans="1:8" ht="15.75" customHeight="1">
      <c r="A420" s="1">
        <v>19352</v>
      </c>
      <c r="B420" s="2">
        <v>45120.973935185189</v>
      </c>
      <c r="C420" s="1" t="s">
        <v>10</v>
      </c>
      <c r="D420" s="1">
        <v>18</v>
      </c>
      <c r="E420" s="1" t="s">
        <v>28</v>
      </c>
      <c r="F420" s="59"/>
      <c r="G420" s="32"/>
      <c r="H420" s="32"/>
    </row>
    <row r="421" spans="1:8" ht="15.75" customHeight="1">
      <c r="A421" s="1">
        <v>19351</v>
      </c>
      <c r="B421" s="2">
        <v>45120.972256944442</v>
      </c>
      <c r="C421" s="1" t="s">
        <v>10</v>
      </c>
      <c r="D421" s="1">
        <v>18</v>
      </c>
      <c r="E421" s="1" t="s">
        <v>28</v>
      </c>
      <c r="F421" s="59"/>
      <c r="G421" s="32"/>
      <c r="H421" s="32"/>
    </row>
    <row r="422" spans="1:8" ht="15.75" customHeight="1">
      <c r="A422" s="1">
        <v>19350</v>
      </c>
      <c r="B422" s="2">
        <v>45120.971157407403</v>
      </c>
      <c r="C422" s="1" t="s">
        <v>10</v>
      </c>
      <c r="D422" s="1">
        <v>18</v>
      </c>
      <c r="E422" s="1" t="s">
        <v>28</v>
      </c>
      <c r="F422" s="59"/>
      <c r="G422" s="32"/>
      <c r="H422" s="32"/>
    </row>
    <row r="423" spans="1:8" ht="15.75" customHeight="1">
      <c r="A423" s="1">
        <v>19349</v>
      </c>
      <c r="B423" s="2">
        <v>45120.96974537037</v>
      </c>
      <c r="C423" s="1" t="s">
        <v>10</v>
      </c>
      <c r="D423" s="1">
        <v>18</v>
      </c>
      <c r="E423" s="1" t="s">
        <v>28</v>
      </c>
      <c r="F423" s="59"/>
      <c r="G423" s="32"/>
      <c r="H423" s="32"/>
    </row>
    <row r="424" spans="1:8" ht="15.75" customHeight="1">
      <c r="A424" s="1">
        <v>19348</v>
      </c>
      <c r="B424" s="2">
        <v>45120.89340277778</v>
      </c>
      <c r="C424" s="1" t="s">
        <v>10</v>
      </c>
      <c r="D424" s="1">
        <v>15</v>
      </c>
      <c r="E424" s="1" t="s">
        <v>28</v>
      </c>
      <c r="F424" s="59"/>
      <c r="G424" s="32"/>
      <c r="H424" s="32"/>
    </row>
    <row r="425" spans="1:8" ht="15.75" customHeight="1">
      <c r="A425" s="1">
        <v>19347</v>
      </c>
      <c r="B425" s="2">
        <v>45120.891793981486</v>
      </c>
      <c r="C425" s="1" t="s">
        <v>8</v>
      </c>
      <c r="D425" s="1">
        <v>15</v>
      </c>
      <c r="E425" s="1" t="s">
        <v>28</v>
      </c>
      <c r="F425" s="59"/>
      <c r="G425" s="32"/>
      <c r="H425" s="32"/>
    </row>
    <row r="426" spans="1:8" ht="15.75" customHeight="1">
      <c r="A426" s="1">
        <v>19346</v>
      </c>
      <c r="B426" s="2">
        <v>45120.796261574069</v>
      </c>
      <c r="C426" s="1" t="s">
        <v>10</v>
      </c>
      <c r="D426" s="1">
        <v>35</v>
      </c>
      <c r="E426" s="1" t="s">
        <v>28</v>
      </c>
      <c r="F426" s="59"/>
      <c r="G426" s="32"/>
      <c r="H426" s="32"/>
    </row>
    <row r="427" spans="1:8" ht="15.75" customHeight="1">
      <c r="A427" s="1">
        <v>19345</v>
      </c>
      <c r="B427" s="2">
        <v>45120.636273148149</v>
      </c>
      <c r="C427" s="1" t="s">
        <v>10</v>
      </c>
      <c r="D427" s="1">
        <v>25</v>
      </c>
      <c r="E427" s="1" t="s">
        <v>28</v>
      </c>
      <c r="F427" s="59"/>
      <c r="G427" s="32"/>
      <c r="H427" s="32"/>
    </row>
    <row r="428" spans="1:8" ht="15.75" customHeight="1">
      <c r="A428" s="1">
        <v>19344</v>
      </c>
      <c r="B428" s="2">
        <v>45120.6328125</v>
      </c>
      <c r="C428" s="1" t="s">
        <v>10</v>
      </c>
      <c r="D428" s="1">
        <v>25</v>
      </c>
      <c r="E428" s="1" t="s">
        <v>28</v>
      </c>
      <c r="F428" s="59"/>
      <c r="G428" s="32"/>
      <c r="H428" s="32"/>
    </row>
    <row r="429" spans="1:8" ht="15.75" customHeight="1">
      <c r="A429" s="1">
        <v>19343</v>
      </c>
      <c r="B429" s="2">
        <v>45120.62563657407</v>
      </c>
      <c r="C429" s="1" t="s">
        <v>10</v>
      </c>
      <c r="D429" s="1">
        <v>25</v>
      </c>
      <c r="E429" s="1" t="s">
        <v>28</v>
      </c>
      <c r="F429" s="59"/>
      <c r="G429" s="32"/>
      <c r="H429" s="32"/>
    </row>
    <row r="430" spans="1:8" ht="15.75" customHeight="1">
      <c r="A430" s="1">
        <v>19342</v>
      </c>
      <c r="B430" s="2">
        <v>45120.563067129631</v>
      </c>
      <c r="C430" s="1" t="s">
        <v>10</v>
      </c>
      <c r="D430" s="1">
        <v>18</v>
      </c>
      <c r="E430" s="1" t="s">
        <v>28</v>
      </c>
      <c r="F430" s="59"/>
      <c r="G430" s="32"/>
      <c r="H430" s="32"/>
    </row>
    <row r="431" spans="1:8" ht="15.75" customHeight="1">
      <c r="A431" s="1">
        <v>19341</v>
      </c>
      <c r="B431" s="2">
        <v>45120.078460648147</v>
      </c>
      <c r="C431" s="1" t="s">
        <v>10</v>
      </c>
      <c r="D431" s="1">
        <v>35</v>
      </c>
      <c r="E431" s="1" t="s">
        <v>28</v>
      </c>
      <c r="F431" s="59"/>
      <c r="G431" s="32"/>
      <c r="H431" s="32"/>
    </row>
    <row r="432" spans="1:8" ht="15.75" customHeight="1">
      <c r="A432" s="1">
        <v>19340</v>
      </c>
      <c r="B432" s="2">
        <v>45120.072870370372</v>
      </c>
      <c r="C432" s="1" t="s">
        <v>10</v>
      </c>
      <c r="D432" s="1">
        <v>25</v>
      </c>
      <c r="E432" s="1" t="s">
        <v>28</v>
      </c>
      <c r="F432" s="59"/>
      <c r="G432" s="32"/>
      <c r="H432" s="32"/>
    </row>
    <row r="433" spans="1:8" ht="15.75" customHeight="1">
      <c r="A433" s="1">
        <v>19339</v>
      </c>
      <c r="B433" s="2">
        <v>45120.052511574075</v>
      </c>
      <c r="C433" s="1" t="s">
        <v>10</v>
      </c>
      <c r="D433" s="1">
        <v>201</v>
      </c>
      <c r="E433" s="1" t="s">
        <v>80</v>
      </c>
      <c r="F433" s="59"/>
      <c r="G433" s="32"/>
      <c r="H433" s="32"/>
    </row>
    <row r="434" spans="1:8" ht="15.75" customHeight="1">
      <c r="A434" s="1">
        <v>19335</v>
      </c>
      <c r="B434" s="2">
        <v>45119.978275462963</v>
      </c>
      <c r="C434" s="1" t="s">
        <v>8</v>
      </c>
      <c r="D434" s="1">
        <v>20</v>
      </c>
      <c r="E434" s="1" t="s">
        <v>28</v>
      </c>
      <c r="F434" s="59"/>
      <c r="G434" s="32"/>
      <c r="H434" s="32"/>
    </row>
    <row r="435" spans="1:8" ht="15.75" customHeight="1">
      <c r="A435" s="1">
        <v>19334</v>
      </c>
      <c r="B435" s="2">
        <v>45119.944293981476</v>
      </c>
      <c r="C435" s="1" t="s">
        <v>8</v>
      </c>
      <c r="D435" s="1">
        <v>46</v>
      </c>
      <c r="E435" s="1" t="s">
        <v>28</v>
      </c>
      <c r="F435" s="59"/>
      <c r="G435" s="32"/>
      <c r="H435" s="32"/>
    </row>
    <row r="436" spans="1:8" ht="15.75" customHeight="1">
      <c r="A436" s="1">
        <v>19333</v>
      </c>
      <c r="B436" s="2">
        <v>45119.938032407408</v>
      </c>
      <c r="C436" s="1" t="s">
        <v>10</v>
      </c>
      <c r="D436" s="1">
        <v>46</v>
      </c>
      <c r="E436" s="1" t="s">
        <v>28</v>
      </c>
      <c r="F436" s="59"/>
      <c r="G436" s="32"/>
      <c r="H436" s="32"/>
    </row>
    <row r="437" spans="1:8" ht="15.75" customHeight="1">
      <c r="A437" s="1">
        <v>19332</v>
      </c>
      <c r="B437" s="2">
        <v>45119.916481481487</v>
      </c>
      <c r="C437" s="1" t="s">
        <v>10</v>
      </c>
      <c r="D437" s="1">
        <v>68</v>
      </c>
      <c r="E437" s="1" t="s">
        <v>28</v>
      </c>
      <c r="F437" s="59"/>
      <c r="G437" s="32"/>
      <c r="H437" s="32"/>
    </row>
    <row r="438" spans="1:8" ht="15.75" customHeight="1">
      <c r="A438" s="1">
        <v>19331</v>
      </c>
      <c r="B438" s="2">
        <v>45119.868564814809</v>
      </c>
      <c r="C438" s="1" t="s">
        <v>10</v>
      </c>
      <c r="D438" s="1">
        <v>25</v>
      </c>
      <c r="E438" s="1" t="s">
        <v>28</v>
      </c>
      <c r="F438" s="59"/>
      <c r="G438" s="32"/>
      <c r="H438" s="32"/>
    </row>
    <row r="439" spans="1:8" ht="15.75" customHeight="1">
      <c r="A439" s="1">
        <v>19330</v>
      </c>
      <c r="B439" s="2">
        <v>45119.848368055551</v>
      </c>
      <c r="C439" s="1" t="s">
        <v>10</v>
      </c>
      <c r="D439" s="1">
        <v>26</v>
      </c>
      <c r="E439" s="1" t="s">
        <v>28</v>
      </c>
      <c r="F439" s="59"/>
      <c r="G439" s="32"/>
      <c r="H439" s="32"/>
    </row>
    <row r="440" spans="1:8" ht="15.75" customHeight="1">
      <c r="A440" s="1">
        <v>19329</v>
      </c>
      <c r="B440" s="2">
        <v>45119.811030092591</v>
      </c>
      <c r="C440" s="1" t="s">
        <v>10</v>
      </c>
      <c r="D440" s="1">
        <v>20</v>
      </c>
      <c r="E440" s="1" t="s">
        <v>28</v>
      </c>
      <c r="F440" s="59"/>
      <c r="G440" s="32"/>
      <c r="H440" s="32"/>
    </row>
    <row r="441" spans="1:8" ht="15.75" customHeight="1">
      <c r="A441" s="1">
        <v>19328</v>
      </c>
      <c r="B441" s="2">
        <v>45119.79482638889</v>
      </c>
      <c r="C441" s="1" t="s">
        <v>10</v>
      </c>
      <c r="D441" s="1">
        <v>41</v>
      </c>
      <c r="E441" s="1" t="s">
        <v>28</v>
      </c>
      <c r="F441" s="59"/>
      <c r="G441" s="32"/>
      <c r="H441" s="32"/>
    </row>
    <row r="442" spans="1:8" ht="15.75" customHeight="1">
      <c r="A442" s="1">
        <v>19327</v>
      </c>
      <c r="B442" s="2">
        <v>45119.750081018516</v>
      </c>
      <c r="C442" s="1" t="s">
        <v>10</v>
      </c>
      <c r="D442" s="1">
        <v>28</v>
      </c>
      <c r="E442" s="1" t="s">
        <v>28</v>
      </c>
      <c r="F442" s="59"/>
      <c r="G442" s="32"/>
      <c r="H442" s="32"/>
    </row>
    <row r="443" spans="1:8" ht="15.75" customHeight="1">
      <c r="A443" s="1">
        <v>19325</v>
      </c>
      <c r="B443" s="2">
        <v>45119.089872685188</v>
      </c>
      <c r="C443" s="1" t="s">
        <v>10</v>
      </c>
      <c r="D443" s="1">
        <v>53</v>
      </c>
      <c r="E443" s="1" t="s">
        <v>28</v>
      </c>
      <c r="F443" s="59"/>
      <c r="G443" s="32"/>
      <c r="H443" s="32"/>
    </row>
    <row r="444" spans="1:8" ht="15.75" customHeight="1">
      <c r="A444" s="1">
        <v>19323</v>
      </c>
      <c r="B444" s="2">
        <v>45118.926979166667</v>
      </c>
      <c r="C444" s="1" t="s">
        <v>10</v>
      </c>
      <c r="D444" s="1">
        <v>25</v>
      </c>
      <c r="E444" s="1" t="s">
        <v>28</v>
      </c>
      <c r="F444" s="59"/>
      <c r="G444" s="32"/>
      <c r="H444" s="32"/>
    </row>
    <row r="445" spans="1:8" ht="15.75" customHeight="1">
      <c r="A445" s="1">
        <v>19322</v>
      </c>
      <c r="B445" s="2">
        <v>45118.753518518519</v>
      </c>
      <c r="C445" s="1" t="s">
        <v>10</v>
      </c>
      <c r="D445" s="1">
        <v>26</v>
      </c>
      <c r="E445" s="1" t="s">
        <v>28</v>
      </c>
      <c r="F445" s="59"/>
      <c r="G445" s="32"/>
      <c r="H445" s="32"/>
    </row>
    <row r="446" spans="1:8" ht="15.75" customHeight="1">
      <c r="A446" s="1">
        <v>19321</v>
      </c>
      <c r="B446" s="2">
        <v>45118.750937500001</v>
      </c>
      <c r="C446" s="1" t="s">
        <v>10</v>
      </c>
      <c r="D446" s="1">
        <v>41</v>
      </c>
      <c r="E446" s="1" t="s">
        <v>28</v>
      </c>
      <c r="F446" s="59"/>
      <c r="G446" s="32"/>
      <c r="H446" s="32"/>
    </row>
    <row r="447" spans="1:8" ht="15.75" customHeight="1">
      <c r="A447" s="1">
        <v>19320</v>
      </c>
      <c r="B447" s="2">
        <v>45118.727349537032</v>
      </c>
      <c r="C447" s="1" t="s">
        <v>10</v>
      </c>
      <c r="D447" s="1">
        <v>15</v>
      </c>
      <c r="E447" s="1" t="s">
        <v>28</v>
      </c>
      <c r="F447" s="59"/>
      <c r="G447" s="32"/>
      <c r="H447" s="32"/>
    </row>
    <row r="448" spans="1:8" ht="15.75" customHeight="1">
      <c r="A448" s="1">
        <v>19319</v>
      </c>
      <c r="B448" s="2">
        <v>45117.960150462968</v>
      </c>
      <c r="C448" s="1" t="s">
        <v>10</v>
      </c>
      <c r="D448" s="1">
        <v>28</v>
      </c>
      <c r="E448" s="1" t="s">
        <v>28</v>
      </c>
      <c r="F448" s="59"/>
      <c r="G448" s="32"/>
      <c r="H448" s="32"/>
    </row>
    <row r="449" spans="1:8" ht="15.75" customHeight="1">
      <c r="A449" s="1">
        <v>19318</v>
      </c>
      <c r="B449" s="2">
        <v>45117.927384259259</v>
      </c>
      <c r="C449" s="1" t="s">
        <v>10</v>
      </c>
      <c r="D449" s="1">
        <v>20</v>
      </c>
      <c r="E449" s="1" t="s">
        <v>28</v>
      </c>
      <c r="F449" s="59"/>
      <c r="G449" s="32"/>
      <c r="H449" s="32"/>
    </row>
    <row r="450" spans="1:8" ht="15.75" customHeight="1">
      <c r="A450" s="1">
        <v>19317</v>
      </c>
      <c r="B450" s="2">
        <v>45117.926400462966</v>
      </c>
      <c r="C450" s="1" t="s">
        <v>10</v>
      </c>
      <c r="D450" s="1">
        <v>26</v>
      </c>
      <c r="E450" s="1" t="s">
        <v>28</v>
      </c>
      <c r="F450" s="59"/>
      <c r="G450" s="32"/>
      <c r="H450" s="32"/>
    </row>
    <row r="451" spans="1:8" ht="15.75" customHeight="1">
      <c r="A451" s="1">
        <v>19316</v>
      </c>
      <c r="B451" s="2">
        <v>45117.924490740741</v>
      </c>
      <c r="C451" s="1" t="s">
        <v>10</v>
      </c>
      <c r="D451" s="1">
        <v>28</v>
      </c>
      <c r="E451" s="1" t="s">
        <v>28</v>
      </c>
      <c r="F451" s="59"/>
      <c r="G451" s="32"/>
      <c r="H451" s="32"/>
    </row>
    <row r="452" spans="1:8" ht="15.75" customHeight="1">
      <c r="A452" s="1">
        <v>19315</v>
      </c>
      <c r="B452" s="2">
        <v>45117.911724537036</v>
      </c>
      <c r="C452" s="1" t="s">
        <v>10</v>
      </c>
      <c r="D452" s="1">
        <v>22</v>
      </c>
      <c r="E452" s="1" t="s">
        <v>28</v>
      </c>
      <c r="F452" s="59"/>
      <c r="G452" s="32"/>
      <c r="H452" s="32"/>
    </row>
    <row r="453" spans="1:8" ht="15.75" customHeight="1">
      <c r="A453" s="1">
        <v>19314</v>
      </c>
      <c r="B453" s="2">
        <v>45117.904756944445</v>
      </c>
      <c r="C453" s="1" t="s">
        <v>10</v>
      </c>
      <c r="D453" s="1">
        <v>25</v>
      </c>
      <c r="E453" s="1" t="s">
        <v>28</v>
      </c>
      <c r="F453" s="59"/>
      <c r="G453" s="32"/>
      <c r="H453" s="32"/>
    </row>
    <row r="454" spans="1:8" ht="15.75" customHeight="1">
      <c r="A454" s="1">
        <v>19313</v>
      </c>
      <c r="B454" s="2">
        <v>45117.872418981482</v>
      </c>
      <c r="C454" s="1" t="s">
        <v>10</v>
      </c>
      <c r="D454" s="1">
        <v>18</v>
      </c>
      <c r="E454" s="1" t="s">
        <v>79</v>
      </c>
      <c r="F454" s="59"/>
      <c r="G454" s="32"/>
      <c r="H454" s="32"/>
    </row>
    <row r="455" spans="1:8" ht="15.75" customHeight="1">
      <c r="A455" s="1">
        <v>19312</v>
      </c>
      <c r="B455" s="2">
        <v>45117.870219907403</v>
      </c>
      <c r="C455" s="1" t="s">
        <v>10</v>
      </c>
      <c r="D455" s="1">
        <v>0</v>
      </c>
      <c r="E455" s="1" t="s">
        <v>28</v>
      </c>
      <c r="F455" s="59"/>
      <c r="G455" s="32"/>
      <c r="H455" s="32"/>
    </row>
    <row r="456" spans="1:8" ht="15.75" customHeight="1">
      <c r="A456" s="1">
        <v>19311</v>
      </c>
      <c r="B456" s="2">
        <v>45117.807488425926</v>
      </c>
      <c r="C456" s="1" t="s">
        <v>10</v>
      </c>
      <c r="D456" s="1">
        <v>15</v>
      </c>
      <c r="E456" s="1" t="s">
        <v>28</v>
      </c>
      <c r="F456" s="59"/>
      <c r="G456" s="32"/>
      <c r="H456" s="32"/>
    </row>
    <row r="457" spans="1:8" ht="15.75" customHeight="1">
      <c r="A457" s="1">
        <v>19310</v>
      </c>
      <c r="B457" s="2">
        <v>45117.678831018522</v>
      </c>
      <c r="C457" s="1" t="s">
        <v>10</v>
      </c>
      <c r="D457" s="1">
        <v>35</v>
      </c>
      <c r="E457" s="1" t="s">
        <v>28</v>
      </c>
      <c r="F457" s="59"/>
      <c r="G457" s="32"/>
      <c r="H457" s="32"/>
    </row>
    <row r="458" spans="1:8" ht="15.75" customHeight="1">
      <c r="A458" s="1">
        <v>19309</v>
      </c>
      <c r="B458" s="2">
        <v>45117.526354166665</v>
      </c>
      <c r="C458" s="1" t="s">
        <v>10</v>
      </c>
      <c r="D458" s="1">
        <v>25</v>
      </c>
      <c r="E458" s="1" t="s">
        <v>79</v>
      </c>
      <c r="F458" s="59"/>
      <c r="G458" s="32"/>
      <c r="H458" s="32"/>
    </row>
    <row r="459" spans="1:8" ht="15.75" customHeight="1">
      <c r="A459" s="1">
        <v>19308</v>
      </c>
      <c r="B459" s="2">
        <v>45117.523495370369</v>
      </c>
      <c r="C459" s="1" t="s">
        <v>10</v>
      </c>
      <c r="D459" s="1">
        <v>25</v>
      </c>
      <c r="E459" s="1" t="s">
        <v>79</v>
      </c>
      <c r="F459" s="59"/>
      <c r="G459" s="32"/>
      <c r="H459" s="32"/>
    </row>
    <row r="460" spans="1:8" ht="15.75" customHeight="1">
      <c r="A460" s="1">
        <v>19307</v>
      </c>
      <c r="B460" s="2">
        <v>45117.344467592593</v>
      </c>
      <c r="C460" s="1" t="s">
        <v>8</v>
      </c>
      <c r="D460" s="1">
        <v>18</v>
      </c>
      <c r="E460" s="1" t="s">
        <v>28</v>
      </c>
      <c r="F460" s="59"/>
      <c r="G460" s="32"/>
      <c r="H460" s="32"/>
    </row>
    <row r="461" spans="1:8" ht="15.75" customHeight="1">
      <c r="A461" s="1">
        <v>19306</v>
      </c>
      <c r="B461" s="2">
        <v>45117.116956018523</v>
      </c>
      <c r="C461" s="1" t="s">
        <v>10</v>
      </c>
      <c r="D461" s="1">
        <v>25</v>
      </c>
      <c r="E461" s="1" t="s">
        <v>28</v>
      </c>
      <c r="F461" s="59"/>
      <c r="G461" s="32"/>
      <c r="H461" s="32"/>
    </row>
    <row r="462" spans="1:8" ht="15.75" customHeight="1">
      <c r="A462" s="1">
        <v>19305</v>
      </c>
      <c r="B462" s="2">
        <v>45117.053171296298</v>
      </c>
      <c r="C462" s="1" t="s">
        <v>10</v>
      </c>
      <c r="D462" s="1">
        <v>40</v>
      </c>
      <c r="E462" s="1" t="s">
        <v>28</v>
      </c>
      <c r="F462" s="59"/>
      <c r="G462" s="32"/>
      <c r="H462" s="32"/>
    </row>
    <row r="463" spans="1:8" ht="15.75" customHeight="1">
      <c r="A463" s="1">
        <v>19304</v>
      </c>
      <c r="B463" s="2">
        <v>45116.94866898148</v>
      </c>
      <c r="C463" s="1" t="s">
        <v>10</v>
      </c>
      <c r="D463" s="1">
        <v>20</v>
      </c>
      <c r="E463" s="1" t="s">
        <v>28</v>
      </c>
      <c r="F463" s="59"/>
      <c r="G463" s="32"/>
      <c r="H463" s="32"/>
    </row>
    <row r="464" spans="1:8" ht="15.75" customHeight="1">
      <c r="A464" s="1">
        <v>19303</v>
      </c>
      <c r="B464" s="2">
        <v>45116.756701388891</v>
      </c>
      <c r="C464" s="1" t="s">
        <v>10</v>
      </c>
      <c r="D464" s="1">
        <v>73</v>
      </c>
      <c r="E464" s="1" t="s">
        <v>28</v>
      </c>
      <c r="F464" s="59"/>
      <c r="G464" s="32"/>
      <c r="H464" s="32"/>
    </row>
    <row r="465" spans="1:8" ht="15.75" customHeight="1">
      <c r="A465" s="1">
        <v>19302</v>
      </c>
      <c r="B465" s="2">
        <v>45116.750972222224</v>
      </c>
      <c r="C465" s="1" t="s">
        <v>10</v>
      </c>
      <c r="D465" s="1">
        <v>73</v>
      </c>
      <c r="E465" s="1" t="s">
        <v>28</v>
      </c>
      <c r="F465" s="59"/>
      <c r="G465" s="32"/>
      <c r="H465" s="32"/>
    </row>
    <row r="466" spans="1:8" ht="15.75" customHeight="1">
      <c r="A466" s="1">
        <v>19301</v>
      </c>
      <c r="B466" s="2">
        <v>45116.746053240742</v>
      </c>
      <c r="C466" s="1" t="s">
        <v>10</v>
      </c>
      <c r="D466" s="1">
        <v>46</v>
      </c>
      <c r="E466" s="1" t="s">
        <v>28</v>
      </c>
      <c r="F466" s="59"/>
      <c r="G466" s="32"/>
      <c r="H466" s="32"/>
    </row>
    <row r="467" spans="1:8" ht="15.75" customHeight="1">
      <c r="A467" s="1">
        <v>19300</v>
      </c>
      <c r="B467" s="2">
        <v>45116.717453703706</v>
      </c>
      <c r="C467" s="1" t="s">
        <v>10</v>
      </c>
      <c r="D467" s="1">
        <v>52</v>
      </c>
      <c r="E467" s="1" t="s">
        <v>28</v>
      </c>
      <c r="F467" s="59"/>
      <c r="G467" s="32"/>
      <c r="H467" s="32"/>
    </row>
    <row r="468" spans="1:8" ht="15.75" customHeight="1">
      <c r="A468" s="1">
        <v>19299</v>
      </c>
      <c r="B468" s="2">
        <v>45116.569548611107</v>
      </c>
      <c r="C468" s="1" t="s">
        <v>10</v>
      </c>
      <c r="D468" s="1">
        <v>40</v>
      </c>
      <c r="E468" s="1" t="s">
        <v>28</v>
      </c>
      <c r="F468" s="59"/>
      <c r="G468" s="32"/>
      <c r="H468" s="32"/>
    </row>
    <row r="469" spans="1:8" ht="15.75" customHeight="1">
      <c r="A469" s="1">
        <v>19298</v>
      </c>
      <c r="B469" s="2">
        <v>45116.511053240742</v>
      </c>
      <c r="C469" s="1" t="s">
        <v>10</v>
      </c>
      <c r="D469" s="1">
        <v>25</v>
      </c>
      <c r="E469" s="1" t="s">
        <v>79</v>
      </c>
      <c r="F469" s="59"/>
      <c r="G469" s="32"/>
      <c r="H469" s="32"/>
    </row>
    <row r="470" spans="1:8" ht="15.75" customHeight="1">
      <c r="A470" s="1">
        <v>19297</v>
      </c>
      <c r="B470" s="2">
        <v>45116.048715277779</v>
      </c>
      <c r="C470" s="1" t="s">
        <v>10</v>
      </c>
      <c r="D470" s="1">
        <v>25</v>
      </c>
      <c r="E470" s="1" t="s">
        <v>28</v>
      </c>
      <c r="F470" s="59"/>
      <c r="G470" s="32"/>
      <c r="H470" s="32"/>
    </row>
    <row r="471" spans="1:8" ht="15.75" customHeight="1">
      <c r="A471" s="1">
        <v>19296</v>
      </c>
      <c r="B471" s="2">
        <v>45115.872569444444</v>
      </c>
      <c r="C471" s="1" t="s">
        <v>10</v>
      </c>
      <c r="D471" s="1">
        <v>25</v>
      </c>
      <c r="E471" s="1" t="s">
        <v>79</v>
      </c>
      <c r="F471" s="59"/>
      <c r="G471" s="32"/>
      <c r="H471" s="32"/>
    </row>
    <row r="472" spans="1:8" ht="15.75" customHeight="1">
      <c r="A472" s="1">
        <v>19295</v>
      </c>
      <c r="B472" s="2">
        <v>45115.684097222227</v>
      </c>
      <c r="C472" s="1" t="s">
        <v>10</v>
      </c>
      <c r="D472" s="1">
        <v>40</v>
      </c>
      <c r="E472" s="1" t="s">
        <v>28</v>
      </c>
      <c r="F472" s="59"/>
      <c r="G472" s="32"/>
      <c r="H472" s="32"/>
    </row>
    <row r="473" spans="1:8" ht="15.75" customHeight="1">
      <c r="A473" s="1">
        <v>19294</v>
      </c>
      <c r="B473" s="2">
        <v>45115.61</v>
      </c>
      <c r="C473" s="1" t="s">
        <v>10</v>
      </c>
      <c r="D473" s="1">
        <v>51</v>
      </c>
      <c r="E473" s="1" t="s">
        <v>28</v>
      </c>
      <c r="F473" s="59"/>
      <c r="G473" s="32"/>
      <c r="H473" s="32"/>
    </row>
    <row r="474" spans="1:8" ht="15.75" customHeight="1">
      <c r="A474" s="1">
        <v>19293</v>
      </c>
      <c r="B474" s="2">
        <v>45115.513831018514</v>
      </c>
      <c r="C474" s="1" t="s">
        <v>10</v>
      </c>
      <c r="D474" s="1">
        <v>30</v>
      </c>
      <c r="E474" s="1" t="s">
        <v>28</v>
      </c>
      <c r="F474" s="59"/>
      <c r="G474" s="32"/>
      <c r="H474" s="32"/>
    </row>
    <row r="475" spans="1:8" ht="15.75" customHeight="1">
      <c r="A475" s="1">
        <v>19292</v>
      </c>
      <c r="B475" s="2">
        <v>45115.094641203701</v>
      </c>
      <c r="C475" s="1" t="s">
        <v>10</v>
      </c>
      <c r="D475" s="1">
        <v>35</v>
      </c>
      <c r="E475" s="1" t="s">
        <v>28</v>
      </c>
      <c r="F475" s="59"/>
      <c r="G475" s="32"/>
      <c r="H475" s="32"/>
    </row>
    <row r="476" spans="1:8" ht="15.75" customHeight="1">
      <c r="A476" s="1">
        <v>19291</v>
      </c>
      <c r="B476" s="2">
        <v>45114.885891203703</v>
      </c>
      <c r="C476" s="1" t="s">
        <v>10</v>
      </c>
      <c r="D476" s="1">
        <v>35</v>
      </c>
      <c r="E476" s="1" t="s">
        <v>28</v>
      </c>
      <c r="F476" s="59"/>
      <c r="G476" s="32"/>
      <c r="H476" s="32"/>
    </row>
    <row r="477" spans="1:8" ht="15.75" customHeight="1">
      <c r="A477" s="1">
        <v>19290</v>
      </c>
      <c r="B477" s="2">
        <v>45114.884050925924</v>
      </c>
      <c r="C477" s="1" t="s">
        <v>10</v>
      </c>
      <c r="D477" s="1">
        <v>35</v>
      </c>
      <c r="E477" s="1" t="s">
        <v>28</v>
      </c>
      <c r="F477" s="59"/>
      <c r="G477" s="32"/>
      <c r="H477" s="32"/>
    </row>
    <row r="478" spans="1:8" ht="15.75" customHeight="1">
      <c r="A478" s="1">
        <v>19288</v>
      </c>
      <c r="B478" s="2">
        <v>45114.531122685185</v>
      </c>
      <c r="C478" s="1" t="s">
        <v>10</v>
      </c>
      <c r="D478" s="1">
        <v>35</v>
      </c>
      <c r="E478" s="1" t="s">
        <v>28</v>
      </c>
      <c r="F478" s="59"/>
      <c r="G478" s="32"/>
      <c r="H478" s="32"/>
    </row>
    <row r="479" spans="1:8" ht="15.75" customHeight="1">
      <c r="A479" s="1">
        <v>19287</v>
      </c>
      <c r="B479" s="2">
        <v>45114.490763888884</v>
      </c>
      <c r="C479" s="1" t="s">
        <v>10</v>
      </c>
      <c r="D479" s="1">
        <v>25</v>
      </c>
      <c r="E479" s="1" t="s">
        <v>28</v>
      </c>
      <c r="F479" s="59"/>
      <c r="G479" s="32"/>
      <c r="H479" s="32"/>
    </row>
    <row r="480" spans="1:8" ht="15.75" customHeight="1">
      <c r="A480" s="1">
        <v>19286</v>
      </c>
      <c r="B480" s="2">
        <v>45114.106874999998</v>
      </c>
      <c r="C480" s="1" t="s">
        <v>10</v>
      </c>
      <c r="D480" s="1">
        <v>96</v>
      </c>
      <c r="E480" s="1" t="s">
        <v>59</v>
      </c>
      <c r="F480" s="59"/>
      <c r="G480" s="32"/>
      <c r="H480" s="32"/>
    </row>
    <row r="481" spans="1:8" ht="15.75" customHeight="1">
      <c r="A481" s="1">
        <v>19282</v>
      </c>
      <c r="B481" s="2">
        <v>45113.804259259261</v>
      </c>
      <c r="C481" s="1" t="s">
        <v>10</v>
      </c>
      <c r="D481" s="1">
        <v>45</v>
      </c>
      <c r="E481" s="1" t="s">
        <v>28</v>
      </c>
      <c r="F481" s="59"/>
      <c r="G481" s="32"/>
      <c r="H481" s="32"/>
    </row>
    <row r="482" spans="1:8" ht="15.75" customHeight="1">
      <c r="A482" s="1">
        <v>19281</v>
      </c>
      <c r="B482" s="2">
        <v>45113.801018518519</v>
      </c>
      <c r="C482" s="1" t="s">
        <v>10</v>
      </c>
      <c r="D482" s="1">
        <v>45</v>
      </c>
      <c r="E482" s="1" t="s">
        <v>28</v>
      </c>
      <c r="F482" s="59"/>
      <c r="G482" s="32"/>
      <c r="H482" s="32"/>
    </row>
    <row r="483" spans="1:8" ht="15.75" customHeight="1">
      <c r="A483" s="1">
        <v>19278</v>
      </c>
      <c r="B483" s="2">
        <v>45113.519814814819</v>
      </c>
      <c r="C483" s="1" t="s">
        <v>10</v>
      </c>
      <c r="D483" s="1">
        <v>25</v>
      </c>
      <c r="E483" s="1" t="s">
        <v>28</v>
      </c>
      <c r="F483" s="59"/>
      <c r="G483" s="32"/>
      <c r="H483" s="32"/>
    </row>
    <row r="484" spans="1:8" ht="15.75" customHeight="1">
      <c r="A484" s="1">
        <v>19277</v>
      </c>
      <c r="B484" s="2">
        <v>45113.020254629635</v>
      </c>
      <c r="C484" s="1" t="s">
        <v>10</v>
      </c>
      <c r="D484" s="1">
        <v>18</v>
      </c>
      <c r="E484" s="1" t="s">
        <v>28</v>
      </c>
      <c r="F484" s="59"/>
      <c r="G484" s="32"/>
      <c r="H484" s="32"/>
    </row>
    <row r="485" spans="1:8" ht="15.75" customHeight="1">
      <c r="A485" s="1">
        <v>19276</v>
      </c>
      <c r="B485" s="2">
        <v>45113.014930555553</v>
      </c>
      <c r="C485" s="1" t="s">
        <v>10</v>
      </c>
      <c r="D485" s="1">
        <v>25</v>
      </c>
      <c r="E485" s="1" t="s">
        <v>28</v>
      </c>
      <c r="F485" s="59"/>
      <c r="G485" s="32"/>
      <c r="H485" s="32"/>
    </row>
    <row r="486" spans="1:8" ht="15.75" customHeight="1">
      <c r="A486" s="1">
        <v>19275</v>
      </c>
      <c r="B486" s="2">
        <v>45112.944328703699</v>
      </c>
      <c r="C486" s="1" t="s">
        <v>10</v>
      </c>
      <c r="D486" s="1">
        <v>25</v>
      </c>
      <c r="E486" s="1" t="s">
        <v>81</v>
      </c>
      <c r="F486" s="59"/>
      <c r="G486" s="32"/>
      <c r="H486" s="32"/>
    </row>
    <row r="487" spans="1:8" ht="15.75" customHeight="1">
      <c r="A487" s="1">
        <v>19274</v>
      </c>
      <c r="B487" s="2">
        <v>45112.881354166668</v>
      </c>
      <c r="C487" s="1" t="s">
        <v>10</v>
      </c>
      <c r="D487" s="1">
        <v>25</v>
      </c>
      <c r="E487" s="1" t="s">
        <v>28</v>
      </c>
      <c r="F487" s="59"/>
      <c r="G487" s="32"/>
      <c r="H487" s="32"/>
    </row>
    <row r="488" spans="1:8" ht="15.75" customHeight="1">
      <c r="A488" s="1">
        <v>19267</v>
      </c>
      <c r="B488" s="2">
        <v>45112.810717592598</v>
      </c>
      <c r="C488" s="1" t="s">
        <v>10</v>
      </c>
      <c r="D488" s="1">
        <v>28</v>
      </c>
      <c r="E488" s="1" t="s">
        <v>28</v>
      </c>
      <c r="F488" s="59"/>
      <c r="G488" s="32"/>
      <c r="H488" s="32"/>
    </row>
    <row r="489" spans="1:8" ht="15.75" customHeight="1">
      <c r="A489" s="1">
        <v>19266</v>
      </c>
      <c r="B489" s="2">
        <v>45112.809444444443</v>
      </c>
      <c r="C489" s="1" t="s">
        <v>10</v>
      </c>
      <c r="D489" s="1">
        <v>28</v>
      </c>
      <c r="E489" s="1" t="s">
        <v>28</v>
      </c>
      <c r="F489" s="59"/>
      <c r="G489" s="32"/>
      <c r="H489" s="32"/>
    </row>
    <row r="490" spans="1:8" ht="15.75" customHeight="1">
      <c r="A490" s="1">
        <v>19265</v>
      </c>
      <c r="B490" s="2">
        <v>45112.682974537034</v>
      </c>
      <c r="C490" s="1" t="s">
        <v>10</v>
      </c>
      <c r="D490" s="1">
        <v>43</v>
      </c>
      <c r="E490" s="1" t="s">
        <v>28</v>
      </c>
      <c r="F490" s="59"/>
      <c r="G490" s="32"/>
      <c r="H490" s="32"/>
    </row>
    <row r="491" spans="1:8" ht="15.75" customHeight="1">
      <c r="A491" s="1">
        <v>19264</v>
      </c>
      <c r="B491" s="2">
        <v>45112.677256944444</v>
      </c>
      <c r="C491" s="1" t="s">
        <v>10</v>
      </c>
      <c r="D491" s="1">
        <v>18</v>
      </c>
      <c r="E491" s="1" t="s">
        <v>28</v>
      </c>
      <c r="F491" s="59"/>
      <c r="G491" s="32"/>
      <c r="H491" s="32"/>
    </row>
    <row r="492" spans="1:8" ht="15.75" customHeight="1">
      <c r="A492" s="1">
        <v>19263</v>
      </c>
      <c r="B492" s="2">
        <v>45112.675104166672</v>
      </c>
      <c r="C492" s="1" t="s">
        <v>10</v>
      </c>
      <c r="D492" s="1">
        <v>18</v>
      </c>
      <c r="E492" s="1" t="s">
        <v>28</v>
      </c>
      <c r="F492" s="59"/>
      <c r="G492" s="32"/>
      <c r="H492" s="32"/>
    </row>
    <row r="493" spans="1:8" ht="15.75" customHeight="1">
      <c r="A493" s="1">
        <v>19261</v>
      </c>
      <c r="B493" s="2">
        <v>45111.988877314812</v>
      </c>
      <c r="C493" s="1" t="s">
        <v>10</v>
      </c>
      <c r="D493" s="1">
        <v>15</v>
      </c>
      <c r="E493" s="1" t="s">
        <v>28</v>
      </c>
      <c r="F493" s="59"/>
      <c r="G493" s="32"/>
      <c r="H493" s="32"/>
    </row>
    <row r="494" spans="1:8" ht="15.75" customHeight="1">
      <c r="A494" s="1">
        <v>19260</v>
      </c>
      <c r="B494" s="2">
        <v>45110.9144212963</v>
      </c>
      <c r="C494" s="1" t="s">
        <v>10</v>
      </c>
      <c r="D494" s="1">
        <v>28</v>
      </c>
      <c r="E494" s="1" t="s">
        <v>28</v>
      </c>
      <c r="F494" s="59"/>
      <c r="G494" s="32"/>
      <c r="H494" s="32"/>
    </row>
    <row r="495" spans="1:8" ht="15.75" customHeight="1">
      <c r="A495" s="1">
        <v>19259</v>
      </c>
      <c r="B495" s="2">
        <v>45110.912870370375</v>
      </c>
      <c r="C495" s="1" t="s">
        <v>10</v>
      </c>
      <c r="D495" s="1">
        <v>28</v>
      </c>
      <c r="E495" s="1" t="s">
        <v>28</v>
      </c>
      <c r="F495" s="59"/>
      <c r="G495" s="32"/>
      <c r="H495" s="32"/>
    </row>
    <row r="496" spans="1:8" ht="15.75" customHeight="1">
      <c r="A496" s="1">
        <v>19258</v>
      </c>
      <c r="B496" s="2">
        <v>45110.846539351856</v>
      </c>
      <c r="C496" s="1" t="s">
        <v>10</v>
      </c>
      <c r="D496" s="1">
        <v>51</v>
      </c>
      <c r="E496" s="1" t="s">
        <v>28</v>
      </c>
      <c r="F496" s="59"/>
      <c r="G496" s="32"/>
      <c r="H496" s="32"/>
    </row>
    <row r="497" spans="1:8" ht="15.75" customHeight="1">
      <c r="A497" s="1">
        <v>19257</v>
      </c>
      <c r="B497" s="2">
        <v>45110.800775462965</v>
      </c>
      <c r="C497" s="1" t="s">
        <v>10</v>
      </c>
      <c r="D497" s="1">
        <v>25</v>
      </c>
      <c r="E497" s="1" t="s">
        <v>28</v>
      </c>
      <c r="F497" s="59"/>
      <c r="G497" s="32"/>
      <c r="H497" s="32"/>
    </row>
    <row r="498" spans="1:8" ht="15.75" customHeight="1">
      <c r="A498" s="1">
        <v>19256</v>
      </c>
      <c r="B498" s="2">
        <v>45110.736898148149</v>
      </c>
      <c r="C498" s="1" t="s">
        <v>10</v>
      </c>
      <c r="D498" s="1">
        <v>15</v>
      </c>
      <c r="E498" s="1" t="s">
        <v>28</v>
      </c>
      <c r="F498" s="59"/>
      <c r="G498" s="32"/>
      <c r="H498" s="32"/>
    </row>
    <row r="499" spans="1:8" ht="15.75" customHeight="1">
      <c r="A499" s="1">
        <v>19255</v>
      </c>
      <c r="B499" s="2">
        <v>45110.600949074069</v>
      </c>
      <c r="C499" s="1" t="s">
        <v>5</v>
      </c>
      <c r="D499" s="1">
        <v>0</v>
      </c>
      <c r="E499" s="1" t="s">
        <v>82</v>
      </c>
      <c r="F499" s="59"/>
      <c r="G499" s="32"/>
      <c r="H499" s="32"/>
    </row>
    <row r="500" spans="1:8" ht="15.75" customHeight="1">
      <c r="A500" s="1">
        <v>19254</v>
      </c>
      <c r="B500" s="2">
        <v>45110.599108796298</v>
      </c>
      <c r="C500" s="1" t="s">
        <v>5</v>
      </c>
      <c r="D500" s="1">
        <v>0</v>
      </c>
      <c r="E500" s="1" t="s">
        <v>82</v>
      </c>
      <c r="F500" s="59"/>
      <c r="G500" s="32"/>
      <c r="H500" s="32"/>
    </row>
    <row r="501" spans="1:8" ht="15.75" customHeight="1">
      <c r="A501" s="1">
        <v>19253</v>
      </c>
      <c r="B501" s="2">
        <v>45110.571122685185</v>
      </c>
      <c r="C501" s="1" t="s">
        <v>10</v>
      </c>
      <c r="D501" s="1">
        <v>25</v>
      </c>
      <c r="E501" s="1" t="s">
        <v>83</v>
      </c>
      <c r="F501" s="59"/>
      <c r="G501" s="32"/>
      <c r="H501" s="32"/>
    </row>
    <row r="502" spans="1:8" ht="15.75" customHeight="1">
      <c r="A502" s="1">
        <v>19252</v>
      </c>
      <c r="B502" s="2">
        <v>45110.149849537032</v>
      </c>
      <c r="C502" s="1" t="s">
        <v>10</v>
      </c>
      <c r="D502" s="1">
        <v>18</v>
      </c>
      <c r="E502" s="1" t="s">
        <v>84</v>
      </c>
      <c r="F502" s="59"/>
      <c r="G502" s="32"/>
      <c r="H502" s="32"/>
    </row>
    <row r="503" spans="1:8" ht="15.75" customHeight="1">
      <c r="A503" s="1">
        <v>19251</v>
      </c>
      <c r="B503" s="2">
        <v>45110.096805555557</v>
      </c>
      <c r="C503" s="1" t="s">
        <v>10</v>
      </c>
      <c r="D503" s="1">
        <v>25</v>
      </c>
      <c r="E503" s="1" t="s">
        <v>15</v>
      </c>
      <c r="F503" s="59"/>
      <c r="G503" s="32"/>
      <c r="H503" s="32"/>
    </row>
    <row r="504" spans="1:8" ht="15.75" customHeight="1">
      <c r="A504" s="1">
        <v>19250</v>
      </c>
      <c r="B504" s="2">
        <v>45109.179548611108</v>
      </c>
      <c r="C504" s="1" t="s">
        <v>10</v>
      </c>
      <c r="D504" s="1">
        <v>18</v>
      </c>
      <c r="E504" s="1" t="s">
        <v>28</v>
      </c>
      <c r="F504" s="59"/>
      <c r="G504" s="32"/>
      <c r="H504" s="32"/>
    </row>
    <row r="505" spans="1:8" ht="15.75" customHeight="1">
      <c r="A505" s="1">
        <v>19249</v>
      </c>
      <c r="B505" s="2">
        <v>45109.177650462967</v>
      </c>
      <c r="C505" s="1" t="s">
        <v>10</v>
      </c>
      <c r="D505" s="1">
        <v>18</v>
      </c>
      <c r="E505" s="1" t="s">
        <v>28</v>
      </c>
      <c r="F505" s="59"/>
      <c r="G505" s="32"/>
      <c r="H505" s="32"/>
    </row>
    <row r="506" spans="1:8" ht="15.75" customHeight="1">
      <c r="A506" s="1">
        <v>19248</v>
      </c>
      <c r="B506" s="2">
        <v>45109.073263888888</v>
      </c>
      <c r="C506" s="1" t="s">
        <v>10</v>
      </c>
      <c r="D506" s="1">
        <v>26</v>
      </c>
      <c r="E506" s="1" t="s">
        <v>59</v>
      </c>
      <c r="F506" s="59"/>
      <c r="G506" s="32"/>
      <c r="H506" s="32"/>
    </row>
    <row r="507" spans="1:8" ht="15.75" customHeight="1">
      <c r="A507" s="1">
        <v>19247</v>
      </c>
      <c r="B507" s="2">
        <v>45108.912395833337</v>
      </c>
      <c r="C507" s="1" t="s">
        <v>10</v>
      </c>
      <c r="D507" s="1">
        <v>26</v>
      </c>
      <c r="E507" s="1" t="s">
        <v>85</v>
      </c>
      <c r="F507" s="59"/>
      <c r="G507" s="32"/>
      <c r="H507" s="32"/>
    </row>
    <row r="508" spans="1:8" ht="15.75" customHeight="1">
      <c r="A508" s="1">
        <v>19246</v>
      </c>
      <c r="B508" s="2">
        <v>45108.83315972222</v>
      </c>
      <c r="C508" s="1" t="s">
        <v>10</v>
      </c>
      <c r="D508" s="1">
        <v>20</v>
      </c>
      <c r="E508" s="1" t="s">
        <v>28</v>
      </c>
      <c r="F508" s="59"/>
      <c r="G508" s="32"/>
      <c r="H508" s="32"/>
    </row>
    <row r="509" spans="1:8" ht="15.75" customHeight="1">
      <c r="A509" s="1">
        <v>19245</v>
      </c>
      <c r="B509" s="2">
        <v>45108.732777777783</v>
      </c>
      <c r="C509" s="1" t="s">
        <v>10</v>
      </c>
      <c r="D509" s="1">
        <v>18</v>
      </c>
      <c r="E509" s="1" t="s">
        <v>39</v>
      </c>
      <c r="F509" s="59"/>
      <c r="G509" s="32"/>
      <c r="H509" s="32"/>
    </row>
    <row r="510" spans="1:8" ht="15.75" customHeight="1">
      <c r="A510" s="1">
        <v>19243</v>
      </c>
      <c r="B510" s="2">
        <v>45108.555439814816</v>
      </c>
      <c r="C510" s="1" t="s">
        <v>10</v>
      </c>
      <c r="D510" s="1">
        <v>15</v>
      </c>
      <c r="E510" s="1" t="s">
        <v>39</v>
      </c>
      <c r="F510" s="59"/>
      <c r="G510" s="32"/>
      <c r="H510" s="32"/>
    </row>
    <row r="511" spans="1:8" ht="15.75" customHeight="1">
      <c r="A511" s="1">
        <v>19242</v>
      </c>
      <c r="B511" s="2">
        <v>45108.121111111112</v>
      </c>
      <c r="C511" s="1" t="s">
        <v>8</v>
      </c>
      <c r="D511" s="1">
        <v>70</v>
      </c>
      <c r="E511" s="1" t="s">
        <v>39</v>
      </c>
      <c r="F511" s="59"/>
      <c r="G511" s="32"/>
      <c r="H511" s="32"/>
    </row>
    <row r="512" spans="1:8" ht="15.75" customHeight="1">
      <c r="A512" s="1">
        <v>19241</v>
      </c>
      <c r="B512" s="2">
        <v>45108.10291666667</v>
      </c>
      <c r="C512" s="1" t="s">
        <v>10</v>
      </c>
      <c r="D512" s="1">
        <v>40</v>
      </c>
      <c r="E512" s="1" t="s">
        <v>86</v>
      </c>
      <c r="F512" s="59"/>
      <c r="G512" s="32"/>
      <c r="H512" s="32"/>
    </row>
    <row r="513" spans="1:8" ht="15.75" customHeight="1">
      <c r="A513" s="1">
        <v>19240</v>
      </c>
      <c r="B513" s="2">
        <v>45107.822592592594</v>
      </c>
      <c r="C513" s="1" t="s">
        <v>10</v>
      </c>
      <c r="D513" s="1">
        <v>18</v>
      </c>
      <c r="E513" s="1" t="s">
        <v>39</v>
      </c>
      <c r="F513" s="59"/>
      <c r="G513" s="32"/>
      <c r="H513" s="32"/>
    </row>
    <row r="514" spans="1:8" ht="15.75" customHeight="1">
      <c r="A514" s="1">
        <v>19239</v>
      </c>
      <c r="B514" s="2">
        <v>45107.71230324074</v>
      </c>
      <c r="C514" s="1" t="s">
        <v>10</v>
      </c>
      <c r="D514" s="1">
        <v>25</v>
      </c>
      <c r="E514" s="1" t="s">
        <v>28</v>
      </c>
      <c r="F514" s="59"/>
      <c r="G514" s="32"/>
      <c r="H514" s="32"/>
    </row>
    <row r="515" spans="1:8" ht="15.75" customHeight="1">
      <c r="A515" s="1">
        <v>19238</v>
      </c>
      <c r="B515" s="2">
        <v>45107.710775462961</v>
      </c>
      <c r="C515" s="1" t="s">
        <v>10</v>
      </c>
      <c r="D515" s="1">
        <v>25</v>
      </c>
      <c r="E515" s="1" t="s">
        <v>28</v>
      </c>
      <c r="F515" s="59"/>
      <c r="G515" s="32"/>
      <c r="H515" s="32"/>
    </row>
    <row r="516" spans="1:8" ht="15.75" customHeight="1">
      <c r="A516" s="1">
        <v>19237</v>
      </c>
      <c r="B516" s="2">
        <v>45107.68241898148</v>
      </c>
      <c r="C516" s="1" t="s">
        <v>10</v>
      </c>
      <c r="D516" s="1">
        <v>30</v>
      </c>
      <c r="E516" s="1" t="s">
        <v>28</v>
      </c>
      <c r="F516" s="59"/>
      <c r="G516" s="32"/>
      <c r="H516" s="32"/>
    </row>
    <row r="517" spans="1:8" ht="15.75" customHeight="1">
      <c r="A517" s="1">
        <v>19236</v>
      </c>
      <c r="B517" s="2">
        <v>45106.850138888884</v>
      </c>
      <c r="C517" s="1" t="s">
        <v>10</v>
      </c>
      <c r="D517" s="1">
        <v>26</v>
      </c>
      <c r="E517" s="1" t="s">
        <v>28</v>
      </c>
      <c r="F517" s="59"/>
      <c r="G517" s="32"/>
      <c r="H517" s="32"/>
    </row>
    <row r="518" spans="1:8" ht="15.75" customHeight="1">
      <c r="A518" s="1">
        <v>19235</v>
      </c>
      <c r="B518" s="2">
        <v>45106.84679398148</v>
      </c>
      <c r="C518" s="1" t="s">
        <v>10</v>
      </c>
      <c r="D518" s="1">
        <v>26</v>
      </c>
      <c r="E518" s="1" t="s">
        <v>28</v>
      </c>
      <c r="F518" s="59"/>
      <c r="G518" s="32"/>
      <c r="H518" s="32"/>
    </row>
    <row r="519" spans="1:8" ht="15.75" customHeight="1">
      <c r="A519" s="1">
        <v>19234</v>
      </c>
      <c r="B519" s="2">
        <v>45106.575138888889</v>
      </c>
      <c r="C519" s="1" t="s">
        <v>10</v>
      </c>
      <c r="D519" s="1">
        <v>26</v>
      </c>
      <c r="E519" s="1" t="s">
        <v>28</v>
      </c>
      <c r="F519" s="59"/>
      <c r="G519" s="32"/>
      <c r="H519" s="32"/>
    </row>
    <row r="520" spans="1:8" ht="15.75" customHeight="1">
      <c r="A520" s="1">
        <v>19233</v>
      </c>
      <c r="B520" s="2">
        <v>45106.572847222225</v>
      </c>
      <c r="C520" s="1" t="s">
        <v>10</v>
      </c>
      <c r="D520" s="1">
        <v>26</v>
      </c>
      <c r="E520" s="1" t="s">
        <v>28</v>
      </c>
      <c r="F520" s="59"/>
      <c r="G520" s="32"/>
      <c r="H520" s="32"/>
    </row>
    <row r="521" spans="1:8" ht="15.75" customHeight="1">
      <c r="A521" s="1">
        <v>19232</v>
      </c>
      <c r="B521" s="2">
        <v>45106.511111111111</v>
      </c>
      <c r="C521" s="1" t="s">
        <v>10</v>
      </c>
      <c r="D521" s="1">
        <v>25</v>
      </c>
      <c r="E521" s="1" t="s">
        <v>28</v>
      </c>
      <c r="F521" s="59"/>
      <c r="G521" s="32"/>
      <c r="H521" s="32"/>
    </row>
    <row r="522" spans="1:8" ht="15.75" customHeight="1">
      <c r="A522" s="1">
        <v>19231</v>
      </c>
      <c r="B522" s="2">
        <v>45106.005740740744</v>
      </c>
      <c r="C522" s="1" t="s">
        <v>10</v>
      </c>
      <c r="D522" s="1">
        <v>25</v>
      </c>
      <c r="E522" s="1" t="s">
        <v>59</v>
      </c>
      <c r="F522" s="59"/>
      <c r="G522" s="32"/>
      <c r="H522" s="32"/>
    </row>
    <row r="523" spans="1:8" ht="15.75" customHeight="1">
      <c r="A523" s="1">
        <v>19230</v>
      </c>
      <c r="B523" s="2">
        <v>45105.967511574076</v>
      </c>
      <c r="C523" s="1" t="s">
        <v>10</v>
      </c>
      <c r="D523" s="1">
        <v>0</v>
      </c>
      <c r="E523" s="1" t="s">
        <v>28</v>
      </c>
      <c r="F523" s="59"/>
      <c r="G523" s="32"/>
      <c r="H523" s="32"/>
    </row>
    <row r="524" spans="1:8" ht="15.75" customHeight="1">
      <c r="A524" s="1">
        <v>19229</v>
      </c>
      <c r="B524" s="2">
        <v>45105.965983796297</v>
      </c>
      <c r="C524" s="1" t="s">
        <v>10</v>
      </c>
      <c r="D524" s="1">
        <v>65</v>
      </c>
      <c r="E524" s="1" t="s">
        <v>28</v>
      </c>
      <c r="F524" s="59"/>
      <c r="G524" s="32"/>
      <c r="H524" s="32"/>
    </row>
    <row r="525" spans="1:8" ht="15.75" customHeight="1">
      <c r="A525" s="1">
        <v>19228</v>
      </c>
      <c r="B525" s="2">
        <v>45105.955590277779</v>
      </c>
      <c r="C525" s="1" t="s">
        <v>10</v>
      </c>
      <c r="D525" s="1">
        <v>25</v>
      </c>
      <c r="E525" s="1" t="s">
        <v>39</v>
      </c>
      <c r="F525" s="59"/>
      <c r="G525" s="32"/>
      <c r="H525" s="32"/>
    </row>
    <row r="526" spans="1:8" ht="15.75" customHeight="1">
      <c r="A526" s="1">
        <v>19227</v>
      </c>
      <c r="B526" s="2">
        <v>45105.823136574079</v>
      </c>
      <c r="C526" s="1" t="s">
        <v>10</v>
      </c>
      <c r="D526" s="1">
        <v>53</v>
      </c>
      <c r="E526" s="1" t="s">
        <v>28</v>
      </c>
      <c r="F526" s="59"/>
      <c r="G526" s="32"/>
      <c r="H526" s="32"/>
    </row>
    <row r="527" spans="1:8" ht="15.75" customHeight="1">
      <c r="A527" s="1">
        <v>19226</v>
      </c>
      <c r="B527" s="2">
        <v>45105.58965277778</v>
      </c>
      <c r="C527" s="1" t="s">
        <v>10</v>
      </c>
      <c r="D527" s="1">
        <v>0</v>
      </c>
      <c r="E527" s="1" t="s">
        <v>28</v>
      </c>
      <c r="F527" s="59"/>
      <c r="G527" s="32"/>
      <c r="H527" s="32"/>
    </row>
    <row r="528" spans="1:8" ht="15.75" customHeight="1">
      <c r="A528" s="1">
        <v>19225</v>
      </c>
      <c r="B528" s="2">
        <v>45105.588310185187</v>
      </c>
      <c r="C528" s="1" t="s">
        <v>10</v>
      </c>
      <c r="D528" s="1">
        <v>81</v>
      </c>
      <c r="E528" s="1" t="s">
        <v>28</v>
      </c>
      <c r="F528" s="59"/>
      <c r="G528" s="32"/>
      <c r="H528" s="32"/>
    </row>
    <row r="529" spans="1:8" ht="15.75" customHeight="1">
      <c r="A529" s="1">
        <v>19224</v>
      </c>
      <c r="B529" s="2">
        <v>45105.579618055555</v>
      </c>
      <c r="C529" s="1" t="s">
        <v>10</v>
      </c>
      <c r="D529" s="1">
        <v>134</v>
      </c>
      <c r="E529" s="1" t="s">
        <v>28</v>
      </c>
      <c r="F529" s="59"/>
      <c r="G529" s="32"/>
      <c r="H529" s="32"/>
    </row>
    <row r="530" spans="1:8" ht="15.75" customHeight="1">
      <c r="A530" s="1">
        <v>19223</v>
      </c>
      <c r="B530" s="2">
        <v>45105.515798611115</v>
      </c>
      <c r="C530" s="1" t="s">
        <v>10</v>
      </c>
      <c r="D530" s="1">
        <v>25</v>
      </c>
      <c r="E530" s="1" t="s">
        <v>28</v>
      </c>
      <c r="F530" s="59"/>
      <c r="G530" s="32"/>
      <c r="H530" s="32"/>
    </row>
    <row r="531" spans="1:8" ht="15.75" customHeight="1">
      <c r="A531" s="1">
        <v>19222</v>
      </c>
      <c r="B531" s="2">
        <v>45105.155416666668</v>
      </c>
      <c r="C531" s="1" t="s">
        <v>10</v>
      </c>
      <c r="D531" s="1">
        <v>20</v>
      </c>
      <c r="E531" s="1" t="s">
        <v>34</v>
      </c>
      <c r="F531" s="59"/>
      <c r="G531" s="32"/>
      <c r="H531" s="32"/>
    </row>
    <row r="532" spans="1:8" ht="15.75" customHeight="1">
      <c r="A532" s="1">
        <v>19221</v>
      </c>
      <c r="B532" s="2">
        <v>45105.058738425927</v>
      </c>
      <c r="C532" s="1" t="s">
        <v>52</v>
      </c>
      <c r="D532" s="1">
        <v>15</v>
      </c>
      <c r="E532" s="1" t="s">
        <v>28</v>
      </c>
      <c r="F532" s="59"/>
      <c r="G532" s="32"/>
      <c r="H532" s="32"/>
    </row>
    <row r="533" spans="1:8" ht="15.75" customHeight="1">
      <c r="A533" s="1">
        <v>19220</v>
      </c>
      <c r="B533" s="2">
        <v>45104.862615740742</v>
      </c>
      <c r="C533" s="1" t="s">
        <v>10</v>
      </c>
      <c r="D533" s="1">
        <v>25</v>
      </c>
      <c r="E533" s="1" t="s">
        <v>28</v>
      </c>
      <c r="F533" s="59"/>
      <c r="G533" s="32"/>
      <c r="H533" s="32"/>
    </row>
    <row r="534" spans="1:8" ht="15.75" customHeight="1">
      <c r="A534" s="1">
        <v>19219</v>
      </c>
      <c r="B534" s="2">
        <v>45104.830231481479</v>
      </c>
      <c r="C534" s="1" t="s">
        <v>10</v>
      </c>
      <c r="D534" s="1">
        <v>18</v>
      </c>
      <c r="E534" s="1" t="s">
        <v>28</v>
      </c>
      <c r="F534" s="59"/>
      <c r="G534" s="32"/>
      <c r="H534" s="32"/>
    </row>
    <row r="535" spans="1:8" ht="15.75" customHeight="1">
      <c r="A535" s="1">
        <v>19218</v>
      </c>
      <c r="B535" s="2">
        <v>45104.743321759262</v>
      </c>
      <c r="C535" s="1" t="s">
        <v>10</v>
      </c>
      <c r="D535" s="1">
        <v>25</v>
      </c>
      <c r="E535" s="1" t="s">
        <v>28</v>
      </c>
      <c r="F535" s="59"/>
      <c r="G535" s="32"/>
      <c r="H535" s="32"/>
    </row>
    <row r="536" spans="1:8" ht="15.75" customHeight="1">
      <c r="A536" s="1">
        <v>19217</v>
      </c>
      <c r="B536" s="2">
        <v>45104.729108796295</v>
      </c>
      <c r="C536" s="1" t="s">
        <v>10</v>
      </c>
      <c r="D536" s="1">
        <v>35</v>
      </c>
      <c r="E536" s="1" t="s">
        <v>28</v>
      </c>
      <c r="F536" s="59"/>
      <c r="G536" s="32"/>
      <c r="H536" s="32"/>
    </row>
    <row r="537" spans="1:8" ht="15.75" customHeight="1">
      <c r="A537" s="1">
        <v>19216</v>
      </c>
      <c r="B537" s="2">
        <v>45104.61100694444</v>
      </c>
      <c r="C537" s="1" t="s">
        <v>16</v>
      </c>
      <c r="D537" s="1">
        <v>26</v>
      </c>
      <c r="E537" s="1" t="s">
        <v>28</v>
      </c>
      <c r="F537" s="59"/>
      <c r="G537" s="32"/>
      <c r="H537" s="32"/>
    </row>
    <row r="538" spans="1:8" ht="15.75" customHeight="1">
      <c r="A538" s="1">
        <v>19215</v>
      </c>
      <c r="B538" s="2">
        <v>45104.46774305556</v>
      </c>
      <c r="C538" s="1" t="s">
        <v>10</v>
      </c>
      <c r="D538" s="1">
        <v>53</v>
      </c>
      <c r="E538" s="1" t="s">
        <v>28</v>
      </c>
      <c r="F538" s="59"/>
      <c r="G538" s="32"/>
      <c r="H538" s="32"/>
    </row>
    <row r="539" spans="1:8" ht="15.75" customHeight="1">
      <c r="A539" s="1">
        <v>19214</v>
      </c>
      <c r="B539" s="2">
        <v>45104.141932870371</v>
      </c>
      <c r="C539" s="1" t="s">
        <v>10</v>
      </c>
      <c r="D539" s="1">
        <v>25</v>
      </c>
      <c r="E539" s="1" t="s">
        <v>28</v>
      </c>
      <c r="F539" s="59"/>
      <c r="G539" s="32"/>
      <c r="H539" s="32"/>
    </row>
    <row r="540" spans="1:8" ht="15.75" customHeight="1">
      <c r="A540" s="1">
        <v>19213</v>
      </c>
      <c r="B540" s="2">
        <v>45104.023356481484</v>
      </c>
      <c r="C540" s="1" t="s">
        <v>10</v>
      </c>
      <c r="D540" s="1">
        <v>0</v>
      </c>
      <c r="E540" s="1" t="s">
        <v>28</v>
      </c>
      <c r="F540" s="59"/>
      <c r="G540" s="32"/>
      <c r="H540" s="32"/>
    </row>
    <row r="541" spans="1:8" ht="15.75" customHeight="1">
      <c r="A541" s="1">
        <v>19212</v>
      </c>
      <c r="B541" s="2">
        <v>45104.007847222223</v>
      </c>
      <c r="C541" s="1" t="s">
        <v>10</v>
      </c>
      <c r="D541" s="1">
        <v>20</v>
      </c>
      <c r="E541" s="1" t="s">
        <v>28</v>
      </c>
      <c r="F541" s="59"/>
      <c r="G541" s="32"/>
      <c r="H541" s="32"/>
    </row>
    <row r="542" spans="1:8" ht="15.75" customHeight="1">
      <c r="A542" s="1">
        <v>19211</v>
      </c>
      <c r="B542" s="2">
        <v>45103.975520833337</v>
      </c>
      <c r="C542" s="1" t="s">
        <v>10</v>
      </c>
      <c r="D542" s="1">
        <v>22</v>
      </c>
      <c r="E542" s="1" t="s">
        <v>28</v>
      </c>
      <c r="F542" s="59"/>
      <c r="G542" s="32"/>
      <c r="H542" s="32"/>
    </row>
    <row r="543" spans="1:8" ht="15.75" customHeight="1">
      <c r="A543" s="1">
        <v>19210</v>
      </c>
      <c r="B543" s="2">
        <v>45103.95275462963</v>
      </c>
      <c r="C543" s="1" t="s">
        <v>10</v>
      </c>
      <c r="D543" s="1">
        <v>78</v>
      </c>
      <c r="E543" s="1" t="s">
        <v>28</v>
      </c>
      <c r="F543" s="59"/>
      <c r="G543" s="32"/>
      <c r="H543" s="32"/>
    </row>
    <row r="544" spans="1:8" ht="15.75" customHeight="1">
      <c r="A544" s="1">
        <v>19209</v>
      </c>
      <c r="B544" s="2">
        <v>45103.873460648145</v>
      </c>
      <c r="C544" s="1" t="s">
        <v>10</v>
      </c>
      <c r="D544" s="1">
        <v>25</v>
      </c>
      <c r="E544" s="1" t="s">
        <v>28</v>
      </c>
      <c r="F544" s="59"/>
      <c r="G544" s="32"/>
      <c r="H544" s="32"/>
    </row>
    <row r="545" spans="1:8" ht="15.75" customHeight="1">
      <c r="A545" s="1">
        <v>19208</v>
      </c>
      <c r="B545" s="2">
        <v>45103.869456018518</v>
      </c>
      <c r="C545" s="1" t="s">
        <v>10</v>
      </c>
      <c r="D545" s="1">
        <v>25</v>
      </c>
      <c r="E545" s="1" t="s">
        <v>28</v>
      </c>
      <c r="F545" s="59"/>
      <c r="G545" s="32"/>
      <c r="H545" s="32"/>
    </row>
    <row r="546" spans="1:8" ht="15.75" customHeight="1">
      <c r="A546" s="1">
        <v>19207</v>
      </c>
      <c r="B546" s="2">
        <v>45103.808854166666</v>
      </c>
      <c r="C546" s="1" t="s">
        <v>10</v>
      </c>
      <c r="D546" s="1">
        <v>26</v>
      </c>
      <c r="E546" s="1" t="s">
        <v>28</v>
      </c>
      <c r="F546" s="59"/>
      <c r="G546" s="32"/>
      <c r="H546" s="32"/>
    </row>
    <row r="547" spans="1:8" ht="15.75" customHeight="1">
      <c r="A547" s="1">
        <v>19206</v>
      </c>
      <c r="B547" s="2">
        <v>45103.703321759254</v>
      </c>
      <c r="C547" s="1" t="s">
        <v>10</v>
      </c>
      <c r="D547" s="1">
        <v>15</v>
      </c>
      <c r="E547" s="1" t="s">
        <v>84</v>
      </c>
      <c r="F547" s="59"/>
      <c r="G547" s="32"/>
      <c r="H547" s="32"/>
    </row>
    <row r="548" spans="1:8" ht="15.75" customHeight="1">
      <c r="A548" s="1">
        <v>19205</v>
      </c>
      <c r="B548" s="2">
        <v>45103.657118055555</v>
      </c>
      <c r="C548" s="1" t="s">
        <v>10</v>
      </c>
      <c r="D548" s="1">
        <v>20</v>
      </c>
      <c r="E548" s="1" t="s">
        <v>28</v>
      </c>
      <c r="F548" s="59"/>
      <c r="G548" s="32"/>
      <c r="H548" s="32"/>
    </row>
    <row r="549" spans="1:8" ht="15.75" customHeight="1">
      <c r="A549" s="1">
        <v>19204</v>
      </c>
      <c r="B549" s="2">
        <v>45103.649976851855</v>
      </c>
      <c r="C549" s="1" t="s">
        <v>10</v>
      </c>
      <c r="D549" s="1">
        <v>25</v>
      </c>
      <c r="E549" s="1" t="s">
        <v>28</v>
      </c>
      <c r="F549" s="59"/>
      <c r="G549" s="32"/>
      <c r="H549" s="32"/>
    </row>
    <row r="550" spans="1:8" ht="15.75" customHeight="1">
      <c r="A550" s="1">
        <v>19203</v>
      </c>
      <c r="B550" s="2">
        <v>45103.559212962966</v>
      </c>
      <c r="C550" s="1" t="s">
        <v>10</v>
      </c>
      <c r="D550" s="1">
        <v>0</v>
      </c>
      <c r="E550" s="1" t="s">
        <v>28</v>
      </c>
      <c r="F550" s="59"/>
      <c r="G550" s="32"/>
      <c r="H550" s="32"/>
    </row>
    <row r="551" spans="1:8" ht="15.75" customHeight="1">
      <c r="A551" s="1">
        <v>19202</v>
      </c>
      <c r="B551" s="2">
        <v>45103.557789351849</v>
      </c>
      <c r="C551" s="1" t="s">
        <v>10</v>
      </c>
      <c r="D551" s="1">
        <v>18</v>
      </c>
      <c r="E551" s="1" t="s">
        <v>28</v>
      </c>
      <c r="F551" s="59"/>
      <c r="G551" s="32"/>
      <c r="H551" s="32"/>
    </row>
    <row r="552" spans="1:8" ht="15.75" customHeight="1">
      <c r="A552" s="1">
        <v>19201</v>
      </c>
      <c r="B552" s="2">
        <v>45103.063819444447</v>
      </c>
      <c r="C552" s="1" t="s">
        <v>10</v>
      </c>
      <c r="D552" s="1">
        <v>15</v>
      </c>
      <c r="E552" s="1" t="s">
        <v>28</v>
      </c>
      <c r="F552" s="59"/>
      <c r="G552" s="32"/>
      <c r="H552" s="32"/>
    </row>
    <row r="553" spans="1:8" ht="15.75" customHeight="1">
      <c r="A553" s="1">
        <v>19200</v>
      </c>
      <c r="B553" s="2">
        <v>45103.034618055557</v>
      </c>
      <c r="C553" s="1" t="s">
        <v>52</v>
      </c>
      <c r="D553" s="1">
        <v>25</v>
      </c>
      <c r="E553" s="1" t="s">
        <v>28</v>
      </c>
      <c r="F553" s="59"/>
      <c r="G553" s="32"/>
      <c r="H553" s="32"/>
    </row>
    <row r="554" spans="1:8" ht="15.75" customHeight="1">
      <c r="A554" s="1">
        <v>19199</v>
      </c>
      <c r="B554" s="2">
        <v>45102.990740740745</v>
      </c>
      <c r="C554" s="1" t="s">
        <v>10</v>
      </c>
      <c r="D554" s="1">
        <v>52</v>
      </c>
      <c r="E554" s="1" t="s">
        <v>28</v>
      </c>
      <c r="F554" s="59"/>
      <c r="G554" s="32"/>
      <c r="H554" s="32"/>
    </row>
    <row r="555" spans="1:8" ht="15.75" customHeight="1">
      <c r="A555" s="1">
        <v>19198</v>
      </c>
      <c r="B555" s="2">
        <v>45102.989282407405</v>
      </c>
      <c r="C555" s="1" t="s">
        <v>10</v>
      </c>
      <c r="D555" s="1">
        <v>35</v>
      </c>
      <c r="E555" s="1" t="s">
        <v>28</v>
      </c>
      <c r="F555" s="59"/>
      <c r="G555" s="32"/>
      <c r="H555" s="32"/>
    </row>
    <row r="556" spans="1:8" ht="15.75" customHeight="1">
      <c r="A556" s="1">
        <v>19197</v>
      </c>
      <c r="B556" s="2">
        <v>45102.874652777777</v>
      </c>
      <c r="C556" s="1" t="s">
        <v>10</v>
      </c>
      <c r="D556" s="1">
        <v>53</v>
      </c>
      <c r="E556" s="1" t="s">
        <v>28</v>
      </c>
      <c r="F556" s="59"/>
      <c r="G556" s="32"/>
      <c r="H556" s="32"/>
    </row>
    <row r="557" spans="1:8" ht="15.75" customHeight="1">
      <c r="A557" s="1">
        <v>19196</v>
      </c>
      <c r="B557" s="2">
        <v>45102.872731481482</v>
      </c>
      <c r="C557" s="1" t="s">
        <v>10</v>
      </c>
      <c r="D557" s="1">
        <v>15</v>
      </c>
      <c r="E557" s="1" t="s">
        <v>28</v>
      </c>
      <c r="F557" s="59"/>
      <c r="G557" s="32"/>
      <c r="H557" s="32"/>
    </row>
    <row r="558" spans="1:8" ht="15.75" customHeight="1">
      <c r="A558" s="1">
        <v>19195</v>
      </c>
      <c r="B558" s="2">
        <v>45102.870659722219</v>
      </c>
      <c r="C558" s="1" t="s">
        <v>10</v>
      </c>
      <c r="D558" s="1">
        <v>15</v>
      </c>
      <c r="E558" s="1" t="s">
        <v>28</v>
      </c>
      <c r="F558" s="59"/>
      <c r="G558" s="32"/>
      <c r="H558" s="32"/>
    </row>
    <row r="559" spans="1:8" ht="15.75" customHeight="1">
      <c r="A559" s="1">
        <v>19194</v>
      </c>
      <c r="B559" s="2">
        <v>45102.799293981487</v>
      </c>
      <c r="C559" s="1" t="s">
        <v>10</v>
      </c>
      <c r="D559" s="1">
        <v>28</v>
      </c>
      <c r="E559" s="1" t="s">
        <v>28</v>
      </c>
      <c r="F559" s="59"/>
      <c r="G559" s="32"/>
      <c r="H559" s="32"/>
    </row>
    <row r="560" spans="1:8" ht="15.75" customHeight="1">
      <c r="A560" s="1">
        <v>19193</v>
      </c>
      <c r="B560" s="2">
        <v>45102.631261574075</v>
      </c>
      <c r="C560" s="1" t="s">
        <v>10</v>
      </c>
      <c r="D560" s="1">
        <v>26</v>
      </c>
      <c r="E560" s="1" t="s">
        <v>28</v>
      </c>
      <c r="F560" s="59"/>
      <c r="G560" s="32"/>
      <c r="H560" s="32"/>
    </row>
    <row r="561" spans="1:8" ht="15.75" customHeight="1">
      <c r="A561" s="1">
        <v>19192</v>
      </c>
      <c r="B561" s="2">
        <v>45102.60869212963</v>
      </c>
      <c r="C561" s="1" t="s">
        <v>10</v>
      </c>
      <c r="D561" s="1">
        <v>15</v>
      </c>
      <c r="E561" s="1" t="s">
        <v>28</v>
      </c>
      <c r="F561" s="59"/>
      <c r="G561" s="32"/>
      <c r="H561" s="32"/>
    </row>
    <row r="562" spans="1:8" ht="15.75" customHeight="1">
      <c r="A562" s="1">
        <v>19191</v>
      </c>
      <c r="B562" s="2">
        <v>45102.608113425929</v>
      </c>
      <c r="C562" s="1" t="s">
        <v>10</v>
      </c>
      <c r="D562" s="1">
        <v>28</v>
      </c>
      <c r="E562" s="1" t="s">
        <v>28</v>
      </c>
      <c r="F562" s="59"/>
      <c r="G562" s="32"/>
      <c r="H562" s="32"/>
    </row>
    <row r="563" spans="1:8" ht="15.75" customHeight="1">
      <c r="A563" s="1">
        <v>19190</v>
      </c>
      <c r="B563" s="2">
        <v>45102.607210648144</v>
      </c>
      <c r="C563" s="1" t="s">
        <v>10</v>
      </c>
      <c r="D563" s="1">
        <v>25</v>
      </c>
      <c r="E563" s="1" t="s">
        <v>28</v>
      </c>
      <c r="F563" s="59"/>
      <c r="G563" s="32"/>
      <c r="H563" s="32"/>
    </row>
    <row r="564" spans="1:8" ht="15.75" customHeight="1">
      <c r="A564" s="1">
        <v>19189</v>
      </c>
      <c r="B564" s="2">
        <v>45102.597893518519</v>
      </c>
      <c r="C564" s="1" t="s">
        <v>10</v>
      </c>
      <c r="D564" s="1">
        <v>26</v>
      </c>
      <c r="E564" s="1" t="s">
        <v>28</v>
      </c>
      <c r="F564" s="59"/>
      <c r="G564" s="32"/>
      <c r="H564" s="32"/>
    </row>
    <row r="565" spans="1:8" ht="15.75" customHeight="1">
      <c r="A565" s="1">
        <v>19188</v>
      </c>
      <c r="B565" s="2">
        <v>45102.595138888893</v>
      </c>
      <c r="C565" s="1" t="s">
        <v>10</v>
      </c>
      <c r="D565" s="1">
        <v>35</v>
      </c>
      <c r="E565" s="1" t="s">
        <v>87</v>
      </c>
      <c r="F565" s="59"/>
      <c r="G565" s="32"/>
      <c r="H565" s="32"/>
    </row>
    <row r="566" spans="1:8" ht="15.75" customHeight="1">
      <c r="A566" s="1">
        <v>19187</v>
      </c>
      <c r="B566" s="2">
        <v>45102.586817129632</v>
      </c>
      <c r="C566" s="1" t="s">
        <v>10</v>
      </c>
      <c r="D566" s="1">
        <v>35</v>
      </c>
      <c r="E566" s="1" t="s">
        <v>28</v>
      </c>
      <c r="F566" s="59"/>
      <c r="G566" s="32"/>
      <c r="H566" s="32"/>
    </row>
    <row r="567" spans="1:8" ht="15.75" customHeight="1">
      <c r="A567" s="1">
        <v>19186</v>
      </c>
      <c r="B567" s="2">
        <v>45102.585497685184</v>
      </c>
      <c r="C567" s="1" t="s">
        <v>10</v>
      </c>
      <c r="D567" s="1">
        <v>35</v>
      </c>
      <c r="E567" s="1" t="s">
        <v>28</v>
      </c>
      <c r="F567" s="59"/>
      <c r="G567" s="32"/>
      <c r="H567" s="32"/>
    </row>
    <row r="568" spans="1:8" ht="15.75" customHeight="1">
      <c r="A568" s="1">
        <v>19185</v>
      </c>
      <c r="B568" s="2">
        <v>45102.584664351853</v>
      </c>
      <c r="C568" s="1" t="s">
        <v>10</v>
      </c>
      <c r="D568" s="1">
        <v>15</v>
      </c>
      <c r="E568" s="1" t="s">
        <v>28</v>
      </c>
      <c r="F568" s="59"/>
      <c r="G568" s="32"/>
      <c r="H568" s="32"/>
    </row>
    <row r="569" spans="1:8" ht="15.75" customHeight="1">
      <c r="A569" s="1">
        <v>19184</v>
      </c>
      <c r="B569" s="2">
        <v>45102.583333333328</v>
      </c>
      <c r="C569" s="1" t="s">
        <v>10</v>
      </c>
      <c r="D569" s="1">
        <v>35</v>
      </c>
      <c r="E569" s="1" t="s">
        <v>28</v>
      </c>
      <c r="F569" s="59"/>
      <c r="G569" s="32"/>
      <c r="H569" s="32"/>
    </row>
    <row r="570" spans="1:8" ht="15.75" customHeight="1">
      <c r="A570" s="1">
        <v>19183</v>
      </c>
      <c r="B570" s="2">
        <v>45102.573680555557</v>
      </c>
      <c r="C570" s="1" t="s">
        <v>10</v>
      </c>
      <c r="D570" s="1">
        <v>25</v>
      </c>
      <c r="E570" s="1" t="s">
        <v>28</v>
      </c>
      <c r="F570" s="59"/>
      <c r="G570" s="32"/>
      <c r="H570" s="32"/>
    </row>
    <row r="571" spans="1:8" ht="15.75" customHeight="1">
      <c r="A571" s="1">
        <v>19182</v>
      </c>
      <c r="B571" s="2">
        <v>45102.555543981478</v>
      </c>
      <c r="C571" s="1" t="s">
        <v>10</v>
      </c>
      <c r="D571" s="1">
        <v>25</v>
      </c>
      <c r="E571" s="1" t="s">
        <v>28</v>
      </c>
      <c r="F571" s="59"/>
      <c r="G571" s="32"/>
      <c r="H571" s="32"/>
    </row>
    <row r="572" spans="1:8" ht="15.75" customHeight="1">
      <c r="A572" s="1">
        <v>19181</v>
      </c>
      <c r="B572" s="2">
        <v>45102.554224537038</v>
      </c>
      <c r="C572" s="1" t="s">
        <v>10</v>
      </c>
      <c r="D572" s="1">
        <v>25</v>
      </c>
      <c r="E572" s="1" t="s">
        <v>28</v>
      </c>
      <c r="F572" s="59"/>
      <c r="G572" s="32"/>
      <c r="H572" s="32"/>
    </row>
    <row r="573" spans="1:8" ht="15.75" customHeight="1">
      <c r="A573" s="1">
        <v>19180</v>
      </c>
      <c r="B573" s="2">
        <v>45102.550983796296</v>
      </c>
      <c r="C573" s="1" t="s">
        <v>10</v>
      </c>
      <c r="D573" s="1">
        <v>28</v>
      </c>
      <c r="E573" s="1" t="s">
        <v>28</v>
      </c>
      <c r="F573" s="59"/>
      <c r="G573" s="32"/>
      <c r="H573" s="32"/>
    </row>
    <row r="574" spans="1:8" ht="15.75" customHeight="1">
      <c r="A574" s="1">
        <v>19179</v>
      </c>
      <c r="B574" s="2">
        <v>45102.549780092595</v>
      </c>
      <c r="C574" s="1" t="s">
        <v>10</v>
      </c>
      <c r="D574" s="1">
        <v>55</v>
      </c>
      <c r="E574" s="1" t="s">
        <v>28</v>
      </c>
      <c r="F574" s="59"/>
      <c r="G574" s="32"/>
      <c r="H574" s="32"/>
    </row>
    <row r="575" spans="1:8" ht="15.75" customHeight="1">
      <c r="A575" s="1">
        <v>19178</v>
      </c>
      <c r="B575" s="2">
        <v>45102.527800925927</v>
      </c>
      <c r="C575" s="1" t="s">
        <v>10</v>
      </c>
      <c r="D575" s="1">
        <v>20</v>
      </c>
      <c r="E575" s="1" t="s">
        <v>28</v>
      </c>
      <c r="F575" s="59"/>
      <c r="G575" s="32"/>
      <c r="H575" s="32"/>
    </row>
    <row r="576" spans="1:8" ht="15.75" customHeight="1">
      <c r="A576" s="1">
        <v>19177</v>
      </c>
      <c r="B576" s="2">
        <v>45102.526539351849</v>
      </c>
      <c r="C576" s="1" t="s">
        <v>10</v>
      </c>
      <c r="D576" s="1">
        <v>20</v>
      </c>
      <c r="E576" s="1" t="s">
        <v>28</v>
      </c>
      <c r="F576" s="59"/>
      <c r="G576" s="32"/>
      <c r="H576" s="32"/>
    </row>
    <row r="577" spans="1:8" ht="15.75" customHeight="1">
      <c r="A577" s="1">
        <v>19176</v>
      </c>
      <c r="B577" s="2">
        <v>45102.522060185191</v>
      </c>
      <c r="C577" s="1" t="s">
        <v>10</v>
      </c>
      <c r="D577" s="1">
        <v>35</v>
      </c>
      <c r="E577" s="1" t="s">
        <v>28</v>
      </c>
      <c r="F577" s="59"/>
      <c r="G577" s="32"/>
      <c r="H577" s="32"/>
    </row>
    <row r="578" spans="1:8" ht="15.75" customHeight="1">
      <c r="A578" s="1">
        <v>19175</v>
      </c>
      <c r="B578" s="2">
        <v>45102.505277777775</v>
      </c>
      <c r="C578" s="1" t="s">
        <v>10</v>
      </c>
      <c r="D578" s="1">
        <v>18</v>
      </c>
      <c r="E578" s="1" t="s">
        <v>28</v>
      </c>
      <c r="F578" s="59"/>
      <c r="G578" s="32"/>
      <c r="H578" s="32"/>
    </row>
    <row r="579" spans="1:8" ht="15.75" customHeight="1">
      <c r="A579" s="1">
        <v>19174</v>
      </c>
      <c r="B579" s="2">
        <v>45102.267754629633</v>
      </c>
      <c r="C579" s="1" t="s">
        <v>10</v>
      </c>
      <c r="D579" s="1">
        <v>80</v>
      </c>
      <c r="E579" s="1" t="s">
        <v>28</v>
      </c>
      <c r="F579" s="59"/>
      <c r="G579" s="32"/>
      <c r="H579" s="32"/>
    </row>
    <row r="580" spans="1:8" ht="15.75" customHeight="1">
      <c r="A580" s="1">
        <v>19173</v>
      </c>
      <c r="B580" s="2">
        <v>45102.22625</v>
      </c>
      <c r="C580" s="1" t="s">
        <v>10</v>
      </c>
      <c r="D580" s="1">
        <v>28</v>
      </c>
      <c r="E580" s="1" t="s">
        <v>39</v>
      </c>
      <c r="F580" s="59"/>
      <c r="G580" s="32"/>
      <c r="H580" s="32"/>
    </row>
    <row r="581" spans="1:8" ht="15.75" customHeight="1">
      <c r="A581" s="1">
        <v>19172</v>
      </c>
      <c r="B581" s="2">
        <v>45102.13548611111</v>
      </c>
      <c r="C581" s="1" t="s">
        <v>10</v>
      </c>
      <c r="D581" s="1">
        <v>20</v>
      </c>
      <c r="E581" s="1" t="s">
        <v>28</v>
      </c>
      <c r="F581" s="59"/>
      <c r="G581" s="32"/>
      <c r="H581" s="32"/>
    </row>
    <row r="582" spans="1:8" ht="15.75" customHeight="1">
      <c r="A582" s="1">
        <v>19171</v>
      </c>
      <c r="B582" s="2">
        <v>45102.133703703701</v>
      </c>
      <c r="C582" s="1" t="s">
        <v>10</v>
      </c>
      <c r="D582" s="1">
        <v>20</v>
      </c>
      <c r="E582" s="1" t="s">
        <v>28</v>
      </c>
      <c r="F582" s="59"/>
      <c r="G582" s="32"/>
      <c r="H582" s="32"/>
    </row>
    <row r="583" spans="1:8" ht="15.75" customHeight="1">
      <c r="A583" s="1">
        <v>19170</v>
      </c>
      <c r="B583" s="2">
        <v>45102.132569444446</v>
      </c>
      <c r="C583" s="1" t="s">
        <v>10</v>
      </c>
      <c r="D583" s="1">
        <v>20</v>
      </c>
      <c r="E583" s="1" t="s">
        <v>28</v>
      </c>
      <c r="F583" s="59"/>
      <c r="G583" s="32"/>
      <c r="H583" s="32"/>
    </row>
    <row r="584" spans="1:8" ht="15.75" customHeight="1">
      <c r="A584" s="1">
        <v>19169</v>
      </c>
      <c r="B584" s="2">
        <v>45102.032048611116</v>
      </c>
      <c r="C584" s="1" t="s">
        <v>10</v>
      </c>
      <c r="D584" s="1">
        <v>25</v>
      </c>
      <c r="E584" s="1" t="s">
        <v>88</v>
      </c>
      <c r="F584" s="59"/>
      <c r="G584" s="32"/>
      <c r="H584" s="32"/>
    </row>
    <row r="585" spans="1:8" ht="15.75" customHeight="1">
      <c r="A585" s="1">
        <v>19168</v>
      </c>
      <c r="B585" s="2">
        <v>45101.852870370371</v>
      </c>
      <c r="C585" s="1" t="s">
        <v>10</v>
      </c>
      <c r="D585" s="1">
        <v>26</v>
      </c>
      <c r="E585" s="1" t="s">
        <v>28</v>
      </c>
      <c r="F585" s="59"/>
      <c r="G585" s="32"/>
      <c r="H585" s="32"/>
    </row>
    <row r="586" spans="1:8" ht="15.75" customHeight="1">
      <c r="A586" s="1">
        <v>19167</v>
      </c>
      <c r="B586" s="2">
        <v>45101.848043981481</v>
      </c>
      <c r="C586" s="1" t="s">
        <v>10</v>
      </c>
      <c r="D586" s="1">
        <v>26</v>
      </c>
      <c r="E586" s="1" t="s">
        <v>28</v>
      </c>
      <c r="F586" s="59"/>
      <c r="G586" s="32"/>
      <c r="H586" s="32"/>
    </row>
    <row r="587" spans="1:8" ht="15.75" customHeight="1">
      <c r="A587" s="1">
        <v>19166</v>
      </c>
      <c r="B587" s="2">
        <v>45101.814317129625</v>
      </c>
      <c r="C587" s="1" t="s">
        <v>10</v>
      </c>
      <c r="D587" s="1">
        <v>18</v>
      </c>
      <c r="E587" s="1" t="s">
        <v>28</v>
      </c>
      <c r="F587" s="59"/>
      <c r="G587" s="32"/>
      <c r="H587" s="32"/>
    </row>
    <row r="588" spans="1:8" ht="15.75" customHeight="1">
      <c r="A588" s="1">
        <v>19165</v>
      </c>
      <c r="B588" s="2">
        <v>45101.811412037037</v>
      </c>
      <c r="C588" s="1" t="s">
        <v>10</v>
      </c>
      <c r="D588" s="1">
        <v>33</v>
      </c>
      <c r="E588" s="1" t="s">
        <v>28</v>
      </c>
      <c r="F588" s="59"/>
      <c r="G588" s="32"/>
      <c r="H588" s="32"/>
    </row>
    <row r="589" spans="1:8" ht="15.75" customHeight="1">
      <c r="A589" s="1">
        <v>19164</v>
      </c>
      <c r="B589" s="2">
        <v>45101.774537037039</v>
      </c>
      <c r="C589" s="1" t="s">
        <v>10</v>
      </c>
      <c r="D589" s="1">
        <v>18</v>
      </c>
      <c r="E589" s="1" t="s">
        <v>28</v>
      </c>
      <c r="F589" s="59"/>
      <c r="G589" s="32"/>
      <c r="H589" s="32"/>
    </row>
    <row r="590" spans="1:8" ht="15.75" customHeight="1">
      <c r="A590" s="1">
        <v>19163</v>
      </c>
      <c r="B590" s="2">
        <v>45101.71402777778</v>
      </c>
      <c r="C590" s="1" t="s">
        <v>10</v>
      </c>
      <c r="D590" s="1">
        <v>26</v>
      </c>
      <c r="E590" s="1" t="s">
        <v>28</v>
      </c>
      <c r="F590" s="59"/>
      <c r="G590" s="32"/>
      <c r="H590" s="32"/>
    </row>
    <row r="591" spans="1:8" ht="15.75" customHeight="1">
      <c r="A591" s="1">
        <v>19162</v>
      </c>
      <c r="B591" s="2">
        <v>45101.713090277779</v>
      </c>
      <c r="C591" s="1" t="s">
        <v>10</v>
      </c>
      <c r="D591" s="1">
        <v>25</v>
      </c>
      <c r="E591" s="1" t="s">
        <v>28</v>
      </c>
      <c r="F591" s="59"/>
      <c r="G591" s="32"/>
      <c r="H591" s="32"/>
    </row>
    <row r="592" spans="1:8" ht="15.75" customHeight="1">
      <c r="A592" s="1">
        <v>19161</v>
      </c>
      <c r="B592" s="2">
        <v>45101.689328703702</v>
      </c>
      <c r="C592" s="1" t="s">
        <v>10</v>
      </c>
      <c r="D592" s="1">
        <v>35</v>
      </c>
      <c r="E592" s="1" t="s">
        <v>28</v>
      </c>
      <c r="F592" s="59"/>
      <c r="G592" s="32"/>
      <c r="H592" s="32"/>
    </row>
    <row r="593" spans="1:8" ht="15.75" customHeight="1">
      <c r="A593" s="1">
        <v>19160</v>
      </c>
      <c r="B593" s="2">
        <v>45101.688055555554</v>
      </c>
      <c r="C593" s="1" t="s">
        <v>10</v>
      </c>
      <c r="D593" s="1">
        <v>25</v>
      </c>
      <c r="E593" s="1" t="s">
        <v>28</v>
      </c>
      <c r="F593" s="59"/>
      <c r="G593" s="32"/>
      <c r="H593" s="32"/>
    </row>
    <row r="594" spans="1:8" ht="15.75" customHeight="1">
      <c r="A594" s="1">
        <v>19159</v>
      </c>
      <c r="B594" s="2">
        <v>45101.684224537035</v>
      </c>
      <c r="C594" s="1" t="s">
        <v>10</v>
      </c>
      <c r="D594" s="1">
        <v>20</v>
      </c>
      <c r="E594" s="1" t="s">
        <v>28</v>
      </c>
      <c r="F594" s="59"/>
      <c r="G594" s="32"/>
      <c r="H594" s="32"/>
    </row>
    <row r="595" spans="1:8" ht="15.75" customHeight="1">
      <c r="A595" s="1">
        <v>19158</v>
      </c>
      <c r="B595" s="2">
        <v>45101.681400462963</v>
      </c>
      <c r="C595" s="1" t="s">
        <v>10</v>
      </c>
      <c r="D595" s="1">
        <v>40</v>
      </c>
      <c r="E595" s="1" t="s">
        <v>28</v>
      </c>
      <c r="F595" s="59"/>
      <c r="G595" s="32"/>
      <c r="H595" s="32"/>
    </row>
    <row r="596" spans="1:8" ht="15.75" customHeight="1">
      <c r="A596" s="1">
        <v>19157</v>
      </c>
      <c r="B596" s="2">
        <v>45101.680555555555</v>
      </c>
      <c r="C596" s="1" t="s">
        <v>10</v>
      </c>
      <c r="D596" s="1">
        <v>18</v>
      </c>
      <c r="E596" s="1" t="s">
        <v>89</v>
      </c>
      <c r="F596" s="59"/>
      <c r="G596" s="32"/>
      <c r="H596" s="32"/>
    </row>
    <row r="597" spans="1:8" ht="15.75" customHeight="1">
      <c r="A597" s="1">
        <v>19156</v>
      </c>
      <c r="B597" s="2">
        <v>45101.6799537037</v>
      </c>
      <c r="C597" s="1" t="s">
        <v>10</v>
      </c>
      <c r="D597" s="1">
        <v>25</v>
      </c>
      <c r="E597" s="1" t="s">
        <v>28</v>
      </c>
      <c r="F597" s="59"/>
      <c r="G597" s="32"/>
      <c r="H597" s="32"/>
    </row>
    <row r="598" spans="1:8" ht="15.75" customHeight="1">
      <c r="A598" s="1">
        <v>19155</v>
      </c>
      <c r="B598" s="2">
        <v>45101.674062499995</v>
      </c>
      <c r="C598" s="1" t="s">
        <v>10</v>
      </c>
      <c r="D598" s="1">
        <v>25</v>
      </c>
      <c r="E598" s="1" t="s">
        <v>28</v>
      </c>
      <c r="F598" s="59"/>
      <c r="G598" s="32"/>
      <c r="H598" s="32"/>
    </row>
    <row r="599" spans="1:8" ht="15.75" customHeight="1">
      <c r="A599" s="1">
        <v>19154</v>
      </c>
      <c r="B599" s="2">
        <v>45101.666620370372</v>
      </c>
      <c r="C599" s="1" t="s">
        <v>10</v>
      </c>
      <c r="D599" s="1">
        <v>15</v>
      </c>
      <c r="E599" s="1" t="s">
        <v>28</v>
      </c>
      <c r="F599" s="59"/>
      <c r="G599" s="32"/>
      <c r="H599" s="32"/>
    </row>
    <row r="600" spans="1:8" ht="15.75" customHeight="1">
      <c r="A600" s="1">
        <v>19153</v>
      </c>
      <c r="B600" s="2">
        <v>45101.666446759264</v>
      </c>
      <c r="C600" s="1" t="s">
        <v>10</v>
      </c>
      <c r="D600" s="1">
        <v>25</v>
      </c>
      <c r="E600" s="1" t="s">
        <v>28</v>
      </c>
      <c r="F600" s="59"/>
      <c r="G600" s="32"/>
      <c r="H600" s="32"/>
    </row>
    <row r="601" spans="1:8" ht="15.75" customHeight="1">
      <c r="A601" s="1">
        <v>19152</v>
      </c>
      <c r="B601" s="2">
        <v>45101.663634259261</v>
      </c>
      <c r="C601" s="1" t="s">
        <v>10</v>
      </c>
      <c r="D601" s="1">
        <v>48</v>
      </c>
      <c r="E601" s="1" t="s">
        <v>28</v>
      </c>
      <c r="F601" s="59"/>
      <c r="G601" s="32"/>
      <c r="H601" s="32"/>
    </row>
    <row r="602" spans="1:8" ht="15.75" customHeight="1">
      <c r="A602" s="1">
        <v>19151</v>
      </c>
      <c r="B602" s="2">
        <v>45101.65042824074</v>
      </c>
      <c r="C602" s="1" t="s">
        <v>10</v>
      </c>
      <c r="D602" s="1">
        <v>18</v>
      </c>
      <c r="E602" s="1" t="s">
        <v>28</v>
      </c>
      <c r="F602" s="59"/>
      <c r="G602" s="32"/>
      <c r="H602" s="32"/>
    </row>
    <row r="603" spans="1:8" ht="15.75" customHeight="1">
      <c r="A603" s="1">
        <v>19150</v>
      </c>
      <c r="B603" s="2">
        <v>45101.648680555554</v>
      </c>
      <c r="C603" s="1" t="s">
        <v>10</v>
      </c>
      <c r="D603" s="1">
        <v>48</v>
      </c>
      <c r="E603" s="1" t="s">
        <v>28</v>
      </c>
      <c r="F603" s="59"/>
      <c r="G603" s="32"/>
      <c r="H603" s="32"/>
    </row>
    <row r="604" spans="1:8" ht="15.75" customHeight="1">
      <c r="A604" s="1">
        <v>19149</v>
      </c>
      <c r="B604" s="2">
        <v>45101.648483796293</v>
      </c>
      <c r="C604" s="1" t="s">
        <v>10</v>
      </c>
      <c r="D604" s="1">
        <v>18</v>
      </c>
      <c r="E604" s="1" t="s">
        <v>28</v>
      </c>
      <c r="F604" s="59"/>
      <c r="G604" s="32"/>
      <c r="H604" s="32"/>
    </row>
    <row r="605" spans="1:8" ht="15.75" customHeight="1">
      <c r="A605" s="1">
        <v>19148</v>
      </c>
      <c r="B605" s="2">
        <v>45101.647187499999</v>
      </c>
      <c r="C605" s="1" t="s">
        <v>10</v>
      </c>
      <c r="D605" s="1">
        <v>18</v>
      </c>
      <c r="E605" s="1" t="s">
        <v>28</v>
      </c>
      <c r="F605" s="59"/>
      <c r="G605" s="32"/>
      <c r="H605" s="32"/>
    </row>
    <row r="606" spans="1:8" ht="15.75" customHeight="1">
      <c r="A606" s="1">
        <v>19147</v>
      </c>
      <c r="B606" s="2">
        <v>45101.643842592588</v>
      </c>
      <c r="C606" s="1" t="s">
        <v>10</v>
      </c>
      <c r="D606" s="1">
        <v>0</v>
      </c>
      <c r="E606" s="1" t="s">
        <v>28</v>
      </c>
      <c r="F606" s="59"/>
      <c r="G606" s="32"/>
      <c r="H606" s="32"/>
    </row>
    <row r="607" spans="1:8" ht="15.75" customHeight="1">
      <c r="A607" s="1">
        <v>19146</v>
      </c>
      <c r="B607" s="2">
        <v>45101.642268518517</v>
      </c>
      <c r="C607" s="1" t="s">
        <v>10</v>
      </c>
      <c r="D607" s="1">
        <v>30</v>
      </c>
      <c r="E607" s="1" t="s">
        <v>28</v>
      </c>
      <c r="F607" s="59"/>
      <c r="G607" s="32"/>
      <c r="H607" s="32"/>
    </row>
    <row r="608" spans="1:8" ht="15.75" customHeight="1">
      <c r="A608" s="1">
        <v>19145</v>
      </c>
      <c r="B608" s="2">
        <v>45101.638668981483</v>
      </c>
      <c r="C608" s="1" t="s">
        <v>10</v>
      </c>
      <c r="D608" s="1">
        <v>22</v>
      </c>
      <c r="E608" s="1" t="s">
        <v>28</v>
      </c>
      <c r="F608" s="59"/>
      <c r="G608" s="32"/>
      <c r="H608" s="32"/>
    </row>
    <row r="609" spans="1:8" ht="15.75" customHeight="1">
      <c r="A609" s="1">
        <v>19144</v>
      </c>
      <c r="B609" s="2">
        <v>45101.633263888885</v>
      </c>
      <c r="C609" s="1" t="s">
        <v>52</v>
      </c>
      <c r="D609" s="1">
        <v>22</v>
      </c>
      <c r="E609" s="1" t="s">
        <v>28</v>
      </c>
      <c r="F609" s="59"/>
      <c r="G609" s="32"/>
      <c r="H609" s="32"/>
    </row>
    <row r="610" spans="1:8" ht="15.75" customHeight="1">
      <c r="A610" s="1">
        <v>19143</v>
      </c>
      <c r="B610" s="2">
        <v>45101.6330787037</v>
      </c>
      <c r="C610" s="1" t="s">
        <v>10</v>
      </c>
      <c r="D610" s="1">
        <v>25</v>
      </c>
      <c r="E610" s="1" t="s">
        <v>28</v>
      </c>
      <c r="F610" s="59"/>
      <c r="G610" s="32"/>
      <c r="H610" s="32"/>
    </row>
    <row r="611" spans="1:8" ht="15.75" customHeight="1">
      <c r="A611" s="1">
        <v>19142</v>
      </c>
      <c r="B611" s="2">
        <v>45101.629537037035</v>
      </c>
      <c r="C611" s="1" t="s">
        <v>10</v>
      </c>
      <c r="D611" s="1">
        <v>25</v>
      </c>
      <c r="E611" s="1" t="s">
        <v>28</v>
      </c>
      <c r="F611" s="59"/>
      <c r="G611" s="32"/>
      <c r="H611" s="32"/>
    </row>
    <row r="612" spans="1:8" ht="15.75" customHeight="1">
      <c r="A612" s="1">
        <v>19141</v>
      </c>
      <c r="B612" s="2">
        <v>45101.628553240742</v>
      </c>
      <c r="C612" s="1" t="s">
        <v>10</v>
      </c>
      <c r="D612" s="1">
        <v>25</v>
      </c>
      <c r="E612" s="1" t="s">
        <v>28</v>
      </c>
      <c r="F612" s="59"/>
      <c r="G612" s="32"/>
      <c r="H612" s="32"/>
    </row>
    <row r="613" spans="1:8" ht="15.75" customHeight="1">
      <c r="A613" s="1">
        <v>19140</v>
      </c>
      <c r="B613" s="2">
        <v>45101.618425925924</v>
      </c>
      <c r="C613" s="1" t="s">
        <v>10</v>
      </c>
      <c r="D613" s="1">
        <v>0</v>
      </c>
      <c r="E613" s="1" t="s">
        <v>28</v>
      </c>
      <c r="F613" s="59"/>
      <c r="G613" s="32"/>
      <c r="H613" s="32"/>
    </row>
    <row r="614" spans="1:8" ht="15.75" customHeight="1">
      <c r="A614" s="1">
        <v>19139</v>
      </c>
      <c r="B614" s="2">
        <v>45101.614328703705</v>
      </c>
      <c r="C614" s="1" t="s">
        <v>10</v>
      </c>
      <c r="D614" s="1">
        <v>25</v>
      </c>
      <c r="E614" s="1" t="s">
        <v>28</v>
      </c>
      <c r="F614" s="59"/>
      <c r="G614" s="32"/>
      <c r="H614" s="32"/>
    </row>
    <row r="615" spans="1:8" ht="15.75" customHeight="1">
      <c r="A615" s="1">
        <v>19138</v>
      </c>
      <c r="B615" s="2">
        <v>45101.607824074075</v>
      </c>
      <c r="C615" s="1" t="s">
        <v>10</v>
      </c>
      <c r="D615" s="1">
        <v>28</v>
      </c>
      <c r="E615" s="1" t="s">
        <v>28</v>
      </c>
      <c r="F615" s="59"/>
      <c r="G615" s="32"/>
      <c r="H615" s="32"/>
    </row>
    <row r="616" spans="1:8" ht="15.75" customHeight="1">
      <c r="A616" s="1">
        <v>19137</v>
      </c>
      <c r="B616" s="2">
        <v>45101.595613425925</v>
      </c>
      <c r="C616" s="1" t="s">
        <v>10</v>
      </c>
      <c r="D616" s="1">
        <v>25</v>
      </c>
      <c r="E616" s="1" t="s">
        <v>28</v>
      </c>
      <c r="F616" s="59"/>
      <c r="G616" s="32"/>
      <c r="H616" s="32"/>
    </row>
    <row r="617" spans="1:8" ht="15.75" customHeight="1">
      <c r="A617" s="1">
        <v>19136</v>
      </c>
      <c r="B617" s="2">
        <v>45101.56930555556</v>
      </c>
      <c r="C617" s="1" t="s">
        <v>10</v>
      </c>
      <c r="D617" s="1">
        <v>20</v>
      </c>
      <c r="E617" s="1" t="s">
        <v>28</v>
      </c>
      <c r="F617" s="59"/>
      <c r="G617" s="32"/>
      <c r="H617" s="32"/>
    </row>
    <row r="618" spans="1:8" ht="15.75" customHeight="1">
      <c r="A618" s="1">
        <v>19135</v>
      </c>
      <c r="B618" s="2">
        <v>45101.566469907411</v>
      </c>
      <c r="C618" s="1" t="s">
        <v>10</v>
      </c>
      <c r="D618" s="1">
        <v>20</v>
      </c>
      <c r="E618" s="1" t="s">
        <v>28</v>
      </c>
      <c r="F618" s="59"/>
      <c r="G618" s="32"/>
      <c r="H618" s="32"/>
    </row>
    <row r="619" spans="1:8" ht="15.75" customHeight="1">
      <c r="A619" s="1">
        <v>19134</v>
      </c>
      <c r="B619" s="2">
        <v>45101.548148148147</v>
      </c>
      <c r="C619" s="1" t="s">
        <v>10</v>
      </c>
      <c r="D619" s="1">
        <v>25</v>
      </c>
      <c r="E619" s="1" t="s">
        <v>28</v>
      </c>
      <c r="F619" s="59"/>
      <c r="G619" s="32"/>
      <c r="H619" s="32"/>
    </row>
    <row r="620" spans="1:8" ht="15.75" customHeight="1">
      <c r="A620" s="1">
        <v>19133</v>
      </c>
      <c r="B620" s="2">
        <v>45101.539837962962</v>
      </c>
      <c r="C620" s="1" t="s">
        <v>10</v>
      </c>
      <c r="D620" s="1">
        <v>25</v>
      </c>
      <c r="E620" s="1" t="s">
        <v>28</v>
      </c>
      <c r="F620" s="59"/>
      <c r="G620" s="32"/>
      <c r="H620" s="32"/>
    </row>
    <row r="621" spans="1:8" ht="15.75" customHeight="1">
      <c r="A621" s="1">
        <v>19132</v>
      </c>
      <c r="B621" s="2">
        <v>45101.538923611108</v>
      </c>
      <c r="C621" s="1" t="s">
        <v>10</v>
      </c>
      <c r="D621" s="1">
        <v>25</v>
      </c>
      <c r="E621" s="1" t="s">
        <v>39</v>
      </c>
      <c r="F621" s="59"/>
      <c r="G621" s="32"/>
      <c r="H621" s="32"/>
    </row>
    <row r="622" spans="1:8" ht="15.75" customHeight="1">
      <c r="A622" s="1">
        <v>19131</v>
      </c>
      <c r="B622" s="2">
        <v>45101.538761574076</v>
      </c>
      <c r="C622" s="1" t="s">
        <v>10</v>
      </c>
      <c r="D622" s="1">
        <v>33</v>
      </c>
      <c r="E622" s="1" t="s">
        <v>39</v>
      </c>
      <c r="F622" s="59"/>
      <c r="G622" s="32"/>
      <c r="H622" s="32"/>
    </row>
    <row r="623" spans="1:8" ht="15.75" customHeight="1">
      <c r="A623" s="1">
        <v>19130</v>
      </c>
      <c r="B623" s="2">
        <v>45101.536296296297</v>
      </c>
      <c r="C623" s="1" t="s">
        <v>10</v>
      </c>
      <c r="D623" s="1">
        <v>20</v>
      </c>
      <c r="E623" s="1" t="s">
        <v>28</v>
      </c>
      <c r="F623" s="59"/>
      <c r="G623" s="32"/>
      <c r="H623" s="32"/>
    </row>
    <row r="624" spans="1:8" ht="15.75" customHeight="1">
      <c r="A624" s="1">
        <v>19129</v>
      </c>
      <c r="B624" s="2">
        <v>45101.534131944441</v>
      </c>
      <c r="C624" s="1" t="s">
        <v>10</v>
      </c>
      <c r="D624" s="1">
        <v>25</v>
      </c>
      <c r="E624" s="1" t="s">
        <v>28</v>
      </c>
      <c r="F624" s="59"/>
      <c r="G624" s="32"/>
      <c r="H624" s="32"/>
    </row>
    <row r="625" spans="1:8" ht="15.75" customHeight="1">
      <c r="A625" s="1">
        <v>19128</v>
      </c>
      <c r="B625" s="2">
        <v>45101.533425925925</v>
      </c>
      <c r="C625" s="1" t="s">
        <v>10</v>
      </c>
      <c r="D625" s="1">
        <v>35</v>
      </c>
      <c r="E625" s="1" t="s">
        <v>28</v>
      </c>
      <c r="F625" s="59"/>
      <c r="G625" s="32"/>
      <c r="H625" s="32"/>
    </row>
    <row r="626" spans="1:8" ht="15.75" customHeight="1">
      <c r="A626" s="1">
        <v>19127</v>
      </c>
      <c r="B626" s="2">
        <v>45101.531180555554</v>
      </c>
      <c r="C626" s="1" t="s">
        <v>10</v>
      </c>
      <c r="D626" s="1">
        <v>25</v>
      </c>
      <c r="E626" s="1" t="s">
        <v>39</v>
      </c>
      <c r="F626" s="59"/>
      <c r="G626" s="32"/>
      <c r="H626" s="32"/>
    </row>
    <row r="627" spans="1:8" ht="15.75" customHeight="1">
      <c r="A627" s="1">
        <v>19126</v>
      </c>
      <c r="B627" s="2">
        <v>45101.529548611114</v>
      </c>
      <c r="C627" s="1" t="s">
        <v>10</v>
      </c>
      <c r="D627" s="1">
        <v>25</v>
      </c>
      <c r="E627" s="1" t="s">
        <v>28</v>
      </c>
      <c r="F627" s="59"/>
      <c r="G627" s="32"/>
      <c r="H627" s="32"/>
    </row>
    <row r="628" spans="1:8" ht="15.75" customHeight="1">
      <c r="A628" s="1">
        <v>19125</v>
      </c>
      <c r="B628" s="2">
        <v>45101.527743055558</v>
      </c>
      <c r="C628" s="1" t="s">
        <v>10</v>
      </c>
      <c r="D628" s="1">
        <v>48</v>
      </c>
      <c r="E628" s="1" t="s">
        <v>28</v>
      </c>
      <c r="F628" s="59"/>
      <c r="G628" s="32"/>
      <c r="H628" s="32"/>
    </row>
    <row r="629" spans="1:8" ht="15.75" customHeight="1">
      <c r="A629" s="1">
        <v>19124</v>
      </c>
      <c r="B629" s="2">
        <v>45101.52643518518</v>
      </c>
      <c r="C629" s="1" t="s">
        <v>10</v>
      </c>
      <c r="D629" s="1">
        <v>18</v>
      </c>
      <c r="E629" s="1" t="s">
        <v>28</v>
      </c>
      <c r="F629" s="59"/>
      <c r="G629" s="32"/>
      <c r="H629" s="32"/>
    </row>
    <row r="630" spans="1:8" ht="15.75" customHeight="1">
      <c r="A630" s="1">
        <v>19123</v>
      </c>
      <c r="B630" s="2">
        <v>45101.524340277778</v>
      </c>
      <c r="C630" s="1" t="s">
        <v>10</v>
      </c>
      <c r="D630" s="1">
        <v>25</v>
      </c>
      <c r="E630" s="1" t="s">
        <v>28</v>
      </c>
      <c r="F630" s="59"/>
      <c r="G630" s="32"/>
      <c r="H630" s="32"/>
    </row>
    <row r="631" spans="1:8" ht="15.75" customHeight="1">
      <c r="A631" s="1">
        <v>19122</v>
      </c>
      <c r="B631" s="2">
        <v>45101.521226851852</v>
      </c>
      <c r="C631" s="1" t="s">
        <v>10</v>
      </c>
      <c r="D631" s="1">
        <v>20</v>
      </c>
      <c r="E631" s="1" t="s">
        <v>28</v>
      </c>
      <c r="F631" s="59"/>
      <c r="G631" s="32"/>
      <c r="H631" s="32"/>
    </row>
    <row r="632" spans="1:8" ht="15.75" customHeight="1">
      <c r="A632" s="1">
        <v>19121</v>
      </c>
      <c r="B632" s="2">
        <v>45101.515717592592</v>
      </c>
      <c r="C632" s="1" t="s">
        <v>18</v>
      </c>
      <c r="D632" s="1">
        <v>18</v>
      </c>
      <c r="E632" s="1" t="s">
        <v>28</v>
      </c>
      <c r="F632" s="59"/>
      <c r="G632" s="32"/>
      <c r="H632" s="32"/>
    </row>
    <row r="633" spans="1:8" ht="15.75" customHeight="1">
      <c r="A633" s="1">
        <v>19120</v>
      </c>
      <c r="B633" s="2">
        <v>45101.515162037038</v>
      </c>
      <c r="C633" s="1" t="s">
        <v>10</v>
      </c>
      <c r="D633" s="1">
        <v>28</v>
      </c>
      <c r="E633" s="1" t="s">
        <v>28</v>
      </c>
      <c r="F633" s="59"/>
      <c r="G633" s="32"/>
      <c r="H633" s="32"/>
    </row>
    <row r="634" spans="1:8" ht="15.75" customHeight="1">
      <c r="A634" s="1">
        <v>19119</v>
      </c>
      <c r="B634" s="2">
        <v>45101.512824074074</v>
      </c>
      <c r="C634" s="1" t="s">
        <v>10</v>
      </c>
      <c r="D634" s="1">
        <v>28</v>
      </c>
      <c r="E634" s="1" t="s">
        <v>28</v>
      </c>
      <c r="F634" s="59"/>
      <c r="G634" s="32"/>
      <c r="H634" s="32"/>
    </row>
    <row r="635" spans="1:8" ht="15.75" customHeight="1">
      <c r="A635" s="1">
        <v>19118</v>
      </c>
      <c r="B635" s="2">
        <v>45101.502986111111</v>
      </c>
      <c r="C635" s="1" t="s">
        <v>10</v>
      </c>
      <c r="D635" s="1">
        <v>0</v>
      </c>
      <c r="E635" s="1" t="s">
        <v>39</v>
      </c>
      <c r="F635" s="59"/>
      <c r="G635" s="32"/>
      <c r="H635" s="32"/>
    </row>
    <row r="636" spans="1:8" ht="15.75" customHeight="1">
      <c r="A636" s="1">
        <v>19117</v>
      </c>
      <c r="B636" s="2">
        <v>45101.491608796292</v>
      </c>
      <c r="C636" s="1" t="s">
        <v>10</v>
      </c>
      <c r="D636" s="1">
        <v>25</v>
      </c>
      <c r="E636" s="1" t="s">
        <v>28</v>
      </c>
      <c r="F636" s="59"/>
      <c r="G636" s="32"/>
      <c r="H636" s="32"/>
    </row>
    <row r="637" spans="1:8" ht="15.75" customHeight="1">
      <c r="A637" s="1">
        <v>19116</v>
      </c>
      <c r="B637" s="2">
        <v>45101.486597222218</v>
      </c>
      <c r="C637" s="1" t="s">
        <v>10</v>
      </c>
      <c r="D637" s="1">
        <v>25</v>
      </c>
      <c r="E637" s="1" t="s">
        <v>28</v>
      </c>
      <c r="F637" s="59"/>
      <c r="G637" s="32"/>
      <c r="H637" s="32"/>
    </row>
    <row r="638" spans="1:8" ht="15.75" customHeight="1">
      <c r="A638" s="1">
        <v>19115</v>
      </c>
      <c r="B638" s="2">
        <v>45101.081678240742</v>
      </c>
      <c r="C638" s="1" t="s">
        <v>10</v>
      </c>
      <c r="D638" s="1">
        <v>68</v>
      </c>
      <c r="E638" s="1" t="s">
        <v>28</v>
      </c>
      <c r="F638" s="59"/>
      <c r="G638" s="32"/>
      <c r="H638" s="32"/>
    </row>
    <row r="639" spans="1:8" ht="15.75" customHeight="1">
      <c r="A639" s="1">
        <v>19110</v>
      </c>
      <c r="B639" s="2">
        <v>45100.999513888892</v>
      </c>
      <c r="C639" s="1" t="s">
        <v>52</v>
      </c>
      <c r="D639" s="1">
        <v>15</v>
      </c>
      <c r="E639" s="1" t="s">
        <v>28</v>
      </c>
      <c r="F639" s="59"/>
      <c r="G639" s="32"/>
      <c r="H639" s="32"/>
    </row>
    <row r="640" spans="1:8" ht="15.75" customHeight="1">
      <c r="A640" s="1">
        <v>19109</v>
      </c>
      <c r="B640" s="2">
        <v>45100.971250000002</v>
      </c>
      <c r="C640" s="1" t="s">
        <v>10</v>
      </c>
      <c r="D640" s="1">
        <v>26</v>
      </c>
      <c r="E640" s="1" t="s">
        <v>28</v>
      </c>
      <c r="F640" s="59"/>
      <c r="G640" s="32"/>
      <c r="H640" s="32"/>
    </row>
    <row r="641" spans="1:8" ht="15.75" customHeight="1">
      <c r="A641" s="1">
        <v>19108</v>
      </c>
      <c r="B641" s="2">
        <v>45100.872557870374</v>
      </c>
      <c r="C641" s="1" t="s">
        <v>10</v>
      </c>
      <c r="D641" s="1">
        <v>25</v>
      </c>
      <c r="E641" s="1" t="s">
        <v>28</v>
      </c>
      <c r="F641" s="59"/>
      <c r="G641" s="32"/>
      <c r="H641" s="32"/>
    </row>
    <row r="642" spans="1:8" ht="15.75" customHeight="1">
      <c r="A642" s="1">
        <v>19105</v>
      </c>
      <c r="B642" s="2">
        <v>45100.706759259258</v>
      </c>
      <c r="C642" s="1" t="s">
        <v>10</v>
      </c>
      <c r="D642" s="1">
        <v>20</v>
      </c>
      <c r="E642" s="1" t="s">
        <v>28</v>
      </c>
      <c r="F642" s="59"/>
      <c r="G642" s="32"/>
      <c r="H642" s="32"/>
    </row>
    <row r="643" spans="1:8" ht="15.75" customHeight="1">
      <c r="A643" s="1">
        <v>19104</v>
      </c>
      <c r="B643" s="2">
        <v>45100.693796296298</v>
      </c>
      <c r="C643" s="1" t="s">
        <v>10</v>
      </c>
      <c r="D643" s="1">
        <v>15</v>
      </c>
      <c r="E643" s="1" t="s">
        <v>28</v>
      </c>
      <c r="F643" s="59"/>
      <c r="G643" s="32"/>
      <c r="H643" s="32"/>
    </row>
    <row r="644" spans="1:8" ht="15.75" customHeight="1">
      <c r="A644" s="1">
        <v>19103</v>
      </c>
      <c r="B644" s="2">
        <v>45100.60869212963</v>
      </c>
      <c r="C644" s="1" t="s">
        <v>10</v>
      </c>
      <c r="D644" s="1">
        <v>26</v>
      </c>
      <c r="E644" s="1" t="s">
        <v>28</v>
      </c>
      <c r="F644" s="59"/>
      <c r="G644" s="32"/>
      <c r="H644" s="32"/>
    </row>
    <row r="645" spans="1:8" ht="15.75" customHeight="1">
      <c r="A645" s="1">
        <v>19102</v>
      </c>
      <c r="B645" s="2">
        <v>45100.553240740745</v>
      </c>
      <c r="C645" s="1" t="s">
        <v>10</v>
      </c>
      <c r="D645" s="1">
        <v>25</v>
      </c>
      <c r="E645" s="1" t="s">
        <v>39</v>
      </c>
      <c r="F645" s="59"/>
      <c r="G645" s="32"/>
      <c r="H645" s="32"/>
    </row>
    <row r="646" spans="1:8" ht="15.75" customHeight="1">
      <c r="A646" s="1">
        <v>19101</v>
      </c>
      <c r="B646" s="2">
        <v>45100.527731481481</v>
      </c>
      <c r="C646" s="1" t="s">
        <v>10</v>
      </c>
      <c r="D646" s="1">
        <v>18</v>
      </c>
      <c r="E646" s="1" t="s">
        <v>28</v>
      </c>
      <c r="F646" s="59"/>
      <c r="G646" s="32"/>
      <c r="H646" s="32"/>
    </row>
    <row r="647" spans="1:8" ht="15.75" customHeight="1">
      <c r="A647" s="1">
        <v>19100</v>
      </c>
      <c r="B647" s="2">
        <v>45100.114386574074</v>
      </c>
      <c r="C647" s="1" t="s">
        <v>10</v>
      </c>
      <c r="D647" s="1">
        <v>55</v>
      </c>
      <c r="E647" s="1" t="s">
        <v>28</v>
      </c>
      <c r="F647" s="59"/>
      <c r="G647" s="32"/>
      <c r="H647" s="32"/>
    </row>
    <row r="648" spans="1:8" ht="15.75" customHeight="1">
      <c r="A648" s="1">
        <v>19099</v>
      </c>
      <c r="B648" s="2">
        <v>45100.061678240745</v>
      </c>
      <c r="C648" s="1" t="s">
        <v>10</v>
      </c>
      <c r="D648" s="1">
        <v>43</v>
      </c>
      <c r="E648" s="1" t="s">
        <v>28</v>
      </c>
      <c r="F648" s="59"/>
      <c r="G648" s="32"/>
      <c r="H648" s="32"/>
    </row>
    <row r="649" spans="1:8" ht="15.75" customHeight="1">
      <c r="A649" s="1">
        <v>19098</v>
      </c>
      <c r="B649" s="2">
        <v>45100.003611111111</v>
      </c>
      <c r="C649" s="1" t="s">
        <v>10</v>
      </c>
      <c r="D649" s="1">
        <v>15</v>
      </c>
      <c r="E649" s="1" t="s">
        <v>28</v>
      </c>
      <c r="F649" s="59"/>
      <c r="G649" s="32"/>
      <c r="H649" s="32"/>
    </row>
    <row r="650" spans="1:8" ht="15.75" customHeight="1">
      <c r="A650" s="1">
        <v>19097</v>
      </c>
      <c r="B650" s="2">
        <v>45099.93954861111</v>
      </c>
      <c r="C650" s="1" t="s">
        <v>10</v>
      </c>
      <c r="D650" s="1">
        <v>15</v>
      </c>
      <c r="E650" s="1" t="s">
        <v>28</v>
      </c>
      <c r="F650" s="59"/>
      <c r="G650" s="32"/>
      <c r="H650" s="32"/>
    </row>
    <row r="651" spans="1:8" ht="15.75" customHeight="1">
      <c r="A651" s="1">
        <v>19096</v>
      </c>
      <c r="B651" s="2">
        <v>45099.93545138889</v>
      </c>
      <c r="C651" s="1" t="s">
        <v>10</v>
      </c>
      <c r="D651" s="1">
        <v>0</v>
      </c>
      <c r="E651" s="1" t="s">
        <v>28</v>
      </c>
      <c r="F651" s="59"/>
      <c r="G651" s="32"/>
      <c r="H651" s="32"/>
    </row>
    <row r="652" spans="1:8" ht="15.75" customHeight="1">
      <c r="A652" s="1">
        <v>19095</v>
      </c>
      <c r="B652" s="2">
        <v>45099.932071759264</v>
      </c>
      <c r="C652" s="1" t="s">
        <v>10</v>
      </c>
      <c r="D652" s="1">
        <v>26</v>
      </c>
      <c r="E652" s="1" t="s">
        <v>28</v>
      </c>
      <c r="F652" s="59"/>
      <c r="G652" s="32"/>
      <c r="H652" s="32"/>
    </row>
    <row r="653" spans="1:8" ht="15.75" customHeight="1">
      <c r="A653" s="1">
        <v>19094</v>
      </c>
      <c r="B653" s="2">
        <v>45099.92350694444</v>
      </c>
      <c r="C653" s="1" t="s">
        <v>10</v>
      </c>
      <c r="D653" s="1">
        <v>45</v>
      </c>
      <c r="E653" s="1" t="s">
        <v>28</v>
      </c>
      <c r="F653" s="59"/>
      <c r="G653" s="32"/>
      <c r="H653" s="32"/>
    </row>
    <row r="654" spans="1:8" ht="15.75" customHeight="1">
      <c r="A654" s="1">
        <v>19093</v>
      </c>
      <c r="B654" s="2">
        <v>45099.916770833333</v>
      </c>
      <c r="C654" s="1" t="s">
        <v>10</v>
      </c>
      <c r="D654" s="1">
        <v>35</v>
      </c>
      <c r="E654" s="1" t="s">
        <v>28</v>
      </c>
      <c r="F654" s="59"/>
      <c r="G654" s="32"/>
      <c r="H654" s="32"/>
    </row>
    <row r="655" spans="1:8" ht="15.75" customHeight="1">
      <c r="A655" s="1">
        <v>19092</v>
      </c>
      <c r="B655" s="2">
        <v>45099.87872685185</v>
      </c>
      <c r="C655" s="1" t="s">
        <v>10</v>
      </c>
      <c r="D655" s="1">
        <v>28</v>
      </c>
      <c r="E655" s="1" t="s">
        <v>28</v>
      </c>
      <c r="F655" s="59"/>
      <c r="G655" s="32"/>
      <c r="H655" s="32"/>
    </row>
    <row r="656" spans="1:8" ht="15.75" customHeight="1">
      <c r="A656" s="1">
        <v>19090</v>
      </c>
      <c r="B656" s="2">
        <v>45099.834872685184</v>
      </c>
      <c r="C656" s="1" t="s">
        <v>10</v>
      </c>
      <c r="D656" s="1">
        <v>25</v>
      </c>
      <c r="E656" s="1" t="s">
        <v>84</v>
      </c>
      <c r="F656" s="59"/>
      <c r="G656" s="32"/>
      <c r="H656" s="32"/>
    </row>
    <row r="657" spans="1:8" ht="15.75" customHeight="1">
      <c r="A657" s="1">
        <v>19089</v>
      </c>
      <c r="B657" s="2">
        <v>45099.783101851848</v>
      </c>
      <c r="C657" s="1" t="s">
        <v>10</v>
      </c>
      <c r="D657" s="1">
        <v>18</v>
      </c>
      <c r="E657" s="1" t="s">
        <v>28</v>
      </c>
      <c r="F657" s="59"/>
      <c r="G657" s="32"/>
      <c r="H657" s="32"/>
    </row>
    <row r="658" spans="1:8" ht="15.75" customHeight="1">
      <c r="A658" s="1">
        <v>19088</v>
      </c>
      <c r="B658" s="2">
        <v>45099.738715277781</v>
      </c>
      <c r="C658" s="1" t="s">
        <v>10</v>
      </c>
      <c r="D658" s="1">
        <v>25</v>
      </c>
      <c r="E658" s="1" t="s">
        <v>28</v>
      </c>
      <c r="F658" s="59"/>
      <c r="G658" s="32"/>
      <c r="H658" s="32"/>
    </row>
    <row r="659" spans="1:8" ht="15.75" customHeight="1">
      <c r="A659" s="1">
        <v>19087</v>
      </c>
      <c r="B659" s="2">
        <v>45099.702326388884</v>
      </c>
      <c r="C659" s="1" t="s">
        <v>10</v>
      </c>
      <c r="D659" s="1">
        <v>26</v>
      </c>
      <c r="E659" s="1" t="s">
        <v>28</v>
      </c>
      <c r="F659" s="59"/>
      <c r="G659" s="32"/>
      <c r="H659" s="32"/>
    </row>
    <row r="660" spans="1:8" ht="15.75" customHeight="1">
      <c r="A660" s="1">
        <v>19086</v>
      </c>
      <c r="B660" s="2">
        <v>45099.692106481481</v>
      </c>
      <c r="C660" s="1" t="s">
        <v>10</v>
      </c>
      <c r="D660" s="1">
        <v>28</v>
      </c>
      <c r="E660" s="1" t="s">
        <v>39</v>
      </c>
      <c r="F660" s="59"/>
      <c r="G660" s="32"/>
      <c r="H660" s="32"/>
    </row>
    <row r="661" spans="1:8" ht="15.75" customHeight="1">
      <c r="A661" s="1">
        <v>19085</v>
      </c>
      <c r="B661" s="2">
        <v>45099.663078703699</v>
      </c>
      <c r="C661" s="1" t="s">
        <v>10</v>
      </c>
      <c r="D661" s="1">
        <v>28</v>
      </c>
      <c r="E661" s="1" t="s">
        <v>28</v>
      </c>
      <c r="F661" s="59"/>
      <c r="G661" s="32"/>
      <c r="H661" s="32"/>
    </row>
    <row r="662" spans="1:8" ht="15.75" customHeight="1">
      <c r="A662" s="1">
        <v>19084</v>
      </c>
      <c r="B662" s="2">
        <v>45099.661712962959</v>
      </c>
      <c r="C662" s="1" t="s">
        <v>10</v>
      </c>
      <c r="D662" s="1">
        <v>28</v>
      </c>
      <c r="E662" s="1" t="s">
        <v>28</v>
      </c>
      <c r="F662" s="59"/>
      <c r="G662" s="32"/>
      <c r="H662" s="32"/>
    </row>
    <row r="663" spans="1:8" ht="15.75" customHeight="1">
      <c r="A663" s="1">
        <v>19083</v>
      </c>
      <c r="B663" s="2">
        <v>45099.614930555559</v>
      </c>
      <c r="C663" s="1" t="s">
        <v>10</v>
      </c>
      <c r="D663" s="1">
        <v>25</v>
      </c>
      <c r="E663" s="1" t="s">
        <v>28</v>
      </c>
      <c r="F663" s="59"/>
      <c r="G663" s="32"/>
      <c r="H663" s="32"/>
    </row>
    <row r="664" spans="1:8" ht="15.75" customHeight="1">
      <c r="A664" s="1">
        <v>19082</v>
      </c>
      <c r="B664" s="2">
        <v>45099.601643518516</v>
      </c>
      <c r="C664" s="1" t="s">
        <v>10</v>
      </c>
      <c r="D664" s="1">
        <v>35</v>
      </c>
      <c r="E664" s="1" t="s">
        <v>28</v>
      </c>
      <c r="F664" s="59"/>
      <c r="G664" s="32"/>
      <c r="H664" s="32"/>
    </row>
    <row r="665" spans="1:8" ht="15.75" customHeight="1">
      <c r="A665" s="1">
        <v>19081</v>
      </c>
      <c r="B665" s="2">
        <v>45099.576828703706</v>
      </c>
      <c r="C665" s="1" t="s">
        <v>10</v>
      </c>
      <c r="D665" s="1">
        <v>50</v>
      </c>
      <c r="E665" s="1" t="s">
        <v>28</v>
      </c>
      <c r="F665" s="59"/>
      <c r="G665" s="32"/>
      <c r="H665" s="32"/>
    </row>
    <row r="666" spans="1:8" ht="15.75" customHeight="1">
      <c r="A666" s="1">
        <v>19080</v>
      </c>
      <c r="B666" s="2">
        <v>45099.573252314818</v>
      </c>
      <c r="C666" s="1" t="s">
        <v>10</v>
      </c>
      <c r="D666" s="1">
        <v>53</v>
      </c>
      <c r="E666" s="1" t="s">
        <v>28</v>
      </c>
      <c r="F666" s="59"/>
      <c r="G666" s="32"/>
      <c r="H666" s="32"/>
    </row>
    <row r="667" spans="1:8" ht="15.75" customHeight="1">
      <c r="A667" s="1">
        <v>19079</v>
      </c>
      <c r="B667" s="2">
        <v>45099.56559027778</v>
      </c>
      <c r="C667" s="1" t="s">
        <v>10</v>
      </c>
      <c r="D667" s="1">
        <v>15</v>
      </c>
      <c r="E667" s="1" t="s">
        <v>28</v>
      </c>
      <c r="F667" s="59"/>
      <c r="G667" s="32"/>
      <c r="H667" s="32"/>
    </row>
    <row r="668" spans="1:8" ht="15.75" customHeight="1">
      <c r="A668" s="1">
        <v>19078</v>
      </c>
      <c r="B668" s="2">
        <v>45099.555243055554</v>
      </c>
      <c r="C668" s="1" t="s">
        <v>10</v>
      </c>
      <c r="D668" s="1">
        <v>20</v>
      </c>
      <c r="E668" s="1" t="s">
        <v>28</v>
      </c>
      <c r="F668" s="59"/>
      <c r="G668" s="32"/>
      <c r="H668" s="32"/>
    </row>
    <row r="669" spans="1:8" ht="15.75" customHeight="1">
      <c r="A669" s="1">
        <v>19077</v>
      </c>
      <c r="B669" s="2">
        <v>45099.547164351854</v>
      </c>
      <c r="C669" s="1" t="s">
        <v>10</v>
      </c>
      <c r="D669" s="1">
        <v>35</v>
      </c>
      <c r="E669" s="1" t="s">
        <v>28</v>
      </c>
      <c r="F669" s="59"/>
      <c r="G669" s="32"/>
      <c r="H669" s="32"/>
    </row>
    <row r="670" spans="1:8" ht="15.75" customHeight="1">
      <c r="A670" s="1">
        <v>19076</v>
      </c>
      <c r="B670" s="2">
        <v>45099.542650462958</v>
      </c>
      <c r="C670" s="1" t="s">
        <v>10</v>
      </c>
      <c r="D670" s="1">
        <v>0</v>
      </c>
      <c r="E670" s="1" t="s">
        <v>28</v>
      </c>
      <c r="F670" s="59"/>
      <c r="G670" s="32"/>
      <c r="H670" s="32"/>
    </row>
    <row r="671" spans="1:8" ht="15.75" customHeight="1">
      <c r="A671" s="1">
        <v>19075</v>
      </c>
      <c r="B671" s="2">
        <v>45099.519895833335</v>
      </c>
      <c r="C671" s="1" t="s">
        <v>10</v>
      </c>
      <c r="D671" s="1">
        <v>28</v>
      </c>
      <c r="E671" s="1" t="s">
        <v>28</v>
      </c>
      <c r="F671" s="59"/>
      <c r="G671" s="32"/>
      <c r="H671" s="32"/>
    </row>
    <row r="672" spans="1:8" ht="15.75" customHeight="1">
      <c r="A672" s="1">
        <v>19074</v>
      </c>
      <c r="B672" s="2">
        <v>45099.519780092596</v>
      </c>
      <c r="C672" s="1" t="s">
        <v>10</v>
      </c>
      <c r="D672" s="1">
        <v>28</v>
      </c>
      <c r="E672" s="1" t="s">
        <v>39</v>
      </c>
      <c r="F672" s="59"/>
      <c r="G672" s="32"/>
      <c r="H672" s="32"/>
    </row>
    <row r="673" spans="1:8" ht="15.75" customHeight="1">
      <c r="A673" s="1">
        <v>19073</v>
      </c>
      <c r="B673" s="2">
        <v>45099.070740740739</v>
      </c>
      <c r="C673" s="1" t="s">
        <v>10</v>
      </c>
      <c r="D673" s="1">
        <v>30</v>
      </c>
      <c r="E673" s="1" t="s">
        <v>28</v>
      </c>
      <c r="F673" s="59"/>
      <c r="G673" s="32"/>
      <c r="H673" s="32"/>
    </row>
    <row r="674" spans="1:8" ht="15.75" customHeight="1">
      <c r="A674" s="1">
        <v>19072</v>
      </c>
      <c r="B674" s="2">
        <v>45099.028217592597</v>
      </c>
      <c r="C674" s="1" t="s">
        <v>10</v>
      </c>
      <c r="D674" s="1">
        <v>30</v>
      </c>
      <c r="E674" s="1" t="s">
        <v>28</v>
      </c>
      <c r="F674" s="59"/>
      <c r="G674" s="32"/>
      <c r="H674" s="32"/>
    </row>
    <row r="675" spans="1:8" ht="15.75" customHeight="1">
      <c r="A675" s="1">
        <v>19071</v>
      </c>
      <c r="B675" s="2">
        <v>45098.966736111106</v>
      </c>
      <c r="C675" s="1" t="s">
        <v>10</v>
      </c>
      <c r="D675" s="1">
        <v>25</v>
      </c>
      <c r="E675" s="1" t="s">
        <v>28</v>
      </c>
      <c r="F675" s="59"/>
      <c r="G675" s="32"/>
      <c r="H675" s="32"/>
    </row>
    <row r="676" spans="1:8" ht="15.75" customHeight="1">
      <c r="A676" s="1">
        <v>19070</v>
      </c>
      <c r="B676" s="2">
        <v>45098.956261574072</v>
      </c>
      <c r="C676" s="1" t="s">
        <v>10</v>
      </c>
      <c r="D676" s="1">
        <v>25</v>
      </c>
      <c r="E676" s="1" t="s">
        <v>28</v>
      </c>
      <c r="F676" s="59"/>
      <c r="G676" s="32"/>
      <c r="H676" s="32"/>
    </row>
    <row r="677" spans="1:8" ht="15.75" customHeight="1">
      <c r="A677" s="1">
        <v>19069</v>
      </c>
      <c r="B677" s="2">
        <v>45098.95385416667</v>
      </c>
      <c r="C677" s="1" t="s">
        <v>10</v>
      </c>
      <c r="D677" s="1">
        <v>56</v>
      </c>
      <c r="E677" s="1" t="s">
        <v>28</v>
      </c>
      <c r="F677" s="59"/>
      <c r="G677" s="32"/>
      <c r="H677" s="32"/>
    </row>
    <row r="678" spans="1:8" ht="15.75" customHeight="1">
      <c r="A678" s="1">
        <v>19068</v>
      </c>
      <c r="B678" s="2">
        <v>45098.921944444446</v>
      </c>
      <c r="C678" s="1" t="s">
        <v>10</v>
      </c>
      <c r="D678" s="1">
        <v>25</v>
      </c>
      <c r="E678" s="1" t="s">
        <v>28</v>
      </c>
      <c r="F678" s="59"/>
      <c r="G678" s="32"/>
      <c r="H678" s="32"/>
    </row>
    <row r="679" spans="1:8" ht="15.75" customHeight="1">
      <c r="A679" s="1">
        <v>19067</v>
      </c>
      <c r="B679" s="2">
        <v>45098.910578703704</v>
      </c>
      <c r="C679" s="1" t="s">
        <v>10</v>
      </c>
      <c r="D679" s="1">
        <v>25</v>
      </c>
      <c r="E679" s="1" t="s">
        <v>28</v>
      </c>
      <c r="F679" s="59"/>
      <c r="G679" s="32"/>
      <c r="H679" s="32"/>
    </row>
    <row r="680" spans="1:8" ht="15.75" customHeight="1">
      <c r="A680" s="1">
        <v>19066</v>
      </c>
      <c r="B680" s="2">
        <v>45098.699571759258</v>
      </c>
      <c r="C680" s="1" t="s">
        <v>10</v>
      </c>
      <c r="D680" s="1">
        <v>0</v>
      </c>
      <c r="E680" s="1" t="s">
        <v>15</v>
      </c>
      <c r="F680" s="59"/>
      <c r="G680" s="32"/>
      <c r="H680" s="32"/>
    </row>
    <row r="681" spans="1:8" ht="15.75" customHeight="1">
      <c r="A681" s="1">
        <v>19065</v>
      </c>
      <c r="B681" s="2">
        <v>45098.100370370375</v>
      </c>
      <c r="C681" s="1" t="s">
        <v>10</v>
      </c>
      <c r="D681" s="1">
        <v>20</v>
      </c>
      <c r="E681" s="1" t="s">
        <v>28</v>
      </c>
      <c r="F681" s="59"/>
      <c r="G681" s="32"/>
      <c r="H681" s="32"/>
    </row>
    <row r="682" spans="1:8" ht="15.75" customHeight="1">
      <c r="A682" s="1">
        <v>19064</v>
      </c>
      <c r="B682" s="2">
        <v>45098.098993055552</v>
      </c>
      <c r="C682" s="1" t="s">
        <v>10</v>
      </c>
      <c r="D682" s="1">
        <v>20</v>
      </c>
      <c r="E682" s="1" t="s">
        <v>28</v>
      </c>
      <c r="F682" s="59"/>
      <c r="G682" s="32"/>
      <c r="H682" s="32"/>
    </row>
    <row r="683" spans="1:8" ht="15.75" customHeight="1">
      <c r="A683" s="1">
        <v>19063</v>
      </c>
      <c r="B683" s="2">
        <v>45098.078252314815</v>
      </c>
      <c r="C683" s="1" t="s">
        <v>10</v>
      </c>
      <c r="D683" s="1">
        <v>15</v>
      </c>
      <c r="E683" s="1" t="s">
        <v>28</v>
      </c>
      <c r="F683" s="59"/>
      <c r="G683" s="32"/>
      <c r="H683" s="32"/>
    </row>
    <row r="684" spans="1:8" ht="15.75" customHeight="1">
      <c r="A684" s="1">
        <v>19062</v>
      </c>
      <c r="B684" s="2">
        <v>45097.918344907404</v>
      </c>
      <c r="C684" s="1" t="s">
        <v>10</v>
      </c>
      <c r="D684" s="1">
        <v>28</v>
      </c>
      <c r="E684" s="1" t="s">
        <v>28</v>
      </c>
      <c r="F684" s="59"/>
      <c r="G684" s="32"/>
      <c r="H684" s="32"/>
    </row>
    <row r="685" spans="1:8" ht="15.75" customHeight="1">
      <c r="A685" s="1">
        <v>19061</v>
      </c>
      <c r="B685" s="2">
        <v>45097.904317129629</v>
      </c>
      <c r="C685" s="1" t="s">
        <v>10</v>
      </c>
      <c r="D685" s="1">
        <v>15</v>
      </c>
      <c r="E685" s="1" t="s">
        <v>28</v>
      </c>
      <c r="F685" s="59"/>
      <c r="G685" s="32"/>
      <c r="H685" s="32"/>
    </row>
    <row r="686" spans="1:8" ht="15.75" customHeight="1">
      <c r="A686" s="1">
        <v>19060</v>
      </c>
      <c r="B686" s="2">
        <v>45097.882407407407</v>
      </c>
      <c r="C686" s="1" t="s">
        <v>10</v>
      </c>
      <c r="D686" s="1">
        <v>53</v>
      </c>
      <c r="E686" s="1" t="s">
        <v>28</v>
      </c>
      <c r="F686" s="59"/>
      <c r="G686" s="32"/>
      <c r="H686" s="32"/>
    </row>
    <row r="687" spans="1:8" ht="15.75" customHeight="1">
      <c r="A687" s="1">
        <v>19057</v>
      </c>
      <c r="B687" s="2">
        <v>45097.655104166668</v>
      </c>
      <c r="C687" s="1" t="s">
        <v>10</v>
      </c>
      <c r="D687" s="1">
        <v>18</v>
      </c>
      <c r="E687" s="1" t="s">
        <v>84</v>
      </c>
      <c r="F687" s="59"/>
      <c r="G687" s="32"/>
      <c r="H687" s="32"/>
    </row>
    <row r="688" spans="1:8" ht="15.75" customHeight="1">
      <c r="A688" s="1">
        <v>19052</v>
      </c>
      <c r="B688" s="2">
        <v>45097.629259259258</v>
      </c>
      <c r="C688" s="1" t="s">
        <v>10</v>
      </c>
      <c r="D688" s="1">
        <v>25</v>
      </c>
      <c r="E688" s="1" t="s">
        <v>45</v>
      </c>
      <c r="F688" s="59"/>
      <c r="G688" s="32"/>
      <c r="H688" s="32"/>
    </row>
    <row r="689" spans="1:8" ht="15.75" customHeight="1">
      <c r="A689" s="1">
        <v>19049</v>
      </c>
      <c r="B689" s="2">
        <v>45097.514340277776</v>
      </c>
      <c r="C689" s="1" t="s">
        <v>10</v>
      </c>
      <c r="D689" s="1">
        <v>25</v>
      </c>
      <c r="E689" s="1" t="s">
        <v>28</v>
      </c>
      <c r="F689" s="59"/>
      <c r="G689" s="32"/>
      <c r="H689" s="32"/>
    </row>
    <row r="690" spans="1:8" ht="15.75" customHeight="1">
      <c r="A690" s="1">
        <v>19048</v>
      </c>
      <c r="B690" s="2">
        <v>45097.261458333334</v>
      </c>
      <c r="C690" s="1" t="s">
        <v>10</v>
      </c>
      <c r="D690" s="1">
        <v>30</v>
      </c>
      <c r="E690" s="1" t="s">
        <v>15</v>
      </c>
      <c r="F690" s="59"/>
      <c r="G690" s="32"/>
      <c r="H690" s="32"/>
    </row>
    <row r="691" spans="1:8" ht="15.75" customHeight="1">
      <c r="A691" s="1">
        <v>19047</v>
      </c>
      <c r="B691" s="2">
        <v>45097.258564814816</v>
      </c>
      <c r="C691" s="1" t="s">
        <v>10</v>
      </c>
      <c r="D691" s="1">
        <v>25</v>
      </c>
      <c r="E691" s="1" t="s">
        <v>15</v>
      </c>
      <c r="F691" s="59"/>
      <c r="G691" s="32"/>
      <c r="H691" s="32"/>
    </row>
    <row r="692" spans="1:8" ht="15.75" customHeight="1">
      <c r="A692" s="1">
        <v>19046</v>
      </c>
      <c r="B692" s="2">
        <v>45097.256400462968</v>
      </c>
      <c r="C692" s="1" t="s">
        <v>10</v>
      </c>
      <c r="D692" s="1">
        <v>25</v>
      </c>
      <c r="E692" s="1" t="s">
        <v>15</v>
      </c>
      <c r="F692" s="59"/>
      <c r="G692" s="32"/>
      <c r="H692" s="32"/>
    </row>
    <row r="693" spans="1:8" ht="15.75" customHeight="1">
      <c r="A693" s="1">
        <v>19045</v>
      </c>
      <c r="B693" s="2">
        <v>45097.137337962966</v>
      </c>
      <c r="C693" s="1" t="s">
        <v>10</v>
      </c>
      <c r="D693" s="1">
        <v>55</v>
      </c>
      <c r="E693" s="1" t="s">
        <v>28</v>
      </c>
      <c r="F693" s="59"/>
      <c r="G693" s="32"/>
      <c r="H693" s="32"/>
    </row>
    <row r="694" spans="1:8" ht="15.75" customHeight="1">
      <c r="A694" s="1">
        <v>19044</v>
      </c>
      <c r="B694" s="2">
        <v>45097.03707175926</v>
      </c>
      <c r="C694" s="1" t="s">
        <v>10</v>
      </c>
      <c r="D694" s="1">
        <v>25</v>
      </c>
      <c r="E694" s="1" t="s">
        <v>28</v>
      </c>
      <c r="F694" s="59"/>
      <c r="G694" s="32"/>
      <c r="H694" s="32"/>
    </row>
    <row r="695" spans="1:8" ht="15.75" customHeight="1">
      <c r="A695" s="1">
        <v>19043</v>
      </c>
      <c r="B695" s="2">
        <v>45097.009652777779</v>
      </c>
      <c r="C695" s="1" t="s">
        <v>10</v>
      </c>
      <c r="D695" s="1">
        <v>25</v>
      </c>
      <c r="E695" s="1" t="s">
        <v>39</v>
      </c>
      <c r="F695" s="59"/>
      <c r="G695" s="32"/>
      <c r="H695" s="32"/>
    </row>
    <row r="696" spans="1:8" ht="15.75" customHeight="1">
      <c r="A696" s="1">
        <v>19042</v>
      </c>
      <c r="B696" s="2">
        <v>45097.003252314811</v>
      </c>
      <c r="C696" s="1" t="s">
        <v>10</v>
      </c>
      <c r="D696" s="1">
        <v>15</v>
      </c>
      <c r="E696" s="1" t="s">
        <v>28</v>
      </c>
      <c r="F696" s="59"/>
      <c r="G696" s="32"/>
      <c r="H696" s="32"/>
    </row>
    <row r="697" spans="1:8" ht="15.75" customHeight="1">
      <c r="A697" s="1">
        <v>19041</v>
      </c>
      <c r="B697" s="2">
        <v>45097.002453703702</v>
      </c>
      <c r="C697" s="1" t="s">
        <v>10</v>
      </c>
      <c r="D697" s="1">
        <v>25</v>
      </c>
      <c r="E697" s="1" t="s">
        <v>28</v>
      </c>
      <c r="F697" s="59"/>
      <c r="G697" s="32"/>
      <c r="H697" s="32"/>
    </row>
    <row r="698" spans="1:8" ht="15.75" customHeight="1">
      <c r="A698" s="1">
        <v>19040</v>
      </c>
      <c r="B698" s="2">
        <v>45096.976944444439</v>
      </c>
      <c r="C698" s="1" t="s">
        <v>10</v>
      </c>
      <c r="D698" s="1">
        <v>53</v>
      </c>
      <c r="E698" s="1" t="s">
        <v>28</v>
      </c>
      <c r="F698" s="59"/>
      <c r="G698" s="32"/>
      <c r="H698" s="32"/>
    </row>
    <row r="699" spans="1:8" ht="15.75" customHeight="1">
      <c r="A699" s="1">
        <v>19039</v>
      </c>
      <c r="B699" s="2">
        <v>45096.975347222222</v>
      </c>
      <c r="C699" s="1" t="s">
        <v>10</v>
      </c>
      <c r="D699" s="1">
        <v>25</v>
      </c>
      <c r="E699" s="1" t="s">
        <v>28</v>
      </c>
      <c r="F699" s="59"/>
      <c r="G699" s="32"/>
      <c r="H699" s="32"/>
    </row>
    <row r="700" spans="1:8" ht="15.75" customHeight="1">
      <c r="A700" s="1">
        <v>19038</v>
      </c>
      <c r="B700" s="2">
        <v>45096.975254629629</v>
      </c>
      <c r="C700" s="1" t="s">
        <v>10</v>
      </c>
      <c r="D700" s="1">
        <v>15</v>
      </c>
      <c r="E700" s="1" t="s">
        <v>28</v>
      </c>
      <c r="F700" s="59"/>
      <c r="G700" s="32"/>
      <c r="H700" s="32"/>
    </row>
    <row r="701" spans="1:8" ht="15.75" customHeight="1">
      <c r="A701" s="1">
        <v>19037</v>
      </c>
      <c r="B701" s="2">
        <v>45096.972199074073</v>
      </c>
      <c r="C701" s="1" t="s">
        <v>10</v>
      </c>
      <c r="D701" s="1">
        <v>35</v>
      </c>
      <c r="E701" s="1" t="s">
        <v>28</v>
      </c>
      <c r="F701" s="59"/>
      <c r="G701" s="32"/>
      <c r="H701" s="32"/>
    </row>
    <row r="702" spans="1:8" ht="15.75" customHeight="1">
      <c r="A702" s="1">
        <v>19036</v>
      </c>
      <c r="B702" s="2">
        <v>45096.970393518517</v>
      </c>
      <c r="C702" s="1" t="s">
        <v>10</v>
      </c>
      <c r="D702" s="1">
        <v>25</v>
      </c>
      <c r="E702" s="1" t="s">
        <v>28</v>
      </c>
      <c r="F702" s="59"/>
      <c r="G702" s="32"/>
      <c r="H702" s="32"/>
    </row>
    <row r="703" spans="1:8" ht="15.75" customHeight="1">
      <c r="A703" s="1">
        <v>19035</v>
      </c>
      <c r="B703" s="2">
        <v>45096.963587962964</v>
      </c>
      <c r="C703" s="1" t="s">
        <v>10</v>
      </c>
      <c r="D703" s="1">
        <v>45</v>
      </c>
      <c r="E703" s="1" t="s">
        <v>28</v>
      </c>
      <c r="F703" s="59"/>
      <c r="G703" s="32"/>
      <c r="H703" s="32"/>
    </row>
    <row r="704" spans="1:8" ht="15.75" customHeight="1">
      <c r="A704" s="1">
        <v>19034</v>
      </c>
      <c r="B704" s="2">
        <v>45096.960381944446</v>
      </c>
      <c r="C704" s="1" t="s">
        <v>10</v>
      </c>
      <c r="D704" s="1">
        <v>25</v>
      </c>
      <c r="E704" s="1" t="s">
        <v>28</v>
      </c>
      <c r="F704" s="59"/>
      <c r="G704" s="32"/>
      <c r="H704" s="32"/>
    </row>
    <row r="705" spans="1:8" ht="15.75" customHeight="1">
      <c r="A705" s="1">
        <v>19033</v>
      </c>
      <c r="B705" s="2">
        <v>45096.959999999999</v>
      </c>
      <c r="C705" s="1" t="s">
        <v>10</v>
      </c>
      <c r="D705" s="1">
        <v>25</v>
      </c>
      <c r="E705" s="1" t="s">
        <v>28</v>
      </c>
      <c r="F705" s="59"/>
      <c r="G705" s="32"/>
      <c r="H705" s="32"/>
    </row>
    <row r="706" spans="1:8" ht="15.75" customHeight="1">
      <c r="A706" s="1">
        <v>19032</v>
      </c>
      <c r="B706" s="2">
        <v>45096.959502314814</v>
      </c>
      <c r="C706" s="1" t="s">
        <v>10</v>
      </c>
      <c r="D706" s="1">
        <v>28</v>
      </c>
      <c r="E706" s="1" t="s">
        <v>28</v>
      </c>
      <c r="F706" s="59"/>
      <c r="G706" s="32"/>
      <c r="H706" s="32"/>
    </row>
    <row r="707" spans="1:8" ht="15.75" customHeight="1">
      <c r="A707" s="1">
        <v>19031</v>
      </c>
      <c r="B707" s="2">
        <v>45096.957789351851</v>
      </c>
      <c r="C707" s="1" t="s">
        <v>10</v>
      </c>
      <c r="D707" s="1">
        <v>25</v>
      </c>
      <c r="E707" s="1" t="s">
        <v>28</v>
      </c>
      <c r="F707" s="59"/>
      <c r="G707" s="32"/>
      <c r="H707" s="32"/>
    </row>
    <row r="708" spans="1:8" ht="15.75" customHeight="1">
      <c r="A708" s="1">
        <v>19030</v>
      </c>
      <c r="B708" s="2">
        <v>45096.927291666667</v>
      </c>
      <c r="C708" s="1" t="s">
        <v>10</v>
      </c>
      <c r="D708" s="1">
        <v>26</v>
      </c>
      <c r="E708" s="1" t="s">
        <v>28</v>
      </c>
      <c r="F708" s="59"/>
      <c r="G708" s="32"/>
      <c r="H708" s="32"/>
    </row>
    <row r="709" spans="1:8" ht="15.75" customHeight="1">
      <c r="A709" s="1">
        <v>19029</v>
      </c>
      <c r="B709" s="2">
        <v>45096.925821759258</v>
      </c>
      <c r="C709" s="1" t="s">
        <v>10</v>
      </c>
      <c r="D709" s="1">
        <v>15</v>
      </c>
      <c r="E709" s="1" t="s">
        <v>28</v>
      </c>
      <c r="F709" s="59"/>
      <c r="G709" s="32"/>
      <c r="H709" s="32"/>
    </row>
    <row r="710" spans="1:8" ht="15.75" customHeight="1">
      <c r="A710" s="1">
        <v>19028</v>
      </c>
      <c r="B710" s="2">
        <v>45096.920775462961</v>
      </c>
      <c r="C710" s="1" t="s">
        <v>10</v>
      </c>
      <c r="D710" s="1">
        <v>25</v>
      </c>
      <c r="E710" s="1" t="s">
        <v>28</v>
      </c>
      <c r="F710" s="59"/>
      <c r="G710" s="32"/>
      <c r="H710" s="32"/>
    </row>
    <row r="711" spans="1:8" ht="15.75" customHeight="1">
      <c r="A711" s="1">
        <v>19027</v>
      </c>
      <c r="B711" s="2">
        <v>45096.479618055557</v>
      </c>
      <c r="C711" s="1" t="s">
        <v>51</v>
      </c>
      <c r="D711" s="1">
        <v>580</v>
      </c>
      <c r="F711" s="59"/>
      <c r="G711" s="32"/>
      <c r="H711" s="32"/>
    </row>
    <row r="712" spans="1:8" ht="15.75" customHeight="1">
      <c r="A712" s="1">
        <v>19023</v>
      </c>
      <c r="B712" s="2">
        <v>45096.443055555559</v>
      </c>
      <c r="C712" s="1" t="s">
        <v>10</v>
      </c>
      <c r="D712" s="1">
        <v>25</v>
      </c>
      <c r="E712" s="1" t="s">
        <v>84</v>
      </c>
      <c r="F712" s="59"/>
      <c r="G712" s="32"/>
      <c r="H712" s="32"/>
    </row>
    <row r="713" spans="1:8" ht="15.75" customHeight="1">
      <c r="A713" s="1">
        <v>19021</v>
      </c>
      <c r="B713" s="2">
        <v>45095.838090277779</v>
      </c>
      <c r="C713" s="1" t="s">
        <v>10</v>
      </c>
      <c r="D713" s="1">
        <v>0</v>
      </c>
      <c r="E713" s="1" t="s">
        <v>84</v>
      </c>
      <c r="F713" s="59"/>
      <c r="G713" s="32"/>
      <c r="H713" s="32"/>
    </row>
    <row r="714" spans="1:8" ht="15.75" customHeight="1">
      <c r="A714" s="1">
        <v>19020</v>
      </c>
      <c r="B714" s="2">
        <v>45095.768726851849</v>
      </c>
      <c r="C714" s="1" t="s">
        <v>10</v>
      </c>
      <c r="D714" s="1">
        <v>0</v>
      </c>
      <c r="E714" s="1" t="s">
        <v>84</v>
      </c>
      <c r="F714" s="59"/>
      <c r="G714" s="32"/>
      <c r="H714" s="32"/>
    </row>
    <row r="715" spans="1:8" ht="15.75" customHeight="1">
      <c r="A715" s="1">
        <v>18997</v>
      </c>
      <c r="B715" s="2">
        <v>45094.862303240741</v>
      </c>
      <c r="C715" s="1" t="s">
        <v>18</v>
      </c>
      <c r="D715" s="1">
        <v>18</v>
      </c>
      <c r="E715" s="1" t="s">
        <v>59</v>
      </c>
      <c r="F715" s="59"/>
      <c r="G715" s="32"/>
      <c r="H715" s="32"/>
    </row>
    <row r="716" spans="1:8" ht="15.75" customHeight="1">
      <c r="A716" s="1">
        <v>18996</v>
      </c>
      <c r="B716" s="2">
        <v>45094.624178240745</v>
      </c>
      <c r="C716" s="1" t="s">
        <v>10</v>
      </c>
      <c r="D716" s="1">
        <v>43</v>
      </c>
      <c r="E716" s="1" t="s">
        <v>59</v>
      </c>
      <c r="F716" s="59"/>
      <c r="G716" s="32"/>
      <c r="H716" s="32"/>
    </row>
    <row r="717" spans="1:8" ht="15.75" customHeight="1">
      <c r="A717" s="1">
        <v>18994</v>
      </c>
      <c r="B717" s="2">
        <v>45093.139178240745</v>
      </c>
      <c r="C717" s="1" t="s">
        <v>10</v>
      </c>
      <c r="D717" s="1">
        <v>18</v>
      </c>
      <c r="E717" s="1" t="s">
        <v>59</v>
      </c>
      <c r="F717" s="59"/>
      <c r="G717" s="32"/>
      <c r="H717" s="32"/>
    </row>
    <row r="718" spans="1:8" ht="15.75" customHeight="1">
      <c r="A718" s="1">
        <v>18993</v>
      </c>
      <c r="B718" s="2">
        <v>45093.119085648148</v>
      </c>
      <c r="C718" s="1" t="s">
        <v>10</v>
      </c>
      <c r="D718" s="1">
        <v>65</v>
      </c>
      <c r="E718" s="1" t="s">
        <v>15</v>
      </c>
      <c r="F718" s="59"/>
      <c r="G718" s="32"/>
      <c r="H718" s="32"/>
    </row>
    <row r="719" spans="1:8" ht="15.75" customHeight="1">
      <c r="A719" s="1">
        <v>18992</v>
      </c>
      <c r="B719" s="2">
        <v>45093.045775462961</v>
      </c>
      <c r="C719" s="1" t="s">
        <v>10</v>
      </c>
      <c r="D719" s="1">
        <v>25</v>
      </c>
      <c r="E719" s="1" t="s">
        <v>15</v>
      </c>
      <c r="F719" s="59"/>
      <c r="G719" s="32"/>
      <c r="H719" s="32"/>
    </row>
    <row r="720" spans="1:8" ht="15.75" customHeight="1">
      <c r="A720" s="1">
        <v>18982</v>
      </c>
      <c r="B720" s="2">
        <v>45090.802777777775</v>
      </c>
      <c r="C720" s="1" t="s">
        <v>10</v>
      </c>
      <c r="D720" s="1">
        <v>25</v>
      </c>
      <c r="F720" s="59"/>
      <c r="G720" s="32"/>
      <c r="H720" s="32"/>
    </row>
    <row r="721" spans="1:8" ht="15.75" customHeight="1">
      <c r="A721" s="1">
        <v>18981</v>
      </c>
      <c r="B721" s="2">
        <v>45090.611284722225</v>
      </c>
      <c r="C721" s="1" t="s">
        <v>10</v>
      </c>
      <c r="D721" s="1">
        <v>35</v>
      </c>
      <c r="F721" s="59"/>
      <c r="G721" s="32"/>
      <c r="H721" s="32"/>
    </row>
    <row r="722" spans="1:8" ht="15.75" customHeight="1">
      <c r="A722" s="1">
        <v>18980</v>
      </c>
      <c r="B722" s="2">
        <v>45090.502546296295</v>
      </c>
      <c r="C722" s="1" t="s">
        <v>10</v>
      </c>
      <c r="D722" s="1">
        <v>25</v>
      </c>
      <c r="F722" s="59"/>
      <c r="G722" s="32"/>
      <c r="H722" s="32"/>
    </row>
    <row r="723" spans="1:8" ht="15.75" customHeight="1">
      <c r="A723" s="1">
        <v>18979</v>
      </c>
      <c r="B723" s="2">
        <v>45090.499826388885</v>
      </c>
      <c r="C723" s="1" t="s">
        <v>10</v>
      </c>
      <c r="D723" s="1">
        <v>25</v>
      </c>
      <c r="F723" s="59"/>
      <c r="G723" s="32"/>
      <c r="H723" s="32"/>
    </row>
    <row r="724" spans="1:8" ht="15.75" customHeight="1">
      <c r="A724" s="1">
        <v>18978</v>
      </c>
      <c r="B724" s="2">
        <v>45090.073472222226</v>
      </c>
      <c r="C724" s="1" t="s">
        <v>10</v>
      </c>
      <c r="D724" s="1">
        <v>30</v>
      </c>
      <c r="F724" s="59"/>
      <c r="G724" s="32"/>
      <c r="H724" s="32"/>
    </row>
    <row r="725" spans="1:8" ht="15.75" customHeight="1">
      <c r="A725" s="1">
        <v>18977</v>
      </c>
      <c r="B725" s="2">
        <v>45090.070925925931</v>
      </c>
      <c r="C725" s="1" t="s">
        <v>10</v>
      </c>
      <c r="D725" s="1">
        <v>26</v>
      </c>
      <c r="F725" s="59"/>
      <c r="G725" s="32"/>
      <c r="H725" s="32"/>
    </row>
    <row r="726" spans="1:8" ht="15.75" customHeight="1">
      <c r="A726" s="1">
        <v>18976</v>
      </c>
      <c r="B726" s="2">
        <v>45090.068275462967</v>
      </c>
      <c r="C726" s="1" t="s">
        <v>10</v>
      </c>
      <c r="D726" s="1">
        <v>26</v>
      </c>
      <c r="F726" s="59"/>
      <c r="G726" s="32"/>
      <c r="H726" s="32"/>
    </row>
    <row r="727" spans="1:8" ht="15.75" customHeight="1">
      <c r="A727" s="1">
        <v>18974</v>
      </c>
      <c r="B727" s="2">
        <v>45089.649895833332</v>
      </c>
      <c r="C727" s="1" t="s">
        <v>10</v>
      </c>
      <c r="D727" s="1">
        <v>35</v>
      </c>
      <c r="F727" s="59"/>
      <c r="G727" s="32"/>
      <c r="H727" s="32"/>
    </row>
    <row r="728" spans="1:8" ht="15.75" customHeight="1">
      <c r="A728" s="1">
        <v>18973</v>
      </c>
      <c r="B728" s="2">
        <v>45089.086701388893</v>
      </c>
      <c r="C728" s="1" t="s">
        <v>10</v>
      </c>
      <c r="D728" s="1">
        <v>25</v>
      </c>
      <c r="F728" s="59"/>
      <c r="G728" s="32"/>
      <c r="H728" s="32"/>
    </row>
    <row r="729" spans="1:8" ht="15.75" customHeight="1">
      <c r="A729" s="1">
        <v>18972</v>
      </c>
      <c r="B729" s="2">
        <v>45088.996886574074</v>
      </c>
      <c r="C729" s="1" t="s">
        <v>10</v>
      </c>
      <c r="D729" s="1">
        <v>26</v>
      </c>
      <c r="F729" s="59"/>
      <c r="G729" s="32"/>
      <c r="H729" s="32"/>
    </row>
    <row r="730" spans="1:8" ht="15.75" customHeight="1">
      <c r="A730" s="1">
        <v>18971</v>
      </c>
      <c r="B730" s="2">
        <v>45088.930150462962</v>
      </c>
      <c r="C730" s="1" t="s">
        <v>10</v>
      </c>
      <c r="D730" s="1">
        <v>71</v>
      </c>
      <c r="F730" s="59"/>
      <c r="G730" s="32"/>
      <c r="H730" s="32"/>
    </row>
    <row r="731" spans="1:8" ht="15.75" customHeight="1">
      <c r="A731" s="1">
        <v>18970</v>
      </c>
      <c r="B731" s="2">
        <v>45088.543553240743</v>
      </c>
      <c r="C731" s="1" t="s">
        <v>10</v>
      </c>
      <c r="D731" s="1">
        <v>25</v>
      </c>
      <c r="F731" s="59"/>
      <c r="G731" s="32"/>
      <c r="H731" s="32"/>
    </row>
    <row r="732" spans="1:8" ht="15.75" customHeight="1">
      <c r="A732" s="1">
        <v>18969</v>
      </c>
      <c r="B732" s="2">
        <v>45087.735891203702</v>
      </c>
      <c r="C732" s="1" t="s">
        <v>10</v>
      </c>
      <c r="D732" s="1">
        <v>25</v>
      </c>
      <c r="F732" s="59"/>
      <c r="G732" s="32"/>
      <c r="H732" s="32"/>
    </row>
    <row r="733" spans="1:8" ht="15.75" customHeight="1">
      <c r="A733" s="1">
        <v>18968</v>
      </c>
      <c r="B733" s="2">
        <v>45087.601527777777</v>
      </c>
      <c r="C733" s="1" t="s">
        <v>10</v>
      </c>
      <c r="D733" s="1">
        <v>28</v>
      </c>
      <c r="F733" s="59"/>
      <c r="G733" s="32"/>
      <c r="H733" s="32"/>
    </row>
    <row r="734" spans="1:8" ht="15.75" customHeight="1">
      <c r="A734" s="1">
        <v>18967</v>
      </c>
      <c r="B734" s="2">
        <v>45087.599606481483</v>
      </c>
      <c r="C734" s="1" t="s">
        <v>10</v>
      </c>
      <c r="D734" s="1">
        <v>28</v>
      </c>
      <c r="F734" s="59"/>
      <c r="G734" s="32"/>
      <c r="H734" s="32"/>
    </row>
    <row r="735" spans="1:8" ht="15.75" customHeight="1">
      <c r="A735" s="1">
        <v>18966</v>
      </c>
      <c r="B735" s="2">
        <v>45087.597777777773</v>
      </c>
      <c r="C735" s="1" t="s">
        <v>10</v>
      </c>
      <c r="D735" s="1">
        <v>28</v>
      </c>
      <c r="F735" s="59"/>
      <c r="G735" s="32"/>
      <c r="H735" s="32"/>
    </row>
    <row r="736" spans="1:8" ht="15.75" customHeight="1">
      <c r="A736" s="1">
        <v>18965</v>
      </c>
      <c r="B736" s="2">
        <v>45086.80259259259</v>
      </c>
      <c r="C736" s="1" t="s">
        <v>10</v>
      </c>
      <c r="D736" s="1">
        <v>20</v>
      </c>
      <c r="F736" s="59"/>
      <c r="G736" s="32"/>
      <c r="H736" s="32"/>
    </row>
    <row r="737" spans="1:8" ht="15.75" customHeight="1">
      <c r="A737" s="1">
        <v>18964</v>
      </c>
      <c r="B737" s="2">
        <v>45086.770949074074</v>
      </c>
      <c r="C737" s="1" t="s">
        <v>10</v>
      </c>
      <c r="D737" s="1">
        <v>20</v>
      </c>
      <c r="F737" s="59"/>
      <c r="G737" s="32"/>
      <c r="H737" s="32"/>
    </row>
    <row r="738" spans="1:8" ht="15.75" customHeight="1">
      <c r="A738" s="1">
        <v>18963</v>
      </c>
      <c r="B738" s="2">
        <v>45086.567337962959</v>
      </c>
      <c r="C738" s="1" t="s">
        <v>10</v>
      </c>
      <c r="D738" s="1">
        <v>20</v>
      </c>
      <c r="F738" s="59"/>
      <c r="G738" s="32"/>
      <c r="H738" s="32"/>
    </row>
    <row r="739" spans="1:8" ht="15.75" customHeight="1">
      <c r="A739" s="1">
        <v>18962</v>
      </c>
      <c r="B739" s="2">
        <v>45086.563402777778</v>
      </c>
      <c r="C739" s="1" t="s">
        <v>10</v>
      </c>
      <c r="D739" s="1">
        <v>25</v>
      </c>
      <c r="F739" s="59"/>
      <c r="G739" s="32"/>
      <c r="H739" s="32"/>
    </row>
    <row r="740" spans="1:8" ht="15.75" customHeight="1">
      <c r="A740" s="1">
        <v>18961</v>
      </c>
      <c r="B740" s="2">
        <v>45086.174884259264</v>
      </c>
      <c r="C740" s="1" t="s">
        <v>10</v>
      </c>
      <c r="D740" s="1">
        <v>26</v>
      </c>
      <c r="F740" s="59"/>
      <c r="G740" s="32"/>
      <c r="H740" s="32"/>
    </row>
    <row r="741" spans="1:8" ht="15.75" customHeight="1">
      <c r="A741" s="1">
        <v>18960</v>
      </c>
      <c r="B741" s="2">
        <v>45086.17324074074</v>
      </c>
      <c r="C741" s="1" t="s">
        <v>10</v>
      </c>
      <c r="D741" s="1">
        <v>26</v>
      </c>
      <c r="F741" s="59"/>
      <c r="G741" s="32"/>
      <c r="H741" s="32"/>
    </row>
    <row r="742" spans="1:8" ht="15.75" customHeight="1">
      <c r="A742" s="1">
        <v>18959</v>
      </c>
      <c r="B742" s="2">
        <v>45086.089513888888</v>
      </c>
      <c r="C742" s="1" t="s">
        <v>10</v>
      </c>
      <c r="D742" s="1">
        <v>48</v>
      </c>
      <c r="F742" s="59"/>
      <c r="G742" s="32"/>
      <c r="H742" s="32"/>
    </row>
    <row r="743" spans="1:8" ht="15.75" customHeight="1">
      <c r="A743" s="1">
        <v>18958</v>
      </c>
      <c r="B743" s="2">
        <v>45085.996261574073</v>
      </c>
      <c r="C743" s="1" t="s">
        <v>10</v>
      </c>
      <c r="D743" s="1">
        <v>42</v>
      </c>
      <c r="F743" s="59"/>
      <c r="G743" s="32"/>
      <c r="H743" s="32"/>
    </row>
    <row r="744" spans="1:8" ht="15.75" customHeight="1">
      <c r="A744" s="1">
        <v>18957</v>
      </c>
      <c r="B744" s="2">
        <v>45085.991724537038</v>
      </c>
      <c r="C744" s="1" t="s">
        <v>10</v>
      </c>
      <c r="D744" s="1">
        <v>42</v>
      </c>
      <c r="F744" s="59"/>
      <c r="G744" s="32"/>
      <c r="H744" s="32"/>
    </row>
    <row r="745" spans="1:8" ht="15.75" customHeight="1">
      <c r="A745" s="1">
        <v>18956</v>
      </c>
      <c r="B745" s="2">
        <v>45085.852476851855</v>
      </c>
      <c r="C745" s="1" t="s">
        <v>10</v>
      </c>
      <c r="D745" s="1">
        <v>22</v>
      </c>
      <c r="F745" s="59"/>
      <c r="G745" s="32"/>
      <c r="H745" s="32"/>
    </row>
    <row r="746" spans="1:8" ht="15.75" customHeight="1">
      <c r="A746" s="1">
        <v>18955</v>
      </c>
      <c r="B746" s="2">
        <v>45085.846018518518</v>
      </c>
      <c r="C746" s="1" t="s">
        <v>10</v>
      </c>
      <c r="D746" s="1">
        <v>42</v>
      </c>
      <c r="F746" s="59"/>
      <c r="G746" s="32"/>
      <c r="H746" s="32"/>
    </row>
    <row r="747" spans="1:8" ht="15.75" customHeight="1">
      <c r="A747" s="1">
        <v>18954</v>
      </c>
      <c r="B747" s="2">
        <v>45085.084537037037</v>
      </c>
      <c r="C747" s="1" t="s">
        <v>10</v>
      </c>
      <c r="D747" s="1">
        <v>28</v>
      </c>
      <c r="F747" s="59"/>
      <c r="G747" s="32"/>
      <c r="H747" s="32"/>
    </row>
    <row r="748" spans="1:8" ht="15.75" customHeight="1">
      <c r="A748" s="1">
        <v>18953</v>
      </c>
      <c r="B748" s="2">
        <v>45085.052534722221</v>
      </c>
      <c r="C748" s="1" t="s">
        <v>10</v>
      </c>
      <c r="D748" s="1">
        <v>20</v>
      </c>
      <c r="F748" s="59"/>
      <c r="G748" s="32"/>
      <c r="H748" s="32"/>
    </row>
    <row r="749" spans="1:8" ht="15.75" customHeight="1">
      <c r="A749" s="1">
        <v>18952</v>
      </c>
      <c r="B749" s="2">
        <v>45085.050636574073</v>
      </c>
      <c r="C749" s="1" t="s">
        <v>10</v>
      </c>
      <c r="D749" s="1">
        <v>40</v>
      </c>
      <c r="F749" s="59"/>
      <c r="G749" s="32"/>
      <c r="H749" s="32"/>
    </row>
    <row r="750" spans="1:8" ht="15.75" customHeight="1">
      <c r="A750" s="1">
        <v>18951</v>
      </c>
      <c r="B750" s="2">
        <v>45085.041273148148</v>
      </c>
      <c r="C750" s="1" t="s">
        <v>10</v>
      </c>
      <c r="D750" s="1">
        <v>28</v>
      </c>
      <c r="F750" s="59"/>
      <c r="G750" s="32"/>
      <c r="H750" s="32"/>
    </row>
    <row r="751" spans="1:8" ht="15.75" customHeight="1">
      <c r="A751" s="1">
        <v>18950</v>
      </c>
      <c r="B751" s="2">
        <v>45084.980509259258</v>
      </c>
      <c r="C751" s="1" t="s">
        <v>10</v>
      </c>
      <c r="D751" s="1">
        <v>53</v>
      </c>
      <c r="F751" s="59"/>
      <c r="G751" s="32"/>
      <c r="H751" s="32"/>
    </row>
    <row r="752" spans="1:8" ht="15.75" customHeight="1">
      <c r="A752" s="1">
        <v>18949</v>
      </c>
      <c r="B752" s="2">
        <v>45084.978645833333</v>
      </c>
      <c r="C752" s="1" t="s">
        <v>10</v>
      </c>
      <c r="D752" s="1">
        <v>53</v>
      </c>
      <c r="F752" s="59"/>
      <c r="G752" s="32"/>
      <c r="H752" s="32"/>
    </row>
    <row r="753" spans="1:8" ht="15.75" customHeight="1">
      <c r="A753" s="1">
        <v>18948</v>
      </c>
      <c r="B753" s="2">
        <v>45084.956863425927</v>
      </c>
      <c r="C753" s="1" t="s">
        <v>10</v>
      </c>
      <c r="D753" s="1">
        <v>30</v>
      </c>
      <c r="F753" s="59"/>
      <c r="G753" s="32"/>
      <c r="H753" s="32"/>
    </row>
    <row r="754" spans="1:8" ht="15.75" customHeight="1">
      <c r="A754" s="1">
        <v>18947</v>
      </c>
      <c r="B754" s="2">
        <v>45084.955613425926</v>
      </c>
      <c r="C754" s="1" t="s">
        <v>10</v>
      </c>
      <c r="D754" s="1">
        <v>55</v>
      </c>
      <c r="F754" s="59"/>
      <c r="G754" s="32"/>
      <c r="H754" s="32"/>
    </row>
    <row r="755" spans="1:8" ht="15.75" customHeight="1">
      <c r="A755" s="1">
        <v>18946</v>
      </c>
      <c r="B755" s="2">
        <v>45084.953020833331</v>
      </c>
      <c r="C755" s="1" t="s">
        <v>10</v>
      </c>
      <c r="D755" s="1">
        <v>55</v>
      </c>
      <c r="F755" s="59"/>
      <c r="G755" s="32"/>
      <c r="H755" s="32"/>
    </row>
    <row r="756" spans="1:8" ht="15.75" customHeight="1">
      <c r="A756" s="1">
        <v>18945</v>
      </c>
      <c r="B756" s="2">
        <v>45084.952893518523</v>
      </c>
      <c r="C756" s="1" t="s">
        <v>10</v>
      </c>
      <c r="D756" s="1">
        <v>15</v>
      </c>
      <c r="F756" s="59"/>
      <c r="G756" s="32"/>
      <c r="H756" s="32"/>
    </row>
    <row r="757" spans="1:8" ht="15.75" customHeight="1">
      <c r="A757" s="1">
        <v>18944</v>
      </c>
      <c r="B757" s="2">
        <v>45084.837199074071</v>
      </c>
      <c r="C757" s="1" t="s">
        <v>10</v>
      </c>
      <c r="D757" s="1">
        <v>25</v>
      </c>
      <c r="F757" s="59"/>
      <c r="G757" s="32"/>
      <c r="H757" s="32"/>
    </row>
    <row r="758" spans="1:8" ht="15.75" customHeight="1">
      <c r="A758" s="1">
        <v>18943</v>
      </c>
      <c r="B758" s="2">
        <v>45084.699733796297</v>
      </c>
      <c r="C758" s="1" t="s">
        <v>10</v>
      </c>
      <c r="D758" s="1">
        <v>20</v>
      </c>
      <c r="F758" s="59"/>
      <c r="G758" s="32"/>
      <c r="H758" s="32"/>
    </row>
    <row r="759" spans="1:8" ht="15.75" customHeight="1">
      <c r="A759" s="1">
        <v>18942</v>
      </c>
      <c r="B759" s="2">
        <v>45084.696018518516</v>
      </c>
      <c r="C759" s="1" t="s">
        <v>10</v>
      </c>
      <c r="D759" s="1">
        <v>28</v>
      </c>
      <c r="F759" s="59"/>
      <c r="G759" s="32"/>
      <c r="H759" s="32"/>
    </row>
    <row r="760" spans="1:8" ht="15.75" customHeight="1">
      <c r="A760" s="1">
        <v>18941</v>
      </c>
      <c r="B760" s="2">
        <v>45084.653819444444</v>
      </c>
      <c r="C760" s="1" t="s">
        <v>10</v>
      </c>
      <c r="D760" s="1">
        <v>25</v>
      </c>
      <c r="F760" s="59"/>
      <c r="G760" s="32"/>
      <c r="H760" s="32"/>
    </row>
    <row r="761" spans="1:8" ht="15.75" customHeight="1">
      <c r="A761" s="1">
        <v>18940</v>
      </c>
      <c r="B761" s="2">
        <v>45084.653055555551</v>
      </c>
      <c r="C761" s="1" t="s">
        <v>10</v>
      </c>
      <c r="D761" s="1">
        <v>28</v>
      </c>
      <c r="F761" s="59"/>
      <c r="G761" s="32"/>
      <c r="H761" s="32"/>
    </row>
    <row r="762" spans="1:8" ht="15.75" customHeight="1">
      <c r="A762" s="1">
        <v>18939</v>
      </c>
      <c r="B762" s="2">
        <v>45084.618333333332</v>
      </c>
      <c r="C762" s="1" t="s">
        <v>10</v>
      </c>
      <c r="D762" s="1">
        <v>22</v>
      </c>
      <c r="F762" s="59"/>
      <c r="G762" s="32"/>
      <c r="H762" s="32"/>
    </row>
    <row r="763" spans="1:8" ht="15.75" customHeight="1">
      <c r="A763" s="1">
        <v>18938</v>
      </c>
      <c r="B763" s="2">
        <v>45084.55878472222</v>
      </c>
      <c r="C763" s="1" t="s">
        <v>10</v>
      </c>
      <c r="D763" s="1">
        <v>53</v>
      </c>
      <c r="F763" s="59"/>
      <c r="G763" s="32"/>
      <c r="H763" s="32"/>
    </row>
    <row r="764" spans="1:8" ht="15.75" customHeight="1">
      <c r="A764" s="1">
        <v>18937</v>
      </c>
      <c r="B764" s="2">
        <v>45084.47956018518</v>
      </c>
      <c r="C764" s="1" t="s">
        <v>10</v>
      </c>
      <c r="D764" s="1">
        <v>54</v>
      </c>
      <c r="F764" s="59"/>
      <c r="G764" s="32"/>
      <c r="H764" s="32"/>
    </row>
    <row r="765" spans="1:8" ht="15.75" customHeight="1">
      <c r="A765" s="1">
        <v>18936</v>
      </c>
      <c r="B765" s="2">
        <v>45083.714004629626</v>
      </c>
      <c r="C765" s="1" t="s">
        <v>10</v>
      </c>
      <c r="D765" s="1">
        <v>25</v>
      </c>
      <c r="F765" s="59"/>
      <c r="G765" s="32"/>
      <c r="H765" s="32"/>
    </row>
    <row r="766" spans="1:8" ht="15.75" customHeight="1">
      <c r="A766" s="1">
        <v>18935</v>
      </c>
      <c r="B766" s="2">
        <v>45083.680486111116</v>
      </c>
      <c r="C766" s="1" t="s">
        <v>10</v>
      </c>
      <c r="D766" s="1">
        <v>18</v>
      </c>
      <c r="F766" s="59"/>
      <c r="G766" s="32"/>
      <c r="H766" s="32"/>
    </row>
    <row r="767" spans="1:8" ht="15.75" customHeight="1">
      <c r="A767" s="1">
        <v>18934</v>
      </c>
      <c r="B767" s="2">
        <v>45083.421759259261</v>
      </c>
      <c r="C767" s="1" t="s">
        <v>10</v>
      </c>
      <c r="D767" s="1">
        <v>25</v>
      </c>
      <c r="F767" s="59"/>
      <c r="G767" s="32"/>
      <c r="H767" s="32"/>
    </row>
    <row r="768" spans="1:8" ht="15.75" customHeight="1">
      <c r="A768" s="1">
        <v>18933</v>
      </c>
      <c r="B768" s="2">
        <v>45082.700335648144</v>
      </c>
      <c r="C768" s="1" t="s">
        <v>10</v>
      </c>
      <c r="D768" s="1">
        <v>25</v>
      </c>
      <c r="F768" s="59"/>
      <c r="G768" s="32"/>
      <c r="H768" s="32"/>
    </row>
    <row r="769" spans="1:8" ht="15.75" customHeight="1">
      <c r="A769" s="1">
        <v>18932</v>
      </c>
      <c r="B769" s="2">
        <v>45082.035543981481</v>
      </c>
      <c r="C769" s="1" t="s">
        <v>10</v>
      </c>
      <c r="D769" s="1">
        <v>26</v>
      </c>
      <c r="F769" s="59"/>
      <c r="G769" s="32"/>
      <c r="H769" s="32"/>
    </row>
    <row r="770" spans="1:8" ht="15.75" customHeight="1">
      <c r="A770" s="1">
        <v>18931</v>
      </c>
      <c r="B770" s="2">
        <v>45081.559178240743</v>
      </c>
      <c r="C770" s="1" t="s">
        <v>10</v>
      </c>
      <c r="D770" s="1">
        <v>25</v>
      </c>
      <c r="F770" s="59"/>
      <c r="G770" s="32"/>
      <c r="H770" s="32"/>
    </row>
    <row r="771" spans="1:8" ht="15.75" customHeight="1">
      <c r="A771" s="1">
        <v>18930</v>
      </c>
      <c r="B771" s="2">
        <v>45081.55400462963</v>
      </c>
      <c r="C771" s="1" t="s">
        <v>10</v>
      </c>
      <c r="D771" s="1">
        <v>38</v>
      </c>
      <c r="F771" s="59"/>
      <c r="G771" s="32"/>
      <c r="H771" s="32"/>
    </row>
    <row r="772" spans="1:8" ht="15.75" customHeight="1">
      <c r="A772" s="1">
        <v>18929</v>
      </c>
      <c r="B772" s="2">
        <v>45081.111481481479</v>
      </c>
      <c r="C772" s="1" t="s">
        <v>10</v>
      </c>
      <c r="D772" s="1">
        <v>25</v>
      </c>
      <c r="F772" s="59"/>
      <c r="G772" s="32"/>
      <c r="H772" s="32"/>
    </row>
    <row r="773" spans="1:8" ht="15.75" customHeight="1">
      <c r="A773" s="1">
        <v>18928</v>
      </c>
      <c r="B773" s="2">
        <v>45080.967083333337</v>
      </c>
      <c r="C773" s="1" t="s">
        <v>10</v>
      </c>
      <c r="D773" s="1">
        <v>26</v>
      </c>
      <c r="F773" s="59"/>
      <c r="G773" s="32"/>
      <c r="H773" s="32"/>
    </row>
    <row r="774" spans="1:8" ht="15.75" customHeight="1">
      <c r="A774" s="1">
        <v>18927</v>
      </c>
      <c r="B774" s="2">
        <v>45080.786469907413</v>
      </c>
      <c r="C774" s="1" t="s">
        <v>10</v>
      </c>
      <c r="D774" s="1">
        <v>55</v>
      </c>
      <c r="F774" s="59"/>
      <c r="G774" s="32"/>
      <c r="H774" s="32"/>
    </row>
    <row r="775" spans="1:8" ht="15.75" customHeight="1">
      <c r="A775" s="1">
        <v>18926</v>
      </c>
      <c r="B775" s="2">
        <v>45080.776585648149</v>
      </c>
      <c r="C775" s="1" t="s">
        <v>10</v>
      </c>
      <c r="D775" s="1">
        <v>20</v>
      </c>
      <c r="F775" s="59"/>
      <c r="G775" s="32"/>
      <c r="H775" s="32"/>
    </row>
    <row r="776" spans="1:8" ht="15.75" customHeight="1">
      <c r="A776" s="1">
        <v>18925</v>
      </c>
      <c r="B776" s="2">
        <v>45080.759837962964</v>
      </c>
      <c r="C776" s="1" t="s">
        <v>10</v>
      </c>
      <c r="D776" s="1">
        <v>26</v>
      </c>
      <c r="F776" s="59"/>
      <c r="G776" s="32"/>
      <c r="H776" s="32"/>
    </row>
    <row r="777" spans="1:8" ht="15.75" customHeight="1">
      <c r="A777" s="1">
        <v>18924</v>
      </c>
      <c r="B777" s="2">
        <v>45080.738333333335</v>
      </c>
      <c r="C777" s="1" t="s">
        <v>10</v>
      </c>
      <c r="D777" s="1">
        <v>18</v>
      </c>
      <c r="F777" s="59"/>
      <c r="G777" s="32"/>
      <c r="H777" s="32"/>
    </row>
    <row r="778" spans="1:8" ht="15.75" customHeight="1">
      <c r="A778" s="1">
        <v>18923</v>
      </c>
      <c r="B778" s="2">
        <v>45080.702592592592</v>
      </c>
      <c r="C778" s="1" t="s">
        <v>10</v>
      </c>
      <c r="D778" s="1">
        <v>55</v>
      </c>
      <c r="F778" s="59"/>
      <c r="G778" s="32"/>
      <c r="H778" s="32"/>
    </row>
    <row r="779" spans="1:8" ht="15.75" customHeight="1">
      <c r="A779" s="1">
        <v>18922</v>
      </c>
      <c r="B779" s="2">
        <v>45080.701597222222</v>
      </c>
      <c r="C779" s="1" t="s">
        <v>10</v>
      </c>
      <c r="D779" s="1">
        <v>50</v>
      </c>
      <c r="F779" s="59"/>
      <c r="G779" s="32"/>
      <c r="H779" s="32"/>
    </row>
    <row r="780" spans="1:8" ht="15.75" customHeight="1">
      <c r="A780" s="1">
        <v>18921</v>
      </c>
      <c r="B780" s="2">
        <v>45080.67900462963</v>
      </c>
      <c r="C780" s="1" t="s">
        <v>10</v>
      </c>
      <c r="D780" s="1">
        <v>41</v>
      </c>
      <c r="F780" s="59"/>
      <c r="G780" s="32"/>
      <c r="H780" s="32"/>
    </row>
    <row r="781" spans="1:8" ht="15.75" customHeight="1">
      <c r="A781" s="1">
        <v>18920</v>
      </c>
      <c r="B781" s="2">
        <v>45080.626331018517</v>
      </c>
      <c r="C781" s="1" t="s">
        <v>10</v>
      </c>
      <c r="D781" s="1">
        <v>26</v>
      </c>
      <c r="F781" s="59"/>
      <c r="G781" s="32"/>
      <c r="H781" s="32"/>
    </row>
    <row r="782" spans="1:8" ht="15.75" customHeight="1">
      <c r="A782" s="1">
        <v>18919</v>
      </c>
      <c r="B782" s="2">
        <v>45080.618402777778</v>
      </c>
      <c r="C782" s="1" t="s">
        <v>10</v>
      </c>
      <c r="D782" s="1">
        <v>35</v>
      </c>
      <c r="F782" s="59"/>
      <c r="G782" s="32"/>
      <c r="H782" s="32"/>
    </row>
    <row r="783" spans="1:8" ht="15.75" customHeight="1">
      <c r="A783" s="1">
        <v>18918</v>
      </c>
      <c r="B783" s="2">
        <v>45080.60356481481</v>
      </c>
      <c r="C783" s="1" t="s">
        <v>10</v>
      </c>
      <c r="D783" s="1">
        <v>15</v>
      </c>
      <c r="F783" s="59"/>
      <c r="G783" s="32"/>
      <c r="H783" s="32"/>
    </row>
    <row r="784" spans="1:8" ht="15.75" customHeight="1">
      <c r="A784" s="1">
        <v>18917</v>
      </c>
      <c r="B784" s="2">
        <v>45080.582465277781</v>
      </c>
      <c r="C784" s="1" t="s">
        <v>10</v>
      </c>
      <c r="D784" s="1">
        <v>73</v>
      </c>
      <c r="F784" s="59"/>
      <c r="G784" s="32"/>
      <c r="H784" s="32"/>
    </row>
    <row r="785" spans="1:8" ht="15.75" customHeight="1">
      <c r="A785" s="1">
        <v>18916</v>
      </c>
      <c r="B785" s="2">
        <v>45080.571400462963</v>
      </c>
      <c r="C785" s="1" t="s">
        <v>10</v>
      </c>
      <c r="D785" s="1">
        <v>25</v>
      </c>
      <c r="F785" s="59"/>
      <c r="G785" s="32"/>
      <c r="H785" s="32"/>
    </row>
    <row r="786" spans="1:8" ht="15.75" customHeight="1">
      <c r="A786" s="1">
        <v>18915</v>
      </c>
      <c r="B786" s="2">
        <v>45080.570150462961</v>
      </c>
      <c r="C786" s="1" t="s">
        <v>10</v>
      </c>
      <c r="D786" s="1">
        <v>20</v>
      </c>
      <c r="F786" s="59"/>
      <c r="G786" s="32"/>
      <c r="H786" s="32"/>
    </row>
    <row r="787" spans="1:8" ht="15.75" customHeight="1">
      <c r="A787" s="1">
        <v>18914</v>
      </c>
      <c r="B787" s="2">
        <v>45080.568784722222</v>
      </c>
      <c r="C787" s="1" t="s">
        <v>10</v>
      </c>
      <c r="D787" s="1">
        <v>28</v>
      </c>
      <c r="F787" s="59"/>
      <c r="G787" s="32"/>
      <c r="H787" s="32"/>
    </row>
    <row r="788" spans="1:8" ht="15.75" customHeight="1">
      <c r="A788" s="1">
        <v>18913</v>
      </c>
      <c r="B788" s="2">
        <v>45080.565810185188</v>
      </c>
      <c r="C788" s="1" t="s">
        <v>10</v>
      </c>
      <c r="D788" s="1">
        <v>28</v>
      </c>
      <c r="F788" s="59"/>
      <c r="G788" s="32"/>
      <c r="H788" s="32"/>
    </row>
    <row r="789" spans="1:8" ht="15.75" customHeight="1">
      <c r="A789" s="1">
        <v>18912</v>
      </c>
      <c r="B789" s="2">
        <v>45080.565138888887</v>
      </c>
      <c r="C789" s="1" t="s">
        <v>10</v>
      </c>
      <c r="D789" s="1">
        <v>20</v>
      </c>
      <c r="F789" s="59"/>
      <c r="G789" s="32"/>
      <c r="H789" s="32"/>
    </row>
    <row r="790" spans="1:8" ht="15.75" customHeight="1">
      <c r="A790" s="1">
        <v>18911</v>
      </c>
      <c r="B790" s="2">
        <v>45080.564768518518</v>
      </c>
      <c r="C790" s="1" t="s">
        <v>10</v>
      </c>
      <c r="D790" s="1">
        <v>18</v>
      </c>
      <c r="F790" s="59"/>
      <c r="G790" s="32"/>
      <c r="H790" s="32"/>
    </row>
    <row r="791" spans="1:8" ht="15.75" customHeight="1">
      <c r="A791" s="1">
        <v>18910</v>
      </c>
      <c r="B791" s="2">
        <v>45080.562696759254</v>
      </c>
      <c r="C791" s="1" t="s">
        <v>10</v>
      </c>
      <c r="D791" s="1">
        <v>45</v>
      </c>
      <c r="F791" s="59"/>
      <c r="G791" s="32"/>
      <c r="H791" s="32"/>
    </row>
    <row r="792" spans="1:8" ht="15.75" customHeight="1">
      <c r="A792" s="1">
        <v>18909</v>
      </c>
      <c r="B792" s="2">
        <v>45080.560127314813</v>
      </c>
      <c r="C792" s="1" t="s">
        <v>10</v>
      </c>
      <c r="D792" s="1">
        <v>25</v>
      </c>
      <c r="F792" s="59"/>
      <c r="G792" s="32"/>
      <c r="H792" s="32"/>
    </row>
    <row r="793" spans="1:8" ht="15.75" customHeight="1">
      <c r="A793" s="1">
        <v>18908</v>
      </c>
      <c r="B793" s="2">
        <v>45080.558518518519</v>
      </c>
      <c r="C793" s="1" t="s">
        <v>10</v>
      </c>
      <c r="D793" s="1">
        <v>25</v>
      </c>
      <c r="F793" s="59"/>
      <c r="G793" s="32"/>
      <c r="H793" s="32"/>
    </row>
    <row r="794" spans="1:8" ht="15.75" customHeight="1">
      <c r="A794" s="1">
        <v>18907</v>
      </c>
      <c r="B794" s="2">
        <v>45080.555543981478</v>
      </c>
      <c r="C794" s="1" t="s">
        <v>10</v>
      </c>
      <c r="D794" s="1">
        <v>25</v>
      </c>
      <c r="F794" s="59"/>
      <c r="G794" s="32"/>
      <c r="H794" s="32"/>
    </row>
    <row r="795" spans="1:8" ht="15.75" customHeight="1">
      <c r="A795" s="1">
        <v>18906</v>
      </c>
      <c r="B795" s="2">
        <v>45080.544525462959</v>
      </c>
      <c r="C795" s="1" t="s">
        <v>10</v>
      </c>
      <c r="D795" s="1">
        <v>26</v>
      </c>
      <c r="F795" s="59"/>
      <c r="G795" s="32"/>
      <c r="H795" s="32"/>
    </row>
    <row r="796" spans="1:8" ht="15.75" customHeight="1">
      <c r="A796" s="1">
        <v>18905</v>
      </c>
      <c r="B796" s="2">
        <v>45080.54415509259</v>
      </c>
      <c r="C796" s="1" t="s">
        <v>10</v>
      </c>
      <c r="D796" s="1">
        <v>26</v>
      </c>
      <c r="F796" s="59"/>
      <c r="G796" s="32"/>
      <c r="H796" s="32"/>
    </row>
    <row r="797" spans="1:8" ht="15.75" customHeight="1">
      <c r="A797" s="1">
        <v>18904</v>
      </c>
      <c r="B797" s="2">
        <v>45080.543437500004</v>
      </c>
      <c r="C797" s="1" t="s">
        <v>10</v>
      </c>
      <c r="D797" s="1">
        <v>56</v>
      </c>
      <c r="F797" s="59"/>
      <c r="G797" s="32"/>
      <c r="H797" s="32"/>
    </row>
    <row r="798" spans="1:8" ht="15.75" customHeight="1">
      <c r="A798" s="1">
        <v>18903</v>
      </c>
      <c r="B798" s="2">
        <v>45080.510462962964</v>
      </c>
      <c r="C798" s="1" t="s">
        <v>10</v>
      </c>
      <c r="D798" s="1">
        <v>25</v>
      </c>
      <c r="F798" s="59"/>
      <c r="G798" s="32"/>
      <c r="H798" s="32"/>
    </row>
    <row r="799" spans="1:8" ht="15.75" customHeight="1">
      <c r="A799" s="1">
        <v>18902</v>
      </c>
      <c r="B799" s="2">
        <v>45080.492233796293</v>
      </c>
      <c r="C799" s="1" t="s">
        <v>10</v>
      </c>
      <c r="D799" s="1">
        <v>50</v>
      </c>
      <c r="F799" s="59"/>
      <c r="G799" s="32"/>
      <c r="H799" s="32"/>
    </row>
    <row r="800" spans="1:8" ht="15.75" customHeight="1">
      <c r="A800" s="1">
        <v>18901</v>
      </c>
      <c r="B800" s="2">
        <v>45080.480787037042</v>
      </c>
      <c r="C800" s="1" t="s">
        <v>10</v>
      </c>
      <c r="D800" s="1">
        <v>25</v>
      </c>
      <c r="F800" s="59"/>
      <c r="G800" s="32"/>
      <c r="H800" s="32"/>
    </row>
    <row r="801" spans="1:8" ht="15.75" customHeight="1">
      <c r="A801" s="1">
        <v>18900</v>
      </c>
      <c r="B801" s="2">
        <v>45080.049791666665</v>
      </c>
      <c r="C801" s="1" t="s">
        <v>10</v>
      </c>
      <c r="D801" s="1">
        <v>20</v>
      </c>
      <c r="F801" s="59"/>
      <c r="G801" s="32"/>
      <c r="H801" s="32"/>
    </row>
    <row r="802" spans="1:8" ht="15.75" customHeight="1">
      <c r="A802" s="1">
        <v>18899</v>
      </c>
      <c r="B802" s="2">
        <v>45080.046226851853</v>
      </c>
      <c r="C802" s="1" t="s">
        <v>10</v>
      </c>
      <c r="D802" s="1">
        <v>20</v>
      </c>
      <c r="F802" s="59"/>
      <c r="G802" s="32"/>
      <c r="H802" s="32"/>
    </row>
    <row r="803" spans="1:8" ht="15.75" customHeight="1">
      <c r="A803" s="1">
        <v>18898</v>
      </c>
      <c r="B803" s="2">
        <v>45080.044571759259</v>
      </c>
      <c r="C803" s="1" t="s">
        <v>10</v>
      </c>
      <c r="D803" s="1">
        <v>20</v>
      </c>
      <c r="F803" s="59"/>
      <c r="G803" s="32"/>
      <c r="H803" s="32"/>
    </row>
    <row r="804" spans="1:8" ht="15.75" customHeight="1">
      <c r="A804" s="1">
        <v>18897</v>
      </c>
      <c r="B804" s="2">
        <v>45079.917291666672</v>
      </c>
      <c r="C804" s="1" t="s">
        <v>10</v>
      </c>
      <c r="D804" s="1">
        <v>20</v>
      </c>
      <c r="F804" s="59"/>
      <c r="G804" s="32"/>
      <c r="H804" s="32"/>
    </row>
    <row r="805" spans="1:8" ht="15.75" customHeight="1">
      <c r="A805" s="1">
        <v>18882</v>
      </c>
      <c r="B805" s="2">
        <v>45079.109780092593</v>
      </c>
      <c r="C805" s="1" t="s">
        <v>10</v>
      </c>
      <c r="D805" s="1">
        <v>20</v>
      </c>
      <c r="F805" s="59"/>
      <c r="G805" s="32"/>
      <c r="H805" s="32"/>
    </row>
    <row r="806" spans="1:8" ht="15.75" customHeight="1">
      <c r="A806" s="1">
        <v>18881</v>
      </c>
      <c r="B806" s="2">
        <v>45078.976365740746</v>
      </c>
      <c r="C806" s="1" t="s">
        <v>10</v>
      </c>
      <c r="D806" s="1">
        <v>30</v>
      </c>
      <c r="F806" s="59"/>
      <c r="G806" s="32"/>
      <c r="H806" s="32"/>
    </row>
    <row r="807" spans="1:8" ht="15.75" customHeight="1">
      <c r="A807" s="1">
        <v>18879</v>
      </c>
      <c r="B807" s="2">
        <v>45078.828171296293</v>
      </c>
      <c r="C807" s="1" t="s">
        <v>10</v>
      </c>
      <c r="D807" s="1">
        <v>20</v>
      </c>
      <c r="F807" s="59"/>
      <c r="G807" s="32"/>
      <c r="H807" s="32"/>
    </row>
    <row r="808" spans="1:8" ht="15.75" customHeight="1">
      <c r="A808" s="1">
        <v>18878</v>
      </c>
      <c r="B808" s="2">
        <v>45078.672800925924</v>
      </c>
      <c r="C808" s="1" t="s">
        <v>10</v>
      </c>
      <c r="D808" s="1">
        <v>25</v>
      </c>
      <c r="F808" s="59"/>
      <c r="G808" s="32"/>
      <c r="H808" s="32"/>
    </row>
    <row r="809" spans="1:8" ht="15.75" customHeight="1">
      <c r="A809" s="1">
        <v>18877</v>
      </c>
      <c r="B809" s="2">
        <v>45078.639664351853</v>
      </c>
      <c r="C809" s="1" t="s">
        <v>10</v>
      </c>
      <c r="D809" s="1">
        <v>15</v>
      </c>
      <c r="F809" s="59"/>
      <c r="G809" s="32"/>
      <c r="H809" s="32"/>
    </row>
    <row r="810" spans="1:8" ht="15.75" customHeight="1">
      <c r="A810" s="1">
        <v>18876</v>
      </c>
      <c r="B810" s="2">
        <v>45078.540092592593</v>
      </c>
      <c r="C810" s="1" t="s">
        <v>10</v>
      </c>
      <c r="D810" s="1">
        <v>25</v>
      </c>
      <c r="F810" s="59"/>
      <c r="G810" s="32"/>
      <c r="H810" s="32"/>
    </row>
    <row r="811" spans="1:8" ht="15.75" customHeight="1">
      <c r="A811" s="1">
        <v>18875</v>
      </c>
      <c r="B811" s="2">
        <v>45078.528425925921</v>
      </c>
      <c r="C811" s="1" t="s">
        <v>10</v>
      </c>
      <c r="D811" s="1">
        <v>15</v>
      </c>
      <c r="F811" s="59"/>
      <c r="G811" s="32"/>
      <c r="H811" s="32"/>
    </row>
    <row r="812" spans="1:8" ht="15.75" customHeight="1">
      <c r="A812" s="1">
        <v>18874</v>
      </c>
      <c r="B812" s="2">
        <v>45078.084131944444</v>
      </c>
      <c r="C812" s="1" t="s">
        <v>10</v>
      </c>
      <c r="D812" s="1">
        <v>25</v>
      </c>
      <c r="F812" s="59"/>
      <c r="G812" s="32"/>
      <c r="H812" s="32"/>
    </row>
    <row r="813" spans="1:8" ht="15.75" customHeight="1">
      <c r="A813" s="1">
        <v>18873</v>
      </c>
      <c r="B813" s="2">
        <v>45078.050775462965</v>
      </c>
      <c r="C813" s="1" t="s">
        <v>10</v>
      </c>
      <c r="D813" s="1">
        <v>28</v>
      </c>
      <c r="F813" s="59"/>
      <c r="G813" s="32"/>
      <c r="H813" s="32"/>
    </row>
    <row r="814" spans="1:8" ht="15.75" customHeight="1">
      <c r="A814" s="1">
        <v>18872</v>
      </c>
      <c r="B814" s="2">
        <v>45077.984918981485</v>
      </c>
      <c r="C814" s="1" t="s">
        <v>10</v>
      </c>
      <c r="D814" s="1">
        <v>44</v>
      </c>
      <c r="F814" s="59"/>
      <c r="G814" s="32"/>
      <c r="H814" s="32"/>
    </row>
    <row r="815" spans="1:8" ht="15.75" customHeight="1">
      <c r="A815" s="1">
        <v>18871</v>
      </c>
      <c r="B815" s="2">
        <v>45077.969537037032</v>
      </c>
      <c r="C815" s="1" t="s">
        <v>10</v>
      </c>
      <c r="D815" s="1">
        <v>25</v>
      </c>
      <c r="F815" s="59"/>
      <c r="G815" s="32"/>
      <c r="H815" s="32"/>
    </row>
    <row r="816" spans="1:8" ht="15.75" customHeight="1">
      <c r="A816" s="1">
        <v>18870</v>
      </c>
      <c r="B816" s="2">
        <v>45077.968958333338</v>
      </c>
      <c r="C816" s="1" t="s">
        <v>10</v>
      </c>
      <c r="D816" s="1">
        <v>20</v>
      </c>
      <c r="F816" s="59"/>
      <c r="G816" s="32"/>
      <c r="H816" s="32"/>
    </row>
    <row r="817" spans="1:8" ht="15.75" customHeight="1">
      <c r="A817" s="1">
        <v>18869</v>
      </c>
      <c r="B817" s="2">
        <v>45077.939699074079</v>
      </c>
      <c r="C817" s="1" t="s">
        <v>10</v>
      </c>
      <c r="D817" s="1">
        <v>28</v>
      </c>
      <c r="F817" s="59"/>
      <c r="G817" s="32"/>
      <c r="H817" s="32"/>
    </row>
    <row r="818" spans="1:8" ht="15.75" customHeight="1">
      <c r="A818" s="1">
        <v>18868</v>
      </c>
      <c r="B818" s="2">
        <v>45077.937523148154</v>
      </c>
      <c r="C818" s="1" t="s">
        <v>10</v>
      </c>
      <c r="D818" s="1">
        <v>35</v>
      </c>
      <c r="F818" s="59"/>
      <c r="G818" s="32"/>
      <c r="H818" s="32"/>
    </row>
    <row r="819" spans="1:8" ht="15.75" customHeight="1">
      <c r="A819" s="1">
        <v>18867</v>
      </c>
      <c r="B819" s="2">
        <v>45077.9222337963</v>
      </c>
      <c r="C819" s="1" t="s">
        <v>10</v>
      </c>
      <c r="D819" s="1">
        <v>50</v>
      </c>
      <c r="F819" s="59"/>
      <c r="G819" s="32"/>
      <c r="H819" s="32"/>
    </row>
    <row r="820" spans="1:8" ht="15.75" customHeight="1">
      <c r="A820" s="1">
        <v>18866</v>
      </c>
      <c r="B820" s="2">
        <v>45077.922060185185</v>
      </c>
      <c r="C820" s="1" t="s">
        <v>10</v>
      </c>
      <c r="D820" s="1">
        <v>28</v>
      </c>
      <c r="F820" s="59"/>
      <c r="G820" s="32"/>
      <c r="H820" s="32"/>
    </row>
    <row r="821" spans="1:8" ht="15.75" customHeight="1">
      <c r="A821" s="1">
        <v>18865</v>
      </c>
      <c r="B821" s="2">
        <v>45077.920856481476</v>
      </c>
      <c r="C821" s="1" t="s">
        <v>10</v>
      </c>
      <c r="D821" s="1">
        <v>25</v>
      </c>
      <c r="F821" s="59"/>
      <c r="G821" s="32"/>
      <c r="H821" s="32"/>
    </row>
    <row r="822" spans="1:8" ht="15.75" customHeight="1">
      <c r="A822" s="1">
        <v>18864</v>
      </c>
      <c r="B822" s="2">
        <v>45077.920081018514</v>
      </c>
      <c r="C822" s="1" t="s">
        <v>10</v>
      </c>
      <c r="D822" s="1">
        <v>25</v>
      </c>
      <c r="F822" s="59"/>
      <c r="G822" s="32"/>
      <c r="H822" s="32"/>
    </row>
    <row r="823" spans="1:8" ht="15.75" customHeight="1">
      <c r="A823" s="1">
        <v>18863</v>
      </c>
      <c r="B823" s="2">
        <v>45077.917499999996</v>
      </c>
      <c r="C823" s="1" t="s">
        <v>10</v>
      </c>
      <c r="D823" s="1">
        <v>25</v>
      </c>
      <c r="F823" s="59"/>
      <c r="G823" s="32"/>
      <c r="H823" s="32"/>
    </row>
    <row r="824" spans="1:8" ht="15.75" customHeight="1">
      <c r="A824" s="1">
        <v>18862</v>
      </c>
      <c r="B824" s="2">
        <v>45077.915023148147</v>
      </c>
      <c r="C824" s="1" t="s">
        <v>10</v>
      </c>
      <c r="D824" s="1">
        <v>25</v>
      </c>
      <c r="F824" s="59"/>
      <c r="G824" s="32"/>
      <c r="H824" s="32"/>
    </row>
    <row r="825" spans="1:8" ht="15.75" customHeight="1">
      <c r="A825" s="1">
        <v>18861</v>
      </c>
      <c r="B825" s="2">
        <v>45077.871678240743</v>
      </c>
      <c r="C825" s="1" t="s">
        <v>10</v>
      </c>
      <c r="D825" s="1">
        <v>26</v>
      </c>
      <c r="F825" s="59"/>
      <c r="G825" s="32"/>
      <c r="H825" s="32"/>
    </row>
    <row r="826" spans="1:8" ht="15.75" customHeight="1">
      <c r="A826" s="1">
        <v>18860</v>
      </c>
      <c r="B826" s="2">
        <v>45076.541261574079</v>
      </c>
      <c r="C826" s="1" t="s">
        <v>10</v>
      </c>
      <c r="D826" s="1">
        <v>20</v>
      </c>
      <c r="F826" s="59"/>
      <c r="G826" s="32"/>
      <c r="H826" s="32"/>
    </row>
    <row r="827" spans="1:8" ht="15.75" customHeight="1">
      <c r="A827" s="1">
        <v>18850</v>
      </c>
      <c r="B827" s="2">
        <v>45074.967106481483</v>
      </c>
      <c r="C827" s="1" t="s">
        <v>10</v>
      </c>
      <c r="D827" s="1">
        <v>47</v>
      </c>
      <c r="F827" s="59"/>
      <c r="G827" s="32"/>
      <c r="H827" s="32"/>
    </row>
    <row r="828" spans="1:8" ht="15.75" customHeight="1">
      <c r="A828" s="1">
        <v>18849</v>
      </c>
      <c r="B828" s="2">
        <v>45074.917962962965</v>
      </c>
      <c r="C828" s="1" t="s">
        <v>10</v>
      </c>
      <c r="D828" s="1">
        <v>47</v>
      </c>
      <c r="F828" s="59"/>
      <c r="G828" s="32"/>
      <c r="H828" s="32"/>
    </row>
    <row r="829" spans="1:8" ht="15.75" customHeight="1">
      <c r="A829" s="1">
        <v>18848</v>
      </c>
      <c r="B829" s="2">
        <v>45074.887488425928</v>
      </c>
      <c r="C829" s="1" t="s">
        <v>10</v>
      </c>
      <c r="D829" s="1">
        <v>30</v>
      </c>
      <c r="F829" s="59"/>
      <c r="G829" s="32"/>
      <c r="H829" s="32"/>
    </row>
    <row r="830" spans="1:8" ht="15.75" customHeight="1">
      <c r="A830" s="1">
        <v>18847</v>
      </c>
      <c r="B830" s="2">
        <v>45074.884780092594</v>
      </c>
      <c r="C830" s="1" t="s">
        <v>10</v>
      </c>
      <c r="D830" s="1">
        <v>55</v>
      </c>
      <c r="F830" s="59"/>
      <c r="G830" s="32"/>
      <c r="H830" s="32"/>
    </row>
    <row r="831" spans="1:8" ht="15.75" customHeight="1">
      <c r="A831" s="1">
        <v>18846</v>
      </c>
      <c r="B831" s="2">
        <v>45074.882361111115</v>
      </c>
      <c r="C831" s="1" t="s">
        <v>10</v>
      </c>
      <c r="D831" s="1">
        <v>55</v>
      </c>
      <c r="F831" s="59"/>
      <c r="G831" s="32"/>
      <c r="H831" s="32"/>
    </row>
    <row r="832" spans="1:8" ht="15.75" customHeight="1">
      <c r="A832" s="1">
        <v>18845</v>
      </c>
      <c r="B832" s="2">
        <v>45074.652361111112</v>
      </c>
      <c r="C832" s="1" t="s">
        <v>8</v>
      </c>
      <c r="D832" s="1">
        <v>15</v>
      </c>
      <c r="F832" s="59"/>
      <c r="G832" s="32"/>
      <c r="H832" s="32"/>
    </row>
    <row r="833" spans="1:8" ht="15.75" customHeight="1">
      <c r="A833" s="1">
        <v>18844</v>
      </c>
      <c r="B833" s="2">
        <v>45074.647673611107</v>
      </c>
      <c r="C833" s="1" t="s">
        <v>10</v>
      </c>
      <c r="D833" s="1">
        <v>15</v>
      </c>
      <c r="F833" s="59"/>
      <c r="G833" s="32"/>
      <c r="H833" s="32"/>
    </row>
    <row r="834" spans="1:8" ht="15.75" customHeight="1">
      <c r="A834" s="1">
        <v>18843</v>
      </c>
      <c r="B834" s="2">
        <v>45073.995092592595</v>
      </c>
      <c r="C834" s="1" t="s">
        <v>10</v>
      </c>
      <c r="D834" s="1">
        <v>28</v>
      </c>
      <c r="F834" s="59"/>
      <c r="G834" s="32"/>
      <c r="H834" s="32"/>
    </row>
    <row r="835" spans="1:8" ht="15.75" customHeight="1">
      <c r="A835" s="1">
        <v>18842</v>
      </c>
      <c r="B835" s="2">
        <v>45073.532488425924</v>
      </c>
      <c r="C835" s="1" t="s">
        <v>10</v>
      </c>
      <c r="D835" s="1">
        <v>25</v>
      </c>
      <c r="F835" s="59"/>
      <c r="G835" s="32"/>
      <c r="H835" s="32"/>
    </row>
    <row r="836" spans="1:8" ht="15.75" customHeight="1">
      <c r="A836" s="1">
        <v>18841</v>
      </c>
      <c r="B836" s="2">
        <v>45073.05332175926</v>
      </c>
      <c r="C836" s="1" t="s">
        <v>10</v>
      </c>
      <c r="D836" s="1">
        <v>25</v>
      </c>
      <c r="F836" s="59"/>
      <c r="G836" s="32"/>
      <c r="H836" s="32"/>
    </row>
    <row r="837" spans="1:8" ht="15.75" customHeight="1">
      <c r="A837" s="1">
        <v>18840</v>
      </c>
      <c r="B837" s="2">
        <v>45072.9919212963</v>
      </c>
      <c r="C837" s="1" t="s">
        <v>10</v>
      </c>
      <c r="D837" s="1">
        <v>56</v>
      </c>
      <c r="F837" s="59"/>
      <c r="G837" s="32"/>
      <c r="H837" s="32"/>
    </row>
    <row r="838" spans="1:8" ht="15.75" customHeight="1">
      <c r="A838" s="1">
        <v>18839</v>
      </c>
      <c r="B838" s="2">
        <v>45072.985868055555</v>
      </c>
      <c r="C838" s="1" t="s">
        <v>10</v>
      </c>
      <c r="D838" s="1">
        <v>28</v>
      </c>
      <c r="F838" s="59"/>
      <c r="G838" s="32"/>
      <c r="H838" s="32"/>
    </row>
    <row r="839" spans="1:8" ht="15.75" customHeight="1">
      <c r="A839" s="1">
        <v>18838</v>
      </c>
      <c r="B839" s="2">
        <v>45072.9840162037</v>
      </c>
      <c r="C839" s="1" t="s">
        <v>10</v>
      </c>
      <c r="D839" s="1">
        <v>28</v>
      </c>
      <c r="F839" s="59"/>
      <c r="G839" s="32"/>
      <c r="H839" s="32"/>
    </row>
    <row r="840" spans="1:8" ht="15.75" customHeight="1">
      <c r="A840" s="1">
        <v>18837</v>
      </c>
      <c r="B840" s="2">
        <v>45072.946354166663</v>
      </c>
      <c r="C840" s="1" t="s">
        <v>10</v>
      </c>
      <c r="D840" s="1">
        <v>25</v>
      </c>
      <c r="F840" s="59"/>
      <c r="G840" s="32"/>
      <c r="H840" s="32"/>
    </row>
    <row r="841" spans="1:8" ht="15.75" customHeight="1">
      <c r="A841" s="1">
        <v>18836</v>
      </c>
      <c r="B841" s="2">
        <v>45072.932847222226</v>
      </c>
      <c r="C841" s="1" t="s">
        <v>10</v>
      </c>
      <c r="D841" s="1">
        <v>25</v>
      </c>
      <c r="F841" s="59"/>
      <c r="G841" s="32"/>
      <c r="H841" s="32"/>
    </row>
    <row r="842" spans="1:8" ht="15.75" customHeight="1">
      <c r="A842" s="1">
        <v>18835</v>
      </c>
      <c r="B842" s="2">
        <v>45072.931250000001</v>
      </c>
      <c r="C842" s="1" t="s">
        <v>10</v>
      </c>
      <c r="D842" s="1">
        <v>55</v>
      </c>
      <c r="F842" s="59"/>
      <c r="G842" s="32"/>
      <c r="H842" s="32"/>
    </row>
    <row r="843" spans="1:8" ht="15.75" customHeight="1">
      <c r="A843" s="1">
        <v>18834</v>
      </c>
      <c r="B843" s="2">
        <v>45072.83488425926</v>
      </c>
      <c r="C843" s="1" t="s">
        <v>10</v>
      </c>
      <c r="D843" s="1">
        <v>25</v>
      </c>
      <c r="F843" s="59"/>
      <c r="G843" s="32"/>
      <c r="H843" s="32"/>
    </row>
    <row r="844" spans="1:8" ht="15.75" customHeight="1">
      <c r="A844" s="1">
        <v>18833</v>
      </c>
      <c r="B844" s="2">
        <v>45072.786203703705</v>
      </c>
      <c r="C844" s="1" t="s">
        <v>10</v>
      </c>
      <c r="D844" s="1">
        <v>25</v>
      </c>
      <c r="F844" s="59"/>
      <c r="G844" s="32"/>
      <c r="H844" s="32"/>
    </row>
    <row r="845" spans="1:8" ht="15.75" customHeight="1">
      <c r="A845" s="1">
        <v>18832</v>
      </c>
      <c r="B845" s="2">
        <v>45072.765208333338</v>
      </c>
      <c r="C845" s="1" t="s">
        <v>10</v>
      </c>
      <c r="D845" s="1">
        <v>56</v>
      </c>
      <c r="F845" s="59"/>
      <c r="G845" s="32"/>
      <c r="H845" s="32"/>
    </row>
    <row r="846" spans="1:8" ht="15.75" customHeight="1">
      <c r="A846" s="1">
        <v>18830</v>
      </c>
      <c r="B846" s="2">
        <v>45072.681006944447</v>
      </c>
      <c r="C846" s="1" t="s">
        <v>10</v>
      </c>
      <c r="D846" s="1">
        <v>83</v>
      </c>
      <c r="F846" s="59"/>
      <c r="G846" s="32"/>
      <c r="H846" s="32"/>
    </row>
    <row r="847" spans="1:8" ht="15.75" customHeight="1">
      <c r="A847" s="1">
        <v>18829</v>
      </c>
      <c r="B847" s="2">
        <v>45072.046307870369</v>
      </c>
      <c r="C847" s="1" t="s">
        <v>10</v>
      </c>
      <c r="D847" s="1">
        <v>28</v>
      </c>
      <c r="F847" s="59"/>
      <c r="G847" s="32"/>
      <c r="H847" s="32"/>
    </row>
    <row r="848" spans="1:8" ht="15.75" customHeight="1">
      <c r="A848" s="1">
        <v>18828</v>
      </c>
      <c r="B848" s="2">
        <v>45071.900370370371</v>
      </c>
      <c r="C848" s="1" t="s">
        <v>10</v>
      </c>
      <c r="D848" s="1">
        <v>25</v>
      </c>
      <c r="F848" s="59"/>
      <c r="G848" s="32"/>
      <c r="H848" s="32"/>
    </row>
    <row r="849" spans="1:8" ht="15.75" customHeight="1">
      <c r="A849" s="1">
        <v>18827</v>
      </c>
      <c r="B849" s="2">
        <v>45071.763055555552</v>
      </c>
      <c r="C849" s="1" t="s">
        <v>10</v>
      </c>
      <c r="D849" s="1">
        <v>25</v>
      </c>
      <c r="F849" s="59"/>
      <c r="G849" s="32"/>
      <c r="H849" s="32"/>
    </row>
    <row r="850" spans="1:8" ht="15.75" customHeight="1">
      <c r="A850" s="1">
        <v>18826</v>
      </c>
      <c r="B850" s="2">
        <v>45071.732083333336</v>
      </c>
      <c r="C850" s="1" t="s">
        <v>10</v>
      </c>
      <c r="D850" s="1">
        <v>20</v>
      </c>
      <c r="F850" s="59"/>
      <c r="G850" s="32"/>
      <c r="H850" s="32"/>
    </row>
    <row r="851" spans="1:8" ht="15.75" customHeight="1">
      <c r="A851" s="1">
        <v>18825</v>
      </c>
      <c r="B851" s="2">
        <v>45071.683159722219</v>
      </c>
      <c r="C851" s="1" t="s">
        <v>10</v>
      </c>
      <c r="D851" s="1">
        <v>25</v>
      </c>
      <c r="F851" s="59"/>
      <c r="G851" s="32"/>
      <c r="H851" s="32"/>
    </row>
    <row r="852" spans="1:8" ht="15.75" customHeight="1">
      <c r="A852" s="1">
        <v>18824</v>
      </c>
      <c r="B852" s="2">
        <v>45071.629699074074</v>
      </c>
      <c r="C852" s="1" t="s">
        <v>10</v>
      </c>
      <c r="D852" s="1">
        <v>28</v>
      </c>
      <c r="F852" s="59"/>
      <c r="G852" s="32"/>
      <c r="H852" s="32"/>
    </row>
    <row r="853" spans="1:8" ht="15.75" customHeight="1">
      <c r="A853" s="1">
        <v>18823</v>
      </c>
      <c r="B853" s="2">
        <v>45071.58</v>
      </c>
      <c r="C853" s="1" t="s">
        <v>10</v>
      </c>
      <c r="D853" s="1">
        <v>25</v>
      </c>
      <c r="F853" s="59"/>
      <c r="G853" s="32"/>
      <c r="H853" s="32"/>
    </row>
    <row r="854" spans="1:8" ht="15.75" customHeight="1">
      <c r="A854" s="1">
        <v>18822</v>
      </c>
      <c r="B854" s="2">
        <v>45071.576689814814</v>
      </c>
      <c r="C854" s="1" t="s">
        <v>10</v>
      </c>
      <c r="D854" s="1">
        <v>25</v>
      </c>
      <c r="F854" s="59"/>
      <c r="G854" s="32"/>
      <c r="H854" s="32"/>
    </row>
    <row r="855" spans="1:8" ht="15.75" customHeight="1">
      <c r="A855" s="1">
        <v>18821</v>
      </c>
      <c r="B855" s="2">
        <v>45071.123310185183</v>
      </c>
      <c r="C855" s="1" t="s">
        <v>10</v>
      </c>
      <c r="D855" s="1">
        <v>46</v>
      </c>
      <c r="F855" s="59"/>
      <c r="G855" s="32"/>
      <c r="H855" s="32"/>
    </row>
    <row r="856" spans="1:8" ht="15.75" customHeight="1">
      <c r="A856" s="1">
        <v>18820</v>
      </c>
      <c r="B856" s="2">
        <v>45071.114363425921</v>
      </c>
      <c r="C856" s="1" t="s">
        <v>10</v>
      </c>
      <c r="D856" s="1">
        <v>30</v>
      </c>
      <c r="F856" s="59"/>
      <c r="G856" s="32"/>
      <c r="H856" s="32"/>
    </row>
    <row r="857" spans="1:8" ht="15.75" customHeight="1">
      <c r="A857" s="1">
        <v>18819</v>
      </c>
      <c r="B857" s="2">
        <v>45071.088969907403</v>
      </c>
      <c r="C857" s="1" t="s">
        <v>8</v>
      </c>
      <c r="D857" s="1">
        <v>35</v>
      </c>
      <c r="F857" s="59"/>
      <c r="G857" s="32"/>
      <c r="H857" s="32"/>
    </row>
    <row r="858" spans="1:8" ht="15.75" customHeight="1">
      <c r="A858" s="1">
        <v>18818</v>
      </c>
      <c r="B858" s="2">
        <v>45071.088020833333</v>
      </c>
      <c r="C858" s="1" t="s">
        <v>10</v>
      </c>
      <c r="D858" s="1">
        <v>18</v>
      </c>
      <c r="F858" s="59"/>
      <c r="G858" s="32"/>
      <c r="H858" s="32"/>
    </row>
    <row r="859" spans="1:8" ht="15.75" customHeight="1">
      <c r="A859" s="1">
        <v>18817</v>
      </c>
      <c r="B859" s="2">
        <v>45071.084687499999</v>
      </c>
      <c r="C859" s="1" t="s">
        <v>10</v>
      </c>
      <c r="D859" s="1">
        <v>18</v>
      </c>
      <c r="F859" s="59"/>
      <c r="G859" s="32"/>
      <c r="H859" s="32"/>
    </row>
    <row r="860" spans="1:8" ht="15.75" customHeight="1">
      <c r="A860" s="1">
        <v>18816</v>
      </c>
      <c r="B860" s="2">
        <v>45071.042905092589</v>
      </c>
      <c r="C860" s="1" t="s">
        <v>10</v>
      </c>
      <c r="D860" s="1">
        <v>20</v>
      </c>
      <c r="F860" s="59"/>
      <c r="G860" s="32"/>
      <c r="H860" s="32"/>
    </row>
    <row r="861" spans="1:8" ht="15.75" customHeight="1">
      <c r="A861" s="1">
        <v>18815</v>
      </c>
      <c r="B861" s="2">
        <v>45071.040104166663</v>
      </c>
      <c r="C861" s="1" t="s">
        <v>10</v>
      </c>
      <c r="D861" s="1">
        <v>22</v>
      </c>
      <c r="F861" s="59"/>
      <c r="G861" s="32"/>
      <c r="H861" s="32"/>
    </row>
    <row r="862" spans="1:8" ht="15.75" customHeight="1">
      <c r="A862" s="1">
        <v>18814</v>
      </c>
      <c r="B862" s="2">
        <v>45071.039039351846</v>
      </c>
      <c r="C862" s="1" t="s">
        <v>8</v>
      </c>
      <c r="D862" s="1">
        <v>22</v>
      </c>
      <c r="F862" s="59"/>
      <c r="G862" s="32"/>
      <c r="H862" s="32"/>
    </row>
    <row r="863" spans="1:8" ht="15.75" customHeight="1">
      <c r="A863" s="1">
        <v>18813</v>
      </c>
      <c r="B863" s="2">
        <v>45071.011481481481</v>
      </c>
      <c r="C863" s="1" t="s">
        <v>10</v>
      </c>
      <c r="D863" s="1">
        <v>40</v>
      </c>
      <c r="F863" s="59"/>
      <c r="G863" s="32"/>
      <c r="H863" s="32"/>
    </row>
    <row r="864" spans="1:8" ht="15.75" customHeight="1">
      <c r="A864" s="1">
        <v>18812</v>
      </c>
      <c r="B864" s="2">
        <v>45070.998796296291</v>
      </c>
      <c r="C864" s="1" t="s">
        <v>10</v>
      </c>
      <c r="D864" s="1">
        <v>25</v>
      </c>
      <c r="F864" s="59"/>
      <c r="G864" s="32"/>
      <c r="H864" s="32"/>
    </row>
    <row r="865" spans="1:8" ht="15.75" customHeight="1">
      <c r="A865" s="1">
        <v>18811</v>
      </c>
      <c r="B865" s="2">
        <v>45070.938333333332</v>
      </c>
      <c r="C865" s="1" t="s">
        <v>10</v>
      </c>
      <c r="D865" s="1">
        <v>20</v>
      </c>
      <c r="F865" s="59"/>
      <c r="G865" s="32"/>
      <c r="H865" s="32"/>
    </row>
    <row r="866" spans="1:8" ht="15.75" customHeight="1">
      <c r="A866" s="1">
        <v>18810</v>
      </c>
      <c r="B866" s="2">
        <v>45070.071631944447</v>
      </c>
      <c r="C866" s="1" t="s">
        <v>10</v>
      </c>
      <c r="D866" s="1">
        <v>25</v>
      </c>
      <c r="F866" s="59"/>
      <c r="G866" s="32"/>
      <c r="H866" s="32"/>
    </row>
    <row r="867" spans="1:8" ht="15.75" customHeight="1">
      <c r="A867" s="1">
        <v>18809</v>
      </c>
      <c r="B867" s="2">
        <v>45070.070289351846</v>
      </c>
      <c r="C867" s="1" t="s">
        <v>10</v>
      </c>
      <c r="D867" s="1">
        <v>45</v>
      </c>
      <c r="F867" s="59"/>
      <c r="G867" s="32"/>
      <c r="H867" s="32"/>
    </row>
    <row r="868" spans="1:8" ht="15.75" customHeight="1">
      <c r="A868" s="1">
        <v>18808</v>
      </c>
      <c r="B868" s="2">
        <v>45070.026469907403</v>
      </c>
      <c r="C868" s="1" t="s">
        <v>10</v>
      </c>
      <c r="D868" s="1">
        <v>42.5</v>
      </c>
      <c r="F868" s="59"/>
      <c r="G868" s="32"/>
      <c r="H868" s="32"/>
    </row>
    <row r="869" spans="1:8" ht="15.75" customHeight="1">
      <c r="A869" s="1">
        <v>18807</v>
      </c>
      <c r="B869" s="2">
        <v>45069.896041666667</v>
      </c>
      <c r="C869" s="1" t="s">
        <v>10</v>
      </c>
      <c r="D869" s="1">
        <v>22</v>
      </c>
      <c r="F869" s="59"/>
      <c r="G869" s="32"/>
      <c r="H869" s="32"/>
    </row>
    <row r="870" spans="1:8" ht="15.75" customHeight="1">
      <c r="A870" s="1">
        <v>18806</v>
      </c>
      <c r="B870" s="2">
        <v>45069.87672453704</v>
      </c>
      <c r="C870" s="1" t="s">
        <v>10</v>
      </c>
      <c r="D870" s="1">
        <v>76.5</v>
      </c>
      <c r="F870" s="59"/>
      <c r="G870" s="32"/>
      <c r="H870" s="32"/>
    </row>
    <row r="871" spans="1:8" ht="15.75" customHeight="1">
      <c r="A871" s="1">
        <v>18805</v>
      </c>
      <c r="B871" s="2">
        <v>45069.80877314815</v>
      </c>
      <c r="C871" s="1" t="s">
        <v>10</v>
      </c>
      <c r="D871" s="1">
        <v>60</v>
      </c>
      <c r="F871" s="59"/>
      <c r="G871" s="32"/>
      <c r="H871" s="32"/>
    </row>
    <row r="872" spans="1:8" ht="15.75" customHeight="1">
      <c r="A872" s="1">
        <v>18804</v>
      </c>
      <c r="B872" s="2">
        <v>45069.776851851857</v>
      </c>
      <c r="C872" s="1" t="s">
        <v>10</v>
      </c>
      <c r="D872" s="1">
        <v>53</v>
      </c>
      <c r="F872" s="59"/>
      <c r="G872" s="32"/>
      <c r="H872" s="32"/>
    </row>
    <row r="873" spans="1:8" ht="15.75" customHeight="1">
      <c r="A873" s="1">
        <v>18803</v>
      </c>
      <c r="B873" s="2">
        <v>45069.733217592591</v>
      </c>
      <c r="C873" s="1" t="s">
        <v>10</v>
      </c>
      <c r="D873" s="1">
        <v>55</v>
      </c>
      <c r="F873" s="59"/>
      <c r="G873" s="32"/>
      <c r="H873" s="32"/>
    </row>
    <row r="874" spans="1:8" ht="15.75" customHeight="1">
      <c r="A874" s="1">
        <v>18802</v>
      </c>
      <c r="B874" s="2">
        <v>45069.615439814814</v>
      </c>
      <c r="C874" s="1" t="s">
        <v>10</v>
      </c>
      <c r="D874" s="1">
        <v>25</v>
      </c>
      <c r="F874" s="59"/>
      <c r="G874" s="32"/>
      <c r="H874" s="32"/>
    </row>
    <row r="875" spans="1:8" ht="15.75" customHeight="1">
      <c r="A875" s="1">
        <v>18801</v>
      </c>
      <c r="B875" s="2">
        <v>45069.578009259261</v>
      </c>
      <c r="C875" s="1" t="s">
        <v>10</v>
      </c>
      <c r="D875" s="1">
        <v>18</v>
      </c>
      <c r="F875" s="59"/>
      <c r="G875" s="32"/>
      <c r="H875" s="32"/>
    </row>
    <row r="876" spans="1:8" ht="15.75" customHeight="1">
      <c r="A876" s="1">
        <v>18800</v>
      </c>
      <c r="B876" s="2">
        <v>45068.977118055554</v>
      </c>
      <c r="C876" s="1" t="s">
        <v>10</v>
      </c>
      <c r="D876" s="1">
        <v>100</v>
      </c>
      <c r="F876" s="59"/>
      <c r="G876" s="32"/>
      <c r="H876" s="32"/>
    </row>
    <row r="877" spans="1:8" ht="15.75" customHeight="1">
      <c r="A877" s="1">
        <v>18799</v>
      </c>
      <c r="B877" s="2">
        <v>45068.725312499999</v>
      </c>
      <c r="C877" s="1" t="s">
        <v>10</v>
      </c>
      <c r="D877" s="1">
        <v>25</v>
      </c>
      <c r="F877" s="59"/>
      <c r="G877" s="32"/>
      <c r="H877" s="32"/>
    </row>
    <row r="878" spans="1:8" ht="15.75" customHeight="1">
      <c r="A878" s="1">
        <v>18798</v>
      </c>
      <c r="B878" s="2">
        <v>45068.134236111116</v>
      </c>
      <c r="C878" s="1" t="s">
        <v>10</v>
      </c>
      <c r="D878" s="1">
        <v>28</v>
      </c>
      <c r="F878" s="59"/>
      <c r="G878" s="32"/>
      <c r="H878" s="32"/>
    </row>
    <row r="879" spans="1:8" ht="15.75" customHeight="1">
      <c r="A879" s="1">
        <v>18797</v>
      </c>
      <c r="B879" s="2">
        <v>45067.725219907406</v>
      </c>
      <c r="C879" s="1" t="s">
        <v>10</v>
      </c>
      <c r="D879" s="1">
        <v>25</v>
      </c>
      <c r="F879" s="59"/>
      <c r="G879" s="32"/>
      <c r="H879" s="32"/>
    </row>
    <row r="880" spans="1:8" ht="15.75" customHeight="1">
      <c r="A880" s="1">
        <v>18796</v>
      </c>
      <c r="B880" s="2">
        <v>45067.023148148146</v>
      </c>
      <c r="C880" s="1" t="s">
        <v>10</v>
      </c>
      <c r="D880" s="1">
        <v>20</v>
      </c>
      <c r="F880" s="59"/>
      <c r="G880" s="32"/>
      <c r="H880" s="32"/>
    </row>
    <row r="881" spans="1:8" ht="15.75" customHeight="1">
      <c r="A881" s="1">
        <v>18795</v>
      </c>
      <c r="B881" s="2">
        <v>45067.020879629628</v>
      </c>
      <c r="C881" s="1" t="s">
        <v>52</v>
      </c>
      <c r="D881" s="1">
        <v>20</v>
      </c>
      <c r="F881" s="59"/>
      <c r="G881" s="32"/>
      <c r="H881" s="32"/>
    </row>
    <row r="882" spans="1:8" ht="15.75" customHeight="1">
      <c r="A882" s="1">
        <v>18794</v>
      </c>
      <c r="B882" s="2">
        <v>45066.90221064815</v>
      </c>
      <c r="C882" s="1" t="s">
        <v>10</v>
      </c>
      <c r="D882" s="1">
        <v>53</v>
      </c>
      <c r="F882" s="59"/>
      <c r="G882" s="32"/>
      <c r="H882" s="32"/>
    </row>
    <row r="883" spans="1:8" ht="15.75" customHeight="1">
      <c r="A883" s="1">
        <v>18793</v>
      </c>
      <c r="B883" s="2">
        <v>45066.900358796294</v>
      </c>
      <c r="C883" s="1" t="s">
        <v>10</v>
      </c>
      <c r="D883" s="1">
        <v>53</v>
      </c>
      <c r="F883" s="59"/>
      <c r="G883" s="32"/>
      <c r="H883" s="32"/>
    </row>
    <row r="884" spans="1:8" ht="15.75" customHeight="1">
      <c r="A884" s="1">
        <v>18792</v>
      </c>
      <c r="B884" s="2">
        <v>45066.787928240738</v>
      </c>
      <c r="C884" s="1" t="s">
        <v>10</v>
      </c>
      <c r="D884" s="1">
        <v>55</v>
      </c>
      <c r="F884" s="59"/>
      <c r="G884" s="32"/>
      <c r="H884" s="32"/>
    </row>
    <row r="885" spans="1:8" ht="15.75" customHeight="1">
      <c r="A885" s="1">
        <v>18791</v>
      </c>
      <c r="B885" s="2">
        <v>45066.702025462961</v>
      </c>
      <c r="C885" s="1" t="s">
        <v>10</v>
      </c>
      <c r="D885" s="1">
        <v>28</v>
      </c>
      <c r="F885" s="59"/>
      <c r="G885" s="32"/>
      <c r="H885" s="32"/>
    </row>
    <row r="886" spans="1:8" ht="15.75" customHeight="1">
      <c r="A886" s="1">
        <v>18790</v>
      </c>
      <c r="B886" s="2">
        <v>45066.5158912037</v>
      </c>
      <c r="C886" s="1" t="s">
        <v>10</v>
      </c>
      <c r="D886" s="1">
        <v>25</v>
      </c>
      <c r="F886" s="59"/>
      <c r="G886" s="32"/>
      <c r="H886" s="32"/>
    </row>
    <row r="887" spans="1:8" ht="15.75" customHeight="1">
      <c r="A887" s="1">
        <v>18789</v>
      </c>
      <c r="B887" s="2">
        <v>45066.205451388887</v>
      </c>
      <c r="C887" s="1" t="s">
        <v>10</v>
      </c>
      <c r="D887" s="1">
        <v>30</v>
      </c>
      <c r="F887" s="59"/>
      <c r="G887" s="32"/>
      <c r="H887" s="32"/>
    </row>
    <row r="888" spans="1:8" ht="15.75" customHeight="1">
      <c r="A888" s="1">
        <v>18783</v>
      </c>
      <c r="B888" s="2">
        <v>45065.710636574076</v>
      </c>
      <c r="C888" s="1" t="s">
        <v>10</v>
      </c>
      <c r="D888" s="1">
        <v>20</v>
      </c>
      <c r="F888" s="59"/>
      <c r="G888" s="32"/>
      <c r="H888" s="32"/>
    </row>
    <row r="889" spans="1:8" ht="15.75" customHeight="1">
      <c r="A889" s="1">
        <v>18782</v>
      </c>
      <c r="B889" s="2">
        <v>45065.664444444439</v>
      </c>
      <c r="C889" s="1" t="s">
        <v>10</v>
      </c>
      <c r="D889" s="1">
        <v>20</v>
      </c>
      <c r="F889" s="59"/>
      <c r="G889" s="32"/>
      <c r="H889" s="32"/>
    </row>
    <row r="890" spans="1:8" ht="15.75" customHeight="1">
      <c r="A890" s="1">
        <v>18781</v>
      </c>
      <c r="B890" s="2">
        <v>45065.619826388887</v>
      </c>
      <c r="C890" s="1" t="s">
        <v>10</v>
      </c>
      <c r="D890" s="1">
        <v>25</v>
      </c>
      <c r="F890" s="59"/>
      <c r="G890" s="32"/>
      <c r="H890" s="32"/>
    </row>
    <row r="891" spans="1:8" ht="15.75" customHeight="1">
      <c r="A891" s="1">
        <v>18780</v>
      </c>
      <c r="B891" s="2">
        <v>45065.007118055553</v>
      </c>
      <c r="C891" s="1" t="s">
        <v>10</v>
      </c>
      <c r="D891" s="1">
        <v>18</v>
      </c>
      <c r="F891" s="59"/>
      <c r="G891" s="32"/>
      <c r="H891" s="32"/>
    </row>
    <row r="892" spans="1:8" ht="15.75" customHeight="1">
      <c r="A892" s="1">
        <v>18779</v>
      </c>
      <c r="B892" s="2">
        <v>45064.806990740741</v>
      </c>
      <c r="C892" s="1" t="s">
        <v>10</v>
      </c>
      <c r="D892" s="1">
        <v>18</v>
      </c>
      <c r="F892" s="59"/>
      <c r="G892" s="32"/>
      <c r="H892" s="32"/>
    </row>
    <row r="893" spans="1:8" ht="15.75" customHeight="1">
      <c r="A893" s="1">
        <v>18778</v>
      </c>
      <c r="B893" s="2">
        <v>45064.729525462964</v>
      </c>
      <c r="C893" s="1" t="s">
        <v>10</v>
      </c>
      <c r="D893" s="1">
        <v>15</v>
      </c>
      <c r="F893" s="59"/>
      <c r="G893" s="32"/>
      <c r="H893" s="32"/>
    </row>
    <row r="894" spans="1:8" ht="15.75" customHeight="1">
      <c r="A894" s="1">
        <v>18777</v>
      </c>
      <c r="B894" s="2">
        <v>45064.726099537038</v>
      </c>
      <c r="C894" s="1" t="s">
        <v>10</v>
      </c>
      <c r="D894" s="1">
        <v>15</v>
      </c>
      <c r="F894" s="59"/>
      <c r="G894" s="32"/>
      <c r="H894" s="32"/>
    </row>
    <row r="895" spans="1:8" ht="15.75" customHeight="1">
      <c r="A895" s="1">
        <v>18776</v>
      </c>
      <c r="B895" s="2">
        <v>45064.700578703705</v>
      </c>
      <c r="C895" s="1" t="s">
        <v>10</v>
      </c>
      <c r="D895" s="1">
        <v>25</v>
      </c>
      <c r="F895" s="59"/>
      <c r="G895" s="32"/>
      <c r="H895" s="32"/>
    </row>
    <row r="896" spans="1:8" ht="15.75" customHeight="1">
      <c r="A896" s="1">
        <v>18775</v>
      </c>
      <c r="B896" s="2">
        <v>45064.120844907404</v>
      </c>
      <c r="C896" s="1" t="s">
        <v>10</v>
      </c>
      <c r="D896" s="1">
        <v>63</v>
      </c>
      <c r="F896" s="59"/>
      <c r="G896" s="32"/>
      <c r="H896" s="32"/>
    </row>
    <row r="897" spans="1:8" ht="15.75" customHeight="1">
      <c r="A897" s="1">
        <v>18770</v>
      </c>
      <c r="B897" s="2">
        <v>45064.079502314809</v>
      </c>
      <c r="C897" s="1" t="s">
        <v>10</v>
      </c>
      <c r="D897" s="1">
        <v>25</v>
      </c>
      <c r="F897" s="59"/>
      <c r="G897" s="32"/>
      <c r="H897" s="32"/>
    </row>
    <row r="898" spans="1:8" ht="15.75" customHeight="1">
      <c r="A898" s="1">
        <v>18769</v>
      </c>
      <c r="B898" s="2">
        <v>45063.933032407411</v>
      </c>
      <c r="C898" s="1" t="s">
        <v>10</v>
      </c>
      <c r="D898" s="1">
        <v>25</v>
      </c>
      <c r="F898" s="59"/>
      <c r="G898" s="32"/>
      <c r="H898" s="32"/>
    </row>
    <row r="899" spans="1:8" ht="15.75" customHeight="1">
      <c r="A899" s="1">
        <v>18768</v>
      </c>
      <c r="B899" s="2">
        <v>45063.878518518519</v>
      </c>
      <c r="C899" s="1" t="s">
        <v>10</v>
      </c>
      <c r="D899" s="1">
        <v>45</v>
      </c>
      <c r="F899" s="59"/>
      <c r="G899" s="32"/>
      <c r="H899" s="32"/>
    </row>
    <row r="900" spans="1:8" ht="15.75" customHeight="1">
      <c r="A900" s="1">
        <v>18767</v>
      </c>
      <c r="B900" s="2">
        <v>45063.782800925925</v>
      </c>
      <c r="C900" s="1" t="s">
        <v>10</v>
      </c>
      <c r="D900" s="1">
        <v>56</v>
      </c>
      <c r="F900" s="59"/>
      <c r="G900" s="32"/>
      <c r="H900" s="32"/>
    </row>
    <row r="901" spans="1:8" ht="15.75" customHeight="1">
      <c r="A901" s="1">
        <v>18766</v>
      </c>
      <c r="B901" s="2">
        <v>45063.76158564815</v>
      </c>
      <c r="C901" s="1" t="s">
        <v>10</v>
      </c>
      <c r="D901" s="1">
        <v>25</v>
      </c>
      <c r="F901" s="59"/>
      <c r="G901" s="32"/>
      <c r="H901" s="32"/>
    </row>
    <row r="902" spans="1:8" ht="15.75" customHeight="1">
      <c r="A902" s="1">
        <v>18765</v>
      </c>
      <c r="B902" s="2">
        <v>45063.74618055555</v>
      </c>
      <c r="C902" s="1" t="s">
        <v>10</v>
      </c>
      <c r="D902" s="1">
        <v>22</v>
      </c>
      <c r="F902" s="59"/>
      <c r="G902" s="32"/>
      <c r="H902" s="32"/>
    </row>
    <row r="903" spans="1:8" ht="15.75" customHeight="1">
      <c r="A903" s="1">
        <v>18764</v>
      </c>
      <c r="B903" s="2">
        <v>45063.71711805556</v>
      </c>
      <c r="C903" s="1" t="s">
        <v>10</v>
      </c>
      <c r="D903" s="1">
        <v>15</v>
      </c>
      <c r="F903" s="59"/>
      <c r="G903" s="32"/>
      <c r="H903" s="32"/>
    </row>
    <row r="904" spans="1:8" ht="15.75" customHeight="1">
      <c r="A904" s="1">
        <v>18763</v>
      </c>
      <c r="B904" s="2">
        <v>45063.696724537032</v>
      </c>
      <c r="C904" s="1" t="s">
        <v>10</v>
      </c>
      <c r="D904" s="1">
        <v>26</v>
      </c>
      <c r="F904" s="59"/>
      <c r="G904" s="32"/>
      <c r="H904" s="32"/>
    </row>
    <row r="905" spans="1:8" ht="15.75" customHeight="1">
      <c r="A905" s="1">
        <v>18762</v>
      </c>
      <c r="B905" s="2">
        <v>45063.692557870367</v>
      </c>
      <c r="C905" s="1" t="s">
        <v>10</v>
      </c>
      <c r="D905" s="1">
        <v>25</v>
      </c>
      <c r="F905" s="59"/>
      <c r="G905" s="32"/>
      <c r="H905" s="32"/>
    </row>
    <row r="906" spans="1:8" ht="15.75" customHeight="1">
      <c r="A906" s="1">
        <v>18761</v>
      </c>
      <c r="B906" s="2">
        <v>45063.689837962964</v>
      </c>
      <c r="C906" s="1" t="s">
        <v>10</v>
      </c>
      <c r="D906" s="1">
        <v>61</v>
      </c>
      <c r="F906" s="59"/>
      <c r="G906" s="32"/>
      <c r="H906" s="32"/>
    </row>
    <row r="907" spans="1:8" ht="15.75" customHeight="1">
      <c r="A907" s="1">
        <v>18760</v>
      </c>
      <c r="B907" s="2">
        <v>45063.662870370375</v>
      </c>
      <c r="C907" s="1" t="s">
        <v>10</v>
      </c>
      <c r="D907" s="1">
        <v>25</v>
      </c>
      <c r="F907" s="59"/>
      <c r="G907" s="32"/>
      <c r="H907" s="32"/>
    </row>
    <row r="908" spans="1:8" ht="15.75" customHeight="1">
      <c r="A908" s="1">
        <v>18759</v>
      </c>
      <c r="B908" s="2">
        <v>45063.645960648151</v>
      </c>
      <c r="C908" s="1" t="s">
        <v>10</v>
      </c>
      <c r="D908" s="1">
        <v>25</v>
      </c>
      <c r="F908" s="59"/>
      <c r="G908" s="32"/>
      <c r="H908" s="32"/>
    </row>
    <row r="909" spans="1:8" ht="15.75" customHeight="1">
      <c r="A909" s="1">
        <v>18758</v>
      </c>
      <c r="B909" s="2">
        <v>45063.107893518521</v>
      </c>
      <c r="C909" s="1" t="s">
        <v>10</v>
      </c>
      <c r="D909" s="1">
        <v>20</v>
      </c>
      <c r="F909" s="59"/>
      <c r="G909" s="32"/>
      <c r="H909" s="32"/>
    </row>
    <row r="910" spans="1:8" ht="15.75" customHeight="1">
      <c r="A910" s="1">
        <v>18756</v>
      </c>
      <c r="B910" s="2">
        <v>45063.037407407406</v>
      </c>
      <c r="C910" s="1" t="s">
        <v>8</v>
      </c>
      <c r="D910" s="1">
        <v>53</v>
      </c>
      <c r="F910" s="59"/>
      <c r="G910" s="32"/>
      <c r="H910" s="32"/>
    </row>
    <row r="911" spans="1:8" ht="15.75" customHeight="1">
      <c r="A911" s="1">
        <v>18755</v>
      </c>
      <c r="B911" s="2">
        <v>45063.005219907413</v>
      </c>
      <c r="C911" s="1" t="s">
        <v>10</v>
      </c>
      <c r="D911" s="1">
        <v>20</v>
      </c>
      <c r="F911" s="59"/>
      <c r="G911" s="32"/>
      <c r="H911" s="32"/>
    </row>
    <row r="912" spans="1:8" ht="15.75" customHeight="1">
      <c r="A912" s="1">
        <v>18754</v>
      </c>
      <c r="B912" s="2">
        <v>45063.002384259264</v>
      </c>
      <c r="C912" s="1" t="s">
        <v>10</v>
      </c>
      <c r="D912" s="1">
        <v>20</v>
      </c>
      <c r="F912" s="59"/>
      <c r="G912" s="32"/>
      <c r="H912" s="32"/>
    </row>
    <row r="913" spans="1:8" ht="15.75" customHeight="1">
      <c r="A913" s="1">
        <v>18753</v>
      </c>
      <c r="B913" s="2">
        <v>45062.609155092592</v>
      </c>
      <c r="C913" s="1" t="s">
        <v>10</v>
      </c>
      <c r="D913" s="1">
        <v>25</v>
      </c>
      <c r="F913" s="59"/>
      <c r="G913" s="32"/>
      <c r="H913" s="32"/>
    </row>
    <row r="914" spans="1:8" ht="15.75" customHeight="1">
      <c r="A914" s="1">
        <v>18752</v>
      </c>
      <c r="B914" s="2">
        <v>45062.451041666667</v>
      </c>
      <c r="C914" s="1" t="s">
        <v>10</v>
      </c>
      <c r="D914" s="1">
        <v>85</v>
      </c>
      <c r="F914" s="59"/>
      <c r="G914" s="32"/>
      <c r="H914" s="32"/>
    </row>
    <row r="915" spans="1:8" ht="15.75" customHeight="1">
      <c r="A915" s="1">
        <v>18751</v>
      </c>
      <c r="B915" s="2">
        <v>45062.039942129632</v>
      </c>
      <c r="C915" s="1" t="s">
        <v>10</v>
      </c>
      <c r="D915" s="1">
        <v>53</v>
      </c>
      <c r="F915" s="59"/>
      <c r="G915" s="32"/>
      <c r="H915" s="32"/>
    </row>
    <row r="916" spans="1:8" ht="15.75" customHeight="1">
      <c r="A916" s="1">
        <v>18750</v>
      </c>
      <c r="B916" s="2">
        <v>45061.926354166666</v>
      </c>
      <c r="C916" s="1" t="s">
        <v>10</v>
      </c>
      <c r="D916" s="1">
        <v>25</v>
      </c>
      <c r="F916" s="59"/>
      <c r="G916" s="32"/>
      <c r="H916" s="32"/>
    </row>
    <row r="917" spans="1:8" ht="15.75" customHeight="1">
      <c r="A917" s="1">
        <v>18749</v>
      </c>
      <c r="B917" s="2">
        <v>45061.891585648147</v>
      </c>
      <c r="C917" s="1" t="s">
        <v>10</v>
      </c>
      <c r="D917" s="1">
        <v>28</v>
      </c>
      <c r="F917" s="59"/>
      <c r="G917" s="32"/>
      <c r="H917" s="32"/>
    </row>
    <row r="918" spans="1:8" ht="15.75" customHeight="1">
      <c r="A918" s="1">
        <v>18689</v>
      </c>
      <c r="B918" s="2">
        <v>45060.984699074077</v>
      </c>
      <c r="C918" s="1" t="s">
        <v>10</v>
      </c>
      <c r="D918" s="1">
        <v>48</v>
      </c>
      <c r="F918" s="59"/>
      <c r="G918" s="32"/>
      <c r="H918" s="32"/>
    </row>
    <row r="919" spans="1:8" ht="15.75" customHeight="1">
      <c r="A919" s="1">
        <v>18688</v>
      </c>
      <c r="B919" s="2">
        <v>45060.981516203705</v>
      </c>
      <c r="C919" s="1" t="s">
        <v>10</v>
      </c>
      <c r="D919" s="1">
        <v>48</v>
      </c>
      <c r="F919" s="59"/>
      <c r="G919" s="32"/>
      <c r="H919" s="32"/>
    </row>
    <row r="920" spans="1:8" ht="15.75" customHeight="1">
      <c r="A920" s="1">
        <v>18687</v>
      </c>
      <c r="B920" s="2">
        <v>45060.811550925922</v>
      </c>
      <c r="C920" s="1" t="s">
        <v>10</v>
      </c>
      <c r="D920" s="1">
        <v>54</v>
      </c>
      <c r="F920" s="59"/>
      <c r="G920" s="32"/>
      <c r="H920" s="32"/>
    </row>
    <row r="921" spans="1:8" ht="15.75" customHeight="1">
      <c r="A921" s="1">
        <v>18686</v>
      </c>
      <c r="B921" s="2">
        <v>45059.07813657407</v>
      </c>
      <c r="C921" s="1" t="s">
        <v>10</v>
      </c>
      <c r="D921" s="1">
        <v>20</v>
      </c>
      <c r="F921" s="59"/>
      <c r="G921" s="32"/>
      <c r="H921" s="32"/>
    </row>
    <row r="922" spans="1:8" ht="15.75" customHeight="1">
      <c r="A922" s="1">
        <v>18685</v>
      </c>
      <c r="B922" s="2">
        <v>45059.058657407411</v>
      </c>
      <c r="C922" s="1" t="s">
        <v>10</v>
      </c>
      <c r="D922" s="1">
        <v>30</v>
      </c>
      <c r="F922" s="59"/>
      <c r="G922" s="32"/>
      <c r="H922" s="32"/>
    </row>
    <row r="923" spans="1:8" ht="15.75" customHeight="1">
      <c r="A923" s="1">
        <v>18684</v>
      </c>
      <c r="B923" s="2">
        <v>45058.127511574072</v>
      </c>
      <c r="C923" s="1" t="s">
        <v>10</v>
      </c>
      <c r="D923" s="1">
        <v>25</v>
      </c>
      <c r="F923" s="59"/>
      <c r="G923" s="32"/>
      <c r="H923" s="32"/>
    </row>
    <row r="924" spans="1:8" ht="15.75" customHeight="1">
      <c r="A924" s="1">
        <v>18683</v>
      </c>
      <c r="B924" s="2">
        <v>45058.115300925929</v>
      </c>
      <c r="C924" s="1" t="s">
        <v>10</v>
      </c>
      <c r="D924" s="1">
        <v>25</v>
      </c>
      <c r="F924" s="59"/>
      <c r="G924" s="32"/>
      <c r="H924" s="32"/>
    </row>
    <row r="925" spans="1:8" ht="15.75" customHeight="1">
      <c r="A925" s="1">
        <v>18682</v>
      </c>
      <c r="B925" s="2">
        <v>45058.087650462963</v>
      </c>
      <c r="C925" s="1" t="s">
        <v>10</v>
      </c>
      <c r="D925" s="1">
        <v>25</v>
      </c>
      <c r="F925" s="59"/>
      <c r="G925" s="32"/>
      <c r="H925" s="32"/>
    </row>
    <row r="926" spans="1:8" ht="15.75" customHeight="1">
      <c r="A926" s="1">
        <v>18681</v>
      </c>
      <c r="B926" s="2">
        <v>45058.077465277776</v>
      </c>
      <c r="C926" s="1" t="s">
        <v>10</v>
      </c>
      <c r="D926" s="1">
        <v>25</v>
      </c>
      <c r="F926" s="59"/>
      <c r="G926" s="32"/>
      <c r="H926" s="32"/>
    </row>
    <row r="927" spans="1:8" ht="15.75" customHeight="1">
      <c r="A927" s="1">
        <v>18680</v>
      </c>
      <c r="B927" s="2">
        <v>45058.049490740741</v>
      </c>
      <c r="C927" s="1" t="s">
        <v>10</v>
      </c>
      <c r="D927" s="1">
        <v>25</v>
      </c>
      <c r="F927" s="59"/>
      <c r="G927" s="32"/>
      <c r="H927" s="32"/>
    </row>
    <row r="928" spans="1:8" ht="15.75" customHeight="1">
      <c r="A928" s="1">
        <v>18679</v>
      </c>
      <c r="B928" s="2">
        <v>45058.014224537037</v>
      </c>
      <c r="C928" s="1" t="s">
        <v>10</v>
      </c>
      <c r="D928" s="1">
        <v>25</v>
      </c>
      <c r="F928" s="59"/>
      <c r="G928" s="32"/>
      <c r="H928" s="32"/>
    </row>
    <row r="929" spans="1:8" ht="15.75" customHeight="1">
      <c r="A929" s="1">
        <v>18678</v>
      </c>
      <c r="B929" s="2">
        <v>45057.963368055556</v>
      </c>
      <c r="C929" s="1" t="s">
        <v>10</v>
      </c>
      <c r="D929" s="1">
        <v>55</v>
      </c>
      <c r="F929" s="59"/>
      <c r="G929" s="32"/>
      <c r="H929" s="32"/>
    </row>
    <row r="930" spans="1:8" ht="15.75" customHeight="1">
      <c r="A930" s="1">
        <v>18677</v>
      </c>
      <c r="B930" s="2">
        <v>45057.947175925925</v>
      </c>
      <c r="C930" s="1" t="s">
        <v>10</v>
      </c>
      <c r="D930" s="1">
        <v>53</v>
      </c>
      <c r="F930" s="59"/>
      <c r="G930" s="32"/>
      <c r="H930" s="32"/>
    </row>
    <row r="931" spans="1:8" ht="15.75" customHeight="1">
      <c r="A931" s="1">
        <v>18676</v>
      </c>
      <c r="B931" s="2">
        <v>45057.946597222224</v>
      </c>
      <c r="C931" s="1" t="s">
        <v>10</v>
      </c>
      <c r="D931" s="1">
        <v>35</v>
      </c>
      <c r="F931" s="59"/>
      <c r="G931" s="32"/>
      <c r="H931" s="32"/>
    </row>
    <row r="932" spans="1:8" ht="15.75" customHeight="1">
      <c r="A932" s="1">
        <v>18675</v>
      </c>
      <c r="B932" s="2">
        <v>45057.938206018516</v>
      </c>
      <c r="C932" s="1" t="s">
        <v>10</v>
      </c>
      <c r="D932" s="1">
        <v>25</v>
      </c>
      <c r="F932" s="59"/>
      <c r="G932" s="32"/>
      <c r="H932" s="32"/>
    </row>
    <row r="933" spans="1:8" ht="15.75" customHeight="1">
      <c r="A933" s="1">
        <v>18674</v>
      </c>
      <c r="B933" s="2">
        <v>45057.936319444445</v>
      </c>
      <c r="C933" s="1" t="s">
        <v>10</v>
      </c>
      <c r="D933" s="1">
        <v>25</v>
      </c>
      <c r="F933" s="59"/>
      <c r="G933" s="32"/>
      <c r="H933" s="32"/>
    </row>
    <row r="934" spans="1:8" ht="15.75" customHeight="1">
      <c r="A934" s="1">
        <v>18673</v>
      </c>
      <c r="B934" s="2">
        <v>45057.928564814814</v>
      </c>
      <c r="C934" s="1" t="s">
        <v>10</v>
      </c>
      <c r="D934" s="1">
        <v>25</v>
      </c>
      <c r="F934" s="59"/>
      <c r="G934" s="32"/>
      <c r="H934" s="32"/>
    </row>
    <row r="935" spans="1:8" ht="15.75" customHeight="1">
      <c r="A935" s="1">
        <v>18672</v>
      </c>
      <c r="B935" s="2">
        <v>45057.927719907406</v>
      </c>
      <c r="C935" s="1" t="s">
        <v>10</v>
      </c>
      <c r="D935" s="1">
        <v>28</v>
      </c>
      <c r="F935" s="59"/>
      <c r="G935" s="32"/>
      <c r="H935" s="32"/>
    </row>
    <row r="936" spans="1:8" ht="15.75" customHeight="1">
      <c r="A936" s="1">
        <v>18671</v>
      </c>
      <c r="B936" s="2">
        <v>45057.927708333329</v>
      </c>
      <c r="C936" s="1" t="s">
        <v>10</v>
      </c>
      <c r="D936" s="1">
        <v>25</v>
      </c>
      <c r="F936" s="59"/>
      <c r="G936" s="32"/>
      <c r="H936" s="32"/>
    </row>
    <row r="937" spans="1:8" ht="15.75" customHeight="1">
      <c r="A937" s="1">
        <v>18670</v>
      </c>
      <c r="B937" s="2">
        <v>45057.922534722224</v>
      </c>
      <c r="C937" s="1" t="s">
        <v>10</v>
      </c>
      <c r="D937" s="1">
        <v>28</v>
      </c>
      <c r="F937" s="59"/>
      <c r="G937" s="32"/>
      <c r="H937" s="32"/>
    </row>
    <row r="938" spans="1:8" ht="15.75" customHeight="1">
      <c r="A938" s="1">
        <v>18669</v>
      </c>
      <c r="B938" s="2">
        <v>45057.921018518522</v>
      </c>
      <c r="C938" s="1" t="s">
        <v>10</v>
      </c>
      <c r="D938" s="1">
        <v>81</v>
      </c>
      <c r="F938" s="59"/>
      <c r="G938" s="32"/>
      <c r="H938" s="32"/>
    </row>
    <row r="939" spans="1:8" ht="15.75" customHeight="1">
      <c r="A939" s="1">
        <v>18668</v>
      </c>
      <c r="B939" s="2">
        <v>45057.91810185185</v>
      </c>
      <c r="C939" s="1" t="s">
        <v>10</v>
      </c>
      <c r="D939" s="1">
        <v>28</v>
      </c>
      <c r="F939" s="59"/>
      <c r="G939" s="32"/>
      <c r="H939" s="32"/>
    </row>
    <row r="940" spans="1:8" ht="15.75" customHeight="1">
      <c r="A940" s="1">
        <v>18667</v>
      </c>
      <c r="B940" s="2">
        <v>45057.917581018519</v>
      </c>
      <c r="C940" s="1" t="s">
        <v>10</v>
      </c>
      <c r="D940" s="1">
        <v>20</v>
      </c>
      <c r="F940" s="59"/>
      <c r="G940" s="32"/>
      <c r="H940" s="32"/>
    </row>
    <row r="941" spans="1:8" ht="15.75" customHeight="1">
      <c r="A941" s="1">
        <v>18666</v>
      </c>
      <c r="B941" s="2">
        <v>45057.91106481482</v>
      </c>
      <c r="C941" s="1" t="s">
        <v>8</v>
      </c>
      <c r="D941" s="1">
        <v>25</v>
      </c>
      <c r="F941" s="59"/>
      <c r="G941" s="32"/>
      <c r="H941" s="32"/>
    </row>
    <row r="942" spans="1:8" ht="15.75" customHeight="1">
      <c r="A942" s="1">
        <v>18665</v>
      </c>
      <c r="B942" s="2">
        <v>45057.900636574079</v>
      </c>
      <c r="C942" s="1" t="s">
        <v>10</v>
      </c>
      <c r="D942" s="1">
        <v>55</v>
      </c>
      <c r="F942" s="59"/>
      <c r="G942" s="32"/>
      <c r="H942" s="32"/>
    </row>
    <row r="943" spans="1:8" ht="15.75" customHeight="1">
      <c r="A943" s="1">
        <v>18664</v>
      </c>
      <c r="B943" s="2">
        <v>45057.830706018518</v>
      </c>
      <c r="C943" s="1" t="s">
        <v>10</v>
      </c>
      <c r="D943" s="1">
        <v>26</v>
      </c>
      <c r="F943" s="59"/>
      <c r="G943" s="32"/>
      <c r="H943" s="32"/>
    </row>
    <row r="944" spans="1:8" ht="15.75" customHeight="1">
      <c r="A944" s="1">
        <v>18663</v>
      </c>
      <c r="B944" s="2">
        <v>45057.667337962965</v>
      </c>
      <c r="C944" s="1" t="s">
        <v>10</v>
      </c>
      <c r="D944" s="1">
        <v>15</v>
      </c>
      <c r="F944" s="59"/>
      <c r="G944" s="32"/>
      <c r="H944" s="32"/>
    </row>
    <row r="945" spans="1:8" ht="15.75" customHeight="1">
      <c r="A945" s="1">
        <v>18662</v>
      </c>
      <c r="B945" s="2">
        <v>45057.660104166665</v>
      </c>
      <c r="C945" s="1" t="s">
        <v>10</v>
      </c>
      <c r="D945" s="1">
        <v>28</v>
      </c>
      <c r="F945" s="59"/>
      <c r="G945" s="32"/>
      <c r="H945" s="32"/>
    </row>
    <row r="946" spans="1:8" ht="15.75" customHeight="1">
      <c r="A946" s="1">
        <v>18661</v>
      </c>
      <c r="B946" s="2">
        <v>45057.614247685182</v>
      </c>
      <c r="C946" s="1" t="s">
        <v>10</v>
      </c>
      <c r="D946" s="1">
        <v>55</v>
      </c>
      <c r="F946" s="59"/>
      <c r="G946" s="32"/>
      <c r="H946" s="32"/>
    </row>
    <row r="947" spans="1:8" ht="15.75" customHeight="1">
      <c r="A947" s="1">
        <v>18660</v>
      </c>
      <c r="B947" s="2">
        <v>45057.440150462964</v>
      </c>
      <c r="C947" s="1" t="s">
        <v>10</v>
      </c>
      <c r="D947" s="1">
        <v>25</v>
      </c>
      <c r="F947" s="59"/>
      <c r="G947" s="32"/>
      <c r="H947" s="32"/>
    </row>
    <row r="948" spans="1:8" ht="15.75" customHeight="1">
      <c r="A948" s="1">
        <v>18659</v>
      </c>
      <c r="B948" s="2">
        <v>45057.400381944448</v>
      </c>
      <c r="C948" s="1" t="s">
        <v>8</v>
      </c>
      <c r="D948" s="1">
        <v>20</v>
      </c>
      <c r="F948" s="59"/>
      <c r="G948" s="32"/>
      <c r="H948" s="32"/>
    </row>
    <row r="949" spans="1:8" ht="15.75" customHeight="1">
      <c r="A949" s="1">
        <v>18658</v>
      </c>
      <c r="B949" s="2">
        <v>45057.15929398148</v>
      </c>
      <c r="C949" s="1" t="s">
        <v>10</v>
      </c>
      <c r="D949" s="1">
        <v>28</v>
      </c>
      <c r="F949" s="59"/>
      <c r="G949" s="32"/>
      <c r="H949" s="32"/>
    </row>
    <row r="950" spans="1:8" ht="15.75" customHeight="1">
      <c r="A950" s="1">
        <v>18657</v>
      </c>
      <c r="B950" s="2">
        <v>45057.10428240741</v>
      </c>
      <c r="C950" s="1" t="s">
        <v>10</v>
      </c>
      <c r="D950" s="1">
        <v>18</v>
      </c>
      <c r="F950" s="59"/>
      <c r="G950" s="32"/>
      <c r="H950" s="32"/>
    </row>
    <row r="951" spans="1:8" ht="15.75" customHeight="1">
      <c r="A951" s="1">
        <v>18656</v>
      </c>
      <c r="B951" s="2">
        <v>45056.991979166662</v>
      </c>
      <c r="C951" s="1" t="s">
        <v>10</v>
      </c>
      <c r="D951" s="1">
        <v>25</v>
      </c>
      <c r="F951" s="59"/>
      <c r="G951" s="32"/>
      <c r="H951" s="32"/>
    </row>
    <row r="952" spans="1:8" ht="15.75" customHeight="1">
      <c r="A952" s="1">
        <v>18655</v>
      </c>
      <c r="B952" s="2">
        <v>45056.98810185185</v>
      </c>
      <c r="C952" s="1" t="s">
        <v>10</v>
      </c>
      <c r="D952" s="1">
        <v>0</v>
      </c>
      <c r="F952" s="59"/>
      <c r="G952" s="32"/>
      <c r="H952" s="32"/>
    </row>
    <row r="953" spans="1:8" ht="15.75" customHeight="1">
      <c r="A953" s="1">
        <v>18654</v>
      </c>
      <c r="B953" s="2">
        <v>45056.986458333333</v>
      </c>
      <c r="C953" s="1" t="s">
        <v>10</v>
      </c>
      <c r="D953" s="1">
        <v>0</v>
      </c>
      <c r="F953" s="59"/>
      <c r="G953" s="32"/>
      <c r="H953" s="32"/>
    </row>
    <row r="954" spans="1:8" ht="15.75" customHeight="1">
      <c r="A954" s="1">
        <v>18653</v>
      </c>
      <c r="B954" s="2">
        <v>45056.985231481478</v>
      </c>
      <c r="C954" s="1" t="s">
        <v>10</v>
      </c>
      <c r="D954" s="1">
        <v>0</v>
      </c>
      <c r="F954" s="59"/>
      <c r="G954" s="32"/>
      <c r="H954" s="32"/>
    </row>
    <row r="955" spans="1:8" ht="15.75" customHeight="1">
      <c r="A955" s="1">
        <v>18652</v>
      </c>
      <c r="B955" s="2">
        <v>45056.978495370371</v>
      </c>
      <c r="C955" s="1" t="s">
        <v>10</v>
      </c>
      <c r="D955" s="1">
        <v>25</v>
      </c>
      <c r="F955" s="59"/>
      <c r="G955" s="32"/>
      <c r="H955" s="32"/>
    </row>
    <row r="956" spans="1:8" ht="15.75" customHeight="1">
      <c r="A956" s="1">
        <v>18651</v>
      </c>
      <c r="B956" s="2">
        <v>45056.977662037039</v>
      </c>
      <c r="C956" s="1" t="s">
        <v>10</v>
      </c>
      <c r="D956" s="1">
        <v>25</v>
      </c>
      <c r="F956" s="59"/>
      <c r="G956" s="32"/>
      <c r="H956" s="32"/>
    </row>
    <row r="957" spans="1:8" ht="15.75" customHeight="1">
      <c r="A957" s="1">
        <v>18650</v>
      </c>
      <c r="B957" s="2">
        <v>45056.971620370372</v>
      </c>
      <c r="C957" s="1" t="s">
        <v>10</v>
      </c>
      <c r="D957" s="1">
        <v>25</v>
      </c>
      <c r="F957" s="59"/>
      <c r="G957" s="32"/>
      <c r="H957" s="32"/>
    </row>
    <row r="958" spans="1:8" ht="15.75" customHeight="1">
      <c r="A958" s="1">
        <v>18649</v>
      </c>
      <c r="B958" s="2">
        <v>45056.964004629626</v>
      </c>
      <c r="C958" s="1" t="s">
        <v>10</v>
      </c>
      <c r="D958" s="1">
        <v>35</v>
      </c>
      <c r="F958" s="59"/>
      <c r="G958" s="32"/>
      <c r="H958" s="32"/>
    </row>
    <row r="959" spans="1:8" ht="15.75" customHeight="1">
      <c r="A959" s="1">
        <v>18648</v>
      </c>
      <c r="B959" s="2">
        <v>45056.962500000001</v>
      </c>
      <c r="C959" s="1" t="s">
        <v>10</v>
      </c>
      <c r="D959" s="1">
        <v>25</v>
      </c>
      <c r="F959" s="59"/>
      <c r="G959" s="32"/>
      <c r="H959" s="32"/>
    </row>
    <row r="960" spans="1:8" ht="15.75" customHeight="1">
      <c r="A960" s="1">
        <v>18647</v>
      </c>
      <c r="B960" s="2">
        <v>45056.940185185187</v>
      </c>
      <c r="C960" s="1" t="s">
        <v>10</v>
      </c>
      <c r="D960" s="1">
        <v>25</v>
      </c>
      <c r="F960" s="59"/>
      <c r="G960" s="32"/>
      <c r="H960" s="32"/>
    </row>
    <row r="961" spans="1:8" ht="15.75" customHeight="1">
      <c r="A961" s="1">
        <v>18646</v>
      </c>
      <c r="B961" s="2">
        <v>45056.933796296296</v>
      </c>
      <c r="C961" s="1" t="s">
        <v>10</v>
      </c>
      <c r="D961" s="1">
        <v>25</v>
      </c>
      <c r="F961" s="59"/>
      <c r="G961" s="32"/>
      <c r="H961" s="32"/>
    </row>
    <row r="962" spans="1:8" ht="15.75" customHeight="1">
      <c r="A962" s="1">
        <v>18645</v>
      </c>
      <c r="B962" s="2">
        <v>45056.932766203703</v>
      </c>
      <c r="C962" s="1" t="s">
        <v>10</v>
      </c>
      <c r="D962" s="1">
        <v>25</v>
      </c>
      <c r="F962" s="59"/>
      <c r="G962" s="32"/>
      <c r="H962" s="32"/>
    </row>
    <row r="963" spans="1:8" ht="15.75" customHeight="1">
      <c r="A963" s="1">
        <v>18644</v>
      </c>
      <c r="B963" s="2">
        <v>45056.920324074075</v>
      </c>
      <c r="C963" s="1" t="s">
        <v>10</v>
      </c>
      <c r="D963" s="1">
        <v>20</v>
      </c>
      <c r="F963" s="59"/>
      <c r="G963" s="32"/>
      <c r="H963" s="32"/>
    </row>
    <row r="964" spans="1:8" ht="15.75" customHeight="1">
      <c r="A964" s="1">
        <v>18643</v>
      </c>
      <c r="B964" s="2">
        <v>45056.913761574076</v>
      </c>
      <c r="C964" s="1" t="s">
        <v>10</v>
      </c>
      <c r="D964" s="1">
        <v>25</v>
      </c>
      <c r="F964" s="59"/>
      <c r="G964" s="32"/>
      <c r="H964" s="32"/>
    </row>
    <row r="965" spans="1:8" ht="15.75" customHeight="1">
      <c r="A965" s="1">
        <v>18642</v>
      </c>
      <c r="B965" s="2">
        <v>45056.866967592592</v>
      </c>
      <c r="C965" s="1" t="s">
        <v>10</v>
      </c>
      <c r="D965" s="1">
        <v>15</v>
      </c>
      <c r="F965" s="59"/>
      <c r="G965" s="32"/>
      <c r="H965" s="32"/>
    </row>
    <row r="966" spans="1:8" ht="15.75" customHeight="1">
      <c r="A966" s="1">
        <v>18641</v>
      </c>
      <c r="B966" s="2">
        <v>45056.019490740742</v>
      </c>
      <c r="C966" s="1" t="s">
        <v>10</v>
      </c>
      <c r="D966" s="1">
        <v>55</v>
      </c>
      <c r="F966" s="59"/>
      <c r="G966" s="32"/>
      <c r="H966" s="32"/>
    </row>
    <row r="967" spans="1:8" ht="15.75" customHeight="1">
      <c r="A967" s="1">
        <v>18640</v>
      </c>
      <c r="B967" s="2">
        <v>45055.997129629628</v>
      </c>
      <c r="C967" s="1" t="s">
        <v>10</v>
      </c>
      <c r="D967" s="1">
        <v>28</v>
      </c>
      <c r="F967" s="59"/>
      <c r="G967" s="32"/>
      <c r="H967" s="32"/>
    </row>
    <row r="968" spans="1:8" ht="15.75" customHeight="1">
      <c r="A968" s="1">
        <v>18639</v>
      </c>
      <c r="B968" s="2">
        <v>45055.973761574074</v>
      </c>
      <c r="C968" s="1" t="s">
        <v>10</v>
      </c>
      <c r="D968" s="1">
        <v>83</v>
      </c>
      <c r="F968" s="59"/>
      <c r="G968" s="32"/>
      <c r="H968" s="32"/>
    </row>
    <row r="969" spans="1:8" ht="15.75" customHeight="1">
      <c r="A969" s="1">
        <v>18638</v>
      </c>
      <c r="B969" s="2">
        <v>45055.963113425925</v>
      </c>
      <c r="C969" s="1" t="s">
        <v>10</v>
      </c>
      <c r="D969" s="1">
        <v>20</v>
      </c>
      <c r="F969" s="59"/>
      <c r="G969" s="32"/>
      <c r="H969" s="32"/>
    </row>
    <row r="970" spans="1:8" ht="15.75" customHeight="1">
      <c r="A970" s="1">
        <v>18637</v>
      </c>
      <c r="B970" s="2">
        <v>45055.960335648153</v>
      </c>
      <c r="C970" s="1" t="s">
        <v>10</v>
      </c>
      <c r="D970" s="1">
        <v>25</v>
      </c>
      <c r="F970" s="59"/>
      <c r="G970" s="32"/>
      <c r="H970" s="32"/>
    </row>
    <row r="971" spans="1:8" ht="15.75" customHeight="1">
      <c r="A971" s="1">
        <v>18636</v>
      </c>
      <c r="B971" s="2">
        <v>45055.956388888888</v>
      </c>
      <c r="C971" s="1" t="s">
        <v>5</v>
      </c>
      <c r="D971" s="1">
        <v>25</v>
      </c>
      <c r="F971" s="59"/>
      <c r="G971" s="32"/>
      <c r="H971" s="32"/>
    </row>
    <row r="972" spans="1:8" ht="15.75" customHeight="1">
      <c r="A972" s="1">
        <v>18635</v>
      </c>
      <c r="B972" s="2">
        <v>45055.930358796293</v>
      </c>
      <c r="C972" s="1" t="s">
        <v>8</v>
      </c>
      <c r="D972" s="1">
        <v>35</v>
      </c>
      <c r="F972" s="59"/>
      <c r="G972" s="32"/>
      <c r="H972" s="32"/>
    </row>
    <row r="973" spans="1:8" ht="15.75" customHeight="1">
      <c r="A973" s="1">
        <v>18634</v>
      </c>
      <c r="B973" s="2">
        <v>45055.927858796298</v>
      </c>
      <c r="C973" s="1" t="s">
        <v>10</v>
      </c>
      <c r="D973" s="1">
        <v>20</v>
      </c>
      <c r="F973" s="59"/>
      <c r="G973" s="32"/>
      <c r="H973" s="32"/>
    </row>
    <row r="974" spans="1:8" ht="15.75" customHeight="1">
      <c r="A974" s="1">
        <v>18633</v>
      </c>
      <c r="B974" s="2">
        <v>45055.918495370366</v>
      </c>
      <c r="C974" s="1" t="s">
        <v>10</v>
      </c>
      <c r="D974" s="1">
        <v>25</v>
      </c>
      <c r="F974" s="59"/>
      <c r="G974" s="32"/>
      <c r="H974" s="32"/>
    </row>
    <row r="975" spans="1:8" ht="15.75" customHeight="1">
      <c r="A975" s="1">
        <v>18632</v>
      </c>
      <c r="B975" s="2">
        <v>45055.91715277778</v>
      </c>
      <c r="C975" s="1" t="s">
        <v>10</v>
      </c>
      <c r="D975" s="1">
        <v>15</v>
      </c>
      <c r="F975" s="59"/>
      <c r="G975" s="32"/>
      <c r="H975" s="32"/>
    </row>
    <row r="976" spans="1:8" ht="15.75" customHeight="1">
      <c r="A976" s="1">
        <v>18631</v>
      </c>
      <c r="B976" s="2">
        <v>45055.916932870372</v>
      </c>
      <c r="C976" s="1" t="s">
        <v>8</v>
      </c>
      <c r="D976" s="1">
        <v>25</v>
      </c>
      <c r="F976" s="59"/>
      <c r="G976" s="32"/>
      <c r="H976" s="32"/>
    </row>
    <row r="977" spans="1:8" ht="15.75" customHeight="1">
      <c r="A977" s="1">
        <v>18630</v>
      </c>
      <c r="B977" s="2">
        <v>45055.911875000005</v>
      </c>
      <c r="C977" s="1" t="s">
        <v>10</v>
      </c>
      <c r="D977" s="1">
        <v>20</v>
      </c>
      <c r="F977" s="59"/>
      <c r="G977" s="32"/>
      <c r="H977" s="32"/>
    </row>
    <row r="978" spans="1:8" ht="15.75" customHeight="1">
      <c r="A978" s="1">
        <v>18628</v>
      </c>
      <c r="B978" s="2">
        <v>45055.907673611116</v>
      </c>
      <c r="C978" s="1" t="s">
        <v>10</v>
      </c>
      <c r="D978" s="1">
        <v>25</v>
      </c>
      <c r="F978" s="59"/>
      <c r="G978" s="32"/>
      <c r="H978" s="32"/>
    </row>
    <row r="979" spans="1:8" ht="15.75" customHeight="1">
      <c r="A979" s="1">
        <v>18627</v>
      </c>
      <c r="B979" s="2">
        <v>45055.898530092592</v>
      </c>
      <c r="C979" s="1" t="s">
        <v>8</v>
      </c>
      <c r="D979" s="1">
        <v>38</v>
      </c>
      <c r="F979" s="59"/>
      <c r="G979" s="32"/>
      <c r="H979" s="32"/>
    </row>
    <row r="980" spans="1:8" ht="15.75" customHeight="1">
      <c r="A980" s="1">
        <v>18626</v>
      </c>
      <c r="B980" s="2">
        <v>45055.889247685191</v>
      </c>
      <c r="C980" s="1" t="s">
        <v>10</v>
      </c>
      <c r="D980" s="1">
        <v>18</v>
      </c>
      <c r="F980" s="59"/>
      <c r="G980" s="32"/>
      <c r="H980" s="32"/>
    </row>
    <row r="981" spans="1:8" ht="15.75" customHeight="1">
      <c r="A981" s="1">
        <v>18625</v>
      </c>
      <c r="B981" s="2">
        <v>45055.87332175926</v>
      </c>
      <c r="C981" s="1" t="s">
        <v>10</v>
      </c>
      <c r="D981" s="1">
        <v>28</v>
      </c>
      <c r="F981" s="59"/>
      <c r="G981" s="32"/>
      <c r="H981" s="32"/>
    </row>
    <row r="982" spans="1:8" ht="15.75" customHeight="1">
      <c r="A982" s="1">
        <v>18624</v>
      </c>
      <c r="B982" s="2">
        <v>45055.858715277776</v>
      </c>
      <c r="C982" s="1" t="s">
        <v>10</v>
      </c>
      <c r="D982" s="1">
        <v>18</v>
      </c>
      <c r="F982" s="59"/>
      <c r="G982" s="32"/>
      <c r="H982" s="32"/>
    </row>
    <row r="983" spans="1:8" ht="15.75" customHeight="1">
      <c r="A983" s="1">
        <v>18623</v>
      </c>
      <c r="B983" s="2">
        <v>45055.791701388887</v>
      </c>
      <c r="C983" s="1" t="s">
        <v>8</v>
      </c>
      <c r="D983" s="1">
        <v>20</v>
      </c>
      <c r="F983" s="59"/>
      <c r="G983" s="32"/>
      <c r="H983" s="32"/>
    </row>
    <row r="984" spans="1:8" ht="15.75" customHeight="1">
      <c r="A984" s="1">
        <v>18622</v>
      </c>
      <c r="B984" s="2">
        <v>45055.599756944444</v>
      </c>
      <c r="C984" s="1" t="s">
        <v>10</v>
      </c>
      <c r="D984" s="1">
        <v>25</v>
      </c>
      <c r="F984" s="59"/>
      <c r="G984" s="32"/>
      <c r="H984" s="32"/>
    </row>
    <row r="985" spans="1:8" ht="15.75" customHeight="1">
      <c r="A985" s="1">
        <v>18615</v>
      </c>
      <c r="B985" s="2">
        <v>45055.0862037037</v>
      </c>
      <c r="C985" s="1" t="s">
        <v>10</v>
      </c>
      <c r="D985" s="1">
        <v>25</v>
      </c>
      <c r="F985" s="59"/>
      <c r="G985" s="32"/>
      <c r="H985" s="32"/>
    </row>
    <row r="986" spans="1:8" ht="15.75" customHeight="1">
      <c r="A986" s="1">
        <v>18462</v>
      </c>
      <c r="B986" s="2">
        <v>45051.616145833337</v>
      </c>
      <c r="C986" s="1" t="s">
        <v>10</v>
      </c>
      <c r="D986" s="1">
        <v>0</v>
      </c>
      <c r="F986" s="59"/>
      <c r="G986" s="32"/>
      <c r="H986" s="32"/>
    </row>
    <row r="987" spans="1:8" ht="15.75" customHeight="1">
      <c r="A987" s="1">
        <v>18406</v>
      </c>
      <c r="B987" s="2">
        <v>45047.687638888892</v>
      </c>
      <c r="C987" s="1" t="s">
        <v>10</v>
      </c>
      <c r="D987" s="1">
        <v>420</v>
      </c>
      <c r="F987" s="59"/>
      <c r="G987" s="32"/>
      <c r="H987" s="32"/>
    </row>
    <row r="988" spans="1:8" ht="15.75" customHeight="1">
      <c r="A988" s="1">
        <v>18405</v>
      </c>
      <c r="B988" s="2">
        <v>45047.607048611113</v>
      </c>
      <c r="C988" s="1" t="s">
        <v>10</v>
      </c>
      <c r="D988" s="1">
        <v>420</v>
      </c>
      <c r="F988" s="59"/>
      <c r="G988" s="32"/>
      <c r="H988" s="32"/>
    </row>
    <row r="989" spans="1:8" ht="15.75" customHeight="1">
      <c r="A989" s="1">
        <v>18404</v>
      </c>
      <c r="B989" s="2">
        <v>45046.081331018519</v>
      </c>
      <c r="C989" s="1" t="s">
        <v>10</v>
      </c>
      <c r="D989" s="1">
        <v>85</v>
      </c>
      <c r="F989" s="59"/>
      <c r="G989" s="32"/>
      <c r="H989" s="32"/>
    </row>
    <row r="990" spans="1:8" ht="15.75" customHeight="1">
      <c r="A990" s="1">
        <v>18142</v>
      </c>
      <c r="B990" s="2">
        <v>45024.096620370372</v>
      </c>
      <c r="C990" s="1" t="s">
        <v>10</v>
      </c>
      <c r="D990" s="1">
        <v>28</v>
      </c>
      <c r="F990" s="59"/>
      <c r="G990" s="32"/>
      <c r="H990" s="32"/>
    </row>
    <row r="991" spans="1:8" ht="15.75" customHeight="1">
      <c r="A991" s="1">
        <v>18140</v>
      </c>
      <c r="B991" s="2">
        <v>45023.781018518523</v>
      </c>
      <c r="C991" s="1" t="s">
        <v>8</v>
      </c>
      <c r="D991" s="1">
        <v>25</v>
      </c>
      <c r="F991" s="59"/>
      <c r="G991" s="32"/>
      <c r="H991" s="32"/>
    </row>
    <row r="992" spans="1:8" ht="15.75" customHeight="1">
      <c r="A992" s="1">
        <v>18137</v>
      </c>
      <c r="B992" s="2">
        <v>45022.120740740742</v>
      </c>
      <c r="C992" s="1" t="s">
        <v>10</v>
      </c>
      <c r="D992" s="1">
        <v>825</v>
      </c>
      <c r="F992" s="59"/>
      <c r="G992" s="32"/>
      <c r="H992" s="32"/>
    </row>
    <row r="993" spans="1:8" ht="15.75" customHeight="1">
      <c r="A993" s="1">
        <v>18127</v>
      </c>
      <c r="B993" s="2">
        <v>45015.637384259258</v>
      </c>
      <c r="C993" s="1" t="s">
        <v>10</v>
      </c>
      <c r="D993" s="1">
        <v>0</v>
      </c>
      <c r="F993" s="59"/>
      <c r="G993" s="32"/>
      <c r="H993" s="32"/>
    </row>
    <row r="994" spans="1:8" ht="15.75" customHeight="1">
      <c r="A994" s="1">
        <v>18125</v>
      </c>
      <c r="B994" s="2">
        <v>45015.575335648144</v>
      </c>
      <c r="C994" s="1" t="s">
        <v>10</v>
      </c>
      <c r="D994" s="1">
        <v>0</v>
      </c>
      <c r="F994" s="59"/>
      <c r="G994" s="32"/>
      <c r="H994" s="32"/>
    </row>
    <row r="995" spans="1:8" ht="15.75" customHeight="1">
      <c r="A995" s="1">
        <v>18124</v>
      </c>
      <c r="B995" s="2">
        <v>45014.774884259255</v>
      </c>
      <c r="C995" s="1" t="s">
        <v>10</v>
      </c>
      <c r="D995" s="1">
        <v>25</v>
      </c>
      <c r="F995" s="59"/>
      <c r="G995" s="32"/>
      <c r="H995" s="32"/>
    </row>
    <row r="996" spans="1:8" ht="15.75" customHeight="1">
      <c r="A996" s="1">
        <v>18123</v>
      </c>
      <c r="B996" s="2">
        <v>45012.970451388886</v>
      </c>
      <c r="C996" s="1" t="s">
        <v>8</v>
      </c>
      <c r="D996" s="1">
        <v>55</v>
      </c>
      <c r="F996" s="59"/>
      <c r="G996" s="32"/>
      <c r="H996" s="32"/>
    </row>
    <row r="997" spans="1:8" ht="15.75" customHeight="1">
      <c r="A997" s="1">
        <v>18122</v>
      </c>
      <c r="B997" s="2">
        <v>45012.579421296294</v>
      </c>
      <c r="C997" s="1" t="s">
        <v>10</v>
      </c>
      <c r="D997" s="1">
        <v>25</v>
      </c>
      <c r="F997" s="59"/>
      <c r="G997" s="32"/>
      <c r="H997" s="32"/>
    </row>
    <row r="998" spans="1:8" ht="15.75" customHeight="1">
      <c r="A998" s="1">
        <v>18117</v>
      </c>
      <c r="B998" s="2">
        <v>45011.942337962959</v>
      </c>
      <c r="C998" s="1" t="s">
        <v>10</v>
      </c>
      <c r="D998" s="1">
        <v>15</v>
      </c>
      <c r="F998" s="59"/>
      <c r="G998" s="32"/>
      <c r="H998" s="32"/>
    </row>
    <row r="999" spans="1:8" ht="15.75" customHeight="1">
      <c r="A999" s="1">
        <v>18116</v>
      </c>
      <c r="B999" s="2">
        <v>45011.693726851852</v>
      </c>
      <c r="C999" s="1" t="s">
        <v>10</v>
      </c>
      <c r="D999" s="1">
        <v>15</v>
      </c>
      <c r="F999" s="59"/>
      <c r="G999" s="32"/>
      <c r="H999" s="32"/>
    </row>
    <row r="1000" spans="1:8" ht="15.75" customHeight="1">
      <c r="A1000" s="1">
        <v>18115</v>
      </c>
      <c r="B1000" s="2">
        <v>45011.690763888888</v>
      </c>
      <c r="C1000" s="1" t="s">
        <v>10</v>
      </c>
      <c r="D1000" s="1">
        <v>15</v>
      </c>
      <c r="F1000" s="59"/>
      <c r="G1000" s="32"/>
      <c r="H1000" s="32"/>
    </row>
    <row r="1001" spans="1:8" ht="15.75" customHeight="1">
      <c r="A1001" s="1">
        <v>18114</v>
      </c>
      <c r="B1001" s="2">
        <v>45011.687210648146</v>
      </c>
      <c r="C1001" s="1" t="s">
        <v>10</v>
      </c>
      <c r="D1001" s="1">
        <v>85</v>
      </c>
      <c r="F1001" s="59"/>
      <c r="G1001" s="32"/>
      <c r="H1001" s="32"/>
    </row>
    <row r="1002" spans="1:8" ht="15.75" customHeight="1">
      <c r="A1002" s="1">
        <v>18113</v>
      </c>
      <c r="B1002" s="2">
        <v>45011.520509259259</v>
      </c>
      <c r="C1002" s="1" t="s">
        <v>10</v>
      </c>
      <c r="D1002" s="1">
        <v>28</v>
      </c>
      <c r="F1002" s="59"/>
      <c r="G1002" s="32"/>
      <c r="H1002" s="32"/>
    </row>
    <row r="1003" spans="1:8" ht="15.75" customHeight="1">
      <c r="A1003" s="1">
        <v>18111</v>
      </c>
      <c r="B1003" s="2">
        <v>45011.133611111116</v>
      </c>
      <c r="C1003" s="1" t="s">
        <v>10</v>
      </c>
      <c r="D1003" s="1">
        <v>566</v>
      </c>
      <c r="F1003" s="59"/>
      <c r="G1003" s="32"/>
      <c r="H1003" s="32"/>
    </row>
    <row r="1004" spans="1:8" ht="15.75" customHeight="1">
      <c r="A1004" s="1">
        <v>18109</v>
      </c>
      <c r="B1004" s="2">
        <v>45010.056192129632</v>
      </c>
      <c r="C1004" s="1" t="s">
        <v>10</v>
      </c>
      <c r="D1004" s="1">
        <v>45</v>
      </c>
      <c r="F1004" s="59"/>
      <c r="G1004" s="32"/>
      <c r="H1004" s="32"/>
    </row>
    <row r="1005" spans="1:8" ht="15.75" customHeight="1">
      <c r="A1005" s="1">
        <v>18108</v>
      </c>
      <c r="B1005" s="2">
        <v>45010.044733796298</v>
      </c>
      <c r="C1005" s="1" t="s">
        <v>10</v>
      </c>
      <c r="D1005" s="1">
        <v>28</v>
      </c>
      <c r="F1005" s="59"/>
      <c r="G1005" s="32"/>
      <c r="H1005" s="32"/>
    </row>
    <row r="1006" spans="1:8" ht="15.75" customHeight="1">
      <c r="A1006" s="1">
        <v>18107</v>
      </c>
      <c r="B1006" s="2">
        <v>45009.10292824074</v>
      </c>
      <c r="C1006" s="1" t="s">
        <v>10</v>
      </c>
      <c r="D1006" s="1">
        <v>25</v>
      </c>
      <c r="F1006" s="59"/>
      <c r="G1006" s="32"/>
      <c r="H1006" s="32"/>
    </row>
    <row r="1007" spans="1:8" ht="15.75" customHeight="1">
      <c r="A1007" s="1">
        <v>18106</v>
      </c>
      <c r="B1007" s="2">
        <v>45008.531099537038</v>
      </c>
      <c r="C1007" s="1" t="s">
        <v>10</v>
      </c>
      <c r="D1007" s="1">
        <v>25</v>
      </c>
      <c r="F1007" s="59"/>
      <c r="G1007" s="32"/>
      <c r="H1007" s="32"/>
    </row>
    <row r="1008" spans="1:8" ht="15.75" customHeight="1">
      <c r="A1008" s="1">
        <v>18104</v>
      </c>
      <c r="B1008" s="2">
        <v>45007.938680555555</v>
      </c>
      <c r="C1008" s="1" t="s">
        <v>10</v>
      </c>
      <c r="D1008" s="1">
        <v>200</v>
      </c>
      <c r="F1008" s="59"/>
      <c r="G1008" s="32"/>
      <c r="H1008" s="32"/>
    </row>
    <row r="1009" spans="1:8" ht="15.75" customHeight="1">
      <c r="A1009" s="1">
        <v>18099</v>
      </c>
      <c r="B1009" s="2">
        <v>45006.76730324074</v>
      </c>
      <c r="C1009" s="1" t="s">
        <v>10</v>
      </c>
      <c r="D1009" s="1">
        <v>50</v>
      </c>
      <c r="F1009" s="59"/>
      <c r="G1009" s="32"/>
      <c r="H1009" s="32"/>
    </row>
    <row r="1010" spans="1:8" ht="15.75" customHeight="1">
      <c r="A1010" s="1">
        <v>18098</v>
      </c>
      <c r="B1010" s="2">
        <v>45005.955277777779</v>
      </c>
      <c r="C1010" s="1" t="s">
        <v>10</v>
      </c>
      <c r="D1010" s="1">
        <v>100</v>
      </c>
      <c r="F1010" s="59"/>
      <c r="G1010" s="32"/>
      <c r="H1010" s="32"/>
    </row>
    <row r="1011" spans="1:8" ht="15.75" customHeight="1">
      <c r="A1011" s="1">
        <v>18097</v>
      </c>
      <c r="B1011" s="2">
        <v>45004.677650462967</v>
      </c>
      <c r="C1011" s="1" t="s">
        <v>10</v>
      </c>
      <c r="D1011" s="1">
        <v>130.5</v>
      </c>
      <c r="F1011" s="59"/>
      <c r="G1011" s="32"/>
      <c r="H1011" s="32"/>
    </row>
    <row r="1012" spans="1:8" ht="15.75" customHeight="1">
      <c r="A1012" s="1">
        <v>18095</v>
      </c>
      <c r="B1012" s="2">
        <v>45003.973344907412</v>
      </c>
      <c r="C1012" s="1" t="s">
        <v>10</v>
      </c>
      <c r="D1012" s="1">
        <v>55</v>
      </c>
      <c r="F1012" s="59"/>
      <c r="G1012" s="32"/>
      <c r="H1012" s="32"/>
    </row>
    <row r="1013" spans="1:8" ht="15.75" customHeight="1">
      <c r="A1013" s="1">
        <v>18094</v>
      </c>
      <c r="B1013" s="2">
        <v>45003.816469907411</v>
      </c>
      <c r="C1013" s="1" t="s">
        <v>10</v>
      </c>
      <c r="D1013" s="1">
        <v>68</v>
      </c>
      <c r="F1013" s="59"/>
      <c r="G1013" s="32"/>
      <c r="H1013" s="32"/>
    </row>
    <row r="1014" spans="1:8" ht="15.75" customHeight="1">
      <c r="A1014" s="1">
        <v>18093</v>
      </c>
      <c r="B1014" s="2">
        <v>45003.747025462959</v>
      </c>
      <c r="C1014" s="1" t="s">
        <v>10</v>
      </c>
      <c r="D1014" s="1">
        <v>53</v>
      </c>
      <c r="F1014" s="59"/>
      <c r="G1014" s="32"/>
      <c r="H1014" s="32"/>
    </row>
    <row r="1015" spans="1:8" ht="15.75" customHeight="1">
      <c r="A1015" s="1">
        <v>18062</v>
      </c>
      <c r="B1015" s="2">
        <v>44999.671319444446</v>
      </c>
      <c r="C1015" s="1" t="s">
        <v>10</v>
      </c>
      <c r="D1015" s="1">
        <v>35</v>
      </c>
      <c r="F1015" s="59"/>
      <c r="G1015" s="32"/>
      <c r="H1015" s="32"/>
    </row>
    <row r="1016" spans="1:8" ht="15.75" customHeight="1">
      <c r="A1016" s="1">
        <v>18061</v>
      </c>
      <c r="B1016" s="2">
        <v>44998.579965277779</v>
      </c>
      <c r="C1016" s="1" t="s">
        <v>10</v>
      </c>
      <c r="D1016" s="1">
        <v>100</v>
      </c>
      <c r="F1016" s="59"/>
      <c r="G1016" s="32"/>
      <c r="H1016" s="32"/>
    </row>
    <row r="1017" spans="1:8" ht="15.75" customHeight="1">
      <c r="A1017" s="1">
        <v>18057</v>
      </c>
      <c r="B1017" s="2">
        <v>44995.838749999995</v>
      </c>
      <c r="C1017" s="1" t="s">
        <v>10</v>
      </c>
      <c r="D1017" s="1">
        <v>55</v>
      </c>
      <c r="F1017" s="59"/>
      <c r="G1017" s="32"/>
      <c r="H1017" s="32"/>
    </row>
    <row r="1018" spans="1:8" ht="15.75" customHeight="1">
      <c r="A1018" s="1">
        <v>18056</v>
      </c>
      <c r="B1018" s="2">
        <v>44995.83520833333</v>
      </c>
      <c r="C1018" s="1" t="s">
        <v>10</v>
      </c>
      <c r="D1018" s="1">
        <v>55</v>
      </c>
      <c r="F1018" s="59"/>
      <c r="G1018" s="32"/>
      <c r="H1018" s="32"/>
    </row>
    <row r="1019" spans="1:8" ht="15.75" customHeight="1">
      <c r="A1019" s="1">
        <v>18055</v>
      </c>
      <c r="B1019" s="2">
        <v>44995.143020833333</v>
      </c>
      <c r="C1019" s="1" t="s">
        <v>10</v>
      </c>
      <c r="D1019" s="1">
        <v>40</v>
      </c>
      <c r="F1019" s="59"/>
      <c r="G1019" s="32"/>
      <c r="H1019" s="32"/>
    </row>
    <row r="1020" spans="1:8" ht="15.75" customHeight="1">
      <c r="A1020" s="1">
        <v>18054</v>
      </c>
      <c r="B1020" s="2">
        <v>44995.115949074076</v>
      </c>
      <c r="C1020" s="1" t="s">
        <v>10</v>
      </c>
      <c r="D1020" s="1">
        <v>43</v>
      </c>
      <c r="F1020" s="59"/>
      <c r="G1020" s="32"/>
      <c r="H1020" s="32"/>
    </row>
    <row r="1021" spans="1:8" ht="15.75" customHeight="1">
      <c r="A1021" s="1">
        <v>18053</v>
      </c>
      <c r="B1021" s="2">
        <v>44994.750856481478</v>
      </c>
      <c r="C1021" s="1" t="s">
        <v>10</v>
      </c>
      <c r="D1021" s="1">
        <v>25</v>
      </c>
      <c r="F1021" s="59"/>
      <c r="G1021" s="32"/>
      <c r="H1021" s="32"/>
    </row>
    <row r="1022" spans="1:8" ht="15.75" customHeight="1">
      <c r="A1022" s="1">
        <v>18052</v>
      </c>
      <c r="B1022" s="2">
        <v>44994.749027777776</v>
      </c>
      <c r="C1022" s="1" t="s">
        <v>10</v>
      </c>
      <c r="D1022" s="1">
        <v>25</v>
      </c>
      <c r="F1022" s="59"/>
      <c r="G1022" s="32"/>
      <c r="H1022" s="32"/>
    </row>
    <row r="1023" spans="1:8" ht="15.75" customHeight="1">
      <c r="A1023" s="1">
        <v>18047</v>
      </c>
      <c r="B1023" s="2">
        <v>44993.984722222223</v>
      </c>
      <c r="C1023" s="1" t="s">
        <v>10</v>
      </c>
      <c r="D1023" s="1">
        <v>50</v>
      </c>
      <c r="F1023" s="59"/>
      <c r="G1023" s="32"/>
      <c r="H1023" s="32"/>
    </row>
    <row r="1024" spans="1:8" ht="15.75" customHeight="1">
      <c r="A1024" s="1">
        <v>18043</v>
      </c>
      <c r="B1024" s="2">
        <v>44993.613391203704</v>
      </c>
      <c r="C1024" s="1" t="s">
        <v>10</v>
      </c>
      <c r="D1024" s="1">
        <v>15</v>
      </c>
      <c r="F1024" s="59"/>
      <c r="G1024" s="32"/>
      <c r="H1024" s="32"/>
    </row>
    <row r="1025" spans="1:8" ht="15.75" customHeight="1">
      <c r="A1025" s="1">
        <v>18042</v>
      </c>
      <c r="B1025" s="2">
        <v>44993.612071759257</v>
      </c>
      <c r="C1025" s="1" t="s">
        <v>10</v>
      </c>
      <c r="D1025" s="1">
        <v>35</v>
      </c>
      <c r="F1025" s="59"/>
      <c r="G1025" s="32"/>
      <c r="H1025" s="32"/>
    </row>
    <row r="1026" spans="1:8" ht="15.75" customHeight="1">
      <c r="A1026" s="1">
        <v>18041</v>
      </c>
      <c r="B1026" s="2">
        <v>44993.082245370373</v>
      </c>
      <c r="C1026" s="1" t="s">
        <v>10</v>
      </c>
      <c r="D1026" s="1">
        <v>86</v>
      </c>
      <c r="F1026" s="59"/>
      <c r="G1026" s="32"/>
      <c r="H1026" s="32"/>
    </row>
    <row r="1027" spans="1:8" ht="15.75" customHeight="1">
      <c r="A1027" s="1">
        <v>18040</v>
      </c>
      <c r="B1027" s="2">
        <v>44992.813275462962</v>
      </c>
      <c r="C1027" s="1" t="s">
        <v>10</v>
      </c>
      <c r="D1027" s="1">
        <v>40</v>
      </c>
      <c r="F1027" s="59"/>
      <c r="G1027" s="32"/>
      <c r="H1027" s="32"/>
    </row>
    <row r="1028" spans="1:8" ht="15.75" customHeight="1">
      <c r="A1028" s="1">
        <v>18039</v>
      </c>
      <c r="B1028" s="2">
        <v>44992.786111111112</v>
      </c>
      <c r="C1028" s="1" t="s">
        <v>10</v>
      </c>
      <c r="D1028" s="1">
        <v>15</v>
      </c>
      <c r="F1028" s="59"/>
      <c r="G1028" s="32"/>
      <c r="H1028" s="32"/>
    </row>
    <row r="1029" spans="1:8" ht="15.75" customHeight="1">
      <c r="A1029" s="1">
        <v>18038</v>
      </c>
      <c r="B1029" s="2">
        <v>44991.971030092594</v>
      </c>
      <c r="C1029" s="1" t="s">
        <v>10</v>
      </c>
      <c r="D1029" s="1">
        <v>25</v>
      </c>
      <c r="F1029" s="59"/>
      <c r="G1029" s="32"/>
      <c r="H1029" s="32"/>
    </row>
    <row r="1030" spans="1:8" ht="15.75" customHeight="1">
      <c r="A1030" s="1">
        <v>18037</v>
      </c>
      <c r="B1030" s="2">
        <v>44991.893506944441</v>
      </c>
      <c r="C1030" s="1" t="s">
        <v>10</v>
      </c>
      <c r="D1030" s="1">
        <v>15</v>
      </c>
      <c r="F1030" s="59"/>
      <c r="G1030" s="32"/>
      <c r="H1030" s="32"/>
    </row>
    <row r="1031" spans="1:8" ht="15.75" customHeight="1">
      <c r="A1031" s="1">
        <v>18036</v>
      </c>
      <c r="B1031" s="2">
        <v>44991.626550925925</v>
      </c>
      <c r="C1031" s="1" t="s">
        <v>10</v>
      </c>
      <c r="D1031" s="1">
        <v>15</v>
      </c>
      <c r="F1031" s="59"/>
      <c r="G1031" s="32"/>
      <c r="H1031" s="32"/>
    </row>
    <row r="1032" spans="1:8" ht="15.75" customHeight="1">
      <c r="A1032" s="1">
        <v>18035</v>
      </c>
      <c r="B1032" s="2">
        <v>44991.538090277776</v>
      </c>
      <c r="C1032" s="1" t="s">
        <v>10</v>
      </c>
      <c r="D1032" s="1">
        <v>15</v>
      </c>
      <c r="F1032" s="59"/>
      <c r="G1032" s="32"/>
      <c r="H1032" s="32"/>
    </row>
    <row r="1033" spans="1:8" ht="15.75" customHeight="1">
      <c r="A1033" s="1">
        <v>18034</v>
      </c>
      <c r="B1033" s="2">
        <v>44991.535983796297</v>
      </c>
      <c r="C1033" s="1" t="s">
        <v>10</v>
      </c>
      <c r="D1033" s="1">
        <v>35</v>
      </c>
      <c r="F1033" s="59"/>
      <c r="G1033" s="32"/>
      <c r="H1033" s="32"/>
    </row>
    <row r="1034" spans="1:8" ht="15.75" customHeight="1">
      <c r="A1034" s="1">
        <v>18033</v>
      </c>
      <c r="B1034" s="2">
        <v>44991.128969907411</v>
      </c>
      <c r="C1034" s="1" t="s">
        <v>10</v>
      </c>
      <c r="D1034" s="1">
        <v>18</v>
      </c>
      <c r="F1034" s="59"/>
      <c r="G1034" s="32"/>
      <c r="H1034" s="32"/>
    </row>
    <row r="1035" spans="1:8" ht="15.75" customHeight="1">
      <c r="A1035" s="1">
        <v>18032</v>
      </c>
      <c r="B1035" s="2">
        <v>44991.078645833331</v>
      </c>
      <c r="C1035" s="1" t="s">
        <v>10</v>
      </c>
      <c r="D1035" s="1">
        <v>33</v>
      </c>
      <c r="F1035" s="59"/>
      <c r="G1035" s="32"/>
      <c r="H1035" s="32"/>
    </row>
    <row r="1036" spans="1:8" ht="15.75" customHeight="1">
      <c r="A1036" s="1">
        <v>18031</v>
      </c>
      <c r="B1036" s="2">
        <v>44989.838796296295</v>
      </c>
      <c r="C1036" s="1" t="s">
        <v>10</v>
      </c>
      <c r="D1036" s="1">
        <v>15</v>
      </c>
      <c r="F1036" s="59"/>
      <c r="G1036" s="32"/>
      <c r="H1036" s="32"/>
    </row>
    <row r="1037" spans="1:8" ht="15.75" customHeight="1">
      <c r="A1037" s="1">
        <v>18030</v>
      </c>
      <c r="B1037" s="2">
        <v>44989.093275462961</v>
      </c>
      <c r="C1037" s="1" t="s">
        <v>10</v>
      </c>
      <c r="D1037" s="1">
        <v>80</v>
      </c>
      <c r="F1037" s="59"/>
      <c r="G1037" s="32"/>
      <c r="H1037" s="32"/>
    </row>
    <row r="1038" spans="1:8" ht="15.75" customHeight="1">
      <c r="A1038" s="1">
        <v>18029</v>
      </c>
      <c r="B1038" s="2">
        <v>44988.705601851849</v>
      </c>
      <c r="C1038" s="1" t="s">
        <v>10</v>
      </c>
      <c r="D1038" s="1">
        <v>42</v>
      </c>
      <c r="F1038" s="59"/>
      <c r="G1038" s="32"/>
      <c r="H1038" s="32"/>
    </row>
    <row r="1039" spans="1:8" ht="15.75" customHeight="1">
      <c r="A1039" s="1">
        <v>18025</v>
      </c>
      <c r="B1039" s="2">
        <v>44986.687152777777</v>
      </c>
      <c r="C1039" s="1" t="s">
        <v>10</v>
      </c>
      <c r="D1039" s="1">
        <v>30</v>
      </c>
      <c r="F1039" s="59"/>
      <c r="G1039" s="32"/>
      <c r="H1039" s="32"/>
    </row>
    <row r="1040" spans="1:8" ht="15.75" customHeight="1">
      <c r="A1040" s="1">
        <v>18012</v>
      </c>
      <c r="B1040" s="2">
        <v>44985.958020833335</v>
      </c>
      <c r="C1040" s="1" t="s">
        <v>10</v>
      </c>
      <c r="D1040" s="1">
        <v>33</v>
      </c>
      <c r="F1040" s="59"/>
      <c r="G1040" s="32"/>
      <c r="H1040" s="32"/>
    </row>
    <row r="1041" spans="1:8" ht="15.75" customHeight="1">
      <c r="A1041" s="1">
        <v>18011</v>
      </c>
      <c r="B1041" s="2">
        <v>44985.123668981483</v>
      </c>
      <c r="C1041" s="1" t="s">
        <v>10</v>
      </c>
      <c r="D1041" s="1">
        <v>15</v>
      </c>
      <c r="F1041" s="59"/>
      <c r="G1041" s="32"/>
      <c r="H1041" s="32"/>
    </row>
    <row r="1042" spans="1:8" ht="15.75" customHeight="1">
      <c r="A1042" s="1">
        <v>18010</v>
      </c>
      <c r="B1042" s="2">
        <v>44985.118229166663</v>
      </c>
      <c r="C1042" s="1" t="s">
        <v>10</v>
      </c>
      <c r="D1042" s="1">
        <v>15</v>
      </c>
      <c r="F1042" s="59"/>
      <c r="G1042" s="32"/>
      <c r="H1042" s="32"/>
    </row>
    <row r="1043" spans="1:8" ht="15.75" customHeight="1">
      <c r="A1043" s="1">
        <v>18009</v>
      </c>
      <c r="B1043" s="2">
        <v>44984.678379629629</v>
      </c>
      <c r="C1043" s="1" t="s">
        <v>10</v>
      </c>
      <c r="D1043" s="1">
        <v>15</v>
      </c>
      <c r="F1043" s="59"/>
      <c r="G1043" s="32"/>
      <c r="H1043" s="32"/>
    </row>
    <row r="1044" spans="1:8" ht="15.75" customHeight="1">
      <c r="A1044" s="1">
        <v>18008</v>
      </c>
      <c r="B1044" s="2">
        <v>44984.655706018515</v>
      </c>
      <c r="C1044" s="1" t="s">
        <v>10</v>
      </c>
      <c r="D1044" s="1">
        <v>35</v>
      </c>
      <c r="F1044" s="59"/>
      <c r="G1044" s="32"/>
      <c r="H1044" s="32"/>
    </row>
    <row r="1045" spans="1:8" ht="15.75" customHeight="1">
      <c r="A1045" s="1">
        <v>18007</v>
      </c>
      <c r="B1045" s="2">
        <v>44984.63762731482</v>
      </c>
      <c r="C1045" s="1" t="s">
        <v>10</v>
      </c>
      <c r="D1045" s="1">
        <v>25</v>
      </c>
      <c r="F1045" s="59"/>
      <c r="G1045" s="32"/>
      <c r="H1045" s="32"/>
    </row>
    <row r="1046" spans="1:8" ht="15.75" customHeight="1">
      <c r="A1046" s="1">
        <v>18006</v>
      </c>
      <c r="B1046" s="2">
        <v>44984.632314814815</v>
      </c>
      <c r="C1046" s="1" t="s">
        <v>10</v>
      </c>
      <c r="D1046" s="1">
        <v>25</v>
      </c>
      <c r="F1046" s="59"/>
      <c r="G1046" s="32"/>
      <c r="H1046" s="32"/>
    </row>
    <row r="1047" spans="1:8" ht="15.75" customHeight="1">
      <c r="A1047" s="1">
        <v>18005</v>
      </c>
      <c r="B1047" s="2">
        <v>44984.572430555556</v>
      </c>
      <c r="C1047" s="1" t="s">
        <v>10</v>
      </c>
      <c r="D1047" s="1">
        <v>30</v>
      </c>
      <c r="F1047" s="59"/>
      <c r="G1047" s="32"/>
      <c r="H1047" s="32"/>
    </row>
    <row r="1048" spans="1:8" ht="15.75" customHeight="1">
      <c r="A1048" s="1">
        <v>18004</v>
      </c>
      <c r="B1048" s="2">
        <v>44984.08798611111</v>
      </c>
      <c r="C1048" s="1" t="s">
        <v>10</v>
      </c>
      <c r="D1048" s="1">
        <v>15</v>
      </c>
      <c r="F1048" s="59"/>
      <c r="G1048" s="32"/>
      <c r="H1048" s="32"/>
    </row>
    <row r="1049" spans="1:8" ht="15.75" customHeight="1">
      <c r="A1049" s="1">
        <v>18003</v>
      </c>
      <c r="B1049" s="2">
        <v>44983.765925925924</v>
      </c>
      <c r="C1049" s="1" t="s">
        <v>10</v>
      </c>
      <c r="D1049" s="1">
        <v>15</v>
      </c>
      <c r="F1049" s="59"/>
      <c r="G1049" s="32"/>
      <c r="H1049" s="32"/>
    </row>
    <row r="1050" spans="1:8" ht="15.75" customHeight="1">
      <c r="A1050" s="1">
        <v>18001</v>
      </c>
      <c r="B1050" s="2">
        <v>44982.954409722224</v>
      </c>
      <c r="C1050" s="1" t="s">
        <v>10</v>
      </c>
      <c r="D1050" s="1">
        <v>28</v>
      </c>
      <c r="F1050" s="59"/>
      <c r="G1050" s="32"/>
      <c r="H1050" s="32"/>
    </row>
    <row r="1051" spans="1:8" ht="15.75" customHeight="1">
      <c r="A1051" s="1">
        <v>18000</v>
      </c>
      <c r="B1051" s="2">
        <v>44982.730150462958</v>
      </c>
      <c r="C1051" s="1" t="s">
        <v>10</v>
      </c>
      <c r="D1051" s="1">
        <v>30</v>
      </c>
      <c r="F1051" s="59"/>
      <c r="G1051" s="32"/>
      <c r="H1051" s="32"/>
    </row>
    <row r="1052" spans="1:8" ht="15.75" customHeight="1">
      <c r="A1052" s="1">
        <v>17998</v>
      </c>
      <c r="B1052" s="2">
        <v>44982.081041666665</v>
      </c>
      <c r="C1052" s="1" t="s">
        <v>10</v>
      </c>
      <c r="D1052" s="1">
        <v>25</v>
      </c>
      <c r="F1052" s="59"/>
      <c r="G1052" s="32"/>
      <c r="H1052" s="32"/>
    </row>
    <row r="1053" spans="1:8" ht="15.75" customHeight="1">
      <c r="A1053" s="1">
        <v>17997</v>
      </c>
      <c r="B1053" s="2">
        <v>44981.906030092592</v>
      </c>
      <c r="C1053" s="1" t="s">
        <v>10</v>
      </c>
      <c r="D1053" s="1">
        <v>28</v>
      </c>
      <c r="F1053" s="59"/>
      <c r="G1053" s="32"/>
      <c r="H1053" s="32"/>
    </row>
    <row r="1054" spans="1:8" ht="15.75" customHeight="1">
      <c r="A1054" s="1">
        <v>17996</v>
      </c>
      <c r="B1054" s="2">
        <v>44980.137731481482</v>
      </c>
      <c r="C1054" s="1" t="s">
        <v>10</v>
      </c>
      <c r="D1054" s="1">
        <v>43</v>
      </c>
      <c r="F1054" s="59"/>
      <c r="G1054" s="32"/>
      <c r="H1054" s="32"/>
    </row>
    <row r="1055" spans="1:8" ht="15.75" customHeight="1">
      <c r="A1055" s="1">
        <v>17995</v>
      </c>
      <c r="B1055" s="2">
        <v>44979.806886574079</v>
      </c>
      <c r="C1055" s="1" t="s">
        <v>10</v>
      </c>
      <c r="D1055" s="1">
        <v>24</v>
      </c>
      <c r="F1055" s="59"/>
      <c r="G1055" s="32"/>
      <c r="H1055" s="32"/>
    </row>
    <row r="1056" spans="1:8" ht="15.75" customHeight="1">
      <c r="A1056" s="1">
        <v>17994</v>
      </c>
      <c r="B1056" s="2">
        <v>44979.629513888889</v>
      </c>
      <c r="C1056" s="1" t="s">
        <v>10</v>
      </c>
      <c r="D1056" s="1">
        <v>64</v>
      </c>
      <c r="F1056" s="59"/>
      <c r="G1056" s="32"/>
      <c r="H1056" s="32"/>
    </row>
    <row r="1057" spans="1:8" ht="15.75" customHeight="1">
      <c r="A1057" s="1">
        <v>17993</v>
      </c>
      <c r="B1057" s="2">
        <v>44978.694108796291</v>
      </c>
      <c r="C1057" s="1" t="s">
        <v>10</v>
      </c>
      <c r="D1057" s="1">
        <v>28</v>
      </c>
      <c r="F1057" s="59"/>
      <c r="G1057" s="32"/>
      <c r="H1057" s="32"/>
    </row>
    <row r="1058" spans="1:8" ht="15.75" customHeight="1">
      <c r="A1058" s="1">
        <v>17992</v>
      </c>
      <c r="B1058" s="2">
        <v>44978.609965277778</v>
      </c>
      <c r="C1058" s="1" t="s">
        <v>10</v>
      </c>
      <c r="D1058" s="1">
        <v>79</v>
      </c>
      <c r="F1058" s="59"/>
      <c r="G1058" s="32"/>
      <c r="H1058" s="32"/>
    </row>
    <row r="1059" spans="1:8" ht="15.75" customHeight="1">
      <c r="A1059" s="1">
        <v>17956</v>
      </c>
      <c r="B1059" s="2">
        <v>44977.613923611112</v>
      </c>
      <c r="C1059" s="1" t="s">
        <v>10</v>
      </c>
      <c r="D1059" s="1">
        <v>57</v>
      </c>
      <c r="F1059" s="59"/>
      <c r="G1059" s="32"/>
      <c r="H1059" s="32"/>
    </row>
    <row r="1060" spans="1:8" ht="15.75" customHeight="1">
      <c r="A1060" s="1">
        <v>17955</v>
      </c>
      <c r="B1060" s="2">
        <v>44977.550474537042</v>
      </c>
      <c r="C1060" s="1" t="s">
        <v>10</v>
      </c>
      <c r="D1060" s="1">
        <v>18</v>
      </c>
      <c r="F1060" s="59"/>
      <c r="G1060" s="32"/>
      <c r="H1060" s="32"/>
    </row>
    <row r="1061" spans="1:8" ht="15.75" customHeight="1">
      <c r="A1061" s="1">
        <v>17954</v>
      </c>
      <c r="B1061" s="2">
        <v>44977.549108796295</v>
      </c>
      <c r="C1061" s="1" t="s">
        <v>10</v>
      </c>
      <c r="D1061" s="1">
        <v>18</v>
      </c>
      <c r="F1061" s="59"/>
      <c r="G1061" s="32"/>
      <c r="H1061" s="32"/>
    </row>
    <row r="1062" spans="1:8" ht="15.75" customHeight="1">
      <c r="A1062" s="1">
        <v>17953</v>
      </c>
      <c r="B1062" s="2">
        <v>44977.134699074071</v>
      </c>
      <c r="C1062" s="1" t="s">
        <v>10</v>
      </c>
      <c r="D1062" s="1">
        <v>24</v>
      </c>
      <c r="F1062" s="59"/>
      <c r="G1062" s="32"/>
      <c r="H1062" s="32"/>
    </row>
    <row r="1063" spans="1:8" ht="15.75" customHeight="1">
      <c r="A1063" s="1">
        <v>17949</v>
      </c>
      <c r="B1063" s="2">
        <v>44977.074432870373</v>
      </c>
      <c r="C1063" s="1" t="s">
        <v>10</v>
      </c>
      <c r="D1063" s="1">
        <v>24</v>
      </c>
      <c r="F1063" s="59"/>
      <c r="G1063" s="32"/>
      <c r="H1063" s="32"/>
    </row>
    <row r="1064" spans="1:8" ht="15.75" customHeight="1">
      <c r="A1064" s="1">
        <v>17923</v>
      </c>
      <c r="B1064" s="2">
        <v>44977.016134259262</v>
      </c>
      <c r="C1064" s="1" t="s">
        <v>10</v>
      </c>
      <c r="D1064" s="1">
        <v>68</v>
      </c>
      <c r="F1064" s="59"/>
      <c r="G1064" s="32"/>
      <c r="H1064" s="32"/>
    </row>
    <row r="1065" spans="1:8" ht="15.75" customHeight="1">
      <c r="A1065" s="1">
        <v>17874</v>
      </c>
      <c r="B1065" s="2">
        <v>44976.845405092594</v>
      </c>
      <c r="C1065" s="1" t="s">
        <v>10</v>
      </c>
      <c r="D1065" s="1">
        <v>46</v>
      </c>
      <c r="F1065" s="59"/>
      <c r="G1065" s="32"/>
      <c r="H1065" s="32"/>
    </row>
    <row r="1066" spans="1:8" ht="15.75" customHeight="1">
      <c r="A1066" s="1">
        <v>17873</v>
      </c>
      <c r="B1066" s="2">
        <v>44976.845162037032</v>
      </c>
      <c r="C1066" s="1" t="s">
        <v>10</v>
      </c>
      <c r="D1066" s="1">
        <v>30</v>
      </c>
      <c r="F1066" s="59"/>
      <c r="G1066" s="32"/>
      <c r="H1066" s="32"/>
    </row>
    <row r="1067" spans="1:8" ht="15.75" customHeight="1">
      <c r="A1067" s="1">
        <v>17872</v>
      </c>
      <c r="B1067" s="2">
        <v>44976.566759259258</v>
      </c>
      <c r="C1067" s="1" t="s">
        <v>10</v>
      </c>
      <c r="D1067" s="1">
        <v>48</v>
      </c>
      <c r="F1067" s="59"/>
      <c r="G1067" s="32"/>
      <c r="H1067" s="32"/>
    </row>
    <row r="1068" spans="1:8" ht="15.75" customHeight="1">
      <c r="A1068" s="1">
        <v>17871</v>
      </c>
      <c r="B1068" s="2">
        <v>44975.942210648151</v>
      </c>
      <c r="C1068" s="1" t="s">
        <v>10</v>
      </c>
      <c r="D1068" s="1">
        <v>25</v>
      </c>
      <c r="F1068" s="59"/>
      <c r="G1068" s="32"/>
      <c r="H1068" s="32"/>
    </row>
    <row r="1069" spans="1:8" ht="15.75" customHeight="1">
      <c r="A1069" s="1">
        <v>17870</v>
      </c>
      <c r="B1069" s="2">
        <v>44975.903379629628</v>
      </c>
      <c r="C1069" s="1" t="s">
        <v>10</v>
      </c>
      <c r="D1069" s="1">
        <v>35</v>
      </c>
      <c r="F1069" s="59"/>
      <c r="G1069" s="32"/>
      <c r="H1069" s="32"/>
    </row>
    <row r="1070" spans="1:8" ht="15.75" customHeight="1">
      <c r="A1070" s="1">
        <v>17869</v>
      </c>
      <c r="B1070" s="2">
        <v>44975.858217592591</v>
      </c>
      <c r="C1070" s="1" t="s">
        <v>10</v>
      </c>
      <c r="D1070" s="1">
        <v>15</v>
      </c>
      <c r="F1070" s="59"/>
      <c r="G1070" s="32"/>
      <c r="H1070" s="32"/>
    </row>
    <row r="1071" spans="1:8" ht="15.75" customHeight="1">
      <c r="A1071" s="1">
        <v>17868</v>
      </c>
      <c r="B1071" s="2">
        <v>44975.856817129628</v>
      </c>
      <c r="C1071" s="1" t="s">
        <v>10</v>
      </c>
      <c r="D1071" s="1">
        <v>15</v>
      </c>
      <c r="F1071" s="59"/>
      <c r="G1071" s="32"/>
      <c r="H1071" s="32"/>
    </row>
    <row r="1072" spans="1:8" ht="15.75" customHeight="1">
      <c r="A1072" s="1">
        <v>17867</v>
      </c>
      <c r="B1072" s="2">
        <v>44975.855023148149</v>
      </c>
      <c r="C1072" s="1" t="s">
        <v>10</v>
      </c>
      <c r="D1072" s="1">
        <v>15</v>
      </c>
      <c r="F1072" s="59"/>
      <c r="G1072" s="32"/>
      <c r="H1072" s="32"/>
    </row>
    <row r="1073" spans="1:8" ht="15.75" customHeight="1">
      <c r="A1073" s="1">
        <v>17866</v>
      </c>
      <c r="B1073" s="2">
        <v>44975.850891203707</v>
      </c>
      <c r="C1073" s="1" t="s">
        <v>10</v>
      </c>
      <c r="D1073" s="1">
        <v>18</v>
      </c>
      <c r="F1073" s="59"/>
      <c r="G1073" s="32"/>
      <c r="H1073" s="32"/>
    </row>
    <row r="1074" spans="1:8" ht="15.75" customHeight="1">
      <c r="A1074" s="1">
        <v>17865</v>
      </c>
      <c r="B1074" s="2">
        <v>44975.828460648147</v>
      </c>
      <c r="C1074" s="1" t="s">
        <v>10</v>
      </c>
      <c r="D1074" s="1">
        <v>43</v>
      </c>
      <c r="F1074" s="59"/>
      <c r="G1074" s="32"/>
      <c r="H1074" s="32"/>
    </row>
    <row r="1075" spans="1:8" ht="15.75" customHeight="1">
      <c r="A1075" s="1">
        <v>17864</v>
      </c>
      <c r="B1075" s="2">
        <v>44975.823553240742</v>
      </c>
      <c r="C1075" s="1" t="s">
        <v>10</v>
      </c>
      <c r="D1075" s="1">
        <v>80</v>
      </c>
      <c r="F1075" s="59"/>
      <c r="G1075" s="32"/>
      <c r="H1075" s="32"/>
    </row>
    <row r="1076" spans="1:8" ht="15.75" customHeight="1">
      <c r="A1076" s="1">
        <v>17863</v>
      </c>
      <c r="B1076" s="2">
        <v>44975.802245370374</v>
      </c>
      <c r="C1076" s="1" t="s">
        <v>10</v>
      </c>
      <c r="D1076" s="1">
        <v>35</v>
      </c>
      <c r="F1076" s="59"/>
      <c r="G1076" s="32"/>
      <c r="H1076" s="32"/>
    </row>
    <row r="1077" spans="1:8" ht="15.75" customHeight="1">
      <c r="A1077" s="1">
        <v>17862</v>
      </c>
      <c r="B1077" s="2">
        <v>44975.787175925929</v>
      </c>
      <c r="C1077" s="1" t="s">
        <v>10</v>
      </c>
      <c r="D1077" s="1">
        <v>24</v>
      </c>
      <c r="F1077" s="59"/>
      <c r="G1077" s="32"/>
      <c r="H1077" s="32"/>
    </row>
    <row r="1078" spans="1:8" ht="15.75" customHeight="1">
      <c r="A1078" s="1">
        <v>17861</v>
      </c>
      <c r="B1078" s="2">
        <v>44975.759606481486</v>
      </c>
      <c r="C1078" s="1" t="s">
        <v>10</v>
      </c>
      <c r="D1078" s="1">
        <v>49</v>
      </c>
      <c r="F1078" s="59"/>
      <c r="G1078" s="32"/>
      <c r="H1078" s="32"/>
    </row>
    <row r="1079" spans="1:8" ht="15.75" customHeight="1">
      <c r="A1079" s="1">
        <v>17860</v>
      </c>
      <c r="B1079" s="2">
        <v>44975.753599537042</v>
      </c>
      <c r="C1079" s="1" t="s">
        <v>10</v>
      </c>
      <c r="D1079" s="1">
        <v>49</v>
      </c>
      <c r="F1079" s="59"/>
      <c r="G1079" s="32"/>
      <c r="H1079" s="32"/>
    </row>
    <row r="1080" spans="1:8" ht="15.75" customHeight="1">
      <c r="A1080" s="1">
        <v>17859</v>
      </c>
      <c r="B1080" s="2">
        <v>44975.738877314812</v>
      </c>
      <c r="C1080" s="1" t="s">
        <v>10</v>
      </c>
      <c r="D1080" s="1">
        <v>18</v>
      </c>
      <c r="F1080" s="59"/>
      <c r="G1080" s="32"/>
      <c r="H1080" s="32"/>
    </row>
    <row r="1081" spans="1:8" ht="15.75" customHeight="1">
      <c r="A1081" s="1">
        <v>17858</v>
      </c>
      <c r="B1081" s="2">
        <v>44975.72010416667</v>
      </c>
      <c r="C1081" s="1" t="s">
        <v>10</v>
      </c>
      <c r="D1081" s="1">
        <v>15</v>
      </c>
      <c r="F1081" s="59"/>
      <c r="G1081" s="32"/>
      <c r="H1081" s="32"/>
    </row>
    <row r="1082" spans="1:8" ht="15.75" customHeight="1">
      <c r="A1082" s="1">
        <v>17857</v>
      </c>
      <c r="B1082" s="2">
        <v>44975.719768518524</v>
      </c>
      <c r="C1082" s="1" t="s">
        <v>10</v>
      </c>
      <c r="D1082" s="1">
        <v>24</v>
      </c>
      <c r="F1082" s="59"/>
      <c r="G1082" s="32"/>
      <c r="H1082" s="32"/>
    </row>
    <row r="1083" spans="1:8" ht="15.75" customHeight="1">
      <c r="A1083" s="1">
        <v>17856</v>
      </c>
      <c r="B1083" s="2">
        <v>44975.716134259259</v>
      </c>
      <c r="C1083" s="1" t="s">
        <v>10</v>
      </c>
      <c r="D1083" s="1">
        <v>25</v>
      </c>
      <c r="F1083" s="59"/>
      <c r="G1083" s="32"/>
      <c r="H1083" s="32"/>
    </row>
    <row r="1084" spans="1:8" ht="15.75" customHeight="1">
      <c r="A1084" s="1">
        <v>17855</v>
      </c>
      <c r="B1084" s="2">
        <v>44975.712789351848</v>
      </c>
      <c r="C1084" s="1" t="s">
        <v>10</v>
      </c>
      <c r="D1084" s="1">
        <v>25</v>
      </c>
      <c r="F1084" s="59"/>
      <c r="G1084" s="32"/>
      <c r="H1084" s="32"/>
    </row>
    <row r="1085" spans="1:8" ht="15.75" customHeight="1">
      <c r="A1085" s="1">
        <v>17854</v>
      </c>
      <c r="B1085" s="2">
        <v>44975.712627314817</v>
      </c>
      <c r="C1085" s="1" t="s">
        <v>10</v>
      </c>
      <c r="D1085" s="1">
        <v>30</v>
      </c>
      <c r="F1085" s="59"/>
      <c r="G1085" s="32"/>
      <c r="H1085" s="32"/>
    </row>
    <row r="1086" spans="1:8" ht="15.75" customHeight="1">
      <c r="A1086" s="1">
        <v>17853</v>
      </c>
      <c r="B1086" s="2">
        <v>44975.710601851853</v>
      </c>
      <c r="C1086" s="1" t="s">
        <v>10</v>
      </c>
      <c r="D1086" s="1">
        <v>25</v>
      </c>
      <c r="F1086" s="59"/>
      <c r="G1086" s="32"/>
      <c r="H1086" s="32"/>
    </row>
    <row r="1087" spans="1:8" ht="15.75" customHeight="1">
      <c r="A1087" s="1">
        <v>17852</v>
      </c>
      <c r="B1087" s="2">
        <v>44975.708969907406</v>
      </c>
      <c r="C1087" s="1" t="s">
        <v>10</v>
      </c>
      <c r="D1087" s="1">
        <v>25</v>
      </c>
      <c r="F1087" s="59"/>
      <c r="G1087" s="32"/>
      <c r="H1087" s="32"/>
    </row>
    <row r="1088" spans="1:8" ht="15.75" customHeight="1">
      <c r="A1088" s="1">
        <v>17851</v>
      </c>
      <c r="B1088" s="2">
        <v>44975.696111111116</v>
      </c>
      <c r="C1088" s="1" t="s">
        <v>10</v>
      </c>
      <c r="D1088" s="1">
        <v>47</v>
      </c>
      <c r="F1088" s="59"/>
      <c r="G1088" s="32"/>
      <c r="H1088" s="32"/>
    </row>
    <row r="1089" spans="1:8" ht="15.75" customHeight="1">
      <c r="A1089" s="1">
        <v>17850</v>
      </c>
      <c r="B1089" s="2">
        <v>44975.683969907404</v>
      </c>
      <c r="C1089" s="1" t="s">
        <v>10</v>
      </c>
      <c r="D1089" s="1">
        <v>15</v>
      </c>
      <c r="F1089" s="59"/>
      <c r="G1089" s="32"/>
      <c r="H1089" s="32"/>
    </row>
    <row r="1090" spans="1:8" ht="15.75" customHeight="1">
      <c r="A1090" s="1">
        <v>17849</v>
      </c>
      <c r="B1090" s="2">
        <v>44975.679282407407</v>
      </c>
      <c r="C1090" s="1" t="s">
        <v>10</v>
      </c>
      <c r="D1090" s="1">
        <v>39</v>
      </c>
      <c r="F1090" s="59"/>
      <c r="G1090" s="32"/>
      <c r="H1090" s="32"/>
    </row>
    <row r="1091" spans="1:8" ht="15.75" customHeight="1">
      <c r="A1091" s="1">
        <v>17848</v>
      </c>
      <c r="B1091" s="2">
        <v>44975.672037037039</v>
      </c>
      <c r="C1091" s="1" t="s">
        <v>10</v>
      </c>
      <c r="D1091" s="1">
        <v>55</v>
      </c>
      <c r="F1091" s="59"/>
      <c r="G1091" s="32"/>
      <c r="H1091" s="32"/>
    </row>
    <row r="1092" spans="1:8" ht="15.75" customHeight="1">
      <c r="A1092" s="1">
        <v>17847</v>
      </c>
      <c r="B1092" s="2">
        <v>44975.670451388884</v>
      </c>
      <c r="C1092" s="1" t="s">
        <v>10</v>
      </c>
      <c r="D1092" s="1">
        <v>116</v>
      </c>
      <c r="F1092" s="59"/>
      <c r="G1092" s="32"/>
      <c r="H1092" s="32"/>
    </row>
    <row r="1093" spans="1:8" ht="15.75" customHeight="1">
      <c r="A1093" s="1">
        <v>17846</v>
      </c>
      <c r="B1093" s="2">
        <v>44975.662893518514</v>
      </c>
      <c r="C1093" s="1" t="s">
        <v>10</v>
      </c>
      <c r="D1093" s="1">
        <v>25</v>
      </c>
      <c r="F1093" s="59"/>
      <c r="G1093" s="32"/>
      <c r="H1093" s="32"/>
    </row>
    <row r="1094" spans="1:8" ht="15.75" customHeight="1">
      <c r="A1094" s="1">
        <v>17845</v>
      </c>
      <c r="B1094" s="2">
        <v>44975.661944444444</v>
      </c>
      <c r="C1094" s="1" t="s">
        <v>10</v>
      </c>
      <c r="D1094" s="1">
        <v>28</v>
      </c>
      <c r="F1094" s="59"/>
      <c r="G1094" s="32"/>
      <c r="H1094" s="32"/>
    </row>
    <row r="1095" spans="1:8" ht="15.75" customHeight="1">
      <c r="A1095" s="1">
        <v>17844</v>
      </c>
      <c r="B1095" s="2">
        <v>44975.65829861111</v>
      </c>
      <c r="C1095" s="1" t="s">
        <v>10</v>
      </c>
      <c r="D1095" s="1">
        <v>45</v>
      </c>
      <c r="F1095" s="59"/>
      <c r="G1095" s="32"/>
      <c r="H1095" s="32"/>
    </row>
    <row r="1096" spans="1:8" ht="15.75" customHeight="1">
      <c r="A1096" s="1">
        <v>17843</v>
      </c>
      <c r="B1096" s="2">
        <v>44975.652673611112</v>
      </c>
      <c r="C1096" s="1" t="s">
        <v>10</v>
      </c>
      <c r="D1096" s="1">
        <v>28</v>
      </c>
      <c r="F1096" s="59"/>
      <c r="G1096" s="32"/>
      <c r="H1096" s="32"/>
    </row>
    <row r="1097" spans="1:8" ht="15.75" customHeight="1">
      <c r="A1097" s="1">
        <v>17842</v>
      </c>
      <c r="B1097" s="2">
        <v>44975.651655092588</v>
      </c>
      <c r="C1097" s="1" t="s">
        <v>10</v>
      </c>
      <c r="D1097" s="1">
        <v>25</v>
      </c>
      <c r="F1097" s="59"/>
      <c r="G1097" s="32"/>
      <c r="H1097" s="32"/>
    </row>
    <row r="1098" spans="1:8" ht="15.75" customHeight="1">
      <c r="A1098" s="1">
        <v>17841</v>
      </c>
      <c r="B1098" s="2">
        <v>44975.650393518517</v>
      </c>
      <c r="C1098" s="1" t="s">
        <v>10</v>
      </c>
      <c r="D1098" s="1">
        <v>28</v>
      </c>
      <c r="F1098" s="59"/>
      <c r="G1098" s="32"/>
      <c r="H1098" s="32"/>
    </row>
    <row r="1099" spans="1:8" ht="15.75" customHeight="1">
      <c r="A1099" s="1">
        <v>17840</v>
      </c>
      <c r="B1099" s="2">
        <v>44975.647256944445</v>
      </c>
      <c r="C1099" s="1" t="s">
        <v>10</v>
      </c>
      <c r="D1099" s="1">
        <v>28</v>
      </c>
      <c r="F1099" s="59"/>
      <c r="G1099" s="32"/>
      <c r="H1099" s="32"/>
    </row>
    <row r="1100" spans="1:8" ht="15.75" customHeight="1">
      <c r="A1100" s="1">
        <v>17839</v>
      </c>
      <c r="B1100" s="2">
        <v>44975.646134259259</v>
      </c>
      <c r="C1100" s="1" t="s">
        <v>10</v>
      </c>
      <c r="D1100" s="1">
        <v>60</v>
      </c>
      <c r="F1100" s="59"/>
      <c r="G1100" s="32"/>
      <c r="H1100" s="32"/>
    </row>
    <row r="1101" spans="1:8" ht="15.75" customHeight="1">
      <c r="A1101" s="1">
        <v>17838</v>
      </c>
      <c r="B1101" s="2">
        <v>44975.628229166672</v>
      </c>
      <c r="C1101" s="1" t="s">
        <v>10</v>
      </c>
      <c r="D1101" s="1">
        <v>28</v>
      </c>
      <c r="F1101" s="59"/>
      <c r="G1101" s="32"/>
      <c r="H1101" s="32"/>
    </row>
    <row r="1102" spans="1:8" ht="15.75" customHeight="1">
      <c r="A1102" s="1">
        <v>17837</v>
      </c>
      <c r="B1102" s="2">
        <v>44975.62799768518</v>
      </c>
      <c r="C1102" s="1" t="s">
        <v>10</v>
      </c>
      <c r="D1102" s="1">
        <v>55</v>
      </c>
      <c r="F1102" s="59"/>
      <c r="G1102" s="32"/>
      <c r="H1102" s="32"/>
    </row>
    <row r="1103" spans="1:8" ht="15.75" customHeight="1">
      <c r="A1103" s="1">
        <v>17836</v>
      </c>
      <c r="B1103" s="2">
        <v>44975.61518518519</v>
      </c>
      <c r="C1103" s="1" t="s">
        <v>10</v>
      </c>
      <c r="D1103" s="1">
        <v>36</v>
      </c>
      <c r="F1103" s="59"/>
      <c r="G1103" s="32"/>
      <c r="H1103" s="32"/>
    </row>
    <row r="1104" spans="1:8" ht="15.75" customHeight="1">
      <c r="A1104" s="1">
        <v>17835</v>
      </c>
      <c r="B1104" s="2">
        <v>44975.611030092594</v>
      </c>
      <c r="C1104" s="1" t="s">
        <v>10</v>
      </c>
      <c r="D1104" s="1">
        <v>20</v>
      </c>
      <c r="F1104" s="59"/>
      <c r="G1104" s="32"/>
      <c r="H1104" s="32"/>
    </row>
    <row r="1105" spans="1:8" ht="15.75" customHeight="1">
      <c r="A1105" s="1">
        <v>17834</v>
      </c>
      <c r="B1105" s="2">
        <v>44975.609537037039</v>
      </c>
      <c r="C1105" s="1" t="s">
        <v>10</v>
      </c>
      <c r="D1105" s="1">
        <v>25</v>
      </c>
      <c r="F1105" s="59"/>
      <c r="G1105" s="32"/>
      <c r="H1105" s="32"/>
    </row>
    <row r="1106" spans="1:8" ht="15.75" customHeight="1">
      <c r="A1106" s="1">
        <v>17833</v>
      </c>
      <c r="B1106" s="2">
        <v>44975.607094907406</v>
      </c>
      <c r="C1106" s="1" t="s">
        <v>10</v>
      </c>
      <c r="D1106" s="1">
        <v>124</v>
      </c>
      <c r="F1106" s="59"/>
      <c r="G1106" s="32"/>
      <c r="H1106" s="32"/>
    </row>
    <row r="1107" spans="1:8" ht="15.75" customHeight="1">
      <c r="A1107" s="1">
        <v>17832</v>
      </c>
      <c r="B1107" s="2">
        <v>44975.597395833334</v>
      </c>
      <c r="C1107" s="1" t="s">
        <v>10</v>
      </c>
      <c r="D1107" s="1">
        <v>74</v>
      </c>
      <c r="F1107" s="59"/>
      <c r="G1107" s="32"/>
      <c r="H1107" s="32"/>
    </row>
    <row r="1108" spans="1:8" ht="15.75" customHeight="1">
      <c r="A1108" s="1">
        <v>17831</v>
      </c>
      <c r="B1108" s="2">
        <v>44975.595219907409</v>
      </c>
      <c r="C1108" s="1" t="s">
        <v>10</v>
      </c>
      <c r="D1108" s="1">
        <v>25</v>
      </c>
      <c r="F1108" s="59"/>
      <c r="G1108" s="32"/>
      <c r="H1108" s="32"/>
    </row>
    <row r="1109" spans="1:8" ht="15.75" customHeight="1">
      <c r="A1109" s="1">
        <v>17830</v>
      </c>
      <c r="B1109" s="2">
        <v>44975.595023148147</v>
      </c>
      <c r="C1109" s="1" t="s">
        <v>10</v>
      </c>
      <c r="D1109" s="1">
        <v>22</v>
      </c>
      <c r="F1109" s="59"/>
      <c r="G1109" s="32"/>
      <c r="H1109" s="32"/>
    </row>
    <row r="1110" spans="1:8" ht="15.75" customHeight="1">
      <c r="A1110" s="1">
        <v>17829</v>
      </c>
      <c r="B1110" s="2">
        <v>44975.592939814815</v>
      </c>
      <c r="C1110" s="1" t="s">
        <v>10</v>
      </c>
      <c r="D1110" s="1">
        <v>25</v>
      </c>
      <c r="F1110" s="59"/>
      <c r="G1110" s="32"/>
      <c r="H1110" s="32"/>
    </row>
    <row r="1111" spans="1:8" ht="15.75" customHeight="1">
      <c r="A1111" s="1">
        <v>17828</v>
      </c>
      <c r="B1111" s="2">
        <v>44975.589409722219</v>
      </c>
      <c r="C1111" s="1" t="s">
        <v>10</v>
      </c>
      <c r="D1111" s="1">
        <v>55</v>
      </c>
      <c r="F1111" s="59"/>
      <c r="G1111" s="32"/>
      <c r="H1111" s="32"/>
    </row>
    <row r="1112" spans="1:8" ht="15.75" customHeight="1">
      <c r="A1112" s="1">
        <v>17827</v>
      </c>
      <c r="B1112" s="2">
        <v>44975.585787037038</v>
      </c>
      <c r="C1112" s="1" t="s">
        <v>10</v>
      </c>
      <c r="D1112" s="1">
        <v>30</v>
      </c>
      <c r="F1112" s="59"/>
      <c r="G1112" s="32"/>
      <c r="H1112" s="32"/>
    </row>
    <row r="1113" spans="1:8" ht="15.75" customHeight="1">
      <c r="A1113" s="1">
        <v>17826</v>
      </c>
      <c r="B1113" s="2">
        <v>44975.580231481479</v>
      </c>
      <c r="C1113" s="1" t="s">
        <v>10</v>
      </c>
      <c r="D1113" s="1">
        <v>55</v>
      </c>
      <c r="F1113" s="59"/>
      <c r="G1113" s="32"/>
      <c r="H1113" s="32"/>
    </row>
    <row r="1114" spans="1:8" ht="15.75" customHeight="1">
      <c r="A1114" s="1">
        <v>17825</v>
      </c>
      <c r="B1114" s="2">
        <v>44975.575891203705</v>
      </c>
      <c r="C1114" s="1" t="s">
        <v>10</v>
      </c>
      <c r="D1114" s="1">
        <v>28</v>
      </c>
      <c r="F1114" s="59"/>
      <c r="G1114" s="32"/>
      <c r="H1114" s="32"/>
    </row>
    <row r="1115" spans="1:8" ht="15.75" customHeight="1">
      <c r="A1115" s="1">
        <v>17824</v>
      </c>
      <c r="B1115" s="2">
        <v>44975.557812500003</v>
      </c>
      <c r="C1115" s="1" t="s">
        <v>10</v>
      </c>
      <c r="D1115" s="1">
        <v>25</v>
      </c>
      <c r="F1115" s="59"/>
      <c r="G1115" s="32"/>
      <c r="H1115" s="32"/>
    </row>
    <row r="1116" spans="1:8" ht="15.75" customHeight="1">
      <c r="A1116" s="1">
        <v>17823</v>
      </c>
      <c r="B1116" s="2">
        <v>44975.539097222223</v>
      </c>
      <c r="C1116" s="1" t="s">
        <v>10</v>
      </c>
      <c r="D1116" s="1">
        <v>25</v>
      </c>
      <c r="F1116" s="59"/>
      <c r="G1116" s="32"/>
      <c r="H1116" s="32"/>
    </row>
    <row r="1117" spans="1:8" ht="15.75" customHeight="1">
      <c r="A1117" s="1">
        <v>17822</v>
      </c>
      <c r="B1117" s="2">
        <v>44975.537974537037</v>
      </c>
      <c r="C1117" s="1" t="s">
        <v>10</v>
      </c>
      <c r="D1117" s="1">
        <v>25</v>
      </c>
      <c r="F1117" s="59"/>
      <c r="G1117" s="32"/>
      <c r="H1117" s="32"/>
    </row>
    <row r="1118" spans="1:8" ht="15.75" customHeight="1">
      <c r="A1118" s="1">
        <v>17821</v>
      </c>
      <c r="B1118" s="2">
        <v>44975.526030092587</v>
      </c>
      <c r="C1118" s="1" t="s">
        <v>10</v>
      </c>
      <c r="D1118" s="1">
        <v>25</v>
      </c>
      <c r="F1118" s="59"/>
      <c r="G1118" s="32"/>
      <c r="H1118" s="32"/>
    </row>
    <row r="1119" spans="1:8" ht="15.75" customHeight="1">
      <c r="A1119" s="1">
        <v>17820</v>
      </c>
      <c r="B1119" s="2">
        <v>44975.157731481479</v>
      </c>
      <c r="C1119" s="1" t="s">
        <v>10</v>
      </c>
      <c r="D1119" s="1">
        <v>24</v>
      </c>
      <c r="F1119" s="59"/>
      <c r="G1119" s="32"/>
      <c r="H1119" s="32"/>
    </row>
    <row r="1120" spans="1:8" ht="15.75" customHeight="1">
      <c r="A1120" s="1">
        <v>17819</v>
      </c>
      <c r="B1120" s="2">
        <v>44975.103749999995</v>
      </c>
      <c r="C1120" s="1" t="s">
        <v>10</v>
      </c>
      <c r="D1120" s="1">
        <v>20</v>
      </c>
      <c r="F1120" s="59"/>
      <c r="G1120" s="32"/>
      <c r="H1120" s="32"/>
    </row>
    <row r="1121" spans="1:8" ht="15.75" customHeight="1">
      <c r="A1121" s="1">
        <v>17818</v>
      </c>
      <c r="B1121" s="2">
        <v>44975.079918981486</v>
      </c>
      <c r="C1121" s="1" t="s">
        <v>10</v>
      </c>
      <c r="D1121" s="1">
        <v>15</v>
      </c>
      <c r="F1121" s="59"/>
      <c r="G1121" s="32"/>
      <c r="H1121" s="32"/>
    </row>
    <row r="1122" spans="1:8" ht="15.75" customHeight="1">
      <c r="A1122" s="1">
        <v>17817</v>
      </c>
      <c r="B1122" s="2">
        <v>44975.078958333332</v>
      </c>
      <c r="C1122" s="1" t="s">
        <v>10</v>
      </c>
      <c r="D1122" s="1">
        <v>24</v>
      </c>
      <c r="F1122" s="59"/>
      <c r="G1122" s="32"/>
      <c r="H1122" s="32"/>
    </row>
    <row r="1123" spans="1:8" ht="15.75" customHeight="1">
      <c r="A1123" s="1">
        <v>17816</v>
      </c>
      <c r="B1123" s="2">
        <v>44975.074895833328</v>
      </c>
      <c r="C1123" s="1" t="s">
        <v>10</v>
      </c>
      <c r="D1123" s="1">
        <v>24</v>
      </c>
      <c r="F1123" s="59"/>
      <c r="G1123" s="32"/>
      <c r="H1123" s="32"/>
    </row>
    <row r="1124" spans="1:8" ht="15.75" customHeight="1">
      <c r="A1124" s="1">
        <v>17815</v>
      </c>
      <c r="B1124" s="2">
        <v>44975.071273148147</v>
      </c>
      <c r="C1124" s="1" t="s">
        <v>10</v>
      </c>
      <c r="D1124" s="1">
        <v>20</v>
      </c>
      <c r="F1124" s="59"/>
      <c r="G1124" s="32"/>
      <c r="H1124" s="32"/>
    </row>
    <row r="1125" spans="1:8" ht="15.75" customHeight="1">
      <c r="A1125" s="1">
        <v>17814</v>
      </c>
      <c r="B1125" s="2">
        <v>44975.070219907408</v>
      </c>
      <c r="C1125" s="1" t="s">
        <v>10</v>
      </c>
      <c r="D1125" s="1">
        <v>45</v>
      </c>
      <c r="F1125" s="59"/>
      <c r="G1125" s="32"/>
      <c r="H1125" s="32"/>
    </row>
    <row r="1126" spans="1:8" ht="15.75" customHeight="1">
      <c r="A1126" s="1">
        <v>17813</v>
      </c>
      <c r="B1126" s="2">
        <v>44975.069803240738</v>
      </c>
      <c r="C1126" s="1" t="s">
        <v>10</v>
      </c>
      <c r="D1126" s="1">
        <v>38</v>
      </c>
      <c r="F1126" s="59"/>
      <c r="G1126" s="32"/>
      <c r="H1126" s="32"/>
    </row>
    <row r="1127" spans="1:8" ht="15.75" customHeight="1">
      <c r="A1127" s="1">
        <v>17812</v>
      </c>
      <c r="B1127" s="2">
        <v>44975.065428240741</v>
      </c>
      <c r="C1127" s="1" t="s">
        <v>10</v>
      </c>
      <c r="D1127" s="1">
        <v>45</v>
      </c>
      <c r="F1127" s="59"/>
      <c r="G1127" s="32"/>
      <c r="H1127" s="32"/>
    </row>
    <row r="1128" spans="1:8" ht="15.75" customHeight="1">
      <c r="A1128" s="1">
        <v>17811</v>
      </c>
      <c r="B1128" s="2">
        <v>44975.065011574072</v>
      </c>
      <c r="C1128" s="1" t="s">
        <v>10</v>
      </c>
      <c r="D1128" s="1">
        <v>40</v>
      </c>
      <c r="F1128" s="59"/>
      <c r="G1128" s="32"/>
      <c r="H1128" s="32"/>
    </row>
    <row r="1129" spans="1:8" ht="15.75" customHeight="1">
      <c r="A1129" s="1">
        <v>17810</v>
      </c>
      <c r="B1129" s="2">
        <v>44975.061053240745</v>
      </c>
      <c r="C1129" s="1" t="s">
        <v>10</v>
      </c>
      <c r="D1129" s="1">
        <v>22</v>
      </c>
      <c r="F1129" s="59"/>
      <c r="G1129" s="32"/>
      <c r="H1129" s="32"/>
    </row>
    <row r="1130" spans="1:8" ht="15.75" customHeight="1">
      <c r="A1130" s="1">
        <v>17809</v>
      </c>
      <c r="B1130" s="2">
        <v>44975.059525462959</v>
      </c>
      <c r="C1130" s="1" t="s">
        <v>10</v>
      </c>
      <c r="D1130" s="1">
        <v>22</v>
      </c>
      <c r="F1130" s="59"/>
      <c r="G1130" s="32"/>
      <c r="H1130" s="32"/>
    </row>
    <row r="1131" spans="1:8" ht="15.75" customHeight="1">
      <c r="A1131" s="1">
        <v>17808</v>
      </c>
      <c r="B1131" s="2">
        <v>44975.052557870367</v>
      </c>
      <c r="C1131" s="1" t="s">
        <v>10</v>
      </c>
      <c r="D1131" s="1">
        <v>15</v>
      </c>
      <c r="F1131" s="59"/>
      <c r="G1131" s="32"/>
      <c r="H1131" s="32"/>
    </row>
    <row r="1132" spans="1:8" ht="15.75" customHeight="1">
      <c r="A1132" s="1">
        <v>17807</v>
      </c>
      <c r="B1132" s="2">
        <v>44975.05097222222</v>
      </c>
      <c r="C1132" s="1" t="s">
        <v>10</v>
      </c>
      <c r="D1132" s="1">
        <v>25</v>
      </c>
      <c r="F1132" s="59"/>
      <c r="G1132" s="32"/>
      <c r="H1132" s="32"/>
    </row>
    <row r="1133" spans="1:8" ht="15.75" customHeight="1">
      <c r="A1133" s="1">
        <v>17806</v>
      </c>
      <c r="B1133" s="2">
        <v>44975.049675925926</v>
      </c>
      <c r="C1133" s="1" t="s">
        <v>10</v>
      </c>
      <c r="D1133" s="1">
        <v>15</v>
      </c>
      <c r="F1133" s="59"/>
      <c r="G1133" s="32"/>
      <c r="H1133" s="32"/>
    </row>
    <row r="1134" spans="1:8" ht="15.75" customHeight="1">
      <c r="A1134" s="1">
        <v>17805</v>
      </c>
      <c r="B1134" s="2">
        <v>44975.045474537037</v>
      </c>
      <c r="C1134" s="1" t="s">
        <v>10</v>
      </c>
      <c r="D1134" s="1">
        <v>35</v>
      </c>
      <c r="F1134" s="59"/>
      <c r="G1134" s="32"/>
      <c r="H1134" s="32"/>
    </row>
    <row r="1135" spans="1:8" ht="15.75" customHeight="1">
      <c r="A1135" s="1">
        <v>17804</v>
      </c>
      <c r="B1135" s="2">
        <v>44975.044837962967</v>
      </c>
      <c r="C1135" s="1" t="s">
        <v>10</v>
      </c>
      <c r="D1135" s="1">
        <v>24</v>
      </c>
      <c r="F1135" s="59"/>
      <c r="G1135" s="32"/>
      <c r="H1135" s="32"/>
    </row>
    <row r="1136" spans="1:8" ht="15.75" customHeight="1">
      <c r="A1136" s="1">
        <v>17803</v>
      </c>
      <c r="B1136" s="2">
        <v>44975.042453703703</v>
      </c>
      <c r="C1136" s="1" t="s">
        <v>10</v>
      </c>
      <c r="D1136" s="1">
        <v>35</v>
      </c>
      <c r="F1136" s="59"/>
      <c r="G1136" s="32"/>
      <c r="H1136" s="32"/>
    </row>
    <row r="1137" spans="1:8" ht="15.75" customHeight="1">
      <c r="A1137" s="1">
        <v>17802</v>
      </c>
      <c r="B1137" s="2">
        <v>44975.037986111114</v>
      </c>
      <c r="C1137" s="1" t="s">
        <v>10</v>
      </c>
      <c r="D1137" s="1">
        <v>55</v>
      </c>
      <c r="F1137" s="59"/>
      <c r="G1137" s="32"/>
      <c r="H1137" s="32"/>
    </row>
    <row r="1138" spans="1:8" ht="15.75" customHeight="1">
      <c r="A1138" s="1">
        <v>17801</v>
      </c>
      <c r="B1138" s="2">
        <v>44975.03434027778</v>
      </c>
      <c r="C1138" s="1" t="s">
        <v>10</v>
      </c>
      <c r="D1138" s="1">
        <v>35</v>
      </c>
      <c r="F1138" s="59"/>
      <c r="G1138" s="32"/>
      <c r="H1138" s="32"/>
    </row>
    <row r="1139" spans="1:8" ht="15.75" customHeight="1">
      <c r="A1139" s="1">
        <v>17800</v>
      </c>
      <c r="B1139" s="2">
        <v>44975.028148148151</v>
      </c>
      <c r="C1139" s="1" t="s">
        <v>10</v>
      </c>
      <c r="D1139" s="1">
        <v>124</v>
      </c>
      <c r="F1139" s="59"/>
      <c r="G1139" s="32"/>
      <c r="H1139" s="32"/>
    </row>
    <row r="1140" spans="1:8" ht="15.75" customHeight="1">
      <c r="A1140" s="1">
        <v>17799</v>
      </c>
      <c r="B1140" s="2">
        <v>44975.010636574079</v>
      </c>
      <c r="C1140" s="1" t="s">
        <v>10</v>
      </c>
      <c r="D1140" s="1">
        <v>25</v>
      </c>
      <c r="F1140" s="59"/>
      <c r="G1140" s="32"/>
      <c r="H1140" s="32"/>
    </row>
    <row r="1141" spans="1:8" ht="15.75" customHeight="1">
      <c r="A1141" s="1">
        <v>17798</v>
      </c>
      <c r="B1141" s="2">
        <v>44975.00990740741</v>
      </c>
      <c r="C1141" s="1" t="s">
        <v>10</v>
      </c>
      <c r="D1141" s="1">
        <v>24</v>
      </c>
      <c r="F1141" s="59"/>
      <c r="G1141" s="32"/>
      <c r="H1141" s="32"/>
    </row>
    <row r="1142" spans="1:8" ht="15.75" customHeight="1">
      <c r="A1142" s="1">
        <v>17797</v>
      </c>
      <c r="B1142" s="2">
        <v>44975.009340277778</v>
      </c>
      <c r="C1142" s="1" t="s">
        <v>10</v>
      </c>
      <c r="D1142" s="1">
        <v>25</v>
      </c>
      <c r="F1142" s="59"/>
      <c r="G1142" s="32"/>
      <c r="H1142" s="32"/>
    </row>
    <row r="1143" spans="1:8" ht="15.75" customHeight="1">
      <c r="A1143" s="1">
        <v>17796</v>
      </c>
      <c r="B1143" s="2">
        <v>44975.005740740744</v>
      </c>
      <c r="C1143" s="1" t="s">
        <v>10</v>
      </c>
      <c r="D1143" s="1">
        <v>100</v>
      </c>
      <c r="F1143" s="59"/>
      <c r="G1143" s="32"/>
      <c r="H1143" s="32"/>
    </row>
    <row r="1144" spans="1:8" ht="15.75" customHeight="1">
      <c r="A1144" s="1">
        <v>17795</v>
      </c>
      <c r="B1144" s="2">
        <v>44974.989710648151</v>
      </c>
      <c r="C1144" s="1" t="s">
        <v>10</v>
      </c>
      <c r="D1144" s="1">
        <v>110</v>
      </c>
      <c r="F1144" s="59"/>
      <c r="G1144" s="32"/>
      <c r="H1144" s="32"/>
    </row>
    <row r="1145" spans="1:8" ht="15.75" customHeight="1">
      <c r="A1145" s="1">
        <v>17794</v>
      </c>
      <c r="B1145" s="2">
        <v>44974.98836805555</v>
      </c>
      <c r="C1145" s="1" t="s">
        <v>10</v>
      </c>
      <c r="D1145" s="1">
        <v>43</v>
      </c>
      <c r="F1145" s="59"/>
      <c r="G1145" s="32"/>
      <c r="H1145" s="32"/>
    </row>
    <row r="1146" spans="1:8" ht="15.75" customHeight="1">
      <c r="A1146" s="1">
        <v>17793</v>
      </c>
      <c r="B1146" s="2">
        <v>44974.981076388889</v>
      </c>
      <c r="C1146" s="1" t="s">
        <v>10</v>
      </c>
      <c r="D1146" s="1">
        <v>25</v>
      </c>
      <c r="F1146" s="59"/>
      <c r="G1146" s="32"/>
      <c r="H1146" s="32"/>
    </row>
    <row r="1147" spans="1:8" ht="15.75" customHeight="1">
      <c r="A1147" s="1">
        <v>17792</v>
      </c>
      <c r="B1147" s="2">
        <v>44974.977800925924</v>
      </c>
      <c r="C1147" s="1" t="s">
        <v>10</v>
      </c>
      <c r="D1147" s="1">
        <v>25</v>
      </c>
      <c r="F1147" s="59"/>
      <c r="G1147" s="32"/>
      <c r="H1147" s="32"/>
    </row>
    <row r="1148" spans="1:8" ht="15.75" customHeight="1">
      <c r="A1148" s="1">
        <v>17791</v>
      </c>
      <c r="B1148" s="2">
        <v>44974.973078703704</v>
      </c>
      <c r="C1148" s="1" t="s">
        <v>10</v>
      </c>
      <c r="D1148" s="1">
        <v>25</v>
      </c>
      <c r="F1148" s="59"/>
      <c r="G1148" s="32"/>
      <c r="H1148" s="32"/>
    </row>
    <row r="1149" spans="1:8" ht="15.75" customHeight="1">
      <c r="A1149" s="1">
        <v>17790</v>
      </c>
      <c r="B1149" s="2">
        <v>44974.97075231481</v>
      </c>
      <c r="C1149" s="1" t="s">
        <v>10</v>
      </c>
      <c r="D1149" s="1">
        <v>25</v>
      </c>
      <c r="F1149" s="59"/>
      <c r="G1149" s="32"/>
      <c r="H1149" s="32"/>
    </row>
    <row r="1150" spans="1:8" ht="15.75" customHeight="1">
      <c r="A1150" s="1">
        <v>17789</v>
      </c>
      <c r="B1150" s="2">
        <v>44974.970486111109</v>
      </c>
      <c r="C1150" s="1" t="s">
        <v>10</v>
      </c>
      <c r="D1150" s="1">
        <v>15</v>
      </c>
      <c r="F1150" s="59"/>
      <c r="G1150" s="32"/>
      <c r="H1150" s="32"/>
    </row>
    <row r="1151" spans="1:8" ht="15.75" customHeight="1">
      <c r="A1151" s="1">
        <v>17788</v>
      </c>
      <c r="B1151" s="2">
        <v>44974.97042824074</v>
      </c>
      <c r="C1151" s="1" t="s">
        <v>10</v>
      </c>
      <c r="D1151" s="1">
        <v>24</v>
      </c>
      <c r="F1151" s="59"/>
      <c r="G1151" s="32"/>
      <c r="H1151" s="32"/>
    </row>
    <row r="1152" spans="1:8" ht="15.75" customHeight="1">
      <c r="A1152" s="1">
        <v>17787</v>
      </c>
      <c r="B1152" s="2">
        <v>44974.968541666662</v>
      </c>
      <c r="C1152" s="1" t="s">
        <v>10</v>
      </c>
      <c r="D1152" s="1">
        <v>24</v>
      </c>
      <c r="F1152" s="59"/>
      <c r="G1152" s="32"/>
      <c r="H1152" s="32"/>
    </row>
    <row r="1153" spans="1:8" ht="15.75" customHeight="1">
      <c r="A1153" s="1">
        <v>17786</v>
      </c>
      <c r="B1153" s="2">
        <v>44974.967418981483</v>
      </c>
      <c r="C1153" s="1" t="s">
        <v>10</v>
      </c>
      <c r="D1153" s="1">
        <v>24</v>
      </c>
      <c r="F1153" s="59"/>
      <c r="G1153" s="32"/>
      <c r="H1153" s="32"/>
    </row>
    <row r="1154" spans="1:8" ht="15.75" customHeight="1">
      <c r="A1154" s="1">
        <v>17785</v>
      </c>
      <c r="B1154" s="2">
        <v>44974.9612962963</v>
      </c>
      <c r="C1154" s="1" t="s">
        <v>10</v>
      </c>
      <c r="D1154" s="1">
        <v>24</v>
      </c>
      <c r="F1154" s="59"/>
      <c r="G1154" s="32"/>
      <c r="H1154" s="32"/>
    </row>
    <row r="1155" spans="1:8" ht="15.75" customHeight="1">
      <c r="A1155" s="1">
        <v>17784</v>
      </c>
      <c r="B1155" s="2">
        <v>44974.923321759255</v>
      </c>
      <c r="C1155" s="1" t="s">
        <v>10</v>
      </c>
      <c r="D1155" s="1">
        <v>39</v>
      </c>
      <c r="F1155" s="59"/>
      <c r="G1155" s="32"/>
      <c r="H1155" s="32"/>
    </row>
    <row r="1156" spans="1:8" ht="15.75" customHeight="1">
      <c r="A1156" s="1">
        <v>17783</v>
      </c>
      <c r="B1156" s="2">
        <v>44974.871388888889</v>
      </c>
      <c r="C1156" s="1" t="s">
        <v>10</v>
      </c>
      <c r="D1156" s="1">
        <v>55</v>
      </c>
      <c r="F1156" s="59"/>
      <c r="G1156" s="32"/>
      <c r="H1156" s="32"/>
    </row>
    <row r="1157" spans="1:8" ht="15.75" customHeight="1">
      <c r="A1157" s="1">
        <v>17782</v>
      </c>
      <c r="B1157" s="2">
        <v>44974.866678240738</v>
      </c>
      <c r="C1157" s="1" t="s">
        <v>10</v>
      </c>
      <c r="D1157" s="1">
        <v>25</v>
      </c>
      <c r="F1157" s="59"/>
      <c r="G1157" s="32"/>
      <c r="H1157" s="32"/>
    </row>
    <row r="1158" spans="1:8" ht="15.75" customHeight="1">
      <c r="A1158" s="1">
        <v>17781</v>
      </c>
      <c r="B1158" s="2">
        <v>44974.863541666666</v>
      </c>
      <c r="C1158" s="1" t="s">
        <v>10</v>
      </c>
      <c r="D1158" s="1">
        <v>25</v>
      </c>
      <c r="F1158" s="59"/>
      <c r="G1158" s="32"/>
      <c r="H1158" s="32"/>
    </row>
    <row r="1159" spans="1:8" ht="15.75" customHeight="1">
      <c r="A1159" s="1">
        <v>17780</v>
      </c>
      <c r="B1159" s="2">
        <v>44974.861840277779</v>
      </c>
      <c r="C1159" s="1" t="s">
        <v>10</v>
      </c>
      <c r="D1159" s="1">
        <v>55</v>
      </c>
      <c r="F1159" s="59"/>
      <c r="G1159" s="32"/>
      <c r="H1159" s="32"/>
    </row>
    <row r="1160" spans="1:8" ht="15.75" customHeight="1">
      <c r="A1160" s="1">
        <v>17779</v>
      </c>
      <c r="B1160" s="2">
        <v>44974.856261574074</v>
      </c>
      <c r="C1160" s="1" t="s">
        <v>18</v>
      </c>
      <c r="D1160" s="1">
        <v>55</v>
      </c>
      <c r="F1160" s="59"/>
      <c r="G1160" s="32"/>
      <c r="H1160" s="32"/>
    </row>
    <row r="1161" spans="1:8" ht="15.75" customHeight="1">
      <c r="A1161" s="1">
        <v>17778</v>
      </c>
      <c r="B1161" s="2">
        <v>44974.793854166666</v>
      </c>
      <c r="C1161" s="1" t="s">
        <v>10</v>
      </c>
      <c r="D1161" s="1">
        <v>35</v>
      </c>
      <c r="F1161" s="59"/>
      <c r="G1161" s="32"/>
      <c r="H1161" s="32"/>
    </row>
    <row r="1162" spans="1:8" ht="15.75" customHeight="1">
      <c r="A1162" s="1">
        <v>17777</v>
      </c>
      <c r="B1162" s="2">
        <v>44974.782118055555</v>
      </c>
      <c r="C1162" s="1" t="s">
        <v>10</v>
      </c>
      <c r="D1162" s="1">
        <v>80</v>
      </c>
      <c r="F1162" s="59"/>
      <c r="G1162" s="32"/>
      <c r="H1162" s="32"/>
    </row>
    <row r="1163" spans="1:8" ht="15.75" customHeight="1">
      <c r="A1163" s="1">
        <v>17776</v>
      </c>
      <c r="B1163" s="2">
        <v>44974.780266203699</v>
      </c>
      <c r="C1163" s="1" t="s">
        <v>10</v>
      </c>
      <c r="D1163" s="1">
        <v>67</v>
      </c>
      <c r="F1163" s="59"/>
      <c r="G1163" s="32"/>
      <c r="H1163" s="32"/>
    </row>
    <row r="1164" spans="1:8" ht="15.75" customHeight="1">
      <c r="A1164" s="1">
        <v>17775</v>
      </c>
      <c r="B1164" s="2">
        <v>44974.52039351852</v>
      </c>
      <c r="C1164" s="1" t="s">
        <v>10</v>
      </c>
      <c r="D1164" s="1">
        <v>15</v>
      </c>
      <c r="F1164" s="59"/>
      <c r="G1164" s="32"/>
      <c r="H1164" s="32"/>
    </row>
    <row r="1165" spans="1:8" ht="15.75" customHeight="1">
      <c r="A1165" s="1">
        <v>17774</v>
      </c>
      <c r="B1165" s="2">
        <v>44974.467835648145</v>
      </c>
      <c r="C1165" s="1" t="s">
        <v>10</v>
      </c>
      <c r="D1165" s="1">
        <v>60</v>
      </c>
      <c r="F1165" s="59"/>
      <c r="G1165" s="32"/>
      <c r="H1165" s="32"/>
    </row>
    <row r="1166" spans="1:8" ht="15.75" customHeight="1">
      <c r="A1166" s="1">
        <v>17773</v>
      </c>
      <c r="B1166" s="2">
        <v>44974.433935185181</v>
      </c>
      <c r="C1166" s="1" t="s">
        <v>10</v>
      </c>
      <c r="D1166" s="1">
        <v>25</v>
      </c>
      <c r="F1166" s="59"/>
      <c r="G1166" s="32"/>
      <c r="H1166" s="32"/>
    </row>
    <row r="1167" spans="1:8" ht="15.75" customHeight="1">
      <c r="A1167" s="1">
        <v>17772</v>
      </c>
      <c r="B1167" s="2">
        <v>44974.261678240742</v>
      </c>
      <c r="C1167" s="1" t="s">
        <v>10</v>
      </c>
      <c r="D1167" s="1">
        <v>25</v>
      </c>
      <c r="F1167" s="59"/>
      <c r="G1167" s="32"/>
      <c r="H1167" s="32"/>
    </row>
    <row r="1168" spans="1:8" ht="15.75" customHeight="1">
      <c r="A1168" s="1">
        <v>17771</v>
      </c>
      <c r="B1168" s="2">
        <v>44974.257719907408</v>
      </c>
      <c r="C1168" s="1" t="s">
        <v>10</v>
      </c>
      <c r="D1168" s="1">
        <v>25</v>
      </c>
      <c r="F1168" s="59"/>
      <c r="G1168" s="32"/>
      <c r="H1168" s="32"/>
    </row>
    <row r="1169" spans="1:8" ht="15.75" customHeight="1">
      <c r="A1169" s="1">
        <v>17770</v>
      </c>
      <c r="B1169" s="2">
        <v>44974.071921296301</v>
      </c>
      <c r="C1169" s="1" t="s">
        <v>10</v>
      </c>
      <c r="D1169" s="1">
        <v>55</v>
      </c>
      <c r="F1169" s="59"/>
      <c r="G1169" s="32"/>
      <c r="H1169" s="32"/>
    </row>
    <row r="1170" spans="1:8" ht="15.75" customHeight="1">
      <c r="A1170" s="1">
        <v>17769</v>
      </c>
      <c r="B1170" s="2">
        <v>44974.067881944444</v>
      </c>
      <c r="C1170" s="1" t="s">
        <v>10</v>
      </c>
      <c r="D1170" s="1">
        <v>22</v>
      </c>
      <c r="F1170" s="59"/>
      <c r="G1170" s="32"/>
      <c r="H1170" s="32"/>
    </row>
    <row r="1171" spans="1:8" ht="15.75" customHeight="1">
      <c r="A1171" s="1">
        <v>17768</v>
      </c>
      <c r="B1171" s="2">
        <v>44974.065995370373</v>
      </c>
      <c r="C1171" s="1" t="s">
        <v>10</v>
      </c>
      <c r="D1171" s="1">
        <v>15</v>
      </c>
      <c r="F1171" s="59"/>
      <c r="G1171" s="32"/>
      <c r="H1171" s="32"/>
    </row>
    <row r="1172" spans="1:8" ht="15.75" customHeight="1">
      <c r="A1172" s="1">
        <v>17767</v>
      </c>
      <c r="B1172" s="2">
        <v>44974.065532407403</v>
      </c>
      <c r="C1172" s="1" t="s">
        <v>10</v>
      </c>
      <c r="D1172" s="1">
        <v>22</v>
      </c>
      <c r="F1172" s="59"/>
      <c r="G1172" s="32"/>
      <c r="H1172" s="32"/>
    </row>
    <row r="1173" spans="1:8" ht="15.75" customHeight="1">
      <c r="A1173" s="1">
        <v>17766</v>
      </c>
      <c r="B1173" s="2">
        <v>44974.057303240741</v>
      </c>
      <c r="C1173" s="1" t="s">
        <v>10</v>
      </c>
      <c r="D1173" s="1">
        <v>28</v>
      </c>
      <c r="F1173" s="59"/>
      <c r="G1173" s="32"/>
      <c r="H1173" s="32"/>
    </row>
    <row r="1174" spans="1:8" ht="15.75" customHeight="1">
      <c r="A1174" s="1">
        <v>17765</v>
      </c>
      <c r="B1174" s="2">
        <v>44974.056516203702</v>
      </c>
      <c r="C1174" s="1" t="s">
        <v>10</v>
      </c>
      <c r="D1174" s="1">
        <v>15</v>
      </c>
      <c r="F1174" s="59"/>
      <c r="G1174" s="32"/>
      <c r="H1174" s="32"/>
    </row>
    <row r="1175" spans="1:8" ht="15.75" customHeight="1">
      <c r="A1175" s="1">
        <v>17764</v>
      </c>
      <c r="B1175" s="2">
        <v>44974.053645833337</v>
      </c>
      <c r="C1175" s="1" t="s">
        <v>10</v>
      </c>
      <c r="D1175" s="1">
        <v>40</v>
      </c>
      <c r="F1175" s="59"/>
      <c r="G1175" s="32"/>
      <c r="H1175" s="32"/>
    </row>
    <row r="1176" spans="1:8" ht="15.75" customHeight="1">
      <c r="A1176" s="1">
        <v>17763</v>
      </c>
      <c r="B1176" s="2">
        <v>44974.043657407412</v>
      </c>
      <c r="C1176" s="1" t="s">
        <v>10</v>
      </c>
      <c r="D1176" s="1">
        <v>42</v>
      </c>
      <c r="F1176" s="59"/>
      <c r="G1176" s="32"/>
      <c r="H1176" s="32"/>
    </row>
    <row r="1177" spans="1:8" ht="15.75" customHeight="1">
      <c r="A1177" s="1">
        <v>17762</v>
      </c>
      <c r="B1177" s="2">
        <v>44974.042858796296</v>
      </c>
      <c r="C1177" s="1" t="s">
        <v>10</v>
      </c>
      <c r="D1177" s="1">
        <v>0</v>
      </c>
      <c r="F1177" s="59"/>
      <c r="G1177" s="32"/>
      <c r="H1177" s="32"/>
    </row>
    <row r="1178" spans="1:8" ht="15.75" customHeight="1">
      <c r="A1178" s="1">
        <v>17761</v>
      </c>
      <c r="B1178" s="2">
        <v>44974.041168981479</v>
      </c>
      <c r="C1178" s="1" t="s">
        <v>10</v>
      </c>
      <c r="D1178" s="1">
        <v>28</v>
      </c>
      <c r="F1178" s="59"/>
      <c r="G1178" s="32"/>
      <c r="H1178" s="32"/>
    </row>
    <row r="1179" spans="1:8" ht="15.75" customHeight="1">
      <c r="A1179" s="1">
        <v>17760</v>
      </c>
      <c r="B1179" s="2">
        <v>44974.016238425931</v>
      </c>
      <c r="C1179" s="1" t="s">
        <v>10</v>
      </c>
      <c r="D1179" s="1">
        <v>55</v>
      </c>
      <c r="F1179" s="59"/>
      <c r="G1179" s="32"/>
      <c r="H1179" s="32"/>
    </row>
    <row r="1180" spans="1:8" ht="15.75" customHeight="1">
      <c r="A1180" s="1">
        <v>17759</v>
      </c>
      <c r="B1180" s="2">
        <v>44974.013784722221</v>
      </c>
      <c r="C1180" s="1" t="s">
        <v>10</v>
      </c>
      <c r="D1180" s="1">
        <v>25</v>
      </c>
      <c r="F1180" s="59"/>
      <c r="G1180" s="32"/>
      <c r="H1180" s="32"/>
    </row>
    <row r="1181" spans="1:8" ht="15.75" customHeight="1">
      <c r="A1181" s="1">
        <v>17758</v>
      </c>
      <c r="B1181" s="2">
        <v>44974.008530092593</v>
      </c>
      <c r="C1181" s="1" t="s">
        <v>10</v>
      </c>
      <c r="D1181" s="1">
        <v>25</v>
      </c>
      <c r="F1181" s="59"/>
      <c r="G1181" s="32"/>
      <c r="H1181" s="32"/>
    </row>
    <row r="1182" spans="1:8" ht="15.75" customHeight="1">
      <c r="A1182" s="1">
        <v>17757</v>
      </c>
      <c r="B1182" s="2">
        <v>44974.005127314813</v>
      </c>
      <c r="C1182" s="1" t="s">
        <v>10</v>
      </c>
      <c r="D1182" s="1">
        <v>55</v>
      </c>
      <c r="F1182" s="59"/>
      <c r="G1182" s="32"/>
      <c r="H1182" s="32"/>
    </row>
    <row r="1183" spans="1:8" ht="15.75" customHeight="1">
      <c r="A1183" s="1">
        <v>17756</v>
      </c>
      <c r="B1183" s="2">
        <v>44974.002199074079</v>
      </c>
      <c r="C1183" s="1" t="s">
        <v>10</v>
      </c>
      <c r="D1183" s="1">
        <v>28</v>
      </c>
      <c r="F1183" s="59"/>
      <c r="G1183" s="32"/>
      <c r="H1183" s="32"/>
    </row>
    <row r="1184" spans="1:8" ht="15.75" customHeight="1">
      <c r="A1184" s="1">
        <v>17755</v>
      </c>
      <c r="B1184" s="2">
        <v>44973.982638888891</v>
      </c>
      <c r="C1184" s="1" t="s">
        <v>10</v>
      </c>
      <c r="D1184" s="1">
        <v>83</v>
      </c>
      <c r="F1184" s="59"/>
      <c r="G1184" s="32"/>
      <c r="H1184" s="32"/>
    </row>
    <row r="1185" spans="1:8" ht="15.75" customHeight="1">
      <c r="A1185" s="1">
        <v>17754</v>
      </c>
      <c r="B1185" s="2">
        <v>44973.982245370367</v>
      </c>
      <c r="C1185" s="1" t="s">
        <v>10</v>
      </c>
      <c r="D1185" s="1">
        <v>55</v>
      </c>
      <c r="F1185" s="59"/>
      <c r="G1185" s="32"/>
      <c r="H1185" s="32"/>
    </row>
    <row r="1186" spans="1:8" ht="15.75" customHeight="1">
      <c r="A1186" s="1">
        <v>17753</v>
      </c>
      <c r="B1186" s="2">
        <v>44973.965787037036</v>
      </c>
      <c r="C1186" s="1" t="s">
        <v>10</v>
      </c>
      <c r="D1186" s="1">
        <v>39</v>
      </c>
      <c r="F1186" s="59"/>
      <c r="G1186" s="32"/>
      <c r="H1186" s="32"/>
    </row>
    <row r="1187" spans="1:8" ht="15.75" customHeight="1">
      <c r="A1187" s="1">
        <v>17752</v>
      </c>
      <c r="B1187" s="2">
        <v>44973.960324074069</v>
      </c>
      <c r="C1187" s="1" t="s">
        <v>10</v>
      </c>
      <c r="D1187" s="1">
        <v>35</v>
      </c>
      <c r="F1187" s="59"/>
      <c r="G1187" s="32"/>
      <c r="H1187" s="32"/>
    </row>
    <row r="1188" spans="1:8" ht="15.75" customHeight="1">
      <c r="A1188" s="1">
        <v>17751</v>
      </c>
      <c r="B1188" s="2">
        <v>44973.93450231482</v>
      </c>
      <c r="C1188" s="1" t="s">
        <v>10</v>
      </c>
      <c r="D1188" s="1">
        <v>43</v>
      </c>
      <c r="F1188" s="59"/>
      <c r="G1188" s="32"/>
      <c r="H1188" s="32"/>
    </row>
    <row r="1189" spans="1:8" ht="15.75" customHeight="1">
      <c r="A1189" s="1">
        <v>17750</v>
      </c>
      <c r="B1189" s="2">
        <v>44973.929490740746</v>
      </c>
      <c r="C1189" s="1" t="s">
        <v>10</v>
      </c>
      <c r="D1189" s="1">
        <v>55</v>
      </c>
      <c r="F1189" s="59"/>
      <c r="G1189" s="32"/>
      <c r="H1189" s="32"/>
    </row>
    <row r="1190" spans="1:8" ht="15.75" customHeight="1">
      <c r="A1190" s="1">
        <v>17749</v>
      </c>
      <c r="B1190" s="2">
        <v>44973.913576388892</v>
      </c>
      <c r="C1190" s="1" t="s">
        <v>10</v>
      </c>
      <c r="D1190" s="1">
        <v>25</v>
      </c>
      <c r="F1190" s="59"/>
      <c r="G1190" s="32"/>
      <c r="H1190" s="32"/>
    </row>
    <row r="1191" spans="1:8" ht="15.75" customHeight="1">
      <c r="A1191" s="1">
        <v>17748</v>
      </c>
      <c r="B1191" s="2">
        <v>44973.898726851854</v>
      </c>
      <c r="C1191" s="1" t="s">
        <v>10</v>
      </c>
      <c r="D1191" s="1">
        <v>25</v>
      </c>
      <c r="F1191" s="59"/>
      <c r="G1191" s="32"/>
      <c r="H1191" s="32"/>
    </row>
    <row r="1192" spans="1:8" ht="15.75" customHeight="1">
      <c r="A1192" s="1">
        <v>17747</v>
      </c>
      <c r="B1192" s="2">
        <v>44973.803067129629</v>
      </c>
      <c r="C1192" s="1" t="s">
        <v>10</v>
      </c>
      <c r="D1192" s="1">
        <v>18</v>
      </c>
      <c r="F1192" s="59"/>
      <c r="G1192" s="32"/>
      <c r="H1192" s="32"/>
    </row>
    <row r="1193" spans="1:8" ht="15.75" customHeight="1">
      <c r="A1193" s="1">
        <v>17746</v>
      </c>
      <c r="B1193" s="2">
        <v>44973.79987268518</v>
      </c>
      <c r="C1193" s="1" t="s">
        <v>10</v>
      </c>
      <c r="D1193" s="1">
        <v>22</v>
      </c>
      <c r="F1193" s="59"/>
      <c r="G1193" s="32"/>
      <c r="H1193" s="32"/>
    </row>
    <row r="1194" spans="1:8" ht="15.75" customHeight="1">
      <c r="A1194" s="1">
        <v>17745</v>
      </c>
      <c r="B1194" s="2">
        <v>44973.796307870369</v>
      </c>
      <c r="C1194" s="1" t="s">
        <v>10</v>
      </c>
      <c r="D1194" s="1">
        <v>42</v>
      </c>
      <c r="F1194" s="59"/>
      <c r="G1194" s="32"/>
      <c r="H1194" s="32"/>
    </row>
    <row r="1195" spans="1:8" ht="15.75" customHeight="1">
      <c r="A1195" s="1">
        <v>17744</v>
      </c>
      <c r="B1195" s="2">
        <v>44973.769942129627</v>
      </c>
      <c r="C1195" s="1" t="s">
        <v>10</v>
      </c>
      <c r="D1195" s="1">
        <v>25</v>
      </c>
      <c r="F1195" s="59"/>
      <c r="G1195" s="32"/>
      <c r="H1195" s="32"/>
    </row>
    <row r="1196" spans="1:8" ht="15.75" customHeight="1">
      <c r="A1196" s="1">
        <v>17743</v>
      </c>
      <c r="B1196" s="2">
        <v>44973.750046296293</v>
      </c>
      <c r="C1196" s="1" t="s">
        <v>10</v>
      </c>
      <c r="D1196" s="1">
        <v>45</v>
      </c>
      <c r="F1196" s="59"/>
      <c r="G1196" s="32"/>
      <c r="H1196" s="32"/>
    </row>
    <row r="1197" spans="1:8" ht="15.75" customHeight="1">
      <c r="A1197" s="1">
        <v>17742</v>
      </c>
      <c r="B1197" s="2">
        <v>44973.740370370375</v>
      </c>
      <c r="C1197" s="1" t="s">
        <v>10</v>
      </c>
      <c r="D1197" s="1">
        <v>25</v>
      </c>
      <c r="F1197" s="59"/>
      <c r="G1197" s="32"/>
      <c r="H1197" s="32"/>
    </row>
    <row r="1198" spans="1:8" ht="15.75" customHeight="1">
      <c r="A1198" s="1">
        <v>17741</v>
      </c>
      <c r="B1198" s="2">
        <v>44973.686331018514</v>
      </c>
      <c r="C1198" s="1" t="s">
        <v>10</v>
      </c>
      <c r="D1198" s="1">
        <v>24</v>
      </c>
      <c r="F1198" s="59"/>
      <c r="G1198" s="32"/>
      <c r="H1198" s="32"/>
    </row>
    <row r="1199" spans="1:8" ht="15.75" customHeight="1">
      <c r="A1199" s="1">
        <v>17740</v>
      </c>
      <c r="B1199" s="2">
        <v>44973.674201388887</v>
      </c>
      <c r="C1199" s="1" t="s">
        <v>10</v>
      </c>
      <c r="D1199" s="1">
        <v>0</v>
      </c>
      <c r="F1199" s="59"/>
      <c r="G1199" s="32"/>
      <c r="H1199" s="32"/>
    </row>
    <row r="1200" spans="1:8" ht="15.75" customHeight="1">
      <c r="A1200" s="1">
        <v>17739</v>
      </c>
      <c r="B1200" s="2">
        <v>44973.629155092596</v>
      </c>
      <c r="C1200" s="1" t="s">
        <v>10</v>
      </c>
      <c r="D1200" s="1">
        <v>25</v>
      </c>
      <c r="F1200" s="59"/>
      <c r="G1200" s="32"/>
      <c r="H1200" s="32"/>
    </row>
    <row r="1201" spans="1:8" ht="15.75" customHeight="1">
      <c r="A1201" s="1">
        <v>17738</v>
      </c>
      <c r="B1201" s="2">
        <v>44973.628113425926</v>
      </c>
      <c r="C1201" s="1" t="s">
        <v>10</v>
      </c>
      <c r="D1201" s="1">
        <v>25</v>
      </c>
      <c r="F1201" s="59"/>
      <c r="G1201" s="32"/>
      <c r="H1201" s="32"/>
    </row>
    <row r="1202" spans="1:8" ht="15.75" customHeight="1">
      <c r="A1202" s="1">
        <v>17737</v>
      </c>
      <c r="B1202" s="2">
        <v>44973.621423611112</v>
      </c>
      <c r="C1202" s="1" t="s">
        <v>10</v>
      </c>
      <c r="D1202" s="1">
        <v>18</v>
      </c>
      <c r="F1202" s="59"/>
      <c r="G1202" s="32"/>
      <c r="H1202" s="32"/>
    </row>
    <row r="1203" spans="1:8" ht="15.75" customHeight="1">
      <c r="A1203" s="1">
        <v>17736</v>
      </c>
      <c r="B1203" s="2">
        <v>44973.530347222222</v>
      </c>
      <c r="C1203" s="1" t="s">
        <v>10</v>
      </c>
      <c r="D1203" s="1">
        <v>18</v>
      </c>
      <c r="F1203" s="59"/>
      <c r="G1203" s="32"/>
      <c r="H1203" s="32"/>
    </row>
    <row r="1204" spans="1:8" ht="15.75" customHeight="1">
      <c r="A1204" s="1">
        <v>17735</v>
      </c>
      <c r="B1204" s="2">
        <v>44973.528981481482</v>
      </c>
      <c r="C1204" s="1" t="s">
        <v>10</v>
      </c>
      <c r="D1204" s="1">
        <v>48</v>
      </c>
      <c r="F1204" s="59"/>
      <c r="G1204" s="32"/>
      <c r="H1204" s="32"/>
    </row>
    <row r="1205" spans="1:8" ht="15.75" customHeight="1">
      <c r="A1205" s="1">
        <v>17734</v>
      </c>
      <c r="B1205" s="2">
        <v>44973.148564814815</v>
      </c>
      <c r="C1205" s="1" t="s">
        <v>10</v>
      </c>
      <c r="D1205" s="1">
        <v>35</v>
      </c>
      <c r="F1205" s="59"/>
      <c r="G1205" s="32"/>
      <c r="H1205" s="32"/>
    </row>
    <row r="1206" spans="1:8" ht="15.75" customHeight="1">
      <c r="A1206" s="1">
        <v>17733</v>
      </c>
      <c r="B1206" s="2">
        <v>44973.144131944442</v>
      </c>
      <c r="C1206" s="1" t="s">
        <v>10</v>
      </c>
      <c r="D1206" s="1">
        <v>15</v>
      </c>
      <c r="F1206" s="59"/>
      <c r="G1206" s="32"/>
      <c r="H1206" s="32"/>
    </row>
    <row r="1207" spans="1:8" ht="15.75" customHeight="1">
      <c r="A1207" s="1">
        <v>17732</v>
      </c>
      <c r="B1207" s="2">
        <v>44973.141805555555</v>
      </c>
      <c r="C1207" s="1" t="s">
        <v>10</v>
      </c>
      <c r="D1207" s="1">
        <v>37</v>
      </c>
      <c r="F1207" s="59"/>
      <c r="G1207" s="32"/>
      <c r="H1207" s="32"/>
    </row>
    <row r="1208" spans="1:8" ht="15.75" customHeight="1">
      <c r="A1208" s="1">
        <v>17731</v>
      </c>
      <c r="B1208" s="2">
        <v>44973.137164351851</v>
      </c>
      <c r="C1208" s="1" t="s">
        <v>10</v>
      </c>
      <c r="D1208" s="1">
        <v>37</v>
      </c>
      <c r="F1208" s="59"/>
      <c r="G1208" s="32"/>
      <c r="H1208" s="32"/>
    </row>
    <row r="1209" spans="1:8" ht="15.75" customHeight="1">
      <c r="A1209" s="1">
        <v>17730</v>
      </c>
      <c r="B1209" s="2">
        <v>44973.100034722222</v>
      </c>
      <c r="C1209" s="1" t="s">
        <v>10</v>
      </c>
      <c r="D1209" s="1">
        <v>43</v>
      </c>
      <c r="F1209" s="59"/>
      <c r="G1209" s="32"/>
      <c r="H1209" s="32"/>
    </row>
    <row r="1210" spans="1:8" ht="15.75" customHeight="1">
      <c r="A1210" s="1">
        <v>17729</v>
      </c>
      <c r="B1210" s="2">
        <v>44973.099733796298</v>
      </c>
      <c r="C1210" s="1" t="s">
        <v>10</v>
      </c>
      <c r="D1210" s="1">
        <v>107</v>
      </c>
      <c r="F1210" s="59"/>
      <c r="G1210" s="32"/>
      <c r="H1210" s="32"/>
    </row>
    <row r="1211" spans="1:8" ht="15.75" customHeight="1">
      <c r="A1211" s="1">
        <v>17728</v>
      </c>
      <c r="B1211" s="2">
        <v>44973.097280092596</v>
      </c>
      <c r="C1211" s="1" t="s">
        <v>10</v>
      </c>
      <c r="D1211" s="1">
        <v>25</v>
      </c>
      <c r="F1211" s="59"/>
      <c r="G1211" s="32"/>
      <c r="H1211" s="32"/>
    </row>
    <row r="1212" spans="1:8" ht="15.75" customHeight="1">
      <c r="A1212" s="1">
        <v>17727</v>
      </c>
      <c r="B1212" s="2">
        <v>44973.0856712963</v>
      </c>
      <c r="C1212" s="1" t="s">
        <v>10</v>
      </c>
      <c r="D1212" s="1">
        <v>25</v>
      </c>
      <c r="F1212" s="59"/>
      <c r="G1212" s="32"/>
      <c r="H1212" s="32"/>
    </row>
    <row r="1213" spans="1:8" ht="15.75" customHeight="1">
      <c r="A1213" s="1">
        <v>17726</v>
      </c>
      <c r="B1213" s="2">
        <v>44973.076388888891</v>
      </c>
      <c r="C1213" s="1" t="s">
        <v>10</v>
      </c>
      <c r="D1213" s="1">
        <v>56</v>
      </c>
      <c r="F1213" s="59"/>
      <c r="G1213" s="32"/>
      <c r="H1213" s="32"/>
    </row>
    <row r="1214" spans="1:8" ht="15.75" customHeight="1">
      <c r="A1214" s="1">
        <v>17725</v>
      </c>
      <c r="B1214" s="2">
        <v>44973.044120370367</v>
      </c>
      <c r="C1214" s="1" t="s">
        <v>10</v>
      </c>
      <c r="D1214" s="1">
        <v>24</v>
      </c>
      <c r="F1214" s="59"/>
      <c r="G1214" s="32"/>
      <c r="H1214" s="32"/>
    </row>
    <row r="1215" spans="1:8" ht="15.75" customHeight="1">
      <c r="A1215" s="1">
        <v>17724</v>
      </c>
      <c r="B1215" s="2">
        <v>44973.041458333333</v>
      </c>
      <c r="C1215" s="1" t="s">
        <v>10</v>
      </c>
      <c r="D1215" s="1">
        <v>24</v>
      </c>
      <c r="F1215" s="59"/>
      <c r="G1215" s="32"/>
      <c r="H1215" s="32"/>
    </row>
    <row r="1216" spans="1:8" ht="15.75" customHeight="1">
      <c r="A1216" s="1">
        <v>17723</v>
      </c>
      <c r="B1216" s="2">
        <v>44973.040590277778</v>
      </c>
      <c r="C1216" s="1" t="s">
        <v>10</v>
      </c>
      <c r="D1216" s="1">
        <v>25</v>
      </c>
      <c r="F1216" s="59"/>
      <c r="G1216" s="32"/>
      <c r="H1216" s="32"/>
    </row>
    <row r="1217" spans="1:8" ht="15.75" customHeight="1">
      <c r="A1217" s="1">
        <v>17722</v>
      </c>
      <c r="B1217" s="2">
        <v>44973.037199074075</v>
      </c>
      <c r="C1217" s="1" t="s">
        <v>10</v>
      </c>
      <c r="D1217" s="1">
        <v>25</v>
      </c>
      <c r="F1217" s="59"/>
      <c r="G1217" s="32"/>
      <c r="H1217" s="32"/>
    </row>
    <row r="1218" spans="1:8" ht="15.75" customHeight="1">
      <c r="A1218" s="1">
        <v>17721</v>
      </c>
      <c r="B1218" s="2">
        <v>44973.03696759259</v>
      </c>
      <c r="C1218" s="1" t="s">
        <v>10</v>
      </c>
      <c r="D1218" s="1">
        <v>25</v>
      </c>
      <c r="F1218" s="59"/>
      <c r="G1218" s="32"/>
      <c r="H1218" s="32"/>
    </row>
    <row r="1219" spans="1:8" ht="15.75" customHeight="1">
      <c r="A1219" s="1">
        <v>17720</v>
      </c>
      <c r="B1219" s="2">
        <v>44973.034444444449</v>
      </c>
      <c r="C1219" s="1" t="s">
        <v>10</v>
      </c>
      <c r="D1219" s="1">
        <v>60</v>
      </c>
      <c r="F1219" s="59"/>
      <c r="G1219" s="32"/>
      <c r="H1219" s="32"/>
    </row>
    <row r="1220" spans="1:8" ht="15.75" customHeight="1">
      <c r="A1220" s="1">
        <v>17719</v>
      </c>
      <c r="B1220" s="2">
        <v>44973.033483796295</v>
      </c>
      <c r="C1220" s="1" t="s">
        <v>18</v>
      </c>
      <c r="D1220" s="1">
        <v>25</v>
      </c>
      <c r="F1220" s="59"/>
      <c r="G1220" s="32"/>
      <c r="H1220" s="32"/>
    </row>
    <row r="1221" spans="1:8" ht="15.75" customHeight="1">
      <c r="A1221" s="1">
        <v>17718</v>
      </c>
      <c r="B1221" s="2">
        <v>44973.028541666667</v>
      </c>
      <c r="C1221" s="1" t="s">
        <v>10</v>
      </c>
      <c r="D1221" s="1">
        <v>24</v>
      </c>
      <c r="F1221" s="59"/>
      <c r="G1221" s="32"/>
      <c r="H1221" s="32"/>
    </row>
    <row r="1222" spans="1:8" ht="15.75" customHeight="1">
      <c r="A1222" s="1">
        <v>17717</v>
      </c>
      <c r="B1222" s="2">
        <v>44973.017731481479</v>
      </c>
      <c r="C1222" s="1" t="s">
        <v>10</v>
      </c>
      <c r="D1222" s="1">
        <v>58</v>
      </c>
      <c r="F1222" s="59"/>
      <c r="G1222" s="32"/>
      <c r="H1222" s="32"/>
    </row>
    <row r="1223" spans="1:8" ht="15.75" customHeight="1">
      <c r="A1223" s="1">
        <v>17716</v>
      </c>
      <c r="B1223" s="2">
        <v>44973.016203703708</v>
      </c>
      <c r="C1223" s="1" t="s">
        <v>10</v>
      </c>
      <c r="D1223" s="1">
        <v>10</v>
      </c>
      <c r="F1223" s="59"/>
      <c r="G1223" s="32"/>
      <c r="H1223" s="32"/>
    </row>
    <row r="1224" spans="1:8" ht="15.75" customHeight="1">
      <c r="A1224" s="1">
        <v>17715</v>
      </c>
      <c r="B1224" s="2">
        <v>44973.014293981483</v>
      </c>
      <c r="C1224" s="1" t="s">
        <v>10</v>
      </c>
      <c r="D1224" s="1">
        <v>45</v>
      </c>
      <c r="F1224" s="59"/>
      <c r="G1224" s="32"/>
      <c r="H1224" s="32"/>
    </row>
    <row r="1225" spans="1:8" ht="15.75" customHeight="1">
      <c r="A1225" s="1">
        <v>17714</v>
      </c>
      <c r="B1225" s="2">
        <v>44973.013541666667</v>
      </c>
      <c r="C1225" s="1" t="s">
        <v>10</v>
      </c>
      <c r="D1225" s="1">
        <v>35</v>
      </c>
      <c r="F1225" s="59"/>
      <c r="G1225" s="32"/>
      <c r="H1225" s="32"/>
    </row>
    <row r="1226" spans="1:8" ht="15.75" customHeight="1">
      <c r="A1226" s="1">
        <v>17713</v>
      </c>
      <c r="B1226" s="2">
        <v>44973.008240740739</v>
      </c>
      <c r="C1226" s="1" t="s">
        <v>10</v>
      </c>
      <c r="D1226" s="1">
        <v>24</v>
      </c>
      <c r="F1226" s="59"/>
      <c r="G1226" s="32"/>
      <c r="H1226" s="32"/>
    </row>
    <row r="1227" spans="1:8" ht="15.75" customHeight="1">
      <c r="A1227" s="1">
        <v>17712</v>
      </c>
      <c r="B1227" s="2">
        <v>44973.00503472222</v>
      </c>
      <c r="C1227" s="1" t="s">
        <v>10</v>
      </c>
      <c r="D1227" s="1">
        <v>25</v>
      </c>
      <c r="F1227" s="59"/>
      <c r="G1227" s="32"/>
      <c r="H1227" s="32"/>
    </row>
    <row r="1228" spans="1:8" ht="15.75" customHeight="1">
      <c r="A1228" s="1">
        <v>17711</v>
      </c>
      <c r="B1228" s="2">
        <v>44973.004606481481</v>
      </c>
      <c r="C1228" s="1" t="s">
        <v>10</v>
      </c>
      <c r="D1228" s="1">
        <v>28</v>
      </c>
      <c r="F1228" s="59"/>
      <c r="G1228" s="32"/>
      <c r="H1228" s="32"/>
    </row>
    <row r="1229" spans="1:8" ht="15.75" customHeight="1">
      <c r="A1229" s="1">
        <v>17710</v>
      </c>
      <c r="B1229" s="2">
        <v>44973.002835648149</v>
      </c>
      <c r="C1229" s="1" t="s">
        <v>10</v>
      </c>
      <c r="D1229" s="1">
        <v>35</v>
      </c>
      <c r="F1229" s="59"/>
      <c r="G1229" s="32"/>
      <c r="H1229" s="32"/>
    </row>
    <row r="1230" spans="1:8" ht="15.75" customHeight="1">
      <c r="A1230" s="1">
        <v>17709</v>
      </c>
      <c r="B1230" s="2">
        <v>44973.000891203701</v>
      </c>
      <c r="C1230" s="1" t="s">
        <v>10</v>
      </c>
      <c r="D1230" s="1">
        <v>35</v>
      </c>
      <c r="F1230" s="59"/>
      <c r="G1230" s="32"/>
      <c r="H1230" s="32"/>
    </row>
    <row r="1231" spans="1:8" ht="15.75" customHeight="1">
      <c r="A1231" s="1">
        <v>17708</v>
      </c>
      <c r="B1231" s="2">
        <v>44972.998333333337</v>
      </c>
      <c r="C1231" s="1" t="s">
        <v>10</v>
      </c>
      <c r="D1231" s="1">
        <v>18</v>
      </c>
      <c r="F1231" s="59"/>
      <c r="G1231" s="32"/>
      <c r="H1231" s="32"/>
    </row>
    <row r="1232" spans="1:8" ht="15.75" customHeight="1">
      <c r="A1232" s="1">
        <v>17707</v>
      </c>
      <c r="B1232" s="2">
        <v>44972.996435185181</v>
      </c>
      <c r="C1232" s="1" t="s">
        <v>10</v>
      </c>
      <c r="D1232" s="1">
        <v>18</v>
      </c>
      <c r="F1232" s="59"/>
      <c r="G1232" s="32"/>
      <c r="H1232" s="32"/>
    </row>
    <row r="1233" spans="1:8" ht="15.75" customHeight="1">
      <c r="A1233" s="1">
        <v>17706</v>
      </c>
      <c r="B1233" s="2">
        <v>44972.991539351853</v>
      </c>
      <c r="C1233" s="1" t="s">
        <v>10</v>
      </c>
      <c r="D1233" s="1">
        <v>24</v>
      </c>
      <c r="F1233" s="59"/>
      <c r="G1233" s="32"/>
      <c r="H1233" s="32"/>
    </row>
    <row r="1234" spans="1:8" ht="15.75" customHeight="1">
      <c r="A1234" s="1">
        <v>17705</v>
      </c>
      <c r="B1234" s="2">
        <v>44972.990902777776</v>
      </c>
      <c r="C1234" s="1" t="s">
        <v>10</v>
      </c>
      <c r="D1234" s="1">
        <v>24</v>
      </c>
      <c r="F1234" s="59"/>
      <c r="G1234" s="32"/>
      <c r="H1234" s="32"/>
    </row>
    <row r="1235" spans="1:8" ht="15.75" customHeight="1">
      <c r="A1235" s="1">
        <v>17704</v>
      </c>
      <c r="B1235" s="2">
        <v>44972.989050925928</v>
      </c>
      <c r="C1235" s="1" t="s">
        <v>10</v>
      </c>
      <c r="D1235" s="1">
        <v>18</v>
      </c>
      <c r="F1235" s="59"/>
      <c r="G1235" s="32"/>
      <c r="H1235" s="32"/>
    </row>
    <row r="1236" spans="1:8" ht="15.75" customHeight="1">
      <c r="A1236" s="1">
        <v>17703</v>
      </c>
      <c r="B1236" s="2">
        <v>44972.988877314812</v>
      </c>
      <c r="C1236" s="1" t="s">
        <v>10</v>
      </c>
      <c r="D1236" s="1">
        <v>25</v>
      </c>
      <c r="F1236" s="59"/>
      <c r="G1236" s="32"/>
      <c r="H1236" s="32"/>
    </row>
    <row r="1237" spans="1:8" ht="15.75" customHeight="1">
      <c r="A1237" s="1">
        <v>17702</v>
      </c>
      <c r="B1237" s="2">
        <v>44972.985185185185</v>
      </c>
      <c r="C1237" s="1" t="s">
        <v>10</v>
      </c>
      <c r="D1237" s="1">
        <v>92</v>
      </c>
      <c r="F1237" s="59"/>
      <c r="G1237" s="32"/>
      <c r="H1237" s="32"/>
    </row>
    <row r="1238" spans="1:8" ht="15.75" customHeight="1">
      <c r="A1238" s="1">
        <v>17701</v>
      </c>
      <c r="B1238" s="2">
        <v>44972.984953703708</v>
      </c>
      <c r="C1238" s="1" t="s">
        <v>10</v>
      </c>
      <c r="D1238" s="1">
        <v>50</v>
      </c>
      <c r="F1238" s="59"/>
      <c r="G1238" s="32"/>
      <c r="H1238" s="32"/>
    </row>
    <row r="1239" spans="1:8" ht="15.75" customHeight="1">
      <c r="A1239" s="1">
        <v>17700</v>
      </c>
      <c r="B1239" s="2">
        <v>44972.984803240739</v>
      </c>
      <c r="C1239" s="1" t="s">
        <v>8</v>
      </c>
      <c r="D1239" s="1">
        <v>55</v>
      </c>
      <c r="F1239" s="59"/>
      <c r="G1239" s="32"/>
      <c r="H1239" s="32"/>
    </row>
    <row r="1240" spans="1:8" ht="15.75" customHeight="1">
      <c r="A1240" s="1">
        <v>17699</v>
      </c>
      <c r="B1240" s="2">
        <v>44972.983333333337</v>
      </c>
      <c r="C1240" s="1" t="s">
        <v>10</v>
      </c>
      <c r="D1240" s="1">
        <v>55</v>
      </c>
      <c r="F1240" s="59"/>
      <c r="G1240" s="32"/>
      <c r="H1240" s="32"/>
    </row>
    <row r="1241" spans="1:8" ht="15.75" customHeight="1">
      <c r="A1241" s="1">
        <v>17698</v>
      </c>
      <c r="B1241" s="2">
        <v>44972.978379629625</v>
      </c>
      <c r="C1241" s="1" t="s">
        <v>10</v>
      </c>
      <c r="D1241" s="1">
        <v>110</v>
      </c>
      <c r="F1241" s="59"/>
      <c r="G1241" s="32"/>
      <c r="H1241" s="32"/>
    </row>
    <row r="1242" spans="1:8" ht="15.75" customHeight="1">
      <c r="A1242" s="1">
        <v>17697</v>
      </c>
      <c r="B1242" s="2">
        <v>44972.973344907412</v>
      </c>
      <c r="C1242" s="1" t="s">
        <v>10</v>
      </c>
      <c r="D1242" s="1">
        <v>20</v>
      </c>
      <c r="F1242" s="59"/>
      <c r="G1242" s="32"/>
      <c r="H1242" s="32"/>
    </row>
    <row r="1243" spans="1:8" ht="15.75" customHeight="1">
      <c r="A1243" s="1">
        <v>17696</v>
      </c>
      <c r="B1243" s="2">
        <v>44972.971875000003</v>
      </c>
      <c r="C1243" s="1" t="s">
        <v>10</v>
      </c>
      <c r="D1243" s="1">
        <v>55</v>
      </c>
      <c r="F1243" s="59"/>
      <c r="G1243" s="32"/>
      <c r="H1243" s="32"/>
    </row>
    <row r="1244" spans="1:8" ht="15.75" customHeight="1">
      <c r="A1244" s="1">
        <v>17695</v>
      </c>
      <c r="B1244" s="2">
        <v>44972.971215277779</v>
      </c>
      <c r="C1244" s="1" t="s">
        <v>10</v>
      </c>
      <c r="D1244" s="1">
        <v>53</v>
      </c>
      <c r="F1244" s="59"/>
      <c r="G1244" s="32"/>
      <c r="H1244" s="32"/>
    </row>
    <row r="1245" spans="1:8" ht="15.75" customHeight="1">
      <c r="A1245" s="1">
        <v>17694</v>
      </c>
      <c r="B1245" s="2">
        <v>44972.952615740738</v>
      </c>
      <c r="C1245" s="1" t="s">
        <v>10</v>
      </c>
      <c r="D1245" s="1">
        <v>24</v>
      </c>
      <c r="F1245" s="59"/>
      <c r="G1245" s="32"/>
      <c r="H1245" s="32"/>
    </row>
    <row r="1246" spans="1:8" ht="15.75" customHeight="1">
      <c r="A1246" s="1">
        <v>17693</v>
      </c>
      <c r="B1246" s="2">
        <v>44972.925729166665</v>
      </c>
      <c r="C1246" s="1" t="s">
        <v>10</v>
      </c>
      <c r="D1246" s="1">
        <v>24</v>
      </c>
      <c r="F1246" s="59"/>
      <c r="G1246" s="32"/>
      <c r="H1246" s="32"/>
    </row>
    <row r="1247" spans="1:8" ht="15.75" customHeight="1">
      <c r="A1247" s="1">
        <v>17692</v>
      </c>
      <c r="B1247" s="2">
        <v>44972.909722222219</v>
      </c>
      <c r="C1247" s="1" t="s">
        <v>10</v>
      </c>
      <c r="D1247" s="1">
        <v>25</v>
      </c>
      <c r="F1247" s="59"/>
      <c r="G1247" s="32"/>
      <c r="H1247" s="32"/>
    </row>
    <row r="1248" spans="1:8" ht="15.75" customHeight="1">
      <c r="A1248" s="1">
        <v>17691</v>
      </c>
      <c r="B1248" s="2">
        <v>44972.899872685186</v>
      </c>
      <c r="C1248" s="1" t="s">
        <v>10</v>
      </c>
      <c r="D1248" s="1">
        <v>24</v>
      </c>
      <c r="F1248" s="59"/>
      <c r="G1248" s="32"/>
      <c r="H1248" s="32"/>
    </row>
    <row r="1249" spans="1:8" ht="15.75" customHeight="1">
      <c r="A1249" s="1">
        <v>17690</v>
      </c>
      <c r="B1249" s="2">
        <v>44972.874409722222</v>
      </c>
      <c r="C1249" s="1" t="s">
        <v>10</v>
      </c>
      <c r="D1249" s="1">
        <v>48</v>
      </c>
      <c r="F1249" s="59"/>
      <c r="G1249" s="32"/>
      <c r="H1249" s="32"/>
    </row>
    <row r="1250" spans="1:8" ht="15.75" customHeight="1">
      <c r="A1250" s="1">
        <v>17689</v>
      </c>
      <c r="B1250" s="2">
        <v>44972.870532407411</v>
      </c>
      <c r="C1250" s="1" t="s">
        <v>10</v>
      </c>
      <c r="D1250" s="1">
        <v>48</v>
      </c>
      <c r="F1250" s="59"/>
      <c r="G1250" s="32"/>
      <c r="H1250" s="32"/>
    </row>
    <row r="1251" spans="1:8" ht="15.75" customHeight="1">
      <c r="A1251" s="1">
        <v>17688</v>
      </c>
      <c r="B1251" s="2">
        <v>44972.866886574076</v>
      </c>
      <c r="C1251" s="1" t="s">
        <v>10</v>
      </c>
      <c r="D1251" s="1">
        <v>20</v>
      </c>
      <c r="F1251" s="59"/>
      <c r="G1251" s="32"/>
      <c r="H1251" s="32"/>
    </row>
    <row r="1252" spans="1:8" ht="15.75" customHeight="1">
      <c r="A1252" s="1">
        <v>17685</v>
      </c>
      <c r="B1252" s="2">
        <v>44972.730567129634</v>
      </c>
      <c r="C1252" s="1" t="s">
        <v>10</v>
      </c>
      <c r="D1252" s="1">
        <v>20</v>
      </c>
      <c r="F1252" s="59"/>
      <c r="G1252" s="32"/>
      <c r="H1252" s="32"/>
    </row>
    <row r="1253" spans="1:8" ht="15.75" customHeight="1">
      <c r="A1253" s="1">
        <v>17684</v>
      </c>
      <c r="B1253" s="2">
        <v>44972.666620370372</v>
      </c>
      <c r="C1253" s="1" t="s">
        <v>10</v>
      </c>
      <c r="D1253" s="1">
        <v>55</v>
      </c>
      <c r="F1253" s="59"/>
      <c r="G1253" s="32"/>
      <c r="H1253" s="32"/>
    </row>
    <row r="1254" spans="1:8" ht="15.75" customHeight="1">
      <c r="A1254" s="1">
        <v>17683</v>
      </c>
      <c r="B1254" s="2">
        <v>44972.666203703702</v>
      </c>
      <c r="C1254" s="1" t="s">
        <v>10</v>
      </c>
      <c r="D1254" s="1">
        <v>15</v>
      </c>
      <c r="F1254" s="59"/>
      <c r="G1254" s="32"/>
      <c r="H1254" s="32"/>
    </row>
    <row r="1255" spans="1:8" ht="15.75" customHeight="1">
      <c r="A1255" s="1">
        <v>17680</v>
      </c>
      <c r="B1255" s="2">
        <v>44972.576782407406</v>
      </c>
      <c r="C1255" s="1" t="s">
        <v>10</v>
      </c>
      <c r="D1255" s="1">
        <v>25</v>
      </c>
      <c r="F1255" s="59"/>
      <c r="G1255" s="32"/>
      <c r="H1255" s="32"/>
    </row>
    <row r="1256" spans="1:8" ht="15.75" customHeight="1">
      <c r="A1256" s="1">
        <v>17679</v>
      </c>
      <c r="B1256" s="2">
        <v>44972.565474537041</v>
      </c>
      <c r="C1256" s="1" t="s">
        <v>10</v>
      </c>
      <c r="D1256" s="1">
        <v>15</v>
      </c>
      <c r="F1256" s="59"/>
      <c r="G1256" s="32"/>
      <c r="H1256" s="32"/>
    </row>
    <row r="1257" spans="1:8" ht="15.75" customHeight="1">
      <c r="A1257" s="1">
        <v>17678</v>
      </c>
      <c r="B1257" s="2">
        <v>44972.55868055555</v>
      </c>
      <c r="C1257" s="1" t="s">
        <v>10</v>
      </c>
      <c r="D1257" s="1">
        <v>40</v>
      </c>
      <c r="F1257" s="59"/>
      <c r="G1257" s="32"/>
      <c r="H1257" s="32"/>
    </row>
    <row r="1258" spans="1:8" ht="15.75" customHeight="1">
      <c r="A1258" s="1">
        <v>17676</v>
      </c>
      <c r="B1258" s="2">
        <v>44972.149664351848</v>
      </c>
      <c r="C1258" s="1" t="s">
        <v>10</v>
      </c>
      <c r="D1258" s="1">
        <v>38</v>
      </c>
      <c r="F1258" s="59"/>
      <c r="G1258" s="32"/>
      <c r="H1258" s="32"/>
    </row>
    <row r="1259" spans="1:8" ht="15.75" customHeight="1">
      <c r="A1259" s="1">
        <v>17674</v>
      </c>
      <c r="B1259" s="2">
        <v>44971.078946759255</v>
      </c>
      <c r="C1259" s="1" t="s">
        <v>10</v>
      </c>
      <c r="D1259" s="1">
        <v>30</v>
      </c>
      <c r="F1259" s="59"/>
      <c r="G1259" s="32"/>
      <c r="H1259" s="32"/>
    </row>
    <row r="1260" spans="1:8" ht="15.75" customHeight="1">
      <c r="A1260" s="1">
        <v>17673</v>
      </c>
      <c r="B1260" s="2">
        <v>44970.905405092592</v>
      </c>
      <c r="C1260" s="1" t="s">
        <v>10</v>
      </c>
      <c r="D1260" s="1">
        <v>43</v>
      </c>
      <c r="F1260" s="59"/>
      <c r="G1260" s="32"/>
      <c r="H1260" s="32"/>
    </row>
    <row r="1261" spans="1:8" ht="15.75" customHeight="1">
      <c r="A1261" s="1">
        <v>17592</v>
      </c>
      <c r="B1261" s="2">
        <v>44950.769895833335</v>
      </c>
      <c r="C1261" s="1" t="s">
        <v>10</v>
      </c>
      <c r="D1261" s="1">
        <v>13.5</v>
      </c>
      <c r="F1261" s="59"/>
      <c r="G1261" s="32"/>
      <c r="H1261" s="32"/>
    </row>
    <row r="1262" spans="1:8" ht="15.75" customHeight="1">
      <c r="A1262" s="1">
        <v>17591</v>
      </c>
      <c r="B1262" s="2">
        <v>44950.609513888892</v>
      </c>
      <c r="C1262" s="1" t="s">
        <v>10</v>
      </c>
      <c r="D1262" s="1">
        <v>30</v>
      </c>
      <c r="F1262" s="59"/>
      <c r="G1262" s="32"/>
      <c r="H1262" s="32"/>
    </row>
    <row r="1263" spans="1:8" ht="15.75" customHeight="1">
      <c r="A1263" s="1">
        <v>17549</v>
      </c>
      <c r="B1263" s="2">
        <v>44948.041076388894</v>
      </c>
      <c r="C1263" s="1" t="s">
        <v>10</v>
      </c>
      <c r="D1263" s="1">
        <v>35</v>
      </c>
      <c r="F1263" s="59"/>
      <c r="G1263" s="32"/>
      <c r="H1263" s="32"/>
    </row>
    <row r="1264" spans="1:8" ht="15.75" customHeight="1">
      <c r="A1264" s="1">
        <v>17540</v>
      </c>
      <c r="B1264" s="2">
        <v>44944.732719907406</v>
      </c>
      <c r="C1264" s="1" t="s">
        <v>10</v>
      </c>
      <c r="D1264" s="1">
        <v>0</v>
      </c>
      <c r="F1264" s="59"/>
      <c r="G1264" s="32"/>
      <c r="H1264" s="32"/>
    </row>
    <row r="1265" spans="1:8" ht="15.75" customHeight="1">
      <c r="A1265" s="1">
        <v>17539</v>
      </c>
      <c r="B1265" s="2">
        <v>44943.932534722218</v>
      </c>
      <c r="C1265" s="1" t="s">
        <v>10</v>
      </c>
      <c r="D1265" s="1">
        <v>49</v>
      </c>
      <c r="F1265" s="59"/>
      <c r="G1265" s="32"/>
      <c r="H1265" s="32"/>
    </row>
    <row r="1266" spans="1:8" ht="15.75" customHeight="1">
      <c r="A1266" s="1">
        <v>17538</v>
      </c>
      <c r="B1266" s="2">
        <v>44943.878460648149</v>
      </c>
      <c r="C1266" s="1" t="s">
        <v>10</v>
      </c>
      <c r="D1266" s="1">
        <v>25</v>
      </c>
      <c r="F1266" s="59"/>
      <c r="G1266" s="32"/>
      <c r="H1266" s="32"/>
    </row>
    <row r="1267" spans="1:8" ht="15.75" customHeight="1">
      <c r="A1267" s="1">
        <v>17536</v>
      </c>
      <c r="B1267" s="2">
        <v>44942.691111111111</v>
      </c>
      <c r="C1267" s="1" t="s">
        <v>10</v>
      </c>
      <c r="D1267" s="1">
        <v>48</v>
      </c>
      <c r="F1267" s="59"/>
      <c r="G1267" s="32"/>
      <c r="H1267" s="32"/>
    </row>
    <row r="1268" spans="1:8" ht="15.75" customHeight="1">
      <c r="A1268" s="1">
        <v>17533</v>
      </c>
      <c r="B1268" s="2">
        <v>44941.950972222221</v>
      </c>
      <c r="C1268" s="1" t="s">
        <v>10</v>
      </c>
      <c r="D1268" s="1">
        <v>83</v>
      </c>
      <c r="F1268" s="59"/>
      <c r="G1268" s="32"/>
      <c r="H1268" s="32"/>
    </row>
    <row r="1269" spans="1:8" ht="15.75" customHeight="1">
      <c r="A1269" s="1">
        <v>17532</v>
      </c>
      <c r="B1269" s="2">
        <v>44940.561828703707</v>
      </c>
      <c r="C1269" s="1" t="s">
        <v>10</v>
      </c>
      <c r="D1269" s="1">
        <v>20</v>
      </c>
      <c r="F1269" s="59"/>
      <c r="G1269" s="32"/>
      <c r="H1269" s="32"/>
    </row>
    <row r="1270" spans="1:8" ht="15.75" customHeight="1">
      <c r="A1270" s="1">
        <v>17446</v>
      </c>
      <c r="B1270" s="2">
        <v>44936.161041666666</v>
      </c>
      <c r="C1270" s="1" t="s">
        <v>10</v>
      </c>
      <c r="D1270" s="1">
        <v>60</v>
      </c>
      <c r="F1270" s="59"/>
      <c r="G1270" s="32"/>
      <c r="H1270" s="32"/>
    </row>
    <row r="1271" spans="1:8" ht="15.75" customHeight="1">
      <c r="A1271" s="1">
        <v>17428</v>
      </c>
      <c r="B1271" s="2">
        <v>44934.852476851855</v>
      </c>
      <c r="C1271" s="1" t="s">
        <v>10</v>
      </c>
      <c r="D1271" s="1">
        <v>39</v>
      </c>
      <c r="F1271" s="59"/>
      <c r="G1271" s="32"/>
      <c r="H1271" s="32"/>
    </row>
    <row r="1272" spans="1:8" ht="15.75" customHeight="1">
      <c r="A1272" s="1">
        <v>17192</v>
      </c>
      <c r="B1272" s="2">
        <v>44927.631331018521</v>
      </c>
      <c r="C1272" s="1" t="s">
        <v>10</v>
      </c>
      <c r="D1272" s="1">
        <v>20</v>
      </c>
      <c r="F1272" s="59"/>
      <c r="G1272" s="32"/>
      <c r="H1272" s="32"/>
    </row>
    <row r="1273" spans="1:8" ht="15.75" customHeight="1">
      <c r="A1273" s="1">
        <v>17189</v>
      </c>
      <c r="B1273" s="2">
        <v>44923.03424768518</v>
      </c>
      <c r="C1273" s="1" t="s">
        <v>10</v>
      </c>
      <c r="D1273" s="1">
        <v>64</v>
      </c>
      <c r="F1273" s="59"/>
      <c r="G1273" s="32"/>
      <c r="H1273" s="32"/>
    </row>
    <row r="1274" spans="1:8" ht="15.75" customHeight="1">
      <c r="A1274" s="1">
        <v>17070</v>
      </c>
      <c r="B1274" s="2">
        <v>44918.150578703702</v>
      </c>
      <c r="C1274" s="1" t="s">
        <v>10</v>
      </c>
      <c r="D1274" s="1">
        <v>47</v>
      </c>
      <c r="F1274" s="59"/>
      <c r="G1274" s="32"/>
      <c r="H1274" s="32"/>
    </row>
    <row r="1275" spans="1:8" ht="15.75" customHeight="1">
      <c r="A1275" s="1">
        <v>17029</v>
      </c>
      <c r="B1275" s="2">
        <v>44915.261238425926</v>
      </c>
      <c r="C1275" s="1" t="s">
        <v>10</v>
      </c>
      <c r="D1275" s="1">
        <v>68</v>
      </c>
      <c r="F1275" s="59"/>
      <c r="G1275" s="32"/>
      <c r="H1275" s="32"/>
    </row>
    <row r="1276" spans="1:8" ht="15.75" customHeight="1">
      <c r="A1276" s="1">
        <v>17028</v>
      </c>
      <c r="B1276" s="2">
        <v>44915.259155092594</v>
      </c>
      <c r="C1276" s="1" t="s">
        <v>10</v>
      </c>
      <c r="D1276" s="1">
        <v>68</v>
      </c>
      <c r="F1276" s="59"/>
      <c r="G1276" s="32"/>
      <c r="H1276" s="32"/>
    </row>
    <row r="1277" spans="1:8" ht="15.75" customHeight="1">
      <c r="A1277" s="1">
        <v>17027</v>
      </c>
      <c r="B1277" s="2">
        <v>44914.026099537034</v>
      </c>
      <c r="C1277" s="1" t="s">
        <v>10</v>
      </c>
      <c r="D1277" s="1">
        <v>28</v>
      </c>
      <c r="F1277" s="59"/>
      <c r="G1277" s="32"/>
      <c r="H1277" s="32"/>
    </row>
    <row r="1278" spans="1:8" ht="15.75" customHeight="1">
      <c r="A1278" s="1">
        <v>17026</v>
      </c>
      <c r="B1278" s="2">
        <v>44913.99423611111</v>
      </c>
      <c r="C1278" s="1" t="s">
        <v>10</v>
      </c>
      <c r="D1278" s="1">
        <v>0</v>
      </c>
      <c r="F1278" s="59"/>
      <c r="G1278" s="32"/>
      <c r="H1278" s="32"/>
    </row>
    <row r="1279" spans="1:8" ht="15.75" customHeight="1">
      <c r="A1279" s="1">
        <v>17025</v>
      </c>
      <c r="B1279" s="2">
        <v>44913.988773148143</v>
      </c>
      <c r="C1279" s="1" t="s">
        <v>10</v>
      </c>
      <c r="D1279" s="1">
        <v>0</v>
      </c>
      <c r="F1279" s="59"/>
      <c r="G1279" s="32"/>
      <c r="H1279" s="32"/>
    </row>
    <row r="1280" spans="1:8" ht="15.75" customHeight="1">
      <c r="A1280" s="1">
        <v>17015</v>
      </c>
      <c r="B1280" s="2">
        <v>44913.896481481483</v>
      </c>
      <c r="C1280" s="1" t="s">
        <v>10</v>
      </c>
      <c r="D1280" s="1">
        <v>100</v>
      </c>
      <c r="F1280" s="59"/>
      <c r="G1280" s="32"/>
      <c r="H1280" s="32"/>
    </row>
    <row r="1281" spans="1:8" ht="15.75" customHeight="1">
      <c r="A1281" s="1">
        <v>17014</v>
      </c>
      <c r="B1281" s="2">
        <v>44913.854201388887</v>
      </c>
      <c r="C1281" s="1" t="s">
        <v>10</v>
      </c>
      <c r="D1281" s="1">
        <v>46</v>
      </c>
      <c r="F1281" s="59"/>
      <c r="G1281" s="32"/>
      <c r="H1281" s="32"/>
    </row>
    <row r="1282" spans="1:8" ht="15.75" customHeight="1">
      <c r="A1282" s="1">
        <v>16976</v>
      </c>
      <c r="B1282" s="2">
        <v>44910.182800925926</v>
      </c>
      <c r="C1282" s="1" t="s">
        <v>10</v>
      </c>
      <c r="D1282" s="1">
        <v>0</v>
      </c>
      <c r="F1282" s="59"/>
      <c r="G1282" s="32"/>
      <c r="H1282" s="32"/>
    </row>
    <row r="1283" spans="1:8" ht="15.75" customHeight="1">
      <c r="A1283" s="1">
        <v>16975</v>
      </c>
      <c r="B1283" s="2">
        <v>44909.943159722221</v>
      </c>
      <c r="C1283" s="1" t="s">
        <v>10</v>
      </c>
      <c r="D1283" s="1">
        <v>28</v>
      </c>
      <c r="F1283" s="59"/>
      <c r="G1283" s="32"/>
      <c r="H1283" s="32"/>
    </row>
    <row r="1284" spans="1:8" ht="15.75" customHeight="1">
      <c r="A1284" s="1">
        <v>16952</v>
      </c>
      <c r="B1284" s="2">
        <v>44908.568819444445</v>
      </c>
      <c r="C1284" s="1" t="s">
        <v>10</v>
      </c>
      <c r="D1284" s="1">
        <v>60</v>
      </c>
      <c r="F1284" s="59"/>
      <c r="G1284" s="32"/>
      <c r="H1284" s="32"/>
    </row>
    <row r="1285" spans="1:8" ht="15.75" customHeight="1">
      <c r="A1285" s="1">
        <v>16941</v>
      </c>
      <c r="B1285" s="2">
        <v>44905.748229166667</v>
      </c>
      <c r="C1285" s="1" t="s">
        <v>10</v>
      </c>
      <c r="D1285" s="1">
        <v>25</v>
      </c>
      <c r="F1285" s="59"/>
      <c r="G1285" s="32"/>
      <c r="H1285" s="32"/>
    </row>
    <row r="1286" spans="1:8" ht="15.75" customHeight="1">
      <c r="A1286" s="1">
        <v>16938</v>
      </c>
      <c r="B1286" s="2">
        <v>44903.291828703703</v>
      </c>
      <c r="C1286" s="1" t="s">
        <v>10</v>
      </c>
      <c r="D1286" s="1">
        <v>24</v>
      </c>
      <c r="F1286" s="59"/>
      <c r="G1286" s="32"/>
      <c r="H1286" s="32"/>
    </row>
    <row r="1287" spans="1:8" ht="15.75" customHeight="1">
      <c r="A1287" s="1">
        <v>16937</v>
      </c>
      <c r="B1287" s="2">
        <v>44903.283379629633</v>
      </c>
      <c r="C1287" s="1" t="s">
        <v>10</v>
      </c>
      <c r="D1287" s="1">
        <v>0</v>
      </c>
      <c r="F1287" s="59"/>
      <c r="G1287" s="32"/>
      <c r="H1287" s="32"/>
    </row>
    <row r="1288" spans="1:8" ht="15.75" customHeight="1">
      <c r="A1288" s="1">
        <v>16935</v>
      </c>
      <c r="B1288" s="2">
        <v>44900.929108796292</v>
      </c>
      <c r="C1288" s="1" t="s">
        <v>10</v>
      </c>
      <c r="D1288" s="1">
        <v>22</v>
      </c>
      <c r="F1288" s="59"/>
      <c r="G1288" s="32"/>
      <c r="H1288" s="32"/>
    </row>
    <row r="1289" spans="1:8" ht="15.75" customHeight="1">
      <c r="A1289" s="1">
        <v>16934</v>
      </c>
      <c r="B1289" s="2">
        <v>44900.127789351856</v>
      </c>
      <c r="C1289" s="1" t="s">
        <v>10</v>
      </c>
      <c r="D1289" s="1">
        <v>20</v>
      </c>
      <c r="F1289" s="59"/>
      <c r="G1289" s="32"/>
      <c r="H1289" s="32"/>
    </row>
    <row r="1290" spans="1:8" ht="15.75" customHeight="1">
      <c r="A1290" s="1">
        <v>16933</v>
      </c>
      <c r="B1290" s="2">
        <v>44898.127488425926</v>
      </c>
      <c r="C1290" s="1" t="s">
        <v>10</v>
      </c>
      <c r="D1290" s="1">
        <v>25</v>
      </c>
      <c r="F1290" s="59"/>
      <c r="G1290" s="32"/>
      <c r="H1290" s="32"/>
    </row>
    <row r="1291" spans="1:8" ht="15.75" customHeight="1">
      <c r="A1291" s="1">
        <v>16895</v>
      </c>
      <c r="B1291" s="2">
        <v>44897.070613425924</v>
      </c>
      <c r="C1291" s="1" t="s">
        <v>10</v>
      </c>
      <c r="D1291" s="1">
        <v>49</v>
      </c>
      <c r="F1291" s="59"/>
      <c r="G1291" s="32"/>
      <c r="H1291" s="32"/>
    </row>
    <row r="1292" spans="1:8" ht="15.75" customHeight="1">
      <c r="A1292" s="1">
        <v>16894</v>
      </c>
      <c r="B1292" s="2">
        <v>44896.716921296298</v>
      </c>
      <c r="C1292" s="1" t="s">
        <v>10</v>
      </c>
      <c r="D1292" s="1">
        <v>25</v>
      </c>
      <c r="F1292" s="59"/>
      <c r="G1292" s="32"/>
      <c r="H1292" s="32"/>
    </row>
    <row r="1293" spans="1:8" ht="15.75" customHeight="1">
      <c r="A1293" s="1">
        <v>16863</v>
      </c>
      <c r="B1293" s="2">
        <v>44896.023333333331</v>
      </c>
      <c r="C1293" s="1" t="s">
        <v>10</v>
      </c>
      <c r="D1293" s="1">
        <v>35</v>
      </c>
      <c r="F1293" s="59"/>
      <c r="G1293" s="32"/>
      <c r="H1293" s="32"/>
    </row>
    <row r="1294" spans="1:8" ht="15.75" customHeight="1">
      <c r="A1294" s="1">
        <v>16857</v>
      </c>
      <c r="B1294" s="2">
        <v>44895.099652777775</v>
      </c>
      <c r="C1294" s="1" t="s">
        <v>10</v>
      </c>
      <c r="D1294" s="1">
        <v>63</v>
      </c>
      <c r="F1294" s="59"/>
      <c r="G1294" s="32"/>
      <c r="H1294" s="32"/>
    </row>
    <row r="1295" spans="1:8" ht="15.75" customHeight="1">
      <c r="A1295" s="1">
        <v>16854</v>
      </c>
      <c r="B1295" s="2">
        <v>44894.685208333336</v>
      </c>
      <c r="C1295" s="1" t="s">
        <v>10</v>
      </c>
      <c r="D1295" s="1">
        <v>25</v>
      </c>
      <c r="F1295" s="59"/>
      <c r="G1295" s="32"/>
      <c r="H1295" s="32"/>
    </row>
    <row r="1296" spans="1:8" ht="15.75" customHeight="1">
      <c r="A1296" s="1">
        <v>16853</v>
      </c>
      <c r="B1296" s="2">
        <v>44894.522395833337</v>
      </c>
      <c r="C1296" s="1" t="s">
        <v>10</v>
      </c>
      <c r="D1296" s="1">
        <v>50</v>
      </c>
      <c r="F1296" s="59"/>
      <c r="G1296" s="32"/>
      <c r="H1296" s="32"/>
    </row>
    <row r="1297" spans="1:8" ht="15.75" customHeight="1">
      <c r="A1297" s="1">
        <v>16851</v>
      </c>
      <c r="B1297" s="2">
        <v>44894.095902777779</v>
      </c>
      <c r="C1297" s="1" t="s">
        <v>10</v>
      </c>
      <c r="D1297" s="1">
        <v>92</v>
      </c>
      <c r="F1297" s="59"/>
      <c r="G1297" s="32"/>
      <c r="H1297" s="32"/>
    </row>
    <row r="1298" spans="1:8" ht="15.75" customHeight="1">
      <c r="A1298" s="1">
        <v>16850</v>
      </c>
      <c r="B1298" s="2">
        <v>44893.887141203704</v>
      </c>
      <c r="C1298" s="1" t="s">
        <v>10</v>
      </c>
      <c r="D1298" s="1">
        <v>55</v>
      </c>
      <c r="F1298" s="59"/>
      <c r="G1298" s="32"/>
      <c r="H1298" s="32"/>
    </row>
    <row r="1299" spans="1:8" ht="15.75" customHeight="1">
      <c r="A1299" s="1">
        <v>16849</v>
      </c>
      <c r="B1299" s="2">
        <v>44893.856192129635</v>
      </c>
      <c r="C1299" s="1" t="s">
        <v>10</v>
      </c>
      <c r="D1299" s="1">
        <v>74</v>
      </c>
      <c r="F1299" s="59"/>
      <c r="G1299" s="32"/>
      <c r="H1299" s="32"/>
    </row>
    <row r="1300" spans="1:8" ht="15.75" customHeight="1">
      <c r="A1300" s="1">
        <v>16847</v>
      </c>
      <c r="B1300" s="2">
        <v>44893.067430555559</v>
      </c>
      <c r="C1300" s="1" t="s">
        <v>10</v>
      </c>
      <c r="D1300" s="1">
        <v>25</v>
      </c>
      <c r="F1300" s="59"/>
      <c r="G1300" s="32"/>
      <c r="H1300" s="32"/>
    </row>
    <row r="1301" spans="1:8" ht="15.75" customHeight="1">
      <c r="A1301" s="1">
        <v>16846</v>
      </c>
      <c r="B1301" s="2">
        <v>44892.962407407409</v>
      </c>
      <c r="C1301" s="1" t="s">
        <v>10</v>
      </c>
      <c r="D1301" s="1">
        <v>25</v>
      </c>
      <c r="F1301" s="59"/>
      <c r="G1301" s="32"/>
      <c r="H1301" s="32"/>
    </row>
    <row r="1302" spans="1:8" ht="15.75" customHeight="1">
      <c r="A1302" s="1">
        <v>16845</v>
      </c>
      <c r="B1302" s="2">
        <v>44892.934594907405</v>
      </c>
      <c r="C1302" s="1" t="s">
        <v>10</v>
      </c>
      <c r="D1302" s="1">
        <v>49</v>
      </c>
      <c r="F1302" s="59"/>
      <c r="G1302" s="32"/>
      <c r="H1302" s="32"/>
    </row>
    <row r="1303" spans="1:8" ht="15.75" customHeight="1">
      <c r="A1303" s="1">
        <v>16839</v>
      </c>
      <c r="B1303" s="2">
        <v>44891.822013888886</v>
      </c>
      <c r="C1303" s="1" t="s">
        <v>10</v>
      </c>
      <c r="D1303" s="1">
        <v>25</v>
      </c>
      <c r="F1303" s="59"/>
      <c r="G1303" s="32"/>
      <c r="H1303" s="32"/>
    </row>
    <row r="1304" spans="1:8" ht="15.75" customHeight="1">
      <c r="A1304" s="1">
        <v>16838</v>
      </c>
      <c r="B1304" s="2">
        <v>44891.805891203709</v>
      </c>
      <c r="C1304" s="1" t="s">
        <v>10</v>
      </c>
      <c r="D1304" s="1">
        <v>0</v>
      </c>
      <c r="F1304" s="59"/>
      <c r="G1304" s="32"/>
      <c r="H1304" s="32"/>
    </row>
    <row r="1305" spans="1:8" ht="15.75" customHeight="1">
      <c r="A1305" s="1">
        <v>16837</v>
      </c>
      <c r="B1305" s="2">
        <v>44891.803622685184</v>
      </c>
      <c r="C1305" s="1" t="s">
        <v>10</v>
      </c>
      <c r="D1305" s="1">
        <v>47</v>
      </c>
      <c r="F1305" s="59"/>
      <c r="G1305" s="32"/>
      <c r="H1305" s="32"/>
    </row>
    <row r="1306" spans="1:8" ht="15.75" customHeight="1">
      <c r="A1306" s="1">
        <v>16836</v>
      </c>
      <c r="B1306" s="2">
        <v>44890.898483796293</v>
      </c>
      <c r="C1306" s="1" t="s">
        <v>10</v>
      </c>
      <c r="D1306" s="1">
        <v>25</v>
      </c>
      <c r="E1306" s="1" t="s">
        <v>50</v>
      </c>
      <c r="F1306" s="59"/>
      <c r="G1306" s="32"/>
      <c r="H1306" s="32"/>
    </row>
    <row r="1307" spans="1:8" ht="15.75" customHeight="1">
      <c r="A1307" s="1">
        <v>16835</v>
      </c>
      <c r="B1307" s="2">
        <v>44890.892060185186</v>
      </c>
      <c r="C1307" s="1" t="s">
        <v>10</v>
      </c>
      <c r="D1307" s="1">
        <v>25</v>
      </c>
      <c r="E1307" s="1" t="s">
        <v>50</v>
      </c>
      <c r="F1307" s="59"/>
      <c r="G1307" s="32"/>
      <c r="H1307" s="32"/>
    </row>
    <row r="1308" spans="1:8" ht="15.75" customHeight="1">
      <c r="A1308" s="1">
        <v>16834</v>
      </c>
      <c r="B1308" s="2">
        <v>44890.833807870367</v>
      </c>
      <c r="C1308" s="1" t="s">
        <v>10</v>
      </c>
      <c r="D1308" s="1">
        <v>25</v>
      </c>
      <c r="E1308" s="1" t="s">
        <v>74</v>
      </c>
      <c r="F1308" s="59"/>
      <c r="G1308" s="32"/>
      <c r="H1308" s="32"/>
    </row>
    <row r="1309" spans="1:8" ht="15.75" customHeight="1">
      <c r="A1309" s="1">
        <v>16833</v>
      </c>
      <c r="B1309" s="2">
        <v>44890.786296296297</v>
      </c>
      <c r="C1309" s="1" t="s">
        <v>10</v>
      </c>
      <c r="D1309" s="1">
        <v>90</v>
      </c>
      <c r="E1309" s="1" t="s">
        <v>50</v>
      </c>
      <c r="F1309" s="59"/>
      <c r="G1309" s="32"/>
      <c r="H1309" s="32"/>
    </row>
    <row r="1310" spans="1:8" ht="15.75" customHeight="1">
      <c r="A1310" s="1">
        <v>16832</v>
      </c>
      <c r="B1310" s="2">
        <v>44890.688912037032</v>
      </c>
      <c r="C1310" s="1" t="s">
        <v>10</v>
      </c>
      <c r="D1310" s="1">
        <v>25</v>
      </c>
      <c r="E1310" s="1" t="s">
        <v>50</v>
      </c>
      <c r="F1310" s="59"/>
      <c r="G1310" s="32"/>
      <c r="H1310" s="32"/>
    </row>
    <row r="1311" spans="1:8" ht="15.75" customHeight="1">
      <c r="A1311" s="1">
        <v>16826</v>
      </c>
      <c r="B1311" s="2">
        <v>44890.118692129632</v>
      </c>
      <c r="C1311" s="1" t="s">
        <v>10</v>
      </c>
      <c r="D1311" s="1">
        <v>86</v>
      </c>
      <c r="E1311" s="1" t="s">
        <v>50</v>
      </c>
      <c r="F1311" s="59"/>
      <c r="G1311" s="32"/>
      <c r="H1311" s="32"/>
    </row>
    <row r="1312" spans="1:8" ht="15.75" customHeight="1">
      <c r="A1312" s="1">
        <v>16825</v>
      </c>
      <c r="B1312" s="2">
        <v>44890.099166666667</v>
      </c>
      <c r="C1312" s="1" t="s">
        <v>10</v>
      </c>
      <c r="D1312" s="1">
        <v>79</v>
      </c>
      <c r="E1312" s="1" t="s">
        <v>50</v>
      </c>
      <c r="F1312" s="59"/>
      <c r="G1312" s="32"/>
      <c r="H1312" s="32"/>
    </row>
    <row r="1313" spans="1:8" ht="15.75" customHeight="1">
      <c r="A1313" s="1">
        <v>16824</v>
      </c>
      <c r="B1313" s="2">
        <v>44890.02715277778</v>
      </c>
      <c r="C1313" s="1" t="s">
        <v>10</v>
      </c>
      <c r="D1313" s="1">
        <v>25</v>
      </c>
      <c r="E1313" s="1" t="s">
        <v>74</v>
      </c>
      <c r="F1313" s="59"/>
      <c r="G1313" s="32"/>
      <c r="H1313" s="32"/>
    </row>
    <row r="1314" spans="1:8" ht="15.75" customHeight="1">
      <c r="A1314" s="1">
        <v>16823</v>
      </c>
      <c r="B1314" s="2">
        <v>44890.024907407409</v>
      </c>
      <c r="C1314" s="1" t="s">
        <v>10</v>
      </c>
      <c r="D1314" s="1">
        <v>25</v>
      </c>
      <c r="E1314" s="1" t="s">
        <v>74</v>
      </c>
      <c r="F1314" s="59"/>
      <c r="G1314" s="32"/>
      <c r="H1314" s="32"/>
    </row>
    <row r="1315" spans="1:8" ht="15.75" customHeight="1">
      <c r="A1315" s="1">
        <v>16822</v>
      </c>
      <c r="B1315" s="2">
        <v>44889.993611111116</v>
      </c>
      <c r="C1315" s="1" t="s">
        <v>10</v>
      </c>
      <c r="D1315" s="1">
        <v>25</v>
      </c>
      <c r="E1315" s="1" t="s">
        <v>74</v>
      </c>
      <c r="F1315" s="59"/>
      <c r="G1315" s="32"/>
      <c r="H1315" s="32"/>
    </row>
    <row r="1316" spans="1:8" ht="15.75" customHeight="1">
      <c r="A1316" s="1">
        <v>16821</v>
      </c>
      <c r="B1316" s="2">
        <v>44889.992835648147</v>
      </c>
      <c r="C1316" s="1" t="s">
        <v>10</v>
      </c>
      <c r="D1316" s="1">
        <v>25</v>
      </c>
      <c r="E1316" s="1" t="s">
        <v>74</v>
      </c>
      <c r="F1316" s="59"/>
      <c r="G1316" s="32"/>
      <c r="H1316" s="32"/>
    </row>
    <row r="1317" spans="1:8" ht="15.75" customHeight="1">
      <c r="A1317" s="1">
        <v>16820</v>
      </c>
      <c r="B1317" s="2">
        <v>44889.990624999999</v>
      </c>
      <c r="C1317" s="1" t="s">
        <v>10</v>
      </c>
      <c r="D1317" s="1">
        <v>25</v>
      </c>
      <c r="E1317" s="1" t="s">
        <v>74</v>
      </c>
      <c r="F1317" s="59"/>
      <c r="G1317" s="32"/>
      <c r="H1317" s="32"/>
    </row>
    <row r="1318" spans="1:8" ht="15.75" customHeight="1">
      <c r="A1318" s="1">
        <v>16819</v>
      </c>
      <c r="B1318" s="2">
        <v>44889.911226851851</v>
      </c>
      <c r="C1318" s="1" t="s">
        <v>10</v>
      </c>
      <c r="D1318" s="1">
        <v>25</v>
      </c>
      <c r="E1318" s="1" t="s">
        <v>74</v>
      </c>
      <c r="F1318" s="59"/>
      <c r="G1318" s="32"/>
      <c r="H1318" s="32"/>
    </row>
    <row r="1319" spans="1:8" ht="15.75" customHeight="1">
      <c r="A1319" s="1">
        <v>16818</v>
      </c>
      <c r="B1319" s="2">
        <v>44889.863182870366</v>
      </c>
      <c r="C1319" s="1" t="s">
        <v>10</v>
      </c>
      <c r="D1319" s="1">
        <v>25</v>
      </c>
      <c r="E1319" s="1" t="s">
        <v>74</v>
      </c>
      <c r="F1319" s="59"/>
      <c r="G1319" s="32"/>
      <c r="H1319" s="32"/>
    </row>
    <row r="1320" spans="1:8" ht="15.75" customHeight="1">
      <c r="A1320" s="1">
        <v>16817</v>
      </c>
      <c r="B1320" s="2">
        <v>44889.81832175926</v>
      </c>
      <c r="C1320" s="1" t="s">
        <v>10</v>
      </c>
      <c r="D1320" s="1">
        <v>43</v>
      </c>
      <c r="E1320" s="1" t="s">
        <v>50</v>
      </c>
      <c r="F1320" s="59"/>
      <c r="G1320" s="32"/>
      <c r="H1320" s="32"/>
    </row>
    <row r="1321" spans="1:8" ht="15.75" customHeight="1">
      <c r="A1321" s="1">
        <v>16816</v>
      </c>
      <c r="B1321" s="2">
        <v>44889.595810185187</v>
      </c>
      <c r="C1321" s="1" t="s">
        <v>10</v>
      </c>
      <c r="D1321" s="1">
        <v>28</v>
      </c>
      <c r="E1321" s="1" t="s">
        <v>50</v>
      </c>
      <c r="F1321" s="59"/>
      <c r="G1321" s="32"/>
      <c r="H1321" s="32"/>
    </row>
    <row r="1322" spans="1:8" ht="15.75" customHeight="1">
      <c r="A1322" s="1">
        <v>16815</v>
      </c>
      <c r="B1322" s="2">
        <v>44889.544664351852</v>
      </c>
      <c r="C1322" s="1" t="s">
        <v>10</v>
      </c>
      <c r="D1322" s="1">
        <v>25</v>
      </c>
      <c r="E1322" s="1" t="s">
        <v>74</v>
      </c>
      <c r="F1322" s="59"/>
      <c r="G1322" s="32"/>
      <c r="H1322" s="32"/>
    </row>
    <row r="1323" spans="1:8" ht="15.75" customHeight="1">
      <c r="A1323" s="1">
        <v>16812</v>
      </c>
      <c r="B1323" s="2">
        <v>44889.18074074074</v>
      </c>
      <c r="C1323" s="1" t="s">
        <v>10</v>
      </c>
      <c r="D1323" s="1">
        <v>25</v>
      </c>
      <c r="E1323" s="1" t="s">
        <v>74</v>
      </c>
      <c r="F1323" s="59"/>
      <c r="G1323" s="32"/>
      <c r="H1323" s="32"/>
    </row>
    <row r="1324" spans="1:8" ht="15.75" customHeight="1">
      <c r="A1324" s="1">
        <v>16811</v>
      </c>
      <c r="B1324" s="2">
        <v>44889.146701388891</v>
      </c>
      <c r="C1324" s="1" t="s">
        <v>10</v>
      </c>
      <c r="D1324" s="1">
        <v>76</v>
      </c>
      <c r="E1324" s="1" t="s">
        <v>50</v>
      </c>
      <c r="F1324" s="59"/>
      <c r="G1324" s="32"/>
      <c r="H1324" s="32"/>
    </row>
    <row r="1325" spans="1:8" ht="15.75" customHeight="1">
      <c r="A1325" s="1">
        <v>16810</v>
      </c>
      <c r="B1325" s="2">
        <v>44889.122442129628</v>
      </c>
      <c r="C1325" s="1" t="s">
        <v>10</v>
      </c>
      <c r="D1325" s="1">
        <v>15</v>
      </c>
      <c r="E1325" s="1" t="s">
        <v>50</v>
      </c>
      <c r="F1325" s="59"/>
      <c r="G1325" s="32"/>
      <c r="H1325" s="32"/>
    </row>
    <row r="1326" spans="1:8" ht="15.75" customHeight="1">
      <c r="A1326" s="1">
        <v>16809</v>
      </c>
      <c r="B1326" s="2">
        <v>44889.026990740742</v>
      </c>
      <c r="C1326" s="1" t="s">
        <v>10</v>
      </c>
      <c r="D1326" s="1">
        <v>30</v>
      </c>
      <c r="E1326" s="1" t="s">
        <v>50</v>
      </c>
      <c r="F1326" s="59"/>
      <c r="G1326" s="32"/>
      <c r="H1326" s="32"/>
    </row>
    <row r="1327" spans="1:8" ht="15.75" customHeight="1">
      <c r="A1327" s="1">
        <v>16807</v>
      </c>
      <c r="B1327" s="2">
        <v>44889.006655092591</v>
      </c>
      <c r="C1327" s="1" t="s">
        <v>10</v>
      </c>
      <c r="D1327" s="1">
        <v>25</v>
      </c>
      <c r="E1327" s="1" t="s">
        <v>50</v>
      </c>
      <c r="F1327" s="59"/>
      <c r="G1327" s="32"/>
      <c r="H1327" s="32"/>
    </row>
    <row r="1328" spans="1:8" ht="15.75" customHeight="1">
      <c r="A1328" s="1">
        <v>16806</v>
      </c>
      <c r="B1328" s="2">
        <v>44889.005023148144</v>
      </c>
      <c r="C1328" s="1" t="s">
        <v>10</v>
      </c>
      <c r="D1328" s="1">
        <v>25</v>
      </c>
      <c r="E1328" s="1" t="s">
        <v>50</v>
      </c>
      <c r="F1328" s="59"/>
      <c r="G1328" s="32"/>
      <c r="H1328" s="32"/>
    </row>
    <row r="1329" spans="1:8" ht="15.75" customHeight="1">
      <c r="A1329" s="1">
        <v>16805</v>
      </c>
      <c r="B1329" s="2">
        <v>44888.997141203705</v>
      </c>
      <c r="C1329" s="1" t="s">
        <v>10</v>
      </c>
      <c r="D1329" s="1">
        <v>55</v>
      </c>
      <c r="E1329" s="1" t="s">
        <v>50</v>
      </c>
      <c r="F1329" s="59"/>
      <c r="G1329" s="32"/>
      <c r="H1329" s="32"/>
    </row>
    <row r="1330" spans="1:8" ht="15.75" customHeight="1">
      <c r="A1330" s="1">
        <v>16804</v>
      </c>
      <c r="B1330" s="2">
        <v>44888.99486111111</v>
      </c>
      <c r="C1330" s="1" t="s">
        <v>10</v>
      </c>
      <c r="D1330" s="1">
        <v>15</v>
      </c>
      <c r="E1330" s="1" t="s">
        <v>50</v>
      </c>
      <c r="F1330" s="59"/>
      <c r="G1330" s="32"/>
      <c r="H1330" s="32"/>
    </row>
    <row r="1331" spans="1:8" ht="15.75" customHeight="1">
      <c r="A1331" s="1">
        <v>16803</v>
      </c>
      <c r="B1331" s="2">
        <v>44888.993888888886</v>
      </c>
      <c r="C1331" s="1" t="s">
        <v>10</v>
      </c>
      <c r="D1331" s="1">
        <v>44</v>
      </c>
      <c r="E1331" s="1" t="s">
        <v>50</v>
      </c>
      <c r="F1331" s="59"/>
      <c r="G1331" s="32"/>
      <c r="H1331" s="32"/>
    </row>
    <row r="1332" spans="1:8" ht="15.75" customHeight="1">
      <c r="A1332" s="1">
        <v>16802</v>
      </c>
      <c r="B1332" s="2">
        <v>44888.982581018514</v>
      </c>
      <c r="C1332" s="1" t="s">
        <v>10</v>
      </c>
      <c r="D1332" s="1">
        <v>100</v>
      </c>
      <c r="E1332" s="1" t="s">
        <v>50</v>
      </c>
      <c r="F1332" s="59"/>
      <c r="G1332" s="32"/>
      <c r="H1332" s="32"/>
    </row>
    <row r="1333" spans="1:8" ht="15.75" customHeight="1">
      <c r="A1333" s="1">
        <v>16801</v>
      </c>
      <c r="B1333" s="2">
        <v>44888.975497685184</v>
      </c>
      <c r="C1333" s="1" t="s">
        <v>10</v>
      </c>
      <c r="D1333" s="1">
        <v>35</v>
      </c>
      <c r="E1333" s="1" t="s">
        <v>50</v>
      </c>
      <c r="F1333" s="59"/>
      <c r="G1333" s="32"/>
      <c r="H1333" s="32"/>
    </row>
    <row r="1334" spans="1:8" ht="15.75" customHeight="1">
      <c r="A1334" s="1">
        <v>16800</v>
      </c>
      <c r="B1334" s="2">
        <v>44888.969988425924</v>
      </c>
      <c r="C1334" s="1" t="s">
        <v>10</v>
      </c>
      <c r="D1334" s="1">
        <v>24</v>
      </c>
      <c r="E1334" s="1" t="s">
        <v>50</v>
      </c>
      <c r="F1334" s="59"/>
      <c r="G1334" s="32"/>
      <c r="H1334" s="32"/>
    </row>
    <row r="1335" spans="1:8" ht="15.75" customHeight="1">
      <c r="A1335" s="1">
        <v>16799</v>
      </c>
      <c r="B1335" s="2">
        <v>44888.968055555553</v>
      </c>
      <c r="C1335" s="1" t="s">
        <v>10</v>
      </c>
      <c r="D1335" s="1">
        <v>24</v>
      </c>
      <c r="E1335" s="1" t="s">
        <v>50</v>
      </c>
      <c r="F1335" s="59"/>
      <c r="G1335" s="32"/>
      <c r="H1335" s="32"/>
    </row>
    <row r="1336" spans="1:8" ht="15.75" customHeight="1">
      <c r="A1336" s="1">
        <v>16798</v>
      </c>
      <c r="B1336" s="2">
        <v>44888.967349537037</v>
      </c>
      <c r="C1336" s="1" t="s">
        <v>10</v>
      </c>
      <c r="D1336" s="1">
        <v>28</v>
      </c>
      <c r="E1336" s="1" t="s">
        <v>50</v>
      </c>
      <c r="F1336" s="59"/>
      <c r="G1336" s="32"/>
      <c r="H1336" s="32"/>
    </row>
    <row r="1337" spans="1:8" ht="15.75" customHeight="1">
      <c r="A1337" s="1">
        <v>16797</v>
      </c>
      <c r="B1337" s="2">
        <v>44888.965717592597</v>
      </c>
      <c r="C1337" s="1" t="s">
        <v>10</v>
      </c>
      <c r="D1337" s="1">
        <v>25</v>
      </c>
      <c r="E1337" s="1" t="s">
        <v>50</v>
      </c>
      <c r="F1337" s="59"/>
      <c r="G1337" s="32"/>
      <c r="H1337" s="32"/>
    </row>
    <row r="1338" spans="1:8" ht="15.75" customHeight="1">
      <c r="A1338" s="1">
        <v>16796</v>
      </c>
      <c r="B1338" s="2">
        <v>44888.965347222227</v>
      </c>
      <c r="C1338" s="1" t="s">
        <v>10</v>
      </c>
      <c r="D1338" s="1">
        <v>25</v>
      </c>
      <c r="E1338" s="1" t="s">
        <v>50</v>
      </c>
      <c r="F1338" s="59"/>
      <c r="G1338" s="32"/>
      <c r="H1338" s="32"/>
    </row>
    <row r="1339" spans="1:8" ht="15.75" customHeight="1">
      <c r="A1339" s="1">
        <v>16795</v>
      </c>
      <c r="B1339" s="2">
        <v>44888.963854166665</v>
      </c>
      <c r="C1339" s="1" t="s">
        <v>10</v>
      </c>
      <c r="D1339" s="1">
        <v>30</v>
      </c>
      <c r="E1339" s="1" t="s">
        <v>50</v>
      </c>
      <c r="F1339" s="59"/>
      <c r="G1339" s="32"/>
      <c r="H1339" s="32"/>
    </row>
    <row r="1340" spans="1:8" ht="15.75" customHeight="1">
      <c r="A1340" s="1">
        <v>16794</v>
      </c>
      <c r="B1340" s="2">
        <v>44888.962256944447</v>
      </c>
      <c r="C1340" s="1" t="s">
        <v>10</v>
      </c>
      <c r="D1340" s="1">
        <v>25</v>
      </c>
      <c r="E1340" s="1" t="s">
        <v>50</v>
      </c>
      <c r="F1340" s="59"/>
      <c r="G1340" s="32"/>
      <c r="H1340" s="32"/>
    </row>
    <row r="1341" spans="1:8" ht="15.75" customHeight="1">
      <c r="A1341" s="1">
        <v>16793</v>
      </c>
      <c r="B1341" s="2">
        <v>44888.960902777777</v>
      </c>
      <c r="C1341" s="1" t="s">
        <v>10</v>
      </c>
      <c r="D1341" s="1">
        <v>55</v>
      </c>
      <c r="E1341" s="1" t="s">
        <v>50</v>
      </c>
      <c r="F1341" s="59"/>
      <c r="G1341" s="32"/>
      <c r="H1341" s="32"/>
    </row>
    <row r="1342" spans="1:8" ht="15.75" customHeight="1">
      <c r="A1342" s="1">
        <v>16792</v>
      </c>
      <c r="B1342" s="2">
        <v>44888.950300925921</v>
      </c>
      <c r="C1342" s="1" t="s">
        <v>10</v>
      </c>
      <c r="D1342" s="1">
        <v>39</v>
      </c>
      <c r="E1342" s="1" t="s">
        <v>50</v>
      </c>
      <c r="F1342" s="59"/>
      <c r="G1342" s="32"/>
      <c r="H1342" s="32"/>
    </row>
    <row r="1343" spans="1:8" ht="15.75" customHeight="1">
      <c r="A1343" s="1">
        <v>16791</v>
      </c>
      <c r="B1343" s="2">
        <v>44888.948564814811</v>
      </c>
      <c r="C1343" s="1" t="s">
        <v>10</v>
      </c>
      <c r="D1343" s="1">
        <v>24</v>
      </c>
      <c r="E1343" s="1" t="s">
        <v>50</v>
      </c>
      <c r="F1343" s="59"/>
      <c r="G1343" s="32"/>
      <c r="H1343" s="32"/>
    </row>
    <row r="1344" spans="1:8" ht="15.75" customHeight="1">
      <c r="A1344" s="1">
        <v>16790</v>
      </c>
      <c r="B1344" s="2">
        <v>44888.935231481482</v>
      </c>
      <c r="C1344" s="1" t="s">
        <v>10</v>
      </c>
      <c r="D1344" s="1">
        <v>53</v>
      </c>
      <c r="E1344" s="1" t="s">
        <v>50</v>
      </c>
      <c r="F1344" s="59"/>
      <c r="G1344" s="32"/>
      <c r="H1344" s="32"/>
    </row>
    <row r="1345" spans="1:8" ht="15.75" customHeight="1">
      <c r="A1345" s="1">
        <v>16789</v>
      </c>
      <c r="B1345" s="2">
        <v>44888.920902777776</v>
      </c>
      <c r="C1345" s="1" t="s">
        <v>10</v>
      </c>
      <c r="D1345" s="1">
        <v>57</v>
      </c>
      <c r="E1345" s="1" t="s">
        <v>50</v>
      </c>
      <c r="F1345" s="59"/>
      <c r="G1345" s="32"/>
      <c r="H1345" s="32"/>
    </row>
    <row r="1346" spans="1:8" ht="15.75" customHeight="1">
      <c r="A1346" s="1">
        <v>16788</v>
      </c>
      <c r="B1346" s="2">
        <v>44888.886145833334</v>
      </c>
      <c r="C1346" s="1" t="s">
        <v>10</v>
      </c>
      <c r="D1346" s="1">
        <v>40</v>
      </c>
      <c r="E1346" s="1" t="s">
        <v>74</v>
      </c>
      <c r="F1346" s="59"/>
      <c r="G1346" s="32"/>
      <c r="H1346" s="32"/>
    </row>
    <row r="1347" spans="1:8" ht="15.75" customHeight="1">
      <c r="A1347" s="1">
        <v>16787</v>
      </c>
      <c r="B1347" s="2">
        <v>44888.84511574074</v>
      </c>
      <c r="C1347" s="1" t="s">
        <v>10</v>
      </c>
      <c r="D1347" s="1">
        <v>24</v>
      </c>
      <c r="E1347" s="1" t="s">
        <v>50</v>
      </c>
      <c r="F1347" s="59"/>
      <c r="G1347" s="32"/>
      <c r="H1347" s="32"/>
    </row>
    <row r="1348" spans="1:8" ht="15.75" customHeight="1">
      <c r="A1348" s="1">
        <v>16786</v>
      </c>
      <c r="B1348" s="2">
        <v>44888.843518518523</v>
      </c>
      <c r="C1348" s="1" t="s">
        <v>10</v>
      </c>
      <c r="D1348" s="1">
        <v>24</v>
      </c>
      <c r="E1348" s="1" t="s">
        <v>50</v>
      </c>
      <c r="F1348" s="59"/>
      <c r="G1348" s="32"/>
      <c r="H1348" s="32"/>
    </row>
    <row r="1349" spans="1:8" ht="15.75" customHeight="1">
      <c r="A1349" s="1">
        <v>16785</v>
      </c>
      <c r="B1349" s="2">
        <v>44888.818402777775</v>
      </c>
      <c r="C1349" s="1" t="s">
        <v>10</v>
      </c>
      <c r="D1349" s="1">
        <v>24</v>
      </c>
      <c r="E1349" s="1" t="s">
        <v>50</v>
      </c>
      <c r="F1349" s="59"/>
      <c r="G1349" s="32"/>
      <c r="H1349" s="32"/>
    </row>
    <row r="1350" spans="1:8" ht="15.75" customHeight="1">
      <c r="A1350" s="1">
        <v>16784</v>
      </c>
      <c r="B1350" s="2">
        <v>44888.785682870366</v>
      </c>
      <c r="C1350" s="1" t="s">
        <v>10</v>
      </c>
      <c r="D1350" s="1">
        <v>22</v>
      </c>
      <c r="E1350" s="1" t="s">
        <v>50</v>
      </c>
      <c r="F1350" s="59"/>
      <c r="G1350" s="32"/>
      <c r="H1350" s="32"/>
    </row>
    <row r="1351" spans="1:8" ht="15.75" customHeight="1">
      <c r="A1351" s="1">
        <v>16783</v>
      </c>
      <c r="B1351" s="2">
        <v>44888.635219907403</v>
      </c>
      <c r="C1351" s="1" t="s">
        <v>10</v>
      </c>
      <c r="D1351" s="1">
        <v>50</v>
      </c>
      <c r="E1351" s="1" t="s">
        <v>74</v>
      </c>
      <c r="F1351" s="59"/>
      <c r="G1351" s="32"/>
      <c r="H1351" s="32"/>
    </row>
    <row r="1352" spans="1:8" ht="15.75" customHeight="1">
      <c r="A1352" s="1">
        <v>16782</v>
      </c>
      <c r="B1352" s="2">
        <v>44888.6015625</v>
      </c>
      <c r="C1352" s="1" t="s">
        <v>10</v>
      </c>
      <c r="D1352" s="1">
        <v>55</v>
      </c>
      <c r="E1352" s="1" t="s">
        <v>50</v>
      </c>
      <c r="F1352" s="59"/>
      <c r="G1352" s="32"/>
      <c r="H1352" s="32"/>
    </row>
    <row r="1353" spans="1:8" ht="15.75" customHeight="1">
      <c r="A1353" s="1">
        <v>16781</v>
      </c>
      <c r="B1353" s="2">
        <v>44888.572268518517</v>
      </c>
      <c r="C1353" s="1" t="s">
        <v>10</v>
      </c>
      <c r="D1353" s="1">
        <v>53</v>
      </c>
      <c r="E1353" s="1" t="s">
        <v>74</v>
      </c>
      <c r="F1353" s="59"/>
      <c r="G1353" s="32"/>
      <c r="H1353" s="32"/>
    </row>
    <row r="1354" spans="1:8" ht="15.75" customHeight="1">
      <c r="A1354" s="1">
        <v>16780</v>
      </c>
      <c r="B1354" s="2">
        <v>44888.536469907413</v>
      </c>
      <c r="C1354" s="1" t="s">
        <v>10</v>
      </c>
      <c r="D1354" s="1">
        <v>59</v>
      </c>
      <c r="E1354" s="1" t="s">
        <v>50</v>
      </c>
      <c r="F1354" s="59"/>
      <c r="G1354" s="32"/>
      <c r="H1354" s="32"/>
    </row>
    <row r="1355" spans="1:8" ht="15.75" customHeight="1">
      <c r="A1355" s="1">
        <v>16779</v>
      </c>
      <c r="B1355" s="2">
        <v>44888.165150462963</v>
      </c>
      <c r="C1355" s="1" t="s">
        <v>10</v>
      </c>
      <c r="D1355" s="1">
        <v>68</v>
      </c>
      <c r="E1355" s="1" t="s">
        <v>50</v>
      </c>
      <c r="F1355" s="59"/>
      <c r="G1355" s="32"/>
      <c r="H1355" s="32"/>
    </row>
    <row r="1356" spans="1:8" ht="15.75" customHeight="1">
      <c r="A1356" s="1">
        <v>16778</v>
      </c>
      <c r="B1356" s="2">
        <v>44888.156805555554</v>
      </c>
      <c r="C1356" s="1" t="s">
        <v>10</v>
      </c>
      <c r="D1356" s="1">
        <v>24</v>
      </c>
      <c r="E1356" s="1" t="s">
        <v>50</v>
      </c>
      <c r="F1356" s="59"/>
      <c r="G1356" s="32"/>
      <c r="H1356" s="32"/>
    </row>
    <row r="1357" spans="1:8" ht="15.75" customHeight="1">
      <c r="A1357" s="1">
        <v>16777</v>
      </c>
      <c r="B1357" s="2">
        <v>44888.15489583333</v>
      </c>
      <c r="C1357" s="1" t="s">
        <v>10</v>
      </c>
      <c r="D1357" s="1">
        <v>45</v>
      </c>
      <c r="E1357" s="1" t="s">
        <v>50</v>
      </c>
      <c r="F1357" s="59"/>
      <c r="G1357" s="32"/>
      <c r="H1357" s="32"/>
    </row>
    <row r="1358" spans="1:8" ht="15.75" customHeight="1">
      <c r="A1358" s="1">
        <v>16776</v>
      </c>
      <c r="B1358" s="2">
        <v>44888.078680555554</v>
      </c>
      <c r="C1358" s="1" t="s">
        <v>10</v>
      </c>
      <c r="D1358" s="1">
        <v>20</v>
      </c>
      <c r="E1358" s="1" t="s">
        <v>50</v>
      </c>
      <c r="F1358" s="59"/>
      <c r="G1358" s="32"/>
      <c r="H1358" s="32"/>
    </row>
    <row r="1359" spans="1:8" ht="15.75" customHeight="1">
      <c r="A1359" s="1">
        <v>16775</v>
      </c>
      <c r="B1359" s="2">
        <v>44888.07613425926</v>
      </c>
      <c r="C1359" s="1" t="s">
        <v>10</v>
      </c>
      <c r="D1359" s="1">
        <v>35</v>
      </c>
      <c r="E1359" s="1" t="s">
        <v>50</v>
      </c>
      <c r="F1359" s="59"/>
      <c r="G1359" s="32"/>
      <c r="H1359" s="32"/>
    </row>
    <row r="1360" spans="1:8" ht="15.75" customHeight="1">
      <c r="A1360" s="1">
        <v>16774</v>
      </c>
      <c r="B1360" s="2">
        <v>44888.07335648148</v>
      </c>
      <c r="C1360" s="1" t="s">
        <v>10</v>
      </c>
      <c r="D1360" s="1">
        <v>20</v>
      </c>
      <c r="E1360" s="1" t="s">
        <v>50</v>
      </c>
      <c r="F1360" s="59"/>
      <c r="G1360" s="32"/>
      <c r="H1360" s="32"/>
    </row>
    <row r="1361" spans="1:8" ht="15.75" customHeight="1">
      <c r="A1361" s="1">
        <v>16773</v>
      </c>
      <c r="B1361" s="2">
        <v>44888.069537037038</v>
      </c>
      <c r="C1361" s="1" t="s">
        <v>10</v>
      </c>
      <c r="D1361" s="1">
        <v>49</v>
      </c>
      <c r="E1361" s="1" t="s">
        <v>50</v>
      </c>
      <c r="F1361" s="59"/>
      <c r="G1361" s="32"/>
      <c r="H1361" s="32"/>
    </row>
    <row r="1362" spans="1:8" ht="15.75" customHeight="1">
      <c r="A1362" s="1">
        <v>16772</v>
      </c>
      <c r="B1362" s="2">
        <v>44888.065821759257</v>
      </c>
      <c r="C1362" s="1" t="s">
        <v>10</v>
      </c>
      <c r="D1362" s="1">
        <v>58</v>
      </c>
      <c r="E1362" s="1" t="s">
        <v>50</v>
      </c>
      <c r="F1362" s="59"/>
      <c r="G1362" s="32"/>
      <c r="H1362" s="32"/>
    </row>
    <row r="1363" spans="1:8" ht="15.75" customHeight="1">
      <c r="A1363" s="1">
        <v>16771</v>
      </c>
      <c r="B1363" s="2">
        <v>44888.065474537041</v>
      </c>
      <c r="C1363" s="1" t="s">
        <v>10</v>
      </c>
      <c r="D1363" s="1">
        <v>25</v>
      </c>
      <c r="E1363" s="1" t="s">
        <v>50</v>
      </c>
      <c r="F1363" s="59"/>
      <c r="G1363" s="32"/>
      <c r="H1363" s="32"/>
    </row>
    <row r="1364" spans="1:8" ht="15.75" customHeight="1">
      <c r="A1364" s="1">
        <v>16770</v>
      </c>
      <c r="B1364" s="2">
        <v>44888.062939814816</v>
      </c>
      <c r="C1364" s="1" t="s">
        <v>10</v>
      </c>
      <c r="D1364" s="1">
        <v>24</v>
      </c>
      <c r="E1364" s="1" t="s">
        <v>50</v>
      </c>
      <c r="F1364" s="59"/>
      <c r="G1364" s="32"/>
      <c r="H1364" s="32"/>
    </row>
    <row r="1365" spans="1:8" ht="15.75" customHeight="1">
      <c r="A1365" s="1">
        <v>16769</v>
      </c>
      <c r="B1365" s="2">
        <v>44888.057291666672</v>
      </c>
      <c r="C1365" s="1" t="s">
        <v>10</v>
      </c>
      <c r="D1365" s="1">
        <v>25</v>
      </c>
      <c r="E1365" s="1" t="s">
        <v>50</v>
      </c>
      <c r="F1365" s="59"/>
      <c r="G1365" s="32"/>
      <c r="H1365" s="32"/>
    </row>
    <row r="1366" spans="1:8" ht="15.75" customHeight="1">
      <c r="A1366" s="1">
        <v>16768</v>
      </c>
      <c r="B1366" s="2">
        <v>44888.047986111109</v>
      </c>
      <c r="C1366" s="1" t="s">
        <v>10</v>
      </c>
      <c r="D1366" s="1">
        <v>35</v>
      </c>
      <c r="E1366" s="1" t="s">
        <v>50</v>
      </c>
      <c r="F1366" s="59"/>
      <c r="G1366" s="32"/>
      <c r="H1366" s="32"/>
    </row>
    <row r="1367" spans="1:8" ht="15.75" customHeight="1">
      <c r="A1367" s="1">
        <v>16767</v>
      </c>
      <c r="B1367" s="2">
        <v>44888.045057870375</v>
      </c>
      <c r="C1367" s="1" t="s">
        <v>10</v>
      </c>
      <c r="D1367" s="1">
        <v>35</v>
      </c>
      <c r="E1367" s="1" t="s">
        <v>50</v>
      </c>
      <c r="F1367" s="59"/>
      <c r="G1367" s="32"/>
      <c r="H1367" s="32"/>
    </row>
    <row r="1368" spans="1:8" ht="15.75" customHeight="1">
      <c r="A1368" s="1">
        <v>16766</v>
      </c>
      <c r="B1368" s="2">
        <v>44888.041886574079</v>
      </c>
      <c r="C1368" s="1" t="s">
        <v>10</v>
      </c>
      <c r="D1368" s="1">
        <v>35</v>
      </c>
      <c r="E1368" s="1" t="s">
        <v>50</v>
      </c>
      <c r="F1368" s="59"/>
      <c r="G1368" s="32"/>
      <c r="H1368" s="32"/>
    </row>
    <row r="1369" spans="1:8" ht="15.75" customHeight="1">
      <c r="A1369" s="1">
        <v>16765</v>
      </c>
      <c r="B1369" s="2">
        <v>44888.04142361111</v>
      </c>
      <c r="C1369" s="1" t="s">
        <v>10</v>
      </c>
      <c r="D1369" s="1">
        <v>35</v>
      </c>
      <c r="E1369" s="1" t="s">
        <v>50</v>
      </c>
      <c r="F1369" s="59"/>
      <c r="G1369" s="32"/>
      <c r="H1369" s="32"/>
    </row>
    <row r="1370" spans="1:8" ht="15.75" customHeight="1">
      <c r="A1370" s="1">
        <v>16764</v>
      </c>
      <c r="B1370" s="2">
        <v>44888.03974537037</v>
      </c>
      <c r="C1370" s="1" t="s">
        <v>10</v>
      </c>
      <c r="D1370" s="1">
        <v>25</v>
      </c>
      <c r="E1370" s="1" t="s">
        <v>50</v>
      </c>
      <c r="F1370" s="59"/>
      <c r="G1370" s="32"/>
      <c r="H1370" s="32"/>
    </row>
    <row r="1371" spans="1:8" ht="15.75" customHeight="1">
      <c r="A1371" s="1">
        <v>16763</v>
      </c>
      <c r="B1371" s="2">
        <v>44888.039594907408</v>
      </c>
      <c r="C1371" s="1" t="s">
        <v>10</v>
      </c>
      <c r="D1371" s="1">
        <v>35</v>
      </c>
      <c r="E1371" s="1" t="s">
        <v>50</v>
      </c>
      <c r="F1371" s="59"/>
      <c r="G1371" s="32"/>
      <c r="H1371" s="32"/>
    </row>
    <row r="1372" spans="1:8" ht="15.75" customHeight="1">
      <c r="A1372" s="1">
        <v>16762</v>
      </c>
      <c r="B1372" s="2">
        <v>44888.038206018522</v>
      </c>
      <c r="C1372" s="1" t="s">
        <v>10</v>
      </c>
      <c r="D1372" s="1">
        <v>20</v>
      </c>
      <c r="E1372" s="1" t="s">
        <v>50</v>
      </c>
      <c r="F1372" s="59"/>
      <c r="G1372" s="32"/>
      <c r="H1372" s="32"/>
    </row>
    <row r="1373" spans="1:8" ht="15.75" customHeight="1">
      <c r="A1373" s="1">
        <v>16761</v>
      </c>
      <c r="B1373" s="2">
        <v>44888.036122685182</v>
      </c>
      <c r="C1373" s="1" t="s">
        <v>10</v>
      </c>
      <c r="D1373" s="1">
        <v>42</v>
      </c>
      <c r="E1373" s="1" t="s">
        <v>50</v>
      </c>
      <c r="F1373" s="59"/>
      <c r="G1373" s="32"/>
      <c r="H1373" s="32"/>
    </row>
    <row r="1374" spans="1:8" ht="15.75" customHeight="1">
      <c r="A1374" s="1">
        <v>16760</v>
      </c>
      <c r="B1374" s="2">
        <v>44888.035092592589</v>
      </c>
      <c r="C1374" s="1" t="s">
        <v>10</v>
      </c>
      <c r="D1374" s="1">
        <v>88</v>
      </c>
      <c r="E1374" s="1" t="s">
        <v>50</v>
      </c>
      <c r="F1374" s="59"/>
      <c r="G1374" s="32"/>
      <c r="H1374" s="32"/>
    </row>
    <row r="1375" spans="1:8" ht="15.75" customHeight="1">
      <c r="A1375" s="1">
        <v>16759</v>
      </c>
      <c r="B1375" s="2">
        <v>44888.032812500001</v>
      </c>
      <c r="C1375" s="1" t="s">
        <v>10</v>
      </c>
      <c r="D1375" s="1">
        <v>25</v>
      </c>
      <c r="E1375" s="1" t="s">
        <v>50</v>
      </c>
      <c r="F1375" s="59"/>
      <c r="G1375" s="32"/>
      <c r="H1375" s="32"/>
    </row>
    <row r="1376" spans="1:8" ht="15.75" customHeight="1">
      <c r="A1376" s="1">
        <v>16758</v>
      </c>
      <c r="B1376" s="2">
        <v>44888.03125</v>
      </c>
      <c r="C1376" s="1" t="s">
        <v>10</v>
      </c>
      <c r="D1376" s="1">
        <v>35</v>
      </c>
      <c r="E1376" s="1" t="s">
        <v>50</v>
      </c>
      <c r="F1376" s="59"/>
      <c r="G1376" s="32"/>
      <c r="H1376" s="32"/>
    </row>
    <row r="1377" spans="1:8" ht="15.75" customHeight="1">
      <c r="A1377" s="1">
        <v>16757</v>
      </c>
      <c r="B1377" s="2">
        <v>44888.028009259258</v>
      </c>
      <c r="C1377" s="1" t="s">
        <v>10</v>
      </c>
      <c r="D1377" s="1">
        <v>35</v>
      </c>
      <c r="E1377" s="1" t="s">
        <v>50</v>
      </c>
      <c r="F1377" s="59"/>
      <c r="G1377" s="32"/>
      <c r="H1377" s="32"/>
    </row>
    <row r="1378" spans="1:8" ht="15.75" customHeight="1">
      <c r="A1378" s="1">
        <v>16756</v>
      </c>
      <c r="B1378" s="2">
        <v>44888.028009259258</v>
      </c>
      <c r="C1378" s="1" t="s">
        <v>10</v>
      </c>
      <c r="D1378" s="1">
        <v>24</v>
      </c>
      <c r="E1378" s="1" t="s">
        <v>50</v>
      </c>
      <c r="F1378" s="59"/>
      <c r="G1378" s="32"/>
      <c r="H1378" s="32"/>
    </row>
    <row r="1379" spans="1:8" ht="15.75" customHeight="1">
      <c r="A1379" s="1">
        <v>16755</v>
      </c>
      <c r="B1379" s="2">
        <v>44888.018043981487</v>
      </c>
      <c r="C1379" s="1" t="s">
        <v>10</v>
      </c>
      <c r="D1379" s="1">
        <v>0</v>
      </c>
      <c r="E1379" s="1" t="s">
        <v>50</v>
      </c>
      <c r="F1379" s="59"/>
      <c r="G1379" s="32"/>
      <c r="H1379" s="32"/>
    </row>
    <row r="1380" spans="1:8" ht="15.75" customHeight="1">
      <c r="A1380" s="1">
        <v>16754</v>
      </c>
      <c r="B1380" s="2">
        <v>44888.009976851856</v>
      </c>
      <c r="C1380" s="1" t="s">
        <v>10</v>
      </c>
      <c r="D1380" s="1">
        <v>45</v>
      </c>
      <c r="E1380" s="1" t="s">
        <v>50</v>
      </c>
      <c r="F1380" s="59"/>
      <c r="G1380" s="32"/>
      <c r="H1380" s="32"/>
    </row>
    <row r="1381" spans="1:8" ht="15.75" customHeight="1">
      <c r="A1381" s="1">
        <v>16753</v>
      </c>
      <c r="B1381" s="2">
        <v>44888.008009259254</v>
      </c>
      <c r="C1381" s="1" t="s">
        <v>10</v>
      </c>
      <c r="D1381" s="1">
        <v>55</v>
      </c>
      <c r="E1381" s="1" t="s">
        <v>50</v>
      </c>
      <c r="F1381" s="59"/>
      <c r="G1381" s="32"/>
      <c r="H1381" s="32"/>
    </row>
    <row r="1382" spans="1:8" ht="15.75" customHeight="1">
      <c r="A1382" s="1">
        <v>16752</v>
      </c>
      <c r="B1382" s="2">
        <v>44888.006539351853</v>
      </c>
      <c r="C1382" s="1" t="s">
        <v>10</v>
      </c>
      <c r="D1382" s="1">
        <v>35</v>
      </c>
      <c r="E1382" s="1" t="s">
        <v>50</v>
      </c>
      <c r="F1382" s="59"/>
      <c r="G1382" s="32"/>
      <c r="H1382" s="32"/>
    </row>
    <row r="1383" spans="1:8" ht="15.75" customHeight="1">
      <c r="A1383" s="1">
        <v>16751</v>
      </c>
      <c r="B1383" s="2">
        <v>44888.003750000003</v>
      </c>
      <c r="C1383" s="1" t="s">
        <v>10</v>
      </c>
      <c r="D1383" s="1">
        <v>35</v>
      </c>
      <c r="E1383" s="1" t="s">
        <v>50</v>
      </c>
      <c r="F1383" s="59"/>
      <c r="G1383" s="32"/>
      <c r="H1383" s="32"/>
    </row>
    <row r="1384" spans="1:8" ht="15.75" customHeight="1">
      <c r="A1384" s="1">
        <v>16750</v>
      </c>
      <c r="B1384" s="2">
        <v>44887.999027777776</v>
      </c>
      <c r="C1384" s="1" t="s">
        <v>10</v>
      </c>
      <c r="D1384" s="1">
        <v>25</v>
      </c>
      <c r="E1384" s="1" t="s">
        <v>50</v>
      </c>
      <c r="F1384" s="59"/>
      <c r="G1384" s="32"/>
      <c r="H1384" s="32"/>
    </row>
    <row r="1385" spans="1:8" ht="15.75" customHeight="1">
      <c r="A1385" s="1">
        <v>16749</v>
      </c>
      <c r="B1385" s="2">
        <v>44887.998194444444</v>
      </c>
      <c r="C1385" s="1" t="s">
        <v>10</v>
      </c>
      <c r="D1385" s="1">
        <v>15</v>
      </c>
      <c r="E1385" s="1" t="s">
        <v>50</v>
      </c>
      <c r="F1385" s="59"/>
      <c r="G1385" s="32"/>
      <c r="H1385" s="32"/>
    </row>
    <row r="1386" spans="1:8" ht="15.75" customHeight="1">
      <c r="A1386" s="1">
        <v>16748</v>
      </c>
      <c r="B1386" s="2">
        <v>44887.990173611106</v>
      </c>
      <c r="C1386" s="1" t="s">
        <v>10</v>
      </c>
      <c r="D1386" s="1">
        <v>25</v>
      </c>
      <c r="E1386" s="1" t="s">
        <v>50</v>
      </c>
      <c r="F1386" s="59"/>
      <c r="G1386" s="32"/>
      <c r="H1386" s="32"/>
    </row>
    <row r="1387" spans="1:8" ht="15.75" customHeight="1">
      <c r="A1387" s="1">
        <v>16747</v>
      </c>
      <c r="B1387" s="2">
        <v>44887.989687499998</v>
      </c>
      <c r="C1387" s="1" t="s">
        <v>10</v>
      </c>
      <c r="D1387" s="1">
        <v>53</v>
      </c>
      <c r="E1387" s="1" t="s">
        <v>50</v>
      </c>
      <c r="F1387" s="59"/>
      <c r="G1387" s="32"/>
      <c r="H1387" s="32"/>
    </row>
    <row r="1388" spans="1:8" ht="15.75" customHeight="1">
      <c r="A1388" s="1">
        <v>16746</v>
      </c>
      <c r="B1388" s="2">
        <v>44887.986597222218</v>
      </c>
      <c r="C1388" s="1" t="s">
        <v>10</v>
      </c>
      <c r="D1388" s="1">
        <v>35</v>
      </c>
      <c r="E1388" s="1" t="s">
        <v>50</v>
      </c>
      <c r="F1388" s="59"/>
      <c r="G1388" s="32"/>
      <c r="H1388" s="32"/>
    </row>
    <row r="1389" spans="1:8" ht="15.75" customHeight="1">
      <c r="A1389" s="1">
        <v>16745</v>
      </c>
      <c r="B1389" s="2">
        <v>44887.985173611116</v>
      </c>
      <c r="C1389" s="1" t="s">
        <v>10</v>
      </c>
      <c r="D1389" s="1">
        <v>53</v>
      </c>
      <c r="E1389" s="1" t="s">
        <v>50</v>
      </c>
      <c r="F1389" s="59"/>
      <c r="G1389" s="32"/>
      <c r="H1389" s="32"/>
    </row>
    <row r="1390" spans="1:8" ht="15.75" customHeight="1">
      <c r="A1390" s="1">
        <v>16744</v>
      </c>
      <c r="B1390" s="2">
        <v>44887.983807870369</v>
      </c>
      <c r="C1390" s="1" t="s">
        <v>10</v>
      </c>
      <c r="D1390" s="1">
        <v>25</v>
      </c>
      <c r="E1390" s="1" t="s">
        <v>50</v>
      </c>
      <c r="F1390" s="59"/>
      <c r="G1390" s="32"/>
      <c r="H1390" s="32"/>
    </row>
    <row r="1391" spans="1:8" ht="15.75" customHeight="1">
      <c r="A1391" s="1">
        <v>16743</v>
      </c>
      <c r="B1391" s="2">
        <v>44887.977083333331</v>
      </c>
      <c r="C1391" s="1" t="s">
        <v>10</v>
      </c>
      <c r="D1391" s="1">
        <v>28</v>
      </c>
      <c r="E1391" s="1" t="s">
        <v>50</v>
      </c>
      <c r="F1391" s="59"/>
      <c r="G1391" s="32"/>
      <c r="H1391" s="32"/>
    </row>
    <row r="1392" spans="1:8" ht="15.75" customHeight="1">
      <c r="A1392" s="1">
        <v>16742</v>
      </c>
      <c r="B1392" s="2">
        <v>44887.976226851853</v>
      </c>
      <c r="C1392" s="1" t="s">
        <v>10</v>
      </c>
      <c r="D1392" s="1">
        <v>44</v>
      </c>
      <c r="E1392" s="1" t="s">
        <v>50</v>
      </c>
      <c r="F1392" s="59"/>
      <c r="G1392" s="32"/>
      <c r="H1392" s="32"/>
    </row>
    <row r="1393" spans="1:8" ht="15.75" customHeight="1">
      <c r="A1393" s="1">
        <v>16741</v>
      </c>
      <c r="B1393" s="2">
        <v>44887.975995370369</v>
      </c>
      <c r="C1393" s="1" t="s">
        <v>10</v>
      </c>
      <c r="D1393" s="1">
        <v>24</v>
      </c>
      <c r="E1393" s="1" t="s">
        <v>50</v>
      </c>
      <c r="F1393" s="59"/>
      <c r="G1393" s="32"/>
      <c r="H1393" s="32"/>
    </row>
    <row r="1394" spans="1:8" ht="15.75" customHeight="1">
      <c r="A1394" s="1">
        <v>16740</v>
      </c>
      <c r="B1394" s="2">
        <v>44887.973761574074</v>
      </c>
      <c r="C1394" s="1" t="s">
        <v>10</v>
      </c>
      <c r="D1394" s="1">
        <v>55</v>
      </c>
      <c r="E1394" s="1" t="s">
        <v>50</v>
      </c>
      <c r="F1394" s="59"/>
      <c r="G1394" s="32"/>
      <c r="H1394" s="32"/>
    </row>
    <row r="1395" spans="1:8" ht="15.75" customHeight="1">
      <c r="A1395" s="1">
        <v>16739</v>
      </c>
      <c r="B1395" s="2">
        <v>44887.970520833333</v>
      </c>
      <c r="C1395" s="1" t="s">
        <v>10</v>
      </c>
      <c r="D1395" s="1">
        <v>25</v>
      </c>
      <c r="E1395" s="1" t="s">
        <v>50</v>
      </c>
      <c r="F1395" s="59"/>
      <c r="G1395" s="32"/>
      <c r="H1395" s="32"/>
    </row>
    <row r="1396" spans="1:8" ht="15.75" customHeight="1">
      <c r="A1396" s="1">
        <v>16738</v>
      </c>
      <c r="B1396" s="2">
        <v>44887.970324074078</v>
      </c>
      <c r="C1396" s="1" t="s">
        <v>10</v>
      </c>
      <c r="D1396" s="1">
        <v>35</v>
      </c>
      <c r="E1396" s="1" t="s">
        <v>50</v>
      </c>
      <c r="F1396" s="59"/>
      <c r="G1396" s="32"/>
      <c r="H1396" s="32"/>
    </row>
    <row r="1397" spans="1:8" ht="15.75" customHeight="1">
      <c r="A1397" s="1">
        <v>16737</v>
      </c>
      <c r="B1397" s="2">
        <v>44887.968518518523</v>
      </c>
      <c r="C1397" s="1" t="s">
        <v>10</v>
      </c>
      <c r="D1397" s="1">
        <v>25</v>
      </c>
      <c r="E1397" s="1" t="s">
        <v>50</v>
      </c>
      <c r="F1397" s="59"/>
      <c r="G1397" s="32"/>
      <c r="H1397" s="32"/>
    </row>
    <row r="1398" spans="1:8" ht="15.75" customHeight="1">
      <c r="A1398" s="1">
        <v>16736</v>
      </c>
      <c r="B1398" s="2">
        <v>44887.967824074076</v>
      </c>
      <c r="C1398" s="1" t="s">
        <v>10</v>
      </c>
      <c r="D1398" s="1">
        <v>35</v>
      </c>
      <c r="E1398" s="1" t="s">
        <v>50</v>
      </c>
      <c r="F1398" s="59"/>
      <c r="G1398" s="32"/>
      <c r="H1398" s="32"/>
    </row>
    <row r="1399" spans="1:8" ht="15.75" customHeight="1">
      <c r="A1399" s="1">
        <v>16735</v>
      </c>
      <c r="B1399" s="2">
        <v>44887.942361111112</v>
      </c>
      <c r="C1399" s="1" t="s">
        <v>10</v>
      </c>
      <c r="D1399" s="1">
        <v>39</v>
      </c>
      <c r="E1399" s="1" t="s">
        <v>50</v>
      </c>
      <c r="F1399" s="59"/>
      <c r="G1399" s="32"/>
      <c r="H1399" s="32"/>
    </row>
    <row r="1400" spans="1:8" ht="15.75" customHeight="1">
      <c r="A1400" s="1">
        <v>16734</v>
      </c>
      <c r="B1400" s="2">
        <v>44887.94231481482</v>
      </c>
      <c r="C1400" s="1" t="s">
        <v>10</v>
      </c>
      <c r="D1400" s="1">
        <v>63</v>
      </c>
      <c r="E1400" s="1" t="s">
        <v>50</v>
      </c>
      <c r="F1400" s="59"/>
      <c r="G1400" s="32"/>
      <c r="H1400" s="32"/>
    </row>
    <row r="1401" spans="1:8" ht="15.75" customHeight="1">
      <c r="A1401" s="1">
        <v>16733</v>
      </c>
      <c r="B1401" s="2">
        <v>44887.937615740739</v>
      </c>
      <c r="C1401" s="1" t="s">
        <v>10</v>
      </c>
      <c r="D1401" s="1">
        <v>42</v>
      </c>
      <c r="E1401" s="1" t="s">
        <v>50</v>
      </c>
      <c r="F1401" s="59"/>
      <c r="G1401" s="32"/>
      <c r="H1401" s="32"/>
    </row>
    <row r="1402" spans="1:8" ht="15.75" customHeight="1">
      <c r="A1402" s="1">
        <v>16732</v>
      </c>
      <c r="B1402" s="2">
        <v>44887.914849537032</v>
      </c>
      <c r="C1402" s="1" t="s">
        <v>10</v>
      </c>
      <c r="D1402" s="1">
        <v>18</v>
      </c>
      <c r="E1402" s="1" t="s">
        <v>50</v>
      </c>
      <c r="F1402" s="59"/>
      <c r="G1402" s="32"/>
      <c r="H1402" s="32"/>
    </row>
    <row r="1403" spans="1:8" ht="15.75" customHeight="1">
      <c r="A1403" s="1">
        <v>16730</v>
      </c>
      <c r="B1403" s="2">
        <v>44887.859918981485</v>
      </c>
      <c r="C1403" s="1" t="s">
        <v>10</v>
      </c>
      <c r="D1403" s="1">
        <v>15</v>
      </c>
      <c r="E1403" s="1" t="s">
        <v>50</v>
      </c>
      <c r="F1403" s="59"/>
      <c r="G1403" s="32"/>
      <c r="H1403" s="32"/>
    </row>
    <row r="1404" spans="1:8" ht="15.75" customHeight="1">
      <c r="A1404" s="1">
        <v>16729</v>
      </c>
      <c r="B1404" s="2">
        <v>44887.822280092594</v>
      </c>
      <c r="C1404" s="1" t="s">
        <v>10</v>
      </c>
      <c r="D1404" s="1">
        <v>35</v>
      </c>
      <c r="E1404" s="1" t="s">
        <v>50</v>
      </c>
      <c r="F1404" s="59"/>
      <c r="G1404" s="32"/>
      <c r="H1404" s="32"/>
    </row>
    <row r="1405" spans="1:8" ht="15.75" customHeight="1">
      <c r="A1405" s="1">
        <v>16728</v>
      </c>
      <c r="B1405" s="2">
        <v>44887.770995370374</v>
      </c>
      <c r="C1405" s="1" t="s">
        <v>10</v>
      </c>
      <c r="D1405" s="1">
        <v>47</v>
      </c>
      <c r="E1405" s="1" t="s">
        <v>90</v>
      </c>
      <c r="F1405" s="59"/>
      <c r="G1405" s="32"/>
      <c r="H1405" s="32"/>
    </row>
    <row r="1406" spans="1:8" ht="15.75" customHeight="1">
      <c r="A1406" s="1">
        <v>16727</v>
      </c>
      <c r="B1406" s="2">
        <v>44887.730856481481</v>
      </c>
      <c r="C1406" s="1" t="s">
        <v>10</v>
      </c>
      <c r="D1406" s="1">
        <v>55</v>
      </c>
      <c r="E1406" s="1" t="s">
        <v>50</v>
      </c>
      <c r="F1406" s="59"/>
      <c r="G1406" s="32"/>
      <c r="H1406" s="32"/>
    </row>
    <row r="1407" spans="1:8" ht="15.75" customHeight="1">
      <c r="A1407" s="1">
        <v>16726</v>
      </c>
      <c r="B1407" s="2">
        <v>44887.729444444441</v>
      </c>
      <c r="C1407" s="1" t="s">
        <v>10</v>
      </c>
      <c r="D1407" s="1">
        <v>28</v>
      </c>
      <c r="E1407" s="1" t="s">
        <v>50</v>
      </c>
      <c r="F1407" s="59"/>
      <c r="G1407" s="32"/>
      <c r="H1407" s="32"/>
    </row>
    <row r="1408" spans="1:8" ht="15.75" customHeight="1">
      <c r="A1408" s="1">
        <v>16725</v>
      </c>
      <c r="B1408" s="2">
        <v>44887.693449074075</v>
      </c>
      <c r="C1408" s="1" t="s">
        <v>10</v>
      </c>
      <c r="D1408" s="1">
        <v>35</v>
      </c>
      <c r="E1408" s="1" t="s">
        <v>50</v>
      </c>
      <c r="F1408" s="59"/>
      <c r="G1408" s="32"/>
      <c r="H1408" s="32"/>
    </row>
    <row r="1409" spans="1:8" ht="15.75" customHeight="1">
      <c r="A1409" s="1">
        <v>16724</v>
      </c>
      <c r="B1409" s="2">
        <v>44887.691759259258</v>
      </c>
      <c r="C1409" s="1" t="s">
        <v>10</v>
      </c>
      <c r="D1409" s="1">
        <v>42</v>
      </c>
      <c r="E1409" s="1" t="s">
        <v>50</v>
      </c>
      <c r="F1409" s="59"/>
      <c r="G1409" s="32"/>
      <c r="H1409" s="32"/>
    </row>
    <row r="1410" spans="1:8" ht="15.75" customHeight="1">
      <c r="A1410" s="1">
        <v>16723</v>
      </c>
      <c r="B1410" s="2">
        <v>44887.539178240739</v>
      </c>
      <c r="C1410" s="1" t="s">
        <v>10</v>
      </c>
      <c r="D1410" s="1">
        <v>35</v>
      </c>
      <c r="E1410" s="1" t="s">
        <v>50</v>
      </c>
      <c r="F1410" s="59"/>
      <c r="G1410" s="32"/>
      <c r="H1410" s="32"/>
    </row>
    <row r="1411" spans="1:8" ht="15.75" customHeight="1">
      <c r="A1411" s="1">
        <v>16719</v>
      </c>
      <c r="B1411" s="2">
        <v>44887.138159722221</v>
      </c>
      <c r="C1411" s="1" t="s">
        <v>10</v>
      </c>
      <c r="D1411" s="1">
        <v>20</v>
      </c>
      <c r="E1411" s="1" t="s">
        <v>50</v>
      </c>
      <c r="F1411" s="59"/>
      <c r="G1411" s="32"/>
      <c r="H1411" s="32"/>
    </row>
    <row r="1412" spans="1:8" ht="15.75" customHeight="1">
      <c r="A1412" s="1">
        <v>16718</v>
      </c>
      <c r="B1412" s="2">
        <v>44887.09674768518</v>
      </c>
      <c r="C1412" s="1" t="s">
        <v>10</v>
      </c>
      <c r="D1412" s="1">
        <v>35</v>
      </c>
      <c r="E1412" s="1" t="s">
        <v>50</v>
      </c>
      <c r="F1412" s="59"/>
      <c r="G1412" s="32"/>
      <c r="H1412" s="32"/>
    </row>
    <row r="1413" spans="1:8" ht="15.75" customHeight="1">
      <c r="A1413" s="1">
        <v>16717</v>
      </c>
      <c r="B1413" s="2">
        <v>44887.050057870365</v>
      </c>
      <c r="C1413" s="1" t="s">
        <v>10</v>
      </c>
      <c r="D1413" s="1">
        <v>10</v>
      </c>
      <c r="E1413" s="1" t="s">
        <v>50</v>
      </c>
      <c r="F1413" s="59"/>
      <c r="G1413" s="32"/>
      <c r="H1413" s="32"/>
    </row>
    <row r="1414" spans="1:8" ht="15.75" customHeight="1">
      <c r="A1414" s="1">
        <v>16716</v>
      </c>
      <c r="B1414" s="2">
        <v>44887.041203703702</v>
      </c>
      <c r="C1414" s="1" t="s">
        <v>10</v>
      </c>
      <c r="D1414" s="1">
        <v>20</v>
      </c>
      <c r="E1414" s="1" t="s">
        <v>50</v>
      </c>
      <c r="F1414" s="59"/>
      <c r="G1414" s="32"/>
      <c r="H1414" s="32"/>
    </row>
    <row r="1415" spans="1:8" ht="15.75" customHeight="1">
      <c r="A1415" s="1">
        <v>16715</v>
      </c>
      <c r="B1415" s="2">
        <v>44887.027013888888</v>
      </c>
      <c r="C1415" s="1" t="s">
        <v>10</v>
      </c>
      <c r="D1415" s="1">
        <v>49</v>
      </c>
      <c r="E1415" s="1" t="s">
        <v>50</v>
      </c>
      <c r="F1415" s="59"/>
      <c r="G1415" s="32"/>
      <c r="H1415" s="32"/>
    </row>
    <row r="1416" spans="1:8" ht="15.75" customHeight="1">
      <c r="A1416" s="1">
        <v>16714</v>
      </c>
      <c r="B1416" s="2">
        <v>44887.013414351852</v>
      </c>
      <c r="C1416" s="1" t="s">
        <v>10</v>
      </c>
      <c r="D1416" s="1">
        <v>15</v>
      </c>
      <c r="E1416" s="1" t="s">
        <v>50</v>
      </c>
      <c r="F1416" s="59"/>
      <c r="G1416" s="32"/>
      <c r="H1416" s="32"/>
    </row>
    <row r="1417" spans="1:8" ht="15.75" customHeight="1">
      <c r="A1417" s="1">
        <v>16713</v>
      </c>
      <c r="B1417" s="2">
        <v>44886.999745370369</v>
      </c>
      <c r="C1417" s="1" t="s">
        <v>10</v>
      </c>
      <c r="D1417" s="1">
        <v>25</v>
      </c>
      <c r="E1417" s="1" t="s">
        <v>50</v>
      </c>
      <c r="F1417" s="59"/>
      <c r="G1417" s="32"/>
      <c r="H1417" s="32"/>
    </row>
    <row r="1418" spans="1:8" ht="15.75" customHeight="1">
      <c r="A1418" s="1">
        <v>16712</v>
      </c>
      <c r="B1418" s="2">
        <v>44886.999548611115</v>
      </c>
      <c r="C1418" s="1" t="s">
        <v>10</v>
      </c>
      <c r="D1418" s="1">
        <v>59</v>
      </c>
      <c r="E1418" s="1" t="s">
        <v>50</v>
      </c>
      <c r="F1418" s="59"/>
      <c r="G1418" s="32"/>
      <c r="H1418" s="32"/>
    </row>
    <row r="1419" spans="1:8" ht="15.75" customHeight="1">
      <c r="A1419" s="1">
        <v>16711</v>
      </c>
      <c r="B1419" s="2">
        <v>44886.99391203704</v>
      </c>
      <c r="C1419" s="1" t="s">
        <v>10</v>
      </c>
      <c r="D1419" s="1">
        <v>20</v>
      </c>
      <c r="E1419" s="1" t="s">
        <v>50</v>
      </c>
      <c r="F1419" s="59"/>
      <c r="G1419" s="32"/>
      <c r="H1419" s="32"/>
    </row>
    <row r="1420" spans="1:8" ht="15.75" customHeight="1">
      <c r="A1420" s="1">
        <v>16710</v>
      </c>
      <c r="B1420" s="2">
        <v>44886.990983796291</v>
      </c>
      <c r="C1420" s="1" t="s">
        <v>10</v>
      </c>
      <c r="D1420" s="1">
        <v>91</v>
      </c>
      <c r="E1420" s="1" t="s">
        <v>50</v>
      </c>
      <c r="F1420" s="59"/>
      <c r="G1420" s="32"/>
      <c r="H1420" s="32"/>
    </row>
    <row r="1421" spans="1:8" ht="15.75" customHeight="1">
      <c r="A1421" s="1">
        <v>16709</v>
      </c>
      <c r="B1421" s="2">
        <v>44886.988726851851</v>
      </c>
      <c r="C1421" s="1" t="s">
        <v>10</v>
      </c>
      <c r="D1421" s="1">
        <v>35</v>
      </c>
      <c r="E1421" s="1" t="s">
        <v>50</v>
      </c>
      <c r="F1421" s="59"/>
      <c r="G1421" s="32"/>
      <c r="H1421" s="32"/>
    </row>
    <row r="1422" spans="1:8" ht="15.75" customHeight="1">
      <c r="A1422" s="1">
        <v>16708</v>
      </c>
      <c r="B1422" s="2">
        <v>44886.984143518523</v>
      </c>
      <c r="C1422" s="1" t="s">
        <v>10</v>
      </c>
      <c r="D1422" s="1">
        <v>10</v>
      </c>
      <c r="E1422" s="1" t="s">
        <v>50</v>
      </c>
      <c r="F1422" s="59"/>
      <c r="G1422" s="32"/>
      <c r="H1422" s="32"/>
    </row>
    <row r="1423" spans="1:8" ht="15.75" customHeight="1">
      <c r="A1423" s="1">
        <v>16707</v>
      </c>
      <c r="B1423" s="2">
        <v>44886.981249999997</v>
      </c>
      <c r="C1423" s="1" t="s">
        <v>10</v>
      </c>
      <c r="D1423" s="1">
        <v>40</v>
      </c>
      <c r="E1423" s="1" t="s">
        <v>50</v>
      </c>
      <c r="F1423" s="59"/>
      <c r="G1423" s="32"/>
      <c r="H1423" s="32"/>
    </row>
    <row r="1424" spans="1:8" ht="15.75" customHeight="1">
      <c r="A1424" s="1">
        <v>16706</v>
      </c>
      <c r="B1424" s="2">
        <v>44886.976493055554</v>
      </c>
      <c r="C1424" s="1" t="s">
        <v>10</v>
      </c>
      <c r="D1424" s="1">
        <v>25</v>
      </c>
      <c r="E1424" s="1" t="s">
        <v>50</v>
      </c>
      <c r="F1424" s="59"/>
      <c r="G1424" s="32"/>
      <c r="H1424" s="32"/>
    </row>
    <row r="1425" spans="1:8" ht="15.75" customHeight="1">
      <c r="A1425" s="1">
        <v>16705</v>
      </c>
      <c r="B1425" s="2">
        <v>44886.971377314811</v>
      </c>
      <c r="C1425" s="1" t="s">
        <v>10</v>
      </c>
      <c r="D1425" s="1">
        <v>41</v>
      </c>
      <c r="E1425" s="1" t="s">
        <v>50</v>
      </c>
      <c r="F1425" s="59"/>
      <c r="G1425" s="32"/>
      <c r="H1425" s="32"/>
    </row>
    <row r="1426" spans="1:8" ht="15.75" customHeight="1">
      <c r="A1426" s="1">
        <v>16704</v>
      </c>
      <c r="B1426" s="2">
        <v>44886.958993055552</v>
      </c>
      <c r="C1426" s="1" t="s">
        <v>10</v>
      </c>
      <c r="D1426" s="1">
        <v>15</v>
      </c>
      <c r="E1426" s="1" t="s">
        <v>50</v>
      </c>
      <c r="F1426" s="59"/>
      <c r="G1426" s="32"/>
      <c r="H1426" s="32"/>
    </row>
    <row r="1427" spans="1:8" ht="15.75" customHeight="1">
      <c r="A1427" s="1">
        <v>16703</v>
      </c>
      <c r="B1427" s="2">
        <v>44886.956921296296</v>
      </c>
      <c r="C1427" s="1" t="s">
        <v>10</v>
      </c>
      <c r="D1427" s="1">
        <v>52</v>
      </c>
      <c r="E1427" s="1" t="s">
        <v>50</v>
      </c>
      <c r="F1427" s="59"/>
      <c r="G1427" s="32"/>
      <c r="H1427" s="32"/>
    </row>
    <row r="1428" spans="1:8" ht="15.75" customHeight="1">
      <c r="A1428" s="1">
        <v>16702</v>
      </c>
      <c r="B1428" s="2">
        <v>44886.949166666665</v>
      </c>
      <c r="C1428" s="1" t="s">
        <v>10</v>
      </c>
      <c r="D1428" s="1">
        <v>18</v>
      </c>
      <c r="E1428" s="1" t="s">
        <v>50</v>
      </c>
      <c r="F1428" s="59"/>
      <c r="G1428" s="32"/>
      <c r="H1428" s="32"/>
    </row>
    <row r="1429" spans="1:8" ht="15.75" customHeight="1">
      <c r="A1429" s="1">
        <v>16701</v>
      </c>
      <c r="B1429" s="2">
        <v>44886.947291666671</v>
      </c>
      <c r="C1429" s="1" t="s">
        <v>10</v>
      </c>
      <c r="D1429" s="1">
        <v>35</v>
      </c>
      <c r="E1429" s="1" t="s">
        <v>50</v>
      </c>
      <c r="F1429" s="59"/>
      <c r="G1429" s="32"/>
      <c r="H1429" s="32"/>
    </row>
    <row r="1430" spans="1:8" ht="15.75" customHeight="1">
      <c r="A1430" s="1">
        <v>16700</v>
      </c>
      <c r="B1430" s="2">
        <v>44886.940694444449</v>
      </c>
      <c r="C1430" s="1" t="s">
        <v>10</v>
      </c>
      <c r="D1430" s="1">
        <v>42</v>
      </c>
      <c r="E1430" s="1" t="s">
        <v>50</v>
      </c>
      <c r="F1430" s="59"/>
      <c r="G1430" s="32"/>
      <c r="H1430" s="32"/>
    </row>
    <row r="1431" spans="1:8" ht="15.75" customHeight="1">
      <c r="A1431" s="1">
        <v>16699</v>
      </c>
      <c r="B1431" s="2">
        <v>44886.931712962964</v>
      </c>
      <c r="C1431" s="1" t="s">
        <v>10</v>
      </c>
      <c r="D1431" s="1">
        <v>35</v>
      </c>
      <c r="E1431" s="1" t="s">
        <v>50</v>
      </c>
      <c r="F1431" s="59"/>
      <c r="G1431" s="32"/>
      <c r="H1431" s="32"/>
    </row>
    <row r="1432" spans="1:8" ht="15.75" customHeight="1">
      <c r="A1432" s="1">
        <v>16698</v>
      </c>
      <c r="B1432" s="2">
        <v>44886.89708333333</v>
      </c>
      <c r="C1432" s="1" t="s">
        <v>10</v>
      </c>
      <c r="D1432" s="1">
        <v>65</v>
      </c>
      <c r="E1432" s="1" t="s">
        <v>50</v>
      </c>
      <c r="F1432" s="59"/>
      <c r="G1432" s="32"/>
      <c r="H1432" s="32"/>
    </row>
    <row r="1433" spans="1:8" ht="15.75" customHeight="1">
      <c r="A1433" s="1">
        <v>16697</v>
      </c>
      <c r="B1433" s="2">
        <v>44886.880844907406</v>
      </c>
      <c r="C1433" s="1" t="s">
        <v>10</v>
      </c>
      <c r="D1433" s="1">
        <v>53</v>
      </c>
      <c r="E1433" s="1" t="s">
        <v>50</v>
      </c>
      <c r="F1433" s="59"/>
      <c r="G1433" s="32"/>
      <c r="H1433" s="32"/>
    </row>
    <row r="1434" spans="1:8" ht="15.75" customHeight="1">
      <c r="A1434" s="1">
        <v>16696</v>
      </c>
      <c r="B1434" s="2">
        <v>44886.860636574071</v>
      </c>
      <c r="C1434" s="1" t="s">
        <v>10</v>
      </c>
      <c r="D1434" s="1">
        <v>35</v>
      </c>
      <c r="E1434" s="1" t="s">
        <v>50</v>
      </c>
      <c r="F1434" s="59"/>
      <c r="G1434" s="32"/>
      <c r="H1434" s="32"/>
    </row>
    <row r="1435" spans="1:8" ht="15.75" customHeight="1">
      <c r="A1435" s="1">
        <v>16695</v>
      </c>
      <c r="B1435" s="2">
        <v>44886.859907407408</v>
      </c>
      <c r="C1435" s="1" t="s">
        <v>10</v>
      </c>
      <c r="D1435" s="1">
        <v>53</v>
      </c>
      <c r="E1435" s="1" t="s">
        <v>50</v>
      </c>
      <c r="F1435" s="59"/>
      <c r="G1435" s="32"/>
      <c r="H1435" s="32"/>
    </row>
    <row r="1436" spans="1:8" ht="15.75" customHeight="1">
      <c r="A1436" s="1">
        <v>16694</v>
      </c>
      <c r="B1436" s="2">
        <v>44886.856516203705</v>
      </c>
      <c r="C1436" s="1" t="s">
        <v>10</v>
      </c>
      <c r="D1436" s="1">
        <v>53</v>
      </c>
      <c r="E1436" s="1" t="s">
        <v>50</v>
      </c>
      <c r="F1436" s="59"/>
      <c r="G1436" s="32"/>
      <c r="H1436" s="32"/>
    </row>
    <row r="1437" spans="1:8" ht="15.75" customHeight="1">
      <c r="A1437" s="1">
        <v>16693</v>
      </c>
      <c r="B1437" s="2">
        <v>44886.848020833335</v>
      </c>
      <c r="C1437" s="1" t="s">
        <v>10</v>
      </c>
      <c r="D1437" s="1">
        <v>75</v>
      </c>
      <c r="E1437" s="1" t="s">
        <v>50</v>
      </c>
      <c r="F1437" s="59"/>
      <c r="G1437" s="32"/>
      <c r="H1437" s="32"/>
    </row>
    <row r="1438" spans="1:8" ht="15.75" customHeight="1">
      <c r="A1438" s="1">
        <v>16692</v>
      </c>
      <c r="B1438" s="2">
        <v>44886.84642361111</v>
      </c>
      <c r="C1438" s="1" t="s">
        <v>10</v>
      </c>
      <c r="D1438" s="1">
        <v>35</v>
      </c>
      <c r="E1438" s="1" t="s">
        <v>50</v>
      </c>
      <c r="F1438" s="59"/>
      <c r="G1438" s="32"/>
      <c r="H1438" s="32"/>
    </row>
    <row r="1439" spans="1:8" ht="15.75" customHeight="1">
      <c r="A1439" s="1">
        <v>16691</v>
      </c>
      <c r="B1439" s="2">
        <v>44886.845439814817</v>
      </c>
      <c r="C1439" s="1" t="s">
        <v>10</v>
      </c>
      <c r="D1439" s="1">
        <v>55</v>
      </c>
      <c r="E1439" s="1" t="s">
        <v>50</v>
      </c>
      <c r="F1439" s="59"/>
      <c r="G1439" s="32"/>
      <c r="H1439" s="32"/>
    </row>
    <row r="1440" spans="1:8" ht="15.75" customHeight="1">
      <c r="A1440" s="1">
        <v>16690</v>
      </c>
      <c r="B1440" s="2">
        <v>44886.812638888892</v>
      </c>
      <c r="C1440" s="1" t="s">
        <v>10</v>
      </c>
      <c r="D1440" s="1">
        <v>65</v>
      </c>
      <c r="E1440" s="1" t="s">
        <v>50</v>
      </c>
      <c r="F1440" s="59"/>
      <c r="G1440" s="32"/>
      <c r="H1440" s="32"/>
    </row>
    <row r="1441" spans="1:8" ht="15.75" customHeight="1">
      <c r="A1441" s="1">
        <v>16689</v>
      </c>
      <c r="B1441" s="2">
        <v>44886.801284722227</v>
      </c>
      <c r="C1441" s="1" t="s">
        <v>18</v>
      </c>
      <c r="D1441" s="1">
        <v>35</v>
      </c>
      <c r="E1441" s="1" t="s">
        <v>50</v>
      </c>
      <c r="F1441" s="59"/>
      <c r="G1441" s="32"/>
      <c r="H1441" s="32"/>
    </row>
    <row r="1442" spans="1:8" ht="15.75" customHeight="1">
      <c r="A1442" s="1">
        <v>16688</v>
      </c>
      <c r="B1442" s="2">
        <v>44886.79623842593</v>
      </c>
      <c r="C1442" s="1" t="s">
        <v>10</v>
      </c>
      <c r="D1442" s="1">
        <v>35</v>
      </c>
      <c r="E1442" s="1" t="s">
        <v>50</v>
      </c>
      <c r="F1442" s="59"/>
      <c r="G1442" s="32"/>
      <c r="H1442" s="32"/>
    </row>
    <row r="1443" spans="1:8" ht="15.75" customHeight="1">
      <c r="A1443" s="1">
        <v>16687</v>
      </c>
      <c r="B1443" s="2">
        <v>44886.771747685183</v>
      </c>
      <c r="C1443" s="1" t="s">
        <v>10</v>
      </c>
      <c r="D1443" s="1">
        <v>35</v>
      </c>
      <c r="E1443" s="1" t="s">
        <v>50</v>
      </c>
      <c r="F1443" s="59"/>
      <c r="G1443" s="32"/>
      <c r="H1443" s="32"/>
    </row>
    <row r="1444" spans="1:8" ht="15.75" customHeight="1">
      <c r="A1444" s="1">
        <v>16686</v>
      </c>
      <c r="B1444" s="2">
        <v>44886.629699074074</v>
      </c>
      <c r="C1444" s="1" t="s">
        <v>10</v>
      </c>
      <c r="D1444" s="1">
        <v>55</v>
      </c>
      <c r="E1444" s="1" t="s">
        <v>50</v>
      </c>
      <c r="F1444" s="59"/>
      <c r="G1444" s="32"/>
      <c r="H1444" s="32"/>
    </row>
    <row r="1445" spans="1:8" ht="15.75" customHeight="1">
      <c r="A1445" s="1">
        <v>16685</v>
      </c>
      <c r="B1445" s="2">
        <v>44886.618715277778</v>
      </c>
      <c r="C1445" s="1" t="s">
        <v>10</v>
      </c>
      <c r="D1445" s="1">
        <v>20</v>
      </c>
      <c r="E1445" s="1" t="s">
        <v>50</v>
      </c>
      <c r="F1445" s="59"/>
      <c r="G1445" s="32"/>
      <c r="H1445" s="32"/>
    </row>
    <row r="1446" spans="1:8" ht="15.75" customHeight="1">
      <c r="A1446" s="1">
        <v>16684</v>
      </c>
      <c r="B1446" s="2">
        <v>44886.615601851852</v>
      </c>
      <c r="C1446" s="1" t="s">
        <v>10</v>
      </c>
      <c r="D1446" s="1">
        <v>15</v>
      </c>
      <c r="E1446" s="1" t="s">
        <v>50</v>
      </c>
      <c r="F1446" s="59"/>
      <c r="G1446" s="32"/>
      <c r="H1446" s="32"/>
    </row>
    <row r="1447" spans="1:8" ht="15.75" customHeight="1">
      <c r="A1447" s="1">
        <v>16654</v>
      </c>
      <c r="B1447" s="2">
        <v>44886.534803240742</v>
      </c>
      <c r="C1447" s="1" t="s">
        <v>10</v>
      </c>
      <c r="D1447" s="1">
        <v>87</v>
      </c>
      <c r="E1447" s="1" t="s">
        <v>50</v>
      </c>
      <c r="F1447" s="59"/>
      <c r="G1447" s="32"/>
      <c r="H1447" s="32"/>
    </row>
    <row r="1448" spans="1:8" ht="15.75" customHeight="1">
      <c r="A1448" s="1">
        <v>16652</v>
      </c>
      <c r="B1448" s="2">
        <v>44886.48364583333</v>
      </c>
      <c r="C1448" s="1" t="s">
        <v>10</v>
      </c>
      <c r="D1448" s="1">
        <v>25</v>
      </c>
      <c r="E1448" s="1" t="s">
        <v>50</v>
      </c>
      <c r="F1448" s="59"/>
      <c r="G1448" s="32"/>
      <c r="H1448" s="32"/>
    </row>
    <row r="1449" spans="1:8" ht="15.75" customHeight="1">
      <c r="A1449" s="1">
        <v>16630</v>
      </c>
      <c r="B1449" s="2">
        <v>44885.909884259258</v>
      </c>
      <c r="C1449" s="1" t="s">
        <v>10</v>
      </c>
      <c r="D1449" s="1">
        <v>20</v>
      </c>
      <c r="E1449" s="1" t="s">
        <v>50</v>
      </c>
      <c r="F1449" s="59"/>
      <c r="G1449" s="32"/>
      <c r="H1449" s="32"/>
    </row>
    <row r="1450" spans="1:8" ht="15.75" customHeight="1">
      <c r="A1450" s="1">
        <v>16621</v>
      </c>
      <c r="B1450" s="2">
        <v>44885.659571759257</v>
      </c>
      <c r="C1450" s="1" t="s">
        <v>10</v>
      </c>
      <c r="D1450" s="1">
        <v>0</v>
      </c>
      <c r="E1450" s="1" t="s">
        <v>50</v>
      </c>
      <c r="F1450" s="59"/>
      <c r="G1450" s="32"/>
      <c r="H1450" s="32"/>
    </row>
    <row r="1451" spans="1:8" ht="15.75" customHeight="1">
      <c r="A1451" s="1">
        <v>16604</v>
      </c>
      <c r="B1451" s="2">
        <v>44883.616122685184</v>
      </c>
      <c r="C1451" s="1" t="s">
        <v>10</v>
      </c>
      <c r="D1451" s="1">
        <v>15</v>
      </c>
      <c r="E1451" s="1" t="s">
        <v>50</v>
      </c>
      <c r="F1451" s="59"/>
      <c r="G1451" s="32"/>
      <c r="H1451" s="32"/>
    </row>
    <row r="1452" spans="1:8" ht="15.75" customHeight="1">
      <c r="A1452" s="1">
        <v>16603</v>
      </c>
      <c r="B1452" s="2">
        <v>44883.615162037036</v>
      </c>
      <c r="C1452" s="1" t="s">
        <v>10</v>
      </c>
      <c r="D1452" s="1">
        <v>143</v>
      </c>
      <c r="E1452" s="1" t="s">
        <v>50</v>
      </c>
      <c r="F1452" s="59"/>
      <c r="G1452" s="32"/>
      <c r="H1452" s="32"/>
    </row>
    <row r="1453" spans="1:8" ht="15.75" customHeight="1">
      <c r="A1453" s="1">
        <v>16602</v>
      </c>
      <c r="B1453" s="2">
        <v>44883.590520833328</v>
      </c>
      <c r="C1453" s="1" t="s">
        <v>10</v>
      </c>
      <c r="D1453" s="1">
        <v>60</v>
      </c>
      <c r="E1453" s="1" t="s">
        <v>91</v>
      </c>
      <c r="F1453" s="59"/>
      <c r="G1453" s="32"/>
      <c r="H1453" s="32"/>
    </row>
    <row r="1454" spans="1:8" ht="15.75" customHeight="1">
      <c r="A1454" s="1">
        <v>16564</v>
      </c>
      <c r="B1454" s="2">
        <v>44882.996932870374</v>
      </c>
      <c r="C1454" s="1" t="s">
        <v>10</v>
      </c>
      <c r="D1454" s="1">
        <v>35</v>
      </c>
      <c r="E1454" s="1" t="s">
        <v>92</v>
      </c>
      <c r="F1454" s="59"/>
      <c r="G1454" s="32"/>
      <c r="H1454" s="32"/>
    </row>
    <row r="1455" spans="1:8" ht="15.75" customHeight="1">
      <c r="A1455" s="1">
        <v>16560</v>
      </c>
      <c r="B1455" s="2">
        <v>44881.775277777779</v>
      </c>
      <c r="C1455" s="1" t="s">
        <v>10</v>
      </c>
      <c r="D1455" s="1">
        <v>83</v>
      </c>
      <c r="E1455" s="1" t="s">
        <v>91</v>
      </c>
      <c r="F1455" s="59"/>
      <c r="G1455" s="32"/>
      <c r="H1455" s="32"/>
    </row>
    <row r="1456" spans="1:8" ht="15.75" customHeight="1">
      <c r="A1456" s="1">
        <v>16554</v>
      </c>
      <c r="B1456" s="2">
        <v>44880.163101851853</v>
      </c>
      <c r="C1456" s="1" t="s">
        <v>10</v>
      </c>
      <c r="D1456" s="1">
        <v>0</v>
      </c>
      <c r="E1456" s="1" t="s">
        <v>50</v>
      </c>
      <c r="F1456" s="59"/>
      <c r="G1456" s="32"/>
      <c r="H1456" s="32"/>
    </row>
    <row r="1457" spans="1:8" ht="15.75" customHeight="1">
      <c r="A1457" s="1">
        <v>16552</v>
      </c>
      <c r="B1457" s="2">
        <v>44878.204340277778</v>
      </c>
      <c r="C1457" s="1" t="s">
        <v>10</v>
      </c>
      <c r="D1457" s="1">
        <v>47</v>
      </c>
      <c r="E1457" s="1" t="s">
        <v>93</v>
      </c>
      <c r="F1457" s="59"/>
      <c r="G1457" s="32"/>
      <c r="H1457" s="32"/>
    </row>
    <row r="1458" spans="1:8" ht="15.75" customHeight="1">
      <c r="A1458" s="1">
        <v>16546</v>
      </c>
      <c r="B1458" s="2">
        <v>44877.809733796297</v>
      </c>
      <c r="C1458" s="1" t="s">
        <v>10</v>
      </c>
      <c r="D1458" s="1">
        <v>25</v>
      </c>
      <c r="E1458" s="1" t="s">
        <v>92</v>
      </c>
      <c r="F1458" s="59"/>
      <c r="G1458" s="32"/>
      <c r="H1458" s="32"/>
    </row>
    <row r="1459" spans="1:8" ht="15.75" customHeight="1">
      <c r="A1459" s="1">
        <v>16545</v>
      </c>
      <c r="B1459" s="2">
        <v>44877.809513888889</v>
      </c>
      <c r="C1459" s="1" t="s">
        <v>10</v>
      </c>
      <c r="D1459" s="1">
        <v>25</v>
      </c>
      <c r="E1459" s="1" t="s">
        <v>92</v>
      </c>
      <c r="F1459" s="59"/>
      <c r="G1459" s="32"/>
      <c r="H1459" s="32"/>
    </row>
    <row r="1460" spans="1:8" ht="15.75" customHeight="1">
      <c r="A1460" s="1">
        <v>16544</v>
      </c>
      <c r="B1460" s="2">
        <v>44877.803032407406</v>
      </c>
      <c r="C1460" s="1" t="s">
        <v>10</v>
      </c>
      <c r="D1460" s="1">
        <v>25</v>
      </c>
      <c r="E1460" s="1" t="s">
        <v>92</v>
      </c>
      <c r="F1460" s="59"/>
      <c r="G1460" s="32"/>
      <c r="H1460" s="32"/>
    </row>
    <row r="1461" spans="1:8" ht="15.75" customHeight="1">
      <c r="A1461" s="1">
        <v>16543</v>
      </c>
      <c r="B1461" s="2">
        <v>44877.795787037037</v>
      </c>
      <c r="C1461" s="1" t="s">
        <v>10</v>
      </c>
      <c r="D1461" s="1">
        <v>25</v>
      </c>
      <c r="E1461" s="1" t="s">
        <v>92</v>
      </c>
      <c r="F1461" s="59"/>
      <c r="G1461" s="32"/>
      <c r="H1461" s="32"/>
    </row>
    <row r="1462" spans="1:8" ht="15.75" customHeight="1">
      <c r="A1462" s="1">
        <v>16542</v>
      </c>
      <c r="B1462" s="2">
        <v>44877.795497685191</v>
      </c>
      <c r="C1462" s="1" t="s">
        <v>10</v>
      </c>
      <c r="D1462" s="1">
        <v>46</v>
      </c>
      <c r="E1462" s="1" t="s">
        <v>92</v>
      </c>
      <c r="F1462" s="59"/>
      <c r="G1462" s="32"/>
      <c r="H1462" s="32"/>
    </row>
    <row r="1463" spans="1:8" ht="15.75" customHeight="1">
      <c r="A1463" s="1">
        <v>16541</v>
      </c>
      <c r="B1463" s="2">
        <v>44877.787175925929</v>
      </c>
      <c r="C1463" s="1" t="s">
        <v>10</v>
      </c>
      <c r="D1463" s="1">
        <v>25</v>
      </c>
      <c r="E1463" s="1" t="s">
        <v>92</v>
      </c>
      <c r="F1463" s="59"/>
      <c r="G1463" s="32"/>
      <c r="H1463" s="32"/>
    </row>
    <row r="1464" spans="1:8" ht="15.75" customHeight="1">
      <c r="A1464" s="1">
        <v>16540</v>
      </c>
      <c r="B1464" s="2">
        <v>44877.784085648149</v>
      </c>
      <c r="C1464" s="1" t="s">
        <v>10</v>
      </c>
      <c r="D1464" s="1">
        <v>35</v>
      </c>
      <c r="E1464" s="1" t="s">
        <v>92</v>
      </c>
      <c r="F1464" s="59"/>
      <c r="G1464" s="32"/>
      <c r="H1464" s="32"/>
    </row>
    <row r="1465" spans="1:8" ht="15.75" customHeight="1">
      <c r="A1465" s="1">
        <v>16539</v>
      </c>
      <c r="B1465" s="2">
        <v>44877.767118055555</v>
      </c>
      <c r="C1465" s="1" t="s">
        <v>10</v>
      </c>
      <c r="D1465" s="1">
        <v>25</v>
      </c>
      <c r="E1465" s="1" t="s">
        <v>92</v>
      </c>
      <c r="F1465" s="59"/>
      <c r="G1465" s="32"/>
      <c r="H1465" s="32"/>
    </row>
    <row r="1466" spans="1:8" ht="15.75" customHeight="1">
      <c r="A1466" s="1">
        <v>16538</v>
      </c>
      <c r="B1466" s="2">
        <v>44877.763958333337</v>
      </c>
      <c r="C1466" s="1" t="s">
        <v>10</v>
      </c>
      <c r="D1466" s="1">
        <v>25</v>
      </c>
      <c r="E1466" s="1" t="s">
        <v>92</v>
      </c>
      <c r="F1466" s="59"/>
      <c r="G1466" s="32"/>
      <c r="H1466" s="32"/>
    </row>
    <row r="1467" spans="1:8" ht="15.75" customHeight="1">
      <c r="A1467" s="1">
        <v>16537</v>
      </c>
      <c r="B1467" s="2">
        <v>44877.734259259261</v>
      </c>
      <c r="C1467" s="1" t="s">
        <v>10</v>
      </c>
      <c r="D1467" s="1">
        <v>24</v>
      </c>
      <c r="E1467" s="1" t="s">
        <v>92</v>
      </c>
      <c r="F1467" s="59"/>
      <c r="G1467" s="32"/>
      <c r="H1467" s="32"/>
    </row>
    <row r="1468" spans="1:8" ht="15.75" customHeight="1">
      <c r="A1468" s="1">
        <v>16536</v>
      </c>
      <c r="B1468" s="2">
        <v>44877.654212962967</v>
      </c>
      <c r="C1468" s="1" t="s">
        <v>10</v>
      </c>
      <c r="D1468" s="1">
        <v>49</v>
      </c>
      <c r="E1468" s="1" t="s">
        <v>92</v>
      </c>
      <c r="F1468" s="59"/>
      <c r="G1468" s="32"/>
      <c r="H1468" s="32"/>
    </row>
    <row r="1469" spans="1:8" ht="15.75" customHeight="1">
      <c r="A1469" s="1">
        <v>16535</v>
      </c>
      <c r="B1469" s="2">
        <v>44877.644236111111</v>
      </c>
      <c r="C1469" s="1" t="s">
        <v>10</v>
      </c>
      <c r="D1469" s="1">
        <v>25</v>
      </c>
      <c r="E1469" s="1" t="s">
        <v>92</v>
      </c>
      <c r="F1469" s="59"/>
      <c r="G1469" s="32"/>
      <c r="H1469" s="32"/>
    </row>
    <row r="1470" spans="1:8" ht="15.75" customHeight="1">
      <c r="A1470" s="1">
        <v>16534</v>
      </c>
      <c r="B1470" s="2">
        <v>44877.270196759258</v>
      </c>
      <c r="C1470" s="1" t="s">
        <v>10</v>
      </c>
      <c r="D1470" s="1">
        <v>25</v>
      </c>
      <c r="E1470" s="1" t="s">
        <v>92</v>
      </c>
      <c r="F1470" s="59"/>
      <c r="G1470" s="32"/>
      <c r="H1470" s="32"/>
    </row>
    <row r="1471" spans="1:8" ht="15.75" customHeight="1">
      <c r="A1471" s="1">
        <v>16458</v>
      </c>
      <c r="B1471" s="2">
        <v>44876.807546296295</v>
      </c>
      <c r="C1471" s="1" t="s">
        <v>10</v>
      </c>
      <c r="D1471" s="1">
        <v>40</v>
      </c>
      <c r="E1471" s="1" t="s">
        <v>92</v>
      </c>
      <c r="F1471" s="59"/>
      <c r="G1471" s="32"/>
      <c r="H1471" s="32"/>
    </row>
    <row r="1472" spans="1:8" ht="15.75" customHeight="1">
      <c r="A1472" s="1">
        <v>16444</v>
      </c>
      <c r="B1472" s="2">
        <v>44875.802395833336</v>
      </c>
      <c r="C1472" s="1" t="s">
        <v>10</v>
      </c>
      <c r="D1472" s="1">
        <v>25</v>
      </c>
      <c r="E1472" s="1" t="s">
        <v>92</v>
      </c>
      <c r="F1472" s="59"/>
      <c r="G1472" s="32"/>
      <c r="H1472" s="32"/>
    </row>
    <row r="1473" spans="1:8" ht="15.75" customHeight="1">
      <c r="A1473" s="1">
        <v>16443</v>
      </c>
      <c r="B1473" s="2">
        <v>44875.800659722227</v>
      </c>
      <c r="C1473" s="1" t="s">
        <v>10</v>
      </c>
      <c r="D1473" s="1">
        <v>25</v>
      </c>
      <c r="E1473" s="1" t="s">
        <v>92</v>
      </c>
      <c r="F1473" s="59"/>
      <c r="G1473" s="32"/>
      <c r="H1473" s="32"/>
    </row>
    <row r="1474" spans="1:8" ht="15.75" customHeight="1">
      <c r="A1474" s="1">
        <v>16442</v>
      </c>
      <c r="B1474" s="2">
        <v>44875.502824074079</v>
      </c>
      <c r="C1474" s="1" t="s">
        <v>10</v>
      </c>
      <c r="D1474" s="1">
        <v>25</v>
      </c>
      <c r="E1474" s="1" t="s">
        <v>92</v>
      </c>
      <c r="F1474" s="59"/>
      <c r="G1474" s="32"/>
      <c r="H1474" s="32"/>
    </row>
    <row r="1475" spans="1:8" ht="15.75" customHeight="1">
      <c r="A1475" s="1">
        <v>16431</v>
      </c>
      <c r="B1475" s="2">
        <v>44874.8909837963</v>
      </c>
      <c r="C1475" s="1" t="s">
        <v>10</v>
      </c>
      <c r="D1475" s="1">
        <v>25</v>
      </c>
      <c r="E1475" s="1" t="s">
        <v>92</v>
      </c>
      <c r="F1475" s="59"/>
      <c r="G1475" s="32"/>
      <c r="H1475" s="32"/>
    </row>
    <row r="1476" spans="1:8" ht="15.75" customHeight="1">
      <c r="A1476" s="1">
        <v>16397</v>
      </c>
      <c r="B1476" s="2">
        <v>44865.114629629628</v>
      </c>
      <c r="C1476" s="1" t="s">
        <v>10</v>
      </c>
      <c r="D1476" s="1">
        <v>35</v>
      </c>
      <c r="F1476" s="59"/>
      <c r="G1476" s="32"/>
      <c r="H1476" s="32"/>
    </row>
    <row r="1477" spans="1:8" ht="15.75" customHeight="1">
      <c r="A1477" s="1">
        <v>16395</v>
      </c>
      <c r="B1477" s="2">
        <v>44864.898831018523</v>
      </c>
      <c r="C1477" s="1" t="s">
        <v>10</v>
      </c>
      <c r="D1477" s="1">
        <v>18</v>
      </c>
      <c r="F1477" s="59"/>
      <c r="G1477" s="32"/>
      <c r="H1477" s="32"/>
    </row>
    <row r="1478" spans="1:8" ht="15.75" customHeight="1">
      <c r="A1478" s="1">
        <v>16394</v>
      </c>
      <c r="B1478" s="2">
        <v>44864.833402777775</v>
      </c>
      <c r="C1478" s="1" t="s">
        <v>10</v>
      </c>
      <c r="D1478" s="1">
        <v>55</v>
      </c>
      <c r="F1478" s="59"/>
      <c r="G1478" s="32"/>
      <c r="H1478" s="32"/>
    </row>
    <row r="1479" spans="1:8" ht="15.75" customHeight="1">
      <c r="A1479" s="1">
        <v>16393</v>
      </c>
      <c r="B1479" s="2">
        <v>44864.810543981483</v>
      </c>
      <c r="C1479" s="1" t="s">
        <v>10</v>
      </c>
      <c r="D1479" s="1">
        <v>47</v>
      </c>
      <c r="F1479" s="59"/>
      <c r="G1479" s="32"/>
      <c r="H1479" s="32"/>
    </row>
    <row r="1480" spans="1:8" ht="15.75" customHeight="1">
      <c r="A1480" s="1">
        <v>16392</v>
      </c>
      <c r="B1480" s="2">
        <v>44864.809513888889</v>
      </c>
      <c r="C1480" s="1" t="s">
        <v>10</v>
      </c>
      <c r="D1480" s="1">
        <v>47</v>
      </c>
      <c r="F1480" s="59"/>
      <c r="G1480" s="32"/>
      <c r="H1480" s="32"/>
    </row>
    <row r="1481" spans="1:8" ht="15.75" customHeight="1">
      <c r="A1481" s="1">
        <v>16391</v>
      </c>
      <c r="B1481" s="2">
        <v>44864.710821759261</v>
      </c>
      <c r="C1481" s="1" t="s">
        <v>10</v>
      </c>
      <c r="D1481" s="1">
        <v>15</v>
      </c>
      <c r="F1481" s="59"/>
      <c r="G1481" s="32"/>
      <c r="H1481" s="32"/>
    </row>
    <row r="1482" spans="1:8" ht="15.75" customHeight="1">
      <c r="A1482" s="1">
        <v>16390</v>
      </c>
      <c r="B1482" s="2">
        <v>44864.684212962966</v>
      </c>
      <c r="C1482" s="1" t="s">
        <v>10</v>
      </c>
      <c r="D1482" s="1">
        <v>15</v>
      </c>
      <c r="F1482" s="59"/>
      <c r="G1482" s="32"/>
      <c r="H1482" s="32"/>
    </row>
    <row r="1483" spans="1:8" ht="15.75" customHeight="1">
      <c r="A1483" s="1">
        <v>16388</v>
      </c>
      <c r="B1483" s="2">
        <v>44863.660740740743</v>
      </c>
      <c r="C1483" s="1" t="s">
        <v>10</v>
      </c>
      <c r="D1483" s="1">
        <v>24</v>
      </c>
      <c r="F1483" s="59"/>
      <c r="G1483" s="32"/>
      <c r="H1483" s="32"/>
    </row>
    <row r="1484" spans="1:8" ht="15.75" customHeight="1">
      <c r="A1484" s="1">
        <v>16387</v>
      </c>
      <c r="B1484" s="2">
        <v>44863.60328703704</v>
      </c>
      <c r="C1484" s="1" t="s">
        <v>10</v>
      </c>
      <c r="D1484" s="1">
        <v>55</v>
      </c>
      <c r="F1484" s="59"/>
      <c r="G1484" s="32"/>
      <c r="H1484" s="32"/>
    </row>
    <row r="1485" spans="1:8" ht="15.75" customHeight="1">
      <c r="A1485" s="1">
        <v>16386</v>
      </c>
      <c r="B1485" s="2">
        <v>44863.098368055551</v>
      </c>
      <c r="C1485" s="1" t="s">
        <v>10</v>
      </c>
      <c r="D1485" s="1">
        <v>37</v>
      </c>
      <c r="F1485" s="59"/>
      <c r="G1485" s="32"/>
      <c r="H1485" s="32"/>
    </row>
    <row r="1486" spans="1:8" ht="15.75" customHeight="1">
      <c r="A1486" s="1">
        <v>16385</v>
      </c>
      <c r="B1486" s="2">
        <v>44862.035601851851</v>
      </c>
      <c r="C1486" s="1" t="s">
        <v>10</v>
      </c>
      <c r="D1486" s="1">
        <v>55</v>
      </c>
      <c r="F1486" s="59"/>
      <c r="G1486" s="32"/>
      <c r="H1486" s="32"/>
    </row>
    <row r="1487" spans="1:8" ht="15.75" customHeight="1">
      <c r="A1487" s="1">
        <v>16384</v>
      </c>
      <c r="B1487" s="2">
        <v>44862.025659722218</v>
      </c>
      <c r="C1487" s="1" t="s">
        <v>10</v>
      </c>
      <c r="D1487" s="1">
        <v>18</v>
      </c>
      <c r="F1487" s="59"/>
      <c r="G1487" s="32"/>
      <c r="H1487" s="32"/>
    </row>
    <row r="1488" spans="1:8" ht="15.75" customHeight="1">
      <c r="A1488" s="1">
        <v>16383</v>
      </c>
      <c r="B1488" s="2">
        <v>44861.977303240739</v>
      </c>
      <c r="C1488" s="1" t="s">
        <v>10</v>
      </c>
      <c r="D1488" s="1">
        <v>81</v>
      </c>
      <c r="F1488" s="59"/>
      <c r="G1488" s="32"/>
      <c r="H1488" s="32"/>
    </row>
    <row r="1489" spans="1:8" ht="15.75" customHeight="1">
      <c r="A1489" s="1">
        <v>16382</v>
      </c>
      <c r="B1489" s="2">
        <v>44861.963402777779</v>
      </c>
      <c r="C1489" s="1" t="s">
        <v>10</v>
      </c>
      <c r="D1489" s="1">
        <v>43</v>
      </c>
      <c r="F1489" s="59"/>
      <c r="G1489" s="32"/>
      <c r="H1489" s="32"/>
    </row>
    <row r="1490" spans="1:8" ht="15.75" customHeight="1">
      <c r="A1490" s="1">
        <v>16381</v>
      </c>
      <c r="B1490" s="2">
        <v>44861.932627314818</v>
      </c>
      <c r="C1490" s="1" t="s">
        <v>10</v>
      </c>
      <c r="D1490" s="1">
        <v>25</v>
      </c>
      <c r="F1490" s="59"/>
      <c r="G1490" s="32"/>
      <c r="H1490" s="32"/>
    </row>
    <row r="1491" spans="1:8" ht="15.75" customHeight="1">
      <c r="A1491" s="1">
        <v>16380</v>
      </c>
      <c r="B1491" s="2">
        <v>44861.926585648151</v>
      </c>
      <c r="C1491" s="1" t="s">
        <v>10</v>
      </c>
      <c r="D1491" s="1">
        <v>60</v>
      </c>
      <c r="F1491" s="59"/>
      <c r="G1491" s="32"/>
      <c r="H1491" s="32"/>
    </row>
    <row r="1492" spans="1:8" ht="15.75" customHeight="1">
      <c r="A1492" s="1">
        <v>16379</v>
      </c>
      <c r="B1492" s="2">
        <v>44861.88890046296</v>
      </c>
      <c r="C1492" s="1" t="s">
        <v>10</v>
      </c>
      <c r="D1492" s="1">
        <v>77</v>
      </c>
      <c r="F1492" s="59"/>
      <c r="G1492" s="32"/>
      <c r="H1492" s="32"/>
    </row>
    <row r="1493" spans="1:8" ht="15.75" customHeight="1">
      <c r="A1493" s="1">
        <v>16378</v>
      </c>
      <c r="B1493" s="2">
        <v>44861.883692129632</v>
      </c>
      <c r="C1493" s="1" t="s">
        <v>10</v>
      </c>
      <c r="D1493" s="1">
        <v>15</v>
      </c>
      <c r="F1493" s="59"/>
      <c r="G1493" s="32"/>
      <c r="H1493" s="32"/>
    </row>
    <row r="1494" spans="1:8" ht="15.75" customHeight="1">
      <c r="A1494" s="1">
        <v>16377</v>
      </c>
      <c r="B1494" s="2">
        <v>44861.859270833331</v>
      </c>
      <c r="C1494" s="1" t="s">
        <v>18</v>
      </c>
      <c r="D1494" s="1">
        <v>25</v>
      </c>
      <c r="F1494" s="59"/>
      <c r="G1494" s="32"/>
      <c r="H1494" s="32"/>
    </row>
    <row r="1495" spans="1:8" ht="15.75" customHeight="1">
      <c r="A1495" s="1">
        <v>16376</v>
      </c>
      <c r="B1495" s="2">
        <v>44861.856238425928</v>
      </c>
      <c r="C1495" s="1" t="s">
        <v>10</v>
      </c>
      <c r="D1495" s="1">
        <v>83</v>
      </c>
      <c r="F1495" s="59"/>
      <c r="G1495" s="32"/>
      <c r="H1495" s="32"/>
    </row>
    <row r="1496" spans="1:8" ht="15.75" customHeight="1">
      <c r="A1496" s="1">
        <v>16375</v>
      </c>
      <c r="B1496" s="2">
        <v>44861.813333333332</v>
      </c>
      <c r="C1496" s="1" t="s">
        <v>10</v>
      </c>
      <c r="D1496" s="1">
        <v>28</v>
      </c>
      <c r="F1496" s="59"/>
      <c r="G1496" s="32"/>
      <c r="H1496" s="32"/>
    </row>
    <row r="1497" spans="1:8" ht="15.75" customHeight="1">
      <c r="A1497" s="1">
        <v>16374</v>
      </c>
      <c r="B1497" s="2">
        <v>44861.666712962964</v>
      </c>
      <c r="C1497" s="1" t="s">
        <v>10</v>
      </c>
      <c r="D1497" s="1">
        <v>58</v>
      </c>
      <c r="F1497" s="59"/>
      <c r="G1497" s="32"/>
      <c r="H1497" s="32"/>
    </row>
    <row r="1498" spans="1:8" ht="15.75" customHeight="1">
      <c r="A1498" s="1">
        <v>16373</v>
      </c>
      <c r="B1498" s="2">
        <v>44861.635914351849</v>
      </c>
      <c r="C1498" s="1" t="s">
        <v>10</v>
      </c>
      <c r="D1498" s="1">
        <v>24</v>
      </c>
      <c r="F1498" s="59"/>
      <c r="G1498" s="32"/>
      <c r="H1498" s="32"/>
    </row>
    <row r="1499" spans="1:8" ht="15.75" customHeight="1">
      <c r="A1499" s="1">
        <v>16370</v>
      </c>
      <c r="B1499" s="2">
        <v>44860.575601851851</v>
      </c>
      <c r="C1499" s="1" t="s">
        <v>10</v>
      </c>
      <c r="D1499" s="1">
        <v>25</v>
      </c>
      <c r="F1499" s="59"/>
      <c r="G1499" s="32"/>
      <c r="H1499" s="32"/>
    </row>
    <row r="1500" spans="1:8" ht="15.75" customHeight="1">
      <c r="A1500" s="1">
        <v>16369</v>
      </c>
      <c r="B1500" s="2">
        <v>44860.572083333333</v>
      </c>
      <c r="C1500" s="1" t="s">
        <v>10</v>
      </c>
      <c r="D1500" s="1">
        <v>25</v>
      </c>
      <c r="F1500" s="59"/>
      <c r="G1500" s="32"/>
      <c r="H1500" s="32"/>
    </row>
    <row r="1501" spans="1:8" ht="15.75" customHeight="1">
      <c r="A1501" s="1">
        <v>16368</v>
      </c>
      <c r="B1501" s="2">
        <v>44858.653391203705</v>
      </c>
      <c r="C1501" s="1" t="s">
        <v>10</v>
      </c>
      <c r="D1501" s="1">
        <v>35</v>
      </c>
      <c r="F1501" s="59"/>
      <c r="G1501" s="32"/>
      <c r="H1501" s="32"/>
    </row>
    <row r="1502" spans="1:8" ht="15.75" customHeight="1">
      <c r="A1502" s="1">
        <v>16367</v>
      </c>
      <c r="B1502" s="2">
        <v>44857.508518518516</v>
      </c>
      <c r="C1502" s="1" t="s">
        <v>10</v>
      </c>
      <c r="D1502" s="1">
        <v>55</v>
      </c>
      <c r="F1502" s="59"/>
      <c r="G1502" s="32"/>
      <c r="H1502" s="32"/>
    </row>
    <row r="1503" spans="1:8" ht="15.75" customHeight="1">
      <c r="A1503" s="1">
        <v>16366</v>
      </c>
      <c r="B1503" s="2">
        <v>44854.984803240739</v>
      </c>
      <c r="C1503" s="1" t="s">
        <v>10</v>
      </c>
      <c r="D1503" s="1">
        <v>55</v>
      </c>
      <c r="F1503" s="59"/>
      <c r="G1503" s="32"/>
      <c r="H1503" s="32"/>
    </row>
    <row r="1504" spans="1:8" ht="15.75" customHeight="1">
      <c r="A1504" s="1">
        <v>16364</v>
      </c>
      <c r="B1504" s="2">
        <v>44851.519918981481</v>
      </c>
      <c r="C1504" s="1" t="s">
        <v>10</v>
      </c>
      <c r="D1504" s="1">
        <v>103</v>
      </c>
      <c r="F1504" s="59"/>
      <c r="G1504" s="32"/>
      <c r="H1504" s="32"/>
    </row>
    <row r="1505" spans="1:8" ht="15.75" customHeight="1">
      <c r="A1505" s="1">
        <v>16363</v>
      </c>
      <c r="B1505" s="2">
        <v>44850.660682870366</v>
      </c>
      <c r="C1505" s="1" t="s">
        <v>10</v>
      </c>
      <c r="D1505" s="1">
        <v>28</v>
      </c>
      <c r="F1505" s="59"/>
      <c r="G1505" s="32"/>
      <c r="H1505" s="32"/>
    </row>
    <row r="1506" spans="1:8" ht="15.75" customHeight="1">
      <c r="A1506" s="1">
        <v>16361</v>
      </c>
      <c r="B1506" s="2">
        <v>44850.523483796293</v>
      </c>
      <c r="C1506" s="1" t="s">
        <v>10</v>
      </c>
      <c r="D1506" s="1">
        <v>15</v>
      </c>
      <c r="F1506" s="59"/>
      <c r="G1506" s="32"/>
      <c r="H1506" s="32"/>
    </row>
    <row r="1507" spans="1:8" ht="15.75" customHeight="1">
      <c r="A1507" s="1">
        <v>16360</v>
      </c>
      <c r="B1507" s="2">
        <v>44848.592222222222</v>
      </c>
      <c r="C1507" s="1" t="s">
        <v>10</v>
      </c>
      <c r="D1507" s="1">
        <v>48</v>
      </c>
      <c r="F1507" s="59"/>
      <c r="G1507" s="32"/>
      <c r="H1507" s="32"/>
    </row>
    <row r="1508" spans="1:8" ht="15.75" customHeight="1">
      <c r="A1508" s="1">
        <v>16359</v>
      </c>
      <c r="B1508" s="2">
        <v>44848.588854166665</v>
      </c>
      <c r="C1508" s="1" t="s">
        <v>10</v>
      </c>
      <c r="D1508" s="1">
        <v>48</v>
      </c>
      <c r="F1508" s="59"/>
      <c r="G1508" s="32"/>
      <c r="H1508" s="32"/>
    </row>
    <row r="1509" spans="1:8" ht="15.75" customHeight="1">
      <c r="A1509" s="1">
        <v>16354</v>
      </c>
      <c r="B1509" s="2">
        <v>44846.554270833338</v>
      </c>
      <c r="C1509" s="1" t="s">
        <v>10</v>
      </c>
      <c r="D1509" s="1">
        <v>22</v>
      </c>
      <c r="F1509" s="59"/>
      <c r="G1509" s="32"/>
      <c r="H1509" s="32"/>
    </row>
    <row r="1510" spans="1:8" ht="15.75" customHeight="1">
      <c r="A1510" s="1">
        <v>16353</v>
      </c>
      <c r="B1510" s="2">
        <v>44846.105983796297</v>
      </c>
      <c r="C1510" s="1" t="s">
        <v>10</v>
      </c>
      <c r="D1510" s="1">
        <v>45</v>
      </c>
      <c r="F1510" s="59"/>
      <c r="G1510" s="32"/>
      <c r="H1510" s="32"/>
    </row>
    <row r="1511" spans="1:8" ht="15.75" customHeight="1">
      <c r="A1511" s="1">
        <v>16352</v>
      </c>
      <c r="B1511" s="2">
        <v>44846.104664351849</v>
      </c>
      <c r="C1511" s="1" t="s">
        <v>10</v>
      </c>
      <c r="D1511" s="1">
        <v>45</v>
      </c>
      <c r="F1511" s="59"/>
      <c r="G1511" s="32"/>
      <c r="H1511" s="32"/>
    </row>
    <row r="1512" spans="1:8" ht="15.75" customHeight="1">
      <c r="A1512" s="1">
        <v>16351</v>
      </c>
      <c r="B1512" s="2">
        <v>44846.101666666669</v>
      </c>
      <c r="C1512" s="1" t="s">
        <v>10</v>
      </c>
      <c r="D1512" s="1">
        <v>58</v>
      </c>
      <c r="F1512" s="59"/>
      <c r="G1512" s="32"/>
      <c r="H1512" s="32"/>
    </row>
    <row r="1513" spans="1:8" ht="15.75" customHeight="1">
      <c r="A1513" s="1">
        <v>16349</v>
      </c>
      <c r="B1513" s="2">
        <v>44845.026053240741</v>
      </c>
      <c r="C1513" s="1" t="s">
        <v>10</v>
      </c>
      <c r="D1513" s="1">
        <v>25</v>
      </c>
      <c r="F1513" s="59"/>
      <c r="G1513" s="32"/>
      <c r="H1513" s="32"/>
    </row>
    <row r="1514" spans="1:8" ht="15.75" customHeight="1">
      <c r="A1514" s="1">
        <v>16348</v>
      </c>
      <c r="B1514" s="2">
        <v>44844.920347222222</v>
      </c>
      <c r="C1514" s="1" t="s">
        <v>10</v>
      </c>
      <c r="D1514" s="1">
        <v>25</v>
      </c>
      <c r="F1514" s="59"/>
      <c r="G1514" s="32"/>
      <c r="H1514" s="32"/>
    </row>
    <row r="1515" spans="1:8" ht="15.75" customHeight="1">
      <c r="A1515" s="1">
        <v>16347</v>
      </c>
      <c r="B1515" s="2">
        <v>44844.855486111112</v>
      </c>
      <c r="C1515" s="1" t="s">
        <v>10</v>
      </c>
      <c r="D1515" s="1">
        <v>25</v>
      </c>
      <c r="F1515" s="59"/>
      <c r="G1515" s="32"/>
      <c r="H1515" s="32"/>
    </row>
    <row r="1516" spans="1:8" ht="15.75" customHeight="1">
      <c r="A1516" s="1">
        <v>16346</v>
      </c>
      <c r="B1516" s="2">
        <v>44844.096562499995</v>
      </c>
      <c r="C1516" s="1" t="s">
        <v>10</v>
      </c>
      <c r="D1516" s="1">
        <v>40</v>
      </c>
      <c r="F1516" s="59"/>
      <c r="G1516" s="32"/>
      <c r="H1516" s="32"/>
    </row>
    <row r="1517" spans="1:8" ht="15.75" customHeight="1">
      <c r="A1517" s="1">
        <v>16344</v>
      </c>
      <c r="B1517" s="2">
        <v>44840.965787037036</v>
      </c>
      <c r="C1517" s="1" t="s">
        <v>10</v>
      </c>
      <c r="D1517" s="1">
        <v>35</v>
      </c>
      <c r="F1517" s="59"/>
      <c r="G1517" s="32"/>
      <c r="H1517" s="32"/>
    </row>
    <row r="1518" spans="1:8" ht="15.75" customHeight="1">
      <c r="A1518" s="1">
        <v>16343</v>
      </c>
      <c r="B1518" s="2">
        <v>44840.964490740742</v>
      </c>
      <c r="C1518" s="1" t="s">
        <v>10</v>
      </c>
      <c r="D1518" s="1">
        <v>55</v>
      </c>
      <c r="F1518" s="59"/>
      <c r="G1518" s="32"/>
      <c r="H1518" s="32"/>
    </row>
    <row r="1519" spans="1:8" ht="15.75" customHeight="1">
      <c r="A1519" s="1">
        <v>16342</v>
      </c>
      <c r="B1519" s="2">
        <v>44840.964224537034</v>
      </c>
      <c r="C1519" s="1" t="s">
        <v>10</v>
      </c>
      <c r="D1519" s="1">
        <v>85</v>
      </c>
      <c r="F1519" s="59"/>
      <c r="G1519" s="32"/>
      <c r="H1519" s="32"/>
    </row>
    <row r="1520" spans="1:8" ht="15.75" customHeight="1">
      <c r="A1520" s="1">
        <v>16341</v>
      </c>
      <c r="B1520" s="2">
        <v>44839.766770833332</v>
      </c>
      <c r="C1520" s="1" t="s">
        <v>10</v>
      </c>
      <c r="D1520" s="1">
        <v>25</v>
      </c>
      <c r="F1520" s="59"/>
      <c r="G1520" s="32"/>
      <c r="H1520" s="32"/>
    </row>
    <row r="1521" spans="1:8" ht="15.75" customHeight="1">
      <c r="A1521" s="1">
        <v>16340</v>
      </c>
      <c r="B1521" s="2">
        <v>44837.593136574069</v>
      </c>
      <c r="C1521" s="1" t="s">
        <v>10</v>
      </c>
      <c r="D1521" s="1">
        <v>28</v>
      </c>
      <c r="F1521" s="59"/>
      <c r="G1521" s="32"/>
      <c r="H1521" s="32"/>
    </row>
    <row r="1522" spans="1:8" ht="15.75" customHeight="1">
      <c r="A1522" s="1">
        <v>16339</v>
      </c>
      <c r="B1522" s="2">
        <v>44835.343414351853</v>
      </c>
      <c r="C1522" s="1" t="s">
        <v>10</v>
      </c>
      <c r="D1522" s="1">
        <v>15</v>
      </c>
      <c r="F1522" s="59"/>
      <c r="G1522" s="32"/>
      <c r="H1522" s="32"/>
    </row>
    <row r="1523" spans="1:8" ht="15.75" customHeight="1">
      <c r="A1523" s="1">
        <v>16337</v>
      </c>
      <c r="B1523" s="2">
        <v>44834.491608796292</v>
      </c>
      <c r="C1523" s="1" t="s">
        <v>10</v>
      </c>
      <c r="D1523" s="1">
        <v>53</v>
      </c>
      <c r="F1523" s="59"/>
      <c r="G1523" s="32"/>
      <c r="H1523" s="32"/>
    </row>
    <row r="1524" spans="1:8" ht="15.75" customHeight="1">
      <c r="A1524" s="1">
        <v>16336</v>
      </c>
      <c r="B1524" s="2">
        <v>44834.130462962959</v>
      </c>
      <c r="C1524" s="1" t="s">
        <v>10</v>
      </c>
      <c r="D1524" s="1">
        <v>33</v>
      </c>
      <c r="F1524" s="59"/>
      <c r="G1524" s="32"/>
      <c r="H1524" s="32"/>
    </row>
    <row r="1525" spans="1:8" ht="15.75" customHeight="1">
      <c r="A1525" s="1">
        <v>16335</v>
      </c>
      <c r="B1525" s="2">
        <v>44834.001886574071</v>
      </c>
      <c r="C1525" s="1" t="s">
        <v>10</v>
      </c>
      <c r="D1525" s="1">
        <v>18</v>
      </c>
      <c r="F1525" s="59"/>
      <c r="G1525" s="32"/>
      <c r="H1525" s="32"/>
    </row>
    <row r="1526" spans="1:8" ht="15.75" customHeight="1">
      <c r="A1526" s="1">
        <v>16334</v>
      </c>
      <c r="B1526" s="2">
        <v>44832.93167824074</v>
      </c>
      <c r="C1526" s="1" t="s">
        <v>10</v>
      </c>
      <c r="D1526" s="1">
        <v>24</v>
      </c>
      <c r="F1526" s="59"/>
      <c r="G1526" s="32"/>
      <c r="H1526" s="32"/>
    </row>
    <row r="1527" spans="1:8" ht="15.75" customHeight="1">
      <c r="A1527" s="1">
        <v>16333</v>
      </c>
      <c r="B1527" s="2">
        <v>44832.645254629635</v>
      </c>
      <c r="C1527" s="1" t="s">
        <v>10</v>
      </c>
      <c r="D1527" s="1">
        <v>25</v>
      </c>
      <c r="F1527" s="59"/>
      <c r="G1527" s="32"/>
      <c r="H1527" s="32"/>
    </row>
    <row r="1528" spans="1:8" ht="15.75" customHeight="1">
      <c r="A1528" s="1">
        <v>16332</v>
      </c>
      <c r="B1528" s="2">
        <v>44832.642812499995</v>
      </c>
      <c r="C1528" s="1" t="s">
        <v>10</v>
      </c>
      <c r="D1528" s="1">
        <v>25</v>
      </c>
      <c r="F1528" s="59"/>
      <c r="G1528" s="32"/>
      <c r="H1528" s="32"/>
    </row>
    <row r="1529" spans="1:8" ht="15.75" customHeight="1">
      <c r="A1529" s="1">
        <v>16331</v>
      </c>
      <c r="B1529" s="2">
        <v>44832.576226851852</v>
      </c>
      <c r="C1529" s="1" t="s">
        <v>10</v>
      </c>
      <c r="D1529" s="1">
        <v>25</v>
      </c>
      <c r="F1529" s="59"/>
      <c r="G1529" s="32"/>
      <c r="H1529" s="32"/>
    </row>
    <row r="1530" spans="1:8" ht="15.75" customHeight="1">
      <c r="A1530" s="1">
        <v>16330</v>
      </c>
      <c r="B1530" s="2">
        <v>44832.537916666668</v>
      </c>
      <c r="C1530" s="1" t="s">
        <v>10</v>
      </c>
      <c r="D1530" s="1">
        <v>35</v>
      </c>
      <c r="F1530" s="59"/>
      <c r="G1530" s="32"/>
      <c r="H1530" s="32"/>
    </row>
    <row r="1531" spans="1:8" ht="15.75" customHeight="1">
      <c r="A1531" s="1">
        <v>16329</v>
      </c>
      <c r="B1531" s="2">
        <v>44832.499895833331</v>
      </c>
      <c r="C1531" s="1" t="s">
        <v>10</v>
      </c>
      <c r="D1531" s="1">
        <v>35</v>
      </c>
      <c r="F1531" s="59"/>
      <c r="G1531" s="32"/>
      <c r="H1531" s="32"/>
    </row>
    <row r="1532" spans="1:8" ht="15.75" customHeight="1">
      <c r="A1532" s="1">
        <v>16327</v>
      </c>
      <c r="B1532" s="2">
        <v>44831.467048611114</v>
      </c>
      <c r="C1532" s="1" t="s">
        <v>10</v>
      </c>
      <c r="D1532" s="1">
        <v>18</v>
      </c>
      <c r="F1532" s="59"/>
      <c r="G1532" s="32"/>
      <c r="H1532" s="32"/>
    </row>
    <row r="1533" spans="1:8" ht="15.75" customHeight="1">
      <c r="A1533" s="1">
        <v>16326</v>
      </c>
      <c r="B1533" s="2">
        <v>44831.085439814815</v>
      </c>
      <c r="C1533" s="1" t="s">
        <v>10</v>
      </c>
      <c r="D1533" s="1">
        <v>38</v>
      </c>
      <c r="F1533" s="59"/>
      <c r="G1533" s="32"/>
      <c r="H1533" s="32"/>
    </row>
    <row r="1534" spans="1:8" ht="15.75" customHeight="1">
      <c r="A1534" s="1">
        <v>16325</v>
      </c>
      <c r="B1534" s="2">
        <v>44831.081273148149</v>
      </c>
      <c r="C1534" s="1" t="s">
        <v>10</v>
      </c>
      <c r="D1534" s="1">
        <v>48</v>
      </c>
      <c r="F1534" s="59"/>
      <c r="G1534" s="32"/>
      <c r="H1534" s="32"/>
    </row>
    <row r="1535" spans="1:8" ht="15.75" customHeight="1">
      <c r="A1535" s="1">
        <v>16324</v>
      </c>
      <c r="B1535" s="2">
        <v>44831.079317129625</v>
      </c>
      <c r="C1535" s="1" t="s">
        <v>10</v>
      </c>
      <c r="D1535" s="1">
        <v>48</v>
      </c>
      <c r="F1535" s="59"/>
      <c r="G1535" s="32"/>
      <c r="H1535" s="32"/>
    </row>
    <row r="1536" spans="1:8" ht="15.75" customHeight="1">
      <c r="A1536" s="1">
        <v>16321</v>
      </c>
      <c r="B1536" s="2">
        <v>44831.047280092593</v>
      </c>
      <c r="C1536" s="1" t="s">
        <v>10</v>
      </c>
      <c r="D1536" s="1">
        <v>44</v>
      </c>
      <c r="F1536" s="59"/>
      <c r="G1536" s="32"/>
      <c r="H1536" s="32"/>
    </row>
    <row r="1537" spans="1:8" ht="15.75" customHeight="1">
      <c r="A1537" s="1">
        <v>16300</v>
      </c>
      <c r="B1537" s="2">
        <v>44830.681724537033</v>
      </c>
      <c r="C1537" s="1" t="s">
        <v>10</v>
      </c>
      <c r="D1537" s="1">
        <v>68</v>
      </c>
      <c r="F1537" s="59"/>
      <c r="G1537" s="32"/>
      <c r="H1537" s="32"/>
    </row>
    <row r="1538" spans="1:8" ht="15.75" customHeight="1">
      <c r="A1538" s="1">
        <v>16298</v>
      </c>
      <c r="B1538" s="2">
        <v>44830.051342592589</v>
      </c>
      <c r="C1538" s="1" t="s">
        <v>10</v>
      </c>
      <c r="D1538" s="1">
        <v>100</v>
      </c>
      <c r="F1538" s="59"/>
      <c r="G1538" s="32"/>
      <c r="H1538" s="32"/>
    </row>
    <row r="1539" spans="1:8" ht="15.75" customHeight="1">
      <c r="A1539" s="1">
        <v>16297</v>
      </c>
      <c r="B1539" s="2">
        <v>44830.04822916667</v>
      </c>
      <c r="C1539" s="1" t="s">
        <v>10</v>
      </c>
      <c r="D1539" s="1">
        <v>99</v>
      </c>
      <c r="F1539" s="59"/>
      <c r="G1539" s="32"/>
      <c r="H1539" s="32"/>
    </row>
    <row r="1540" spans="1:8" ht="15.75" customHeight="1">
      <c r="A1540" s="1">
        <v>16296</v>
      </c>
      <c r="B1540" s="2">
        <v>44830.036631944444</v>
      </c>
      <c r="C1540" s="1" t="s">
        <v>18</v>
      </c>
      <c r="D1540" s="1">
        <v>73</v>
      </c>
      <c r="F1540" s="59"/>
      <c r="G1540" s="32"/>
      <c r="H1540" s="32"/>
    </row>
    <row r="1541" spans="1:8" ht="15.75" customHeight="1">
      <c r="A1541" s="1">
        <v>16295</v>
      </c>
      <c r="B1541" s="2">
        <v>44830.010821759264</v>
      </c>
      <c r="C1541" s="1" t="s">
        <v>10</v>
      </c>
      <c r="D1541" s="1">
        <v>48</v>
      </c>
      <c r="F1541" s="59"/>
      <c r="G1541" s="32"/>
      <c r="H1541" s="32"/>
    </row>
    <row r="1542" spans="1:8" ht="15.75" customHeight="1">
      <c r="A1542" s="1">
        <v>16294</v>
      </c>
      <c r="B1542" s="2">
        <v>44829.760023148148</v>
      </c>
      <c r="C1542" s="1" t="s">
        <v>10</v>
      </c>
      <c r="D1542" s="1">
        <v>40</v>
      </c>
      <c r="F1542" s="59"/>
      <c r="G1542" s="32"/>
      <c r="H1542" s="32"/>
    </row>
    <row r="1543" spans="1:8" ht="15.75" customHeight="1">
      <c r="A1543" s="1">
        <v>16293</v>
      </c>
      <c r="B1543" s="2">
        <v>44829.750694444447</v>
      </c>
      <c r="C1543" s="1" t="s">
        <v>10</v>
      </c>
      <c r="D1543" s="1">
        <v>42.5</v>
      </c>
      <c r="F1543" s="59"/>
      <c r="G1543" s="32"/>
      <c r="H1543" s="32"/>
    </row>
    <row r="1544" spans="1:8" ht="15.75" customHeight="1">
      <c r="A1544" s="1">
        <v>16292</v>
      </c>
      <c r="B1544" s="2">
        <v>44829.744039351848</v>
      </c>
      <c r="C1544" s="1" t="s">
        <v>10</v>
      </c>
      <c r="D1544" s="1">
        <v>25</v>
      </c>
      <c r="F1544" s="59"/>
      <c r="G1544" s="32"/>
      <c r="H1544" s="32"/>
    </row>
    <row r="1545" spans="1:8" ht="15.75" customHeight="1">
      <c r="A1545" s="1">
        <v>16291</v>
      </c>
      <c r="B1545" s="2">
        <v>44829.737268518518</v>
      </c>
      <c r="C1545" s="1" t="s">
        <v>10</v>
      </c>
      <c r="D1545" s="1">
        <v>25</v>
      </c>
      <c r="F1545" s="59"/>
      <c r="G1545" s="32"/>
      <c r="H1545" s="32"/>
    </row>
    <row r="1546" spans="1:8" ht="15.75" customHeight="1">
      <c r="A1546" s="1">
        <v>16290</v>
      </c>
      <c r="B1546" s="2">
        <v>44829.713090277779</v>
      </c>
      <c r="C1546" s="1" t="s">
        <v>10</v>
      </c>
      <c r="D1546" s="1">
        <v>49</v>
      </c>
      <c r="F1546" s="59"/>
      <c r="G1546" s="32"/>
      <c r="H1546" s="32"/>
    </row>
    <row r="1547" spans="1:8" ht="15.75" customHeight="1">
      <c r="A1547" s="1">
        <v>16289</v>
      </c>
      <c r="B1547" s="2">
        <v>44829.706782407404</v>
      </c>
      <c r="C1547" s="1" t="s">
        <v>10</v>
      </c>
      <c r="D1547" s="1">
        <v>50</v>
      </c>
      <c r="F1547" s="59"/>
      <c r="G1547" s="32"/>
      <c r="H1547" s="32"/>
    </row>
    <row r="1548" spans="1:8" ht="15.75" customHeight="1">
      <c r="A1548" s="1">
        <v>16288</v>
      </c>
      <c r="B1548" s="2">
        <v>44829.70313657407</v>
      </c>
      <c r="C1548" s="1" t="s">
        <v>10</v>
      </c>
      <c r="D1548" s="1">
        <v>35</v>
      </c>
      <c r="F1548" s="59"/>
      <c r="G1548" s="32"/>
      <c r="H1548" s="32"/>
    </row>
    <row r="1549" spans="1:8" ht="15.75" customHeight="1">
      <c r="A1549" s="1">
        <v>16287</v>
      </c>
      <c r="B1549" s="2">
        <v>44829.702175925922</v>
      </c>
      <c r="C1549" s="1" t="s">
        <v>10</v>
      </c>
      <c r="D1549" s="1">
        <v>30</v>
      </c>
      <c r="F1549" s="59"/>
      <c r="G1549" s="32"/>
      <c r="H1549" s="32"/>
    </row>
    <row r="1550" spans="1:8" ht="15.75" customHeight="1">
      <c r="A1550" s="1">
        <v>16286</v>
      </c>
      <c r="B1550" s="2">
        <v>44829.698749999996</v>
      </c>
      <c r="C1550" s="1" t="s">
        <v>10</v>
      </c>
      <c r="D1550" s="1">
        <v>15</v>
      </c>
      <c r="F1550" s="59"/>
      <c r="G1550" s="32"/>
      <c r="H1550" s="32"/>
    </row>
    <row r="1551" spans="1:8" ht="15.75" customHeight="1">
      <c r="A1551" s="1">
        <v>16285</v>
      </c>
      <c r="B1551" s="2">
        <v>44829.687673611115</v>
      </c>
      <c r="C1551" s="1" t="s">
        <v>10</v>
      </c>
      <c r="D1551" s="1">
        <v>53</v>
      </c>
      <c r="F1551" s="59"/>
      <c r="G1551" s="32"/>
      <c r="H1551" s="32"/>
    </row>
    <row r="1552" spans="1:8" ht="15.75" customHeight="1">
      <c r="A1552" s="1">
        <v>16284</v>
      </c>
      <c r="B1552" s="2">
        <v>44829.685833333337</v>
      </c>
      <c r="C1552" s="1" t="s">
        <v>10</v>
      </c>
      <c r="D1552" s="1">
        <v>35</v>
      </c>
      <c r="F1552" s="59"/>
      <c r="G1552" s="32"/>
      <c r="H1552" s="32"/>
    </row>
    <row r="1553" spans="1:8" ht="15.75" customHeight="1">
      <c r="A1553" s="1">
        <v>16283</v>
      </c>
      <c r="B1553" s="2">
        <v>44829.68472222222</v>
      </c>
      <c r="C1553" s="1" t="s">
        <v>10</v>
      </c>
      <c r="D1553" s="1">
        <v>58</v>
      </c>
      <c r="F1553" s="59"/>
      <c r="G1553" s="32"/>
      <c r="H1553" s="32"/>
    </row>
    <row r="1554" spans="1:8" ht="15.75" customHeight="1">
      <c r="A1554" s="1">
        <v>16281</v>
      </c>
      <c r="B1554" s="2">
        <v>44829.684074074074</v>
      </c>
      <c r="C1554" s="1" t="s">
        <v>10</v>
      </c>
      <c r="D1554" s="1">
        <v>18</v>
      </c>
      <c r="F1554" s="59"/>
      <c r="G1554" s="32"/>
      <c r="H1554" s="32"/>
    </row>
    <row r="1555" spans="1:8" ht="15.75" customHeight="1">
      <c r="A1555" s="1">
        <v>16280</v>
      </c>
      <c r="B1555" s="2">
        <v>44829.682812500003</v>
      </c>
      <c r="C1555" s="1" t="s">
        <v>10</v>
      </c>
      <c r="D1555" s="1">
        <v>15</v>
      </c>
      <c r="F1555" s="59"/>
      <c r="G1555" s="32"/>
      <c r="H1555" s="32"/>
    </row>
    <row r="1556" spans="1:8" ht="15.75" customHeight="1">
      <c r="A1556" s="1">
        <v>16279</v>
      </c>
      <c r="B1556" s="2">
        <v>44829.682175925926</v>
      </c>
      <c r="C1556" s="1" t="s">
        <v>10</v>
      </c>
      <c r="D1556" s="1">
        <v>92</v>
      </c>
      <c r="F1556" s="59"/>
      <c r="G1556" s="32"/>
      <c r="H1556" s="32"/>
    </row>
    <row r="1557" spans="1:8" ht="15.75" customHeight="1">
      <c r="A1557" s="1">
        <v>16278</v>
      </c>
      <c r="B1557" s="2">
        <v>44829.677314814813</v>
      </c>
      <c r="C1557" s="1" t="s">
        <v>10</v>
      </c>
      <c r="D1557" s="1">
        <v>25</v>
      </c>
      <c r="F1557" s="59"/>
      <c r="G1557" s="32"/>
      <c r="H1557" s="32"/>
    </row>
    <row r="1558" spans="1:8" ht="15.75" customHeight="1">
      <c r="A1558" s="1">
        <v>16277</v>
      </c>
      <c r="B1558" s="2">
        <v>44829.675925925927</v>
      </c>
      <c r="C1558" s="1" t="s">
        <v>10</v>
      </c>
      <c r="D1558" s="1">
        <v>45</v>
      </c>
      <c r="F1558" s="59"/>
      <c r="G1558" s="32"/>
      <c r="H1558" s="32"/>
    </row>
    <row r="1559" spans="1:8" ht="15.75" customHeight="1">
      <c r="A1559" s="1">
        <v>16276</v>
      </c>
      <c r="B1559" s="2">
        <v>44829.674166666664</v>
      </c>
      <c r="C1559" s="1" t="s">
        <v>10</v>
      </c>
      <c r="D1559" s="1">
        <v>45</v>
      </c>
      <c r="F1559" s="59"/>
      <c r="G1559" s="32"/>
      <c r="H1559" s="32"/>
    </row>
    <row r="1560" spans="1:8" ht="15.75" customHeight="1">
      <c r="A1560" s="1">
        <v>16275</v>
      </c>
      <c r="B1560" s="2">
        <v>44829.666944444441</v>
      </c>
      <c r="C1560" s="1" t="s">
        <v>10</v>
      </c>
      <c r="D1560" s="1">
        <v>42.5</v>
      </c>
      <c r="F1560" s="59"/>
      <c r="G1560" s="32"/>
      <c r="H1560" s="32"/>
    </row>
    <row r="1561" spans="1:8" ht="15.75" customHeight="1">
      <c r="A1561" s="1">
        <v>16274</v>
      </c>
      <c r="B1561" s="2">
        <v>44829.664560185185</v>
      </c>
      <c r="C1561" s="1" t="s">
        <v>10</v>
      </c>
      <c r="D1561" s="1">
        <v>25</v>
      </c>
      <c r="F1561" s="59"/>
      <c r="G1561" s="32"/>
      <c r="H1561" s="32"/>
    </row>
    <row r="1562" spans="1:8" ht="15.75" customHeight="1">
      <c r="A1562" s="1">
        <v>16273</v>
      </c>
      <c r="B1562" s="2">
        <v>44829.663530092592</v>
      </c>
      <c r="C1562" s="1" t="s">
        <v>10</v>
      </c>
      <c r="D1562" s="1">
        <v>25</v>
      </c>
      <c r="F1562" s="59"/>
      <c r="G1562" s="32"/>
      <c r="H1562" s="32"/>
    </row>
    <row r="1563" spans="1:8" ht="15.75" customHeight="1">
      <c r="A1563" s="1">
        <v>16272</v>
      </c>
      <c r="B1563" s="2">
        <v>44829.662569444445</v>
      </c>
      <c r="C1563" s="1" t="s">
        <v>10</v>
      </c>
      <c r="D1563" s="1">
        <v>25</v>
      </c>
      <c r="F1563" s="59"/>
      <c r="G1563" s="32"/>
      <c r="H1563" s="32"/>
    </row>
    <row r="1564" spans="1:8" ht="15.75" customHeight="1">
      <c r="A1564" s="1">
        <v>16271</v>
      </c>
      <c r="B1564" s="2">
        <v>44829.655428240745</v>
      </c>
      <c r="C1564" s="1" t="s">
        <v>10</v>
      </c>
      <c r="D1564" s="1">
        <v>25</v>
      </c>
      <c r="F1564" s="59"/>
      <c r="G1564" s="32"/>
      <c r="H1564" s="32"/>
    </row>
    <row r="1565" spans="1:8" ht="15.75" customHeight="1">
      <c r="A1565" s="1">
        <v>16270</v>
      </c>
      <c r="B1565" s="2">
        <v>44829.651180555556</v>
      </c>
      <c r="C1565" s="1" t="s">
        <v>10</v>
      </c>
      <c r="D1565" s="1">
        <v>46</v>
      </c>
      <c r="F1565" s="59"/>
      <c r="G1565" s="32"/>
      <c r="H1565" s="32"/>
    </row>
    <row r="1566" spans="1:8" ht="15.75" customHeight="1">
      <c r="A1566" s="1">
        <v>16269</v>
      </c>
      <c r="B1566" s="2">
        <v>44829.639374999999</v>
      </c>
      <c r="C1566" s="1" t="s">
        <v>10</v>
      </c>
      <c r="D1566" s="1">
        <v>25</v>
      </c>
      <c r="F1566" s="59"/>
      <c r="G1566" s="32"/>
      <c r="H1566" s="32"/>
    </row>
    <row r="1567" spans="1:8" ht="15.75" customHeight="1">
      <c r="A1567" s="1">
        <v>16268</v>
      </c>
      <c r="B1567" s="2">
        <v>44829.637291666666</v>
      </c>
      <c r="C1567" s="1" t="s">
        <v>10</v>
      </c>
      <c r="D1567" s="1">
        <v>25</v>
      </c>
      <c r="F1567" s="59"/>
      <c r="G1567" s="32"/>
      <c r="H1567" s="32"/>
    </row>
    <row r="1568" spans="1:8" ht="15.75" customHeight="1">
      <c r="A1568" s="1">
        <v>16267</v>
      </c>
      <c r="B1568" s="2">
        <v>44829.636388888888</v>
      </c>
      <c r="C1568" s="1" t="s">
        <v>10</v>
      </c>
      <c r="D1568" s="1">
        <v>90</v>
      </c>
      <c r="F1568" s="59"/>
      <c r="G1568" s="32"/>
      <c r="H1568" s="32"/>
    </row>
    <row r="1569" spans="1:8" ht="15.75" customHeight="1">
      <c r="A1569" s="1">
        <v>16266</v>
      </c>
      <c r="B1569" s="2">
        <v>44829.615729166668</v>
      </c>
      <c r="C1569" s="1" t="s">
        <v>10</v>
      </c>
      <c r="D1569" s="1">
        <v>25</v>
      </c>
      <c r="F1569" s="59"/>
      <c r="G1569" s="32"/>
      <c r="H1569" s="32"/>
    </row>
    <row r="1570" spans="1:8" ht="15.75" customHeight="1">
      <c r="A1570" s="1">
        <v>16265</v>
      </c>
      <c r="B1570" s="2">
        <v>44829.613252314812</v>
      </c>
      <c r="C1570" s="1" t="s">
        <v>10</v>
      </c>
      <c r="D1570" s="1">
        <v>72</v>
      </c>
      <c r="F1570" s="59"/>
      <c r="G1570" s="32"/>
      <c r="H1570" s="32"/>
    </row>
    <row r="1571" spans="1:8" ht="15.75" customHeight="1">
      <c r="A1571" s="1">
        <v>16264</v>
      </c>
      <c r="B1571" s="2">
        <v>44829.607499999998</v>
      </c>
      <c r="C1571" s="1" t="s">
        <v>10</v>
      </c>
      <c r="D1571" s="1">
        <v>18</v>
      </c>
      <c r="F1571" s="59"/>
      <c r="G1571" s="32"/>
      <c r="H1571" s="32"/>
    </row>
    <row r="1572" spans="1:8" ht="15.75" customHeight="1">
      <c r="A1572" s="1">
        <v>16263</v>
      </c>
      <c r="B1572" s="2">
        <v>44829.607199074075</v>
      </c>
      <c r="C1572" s="1" t="s">
        <v>10</v>
      </c>
      <c r="D1572" s="1">
        <v>24</v>
      </c>
      <c r="F1572" s="59"/>
      <c r="G1572" s="32"/>
      <c r="H1572" s="32"/>
    </row>
    <row r="1573" spans="1:8" ht="15.75" customHeight="1">
      <c r="A1573" s="1">
        <v>16262</v>
      </c>
      <c r="B1573" s="2">
        <v>44829.605868055558</v>
      </c>
      <c r="C1573" s="1" t="s">
        <v>10</v>
      </c>
      <c r="D1573" s="1">
        <v>36</v>
      </c>
      <c r="F1573" s="59"/>
      <c r="G1573" s="32"/>
      <c r="H1573" s="32"/>
    </row>
    <row r="1574" spans="1:8" ht="15.75" customHeight="1">
      <c r="A1574" s="1">
        <v>16261</v>
      </c>
      <c r="B1574" s="2">
        <v>44829.604097222225</v>
      </c>
      <c r="C1574" s="1" t="s">
        <v>10</v>
      </c>
      <c r="D1574" s="1">
        <v>50</v>
      </c>
      <c r="F1574" s="59"/>
      <c r="G1574" s="32"/>
      <c r="H1574" s="32"/>
    </row>
    <row r="1575" spans="1:8" ht="15.75" customHeight="1">
      <c r="A1575" s="1">
        <v>16260</v>
      </c>
      <c r="B1575" s="2">
        <v>44829.601458333331</v>
      </c>
      <c r="C1575" s="1" t="s">
        <v>10</v>
      </c>
      <c r="D1575" s="1">
        <v>35</v>
      </c>
      <c r="F1575" s="59"/>
      <c r="G1575" s="32"/>
      <c r="H1575" s="32"/>
    </row>
    <row r="1576" spans="1:8" ht="15.75" customHeight="1">
      <c r="A1576" s="1">
        <v>16259</v>
      </c>
      <c r="B1576" s="2">
        <v>44829.600613425922</v>
      </c>
      <c r="C1576" s="1" t="s">
        <v>10</v>
      </c>
      <c r="D1576" s="1">
        <v>106</v>
      </c>
      <c r="F1576" s="59"/>
      <c r="G1576" s="32"/>
      <c r="H1576" s="32"/>
    </row>
    <row r="1577" spans="1:8" ht="15.75" customHeight="1">
      <c r="A1577" s="1">
        <v>16258</v>
      </c>
      <c r="B1577" s="2">
        <v>44829.600405092591</v>
      </c>
      <c r="C1577" s="1" t="s">
        <v>10</v>
      </c>
      <c r="D1577" s="1">
        <v>45</v>
      </c>
      <c r="F1577" s="59"/>
      <c r="G1577" s="32"/>
      <c r="H1577" s="32"/>
    </row>
    <row r="1578" spans="1:8" ht="15.75" customHeight="1">
      <c r="A1578" s="1">
        <v>16257</v>
      </c>
      <c r="B1578" s="2">
        <v>44829.600231481483</v>
      </c>
      <c r="C1578" s="1" t="s">
        <v>10</v>
      </c>
      <c r="D1578" s="1">
        <v>25</v>
      </c>
      <c r="F1578" s="59"/>
      <c r="G1578" s="32"/>
      <c r="H1578" s="32"/>
    </row>
    <row r="1579" spans="1:8" ht="15.75" customHeight="1">
      <c r="A1579" s="1">
        <v>16256</v>
      </c>
      <c r="B1579" s="2">
        <v>44829.599259259259</v>
      </c>
      <c r="C1579" s="1" t="s">
        <v>10</v>
      </c>
      <c r="D1579" s="1">
        <v>55</v>
      </c>
      <c r="F1579" s="59"/>
      <c r="G1579" s="32"/>
      <c r="H1579" s="32"/>
    </row>
    <row r="1580" spans="1:8" ht="15.75" customHeight="1">
      <c r="A1580" s="1">
        <v>16255</v>
      </c>
      <c r="B1580" s="2">
        <v>44829.599016203705</v>
      </c>
      <c r="C1580" s="1" t="s">
        <v>10</v>
      </c>
      <c r="D1580" s="1">
        <v>25</v>
      </c>
      <c r="F1580" s="59"/>
      <c r="G1580" s="32"/>
      <c r="H1580" s="32"/>
    </row>
    <row r="1581" spans="1:8" ht="15.75" customHeight="1">
      <c r="A1581" s="1">
        <v>16254</v>
      </c>
      <c r="B1581" s="2">
        <v>44829.583993055552</v>
      </c>
      <c r="C1581" s="1" t="s">
        <v>10</v>
      </c>
      <c r="D1581" s="1">
        <v>25</v>
      </c>
      <c r="F1581" s="59"/>
      <c r="G1581" s="32"/>
      <c r="H1581" s="32"/>
    </row>
    <row r="1582" spans="1:8" ht="15.75" customHeight="1">
      <c r="A1582" s="1">
        <v>16253</v>
      </c>
      <c r="B1582" s="2">
        <v>44829.57984953704</v>
      </c>
      <c r="C1582" s="1" t="s">
        <v>10</v>
      </c>
      <c r="D1582" s="1">
        <v>28</v>
      </c>
      <c r="F1582" s="59"/>
      <c r="G1582" s="32"/>
      <c r="H1582" s="32"/>
    </row>
    <row r="1583" spans="1:8" ht="15.75" customHeight="1">
      <c r="A1583" s="1">
        <v>16252</v>
      </c>
      <c r="B1583" s="2">
        <v>44829.578657407408</v>
      </c>
      <c r="C1583" s="1" t="s">
        <v>10</v>
      </c>
      <c r="D1583" s="1">
        <v>25</v>
      </c>
      <c r="F1583" s="59"/>
      <c r="G1583" s="32"/>
      <c r="H1583" s="32"/>
    </row>
    <row r="1584" spans="1:8" ht="15.75" customHeight="1">
      <c r="A1584" s="1">
        <v>16251</v>
      </c>
      <c r="B1584" s="2">
        <v>44829.576666666668</v>
      </c>
      <c r="C1584" s="1" t="s">
        <v>10</v>
      </c>
      <c r="D1584" s="1">
        <v>40</v>
      </c>
      <c r="F1584" s="59"/>
      <c r="G1584" s="32"/>
      <c r="H1584" s="32"/>
    </row>
    <row r="1585" spans="1:8" ht="15.75" customHeight="1">
      <c r="A1585" s="1">
        <v>16250</v>
      </c>
      <c r="B1585" s="2">
        <v>44829.573321759264</v>
      </c>
      <c r="C1585" s="1" t="s">
        <v>10</v>
      </c>
      <c r="D1585" s="1">
        <v>15</v>
      </c>
      <c r="F1585" s="59"/>
      <c r="G1585" s="32"/>
      <c r="H1585" s="32"/>
    </row>
    <row r="1586" spans="1:8" ht="15.75" customHeight="1">
      <c r="A1586" s="1">
        <v>16249</v>
      </c>
      <c r="B1586" s="2">
        <v>44829.572962962964</v>
      </c>
      <c r="C1586" s="1" t="s">
        <v>10</v>
      </c>
      <c r="D1586" s="1">
        <v>35</v>
      </c>
      <c r="F1586" s="59"/>
      <c r="G1586" s="32"/>
      <c r="H1586" s="32"/>
    </row>
    <row r="1587" spans="1:8" ht="15.75" customHeight="1">
      <c r="A1587" s="1">
        <v>16248</v>
      </c>
      <c r="B1587" s="2">
        <v>44829.555995370371</v>
      </c>
      <c r="C1587" s="1" t="s">
        <v>10</v>
      </c>
      <c r="D1587" s="1">
        <v>70</v>
      </c>
      <c r="F1587" s="59"/>
      <c r="G1587" s="32"/>
      <c r="H1587" s="32"/>
    </row>
    <row r="1588" spans="1:8" ht="15.75" customHeight="1">
      <c r="A1588" s="1">
        <v>16247</v>
      </c>
      <c r="B1588" s="2">
        <v>44829.551550925928</v>
      </c>
      <c r="C1588" s="1" t="s">
        <v>10</v>
      </c>
      <c r="D1588" s="1">
        <v>35</v>
      </c>
      <c r="F1588" s="59"/>
      <c r="G1588" s="32"/>
      <c r="H1588" s="32"/>
    </row>
    <row r="1589" spans="1:8" ht="15.75" customHeight="1">
      <c r="A1589" s="1">
        <v>16246</v>
      </c>
      <c r="B1589" s="2">
        <v>44829.547696759255</v>
      </c>
      <c r="C1589" s="1" t="s">
        <v>10</v>
      </c>
      <c r="D1589" s="1">
        <v>35</v>
      </c>
      <c r="F1589" s="59"/>
      <c r="G1589" s="32"/>
      <c r="H1589" s="32"/>
    </row>
    <row r="1590" spans="1:8" ht="15.75" customHeight="1">
      <c r="A1590" s="1">
        <v>16245</v>
      </c>
      <c r="B1590" s="2">
        <v>44829.547372685185</v>
      </c>
      <c r="C1590" s="1" t="s">
        <v>10</v>
      </c>
      <c r="D1590" s="1">
        <v>70</v>
      </c>
      <c r="F1590" s="59"/>
      <c r="G1590" s="32"/>
      <c r="H1590" s="32"/>
    </row>
    <row r="1591" spans="1:8" ht="15.75" customHeight="1">
      <c r="A1591" s="1">
        <v>16244</v>
      </c>
      <c r="B1591" s="2">
        <v>44829.546168981484</v>
      </c>
      <c r="C1591" s="1" t="s">
        <v>10</v>
      </c>
      <c r="D1591" s="1">
        <v>25</v>
      </c>
      <c r="F1591" s="59"/>
      <c r="G1591" s="32"/>
      <c r="H1591" s="32"/>
    </row>
    <row r="1592" spans="1:8" ht="15.75" customHeight="1">
      <c r="A1592" s="1">
        <v>16243</v>
      </c>
      <c r="B1592" s="2">
        <v>44829.537280092598</v>
      </c>
      <c r="C1592" s="1" t="s">
        <v>10</v>
      </c>
      <c r="D1592" s="1">
        <v>20</v>
      </c>
      <c r="F1592" s="59"/>
      <c r="G1592" s="32"/>
      <c r="H1592" s="32"/>
    </row>
    <row r="1593" spans="1:8" ht="15.75" customHeight="1">
      <c r="A1593" s="1">
        <v>16242</v>
      </c>
      <c r="B1593" s="2">
        <v>44829.537083333329</v>
      </c>
      <c r="C1593" s="1" t="s">
        <v>10</v>
      </c>
      <c r="D1593" s="1">
        <v>25</v>
      </c>
      <c r="F1593" s="59"/>
      <c r="G1593" s="32"/>
      <c r="H1593" s="32"/>
    </row>
    <row r="1594" spans="1:8" ht="15.75" customHeight="1">
      <c r="A1594" s="1">
        <v>16241</v>
      </c>
      <c r="B1594" s="2">
        <v>44829.534710648149</v>
      </c>
      <c r="C1594" s="1" t="s">
        <v>10</v>
      </c>
      <c r="D1594" s="1">
        <v>45</v>
      </c>
      <c r="F1594" s="59"/>
      <c r="G1594" s="32"/>
      <c r="H1594" s="32"/>
    </row>
    <row r="1595" spans="1:8" ht="15.75" customHeight="1">
      <c r="A1595" s="1">
        <v>16240</v>
      </c>
      <c r="B1595" s="2">
        <v>44829.533321759256</v>
      </c>
      <c r="C1595" s="1" t="s">
        <v>10</v>
      </c>
      <c r="D1595" s="1">
        <v>53</v>
      </c>
      <c r="F1595" s="59"/>
      <c r="G1595" s="32"/>
      <c r="H1595" s="32"/>
    </row>
    <row r="1596" spans="1:8" ht="15.75" customHeight="1">
      <c r="A1596" s="1">
        <v>16239</v>
      </c>
      <c r="B1596" s="2">
        <v>44829.524710648147</v>
      </c>
      <c r="C1596" s="1" t="s">
        <v>10</v>
      </c>
      <c r="D1596" s="1">
        <v>28</v>
      </c>
      <c r="F1596" s="59"/>
      <c r="G1596" s="32"/>
      <c r="H1596" s="32"/>
    </row>
    <row r="1597" spans="1:8" ht="15.75" customHeight="1">
      <c r="A1597" s="1">
        <v>16238</v>
      </c>
      <c r="B1597" s="2">
        <v>44829.523148148146</v>
      </c>
      <c r="C1597" s="1" t="s">
        <v>10</v>
      </c>
      <c r="D1597" s="1">
        <v>20</v>
      </c>
      <c r="F1597" s="59"/>
      <c r="G1597" s="32"/>
      <c r="H1597" s="32"/>
    </row>
    <row r="1598" spans="1:8" ht="15.75" customHeight="1">
      <c r="A1598" s="1">
        <v>16237</v>
      </c>
      <c r="B1598" s="2">
        <v>44829.522673611107</v>
      </c>
      <c r="C1598" s="1" t="s">
        <v>10</v>
      </c>
      <c r="D1598" s="1">
        <v>45</v>
      </c>
      <c r="F1598" s="59"/>
      <c r="G1598" s="32"/>
      <c r="H1598" s="32"/>
    </row>
    <row r="1599" spans="1:8" ht="15.75" customHeight="1">
      <c r="A1599" s="1">
        <v>16236</v>
      </c>
      <c r="B1599" s="2">
        <v>44829.518877314811</v>
      </c>
      <c r="C1599" s="1" t="s">
        <v>10</v>
      </c>
      <c r="D1599" s="1">
        <v>25</v>
      </c>
      <c r="F1599" s="59"/>
      <c r="G1599" s="32"/>
      <c r="H1599" s="32"/>
    </row>
    <row r="1600" spans="1:8" ht="15.75" customHeight="1">
      <c r="A1600" s="1">
        <v>16235</v>
      </c>
      <c r="B1600" s="2">
        <v>44829.512395833328</v>
      </c>
      <c r="C1600" s="1" t="s">
        <v>10</v>
      </c>
      <c r="D1600" s="1">
        <v>55</v>
      </c>
      <c r="F1600" s="59"/>
      <c r="G1600" s="32"/>
      <c r="H1600" s="32"/>
    </row>
    <row r="1601" spans="1:8" ht="15.75" customHeight="1">
      <c r="A1601" s="1">
        <v>16234</v>
      </c>
      <c r="B1601" s="2">
        <v>44829.509918981479</v>
      </c>
      <c r="C1601" s="1" t="s">
        <v>10</v>
      </c>
      <c r="D1601" s="1">
        <v>25</v>
      </c>
      <c r="F1601" s="59"/>
      <c r="G1601" s="32"/>
      <c r="H1601" s="32"/>
    </row>
    <row r="1602" spans="1:8" ht="15.75" customHeight="1">
      <c r="A1602" s="1">
        <v>16233</v>
      </c>
      <c r="B1602" s="2">
        <v>44829.509456018517</v>
      </c>
      <c r="C1602" s="1" t="s">
        <v>10</v>
      </c>
      <c r="D1602" s="1">
        <v>25</v>
      </c>
      <c r="F1602" s="59"/>
      <c r="G1602" s="32"/>
      <c r="H1602" s="32"/>
    </row>
    <row r="1603" spans="1:8" ht="15.75" customHeight="1">
      <c r="A1603" s="1">
        <v>16232</v>
      </c>
      <c r="B1603" s="2">
        <v>44829.50854166667</v>
      </c>
      <c r="C1603" s="1" t="s">
        <v>10</v>
      </c>
      <c r="D1603" s="1">
        <v>25</v>
      </c>
      <c r="F1603" s="59"/>
      <c r="G1603" s="32"/>
      <c r="H1603" s="32"/>
    </row>
    <row r="1604" spans="1:8" ht="15.75" customHeight="1">
      <c r="A1604" s="1">
        <v>16231</v>
      </c>
      <c r="B1604" s="2">
        <v>44829.508506944447</v>
      </c>
      <c r="C1604" s="1" t="s">
        <v>10</v>
      </c>
      <c r="D1604" s="1">
        <v>55</v>
      </c>
      <c r="F1604" s="59"/>
      <c r="G1604" s="32"/>
      <c r="H1604" s="32"/>
    </row>
    <row r="1605" spans="1:8" ht="15.75" customHeight="1">
      <c r="A1605" s="1">
        <v>16230</v>
      </c>
      <c r="B1605" s="2">
        <v>44829.50503472222</v>
      </c>
      <c r="C1605" s="1" t="s">
        <v>10</v>
      </c>
      <c r="D1605" s="1">
        <v>25</v>
      </c>
      <c r="F1605" s="59"/>
      <c r="G1605" s="32"/>
      <c r="H1605" s="32"/>
    </row>
    <row r="1606" spans="1:8" ht="15.75" customHeight="1">
      <c r="A1606" s="1">
        <v>16229</v>
      </c>
      <c r="B1606" s="2">
        <v>44829.476018518515</v>
      </c>
      <c r="C1606" s="1" t="s">
        <v>10</v>
      </c>
      <c r="D1606" s="1">
        <v>55</v>
      </c>
      <c r="F1606" s="59"/>
      <c r="G1606" s="32"/>
      <c r="H1606" s="32"/>
    </row>
    <row r="1607" spans="1:8" ht="15.75" customHeight="1">
      <c r="A1607" s="1">
        <v>16228</v>
      </c>
      <c r="B1607" s="2">
        <v>44829.114444444444</v>
      </c>
      <c r="C1607" s="1" t="s">
        <v>10</v>
      </c>
      <c r="D1607" s="1">
        <v>55</v>
      </c>
      <c r="F1607" s="59"/>
      <c r="G1607" s="32"/>
      <c r="H1607" s="32"/>
    </row>
    <row r="1608" spans="1:8" ht="15.75" customHeight="1">
      <c r="A1608" s="1">
        <v>16227</v>
      </c>
      <c r="B1608" s="2">
        <v>44829.067719907413</v>
      </c>
      <c r="C1608" s="1" t="s">
        <v>10</v>
      </c>
      <c r="D1608" s="1">
        <v>33</v>
      </c>
      <c r="F1608" s="59"/>
      <c r="G1608" s="32"/>
      <c r="H1608" s="32"/>
    </row>
    <row r="1609" spans="1:8" ht="15.75" customHeight="1">
      <c r="A1609" s="1">
        <v>16226</v>
      </c>
      <c r="B1609" s="2">
        <v>44829.048148148147</v>
      </c>
      <c r="C1609" s="1" t="s">
        <v>10</v>
      </c>
      <c r="D1609" s="1">
        <v>55</v>
      </c>
      <c r="F1609" s="59"/>
      <c r="G1609" s="32"/>
      <c r="H1609" s="32"/>
    </row>
    <row r="1610" spans="1:8" ht="15.75" customHeight="1">
      <c r="A1610" s="1">
        <v>16225</v>
      </c>
      <c r="B1610" s="2">
        <v>44829.027037037042</v>
      </c>
      <c r="C1610" s="1" t="s">
        <v>10</v>
      </c>
      <c r="D1610" s="1">
        <v>38</v>
      </c>
      <c r="F1610" s="59"/>
      <c r="G1610" s="32"/>
      <c r="H1610" s="32"/>
    </row>
    <row r="1611" spans="1:8" ht="15.75" customHeight="1">
      <c r="A1611" s="1">
        <v>16224</v>
      </c>
      <c r="B1611" s="2">
        <v>44828.981712962966</v>
      </c>
      <c r="C1611" s="1" t="s">
        <v>10</v>
      </c>
      <c r="D1611" s="1">
        <v>15</v>
      </c>
      <c r="F1611" s="59"/>
      <c r="G1611" s="32"/>
      <c r="H1611" s="32"/>
    </row>
    <row r="1612" spans="1:8" ht="15.75" customHeight="1">
      <c r="A1612" s="1">
        <v>16223</v>
      </c>
      <c r="B1612" s="2">
        <v>44828.979814814811</v>
      </c>
      <c r="C1612" s="1" t="s">
        <v>10</v>
      </c>
      <c r="D1612" s="1">
        <v>15</v>
      </c>
      <c r="F1612" s="59"/>
      <c r="G1612" s="32"/>
      <c r="H1612" s="32"/>
    </row>
    <row r="1613" spans="1:8" ht="15.75" customHeight="1">
      <c r="A1613" s="1">
        <v>16222</v>
      </c>
      <c r="B1613" s="2">
        <v>44828.923263888893</v>
      </c>
      <c r="C1613" s="1" t="s">
        <v>10</v>
      </c>
      <c r="D1613" s="1">
        <v>15</v>
      </c>
      <c r="F1613" s="59"/>
      <c r="G1613" s="32"/>
      <c r="H1613" s="32"/>
    </row>
    <row r="1614" spans="1:8" ht="15.75" customHeight="1">
      <c r="A1614" s="1">
        <v>16221</v>
      </c>
      <c r="B1614" s="2">
        <v>44828.777986111112</v>
      </c>
      <c r="C1614" s="1" t="s">
        <v>10</v>
      </c>
      <c r="D1614" s="1">
        <v>63</v>
      </c>
      <c r="F1614" s="59"/>
      <c r="G1614" s="32"/>
      <c r="H1614" s="32"/>
    </row>
    <row r="1615" spans="1:8" ht="15.75" customHeight="1">
      <c r="A1615" s="1">
        <v>16220</v>
      </c>
      <c r="B1615" s="2">
        <v>44828.760520833333</v>
      </c>
      <c r="C1615" s="1" t="s">
        <v>10</v>
      </c>
      <c r="D1615" s="1">
        <v>35</v>
      </c>
      <c r="F1615" s="59"/>
      <c r="G1615" s="32"/>
      <c r="H1615" s="32"/>
    </row>
    <row r="1616" spans="1:8" ht="15.75" customHeight="1">
      <c r="A1616" s="1">
        <v>16219</v>
      </c>
      <c r="B1616" s="2">
        <v>44828.71</v>
      </c>
      <c r="C1616" s="1" t="s">
        <v>10</v>
      </c>
      <c r="D1616" s="1">
        <v>55</v>
      </c>
      <c r="F1616" s="59"/>
      <c r="G1616" s="32"/>
      <c r="H1616" s="32"/>
    </row>
    <row r="1617" spans="1:8" ht="15.75" customHeight="1">
      <c r="A1617" s="1">
        <v>16218</v>
      </c>
      <c r="B1617" s="2">
        <v>44828.590902777782</v>
      </c>
      <c r="C1617" s="1" t="s">
        <v>10</v>
      </c>
      <c r="D1617" s="1">
        <v>66</v>
      </c>
      <c r="F1617" s="59"/>
      <c r="G1617" s="32"/>
      <c r="H1617" s="32"/>
    </row>
    <row r="1618" spans="1:8" ht="15.75" customHeight="1">
      <c r="A1618" s="1">
        <v>16217</v>
      </c>
      <c r="B1618" s="2">
        <v>44828.04184027778</v>
      </c>
      <c r="C1618" s="1" t="s">
        <v>10</v>
      </c>
      <c r="D1618" s="1">
        <v>18</v>
      </c>
      <c r="F1618" s="59"/>
      <c r="G1618" s="32"/>
      <c r="H1618" s="32"/>
    </row>
    <row r="1619" spans="1:8" ht="15.75" customHeight="1">
      <c r="A1619" s="1">
        <v>16216</v>
      </c>
      <c r="B1619" s="2">
        <v>44827.912222222221</v>
      </c>
      <c r="C1619" s="1" t="s">
        <v>10</v>
      </c>
      <c r="D1619" s="1">
        <v>47</v>
      </c>
      <c r="F1619" s="59"/>
      <c r="G1619" s="32"/>
      <c r="H1619" s="32"/>
    </row>
    <row r="1620" spans="1:8" ht="15.75" customHeight="1">
      <c r="A1620" s="1">
        <v>16215</v>
      </c>
      <c r="B1620" s="2">
        <v>44827.907800925925</v>
      </c>
      <c r="C1620" s="1" t="s">
        <v>10</v>
      </c>
      <c r="D1620" s="1">
        <v>35</v>
      </c>
      <c r="F1620" s="59"/>
      <c r="G1620" s="32"/>
      <c r="H1620" s="32"/>
    </row>
    <row r="1621" spans="1:8" ht="15.75" customHeight="1">
      <c r="A1621" s="1">
        <v>16214</v>
      </c>
      <c r="B1621" s="2">
        <v>44827.658842592587</v>
      </c>
      <c r="C1621" s="1" t="s">
        <v>10</v>
      </c>
      <c r="D1621" s="1">
        <v>55</v>
      </c>
      <c r="F1621" s="59"/>
      <c r="G1621" s="32"/>
      <c r="H1621" s="32"/>
    </row>
    <row r="1622" spans="1:8" ht="15.75" customHeight="1">
      <c r="A1622" s="1">
        <v>16213</v>
      </c>
      <c r="B1622" s="2">
        <v>44826.963819444441</v>
      </c>
      <c r="C1622" s="1" t="s">
        <v>10</v>
      </c>
      <c r="D1622" s="1">
        <v>86</v>
      </c>
      <c r="F1622" s="59"/>
      <c r="G1622" s="32"/>
      <c r="H1622" s="32"/>
    </row>
    <row r="1623" spans="1:8" ht="15.75" customHeight="1">
      <c r="A1623" s="1">
        <v>16212</v>
      </c>
      <c r="B1623" s="2">
        <v>44826.90761574074</v>
      </c>
      <c r="C1623" s="1" t="s">
        <v>10</v>
      </c>
      <c r="D1623" s="1">
        <v>55</v>
      </c>
      <c r="F1623" s="59"/>
      <c r="G1623" s="32"/>
      <c r="H1623" s="32"/>
    </row>
    <row r="1624" spans="1:8" ht="15.75" customHeight="1">
      <c r="A1624" s="1">
        <v>16211</v>
      </c>
      <c r="B1624" s="2">
        <v>44826.880046296297</v>
      </c>
      <c r="C1624" s="1" t="s">
        <v>10</v>
      </c>
      <c r="D1624" s="1">
        <v>35</v>
      </c>
      <c r="F1624" s="59"/>
      <c r="G1624" s="32"/>
      <c r="H1624" s="32"/>
    </row>
    <row r="1625" spans="1:8" ht="15.75" customHeight="1">
      <c r="A1625" s="1">
        <v>16205</v>
      </c>
      <c r="B1625" s="2">
        <v>44826.590497685189</v>
      </c>
      <c r="C1625" s="1" t="s">
        <v>10</v>
      </c>
      <c r="D1625" s="1">
        <v>25</v>
      </c>
      <c r="F1625" s="59"/>
      <c r="G1625" s="32"/>
      <c r="H1625" s="32"/>
    </row>
    <row r="1626" spans="1:8" ht="15.75" customHeight="1">
      <c r="A1626" s="1">
        <v>16204</v>
      </c>
      <c r="B1626" s="2">
        <v>44826.517997685187</v>
      </c>
      <c r="C1626" s="1" t="s">
        <v>10</v>
      </c>
      <c r="D1626" s="1">
        <v>35</v>
      </c>
      <c r="F1626" s="59"/>
      <c r="G1626" s="32"/>
      <c r="H1626" s="32"/>
    </row>
    <row r="1627" spans="1:8" ht="15.75" customHeight="1">
      <c r="A1627" s="1">
        <v>16203</v>
      </c>
      <c r="B1627" s="2">
        <v>44826.510266203702</v>
      </c>
      <c r="C1627" s="1" t="s">
        <v>10</v>
      </c>
      <c r="D1627" s="1">
        <v>15</v>
      </c>
      <c r="F1627" s="59"/>
      <c r="G1627" s="32"/>
      <c r="H1627" s="32"/>
    </row>
    <row r="1628" spans="1:8" ht="15.75" customHeight="1">
      <c r="A1628" s="1">
        <v>16201</v>
      </c>
      <c r="B1628" s="2">
        <v>44826.396666666667</v>
      </c>
      <c r="C1628" s="1" t="s">
        <v>10</v>
      </c>
      <c r="D1628" s="1">
        <v>27.5</v>
      </c>
      <c r="F1628" s="59"/>
      <c r="G1628" s="32"/>
      <c r="H1628" s="32"/>
    </row>
    <row r="1629" spans="1:8" ht="15.75" customHeight="1">
      <c r="A1629" s="1">
        <v>16200</v>
      </c>
      <c r="B1629" s="2">
        <v>44826.121990740736</v>
      </c>
      <c r="C1629" s="1" t="s">
        <v>10</v>
      </c>
      <c r="D1629" s="1">
        <v>28</v>
      </c>
      <c r="F1629" s="59"/>
      <c r="G1629" s="32"/>
      <c r="H1629" s="32"/>
    </row>
    <row r="1630" spans="1:8" ht="15.75" customHeight="1">
      <c r="A1630" s="1">
        <v>16199</v>
      </c>
      <c r="B1630" s="2">
        <v>44825.832349537042</v>
      </c>
      <c r="C1630" s="1" t="s">
        <v>10</v>
      </c>
      <c r="D1630" s="1">
        <v>63</v>
      </c>
      <c r="F1630" s="59"/>
      <c r="G1630" s="32"/>
      <c r="H1630" s="32"/>
    </row>
    <row r="1631" spans="1:8" ht="15.75" customHeight="1">
      <c r="A1631" s="1">
        <v>16198</v>
      </c>
      <c r="B1631" s="2">
        <v>44825.800509259258</v>
      </c>
      <c r="C1631" s="1" t="s">
        <v>10</v>
      </c>
      <c r="D1631" s="1">
        <v>55</v>
      </c>
      <c r="F1631" s="59"/>
      <c r="G1631" s="32"/>
      <c r="H1631" s="32"/>
    </row>
    <row r="1632" spans="1:8" ht="15.75" customHeight="1">
      <c r="A1632" s="1">
        <v>16197</v>
      </c>
      <c r="B1632" s="2">
        <v>44825.470578703702</v>
      </c>
      <c r="C1632" s="1" t="s">
        <v>10</v>
      </c>
      <c r="D1632" s="1">
        <v>55</v>
      </c>
      <c r="F1632" s="59"/>
      <c r="G1632" s="32"/>
      <c r="H1632" s="32"/>
    </row>
    <row r="1633" spans="1:8" ht="15.75" customHeight="1">
      <c r="A1633" s="1">
        <v>16196</v>
      </c>
      <c r="B1633" s="2">
        <v>44825.015092592592</v>
      </c>
      <c r="C1633" s="1" t="s">
        <v>10</v>
      </c>
      <c r="D1633" s="1">
        <v>35</v>
      </c>
      <c r="F1633" s="59"/>
      <c r="G1633" s="32"/>
      <c r="H1633" s="32"/>
    </row>
    <row r="1634" spans="1:8" ht="15.75" customHeight="1">
      <c r="A1634" s="1">
        <v>16195</v>
      </c>
      <c r="B1634" s="2">
        <v>44824.994999999995</v>
      </c>
      <c r="C1634" s="1" t="s">
        <v>10</v>
      </c>
      <c r="D1634" s="1">
        <v>63</v>
      </c>
      <c r="F1634" s="59"/>
      <c r="G1634" s="32"/>
      <c r="H1634" s="32"/>
    </row>
    <row r="1635" spans="1:8" ht="15.75" customHeight="1">
      <c r="A1635" s="1">
        <v>16194</v>
      </c>
      <c r="B1635" s="2">
        <v>44824.778067129635</v>
      </c>
      <c r="C1635" s="1" t="s">
        <v>10</v>
      </c>
      <c r="D1635" s="1">
        <v>42.5</v>
      </c>
      <c r="F1635" s="59"/>
      <c r="G1635" s="32"/>
      <c r="H1635" s="32"/>
    </row>
    <row r="1636" spans="1:8" ht="15.75" customHeight="1">
      <c r="A1636" s="1">
        <v>16193</v>
      </c>
      <c r="B1636" s="2">
        <v>44824.7659837963</v>
      </c>
      <c r="C1636" s="1" t="s">
        <v>10</v>
      </c>
      <c r="D1636" s="1">
        <v>28</v>
      </c>
      <c r="F1636" s="59"/>
      <c r="G1636" s="32"/>
      <c r="H1636" s="32"/>
    </row>
    <row r="1637" spans="1:8" ht="15.75" customHeight="1">
      <c r="A1637" s="1">
        <v>16192</v>
      </c>
      <c r="B1637" s="2">
        <v>44824.756736111114</v>
      </c>
      <c r="C1637" s="1" t="s">
        <v>10</v>
      </c>
      <c r="D1637" s="1">
        <v>55</v>
      </c>
      <c r="F1637" s="59"/>
      <c r="G1637" s="32"/>
      <c r="H1637" s="32"/>
    </row>
    <row r="1638" spans="1:8" ht="15.75" customHeight="1">
      <c r="A1638" s="1">
        <v>16191</v>
      </c>
      <c r="B1638" s="2">
        <v>44824.694421296299</v>
      </c>
      <c r="C1638" s="1" t="s">
        <v>10</v>
      </c>
      <c r="D1638" s="1">
        <v>35</v>
      </c>
      <c r="F1638" s="59"/>
      <c r="G1638" s="32"/>
      <c r="H1638" s="32"/>
    </row>
    <row r="1639" spans="1:8" ht="15.75" customHeight="1">
      <c r="A1639" s="1">
        <v>16190</v>
      </c>
      <c r="B1639" s="2">
        <v>44824.553263888884</v>
      </c>
      <c r="C1639" s="1" t="s">
        <v>10</v>
      </c>
      <c r="D1639" s="1">
        <v>15</v>
      </c>
      <c r="F1639" s="59"/>
      <c r="G1639" s="32"/>
      <c r="H1639" s="32"/>
    </row>
    <row r="1640" spans="1:8" ht="15.75" customHeight="1">
      <c r="A1640" s="1">
        <v>16189</v>
      </c>
      <c r="B1640" s="2">
        <v>44824.09778935185</v>
      </c>
      <c r="C1640" s="1" t="s">
        <v>10</v>
      </c>
      <c r="D1640" s="1">
        <v>0</v>
      </c>
      <c r="F1640" s="59"/>
      <c r="G1640" s="32"/>
      <c r="H1640" s="32"/>
    </row>
    <row r="1641" spans="1:8" ht="15.75" customHeight="1">
      <c r="A1641" s="1">
        <v>16188</v>
      </c>
      <c r="B1641" s="2">
        <v>44824.095671296294</v>
      </c>
      <c r="C1641" s="1" t="s">
        <v>10</v>
      </c>
      <c r="D1641" s="1">
        <v>0</v>
      </c>
      <c r="F1641" s="59"/>
      <c r="G1641" s="32"/>
      <c r="H1641" s="32"/>
    </row>
    <row r="1642" spans="1:8" ht="15.75" customHeight="1">
      <c r="A1642" s="1">
        <v>16186</v>
      </c>
      <c r="B1642" s="2">
        <v>44824.04614583333</v>
      </c>
      <c r="C1642" s="1" t="s">
        <v>10</v>
      </c>
      <c r="D1642" s="1">
        <v>15</v>
      </c>
      <c r="F1642" s="59"/>
      <c r="G1642" s="32"/>
      <c r="H1642" s="32"/>
    </row>
    <row r="1643" spans="1:8" ht="15.75" customHeight="1">
      <c r="A1643" s="1">
        <v>16185</v>
      </c>
      <c r="B1643" s="2">
        <v>44823.899907407409</v>
      </c>
      <c r="C1643" s="1" t="s">
        <v>10</v>
      </c>
      <c r="D1643" s="1">
        <v>35</v>
      </c>
      <c r="F1643" s="59"/>
      <c r="G1643" s="32"/>
      <c r="H1643" s="32"/>
    </row>
    <row r="1644" spans="1:8" ht="15.75" customHeight="1">
      <c r="A1644" s="1">
        <v>16184</v>
      </c>
      <c r="B1644" s="2">
        <v>44823.754942129628</v>
      </c>
      <c r="C1644" s="1" t="s">
        <v>10</v>
      </c>
      <c r="D1644" s="1">
        <v>52</v>
      </c>
      <c r="F1644" s="59"/>
      <c r="G1644" s="32"/>
      <c r="H1644" s="32"/>
    </row>
    <row r="1645" spans="1:8" ht="15.75" customHeight="1">
      <c r="A1645" s="1">
        <v>16183</v>
      </c>
      <c r="B1645" s="2">
        <v>44823.703032407408</v>
      </c>
      <c r="C1645" s="1" t="s">
        <v>10</v>
      </c>
      <c r="D1645" s="1">
        <v>15</v>
      </c>
      <c r="F1645" s="59"/>
      <c r="G1645" s="32"/>
      <c r="H1645" s="32"/>
    </row>
    <row r="1646" spans="1:8" ht="15.75" customHeight="1">
      <c r="A1646" s="1">
        <v>16182</v>
      </c>
      <c r="B1646" s="2">
        <v>44823.658194444448</v>
      </c>
      <c r="C1646" s="1" t="s">
        <v>10</v>
      </c>
      <c r="D1646" s="1">
        <v>25</v>
      </c>
      <c r="F1646" s="59"/>
      <c r="G1646" s="32"/>
      <c r="H1646" s="32"/>
    </row>
    <row r="1647" spans="1:8" ht="15.75" customHeight="1">
      <c r="A1647" s="1">
        <v>16181</v>
      </c>
      <c r="B1647" s="2">
        <v>44823.480347222227</v>
      </c>
      <c r="C1647" s="1" t="s">
        <v>10</v>
      </c>
      <c r="D1647" s="1">
        <v>84</v>
      </c>
      <c r="F1647" s="59"/>
      <c r="G1647" s="32"/>
      <c r="H1647" s="32"/>
    </row>
    <row r="1648" spans="1:8" ht="15.75" customHeight="1">
      <c r="A1648" s="1">
        <v>16179</v>
      </c>
      <c r="B1648" s="2">
        <v>44823.041527777779</v>
      </c>
      <c r="C1648" s="1" t="s">
        <v>10</v>
      </c>
      <c r="D1648" s="1">
        <v>77</v>
      </c>
      <c r="F1648" s="59"/>
      <c r="G1648" s="32"/>
      <c r="H1648" s="32"/>
    </row>
    <row r="1649" spans="1:8" ht="15.75" customHeight="1">
      <c r="A1649" s="1">
        <v>16177</v>
      </c>
      <c r="B1649" s="2">
        <v>44822.880601851852</v>
      </c>
      <c r="C1649" s="1" t="s">
        <v>10</v>
      </c>
      <c r="D1649" s="1">
        <v>89</v>
      </c>
      <c r="F1649" s="59"/>
      <c r="G1649" s="32"/>
      <c r="H1649" s="32"/>
    </row>
    <row r="1650" spans="1:8" ht="15.75" customHeight="1">
      <c r="A1650" s="1">
        <v>16176</v>
      </c>
      <c r="B1650" s="2">
        <v>44822.811377314814</v>
      </c>
      <c r="C1650" s="1" t="s">
        <v>10</v>
      </c>
      <c r="D1650" s="1">
        <v>63</v>
      </c>
      <c r="F1650" s="59"/>
      <c r="G1650" s="32"/>
      <c r="H1650" s="32"/>
    </row>
    <row r="1651" spans="1:8" ht="15.75" customHeight="1">
      <c r="A1651" s="1">
        <v>16175</v>
      </c>
      <c r="B1651" s="2">
        <v>44822.806666666671</v>
      </c>
      <c r="C1651" s="1" t="s">
        <v>10</v>
      </c>
      <c r="D1651" s="1">
        <v>18</v>
      </c>
      <c r="F1651" s="59"/>
      <c r="G1651" s="32"/>
      <c r="H1651" s="32"/>
    </row>
    <row r="1652" spans="1:8" ht="15.75" customHeight="1">
      <c r="A1652" s="1">
        <v>16174</v>
      </c>
      <c r="B1652" s="2">
        <v>44822.788668981477</v>
      </c>
      <c r="C1652" s="1" t="s">
        <v>10</v>
      </c>
      <c r="D1652" s="1">
        <v>70</v>
      </c>
      <c r="F1652" s="59"/>
      <c r="G1652" s="32"/>
      <c r="H1652" s="32"/>
    </row>
    <row r="1653" spans="1:8" ht="15.75" customHeight="1">
      <c r="A1653" s="1">
        <v>16173</v>
      </c>
      <c r="B1653" s="2">
        <v>44822.78601851852</v>
      </c>
      <c r="C1653" s="1" t="s">
        <v>10</v>
      </c>
      <c r="D1653" s="1">
        <v>0</v>
      </c>
      <c r="F1653" s="59"/>
      <c r="G1653" s="32"/>
      <c r="H1653" s="32"/>
    </row>
    <row r="1654" spans="1:8" ht="15.75" customHeight="1">
      <c r="A1654" s="1">
        <v>16172</v>
      </c>
      <c r="B1654" s="2">
        <v>44822.783622685187</v>
      </c>
      <c r="C1654" s="1" t="s">
        <v>10</v>
      </c>
      <c r="D1654" s="1">
        <v>10</v>
      </c>
      <c r="F1654" s="59"/>
      <c r="G1654" s="32"/>
      <c r="H1654" s="32"/>
    </row>
    <row r="1655" spans="1:8" ht="15.75" customHeight="1">
      <c r="A1655" s="1">
        <v>16171</v>
      </c>
      <c r="B1655" s="2">
        <v>44822.748784722222</v>
      </c>
      <c r="C1655" s="1" t="s">
        <v>10</v>
      </c>
      <c r="D1655" s="1">
        <v>55</v>
      </c>
      <c r="F1655" s="59"/>
      <c r="G1655" s="32"/>
      <c r="H1655" s="32"/>
    </row>
    <row r="1656" spans="1:8" ht="15.75" customHeight="1">
      <c r="A1656" s="1">
        <v>16170</v>
      </c>
      <c r="B1656" s="2">
        <v>44822.703703703708</v>
      </c>
      <c r="C1656" s="1" t="s">
        <v>10</v>
      </c>
      <c r="D1656" s="1">
        <v>49</v>
      </c>
      <c r="F1656" s="59"/>
      <c r="G1656" s="32"/>
      <c r="H1656" s="32"/>
    </row>
    <row r="1657" spans="1:8" ht="15.75" customHeight="1">
      <c r="A1657" s="1">
        <v>16169</v>
      </c>
      <c r="B1657" s="2">
        <v>44822.701805555553</v>
      </c>
      <c r="C1657" s="1" t="s">
        <v>10</v>
      </c>
      <c r="D1657" s="1">
        <v>35</v>
      </c>
      <c r="F1657" s="59"/>
      <c r="G1657" s="32"/>
      <c r="H1657" s="32"/>
    </row>
    <row r="1658" spans="1:8" ht="15.75" customHeight="1">
      <c r="A1658" s="1">
        <v>16168</v>
      </c>
      <c r="B1658" s="2">
        <v>44822.699282407411</v>
      </c>
      <c r="C1658" s="1" t="s">
        <v>10</v>
      </c>
      <c r="D1658" s="1">
        <v>24</v>
      </c>
      <c r="F1658" s="59"/>
      <c r="G1658" s="32"/>
      <c r="H1658" s="32"/>
    </row>
    <row r="1659" spans="1:8" ht="15.75" customHeight="1">
      <c r="A1659" s="1">
        <v>16167</v>
      </c>
      <c r="B1659" s="2">
        <v>44822.696979166663</v>
      </c>
      <c r="C1659" s="1" t="s">
        <v>10</v>
      </c>
      <c r="D1659" s="1">
        <v>63</v>
      </c>
      <c r="F1659" s="59"/>
      <c r="G1659" s="32"/>
      <c r="H1659" s="32"/>
    </row>
    <row r="1660" spans="1:8" ht="15.75" customHeight="1">
      <c r="A1660" s="1">
        <v>16166</v>
      </c>
      <c r="B1660" s="2">
        <v>44822.694745370369</v>
      </c>
      <c r="C1660" s="1" t="s">
        <v>10</v>
      </c>
      <c r="D1660" s="1">
        <v>83</v>
      </c>
      <c r="F1660" s="59"/>
      <c r="G1660" s="32"/>
      <c r="H1660" s="32"/>
    </row>
    <row r="1661" spans="1:8" ht="15.75" customHeight="1">
      <c r="A1661" s="1">
        <v>16165</v>
      </c>
      <c r="B1661" s="2">
        <v>44822.689583333333</v>
      </c>
      <c r="C1661" s="1" t="s">
        <v>10</v>
      </c>
      <c r="D1661" s="1">
        <v>28</v>
      </c>
      <c r="F1661" s="59"/>
      <c r="G1661" s="32"/>
      <c r="H1661" s="32"/>
    </row>
    <row r="1662" spans="1:8" ht="15.75" customHeight="1">
      <c r="A1662" s="1">
        <v>16164</v>
      </c>
      <c r="B1662" s="2">
        <v>44822.68513888889</v>
      </c>
      <c r="C1662" s="1" t="s">
        <v>10</v>
      </c>
      <c r="D1662" s="1">
        <v>35</v>
      </c>
      <c r="F1662" s="59"/>
      <c r="G1662" s="32"/>
      <c r="H1662" s="32"/>
    </row>
    <row r="1663" spans="1:8" ht="15.75" customHeight="1">
      <c r="A1663" s="1">
        <v>16163</v>
      </c>
      <c r="B1663" s="2">
        <v>44822.683715277773</v>
      </c>
      <c r="C1663" s="1" t="s">
        <v>10</v>
      </c>
      <c r="D1663" s="1">
        <v>25</v>
      </c>
      <c r="F1663" s="59"/>
      <c r="G1663" s="32"/>
      <c r="H1663" s="32"/>
    </row>
    <row r="1664" spans="1:8" ht="15.75" customHeight="1">
      <c r="A1664" s="1">
        <v>16162</v>
      </c>
      <c r="B1664" s="2">
        <v>44822.681608796294</v>
      </c>
      <c r="C1664" s="1" t="s">
        <v>10</v>
      </c>
      <c r="D1664" s="1">
        <v>18</v>
      </c>
      <c r="F1664" s="59"/>
      <c r="G1664" s="32"/>
      <c r="H1664" s="32"/>
    </row>
    <row r="1665" spans="1:8" ht="15.75" customHeight="1">
      <c r="A1665" s="1">
        <v>16161</v>
      </c>
      <c r="B1665" s="2">
        <v>44822.678252314814</v>
      </c>
      <c r="C1665" s="1" t="s">
        <v>10</v>
      </c>
      <c r="D1665" s="1">
        <v>25</v>
      </c>
      <c r="F1665" s="59"/>
      <c r="G1665" s="32"/>
      <c r="H1665" s="32"/>
    </row>
    <row r="1666" spans="1:8" ht="15.75" customHeight="1">
      <c r="A1666" s="1">
        <v>16160</v>
      </c>
      <c r="B1666" s="2">
        <v>44822.678136574075</v>
      </c>
      <c r="C1666" s="1" t="s">
        <v>10</v>
      </c>
      <c r="D1666" s="1">
        <v>25</v>
      </c>
      <c r="F1666" s="59"/>
      <c r="G1666" s="32"/>
      <c r="H1666" s="32"/>
    </row>
    <row r="1667" spans="1:8" ht="15.75" customHeight="1">
      <c r="A1667" s="1">
        <v>16159</v>
      </c>
      <c r="B1667" s="2">
        <v>44822.677175925928</v>
      </c>
      <c r="C1667" s="1" t="s">
        <v>10</v>
      </c>
      <c r="D1667" s="1">
        <v>25</v>
      </c>
      <c r="F1667" s="59"/>
      <c r="G1667" s="32"/>
      <c r="H1667" s="32"/>
    </row>
    <row r="1668" spans="1:8" ht="15.75" customHeight="1">
      <c r="A1668" s="1">
        <v>16158</v>
      </c>
      <c r="B1668" s="2">
        <v>44822.676400462966</v>
      </c>
      <c r="C1668" s="1" t="s">
        <v>10</v>
      </c>
      <c r="D1668" s="1">
        <v>33</v>
      </c>
      <c r="F1668" s="59"/>
      <c r="G1668" s="32"/>
      <c r="H1668" s="32"/>
    </row>
    <row r="1669" spans="1:8" ht="15.75" customHeight="1">
      <c r="A1669" s="1">
        <v>16157</v>
      </c>
      <c r="B1669" s="2">
        <v>44822.662314814814</v>
      </c>
      <c r="C1669" s="1" t="s">
        <v>10</v>
      </c>
      <c r="D1669" s="1">
        <v>53</v>
      </c>
      <c r="F1669" s="59"/>
      <c r="G1669" s="32"/>
      <c r="H1669" s="32"/>
    </row>
    <row r="1670" spans="1:8" ht="15.75" customHeight="1">
      <c r="A1670" s="1">
        <v>16156</v>
      </c>
      <c r="B1670" s="2">
        <v>44822.659432870365</v>
      </c>
      <c r="C1670" s="1" t="s">
        <v>10</v>
      </c>
      <c r="D1670" s="1">
        <v>35</v>
      </c>
      <c r="F1670" s="59"/>
      <c r="G1670" s="32"/>
      <c r="H1670" s="32"/>
    </row>
    <row r="1671" spans="1:8" ht="15.75" customHeight="1">
      <c r="A1671" s="1">
        <v>16155</v>
      </c>
      <c r="B1671" s="2">
        <v>44822.658437499995</v>
      </c>
      <c r="C1671" s="1" t="s">
        <v>10</v>
      </c>
      <c r="D1671" s="1">
        <v>45</v>
      </c>
      <c r="F1671" s="59"/>
      <c r="G1671" s="32"/>
      <c r="H1671" s="32"/>
    </row>
    <row r="1672" spans="1:8" ht="15.75" customHeight="1">
      <c r="A1672" s="1">
        <v>16154</v>
      </c>
      <c r="B1672" s="2">
        <v>44822.656435185185</v>
      </c>
      <c r="C1672" s="1" t="s">
        <v>10</v>
      </c>
      <c r="D1672" s="1">
        <v>25</v>
      </c>
      <c r="F1672" s="59"/>
      <c r="G1672" s="32"/>
      <c r="H1672" s="32"/>
    </row>
    <row r="1673" spans="1:8" ht="15.75" customHeight="1">
      <c r="A1673" s="1">
        <v>16153</v>
      </c>
      <c r="B1673" s="2">
        <v>44822.654687499999</v>
      </c>
      <c r="C1673" s="1" t="s">
        <v>10</v>
      </c>
      <c r="D1673" s="1">
        <v>25</v>
      </c>
      <c r="F1673" s="59"/>
      <c r="G1673" s="32"/>
      <c r="H1673" s="32"/>
    </row>
    <row r="1674" spans="1:8" ht="15.75" customHeight="1">
      <c r="A1674" s="1">
        <v>16152</v>
      </c>
      <c r="B1674" s="2">
        <v>44822.654305555552</v>
      </c>
      <c r="C1674" s="1" t="s">
        <v>10</v>
      </c>
      <c r="D1674" s="1">
        <v>150</v>
      </c>
      <c r="F1674" s="59"/>
      <c r="G1674" s="32"/>
      <c r="H1674" s="32"/>
    </row>
    <row r="1675" spans="1:8" ht="15.75" customHeight="1">
      <c r="A1675" s="1">
        <v>16151</v>
      </c>
      <c r="B1675" s="2">
        <v>44822.652754629627</v>
      </c>
      <c r="C1675" s="1" t="s">
        <v>10</v>
      </c>
      <c r="D1675" s="1">
        <v>53</v>
      </c>
      <c r="F1675" s="59"/>
      <c r="G1675" s="32"/>
      <c r="H1675" s="32"/>
    </row>
    <row r="1676" spans="1:8" ht="15.75" customHeight="1">
      <c r="A1676" s="1">
        <v>16150</v>
      </c>
      <c r="B1676" s="2">
        <v>44822.652465277773</v>
      </c>
      <c r="C1676" s="1" t="s">
        <v>10</v>
      </c>
      <c r="D1676" s="1">
        <v>15</v>
      </c>
      <c r="F1676" s="59"/>
      <c r="G1676" s="32"/>
      <c r="H1676" s="32"/>
    </row>
    <row r="1677" spans="1:8" ht="15.75" customHeight="1">
      <c r="A1677" s="1">
        <v>16149</v>
      </c>
      <c r="B1677" s="2">
        <v>44822.647407407407</v>
      </c>
      <c r="C1677" s="1" t="s">
        <v>10</v>
      </c>
      <c r="D1677" s="1">
        <v>53</v>
      </c>
      <c r="F1677" s="59"/>
      <c r="G1677" s="32"/>
      <c r="H1677" s="32"/>
    </row>
    <row r="1678" spans="1:8" ht="15.75" customHeight="1">
      <c r="A1678" s="1">
        <v>16148</v>
      </c>
      <c r="B1678" s="2">
        <v>44822.636874999997</v>
      </c>
      <c r="C1678" s="1" t="s">
        <v>10</v>
      </c>
      <c r="D1678" s="1">
        <v>24</v>
      </c>
      <c r="F1678" s="59"/>
      <c r="G1678" s="32"/>
      <c r="H1678" s="32"/>
    </row>
    <row r="1679" spans="1:8" ht="15.75" customHeight="1">
      <c r="A1679" s="1">
        <v>16147</v>
      </c>
      <c r="B1679" s="2">
        <v>44822.632835648154</v>
      </c>
      <c r="C1679" s="1" t="s">
        <v>10</v>
      </c>
      <c r="D1679" s="1">
        <v>35</v>
      </c>
      <c r="F1679" s="59"/>
      <c r="G1679" s="32"/>
      <c r="H1679" s="32"/>
    </row>
    <row r="1680" spans="1:8" ht="15.75" customHeight="1">
      <c r="A1680" s="1">
        <v>16146</v>
      </c>
      <c r="B1680" s="2">
        <v>44822.63175925926</v>
      </c>
      <c r="C1680" s="1" t="s">
        <v>10</v>
      </c>
      <c r="D1680" s="1">
        <v>53</v>
      </c>
      <c r="F1680" s="59"/>
      <c r="G1680" s="32"/>
      <c r="H1680" s="32"/>
    </row>
    <row r="1681" spans="1:8" ht="15.75" customHeight="1">
      <c r="A1681" s="1">
        <v>16145</v>
      </c>
      <c r="B1681" s="2">
        <v>44822.626018518524</v>
      </c>
      <c r="C1681" s="1" t="s">
        <v>10</v>
      </c>
      <c r="D1681" s="1">
        <v>49</v>
      </c>
      <c r="F1681" s="59"/>
      <c r="G1681" s="32"/>
      <c r="H1681" s="32"/>
    </row>
    <row r="1682" spans="1:8" ht="15.75" customHeight="1">
      <c r="A1682" s="1">
        <v>16144</v>
      </c>
      <c r="B1682" s="2">
        <v>44822.608101851853</v>
      </c>
      <c r="C1682" s="1" t="s">
        <v>10</v>
      </c>
      <c r="D1682" s="1">
        <v>25</v>
      </c>
      <c r="F1682" s="59"/>
      <c r="G1682" s="32"/>
      <c r="H1682" s="32"/>
    </row>
    <row r="1683" spans="1:8" ht="15.75" customHeight="1">
      <c r="A1683" s="1">
        <v>16143</v>
      </c>
      <c r="B1683" s="2">
        <v>44822.60533564815</v>
      </c>
      <c r="C1683" s="1" t="s">
        <v>10</v>
      </c>
      <c r="D1683" s="1">
        <v>18</v>
      </c>
      <c r="F1683" s="59"/>
      <c r="G1683" s="32"/>
      <c r="H1683" s="32"/>
    </row>
    <row r="1684" spans="1:8" ht="15.75" customHeight="1">
      <c r="A1684" s="1">
        <v>16142</v>
      </c>
      <c r="B1684" s="2">
        <v>44822.605069444442</v>
      </c>
      <c r="C1684" s="1" t="s">
        <v>10</v>
      </c>
      <c r="D1684" s="1">
        <v>25</v>
      </c>
      <c r="F1684" s="59"/>
      <c r="G1684" s="32"/>
      <c r="H1684" s="32"/>
    </row>
    <row r="1685" spans="1:8" ht="15.75" customHeight="1">
      <c r="A1685" s="1">
        <v>16141</v>
      </c>
      <c r="B1685" s="2">
        <v>44822.60491898148</v>
      </c>
      <c r="C1685" s="1" t="s">
        <v>10</v>
      </c>
      <c r="D1685" s="1">
        <v>67</v>
      </c>
      <c r="F1685" s="59"/>
      <c r="G1685" s="32"/>
      <c r="H1685" s="32"/>
    </row>
    <row r="1686" spans="1:8" ht="15.75" customHeight="1">
      <c r="A1686" s="1">
        <v>16140</v>
      </c>
      <c r="B1686" s="2">
        <v>44822.603020833332</v>
      </c>
      <c r="C1686" s="1" t="s">
        <v>10</v>
      </c>
      <c r="D1686" s="1">
        <v>28</v>
      </c>
      <c r="F1686" s="59"/>
      <c r="G1686" s="32"/>
      <c r="H1686" s="32"/>
    </row>
    <row r="1687" spans="1:8" ht="15.75" customHeight="1">
      <c r="A1687" s="1">
        <v>16139</v>
      </c>
      <c r="B1687" s="2">
        <v>44822.599756944444</v>
      </c>
      <c r="C1687" s="1" t="s">
        <v>10</v>
      </c>
      <c r="D1687" s="1">
        <v>25</v>
      </c>
      <c r="F1687" s="59"/>
      <c r="G1687" s="32"/>
      <c r="H1687" s="32"/>
    </row>
    <row r="1688" spans="1:8" ht="15.75" customHeight="1">
      <c r="A1688" s="1">
        <v>16138</v>
      </c>
      <c r="B1688" s="2">
        <v>44822.597442129627</v>
      </c>
      <c r="C1688" s="1" t="s">
        <v>10</v>
      </c>
      <c r="D1688" s="1">
        <v>25</v>
      </c>
      <c r="F1688" s="59"/>
      <c r="G1688" s="32"/>
      <c r="H1688" s="32"/>
    </row>
    <row r="1689" spans="1:8" ht="15.75" customHeight="1">
      <c r="A1689" s="1">
        <v>16137</v>
      </c>
      <c r="B1689" s="2">
        <v>44822.596759259264</v>
      </c>
      <c r="C1689" s="1" t="s">
        <v>10</v>
      </c>
      <c r="D1689" s="1">
        <v>25</v>
      </c>
      <c r="F1689" s="59"/>
      <c r="G1689" s="32"/>
      <c r="H1689" s="32"/>
    </row>
    <row r="1690" spans="1:8" ht="15.75" customHeight="1">
      <c r="A1690" s="1">
        <v>16136</v>
      </c>
      <c r="B1690" s="2">
        <v>44822.592719907407</v>
      </c>
      <c r="C1690" s="1" t="s">
        <v>10</v>
      </c>
      <c r="D1690" s="1">
        <v>43</v>
      </c>
      <c r="F1690" s="59"/>
      <c r="G1690" s="32"/>
      <c r="H1690" s="32"/>
    </row>
    <row r="1691" spans="1:8" ht="15.75" customHeight="1">
      <c r="A1691" s="1">
        <v>16135</v>
      </c>
      <c r="B1691" s="2">
        <v>44822.588993055557</v>
      </c>
      <c r="C1691" s="1" t="s">
        <v>10</v>
      </c>
      <c r="D1691" s="1">
        <v>65</v>
      </c>
      <c r="F1691" s="59"/>
      <c r="G1691" s="32"/>
      <c r="H1691" s="32"/>
    </row>
    <row r="1692" spans="1:8" ht="15.75" customHeight="1">
      <c r="A1692" s="1">
        <v>16134</v>
      </c>
      <c r="B1692" s="2">
        <v>44822.588124999995</v>
      </c>
      <c r="C1692" s="1" t="s">
        <v>10</v>
      </c>
      <c r="D1692" s="1">
        <v>28</v>
      </c>
      <c r="F1692" s="59"/>
      <c r="G1692" s="32"/>
      <c r="H1692" s="32"/>
    </row>
    <row r="1693" spans="1:8" ht="15.75" customHeight="1">
      <c r="A1693" s="1">
        <v>16133</v>
      </c>
      <c r="B1693" s="2">
        <v>44822.583981481483</v>
      </c>
      <c r="C1693" s="1" t="s">
        <v>10</v>
      </c>
      <c r="D1693" s="1">
        <v>57</v>
      </c>
      <c r="F1693" s="59"/>
      <c r="G1693" s="32"/>
      <c r="H1693" s="32"/>
    </row>
    <row r="1694" spans="1:8" ht="15.75" customHeight="1">
      <c r="A1694" s="1">
        <v>16132</v>
      </c>
      <c r="B1694" s="2">
        <v>44822.583530092597</v>
      </c>
      <c r="C1694" s="1" t="s">
        <v>10</v>
      </c>
      <c r="D1694" s="1">
        <v>55</v>
      </c>
      <c r="F1694" s="59"/>
      <c r="G1694" s="32"/>
      <c r="H1694" s="32"/>
    </row>
    <row r="1695" spans="1:8" ht="15.75" customHeight="1">
      <c r="A1695" s="1">
        <v>16131</v>
      </c>
      <c r="B1695" s="2">
        <v>44822.575069444443</v>
      </c>
      <c r="C1695" s="1" t="s">
        <v>10</v>
      </c>
      <c r="D1695" s="1">
        <v>45</v>
      </c>
      <c r="F1695" s="59"/>
      <c r="G1695" s="32"/>
      <c r="H1695" s="32"/>
    </row>
    <row r="1696" spans="1:8" ht="15.75" customHeight="1">
      <c r="A1696" s="1">
        <v>16130</v>
      </c>
      <c r="B1696" s="2">
        <v>44822.574537037042</v>
      </c>
      <c r="C1696" s="1" t="s">
        <v>10</v>
      </c>
      <c r="D1696" s="1">
        <v>20</v>
      </c>
      <c r="F1696" s="59"/>
      <c r="G1696" s="32"/>
      <c r="H1696" s="32"/>
    </row>
    <row r="1697" spans="1:8" ht="15.75" customHeight="1">
      <c r="A1697" s="1">
        <v>16129</v>
      </c>
      <c r="B1697" s="2">
        <v>44822.571574074071</v>
      </c>
      <c r="C1697" s="1" t="s">
        <v>10</v>
      </c>
      <c r="D1697" s="1">
        <v>25</v>
      </c>
      <c r="F1697" s="59"/>
      <c r="G1697" s="32"/>
      <c r="H1697" s="32"/>
    </row>
    <row r="1698" spans="1:8" ht="15.75" customHeight="1">
      <c r="A1698" s="1">
        <v>16128</v>
      </c>
      <c r="B1698" s="2">
        <v>44822.56868055556</v>
      </c>
      <c r="C1698" s="1" t="s">
        <v>10</v>
      </c>
      <c r="D1698" s="1">
        <v>35</v>
      </c>
      <c r="F1698" s="59"/>
      <c r="G1698" s="32"/>
      <c r="H1698" s="32"/>
    </row>
    <row r="1699" spans="1:8" ht="15.75" customHeight="1">
      <c r="A1699" s="1">
        <v>16127</v>
      </c>
      <c r="B1699" s="2">
        <v>44822.568576388891</v>
      </c>
      <c r="C1699" s="1" t="s">
        <v>52</v>
      </c>
      <c r="D1699" s="1">
        <v>64</v>
      </c>
      <c r="F1699" s="59"/>
      <c r="G1699" s="32"/>
      <c r="H1699" s="32"/>
    </row>
    <row r="1700" spans="1:8" ht="15.75" customHeight="1">
      <c r="A1700" s="1">
        <v>16126</v>
      </c>
      <c r="B1700" s="2">
        <v>44822.568078703705</v>
      </c>
      <c r="C1700" s="1" t="s">
        <v>10</v>
      </c>
      <c r="D1700" s="1">
        <v>15</v>
      </c>
      <c r="F1700" s="59"/>
      <c r="G1700" s="32"/>
      <c r="H1700" s="32"/>
    </row>
    <row r="1701" spans="1:8" ht="15.75" customHeight="1">
      <c r="A1701" s="1">
        <v>16125</v>
      </c>
      <c r="B1701" s="2">
        <v>44822.564375000002</v>
      </c>
      <c r="C1701" s="1" t="s">
        <v>10</v>
      </c>
      <c r="D1701" s="1">
        <v>25</v>
      </c>
      <c r="F1701" s="59"/>
      <c r="G1701" s="32"/>
      <c r="H1701" s="32"/>
    </row>
    <row r="1702" spans="1:8" ht="15.75" customHeight="1">
      <c r="A1702" s="1">
        <v>16124</v>
      </c>
      <c r="B1702" s="2">
        <v>44822.562789351854</v>
      </c>
      <c r="C1702" s="1" t="s">
        <v>10</v>
      </c>
      <c r="D1702" s="1">
        <v>25</v>
      </c>
      <c r="F1702" s="59"/>
      <c r="G1702" s="32"/>
      <c r="H1702" s="32"/>
    </row>
    <row r="1703" spans="1:8" ht="15.75" customHeight="1">
      <c r="A1703" s="1">
        <v>16123</v>
      </c>
      <c r="B1703" s="2">
        <v>44822.560694444444</v>
      </c>
      <c r="C1703" s="1" t="s">
        <v>10</v>
      </c>
      <c r="D1703" s="1">
        <v>55.2</v>
      </c>
      <c r="F1703" s="59"/>
      <c r="G1703" s="32"/>
      <c r="H1703" s="32"/>
    </row>
    <row r="1704" spans="1:8" ht="15.75" customHeight="1">
      <c r="A1704" s="1">
        <v>16122</v>
      </c>
      <c r="B1704" s="2">
        <v>44822.560196759259</v>
      </c>
      <c r="C1704" s="1" t="s">
        <v>10</v>
      </c>
      <c r="D1704" s="1">
        <v>43</v>
      </c>
      <c r="F1704" s="59"/>
      <c r="G1704" s="32"/>
      <c r="H1704" s="32"/>
    </row>
    <row r="1705" spans="1:8" ht="15.75" customHeight="1">
      <c r="A1705" s="1">
        <v>16121</v>
      </c>
      <c r="B1705" s="2">
        <v>44822.559120370366</v>
      </c>
      <c r="C1705" s="1" t="s">
        <v>10</v>
      </c>
      <c r="D1705" s="1">
        <v>35</v>
      </c>
      <c r="F1705" s="59"/>
      <c r="G1705" s="32"/>
      <c r="H1705" s="32"/>
    </row>
    <row r="1706" spans="1:8" ht="15.75" customHeight="1">
      <c r="A1706" s="1">
        <v>16120</v>
      </c>
      <c r="B1706" s="2">
        <v>44822.558854166666</v>
      </c>
      <c r="C1706" s="1" t="s">
        <v>10</v>
      </c>
      <c r="D1706" s="1">
        <v>53</v>
      </c>
      <c r="F1706" s="59"/>
      <c r="G1706" s="32"/>
      <c r="H1706" s="32"/>
    </row>
    <row r="1707" spans="1:8" ht="15.75" customHeight="1">
      <c r="A1707" s="1">
        <v>16119</v>
      </c>
      <c r="B1707" s="2">
        <v>44822.557708333334</v>
      </c>
      <c r="C1707" s="1" t="s">
        <v>10</v>
      </c>
      <c r="D1707" s="1">
        <v>40</v>
      </c>
      <c r="F1707" s="59"/>
      <c r="G1707" s="32"/>
      <c r="H1707" s="32"/>
    </row>
    <row r="1708" spans="1:8" ht="15.75" customHeight="1">
      <c r="A1708" s="1">
        <v>16118</v>
      </c>
      <c r="B1708" s="2">
        <v>44822.557141203702</v>
      </c>
      <c r="C1708" s="1" t="s">
        <v>10</v>
      </c>
      <c r="D1708" s="1">
        <v>28</v>
      </c>
      <c r="F1708" s="59"/>
      <c r="G1708" s="32"/>
      <c r="H1708" s="32"/>
    </row>
    <row r="1709" spans="1:8" ht="15.75" customHeight="1">
      <c r="A1709" s="1">
        <v>16117</v>
      </c>
      <c r="B1709" s="2">
        <v>44822.556655092594</v>
      </c>
      <c r="C1709" s="1" t="s">
        <v>10</v>
      </c>
      <c r="D1709" s="1">
        <v>28</v>
      </c>
      <c r="F1709" s="59"/>
      <c r="G1709" s="32"/>
      <c r="H1709" s="32"/>
    </row>
    <row r="1710" spans="1:8" ht="15.75" customHeight="1">
      <c r="A1710" s="1">
        <v>16116</v>
      </c>
      <c r="B1710" s="2">
        <v>44822.556134259255</v>
      </c>
      <c r="C1710" s="1" t="s">
        <v>10</v>
      </c>
      <c r="D1710" s="1">
        <v>25</v>
      </c>
      <c r="F1710" s="59"/>
      <c r="G1710" s="32"/>
      <c r="H1710" s="32"/>
    </row>
    <row r="1711" spans="1:8" ht="15.75" customHeight="1">
      <c r="A1711" s="1">
        <v>16115</v>
      </c>
      <c r="B1711" s="2">
        <v>44822.554444444446</v>
      </c>
      <c r="C1711" s="1" t="s">
        <v>10</v>
      </c>
      <c r="D1711" s="1">
        <v>15</v>
      </c>
      <c r="F1711" s="59"/>
      <c r="G1711" s="32"/>
      <c r="H1711" s="32"/>
    </row>
    <row r="1712" spans="1:8" ht="15.75" customHeight="1">
      <c r="A1712" s="1">
        <v>16114</v>
      </c>
      <c r="B1712" s="2">
        <v>44822.552708333329</v>
      </c>
      <c r="C1712" s="1" t="s">
        <v>10</v>
      </c>
      <c r="D1712" s="1">
        <v>25</v>
      </c>
      <c r="F1712" s="59"/>
      <c r="G1712" s="32"/>
      <c r="H1712" s="32"/>
    </row>
    <row r="1713" spans="1:8" ht="15.75" customHeight="1">
      <c r="A1713" s="1">
        <v>16113</v>
      </c>
      <c r="B1713" s="2">
        <v>44822.549178240741</v>
      </c>
      <c r="C1713" s="1" t="s">
        <v>10</v>
      </c>
      <c r="D1713" s="1">
        <v>60</v>
      </c>
      <c r="F1713" s="59"/>
      <c r="G1713" s="32"/>
      <c r="H1713" s="32"/>
    </row>
    <row r="1714" spans="1:8" ht="15.75" customHeight="1">
      <c r="A1714" s="1">
        <v>16112</v>
      </c>
      <c r="B1714" s="2">
        <v>44822.547962962963</v>
      </c>
      <c r="C1714" s="1" t="s">
        <v>10</v>
      </c>
      <c r="D1714" s="1">
        <v>55</v>
      </c>
      <c r="F1714" s="59"/>
      <c r="G1714" s="32"/>
      <c r="H1714" s="32"/>
    </row>
    <row r="1715" spans="1:8" ht="15.75" customHeight="1">
      <c r="A1715" s="1">
        <v>16111</v>
      </c>
      <c r="B1715" s="2">
        <v>44822.5471875</v>
      </c>
      <c r="C1715" s="1" t="s">
        <v>10</v>
      </c>
      <c r="D1715" s="1">
        <v>59</v>
      </c>
      <c r="F1715" s="59"/>
      <c r="G1715" s="32"/>
      <c r="H1715" s="32"/>
    </row>
    <row r="1716" spans="1:8" ht="15.75" customHeight="1">
      <c r="A1716" s="1">
        <v>16110</v>
      </c>
      <c r="B1716" s="2">
        <v>44822.545347222222</v>
      </c>
      <c r="C1716" s="1" t="s">
        <v>10</v>
      </c>
      <c r="D1716" s="1">
        <v>65</v>
      </c>
      <c r="F1716" s="59"/>
      <c r="G1716" s="32"/>
      <c r="H1716" s="32"/>
    </row>
    <row r="1717" spans="1:8" ht="15.75" customHeight="1">
      <c r="A1717" s="1">
        <v>16109</v>
      </c>
      <c r="B1717" s="2">
        <v>44822.543969907405</v>
      </c>
      <c r="C1717" s="1" t="s">
        <v>10</v>
      </c>
      <c r="D1717" s="1">
        <v>25</v>
      </c>
      <c r="F1717" s="59"/>
      <c r="G1717" s="32"/>
      <c r="H1717" s="32"/>
    </row>
    <row r="1718" spans="1:8" ht="15.75" customHeight="1">
      <c r="A1718" s="1">
        <v>16108</v>
      </c>
      <c r="B1718" s="2">
        <v>44822.542523148149</v>
      </c>
      <c r="C1718" s="1" t="s">
        <v>10</v>
      </c>
      <c r="D1718" s="1">
        <v>25</v>
      </c>
      <c r="F1718" s="59"/>
      <c r="G1718" s="32"/>
      <c r="H1718" s="32"/>
    </row>
    <row r="1719" spans="1:8" ht="15.75" customHeight="1">
      <c r="A1719" s="1">
        <v>16107</v>
      </c>
      <c r="B1719" s="2">
        <v>44822.540925925925</v>
      </c>
      <c r="C1719" s="1" t="s">
        <v>10</v>
      </c>
      <c r="D1719" s="1">
        <v>53</v>
      </c>
      <c r="F1719" s="59"/>
      <c r="G1719" s="32"/>
      <c r="H1719" s="32"/>
    </row>
    <row r="1720" spans="1:8" ht="15.75" customHeight="1">
      <c r="A1720" s="1">
        <v>16106</v>
      </c>
      <c r="B1720" s="2">
        <v>44822.539236111115</v>
      </c>
      <c r="C1720" s="1" t="s">
        <v>10</v>
      </c>
      <c r="D1720" s="1">
        <v>15</v>
      </c>
      <c r="F1720" s="59"/>
      <c r="G1720" s="32"/>
      <c r="H1720" s="32"/>
    </row>
    <row r="1721" spans="1:8" ht="15.75" customHeight="1">
      <c r="A1721" s="1">
        <v>16105</v>
      </c>
      <c r="B1721" s="2">
        <v>44822.538368055553</v>
      </c>
      <c r="C1721" s="1" t="s">
        <v>10</v>
      </c>
      <c r="D1721" s="1">
        <v>18</v>
      </c>
      <c r="F1721" s="59"/>
      <c r="G1721" s="32"/>
      <c r="H1721" s="32"/>
    </row>
    <row r="1722" spans="1:8" ht="15.75" customHeight="1">
      <c r="A1722" s="1">
        <v>16104</v>
      </c>
      <c r="B1722" s="2">
        <v>44822.537939814814</v>
      </c>
      <c r="C1722" s="1" t="s">
        <v>10</v>
      </c>
      <c r="D1722" s="1">
        <v>25</v>
      </c>
      <c r="F1722" s="59"/>
      <c r="G1722" s="32"/>
      <c r="H1722" s="32"/>
    </row>
    <row r="1723" spans="1:8" ht="15.75" customHeight="1">
      <c r="A1723" s="1">
        <v>16103</v>
      </c>
      <c r="B1723" s="2">
        <v>44822.536631944444</v>
      </c>
      <c r="C1723" s="1" t="s">
        <v>10</v>
      </c>
      <c r="D1723" s="1">
        <v>35</v>
      </c>
      <c r="F1723" s="59"/>
      <c r="G1723" s="32"/>
      <c r="H1723" s="32"/>
    </row>
    <row r="1724" spans="1:8" ht="15.75" customHeight="1">
      <c r="A1724" s="1">
        <v>16102</v>
      </c>
      <c r="B1724" s="2">
        <v>44822.536539351851</v>
      </c>
      <c r="C1724" s="1" t="s">
        <v>10</v>
      </c>
      <c r="D1724" s="1">
        <v>75</v>
      </c>
      <c r="F1724" s="59"/>
      <c r="G1724" s="32"/>
      <c r="H1724" s="32"/>
    </row>
    <row r="1725" spans="1:8" ht="15.75" customHeight="1">
      <c r="A1725" s="1">
        <v>16101</v>
      </c>
      <c r="B1725" s="2">
        <v>44822.532511574071</v>
      </c>
      <c r="C1725" s="1" t="s">
        <v>10</v>
      </c>
      <c r="D1725" s="1">
        <v>25</v>
      </c>
      <c r="F1725" s="59"/>
      <c r="G1725" s="32"/>
      <c r="H1725" s="32"/>
    </row>
    <row r="1726" spans="1:8" ht="15.75" customHeight="1">
      <c r="A1726" s="1">
        <v>16100</v>
      </c>
      <c r="B1726" s="2">
        <v>44822.531631944439</v>
      </c>
      <c r="C1726" s="1" t="s">
        <v>10</v>
      </c>
      <c r="D1726" s="1">
        <v>25</v>
      </c>
      <c r="F1726" s="59"/>
      <c r="G1726" s="32"/>
      <c r="H1726" s="32"/>
    </row>
    <row r="1727" spans="1:8" ht="15.75" customHeight="1">
      <c r="A1727" s="1">
        <v>16099</v>
      </c>
      <c r="B1727" s="2">
        <v>44822.53087962963</v>
      </c>
      <c r="C1727" s="1" t="s">
        <v>10</v>
      </c>
      <c r="D1727" s="1">
        <v>20</v>
      </c>
      <c r="F1727" s="59"/>
      <c r="G1727" s="32"/>
      <c r="H1727" s="32"/>
    </row>
    <row r="1728" spans="1:8" ht="15.75" customHeight="1">
      <c r="A1728" s="1">
        <v>16098</v>
      </c>
      <c r="B1728" s="2">
        <v>44822.528622685189</v>
      </c>
      <c r="C1728" s="1" t="s">
        <v>10</v>
      </c>
      <c r="D1728" s="1">
        <v>25</v>
      </c>
      <c r="F1728" s="59"/>
      <c r="G1728" s="32"/>
      <c r="H1728" s="32"/>
    </row>
    <row r="1729" spans="1:8" ht="15.75" customHeight="1">
      <c r="A1729" s="1">
        <v>16097</v>
      </c>
      <c r="B1729" s="2">
        <v>44822.528148148151</v>
      </c>
      <c r="C1729" s="1" t="s">
        <v>10</v>
      </c>
      <c r="D1729" s="1">
        <v>15</v>
      </c>
      <c r="F1729" s="59"/>
      <c r="G1729" s="32"/>
      <c r="H1729" s="32"/>
    </row>
    <row r="1730" spans="1:8" ht="15.75" customHeight="1">
      <c r="A1730" s="1">
        <v>16096</v>
      </c>
      <c r="B1730" s="2">
        <v>44822.527465277773</v>
      </c>
      <c r="C1730" s="1" t="s">
        <v>10</v>
      </c>
      <c r="D1730" s="1">
        <v>25</v>
      </c>
      <c r="F1730" s="59"/>
      <c r="G1730" s="32"/>
      <c r="H1730" s="32"/>
    </row>
    <row r="1731" spans="1:8" ht="15.75" customHeight="1">
      <c r="A1731" s="1">
        <v>16095</v>
      </c>
      <c r="B1731" s="2">
        <v>44822.527453703704</v>
      </c>
      <c r="C1731" s="1" t="s">
        <v>10</v>
      </c>
      <c r="D1731" s="1">
        <v>60.5</v>
      </c>
      <c r="F1731" s="59"/>
      <c r="G1731" s="32"/>
      <c r="H1731" s="32"/>
    </row>
    <row r="1732" spans="1:8" ht="15.75" customHeight="1">
      <c r="A1732" s="1">
        <v>16094</v>
      </c>
      <c r="B1732" s="2">
        <v>44822.527175925927</v>
      </c>
      <c r="C1732" s="1" t="s">
        <v>10</v>
      </c>
      <c r="D1732" s="1">
        <v>30</v>
      </c>
      <c r="F1732" s="59"/>
      <c r="G1732" s="32"/>
      <c r="H1732" s="32"/>
    </row>
    <row r="1733" spans="1:8" ht="15.75" customHeight="1">
      <c r="A1733" s="1">
        <v>16093</v>
      </c>
      <c r="B1733" s="2">
        <v>44822.524918981479</v>
      </c>
      <c r="C1733" s="1" t="s">
        <v>10</v>
      </c>
      <c r="D1733" s="1">
        <v>35</v>
      </c>
      <c r="F1733" s="59"/>
      <c r="G1733" s="32"/>
      <c r="H1733" s="32"/>
    </row>
    <row r="1734" spans="1:8" ht="15.75" customHeight="1">
      <c r="A1734" s="1">
        <v>16092</v>
      </c>
      <c r="B1734" s="2">
        <v>44822.524525462963</v>
      </c>
      <c r="C1734" s="1" t="s">
        <v>10</v>
      </c>
      <c r="D1734" s="1">
        <v>55</v>
      </c>
      <c r="F1734" s="59"/>
      <c r="G1734" s="32"/>
      <c r="H1734" s="32"/>
    </row>
    <row r="1735" spans="1:8" ht="15.75" customHeight="1">
      <c r="A1735" s="1">
        <v>16091</v>
      </c>
      <c r="B1735" s="2">
        <v>44822.52375</v>
      </c>
      <c r="C1735" s="1" t="s">
        <v>10</v>
      </c>
      <c r="D1735" s="1">
        <v>55</v>
      </c>
      <c r="F1735" s="59"/>
      <c r="G1735" s="32"/>
      <c r="H1735" s="32"/>
    </row>
    <row r="1736" spans="1:8" ht="15.75" customHeight="1">
      <c r="A1736" s="1">
        <v>16090</v>
      </c>
      <c r="B1736" s="2">
        <v>44822.521087962959</v>
      </c>
      <c r="C1736" s="1" t="s">
        <v>10</v>
      </c>
      <c r="D1736" s="1">
        <v>15</v>
      </c>
      <c r="F1736" s="59"/>
      <c r="G1736" s="32"/>
      <c r="H1736" s="32"/>
    </row>
    <row r="1737" spans="1:8" ht="15.75" customHeight="1">
      <c r="A1737" s="1">
        <v>16089</v>
      </c>
      <c r="B1737" s="2">
        <v>44822.519930555558</v>
      </c>
      <c r="C1737" s="1" t="s">
        <v>10</v>
      </c>
      <c r="D1737" s="1">
        <v>20</v>
      </c>
      <c r="F1737" s="59"/>
      <c r="G1737" s="32"/>
      <c r="H1737" s="32"/>
    </row>
    <row r="1738" spans="1:8" ht="15.75" customHeight="1">
      <c r="A1738" s="1">
        <v>16088</v>
      </c>
      <c r="B1738" s="2">
        <v>44822.518611111111</v>
      </c>
      <c r="C1738" s="1" t="s">
        <v>10</v>
      </c>
      <c r="D1738" s="1">
        <v>22</v>
      </c>
      <c r="F1738" s="59"/>
      <c r="G1738" s="32"/>
      <c r="H1738" s="32"/>
    </row>
    <row r="1739" spans="1:8" ht="15.75" customHeight="1">
      <c r="A1739" s="1">
        <v>16087</v>
      </c>
      <c r="B1739" s="2">
        <v>44822.514976851853</v>
      </c>
      <c r="C1739" s="1" t="s">
        <v>10</v>
      </c>
      <c r="D1739" s="1">
        <v>55</v>
      </c>
      <c r="F1739" s="59"/>
      <c r="G1739" s="32"/>
      <c r="H1739" s="32"/>
    </row>
    <row r="1740" spans="1:8" ht="15.75" customHeight="1">
      <c r="A1740" s="1">
        <v>16086</v>
      </c>
      <c r="B1740" s="2">
        <v>44822.510335648149</v>
      </c>
      <c r="C1740" s="1" t="s">
        <v>10</v>
      </c>
      <c r="D1740" s="1">
        <v>55</v>
      </c>
      <c r="F1740" s="59"/>
      <c r="G1740" s="32"/>
      <c r="H1740" s="32"/>
    </row>
    <row r="1741" spans="1:8" ht="15.75" customHeight="1">
      <c r="A1741" s="1">
        <v>16085</v>
      </c>
      <c r="B1741" s="2">
        <v>44822.506319444445</v>
      </c>
      <c r="C1741" s="1" t="s">
        <v>10</v>
      </c>
      <c r="D1741" s="1">
        <v>15</v>
      </c>
      <c r="F1741" s="59"/>
      <c r="G1741" s="32"/>
      <c r="H1741" s="32"/>
    </row>
    <row r="1742" spans="1:8" ht="15.75" customHeight="1">
      <c r="A1742" s="1">
        <v>16084</v>
      </c>
      <c r="B1742" s="2">
        <v>44822.50618055556</v>
      </c>
      <c r="C1742" s="1" t="s">
        <v>10</v>
      </c>
      <c r="D1742" s="1">
        <v>33</v>
      </c>
      <c r="F1742" s="59"/>
      <c r="G1742" s="32"/>
      <c r="H1742" s="32"/>
    </row>
    <row r="1743" spans="1:8" ht="15.75" customHeight="1">
      <c r="A1743" s="1">
        <v>16083</v>
      </c>
      <c r="B1743" s="2">
        <v>44822.498414351852</v>
      </c>
      <c r="C1743" s="1" t="s">
        <v>10</v>
      </c>
      <c r="D1743" s="1">
        <v>53</v>
      </c>
      <c r="F1743" s="59"/>
      <c r="G1743" s="32"/>
      <c r="H1743" s="32"/>
    </row>
    <row r="1744" spans="1:8" ht="15.75" customHeight="1">
      <c r="A1744" s="1">
        <v>16082</v>
      </c>
      <c r="B1744" s="2">
        <v>44822.474988425922</v>
      </c>
      <c r="C1744" s="1" t="s">
        <v>10</v>
      </c>
      <c r="D1744" s="1">
        <v>48</v>
      </c>
      <c r="F1744" s="59"/>
      <c r="G1744" s="32"/>
      <c r="H1744" s="32"/>
    </row>
    <row r="1745" spans="1:8" ht="15.75" customHeight="1">
      <c r="A1745" s="1">
        <v>16081</v>
      </c>
      <c r="B1745" s="2">
        <v>44822.464895833335</v>
      </c>
      <c r="C1745" s="1" t="s">
        <v>10</v>
      </c>
      <c r="D1745" s="1">
        <v>53</v>
      </c>
      <c r="F1745" s="59"/>
      <c r="G1745" s="32"/>
      <c r="H1745" s="32"/>
    </row>
    <row r="1746" spans="1:8" ht="15.75" customHeight="1">
      <c r="A1746" s="1">
        <v>16079</v>
      </c>
      <c r="B1746" s="2">
        <v>44821.890520833331</v>
      </c>
      <c r="C1746" s="1" t="s">
        <v>10</v>
      </c>
      <c r="D1746" s="1">
        <v>35</v>
      </c>
      <c r="F1746" s="59"/>
      <c r="G1746" s="32"/>
      <c r="H1746" s="32"/>
    </row>
    <row r="1747" spans="1:8" ht="15.75" customHeight="1">
      <c r="A1747" s="1">
        <v>16078</v>
      </c>
      <c r="B1747" s="2">
        <v>44821.629606481481</v>
      </c>
      <c r="C1747" s="1" t="s">
        <v>10</v>
      </c>
      <c r="D1747" s="1">
        <v>25</v>
      </c>
      <c r="F1747" s="59"/>
      <c r="G1747" s="32"/>
      <c r="H1747" s="32"/>
    </row>
    <row r="1748" spans="1:8" ht="15.75" customHeight="1">
      <c r="A1748" s="1">
        <v>16077</v>
      </c>
      <c r="B1748" s="2">
        <v>44821.602268518516</v>
      </c>
      <c r="C1748" s="1" t="s">
        <v>10</v>
      </c>
      <c r="D1748" s="1">
        <v>55</v>
      </c>
      <c r="F1748" s="59"/>
      <c r="G1748" s="32"/>
      <c r="H1748" s="32"/>
    </row>
    <row r="1749" spans="1:8" ht="15.75" customHeight="1">
      <c r="A1749" s="1">
        <v>16076</v>
      </c>
      <c r="B1749" s="2">
        <v>44821.519050925926</v>
      </c>
      <c r="C1749" s="1" t="s">
        <v>10</v>
      </c>
      <c r="D1749" s="1">
        <v>55</v>
      </c>
      <c r="F1749" s="59"/>
      <c r="G1749" s="32"/>
      <c r="H1749" s="32"/>
    </row>
    <row r="1750" spans="1:8" ht="15.75" customHeight="1">
      <c r="A1750" s="1">
        <v>16075</v>
      </c>
      <c r="B1750" s="2">
        <v>44821.446759259255</v>
      </c>
      <c r="C1750" s="1" t="s">
        <v>10</v>
      </c>
      <c r="D1750" s="1">
        <v>55</v>
      </c>
      <c r="F1750" s="59"/>
      <c r="G1750" s="32"/>
      <c r="H1750" s="32"/>
    </row>
    <row r="1751" spans="1:8" ht="15.75" customHeight="1">
      <c r="A1751" s="1">
        <v>16074</v>
      </c>
      <c r="B1751" s="2">
        <v>44821.146041666667</v>
      </c>
      <c r="C1751" s="1" t="s">
        <v>10</v>
      </c>
      <c r="D1751" s="1">
        <v>42.5</v>
      </c>
      <c r="F1751" s="59"/>
      <c r="G1751" s="32"/>
      <c r="H1751" s="32"/>
    </row>
    <row r="1752" spans="1:8" ht="15.75" customHeight="1">
      <c r="A1752" s="1">
        <v>16073</v>
      </c>
      <c r="B1752" s="2">
        <v>44821.074166666665</v>
      </c>
      <c r="C1752" s="1" t="s">
        <v>10</v>
      </c>
      <c r="D1752" s="1">
        <v>25</v>
      </c>
      <c r="F1752" s="59"/>
      <c r="G1752" s="32"/>
      <c r="H1752" s="32"/>
    </row>
    <row r="1753" spans="1:8" ht="15.75" customHeight="1">
      <c r="A1753" s="1">
        <v>16072</v>
      </c>
      <c r="B1753" s="2">
        <v>44821.057939814811</v>
      </c>
      <c r="C1753" s="1" t="s">
        <v>10</v>
      </c>
      <c r="D1753" s="1">
        <v>85</v>
      </c>
      <c r="F1753" s="59"/>
      <c r="G1753" s="32"/>
      <c r="H1753" s="32"/>
    </row>
    <row r="1754" spans="1:8" ht="15.75" customHeight="1">
      <c r="A1754" s="1">
        <v>16071</v>
      </c>
      <c r="B1754" s="2">
        <v>44821.03805555556</v>
      </c>
      <c r="C1754" s="1" t="s">
        <v>10</v>
      </c>
      <c r="D1754" s="1">
        <v>18</v>
      </c>
      <c r="F1754" s="59"/>
      <c r="G1754" s="32"/>
      <c r="H1754" s="32"/>
    </row>
    <row r="1755" spans="1:8" ht="15.75" customHeight="1">
      <c r="A1755" s="1">
        <v>16070</v>
      </c>
      <c r="B1755" s="2">
        <v>44821.028182870374</v>
      </c>
      <c r="C1755" s="1" t="s">
        <v>10</v>
      </c>
      <c r="D1755" s="1">
        <v>25</v>
      </c>
      <c r="F1755" s="59"/>
      <c r="G1755" s="32"/>
      <c r="H1755" s="32"/>
    </row>
    <row r="1756" spans="1:8" ht="15.75" customHeight="1">
      <c r="A1756" s="1">
        <v>16069</v>
      </c>
      <c r="B1756" s="2">
        <v>44820.930509259255</v>
      </c>
      <c r="C1756" s="1" t="s">
        <v>10</v>
      </c>
      <c r="D1756" s="1">
        <v>80</v>
      </c>
      <c r="F1756" s="59"/>
      <c r="G1756" s="32"/>
      <c r="H1756" s="32"/>
    </row>
    <row r="1757" spans="1:8" ht="15.75" customHeight="1">
      <c r="A1757" s="1">
        <v>16068</v>
      </c>
      <c r="B1757" s="2">
        <v>44820.795914351853</v>
      </c>
      <c r="C1757" s="1" t="s">
        <v>10</v>
      </c>
      <c r="D1757" s="1">
        <v>37</v>
      </c>
      <c r="F1757" s="59"/>
      <c r="G1757" s="32"/>
      <c r="H1757" s="32"/>
    </row>
    <row r="1758" spans="1:8" ht="15.75" customHeight="1">
      <c r="A1758" s="1">
        <v>16066</v>
      </c>
      <c r="B1758" s="2">
        <v>44820.772858796292</v>
      </c>
      <c r="C1758" s="1" t="s">
        <v>10</v>
      </c>
      <c r="D1758" s="1">
        <v>25</v>
      </c>
      <c r="F1758" s="59"/>
      <c r="G1758" s="32"/>
      <c r="H1758" s="32"/>
    </row>
    <row r="1759" spans="1:8" ht="15.75" customHeight="1">
      <c r="A1759" s="1">
        <v>16065</v>
      </c>
      <c r="B1759" s="2">
        <v>44820.769513888888</v>
      </c>
      <c r="C1759" s="1" t="s">
        <v>10</v>
      </c>
      <c r="D1759" s="1">
        <v>25</v>
      </c>
      <c r="F1759" s="59"/>
      <c r="G1759" s="32"/>
      <c r="H1759" s="32"/>
    </row>
    <row r="1760" spans="1:8" ht="15.75" customHeight="1">
      <c r="A1760" s="1">
        <v>16064</v>
      </c>
      <c r="B1760" s="2">
        <v>44820.720324074078</v>
      </c>
      <c r="C1760" s="1" t="s">
        <v>10</v>
      </c>
      <c r="D1760" s="1">
        <v>42.5</v>
      </c>
      <c r="F1760" s="59"/>
      <c r="G1760" s="32"/>
      <c r="H1760" s="32"/>
    </row>
    <row r="1761" spans="1:8" ht="15.75" customHeight="1">
      <c r="A1761" s="1">
        <v>16063</v>
      </c>
      <c r="B1761" s="2">
        <v>44820.710844907408</v>
      </c>
      <c r="C1761" s="1" t="s">
        <v>10</v>
      </c>
      <c r="D1761" s="1">
        <v>42.5</v>
      </c>
      <c r="F1761" s="59"/>
      <c r="G1761" s="32"/>
      <c r="H1761" s="32"/>
    </row>
    <row r="1762" spans="1:8" ht="15.75" customHeight="1">
      <c r="A1762" s="1">
        <v>16062</v>
      </c>
      <c r="B1762" s="2">
        <v>44820.710787037038</v>
      </c>
      <c r="C1762" s="1" t="s">
        <v>10</v>
      </c>
      <c r="D1762" s="1">
        <v>42.5</v>
      </c>
      <c r="F1762" s="59"/>
      <c r="G1762" s="32"/>
      <c r="H1762" s="32"/>
    </row>
    <row r="1763" spans="1:8" ht="15.75" customHeight="1">
      <c r="A1763" s="1">
        <v>15995</v>
      </c>
      <c r="B1763" s="2">
        <v>44818.140185185184</v>
      </c>
      <c r="C1763" s="1" t="s">
        <v>10</v>
      </c>
      <c r="D1763" s="1">
        <v>38</v>
      </c>
      <c r="F1763" s="59"/>
      <c r="G1763" s="32"/>
      <c r="H1763" s="32"/>
    </row>
    <row r="1764" spans="1:8" ht="15.75" customHeight="1">
      <c r="A1764" s="1">
        <v>15962</v>
      </c>
      <c r="B1764" s="2">
        <v>44817.548043981486</v>
      </c>
      <c r="C1764" s="1" t="s">
        <v>10</v>
      </c>
      <c r="D1764" s="1">
        <v>22</v>
      </c>
      <c r="F1764" s="59"/>
      <c r="G1764" s="32"/>
      <c r="H1764" s="32"/>
    </row>
    <row r="1765" spans="1:8" ht="15.75" customHeight="1">
      <c r="A1765" s="1">
        <v>15920</v>
      </c>
      <c r="B1765" s="2">
        <v>44813.577187499999</v>
      </c>
      <c r="C1765" s="1" t="s">
        <v>10</v>
      </c>
      <c r="D1765" s="1">
        <v>375</v>
      </c>
      <c r="F1765" s="59"/>
      <c r="G1765" s="32"/>
      <c r="H1765" s="32"/>
    </row>
    <row r="1766" spans="1:8" ht="15.75" customHeight="1">
      <c r="A1766" s="1">
        <v>15919</v>
      </c>
      <c r="B1766" s="2">
        <v>44811.854907407411</v>
      </c>
      <c r="C1766" s="1" t="s">
        <v>10</v>
      </c>
      <c r="D1766" s="1">
        <v>22</v>
      </c>
      <c r="F1766" s="59"/>
      <c r="G1766" s="32"/>
      <c r="H1766" s="32"/>
    </row>
    <row r="1767" spans="1:8" ht="15.75" customHeight="1">
      <c r="A1767" s="1">
        <v>15884</v>
      </c>
      <c r="B1767" s="2">
        <v>44807.917037037041</v>
      </c>
      <c r="C1767" s="1" t="s">
        <v>10</v>
      </c>
      <c r="D1767" s="1">
        <v>43</v>
      </c>
      <c r="F1767" s="59"/>
      <c r="G1767" s="32"/>
      <c r="H1767" s="32"/>
    </row>
    <row r="1768" spans="1:8" ht="15.75" customHeight="1">
      <c r="A1768" s="1">
        <v>15883</v>
      </c>
      <c r="B1768" s="2">
        <v>44807.915960648148</v>
      </c>
      <c r="C1768" s="1" t="s">
        <v>10</v>
      </c>
      <c r="D1768" s="1">
        <v>43</v>
      </c>
      <c r="F1768" s="59"/>
      <c r="G1768" s="32"/>
      <c r="H1768" s="32"/>
    </row>
    <row r="1769" spans="1:8" ht="15.75" customHeight="1">
      <c r="A1769" s="1">
        <v>15562</v>
      </c>
      <c r="B1769" s="2">
        <v>44782.106076388889</v>
      </c>
      <c r="C1769" s="1" t="s">
        <v>10</v>
      </c>
      <c r="D1769" s="1">
        <v>20</v>
      </c>
      <c r="F1769" s="59"/>
      <c r="G1769" s="32"/>
      <c r="H1769" s="32"/>
    </row>
    <row r="1770" spans="1:8" ht="15.75" customHeight="1">
      <c r="A1770" s="1">
        <v>15561</v>
      </c>
      <c r="B1770" s="2">
        <v>44782.043634259258</v>
      </c>
      <c r="C1770" s="1" t="s">
        <v>10</v>
      </c>
      <c r="D1770" s="1">
        <v>47</v>
      </c>
      <c r="F1770" s="59"/>
      <c r="G1770" s="32"/>
      <c r="H1770" s="32"/>
    </row>
    <row r="1771" spans="1:8" ht="15.75" customHeight="1">
      <c r="A1771" s="1">
        <v>15560</v>
      </c>
      <c r="B1771" s="2">
        <v>44781.965011574073</v>
      </c>
      <c r="C1771" s="1" t="s">
        <v>10</v>
      </c>
      <c r="D1771" s="1">
        <v>60</v>
      </c>
      <c r="F1771" s="59"/>
      <c r="G1771" s="32"/>
      <c r="H1771" s="32"/>
    </row>
    <row r="1772" spans="1:8" ht="15.75" customHeight="1">
      <c r="A1772" s="1">
        <v>15559</v>
      </c>
      <c r="B1772" s="2">
        <v>44781.962511574078</v>
      </c>
      <c r="C1772" s="1" t="s">
        <v>10</v>
      </c>
      <c r="D1772" s="1">
        <v>18</v>
      </c>
      <c r="F1772" s="59"/>
      <c r="G1772" s="32"/>
      <c r="H1772" s="32"/>
    </row>
    <row r="1773" spans="1:8" ht="15.75" customHeight="1">
      <c r="A1773" s="1">
        <v>15558</v>
      </c>
      <c r="B1773" s="2">
        <v>44781.958668981482</v>
      </c>
      <c r="C1773" s="1" t="s">
        <v>10</v>
      </c>
      <c r="D1773" s="1">
        <v>22</v>
      </c>
      <c r="F1773" s="59"/>
      <c r="G1773" s="32"/>
      <c r="H1773" s="32"/>
    </row>
    <row r="1774" spans="1:8" ht="15.75" customHeight="1">
      <c r="A1774" s="1">
        <v>15557</v>
      </c>
      <c r="B1774" s="2">
        <v>44781.946423611109</v>
      </c>
      <c r="C1774" s="1" t="s">
        <v>10</v>
      </c>
      <c r="D1774" s="1">
        <v>25</v>
      </c>
      <c r="F1774" s="59"/>
      <c r="G1774" s="32"/>
      <c r="H1774" s="32"/>
    </row>
    <row r="1775" spans="1:8" ht="15.75" customHeight="1">
      <c r="A1775" s="1">
        <v>15556</v>
      </c>
      <c r="B1775" s="2">
        <v>44781.937256944446</v>
      </c>
      <c r="C1775" s="1" t="s">
        <v>10</v>
      </c>
      <c r="D1775" s="1">
        <v>55</v>
      </c>
      <c r="F1775" s="59"/>
      <c r="G1775" s="32"/>
      <c r="H1775" s="32"/>
    </row>
    <row r="1776" spans="1:8" ht="15.75" customHeight="1">
      <c r="A1776" s="1">
        <v>15555</v>
      </c>
      <c r="B1776" s="2">
        <v>44781.936238425929</v>
      </c>
      <c r="C1776" s="1" t="s">
        <v>10</v>
      </c>
      <c r="D1776" s="1">
        <v>35</v>
      </c>
      <c r="F1776" s="59"/>
      <c r="G1776" s="32"/>
      <c r="H1776" s="32"/>
    </row>
    <row r="1777" spans="1:8" ht="15.75" customHeight="1">
      <c r="A1777" s="1">
        <v>15554</v>
      </c>
      <c r="B1777" s="2">
        <v>44781.933437500003</v>
      </c>
      <c r="C1777" s="1" t="s">
        <v>10</v>
      </c>
      <c r="D1777" s="1">
        <v>37</v>
      </c>
      <c r="F1777" s="59"/>
      <c r="G1777" s="32"/>
      <c r="H1777" s="32"/>
    </row>
    <row r="1778" spans="1:8" ht="15.75" customHeight="1">
      <c r="A1778" s="1">
        <v>15553</v>
      </c>
      <c r="B1778" s="2">
        <v>44781.929155092592</v>
      </c>
      <c r="C1778" s="1" t="s">
        <v>10</v>
      </c>
      <c r="D1778" s="1">
        <v>20</v>
      </c>
      <c r="F1778" s="59"/>
      <c r="G1778" s="32"/>
      <c r="H1778" s="32"/>
    </row>
    <row r="1779" spans="1:8" ht="15.75" customHeight="1">
      <c r="A1779" s="1">
        <v>15552</v>
      </c>
      <c r="B1779" s="2">
        <v>44781.927731481483</v>
      </c>
      <c r="C1779" s="1" t="s">
        <v>10</v>
      </c>
      <c r="D1779" s="1">
        <v>45</v>
      </c>
      <c r="F1779" s="59"/>
      <c r="G1779" s="32"/>
      <c r="H1779" s="32"/>
    </row>
    <row r="1780" spans="1:8" ht="15.75" customHeight="1">
      <c r="A1780" s="1">
        <v>15551</v>
      </c>
      <c r="B1780" s="2">
        <v>44781.926585648151</v>
      </c>
      <c r="C1780" s="1" t="s">
        <v>10</v>
      </c>
      <c r="D1780" s="1">
        <v>40</v>
      </c>
      <c r="F1780" s="59"/>
      <c r="G1780" s="32"/>
      <c r="H1780" s="32"/>
    </row>
    <row r="1781" spans="1:8" ht="15.75" customHeight="1">
      <c r="A1781" s="1">
        <v>15550</v>
      </c>
      <c r="B1781" s="2">
        <v>44781.926307870366</v>
      </c>
      <c r="C1781" s="1" t="s">
        <v>10</v>
      </c>
      <c r="D1781" s="1">
        <v>33</v>
      </c>
      <c r="F1781" s="59"/>
      <c r="G1781" s="32"/>
      <c r="H1781" s="32"/>
    </row>
    <row r="1782" spans="1:8" ht="15.75" customHeight="1">
      <c r="A1782" s="1">
        <v>15549</v>
      </c>
      <c r="B1782" s="2">
        <v>44781.923055555555</v>
      </c>
      <c r="C1782" s="1" t="s">
        <v>10</v>
      </c>
      <c r="D1782" s="1">
        <v>40</v>
      </c>
      <c r="F1782" s="59"/>
      <c r="G1782" s="32"/>
      <c r="H1782" s="32"/>
    </row>
    <row r="1783" spans="1:8" ht="15.75" customHeight="1">
      <c r="A1783" s="1">
        <v>15547</v>
      </c>
      <c r="B1783" s="2">
        <v>44781.742141203707</v>
      </c>
      <c r="C1783" s="1" t="s">
        <v>10</v>
      </c>
      <c r="D1783" s="1">
        <v>22</v>
      </c>
      <c r="F1783" s="59"/>
      <c r="G1783" s="32"/>
      <c r="H1783" s="32"/>
    </row>
    <row r="1784" spans="1:8" ht="15.75" customHeight="1">
      <c r="A1784" s="1">
        <v>15538</v>
      </c>
      <c r="B1784" s="2">
        <v>44781.066076388888</v>
      </c>
      <c r="C1784" s="1" t="s">
        <v>10</v>
      </c>
      <c r="D1784" s="1">
        <v>22</v>
      </c>
      <c r="F1784" s="59"/>
      <c r="G1784" s="32"/>
      <c r="H1784" s="32"/>
    </row>
    <row r="1785" spans="1:8" ht="15.75" customHeight="1">
      <c r="A1785" s="1">
        <v>15127</v>
      </c>
      <c r="B1785" s="2">
        <v>44774.980092592596</v>
      </c>
      <c r="C1785" s="1" t="s">
        <v>10</v>
      </c>
      <c r="D1785" s="1">
        <v>455</v>
      </c>
      <c r="F1785" s="59"/>
      <c r="G1785" s="32"/>
      <c r="H1785" s="32"/>
    </row>
    <row r="1786" spans="1:8" ht="15.75" customHeight="1">
      <c r="A1786" s="1">
        <v>14943</v>
      </c>
      <c r="B1786" s="2">
        <v>44773.755787037036</v>
      </c>
      <c r="C1786" s="1" t="s">
        <v>10</v>
      </c>
      <c r="D1786" s="1">
        <v>0</v>
      </c>
      <c r="F1786" s="59"/>
      <c r="G1786" s="32"/>
      <c r="H1786" s="32"/>
    </row>
    <row r="1787" spans="1:8" ht="15.75" customHeight="1">
      <c r="A1787" s="1">
        <v>14286</v>
      </c>
      <c r="B1787" s="2">
        <v>44764.696759259255</v>
      </c>
      <c r="C1787" s="1" t="s">
        <v>10</v>
      </c>
      <c r="D1787" s="1">
        <v>65</v>
      </c>
      <c r="F1787" s="59"/>
      <c r="G1787" s="32"/>
      <c r="H1787" s="32"/>
    </row>
    <row r="1788" spans="1:8" ht="15.75" customHeight="1">
      <c r="A1788" s="1">
        <v>13717</v>
      </c>
      <c r="B1788" s="2">
        <v>44742.208877314813</v>
      </c>
      <c r="C1788" s="1" t="s">
        <v>10</v>
      </c>
      <c r="D1788" s="1">
        <v>0</v>
      </c>
      <c r="F1788" s="59"/>
      <c r="G1788" s="32"/>
      <c r="H1788" s="32"/>
    </row>
    <row r="1789" spans="1:8" ht="15.75" customHeight="1">
      <c r="A1789" s="1">
        <v>13716</v>
      </c>
      <c r="B1789" s="2">
        <v>44742.174710648149</v>
      </c>
      <c r="C1789" s="1" t="s">
        <v>10</v>
      </c>
      <c r="D1789" s="1">
        <v>0</v>
      </c>
      <c r="F1789" s="59"/>
      <c r="G1789" s="32"/>
      <c r="H1789" s="32"/>
    </row>
    <row r="1790" spans="1:8" ht="15.75" customHeight="1">
      <c r="A1790" s="1">
        <v>13715</v>
      </c>
      <c r="B1790" s="2">
        <v>44740.863784722227</v>
      </c>
      <c r="C1790" s="1" t="s">
        <v>10</v>
      </c>
      <c r="D1790" s="1">
        <v>35</v>
      </c>
      <c r="F1790" s="59"/>
      <c r="G1790" s="32"/>
      <c r="H1790" s="32"/>
    </row>
    <row r="1791" spans="1:8" ht="15.75" customHeight="1">
      <c r="A1791" s="1">
        <v>13713</v>
      </c>
      <c r="B1791" s="2">
        <v>44738.594583333332</v>
      </c>
      <c r="C1791" s="1" t="s">
        <v>10</v>
      </c>
      <c r="D1791" s="1">
        <v>55</v>
      </c>
      <c r="F1791" s="59"/>
      <c r="G1791" s="32"/>
      <c r="H1791" s="32"/>
    </row>
    <row r="1792" spans="1:8" ht="15.75" customHeight="1">
      <c r="A1792" s="1">
        <v>13712</v>
      </c>
      <c r="B1792" s="2">
        <v>44736.936469907407</v>
      </c>
      <c r="C1792" s="1" t="s">
        <v>10</v>
      </c>
      <c r="D1792" s="1">
        <v>25</v>
      </c>
      <c r="F1792" s="59"/>
      <c r="G1792" s="32"/>
      <c r="H1792" s="32"/>
    </row>
    <row r="1793" spans="1:8" ht="15.75" customHeight="1">
      <c r="A1793" s="1">
        <v>13708</v>
      </c>
      <c r="B1793" s="2">
        <v>44712.138865740737</v>
      </c>
      <c r="C1793" s="1" t="s">
        <v>10</v>
      </c>
      <c r="D1793" s="1">
        <v>25</v>
      </c>
      <c r="F1793" s="59"/>
      <c r="G1793" s="32"/>
      <c r="H1793" s="32"/>
    </row>
    <row r="1794" spans="1:8" ht="15.75" customHeight="1">
      <c r="A1794" s="1">
        <v>13707</v>
      </c>
      <c r="B1794" s="2">
        <v>44712.134583333333</v>
      </c>
      <c r="C1794" s="1" t="s">
        <v>10</v>
      </c>
      <c r="D1794" s="1">
        <v>25</v>
      </c>
      <c r="F1794" s="59"/>
      <c r="G1794" s="32"/>
      <c r="H1794" s="32"/>
    </row>
    <row r="1795" spans="1:8" ht="15.75" customHeight="1">
      <c r="A1795" s="1">
        <v>13706</v>
      </c>
      <c r="B1795" s="2">
        <v>44711.570648148147</v>
      </c>
      <c r="C1795" s="1" t="s">
        <v>10</v>
      </c>
      <c r="D1795" s="1">
        <v>12</v>
      </c>
      <c r="F1795" s="59"/>
      <c r="G1795" s="32"/>
      <c r="H1795" s="32"/>
    </row>
    <row r="1796" spans="1:8" ht="15.75" customHeight="1">
      <c r="A1796" s="1">
        <v>13705</v>
      </c>
      <c r="B1796" s="2">
        <v>44711.569004629629</v>
      </c>
      <c r="C1796" s="1" t="s">
        <v>10</v>
      </c>
      <c r="D1796" s="1">
        <v>12</v>
      </c>
      <c r="F1796" s="59"/>
      <c r="G1796" s="32"/>
      <c r="H1796" s="32"/>
    </row>
    <row r="1797" spans="1:8" ht="15.75" customHeight="1">
      <c r="A1797" s="1">
        <v>13704</v>
      </c>
      <c r="B1797" s="2">
        <v>44709.717407407406</v>
      </c>
      <c r="C1797" s="1" t="s">
        <v>10</v>
      </c>
      <c r="D1797" s="1">
        <v>35</v>
      </c>
      <c r="F1797" s="59"/>
      <c r="G1797" s="32"/>
      <c r="H1797" s="32"/>
    </row>
    <row r="1798" spans="1:8" ht="15.75" customHeight="1">
      <c r="A1798" s="1">
        <v>13702</v>
      </c>
      <c r="B1798" s="2">
        <v>44706.676203703704</v>
      </c>
      <c r="C1798" s="1" t="s">
        <v>10</v>
      </c>
      <c r="D1798" s="1">
        <v>30</v>
      </c>
      <c r="F1798" s="59"/>
      <c r="G1798" s="32"/>
      <c r="H1798" s="32"/>
    </row>
    <row r="1799" spans="1:8" ht="15.75" customHeight="1">
      <c r="A1799" s="1">
        <v>13701</v>
      </c>
      <c r="B1799" s="2">
        <v>44705.111770833333</v>
      </c>
      <c r="C1799" s="1" t="s">
        <v>10</v>
      </c>
      <c r="D1799" s="1">
        <v>60</v>
      </c>
      <c r="F1799" s="59"/>
      <c r="G1799" s="32"/>
      <c r="H1799" s="32"/>
    </row>
    <row r="1800" spans="1:8" ht="15.75" customHeight="1">
      <c r="A1800" s="1">
        <v>13700</v>
      </c>
      <c r="B1800" s="2">
        <v>44704.818726851852</v>
      </c>
      <c r="C1800" s="1" t="s">
        <v>10</v>
      </c>
      <c r="D1800" s="1">
        <v>30</v>
      </c>
      <c r="F1800" s="59"/>
      <c r="G1800" s="32"/>
      <c r="H1800" s="32"/>
    </row>
    <row r="1801" spans="1:8" ht="15.75" customHeight="1">
      <c r="A1801" s="1">
        <v>13698</v>
      </c>
      <c r="B1801" s="2">
        <v>44697.573483796295</v>
      </c>
      <c r="C1801" s="1" t="s">
        <v>10</v>
      </c>
      <c r="D1801" s="1">
        <v>15</v>
      </c>
      <c r="F1801" s="59"/>
      <c r="G1801" s="32"/>
      <c r="H1801" s="32"/>
    </row>
    <row r="1802" spans="1:8" ht="15.75" customHeight="1">
      <c r="A1802" s="1">
        <v>13696</v>
      </c>
      <c r="B1802" s="2">
        <v>44695.655740740738</v>
      </c>
      <c r="C1802" s="1" t="s">
        <v>10</v>
      </c>
      <c r="D1802" s="1">
        <v>18</v>
      </c>
      <c r="F1802" s="59"/>
      <c r="G1802" s="32"/>
      <c r="H1802" s="32"/>
    </row>
    <row r="1803" spans="1:8" ht="15.75" customHeight="1">
      <c r="A1803" s="1">
        <v>13695</v>
      </c>
      <c r="B1803" s="2">
        <v>44695.033703703702</v>
      </c>
      <c r="C1803" s="1" t="s">
        <v>10</v>
      </c>
      <c r="D1803" s="1">
        <v>30</v>
      </c>
      <c r="F1803" s="59"/>
      <c r="G1803" s="32"/>
      <c r="H1803" s="32"/>
    </row>
    <row r="1804" spans="1:8" ht="15.75" customHeight="1">
      <c r="A1804" s="1">
        <v>13693</v>
      </c>
      <c r="B1804" s="2">
        <v>44691.439328703702</v>
      </c>
      <c r="C1804" s="1" t="s">
        <v>10</v>
      </c>
      <c r="D1804" s="1">
        <v>12</v>
      </c>
      <c r="F1804" s="59"/>
      <c r="G1804" s="32"/>
      <c r="H1804" s="32"/>
    </row>
    <row r="1805" spans="1:8" ht="15.75" customHeight="1">
      <c r="A1805" s="1">
        <v>13692</v>
      </c>
      <c r="B1805" s="2">
        <v>44690.723877314813</v>
      </c>
      <c r="C1805" s="1" t="s">
        <v>10</v>
      </c>
      <c r="D1805" s="1">
        <v>27</v>
      </c>
      <c r="F1805" s="59"/>
      <c r="G1805" s="32"/>
      <c r="H1805" s="32"/>
    </row>
    <row r="1806" spans="1:8" ht="15.75" customHeight="1">
      <c r="A1806" s="1">
        <v>13691</v>
      </c>
      <c r="B1806" s="2">
        <v>44690.720162037032</v>
      </c>
      <c r="C1806" s="1" t="s">
        <v>10</v>
      </c>
      <c r="D1806" s="1">
        <v>27</v>
      </c>
      <c r="F1806" s="59"/>
      <c r="G1806" s="32"/>
      <c r="H1806" s="32"/>
    </row>
    <row r="1807" spans="1:8" ht="15.75" customHeight="1">
      <c r="A1807" s="1">
        <v>13690</v>
      </c>
      <c r="B1807" s="2">
        <v>44690.091620370367</v>
      </c>
      <c r="C1807" s="1" t="s">
        <v>10</v>
      </c>
      <c r="D1807" s="1">
        <v>44</v>
      </c>
      <c r="F1807" s="59"/>
      <c r="G1807" s="32"/>
      <c r="H1807" s="32"/>
    </row>
    <row r="1808" spans="1:8" ht="15.75" customHeight="1">
      <c r="A1808" s="1">
        <v>13689</v>
      </c>
      <c r="B1808" s="2">
        <v>44689.846180555556</v>
      </c>
      <c r="C1808" s="1" t="s">
        <v>10</v>
      </c>
      <c r="D1808" s="1">
        <v>18</v>
      </c>
      <c r="F1808" s="59"/>
      <c r="G1808" s="32"/>
      <c r="H1808" s="32"/>
    </row>
    <row r="1809" spans="1:8" ht="15.75" customHeight="1">
      <c r="A1809" s="1">
        <v>13688</v>
      </c>
      <c r="B1809" s="2">
        <v>44689.032962962963</v>
      </c>
      <c r="C1809" s="1" t="s">
        <v>10</v>
      </c>
      <c r="D1809" s="1">
        <v>25</v>
      </c>
      <c r="F1809" s="59"/>
      <c r="G1809" s="32"/>
      <c r="H1809" s="32"/>
    </row>
    <row r="1810" spans="1:8" ht="15.75" customHeight="1">
      <c r="A1810" s="1">
        <v>13687</v>
      </c>
      <c r="B1810" s="2">
        <v>44689.032025462962</v>
      </c>
      <c r="C1810" s="1" t="s">
        <v>10</v>
      </c>
      <c r="D1810" s="1">
        <v>25</v>
      </c>
      <c r="F1810" s="59"/>
      <c r="G1810" s="32"/>
      <c r="H1810" s="32"/>
    </row>
    <row r="1811" spans="1:8" ht="15.75" customHeight="1">
      <c r="A1811" s="1">
        <v>13686</v>
      </c>
      <c r="B1811" s="2">
        <v>44688.877083333333</v>
      </c>
      <c r="C1811" s="1" t="s">
        <v>10</v>
      </c>
      <c r="D1811" s="1">
        <v>25</v>
      </c>
      <c r="F1811" s="59"/>
      <c r="G1811" s="32"/>
      <c r="H1811" s="32"/>
    </row>
    <row r="1812" spans="1:8" ht="15.75" customHeight="1">
      <c r="A1812" s="1">
        <v>13685</v>
      </c>
      <c r="B1812" s="2">
        <v>44688.855231481481</v>
      </c>
      <c r="C1812" s="1" t="s">
        <v>10</v>
      </c>
      <c r="D1812" s="1">
        <v>35</v>
      </c>
      <c r="F1812" s="59"/>
      <c r="G1812" s="32"/>
      <c r="H1812" s="32"/>
    </row>
    <row r="1813" spans="1:8" ht="15.75" customHeight="1">
      <c r="A1813" s="1">
        <v>13684</v>
      </c>
      <c r="B1813" s="2">
        <v>44688.854062500002</v>
      </c>
      <c r="C1813" s="1" t="s">
        <v>10</v>
      </c>
      <c r="D1813" s="1">
        <v>32</v>
      </c>
      <c r="F1813" s="59"/>
      <c r="G1813" s="32"/>
      <c r="H1813" s="32"/>
    </row>
    <row r="1814" spans="1:8" ht="15.75" customHeight="1">
      <c r="A1814" s="1">
        <v>13683</v>
      </c>
      <c r="B1814" s="2">
        <v>44688.780451388884</v>
      </c>
      <c r="C1814" s="1" t="s">
        <v>10</v>
      </c>
      <c r="D1814" s="1">
        <v>15</v>
      </c>
      <c r="F1814" s="59"/>
      <c r="G1814" s="32"/>
      <c r="H1814" s="32"/>
    </row>
    <row r="1815" spans="1:8" ht="15.75" customHeight="1">
      <c r="A1815" s="1">
        <v>13682</v>
      </c>
      <c r="B1815" s="2">
        <v>44688.777384259258</v>
      </c>
      <c r="C1815" s="1" t="s">
        <v>10</v>
      </c>
      <c r="D1815" s="1">
        <v>15</v>
      </c>
      <c r="F1815" s="59"/>
      <c r="G1815" s="32"/>
      <c r="H1815" s="32"/>
    </row>
    <row r="1816" spans="1:8" ht="15.75" customHeight="1">
      <c r="A1816" s="1">
        <v>13680</v>
      </c>
      <c r="B1816" s="2">
        <v>44688.684004629627</v>
      </c>
      <c r="C1816" s="1" t="s">
        <v>10</v>
      </c>
      <c r="D1816" s="1">
        <v>67</v>
      </c>
      <c r="F1816" s="59"/>
      <c r="G1816" s="32"/>
      <c r="H1816" s="32"/>
    </row>
    <row r="1817" spans="1:8" ht="15.75" customHeight="1">
      <c r="A1817" s="1">
        <v>13679</v>
      </c>
      <c r="B1817" s="2">
        <v>44688.64261574074</v>
      </c>
      <c r="C1817" s="1" t="s">
        <v>10</v>
      </c>
      <c r="D1817" s="1">
        <v>25</v>
      </c>
      <c r="F1817" s="59"/>
      <c r="G1817" s="32"/>
      <c r="H1817" s="32"/>
    </row>
    <row r="1818" spans="1:8" ht="15.75" customHeight="1">
      <c r="A1818" s="1">
        <v>13678</v>
      </c>
      <c r="B1818" s="2">
        <v>44688.641435185185</v>
      </c>
      <c r="C1818" s="1" t="s">
        <v>10</v>
      </c>
      <c r="D1818" s="1">
        <v>25</v>
      </c>
      <c r="F1818" s="59"/>
      <c r="G1818" s="32"/>
      <c r="H1818" s="32"/>
    </row>
    <row r="1819" spans="1:8" ht="15.75" customHeight="1">
      <c r="A1819" s="1">
        <v>13677</v>
      </c>
      <c r="B1819" s="2">
        <v>44688.638668981483</v>
      </c>
      <c r="C1819" s="1" t="s">
        <v>10</v>
      </c>
      <c r="D1819" s="1">
        <v>30</v>
      </c>
      <c r="F1819" s="59"/>
      <c r="G1819" s="32"/>
      <c r="H1819" s="32"/>
    </row>
    <row r="1820" spans="1:8" ht="15.75" customHeight="1">
      <c r="A1820" s="1">
        <v>13676</v>
      </c>
      <c r="B1820" s="2">
        <v>44688.632523148146</v>
      </c>
      <c r="C1820" s="1" t="s">
        <v>10</v>
      </c>
      <c r="D1820" s="1">
        <v>12</v>
      </c>
      <c r="F1820" s="59"/>
      <c r="G1820" s="32"/>
      <c r="H1820" s="32"/>
    </row>
    <row r="1821" spans="1:8" ht="15.75" customHeight="1">
      <c r="A1821" s="1">
        <v>13675</v>
      </c>
      <c r="B1821" s="2">
        <v>44688.631203703699</v>
      </c>
      <c r="C1821" s="1" t="s">
        <v>10</v>
      </c>
      <c r="D1821" s="1">
        <v>12</v>
      </c>
      <c r="F1821" s="59"/>
      <c r="G1821" s="32"/>
      <c r="H1821" s="32"/>
    </row>
    <row r="1822" spans="1:8" ht="15.75" customHeight="1">
      <c r="A1822" s="1">
        <v>13674</v>
      </c>
      <c r="B1822" s="2">
        <v>44688.630891203706</v>
      </c>
      <c r="C1822" s="1" t="s">
        <v>10</v>
      </c>
      <c r="D1822" s="1">
        <v>34</v>
      </c>
      <c r="F1822" s="59"/>
      <c r="G1822" s="32"/>
      <c r="H1822" s="32"/>
    </row>
    <row r="1823" spans="1:8" ht="15.75" customHeight="1">
      <c r="A1823" s="1">
        <v>13673</v>
      </c>
      <c r="B1823" s="2">
        <v>44688.628333333334</v>
      </c>
      <c r="C1823" s="1" t="s">
        <v>10</v>
      </c>
      <c r="D1823" s="1">
        <v>12</v>
      </c>
      <c r="F1823" s="59"/>
      <c r="G1823" s="32"/>
      <c r="H1823" s="32"/>
    </row>
    <row r="1824" spans="1:8" ht="15.75" customHeight="1">
      <c r="A1824" s="1">
        <v>13672</v>
      </c>
      <c r="B1824" s="2">
        <v>44688.622546296298</v>
      </c>
      <c r="C1824" s="1" t="s">
        <v>10</v>
      </c>
      <c r="D1824" s="1">
        <v>12</v>
      </c>
      <c r="F1824" s="59"/>
      <c r="G1824" s="32"/>
      <c r="H1824" s="32"/>
    </row>
    <row r="1825" spans="1:8" ht="15.75" customHeight="1">
      <c r="A1825" s="1">
        <v>13671</v>
      </c>
      <c r="B1825" s="2">
        <v>44688.619166666671</v>
      </c>
      <c r="C1825" s="1" t="s">
        <v>10</v>
      </c>
      <c r="D1825" s="1">
        <v>27</v>
      </c>
      <c r="F1825" s="59"/>
      <c r="G1825" s="32"/>
      <c r="H1825" s="32"/>
    </row>
    <row r="1826" spans="1:8" ht="15.75" customHeight="1">
      <c r="A1826" s="1">
        <v>13670</v>
      </c>
      <c r="B1826" s="2">
        <v>44688.6175462963</v>
      </c>
      <c r="C1826" s="1" t="s">
        <v>10</v>
      </c>
      <c r="D1826" s="1">
        <v>25</v>
      </c>
      <c r="F1826" s="59"/>
      <c r="G1826" s="32"/>
      <c r="H1826" s="32"/>
    </row>
    <row r="1827" spans="1:8" ht="15.75" customHeight="1">
      <c r="A1827" s="1">
        <v>13669</v>
      </c>
      <c r="B1827" s="2">
        <v>44688.616087962961</v>
      </c>
      <c r="C1827" s="1" t="s">
        <v>10</v>
      </c>
      <c r="D1827" s="1">
        <v>35</v>
      </c>
      <c r="F1827" s="59"/>
      <c r="G1827" s="32"/>
      <c r="H1827" s="32"/>
    </row>
    <row r="1828" spans="1:8" ht="15.75" customHeight="1">
      <c r="A1828" s="1">
        <v>13668</v>
      </c>
      <c r="B1828" s="2">
        <v>44688.612696759257</v>
      </c>
      <c r="C1828" s="1" t="s">
        <v>10</v>
      </c>
      <c r="D1828" s="1">
        <v>12</v>
      </c>
      <c r="F1828" s="59"/>
      <c r="G1828" s="32"/>
      <c r="H1828" s="32"/>
    </row>
    <row r="1829" spans="1:8" ht="15.75" customHeight="1">
      <c r="A1829" s="1">
        <v>13667</v>
      </c>
      <c r="B1829" s="2">
        <v>44688.607581018514</v>
      </c>
      <c r="C1829" s="1" t="s">
        <v>10</v>
      </c>
      <c r="D1829" s="1">
        <v>25</v>
      </c>
      <c r="F1829" s="59"/>
      <c r="G1829" s="32"/>
      <c r="H1829" s="32"/>
    </row>
    <row r="1830" spans="1:8" ht="15.75" customHeight="1">
      <c r="A1830" s="1">
        <v>13666</v>
      </c>
      <c r="B1830" s="2">
        <v>44688.606226851851</v>
      </c>
      <c r="C1830" s="1" t="s">
        <v>10</v>
      </c>
      <c r="D1830" s="1">
        <v>15</v>
      </c>
      <c r="F1830" s="59"/>
      <c r="G1830" s="32"/>
      <c r="H1830" s="32"/>
    </row>
    <row r="1831" spans="1:8" ht="15.75" customHeight="1">
      <c r="A1831" s="1">
        <v>13665</v>
      </c>
      <c r="B1831" s="2">
        <v>44688.604583333334</v>
      </c>
      <c r="C1831" s="1" t="s">
        <v>10</v>
      </c>
      <c r="D1831" s="1">
        <v>18</v>
      </c>
      <c r="F1831" s="59"/>
      <c r="G1831" s="32"/>
      <c r="H1831" s="32"/>
    </row>
    <row r="1832" spans="1:8" ht="15.75" customHeight="1">
      <c r="A1832" s="1">
        <v>13664</v>
      </c>
      <c r="B1832" s="2">
        <v>44688.596168981487</v>
      </c>
      <c r="C1832" s="1" t="s">
        <v>10</v>
      </c>
      <c r="D1832" s="1">
        <v>35</v>
      </c>
      <c r="F1832" s="59"/>
      <c r="G1832" s="32"/>
      <c r="H1832" s="32"/>
    </row>
    <row r="1833" spans="1:8" ht="15.75" customHeight="1">
      <c r="A1833" s="1">
        <v>13663</v>
      </c>
      <c r="B1833" s="2">
        <v>44688.59574074074</v>
      </c>
      <c r="C1833" s="1" t="s">
        <v>10</v>
      </c>
      <c r="D1833" s="1">
        <v>20</v>
      </c>
      <c r="F1833" s="59"/>
      <c r="G1833" s="32"/>
      <c r="H1833" s="32"/>
    </row>
    <row r="1834" spans="1:8" ht="15.75" customHeight="1">
      <c r="A1834" s="1">
        <v>13662</v>
      </c>
      <c r="B1834" s="2">
        <v>44688.591180555552</v>
      </c>
      <c r="C1834" s="1" t="s">
        <v>10</v>
      </c>
      <c r="D1834" s="1">
        <v>18</v>
      </c>
      <c r="F1834" s="59"/>
      <c r="G1834" s="32"/>
      <c r="H1834" s="32"/>
    </row>
    <row r="1835" spans="1:8" ht="15.75" customHeight="1">
      <c r="A1835" s="1">
        <v>13661</v>
      </c>
      <c r="B1835" s="2">
        <v>44688.588969907403</v>
      </c>
      <c r="C1835" s="1" t="s">
        <v>10</v>
      </c>
      <c r="D1835" s="1">
        <v>18</v>
      </c>
      <c r="F1835" s="59"/>
      <c r="G1835" s="32"/>
      <c r="H1835" s="32"/>
    </row>
    <row r="1836" spans="1:8" ht="15.75" customHeight="1">
      <c r="A1836" s="1">
        <v>13660</v>
      </c>
      <c r="B1836" s="2">
        <v>44688.584074074075</v>
      </c>
      <c r="C1836" s="1" t="s">
        <v>10</v>
      </c>
      <c r="D1836" s="1">
        <v>55</v>
      </c>
      <c r="F1836" s="59"/>
      <c r="G1836" s="32"/>
      <c r="H1836" s="32"/>
    </row>
    <row r="1837" spans="1:8" ht="15.75" customHeight="1">
      <c r="A1837" s="1">
        <v>13659</v>
      </c>
      <c r="B1837" s="2">
        <v>44688.582627314812</v>
      </c>
      <c r="C1837" s="1" t="s">
        <v>10</v>
      </c>
      <c r="D1837" s="1">
        <v>55</v>
      </c>
      <c r="F1837" s="59"/>
      <c r="G1837" s="32"/>
      <c r="H1837" s="32"/>
    </row>
    <row r="1838" spans="1:8" ht="15.75" customHeight="1">
      <c r="A1838" s="1">
        <v>13658</v>
      </c>
      <c r="B1838" s="2">
        <v>44688.58084490741</v>
      </c>
      <c r="C1838" s="1" t="s">
        <v>10</v>
      </c>
      <c r="D1838" s="1">
        <v>15</v>
      </c>
      <c r="F1838" s="59"/>
      <c r="G1838" s="32"/>
      <c r="H1838" s="32"/>
    </row>
    <row r="1839" spans="1:8" ht="15.75" customHeight="1">
      <c r="A1839" s="1">
        <v>13657</v>
      </c>
      <c r="B1839" s="2">
        <v>44688.579432870371</v>
      </c>
      <c r="C1839" s="1" t="s">
        <v>10</v>
      </c>
      <c r="D1839" s="1">
        <v>35</v>
      </c>
      <c r="F1839" s="59"/>
      <c r="G1839" s="32"/>
      <c r="H1839" s="32"/>
    </row>
    <row r="1840" spans="1:8" ht="15.75" customHeight="1">
      <c r="A1840" s="1">
        <v>13656</v>
      </c>
      <c r="B1840" s="2">
        <v>44688.577465277776</v>
      </c>
      <c r="C1840" s="1" t="s">
        <v>10</v>
      </c>
      <c r="D1840" s="1">
        <v>35</v>
      </c>
      <c r="F1840" s="59"/>
      <c r="G1840" s="32"/>
      <c r="H1840" s="32"/>
    </row>
    <row r="1841" spans="1:8" ht="15.75" customHeight="1">
      <c r="A1841" s="1">
        <v>13655</v>
      </c>
      <c r="B1841" s="2">
        <v>44688.574907407412</v>
      </c>
      <c r="C1841" s="1" t="s">
        <v>10</v>
      </c>
      <c r="D1841" s="1">
        <v>20</v>
      </c>
      <c r="F1841" s="59"/>
      <c r="G1841" s="32"/>
      <c r="H1841" s="32"/>
    </row>
    <row r="1842" spans="1:8" ht="15.75" customHeight="1">
      <c r="A1842" s="1">
        <v>13654</v>
      </c>
      <c r="B1842" s="2">
        <v>44688.574340277773</v>
      </c>
      <c r="C1842" s="1" t="s">
        <v>10</v>
      </c>
      <c r="D1842" s="1">
        <v>20</v>
      </c>
      <c r="F1842" s="59"/>
      <c r="G1842" s="32"/>
      <c r="H1842" s="32"/>
    </row>
    <row r="1843" spans="1:8" ht="15.75" customHeight="1">
      <c r="A1843" s="1">
        <v>13653</v>
      </c>
      <c r="B1843" s="2">
        <v>44688.571446759262</v>
      </c>
      <c r="C1843" s="1" t="s">
        <v>10</v>
      </c>
      <c r="D1843" s="1">
        <v>25</v>
      </c>
      <c r="F1843" s="59"/>
      <c r="G1843" s="32"/>
      <c r="H1843" s="32"/>
    </row>
    <row r="1844" spans="1:8" ht="15.75" customHeight="1">
      <c r="A1844" s="1">
        <v>13652</v>
      </c>
      <c r="B1844" s="2">
        <v>44688.569490740745</v>
      </c>
      <c r="C1844" s="1" t="s">
        <v>10</v>
      </c>
      <c r="D1844" s="1">
        <v>30</v>
      </c>
      <c r="F1844" s="59"/>
      <c r="G1844" s="32"/>
      <c r="H1844" s="32"/>
    </row>
    <row r="1845" spans="1:8" ht="15.75" customHeight="1">
      <c r="A1845" s="1">
        <v>13651</v>
      </c>
      <c r="B1845" s="2">
        <v>44688.559259259258</v>
      </c>
      <c r="C1845" s="1" t="s">
        <v>10</v>
      </c>
      <c r="D1845" s="1">
        <v>18</v>
      </c>
      <c r="F1845" s="59"/>
      <c r="G1845" s="32"/>
      <c r="H1845" s="32"/>
    </row>
    <row r="1846" spans="1:8" ht="15.75" customHeight="1">
      <c r="A1846" s="1">
        <v>13650</v>
      </c>
      <c r="B1846" s="2">
        <v>44688.557268518518</v>
      </c>
      <c r="C1846" s="1" t="s">
        <v>10</v>
      </c>
      <c r="D1846" s="1">
        <v>18</v>
      </c>
      <c r="F1846" s="59"/>
      <c r="G1846" s="32"/>
      <c r="H1846" s="32"/>
    </row>
    <row r="1847" spans="1:8" ht="15.75" customHeight="1">
      <c r="A1847" s="1">
        <v>13649</v>
      </c>
      <c r="B1847" s="2">
        <v>44688.556481481486</v>
      </c>
      <c r="C1847" s="1" t="s">
        <v>10</v>
      </c>
      <c r="D1847" s="1">
        <v>25</v>
      </c>
      <c r="F1847" s="59"/>
      <c r="G1847" s="32"/>
      <c r="H1847" s="32"/>
    </row>
    <row r="1848" spans="1:8" ht="15.75" customHeight="1">
      <c r="A1848" s="1">
        <v>13648</v>
      </c>
      <c r="B1848" s="2">
        <v>44688.553819444445</v>
      </c>
      <c r="C1848" s="1" t="s">
        <v>10</v>
      </c>
      <c r="D1848" s="1">
        <v>32</v>
      </c>
      <c r="F1848" s="59"/>
      <c r="G1848" s="32"/>
      <c r="H1848" s="32"/>
    </row>
    <row r="1849" spans="1:8" ht="15.75" customHeight="1">
      <c r="A1849" s="1">
        <v>13647</v>
      </c>
      <c r="B1849" s="2">
        <v>44688.552037037036</v>
      </c>
      <c r="C1849" s="1" t="s">
        <v>10</v>
      </c>
      <c r="D1849" s="1">
        <v>20</v>
      </c>
      <c r="F1849" s="59"/>
      <c r="G1849" s="32"/>
      <c r="H1849" s="32"/>
    </row>
    <row r="1850" spans="1:8" ht="15.75" customHeight="1">
      <c r="A1850" s="1">
        <v>13646</v>
      </c>
      <c r="B1850" s="2">
        <v>44688.546122685184</v>
      </c>
      <c r="C1850" s="1" t="s">
        <v>10</v>
      </c>
      <c r="D1850" s="1">
        <v>27</v>
      </c>
      <c r="F1850" s="59"/>
      <c r="G1850" s="32"/>
      <c r="H1850" s="32"/>
    </row>
    <row r="1851" spans="1:8" ht="15.75" customHeight="1">
      <c r="A1851" s="1">
        <v>13645</v>
      </c>
      <c r="B1851" s="2">
        <v>44688.542800925927</v>
      </c>
      <c r="C1851" s="1" t="s">
        <v>10</v>
      </c>
      <c r="D1851" s="1">
        <v>27</v>
      </c>
      <c r="F1851" s="59"/>
      <c r="G1851" s="32"/>
      <c r="H1851" s="32"/>
    </row>
    <row r="1852" spans="1:8" ht="15.75" customHeight="1">
      <c r="A1852" s="1">
        <v>13644</v>
      </c>
      <c r="B1852" s="2">
        <v>44688.541863425926</v>
      </c>
      <c r="C1852" s="1" t="s">
        <v>10</v>
      </c>
      <c r="D1852" s="1">
        <v>12</v>
      </c>
      <c r="F1852" s="59"/>
      <c r="G1852" s="32"/>
      <c r="H1852" s="32"/>
    </row>
    <row r="1853" spans="1:8" ht="15.75" customHeight="1">
      <c r="A1853" s="1">
        <v>13643</v>
      </c>
      <c r="B1853" s="2">
        <v>44688.5394212963</v>
      </c>
      <c r="C1853" s="1" t="s">
        <v>10</v>
      </c>
      <c r="D1853" s="1">
        <v>25</v>
      </c>
      <c r="F1853" s="59"/>
      <c r="G1853" s="32"/>
      <c r="H1853" s="32"/>
    </row>
    <row r="1854" spans="1:8" ht="15.75" customHeight="1">
      <c r="A1854" s="1">
        <v>13642</v>
      </c>
      <c r="B1854" s="2">
        <v>44688.53875</v>
      </c>
      <c r="C1854" s="1" t="s">
        <v>10</v>
      </c>
      <c r="D1854" s="1">
        <v>25</v>
      </c>
      <c r="F1854" s="59"/>
      <c r="G1854" s="32"/>
      <c r="H1854" s="32"/>
    </row>
    <row r="1855" spans="1:8" ht="15.75" customHeight="1">
      <c r="A1855" s="1">
        <v>13641</v>
      </c>
      <c r="B1855" s="2">
        <v>44688.537372685183</v>
      </c>
      <c r="C1855" s="1" t="s">
        <v>10</v>
      </c>
      <c r="D1855" s="1">
        <v>25</v>
      </c>
      <c r="F1855" s="59"/>
      <c r="G1855" s="32"/>
      <c r="H1855" s="32"/>
    </row>
    <row r="1856" spans="1:8" ht="15.75" customHeight="1">
      <c r="A1856" s="1">
        <v>13640</v>
      </c>
      <c r="B1856" s="2">
        <v>44688.536493055552</v>
      </c>
      <c r="C1856" s="1" t="s">
        <v>10</v>
      </c>
      <c r="D1856" s="1">
        <v>30</v>
      </c>
      <c r="F1856" s="59"/>
      <c r="G1856" s="32"/>
      <c r="H1856" s="32"/>
    </row>
    <row r="1857" spans="1:8" ht="15.75" customHeight="1">
      <c r="A1857" s="1">
        <v>13639</v>
      </c>
      <c r="B1857" s="2">
        <v>44688.535428240742</v>
      </c>
      <c r="C1857" s="1" t="s">
        <v>10</v>
      </c>
      <c r="D1857" s="1">
        <v>32</v>
      </c>
      <c r="F1857" s="59"/>
      <c r="G1857" s="32"/>
      <c r="H1857" s="32"/>
    </row>
    <row r="1858" spans="1:8" ht="15.75" customHeight="1">
      <c r="A1858" s="1">
        <v>13638</v>
      </c>
      <c r="B1858" s="2">
        <v>44688.535185185188</v>
      </c>
      <c r="C1858" s="1" t="s">
        <v>10</v>
      </c>
      <c r="D1858" s="1">
        <v>37</v>
      </c>
      <c r="F1858" s="59"/>
      <c r="G1858" s="32"/>
      <c r="H1858" s="32"/>
    </row>
    <row r="1859" spans="1:8" ht="15.75" customHeight="1">
      <c r="A1859" s="1">
        <v>13637</v>
      </c>
      <c r="B1859" s="2">
        <v>44688.532291666663</v>
      </c>
      <c r="C1859" s="1" t="s">
        <v>10</v>
      </c>
      <c r="D1859" s="1">
        <v>20</v>
      </c>
      <c r="F1859" s="59"/>
      <c r="G1859" s="32"/>
      <c r="H1859" s="32"/>
    </row>
    <row r="1860" spans="1:8" ht="15.75" customHeight="1">
      <c r="A1860" s="1">
        <v>13636</v>
      </c>
      <c r="B1860" s="2">
        <v>44688.529675925922</v>
      </c>
      <c r="C1860" s="1" t="s">
        <v>10</v>
      </c>
      <c r="D1860" s="1">
        <v>25</v>
      </c>
      <c r="F1860" s="59"/>
      <c r="G1860" s="32"/>
      <c r="H1860" s="32"/>
    </row>
    <row r="1861" spans="1:8" ht="15.75" customHeight="1">
      <c r="A1861" s="1">
        <v>13635</v>
      </c>
      <c r="B1861" s="2">
        <v>44688.522152777776</v>
      </c>
      <c r="C1861" s="1" t="s">
        <v>10</v>
      </c>
      <c r="D1861" s="1">
        <v>35</v>
      </c>
      <c r="F1861" s="59"/>
      <c r="G1861" s="32"/>
      <c r="H1861" s="32"/>
    </row>
    <row r="1862" spans="1:8" ht="15.75" customHeight="1">
      <c r="A1862" s="1">
        <v>13634</v>
      </c>
      <c r="B1862" s="2">
        <v>44688.521793981483</v>
      </c>
      <c r="C1862" s="1" t="s">
        <v>10</v>
      </c>
      <c r="D1862" s="1">
        <v>35</v>
      </c>
      <c r="F1862" s="59"/>
      <c r="G1862" s="32"/>
      <c r="H1862" s="32"/>
    </row>
    <row r="1863" spans="1:8" ht="15.75" customHeight="1">
      <c r="A1863" s="1">
        <v>13633</v>
      </c>
      <c r="B1863" s="2">
        <v>44688.521250000005</v>
      </c>
      <c r="C1863" s="1" t="s">
        <v>10</v>
      </c>
      <c r="D1863" s="1">
        <v>36</v>
      </c>
      <c r="F1863" s="59"/>
      <c r="G1863" s="32"/>
      <c r="H1863" s="32"/>
    </row>
    <row r="1864" spans="1:8" ht="15.75" customHeight="1">
      <c r="A1864" s="1">
        <v>13632</v>
      </c>
      <c r="B1864" s="2">
        <v>44688.520358796297</v>
      </c>
      <c r="C1864" s="1" t="s">
        <v>10</v>
      </c>
      <c r="D1864" s="1">
        <v>20</v>
      </c>
      <c r="F1864" s="59"/>
      <c r="G1864" s="32"/>
      <c r="H1864" s="32"/>
    </row>
    <row r="1865" spans="1:8" ht="15.75" customHeight="1">
      <c r="A1865" s="1">
        <v>13631</v>
      </c>
      <c r="B1865" s="2">
        <v>44688.520243055551</v>
      </c>
      <c r="C1865" s="1" t="s">
        <v>10</v>
      </c>
      <c r="D1865" s="1">
        <v>25</v>
      </c>
      <c r="F1865" s="59"/>
      <c r="G1865" s="32"/>
      <c r="H1865" s="32"/>
    </row>
    <row r="1866" spans="1:8" ht="15.75" customHeight="1">
      <c r="A1866" s="1">
        <v>13630</v>
      </c>
      <c r="B1866" s="2">
        <v>44688.519953703704</v>
      </c>
      <c r="C1866" s="1" t="s">
        <v>10</v>
      </c>
      <c r="D1866" s="1">
        <v>25</v>
      </c>
      <c r="F1866" s="59"/>
      <c r="G1866" s="32"/>
      <c r="H1866" s="32"/>
    </row>
    <row r="1867" spans="1:8" ht="15.75" customHeight="1">
      <c r="A1867" s="1">
        <v>13629</v>
      </c>
      <c r="B1867" s="2">
        <v>44688.517326388886</v>
      </c>
      <c r="C1867" s="1" t="s">
        <v>10</v>
      </c>
      <c r="D1867" s="1">
        <v>25</v>
      </c>
      <c r="F1867" s="59"/>
      <c r="G1867" s="32"/>
      <c r="H1867" s="32"/>
    </row>
    <row r="1868" spans="1:8" ht="15.75" customHeight="1">
      <c r="A1868" s="1">
        <v>13628</v>
      </c>
      <c r="B1868" s="2">
        <v>44688.495416666672</v>
      </c>
      <c r="C1868" s="1" t="s">
        <v>10</v>
      </c>
      <c r="D1868" s="1">
        <v>40</v>
      </c>
      <c r="F1868" s="59"/>
      <c r="G1868" s="32"/>
      <c r="H1868" s="32"/>
    </row>
    <row r="1869" spans="1:8" ht="15.75" customHeight="1">
      <c r="A1869" s="1">
        <v>13627</v>
      </c>
      <c r="B1869" s="2">
        <v>44688.490937499999</v>
      </c>
      <c r="C1869" s="1" t="s">
        <v>10</v>
      </c>
      <c r="D1869" s="1">
        <v>40</v>
      </c>
      <c r="F1869" s="59"/>
      <c r="G1869" s="32"/>
      <c r="H1869" s="32"/>
    </row>
    <row r="1870" spans="1:8" ht="15.75" customHeight="1">
      <c r="A1870" s="1">
        <v>13626</v>
      </c>
      <c r="B1870" s="2">
        <v>44688.170451388884</v>
      </c>
      <c r="C1870" s="1" t="s">
        <v>10</v>
      </c>
      <c r="D1870" s="1">
        <v>20</v>
      </c>
      <c r="F1870" s="59"/>
      <c r="G1870" s="32"/>
      <c r="H1870" s="32"/>
    </row>
    <row r="1871" spans="1:8" ht="15.75" customHeight="1">
      <c r="A1871" s="1">
        <v>13624</v>
      </c>
      <c r="B1871" s="2">
        <v>44688.12563657407</v>
      </c>
      <c r="C1871" s="1" t="s">
        <v>10</v>
      </c>
      <c r="D1871" s="1">
        <v>45</v>
      </c>
      <c r="F1871" s="59"/>
      <c r="G1871" s="32"/>
      <c r="H1871" s="32"/>
    </row>
    <row r="1872" spans="1:8" ht="15.75" customHeight="1">
      <c r="A1872" s="1">
        <v>13623</v>
      </c>
      <c r="B1872" s="2">
        <v>44688.123599537037</v>
      </c>
      <c r="C1872" s="1" t="s">
        <v>10</v>
      </c>
      <c r="D1872" s="1">
        <v>15</v>
      </c>
      <c r="F1872" s="59"/>
      <c r="G1872" s="32"/>
      <c r="H1872" s="32"/>
    </row>
    <row r="1873" spans="1:8" ht="15.75" customHeight="1">
      <c r="A1873" s="1">
        <v>13622</v>
      </c>
      <c r="B1873" s="2">
        <v>44688.05201388889</v>
      </c>
      <c r="C1873" s="1" t="s">
        <v>10</v>
      </c>
      <c r="D1873" s="1">
        <v>18</v>
      </c>
      <c r="F1873" s="59"/>
      <c r="G1873" s="32"/>
      <c r="H1873" s="32"/>
    </row>
    <row r="1874" spans="1:8" ht="15.75" customHeight="1">
      <c r="A1874" s="1">
        <v>13621</v>
      </c>
      <c r="B1874" s="2">
        <v>44688.050150462965</v>
      </c>
      <c r="C1874" s="1" t="s">
        <v>10</v>
      </c>
      <c r="D1874" s="1">
        <v>18</v>
      </c>
      <c r="F1874" s="59"/>
      <c r="G1874" s="32"/>
      <c r="H1874" s="32"/>
    </row>
    <row r="1875" spans="1:8" ht="15.75" customHeight="1">
      <c r="A1875" s="1">
        <v>13620</v>
      </c>
      <c r="B1875" s="2">
        <v>44688.042199074072</v>
      </c>
      <c r="C1875" s="1" t="s">
        <v>10</v>
      </c>
      <c r="D1875" s="1">
        <v>22</v>
      </c>
      <c r="F1875" s="59"/>
      <c r="G1875" s="32"/>
      <c r="H1875" s="32"/>
    </row>
    <row r="1876" spans="1:8" ht="15.75" customHeight="1">
      <c r="A1876" s="1">
        <v>13619</v>
      </c>
      <c r="B1876" s="2">
        <v>44687.962187500001</v>
      </c>
      <c r="C1876" s="1" t="s">
        <v>10</v>
      </c>
      <c r="D1876" s="1">
        <v>18</v>
      </c>
      <c r="F1876" s="59"/>
      <c r="G1876" s="32"/>
      <c r="H1876" s="32"/>
    </row>
    <row r="1877" spans="1:8" ht="15.75" customHeight="1">
      <c r="A1877" s="1">
        <v>13618</v>
      </c>
      <c r="B1877" s="2">
        <v>44687.958807870367</v>
      </c>
      <c r="C1877" s="1" t="s">
        <v>10</v>
      </c>
      <c r="D1877" s="1">
        <v>12</v>
      </c>
      <c r="F1877" s="59"/>
      <c r="G1877" s="32"/>
      <c r="H1877" s="32"/>
    </row>
    <row r="1878" spans="1:8" ht="15.75" customHeight="1">
      <c r="A1878" s="1">
        <v>13617</v>
      </c>
      <c r="B1878" s="2">
        <v>44687.955254629633</v>
      </c>
      <c r="C1878" s="1" t="s">
        <v>10</v>
      </c>
      <c r="D1878" s="1">
        <v>12</v>
      </c>
      <c r="F1878" s="59"/>
      <c r="G1878" s="32"/>
      <c r="H1878" s="32"/>
    </row>
    <row r="1879" spans="1:8" ht="15.75" customHeight="1">
      <c r="A1879" s="1">
        <v>13616</v>
      </c>
      <c r="B1879" s="2">
        <v>44687.904351851852</v>
      </c>
      <c r="C1879" s="1" t="s">
        <v>10</v>
      </c>
      <c r="D1879" s="1">
        <v>25</v>
      </c>
      <c r="F1879" s="59"/>
      <c r="G1879" s="32"/>
      <c r="H1879" s="32"/>
    </row>
    <row r="1880" spans="1:8" ht="15.75" customHeight="1">
      <c r="A1880" s="1">
        <v>13615</v>
      </c>
      <c r="B1880" s="2">
        <v>44687.811053240745</v>
      </c>
      <c r="C1880" s="1" t="s">
        <v>10</v>
      </c>
      <c r="D1880" s="1">
        <v>50</v>
      </c>
      <c r="F1880" s="59"/>
      <c r="G1880" s="32"/>
      <c r="H1880" s="32"/>
    </row>
    <row r="1881" spans="1:8" ht="15.75" customHeight="1">
      <c r="A1881" s="1">
        <v>13614</v>
      </c>
      <c r="B1881" s="2">
        <v>44687.585497685184</v>
      </c>
      <c r="C1881" s="1" t="s">
        <v>10</v>
      </c>
      <c r="D1881" s="1">
        <v>20</v>
      </c>
      <c r="F1881" s="59"/>
      <c r="G1881" s="32"/>
      <c r="H1881" s="32"/>
    </row>
    <row r="1882" spans="1:8" ht="15.75" customHeight="1">
      <c r="A1882" s="1">
        <v>13613</v>
      </c>
      <c r="B1882" s="2">
        <v>44687.565439814818</v>
      </c>
      <c r="C1882" s="1" t="s">
        <v>10</v>
      </c>
      <c r="D1882" s="1">
        <v>55</v>
      </c>
      <c r="F1882" s="59"/>
      <c r="G1882" s="32"/>
      <c r="H1882" s="32"/>
    </row>
    <row r="1883" spans="1:8" ht="15.75" customHeight="1">
      <c r="A1883" s="1">
        <v>13612</v>
      </c>
      <c r="B1883" s="2">
        <v>44687.557615740741</v>
      </c>
      <c r="C1883" s="1" t="s">
        <v>10</v>
      </c>
      <c r="D1883" s="1">
        <v>27</v>
      </c>
      <c r="F1883" s="59"/>
      <c r="G1883" s="32"/>
      <c r="H1883" s="32"/>
    </row>
    <row r="1884" spans="1:8" ht="15.75" customHeight="1">
      <c r="A1884" s="1">
        <v>13611</v>
      </c>
      <c r="B1884" s="2">
        <v>44687.541481481487</v>
      </c>
      <c r="C1884" s="1" t="s">
        <v>10</v>
      </c>
      <c r="D1884" s="1">
        <v>25</v>
      </c>
      <c r="F1884" s="59"/>
      <c r="G1884" s="32"/>
      <c r="H1884" s="32"/>
    </row>
    <row r="1885" spans="1:8" ht="15.75" customHeight="1">
      <c r="A1885" s="1">
        <v>13590</v>
      </c>
      <c r="B1885" s="2">
        <v>44685.630578703705</v>
      </c>
      <c r="C1885" s="1" t="s">
        <v>10</v>
      </c>
      <c r="D1885" s="1">
        <v>31.5</v>
      </c>
      <c r="F1885" s="59"/>
      <c r="G1885" s="32"/>
      <c r="H1885" s="32"/>
    </row>
    <row r="1886" spans="1:8" ht="15.75" customHeight="1">
      <c r="A1886" s="1">
        <v>13588</v>
      </c>
      <c r="B1886" s="2">
        <v>44684.577546296292</v>
      </c>
      <c r="C1886" s="1" t="s">
        <v>10</v>
      </c>
      <c r="D1886" s="1">
        <v>25</v>
      </c>
      <c r="F1886" s="59"/>
      <c r="G1886" s="32"/>
      <c r="H1886" s="32"/>
    </row>
    <row r="1887" spans="1:8" ht="15.75" customHeight="1">
      <c r="A1887" s="1">
        <v>13587</v>
      </c>
      <c r="B1887" s="2">
        <v>44683.070891203708</v>
      </c>
      <c r="C1887" s="1" t="s">
        <v>10</v>
      </c>
      <c r="D1887" s="1">
        <v>20</v>
      </c>
      <c r="F1887" s="59"/>
      <c r="G1887" s="32"/>
      <c r="H1887" s="32"/>
    </row>
    <row r="1888" spans="1:8" ht="15.75" customHeight="1">
      <c r="A1888" s="1">
        <v>13586</v>
      </c>
      <c r="B1888" s="2">
        <v>44682.628969907411</v>
      </c>
      <c r="C1888" s="1" t="s">
        <v>10</v>
      </c>
      <c r="D1888" s="1">
        <v>40</v>
      </c>
      <c r="F1888" s="59"/>
      <c r="G1888" s="32"/>
      <c r="H1888" s="32"/>
    </row>
    <row r="1889" spans="1:8" ht="15.75" customHeight="1">
      <c r="A1889" s="1">
        <v>13585</v>
      </c>
      <c r="B1889" s="2">
        <v>44681.868530092594</v>
      </c>
      <c r="C1889" s="1" t="s">
        <v>10</v>
      </c>
      <c r="D1889" s="1">
        <v>34</v>
      </c>
      <c r="F1889" s="59"/>
      <c r="G1889" s="32"/>
      <c r="H1889" s="32"/>
    </row>
    <row r="1890" spans="1:8" ht="15.75" customHeight="1">
      <c r="A1890" s="1">
        <v>13584</v>
      </c>
      <c r="B1890" s="2">
        <v>44681.866226851853</v>
      </c>
      <c r="C1890" s="1" t="s">
        <v>10</v>
      </c>
      <c r="D1890" s="1">
        <v>25</v>
      </c>
      <c r="F1890" s="59"/>
      <c r="G1890" s="32"/>
      <c r="H1890" s="32"/>
    </row>
    <row r="1891" spans="1:8" ht="15.75" customHeight="1">
      <c r="A1891" s="1">
        <v>13583</v>
      </c>
      <c r="B1891" s="2">
        <v>44681.840057870373</v>
      </c>
      <c r="C1891" s="1" t="s">
        <v>10</v>
      </c>
      <c r="D1891" s="1">
        <v>37</v>
      </c>
      <c r="F1891" s="59"/>
      <c r="G1891" s="32"/>
      <c r="H1891" s="32"/>
    </row>
    <row r="1892" spans="1:8" ht="15.75" customHeight="1">
      <c r="A1892" s="1">
        <v>13578</v>
      </c>
      <c r="B1892" s="2">
        <v>44681.813449074078</v>
      </c>
      <c r="C1892" s="1" t="s">
        <v>10</v>
      </c>
      <c r="D1892" s="1">
        <v>27</v>
      </c>
      <c r="F1892" s="59"/>
      <c r="G1892" s="32"/>
      <c r="H1892" s="32"/>
    </row>
    <row r="1893" spans="1:8" ht="15.75" customHeight="1">
      <c r="A1893" s="1">
        <v>13576</v>
      </c>
      <c r="B1893" s="2">
        <v>44681.801747685182</v>
      </c>
      <c r="C1893" s="1" t="s">
        <v>10</v>
      </c>
      <c r="D1893" s="1">
        <v>53</v>
      </c>
      <c r="F1893" s="59"/>
      <c r="G1893" s="32"/>
      <c r="H1893" s="32"/>
    </row>
    <row r="1894" spans="1:8" ht="15.75" customHeight="1">
      <c r="A1894" s="1">
        <v>13567</v>
      </c>
      <c r="B1894" s="2">
        <v>44681.694224537037</v>
      </c>
      <c r="C1894" s="1" t="s">
        <v>10</v>
      </c>
      <c r="D1894" s="1">
        <v>34</v>
      </c>
      <c r="F1894" s="59"/>
      <c r="G1894" s="32"/>
      <c r="H1894" s="32"/>
    </row>
    <row r="1895" spans="1:8" ht="15.75" customHeight="1">
      <c r="A1895" s="1">
        <v>13566</v>
      </c>
      <c r="B1895" s="2">
        <v>44681.670810185184</v>
      </c>
      <c r="C1895" s="1" t="s">
        <v>10</v>
      </c>
      <c r="D1895" s="1">
        <v>12</v>
      </c>
      <c r="F1895" s="59"/>
      <c r="G1895" s="32"/>
      <c r="H1895" s="32"/>
    </row>
    <row r="1896" spans="1:8" ht="15.75" customHeight="1">
      <c r="A1896" s="1">
        <v>13565</v>
      </c>
      <c r="B1896" s="2">
        <v>44681.666076388894</v>
      </c>
      <c r="C1896" s="1" t="s">
        <v>10</v>
      </c>
      <c r="D1896" s="1">
        <v>201</v>
      </c>
      <c r="F1896" s="59"/>
      <c r="G1896" s="32"/>
      <c r="H1896" s="32"/>
    </row>
    <row r="1897" spans="1:8" ht="15.75" customHeight="1">
      <c r="A1897" s="1">
        <v>13564</v>
      </c>
      <c r="B1897" s="2">
        <v>44681.651180555556</v>
      </c>
      <c r="C1897" s="1" t="s">
        <v>10</v>
      </c>
      <c r="D1897" s="1">
        <v>20</v>
      </c>
      <c r="F1897" s="59"/>
      <c r="G1897" s="32"/>
      <c r="H1897" s="32"/>
    </row>
    <row r="1898" spans="1:8" ht="15.75" customHeight="1">
      <c r="A1898" s="1">
        <v>13563</v>
      </c>
      <c r="B1898" s="2">
        <v>44681.649004629631</v>
      </c>
      <c r="C1898" s="1" t="s">
        <v>10</v>
      </c>
      <c r="D1898" s="1">
        <v>30</v>
      </c>
      <c r="F1898" s="59"/>
      <c r="G1898" s="32"/>
      <c r="H1898" s="32"/>
    </row>
    <row r="1899" spans="1:8" ht="15.75" customHeight="1">
      <c r="A1899" s="1">
        <v>13562</v>
      </c>
      <c r="B1899" s="2">
        <v>44681.648611111115</v>
      </c>
      <c r="C1899" s="1" t="s">
        <v>10</v>
      </c>
      <c r="D1899" s="1">
        <v>55</v>
      </c>
      <c r="F1899" s="59"/>
      <c r="G1899" s="32"/>
      <c r="H1899" s="32"/>
    </row>
    <row r="1900" spans="1:8" ht="15.75" customHeight="1">
      <c r="A1900" s="1">
        <v>13561</v>
      </c>
      <c r="B1900" s="2">
        <v>44681.644201388888</v>
      </c>
      <c r="C1900" s="1" t="s">
        <v>10</v>
      </c>
      <c r="D1900" s="1">
        <v>30</v>
      </c>
      <c r="F1900" s="59"/>
      <c r="G1900" s="32"/>
      <c r="H1900" s="32"/>
    </row>
    <row r="1901" spans="1:8" ht="15.75" customHeight="1">
      <c r="A1901" s="1">
        <v>13560</v>
      </c>
      <c r="B1901" s="2">
        <v>44681.644178240742</v>
      </c>
      <c r="C1901" s="1" t="s">
        <v>10</v>
      </c>
      <c r="D1901" s="1">
        <v>45</v>
      </c>
      <c r="F1901" s="59"/>
      <c r="G1901" s="32"/>
      <c r="H1901" s="32"/>
    </row>
    <row r="1902" spans="1:8" ht="15.75" customHeight="1">
      <c r="A1902" s="1">
        <v>13559</v>
      </c>
      <c r="B1902" s="2">
        <v>44681.642094907409</v>
      </c>
      <c r="C1902" s="1" t="s">
        <v>10</v>
      </c>
      <c r="D1902" s="1">
        <v>30</v>
      </c>
      <c r="F1902" s="59"/>
      <c r="G1902" s="32"/>
      <c r="H1902" s="32"/>
    </row>
    <row r="1903" spans="1:8" ht="15.75" customHeight="1">
      <c r="A1903" s="1">
        <v>13558</v>
      </c>
      <c r="B1903" s="2">
        <v>44681.641875000001</v>
      </c>
      <c r="C1903" s="1" t="s">
        <v>10</v>
      </c>
      <c r="D1903" s="1">
        <v>77</v>
      </c>
      <c r="F1903" s="59"/>
      <c r="G1903" s="32"/>
      <c r="H1903" s="32"/>
    </row>
    <row r="1904" spans="1:8" ht="15.75" customHeight="1">
      <c r="A1904" s="1">
        <v>13557</v>
      </c>
      <c r="B1904" s="2">
        <v>44681.636006944449</v>
      </c>
      <c r="C1904" s="1" t="s">
        <v>10</v>
      </c>
      <c r="D1904" s="1">
        <v>20</v>
      </c>
      <c r="F1904" s="59"/>
      <c r="G1904" s="32"/>
      <c r="H1904" s="32"/>
    </row>
    <row r="1905" spans="1:8" ht="15.75" customHeight="1">
      <c r="A1905" s="1">
        <v>13556</v>
      </c>
      <c r="B1905" s="2">
        <v>44681.635405092587</v>
      </c>
      <c r="C1905" s="1" t="s">
        <v>10</v>
      </c>
      <c r="D1905" s="1">
        <v>52</v>
      </c>
      <c r="F1905" s="59"/>
      <c r="G1905" s="32"/>
      <c r="H1905" s="32"/>
    </row>
    <row r="1906" spans="1:8" ht="15.75" customHeight="1">
      <c r="A1906" s="1">
        <v>13555</v>
      </c>
      <c r="B1906" s="2">
        <v>44681.63380787037</v>
      </c>
      <c r="C1906" s="1" t="s">
        <v>10</v>
      </c>
      <c r="D1906" s="1">
        <v>25</v>
      </c>
      <c r="F1906" s="59"/>
      <c r="G1906" s="32"/>
      <c r="H1906" s="32"/>
    </row>
    <row r="1907" spans="1:8" ht="15.75" customHeight="1">
      <c r="A1907" s="1">
        <v>13554</v>
      </c>
      <c r="B1907" s="2">
        <v>44681.632673611108</v>
      </c>
      <c r="C1907" s="1" t="s">
        <v>10</v>
      </c>
      <c r="D1907" s="1">
        <v>27</v>
      </c>
      <c r="F1907" s="59"/>
      <c r="G1907" s="32"/>
      <c r="H1907" s="32"/>
    </row>
    <row r="1908" spans="1:8" ht="15.75" customHeight="1">
      <c r="A1908" s="1">
        <v>13553</v>
      </c>
      <c r="B1908" s="2">
        <v>44681.632222222222</v>
      </c>
      <c r="C1908" s="1" t="s">
        <v>10</v>
      </c>
      <c r="D1908" s="1">
        <v>25</v>
      </c>
      <c r="F1908" s="59"/>
      <c r="G1908" s="32"/>
      <c r="H1908" s="32"/>
    </row>
    <row r="1909" spans="1:8" ht="15.75" customHeight="1">
      <c r="A1909" s="1">
        <v>13552</v>
      </c>
      <c r="B1909" s="2">
        <v>44681.63180555556</v>
      </c>
      <c r="C1909" s="1" t="s">
        <v>10</v>
      </c>
      <c r="D1909" s="1">
        <v>20</v>
      </c>
      <c r="F1909" s="59"/>
      <c r="G1909" s="32"/>
      <c r="H1909" s="32"/>
    </row>
    <row r="1910" spans="1:8" ht="15.75" customHeight="1">
      <c r="A1910" s="1">
        <v>13551</v>
      </c>
      <c r="B1910" s="2">
        <v>44681.630393518513</v>
      </c>
      <c r="C1910" s="1" t="s">
        <v>10</v>
      </c>
      <c r="D1910" s="1">
        <v>20</v>
      </c>
      <c r="F1910" s="59"/>
      <c r="G1910" s="32"/>
      <c r="H1910" s="32"/>
    </row>
    <row r="1911" spans="1:8" ht="15.75" customHeight="1">
      <c r="A1911" s="1">
        <v>13550</v>
      </c>
      <c r="B1911" s="2">
        <v>44681.629872685182</v>
      </c>
      <c r="C1911" s="1" t="s">
        <v>10</v>
      </c>
      <c r="D1911" s="1">
        <v>25</v>
      </c>
      <c r="F1911" s="59"/>
      <c r="G1911" s="32"/>
      <c r="H1911" s="32"/>
    </row>
    <row r="1912" spans="1:8" ht="15.75" customHeight="1">
      <c r="A1912" s="1">
        <v>13549</v>
      </c>
      <c r="B1912" s="2">
        <v>44681.621504629627</v>
      </c>
      <c r="C1912" s="1" t="s">
        <v>10</v>
      </c>
      <c r="D1912" s="1">
        <v>55</v>
      </c>
      <c r="F1912" s="59"/>
      <c r="G1912" s="32"/>
      <c r="H1912" s="32"/>
    </row>
    <row r="1913" spans="1:8" ht="15.75" customHeight="1">
      <c r="A1913" s="1">
        <v>13548</v>
      </c>
      <c r="B1913" s="2">
        <v>44681.620196759264</v>
      </c>
      <c r="C1913" s="1" t="s">
        <v>10</v>
      </c>
      <c r="D1913" s="1">
        <v>18</v>
      </c>
      <c r="F1913" s="59"/>
      <c r="G1913" s="32"/>
      <c r="H1913" s="32"/>
    </row>
    <row r="1914" spans="1:8" ht="15.75" customHeight="1">
      <c r="A1914" s="1">
        <v>13547</v>
      </c>
      <c r="B1914" s="2">
        <v>44681.601597222223</v>
      </c>
      <c r="C1914" s="1" t="s">
        <v>10</v>
      </c>
      <c r="D1914" s="1">
        <v>20</v>
      </c>
      <c r="F1914" s="59"/>
      <c r="G1914" s="32"/>
      <c r="H1914" s="32"/>
    </row>
    <row r="1915" spans="1:8" ht="15.75" customHeight="1">
      <c r="A1915" s="1">
        <v>13546</v>
      </c>
      <c r="B1915" s="2">
        <v>44681.601354166662</v>
      </c>
      <c r="C1915" s="1" t="s">
        <v>10</v>
      </c>
      <c r="D1915" s="1">
        <v>12</v>
      </c>
      <c r="F1915" s="59"/>
      <c r="G1915" s="32"/>
      <c r="H1915" s="32"/>
    </row>
    <row r="1916" spans="1:8" ht="15.75" customHeight="1">
      <c r="A1916" s="1">
        <v>13545</v>
      </c>
      <c r="B1916" s="2">
        <v>44681.600347222222</v>
      </c>
      <c r="C1916" s="1" t="s">
        <v>10</v>
      </c>
      <c r="D1916" s="1">
        <v>18</v>
      </c>
      <c r="F1916" s="59"/>
      <c r="G1916" s="32"/>
      <c r="H1916" s="32"/>
    </row>
    <row r="1917" spans="1:8" ht="15.75" customHeight="1">
      <c r="A1917" s="1">
        <v>13544</v>
      </c>
      <c r="B1917" s="2">
        <v>44681.597453703704</v>
      </c>
      <c r="C1917" s="1" t="s">
        <v>10</v>
      </c>
      <c r="D1917" s="1">
        <v>18</v>
      </c>
      <c r="F1917" s="59"/>
      <c r="G1917" s="32"/>
      <c r="H1917" s="32"/>
    </row>
    <row r="1918" spans="1:8" ht="15.75" customHeight="1">
      <c r="A1918" s="1">
        <v>13543</v>
      </c>
      <c r="B1918" s="2">
        <v>44681.595335648148</v>
      </c>
      <c r="C1918" s="1" t="s">
        <v>10</v>
      </c>
      <c r="D1918" s="1">
        <v>20</v>
      </c>
      <c r="F1918" s="59"/>
      <c r="G1918" s="32"/>
      <c r="H1918" s="32"/>
    </row>
    <row r="1919" spans="1:8" ht="15.75" customHeight="1">
      <c r="A1919" s="1">
        <v>13542</v>
      </c>
      <c r="B1919" s="2">
        <v>44681.587627314817</v>
      </c>
      <c r="C1919" s="1" t="s">
        <v>10</v>
      </c>
      <c r="D1919" s="1">
        <v>25</v>
      </c>
      <c r="F1919" s="59"/>
      <c r="G1919" s="32"/>
      <c r="H1919" s="32"/>
    </row>
    <row r="1920" spans="1:8" ht="15.75" customHeight="1">
      <c r="A1920" s="1">
        <v>13541</v>
      </c>
      <c r="B1920" s="2">
        <v>44681.587453703702</v>
      </c>
      <c r="C1920" s="1" t="s">
        <v>10</v>
      </c>
      <c r="D1920" s="1">
        <v>50</v>
      </c>
      <c r="F1920" s="59"/>
      <c r="G1920" s="32"/>
      <c r="H1920" s="32"/>
    </row>
    <row r="1921" spans="1:8" ht="15.75" customHeight="1">
      <c r="A1921" s="1">
        <v>13540</v>
      </c>
      <c r="B1921" s="2">
        <v>44681.583958333329</v>
      </c>
      <c r="C1921" s="1" t="s">
        <v>10</v>
      </c>
      <c r="D1921" s="1">
        <v>12</v>
      </c>
      <c r="F1921" s="59"/>
      <c r="G1921" s="32"/>
      <c r="H1921" s="32"/>
    </row>
    <row r="1922" spans="1:8" ht="15.75" customHeight="1">
      <c r="A1922" s="1">
        <v>13539</v>
      </c>
      <c r="B1922" s="2">
        <v>44681.582546296297</v>
      </c>
      <c r="C1922" s="1" t="s">
        <v>10</v>
      </c>
      <c r="D1922" s="1">
        <v>36</v>
      </c>
      <c r="F1922" s="59"/>
      <c r="G1922" s="32"/>
      <c r="H1922" s="32"/>
    </row>
    <row r="1923" spans="1:8" ht="15.75" customHeight="1">
      <c r="A1923" s="1">
        <v>13538</v>
      </c>
      <c r="B1923" s="2">
        <v>44681.572546296295</v>
      </c>
      <c r="C1923" s="1" t="s">
        <v>10</v>
      </c>
      <c r="D1923" s="1">
        <v>15</v>
      </c>
      <c r="F1923" s="59"/>
      <c r="G1923" s="32"/>
      <c r="H1923" s="32"/>
    </row>
    <row r="1924" spans="1:8" ht="15.75" customHeight="1">
      <c r="A1924" s="1">
        <v>13537</v>
      </c>
      <c r="B1924" s="2">
        <v>44681.570405092592</v>
      </c>
      <c r="C1924" s="1" t="s">
        <v>10</v>
      </c>
      <c r="D1924" s="1">
        <v>20</v>
      </c>
      <c r="F1924" s="59"/>
      <c r="G1924" s="32"/>
      <c r="H1924" s="32"/>
    </row>
    <row r="1925" spans="1:8" ht="15.75" customHeight="1">
      <c r="A1925" s="1">
        <v>13536</v>
      </c>
      <c r="B1925" s="2">
        <v>44681.56868055556</v>
      </c>
      <c r="C1925" s="1" t="s">
        <v>10</v>
      </c>
      <c r="D1925" s="1">
        <v>35</v>
      </c>
      <c r="F1925" s="59"/>
      <c r="G1925" s="32"/>
      <c r="H1925" s="32"/>
    </row>
    <row r="1926" spans="1:8" ht="15.75" customHeight="1">
      <c r="A1926" s="1">
        <v>13535</v>
      </c>
      <c r="B1926" s="2">
        <v>44681.565706018519</v>
      </c>
      <c r="C1926" s="1" t="s">
        <v>10</v>
      </c>
      <c r="D1926" s="1">
        <v>35</v>
      </c>
      <c r="F1926" s="59"/>
      <c r="G1926" s="32"/>
      <c r="H1926" s="32"/>
    </row>
    <row r="1927" spans="1:8" ht="15.75" customHeight="1">
      <c r="A1927" s="1">
        <v>13534</v>
      </c>
      <c r="B1927" s="2">
        <v>44681.564201388886</v>
      </c>
      <c r="C1927" s="1" t="s">
        <v>10</v>
      </c>
      <c r="D1927" s="1">
        <v>35</v>
      </c>
      <c r="F1927" s="59"/>
      <c r="G1927" s="32"/>
      <c r="H1927" s="32"/>
    </row>
    <row r="1928" spans="1:8" ht="15.75" customHeight="1">
      <c r="A1928" s="1">
        <v>13533</v>
      </c>
      <c r="B1928" s="2">
        <v>44681.564062500001</v>
      </c>
      <c r="C1928" s="1" t="s">
        <v>10</v>
      </c>
      <c r="D1928" s="1">
        <v>35</v>
      </c>
      <c r="F1928" s="59"/>
      <c r="G1928" s="32"/>
      <c r="H1928" s="32"/>
    </row>
    <row r="1929" spans="1:8" ht="15.75" customHeight="1">
      <c r="A1929" s="1">
        <v>13532</v>
      </c>
      <c r="B1929" s="2">
        <v>44681.562800925924</v>
      </c>
      <c r="C1929" s="1" t="s">
        <v>10</v>
      </c>
      <c r="D1929" s="1">
        <v>25</v>
      </c>
      <c r="F1929" s="59"/>
      <c r="G1929" s="32"/>
      <c r="H1929" s="32"/>
    </row>
    <row r="1930" spans="1:8" ht="15.75" customHeight="1">
      <c r="A1930" s="1">
        <v>13531</v>
      </c>
      <c r="B1930" s="2">
        <v>44681.559444444443</v>
      </c>
      <c r="C1930" s="1" t="s">
        <v>10</v>
      </c>
      <c r="D1930" s="1">
        <v>32</v>
      </c>
      <c r="F1930" s="59"/>
      <c r="G1930" s="32"/>
      <c r="H1930" s="32"/>
    </row>
    <row r="1931" spans="1:8" ht="15.75" customHeight="1">
      <c r="A1931" s="1">
        <v>13530</v>
      </c>
      <c r="B1931" s="2">
        <v>44681.55914351852</v>
      </c>
      <c r="C1931" s="1" t="s">
        <v>10</v>
      </c>
      <c r="D1931" s="1">
        <v>12</v>
      </c>
      <c r="F1931" s="59"/>
      <c r="G1931" s="32"/>
      <c r="H1931" s="32"/>
    </row>
    <row r="1932" spans="1:8" ht="15.75" customHeight="1">
      <c r="A1932" s="1">
        <v>13529</v>
      </c>
      <c r="B1932" s="2">
        <v>44681.558622685188</v>
      </c>
      <c r="C1932" s="1" t="s">
        <v>10</v>
      </c>
      <c r="D1932" s="1">
        <v>30</v>
      </c>
      <c r="F1932" s="59"/>
      <c r="G1932" s="32"/>
      <c r="H1932" s="32"/>
    </row>
    <row r="1933" spans="1:8" ht="15.75" customHeight="1">
      <c r="A1933" s="1">
        <v>13528</v>
      </c>
      <c r="B1933" s="2">
        <v>44681.558159722219</v>
      </c>
      <c r="C1933" s="1" t="s">
        <v>10</v>
      </c>
      <c r="D1933" s="1">
        <v>25</v>
      </c>
      <c r="F1933" s="59"/>
      <c r="G1933" s="32"/>
      <c r="H1933" s="32"/>
    </row>
    <row r="1934" spans="1:8" ht="15.75" customHeight="1">
      <c r="A1934" s="1">
        <v>13527</v>
      </c>
      <c r="B1934" s="2">
        <v>44681.556851851856</v>
      </c>
      <c r="C1934" s="1" t="s">
        <v>10</v>
      </c>
      <c r="D1934" s="1">
        <v>25</v>
      </c>
      <c r="F1934" s="59"/>
      <c r="G1934" s="32"/>
      <c r="H1934" s="32"/>
    </row>
    <row r="1935" spans="1:8" ht="15.75" customHeight="1">
      <c r="A1935" s="1">
        <v>13526</v>
      </c>
      <c r="B1935" s="2">
        <v>44681.55673611111</v>
      </c>
      <c r="C1935" s="1" t="s">
        <v>10</v>
      </c>
      <c r="D1935" s="1">
        <v>24</v>
      </c>
      <c r="F1935" s="59"/>
      <c r="G1935" s="32"/>
      <c r="H1935" s="32"/>
    </row>
    <row r="1936" spans="1:8" ht="15.75" customHeight="1">
      <c r="A1936" s="1">
        <v>13525</v>
      </c>
      <c r="B1936" s="2">
        <v>44681.555798611109</v>
      </c>
      <c r="C1936" s="1" t="s">
        <v>10</v>
      </c>
      <c r="D1936" s="1">
        <v>15</v>
      </c>
      <c r="F1936" s="59"/>
      <c r="G1936" s="32"/>
      <c r="H1936" s="32"/>
    </row>
    <row r="1937" spans="1:8" ht="15.75" customHeight="1">
      <c r="A1937" s="1">
        <v>13524</v>
      </c>
      <c r="B1937" s="2">
        <v>44681.554560185185</v>
      </c>
      <c r="C1937" s="1" t="s">
        <v>10</v>
      </c>
      <c r="D1937" s="1">
        <v>25</v>
      </c>
      <c r="F1937" s="59"/>
      <c r="G1937" s="32"/>
      <c r="H1937" s="32"/>
    </row>
    <row r="1938" spans="1:8" ht="15.75" customHeight="1">
      <c r="A1938" s="1">
        <v>13523</v>
      </c>
      <c r="B1938" s="2">
        <v>44681.554097222222</v>
      </c>
      <c r="C1938" s="1" t="s">
        <v>10</v>
      </c>
      <c r="D1938" s="1">
        <v>35</v>
      </c>
      <c r="F1938" s="59"/>
      <c r="G1938" s="32"/>
      <c r="H1938" s="32"/>
    </row>
    <row r="1939" spans="1:8" ht="15.75" customHeight="1">
      <c r="A1939" s="1">
        <v>13522</v>
      </c>
      <c r="B1939" s="2">
        <v>44681.552916666667</v>
      </c>
      <c r="C1939" s="1" t="s">
        <v>10</v>
      </c>
      <c r="D1939" s="1">
        <v>25</v>
      </c>
      <c r="F1939" s="59"/>
      <c r="G1939" s="32"/>
      <c r="H1939" s="32"/>
    </row>
    <row r="1940" spans="1:8" ht="15.75" customHeight="1">
      <c r="A1940" s="1">
        <v>13521</v>
      </c>
      <c r="B1940" s="2">
        <v>44681.550879629634</v>
      </c>
      <c r="C1940" s="1" t="s">
        <v>10</v>
      </c>
      <c r="D1940" s="1">
        <v>35</v>
      </c>
      <c r="F1940" s="59"/>
      <c r="G1940" s="32"/>
      <c r="H1940" s="32"/>
    </row>
    <row r="1941" spans="1:8" ht="15.75" customHeight="1">
      <c r="A1941" s="1">
        <v>13520</v>
      </c>
      <c r="B1941" s="2">
        <v>44681.550324074073</v>
      </c>
      <c r="C1941" s="1" t="s">
        <v>10</v>
      </c>
      <c r="D1941" s="1">
        <v>12</v>
      </c>
      <c r="F1941" s="59"/>
      <c r="G1941" s="32"/>
      <c r="H1941" s="32"/>
    </row>
    <row r="1942" spans="1:8" ht="15.75" customHeight="1">
      <c r="A1942" s="1">
        <v>13519</v>
      </c>
      <c r="B1942" s="2">
        <v>44681.547789351855</v>
      </c>
      <c r="C1942" s="1" t="s">
        <v>10</v>
      </c>
      <c r="D1942" s="1">
        <v>25</v>
      </c>
      <c r="F1942" s="59"/>
      <c r="G1942" s="32"/>
      <c r="H1942" s="32"/>
    </row>
    <row r="1943" spans="1:8" ht="15.75" customHeight="1">
      <c r="A1943" s="1">
        <v>13518</v>
      </c>
      <c r="B1943" s="2">
        <v>44681.547222222223</v>
      </c>
      <c r="C1943" s="1" t="s">
        <v>10</v>
      </c>
      <c r="D1943" s="1">
        <v>20</v>
      </c>
      <c r="F1943" s="59"/>
      <c r="G1943" s="32"/>
      <c r="H1943" s="32"/>
    </row>
    <row r="1944" spans="1:8" ht="15.75" customHeight="1">
      <c r="A1944" s="1">
        <v>13517</v>
      </c>
      <c r="B1944" s="2">
        <v>44681.544861111106</v>
      </c>
      <c r="C1944" s="1" t="s">
        <v>10</v>
      </c>
      <c r="D1944" s="1">
        <v>25</v>
      </c>
      <c r="F1944" s="59"/>
      <c r="G1944" s="32"/>
      <c r="H1944" s="32"/>
    </row>
    <row r="1945" spans="1:8" ht="15.75" customHeight="1">
      <c r="A1945" s="1">
        <v>13516</v>
      </c>
      <c r="B1945" s="2">
        <v>44681.543935185182</v>
      </c>
      <c r="C1945" s="1" t="s">
        <v>10</v>
      </c>
      <c r="D1945" s="1">
        <v>50</v>
      </c>
      <c r="F1945" s="59"/>
      <c r="G1945" s="32"/>
      <c r="H1945" s="32"/>
    </row>
    <row r="1946" spans="1:8" ht="15.75" customHeight="1">
      <c r="A1946" s="1">
        <v>13515</v>
      </c>
      <c r="B1946" s="2">
        <v>44681.542349537034</v>
      </c>
      <c r="C1946" s="1" t="s">
        <v>10</v>
      </c>
      <c r="D1946" s="1">
        <v>25</v>
      </c>
      <c r="F1946" s="59"/>
      <c r="G1946" s="32"/>
      <c r="H1946" s="32"/>
    </row>
    <row r="1947" spans="1:8" ht="15.75" customHeight="1">
      <c r="A1947" s="1">
        <v>13514</v>
      </c>
      <c r="B1947" s="2">
        <v>44681.542037037041</v>
      </c>
      <c r="C1947" s="1" t="s">
        <v>10</v>
      </c>
      <c r="D1947" s="1">
        <v>50</v>
      </c>
      <c r="F1947" s="59"/>
      <c r="G1947" s="32"/>
      <c r="H1947" s="32"/>
    </row>
    <row r="1948" spans="1:8" ht="15.75" customHeight="1">
      <c r="A1948" s="1">
        <v>13513</v>
      </c>
      <c r="B1948" s="2">
        <v>44681.541909722218</v>
      </c>
      <c r="C1948" s="1" t="s">
        <v>10</v>
      </c>
      <c r="D1948" s="1">
        <v>15</v>
      </c>
      <c r="F1948" s="59"/>
      <c r="G1948" s="32"/>
      <c r="H1948" s="32"/>
    </row>
    <row r="1949" spans="1:8" ht="15.75" customHeight="1">
      <c r="A1949" s="1">
        <v>13512</v>
      </c>
      <c r="B1949" s="2">
        <v>44681.540891203702</v>
      </c>
      <c r="C1949" s="1" t="s">
        <v>10</v>
      </c>
      <c r="D1949" s="1">
        <v>25</v>
      </c>
      <c r="F1949" s="59"/>
      <c r="G1949" s="32"/>
      <c r="H1949" s="32"/>
    </row>
    <row r="1950" spans="1:8" ht="15.75" customHeight="1">
      <c r="A1950" s="1">
        <v>13511</v>
      </c>
      <c r="B1950" s="2">
        <v>44681.538391203707</v>
      </c>
      <c r="C1950" s="1" t="s">
        <v>10</v>
      </c>
      <c r="D1950" s="1">
        <v>25</v>
      </c>
      <c r="F1950" s="59"/>
      <c r="G1950" s="32"/>
      <c r="H1950" s="32"/>
    </row>
    <row r="1951" spans="1:8" ht="15.75" customHeight="1">
      <c r="A1951" s="1">
        <v>13510</v>
      </c>
      <c r="B1951" s="2">
        <v>44681.538148148145</v>
      </c>
      <c r="C1951" s="1" t="s">
        <v>10</v>
      </c>
      <c r="D1951" s="1">
        <v>55</v>
      </c>
      <c r="F1951" s="59"/>
      <c r="G1951" s="32"/>
      <c r="H1951" s="32"/>
    </row>
    <row r="1952" spans="1:8" ht="15.75" customHeight="1">
      <c r="A1952" s="1">
        <v>13509</v>
      </c>
      <c r="B1952" s="2">
        <v>44681.537291666667</v>
      </c>
      <c r="C1952" s="1" t="s">
        <v>10</v>
      </c>
      <c r="D1952" s="1">
        <v>20</v>
      </c>
      <c r="F1952" s="59"/>
      <c r="G1952" s="32"/>
      <c r="H1952" s="32"/>
    </row>
    <row r="1953" spans="1:8" ht="15.75" customHeight="1">
      <c r="A1953" s="1">
        <v>13508</v>
      </c>
      <c r="B1953" s="2">
        <v>44681.53706018519</v>
      </c>
      <c r="C1953" s="1" t="s">
        <v>10</v>
      </c>
      <c r="D1953" s="1">
        <v>25</v>
      </c>
      <c r="F1953" s="59"/>
      <c r="G1953" s="32"/>
      <c r="H1953" s="32"/>
    </row>
    <row r="1954" spans="1:8" ht="15.75" customHeight="1">
      <c r="A1954" s="1">
        <v>13507</v>
      </c>
      <c r="B1954" s="2">
        <v>44681.536620370374</v>
      </c>
      <c r="C1954" s="1" t="s">
        <v>10</v>
      </c>
      <c r="D1954" s="1">
        <v>25</v>
      </c>
      <c r="F1954" s="59"/>
      <c r="G1954" s="32"/>
      <c r="H1954" s="32"/>
    </row>
    <row r="1955" spans="1:8" ht="15.75" customHeight="1">
      <c r="A1955" s="1">
        <v>13506</v>
      </c>
      <c r="B1955" s="2">
        <v>44681.534386574072</v>
      </c>
      <c r="C1955" s="1" t="s">
        <v>10</v>
      </c>
      <c r="D1955" s="1">
        <v>33</v>
      </c>
      <c r="F1955" s="59"/>
      <c r="G1955" s="32"/>
      <c r="H1955" s="32"/>
    </row>
    <row r="1956" spans="1:8" ht="15.75" customHeight="1">
      <c r="A1956" s="1">
        <v>13505</v>
      </c>
      <c r="B1956" s="2">
        <v>44681.532118055555</v>
      </c>
      <c r="C1956" s="1" t="s">
        <v>10</v>
      </c>
      <c r="D1956" s="1">
        <v>25</v>
      </c>
      <c r="F1956" s="59"/>
      <c r="G1956" s="32"/>
      <c r="H1956" s="32"/>
    </row>
    <row r="1957" spans="1:8" ht="15.75" customHeight="1">
      <c r="A1957" s="1">
        <v>13504</v>
      </c>
      <c r="B1957" s="2">
        <v>44681.532106481478</v>
      </c>
      <c r="C1957" s="1" t="s">
        <v>10</v>
      </c>
      <c r="D1957" s="1">
        <v>25</v>
      </c>
      <c r="F1957" s="59"/>
      <c r="G1957" s="32"/>
      <c r="H1957" s="32"/>
    </row>
    <row r="1958" spans="1:8" ht="15.75" customHeight="1">
      <c r="A1958" s="1">
        <v>13503</v>
      </c>
      <c r="B1958" s="2">
        <v>44681.530729166669</v>
      </c>
      <c r="C1958" s="1" t="s">
        <v>10</v>
      </c>
      <c r="D1958" s="1">
        <v>50</v>
      </c>
      <c r="F1958" s="59"/>
      <c r="G1958" s="32"/>
      <c r="H1958" s="32"/>
    </row>
    <row r="1959" spans="1:8" ht="15.75" customHeight="1">
      <c r="A1959" s="1">
        <v>13502</v>
      </c>
      <c r="B1959" s="2">
        <v>44681.53052083333</v>
      </c>
      <c r="C1959" s="1" t="s">
        <v>10</v>
      </c>
      <c r="D1959" s="1">
        <v>15</v>
      </c>
      <c r="F1959" s="59"/>
      <c r="G1959" s="32"/>
      <c r="H1959" s="32"/>
    </row>
    <row r="1960" spans="1:8" ht="15.75" customHeight="1">
      <c r="A1960" s="1">
        <v>13501</v>
      </c>
      <c r="B1960" s="2">
        <v>44681.530127314814</v>
      </c>
      <c r="C1960" s="1" t="s">
        <v>10</v>
      </c>
      <c r="D1960" s="1">
        <v>18</v>
      </c>
      <c r="F1960" s="59"/>
      <c r="G1960" s="32"/>
      <c r="H1960" s="32"/>
    </row>
    <row r="1961" spans="1:8" ht="15.75" customHeight="1">
      <c r="A1961" s="1">
        <v>13500</v>
      </c>
      <c r="B1961" s="2">
        <v>44681.529699074075</v>
      </c>
      <c r="C1961" s="1" t="s">
        <v>10</v>
      </c>
      <c r="D1961" s="1">
        <v>38</v>
      </c>
      <c r="F1961" s="59"/>
      <c r="G1961" s="32"/>
      <c r="H1961" s="32"/>
    </row>
    <row r="1962" spans="1:8" ht="15.75" customHeight="1">
      <c r="A1962" s="1">
        <v>13499</v>
      </c>
      <c r="B1962" s="2">
        <v>44681.529421296298</v>
      </c>
      <c r="C1962" s="1" t="s">
        <v>10</v>
      </c>
      <c r="D1962" s="1">
        <v>18</v>
      </c>
      <c r="F1962" s="59"/>
      <c r="G1962" s="32"/>
      <c r="H1962" s="32"/>
    </row>
    <row r="1963" spans="1:8" ht="15.75" customHeight="1">
      <c r="A1963" s="1">
        <v>13498</v>
      </c>
      <c r="B1963" s="2">
        <v>44681.526863425926</v>
      </c>
      <c r="C1963" s="1" t="s">
        <v>10</v>
      </c>
      <c r="D1963" s="1">
        <v>12</v>
      </c>
      <c r="F1963" s="59"/>
      <c r="G1963" s="32"/>
      <c r="H1963" s="32"/>
    </row>
    <row r="1964" spans="1:8" ht="15.75" customHeight="1">
      <c r="A1964" s="1">
        <v>13497</v>
      </c>
      <c r="B1964" s="2">
        <v>44681.526493055557</v>
      </c>
      <c r="C1964" s="1" t="s">
        <v>10</v>
      </c>
      <c r="D1964" s="1">
        <v>25</v>
      </c>
      <c r="F1964" s="59"/>
      <c r="G1964" s="32"/>
      <c r="H1964" s="32"/>
    </row>
    <row r="1965" spans="1:8" ht="15.75" customHeight="1">
      <c r="A1965" s="1">
        <v>13496</v>
      </c>
      <c r="B1965" s="2">
        <v>44681.524097222224</v>
      </c>
      <c r="C1965" s="1" t="s">
        <v>10</v>
      </c>
      <c r="D1965" s="1">
        <v>55</v>
      </c>
      <c r="F1965" s="59"/>
      <c r="G1965" s="32"/>
      <c r="H1965" s="32"/>
    </row>
    <row r="1966" spans="1:8" ht="15.75" customHeight="1">
      <c r="A1966" s="1">
        <v>13495</v>
      </c>
      <c r="B1966" s="2">
        <v>44681.508240740739</v>
      </c>
      <c r="C1966" s="1" t="s">
        <v>10</v>
      </c>
      <c r="D1966" s="1">
        <v>12</v>
      </c>
      <c r="F1966" s="59"/>
      <c r="G1966" s="32"/>
      <c r="H1966" s="32"/>
    </row>
    <row r="1967" spans="1:8" ht="15.75" customHeight="1">
      <c r="A1967" s="1">
        <v>13494</v>
      </c>
      <c r="B1967" s="2">
        <v>44681.108263888891</v>
      </c>
      <c r="C1967" s="1" t="s">
        <v>10</v>
      </c>
      <c r="D1967" s="1">
        <v>20</v>
      </c>
      <c r="F1967" s="59"/>
      <c r="G1967" s="32"/>
      <c r="H1967" s="32"/>
    </row>
    <row r="1968" spans="1:8" ht="15.75" customHeight="1">
      <c r="A1968" s="1">
        <v>13492</v>
      </c>
      <c r="B1968" s="2">
        <v>44680.990324074075</v>
      </c>
      <c r="C1968" s="1" t="s">
        <v>10</v>
      </c>
      <c r="D1968" s="1">
        <v>13.5</v>
      </c>
      <c r="F1968" s="59"/>
      <c r="G1968" s="32"/>
      <c r="H1968" s="32"/>
    </row>
    <row r="1969" spans="1:8" ht="15.75" customHeight="1">
      <c r="A1969" s="1">
        <v>13491</v>
      </c>
      <c r="B1969" s="2">
        <v>44680.98814814815</v>
      </c>
      <c r="C1969" s="1" t="s">
        <v>10</v>
      </c>
      <c r="D1969" s="1">
        <v>18</v>
      </c>
      <c r="F1969" s="59"/>
      <c r="G1969" s="32"/>
      <c r="H1969" s="32"/>
    </row>
    <row r="1970" spans="1:8" ht="15.75" customHeight="1">
      <c r="A1970" s="1">
        <v>13490</v>
      </c>
      <c r="B1970" s="2">
        <v>44680.837094907409</v>
      </c>
      <c r="C1970" s="1" t="s">
        <v>10</v>
      </c>
      <c r="D1970" s="1">
        <v>49.5</v>
      </c>
      <c r="F1970" s="59"/>
      <c r="G1970" s="32"/>
      <c r="H1970" s="32"/>
    </row>
    <row r="1971" spans="1:8" ht="15.75" customHeight="1">
      <c r="A1971" s="1">
        <v>13489</v>
      </c>
      <c r="B1971" s="2">
        <v>44680.509039351848</v>
      </c>
      <c r="C1971" s="1" t="s">
        <v>10</v>
      </c>
      <c r="D1971" s="1">
        <v>15</v>
      </c>
      <c r="F1971" s="59"/>
      <c r="G1971" s="32"/>
      <c r="H1971" s="32"/>
    </row>
    <row r="1972" spans="1:8" ht="15.75" customHeight="1">
      <c r="A1972" s="1">
        <v>13482</v>
      </c>
      <c r="B1972" s="2">
        <v>44680.122256944444</v>
      </c>
      <c r="C1972" s="1" t="s">
        <v>10</v>
      </c>
      <c r="D1972" s="1">
        <v>3.35</v>
      </c>
      <c r="F1972" s="59"/>
      <c r="G1972" s="32"/>
      <c r="H1972" s="32"/>
    </row>
    <row r="1973" spans="1:8" ht="15.75" customHeight="1">
      <c r="A1973" s="1">
        <v>13479</v>
      </c>
      <c r="B1973" s="2">
        <v>44680.047083333338</v>
      </c>
      <c r="C1973" s="1" t="s">
        <v>10</v>
      </c>
      <c r="D1973" s="1">
        <v>22.5</v>
      </c>
      <c r="F1973" s="59"/>
      <c r="G1973" s="32"/>
      <c r="H1973" s="32"/>
    </row>
    <row r="1974" spans="1:8" ht="15.75" customHeight="1">
      <c r="A1974" s="1">
        <v>13478</v>
      </c>
      <c r="B1974" s="2">
        <v>44680.009652777779</v>
      </c>
      <c r="C1974" s="1" t="s">
        <v>10</v>
      </c>
      <c r="D1974" s="1">
        <v>22.5</v>
      </c>
      <c r="F1974" s="59"/>
      <c r="G1974" s="32"/>
      <c r="H1974" s="32"/>
    </row>
    <row r="1975" spans="1:8" ht="15.75" customHeight="1">
      <c r="A1975" s="1">
        <v>13477</v>
      </c>
      <c r="B1975" s="2">
        <v>44679.877511574072</v>
      </c>
      <c r="C1975" s="1" t="s">
        <v>10</v>
      </c>
      <c r="D1975" s="1">
        <v>0.75</v>
      </c>
      <c r="F1975" s="59"/>
      <c r="G1975" s="32"/>
      <c r="H1975" s="32"/>
    </row>
    <row r="1976" spans="1:8" ht="15.75" customHeight="1">
      <c r="A1976" s="1">
        <v>13474</v>
      </c>
      <c r="B1976" s="2">
        <v>44679.721678240741</v>
      </c>
      <c r="C1976" s="1" t="s">
        <v>18</v>
      </c>
      <c r="D1976" s="1">
        <v>22.5</v>
      </c>
      <c r="F1976" s="59"/>
      <c r="G1976" s="32"/>
      <c r="H1976" s="32"/>
    </row>
    <row r="1977" spans="1:8" ht="15.75" customHeight="1">
      <c r="A1977" s="1">
        <v>2083</v>
      </c>
      <c r="B1977" s="2">
        <v>43405.513032407413</v>
      </c>
      <c r="C1977" s="1" t="s">
        <v>10</v>
      </c>
      <c r="D1977" s="1">
        <v>28</v>
      </c>
      <c r="F1977" s="59"/>
      <c r="G1977" s="32"/>
      <c r="H1977" s="32"/>
    </row>
    <row r="1978" spans="1:8" ht="15.75" customHeight="1">
      <c r="A1978" s="1">
        <v>20617</v>
      </c>
      <c r="B1978" s="2">
        <v>45203.085659722223</v>
      </c>
      <c r="C1978" s="1" t="s">
        <v>10</v>
      </c>
      <c r="D1978" s="1">
        <v>25</v>
      </c>
      <c r="E1978" s="1" t="s">
        <v>75</v>
      </c>
      <c r="F1978" s="59"/>
      <c r="G1978" s="32"/>
      <c r="H1978" s="32"/>
    </row>
    <row r="1979" spans="1:8" ht="15.75" customHeight="1">
      <c r="A1979" s="1">
        <v>20618</v>
      </c>
      <c r="B1979" s="2">
        <v>45203.574201388888</v>
      </c>
      <c r="C1979" s="1" t="s">
        <v>10</v>
      </c>
      <c r="D1979" s="1">
        <v>22</v>
      </c>
      <c r="E1979" s="1" t="s">
        <v>75</v>
      </c>
      <c r="F1979" s="59"/>
      <c r="G1979" s="32"/>
      <c r="H1979" s="32"/>
    </row>
    <row r="1980" spans="1:8" ht="15.75" customHeight="1">
      <c r="A1980" s="1">
        <v>20619</v>
      </c>
      <c r="B1980" s="2">
        <v>45203.95890046296</v>
      </c>
      <c r="C1980" s="1" t="s">
        <v>10</v>
      </c>
      <c r="D1980" s="1">
        <v>51</v>
      </c>
      <c r="E1980" s="1" t="s">
        <v>75</v>
      </c>
      <c r="F1980" s="59"/>
      <c r="G1980" s="32"/>
      <c r="H1980" s="32"/>
    </row>
    <row r="1981" spans="1:8" ht="15.75" customHeight="1">
      <c r="A1981" s="1">
        <v>20620</v>
      </c>
      <c r="B1981" s="2">
        <v>45204.030034722222</v>
      </c>
      <c r="C1981" s="1" t="s">
        <v>10</v>
      </c>
      <c r="D1981" s="1">
        <v>15</v>
      </c>
      <c r="E1981" s="1" t="s">
        <v>75</v>
      </c>
      <c r="F1981" s="59"/>
      <c r="G1981" s="32"/>
      <c r="H1981" s="32"/>
    </row>
    <row r="1982" spans="1:8" ht="15.75" customHeight="1">
      <c r="A1982" s="1">
        <v>20621</v>
      </c>
      <c r="B1982" s="2">
        <v>45204.040300925924</v>
      </c>
      <c r="C1982" s="1" t="s">
        <v>10</v>
      </c>
      <c r="D1982" s="1">
        <v>18</v>
      </c>
      <c r="E1982" s="1" t="s">
        <v>75</v>
      </c>
      <c r="F1982" s="59"/>
      <c r="G1982" s="32"/>
      <c r="H1982" s="32"/>
    </row>
    <row r="1983" spans="1:8" ht="15.75" customHeight="1">
      <c r="A1983" s="1">
        <v>20622</v>
      </c>
      <c r="B1983" s="2">
        <v>45204.052847222221</v>
      </c>
      <c r="C1983" s="1" t="s">
        <v>10</v>
      </c>
      <c r="D1983" s="1">
        <v>35</v>
      </c>
      <c r="E1983" s="1" t="s">
        <v>75</v>
      </c>
      <c r="F1983" s="59"/>
      <c r="G1983" s="32"/>
      <c r="H1983" s="32"/>
    </row>
    <row r="1984" spans="1:8" ht="15.75" customHeight="1">
      <c r="A1984" s="1">
        <v>20623</v>
      </c>
      <c r="B1984" s="2">
        <v>45204.062847222223</v>
      </c>
      <c r="C1984" s="1" t="s">
        <v>10</v>
      </c>
      <c r="D1984" s="1">
        <v>37</v>
      </c>
      <c r="E1984" s="1" t="s">
        <v>75</v>
      </c>
      <c r="F1984" s="59"/>
      <c r="G1984" s="32"/>
      <c r="H1984" s="32"/>
    </row>
    <row r="1985" spans="1:8" ht="15.75" customHeight="1">
      <c r="A1985" s="1">
        <v>20624</v>
      </c>
      <c r="B1985" s="2">
        <v>45204.440092592595</v>
      </c>
      <c r="C1985" s="1" t="s">
        <v>10</v>
      </c>
      <c r="D1985" s="1">
        <v>48</v>
      </c>
      <c r="E1985" s="1" t="s">
        <v>75</v>
      </c>
      <c r="F1985" s="59"/>
      <c r="G1985" s="32"/>
      <c r="H1985" s="32"/>
    </row>
    <row r="1986" spans="1:8" ht="15.75" customHeight="1">
      <c r="A1986" s="1">
        <v>20625</v>
      </c>
      <c r="B1986" s="2">
        <v>45204.489305555559</v>
      </c>
      <c r="C1986" s="1" t="s">
        <v>10</v>
      </c>
      <c r="D1986" s="1">
        <v>55</v>
      </c>
      <c r="E1986" s="1" t="s">
        <v>75</v>
      </c>
      <c r="F1986" s="59"/>
      <c r="G1986" s="32"/>
      <c r="H1986" s="32"/>
    </row>
    <row r="1987" spans="1:8" ht="15.75" customHeight="1">
      <c r="A1987" s="1">
        <v>20626</v>
      </c>
      <c r="B1987" s="2">
        <v>45204.921539351853</v>
      </c>
      <c r="C1987" s="1" t="s">
        <v>10</v>
      </c>
      <c r="D1987" s="1">
        <v>35</v>
      </c>
      <c r="E1987" s="1" t="s">
        <v>75</v>
      </c>
      <c r="F1987" s="59"/>
      <c r="G1987" s="32"/>
      <c r="H1987" s="32"/>
    </row>
    <row r="1988" spans="1:8" ht="15.75" customHeight="1">
      <c r="A1988" s="1">
        <v>20627</v>
      </c>
      <c r="B1988" s="2">
        <v>45204.928136574075</v>
      </c>
      <c r="C1988" s="1" t="s">
        <v>10</v>
      </c>
      <c r="D1988" s="1">
        <v>0</v>
      </c>
      <c r="E1988" s="1" t="s">
        <v>75</v>
      </c>
      <c r="F1988" s="59"/>
      <c r="G1988" s="32"/>
      <c r="H1988" s="32"/>
    </row>
    <row r="1989" spans="1:8" ht="15.75" customHeight="1">
      <c r="A1989" s="1">
        <v>20628</v>
      </c>
      <c r="B1989" s="2">
        <v>45204.939027777778</v>
      </c>
      <c r="C1989" s="1" t="s">
        <v>10</v>
      </c>
      <c r="D1989" s="1">
        <v>26</v>
      </c>
      <c r="E1989" s="1" t="s">
        <v>74</v>
      </c>
      <c r="F1989" s="59"/>
      <c r="G1989" s="32"/>
      <c r="H1989" s="32"/>
    </row>
    <row r="1990" spans="1:8" ht="15.75" customHeight="1">
      <c r="A1990" s="1">
        <v>20629</v>
      </c>
      <c r="B1990" s="2">
        <v>45205.127175925925</v>
      </c>
      <c r="C1990" s="1" t="s">
        <v>51</v>
      </c>
      <c r="D1990" s="1">
        <v>345</v>
      </c>
      <c r="F1990" s="59"/>
      <c r="G1990" s="32"/>
      <c r="H1990" s="32"/>
    </row>
    <row r="1991" spans="1:8" ht="15.75" customHeight="1">
      <c r="A1991" s="1">
        <v>20630</v>
      </c>
      <c r="B1991" s="2">
        <v>45205.805625000001</v>
      </c>
      <c r="C1991" s="1" t="s">
        <v>10</v>
      </c>
      <c r="D1991" s="1">
        <v>50</v>
      </c>
      <c r="E1991" s="1" t="s">
        <v>75</v>
      </c>
      <c r="F1991" s="59"/>
      <c r="G1991" s="32"/>
      <c r="H1991" s="32"/>
    </row>
    <row r="1992" spans="1:8" ht="15.75" customHeight="1">
      <c r="A1992" s="1">
        <v>20693</v>
      </c>
      <c r="B1992" s="2">
        <v>45206.847511574073</v>
      </c>
      <c r="C1992" s="1" t="s">
        <v>10</v>
      </c>
      <c r="D1992" s="1">
        <v>51</v>
      </c>
      <c r="E1992" s="1" t="s">
        <v>77</v>
      </c>
      <c r="F1992" s="59"/>
      <c r="G1992" s="32"/>
      <c r="H1992" s="32"/>
    </row>
    <row r="1993" spans="1:8" ht="15.75" customHeight="1">
      <c r="A1993" s="1">
        <v>20695</v>
      </c>
      <c r="B1993" s="2">
        <v>45207.059675925928</v>
      </c>
      <c r="C1993" s="1" t="s">
        <v>10</v>
      </c>
      <c r="D1993" s="1">
        <v>15</v>
      </c>
      <c r="E1993" s="1" t="s">
        <v>75</v>
      </c>
      <c r="F1993" s="59"/>
      <c r="G1993" s="32"/>
      <c r="H1993" s="32"/>
    </row>
    <row r="1994" spans="1:8" ht="15.75" customHeight="1">
      <c r="A1994" s="1">
        <v>20694</v>
      </c>
      <c r="B1994" s="2">
        <v>45207.057442129626</v>
      </c>
      <c r="C1994" s="1" t="s">
        <v>10</v>
      </c>
      <c r="D1994" s="1">
        <v>59</v>
      </c>
      <c r="E1994" s="1" t="s">
        <v>75</v>
      </c>
      <c r="F1994" s="59"/>
      <c r="G1994" s="32"/>
      <c r="H1994" s="32"/>
    </row>
    <row r="1995" spans="1:8" ht="15.75" customHeight="1">
      <c r="A1995" s="1">
        <v>20712</v>
      </c>
      <c r="B1995" s="2">
        <v>45207.601643518516</v>
      </c>
      <c r="C1995" s="1" t="s">
        <v>10</v>
      </c>
      <c r="D1995" s="1">
        <v>55</v>
      </c>
      <c r="E1995" s="1" t="s">
        <v>75</v>
      </c>
      <c r="F1995" s="59"/>
      <c r="G1995" s="32"/>
      <c r="H1995" s="32"/>
    </row>
    <row r="1996" spans="1:8" ht="15.75" customHeight="1">
      <c r="A1996" s="1">
        <v>20711</v>
      </c>
      <c r="B1996" s="2">
        <v>45207.599016203705</v>
      </c>
      <c r="C1996" s="1" t="s">
        <v>10</v>
      </c>
      <c r="D1996" s="1">
        <v>75</v>
      </c>
      <c r="E1996" s="1" t="s">
        <v>75</v>
      </c>
      <c r="F1996" s="59"/>
      <c r="G1996" s="32"/>
      <c r="H1996" s="32"/>
    </row>
    <row r="1997" spans="1:8" ht="15.75" customHeight="1">
      <c r="A1997" s="1">
        <v>20713</v>
      </c>
      <c r="B1997" s="2">
        <v>45207.7891087963</v>
      </c>
      <c r="C1997" s="1" t="s">
        <v>10</v>
      </c>
      <c r="D1997" s="1">
        <v>25</v>
      </c>
      <c r="E1997" s="1" t="s">
        <v>75</v>
      </c>
      <c r="F1997" s="59"/>
      <c r="G1997" s="32"/>
      <c r="H1997" s="32"/>
    </row>
    <row r="1998" spans="1:8" ht="15.75" customHeight="1">
      <c r="A1998" s="1">
        <v>20714</v>
      </c>
      <c r="B1998" s="2">
        <v>45207.857083333336</v>
      </c>
      <c r="C1998" s="1" t="s">
        <v>10</v>
      </c>
      <c r="D1998" s="1">
        <v>259</v>
      </c>
      <c r="E1998" s="1" t="s">
        <v>77</v>
      </c>
      <c r="F1998" s="59"/>
      <c r="G1998" s="32"/>
      <c r="H1998" s="32"/>
    </row>
    <row r="1999" spans="1:8" ht="15.75" customHeight="1">
      <c r="A1999" s="1">
        <v>20716</v>
      </c>
      <c r="B1999" s="2">
        <v>45207.988993055558</v>
      </c>
      <c r="C1999" s="1" t="s">
        <v>10</v>
      </c>
      <c r="D1999" s="1">
        <v>35</v>
      </c>
      <c r="E1999" s="1" t="s">
        <v>75</v>
      </c>
      <c r="F1999" s="59"/>
      <c r="G1999" s="32"/>
      <c r="H1999" s="32"/>
    </row>
    <row r="2000" spans="1:8" ht="15.75" customHeight="1">
      <c r="A2000" s="1">
        <v>20717</v>
      </c>
      <c r="B2000" s="2">
        <v>45208.025335648148</v>
      </c>
      <c r="C2000" s="1" t="s">
        <v>10</v>
      </c>
      <c r="D2000" s="1">
        <v>22</v>
      </c>
      <c r="E2000" s="1" t="s">
        <v>75</v>
      </c>
      <c r="F2000" s="59"/>
      <c r="G2000" s="32"/>
      <c r="H2000" s="32"/>
    </row>
    <row r="2001" spans="1:8" ht="15.75" customHeight="1">
      <c r="A2001" s="1">
        <v>20718</v>
      </c>
      <c r="B2001" s="2">
        <v>45209.623749999999</v>
      </c>
      <c r="C2001" s="1" t="s">
        <v>10</v>
      </c>
      <c r="D2001" s="1">
        <v>25</v>
      </c>
      <c r="E2001" s="1" t="s">
        <v>75</v>
      </c>
      <c r="F2001" s="59"/>
      <c r="G2001" s="32"/>
      <c r="H2001" s="32"/>
    </row>
    <row r="2002" spans="1:8" ht="15.75" customHeight="1">
      <c r="A2002" s="1">
        <v>20719</v>
      </c>
      <c r="B2002" s="2">
        <v>45210.750902777778</v>
      </c>
      <c r="C2002" s="1" t="s">
        <v>10</v>
      </c>
      <c r="D2002" s="1">
        <v>26</v>
      </c>
      <c r="E2002" s="1" t="s">
        <v>75</v>
      </c>
      <c r="F2002" s="59"/>
      <c r="G2002" s="32"/>
      <c r="H2002" s="32"/>
    </row>
    <row r="2003" spans="1:8" ht="15.75" customHeight="1">
      <c r="A2003" s="1">
        <v>20720</v>
      </c>
      <c r="B2003" s="2">
        <v>45211.649907407409</v>
      </c>
      <c r="C2003" s="1" t="s">
        <v>10</v>
      </c>
      <c r="D2003" s="1">
        <v>0</v>
      </c>
      <c r="E2003" s="1" t="s">
        <v>75</v>
      </c>
      <c r="F2003" s="59"/>
      <c r="G2003" s="32"/>
      <c r="H2003" s="32"/>
    </row>
    <row r="2004" spans="1:8" ht="15.75" customHeight="1">
      <c r="A2004" s="1">
        <v>20721</v>
      </c>
      <c r="B2004" s="2">
        <v>45211.897187499999</v>
      </c>
      <c r="C2004" s="1" t="s">
        <v>10</v>
      </c>
      <c r="D2004" s="1">
        <v>26</v>
      </c>
      <c r="E2004" s="1" t="s">
        <v>75</v>
      </c>
      <c r="F2004" s="59"/>
      <c r="G2004" s="32"/>
      <c r="H2004" s="32"/>
    </row>
    <row r="2005" spans="1:8" ht="15.75" customHeight="1">
      <c r="A2005" s="1">
        <v>20722</v>
      </c>
      <c r="B2005" s="2">
        <v>45211.929108796299</v>
      </c>
      <c r="C2005" s="1" t="s">
        <v>10</v>
      </c>
      <c r="D2005" s="1">
        <v>35</v>
      </c>
      <c r="E2005" s="1" t="s">
        <v>75</v>
      </c>
      <c r="F2005" s="59"/>
      <c r="G2005" s="32"/>
      <c r="H2005" s="32"/>
    </row>
    <row r="2006" spans="1:8" ht="15.75" customHeight="1">
      <c r="A2006" s="1">
        <v>20723</v>
      </c>
      <c r="B2006" s="2">
        <v>45212.614351851851</v>
      </c>
      <c r="C2006" s="1" t="s">
        <v>10</v>
      </c>
      <c r="D2006" s="1">
        <v>63</v>
      </c>
      <c r="E2006" s="1" t="s">
        <v>75</v>
      </c>
      <c r="F2006" s="59"/>
      <c r="G2006" s="32"/>
      <c r="H2006" s="32"/>
    </row>
    <row r="2007" spans="1:8" ht="15.75" customHeight="1">
      <c r="A2007" s="1">
        <v>20726</v>
      </c>
      <c r="B2007" s="2">
        <v>45213.023379629631</v>
      </c>
      <c r="C2007" s="1" t="s">
        <v>10</v>
      </c>
      <c r="D2007" s="1">
        <v>130</v>
      </c>
      <c r="E2007" s="1" t="s">
        <v>75</v>
      </c>
      <c r="F2007" s="59"/>
      <c r="G2007" s="32"/>
      <c r="H2007" s="32"/>
    </row>
    <row r="2008" spans="1:8" ht="15.75" customHeight="1">
      <c r="A2008" s="1">
        <v>20725</v>
      </c>
      <c r="B2008" s="2">
        <v>45213.022592592592</v>
      </c>
      <c r="C2008" s="1" t="s">
        <v>10</v>
      </c>
      <c r="D2008" s="1">
        <v>18</v>
      </c>
      <c r="E2008" s="1" t="s">
        <v>75</v>
      </c>
      <c r="F2008" s="59"/>
      <c r="G2008" s="32"/>
      <c r="H2008" s="32"/>
    </row>
    <row r="2009" spans="1:8" ht="15.75" customHeight="1">
      <c r="A2009" s="1">
        <v>20724</v>
      </c>
      <c r="B2009" s="2">
        <v>45213.020543981482</v>
      </c>
      <c r="C2009" s="1" t="s">
        <v>10</v>
      </c>
      <c r="D2009" s="1">
        <v>18</v>
      </c>
      <c r="E2009" s="1" t="s">
        <v>75</v>
      </c>
      <c r="F2009" s="59"/>
      <c r="G2009" s="32"/>
      <c r="H2009" s="32"/>
    </row>
    <row r="2010" spans="1:8" ht="15.75" customHeight="1">
      <c r="A2010" s="1">
        <v>20747</v>
      </c>
      <c r="B2010" s="2">
        <v>45213.134027777778</v>
      </c>
      <c r="C2010" s="1" t="s">
        <v>10</v>
      </c>
      <c r="D2010" s="1">
        <v>37</v>
      </c>
      <c r="E2010" s="1" t="s">
        <v>75</v>
      </c>
      <c r="F2010" s="59"/>
      <c r="G2010" s="32"/>
      <c r="H2010" s="32"/>
    </row>
    <row r="2011" spans="1:8" ht="15.75" customHeight="1">
      <c r="A2011" s="1">
        <v>20763</v>
      </c>
      <c r="B2011" s="2">
        <v>45213.616064814814</v>
      </c>
      <c r="C2011" s="1" t="s">
        <v>16</v>
      </c>
      <c r="D2011" s="1">
        <v>35</v>
      </c>
      <c r="E2011" s="1" t="s">
        <v>92</v>
      </c>
      <c r="F2011" s="59"/>
      <c r="G2011" s="32"/>
      <c r="H2011" s="32"/>
    </row>
    <row r="2012" spans="1:8" ht="15.75" customHeight="1">
      <c r="A2012" s="1">
        <v>20769</v>
      </c>
      <c r="B2012" s="2">
        <v>45213.622881944444</v>
      </c>
      <c r="C2012" s="1" t="s">
        <v>10</v>
      </c>
      <c r="D2012" s="1">
        <v>25</v>
      </c>
      <c r="E2012" s="1" t="s">
        <v>92</v>
      </c>
      <c r="F2012" s="59"/>
      <c r="G2012" s="32"/>
      <c r="H2012" s="32"/>
    </row>
    <row r="2013" spans="1:8" ht="15.75" customHeight="1">
      <c r="A2013" s="1">
        <v>20768</v>
      </c>
      <c r="B2013" s="2">
        <v>45213.622708333336</v>
      </c>
      <c r="C2013" s="1" t="s">
        <v>10</v>
      </c>
      <c r="D2013" s="1">
        <v>35</v>
      </c>
      <c r="E2013" s="1" t="s">
        <v>92</v>
      </c>
      <c r="F2013" s="59"/>
      <c r="G2013" s="32"/>
      <c r="H2013" s="32"/>
    </row>
    <row r="2014" spans="1:8" ht="15.75" customHeight="1">
      <c r="A2014" s="1">
        <v>20767</v>
      </c>
      <c r="B2014" s="2">
        <v>45213.620833333334</v>
      </c>
      <c r="C2014" s="1" t="s">
        <v>10</v>
      </c>
      <c r="D2014" s="1">
        <v>25</v>
      </c>
      <c r="E2014" s="1" t="s">
        <v>92</v>
      </c>
      <c r="F2014" s="59"/>
      <c r="G2014" s="32"/>
      <c r="H2014" s="32"/>
    </row>
    <row r="2015" spans="1:8" ht="15.75" customHeight="1">
      <c r="A2015" s="1">
        <v>20766</v>
      </c>
      <c r="B2015" s="2">
        <v>45213.620763888888</v>
      </c>
      <c r="C2015" s="1" t="s">
        <v>10</v>
      </c>
      <c r="D2015" s="1">
        <v>25</v>
      </c>
      <c r="E2015" s="1" t="s">
        <v>92</v>
      </c>
      <c r="F2015" s="59"/>
      <c r="G2015" s="32"/>
      <c r="H2015" s="32"/>
    </row>
    <row r="2016" spans="1:8" ht="15.75" customHeight="1">
      <c r="A2016" s="1">
        <v>20765</v>
      </c>
      <c r="B2016" s="2">
        <v>45213.619108796294</v>
      </c>
      <c r="C2016" s="1" t="s">
        <v>10</v>
      </c>
      <c r="D2016" s="1">
        <v>25</v>
      </c>
      <c r="E2016" s="1" t="s">
        <v>92</v>
      </c>
      <c r="F2016" s="59"/>
      <c r="G2016" s="32"/>
      <c r="H2016" s="32"/>
    </row>
    <row r="2017" spans="1:8" ht="15.75" customHeight="1">
      <c r="A2017" s="1">
        <v>20764</v>
      </c>
      <c r="B2017" s="2">
        <v>45213.617476851854</v>
      </c>
      <c r="C2017" s="1" t="s">
        <v>10</v>
      </c>
      <c r="D2017" s="1">
        <v>25</v>
      </c>
      <c r="E2017" s="1" t="s">
        <v>92</v>
      </c>
      <c r="F2017" s="59"/>
      <c r="G2017" s="32"/>
      <c r="H2017" s="32"/>
    </row>
    <row r="2018" spans="1:8" ht="15.75" customHeight="1">
      <c r="A2018" s="1">
        <v>20772</v>
      </c>
      <c r="B2018" s="2">
        <v>45213.63108796296</v>
      </c>
      <c r="C2018" s="1" t="s">
        <v>10</v>
      </c>
      <c r="D2018" s="1">
        <v>51</v>
      </c>
      <c r="E2018" s="1" t="s">
        <v>92</v>
      </c>
      <c r="F2018" s="59"/>
      <c r="G2018" s="32"/>
      <c r="H2018" s="32"/>
    </row>
    <row r="2019" spans="1:8" ht="15.75" customHeight="1">
      <c r="A2019" s="1">
        <v>20771</v>
      </c>
      <c r="B2019" s="2">
        <v>45213.629826388889</v>
      </c>
      <c r="C2019" s="1" t="s">
        <v>10</v>
      </c>
      <c r="D2019" s="1">
        <v>25</v>
      </c>
      <c r="E2019" s="1" t="s">
        <v>92</v>
      </c>
      <c r="F2019" s="59"/>
      <c r="G2019" s="32"/>
      <c r="H2019" s="32"/>
    </row>
    <row r="2020" spans="1:8" ht="15.75" customHeight="1">
      <c r="A2020" s="1">
        <v>20770</v>
      </c>
      <c r="B2020" s="2">
        <v>45213.624432870369</v>
      </c>
      <c r="C2020" s="1" t="s">
        <v>16</v>
      </c>
      <c r="D2020" s="1">
        <v>51</v>
      </c>
      <c r="E2020" s="1" t="s">
        <v>92</v>
      </c>
      <c r="F2020" s="59"/>
      <c r="G2020" s="32"/>
      <c r="H2020" s="32"/>
    </row>
    <row r="2021" spans="1:8" ht="15.75" customHeight="1">
      <c r="A2021" s="1">
        <v>20773</v>
      </c>
      <c r="B2021" s="2">
        <v>45213.637685185182</v>
      </c>
      <c r="C2021" s="1" t="s">
        <v>10</v>
      </c>
      <c r="D2021" s="1">
        <v>25</v>
      </c>
      <c r="E2021" s="1" t="s">
        <v>92</v>
      </c>
      <c r="F2021" s="59"/>
      <c r="G2021" s="32"/>
      <c r="H2021" s="32"/>
    </row>
    <row r="2022" spans="1:8" ht="15.75" customHeight="1">
      <c r="A2022" s="1">
        <v>20774</v>
      </c>
      <c r="B2022" s="2">
        <v>45213.643530092595</v>
      </c>
      <c r="C2022" s="1" t="s">
        <v>10</v>
      </c>
      <c r="D2022" s="1">
        <v>26</v>
      </c>
      <c r="E2022" s="1" t="s">
        <v>92</v>
      </c>
      <c r="F2022" s="59"/>
      <c r="G2022" s="32"/>
      <c r="H2022" s="32"/>
    </row>
    <row r="2023" spans="1:8" ht="15.75" customHeight="1">
      <c r="A2023" s="1">
        <v>20775</v>
      </c>
      <c r="B2023" s="2">
        <v>45213.645509259259</v>
      </c>
      <c r="C2023" s="1" t="s">
        <v>10</v>
      </c>
      <c r="D2023" s="1">
        <v>30</v>
      </c>
      <c r="E2023" s="1" t="s">
        <v>92</v>
      </c>
      <c r="F2023" s="59"/>
      <c r="G2023" s="32"/>
      <c r="H2023" s="32"/>
    </row>
    <row r="2024" spans="1:8" ht="15.75" customHeight="1">
      <c r="A2024" s="1">
        <v>20776</v>
      </c>
      <c r="B2024" s="2">
        <v>45213.653935185182</v>
      </c>
      <c r="C2024" s="1" t="s">
        <v>10</v>
      </c>
      <c r="D2024" s="1">
        <v>22</v>
      </c>
      <c r="E2024" s="1" t="s">
        <v>92</v>
      </c>
      <c r="F2024" s="59"/>
      <c r="G2024" s="32"/>
      <c r="H2024" s="32"/>
    </row>
    <row r="2025" spans="1:8" ht="15.75" customHeight="1">
      <c r="A2025" s="1">
        <v>20777</v>
      </c>
      <c r="B2025" s="2">
        <v>45213.664837962962</v>
      </c>
      <c r="C2025" s="1" t="s">
        <v>10</v>
      </c>
      <c r="D2025" s="1">
        <v>75</v>
      </c>
      <c r="E2025" s="1" t="s">
        <v>92</v>
      </c>
      <c r="F2025" s="59"/>
      <c r="G2025" s="32"/>
      <c r="H2025" s="32"/>
    </row>
    <row r="2026" spans="1:8" ht="15.75" customHeight="1">
      <c r="A2026" s="1">
        <v>20778</v>
      </c>
      <c r="B2026" s="2">
        <v>45213.668738425928</v>
      </c>
      <c r="C2026" s="1" t="s">
        <v>10</v>
      </c>
      <c r="D2026" s="1">
        <v>18</v>
      </c>
      <c r="E2026" s="1" t="s">
        <v>92</v>
      </c>
      <c r="F2026" s="59"/>
      <c r="G2026" s="32"/>
      <c r="H2026" s="32"/>
    </row>
    <row r="2027" spans="1:8" ht="15.75" customHeight="1">
      <c r="A2027" s="1">
        <v>20779</v>
      </c>
      <c r="B2027" s="2">
        <v>45213.683749999997</v>
      </c>
      <c r="C2027" s="1" t="s">
        <v>10</v>
      </c>
      <c r="D2027" s="1">
        <v>35</v>
      </c>
      <c r="E2027" s="1" t="s">
        <v>92</v>
      </c>
      <c r="F2027" s="59"/>
      <c r="G2027" s="32"/>
      <c r="H2027" s="32"/>
    </row>
    <row r="2028" spans="1:8" ht="15.75" customHeight="1">
      <c r="A2028" s="1">
        <v>20780</v>
      </c>
      <c r="B2028" s="2">
        <v>45213.717141203706</v>
      </c>
      <c r="C2028" s="1" t="s">
        <v>10</v>
      </c>
      <c r="D2028" s="1">
        <v>26</v>
      </c>
      <c r="E2028" s="1" t="s">
        <v>92</v>
      </c>
      <c r="F2028" s="59"/>
      <c r="G2028" s="32"/>
      <c r="H2028" s="32"/>
    </row>
    <row r="2029" spans="1:8" ht="15.75" customHeight="1">
      <c r="A2029" s="1">
        <v>20781</v>
      </c>
      <c r="B2029" s="2">
        <v>45213.76902777778</v>
      </c>
      <c r="C2029" s="1" t="s">
        <v>10</v>
      </c>
      <c r="D2029" s="1">
        <v>37</v>
      </c>
      <c r="E2029" s="1" t="s">
        <v>92</v>
      </c>
      <c r="F2029" s="59"/>
      <c r="G2029" s="32"/>
      <c r="H2029" s="32"/>
    </row>
    <row r="2030" spans="1:8" ht="15.75" customHeight="1">
      <c r="A2030" s="1">
        <v>20782</v>
      </c>
      <c r="B2030" s="2">
        <v>45213.776990740742</v>
      </c>
      <c r="C2030" s="1" t="s">
        <v>10</v>
      </c>
      <c r="D2030" s="1">
        <v>26</v>
      </c>
      <c r="E2030" s="1" t="s">
        <v>92</v>
      </c>
      <c r="F2030" s="59"/>
      <c r="G2030" s="32"/>
      <c r="H2030" s="32"/>
    </row>
    <row r="2031" spans="1:8" ht="15.75" customHeight="1">
      <c r="A2031" s="1">
        <v>20784</v>
      </c>
      <c r="B2031" s="2">
        <v>45213.783425925925</v>
      </c>
      <c r="C2031" s="1" t="s">
        <v>16</v>
      </c>
      <c r="D2031" s="1">
        <v>15</v>
      </c>
      <c r="E2031" s="1" t="s">
        <v>77</v>
      </c>
      <c r="F2031" s="59"/>
      <c r="G2031" s="32"/>
      <c r="H2031" s="32"/>
    </row>
    <row r="2032" spans="1:8" ht="15.75" customHeight="1">
      <c r="A2032" s="1">
        <v>20783</v>
      </c>
      <c r="B2032" s="2">
        <v>45213.779849537037</v>
      </c>
      <c r="C2032" s="1" t="s">
        <v>10</v>
      </c>
      <c r="D2032" s="1">
        <v>26</v>
      </c>
      <c r="E2032" s="1" t="s">
        <v>92</v>
      </c>
      <c r="F2032" s="59"/>
      <c r="G2032" s="32"/>
      <c r="H2032" s="32"/>
    </row>
    <row r="2033" spans="1:8" ht="15.75" customHeight="1">
      <c r="A2033" s="1">
        <v>20786</v>
      </c>
      <c r="B2033" s="2">
        <v>45213.797326388885</v>
      </c>
      <c r="C2033" s="1" t="s">
        <v>10</v>
      </c>
      <c r="D2033" s="1">
        <v>35</v>
      </c>
      <c r="E2033" s="1" t="s">
        <v>92</v>
      </c>
      <c r="F2033" s="59"/>
      <c r="G2033" s="32"/>
      <c r="H2033" s="32"/>
    </row>
    <row r="2034" spans="1:8" ht="15.75" customHeight="1">
      <c r="A2034" s="1">
        <v>20785</v>
      </c>
      <c r="B2034" s="2">
        <v>45213.792754629627</v>
      </c>
      <c r="C2034" s="1" t="s">
        <v>10</v>
      </c>
      <c r="D2034" s="1">
        <v>35</v>
      </c>
      <c r="E2034" s="1" t="s">
        <v>92</v>
      </c>
      <c r="F2034" s="59"/>
      <c r="G2034" s="32"/>
      <c r="H2034" s="32"/>
    </row>
    <row r="2035" spans="1:8" ht="15.75" customHeight="1">
      <c r="A2035" s="1">
        <v>20787</v>
      </c>
      <c r="B2035" s="2">
        <v>45213.828483796293</v>
      </c>
      <c r="C2035" s="1" t="s">
        <v>10</v>
      </c>
      <c r="D2035" s="1">
        <v>41</v>
      </c>
      <c r="E2035" s="1" t="s">
        <v>92</v>
      </c>
      <c r="F2035" s="59"/>
      <c r="G2035" s="32"/>
      <c r="H2035" s="32"/>
    </row>
    <row r="2036" spans="1:8" ht="15.75" customHeight="1">
      <c r="A2036" s="1">
        <v>20788</v>
      </c>
      <c r="B2036" s="2">
        <v>45213.841874999998</v>
      </c>
      <c r="C2036" s="1" t="s">
        <v>10</v>
      </c>
      <c r="D2036" s="1">
        <v>63</v>
      </c>
      <c r="E2036" s="1" t="s">
        <v>75</v>
      </c>
      <c r="F2036" s="59"/>
      <c r="G2036" s="32"/>
      <c r="H2036" s="32"/>
    </row>
    <row r="2037" spans="1:8" ht="15.75" customHeight="1">
      <c r="A2037" s="1">
        <v>20789</v>
      </c>
      <c r="B2037" s="2">
        <v>45213.910671296297</v>
      </c>
      <c r="C2037" s="1" t="s">
        <v>10</v>
      </c>
      <c r="D2037" s="1">
        <v>26</v>
      </c>
      <c r="E2037" s="1" t="s">
        <v>92</v>
      </c>
      <c r="F2037" s="59"/>
      <c r="G2037" s="32"/>
      <c r="H2037" s="32"/>
    </row>
    <row r="2038" spans="1:8" ht="15.75" customHeight="1">
      <c r="A2038" s="1">
        <v>20790</v>
      </c>
      <c r="B2038" s="2">
        <v>45213.980891203704</v>
      </c>
      <c r="C2038" s="1" t="s">
        <v>10</v>
      </c>
      <c r="D2038" s="1">
        <v>48</v>
      </c>
      <c r="E2038" s="1" t="s">
        <v>92</v>
      </c>
      <c r="F2038" s="59"/>
      <c r="G2038" s="32"/>
      <c r="H2038" s="32"/>
    </row>
    <row r="2039" spans="1:8" ht="15.75" customHeight="1">
      <c r="A2039" s="1">
        <v>20791</v>
      </c>
      <c r="B2039" s="2">
        <v>45214.0393287037</v>
      </c>
      <c r="C2039" s="1" t="s">
        <v>10</v>
      </c>
      <c r="D2039" s="1">
        <v>15</v>
      </c>
      <c r="E2039" s="1" t="s">
        <v>75</v>
      </c>
      <c r="F2039" s="59"/>
      <c r="G2039" s="32"/>
      <c r="H2039" s="32"/>
    </row>
    <row r="2040" spans="1:8" ht="15.75" customHeight="1">
      <c r="A2040" s="1">
        <v>20793</v>
      </c>
      <c r="B2040" s="2">
        <v>45214.044212962966</v>
      </c>
      <c r="C2040" s="1" t="s">
        <v>10</v>
      </c>
      <c r="D2040" s="1">
        <v>61</v>
      </c>
      <c r="E2040" s="1" t="s">
        <v>92</v>
      </c>
      <c r="F2040" s="59"/>
      <c r="G2040" s="32"/>
      <c r="H2040" s="32"/>
    </row>
    <row r="2041" spans="1:8" ht="15.75" customHeight="1">
      <c r="A2041" s="1">
        <v>20792</v>
      </c>
      <c r="B2041" s="2">
        <v>45214.042314814818</v>
      </c>
      <c r="C2041" s="1" t="s">
        <v>10</v>
      </c>
      <c r="D2041" s="1">
        <v>15</v>
      </c>
      <c r="E2041" s="1" t="s">
        <v>75</v>
      </c>
      <c r="F2041" s="59"/>
      <c r="G2041" s="32"/>
      <c r="H2041" s="32"/>
    </row>
    <row r="2042" spans="1:8" ht="15.75" customHeight="1">
      <c r="A2042" s="1">
        <v>20794</v>
      </c>
      <c r="B2042" s="2">
        <v>45214.441342592596</v>
      </c>
      <c r="C2042" s="1" t="s">
        <v>10</v>
      </c>
      <c r="D2042" s="1">
        <v>15</v>
      </c>
      <c r="E2042" s="1" t="s">
        <v>75</v>
      </c>
      <c r="F2042" s="59"/>
      <c r="G2042" s="32"/>
      <c r="H2042" s="32"/>
    </row>
    <row r="2043" spans="1:8" ht="15.75" customHeight="1">
      <c r="A2043" s="1">
        <v>20795</v>
      </c>
      <c r="B2043" s="2">
        <v>45214.521527777775</v>
      </c>
      <c r="C2043" s="1" t="s">
        <v>10</v>
      </c>
      <c r="D2043" s="1">
        <v>22</v>
      </c>
      <c r="E2043" s="1" t="s">
        <v>92</v>
      </c>
      <c r="F2043" s="59"/>
      <c r="G2043" s="32"/>
      <c r="H2043" s="32"/>
    </row>
    <row r="2044" spans="1:8" ht="15.75" customHeight="1">
      <c r="A2044" s="1">
        <v>20796</v>
      </c>
      <c r="B2044" s="2">
        <v>45214.535162037035</v>
      </c>
      <c r="C2044" s="1" t="s">
        <v>10</v>
      </c>
      <c r="D2044" s="1">
        <v>15</v>
      </c>
      <c r="E2044" s="1" t="s">
        <v>92</v>
      </c>
      <c r="F2044" s="59"/>
      <c r="G2044" s="32"/>
      <c r="H2044" s="32"/>
    </row>
    <row r="2045" spans="1:8" ht="15.75" customHeight="1">
      <c r="A2045" s="1">
        <v>20797</v>
      </c>
      <c r="B2045" s="2">
        <v>45214.543657407405</v>
      </c>
      <c r="C2045" s="1" t="s">
        <v>10</v>
      </c>
      <c r="D2045" s="1">
        <v>33</v>
      </c>
      <c r="E2045" s="1" t="s">
        <v>92</v>
      </c>
      <c r="F2045" s="59"/>
      <c r="G2045" s="32"/>
      <c r="H2045" s="32"/>
    </row>
    <row r="2046" spans="1:8" ht="15.75" customHeight="1">
      <c r="A2046" s="1">
        <v>20798</v>
      </c>
      <c r="B2046" s="2">
        <v>45214.565347222226</v>
      </c>
      <c r="C2046" s="1" t="s">
        <v>10</v>
      </c>
      <c r="D2046" s="1">
        <v>15</v>
      </c>
      <c r="E2046" s="1" t="s">
        <v>75</v>
      </c>
      <c r="F2046" s="59"/>
      <c r="G2046" s="32"/>
      <c r="H2046" s="32"/>
    </row>
    <row r="2047" spans="1:8" ht="15.75" customHeight="1">
      <c r="A2047" s="1">
        <v>20799</v>
      </c>
      <c r="B2047" s="2">
        <v>45214.596388888887</v>
      </c>
      <c r="C2047" s="1" t="s">
        <v>10</v>
      </c>
      <c r="D2047" s="1">
        <v>26</v>
      </c>
      <c r="E2047" s="1" t="s">
        <v>75</v>
      </c>
      <c r="F2047" s="59"/>
      <c r="G2047" s="32"/>
      <c r="H2047" s="32"/>
    </row>
    <row r="2048" spans="1:8" ht="15.75" customHeight="1">
      <c r="A2048" s="1">
        <v>20800</v>
      </c>
      <c r="B2048" s="2">
        <v>45214.618310185186</v>
      </c>
      <c r="C2048" s="1" t="s">
        <v>10</v>
      </c>
      <c r="D2048" s="1">
        <v>53</v>
      </c>
      <c r="E2048" s="1" t="s">
        <v>74</v>
      </c>
      <c r="F2048" s="59"/>
      <c r="G2048" s="32"/>
      <c r="H2048" s="32"/>
    </row>
    <row r="2049" spans="1:8" ht="15.75" customHeight="1">
      <c r="A2049" s="1">
        <v>20804</v>
      </c>
      <c r="B2049" s="2">
        <v>45214.672627314816</v>
      </c>
      <c r="C2049" s="1" t="s">
        <v>10</v>
      </c>
      <c r="D2049" s="1">
        <v>26</v>
      </c>
      <c r="E2049" s="1" t="s">
        <v>92</v>
      </c>
      <c r="F2049" s="59"/>
      <c r="G2049" s="32"/>
      <c r="H2049" s="32"/>
    </row>
    <row r="2050" spans="1:8" ht="15.75" customHeight="1">
      <c r="A2050" s="1">
        <v>20803</v>
      </c>
      <c r="B2050" s="2">
        <v>45214.670347222222</v>
      </c>
      <c r="C2050" s="1" t="s">
        <v>10</v>
      </c>
      <c r="D2050" s="1">
        <v>55</v>
      </c>
      <c r="E2050" s="1" t="s">
        <v>92</v>
      </c>
      <c r="F2050" s="59"/>
      <c r="G2050" s="32"/>
      <c r="H2050" s="32"/>
    </row>
    <row r="2051" spans="1:8" ht="15.75" customHeight="1">
      <c r="A2051" s="1">
        <v>20802</v>
      </c>
      <c r="B2051" s="2">
        <v>45214.670300925929</v>
      </c>
      <c r="C2051" s="1" t="s">
        <v>10</v>
      </c>
      <c r="D2051" s="1">
        <v>37</v>
      </c>
      <c r="E2051" s="1" t="s">
        <v>92</v>
      </c>
      <c r="F2051" s="59"/>
      <c r="G2051" s="32"/>
      <c r="H2051" s="32"/>
    </row>
    <row r="2052" spans="1:8" ht="15.75" customHeight="1">
      <c r="A2052" s="1">
        <v>20801</v>
      </c>
      <c r="B2052" s="2">
        <v>45214.666608796295</v>
      </c>
      <c r="C2052" s="1" t="s">
        <v>10</v>
      </c>
      <c r="D2052" s="1">
        <v>35</v>
      </c>
      <c r="E2052" s="1" t="s">
        <v>92</v>
      </c>
      <c r="F2052" s="59"/>
      <c r="G2052" s="32"/>
      <c r="H2052" s="32"/>
    </row>
    <row r="2053" spans="1:8" ht="15.75" customHeight="1">
      <c r="A2053" s="1">
        <v>20805</v>
      </c>
      <c r="B2053" s="2">
        <v>45214.673194444447</v>
      </c>
      <c r="C2053" s="1" t="s">
        <v>10</v>
      </c>
      <c r="D2053" s="1">
        <v>35</v>
      </c>
      <c r="E2053" s="1" t="s">
        <v>92</v>
      </c>
      <c r="F2053" s="59"/>
      <c r="G2053" s="32"/>
      <c r="H2053" s="32"/>
    </row>
    <row r="2054" spans="1:8" ht="15.75" customHeight="1">
      <c r="A2054" s="1">
        <v>20806</v>
      </c>
      <c r="B2054" s="2">
        <v>45214.680995370371</v>
      </c>
      <c r="C2054" s="1" t="s">
        <v>10</v>
      </c>
      <c r="D2054" s="1">
        <v>15</v>
      </c>
      <c r="E2054" s="1" t="s">
        <v>92</v>
      </c>
      <c r="F2054" s="59"/>
      <c r="G2054" s="32"/>
      <c r="H2054" s="32"/>
    </row>
    <row r="2055" spans="1:8" ht="15.75" customHeight="1">
      <c r="A2055" s="1">
        <v>20807</v>
      </c>
      <c r="B2055" s="2">
        <v>45214.690844907411</v>
      </c>
      <c r="C2055" s="1" t="s">
        <v>10</v>
      </c>
      <c r="D2055" s="1">
        <v>48</v>
      </c>
      <c r="E2055" s="1" t="s">
        <v>28</v>
      </c>
      <c r="F2055" s="59"/>
      <c r="G2055" s="32"/>
      <c r="H2055" s="32"/>
    </row>
    <row r="2056" spans="1:8" ht="15.75" customHeight="1">
      <c r="A2056" s="1">
        <v>20809</v>
      </c>
      <c r="B2056" s="2">
        <v>45214.706932870373</v>
      </c>
      <c r="C2056" s="1" t="s">
        <v>10</v>
      </c>
      <c r="D2056" s="1">
        <v>26</v>
      </c>
      <c r="E2056" s="1" t="s">
        <v>92</v>
      </c>
      <c r="F2056" s="59"/>
      <c r="G2056" s="32"/>
      <c r="H2056" s="32"/>
    </row>
    <row r="2057" spans="1:8" ht="15.75" customHeight="1">
      <c r="A2057" s="1">
        <v>20808</v>
      </c>
      <c r="B2057" s="2">
        <v>45214.704710648148</v>
      </c>
      <c r="C2057" s="1" t="s">
        <v>10</v>
      </c>
      <c r="D2057" s="1">
        <v>26</v>
      </c>
      <c r="E2057" s="1" t="s">
        <v>92</v>
      </c>
      <c r="F2057" s="59"/>
      <c r="G2057" s="32"/>
      <c r="H2057" s="32"/>
    </row>
    <row r="2058" spans="1:8" ht="15.75" customHeight="1">
      <c r="A2058" s="1">
        <v>20810</v>
      </c>
      <c r="B2058" s="2">
        <v>45214.720486111109</v>
      </c>
      <c r="C2058" s="1" t="s">
        <v>10</v>
      </c>
      <c r="D2058" s="1">
        <v>56</v>
      </c>
      <c r="E2058" s="1" t="s">
        <v>92</v>
      </c>
      <c r="F2058" s="59"/>
      <c r="G2058" s="32"/>
      <c r="H2058" s="32"/>
    </row>
    <row r="2059" spans="1:8" ht="15.75" customHeight="1">
      <c r="A2059" s="1">
        <v>20811</v>
      </c>
      <c r="B2059" s="2">
        <v>45214.758263888885</v>
      </c>
      <c r="C2059" s="1" t="s">
        <v>10</v>
      </c>
      <c r="D2059" s="1">
        <v>22</v>
      </c>
      <c r="E2059" s="1" t="s">
        <v>92</v>
      </c>
      <c r="F2059" s="59"/>
      <c r="G2059" s="32"/>
      <c r="H2059" s="32"/>
    </row>
    <row r="2060" spans="1:8" ht="15.75" customHeight="1">
      <c r="A2060" s="1">
        <v>20812</v>
      </c>
      <c r="B2060" s="2">
        <v>45214.781238425923</v>
      </c>
      <c r="C2060" s="1" t="s">
        <v>10</v>
      </c>
      <c r="D2060" s="1">
        <v>15</v>
      </c>
      <c r="E2060" s="1" t="s">
        <v>92</v>
      </c>
      <c r="F2060" s="59"/>
      <c r="G2060" s="32"/>
      <c r="H2060" s="32"/>
    </row>
    <row r="2061" spans="1:8" ht="15.75" customHeight="1">
      <c r="A2061" s="1">
        <v>20814</v>
      </c>
      <c r="B2061" s="2">
        <v>45214.787766203706</v>
      </c>
      <c r="C2061" s="1" t="s">
        <v>10</v>
      </c>
      <c r="D2061" s="1">
        <v>44</v>
      </c>
      <c r="E2061" s="1" t="s">
        <v>92</v>
      </c>
      <c r="F2061" s="59"/>
      <c r="G2061" s="32"/>
      <c r="H2061" s="32"/>
    </row>
    <row r="2062" spans="1:8" ht="15.75" customHeight="1">
      <c r="A2062" s="1">
        <v>20813</v>
      </c>
      <c r="B2062" s="2">
        <v>45214.78534722222</v>
      </c>
      <c r="C2062" s="1" t="s">
        <v>10</v>
      </c>
      <c r="D2062" s="1">
        <v>35</v>
      </c>
      <c r="E2062" s="1" t="s">
        <v>92</v>
      </c>
      <c r="F2062" s="59"/>
      <c r="G2062" s="32"/>
      <c r="H2062" s="32"/>
    </row>
    <row r="2063" spans="1:8" ht="15.75" customHeight="1">
      <c r="A2063" s="1">
        <v>20816</v>
      </c>
      <c r="B2063" s="2">
        <v>45214.794918981483</v>
      </c>
      <c r="C2063" s="1" t="s">
        <v>10</v>
      </c>
      <c r="D2063" s="1">
        <v>35</v>
      </c>
      <c r="E2063" s="1" t="s">
        <v>92</v>
      </c>
      <c r="F2063" s="59"/>
      <c r="G2063" s="32"/>
      <c r="H2063" s="32"/>
    </row>
    <row r="2064" spans="1:8" ht="15.75" customHeight="1">
      <c r="A2064" s="1">
        <v>20815</v>
      </c>
      <c r="B2064" s="2">
        <v>45214.792187500003</v>
      </c>
      <c r="C2064" s="1" t="s">
        <v>10</v>
      </c>
      <c r="D2064" s="1">
        <v>45</v>
      </c>
      <c r="E2064" s="1" t="s">
        <v>92</v>
      </c>
      <c r="F2064" s="59"/>
      <c r="G2064" s="32"/>
      <c r="H2064" s="32"/>
    </row>
    <row r="2065" spans="1:8" ht="15.75" customHeight="1">
      <c r="A2065" s="1">
        <v>20817</v>
      </c>
      <c r="B2065" s="2">
        <v>45214.824594907404</v>
      </c>
      <c r="C2065" s="1" t="s">
        <v>10</v>
      </c>
      <c r="D2065" s="1">
        <v>28</v>
      </c>
      <c r="E2065" s="1" t="s">
        <v>75</v>
      </c>
      <c r="F2065" s="59"/>
      <c r="G2065" s="32"/>
      <c r="H2065" s="32"/>
    </row>
    <row r="2066" spans="1:8" ht="15.75" customHeight="1">
      <c r="A2066" s="1">
        <v>20818</v>
      </c>
      <c r="B2066" s="2">
        <v>45214.849131944444</v>
      </c>
      <c r="C2066" s="1" t="s">
        <v>10</v>
      </c>
      <c r="D2066" s="1">
        <v>117</v>
      </c>
      <c r="E2066" s="1" t="s">
        <v>92</v>
      </c>
      <c r="F2066" s="59"/>
      <c r="G2066" s="32"/>
      <c r="H2066" s="32"/>
    </row>
    <row r="2067" spans="1:8" ht="15.75" customHeight="1">
      <c r="A2067" s="1">
        <v>20819</v>
      </c>
      <c r="B2067" s="2">
        <v>45214.861180555556</v>
      </c>
      <c r="C2067" s="1" t="s">
        <v>10</v>
      </c>
      <c r="D2067" s="1">
        <v>37</v>
      </c>
      <c r="E2067" s="1" t="s">
        <v>92</v>
      </c>
      <c r="F2067" s="59"/>
      <c r="G2067" s="32"/>
      <c r="H2067" s="32"/>
    </row>
    <row r="2068" spans="1:8" ht="15.75" customHeight="1">
      <c r="A2068" s="1">
        <v>20820</v>
      </c>
      <c r="B2068" s="2">
        <v>45214.882488425923</v>
      </c>
      <c r="C2068" s="1" t="s">
        <v>10</v>
      </c>
      <c r="D2068" s="1">
        <v>40</v>
      </c>
      <c r="E2068" s="1" t="s">
        <v>92</v>
      </c>
      <c r="F2068" s="59"/>
      <c r="G2068" s="32"/>
      <c r="H2068" s="32"/>
    </row>
    <row r="2069" spans="1:8" ht="15.75" customHeight="1">
      <c r="A2069" s="1">
        <v>20821</v>
      </c>
      <c r="B2069" s="2">
        <v>45214.900810185187</v>
      </c>
      <c r="C2069" s="1" t="s">
        <v>10</v>
      </c>
      <c r="D2069" s="1">
        <v>26</v>
      </c>
      <c r="E2069" s="1" t="s">
        <v>92</v>
      </c>
      <c r="F2069" s="59"/>
      <c r="G2069" s="32"/>
      <c r="H2069" s="32"/>
    </row>
    <row r="2070" spans="1:8" ht="15.75" customHeight="1">
      <c r="A2070" s="1">
        <v>20822</v>
      </c>
      <c r="B2070" s="2">
        <v>45214.910868055558</v>
      </c>
      <c r="C2070" s="1" t="s">
        <v>10</v>
      </c>
      <c r="D2070" s="1">
        <v>15</v>
      </c>
      <c r="E2070" s="1" t="s">
        <v>92</v>
      </c>
      <c r="F2070" s="59"/>
      <c r="G2070" s="32"/>
      <c r="H2070" s="32"/>
    </row>
    <row r="2071" spans="1:8" ht="15.75" customHeight="1">
      <c r="A2071" s="1">
        <v>20823</v>
      </c>
      <c r="B2071" s="2">
        <v>45214.917222222219</v>
      </c>
      <c r="C2071" s="1" t="s">
        <v>10</v>
      </c>
      <c r="D2071" s="1">
        <v>18</v>
      </c>
      <c r="E2071" s="1" t="s">
        <v>92</v>
      </c>
      <c r="F2071" s="59"/>
      <c r="G2071" s="32"/>
      <c r="H2071" s="32"/>
    </row>
    <row r="2072" spans="1:8" ht="15.75" customHeight="1">
      <c r="A2072" s="1">
        <v>20824</v>
      </c>
      <c r="B2072" s="2">
        <v>45214.923356481479</v>
      </c>
      <c r="C2072" s="1" t="s">
        <v>10</v>
      </c>
      <c r="D2072" s="1">
        <v>26</v>
      </c>
      <c r="E2072" s="1" t="s">
        <v>92</v>
      </c>
      <c r="F2072" s="59"/>
      <c r="G2072" s="32"/>
      <c r="H2072" s="32"/>
    </row>
    <row r="2073" spans="1:8" ht="15.75" customHeight="1">
      <c r="A2073" s="1">
        <v>20825</v>
      </c>
      <c r="B2073" s="2">
        <v>45215.001562500001</v>
      </c>
      <c r="C2073" s="1" t="s">
        <v>10</v>
      </c>
      <c r="D2073" s="1">
        <v>44</v>
      </c>
      <c r="E2073" s="1" t="s">
        <v>92</v>
      </c>
      <c r="F2073" s="59"/>
      <c r="G2073" s="32"/>
      <c r="H2073" s="32"/>
    </row>
    <row r="2074" spans="1:8" ht="15.75" customHeight="1">
      <c r="A2074" s="1">
        <v>20826</v>
      </c>
      <c r="B2074" s="2">
        <v>45215.032349537039</v>
      </c>
      <c r="C2074" s="1" t="s">
        <v>10</v>
      </c>
      <c r="D2074" s="1">
        <v>45</v>
      </c>
      <c r="E2074" s="1" t="s">
        <v>92</v>
      </c>
      <c r="F2074" s="59"/>
      <c r="G2074" s="32"/>
      <c r="H2074" s="32"/>
    </row>
    <row r="2075" spans="1:8" ht="15.75" customHeight="1">
      <c r="A2075" s="1">
        <v>20827</v>
      </c>
      <c r="B2075" s="2">
        <v>45215.048761574071</v>
      </c>
      <c r="C2075" s="1" t="s">
        <v>10</v>
      </c>
      <c r="D2075" s="1">
        <v>49</v>
      </c>
      <c r="E2075" s="1" t="s">
        <v>92</v>
      </c>
      <c r="F2075" s="59"/>
      <c r="G2075" s="32"/>
      <c r="H2075" s="32"/>
    </row>
    <row r="2076" spans="1:8" ht="15.75" customHeight="1">
      <c r="A2076" s="1">
        <v>20828</v>
      </c>
      <c r="B2076" s="2">
        <v>45215.065324074072</v>
      </c>
      <c r="C2076" s="1" t="s">
        <v>10</v>
      </c>
      <c r="D2076" s="1">
        <v>40</v>
      </c>
      <c r="E2076" s="1" t="s">
        <v>92</v>
      </c>
      <c r="F2076" s="59"/>
      <c r="G2076" s="32"/>
      <c r="H2076" s="32"/>
    </row>
    <row r="2077" spans="1:8" ht="15.75" customHeight="1">
      <c r="A2077" s="1">
        <v>20829</v>
      </c>
      <c r="B2077" s="2">
        <v>45215.088796296295</v>
      </c>
      <c r="C2077" s="1" t="s">
        <v>10</v>
      </c>
      <c r="D2077" s="1">
        <v>50</v>
      </c>
      <c r="E2077" s="1" t="s">
        <v>92</v>
      </c>
      <c r="F2077" s="59"/>
      <c r="G2077" s="32"/>
      <c r="H2077" s="32"/>
    </row>
    <row r="2078" spans="1:8" ht="15.75" customHeight="1">
      <c r="A2078" s="1">
        <v>20830</v>
      </c>
      <c r="B2078" s="2">
        <v>45215.619930555556</v>
      </c>
      <c r="C2078" s="1" t="s">
        <v>10</v>
      </c>
      <c r="D2078" s="1">
        <v>40</v>
      </c>
      <c r="E2078" s="1" t="s">
        <v>92</v>
      </c>
      <c r="F2078" s="59"/>
      <c r="G2078" s="32"/>
      <c r="H2078" s="32"/>
    </row>
    <row r="2079" spans="1:8" ht="15.75" customHeight="1">
      <c r="A2079" s="1">
        <v>20831</v>
      </c>
      <c r="B2079" s="2">
        <v>45215.774861111109</v>
      </c>
      <c r="C2079" s="1" t="s">
        <v>10</v>
      </c>
      <c r="D2079" s="1">
        <v>33</v>
      </c>
      <c r="E2079" s="1" t="s">
        <v>92</v>
      </c>
      <c r="F2079" s="59"/>
      <c r="G2079" s="32"/>
      <c r="H2079" s="32"/>
    </row>
    <row r="2080" spans="1:8" ht="15.75" customHeight="1">
      <c r="A2080" s="1">
        <v>20832</v>
      </c>
      <c r="B2080" s="2">
        <v>45215.826365740744</v>
      </c>
      <c r="C2080" s="1" t="s">
        <v>10</v>
      </c>
      <c r="D2080" s="1">
        <v>48</v>
      </c>
      <c r="E2080" s="1" t="s">
        <v>74</v>
      </c>
      <c r="F2080" s="59"/>
      <c r="G2080" s="32"/>
      <c r="H2080" s="32"/>
    </row>
    <row r="2081" spans="1:8" ht="15.75" customHeight="1">
      <c r="A2081" s="1">
        <v>20833</v>
      </c>
      <c r="B2081" s="2">
        <v>45215.886018518519</v>
      </c>
      <c r="C2081" s="1" t="s">
        <v>10</v>
      </c>
      <c r="D2081" s="1">
        <v>28</v>
      </c>
      <c r="E2081" s="1" t="s">
        <v>92</v>
      </c>
      <c r="F2081" s="59"/>
      <c r="G2081" s="32"/>
      <c r="H2081" s="32"/>
    </row>
    <row r="2082" spans="1:8" ht="15.75" customHeight="1">
      <c r="A2082" s="1">
        <v>20834</v>
      </c>
      <c r="B2082" s="2">
        <v>45215.937199074076</v>
      </c>
      <c r="C2082" s="1" t="s">
        <v>10</v>
      </c>
      <c r="D2082" s="1">
        <v>210</v>
      </c>
      <c r="E2082" s="1" t="s">
        <v>75</v>
      </c>
      <c r="F2082" s="59"/>
      <c r="G2082" s="32"/>
      <c r="H2082" s="32"/>
    </row>
    <row r="2083" spans="1:8" ht="15.75" customHeight="1">
      <c r="A2083" s="1">
        <v>20835</v>
      </c>
      <c r="B2083" s="2">
        <v>45215.988113425927</v>
      </c>
      <c r="C2083" s="1" t="s">
        <v>10</v>
      </c>
      <c r="D2083" s="1">
        <v>35</v>
      </c>
      <c r="E2083" s="1" t="s">
        <v>92</v>
      </c>
      <c r="F2083" s="59"/>
      <c r="G2083" s="32"/>
      <c r="H2083" s="32"/>
    </row>
    <row r="2084" spans="1:8" ht="15.75" customHeight="1">
      <c r="A2084" s="1">
        <v>20837</v>
      </c>
      <c r="B2084" s="2">
        <v>45216.032349537039</v>
      </c>
      <c r="C2084" s="1" t="s">
        <v>10</v>
      </c>
      <c r="D2084" s="1">
        <v>18</v>
      </c>
      <c r="E2084" s="1" t="s">
        <v>92</v>
      </c>
      <c r="F2084" s="59"/>
      <c r="G2084" s="32"/>
      <c r="H2084" s="32"/>
    </row>
    <row r="2085" spans="1:8" ht="15.75" customHeight="1">
      <c r="A2085" s="1">
        <v>20836</v>
      </c>
      <c r="B2085" s="2">
        <v>45216.03056712963</v>
      </c>
      <c r="C2085" s="1" t="s">
        <v>10</v>
      </c>
      <c r="D2085" s="1">
        <v>18</v>
      </c>
      <c r="E2085" s="1" t="s">
        <v>92</v>
      </c>
      <c r="F2085" s="59"/>
      <c r="G2085" s="32"/>
      <c r="H2085" s="32"/>
    </row>
    <row r="2086" spans="1:8" ht="15.75" customHeight="1">
      <c r="A2086" s="1">
        <v>20839</v>
      </c>
      <c r="B2086" s="2">
        <v>45216.067175925928</v>
      </c>
      <c r="C2086" s="1" t="s">
        <v>10</v>
      </c>
      <c r="D2086" s="1">
        <v>26</v>
      </c>
      <c r="E2086" s="1" t="s">
        <v>76</v>
      </c>
      <c r="F2086" s="59"/>
      <c r="G2086" s="32"/>
      <c r="H2086" s="32"/>
    </row>
    <row r="2087" spans="1:8" ht="15.75" customHeight="1">
      <c r="A2087" s="1">
        <v>20838</v>
      </c>
      <c r="B2087" s="2">
        <v>45216.062604166669</v>
      </c>
      <c r="C2087" s="1" t="s">
        <v>10</v>
      </c>
      <c r="D2087" s="1">
        <v>24</v>
      </c>
      <c r="E2087" s="1" t="s">
        <v>92</v>
      </c>
      <c r="F2087" s="59"/>
      <c r="G2087" s="32"/>
      <c r="H2087" s="32"/>
    </row>
    <row r="2088" spans="1:8" ht="15.75" customHeight="1">
      <c r="A2088" s="1">
        <v>20840</v>
      </c>
      <c r="B2088" s="2">
        <v>45216.06894675926</v>
      </c>
      <c r="C2088" s="1" t="s">
        <v>10</v>
      </c>
      <c r="D2088" s="1">
        <v>26</v>
      </c>
      <c r="E2088" s="1" t="s">
        <v>76</v>
      </c>
      <c r="F2088" s="59"/>
      <c r="G2088" s="32"/>
      <c r="H2088" s="32"/>
    </row>
    <row r="2089" spans="1:8" ht="15.75" customHeight="1">
      <c r="A2089" s="1">
        <v>20841</v>
      </c>
      <c r="B2089" s="2">
        <v>45216.136574074073</v>
      </c>
      <c r="C2089" s="1" t="s">
        <v>10</v>
      </c>
      <c r="D2089" s="1">
        <v>15</v>
      </c>
      <c r="E2089" s="1" t="s">
        <v>92</v>
      </c>
      <c r="F2089" s="59"/>
      <c r="G2089" s="32"/>
      <c r="H2089" s="32"/>
    </row>
    <row r="2090" spans="1:8" ht="15.75" customHeight="1">
      <c r="A2090" s="1">
        <v>20842</v>
      </c>
      <c r="B2090" s="2">
        <v>45216.773958333331</v>
      </c>
      <c r="C2090" s="1" t="s">
        <v>10</v>
      </c>
      <c r="D2090" s="1">
        <v>20</v>
      </c>
      <c r="E2090" s="1" t="s">
        <v>92</v>
      </c>
      <c r="F2090" s="59"/>
      <c r="G2090" s="32"/>
      <c r="H2090" s="32"/>
    </row>
    <row r="2091" spans="1:8" ht="15.75" customHeight="1">
      <c r="A2091" s="1">
        <v>20843</v>
      </c>
      <c r="B2091" s="2">
        <v>45216.844710648147</v>
      </c>
      <c r="C2091" s="1" t="s">
        <v>10</v>
      </c>
      <c r="D2091" s="1">
        <v>15</v>
      </c>
      <c r="E2091" s="1" t="s">
        <v>75</v>
      </c>
      <c r="F2091" s="59"/>
      <c r="G2091" s="32"/>
      <c r="H2091" s="32"/>
    </row>
    <row r="2092" spans="1:8" ht="15.75" customHeight="1">
      <c r="A2092" s="1">
        <v>20844</v>
      </c>
      <c r="B2092" s="2">
        <v>45216.967812499999</v>
      </c>
      <c r="C2092" s="1" t="s">
        <v>10</v>
      </c>
      <c r="D2092" s="1">
        <v>33</v>
      </c>
      <c r="E2092" s="1" t="s">
        <v>92</v>
      </c>
      <c r="F2092" s="59"/>
      <c r="G2092" s="32"/>
      <c r="H2092" s="32"/>
    </row>
    <row r="2093" spans="1:8" ht="15.75" customHeight="1">
      <c r="A2093" s="1">
        <v>20845</v>
      </c>
      <c r="B2093" s="2">
        <v>45217.181041666663</v>
      </c>
      <c r="C2093" s="1" t="s">
        <v>10</v>
      </c>
      <c r="D2093" s="1">
        <v>15</v>
      </c>
      <c r="E2093" s="1" t="s">
        <v>92</v>
      </c>
      <c r="F2093" s="59"/>
      <c r="G2093" s="32"/>
      <c r="H2093" s="32"/>
    </row>
    <row r="2094" spans="1:8" ht="15.75" customHeight="1">
      <c r="A2094" s="1">
        <v>20846</v>
      </c>
      <c r="B2094" s="2">
        <v>45217.517708333333</v>
      </c>
      <c r="C2094" s="1" t="s">
        <v>10</v>
      </c>
      <c r="D2094" s="1">
        <v>15</v>
      </c>
      <c r="E2094" s="1" t="s">
        <v>28</v>
      </c>
      <c r="F2094" s="59"/>
      <c r="G2094" s="32"/>
      <c r="H2094" s="32"/>
    </row>
    <row r="2095" spans="1:8" ht="15.75" customHeight="1">
      <c r="A2095" s="1">
        <v>20847</v>
      </c>
      <c r="B2095" s="2">
        <v>45217.564120370371</v>
      </c>
      <c r="C2095" s="1" t="s">
        <v>10</v>
      </c>
      <c r="D2095" s="1">
        <v>51</v>
      </c>
      <c r="E2095" s="1" t="s">
        <v>92</v>
      </c>
      <c r="F2095" s="59"/>
      <c r="G2095" s="32"/>
      <c r="H2095" s="32"/>
    </row>
    <row r="2096" spans="1:8" ht="15.75" customHeight="1">
      <c r="A2096" s="1">
        <v>20872</v>
      </c>
      <c r="B2096" s="2">
        <v>45217.748657407406</v>
      </c>
      <c r="C2096" s="1" t="s">
        <v>10</v>
      </c>
      <c r="D2096" s="1">
        <v>37</v>
      </c>
      <c r="E2096" s="1" t="s">
        <v>92</v>
      </c>
      <c r="F2096" s="59"/>
      <c r="G2096" s="32"/>
      <c r="H2096" s="32"/>
    </row>
    <row r="2097" spans="1:8" ht="15.75" customHeight="1">
      <c r="A2097" s="1">
        <v>20873</v>
      </c>
      <c r="B2097" s="2">
        <v>45218.115347222221</v>
      </c>
      <c r="C2097" s="1" t="s">
        <v>10</v>
      </c>
      <c r="D2097" s="1">
        <v>100</v>
      </c>
      <c r="E2097" s="1" t="s">
        <v>77</v>
      </c>
      <c r="F2097" s="59"/>
      <c r="G2097" s="32"/>
      <c r="H2097" s="32"/>
    </row>
    <row r="2098" spans="1:8" ht="15.75" customHeight="1">
      <c r="A2098" s="1">
        <v>20875</v>
      </c>
      <c r="B2098" s="2">
        <v>45218.428043981483</v>
      </c>
      <c r="C2098" s="1" t="s">
        <v>10</v>
      </c>
      <c r="D2098" s="1">
        <v>50</v>
      </c>
      <c r="E2098" s="1" t="s">
        <v>92</v>
      </c>
      <c r="F2098" s="59"/>
      <c r="G2098" s="32"/>
      <c r="H2098" s="32"/>
    </row>
    <row r="2099" spans="1:8" ht="15.75" customHeight="1">
      <c r="A2099" s="1">
        <v>20876</v>
      </c>
      <c r="B2099" s="2">
        <v>45218.930509259262</v>
      </c>
      <c r="C2099" s="1" t="s">
        <v>10</v>
      </c>
      <c r="D2099" s="1">
        <v>25</v>
      </c>
      <c r="E2099" s="1" t="s">
        <v>28</v>
      </c>
      <c r="F2099" s="59"/>
      <c r="G2099" s="32"/>
      <c r="H2099" s="32"/>
    </row>
    <row r="2100" spans="1:8" ht="15.75" customHeight="1">
      <c r="A2100" s="1">
        <v>20877</v>
      </c>
      <c r="B2100" s="2">
        <v>45219.03019675926</v>
      </c>
      <c r="C2100" s="1" t="s">
        <v>10</v>
      </c>
      <c r="D2100" s="1">
        <v>60</v>
      </c>
      <c r="E2100" s="1" t="s">
        <v>92</v>
      </c>
      <c r="F2100" s="59"/>
      <c r="G2100" s="32"/>
      <c r="H2100" s="32"/>
    </row>
    <row r="2101" spans="1:8" ht="15.75" customHeight="1">
      <c r="A2101" s="1">
        <v>20878</v>
      </c>
      <c r="B2101" s="2">
        <v>45219.047592592593</v>
      </c>
      <c r="C2101" s="1" t="s">
        <v>10</v>
      </c>
      <c r="D2101" s="1">
        <v>25</v>
      </c>
      <c r="E2101" s="1" t="s">
        <v>92</v>
      </c>
      <c r="F2101" s="59"/>
      <c r="G2101" s="32"/>
      <c r="H2101" s="32"/>
    </row>
    <row r="2102" spans="1:8" ht="15.75" customHeight="1">
      <c r="A2102" s="1">
        <v>20879</v>
      </c>
      <c r="B2102" s="2">
        <v>45219.188807870371</v>
      </c>
      <c r="C2102" s="1" t="s">
        <v>10</v>
      </c>
      <c r="D2102" s="1">
        <v>15</v>
      </c>
      <c r="E2102" s="1" t="s">
        <v>92</v>
      </c>
      <c r="F2102" s="59"/>
      <c r="G2102" s="32"/>
      <c r="H2102" s="32"/>
    </row>
    <row r="2103" spans="1:8" ht="15.75" customHeight="1">
      <c r="A2103" s="1">
        <v>20880</v>
      </c>
      <c r="B2103" s="2">
        <v>45219.670185185183</v>
      </c>
      <c r="C2103" s="1" t="s">
        <v>10</v>
      </c>
      <c r="D2103" s="1">
        <v>35</v>
      </c>
      <c r="E2103" s="1" t="s">
        <v>50</v>
      </c>
      <c r="F2103" s="59"/>
      <c r="G2103" s="32"/>
      <c r="H2103" s="32"/>
    </row>
    <row r="2104" spans="1:8" ht="15.75" customHeight="1">
      <c r="A2104" s="1">
        <v>20883</v>
      </c>
      <c r="B2104" s="2">
        <v>45220.37023148148</v>
      </c>
      <c r="C2104" s="1" t="s">
        <v>10</v>
      </c>
      <c r="D2104" s="1">
        <v>35</v>
      </c>
      <c r="E2104" s="1" t="s">
        <v>50</v>
      </c>
      <c r="F2104" s="59"/>
      <c r="G2104" s="32"/>
      <c r="H2104" s="32"/>
    </row>
    <row r="2105" spans="1:8" ht="15.75" customHeight="1">
      <c r="A2105" s="1">
        <v>20884</v>
      </c>
      <c r="B2105" s="2">
        <v>45220.681666666664</v>
      </c>
      <c r="C2105" s="1" t="s">
        <v>10</v>
      </c>
      <c r="D2105" s="1">
        <v>65</v>
      </c>
      <c r="E2105" s="1" t="s">
        <v>92</v>
      </c>
      <c r="F2105" s="59"/>
      <c r="G2105" s="32"/>
      <c r="H2105" s="32"/>
    </row>
    <row r="2106" spans="1:8" ht="15.75" customHeight="1">
      <c r="A2106" s="1">
        <v>20942</v>
      </c>
      <c r="B2106" s="2">
        <v>45220.94195601852</v>
      </c>
      <c r="C2106" s="1" t="s">
        <v>10</v>
      </c>
      <c r="D2106" s="1">
        <v>35</v>
      </c>
      <c r="E2106" s="1" t="s">
        <v>92</v>
      </c>
      <c r="F2106" s="59"/>
      <c r="G2106" s="32"/>
      <c r="H2106" s="32"/>
    </row>
    <row r="2107" spans="1:8" ht="15.75" customHeight="1">
      <c r="A2107" s="1">
        <v>20943</v>
      </c>
      <c r="B2107" s="2">
        <v>45221.633009259262</v>
      </c>
      <c r="C2107" s="1" t="s">
        <v>10</v>
      </c>
      <c r="D2107" s="1">
        <v>43</v>
      </c>
      <c r="E2107" s="1" t="s">
        <v>75</v>
      </c>
      <c r="F2107" s="59"/>
      <c r="G2107" s="32"/>
      <c r="H2107" s="32"/>
    </row>
    <row r="2108" spans="1:8" ht="15.75" customHeight="1">
      <c r="A2108" s="1">
        <v>20944</v>
      </c>
      <c r="B2108" s="2">
        <v>45221.737025462964</v>
      </c>
      <c r="C2108" s="1" t="s">
        <v>10</v>
      </c>
      <c r="D2108" s="1">
        <v>35</v>
      </c>
      <c r="E2108" s="1" t="s">
        <v>92</v>
      </c>
      <c r="F2108" s="59"/>
      <c r="G2108" s="32"/>
      <c r="H2108" s="32"/>
    </row>
    <row r="2109" spans="1:8" ht="15.75" customHeight="1">
      <c r="A2109" s="1">
        <v>20946</v>
      </c>
      <c r="B2109" s="2">
        <v>45221.808969907404</v>
      </c>
      <c r="C2109" s="1" t="s">
        <v>10</v>
      </c>
      <c r="D2109" s="1">
        <v>108</v>
      </c>
      <c r="E2109" s="1" t="s">
        <v>50</v>
      </c>
      <c r="F2109" s="59"/>
      <c r="G2109" s="32"/>
      <c r="H2109" s="32"/>
    </row>
    <row r="2110" spans="1:8" ht="15.75" customHeight="1">
      <c r="A2110" s="1">
        <v>20945</v>
      </c>
      <c r="B2110" s="2">
        <v>45221.808530092596</v>
      </c>
      <c r="C2110" s="1" t="s">
        <v>10</v>
      </c>
      <c r="D2110" s="1">
        <v>53</v>
      </c>
      <c r="E2110" s="1" t="s">
        <v>50</v>
      </c>
      <c r="F2110" s="59"/>
      <c r="G2110" s="32"/>
      <c r="H2110" s="32"/>
    </row>
    <row r="2111" spans="1:8" ht="15.75" customHeight="1">
      <c r="A2111" s="1">
        <v>20947</v>
      </c>
      <c r="B2111" s="2">
        <v>45221.81590277778</v>
      </c>
      <c r="C2111" s="1" t="s">
        <v>10</v>
      </c>
      <c r="D2111" s="1">
        <v>53</v>
      </c>
      <c r="E2111" s="1" t="s">
        <v>50</v>
      </c>
      <c r="F2111" s="59"/>
      <c r="G2111" s="32"/>
      <c r="H2111" s="32"/>
    </row>
    <row r="2112" spans="1:8" ht="15.75" customHeight="1">
      <c r="A2112" s="1">
        <v>20948</v>
      </c>
      <c r="B2112" s="2">
        <v>45221.830601851849</v>
      </c>
      <c r="C2112" s="1" t="s">
        <v>10</v>
      </c>
      <c r="D2112" s="1">
        <v>20</v>
      </c>
      <c r="E2112" s="1" t="s">
        <v>75</v>
      </c>
      <c r="F2112" s="59"/>
      <c r="G2112" s="32"/>
      <c r="H2112" s="32"/>
    </row>
    <row r="2113" spans="1:8" ht="15.75" customHeight="1">
      <c r="A2113" s="1">
        <v>20949</v>
      </c>
      <c r="B2113" s="2">
        <v>45221.857199074075</v>
      </c>
      <c r="C2113" s="1" t="s">
        <v>10</v>
      </c>
      <c r="D2113" s="1">
        <v>26</v>
      </c>
      <c r="E2113" s="1" t="s">
        <v>92</v>
      </c>
      <c r="F2113" s="59"/>
      <c r="G2113" s="32"/>
      <c r="H2113" s="32"/>
    </row>
    <row r="2114" spans="1:8" ht="15.75" customHeight="1">
      <c r="A2114" s="1">
        <v>20950</v>
      </c>
      <c r="B2114" s="2">
        <v>45222.041770833333</v>
      </c>
      <c r="C2114" s="1" t="s">
        <v>10</v>
      </c>
      <c r="D2114" s="1">
        <v>81</v>
      </c>
      <c r="E2114" s="1" t="s">
        <v>50</v>
      </c>
      <c r="F2114" s="59"/>
      <c r="G2114" s="32"/>
      <c r="H2114" s="32"/>
    </row>
    <row r="2115" spans="1:8" ht="15.75" customHeight="1">
      <c r="A2115" s="1">
        <v>20951</v>
      </c>
      <c r="B2115" s="2">
        <v>45222.125023148146</v>
      </c>
      <c r="C2115" s="1" t="s">
        <v>10</v>
      </c>
      <c r="D2115" s="1">
        <v>25</v>
      </c>
      <c r="E2115" s="1" t="s">
        <v>50</v>
      </c>
      <c r="F2115" s="59"/>
      <c r="G2115" s="32"/>
      <c r="H2115" s="32"/>
    </row>
    <row r="2116" spans="1:8" ht="15.75" customHeight="1">
      <c r="A2116" s="1">
        <v>20952</v>
      </c>
      <c r="B2116" s="2">
        <v>45222.569074074076</v>
      </c>
      <c r="C2116" s="1" t="s">
        <v>10</v>
      </c>
      <c r="D2116" s="1">
        <v>25</v>
      </c>
      <c r="E2116" s="1" t="s">
        <v>50</v>
      </c>
      <c r="F2116" s="59"/>
      <c r="G2116" s="32"/>
      <c r="H2116" s="32"/>
    </row>
    <row r="2117" spans="1:8" ht="15.75" customHeight="1">
      <c r="A2117" s="1">
        <v>20953</v>
      </c>
      <c r="B2117" s="2">
        <v>45222.747199074074</v>
      </c>
      <c r="C2117" s="1" t="s">
        <v>10</v>
      </c>
      <c r="D2117" s="1">
        <v>26</v>
      </c>
      <c r="E2117" s="1" t="s">
        <v>50</v>
      </c>
      <c r="F2117" s="59"/>
      <c r="G2117" s="32"/>
      <c r="H2117" s="32"/>
    </row>
    <row r="2118" spans="1:8" ht="15.75" customHeight="1">
      <c r="A2118" s="1">
        <v>20957</v>
      </c>
      <c r="B2118" s="2">
        <v>45222.839479166665</v>
      </c>
      <c r="C2118" s="1" t="s">
        <v>10</v>
      </c>
      <c r="D2118" s="1">
        <v>26</v>
      </c>
      <c r="E2118" s="1" t="s">
        <v>50</v>
      </c>
      <c r="F2118" s="59"/>
      <c r="G2118" s="32"/>
      <c r="H2118" s="32"/>
    </row>
    <row r="2119" spans="1:8" ht="15.75" customHeight="1">
      <c r="A2119" s="1">
        <v>20956</v>
      </c>
      <c r="B2119" s="2">
        <v>45222.836504629631</v>
      </c>
      <c r="C2119" s="1" t="s">
        <v>10</v>
      </c>
      <c r="D2119" s="1">
        <v>20</v>
      </c>
      <c r="E2119" s="1" t="s">
        <v>50</v>
      </c>
      <c r="F2119" s="59"/>
      <c r="G2119" s="32"/>
      <c r="H2119" s="32"/>
    </row>
    <row r="2120" spans="1:8" ht="15.75" customHeight="1">
      <c r="A2120" s="1">
        <v>20955</v>
      </c>
      <c r="B2120" s="2">
        <v>45222.835023148145</v>
      </c>
      <c r="C2120" s="1" t="s">
        <v>10</v>
      </c>
      <c r="D2120" s="1">
        <v>26</v>
      </c>
      <c r="E2120" s="1" t="s">
        <v>50</v>
      </c>
      <c r="F2120" s="59"/>
      <c r="G2120" s="32"/>
      <c r="H2120" s="32"/>
    </row>
    <row r="2121" spans="1:8" ht="15.75" customHeight="1">
      <c r="A2121" s="1">
        <v>20954</v>
      </c>
      <c r="B2121" s="2">
        <v>45222.833090277774</v>
      </c>
      <c r="C2121" s="1" t="s">
        <v>16</v>
      </c>
      <c r="D2121" s="1">
        <v>20</v>
      </c>
      <c r="E2121" s="1" t="s">
        <v>50</v>
      </c>
      <c r="F2121" s="59"/>
      <c r="G2121" s="32"/>
      <c r="H2121" s="32"/>
    </row>
    <row r="2122" spans="1:8" ht="15.75" customHeight="1">
      <c r="A2122" s="1">
        <v>20958</v>
      </c>
      <c r="B2122" s="2">
        <v>45222.859791666669</v>
      </c>
      <c r="C2122" s="1" t="s">
        <v>10</v>
      </c>
      <c r="D2122" s="1">
        <v>46</v>
      </c>
      <c r="E2122" s="1" t="s">
        <v>50</v>
      </c>
      <c r="F2122" s="59"/>
      <c r="G2122" s="32"/>
      <c r="H2122" s="32"/>
    </row>
    <row r="2123" spans="1:8" ht="15.75" customHeight="1">
      <c r="A2123" s="1">
        <v>20960</v>
      </c>
      <c r="B2123" s="2">
        <v>45222.8752662037</v>
      </c>
      <c r="C2123" s="1" t="s">
        <v>10</v>
      </c>
      <c r="D2123" s="1">
        <v>35</v>
      </c>
      <c r="E2123" s="1" t="s">
        <v>50</v>
      </c>
      <c r="F2123" s="59"/>
      <c r="G2123" s="32"/>
      <c r="H2123" s="32"/>
    </row>
    <row r="2124" spans="1:8" ht="15.75" customHeight="1">
      <c r="A2124" s="1">
        <v>20959</v>
      </c>
      <c r="B2124" s="2">
        <v>45222.875092592592</v>
      </c>
      <c r="C2124" s="1" t="s">
        <v>10</v>
      </c>
      <c r="D2124" s="1">
        <v>28</v>
      </c>
      <c r="E2124" s="1" t="s">
        <v>50</v>
      </c>
      <c r="F2124" s="59"/>
      <c r="G2124" s="32"/>
      <c r="H2124" s="32"/>
    </row>
    <row r="2125" spans="1:8" ht="15.75" customHeight="1">
      <c r="A2125" s="1">
        <v>20962</v>
      </c>
      <c r="B2125" s="2">
        <v>45222.892800925925</v>
      </c>
      <c r="C2125" s="1" t="s">
        <v>10</v>
      </c>
      <c r="D2125" s="1">
        <v>25</v>
      </c>
      <c r="E2125" s="1" t="s">
        <v>50</v>
      </c>
      <c r="F2125" s="59"/>
      <c r="G2125" s="32"/>
      <c r="H2125" s="32"/>
    </row>
    <row r="2126" spans="1:8" ht="15.75" customHeight="1">
      <c r="A2126" s="1">
        <v>20961</v>
      </c>
      <c r="B2126" s="2">
        <v>45222.890810185185</v>
      </c>
      <c r="C2126" s="1" t="s">
        <v>10</v>
      </c>
      <c r="D2126" s="1">
        <v>25</v>
      </c>
      <c r="E2126" s="1" t="s">
        <v>50</v>
      </c>
      <c r="F2126" s="59"/>
      <c r="G2126" s="32"/>
      <c r="H2126" s="32"/>
    </row>
    <row r="2127" spans="1:8" ht="15.75" customHeight="1">
      <c r="A2127" s="1">
        <v>20963</v>
      </c>
      <c r="B2127" s="2">
        <v>45222.895694444444</v>
      </c>
      <c r="C2127" s="1" t="s">
        <v>10</v>
      </c>
      <c r="D2127" s="1">
        <v>26</v>
      </c>
      <c r="E2127" s="1" t="s">
        <v>50</v>
      </c>
      <c r="F2127" s="59"/>
      <c r="G2127" s="32"/>
      <c r="H2127" s="32"/>
    </row>
    <row r="2128" spans="1:8" ht="15.75" customHeight="1">
      <c r="A2128" s="1">
        <v>20964</v>
      </c>
      <c r="B2128" s="2">
        <v>45222.909259259257</v>
      </c>
      <c r="C2128" s="1" t="s">
        <v>10</v>
      </c>
      <c r="D2128" s="1">
        <v>25</v>
      </c>
      <c r="E2128" s="1" t="s">
        <v>50</v>
      </c>
      <c r="F2128" s="59"/>
      <c r="G2128" s="32"/>
      <c r="H2128" s="32"/>
    </row>
    <row r="2129" spans="1:8" ht="15.75" customHeight="1">
      <c r="A2129" s="1">
        <v>20966</v>
      </c>
      <c r="B2129" s="2">
        <v>45222.920740740738</v>
      </c>
      <c r="C2129" s="1" t="s">
        <v>10</v>
      </c>
      <c r="D2129" s="1">
        <v>26</v>
      </c>
      <c r="E2129" s="1" t="s">
        <v>50</v>
      </c>
      <c r="F2129" s="59"/>
      <c r="G2129" s="32"/>
      <c r="H2129" s="32"/>
    </row>
    <row r="2130" spans="1:8" ht="15.75" customHeight="1">
      <c r="A2130" s="1">
        <v>20965</v>
      </c>
      <c r="B2130" s="2">
        <v>45222.919189814813</v>
      </c>
      <c r="C2130" s="1" t="s">
        <v>10</v>
      </c>
      <c r="D2130" s="1">
        <v>37</v>
      </c>
      <c r="E2130" s="1" t="s">
        <v>50</v>
      </c>
      <c r="F2130" s="59"/>
      <c r="G2130" s="32"/>
      <c r="H2130" s="32"/>
    </row>
    <row r="2131" spans="1:8" ht="15.75" customHeight="1">
      <c r="A2131" s="1">
        <v>20967</v>
      </c>
      <c r="B2131" s="2">
        <v>45222.956377314818</v>
      </c>
      <c r="C2131" s="1" t="s">
        <v>10</v>
      </c>
      <c r="D2131" s="1">
        <v>54</v>
      </c>
      <c r="E2131" s="1" t="s">
        <v>50</v>
      </c>
      <c r="F2131" s="59"/>
      <c r="G2131" s="32"/>
      <c r="H2131" s="32"/>
    </row>
    <row r="2132" spans="1:8" ht="15.75" customHeight="1">
      <c r="A2132" s="1">
        <v>20968</v>
      </c>
      <c r="B2132" s="2">
        <v>45222.957824074074</v>
      </c>
      <c r="C2132" s="1" t="s">
        <v>10</v>
      </c>
      <c r="D2132" s="1">
        <v>81</v>
      </c>
      <c r="E2132" s="1" t="s">
        <v>50</v>
      </c>
      <c r="F2132" s="59"/>
      <c r="G2132" s="32"/>
      <c r="H2132" s="32"/>
    </row>
    <row r="2133" spans="1:8" ht="15.75" customHeight="1">
      <c r="A2133" s="1">
        <v>20969</v>
      </c>
      <c r="B2133" s="2">
        <v>45222.989421296297</v>
      </c>
      <c r="C2133" s="1" t="s">
        <v>10</v>
      </c>
      <c r="D2133" s="1">
        <v>81</v>
      </c>
      <c r="E2133" s="1" t="s">
        <v>50</v>
      </c>
      <c r="F2133" s="59"/>
      <c r="G2133" s="32"/>
      <c r="H2133" s="32"/>
    </row>
    <row r="2134" spans="1:8" ht="15.75" customHeight="1">
      <c r="A2134" s="1">
        <v>20970</v>
      </c>
      <c r="B2134" s="2">
        <v>45223.016875000001</v>
      </c>
      <c r="C2134" s="1" t="s">
        <v>16</v>
      </c>
      <c r="D2134" s="1">
        <v>25</v>
      </c>
      <c r="E2134" s="1" t="s">
        <v>50</v>
      </c>
      <c r="F2134" s="59"/>
      <c r="G2134" s="32"/>
      <c r="H2134" s="32"/>
    </row>
    <row r="2135" spans="1:8" ht="15.75" customHeight="1">
      <c r="A2135" s="1">
        <v>20971</v>
      </c>
      <c r="B2135" s="2">
        <v>45223.806215277778</v>
      </c>
      <c r="C2135" s="1" t="s">
        <v>10</v>
      </c>
      <c r="D2135" s="1">
        <v>28</v>
      </c>
      <c r="E2135" s="1" t="s">
        <v>50</v>
      </c>
      <c r="F2135" s="59"/>
      <c r="G2135" s="32"/>
      <c r="H2135" s="32"/>
    </row>
    <row r="2136" spans="1:8" ht="15.75" customHeight="1">
      <c r="A2136" s="1">
        <v>20972</v>
      </c>
      <c r="B2136" s="2">
        <v>45223.832997685182</v>
      </c>
      <c r="C2136" s="1" t="s">
        <v>10</v>
      </c>
      <c r="D2136" s="1">
        <v>83</v>
      </c>
      <c r="E2136" s="1" t="s">
        <v>50</v>
      </c>
      <c r="F2136" s="59"/>
      <c r="G2136" s="32"/>
      <c r="H2136" s="32"/>
    </row>
    <row r="2137" spans="1:8" ht="15.75" customHeight="1">
      <c r="A2137" s="1">
        <v>20973</v>
      </c>
      <c r="B2137" s="2">
        <v>45223.84002314815</v>
      </c>
      <c r="C2137" s="1" t="s">
        <v>10</v>
      </c>
      <c r="D2137" s="1">
        <v>63</v>
      </c>
      <c r="E2137" s="1" t="s">
        <v>50</v>
      </c>
      <c r="F2137" s="59"/>
      <c r="G2137" s="32"/>
      <c r="H2137" s="32"/>
    </row>
    <row r="2138" spans="1:8" ht="15.75" customHeight="1">
      <c r="A2138" s="1">
        <v>20974</v>
      </c>
      <c r="B2138" s="2">
        <v>45223.877789351849</v>
      </c>
      <c r="C2138" s="1" t="s">
        <v>10</v>
      </c>
      <c r="D2138" s="1">
        <v>35</v>
      </c>
      <c r="E2138" s="1" t="s">
        <v>50</v>
      </c>
      <c r="F2138" s="59"/>
      <c r="G2138" s="32"/>
      <c r="H2138" s="32"/>
    </row>
    <row r="2139" spans="1:8" ht="15.75" customHeight="1">
      <c r="A2139" s="1">
        <v>20975</v>
      </c>
      <c r="B2139" s="2">
        <v>45223.883275462962</v>
      </c>
      <c r="C2139" s="1" t="s">
        <v>10</v>
      </c>
      <c r="D2139" s="1">
        <v>41</v>
      </c>
      <c r="E2139" s="1" t="s">
        <v>50</v>
      </c>
      <c r="F2139" s="59"/>
      <c r="G2139" s="32"/>
      <c r="H2139" s="32"/>
    </row>
    <row r="2140" spans="1:8" ht="15.75" customHeight="1">
      <c r="A2140" s="1">
        <v>20976</v>
      </c>
      <c r="B2140" s="2">
        <v>45223.895416666666</v>
      </c>
      <c r="C2140" s="1" t="s">
        <v>10</v>
      </c>
      <c r="D2140" s="1">
        <v>18</v>
      </c>
      <c r="E2140" s="1" t="s">
        <v>92</v>
      </c>
      <c r="F2140" s="59"/>
      <c r="G2140" s="32"/>
      <c r="H2140" s="32"/>
    </row>
    <row r="2141" spans="1:8" ht="15.75" customHeight="1">
      <c r="A2141" s="1">
        <v>20977</v>
      </c>
      <c r="B2141" s="2">
        <v>45223.935694444444</v>
      </c>
      <c r="C2141" s="1" t="s">
        <v>10</v>
      </c>
      <c r="D2141" s="1">
        <v>35</v>
      </c>
      <c r="E2141" s="1" t="s">
        <v>50</v>
      </c>
      <c r="F2141" s="59"/>
      <c r="G2141" s="32"/>
      <c r="H2141" s="32"/>
    </row>
    <row r="2142" spans="1:8" ht="15.75" customHeight="1">
      <c r="A2142" s="1">
        <v>20978</v>
      </c>
      <c r="B2142" s="2">
        <v>45223.955937500003</v>
      </c>
      <c r="C2142" s="1" t="s">
        <v>10</v>
      </c>
      <c r="D2142" s="1">
        <v>35</v>
      </c>
      <c r="E2142" s="1" t="s">
        <v>50</v>
      </c>
      <c r="F2142" s="59"/>
      <c r="G2142" s="32"/>
      <c r="H2142" s="32"/>
    </row>
    <row r="2143" spans="1:8" ht="15.75" customHeight="1">
      <c r="A2143" s="1">
        <v>20979</v>
      </c>
      <c r="B2143" s="2">
        <v>45223.969756944447</v>
      </c>
      <c r="C2143" s="1" t="s">
        <v>10</v>
      </c>
      <c r="D2143" s="1">
        <v>25</v>
      </c>
      <c r="E2143" s="1" t="s">
        <v>50</v>
      </c>
      <c r="F2143" s="59"/>
      <c r="G2143" s="32"/>
      <c r="H2143" s="32"/>
    </row>
    <row r="2144" spans="1:8" ht="15.75" customHeight="1">
      <c r="A2144" s="1">
        <v>20981</v>
      </c>
      <c r="B2144" s="2">
        <v>45223.977465277778</v>
      </c>
      <c r="C2144" s="1" t="s">
        <v>5</v>
      </c>
      <c r="D2144" s="1">
        <v>35</v>
      </c>
      <c r="E2144" s="1" t="s">
        <v>50</v>
      </c>
      <c r="F2144" s="59"/>
      <c r="G2144" s="32"/>
      <c r="H2144" s="32"/>
    </row>
    <row r="2145" spans="1:8" ht="15.75" customHeight="1">
      <c r="A2145" s="1">
        <v>20980</v>
      </c>
      <c r="B2145" s="2">
        <v>45223.975046296298</v>
      </c>
      <c r="C2145" s="1" t="s">
        <v>10</v>
      </c>
      <c r="D2145" s="1">
        <v>26</v>
      </c>
      <c r="E2145" s="1" t="s">
        <v>92</v>
      </c>
      <c r="F2145" s="59"/>
      <c r="G2145" s="32"/>
      <c r="H2145" s="32"/>
    </row>
    <row r="2146" spans="1:8" ht="15.75" customHeight="1">
      <c r="A2146" s="1">
        <v>20982</v>
      </c>
      <c r="B2146" s="2">
        <v>45223.988900462966</v>
      </c>
      <c r="C2146" s="1" t="s">
        <v>10</v>
      </c>
      <c r="D2146" s="1">
        <v>47</v>
      </c>
      <c r="E2146" s="1" t="s">
        <v>50</v>
      </c>
      <c r="F2146" s="59"/>
      <c r="G2146" s="32"/>
      <c r="H2146" s="32"/>
    </row>
    <row r="2147" spans="1:8" ht="15.75" customHeight="1">
      <c r="A2147" s="1">
        <v>20983</v>
      </c>
      <c r="B2147" s="2">
        <v>45223.995243055557</v>
      </c>
      <c r="C2147" s="1" t="s">
        <v>10</v>
      </c>
      <c r="D2147" s="1">
        <v>25</v>
      </c>
      <c r="E2147" s="1" t="s">
        <v>50</v>
      </c>
      <c r="F2147" s="59"/>
      <c r="G2147" s="32"/>
      <c r="H2147" s="32"/>
    </row>
    <row r="2148" spans="1:8" ht="15.75" customHeight="1">
      <c r="A2148" s="1">
        <v>20984</v>
      </c>
      <c r="B2148" s="2">
        <v>45224.00267361111</v>
      </c>
      <c r="C2148" s="1" t="s">
        <v>10</v>
      </c>
      <c r="D2148" s="1">
        <v>15</v>
      </c>
      <c r="E2148" s="1" t="s">
        <v>50</v>
      </c>
      <c r="F2148" s="59"/>
      <c r="G2148" s="32"/>
      <c r="H2148" s="32"/>
    </row>
    <row r="2149" spans="1:8" ht="15.75" customHeight="1">
      <c r="A2149" s="1">
        <v>20985</v>
      </c>
      <c r="B2149" s="2">
        <v>45224.059120370373</v>
      </c>
      <c r="C2149" s="1" t="s">
        <v>10</v>
      </c>
      <c r="D2149" s="1">
        <v>61</v>
      </c>
      <c r="E2149" s="1" t="s">
        <v>50</v>
      </c>
      <c r="F2149" s="59"/>
      <c r="G2149" s="32"/>
      <c r="H2149" s="32"/>
    </row>
    <row r="2150" spans="1:8" ht="15.75" customHeight="1">
      <c r="A2150" s="1">
        <v>20986</v>
      </c>
      <c r="B2150" s="2">
        <v>45224.195115740738</v>
      </c>
      <c r="C2150" s="1" t="s">
        <v>10</v>
      </c>
      <c r="D2150" s="1">
        <v>25</v>
      </c>
      <c r="E2150" s="1" t="s">
        <v>50</v>
      </c>
      <c r="F2150" s="59"/>
      <c r="G2150" s="32"/>
      <c r="H2150" s="32"/>
    </row>
    <row r="2151" spans="1:8" ht="15.75" customHeight="1">
      <c r="A2151" s="1">
        <v>20987</v>
      </c>
      <c r="B2151" s="2">
        <v>45224.470613425925</v>
      </c>
      <c r="C2151" s="1" t="s">
        <v>10</v>
      </c>
      <c r="D2151" s="1">
        <v>50</v>
      </c>
      <c r="E2151" s="1" t="s">
        <v>50</v>
      </c>
      <c r="F2151" s="59"/>
      <c r="G2151" s="32"/>
      <c r="H2151" s="32"/>
    </row>
    <row r="2152" spans="1:8" ht="15.75" customHeight="1">
      <c r="A2152" s="1">
        <v>20988</v>
      </c>
      <c r="B2152" s="2">
        <v>45224.499074074076</v>
      </c>
      <c r="C2152" s="1" t="s">
        <v>10</v>
      </c>
      <c r="D2152" s="1">
        <v>18</v>
      </c>
      <c r="E2152" s="1" t="s">
        <v>50</v>
      </c>
      <c r="F2152" s="59"/>
      <c r="G2152" s="32"/>
      <c r="H2152" s="32"/>
    </row>
    <row r="2153" spans="1:8" ht="15.75" customHeight="1">
      <c r="A2153" s="1">
        <v>20989</v>
      </c>
      <c r="B2153" s="2">
        <v>45224.571967592594</v>
      </c>
      <c r="C2153" s="1" t="s">
        <v>10</v>
      </c>
      <c r="D2153" s="1">
        <v>26</v>
      </c>
      <c r="E2153" s="1" t="s">
        <v>92</v>
      </c>
      <c r="F2153" s="59"/>
      <c r="G2153" s="32"/>
      <c r="H2153" s="32"/>
    </row>
    <row r="2154" spans="1:8" ht="15.75" customHeight="1">
      <c r="A2154" s="1">
        <v>20990</v>
      </c>
      <c r="B2154" s="2">
        <v>45224.715416666666</v>
      </c>
      <c r="C2154" s="1" t="s">
        <v>10</v>
      </c>
      <c r="D2154" s="1">
        <v>40</v>
      </c>
      <c r="E2154" s="1" t="s">
        <v>50</v>
      </c>
      <c r="F2154" s="59"/>
      <c r="G2154" s="32"/>
      <c r="H2154" s="32"/>
    </row>
    <row r="2155" spans="1:8" ht="15.75" customHeight="1">
      <c r="A2155" s="1">
        <v>20991</v>
      </c>
      <c r="B2155" s="2">
        <v>45224.732615740744</v>
      </c>
      <c r="C2155" s="1" t="s">
        <v>10</v>
      </c>
      <c r="D2155" s="1">
        <v>35</v>
      </c>
      <c r="E2155" s="1" t="s">
        <v>50</v>
      </c>
      <c r="F2155" s="59"/>
      <c r="G2155" s="32"/>
      <c r="H2155" s="32"/>
    </row>
    <row r="2156" spans="1:8" ht="15.75" customHeight="1">
      <c r="A2156" s="1">
        <v>20992</v>
      </c>
      <c r="B2156" s="2">
        <v>45224.831597222219</v>
      </c>
      <c r="C2156" s="1" t="s">
        <v>10</v>
      </c>
      <c r="D2156" s="1">
        <v>25</v>
      </c>
      <c r="E2156" s="1" t="s">
        <v>50</v>
      </c>
      <c r="F2156" s="59"/>
      <c r="G2156" s="32"/>
      <c r="H2156" s="32"/>
    </row>
    <row r="2157" spans="1:8" ht="15.75" customHeight="1">
      <c r="A2157" s="1">
        <v>20993</v>
      </c>
      <c r="B2157" s="2">
        <v>45224.843923611108</v>
      </c>
      <c r="C2157" s="1" t="s">
        <v>10</v>
      </c>
      <c r="D2157" s="1">
        <v>15</v>
      </c>
      <c r="E2157" s="1" t="s">
        <v>50</v>
      </c>
      <c r="F2157" s="59"/>
      <c r="G2157" s="32"/>
      <c r="H2157" s="32"/>
    </row>
    <row r="2158" spans="1:8" ht="15.75" customHeight="1">
      <c r="A2158" s="1">
        <v>20995</v>
      </c>
      <c r="B2158" s="2">
        <v>45224.853275462963</v>
      </c>
      <c r="C2158" s="1" t="s">
        <v>10</v>
      </c>
      <c r="D2158" s="1">
        <v>54</v>
      </c>
      <c r="E2158" s="1" t="s">
        <v>50</v>
      </c>
      <c r="F2158" s="59"/>
      <c r="G2158" s="32"/>
      <c r="H2158" s="32"/>
    </row>
    <row r="2159" spans="1:8" ht="15.75" customHeight="1">
      <c r="A2159" s="1">
        <v>20994</v>
      </c>
      <c r="B2159" s="2">
        <v>45224.849687499998</v>
      </c>
      <c r="C2159" s="1" t="s">
        <v>10</v>
      </c>
      <c r="D2159" s="1">
        <v>58</v>
      </c>
      <c r="E2159" s="1" t="s">
        <v>50</v>
      </c>
      <c r="F2159" s="59"/>
      <c r="G2159" s="32"/>
      <c r="H2159" s="32"/>
    </row>
    <row r="2160" spans="1:8" ht="15.75" customHeight="1">
      <c r="A2160" s="1">
        <v>20996</v>
      </c>
      <c r="B2160" s="2">
        <v>45224.873171296298</v>
      </c>
      <c r="C2160" s="1" t="s">
        <v>10</v>
      </c>
      <c r="D2160" s="1">
        <v>37</v>
      </c>
      <c r="E2160" s="1" t="s">
        <v>50</v>
      </c>
      <c r="F2160" s="59"/>
      <c r="G2160" s="32"/>
      <c r="H2160" s="32"/>
    </row>
    <row r="2161" spans="1:8" ht="15.75" customHeight="1">
      <c r="A2161" s="1">
        <v>20997</v>
      </c>
      <c r="B2161" s="2">
        <v>45224.903981481482</v>
      </c>
      <c r="C2161" s="1" t="s">
        <v>10</v>
      </c>
      <c r="D2161" s="1">
        <v>55</v>
      </c>
      <c r="E2161" s="1" t="s">
        <v>50</v>
      </c>
      <c r="F2161" s="59"/>
      <c r="G2161" s="32"/>
      <c r="H2161" s="32"/>
    </row>
    <row r="2162" spans="1:8" ht="15.75" customHeight="1">
      <c r="A2162" s="1">
        <v>20998</v>
      </c>
      <c r="B2162" s="2">
        <v>45224.910185185188</v>
      </c>
      <c r="C2162" s="1" t="s">
        <v>10</v>
      </c>
      <c r="D2162" s="1">
        <v>25</v>
      </c>
      <c r="E2162" s="1" t="s">
        <v>50</v>
      </c>
      <c r="F2162" s="59"/>
      <c r="G2162" s="32"/>
      <c r="H2162" s="32"/>
    </row>
    <row r="2163" spans="1:8" ht="15.75" customHeight="1">
      <c r="A2163" s="1">
        <v>20999</v>
      </c>
      <c r="B2163" s="2">
        <v>45224.984768518516</v>
      </c>
      <c r="C2163" s="1" t="s">
        <v>10</v>
      </c>
      <c r="D2163" s="1">
        <v>18</v>
      </c>
      <c r="E2163" s="1" t="s">
        <v>50</v>
      </c>
      <c r="F2163" s="59"/>
      <c r="G2163" s="32"/>
      <c r="H2163" s="32"/>
    </row>
    <row r="2164" spans="1:8" ht="15.75" customHeight="1">
      <c r="A2164" s="1">
        <v>21000</v>
      </c>
      <c r="B2164" s="2">
        <v>45224.991516203707</v>
      </c>
      <c r="C2164" s="1" t="s">
        <v>10</v>
      </c>
      <c r="D2164" s="1">
        <v>26</v>
      </c>
      <c r="E2164" s="1" t="s">
        <v>50</v>
      </c>
      <c r="F2164" s="59"/>
      <c r="G2164" s="32"/>
      <c r="H2164" s="32"/>
    </row>
    <row r="2165" spans="1:8" ht="15.75" customHeight="1">
      <c r="A2165" s="1">
        <v>21001</v>
      </c>
      <c r="B2165" s="2">
        <v>45224.995694444442</v>
      </c>
      <c r="C2165" s="1" t="s">
        <v>10</v>
      </c>
      <c r="D2165" s="1">
        <v>26</v>
      </c>
      <c r="E2165" s="1" t="s">
        <v>50</v>
      </c>
      <c r="F2165" s="59"/>
      <c r="G2165" s="32"/>
      <c r="H2165" s="32"/>
    </row>
    <row r="2166" spans="1:8" ht="15.75" customHeight="1">
      <c r="A2166" s="1">
        <v>21002</v>
      </c>
      <c r="B2166" s="2">
        <v>45225.043981481482</v>
      </c>
      <c r="C2166" s="1" t="s">
        <v>10</v>
      </c>
      <c r="D2166" s="1">
        <v>20</v>
      </c>
      <c r="E2166" s="1" t="s">
        <v>50</v>
      </c>
      <c r="F2166" s="59"/>
      <c r="G2166" s="32"/>
      <c r="H2166" s="32"/>
    </row>
    <row r="2167" spans="1:8" ht="15.75" customHeight="1">
      <c r="A2167" s="1">
        <v>21003</v>
      </c>
      <c r="B2167" s="2">
        <v>45225.085173611114</v>
      </c>
      <c r="C2167" s="1" t="s">
        <v>10</v>
      </c>
      <c r="D2167" s="1">
        <v>25</v>
      </c>
      <c r="E2167" s="1" t="s">
        <v>50</v>
      </c>
      <c r="F2167" s="59"/>
      <c r="G2167" s="32"/>
      <c r="H2167" s="32"/>
    </row>
    <row r="2168" spans="1:8" ht="15.75" customHeight="1">
      <c r="A2168" s="1">
        <v>21004</v>
      </c>
      <c r="B2168" s="2">
        <v>45225.158356481479</v>
      </c>
      <c r="C2168" s="1" t="s">
        <v>10</v>
      </c>
      <c r="D2168" s="1">
        <v>26</v>
      </c>
      <c r="E2168" s="1" t="s">
        <v>92</v>
      </c>
      <c r="F2168" s="59"/>
      <c r="G2168" s="32"/>
      <c r="H2168" s="32"/>
    </row>
    <row r="2169" spans="1:8" ht="15.75" customHeight="1">
      <c r="A2169" s="1">
        <v>21005</v>
      </c>
      <c r="B2169" s="2">
        <v>45225.212395833332</v>
      </c>
      <c r="C2169" s="1" t="s">
        <v>10</v>
      </c>
      <c r="D2169" s="1">
        <v>61</v>
      </c>
      <c r="E2169" s="1" t="s">
        <v>50</v>
      </c>
      <c r="F2169" s="59"/>
      <c r="G2169" s="32"/>
      <c r="H2169" s="32"/>
    </row>
    <row r="2170" spans="1:8" ht="15.75" customHeight="1">
      <c r="A2170" s="1">
        <v>21006</v>
      </c>
      <c r="B2170" s="2">
        <v>45225.228437500002</v>
      </c>
      <c r="C2170" s="1" t="s">
        <v>10</v>
      </c>
      <c r="D2170" s="1">
        <v>61</v>
      </c>
      <c r="E2170" s="1" t="s">
        <v>77</v>
      </c>
      <c r="F2170" s="59"/>
      <c r="G2170" s="32"/>
      <c r="H2170" s="32"/>
    </row>
    <row r="2171" spans="1:8" ht="15.75" customHeight="1">
      <c r="A2171" s="1">
        <v>21007</v>
      </c>
      <c r="B2171" s="2">
        <v>45225.562141203707</v>
      </c>
      <c r="C2171" s="1" t="s">
        <v>10</v>
      </c>
      <c r="D2171" s="1">
        <v>56</v>
      </c>
      <c r="E2171" s="1" t="s">
        <v>77</v>
      </c>
      <c r="F2171" s="59"/>
      <c r="G2171" s="32"/>
      <c r="H2171" s="32"/>
    </row>
    <row r="2172" spans="1:8" ht="15.75" customHeight="1">
      <c r="A2172" s="1">
        <v>21008</v>
      </c>
      <c r="B2172" s="2">
        <v>45225.859606481485</v>
      </c>
      <c r="C2172" s="1" t="s">
        <v>10</v>
      </c>
      <c r="D2172" s="1">
        <v>25</v>
      </c>
      <c r="E2172" s="1" t="s">
        <v>50</v>
      </c>
      <c r="F2172" s="59"/>
      <c r="G2172" s="32"/>
      <c r="H2172" s="32"/>
    </row>
    <row r="2173" spans="1:8" ht="15.75" customHeight="1">
      <c r="A2173" s="1">
        <v>21009</v>
      </c>
      <c r="B2173" s="2">
        <v>45225.91133101852</v>
      </c>
      <c r="C2173" s="1" t="s">
        <v>10</v>
      </c>
      <c r="D2173" s="1">
        <v>46</v>
      </c>
      <c r="E2173" s="1" t="s">
        <v>50</v>
      </c>
      <c r="F2173" s="59"/>
      <c r="G2173" s="32"/>
      <c r="H2173" s="32"/>
    </row>
    <row r="2174" spans="1:8" ht="15.75" customHeight="1">
      <c r="A2174" s="1">
        <v>21010</v>
      </c>
      <c r="B2174" s="2">
        <v>45225.962083333332</v>
      </c>
      <c r="C2174" s="1" t="s">
        <v>10</v>
      </c>
      <c r="D2174" s="1">
        <v>25</v>
      </c>
      <c r="E2174" s="1" t="s">
        <v>50</v>
      </c>
      <c r="F2174" s="59"/>
      <c r="G2174" s="32"/>
      <c r="H2174" s="32"/>
    </row>
    <row r="2175" spans="1:8" ht="15.75" customHeight="1">
      <c r="A2175" s="1">
        <v>21011</v>
      </c>
      <c r="B2175" s="2">
        <v>45226.002002314817</v>
      </c>
      <c r="C2175" s="1" t="s">
        <v>0</v>
      </c>
      <c r="D2175" s="1">
        <v>60</v>
      </c>
      <c r="E2175" s="1" t="s">
        <v>50</v>
      </c>
      <c r="F2175" s="59"/>
      <c r="G2175" s="32"/>
      <c r="H2175" s="32"/>
    </row>
    <row r="2176" spans="1:8" ht="15.75" customHeight="1">
      <c r="A2176" s="1">
        <v>21015</v>
      </c>
      <c r="B2176" s="2">
        <v>45226.533668981479</v>
      </c>
      <c r="C2176" s="1" t="s">
        <v>10</v>
      </c>
      <c r="D2176" s="1">
        <v>22</v>
      </c>
      <c r="E2176" s="1" t="s">
        <v>92</v>
      </c>
      <c r="F2176" s="59"/>
      <c r="G2176" s="32"/>
      <c r="H2176" s="32"/>
    </row>
    <row r="2177" spans="1:8" ht="15.75" customHeight="1">
      <c r="A2177" s="1">
        <v>21014</v>
      </c>
      <c r="B2177" s="2">
        <v>45226.531655092593</v>
      </c>
      <c r="C2177" s="1" t="s">
        <v>10</v>
      </c>
      <c r="D2177" s="1">
        <v>37</v>
      </c>
      <c r="E2177" s="1" t="s">
        <v>75</v>
      </c>
      <c r="F2177" s="59"/>
      <c r="G2177" s="32"/>
      <c r="H2177" s="32"/>
    </row>
    <row r="2178" spans="1:8" ht="15.75" customHeight="1">
      <c r="A2178" s="1">
        <v>21013</v>
      </c>
      <c r="B2178" s="2">
        <v>45226.531273148146</v>
      </c>
      <c r="C2178" s="1" t="s">
        <v>10</v>
      </c>
      <c r="D2178" s="1">
        <v>22</v>
      </c>
      <c r="E2178" s="1" t="s">
        <v>92</v>
      </c>
      <c r="F2178" s="59"/>
      <c r="G2178" s="32"/>
      <c r="H2178" s="32"/>
    </row>
    <row r="2179" spans="1:8" ht="15.75" customHeight="1">
      <c r="A2179" s="1">
        <v>21016</v>
      </c>
      <c r="B2179" s="2">
        <v>45226.608472222222</v>
      </c>
      <c r="C2179" s="1" t="s">
        <v>10</v>
      </c>
      <c r="D2179" s="1">
        <v>20</v>
      </c>
      <c r="E2179" s="1" t="s">
        <v>92</v>
      </c>
      <c r="F2179" s="59"/>
      <c r="G2179" s="32"/>
      <c r="H2179" s="32"/>
    </row>
    <row r="2180" spans="1:8" ht="15.75" customHeight="1">
      <c r="A2180" s="1">
        <v>21017</v>
      </c>
      <c r="B2180" s="2">
        <v>45226.61822916667</v>
      </c>
      <c r="C2180" s="1" t="s">
        <v>10</v>
      </c>
      <c r="D2180" s="1">
        <v>48</v>
      </c>
      <c r="E2180" s="1" t="s">
        <v>75</v>
      </c>
      <c r="F2180" s="59"/>
      <c r="G2180" s="32"/>
      <c r="H2180" s="32"/>
    </row>
    <row r="2181" spans="1:8" ht="15.75" customHeight="1">
      <c r="A2181" s="1">
        <v>21018</v>
      </c>
      <c r="B2181" s="2">
        <v>45226.736712962964</v>
      </c>
      <c r="C2181" s="1" t="s">
        <v>10</v>
      </c>
      <c r="D2181" s="1">
        <v>25</v>
      </c>
      <c r="E2181" s="1" t="s">
        <v>50</v>
      </c>
      <c r="F2181" s="59"/>
      <c r="G2181" s="32"/>
      <c r="H2181" s="32"/>
    </row>
    <row r="2182" spans="1:8" ht="15.75" customHeight="1">
      <c r="A2182" s="1">
        <v>21019</v>
      </c>
      <c r="B2182" s="2">
        <v>45227.539467592593</v>
      </c>
      <c r="C2182" s="1" t="s">
        <v>10</v>
      </c>
      <c r="D2182" s="1">
        <v>20</v>
      </c>
      <c r="E2182" s="1" t="s">
        <v>92</v>
      </c>
      <c r="F2182" s="59"/>
      <c r="G2182" s="32"/>
      <c r="H2182" s="32"/>
    </row>
    <row r="2183" spans="1:8" ht="15.75" customHeight="1">
      <c r="A2183" s="1">
        <v>21021</v>
      </c>
      <c r="B2183" s="2">
        <v>45227.552870370368</v>
      </c>
      <c r="C2183" s="1" t="s">
        <v>10</v>
      </c>
      <c r="D2183" s="1">
        <v>35</v>
      </c>
      <c r="E2183" s="1" t="s">
        <v>92</v>
      </c>
      <c r="F2183" s="59"/>
      <c r="G2183" s="32"/>
      <c r="H2183" s="32"/>
    </row>
    <row r="2184" spans="1:8" ht="15.75" customHeight="1">
      <c r="A2184" s="1">
        <v>21020</v>
      </c>
      <c r="B2184" s="2">
        <v>45227.549166666664</v>
      </c>
      <c r="C2184" s="1" t="s">
        <v>10</v>
      </c>
      <c r="D2184" s="1">
        <v>26</v>
      </c>
      <c r="E2184" s="1" t="s">
        <v>92</v>
      </c>
      <c r="F2184" s="59"/>
      <c r="G2184" s="32"/>
      <c r="H2184" s="32"/>
    </row>
    <row r="2185" spans="1:8" ht="15.75" customHeight="1">
      <c r="A2185" s="1">
        <v>21022</v>
      </c>
      <c r="B2185" s="2">
        <v>45227.555150462962</v>
      </c>
      <c r="C2185" s="1" t="s">
        <v>10</v>
      </c>
      <c r="D2185" s="1">
        <v>26</v>
      </c>
      <c r="E2185" s="1" t="s">
        <v>92</v>
      </c>
      <c r="F2185" s="59"/>
      <c r="G2185" s="32"/>
      <c r="H2185" s="32"/>
    </row>
    <row r="2186" spans="1:8" ht="15.75" customHeight="1">
      <c r="A2186" s="1">
        <v>21023</v>
      </c>
      <c r="B2186" s="2">
        <v>45227.567604166667</v>
      </c>
      <c r="C2186" s="1" t="s">
        <v>10</v>
      </c>
      <c r="D2186" s="1">
        <v>25</v>
      </c>
      <c r="E2186" s="1" t="s">
        <v>92</v>
      </c>
      <c r="F2186" s="59"/>
      <c r="G2186" s="32"/>
      <c r="H2186" s="32"/>
    </row>
    <row r="2187" spans="1:8" ht="15.75" customHeight="1">
      <c r="A2187" s="1">
        <v>21025</v>
      </c>
      <c r="B2187" s="2">
        <v>45227.574363425927</v>
      </c>
      <c r="C2187" s="1" t="s">
        <v>10</v>
      </c>
      <c r="D2187" s="1">
        <v>28</v>
      </c>
      <c r="E2187" s="1" t="s">
        <v>92</v>
      </c>
      <c r="F2187" s="59"/>
      <c r="G2187" s="32"/>
      <c r="H2187" s="32"/>
    </row>
    <row r="2188" spans="1:8" ht="15.75" customHeight="1">
      <c r="A2188" s="1">
        <v>21024</v>
      </c>
      <c r="B2188" s="2">
        <v>45227.573564814818</v>
      </c>
      <c r="C2188" s="1" t="s">
        <v>10</v>
      </c>
      <c r="D2188" s="1">
        <v>18</v>
      </c>
      <c r="E2188" s="1" t="s">
        <v>92</v>
      </c>
      <c r="F2188" s="59"/>
      <c r="G2188" s="32"/>
      <c r="H2188" s="32"/>
    </row>
    <row r="2189" spans="1:8" ht="15.75" customHeight="1">
      <c r="A2189" s="1">
        <v>21026</v>
      </c>
      <c r="B2189" s="2">
        <v>45227.576412037037</v>
      </c>
      <c r="C2189" s="1" t="s">
        <v>10</v>
      </c>
      <c r="D2189" s="1">
        <v>108</v>
      </c>
      <c r="E2189" s="1" t="s">
        <v>92</v>
      </c>
      <c r="F2189" s="59"/>
      <c r="G2189" s="32"/>
      <c r="H2189" s="32"/>
    </row>
    <row r="2190" spans="1:8" ht="15.75" customHeight="1">
      <c r="A2190" s="1">
        <v>21027</v>
      </c>
      <c r="B2190" s="2">
        <v>45227.605543981481</v>
      </c>
      <c r="C2190" s="1" t="s">
        <v>10</v>
      </c>
      <c r="D2190" s="1">
        <v>26</v>
      </c>
      <c r="E2190" s="1" t="s">
        <v>92</v>
      </c>
      <c r="F2190" s="59"/>
      <c r="G2190" s="32"/>
      <c r="H2190" s="32"/>
    </row>
    <row r="2191" spans="1:8" ht="15.75" customHeight="1">
      <c r="A2191" s="1">
        <v>21031</v>
      </c>
      <c r="B2191" s="2">
        <v>45227.650185185186</v>
      </c>
      <c r="C2191" s="1" t="s">
        <v>10</v>
      </c>
      <c r="D2191" s="1">
        <v>22</v>
      </c>
      <c r="E2191" s="1" t="s">
        <v>92</v>
      </c>
      <c r="F2191" s="59"/>
      <c r="G2191" s="32"/>
      <c r="H2191" s="32"/>
    </row>
    <row r="2192" spans="1:8" ht="15.75" customHeight="1">
      <c r="A2192" s="1">
        <v>21030</v>
      </c>
      <c r="B2192" s="2">
        <v>45227.649618055555</v>
      </c>
      <c r="C2192" s="1" t="s">
        <v>10</v>
      </c>
      <c r="D2192" s="1">
        <v>20</v>
      </c>
      <c r="E2192" s="1" t="s">
        <v>92</v>
      </c>
      <c r="F2192" s="59"/>
      <c r="G2192" s="32"/>
      <c r="H2192" s="32"/>
    </row>
    <row r="2193" spans="1:8" ht="15.75" customHeight="1">
      <c r="A2193" s="1">
        <v>21029</v>
      </c>
      <c r="B2193" s="2">
        <v>45227.64916666667</v>
      </c>
      <c r="C2193" s="1" t="s">
        <v>10</v>
      </c>
      <c r="D2193" s="1">
        <v>25</v>
      </c>
      <c r="E2193" s="1" t="s">
        <v>92</v>
      </c>
      <c r="F2193" s="59"/>
      <c r="G2193" s="32"/>
      <c r="H2193" s="32"/>
    </row>
    <row r="2194" spans="1:8" ht="15.75" customHeight="1">
      <c r="A2194" s="1">
        <v>21028</v>
      </c>
      <c r="B2194" s="2">
        <v>45227.647314814814</v>
      </c>
      <c r="C2194" s="1" t="s">
        <v>10</v>
      </c>
      <c r="D2194" s="1">
        <v>25</v>
      </c>
      <c r="E2194" s="1" t="s">
        <v>92</v>
      </c>
      <c r="F2194" s="59"/>
      <c r="G2194" s="32"/>
      <c r="H2194" s="32"/>
    </row>
    <row r="2195" spans="1:8" ht="15.75" customHeight="1">
      <c r="A2195" s="1">
        <v>21033</v>
      </c>
      <c r="B2195" s="2">
        <v>45227.657002314816</v>
      </c>
      <c r="C2195" s="1" t="s">
        <v>10</v>
      </c>
      <c r="D2195" s="1">
        <v>26</v>
      </c>
      <c r="E2195" s="1" t="s">
        <v>92</v>
      </c>
      <c r="F2195" s="59"/>
      <c r="G2195" s="32"/>
      <c r="H2195" s="32"/>
    </row>
    <row r="2196" spans="1:8" ht="15.75" customHeight="1">
      <c r="A2196" s="1">
        <v>21032</v>
      </c>
      <c r="B2196" s="2">
        <v>45227.655636574076</v>
      </c>
      <c r="C2196" s="1" t="s">
        <v>10</v>
      </c>
      <c r="D2196" s="1">
        <v>40</v>
      </c>
      <c r="E2196" s="1" t="s">
        <v>92</v>
      </c>
      <c r="F2196" s="59"/>
      <c r="G2196" s="32"/>
      <c r="H2196" s="32"/>
    </row>
    <row r="2197" spans="1:8" ht="15.75" customHeight="1">
      <c r="A2197" s="1">
        <v>21034</v>
      </c>
      <c r="B2197" s="2">
        <v>45227.662141203706</v>
      </c>
      <c r="C2197" s="1" t="s">
        <v>10</v>
      </c>
      <c r="D2197" s="1">
        <v>18</v>
      </c>
      <c r="E2197" s="1" t="s">
        <v>92</v>
      </c>
      <c r="F2197" s="59"/>
      <c r="G2197" s="32"/>
      <c r="H2197" s="32"/>
    </row>
    <row r="2198" spans="1:8" ht="15.75" customHeight="1">
      <c r="A2198" s="1">
        <v>21036</v>
      </c>
      <c r="B2198" s="2">
        <v>45227.733148148145</v>
      </c>
      <c r="C2198" s="1" t="s">
        <v>10</v>
      </c>
      <c r="D2198" s="1">
        <v>22</v>
      </c>
      <c r="E2198" s="1" t="s">
        <v>92</v>
      </c>
      <c r="F2198" s="59"/>
      <c r="G2198" s="32"/>
      <c r="H2198" s="32"/>
    </row>
    <row r="2199" spans="1:8" ht="15.75" customHeight="1">
      <c r="A2199" s="1">
        <v>21037</v>
      </c>
      <c r="B2199" s="2">
        <v>45227.746192129627</v>
      </c>
      <c r="C2199" s="1" t="s">
        <v>10</v>
      </c>
      <c r="D2199" s="1">
        <v>15</v>
      </c>
      <c r="E2199" s="1" t="s">
        <v>92</v>
      </c>
      <c r="F2199" s="59"/>
      <c r="G2199" s="32"/>
      <c r="H2199" s="32"/>
    </row>
    <row r="2200" spans="1:8" ht="15.75" customHeight="1">
      <c r="A2200" s="1">
        <v>21038</v>
      </c>
      <c r="B2200" s="2">
        <v>45227.766550925924</v>
      </c>
      <c r="C2200" s="1" t="s">
        <v>10</v>
      </c>
      <c r="D2200" s="1">
        <v>35</v>
      </c>
      <c r="E2200" s="1" t="s">
        <v>75</v>
      </c>
      <c r="F2200" s="59"/>
      <c r="G2200" s="32"/>
      <c r="H2200" s="32"/>
    </row>
    <row r="2201" spans="1:8" ht="15.75" customHeight="1">
      <c r="A2201" s="1">
        <v>21044</v>
      </c>
      <c r="B2201" s="2">
        <v>45227.889560185184</v>
      </c>
      <c r="C2201" s="1" t="s">
        <v>10</v>
      </c>
      <c r="D2201" s="1">
        <v>28</v>
      </c>
      <c r="E2201" s="1" t="s">
        <v>92</v>
      </c>
      <c r="F2201" s="59"/>
      <c r="G2201" s="32"/>
      <c r="H2201" s="32"/>
    </row>
    <row r="2202" spans="1:8" ht="15.75" customHeight="1">
      <c r="A2202" s="1">
        <v>21045</v>
      </c>
      <c r="B2202" s="2">
        <v>45228.019861111112</v>
      </c>
      <c r="C2202" s="1" t="s">
        <v>10</v>
      </c>
      <c r="D2202" s="1">
        <v>26</v>
      </c>
      <c r="E2202" s="1" t="s">
        <v>92</v>
      </c>
      <c r="F2202" s="59"/>
      <c r="G2202" s="32"/>
      <c r="H2202" s="32"/>
    </row>
    <row r="2203" spans="1:8" ht="15.75" customHeight="1">
      <c r="A2203" s="1">
        <v>21046</v>
      </c>
      <c r="B2203" s="2">
        <v>45228.618680555555</v>
      </c>
      <c r="C2203" s="1" t="s">
        <v>10</v>
      </c>
      <c r="D2203" s="1">
        <v>43</v>
      </c>
      <c r="E2203" s="1" t="s">
        <v>50</v>
      </c>
      <c r="F2203" s="59"/>
      <c r="G2203" s="32"/>
      <c r="H2203" s="32"/>
    </row>
    <row r="2204" spans="1:8" ht="15.75" customHeight="1">
      <c r="A2204" s="1">
        <v>21051</v>
      </c>
      <c r="B2204" s="2">
        <v>45228.733506944445</v>
      </c>
      <c r="C2204" s="1" t="s">
        <v>10</v>
      </c>
      <c r="D2204" s="1">
        <v>25</v>
      </c>
      <c r="E2204" s="1" t="s">
        <v>92</v>
      </c>
      <c r="F2204" s="59"/>
      <c r="G2204" s="32"/>
      <c r="H2204" s="32"/>
    </row>
    <row r="2205" spans="1:8" ht="15.75" customHeight="1">
      <c r="A2205" s="1">
        <v>21050</v>
      </c>
      <c r="B2205" s="2">
        <v>45228.730787037035</v>
      </c>
      <c r="C2205" s="1" t="s">
        <v>10</v>
      </c>
      <c r="D2205" s="1">
        <v>25</v>
      </c>
      <c r="E2205" s="1" t="s">
        <v>92</v>
      </c>
      <c r="F2205" s="59"/>
      <c r="G2205" s="32"/>
      <c r="H2205" s="32"/>
    </row>
    <row r="2206" spans="1:8" ht="15.75" customHeight="1">
      <c r="A2206" s="1">
        <v>21052</v>
      </c>
      <c r="B2206" s="2">
        <v>45228.747245370374</v>
      </c>
      <c r="C2206" s="1" t="s">
        <v>10</v>
      </c>
      <c r="D2206" s="1">
        <v>25</v>
      </c>
      <c r="E2206" s="1" t="s">
        <v>50</v>
      </c>
      <c r="F2206" s="59"/>
      <c r="G2206" s="32"/>
      <c r="H2206" s="32"/>
    </row>
    <row r="2207" spans="1:8" ht="15.75" customHeight="1">
      <c r="A2207" s="1">
        <v>21053</v>
      </c>
      <c r="B2207" s="2">
        <v>45228.751967592594</v>
      </c>
      <c r="C2207" s="1" t="s">
        <v>10</v>
      </c>
      <c r="D2207" s="1">
        <v>45</v>
      </c>
      <c r="E2207" s="1" t="s">
        <v>92</v>
      </c>
      <c r="F2207" s="59"/>
      <c r="G2207" s="32"/>
      <c r="H2207" s="32"/>
    </row>
    <row r="2208" spans="1:8" ht="15.75" customHeight="1">
      <c r="A2208" s="1">
        <v>21054</v>
      </c>
      <c r="B2208" s="2">
        <v>45228.768842592595</v>
      </c>
      <c r="C2208" s="1" t="s">
        <v>10</v>
      </c>
      <c r="D2208" s="1">
        <v>25</v>
      </c>
      <c r="E2208" s="1" t="s">
        <v>50</v>
      </c>
      <c r="F2208" s="59"/>
      <c r="G2208" s="32"/>
      <c r="H2208" s="32"/>
    </row>
    <row r="2209" spans="1:8" ht="15.75" customHeight="1">
      <c r="A2209" s="1">
        <v>21055</v>
      </c>
      <c r="B2209" s="2">
        <v>45228.828275462962</v>
      </c>
      <c r="C2209" s="1" t="s">
        <v>10</v>
      </c>
      <c r="D2209" s="1">
        <v>26</v>
      </c>
      <c r="E2209" s="1" t="s">
        <v>92</v>
      </c>
      <c r="F2209" s="59"/>
      <c r="G2209" s="32"/>
      <c r="H2209" s="32"/>
    </row>
    <row r="2210" spans="1:8" ht="15.75" customHeight="1">
      <c r="A2210" s="1">
        <v>21056</v>
      </c>
      <c r="B2210" s="2">
        <v>45228.951874999999</v>
      </c>
      <c r="C2210" s="1" t="s">
        <v>10</v>
      </c>
      <c r="D2210" s="1">
        <v>37</v>
      </c>
      <c r="E2210" s="1" t="s">
        <v>50</v>
      </c>
      <c r="F2210" s="59"/>
      <c r="G2210" s="32"/>
      <c r="H2210" s="32"/>
    </row>
    <row r="2211" spans="1:8" ht="15.75" customHeight="1">
      <c r="A2211" s="1">
        <v>21057</v>
      </c>
      <c r="B2211" s="2">
        <v>45228.9846412037</v>
      </c>
      <c r="C2211" s="1" t="s">
        <v>10</v>
      </c>
      <c r="D2211" s="1">
        <v>22</v>
      </c>
      <c r="E2211" s="1" t="s">
        <v>75</v>
      </c>
      <c r="F2211" s="59"/>
      <c r="G2211" s="32"/>
      <c r="H2211" s="32"/>
    </row>
    <row r="2212" spans="1:8" ht="15.75" customHeight="1">
      <c r="A2212" s="1">
        <v>21058</v>
      </c>
      <c r="B2212" s="2">
        <v>45229.128506944442</v>
      </c>
      <c r="C2212" s="1" t="s">
        <v>10</v>
      </c>
      <c r="D2212" s="1">
        <v>25</v>
      </c>
      <c r="E2212" s="1" t="s">
        <v>92</v>
      </c>
      <c r="F2212" s="59"/>
      <c r="G2212" s="32"/>
      <c r="H2212" s="32"/>
    </row>
    <row r="2213" spans="1:8" ht="15.75" customHeight="1">
      <c r="A2213" s="1">
        <v>21060</v>
      </c>
      <c r="B2213" s="2">
        <v>45229.572870370372</v>
      </c>
      <c r="C2213" s="1" t="s">
        <v>10</v>
      </c>
      <c r="D2213" s="1">
        <v>26</v>
      </c>
      <c r="E2213" s="1" t="s">
        <v>50</v>
      </c>
      <c r="F2213" s="59"/>
      <c r="G2213" s="32"/>
      <c r="H2213" s="32"/>
    </row>
    <row r="2214" spans="1:8" ht="15.75" customHeight="1">
      <c r="A2214" s="1">
        <v>21059</v>
      </c>
      <c r="B2214" s="2">
        <v>45229.570555555554</v>
      </c>
      <c r="C2214" s="1" t="s">
        <v>10</v>
      </c>
      <c r="D2214" s="1">
        <v>25</v>
      </c>
      <c r="E2214" s="1" t="s">
        <v>74</v>
      </c>
      <c r="F2214" s="59"/>
      <c r="G2214" s="32"/>
      <c r="H2214" s="32"/>
    </row>
    <row r="2215" spans="1:8" ht="15.75" customHeight="1">
      <c r="A2215" s="1">
        <v>21062</v>
      </c>
      <c r="B2215" s="2">
        <v>45229.58090277778</v>
      </c>
      <c r="C2215" s="1" t="s">
        <v>10</v>
      </c>
      <c r="D2215" s="1">
        <v>35</v>
      </c>
      <c r="E2215" s="1" t="s">
        <v>92</v>
      </c>
      <c r="F2215" s="59"/>
      <c r="G2215" s="32"/>
      <c r="H2215" s="32"/>
    </row>
    <row r="2216" spans="1:8" ht="15.75" customHeight="1">
      <c r="A2216" s="1">
        <v>21061</v>
      </c>
      <c r="B2216" s="2">
        <v>45229.576782407406</v>
      </c>
      <c r="C2216" s="1" t="s">
        <v>10</v>
      </c>
      <c r="D2216" s="1">
        <v>0</v>
      </c>
      <c r="E2216" s="1" t="s">
        <v>50</v>
      </c>
      <c r="F2216" s="59"/>
      <c r="G2216" s="32"/>
      <c r="H2216" s="32"/>
    </row>
    <row r="2217" spans="1:8" ht="15.75" customHeight="1">
      <c r="A2217" s="1">
        <v>21063</v>
      </c>
      <c r="B2217" s="2">
        <v>45229.63689814815</v>
      </c>
      <c r="C2217" s="1" t="s">
        <v>10</v>
      </c>
      <c r="D2217" s="1">
        <v>51</v>
      </c>
      <c r="E2217" s="1" t="s">
        <v>92</v>
      </c>
      <c r="F2217" s="59"/>
      <c r="G2217" s="32"/>
      <c r="H2217" s="32"/>
    </row>
    <row r="2218" spans="1:8" ht="15.75" customHeight="1">
      <c r="A2218" s="1">
        <v>21064</v>
      </c>
      <c r="B2218" s="2">
        <v>45229.643460648149</v>
      </c>
      <c r="C2218" s="1" t="s">
        <v>10</v>
      </c>
      <c r="D2218" s="1">
        <v>43</v>
      </c>
      <c r="E2218" s="1" t="s">
        <v>50</v>
      </c>
      <c r="F2218" s="59"/>
      <c r="G2218" s="32"/>
      <c r="H2218" s="32"/>
    </row>
    <row r="2219" spans="1:8" ht="15.75" customHeight="1">
      <c r="A2219" s="1">
        <v>21065</v>
      </c>
      <c r="B2219" s="2">
        <v>45229.662094907406</v>
      </c>
      <c r="C2219" s="1" t="s">
        <v>10</v>
      </c>
      <c r="D2219" s="1">
        <v>26</v>
      </c>
      <c r="E2219" s="1" t="s">
        <v>92</v>
      </c>
      <c r="F2219" s="59"/>
      <c r="G2219" s="32"/>
      <c r="H2219" s="32"/>
    </row>
    <row r="2220" spans="1:8" ht="15.75" customHeight="1">
      <c r="A2220" s="1">
        <v>21066</v>
      </c>
      <c r="B2220" s="2">
        <v>45229.691793981481</v>
      </c>
      <c r="C2220" s="1" t="s">
        <v>10</v>
      </c>
      <c r="D2220" s="1">
        <v>22</v>
      </c>
      <c r="E2220" s="1" t="s">
        <v>59</v>
      </c>
      <c r="F2220" s="59"/>
      <c r="G2220" s="32"/>
      <c r="H2220" s="32"/>
    </row>
    <row r="2221" spans="1:8" ht="15.75" customHeight="1">
      <c r="A2221" s="1">
        <v>21068</v>
      </c>
      <c r="B2221" s="2">
        <v>45229.832141203704</v>
      </c>
      <c r="C2221" s="1" t="s">
        <v>10</v>
      </c>
      <c r="D2221" s="1">
        <v>15</v>
      </c>
      <c r="E2221" s="1" t="s">
        <v>75</v>
      </c>
      <c r="F2221" s="59"/>
      <c r="G2221" s="32"/>
      <c r="H2221" s="32"/>
    </row>
    <row r="2222" spans="1:8" ht="15.75" customHeight="1">
      <c r="A2222" s="1">
        <v>21067</v>
      </c>
      <c r="B2222" s="2">
        <v>45229.829259259262</v>
      </c>
      <c r="C2222" s="1" t="s">
        <v>10</v>
      </c>
      <c r="D2222" s="1">
        <v>15</v>
      </c>
      <c r="E2222" s="1" t="s">
        <v>75</v>
      </c>
      <c r="F2222" s="59"/>
      <c r="G2222" s="32"/>
      <c r="H2222" s="32"/>
    </row>
    <row r="2223" spans="1:8" ht="15.75" customHeight="1">
      <c r="A2223" s="1">
        <v>21069</v>
      </c>
      <c r="B2223" s="2">
        <v>45229.860775462963</v>
      </c>
      <c r="C2223" s="1" t="s">
        <v>10</v>
      </c>
      <c r="D2223" s="1">
        <v>41</v>
      </c>
      <c r="E2223" s="1" t="s">
        <v>50</v>
      </c>
      <c r="F2223" s="59"/>
      <c r="G2223" s="32"/>
      <c r="H2223" s="32"/>
    </row>
    <row r="2224" spans="1:8" ht="15.75" customHeight="1">
      <c r="A2224" s="1">
        <v>21070</v>
      </c>
      <c r="B2224" s="2">
        <v>45229.86990740741</v>
      </c>
      <c r="C2224" s="1" t="s">
        <v>10</v>
      </c>
      <c r="D2224" s="1">
        <v>22</v>
      </c>
      <c r="E2224" s="1" t="s">
        <v>59</v>
      </c>
      <c r="F2224" s="59"/>
      <c r="G2224" s="32"/>
      <c r="H2224" s="32"/>
    </row>
    <row r="2225" spans="1:8" ht="15.75" customHeight="1">
      <c r="A2225" s="1">
        <v>21071</v>
      </c>
      <c r="B2225" s="2">
        <v>45229.922442129631</v>
      </c>
      <c r="C2225" s="1" t="s">
        <v>10</v>
      </c>
      <c r="D2225" s="1">
        <v>25</v>
      </c>
      <c r="E2225" s="1" t="s">
        <v>50</v>
      </c>
      <c r="F2225" s="59"/>
      <c r="G2225" s="32"/>
      <c r="H2225" s="32"/>
    </row>
    <row r="2226" spans="1:8" ht="15.75" customHeight="1">
      <c r="A2226" s="1">
        <v>21072</v>
      </c>
      <c r="B2226" s="2">
        <v>45229.940439814818</v>
      </c>
      <c r="C2226" s="1" t="s">
        <v>10</v>
      </c>
      <c r="D2226" s="1">
        <v>26</v>
      </c>
      <c r="E2226" s="1" t="s">
        <v>50</v>
      </c>
      <c r="F2226" s="59"/>
      <c r="G2226" s="32"/>
      <c r="H2226" s="32"/>
    </row>
    <row r="2227" spans="1:8" ht="15.75" customHeight="1">
      <c r="A2227" s="1">
        <v>21074</v>
      </c>
      <c r="B2227" s="2">
        <v>45229.957152777781</v>
      </c>
      <c r="C2227" s="1" t="s">
        <v>18</v>
      </c>
      <c r="D2227" s="1">
        <v>15</v>
      </c>
      <c r="E2227" s="1" t="s">
        <v>92</v>
      </c>
      <c r="F2227" s="59"/>
      <c r="G2227" s="32"/>
      <c r="H2227" s="32"/>
    </row>
    <row r="2228" spans="1:8" ht="15.75" customHeight="1">
      <c r="A2228" s="1">
        <v>21073</v>
      </c>
      <c r="B2228" s="2">
        <v>45229.95244212963</v>
      </c>
      <c r="C2228" s="1" t="s">
        <v>10</v>
      </c>
      <c r="D2228" s="1">
        <v>35</v>
      </c>
      <c r="E2228" s="1" t="s">
        <v>50</v>
      </c>
      <c r="F2228" s="59"/>
      <c r="G2228" s="32"/>
      <c r="H2228" s="32"/>
    </row>
    <row r="2229" spans="1:8" ht="15.75" customHeight="1">
      <c r="A2229" s="1">
        <v>21076</v>
      </c>
      <c r="B2229" s="2">
        <v>45229.962638888886</v>
      </c>
      <c r="C2229" s="1" t="s">
        <v>10</v>
      </c>
      <c r="D2229" s="1">
        <v>15</v>
      </c>
      <c r="E2229" s="1" t="s">
        <v>92</v>
      </c>
      <c r="F2229" s="59"/>
      <c r="G2229" s="32"/>
      <c r="H2229" s="32"/>
    </row>
    <row r="2230" spans="1:8" ht="15.75" customHeight="1">
      <c r="A2230" s="1">
        <v>21075</v>
      </c>
      <c r="B2230" s="2">
        <v>45229.958738425928</v>
      </c>
      <c r="C2230" s="1" t="s">
        <v>10</v>
      </c>
      <c r="D2230" s="1">
        <v>50</v>
      </c>
      <c r="E2230" s="1" t="s">
        <v>50</v>
      </c>
      <c r="F2230" s="59"/>
      <c r="G2230" s="32"/>
      <c r="H2230" s="32"/>
    </row>
    <row r="2231" spans="1:8" ht="15.75" customHeight="1">
      <c r="A2231" s="1">
        <v>21077</v>
      </c>
      <c r="B2231" s="2">
        <v>45229.970381944448</v>
      </c>
      <c r="C2231" s="1" t="s">
        <v>10</v>
      </c>
      <c r="D2231" s="1">
        <v>30</v>
      </c>
      <c r="E2231" s="1" t="s">
        <v>50</v>
      </c>
      <c r="F2231" s="59"/>
      <c r="G2231" s="32"/>
      <c r="H2231" s="32"/>
    </row>
    <row r="2232" spans="1:8" ht="15.75" customHeight="1">
      <c r="A2232" s="1">
        <v>21079</v>
      </c>
      <c r="B2232" s="2">
        <v>45229.980995370373</v>
      </c>
      <c r="C2232" s="1" t="s">
        <v>10</v>
      </c>
      <c r="D2232" s="1">
        <v>35</v>
      </c>
      <c r="E2232" s="1" t="s">
        <v>50</v>
      </c>
      <c r="F2232" s="59"/>
      <c r="G2232" s="32"/>
      <c r="H2232" s="32"/>
    </row>
    <row r="2233" spans="1:8" ht="15.75" customHeight="1">
      <c r="A2233" s="1">
        <v>21078</v>
      </c>
      <c r="B2233" s="2">
        <v>45229.978738425925</v>
      </c>
      <c r="C2233" s="1" t="s">
        <v>10</v>
      </c>
      <c r="D2233" s="1">
        <v>35</v>
      </c>
      <c r="E2233" s="1" t="s">
        <v>50</v>
      </c>
      <c r="F2233" s="59"/>
      <c r="G2233" s="32"/>
      <c r="H2233" s="32"/>
    </row>
    <row r="2234" spans="1:8" ht="15.75" customHeight="1">
      <c r="A2234" s="1">
        <v>21080</v>
      </c>
      <c r="B2234" s="2">
        <v>45230.010057870371</v>
      </c>
      <c r="C2234" s="1" t="s">
        <v>10</v>
      </c>
      <c r="D2234" s="1">
        <v>25</v>
      </c>
      <c r="E2234" s="1" t="s">
        <v>50</v>
      </c>
      <c r="F2234" s="59"/>
      <c r="G2234" s="32"/>
      <c r="H2234" s="32"/>
    </row>
    <row r="2235" spans="1:8" ht="15.75" customHeight="1">
      <c r="A2235" s="1">
        <v>21081</v>
      </c>
      <c r="B2235" s="2">
        <v>45230.016180555554</v>
      </c>
      <c r="C2235" s="1" t="s">
        <v>10</v>
      </c>
      <c r="D2235" s="1">
        <v>54</v>
      </c>
      <c r="E2235" s="1" t="s">
        <v>50</v>
      </c>
      <c r="F2235" s="59"/>
      <c r="G2235" s="32"/>
      <c r="H2235" s="32"/>
    </row>
    <row r="2236" spans="1:8" ht="15.75" customHeight="1">
      <c r="A2236" s="1">
        <v>21085</v>
      </c>
      <c r="B2236" s="2">
        <v>45230.448935185188</v>
      </c>
      <c r="C2236" s="1" t="s">
        <v>10</v>
      </c>
      <c r="D2236" s="1">
        <v>25</v>
      </c>
      <c r="E2236" s="1" t="s">
        <v>92</v>
      </c>
      <c r="F2236" s="59"/>
      <c r="G2236" s="32"/>
      <c r="H2236" s="32"/>
    </row>
    <row r="2237" spans="1:8" ht="15.75" customHeight="1">
      <c r="A2237" s="1">
        <v>21086</v>
      </c>
      <c r="B2237" s="2">
        <v>45230.453206018516</v>
      </c>
      <c r="C2237" s="1" t="s">
        <v>10</v>
      </c>
      <c r="D2237" s="1">
        <v>35</v>
      </c>
      <c r="E2237" s="1" t="s">
        <v>50</v>
      </c>
      <c r="F2237" s="59"/>
      <c r="G2237" s="32"/>
      <c r="H2237" s="32"/>
    </row>
    <row r="2238" spans="1:8" ht="15.75" customHeight="1">
      <c r="A2238" s="1">
        <v>21087</v>
      </c>
      <c r="B2238" s="2">
        <v>45230.551006944443</v>
      </c>
      <c r="C2238" s="1" t="s">
        <v>10</v>
      </c>
      <c r="D2238" s="1">
        <v>61</v>
      </c>
      <c r="E2238" s="1" t="s">
        <v>50</v>
      </c>
      <c r="F2238" s="59"/>
      <c r="G2238" s="32"/>
      <c r="H2238" s="32"/>
    </row>
    <row r="2239" spans="1:8" ht="15.75" customHeight="1">
      <c r="A2239" s="1">
        <v>21088</v>
      </c>
      <c r="B2239" s="2">
        <v>45230.620474537034</v>
      </c>
      <c r="C2239" s="1" t="s">
        <v>10</v>
      </c>
      <c r="D2239" s="1">
        <v>25</v>
      </c>
      <c r="E2239" s="1" t="s">
        <v>50</v>
      </c>
      <c r="F2239" s="59"/>
      <c r="G2239" s="32"/>
      <c r="H2239" s="32"/>
    </row>
    <row r="2240" spans="1:8" ht="15.75" customHeight="1">
      <c r="A2240" s="1">
        <v>21089</v>
      </c>
      <c r="B2240" s="2">
        <v>45230.652048611111</v>
      </c>
      <c r="C2240" s="1" t="s">
        <v>10</v>
      </c>
      <c r="D2240" s="1">
        <v>61</v>
      </c>
      <c r="E2240" s="1" t="s">
        <v>50</v>
      </c>
      <c r="F2240" s="59"/>
      <c r="G2240" s="32"/>
      <c r="H2240" s="32"/>
    </row>
    <row r="2241" spans="1:8" ht="15.75" customHeight="1">
      <c r="A2241" s="1">
        <v>21090</v>
      </c>
      <c r="B2241" s="2">
        <v>45230.681875000002</v>
      </c>
      <c r="C2241" s="1" t="s">
        <v>10</v>
      </c>
      <c r="D2241" s="1">
        <v>25</v>
      </c>
      <c r="E2241" s="1" t="s">
        <v>75</v>
      </c>
      <c r="F2241" s="59"/>
      <c r="G2241" s="32"/>
      <c r="H2241" s="32"/>
    </row>
    <row r="2242" spans="1:8" ht="15.75" customHeight="1">
      <c r="A2242" s="1">
        <v>21091</v>
      </c>
      <c r="B2242" s="2">
        <v>45230.705046296294</v>
      </c>
      <c r="C2242" s="1" t="s">
        <v>10</v>
      </c>
      <c r="D2242" s="1">
        <v>130</v>
      </c>
      <c r="E2242" s="1" t="s">
        <v>92</v>
      </c>
      <c r="F2242" s="59"/>
      <c r="G2242" s="32"/>
      <c r="H2242" s="32"/>
    </row>
    <row r="2243" spans="1:8" ht="15.75" customHeight="1">
      <c r="A2243" s="1">
        <v>21092</v>
      </c>
      <c r="B2243" s="2">
        <v>45230.772430555553</v>
      </c>
      <c r="C2243" s="1" t="s">
        <v>10</v>
      </c>
      <c r="D2243" s="1">
        <v>48</v>
      </c>
      <c r="E2243" s="1" t="s">
        <v>92</v>
      </c>
      <c r="F2243" s="59"/>
      <c r="G2243" s="32"/>
      <c r="H2243" s="32"/>
    </row>
    <row r="2244" spans="1:8" ht="15.75" customHeight="1">
      <c r="A2244" s="1">
        <v>21100</v>
      </c>
      <c r="B2244" s="2">
        <v>45230.948252314818</v>
      </c>
      <c r="C2244" s="1" t="s">
        <v>10</v>
      </c>
      <c r="D2244" s="1">
        <v>15</v>
      </c>
      <c r="E2244" s="1" t="s">
        <v>92</v>
      </c>
      <c r="F2244" s="59"/>
      <c r="G2244" s="32"/>
      <c r="H2244" s="32"/>
    </row>
    <row r="2245" spans="1:8" ht="15.75" customHeight="1">
      <c r="A2245" s="1">
        <v>21101</v>
      </c>
      <c r="B2245" s="2">
        <v>45230.98133101852</v>
      </c>
      <c r="C2245" s="1" t="s">
        <v>10</v>
      </c>
      <c r="D2245" s="1">
        <v>25</v>
      </c>
      <c r="E2245" s="1" t="s">
        <v>92</v>
      </c>
      <c r="F2245" s="59"/>
      <c r="G2245" s="32"/>
      <c r="H2245" s="32"/>
    </row>
    <row r="2246" spans="1:8" ht="15.75" customHeight="1">
      <c r="A2246" s="1">
        <v>21102</v>
      </c>
      <c r="B2246" s="2">
        <v>45231.058437500003</v>
      </c>
      <c r="C2246" s="1" t="s">
        <v>10</v>
      </c>
      <c r="D2246" s="1">
        <v>25</v>
      </c>
      <c r="E2246" s="1" t="s">
        <v>50</v>
      </c>
      <c r="F2246" s="59"/>
      <c r="G2246" s="32"/>
      <c r="H2246" s="32"/>
    </row>
    <row r="2247" spans="1:8" ht="15.75" customHeight="1">
      <c r="A2247" s="1">
        <v>21104</v>
      </c>
      <c r="B2247" s="2">
        <v>45231.609201388892</v>
      </c>
      <c r="C2247" s="1" t="s">
        <v>10</v>
      </c>
      <c r="D2247" s="1">
        <v>35</v>
      </c>
      <c r="E2247" s="1" t="s">
        <v>75</v>
      </c>
      <c r="F2247" s="59"/>
      <c r="G2247" s="32"/>
      <c r="H2247" s="32"/>
    </row>
    <row r="2248" spans="1:8" ht="15.75" customHeight="1">
      <c r="A2248" s="1">
        <v>21105</v>
      </c>
      <c r="B2248" s="2">
        <v>45231.661631944444</v>
      </c>
      <c r="C2248" s="1" t="s">
        <v>10</v>
      </c>
      <c r="D2248" s="1">
        <v>35</v>
      </c>
      <c r="E2248" s="1" t="s">
        <v>50</v>
      </c>
      <c r="F2248" s="59"/>
      <c r="G2248" s="32"/>
      <c r="H2248" s="32"/>
    </row>
    <row r="2249" spans="1:8" ht="15.75" customHeight="1">
      <c r="A2249" s="1">
        <v>21106</v>
      </c>
      <c r="B2249" s="2">
        <v>45231.706365740742</v>
      </c>
      <c r="C2249" s="1" t="s">
        <v>10</v>
      </c>
      <c r="D2249" s="1">
        <v>55</v>
      </c>
      <c r="E2249" s="1" t="s">
        <v>50</v>
      </c>
      <c r="F2249" s="59"/>
      <c r="G2249" s="32"/>
      <c r="H2249" s="32"/>
    </row>
    <row r="2250" spans="1:8" ht="15.75" customHeight="1">
      <c r="A2250" s="1">
        <v>21107</v>
      </c>
      <c r="B2250" s="2">
        <v>45231.91747685185</v>
      </c>
      <c r="C2250" s="1" t="s">
        <v>10</v>
      </c>
      <c r="D2250" s="1">
        <v>26</v>
      </c>
      <c r="E2250" s="1" t="s">
        <v>92</v>
      </c>
      <c r="F2250" s="59"/>
      <c r="G2250" s="32"/>
      <c r="H2250" s="32"/>
    </row>
    <row r="2251" spans="1:8" ht="15.75" customHeight="1">
      <c r="A2251" s="1">
        <v>21108</v>
      </c>
      <c r="B2251" s="2">
        <v>45231.925891203704</v>
      </c>
      <c r="C2251" s="1" t="s">
        <v>10</v>
      </c>
      <c r="D2251" s="1">
        <v>25</v>
      </c>
      <c r="E2251" s="1" t="s">
        <v>92</v>
      </c>
      <c r="F2251" s="59"/>
      <c r="G2251" s="32"/>
      <c r="H2251" s="32"/>
    </row>
    <row r="2252" spans="1:8" ht="15.75" customHeight="1">
      <c r="A2252" s="1">
        <v>21109</v>
      </c>
      <c r="B2252" s="2">
        <v>45231.930949074071</v>
      </c>
      <c r="C2252" s="1" t="s">
        <v>10</v>
      </c>
      <c r="D2252" s="1">
        <v>25</v>
      </c>
      <c r="E2252" s="1" t="s">
        <v>92</v>
      </c>
      <c r="F2252" s="59"/>
      <c r="G2252" s="32"/>
      <c r="H2252" s="32"/>
    </row>
    <row r="2253" spans="1:8" ht="15.75" customHeight="1">
      <c r="A2253" s="1">
        <v>21110</v>
      </c>
      <c r="B2253" s="2">
        <v>45232.874351851853</v>
      </c>
      <c r="C2253" s="1" t="s">
        <v>10</v>
      </c>
      <c r="D2253" s="1">
        <v>25</v>
      </c>
      <c r="E2253" s="1" t="s">
        <v>50</v>
      </c>
      <c r="F2253" s="59"/>
      <c r="G2253" s="32"/>
      <c r="H2253" s="32"/>
    </row>
    <row r="2254" spans="1:8" ht="15.75" customHeight="1">
      <c r="A2254" s="1">
        <v>21111</v>
      </c>
      <c r="B2254" s="2">
        <v>45232.968240740738</v>
      </c>
      <c r="C2254" s="1" t="s">
        <v>10</v>
      </c>
      <c r="D2254" s="1">
        <v>28</v>
      </c>
      <c r="E2254" s="1" t="s">
        <v>92</v>
      </c>
      <c r="F2254" s="59"/>
      <c r="G2254" s="32"/>
      <c r="H2254" s="32"/>
    </row>
    <row r="2255" spans="1:8" ht="15.75" customHeight="1">
      <c r="A2255" s="1">
        <v>21112</v>
      </c>
      <c r="B2255" s="2">
        <v>45232.997673611113</v>
      </c>
      <c r="C2255" s="1" t="s">
        <v>10</v>
      </c>
      <c r="D2255" s="1">
        <v>22</v>
      </c>
      <c r="E2255" s="1" t="s">
        <v>50</v>
      </c>
      <c r="F2255" s="59"/>
      <c r="G2255" s="32"/>
      <c r="H2255" s="32"/>
    </row>
    <row r="2256" spans="1:8" ht="15.75" customHeight="1">
      <c r="A2256" s="1">
        <v>21113</v>
      </c>
      <c r="B2256" s="2">
        <v>45233.046747685185</v>
      </c>
      <c r="C2256" s="1" t="s">
        <v>10</v>
      </c>
      <c r="D2256" s="1">
        <v>22</v>
      </c>
      <c r="E2256" s="1" t="s">
        <v>92</v>
      </c>
      <c r="F2256" s="59"/>
      <c r="G2256" s="32"/>
      <c r="H2256" s="32"/>
    </row>
    <row r="2257" spans="1:8" ht="15.75" customHeight="1">
      <c r="A2257" s="1">
        <v>21114</v>
      </c>
      <c r="B2257" s="2">
        <v>45233.608078703706</v>
      </c>
      <c r="C2257" s="1" t="s">
        <v>10</v>
      </c>
      <c r="D2257" s="1">
        <v>48</v>
      </c>
      <c r="E2257" s="1" t="s">
        <v>92</v>
      </c>
      <c r="F2257" s="59"/>
      <c r="G2257" s="32"/>
      <c r="H2257" s="32"/>
    </row>
    <row r="2258" spans="1:8" ht="15.75" customHeight="1">
      <c r="A2258" s="1">
        <v>21115</v>
      </c>
      <c r="B2258" s="2">
        <v>45233.680706018517</v>
      </c>
      <c r="C2258" s="1" t="s">
        <v>10</v>
      </c>
      <c r="D2258" s="1">
        <v>15</v>
      </c>
      <c r="E2258" s="1" t="s">
        <v>92</v>
      </c>
      <c r="F2258" s="59"/>
      <c r="G2258" s="32"/>
      <c r="H2258" s="32"/>
    </row>
    <row r="2259" spans="1:8" ht="15.75" customHeight="1">
      <c r="A2259" s="1">
        <v>21116</v>
      </c>
      <c r="B2259" s="2">
        <v>45233.687523148146</v>
      </c>
      <c r="C2259" s="1" t="s">
        <v>10</v>
      </c>
      <c r="D2259" s="1">
        <v>15</v>
      </c>
      <c r="E2259" s="1" t="s">
        <v>91</v>
      </c>
      <c r="F2259" s="59"/>
      <c r="G2259" s="32"/>
      <c r="H2259" s="32"/>
    </row>
    <row r="2260" spans="1:8" ht="15.75" customHeight="1">
      <c r="A2260" s="1">
        <v>21118</v>
      </c>
      <c r="B2260" s="2">
        <v>45233.935972222222</v>
      </c>
      <c r="C2260" s="1" t="s">
        <v>10</v>
      </c>
      <c r="D2260" s="1">
        <v>35</v>
      </c>
      <c r="E2260" s="1" t="s">
        <v>92</v>
      </c>
      <c r="F2260" s="59"/>
      <c r="G2260" s="32"/>
      <c r="H2260" s="32"/>
    </row>
    <row r="2261" spans="1:8" ht="15.75" customHeight="1">
      <c r="A2261" s="1">
        <v>21117</v>
      </c>
      <c r="B2261" s="2">
        <v>45233.934791666667</v>
      </c>
      <c r="C2261" s="1" t="s">
        <v>10</v>
      </c>
      <c r="D2261" s="1">
        <v>35</v>
      </c>
      <c r="E2261" s="1" t="s">
        <v>92</v>
      </c>
      <c r="F2261" s="59"/>
      <c r="G2261" s="32"/>
      <c r="H2261" s="32"/>
    </row>
    <row r="2262" spans="1:8" ht="15.75" customHeight="1">
      <c r="A2262" s="1">
        <v>21119</v>
      </c>
      <c r="B2262" s="2">
        <v>45234.019849537035</v>
      </c>
      <c r="C2262" s="1" t="s">
        <v>10</v>
      </c>
      <c r="D2262" s="1">
        <v>22</v>
      </c>
      <c r="E2262" s="1" t="s">
        <v>50</v>
      </c>
      <c r="F2262" s="59"/>
      <c r="G2262" s="32"/>
      <c r="H2262" s="32"/>
    </row>
    <row r="2263" spans="1:8" ht="15.75" customHeight="1">
      <c r="A2263" s="1">
        <v>21120</v>
      </c>
      <c r="B2263" s="2">
        <v>45234.688657407409</v>
      </c>
      <c r="C2263" s="1" t="s">
        <v>10</v>
      </c>
      <c r="D2263" s="1">
        <v>25</v>
      </c>
      <c r="E2263" s="1" t="s">
        <v>92</v>
      </c>
      <c r="F2263" s="59"/>
      <c r="G2263" s="32"/>
      <c r="H2263" s="32"/>
    </row>
    <row r="2264" spans="1:8" ht="15.75" customHeight="1">
      <c r="A2264" s="1">
        <v>21145</v>
      </c>
      <c r="B2264" s="2">
        <v>45235.0155787037</v>
      </c>
      <c r="C2264" s="1" t="s">
        <v>10</v>
      </c>
      <c r="D2264" s="1">
        <v>42</v>
      </c>
      <c r="E2264" s="1" t="s">
        <v>92</v>
      </c>
      <c r="F2264" s="59"/>
      <c r="G2264" s="32"/>
      <c r="H2264" s="32"/>
    </row>
    <row r="2265" spans="1:8" ht="15.75" customHeight="1">
      <c r="A2265" s="1">
        <v>21146</v>
      </c>
      <c r="B2265" s="2">
        <v>45235.030104166668</v>
      </c>
      <c r="C2265" s="1" t="s">
        <v>10</v>
      </c>
      <c r="D2265" s="1">
        <v>25</v>
      </c>
      <c r="E2265" s="1" t="s">
        <v>92</v>
      </c>
      <c r="F2265" s="59"/>
      <c r="G2265" s="32"/>
      <c r="H2265" s="32"/>
    </row>
    <row r="2266" spans="1:8" ht="15.75" customHeight="1">
      <c r="A2266" s="1">
        <v>21147</v>
      </c>
      <c r="B2266" s="2">
        <v>45235.613159722219</v>
      </c>
      <c r="C2266" s="1" t="s">
        <v>10</v>
      </c>
      <c r="D2266" s="1">
        <v>37</v>
      </c>
      <c r="E2266" s="1" t="s">
        <v>75</v>
      </c>
      <c r="F2266" s="59"/>
      <c r="G2266" s="32"/>
      <c r="H2266" s="32"/>
    </row>
    <row r="2267" spans="1:8" ht="15.75" customHeight="1">
      <c r="A2267" s="1">
        <v>21149</v>
      </c>
      <c r="B2267" s="2">
        <v>45235.718310185184</v>
      </c>
      <c r="C2267" s="1" t="s">
        <v>10</v>
      </c>
      <c r="D2267" s="1">
        <v>25</v>
      </c>
      <c r="E2267" s="1" t="s">
        <v>75</v>
      </c>
      <c r="F2267" s="59"/>
      <c r="G2267" s="32"/>
      <c r="H2267" s="32"/>
    </row>
    <row r="2268" spans="1:8" ht="15.75" customHeight="1">
      <c r="A2268" s="1">
        <v>21151</v>
      </c>
      <c r="B2268" s="2">
        <v>45235.843124999999</v>
      </c>
      <c r="C2268" s="1" t="s">
        <v>10</v>
      </c>
      <c r="D2268" s="1">
        <v>25</v>
      </c>
      <c r="E2268" s="1" t="s">
        <v>92</v>
      </c>
      <c r="F2268" s="59"/>
      <c r="G2268" s="32"/>
      <c r="H2268" s="32"/>
    </row>
    <row r="2269" spans="1:8" ht="15.75" customHeight="1">
      <c r="A2269" s="1">
        <v>21150</v>
      </c>
      <c r="B2269" s="2">
        <v>45235.84065972222</v>
      </c>
      <c r="C2269" s="1" t="s">
        <v>10</v>
      </c>
      <c r="D2269" s="1">
        <v>25</v>
      </c>
      <c r="E2269" s="1" t="s">
        <v>92</v>
      </c>
      <c r="F2269" s="59"/>
      <c r="G2269" s="32"/>
      <c r="H2269" s="32"/>
    </row>
    <row r="2270" spans="1:8" ht="15.75" customHeight="1">
      <c r="A2270" s="1">
        <v>21152</v>
      </c>
      <c r="B2270" s="2">
        <v>45235.88958333333</v>
      </c>
      <c r="C2270" s="1" t="s">
        <v>10</v>
      </c>
      <c r="D2270" s="1">
        <v>26</v>
      </c>
      <c r="E2270" s="1" t="s">
        <v>92</v>
      </c>
      <c r="F2270" s="59"/>
      <c r="G2270" s="32"/>
      <c r="H2270" s="32"/>
    </row>
    <row r="2271" spans="1:8" ht="15.75" customHeight="1">
      <c r="A2271" s="1">
        <v>21153</v>
      </c>
      <c r="B2271" s="2">
        <v>45235.909826388888</v>
      </c>
      <c r="C2271" s="1" t="s">
        <v>10</v>
      </c>
      <c r="D2271" s="1">
        <v>25</v>
      </c>
      <c r="E2271" s="1" t="s">
        <v>50</v>
      </c>
      <c r="F2271" s="59"/>
      <c r="G2271" s="32"/>
      <c r="H2271" s="32"/>
    </row>
    <row r="2272" spans="1:8" ht="15.75" customHeight="1">
      <c r="A2272" s="1">
        <v>21154</v>
      </c>
      <c r="B2272" s="2">
        <v>45235.965648148151</v>
      </c>
      <c r="C2272" s="1" t="s">
        <v>10</v>
      </c>
      <c r="D2272" s="1">
        <v>26</v>
      </c>
      <c r="E2272" s="1" t="s">
        <v>50</v>
      </c>
      <c r="F2272" s="59"/>
      <c r="G2272" s="32"/>
      <c r="H2272" s="32"/>
    </row>
    <row r="2273" spans="1:8" ht="15.75" customHeight="1">
      <c r="A2273" s="1">
        <v>21155</v>
      </c>
      <c r="B2273" s="2">
        <v>45236.032407407409</v>
      </c>
      <c r="C2273" s="1" t="s">
        <v>10</v>
      </c>
      <c r="D2273" s="1">
        <v>41</v>
      </c>
      <c r="E2273" s="1" t="s">
        <v>50</v>
      </c>
      <c r="F2273" s="59"/>
      <c r="G2273" s="32"/>
      <c r="H2273" s="32"/>
    </row>
    <row r="2274" spans="1:8" ht="15.75" customHeight="1">
      <c r="A2274" s="1">
        <v>21156</v>
      </c>
      <c r="B2274" s="2">
        <v>45236.077511574076</v>
      </c>
      <c r="C2274" s="1" t="s">
        <v>10</v>
      </c>
      <c r="D2274" s="1">
        <v>119</v>
      </c>
      <c r="E2274" s="1" t="s">
        <v>50</v>
      </c>
      <c r="F2274" s="59"/>
      <c r="G2274" s="32"/>
      <c r="H2274" s="32"/>
    </row>
    <row r="2275" spans="1:8" ht="15.75" customHeight="1">
      <c r="A2275" s="1">
        <v>21157</v>
      </c>
      <c r="B2275" s="2">
        <v>45236.575995370367</v>
      </c>
      <c r="C2275" s="1" t="s">
        <v>10</v>
      </c>
      <c r="D2275" s="1">
        <v>35</v>
      </c>
      <c r="E2275" s="1" t="s">
        <v>50</v>
      </c>
      <c r="F2275" s="59"/>
      <c r="G2275" s="32"/>
      <c r="H2275" s="32"/>
    </row>
    <row r="2276" spans="1:8" ht="15.75" customHeight="1">
      <c r="A2276" s="1">
        <v>21159</v>
      </c>
      <c r="B2276" s="2">
        <v>45236.624189814815</v>
      </c>
      <c r="C2276" s="1" t="s">
        <v>10</v>
      </c>
      <c r="D2276" s="1">
        <v>28</v>
      </c>
      <c r="E2276" s="1" t="s">
        <v>75</v>
      </c>
      <c r="F2276" s="59"/>
      <c r="G2276" s="32"/>
      <c r="H2276" s="32"/>
    </row>
    <row r="2277" spans="1:8" ht="15.75" customHeight="1">
      <c r="A2277" s="1">
        <v>21158</v>
      </c>
      <c r="B2277" s="2">
        <v>45236.622303240743</v>
      </c>
      <c r="C2277" s="1" t="s">
        <v>10</v>
      </c>
      <c r="D2277" s="1">
        <v>28</v>
      </c>
      <c r="E2277" s="1" t="s">
        <v>75</v>
      </c>
      <c r="F2277" s="59"/>
      <c r="G2277" s="32"/>
      <c r="H2277" s="32"/>
    </row>
    <row r="2278" spans="1:8" ht="15.75" customHeight="1">
      <c r="A2278" s="1">
        <v>21160</v>
      </c>
      <c r="B2278" s="2">
        <v>45236.712638888886</v>
      </c>
      <c r="C2278" s="1" t="s">
        <v>10</v>
      </c>
      <c r="D2278" s="1">
        <v>22</v>
      </c>
      <c r="E2278" s="1" t="s">
        <v>92</v>
      </c>
      <c r="F2278" s="59"/>
      <c r="G2278" s="32"/>
      <c r="H2278" s="32"/>
    </row>
    <row r="2279" spans="1:8" ht="15.75" customHeight="1">
      <c r="A2279" s="1">
        <v>21161</v>
      </c>
      <c r="B2279" s="2">
        <v>45236.787546296298</v>
      </c>
      <c r="C2279" s="1" t="s">
        <v>10</v>
      </c>
      <c r="D2279" s="1">
        <v>26</v>
      </c>
      <c r="E2279" s="1" t="s">
        <v>92</v>
      </c>
      <c r="F2279" s="59"/>
      <c r="G2279" s="32"/>
      <c r="H2279" s="32"/>
    </row>
    <row r="2280" spans="1:8" ht="15.75" customHeight="1">
      <c r="A2280" s="1">
        <v>21163</v>
      </c>
      <c r="B2280" s="2">
        <v>45237.10255787037</v>
      </c>
      <c r="C2280" s="1" t="s">
        <v>52</v>
      </c>
      <c r="D2280" s="1">
        <v>15</v>
      </c>
      <c r="E2280" s="1" t="s">
        <v>92</v>
      </c>
      <c r="F2280" s="59"/>
      <c r="G2280" s="32"/>
      <c r="H2280" s="32"/>
    </row>
    <row r="2281" spans="1:8" ht="15.75" customHeight="1">
      <c r="A2281" s="1">
        <v>21162</v>
      </c>
      <c r="B2281" s="2">
        <v>45237.09957175926</v>
      </c>
      <c r="C2281" s="1" t="s">
        <v>10</v>
      </c>
      <c r="D2281" s="1">
        <v>48</v>
      </c>
      <c r="E2281" s="1" t="s">
        <v>92</v>
      </c>
      <c r="F2281" s="59"/>
      <c r="G2281" s="32"/>
      <c r="H2281" s="32"/>
    </row>
    <row r="2282" spans="1:8" ht="15.75" customHeight="1">
      <c r="A2282" s="1">
        <v>21164</v>
      </c>
      <c r="B2282" s="2">
        <v>45237.126620370371</v>
      </c>
      <c r="C2282" s="1" t="s">
        <v>10</v>
      </c>
      <c r="D2282" s="1">
        <v>42</v>
      </c>
      <c r="E2282" s="1" t="s">
        <v>74</v>
      </c>
      <c r="F2282" s="59"/>
      <c r="G2282" s="32"/>
      <c r="H2282" s="32"/>
    </row>
    <row r="2283" spans="1:8" ht="15.75" customHeight="1">
      <c r="A2283" s="1">
        <v>21165</v>
      </c>
      <c r="B2283" s="2">
        <v>45237.573321759257</v>
      </c>
      <c r="C2283" s="1" t="s">
        <v>10</v>
      </c>
      <c r="D2283" s="1">
        <v>26</v>
      </c>
      <c r="E2283" s="1" t="s">
        <v>50</v>
      </c>
      <c r="F2283" s="59"/>
      <c r="G2283" s="32"/>
      <c r="H2283" s="32"/>
    </row>
    <row r="2284" spans="1:8" ht="15.75" customHeight="1">
      <c r="A2284" s="1">
        <v>21167</v>
      </c>
      <c r="B2284" s="2">
        <v>45237.633773148147</v>
      </c>
      <c r="C2284" s="1" t="s">
        <v>10</v>
      </c>
      <c r="D2284" s="1">
        <v>22</v>
      </c>
      <c r="E2284" s="1" t="s">
        <v>92</v>
      </c>
      <c r="F2284" s="59"/>
      <c r="G2284" s="32"/>
      <c r="H2284" s="32"/>
    </row>
    <row r="2285" spans="1:8" ht="15.75" customHeight="1">
      <c r="A2285" s="1">
        <v>21166</v>
      </c>
      <c r="B2285" s="2">
        <v>45237.632314814815</v>
      </c>
      <c r="C2285" s="1" t="s">
        <v>10</v>
      </c>
      <c r="D2285" s="1">
        <v>22</v>
      </c>
      <c r="E2285" s="1" t="s">
        <v>92</v>
      </c>
      <c r="F2285" s="59"/>
      <c r="G2285" s="32"/>
      <c r="H2285" s="32"/>
    </row>
    <row r="2286" spans="1:8" ht="15.75" customHeight="1">
      <c r="A2286" s="1">
        <v>21168</v>
      </c>
      <c r="B2286" s="2">
        <v>45237.832766203705</v>
      </c>
      <c r="C2286" s="1" t="s">
        <v>10</v>
      </c>
      <c r="D2286" s="1">
        <v>154</v>
      </c>
      <c r="E2286" s="1" t="s">
        <v>50</v>
      </c>
      <c r="F2286" s="59"/>
      <c r="G2286" s="32"/>
      <c r="H2286" s="32"/>
    </row>
    <row r="2287" spans="1:8" ht="15.75" customHeight="1">
      <c r="A2287" s="1">
        <v>21169</v>
      </c>
      <c r="B2287" s="2">
        <v>45237.968460648146</v>
      </c>
      <c r="C2287" s="1" t="s">
        <v>10</v>
      </c>
      <c r="D2287" s="1">
        <v>25</v>
      </c>
      <c r="E2287" s="1" t="s">
        <v>50</v>
      </c>
      <c r="F2287" s="59"/>
      <c r="G2287" s="32"/>
      <c r="H2287" s="32"/>
    </row>
    <row r="2288" spans="1:8" ht="15.75" customHeight="1">
      <c r="A2288" s="1">
        <v>21172</v>
      </c>
      <c r="B2288" s="2">
        <v>45238.749525462961</v>
      </c>
      <c r="C2288" s="1" t="s">
        <v>10</v>
      </c>
      <c r="D2288" s="1">
        <v>53</v>
      </c>
      <c r="E2288" s="1" t="s">
        <v>50</v>
      </c>
      <c r="F2288" s="59"/>
      <c r="G2288" s="32"/>
      <c r="H2288" s="32"/>
    </row>
    <row r="2289" spans="1:8" ht="15.75" customHeight="1">
      <c r="A2289" s="1">
        <v>21173</v>
      </c>
      <c r="B2289" s="2">
        <v>45238.819849537038</v>
      </c>
      <c r="C2289" s="1" t="s">
        <v>0</v>
      </c>
      <c r="D2289" s="1">
        <v>0</v>
      </c>
      <c r="E2289" s="1" t="s">
        <v>75</v>
      </c>
      <c r="F2289" s="59"/>
      <c r="G2289" s="32"/>
      <c r="H2289" s="32"/>
    </row>
    <row r="2290" spans="1:8" ht="15.75" customHeight="1">
      <c r="A2290" s="1">
        <v>21174</v>
      </c>
      <c r="B2290" s="2">
        <v>45238.991539351853</v>
      </c>
      <c r="C2290" s="1" t="s">
        <v>10</v>
      </c>
      <c r="D2290" s="1">
        <v>15</v>
      </c>
      <c r="E2290" s="1" t="s">
        <v>92</v>
      </c>
      <c r="F2290" s="59"/>
      <c r="G2290" s="32"/>
      <c r="H2290" s="32"/>
    </row>
    <row r="2291" spans="1:8" ht="15.75" customHeight="1">
      <c r="A2291" s="1">
        <v>21175</v>
      </c>
      <c r="B2291" s="2">
        <v>45238.993368055555</v>
      </c>
      <c r="C2291" s="1" t="s">
        <v>10</v>
      </c>
      <c r="D2291" s="1">
        <v>15</v>
      </c>
      <c r="E2291" s="1" t="s">
        <v>92</v>
      </c>
      <c r="F2291" s="59"/>
      <c r="G2291" s="32"/>
      <c r="H2291" s="32"/>
    </row>
    <row r="2292" spans="1:8" ht="15.75" customHeight="1">
      <c r="A2292" s="1">
        <v>21176</v>
      </c>
      <c r="B2292" s="2">
        <v>45239.012384259258</v>
      </c>
      <c r="C2292" s="1" t="s">
        <v>10</v>
      </c>
      <c r="D2292" s="1">
        <v>26</v>
      </c>
      <c r="E2292" s="1" t="s">
        <v>50</v>
      </c>
      <c r="F2292" s="59"/>
      <c r="G2292" s="32"/>
      <c r="H2292" s="32"/>
    </row>
    <row r="2293" spans="1:8" ht="15.75" customHeight="1">
      <c r="A2293" s="1">
        <v>21178</v>
      </c>
      <c r="B2293" s="2">
        <v>45239.017199074071</v>
      </c>
      <c r="C2293" s="1" t="s">
        <v>10</v>
      </c>
      <c r="D2293" s="1">
        <v>40</v>
      </c>
      <c r="E2293" s="1" t="s">
        <v>92</v>
      </c>
      <c r="F2293" s="59"/>
      <c r="G2293" s="32"/>
      <c r="H2293" s="32"/>
    </row>
    <row r="2294" spans="1:8" ht="15.75" customHeight="1">
      <c r="A2294" s="1">
        <v>21177</v>
      </c>
      <c r="B2294" s="2">
        <v>45239.014733796299</v>
      </c>
      <c r="C2294" s="1" t="s">
        <v>10</v>
      </c>
      <c r="D2294" s="1">
        <v>26</v>
      </c>
      <c r="E2294" s="1" t="s">
        <v>50</v>
      </c>
      <c r="F2294" s="59"/>
      <c r="G2294" s="32"/>
      <c r="H2294" s="32"/>
    </row>
    <row r="2295" spans="1:8" ht="15.75" customHeight="1">
      <c r="A2295" s="1">
        <v>21180</v>
      </c>
      <c r="B2295" s="2">
        <v>45239.080752314818</v>
      </c>
      <c r="C2295" s="1" t="s">
        <v>10</v>
      </c>
      <c r="D2295" s="1">
        <v>25</v>
      </c>
      <c r="E2295" s="1" t="s">
        <v>92</v>
      </c>
      <c r="F2295" s="59"/>
      <c r="G2295" s="32"/>
      <c r="H2295" s="32"/>
    </row>
    <row r="2296" spans="1:8" ht="15.75" customHeight="1">
      <c r="A2296" s="1">
        <v>21179</v>
      </c>
      <c r="B2296" s="2">
        <v>45239.078912037039</v>
      </c>
      <c r="C2296" s="1" t="s">
        <v>10</v>
      </c>
      <c r="D2296" s="1">
        <v>25</v>
      </c>
      <c r="E2296" s="1" t="s">
        <v>92</v>
      </c>
      <c r="F2296" s="59"/>
      <c r="G2296" s="32"/>
      <c r="H2296" s="32"/>
    </row>
    <row r="2297" spans="1:8" ht="15.75" customHeight="1">
      <c r="A2297" s="1">
        <v>21181</v>
      </c>
      <c r="B2297" s="2">
        <v>45239.129675925928</v>
      </c>
      <c r="C2297" s="1" t="s">
        <v>10</v>
      </c>
      <c r="D2297" s="1">
        <v>100</v>
      </c>
      <c r="E2297" s="1" t="s">
        <v>50</v>
      </c>
      <c r="F2297" s="59"/>
      <c r="G2297" s="32"/>
      <c r="H2297" s="32"/>
    </row>
    <row r="2298" spans="1:8" ht="15.75" customHeight="1">
      <c r="A2298" s="1">
        <v>21182</v>
      </c>
      <c r="B2298" s="2">
        <v>45239.664768518516</v>
      </c>
      <c r="C2298" s="1" t="s">
        <v>10</v>
      </c>
      <c r="D2298" s="1">
        <v>15</v>
      </c>
      <c r="E2298" s="1" t="s">
        <v>92</v>
      </c>
      <c r="F2298" s="59"/>
      <c r="G2298" s="32"/>
      <c r="H2298" s="32"/>
    </row>
    <row r="2299" spans="1:8" ht="15.75" customHeight="1">
      <c r="A2299" s="1">
        <v>21183</v>
      </c>
      <c r="B2299" s="2">
        <v>45239.696631944447</v>
      </c>
      <c r="C2299" s="1" t="s">
        <v>10</v>
      </c>
      <c r="D2299" s="1">
        <v>42</v>
      </c>
      <c r="E2299" s="1" t="s">
        <v>75</v>
      </c>
      <c r="F2299" s="59"/>
      <c r="G2299" s="32"/>
      <c r="H2299" s="32"/>
    </row>
    <row r="2300" spans="1:8" ht="15.75" customHeight="1">
      <c r="A2300" s="1">
        <v>21184</v>
      </c>
      <c r="B2300" s="2">
        <v>45239.794108796297</v>
      </c>
      <c r="C2300" s="1" t="s">
        <v>10</v>
      </c>
      <c r="D2300" s="1">
        <v>55</v>
      </c>
      <c r="E2300" s="1" t="s">
        <v>92</v>
      </c>
      <c r="F2300" s="59"/>
      <c r="G2300" s="32"/>
      <c r="H2300" s="32"/>
    </row>
    <row r="2301" spans="1:8" ht="15.75" customHeight="1">
      <c r="A2301" s="1">
        <v>21185</v>
      </c>
      <c r="B2301" s="2">
        <v>45239.98</v>
      </c>
      <c r="C2301" s="1" t="s">
        <v>10</v>
      </c>
      <c r="D2301" s="1">
        <v>30</v>
      </c>
      <c r="E2301" s="1" t="s">
        <v>92</v>
      </c>
      <c r="F2301" s="59"/>
      <c r="G2301" s="32"/>
      <c r="H2301" s="32"/>
    </row>
    <row r="2302" spans="1:8" ht="15.75" customHeight="1">
      <c r="A2302" s="1">
        <v>21186</v>
      </c>
      <c r="B2302" s="2">
        <v>45239.988738425927</v>
      </c>
      <c r="C2302" s="1" t="s">
        <v>10</v>
      </c>
      <c r="D2302" s="1">
        <v>46</v>
      </c>
      <c r="E2302" s="1" t="s">
        <v>92</v>
      </c>
      <c r="F2302" s="59"/>
      <c r="G2302" s="32"/>
      <c r="H2302" s="32"/>
    </row>
    <row r="2303" spans="1:8" ht="15.75" customHeight="1">
      <c r="A2303" s="1">
        <v>21187</v>
      </c>
      <c r="B2303" s="2">
        <v>45240.076863425929</v>
      </c>
      <c r="C2303" s="1" t="s">
        <v>10</v>
      </c>
      <c r="D2303" s="1">
        <v>26</v>
      </c>
      <c r="E2303" s="1" t="s">
        <v>50</v>
      </c>
      <c r="F2303" s="59"/>
      <c r="G2303" s="32"/>
      <c r="H2303" s="32"/>
    </row>
    <row r="2304" spans="1:8" ht="15.75" customHeight="1">
      <c r="A2304" s="1">
        <v>21203</v>
      </c>
      <c r="B2304" s="2">
        <v>45240.820393518516</v>
      </c>
      <c r="C2304" s="1" t="s">
        <v>10</v>
      </c>
      <c r="D2304" s="1">
        <v>48</v>
      </c>
      <c r="E2304" s="1" t="s">
        <v>50</v>
      </c>
      <c r="F2304" s="59"/>
      <c r="G2304" s="32"/>
      <c r="H2304" s="32"/>
    </row>
    <row r="2305" spans="1:8" ht="15.75" customHeight="1">
      <c r="A2305" s="1">
        <v>21204</v>
      </c>
      <c r="B2305" s="2">
        <v>45240.905231481483</v>
      </c>
      <c r="C2305" s="1" t="s">
        <v>10</v>
      </c>
      <c r="D2305" s="1">
        <v>26</v>
      </c>
      <c r="E2305" s="1" t="s">
        <v>50</v>
      </c>
      <c r="F2305" s="59"/>
      <c r="G2305" s="32"/>
      <c r="H2305" s="32"/>
    </row>
    <row r="2306" spans="1:8" ht="15.75" customHeight="1">
      <c r="A2306" s="1">
        <v>21205</v>
      </c>
      <c r="B2306" s="2">
        <v>45241.06459490741</v>
      </c>
      <c r="C2306" s="1" t="s">
        <v>10</v>
      </c>
      <c r="D2306" s="1">
        <v>26</v>
      </c>
      <c r="E2306" s="1" t="s">
        <v>92</v>
      </c>
      <c r="F2306" s="59"/>
      <c r="G2306" s="32"/>
      <c r="H2306" s="32"/>
    </row>
    <row r="2307" spans="1:8" ht="15.75" customHeight="1">
      <c r="A2307" s="1">
        <v>21206</v>
      </c>
      <c r="B2307" s="2">
        <v>45241.724004629628</v>
      </c>
      <c r="C2307" s="1" t="s">
        <v>10</v>
      </c>
      <c r="D2307" s="1">
        <v>109</v>
      </c>
      <c r="E2307" s="1" t="s">
        <v>50</v>
      </c>
      <c r="F2307" s="59"/>
      <c r="G2307" s="32"/>
      <c r="H2307" s="32"/>
    </row>
    <row r="2308" spans="1:8" ht="15.75" customHeight="1">
      <c r="A2308" s="1">
        <v>21207</v>
      </c>
      <c r="B2308" s="2">
        <v>45241.85864583333</v>
      </c>
      <c r="C2308" s="1" t="s">
        <v>10</v>
      </c>
      <c r="D2308" s="1">
        <v>50</v>
      </c>
      <c r="E2308" s="1" t="s">
        <v>50</v>
      </c>
      <c r="F2308" s="59"/>
      <c r="G2308" s="32"/>
      <c r="H2308" s="32"/>
    </row>
    <row r="2309" spans="1:8" ht="15.75" customHeight="1">
      <c r="A2309" s="1">
        <v>21208</v>
      </c>
      <c r="B2309" s="2">
        <v>45241.874027777776</v>
      </c>
      <c r="C2309" s="1" t="s">
        <v>10</v>
      </c>
      <c r="D2309" s="1">
        <v>25</v>
      </c>
      <c r="E2309" s="1" t="s">
        <v>92</v>
      </c>
      <c r="F2309" s="59"/>
      <c r="G2309" s="32"/>
      <c r="H2309" s="32"/>
    </row>
    <row r="2310" spans="1:8" ht="15.75" customHeight="1">
      <c r="A2310" s="1">
        <v>21209</v>
      </c>
      <c r="B2310" s="2">
        <v>45241.88449074074</v>
      </c>
      <c r="C2310" s="1" t="s">
        <v>10</v>
      </c>
      <c r="D2310" s="1">
        <v>25</v>
      </c>
      <c r="E2310" s="1" t="s">
        <v>92</v>
      </c>
      <c r="F2310" s="59"/>
      <c r="G2310" s="32"/>
      <c r="H2310" s="32"/>
    </row>
    <row r="2311" spans="1:8" ht="15.75" customHeight="1">
      <c r="A2311" s="1">
        <v>21211</v>
      </c>
      <c r="B2311" s="2">
        <v>45242.150405092594</v>
      </c>
      <c r="C2311" s="1" t="s">
        <v>10</v>
      </c>
      <c r="D2311" s="1">
        <v>25</v>
      </c>
      <c r="E2311" s="1" t="s">
        <v>92</v>
      </c>
      <c r="F2311" s="59"/>
      <c r="G2311" s="32"/>
      <c r="H2311" s="32"/>
    </row>
    <row r="2312" spans="1:8" ht="15.75" customHeight="1">
      <c r="A2312" s="1">
        <v>21287</v>
      </c>
      <c r="B2312" s="2">
        <v>45242.623182870368</v>
      </c>
      <c r="C2312" s="1" t="s">
        <v>10</v>
      </c>
      <c r="D2312" s="1">
        <v>35</v>
      </c>
      <c r="E2312" s="1" t="s">
        <v>50</v>
      </c>
      <c r="F2312" s="59"/>
      <c r="G2312" s="32"/>
      <c r="H2312" s="32"/>
    </row>
    <row r="2313" spans="1:8" ht="15.75" customHeight="1">
      <c r="A2313" s="1">
        <v>21292</v>
      </c>
      <c r="B2313" s="2">
        <v>45242.75608796296</v>
      </c>
      <c r="C2313" s="1" t="s">
        <v>10</v>
      </c>
      <c r="D2313" s="1">
        <v>35</v>
      </c>
      <c r="E2313" s="1" t="s">
        <v>50</v>
      </c>
      <c r="F2313" s="59"/>
      <c r="G2313" s="32"/>
      <c r="H2313" s="32"/>
    </row>
    <row r="2314" spans="1:8" ht="15.75" customHeight="1">
      <c r="A2314" s="1">
        <v>21293</v>
      </c>
      <c r="B2314" s="2">
        <v>45242.758483796293</v>
      </c>
      <c r="C2314" s="1" t="s">
        <v>10</v>
      </c>
      <c r="D2314" s="1">
        <v>35</v>
      </c>
      <c r="E2314" s="1" t="s">
        <v>50</v>
      </c>
      <c r="F2314" s="59"/>
      <c r="G2314" s="32"/>
      <c r="H2314" s="32"/>
    </row>
    <row r="2315" spans="1:8" ht="15.75" customHeight="1">
      <c r="A2315" s="1">
        <v>21300</v>
      </c>
      <c r="B2315" s="2">
        <v>45243.053495370368</v>
      </c>
      <c r="C2315" s="1" t="s">
        <v>10</v>
      </c>
      <c r="D2315" s="1">
        <v>50</v>
      </c>
      <c r="E2315" s="1" t="s">
        <v>50</v>
      </c>
      <c r="F2315" s="59"/>
      <c r="G2315" s="32"/>
      <c r="H2315" s="32"/>
    </row>
    <row r="2316" spans="1:8" ht="15.75" customHeight="1">
      <c r="A2316" s="1">
        <v>21365</v>
      </c>
      <c r="B2316" s="2">
        <v>45243.551076388889</v>
      </c>
      <c r="C2316" s="1" t="s">
        <v>10</v>
      </c>
      <c r="D2316" s="1">
        <v>44</v>
      </c>
      <c r="E2316" s="1" t="s">
        <v>91</v>
      </c>
      <c r="F2316" s="59"/>
      <c r="G2316" s="32"/>
      <c r="H2316" s="32"/>
    </row>
    <row r="2317" spans="1:8" ht="15.75" customHeight="1">
      <c r="A2317" s="1">
        <v>21366</v>
      </c>
      <c r="B2317" s="2">
        <v>45243.699849537035</v>
      </c>
      <c r="C2317" s="1" t="s">
        <v>10</v>
      </c>
      <c r="D2317" s="1">
        <v>35</v>
      </c>
      <c r="E2317" s="1" t="s">
        <v>50</v>
      </c>
      <c r="F2317" s="59"/>
      <c r="G2317" s="32"/>
      <c r="H2317" s="32"/>
    </row>
    <row r="2318" spans="1:8" ht="15.75" customHeight="1">
      <c r="A2318" s="1">
        <v>21367</v>
      </c>
      <c r="B2318" s="2">
        <v>45243.964872685188</v>
      </c>
      <c r="C2318" s="1" t="s">
        <v>10</v>
      </c>
      <c r="D2318" s="1">
        <v>25</v>
      </c>
      <c r="E2318" s="1" t="s">
        <v>50</v>
      </c>
      <c r="F2318" s="59"/>
      <c r="G2318" s="32"/>
      <c r="H2318" s="32"/>
    </row>
    <row r="2319" spans="1:8" ht="15.75" customHeight="1">
      <c r="A2319" s="1">
        <v>21464</v>
      </c>
      <c r="B2319" s="2">
        <v>45244.831493055557</v>
      </c>
      <c r="C2319" s="1" t="s">
        <v>10</v>
      </c>
      <c r="D2319" s="1">
        <v>35</v>
      </c>
      <c r="E2319" s="1" t="s">
        <v>92</v>
      </c>
      <c r="F2319" s="59"/>
      <c r="G2319" s="32"/>
      <c r="H2319" s="32"/>
    </row>
    <row r="2320" spans="1:8" ht="15.75" customHeight="1">
      <c r="A2320" s="1">
        <v>21465</v>
      </c>
      <c r="B2320" s="2">
        <v>45244.974456018521</v>
      </c>
      <c r="C2320" s="1" t="s">
        <v>10</v>
      </c>
      <c r="D2320" s="1">
        <v>22</v>
      </c>
      <c r="E2320" s="1" t="s">
        <v>92</v>
      </c>
      <c r="F2320" s="59"/>
      <c r="G2320" s="32"/>
      <c r="H2320" s="32"/>
    </row>
    <row r="2321" spans="1:8" ht="15.75" customHeight="1">
      <c r="A2321" s="1">
        <v>21472</v>
      </c>
      <c r="B2321" s="2">
        <v>45245.717152777775</v>
      </c>
      <c r="C2321" s="1" t="s">
        <v>10</v>
      </c>
      <c r="D2321" s="1">
        <v>25</v>
      </c>
      <c r="E2321" s="1" t="s">
        <v>90</v>
      </c>
      <c r="F2321" s="59"/>
      <c r="G2321" s="32"/>
      <c r="H2321" s="32"/>
    </row>
    <row r="2322" spans="1:8" ht="15.75" customHeight="1">
      <c r="A2322" s="1">
        <v>21473</v>
      </c>
      <c r="B2322" s="2">
        <v>45245.818715277775</v>
      </c>
      <c r="C2322" s="1" t="s">
        <v>10</v>
      </c>
      <c r="D2322" s="1">
        <v>61</v>
      </c>
      <c r="E2322" s="1" t="s">
        <v>74</v>
      </c>
      <c r="F2322" s="59"/>
      <c r="G2322" s="32"/>
      <c r="H2322" s="32"/>
    </row>
    <row r="2323" spans="1:8" ht="15.75" customHeight="1">
      <c r="A2323" s="1">
        <v>21517</v>
      </c>
      <c r="B2323" s="2">
        <v>45248.558310185188</v>
      </c>
      <c r="C2323" s="1" t="s">
        <v>10</v>
      </c>
      <c r="D2323" s="1">
        <v>57</v>
      </c>
      <c r="E2323" s="1" t="s">
        <v>75</v>
      </c>
      <c r="F2323" s="59"/>
      <c r="G2323" s="32"/>
      <c r="H2323" s="32"/>
    </row>
    <row r="2324" spans="1:8" ht="15.75" customHeight="1">
      <c r="A2324" s="1">
        <v>21518</v>
      </c>
      <c r="B2324" s="2">
        <v>45248.72855324074</v>
      </c>
      <c r="C2324" s="1" t="s">
        <v>10</v>
      </c>
      <c r="D2324" s="1">
        <v>15</v>
      </c>
      <c r="E2324" s="1" t="s">
        <v>90</v>
      </c>
      <c r="F2324" s="59"/>
      <c r="G2324" s="32"/>
      <c r="H2324" s="32"/>
    </row>
    <row r="2325" spans="1:8" ht="15.75" customHeight="1">
      <c r="A2325" s="1">
        <v>21525</v>
      </c>
      <c r="B2325" s="2">
        <v>45248.975277777776</v>
      </c>
      <c r="C2325" s="1" t="s">
        <v>10</v>
      </c>
      <c r="D2325" s="1">
        <v>35</v>
      </c>
      <c r="E2325" s="1" t="s">
        <v>92</v>
      </c>
      <c r="F2325" s="59"/>
      <c r="G2325" s="32"/>
      <c r="H2325" s="32"/>
    </row>
    <row r="2326" spans="1:8" ht="15.75" customHeight="1">
      <c r="A2326" s="1">
        <v>21532</v>
      </c>
      <c r="B2326" s="2">
        <v>45250.559259259258</v>
      </c>
      <c r="C2326" s="1" t="s">
        <v>10</v>
      </c>
      <c r="D2326" s="1">
        <v>26</v>
      </c>
      <c r="E2326" s="1" t="s">
        <v>92</v>
      </c>
      <c r="F2326" s="59"/>
      <c r="G2326" s="32"/>
      <c r="H2326" s="32"/>
    </row>
    <row r="2327" spans="1:8" ht="15.75" customHeight="1">
      <c r="A2327" s="1">
        <v>21537</v>
      </c>
      <c r="B2327" s="2">
        <v>45251.112881944442</v>
      </c>
      <c r="C2327" s="1" t="s">
        <v>51</v>
      </c>
      <c r="D2327" s="1">
        <v>232</v>
      </c>
      <c r="E2327" s="1" t="s">
        <v>92</v>
      </c>
      <c r="F2327" s="59"/>
      <c r="G2327" s="32"/>
      <c r="H2327" s="32"/>
    </row>
    <row r="2328" spans="1:8" ht="15.75" customHeight="1">
      <c r="A2328" s="1">
        <v>21552</v>
      </c>
      <c r="B2328" s="2">
        <v>45251.750231481485</v>
      </c>
      <c r="C2328" s="1" t="s">
        <v>10</v>
      </c>
      <c r="D2328" s="1">
        <v>56</v>
      </c>
      <c r="E2328" s="1" t="s">
        <v>92</v>
      </c>
      <c r="F2328" s="59"/>
      <c r="G2328" s="32"/>
      <c r="H2328" s="32"/>
    </row>
    <row r="2329" spans="1:8" ht="15.75" customHeight="1">
      <c r="A2329" s="1">
        <v>21555</v>
      </c>
      <c r="B2329" s="2">
        <v>45251.860578703701</v>
      </c>
      <c r="C2329" s="1" t="s">
        <v>10</v>
      </c>
      <c r="D2329" s="1">
        <v>25</v>
      </c>
      <c r="E2329" s="1" t="s">
        <v>92</v>
      </c>
      <c r="F2329" s="59"/>
      <c r="G2329" s="32"/>
      <c r="H2329" s="32"/>
    </row>
    <row r="2330" spans="1:8" ht="15.75" customHeight="1">
      <c r="A2330" s="1">
        <v>21581</v>
      </c>
      <c r="B2330" s="2">
        <v>45253.027986111112</v>
      </c>
      <c r="C2330" s="1" t="s">
        <v>10</v>
      </c>
      <c r="D2330" s="1">
        <v>25</v>
      </c>
      <c r="E2330" s="1" t="s">
        <v>94</v>
      </c>
      <c r="F2330" s="59"/>
      <c r="G2330" s="32"/>
      <c r="H2330" s="32"/>
    </row>
    <row r="2331" spans="1:8" ht="15.75" customHeight="1">
      <c r="A2331" s="1">
        <v>21582</v>
      </c>
      <c r="B2331" s="2">
        <v>45253.107881944445</v>
      </c>
      <c r="C2331" s="1" t="s">
        <v>10</v>
      </c>
      <c r="D2331" s="1">
        <v>103</v>
      </c>
      <c r="E2331" s="1" t="s">
        <v>74</v>
      </c>
      <c r="F2331" s="59"/>
      <c r="G2331" s="32"/>
      <c r="H2331" s="32"/>
    </row>
    <row r="2332" spans="1:8" ht="15.75" customHeight="1">
      <c r="A2332" s="1">
        <v>21587</v>
      </c>
      <c r="B2332" s="2">
        <v>45253.825590277775</v>
      </c>
      <c r="C2332" s="1" t="s">
        <v>10</v>
      </c>
      <c r="D2332" s="1">
        <v>75</v>
      </c>
      <c r="E2332" s="1" t="s">
        <v>94</v>
      </c>
      <c r="F2332" s="59"/>
      <c r="G2332" s="32"/>
      <c r="H2332" s="32"/>
    </row>
    <row r="2333" spans="1:8" ht="15.75" customHeight="1">
      <c r="A2333" s="1">
        <v>21586</v>
      </c>
      <c r="B2333" s="2">
        <v>45253.823310185187</v>
      </c>
      <c r="C2333" s="1" t="s">
        <v>10</v>
      </c>
      <c r="D2333" s="1">
        <v>55</v>
      </c>
      <c r="E2333" s="1" t="s">
        <v>94</v>
      </c>
      <c r="F2333" s="59"/>
      <c r="G2333" s="32"/>
      <c r="H2333" s="32"/>
    </row>
    <row r="2334" spans="1:8" ht="15.75" customHeight="1">
      <c r="A2334" s="1">
        <v>21588</v>
      </c>
      <c r="B2334" s="2">
        <v>45254.728587962964</v>
      </c>
      <c r="C2334" s="1" t="s">
        <v>10</v>
      </c>
      <c r="D2334" s="1">
        <v>135</v>
      </c>
      <c r="E2334" s="1" t="s">
        <v>94</v>
      </c>
      <c r="F2334" s="59"/>
      <c r="G2334" s="32"/>
      <c r="H2334" s="32"/>
    </row>
    <row r="2335" spans="1:8" ht="15.75" customHeight="1">
      <c r="A2335" s="1">
        <v>21589</v>
      </c>
      <c r="B2335" s="2">
        <v>45256.074166666665</v>
      </c>
      <c r="C2335" s="1" t="s">
        <v>10</v>
      </c>
      <c r="D2335" s="1">
        <v>26</v>
      </c>
      <c r="E2335" s="1" t="s">
        <v>74</v>
      </c>
      <c r="F2335" s="59"/>
      <c r="G2335" s="32"/>
      <c r="H2335" s="32"/>
    </row>
    <row r="2336" spans="1:8" ht="15.75" customHeight="1">
      <c r="A2336" s="1">
        <v>21590</v>
      </c>
      <c r="B2336" s="2">
        <v>45256.652557870373</v>
      </c>
      <c r="C2336" s="1" t="s">
        <v>10</v>
      </c>
      <c r="D2336" s="1">
        <v>22</v>
      </c>
      <c r="E2336" s="1" t="s">
        <v>94</v>
      </c>
      <c r="F2336" s="59"/>
      <c r="G2336" s="32"/>
      <c r="H2336" s="32"/>
    </row>
    <row r="2337" spans="1:8" ht="15.75" customHeight="1">
      <c r="A2337" s="1">
        <v>21591</v>
      </c>
      <c r="B2337" s="2">
        <v>45257.073912037034</v>
      </c>
      <c r="C2337" s="1" t="s">
        <v>10</v>
      </c>
      <c r="D2337" s="1">
        <v>25</v>
      </c>
      <c r="E2337" s="1" t="s">
        <v>94</v>
      </c>
      <c r="F2337" s="59"/>
      <c r="G2337" s="32"/>
      <c r="H2337" s="32"/>
    </row>
    <row r="2338" spans="1:8" ht="15.75" customHeight="1">
      <c r="A2338" s="1">
        <v>21593</v>
      </c>
      <c r="B2338" s="2">
        <v>45257.08090277778</v>
      </c>
      <c r="C2338" s="1" t="s">
        <v>10</v>
      </c>
      <c r="D2338" s="1">
        <v>45</v>
      </c>
      <c r="E2338" s="1" t="s">
        <v>94</v>
      </c>
      <c r="F2338" s="59"/>
      <c r="G2338" s="32"/>
      <c r="H2338" s="32"/>
    </row>
    <row r="2339" spans="1:8" ht="15.75" customHeight="1">
      <c r="A2339" s="1">
        <v>21592</v>
      </c>
      <c r="B2339" s="2">
        <v>45257.076145833336</v>
      </c>
      <c r="C2339" s="1" t="s">
        <v>10</v>
      </c>
      <c r="D2339" s="1">
        <v>25</v>
      </c>
      <c r="E2339" s="1" t="s">
        <v>94</v>
      </c>
      <c r="F2339" s="59"/>
      <c r="G2339" s="32"/>
      <c r="H2339" s="32"/>
    </row>
    <row r="2340" spans="1:8" ht="15.75" customHeight="1">
      <c r="A2340" s="1">
        <v>21594</v>
      </c>
      <c r="B2340" s="2">
        <v>45257.14503472222</v>
      </c>
      <c r="C2340" s="1" t="s">
        <v>10</v>
      </c>
      <c r="D2340" s="1">
        <v>25</v>
      </c>
      <c r="E2340" s="1" t="s">
        <v>74</v>
      </c>
      <c r="F2340" s="59"/>
      <c r="G2340" s="32"/>
      <c r="H2340" s="32"/>
    </row>
    <row r="2341" spans="1:8" ht="15.75" customHeight="1">
      <c r="A2341" s="1">
        <v>21599</v>
      </c>
      <c r="B2341" s="2">
        <v>45257.715636574074</v>
      </c>
      <c r="C2341" s="1" t="s">
        <v>10</v>
      </c>
      <c r="D2341" s="1">
        <v>100</v>
      </c>
      <c r="E2341" s="1" t="s">
        <v>94</v>
      </c>
      <c r="F2341" s="59"/>
      <c r="G2341" s="32"/>
      <c r="H2341" s="32"/>
    </row>
    <row r="2342" spans="1:8" ht="15.75" customHeight="1">
      <c r="A2342" s="1">
        <v>21600</v>
      </c>
      <c r="B2342" s="2">
        <v>45257.831759259258</v>
      </c>
      <c r="C2342" s="1" t="s">
        <v>10</v>
      </c>
      <c r="D2342" s="1">
        <v>15</v>
      </c>
      <c r="E2342" s="1" t="s">
        <v>50</v>
      </c>
      <c r="F2342" s="59"/>
      <c r="G2342" s="32"/>
      <c r="H2342" s="32"/>
    </row>
    <row r="2343" spans="1:8" ht="15.75" customHeight="1">
      <c r="A2343" s="1">
        <v>21601</v>
      </c>
      <c r="B2343" s="2">
        <v>45258.010428240741</v>
      </c>
      <c r="C2343" s="1" t="s">
        <v>10</v>
      </c>
      <c r="D2343" s="1">
        <v>50</v>
      </c>
      <c r="E2343" s="1" t="s">
        <v>50</v>
      </c>
      <c r="F2343" s="59"/>
      <c r="G2343" s="32"/>
      <c r="H2343" s="32"/>
    </row>
    <row r="2344" spans="1:8" ht="15.75" customHeight="1">
      <c r="A2344" s="1">
        <v>21602</v>
      </c>
      <c r="B2344" s="2">
        <v>45258.060173611113</v>
      </c>
      <c r="C2344" s="1" t="s">
        <v>10</v>
      </c>
      <c r="D2344" s="1">
        <v>41</v>
      </c>
      <c r="E2344" s="1" t="s">
        <v>92</v>
      </c>
      <c r="F2344" s="59"/>
      <c r="G2344" s="32"/>
      <c r="H2344" s="32"/>
    </row>
    <row r="2345" spans="1:8" ht="15.75" customHeight="1">
      <c r="A2345" s="1">
        <v>21603</v>
      </c>
      <c r="B2345" s="2">
        <v>45258.064375000002</v>
      </c>
      <c r="C2345" s="1" t="s">
        <v>10</v>
      </c>
      <c r="D2345" s="1">
        <v>48</v>
      </c>
      <c r="E2345" s="1" t="s">
        <v>50</v>
      </c>
      <c r="F2345" s="59"/>
      <c r="G2345" s="32"/>
      <c r="H2345" s="32"/>
    </row>
    <row r="2346" spans="1:8" ht="15.75" customHeight="1">
      <c r="A2346" s="1">
        <v>21606</v>
      </c>
      <c r="B2346" s="2">
        <v>45258.103472222225</v>
      </c>
      <c r="C2346" s="1" t="s">
        <v>10</v>
      </c>
      <c r="D2346" s="1">
        <v>25</v>
      </c>
      <c r="E2346" s="1" t="s">
        <v>50</v>
      </c>
      <c r="F2346" s="59"/>
      <c r="G2346" s="32"/>
      <c r="H2346" s="32"/>
    </row>
    <row r="2347" spans="1:8" ht="15.75" customHeight="1">
      <c r="A2347" s="1">
        <v>21607</v>
      </c>
      <c r="B2347" s="2">
        <v>45258.105011574073</v>
      </c>
      <c r="C2347" s="1" t="s">
        <v>10</v>
      </c>
      <c r="D2347" s="1">
        <v>25</v>
      </c>
      <c r="E2347" s="1" t="s">
        <v>50</v>
      </c>
      <c r="F2347" s="59"/>
      <c r="G2347" s="32"/>
      <c r="H2347" s="32"/>
    </row>
    <row r="2348" spans="1:8" ht="15.75" customHeight="1">
      <c r="A2348" s="1">
        <v>21609</v>
      </c>
      <c r="B2348" s="2">
        <v>45258.110578703701</v>
      </c>
      <c r="C2348" s="1" t="s">
        <v>10</v>
      </c>
      <c r="D2348" s="1">
        <v>20</v>
      </c>
      <c r="E2348" s="1" t="s">
        <v>50</v>
      </c>
      <c r="F2348" s="59"/>
      <c r="G2348" s="32"/>
      <c r="H2348" s="32"/>
    </row>
    <row r="2349" spans="1:8" ht="15.75" customHeight="1">
      <c r="A2349" s="1">
        <v>21611</v>
      </c>
      <c r="B2349" s="2">
        <v>45258.134363425925</v>
      </c>
      <c r="C2349" s="1" t="s">
        <v>10</v>
      </c>
      <c r="D2349" s="1">
        <v>35</v>
      </c>
      <c r="E2349" s="1" t="s">
        <v>79</v>
      </c>
      <c r="F2349" s="59"/>
      <c r="G2349" s="32"/>
      <c r="H2349" s="32"/>
    </row>
    <row r="2350" spans="1:8" ht="15.75" customHeight="1">
      <c r="A2350" s="1">
        <v>21612</v>
      </c>
      <c r="B2350" s="2">
        <v>45258.193379629629</v>
      </c>
      <c r="C2350" s="1" t="s">
        <v>10</v>
      </c>
      <c r="D2350" s="1">
        <v>15</v>
      </c>
      <c r="E2350" s="1" t="s">
        <v>50</v>
      </c>
      <c r="F2350" s="59"/>
      <c r="G2350" s="32"/>
      <c r="H2350" s="32"/>
    </row>
    <row r="2351" spans="1:8" ht="15.75" customHeight="1">
      <c r="A2351" s="1">
        <v>21615</v>
      </c>
      <c r="B2351" s="2">
        <v>45259.512546296297</v>
      </c>
      <c r="C2351" s="1" t="s">
        <v>10</v>
      </c>
      <c r="D2351" s="1">
        <v>25</v>
      </c>
      <c r="E2351" s="1" t="s">
        <v>94</v>
      </c>
      <c r="F2351" s="59"/>
      <c r="G2351" s="32"/>
      <c r="H2351" s="32"/>
    </row>
    <row r="2352" spans="1:8" ht="15.75" customHeight="1">
      <c r="A2352" s="1">
        <v>21649</v>
      </c>
      <c r="B2352" s="2">
        <v>45260.915416666663</v>
      </c>
      <c r="C2352" s="1" t="s">
        <v>95</v>
      </c>
      <c r="D2352" s="1">
        <v>41</v>
      </c>
      <c r="E2352" s="1" t="s">
        <v>50</v>
      </c>
      <c r="F2352" s="59"/>
      <c r="G2352" s="32"/>
      <c r="H2352" s="32"/>
    </row>
    <row r="2353" spans="1:8" ht="15.75" customHeight="1">
      <c r="A2353" s="1">
        <v>21650</v>
      </c>
      <c r="B2353" s="2">
        <v>45261.124895833331</v>
      </c>
      <c r="C2353" s="1" t="s">
        <v>51</v>
      </c>
      <c r="D2353" s="1">
        <v>76</v>
      </c>
      <c r="F2353" s="59"/>
      <c r="G2353" s="32"/>
      <c r="H2353" s="32"/>
    </row>
    <row r="2354" spans="1:8" ht="15.75" customHeight="1">
      <c r="A2354" s="1">
        <v>21654</v>
      </c>
      <c r="B2354" s="2">
        <v>45261.155497685184</v>
      </c>
      <c r="C2354" s="1" t="s">
        <v>10</v>
      </c>
      <c r="D2354" s="1">
        <v>35</v>
      </c>
      <c r="E2354" s="1" t="s">
        <v>94</v>
      </c>
      <c r="F2354" s="59"/>
      <c r="G2354" s="32"/>
      <c r="H2354" s="32"/>
    </row>
    <row r="2355" spans="1:8" ht="15.75" customHeight="1">
      <c r="A2355" s="1">
        <v>21659</v>
      </c>
      <c r="B2355" s="2">
        <v>45261.698703703703</v>
      </c>
      <c r="C2355" s="1" t="s">
        <v>10</v>
      </c>
      <c r="D2355" s="1">
        <v>15</v>
      </c>
      <c r="E2355" s="1" t="s">
        <v>91</v>
      </c>
      <c r="F2355" s="59"/>
      <c r="G2355" s="32"/>
      <c r="H2355" s="32"/>
    </row>
    <row r="2356" spans="1:8" ht="15.75" customHeight="1">
      <c r="A2356" s="1">
        <v>21661</v>
      </c>
      <c r="B2356" s="2">
        <v>45262.026192129626</v>
      </c>
      <c r="C2356" s="1" t="s">
        <v>10</v>
      </c>
      <c r="D2356" s="1">
        <v>18</v>
      </c>
      <c r="E2356" s="1" t="s">
        <v>94</v>
      </c>
      <c r="F2356" s="59"/>
      <c r="G2356" s="32"/>
      <c r="H2356" s="32"/>
    </row>
    <row r="2357" spans="1:8" ht="15.75" customHeight="1">
      <c r="A2357" s="1">
        <v>21660</v>
      </c>
      <c r="B2357" s="2">
        <v>45262.023379629631</v>
      </c>
      <c r="C2357" s="1" t="s">
        <v>10</v>
      </c>
      <c r="D2357" s="1">
        <v>57</v>
      </c>
      <c r="E2357" s="1" t="s">
        <v>94</v>
      </c>
      <c r="F2357" s="59"/>
      <c r="G2357" s="32"/>
      <c r="H2357" s="32"/>
    </row>
    <row r="2358" spans="1:8" ht="15.75" customHeight="1">
      <c r="A2358" s="1">
        <v>21666</v>
      </c>
      <c r="B2358" s="2">
        <v>45262.059872685182</v>
      </c>
      <c r="C2358" s="1" t="s">
        <v>10</v>
      </c>
      <c r="D2358" s="1">
        <v>76</v>
      </c>
      <c r="E2358" s="1" t="s">
        <v>94</v>
      </c>
      <c r="F2358" s="59"/>
      <c r="G2358" s="32"/>
      <c r="H2358" s="32"/>
    </row>
    <row r="2359" spans="1:8" ht="15.75" customHeight="1">
      <c r="A2359" s="1">
        <v>21667</v>
      </c>
      <c r="B2359" s="2">
        <v>45262.517256944448</v>
      </c>
      <c r="C2359" s="1" t="s">
        <v>10</v>
      </c>
      <c r="D2359" s="1">
        <v>15</v>
      </c>
      <c r="E2359" s="1" t="s">
        <v>94</v>
      </c>
      <c r="F2359" s="59"/>
      <c r="G2359" s="32"/>
      <c r="H2359" s="32"/>
    </row>
    <row r="2360" spans="1:8" ht="15.75" customHeight="1">
      <c r="A2360" s="1">
        <v>21668</v>
      </c>
      <c r="B2360" s="2">
        <v>45262.893946759257</v>
      </c>
      <c r="C2360" s="1" t="s">
        <v>10</v>
      </c>
      <c r="D2360" s="1">
        <v>28</v>
      </c>
      <c r="E2360" s="1" t="s">
        <v>91</v>
      </c>
      <c r="F2360" s="59"/>
      <c r="G2360" s="32"/>
      <c r="H2360" s="32"/>
    </row>
    <row r="2361" spans="1:8" ht="15.75" customHeight="1">
      <c r="A2361" s="1">
        <v>21669</v>
      </c>
      <c r="B2361" s="2">
        <v>45262.946412037039</v>
      </c>
      <c r="C2361" s="1" t="s">
        <v>10</v>
      </c>
      <c r="D2361" s="1">
        <v>42</v>
      </c>
      <c r="E2361" s="1" t="s">
        <v>94</v>
      </c>
      <c r="F2361" s="59"/>
      <c r="G2361" s="32"/>
      <c r="H2361" s="32"/>
    </row>
    <row r="2362" spans="1:8" ht="15.75" customHeight="1">
      <c r="A2362" s="1">
        <v>21670</v>
      </c>
      <c r="B2362" s="2">
        <v>45263.013148148151</v>
      </c>
      <c r="C2362" s="1" t="s">
        <v>10</v>
      </c>
      <c r="D2362" s="1">
        <v>22</v>
      </c>
      <c r="E2362" s="1" t="s">
        <v>94</v>
      </c>
      <c r="F2362" s="59"/>
      <c r="G2362" s="32"/>
      <c r="H2362" s="32"/>
    </row>
    <row r="2363" spans="1:8" ht="15.75" customHeight="1">
      <c r="A2363" s="1">
        <v>21671</v>
      </c>
      <c r="B2363" s="2">
        <v>45263.063923611109</v>
      </c>
      <c r="C2363" s="1" t="s">
        <v>10</v>
      </c>
      <c r="D2363" s="1">
        <v>25</v>
      </c>
      <c r="E2363" s="1" t="s">
        <v>94</v>
      </c>
      <c r="F2363" s="59"/>
      <c r="G2363" s="32"/>
      <c r="H2363" s="32"/>
    </row>
    <row r="2364" spans="1:8" ht="15.75" customHeight="1">
      <c r="A2364" s="1">
        <v>21672</v>
      </c>
      <c r="B2364" s="2">
        <v>45263.127071759256</v>
      </c>
      <c r="C2364" s="1" t="s">
        <v>10</v>
      </c>
      <c r="D2364" s="1">
        <v>15</v>
      </c>
      <c r="E2364" s="1" t="s">
        <v>94</v>
      </c>
      <c r="F2364" s="59"/>
      <c r="G2364" s="32"/>
      <c r="H2364" s="32"/>
    </row>
    <row r="2365" spans="1:8" ht="15.75" customHeight="1">
      <c r="A2365" s="1">
        <v>21673</v>
      </c>
      <c r="B2365" s="2">
        <v>45264.019895833335</v>
      </c>
      <c r="C2365" s="1" t="s">
        <v>10</v>
      </c>
      <c r="D2365" s="1">
        <v>22</v>
      </c>
      <c r="E2365" s="1" t="s">
        <v>96</v>
      </c>
      <c r="F2365" s="59"/>
      <c r="G2365" s="32"/>
      <c r="H2365" s="32"/>
    </row>
    <row r="2366" spans="1:8" ht="15.75" customHeight="1">
      <c r="A2366" s="1">
        <v>21676</v>
      </c>
      <c r="B2366" s="2">
        <v>45264.414097222223</v>
      </c>
      <c r="C2366" s="1" t="s">
        <v>10</v>
      </c>
      <c r="D2366" s="1">
        <v>20</v>
      </c>
      <c r="E2366" s="1" t="s">
        <v>92</v>
      </c>
      <c r="F2366" s="59"/>
      <c r="G2366" s="32"/>
      <c r="H2366" s="32"/>
    </row>
    <row r="2367" spans="1:8" ht="15.75" customHeight="1">
      <c r="A2367" s="1">
        <v>21677</v>
      </c>
      <c r="B2367" s="2">
        <v>45264.670115740744</v>
      </c>
      <c r="C2367" s="1" t="s">
        <v>10</v>
      </c>
      <c r="D2367" s="1">
        <v>15</v>
      </c>
      <c r="E2367" s="1" t="s">
        <v>94</v>
      </c>
      <c r="F2367" s="59"/>
      <c r="G2367" s="32"/>
      <c r="H2367" s="32"/>
    </row>
    <row r="2368" spans="1:8" ht="15.75" customHeight="1">
      <c r="A2368" s="1">
        <v>21678</v>
      </c>
      <c r="B2368" s="2">
        <v>45264.691979166666</v>
      </c>
      <c r="C2368" s="1" t="s">
        <v>10</v>
      </c>
      <c r="D2368" s="1">
        <v>35</v>
      </c>
      <c r="E2368" s="1" t="s">
        <v>94</v>
      </c>
      <c r="F2368" s="59"/>
      <c r="G2368" s="32"/>
      <c r="H2368" s="32"/>
    </row>
    <row r="2369" spans="1:8" ht="15.75" customHeight="1">
      <c r="A2369" s="1">
        <v>21679</v>
      </c>
      <c r="B2369" s="2">
        <v>45264.730567129627</v>
      </c>
      <c r="C2369" s="1" t="s">
        <v>10</v>
      </c>
      <c r="D2369" s="1">
        <v>25</v>
      </c>
      <c r="E2369" s="1" t="s">
        <v>94</v>
      </c>
      <c r="F2369" s="59"/>
      <c r="G2369" s="32"/>
      <c r="H2369" s="32"/>
    </row>
    <row r="2370" spans="1:8" ht="15.75" customHeight="1">
      <c r="A2370" s="1">
        <v>21680</v>
      </c>
      <c r="B2370" s="2">
        <v>45264.778298611112</v>
      </c>
      <c r="C2370" s="1" t="s">
        <v>16</v>
      </c>
      <c r="D2370" s="1">
        <v>0</v>
      </c>
      <c r="E2370" s="1" t="s">
        <v>94</v>
      </c>
      <c r="F2370" s="59"/>
      <c r="G2370" s="32"/>
      <c r="H2370" s="32"/>
    </row>
    <row r="2371" spans="1:8" ht="15.75" customHeight="1">
      <c r="A2371" s="1">
        <v>21681</v>
      </c>
      <c r="B2371" s="2">
        <v>45264.798495370371</v>
      </c>
      <c r="C2371" s="1" t="s">
        <v>10</v>
      </c>
      <c r="D2371" s="1">
        <v>55</v>
      </c>
      <c r="E2371" s="1" t="s">
        <v>94</v>
      </c>
      <c r="F2371" s="59"/>
      <c r="G2371" s="32"/>
      <c r="H2371" s="32"/>
    </row>
    <row r="2372" spans="1:8" ht="15.75" customHeight="1">
      <c r="A2372" s="1">
        <v>21682</v>
      </c>
      <c r="B2372" s="2">
        <v>45264.890243055554</v>
      </c>
      <c r="C2372" s="1" t="s">
        <v>10</v>
      </c>
      <c r="D2372" s="1">
        <v>25</v>
      </c>
      <c r="E2372" s="1" t="s">
        <v>94</v>
      </c>
      <c r="F2372" s="59"/>
      <c r="G2372" s="32"/>
      <c r="H2372" s="32"/>
    </row>
    <row r="2373" spans="1:8" ht="15.75" customHeight="1">
      <c r="A2373" s="1">
        <v>21683</v>
      </c>
      <c r="B2373" s="2">
        <v>45264.899409722224</v>
      </c>
      <c r="C2373" s="1" t="s">
        <v>10</v>
      </c>
      <c r="D2373" s="1">
        <v>25</v>
      </c>
      <c r="E2373" s="1" t="s">
        <v>94</v>
      </c>
      <c r="F2373" s="59"/>
      <c r="G2373" s="32"/>
      <c r="H2373" s="32"/>
    </row>
    <row r="2374" spans="1:8" ht="15.75" customHeight="1">
      <c r="A2374" s="1">
        <v>21684</v>
      </c>
      <c r="B2374" s="2">
        <v>45264.993680555555</v>
      </c>
      <c r="C2374" s="1" t="s">
        <v>10</v>
      </c>
      <c r="D2374" s="1">
        <v>25</v>
      </c>
      <c r="E2374" s="1" t="s">
        <v>94</v>
      </c>
      <c r="F2374" s="59"/>
      <c r="G2374" s="32"/>
      <c r="H2374" s="32"/>
    </row>
    <row r="2375" spans="1:8" ht="15.75" customHeight="1">
      <c r="A2375" s="1">
        <v>21685</v>
      </c>
      <c r="B2375" s="2">
        <v>45265.585162037038</v>
      </c>
      <c r="C2375" s="1" t="s">
        <v>95</v>
      </c>
      <c r="D2375" s="1">
        <v>50</v>
      </c>
      <c r="E2375" s="1" t="s">
        <v>94</v>
      </c>
      <c r="F2375" s="59"/>
      <c r="G2375" s="32"/>
      <c r="H2375" s="32"/>
    </row>
    <row r="2376" spans="1:8" ht="15.75" customHeight="1">
      <c r="A2376" s="1">
        <v>21686</v>
      </c>
      <c r="B2376" s="2">
        <v>45265.829062500001</v>
      </c>
      <c r="C2376" s="1" t="s">
        <v>10</v>
      </c>
      <c r="D2376" s="1">
        <v>15</v>
      </c>
      <c r="E2376" s="1" t="s">
        <v>50</v>
      </c>
      <c r="F2376" s="59"/>
      <c r="G2376" s="32"/>
      <c r="H2376" s="32"/>
    </row>
    <row r="2377" spans="1:8" ht="15.75" customHeight="1">
      <c r="A2377" s="1">
        <v>21688</v>
      </c>
      <c r="B2377" s="2">
        <v>45267.055428240739</v>
      </c>
      <c r="C2377" s="1" t="s">
        <v>10</v>
      </c>
      <c r="D2377" s="1">
        <v>25</v>
      </c>
      <c r="E2377" s="1" t="s">
        <v>94</v>
      </c>
      <c r="F2377" s="59"/>
      <c r="G2377" s="32"/>
      <c r="H2377" s="32"/>
    </row>
    <row r="2378" spans="1:8" ht="15.75" customHeight="1">
      <c r="A2378" s="1">
        <v>21691</v>
      </c>
      <c r="B2378" s="2">
        <v>45267.176562499997</v>
      </c>
      <c r="C2378" s="1" t="s">
        <v>0</v>
      </c>
      <c r="D2378" s="1">
        <v>0</v>
      </c>
      <c r="F2378" s="59"/>
      <c r="G2378" s="32"/>
      <c r="H2378" s="32"/>
    </row>
    <row r="2379" spans="1:8" ht="15.75" customHeight="1">
      <c r="A2379" s="1">
        <v>21692</v>
      </c>
      <c r="B2379" s="2">
        <v>45267.233449074076</v>
      </c>
      <c r="C2379" s="1" t="s">
        <v>95</v>
      </c>
      <c r="D2379" s="1">
        <v>46</v>
      </c>
      <c r="E2379" s="1" t="s">
        <v>92</v>
      </c>
      <c r="F2379" s="59"/>
      <c r="G2379" s="32"/>
      <c r="H2379" s="32"/>
    </row>
    <row r="2380" spans="1:8" ht="15.75" customHeight="1">
      <c r="A2380" s="1">
        <v>21694</v>
      </c>
      <c r="B2380" s="2">
        <v>45268.120740740742</v>
      </c>
      <c r="C2380" s="1" t="s">
        <v>10</v>
      </c>
      <c r="D2380" s="1">
        <v>55</v>
      </c>
      <c r="E2380" s="1" t="s">
        <v>92</v>
      </c>
      <c r="F2380" s="59"/>
      <c r="G2380" s="32"/>
      <c r="H2380" s="32"/>
    </row>
    <row r="2381" spans="1:8" ht="15.75" customHeight="1">
      <c r="A2381" s="1">
        <v>21695</v>
      </c>
      <c r="B2381" s="2">
        <v>45268.60765046296</v>
      </c>
      <c r="C2381" s="1" t="s">
        <v>10</v>
      </c>
      <c r="D2381" s="1">
        <v>35</v>
      </c>
      <c r="E2381" s="1" t="s">
        <v>94</v>
      </c>
      <c r="F2381" s="59"/>
      <c r="G2381" s="32"/>
      <c r="H2381" s="32"/>
    </row>
    <row r="2382" spans="1:8" ht="15.75" customHeight="1">
      <c r="A2382" s="1">
        <v>21699</v>
      </c>
      <c r="B2382" s="2">
        <v>45269.578344907408</v>
      </c>
      <c r="C2382" s="1" t="s">
        <v>10</v>
      </c>
      <c r="D2382" s="1">
        <v>25</v>
      </c>
      <c r="E2382" s="1" t="s">
        <v>50</v>
      </c>
      <c r="F2382" s="59"/>
      <c r="G2382" s="32"/>
      <c r="H2382" s="32"/>
    </row>
    <row r="2383" spans="1:8" ht="15.75" customHeight="1">
      <c r="A2383" s="1">
        <v>21706</v>
      </c>
      <c r="B2383" s="2">
        <v>45272.004467592589</v>
      </c>
      <c r="C2383" s="1" t="s">
        <v>10</v>
      </c>
      <c r="D2383" s="1">
        <v>25</v>
      </c>
      <c r="E2383" s="1" t="s">
        <v>75</v>
      </c>
      <c r="F2383" s="59"/>
      <c r="G2383" s="32"/>
      <c r="H2383" s="32"/>
    </row>
    <row r="2384" spans="1:8" ht="15.75" customHeight="1">
      <c r="A2384" s="1">
        <v>21721</v>
      </c>
      <c r="B2384" s="2">
        <v>45272.099363425928</v>
      </c>
      <c r="C2384" s="1" t="s">
        <v>51</v>
      </c>
      <c r="D2384" s="1">
        <v>0</v>
      </c>
      <c r="E2384" s="1" t="s">
        <v>50</v>
      </c>
      <c r="F2384" s="59"/>
      <c r="G2384" s="32"/>
      <c r="H2384" s="32"/>
    </row>
    <row r="2385" spans="1:8" ht="15.75" customHeight="1">
      <c r="A2385" s="1">
        <v>21782</v>
      </c>
      <c r="B2385" s="2">
        <v>45274.601064814815</v>
      </c>
      <c r="C2385" s="1" t="s">
        <v>10</v>
      </c>
      <c r="D2385" s="1">
        <v>25</v>
      </c>
      <c r="E2385" s="1" t="s">
        <v>50</v>
      </c>
      <c r="F2385" s="59"/>
      <c r="G2385" s="32"/>
      <c r="H2385" s="32"/>
    </row>
    <row r="2386" spans="1:8" ht="15.75" customHeight="1">
      <c r="A2386" s="1">
        <v>21806</v>
      </c>
      <c r="B2386" s="2">
        <v>45276.904803240737</v>
      </c>
      <c r="C2386" s="1" t="s">
        <v>10</v>
      </c>
      <c r="D2386" s="1">
        <v>25</v>
      </c>
      <c r="E2386" s="1" t="s">
        <v>50</v>
      </c>
      <c r="F2386" s="59"/>
      <c r="G2386" s="32"/>
      <c r="H2386" s="32"/>
    </row>
    <row r="2387" spans="1:8" ht="15.75" customHeight="1">
      <c r="A2387" s="1">
        <v>21807</v>
      </c>
      <c r="B2387" s="2">
        <v>45277.128541666665</v>
      </c>
      <c r="C2387" s="1" t="s">
        <v>10</v>
      </c>
      <c r="D2387" s="1">
        <v>15</v>
      </c>
      <c r="E2387" s="1" t="s">
        <v>96</v>
      </c>
      <c r="F2387" s="59"/>
      <c r="G2387" s="32"/>
      <c r="H2387" s="32"/>
    </row>
    <row r="2388" spans="1:8" ht="15.75" customHeight="1">
      <c r="A2388" s="1">
        <v>21808</v>
      </c>
      <c r="B2388" s="2">
        <v>45277.766770833332</v>
      </c>
      <c r="C2388" s="1" t="s">
        <v>0</v>
      </c>
      <c r="D2388" s="1">
        <v>47</v>
      </c>
      <c r="E2388" s="1" t="s">
        <v>96</v>
      </c>
      <c r="F2388" s="59"/>
      <c r="G2388" s="32"/>
      <c r="H2388" s="32"/>
    </row>
    <row r="2389" spans="1:8" ht="15.75" customHeight="1">
      <c r="A2389" s="1">
        <v>21810</v>
      </c>
      <c r="B2389" s="2">
        <v>45278.031261574077</v>
      </c>
      <c r="C2389" s="1" t="s">
        <v>0</v>
      </c>
      <c r="D2389" s="1">
        <v>26</v>
      </c>
      <c r="E2389" s="1" t="s">
        <v>92</v>
      </c>
      <c r="F2389" s="59"/>
      <c r="G2389" s="32"/>
      <c r="H2389" s="32"/>
    </row>
    <row r="2390" spans="1:8" ht="15.75" customHeight="1">
      <c r="B2390" s="2"/>
      <c r="F2390" s="59"/>
      <c r="G2390" s="32"/>
      <c r="H2390" s="32"/>
    </row>
    <row r="2391" spans="1:8" ht="15.75" customHeight="1">
      <c r="B2391" s="2"/>
      <c r="F2391" s="59"/>
      <c r="G2391" s="32"/>
      <c r="H2391" s="32"/>
    </row>
    <row r="2392" spans="1:8" ht="15.75" customHeight="1">
      <c r="B2392" s="2"/>
      <c r="F2392" s="59"/>
      <c r="G2392" s="32"/>
      <c r="H2392" s="32"/>
    </row>
    <row r="2393" spans="1:8" ht="15.75" customHeight="1">
      <c r="B2393" s="2"/>
      <c r="F2393" s="59"/>
      <c r="G2393" s="32"/>
      <c r="H2393" s="32"/>
    </row>
    <row r="2394" spans="1:8" ht="15.75" customHeight="1">
      <c r="B2394" s="2"/>
      <c r="F2394" s="59"/>
      <c r="G2394" s="32"/>
      <c r="H2394" s="32"/>
    </row>
    <row r="2395" spans="1:8" ht="15.75" customHeight="1">
      <c r="B2395" s="2"/>
      <c r="F2395" s="59"/>
      <c r="G2395" s="32"/>
      <c r="H2395" s="32"/>
    </row>
    <row r="2396" spans="1:8" ht="15.75" customHeight="1">
      <c r="B2396" s="2"/>
      <c r="F2396" s="59"/>
      <c r="G2396" s="32"/>
      <c r="H2396" s="32"/>
    </row>
    <row r="2397" spans="1:8" ht="15.75" customHeight="1">
      <c r="B2397" s="2"/>
      <c r="F2397" s="59"/>
      <c r="G2397" s="32"/>
      <c r="H2397" s="32"/>
    </row>
    <row r="2398" spans="1:8" ht="15.75" customHeight="1">
      <c r="B2398" s="2"/>
      <c r="F2398" s="59"/>
      <c r="G2398" s="32"/>
      <c r="H2398" s="32"/>
    </row>
    <row r="2399" spans="1:8" ht="15.75" customHeight="1">
      <c r="B2399" s="2"/>
      <c r="F2399" s="59"/>
      <c r="G2399" s="32"/>
      <c r="H2399" s="32"/>
    </row>
    <row r="2400" spans="1:8" ht="15.75" customHeight="1">
      <c r="B2400" s="2"/>
      <c r="F2400" s="59"/>
      <c r="G2400" s="32"/>
      <c r="H2400" s="32"/>
    </row>
    <row r="2401" spans="2:8" ht="15.75" customHeight="1">
      <c r="B2401" s="2"/>
      <c r="F2401" s="59"/>
      <c r="G2401" s="32"/>
      <c r="H2401" s="32"/>
    </row>
    <row r="2402" spans="2:8" ht="15.75" customHeight="1">
      <c r="B2402" s="2"/>
      <c r="F2402" s="59"/>
      <c r="G2402" s="32"/>
      <c r="H2402" s="32"/>
    </row>
    <row r="2403" spans="2:8" ht="15.75" customHeight="1">
      <c r="B2403" s="2"/>
      <c r="F2403" s="59"/>
      <c r="G2403" s="32"/>
      <c r="H2403" s="32"/>
    </row>
    <row r="2404" spans="2:8" ht="15.75" customHeight="1">
      <c r="B2404" s="2"/>
      <c r="F2404" s="59"/>
      <c r="G2404" s="32"/>
      <c r="H2404" s="32"/>
    </row>
    <row r="2405" spans="2:8" ht="15.75" customHeight="1">
      <c r="B2405" s="2"/>
      <c r="F2405" s="59"/>
      <c r="G2405" s="32"/>
      <c r="H2405" s="32"/>
    </row>
    <row r="2406" spans="2:8" ht="15.75" customHeight="1">
      <c r="B2406" s="2"/>
      <c r="F2406" s="59"/>
      <c r="G2406" s="32"/>
      <c r="H2406" s="32"/>
    </row>
    <row r="2407" spans="2:8" ht="15.75" customHeight="1">
      <c r="B2407" s="2"/>
      <c r="F2407" s="59"/>
      <c r="G2407" s="32"/>
      <c r="H2407" s="32"/>
    </row>
    <row r="2408" spans="2:8" ht="15.75" customHeight="1">
      <c r="B2408" s="2"/>
      <c r="F2408" s="59"/>
      <c r="G2408" s="32"/>
      <c r="H2408" s="32"/>
    </row>
    <row r="2409" spans="2:8" ht="15.75" customHeight="1">
      <c r="B2409" s="2"/>
      <c r="F2409" s="59"/>
      <c r="G2409" s="32"/>
      <c r="H2409" s="32"/>
    </row>
    <row r="2410" spans="2:8" ht="15.75" customHeight="1">
      <c r="B2410" s="2"/>
      <c r="F2410" s="59"/>
      <c r="G2410" s="32"/>
      <c r="H2410" s="32"/>
    </row>
    <row r="2411" spans="2:8" ht="15.75" customHeight="1">
      <c r="B2411" s="2"/>
      <c r="F2411" s="59"/>
      <c r="G2411" s="32"/>
      <c r="H2411" s="32"/>
    </row>
    <row r="2412" spans="2:8" ht="15.75" customHeight="1">
      <c r="B2412" s="2"/>
      <c r="F2412" s="59"/>
      <c r="G2412" s="32"/>
      <c r="H2412" s="32"/>
    </row>
    <row r="2413" spans="2:8" ht="15.75" customHeight="1">
      <c r="B2413" s="2"/>
      <c r="F2413" s="59"/>
      <c r="G2413" s="32"/>
      <c r="H2413" s="32"/>
    </row>
    <row r="2414" spans="2:8" ht="15.75" customHeight="1">
      <c r="B2414" s="2"/>
      <c r="F2414" s="59"/>
      <c r="G2414" s="32"/>
      <c r="H2414" s="32"/>
    </row>
    <row r="2415" spans="2:8" ht="15.75" customHeight="1">
      <c r="B2415" s="2"/>
      <c r="F2415" s="59"/>
      <c r="G2415" s="32"/>
      <c r="H2415" s="32"/>
    </row>
    <row r="2416" spans="2:8" ht="15.75" customHeight="1">
      <c r="B2416" s="2"/>
      <c r="F2416" s="59"/>
      <c r="G2416" s="32"/>
      <c r="H2416" s="32"/>
    </row>
    <row r="2417" spans="2:8" ht="15.75" customHeight="1">
      <c r="B2417" s="2"/>
      <c r="F2417" s="59"/>
      <c r="G2417" s="32"/>
      <c r="H2417" s="32"/>
    </row>
    <row r="2418" spans="2:8" ht="15.75" customHeight="1">
      <c r="B2418" s="2"/>
      <c r="F2418" s="59"/>
      <c r="G2418" s="32"/>
      <c r="H2418" s="32"/>
    </row>
    <row r="2419" spans="2:8" ht="15.75" customHeight="1">
      <c r="B2419" s="2"/>
      <c r="F2419" s="59"/>
      <c r="G2419" s="32"/>
      <c r="H2419" s="32"/>
    </row>
    <row r="2420" spans="2:8" ht="15.75" customHeight="1">
      <c r="B2420" s="2"/>
      <c r="F2420" s="59"/>
      <c r="G2420" s="32"/>
      <c r="H2420" s="32"/>
    </row>
    <row r="2421" spans="2:8" ht="15.75" customHeight="1">
      <c r="B2421" s="2"/>
      <c r="F2421" s="59"/>
      <c r="G2421" s="32"/>
      <c r="H2421" s="32"/>
    </row>
    <row r="2422" spans="2:8" ht="15.75" customHeight="1">
      <c r="B2422" s="2"/>
      <c r="F2422" s="59"/>
      <c r="G2422" s="32"/>
      <c r="H2422" s="32"/>
    </row>
    <row r="2423" spans="2:8" ht="15.75" customHeight="1">
      <c r="B2423" s="2"/>
      <c r="F2423" s="59"/>
      <c r="G2423" s="32"/>
      <c r="H2423" s="32"/>
    </row>
    <row r="2424" spans="2:8" ht="15.75" customHeight="1">
      <c r="B2424" s="2"/>
      <c r="F2424" s="59"/>
      <c r="G2424" s="32"/>
      <c r="H2424" s="32"/>
    </row>
    <row r="2425" spans="2:8" ht="15.75" customHeight="1">
      <c r="B2425" s="2"/>
      <c r="F2425" s="59"/>
      <c r="G2425" s="32"/>
      <c r="H2425" s="32"/>
    </row>
    <row r="2426" spans="2:8" ht="15.75" customHeight="1">
      <c r="B2426" s="2"/>
      <c r="F2426" s="59"/>
      <c r="G2426" s="32"/>
      <c r="H2426" s="32"/>
    </row>
    <row r="2427" spans="2:8" ht="15.75" customHeight="1">
      <c r="B2427" s="2"/>
      <c r="F2427" s="59"/>
      <c r="G2427" s="32"/>
      <c r="H2427" s="32"/>
    </row>
    <row r="2428" spans="2:8" ht="15.75" customHeight="1">
      <c r="B2428" s="2"/>
      <c r="F2428" s="59"/>
      <c r="G2428" s="32"/>
      <c r="H2428" s="32"/>
    </row>
    <row r="2429" spans="2:8" ht="15.75" customHeight="1">
      <c r="B2429" s="2"/>
      <c r="F2429" s="59"/>
      <c r="G2429" s="32"/>
      <c r="H2429" s="32"/>
    </row>
    <row r="2430" spans="2:8" ht="15.75" customHeight="1">
      <c r="B2430" s="2"/>
      <c r="F2430" s="59"/>
      <c r="G2430" s="32"/>
      <c r="H2430" s="32"/>
    </row>
    <row r="2431" spans="2:8" ht="15.75" customHeight="1">
      <c r="B2431" s="2"/>
      <c r="F2431" s="59"/>
      <c r="G2431" s="32"/>
      <c r="H2431" s="32"/>
    </row>
    <row r="2432" spans="2:8" ht="15.75" customHeight="1">
      <c r="B2432" s="2"/>
      <c r="F2432" s="59"/>
      <c r="G2432" s="32"/>
      <c r="H2432" s="32"/>
    </row>
    <row r="2433" spans="2:8" ht="15.75" customHeight="1">
      <c r="B2433" s="2"/>
      <c r="F2433" s="59"/>
      <c r="G2433" s="32"/>
      <c r="H2433" s="32"/>
    </row>
    <row r="2434" spans="2:8" ht="15.75" customHeight="1">
      <c r="B2434" s="2"/>
      <c r="F2434" s="59"/>
      <c r="G2434" s="32"/>
      <c r="H2434" s="32"/>
    </row>
    <row r="2435" spans="2:8" ht="15.75" customHeight="1">
      <c r="B2435" s="2"/>
      <c r="F2435" s="59"/>
      <c r="G2435" s="32"/>
      <c r="H2435" s="32"/>
    </row>
    <row r="2436" spans="2:8" ht="15.75" customHeight="1">
      <c r="B2436" s="2"/>
      <c r="F2436" s="59"/>
      <c r="G2436" s="32"/>
      <c r="H2436" s="32"/>
    </row>
    <row r="2437" spans="2:8" ht="15.75" customHeight="1">
      <c r="B2437" s="2"/>
      <c r="F2437" s="59"/>
      <c r="G2437" s="32"/>
      <c r="H2437" s="32"/>
    </row>
    <row r="2438" spans="2:8" ht="15.75" customHeight="1">
      <c r="B2438" s="2"/>
      <c r="F2438" s="59"/>
      <c r="G2438" s="32"/>
      <c r="H2438" s="32"/>
    </row>
    <row r="2439" spans="2:8" ht="15.75" customHeight="1">
      <c r="B2439" s="2"/>
      <c r="F2439" s="59"/>
      <c r="G2439" s="32"/>
      <c r="H2439" s="32"/>
    </row>
    <row r="2440" spans="2:8" ht="15.75" customHeight="1">
      <c r="B2440" s="2"/>
      <c r="F2440" s="59"/>
      <c r="G2440" s="32"/>
      <c r="H2440" s="32"/>
    </row>
    <row r="2441" spans="2:8" ht="15.75" customHeight="1">
      <c r="B2441" s="2"/>
      <c r="F2441" s="59"/>
      <c r="G2441" s="32"/>
      <c r="H2441" s="32"/>
    </row>
    <row r="2442" spans="2:8" ht="15.75" customHeight="1">
      <c r="B2442" s="2"/>
      <c r="F2442" s="59"/>
      <c r="G2442" s="32"/>
      <c r="H2442" s="32"/>
    </row>
    <row r="2443" spans="2:8" ht="15.75" customHeight="1">
      <c r="B2443" s="2"/>
      <c r="F2443" s="59"/>
      <c r="G2443" s="32"/>
      <c r="H2443" s="32"/>
    </row>
    <row r="2444" spans="2:8" ht="15.75" customHeight="1">
      <c r="B2444" s="2"/>
      <c r="F2444" s="59"/>
      <c r="G2444" s="32"/>
      <c r="H2444" s="32"/>
    </row>
    <row r="2445" spans="2:8" ht="15.75" customHeight="1">
      <c r="B2445" s="2"/>
      <c r="F2445" s="59"/>
      <c r="G2445" s="32"/>
      <c r="H2445" s="32"/>
    </row>
    <row r="2446" spans="2:8" ht="15.75" customHeight="1">
      <c r="B2446" s="2"/>
      <c r="F2446" s="59"/>
      <c r="G2446" s="32"/>
      <c r="H2446" s="32"/>
    </row>
    <row r="2447" spans="2:8" ht="15.75" customHeight="1">
      <c r="B2447" s="2"/>
      <c r="F2447" s="59"/>
      <c r="G2447" s="32"/>
      <c r="H2447" s="32"/>
    </row>
    <row r="2448" spans="2:8" ht="15.75" customHeight="1">
      <c r="B2448" s="2"/>
      <c r="F2448" s="59"/>
      <c r="G2448" s="32"/>
      <c r="H2448" s="32"/>
    </row>
    <row r="2449" spans="2:8" ht="15.75" customHeight="1">
      <c r="B2449" s="2"/>
      <c r="F2449" s="59"/>
      <c r="G2449" s="32"/>
      <c r="H2449" s="32"/>
    </row>
    <row r="2450" spans="2:8" ht="15.75" customHeight="1">
      <c r="B2450" s="2"/>
      <c r="F2450" s="59"/>
      <c r="G2450" s="32"/>
      <c r="H2450" s="32"/>
    </row>
    <row r="2451" spans="2:8" ht="15.75" customHeight="1">
      <c r="B2451" s="2"/>
      <c r="F2451" s="59"/>
      <c r="G2451" s="32"/>
      <c r="H2451" s="32"/>
    </row>
    <row r="2452" spans="2:8" ht="15.75" customHeight="1">
      <c r="B2452" s="2"/>
      <c r="F2452" s="59"/>
      <c r="G2452" s="32"/>
      <c r="H2452" s="32"/>
    </row>
    <row r="2453" spans="2:8" ht="15.75" customHeight="1">
      <c r="B2453" s="2"/>
      <c r="F2453" s="59"/>
      <c r="G2453" s="32"/>
      <c r="H2453" s="32"/>
    </row>
    <row r="2454" spans="2:8" ht="15.75" customHeight="1">
      <c r="B2454" s="2"/>
      <c r="F2454" s="59"/>
      <c r="G2454" s="32"/>
      <c r="H2454" s="32"/>
    </row>
    <row r="2455" spans="2:8" ht="15.75" customHeight="1">
      <c r="B2455" s="2"/>
      <c r="F2455" s="59"/>
      <c r="G2455" s="32"/>
      <c r="H2455" s="32"/>
    </row>
    <row r="2456" spans="2:8" ht="15.75" customHeight="1">
      <c r="B2456" s="2"/>
      <c r="F2456" s="59"/>
      <c r="G2456" s="32"/>
      <c r="H2456" s="32"/>
    </row>
    <row r="2457" spans="2:8" ht="15.75" customHeight="1">
      <c r="B2457" s="2"/>
      <c r="F2457" s="59"/>
      <c r="G2457" s="32"/>
      <c r="H2457" s="32"/>
    </row>
    <row r="2458" spans="2:8" ht="15.75" customHeight="1">
      <c r="B2458" s="2"/>
      <c r="F2458" s="59"/>
      <c r="G2458" s="32"/>
      <c r="H2458" s="32"/>
    </row>
    <row r="2459" spans="2:8" ht="15.75" customHeight="1">
      <c r="B2459" s="2"/>
      <c r="F2459" s="59"/>
      <c r="G2459" s="32"/>
      <c r="H2459" s="32"/>
    </row>
    <row r="2460" spans="2:8" ht="15.75" customHeight="1">
      <c r="B2460" s="2"/>
      <c r="F2460" s="59"/>
      <c r="G2460" s="32"/>
      <c r="H2460" s="32"/>
    </row>
    <row r="2461" spans="2:8" ht="15.75" customHeight="1">
      <c r="B2461" s="2"/>
      <c r="F2461" s="59"/>
      <c r="G2461" s="32"/>
      <c r="H2461" s="32"/>
    </row>
    <row r="2462" spans="2:8" ht="15.75" customHeight="1">
      <c r="B2462" s="2"/>
      <c r="F2462" s="59"/>
      <c r="G2462" s="32"/>
      <c r="H2462" s="32"/>
    </row>
    <row r="2463" spans="2:8" ht="15.75" customHeight="1">
      <c r="B2463" s="2"/>
      <c r="F2463" s="59"/>
      <c r="G2463" s="32"/>
      <c r="H2463" s="32"/>
    </row>
    <row r="2464" spans="2:8" ht="15.75" customHeight="1">
      <c r="B2464" s="2"/>
      <c r="F2464" s="59"/>
      <c r="G2464" s="32"/>
      <c r="H2464" s="32"/>
    </row>
    <row r="2465" spans="2:8" ht="15.75" customHeight="1">
      <c r="B2465" s="2"/>
      <c r="F2465" s="59"/>
      <c r="G2465" s="32"/>
      <c r="H2465" s="32"/>
    </row>
    <row r="2466" spans="2:8" ht="15.75" customHeight="1">
      <c r="B2466" s="2"/>
      <c r="F2466" s="59"/>
      <c r="G2466" s="32"/>
      <c r="H2466" s="32"/>
    </row>
    <row r="2467" spans="2:8" ht="15.75" customHeight="1">
      <c r="B2467" s="2"/>
      <c r="F2467" s="59"/>
      <c r="G2467" s="32"/>
      <c r="H2467" s="32"/>
    </row>
    <row r="2468" spans="2:8" ht="15.75" customHeight="1">
      <c r="B2468" s="2"/>
      <c r="F2468" s="59"/>
      <c r="G2468" s="32"/>
      <c r="H2468" s="32"/>
    </row>
    <row r="2469" spans="2:8" ht="15.75" customHeight="1">
      <c r="B2469" s="2"/>
      <c r="F2469" s="59"/>
      <c r="G2469" s="32"/>
      <c r="H2469" s="32"/>
    </row>
    <row r="2470" spans="2:8" ht="15.75" customHeight="1">
      <c r="B2470" s="2"/>
      <c r="F2470" s="59"/>
      <c r="G2470" s="32"/>
      <c r="H2470" s="32"/>
    </row>
    <row r="2471" spans="2:8" ht="15.75" customHeight="1">
      <c r="B2471" s="2"/>
      <c r="F2471" s="59"/>
      <c r="G2471" s="32"/>
      <c r="H2471" s="32"/>
    </row>
    <row r="2472" spans="2:8" ht="15.75" customHeight="1">
      <c r="B2472" s="2"/>
      <c r="F2472" s="59"/>
      <c r="G2472" s="32"/>
      <c r="H2472" s="32"/>
    </row>
    <row r="2473" spans="2:8" ht="15.75" customHeight="1">
      <c r="B2473" s="2"/>
      <c r="F2473" s="59"/>
      <c r="G2473" s="32"/>
      <c r="H2473" s="32"/>
    </row>
    <row r="2474" spans="2:8" ht="15.75" customHeight="1">
      <c r="B2474" s="2"/>
      <c r="F2474" s="59"/>
      <c r="G2474" s="32"/>
      <c r="H2474" s="32"/>
    </row>
    <row r="2475" spans="2:8" ht="15.75" customHeight="1">
      <c r="B2475" s="2"/>
      <c r="F2475" s="59"/>
      <c r="G2475" s="32"/>
      <c r="H2475" s="32"/>
    </row>
    <row r="2476" spans="2:8" ht="15.75" customHeight="1">
      <c r="B2476" s="2"/>
      <c r="F2476" s="59"/>
      <c r="G2476" s="32"/>
      <c r="H2476" s="32"/>
    </row>
    <row r="2477" spans="2:8" ht="15.75" customHeight="1">
      <c r="B2477" s="2"/>
      <c r="F2477" s="59"/>
      <c r="G2477" s="32"/>
      <c r="H2477" s="32"/>
    </row>
    <row r="2478" spans="2:8" ht="15.75" customHeight="1">
      <c r="B2478" s="2"/>
      <c r="F2478" s="59"/>
      <c r="G2478" s="32"/>
      <c r="H2478" s="32"/>
    </row>
    <row r="2479" spans="2:8" ht="15.75" customHeight="1">
      <c r="B2479" s="2"/>
      <c r="F2479" s="59"/>
      <c r="G2479" s="32"/>
      <c r="H2479" s="32"/>
    </row>
    <row r="2480" spans="2:8" ht="15.75" customHeight="1">
      <c r="B2480" s="2"/>
      <c r="F2480" s="59"/>
      <c r="G2480" s="32"/>
      <c r="H2480" s="32"/>
    </row>
    <row r="2481" spans="2:8" ht="15.75" customHeight="1">
      <c r="B2481" s="2"/>
      <c r="F2481" s="59"/>
      <c r="G2481" s="32"/>
      <c r="H2481" s="32"/>
    </row>
    <row r="2482" spans="2:8" ht="15.75" customHeight="1">
      <c r="B2482" s="2"/>
      <c r="F2482" s="59"/>
      <c r="G2482" s="32"/>
      <c r="H2482" s="32"/>
    </row>
    <row r="2483" spans="2:8" ht="15.75" customHeight="1">
      <c r="B2483" s="2"/>
      <c r="F2483" s="59"/>
      <c r="G2483" s="32"/>
      <c r="H2483" s="32"/>
    </row>
    <row r="2484" spans="2:8" ht="15.75" customHeight="1">
      <c r="B2484" s="2"/>
      <c r="F2484" s="59"/>
      <c r="G2484" s="32"/>
      <c r="H2484" s="32"/>
    </row>
    <row r="2485" spans="2:8" ht="15.75" customHeight="1">
      <c r="B2485" s="2"/>
      <c r="F2485" s="59"/>
      <c r="G2485" s="32"/>
      <c r="H2485" s="32"/>
    </row>
    <row r="2486" spans="2:8" ht="15.75" customHeight="1">
      <c r="B2486" s="2"/>
      <c r="F2486" s="59"/>
      <c r="G2486" s="32"/>
      <c r="H2486" s="32"/>
    </row>
    <row r="2487" spans="2:8" ht="15.75" customHeight="1">
      <c r="B2487" s="2"/>
      <c r="F2487" s="59"/>
      <c r="G2487" s="32"/>
      <c r="H2487" s="32"/>
    </row>
    <row r="2488" spans="2:8" ht="15.75" customHeight="1">
      <c r="B2488" s="2"/>
      <c r="F2488" s="59"/>
      <c r="G2488" s="32"/>
      <c r="H2488" s="32"/>
    </row>
    <row r="2489" spans="2:8" ht="15.75" customHeight="1">
      <c r="B2489" s="2"/>
      <c r="F2489" s="59"/>
      <c r="G2489" s="32"/>
      <c r="H2489" s="32"/>
    </row>
    <row r="2490" spans="2:8" ht="15.75" customHeight="1">
      <c r="B2490" s="2"/>
      <c r="F2490" s="59"/>
      <c r="G2490" s="32"/>
      <c r="H2490" s="32"/>
    </row>
    <row r="2491" spans="2:8" ht="15.75" customHeight="1">
      <c r="B2491" s="2"/>
      <c r="F2491" s="59"/>
      <c r="G2491" s="32"/>
      <c r="H2491" s="32"/>
    </row>
    <row r="2492" spans="2:8" ht="15.75" customHeight="1">
      <c r="B2492" s="2"/>
      <c r="F2492" s="59"/>
      <c r="G2492" s="32"/>
      <c r="H2492" s="32"/>
    </row>
    <row r="2493" spans="2:8" ht="15.75" customHeight="1">
      <c r="B2493" s="2"/>
      <c r="F2493" s="59"/>
      <c r="G2493" s="32"/>
      <c r="H2493" s="32"/>
    </row>
    <row r="2494" spans="2:8" ht="15.75" customHeight="1">
      <c r="B2494" s="2"/>
      <c r="F2494" s="59"/>
      <c r="G2494" s="32"/>
      <c r="H2494" s="32"/>
    </row>
    <row r="2495" spans="2:8" ht="15.75" customHeight="1">
      <c r="B2495" s="2"/>
      <c r="F2495" s="59"/>
      <c r="G2495" s="32"/>
      <c r="H2495" s="32"/>
    </row>
    <row r="2496" spans="2:8" ht="15.75" customHeight="1">
      <c r="B2496" s="2"/>
      <c r="F2496" s="59"/>
      <c r="G2496" s="32"/>
      <c r="H2496" s="32"/>
    </row>
    <row r="2497" spans="2:8" ht="15.75" customHeight="1">
      <c r="B2497" s="2"/>
      <c r="F2497" s="59"/>
      <c r="G2497" s="32"/>
      <c r="H2497" s="32"/>
    </row>
    <row r="2498" spans="2:8" ht="15.75" customHeight="1">
      <c r="B2498" s="2"/>
      <c r="F2498" s="59"/>
      <c r="G2498" s="32"/>
      <c r="H2498" s="32"/>
    </row>
    <row r="2499" spans="2:8" ht="15.75" customHeight="1">
      <c r="B2499" s="2"/>
      <c r="F2499" s="59"/>
      <c r="G2499" s="32"/>
      <c r="H2499" s="32"/>
    </row>
    <row r="2500" spans="2:8" ht="15.75" customHeight="1">
      <c r="B2500" s="2"/>
      <c r="F2500" s="59"/>
      <c r="G2500" s="32"/>
      <c r="H2500" s="32"/>
    </row>
    <row r="2501" spans="2:8" ht="15.75" customHeight="1">
      <c r="B2501" s="2"/>
      <c r="F2501" s="59"/>
      <c r="G2501" s="32"/>
      <c r="H2501" s="32"/>
    </row>
    <row r="2502" spans="2:8" ht="15.75" customHeight="1">
      <c r="B2502" s="2"/>
      <c r="F2502" s="59"/>
      <c r="G2502" s="32"/>
      <c r="H2502" s="32"/>
    </row>
    <row r="2503" spans="2:8" ht="15.75" customHeight="1">
      <c r="B2503" s="2"/>
      <c r="F2503" s="59"/>
      <c r="G2503" s="32"/>
      <c r="H2503" s="32"/>
    </row>
    <row r="2504" spans="2:8" ht="15.75" customHeight="1">
      <c r="B2504" s="2"/>
      <c r="F2504" s="59"/>
      <c r="G2504" s="32"/>
      <c r="H2504" s="32"/>
    </row>
    <row r="2505" spans="2:8" ht="15.75" customHeight="1">
      <c r="B2505" s="2"/>
      <c r="F2505" s="59"/>
      <c r="G2505" s="32"/>
      <c r="H2505" s="32"/>
    </row>
    <row r="2506" spans="2:8" ht="15.75" customHeight="1">
      <c r="B2506" s="2"/>
      <c r="F2506" s="59"/>
      <c r="G2506" s="32"/>
      <c r="H2506" s="32"/>
    </row>
    <row r="2507" spans="2:8" ht="15.75" customHeight="1">
      <c r="B2507" s="2"/>
      <c r="F2507" s="59"/>
      <c r="G2507" s="32"/>
      <c r="H2507" s="32"/>
    </row>
    <row r="2508" spans="2:8" ht="15.75" customHeight="1">
      <c r="B2508" s="2"/>
      <c r="F2508" s="59"/>
      <c r="G2508" s="32"/>
      <c r="H2508" s="32"/>
    </row>
    <row r="2509" spans="2:8" ht="15.75" customHeight="1">
      <c r="B2509" s="2"/>
      <c r="F2509" s="59"/>
      <c r="G2509" s="32"/>
      <c r="H2509" s="32"/>
    </row>
    <row r="2510" spans="2:8" ht="15.75" customHeight="1">
      <c r="B2510" s="2"/>
      <c r="F2510" s="59"/>
      <c r="G2510" s="32"/>
      <c r="H2510" s="32"/>
    </row>
    <row r="2511" spans="2:8" ht="15.75" customHeight="1">
      <c r="B2511" s="2"/>
      <c r="F2511" s="59"/>
      <c r="G2511" s="32"/>
      <c r="H2511" s="32"/>
    </row>
    <row r="2512" spans="2:8" ht="15.75" customHeight="1">
      <c r="B2512" s="2"/>
      <c r="F2512" s="59"/>
      <c r="G2512" s="32"/>
      <c r="H2512" s="32"/>
    </row>
    <row r="2513" spans="2:8" ht="15.75" customHeight="1">
      <c r="B2513" s="2"/>
      <c r="F2513" s="59"/>
      <c r="G2513" s="32"/>
      <c r="H2513" s="32"/>
    </row>
    <row r="2514" spans="2:8" ht="15.75" customHeight="1">
      <c r="B2514" s="2"/>
      <c r="F2514" s="59"/>
      <c r="G2514" s="32"/>
      <c r="H2514" s="32"/>
    </row>
    <row r="2515" spans="2:8" ht="15.75" customHeight="1">
      <c r="B2515" s="2"/>
      <c r="F2515" s="59"/>
      <c r="G2515" s="32"/>
      <c r="H2515" s="32"/>
    </row>
    <row r="2516" spans="2:8" ht="15.75" customHeight="1">
      <c r="B2516" s="2"/>
      <c r="F2516" s="59"/>
      <c r="G2516" s="32"/>
      <c r="H2516" s="32"/>
    </row>
    <row r="2517" spans="2:8" ht="15.75" customHeight="1">
      <c r="B2517" s="2"/>
      <c r="F2517" s="59"/>
      <c r="G2517" s="32"/>
      <c r="H2517" s="32"/>
    </row>
    <row r="2518" spans="2:8" ht="15.75" customHeight="1">
      <c r="B2518" s="2"/>
      <c r="F2518" s="59"/>
      <c r="G2518" s="32"/>
      <c r="H2518" s="32"/>
    </row>
    <row r="2519" spans="2:8" ht="15.75" customHeight="1">
      <c r="B2519" s="2"/>
      <c r="F2519" s="59"/>
      <c r="G2519" s="32"/>
      <c r="H2519" s="32"/>
    </row>
    <row r="2520" spans="2:8" ht="15.75" customHeight="1">
      <c r="B2520" s="2"/>
      <c r="F2520" s="59"/>
      <c r="G2520" s="32"/>
      <c r="H2520" s="32"/>
    </row>
    <row r="2521" spans="2:8" ht="15.75" customHeight="1">
      <c r="B2521" s="2"/>
      <c r="F2521" s="59"/>
      <c r="G2521" s="32"/>
      <c r="H2521" s="32"/>
    </row>
    <row r="2522" spans="2:8" ht="15.75" customHeight="1">
      <c r="B2522" s="2"/>
      <c r="F2522" s="59"/>
      <c r="G2522" s="32"/>
      <c r="H2522" s="32"/>
    </row>
    <row r="2523" spans="2:8" ht="15.75" customHeight="1">
      <c r="B2523" s="2"/>
      <c r="F2523" s="59"/>
      <c r="G2523" s="32"/>
      <c r="H2523" s="32"/>
    </row>
    <row r="2524" spans="2:8" ht="15.75" customHeight="1">
      <c r="B2524" s="2"/>
      <c r="F2524" s="59"/>
      <c r="G2524" s="32"/>
      <c r="H2524" s="32"/>
    </row>
    <row r="2525" spans="2:8" ht="15.75" customHeight="1">
      <c r="B2525" s="2"/>
      <c r="F2525" s="59"/>
      <c r="G2525" s="32"/>
      <c r="H2525" s="32"/>
    </row>
    <row r="2526" spans="2:8" ht="15.75" customHeight="1">
      <c r="B2526" s="2"/>
      <c r="F2526" s="59"/>
      <c r="G2526" s="32"/>
      <c r="H2526" s="32"/>
    </row>
    <row r="2527" spans="2:8" ht="15.75" customHeight="1">
      <c r="B2527" s="2"/>
      <c r="F2527" s="59"/>
      <c r="G2527" s="32"/>
      <c r="H2527" s="32"/>
    </row>
    <row r="2528" spans="2:8" ht="15.75" customHeight="1">
      <c r="B2528" s="2"/>
      <c r="F2528" s="59"/>
      <c r="G2528" s="32"/>
      <c r="H2528" s="32"/>
    </row>
    <row r="2529" spans="2:8" ht="15.75" customHeight="1">
      <c r="B2529" s="2"/>
      <c r="F2529" s="59"/>
      <c r="G2529" s="32"/>
      <c r="H2529" s="32"/>
    </row>
    <row r="2530" spans="2:8" ht="15.75" customHeight="1">
      <c r="B2530" s="2"/>
      <c r="F2530" s="59"/>
      <c r="G2530" s="32"/>
      <c r="H2530" s="32"/>
    </row>
    <row r="2531" spans="2:8" ht="15.75" customHeight="1">
      <c r="B2531" s="2"/>
      <c r="F2531" s="59"/>
      <c r="G2531" s="32"/>
      <c r="H2531" s="32"/>
    </row>
    <row r="2532" spans="2:8" ht="15.75" customHeight="1">
      <c r="B2532" s="2"/>
      <c r="F2532" s="59"/>
      <c r="G2532" s="32"/>
      <c r="H2532" s="32"/>
    </row>
    <row r="2533" spans="2:8" ht="15.75" customHeight="1">
      <c r="B2533" s="2"/>
      <c r="F2533" s="59"/>
      <c r="G2533" s="32"/>
      <c r="H2533" s="32"/>
    </row>
    <row r="2534" spans="2:8" ht="15.75" customHeight="1">
      <c r="B2534" s="2"/>
      <c r="F2534" s="59"/>
      <c r="G2534" s="32"/>
      <c r="H2534" s="32"/>
    </row>
    <row r="2535" spans="2:8" ht="15.75" customHeight="1">
      <c r="B2535" s="2"/>
      <c r="F2535" s="59"/>
      <c r="G2535" s="32"/>
      <c r="H2535" s="32"/>
    </row>
    <row r="2536" spans="2:8" ht="15.75" customHeight="1">
      <c r="B2536" s="2"/>
      <c r="F2536" s="59"/>
      <c r="G2536" s="32"/>
      <c r="H2536" s="32"/>
    </row>
    <row r="2537" spans="2:8" ht="15.75" customHeight="1">
      <c r="B2537" s="2"/>
      <c r="F2537" s="59"/>
      <c r="G2537" s="32"/>
      <c r="H2537" s="32"/>
    </row>
    <row r="2538" spans="2:8" ht="15.75" customHeight="1">
      <c r="B2538" s="2"/>
      <c r="F2538" s="59"/>
      <c r="G2538" s="32"/>
      <c r="H2538" s="32"/>
    </row>
    <row r="2539" spans="2:8" ht="15.75" customHeight="1">
      <c r="B2539" s="2"/>
      <c r="F2539" s="59"/>
      <c r="G2539" s="32"/>
      <c r="H2539" s="32"/>
    </row>
    <row r="2540" spans="2:8" ht="15.75" customHeight="1">
      <c r="B2540" s="2"/>
      <c r="F2540" s="59"/>
      <c r="G2540" s="32"/>
      <c r="H2540" s="32"/>
    </row>
    <row r="2541" spans="2:8" ht="15.75" customHeight="1">
      <c r="B2541" s="2"/>
      <c r="F2541" s="59"/>
      <c r="G2541" s="32"/>
      <c r="H2541" s="32"/>
    </row>
    <row r="2542" spans="2:8" ht="15.75" customHeight="1">
      <c r="B2542" s="2"/>
      <c r="F2542" s="59"/>
      <c r="G2542" s="32"/>
      <c r="H2542" s="32"/>
    </row>
    <row r="2543" spans="2:8" ht="15.75" customHeight="1">
      <c r="B2543" s="2"/>
      <c r="F2543" s="59"/>
      <c r="G2543" s="32"/>
      <c r="H2543" s="32"/>
    </row>
    <row r="2544" spans="2:8" ht="15.75" customHeight="1">
      <c r="B2544" s="2"/>
      <c r="F2544" s="59"/>
      <c r="G2544" s="32"/>
      <c r="H2544" s="32"/>
    </row>
    <row r="2545" spans="2:8" ht="15.75" customHeight="1">
      <c r="B2545" s="2"/>
      <c r="F2545" s="59"/>
      <c r="G2545" s="32"/>
      <c r="H2545" s="32"/>
    </row>
    <row r="2546" spans="2:8" ht="15.75" customHeight="1">
      <c r="B2546" s="2"/>
      <c r="F2546" s="59"/>
      <c r="G2546" s="32"/>
      <c r="H2546" s="32"/>
    </row>
    <row r="2547" spans="2:8" ht="15.75" customHeight="1">
      <c r="B2547" s="2"/>
      <c r="F2547" s="59"/>
      <c r="G2547" s="32"/>
      <c r="H2547" s="32"/>
    </row>
    <row r="2548" spans="2:8" ht="15.75" customHeight="1">
      <c r="B2548" s="2"/>
      <c r="F2548" s="59"/>
      <c r="G2548" s="32"/>
      <c r="H2548" s="32"/>
    </row>
    <row r="2549" spans="2:8" ht="15.75" customHeight="1">
      <c r="B2549" s="2"/>
      <c r="F2549" s="59"/>
      <c r="G2549" s="32"/>
      <c r="H2549" s="32"/>
    </row>
    <row r="2550" spans="2:8" ht="15.75" customHeight="1">
      <c r="B2550" s="2"/>
      <c r="F2550" s="59"/>
      <c r="G2550" s="32"/>
      <c r="H2550" s="32"/>
    </row>
    <row r="2551" spans="2:8" ht="15.75" customHeight="1">
      <c r="B2551" s="2"/>
      <c r="F2551" s="59"/>
      <c r="G2551" s="32"/>
      <c r="H2551" s="32"/>
    </row>
    <row r="2552" spans="2:8" ht="15.75" customHeight="1">
      <c r="B2552" s="2"/>
      <c r="F2552" s="59"/>
      <c r="G2552" s="32"/>
      <c r="H2552" s="32"/>
    </row>
    <row r="2553" spans="2:8" ht="15.75" customHeight="1">
      <c r="B2553" s="2"/>
      <c r="F2553" s="59"/>
      <c r="G2553" s="32"/>
      <c r="H2553" s="32"/>
    </row>
    <row r="2554" spans="2:8" ht="15.75" customHeight="1">
      <c r="B2554" s="2"/>
      <c r="F2554" s="59"/>
      <c r="G2554" s="32"/>
      <c r="H2554" s="32"/>
    </row>
    <row r="2555" spans="2:8" ht="15.75" customHeight="1">
      <c r="B2555" s="2"/>
      <c r="F2555" s="59"/>
      <c r="G2555" s="32"/>
      <c r="H2555" s="32"/>
    </row>
    <row r="2556" spans="2:8" ht="15.75" customHeight="1">
      <c r="B2556" s="2"/>
      <c r="F2556" s="59"/>
      <c r="G2556" s="32"/>
      <c r="H2556" s="32"/>
    </row>
    <row r="2557" spans="2:8" ht="15.75" customHeight="1">
      <c r="B2557" s="2"/>
      <c r="F2557" s="59"/>
      <c r="G2557" s="32"/>
      <c r="H2557" s="32"/>
    </row>
    <row r="2558" spans="2:8" ht="15.75" customHeight="1">
      <c r="B2558" s="2"/>
      <c r="F2558" s="59"/>
      <c r="G2558" s="32"/>
      <c r="H2558" s="32"/>
    </row>
    <row r="2559" spans="2:8" ht="15.75" customHeight="1">
      <c r="B2559" s="2"/>
      <c r="F2559" s="59"/>
      <c r="G2559" s="32"/>
      <c r="H2559" s="32"/>
    </row>
    <row r="2560" spans="2:8" ht="15.75" customHeight="1">
      <c r="B2560" s="2"/>
      <c r="F2560" s="59"/>
      <c r="G2560" s="32"/>
      <c r="H2560" s="32"/>
    </row>
    <row r="2561" spans="2:8" ht="15.75" customHeight="1">
      <c r="B2561" s="2"/>
      <c r="F2561" s="59"/>
      <c r="G2561" s="32"/>
      <c r="H2561" s="32"/>
    </row>
    <row r="2562" spans="2:8" ht="15.75" customHeight="1">
      <c r="B2562" s="2"/>
      <c r="F2562" s="59"/>
      <c r="G2562" s="32"/>
      <c r="H2562" s="32"/>
    </row>
    <row r="2563" spans="2:8" ht="15.75" customHeight="1">
      <c r="B2563" s="2"/>
      <c r="F2563" s="59"/>
      <c r="G2563" s="32"/>
      <c r="H2563" s="32"/>
    </row>
    <row r="2564" spans="2:8" ht="15.75" customHeight="1">
      <c r="B2564" s="2"/>
      <c r="F2564" s="59"/>
      <c r="G2564" s="32"/>
      <c r="H2564" s="32"/>
    </row>
    <row r="2565" spans="2:8" ht="15.75" customHeight="1">
      <c r="B2565" s="2"/>
      <c r="F2565" s="59"/>
      <c r="G2565" s="32"/>
      <c r="H2565" s="32"/>
    </row>
    <row r="2566" spans="2:8" ht="15.75" customHeight="1">
      <c r="B2566" s="2"/>
      <c r="F2566" s="59"/>
      <c r="G2566" s="32"/>
      <c r="H2566" s="32"/>
    </row>
    <row r="2567" spans="2:8" ht="15.75" customHeight="1">
      <c r="B2567" s="2"/>
      <c r="F2567" s="59"/>
      <c r="G2567" s="32"/>
      <c r="H2567" s="32"/>
    </row>
    <row r="2568" spans="2:8" ht="15.75" customHeight="1">
      <c r="B2568" s="2"/>
      <c r="F2568" s="59"/>
      <c r="G2568" s="32"/>
      <c r="H2568" s="32"/>
    </row>
    <row r="2569" spans="2:8" ht="15.75" customHeight="1">
      <c r="B2569" s="2"/>
      <c r="F2569" s="59"/>
      <c r="G2569" s="32"/>
      <c r="H2569" s="32"/>
    </row>
    <row r="2570" spans="2:8" ht="15.75" customHeight="1">
      <c r="B2570" s="2"/>
      <c r="F2570" s="59"/>
      <c r="G2570" s="32"/>
      <c r="H2570" s="32"/>
    </row>
    <row r="2571" spans="2:8" ht="15.75" customHeight="1">
      <c r="B2571" s="2"/>
      <c r="F2571" s="59"/>
      <c r="G2571" s="32"/>
      <c r="H2571" s="32"/>
    </row>
    <row r="2572" spans="2:8" ht="15.75" customHeight="1">
      <c r="B2572" s="2"/>
      <c r="F2572" s="59"/>
      <c r="G2572" s="32"/>
      <c r="H2572" s="32"/>
    </row>
    <row r="2573" spans="2:8" ht="15.75" customHeight="1">
      <c r="B2573" s="2"/>
      <c r="F2573" s="59"/>
      <c r="G2573" s="32"/>
      <c r="H2573" s="32"/>
    </row>
    <row r="2574" spans="2:8" ht="15.75" customHeight="1">
      <c r="B2574" s="2"/>
      <c r="F2574" s="59"/>
      <c r="G2574" s="32"/>
      <c r="H2574" s="32"/>
    </row>
    <row r="2575" spans="2:8" ht="15.75" customHeight="1">
      <c r="B2575" s="2"/>
      <c r="F2575" s="59"/>
      <c r="G2575" s="32"/>
      <c r="H2575" s="32"/>
    </row>
    <row r="2576" spans="2:8" ht="15.75" customHeight="1">
      <c r="B2576" s="2"/>
      <c r="F2576" s="59"/>
      <c r="G2576" s="32"/>
      <c r="H2576" s="32"/>
    </row>
    <row r="2577" spans="2:8" ht="15.75" customHeight="1">
      <c r="B2577" s="2"/>
      <c r="F2577" s="59"/>
      <c r="G2577" s="32"/>
      <c r="H2577" s="32"/>
    </row>
    <row r="2578" spans="2:8" ht="15.75" customHeight="1">
      <c r="B2578" s="2"/>
      <c r="F2578" s="59"/>
      <c r="G2578" s="32"/>
      <c r="H2578" s="32"/>
    </row>
    <row r="2579" spans="2:8" ht="15.75" customHeight="1">
      <c r="B2579" s="2"/>
      <c r="F2579" s="59"/>
      <c r="G2579" s="32"/>
      <c r="H2579" s="32"/>
    </row>
    <row r="2580" spans="2:8" ht="15.75" customHeight="1">
      <c r="B2580" s="2"/>
      <c r="F2580" s="59"/>
      <c r="G2580" s="32"/>
      <c r="H2580" s="32"/>
    </row>
    <row r="2581" spans="2:8" ht="15.75" customHeight="1">
      <c r="B2581" s="2"/>
      <c r="F2581" s="59"/>
      <c r="G2581" s="32"/>
      <c r="H2581" s="32"/>
    </row>
    <row r="2582" spans="2:8" ht="15.75" customHeight="1">
      <c r="B2582" s="2"/>
      <c r="F2582" s="59"/>
      <c r="G2582" s="32"/>
      <c r="H2582" s="32"/>
    </row>
    <row r="2583" spans="2:8" ht="15.75" customHeight="1">
      <c r="B2583" s="2"/>
      <c r="F2583" s="59"/>
      <c r="G2583" s="32"/>
      <c r="H2583" s="32"/>
    </row>
    <row r="2584" spans="2:8" ht="15.75" customHeight="1">
      <c r="B2584" s="2"/>
      <c r="F2584" s="59"/>
      <c r="G2584" s="32"/>
      <c r="H2584" s="32"/>
    </row>
    <row r="2585" spans="2:8" ht="15.75" customHeight="1">
      <c r="B2585" s="2"/>
      <c r="F2585" s="59"/>
      <c r="G2585" s="32"/>
      <c r="H2585" s="32"/>
    </row>
    <row r="2586" spans="2:8" ht="15.75" customHeight="1">
      <c r="B2586" s="2"/>
      <c r="F2586" s="59"/>
      <c r="G2586" s="32"/>
      <c r="H2586" s="32"/>
    </row>
    <row r="2587" spans="2:8" ht="15.75" customHeight="1">
      <c r="B2587" s="2"/>
      <c r="F2587" s="59"/>
      <c r="G2587" s="32"/>
      <c r="H2587" s="32"/>
    </row>
    <row r="2588" spans="2:8" ht="15.75" customHeight="1">
      <c r="B2588" s="2"/>
      <c r="F2588" s="59"/>
      <c r="G2588" s="32"/>
      <c r="H2588" s="32"/>
    </row>
    <row r="2589" spans="2:8" ht="15.75" customHeight="1">
      <c r="B2589" s="2"/>
      <c r="F2589" s="59"/>
      <c r="G2589" s="32"/>
      <c r="H2589" s="32"/>
    </row>
    <row r="2590" spans="2:8" ht="15.75" customHeight="1"/>
    <row r="2591" spans="2:8" ht="15.75" customHeight="1"/>
    <row r="2592" spans="2:8" ht="15.75" customHeight="1"/>
    <row r="2593" ht="15.75" customHeight="1"/>
    <row r="2594" ht="15.75" customHeight="1"/>
    <row r="2595" ht="15.75" customHeight="1"/>
    <row r="2596" ht="15.75" customHeight="1"/>
    <row r="2597" ht="15.75" customHeight="1"/>
    <row r="2598" ht="15.75" customHeight="1"/>
    <row r="2599" ht="15.75" customHeight="1"/>
    <row r="2600" ht="15.75" customHeight="1"/>
    <row r="2601" ht="15.75" customHeight="1"/>
    <row r="2602" ht="15.75" customHeight="1"/>
    <row r="2603" ht="15.75" customHeight="1"/>
    <row r="2604" ht="15.75" customHeight="1"/>
    <row r="2605" ht="15.75" customHeight="1"/>
    <row r="2606" ht="15.75" customHeight="1"/>
    <row r="2607" ht="15.75" customHeight="1"/>
    <row r="2608" ht="15.75" customHeight="1"/>
    <row r="2609" ht="15.75" customHeight="1"/>
    <row r="2610" ht="15.75" customHeight="1"/>
    <row r="2611" ht="15.75" customHeight="1"/>
    <row r="2612" ht="15.75" customHeight="1"/>
    <row r="2613" ht="15.75" customHeight="1"/>
    <row r="2614" ht="15.75" customHeight="1"/>
    <row r="2615" ht="15.75" customHeight="1"/>
    <row r="2616" ht="15.75" customHeight="1"/>
    <row r="2617" ht="15.75" customHeight="1"/>
    <row r="2618" ht="15.75" customHeight="1"/>
    <row r="2619" ht="15.75" customHeight="1"/>
    <row r="2620" ht="15.75" customHeight="1"/>
    <row r="2621" ht="15.75" customHeight="1"/>
    <row r="2622" ht="15.75" customHeight="1"/>
    <row r="2623" ht="15.75" customHeight="1"/>
    <row r="2624" ht="15.75" customHeight="1"/>
    <row r="2625" ht="15.75" customHeight="1"/>
    <row r="2626" ht="15.75" customHeight="1"/>
    <row r="2627" ht="15.75" customHeight="1"/>
    <row r="2628" ht="15.75" customHeight="1"/>
    <row r="2629" ht="15.75" customHeight="1"/>
    <row r="2630" ht="15.75" customHeight="1"/>
    <row r="2631" ht="15.75" customHeight="1"/>
    <row r="2632" ht="15.75" customHeight="1"/>
    <row r="2633" ht="15.75" customHeight="1"/>
    <row r="2634" ht="15.75" customHeight="1"/>
    <row r="2635" ht="15.75" customHeight="1"/>
    <row r="2636" ht="15.75" customHeight="1"/>
    <row r="2637" ht="15.75" customHeight="1"/>
    <row r="2638" ht="15.75" customHeight="1"/>
    <row r="2639" ht="15.75" customHeight="1"/>
    <row r="2640" ht="15.75" customHeight="1"/>
    <row r="2641" ht="15.75" customHeight="1"/>
    <row r="2642" ht="15.75" customHeight="1"/>
    <row r="2643" ht="15.75" customHeight="1"/>
    <row r="2644" ht="15.75" customHeight="1"/>
    <row r="2645" ht="15.75" customHeight="1"/>
    <row r="2646" ht="15.75" customHeight="1"/>
    <row r="2647" ht="15.75" customHeight="1"/>
    <row r="2648" ht="15.75" customHeight="1"/>
    <row r="2649" ht="15.75" customHeight="1"/>
    <row r="2650" ht="15.75" customHeight="1"/>
    <row r="2651" ht="15.75" customHeight="1"/>
    <row r="2652" ht="15.75" customHeight="1"/>
    <row r="2653" ht="15.75" customHeight="1"/>
    <row r="2654" ht="15.75" customHeight="1"/>
    <row r="2655" ht="15.75" customHeight="1"/>
    <row r="2656" ht="15.75" customHeight="1"/>
    <row r="2657" ht="15.75" customHeight="1"/>
    <row r="2658" ht="15.75" customHeight="1"/>
    <row r="2659" ht="15.75" customHeight="1"/>
    <row r="2660" ht="15.75" customHeight="1"/>
    <row r="2661" ht="15.75" customHeight="1"/>
    <row r="2662" ht="15.75" customHeight="1"/>
    <row r="2663" ht="15.75" customHeight="1"/>
    <row r="2664" ht="15.75" customHeight="1"/>
    <row r="2665" ht="15.75" customHeight="1"/>
    <row r="2666" ht="15.75" customHeight="1"/>
    <row r="2667" ht="15.75" customHeight="1"/>
    <row r="2668" ht="15.75" customHeight="1"/>
    <row r="2669" ht="15.75" customHeight="1"/>
    <row r="2670" ht="15.75" customHeight="1"/>
    <row r="2671" ht="15.75" customHeight="1"/>
    <row r="2672" ht="15.75" customHeight="1"/>
    <row r="2673" ht="15.75" customHeight="1"/>
    <row r="2674" ht="15.75" customHeight="1"/>
    <row r="2675" ht="15.75" customHeight="1"/>
    <row r="2676" ht="15.75" customHeight="1"/>
    <row r="2677" ht="15.75" customHeight="1"/>
    <row r="2678" ht="15.75" customHeight="1"/>
    <row r="2679" ht="15.75" customHeight="1"/>
    <row r="2680" ht="15.75" customHeight="1"/>
    <row r="2681" ht="15.75" customHeight="1"/>
    <row r="2682" ht="15.75" customHeight="1"/>
    <row r="2683" ht="15.75" customHeight="1"/>
    <row r="2684" ht="15.75" customHeight="1"/>
    <row r="2685" ht="15.75" customHeight="1"/>
    <row r="2686" ht="15.75" customHeight="1"/>
    <row r="2687" ht="15.75" customHeight="1"/>
    <row r="2688" ht="15.75" customHeight="1"/>
    <row r="2689" ht="15.75" customHeight="1"/>
    <row r="2690" ht="15.75" customHeight="1"/>
    <row r="2691" ht="15.75" customHeight="1"/>
    <row r="2692" ht="15.75" customHeight="1"/>
    <row r="2693" ht="15.75" customHeight="1"/>
    <row r="2694" ht="15.75" customHeight="1"/>
    <row r="2695" ht="15.75" customHeight="1"/>
    <row r="2696" ht="15.75" customHeight="1"/>
    <row r="2697" ht="15.75" customHeight="1"/>
    <row r="2698" ht="15.75" customHeight="1"/>
    <row r="2699" ht="15.75" customHeight="1"/>
    <row r="2700" ht="15.75" customHeight="1"/>
    <row r="2701" ht="15.75" customHeight="1"/>
    <row r="2702" ht="15.75" customHeight="1"/>
    <row r="2703" ht="15.75" customHeight="1"/>
    <row r="2704" ht="15.75" customHeight="1"/>
    <row r="2705" ht="15.75" customHeight="1"/>
    <row r="2706" ht="15.75" customHeight="1"/>
    <row r="2707" ht="15.75" customHeight="1"/>
    <row r="2708" ht="15.75" customHeight="1"/>
    <row r="2709" ht="15.75" customHeight="1"/>
    <row r="2710" ht="15.75" customHeight="1"/>
    <row r="2711" ht="15.75" customHeight="1"/>
    <row r="2712" ht="15.75" customHeight="1"/>
    <row r="2713" ht="15.75" customHeight="1"/>
    <row r="2714" ht="15.75" customHeight="1"/>
    <row r="2715" ht="15.75" customHeight="1"/>
    <row r="2716" ht="15.75" customHeight="1"/>
    <row r="2717" ht="15.75" customHeight="1"/>
    <row r="2718" ht="15.75" customHeight="1"/>
    <row r="2719" ht="15.75" customHeight="1"/>
    <row r="2720" ht="15.75" customHeight="1"/>
    <row r="2721" ht="15.75" customHeight="1"/>
    <row r="2722" ht="15.75" customHeight="1"/>
    <row r="2723" ht="15.75" customHeight="1"/>
    <row r="2724" ht="15.75" customHeight="1"/>
    <row r="2725" ht="15.75" customHeight="1"/>
    <row r="2726" ht="15.75" customHeight="1"/>
    <row r="2727" ht="15.75" customHeight="1"/>
    <row r="2728" ht="15.75" customHeight="1"/>
    <row r="2729" ht="15.75" customHeight="1"/>
    <row r="2730" ht="15.75" customHeight="1"/>
    <row r="2731" ht="15.75" customHeight="1"/>
    <row r="2732" ht="15.75" customHeight="1"/>
    <row r="2733" ht="15.75" customHeight="1"/>
    <row r="2734" ht="15.75" customHeight="1"/>
    <row r="2735" ht="15.75" customHeight="1"/>
    <row r="2736" ht="15.75" customHeight="1"/>
    <row r="2737" ht="15.75" customHeight="1"/>
    <row r="2738" ht="15.75" customHeight="1"/>
    <row r="2739" ht="15.75" customHeight="1"/>
    <row r="2740" ht="15.75" customHeight="1"/>
    <row r="2741" ht="15.75" customHeight="1"/>
    <row r="2742" ht="15.75" customHeight="1"/>
    <row r="2743" ht="15.75" customHeight="1"/>
    <row r="2744" ht="15.75" customHeight="1"/>
    <row r="2745" ht="15.75" customHeight="1"/>
    <row r="2746" ht="15.75" customHeight="1"/>
    <row r="2747" ht="15.75" customHeight="1"/>
    <row r="2748" ht="15.75" customHeight="1"/>
    <row r="2749" ht="15.75" customHeight="1"/>
    <row r="2750" ht="15.75" customHeight="1"/>
    <row r="2751" ht="15.75" customHeight="1"/>
    <row r="2752" ht="15.75" customHeight="1"/>
    <row r="2753" ht="15.75" customHeight="1"/>
    <row r="2754" ht="15.75" customHeight="1"/>
    <row r="2755" ht="15.75" customHeight="1"/>
    <row r="2756" ht="15.75" customHeight="1"/>
    <row r="2757" ht="15.75" customHeight="1"/>
    <row r="2758" ht="15.75" customHeight="1"/>
    <row r="2759" ht="15.75" customHeight="1"/>
    <row r="2760" ht="15.75" customHeight="1"/>
    <row r="2761" ht="15.75" customHeight="1"/>
    <row r="2762" ht="15.75" customHeight="1"/>
    <row r="2763" ht="15.75" customHeight="1"/>
    <row r="2764" ht="15.75" customHeight="1"/>
    <row r="2765" ht="15.75" customHeight="1"/>
    <row r="2766" ht="15.75" customHeight="1"/>
    <row r="2767" ht="15.75" customHeight="1"/>
    <row r="2768" ht="15.75" customHeight="1"/>
    <row r="2769" ht="15.75" customHeight="1"/>
    <row r="2770" ht="15.75" customHeight="1"/>
    <row r="2771" ht="15.75" customHeight="1"/>
    <row r="2772" ht="15.75" customHeight="1"/>
    <row r="2773" ht="15.75" customHeight="1"/>
    <row r="2774" ht="15.75" customHeight="1"/>
    <row r="2775" ht="15.75" customHeight="1"/>
    <row r="2776" ht="15.75" customHeight="1"/>
    <row r="2777" ht="15.75" customHeight="1"/>
    <row r="2778" ht="15.75" customHeight="1"/>
    <row r="2779" ht="15.75" customHeight="1"/>
    <row r="2780" ht="15.75" customHeight="1"/>
    <row r="2781" ht="15.75" customHeight="1"/>
    <row r="2782" ht="15.75" customHeight="1"/>
    <row r="2783" ht="15.75" customHeight="1"/>
    <row r="2784" ht="15.75" customHeight="1"/>
    <row r="2785" ht="15.75" customHeight="1"/>
    <row r="2786" ht="15.75" customHeight="1"/>
    <row r="2787" ht="15.75" customHeight="1"/>
    <row r="2788" ht="15.75" customHeight="1"/>
    <row r="2789" ht="15.75" customHeight="1"/>
    <row r="2790" ht="15.75" customHeight="1"/>
    <row r="2791" ht="15.75" customHeight="1"/>
    <row r="2792" ht="15.75" customHeight="1"/>
    <row r="2793" ht="15.75" customHeight="1"/>
    <row r="2794" ht="15.75" customHeight="1"/>
    <row r="2795" ht="15.75" customHeight="1"/>
    <row r="2796" ht="15.75" customHeight="1"/>
    <row r="2797" ht="15.75" customHeight="1"/>
    <row r="2798" ht="15.75" customHeight="1"/>
    <row r="2799" ht="15.75" customHeight="1"/>
    <row r="2800" ht="15.75" customHeight="1"/>
    <row r="2801" ht="15.75" customHeight="1"/>
    <row r="2802" ht="15.75" customHeight="1"/>
    <row r="2803" ht="15.75" customHeight="1"/>
    <row r="2804" ht="15.75" customHeight="1"/>
    <row r="2805" ht="15.75" customHeight="1"/>
    <row r="2806" ht="15.75" customHeight="1"/>
    <row r="2807" ht="15.75" customHeight="1"/>
    <row r="2808" ht="15.75" customHeight="1"/>
    <row r="2809" ht="15.75" customHeight="1"/>
    <row r="2810" ht="15.75" customHeight="1"/>
    <row r="2811" ht="15.75" customHeight="1"/>
    <row r="2812" ht="15.75" customHeight="1"/>
    <row r="2813" ht="15.75" customHeight="1"/>
    <row r="2814" ht="15.75" customHeight="1"/>
    <row r="2815" ht="15.75" customHeight="1"/>
    <row r="2816" ht="15.75" customHeight="1"/>
    <row r="2817" ht="15.75" customHeight="1"/>
    <row r="2818" ht="15.75" customHeight="1"/>
    <row r="2819" ht="15.75" customHeight="1"/>
    <row r="2820" ht="15.75" customHeight="1"/>
    <row r="2821" ht="15.75" customHeight="1"/>
    <row r="2822" ht="15.75" customHeight="1"/>
    <row r="2823" ht="15.75" customHeight="1"/>
    <row r="2824" ht="15.75" customHeight="1"/>
    <row r="2825" ht="15.75" customHeight="1"/>
    <row r="2826" ht="15.75" customHeight="1"/>
    <row r="2827" ht="15.75" customHeight="1"/>
    <row r="2828" ht="15.75" customHeight="1"/>
    <row r="2829" ht="15.75" customHeight="1"/>
    <row r="2830" ht="15.75" customHeight="1"/>
    <row r="2831" ht="15.75" customHeight="1"/>
    <row r="2832" ht="15.75" customHeight="1"/>
    <row r="2833" ht="15.75" customHeight="1"/>
    <row r="2834" ht="15.75" customHeight="1"/>
    <row r="2835" ht="15.75" customHeight="1"/>
    <row r="2836" ht="15.75" customHeight="1"/>
    <row r="2837" ht="15.75" customHeight="1"/>
    <row r="2838" ht="15.75" customHeight="1"/>
    <row r="2839" ht="15.75" customHeight="1"/>
    <row r="2840" ht="15.75" customHeight="1"/>
    <row r="2841" ht="15.75" customHeight="1"/>
    <row r="2842" ht="15.75" customHeight="1"/>
    <row r="2843" ht="15.75" customHeight="1"/>
    <row r="2844" ht="15.75" customHeight="1"/>
    <row r="2845" ht="15.75" customHeight="1"/>
    <row r="2846" ht="15.75" customHeight="1"/>
    <row r="2847" ht="15.75" customHeight="1"/>
    <row r="2848" ht="15.75" customHeight="1"/>
    <row r="2849" ht="15.75" customHeight="1"/>
    <row r="2850" ht="15.75" customHeight="1"/>
    <row r="2851" ht="15.75" customHeight="1"/>
    <row r="2852" ht="15.75" customHeight="1"/>
    <row r="2853" ht="15.75" customHeight="1"/>
    <row r="2854" ht="15.75" customHeight="1"/>
    <row r="2855" ht="15.75" customHeight="1"/>
    <row r="2856" ht="15.75" customHeight="1"/>
    <row r="2857" ht="15.75" customHeight="1"/>
    <row r="2858" ht="15.75" customHeight="1"/>
    <row r="2859" ht="15.75" customHeight="1"/>
    <row r="2860" ht="15.75" customHeight="1"/>
    <row r="2861" ht="15.75" customHeight="1"/>
    <row r="2862" ht="15.75" customHeight="1"/>
    <row r="2863" ht="15.75" customHeight="1"/>
    <row r="2864" ht="15.75" customHeight="1"/>
    <row r="2865" ht="15.75" customHeight="1"/>
    <row r="2866" ht="15.75" customHeight="1"/>
    <row r="2867" ht="15.75" customHeight="1"/>
    <row r="2868" ht="15.75" customHeight="1"/>
    <row r="2869" ht="15.75" customHeight="1"/>
    <row r="2870" ht="15.75" customHeight="1"/>
    <row r="2871" ht="15.75" customHeight="1"/>
    <row r="2872" ht="15.75" customHeight="1"/>
    <row r="2873" ht="15.75" customHeight="1"/>
    <row r="2874" ht="15.75" customHeight="1"/>
    <row r="2875" ht="15.75" customHeight="1"/>
    <row r="2876" ht="15.75" customHeight="1"/>
    <row r="2877" ht="15.75" customHeight="1"/>
    <row r="2878" ht="15.75" customHeight="1"/>
    <row r="2879" ht="15.75" customHeight="1"/>
    <row r="2880" ht="15.75" customHeight="1"/>
    <row r="2881" ht="15.75" customHeight="1"/>
    <row r="2882" ht="15.75" customHeight="1"/>
    <row r="2883" ht="15.75" customHeight="1"/>
    <row r="2884" ht="15.75" customHeight="1"/>
    <row r="2885" ht="15.75" customHeight="1"/>
    <row r="2886" ht="15.75" customHeight="1"/>
    <row r="2887" ht="15.75" customHeight="1"/>
    <row r="2888" ht="15.75" customHeight="1"/>
    <row r="2889" ht="15.75" customHeight="1"/>
    <row r="2890" ht="15.75" customHeight="1"/>
    <row r="2891" ht="15.75" customHeight="1"/>
    <row r="2892" ht="15.75" customHeight="1"/>
    <row r="2893" ht="15.75" customHeight="1"/>
    <row r="2894" ht="15.75" customHeight="1"/>
    <row r="2895" ht="15.75" customHeight="1"/>
    <row r="2896" ht="15.75" customHeight="1"/>
    <row r="2897" ht="15.75" customHeight="1"/>
    <row r="2898" ht="15.75" customHeight="1"/>
    <row r="2899" ht="15.75" customHeight="1"/>
    <row r="2900" ht="15.75" customHeight="1"/>
    <row r="2901" ht="15.75" customHeight="1"/>
    <row r="2902" ht="15.75" customHeight="1"/>
    <row r="2903" ht="15.75" customHeight="1"/>
    <row r="2904" ht="15.75" customHeight="1"/>
    <row r="2905" ht="15.75" customHeight="1"/>
    <row r="2906" ht="15.75" customHeight="1"/>
    <row r="2907" ht="15.75" customHeight="1"/>
    <row r="2908" ht="15.75" customHeight="1"/>
    <row r="2909" ht="15.75" customHeight="1"/>
    <row r="2910" ht="15.75" customHeight="1"/>
    <row r="2911" ht="15.75" customHeight="1"/>
    <row r="2912" ht="15.75" customHeight="1"/>
    <row r="2913" ht="15.75" customHeight="1"/>
    <row r="2914" ht="15.75" customHeight="1"/>
    <row r="2915" ht="15.75" customHeight="1"/>
    <row r="2916" ht="15.75" customHeight="1"/>
    <row r="2917" ht="15.75" customHeight="1"/>
    <row r="2918" ht="15.75" customHeight="1"/>
    <row r="2919" ht="15.75" customHeight="1"/>
    <row r="2920" ht="15.75" customHeight="1"/>
    <row r="2921" ht="15.75" customHeight="1"/>
    <row r="2922" ht="15.75" customHeight="1"/>
    <row r="2923" ht="15.75" customHeight="1"/>
    <row r="2924" ht="15.75" customHeight="1"/>
    <row r="2925" ht="15.75" customHeight="1"/>
    <row r="2926" ht="15.75" customHeight="1"/>
    <row r="2927" ht="15.75" customHeight="1"/>
    <row r="2928" ht="15.75" customHeight="1"/>
    <row r="2929" ht="15.75" customHeight="1"/>
    <row r="2930" ht="15.75" customHeight="1"/>
    <row r="2931" ht="15.75" customHeight="1"/>
    <row r="2932" ht="15.75" customHeight="1"/>
    <row r="2933" ht="15.75" customHeight="1"/>
    <row r="2934" ht="15.75" customHeight="1"/>
    <row r="2935" ht="15.75" customHeight="1"/>
    <row r="2936" ht="15.75" customHeight="1"/>
    <row r="2937" ht="15.75" customHeight="1"/>
    <row r="2938" ht="15.75" customHeight="1"/>
    <row r="2939" ht="15.75" customHeight="1"/>
    <row r="2940" ht="15.75" customHeight="1"/>
    <row r="2941" ht="15.75" customHeight="1"/>
    <row r="2942" ht="15.75" customHeight="1"/>
    <row r="2943" ht="15.75" customHeight="1"/>
    <row r="2944" ht="15.75" customHeight="1"/>
    <row r="2945" ht="15.75" customHeight="1"/>
    <row r="2946" ht="15.75" customHeight="1"/>
    <row r="2947" ht="15.75" customHeight="1"/>
    <row r="2948" ht="15.75" customHeight="1"/>
    <row r="2949" ht="15.75" customHeight="1"/>
    <row r="2950" ht="15.75" customHeight="1"/>
    <row r="2951" ht="15.75" customHeight="1"/>
    <row r="2952" ht="15.75" customHeight="1"/>
    <row r="2953" ht="15.75" customHeight="1"/>
    <row r="2954" ht="15.75" customHeight="1"/>
    <row r="2955" ht="15.75" customHeight="1"/>
    <row r="2956" ht="15.75" customHeight="1"/>
    <row r="2957" ht="15.75" customHeight="1"/>
    <row r="2958" ht="15.75" customHeight="1"/>
    <row r="2959" ht="15.75" customHeight="1"/>
    <row r="2960" ht="15.75" customHeight="1"/>
    <row r="2961" ht="15.75" customHeight="1"/>
    <row r="2962" ht="15.75" customHeight="1"/>
    <row r="2963" ht="15.75" customHeight="1"/>
    <row r="2964" ht="15.75" customHeight="1"/>
    <row r="2965" ht="15.75" customHeight="1"/>
    <row r="2966" ht="15.75" customHeight="1"/>
    <row r="2967" ht="15.75" customHeight="1"/>
    <row r="2968" ht="15.75" customHeight="1"/>
    <row r="2969" ht="15.75" customHeight="1"/>
    <row r="2970" ht="15.75" customHeight="1"/>
    <row r="2971" ht="15.75" customHeight="1"/>
    <row r="2972" ht="15.75" customHeight="1"/>
    <row r="2973" ht="15.75" customHeight="1"/>
    <row r="2974" ht="15.75" customHeight="1"/>
    <row r="2975" ht="15.75" customHeight="1"/>
    <row r="2976" ht="15.75" customHeight="1"/>
    <row r="2977" ht="15.75" customHeight="1"/>
    <row r="2978" ht="15.75" customHeight="1"/>
    <row r="2979" ht="15.75" customHeight="1"/>
    <row r="2980" ht="15.75" customHeight="1"/>
    <row r="2981" ht="15.75" customHeight="1"/>
    <row r="2982" ht="15.75" customHeight="1"/>
    <row r="2983" ht="15.75" customHeight="1"/>
    <row r="2984" ht="15.75" customHeight="1"/>
    <row r="2985" ht="15.75" customHeight="1"/>
    <row r="2986" ht="15.75" customHeight="1"/>
    <row r="2987" ht="15.75" customHeight="1"/>
    <row r="2988" ht="15.75" customHeight="1"/>
    <row r="2989" ht="15.75" customHeight="1"/>
    <row r="2990" ht="15.75" customHeight="1"/>
    <row r="2991" ht="15.75" customHeight="1"/>
    <row r="2992" ht="15.75" customHeight="1"/>
    <row r="2993" ht="15.75" customHeight="1"/>
    <row r="2994" ht="15.75" customHeight="1"/>
    <row r="2995" ht="15.75" customHeight="1"/>
    <row r="2996" ht="15.75" customHeight="1"/>
    <row r="2997" ht="15.75" customHeight="1"/>
    <row r="2998" ht="15.75" customHeight="1"/>
    <row r="2999" ht="15.75" customHeight="1"/>
    <row r="3000" ht="15.75" customHeight="1"/>
    <row r="3001" ht="15.75" customHeight="1"/>
    <row r="3002" ht="15.75" customHeight="1"/>
    <row r="3003" ht="15.75" customHeight="1"/>
    <row r="3004" ht="15.75" customHeight="1"/>
    <row r="3005" ht="15.75" customHeight="1"/>
    <row r="3006" ht="15.75" customHeight="1"/>
    <row r="3007" ht="15.75" customHeight="1"/>
    <row r="3008" ht="15.75" customHeight="1"/>
    <row r="3009" ht="15.75" customHeight="1"/>
    <row r="3010" ht="15.75" customHeight="1"/>
    <row r="3011" ht="15.75" customHeight="1"/>
    <row r="3012" ht="15.75" customHeight="1"/>
    <row r="3013" ht="15.75" customHeight="1"/>
    <row r="3014" ht="15.75" customHeight="1"/>
    <row r="3015" ht="15.75" customHeight="1"/>
    <row r="3016" ht="15.75" customHeight="1"/>
    <row r="3017" ht="15.75" customHeight="1"/>
    <row r="3018" ht="15.75" customHeight="1"/>
    <row r="3019" ht="15.75" customHeight="1"/>
    <row r="3020" ht="15.75" customHeight="1"/>
    <row r="3021" ht="15.75" customHeight="1"/>
    <row r="3022" ht="15.75" customHeight="1"/>
    <row r="3023" ht="15.75" customHeight="1"/>
    <row r="3024" ht="15.75" customHeight="1"/>
    <row r="3025" ht="15.75" customHeight="1"/>
    <row r="3026" ht="15.75" customHeight="1"/>
    <row r="3027" ht="15.75" customHeight="1"/>
    <row r="3028" ht="15.75" customHeight="1"/>
    <row r="3029" ht="15.75" customHeight="1"/>
    <row r="3030" ht="15.75" customHeight="1"/>
    <row r="3031" ht="15.75" customHeight="1"/>
    <row r="3032" ht="15.75" customHeight="1"/>
    <row r="3033" ht="15.75" customHeight="1"/>
    <row r="3034" ht="15.75" customHeight="1"/>
    <row r="3035" ht="15.75" customHeight="1"/>
    <row r="3036" ht="15.75" customHeight="1"/>
    <row r="3037" ht="15.75" customHeight="1"/>
    <row r="3038" ht="15.75" customHeight="1"/>
    <row r="3039" ht="15.75" customHeight="1"/>
    <row r="3040" ht="15.75" customHeight="1"/>
    <row r="3041" ht="15.75" customHeight="1"/>
    <row r="3042" ht="15.75" customHeight="1"/>
    <row r="3043" ht="15.75" customHeight="1"/>
    <row r="3044" ht="15.75" customHeight="1"/>
    <row r="3045" ht="15.75" customHeight="1"/>
    <row r="3046" ht="15.75" customHeight="1"/>
    <row r="3047" ht="15.75" customHeight="1"/>
    <row r="3048" ht="15.75" customHeight="1"/>
    <row r="3049" ht="15.75" customHeight="1"/>
    <row r="3050" ht="15.75" customHeight="1"/>
    <row r="3051" ht="15.75" customHeight="1"/>
    <row r="3052" ht="15.75" customHeight="1"/>
    <row r="3053" ht="15.75" customHeight="1"/>
    <row r="3054" ht="15.75" customHeight="1"/>
    <row r="3055" ht="15.75" customHeight="1"/>
    <row r="3056" ht="15.75" customHeight="1"/>
    <row r="3057" ht="15.75" customHeight="1"/>
    <row r="3058" ht="15.75" customHeight="1"/>
    <row r="3059" ht="15.75" customHeight="1"/>
    <row r="3060" ht="15.75" customHeight="1"/>
    <row r="3061" ht="15.75" customHeight="1"/>
    <row r="3062" ht="15.75" customHeight="1"/>
    <row r="3063" ht="15.75" customHeight="1"/>
    <row r="3064" ht="15.75" customHeight="1"/>
    <row r="3065" ht="15.75" customHeight="1"/>
    <row r="3066" ht="15.75" customHeight="1"/>
    <row r="3067" ht="15.75" customHeight="1"/>
    <row r="3068" ht="15.75" customHeight="1"/>
    <row r="3069" ht="15.75" customHeight="1"/>
    <row r="3070" ht="15.75" customHeight="1"/>
    <row r="3071" ht="15.75" customHeight="1"/>
    <row r="3072" ht="15.75" customHeight="1"/>
    <row r="3073" ht="15.75" customHeight="1"/>
    <row r="3074" ht="15.75" customHeight="1"/>
    <row r="3075" ht="15.75" customHeight="1"/>
    <row r="3076" ht="15.75" customHeight="1"/>
    <row r="3077" ht="15.75" customHeight="1"/>
    <row r="3078" ht="15.75" customHeight="1"/>
    <row r="3079" ht="15.75" customHeight="1"/>
    <row r="3080" ht="15.75" customHeight="1"/>
    <row r="3081" ht="15.75" customHeight="1"/>
    <row r="3082" ht="15.75" customHeight="1"/>
    <row r="3083" ht="15.75" customHeight="1"/>
    <row r="3084" ht="15.75" customHeight="1"/>
    <row r="3085" ht="15.75" customHeight="1"/>
    <row r="3086" ht="15.75" customHeight="1"/>
    <row r="3087" ht="15.75" customHeight="1"/>
    <row r="3088" ht="15.75" customHeight="1"/>
    <row r="3089" ht="15.75" customHeight="1"/>
    <row r="3090" ht="15.75" customHeight="1"/>
    <row r="3091" ht="15.75" customHeight="1"/>
    <row r="3092" ht="15.75" customHeight="1"/>
    <row r="3093" ht="15.75" customHeight="1"/>
    <row r="3094" ht="15.75" customHeight="1"/>
    <row r="3095" ht="15.75" customHeight="1"/>
    <row r="3096" ht="15.75" customHeight="1"/>
    <row r="3097" ht="15.75" customHeight="1"/>
    <row r="3098" ht="15.75" customHeight="1"/>
    <row r="3099" ht="15.75" customHeight="1"/>
    <row r="3100" ht="15.75" customHeight="1"/>
    <row r="3101" ht="15.75" customHeight="1"/>
    <row r="3102" ht="15.75" customHeight="1"/>
    <row r="3103" ht="15.75" customHeight="1"/>
    <row r="3104" ht="15.75" customHeight="1"/>
    <row r="3105" ht="15.75" customHeight="1"/>
    <row r="3106" ht="15.75" customHeight="1"/>
    <row r="3107" ht="15.75" customHeight="1"/>
    <row r="3108" ht="15.75" customHeight="1"/>
    <row r="3109" ht="15.75" customHeight="1"/>
    <row r="3110" ht="15.75" customHeight="1"/>
    <row r="3111" ht="15.75" customHeight="1"/>
    <row r="3112" ht="15.75" customHeight="1"/>
    <row r="3113" ht="15.75" customHeight="1"/>
    <row r="3114" ht="15.75" customHeight="1"/>
    <row r="3115" ht="15.75" customHeight="1"/>
    <row r="3116" ht="15.75" customHeight="1"/>
    <row r="3117" ht="15.75" customHeight="1"/>
    <row r="3118" ht="15.75" customHeight="1"/>
    <row r="3119" ht="15.75" customHeight="1"/>
    <row r="3120" ht="15.75" customHeight="1"/>
    <row r="3121" ht="15.75" customHeight="1"/>
    <row r="3122" ht="15.75" customHeight="1"/>
    <row r="3123" ht="15.75" customHeight="1"/>
    <row r="3124" ht="15.75" customHeight="1"/>
    <row r="3125" ht="15.75" customHeight="1"/>
    <row r="3126" ht="15.75" customHeight="1"/>
    <row r="3127" ht="15.75" customHeight="1"/>
    <row r="3128" ht="15.75" customHeight="1"/>
    <row r="3129" ht="15.75" customHeight="1"/>
    <row r="3130" ht="15.75" customHeight="1"/>
    <row r="3131" ht="15.75" customHeight="1"/>
    <row r="3132" ht="15.75" customHeight="1"/>
    <row r="3133" ht="15.75" customHeight="1"/>
    <row r="3134" ht="15.75" customHeight="1"/>
    <row r="3135" ht="15.75" customHeight="1"/>
    <row r="3136" ht="15.75" customHeight="1"/>
    <row r="3137" ht="15.75" customHeight="1"/>
    <row r="3138" ht="15.75" customHeight="1"/>
    <row r="3139" ht="15.75" customHeight="1"/>
    <row r="3140" ht="15.75" customHeight="1"/>
    <row r="3141" ht="15.75" customHeight="1"/>
    <row r="3142" ht="15.75" customHeight="1"/>
    <row r="3143" ht="15.75" customHeight="1"/>
    <row r="3144" ht="15.75" customHeight="1"/>
    <row r="3145" ht="15.75" customHeight="1"/>
    <row r="3146" ht="15.75" customHeight="1"/>
    <row r="3147" ht="15.75" customHeight="1"/>
    <row r="3148" ht="15.75" customHeight="1"/>
    <row r="3149" ht="15.75" customHeight="1"/>
    <row r="3150" ht="15.75" customHeight="1"/>
    <row r="3151" ht="15.75" customHeight="1"/>
    <row r="3152" ht="15.75" customHeight="1"/>
    <row r="3153" ht="15.75" customHeight="1"/>
    <row r="3154" ht="15.75" customHeight="1"/>
    <row r="3155" ht="15.75" customHeight="1"/>
    <row r="3156" ht="15.75" customHeight="1"/>
    <row r="3157" ht="15.75" customHeight="1"/>
    <row r="3158" ht="15.75" customHeight="1"/>
    <row r="3159" ht="15.75" customHeight="1"/>
    <row r="3160" ht="15.75" customHeight="1"/>
    <row r="3161" ht="15.75" customHeight="1"/>
    <row r="3162" ht="15.75" customHeight="1"/>
    <row r="3163" ht="15.75" customHeight="1"/>
    <row r="3164" ht="15.75" customHeight="1"/>
    <row r="3165" ht="15.75" customHeight="1"/>
    <row r="3166" ht="15.75" customHeight="1"/>
    <row r="3167" ht="15.75" customHeight="1"/>
    <row r="3168" ht="15.75" customHeight="1"/>
    <row r="3169" ht="15.75" customHeight="1"/>
    <row r="3170" ht="15.75" customHeight="1"/>
    <row r="3171" ht="15.75" customHeight="1"/>
    <row r="3172" ht="15.75" customHeight="1"/>
    <row r="3173" ht="15.75" customHeight="1"/>
    <row r="3174" ht="15.75" customHeight="1"/>
    <row r="3175" ht="15.75" customHeight="1"/>
    <row r="3176" ht="15.75" customHeight="1"/>
    <row r="3177" ht="15.75" customHeight="1"/>
    <row r="3178" ht="15.75" customHeight="1"/>
    <row r="3179" ht="15.75" customHeight="1"/>
    <row r="3180" ht="15.75" customHeight="1"/>
    <row r="3181" ht="15.75" customHeight="1"/>
    <row r="3182" ht="15.75" customHeight="1"/>
    <row r="3183" ht="15.75" customHeight="1"/>
    <row r="3184" ht="15.75" customHeight="1"/>
    <row r="3185" ht="15.75" customHeight="1"/>
    <row r="3186" ht="15.75" customHeight="1"/>
    <row r="3187" ht="15.75" customHeight="1"/>
    <row r="3188" ht="15.75" customHeight="1"/>
    <row r="3189" ht="15.75" customHeight="1"/>
    <row r="3190" ht="15.75" customHeight="1"/>
    <row r="3191" ht="15.75" customHeight="1"/>
    <row r="3192" ht="15.75" customHeight="1"/>
    <row r="3193" ht="15.75" customHeight="1"/>
    <row r="3194" ht="15.75" customHeight="1"/>
    <row r="3195" ht="15.75" customHeight="1"/>
    <row r="3196" ht="15.75" customHeight="1"/>
    <row r="3197" ht="15.75" customHeight="1"/>
    <row r="3198" ht="15.75" customHeight="1"/>
    <row r="3199" ht="15.75" customHeight="1"/>
    <row r="3200" ht="15.75" customHeight="1"/>
    <row r="3201" ht="15.75" customHeight="1"/>
    <row r="3202" ht="15.75" customHeight="1"/>
    <row r="3203" ht="15.75" customHeight="1"/>
    <row r="3204" ht="15.75" customHeight="1"/>
    <row r="3205" ht="15.75" customHeight="1"/>
    <row r="3206" ht="15.75" customHeight="1"/>
    <row r="3207" ht="15.75" customHeight="1"/>
    <row r="3208" ht="15.75" customHeight="1"/>
    <row r="3209" ht="15.75" customHeight="1"/>
    <row r="3210" ht="15.75" customHeight="1"/>
    <row r="3211" ht="15.75" customHeight="1"/>
    <row r="3212" ht="15.75" customHeight="1"/>
    <row r="3213" ht="15.75" customHeight="1"/>
    <row r="3214" ht="15.75" customHeight="1"/>
    <row r="3215" ht="15.75" customHeight="1"/>
    <row r="3216" ht="15.75" customHeight="1"/>
    <row r="3217" ht="15.75" customHeight="1"/>
    <row r="3218" ht="15.75" customHeight="1"/>
    <row r="3219" ht="15.75" customHeight="1"/>
    <row r="3220" ht="15.75" customHeight="1"/>
    <row r="3221" ht="15.75" customHeight="1"/>
    <row r="3222" ht="15.75" customHeight="1"/>
    <row r="3223" ht="15.75" customHeight="1"/>
    <row r="3224" ht="15.75" customHeight="1"/>
    <row r="3225" ht="15.75" customHeight="1"/>
    <row r="3226" ht="15.75" customHeight="1"/>
    <row r="3227" ht="15.75" customHeight="1"/>
    <row r="3228" ht="15.75" customHeight="1"/>
    <row r="3229" ht="15.75" customHeight="1"/>
    <row r="3230" ht="15.75" customHeight="1"/>
    <row r="3231" ht="15.75" customHeight="1"/>
    <row r="3232" ht="15.75" customHeight="1"/>
    <row r="3233" ht="15.75" customHeight="1"/>
    <row r="3234" ht="15.75" customHeight="1"/>
    <row r="3235" ht="15.75" customHeight="1"/>
    <row r="3236" ht="15.75" customHeight="1"/>
    <row r="3237" ht="15.75" customHeight="1"/>
    <row r="3238" ht="15.75" customHeight="1"/>
    <row r="3239" ht="15.75" customHeight="1"/>
    <row r="3240" ht="15.75" customHeight="1"/>
    <row r="3241" ht="15.75" customHeight="1"/>
    <row r="3242" ht="15.75" customHeight="1"/>
    <row r="3243" ht="15.75" customHeight="1"/>
    <row r="3244" ht="15.75" customHeight="1"/>
    <row r="3245" ht="15.75" customHeight="1"/>
    <row r="3246" ht="15.75" customHeight="1"/>
    <row r="3247" ht="15.75" customHeight="1"/>
    <row r="3248" ht="15.75" customHeight="1"/>
    <row r="3249" ht="15.75" customHeight="1"/>
    <row r="3250" ht="15.75" customHeight="1"/>
    <row r="3251" ht="15.75" customHeight="1"/>
    <row r="3252" ht="15.75" customHeight="1"/>
    <row r="3253" ht="15.75" customHeight="1"/>
    <row r="3254" ht="15.75" customHeight="1"/>
    <row r="3255" ht="15.75" customHeight="1"/>
    <row r="3256" ht="15.75" customHeight="1"/>
    <row r="3257" ht="15.75" customHeight="1"/>
    <row r="3258" ht="15.75" customHeight="1"/>
    <row r="3259" ht="15.75" customHeight="1"/>
    <row r="3260" ht="15.75" customHeight="1"/>
    <row r="3261" ht="15.75" customHeight="1"/>
    <row r="3262" ht="15.75" customHeight="1"/>
    <row r="3263" ht="15.75" customHeight="1"/>
    <row r="3264" ht="15.75" customHeight="1"/>
    <row r="3265" ht="15.75" customHeight="1"/>
    <row r="3266" ht="15.75" customHeight="1"/>
    <row r="3267" ht="15.75" customHeight="1"/>
    <row r="3268" ht="15.75" customHeight="1"/>
    <row r="3269" ht="15.75" customHeight="1"/>
    <row r="3270" ht="15.75" customHeight="1"/>
    <row r="3271" ht="15.75" customHeight="1"/>
    <row r="3272" ht="15.75" customHeight="1"/>
    <row r="3273" ht="15.75" customHeight="1"/>
    <row r="3274" ht="15.75" customHeight="1"/>
    <row r="3275" ht="15.75" customHeight="1"/>
    <row r="3276" ht="15.75" customHeight="1"/>
    <row r="3277" ht="15.75" customHeight="1"/>
    <row r="3278" ht="15.75" customHeight="1"/>
    <row r="3279" ht="15.75" customHeight="1"/>
    <row r="3280" ht="15.75" customHeight="1"/>
    <row r="3281" ht="15.75" customHeight="1"/>
    <row r="3282" ht="15.75" customHeight="1"/>
    <row r="3283" ht="15.75" customHeight="1"/>
    <row r="3284" ht="15.75" customHeight="1"/>
    <row r="3285" ht="15.75" customHeight="1"/>
    <row r="3286" ht="15.75" customHeight="1"/>
    <row r="3287" ht="15.75" customHeight="1"/>
    <row r="3288" ht="15.75" customHeight="1"/>
    <row r="3289" ht="15.75" customHeight="1"/>
    <row r="3290" ht="15.75" customHeight="1"/>
    <row r="3291" ht="15.75" customHeight="1"/>
    <row r="3292" ht="15.75" customHeight="1"/>
    <row r="3293" ht="15.75" customHeight="1"/>
    <row r="3294" ht="15.75" customHeight="1"/>
    <row r="3295" ht="15.75" customHeight="1"/>
    <row r="3296" ht="15.75" customHeight="1"/>
    <row r="3297" ht="15.75" customHeight="1"/>
    <row r="3298" ht="15.75" customHeight="1"/>
    <row r="3299" ht="15.75" customHeight="1"/>
    <row r="3300" ht="15.75" customHeight="1"/>
    <row r="3301" ht="15.75" customHeight="1"/>
    <row r="3302" ht="15.75" customHeight="1"/>
    <row r="3303" ht="15.75" customHeight="1"/>
    <row r="3304" ht="15.75" customHeight="1"/>
    <row r="3305" ht="15.75" customHeight="1"/>
    <row r="3306" ht="15.75" customHeight="1"/>
    <row r="3307" ht="15.75" customHeight="1"/>
    <row r="3308" ht="15.75" customHeight="1"/>
    <row r="3309" ht="15.75" customHeight="1"/>
    <row r="3310" ht="15.75" customHeight="1"/>
    <row r="3311" ht="15.75" customHeight="1"/>
    <row r="3312" ht="15.75" customHeight="1"/>
    <row r="3313" ht="15.75" customHeight="1"/>
    <row r="3314" ht="15.75" customHeight="1"/>
    <row r="3315" ht="15.75" customHeight="1"/>
    <row r="3316" ht="15.75" customHeight="1"/>
    <row r="3317" ht="15.75" customHeight="1"/>
    <row r="3318" ht="15.75" customHeight="1"/>
    <row r="3319" ht="15.75" customHeight="1"/>
    <row r="3320" ht="15.75" customHeight="1"/>
    <row r="3321" ht="15.75" customHeight="1"/>
    <row r="3322" ht="15.75" customHeight="1"/>
    <row r="3323" ht="15.75" customHeight="1"/>
    <row r="3324" ht="15.75" customHeight="1"/>
    <row r="3325" ht="15.75" customHeight="1"/>
    <row r="3326" ht="15.75" customHeight="1"/>
    <row r="3327" ht="15.75" customHeight="1"/>
    <row r="3328" ht="15.75" customHeight="1"/>
    <row r="3329" ht="15.75" customHeight="1"/>
    <row r="3330" ht="15.75" customHeight="1"/>
    <row r="3331" ht="15.75" customHeight="1"/>
    <row r="3332" ht="15.75" customHeight="1"/>
    <row r="3333" ht="15.75" customHeight="1"/>
    <row r="3334" ht="15.75" customHeight="1"/>
    <row r="3335" ht="15.75" customHeight="1"/>
    <row r="3336" ht="15.75" customHeight="1"/>
    <row r="3337" ht="15.75" customHeight="1"/>
    <row r="3338" ht="15.75" customHeight="1"/>
    <row r="3339" ht="15.75" customHeight="1"/>
    <row r="3340" ht="15.75" customHeight="1"/>
    <row r="3341" ht="15.75" customHeight="1"/>
    <row r="3342" ht="15.75" customHeight="1"/>
    <row r="3343" ht="15.75" customHeight="1"/>
    <row r="3344" ht="15.75" customHeight="1"/>
    <row r="3345" ht="15.75" customHeight="1"/>
    <row r="3346" ht="15.75" customHeight="1"/>
    <row r="3347" ht="15.75" customHeight="1"/>
    <row r="3348" ht="15.75" customHeight="1"/>
    <row r="3349" ht="15.75" customHeight="1"/>
    <row r="3350" ht="15.75" customHeight="1"/>
    <row r="3351" ht="15.75" customHeight="1"/>
    <row r="3352" ht="15.75" customHeight="1"/>
    <row r="3353" ht="15.75" customHeight="1"/>
    <row r="3354" ht="15.75" customHeight="1"/>
    <row r="3355" ht="15.75" customHeight="1"/>
    <row r="3356" ht="15.75" customHeight="1"/>
    <row r="3357" ht="15.75" customHeight="1"/>
    <row r="3358" ht="15.75" customHeight="1"/>
    <row r="3359" ht="15.75" customHeight="1"/>
    <row r="3360" ht="15.75" customHeight="1"/>
    <row r="3361" ht="15.75" customHeight="1"/>
    <row r="3362" ht="15.75" customHeight="1"/>
    <row r="3363" ht="15.75" customHeight="1"/>
    <row r="3364" ht="15.75" customHeight="1"/>
    <row r="3365" ht="15.75" customHeight="1"/>
    <row r="3366" ht="15.75" customHeight="1"/>
    <row r="3367" ht="15.75" customHeight="1"/>
    <row r="3368" ht="15.75" customHeight="1"/>
    <row r="3369" ht="15.75" customHeight="1"/>
    <row r="3370" ht="15.75" customHeight="1"/>
    <row r="3371" ht="15.75" customHeight="1"/>
    <row r="3372" ht="15.75" customHeight="1"/>
    <row r="3373" ht="15.75" customHeight="1"/>
    <row r="3374" ht="15.75" customHeight="1"/>
    <row r="3375" ht="15.75" customHeight="1"/>
    <row r="3376" ht="15.75" customHeight="1"/>
    <row r="3377" ht="15.75" customHeight="1"/>
    <row r="3378" ht="15.75" customHeight="1"/>
    <row r="3379" ht="15.75" customHeight="1"/>
    <row r="3380" ht="15.75" customHeight="1"/>
    <row r="3381" ht="15.75" customHeight="1"/>
    <row r="3382" ht="15.75" customHeight="1"/>
    <row r="3383" ht="15.75" customHeight="1"/>
    <row r="3384" ht="15.75" customHeight="1"/>
    <row r="3385" ht="15.75" customHeight="1"/>
    <row r="3386" ht="15.75" customHeight="1"/>
    <row r="3387" ht="15.75" customHeight="1"/>
    <row r="3388" ht="15.75" customHeight="1"/>
    <row r="3389" ht="15.75" customHeight="1"/>
    <row r="3390" ht="15.75" customHeight="1"/>
    <row r="3391" ht="15.75" customHeight="1"/>
    <row r="3392" ht="15.75" customHeight="1"/>
    <row r="3393" ht="15.75" customHeight="1"/>
    <row r="3394" ht="15.75" customHeight="1"/>
    <row r="3395" ht="15.75" customHeight="1"/>
    <row r="3396" ht="15.75" customHeight="1"/>
    <row r="3397" ht="15.75" customHeight="1"/>
    <row r="3398" ht="15.75" customHeight="1"/>
    <row r="3399" ht="15.75" customHeight="1"/>
    <row r="3400" ht="15.75" customHeight="1"/>
    <row r="3401" ht="15.75" customHeight="1"/>
    <row r="3402" ht="15.75" customHeight="1"/>
    <row r="3403" ht="15.75" customHeight="1"/>
    <row r="3404" ht="15.75" customHeight="1"/>
    <row r="3405" ht="15.75" customHeight="1"/>
    <row r="3406" ht="15.75" customHeight="1"/>
    <row r="3407" ht="15.75" customHeight="1"/>
    <row r="3408" ht="15.75" customHeight="1"/>
    <row r="3409" ht="15.75" customHeight="1"/>
    <row r="3410" ht="15.75" customHeight="1"/>
    <row r="3411" ht="15.75" customHeight="1"/>
    <row r="3412" ht="15.75" customHeight="1"/>
    <row r="3413" ht="15.75" customHeight="1"/>
    <row r="3414" ht="15.75" customHeight="1"/>
    <row r="3415" ht="15.75" customHeight="1"/>
    <row r="3416" ht="15.75" customHeight="1"/>
    <row r="3417" ht="15.75" customHeight="1"/>
    <row r="3418" ht="15.75" customHeight="1"/>
    <row r="3419" ht="15.75" customHeight="1"/>
    <row r="3420" ht="15.75" customHeight="1"/>
    <row r="3421" ht="15.75" customHeight="1"/>
    <row r="3422" ht="15.75" customHeight="1"/>
    <row r="3423" ht="15.75" customHeight="1"/>
    <row r="3424" ht="15.75" customHeight="1"/>
    <row r="3425" ht="15.75" customHeight="1"/>
    <row r="3426" ht="15.75" customHeight="1"/>
    <row r="3427" ht="15.75" customHeight="1"/>
    <row r="3428" ht="15.75" customHeight="1"/>
    <row r="3429" ht="15.75" customHeight="1"/>
    <row r="3430" ht="15.75" customHeight="1"/>
    <row r="3431" ht="15.75" customHeight="1"/>
    <row r="3432" ht="15.75" customHeight="1"/>
    <row r="3433" ht="15.75" customHeight="1"/>
    <row r="3434" ht="15.75" customHeight="1"/>
    <row r="3435" ht="15.75" customHeight="1"/>
    <row r="3436" ht="15.75" customHeight="1"/>
    <row r="3437" ht="15.75" customHeight="1"/>
    <row r="3438" ht="15.75" customHeight="1"/>
    <row r="3439" ht="15.75" customHeight="1"/>
    <row r="3440" ht="15.75" customHeight="1"/>
    <row r="3441" ht="15.75" customHeight="1"/>
    <row r="3442" ht="15.75" customHeight="1"/>
    <row r="3443" ht="15.75" customHeight="1"/>
    <row r="3444" ht="15.75" customHeight="1"/>
    <row r="3445" ht="15.75" customHeight="1"/>
    <row r="3446" ht="15.75" customHeight="1"/>
    <row r="3447" ht="15.75" customHeight="1"/>
    <row r="3448" ht="15.75" customHeight="1"/>
    <row r="3449" ht="15.75" customHeight="1"/>
    <row r="3450" ht="15.75" customHeight="1"/>
    <row r="3451" ht="15.75" customHeight="1"/>
    <row r="3452" ht="15.75" customHeight="1"/>
    <row r="3453" ht="15.75" customHeight="1"/>
    <row r="3454" ht="15.75" customHeight="1"/>
    <row r="3455" ht="15.75" customHeight="1"/>
    <row r="3456" ht="15.75" customHeight="1"/>
    <row r="3457" ht="15.75" customHeight="1"/>
    <row r="3458" ht="15.75" customHeight="1"/>
    <row r="3459" ht="15.75" customHeight="1"/>
    <row r="3460" ht="15.75" customHeight="1"/>
    <row r="3461" ht="15.75" customHeight="1"/>
    <row r="3462" ht="15.75" customHeight="1"/>
    <row r="3463" ht="15.75" customHeight="1"/>
    <row r="3464" ht="15.75" customHeight="1"/>
    <row r="3465" ht="15.75" customHeight="1"/>
    <row r="3466" ht="15.75" customHeight="1"/>
    <row r="3467" ht="15.75" customHeight="1"/>
    <row r="3468" ht="15.75" customHeight="1"/>
    <row r="3469" ht="15.75" customHeight="1"/>
    <row r="3470" ht="15.75" customHeight="1"/>
    <row r="3471" ht="15.75" customHeight="1"/>
    <row r="3472" ht="15.75" customHeight="1"/>
    <row r="3473" ht="15.75" customHeight="1"/>
    <row r="3474" ht="15.75" customHeight="1"/>
    <row r="3475" ht="15.75" customHeight="1"/>
    <row r="3476" ht="15.75" customHeight="1"/>
    <row r="3477" ht="15.75" customHeight="1"/>
    <row r="3478" ht="15.75" customHeight="1"/>
    <row r="3479" ht="15.75" customHeight="1"/>
    <row r="3480" ht="15.75" customHeight="1"/>
    <row r="3481" ht="15.75" customHeight="1"/>
    <row r="3482" ht="15.75" customHeight="1"/>
    <row r="3483" ht="15.75" customHeight="1"/>
    <row r="3484" ht="15.75" customHeight="1"/>
    <row r="3485" ht="15.75" customHeight="1"/>
    <row r="3486" ht="15.75" customHeight="1"/>
    <row r="3487" ht="15.75" customHeight="1"/>
    <row r="3488" ht="15.75" customHeight="1"/>
    <row r="3489" ht="15.75" customHeight="1"/>
    <row r="3490" ht="15.75" customHeight="1"/>
    <row r="3491" ht="15.75" customHeight="1"/>
    <row r="3492" ht="15.75" customHeight="1"/>
    <row r="3493" ht="15.75" customHeight="1"/>
    <row r="3494" ht="15.75" customHeight="1"/>
    <row r="3495" ht="15.75" customHeight="1"/>
    <row r="3496" ht="15.75" customHeight="1"/>
    <row r="3497" ht="15.75" customHeight="1"/>
    <row r="3498" ht="15.75" customHeight="1"/>
    <row r="3499" ht="15.75" customHeight="1"/>
    <row r="3500" ht="15.75" customHeight="1"/>
    <row r="3501" ht="15.75" customHeight="1"/>
    <row r="3502" ht="15.75" customHeight="1"/>
    <row r="3503" ht="15.75" customHeight="1"/>
    <row r="3504" ht="15.75" customHeight="1"/>
    <row r="3505" ht="15.75" customHeight="1"/>
    <row r="3506" ht="15.75" customHeight="1"/>
    <row r="3507" ht="15.75" customHeight="1"/>
    <row r="3508" ht="15.75" customHeight="1"/>
    <row r="3509" ht="15.75" customHeight="1"/>
    <row r="3510" ht="15.75" customHeight="1"/>
    <row r="3511" ht="15.75" customHeight="1"/>
    <row r="3512" ht="15.75" customHeight="1"/>
    <row r="3513" ht="15.75" customHeight="1"/>
    <row r="3514" ht="15.75" customHeight="1"/>
    <row r="3515" ht="15.75" customHeight="1"/>
    <row r="3516" ht="15.75" customHeight="1"/>
    <row r="3517" ht="15.75" customHeight="1"/>
    <row r="3518" ht="15.75" customHeight="1"/>
    <row r="3519" ht="15.75" customHeight="1"/>
    <row r="3520" ht="15.75" customHeight="1"/>
    <row r="3521" ht="15.75" customHeight="1"/>
    <row r="3522" ht="15.75" customHeight="1"/>
    <row r="3523" ht="15.75" customHeight="1"/>
    <row r="3524" ht="15.75" customHeight="1"/>
    <row r="3525" ht="15.75" customHeight="1"/>
    <row r="3526" ht="15.75" customHeight="1"/>
    <row r="3527" ht="15.75" customHeight="1"/>
    <row r="3528" ht="15.75" customHeight="1"/>
    <row r="3529" ht="15.75" customHeight="1"/>
    <row r="3530" ht="15.75" customHeight="1"/>
    <row r="3531" ht="15.75" customHeight="1"/>
    <row r="3532" ht="15.75" customHeight="1"/>
    <row r="3533" ht="15.75" customHeight="1"/>
    <row r="3534" ht="15.75" customHeight="1"/>
    <row r="3535" ht="15.75" customHeight="1"/>
    <row r="3536" ht="15.75" customHeight="1"/>
    <row r="3537" ht="15.75" customHeight="1"/>
    <row r="3538" ht="15.75" customHeight="1"/>
    <row r="3539" ht="15.75" customHeight="1"/>
    <row r="3540" ht="15.75" customHeight="1"/>
    <row r="3541" ht="15.75" customHeight="1"/>
    <row r="3542" ht="15.75" customHeight="1"/>
    <row r="3543" ht="15.75" customHeight="1"/>
    <row r="3544" ht="15.75" customHeight="1"/>
    <row r="3545" ht="15.75" customHeight="1"/>
    <row r="3546" ht="15.75" customHeight="1"/>
    <row r="3547" ht="15.75" customHeight="1"/>
    <row r="3548" ht="15.75" customHeight="1"/>
    <row r="3549" ht="15.75" customHeight="1"/>
    <row r="3550" ht="15.75" customHeight="1"/>
    <row r="3551" ht="15.75" customHeight="1"/>
    <row r="3552" ht="15.75" customHeight="1"/>
    <row r="3553" ht="15.75" customHeight="1"/>
    <row r="3554" ht="15.75" customHeight="1"/>
    <row r="3555" ht="15.75" customHeight="1"/>
    <row r="3556" ht="15.75" customHeight="1"/>
    <row r="3557" ht="15.75" customHeight="1"/>
    <row r="3558" ht="15.75" customHeight="1"/>
    <row r="3559" ht="15.75" customHeight="1"/>
    <row r="3560" ht="15.75" customHeight="1"/>
    <row r="3561" ht="15.75" customHeight="1"/>
    <row r="3562" ht="15.75" customHeight="1"/>
    <row r="3563" ht="15.75" customHeight="1"/>
    <row r="3564" ht="15.75" customHeight="1"/>
    <row r="3565" ht="15.75" customHeight="1"/>
    <row r="3566" ht="15.75" customHeight="1"/>
    <row r="3567" ht="15.75" customHeight="1"/>
    <row r="3568" ht="15.75" customHeight="1"/>
    <row r="3569" ht="15.75" customHeight="1"/>
    <row r="3570" ht="15.75" customHeight="1"/>
    <row r="3571" ht="15.75" customHeight="1"/>
    <row r="3572" ht="15.75" customHeight="1"/>
    <row r="3573" ht="15.75" customHeight="1"/>
    <row r="3574" ht="15.75" customHeight="1"/>
    <row r="3575" ht="15.75" customHeight="1"/>
    <row r="3576" ht="15.75" customHeight="1"/>
    <row r="3577" ht="15.75" customHeight="1"/>
    <row r="3578" ht="15.75" customHeight="1"/>
    <row r="3579" ht="15.75" customHeight="1"/>
    <row r="3580" ht="15.75" customHeight="1"/>
    <row r="3581" ht="15.75" customHeight="1"/>
    <row r="3582" ht="15.75" customHeight="1"/>
    <row r="3583" ht="15.75" customHeight="1"/>
    <row r="3584" ht="15.75" customHeight="1"/>
    <row r="3585" ht="15.75" customHeight="1"/>
    <row r="3586" ht="15.75" customHeight="1"/>
    <row r="3587" ht="15.75" customHeight="1"/>
    <row r="3588" ht="15.75" customHeight="1"/>
    <row r="3589" ht="15.75" customHeight="1"/>
    <row r="3590" ht="15.75" customHeight="1"/>
    <row r="3591" ht="15.75" customHeight="1"/>
    <row r="3592" ht="15.75" customHeight="1"/>
    <row r="3593" ht="15.75" customHeight="1"/>
    <row r="3594" ht="15.75" customHeight="1"/>
    <row r="3595" ht="15.75" customHeight="1"/>
    <row r="3596" ht="15.75" customHeight="1"/>
    <row r="3597" ht="15.75" customHeight="1"/>
    <row r="3598" ht="15.75" customHeight="1"/>
    <row r="3599" ht="15.75" customHeight="1"/>
    <row r="3600" ht="15.75" customHeight="1"/>
    <row r="3601" ht="15.75" customHeight="1"/>
    <row r="3602" ht="15.75" customHeight="1"/>
    <row r="3603" ht="15.75" customHeight="1"/>
    <row r="3604" ht="15.75" customHeight="1"/>
    <row r="3605" ht="15.75" customHeight="1"/>
    <row r="3606" ht="15.75" customHeight="1"/>
    <row r="3607" ht="15.75" customHeight="1"/>
    <row r="3608" ht="15.75" customHeight="1"/>
    <row r="3609" ht="15.75" customHeight="1"/>
    <row r="3610" ht="15.75" customHeight="1"/>
    <row r="3611" ht="15.75" customHeight="1"/>
    <row r="3612" ht="15.75" customHeight="1"/>
    <row r="3613" ht="15.75" customHeight="1"/>
    <row r="3614" ht="15.75" customHeight="1"/>
    <row r="3615" ht="15.75" customHeight="1"/>
    <row r="3616" ht="15.75" customHeight="1"/>
    <row r="3617" ht="15.75" customHeight="1"/>
    <row r="3618" ht="15.75" customHeight="1"/>
    <row r="3619" ht="15.75" customHeight="1"/>
    <row r="3620" ht="15.75" customHeight="1"/>
    <row r="3621" ht="15.75" customHeight="1"/>
    <row r="3622" ht="15.75" customHeight="1"/>
    <row r="3623" ht="15.75" customHeight="1"/>
    <row r="3624" ht="15.75" customHeight="1"/>
    <row r="3625" ht="15.75" customHeight="1"/>
    <row r="3626" ht="15.75" customHeight="1"/>
    <row r="3627" ht="15.75" customHeight="1"/>
    <row r="3628" ht="15.75" customHeight="1"/>
    <row r="3629" ht="15.75" customHeight="1"/>
    <row r="3630" ht="15.75" customHeight="1"/>
    <row r="3631" ht="15.75" customHeight="1"/>
    <row r="3632" ht="15.75" customHeight="1"/>
    <row r="3633" ht="15.75" customHeight="1"/>
    <row r="3634" ht="15.75" customHeight="1"/>
    <row r="3635" ht="15.75" customHeight="1"/>
    <row r="3636" ht="15.75" customHeight="1"/>
    <row r="3637" ht="15.75" customHeight="1"/>
    <row r="3638" ht="15.75" customHeight="1"/>
    <row r="3639" ht="15.75" customHeight="1"/>
    <row r="3640" ht="15.75" customHeight="1"/>
    <row r="3641" ht="15.75" customHeight="1"/>
    <row r="3642" ht="15.75" customHeight="1"/>
    <row r="3643" ht="15.75" customHeight="1"/>
    <row r="3644" ht="15.75" customHeight="1"/>
    <row r="3645" ht="15.75" customHeight="1"/>
    <row r="3646" ht="15.75" customHeight="1"/>
    <row r="3647" ht="15.75" customHeight="1"/>
    <row r="3648" ht="15.75" customHeight="1"/>
    <row r="3649" ht="15.75" customHeight="1"/>
    <row r="3650" ht="15.75" customHeight="1"/>
    <row r="3651" ht="15.75" customHeight="1"/>
    <row r="3652" ht="15.75" customHeight="1"/>
    <row r="3653" ht="15.75" customHeight="1"/>
    <row r="3654" ht="15.75" customHeight="1"/>
    <row r="3655" ht="15.75" customHeight="1"/>
    <row r="3656" ht="15.75" customHeight="1"/>
    <row r="3657" ht="15.75" customHeight="1"/>
    <row r="3658" ht="15.75" customHeight="1"/>
    <row r="3659" ht="15.75" customHeight="1"/>
    <row r="3660" ht="15.75" customHeight="1"/>
    <row r="3661" ht="15.75" customHeight="1"/>
    <row r="3662" ht="15.75" customHeight="1"/>
    <row r="3663" ht="15.75" customHeight="1"/>
    <row r="3664" ht="15.75" customHeight="1"/>
    <row r="3665" ht="15.75" customHeight="1"/>
    <row r="3666" ht="15.75" customHeight="1"/>
    <row r="3667" ht="15.75" customHeight="1"/>
    <row r="3668" ht="15.75" customHeight="1"/>
    <row r="3669" ht="15.75" customHeight="1"/>
    <row r="3670" ht="15.75" customHeight="1"/>
    <row r="3671" ht="15.75" customHeight="1"/>
    <row r="3672" ht="15.75" customHeight="1"/>
    <row r="3673" ht="15.75" customHeight="1"/>
    <row r="3674" ht="15.75" customHeight="1"/>
    <row r="3675" ht="15.75" customHeight="1"/>
    <row r="3676" ht="15.75" customHeight="1"/>
    <row r="3677" ht="15.75" customHeight="1"/>
    <row r="3678" ht="15.75" customHeight="1"/>
    <row r="3679" ht="15.75" customHeight="1"/>
    <row r="3680" ht="15.75" customHeight="1"/>
    <row r="3681" ht="15.75" customHeight="1"/>
    <row r="3682" ht="15.75" customHeight="1"/>
    <row r="3683" ht="15.75" customHeight="1"/>
    <row r="3684" ht="15.75" customHeight="1"/>
    <row r="3685" ht="15.75" customHeight="1"/>
    <row r="3686" ht="15.75" customHeight="1"/>
    <row r="3687" ht="15.75" customHeight="1"/>
    <row r="3688" ht="15.75" customHeight="1"/>
    <row r="3689" ht="15.75" customHeight="1"/>
    <row r="3690" ht="15.75" customHeight="1"/>
    <row r="3691" ht="15.75" customHeight="1"/>
    <row r="3692" ht="15.75" customHeight="1"/>
    <row r="3693" ht="15.75" customHeight="1"/>
    <row r="3694" ht="15.75" customHeight="1"/>
    <row r="3695" ht="15.75" customHeight="1"/>
    <row r="3696" ht="15.75" customHeight="1"/>
    <row r="3697" ht="15.75" customHeight="1"/>
    <row r="3698" ht="15.75" customHeight="1"/>
    <row r="3699" ht="15.75" customHeight="1"/>
    <row r="3700" ht="15.75" customHeight="1"/>
    <row r="3701" ht="15.75" customHeight="1"/>
    <row r="3702" ht="15.75" customHeight="1"/>
    <row r="3703" ht="15.75" customHeight="1"/>
    <row r="3704" ht="15.75" customHeight="1"/>
    <row r="3705" ht="15.75" customHeight="1"/>
    <row r="3706" ht="15.75" customHeight="1"/>
    <row r="3707" ht="15.75" customHeight="1"/>
    <row r="3708" ht="15.75" customHeight="1"/>
    <row r="3709" ht="15.75" customHeight="1"/>
    <row r="3710" ht="15.75" customHeight="1"/>
    <row r="3711" ht="15.75" customHeight="1"/>
    <row r="3712" ht="15.75" customHeight="1"/>
    <row r="3713" ht="15.75" customHeight="1"/>
    <row r="3714" ht="15.75" customHeight="1"/>
    <row r="3715" ht="15.75" customHeight="1"/>
    <row r="3716" ht="15.75" customHeight="1"/>
    <row r="3717" ht="15.75" customHeight="1"/>
    <row r="3718" ht="15.75" customHeight="1"/>
    <row r="3719" ht="15.75" customHeight="1"/>
    <row r="3720" ht="15.75" customHeight="1"/>
    <row r="3721" ht="15.75" customHeight="1"/>
    <row r="3722" ht="15.75" customHeight="1"/>
    <row r="3723" ht="15.75" customHeight="1"/>
    <row r="3724" ht="15.75" customHeight="1"/>
    <row r="3725" ht="15.75" customHeight="1"/>
    <row r="3726" ht="15.75" customHeight="1"/>
    <row r="3727" ht="15.75" customHeight="1"/>
    <row r="3728" ht="15.75" customHeight="1"/>
    <row r="3729" ht="15.75" customHeight="1"/>
    <row r="3730" ht="15.75" customHeight="1"/>
    <row r="3731" ht="15.75" customHeight="1"/>
    <row r="3732" ht="15.75" customHeight="1"/>
    <row r="3733" ht="15.75" customHeight="1"/>
    <row r="3734" ht="15.75" customHeight="1"/>
    <row r="3735" ht="15.75" customHeight="1"/>
    <row r="3736" ht="15.75" customHeight="1"/>
    <row r="3737" ht="15.75" customHeight="1"/>
    <row r="3738" ht="15.75" customHeight="1"/>
    <row r="3739" ht="15.75" customHeight="1"/>
    <row r="3740" ht="15.75" customHeight="1"/>
    <row r="3741" ht="15.75" customHeight="1"/>
    <row r="3742" ht="15.75" customHeight="1"/>
    <row r="3743" ht="15.75" customHeight="1"/>
    <row r="3744" ht="15.75" customHeight="1"/>
    <row r="3745" ht="15.75" customHeight="1"/>
    <row r="3746" ht="15.75" customHeight="1"/>
    <row r="3747" ht="15.75" customHeight="1"/>
    <row r="3748" ht="15.75" customHeight="1"/>
    <row r="3749" ht="15.75" customHeight="1"/>
    <row r="3750" ht="15.75" customHeight="1"/>
    <row r="3751" ht="15.75" customHeight="1"/>
    <row r="3752" ht="15.75" customHeight="1"/>
    <row r="3753" ht="15.75" customHeight="1"/>
    <row r="3754" ht="15.75" customHeight="1"/>
    <row r="3755" ht="15.75" customHeight="1"/>
    <row r="3756" ht="15.75" customHeight="1"/>
    <row r="3757" ht="15.75" customHeight="1"/>
    <row r="3758" ht="15.75" customHeight="1"/>
    <row r="3759" ht="15.75" customHeight="1"/>
    <row r="3760" ht="15.75" customHeight="1"/>
    <row r="3761" ht="15.75" customHeight="1"/>
    <row r="3762" ht="15.75" customHeight="1"/>
    <row r="3763" ht="15.75" customHeight="1"/>
    <row r="3764" ht="15.75" customHeight="1"/>
    <row r="3765" ht="15.75" customHeight="1"/>
    <row r="3766" ht="15.75" customHeight="1"/>
    <row r="3767" ht="15.75" customHeight="1"/>
    <row r="3768" ht="15.75" customHeight="1"/>
    <row r="3769" ht="15.75" customHeight="1"/>
    <row r="3770" ht="15.75" customHeight="1"/>
    <row r="3771" ht="15.75" customHeight="1"/>
    <row r="3772" ht="15.75" customHeight="1"/>
    <row r="3773" ht="15.75" customHeight="1"/>
    <row r="3774" ht="15.75" customHeight="1"/>
    <row r="3775" ht="15.75" customHeight="1"/>
    <row r="3776" ht="15.75" customHeight="1"/>
    <row r="3777" ht="15.75" customHeight="1"/>
    <row r="3778" ht="15.75" customHeight="1"/>
    <row r="3779" ht="15.75" customHeight="1"/>
    <row r="3780" ht="15.75" customHeight="1"/>
    <row r="3781" ht="15.75" customHeight="1"/>
    <row r="3782" ht="15.75" customHeight="1"/>
    <row r="3783" ht="15.75" customHeight="1"/>
    <row r="3784" ht="15.75" customHeight="1"/>
    <row r="3785" ht="15.75" customHeight="1"/>
    <row r="3786" ht="15.75" customHeight="1"/>
    <row r="3787" ht="15.75" customHeight="1"/>
    <row r="3788" ht="15.75" customHeight="1"/>
    <row r="3789" ht="15.75" customHeight="1"/>
    <row r="3790" ht="15.75" customHeight="1"/>
    <row r="3791" ht="15.75" customHeight="1"/>
    <row r="3792" ht="15.75" customHeight="1"/>
    <row r="3793" ht="15.75" customHeight="1"/>
    <row r="3794" ht="15.75" customHeight="1"/>
    <row r="3795" ht="15.75" customHeight="1"/>
    <row r="3796" ht="15.75" customHeight="1"/>
    <row r="3797" ht="15.75" customHeight="1"/>
    <row r="3798" ht="15.75" customHeight="1"/>
    <row r="3799" ht="15.75" customHeight="1"/>
    <row r="3800" ht="15.75" customHeight="1"/>
    <row r="3801" ht="15.75" customHeight="1"/>
    <row r="3802" ht="15.75" customHeight="1"/>
    <row r="3803" ht="15.75" customHeight="1"/>
    <row r="3804" ht="15.75" customHeight="1"/>
    <row r="3805" ht="15.75" customHeight="1"/>
    <row r="3806" ht="15.75" customHeight="1"/>
    <row r="3807" ht="15.75" customHeight="1"/>
    <row r="3808" ht="15.75" customHeight="1"/>
    <row r="3809" ht="15.75" customHeight="1"/>
    <row r="3810" ht="15.75" customHeight="1"/>
    <row r="3811" ht="15.75" customHeight="1"/>
    <row r="3812" ht="15.75" customHeight="1"/>
    <row r="3813" ht="15.75" customHeight="1"/>
    <row r="3814" ht="15.75" customHeight="1"/>
    <row r="3815" ht="15.75" customHeight="1"/>
    <row r="3816" ht="15.75" customHeight="1"/>
    <row r="3817" ht="15.75" customHeight="1"/>
    <row r="3818" ht="15.75" customHeight="1"/>
    <row r="3819" ht="15.75" customHeight="1"/>
    <row r="3820" ht="15.75" customHeight="1"/>
    <row r="3821" ht="15.75" customHeight="1"/>
    <row r="3822" ht="15.75" customHeight="1"/>
    <row r="3823" ht="15.75" customHeight="1"/>
    <row r="3824" ht="15.75" customHeight="1"/>
    <row r="3825" ht="15.75" customHeight="1"/>
    <row r="3826" ht="15.75" customHeight="1"/>
    <row r="3827" ht="15.75" customHeight="1"/>
    <row r="3828" ht="15.75" customHeight="1"/>
    <row r="3829" ht="15.75" customHeight="1"/>
    <row r="3830" ht="15.75" customHeight="1"/>
    <row r="3831" ht="15.75" customHeight="1"/>
    <row r="3832" ht="15.75" customHeight="1"/>
    <row r="3833" ht="15.75" customHeight="1"/>
    <row r="3834" ht="15.75" customHeight="1"/>
    <row r="3835" ht="15.75" customHeight="1"/>
    <row r="3836" ht="15.75" customHeight="1"/>
    <row r="3837" ht="15.75" customHeight="1"/>
    <row r="3838" ht="15.75" customHeight="1"/>
    <row r="3839" ht="15.75" customHeight="1"/>
    <row r="3840" ht="15.75" customHeight="1"/>
    <row r="3841" ht="15.75" customHeight="1"/>
    <row r="3842" ht="15.75" customHeight="1"/>
    <row r="3843" ht="15.75" customHeight="1"/>
    <row r="3844" ht="15.75" customHeight="1"/>
    <row r="3845" ht="15.75" customHeight="1"/>
    <row r="3846" ht="15.75" customHeight="1"/>
    <row r="3847" ht="15.75" customHeight="1"/>
    <row r="3848" ht="15.75" customHeight="1"/>
    <row r="3849" ht="15.75" customHeight="1"/>
    <row r="3850" ht="15.75" customHeight="1"/>
    <row r="3851" ht="15.75" customHeight="1"/>
    <row r="3852" ht="15.75" customHeight="1"/>
    <row r="3853" ht="15.75" customHeight="1"/>
    <row r="3854" ht="15.75" customHeight="1"/>
    <row r="3855" ht="15.75" customHeight="1"/>
    <row r="3856" ht="15.75" customHeight="1"/>
    <row r="3857" ht="15.75" customHeight="1"/>
    <row r="3858" ht="15.75" customHeight="1"/>
    <row r="3859" ht="15.75" customHeight="1"/>
    <row r="3860" ht="15.75" customHeight="1"/>
    <row r="3861" ht="15.75" customHeight="1"/>
    <row r="3862" ht="15.75" customHeight="1"/>
    <row r="3863" ht="15.75" customHeight="1"/>
    <row r="3864" ht="15.75" customHeight="1"/>
    <row r="3865" ht="15.75" customHeight="1"/>
    <row r="3866" ht="15.75" customHeight="1"/>
    <row r="3867" ht="15.75" customHeight="1"/>
    <row r="3868" ht="15.75" customHeight="1"/>
    <row r="3869" ht="15.75" customHeight="1"/>
    <row r="3870" ht="15.75" customHeight="1"/>
    <row r="3871" ht="15.75" customHeight="1"/>
    <row r="3872" ht="15.75" customHeight="1"/>
    <row r="3873" ht="15.75" customHeight="1"/>
    <row r="3874" ht="15.75" customHeight="1"/>
    <row r="3875" ht="15.75" customHeight="1"/>
    <row r="3876" ht="15.75" customHeight="1"/>
    <row r="3877" ht="15.75" customHeight="1"/>
    <row r="3878" ht="15.75" customHeight="1"/>
    <row r="3879" ht="15.75" customHeight="1"/>
    <row r="3880" ht="15.75" customHeight="1"/>
    <row r="3881" ht="15.75" customHeight="1"/>
    <row r="3882" ht="15.75" customHeight="1"/>
    <row r="3883" ht="15.75" customHeight="1"/>
    <row r="3884" ht="15.75" customHeight="1"/>
    <row r="3885" ht="15.75" customHeight="1"/>
    <row r="3886" ht="15.75" customHeight="1"/>
    <row r="3887" ht="15.75" customHeight="1"/>
    <row r="3888" ht="15.75" customHeight="1"/>
    <row r="3889" ht="15.75" customHeight="1"/>
    <row r="3890" ht="15.75" customHeight="1"/>
    <row r="3891" ht="15.75" customHeight="1"/>
    <row r="3892" ht="15.75" customHeight="1"/>
    <row r="3893" ht="15.75" customHeight="1"/>
    <row r="3894" ht="15.75" customHeight="1"/>
    <row r="3895" ht="15.75" customHeight="1"/>
    <row r="3896" ht="15.75" customHeight="1"/>
    <row r="3897" ht="15.75" customHeight="1"/>
    <row r="3898" ht="15.75" customHeight="1"/>
    <row r="3899" ht="15.75" customHeight="1"/>
    <row r="3900" ht="15.75" customHeight="1"/>
    <row r="3901" ht="15.75" customHeight="1"/>
    <row r="3902" ht="15.75" customHeight="1"/>
    <row r="3903" ht="15.75" customHeight="1"/>
    <row r="3904" ht="15.75" customHeight="1"/>
    <row r="3905" ht="15.75" customHeight="1"/>
    <row r="3906" ht="15.75" customHeight="1"/>
    <row r="3907" ht="15.75" customHeight="1"/>
    <row r="3908" ht="15.75" customHeight="1"/>
    <row r="3909" ht="15.75" customHeight="1"/>
    <row r="3910" ht="15.75" customHeight="1"/>
    <row r="3911" ht="15.75" customHeight="1"/>
    <row r="3912" ht="15.75" customHeight="1"/>
    <row r="3913" ht="15.75" customHeight="1"/>
    <row r="3914" ht="15.75" customHeight="1"/>
    <row r="3915" ht="15.75" customHeight="1"/>
    <row r="3916" ht="15.75" customHeight="1"/>
    <row r="3917" ht="15.75" customHeight="1"/>
    <row r="3918" ht="15.75" customHeight="1"/>
    <row r="3919" ht="15.75" customHeight="1"/>
    <row r="3920" ht="15.75" customHeight="1"/>
    <row r="3921" ht="15.75" customHeight="1"/>
    <row r="3922" ht="15.75" customHeight="1"/>
    <row r="3923" ht="15.75" customHeight="1"/>
    <row r="3924" ht="15.75" customHeight="1"/>
    <row r="3925" ht="15.75" customHeight="1"/>
    <row r="3926" ht="15.75" customHeight="1"/>
    <row r="3927" ht="15.75" customHeight="1"/>
    <row r="3928" ht="15.75" customHeight="1"/>
    <row r="3929" ht="15.75" customHeight="1"/>
    <row r="3930" ht="15.75" customHeight="1"/>
    <row r="3931" ht="15.75" customHeight="1"/>
    <row r="3932" ht="15.75" customHeight="1"/>
    <row r="3933" ht="15.75" customHeight="1"/>
    <row r="3934" ht="15.75" customHeight="1"/>
    <row r="3935" ht="15.75" customHeight="1"/>
    <row r="3936" ht="15.75" customHeight="1"/>
    <row r="3937" ht="15.75" customHeight="1"/>
    <row r="3938" ht="15.75" customHeight="1"/>
    <row r="3939" ht="15.75" customHeight="1"/>
    <row r="3940" ht="15.75" customHeight="1"/>
    <row r="3941" ht="15.75" customHeight="1"/>
    <row r="3942" ht="15.75" customHeight="1"/>
    <row r="3943" ht="15.75" customHeight="1"/>
    <row r="3944" ht="15.75" customHeight="1"/>
    <row r="3945" ht="15.75" customHeight="1"/>
    <row r="3946" ht="15.75" customHeight="1"/>
    <row r="3947" ht="15.75" customHeight="1"/>
    <row r="3948" ht="15.75" customHeight="1"/>
    <row r="3949" ht="15.75" customHeight="1"/>
    <row r="3950" ht="15.75" customHeight="1"/>
    <row r="3951" ht="15.75" customHeight="1"/>
    <row r="3952" ht="15.75" customHeight="1"/>
    <row r="3953" ht="15.75" customHeight="1"/>
    <row r="3954" ht="15.75" customHeight="1"/>
    <row r="3955" ht="15.75" customHeight="1"/>
    <row r="3956" ht="15.75" customHeight="1"/>
    <row r="3957" ht="15.75" customHeight="1"/>
    <row r="3958" ht="15.75" customHeight="1"/>
    <row r="3959" ht="15.75" customHeight="1"/>
    <row r="3960" ht="15.75" customHeight="1"/>
    <row r="3961" ht="15.75" customHeight="1"/>
    <row r="3962" ht="15.75" customHeight="1"/>
    <row r="3963" ht="15.75" customHeight="1"/>
    <row r="3964" ht="15.75" customHeight="1"/>
    <row r="3965" ht="15.75" customHeight="1"/>
    <row r="3966" ht="15.75" customHeight="1"/>
    <row r="3967" ht="15.75" customHeight="1"/>
    <row r="3968" ht="15.75" customHeight="1"/>
    <row r="3969" ht="15.75" customHeight="1"/>
    <row r="3970" ht="15.75" customHeight="1"/>
    <row r="3971" ht="15.75" customHeight="1"/>
    <row r="3972" ht="15.75" customHeight="1"/>
    <row r="3973" ht="15.75" customHeight="1"/>
    <row r="3974" ht="15.75" customHeight="1"/>
    <row r="3975" ht="15.75" customHeight="1"/>
    <row r="3976" ht="15.75" customHeight="1"/>
    <row r="3977" ht="15.75" customHeight="1"/>
    <row r="3978" ht="15.75" customHeight="1"/>
    <row r="3979" ht="15.75" customHeight="1"/>
    <row r="3980" ht="15.75" customHeight="1"/>
    <row r="3981" ht="15.75" customHeight="1"/>
    <row r="3982" ht="15.75" customHeight="1"/>
    <row r="3983" ht="15.75" customHeight="1"/>
    <row r="3984" ht="15.75" customHeight="1"/>
    <row r="3985" ht="15.75" customHeight="1"/>
    <row r="3986" ht="15.75" customHeight="1"/>
    <row r="3987" ht="15.75" customHeight="1"/>
    <row r="3988" ht="15.75" customHeight="1"/>
    <row r="3989" ht="15.75" customHeight="1"/>
    <row r="3990" ht="15.75" customHeight="1"/>
    <row r="3991" ht="15.75" customHeight="1"/>
    <row r="3992" ht="15.75" customHeight="1"/>
    <row r="3993" ht="15.75" customHeight="1"/>
    <row r="3994" ht="15.75" customHeight="1"/>
    <row r="3995" ht="15.75" customHeight="1"/>
    <row r="3996" ht="15.75" customHeight="1"/>
    <row r="3997" ht="15.75" customHeight="1"/>
    <row r="3998" ht="15.75" customHeight="1"/>
    <row r="3999" ht="15.75" customHeight="1"/>
    <row r="4000" ht="15.75" customHeight="1"/>
    <row r="4001" ht="15.75" customHeight="1"/>
    <row r="4002" ht="15.75" customHeight="1"/>
    <row r="4003" ht="15.75" customHeight="1"/>
    <row r="4004" ht="15.75" customHeight="1"/>
    <row r="4005" ht="15.75" customHeight="1"/>
    <row r="4006" ht="15.75" customHeight="1"/>
    <row r="4007" ht="15.75" customHeight="1"/>
    <row r="4008" ht="15.75" customHeight="1"/>
    <row r="4009" ht="15.75" customHeight="1"/>
    <row r="4010" ht="15.75" customHeight="1"/>
    <row r="4011" ht="15.75" customHeight="1"/>
    <row r="4012" ht="15.75" customHeight="1"/>
    <row r="4013" ht="15.75" customHeight="1"/>
    <row r="4014" ht="15.75" customHeight="1"/>
    <row r="4015" ht="15.75" customHeight="1"/>
    <row r="4016" ht="15.75" customHeight="1"/>
    <row r="4017" ht="15.75" customHeight="1"/>
    <row r="4018" ht="15.75" customHeight="1"/>
    <row r="4019" ht="15.75" customHeight="1"/>
    <row r="4020" ht="15.75" customHeight="1"/>
    <row r="4021" ht="15.75" customHeight="1"/>
    <row r="4022" ht="15.75" customHeight="1"/>
    <row r="4023" ht="15.75" customHeight="1"/>
    <row r="4024" ht="15.75" customHeight="1"/>
    <row r="4025" ht="15.75" customHeight="1"/>
    <row r="4026" ht="15.75" customHeight="1"/>
    <row r="4027" ht="15.75" customHeight="1"/>
    <row r="4028" ht="15.75" customHeight="1"/>
    <row r="4029" ht="15.75" customHeight="1"/>
    <row r="4030" ht="15.75" customHeight="1"/>
    <row r="4031" ht="15.75" customHeight="1"/>
    <row r="4032" ht="15.75" customHeight="1"/>
    <row r="4033" ht="15.75" customHeight="1"/>
    <row r="4034" ht="15.75" customHeight="1"/>
    <row r="4035" ht="15.75" customHeight="1"/>
    <row r="4036" ht="15.75" customHeight="1"/>
    <row r="4037" ht="15.75" customHeight="1"/>
    <row r="4038" ht="15.75" customHeight="1"/>
    <row r="4039" ht="15.75" customHeight="1"/>
    <row r="4040" ht="15.75" customHeight="1"/>
    <row r="4041" ht="15.75" customHeight="1"/>
    <row r="4042" ht="15.75" customHeight="1"/>
    <row r="4043" ht="15.75" customHeight="1"/>
    <row r="4044" ht="15.75" customHeight="1"/>
    <row r="4045" ht="15.75" customHeight="1"/>
    <row r="4046" ht="15.75" customHeight="1"/>
    <row r="4047" ht="15.75" customHeight="1"/>
    <row r="4048" ht="15.75" customHeight="1"/>
    <row r="4049" ht="15.75" customHeight="1"/>
    <row r="4050" ht="15.75" customHeight="1"/>
    <row r="4051" ht="15.75" customHeight="1"/>
    <row r="4052" ht="15.75" customHeight="1"/>
    <row r="4053" ht="15.75" customHeight="1"/>
    <row r="4054" ht="15.75" customHeight="1"/>
    <row r="4055" ht="15.75" customHeight="1"/>
    <row r="4056" ht="15.75" customHeight="1"/>
    <row r="4057" ht="15.75" customHeight="1"/>
    <row r="4058" ht="15.75" customHeight="1"/>
    <row r="4059" ht="15.75" customHeight="1"/>
    <row r="4060" ht="15.75" customHeight="1"/>
    <row r="4061" ht="15.75" customHeight="1"/>
    <row r="4062" ht="15.75" customHeight="1"/>
    <row r="4063" ht="15.75" customHeight="1"/>
    <row r="4064" ht="15.75" customHeight="1"/>
    <row r="4065" ht="15.75" customHeight="1"/>
    <row r="4066" ht="15.75" customHeight="1"/>
    <row r="4067" ht="15.75" customHeight="1"/>
    <row r="4068" ht="15.75" customHeight="1"/>
    <row r="4069" ht="15.75" customHeight="1"/>
    <row r="4070" ht="15.75" customHeight="1"/>
    <row r="4071" ht="15.75" customHeight="1"/>
    <row r="4072" ht="15.75" customHeight="1"/>
    <row r="4073" ht="15.75" customHeight="1"/>
    <row r="4074" ht="15.75" customHeight="1"/>
    <row r="4075" ht="15.75" customHeight="1"/>
    <row r="4076" ht="15.75" customHeight="1"/>
    <row r="4077" ht="15.75" customHeight="1"/>
    <row r="4078" ht="15.75" customHeight="1"/>
    <row r="4079" ht="15.75" customHeight="1"/>
    <row r="4080" ht="15.75" customHeight="1"/>
    <row r="4081" ht="15.75" customHeight="1"/>
    <row r="4082" ht="15.75" customHeight="1"/>
    <row r="4083" ht="15.75" customHeight="1"/>
    <row r="4084" ht="15.75" customHeight="1"/>
    <row r="4085" ht="15.75" customHeight="1"/>
    <row r="4086" ht="15.75" customHeight="1"/>
    <row r="4087" ht="15.75" customHeight="1"/>
    <row r="4088" ht="15.75" customHeight="1"/>
    <row r="4089" ht="15.75" customHeight="1"/>
    <row r="4090" ht="15.75" customHeight="1"/>
    <row r="4091" ht="15.75" customHeight="1"/>
    <row r="4092" ht="15.75" customHeight="1"/>
    <row r="4093" ht="15.75" customHeight="1"/>
    <row r="4094" ht="15.75" customHeight="1"/>
    <row r="4095" ht="15.75" customHeight="1"/>
    <row r="4096" ht="15.75" customHeight="1"/>
    <row r="4097" ht="15.75" customHeight="1"/>
    <row r="4098" ht="15.75" customHeight="1"/>
    <row r="4099" ht="15.75" customHeight="1"/>
    <row r="4100" ht="15.75" customHeight="1"/>
    <row r="4101" ht="15.75" customHeight="1"/>
    <row r="4102" ht="15.75" customHeight="1"/>
    <row r="4103" ht="15.75" customHeight="1"/>
    <row r="4104" ht="15.75" customHeight="1"/>
    <row r="4105" ht="15.75" customHeight="1"/>
    <row r="4106" ht="15.75" customHeight="1"/>
    <row r="4107" ht="15.75" customHeight="1"/>
    <row r="4108" ht="15.75" customHeight="1"/>
    <row r="4109" ht="15.75" customHeight="1"/>
    <row r="4110" ht="15.75" customHeight="1"/>
    <row r="4111" ht="15.75" customHeight="1"/>
    <row r="4112" ht="15.75" customHeight="1"/>
    <row r="4113" ht="15.75" customHeight="1"/>
    <row r="4114" ht="15.75" customHeight="1"/>
    <row r="4115" ht="15.75" customHeight="1"/>
    <row r="4116" ht="15.75" customHeight="1"/>
    <row r="4117" ht="15.75" customHeight="1"/>
    <row r="4118" ht="15.75" customHeight="1"/>
    <row r="4119" ht="15.75" customHeight="1"/>
    <row r="4120" ht="15.75" customHeight="1"/>
    <row r="4121" ht="15.75" customHeight="1"/>
    <row r="4122" ht="15.75" customHeight="1"/>
    <row r="4123" ht="15.75" customHeight="1"/>
    <row r="4124" ht="15.75" customHeight="1"/>
    <row r="4125" ht="15.75" customHeight="1"/>
    <row r="4126" ht="15.75" customHeight="1"/>
    <row r="4127" ht="15.75" customHeight="1"/>
    <row r="4128" ht="15.75" customHeight="1"/>
    <row r="4129" ht="15.75" customHeight="1"/>
    <row r="4130" ht="15.75" customHeight="1"/>
    <row r="4131" ht="15.75" customHeight="1"/>
    <row r="4132" ht="15.75" customHeight="1"/>
    <row r="4133" ht="15.75" customHeight="1"/>
    <row r="4134" ht="15.75" customHeight="1"/>
    <row r="4135" ht="15.75" customHeight="1"/>
    <row r="4136" ht="15.75" customHeight="1"/>
    <row r="4137" ht="15.75" customHeight="1"/>
    <row r="4138" ht="15.75" customHeight="1"/>
    <row r="4139" ht="15.75" customHeight="1"/>
    <row r="4140" ht="15.75" customHeight="1"/>
    <row r="4141" ht="15.75" customHeight="1"/>
    <row r="4142" ht="15.75" customHeight="1"/>
    <row r="4143" ht="15.75" customHeight="1"/>
    <row r="4144" ht="15.75" customHeight="1"/>
    <row r="4145" ht="15.75" customHeight="1"/>
    <row r="4146" ht="15.75" customHeight="1"/>
    <row r="4147" ht="15.75" customHeight="1"/>
    <row r="4148" ht="15.75" customHeight="1"/>
    <row r="4149" ht="15.75" customHeight="1"/>
    <row r="4150" ht="15.75" customHeight="1"/>
    <row r="4151" ht="15.75" customHeight="1"/>
    <row r="4152" ht="15.75" customHeight="1"/>
    <row r="4153" ht="15.75" customHeight="1"/>
    <row r="4154" ht="15.75" customHeight="1"/>
    <row r="4155" ht="15.75" customHeight="1"/>
    <row r="4156" ht="15.75" customHeight="1"/>
    <row r="4157" ht="15.75" customHeight="1"/>
    <row r="4158" ht="15.75" customHeight="1"/>
    <row r="4159" ht="15.75" customHeight="1"/>
    <row r="4160" ht="15.75" customHeight="1"/>
    <row r="4161" ht="15.75" customHeight="1"/>
    <row r="4162" ht="15.75" customHeight="1"/>
    <row r="4163" ht="15.75" customHeight="1"/>
    <row r="4164" ht="15.75" customHeight="1"/>
    <row r="4165" ht="15.75" customHeight="1"/>
    <row r="4166" ht="15.75" customHeight="1"/>
    <row r="4167" ht="15.75" customHeight="1"/>
    <row r="4168" ht="15.75" customHeight="1"/>
    <row r="4169" ht="15.75" customHeight="1"/>
    <row r="4170" ht="15.75" customHeight="1"/>
    <row r="4171" ht="15.75" customHeight="1"/>
    <row r="4172" ht="15.75" customHeight="1"/>
    <row r="4173" ht="15.75" customHeight="1"/>
    <row r="4174" ht="15.75" customHeight="1"/>
    <row r="4175" ht="15.75" customHeight="1"/>
    <row r="4176" ht="15.75" customHeight="1"/>
    <row r="4177" ht="15.75" customHeight="1"/>
    <row r="4178" ht="15.75" customHeight="1"/>
    <row r="4179" ht="15.75" customHeight="1"/>
    <row r="4180" ht="15.75" customHeight="1"/>
    <row r="4181" ht="15.75" customHeight="1"/>
    <row r="4182" ht="15.75" customHeight="1"/>
    <row r="4183" ht="15.75" customHeight="1"/>
    <row r="4184" ht="15.75" customHeight="1"/>
    <row r="4185" ht="15.75" customHeight="1"/>
    <row r="4186" ht="15.75" customHeight="1"/>
    <row r="4187" ht="15.75" customHeight="1"/>
    <row r="4188" ht="15.75" customHeight="1"/>
    <row r="4189" ht="15.75" customHeight="1"/>
    <row r="4190" ht="15.75" customHeight="1"/>
    <row r="4191" ht="15.75" customHeight="1"/>
    <row r="4192" ht="15.75" customHeight="1"/>
    <row r="4193" ht="15.75" customHeight="1"/>
    <row r="4194" ht="15.75" customHeight="1"/>
    <row r="4195" ht="15.75" customHeight="1"/>
    <row r="4196" ht="15.75" customHeight="1"/>
    <row r="4197" ht="15.75" customHeight="1"/>
    <row r="4198" ht="15.75" customHeight="1"/>
    <row r="4199" ht="15.75" customHeight="1"/>
    <row r="4200" ht="15.75" customHeight="1"/>
    <row r="4201" ht="15.75" customHeight="1"/>
    <row r="4202" ht="15.75" customHeight="1"/>
    <row r="4203" ht="15.75" customHeight="1"/>
    <row r="4204" ht="15.75" customHeight="1"/>
    <row r="4205" ht="15.75" customHeight="1"/>
    <row r="4206" ht="15.75" customHeight="1"/>
    <row r="4207" ht="15.75" customHeight="1"/>
    <row r="4208" ht="15.75" customHeight="1"/>
    <row r="4209" ht="15.75" customHeight="1"/>
    <row r="4210" ht="15.75" customHeight="1"/>
    <row r="4211" ht="15.75" customHeight="1"/>
    <row r="4212" ht="15.75" customHeight="1"/>
    <row r="4213" ht="15.75" customHeight="1"/>
    <row r="4214" ht="15.75" customHeight="1"/>
    <row r="4215" ht="15.75" customHeight="1"/>
    <row r="4216" ht="15.75" customHeight="1"/>
    <row r="4217" ht="15.75" customHeight="1"/>
    <row r="4218" ht="15.75" customHeight="1"/>
    <row r="4219" ht="15.75" customHeight="1"/>
    <row r="4220" ht="15.75" customHeight="1"/>
    <row r="4221" ht="15.75" customHeight="1"/>
    <row r="4222" ht="15.75" customHeight="1"/>
    <row r="4223" ht="15.75" customHeight="1"/>
    <row r="4224" ht="15.75" customHeight="1"/>
    <row r="4225" ht="15.75" customHeight="1"/>
    <row r="4226" ht="15.75" customHeight="1"/>
    <row r="4227" ht="15.75" customHeight="1"/>
    <row r="4228" ht="15.75" customHeight="1"/>
    <row r="4229" ht="15.75" customHeight="1"/>
    <row r="4230" ht="15.75" customHeight="1"/>
    <row r="4231" ht="15.75" customHeight="1"/>
    <row r="4232" ht="15.75" customHeight="1"/>
    <row r="4233" ht="15.75" customHeight="1"/>
    <row r="4234" ht="15.75" customHeight="1"/>
    <row r="4235" ht="15.75" customHeight="1"/>
    <row r="4236" ht="15.75" customHeight="1"/>
    <row r="4237" ht="15.75" customHeight="1"/>
    <row r="4238" ht="15.75" customHeight="1"/>
    <row r="4239" ht="15.75" customHeight="1"/>
    <row r="4240" ht="15.75" customHeight="1"/>
    <row r="4241" ht="15.75" customHeight="1"/>
    <row r="4242" ht="15.75" customHeight="1"/>
    <row r="4243" ht="15.75" customHeight="1"/>
    <row r="4244" ht="15.75" customHeight="1"/>
    <row r="4245" ht="15.75" customHeight="1"/>
    <row r="4246" ht="15.75" customHeight="1"/>
    <row r="4247" ht="15.75" customHeight="1"/>
    <row r="4248" ht="15.75" customHeight="1"/>
    <row r="4249" ht="15.75" customHeight="1"/>
    <row r="4250" ht="15.75" customHeight="1"/>
    <row r="4251" ht="15.75" customHeight="1"/>
    <row r="4252" ht="15.75" customHeight="1"/>
    <row r="4253" ht="15.75" customHeight="1"/>
    <row r="4254" ht="15.75" customHeight="1"/>
    <row r="4255" ht="15.75" customHeight="1"/>
    <row r="4256" ht="15.75" customHeight="1"/>
    <row r="4257" ht="15.75" customHeight="1"/>
    <row r="4258" ht="15.75" customHeight="1"/>
    <row r="4259" ht="15.75" customHeight="1"/>
    <row r="4260" ht="15.75" customHeight="1"/>
    <row r="4261" ht="15.75" customHeight="1"/>
    <row r="4262" ht="15.75" customHeight="1"/>
    <row r="4263" ht="15.75" customHeight="1"/>
    <row r="4264" ht="15.75" customHeight="1"/>
    <row r="4265" ht="15.75" customHeight="1"/>
    <row r="4266" ht="15.75" customHeight="1"/>
    <row r="4267" ht="15.75" customHeight="1"/>
    <row r="4268" ht="15.75" customHeight="1"/>
    <row r="4269" ht="15.75" customHeight="1"/>
    <row r="4270" ht="15.75" customHeight="1"/>
    <row r="4271" ht="15.75" customHeight="1"/>
    <row r="4272" ht="15.75" customHeight="1"/>
    <row r="4273" ht="15.75" customHeight="1"/>
    <row r="4274" ht="15.75" customHeight="1"/>
    <row r="4275" ht="15.75" customHeight="1"/>
    <row r="4276" ht="15.75" customHeight="1"/>
    <row r="4277" ht="15.75" customHeight="1"/>
    <row r="4278" ht="15.75" customHeight="1"/>
    <row r="4279" ht="15.75" customHeight="1"/>
    <row r="4280" ht="15.75" customHeight="1"/>
    <row r="4281" ht="15.75" customHeight="1"/>
    <row r="4282" ht="15.75" customHeight="1"/>
    <row r="4283" ht="15.75" customHeight="1"/>
    <row r="4284" ht="15.75" customHeight="1"/>
    <row r="4285" ht="15.75" customHeight="1"/>
    <row r="4286" ht="15.75" customHeight="1"/>
    <row r="4287" ht="15.75" customHeight="1"/>
    <row r="4288" ht="15.75" customHeight="1"/>
    <row r="4289" ht="15.75" customHeight="1"/>
    <row r="4290" ht="15.75" customHeight="1"/>
    <row r="4291" ht="15.75" customHeight="1"/>
    <row r="4292" ht="15.75" customHeight="1"/>
    <row r="4293" ht="15.75" customHeight="1"/>
    <row r="4294" ht="15.75" customHeight="1"/>
    <row r="4295" ht="15.75" customHeight="1"/>
    <row r="4296" ht="15.75" customHeight="1"/>
    <row r="4297" ht="15.75" customHeight="1"/>
    <row r="4298" ht="15.75" customHeight="1"/>
    <row r="4299" ht="15.75" customHeight="1"/>
    <row r="4300" ht="15.75" customHeight="1"/>
    <row r="4301" ht="15.75" customHeight="1"/>
    <row r="4302" ht="15.75" customHeight="1"/>
    <row r="4303" ht="15.75" customHeight="1"/>
    <row r="4304" ht="15.75" customHeight="1"/>
    <row r="4305" ht="15.75" customHeight="1"/>
    <row r="4306" ht="15.75" customHeight="1"/>
    <row r="4307" ht="15.75" customHeight="1"/>
    <row r="4308" ht="15.75" customHeight="1"/>
    <row r="4309" ht="15.75" customHeight="1"/>
    <row r="4310" ht="15.75" customHeight="1"/>
    <row r="4311" ht="15.75" customHeight="1"/>
    <row r="4312" ht="15.75" customHeight="1"/>
    <row r="4313" ht="15.75" customHeight="1"/>
    <row r="4314" ht="15.75" customHeight="1"/>
    <row r="4315" ht="15.75" customHeight="1"/>
    <row r="4316" ht="15.75" customHeight="1"/>
    <row r="4317" ht="15.75" customHeight="1"/>
    <row r="4318" ht="15.75" customHeight="1"/>
    <row r="4319" ht="15.75" customHeight="1"/>
    <row r="4320" ht="15.75" customHeight="1"/>
    <row r="4321" ht="15.75" customHeight="1"/>
    <row r="4322" ht="15.75" customHeight="1"/>
    <row r="4323" ht="15.75" customHeight="1"/>
    <row r="4324" ht="15.75" customHeight="1"/>
    <row r="4325" ht="15.75" customHeight="1"/>
    <row r="4326" ht="15.75" customHeight="1"/>
    <row r="4327" ht="15.75" customHeight="1"/>
    <row r="4328" ht="15.75" customHeight="1"/>
    <row r="4329" ht="15.75" customHeight="1"/>
    <row r="4330" ht="15.75" customHeight="1"/>
    <row r="4331" ht="15.75" customHeight="1"/>
    <row r="4332" ht="15.75" customHeight="1"/>
    <row r="4333" ht="15.75" customHeight="1"/>
    <row r="4334" ht="15.75" customHeight="1"/>
    <row r="4335" ht="15.75" customHeight="1"/>
    <row r="4336" ht="15.75" customHeight="1"/>
    <row r="4337" ht="15.75" customHeight="1"/>
    <row r="4338" ht="15.75" customHeight="1"/>
    <row r="4339" ht="15.75" customHeight="1"/>
    <row r="4340" ht="15.75" customHeight="1"/>
    <row r="4341" ht="15.75" customHeight="1"/>
    <row r="4342" ht="15.75" customHeight="1"/>
    <row r="4343" ht="15.75" customHeight="1"/>
    <row r="4344" ht="15.75" customHeight="1"/>
    <row r="4345" ht="15.75" customHeight="1"/>
    <row r="4346" ht="15.75" customHeight="1"/>
    <row r="4347" ht="15.75" customHeight="1"/>
    <row r="4348" ht="15.75" customHeight="1"/>
    <row r="4349" ht="15.75" customHeight="1"/>
    <row r="4350" ht="15.75" customHeight="1"/>
    <row r="4351" ht="15.75" customHeight="1"/>
    <row r="4352" ht="15.75" customHeight="1"/>
    <row r="4353" ht="15.75" customHeight="1"/>
    <row r="4354" ht="15.75" customHeight="1"/>
    <row r="4355" ht="15.75" customHeight="1"/>
    <row r="4356" ht="15.75" customHeight="1"/>
    <row r="4357" ht="15.75" customHeight="1"/>
    <row r="4358" ht="15.75" customHeight="1"/>
    <row r="4359" ht="15.75" customHeight="1"/>
    <row r="4360" ht="15.75" customHeight="1"/>
    <row r="4361" ht="15.75" customHeight="1"/>
    <row r="4362" ht="15.75" customHeight="1"/>
    <row r="4363" ht="15.75" customHeight="1"/>
    <row r="4364" ht="15.75" customHeight="1"/>
    <row r="4365" ht="15.75" customHeight="1"/>
    <row r="4366" ht="15.75" customHeight="1"/>
    <row r="4367" ht="15.75" customHeight="1"/>
    <row r="4368" ht="15.75" customHeight="1"/>
    <row r="4369" ht="15.75" customHeight="1"/>
    <row r="4370" ht="15.75" customHeight="1"/>
    <row r="4371" ht="15.75" customHeight="1"/>
    <row r="4372" ht="15.75" customHeight="1"/>
    <row r="4373" ht="15.75" customHeight="1"/>
    <row r="4374" ht="15.75" customHeight="1"/>
    <row r="4375" ht="15.75" customHeight="1"/>
    <row r="4376" ht="15.75" customHeight="1"/>
    <row r="4377" ht="15.75" customHeight="1"/>
    <row r="4378" ht="15.75" customHeight="1"/>
    <row r="4379" ht="15.75" customHeight="1"/>
    <row r="4380" ht="15.75" customHeight="1"/>
    <row r="4381" ht="15.75" customHeight="1"/>
    <row r="4382" ht="15.75" customHeight="1"/>
    <row r="4383" ht="15.75" customHeight="1"/>
    <row r="4384" ht="15.75" customHeight="1"/>
    <row r="4385" ht="15.75" customHeight="1"/>
    <row r="4386" ht="15.75" customHeight="1"/>
    <row r="4387" ht="15.75" customHeight="1"/>
    <row r="4388" ht="15.75" customHeight="1"/>
    <row r="4389" ht="15.75" customHeight="1"/>
    <row r="4390" ht="15.75" customHeight="1"/>
    <row r="4391" ht="15.75" customHeight="1"/>
    <row r="4392" ht="15.75" customHeight="1"/>
    <row r="4393" ht="15.75" customHeight="1"/>
    <row r="4394" ht="15.75" customHeight="1"/>
    <row r="4395" ht="15.75" customHeight="1"/>
    <row r="4396" ht="15.75" customHeight="1"/>
    <row r="4397" ht="15.75" customHeight="1"/>
    <row r="4398" ht="15.75" customHeight="1"/>
    <row r="4399" ht="15.75" customHeight="1"/>
    <row r="4400" ht="15.75" customHeight="1"/>
    <row r="4401" ht="15.75" customHeight="1"/>
    <row r="4402" ht="15.75" customHeight="1"/>
    <row r="4403" ht="15.75" customHeight="1"/>
    <row r="4404" ht="15.75" customHeight="1"/>
    <row r="4405" ht="15.75" customHeight="1"/>
    <row r="4406" ht="15.75" customHeight="1"/>
    <row r="4407" ht="15.75" customHeight="1"/>
    <row r="4408" ht="15.75" customHeight="1"/>
    <row r="4409" ht="15.75" customHeight="1"/>
    <row r="4410" ht="15.75" customHeight="1"/>
    <row r="4411" ht="15.75" customHeight="1"/>
    <row r="4412" ht="15.75" customHeight="1"/>
    <row r="4413" ht="15.75" customHeight="1"/>
    <row r="4414" ht="15.75" customHeight="1"/>
    <row r="4415" ht="15.75" customHeight="1"/>
    <row r="4416" ht="15.75" customHeight="1"/>
    <row r="4417" ht="15.75" customHeight="1"/>
    <row r="4418" ht="15.75" customHeight="1"/>
    <row r="4419" ht="15.75" customHeight="1"/>
    <row r="4420" ht="15.75" customHeight="1"/>
    <row r="4421" ht="15.75" customHeight="1"/>
    <row r="4422" ht="15.75" customHeight="1"/>
    <row r="4423" ht="15.75" customHeight="1"/>
    <row r="4424" ht="15.75" customHeight="1"/>
    <row r="4425" ht="15.75" customHeight="1"/>
    <row r="4426" ht="15.75" customHeight="1"/>
    <row r="4427" ht="15.75" customHeight="1"/>
    <row r="4428" ht="15.75" customHeight="1"/>
    <row r="4429" ht="15.75" customHeight="1"/>
    <row r="4430" ht="15.75" customHeight="1"/>
    <row r="4431" ht="15.75" customHeight="1"/>
    <row r="4432" ht="15.75" customHeight="1"/>
    <row r="4433" ht="15.75" customHeight="1"/>
    <row r="4434" ht="15.75" customHeight="1"/>
    <row r="4435" ht="15.75" customHeight="1"/>
    <row r="4436" ht="15.75" customHeight="1"/>
    <row r="4437" ht="15.75" customHeight="1"/>
    <row r="4438" ht="15.75" customHeight="1"/>
    <row r="4439" ht="15.75" customHeight="1"/>
    <row r="4440" ht="15.75" customHeight="1"/>
    <row r="4441" ht="15.75" customHeight="1"/>
    <row r="4442" ht="15.75" customHeight="1"/>
    <row r="4443" ht="15.75" customHeight="1"/>
    <row r="4444" ht="15.75" customHeight="1"/>
    <row r="4445" ht="15.75" customHeight="1"/>
    <row r="4446" ht="15.75" customHeight="1"/>
    <row r="4447" ht="15.75" customHeight="1"/>
    <row r="4448" ht="15.75" customHeight="1"/>
    <row r="4449" ht="15.75" customHeight="1"/>
    <row r="4450" ht="15.75" customHeight="1"/>
    <row r="4451" ht="15.75" customHeight="1"/>
    <row r="4452" ht="15.75" customHeight="1"/>
    <row r="4453" ht="15.75" customHeight="1"/>
    <row r="4454" ht="15.75" customHeight="1"/>
    <row r="4455" ht="15.75" customHeight="1"/>
    <row r="4456" ht="15.75" customHeight="1"/>
    <row r="4457" ht="15.75" customHeight="1"/>
    <row r="4458" ht="15.75" customHeight="1"/>
    <row r="4459" ht="15.75" customHeight="1"/>
    <row r="4460" ht="15.75" customHeight="1"/>
    <row r="4461" ht="15.75" customHeight="1"/>
    <row r="4462" ht="15.75" customHeight="1"/>
    <row r="4463" ht="15.75" customHeight="1"/>
    <row r="4464" ht="15.75" customHeight="1"/>
    <row r="4465" ht="15.75" customHeight="1"/>
    <row r="4466" ht="15.75" customHeight="1"/>
    <row r="4467" ht="15.75" customHeight="1"/>
    <row r="4468" ht="15.75" customHeight="1"/>
    <row r="4469" ht="15.75" customHeight="1"/>
    <row r="4470" ht="15.75" customHeight="1"/>
    <row r="4471" ht="15.75" customHeight="1"/>
    <row r="4472" ht="15.75" customHeight="1"/>
    <row r="4473" ht="15.75" customHeight="1"/>
    <row r="4474" ht="15.75" customHeight="1"/>
    <row r="4475" ht="15.75" customHeight="1"/>
    <row r="4476" ht="15.75" customHeight="1"/>
    <row r="4477" ht="15.75" customHeight="1"/>
    <row r="4478" ht="15.75" customHeight="1"/>
    <row r="4479" ht="15.75" customHeight="1"/>
    <row r="4480" ht="15.75" customHeight="1"/>
    <row r="4481" ht="15.75" customHeight="1"/>
    <row r="4482" ht="15.75" customHeight="1"/>
    <row r="4483" ht="15.75" customHeight="1"/>
    <row r="4484" ht="15.75" customHeight="1"/>
    <row r="4485" ht="15.75" customHeight="1"/>
    <row r="4486" ht="15.75" customHeight="1"/>
    <row r="4487" ht="15.75" customHeight="1"/>
    <row r="4488" ht="15.75" customHeight="1"/>
    <row r="4489" ht="15.75" customHeight="1"/>
    <row r="4490" ht="15.75" customHeight="1"/>
    <row r="4491" ht="15.75" customHeight="1"/>
    <row r="4492" ht="15.75" customHeight="1"/>
    <row r="4493" ht="15.75" customHeight="1"/>
    <row r="4494" ht="15.75" customHeight="1"/>
    <row r="4495" ht="15.75" customHeight="1"/>
    <row r="4496" ht="15.75" customHeight="1"/>
    <row r="4497" ht="15.75" customHeight="1"/>
    <row r="4498" ht="15.75" customHeight="1"/>
    <row r="4499" ht="15.75" customHeight="1"/>
    <row r="4500" ht="15.75" customHeight="1"/>
    <row r="4501" ht="15.75" customHeight="1"/>
    <row r="4502" ht="15.75" customHeight="1"/>
    <row r="4503" ht="15.75" customHeight="1"/>
    <row r="4504" ht="15.75" customHeight="1"/>
    <row r="4505" ht="15.75" customHeight="1"/>
    <row r="4506" ht="15.75" customHeight="1"/>
    <row r="4507" ht="15.75" customHeight="1"/>
    <row r="4508" ht="15.75" customHeight="1"/>
    <row r="4509" ht="15.75" customHeight="1"/>
    <row r="4510" ht="15.75" customHeight="1"/>
    <row r="4511" ht="15.75" customHeight="1"/>
    <row r="4512" ht="15.75" customHeight="1"/>
    <row r="4513" ht="15.75" customHeight="1"/>
    <row r="4514" ht="15.75" customHeight="1"/>
    <row r="4515" ht="15.75" customHeight="1"/>
    <row r="4516" ht="15.75" customHeight="1"/>
    <row r="4517" ht="15.75" customHeight="1"/>
    <row r="4518" ht="15.75" customHeight="1"/>
    <row r="4519" ht="15.75" customHeight="1"/>
    <row r="4520" ht="15.75" customHeight="1"/>
    <row r="4521" ht="15.75" customHeight="1"/>
    <row r="4522" ht="15.75" customHeight="1"/>
    <row r="4523" ht="15.75" customHeight="1"/>
    <row r="4524" ht="15.75" customHeight="1"/>
    <row r="4525" ht="15.75" customHeight="1"/>
    <row r="4526" ht="15.75" customHeight="1"/>
    <row r="4527" ht="15.75" customHeight="1"/>
    <row r="4528" ht="15.75" customHeight="1"/>
    <row r="4529" ht="15.75" customHeight="1"/>
    <row r="4530" ht="15.75" customHeight="1"/>
    <row r="4531" ht="15.75" customHeight="1"/>
    <row r="4532" ht="15.75" customHeight="1"/>
    <row r="4533" ht="15.75" customHeight="1"/>
    <row r="4534" ht="15.75" customHeight="1"/>
    <row r="4535" ht="15.75" customHeight="1"/>
    <row r="4536" ht="15.75" customHeight="1"/>
    <row r="4537" ht="15.75" customHeight="1"/>
    <row r="4538" ht="15.75" customHeight="1"/>
    <row r="4539" ht="15.75" customHeight="1"/>
    <row r="4540" ht="15.75" customHeight="1"/>
    <row r="4541" ht="15.75" customHeight="1"/>
    <row r="4542" ht="15.75" customHeight="1"/>
    <row r="4543" ht="15.75" customHeight="1"/>
    <row r="4544" ht="15.75" customHeight="1"/>
    <row r="4545" ht="15.75" customHeight="1"/>
    <row r="4546" ht="15.75" customHeight="1"/>
    <row r="4547" ht="15.75" customHeight="1"/>
    <row r="4548" ht="15.75" customHeight="1"/>
    <row r="4549" ht="15.75" customHeight="1"/>
    <row r="4550" ht="15.75" customHeight="1"/>
    <row r="4551" ht="15.75" customHeight="1"/>
    <row r="4552" ht="15.75" customHeight="1"/>
    <row r="4553" ht="15.75" customHeight="1"/>
    <row r="4554" ht="15.75" customHeight="1"/>
    <row r="4555" ht="15.75" customHeight="1"/>
    <row r="4556" ht="15.75" customHeight="1"/>
    <row r="4557" ht="15.75" customHeight="1"/>
    <row r="4558" ht="15.75" customHeight="1"/>
    <row r="4559" ht="15.75" customHeight="1"/>
    <row r="4560" ht="15.75" customHeight="1"/>
    <row r="4561" ht="15.75" customHeight="1"/>
    <row r="4562" ht="15.75" customHeight="1"/>
    <row r="4563" ht="15.75" customHeight="1"/>
    <row r="4564" ht="15.75" customHeight="1"/>
    <row r="4565" ht="15.75" customHeight="1"/>
    <row r="4566" ht="15.75" customHeight="1"/>
    <row r="4567" ht="15.75" customHeight="1"/>
    <row r="4568" ht="15.75" customHeight="1"/>
    <row r="4569" ht="15.75" customHeight="1"/>
    <row r="4570" ht="15.75" customHeight="1"/>
    <row r="4571" ht="15.75" customHeight="1"/>
    <row r="4572" ht="15.75" customHeight="1"/>
    <row r="4573" ht="15.75" customHeight="1"/>
    <row r="4574" ht="15.75" customHeight="1"/>
    <row r="4575" ht="15.75" customHeight="1"/>
    <row r="4576" ht="15.75" customHeight="1"/>
    <row r="4577" ht="15.75" customHeight="1"/>
    <row r="4578" ht="15.75" customHeight="1"/>
    <row r="4579" ht="15.75" customHeight="1"/>
    <row r="4580" ht="15.75" customHeight="1"/>
    <row r="4581" ht="15.75" customHeight="1"/>
    <row r="4582" ht="15.75" customHeight="1"/>
    <row r="4583" ht="15.75" customHeight="1"/>
    <row r="4584" ht="15.75" customHeight="1"/>
    <row r="4585" ht="15.75" customHeight="1"/>
    <row r="4586" ht="15.75" customHeight="1"/>
    <row r="4587" ht="15.75" customHeight="1"/>
    <row r="4588" ht="15.75" customHeight="1"/>
    <row r="4589" ht="15.75" customHeight="1"/>
    <row r="4590" ht="15.75" customHeight="1"/>
    <row r="4591" ht="15.75" customHeight="1"/>
    <row r="4592" ht="15.75" customHeight="1"/>
    <row r="4593" ht="15.75" customHeight="1"/>
    <row r="4594" ht="15.75" customHeight="1"/>
    <row r="4595" ht="15.75" customHeight="1"/>
    <row r="4596" ht="15.75" customHeight="1"/>
    <row r="4597" ht="15.75" customHeight="1"/>
    <row r="4598" ht="15.75" customHeight="1"/>
    <row r="4599" ht="15.75" customHeight="1"/>
    <row r="4600" ht="15.75" customHeight="1"/>
    <row r="4601" ht="15.75" customHeight="1"/>
    <row r="4602" ht="15.75" customHeight="1"/>
    <row r="4603" ht="15.75" customHeight="1"/>
    <row r="4604" ht="15.75" customHeight="1"/>
    <row r="4605" ht="15.75" customHeight="1"/>
    <row r="4606" ht="15.75" customHeight="1"/>
    <row r="4607" ht="15.75" customHeight="1"/>
    <row r="4608" ht="15.75" customHeight="1"/>
    <row r="4609" ht="15.75" customHeight="1"/>
    <row r="4610" ht="15.75" customHeight="1"/>
    <row r="4611" ht="15.75" customHeight="1"/>
    <row r="4612" ht="15.75" customHeight="1"/>
    <row r="4613" ht="15.75" customHeight="1"/>
    <row r="4614" ht="15.75" customHeight="1"/>
    <row r="4615" ht="15.75" customHeight="1"/>
    <row r="4616" ht="15.75" customHeight="1"/>
    <row r="4617" ht="15.75" customHeight="1"/>
    <row r="4618" ht="15.75" customHeight="1"/>
    <row r="4619" ht="15.75" customHeight="1"/>
    <row r="4620" ht="15.75" customHeight="1"/>
    <row r="4621" ht="15.75" customHeight="1"/>
    <row r="4622" ht="15.75" customHeight="1"/>
    <row r="4623" ht="15.75" customHeight="1"/>
    <row r="4624" ht="15.75" customHeight="1"/>
    <row r="4625" ht="15.75" customHeight="1"/>
    <row r="4626" ht="15.75" customHeight="1"/>
    <row r="4627" ht="15.75" customHeight="1"/>
    <row r="4628" ht="15.75" customHeight="1"/>
    <row r="4629" ht="15.75" customHeight="1"/>
    <row r="4630" ht="15.75" customHeight="1"/>
    <row r="4631" ht="15.75" customHeight="1"/>
    <row r="4632" ht="15.75" customHeight="1"/>
    <row r="4633" ht="15.75" customHeight="1"/>
    <row r="4634" ht="15.75" customHeight="1"/>
    <row r="4635" ht="15.75" customHeight="1"/>
    <row r="4636" ht="15.75" customHeight="1"/>
    <row r="4637" ht="15.75" customHeight="1"/>
    <row r="4638" ht="15.75" customHeight="1"/>
    <row r="4639" ht="15.75" customHeight="1"/>
    <row r="4640" ht="15.75" customHeight="1"/>
    <row r="4641" ht="15.75" customHeight="1"/>
    <row r="4642" ht="15.75" customHeight="1"/>
    <row r="4643" ht="15.75" customHeight="1"/>
    <row r="4644" ht="15.75" customHeight="1"/>
    <row r="4645" ht="15.75" customHeight="1"/>
    <row r="4646" ht="15.75" customHeight="1"/>
    <row r="4647" ht="15.75" customHeight="1"/>
    <row r="4648" ht="15.75" customHeight="1"/>
    <row r="4649" ht="15.75" customHeight="1"/>
    <row r="4650" ht="15.75" customHeight="1"/>
    <row r="4651" ht="15.75" customHeight="1"/>
    <row r="4652" ht="15.75" customHeight="1"/>
    <row r="4653" ht="15.75" customHeight="1"/>
    <row r="4654" ht="15.75" customHeight="1"/>
    <row r="4655" ht="15.75" customHeight="1"/>
    <row r="4656" ht="15.75" customHeight="1"/>
    <row r="4657" ht="15.75" customHeight="1"/>
    <row r="4658" ht="15.75" customHeight="1"/>
    <row r="4659" ht="15.75" customHeight="1"/>
    <row r="4660" ht="15.75" customHeight="1"/>
    <row r="4661" ht="15.75" customHeight="1"/>
    <row r="4662" ht="15.75" customHeight="1"/>
    <row r="4663" ht="15.75" customHeight="1"/>
    <row r="4664" ht="15.75" customHeight="1"/>
    <row r="4665" ht="15.75" customHeight="1"/>
    <row r="4666" ht="15.75" customHeight="1"/>
    <row r="4667" ht="15.75" customHeight="1"/>
    <row r="4668" ht="15.75" customHeight="1"/>
    <row r="4669" ht="15.75" customHeight="1"/>
    <row r="4670" ht="15.75" customHeight="1"/>
    <row r="4671" ht="15.75" customHeight="1"/>
    <row r="4672" ht="15.75" customHeight="1"/>
    <row r="4673" ht="15.75" customHeight="1"/>
    <row r="4674" ht="15.75" customHeight="1"/>
    <row r="4675" ht="15.75" customHeight="1"/>
    <row r="4676" ht="15.75" customHeight="1"/>
    <row r="4677" ht="15.75" customHeight="1"/>
    <row r="4678" ht="15.75" customHeight="1"/>
    <row r="4679" ht="15.75" customHeight="1"/>
    <row r="4680" ht="15.75" customHeight="1"/>
    <row r="4681" ht="15.75" customHeight="1"/>
    <row r="4682" ht="15.75" customHeight="1"/>
    <row r="4683" ht="15.75" customHeight="1"/>
    <row r="4684" ht="15.75" customHeight="1"/>
    <row r="4685" ht="15.75" customHeight="1"/>
    <row r="4686" ht="15.75" customHeight="1"/>
    <row r="4687" ht="15.75" customHeight="1"/>
    <row r="4688" ht="15.75" customHeight="1"/>
    <row r="4689" ht="15.75" customHeight="1"/>
    <row r="4690" ht="15.75" customHeight="1"/>
    <row r="4691" ht="15.75" customHeight="1"/>
    <row r="4692" ht="15.75" customHeight="1"/>
    <row r="4693" ht="15.75" customHeight="1"/>
    <row r="4694" ht="15.75" customHeight="1"/>
    <row r="4695" ht="15.75" customHeight="1"/>
    <row r="4696" ht="15.75" customHeight="1"/>
    <row r="4697" ht="15.75" customHeight="1"/>
    <row r="4698" ht="15.75" customHeight="1"/>
    <row r="4699" ht="15.75" customHeight="1"/>
    <row r="4700" ht="15.75" customHeight="1"/>
    <row r="4701" ht="15.75" customHeight="1"/>
    <row r="4702" ht="15.75" customHeight="1"/>
    <row r="4703" ht="15.75" customHeight="1"/>
    <row r="4704" ht="15.75" customHeight="1"/>
    <row r="4705" ht="15.75" customHeight="1"/>
    <row r="4706" ht="15.75" customHeight="1"/>
    <row r="4707" ht="15.75" customHeight="1"/>
    <row r="4708" ht="15.75" customHeight="1"/>
    <row r="4709" ht="15.75" customHeight="1"/>
    <row r="4710" ht="15.75" customHeight="1"/>
    <row r="4711" ht="15.75" customHeight="1"/>
    <row r="4712" ht="15.75" customHeight="1"/>
    <row r="4713" ht="15.75" customHeight="1"/>
    <row r="4714" ht="15.75" customHeight="1"/>
    <row r="4715" ht="15.75" customHeight="1"/>
    <row r="4716" ht="15.75" customHeight="1"/>
    <row r="4717" ht="15.75" customHeight="1"/>
    <row r="4718" ht="15.75" customHeight="1"/>
    <row r="4719" ht="15.75" customHeight="1"/>
    <row r="4720" ht="15.75" customHeight="1"/>
    <row r="4721" ht="15.75" customHeight="1"/>
    <row r="4722" ht="15.75" customHeight="1"/>
    <row r="4723" ht="15.75" customHeight="1"/>
    <row r="4724" ht="15.75" customHeight="1"/>
    <row r="4725" ht="15.75" customHeight="1"/>
    <row r="4726" ht="15.75" customHeight="1"/>
    <row r="4727" ht="15.75" customHeight="1"/>
    <row r="4728" ht="15.75" customHeight="1"/>
    <row r="4729" ht="15.75" customHeight="1"/>
    <row r="4730" ht="15.75" customHeight="1"/>
    <row r="4731" ht="15.75" customHeight="1"/>
    <row r="4732" ht="15.75" customHeight="1"/>
    <row r="4733" ht="15.75" customHeight="1"/>
    <row r="4734" ht="15.75" customHeight="1"/>
    <row r="4735" ht="15.75" customHeight="1"/>
    <row r="4736" ht="15.75" customHeight="1"/>
    <row r="4737" ht="15.75" customHeight="1"/>
    <row r="4738" ht="15.75" customHeight="1"/>
    <row r="4739" ht="15.75" customHeight="1"/>
    <row r="4740" ht="15.75" customHeight="1"/>
    <row r="4741" ht="15.75" customHeight="1"/>
    <row r="4742" ht="15.75" customHeight="1"/>
    <row r="4743" ht="15.75" customHeight="1"/>
    <row r="4744" ht="15.75" customHeight="1"/>
    <row r="4745" ht="15.75" customHeight="1"/>
    <row r="4746" ht="15.75" customHeight="1"/>
    <row r="4747" ht="15.75" customHeight="1"/>
    <row r="4748" ht="15.75" customHeight="1"/>
    <row r="4749" ht="15.75" customHeight="1"/>
    <row r="4750" ht="15.75" customHeight="1"/>
    <row r="4751" ht="15.75" customHeight="1"/>
    <row r="4752" ht="15.75" customHeight="1"/>
    <row r="4753" ht="15.75" customHeight="1"/>
    <row r="4754" ht="15.75" customHeight="1"/>
    <row r="4755" ht="15.75" customHeight="1"/>
    <row r="4756" ht="15.75" customHeight="1"/>
    <row r="4757" ht="15.75" customHeight="1"/>
    <row r="4758" ht="15.75" customHeight="1"/>
    <row r="4759" ht="15.75" customHeight="1"/>
    <row r="4760" ht="15.75" customHeight="1"/>
    <row r="4761" ht="15.75" customHeight="1"/>
    <row r="4762" ht="15.75" customHeight="1"/>
    <row r="4763" ht="15.75" customHeight="1"/>
    <row r="4764" ht="15.75" customHeight="1"/>
    <row r="4765" ht="15.75" customHeight="1"/>
    <row r="4766" ht="15.75" customHeight="1"/>
    <row r="4767" ht="15.75" customHeight="1"/>
    <row r="4768" ht="15.75" customHeight="1"/>
    <row r="4769" ht="15.75" customHeight="1"/>
    <row r="4770" ht="15.75" customHeight="1"/>
    <row r="4771" ht="15.75" customHeight="1"/>
    <row r="4772" ht="15.75" customHeight="1"/>
    <row r="4773" ht="15.75" customHeight="1"/>
    <row r="4774" ht="15.75" customHeight="1"/>
    <row r="4775" ht="15.75" customHeight="1"/>
    <row r="4776" ht="15.75" customHeight="1"/>
    <row r="4777" ht="15.75" customHeight="1"/>
    <row r="4778" ht="15.75" customHeight="1"/>
    <row r="4779" ht="15.75" customHeight="1"/>
    <row r="4780" ht="15.75" customHeight="1"/>
    <row r="4781" ht="15.75" customHeight="1"/>
    <row r="4782" ht="15.75" customHeight="1"/>
    <row r="4783" ht="15.75" customHeight="1"/>
    <row r="4784" ht="15.75" customHeight="1"/>
    <row r="4785" ht="15.75" customHeight="1"/>
    <row r="4786" ht="15.75" customHeight="1"/>
    <row r="4787" ht="15.75" customHeight="1"/>
    <row r="4788" ht="15.75" customHeight="1"/>
    <row r="4789" ht="15.75" customHeight="1"/>
    <row r="4790" ht="15.75" customHeight="1"/>
    <row r="4791" ht="15.75" customHeight="1"/>
    <row r="4792" ht="15.75" customHeight="1"/>
    <row r="4793" ht="15.75" customHeight="1"/>
    <row r="4794" ht="15.75" customHeight="1"/>
    <row r="4795" ht="15.75" customHeight="1"/>
    <row r="4796" ht="15.75" customHeight="1"/>
    <row r="4797" ht="15.75" customHeight="1"/>
    <row r="4798" ht="15.75" customHeight="1"/>
    <row r="4799" ht="15.75" customHeight="1"/>
    <row r="4800" ht="15.75" customHeight="1"/>
    <row r="4801" ht="15.75" customHeight="1"/>
    <row r="4802" ht="15.75" customHeight="1"/>
    <row r="4803" ht="15.75" customHeight="1"/>
    <row r="4804" ht="15.75" customHeight="1"/>
    <row r="4805" ht="15.75" customHeight="1"/>
    <row r="4806" ht="15.75" customHeight="1"/>
    <row r="4807" ht="15.75" customHeight="1"/>
    <row r="4808" ht="15.75" customHeight="1"/>
    <row r="4809" ht="15.75" customHeight="1"/>
    <row r="4810" ht="15.75" customHeight="1"/>
    <row r="4811" ht="15.75" customHeight="1"/>
    <row r="4812" ht="15.75" customHeight="1"/>
    <row r="4813" ht="15.75" customHeight="1"/>
    <row r="4814" ht="15.75" customHeight="1"/>
    <row r="4815" ht="15.75" customHeight="1"/>
    <row r="4816" ht="15.75" customHeight="1"/>
    <row r="4817" ht="15.75" customHeight="1"/>
    <row r="4818" ht="15.75" customHeight="1"/>
    <row r="4819" ht="15.75" customHeight="1"/>
    <row r="4820" ht="15.75" customHeight="1"/>
    <row r="4821" ht="15.75" customHeight="1"/>
    <row r="4822" ht="15.75" customHeight="1"/>
    <row r="4823" ht="15.75" customHeight="1"/>
    <row r="4824" ht="15.75" customHeight="1"/>
    <row r="4825" ht="15.75" customHeight="1"/>
    <row r="4826" ht="15.75" customHeight="1"/>
    <row r="4827" ht="15.75" customHeight="1"/>
    <row r="4828" ht="15.75" customHeight="1"/>
    <row r="4829" ht="15.75" customHeight="1"/>
    <row r="4830" ht="15.75" customHeight="1"/>
    <row r="4831" ht="15.75" customHeight="1"/>
    <row r="4832" ht="15.75" customHeight="1"/>
    <row r="4833" ht="15.75" customHeight="1"/>
    <row r="4834" ht="15.75" customHeight="1"/>
    <row r="4835" ht="15.75" customHeight="1"/>
    <row r="4836" ht="15.75" customHeight="1"/>
    <row r="4837" ht="15.75" customHeight="1"/>
    <row r="4838" ht="15.75" customHeight="1"/>
    <row r="4839" ht="15.75" customHeight="1"/>
    <row r="4840" ht="15.75" customHeight="1"/>
    <row r="4841" ht="15.75" customHeight="1"/>
    <row r="4842" ht="15.75" customHeight="1"/>
    <row r="4843" ht="15.75" customHeight="1"/>
    <row r="4844" ht="15.75" customHeight="1"/>
    <row r="4845" ht="15.75" customHeight="1"/>
    <row r="4846" ht="15.75" customHeight="1"/>
    <row r="4847" ht="15.75" customHeight="1"/>
    <row r="4848" ht="15.75" customHeight="1"/>
    <row r="4849" ht="15.75" customHeight="1"/>
    <row r="4850" ht="15.75" customHeight="1"/>
    <row r="4851" ht="15.75" customHeight="1"/>
    <row r="4852" ht="15.75" customHeight="1"/>
    <row r="4853" ht="15.75" customHeight="1"/>
    <row r="4854" ht="15.75" customHeight="1"/>
    <row r="4855" ht="15.75" customHeight="1"/>
    <row r="4856" ht="15.75" customHeight="1"/>
    <row r="4857" ht="15.75" customHeight="1"/>
    <row r="4858" ht="15.75" customHeight="1"/>
    <row r="4859" ht="15.75" customHeight="1"/>
    <row r="4860" ht="15.75" customHeight="1"/>
    <row r="4861" ht="15.75" customHeight="1"/>
    <row r="4862" ht="15.75" customHeight="1"/>
    <row r="4863" ht="15.75" customHeight="1"/>
    <row r="4864" ht="15.75" customHeight="1"/>
    <row r="4865" ht="15.75" customHeight="1"/>
    <row r="4866" ht="15.75" customHeight="1"/>
    <row r="4867" ht="15.75" customHeight="1"/>
    <row r="4868" ht="15.75" customHeight="1"/>
    <row r="4869" ht="15.75" customHeight="1"/>
    <row r="4870" ht="15.75" customHeight="1"/>
    <row r="4871" ht="15.75" customHeight="1"/>
    <row r="4872" ht="15.75" customHeight="1"/>
    <row r="4873" ht="15.75" customHeight="1"/>
    <row r="4874" ht="15.75" customHeight="1"/>
    <row r="4875" ht="15.75" customHeight="1"/>
    <row r="4876" ht="15.75" customHeight="1"/>
    <row r="4877" ht="15.75" customHeight="1"/>
    <row r="4878" ht="15.75" customHeight="1"/>
    <row r="4879" ht="15.75" customHeight="1"/>
    <row r="4880" ht="15.75" customHeight="1"/>
    <row r="4881" ht="15.75" customHeight="1"/>
    <row r="4882" ht="15.75" customHeight="1"/>
    <row r="4883" ht="15.75" customHeight="1"/>
    <row r="4884" ht="15.75" customHeight="1"/>
    <row r="4885" ht="15.75" customHeight="1"/>
    <row r="4886" ht="15.75" customHeight="1"/>
    <row r="4887" ht="15.75" customHeight="1"/>
    <row r="4888" ht="15.75" customHeight="1"/>
    <row r="4889" ht="15.75" customHeight="1"/>
    <row r="4890" ht="15.75" customHeight="1"/>
    <row r="4891" ht="15.75" customHeight="1"/>
    <row r="4892" ht="15.75" customHeight="1"/>
    <row r="4893" ht="15.75" customHeight="1"/>
    <row r="4894" ht="15.75" customHeight="1"/>
    <row r="4895" ht="15.75" customHeight="1"/>
    <row r="4896" ht="15.75" customHeight="1"/>
    <row r="4897" ht="15.75" customHeight="1"/>
    <row r="4898" ht="15.75" customHeight="1"/>
    <row r="4899" ht="15.75" customHeight="1"/>
    <row r="4900" ht="15.75" customHeight="1"/>
    <row r="4901" ht="15.75" customHeight="1"/>
    <row r="4902" ht="15.75" customHeight="1"/>
    <row r="4903" ht="15.75" customHeight="1"/>
    <row r="4904" ht="15.75" customHeight="1"/>
    <row r="4905" ht="15.75" customHeight="1"/>
    <row r="4906" ht="15.75" customHeight="1"/>
    <row r="4907" ht="15.75" customHeight="1"/>
    <row r="4908" ht="15.75" customHeight="1"/>
    <row r="4909" ht="15.75" customHeight="1"/>
    <row r="4910" ht="15.75" customHeight="1"/>
    <row r="4911" ht="15.75" customHeight="1"/>
    <row r="4912" ht="15.75" customHeight="1"/>
    <row r="4913" ht="15.75" customHeight="1"/>
    <row r="4914" ht="15.75" customHeight="1"/>
    <row r="4915" ht="15.75" customHeight="1"/>
    <row r="4916" ht="15.75" customHeight="1"/>
    <row r="4917" ht="15.75" customHeight="1"/>
    <row r="4918" ht="15.75" customHeight="1"/>
    <row r="4919" ht="15.75" customHeight="1"/>
    <row r="4920" ht="15.75" customHeight="1"/>
    <row r="4921" ht="15.75" customHeight="1"/>
    <row r="4922" ht="15.75" customHeight="1"/>
    <row r="4923" ht="15.75" customHeight="1"/>
    <row r="4924" ht="15.75" customHeight="1"/>
    <row r="4925" ht="15.75" customHeight="1"/>
    <row r="4926" ht="15.75" customHeight="1"/>
    <row r="4927" ht="15.75" customHeight="1"/>
    <row r="4928" ht="15.75" customHeight="1"/>
    <row r="4929" ht="15.75" customHeight="1"/>
    <row r="4930" ht="15.75" customHeight="1"/>
    <row r="4931" ht="15.75" customHeight="1"/>
    <row r="4932" ht="15.75" customHeight="1"/>
    <row r="4933" ht="15.75" customHeight="1"/>
    <row r="4934" ht="15.75" customHeight="1"/>
    <row r="4935" ht="15.75" customHeight="1"/>
    <row r="4936" ht="15.75" customHeight="1"/>
    <row r="4937" ht="15.75" customHeight="1"/>
    <row r="4938" ht="15.75" customHeight="1"/>
    <row r="4939" ht="15.75" customHeight="1"/>
    <row r="4940" ht="15.75" customHeight="1"/>
    <row r="4941" ht="15.75" customHeight="1"/>
    <row r="4942" ht="15.75" customHeight="1"/>
    <row r="4943" ht="15.75" customHeight="1"/>
    <row r="4944" ht="15.75" customHeight="1"/>
    <row r="4945" ht="15.75" customHeight="1"/>
    <row r="4946" ht="15.75" customHeight="1"/>
    <row r="4947" ht="15.75" customHeight="1"/>
    <row r="4948" ht="15.75" customHeight="1"/>
    <row r="4949" ht="15.75" customHeight="1"/>
    <row r="4950" ht="15.75" customHeight="1"/>
    <row r="4951" ht="15.75" customHeight="1"/>
    <row r="4952" ht="15.75" customHeight="1"/>
    <row r="4953" ht="15.75" customHeight="1"/>
    <row r="4954" ht="15.75" customHeight="1"/>
    <row r="4955" ht="15.75" customHeight="1"/>
    <row r="4956" ht="15.75" customHeight="1"/>
    <row r="4957" ht="15.75" customHeight="1"/>
    <row r="4958" ht="15.75" customHeight="1"/>
    <row r="4959" ht="15.75" customHeight="1"/>
    <row r="4960" ht="15.75" customHeight="1"/>
    <row r="4961" ht="15.75" customHeight="1"/>
    <row r="4962" ht="15.75" customHeight="1"/>
    <row r="4963" ht="15.75" customHeight="1"/>
    <row r="4964" ht="15.75" customHeight="1"/>
    <row r="4965" ht="15.75" customHeight="1"/>
    <row r="4966" ht="15.75" customHeight="1"/>
    <row r="4967" ht="15.75" customHeight="1"/>
    <row r="4968" ht="15.75" customHeight="1"/>
    <row r="4969" ht="15.75" customHeight="1"/>
    <row r="4970" ht="15.75" customHeight="1"/>
    <row r="4971" ht="15.75" customHeight="1"/>
    <row r="4972" ht="15.75" customHeight="1"/>
    <row r="4973" ht="15.75" customHeight="1"/>
    <row r="4974" ht="15.75" customHeight="1"/>
    <row r="4975" ht="15.75" customHeight="1"/>
    <row r="4976" ht="15.75" customHeight="1"/>
    <row r="4977" ht="15.75" customHeight="1"/>
    <row r="4978" ht="15.75" customHeight="1"/>
    <row r="4979" ht="15.75" customHeight="1"/>
    <row r="4980" ht="15.75" customHeight="1"/>
    <row r="4981" ht="15.75" customHeight="1"/>
    <row r="4982" ht="15.75" customHeight="1"/>
    <row r="4983" ht="15.75" customHeight="1"/>
    <row r="4984" ht="15.75" customHeight="1"/>
    <row r="4985" ht="15.75" customHeight="1"/>
    <row r="4986" ht="15.75" customHeight="1"/>
    <row r="4987" ht="15.75" customHeight="1"/>
    <row r="4988" ht="15.75" customHeight="1"/>
    <row r="4989" ht="15.75" customHeight="1"/>
    <row r="4990" ht="15.75" customHeight="1"/>
    <row r="4991" ht="15.75" customHeight="1"/>
    <row r="4992" ht="15.75" customHeight="1"/>
    <row r="4993" ht="15.75" customHeight="1"/>
    <row r="4994" ht="15.75" customHeight="1"/>
    <row r="4995" ht="15.75" customHeight="1"/>
    <row r="4996" ht="15.75" customHeight="1"/>
    <row r="4997" ht="15.75" customHeight="1"/>
    <row r="4998" ht="15.75" customHeight="1"/>
    <row r="4999" ht="15.75" customHeight="1"/>
    <row r="5000" ht="15.75" customHeight="1"/>
    <row r="5001" ht="15.75" customHeight="1"/>
    <row r="5002" ht="15.75" customHeight="1"/>
    <row r="5003" ht="15.75" customHeight="1"/>
    <row r="5004" ht="15.75" customHeight="1"/>
    <row r="5005" ht="15.75" customHeight="1"/>
    <row r="5006" ht="15.75" customHeight="1"/>
    <row r="5007" ht="15.75" customHeight="1"/>
    <row r="5008" ht="15.75" customHeight="1"/>
    <row r="5009" ht="15.75" customHeight="1"/>
    <row r="5010" ht="15.75" customHeight="1"/>
    <row r="5011" ht="15.75" customHeight="1"/>
    <row r="5012" ht="15.75" customHeight="1"/>
    <row r="5013" ht="15.75" customHeight="1"/>
    <row r="5014" ht="15.75" customHeight="1"/>
    <row r="5015" ht="15.75" customHeight="1"/>
    <row r="5016" ht="15.75" customHeight="1"/>
    <row r="5017" ht="15.75" customHeight="1"/>
    <row r="5018" ht="15.75" customHeight="1"/>
    <row r="5019" ht="15.75" customHeight="1"/>
    <row r="5020" ht="15.75" customHeight="1"/>
    <row r="5021" ht="15.75" customHeight="1"/>
    <row r="5022" ht="15.75" customHeight="1"/>
    <row r="5023" ht="15.75" customHeight="1"/>
    <row r="5024" ht="15.75" customHeight="1"/>
    <row r="5025" ht="15.75" customHeight="1"/>
    <row r="5026" ht="15.75" customHeight="1"/>
    <row r="5027" ht="15.75" customHeight="1"/>
    <row r="5028" ht="15.75" customHeight="1"/>
    <row r="5029" ht="15.75" customHeight="1"/>
    <row r="5030" ht="15.75" customHeight="1"/>
    <row r="5031" ht="15.75" customHeight="1"/>
    <row r="5032" ht="15.75" customHeight="1"/>
    <row r="5033" ht="15.75" customHeight="1"/>
    <row r="5034" ht="15.75" customHeight="1"/>
    <row r="5035" ht="15.75" customHeight="1"/>
    <row r="5036" ht="15.75" customHeight="1"/>
    <row r="5037" ht="15.75" customHeight="1"/>
    <row r="5038" ht="15.75" customHeight="1"/>
    <row r="5039" ht="15.75" customHeight="1"/>
    <row r="5040" ht="15.75" customHeight="1"/>
    <row r="5041" ht="15.75" customHeight="1"/>
    <row r="5042" ht="15.75" customHeight="1"/>
    <row r="5043" ht="15.75" customHeight="1"/>
    <row r="5044" ht="15.75" customHeight="1"/>
    <row r="5045" ht="15.75" customHeight="1"/>
    <row r="5046" ht="15.75" customHeight="1"/>
    <row r="5047" ht="15.75" customHeight="1"/>
    <row r="5048" ht="15.75" customHeight="1"/>
    <row r="5049" ht="15.75" customHeight="1"/>
    <row r="5050" ht="15.75" customHeight="1"/>
    <row r="5051" ht="15.75" customHeight="1"/>
    <row r="5052" ht="15.75" customHeight="1"/>
    <row r="5053" ht="15.75" customHeight="1"/>
    <row r="5054" ht="15.75" customHeight="1"/>
    <row r="5055" ht="15.75" customHeight="1"/>
    <row r="5056" ht="15.75" customHeight="1"/>
    <row r="5057" ht="15.75" customHeight="1"/>
    <row r="5058" ht="15.75" customHeight="1"/>
    <row r="5059" ht="15.75" customHeight="1"/>
    <row r="5060" ht="15.75" customHeight="1"/>
    <row r="5061" ht="15.75" customHeight="1"/>
    <row r="5062" ht="15.75" customHeight="1"/>
    <row r="5063" ht="15.75" customHeight="1"/>
    <row r="5064" ht="15.75" customHeight="1"/>
    <row r="5065" ht="15.75" customHeight="1"/>
    <row r="5066" ht="15.75" customHeight="1"/>
    <row r="5067" ht="15.75" customHeight="1"/>
    <row r="5068" ht="15.75" customHeight="1"/>
    <row r="5069" ht="15.75" customHeight="1"/>
    <row r="5070" ht="15.75" customHeight="1"/>
    <row r="5071" ht="15.75" customHeight="1"/>
    <row r="5072" ht="15.75" customHeight="1"/>
    <row r="5073" ht="15.75" customHeight="1"/>
    <row r="5074" ht="15.75" customHeight="1"/>
    <row r="5075" ht="15.75" customHeight="1"/>
    <row r="5076" ht="15.75" customHeight="1"/>
    <row r="5077" ht="15.75" customHeight="1"/>
    <row r="5078" ht="15.75" customHeight="1"/>
    <row r="5079" ht="15.75" customHeight="1"/>
    <row r="5080" ht="15.75" customHeight="1"/>
    <row r="5081" ht="15.75" customHeight="1"/>
    <row r="5082" ht="15.75" customHeight="1"/>
    <row r="5083" ht="15.75" customHeight="1"/>
    <row r="5084" ht="15.75" customHeight="1"/>
    <row r="5085" ht="15.75" customHeight="1"/>
    <row r="5086" ht="15.75" customHeight="1"/>
    <row r="5087" ht="15.75" customHeight="1"/>
    <row r="5088" ht="15.75" customHeight="1"/>
    <row r="5089" ht="15.75" customHeight="1"/>
    <row r="5090" ht="15.75" customHeight="1"/>
    <row r="5091" ht="15.75" customHeight="1"/>
    <row r="5092" ht="15.75" customHeight="1"/>
    <row r="5093" ht="15.75" customHeight="1"/>
    <row r="5094" ht="15.75" customHeight="1"/>
    <row r="5095" ht="15.75" customHeight="1"/>
    <row r="5096" ht="15.75" customHeight="1"/>
    <row r="5097" ht="15.75" customHeight="1"/>
    <row r="5098" ht="15.75" customHeight="1"/>
    <row r="5099" ht="15.75" customHeight="1"/>
    <row r="5100" ht="15.75" customHeight="1"/>
    <row r="5101" ht="15.75" customHeight="1"/>
    <row r="5102" ht="15.75" customHeight="1"/>
    <row r="5103" ht="15.75" customHeight="1"/>
    <row r="5104" ht="15.75" customHeight="1"/>
    <row r="5105" ht="15.75" customHeight="1"/>
    <row r="5106" ht="15.75" customHeight="1"/>
    <row r="5107" ht="15.75" customHeight="1"/>
    <row r="5108" ht="15.75" customHeight="1"/>
    <row r="5109" ht="15.75" customHeight="1"/>
    <row r="5110" ht="15.75" customHeight="1"/>
    <row r="5111" ht="15.75" customHeight="1"/>
    <row r="5112" ht="15.75" customHeight="1"/>
    <row r="5113" ht="15.75" customHeight="1"/>
    <row r="5114" ht="15.75" customHeight="1"/>
    <row r="5115" ht="15.75" customHeight="1"/>
    <row r="5116" ht="15.75" customHeight="1"/>
    <row r="5117" ht="15.75" customHeight="1"/>
    <row r="5118" ht="15.75" customHeight="1"/>
    <row r="5119" ht="15.75" customHeight="1"/>
    <row r="5120" ht="15.75" customHeight="1"/>
    <row r="5121" ht="15.75" customHeight="1"/>
    <row r="5122" ht="15.75" customHeight="1"/>
    <row r="5123" ht="15.75" customHeight="1"/>
    <row r="5124" ht="15.75" customHeight="1"/>
    <row r="5125" ht="15.75" customHeight="1"/>
    <row r="5126" ht="15.75" customHeight="1"/>
    <row r="5127" ht="15.75" customHeight="1"/>
    <row r="5128" ht="15.75" customHeight="1"/>
    <row r="5129" ht="15.75" customHeight="1"/>
    <row r="5130" ht="15.75" customHeight="1"/>
    <row r="5131" ht="15.75" customHeight="1"/>
    <row r="5132" ht="15.75" customHeight="1"/>
    <row r="5133" ht="15.75" customHeight="1"/>
    <row r="5134" ht="15.75" customHeight="1"/>
    <row r="5135" ht="15.75" customHeight="1"/>
    <row r="5136" ht="15.75" customHeight="1"/>
    <row r="5137" ht="15.75" customHeight="1"/>
    <row r="5138" ht="15.75" customHeight="1"/>
    <row r="5139" ht="15.75" customHeight="1"/>
    <row r="5140" ht="15.75" customHeight="1"/>
    <row r="5141" ht="15.75" customHeight="1"/>
    <row r="5142" ht="15.75" customHeight="1"/>
    <row r="5143" ht="15.75" customHeight="1"/>
    <row r="5144" ht="15.75" customHeight="1"/>
    <row r="5145" ht="15.75" customHeight="1"/>
    <row r="5146" ht="15.75" customHeight="1"/>
    <row r="5147" ht="15.75" customHeight="1"/>
    <row r="5148" ht="15.75" customHeight="1"/>
    <row r="5149" ht="15.75" customHeight="1"/>
    <row r="5150" ht="15.75" customHeight="1"/>
    <row r="5151" ht="15.75" customHeight="1"/>
    <row r="5152" ht="15.75" customHeight="1"/>
    <row r="5153" ht="15.75" customHeight="1"/>
    <row r="5154" ht="15.75" customHeight="1"/>
    <row r="5155" ht="15.75" customHeight="1"/>
    <row r="5156" ht="15.75" customHeight="1"/>
    <row r="5157" ht="15.75" customHeight="1"/>
    <row r="5158" ht="15.75" customHeight="1"/>
    <row r="5159" ht="15.75" customHeight="1"/>
    <row r="5160" ht="15.75" customHeight="1"/>
    <row r="5161" ht="15.75" customHeight="1"/>
    <row r="5162" ht="15.75" customHeight="1"/>
    <row r="5163" ht="15.75" customHeight="1"/>
    <row r="5164" ht="15.75" customHeight="1"/>
    <row r="5165" ht="15.75" customHeight="1"/>
    <row r="5166" ht="15.75" customHeight="1"/>
    <row r="5167" ht="15.75" customHeight="1"/>
    <row r="5168" ht="15.75" customHeight="1"/>
    <row r="5169" ht="15.75" customHeight="1"/>
    <row r="5170" ht="15.75" customHeight="1"/>
    <row r="5171" ht="15.75" customHeight="1"/>
    <row r="5172" ht="15.75" customHeight="1"/>
    <row r="5173" ht="15.75" customHeight="1"/>
    <row r="5174" ht="15.75" customHeight="1"/>
    <row r="5175" ht="15.75" customHeight="1"/>
    <row r="5176" ht="15.75" customHeight="1"/>
    <row r="5177" ht="15.75" customHeight="1"/>
    <row r="5178" ht="15.75" customHeight="1"/>
    <row r="5179" ht="15.75" customHeight="1"/>
    <row r="5180" ht="15.75" customHeight="1"/>
    <row r="5181" ht="15.75" customHeight="1"/>
    <row r="5182" ht="15.75" customHeight="1"/>
    <row r="5183" ht="15.75" customHeight="1"/>
    <row r="5184" ht="15.75" customHeight="1"/>
    <row r="5185" ht="15.75" customHeight="1"/>
    <row r="5186" ht="15.75" customHeight="1"/>
    <row r="5187" ht="15.75" customHeight="1"/>
    <row r="5188" ht="15.75" customHeight="1"/>
    <row r="5189" ht="15.75" customHeight="1"/>
    <row r="5190" ht="15.75" customHeight="1"/>
    <row r="5191" ht="15.75" customHeight="1"/>
    <row r="5192" ht="15.75" customHeight="1"/>
    <row r="5193" ht="15.75" customHeight="1"/>
    <row r="5194" ht="15.75" customHeight="1"/>
    <row r="5195" ht="15.75" customHeight="1"/>
    <row r="5196" ht="15.75" customHeight="1"/>
    <row r="5197" ht="15.75" customHeight="1"/>
    <row r="5198" ht="15.75" customHeight="1"/>
    <row r="5199" ht="15.75" customHeight="1"/>
    <row r="5200" ht="15.75" customHeight="1"/>
    <row r="5201" ht="15.75" customHeight="1"/>
    <row r="5202" ht="15.75" customHeight="1"/>
    <row r="5203" ht="15.75" customHeight="1"/>
    <row r="5204" ht="15.75" customHeight="1"/>
    <row r="5205" ht="15.75" customHeight="1"/>
    <row r="5206" ht="15.75" customHeight="1"/>
    <row r="5207" ht="15.75" customHeight="1"/>
    <row r="5208" ht="15.75" customHeight="1"/>
    <row r="5209" ht="15.75" customHeight="1"/>
    <row r="5210" ht="15.75" customHeight="1"/>
    <row r="5211" ht="15.75" customHeight="1"/>
    <row r="5212" ht="15.75" customHeight="1"/>
    <row r="5213" ht="15.75" customHeight="1"/>
    <row r="5214" ht="15.75" customHeight="1"/>
    <row r="5215" ht="15.75" customHeight="1"/>
    <row r="5216" ht="15.75" customHeight="1"/>
    <row r="5217" ht="15.75" customHeight="1"/>
    <row r="5218" ht="15.75" customHeight="1"/>
    <row r="5219" ht="15.75" customHeight="1"/>
    <row r="5220" ht="15.75" customHeight="1"/>
    <row r="5221" ht="15.75" customHeight="1"/>
    <row r="5222" ht="15.75" customHeight="1"/>
    <row r="5223" ht="15.75" customHeight="1"/>
    <row r="5224" ht="15.75" customHeight="1"/>
    <row r="5225" ht="15.75" customHeight="1"/>
    <row r="5226" ht="15.75" customHeight="1"/>
    <row r="5227" ht="15.75" customHeight="1"/>
    <row r="5228" ht="15.75" customHeight="1"/>
    <row r="5229" ht="15.75" customHeight="1"/>
    <row r="5230" ht="15.75" customHeight="1"/>
    <row r="5231" ht="15.75" customHeight="1"/>
    <row r="5232" ht="15.75" customHeight="1"/>
    <row r="5233" ht="15.75" customHeight="1"/>
    <row r="5234" ht="15.75" customHeight="1"/>
    <row r="5235" ht="15.75" customHeight="1"/>
    <row r="5236" ht="15.75" customHeight="1"/>
    <row r="5237" ht="15.75" customHeight="1"/>
    <row r="5238" ht="15.75" customHeight="1"/>
    <row r="5239" ht="15.75" customHeight="1"/>
    <row r="5240" ht="15.75" customHeight="1"/>
    <row r="5241" ht="15.75" customHeight="1"/>
    <row r="5242" ht="15.75" customHeight="1"/>
    <row r="5243" ht="15.75" customHeight="1"/>
    <row r="5244" ht="15.75" customHeight="1"/>
    <row r="5245" ht="15.75" customHeight="1"/>
    <row r="5246" ht="15.75" customHeight="1"/>
    <row r="5247" ht="15.75" customHeight="1"/>
    <row r="5248" ht="15.75" customHeight="1"/>
    <row r="5249" ht="15.75" customHeight="1"/>
    <row r="5250" ht="15.75" customHeight="1"/>
    <row r="5251" ht="15.75" customHeight="1"/>
    <row r="5252" ht="15.75" customHeight="1"/>
    <row r="5253" ht="15.75" customHeight="1"/>
    <row r="5254" ht="15.75" customHeight="1"/>
    <row r="5255" ht="15.75" customHeight="1"/>
    <row r="5256" ht="15.75" customHeight="1"/>
    <row r="5257" ht="15.75" customHeight="1"/>
    <row r="5258" ht="15.75" customHeight="1"/>
    <row r="5259" ht="15.75" customHeight="1"/>
    <row r="5260" ht="15.75" customHeight="1"/>
    <row r="5261" ht="15.75" customHeight="1"/>
    <row r="5262" ht="15.75" customHeight="1"/>
    <row r="5263" ht="15.75" customHeight="1"/>
    <row r="5264" ht="15.75" customHeight="1"/>
    <row r="5265" ht="15.75" customHeight="1"/>
    <row r="5266" ht="15.75" customHeight="1"/>
    <row r="5267" ht="15.75" customHeight="1"/>
    <row r="5268" ht="15.75" customHeight="1"/>
    <row r="5269" ht="15.75" customHeight="1"/>
    <row r="5270" ht="15.75" customHeight="1"/>
    <row r="5271" ht="15.75" customHeight="1"/>
    <row r="5272" ht="15.75" customHeight="1"/>
    <row r="5273" ht="15.75" customHeight="1"/>
    <row r="5274" ht="15.75" customHeight="1"/>
    <row r="5275" ht="15.75" customHeight="1"/>
    <row r="5276" ht="15.75" customHeight="1"/>
    <row r="5277" ht="15.75" customHeight="1"/>
    <row r="5278" ht="15.75" customHeight="1"/>
    <row r="5279" ht="15.75" customHeight="1"/>
    <row r="5280" ht="15.75" customHeight="1"/>
    <row r="5281" ht="15.75" customHeight="1"/>
    <row r="5282" ht="15.75" customHeight="1"/>
    <row r="5283" ht="15.75" customHeight="1"/>
    <row r="5284" ht="15.75" customHeight="1"/>
    <row r="5285" ht="15.75" customHeight="1"/>
    <row r="5286" ht="15.75" customHeight="1"/>
    <row r="5287" ht="15.75" customHeight="1"/>
    <row r="5288" ht="15.75" customHeight="1"/>
    <row r="5289" ht="15.75" customHeight="1"/>
    <row r="5290" ht="15.75" customHeight="1"/>
    <row r="5291" ht="15.75" customHeight="1"/>
    <row r="5292" ht="15.75" customHeight="1"/>
    <row r="5293" ht="15.75" customHeight="1"/>
    <row r="5294" ht="15.75" customHeight="1"/>
    <row r="5295" ht="15.75" customHeight="1"/>
    <row r="5296" ht="15.75" customHeight="1"/>
    <row r="5297" ht="15.75" customHeight="1"/>
    <row r="5298" ht="15.75" customHeight="1"/>
    <row r="5299" ht="15.75" customHeight="1"/>
    <row r="5300" ht="15.75" customHeight="1"/>
    <row r="5301" ht="15.75" customHeight="1"/>
    <row r="5302" ht="15.75" customHeight="1"/>
    <row r="5303" ht="15.75" customHeight="1"/>
    <row r="5304" ht="15.75" customHeight="1"/>
    <row r="5305" ht="15.75" customHeight="1"/>
    <row r="5306" ht="15.75" customHeight="1"/>
    <row r="5307" ht="15.75" customHeight="1"/>
    <row r="5308" ht="15.75" customHeight="1"/>
    <row r="5309" ht="15.75" customHeight="1"/>
    <row r="5310" ht="15.75" customHeight="1"/>
    <row r="5311" ht="15.75" customHeight="1"/>
    <row r="5312" ht="15.75" customHeight="1"/>
    <row r="5313" ht="15.75" customHeight="1"/>
    <row r="5314" ht="15.75" customHeight="1"/>
    <row r="5315" ht="15.75" customHeight="1"/>
    <row r="5316" ht="15.75" customHeight="1"/>
    <row r="5317" ht="15.75" customHeight="1"/>
    <row r="5318" ht="15.75" customHeight="1"/>
    <row r="5319" ht="15.75" customHeight="1"/>
    <row r="5320" ht="15.75" customHeight="1"/>
    <row r="5321" ht="15.75" customHeight="1"/>
    <row r="5322" ht="15.75" customHeight="1"/>
    <row r="5323" ht="15.75" customHeight="1"/>
    <row r="5324" ht="15.75" customHeight="1"/>
    <row r="5325" ht="15.75" customHeight="1"/>
    <row r="5326" ht="15.75" customHeight="1"/>
    <row r="5327" ht="15.75" customHeight="1"/>
    <row r="5328" ht="15.75" customHeight="1"/>
    <row r="5329" ht="15.75" customHeight="1"/>
    <row r="5330" ht="15.75" customHeight="1"/>
    <row r="5331" ht="15.75" customHeight="1"/>
    <row r="5332" ht="15.75" customHeight="1"/>
    <row r="5333" ht="15.75" customHeight="1"/>
    <row r="5334" ht="15.75" customHeight="1"/>
    <row r="5335" ht="15.75" customHeight="1"/>
    <row r="5336" ht="15.75" customHeight="1"/>
    <row r="5337" ht="15.75" customHeight="1"/>
    <row r="5338" ht="15.75" customHeight="1"/>
    <row r="5339" ht="15.75" customHeight="1"/>
    <row r="5340" ht="15.75" customHeight="1"/>
    <row r="5341" ht="15.75" customHeight="1"/>
    <row r="5342" ht="15.75" customHeight="1"/>
    <row r="5343" ht="15.75" customHeight="1"/>
    <row r="5344" ht="15.75" customHeight="1"/>
    <row r="5345" ht="15.75" customHeight="1"/>
    <row r="5346" ht="15.75" customHeight="1"/>
    <row r="5347" ht="15.75" customHeight="1"/>
    <row r="5348" ht="15.75" customHeight="1"/>
    <row r="5349" ht="15.75" customHeight="1"/>
    <row r="5350" ht="15.75" customHeight="1"/>
    <row r="5351" ht="15.75" customHeight="1"/>
    <row r="5352" ht="15.75" customHeight="1"/>
    <row r="5353" ht="15.75" customHeight="1"/>
    <row r="5354" ht="15.75" customHeight="1"/>
    <row r="5355" ht="15.75" customHeight="1"/>
    <row r="5356" ht="15.75" customHeight="1"/>
    <row r="5357" ht="15.75" customHeight="1"/>
    <row r="5358" ht="15.75" customHeight="1"/>
    <row r="5359" ht="15.75" customHeight="1"/>
    <row r="5360" ht="15.75" customHeight="1"/>
    <row r="5361" ht="15.75" customHeight="1"/>
    <row r="5362" ht="15.75" customHeight="1"/>
    <row r="5363" ht="15.75" customHeight="1"/>
    <row r="5364" ht="15.75" customHeight="1"/>
    <row r="5365" ht="15.75" customHeight="1"/>
    <row r="5366" ht="15.75" customHeight="1"/>
    <row r="5367" ht="15.75" customHeight="1"/>
    <row r="5368" ht="15.75" customHeight="1"/>
    <row r="5369" ht="15.75" customHeight="1"/>
    <row r="5370" ht="15.75" customHeight="1"/>
    <row r="5371" ht="15.75" customHeight="1"/>
    <row r="5372" ht="15.75" customHeight="1"/>
    <row r="5373" ht="15.75" customHeight="1"/>
    <row r="5374" ht="15.75" customHeight="1"/>
    <row r="5375" ht="15.75" customHeight="1"/>
    <row r="5376" ht="15.75" customHeight="1"/>
    <row r="5377" ht="15.75" customHeight="1"/>
    <row r="5378" ht="15.75" customHeight="1"/>
    <row r="5379" ht="15.75" customHeight="1"/>
    <row r="5380" ht="15.75" customHeight="1"/>
    <row r="5381" ht="15.75" customHeight="1"/>
    <row r="5382" ht="15.75" customHeight="1"/>
    <row r="5383" ht="15.75" customHeight="1"/>
    <row r="5384" ht="15.75" customHeight="1"/>
    <row r="5385" ht="15.75" customHeight="1"/>
    <row r="5386" ht="15.75" customHeight="1"/>
    <row r="5387" ht="15.75" customHeight="1"/>
    <row r="5388" ht="15.75" customHeight="1"/>
    <row r="5389" ht="15.75" customHeight="1"/>
    <row r="5390" ht="15.75" customHeight="1"/>
    <row r="5391" ht="15.75" customHeight="1"/>
    <row r="5392" ht="15.75" customHeight="1"/>
    <row r="5393" ht="15.75" customHeight="1"/>
    <row r="5394" ht="15.75" customHeight="1"/>
    <row r="5395" ht="15.75" customHeight="1"/>
    <row r="5396" ht="15.75" customHeight="1"/>
    <row r="5397" ht="15.75" customHeight="1"/>
    <row r="5398" ht="15.75" customHeight="1"/>
    <row r="5399" ht="15.75" customHeight="1"/>
    <row r="5400" ht="15.75" customHeight="1"/>
    <row r="5401" ht="15.75" customHeight="1"/>
    <row r="5402" ht="15.75" customHeight="1"/>
    <row r="5403" ht="15.75" customHeight="1"/>
    <row r="5404" ht="15.75" customHeight="1"/>
    <row r="5405" ht="15.75" customHeight="1"/>
    <row r="5406" ht="15.75" customHeight="1"/>
    <row r="5407" ht="15.75" customHeight="1"/>
    <row r="5408" ht="15.75" customHeight="1"/>
    <row r="5409" ht="15.75" customHeight="1"/>
    <row r="5410" ht="15.75" customHeight="1"/>
    <row r="5411" ht="15.75" customHeight="1"/>
    <row r="5412" ht="15.75" customHeight="1"/>
    <row r="5413" ht="15.75" customHeight="1"/>
    <row r="5414" ht="15.75" customHeight="1"/>
    <row r="5415" ht="15.75" customHeight="1"/>
    <row r="5416" ht="15.75" customHeight="1"/>
    <row r="5417" ht="15.75" customHeight="1"/>
    <row r="5418" ht="15.75" customHeight="1"/>
    <row r="5419" ht="15.75" customHeight="1"/>
    <row r="5420" ht="15.75" customHeight="1"/>
    <row r="5421" ht="15.75" customHeight="1"/>
    <row r="5422" ht="15.75" customHeight="1"/>
    <row r="5423" ht="15.75" customHeight="1"/>
    <row r="5424" ht="15.75" customHeight="1"/>
    <row r="5425" ht="15.75" customHeight="1"/>
    <row r="5426" ht="15.75" customHeight="1"/>
    <row r="5427" ht="15.75" customHeight="1"/>
    <row r="5428" ht="15.75" customHeight="1"/>
    <row r="5429" ht="15.75" customHeight="1"/>
    <row r="5430" ht="15.75" customHeight="1"/>
    <row r="5431" ht="15.75" customHeight="1"/>
    <row r="5432" ht="15.75" customHeight="1"/>
    <row r="5433" ht="15.75" customHeight="1"/>
    <row r="5434" ht="15.75" customHeight="1"/>
    <row r="5435" ht="15.75" customHeight="1"/>
    <row r="5436" ht="15.75" customHeight="1"/>
    <row r="5437" ht="15.75" customHeight="1"/>
    <row r="5438" ht="15.75" customHeight="1"/>
    <row r="5439" ht="15.75" customHeight="1"/>
    <row r="5440" ht="15.75" customHeight="1"/>
    <row r="5441" ht="15.75" customHeight="1"/>
    <row r="5442" ht="15.75" customHeight="1"/>
    <row r="5443" ht="15.75" customHeight="1"/>
    <row r="5444" ht="15.75" customHeight="1"/>
    <row r="5445" ht="15.75" customHeight="1"/>
    <row r="5446" ht="15.75" customHeight="1"/>
    <row r="5447" ht="15.75" customHeight="1"/>
    <row r="5448" ht="15.75" customHeight="1"/>
    <row r="5449" ht="15.75" customHeight="1"/>
    <row r="5450" ht="15.75" customHeight="1"/>
    <row r="5451" ht="15.75" customHeight="1"/>
    <row r="5452" ht="15.75" customHeight="1"/>
    <row r="5453" ht="15.75" customHeight="1"/>
    <row r="5454" ht="15.75" customHeight="1"/>
    <row r="5455" ht="15.75" customHeight="1"/>
    <row r="5456" ht="15.75" customHeight="1"/>
    <row r="5457" ht="15.75" customHeight="1"/>
    <row r="5458" ht="15.75" customHeight="1"/>
    <row r="5459" ht="15.75" customHeight="1"/>
    <row r="5460" ht="15.75" customHeight="1"/>
    <row r="5461" ht="15.75" customHeight="1"/>
    <row r="5462" ht="15.75" customHeight="1"/>
    <row r="5463" ht="15.75" customHeight="1"/>
    <row r="5464" ht="15.75" customHeight="1"/>
    <row r="5465" ht="15.75" customHeight="1"/>
    <row r="5466" ht="15.75" customHeight="1"/>
    <row r="5467" ht="15.75" customHeight="1"/>
    <row r="5468" ht="15.75" customHeight="1"/>
    <row r="5469" ht="15.75" customHeight="1"/>
    <row r="5470" ht="15.75" customHeight="1"/>
    <row r="5471" ht="15.75" customHeight="1"/>
    <row r="5472" ht="15.75" customHeight="1"/>
    <row r="5473" ht="15.75" customHeight="1"/>
    <row r="5474" ht="15.75" customHeight="1"/>
    <row r="5475" ht="15.75" customHeight="1"/>
    <row r="5476" ht="15.75" customHeight="1"/>
    <row r="5477" ht="15.75" customHeight="1"/>
    <row r="5478" ht="15.75" customHeight="1"/>
    <row r="5479" ht="15.75" customHeight="1"/>
    <row r="5480" ht="15.75" customHeight="1"/>
    <row r="5481" ht="15.75" customHeight="1"/>
    <row r="5482" ht="15.75" customHeight="1"/>
    <row r="5483" ht="15.75" customHeight="1"/>
    <row r="5484" ht="15.75" customHeight="1"/>
    <row r="5485" ht="15.75" customHeight="1"/>
    <row r="5486" ht="15.75" customHeight="1"/>
    <row r="5487" ht="15.75" customHeight="1"/>
    <row r="5488" ht="15.75" customHeight="1"/>
    <row r="5489" ht="15.75" customHeight="1"/>
    <row r="5490" ht="15.75" customHeight="1"/>
    <row r="5491" ht="15.75" customHeight="1"/>
    <row r="5492" ht="15.75" customHeight="1"/>
    <row r="5493" ht="15.75" customHeight="1"/>
    <row r="5494" ht="15.75" customHeight="1"/>
    <row r="5495" ht="15.75" customHeight="1"/>
    <row r="5496" ht="15.75" customHeight="1"/>
    <row r="5497" ht="15.75" customHeight="1"/>
    <row r="5498" ht="15.75" customHeight="1"/>
    <row r="5499" ht="15.75" customHeight="1"/>
    <row r="5500" ht="15.75" customHeight="1"/>
    <row r="5501" ht="15.75" customHeight="1"/>
    <row r="5502" ht="15.75" customHeight="1"/>
    <row r="5503" ht="15.75" customHeight="1"/>
    <row r="5504" ht="15.75" customHeight="1"/>
    <row r="5505" ht="15.75" customHeight="1"/>
    <row r="5506" ht="15.75" customHeight="1"/>
    <row r="5507" ht="15.75" customHeight="1"/>
    <row r="5508" ht="15.75" customHeight="1"/>
    <row r="5509" ht="15.75" customHeight="1"/>
    <row r="5510" ht="15.75" customHeight="1"/>
    <row r="5511" ht="15.75" customHeight="1"/>
    <row r="5512" ht="15.75" customHeight="1"/>
    <row r="5513" ht="15.75" customHeight="1"/>
    <row r="5514" ht="15.75" customHeight="1"/>
    <row r="5515" ht="15.75" customHeight="1"/>
    <row r="5516" ht="15.75" customHeight="1"/>
    <row r="5517" ht="15.75" customHeight="1"/>
    <row r="5518" ht="15.75" customHeight="1"/>
    <row r="5519" ht="15.75" customHeight="1"/>
    <row r="5520" ht="15.75" customHeight="1"/>
    <row r="5521" ht="15.75" customHeight="1"/>
    <row r="5522" ht="15.75" customHeight="1"/>
    <row r="5523" ht="15.75" customHeight="1"/>
    <row r="5524" ht="15.75" customHeight="1"/>
    <row r="5525" ht="15.75" customHeight="1"/>
    <row r="5526" ht="15.75" customHeight="1"/>
    <row r="5527" ht="15.75" customHeight="1"/>
    <row r="5528" ht="15.75" customHeight="1"/>
    <row r="5529" ht="15.75" customHeight="1"/>
    <row r="5530" ht="15.75" customHeight="1"/>
    <row r="5531" ht="15.75" customHeight="1"/>
    <row r="5532" ht="15.75" customHeight="1"/>
    <row r="5533" ht="15.75" customHeight="1"/>
    <row r="5534" ht="15.75" customHeight="1"/>
    <row r="5535" ht="15.75" customHeight="1"/>
    <row r="5536" ht="15.75" customHeight="1"/>
    <row r="5537" ht="15.75" customHeight="1"/>
    <row r="5538" ht="15.75" customHeight="1"/>
    <row r="5539" ht="15.75" customHeight="1"/>
    <row r="5540" ht="15.75" customHeight="1"/>
    <row r="5541" ht="15.75" customHeight="1"/>
    <row r="5542" ht="15.75" customHeight="1"/>
    <row r="5543" ht="15.75" customHeight="1"/>
    <row r="5544" ht="15.75" customHeight="1"/>
    <row r="5545" ht="15.75" customHeight="1"/>
    <row r="5546" ht="15.75" customHeight="1"/>
    <row r="5547" ht="15.75" customHeight="1"/>
    <row r="5548" ht="15.75" customHeight="1"/>
    <row r="5549" ht="15.75" customHeight="1"/>
    <row r="5550" ht="15.75" customHeight="1"/>
    <row r="5551" ht="15.75" customHeight="1"/>
    <row r="5552" ht="15.75" customHeight="1"/>
    <row r="5553" ht="15.75" customHeight="1"/>
    <row r="5554" ht="15.75" customHeight="1"/>
    <row r="5555" ht="15.75" customHeight="1"/>
    <row r="5556" ht="15.75" customHeight="1"/>
    <row r="5557" ht="15.75" customHeight="1"/>
    <row r="5558" ht="15.75" customHeight="1"/>
    <row r="5559" ht="15.75" customHeight="1"/>
    <row r="5560" ht="15.75" customHeight="1"/>
    <row r="5561" ht="15.75" customHeight="1"/>
    <row r="5562" ht="15.75" customHeight="1"/>
    <row r="5563" ht="15.75" customHeight="1"/>
    <row r="5564" ht="15.75" customHeight="1"/>
    <row r="5565" ht="15.75" customHeight="1"/>
    <row r="5566" ht="15.75" customHeight="1"/>
    <row r="5567" ht="15.75" customHeight="1"/>
    <row r="5568" ht="15.75" customHeight="1"/>
    <row r="5569" ht="15.75" customHeight="1"/>
    <row r="5570" ht="15.75" customHeight="1"/>
    <row r="5571" ht="15.75" customHeight="1"/>
    <row r="5572" ht="15.75" customHeight="1"/>
    <row r="5573" ht="15.75" customHeight="1"/>
    <row r="5574" ht="15.75" customHeight="1"/>
    <row r="5575" ht="15.75" customHeight="1"/>
    <row r="5576" ht="15.75" customHeight="1"/>
    <row r="5577" ht="15.75" customHeight="1"/>
    <row r="5578" ht="15.75" customHeight="1"/>
    <row r="5579" ht="15.75" customHeight="1"/>
    <row r="5580" ht="15.75" customHeight="1"/>
    <row r="5581" ht="15.75" customHeight="1"/>
    <row r="5582" ht="15.75" customHeight="1"/>
    <row r="5583" ht="15.75" customHeight="1"/>
    <row r="5584" ht="15.75" customHeight="1"/>
    <row r="5585" ht="15.75" customHeight="1"/>
    <row r="5586" ht="15.75" customHeight="1"/>
    <row r="5587" ht="15.75" customHeight="1"/>
    <row r="5588" ht="15.75" customHeight="1"/>
    <row r="5589" ht="15.75" customHeight="1"/>
    <row r="5590" ht="15.75" customHeight="1"/>
    <row r="5591" ht="15.75" customHeight="1"/>
    <row r="5592" ht="15.75" customHeight="1"/>
    <row r="5593" ht="15.75" customHeight="1"/>
    <row r="5594" ht="15.75" customHeight="1"/>
    <row r="5595" ht="15.75" customHeight="1"/>
    <row r="5596" ht="15.75" customHeight="1"/>
    <row r="5597" ht="15.75" customHeight="1"/>
    <row r="5598" ht="15.75" customHeight="1"/>
    <row r="5599" ht="15.75" customHeight="1"/>
    <row r="5600" ht="15.75" customHeight="1"/>
    <row r="5601" ht="15.75" customHeight="1"/>
    <row r="5602" ht="15.75" customHeight="1"/>
    <row r="5603" ht="15.75" customHeight="1"/>
    <row r="5604" ht="15.75" customHeight="1"/>
    <row r="5605" ht="15.75" customHeight="1"/>
    <row r="5606" ht="15.75" customHeight="1"/>
    <row r="5607" ht="15.75" customHeight="1"/>
    <row r="5608" ht="15.75" customHeight="1"/>
    <row r="5609" ht="15.75" customHeight="1"/>
    <row r="5610" ht="15.75" customHeight="1"/>
    <row r="5611" ht="15.75" customHeight="1"/>
    <row r="5612" ht="15.75" customHeight="1"/>
    <row r="5613" ht="15.75" customHeight="1"/>
    <row r="5614" ht="15.75" customHeight="1"/>
    <row r="5615" ht="15.75" customHeight="1"/>
    <row r="5616" ht="15.75" customHeight="1"/>
    <row r="5617" ht="15.75" customHeight="1"/>
    <row r="5618" ht="15.75" customHeight="1"/>
    <row r="5619" ht="15.75" customHeight="1"/>
    <row r="5620" ht="15.75" customHeight="1"/>
    <row r="5621" ht="15.75" customHeight="1"/>
    <row r="5622" ht="15.75" customHeight="1"/>
    <row r="5623" ht="15.75" customHeight="1"/>
    <row r="5624" ht="15.75" customHeight="1"/>
    <row r="5625" ht="15.75" customHeight="1"/>
    <row r="5626" ht="15.75" customHeight="1"/>
    <row r="5627" ht="15.75" customHeight="1"/>
    <row r="5628" ht="15.75" customHeight="1"/>
    <row r="5629" ht="15.75" customHeight="1"/>
    <row r="5630" ht="15.75" customHeight="1"/>
    <row r="5631" ht="15.75" customHeight="1"/>
    <row r="5632" ht="15.75" customHeight="1"/>
    <row r="5633" ht="15.75" customHeight="1"/>
    <row r="5634" ht="15.75" customHeight="1"/>
    <row r="5635" ht="15.75" customHeight="1"/>
    <row r="5636" ht="15.75" customHeight="1"/>
    <row r="5637" ht="15.75" customHeight="1"/>
    <row r="5638" ht="15.75" customHeight="1"/>
    <row r="5639" ht="15.75" customHeight="1"/>
    <row r="5640" ht="15.75" customHeight="1"/>
    <row r="5641" ht="15.75" customHeight="1"/>
    <row r="5642" ht="15.75" customHeight="1"/>
    <row r="5643" ht="15.75" customHeight="1"/>
    <row r="5644" ht="15.75" customHeight="1"/>
    <row r="5645" ht="15.75" customHeight="1"/>
    <row r="5646" ht="15.75" customHeight="1"/>
    <row r="5647" ht="15.75" customHeight="1"/>
    <row r="5648" ht="15.75" customHeight="1"/>
    <row r="5649" ht="15.75" customHeight="1"/>
    <row r="5650" ht="15.75" customHeight="1"/>
    <row r="5651" ht="15.75" customHeight="1"/>
    <row r="5652" ht="15.75" customHeight="1"/>
    <row r="5653" ht="15.75" customHeight="1"/>
    <row r="5654" ht="15.75" customHeight="1"/>
    <row r="5655" ht="15.75" customHeight="1"/>
    <row r="5656" ht="15.75" customHeight="1"/>
    <row r="5657" ht="15.75" customHeight="1"/>
    <row r="5658" ht="15.75" customHeight="1"/>
    <row r="5659" ht="15.75" customHeight="1"/>
    <row r="5660" ht="15.75" customHeight="1"/>
    <row r="5661" ht="15.75" customHeight="1"/>
    <row r="5662" ht="15.75" customHeight="1"/>
    <row r="5663" ht="15.75" customHeight="1"/>
    <row r="5664" ht="15.75" customHeight="1"/>
    <row r="5665" ht="15.75" customHeight="1"/>
    <row r="5666" ht="15.75" customHeight="1"/>
    <row r="5667" ht="15.75" customHeight="1"/>
    <row r="5668" ht="15.75" customHeight="1"/>
    <row r="5669" ht="15.75" customHeight="1"/>
    <row r="5670" ht="15.75" customHeight="1"/>
    <row r="5671" ht="15.75" customHeight="1"/>
    <row r="5672" ht="15.75" customHeight="1"/>
    <row r="5673" ht="15.75" customHeight="1"/>
    <row r="5674" ht="15.75" customHeight="1"/>
    <row r="5675" ht="15.75" customHeight="1"/>
    <row r="5676" ht="15.75" customHeight="1"/>
    <row r="5677" ht="15.75" customHeight="1"/>
    <row r="5678" ht="15.75" customHeight="1"/>
    <row r="5679" ht="15.75" customHeight="1"/>
    <row r="5680" ht="15.75" customHeight="1"/>
    <row r="5681" ht="15.75" customHeight="1"/>
    <row r="5682" ht="15.75" customHeight="1"/>
    <row r="5683" ht="15.75" customHeight="1"/>
    <row r="5684" ht="15.75" customHeight="1"/>
    <row r="5685" ht="15.75" customHeight="1"/>
    <row r="5686" ht="15.75" customHeight="1"/>
    <row r="5687" ht="15.75" customHeight="1"/>
    <row r="5688" ht="15.75" customHeight="1"/>
    <row r="5689" ht="15.75" customHeight="1"/>
    <row r="5690" ht="15.75" customHeight="1"/>
    <row r="5691" ht="15.75" customHeight="1"/>
    <row r="5692" ht="15.75" customHeight="1"/>
    <row r="5693" ht="15.75" customHeight="1"/>
    <row r="5694" ht="15.75" customHeight="1"/>
    <row r="5695" ht="15.75" customHeight="1"/>
    <row r="5696" ht="15.75" customHeight="1"/>
    <row r="5697" ht="15.75" customHeight="1"/>
    <row r="5698" ht="15.75" customHeight="1"/>
    <row r="5699" ht="15.75" customHeight="1"/>
    <row r="5700" ht="15.75" customHeight="1"/>
    <row r="5701" ht="15.75" customHeight="1"/>
    <row r="5702" ht="15.75" customHeight="1"/>
    <row r="5703" ht="15.75" customHeight="1"/>
    <row r="5704" ht="15.75" customHeight="1"/>
    <row r="5705" ht="15.75" customHeight="1"/>
    <row r="5706" ht="15.75" customHeight="1"/>
    <row r="5707" ht="15.75" customHeight="1"/>
    <row r="5708" ht="15.75" customHeight="1"/>
    <row r="5709" ht="15.75" customHeight="1"/>
    <row r="5710" ht="15.75" customHeight="1"/>
    <row r="5711" ht="15.75" customHeight="1"/>
    <row r="5712" ht="15.75" customHeight="1"/>
    <row r="5713" ht="15.75" customHeight="1"/>
    <row r="5714" ht="15.75" customHeight="1"/>
    <row r="5715" ht="15.75" customHeight="1"/>
    <row r="5716" ht="15.75" customHeight="1"/>
    <row r="5717" ht="15.75" customHeight="1"/>
    <row r="5718" ht="15.75" customHeight="1"/>
    <row r="5719" ht="15.75" customHeight="1"/>
    <row r="5720" ht="15.75" customHeight="1"/>
    <row r="5721" ht="15.75" customHeight="1"/>
    <row r="5722" ht="15.75" customHeight="1"/>
    <row r="5723" ht="15.75" customHeight="1"/>
    <row r="5724" ht="15.75" customHeight="1"/>
    <row r="5725" ht="15.75" customHeight="1"/>
    <row r="5726" ht="15.75" customHeight="1"/>
    <row r="5727" ht="15.75" customHeight="1"/>
    <row r="5728" ht="15.75" customHeight="1"/>
    <row r="5729" ht="15.75" customHeight="1"/>
    <row r="5730" ht="15.75" customHeight="1"/>
    <row r="5731" ht="15.75" customHeight="1"/>
    <row r="5732" ht="15.75" customHeight="1"/>
    <row r="5733" ht="15.75" customHeight="1"/>
    <row r="5734" ht="15.75" customHeight="1"/>
    <row r="5735" ht="15.75" customHeight="1"/>
    <row r="5736" ht="15.75" customHeight="1"/>
    <row r="5737" ht="15.75" customHeight="1"/>
    <row r="5738" ht="15.75" customHeight="1"/>
    <row r="5739" ht="15.75" customHeight="1"/>
    <row r="5740" ht="15.75" customHeight="1"/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  <row r="5748" ht="15.75" customHeight="1"/>
    <row r="5749" ht="15.75" customHeight="1"/>
    <row r="5750" ht="15.75" customHeight="1"/>
    <row r="5751" ht="15.75" customHeight="1"/>
    <row r="5752" ht="15.75" customHeight="1"/>
    <row r="5753" ht="15.75" customHeight="1"/>
    <row r="5754" ht="15.75" customHeight="1"/>
    <row r="5755" ht="15.75" customHeight="1"/>
    <row r="5756" ht="15.75" customHeight="1"/>
    <row r="5757" ht="15.75" customHeight="1"/>
    <row r="5758" ht="15.75" customHeight="1"/>
    <row r="5759" ht="15.75" customHeight="1"/>
    <row r="5760" ht="15.75" customHeight="1"/>
    <row r="5761" ht="15.75" customHeight="1"/>
    <row r="5762" ht="15.75" customHeight="1"/>
    <row r="5763" ht="15.75" customHeight="1"/>
    <row r="5764" ht="15.75" customHeight="1"/>
    <row r="5765" ht="15.75" customHeight="1"/>
    <row r="5766" ht="15.75" customHeight="1"/>
    <row r="5767" ht="15.75" customHeight="1"/>
    <row r="5768" ht="15.75" customHeight="1"/>
    <row r="5769" ht="15.75" customHeight="1"/>
    <row r="5770" ht="15.75" customHeight="1"/>
    <row r="5771" ht="15.75" customHeight="1"/>
    <row r="5772" ht="15.75" customHeight="1"/>
    <row r="5773" ht="15.75" customHeight="1"/>
    <row r="5774" ht="15.75" customHeight="1"/>
    <row r="5775" ht="15.75" customHeight="1"/>
    <row r="5776" ht="15.75" customHeight="1"/>
    <row r="5777" ht="15.75" customHeight="1"/>
    <row r="5778" ht="15.75" customHeight="1"/>
    <row r="5779" ht="15.75" customHeight="1"/>
    <row r="5780" ht="15.75" customHeight="1"/>
    <row r="5781" ht="15.75" customHeight="1"/>
    <row r="5782" ht="15.75" customHeight="1"/>
    <row r="5783" ht="15.75" customHeight="1"/>
    <row r="5784" ht="15.75" customHeight="1"/>
    <row r="5785" ht="15.75" customHeight="1"/>
    <row r="5786" ht="15.75" customHeight="1"/>
    <row r="5787" ht="15.75" customHeight="1"/>
    <row r="5788" ht="15.75" customHeight="1"/>
    <row r="5789" ht="15.75" customHeight="1"/>
    <row r="5790" ht="15.75" customHeight="1"/>
    <row r="5791" ht="15.75" customHeight="1"/>
    <row r="5792" ht="15.75" customHeight="1"/>
    <row r="5793" ht="15.75" customHeight="1"/>
    <row r="5794" ht="15.75" customHeight="1"/>
    <row r="5795" ht="15.75" customHeight="1"/>
    <row r="5796" ht="15.75" customHeight="1"/>
    <row r="5797" ht="15.75" customHeight="1"/>
    <row r="5798" ht="15.75" customHeight="1"/>
    <row r="5799" ht="15.75" customHeight="1"/>
    <row r="5800" ht="15.75" customHeight="1"/>
    <row r="5801" ht="15.75" customHeight="1"/>
    <row r="5802" ht="15.75" customHeight="1"/>
    <row r="5803" ht="15.75" customHeight="1"/>
    <row r="5804" ht="15.75" customHeight="1"/>
    <row r="5805" ht="15.75" customHeight="1"/>
    <row r="5806" ht="15.75" customHeight="1"/>
    <row r="5807" ht="15.75" customHeight="1"/>
    <row r="5808" ht="15.75" customHeight="1"/>
    <row r="5809" ht="15.75" customHeight="1"/>
    <row r="5810" ht="15.75" customHeight="1"/>
    <row r="5811" ht="15.75" customHeight="1"/>
    <row r="5812" ht="15.75" customHeight="1"/>
    <row r="5813" ht="15.75" customHeight="1"/>
    <row r="5814" ht="15.75" customHeight="1"/>
    <row r="5815" ht="15.75" customHeight="1"/>
    <row r="5816" ht="15.75" customHeight="1"/>
    <row r="5817" ht="15.75" customHeight="1"/>
    <row r="5818" ht="15.75" customHeight="1"/>
    <row r="5819" ht="15.75" customHeight="1"/>
    <row r="5820" ht="15.75" customHeight="1"/>
    <row r="5821" ht="15.75" customHeight="1"/>
    <row r="5822" ht="15.75" customHeight="1"/>
    <row r="5823" ht="15.75" customHeight="1"/>
    <row r="5824" ht="15.75" customHeight="1"/>
    <row r="5825" ht="15.75" customHeight="1"/>
    <row r="5826" ht="15.75" customHeight="1"/>
    <row r="5827" ht="15.75" customHeight="1"/>
    <row r="5828" ht="15.75" customHeight="1"/>
    <row r="5829" ht="15.75" customHeight="1"/>
    <row r="5830" ht="15.75" customHeight="1"/>
    <row r="5831" ht="15.75" customHeight="1"/>
    <row r="5832" ht="15.75" customHeight="1"/>
    <row r="5833" ht="15.75" customHeight="1"/>
    <row r="5834" ht="15.75" customHeight="1"/>
    <row r="5835" ht="15.75" customHeight="1"/>
    <row r="5836" ht="15.75" customHeight="1"/>
    <row r="5837" ht="15.75" customHeight="1"/>
    <row r="5838" ht="15.75" customHeight="1"/>
    <row r="5839" ht="15.75" customHeight="1"/>
    <row r="5840" ht="15.75" customHeight="1"/>
    <row r="5841" ht="15.75" customHeight="1"/>
    <row r="5842" ht="15.75" customHeight="1"/>
    <row r="5843" ht="15.75" customHeight="1"/>
    <row r="5844" ht="15.75" customHeight="1"/>
    <row r="5845" ht="15.75" customHeight="1"/>
    <row r="5846" ht="15.75" customHeight="1"/>
    <row r="5847" ht="15.75" customHeight="1"/>
    <row r="5848" ht="15.75" customHeight="1"/>
    <row r="5849" ht="15.75" customHeight="1"/>
    <row r="5850" ht="15.75" customHeight="1"/>
    <row r="5851" ht="15.75" customHeight="1"/>
    <row r="5852" ht="15.75" customHeight="1"/>
    <row r="5853" ht="15.75" customHeight="1"/>
    <row r="5854" ht="15.75" customHeight="1"/>
    <row r="5855" ht="15.75" customHeight="1"/>
    <row r="5856" ht="15.75" customHeight="1"/>
    <row r="5857" ht="15.75" customHeight="1"/>
    <row r="5858" ht="15.75" customHeight="1"/>
    <row r="5859" ht="15.75" customHeight="1"/>
    <row r="5860" ht="15.75" customHeight="1"/>
    <row r="5861" ht="15.75" customHeight="1"/>
    <row r="5862" ht="15.75" customHeight="1"/>
    <row r="5863" ht="15.75" customHeight="1"/>
    <row r="5864" ht="15.75" customHeight="1"/>
    <row r="5865" ht="15.75" customHeight="1"/>
    <row r="5866" ht="15.75" customHeight="1"/>
    <row r="5867" ht="15.75" customHeight="1"/>
    <row r="5868" ht="15.75" customHeight="1"/>
    <row r="5869" ht="15.75" customHeight="1"/>
    <row r="5870" ht="15.75" customHeight="1"/>
    <row r="5871" ht="15.75" customHeight="1"/>
    <row r="5872" ht="15.75" customHeight="1"/>
    <row r="5873" ht="15.75" customHeight="1"/>
    <row r="5874" ht="15.75" customHeight="1"/>
    <row r="5875" ht="15.75" customHeight="1"/>
    <row r="5876" ht="15.75" customHeight="1"/>
    <row r="5877" ht="15.75" customHeight="1"/>
    <row r="5878" ht="15.75" customHeight="1"/>
    <row r="5879" ht="15.75" customHeight="1"/>
    <row r="5880" ht="15.75" customHeight="1"/>
    <row r="5881" ht="15.75" customHeight="1"/>
    <row r="5882" ht="15.75" customHeight="1"/>
    <row r="5883" ht="15.75" customHeight="1"/>
    <row r="5884" ht="15.75" customHeight="1"/>
    <row r="5885" ht="15.75" customHeight="1"/>
    <row r="5886" ht="15.75" customHeight="1"/>
    <row r="5887" ht="15.75" customHeight="1"/>
    <row r="5888" ht="15.75" customHeight="1"/>
    <row r="5889" ht="15.75" customHeight="1"/>
    <row r="5890" ht="15.75" customHeight="1"/>
    <row r="5891" ht="15.75" customHeight="1"/>
    <row r="5892" ht="15.75" customHeight="1"/>
    <row r="5893" ht="15.75" customHeight="1"/>
    <row r="5894" ht="15.75" customHeight="1"/>
    <row r="5895" ht="15.75" customHeight="1"/>
    <row r="5896" ht="15.75" customHeight="1"/>
    <row r="5897" ht="15.75" customHeight="1"/>
    <row r="5898" ht="15.75" customHeight="1"/>
    <row r="5899" ht="15.75" customHeight="1"/>
    <row r="5900" ht="15.75" customHeight="1"/>
    <row r="5901" ht="15.75" customHeight="1"/>
    <row r="5902" ht="15.75" customHeight="1"/>
    <row r="5903" ht="15.75" customHeight="1"/>
    <row r="5904" ht="15.75" customHeight="1"/>
    <row r="5905" ht="15.75" customHeight="1"/>
    <row r="5906" ht="15.75" customHeight="1"/>
    <row r="5907" ht="15.75" customHeight="1"/>
    <row r="5908" ht="15.75" customHeight="1"/>
    <row r="5909" ht="15.75" customHeight="1"/>
    <row r="5910" ht="15.75" customHeight="1"/>
    <row r="5911" ht="15.75" customHeight="1"/>
    <row r="5912" ht="15.75" customHeight="1"/>
    <row r="5913" ht="15.75" customHeight="1"/>
    <row r="5914" ht="15.75" customHeight="1"/>
    <row r="5915" ht="15.75" customHeight="1"/>
    <row r="5916" ht="15.75" customHeight="1"/>
    <row r="5917" ht="15.75" customHeight="1"/>
    <row r="5918" ht="15.75" customHeight="1"/>
    <row r="5919" ht="15.75" customHeight="1"/>
    <row r="5920" ht="15.75" customHeight="1"/>
    <row r="5921" ht="15.75" customHeight="1"/>
    <row r="5922" ht="15.75" customHeight="1"/>
    <row r="5923" ht="15.75" customHeight="1"/>
    <row r="5924" ht="15.75" customHeight="1"/>
    <row r="5925" ht="15.75" customHeight="1"/>
    <row r="5926" ht="15.75" customHeight="1"/>
    <row r="5927" ht="15.75" customHeight="1"/>
    <row r="5928" ht="15.75" customHeight="1"/>
    <row r="5929" ht="15.75" customHeight="1"/>
    <row r="5930" ht="15.75" customHeight="1"/>
    <row r="5931" ht="15.75" customHeight="1"/>
    <row r="5932" ht="15.75" customHeight="1"/>
    <row r="5933" ht="15.75" customHeight="1"/>
    <row r="5934" ht="15.75" customHeight="1"/>
    <row r="5935" ht="15.75" customHeight="1"/>
    <row r="5936" ht="15.75" customHeight="1"/>
    <row r="5937" ht="15.75" customHeight="1"/>
    <row r="5938" ht="15.75" customHeight="1"/>
    <row r="5939" ht="15.75" customHeight="1"/>
    <row r="5940" ht="15.75" customHeight="1"/>
    <row r="5941" ht="15.75" customHeight="1"/>
    <row r="5942" ht="15.75" customHeight="1"/>
    <row r="5943" ht="15.75" customHeight="1"/>
    <row r="5944" ht="15.75" customHeight="1"/>
    <row r="5945" ht="15.75" customHeight="1"/>
    <row r="5946" ht="15.75" customHeight="1"/>
    <row r="5947" ht="15.75" customHeight="1"/>
    <row r="5948" ht="15.75" customHeight="1"/>
    <row r="5949" ht="15.75" customHeight="1"/>
    <row r="5950" ht="15.75" customHeight="1"/>
    <row r="5951" ht="15.75" customHeight="1"/>
    <row r="5952" ht="15.75" customHeight="1"/>
    <row r="5953" ht="15.75" customHeight="1"/>
    <row r="5954" ht="15.75" customHeight="1"/>
    <row r="5955" ht="15.75" customHeight="1"/>
    <row r="5956" ht="15.75" customHeight="1"/>
    <row r="5957" ht="15.75" customHeight="1"/>
    <row r="5958" ht="15.75" customHeight="1"/>
    <row r="5959" ht="15.75" customHeight="1"/>
    <row r="5960" ht="15.75" customHeight="1"/>
    <row r="5961" ht="15.75" customHeight="1"/>
    <row r="5962" ht="15.75" customHeight="1"/>
    <row r="5963" ht="15.75" customHeight="1"/>
    <row r="5964" ht="15.75" customHeight="1"/>
    <row r="5965" ht="15.75" customHeight="1"/>
    <row r="5966" ht="15.75" customHeight="1"/>
    <row r="5967" ht="15.75" customHeight="1"/>
    <row r="5968" ht="15.75" customHeight="1"/>
    <row r="5969" ht="15.75" customHeight="1"/>
    <row r="5970" ht="15.75" customHeight="1"/>
    <row r="5971" ht="15.75" customHeight="1"/>
    <row r="5972" ht="15.75" customHeight="1"/>
    <row r="5973" ht="15.75" customHeight="1"/>
    <row r="5974" ht="15.75" customHeight="1"/>
    <row r="5975" ht="15.75" customHeight="1"/>
    <row r="5976" ht="15.75" customHeight="1"/>
    <row r="5977" ht="15.75" customHeight="1"/>
    <row r="5978" ht="15.75" customHeight="1"/>
    <row r="5979" ht="15.75" customHeight="1"/>
    <row r="5980" ht="15.75" customHeight="1"/>
    <row r="5981" ht="15.75" customHeight="1"/>
    <row r="5982" ht="15.75" customHeight="1"/>
    <row r="5983" ht="15.75" customHeight="1"/>
    <row r="5984" ht="15.75" customHeight="1"/>
    <row r="5985" ht="15.75" customHeight="1"/>
    <row r="5986" ht="15.75" customHeight="1"/>
    <row r="5987" ht="15.75" customHeight="1"/>
    <row r="5988" ht="15.75" customHeight="1"/>
    <row r="5989" ht="15.75" customHeight="1"/>
    <row r="5990" ht="15.75" customHeight="1"/>
    <row r="5991" ht="15.75" customHeight="1"/>
    <row r="5992" ht="15.75" customHeight="1"/>
    <row r="5993" ht="15.75" customHeight="1"/>
    <row r="5994" ht="15.75" customHeight="1"/>
    <row r="5995" ht="15.75" customHeight="1"/>
    <row r="5996" ht="15.75" customHeight="1"/>
    <row r="5997" ht="15.75" customHeight="1"/>
    <row r="5998" ht="15.75" customHeight="1"/>
    <row r="5999" ht="15.75" customHeight="1"/>
    <row r="6000" ht="15.75" customHeight="1"/>
    <row r="6001" ht="15.75" customHeight="1"/>
    <row r="6002" ht="15.75" customHeight="1"/>
    <row r="6003" ht="15.75" customHeight="1"/>
    <row r="6004" ht="15.75" customHeight="1"/>
    <row r="6005" ht="15.75" customHeight="1"/>
    <row r="6006" ht="15.75" customHeight="1"/>
    <row r="6007" ht="15.75" customHeight="1"/>
    <row r="6008" ht="15.75" customHeight="1"/>
    <row r="6009" ht="15.75" customHeight="1"/>
    <row r="6010" ht="15.75" customHeight="1"/>
    <row r="6011" ht="15.75" customHeight="1"/>
    <row r="6012" ht="15.75" customHeight="1"/>
    <row r="6013" ht="15.75" customHeight="1"/>
    <row r="6014" ht="15.75" customHeight="1"/>
    <row r="6015" ht="15.75" customHeight="1"/>
    <row r="6016" ht="15.75" customHeight="1"/>
    <row r="6017" ht="15.75" customHeight="1"/>
    <row r="6018" ht="15.75" customHeight="1"/>
    <row r="6019" ht="15.75" customHeight="1"/>
    <row r="6020" ht="15.75" customHeight="1"/>
    <row r="6021" ht="15.75" customHeight="1"/>
    <row r="6022" ht="15.75" customHeight="1"/>
    <row r="6023" ht="15.75" customHeight="1"/>
    <row r="6024" ht="15.75" customHeight="1"/>
    <row r="6025" ht="15.75" customHeight="1"/>
    <row r="6026" ht="15.75" customHeight="1"/>
    <row r="6027" ht="15.75" customHeight="1"/>
    <row r="6028" ht="15.75" customHeight="1"/>
    <row r="6029" ht="15.75" customHeight="1"/>
    <row r="6030" ht="15.75" customHeight="1"/>
    <row r="6031" ht="15.75" customHeight="1"/>
    <row r="6032" ht="15.75" customHeight="1"/>
    <row r="6033" ht="15.75" customHeight="1"/>
    <row r="6034" ht="15.75" customHeight="1"/>
    <row r="6035" ht="15.75" customHeight="1"/>
    <row r="6036" ht="15.75" customHeight="1"/>
    <row r="6037" ht="15.75" customHeight="1"/>
    <row r="6038" ht="15.75" customHeight="1"/>
    <row r="6039" ht="15.75" customHeight="1"/>
    <row r="6040" ht="15.75" customHeight="1"/>
    <row r="6041" ht="15.75" customHeight="1"/>
    <row r="6042" ht="15.75" customHeight="1"/>
    <row r="6043" ht="15.75" customHeight="1"/>
    <row r="6044" ht="15.75" customHeight="1"/>
    <row r="6045" ht="15.75" customHeight="1"/>
    <row r="6046" ht="15.75" customHeight="1"/>
    <row r="6047" ht="15.75" customHeight="1"/>
    <row r="6048" ht="15.75" customHeight="1"/>
    <row r="6049" ht="15.75" customHeight="1"/>
    <row r="6050" ht="15.75" customHeight="1"/>
    <row r="6051" ht="15.75" customHeight="1"/>
    <row r="6052" ht="15.75" customHeight="1"/>
    <row r="6053" ht="15.75" customHeight="1"/>
    <row r="6054" ht="15.75" customHeight="1"/>
    <row r="6055" ht="15.75" customHeight="1"/>
    <row r="6056" ht="15.75" customHeight="1"/>
    <row r="6057" ht="15.75" customHeight="1"/>
    <row r="6058" ht="15.75" customHeight="1"/>
    <row r="6059" ht="15.75" customHeight="1"/>
    <row r="6060" ht="15.75" customHeight="1"/>
    <row r="6061" ht="15.75" customHeight="1"/>
    <row r="6062" ht="15.75" customHeight="1"/>
    <row r="6063" ht="15.75" customHeight="1"/>
    <row r="6064" ht="15.75" customHeight="1"/>
    <row r="6065" ht="15.75" customHeight="1"/>
    <row r="6066" ht="15.75" customHeight="1"/>
    <row r="6067" ht="15.75" customHeight="1"/>
    <row r="6068" ht="15.75" customHeight="1"/>
    <row r="6069" ht="15.75" customHeight="1"/>
    <row r="6070" ht="15.75" customHeight="1"/>
    <row r="6071" ht="15.75" customHeight="1"/>
    <row r="6072" ht="15.75" customHeight="1"/>
    <row r="6073" ht="15.75" customHeight="1"/>
    <row r="6074" ht="15.75" customHeight="1"/>
    <row r="6075" ht="15.75" customHeight="1"/>
    <row r="6076" ht="15.75" customHeight="1"/>
    <row r="6077" ht="15.75" customHeight="1"/>
    <row r="6078" ht="15.75" customHeight="1"/>
    <row r="6079" ht="15.75" customHeight="1"/>
    <row r="6080" ht="15.75" customHeight="1"/>
    <row r="6081" ht="15.75" customHeight="1"/>
    <row r="6082" ht="15.75" customHeight="1"/>
    <row r="6083" ht="15.75" customHeight="1"/>
    <row r="6084" ht="15.75" customHeight="1"/>
    <row r="6085" ht="15.75" customHeight="1"/>
    <row r="6086" ht="15.75" customHeight="1"/>
    <row r="6087" ht="15.75" customHeight="1"/>
    <row r="6088" ht="15.75" customHeight="1"/>
    <row r="6089" ht="15.75" customHeight="1"/>
    <row r="6090" ht="15.75" customHeight="1"/>
    <row r="6091" ht="15.75" customHeight="1"/>
    <row r="6092" ht="15.75" customHeight="1"/>
    <row r="6093" ht="15.75" customHeight="1"/>
    <row r="6094" ht="15.75" customHeight="1"/>
    <row r="6095" ht="15.75" customHeight="1"/>
    <row r="6096" ht="15.75" customHeight="1"/>
    <row r="6097" ht="15.75" customHeight="1"/>
    <row r="6098" ht="15.75" customHeight="1"/>
    <row r="6099" ht="15.75" customHeight="1"/>
    <row r="6100" ht="15.75" customHeight="1"/>
    <row r="6101" ht="15.75" customHeight="1"/>
    <row r="6102" ht="15.75" customHeight="1"/>
    <row r="6103" ht="15.75" customHeight="1"/>
    <row r="6104" ht="15.75" customHeight="1"/>
    <row r="6105" ht="15.75" customHeight="1"/>
    <row r="6106" ht="15.75" customHeight="1"/>
    <row r="6107" ht="15.75" customHeight="1"/>
    <row r="6108" ht="15.75" customHeight="1"/>
    <row r="6109" ht="15.75" customHeight="1"/>
    <row r="6110" ht="15.75" customHeight="1"/>
    <row r="6111" ht="15.75" customHeight="1"/>
    <row r="6112" ht="15.75" customHeight="1"/>
    <row r="6113" ht="15.75" customHeight="1"/>
    <row r="6114" ht="15.75" customHeight="1"/>
    <row r="6115" ht="15.75" customHeight="1"/>
    <row r="6116" ht="15.75" customHeight="1"/>
    <row r="6117" ht="15.75" customHeight="1"/>
    <row r="6118" ht="15.75" customHeight="1"/>
    <row r="6119" ht="15.75" customHeight="1"/>
    <row r="6120" ht="15.75" customHeight="1"/>
    <row r="6121" ht="15.75" customHeight="1"/>
    <row r="6122" ht="15.75" customHeight="1"/>
    <row r="6123" ht="15.75" customHeight="1"/>
    <row r="6124" ht="15.75" customHeight="1"/>
    <row r="6125" ht="15.75" customHeight="1"/>
    <row r="6126" ht="15.75" customHeight="1"/>
    <row r="6127" ht="15.75" customHeight="1"/>
    <row r="6128" ht="15.75" customHeight="1"/>
    <row r="6129" ht="15.75" customHeight="1"/>
    <row r="6130" ht="15.75" customHeight="1"/>
    <row r="6131" ht="15.75" customHeight="1"/>
    <row r="6132" ht="15.75" customHeight="1"/>
    <row r="6133" ht="15.75" customHeight="1"/>
    <row r="6134" ht="15.75" customHeight="1"/>
    <row r="6135" ht="15.75" customHeight="1"/>
    <row r="6136" ht="15.75" customHeight="1"/>
    <row r="6137" ht="15.75" customHeight="1"/>
    <row r="6138" ht="15.75" customHeight="1"/>
    <row r="6139" ht="15.75" customHeight="1"/>
    <row r="6140" ht="15.75" customHeight="1"/>
    <row r="6141" ht="15.75" customHeight="1"/>
    <row r="6142" ht="15.75" customHeight="1"/>
    <row r="6143" ht="15.75" customHeight="1"/>
    <row r="6144" ht="15.75" customHeight="1"/>
    <row r="6145" ht="15.75" customHeight="1"/>
    <row r="6146" ht="15.75" customHeight="1"/>
    <row r="6147" ht="15.75" customHeight="1"/>
    <row r="6148" ht="15.75" customHeight="1"/>
    <row r="6149" ht="15.75" customHeight="1"/>
    <row r="6150" ht="15.75" customHeight="1"/>
    <row r="6151" ht="15.75" customHeight="1"/>
    <row r="6152" ht="15.75" customHeight="1"/>
    <row r="6153" ht="15.75" customHeight="1"/>
    <row r="6154" ht="15.75" customHeight="1"/>
    <row r="6155" ht="15.75" customHeight="1"/>
    <row r="6156" ht="15.75" customHeight="1"/>
    <row r="6157" ht="15.75" customHeight="1"/>
    <row r="6158" ht="15.75" customHeight="1"/>
    <row r="6159" ht="15.75" customHeight="1"/>
    <row r="6160" ht="15.75" customHeight="1"/>
    <row r="6161" ht="15.75" customHeight="1"/>
    <row r="6162" ht="15.75" customHeight="1"/>
    <row r="6163" ht="15.75" customHeight="1"/>
    <row r="6164" ht="15.75" customHeight="1"/>
    <row r="6165" ht="15.75" customHeight="1"/>
    <row r="6166" ht="15.75" customHeight="1"/>
    <row r="6167" ht="15.75" customHeight="1"/>
    <row r="6168" ht="15.75" customHeight="1"/>
    <row r="6169" ht="15.75" customHeight="1"/>
    <row r="6170" ht="15.75" customHeight="1"/>
    <row r="6171" ht="15.75" customHeight="1"/>
    <row r="6172" ht="15.75" customHeight="1"/>
    <row r="6173" ht="15.75" customHeight="1"/>
    <row r="6174" ht="15.75" customHeight="1"/>
    <row r="6175" ht="15.75" customHeight="1"/>
    <row r="6176" ht="15.75" customHeight="1"/>
    <row r="6177" ht="15.75" customHeight="1"/>
    <row r="6178" ht="15.75" customHeight="1"/>
    <row r="6179" ht="15.75" customHeight="1"/>
    <row r="6180" ht="15.75" customHeight="1"/>
    <row r="6181" ht="15.75" customHeight="1"/>
    <row r="6182" ht="15.75" customHeight="1"/>
    <row r="6183" ht="15.75" customHeight="1"/>
    <row r="6184" ht="15.75" customHeight="1"/>
    <row r="6185" ht="15.75" customHeight="1"/>
    <row r="6186" ht="15.75" customHeight="1"/>
    <row r="6187" ht="15.75" customHeight="1"/>
    <row r="6188" ht="15.75" customHeight="1"/>
    <row r="6189" ht="15.75" customHeight="1"/>
    <row r="6190" ht="15.75" customHeight="1"/>
    <row r="6191" ht="15.75" customHeight="1"/>
    <row r="6192" ht="15.75" customHeight="1"/>
    <row r="6193" ht="15.75" customHeight="1"/>
    <row r="6194" ht="15.75" customHeight="1"/>
    <row r="6195" ht="15.75" customHeight="1"/>
    <row r="6196" ht="15.75" customHeight="1"/>
    <row r="6197" ht="15.75" customHeight="1"/>
    <row r="6198" ht="15.75" customHeight="1"/>
    <row r="6199" ht="15.75" customHeight="1"/>
    <row r="6200" ht="15.75" customHeight="1"/>
    <row r="6201" ht="15.75" customHeight="1"/>
    <row r="6202" ht="15.75" customHeight="1"/>
    <row r="6203" ht="15.75" customHeight="1"/>
    <row r="6204" ht="15.75" customHeight="1"/>
    <row r="6205" ht="15.75" customHeight="1"/>
    <row r="6206" ht="15.75" customHeight="1"/>
    <row r="6207" ht="15.75" customHeight="1"/>
    <row r="6208" ht="15.75" customHeight="1"/>
    <row r="6209" ht="15.75" customHeight="1"/>
    <row r="6210" ht="15.75" customHeight="1"/>
    <row r="6211" ht="15.75" customHeight="1"/>
    <row r="6212" ht="15.75" customHeight="1"/>
    <row r="6213" ht="15.75" customHeight="1"/>
    <row r="6214" ht="15.75" customHeight="1"/>
    <row r="6215" ht="15.75" customHeight="1"/>
    <row r="6216" ht="15.75" customHeight="1"/>
    <row r="6217" ht="15.75" customHeight="1"/>
    <row r="6218" ht="15.75" customHeight="1"/>
    <row r="6219" ht="15.75" customHeight="1"/>
    <row r="6220" ht="15.75" customHeight="1"/>
    <row r="6221" ht="15.75" customHeight="1"/>
    <row r="6222" ht="15.75" customHeight="1"/>
    <row r="6223" ht="15.75" customHeight="1"/>
    <row r="6224" ht="15.75" customHeight="1"/>
    <row r="6225" ht="15.75" customHeight="1"/>
    <row r="6226" ht="15.75" customHeight="1"/>
    <row r="6227" ht="15.75" customHeight="1"/>
    <row r="6228" ht="15.75" customHeight="1"/>
    <row r="6229" ht="15.75" customHeight="1"/>
    <row r="6230" ht="15.75" customHeight="1"/>
    <row r="6231" ht="15.75" customHeight="1"/>
    <row r="6232" ht="15.75" customHeight="1"/>
    <row r="6233" ht="15.75" customHeight="1"/>
    <row r="6234" ht="15.75" customHeight="1"/>
    <row r="6235" ht="15.75" customHeight="1"/>
    <row r="6236" ht="15.75" customHeight="1"/>
    <row r="6237" ht="15.75" customHeight="1"/>
    <row r="6238" ht="15.75" customHeight="1"/>
    <row r="6239" ht="15.75" customHeight="1"/>
    <row r="6240" ht="15.75" customHeight="1"/>
    <row r="6241" ht="15.75" customHeight="1"/>
    <row r="6242" ht="15.75" customHeight="1"/>
    <row r="6243" ht="15.75" customHeight="1"/>
    <row r="6244" ht="15.75" customHeight="1"/>
    <row r="6245" ht="15.75" customHeight="1"/>
    <row r="6246" ht="15.75" customHeight="1"/>
    <row r="6247" ht="15.75" customHeight="1"/>
    <row r="6248" ht="15.75" customHeight="1"/>
    <row r="6249" ht="15.75" customHeight="1"/>
    <row r="6250" ht="15.75" customHeight="1"/>
    <row r="6251" ht="15.75" customHeight="1"/>
    <row r="6252" ht="15.75" customHeight="1"/>
    <row r="6253" ht="15.75" customHeight="1"/>
    <row r="6254" ht="15.75" customHeight="1"/>
    <row r="6255" ht="15.75" customHeight="1"/>
    <row r="6256" ht="15.75" customHeight="1"/>
    <row r="6257" ht="15.75" customHeight="1"/>
    <row r="6258" ht="15.75" customHeight="1"/>
    <row r="6259" ht="15.75" customHeight="1"/>
    <row r="6260" ht="15.75" customHeight="1"/>
    <row r="6261" ht="15.75" customHeight="1"/>
    <row r="6262" ht="15.75" customHeight="1"/>
    <row r="6263" ht="15.75" customHeight="1"/>
    <row r="6264" ht="15.75" customHeight="1"/>
    <row r="6265" ht="15.75" customHeight="1"/>
    <row r="6266" ht="15.75" customHeight="1"/>
    <row r="6267" ht="15.75" customHeight="1"/>
    <row r="6268" ht="15.75" customHeight="1"/>
    <row r="6269" ht="15.75" customHeight="1"/>
    <row r="6270" ht="15.75" customHeight="1"/>
    <row r="6271" ht="15.75" customHeight="1"/>
    <row r="6272" ht="15.75" customHeight="1"/>
    <row r="6273" ht="15.75" customHeight="1"/>
    <row r="6274" ht="15.75" customHeight="1"/>
    <row r="6275" ht="15.75" customHeight="1"/>
    <row r="6276" ht="15.75" customHeight="1"/>
    <row r="6277" ht="15.75" customHeight="1"/>
    <row r="6278" ht="15.75" customHeight="1"/>
    <row r="6279" ht="15.75" customHeight="1"/>
    <row r="6280" ht="15.75" customHeight="1"/>
    <row r="6281" ht="15.75" customHeight="1"/>
    <row r="6282" ht="15.75" customHeight="1"/>
    <row r="6283" ht="15.75" customHeight="1"/>
    <row r="6284" ht="15.75" customHeight="1"/>
    <row r="6285" ht="15.75" customHeight="1"/>
    <row r="6286" ht="15.75" customHeight="1"/>
    <row r="6287" ht="15.75" customHeight="1"/>
    <row r="6288" ht="15.75" customHeight="1"/>
    <row r="6289" ht="15.75" customHeight="1"/>
    <row r="6290" ht="15.75" customHeight="1"/>
    <row r="6291" ht="15.75" customHeight="1"/>
    <row r="6292" ht="15.75" customHeight="1"/>
    <row r="6293" ht="15.75" customHeight="1"/>
    <row r="6294" ht="15.75" customHeight="1"/>
    <row r="6295" ht="15.75" customHeight="1"/>
    <row r="6296" ht="15.75" customHeight="1"/>
    <row r="6297" ht="15.75" customHeight="1"/>
    <row r="6298" ht="15.75" customHeight="1"/>
    <row r="6299" ht="15.75" customHeight="1"/>
    <row r="6300" ht="15.75" customHeight="1"/>
    <row r="6301" ht="15.75" customHeight="1"/>
    <row r="6302" ht="15.75" customHeight="1"/>
    <row r="6303" ht="15.75" customHeight="1"/>
    <row r="6304" ht="15.75" customHeight="1"/>
    <row r="6305" ht="15.75" customHeight="1"/>
    <row r="6306" ht="15.75" customHeight="1"/>
    <row r="6307" ht="15.75" customHeight="1"/>
    <row r="6308" ht="15.75" customHeight="1"/>
    <row r="6309" ht="15.75" customHeight="1"/>
    <row r="6310" ht="15.75" customHeight="1"/>
    <row r="6311" ht="15.75" customHeight="1"/>
    <row r="6312" ht="15.75" customHeight="1"/>
    <row r="6313" ht="15.75" customHeight="1"/>
    <row r="6314" ht="15.75" customHeight="1"/>
    <row r="6315" ht="15.75" customHeight="1"/>
    <row r="6316" ht="15.75" customHeight="1"/>
    <row r="6317" ht="15.75" customHeight="1"/>
    <row r="6318" ht="15.75" customHeight="1"/>
    <row r="6319" ht="15.75" customHeight="1"/>
    <row r="6320" ht="15.75" customHeight="1"/>
    <row r="6321" ht="15.75" customHeight="1"/>
    <row r="6322" ht="15.75" customHeight="1"/>
    <row r="6323" ht="15.75" customHeight="1"/>
    <row r="6324" ht="15.75" customHeight="1"/>
    <row r="6325" ht="15.75" customHeight="1"/>
    <row r="6326" ht="15.75" customHeight="1"/>
    <row r="6327" ht="15.75" customHeight="1"/>
    <row r="6328" ht="15.75" customHeight="1"/>
    <row r="6329" ht="15.75" customHeight="1"/>
    <row r="6330" ht="15.75" customHeight="1"/>
    <row r="6331" ht="15.75" customHeight="1"/>
    <row r="6332" ht="15.75" customHeight="1"/>
    <row r="6333" ht="15.75" customHeight="1"/>
    <row r="6334" ht="15.75" customHeight="1"/>
    <row r="6335" ht="15.75" customHeight="1"/>
    <row r="6336" ht="15.75" customHeight="1"/>
    <row r="6337" ht="15.75" customHeight="1"/>
    <row r="6338" ht="15.75" customHeight="1"/>
    <row r="6339" ht="15.75" customHeight="1"/>
    <row r="6340" ht="15.75" customHeight="1"/>
    <row r="6341" ht="15.75" customHeight="1"/>
    <row r="6342" ht="15.75" customHeight="1"/>
    <row r="6343" ht="15.75" customHeight="1"/>
    <row r="6344" ht="15.75" customHeight="1"/>
    <row r="6345" ht="15.75" customHeight="1"/>
    <row r="6346" ht="15.75" customHeight="1"/>
    <row r="6347" ht="15.75" customHeight="1"/>
    <row r="6348" ht="15.75" customHeight="1"/>
    <row r="6349" ht="15.75" customHeight="1"/>
    <row r="6350" ht="15.75" customHeight="1"/>
    <row r="6351" ht="15.75" customHeight="1"/>
    <row r="6352" ht="15.75" customHeight="1"/>
    <row r="6353" ht="15.75" customHeight="1"/>
    <row r="6354" ht="15.75" customHeight="1"/>
    <row r="6355" ht="15.75" customHeight="1"/>
    <row r="6356" ht="15.75" customHeight="1"/>
    <row r="6357" ht="15.75" customHeight="1"/>
    <row r="6358" ht="15.75" customHeight="1"/>
    <row r="6359" ht="15.75" customHeight="1"/>
    <row r="6360" ht="15.75" customHeight="1"/>
    <row r="6361" ht="15.75" customHeight="1"/>
    <row r="6362" ht="15.75" customHeight="1"/>
    <row r="6363" ht="15.75" customHeight="1"/>
    <row r="6364" ht="15.75" customHeight="1"/>
    <row r="6365" ht="15.75" customHeight="1"/>
    <row r="6366" ht="15.75" customHeight="1"/>
    <row r="6367" ht="15.75" customHeight="1"/>
    <row r="6368" ht="15.75" customHeight="1"/>
    <row r="6369" ht="15.75" customHeight="1"/>
    <row r="6370" ht="15.75" customHeight="1"/>
    <row r="6371" ht="15.75" customHeight="1"/>
    <row r="6372" ht="15.75" customHeight="1"/>
    <row r="6373" ht="15.75" customHeight="1"/>
    <row r="6374" ht="15.75" customHeight="1"/>
    <row r="6375" ht="15.75" customHeight="1"/>
    <row r="6376" ht="15.75" customHeight="1"/>
    <row r="6377" ht="15.75" customHeight="1"/>
    <row r="6378" ht="15.75" customHeight="1"/>
    <row r="6379" ht="15.75" customHeight="1"/>
    <row r="6380" ht="15.75" customHeight="1"/>
    <row r="6381" ht="15.75" customHeight="1"/>
    <row r="6382" ht="15.75" customHeight="1"/>
    <row r="6383" ht="15.75" customHeight="1"/>
    <row r="6384" ht="15.75" customHeight="1"/>
    <row r="6385" ht="15.75" customHeight="1"/>
    <row r="6386" ht="15.75" customHeight="1"/>
    <row r="6387" ht="15.75" customHeight="1"/>
    <row r="6388" ht="15.75" customHeight="1"/>
    <row r="6389" ht="15.75" customHeight="1"/>
    <row r="6390" ht="15.75" customHeight="1"/>
    <row r="6391" ht="15.75" customHeight="1"/>
    <row r="6392" ht="15.75" customHeight="1"/>
    <row r="6393" ht="15.75" customHeight="1"/>
    <row r="6394" ht="15.75" customHeight="1"/>
    <row r="6395" ht="15.75" customHeight="1"/>
    <row r="6396" ht="15.75" customHeight="1"/>
    <row r="6397" ht="15.75" customHeight="1"/>
    <row r="6398" ht="15.75" customHeight="1"/>
    <row r="6399" ht="15.75" customHeight="1"/>
    <row r="6400" ht="15.75" customHeight="1"/>
    <row r="6401" ht="15.75" customHeight="1"/>
    <row r="6402" ht="15.75" customHeight="1"/>
    <row r="6403" ht="15.75" customHeight="1"/>
    <row r="6404" ht="15.75" customHeight="1"/>
    <row r="6405" ht="15.75" customHeight="1"/>
    <row r="6406" ht="15.75" customHeight="1"/>
    <row r="6407" ht="15.75" customHeight="1"/>
    <row r="6408" ht="15.75" customHeight="1"/>
    <row r="6409" ht="15.75" customHeight="1"/>
    <row r="6410" ht="15.75" customHeight="1"/>
    <row r="6411" ht="15.75" customHeight="1"/>
    <row r="6412" ht="15.75" customHeight="1"/>
    <row r="6413" ht="15.75" customHeight="1"/>
    <row r="6414" ht="15.75" customHeight="1"/>
    <row r="6415" ht="15.75" customHeight="1"/>
    <row r="6416" ht="15.75" customHeight="1"/>
    <row r="6417" ht="15.75" customHeight="1"/>
    <row r="6418" ht="15.75" customHeight="1"/>
    <row r="6419" ht="15.75" customHeight="1"/>
    <row r="6420" ht="15.75" customHeight="1"/>
    <row r="6421" ht="15.75" customHeight="1"/>
    <row r="6422" ht="15.75" customHeight="1"/>
    <row r="6423" ht="15.75" customHeight="1"/>
    <row r="6424" ht="15.75" customHeight="1"/>
    <row r="6425" ht="15.75" customHeight="1"/>
    <row r="6426" ht="15.75" customHeight="1"/>
    <row r="6427" ht="15.75" customHeight="1"/>
    <row r="6428" ht="15.75" customHeight="1"/>
    <row r="6429" ht="15.75" customHeight="1"/>
    <row r="6430" ht="15.75" customHeight="1"/>
    <row r="6431" ht="15.75" customHeight="1"/>
    <row r="6432" ht="15.75" customHeight="1"/>
    <row r="6433" ht="15.75" customHeight="1"/>
    <row r="6434" ht="15.75" customHeight="1"/>
    <row r="6435" ht="15.75" customHeight="1"/>
    <row r="6436" ht="15.75" customHeight="1"/>
    <row r="6437" ht="15.75" customHeight="1"/>
    <row r="6438" ht="15.75" customHeight="1"/>
    <row r="6439" ht="15.75" customHeight="1"/>
    <row r="6440" ht="15.75" customHeight="1"/>
    <row r="6441" ht="15.75" customHeight="1"/>
    <row r="6442" ht="15.75" customHeight="1"/>
    <row r="6443" ht="15.75" customHeight="1"/>
    <row r="6444" ht="15.75" customHeight="1"/>
    <row r="6445" ht="15.75" customHeight="1"/>
    <row r="6446" ht="15.75" customHeight="1"/>
    <row r="6447" ht="15.75" customHeight="1"/>
    <row r="6448" ht="15.75" customHeight="1"/>
    <row r="6449" ht="15.75" customHeight="1"/>
    <row r="6450" ht="15.75" customHeight="1"/>
    <row r="6451" ht="15.75" customHeight="1"/>
    <row r="6452" ht="15.75" customHeight="1"/>
    <row r="6453" ht="15.75" customHeight="1"/>
    <row r="6454" ht="15.75" customHeight="1"/>
    <row r="6455" ht="15.75" customHeight="1"/>
    <row r="6456" ht="15.75" customHeight="1"/>
    <row r="6457" ht="15.75" customHeight="1"/>
    <row r="6458" ht="15.75" customHeight="1"/>
    <row r="6459" ht="15.75" customHeight="1"/>
    <row r="6460" ht="15.75" customHeight="1"/>
    <row r="6461" ht="15.75" customHeight="1"/>
    <row r="6462" ht="15.75" customHeight="1"/>
    <row r="6463" ht="15.75" customHeight="1"/>
    <row r="6464" ht="15.75" customHeight="1"/>
    <row r="6465" ht="15.75" customHeight="1"/>
    <row r="6466" ht="15.75" customHeight="1"/>
    <row r="6467" ht="15.75" customHeight="1"/>
    <row r="6468" ht="15.75" customHeight="1"/>
    <row r="6469" ht="15.75" customHeight="1"/>
    <row r="6470" ht="15.75" customHeight="1"/>
    <row r="6471" ht="15.75" customHeight="1"/>
    <row r="6472" ht="15.75" customHeight="1"/>
    <row r="6473" ht="15.75" customHeight="1"/>
    <row r="6474" ht="15.75" customHeight="1"/>
    <row r="6475" ht="15.75" customHeight="1"/>
    <row r="6476" ht="15.75" customHeight="1"/>
    <row r="6477" ht="15.75" customHeight="1"/>
    <row r="6478" ht="15.75" customHeight="1"/>
    <row r="6479" ht="15.75" customHeight="1"/>
    <row r="6480" ht="15.75" customHeight="1"/>
    <row r="6481" ht="15.75" customHeight="1"/>
    <row r="6482" ht="15.75" customHeight="1"/>
    <row r="6483" ht="15.75" customHeight="1"/>
    <row r="6484" ht="15.75" customHeight="1"/>
    <row r="6485" ht="15.75" customHeight="1"/>
    <row r="6486" ht="15.75" customHeight="1"/>
    <row r="6487" ht="15.75" customHeight="1"/>
    <row r="6488" ht="15.75" customHeight="1"/>
    <row r="6489" ht="15.75" customHeight="1"/>
    <row r="6490" ht="15.75" customHeight="1"/>
    <row r="6491" ht="15.75" customHeight="1"/>
    <row r="6492" ht="15.75" customHeight="1"/>
    <row r="6493" ht="15.75" customHeight="1"/>
    <row r="6494" ht="15.75" customHeight="1"/>
    <row r="6495" ht="15.75" customHeight="1"/>
    <row r="6496" ht="15.75" customHeight="1"/>
    <row r="6497" ht="15.75" customHeight="1"/>
    <row r="6498" ht="15.75" customHeight="1"/>
    <row r="6499" ht="15.75" customHeight="1"/>
    <row r="6500" ht="15.75" customHeight="1"/>
    <row r="6501" ht="15.75" customHeight="1"/>
    <row r="6502" ht="15.75" customHeight="1"/>
    <row r="6503" ht="15.75" customHeight="1"/>
    <row r="6504" ht="15.75" customHeight="1"/>
    <row r="6505" ht="15.75" customHeight="1"/>
    <row r="6506" ht="15.75" customHeight="1"/>
    <row r="6507" ht="15.75" customHeight="1"/>
    <row r="6508" ht="15.75" customHeight="1"/>
    <row r="6509" ht="15.75" customHeight="1"/>
    <row r="6510" ht="15.75" customHeight="1"/>
    <row r="6511" ht="15.75" customHeight="1"/>
    <row r="6512" ht="15.75" customHeight="1"/>
    <row r="6513" ht="15.75" customHeight="1"/>
    <row r="6514" ht="15.75" customHeight="1"/>
    <row r="6515" ht="15.75" customHeight="1"/>
    <row r="6516" ht="15.75" customHeight="1"/>
    <row r="6517" ht="15.75" customHeight="1"/>
    <row r="6518" ht="15.75" customHeight="1"/>
    <row r="6519" ht="15.75" customHeight="1"/>
    <row r="6520" ht="15.75" customHeight="1"/>
    <row r="6521" ht="15.75" customHeight="1"/>
    <row r="6522" ht="15.75" customHeight="1"/>
    <row r="6523" ht="15.75" customHeight="1"/>
    <row r="6524" ht="15.75" customHeight="1"/>
    <row r="6525" ht="15.75" customHeight="1"/>
    <row r="6526" ht="15.75" customHeight="1"/>
    <row r="6527" ht="15.75" customHeight="1"/>
    <row r="6528" ht="15.75" customHeight="1"/>
    <row r="6529" ht="15.75" customHeight="1"/>
    <row r="6530" ht="15.75" customHeight="1"/>
    <row r="6531" ht="15.75" customHeight="1"/>
    <row r="6532" ht="15.75" customHeight="1"/>
    <row r="6533" ht="15.75" customHeight="1"/>
    <row r="6534" ht="15.75" customHeight="1"/>
    <row r="6535" ht="15.75" customHeight="1"/>
    <row r="6536" ht="15.75" customHeight="1"/>
    <row r="6537" ht="15.75" customHeight="1"/>
    <row r="6538" ht="15.75" customHeight="1"/>
    <row r="6539" ht="15.75" customHeight="1"/>
    <row r="6540" ht="15.75" customHeight="1"/>
    <row r="6541" ht="15.75" customHeight="1"/>
    <row r="6542" ht="15.75" customHeight="1"/>
    <row r="6543" ht="15.75" customHeight="1"/>
    <row r="6544" ht="15.75" customHeight="1"/>
    <row r="6545" ht="15.75" customHeight="1"/>
    <row r="6546" ht="15.75" customHeight="1"/>
    <row r="6547" ht="15.75" customHeight="1"/>
    <row r="6548" ht="15.75" customHeight="1"/>
    <row r="6549" ht="15.75" customHeight="1"/>
    <row r="6550" ht="15.75" customHeight="1"/>
    <row r="6551" ht="15.75" customHeight="1"/>
    <row r="6552" ht="15.75" customHeight="1"/>
    <row r="6553" ht="15.75" customHeight="1"/>
    <row r="6554" ht="15.75" customHeight="1"/>
    <row r="6555" ht="15.75" customHeight="1"/>
    <row r="6556" ht="15.75" customHeight="1"/>
    <row r="6557" ht="15.75" customHeight="1"/>
    <row r="6558" ht="15.75" customHeight="1"/>
    <row r="6559" ht="15.75" customHeight="1"/>
    <row r="6560" ht="15.75" customHeight="1"/>
    <row r="6561" ht="15.75" customHeight="1"/>
    <row r="6562" ht="15.75" customHeight="1"/>
    <row r="6563" ht="15.75" customHeight="1"/>
    <row r="6564" ht="15.75" customHeight="1"/>
    <row r="6565" ht="15.75" customHeight="1"/>
    <row r="6566" ht="15.75" customHeight="1"/>
    <row r="6567" ht="15.75" customHeight="1"/>
    <row r="6568" ht="15.75" customHeight="1"/>
    <row r="6569" ht="15.75" customHeight="1"/>
    <row r="6570" ht="15.75" customHeight="1"/>
    <row r="6571" ht="15.75" customHeight="1"/>
    <row r="6572" ht="15.75" customHeight="1"/>
    <row r="6573" ht="15.75" customHeight="1"/>
    <row r="6574" ht="15.75" customHeight="1"/>
    <row r="6575" ht="15.75" customHeight="1"/>
    <row r="6576" ht="15.75" customHeight="1"/>
    <row r="6577" ht="15.75" customHeight="1"/>
    <row r="6578" ht="15.75" customHeight="1"/>
    <row r="6579" ht="15.75" customHeight="1"/>
    <row r="6580" ht="15.75" customHeight="1"/>
    <row r="6581" ht="15.75" customHeight="1"/>
    <row r="6582" ht="15.75" customHeight="1"/>
    <row r="6583" ht="15.75" customHeight="1"/>
    <row r="6584" ht="15.75" customHeight="1"/>
    <row r="6585" ht="15.75" customHeight="1"/>
    <row r="6586" ht="15.75" customHeight="1"/>
    <row r="6587" ht="15.75" customHeight="1"/>
    <row r="6588" ht="15.75" customHeight="1"/>
    <row r="6589" ht="15.75" customHeight="1"/>
    <row r="6590" ht="15.75" customHeight="1"/>
    <row r="6591" ht="15.75" customHeight="1"/>
    <row r="6592" ht="15.75" customHeight="1"/>
    <row r="6593" ht="15.75" customHeight="1"/>
    <row r="6594" ht="15.75" customHeight="1"/>
    <row r="6595" ht="15.75" customHeight="1"/>
    <row r="6596" ht="15.75" customHeight="1"/>
    <row r="6597" ht="15.75" customHeight="1"/>
    <row r="6598" ht="15.75" customHeight="1"/>
    <row r="6599" ht="15.75" customHeight="1"/>
    <row r="6600" ht="15.75" customHeight="1"/>
    <row r="6601" ht="15.75" customHeight="1"/>
    <row r="6602" ht="15.75" customHeight="1"/>
    <row r="6603" ht="15.75" customHeight="1"/>
    <row r="6604" ht="15.75" customHeight="1"/>
    <row r="6605" ht="15.75" customHeight="1"/>
    <row r="6606" ht="15.75" customHeight="1"/>
    <row r="6607" ht="15.75" customHeight="1"/>
    <row r="6608" ht="15.75" customHeight="1"/>
    <row r="6609" ht="15.75" customHeight="1"/>
    <row r="6610" ht="15.75" customHeight="1"/>
    <row r="6611" ht="15.75" customHeight="1"/>
    <row r="6612" ht="15.75" customHeight="1"/>
    <row r="6613" ht="15.75" customHeight="1"/>
    <row r="6614" ht="15.75" customHeight="1"/>
    <row r="6615" ht="15.75" customHeight="1"/>
    <row r="6616" ht="15.75" customHeight="1"/>
    <row r="6617" ht="15.75" customHeight="1"/>
    <row r="6618" ht="15.75" customHeight="1"/>
    <row r="6619" ht="15.75" customHeight="1"/>
    <row r="6620" ht="15.75" customHeight="1"/>
    <row r="6621" ht="15.75" customHeight="1"/>
    <row r="6622" ht="15.75" customHeight="1"/>
    <row r="6623" ht="15.75" customHeight="1"/>
    <row r="6624" ht="15.75" customHeight="1"/>
    <row r="6625" ht="15.75" customHeight="1"/>
    <row r="6626" ht="15.75" customHeight="1"/>
    <row r="6627" ht="15.75" customHeight="1"/>
    <row r="6628" ht="15.75" customHeight="1"/>
    <row r="6629" ht="15.75" customHeight="1"/>
    <row r="6630" ht="15.75" customHeight="1"/>
    <row r="6631" ht="15.75" customHeight="1"/>
    <row r="6632" ht="15.75" customHeight="1"/>
    <row r="6633" ht="15.75" customHeight="1"/>
    <row r="6634" ht="15.75" customHeight="1"/>
    <row r="6635" ht="15.75" customHeight="1"/>
    <row r="6636" ht="15.75" customHeight="1"/>
    <row r="6637" ht="15.75" customHeight="1"/>
    <row r="6638" ht="15.75" customHeight="1"/>
    <row r="6639" ht="15.75" customHeight="1"/>
    <row r="6640" ht="15.75" customHeight="1"/>
    <row r="6641" ht="15.75" customHeight="1"/>
    <row r="6642" ht="15.75" customHeight="1"/>
    <row r="6643" ht="15.75" customHeight="1"/>
    <row r="6644" ht="15.75" customHeight="1"/>
    <row r="6645" ht="15.75" customHeight="1"/>
    <row r="6646" ht="15.75" customHeight="1"/>
    <row r="6647" ht="15.75" customHeight="1"/>
    <row r="6648" ht="15.75" customHeight="1"/>
    <row r="6649" ht="15.75" customHeight="1"/>
    <row r="6650" ht="15.75" customHeight="1"/>
    <row r="6651" ht="15.75" customHeight="1"/>
    <row r="6652" ht="15.75" customHeight="1"/>
    <row r="6653" ht="15.75" customHeight="1"/>
    <row r="6654" ht="15.75" customHeight="1"/>
    <row r="6655" ht="15.75" customHeight="1"/>
    <row r="6656" ht="15.75" customHeight="1"/>
    <row r="6657" ht="15.75" customHeight="1"/>
    <row r="6658" ht="15.75" customHeight="1"/>
    <row r="6659" ht="15.75" customHeight="1"/>
    <row r="6660" ht="15.75" customHeight="1"/>
    <row r="6661" ht="15.75" customHeight="1"/>
    <row r="6662" ht="15.75" customHeight="1"/>
    <row r="6663" ht="15.75" customHeight="1"/>
    <row r="6664" ht="15.75" customHeight="1"/>
    <row r="6665" ht="15.75" customHeight="1"/>
    <row r="6666" ht="15.75" customHeight="1"/>
    <row r="6667" ht="15.75" customHeight="1"/>
    <row r="6668" ht="15.75" customHeight="1"/>
    <row r="6669" ht="15.75" customHeight="1"/>
    <row r="6670" ht="15.75" customHeight="1"/>
    <row r="6671" ht="15.75" customHeight="1"/>
    <row r="6672" ht="15.75" customHeight="1"/>
    <row r="6673" ht="15.75" customHeight="1"/>
    <row r="6674" ht="15.75" customHeight="1"/>
    <row r="6675" ht="15.75" customHeight="1"/>
    <row r="6676" ht="15.75" customHeight="1"/>
    <row r="6677" ht="15.75" customHeight="1"/>
    <row r="6678" ht="15.75" customHeight="1"/>
    <row r="6679" ht="15.75" customHeight="1"/>
    <row r="6680" ht="15.75" customHeight="1"/>
    <row r="6681" ht="15.75" customHeight="1"/>
    <row r="6682" ht="15.75" customHeight="1"/>
    <row r="6683" ht="15.75" customHeight="1"/>
    <row r="6684" ht="15.75" customHeight="1"/>
    <row r="6685" ht="15.75" customHeight="1"/>
    <row r="6686" ht="15.75" customHeight="1"/>
    <row r="6687" ht="15.75" customHeight="1"/>
    <row r="6688" ht="15.75" customHeight="1"/>
    <row r="6689" ht="15.75" customHeight="1"/>
    <row r="6690" ht="15.75" customHeight="1"/>
    <row r="6691" ht="15.75" customHeight="1"/>
    <row r="6692" ht="15.75" customHeight="1"/>
    <row r="6693" ht="15.75" customHeight="1"/>
    <row r="6694" ht="15.75" customHeight="1"/>
    <row r="6695" ht="15.75" customHeight="1"/>
    <row r="6696" ht="15.75" customHeight="1"/>
    <row r="6697" ht="15.75" customHeight="1"/>
    <row r="6698" ht="15.75" customHeight="1"/>
    <row r="6699" ht="15.75" customHeight="1"/>
    <row r="6700" ht="15.75" customHeight="1"/>
    <row r="6701" ht="15.75" customHeight="1"/>
    <row r="6702" ht="15.75" customHeight="1"/>
    <row r="6703" ht="15.75" customHeight="1"/>
    <row r="6704" ht="15.75" customHeight="1"/>
    <row r="6705" ht="15.75" customHeight="1"/>
    <row r="6706" ht="15.75" customHeight="1"/>
    <row r="6707" ht="15.75" customHeight="1"/>
    <row r="6708" ht="15.75" customHeight="1"/>
    <row r="6709" ht="15.75" customHeight="1"/>
    <row r="6710" ht="15.75" customHeight="1"/>
    <row r="6711" ht="15.75" customHeight="1"/>
    <row r="6712" ht="15.75" customHeight="1"/>
    <row r="6713" ht="15.75" customHeight="1"/>
    <row r="6714" ht="15.75" customHeight="1"/>
    <row r="6715" ht="15.75" customHeight="1"/>
    <row r="6716" ht="15.75" customHeight="1"/>
    <row r="6717" ht="15.75" customHeight="1"/>
    <row r="6718" ht="15.75" customHeight="1"/>
    <row r="6719" ht="15.75" customHeight="1"/>
    <row r="6720" ht="15.75" customHeight="1"/>
    <row r="6721" ht="15.75" customHeight="1"/>
    <row r="6722" ht="15.75" customHeight="1"/>
    <row r="6723" ht="15.75" customHeight="1"/>
    <row r="6724" ht="15.75" customHeight="1"/>
    <row r="6725" ht="15.75" customHeight="1"/>
    <row r="6726" ht="15.75" customHeight="1"/>
    <row r="6727" ht="15.75" customHeight="1"/>
    <row r="6728" ht="15.75" customHeight="1"/>
    <row r="6729" ht="15.75" customHeight="1"/>
    <row r="6730" ht="15.75" customHeight="1"/>
    <row r="6731" ht="15.75" customHeight="1"/>
    <row r="6732" ht="15.75" customHeight="1"/>
    <row r="6733" ht="15.75" customHeight="1"/>
    <row r="6734" ht="15.75" customHeight="1"/>
    <row r="6735" ht="15.75" customHeight="1"/>
    <row r="6736" ht="15.75" customHeight="1"/>
    <row r="6737" ht="15.75" customHeight="1"/>
    <row r="6738" ht="15.75" customHeight="1"/>
    <row r="6739" ht="15.75" customHeight="1"/>
    <row r="6740" ht="15.75" customHeight="1"/>
    <row r="6741" ht="15.75" customHeight="1"/>
    <row r="6742" ht="15.75" customHeight="1"/>
    <row r="6743" ht="15.75" customHeight="1"/>
    <row r="6744" ht="15.75" customHeight="1"/>
    <row r="6745" ht="15.75" customHeight="1"/>
    <row r="6746" ht="15.75" customHeight="1"/>
    <row r="6747" ht="15.75" customHeight="1"/>
    <row r="6748" ht="15.75" customHeight="1"/>
    <row r="6749" ht="15.75" customHeight="1"/>
    <row r="6750" ht="15.75" customHeight="1"/>
    <row r="6751" ht="15.75" customHeight="1"/>
    <row r="6752" ht="15.75" customHeight="1"/>
    <row r="6753" ht="15.75" customHeight="1"/>
    <row r="6754" ht="15.75" customHeight="1"/>
    <row r="6755" ht="15.75" customHeight="1"/>
    <row r="6756" ht="15.75" customHeight="1"/>
    <row r="6757" ht="15.75" customHeight="1"/>
    <row r="6758" ht="15.75" customHeight="1"/>
    <row r="6759" ht="15.75" customHeight="1"/>
    <row r="6760" ht="15.75" customHeight="1"/>
    <row r="6761" ht="15.75" customHeight="1"/>
    <row r="6762" ht="15.75" customHeight="1"/>
    <row r="6763" ht="15.75" customHeight="1"/>
    <row r="6764" ht="15.75" customHeight="1"/>
    <row r="6765" ht="15.75" customHeight="1"/>
    <row r="6766" ht="15.75" customHeight="1"/>
    <row r="6767" ht="15.75" customHeight="1"/>
    <row r="6768" ht="15.75" customHeight="1"/>
    <row r="6769" ht="15.75" customHeight="1"/>
    <row r="6770" ht="15.75" customHeight="1"/>
    <row r="6771" ht="15.75" customHeight="1"/>
    <row r="6772" ht="15.75" customHeight="1"/>
    <row r="6773" ht="15.75" customHeight="1"/>
    <row r="6774" ht="15.75" customHeight="1"/>
    <row r="6775" ht="15.75" customHeight="1"/>
    <row r="6776" ht="15.75" customHeight="1"/>
    <row r="6777" ht="15.75" customHeight="1"/>
    <row r="6778" ht="15.75" customHeight="1"/>
    <row r="6779" ht="15.75" customHeight="1"/>
    <row r="6780" ht="15.75" customHeight="1"/>
    <row r="6781" ht="15.75" customHeight="1"/>
    <row r="6782" ht="15.75" customHeight="1"/>
    <row r="6783" ht="15.75" customHeight="1"/>
    <row r="6784" ht="15.75" customHeight="1"/>
    <row r="6785" ht="15.75" customHeight="1"/>
    <row r="6786" ht="15.75" customHeight="1"/>
    <row r="6787" ht="15.75" customHeight="1"/>
    <row r="6788" ht="15.75" customHeight="1"/>
    <row r="6789" ht="15.75" customHeight="1"/>
    <row r="6790" ht="15.75" customHeight="1"/>
    <row r="6791" ht="15.75" customHeight="1"/>
    <row r="6792" ht="15.75" customHeight="1"/>
    <row r="6793" ht="15.75" customHeight="1"/>
    <row r="6794" ht="15.75" customHeight="1"/>
    <row r="6795" ht="15.75" customHeight="1"/>
    <row r="6796" ht="15.75" customHeight="1"/>
    <row r="6797" ht="15.75" customHeight="1"/>
    <row r="6798" ht="15.75" customHeight="1"/>
    <row r="6799" ht="15.75" customHeight="1"/>
    <row r="6800" ht="15.75" customHeight="1"/>
    <row r="6801" ht="15.75" customHeight="1"/>
    <row r="6802" ht="15.75" customHeight="1"/>
    <row r="6803" ht="15.75" customHeight="1"/>
    <row r="6804" ht="15.75" customHeight="1"/>
    <row r="6805" ht="15.75" customHeight="1"/>
    <row r="6806" ht="15.75" customHeight="1"/>
    <row r="6807" ht="15.75" customHeight="1"/>
    <row r="6808" ht="15.75" customHeight="1"/>
    <row r="6809" ht="15.75" customHeight="1"/>
    <row r="6810" ht="15.75" customHeight="1"/>
    <row r="6811" ht="15.75" customHeight="1"/>
    <row r="6812" ht="15.75" customHeight="1"/>
    <row r="6813" ht="15.75" customHeight="1"/>
    <row r="6814" ht="15.75" customHeight="1"/>
    <row r="6815" ht="15.75" customHeight="1"/>
    <row r="6816" ht="15.75" customHeight="1"/>
    <row r="6817" ht="15.75" customHeight="1"/>
    <row r="6818" ht="15.75" customHeight="1"/>
    <row r="6819" ht="15.75" customHeight="1"/>
    <row r="6820" ht="15.75" customHeight="1"/>
    <row r="6821" ht="15.75" customHeight="1"/>
    <row r="6822" ht="15.75" customHeight="1"/>
    <row r="6823" ht="15.75" customHeight="1"/>
    <row r="6824" ht="15.75" customHeight="1"/>
    <row r="6825" ht="15.75" customHeight="1"/>
    <row r="6826" ht="15.75" customHeight="1"/>
    <row r="6827" ht="15.75" customHeight="1"/>
    <row r="6828" ht="15.75" customHeight="1"/>
    <row r="6829" ht="15.75" customHeight="1"/>
    <row r="6830" ht="15.75" customHeight="1"/>
    <row r="6831" ht="15.75" customHeight="1"/>
    <row r="6832" ht="15.75" customHeight="1"/>
    <row r="6833" ht="15.75" customHeight="1"/>
    <row r="6834" ht="15.75" customHeight="1"/>
    <row r="6835" ht="15.75" customHeight="1"/>
    <row r="6836" ht="15.75" customHeight="1"/>
    <row r="6837" ht="15.75" customHeight="1"/>
    <row r="6838" ht="15.75" customHeight="1"/>
    <row r="6839" ht="15.75" customHeight="1"/>
    <row r="6840" ht="15.75" customHeight="1"/>
    <row r="6841" ht="15.75" customHeight="1"/>
    <row r="6842" ht="15.75" customHeight="1"/>
    <row r="6843" ht="15.75" customHeight="1"/>
    <row r="6844" ht="15.75" customHeight="1"/>
    <row r="6845" ht="15.75" customHeight="1"/>
    <row r="6846" ht="15.75" customHeight="1"/>
    <row r="6847" ht="15.75" customHeight="1"/>
    <row r="6848" ht="15.75" customHeight="1"/>
    <row r="6849" ht="15.75" customHeight="1"/>
    <row r="6850" ht="15.75" customHeight="1"/>
    <row r="6851" ht="15.75" customHeight="1"/>
    <row r="6852" ht="15.75" customHeight="1"/>
    <row r="6853" ht="15.75" customHeight="1"/>
    <row r="6854" ht="15.75" customHeight="1"/>
    <row r="6855" ht="15.75" customHeight="1"/>
    <row r="6856" ht="15.75" customHeight="1"/>
    <row r="6857" ht="15.75" customHeight="1"/>
    <row r="6858" ht="15.75" customHeight="1"/>
    <row r="6859" ht="15.75" customHeight="1"/>
    <row r="6860" ht="15.75" customHeight="1"/>
    <row r="6861" ht="15.75" customHeight="1"/>
    <row r="6862" ht="15.75" customHeight="1"/>
    <row r="6863" ht="15.75" customHeight="1"/>
    <row r="6864" ht="15.75" customHeight="1"/>
    <row r="6865" ht="15.75" customHeight="1"/>
    <row r="6866" ht="15.75" customHeight="1"/>
    <row r="6867" ht="15.75" customHeight="1"/>
    <row r="6868" ht="15.75" customHeight="1"/>
    <row r="6869" ht="15.75" customHeight="1"/>
    <row r="6870" ht="15.75" customHeight="1"/>
    <row r="6871" ht="15.75" customHeight="1"/>
    <row r="6872" ht="15.75" customHeight="1"/>
    <row r="6873" ht="15.75" customHeight="1"/>
    <row r="6874" ht="15.75" customHeight="1"/>
    <row r="6875" ht="15.75" customHeight="1"/>
    <row r="6876" ht="15.75" customHeight="1"/>
    <row r="6877" ht="15.75" customHeight="1"/>
    <row r="6878" ht="15.75" customHeight="1"/>
    <row r="6879" ht="15.75" customHeight="1"/>
    <row r="6880" ht="15.75" customHeight="1"/>
    <row r="6881" ht="15.75" customHeight="1"/>
    <row r="6882" ht="15.75" customHeight="1"/>
    <row r="6883" ht="15.75" customHeight="1"/>
    <row r="6884" ht="15.75" customHeight="1"/>
    <row r="6885" ht="15.75" customHeight="1"/>
    <row r="6886" ht="15.75" customHeight="1"/>
    <row r="6887" ht="15.75" customHeight="1"/>
    <row r="6888" ht="15.75" customHeight="1"/>
    <row r="6889" ht="15.75" customHeight="1"/>
    <row r="6890" ht="15.75" customHeight="1"/>
    <row r="6891" ht="15.75" customHeight="1"/>
    <row r="6892" ht="15.75" customHeight="1"/>
    <row r="6893" ht="15.75" customHeight="1"/>
    <row r="6894" ht="15.75" customHeight="1"/>
    <row r="6895" ht="15.75" customHeight="1"/>
    <row r="6896" ht="15.75" customHeight="1"/>
    <row r="6897" ht="15.75" customHeight="1"/>
    <row r="6898" ht="15.75" customHeight="1"/>
    <row r="6899" ht="15.75" customHeight="1"/>
    <row r="6900" ht="15.75" customHeight="1"/>
    <row r="6901" ht="15.75" customHeight="1"/>
    <row r="6902" ht="15.75" customHeight="1"/>
    <row r="6903" ht="15.75" customHeight="1"/>
    <row r="6904" ht="15.75" customHeight="1"/>
    <row r="6905" ht="15.75" customHeight="1"/>
    <row r="6906" ht="15.75" customHeight="1"/>
    <row r="6907" ht="15.75" customHeight="1"/>
    <row r="6908" ht="15.75" customHeight="1"/>
    <row r="6909" ht="15.75" customHeight="1"/>
    <row r="6910" ht="15.75" customHeight="1"/>
    <row r="6911" ht="15.75" customHeight="1"/>
    <row r="6912" ht="15.75" customHeight="1"/>
    <row r="6913" ht="15.75" customHeight="1"/>
    <row r="6914" ht="15.75" customHeight="1"/>
    <row r="6915" ht="15.75" customHeight="1"/>
    <row r="6916" ht="15.75" customHeight="1"/>
    <row r="6917" ht="15.75" customHeight="1"/>
    <row r="6918" ht="15.75" customHeight="1"/>
    <row r="6919" ht="15.75" customHeight="1"/>
    <row r="6920" ht="15.75" customHeight="1"/>
    <row r="6921" ht="15.75" customHeight="1"/>
    <row r="6922" ht="15.75" customHeight="1"/>
    <row r="6923" ht="15.75" customHeight="1"/>
    <row r="6924" ht="15.75" customHeight="1"/>
    <row r="6925" ht="15.75" customHeight="1"/>
    <row r="6926" ht="15.75" customHeight="1"/>
    <row r="6927" ht="15.75" customHeight="1"/>
    <row r="6928" ht="15.75" customHeight="1"/>
    <row r="6929" ht="15.75" customHeight="1"/>
    <row r="6930" ht="15.75" customHeight="1"/>
    <row r="6931" ht="15.75" customHeight="1"/>
    <row r="6932" ht="15.75" customHeight="1"/>
    <row r="6933" ht="15.75" customHeight="1"/>
    <row r="6934" ht="15.75" customHeight="1"/>
    <row r="6935" ht="15.75" customHeight="1"/>
    <row r="6936" ht="15.75" customHeight="1"/>
    <row r="6937" ht="15.75" customHeight="1"/>
    <row r="6938" ht="15.75" customHeight="1"/>
    <row r="6939" ht="15.75" customHeight="1"/>
    <row r="6940" ht="15.75" customHeight="1"/>
    <row r="6941" ht="15.75" customHeight="1"/>
    <row r="6942" ht="15.75" customHeight="1"/>
    <row r="6943" ht="15.75" customHeight="1"/>
    <row r="6944" ht="15.75" customHeight="1"/>
    <row r="6945" ht="15.75" customHeight="1"/>
    <row r="6946" ht="15.75" customHeight="1"/>
    <row r="6947" ht="15.75" customHeight="1"/>
    <row r="6948" ht="15.75" customHeight="1"/>
    <row r="6949" ht="15.75" customHeight="1"/>
    <row r="6950" ht="15.75" customHeight="1"/>
    <row r="6951" ht="15.75" customHeight="1"/>
    <row r="6952" ht="15.75" customHeight="1"/>
    <row r="6953" ht="15.75" customHeight="1"/>
    <row r="6954" ht="15.75" customHeight="1"/>
    <row r="6955" ht="15.75" customHeight="1"/>
    <row r="6956" ht="15.75" customHeight="1"/>
    <row r="6957" ht="15.75" customHeight="1"/>
    <row r="6958" ht="15.75" customHeight="1"/>
    <row r="6959" ht="15.75" customHeight="1"/>
    <row r="6960" ht="15.75" customHeight="1"/>
    <row r="6961" ht="15.75" customHeight="1"/>
    <row r="6962" ht="15.75" customHeight="1"/>
    <row r="6963" ht="15.75" customHeight="1"/>
    <row r="6964" ht="15.75" customHeight="1"/>
    <row r="6965" ht="15.75" customHeight="1"/>
    <row r="6966" ht="15.75" customHeight="1"/>
    <row r="6967" ht="15.75" customHeight="1"/>
    <row r="6968" ht="15.75" customHeight="1"/>
    <row r="6969" ht="15.75" customHeight="1"/>
    <row r="6970" ht="15.75" customHeight="1"/>
    <row r="6971" ht="15.75" customHeight="1"/>
    <row r="6972" ht="15.75" customHeight="1"/>
    <row r="6973" ht="15.75" customHeight="1"/>
    <row r="6974" ht="15.75" customHeight="1"/>
    <row r="6975" ht="15.75" customHeight="1"/>
    <row r="6976" ht="15.75" customHeight="1"/>
    <row r="6977" ht="15.75" customHeight="1"/>
    <row r="6978" ht="15.75" customHeight="1"/>
    <row r="6979" ht="15.75" customHeight="1"/>
    <row r="6980" ht="15.75" customHeight="1"/>
    <row r="6981" ht="15.75" customHeight="1"/>
    <row r="6982" ht="15.75" customHeight="1"/>
    <row r="6983" ht="15.75" customHeight="1"/>
    <row r="6984" ht="15.75" customHeight="1"/>
    <row r="6985" ht="15.75" customHeight="1"/>
    <row r="6986" ht="15.75" customHeight="1"/>
    <row r="6987" ht="15.75" customHeight="1"/>
    <row r="6988" ht="15.75" customHeight="1"/>
    <row r="6989" ht="15.75" customHeight="1"/>
    <row r="6990" ht="15.75" customHeight="1"/>
    <row r="6991" ht="15.75" customHeight="1"/>
    <row r="6992" ht="15.75" customHeight="1"/>
    <row r="6993" ht="15.75" customHeight="1"/>
    <row r="6994" ht="15.75" customHeight="1"/>
    <row r="6995" ht="15.75" customHeight="1"/>
    <row r="6996" ht="15.75" customHeight="1"/>
    <row r="6997" ht="15.75" customHeight="1"/>
    <row r="6998" ht="15.75" customHeight="1"/>
    <row r="6999" ht="15.75" customHeight="1"/>
    <row r="7000" ht="15.75" customHeight="1"/>
    <row r="7001" ht="15.75" customHeight="1"/>
    <row r="7002" ht="15.75" customHeight="1"/>
    <row r="7003" ht="15.75" customHeight="1"/>
    <row r="7004" ht="15.75" customHeight="1"/>
    <row r="7005" ht="15.75" customHeight="1"/>
    <row r="7006" ht="15.75" customHeight="1"/>
    <row r="7007" ht="15.75" customHeight="1"/>
    <row r="7008" ht="15.75" customHeight="1"/>
    <row r="7009" ht="15.75" customHeight="1"/>
    <row r="7010" ht="15.75" customHeight="1"/>
    <row r="7011" ht="15.75" customHeight="1"/>
    <row r="7012" ht="15.75" customHeight="1"/>
    <row r="7013" ht="15.75" customHeight="1"/>
    <row r="7014" ht="15.75" customHeight="1"/>
    <row r="7015" ht="15.75" customHeight="1"/>
    <row r="7016" ht="15.75" customHeight="1"/>
    <row r="7017" ht="15.75" customHeight="1"/>
    <row r="7018" ht="15.75" customHeight="1"/>
    <row r="7019" ht="15.75" customHeight="1"/>
    <row r="7020" ht="15.75" customHeight="1"/>
    <row r="7021" ht="15.75" customHeight="1"/>
    <row r="7022" ht="15.75" customHeight="1"/>
    <row r="7023" ht="15.75" customHeight="1"/>
    <row r="7024" ht="15.75" customHeight="1"/>
    <row r="7025" ht="15.75" customHeight="1"/>
    <row r="7026" ht="15.75" customHeight="1"/>
    <row r="7027" ht="15.75" customHeight="1"/>
    <row r="7028" ht="15.75" customHeight="1"/>
    <row r="7029" ht="15.75" customHeight="1"/>
    <row r="7030" ht="15.75" customHeight="1"/>
    <row r="7031" ht="15.75" customHeight="1"/>
    <row r="7032" ht="15.75" customHeight="1"/>
    <row r="7033" ht="15.75" customHeight="1"/>
    <row r="7034" ht="15.75" customHeight="1"/>
    <row r="7035" ht="15.75" customHeight="1"/>
    <row r="7036" ht="15.75" customHeight="1"/>
    <row r="7037" ht="15.75" customHeight="1"/>
    <row r="7038" ht="15.75" customHeight="1"/>
    <row r="7039" ht="15.75" customHeight="1"/>
    <row r="7040" ht="15.75" customHeight="1"/>
    <row r="7041" ht="15.75" customHeight="1"/>
    <row r="7042" ht="15.75" customHeight="1"/>
    <row r="7043" ht="15.75" customHeight="1"/>
    <row r="7044" ht="15.75" customHeight="1"/>
    <row r="7045" ht="15.75" customHeight="1"/>
    <row r="7046" ht="15.75" customHeight="1"/>
    <row r="7047" ht="15.75" customHeight="1"/>
    <row r="7048" ht="15.75" customHeight="1"/>
    <row r="7049" ht="15.75" customHeight="1"/>
    <row r="7050" ht="15.75" customHeight="1"/>
    <row r="7051" ht="15.75" customHeight="1"/>
    <row r="7052" ht="15.75" customHeight="1"/>
    <row r="7053" ht="15.75" customHeight="1"/>
    <row r="7054" ht="15.75" customHeight="1"/>
    <row r="7055" ht="15.75" customHeight="1"/>
    <row r="7056" ht="15.75" customHeight="1"/>
    <row r="7057" ht="15.75" customHeight="1"/>
    <row r="7058" ht="15.75" customHeight="1"/>
    <row r="7059" ht="15.75" customHeight="1"/>
    <row r="7060" ht="15.75" customHeight="1"/>
    <row r="7061" ht="15.75" customHeight="1"/>
    <row r="7062" ht="15.75" customHeight="1"/>
    <row r="7063" ht="15.75" customHeight="1"/>
    <row r="7064" ht="15.75" customHeight="1"/>
    <row r="7065" ht="15.75" customHeight="1"/>
    <row r="7066" ht="15.75" customHeight="1"/>
    <row r="7067" ht="15.75" customHeight="1"/>
    <row r="7068" ht="15.75" customHeight="1"/>
    <row r="7069" ht="15.75" customHeight="1"/>
    <row r="7070" ht="15.75" customHeight="1"/>
    <row r="7071" ht="15.75" customHeight="1"/>
    <row r="7072" ht="15.75" customHeight="1"/>
    <row r="7073" ht="15.75" customHeight="1"/>
    <row r="7074" ht="15.75" customHeight="1"/>
    <row r="7075" ht="15.75" customHeight="1"/>
    <row r="7076" ht="15.75" customHeight="1"/>
    <row r="7077" ht="15.75" customHeight="1"/>
    <row r="7078" ht="15.75" customHeight="1"/>
    <row r="7079" ht="15.75" customHeight="1"/>
    <row r="7080" ht="15.75" customHeight="1"/>
    <row r="7081" ht="15.75" customHeight="1"/>
    <row r="7082" ht="15.75" customHeight="1"/>
    <row r="7083" ht="15.75" customHeight="1"/>
    <row r="7084" ht="15.75" customHeight="1"/>
    <row r="7085" ht="15.75" customHeight="1"/>
    <row r="7086" ht="15.75" customHeight="1"/>
    <row r="7087" ht="15.75" customHeight="1"/>
    <row r="7088" ht="15.75" customHeight="1"/>
    <row r="7089" ht="15.75" customHeight="1"/>
    <row r="7090" ht="15.75" customHeight="1"/>
    <row r="7091" ht="15.75" customHeight="1"/>
    <row r="7092" ht="15.75" customHeight="1"/>
    <row r="7093" ht="15.75" customHeight="1"/>
    <row r="7094" ht="15.75" customHeight="1"/>
    <row r="7095" ht="15.75" customHeight="1"/>
    <row r="7096" ht="15.75" customHeight="1"/>
    <row r="7097" ht="15.75" customHeight="1"/>
    <row r="7098" ht="15.75" customHeight="1"/>
    <row r="7099" ht="15.75" customHeight="1"/>
    <row r="7100" ht="15.75" customHeight="1"/>
    <row r="7101" ht="15.75" customHeight="1"/>
    <row r="7102" ht="15.75" customHeight="1"/>
    <row r="7103" ht="15.75" customHeight="1"/>
    <row r="7104" ht="15.75" customHeight="1"/>
    <row r="7105" ht="15.75" customHeight="1"/>
    <row r="7106" ht="15.75" customHeight="1"/>
    <row r="7107" ht="15.75" customHeight="1"/>
    <row r="7108" ht="15.75" customHeight="1"/>
    <row r="7109" ht="15.75" customHeight="1"/>
    <row r="7110" ht="15.75" customHeight="1"/>
    <row r="7111" ht="15.75" customHeight="1"/>
    <row r="7112" ht="15.75" customHeight="1"/>
    <row r="7113" ht="15.75" customHeight="1"/>
    <row r="7114" ht="15.75" customHeight="1"/>
    <row r="7115" ht="15.75" customHeight="1"/>
    <row r="7116" ht="15.75" customHeight="1"/>
    <row r="7117" ht="15.75" customHeight="1"/>
    <row r="7118" ht="15.75" customHeight="1"/>
    <row r="7119" ht="15.75" customHeight="1"/>
    <row r="7120" ht="15.75" customHeight="1"/>
    <row r="7121" ht="15.75" customHeight="1"/>
    <row r="7122" ht="15.75" customHeight="1"/>
    <row r="7123" ht="15.75" customHeight="1"/>
    <row r="7124" ht="15.75" customHeight="1"/>
    <row r="7125" ht="15.75" customHeight="1"/>
    <row r="7126" ht="15.75" customHeight="1"/>
    <row r="7127" ht="15.75" customHeight="1"/>
    <row r="7128" ht="15.75" customHeight="1"/>
    <row r="7129" ht="15.75" customHeight="1"/>
    <row r="7130" ht="15.75" customHeight="1"/>
    <row r="7131" ht="15.75" customHeight="1"/>
    <row r="7132" ht="15.75" customHeight="1"/>
    <row r="7133" ht="15.75" customHeight="1"/>
    <row r="7134" ht="15.75" customHeight="1"/>
    <row r="7135" ht="15.75" customHeight="1"/>
    <row r="7136" ht="15.75" customHeight="1"/>
    <row r="7137" ht="15.75" customHeight="1"/>
    <row r="7138" ht="15.75" customHeight="1"/>
    <row r="7139" ht="15.75" customHeight="1"/>
    <row r="7140" ht="15.75" customHeight="1"/>
    <row r="7141" ht="15.75" customHeight="1"/>
    <row r="7142" ht="15.75" customHeight="1"/>
    <row r="7143" ht="15.75" customHeight="1"/>
    <row r="7144" ht="15.75" customHeight="1"/>
    <row r="7145" ht="15.75" customHeight="1"/>
    <row r="7146" ht="15.75" customHeight="1"/>
    <row r="7147" ht="15.75" customHeight="1"/>
    <row r="7148" ht="15.75" customHeight="1"/>
    <row r="7149" ht="15.75" customHeight="1"/>
    <row r="7150" ht="15.75" customHeight="1"/>
    <row r="7151" ht="15.75" customHeight="1"/>
    <row r="7152" ht="15.75" customHeight="1"/>
    <row r="7153" ht="15.75" customHeight="1"/>
    <row r="7154" ht="15.75" customHeight="1"/>
    <row r="7155" ht="15.75" customHeight="1"/>
    <row r="7156" ht="15.75" customHeight="1"/>
    <row r="7157" ht="15.75" customHeight="1"/>
    <row r="7158" ht="15.75" customHeight="1"/>
    <row r="7159" ht="15.75" customHeight="1"/>
    <row r="7160" ht="15.75" customHeight="1"/>
    <row r="7161" ht="15.75" customHeight="1"/>
    <row r="7162" ht="15.75" customHeight="1"/>
    <row r="7163" ht="15.75" customHeight="1"/>
    <row r="7164" ht="15.75" customHeight="1"/>
    <row r="7165" ht="15.75" customHeight="1"/>
    <row r="7166" ht="15.75" customHeight="1"/>
    <row r="7167" ht="15.75" customHeight="1"/>
    <row r="7168" ht="15.75" customHeight="1"/>
    <row r="7169" ht="15.75" customHeight="1"/>
    <row r="7170" ht="15.75" customHeight="1"/>
    <row r="7171" ht="15.75" customHeight="1"/>
    <row r="7172" ht="15.75" customHeight="1"/>
    <row r="7173" ht="15.75" customHeight="1"/>
    <row r="7174" ht="15.75" customHeight="1"/>
    <row r="7175" ht="15.75" customHeight="1"/>
    <row r="7176" ht="15.75" customHeight="1"/>
    <row r="7177" ht="15.75" customHeight="1"/>
    <row r="7178" ht="15.75" customHeight="1"/>
    <row r="7179" ht="15.75" customHeight="1"/>
    <row r="7180" ht="15.75" customHeight="1"/>
    <row r="7181" ht="15.75" customHeight="1"/>
    <row r="7182" ht="15.75" customHeight="1"/>
    <row r="7183" ht="15.75" customHeight="1"/>
    <row r="7184" ht="15.75" customHeight="1"/>
    <row r="7185" ht="15.75" customHeight="1"/>
    <row r="7186" ht="15.75" customHeight="1"/>
    <row r="7187" ht="15.75" customHeight="1"/>
    <row r="7188" ht="15.75" customHeight="1"/>
    <row r="7189" ht="15.75" customHeight="1"/>
    <row r="7190" ht="15.75" customHeight="1"/>
    <row r="7191" ht="15.75" customHeight="1"/>
    <row r="7192" ht="15.75" customHeight="1"/>
    <row r="7193" ht="15.75" customHeight="1"/>
    <row r="7194" ht="15.75" customHeight="1"/>
    <row r="7195" ht="15.75" customHeight="1"/>
    <row r="7196" ht="15.75" customHeight="1"/>
    <row r="7197" ht="15.75" customHeight="1"/>
    <row r="7198" ht="15.75" customHeight="1"/>
    <row r="7199" ht="15.75" customHeight="1"/>
    <row r="7200" ht="15.75" customHeight="1"/>
    <row r="7201" ht="15.75" customHeight="1"/>
    <row r="7202" ht="15.75" customHeight="1"/>
    <row r="7203" ht="15.75" customHeight="1"/>
    <row r="7204" ht="15.75" customHeight="1"/>
    <row r="7205" ht="15.75" customHeight="1"/>
    <row r="7206" ht="15.75" customHeight="1"/>
    <row r="7207" ht="15.75" customHeight="1"/>
    <row r="7208" ht="15.75" customHeight="1"/>
    <row r="7209" ht="15.75" customHeight="1"/>
    <row r="7210" ht="15.75" customHeight="1"/>
    <row r="7211" ht="15.75" customHeight="1"/>
    <row r="7212" ht="15.75" customHeight="1"/>
    <row r="7213" ht="15.75" customHeight="1"/>
    <row r="7214" ht="15.75" customHeight="1"/>
    <row r="7215" ht="15.75" customHeight="1"/>
    <row r="7216" ht="15.75" customHeight="1"/>
    <row r="7217" ht="15.75" customHeight="1"/>
    <row r="7218" ht="15.75" customHeight="1"/>
    <row r="7219" ht="15.75" customHeight="1"/>
    <row r="7220" ht="15.75" customHeight="1"/>
    <row r="7221" ht="15.75" customHeight="1"/>
    <row r="7222" ht="15.75" customHeight="1"/>
    <row r="7223" ht="15.75" customHeight="1"/>
    <row r="7224" ht="15.75" customHeight="1"/>
    <row r="7225" ht="15.75" customHeight="1"/>
    <row r="7226" ht="15.75" customHeight="1"/>
    <row r="7227" ht="15.75" customHeight="1"/>
    <row r="7228" ht="15.75" customHeight="1"/>
    <row r="7229" ht="15.75" customHeight="1"/>
    <row r="7230" ht="15.75" customHeight="1"/>
    <row r="7231" ht="15.75" customHeight="1"/>
    <row r="7232" ht="15.75" customHeight="1"/>
    <row r="7233" ht="15.75" customHeight="1"/>
    <row r="7234" ht="15.75" customHeight="1"/>
    <row r="7235" ht="15.75" customHeight="1"/>
    <row r="7236" ht="15.75" customHeight="1"/>
    <row r="7237" ht="15.75" customHeight="1"/>
    <row r="7238" ht="15.75" customHeight="1"/>
    <row r="7239" ht="15.75" customHeight="1"/>
    <row r="7240" ht="15.75" customHeight="1"/>
    <row r="7241" ht="15.75" customHeight="1"/>
    <row r="7242" ht="15.75" customHeight="1"/>
    <row r="7243" ht="15.75" customHeight="1"/>
    <row r="7244" ht="15.75" customHeight="1"/>
    <row r="7245" ht="15.75" customHeight="1"/>
    <row r="7246" ht="15.75" customHeight="1"/>
    <row r="7247" ht="15.75" customHeight="1"/>
    <row r="7248" ht="15.75" customHeight="1"/>
    <row r="7249" ht="15.75" customHeight="1"/>
    <row r="7250" ht="15.75" customHeight="1"/>
    <row r="7251" ht="15.75" customHeight="1"/>
    <row r="7252" ht="15.75" customHeight="1"/>
    <row r="7253" ht="15.75" customHeight="1"/>
    <row r="7254" ht="15.75" customHeight="1"/>
    <row r="7255" ht="15.75" customHeight="1"/>
    <row r="7256" ht="15.75" customHeight="1"/>
    <row r="7257" ht="15.75" customHeight="1"/>
    <row r="7258" ht="15.75" customHeight="1"/>
    <row r="7259" ht="15.75" customHeight="1"/>
    <row r="7260" ht="15.75" customHeight="1"/>
    <row r="7261" ht="15.75" customHeight="1"/>
    <row r="7262" ht="15.75" customHeight="1"/>
    <row r="7263" ht="15.75" customHeight="1"/>
    <row r="7264" ht="15.75" customHeight="1"/>
    <row r="7265" ht="15.75" customHeight="1"/>
    <row r="7266" ht="15.75" customHeight="1"/>
    <row r="7267" ht="15.75" customHeight="1"/>
    <row r="7268" ht="15.75" customHeight="1"/>
    <row r="7269" ht="15.75" customHeight="1"/>
    <row r="7270" ht="15.75" customHeight="1"/>
    <row r="7271" ht="15.75" customHeight="1"/>
    <row r="7272" ht="15.75" customHeight="1"/>
    <row r="7273" ht="15.75" customHeight="1"/>
    <row r="7274" ht="15.75" customHeight="1"/>
    <row r="7275" ht="15.75" customHeight="1"/>
    <row r="7276" ht="15.75" customHeight="1"/>
    <row r="7277" ht="15.75" customHeight="1"/>
    <row r="7278" ht="15.75" customHeight="1"/>
    <row r="7279" ht="15.75" customHeight="1"/>
    <row r="7280" ht="15.75" customHeight="1"/>
    <row r="7281" ht="15.75" customHeight="1"/>
    <row r="7282" ht="15.75" customHeight="1"/>
    <row r="7283" ht="15.75" customHeight="1"/>
    <row r="7284" ht="15.75" customHeight="1"/>
    <row r="7285" ht="15.75" customHeight="1"/>
    <row r="7286" ht="15.75" customHeight="1"/>
    <row r="7287" ht="15.75" customHeight="1"/>
    <row r="7288" ht="15.75" customHeight="1"/>
    <row r="7289" ht="15.75" customHeight="1"/>
    <row r="7290" ht="15.75" customHeight="1"/>
    <row r="7291" ht="15.75" customHeight="1"/>
    <row r="7292" ht="15.75" customHeight="1"/>
    <row r="7293" ht="15.75" customHeight="1"/>
    <row r="7294" ht="15.75" customHeight="1"/>
    <row r="7295" ht="15.75" customHeight="1"/>
    <row r="7296" ht="15.75" customHeight="1"/>
    <row r="7297" ht="15.75" customHeight="1"/>
    <row r="7298" ht="15.75" customHeight="1"/>
    <row r="7299" ht="15.75" customHeight="1"/>
    <row r="7300" ht="15.75" customHeight="1"/>
    <row r="7301" ht="15.75" customHeight="1"/>
    <row r="7302" ht="15.75" customHeight="1"/>
    <row r="7303" ht="15.75" customHeight="1"/>
    <row r="7304" ht="15.75" customHeight="1"/>
    <row r="7305" ht="15.75" customHeight="1"/>
    <row r="7306" ht="15.75" customHeight="1"/>
    <row r="7307" ht="15.75" customHeight="1"/>
    <row r="7308" ht="15.75" customHeight="1"/>
    <row r="7309" ht="15.75" customHeight="1"/>
    <row r="7310" ht="15.75" customHeight="1"/>
    <row r="7311" ht="15.75" customHeight="1"/>
    <row r="7312" ht="15.75" customHeight="1"/>
    <row r="7313" ht="15.75" customHeight="1"/>
    <row r="7314" ht="15.75" customHeight="1"/>
    <row r="7315" ht="15.75" customHeight="1"/>
    <row r="7316" ht="15.75" customHeight="1"/>
    <row r="7317" ht="15.75" customHeight="1"/>
    <row r="7318" ht="15.75" customHeight="1"/>
    <row r="7319" ht="15.75" customHeight="1"/>
    <row r="7320" ht="15.75" customHeight="1"/>
    <row r="7321" ht="15.75" customHeight="1"/>
    <row r="7322" ht="15.75" customHeight="1"/>
    <row r="7323" ht="15.75" customHeight="1"/>
    <row r="7324" ht="15.75" customHeight="1"/>
    <row r="7325" ht="15.75" customHeight="1"/>
    <row r="7326" ht="15.75" customHeight="1"/>
    <row r="7327" ht="15.75" customHeight="1"/>
    <row r="7328" ht="15.75" customHeight="1"/>
    <row r="7329" ht="15.75" customHeight="1"/>
    <row r="7330" ht="15.75" customHeight="1"/>
    <row r="7331" ht="15.75" customHeight="1"/>
    <row r="7332" ht="15.75" customHeight="1"/>
    <row r="7333" ht="15.75" customHeight="1"/>
    <row r="7334" ht="15.75" customHeight="1"/>
    <row r="7335" ht="15.75" customHeight="1"/>
    <row r="7336" ht="15.75" customHeight="1"/>
    <row r="7337" ht="15.75" customHeight="1"/>
    <row r="7338" ht="15.75" customHeight="1"/>
    <row r="7339" ht="15.75" customHeight="1"/>
    <row r="7340" ht="15.75" customHeight="1"/>
    <row r="7341" ht="15.75" customHeight="1"/>
    <row r="7342" ht="15.75" customHeight="1"/>
    <row r="7343" ht="15.75" customHeight="1"/>
    <row r="7344" ht="15.75" customHeight="1"/>
    <row r="7345" ht="15.75" customHeight="1"/>
    <row r="7346" ht="15.75" customHeight="1"/>
    <row r="7347" ht="15.75" customHeight="1"/>
    <row r="7348" ht="15.75" customHeight="1"/>
    <row r="7349" ht="15.75" customHeight="1"/>
    <row r="7350" ht="15.75" customHeight="1"/>
    <row r="7351" ht="15.75" customHeight="1"/>
    <row r="7352" ht="15.75" customHeight="1"/>
    <row r="7353" ht="15.75" customHeight="1"/>
    <row r="7354" ht="15.75" customHeight="1"/>
    <row r="7355" ht="15.75" customHeight="1"/>
    <row r="7356" ht="15.75" customHeight="1"/>
    <row r="7357" ht="15.75" customHeight="1"/>
    <row r="7358" ht="15.75" customHeight="1"/>
    <row r="7359" ht="15.75" customHeight="1"/>
    <row r="7360" ht="15.75" customHeight="1"/>
    <row r="7361" ht="15.75" customHeight="1"/>
    <row r="7362" ht="15.75" customHeight="1"/>
    <row r="7363" ht="15.75" customHeight="1"/>
    <row r="7364" ht="15.75" customHeight="1"/>
    <row r="7365" ht="15.75" customHeight="1"/>
    <row r="7366" ht="15.75" customHeight="1"/>
    <row r="7367" ht="15.75" customHeight="1"/>
    <row r="7368" ht="15.75" customHeight="1"/>
    <row r="7369" ht="15.75" customHeight="1"/>
    <row r="7370" ht="15.75" customHeight="1"/>
    <row r="7371" ht="15.75" customHeight="1"/>
    <row r="7372" ht="15.75" customHeight="1"/>
    <row r="7373" ht="15.75" customHeight="1"/>
    <row r="7374" ht="15.75" customHeight="1"/>
    <row r="7375" ht="15.75" customHeight="1"/>
    <row r="7376" ht="15.75" customHeight="1"/>
    <row r="7377" ht="15.75" customHeight="1"/>
    <row r="7378" ht="15.75" customHeight="1"/>
    <row r="7379" ht="15.75" customHeight="1"/>
    <row r="7380" ht="15.75" customHeight="1"/>
    <row r="7381" ht="15.75" customHeight="1"/>
    <row r="7382" ht="15.75" customHeight="1"/>
    <row r="7383" ht="15.75" customHeight="1"/>
    <row r="7384" ht="15.75" customHeight="1"/>
    <row r="7385" ht="15.75" customHeight="1"/>
    <row r="7386" ht="15.75" customHeight="1"/>
    <row r="7387" ht="15.75" customHeight="1"/>
    <row r="7388" ht="15.75" customHeight="1"/>
    <row r="7389" ht="15.75" customHeight="1"/>
    <row r="7390" ht="15.75" customHeight="1"/>
    <row r="7391" ht="15.75" customHeight="1"/>
    <row r="7392" ht="15.75" customHeight="1"/>
    <row r="7393" ht="15.75" customHeight="1"/>
    <row r="7394" ht="15.75" customHeight="1"/>
    <row r="7395" ht="15.75" customHeight="1"/>
    <row r="7396" ht="15.75" customHeight="1"/>
    <row r="7397" ht="15.75" customHeight="1"/>
    <row r="7398" ht="15.75" customHeight="1"/>
    <row r="7399" ht="15.75" customHeight="1"/>
    <row r="7400" ht="15.75" customHeight="1"/>
    <row r="7401" ht="15.75" customHeight="1"/>
    <row r="7402" ht="15.75" customHeight="1"/>
    <row r="7403" ht="15.75" customHeight="1"/>
    <row r="7404" ht="15.75" customHeight="1"/>
    <row r="7405" ht="15.75" customHeight="1"/>
    <row r="7406" ht="15.75" customHeight="1"/>
    <row r="7407" ht="15.75" customHeight="1"/>
    <row r="7408" ht="15.75" customHeight="1"/>
    <row r="7409" ht="15.75" customHeight="1"/>
    <row r="7410" ht="15.75" customHeight="1"/>
    <row r="7411" ht="15.75" customHeight="1"/>
    <row r="7412" ht="15.75" customHeight="1"/>
    <row r="7413" ht="15.75" customHeight="1"/>
    <row r="7414" ht="15.75" customHeight="1"/>
    <row r="7415" ht="15.75" customHeight="1"/>
    <row r="7416" ht="15.75" customHeight="1"/>
    <row r="7417" ht="15.75" customHeight="1"/>
    <row r="7418" ht="15.75" customHeight="1"/>
    <row r="7419" ht="15.75" customHeight="1"/>
    <row r="7420" ht="15.75" customHeight="1"/>
    <row r="7421" ht="15.75" customHeight="1"/>
    <row r="7422" ht="15.75" customHeight="1"/>
    <row r="7423" ht="15.75" customHeight="1"/>
    <row r="7424" ht="15.75" customHeight="1"/>
    <row r="7425" ht="15.75" customHeight="1"/>
    <row r="7426" ht="15.75" customHeight="1"/>
    <row r="7427" ht="15.75" customHeight="1"/>
    <row r="7428" ht="15.75" customHeight="1"/>
    <row r="7429" ht="15.75" customHeight="1"/>
    <row r="7430" ht="15.75" customHeight="1"/>
    <row r="7431" ht="15.75" customHeight="1"/>
    <row r="7432" ht="15.75" customHeight="1"/>
    <row r="7433" ht="15.75" customHeight="1"/>
    <row r="7434" ht="15.75" customHeight="1"/>
    <row r="7435" ht="15.75" customHeight="1"/>
    <row r="7436" ht="15.75" customHeight="1"/>
    <row r="7437" ht="15.75" customHeight="1"/>
    <row r="7438" ht="15.75" customHeight="1"/>
    <row r="7439" ht="15.75" customHeight="1"/>
    <row r="7440" ht="15.75" customHeight="1"/>
    <row r="7441" ht="15.75" customHeight="1"/>
    <row r="7442" ht="15.75" customHeight="1"/>
    <row r="7443" ht="15.75" customHeight="1"/>
    <row r="7444" ht="15.75" customHeight="1"/>
    <row r="7445" ht="15.75" customHeight="1"/>
    <row r="7446" ht="15.75" customHeight="1"/>
    <row r="7447" ht="15.75" customHeight="1"/>
    <row r="7448" ht="15.75" customHeight="1"/>
    <row r="7449" ht="15.75" customHeight="1"/>
    <row r="7450" ht="15.75" customHeight="1"/>
    <row r="7451" ht="15.75" customHeight="1"/>
    <row r="7452" ht="15.75" customHeight="1"/>
    <row r="7453" ht="15.75" customHeight="1"/>
    <row r="7454" ht="15.75" customHeight="1"/>
    <row r="7455" ht="15.75" customHeight="1"/>
    <row r="7456" ht="15.75" customHeight="1"/>
    <row r="7457" ht="15.75" customHeight="1"/>
    <row r="7458" ht="15.75" customHeight="1"/>
    <row r="7459" ht="15.75" customHeight="1"/>
    <row r="7460" ht="15.75" customHeight="1"/>
    <row r="7461" ht="15.75" customHeight="1"/>
    <row r="7462" ht="15.75" customHeight="1"/>
    <row r="7463" ht="15.75" customHeight="1"/>
    <row r="7464" ht="15.75" customHeight="1"/>
    <row r="7465" ht="15.75" customHeight="1"/>
    <row r="7466" ht="15.75" customHeight="1"/>
    <row r="7467" ht="15.75" customHeight="1"/>
    <row r="7468" ht="15.75" customHeight="1"/>
    <row r="7469" ht="15.75" customHeight="1"/>
    <row r="7470" ht="15.75" customHeight="1"/>
    <row r="7471" ht="15.75" customHeight="1"/>
    <row r="7472" ht="15.75" customHeight="1"/>
    <row r="7473" ht="15.75" customHeight="1"/>
    <row r="7474" ht="15.75" customHeight="1"/>
    <row r="7475" ht="15.75" customHeight="1"/>
    <row r="7476" ht="15.75" customHeight="1"/>
    <row r="7477" ht="15.75" customHeight="1"/>
    <row r="7478" ht="15.75" customHeight="1"/>
    <row r="7479" ht="15.75" customHeight="1"/>
    <row r="7480" ht="15.75" customHeight="1"/>
    <row r="7481" ht="15.75" customHeight="1"/>
    <row r="7482" ht="15.75" customHeight="1"/>
    <row r="7483" ht="15.75" customHeight="1"/>
    <row r="7484" ht="15.75" customHeight="1"/>
    <row r="7485" ht="15.75" customHeight="1"/>
    <row r="7486" ht="15.75" customHeight="1"/>
    <row r="7487" ht="15.75" customHeight="1"/>
    <row r="7488" ht="15.75" customHeight="1"/>
    <row r="7489" ht="15.75" customHeight="1"/>
    <row r="7490" ht="15.75" customHeight="1"/>
    <row r="7491" ht="15.75" customHeight="1"/>
    <row r="7492" ht="15.75" customHeight="1"/>
    <row r="7493" ht="15.75" customHeight="1"/>
    <row r="7494" ht="15.75" customHeight="1"/>
    <row r="7495" ht="15.75" customHeight="1"/>
    <row r="7496" ht="15.75" customHeight="1"/>
    <row r="7497" ht="15.75" customHeight="1"/>
    <row r="7498" ht="15.75" customHeight="1"/>
    <row r="7499" ht="15.75" customHeight="1"/>
    <row r="7500" ht="15.75" customHeight="1"/>
    <row r="7501" ht="15.75" customHeight="1"/>
    <row r="7502" ht="15.75" customHeight="1"/>
    <row r="7503" ht="15.75" customHeight="1"/>
    <row r="7504" ht="15.75" customHeight="1"/>
    <row r="7505" ht="15.75" customHeight="1"/>
    <row r="7506" ht="15.75" customHeight="1"/>
    <row r="7507" ht="15.75" customHeight="1"/>
    <row r="7508" ht="15.75" customHeight="1"/>
    <row r="7509" ht="15.75" customHeight="1"/>
    <row r="7510" ht="15.75" customHeight="1"/>
    <row r="7511" ht="15.75" customHeight="1"/>
    <row r="7512" ht="15.75" customHeight="1"/>
    <row r="7513" ht="15.75" customHeight="1"/>
    <row r="7514" ht="15.75" customHeight="1"/>
    <row r="7515" ht="15.75" customHeight="1"/>
    <row r="7516" ht="15.75" customHeight="1"/>
    <row r="7517" ht="15.75" customHeight="1"/>
    <row r="7518" ht="15.75" customHeight="1"/>
    <row r="7519" ht="15.75" customHeight="1"/>
    <row r="7520" ht="15.75" customHeight="1"/>
    <row r="7521" ht="15.75" customHeight="1"/>
    <row r="7522" ht="15.75" customHeight="1"/>
    <row r="7523" ht="15.75" customHeight="1"/>
    <row r="7524" ht="15.75" customHeight="1"/>
    <row r="7525" ht="15.75" customHeight="1"/>
    <row r="7526" ht="15.75" customHeight="1"/>
    <row r="7527" ht="15.75" customHeight="1"/>
    <row r="7528" ht="15.75" customHeight="1"/>
    <row r="7529" ht="15.75" customHeight="1"/>
    <row r="7530" ht="15.75" customHeight="1"/>
    <row r="7531" ht="15.75" customHeight="1"/>
    <row r="7532" ht="15.75" customHeight="1"/>
    <row r="7533" ht="15.75" customHeight="1"/>
    <row r="7534" ht="15.75" customHeight="1"/>
    <row r="7535" ht="15.75" customHeight="1"/>
    <row r="7536" ht="15.75" customHeight="1"/>
    <row r="7537" ht="15.75" customHeight="1"/>
    <row r="7538" ht="15.75" customHeight="1"/>
    <row r="7539" ht="15.75" customHeight="1"/>
    <row r="7540" ht="15.75" customHeight="1"/>
    <row r="7541" ht="15.75" customHeight="1"/>
    <row r="7542" ht="15.75" customHeight="1"/>
    <row r="7543" ht="15.75" customHeight="1"/>
    <row r="7544" ht="15.75" customHeight="1"/>
    <row r="7545" ht="15.75" customHeight="1"/>
    <row r="7546" ht="15.75" customHeight="1"/>
    <row r="7547" ht="15.75" customHeight="1"/>
    <row r="7548" ht="15.75" customHeight="1"/>
    <row r="7549" ht="15.75" customHeight="1"/>
    <row r="7550" ht="15.75" customHeight="1"/>
    <row r="7551" ht="15.75" customHeight="1"/>
    <row r="7552" ht="15.75" customHeight="1"/>
    <row r="7553" ht="15.75" customHeight="1"/>
    <row r="7554" ht="15.75" customHeight="1"/>
    <row r="7555" ht="15.75" customHeight="1"/>
    <row r="7556" ht="15.75" customHeight="1"/>
    <row r="7557" ht="15.75" customHeight="1"/>
    <row r="7558" ht="15.75" customHeight="1"/>
    <row r="7559" ht="15.75" customHeight="1"/>
    <row r="7560" ht="15.75" customHeight="1"/>
    <row r="7561" ht="15.75" customHeight="1"/>
    <row r="7562" ht="15.75" customHeight="1"/>
    <row r="7563" ht="15.75" customHeight="1"/>
    <row r="7564" ht="15.75" customHeight="1"/>
    <row r="7565" ht="15.75" customHeight="1"/>
    <row r="7566" ht="15.75" customHeight="1"/>
    <row r="7567" ht="15.75" customHeight="1"/>
    <row r="7568" ht="15.75" customHeight="1"/>
    <row r="7569" ht="15.75" customHeight="1"/>
    <row r="7570" ht="15.75" customHeight="1"/>
    <row r="7571" ht="15.75" customHeight="1"/>
    <row r="7572" ht="15.75" customHeight="1"/>
    <row r="7573" ht="15.75" customHeight="1"/>
    <row r="7574" ht="15.75" customHeight="1"/>
    <row r="7575" ht="15.75" customHeight="1"/>
    <row r="7576" ht="15.75" customHeight="1"/>
    <row r="7577" ht="15.75" customHeight="1"/>
    <row r="7578" ht="15.75" customHeight="1"/>
    <row r="7579" ht="15.75" customHeight="1"/>
    <row r="7580" ht="15.75" customHeight="1"/>
    <row r="7581" ht="15.75" customHeight="1"/>
    <row r="7582" ht="15.75" customHeight="1"/>
    <row r="7583" ht="15.75" customHeight="1"/>
    <row r="7584" ht="15.75" customHeight="1"/>
    <row r="7585" ht="15.75" customHeight="1"/>
    <row r="7586" ht="15.75" customHeight="1"/>
    <row r="7587" ht="15.75" customHeight="1"/>
    <row r="7588" ht="15.75" customHeight="1"/>
    <row r="7589" ht="15.75" customHeight="1"/>
    <row r="7590" ht="15.75" customHeight="1"/>
    <row r="7591" ht="15.75" customHeight="1"/>
    <row r="7592" ht="15.75" customHeight="1"/>
    <row r="7593" ht="15.75" customHeight="1"/>
    <row r="7594" ht="15.75" customHeight="1"/>
    <row r="7595" ht="15.75" customHeight="1"/>
    <row r="7596" ht="15.75" customHeight="1"/>
    <row r="7597" ht="15.75" customHeight="1"/>
    <row r="7598" ht="15.75" customHeight="1"/>
    <row r="7599" ht="15.75" customHeight="1"/>
    <row r="7600" ht="15.75" customHeight="1"/>
    <row r="7601" ht="15.75" customHeight="1"/>
    <row r="7602" ht="15.75" customHeight="1"/>
    <row r="7603" ht="15.75" customHeight="1"/>
    <row r="7604" ht="15.75" customHeight="1"/>
    <row r="7605" ht="15.75" customHeight="1"/>
    <row r="7606" ht="15.75" customHeight="1"/>
    <row r="7607" ht="15.75" customHeight="1"/>
    <row r="7608" ht="15.75" customHeight="1"/>
    <row r="7609" ht="15.75" customHeight="1"/>
    <row r="7610" ht="15.75" customHeight="1"/>
    <row r="7611" ht="15.75" customHeight="1"/>
    <row r="7612" ht="15.75" customHeight="1"/>
    <row r="7613" ht="15.75" customHeight="1"/>
    <row r="7614" ht="15.75" customHeight="1"/>
    <row r="7615" ht="15.75" customHeight="1"/>
    <row r="7616" ht="15.75" customHeight="1"/>
    <row r="7617" ht="15.75" customHeight="1"/>
    <row r="7618" ht="15.75" customHeight="1"/>
    <row r="7619" ht="15.75" customHeight="1"/>
    <row r="7620" ht="15.75" customHeight="1"/>
    <row r="7621" ht="15.75" customHeight="1"/>
    <row r="7622" ht="15.75" customHeight="1"/>
    <row r="7623" ht="15.75" customHeight="1"/>
    <row r="7624" ht="15.75" customHeight="1"/>
    <row r="7625" ht="15.75" customHeight="1"/>
    <row r="7626" ht="15.75" customHeight="1"/>
    <row r="7627" ht="15.75" customHeight="1"/>
    <row r="7628" ht="15.75" customHeight="1"/>
    <row r="7629" ht="15.75" customHeight="1"/>
    <row r="7630" ht="15.75" customHeight="1"/>
    <row r="7631" ht="15.75" customHeight="1"/>
    <row r="7632" ht="15.75" customHeight="1"/>
    <row r="7633" ht="15.75" customHeight="1"/>
    <row r="7634" ht="15.75" customHeight="1"/>
    <row r="7635" ht="15.75" customHeight="1"/>
    <row r="7636" ht="15.75" customHeight="1"/>
    <row r="7637" ht="15.75" customHeight="1"/>
    <row r="7638" ht="15.75" customHeight="1"/>
    <row r="7639" ht="15.75" customHeight="1"/>
    <row r="7640" ht="15.75" customHeight="1"/>
    <row r="7641" ht="15.75" customHeight="1"/>
    <row r="7642" ht="15.75" customHeight="1"/>
    <row r="7643" ht="15.75" customHeight="1"/>
    <row r="7644" ht="15.75" customHeight="1"/>
    <row r="7645" ht="15.75" customHeight="1"/>
    <row r="7646" ht="15.75" customHeight="1"/>
    <row r="7647" ht="15.75" customHeight="1"/>
    <row r="7648" ht="15.75" customHeight="1"/>
    <row r="7649" ht="15.75" customHeight="1"/>
    <row r="7650" ht="15.75" customHeight="1"/>
    <row r="7651" ht="15.75" customHeight="1"/>
    <row r="7652" ht="15.75" customHeight="1"/>
    <row r="7653" ht="15.75" customHeight="1"/>
    <row r="7654" ht="15.75" customHeight="1"/>
    <row r="7655" ht="15.75" customHeight="1"/>
    <row r="7656" ht="15.75" customHeight="1"/>
    <row r="7657" ht="15.75" customHeight="1"/>
    <row r="7658" ht="15.75" customHeight="1"/>
    <row r="7659" ht="15.75" customHeight="1"/>
    <row r="7660" ht="15.75" customHeight="1"/>
    <row r="7661" ht="15.75" customHeight="1"/>
    <row r="7662" ht="15.75" customHeight="1"/>
    <row r="7663" ht="15.75" customHeight="1"/>
    <row r="7664" ht="15.75" customHeight="1"/>
    <row r="7665" ht="15.75" customHeight="1"/>
    <row r="7666" ht="15.75" customHeight="1"/>
    <row r="7667" ht="15.75" customHeight="1"/>
    <row r="7668" ht="15.75" customHeight="1"/>
    <row r="7669" ht="15.75" customHeight="1"/>
    <row r="7670" ht="15.75" customHeight="1"/>
    <row r="7671" ht="15.75" customHeight="1"/>
    <row r="7672" ht="15.75" customHeight="1"/>
    <row r="7673" ht="15.75" customHeight="1"/>
    <row r="7674" ht="15.75" customHeight="1"/>
    <row r="7675" ht="15.75" customHeight="1"/>
    <row r="7676" ht="15.75" customHeight="1"/>
    <row r="7677" ht="15.75" customHeight="1"/>
    <row r="7678" ht="15.75" customHeight="1"/>
    <row r="7679" ht="15.75" customHeight="1"/>
    <row r="7680" ht="15.75" customHeight="1"/>
    <row r="7681" ht="15.75" customHeight="1"/>
    <row r="7682" ht="15.75" customHeight="1"/>
    <row r="7683" ht="15.75" customHeight="1"/>
    <row r="7684" ht="15.75" customHeight="1"/>
    <row r="7685" ht="15.75" customHeight="1"/>
    <row r="7686" ht="15.75" customHeight="1"/>
    <row r="7687" ht="15.75" customHeight="1"/>
    <row r="7688" ht="15.75" customHeight="1"/>
    <row r="7689" ht="15.75" customHeight="1"/>
    <row r="7690" ht="15.75" customHeight="1"/>
    <row r="7691" ht="15.75" customHeight="1"/>
    <row r="7692" ht="15.75" customHeight="1"/>
    <row r="7693" ht="15.75" customHeight="1"/>
    <row r="7694" ht="15.75" customHeight="1"/>
    <row r="7695" ht="15.75" customHeight="1"/>
    <row r="7696" ht="15.75" customHeight="1"/>
    <row r="7697" ht="15.75" customHeight="1"/>
    <row r="7698" ht="15.75" customHeight="1"/>
    <row r="7699" ht="15.75" customHeight="1"/>
    <row r="7700" ht="15.75" customHeight="1"/>
    <row r="7701" ht="15.75" customHeight="1"/>
    <row r="7702" ht="15.75" customHeight="1"/>
    <row r="7703" ht="15.75" customHeight="1"/>
    <row r="7704" ht="15.75" customHeight="1"/>
    <row r="7705" ht="15.75" customHeight="1"/>
    <row r="7706" ht="15.75" customHeight="1"/>
    <row r="7707" ht="15.75" customHeight="1"/>
    <row r="7708" ht="15.75" customHeight="1"/>
    <row r="7709" ht="15.75" customHeight="1"/>
    <row r="7710" ht="15.75" customHeight="1"/>
    <row r="7711" ht="15.75" customHeight="1"/>
    <row r="7712" ht="15.75" customHeight="1"/>
    <row r="7713" ht="15.75" customHeight="1"/>
    <row r="7714" ht="15.75" customHeight="1"/>
    <row r="7715" ht="15.75" customHeight="1"/>
    <row r="7716" ht="15.75" customHeight="1"/>
    <row r="7717" ht="15.75" customHeight="1"/>
    <row r="7718" ht="15.75" customHeight="1"/>
    <row r="7719" ht="15.75" customHeight="1"/>
    <row r="7720" ht="15.75" customHeight="1"/>
    <row r="7721" ht="15.75" customHeight="1"/>
    <row r="7722" ht="15.75" customHeight="1"/>
    <row r="7723" ht="15.75" customHeight="1"/>
    <row r="7724" ht="15.75" customHeight="1"/>
    <row r="7725" ht="15.75" customHeight="1"/>
    <row r="7726" ht="15.75" customHeight="1"/>
    <row r="7727" ht="15.75" customHeight="1"/>
    <row r="7728" ht="15.75" customHeight="1"/>
    <row r="7729" ht="15.75" customHeight="1"/>
    <row r="7730" ht="15.75" customHeight="1"/>
    <row r="7731" ht="15.75" customHeight="1"/>
    <row r="7732" ht="15.75" customHeight="1"/>
    <row r="7733" ht="15.75" customHeight="1"/>
    <row r="7734" ht="15.75" customHeight="1"/>
    <row r="7735" ht="15.75" customHeight="1"/>
    <row r="7736" ht="15.75" customHeight="1"/>
    <row r="7737" ht="15.75" customHeight="1"/>
    <row r="7738" ht="15.75" customHeight="1"/>
    <row r="7739" ht="15.75" customHeight="1"/>
    <row r="7740" ht="15.75" customHeight="1"/>
    <row r="7741" ht="15.75" customHeight="1"/>
    <row r="7742" ht="15.75" customHeight="1"/>
    <row r="7743" ht="15.75" customHeight="1"/>
    <row r="7744" ht="15.75" customHeight="1"/>
    <row r="7745" ht="15.75" customHeight="1"/>
    <row r="7746" ht="15.75" customHeight="1"/>
    <row r="7747" ht="15.75" customHeight="1"/>
    <row r="7748" ht="15.75" customHeight="1"/>
    <row r="7749" ht="15.75" customHeight="1"/>
    <row r="7750" ht="15.75" customHeight="1"/>
    <row r="7751" ht="15.75" customHeight="1"/>
    <row r="7752" ht="15.75" customHeight="1"/>
    <row r="7753" ht="15.75" customHeight="1"/>
    <row r="7754" ht="15.75" customHeight="1"/>
    <row r="7755" ht="15.75" customHeight="1"/>
    <row r="7756" ht="15.75" customHeight="1"/>
    <row r="7757" ht="15.75" customHeight="1"/>
    <row r="7758" ht="15.75" customHeight="1"/>
    <row r="7759" ht="15.75" customHeight="1"/>
    <row r="7760" ht="15.75" customHeight="1"/>
    <row r="7761" ht="15.75" customHeight="1"/>
    <row r="7762" ht="15.75" customHeight="1"/>
    <row r="7763" ht="15.75" customHeight="1"/>
    <row r="7764" ht="15.75" customHeight="1"/>
    <row r="7765" ht="15.75" customHeight="1"/>
    <row r="7766" ht="15.75" customHeight="1"/>
    <row r="7767" ht="15.75" customHeight="1"/>
    <row r="7768" ht="15.75" customHeight="1"/>
    <row r="7769" ht="15.75" customHeight="1"/>
    <row r="7770" ht="15.75" customHeight="1"/>
    <row r="7771" ht="15.75" customHeight="1"/>
    <row r="7772" ht="15.75" customHeight="1"/>
    <row r="7773" ht="15.75" customHeight="1"/>
    <row r="7774" ht="15.75" customHeight="1"/>
    <row r="7775" ht="15.75" customHeight="1"/>
    <row r="7776" ht="15.75" customHeight="1"/>
    <row r="7777" ht="15.75" customHeight="1"/>
    <row r="7778" ht="15.75" customHeight="1"/>
    <row r="7779" ht="15.75" customHeight="1"/>
    <row r="7780" ht="15.75" customHeight="1"/>
    <row r="7781" ht="15.75" customHeight="1"/>
    <row r="7782" ht="15.75" customHeight="1"/>
    <row r="7783" ht="15.75" customHeight="1"/>
    <row r="7784" ht="15.75" customHeight="1"/>
    <row r="7785" ht="15.75" customHeight="1"/>
    <row r="7786" ht="15.75" customHeight="1"/>
    <row r="7787" ht="15.75" customHeight="1"/>
    <row r="7788" ht="15.75" customHeight="1"/>
    <row r="7789" ht="15.75" customHeight="1"/>
    <row r="7790" ht="15.75" customHeight="1"/>
    <row r="7791" ht="15.75" customHeight="1"/>
    <row r="7792" ht="15.75" customHeight="1"/>
    <row r="7793" ht="15.75" customHeight="1"/>
    <row r="7794" ht="15.75" customHeight="1"/>
    <row r="7795" ht="15.75" customHeight="1"/>
    <row r="7796" ht="15.75" customHeight="1"/>
    <row r="7797" ht="15.75" customHeight="1"/>
    <row r="7798" ht="15.75" customHeight="1"/>
    <row r="7799" ht="15.75" customHeight="1"/>
    <row r="7800" ht="15.75" customHeight="1"/>
    <row r="7801" ht="15.75" customHeight="1"/>
    <row r="7802" ht="15.75" customHeight="1"/>
    <row r="7803" ht="15.75" customHeight="1"/>
    <row r="7804" ht="15.75" customHeight="1"/>
    <row r="7805" ht="15.75" customHeight="1"/>
    <row r="7806" ht="15.75" customHeight="1"/>
    <row r="7807" ht="15.75" customHeight="1"/>
    <row r="7808" ht="15.75" customHeight="1"/>
    <row r="7809" ht="15.75" customHeight="1"/>
    <row r="7810" ht="15.75" customHeight="1"/>
    <row r="7811" ht="15.75" customHeight="1"/>
    <row r="7812" ht="15.75" customHeight="1"/>
    <row r="7813" ht="15.75" customHeight="1"/>
    <row r="7814" ht="15.75" customHeight="1"/>
    <row r="7815" ht="15.75" customHeight="1"/>
    <row r="7816" ht="15.75" customHeight="1"/>
    <row r="7817" ht="15.75" customHeight="1"/>
    <row r="7818" ht="15.75" customHeight="1"/>
    <row r="7819" ht="15.75" customHeight="1"/>
    <row r="7820" ht="15.75" customHeight="1"/>
    <row r="7821" ht="15.75" customHeight="1"/>
    <row r="7822" ht="15.75" customHeight="1"/>
    <row r="7823" ht="15.75" customHeight="1"/>
    <row r="7824" ht="15.75" customHeight="1"/>
    <row r="7825" ht="15.75" customHeight="1"/>
    <row r="7826" ht="15.75" customHeight="1"/>
    <row r="7827" ht="15.75" customHeight="1"/>
    <row r="7828" ht="15.75" customHeight="1"/>
    <row r="7829" ht="15.75" customHeight="1"/>
    <row r="7830" ht="15.75" customHeight="1"/>
    <row r="7831" ht="15.75" customHeight="1"/>
    <row r="7832" ht="15.75" customHeight="1"/>
    <row r="7833" ht="15.75" customHeight="1"/>
    <row r="7834" ht="15.75" customHeight="1"/>
    <row r="7835" ht="15.75" customHeight="1"/>
    <row r="7836" ht="15.75" customHeight="1"/>
    <row r="7837" ht="15.75" customHeight="1"/>
    <row r="7838" ht="15.75" customHeight="1"/>
    <row r="7839" ht="15.75" customHeight="1"/>
    <row r="7840" ht="15.75" customHeight="1"/>
    <row r="7841" ht="15.75" customHeight="1"/>
    <row r="7842" ht="15.75" customHeight="1"/>
    <row r="7843" ht="15.75" customHeight="1"/>
    <row r="7844" ht="15.75" customHeight="1"/>
    <row r="7845" ht="15.75" customHeight="1"/>
    <row r="7846" ht="15.75" customHeight="1"/>
    <row r="7847" ht="15.75" customHeight="1"/>
    <row r="7848" ht="15.75" customHeight="1"/>
    <row r="7849" ht="15.75" customHeight="1"/>
    <row r="7850" ht="15.75" customHeight="1"/>
    <row r="7851" ht="15.75" customHeight="1"/>
    <row r="7852" ht="15.75" customHeight="1"/>
    <row r="7853" ht="15.75" customHeight="1"/>
    <row r="7854" ht="15.75" customHeight="1"/>
    <row r="7855" ht="15.75" customHeight="1"/>
    <row r="7856" ht="15.75" customHeight="1"/>
    <row r="7857" ht="15.75" customHeight="1"/>
    <row r="7858" ht="15.75" customHeight="1"/>
    <row r="7859" ht="15.75" customHeight="1"/>
    <row r="7860" ht="15.75" customHeight="1"/>
    <row r="7861" ht="15.75" customHeight="1"/>
    <row r="7862" ht="15.75" customHeight="1"/>
    <row r="7863" ht="15.75" customHeight="1"/>
    <row r="7864" ht="15.75" customHeight="1"/>
    <row r="7865" ht="15.75" customHeight="1"/>
    <row r="7866" ht="15.75" customHeight="1"/>
    <row r="7867" ht="15.75" customHeight="1"/>
    <row r="7868" ht="15.75" customHeight="1"/>
    <row r="7869" ht="15.75" customHeight="1"/>
    <row r="7870" ht="15.75" customHeight="1"/>
    <row r="7871" ht="15.75" customHeight="1"/>
    <row r="7872" ht="15.75" customHeight="1"/>
    <row r="7873" ht="15.75" customHeight="1"/>
    <row r="7874" ht="15.75" customHeight="1"/>
    <row r="7875" ht="15.75" customHeight="1"/>
    <row r="7876" ht="15.75" customHeight="1"/>
    <row r="7877" ht="15.75" customHeight="1"/>
    <row r="7878" ht="15.75" customHeight="1"/>
    <row r="7879" ht="15.75" customHeight="1"/>
    <row r="7880" ht="15.75" customHeight="1"/>
    <row r="7881" ht="15.75" customHeight="1"/>
    <row r="7882" ht="15.75" customHeight="1"/>
    <row r="7883" ht="15.75" customHeight="1"/>
    <row r="7884" ht="15.75" customHeight="1"/>
    <row r="7885" ht="15.75" customHeight="1"/>
    <row r="7886" ht="15.75" customHeight="1"/>
    <row r="7887" ht="15.75" customHeight="1"/>
    <row r="7888" ht="15.75" customHeight="1"/>
    <row r="7889" ht="15.75" customHeight="1"/>
    <row r="7890" ht="15.75" customHeight="1"/>
    <row r="7891" ht="15.75" customHeight="1"/>
    <row r="7892" ht="15.75" customHeight="1"/>
    <row r="7893" ht="15.75" customHeight="1"/>
    <row r="7894" ht="15.75" customHeight="1"/>
    <row r="7895" ht="15.75" customHeight="1"/>
    <row r="7896" ht="15.75" customHeight="1"/>
    <row r="7897" ht="15.75" customHeight="1"/>
    <row r="7898" ht="15.75" customHeight="1"/>
    <row r="7899" ht="15.75" customHeight="1"/>
    <row r="7900" ht="15.75" customHeight="1"/>
    <row r="7901" ht="15.75" customHeight="1"/>
    <row r="7902" ht="15.75" customHeight="1"/>
    <row r="7903" ht="15.75" customHeight="1"/>
    <row r="7904" ht="15.75" customHeight="1"/>
    <row r="7905" ht="15.75" customHeight="1"/>
    <row r="7906" ht="15.75" customHeight="1"/>
    <row r="7907" ht="15.75" customHeight="1"/>
    <row r="7908" ht="15.75" customHeight="1"/>
    <row r="7909" ht="15.75" customHeight="1"/>
    <row r="7910" ht="15.75" customHeight="1"/>
    <row r="7911" ht="15.75" customHeight="1"/>
    <row r="7912" ht="15.75" customHeight="1"/>
    <row r="7913" ht="15.75" customHeight="1"/>
    <row r="7914" ht="15.75" customHeight="1"/>
    <row r="7915" ht="15.75" customHeight="1"/>
    <row r="7916" ht="15.75" customHeight="1"/>
    <row r="7917" ht="15.75" customHeight="1"/>
    <row r="7918" ht="15.75" customHeight="1"/>
    <row r="7919" ht="15.75" customHeight="1"/>
    <row r="7920" ht="15.75" customHeight="1"/>
    <row r="7921" ht="15.75" customHeight="1"/>
    <row r="7922" ht="15.75" customHeight="1"/>
    <row r="7923" ht="15.75" customHeight="1"/>
    <row r="7924" ht="15.75" customHeight="1"/>
    <row r="7925" ht="15.75" customHeight="1"/>
    <row r="7926" ht="15.75" customHeight="1"/>
    <row r="7927" ht="15.75" customHeight="1"/>
    <row r="7928" ht="15.75" customHeight="1"/>
    <row r="7929" ht="15.75" customHeight="1"/>
    <row r="7930" ht="15.75" customHeight="1"/>
    <row r="7931" ht="15.75" customHeight="1"/>
    <row r="7932" ht="15.75" customHeight="1"/>
    <row r="7933" ht="15.75" customHeight="1"/>
    <row r="7934" ht="15.75" customHeight="1"/>
    <row r="7935" ht="15.75" customHeight="1"/>
    <row r="7936" ht="15.75" customHeight="1"/>
    <row r="7937" ht="15.75" customHeight="1"/>
    <row r="7938" ht="15.75" customHeight="1"/>
    <row r="7939" ht="15.75" customHeight="1"/>
    <row r="7940" ht="15.75" customHeight="1"/>
    <row r="7941" ht="15.75" customHeight="1"/>
    <row r="7942" ht="15.75" customHeight="1"/>
    <row r="7943" ht="15.75" customHeight="1"/>
    <row r="7944" ht="15.75" customHeight="1"/>
    <row r="7945" ht="15.75" customHeight="1"/>
    <row r="7946" ht="15.75" customHeight="1"/>
    <row r="7947" ht="15.75" customHeight="1"/>
    <row r="7948" ht="15.75" customHeight="1"/>
    <row r="7949" ht="15.75" customHeight="1"/>
    <row r="7950" ht="15.75" customHeight="1"/>
    <row r="7951" ht="15.75" customHeight="1"/>
    <row r="7952" ht="15.75" customHeight="1"/>
    <row r="7953" ht="15.75" customHeight="1"/>
    <row r="7954" ht="15.75" customHeight="1"/>
    <row r="7955" ht="15.75" customHeight="1"/>
    <row r="7956" ht="15.75" customHeight="1"/>
    <row r="7957" ht="15.75" customHeight="1"/>
    <row r="7958" ht="15.75" customHeight="1"/>
    <row r="7959" ht="15.75" customHeight="1"/>
    <row r="7960" ht="15.75" customHeight="1"/>
    <row r="7961" ht="15.75" customHeight="1"/>
    <row r="7962" ht="15.75" customHeight="1"/>
    <row r="7963" ht="15.75" customHeight="1"/>
    <row r="7964" ht="15.75" customHeight="1"/>
    <row r="7965" ht="15.75" customHeight="1"/>
    <row r="7966" ht="15.75" customHeight="1"/>
    <row r="7967" ht="15.75" customHeight="1"/>
    <row r="7968" ht="15.75" customHeight="1"/>
    <row r="7969" ht="15.75" customHeight="1"/>
    <row r="7970" ht="15.75" customHeight="1"/>
    <row r="7971" ht="15.75" customHeight="1"/>
    <row r="7972" ht="15.75" customHeight="1"/>
    <row r="7973" ht="15.75" customHeight="1"/>
    <row r="7974" ht="15.75" customHeight="1"/>
    <row r="7975" ht="15.75" customHeight="1"/>
    <row r="7976" ht="15.75" customHeight="1"/>
    <row r="7977" ht="15.75" customHeight="1"/>
    <row r="7978" ht="15.75" customHeight="1"/>
    <row r="7979" ht="15.75" customHeight="1"/>
    <row r="7980" ht="15.75" customHeight="1"/>
    <row r="7981" ht="15.75" customHeight="1"/>
    <row r="7982" ht="15.75" customHeight="1"/>
    <row r="7983" ht="15.75" customHeight="1"/>
    <row r="7984" ht="15.75" customHeight="1"/>
    <row r="7985" ht="15.75" customHeight="1"/>
    <row r="7986" ht="15.75" customHeight="1"/>
    <row r="7987" ht="15.75" customHeight="1"/>
    <row r="7988" ht="15.75" customHeight="1"/>
    <row r="7989" ht="15.75" customHeight="1"/>
    <row r="7990" ht="15.75" customHeight="1"/>
    <row r="7991" ht="15.75" customHeight="1"/>
    <row r="7992" ht="15.75" customHeight="1"/>
    <row r="7993" ht="15.75" customHeight="1"/>
    <row r="7994" ht="15.75" customHeight="1"/>
    <row r="7995" ht="15.75" customHeight="1"/>
    <row r="7996" ht="15.75" customHeight="1"/>
    <row r="7997" ht="15.75" customHeight="1"/>
    <row r="7998" ht="15.75" customHeight="1"/>
    <row r="7999" ht="15.75" customHeight="1"/>
    <row r="8000" ht="15.75" customHeight="1"/>
    <row r="8001" ht="15.75" customHeight="1"/>
    <row r="8002" ht="15.75" customHeight="1"/>
    <row r="8003" ht="15.75" customHeight="1"/>
    <row r="8004" ht="15.75" customHeight="1"/>
    <row r="8005" ht="15.75" customHeight="1"/>
    <row r="8006" ht="15.75" customHeight="1"/>
    <row r="8007" ht="15.75" customHeight="1"/>
    <row r="8008" ht="15.75" customHeight="1"/>
    <row r="8009" ht="15.75" customHeight="1"/>
    <row r="8010" ht="15.75" customHeight="1"/>
    <row r="8011" ht="15.75" customHeight="1"/>
    <row r="8012" ht="15.75" customHeight="1"/>
    <row r="8013" ht="15.75" customHeight="1"/>
    <row r="8014" ht="15.75" customHeight="1"/>
    <row r="8015" ht="15.75" customHeight="1"/>
    <row r="8016" ht="15.75" customHeight="1"/>
    <row r="8017" ht="15.75" customHeight="1"/>
    <row r="8018" ht="15.75" customHeight="1"/>
    <row r="8019" ht="15.75" customHeight="1"/>
    <row r="8020" ht="15.75" customHeight="1"/>
    <row r="8021" ht="15.75" customHeight="1"/>
    <row r="8022" ht="15.75" customHeight="1"/>
    <row r="8023" ht="15.75" customHeight="1"/>
    <row r="8024" ht="15.75" customHeight="1"/>
    <row r="8025" ht="15.75" customHeight="1"/>
    <row r="8026" ht="15.75" customHeight="1"/>
    <row r="8027" ht="15.75" customHeight="1"/>
    <row r="8028" ht="15.75" customHeight="1"/>
    <row r="8029" ht="15.75" customHeight="1"/>
    <row r="8030" ht="15.75" customHeight="1"/>
    <row r="8031" ht="15.75" customHeight="1"/>
    <row r="8032" ht="15.75" customHeight="1"/>
    <row r="8033" ht="15.75" customHeight="1"/>
    <row r="8034" ht="15.75" customHeight="1"/>
    <row r="8035" ht="15.75" customHeight="1"/>
    <row r="8036" ht="15.75" customHeight="1"/>
    <row r="8037" ht="15.75" customHeight="1"/>
    <row r="8038" ht="15.75" customHeight="1"/>
    <row r="8039" ht="15.75" customHeight="1"/>
    <row r="8040" ht="15.75" customHeight="1"/>
    <row r="8041" ht="15.75" customHeight="1"/>
    <row r="8042" ht="15.75" customHeight="1"/>
    <row r="8043" ht="15.75" customHeight="1"/>
    <row r="8044" ht="15.75" customHeight="1"/>
    <row r="8045" ht="15.75" customHeight="1"/>
    <row r="8046" ht="15.75" customHeight="1"/>
    <row r="8047" ht="15.75" customHeight="1"/>
    <row r="8048" ht="15.75" customHeight="1"/>
    <row r="8049" ht="15.75" customHeight="1"/>
    <row r="8050" ht="15.75" customHeight="1"/>
    <row r="8051" ht="15.75" customHeight="1"/>
    <row r="8052" ht="15.75" customHeight="1"/>
    <row r="8053" ht="15.75" customHeight="1"/>
    <row r="8054" ht="15.75" customHeight="1"/>
    <row r="8055" ht="15.75" customHeight="1"/>
    <row r="8056" ht="15.75" customHeight="1"/>
    <row r="8057" ht="15.75" customHeight="1"/>
    <row r="8058" ht="15.75" customHeight="1"/>
    <row r="8059" ht="15.75" customHeight="1"/>
    <row r="8060" ht="15.75" customHeight="1"/>
    <row r="8061" ht="15.75" customHeight="1"/>
    <row r="8062" ht="15.75" customHeight="1"/>
    <row r="8063" ht="15.75" customHeight="1"/>
    <row r="8064" ht="15.75" customHeight="1"/>
    <row r="8065" ht="15.75" customHeight="1"/>
    <row r="8066" ht="15.75" customHeight="1"/>
    <row r="8067" ht="15.75" customHeight="1"/>
    <row r="8068" ht="15.75" customHeight="1"/>
    <row r="8069" ht="15.75" customHeight="1"/>
    <row r="8070" ht="15.75" customHeight="1"/>
    <row r="8071" ht="15.75" customHeight="1"/>
    <row r="8072" ht="15.75" customHeight="1"/>
    <row r="8073" ht="15.75" customHeight="1"/>
    <row r="8074" ht="15.75" customHeight="1"/>
    <row r="8075" ht="15.75" customHeight="1"/>
    <row r="8076" ht="15.75" customHeight="1"/>
    <row r="8077" ht="15.75" customHeight="1"/>
    <row r="8078" ht="15.75" customHeight="1"/>
    <row r="8079" ht="15.75" customHeight="1"/>
    <row r="8080" ht="15.75" customHeight="1"/>
    <row r="8081" ht="15.75" customHeight="1"/>
    <row r="8082" ht="15.75" customHeight="1"/>
    <row r="8083" ht="15.75" customHeight="1"/>
    <row r="8084" ht="15.75" customHeight="1"/>
    <row r="8085" ht="15.75" customHeight="1"/>
    <row r="8086" ht="15.75" customHeight="1"/>
    <row r="8087" ht="15.75" customHeight="1"/>
    <row r="8088" ht="15.75" customHeight="1"/>
    <row r="8089" ht="15.75" customHeight="1"/>
    <row r="8090" ht="15.75" customHeight="1"/>
    <row r="8091" ht="15.75" customHeight="1"/>
    <row r="8092" ht="15.75" customHeight="1"/>
    <row r="8093" ht="15.75" customHeight="1"/>
    <row r="8094" ht="15.75" customHeight="1"/>
    <row r="8095" ht="15.75" customHeight="1"/>
    <row r="8096" ht="15.75" customHeight="1"/>
    <row r="8097" ht="15.75" customHeight="1"/>
    <row r="8098" ht="15.75" customHeight="1"/>
    <row r="8099" ht="15.75" customHeight="1"/>
    <row r="8100" ht="15.75" customHeight="1"/>
    <row r="8101" ht="15.75" customHeight="1"/>
    <row r="8102" ht="15.75" customHeight="1"/>
    <row r="8103" ht="15.75" customHeight="1"/>
    <row r="8104" ht="15.75" customHeight="1"/>
    <row r="8105" ht="15.75" customHeight="1"/>
    <row r="8106" ht="15.75" customHeight="1"/>
    <row r="8107" ht="15.75" customHeight="1"/>
    <row r="8108" ht="15.75" customHeight="1"/>
    <row r="8109" ht="15.75" customHeight="1"/>
    <row r="8110" ht="15.75" customHeight="1"/>
    <row r="8111" ht="15.75" customHeight="1"/>
    <row r="8112" ht="15.75" customHeight="1"/>
    <row r="8113" ht="15.75" customHeight="1"/>
    <row r="8114" ht="15.75" customHeight="1"/>
    <row r="8115" ht="15.75" customHeight="1"/>
    <row r="8116" ht="15.75" customHeight="1"/>
    <row r="8117" ht="15.75" customHeight="1"/>
    <row r="8118" ht="15.75" customHeight="1"/>
    <row r="8119" ht="15.75" customHeight="1"/>
    <row r="8120" ht="15.75" customHeight="1"/>
    <row r="8121" ht="15.75" customHeight="1"/>
    <row r="8122" ht="15.75" customHeight="1"/>
    <row r="8123" ht="15.75" customHeight="1"/>
    <row r="8124" ht="15.75" customHeight="1"/>
    <row r="8125" ht="15.75" customHeight="1"/>
    <row r="8126" ht="15.75" customHeight="1"/>
    <row r="8127" ht="15.75" customHeight="1"/>
    <row r="8128" ht="15.75" customHeight="1"/>
    <row r="8129" ht="15.75" customHeight="1"/>
    <row r="8130" ht="15.75" customHeight="1"/>
    <row r="8131" ht="15.75" customHeight="1"/>
    <row r="8132" ht="15.75" customHeight="1"/>
    <row r="8133" ht="15.75" customHeight="1"/>
    <row r="8134" ht="15.75" customHeight="1"/>
    <row r="8135" ht="15.75" customHeight="1"/>
    <row r="8136" ht="15.75" customHeight="1"/>
    <row r="8137" ht="15.75" customHeight="1"/>
    <row r="8138" ht="15.75" customHeight="1"/>
    <row r="8139" ht="15.75" customHeight="1"/>
    <row r="8140" ht="15.75" customHeight="1"/>
    <row r="8141" ht="15.75" customHeight="1"/>
    <row r="8142" ht="15.75" customHeight="1"/>
    <row r="8143" ht="15.75" customHeight="1"/>
    <row r="8144" ht="15.75" customHeight="1"/>
    <row r="8145" ht="15.75" customHeight="1"/>
    <row r="8146" ht="15.75" customHeight="1"/>
    <row r="8147" ht="15.75" customHeight="1"/>
    <row r="8148" ht="15.75" customHeight="1"/>
    <row r="8149" ht="15.75" customHeight="1"/>
    <row r="8150" ht="15.75" customHeight="1"/>
    <row r="8151" ht="15.75" customHeight="1"/>
    <row r="8152" ht="15.75" customHeight="1"/>
    <row r="8153" ht="15.75" customHeight="1"/>
    <row r="8154" ht="15.75" customHeight="1"/>
    <row r="8155" ht="15.75" customHeight="1"/>
    <row r="8156" ht="15.75" customHeight="1"/>
    <row r="8157" ht="15.75" customHeight="1"/>
    <row r="8158" ht="15.75" customHeight="1"/>
    <row r="8159" ht="15.75" customHeight="1"/>
    <row r="8160" ht="15.75" customHeight="1"/>
    <row r="8161" ht="15.75" customHeight="1"/>
    <row r="8162" ht="15.75" customHeight="1"/>
    <row r="8163" ht="15.75" customHeight="1"/>
    <row r="8164" ht="15.75" customHeight="1"/>
    <row r="8165" ht="15.75" customHeight="1"/>
    <row r="8166" ht="15.75" customHeight="1"/>
    <row r="8167" ht="15.75" customHeight="1"/>
    <row r="8168" ht="15.75" customHeight="1"/>
    <row r="8169" ht="15.75" customHeight="1"/>
    <row r="8170" ht="15.75" customHeight="1"/>
    <row r="8171" ht="15.75" customHeight="1"/>
    <row r="8172" ht="15.75" customHeight="1"/>
    <row r="8173" ht="15.75" customHeight="1"/>
    <row r="8174" ht="15.75" customHeight="1"/>
    <row r="8175" ht="15.75" customHeight="1"/>
    <row r="8176" ht="15.75" customHeight="1"/>
    <row r="8177" ht="15.75" customHeight="1"/>
    <row r="8178" ht="15.75" customHeight="1"/>
    <row r="8179" ht="15.75" customHeight="1"/>
    <row r="8180" ht="15.75" customHeight="1"/>
    <row r="8181" ht="15.75" customHeight="1"/>
    <row r="8182" ht="15.75" customHeight="1"/>
    <row r="8183" ht="15.75" customHeight="1"/>
    <row r="8184" ht="15.75" customHeight="1"/>
    <row r="8185" ht="15.75" customHeight="1"/>
    <row r="8186" ht="15.75" customHeight="1"/>
    <row r="8187" ht="15.75" customHeight="1"/>
    <row r="8188" ht="15.75" customHeight="1"/>
    <row r="8189" ht="15.75" customHeight="1"/>
    <row r="8190" ht="15.75" customHeight="1"/>
    <row r="8191" ht="15.75" customHeight="1"/>
    <row r="8192" ht="15.75" customHeight="1"/>
    <row r="8193" ht="15.75" customHeight="1"/>
    <row r="8194" ht="15.75" customHeight="1"/>
    <row r="8195" ht="15.75" customHeight="1"/>
    <row r="8196" ht="15.75" customHeight="1"/>
    <row r="8197" ht="15.75" customHeight="1"/>
    <row r="8198" ht="15.75" customHeight="1"/>
    <row r="8199" ht="15.75" customHeight="1"/>
    <row r="8200" ht="15.75" customHeight="1"/>
    <row r="8201" ht="15.75" customHeight="1"/>
    <row r="8202" ht="15.75" customHeight="1"/>
    <row r="8203" ht="15.75" customHeight="1"/>
    <row r="8204" ht="15.75" customHeight="1"/>
    <row r="8205" ht="15.75" customHeight="1"/>
    <row r="8206" ht="15.75" customHeight="1"/>
    <row r="8207" ht="15.75" customHeight="1"/>
    <row r="8208" ht="15.75" customHeight="1"/>
    <row r="8209" ht="15.75" customHeight="1"/>
    <row r="8210" ht="15.75" customHeight="1"/>
    <row r="8211" ht="15.75" customHeight="1"/>
    <row r="8212" ht="15.75" customHeight="1"/>
    <row r="8213" ht="15.75" customHeight="1"/>
    <row r="8214" ht="15.75" customHeight="1"/>
    <row r="8215" ht="15.75" customHeight="1"/>
    <row r="8216" ht="15.75" customHeight="1"/>
    <row r="8217" ht="15.75" customHeight="1"/>
    <row r="8218" ht="15.75" customHeight="1"/>
    <row r="8219" ht="15.75" customHeight="1"/>
    <row r="8220" ht="15.75" customHeight="1"/>
    <row r="8221" ht="15.75" customHeight="1"/>
    <row r="8222" ht="15.75" customHeight="1"/>
    <row r="8223" ht="15.75" customHeight="1"/>
    <row r="8224" ht="15.75" customHeight="1"/>
    <row r="8225" ht="15.75" customHeight="1"/>
    <row r="8226" ht="15.75" customHeight="1"/>
    <row r="8227" ht="15.75" customHeight="1"/>
    <row r="8228" ht="15.75" customHeight="1"/>
    <row r="8229" ht="15.75" customHeight="1"/>
    <row r="8230" ht="15.75" customHeight="1"/>
    <row r="8231" ht="15.75" customHeight="1"/>
    <row r="8232" ht="15.75" customHeight="1"/>
    <row r="8233" ht="15.75" customHeight="1"/>
    <row r="8234" ht="15.75" customHeight="1"/>
    <row r="8235" ht="15.75" customHeight="1"/>
    <row r="8236" ht="15.75" customHeight="1"/>
    <row r="8237" ht="15.75" customHeight="1"/>
    <row r="8238" ht="15.75" customHeight="1"/>
    <row r="8239" ht="15.75" customHeight="1"/>
    <row r="8240" ht="15.75" customHeight="1"/>
    <row r="8241" ht="15.75" customHeight="1"/>
    <row r="8242" ht="15.75" customHeight="1"/>
    <row r="8243" ht="15.75" customHeight="1"/>
    <row r="8244" ht="15.75" customHeight="1"/>
    <row r="8245" ht="15.75" customHeight="1"/>
    <row r="8246" ht="15.75" customHeight="1"/>
    <row r="8247" ht="15.75" customHeight="1"/>
    <row r="8248" ht="15.75" customHeight="1"/>
    <row r="8249" ht="15.75" customHeight="1"/>
    <row r="8250" ht="15.75" customHeight="1"/>
    <row r="8251" ht="15.75" customHeight="1"/>
    <row r="8252" ht="15.75" customHeight="1"/>
    <row r="8253" ht="15.75" customHeight="1"/>
    <row r="8254" ht="15.75" customHeight="1"/>
    <row r="8255" ht="15.75" customHeight="1"/>
    <row r="8256" ht="15.75" customHeight="1"/>
    <row r="8257" ht="15.75" customHeight="1"/>
    <row r="8258" ht="15.75" customHeight="1"/>
    <row r="8259" ht="15.75" customHeight="1"/>
    <row r="8260" ht="15.75" customHeight="1"/>
    <row r="8261" ht="15.75" customHeight="1"/>
    <row r="8262" ht="15.75" customHeight="1"/>
    <row r="8263" ht="15.75" customHeight="1"/>
    <row r="8264" ht="15.75" customHeight="1"/>
    <row r="8265" ht="15.75" customHeight="1"/>
    <row r="8266" ht="15.75" customHeight="1"/>
    <row r="8267" ht="15.75" customHeight="1"/>
    <row r="8268" ht="15.75" customHeight="1"/>
    <row r="8269" ht="15.75" customHeight="1"/>
    <row r="8270" ht="15.75" customHeight="1"/>
    <row r="8271" ht="15.75" customHeight="1"/>
    <row r="8272" ht="15.75" customHeight="1"/>
    <row r="8273" ht="15.75" customHeight="1"/>
    <row r="8274" ht="15.75" customHeight="1"/>
    <row r="8275" ht="15.75" customHeight="1"/>
    <row r="8276" ht="15.75" customHeight="1"/>
    <row r="8277" ht="15.75" customHeight="1"/>
    <row r="8278" ht="15.75" customHeight="1"/>
    <row r="8279" ht="15.75" customHeight="1"/>
    <row r="8280" ht="15.75" customHeight="1"/>
    <row r="8281" ht="15.75" customHeight="1"/>
    <row r="8282" ht="15.75" customHeight="1"/>
    <row r="8283" ht="15.75" customHeight="1"/>
    <row r="8284" ht="15.75" customHeight="1"/>
    <row r="8285" ht="15.75" customHeight="1"/>
    <row r="8286" ht="15.75" customHeight="1"/>
    <row r="8287" ht="15.75" customHeight="1"/>
    <row r="8288" ht="15.75" customHeight="1"/>
    <row r="8289" ht="15.75" customHeight="1"/>
    <row r="8290" ht="15.75" customHeight="1"/>
    <row r="8291" ht="15.75" customHeight="1"/>
    <row r="8292" ht="15.75" customHeight="1"/>
    <row r="8293" ht="15.75" customHeight="1"/>
    <row r="8294" ht="15.75" customHeight="1"/>
    <row r="8295" ht="15.75" customHeight="1"/>
    <row r="8296" ht="15.75" customHeight="1"/>
    <row r="8297" ht="15.75" customHeight="1"/>
    <row r="8298" ht="15.75" customHeight="1"/>
    <row r="8299" ht="15.75" customHeight="1"/>
    <row r="8300" ht="15.75" customHeight="1"/>
    <row r="8301" ht="15.75" customHeight="1"/>
    <row r="8302" ht="15.75" customHeight="1"/>
    <row r="8303" ht="15.75" customHeight="1"/>
    <row r="8304" ht="15.75" customHeight="1"/>
    <row r="8305" ht="15.75" customHeight="1"/>
    <row r="8306" ht="15.75" customHeight="1"/>
    <row r="8307" ht="15.75" customHeight="1"/>
    <row r="8308" ht="15.75" customHeight="1"/>
    <row r="8309" ht="15.75" customHeight="1"/>
    <row r="8310" ht="15.75" customHeight="1"/>
    <row r="8311" ht="15.75" customHeight="1"/>
    <row r="8312" ht="15.75" customHeight="1"/>
    <row r="8313" ht="15.75" customHeight="1"/>
    <row r="8314" ht="15.75" customHeight="1"/>
    <row r="8315" ht="15.75" customHeight="1"/>
    <row r="8316" ht="15.75" customHeight="1"/>
    <row r="8317" ht="15.75" customHeight="1"/>
    <row r="8318" ht="15.75" customHeight="1"/>
    <row r="8319" ht="15.75" customHeight="1"/>
    <row r="8320" ht="15.75" customHeight="1"/>
    <row r="8321" ht="15.75" customHeight="1"/>
    <row r="8322" ht="15.75" customHeight="1"/>
    <row r="8323" ht="15.75" customHeight="1"/>
    <row r="8324" ht="15.75" customHeight="1"/>
    <row r="8325" ht="15.75" customHeight="1"/>
    <row r="8326" ht="15.75" customHeight="1"/>
    <row r="8327" ht="15.75" customHeight="1"/>
    <row r="8328" ht="15.75" customHeight="1"/>
    <row r="8329" ht="15.75" customHeight="1"/>
    <row r="8330" ht="15.75" customHeight="1"/>
    <row r="8331" ht="15.75" customHeight="1"/>
    <row r="8332" ht="15.75" customHeight="1"/>
    <row r="8333" ht="15.75" customHeight="1"/>
    <row r="8334" ht="15.75" customHeight="1"/>
    <row r="8335" ht="15.75" customHeight="1"/>
    <row r="8336" ht="15.75" customHeight="1"/>
    <row r="8337" ht="15.75" customHeight="1"/>
    <row r="8338" ht="15.75" customHeight="1"/>
    <row r="8339" ht="15.75" customHeight="1"/>
    <row r="8340" ht="15.75" customHeight="1"/>
    <row r="8341" ht="15.75" customHeight="1"/>
    <row r="8342" ht="15.75" customHeight="1"/>
    <row r="8343" ht="15.75" customHeight="1"/>
    <row r="8344" ht="15.75" customHeight="1"/>
    <row r="8345" ht="15.75" customHeight="1"/>
    <row r="8346" ht="15.75" customHeight="1"/>
    <row r="8347" ht="15.75" customHeight="1"/>
    <row r="8348" ht="15.75" customHeight="1"/>
    <row r="8349" ht="15.75" customHeight="1"/>
    <row r="8350" ht="15.75" customHeight="1"/>
    <row r="8351" ht="15.75" customHeight="1"/>
    <row r="8352" ht="15.75" customHeight="1"/>
    <row r="8353" ht="15.75" customHeight="1"/>
    <row r="8354" ht="15.75" customHeight="1"/>
    <row r="8355" ht="15.75" customHeight="1"/>
    <row r="8356" ht="15.75" customHeight="1"/>
    <row r="8357" ht="15.75" customHeight="1"/>
    <row r="8358" ht="15.75" customHeight="1"/>
    <row r="8359" ht="15.75" customHeight="1"/>
    <row r="8360" ht="15.75" customHeight="1"/>
    <row r="8361" ht="15.75" customHeight="1"/>
    <row r="8362" ht="15.75" customHeight="1"/>
    <row r="8363" ht="15.75" customHeight="1"/>
    <row r="8364" ht="15.75" customHeight="1"/>
    <row r="8365" ht="15.75" customHeight="1"/>
    <row r="8366" ht="15.75" customHeight="1"/>
    <row r="8367" ht="15.75" customHeight="1"/>
    <row r="8368" ht="15.75" customHeight="1"/>
    <row r="8369" ht="15.75" customHeight="1"/>
    <row r="8370" ht="15.75" customHeight="1"/>
    <row r="8371" ht="15.75" customHeight="1"/>
    <row r="8372" ht="15.75" customHeight="1"/>
    <row r="8373" ht="15.75" customHeight="1"/>
    <row r="8374" ht="15.75" customHeight="1"/>
    <row r="8375" ht="15.75" customHeight="1"/>
    <row r="8376" ht="15.75" customHeight="1"/>
    <row r="8377" ht="15.75" customHeight="1"/>
    <row r="8378" ht="15.75" customHeight="1"/>
    <row r="8379" ht="15.75" customHeight="1"/>
    <row r="8380" ht="15.75" customHeight="1"/>
    <row r="8381" ht="15.75" customHeight="1"/>
    <row r="8382" ht="15.75" customHeight="1"/>
    <row r="8383" ht="15.75" customHeight="1"/>
    <row r="8384" ht="15.75" customHeight="1"/>
    <row r="8385" ht="15.75" customHeight="1"/>
    <row r="8386" ht="15.75" customHeight="1"/>
    <row r="8387" ht="15.75" customHeight="1"/>
    <row r="8388" ht="15.75" customHeight="1"/>
    <row r="8389" ht="15.75" customHeight="1"/>
    <row r="8390" ht="15.75" customHeight="1"/>
    <row r="8391" ht="15.75" customHeight="1"/>
    <row r="8392" ht="15.75" customHeight="1"/>
    <row r="8393" ht="15.75" customHeight="1"/>
    <row r="8394" ht="15.75" customHeight="1"/>
    <row r="8395" ht="15.75" customHeight="1"/>
    <row r="8396" ht="15.75" customHeight="1"/>
    <row r="8397" ht="15.75" customHeight="1"/>
    <row r="8398" ht="15.75" customHeight="1"/>
    <row r="8399" ht="15.75" customHeight="1"/>
    <row r="8400" ht="15.75" customHeight="1"/>
    <row r="8401" ht="15.75" customHeight="1"/>
    <row r="8402" ht="15.75" customHeight="1"/>
    <row r="8403" ht="15.75" customHeight="1"/>
    <row r="8404" ht="15.75" customHeight="1"/>
    <row r="8405" ht="15.75" customHeight="1"/>
    <row r="8406" ht="15.75" customHeight="1"/>
    <row r="8407" ht="15.75" customHeight="1"/>
    <row r="8408" ht="15.75" customHeight="1"/>
    <row r="8409" ht="15.75" customHeight="1"/>
    <row r="8410" ht="15.75" customHeight="1"/>
    <row r="8411" ht="15.75" customHeight="1"/>
    <row r="8412" ht="15.75" customHeight="1"/>
    <row r="8413" ht="15.75" customHeight="1"/>
    <row r="8414" ht="15.75" customHeight="1"/>
    <row r="8415" ht="15.75" customHeight="1"/>
    <row r="8416" ht="15.75" customHeight="1"/>
    <row r="8417" ht="15.75" customHeight="1"/>
    <row r="8418" ht="15.75" customHeight="1"/>
    <row r="8419" ht="15.75" customHeight="1"/>
    <row r="8420" ht="15.75" customHeight="1"/>
    <row r="8421" ht="15.75" customHeight="1"/>
    <row r="8422" ht="15.75" customHeight="1"/>
    <row r="8423" ht="15.75" customHeight="1"/>
    <row r="8424" ht="15.75" customHeight="1"/>
    <row r="8425" ht="15.75" customHeight="1"/>
    <row r="8426" ht="15.75" customHeight="1"/>
    <row r="8427" ht="15.75" customHeight="1"/>
    <row r="8428" ht="15.75" customHeight="1"/>
    <row r="8429" ht="15.75" customHeight="1"/>
    <row r="8430" ht="15.75" customHeight="1"/>
    <row r="8431" ht="15.75" customHeight="1"/>
    <row r="8432" ht="15.75" customHeight="1"/>
    <row r="8433" ht="15.75" customHeight="1"/>
    <row r="8434" ht="15.75" customHeight="1"/>
    <row r="8435" ht="15.75" customHeight="1"/>
    <row r="8436" ht="15.75" customHeight="1"/>
    <row r="8437" ht="15.75" customHeight="1"/>
    <row r="8438" ht="15.75" customHeight="1"/>
    <row r="8439" ht="15.75" customHeight="1"/>
    <row r="8440" ht="15.75" customHeight="1"/>
    <row r="8441" ht="15.75" customHeight="1"/>
    <row r="8442" ht="15.75" customHeight="1"/>
    <row r="8443" ht="15.75" customHeight="1"/>
    <row r="8444" ht="15.75" customHeight="1"/>
    <row r="8445" ht="15.75" customHeight="1"/>
    <row r="8446" ht="15.75" customHeight="1"/>
    <row r="8447" ht="15.75" customHeight="1"/>
    <row r="8448" ht="15.75" customHeight="1"/>
    <row r="8449" ht="15.75" customHeight="1"/>
    <row r="8450" ht="15.75" customHeight="1"/>
    <row r="8451" ht="15.75" customHeight="1"/>
    <row r="8452" ht="15.75" customHeight="1"/>
    <row r="8453" ht="15.75" customHeight="1"/>
    <row r="8454" ht="15.75" customHeight="1"/>
    <row r="8455" ht="15.75" customHeight="1"/>
    <row r="8456" ht="15.75" customHeight="1"/>
    <row r="8457" ht="15.75" customHeight="1"/>
    <row r="8458" ht="15.75" customHeight="1"/>
    <row r="8459" ht="15.75" customHeight="1"/>
    <row r="8460" ht="15.75" customHeight="1"/>
    <row r="8461" ht="15.75" customHeight="1"/>
    <row r="8462" ht="15.75" customHeight="1"/>
    <row r="8463" ht="15.75" customHeight="1"/>
    <row r="8464" ht="15.75" customHeight="1"/>
    <row r="8465" ht="15.75" customHeight="1"/>
    <row r="8466" ht="15.75" customHeight="1"/>
    <row r="8467" ht="15.75" customHeight="1"/>
    <row r="8468" ht="15.75" customHeight="1"/>
    <row r="8469" ht="15.75" customHeight="1"/>
    <row r="8470" ht="15.75" customHeight="1"/>
    <row r="8471" ht="15.75" customHeight="1"/>
    <row r="8472" ht="15.75" customHeight="1"/>
    <row r="8473" ht="15.75" customHeight="1"/>
    <row r="8474" ht="15.75" customHeight="1"/>
    <row r="8475" ht="15.75" customHeight="1"/>
    <row r="8476" ht="15.75" customHeight="1"/>
    <row r="8477" ht="15.75" customHeight="1"/>
    <row r="8478" ht="15.75" customHeight="1"/>
    <row r="8479" ht="15.75" customHeight="1"/>
    <row r="8480" ht="15.75" customHeight="1"/>
    <row r="8481" ht="15.75" customHeight="1"/>
    <row r="8482" ht="15.75" customHeight="1"/>
    <row r="8483" ht="15.75" customHeight="1"/>
    <row r="8484" ht="15.75" customHeight="1"/>
    <row r="8485" ht="15.75" customHeight="1"/>
    <row r="8486" ht="15.75" customHeight="1"/>
    <row r="8487" ht="15.75" customHeight="1"/>
    <row r="8488" ht="15.75" customHeight="1"/>
    <row r="8489" ht="15.75" customHeight="1"/>
    <row r="8490" ht="15.75" customHeight="1"/>
    <row r="8491" ht="15.75" customHeight="1"/>
    <row r="8492" ht="15.75" customHeight="1"/>
    <row r="8493" ht="15.75" customHeight="1"/>
    <row r="8494" ht="15.75" customHeight="1"/>
    <row r="8495" ht="15.75" customHeight="1"/>
    <row r="8496" ht="15.75" customHeight="1"/>
    <row r="8497" ht="15.75" customHeight="1"/>
    <row r="8498" ht="15.75" customHeight="1"/>
    <row r="8499" ht="15.75" customHeight="1"/>
    <row r="8500" ht="15.75" customHeight="1"/>
    <row r="8501" ht="15.75" customHeight="1"/>
    <row r="8502" ht="15.75" customHeight="1"/>
    <row r="8503" ht="15.75" customHeight="1"/>
    <row r="8504" ht="15.75" customHeight="1"/>
    <row r="8505" ht="15.75" customHeight="1"/>
    <row r="8506" ht="15.75" customHeight="1"/>
    <row r="8507" ht="15.75" customHeight="1"/>
    <row r="8508" ht="15.75" customHeight="1"/>
    <row r="8509" ht="15.75" customHeight="1"/>
    <row r="8510" ht="15.75" customHeight="1"/>
    <row r="8511" ht="15.75" customHeight="1"/>
    <row r="8512" ht="15.75" customHeight="1"/>
    <row r="8513" ht="15.75" customHeight="1"/>
    <row r="8514" ht="15.75" customHeight="1"/>
    <row r="8515" ht="15.75" customHeight="1"/>
    <row r="8516" ht="15.75" customHeight="1"/>
    <row r="8517" ht="15.75" customHeight="1"/>
    <row r="8518" ht="15.75" customHeight="1"/>
    <row r="8519" ht="15.75" customHeight="1"/>
    <row r="8520" ht="15.75" customHeight="1"/>
    <row r="8521" ht="15.75" customHeight="1"/>
    <row r="8522" ht="15.75" customHeight="1"/>
    <row r="8523" ht="15.75" customHeight="1"/>
    <row r="8524" ht="15.75" customHeight="1"/>
    <row r="8525" ht="15.75" customHeight="1"/>
    <row r="8526" ht="15.75" customHeight="1"/>
    <row r="8527" ht="15.75" customHeight="1"/>
    <row r="8528" ht="15.75" customHeight="1"/>
    <row r="8529" ht="15.75" customHeight="1"/>
    <row r="8530" ht="15.75" customHeight="1"/>
    <row r="8531" ht="15.75" customHeight="1"/>
    <row r="8532" ht="15.75" customHeight="1"/>
    <row r="8533" ht="15.75" customHeight="1"/>
    <row r="8534" ht="15.75" customHeight="1"/>
    <row r="8535" ht="15.75" customHeight="1"/>
    <row r="8536" ht="15.75" customHeight="1"/>
    <row r="8537" ht="15.75" customHeight="1"/>
    <row r="8538" ht="15.75" customHeight="1"/>
    <row r="8539" ht="15.75" customHeight="1"/>
    <row r="8540" ht="15.75" customHeight="1"/>
    <row r="8541" ht="15.75" customHeight="1"/>
    <row r="8542" ht="15.75" customHeight="1"/>
    <row r="8543" ht="15.75" customHeight="1"/>
    <row r="8544" ht="15.75" customHeight="1"/>
    <row r="8545" ht="15.75" customHeight="1"/>
    <row r="8546" ht="15.75" customHeight="1"/>
    <row r="8547" ht="15.75" customHeight="1"/>
    <row r="8548" ht="15.75" customHeight="1"/>
    <row r="8549" ht="15.75" customHeight="1"/>
    <row r="8550" ht="15.75" customHeight="1"/>
    <row r="8551" ht="15.75" customHeight="1"/>
    <row r="8552" ht="15.75" customHeight="1"/>
    <row r="8553" ht="15.75" customHeight="1"/>
    <row r="8554" ht="15.75" customHeight="1"/>
    <row r="8555" ht="15.75" customHeight="1"/>
    <row r="8556" ht="15.75" customHeight="1"/>
    <row r="8557" ht="15.75" customHeight="1"/>
    <row r="8558" ht="15.75" customHeight="1"/>
    <row r="8559" ht="15.75" customHeight="1"/>
    <row r="8560" ht="15.75" customHeight="1"/>
    <row r="8561" ht="15.75" customHeight="1"/>
    <row r="8562" ht="15.75" customHeight="1"/>
    <row r="8563" ht="15.75" customHeight="1"/>
    <row r="8564" ht="15.75" customHeight="1"/>
    <row r="8565" ht="15.75" customHeight="1"/>
    <row r="8566" ht="15.75" customHeight="1"/>
    <row r="8567" ht="15.75" customHeight="1"/>
    <row r="8568" ht="15.75" customHeight="1"/>
    <row r="8569" ht="15.75" customHeight="1"/>
    <row r="8570" ht="15.75" customHeight="1"/>
    <row r="8571" ht="15.75" customHeight="1"/>
    <row r="8572" ht="15.75" customHeight="1"/>
    <row r="8573" ht="15.75" customHeight="1"/>
    <row r="8574" ht="15.75" customHeight="1"/>
    <row r="8575" ht="15.75" customHeight="1"/>
    <row r="8576" ht="15.75" customHeight="1"/>
    <row r="8577" ht="15.75" customHeight="1"/>
    <row r="8578" ht="15.75" customHeight="1"/>
    <row r="8579" ht="15.75" customHeight="1"/>
    <row r="8580" ht="15.75" customHeight="1"/>
    <row r="8581" ht="15.75" customHeight="1"/>
    <row r="8582" ht="15.75" customHeight="1"/>
    <row r="8583" ht="15.75" customHeight="1"/>
    <row r="8584" ht="15.75" customHeight="1"/>
    <row r="8585" ht="15.75" customHeight="1"/>
    <row r="8586" ht="15.75" customHeight="1"/>
    <row r="8587" ht="15.75" customHeight="1"/>
    <row r="8588" ht="15.75" customHeight="1"/>
    <row r="8589" ht="15.75" customHeight="1"/>
    <row r="8590" ht="15.75" customHeight="1"/>
    <row r="8591" ht="15.75" customHeight="1"/>
    <row r="8592" ht="15.75" customHeight="1"/>
    <row r="8593" ht="15.75" customHeight="1"/>
    <row r="8594" ht="15.75" customHeight="1"/>
    <row r="8595" ht="15.75" customHeight="1"/>
    <row r="8596" ht="15.75" customHeight="1"/>
    <row r="8597" ht="15.75" customHeight="1"/>
    <row r="8598" ht="15.75" customHeight="1"/>
    <row r="8599" ht="15.75" customHeight="1"/>
    <row r="8600" ht="15.75" customHeight="1"/>
    <row r="8601" ht="15.75" customHeight="1"/>
    <row r="8602" ht="15.75" customHeight="1"/>
    <row r="8603" ht="15.75" customHeight="1"/>
    <row r="8604" ht="15.75" customHeight="1"/>
    <row r="8605" ht="15.75" customHeight="1"/>
    <row r="8606" ht="15.75" customHeight="1"/>
    <row r="8607" ht="15.75" customHeight="1"/>
    <row r="8608" ht="15.75" customHeight="1"/>
    <row r="8609" ht="15.75" customHeight="1"/>
    <row r="8610" ht="15.75" customHeight="1"/>
    <row r="8611" ht="15.75" customHeight="1"/>
    <row r="8612" ht="15.75" customHeight="1"/>
    <row r="8613" ht="15.75" customHeight="1"/>
    <row r="8614" ht="15.75" customHeight="1"/>
    <row r="8615" ht="15.75" customHeight="1"/>
    <row r="8616" ht="15.75" customHeight="1"/>
    <row r="8617" ht="15.75" customHeight="1"/>
    <row r="8618" ht="15.75" customHeight="1"/>
    <row r="8619" ht="15.75" customHeight="1"/>
    <row r="8620" ht="15.75" customHeight="1"/>
    <row r="8621" ht="15.75" customHeight="1"/>
    <row r="8622" ht="15.75" customHeight="1"/>
    <row r="8623" ht="15.75" customHeight="1"/>
    <row r="8624" ht="15.75" customHeight="1"/>
    <row r="8625" ht="15.75" customHeight="1"/>
    <row r="8626" ht="15.75" customHeight="1"/>
    <row r="8627" ht="15.75" customHeight="1"/>
    <row r="8628" ht="15.75" customHeight="1"/>
    <row r="8629" ht="15.75" customHeight="1"/>
    <row r="8630" ht="15.75" customHeight="1"/>
    <row r="8631" ht="15.75" customHeight="1"/>
    <row r="8632" ht="15.75" customHeight="1"/>
    <row r="8633" ht="15.75" customHeight="1"/>
    <row r="8634" ht="15.75" customHeight="1"/>
    <row r="8635" ht="15.75" customHeight="1"/>
    <row r="8636" ht="15.75" customHeight="1"/>
    <row r="8637" ht="15.75" customHeight="1"/>
    <row r="8638" ht="15.75" customHeight="1"/>
    <row r="8639" ht="15.75" customHeight="1"/>
    <row r="8640" ht="15.75" customHeight="1"/>
    <row r="8641" ht="15.75" customHeight="1"/>
    <row r="8642" ht="15.75" customHeight="1"/>
    <row r="8643" ht="15.75" customHeight="1"/>
    <row r="8644" ht="15.75" customHeight="1"/>
    <row r="8645" ht="15.75" customHeight="1"/>
    <row r="8646" ht="15.75" customHeight="1"/>
    <row r="8647" ht="15.75" customHeight="1"/>
    <row r="8648" ht="15.75" customHeight="1"/>
    <row r="8649" ht="15.75" customHeight="1"/>
    <row r="8650" ht="15.75" customHeight="1"/>
    <row r="8651" ht="15.75" customHeight="1"/>
    <row r="8652" ht="15.75" customHeight="1"/>
    <row r="8653" ht="15.75" customHeight="1"/>
    <row r="8654" ht="15.75" customHeight="1"/>
    <row r="8655" ht="15.75" customHeight="1"/>
    <row r="8656" ht="15.75" customHeight="1"/>
    <row r="8657" ht="15.75" customHeight="1"/>
    <row r="8658" ht="15.75" customHeight="1"/>
    <row r="8659" ht="15.75" customHeight="1"/>
    <row r="8660" ht="15.75" customHeight="1"/>
    <row r="8661" ht="15.75" customHeight="1"/>
    <row r="8662" ht="15.75" customHeight="1"/>
    <row r="8663" ht="15.75" customHeight="1"/>
    <row r="8664" ht="15.75" customHeight="1"/>
    <row r="8665" ht="15.75" customHeight="1"/>
    <row r="8666" ht="15.75" customHeight="1"/>
    <row r="8667" ht="15.75" customHeight="1"/>
    <row r="8668" ht="15.75" customHeight="1"/>
    <row r="8669" ht="15.75" customHeight="1"/>
    <row r="8670" ht="15.75" customHeight="1"/>
    <row r="8671" ht="15.75" customHeight="1"/>
    <row r="8672" ht="15.75" customHeight="1"/>
    <row r="8673" ht="15.75" customHeight="1"/>
    <row r="8674" ht="15.75" customHeight="1"/>
    <row r="8675" ht="15.75" customHeight="1"/>
    <row r="8676" ht="15.75" customHeight="1"/>
    <row r="8677" ht="15.75" customHeight="1"/>
    <row r="8678" ht="15.75" customHeight="1"/>
    <row r="8679" ht="15.75" customHeight="1"/>
    <row r="8680" ht="15.75" customHeight="1"/>
    <row r="8681" ht="15.75" customHeight="1"/>
    <row r="8682" ht="15.75" customHeight="1"/>
    <row r="8683" ht="15.75" customHeight="1"/>
    <row r="8684" ht="15.75" customHeight="1"/>
    <row r="8685" ht="15.75" customHeight="1"/>
    <row r="8686" ht="15.75" customHeight="1"/>
    <row r="8687" ht="15.75" customHeight="1"/>
    <row r="8688" ht="15.75" customHeight="1"/>
    <row r="8689" ht="15.75" customHeight="1"/>
    <row r="8690" ht="15.75" customHeight="1"/>
    <row r="8691" ht="15.75" customHeight="1"/>
    <row r="8692" ht="15.75" customHeight="1"/>
    <row r="8693" ht="15.75" customHeight="1"/>
    <row r="8694" ht="15.75" customHeight="1"/>
    <row r="8695" ht="15.75" customHeight="1"/>
    <row r="8696" ht="15.75" customHeight="1"/>
    <row r="8697" ht="15.75" customHeight="1"/>
    <row r="8698" ht="15.75" customHeight="1"/>
    <row r="8699" ht="15.75" customHeight="1"/>
    <row r="8700" ht="15.75" customHeight="1"/>
    <row r="8701" ht="15.75" customHeight="1"/>
    <row r="8702" ht="15.75" customHeight="1"/>
    <row r="8703" ht="15.75" customHeight="1"/>
    <row r="8704" ht="15.75" customHeight="1"/>
    <row r="8705" ht="15.75" customHeight="1"/>
    <row r="8706" ht="15.75" customHeight="1"/>
    <row r="8707" ht="15.75" customHeight="1"/>
    <row r="8708" ht="15.75" customHeight="1"/>
    <row r="8709" ht="15.75" customHeight="1"/>
    <row r="8710" ht="15.75" customHeight="1"/>
    <row r="8711" ht="15.75" customHeight="1"/>
    <row r="8712" ht="15.75" customHeight="1"/>
    <row r="8713" ht="15.75" customHeight="1"/>
    <row r="8714" ht="15.75" customHeight="1"/>
    <row r="8715" ht="15.75" customHeight="1"/>
    <row r="8716" ht="15.75" customHeight="1"/>
    <row r="8717" ht="15.75" customHeight="1"/>
    <row r="8718" ht="15.75" customHeight="1"/>
    <row r="8719" ht="15.75" customHeight="1"/>
    <row r="8720" ht="15.75" customHeight="1"/>
    <row r="8721" ht="15.75" customHeight="1"/>
    <row r="8722" ht="15.75" customHeight="1"/>
    <row r="8723" ht="15.75" customHeight="1"/>
    <row r="8724" ht="15.75" customHeight="1"/>
    <row r="8725" ht="15.75" customHeight="1"/>
    <row r="8726" ht="15.75" customHeight="1"/>
    <row r="8727" ht="15.75" customHeight="1"/>
    <row r="8728" ht="15.75" customHeight="1"/>
    <row r="8729" ht="15.75" customHeight="1"/>
    <row r="8730" ht="15.75" customHeight="1"/>
    <row r="8731" ht="15.75" customHeight="1"/>
    <row r="8732" ht="15.75" customHeight="1"/>
    <row r="8733" ht="15.75" customHeight="1"/>
    <row r="8734" ht="15.75" customHeight="1"/>
    <row r="8735" ht="15.75" customHeight="1"/>
    <row r="8736" ht="15.75" customHeight="1"/>
    <row r="8737" ht="15.75" customHeight="1"/>
    <row r="8738" ht="15.75" customHeight="1"/>
    <row r="8739" ht="15.75" customHeight="1"/>
    <row r="8740" ht="15.75" customHeight="1"/>
    <row r="8741" ht="15.75" customHeight="1"/>
    <row r="8742" ht="15.75" customHeight="1"/>
    <row r="8743" ht="15.75" customHeight="1"/>
    <row r="8744" ht="15.75" customHeight="1"/>
    <row r="8745" ht="15.75" customHeight="1"/>
    <row r="8746" ht="15.75" customHeight="1"/>
    <row r="8747" ht="15.75" customHeight="1"/>
    <row r="8748" ht="15.75" customHeight="1"/>
    <row r="8749" ht="15.75" customHeight="1"/>
    <row r="8750" ht="15.75" customHeight="1"/>
    <row r="8751" ht="15.75" customHeight="1"/>
    <row r="8752" ht="15.75" customHeight="1"/>
    <row r="8753" ht="15.75" customHeight="1"/>
    <row r="8754" ht="15.75" customHeight="1"/>
    <row r="8755" ht="15.75" customHeight="1"/>
    <row r="8756" ht="15.75" customHeight="1"/>
    <row r="8757" ht="15.75" customHeight="1"/>
    <row r="8758" ht="15.75" customHeight="1"/>
    <row r="8759" ht="15.75" customHeight="1"/>
    <row r="8760" ht="15.75" customHeight="1"/>
    <row r="8761" ht="15.75" customHeight="1"/>
    <row r="8762" ht="15.75" customHeight="1"/>
    <row r="8763" ht="15.75" customHeight="1"/>
    <row r="8764" ht="15.75" customHeight="1"/>
    <row r="8765" ht="15.75" customHeight="1"/>
    <row r="8766" ht="15.75" customHeight="1"/>
    <row r="8767" ht="15.75" customHeight="1"/>
    <row r="8768" ht="15.75" customHeight="1"/>
    <row r="8769" ht="15.75" customHeight="1"/>
    <row r="8770" ht="15.75" customHeight="1"/>
    <row r="8771" ht="15.75" customHeight="1"/>
    <row r="8772" ht="15.75" customHeight="1"/>
    <row r="8773" ht="15.75" customHeight="1"/>
    <row r="8774" ht="15.75" customHeight="1"/>
    <row r="8775" ht="15.75" customHeight="1"/>
    <row r="8776" ht="15.75" customHeight="1"/>
    <row r="8777" ht="15.75" customHeight="1"/>
    <row r="8778" ht="15.75" customHeight="1"/>
    <row r="8779" ht="15.75" customHeight="1"/>
    <row r="8780" ht="15.75" customHeight="1"/>
    <row r="8781" ht="15.75" customHeight="1"/>
    <row r="8782" ht="15.75" customHeight="1"/>
    <row r="8783" ht="15.75" customHeight="1"/>
    <row r="8784" ht="15.75" customHeight="1"/>
    <row r="8785" ht="15.75" customHeight="1"/>
    <row r="8786" ht="15.75" customHeight="1"/>
    <row r="8787" ht="15.75" customHeight="1"/>
    <row r="8788" ht="15.75" customHeight="1"/>
    <row r="8789" ht="15.75" customHeight="1"/>
    <row r="8790" ht="15.75" customHeight="1"/>
    <row r="8791" ht="15.75" customHeight="1"/>
    <row r="8792" ht="15.75" customHeight="1"/>
    <row r="8793" ht="15.75" customHeight="1"/>
    <row r="8794" ht="15.75" customHeight="1"/>
    <row r="8795" ht="15.75" customHeight="1"/>
    <row r="8796" ht="15.75" customHeight="1"/>
    <row r="8797" ht="15.75" customHeight="1"/>
    <row r="8798" ht="15.75" customHeight="1"/>
    <row r="8799" ht="15.75" customHeight="1"/>
    <row r="8800" ht="15.75" customHeight="1"/>
    <row r="8801" ht="15.75" customHeight="1"/>
    <row r="8802" ht="15.75" customHeight="1"/>
    <row r="8803" ht="15.75" customHeight="1"/>
    <row r="8804" ht="15.75" customHeight="1"/>
    <row r="8805" ht="15.75" customHeight="1"/>
    <row r="8806" ht="15.75" customHeight="1"/>
    <row r="8807" ht="15.75" customHeight="1"/>
    <row r="8808" ht="15.75" customHeight="1"/>
    <row r="8809" ht="15.75" customHeight="1"/>
    <row r="8810" ht="15.75" customHeight="1"/>
    <row r="8811" ht="15.75" customHeight="1"/>
    <row r="8812" ht="15.75" customHeight="1"/>
    <row r="8813" ht="15.75" customHeight="1"/>
    <row r="8814" ht="15.75" customHeight="1"/>
    <row r="8815" ht="15.75" customHeight="1"/>
    <row r="8816" ht="15.75" customHeight="1"/>
    <row r="8817" ht="15.75" customHeight="1"/>
    <row r="8818" ht="15.75" customHeight="1"/>
    <row r="8819" ht="15.75" customHeight="1"/>
    <row r="8820" ht="15.75" customHeight="1"/>
    <row r="8821" ht="15.75" customHeight="1"/>
    <row r="8822" ht="15.75" customHeight="1"/>
    <row r="8823" ht="15.75" customHeight="1"/>
    <row r="8824" ht="15.75" customHeight="1"/>
    <row r="8825" ht="15.75" customHeight="1"/>
    <row r="8826" ht="15.75" customHeight="1"/>
    <row r="8827" ht="15.75" customHeight="1"/>
    <row r="8828" ht="15.75" customHeight="1"/>
    <row r="8829" ht="15.75" customHeight="1"/>
    <row r="8830" ht="15.75" customHeight="1"/>
    <row r="8831" ht="15.75" customHeight="1"/>
    <row r="8832" ht="15.75" customHeight="1"/>
    <row r="8833" ht="15.75" customHeight="1"/>
    <row r="8834" ht="15.75" customHeight="1"/>
    <row r="8835" ht="15.75" customHeight="1"/>
    <row r="8836" ht="15.75" customHeight="1"/>
    <row r="8837" ht="15.75" customHeight="1"/>
    <row r="8838" ht="15.75" customHeight="1"/>
    <row r="8839" ht="15.75" customHeight="1"/>
    <row r="8840" ht="15.75" customHeight="1"/>
    <row r="8841" ht="15.75" customHeight="1"/>
    <row r="8842" ht="15.75" customHeight="1"/>
    <row r="8843" ht="15.75" customHeight="1"/>
    <row r="8844" ht="15.75" customHeight="1"/>
    <row r="8845" ht="15.75" customHeight="1"/>
    <row r="8846" ht="15.75" customHeight="1"/>
    <row r="8847" ht="15.75" customHeight="1"/>
    <row r="8848" ht="15.75" customHeight="1"/>
    <row r="8849" ht="15.75" customHeight="1"/>
    <row r="8850" ht="15.75" customHeight="1"/>
    <row r="8851" ht="15.75" customHeight="1"/>
    <row r="8852" ht="15.75" customHeight="1"/>
    <row r="8853" ht="15.75" customHeight="1"/>
    <row r="8854" ht="15.75" customHeight="1"/>
    <row r="8855" ht="15.75" customHeight="1"/>
    <row r="8856" ht="15.75" customHeight="1"/>
    <row r="8857" ht="15.75" customHeight="1"/>
    <row r="8858" ht="15.75" customHeight="1"/>
    <row r="8859" ht="15.75" customHeight="1"/>
    <row r="8860" ht="15.75" customHeight="1"/>
    <row r="8861" ht="15.75" customHeight="1"/>
    <row r="8862" ht="15.75" customHeight="1"/>
    <row r="8863" ht="15.75" customHeight="1"/>
    <row r="8864" ht="15.75" customHeight="1"/>
    <row r="8865" ht="15.75" customHeight="1"/>
    <row r="8866" ht="15.75" customHeight="1"/>
    <row r="8867" ht="15.75" customHeight="1"/>
    <row r="8868" ht="15.75" customHeight="1"/>
    <row r="8869" ht="15.75" customHeight="1"/>
    <row r="8870" ht="15.75" customHeight="1"/>
    <row r="8871" ht="15.75" customHeight="1"/>
    <row r="8872" ht="15.75" customHeight="1"/>
    <row r="8873" ht="15.75" customHeight="1"/>
    <row r="8874" ht="15.75" customHeight="1"/>
    <row r="8875" ht="15.75" customHeight="1"/>
    <row r="8876" ht="15.75" customHeight="1"/>
    <row r="8877" ht="15.75" customHeight="1"/>
    <row r="8878" ht="15.75" customHeight="1"/>
    <row r="8879" ht="15.75" customHeight="1"/>
    <row r="8880" ht="15.75" customHeight="1"/>
    <row r="8881" ht="15.75" customHeight="1"/>
    <row r="8882" ht="15.75" customHeight="1"/>
    <row r="8883" ht="15.75" customHeight="1"/>
    <row r="8884" ht="15.75" customHeight="1"/>
    <row r="8885" ht="15.75" customHeight="1"/>
    <row r="8886" ht="15.75" customHeight="1"/>
    <row r="8887" ht="15.75" customHeight="1"/>
    <row r="8888" ht="15.75" customHeight="1"/>
    <row r="8889" ht="15.75" customHeight="1"/>
    <row r="8890" ht="15.75" customHeight="1"/>
    <row r="8891" ht="15.75" customHeight="1"/>
    <row r="8892" ht="15.75" customHeight="1"/>
    <row r="8893" ht="15.75" customHeight="1"/>
    <row r="8894" ht="15.75" customHeight="1"/>
    <row r="8895" ht="15.75" customHeight="1"/>
    <row r="8896" ht="15.75" customHeight="1"/>
    <row r="8897" ht="15.75" customHeight="1"/>
    <row r="8898" ht="15.75" customHeight="1"/>
    <row r="8899" ht="15.75" customHeight="1"/>
    <row r="8900" ht="15.75" customHeight="1"/>
    <row r="8901" ht="15.75" customHeight="1"/>
    <row r="8902" ht="15.75" customHeight="1"/>
    <row r="8903" ht="15.75" customHeight="1"/>
    <row r="8904" ht="15.75" customHeight="1"/>
    <row r="8905" ht="15.75" customHeight="1"/>
    <row r="8906" ht="15.75" customHeight="1"/>
    <row r="8907" ht="15.75" customHeight="1"/>
    <row r="8908" ht="15.75" customHeight="1"/>
    <row r="8909" ht="15.75" customHeight="1"/>
    <row r="8910" ht="15.75" customHeight="1"/>
    <row r="8911" ht="15.75" customHeight="1"/>
    <row r="8912" ht="15.75" customHeight="1"/>
    <row r="8913" ht="15.75" customHeight="1"/>
    <row r="8914" ht="15.75" customHeight="1"/>
    <row r="8915" ht="15.75" customHeight="1"/>
    <row r="8916" ht="15.75" customHeight="1"/>
    <row r="8917" ht="15.75" customHeight="1"/>
    <row r="8918" ht="15.75" customHeight="1"/>
    <row r="8919" ht="15.75" customHeight="1"/>
    <row r="8920" ht="15.75" customHeight="1"/>
    <row r="8921" ht="15.75" customHeight="1"/>
    <row r="8922" ht="15.75" customHeight="1"/>
    <row r="8923" ht="15.75" customHeight="1"/>
    <row r="8924" ht="15.75" customHeight="1"/>
    <row r="8925" ht="15.75" customHeight="1"/>
    <row r="8926" ht="15.75" customHeight="1"/>
    <row r="8927" ht="15.75" customHeight="1"/>
    <row r="8928" ht="15.75" customHeight="1"/>
    <row r="8929" ht="15.75" customHeight="1"/>
    <row r="8930" ht="15.75" customHeight="1"/>
    <row r="8931" ht="15.75" customHeight="1"/>
    <row r="8932" ht="15.75" customHeight="1"/>
    <row r="8933" ht="15.75" customHeight="1"/>
    <row r="8934" ht="15.75" customHeight="1"/>
    <row r="8935" ht="15.75" customHeight="1"/>
    <row r="8936" ht="15.75" customHeight="1"/>
    <row r="8937" ht="15.75" customHeight="1"/>
    <row r="8938" ht="15.75" customHeight="1"/>
    <row r="8939" ht="15.75" customHeight="1"/>
    <row r="8940" ht="15.75" customHeight="1"/>
    <row r="8941" ht="15.75" customHeight="1"/>
    <row r="8942" ht="15.75" customHeight="1"/>
    <row r="8943" ht="15.75" customHeight="1"/>
    <row r="8944" ht="15.75" customHeight="1"/>
    <row r="8945" ht="15.75" customHeight="1"/>
    <row r="8946" ht="15.75" customHeight="1"/>
    <row r="8947" ht="15.75" customHeight="1"/>
    <row r="8948" ht="15.75" customHeight="1"/>
    <row r="8949" ht="15.75" customHeight="1"/>
    <row r="8950" ht="15.75" customHeight="1"/>
    <row r="8951" ht="15.75" customHeight="1"/>
    <row r="8952" ht="15.75" customHeight="1"/>
    <row r="8953" ht="15.75" customHeight="1"/>
    <row r="8954" ht="15.75" customHeight="1"/>
    <row r="8955" ht="15.75" customHeight="1"/>
    <row r="8956" ht="15.75" customHeight="1"/>
    <row r="8957" ht="15.75" customHeight="1"/>
    <row r="8958" ht="15.75" customHeight="1"/>
    <row r="8959" ht="15.75" customHeight="1"/>
    <row r="8960" ht="15.75" customHeight="1"/>
    <row r="8961" ht="15.75" customHeight="1"/>
    <row r="8962" ht="15.75" customHeight="1"/>
    <row r="8963" ht="15.75" customHeight="1"/>
    <row r="8964" ht="15.75" customHeight="1"/>
    <row r="8965" ht="15.75" customHeight="1"/>
    <row r="8966" ht="15.75" customHeight="1"/>
    <row r="8967" ht="15.75" customHeight="1"/>
    <row r="8968" ht="15.75" customHeight="1"/>
    <row r="8969" ht="15.75" customHeight="1"/>
    <row r="8970" ht="15.75" customHeight="1"/>
    <row r="8971" ht="15.75" customHeight="1"/>
    <row r="8972" ht="15.75" customHeight="1"/>
    <row r="8973" ht="15.75" customHeight="1"/>
    <row r="8974" ht="15.75" customHeight="1"/>
    <row r="8975" ht="15.75" customHeight="1"/>
    <row r="8976" ht="15.75" customHeight="1"/>
    <row r="8977" ht="15.75" customHeight="1"/>
    <row r="8978" ht="15.75" customHeight="1"/>
    <row r="8979" ht="15.75" customHeight="1"/>
    <row r="8980" ht="15.75" customHeight="1"/>
    <row r="8981" ht="15.75" customHeight="1"/>
    <row r="8982" ht="15.75" customHeight="1"/>
    <row r="8983" ht="15.75" customHeight="1"/>
    <row r="8984" ht="15.75" customHeight="1"/>
    <row r="8985" ht="15.75" customHeight="1"/>
    <row r="8986" ht="15.75" customHeight="1"/>
    <row r="8987" ht="15.75" customHeight="1"/>
    <row r="8988" ht="15.75" customHeight="1"/>
    <row r="8989" ht="15.75" customHeight="1"/>
    <row r="8990" ht="15.75" customHeight="1"/>
    <row r="8991" ht="15.75" customHeight="1"/>
    <row r="8992" ht="15.75" customHeight="1"/>
    <row r="8993" ht="15.75" customHeight="1"/>
    <row r="8994" ht="15.75" customHeight="1"/>
    <row r="8995" ht="15.75" customHeight="1"/>
    <row r="8996" ht="15.75" customHeight="1"/>
    <row r="8997" ht="15.75" customHeight="1"/>
    <row r="8998" ht="15.75" customHeight="1"/>
    <row r="8999" ht="15.75" customHeight="1"/>
    <row r="9000" ht="15.75" customHeight="1"/>
    <row r="9001" ht="15.75" customHeight="1"/>
    <row r="9002" ht="15.75" customHeight="1"/>
    <row r="9003" ht="15.75" customHeight="1"/>
    <row r="9004" ht="15.75" customHeight="1"/>
    <row r="9005" ht="15.75" customHeight="1"/>
    <row r="9006" ht="15.75" customHeight="1"/>
    <row r="9007" ht="15.75" customHeight="1"/>
    <row r="9008" ht="15.75" customHeight="1"/>
    <row r="9009" ht="15.75" customHeight="1"/>
    <row r="9010" ht="15.75" customHeight="1"/>
    <row r="9011" ht="15.75" customHeight="1"/>
    <row r="9012" ht="15.75" customHeight="1"/>
    <row r="9013" ht="15.75" customHeight="1"/>
    <row r="9014" ht="15.75" customHeight="1"/>
    <row r="9015" ht="15.75" customHeight="1"/>
    <row r="9016" ht="15.75" customHeight="1"/>
    <row r="9017" ht="15.75" customHeight="1"/>
    <row r="9018" ht="15.75" customHeight="1"/>
    <row r="9019" ht="15.75" customHeight="1"/>
    <row r="9020" ht="15.75" customHeight="1"/>
    <row r="9021" ht="15.75" customHeight="1"/>
    <row r="9022" ht="15.75" customHeight="1"/>
    <row r="9023" ht="15.75" customHeight="1"/>
    <row r="9024" ht="15.75" customHeight="1"/>
    <row r="9025" ht="15.75" customHeight="1"/>
    <row r="9026" ht="15.75" customHeight="1"/>
    <row r="9027" ht="15.75" customHeight="1"/>
    <row r="9028" ht="15.75" customHeight="1"/>
    <row r="9029" ht="15.75" customHeight="1"/>
    <row r="9030" ht="15.75" customHeight="1"/>
    <row r="9031" ht="15.75" customHeight="1"/>
    <row r="9032" ht="15.75" customHeight="1"/>
    <row r="9033" ht="15.75" customHeight="1"/>
    <row r="9034" ht="15.75" customHeight="1"/>
    <row r="9035" ht="15.75" customHeight="1"/>
    <row r="9036" ht="15.75" customHeight="1"/>
    <row r="9037" ht="15.75" customHeight="1"/>
    <row r="9038" ht="15.75" customHeight="1"/>
    <row r="9039" ht="15.75" customHeight="1"/>
    <row r="9040" ht="15.75" customHeight="1"/>
    <row r="9041" ht="15.75" customHeight="1"/>
    <row r="9042" ht="15.75" customHeight="1"/>
    <row r="9043" ht="15.75" customHeight="1"/>
    <row r="9044" ht="15.75" customHeight="1"/>
    <row r="9045" ht="15.75" customHeight="1"/>
    <row r="9046" ht="15.75" customHeight="1"/>
    <row r="9047" ht="15.75" customHeight="1"/>
    <row r="9048" ht="15.75" customHeight="1"/>
    <row r="9049" ht="15.75" customHeight="1"/>
    <row r="9050" ht="15.75" customHeight="1"/>
    <row r="9051" ht="15.75" customHeight="1"/>
    <row r="9052" ht="15.75" customHeight="1"/>
    <row r="9053" ht="15.75" customHeight="1"/>
    <row r="9054" ht="15.75" customHeight="1"/>
    <row r="9055" ht="15.75" customHeight="1"/>
    <row r="9056" ht="15.75" customHeight="1"/>
    <row r="9057" ht="15.75" customHeight="1"/>
    <row r="9058" ht="15.75" customHeight="1"/>
    <row r="9059" ht="15.75" customHeight="1"/>
    <row r="9060" ht="15.75" customHeight="1"/>
    <row r="9061" ht="15.75" customHeight="1"/>
    <row r="9062" ht="15.75" customHeight="1"/>
    <row r="9063" ht="15.75" customHeight="1"/>
    <row r="9064" ht="15.75" customHeight="1"/>
    <row r="9065" ht="15.75" customHeight="1"/>
    <row r="9066" ht="15.75" customHeight="1"/>
    <row r="9067" ht="15.75" customHeight="1"/>
    <row r="9068" ht="15.75" customHeight="1"/>
    <row r="9069" ht="15.75" customHeight="1"/>
    <row r="9070" ht="15.75" customHeight="1"/>
    <row r="9071" ht="15.75" customHeight="1"/>
    <row r="9072" ht="15.75" customHeight="1"/>
    <row r="9073" ht="15.75" customHeight="1"/>
    <row r="9074" ht="15.75" customHeight="1"/>
    <row r="9075" ht="15.75" customHeight="1"/>
    <row r="9076" ht="15.75" customHeight="1"/>
    <row r="9077" ht="15.75" customHeight="1"/>
    <row r="9078" ht="15.75" customHeight="1"/>
    <row r="9079" ht="15.75" customHeight="1"/>
    <row r="9080" ht="15.75" customHeight="1"/>
    <row r="9081" ht="15.75" customHeight="1"/>
    <row r="9082" ht="15.75" customHeight="1"/>
    <row r="9083" ht="15.75" customHeight="1"/>
    <row r="9084" ht="15.75" customHeight="1"/>
    <row r="9085" ht="15.75" customHeight="1"/>
    <row r="9086" ht="15.75" customHeight="1"/>
    <row r="9087" ht="15.75" customHeight="1"/>
    <row r="9088" ht="15.75" customHeight="1"/>
    <row r="9089" ht="15.75" customHeight="1"/>
    <row r="9090" ht="15.75" customHeight="1"/>
    <row r="9091" ht="15.75" customHeight="1"/>
    <row r="9092" ht="15.75" customHeight="1"/>
    <row r="9093" ht="15.75" customHeight="1"/>
    <row r="9094" ht="15.75" customHeight="1"/>
    <row r="9095" ht="15.75" customHeight="1"/>
    <row r="9096" ht="15.75" customHeight="1"/>
    <row r="9097" ht="15.75" customHeight="1"/>
    <row r="9098" ht="15.75" customHeight="1"/>
    <row r="9099" ht="15.75" customHeight="1"/>
    <row r="9100" ht="15.75" customHeight="1"/>
    <row r="9101" ht="15.75" customHeight="1"/>
    <row r="9102" ht="15.75" customHeight="1"/>
    <row r="9103" ht="15.75" customHeight="1"/>
    <row r="9104" ht="15.75" customHeight="1"/>
    <row r="9105" ht="15.75" customHeight="1"/>
    <row r="9106" ht="15.75" customHeight="1"/>
    <row r="9107" ht="15.75" customHeight="1"/>
    <row r="9108" ht="15.75" customHeight="1"/>
    <row r="9109" ht="15.75" customHeight="1"/>
    <row r="9110" ht="15.75" customHeight="1"/>
    <row r="9111" ht="15.75" customHeight="1"/>
    <row r="9112" ht="15.75" customHeight="1"/>
    <row r="9113" ht="15.75" customHeight="1"/>
    <row r="9114" ht="15.75" customHeight="1"/>
    <row r="9115" ht="15.75" customHeight="1"/>
    <row r="9116" ht="15.75" customHeight="1"/>
    <row r="9117" ht="15.75" customHeight="1"/>
    <row r="9118" ht="15.75" customHeight="1"/>
    <row r="9119" ht="15.75" customHeight="1"/>
    <row r="9120" ht="15.75" customHeight="1"/>
    <row r="9121" ht="15.75" customHeight="1"/>
    <row r="9122" ht="15.75" customHeight="1"/>
    <row r="9123" ht="15.75" customHeight="1"/>
    <row r="9124" ht="15.75" customHeight="1"/>
    <row r="9125" ht="15.75" customHeight="1"/>
    <row r="9126" ht="15.75" customHeight="1"/>
    <row r="9127" ht="15.75" customHeight="1"/>
    <row r="9128" ht="15.75" customHeight="1"/>
    <row r="9129" ht="15.75" customHeight="1"/>
    <row r="9130" ht="15.75" customHeight="1"/>
    <row r="9131" ht="15.75" customHeight="1"/>
    <row r="9132" ht="15.75" customHeight="1"/>
    <row r="9133" ht="15.75" customHeight="1"/>
    <row r="9134" ht="15.75" customHeight="1"/>
    <row r="9135" ht="15.75" customHeight="1"/>
    <row r="9136" ht="15.75" customHeight="1"/>
    <row r="9137" ht="15.75" customHeight="1"/>
    <row r="9138" ht="15.75" customHeight="1"/>
    <row r="9139" ht="15.75" customHeight="1"/>
    <row r="9140" ht="15.75" customHeight="1"/>
    <row r="9141" ht="15.75" customHeight="1"/>
    <row r="9142" ht="15.75" customHeight="1"/>
    <row r="9143" ht="15.75" customHeight="1"/>
    <row r="9144" ht="15.75" customHeight="1"/>
    <row r="9145" ht="15.75" customHeight="1"/>
    <row r="9146" ht="15.75" customHeight="1"/>
    <row r="9147" ht="15.75" customHeight="1"/>
    <row r="9148" ht="15.75" customHeight="1"/>
    <row r="9149" ht="15.75" customHeight="1"/>
    <row r="9150" ht="15.75" customHeight="1"/>
    <row r="9151" ht="15.75" customHeight="1"/>
    <row r="9152" ht="15.75" customHeight="1"/>
    <row r="9153" ht="15.75" customHeight="1"/>
    <row r="9154" ht="15.75" customHeight="1"/>
    <row r="9155" ht="15.75" customHeight="1"/>
    <row r="9156" ht="15.75" customHeight="1"/>
    <row r="9157" ht="15.75" customHeight="1"/>
    <row r="9158" ht="15.75" customHeight="1"/>
    <row r="9159" ht="15.75" customHeight="1"/>
    <row r="9160" ht="15.75" customHeight="1"/>
    <row r="9161" ht="15.75" customHeight="1"/>
    <row r="9162" ht="15.75" customHeight="1"/>
    <row r="9163" ht="15.75" customHeight="1"/>
    <row r="9164" ht="15.75" customHeight="1"/>
    <row r="9165" ht="15.75" customHeight="1"/>
    <row r="9166" ht="15.75" customHeight="1"/>
    <row r="9167" ht="15.75" customHeight="1"/>
    <row r="9168" ht="15.75" customHeight="1"/>
    <row r="9169" ht="15.75" customHeight="1"/>
    <row r="9170" ht="15.75" customHeight="1"/>
    <row r="9171" ht="15.75" customHeight="1"/>
    <row r="9172" ht="15.75" customHeight="1"/>
    <row r="9173" ht="15.75" customHeight="1"/>
    <row r="9174" ht="15.75" customHeight="1"/>
    <row r="9175" ht="15.75" customHeight="1"/>
    <row r="9176" ht="15.75" customHeight="1"/>
    <row r="9177" ht="15.75" customHeight="1"/>
    <row r="9178" ht="15.75" customHeight="1"/>
    <row r="9179" ht="15.75" customHeight="1"/>
    <row r="9180" ht="15.75" customHeight="1"/>
    <row r="9181" ht="15.75" customHeight="1"/>
    <row r="9182" ht="15.75" customHeight="1"/>
    <row r="9183" ht="15.75" customHeight="1"/>
    <row r="9184" ht="15.75" customHeight="1"/>
    <row r="9185" ht="15.75" customHeight="1"/>
    <row r="9186" ht="15.75" customHeight="1"/>
    <row r="9187" ht="15.75" customHeight="1"/>
    <row r="9188" ht="15.75" customHeight="1"/>
    <row r="9189" ht="15.75" customHeight="1"/>
    <row r="9190" ht="15.75" customHeight="1"/>
    <row r="9191" ht="15.75" customHeight="1"/>
    <row r="9192" ht="15.75" customHeight="1"/>
    <row r="9193" ht="15.75" customHeight="1"/>
    <row r="9194" ht="15.75" customHeight="1"/>
    <row r="9195" ht="15.75" customHeight="1"/>
    <row r="9196" ht="15.75" customHeight="1"/>
    <row r="9197" ht="15.75" customHeight="1"/>
    <row r="9198" ht="15.75" customHeight="1"/>
    <row r="9199" ht="15.75" customHeight="1"/>
    <row r="9200" ht="15.75" customHeight="1"/>
    <row r="9201" ht="15.75" customHeight="1"/>
    <row r="9202" ht="15.75" customHeight="1"/>
    <row r="9203" ht="15.75" customHeight="1"/>
    <row r="9204" ht="15.75" customHeight="1"/>
    <row r="9205" ht="15.75" customHeight="1"/>
    <row r="9206" ht="15.75" customHeight="1"/>
    <row r="9207" ht="15.75" customHeight="1"/>
    <row r="9208" ht="15.75" customHeight="1"/>
    <row r="9209" ht="15.75" customHeight="1"/>
    <row r="9210" ht="15.75" customHeight="1"/>
    <row r="9211" ht="15.75" customHeight="1"/>
    <row r="9212" ht="15.75" customHeight="1"/>
    <row r="9213" ht="15.75" customHeight="1"/>
    <row r="9214" ht="15.75" customHeight="1"/>
    <row r="9215" ht="15.75" customHeight="1"/>
    <row r="9216" ht="15.75" customHeight="1"/>
    <row r="9217" ht="15.75" customHeight="1"/>
    <row r="9218" ht="15.75" customHeight="1"/>
    <row r="9219" ht="15.75" customHeight="1"/>
    <row r="9220" ht="15.75" customHeight="1"/>
    <row r="9221" ht="15.75" customHeight="1"/>
    <row r="9222" ht="15.75" customHeight="1"/>
    <row r="9223" ht="15.75" customHeight="1"/>
    <row r="9224" ht="15.75" customHeight="1"/>
    <row r="9225" ht="15.75" customHeight="1"/>
    <row r="9226" ht="15.75" customHeight="1"/>
    <row r="9227" ht="15.75" customHeight="1"/>
    <row r="9228" ht="15.75" customHeight="1"/>
    <row r="9229" ht="15.75" customHeight="1"/>
    <row r="9230" ht="15.75" customHeight="1"/>
    <row r="9231" ht="15.75" customHeight="1"/>
    <row r="9232" ht="15.75" customHeight="1"/>
    <row r="9233" ht="15.75" customHeight="1"/>
    <row r="9234" ht="15.75" customHeight="1"/>
    <row r="9235" ht="15.75" customHeight="1"/>
    <row r="9236" ht="15.75" customHeight="1"/>
    <row r="9237" ht="15.75" customHeight="1"/>
    <row r="9238" ht="15.75" customHeight="1"/>
    <row r="9239" ht="15.75" customHeight="1"/>
    <row r="9240" ht="15.75" customHeight="1"/>
    <row r="9241" ht="15.75" customHeight="1"/>
    <row r="9242" ht="15.75" customHeight="1"/>
    <row r="9243" ht="15.75" customHeight="1"/>
    <row r="9244" ht="15.75" customHeight="1"/>
    <row r="9245" ht="15.75" customHeight="1"/>
    <row r="9246" ht="15.75" customHeight="1"/>
    <row r="9247" ht="15.75" customHeight="1"/>
    <row r="9248" ht="15.75" customHeight="1"/>
    <row r="9249" ht="15.75" customHeight="1"/>
    <row r="9250" ht="15.75" customHeight="1"/>
    <row r="9251" ht="15.75" customHeight="1"/>
    <row r="9252" ht="15.75" customHeight="1"/>
    <row r="9253" ht="15.75" customHeight="1"/>
    <row r="9254" ht="15.75" customHeight="1"/>
    <row r="9255" ht="15.75" customHeight="1"/>
    <row r="9256" ht="15.75" customHeight="1"/>
    <row r="9257" ht="15.75" customHeight="1"/>
    <row r="9258" ht="15.75" customHeight="1"/>
    <row r="9259" ht="15.75" customHeight="1"/>
    <row r="9260" ht="15.75" customHeight="1"/>
    <row r="9261" ht="15.75" customHeight="1"/>
    <row r="9262" ht="15.75" customHeight="1"/>
    <row r="9263" ht="15.75" customHeight="1"/>
    <row r="9264" ht="15.75" customHeight="1"/>
    <row r="9265" ht="15.75" customHeight="1"/>
    <row r="9266" ht="15.75" customHeight="1"/>
    <row r="9267" ht="15.75" customHeight="1"/>
    <row r="9268" ht="15.75" customHeight="1"/>
    <row r="9269" ht="15.75" customHeight="1"/>
    <row r="9270" ht="15.75" customHeight="1"/>
    <row r="9271" ht="15.75" customHeight="1"/>
    <row r="9272" ht="15.75" customHeight="1"/>
    <row r="9273" ht="15.75" customHeight="1"/>
    <row r="9274" ht="15.75" customHeight="1"/>
    <row r="9275" ht="15.75" customHeight="1"/>
    <row r="9276" ht="15.75" customHeight="1"/>
    <row r="9277" ht="15.75" customHeight="1"/>
    <row r="9278" ht="15.75" customHeight="1"/>
    <row r="9279" ht="15.75" customHeight="1"/>
    <row r="9280" ht="15.75" customHeight="1"/>
    <row r="9281" ht="15.75" customHeight="1"/>
    <row r="9282" ht="15.75" customHeight="1"/>
    <row r="9283" ht="15.75" customHeight="1"/>
    <row r="9284" ht="15.75" customHeight="1"/>
    <row r="9285" ht="15.75" customHeight="1"/>
    <row r="9286" ht="15.75" customHeight="1"/>
    <row r="9287" ht="15.75" customHeight="1"/>
    <row r="9288" ht="15.75" customHeight="1"/>
    <row r="9289" ht="15.75" customHeight="1"/>
    <row r="9290" ht="15.75" customHeight="1"/>
    <row r="9291" ht="15.75" customHeight="1"/>
    <row r="9292" ht="15.75" customHeight="1"/>
    <row r="9293" ht="15.75" customHeight="1"/>
    <row r="9294" ht="15.75" customHeight="1"/>
    <row r="9295" ht="15.75" customHeight="1"/>
    <row r="9296" ht="15.75" customHeight="1"/>
    <row r="9297" ht="15.75" customHeight="1"/>
    <row r="9298" ht="15.75" customHeight="1"/>
    <row r="9299" ht="15.75" customHeight="1"/>
    <row r="9300" ht="15.75" customHeight="1"/>
    <row r="9301" ht="15.75" customHeight="1"/>
    <row r="9302" ht="15.75" customHeight="1"/>
    <row r="9303" ht="15.75" customHeight="1"/>
    <row r="9304" ht="15.75" customHeight="1"/>
    <row r="9305" ht="15.75" customHeight="1"/>
    <row r="9306" ht="15.75" customHeight="1"/>
    <row r="9307" ht="15.75" customHeight="1"/>
    <row r="9308" ht="15.75" customHeight="1"/>
    <row r="9309" ht="15.75" customHeight="1"/>
    <row r="9310" ht="15.75" customHeight="1"/>
    <row r="9311" ht="15.75" customHeight="1"/>
    <row r="9312" ht="15.75" customHeight="1"/>
    <row r="9313" ht="15.75" customHeight="1"/>
    <row r="9314" ht="15.75" customHeight="1"/>
    <row r="9315" ht="15.75" customHeight="1"/>
    <row r="9316" ht="15.75" customHeight="1"/>
    <row r="9317" ht="15.75" customHeight="1"/>
    <row r="9318" ht="15.75" customHeight="1"/>
    <row r="9319" ht="15.75" customHeight="1"/>
    <row r="9320" ht="15.75" customHeight="1"/>
    <row r="9321" ht="15.75" customHeight="1"/>
    <row r="9322" ht="15.75" customHeight="1"/>
    <row r="9323" ht="15.75" customHeight="1"/>
    <row r="9324" ht="15.75" customHeight="1"/>
    <row r="9325" ht="15.75" customHeight="1"/>
    <row r="9326" ht="15.75" customHeight="1"/>
    <row r="9327" ht="15.75" customHeight="1"/>
    <row r="9328" ht="15.75" customHeight="1"/>
    <row r="9329" ht="15.75" customHeight="1"/>
    <row r="9330" ht="15.75" customHeight="1"/>
    <row r="9331" ht="15.75" customHeight="1"/>
    <row r="9332" ht="15.75" customHeight="1"/>
    <row r="9333" ht="15.75" customHeight="1"/>
    <row r="9334" ht="15.75" customHeight="1"/>
    <row r="9335" ht="15.75" customHeight="1"/>
    <row r="9336" ht="15.75" customHeight="1"/>
    <row r="9337" ht="15.75" customHeight="1"/>
    <row r="9338" ht="15.75" customHeight="1"/>
    <row r="9339" ht="15.75" customHeight="1"/>
    <row r="9340" ht="15.75" customHeight="1"/>
    <row r="9341" ht="15.75" customHeight="1"/>
    <row r="9342" ht="15.75" customHeight="1"/>
    <row r="9343" ht="15.75" customHeight="1"/>
    <row r="9344" ht="15.75" customHeight="1"/>
    <row r="9345" ht="15.75" customHeight="1"/>
    <row r="9346" ht="15.75" customHeight="1"/>
    <row r="9347" ht="15.75" customHeight="1"/>
    <row r="9348" ht="15.75" customHeight="1"/>
    <row r="9349" ht="15.75" customHeight="1"/>
    <row r="9350" ht="15.75" customHeight="1"/>
    <row r="9351" ht="15.75" customHeight="1"/>
    <row r="9352" ht="15.75" customHeight="1"/>
    <row r="9353" ht="15.75" customHeight="1"/>
    <row r="9354" ht="15.75" customHeight="1"/>
    <row r="9355" ht="15.75" customHeight="1"/>
    <row r="9356" ht="15.75" customHeight="1"/>
    <row r="9357" ht="15.75" customHeight="1"/>
    <row r="9358" ht="15.75" customHeight="1"/>
    <row r="9359" ht="15.75" customHeight="1"/>
    <row r="9360" ht="15.75" customHeight="1"/>
    <row r="9361" ht="15.75" customHeight="1"/>
    <row r="9362" ht="15.75" customHeight="1"/>
    <row r="9363" ht="15.75" customHeight="1"/>
    <row r="9364" ht="15.75" customHeight="1"/>
    <row r="9365" ht="15.75" customHeight="1"/>
    <row r="9366" ht="15.75" customHeight="1"/>
    <row r="9367" ht="15.75" customHeight="1"/>
    <row r="9368" ht="15.75" customHeight="1"/>
    <row r="9369" ht="15.75" customHeight="1"/>
    <row r="9370" ht="15.75" customHeight="1"/>
    <row r="9371" ht="15.75" customHeight="1"/>
    <row r="9372" ht="15.75" customHeight="1"/>
    <row r="9373" ht="15.75" customHeight="1"/>
    <row r="9374" ht="15.75" customHeight="1"/>
    <row r="9375" ht="15.75" customHeight="1"/>
    <row r="9376" ht="15.75" customHeight="1"/>
    <row r="9377" ht="15.75" customHeight="1"/>
    <row r="9378" ht="15.75" customHeight="1"/>
    <row r="9379" ht="15.75" customHeight="1"/>
    <row r="9380" ht="15.75" customHeight="1"/>
    <row r="9381" ht="15.75" customHeight="1"/>
    <row r="9382" ht="15.75" customHeight="1"/>
    <row r="9383" ht="15.75" customHeight="1"/>
    <row r="9384" ht="15.75" customHeight="1"/>
    <row r="9385" ht="15.75" customHeight="1"/>
    <row r="9386" ht="15.75" customHeight="1"/>
    <row r="9387" ht="15.75" customHeight="1"/>
    <row r="9388" ht="15.75" customHeight="1"/>
    <row r="9389" ht="15.75" customHeight="1"/>
    <row r="9390" ht="15.75" customHeight="1"/>
    <row r="9391" ht="15.75" customHeight="1"/>
    <row r="9392" ht="15.75" customHeight="1"/>
    <row r="9393" ht="15.75" customHeight="1"/>
    <row r="9394" ht="15.75" customHeight="1"/>
    <row r="9395" ht="15.75" customHeight="1"/>
    <row r="9396" ht="15.75" customHeight="1"/>
    <row r="9397" ht="15.75" customHeight="1"/>
    <row r="9398" ht="15.75" customHeight="1"/>
    <row r="9399" ht="15.75" customHeight="1"/>
    <row r="9400" ht="15.75" customHeight="1"/>
    <row r="9401" ht="15.75" customHeight="1"/>
    <row r="9402" ht="15.75" customHeight="1"/>
    <row r="9403" ht="15.75" customHeight="1"/>
    <row r="9404" ht="15.75" customHeight="1"/>
    <row r="9405" ht="15.75" customHeight="1"/>
    <row r="9406" ht="15.75" customHeight="1"/>
    <row r="9407" ht="15.75" customHeight="1"/>
    <row r="9408" ht="15.75" customHeight="1"/>
    <row r="9409" ht="15.75" customHeight="1"/>
    <row r="9410" ht="15.75" customHeight="1"/>
    <row r="9411" ht="15.75" customHeight="1"/>
    <row r="9412" ht="15.75" customHeight="1"/>
    <row r="9413" ht="15.75" customHeight="1"/>
    <row r="9414" ht="15.75" customHeight="1"/>
    <row r="9415" ht="15.75" customHeight="1"/>
    <row r="9416" ht="15.75" customHeight="1"/>
    <row r="9417" ht="15.75" customHeight="1"/>
    <row r="9418" ht="15.75" customHeight="1"/>
    <row r="9419" ht="15.75" customHeight="1"/>
    <row r="9420" ht="15.75" customHeight="1"/>
    <row r="9421" ht="15.75" customHeight="1"/>
    <row r="9422" ht="15.75" customHeight="1"/>
    <row r="9423" ht="15.75" customHeight="1"/>
    <row r="9424" ht="15.75" customHeight="1"/>
    <row r="9425" ht="15.75" customHeight="1"/>
    <row r="9426" ht="15.75" customHeight="1"/>
    <row r="9427" ht="15.75" customHeight="1"/>
    <row r="9428" ht="15.75" customHeight="1"/>
    <row r="9429" ht="15.75" customHeight="1"/>
    <row r="9430" ht="15.75" customHeight="1"/>
    <row r="9431" ht="15.75" customHeight="1"/>
    <row r="9432" ht="15.75" customHeight="1"/>
    <row r="9433" ht="15.75" customHeight="1"/>
    <row r="9434" ht="15.75" customHeight="1"/>
    <row r="9435" ht="15.75" customHeight="1"/>
    <row r="9436" ht="15.75" customHeight="1"/>
    <row r="9437" ht="15.75" customHeight="1"/>
    <row r="9438" ht="15.75" customHeight="1"/>
    <row r="9439" ht="15.75" customHeight="1"/>
    <row r="9440" ht="15.75" customHeight="1"/>
    <row r="9441" ht="15.75" customHeight="1"/>
    <row r="9442" ht="15.75" customHeight="1"/>
    <row r="9443" ht="15.75" customHeight="1"/>
    <row r="9444" ht="15.75" customHeight="1"/>
    <row r="9445" ht="15.75" customHeight="1"/>
    <row r="9446" ht="15.75" customHeight="1"/>
    <row r="9447" ht="15.75" customHeight="1"/>
    <row r="9448" ht="15.75" customHeight="1"/>
    <row r="9449" ht="15.75" customHeight="1"/>
    <row r="9450" ht="15.75" customHeight="1"/>
    <row r="9451" ht="15.75" customHeight="1"/>
    <row r="9452" ht="15.75" customHeight="1"/>
    <row r="9453" ht="15.75" customHeight="1"/>
    <row r="9454" ht="15.75" customHeight="1"/>
    <row r="9455" ht="15.75" customHeight="1"/>
    <row r="9456" ht="15.75" customHeight="1"/>
    <row r="9457" ht="15.75" customHeight="1"/>
    <row r="9458" ht="15.75" customHeight="1"/>
    <row r="9459" ht="15.75" customHeight="1"/>
    <row r="9460" ht="15.75" customHeight="1"/>
    <row r="9461" ht="15.75" customHeight="1"/>
    <row r="9462" ht="15.75" customHeight="1"/>
    <row r="9463" ht="15.75" customHeight="1"/>
    <row r="9464" ht="15.75" customHeight="1"/>
    <row r="9465" ht="15.75" customHeight="1"/>
    <row r="9466" ht="15.75" customHeight="1"/>
    <row r="9467" ht="15.75" customHeight="1"/>
    <row r="9468" ht="15.75" customHeight="1"/>
    <row r="9469" ht="15.75" customHeight="1"/>
    <row r="9470" ht="15.75" customHeight="1"/>
    <row r="9471" ht="15.75" customHeight="1"/>
    <row r="9472" ht="15.75" customHeight="1"/>
    <row r="9473" ht="15.75" customHeight="1"/>
    <row r="9474" ht="15.75" customHeight="1"/>
    <row r="9475" ht="15.75" customHeight="1"/>
    <row r="9476" ht="15.75" customHeight="1"/>
    <row r="9477" ht="15.75" customHeight="1"/>
    <row r="9478" ht="15.75" customHeight="1"/>
    <row r="9479" ht="15.75" customHeight="1"/>
    <row r="9480" ht="15.75" customHeight="1"/>
    <row r="9481" ht="15.75" customHeight="1"/>
    <row r="9482" ht="15.75" customHeight="1"/>
    <row r="9483" ht="15.75" customHeight="1"/>
    <row r="9484" ht="15.75" customHeight="1"/>
    <row r="9485" ht="15.75" customHeight="1"/>
    <row r="9486" ht="15.75" customHeight="1"/>
    <row r="9487" ht="15.75" customHeight="1"/>
    <row r="9488" ht="15.75" customHeight="1"/>
    <row r="9489" ht="15.75" customHeight="1"/>
    <row r="9490" ht="15.75" customHeight="1"/>
    <row r="9491" ht="15.75" customHeight="1"/>
    <row r="9492" ht="15.75" customHeight="1"/>
    <row r="9493" ht="15.75" customHeight="1"/>
    <row r="9494" ht="15.75" customHeight="1"/>
    <row r="9495" ht="15.75" customHeight="1"/>
    <row r="9496" ht="15.75" customHeight="1"/>
    <row r="9497" ht="15.75" customHeight="1"/>
    <row r="9498" ht="15.75" customHeight="1"/>
    <row r="9499" ht="15.75" customHeight="1"/>
    <row r="9500" ht="15.75" customHeight="1"/>
    <row r="9501" ht="15.75" customHeight="1"/>
    <row r="9502" ht="15.75" customHeight="1"/>
    <row r="9503" ht="15.75" customHeight="1"/>
    <row r="9504" ht="15.75" customHeight="1"/>
    <row r="9505" ht="15.75" customHeight="1"/>
    <row r="9506" ht="15.75" customHeight="1"/>
    <row r="9507" ht="15.75" customHeight="1"/>
    <row r="9508" ht="15.75" customHeight="1"/>
    <row r="9509" ht="15.75" customHeight="1"/>
    <row r="9510" ht="15.75" customHeight="1"/>
    <row r="9511" ht="15.75" customHeight="1"/>
    <row r="9512" ht="15.75" customHeight="1"/>
    <row r="9513" ht="15.75" customHeight="1"/>
    <row r="9514" ht="15.75" customHeight="1"/>
    <row r="9515" ht="15.75" customHeight="1"/>
    <row r="9516" ht="15.75" customHeight="1"/>
    <row r="9517" ht="15.75" customHeight="1"/>
    <row r="9518" ht="15.75" customHeight="1"/>
    <row r="9519" ht="15.75" customHeight="1"/>
    <row r="9520" ht="15.75" customHeight="1"/>
    <row r="9521" ht="15.75" customHeight="1"/>
    <row r="9522" ht="15.75" customHeight="1"/>
    <row r="9523" ht="15.75" customHeight="1"/>
    <row r="9524" ht="15.75" customHeight="1"/>
    <row r="9525" ht="15.75" customHeight="1"/>
    <row r="9526" ht="15.75" customHeight="1"/>
    <row r="9527" ht="15.75" customHeight="1"/>
    <row r="9528" ht="15.75" customHeight="1"/>
    <row r="9529" ht="15.75" customHeight="1"/>
    <row r="9530" ht="15.75" customHeight="1"/>
    <row r="9531" ht="15.75" customHeight="1"/>
    <row r="9532" ht="15.75" customHeight="1"/>
    <row r="9533" ht="15.75" customHeight="1"/>
    <row r="9534" ht="15.75" customHeight="1"/>
    <row r="9535" ht="15.75" customHeight="1"/>
    <row r="9536" ht="15.75" customHeight="1"/>
    <row r="9537" ht="15.75" customHeight="1"/>
    <row r="9538" ht="15.75" customHeight="1"/>
    <row r="9539" ht="15.75" customHeight="1"/>
    <row r="9540" ht="15.75" customHeight="1"/>
    <row r="9541" ht="15.75" customHeight="1"/>
    <row r="9542" ht="15.75" customHeight="1"/>
    <row r="9543" ht="15.75" customHeight="1"/>
    <row r="9544" ht="15.75" customHeight="1"/>
    <row r="9545" ht="15.75" customHeight="1"/>
    <row r="9546" ht="15.75" customHeight="1"/>
    <row r="9547" ht="15.75" customHeight="1"/>
    <row r="9548" ht="15.75" customHeight="1"/>
    <row r="9549" ht="15.75" customHeight="1"/>
    <row r="9550" ht="15.75" customHeight="1"/>
    <row r="9551" ht="15.75" customHeight="1"/>
    <row r="9552" ht="15.75" customHeight="1"/>
    <row r="9553" ht="15.75" customHeight="1"/>
    <row r="9554" ht="15.75" customHeight="1"/>
    <row r="9555" ht="15.75" customHeight="1"/>
    <row r="9556" ht="15.75" customHeight="1"/>
    <row r="9557" ht="15.75" customHeight="1"/>
    <row r="9558" ht="15.75" customHeight="1"/>
    <row r="9559" ht="15.75" customHeight="1"/>
    <row r="9560" ht="15.75" customHeight="1"/>
    <row r="9561" ht="15.75" customHeight="1"/>
    <row r="9562" ht="15.75" customHeight="1"/>
    <row r="9563" ht="15.75" customHeight="1"/>
    <row r="9564" ht="15.75" customHeight="1"/>
    <row r="9565" ht="15.75" customHeight="1"/>
    <row r="9566" ht="15.75" customHeight="1"/>
    <row r="9567" ht="15.75" customHeight="1"/>
    <row r="9568" ht="15.75" customHeight="1"/>
    <row r="9569" ht="15.75" customHeight="1"/>
    <row r="9570" ht="15.75" customHeight="1"/>
    <row r="9571" ht="15.75" customHeight="1"/>
    <row r="9572" ht="15.75" customHeight="1"/>
    <row r="9573" ht="15.75" customHeight="1"/>
    <row r="9574" ht="15.75" customHeight="1"/>
    <row r="9575" ht="15.75" customHeight="1"/>
    <row r="9576" ht="15.75" customHeight="1"/>
    <row r="9577" ht="15.75" customHeight="1"/>
    <row r="9578" ht="15.75" customHeight="1"/>
    <row r="9579" ht="15.75" customHeight="1"/>
    <row r="9580" ht="15.75" customHeight="1"/>
    <row r="9581" ht="15.75" customHeight="1"/>
    <row r="9582" ht="15.75" customHeight="1"/>
    <row r="9583" ht="15.75" customHeight="1"/>
    <row r="9584" ht="15.75" customHeight="1"/>
    <row r="9585" ht="15.75" customHeight="1"/>
    <row r="9586" ht="15.75" customHeight="1"/>
    <row r="9587" ht="15.75" customHeight="1"/>
    <row r="9588" ht="15.75" customHeight="1"/>
    <row r="9589" ht="15.75" customHeight="1"/>
    <row r="9590" ht="15.75" customHeight="1"/>
    <row r="9591" ht="15.75" customHeight="1"/>
    <row r="9592" ht="15.75" customHeight="1"/>
    <row r="9593" ht="15.75" customHeight="1"/>
    <row r="9594" ht="15.75" customHeight="1"/>
    <row r="9595" ht="15.75" customHeight="1"/>
    <row r="9596" ht="15.75" customHeight="1"/>
    <row r="9597" ht="15.75" customHeight="1"/>
    <row r="9598" ht="15.75" customHeight="1"/>
    <row r="9599" ht="15.75" customHeight="1"/>
    <row r="9600" ht="15.75" customHeight="1"/>
    <row r="9601" ht="15.75" customHeight="1"/>
    <row r="9602" ht="15.75" customHeight="1"/>
    <row r="9603" ht="15.75" customHeight="1"/>
    <row r="9604" ht="15.75" customHeight="1"/>
    <row r="9605" ht="15.75" customHeight="1"/>
    <row r="9606" ht="15.75" customHeight="1"/>
    <row r="9607" ht="15.75" customHeight="1"/>
    <row r="9608" ht="15.75" customHeight="1"/>
    <row r="9609" ht="15.75" customHeight="1"/>
    <row r="9610" ht="15.75" customHeight="1"/>
    <row r="9611" ht="15.75" customHeight="1"/>
    <row r="9612" ht="15.75" customHeight="1"/>
    <row r="9613" ht="15.75" customHeight="1"/>
    <row r="9614" ht="15.75" customHeight="1"/>
    <row r="9615" ht="15.75" customHeight="1"/>
    <row r="9616" ht="15.75" customHeight="1"/>
    <row r="9617" ht="15.75" customHeight="1"/>
    <row r="9618" ht="15.75" customHeight="1"/>
    <row r="9619" ht="15.75" customHeight="1"/>
    <row r="9620" ht="15.75" customHeight="1"/>
    <row r="9621" ht="15.75" customHeight="1"/>
    <row r="9622" ht="15.75" customHeight="1"/>
    <row r="9623" ht="15.75" customHeight="1"/>
    <row r="9624" ht="15.75" customHeight="1"/>
    <row r="9625" ht="15.75" customHeight="1"/>
    <row r="9626" ht="15.75" customHeight="1"/>
    <row r="9627" ht="15.75" customHeight="1"/>
    <row r="9628" ht="15.75" customHeight="1"/>
    <row r="9629" ht="15.75" customHeight="1"/>
    <row r="9630" ht="15.75" customHeight="1"/>
    <row r="9631" ht="15.75" customHeight="1"/>
    <row r="9632" ht="15.75" customHeight="1"/>
    <row r="9633" ht="15.75" customHeight="1"/>
    <row r="9634" ht="15.75" customHeight="1"/>
    <row r="9635" ht="15.75" customHeight="1"/>
    <row r="9636" ht="15.75" customHeight="1"/>
    <row r="9637" ht="15.75" customHeight="1"/>
    <row r="9638" ht="15.75" customHeight="1"/>
    <row r="9639" ht="15.75" customHeight="1"/>
    <row r="9640" ht="15.75" customHeight="1"/>
    <row r="9641" ht="15.75" customHeight="1"/>
    <row r="9642" ht="15.75" customHeight="1"/>
    <row r="9643" ht="15.75" customHeight="1"/>
    <row r="9644" ht="15.75" customHeight="1"/>
    <row r="9645" ht="15.75" customHeight="1"/>
    <row r="9646" ht="15.75" customHeight="1"/>
    <row r="9647" ht="15.75" customHeight="1"/>
    <row r="9648" ht="15.75" customHeight="1"/>
    <row r="9649" ht="15.75" customHeight="1"/>
    <row r="9650" ht="15.75" customHeight="1"/>
    <row r="9651" ht="15.75" customHeight="1"/>
    <row r="9652" ht="15.75" customHeight="1"/>
    <row r="9653" ht="15.75" customHeight="1"/>
    <row r="9654" ht="15.75" customHeight="1"/>
    <row r="9655" ht="15.75" customHeight="1"/>
    <row r="9656" ht="15.75" customHeight="1"/>
    <row r="9657" ht="15.75" customHeight="1"/>
    <row r="9658" ht="15.75" customHeight="1"/>
    <row r="9659" ht="15.75" customHeight="1"/>
    <row r="9660" ht="15.75" customHeight="1"/>
    <row r="9661" ht="15.75" customHeight="1"/>
    <row r="9662" ht="15.75" customHeight="1"/>
    <row r="9663" ht="15.75" customHeight="1"/>
    <row r="9664" ht="15.75" customHeight="1"/>
    <row r="9665" ht="15.75" customHeight="1"/>
    <row r="9666" ht="15.75" customHeight="1"/>
    <row r="9667" ht="15.75" customHeight="1"/>
    <row r="9668" ht="15.75" customHeight="1"/>
    <row r="9669" ht="15.75" customHeight="1"/>
    <row r="9670" ht="15.75" customHeight="1"/>
    <row r="9671" ht="15.75" customHeight="1"/>
    <row r="9672" ht="15.75" customHeight="1"/>
    <row r="9673" ht="15.75" customHeight="1"/>
    <row r="9674" ht="15.75" customHeight="1"/>
    <row r="9675" ht="15.75" customHeight="1"/>
    <row r="9676" ht="15.75" customHeight="1"/>
    <row r="9677" ht="15.75" customHeight="1"/>
    <row r="9678" ht="15.75" customHeight="1"/>
    <row r="9679" ht="15.75" customHeight="1"/>
    <row r="9680" ht="15.75" customHeight="1"/>
    <row r="9681" ht="15.75" customHeight="1"/>
    <row r="9682" ht="15.75" customHeight="1"/>
    <row r="9683" ht="15.75" customHeight="1"/>
    <row r="9684" ht="15.75" customHeight="1"/>
    <row r="9685" ht="15.75" customHeight="1"/>
    <row r="9686" ht="15.75" customHeight="1"/>
    <row r="9687" ht="15.75" customHeight="1"/>
    <row r="9688" ht="15.75" customHeight="1"/>
    <row r="9689" ht="15.75" customHeight="1"/>
    <row r="9690" ht="15.75" customHeight="1"/>
    <row r="9691" ht="15.75" customHeight="1"/>
    <row r="9692" ht="15.75" customHeight="1"/>
    <row r="9693" ht="15.75" customHeight="1"/>
    <row r="9694" ht="15.75" customHeight="1"/>
    <row r="9695" ht="15.75" customHeight="1"/>
    <row r="9696" ht="15.75" customHeight="1"/>
    <row r="9697" ht="15.75" customHeight="1"/>
    <row r="9698" ht="15.75" customHeight="1"/>
    <row r="9699" ht="15.75" customHeight="1"/>
    <row r="9700" ht="15.75" customHeight="1"/>
    <row r="9701" ht="15.75" customHeight="1"/>
    <row r="9702" ht="15.75" customHeight="1"/>
    <row r="9703" ht="15.75" customHeight="1"/>
    <row r="9704" ht="15.75" customHeight="1"/>
    <row r="9705" ht="15.75" customHeight="1"/>
    <row r="9706" ht="15.75" customHeight="1"/>
    <row r="9707" ht="15.75" customHeight="1"/>
    <row r="9708" ht="15.75" customHeight="1"/>
    <row r="9709" ht="15.75" customHeight="1"/>
    <row r="9710" ht="15.75" customHeight="1"/>
    <row r="9711" ht="15.75" customHeight="1"/>
    <row r="9712" ht="15.75" customHeight="1"/>
    <row r="9713" ht="15.75" customHeight="1"/>
    <row r="9714" ht="15.75" customHeight="1"/>
    <row r="9715" ht="15.75" customHeight="1"/>
    <row r="9716" ht="15.75" customHeight="1"/>
    <row r="9717" ht="15.75" customHeight="1"/>
    <row r="9718" ht="15.75" customHeight="1"/>
    <row r="9719" ht="15.75" customHeight="1"/>
    <row r="9720" ht="15.75" customHeight="1"/>
    <row r="9721" ht="15.75" customHeight="1"/>
    <row r="9722" ht="15.75" customHeight="1"/>
    <row r="9723" ht="15.75" customHeight="1"/>
    <row r="9724" ht="15.75" customHeight="1"/>
    <row r="9725" ht="15.75" customHeight="1"/>
    <row r="9726" ht="15.75" customHeight="1"/>
    <row r="9727" ht="15.75" customHeight="1"/>
    <row r="9728" ht="15.75" customHeight="1"/>
    <row r="9729" ht="15.75" customHeight="1"/>
    <row r="9730" ht="15.75" customHeight="1"/>
    <row r="9731" ht="15.75" customHeight="1"/>
    <row r="9732" ht="15.75" customHeight="1"/>
    <row r="9733" ht="15.75" customHeight="1"/>
    <row r="9734" ht="15.75" customHeight="1"/>
    <row r="9735" ht="15.75" customHeight="1"/>
    <row r="9736" ht="15.75" customHeight="1"/>
    <row r="9737" ht="15.75" customHeight="1"/>
    <row r="9738" ht="15.75" customHeight="1"/>
    <row r="9739" ht="15.75" customHeight="1"/>
    <row r="9740" ht="15.75" customHeight="1"/>
    <row r="9741" ht="15.75" customHeight="1"/>
    <row r="9742" ht="15.75" customHeight="1"/>
    <row r="9743" ht="15.75" customHeight="1"/>
    <row r="9744" ht="15.75" customHeight="1"/>
    <row r="9745" ht="15.75" customHeight="1"/>
    <row r="9746" ht="15.75" customHeight="1"/>
    <row r="9747" ht="15.75" customHeight="1"/>
    <row r="9748" ht="15.75" customHeight="1"/>
    <row r="9749" ht="15.75" customHeight="1"/>
    <row r="9750" ht="15.75" customHeight="1"/>
    <row r="9751" ht="15.75" customHeight="1"/>
    <row r="9752" ht="15.75" customHeight="1"/>
    <row r="9753" ht="15.75" customHeight="1"/>
    <row r="9754" ht="15.75" customHeight="1"/>
    <row r="9755" ht="15.75" customHeight="1"/>
    <row r="9756" ht="15.75" customHeight="1"/>
    <row r="9757" ht="15.75" customHeight="1"/>
    <row r="9758" ht="15.75" customHeight="1"/>
    <row r="9759" ht="15.75" customHeight="1"/>
    <row r="9760" ht="15.75" customHeight="1"/>
    <row r="9761" ht="15.75" customHeight="1"/>
    <row r="9762" ht="15.75" customHeight="1"/>
    <row r="9763" ht="15.75" customHeight="1"/>
    <row r="9764" ht="15.75" customHeight="1"/>
    <row r="9765" ht="15.75" customHeight="1"/>
    <row r="9766" ht="15.75" customHeight="1"/>
    <row r="9767" ht="15.75" customHeight="1"/>
    <row r="9768" ht="15.75" customHeight="1"/>
    <row r="9769" ht="15.75" customHeight="1"/>
    <row r="9770" ht="15.75" customHeight="1"/>
    <row r="9771" ht="15.75" customHeight="1"/>
    <row r="9772" ht="15.75" customHeight="1"/>
    <row r="9773" ht="15.75" customHeight="1"/>
    <row r="9774" ht="15.75" customHeight="1"/>
    <row r="9775" ht="15.75" customHeight="1"/>
    <row r="9776" ht="15.75" customHeight="1"/>
    <row r="9777" ht="15.75" customHeight="1"/>
    <row r="9778" ht="15.75" customHeight="1"/>
    <row r="9779" ht="15.75" customHeight="1"/>
    <row r="9780" ht="15.75" customHeight="1"/>
    <row r="9781" ht="15.75" customHeight="1"/>
    <row r="9782" ht="15.75" customHeight="1"/>
    <row r="9783" ht="15.75" customHeight="1"/>
    <row r="9784" ht="15.75" customHeight="1"/>
    <row r="9785" ht="15.75" customHeight="1"/>
    <row r="9786" ht="15.75" customHeight="1"/>
    <row r="9787" ht="15.75" customHeight="1"/>
    <row r="9788" ht="15.75" customHeight="1"/>
    <row r="9789" ht="15.75" customHeight="1"/>
    <row r="9790" ht="15.75" customHeight="1"/>
    <row r="9791" ht="15.75" customHeight="1"/>
    <row r="9792" ht="15.75" customHeight="1"/>
    <row r="9793" ht="15.75" customHeight="1"/>
    <row r="9794" ht="15.75" customHeight="1"/>
    <row r="9795" ht="15.75" customHeight="1"/>
    <row r="9796" ht="15.75" customHeight="1"/>
    <row r="9797" ht="15.75" customHeight="1"/>
    <row r="9798" ht="15.75" customHeight="1"/>
    <row r="9799" ht="15.75" customHeight="1"/>
    <row r="9800" ht="15.75" customHeight="1"/>
    <row r="9801" ht="15.75" customHeight="1"/>
    <row r="9802" ht="15.75" customHeight="1"/>
    <row r="9803" ht="15.75" customHeight="1"/>
    <row r="9804" ht="15.75" customHeight="1"/>
    <row r="9805" ht="15.75" customHeight="1"/>
    <row r="9806" ht="15.75" customHeight="1"/>
    <row r="9807" ht="15.75" customHeight="1"/>
    <row r="9808" ht="15.75" customHeight="1"/>
    <row r="9809" ht="15.75" customHeight="1"/>
    <row r="9810" ht="15.75" customHeight="1"/>
    <row r="9811" ht="15.75" customHeight="1"/>
    <row r="9812" ht="15.75" customHeight="1"/>
    <row r="9813" ht="15.75" customHeight="1"/>
    <row r="9814" ht="15.75" customHeight="1"/>
    <row r="9815" ht="15.75" customHeight="1"/>
    <row r="9816" ht="15.75" customHeight="1"/>
    <row r="9817" ht="15.75" customHeight="1"/>
    <row r="9818" ht="15.75" customHeight="1"/>
    <row r="9819" ht="15.75" customHeight="1"/>
    <row r="9820" ht="15.75" customHeight="1"/>
    <row r="9821" ht="15.75" customHeight="1"/>
    <row r="9822" ht="15.75" customHeight="1"/>
    <row r="9823" ht="15.75" customHeight="1"/>
    <row r="9824" ht="15.75" customHeight="1"/>
    <row r="9825" ht="15.75" customHeight="1"/>
    <row r="9826" ht="15.75" customHeight="1"/>
    <row r="9827" ht="15.75" customHeight="1"/>
    <row r="9828" ht="15.75" customHeight="1"/>
    <row r="9829" ht="15.75" customHeight="1"/>
    <row r="9830" ht="15.75" customHeight="1"/>
    <row r="9831" ht="15.75" customHeight="1"/>
    <row r="9832" ht="15.75" customHeight="1"/>
    <row r="9833" ht="15.75" customHeight="1"/>
    <row r="9834" ht="15.75" customHeight="1"/>
    <row r="9835" ht="15.75" customHeight="1"/>
    <row r="9836" ht="15.75" customHeight="1"/>
    <row r="9837" ht="15.75" customHeight="1"/>
    <row r="9838" ht="15.75" customHeight="1"/>
    <row r="9839" ht="15.75" customHeight="1"/>
    <row r="9840" ht="15.75" customHeight="1"/>
    <row r="9841" ht="15.75" customHeight="1"/>
    <row r="9842" ht="15.75" customHeight="1"/>
    <row r="9843" ht="15.75" customHeight="1"/>
    <row r="9844" ht="15.75" customHeight="1"/>
    <row r="9845" ht="15.75" customHeight="1"/>
    <row r="9846" ht="15.75" customHeight="1"/>
    <row r="9847" ht="15.75" customHeight="1"/>
    <row r="9848" ht="15.75" customHeight="1"/>
    <row r="9849" ht="15.75" customHeight="1"/>
    <row r="9850" ht="15.75" customHeight="1"/>
    <row r="9851" ht="15.75" customHeight="1"/>
    <row r="9852" ht="15.75" customHeight="1"/>
    <row r="9853" ht="15.75" customHeight="1"/>
    <row r="9854" ht="15.75" customHeight="1"/>
    <row r="9855" ht="15.75" customHeight="1"/>
    <row r="9856" ht="15.75" customHeight="1"/>
    <row r="9857" ht="15.75" customHeight="1"/>
    <row r="9858" ht="15.75" customHeight="1"/>
    <row r="9859" ht="15.75" customHeight="1"/>
    <row r="9860" ht="15.75" customHeight="1"/>
    <row r="9861" ht="15.75" customHeight="1"/>
    <row r="9862" ht="15.75" customHeight="1"/>
    <row r="9863" ht="15.75" customHeight="1"/>
    <row r="9864" ht="15.75" customHeight="1"/>
    <row r="9865" ht="15.75" customHeight="1"/>
    <row r="9866" ht="15.75" customHeight="1"/>
    <row r="9867" ht="15.75" customHeight="1"/>
    <row r="9868" ht="15.75" customHeight="1"/>
    <row r="9869" ht="15.75" customHeight="1"/>
    <row r="9870" ht="15.75" customHeight="1"/>
    <row r="9871" ht="15.75" customHeight="1"/>
    <row r="9872" ht="15.75" customHeight="1"/>
    <row r="9873" ht="15.75" customHeight="1"/>
    <row r="9874" ht="15.75" customHeight="1"/>
    <row r="9875" ht="15.75" customHeight="1"/>
    <row r="9876" ht="15.75" customHeight="1"/>
    <row r="9877" ht="15.75" customHeight="1"/>
    <row r="9878" ht="15.75" customHeight="1"/>
    <row r="9879" ht="15.75" customHeight="1"/>
    <row r="9880" ht="15.75" customHeight="1"/>
    <row r="9881" ht="15.75" customHeight="1"/>
    <row r="9882" ht="15.75" customHeight="1"/>
    <row r="9883" ht="15.75" customHeight="1"/>
    <row r="9884" ht="15.75" customHeight="1"/>
    <row r="9885" ht="15.75" customHeight="1"/>
    <row r="9886" ht="15.75" customHeight="1"/>
    <row r="9887" ht="15.75" customHeight="1"/>
    <row r="9888" ht="15.75" customHeight="1"/>
    <row r="9889" ht="15.75" customHeight="1"/>
    <row r="9890" ht="15.75" customHeight="1"/>
    <row r="9891" ht="15.75" customHeight="1"/>
    <row r="9892" ht="15.75" customHeight="1"/>
    <row r="9893" ht="15.75" customHeight="1"/>
    <row r="9894" ht="15.75" customHeight="1"/>
    <row r="9895" ht="15.75" customHeight="1"/>
    <row r="9896" ht="15.75" customHeight="1"/>
    <row r="9897" ht="15.75" customHeight="1"/>
    <row r="9898" ht="15.75" customHeight="1"/>
    <row r="9899" ht="15.75" customHeight="1"/>
    <row r="9900" ht="15.75" customHeight="1"/>
    <row r="9901" ht="15.75" customHeight="1"/>
    <row r="9902" ht="15.75" customHeight="1"/>
    <row r="9903" ht="15.75" customHeight="1"/>
    <row r="9904" ht="15.75" customHeight="1"/>
    <row r="9905" ht="15.75" customHeight="1"/>
    <row r="9906" ht="15.75" customHeight="1"/>
    <row r="9907" ht="15.75" customHeight="1"/>
    <row r="9908" ht="15.75" customHeight="1"/>
    <row r="9909" ht="15.75" customHeight="1"/>
    <row r="9910" ht="15.75" customHeight="1"/>
    <row r="9911" ht="15.75" customHeight="1"/>
    <row r="9912" ht="15.75" customHeight="1"/>
    <row r="9913" ht="15.75" customHeight="1"/>
    <row r="9914" ht="15.75" customHeight="1"/>
    <row r="9915" ht="15.75" customHeight="1"/>
    <row r="9916" ht="15.75" customHeight="1"/>
    <row r="9917" ht="15.75" customHeight="1"/>
    <row r="9918" ht="15.75" customHeight="1"/>
    <row r="9919" ht="15.75" customHeight="1"/>
    <row r="9920" ht="15.75" customHeight="1"/>
    <row r="9921" ht="15.75" customHeight="1"/>
    <row r="9922" ht="15.75" customHeight="1"/>
    <row r="9923" ht="15.75" customHeight="1"/>
    <row r="9924" ht="15.75" customHeight="1"/>
    <row r="9925" ht="15.75" customHeight="1"/>
    <row r="9926" ht="15.75" customHeight="1"/>
    <row r="9927" ht="15.75" customHeight="1"/>
    <row r="9928" ht="15.75" customHeight="1"/>
    <row r="9929" ht="15.75" customHeight="1"/>
    <row r="9930" ht="15.75" customHeight="1"/>
    <row r="9931" ht="15.75" customHeight="1"/>
    <row r="9932" ht="15.75" customHeight="1"/>
    <row r="9933" ht="15.75" customHeight="1"/>
    <row r="9934" ht="15.75" customHeight="1"/>
    <row r="9935" ht="15.75" customHeight="1"/>
    <row r="9936" ht="15.75" customHeight="1"/>
    <row r="9937" ht="15.75" customHeight="1"/>
    <row r="9938" ht="15.75" customHeight="1"/>
    <row r="9939" ht="15.75" customHeight="1"/>
    <row r="9940" ht="15.75" customHeight="1"/>
    <row r="9941" ht="15.75" customHeight="1"/>
    <row r="9942" ht="15.75" customHeight="1"/>
    <row r="9943" ht="15.75" customHeight="1"/>
    <row r="9944" ht="15.75" customHeight="1"/>
    <row r="9945" ht="15.75" customHeight="1"/>
    <row r="9946" ht="15.75" customHeight="1"/>
    <row r="9947" ht="15.75" customHeight="1"/>
    <row r="9948" ht="15.75" customHeight="1"/>
    <row r="9949" ht="15.75" customHeight="1"/>
    <row r="9950" ht="15.75" customHeight="1"/>
    <row r="9951" ht="15.75" customHeight="1"/>
    <row r="9952" ht="15.75" customHeight="1"/>
    <row r="9953" ht="15.75" customHeight="1"/>
    <row r="9954" ht="15.75" customHeight="1"/>
    <row r="9955" ht="15.75" customHeight="1"/>
    <row r="9956" ht="15.75" customHeight="1"/>
    <row r="9957" ht="15.75" customHeight="1"/>
    <row r="9958" ht="15.75" customHeight="1"/>
    <row r="9959" ht="15.75" customHeight="1"/>
    <row r="9960" ht="15.75" customHeight="1"/>
    <row r="9961" ht="15.75" customHeight="1"/>
    <row r="9962" ht="15.75" customHeight="1"/>
    <row r="9963" ht="15.75" customHeight="1"/>
    <row r="9964" ht="15.75" customHeight="1"/>
    <row r="9965" ht="15.75" customHeight="1"/>
    <row r="9966" ht="15.75" customHeight="1"/>
    <row r="9967" ht="15.75" customHeight="1"/>
    <row r="9968" ht="15.75" customHeight="1"/>
    <row r="9969" ht="15.75" customHeight="1"/>
    <row r="9970" ht="15.75" customHeight="1"/>
    <row r="9971" ht="15.75" customHeight="1"/>
    <row r="9972" ht="15.75" customHeight="1"/>
    <row r="9973" ht="15.75" customHeight="1"/>
    <row r="9974" ht="15.75" customHeight="1"/>
    <row r="9975" ht="15.75" customHeight="1"/>
    <row r="9976" ht="15.75" customHeight="1"/>
    <row r="9977" ht="15.75" customHeight="1"/>
    <row r="9978" ht="15.75" customHeight="1"/>
    <row r="9979" ht="15.75" customHeight="1"/>
    <row r="9980" ht="15.75" customHeight="1"/>
    <row r="9981" ht="15.75" customHeight="1"/>
    <row r="9982" ht="15.75" customHeight="1"/>
    <row r="9983" ht="15.75" customHeight="1"/>
    <row r="9984" ht="15.75" customHeight="1"/>
    <row r="9985" ht="15.75" customHeight="1"/>
    <row r="9986" ht="15.75" customHeight="1"/>
    <row r="9987" ht="15.75" customHeight="1"/>
    <row r="9988" ht="15.75" customHeight="1"/>
    <row r="9989" ht="15.75" customHeight="1"/>
    <row r="9990" ht="15.75" customHeight="1"/>
    <row r="9991" ht="15.75" customHeight="1"/>
    <row r="9992" ht="15.75" customHeight="1"/>
    <row r="9993" ht="15.75" customHeight="1"/>
    <row r="9994" ht="15.75" customHeight="1"/>
    <row r="9995" ht="15.75" customHeight="1"/>
    <row r="9996" ht="15.75" customHeight="1"/>
    <row r="9997" ht="15.75" customHeight="1"/>
    <row r="9998" ht="15.75" customHeight="1"/>
    <row r="9999" ht="15.75" customHeight="1"/>
    <row r="10000" ht="15.75" customHeight="1"/>
    <row r="10001" ht="15.75" customHeight="1"/>
    <row r="10002" ht="15.75" customHeight="1"/>
    <row r="10003" ht="15.75" customHeight="1"/>
    <row r="10004" ht="15.75" customHeight="1"/>
    <row r="10005" ht="15.75" customHeight="1"/>
    <row r="10006" ht="15.75" customHeight="1"/>
    <row r="10007" ht="15.75" customHeight="1"/>
    <row r="10008" ht="15.75" customHeight="1"/>
    <row r="10009" ht="15.75" customHeight="1"/>
    <row r="10010" ht="15.75" customHeight="1"/>
    <row r="10011" ht="15.75" customHeight="1"/>
    <row r="10012" ht="15.75" customHeight="1"/>
    <row r="10013" ht="15.75" customHeight="1"/>
    <row r="10014" ht="15.75" customHeight="1"/>
    <row r="10015" ht="15.75" customHeight="1"/>
    <row r="10016" ht="15.75" customHeight="1"/>
    <row r="10017" ht="15.75" customHeight="1"/>
    <row r="10018" ht="15.75" customHeight="1"/>
    <row r="10019" ht="15.75" customHeight="1"/>
    <row r="10020" ht="15.75" customHeight="1"/>
    <row r="10021" ht="15.75" customHeight="1"/>
    <row r="10022" ht="15.75" customHeight="1"/>
    <row r="10023" ht="15.75" customHeight="1"/>
    <row r="10024" ht="15.75" customHeight="1"/>
    <row r="10025" ht="15.75" customHeight="1"/>
    <row r="10026" ht="15.75" customHeight="1"/>
    <row r="10027" ht="15.75" customHeight="1"/>
    <row r="10028" ht="15.75" customHeight="1"/>
    <row r="10029" ht="15.75" customHeight="1"/>
    <row r="10030" ht="15.75" customHeight="1"/>
    <row r="10031" ht="15.75" customHeight="1"/>
    <row r="10032" ht="15.75" customHeight="1"/>
    <row r="10033" ht="15.75" customHeight="1"/>
    <row r="10034" ht="15.75" customHeight="1"/>
    <row r="10035" ht="15.75" customHeight="1"/>
    <row r="10036" ht="15.75" customHeight="1"/>
    <row r="10037" ht="15.75" customHeight="1"/>
    <row r="10038" ht="15.75" customHeight="1"/>
    <row r="10039" ht="15.75" customHeight="1"/>
    <row r="10040" ht="15.75" customHeight="1"/>
    <row r="10041" ht="15.75" customHeight="1"/>
    <row r="10042" ht="15.75" customHeight="1"/>
    <row r="10043" ht="15.75" customHeight="1"/>
    <row r="10044" ht="15.75" customHeight="1"/>
    <row r="10045" ht="15.75" customHeight="1"/>
    <row r="10046" ht="15.75" customHeight="1"/>
    <row r="10047" ht="15.75" customHeight="1"/>
    <row r="10048" ht="15.75" customHeight="1"/>
    <row r="10049" ht="15.75" customHeight="1"/>
    <row r="10050" ht="15.75" customHeight="1"/>
    <row r="10051" ht="15.75" customHeight="1"/>
    <row r="10052" ht="15.75" customHeight="1"/>
    <row r="10053" ht="15.75" customHeight="1"/>
    <row r="10054" ht="15.75" customHeight="1"/>
    <row r="10055" ht="15.75" customHeight="1"/>
    <row r="10056" ht="15.75" customHeight="1"/>
    <row r="10057" ht="15.75" customHeight="1"/>
    <row r="10058" ht="15.75" customHeight="1"/>
    <row r="10059" ht="15.75" customHeight="1"/>
    <row r="10060" ht="15.75" customHeight="1"/>
    <row r="10061" ht="15.75" customHeight="1"/>
    <row r="10062" ht="15.75" customHeight="1"/>
    <row r="10063" ht="15.75" customHeight="1"/>
    <row r="10064" ht="15.75" customHeight="1"/>
    <row r="10065" ht="15.75" customHeight="1"/>
    <row r="10066" ht="15.75" customHeight="1"/>
    <row r="10067" ht="15.75" customHeight="1"/>
    <row r="10068" ht="15.75" customHeight="1"/>
    <row r="10069" ht="15.75" customHeight="1"/>
    <row r="10070" ht="15.75" customHeight="1"/>
    <row r="10071" ht="15.75" customHeight="1"/>
    <row r="10072" ht="15.75" customHeight="1"/>
    <row r="10073" ht="15.75" customHeight="1"/>
    <row r="10074" ht="15.75" customHeight="1"/>
    <row r="10075" ht="15.75" customHeight="1"/>
    <row r="10076" ht="15.75" customHeight="1"/>
    <row r="10077" ht="15.75" customHeight="1"/>
    <row r="10078" ht="15.75" customHeight="1"/>
    <row r="10079" ht="15.75" customHeight="1"/>
    <row r="10080" ht="15.75" customHeight="1"/>
    <row r="10081" ht="15.75" customHeight="1"/>
    <row r="10082" ht="15.75" customHeight="1"/>
    <row r="10083" ht="15.75" customHeight="1"/>
    <row r="10084" ht="15.75" customHeight="1"/>
    <row r="10085" ht="15.75" customHeight="1"/>
    <row r="10086" ht="15.75" customHeight="1"/>
    <row r="10087" ht="15.75" customHeight="1"/>
    <row r="10088" ht="15.75" customHeight="1"/>
    <row r="10089" ht="15.75" customHeight="1"/>
    <row r="10090" ht="15.75" customHeight="1"/>
    <row r="10091" ht="15.75" customHeight="1"/>
    <row r="10092" ht="15.75" customHeight="1"/>
    <row r="10093" ht="15.75" customHeight="1"/>
    <row r="10094" ht="15.75" customHeight="1"/>
    <row r="10095" ht="15.75" customHeight="1"/>
    <row r="10096" ht="15.75" customHeight="1"/>
    <row r="10097" ht="15.75" customHeight="1"/>
    <row r="10098" ht="15.75" customHeight="1"/>
    <row r="10099" ht="15.75" customHeight="1"/>
    <row r="10100" ht="15.75" customHeight="1"/>
    <row r="10101" ht="15.75" customHeight="1"/>
    <row r="10102" ht="15.75" customHeight="1"/>
    <row r="10103" ht="15.75" customHeight="1"/>
    <row r="10104" ht="15.75" customHeight="1"/>
    <row r="10105" ht="15.75" customHeight="1"/>
    <row r="10106" ht="15.75" customHeight="1"/>
    <row r="10107" ht="15.75" customHeight="1"/>
    <row r="10108" ht="15.75" customHeight="1"/>
    <row r="10109" ht="15.75" customHeight="1"/>
    <row r="10110" ht="15.75" customHeight="1"/>
    <row r="10111" ht="15.75" customHeight="1"/>
    <row r="10112" ht="15.75" customHeight="1"/>
    <row r="10113" ht="15.75" customHeight="1"/>
    <row r="10114" ht="15.75" customHeight="1"/>
    <row r="10115" ht="15.75" customHeight="1"/>
    <row r="10116" ht="15.75" customHeight="1"/>
    <row r="10117" ht="15.75" customHeight="1"/>
    <row r="10118" ht="15.75" customHeight="1"/>
    <row r="10119" ht="15.75" customHeight="1"/>
    <row r="10120" ht="15.75" customHeight="1"/>
    <row r="10121" ht="15.75" customHeight="1"/>
    <row r="10122" ht="15.75" customHeight="1"/>
    <row r="10123" ht="15.75" customHeight="1"/>
    <row r="10124" ht="15.75" customHeight="1"/>
    <row r="10125" ht="15.75" customHeight="1"/>
    <row r="10126" ht="15.75" customHeight="1"/>
    <row r="10127" ht="15.75" customHeight="1"/>
    <row r="10128" ht="15.75" customHeight="1"/>
    <row r="10129" ht="15.75" customHeight="1"/>
    <row r="10130" ht="15.75" customHeight="1"/>
    <row r="10131" ht="15.75" customHeight="1"/>
    <row r="10132" ht="15.75" customHeight="1"/>
    <row r="10133" ht="15.75" customHeight="1"/>
    <row r="10134" ht="15.75" customHeight="1"/>
    <row r="10135" ht="15.75" customHeight="1"/>
    <row r="10136" ht="15.75" customHeight="1"/>
    <row r="10137" ht="15.75" customHeight="1"/>
    <row r="10138" ht="15.75" customHeight="1"/>
    <row r="10139" ht="15.75" customHeight="1"/>
    <row r="10140" ht="15.75" customHeight="1"/>
    <row r="10141" ht="15.75" customHeight="1"/>
    <row r="10142" ht="15.75" customHeight="1"/>
    <row r="10143" ht="15.75" customHeight="1"/>
    <row r="10144" ht="15.75" customHeight="1"/>
    <row r="10145" ht="15.75" customHeight="1"/>
    <row r="10146" ht="15.75" customHeight="1"/>
    <row r="10147" ht="15.75" customHeight="1"/>
    <row r="10148" ht="15.75" customHeight="1"/>
    <row r="10149" ht="15.75" customHeight="1"/>
    <row r="10150" ht="15.75" customHeight="1"/>
    <row r="10151" ht="15.75" customHeight="1"/>
    <row r="10152" ht="15.75" customHeight="1"/>
    <row r="10153" ht="15.75" customHeight="1"/>
    <row r="10154" ht="15.75" customHeight="1"/>
    <row r="10155" ht="15.75" customHeight="1"/>
    <row r="10156" ht="15.75" customHeight="1"/>
    <row r="10157" ht="15.75" customHeight="1"/>
    <row r="10158" ht="15.75" customHeight="1"/>
    <row r="10159" ht="15.75" customHeight="1"/>
    <row r="10160" ht="15.75" customHeight="1"/>
    <row r="10161" ht="15.75" customHeight="1"/>
    <row r="10162" ht="15.75" customHeight="1"/>
    <row r="10163" ht="15.75" customHeight="1"/>
    <row r="10164" ht="15.75" customHeight="1"/>
    <row r="10165" ht="15.75" customHeight="1"/>
    <row r="10166" ht="15.75" customHeight="1"/>
    <row r="10167" ht="15.75" customHeight="1"/>
    <row r="10168" ht="15.75" customHeight="1"/>
    <row r="10169" ht="15.75" customHeight="1"/>
    <row r="10170" ht="15.75" customHeight="1"/>
    <row r="10171" ht="15.75" customHeight="1"/>
    <row r="10172" ht="15.75" customHeight="1"/>
    <row r="10173" ht="15.75" customHeight="1"/>
    <row r="10174" ht="15.75" customHeight="1"/>
    <row r="10175" ht="15.75" customHeight="1"/>
    <row r="10176" ht="15.75" customHeight="1"/>
    <row r="10177" ht="15.75" customHeight="1"/>
    <row r="10178" ht="15.75" customHeight="1"/>
    <row r="10179" ht="15.75" customHeight="1"/>
    <row r="10180" ht="15.75" customHeight="1"/>
    <row r="10181" ht="15.75" customHeight="1"/>
    <row r="10182" ht="15.75" customHeight="1"/>
    <row r="10183" ht="15.75" customHeight="1"/>
    <row r="10184" ht="15.75" customHeight="1"/>
    <row r="10185" ht="15.75" customHeight="1"/>
    <row r="10186" ht="15.75" customHeight="1"/>
    <row r="10187" ht="15.75" customHeight="1"/>
    <row r="10188" ht="15.75" customHeight="1"/>
    <row r="10189" ht="15.75" customHeight="1"/>
    <row r="10190" ht="15.75" customHeight="1"/>
    <row r="10191" ht="15.75" customHeight="1"/>
    <row r="10192" ht="15.75" customHeight="1"/>
    <row r="10193" ht="15.75" customHeight="1"/>
    <row r="10194" ht="15.75" customHeight="1"/>
    <row r="10195" ht="15.75" customHeight="1"/>
    <row r="10196" ht="15.75" customHeight="1"/>
    <row r="10197" ht="15.75" customHeight="1"/>
    <row r="10198" ht="15.75" customHeight="1"/>
    <row r="10199" ht="15.75" customHeight="1"/>
    <row r="10200" ht="15.75" customHeight="1"/>
    <row r="10201" ht="15.75" customHeight="1"/>
    <row r="10202" ht="15.75" customHeight="1"/>
    <row r="10203" ht="15.75" customHeight="1"/>
    <row r="10204" ht="15.75" customHeight="1"/>
    <row r="10205" ht="15.75" customHeight="1"/>
    <row r="10206" ht="15.75" customHeight="1"/>
    <row r="10207" ht="15.75" customHeight="1"/>
    <row r="10208" ht="15.75" customHeight="1"/>
    <row r="10209" ht="15.75" customHeight="1"/>
    <row r="10210" ht="15.75" customHeight="1"/>
    <row r="10211" ht="15.75" customHeight="1"/>
    <row r="10212" ht="15.75" customHeight="1"/>
    <row r="10213" ht="15.75" customHeight="1"/>
    <row r="10214" ht="15.75" customHeight="1"/>
    <row r="10215" ht="15.75" customHeight="1"/>
    <row r="10216" ht="15.75" customHeight="1"/>
    <row r="10217" ht="15.75" customHeight="1"/>
    <row r="10218" ht="15.75" customHeight="1"/>
    <row r="10219" ht="15.75" customHeight="1"/>
    <row r="10220" ht="15.75" customHeight="1"/>
    <row r="10221" ht="15.75" customHeight="1"/>
    <row r="10222" ht="15.75" customHeight="1"/>
    <row r="10223" ht="15.75" customHeight="1"/>
    <row r="10224" ht="15.75" customHeight="1"/>
    <row r="10225" ht="15.75" customHeight="1"/>
    <row r="10226" ht="15.75" customHeight="1"/>
    <row r="10227" ht="15.75" customHeight="1"/>
    <row r="10228" ht="15.75" customHeight="1"/>
    <row r="10229" ht="15.75" customHeight="1"/>
    <row r="10230" ht="15.75" customHeight="1"/>
    <row r="10231" ht="15.75" customHeight="1"/>
    <row r="10232" ht="15.75" customHeight="1"/>
    <row r="10233" ht="15.75" customHeight="1"/>
    <row r="10234" ht="15.75" customHeight="1"/>
    <row r="10235" ht="15.75" customHeight="1"/>
    <row r="10236" ht="15.75" customHeight="1"/>
    <row r="10237" ht="15.75" customHeight="1"/>
    <row r="10238" ht="15.75" customHeight="1"/>
    <row r="10239" ht="15.75" customHeight="1"/>
    <row r="10240" ht="15.75" customHeight="1"/>
    <row r="10241" ht="15.75" customHeight="1"/>
    <row r="10242" ht="15.75" customHeight="1"/>
    <row r="10243" ht="15.75" customHeight="1"/>
    <row r="10244" ht="15.75" customHeight="1"/>
    <row r="10245" ht="15.75" customHeight="1"/>
    <row r="10246" ht="15.75" customHeight="1"/>
    <row r="10247" ht="15.75" customHeight="1"/>
    <row r="10248" ht="15.75" customHeight="1"/>
    <row r="10249" ht="15.75" customHeight="1"/>
    <row r="10250" ht="15.75" customHeight="1"/>
    <row r="10251" ht="15.75" customHeight="1"/>
    <row r="10252" ht="15.75" customHeight="1"/>
    <row r="10253" ht="15.75" customHeight="1"/>
    <row r="10254" ht="15.75" customHeight="1"/>
    <row r="10255" ht="15.75" customHeight="1"/>
    <row r="10256" ht="15.75" customHeight="1"/>
    <row r="10257" ht="15.75" customHeight="1"/>
    <row r="10258" ht="15.75" customHeight="1"/>
    <row r="10259" ht="15.75" customHeight="1"/>
    <row r="10260" ht="15.75" customHeight="1"/>
    <row r="10261" ht="15.75" customHeight="1"/>
    <row r="10262" ht="15.75" customHeight="1"/>
    <row r="10263" ht="15.75" customHeight="1"/>
    <row r="10264" ht="15.75" customHeight="1"/>
    <row r="10265" ht="15.75" customHeight="1"/>
    <row r="10266" ht="15.75" customHeight="1"/>
    <row r="10267" ht="15.75" customHeight="1"/>
    <row r="10268" ht="15.75" customHeight="1"/>
    <row r="10269" ht="15.75" customHeight="1"/>
    <row r="10270" ht="15.75" customHeight="1"/>
    <row r="10271" ht="15.75" customHeight="1"/>
    <row r="10272" ht="15.75" customHeight="1"/>
    <row r="10273" ht="15.75" customHeight="1"/>
    <row r="10274" ht="15.75" customHeight="1"/>
    <row r="10275" ht="15.75" customHeight="1"/>
    <row r="10276" ht="15.75" customHeight="1"/>
    <row r="10277" ht="15.75" customHeight="1"/>
    <row r="10278" ht="15.75" customHeight="1"/>
    <row r="10279" ht="15.75" customHeight="1"/>
    <row r="10280" ht="15.75" customHeight="1"/>
    <row r="10281" ht="15.75" customHeight="1"/>
    <row r="10282" ht="15.75" customHeight="1"/>
    <row r="10283" ht="15.75" customHeight="1"/>
    <row r="10284" ht="15.75" customHeight="1"/>
    <row r="10285" ht="15.75" customHeight="1"/>
    <row r="10286" ht="15.75" customHeight="1"/>
    <row r="10287" ht="15.75" customHeight="1"/>
    <row r="10288" ht="15.75" customHeight="1"/>
    <row r="10289" ht="15.75" customHeight="1"/>
    <row r="10290" ht="15.75" customHeight="1"/>
    <row r="10291" ht="15.75" customHeight="1"/>
    <row r="10292" ht="15.75" customHeight="1"/>
    <row r="10293" ht="15.75" customHeight="1"/>
    <row r="10294" ht="15.75" customHeight="1"/>
    <row r="10295" ht="15.75" customHeight="1"/>
    <row r="10296" ht="15.75" customHeight="1"/>
    <row r="10297" ht="15.75" customHeight="1"/>
    <row r="10298" ht="15.75" customHeight="1"/>
    <row r="10299" ht="15.75" customHeight="1"/>
    <row r="10300" ht="15.75" customHeight="1"/>
    <row r="10301" ht="15.75" customHeight="1"/>
    <row r="10302" ht="15.75" customHeight="1"/>
    <row r="10303" ht="15.75" customHeight="1"/>
    <row r="10304" ht="15.75" customHeight="1"/>
    <row r="10305" ht="15.75" customHeight="1"/>
    <row r="10306" ht="15.75" customHeight="1"/>
    <row r="10307" ht="15.75" customHeight="1"/>
    <row r="10308" ht="15.75" customHeight="1"/>
    <row r="10309" ht="15.75" customHeight="1"/>
    <row r="10310" ht="15.75" customHeight="1"/>
    <row r="10311" ht="15.75" customHeight="1"/>
    <row r="10312" ht="15.75" customHeight="1"/>
    <row r="10313" ht="15.75" customHeight="1"/>
    <row r="10314" ht="15.75" customHeight="1"/>
    <row r="10315" ht="15.75" customHeight="1"/>
    <row r="10316" ht="15.75" customHeight="1"/>
    <row r="10317" ht="15.75" customHeight="1"/>
    <row r="10318" ht="15.75" customHeight="1"/>
    <row r="10319" ht="15.75" customHeight="1"/>
    <row r="10320" ht="15.75" customHeight="1"/>
    <row r="10321" ht="15.75" customHeight="1"/>
    <row r="10322" ht="15.75" customHeight="1"/>
    <row r="10323" ht="15.75" customHeight="1"/>
    <row r="10324" ht="15.75" customHeight="1"/>
    <row r="10325" ht="15.75" customHeight="1"/>
    <row r="10326" ht="15.75" customHeight="1"/>
    <row r="10327" ht="15.75" customHeight="1"/>
    <row r="10328" ht="15.75" customHeight="1"/>
    <row r="10329" ht="15.75" customHeight="1"/>
    <row r="10330" ht="15.75" customHeight="1"/>
    <row r="10331" ht="15.75" customHeight="1"/>
    <row r="10332" ht="15.75" customHeight="1"/>
    <row r="10333" ht="15.75" customHeight="1"/>
    <row r="10334" ht="15.75" customHeight="1"/>
    <row r="10335" ht="15.75" customHeight="1"/>
    <row r="10336" ht="15.75" customHeight="1"/>
    <row r="10337" ht="15.75" customHeight="1"/>
    <row r="10338" ht="15.75" customHeight="1"/>
    <row r="10339" ht="15.75" customHeight="1"/>
    <row r="10340" ht="15.75" customHeight="1"/>
    <row r="10341" ht="15.75" customHeight="1"/>
    <row r="10342" ht="15.75" customHeight="1"/>
    <row r="10343" ht="15.75" customHeight="1"/>
    <row r="10344" ht="15.75" customHeight="1"/>
    <row r="10345" ht="15.75" customHeight="1"/>
    <row r="10346" ht="15.75" customHeight="1"/>
    <row r="10347" ht="15.75" customHeight="1"/>
    <row r="10348" ht="15.75" customHeight="1"/>
    <row r="10349" ht="15.75" customHeight="1"/>
    <row r="10350" ht="15.75" customHeight="1"/>
    <row r="10351" ht="15.75" customHeight="1"/>
    <row r="10352" ht="15.75" customHeight="1"/>
    <row r="10353" ht="15.75" customHeight="1"/>
    <row r="10354" ht="15.75" customHeight="1"/>
    <row r="10355" ht="15.75" customHeight="1"/>
    <row r="10356" ht="15.75" customHeight="1"/>
    <row r="10357" ht="15.75" customHeight="1"/>
    <row r="10358" ht="15.75" customHeight="1"/>
    <row r="10359" ht="15.75" customHeight="1"/>
    <row r="10360" ht="15.75" customHeight="1"/>
    <row r="10361" ht="15.75" customHeight="1"/>
    <row r="10362" ht="15.75" customHeight="1"/>
    <row r="10363" ht="15.75" customHeight="1"/>
    <row r="10364" ht="15.75" customHeight="1"/>
    <row r="10365" ht="15.75" customHeight="1"/>
    <row r="10366" ht="15.75" customHeight="1"/>
    <row r="10367" ht="15.75" customHeight="1"/>
    <row r="10368" ht="15.75" customHeight="1"/>
    <row r="10369" ht="15.75" customHeight="1"/>
    <row r="10370" ht="15.75" customHeight="1"/>
    <row r="10371" ht="15.75" customHeight="1"/>
    <row r="10372" ht="15.75" customHeight="1"/>
    <row r="10373" ht="15.75" customHeight="1"/>
    <row r="10374" ht="15.75" customHeight="1"/>
    <row r="10375" ht="15.75" customHeight="1"/>
    <row r="10376" ht="15.75" customHeight="1"/>
    <row r="10377" ht="15.75" customHeight="1"/>
    <row r="10378" ht="15.75" customHeight="1"/>
    <row r="10379" ht="15.75" customHeight="1"/>
    <row r="10380" ht="15.75" customHeight="1"/>
    <row r="10381" ht="15.75" customHeight="1"/>
    <row r="10382" ht="15.75" customHeight="1"/>
    <row r="10383" ht="15.75" customHeight="1"/>
    <row r="10384" ht="15.75" customHeight="1"/>
    <row r="10385" ht="15.75" customHeight="1"/>
    <row r="10386" ht="15.75" customHeight="1"/>
    <row r="10387" ht="15.75" customHeight="1"/>
    <row r="10388" ht="15.75" customHeight="1"/>
    <row r="10389" ht="15.75" customHeight="1"/>
    <row r="10390" ht="15.75" customHeight="1"/>
    <row r="10391" ht="15.75" customHeight="1"/>
    <row r="10392" ht="15.75" customHeight="1"/>
    <row r="10393" ht="15.75" customHeight="1"/>
    <row r="10394" ht="15.75" customHeight="1"/>
    <row r="10395" ht="15.75" customHeight="1"/>
    <row r="10396" ht="15.75" customHeight="1"/>
    <row r="10397" ht="15.75" customHeight="1"/>
    <row r="10398" ht="15.75" customHeight="1"/>
    <row r="10399" ht="15.75" customHeight="1"/>
    <row r="10400" ht="15.75" customHeight="1"/>
    <row r="10401" ht="15.75" customHeight="1"/>
    <row r="10402" ht="15.75" customHeight="1"/>
    <row r="10403" ht="15.75" customHeight="1"/>
    <row r="10404" ht="15.75" customHeight="1"/>
    <row r="10405" ht="15.75" customHeight="1"/>
    <row r="10406" ht="15.75" customHeight="1"/>
    <row r="10407" ht="15.75" customHeight="1"/>
    <row r="10408" ht="15.75" customHeight="1"/>
    <row r="10409" ht="15.75" customHeight="1"/>
    <row r="10410" ht="15.75" customHeight="1"/>
    <row r="10411" ht="15.75" customHeight="1"/>
    <row r="10412" ht="15.75" customHeight="1"/>
    <row r="10413" ht="15.75" customHeight="1"/>
    <row r="10414" ht="15.75" customHeight="1"/>
    <row r="10415" ht="15.75" customHeight="1"/>
    <row r="10416" ht="15.75" customHeight="1"/>
    <row r="10417" ht="15.75" customHeight="1"/>
    <row r="10418" ht="15.75" customHeight="1"/>
    <row r="10419" ht="15.75" customHeight="1"/>
    <row r="10420" ht="15.75" customHeight="1"/>
    <row r="10421" ht="15.75" customHeight="1"/>
    <row r="10422" ht="15.75" customHeight="1"/>
    <row r="10423" ht="15.75" customHeight="1"/>
    <row r="10424" ht="15.75" customHeight="1"/>
    <row r="10425" ht="15.75" customHeight="1"/>
    <row r="10426" ht="15.75" customHeight="1"/>
    <row r="10427" ht="15.75" customHeight="1"/>
    <row r="10428" ht="15.75" customHeight="1"/>
    <row r="10429" ht="15.75" customHeight="1"/>
    <row r="10430" ht="15.75" customHeight="1"/>
    <row r="10431" ht="15.75" customHeight="1"/>
    <row r="10432" ht="15.75" customHeight="1"/>
    <row r="10433" ht="15.75" customHeight="1"/>
    <row r="10434" ht="15.75" customHeight="1"/>
    <row r="10435" ht="15.75" customHeight="1"/>
    <row r="10436" ht="15.75" customHeight="1"/>
    <row r="10437" ht="15.75" customHeight="1"/>
    <row r="10438" ht="15.75" customHeight="1"/>
    <row r="10439" ht="15.75" customHeight="1"/>
    <row r="10440" ht="15.75" customHeight="1"/>
    <row r="10441" ht="15.75" customHeight="1"/>
    <row r="10442" ht="15.75" customHeight="1"/>
    <row r="10443" ht="15.75" customHeight="1"/>
    <row r="10444" ht="15.75" customHeight="1"/>
    <row r="10445" ht="15.75" customHeight="1"/>
    <row r="10446" ht="15.75" customHeight="1"/>
    <row r="10447" ht="15.75" customHeight="1"/>
    <row r="10448" ht="15.75" customHeight="1"/>
    <row r="10449" ht="15.75" customHeight="1"/>
    <row r="10450" ht="15.75" customHeight="1"/>
    <row r="10451" ht="15.75" customHeight="1"/>
    <row r="10452" ht="15.75" customHeight="1"/>
    <row r="10453" ht="15.75" customHeight="1"/>
    <row r="10454" ht="15.75" customHeight="1"/>
    <row r="10455" ht="15.75" customHeight="1"/>
    <row r="10456" ht="15.75" customHeight="1"/>
    <row r="10457" ht="15.75" customHeight="1"/>
    <row r="10458" ht="15.75" customHeight="1"/>
    <row r="10459" ht="15.75" customHeight="1"/>
    <row r="10460" ht="15.75" customHeight="1"/>
    <row r="10461" ht="15.75" customHeight="1"/>
    <row r="10462" ht="15.75" customHeight="1"/>
    <row r="10463" ht="15.75" customHeight="1"/>
    <row r="10464" ht="15.75" customHeight="1"/>
    <row r="10465" ht="15.75" customHeight="1"/>
    <row r="10466" ht="15.75" customHeight="1"/>
    <row r="10467" ht="15.75" customHeight="1"/>
    <row r="10468" ht="15.75" customHeight="1"/>
    <row r="10469" ht="15.75" customHeight="1"/>
    <row r="10470" ht="15.75" customHeight="1"/>
    <row r="10471" ht="15.75" customHeight="1"/>
    <row r="10472" ht="15.75" customHeight="1"/>
    <row r="10473" ht="15.75" customHeight="1"/>
    <row r="10474" ht="15.75" customHeight="1"/>
    <row r="10475" ht="15.75" customHeight="1"/>
    <row r="10476" ht="15.75" customHeight="1"/>
    <row r="10477" ht="15.75" customHeight="1"/>
    <row r="10478" ht="15.75" customHeight="1"/>
    <row r="10479" ht="15.75" customHeight="1"/>
    <row r="10480" ht="15.75" customHeight="1"/>
    <row r="10481" ht="15.75" customHeight="1"/>
    <row r="10482" ht="15.75" customHeight="1"/>
    <row r="10483" ht="15.75" customHeight="1"/>
    <row r="10484" ht="15.75" customHeight="1"/>
    <row r="10485" ht="15.75" customHeight="1"/>
    <row r="10486" ht="15.75" customHeight="1"/>
    <row r="10487" ht="15.75" customHeight="1"/>
    <row r="10488" ht="15.75" customHeight="1"/>
    <row r="10489" ht="15.75" customHeight="1"/>
    <row r="10490" ht="15.75" customHeight="1"/>
    <row r="10491" ht="15.75" customHeight="1"/>
    <row r="10492" ht="15.75" customHeight="1"/>
    <row r="10493" ht="15.75" customHeight="1"/>
    <row r="10494" ht="15.75" customHeight="1"/>
    <row r="10495" ht="15.75" customHeight="1"/>
    <row r="10496" ht="15.75" customHeight="1"/>
    <row r="10497" ht="15.75" customHeight="1"/>
    <row r="10498" ht="15.75" customHeight="1"/>
    <row r="10499" ht="15.75" customHeight="1"/>
    <row r="10500" ht="15.75" customHeight="1"/>
    <row r="10501" ht="15.75" customHeight="1"/>
    <row r="10502" ht="15.75" customHeight="1"/>
    <row r="10503" ht="15.75" customHeight="1"/>
    <row r="10504" ht="15.75" customHeight="1"/>
    <row r="10505" ht="15.75" customHeight="1"/>
    <row r="10506" ht="15.75" customHeight="1"/>
    <row r="10507" ht="15.75" customHeight="1"/>
    <row r="10508" ht="15.75" customHeight="1"/>
    <row r="10509" ht="15.75" customHeight="1"/>
    <row r="10510" ht="15.75" customHeight="1"/>
    <row r="10511" ht="15.75" customHeight="1"/>
    <row r="10512" ht="15.75" customHeight="1"/>
    <row r="10513" ht="15.75" customHeight="1"/>
    <row r="10514" ht="15.75" customHeight="1"/>
    <row r="10515" ht="15.75" customHeight="1"/>
    <row r="10516" ht="15.75" customHeight="1"/>
    <row r="10517" ht="15.75" customHeight="1"/>
    <row r="10518" ht="15.75" customHeight="1"/>
    <row r="10519" ht="15.75" customHeight="1"/>
    <row r="10520" ht="15.75" customHeight="1"/>
    <row r="10521" ht="15.75" customHeight="1"/>
    <row r="10522" ht="15.75" customHeight="1"/>
    <row r="10523" ht="15.75" customHeight="1"/>
    <row r="10524" ht="15.75" customHeight="1"/>
    <row r="10525" ht="15.75" customHeight="1"/>
    <row r="10526" ht="15.75" customHeight="1"/>
    <row r="10527" ht="15.75" customHeight="1"/>
    <row r="10528" ht="15.75" customHeight="1"/>
    <row r="10529" ht="15.75" customHeight="1"/>
    <row r="10530" ht="15.75" customHeight="1"/>
    <row r="10531" ht="15.75" customHeight="1"/>
    <row r="10532" ht="15.75" customHeight="1"/>
    <row r="10533" ht="15.75" customHeight="1"/>
    <row r="10534" ht="15.75" customHeight="1"/>
    <row r="10535" ht="15.75" customHeight="1"/>
    <row r="10536" ht="15.75" customHeight="1"/>
    <row r="10537" ht="15.75" customHeight="1"/>
    <row r="10538" ht="15.75" customHeight="1"/>
    <row r="10539" ht="15.75" customHeight="1"/>
    <row r="10540" ht="15.75" customHeight="1"/>
    <row r="10541" ht="15.75" customHeight="1"/>
    <row r="10542" ht="15.75" customHeight="1"/>
    <row r="10543" ht="15.75" customHeight="1"/>
    <row r="10544" ht="15.75" customHeight="1"/>
    <row r="10545" ht="15.75" customHeight="1"/>
    <row r="10546" ht="15.75" customHeight="1"/>
    <row r="10547" ht="15.75" customHeight="1"/>
    <row r="10548" ht="15.75" customHeight="1"/>
    <row r="10549" ht="15.75" customHeight="1"/>
    <row r="10550" ht="15.75" customHeight="1"/>
    <row r="10551" ht="15.75" customHeight="1"/>
    <row r="10552" ht="15.75" customHeight="1"/>
    <row r="10553" ht="15.75" customHeight="1"/>
    <row r="10554" ht="15.75" customHeight="1"/>
    <row r="10555" ht="15.75" customHeight="1"/>
    <row r="10556" ht="15.75" customHeight="1"/>
    <row r="10557" ht="15.75" customHeight="1"/>
    <row r="10558" ht="15.75" customHeight="1"/>
    <row r="10559" ht="15.75" customHeight="1"/>
    <row r="10560" ht="15.75" customHeight="1"/>
    <row r="10561" ht="15.75" customHeight="1"/>
    <row r="10562" ht="15.75" customHeight="1"/>
    <row r="10563" ht="15.75" customHeight="1"/>
    <row r="10564" ht="15.75" customHeight="1"/>
    <row r="10565" ht="15.75" customHeight="1"/>
    <row r="10566" ht="15.75" customHeight="1"/>
    <row r="10567" ht="15.75" customHeight="1"/>
    <row r="10568" ht="15.75" customHeight="1"/>
    <row r="10569" ht="15.75" customHeight="1"/>
    <row r="10570" ht="15.75" customHeight="1"/>
    <row r="10571" ht="15.75" customHeight="1"/>
    <row r="10572" ht="15.75" customHeight="1"/>
    <row r="10573" ht="15.75" customHeight="1"/>
    <row r="10574" ht="15.75" customHeight="1"/>
    <row r="10575" ht="15.75" customHeight="1"/>
    <row r="10576" ht="15.75" customHeight="1"/>
    <row r="10577" ht="15.75" customHeight="1"/>
    <row r="10578" ht="15.75" customHeight="1"/>
    <row r="10579" ht="15.75" customHeight="1"/>
    <row r="10580" ht="15.75" customHeight="1"/>
    <row r="10581" ht="15.75" customHeight="1"/>
    <row r="10582" ht="15.75" customHeight="1"/>
    <row r="10583" ht="15.75" customHeight="1"/>
    <row r="10584" ht="15.75" customHeight="1"/>
    <row r="10585" ht="15.75" customHeight="1"/>
    <row r="10586" ht="15.75" customHeight="1"/>
    <row r="10587" ht="15.75" customHeight="1"/>
    <row r="10588" ht="15.75" customHeight="1"/>
    <row r="10589" ht="15.75" customHeight="1"/>
    <row r="10590" ht="15.75" customHeight="1"/>
    <row r="10591" ht="15.75" customHeight="1"/>
    <row r="10592" ht="15.75" customHeight="1"/>
    <row r="10593" ht="15.75" customHeight="1"/>
    <row r="10594" ht="15.75" customHeight="1"/>
    <row r="10595" ht="15.75" customHeight="1"/>
    <row r="10596" ht="15.75" customHeight="1"/>
    <row r="10597" ht="15.75" customHeight="1"/>
    <row r="10598" ht="15.75" customHeight="1"/>
    <row r="10599" ht="15.75" customHeight="1"/>
    <row r="10600" ht="15.75" customHeight="1"/>
    <row r="10601" ht="15.75" customHeight="1"/>
    <row r="10602" ht="15.75" customHeight="1"/>
    <row r="10603" ht="15.75" customHeight="1"/>
    <row r="10604" ht="15.75" customHeight="1"/>
    <row r="10605" ht="15.75" customHeight="1"/>
    <row r="10606" ht="15.75" customHeight="1"/>
    <row r="10607" ht="15.75" customHeight="1"/>
    <row r="10608" ht="15.75" customHeight="1"/>
    <row r="10609" ht="15.75" customHeight="1"/>
    <row r="10610" ht="15.75" customHeight="1"/>
    <row r="10611" ht="15.75" customHeight="1"/>
    <row r="10612" ht="15.75" customHeight="1"/>
    <row r="10613" ht="15.75" customHeight="1"/>
    <row r="10614" ht="15.75" customHeight="1"/>
    <row r="10615" ht="15.75" customHeight="1"/>
    <row r="10616" ht="15.75" customHeight="1"/>
    <row r="10617" ht="15.75" customHeight="1"/>
    <row r="10618" ht="15.75" customHeight="1"/>
    <row r="10619" ht="15.75" customHeight="1"/>
    <row r="10620" ht="15.75" customHeight="1"/>
    <row r="10621" ht="15.75" customHeight="1"/>
    <row r="10622" ht="15.75" customHeight="1"/>
    <row r="10623" ht="15.75" customHeight="1"/>
    <row r="10624" ht="15.75" customHeight="1"/>
    <row r="10625" ht="15.75" customHeight="1"/>
    <row r="10626" ht="15.75" customHeight="1"/>
    <row r="10627" ht="15.75" customHeight="1"/>
    <row r="10628" ht="15.75" customHeight="1"/>
    <row r="10629" ht="15.75" customHeight="1"/>
    <row r="10630" ht="15.75" customHeight="1"/>
    <row r="10631" ht="15.75" customHeight="1"/>
    <row r="10632" ht="15.75" customHeight="1"/>
    <row r="10633" ht="15.75" customHeight="1"/>
    <row r="10634" ht="15.75" customHeight="1"/>
    <row r="10635" ht="15.75" customHeight="1"/>
    <row r="10636" ht="15.75" customHeight="1"/>
    <row r="10637" ht="15.75" customHeight="1"/>
    <row r="10638" ht="15.75" customHeight="1"/>
    <row r="10639" ht="15.75" customHeight="1"/>
    <row r="10640" ht="15.75" customHeight="1"/>
    <row r="10641" ht="15.75" customHeight="1"/>
    <row r="10642" ht="15.75" customHeight="1"/>
    <row r="10643" ht="15.75" customHeight="1"/>
    <row r="10644" ht="15.75" customHeight="1"/>
    <row r="10645" ht="15.75" customHeight="1"/>
    <row r="10646" ht="15.75" customHeight="1"/>
    <row r="10647" ht="15.75" customHeight="1"/>
    <row r="10648" ht="15.75" customHeight="1"/>
    <row r="10649" ht="15.75" customHeight="1"/>
    <row r="10650" ht="15.75" customHeight="1"/>
    <row r="10651" ht="15.75" customHeight="1"/>
    <row r="10652" ht="15.75" customHeight="1"/>
    <row r="10653" ht="15.75" customHeight="1"/>
    <row r="10654" ht="15.75" customHeight="1"/>
    <row r="10655" ht="15.75" customHeight="1"/>
    <row r="10656" ht="15.75" customHeight="1"/>
    <row r="10657" ht="15.75" customHeight="1"/>
    <row r="10658" ht="15.75" customHeight="1"/>
    <row r="10659" ht="15.75" customHeight="1"/>
    <row r="10660" ht="15.75" customHeight="1"/>
    <row r="10661" ht="15.75" customHeight="1"/>
    <row r="10662" ht="15.75" customHeight="1"/>
    <row r="10663" ht="15.75" customHeight="1"/>
    <row r="10664" ht="15.75" customHeight="1"/>
    <row r="10665" ht="15.75" customHeight="1"/>
    <row r="10666" ht="15.75" customHeight="1"/>
    <row r="10667" ht="15.75" customHeight="1"/>
    <row r="10668" ht="15.75" customHeight="1"/>
    <row r="10669" ht="15.75" customHeight="1"/>
    <row r="10670" ht="15.75" customHeight="1"/>
    <row r="10671" ht="15.75" customHeight="1"/>
    <row r="10672" ht="15.75" customHeight="1"/>
    <row r="10673" ht="15.75" customHeight="1"/>
    <row r="10674" ht="15.75" customHeight="1"/>
    <row r="10675" ht="15.75" customHeight="1"/>
    <row r="10676" ht="15.75" customHeight="1"/>
    <row r="10677" ht="15.75" customHeight="1"/>
    <row r="10678" ht="15.75" customHeight="1"/>
    <row r="10679" ht="15.75" customHeight="1"/>
    <row r="10680" ht="15.75" customHeight="1"/>
    <row r="10681" ht="15.75" customHeight="1"/>
    <row r="10682" ht="15.75" customHeight="1"/>
    <row r="10683" ht="15.75" customHeight="1"/>
    <row r="10684" ht="15.75" customHeight="1"/>
    <row r="10685" ht="15.75" customHeight="1"/>
    <row r="10686" ht="15.75" customHeight="1"/>
    <row r="10687" ht="15.75" customHeight="1"/>
    <row r="10688" ht="15.75" customHeight="1"/>
    <row r="10689" ht="15.75" customHeight="1"/>
    <row r="10690" ht="15.75" customHeight="1"/>
    <row r="10691" ht="15.75" customHeight="1"/>
    <row r="10692" ht="15.75" customHeight="1"/>
    <row r="10693" ht="15.75" customHeight="1"/>
    <row r="10694" ht="15.75" customHeight="1"/>
    <row r="10695" ht="15.75" customHeight="1"/>
    <row r="10696" ht="15.75" customHeight="1"/>
    <row r="10697" ht="15.75" customHeight="1"/>
    <row r="10698" ht="15.75" customHeight="1"/>
    <row r="10699" ht="15.75" customHeight="1"/>
    <row r="10700" ht="15.75" customHeight="1"/>
    <row r="10701" ht="15.75" customHeight="1"/>
    <row r="10702" ht="15.75" customHeight="1"/>
    <row r="10703" ht="15.75" customHeight="1"/>
    <row r="10704" ht="15.75" customHeight="1"/>
    <row r="10705" ht="15.75" customHeight="1"/>
    <row r="10706" ht="15.75" customHeight="1"/>
    <row r="10707" ht="15.75" customHeight="1"/>
    <row r="10708" ht="15.75" customHeight="1"/>
    <row r="10709" ht="15.75" customHeight="1"/>
    <row r="10710" ht="15.75" customHeight="1"/>
    <row r="10711" ht="15.75" customHeight="1"/>
    <row r="10712" ht="15.75" customHeight="1"/>
    <row r="10713" ht="15.75" customHeight="1"/>
    <row r="10714" ht="15.75" customHeight="1"/>
    <row r="10715" ht="15.75" customHeight="1"/>
    <row r="10716" ht="15.75" customHeight="1"/>
    <row r="10717" ht="15.75" customHeight="1"/>
    <row r="10718" ht="15.75" customHeight="1"/>
    <row r="10719" ht="15.75" customHeight="1"/>
    <row r="10720" ht="15.75" customHeight="1"/>
    <row r="10721" ht="15.75" customHeight="1"/>
    <row r="10722" ht="15.75" customHeight="1"/>
    <row r="10723" ht="15.75" customHeight="1"/>
    <row r="10724" ht="15.75" customHeight="1"/>
    <row r="10725" ht="15.75" customHeight="1"/>
    <row r="10726" ht="15.75" customHeight="1"/>
    <row r="10727" ht="15.75" customHeight="1"/>
    <row r="10728" ht="15.75" customHeight="1"/>
    <row r="10729" ht="15.75" customHeight="1"/>
    <row r="10730" ht="15.75" customHeight="1"/>
    <row r="10731" ht="15.75" customHeight="1"/>
    <row r="10732" ht="15.75" customHeight="1"/>
    <row r="10733" ht="15.75" customHeight="1"/>
    <row r="10734" ht="15.75" customHeight="1"/>
    <row r="10735" ht="15.75" customHeight="1"/>
    <row r="10736" ht="15.75" customHeight="1"/>
    <row r="10737" ht="15.75" customHeight="1"/>
    <row r="10738" ht="15.75" customHeight="1"/>
    <row r="10739" ht="15.75" customHeight="1"/>
    <row r="10740" ht="15.75" customHeight="1"/>
    <row r="10741" ht="15.75" customHeight="1"/>
    <row r="10742" ht="15.75" customHeight="1"/>
    <row r="10743" ht="15.75" customHeight="1"/>
    <row r="10744" ht="15.75" customHeight="1"/>
    <row r="10745" ht="15.75" customHeight="1"/>
    <row r="10746" ht="15.75" customHeight="1"/>
    <row r="10747" ht="15.75" customHeight="1"/>
    <row r="10748" ht="15.75" customHeight="1"/>
    <row r="10749" ht="15.75" customHeight="1"/>
    <row r="10750" ht="15.75" customHeight="1"/>
    <row r="10751" ht="15.75" customHeight="1"/>
    <row r="10752" ht="15.75" customHeight="1"/>
    <row r="10753" ht="15.75" customHeight="1"/>
    <row r="10754" ht="15.75" customHeight="1"/>
    <row r="10755" ht="15.75" customHeight="1"/>
    <row r="10756" ht="15.75" customHeight="1"/>
    <row r="10757" ht="15.75" customHeight="1"/>
    <row r="10758" ht="15.75" customHeight="1"/>
    <row r="10759" ht="15.75" customHeight="1"/>
    <row r="10760" ht="15.75" customHeight="1"/>
    <row r="10761" ht="15.75" customHeight="1"/>
    <row r="10762" ht="15.75" customHeight="1"/>
    <row r="10763" ht="15.75" customHeight="1"/>
    <row r="10764" ht="15.75" customHeight="1"/>
    <row r="10765" ht="15.75" customHeight="1"/>
    <row r="10766" ht="15.75" customHeight="1"/>
    <row r="10767" ht="15.75" customHeight="1"/>
    <row r="10768" ht="15.75" customHeight="1"/>
    <row r="10769" ht="15.75" customHeight="1"/>
    <row r="10770" ht="15.75" customHeight="1"/>
    <row r="10771" ht="15.75" customHeight="1"/>
    <row r="10772" ht="15.75" customHeight="1"/>
    <row r="10773" ht="15.75" customHeight="1"/>
    <row r="10774" ht="15.75" customHeight="1"/>
    <row r="10775" ht="15.75" customHeight="1"/>
    <row r="10776" ht="15.75" customHeight="1"/>
    <row r="10777" ht="15.75" customHeight="1"/>
    <row r="10778" ht="15.75" customHeight="1"/>
    <row r="10779" ht="15.75" customHeight="1"/>
    <row r="10780" ht="15.75" customHeight="1"/>
    <row r="10781" ht="15.75" customHeight="1"/>
    <row r="10782" ht="15.75" customHeight="1"/>
    <row r="10783" ht="15.75" customHeight="1"/>
    <row r="10784" ht="15.75" customHeight="1"/>
    <row r="10785" ht="15.75" customHeight="1"/>
    <row r="10786" ht="15.75" customHeight="1"/>
    <row r="10787" ht="15.75" customHeight="1"/>
    <row r="10788" ht="15.75" customHeight="1"/>
    <row r="10789" ht="15.75" customHeight="1"/>
    <row r="10790" ht="15.75" customHeight="1"/>
    <row r="10791" ht="15.75" customHeight="1"/>
    <row r="10792" ht="15.75" customHeight="1"/>
    <row r="10793" ht="15.75" customHeight="1"/>
    <row r="10794" ht="15.75" customHeight="1"/>
    <row r="10795" ht="15.75" customHeight="1"/>
    <row r="10796" ht="15.75" customHeight="1"/>
    <row r="10797" ht="15.75" customHeight="1"/>
    <row r="10798" ht="15.75" customHeight="1"/>
    <row r="10799" ht="15.75" customHeight="1"/>
    <row r="10800" ht="15.75" customHeight="1"/>
    <row r="10801" ht="15.75" customHeight="1"/>
    <row r="10802" ht="15.75" customHeight="1"/>
    <row r="10803" ht="15.75" customHeight="1"/>
    <row r="10804" ht="15.75" customHeight="1"/>
    <row r="10805" ht="15.75" customHeight="1"/>
    <row r="10806" ht="15.75" customHeight="1"/>
    <row r="10807" ht="15.75" customHeight="1"/>
    <row r="10808" ht="15.75" customHeight="1"/>
    <row r="10809" ht="15.75" customHeight="1"/>
    <row r="10810" ht="15.75" customHeight="1"/>
    <row r="10811" ht="15.75" customHeight="1"/>
    <row r="10812" ht="15.75" customHeight="1"/>
    <row r="10813" ht="15.75" customHeight="1"/>
    <row r="10814" ht="15.75" customHeight="1"/>
    <row r="10815" ht="15.75" customHeight="1"/>
    <row r="10816" ht="15.75" customHeight="1"/>
    <row r="10817" ht="15.75" customHeight="1"/>
    <row r="10818" ht="15.75" customHeight="1"/>
    <row r="10819" ht="15.75" customHeight="1"/>
    <row r="10820" ht="15.75" customHeight="1"/>
    <row r="10821" ht="15.75" customHeight="1"/>
    <row r="10822" ht="15.75" customHeight="1"/>
    <row r="10823" ht="15.75" customHeight="1"/>
    <row r="10824" ht="15.75" customHeight="1"/>
    <row r="10825" ht="15.75" customHeight="1"/>
    <row r="10826" ht="15.75" customHeight="1"/>
    <row r="10827" ht="15.75" customHeight="1"/>
    <row r="10828" ht="15.75" customHeight="1"/>
    <row r="10829" ht="15.75" customHeight="1"/>
    <row r="10830" ht="15.75" customHeight="1"/>
    <row r="10831" ht="15.75" customHeight="1"/>
    <row r="10832" ht="15.75" customHeight="1"/>
    <row r="10833" ht="15.75" customHeight="1"/>
    <row r="10834" ht="15.75" customHeight="1"/>
    <row r="10835" ht="15.75" customHeight="1"/>
    <row r="10836" ht="15.75" customHeight="1"/>
    <row r="10837" ht="15.75" customHeight="1"/>
    <row r="10838" ht="15.75" customHeight="1"/>
    <row r="10839" ht="15.75" customHeight="1"/>
    <row r="10840" ht="15.75" customHeight="1"/>
    <row r="10841" ht="15.75" customHeight="1"/>
    <row r="10842" ht="15.75" customHeight="1"/>
    <row r="10843" ht="15.75" customHeight="1"/>
    <row r="10844" ht="15.75" customHeight="1"/>
    <row r="10845" ht="15.75" customHeight="1"/>
    <row r="10846" ht="15.75" customHeight="1"/>
    <row r="10847" ht="15.75" customHeight="1"/>
    <row r="10848" ht="15.75" customHeight="1"/>
    <row r="10849" ht="15.75" customHeight="1"/>
    <row r="10850" ht="15.75" customHeight="1"/>
    <row r="10851" ht="15.75" customHeight="1"/>
    <row r="10852" ht="15.75" customHeight="1"/>
    <row r="10853" ht="15.75" customHeight="1"/>
    <row r="10854" ht="15.75" customHeight="1"/>
    <row r="10855" ht="15.75" customHeight="1"/>
    <row r="10856" ht="15.75" customHeight="1"/>
    <row r="10857" ht="15.75" customHeight="1"/>
    <row r="10858" ht="15.75" customHeight="1"/>
    <row r="10859" ht="15.75" customHeight="1"/>
    <row r="10860" ht="15.75" customHeight="1"/>
    <row r="10861" ht="15.75" customHeight="1"/>
    <row r="10862" ht="15.75" customHeight="1"/>
    <row r="10863" ht="15.75" customHeight="1"/>
    <row r="10864" ht="15.75" customHeight="1"/>
    <row r="10865" ht="15.75" customHeight="1"/>
    <row r="10866" ht="15.75" customHeight="1"/>
    <row r="10867" ht="15.75" customHeight="1"/>
    <row r="10868" ht="15.75" customHeight="1"/>
    <row r="10869" ht="15.75" customHeight="1"/>
    <row r="10870" ht="15.75" customHeight="1"/>
    <row r="10871" ht="15.75" customHeight="1"/>
    <row r="10872" ht="15.75" customHeight="1"/>
    <row r="10873" ht="15.75" customHeight="1"/>
    <row r="10874" ht="15.75" customHeight="1"/>
    <row r="10875" ht="15.75" customHeight="1"/>
    <row r="10876" ht="15.75" customHeight="1"/>
    <row r="10877" ht="15.75" customHeight="1"/>
    <row r="10878" ht="15.75" customHeight="1"/>
    <row r="10879" ht="15.75" customHeight="1"/>
    <row r="10880" ht="15.75" customHeight="1"/>
    <row r="10881" ht="15.75" customHeight="1"/>
    <row r="10882" ht="15.75" customHeight="1"/>
    <row r="10883" ht="15.75" customHeight="1"/>
    <row r="10884" ht="15.75" customHeight="1"/>
    <row r="10885" ht="15.75" customHeight="1"/>
    <row r="10886" ht="15.75" customHeight="1"/>
    <row r="10887" ht="15.75" customHeight="1"/>
    <row r="10888" ht="15.75" customHeight="1"/>
    <row r="10889" ht="15.75" customHeight="1"/>
    <row r="10890" ht="15.75" customHeight="1"/>
    <row r="10891" ht="15.75" customHeight="1"/>
    <row r="10892" ht="15.75" customHeight="1"/>
    <row r="10893" ht="15.75" customHeight="1"/>
    <row r="10894" ht="15.75" customHeight="1"/>
    <row r="10895" ht="15.75" customHeight="1"/>
    <row r="10896" ht="15.75" customHeight="1"/>
    <row r="10897" ht="15.75" customHeight="1"/>
    <row r="10898" ht="15.75" customHeight="1"/>
    <row r="10899" ht="15.75" customHeight="1"/>
    <row r="10900" ht="15.75" customHeight="1"/>
    <row r="10901" ht="15.75" customHeight="1"/>
    <row r="10902" ht="15.75" customHeight="1"/>
    <row r="10903" ht="15.75" customHeight="1"/>
    <row r="10904" ht="15.75" customHeight="1"/>
    <row r="10905" ht="15.75" customHeight="1"/>
    <row r="10906" ht="15.75" customHeight="1"/>
    <row r="10907" ht="15.75" customHeight="1"/>
    <row r="10908" ht="15.75" customHeight="1"/>
    <row r="10909" ht="15.75" customHeight="1"/>
    <row r="10910" ht="15.75" customHeight="1"/>
    <row r="10911" ht="15.75" customHeight="1"/>
    <row r="10912" ht="15.75" customHeight="1"/>
    <row r="10913" ht="15.75" customHeight="1"/>
    <row r="10914" ht="15.75" customHeight="1"/>
    <row r="10915" ht="15.75" customHeight="1"/>
    <row r="10916" ht="15.75" customHeight="1"/>
    <row r="10917" ht="15.75" customHeight="1"/>
    <row r="10918" ht="15.75" customHeight="1"/>
    <row r="10919" ht="15.75" customHeight="1"/>
    <row r="10920" ht="15.75" customHeight="1"/>
    <row r="10921" ht="15.75" customHeight="1"/>
    <row r="10922" ht="15.75" customHeight="1"/>
    <row r="10923" ht="15.75" customHeight="1"/>
    <row r="10924" ht="15.75" customHeight="1"/>
    <row r="10925" ht="15.75" customHeight="1"/>
    <row r="10926" ht="15.75" customHeight="1"/>
    <row r="10927" ht="15.75" customHeight="1"/>
    <row r="10928" ht="15.75" customHeight="1"/>
    <row r="10929" ht="15.75" customHeight="1"/>
    <row r="10930" ht="15.75" customHeight="1"/>
    <row r="10931" ht="15.75" customHeight="1"/>
    <row r="10932" ht="15.75" customHeight="1"/>
    <row r="10933" ht="15.75" customHeight="1"/>
    <row r="10934" ht="15.75" customHeight="1"/>
    <row r="10935" ht="15.75" customHeight="1"/>
    <row r="10936" ht="15.75" customHeight="1"/>
    <row r="10937" ht="15.75" customHeight="1"/>
    <row r="10938" ht="15.75" customHeight="1"/>
    <row r="10939" ht="15.75" customHeight="1"/>
    <row r="10940" ht="15.75" customHeight="1"/>
    <row r="10941" ht="15.75" customHeight="1"/>
    <row r="10942" ht="15.75" customHeight="1"/>
    <row r="10943" ht="15.75" customHeight="1"/>
    <row r="10944" ht="15.75" customHeight="1"/>
    <row r="10945" ht="15.75" customHeight="1"/>
    <row r="10946" ht="15.75" customHeight="1"/>
    <row r="10947" ht="15.75" customHeight="1"/>
    <row r="10948" ht="15.75" customHeight="1"/>
    <row r="10949" ht="15.75" customHeight="1"/>
    <row r="10950" ht="15.75" customHeight="1"/>
    <row r="10951" ht="15.75" customHeight="1"/>
    <row r="10952" ht="15.75" customHeight="1"/>
    <row r="10953" ht="15.75" customHeight="1"/>
    <row r="10954" ht="15.75" customHeight="1"/>
    <row r="10955" ht="15.75" customHeight="1"/>
    <row r="10956" ht="15.75" customHeight="1"/>
    <row r="10957" ht="15.75" customHeight="1"/>
    <row r="10958" ht="15.75" customHeight="1"/>
    <row r="10959" ht="15.75" customHeight="1"/>
    <row r="10960" ht="15.75" customHeight="1"/>
    <row r="10961" ht="15.75" customHeight="1"/>
    <row r="10962" ht="15.75" customHeight="1"/>
    <row r="10963" ht="15.75" customHeight="1"/>
    <row r="10964" ht="15.75" customHeight="1"/>
    <row r="10965" ht="15.75" customHeight="1"/>
    <row r="10966" ht="15.75" customHeight="1"/>
    <row r="10967" ht="15.75" customHeight="1"/>
    <row r="10968" ht="15.75" customHeight="1"/>
    <row r="10969" ht="15.75" customHeight="1"/>
    <row r="10970" ht="15.75" customHeight="1"/>
    <row r="10971" ht="15.75" customHeight="1"/>
    <row r="10972" ht="15.75" customHeight="1"/>
    <row r="10973" ht="15.75" customHeight="1"/>
    <row r="10974" ht="15.75" customHeight="1"/>
    <row r="10975" ht="15.75" customHeight="1"/>
    <row r="10976" ht="15.75" customHeight="1"/>
    <row r="10977" ht="15.75" customHeight="1"/>
    <row r="10978" ht="15.75" customHeight="1"/>
    <row r="10979" ht="15.75" customHeight="1"/>
    <row r="10980" ht="15.75" customHeight="1"/>
    <row r="10981" ht="15.75" customHeight="1"/>
    <row r="10982" ht="15.75" customHeight="1"/>
    <row r="10983" ht="15.75" customHeight="1"/>
    <row r="10984" ht="15.75" customHeight="1"/>
    <row r="10985" ht="15.75" customHeight="1"/>
    <row r="10986" ht="15.75" customHeight="1"/>
    <row r="10987" ht="15.75" customHeight="1"/>
    <row r="10988" ht="15.75" customHeight="1"/>
    <row r="10989" ht="15.75" customHeight="1"/>
    <row r="10990" ht="15.75" customHeight="1"/>
    <row r="10991" ht="15.75" customHeight="1"/>
    <row r="10992" ht="15.75" customHeight="1"/>
    <row r="10993" ht="15.75" customHeight="1"/>
    <row r="10994" ht="15.75" customHeight="1"/>
    <row r="10995" ht="15.75" customHeight="1"/>
    <row r="10996" ht="15.75" customHeight="1"/>
    <row r="10997" ht="15.75" customHeight="1"/>
    <row r="10998" ht="15.75" customHeight="1"/>
    <row r="10999" ht="15.75" customHeight="1"/>
    <row r="11000" ht="15.75" customHeight="1"/>
    <row r="11001" ht="15.75" customHeight="1"/>
    <row r="11002" ht="15.75" customHeight="1"/>
    <row r="11003" ht="15.75" customHeight="1"/>
    <row r="11004" ht="15.75" customHeight="1"/>
    <row r="11005" ht="15.75" customHeight="1"/>
    <row r="11006" ht="15.75" customHeight="1"/>
    <row r="11007" ht="15.75" customHeight="1"/>
    <row r="11008" ht="15.75" customHeight="1"/>
    <row r="11009" ht="15.75" customHeight="1"/>
    <row r="11010" ht="15.75" customHeight="1"/>
    <row r="11011" ht="15.75" customHeight="1"/>
    <row r="11012" ht="15.75" customHeight="1"/>
    <row r="11013" ht="15.75" customHeight="1"/>
    <row r="11014" ht="15.75" customHeight="1"/>
    <row r="11015" ht="15.75" customHeight="1"/>
    <row r="11016" ht="15.75" customHeight="1"/>
    <row r="11017" ht="15.75" customHeight="1"/>
    <row r="11018" ht="15.75" customHeight="1"/>
    <row r="11019" ht="15.75" customHeight="1"/>
    <row r="11020" ht="15.75" customHeight="1"/>
    <row r="11021" ht="15.75" customHeight="1"/>
    <row r="11022" ht="15.75" customHeight="1"/>
    <row r="11023" ht="15.75" customHeight="1"/>
    <row r="11024" ht="15.75" customHeight="1"/>
    <row r="11025" ht="15.75" customHeight="1"/>
    <row r="11026" ht="15.75" customHeight="1"/>
    <row r="11027" ht="15.75" customHeight="1"/>
    <row r="11028" ht="15.75" customHeight="1"/>
    <row r="11029" ht="15.75" customHeight="1"/>
    <row r="11030" ht="15.75" customHeight="1"/>
    <row r="11031" ht="15.75" customHeight="1"/>
    <row r="11032" ht="15.75" customHeight="1"/>
    <row r="11033" ht="15.75" customHeight="1"/>
    <row r="11034" ht="15.75" customHeight="1"/>
    <row r="11035" ht="15.75" customHeight="1"/>
    <row r="11036" ht="15.75" customHeight="1"/>
    <row r="11037" ht="15.75" customHeight="1"/>
    <row r="11038" ht="15.75" customHeight="1"/>
    <row r="11039" ht="15.75" customHeight="1"/>
    <row r="11040" ht="15.75" customHeight="1"/>
    <row r="11041" ht="15.75" customHeight="1"/>
    <row r="11042" ht="15.75" customHeight="1"/>
    <row r="11043" ht="15.75" customHeight="1"/>
    <row r="11044" ht="15.75" customHeight="1"/>
    <row r="11045" ht="15.75" customHeight="1"/>
    <row r="11046" ht="15.75" customHeight="1"/>
    <row r="11047" ht="15.75" customHeight="1"/>
    <row r="11048" ht="15.75" customHeight="1"/>
    <row r="11049" ht="15.75" customHeight="1"/>
    <row r="11050" ht="15.75" customHeight="1"/>
    <row r="11051" ht="15.75" customHeight="1"/>
    <row r="11052" ht="15.75" customHeight="1"/>
    <row r="11053" ht="15.75" customHeight="1"/>
    <row r="11054" ht="15.75" customHeight="1"/>
    <row r="11055" ht="15.75" customHeight="1"/>
    <row r="11056" ht="15.75" customHeight="1"/>
    <row r="11057" ht="15.75" customHeight="1"/>
    <row r="11058" ht="15.75" customHeight="1"/>
    <row r="11059" ht="15.75" customHeight="1"/>
    <row r="11060" ht="15.75" customHeight="1"/>
    <row r="11061" ht="15.75" customHeight="1"/>
    <row r="11062" ht="15.75" customHeight="1"/>
    <row r="11063" ht="15.75" customHeight="1"/>
    <row r="11064" ht="15.75" customHeight="1"/>
    <row r="11065" ht="15.75" customHeight="1"/>
    <row r="11066" ht="15.75" customHeight="1"/>
    <row r="11067" ht="15.75" customHeight="1"/>
    <row r="11068" ht="15.75" customHeight="1"/>
    <row r="11069" ht="15.75" customHeight="1"/>
    <row r="11070" ht="15.75" customHeight="1"/>
    <row r="11071" ht="15.75" customHeight="1"/>
    <row r="11072" ht="15.75" customHeight="1"/>
    <row r="11073" ht="15.75" customHeight="1"/>
    <row r="11074" ht="15.75" customHeight="1"/>
    <row r="11075" ht="15.75" customHeight="1"/>
    <row r="11076" ht="15.75" customHeight="1"/>
    <row r="11077" ht="15.75" customHeight="1"/>
    <row r="11078" ht="15.75" customHeight="1"/>
    <row r="11079" ht="15.75" customHeight="1"/>
    <row r="11080" ht="15.75" customHeight="1"/>
    <row r="11081" ht="15.75" customHeight="1"/>
    <row r="11082" ht="15.75" customHeight="1"/>
    <row r="11083" ht="15.75" customHeight="1"/>
    <row r="11084" ht="15.75" customHeight="1"/>
    <row r="11085" ht="15.75" customHeight="1"/>
    <row r="11086" ht="15.75" customHeight="1"/>
    <row r="11087" ht="15.75" customHeight="1"/>
    <row r="11088" ht="15.75" customHeight="1"/>
    <row r="11089" ht="15.75" customHeight="1"/>
    <row r="11090" ht="15.75" customHeight="1"/>
    <row r="11091" ht="15.75" customHeight="1"/>
    <row r="11092" ht="15.75" customHeight="1"/>
    <row r="11093" ht="15.75" customHeight="1"/>
    <row r="11094" ht="15.75" customHeight="1"/>
    <row r="11095" ht="15.75" customHeight="1"/>
    <row r="11096" ht="15.75" customHeight="1"/>
    <row r="11097" ht="15.75" customHeight="1"/>
    <row r="11098" ht="15.75" customHeight="1"/>
    <row r="11099" ht="15.75" customHeight="1"/>
    <row r="11100" ht="15.75" customHeight="1"/>
    <row r="11101" ht="15.75" customHeight="1"/>
    <row r="11102" ht="15.75" customHeight="1"/>
    <row r="11103" ht="15.75" customHeight="1"/>
    <row r="11104" ht="15.75" customHeight="1"/>
    <row r="11105" ht="15.75" customHeight="1"/>
    <row r="11106" ht="15.75" customHeight="1"/>
    <row r="11107" ht="15.75" customHeight="1"/>
    <row r="11108" ht="15.75" customHeight="1"/>
    <row r="11109" ht="15.75" customHeight="1"/>
    <row r="11110" ht="15.75" customHeight="1"/>
    <row r="11111" ht="15.75" customHeight="1"/>
    <row r="11112" ht="15.75" customHeight="1"/>
    <row r="11113" ht="15.75" customHeight="1"/>
    <row r="11114" ht="15.75" customHeight="1"/>
    <row r="11115" ht="15.75" customHeight="1"/>
    <row r="11116" ht="15.75" customHeight="1"/>
    <row r="11117" ht="15.75" customHeight="1"/>
    <row r="11118" ht="15.75" customHeight="1"/>
    <row r="11119" ht="15.75" customHeight="1"/>
    <row r="11120" ht="15.75" customHeight="1"/>
    <row r="11121" ht="15.75" customHeight="1"/>
    <row r="11122" ht="15.75" customHeight="1"/>
    <row r="11123" ht="15.75" customHeight="1"/>
    <row r="11124" ht="15.75" customHeight="1"/>
    <row r="11125" ht="15.75" customHeight="1"/>
    <row r="11126" ht="15.75" customHeight="1"/>
    <row r="11127" ht="15.75" customHeight="1"/>
    <row r="11128" ht="15.75" customHeight="1"/>
    <row r="11129" ht="15.75" customHeight="1"/>
    <row r="11130" ht="15.75" customHeight="1"/>
    <row r="11131" ht="15.75" customHeight="1"/>
    <row r="11132" ht="15.75" customHeight="1"/>
    <row r="11133" ht="15.75" customHeight="1"/>
    <row r="11134" ht="15.75" customHeight="1"/>
    <row r="11135" ht="15.75" customHeight="1"/>
    <row r="11136" ht="15.75" customHeight="1"/>
    <row r="11137" ht="15.75" customHeight="1"/>
    <row r="11138" ht="15.75" customHeight="1"/>
    <row r="11139" ht="15.75" customHeight="1"/>
    <row r="11140" ht="15.75" customHeight="1"/>
    <row r="11141" ht="15.75" customHeight="1"/>
    <row r="11142" ht="15.75" customHeight="1"/>
    <row r="11143" ht="15.75" customHeight="1"/>
    <row r="11144" ht="15.75" customHeight="1"/>
    <row r="11145" ht="15.75" customHeight="1"/>
    <row r="11146" ht="15.75" customHeight="1"/>
    <row r="11147" ht="15.75" customHeight="1"/>
    <row r="11148" ht="15.75" customHeight="1"/>
    <row r="11149" ht="15.75" customHeight="1"/>
    <row r="11150" ht="15.75" customHeight="1"/>
    <row r="11151" ht="15.75" customHeight="1"/>
    <row r="11152" ht="15.75" customHeight="1"/>
    <row r="11153" ht="15.75" customHeight="1"/>
    <row r="11154" ht="15.75" customHeight="1"/>
    <row r="11155" ht="15.75" customHeight="1"/>
    <row r="11156" ht="15.75" customHeight="1"/>
    <row r="11157" ht="15.75" customHeight="1"/>
    <row r="11158" ht="15.75" customHeight="1"/>
    <row r="11159" ht="15.75" customHeight="1"/>
    <row r="11160" ht="15.75" customHeight="1"/>
    <row r="11161" ht="15.75" customHeight="1"/>
    <row r="11162" ht="15.75" customHeight="1"/>
    <row r="11163" ht="15.75" customHeight="1"/>
    <row r="11164" ht="15.75" customHeight="1"/>
    <row r="11165" ht="15.75" customHeight="1"/>
    <row r="11166" ht="15.75" customHeight="1"/>
    <row r="11167" ht="15.75" customHeight="1"/>
    <row r="11168" ht="15.75" customHeight="1"/>
    <row r="11169" ht="15.75" customHeight="1"/>
    <row r="11170" ht="15.75" customHeight="1"/>
    <row r="11171" ht="15.75" customHeight="1"/>
    <row r="11172" ht="15.75" customHeight="1"/>
    <row r="11173" ht="15.75" customHeight="1"/>
    <row r="11174" ht="15.75" customHeight="1"/>
    <row r="11175" ht="15.75" customHeight="1"/>
    <row r="11176" ht="15.75" customHeight="1"/>
    <row r="11177" ht="15.75" customHeight="1"/>
    <row r="11178" ht="15.75" customHeight="1"/>
    <row r="11179" ht="15.75" customHeight="1"/>
    <row r="11180" ht="15.75" customHeight="1"/>
    <row r="11181" ht="15.75" customHeight="1"/>
    <row r="11182" ht="15.75" customHeight="1"/>
    <row r="11183" ht="15.75" customHeight="1"/>
    <row r="11184" ht="15.75" customHeight="1"/>
    <row r="11185" ht="15.75" customHeight="1"/>
    <row r="11186" ht="15.75" customHeight="1"/>
    <row r="11187" ht="15.75" customHeight="1"/>
    <row r="11188" ht="15.75" customHeight="1"/>
    <row r="11189" ht="15.75" customHeight="1"/>
    <row r="11190" ht="15.75" customHeight="1"/>
    <row r="11191" ht="15.75" customHeight="1"/>
    <row r="11192" ht="15.75" customHeight="1"/>
    <row r="11193" ht="15.75" customHeight="1"/>
    <row r="11194" ht="15.75" customHeight="1"/>
    <row r="11195" ht="15.75" customHeight="1"/>
    <row r="11196" ht="15.75" customHeight="1"/>
    <row r="11197" ht="15.75" customHeight="1"/>
    <row r="11198" ht="15.75" customHeight="1"/>
    <row r="11199" ht="15.75" customHeight="1"/>
    <row r="11200" ht="15.75" customHeight="1"/>
    <row r="11201" ht="15.75" customHeight="1"/>
    <row r="11202" ht="15.75" customHeight="1"/>
    <row r="11203" ht="15.75" customHeight="1"/>
    <row r="11204" ht="15.75" customHeight="1"/>
    <row r="11205" ht="15.75" customHeight="1"/>
    <row r="11206" ht="15.75" customHeight="1"/>
    <row r="11207" ht="15.75" customHeight="1"/>
    <row r="11208" ht="15.75" customHeight="1"/>
    <row r="11209" ht="15.75" customHeight="1"/>
    <row r="11210" ht="15.75" customHeight="1"/>
    <row r="11211" ht="15.75" customHeight="1"/>
    <row r="11212" ht="15.75" customHeight="1"/>
    <row r="11213" ht="15.75" customHeight="1"/>
    <row r="11214" ht="15.75" customHeight="1"/>
    <row r="11215" ht="15.75" customHeight="1"/>
    <row r="11216" ht="15.75" customHeight="1"/>
    <row r="11217" ht="15.75" customHeight="1"/>
    <row r="11218" ht="15.75" customHeight="1"/>
    <row r="11219" ht="15.75" customHeight="1"/>
    <row r="11220" ht="15.75" customHeight="1"/>
    <row r="11221" ht="15.75" customHeight="1"/>
    <row r="11222" ht="15.75" customHeight="1"/>
    <row r="11223" ht="15.75" customHeight="1"/>
    <row r="11224" ht="15.75" customHeight="1"/>
    <row r="11225" ht="15.75" customHeight="1"/>
    <row r="11226" ht="15.75" customHeight="1"/>
    <row r="11227" ht="15.75" customHeight="1"/>
    <row r="11228" ht="15.75" customHeight="1"/>
    <row r="11229" ht="15.75" customHeight="1"/>
    <row r="11230" ht="15.75" customHeight="1"/>
    <row r="11231" ht="15.75" customHeight="1"/>
    <row r="11232" ht="15.75" customHeight="1"/>
    <row r="11233" ht="15.75" customHeight="1"/>
    <row r="11234" ht="15.75" customHeight="1"/>
    <row r="11235" ht="15.75" customHeight="1"/>
    <row r="11236" ht="15.75" customHeight="1"/>
    <row r="11237" ht="15.75" customHeight="1"/>
    <row r="11238" ht="15.75" customHeight="1"/>
    <row r="11239" ht="15.75" customHeight="1"/>
    <row r="11240" ht="15.75" customHeight="1"/>
    <row r="11241" ht="15.75" customHeight="1"/>
    <row r="11242" ht="15.75" customHeight="1"/>
    <row r="11243" ht="15.75" customHeight="1"/>
    <row r="11244" ht="15.75" customHeight="1"/>
    <row r="11245" ht="15.75" customHeight="1"/>
    <row r="11246" ht="15.75" customHeight="1"/>
    <row r="11247" ht="15.75" customHeight="1"/>
    <row r="11248" ht="15.75" customHeight="1"/>
    <row r="11249" ht="15.75" customHeight="1"/>
    <row r="11250" ht="15.75" customHeight="1"/>
    <row r="11251" ht="15.75" customHeight="1"/>
    <row r="11252" ht="15.75" customHeight="1"/>
    <row r="11253" ht="15.75" customHeight="1"/>
    <row r="11254" ht="15.75" customHeight="1"/>
    <row r="11255" ht="15.75" customHeight="1"/>
    <row r="11256" ht="15.75" customHeight="1"/>
    <row r="11257" ht="15.75" customHeight="1"/>
    <row r="11258" ht="15.75" customHeight="1"/>
    <row r="11259" ht="15.75" customHeight="1"/>
    <row r="11260" ht="15.75" customHeight="1"/>
    <row r="11261" ht="15.75" customHeight="1"/>
    <row r="11262" ht="15.75" customHeight="1"/>
    <row r="11263" ht="15.75" customHeight="1"/>
    <row r="11264" ht="15.75" customHeight="1"/>
    <row r="11265" ht="15.75" customHeight="1"/>
    <row r="11266" ht="15.75" customHeight="1"/>
    <row r="11267" ht="15.75" customHeight="1"/>
    <row r="11268" ht="15.75" customHeight="1"/>
    <row r="11269" ht="15.75" customHeight="1"/>
    <row r="11270" ht="15.75" customHeight="1"/>
    <row r="11271" ht="15.75" customHeight="1"/>
    <row r="11272" ht="15.75" customHeight="1"/>
    <row r="11273" ht="15.75" customHeight="1"/>
    <row r="11274" ht="15.75" customHeight="1"/>
    <row r="11275" ht="15.75" customHeight="1"/>
    <row r="11276" ht="15.75" customHeight="1"/>
    <row r="11277" ht="15.75" customHeight="1"/>
    <row r="11278" ht="15.75" customHeight="1"/>
    <row r="11279" ht="15.75" customHeight="1"/>
    <row r="11280" ht="15.75" customHeight="1"/>
    <row r="11281" ht="15.75" customHeight="1"/>
    <row r="11282" ht="15.75" customHeight="1"/>
    <row r="11283" ht="15.75" customHeight="1"/>
    <row r="11284" ht="15.75" customHeight="1"/>
    <row r="11285" ht="15.75" customHeight="1"/>
    <row r="11286" ht="15.75" customHeight="1"/>
    <row r="11287" ht="15.75" customHeight="1"/>
    <row r="11288" ht="15.75" customHeight="1"/>
    <row r="11289" ht="15.75" customHeight="1"/>
    <row r="11290" ht="15.75" customHeight="1"/>
    <row r="11291" ht="15.75" customHeight="1"/>
    <row r="11292" ht="15.75" customHeight="1"/>
    <row r="11293" ht="15.75" customHeight="1"/>
    <row r="11294" ht="15.75" customHeight="1"/>
    <row r="11295" ht="15.75" customHeight="1"/>
    <row r="11296" ht="15.75" customHeight="1"/>
    <row r="11297" ht="15.75" customHeight="1"/>
    <row r="11298" ht="15.75" customHeight="1"/>
    <row r="11299" ht="15.75" customHeight="1"/>
    <row r="11300" ht="15.75" customHeight="1"/>
    <row r="11301" ht="15.75" customHeight="1"/>
    <row r="11302" ht="15.75" customHeight="1"/>
    <row r="11303" ht="15.75" customHeight="1"/>
    <row r="11304" ht="15.75" customHeight="1"/>
    <row r="11305" ht="15.75" customHeight="1"/>
    <row r="11306" ht="15.75" customHeight="1"/>
    <row r="11307" ht="15.75" customHeight="1"/>
    <row r="11308" ht="15.75" customHeight="1"/>
    <row r="11309" ht="15.75" customHeight="1"/>
    <row r="11310" ht="15.75" customHeight="1"/>
    <row r="11311" ht="15.75" customHeight="1"/>
    <row r="11312" ht="15.75" customHeight="1"/>
    <row r="11313" ht="15.75" customHeight="1"/>
    <row r="11314" ht="15.75" customHeight="1"/>
    <row r="11315" ht="15.75" customHeight="1"/>
    <row r="11316" ht="15.75" customHeight="1"/>
    <row r="11317" ht="15.75" customHeight="1"/>
    <row r="11318" ht="15.75" customHeight="1"/>
    <row r="11319" ht="15.75" customHeight="1"/>
    <row r="11320" ht="15.75" customHeight="1"/>
    <row r="11321" ht="15.75" customHeight="1"/>
    <row r="11322" ht="15.75" customHeight="1"/>
    <row r="11323" ht="15.75" customHeight="1"/>
    <row r="11324" ht="15.75" customHeight="1"/>
    <row r="11325" ht="15.75" customHeight="1"/>
    <row r="11326" ht="15.75" customHeight="1"/>
    <row r="11327" ht="15.75" customHeight="1"/>
    <row r="11328" ht="15.75" customHeight="1"/>
    <row r="11329" ht="15.75" customHeight="1"/>
    <row r="11330" ht="15.75" customHeight="1"/>
    <row r="11331" ht="15.75" customHeight="1"/>
    <row r="11332" ht="15.75" customHeight="1"/>
    <row r="11333" ht="15.75" customHeight="1"/>
    <row r="11334" ht="15.75" customHeight="1"/>
    <row r="11335" ht="15.75" customHeight="1"/>
    <row r="11336" ht="15.75" customHeight="1"/>
    <row r="11337" ht="15.75" customHeight="1"/>
    <row r="11338" ht="15.75" customHeight="1"/>
    <row r="11339" ht="15.75" customHeight="1"/>
    <row r="11340" ht="15.75" customHeight="1"/>
    <row r="11341" ht="15.75" customHeight="1"/>
    <row r="11342" ht="15.75" customHeight="1"/>
    <row r="11343" ht="15.75" customHeight="1"/>
    <row r="11344" ht="15.75" customHeight="1"/>
    <row r="11345" ht="15.75" customHeight="1"/>
    <row r="11346" ht="15.75" customHeight="1"/>
    <row r="11347" ht="15.75" customHeight="1"/>
    <row r="11348" ht="15.75" customHeight="1"/>
    <row r="11349" ht="15.75" customHeight="1"/>
    <row r="11350" ht="15.75" customHeight="1"/>
    <row r="11351" ht="15.75" customHeight="1"/>
    <row r="11352" ht="15.75" customHeight="1"/>
    <row r="11353" ht="15.75" customHeight="1"/>
    <row r="11354" ht="15.75" customHeight="1"/>
    <row r="11355" ht="15.75" customHeight="1"/>
    <row r="11356" ht="15.75" customHeight="1"/>
    <row r="11357" ht="15.75" customHeight="1"/>
    <row r="11358" ht="15.75" customHeight="1"/>
    <row r="11359" ht="15.75" customHeight="1"/>
    <row r="11360" ht="15.75" customHeight="1"/>
    <row r="11361" ht="15.75" customHeight="1"/>
    <row r="11362" ht="15.75" customHeight="1"/>
    <row r="11363" ht="15.75" customHeight="1"/>
    <row r="11364" ht="15.75" customHeight="1"/>
    <row r="11365" ht="15.75" customHeight="1"/>
    <row r="11366" ht="15.75" customHeight="1"/>
    <row r="11367" ht="15.75" customHeight="1"/>
    <row r="11368" ht="15.75" customHeight="1"/>
    <row r="11369" ht="15.75" customHeight="1"/>
    <row r="11370" ht="15.75" customHeight="1"/>
    <row r="11371" ht="15.75" customHeight="1"/>
    <row r="11372" ht="15.75" customHeight="1"/>
    <row r="11373" ht="15.75" customHeight="1"/>
    <row r="11374" ht="15.75" customHeight="1"/>
    <row r="11375" ht="15.75" customHeight="1"/>
    <row r="11376" ht="15.75" customHeight="1"/>
    <row r="11377" ht="15.75" customHeight="1"/>
    <row r="11378" ht="15.75" customHeight="1"/>
    <row r="11379" ht="15.75" customHeight="1"/>
    <row r="11380" ht="15.75" customHeight="1"/>
    <row r="11381" ht="15.75" customHeight="1"/>
    <row r="11382" ht="15.75" customHeight="1"/>
    <row r="11383" ht="15.75" customHeight="1"/>
    <row r="11384" ht="15.75" customHeight="1"/>
    <row r="11385" ht="15.75" customHeight="1"/>
    <row r="11386" ht="15.75" customHeight="1"/>
    <row r="11387" ht="15.75" customHeight="1"/>
    <row r="11388" ht="15.75" customHeight="1"/>
    <row r="11389" ht="15.75" customHeight="1"/>
    <row r="11390" ht="15.75" customHeight="1"/>
    <row r="11391" ht="15.75" customHeight="1"/>
    <row r="11392" ht="15.75" customHeight="1"/>
    <row r="11393" ht="15.75" customHeight="1"/>
    <row r="11394" ht="15.75" customHeight="1"/>
    <row r="11395" ht="15.75" customHeight="1"/>
    <row r="11396" ht="15.75" customHeight="1"/>
    <row r="11397" ht="15.75" customHeight="1"/>
    <row r="11398" ht="15.75" customHeight="1"/>
    <row r="11399" ht="15.75" customHeight="1"/>
    <row r="11400" ht="15.75" customHeight="1"/>
    <row r="11401" ht="15.75" customHeight="1"/>
    <row r="11402" ht="15.75" customHeight="1"/>
    <row r="11403" ht="15.75" customHeight="1"/>
    <row r="11404" ht="15.75" customHeight="1"/>
    <row r="11405" ht="15.75" customHeight="1"/>
    <row r="11406" ht="15.75" customHeight="1"/>
    <row r="11407" ht="15.75" customHeight="1"/>
    <row r="11408" ht="15.75" customHeight="1"/>
    <row r="11409" ht="15.75" customHeight="1"/>
    <row r="11410" ht="15.75" customHeight="1"/>
    <row r="11411" ht="15.75" customHeight="1"/>
    <row r="11412" ht="15.75" customHeight="1"/>
    <row r="11413" ht="15.75" customHeight="1"/>
    <row r="11414" ht="15.75" customHeight="1"/>
    <row r="11415" ht="15.75" customHeight="1"/>
    <row r="11416" ht="15.75" customHeight="1"/>
    <row r="11417" ht="15.75" customHeight="1"/>
    <row r="11418" ht="15.75" customHeight="1"/>
    <row r="11419" ht="15.75" customHeight="1"/>
    <row r="11420" ht="15.75" customHeight="1"/>
    <row r="11421" ht="15.75" customHeight="1"/>
    <row r="11422" ht="15.75" customHeight="1"/>
    <row r="11423" ht="15.75" customHeight="1"/>
    <row r="11424" ht="15.75" customHeight="1"/>
    <row r="11425" ht="15.75" customHeight="1"/>
    <row r="11426" ht="15.75" customHeight="1"/>
    <row r="11427" ht="15.75" customHeight="1"/>
    <row r="11428" ht="15.75" customHeight="1"/>
    <row r="11429" ht="15.75" customHeight="1"/>
    <row r="11430" ht="15.75" customHeight="1"/>
    <row r="11431" ht="15.75" customHeight="1"/>
    <row r="11432" ht="15.75" customHeight="1"/>
    <row r="11433" ht="15.75" customHeight="1"/>
    <row r="11434" ht="15.75" customHeight="1"/>
    <row r="11435" ht="15.75" customHeight="1"/>
    <row r="11436" ht="15.75" customHeight="1"/>
    <row r="11437" ht="15.75" customHeight="1"/>
    <row r="11438" ht="15.75" customHeight="1"/>
    <row r="11439" ht="15.75" customHeight="1"/>
    <row r="11440" ht="15.75" customHeight="1"/>
    <row r="11441" ht="15.75" customHeight="1"/>
    <row r="11442" ht="15.75" customHeight="1"/>
    <row r="11443" ht="15.75" customHeight="1"/>
    <row r="11444" ht="15.75" customHeight="1"/>
    <row r="11445" ht="15.75" customHeight="1"/>
    <row r="11446" ht="15.75" customHeight="1"/>
    <row r="11447" ht="15.75" customHeight="1"/>
    <row r="11448" ht="15.75" customHeight="1"/>
    <row r="11449" ht="15.75" customHeight="1"/>
    <row r="11450" ht="15.75" customHeight="1"/>
    <row r="11451" ht="15.75" customHeight="1"/>
    <row r="11452" ht="15.75" customHeight="1"/>
    <row r="11453" ht="15.75" customHeight="1"/>
    <row r="11454" ht="15.75" customHeight="1"/>
    <row r="11455" ht="15.75" customHeight="1"/>
    <row r="11456" ht="15.75" customHeight="1"/>
    <row r="11457" ht="15.75" customHeight="1"/>
    <row r="11458" ht="15.75" customHeight="1"/>
    <row r="11459" ht="15.75" customHeight="1"/>
    <row r="11460" ht="15.75" customHeight="1"/>
    <row r="11461" ht="15.75" customHeight="1"/>
    <row r="11462" ht="15.75" customHeight="1"/>
    <row r="11463" ht="15.75" customHeight="1"/>
    <row r="11464" ht="15.75" customHeight="1"/>
    <row r="11465" ht="15.75" customHeight="1"/>
    <row r="11466" ht="15.75" customHeight="1"/>
    <row r="11467" ht="15.75" customHeight="1"/>
    <row r="11468" ht="15.75" customHeight="1"/>
    <row r="11469" ht="15.75" customHeight="1"/>
    <row r="11470" ht="15.75" customHeight="1"/>
    <row r="11471" ht="15.75" customHeight="1"/>
    <row r="11472" ht="15.75" customHeight="1"/>
    <row r="11473" ht="15.75" customHeight="1"/>
    <row r="11474" ht="15.75" customHeight="1"/>
    <row r="11475" ht="15.75" customHeight="1"/>
    <row r="11476" ht="15.75" customHeight="1"/>
    <row r="11477" ht="15.75" customHeight="1"/>
    <row r="11478" ht="15.75" customHeight="1"/>
    <row r="11479" ht="15.75" customHeight="1"/>
    <row r="11480" ht="15.75" customHeight="1"/>
    <row r="11481" ht="15.75" customHeight="1"/>
    <row r="11482" ht="15.75" customHeight="1"/>
    <row r="11483" ht="15.75" customHeight="1"/>
    <row r="11484" ht="15.75" customHeight="1"/>
    <row r="11485" ht="15.75" customHeight="1"/>
    <row r="11486" ht="15.75" customHeight="1"/>
    <row r="11487" ht="15.75" customHeight="1"/>
    <row r="11488" ht="15.75" customHeight="1"/>
    <row r="11489" ht="15.75" customHeight="1"/>
    <row r="11490" ht="15.75" customHeight="1"/>
    <row r="11491" ht="15.75" customHeight="1"/>
    <row r="11492" ht="15.75" customHeight="1"/>
    <row r="11493" ht="15.75" customHeight="1"/>
    <row r="11494" ht="15.75" customHeight="1"/>
    <row r="11495" ht="15.75" customHeight="1"/>
    <row r="11496" ht="15.75" customHeight="1"/>
    <row r="11497" ht="15.75" customHeight="1"/>
    <row r="11498" ht="15.75" customHeight="1"/>
    <row r="11499" ht="15.75" customHeight="1"/>
    <row r="11500" ht="15.75" customHeight="1"/>
    <row r="11501" ht="15.75" customHeight="1"/>
    <row r="11502" ht="15.75" customHeight="1"/>
    <row r="11503" ht="15.75" customHeight="1"/>
    <row r="11504" ht="15.75" customHeight="1"/>
    <row r="11505" ht="15.75" customHeight="1"/>
    <row r="11506" ht="15.75" customHeight="1"/>
    <row r="11507" ht="15.75" customHeight="1"/>
    <row r="11508" ht="15.75" customHeight="1"/>
    <row r="11509" ht="15.75" customHeight="1"/>
    <row r="11510" ht="15.75" customHeight="1"/>
    <row r="11511" ht="15.75" customHeight="1"/>
    <row r="11512" ht="15.75" customHeight="1"/>
    <row r="11513" ht="15.75" customHeight="1"/>
    <row r="11514" ht="15.75" customHeight="1"/>
    <row r="11515" ht="15.75" customHeight="1"/>
    <row r="11516" ht="15.75" customHeight="1"/>
    <row r="11517" ht="15.75" customHeight="1"/>
    <row r="11518" ht="15.75" customHeight="1"/>
    <row r="11519" ht="15.75" customHeight="1"/>
    <row r="11520" ht="15.75" customHeight="1"/>
    <row r="11521" ht="15.75" customHeight="1"/>
    <row r="11522" ht="15.75" customHeight="1"/>
    <row r="11523" ht="15.75" customHeight="1"/>
    <row r="11524" ht="15.75" customHeight="1"/>
    <row r="11525" ht="15.75" customHeight="1"/>
    <row r="11526" ht="15.75" customHeight="1"/>
    <row r="11527" ht="15.75" customHeight="1"/>
    <row r="11528" ht="15.75" customHeight="1"/>
    <row r="11529" ht="15.75" customHeight="1"/>
    <row r="11530" ht="15.75" customHeight="1"/>
    <row r="11531" ht="15.75" customHeight="1"/>
    <row r="11532" ht="15.75" customHeight="1"/>
    <row r="11533" ht="15.75" customHeight="1"/>
    <row r="11534" ht="15.75" customHeight="1"/>
    <row r="11535" ht="15.75" customHeight="1"/>
    <row r="11536" ht="15.75" customHeight="1"/>
    <row r="11537" ht="15.75" customHeight="1"/>
    <row r="11538" ht="15.75" customHeight="1"/>
    <row r="11539" ht="15.75" customHeight="1"/>
    <row r="11540" ht="15.75" customHeight="1"/>
    <row r="11541" ht="15.75" customHeight="1"/>
    <row r="11542" ht="15.75" customHeight="1"/>
    <row r="11543" ht="15.75" customHeight="1"/>
    <row r="11544" ht="15.75" customHeight="1"/>
    <row r="11545" ht="15.75" customHeight="1"/>
    <row r="11546" ht="15.75" customHeight="1"/>
    <row r="11547" ht="15.75" customHeight="1"/>
    <row r="11548" ht="15.75" customHeight="1"/>
    <row r="11549" ht="15.75" customHeight="1"/>
    <row r="11550" ht="15.75" customHeight="1"/>
    <row r="11551" ht="15.75" customHeight="1"/>
    <row r="11552" ht="15.75" customHeight="1"/>
    <row r="11553" ht="15.75" customHeight="1"/>
    <row r="11554" ht="15.75" customHeight="1"/>
    <row r="11555" ht="15.75" customHeight="1"/>
    <row r="11556" ht="15.75" customHeight="1"/>
    <row r="11557" ht="15.75" customHeight="1"/>
    <row r="11558" ht="15.75" customHeight="1"/>
    <row r="11559" ht="15.75" customHeight="1"/>
    <row r="11560" ht="15.75" customHeight="1"/>
    <row r="11561" ht="15.75" customHeight="1"/>
    <row r="11562" ht="15.75" customHeight="1"/>
    <row r="11563" ht="15.75" customHeight="1"/>
    <row r="11564" ht="15.75" customHeight="1"/>
    <row r="11565" ht="15.75" customHeight="1"/>
    <row r="11566" ht="15.75" customHeight="1"/>
    <row r="11567" ht="15.75" customHeight="1"/>
    <row r="11568" ht="15.75" customHeight="1"/>
    <row r="11569" ht="15.75" customHeight="1"/>
    <row r="11570" ht="15.75" customHeight="1"/>
    <row r="11571" ht="15.75" customHeight="1"/>
    <row r="11572" ht="15.75" customHeight="1"/>
    <row r="11573" ht="15.75" customHeight="1"/>
    <row r="11574" ht="15.75" customHeight="1"/>
    <row r="11575" ht="15.75" customHeight="1"/>
    <row r="11576" ht="15.75" customHeight="1"/>
    <row r="11577" ht="15.75" customHeight="1"/>
    <row r="11578" ht="15.75" customHeight="1"/>
    <row r="11579" ht="15.75" customHeight="1"/>
    <row r="11580" ht="15.75" customHeight="1"/>
    <row r="11581" ht="15.75" customHeight="1"/>
    <row r="11582" ht="15.75" customHeight="1"/>
    <row r="11583" ht="15.75" customHeight="1"/>
    <row r="11584" ht="15.75" customHeight="1"/>
    <row r="11585" ht="15.75" customHeight="1"/>
    <row r="11586" ht="15.75" customHeight="1"/>
    <row r="11587" ht="15.75" customHeight="1"/>
    <row r="11588" ht="15.75" customHeight="1"/>
    <row r="11589" ht="15.75" customHeight="1"/>
    <row r="11590" ht="15.75" customHeight="1"/>
    <row r="11591" ht="15.75" customHeight="1"/>
    <row r="11592" ht="15.75" customHeight="1"/>
    <row r="11593" ht="15.75" customHeight="1"/>
    <row r="11594" ht="15.75" customHeight="1"/>
    <row r="11595" ht="15.75" customHeight="1"/>
    <row r="11596" ht="15.75" customHeight="1"/>
    <row r="11597" ht="15.75" customHeight="1"/>
    <row r="11598" ht="15.75" customHeight="1"/>
    <row r="11599" ht="15.75" customHeight="1"/>
    <row r="11600" ht="15.75" customHeight="1"/>
    <row r="11601" ht="15.75" customHeight="1"/>
    <row r="11602" ht="15.75" customHeight="1"/>
    <row r="11603" ht="15.75" customHeight="1"/>
    <row r="11604" ht="15.75" customHeight="1"/>
    <row r="11605" ht="15.75" customHeight="1"/>
    <row r="11606" ht="15.75" customHeight="1"/>
    <row r="11607" ht="15.75" customHeight="1"/>
    <row r="11608" ht="15.75" customHeight="1"/>
    <row r="11609" ht="15.75" customHeight="1"/>
    <row r="11610" ht="15.75" customHeight="1"/>
    <row r="11611" ht="15.75" customHeight="1"/>
    <row r="11612" ht="15.75" customHeight="1"/>
    <row r="11613" ht="15.75" customHeight="1"/>
    <row r="11614" ht="15.75" customHeight="1"/>
    <row r="11615" ht="15.75" customHeight="1"/>
    <row r="11616" ht="15.75" customHeight="1"/>
    <row r="11617" ht="15.75" customHeight="1"/>
    <row r="11618" ht="15.75" customHeight="1"/>
    <row r="11619" ht="15.75" customHeight="1"/>
    <row r="11620" ht="15.75" customHeight="1"/>
    <row r="11621" ht="15.75" customHeight="1"/>
    <row r="11622" ht="15.75" customHeight="1"/>
    <row r="11623" ht="15.75" customHeight="1"/>
    <row r="11624" ht="15.75" customHeight="1"/>
    <row r="11625" ht="15.75" customHeight="1"/>
    <row r="11626" ht="15.75" customHeight="1"/>
    <row r="11627" ht="15.75" customHeight="1"/>
    <row r="11628" ht="15.75" customHeight="1"/>
    <row r="11629" ht="15.75" customHeight="1"/>
    <row r="11630" ht="15.75" customHeight="1"/>
    <row r="11631" ht="15.75" customHeight="1"/>
    <row r="11632" ht="15.75" customHeight="1"/>
    <row r="11633" ht="15.75" customHeight="1"/>
    <row r="11634" ht="15.75" customHeight="1"/>
    <row r="11635" ht="15.75" customHeight="1"/>
    <row r="11636" ht="15.75" customHeight="1"/>
    <row r="11637" ht="15.75" customHeight="1"/>
    <row r="11638" ht="15.75" customHeight="1"/>
    <row r="11639" ht="15.75" customHeight="1"/>
    <row r="11640" ht="15.75" customHeight="1"/>
    <row r="11641" ht="15.75" customHeight="1"/>
    <row r="11642" ht="15.75" customHeight="1"/>
    <row r="11643" ht="15.75" customHeight="1"/>
    <row r="11644" ht="15.75" customHeight="1"/>
    <row r="11645" ht="15.75" customHeight="1"/>
    <row r="11646" ht="15.75" customHeight="1"/>
    <row r="11647" ht="15.75" customHeight="1"/>
    <row r="11648" ht="15.75" customHeight="1"/>
    <row r="11649" ht="15.75" customHeight="1"/>
    <row r="11650" ht="15.75" customHeight="1"/>
    <row r="11651" ht="15.75" customHeight="1"/>
    <row r="11652" ht="15.75" customHeight="1"/>
    <row r="11653" ht="15.75" customHeight="1"/>
    <row r="11654" ht="15.75" customHeight="1"/>
    <row r="11655" ht="15.75" customHeight="1"/>
    <row r="11656" ht="15.75" customHeight="1"/>
    <row r="11657" ht="15.75" customHeight="1"/>
    <row r="11658" ht="15.75" customHeight="1"/>
    <row r="11659" ht="15.75" customHeight="1"/>
    <row r="11660" ht="15.75" customHeight="1"/>
    <row r="11661" ht="15.75" customHeight="1"/>
    <row r="11662" ht="15.75" customHeight="1"/>
    <row r="11663" ht="15.75" customHeight="1"/>
    <row r="11664" ht="15.75" customHeight="1"/>
    <row r="11665" ht="15.75" customHeight="1"/>
    <row r="11666" ht="15.75" customHeight="1"/>
    <row r="11667" ht="15.75" customHeight="1"/>
    <row r="11668" ht="15.75" customHeight="1"/>
    <row r="11669" ht="15.75" customHeight="1"/>
    <row r="11670" ht="15.75" customHeight="1"/>
    <row r="11671" ht="15.75" customHeight="1"/>
    <row r="11672" ht="15.75" customHeight="1"/>
    <row r="11673" ht="15.75" customHeight="1"/>
    <row r="11674" ht="15.75" customHeight="1"/>
    <row r="11675" ht="15.75" customHeight="1"/>
    <row r="11676" ht="15.75" customHeight="1"/>
    <row r="11677" ht="15.75" customHeight="1"/>
    <row r="11678" ht="15.75" customHeight="1"/>
    <row r="11679" ht="15.75" customHeight="1"/>
    <row r="11680" ht="15.75" customHeight="1"/>
    <row r="11681" ht="15.75" customHeight="1"/>
    <row r="11682" ht="15.75" customHeight="1"/>
    <row r="11683" ht="15.75" customHeight="1"/>
    <row r="11684" ht="15.75" customHeight="1"/>
    <row r="11685" ht="15.75" customHeight="1"/>
    <row r="11686" ht="15.75" customHeight="1"/>
    <row r="11687" ht="15.75" customHeight="1"/>
    <row r="11688" ht="15.75" customHeight="1"/>
    <row r="11689" ht="15.75" customHeight="1"/>
    <row r="11690" ht="15.75" customHeight="1"/>
    <row r="11691" ht="15.75" customHeight="1"/>
    <row r="11692" ht="15.75" customHeight="1"/>
    <row r="11693" ht="15.75" customHeight="1"/>
    <row r="11694" ht="15.75" customHeight="1"/>
    <row r="11695" ht="15.75" customHeight="1"/>
    <row r="11696" ht="15.75" customHeight="1"/>
    <row r="11697" ht="15.75" customHeight="1"/>
    <row r="11698" ht="15.75" customHeight="1"/>
    <row r="11699" ht="15.75" customHeight="1"/>
    <row r="11700" ht="15.75" customHeight="1"/>
    <row r="11701" ht="15.75" customHeight="1"/>
    <row r="11702" ht="15.75" customHeight="1"/>
    <row r="11703" ht="15.75" customHeight="1"/>
    <row r="11704" ht="15.75" customHeight="1"/>
    <row r="11705" ht="15.75" customHeight="1"/>
    <row r="11706" ht="15.75" customHeight="1"/>
    <row r="11707" ht="15.75" customHeight="1"/>
    <row r="11708" ht="15.75" customHeight="1"/>
    <row r="11709" ht="15.75" customHeight="1"/>
    <row r="11710" ht="15.75" customHeight="1"/>
    <row r="11711" ht="15.75" customHeight="1"/>
    <row r="11712" ht="15.75" customHeight="1"/>
    <row r="11713" ht="15.75" customHeight="1"/>
    <row r="11714" ht="15.75" customHeight="1"/>
    <row r="11715" ht="15.75" customHeight="1"/>
    <row r="11716" ht="15.75" customHeight="1"/>
    <row r="11717" ht="15.75" customHeight="1"/>
    <row r="11718" ht="15.75" customHeight="1"/>
    <row r="11719" ht="15.75" customHeight="1"/>
    <row r="11720" ht="15.75" customHeight="1"/>
    <row r="11721" ht="15.75" customHeight="1"/>
    <row r="11722" ht="15.75" customHeight="1"/>
    <row r="11723" ht="15.75" customHeight="1"/>
    <row r="11724" ht="15.75" customHeight="1"/>
    <row r="11725" ht="15.75" customHeight="1"/>
    <row r="11726" ht="15.75" customHeight="1"/>
    <row r="11727" ht="15.75" customHeight="1"/>
    <row r="11728" ht="15.75" customHeight="1"/>
    <row r="11729" ht="15.75" customHeight="1"/>
    <row r="11730" ht="15.75" customHeight="1"/>
    <row r="11731" ht="15.75" customHeight="1"/>
    <row r="11732" ht="15.75" customHeight="1"/>
    <row r="11733" ht="15.75" customHeight="1"/>
    <row r="11734" ht="15.75" customHeight="1"/>
    <row r="11735" ht="15.75" customHeight="1"/>
    <row r="11736" ht="15.75" customHeight="1"/>
    <row r="11737" ht="15.75" customHeight="1"/>
    <row r="11738" ht="15.75" customHeight="1"/>
    <row r="11739" ht="15.75" customHeight="1"/>
    <row r="11740" ht="15.75" customHeight="1"/>
    <row r="11741" ht="15.75" customHeight="1"/>
    <row r="11742" ht="15.75" customHeight="1"/>
    <row r="11743" ht="15.75" customHeight="1"/>
    <row r="11744" ht="15.75" customHeight="1"/>
    <row r="11745" ht="15.75" customHeight="1"/>
    <row r="11746" ht="15.75" customHeight="1"/>
    <row r="11747" ht="15.75" customHeight="1"/>
    <row r="11748" ht="15.75" customHeight="1"/>
    <row r="11749" ht="15.75" customHeight="1"/>
    <row r="11750" ht="15.75" customHeight="1"/>
    <row r="11751" ht="15.75" customHeight="1"/>
    <row r="11752" ht="15.75" customHeight="1"/>
    <row r="11753" ht="15.75" customHeight="1"/>
    <row r="11754" ht="15.75" customHeight="1"/>
    <row r="11755" ht="15.75" customHeight="1"/>
    <row r="11756" ht="15.75" customHeight="1"/>
    <row r="11757" ht="15.75" customHeight="1"/>
    <row r="11758" ht="15.75" customHeight="1"/>
    <row r="11759" ht="15.75" customHeight="1"/>
    <row r="11760" ht="15.75" customHeight="1"/>
    <row r="11761" ht="15.75" customHeight="1"/>
    <row r="11762" ht="15.75" customHeight="1"/>
    <row r="11763" ht="15.75" customHeight="1"/>
    <row r="11764" ht="15.75" customHeight="1"/>
    <row r="11765" ht="15.75" customHeight="1"/>
    <row r="11766" ht="15.75" customHeight="1"/>
    <row r="11767" ht="15.75" customHeight="1"/>
    <row r="11768" ht="15.75" customHeight="1"/>
    <row r="11769" ht="15.75" customHeight="1"/>
    <row r="11770" ht="15.75" customHeight="1"/>
    <row r="11771" ht="15.75" customHeight="1"/>
    <row r="11772" ht="15.75" customHeight="1"/>
    <row r="11773" ht="15.75" customHeight="1"/>
    <row r="11774" ht="15.75" customHeight="1"/>
    <row r="11775" ht="15.75" customHeight="1"/>
    <row r="11776" ht="15.75" customHeight="1"/>
    <row r="11777" ht="15.75" customHeight="1"/>
    <row r="11778" ht="15.75" customHeight="1"/>
    <row r="11779" ht="15.75" customHeight="1"/>
    <row r="11780" ht="15.75" customHeight="1"/>
    <row r="11781" ht="15.75" customHeight="1"/>
    <row r="11782" ht="15.75" customHeight="1"/>
    <row r="11783" ht="15.75" customHeight="1"/>
    <row r="11784" ht="15.75" customHeight="1"/>
    <row r="11785" ht="15.75" customHeight="1"/>
    <row r="11786" ht="15.75" customHeight="1"/>
    <row r="11787" ht="15.75" customHeight="1"/>
    <row r="11788" ht="15.75" customHeight="1"/>
    <row r="11789" ht="15.75" customHeight="1"/>
    <row r="11790" ht="15.75" customHeight="1"/>
    <row r="11791" ht="15.75" customHeight="1"/>
    <row r="11792" ht="15.75" customHeight="1"/>
    <row r="11793" ht="15.75" customHeight="1"/>
    <row r="11794" ht="15.75" customHeight="1"/>
    <row r="11795" ht="15.75" customHeight="1"/>
    <row r="11796" ht="15.75" customHeight="1"/>
    <row r="11797" ht="15.75" customHeight="1"/>
    <row r="11798" ht="15.75" customHeight="1"/>
    <row r="11799" ht="15.75" customHeight="1"/>
    <row r="11800" ht="15.75" customHeight="1"/>
    <row r="11801" ht="15.75" customHeight="1"/>
    <row r="11802" ht="15.75" customHeight="1"/>
    <row r="11803" ht="15.75" customHeight="1"/>
    <row r="11804" ht="15.75" customHeight="1"/>
    <row r="11805" ht="15.75" customHeight="1"/>
    <row r="11806" ht="15.75" customHeight="1"/>
    <row r="11807" ht="15.75" customHeight="1"/>
    <row r="11808" ht="15.75" customHeight="1"/>
    <row r="11809" ht="15.75" customHeight="1"/>
    <row r="11810" ht="15.75" customHeight="1"/>
    <row r="11811" ht="15.75" customHeight="1"/>
    <row r="11812" ht="15.75" customHeight="1"/>
    <row r="11813" ht="15.75" customHeight="1"/>
    <row r="11814" ht="15.75" customHeight="1"/>
    <row r="11815" ht="15.75" customHeight="1"/>
    <row r="11816" ht="15.75" customHeight="1"/>
    <row r="11817" ht="15.75" customHeight="1"/>
    <row r="11818" ht="15.75" customHeight="1"/>
    <row r="11819" ht="15.75" customHeight="1"/>
    <row r="11820" ht="15.75" customHeight="1"/>
    <row r="11821" ht="15.75" customHeight="1"/>
    <row r="11822" ht="15.75" customHeight="1"/>
    <row r="11823" ht="15.75" customHeight="1"/>
    <row r="11824" ht="15.75" customHeight="1"/>
    <row r="11825" ht="15.75" customHeight="1"/>
    <row r="11826" ht="15.75" customHeight="1"/>
    <row r="11827" ht="15.75" customHeight="1"/>
    <row r="11828" ht="15.75" customHeight="1"/>
    <row r="11829" ht="15.75" customHeight="1"/>
    <row r="11830" ht="15.75" customHeight="1"/>
    <row r="11831" ht="15.75" customHeight="1"/>
    <row r="11832" ht="15.75" customHeight="1"/>
    <row r="11833" ht="15.75" customHeight="1"/>
    <row r="11834" ht="15.75" customHeight="1"/>
    <row r="11835" ht="15.75" customHeight="1"/>
    <row r="11836" ht="15.75" customHeight="1"/>
    <row r="11837" ht="15.75" customHeight="1"/>
    <row r="11838" ht="15.75" customHeight="1"/>
    <row r="11839" ht="15.75" customHeight="1"/>
    <row r="11840" ht="15.75" customHeight="1"/>
    <row r="11841" ht="15.75" customHeight="1"/>
    <row r="11842" ht="15.75" customHeight="1"/>
    <row r="11843" ht="15.75" customHeight="1"/>
    <row r="11844" ht="15.75" customHeight="1"/>
    <row r="11845" ht="15.75" customHeight="1"/>
    <row r="11846" ht="15.75" customHeight="1"/>
    <row r="11847" ht="15.75" customHeight="1"/>
    <row r="11848" ht="15.75" customHeight="1"/>
    <row r="11849" ht="15.75" customHeight="1"/>
    <row r="11850" ht="15.75" customHeight="1"/>
    <row r="11851" ht="15.75" customHeight="1"/>
    <row r="11852" ht="15.75" customHeight="1"/>
    <row r="11853" ht="15.75" customHeight="1"/>
    <row r="11854" ht="15.75" customHeight="1"/>
    <row r="11855" ht="15.75" customHeight="1"/>
    <row r="11856" ht="15.75" customHeight="1"/>
    <row r="11857" ht="15.75" customHeight="1"/>
    <row r="11858" ht="15.75" customHeight="1"/>
    <row r="11859" ht="15.75" customHeight="1"/>
    <row r="11860" ht="15.75" customHeight="1"/>
    <row r="11861" ht="15.75" customHeight="1"/>
    <row r="11862" ht="15.75" customHeight="1"/>
    <row r="11863" ht="15.75" customHeight="1"/>
    <row r="11864" ht="15.75" customHeight="1"/>
    <row r="11865" ht="15.75" customHeight="1"/>
    <row r="11866" ht="15.75" customHeight="1"/>
    <row r="11867" ht="15.75" customHeight="1"/>
    <row r="11868" ht="15.75" customHeight="1"/>
    <row r="11869" ht="15.75" customHeight="1"/>
    <row r="11870" ht="15.75" customHeight="1"/>
    <row r="11871" ht="15.75" customHeight="1"/>
    <row r="11872" ht="15.75" customHeight="1"/>
    <row r="11873" ht="15.75" customHeight="1"/>
    <row r="11874" ht="15.75" customHeight="1"/>
    <row r="11875" ht="15.75" customHeight="1"/>
    <row r="11876" ht="15.75" customHeight="1"/>
    <row r="11877" ht="15.75" customHeight="1"/>
    <row r="11878" ht="15.75" customHeight="1"/>
    <row r="11879" ht="15.75" customHeight="1"/>
    <row r="11880" ht="15.75" customHeight="1"/>
    <row r="11881" ht="15.75" customHeight="1"/>
    <row r="11882" ht="15.75" customHeight="1"/>
    <row r="11883" ht="15.75" customHeight="1"/>
    <row r="11884" ht="15.75" customHeight="1"/>
    <row r="11885" ht="15.75" customHeight="1"/>
    <row r="11886" ht="15.75" customHeight="1"/>
    <row r="11887" ht="15.75" customHeight="1"/>
    <row r="11888" ht="15.75" customHeight="1"/>
    <row r="11889" ht="15.75" customHeight="1"/>
    <row r="11890" ht="15.75" customHeight="1"/>
    <row r="11891" ht="15.75" customHeight="1"/>
    <row r="11892" ht="15.75" customHeight="1"/>
    <row r="11893" ht="15.75" customHeight="1"/>
    <row r="11894" ht="15.75" customHeight="1"/>
    <row r="11895" ht="15.75" customHeight="1"/>
    <row r="11896" ht="15.75" customHeight="1"/>
    <row r="11897" ht="15.75" customHeight="1"/>
    <row r="11898" ht="15.75" customHeight="1"/>
    <row r="11899" ht="15.75" customHeight="1"/>
    <row r="11900" ht="15.75" customHeight="1"/>
    <row r="11901" ht="15.75" customHeight="1"/>
    <row r="11902" ht="15.75" customHeight="1"/>
    <row r="11903" ht="15.75" customHeight="1"/>
    <row r="11904" ht="15.75" customHeight="1"/>
    <row r="11905" ht="15.75" customHeight="1"/>
    <row r="11906" ht="15.75" customHeight="1"/>
    <row r="11907" ht="15.75" customHeight="1"/>
    <row r="11908" ht="15.75" customHeight="1"/>
    <row r="11909" ht="15.75" customHeight="1"/>
    <row r="11910" ht="15.75" customHeight="1"/>
    <row r="11911" ht="15.75" customHeight="1"/>
    <row r="11912" ht="15.75" customHeight="1"/>
    <row r="11913" ht="15.75" customHeight="1"/>
    <row r="11914" ht="15.75" customHeight="1"/>
    <row r="11915" ht="15.75" customHeight="1"/>
    <row r="11916" ht="15.75" customHeight="1"/>
    <row r="11917" ht="15.75" customHeight="1"/>
    <row r="11918" ht="15.75" customHeight="1"/>
    <row r="11919" ht="15.75" customHeight="1"/>
    <row r="11920" ht="15.75" customHeight="1"/>
    <row r="11921" ht="15.75" customHeight="1"/>
    <row r="11922" ht="15.75" customHeight="1"/>
    <row r="11923" ht="15.75" customHeight="1"/>
    <row r="11924" ht="15.75" customHeight="1"/>
    <row r="11925" ht="15.75" customHeight="1"/>
    <row r="11926" ht="15.75" customHeight="1"/>
    <row r="11927" ht="15.75" customHeight="1"/>
    <row r="11928" ht="15.75" customHeight="1"/>
    <row r="11929" ht="15.75" customHeight="1"/>
    <row r="11930" ht="15.75" customHeight="1"/>
    <row r="11931" ht="15.75" customHeight="1"/>
    <row r="11932" ht="15.75" customHeight="1"/>
    <row r="11933" ht="15.75" customHeight="1"/>
    <row r="11934" ht="15.75" customHeight="1"/>
    <row r="11935" ht="15.75" customHeight="1"/>
    <row r="11936" ht="15.75" customHeight="1"/>
    <row r="11937" ht="15.75" customHeight="1"/>
    <row r="11938" ht="15.75" customHeight="1"/>
    <row r="11939" ht="15.75" customHeight="1"/>
    <row r="11940" ht="15.75" customHeight="1"/>
    <row r="11941" ht="15.75" customHeight="1"/>
    <row r="11942" ht="15.75" customHeight="1"/>
    <row r="11943" ht="15.75" customHeight="1"/>
    <row r="11944" ht="15.75" customHeight="1"/>
    <row r="11945" ht="15.75" customHeight="1"/>
    <row r="11946" ht="15.75" customHeight="1"/>
    <row r="11947" ht="15.75" customHeight="1"/>
    <row r="11948" ht="15.75" customHeight="1"/>
    <row r="11949" ht="15.75" customHeight="1"/>
    <row r="11950" ht="15.75" customHeight="1"/>
    <row r="11951" ht="15.75" customHeight="1"/>
    <row r="11952" ht="15.75" customHeight="1"/>
    <row r="11953" ht="15.75" customHeight="1"/>
    <row r="11954" ht="15.75" customHeight="1"/>
    <row r="11955" ht="15.75" customHeight="1"/>
    <row r="11956" ht="15.75" customHeight="1"/>
    <row r="11957" ht="15.75" customHeight="1"/>
    <row r="11958" ht="15.75" customHeight="1"/>
    <row r="11959" ht="15.75" customHeight="1"/>
    <row r="11960" ht="15.75" customHeight="1"/>
    <row r="11961" ht="15.75" customHeight="1"/>
    <row r="11962" ht="15.75" customHeight="1"/>
    <row r="11963" ht="15.75" customHeight="1"/>
    <row r="11964" ht="15.75" customHeight="1"/>
    <row r="11965" ht="15.75" customHeight="1"/>
    <row r="11966" ht="15.75" customHeight="1"/>
    <row r="11967" ht="15.75" customHeight="1"/>
    <row r="11968" ht="15.75" customHeight="1"/>
    <row r="11969" ht="15.75" customHeight="1"/>
    <row r="11970" ht="15.75" customHeight="1"/>
    <row r="11971" ht="15.75" customHeight="1"/>
    <row r="11972" ht="15.75" customHeight="1"/>
    <row r="11973" ht="15.75" customHeight="1"/>
    <row r="11974" ht="15.75" customHeight="1"/>
    <row r="11975" ht="15.75" customHeight="1"/>
    <row r="11976" ht="15.75" customHeight="1"/>
    <row r="11977" ht="15.75" customHeight="1"/>
    <row r="11978" ht="15.75" customHeight="1"/>
    <row r="11979" ht="15.75" customHeight="1"/>
    <row r="11980" ht="15.75" customHeight="1"/>
    <row r="11981" ht="15.75" customHeight="1"/>
    <row r="11982" ht="15.75" customHeight="1"/>
    <row r="11983" ht="15.75" customHeight="1"/>
    <row r="11984" ht="15.75" customHeight="1"/>
    <row r="11985" ht="15.75" customHeight="1"/>
    <row r="11986" ht="15.75" customHeight="1"/>
    <row r="11987" ht="15.75" customHeight="1"/>
    <row r="11988" ht="15.75" customHeight="1"/>
    <row r="11989" ht="15.75" customHeight="1"/>
    <row r="11990" ht="15.75" customHeight="1"/>
    <row r="11991" ht="15.75" customHeight="1"/>
    <row r="11992" ht="15.75" customHeight="1"/>
    <row r="11993" ht="15.75" customHeight="1"/>
    <row r="11994" ht="15.75" customHeight="1"/>
    <row r="11995" ht="15.75" customHeight="1"/>
    <row r="11996" ht="15.75" customHeight="1"/>
    <row r="11997" ht="15.75" customHeight="1"/>
    <row r="11998" ht="15.75" customHeight="1"/>
    <row r="11999" ht="15.75" customHeight="1"/>
    <row r="12000" ht="15.75" customHeight="1"/>
    <row r="12001" ht="15.75" customHeight="1"/>
    <row r="12002" ht="15.75" customHeight="1"/>
    <row r="12003" ht="15.75" customHeight="1"/>
    <row r="12004" ht="15.75" customHeight="1"/>
    <row r="12005" ht="15.75" customHeight="1"/>
    <row r="12006" ht="15.75" customHeight="1"/>
    <row r="12007" ht="15.75" customHeight="1"/>
    <row r="12008" ht="15.75" customHeight="1"/>
    <row r="12009" ht="15.75" customHeight="1"/>
    <row r="12010" ht="15.75" customHeight="1"/>
    <row r="12011" ht="15.75" customHeight="1"/>
    <row r="12012" ht="15.75" customHeight="1"/>
    <row r="12013" ht="15.75" customHeight="1"/>
    <row r="12014" ht="15.75" customHeight="1"/>
    <row r="12015" ht="15.75" customHeight="1"/>
    <row r="12016" ht="15.75" customHeight="1"/>
    <row r="12017" ht="15.75" customHeight="1"/>
    <row r="12018" ht="15.75" customHeight="1"/>
    <row r="12019" ht="15.75" customHeight="1"/>
    <row r="12020" ht="15.75" customHeight="1"/>
    <row r="12021" ht="15.75" customHeight="1"/>
    <row r="12022" ht="15.75" customHeight="1"/>
    <row r="12023" ht="15.75" customHeight="1"/>
    <row r="12024" ht="15.75" customHeight="1"/>
    <row r="12025" ht="15.75" customHeight="1"/>
    <row r="12026" ht="15.75" customHeight="1"/>
    <row r="12027" ht="15.75" customHeight="1"/>
    <row r="12028" ht="15.75" customHeight="1"/>
    <row r="12029" ht="15.75" customHeight="1"/>
    <row r="12030" ht="15.75" customHeight="1"/>
    <row r="12031" ht="15.75" customHeight="1"/>
    <row r="12032" ht="15.75" customHeight="1"/>
    <row r="12033" ht="15.75" customHeight="1"/>
    <row r="12034" ht="15.75" customHeight="1"/>
    <row r="12035" ht="15.75" customHeight="1"/>
    <row r="12036" ht="15.75" customHeight="1"/>
    <row r="12037" ht="15.75" customHeight="1"/>
    <row r="12038" ht="15.75" customHeight="1"/>
    <row r="12039" ht="15.75" customHeight="1"/>
    <row r="12040" ht="15.75" customHeight="1"/>
    <row r="12041" ht="15.75" customHeight="1"/>
    <row r="12042" ht="15.75" customHeight="1"/>
    <row r="12043" ht="15.75" customHeight="1"/>
    <row r="12044" ht="15.75" customHeight="1"/>
    <row r="12045" ht="15.75" customHeight="1"/>
    <row r="12046" ht="15.75" customHeight="1"/>
    <row r="12047" ht="15.75" customHeight="1"/>
    <row r="12048" ht="15.75" customHeight="1"/>
    <row r="12049" ht="15.75" customHeight="1"/>
    <row r="12050" ht="15.75" customHeight="1"/>
    <row r="12051" ht="15.75" customHeight="1"/>
    <row r="12052" ht="15.75" customHeight="1"/>
    <row r="12053" ht="15.75" customHeight="1"/>
    <row r="12054" ht="15.75" customHeight="1"/>
    <row r="12055" ht="15.75" customHeight="1"/>
    <row r="12056" ht="15.75" customHeight="1"/>
    <row r="12057" ht="15.75" customHeight="1"/>
    <row r="12058" ht="15.75" customHeight="1"/>
    <row r="12059" ht="15.75" customHeight="1"/>
    <row r="12060" ht="15.75" customHeight="1"/>
    <row r="12061" ht="15.75" customHeight="1"/>
    <row r="12062" ht="15.75" customHeight="1"/>
    <row r="12063" ht="15.75" customHeight="1"/>
    <row r="12064" ht="15.75" customHeight="1"/>
    <row r="12065" ht="15.75" customHeight="1"/>
    <row r="12066" ht="15.75" customHeight="1"/>
    <row r="12067" ht="15.75" customHeight="1"/>
    <row r="12068" ht="15.75" customHeight="1"/>
    <row r="12069" ht="15.75" customHeight="1"/>
    <row r="12070" ht="15.75" customHeight="1"/>
    <row r="12071" ht="15.75" customHeight="1"/>
    <row r="12072" ht="15.75" customHeight="1"/>
    <row r="12073" ht="15.75" customHeight="1"/>
    <row r="12074" ht="15.75" customHeight="1"/>
    <row r="12075" ht="15.75" customHeight="1"/>
    <row r="12076" ht="15.75" customHeight="1"/>
    <row r="12077" ht="15.75" customHeight="1"/>
    <row r="12078" ht="15.75" customHeight="1"/>
    <row r="12079" ht="15.75" customHeight="1"/>
    <row r="12080" ht="15.75" customHeight="1"/>
    <row r="12081" ht="15.75" customHeight="1"/>
    <row r="12082" ht="15.75" customHeight="1"/>
    <row r="12083" ht="15.75" customHeight="1"/>
    <row r="12084" ht="15.75" customHeight="1"/>
    <row r="12085" ht="15.75" customHeight="1"/>
    <row r="12086" ht="15.75" customHeight="1"/>
    <row r="12087" ht="15.75" customHeight="1"/>
    <row r="12088" ht="15.75" customHeight="1"/>
    <row r="12089" ht="15.75" customHeight="1"/>
    <row r="12090" ht="15.75" customHeight="1"/>
    <row r="12091" ht="15.75" customHeight="1"/>
    <row r="12092" ht="15.75" customHeight="1"/>
    <row r="12093" ht="15.75" customHeight="1"/>
    <row r="12094" ht="15.75" customHeight="1"/>
    <row r="12095" ht="15.75" customHeight="1"/>
    <row r="12096" ht="15.75" customHeight="1"/>
    <row r="12097" ht="15.75" customHeight="1"/>
    <row r="12098" ht="15.75" customHeight="1"/>
    <row r="12099" ht="15.75" customHeight="1"/>
    <row r="12100" ht="15.75" customHeight="1"/>
    <row r="12101" ht="15.75" customHeight="1"/>
    <row r="12102" ht="15.75" customHeight="1"/>
    <row r="12103" ht="15.75" customHeight="1"/>
    <row r="12104" ht="15.75" customHeight="1"/>
    <row r="12105" ht="15.75" customHeight="1"/>
    <row r="12106" ht="15.75" customHeight="1"/>
    <row r="12107" ht="15.75" customHeight="1"/>
    <row r="12108" ht="15.75" customHeight="1"/>
    <row r="12109" ht="15.75" customHeight="1"/>
    <row r="12110" ht="15.75" customHeight="1"/>
    <row r="12111" ht="15.75" customHeight="1"/>
    <row r="12112" ht="15.75" customHeight="1"/>
    <row r="12113" ht="15.75" customHeight="1"/>
    <row r="12114" ht="15.75" customHeight="1"/>
    <row r="12115" ht="15.75" customHeight="1"/>
    <row r="12116" ht="15.75" customHeight="1"/>
    <row r="12117" ht="15.75" customHeight="1"/>
    <row r="12118" ht="15.75" customHeight="1"/>
    <row r="12119" ht="15.75" customHeight="1"/>
    <row r="12120" ht="15.75" customHeight="1"/>
    <row r="12121" ht="15.75" customHeight="1"/>
    <row r="12122" ht="15.75" customHeight="1"/>
    <row r="12123" ht="15.75" customHeight="1"/>
    <row r="12124" ht="15.75" customHeight="1"/>
    <row r="12125" ht="15.75" customHeight="1"/>
    <row r="12126" ht="15.75" customHeight="1"/>
    <row r="12127" ht="15.75" customHeight="1"/>
    <row r="12128" ht="15.75" customHeight="1"/>
    <row r="12129" ht="15.75" customHeight="1"/>
    <row r="12130" ht="15.75" customHeight="1"/>
    <row r="12131" ht="15.75" customHeight="1"/>
    <row r="12132" ht="15.75" customHeight="1"/>
    <row r="12133" ht="15.75" customHeight="1"/>
    <row r="12134" ht="15.75" customHeight="1"/>
    <row r="12135" ht="15.75" customHeight="1"/>
    <row r="12136" ht="15.75" customHeight="1"/>
    <row r="12137" ht="15.75" customHeight="1"/>
    <row r="12138" ht="15.75" customHeight="1"/>
    <row r="12139" ht="15.75" customHeight="1"/>
    <row r="12140" ht="15.75" customHeight="1"/>
    <row r="12141" ht="15.75" customHeight="1"/>
    <row r="12142" ht="15.75" customHeight="1"/>
    <row r="12143" ht="15.75" customHeight="1"/>
    <row r="12144" ht="15.75" customHeight="1"/>
    <row r="12145" ht="15.75" customHeight="1"/>
    <row r="12146" ht="15.75" customHeight="1"/>
    <row r="12147" ht="15.75" customHeight="1"/>
    <row r="12148" ht="15.75" customHeight="1"/>
    <row r="12149" ht="15.75" customHeight="1"/>
    <row r="12150" ht="15.75" customHeight="1"/>
    <row r="12151" ht="15.75" customHeight="1"/>
    <row r="12152" ht="15.75" customHeight="1"/>
    <row r="12153" ht="15.75" customHeight="1"/>
    <row r="12154" ht="15.75" customHeight="1"/>
    <row r="12155" ht="15.75" customHeight="1"/>
    <row r="12156" ht="15.75" customHeight="1"/>
    <row r="12157" ht="15.75" customHeight="1"/>
    <row r="12158" ht="15.75" customHeight="1"/>
    <row r="12159" ht="15.75" customHeight="1"/>
    <row r="12160" ht="15.75" customHeight="1"/>
    <row r="12161" ht="15.75" customHeight="1"/>
    <row r="12162" ht="15.75" customHeight="1"/>
    <row r="12163" ht="15.75" customHeight="1"/>
    <row r="12164" ht="15.75" customHeight="1"/>
    <row r="12165" ht="15.75" customHeight="1"/>
    <row r="12166" ht="15.75" customHeight="1"/>
    <row r="12167" ht="15.75" customHeight="1"/>
    <row r="12168" ht="15.75" customHeight="1"/>
    <row r="12169" ht="15.75" customHeight="1"/>
    <row r="12170" ht="15.75" customHeight="1"/>
    <row r="12171" ht="15.75" customHeight="1"/>
    <row r="12172" ht="15.75" customHeight="1"/>
    <row r="12173" ht="15.75" customHeight="1"/>
    <row r="12174" ht="15.75" customHeight="1"/>
    <row r="12175" ht="15.75" customHeight="1"/>
    <row r="12176" ht="15.75" customHeight="1"/>
    <row r="12177" ht="15.75" customHeight="1"/>
    <row r="12178" ht="15.75" customHeight="1"/>
    <row r="12179" ht="15.75" customHeight="1"/>
    <row r="12180" ht="15.75" customHeight="1"/>
    <row r="12181" ht="15.75" customHeight="1"/>
    <row r="12182" ht="15.75" customHeight="1"/>
    <row r="12183" ht="15.75" customHeight="1"/>
    <row r="12184" ht="15.75" customHeight="1"/>
    <row r="12185" ht="15.75" customHeight="1"/>
    <row r="12186" ht="15.75" customHeight="1"/>
    <row r="12187" ht="15.75" customHeight="1"/>
    <row r="12188" ht="15.75" customHeight="1"/>
    <row r="12189" ht="15.75" customHeight="1"/>
    <row r="12190" ht="15.75" customHeight="1"/>
    <row r="12191" ht="15.75" customHeight="1"/>
    <row r="12192" ht="15.75" customHeight="1"/>
    <row r="12193" ht="15.75" customHeight="1"/>
    <row r="12194" ht="15.75" customHeight="1"/>
    <row r="12195" ht="15.75" customHeight="1"/>
    <row r="12196" ht="15.75" customHeight="1"/>
    <row r="12197" ht="15.75" customHeight="1"/>
    <row r="12198" ht="15.75" customHeight="1"/>
    <row r="12199" ht="15.75" customHeight="1"/>
    <row r="12200" ht="15.75" customHeight="1"/>
    <row r="12201" ht="15.75" customHeight="1"/>
    <row r="12202" ht="15.75" customHeight="1"/>
    <row r="12203" ht="15.75" customHeight="1"/>
    <row r="12204" ht="15.75" customHeight="1"/>
    <row r="12205" ht="15.75" customHeight="1"/>
    <row r="12206" ht="15.75" customHeight="1"/>
    <row r="12207" ht="15.75" customHeight="1"/>
    <row r="12208" ht="15.75" customHeight="1"/>
    <row r="12209" ht="15.75" customHeight="1"/>
    <row r="12210" ht="15.75" customHeight="1"/>
    <row r="12211" ht="15.75" customHeight="1"/>
    <row r="12212" ht="15.75" customHeight="1"/>
    <row r="12213" ht="15.75" customHeight="1"/>
    <row r="12214" ht="15.75" customHeight="1"/>
    <row r="12215" ht="15.75" customHeight="1"/>
    <row r="12216" ht="15.75" customHeight="1"/>
    <row r="12217" ht="15.75" customHeight="1"/>
    <row r="12218" ht="15.75" customHeight="1"/>
    <row r="12219" ht="15.75" customHeight="1"/>
    <row r="12220" ht="15.75" customHeight="1"/>
    <row r="12221" ht="15.75" customHeight="1"/>
    <row r="12222" ht="15.75" customHeight="1"/>
    <row r="12223" ht="15.75" customHeight="1"/>
    <row r="12224" ht="15.75" customHeight="1"/>
    <row r="12225" ht="15.75" customHeight="1"/>
    <row r="12226" ht="15.75" customHeight="1"/>
    <row r="12227" ht="15.75" customHeight="1"/>
    <row r="12228" ht="15.75" customHeight="1"/>
    <row r="12229" ht="15.75" customHeight="1"/>
    <row r="12230" ht="15.75" customHeight="1"/>
    <row r="12231" ht="15.75" customHeight="1"/>
    <row r="12232" ht="15.75" customHeight="1"/>
    <row r="12233" ht="15.75" customHeight="1"/>
    <row r="12234" ht="15.75" customHeight="1"/>
    <row r="12235" ht="15.75" customHeight="1"/>
    <row r="12236" ht="15.75" customHeight="1"/>
    <row r="12237" ht="15.75" customHeight="1"/>
    <row r="12238" ht="15.75" customHeight="1"/>
    <row r="12239" ht="15.75" customHeight="1"/>
    <row r="12240" ht="15.75" customHeight="1"/>
    <row r="12241" ht="15.75" customHeight="1"/>
    <row r="12242" ht="15.75" customHeight="1"/>
    <row r="12243" ht="15.75" customHeight="1"/>
    <row r="12244" ht="15.75" customHeight="1"/>
    <row r="12245" ht="15.75" customHeight="1"/>
    <row r="12246" ht="15.75" customHeight="1"/>
    <row r="12247" ht="15.75" customHeight="1"/>
    <row r="12248" ht="15.75" customHeight="1"/>
    <row r="12249" ht="15.75" customHeight="1"/>
    <row r="12250" ht="15.75" customHeight="1"/>
    <row r="12251" ht="15.75" customHeight="1"/>
    <row r="12252" ht="15.75" customHeight="1"/>
    <row r="12253" ht="15.75" customHeight="1"/>
    <row r="12254" ht="15.75" customHeight="1"/>
    <row r="12255" ht="15.75" customHeight="1"/>
    <row r="12256" ht="15.75" customHeight="1"/>
    <row r="12257" ht="15.75" customHeight="1"/>
    <row r="12258" ht="15.75" customHeight="1"/>
    <row r="12259" ht="15.75" customHeight="1"/>
    <row r="12260" ht="15.75" customHeight="1"/>
    <row r="12261" ht="15.75" customHeight="1"/>
    <row r="12262" ht="15.75" customHeight="1"/>
    <row r="12263" ht="15.75" customHeight="1"/>
    <row r="12264" ht="15.75" customHeight="1"/>
    <row r="12265" ht="15.75" customHeight="1"/>
    <row r="12266" ht="15.75" customHeight="1"/>
    <row r="12267" ht="15.75" customHeight="1"/>
    <row r="12268" ht="15.75" customHeight="1"/>
    <row r="12269" ht="15.75" customHeight="1"/>
    <row r="12270" ht="15.75" customHeight="1"/>
    <row r="12271" ht="15.75" customHeight="1"/>
    <row r="12272" ht="15.75" customHeight="1"/>
    <row r="12273" ht="15.75" customHeight="1"/>
    <row r="12274" ht="15.75" customHeight="1"/>
    <row r="12275" ht="15.75" customHeight="1"/>
    <row r="12276" ht="15.75" customHeight="1"/>
    <row r="12277" ht="15.75" customHeight="1"/>
    <row r="12278" ht="15.75" customHeight="1"/>
    <row r="12279" ht="15.75" customHeight="1"/>
    <row r="12280" ht="15.75" customHeight="1"/>
    <row r="12281" ht="15.75" customHeight="1"/>
    <row r="12282" ht="15.75" customHeight="1"/>
    <row r="12283" ht="15.75" customHeight="1"/>
    <row r="12284" ht="15.75" customHeight="1"/>
    <row r="12285" ht="15.75" customHeight="1"/>
    <row r="12286" ht="15.75" customHeight="1"/>
    <row r="12287" ht="15.75" customHeight="1"/>
    <row r="12288" ht="15.75" customHeight="1"/>
    <row r="12289" ht="15.75" customHeight="1"/>
    <row r="12290" ht="15.75" customHeight="1"/>
    <row r="12291" ht="15.75" customHeight="1"/>
    <row r="12292" ht="15.75" customHeight="1"/>
    <row r="12293" ht="15.75" customHeight="1"/>
    <row r="12294" ht="15.75" customHeight="1"/>
    <row r="12295" ht="15.75" customHeight="1"/>
    <row r="12296" ht="15.75" customHeight="1"/>
    <row r="12297" ht="15.75" customHeight="1"/>
    <row r="12298" ht="15.75" customHeight="1"/>
    <row r="12299" ht="15.75" customHeight="1"/>
    <row r="12300" ht="15.75" customHeight="1"/>
    <row r="12301" ht="15.75" customHeight="1"/>
    <row r="12302" ht="15.75" customHeight="1"/>
    <row r="12303" ht="15.75" customHeight="1"/>
    <row r="12304" ht="15.75" customHeight="1"/>
    <row r="12305" ht="15.75" customHeight="1"/>
    <row r="12306" ht="15.75" customHeight="1"/>
    <row r="12307" ht="15.75" customHeight="1"/>
    <row r="12308" ht="15.75" customHeight="1"/>
    <row r="12309" ht="15.75" customHeight="1"/>
    <row r="12310" ht="15.75" customHeight="1"/>
    <row r="12311" ht="15.75" customHeight="1"/>
    <row r="12312" ht="15.75" customHeight="1"/>
    <row r="12313" ht="15.75" customHeight="1"/>
    <row r="12314" ht="15.75" customHeight="1"/>
    <row r="12315" ht="15.75" customHeight="1"/>
    <row r="12316" ht="15.75" customHeight="1"/>
    <row r="12317" ht="15.75" customHeight="1"/>
    <row r="12318" ht="15.75" customHeight="1"/>
    <row r="12319" ht="15.75" customHeight="1"/>
    <row r="12320" ht="15.75" customHeight="1"/>
    <row r="12321" ht="15.75" customHeight="1"/>
    <row r="12322" ht="15.75" customHeight="1"/>
    <row r="12323" ht="15.75" customHeight="1"/>
    <row r="12324" ht="15.75" customHeight="1"/>
    <row r="12325" ht="15.75" customHeight="1"/>
    <row r="12326" ht="15.75" customHeight="1"/>
    <row r="12327" ht="15.75" customHeight="1"/>
    <row r="12328" ht="15.75" customHeight="1"/>
    <row r="12329" ht="15.75" customHeight="1"/>
    <row r="12330" ht="15.75" customHeight="1"/>
    <row r="12331" ht="15.75" customHeight="1"/>
    <row r="12332" ht="15.75" customHeight="1"/>
    <row r="12333" ht="15.75" customHeight="1"/>
    <row r="12334" ht="15.75" customHeight="1"/>
    <row r="12335" ht="15.75" customHeight="1"/>
    <row r="12336" ht="15.75" customHeight="1"/>
    <row r="12337" ht="15.75" customHeight="1"/>
    <row r="12338" ht="15.75" customHeight="1"/>
    <row r="12339" ht="15.75" customHeight="1"/>
    <row r="12340" ht="15.75" customHeight="1"/>
    <row r="12341" ht="15.75" customHeight="1"/>
    <row r="12342" ht="15.75" customHeight="1"/>
    <row r="12343" ht="15.75" customHeight="1"/>
    <row r="12344" ht="15.75" customHeight="1"/>
    <row r="12345" ht="15.75" customHeight="1"/>
    <row r="12346" ht="15.75" customHeight="1"/>
    <row r="12347" ht="15.75" customHeight="1"/>
    <row r="12348" ht="15.75" customHeight="1"/>
    <row r="12349" ht="15.75" customHeight="1"/>
    <row r="12350" ht="15.75" customHeight="1"/>
    <row r="12351" ht="15.75" customHeight="1"/>
    <row r="12352" ht="15.75" customHeight="1"/>
    <row r="12353" ht="15.75" customHeight="1"/>
    <row r="12354" ht="15.75" customHeight="1"/>
    <row r="12355" ht="15.75" customHeight="1"/>
    <row r="12356" ht="15.75" customHeight="1"/>
    <row r="12357" ht="15.75" customHeight="1"/>
    <row r="12358" ht="15.75" customHeight="1"/>
    <row r="12359" ht="15.75" customHeight="1"/>
    <row r="12360" ht="15.75" customHeight="1"/>
    <row r="12361" ht="15.75" customHeight="1"/>
    <row r="12362" ht="15.75" customHeight="1"/>
    <row r="12363" ht="15.75" customHeight="1"/>
    <row r="12364" ht="15.75" customHeight="1"/>
    <row r="12365" ht="15.75" customHeight="1"/>
    <row r="12366" ht="15.75" customHeight="1"/>
    <row r="12367" ht="15.75" customHeight="1"/>
    <row r="12368" ht="15.75" customHeight="1"/>
    <row r="12369" ht="15.75" customHeight="1"/>
    <row r="12370" ht="15.75" customHeight="1"/>
    <row r="12371" ht="15.75" customHeight="1"/>
    <row r="12372" ht="15.75" customHeight="1"/>
    <row r="12373" ht="15.75" customHeight="1"/>
    <row r="12374" ht="15.75" customHeight="1"/>
    <row r="12375" ht="15.75" customHeight="1"/>
    <row r="12376" ht="15.75" customHeight="1"/>
    <row r="12377" ht="15.75" customHeight="1"/>
    <row r="12378" ht="15.75" customHeight="1"/>
    <row r="12379" ht="15.75" customHeight="1"/>
    <row r="12380" ht="15.75" customHeight="1"/>
    <row r="12381" ht="15.75" customHeight="1"/>
    <row r="12382" ht="15.75" customHeight="1"/>
    <row r="12383" ht="15.75" customHeight="1"/>
    <row r="12384" ht="15.75" customHeight="1"/>
    <row r="12385" ht="15.75" customHeight="1"/>
    <row r="12386" ht="15.75" customHeight="1"/>
    <row r="12387" ht="15.75" customHeight="1"/>
    <row r="12388" ht="15.75" customHeight="1"/>
    <row r="12389" ht="15.75" customHeight="1"/>
    <row r="12390" ht="15.75" customHeight="1"/>
    <row r="12391" ht="15.75" customHeight="1"/>
    <row r="12392" ht="15.75" customHeight="1"/>
    <row r="12393" ht="15.75" customHeight="1"/>
    <row r="12394" ht="15.75" customHeight="1"/>
    <row r="12395" ht="15.75" customHeight="1"/>
    <row r="12396" ht="15.75" customHeight="1"/>
    <row r="12397" ht="15.75" customHeight="1"/>
    <row r="12398" ht="15.75" customHeight="1"/>
    <row r="12399" ht="15.75" customHeight="1"/>
    <row r="12400" ht="15.75" customHeight="1"/>
    <row r="12401" ht="15.75" customHeight="1"/>
    <row r="12402" ht="15.75" customHeight="1"/>
    <row r="12403" ht="15.75" customHeight="1"/>
    <row r="12404" ht="15.75" customHeight="1"/>
    <row r="12405" ht="15.75" customHeight="1"/>
    <row r="12406" ht="15.75" customHeight="1"/>
    <row r="12407" ht="15.75" customHeight="1"/>
    <row r="12408" ht="15.75" customHeight="1"/>
    <row r="12409" ht="15.75" customHeight="1"/>
    <row r="12410" ht="15.75" customHeight="1"/>
    <row r="12411" ht="15.75" customHeight="1"/>
    <row r="12412" ht="15.75" customHeight="1"/>
    <row r="12413" ht="15.75" customHeight="1"/>
    <row r="12414" ht="15.75" customHeight="1"/>
    <row r="12415" ht="15.75" customHeight="1"/>
    <row r="12416" ht="15.75" customHeight="1"/>
    <row r="12417" ht="15.75" customHeight="1"/>
    <row r="12418" ht="15.75" customHeight="1"/>
    <row r="12419" ht="15.75" customHeight="1"/>
    <row r="12420" ht="15.75" customHeight="1"/>
    <row r="12421" ht="15.75" customHeight="1"/>
    <row r="12422" ht="15.75" customHeight="1"/>
    <row r="12423" ht="15.75" customHeight="1"/>
    <row r="12424" ht="15.75" customHeight="1"/>
    <row r="12425" ht="15.75" customHeight="1"/>
    <row r="12426" ht="15.75" customHeight="1"/>
    <row r="12427" ht="15.75" customHeight="1"/>
    <row r="12428" ht="15.75" customHeight="1"/>
    <row r="12429" ht="15.75" customHeight="1"/>
    <row r="12430" ht="15.75" customHeight="1"/>
    <row r="12431" ht="15.75" customHeight="1"/>
    <row r="12432" ht="15.75" customHeight="1"/>
    <row r="12433" ht="15.75" customHeight="1"/>
    <row r="12434" ht="15.75" customHeight="1"/>
    <row r="12435" ht="15.75" customHeight="1"/>
    <row r="12436" ht="15.75" customHeight="1"/>
    <row r="12437" ht="15.75" customHeight="1"/>
    <row r="12438" ht="15.75" customHeight="1"/>
    <row r="12439" ht="15.75" customHeight="1"/>
    <row r="12440" ht="15.75" customHeight="1"/>
    <row r="12441" ht="15.75" customHeight="1"/>
    <row r="12442" ht="15.75" customHeight="1"/>
    <row r="12443" ht="15.75" customHeight="1"/>
    <row r="12444" ht="15.75" customHeight="1"/>
    <row r="12445" ht="15.75" customHeight="1"/>
    <row r="12446" ht="15.75" customHeight="1"/>
    <row r="12447" ht="15.75" customHeight="1"/>
    <row r="12448" ht="15.75" customHeight="1"/>
    <row r="12449" ht="15.75" customHeight="1"/>
    <row r="12450" ht="15.75" customHeight="1"/>
    <row r="12451" ht="15.75" customHeight="1"/>
    <row r="12452" ht="15.75" customHeight="1"/>
    <row r="12453" ht="15.75" customHeight="1"/>
    <row r="12454" ht="15.75" customHeight="1"/>
    <row r="12455" ht="15.75" customHeight="1"/>
    <row r="12456" ht="15.75" customHeight="1"/>
    <row r="12457" ht="15.75" customHeight="1"/>
    <row r="12458" ht="15.75" customHeight="1"/>
    <row r="12459" ht="15.75" customHeight="1"/>
    <row r="12460" ht="15.75" customHeight="1"/>
    <row r="12461" ht="15.75" customHeight="1"/>
    <row r="12462" ht="15.75" customHeight="1"/>
    <row r="12463" ht="15.75" customHeight="1"/>
    <row r="12464" ht="15.75" customHeight="1"/>
    <row r="12465" ht="15.75" customHeight="1"/>
    <row r="12466" ht="15.75" customHeight="1"/>
    <row r="12467" ht="15.75" customHeight="1"/>
    <row r="12468" ht="15.75" customHeight="1"/>
    <row r="12469" ht="15.75" customHeight="1"/>
    <row r="12470" ht="15.75" customHeight="1"/>
    <row r="12471" ht="15.75" customHeight="1"/>
    <row r="12472" ht="15.75" customHeight="1"/>
    <row r="12473" ht="15.75" customHeight="1"/>
    <row r="12474" ht="15.75" customHeight="1"/>
    <row r="12475" ht="15.75" customHeight="1"/>
    <row r="12476" ht="15.75" customHeight="1"/>
    <row r="12477" ht="15.75" customHeight="1"/>
    <row r="12478" ht="15.75" customHeight="1"/>
    <row r="12479" ht="15.75" customHeight="1"/>
    <row r="12480" ht="15.75" customHeight="1"/>
    <row r="12481" ht="15.75" customHeight="1"/>
    <row r="12482" ht="15.75" customHeight="1"/>
    <row r="12483" ht="15.75" customHeight="1"/>
    <row r="12484" ht="15.75" customHeight="1"/>
    <row r="12485" ht="15.75" customHeight="1"/>
    <row r="12486" ht="15.75" customHeight="1"/>
    <row r="12487" ht="15.75" customHeight="1"/>
    <row r="12488" ht="15.75" customHeight="1"/>
    <row r="12489" ht="15.75" customHeight="1"/>
    <row r="12490" ht="15.75" customHeight="1"/>
    <row r="12491" ht="15.75" customHeight="1"/>
    <row r="12492" ht="15.75" customHeight="1"/>
    <row r="12493" ht="15.75" customHeight="1"/>
    <row r="12494" ht="15.75" customHeight="1"/>
    <row r="12495" ht="15.75" customHeight="1"/>
    <row r="12496" ht="15.75" customHeight="1"/>
    <row r="12497" ht="15.75" customHeight="1"/>
    <row r="12498" ht="15.75" customHeight="1"/>
    <row r="12499" ht="15.75" customHeight="1"/>
    <row r="12500" ht="15.75" customHeight="1"/>
    <row r="12501" ht="15.75" customHeight="1"/>
    <row r="12502" ht="15.75" customHeight="1"/>
    <row r="12503" ht="15.75" customHeight="1"/>
    <row r="12504" ht="15.75" customHeight="1"/>
    <row r="12505" ht="15.75" customHeight="1"/>
    <row r="12506" ht="15.75" customHeight="1"/>
    <row r="12507" ht="15.75" customHeight="1"/>
    <row r="12508" ht="15.75" customHeight="1"/>
    <row r="12509" ht="15.75" customHeight="1"/>
    <row r="12510" ht="15.75" customHeight="1"/>
    <row r="12511" ht="15.75" customHeight="1"/>
    <row r="12512" ht="15.75" customHeight="1"/>
    <row r="12513" ht="15.75" customHeight="1"/>
    <row r="12514" ht="15.75" customHeight="1"/>
    <row r="12515" ht="15.75" customHeight="1"/>
    <row r="12516" ht="15.75" customHeight="1"/>
    <row r="12517" ht="15.75" customHeight="1"/>
    <row r="12518" ht="15.75" customHeight="1"/>
    <row r="12519" ht="15.75" customHeight="1"/>
    <row r="12520" ht="15.75" customHeight="1"/>
    <row r="12521" ht="15.75" customHeight="1"/>
    <row r="12522" ht="15.75" customHeight="1"/>
    <row r="12523" ht="15.75" customHeight="1"/>
    <row r="12524" ht="15.75" customHeight="1"/>
    <row r="12525" ht="15.75" customHeight="1"/>
    <row r="12526" ht="15.75" customHeight="1"/>
    <row r="12527" ht="15.75" customHeight="1"/>
    <row r="12528" ht="15.75" customHeight="1"/>
    <row r="12529" ht="15.75" customHeight="1"/>
    <row r="12530" ht="15.75" customHeight="1"/>
    <row r="12531" ht="15.75" customHeight="1"/>
    <row r="12532" ht="15.75" customHeight="1"/>
    <row r="12533" ht="15.75" customHeight="1"/>
    <row r="12534" ht="15.75" customHeight="1"/>
    <row r="12535" ht="15.75" customHeight="1"/>
    <row r="12536" ht="15.75" customHeight="1"/>
    <row r="12537" ht="15.75" customHeight="1"/>
    <row r="12538" ht="15.75" customHeight="1"/>
    <row r="12539" ht="15.75" customHeight="1"/>
    <row r="12540" ht="15.75" customHeight="1"/>
    <row r="12541" ht="15.75" customHeight="1"/>
    <row r="12542" ht="15.75" customHeight="1"/>
    <row r="12543" ht="15.75" customHeight="1"/>
    <row r="12544" ht="15.75" customHeight="1"/>
    <row r="12545" ht="15.75" customHeight="1"/>
    <row r="12546" ht="15.75" customHeight="1"/>
    <row r="12547" ht="15.75" customHeight="1"/>
    <row r="12548" ht="15.75" customHeight="1"/>
    <row r="12549" ht="15.75" customHeight="1"/>
    <row r="12550" ht="15.75" customHeight="1"/>
    <row r="12551" ht="15.75" customHeight="1"/>
    <row r="12552" ht="15.75" customHeight="1"/>
    <row r="12553" ht="15.75" customHeight="1"/>
    <row r="12554" ht="15.75" customHeight="1"/>
    <row r="12555" ht="15.75" customHeight="1"/>
    <row r="12556" ht="15.75" customHeight="1"/>
    <row r="12557" ht="15.75" customHeight="1"/>
    <row r="12558" ht="15.75" customHeight="1"/>
    <row r="12559" ht="15.75" customHeight="1"/>
    <row r="12560" ht="15.75" customHeight="1"/>
    <row r="12561" ht="15.75" customHeight="1"/>
    <row r="12562" ht="15.75" customHeight="1"/>
    <row r="12563" ht="15.75" customHeight="1"/>
    <row r="12564" ht="15.75" customHeight="1"/>
    <row r="12565" ht="15.75" customHeight="1"/>
    <row r="12566" ht="15.75" customHeight="1"/>
    <row r="12567" ht="15.75" customHeight="1"/>
    <row r="12568" ht="15.75" customHeight="1"/>
    <row r="12569" ht="15.75" customHeight="1"/>
    <row r="12570" ht="15.75" customHeight="1"/>
    <row r="12571" ht="15.75" customHeight="1"/>
    <row r="12572" ht="15.75" customHeight="1"/>
    <row r="12573" ht="15.75" customHeight="1"/>
    <row r="12574" ht="15.75" customHeight="1"/>
    <row r="12575" ht="15.75" customHeight="1"/>
    <row r="12576" ht="15.75" customHeight="1"/>
    <row r="12577" ht="15.75" customHeight="1"/>
    <row r="12578" ht="15.75" customHeight="1"/>
    <row r="12579" ht="15.75" customHeight="1"/>
    <row r="12580" ht="15.75" customHeight="1"/>
    <row r="12581" ht="15.75" customHeight="1"/>
    <row r="12582" ht="15.75" customHeight="1"/>
    <row r="12583" ht="15.75" customHeight="1"/>
    <row r="12584" ht="15.75" customHeight="1"/>
    <row r="12585" ht="15.75" customHeight="1"/>
    <row r="12586" ht="15.75" customHeight="1"/>
    <row r="12587" ht="15.75" customHeight="1"/>
    <row r="12588" ht="15.75" customHeight="1"/>
    <row r="12589" ht="15.75" customHeight="1"/>
    <row r="12590" ht="15.75" customHeight="1"/>
    <row r="12591" ht="15.75" customHeight="1"/>
    <row r="12592" ht="15.75" customHeight="1"/>
    <row r="12593" ht="15.75" customHeight="1"/>
    <row r="12594" ht="15.75" customHeight="1"/>
    <row r="12595" ht="15.75" customHeight="1"/>
    <row r="12596" ht="15.75" customHeight="1"/>
    <row r="12597" ht="15.75" customHeight="1"/>
    <row r="12598" ht="15.75" customHeight="1"/>
    <row r="12599" ht="15.75" customHeight="1"/>
    <row r="12600" ht="15.75" customHeight="1"/>
    <row r="12601" ht="15.75" customHeight="1"/>
    <row r="12602" ht="15.75" customHeight="1"/>
    <row r="12603" ht="15.75" customHeight="1"/>
    <row r="12604" ht="15.75" customHeight="1"/>
    <row r="12605" ht="15.75" customHeight="1"/>
    <row r="12606" ht="15.75" customHeight="1"/>
    <row r="12607" ht="15.75" customHeight="1"/>
    <row r="12608" ht="15.75" customHeight="1"/>
    <row r="12609" ht="15.75" customHeight="1"/>
    <row r="12610" ht="15.75" customHeight="1"/>
    <row r="12611" ht="15.75" customHeight="1"/>
    <row r="12612" ht="15.75" customHeight="1"/>
    <row r="12613" ht="15.75" customHeight="1"/>
    <row r="12614" ht="15.75" customHeight="1"/>
    <row r="12615" ht="15.75" customHeight="1"/>
    <row r="12616" ht="15.75" customHeight="1"/>
    <row r="12617" ht="15.75" customHeight="1"/>
    <row r="12618" ht="15.75" customHeight="1"/>
    <row r="12619" ht="15.75" customHeight="1"/>
    <row r="12620" ht="15.75" customHeight="1"/>
    <row r="12621" ht="15.75" customHeight="1"/>
    <row r="12622" ht="15.75" customHeight="1"/>
    <row r="12623" ht="15.75" customHeight="1"/>
    <row r="12624" ht="15.75" customHeight="1"/>
    <row r="12625" ht="15.75" customHeight="1"/>
    <row r="12626" ht="15.75" customHeight="1"/>
    <row r="12627" ht="15.75" customHeight="1"/>
    <row r="12628" ht="15.75" customHeight="1"/>
    <row r="12629" ht="15.75" customHeight="1"/>
    <row r="12630" ht="15.75" customHeight="1"/>
    <row r="12631" ht="15.75" customHeight="1"/>
    <row r="12632" ht="15.75" customHeight="1"/>
    <row r="12633" ht="15.75" customHeight="1"/>
    <row r="12634" ht="15.75" customHeight="1"/>
    <row r="12635" ht="15.75" customHeight="1"/>
    <row r="12636" ht="15.75" customHeight="1"/>
    <row r="12637" ht="15.75" customHeight="1"/>
    <row r="12638" ht="15.75" customHeight="1"/>
    <row r="12639" ht="15.75" customHeight="1"/>
    <row r="12640" ht="15.75" customHeight="1"/>
    <row r="12641" ht="15.75" customHeight="1"/>
    <row r="12642" ht="15.75" customHeight="1"/>
    <row r="12643" ht="15.75" customHeight="1"/>
    <row r="12644" ht="15.75" customHeight="1"/>
    <row r="12645" ht="15.75" customHeight="1"/>
    <row r="12646" ht="15.75" customHeight="1"/>
    <row r="12647" ht="15.75" customHeight="1"/>
    <row r="12648" ht="15.75" customHeight="1"/>
    <row r="12649" ht="15.75" customHeight="1"/>
    <row r="12650" ht="15.75" customHeight="1"/>
    <row r="12651" ht="15.75" customHeight="1"/>
    <row r="12652" ht="15.75" customHeight="1"/>
    <row r="12653" ht="15.75" customHeight="1"/>
    <row r="12654" ht="15.75" customHeight="1"/>
    <row r="12655" ht="15.75" customHeight="1"/>
    <row r="12656" ht="15.75" customHeight="1"/>
    <row r="12657" ht="15.75" customHeight="1"/>
    <row r="12658" ht="15.75" customHeight="1"/>
    <row r="12659" ht="15.75" customHeight="1"/>
    <row r="12660" ht="15.75" customHeight="1"/>
    <row r="12661" ht="15.75" customHeight="1"/>
    <row r="12662" ht="15.75" customHeight="1"/>
    <row r="12663" ht="15.75" customHeight="1"/>
    <row r="12664" ht="15.75" customHeight="1"/>
    <row r="12665" ht="15.75" customHeight="1"/>
    <row r="12666" ht="15.75" customHeight="1"/>
    <row r="12667" ht="15.75" customHeight="1"/>
    <row r="12668" ht="15.75" customHeight="1"/>
    <row r="12669" ht="15.75" customHeight="1"/>
    <row r="12670" ht="15.75" customHeight="1"/>
    <row r="12671" ht="15.75" customHeight="1"/>
    <row r="12672" ht="15.75" customHeight="1"/>
    <row r="12673" ht="15.75" customHeight="1"/>
    <row r="12674" ht="15.75" customHeight="1"/>
    <row r="12675" ht="15.75" customHeight="1"/>
    <row r="12676" ht="15.75" customHeight="1"/>
    <row r="12677" ht="15.75" customHeight="1"/>
    <row r="12678" ht="15.75" customHeight="1"/>
    <row r="12679" ht="15.75" customHeight="1"/>
    <row r="12680" ht="15.75" customHeight="1"/>
    <row r="12681" ht="15.75" customHeight="1"/>
    <row r="12682" ht="15.75" customHeight="1"/>
    <row r="12683" ht="15.75" customHeight="1"/>
    <row r="12684" ht="15.75" customHeight="1"/>
    <row r="12685" ht="15.75" customHeight="1"/>
    <row r="12686" ht="15.75" customHeight="1"/>
    <row r="12687" ht="15.75" customHeight="1"/>
    <row r="12688" ht="15.75" customHeight="1"/>
    <row r="12689" ht="15.75" customHeight="1"/>
    <row r="12690" ht="15.75" customHeight="1"/>
    <row r="12691" ht="15.75" customHeight="1"/>
    <row r="12692" ht="15.75" customHeight="1"/>
    <row r="12693" ht="15.75" customHeight="1"/>
    <row r="12694" ht="15.75" customHeight="1"/>
    <row r="12695" ht="15.75" customHeight="1"/>
    <row r="12696" ht="15.75" customHeight="1"/>
    <row r="12697" ht="15.75" customHeight="1"/>
    <row r="12698" ht="15.75" customHeight="1"/>
    <row r="12699" ht="15.75" customHeight="1"/>
    <row r="12700" ht="15.75" customHeight="1"/>
    <row r="12701" ht="15.75" customHeight="1"/>
    <row r="12702" ht="15.75" customHeight="1"/>
    <row r="12703" ht="15.75" customHeight="1"/>
    <row r="12704" ht="15.75" customHeight="1"/>
    <row r="12705" ht="15.75" customHeight="1"/>
    <row r="12706" ht="15.75" customHeight="1"/>
    <row r="12707" ht="15.75" customHeight="1"/>
    <row r="12708" ht="15.75" customHeight="1"/>
    <row r="12709" ht="15.75" customHeight="1"/>
    <row r="12710" ht="15.75" customHeight="1"/>
    <row r="12711" ht="15.75" customHeight="1"/>
    <row r="12712" ht="15.75" customHeight="1"/>
    <row r="12713" ht="15.75" customHeight="1"/>
    <row r="12714" ht="15.75" customHeight="1"/>
    <row r="12715" ht="15.75" customHeight="1"/>
    <row r="12716" ht="15.75" customHeight="1"/>
    <row r="12717" ht="15.75" customHeight="1"/>
    <row r="12718" ht="15.75" customHeight="1"/>
    <row r="12719" ht="15.75" customHeight="1"/>
    <row r="12720" ht="15.75" customHeight="1"/>
    <row r="12721" ht="15.75" customHeight="1"/>
    <row r="12722" ht="15.75" customHeight="1"/>
    <row r="12723" ht="15.75" customHeight="1"/>
    <row r="12724" ht="15.75" customHeight="1"/>
    <row r="12725" ht="15.75" customHeight="1"/>
    <row r="12726" ht="15.75" customHeight="1"/>
    <row r="12727" ht="15.75" customHeight="1"/>
    <row r="12728" ht="15.75" customHeight="1"/>
    <row r="12729" ht="15.75" customHeight="1"/>
    <row r="12730" ht="15.75" customHeight="1"/>
    <row r="12731" ht="15.75" customHeight="1"/>
    <row r="12732" ht="15.75" customHeight="1"/>
    <row r="12733" ht="15.75" customHeight="1"/>
    <row r="12734" ht="15.75" customHeight="1"/>
    <row r="12735" ht="15.75" customHeight="1"/>
    <row r="12736" ht="15.75" customHeight="1"/>
    <row r="12737" ht="15.75" customHeight="1"/>
    <row r="12738" ht="15.75" customHeight="1"/>
    <row r="12739" ht="15.75" customHeight="1"/>
    <row r="12740" ht="15.75" customHeight="1"/>
    <row r="12741" ht="15.75" customHeight="1"/>
    <row r="12742" ht="15.75" customHeight="1"/>
    <row r="12743" ht="15.75" customHeight="1"/>
    <row r="12744" ht="15.75" customHeight="1"/>
    <row r="12745" ht="15.75" customHeight="1"/>
    <row r="12746" ht="15.75" customHeight="1"/>
    <row r="12747" ht="15.75" customHeight="1"/>
    <row r="12748" ht="15.75" customHeight="1"/>
    <row r="12749" ht="15.75" customHeight="1"/>
    <row r="12750" ht="15.75" customHeight="1"/>
    <row r="12751" ht="15.75" customHeight="1"/>
    <row r="12752" ht="15.75" customHeight="1"/>
    <row r="12753" ht="15.75" customHeight="1"/>
    <row r="12754" ht="15.75" customHeight="1"/>
    <row r="12755" ht="15.75" customHeight="1"/>
    <row r="12756" ht="15.75" customHeight="1"/>
    <row r="12757" ht="15.75" customHeight="1"/>
    <row r="12758" ht="15.75" customHeight="1"/>
    <row r="12759" ht="15.75" customHeight="1"/>
    <row r="12760" ht="15.75" customHeight="1"/>
    <row r="12761" ht="15.75" customHeight="1"/>
    <row r="12762" ht="15.75" customHeight="1"/>
    <row r="12763" ht="15.75" customHeight="1"/>
    <row r="12764" ht="15.75" customHeight="1"/>
    <row r="12765" ht="15.75" customHeight="1"/>
    <row r="12766" ht="15.75" customHeight="1"/>
    <row r="12767" ht="15.75" customHeight="1"/>
    <row r="12768" ht="15.75" customHeight="1"/>
    <row r="12769" ht="15.75" customHeight="1"/>
    <row r="12770" ht="15.75" customHeight="1"/>
    <row r="12771" ht="15.75" customHeight="1"/>
    <row r="12772" ht="15.75" customHeight="1"/>
    <row r="12773" ht="15.75" customHeight="1"/>
    <row r="12774" ht="15.75" customHeight="1"/>
    <row r="12775" ht="15.75" customHeight="1"/>
    <row r="12776" ht="15.75" customHeight="1"/>
    <row r="12777" ht="15.75" customHeight="1"/>
    <row r="12778" ht="15.75" customHeight="1"/>
    <row r="12779" ht="15.75" customHeight="1"/>
    <row r="12780" ht="15.75" customHeight="1"/>
    <row r="12781" ht="15.75" customHeight="1"/>
    <row r="12782" ht="15.75" customHeight="1"/>
    <row r="12783" ht="15.75" customHeight="1"/>
    <row r="12784" ht="15.75" customHeight="1"/>
    <row r="12785" ht="15.75" customHeight="1"/>
    <row r="12786" ht="15.75" customHeight="1"/>
    <row r="12787" ht="15.75" customHeight="1"/>
    <row r="12788" ht="15.75" customHeight="1"/>
    <row r="12789" ht="15.75" customHeight="1"/>
    <row r="12790" ht="15.75" customHeight="1"/>
    <row r="12791" ht="15.75" customHeight="1"/>
    <row r="12792" ht="15.75" customHeight="1"/>
    <row r="12793" ht="15.75" customHeight="1"/>
    <row r="12794" ht="15.75" customHeight="1"/>
    <row r="12795" ht="15.75" customHeight="1"/>
    <row r="12796" ht="15.75" customHeight="1"/>
    <row r="12797" ht="15.75" customHeight="1"/>
    <row r="12798" ht="15.75" customHeight="1"/>
    <row r="12799" ht="15.75" customHeight="1"/>
    <row r="12800" ht="15.75" customHeight="1"/>
    <row r="12801" ht="15.75" customHeight="1"/>
    <row r="12802" ht="15.75" customHeight="1"/>
    <row r="12803" ht="15.75" customHeight="1"/>
    <row r="12804" ht="15.75" customHeight="1"/>
    <row r="12805" ht="15.75" customHeight="1"/>
    <row r="12806" ht="15.75" customHeight="1"/>
    <row r="12807" ht="15.75" customHeight="1"/>
    <row r="12808" ht="15.75" customHeight="1"/>
    <row r="12809" ht="15.75" customHeight="1"/>
    <row r="12810" ht="15.75" customHeight="1"/>
    <row r="12811" ht="15.75" customHeight="1"/>
    <row r="12812" ht="15.75" customHeight="1"/>
    <row r="12813" ht="15.75" customHeight="1"/>
    <row r="12814" ht="15.75" customHeight="1"/>
    <row r="12815" ht="15.75" customHeight="1"/>
    <row r="12816" ht="15.75" customHeight="1"/>
    <row r="12817" ht="15.75" customHeight="1"/>
    <row r="12818" ht="15.75" customHeight="1"/>
    <row r="12819" ht="15.75" customHeight="1"/>
    <row r="12820" ht="15.75" customHeight="1"/>
    <row r="12821" ht="15.75" customHeight="1"/>
    <row r="12822" ht="15.75" customHeight="1"/>
    <row r="12823" ht="15.75" customHeight="1"/>
    <row r="12824" ht="15.75" customHeight="1"/>
    <row r="12825" ht="15.75" customHeight="1"/>
    <row r="12826" ht="15.75" customHeight="1"/>
    <row r="12827" ht="15.75" customHeight="1"/>
    <row r="12828" ht="15.75" customHeight="1"/>
    <row r="12829" ht="15.75" customHeight="1"/>
    <row r="12830" ht="15.75" customHeight="1"/>
    <row r="12831" ht="15.75" customHeight="1"/>
    <row r="12832" ht="15.75" customHeight="1"/>
    <row r="12833" ht="15.75" customHeight="1"/>
    <row r="12834" ht="15.75" customHeight="1"/>
    <row r="12835" ht="15.75" customHeight="1"/>
    <row r="12836" ht="15.75" customHeight="1"/>
    <row r="12837" ht="15.75" customHeight="1"/>
    <row r="12838" ht="15.75" customHeight="1"/>
    <row r="12839" ht="15.75" customHeight="1"/>
    <row r="12840" ht="15.75" customHeight="1"/>
    <row r="12841" ht="15.75" customHeight="1"/>
    <row r="12842" ht="15.75" customHeight="1"/>
    <row r="12843" ht="15.75" customHeight="1"/>
    <row r="12844" ht="15.75" customHeight="1"/>
    <row r="12845" ht="15.75" customHeight="1"/>
    <row r="12846" ht="15.75" customHeight="1"/>
    <row r="12847" ht="15.75" customHeight="1"/>
    <row r="12848" ht="15.75" customHeight="1"/>
    <row r="12849" ht="15.75" customHeight="1"/>
    <row r="12850" ht="15.75" customHeight="1"/>
    <row r="12851" ht="15.75" customHeight="1"/>
    <row r="12852" ht="15.75" customHeight="1"/>
    <row r="12853" ht="15.75" customHeight="1"/>
    <row r="12854" ht="15.75" customHeight="1"/>
    <row r="12855" ht="15.75" customHeight="1"/>
    <row r="12856" ht="15.75" customHeight="1"/>
    <row r="12857" ht="15.75" customHeight="1"/>
    <row r="12858" ht="15.75" customHeight="1"/>
    <row r="12859" ht="15.75" customHeight="1"/>
    <row r="12860" ht="15.75" customHeight="1"/>
    <row r="12861" ht="15.75" customHeight="1"/>
    <row r="12862" ht="15.75" customHeight="1"/>
    <row r="12863" ht="15.75" customHeight="1"/>
    <row r="12864" ht="15.75" customHeight="1"/>
    <row r="12865" ht="15.75" customHeight="1"/>
    <row r="12866" ht="15.75" customHeight="1"/>
    <row r="12867" ht="15.75" customHeight="1"/>
    <row r="12868" ht="15.75" customHeight="1"/>
    <row r="12869" ht="15.75" customHeight="1"/>
    <row r="12870" ht="15.75" customHeight="1"/>
    <row r="12871" ht="15.75" customHeight="1"/>
    <row r="12872" ht="15.75" customHeight="1"/>
    <row r="12873" ht="15.75" customHeight="1"/>
    <row r="12874" ht="15.75" customHeight="1"/>
    <row r="12875" ht="15.75" customHeight="1"/>
    <row r="12876" ht="15.75" customHeight="1"/>
    <row r="12877" ht="15.75" customHeight="1"/>
    <row r="12878" ht="15.75" customHeight="1"/>
    <row r="12879" ht="15.75" customHeight="1"/>
    <row r="12880" ht="15.75" customHeight="1"/>
    <row r="12881" ht="15.75" customHeight="1"/>
    <row r="12882" ht="15.75" customHeight="1"/>
    <row r="12883" ht="15.75" customHeight="1"/>
    <row r="12884" ht="15.75" customHeight="1"/>
    <row r="12885" ht="15.75" customHeight="1"/>
    <row r="12886" ht="15.75" customHeight="1"/>
    <row r="12887" ht="15.75" customHeight="1"/>
    <row r="12888" ht="15.75" customHeight="1"/>
    <row r="12889" ht="15.75" customHeight="1"/>
    <row r="12890" ht="15.75" customHeight="1"/>
    <row r="12891" ht="15.75" customHeight="1"/>
    <row r="12892" ht="15.75" customHeight="1"/>
    <row r="12893" ht="15.75" customHeight="1"/>
    <row r="12894" ht="15.75" customHeight="1"/>
    <row r="12895" ht="15.75" customHeight="1"/>
    <row r="12896" ht="15.75" customHeight="1"/>
    <row r="12897" ht="15.75" customHeight="1"/>
    <row r="12898" ht="15.75" customHeight="1"/>
    <row r="12899" ht="15.75" customHeight="1"/>
    <row r="12900" ht="15.75" customHeight="1"/>
    <row r="12901" ht="15.75" customHeight="1"/>
    <row r="12902" ht="15.75" customHeight="1"/>
    <row r="12903" ht="15.75" customHeight="1"/>
    <row r="12904" ht="15.75" customHeight="1"/>
    <row r="12905" ht="15.75" customHeight="1"/>
    <row r="12906" ht="15.75" customHeight="1"/>
    <row r="12907" ht="15.75" customHeight="1"/>
    <row r="12908" ht="15.75" customHeight="1"/>
    <row r="12909" ht="15.75" customHeight="1"/>
    <row r="12910" ht="15.75" customHeight="1"/>
    <row r="12911" ht="15.75" customHeight="1"/>
    <row r="12912" ht="15.75" customHeight="1"/>
    <row r="12913" ht="15.75" customHeight="1"/>
    <row r="12914" ht="15.75" customHeight="1"/>
    <row r="12915" ht="15.75" customHeight="1"/>
    <row r="12916" ht="15.75" customHeight="1"/>
    <row r="12917" ht="15.75" customHeight="1"/>
    <row r="12918" ht="15.75" customHeight="1"/>
    <row r="12919" ht="15.75" customHeight="1"/>
    <row r="12920" ht="15.75" customHeight="1"/>
    <row r="12921" ht="15.75" customHeight="1"/>
    <row r="12922" ht="15.75" customHeight="1"/>
    <row r="12923" ht="15.75" customHeight="1"/>
    <row r="12924" ht="15.75" customHeight="1"/>
    <row r="12925" ht="15.75" customHeight="1"/>
    <row r="12926" ht="15.75" customHeight="1"/>
    <row r="12927" ht="15.75" customHeight="1"/>
    <row r="12928" ht="15.75" customHeight="1"/>
    <row r="12929" ht="15.75" customHeight="1"/>
    <row r="12930" ht="15.75" customHeight="1"/>
    <row r="12931" ht="15.75" customHeight="1"/>
    <row r="12932" ht="15.75" customHeight="1"/>
    <row r="12933" ht="15.75" customHeight="1"/>
    <row r="12934" ht="15.75" customHeight="1"/>
    <row r="12935" ht="15.75" customHeight="1"/>
    <row r="12936" ht="15.75" customHeight="1"/>
    <row r="12937" ht="15.75" customHeight="1"/>
    <row r="12938" ht="15.75" customHeight="1"/>
    <row r="12939" ht="15.75" customHeight="1"/>
    <row r="12940" ht="15.75" customHeight="1"/>
    <row r="12941" ht="15.75" customHeight="1"/>
    <row r="12942" ht="15.75" customHeight="1"/>
    <row r="12943" ht="15.75" customHeight="1"/>
    <row r="12944" ht="15.75" customHeight="1"/>
    <row r="12945" ht="15.75" customHeight="1"/>
    <row r="12946" ht="15.75" customHeight="1"/>
    <row r="12947" ht="15.75" customHeight="1"/>
    <row r="12948" ht="15.75" customHeight="1"/>
    <row r="12949" ht="15.75" customHeight="1"/>
    <row r="12950" ht="15.75" customHeight="1"/>
    <row r="12951" ht="15.75" customHeight="1"/>
    <row r="12952" ht="15.75" customHeight="1"/>
    <row r="12953" ht="15.75" customHeight="1"/>
    <row r="12954" ht="15.75" customHeight="1"/>
    <row r="12955" ht="15.75" customHeight="1"/>
    <row r="12956" ht="15.75" customHeight="1"/>
    <row r="12957" ht="15.75" customHeight="1"/>
    <row r="12958" ht="15.75" customHeight="1"/>
    <row r="12959" ht="15.75" customHeight="1"/>
    <row r="12960" ht="15.75" customHeight="1"/>
    <row r="12961" ht="15.75" customHeight="1"/>
    <row r="12962" ht="15.75" customHeight="1"/>
    <row r="12963" ht="15.75" customHeight="1"/>
    <row r="12964" ht="15.75" customHeight="1"/>
    <row r="12965" ht="15.75" customHeight="1"/>
    <row r="12966" ht="15.75" customHeight="1"/>
    <row r="12967" ht="15.75" customHeight="1"/>
    <row r="12968" ht="15.75" customHeight="1"/>
    <row r="12969" ht="15.75" customHeight="1"/>
    <row r="12970" ht="15.75" customHeight="1"/>
    <row r="12971" ht="15.75" customHeight="1"/>
    <row r="12972" ht="15.75" customHeight="1"/>
    <row r="12973" ht="15.75" customHeight="1"/>
    <row r="12974" ht="15.75" customHeight="1"/>
    <row r="12975" ht="15.75" customHeight="1"/>
    <row r="12976" ht="15.75" customHeight="1"/>
    <row r="12977" ht="15.75" customHeight="1"/>
    <row r="12978" ht="15.75" customHeight="1"/>
    <row r="12979" ht="15.75" customHeight="1"/>
    <row r="12980" ht="15.75" customHeight="1"/>
    <row r="12981" ht="15.75" customHeight="1"/>
    <row r="12982" ht="15.75" customHeight="1"/>
    <row r="12983" ht="15.75" customHeight="1"/>
    <row r="12984" ht="15.75" customHeight="1"/>
    <row r="12985" ht="15.75" customHeight="1"/>
    <row r="12986" ht="15.75" customHeight="1"/>
    <row r="12987" ht="15.75" customHeight="1"/>
    <row r="12988" ht="15.75" customHeight="1"/>
    <row r="12989" ht="15.75" customHeight="1"/>
    <row r="12990" ht="15.75" customHeight="1"/>
    <row r="12991" ht="15.75" customHeight="1"/>
    <row r="12992" ht="15.75" customHeight="1"/>
    <row r="12993" ht="15.75" customHeight="1"/>
    <row r="12994" ht="15.75" customHeight="1"/>
    <row r="12995" ht="15.75" customHeight="1"/>
    <row r="12996" ht="15.75" customHeight="1"/>
    <row r="12997" ht="15.75" customHeight="1"/>
    <row r="12998" ht="15.75" customHeight="1"/>
    <row r="12999" ht="15.75" customHeight="1"/>
    <row r="13000" ht="15.75" customHeight="1"/>
    <row r="13001" ht="15.75" customHeight="1"/>
    <row r="13002" ht="15.75" customHeight="1"/>
    <row r="13003" ht="15.75" customHeight="1"/>
    <row r="13004" ht="15.75" customHeight="1"/>
    <row r="13005" ht="15.75" customHeight="1"/>
    <row r="13006" ht="15.75" customHeight="1"/>
    <row r="13007" ht="15.75" customHeight="1"/>
    <row r="13008" ht="15.75" customHeight="1"/>
    <row r="13009" ht="15.75" customHeight="1"/>
    <row r="13010" ht="15.75" customHeight="1"/>
    <row r="13011" ht="15.75" customHeight="1"/>
    <row r="13012" ht="15.75" customHeight="1"/>
    <row r="13013" ht="15.75" customHeight="1"/>
    <row r="13014" ht="15.75" customHeight="1"/>
    <row r="13015" ht="15.75" customHeight="1"/>
    <row r="13016" ht="15.75" customHeight="1"/>
    <row r="13017" ht="15.75" customHeight="1"/>
    <row r="13018" ht="15.75" customHeight="1"/>
    <row r="13019" ht="15.75" customHeight="1"/>
    <row r="13020" ht="15.75" customHeight="1"/>
    <row r="13021" ht="15.75" customHeight="1"/>
    <row r="13022" ht="15.75" customHeight="1"/>
    <row r="13023" ht="15.75" customHeight="1"/>
    <row r="13024" ht="15.75" customHeight="1"/>
    <row r="13025" ht="15.75" customHeight="1"/>
    <row r="13026" ht="15.75" customHeight="1"/>
    <row r="13027" ht="15.75" customHeight="1"/>
    <row r="13028" ht="15.75" customHeight="1"/>
    <row r="13029" ht="15.75" customHeight="1"/>
    <row r="13030" ht="15.75" customHeight="1"/>
    <row r="13031" ht="15.75" customHeight="1"/>
    <row r="13032" ht="15.75" customHeight="1"/>
    <row r="13033" ht="15.75" customHeight="1"/>
    <row r="13034" ht="15.75" customHeight="1"/>
    <row r="13035" ht="15.75" customHeight="1"/>
    <row r="13036" ht="15.75" customHeight="1"/>
    <row r="13037" ht="15.75" customHeight="1"/>
    <row r="13038" ht="15.75" customHeight="1"/>
    <row r="13039" ht="15.75" customHeight="1"/>
    <row r="13040" ht="15.75" customHeight="1"/>
    <row r="13041" ht="15.75" customHeight="1"/>
    <row r="13042" ht="15.75" customHeight="1"/>
    <row r="13043" ht="15.75" customHeight="1"/>
    <row r="13044" ht="15.75" customHeight="1"/>
    <row r="13045" ht="15.75" customHeight="1"/>
    <row r="13046" ht="15.75" customHeight="1"/>
    <row r="13047" ht="15.75" customHeight="1"/>
    <row r="13048" ht="15.75" customHeight="1"/>
    <row r="13049" ht="15.75" customHeight="1"/>
    <row r="13050" ht="15.75" customHeight="1"/>
    <row r="13051" ht="15.75" customHeight="1"/>
    <row r="13052" ht="15.75" customHeight="1"/>
    <row r="13053" ht="15.75" customHeight="1"/>
    <row r="13054" ht="15.75" customHeight="1"/>
    <row r="13055" ht="15.75" customHeight="1"/>
    <row r="13056" ht="15.75" customHeight="1"/>
    <row r="13057" ht="15.75" customHeight="1"/>
    <row r="13058" ht="15.75" customHeight="1"/>
    <row r="13059" ht="15.75" customHeight="1"/>
    <row r="13060" ht="15.75" customHeight="1"/>
    <row r="13061" ht="15.75" customHeight="1"/>
    <row r="13062" ht="15.75" customHeight="1"/>
    <row r="13063" ht="15.75" customHeight="1"/>
    <row r="13064" ht="15.75" customHeight="1"/>
    <row r="13065" ht="15.75" customHeight="1"/>
    <row r="13066" ht="15.75" customHeight="1"/>
    <row r="13067" ht="15.75" customHeight="1"/>
    <row r="13068" ht="15.75" customHeight="1"/>
    <row r="13069" ht="15.75" customHeight="1"/>
    <row r="13070" ht="15.75" customHeight="1"/>
    <row r="13071" ht="15.75" customHeight="1"/>
    <row r="13072" ht="15.75" customHeight="1"/>
    <row r="13073" ht="15.75" customHeight="1"/>
    <row r="13074" ht="15.75" customHeight="1"/>
    <row r="13075" ht="15.75" customHeight="1"/>
    <row r="13076" ht="15.75" customHeight="1"/>
    <row r="13077" ht="15.75" customHeight="1"/>
    <row r="13078" ht="15.75" customHeight="1"/>
    <row r="13079" ht="15.75" customHeight="1"/>
    <row r="13080" ht="15.75" customHeight="1"/>
    <row r="13081" ht="15.75" customHeight="1"/>
    <row r="13082" ht="15.75" customHeight="1"/>
    <row r="13083" ht="15.75" customHeight="1"/>
    <row r="13084" ht="15.75" customHeight="1"/>
    <row r="13085" ht="15.75" customHeight="1"/>
    <row r="13086" ht="15.75" customHeight="1"/>
    <row r="13087" ht="15.75" customHeight="1"/>
    <row r="13088" ht="15.75" customHeight="1"/>
    <row r="13089" ht="15.75" customHeight="1"/>
    <row r="13090" ht="15.75" customHeight="1"/>
    <row r="13091" ht="15.75" customHeight="1"/>
    <row r="13092" ht="15.75" customHeight="1"/>
    <row r="13093" ht="15.75" customHeight="1"/>
    <row r="13094" ht="15.75" customHeight="1"/>
    <row r="13095" ht="15.75" customHeight="1"/>
    <row r="13096" ht="15.75" customHeight="1"/>
    <row r="13097" ht="15.75" customHeight="1"/>
    <row r="13098" ht="15.75" customHeight="1"/>
    <row r="13099" ht="15.75" customHeight="1"/>
    <row r="13100" ht="15.75" customHeight="1"/>
    <row r="13101" ht="15.75" customHeight="1"/>
    <row r="13102" ht="15.75" customHeight="1"/>
    <row r="13103" ht="15.75" customHeight="1"/>
    <row r="13104" ht="15.75" customHeight="1"/>
    <row r="13105" ht="15.75" customHeight="1"/>
    <row r="13106" ht="15.75" customHeight="1"/>
    <row r="13107" ht="15.75" customHeight="1"/>
    <row r="13108" ht="15.75" customHeight="1"/>
    <row r="13109" ht="15.75" customHeight="1"/>
    <row r="13110" ht="15.75" customHeight="1"/>
    <row r="13111" ht="15.75" customHeight="1"/>
    <row r="13112" ht="15.75" customHeight="1"/>
    <row r="13113" ht="15.75" customHeight="1"/>
    <row r="13114" ht="15.75" customHeight="1"/>
    <row r="13115" ht="15.75" customHeight="1"/>
    <row r="13116" ht="15.75" customHeight="1"/>
    <row r="13117" ht="15.75" customHeight="1"/>
    <row r="13118" ht="15.75" customHeight="1"/>
    <row r="13119" ht="15.75" customHeight="1"/>
    <row r="13120" ht="15.75" customHeight="1"/>
    <row r="13121" ht="15.75" customHeight="1"/>
    <row r="13122" ht="15.75" customHeight="1"/>
    <row r="13123" ht="15.75" customHeight="1"/>
    <row r="13124" ht="15.75" customHeight="1"/>
    <row r="13125" ht="15.75" customHeight="1"/>
    <row r="13126" ht="15.75" customHeight="1"/>
    <row r="13127" ht="15.75" customHeight="1"/>
    <row r="13128" ht="15.75" customHeight="1"/>
    <row r="13129" ht="15.75" customHeight="1"/>
    <row r="13130" ht="15.75" customHeight="1"/>
    <row r="13131" ht="15.75" customHeight="1"/>
    <row r="13132" ht="15.75" customHeight="1"/>
    <row r="13133" ht="15.75" customHeight="1"/>
    <row r="13134" ht="15.75" customHeight="1"/>
    <row r="13135" ht="15.75" customHeight="1"/>
    <row r="13136" ht="15.75" customHeight="1"/>
    <row r="13137" ht="15.75" customHeight="1"/>
    <row r="13138" ht="15.75" customHeight="1"/>
    <row r="13139" ht="15.75" customHeight="1"/>
    <row r="13140" ht="15.75" customHeight="1"/>
    <row r="13141" ht="15.75" customHeight="1"/>
    <row r="13142" ht="15.75" customHeight="1"/>
    <row r="13143" ht="15.75" customHeight="1"/>
    <row r="13144" ht="15.75" customHeight="1"/>
    <row r="13145" ht="15.75" customHeight="1"/>
    <row r="13146" ht="15.75" customHeight="1"/>
    <row r="13147" ht="15.75" customHeight="1"/>
    <row r="13148" ht="15.75" customHeight="1"/>
    <row r="13149" ht="15.75" customHeight="1"/>
    <row r="13150" ht="15.75" customHeight="1"/>
    <row r="13151" ht="15.75" customHeight="1"/>
    <row r="13152" ht="15.75" customHeight="1"/>
    <row r="13153" ht="15.75" customHeight="1"/>
    <row r="13154" ht="15.75" customHeight="1"/>
    <row r="13155" ht="15.75" customHeight="1"/>
    <row r="13156" ht="15.75" customHeight="1"/>
    <row r="13157" ht="15.75" customHeight="1"/>
    <row r="13158" ht="15.75" customHeight="1"/>
    <row r="13159" ht="15.75" customHeight="1"/>
    <row r="13160" ht="15.75" customHeight="1"/>
    <row r="13161" ht="15.75" customHeight="1"/>
    <row r="13162" ht="15.75" customHeight="1"/>
    <row r="13163" ht="15.75" customHeight="1"/>
    <row r="13164" ht="15.75" customHeight="1"/>
    <row r="13165" ht="15.75" customHeight="1"/>
    <row r="13166" ht="15.75" customHeight="1"/>
    <row r="13167" ht="15.75" customHeight="1"/>
    <row r="13168" ht="15.75" customHeight="1"/>
    <row r="13169" ht="15.75" customHeight="1"/>
    <row r="13170" ht="15.75" customHeight="1"/>
    <row r="13171" ht="15.75" customHeight="1"/>
    <row r="13172" ht="15.75" customHeight="1"/>
    <row r="13173" ht="15.75" customHeight="1"/>
    <row r="13174" ht="15.75" customHeight="1"/>
    <row r="13175" ht="15.75" customHeight="1"/>
    <row r="13176" ht="15.75" customHeight="1"/>
    <row r="13177" ht="15.75" customHeight="1"/>
    <row r="13178" ht="15.75" customHeight="1"/>
    <row r="13179" ht="15.75" customHeight="1"/>
    <row r="13180" ht="15.75" customHeight="1"/>
    <row r="13181" ht="15.75" customHeight="1"/>
    <row r="13182" ht="15.75" customHeight="1"/>
    <row r="13183" ht="15.75" customHeight="1"/>
    <row r="13184" ht="15.75" customHeight="1"/>
    <row r="13185" ht="15.75" customHeight="1"/>
    <row r="13186" ht="15.75" customHeight="1"/>
    <row r="13187" ht="15.75" customHeight="1"/>
    <row r="13188" ht="15.75" customHeight="1"/>
    <row r="13189" ht="15.75" customHeight="1"/>
    <row r="13190" ht="15.75" customHeight="1"/>
    <row r="13191" ht="15.75" customHeight="1"/>
    <row r="13192" ht="15.75" customHeight="1"/>
    <row r="13193" ht="15.75" customHeight="1"/>
    <row r="13194" ht="15.75" customHeight="1"/>
    <row r="13195" ht="15.75" customHeight="1"/>
    <row r="13196" ht="15.75" customHeight="1"/>
    <row r="13197" ht="15.75" customHeight="1"/>
    <row r="13198" ht="15.75" customHeight="1"/>
    <row r="13199" ht="15.75" customHeight="1"/>
    <row r="13200" ht="15.75" customHeight="1"/>
    <row r="13201" ht="15.75" customHeight="1"/>
    <row r="13202" ht="15.75" customHeight="1"/>
    <row r="13203" ht="15.75" customHeight="1"/>
    <row r="13204" ht="15.75" customHeight="1"/>
    <row r="13205" ht="15.75" customHeight="1"/>
    <row r="13206" ht="15.75" customHeight="1"/>
    <row r="13207" ht="15.75" customHeight="1"/>
    <row r="13208" ht="15.75" customHeight="1"/>
    <row r="13209" ht="15.75" customHeight="1"/>
    <row r="13210" ht="15.75" customHeight="1"/>
    <row r="13211" ht="15.75" customHeight="1"/>
    <row r="13212" ht="15.75" customHeight="1"/>
    <row r="13213" ht="15.75" customHeight="1"/>
    <row r="13214" ht="15.75" customHeight="1"/>
    <row r="13215" ht="15.75" customHeight="1"/>
    <row r="13216" ht="15.75" customHeight="1"/>
    <row r="13217" ht="15.75" customHeight="1"/>
    <row r="13218" ht="15.75" customHeight="1"/>
    <row r="13219" ht="15.75" customHeight="1"/>
    <row r="13220" ht="15.75" customHeight="1"/>
    <row r="13221" ht="15.75" customHeight="1"/>
    <row r="13222" ht="15.75" customHeight="1"/>
    <row r="13223" ht="15.75" customHeight="1"/>
    <row r="13224" ht="15.75" customHeight="1"/>
    <row r="13225" ht="15.75" customHeight="1"/>
    <row r="13226" ht="15.75" customHeight="1"/>
    <row r="13227" ht="15.75" customHeight="1"/>
    <row r="13228" ht="15.75" customHeight="1"/>
    <row r="13229" ht="15.75" customHeight="1"/>
    <row r="13230" ht="15.75" customHeight="1"/>
    <row r="13231" ht="15.75" customHeight="1"/>
    <row r="13232" ht="15.75" customHeight="1"/>
    <row r="13233" ht="15.75" customHeight="1"/>
    <row r="13234" ht="15.75" customHeight="1"/>
    <row r="13235" ht="15.75" customHeight="1"/>
    <row r="13236" ht="15.75" customHeight="1"/>
    <row r="13237" ht="15.75" customHeight="1"/>
    <row r="13238" ht="15.75" customHeight="1"/>
    <row r="13239" ht="15.75" customHeight="1"/>
    <row r="13240" ht="15.75" customHeight="1"/>
    <row r="13241" ht="15.75" customHeight="1"/>
    <row r="13242" ht="15.75" customHeight="1"/>
    <row r="13243" ht="15.75" customHeight="1"/>
    <row r="13244" ht="15.75" customHeight="1"/>
    <row r="13245" ht="15.75" customHeight="1"/>
    <row r="13246" ht="15.75" customHeight="1"/>
    <row r="13247" ht="15.75" customHeight="1"/>
    <row r="13248" ht="15.75" customHeight="1"/>
    <row r="13249" ht="15.75" customHeight="1"/>
    <row r="13250" ht="15.75" customHeight="1"/>
    <row r="13251" ht="15.75" customHeight="1"/>
    <row r="13252" ht="15.75" customHeight="1"/>
    <row r="13253" ht="15.75" customHeight="1"/>
    <row r="13254" ht="15.75" customHeight="1"/>
    <row r="13255" ht="15.75" customHeight="1"/>
    <row r="13256" ht="15.75" customHeight="1"/>
    <row r="13257" ht="15.75" customHeight="1"/>
    <row r="13258" ht="15.75" customHeight="1"/>
    <row r="13259" ht="15.75" customHeight="1"/>
    <row r="13260" ht="15.75" customHeight="1"/>
    <row r="13261" ht="15.75" customHeight="1"/>
    <row r="13262" ht="15.75" customHeight="1"/>
    <row r="13263" ht="15.75" customHeight="1"/>
    <row r="13264" ht="15.75" customHeight="1"/>
    <row r="13265" ht="15.75" customHeight="1"/>
    <row r="13266" ht="15.75" customHeight="1"/>
    <row r="13267" ht="15.75" customHeight="1"/>
    <row r="13268" ht="15.75" customHeight="1"/>
    <row r="13269" ht="15.75" customHeight="1"/>
    <row r="13270" ht="15.75" customHeight="1"/>
    <row r="13271" ht="15.75" customHeight="1"/>
    <row r="13272" ht="15.75" customHeight="1"/>
    <row r="13273" ht="15.75" customHeight="1"/>
    <row r="13274" ht="15.75" customHeight="1"/>
    <row r="13275" ht="15.75" customHeight="1"/>
    <row r="13276" ht="15.75" customHeight="1"/>
    <row r="13277" ht="15.75" customHeight="1"/>
    <row r="13278" ht="15.75" customHeight="1"/>
    <row r="13279" ht="15.75" customHeight="1"/>
    <row r="13280" ht="15.75" customHeight="1"/>
    <row r="13281" ht="15.75" customHeight="1"/>
    <row r="13282" ht="15.75" customHeight="1"/>
    <row r="13283" ht="15.75" customHeight="1"/>
    <row r="13284" ht="15.75" customHeight="1"/>
    <row r="13285" ht="15.75" customHeight="1"/>
    <row r="13286" ht="15.75" customHeight="1"/>
    <row r="13287" ht="15.75" customHeight="1"/>
    <row r="13288" ht="15.75" customHeight="1"/>
    <row r="13289" ht="15.75" customHeight="1"/>
    <row r="13290" ht="15.75" customHeight="1"/>
    <row r="13291" ht="15.75" customHeight="1"/>
    <row r="13292" ht="15.75" customHeight="1"/>
    <row r="13293" ht="15.75" customHeight="1"/>
    <row r="13294" ht="15.75" customHeight="1"/>
    <row r="13295" ht="15.75" customHeight="1"/>
    <row r="13296" ht="15.75" customHeight="1"/>
    <row r="13297" ht="15.75" customHeight="1"/>
    <row r="13298" ht="15.75" customHeight="1"/>
    <row r="13299" ht="15.75" customHeight="1"/>
    <row r="13300" ht="15.75" customHeight="1"/>
    <row r="13301" ht="15.75" customHeight="1"/>
    <row r="13302" ht="15.75" customHeight="1"/>
    <row r="13303" ht="15.75" customHeight="1"/>
    <row r="13304" ht="15.75" customHeight="1"/>
    <row r="13305" ht="15.75" customHeight="1"/>
    <row r="13306" ht="15.75" customHeight="1"/>
    <row r="13307" ht="15.75" customHeight="1"/>
    <row r="13308" ht="15.75" customHeight="1"/>
    <row r="13309" ht="15.75" customHeight="1"/>
    <row r="13310" ht="15.75" customHeight="1"/>
    <row r="13311" ht="15.75" customHeight="1"/>
    <row r="13312" ht="15.75" customHeight="1"/>
    <row r="13313" ht="15.75" customHeight="1"/>
    <row r="13314" ht="15.75" customHeight="1"/>
    <row r="13315" ht="15.75" customHeight="1"/>
    <row r="13316" ht="15.75" customHeight="1"/>
    <row r="13317" ht="15.75" customHeight="1"/>
    <row r="13318" ht="15.75" customHeight="1"/>
    <row r="13319" ht="15.75" customHeight="1"/>
    <row r="13320" ht="15.75" customHeight="1"/>
    <row r="13321" ht="15.75" customHeight="1"/>
    <row r="13322" ht="15.75" customHeight="1"/>
    <row r="13323" ht="15.75" customHeight="1"/>
    <row r="13324" ht="15.75" customHeight="1"/>
    <row r="13325" ht="15.75" customHeight="1"/>
    <row r="13326" ht="15.75" customHeight="1"/>
    <row r="13327" ht="15.75" customHeight="1"/>
    <row r="13328" ht="15.75" customHeight="1"/>
    <row r="13329" ht="15.75" customHeight="1"/>
    <row r="13330" ht="15.75" customHeight="1"/>
    <row r="13331" ht="15.75" customHeight="1"/>
    <row r="13332" ht="15.75" customHeight="1"/>
    <row r="13333" ht="15.75" customHeight="1"/>
    <row r="13334" ht="15.75" customHeight="1"/>
    <row r="13335" ht="15.75" customHeight="1"/>
    <row r="13336" ht="15.75" customHeight="1"/>
    <row r="13337" ht="15.75" customHeight="1"/>
    <row r="13338" ht="15.75" customHeight="1"/>
    <row r="13339" ht="15.75" customHeight="1"/>
    <row r="13340" ht="15.75" customHeight="1"/>
    <row r="13341" ht="15.75" customHeight="1"/>
    <row r="13342" ht="15.75" customHeight="1"/>
    <row r="13343" ht="15.75" customHeight="1"/>
    <row r="13344" ht="15.75" customHeight="1"/>
    <row r="13345" ht="15.75" customHeight="1"/>
    <row r="13346" ht="15.75" customHeight="1"/>
    <row r="13347" ht="15.75" customHeight="1"/>
    <row r="13348" ht="15.75" customHeight="1"/>
    <row r="13349" ht="15.75" customHeight="1"/>
    <row r="13350" ht="15.75" customHeight="1"/>
    <row r="13351" ht="15.75" customHeight="1"/>
    <row r="13352" ht="15.75" customHeight="1"/>
    <row r="13353" ht="15.75" customHeight="1"/>
    <row r="13354" ht="15.75" customHeight="1"/>
    <row r="13355" ht="15.75" customHeight="1"/>
    <row r="13356" ht="15.75" customHeight="1"/>
    <row r="13357" ht="15.75" customHeight="1"/>
    <row r="13358" ht="15.75" customHeight="1"/>
    <row r="13359" ht="15.75" customHeight="1"/>
    <row r="13360" ht="15.75" customHeight="1"/>
    <row r="13361" ht="15.75" customHeight="1"/>
    <row r="13362" ht="15.75" customHeight="1"/>
    <row r="13363" ht="15.75" customHeight="1"/>
    <row r="13364" ht="15.75" customHeight="1"/>
    <row r="13365" ht="15.75" customHeight="1"/>
    <row r="13366" ht="15.75" customHeight="1"/>
    <row r="13367" ht="15.75" customHeight="1"/>
    <row r="13368" ht="15.75" customHeight="1"/>
    <row r="13369" ht="15.75" customHeight="1"/>
    <row r="13370" ht="15.75" customHeight="1"/>
    <row r="13371" ht="15.75" customHeight="1"/>
    <row r="13372" ht="15.75" customHeight="1"/>
    <row r="13373" ht="15.75" customHeight="1"/>
    <row r="13374" ht="15.75" customHeight="1"/>
    <row r="13375" ht="15.75" customHeight="1"/>
    <row r="13376" ht="15.75" customHeight="1"/>
    <row r="13377" ht="15.75" customHeight="1"/>
    <row r="13378" ht="15.75" customHeight="1"/>
    <row r="13379" ht="15.75" customHeight="1"/>
    <row r="13380" ht="15.75" customHeight="1"/>
    <row r="13381" ht="15.75" customHeight="1"/>
    <row r="13382" ht="15.75" customHeight="1"/>
    <row r="13383" ht="15.75" customHeight="1"/>
    <row r="13384" ht="15.75" customHeight="1"/>
    <row r="13385" ht="15.75" customHeight="1"/>
    <row r="13386" ht="15.75" customHeight="1"/>
    <row r="13387" ht="15.75" customHeight="1"/>
    <row r="13388" ht="15.75" customHeight="1"/>
    <row r="13389" ht="15.75" customHeight="1"/>
    <row r="13390" ht="15.75" customHeight="1"/>
    <row r="13391" ht="15.75" customHeight="1"/>
    <row r="13392" ht="15.75" customHeight="1"/>
    <row r="13393" ht="15.75" customHeight="1"/>
    <row r="13394" ht="15.75" customHeight="1"/>
    <row r="13395" ht="15.75" customHeight="1"/>
    <row r="13396" ht="15.75" customHeight="1"/>
    <row r="13397" ht="15.75" customHeight="1"/>
    <row r="13398" ht="15.75" customHeight="1"/>
    <row r="13399" ht="15.75" customHeight="1"/>
    <row r="13400" ht="15.75" customHeight="1"/>
    <row r="13401" ht="15.75" customHeight="1"/>
    <row r="13402" ht="15.75" customHeight="1"/>
    <row r="13403" ht="15.75" customHeight="1"/>
    <row r="13404" ht="15.75" customHeight="1"/>
    <row r="13405" ht="15.75" customHeight="1"/>
    <row r="13406" ht="15.75" customHeight="1"/>
    <row r="13407" ht="15.75" customHeight="1"/>
    <row r="13408" ht="15.75" customHeight="1"/>
    <row r="13409" ht="15.75" customHeight="1"/>
    <row r="13410" ht="15.75" customHeight="1"/>
    <row r="13411" ht="15.75" customHeight="1"/>
    <row r="13412" ht="15.75" customHeight="1"/>
    <row r="13413" ht="15.75" customHeight="1"/>
    <row r="13414" ht="15.75" customHeight="1"/>
    <row r="13415" ht="15.75" customHeight="1"/>
    <row r="13416" ht="15.75" customHeight="1"/>
    <row r="13417" ht="15.75" customHeight="1"/>
    <row r="13418" ht="15.75" customHeight="1"/>
    <row r="13419" ht="15.75" customHeight="1"/>
    <row r="13420" ht="15.75" customHeight="1"/>
    <row r="13421" ht="15.75" customHeight="1"/>
    <row r="13422" ht="15.75" customHeight="1"/>
    <row r="13423" ht="15.75" customHeight="1"/>
    <row r="13424" ht="15.75" customHeight="1"/>
    <row r="13425" ht="15.75" customHeight="1"/>
    <row r="13426" ht="15.75" customHeight="1"/>
    <row r="13427" ht="15.75" customHeight="1"/>
    <row r="13428" ht="15.75" customHeight="1"/>
    <row r="13429" ht="15.75" customHeight="1"/>
    <row r="13430" ht="15.75" customHeight="1"/>
    <row r="13431" ht="15.75" customHeight="1"/>
    <row r="13432" ht="15.75" customHeight="1"/>
    <row r="13433" ht="15.75" customHeight="1"/>
    <row r="13434" ht="15.75" customHeight="1"/>
    <row r="13435" ht="15.75" customHeight="1"/>
    <row r="13436" ht="15.75" customHeight="1"/>
    <row r="13437" ht="15.75" customHeight="1"/>
    <row r="13438" ht="15.75" customHeight="1"/>
    <row r="13439" ht="15.75" customHeight="1"/>
    <row r="13440" ht="15.75" customHeight="1"/>
    <row r="13441" ht="15.75" customHeight="1"/>
    <row r="13442" ht="15.75" customHeight="1"/>
    <row r="13443" ht="15.75" customHeight="1"/>
    <row r="13444" ht="15.75" customHeight="1"/>
    <row r="13445" ht="15.75" customHeight="1"/>
    <row r="13446" ht="15.75" customHeight="1"/>
    <row r="13447" ht="15.75" customHeight="1"/>
    <row r="13448" ht="15.75" customHeight="1"/>
    <row r="13449" ht="15.75" customHeight="1"/>
    <row r="13450" ht="15.75" customHeight="1"/>
    <row r="13451" ht="15.75" customHeight="1"/>
    <row r="13452" ht="15.75" customHeight="1"/>
    <row r="13453" ht="15.75" customHeight="1"/>
    <row r="13454" ht="15.75" customHeight="1"/>
    <row r="13455" ht="15.75" customHeight="1"/>
    <row r="13456" ht="15.75" customHeight="1"/>
    <row r="13457" ht="15.75" customHeight="1"/>
    <row r="13458" ht="15.75" customHeight="1"/>
    <row r="13459" ht="15.75" customHeight="1"/>
    <row r="13460" ht="15.75" customHeight="1"/>
    <row r="13461" ht="15.75" customHeight="1"/>
    <row r="13462" ht="15.75" customHeight="1"/>
    <row r="13463" ht="15.75" customHeight="1"/>
    <row r="13464" ht="15.75" customHeight="1"/>
    <row r="13465" ht="15.75" customHeight="1"/>
    <row r="13466" ht="15.75" customHeight="1"/>
    <row r="13467" ht="15.75" customHeight="1"/>
    <row r="13468" ht="15.75" customHeight="1"/>
    <row r="13469" ht="15.75" customHeight="1"/>
    <row r="13470" ht="15.75" customHeight="1"/>
    <row r="13471" ht="15.75" customHeight="1"/>
    <row r="13472" ht="15.75" customHeight="1"/>
    <row r="13473" ht="15.75" customHeight="1"/>
    <row r="13474" ht="15.75" customHeight="1"/>
    <row r="13475" ht="15.75" customHeight="1"/>
    <row r="13476" ht="15.75" customHeight="1"/>
    <row r="13477" ht="15.75" customHeight="1"/>
    <row r="13478" ht="15.75" customHeight="1"/>
    <row r="13479" ht="15.75" customHeight="1"/>
    <row r="13480" ht="15.75" customHeight="1"/>
    <row r="13481" ht="15.75" customHeight="1"/>
    <row r="13482" ht="15.75" customHeight="1"/>
    <row r="13483" ht="15.75" customHeight="1"/>
    <row r="13484" ht="15.75" customHeight="1"/>
    <row r="13485" ht="15.75" customHeight="1"/>
    <row r="13486" ht="15.75" customHeight="1"/>
    <row r="13487" ht="15.75" customHeight="1"/>
    <row r="13488" ht="15.75" customHeight="1"/>
    <row r="13489" ht="15.75" customHeight="1"/>
    <row r="13490" ht="15.75" customHeight="1"/>
    <row r="13491" ht="15.75" customHeight="1"/>
    <row r="13492" ht="15.75" customHeight="1"/>
    <row r="13493" ht="15.75" customHeight="1"/>
    <row r="13494" ht="15.75" customHeight="1"/>
    <row r="13495" ht="15.75" customHeight="1"/>
    <row r="13496" ht="15.75" customHeight="1"/>
    <row r="13497" ht="15.75" customHeight="1"/>
    <row r="13498" ht="15.75" customHeight="1"/>
    <row r="13499" ht="15.75" customHeight="1"/>
    <row r="13500" ht="15.75" customHeight="1"/>
    <row r="13501" ht="15.75" customHeight="1"/>
    <row r="13502" ht="15.75" customHeight="1"/>
    <row r="13503" ht="15.75" customHeight="1"/>
    <row r="13504" ht="15.75" customHeight="1"/>
    <row r="13505" ht="15.75" customHeight="1"/>
    <row r="13506" ht="15.75" customHeight="1"/>
    <row r="13507" ht="15.75" customHeight="1"/>
    <row r="13508" ht="15.75" customHeight="1"/>
    <row r="13509" ht="15.75" customHeight="1"/>
    <row r="13510" ht="15.75" customHeight="1"/>
    <row r="13511" ht="15.75" customHeight="1"/>
    <row r="13512" ht="15.75" customHeight="1"/>
    <row r="13513" ht="15.75" customHeight="1"/>
    <row r="13514" ht="15.75" customHeight="1"/>
    <row r="13515" ht="15.75" customHeight="1"/>
    <row r="13516" ht="15.75" customHeight="1"/>
    <row r="13517" ht="15.75" customHeight="1"/>
    <row r="13518" ht="15.75" customHeight="1"/>
    <row r="13519" ht="15.75" customHeight="1"/>
    <row r="13520" ht="15.75" customHeight="1"/>
    <row r="13521" ht="15.75" customHeight="1"/>
    <row r="13522" ht="15.75" customHeight="1"/>
    <row r="13523" ht="15.75" customHeight="1"/>
    <row r="13524" ht="15.75" customHeight="1"/>
    <row r="13525" ht="15.75" customHeight="1"/>
    <row r="13526" ht="15.75" customHeight="1"/>
    <row r="13527" ht="15.75" customHeight="1"/>
    <row r="13528" ht="15.75" customHeight="1"/>
    <row r="13529" ht="15.75" customHeight="1"/>
    <row r="13530" ht="15.75" customHeight="1"/>
    <row r="13531" ht="15.75" customHeight="1"/>
    <row r="13532" ht="15.75" customHeight="1"/>
    <row r="13533" ht="15.75" customHeight="1"/>
    <row r="13534" ht="15.75" customHeight="1"/>
    <row r="13535" ht="15.75" customHeight="1"/>
    <row r="13536" ht="15.75" customHeight="1"/>
    <row r="13537" ht="15.75" customHeight="1"/>
    <row r="13538" ht="15.75" customHeight="1"/>
    <row r="13539" ht="15.75" customHeight="1"/>
    <row r="13540" ht="15.75" customHeight="1"/>
    <row r="13541" ht="15.75" customHeight="1"/>
    <row r="13542" ht="15.75" customHeight="1"/>
    <row r="13543" ht="15.75" customHeight="1"/>
    <row r="13544" ht="15.75" customHeight="1"/>
    <row r="13545" ht="15.75" customHeight="1"/>
    <row r="13546" ht="15.75" customHeight="1"/>
    <row r="13547" ht="15.75" customHeight="1"/>
    <row r="13548" ht="15.75" customHeight="1"/>
    <row r="13549" ht="15.75" customHeight="1"/>
    <row r="13550" ht="15.75" customHeight="1"/>
    <row r="13551" ht="15.75" customHeight="1"/>
    <row r="13552" ht="15.75" customHeight="1"/>
    <row r="13553" ht="15.75" customHeight="1"/>
    <row r="13554" ht="15.75" customHeight="1"/>
    <row r="13555" ht="15.75" customHeight="1"/>
    <row r="13556" ht="15.75" customHeight="1"/>
    <row r="13557" ht="15.75" customHeight="1"/>
    <row r="13558" ht="15.75" customHeight="1"/>
    <row r="13559" ht="15.75" customHeight="1"/>
    <row r="13560" ht="15.75" customHeight="1"/>
    <row r="13561" ht="15.75" customHeight="1"/>
    <row r="13562" ht="15.75" customHeight="1"/>
    <row r="13563" ht="15.75" customHeight="1"/>
    <row r="13564" ht="15.75" customHeight="1"/>
    <row r="13565" ht="15.75" customHeight="1"/>
    <row r="13566" ht="15.75" customHeight="1"/>
    <row r="13567" ht="15.75" customHeight="1"/>
    <row r="13568" ht="15.75" customHeight="1"/>
    <row r="13569" ht="15.75" customHeight="1"/>
    <row r="13570" ht="15.75" customHeight="1"/>
    <row r="13571" ht="15.75" customHeight="1"/>
    <row r="13572" ht="15.75" customHeight="1"/>
    <row r="13573" ht="15.75" customHeight="1"/>
    <row r="13574" ht="15.75" customHeight="1"/>
    <row r="13575" ht="15.75" customHeight="1"/>
    <row r="13576" ht="15.75" customHeight="1"/>
    <row r="13577" ht="15.75" customHeight="1"/>
    <row r="13578" ht="15.75" customHeight="1"/>
    <row r="13579" ht="15.75" customHeight="1"/>
    <row r="13580" ht="15.75" customHeight="1"/>
    <row r="13581" ht="15.75" customHeight="1"/>
    <row r="13582" ht="15.75" customHeight="1"/>
    <row r="13583" ht="15.75" customHeight="1"/>
    <row r="13584" ht="15.75" customHeight="1"/>
    <row r="13585" ht="15.75" customHeight="1"/>
    <row r="13586" ht="15.75" customHeight="1"/>
    <row r="13587" ht="15.75" customHeight="1"/>
    <row r="13588" ht="15.75" customHeight="1"/>
    <row r="13589" ht="15.75" customHeight="1"/>
    <row r="13590" ht="15.75" customHeight="1"/>
    <row r="13591" ht="15.75" customHeight="1"/>
    <row r="13592" ht="15.75" customHeight="1"/>
    <row r="13593" ht="15.75" customHeight="1"/>
    <row r="13594" ht="15.75" customHeight="1"/>
    <row r="13595" ht="15.75" customHeight="1"/>
    <row r="13596" ht="15.75" customHeight="1"/>
    <row r="13597" ht="15.75" customHeight="1"/>
    <row r="13598" ht="15.75" customHeight="1"/>
    <row r="13599" ht="15.75" customHeight="1"/>
    <row r="13600" ht="15.75" customHeight="1"/>
    <row r="13601" ht="15.75" customHeight="1"/>
    <row r="13602" ht="15.75" customHeight="1"/>
    <row r="13603" ht="15.75" customHeight="1"/>
    <row r="13604" ht="15.75" customHeight="1"/>
    <row r="13605" ht="15.75" customHeight="1"/>
    <row r="13606" ht="15.75" customHeight="1"/>
    <row r="13607" ht="15.75" customHeight="1"/>
    <row r="13608" ht="15.75" customHeight="1"/>
    <row r="13609" ht="15.75" customHeight="1"/>
    <row r="13610" ht="15.75" customHeight="1"/>
    <row r="13611" ht="15.75" customHeight="1"/>
    <row r="13612" ht="15.75" customHeight="1"/>
    <row r="13613" ht="15.75" customHeight="1"/>
    <row r="13614" ht="15.75" customHeight="1"/>
    <row r="13615" ht="15.75" customHeight="1"/>
    <row r="13616" ht="15.75" customHeight="1"/>
    <row r="13617" ht="15.75" customHeight="1"/>
    <row r="13618" ht="15.75" customHeight="1"/>
    <row r="13619" ht="15.75" customHeight="1"/>
    <row r="13620" ht="15.75" customHeight="1"/>
    <row r="13621" ht="15.75" customHeight="1"/>
    <row r="13622" ht="15.75" customHeight="1"/>
    <row r="13623" ht="15.75" customHeight="1"/>
    <row r="13624" ht="15.75" customHeight="1"/>
    <row r="13625" ht="15.75" customHeight="1"/>
    <row r="13626" ht="15.75" customHeight="1"/>
    <row r="13627" ht="15.75" customHeight="1"/>
    <row r="13628" ht="15.75" customHeight="1"/>
    <row r="13629" ht="15.75" customHeight="1"/>
    <row r="13630" ht="15.75" customHeight="1"/>
    <row r="13631" ht="15.75" customHeight="1"/>
    <row r="13632" ht="15.75" customHeight="1"/>
    <row r="13633" ht="15.75" customHeight="1"/>
    <row r="13634" ht="15.75" customHeight="1"/>
    <row r="13635" ht="15.75" customHeight="1"/>
    <row r="13636" ht="15.75" customHeight="1"/>
    <row r="13637" ht="15.75" customHeight="1"/>
    <row r="13638" ht="15.75" customHeight="1"/>
    <row r="13639" ht="15.75" customHeight="1"/>
    <row r="13640" ht="15.75" customHeight="1"/>
    <row r="13641" ht="15.75" customHeight="1"/>
    <row r="13642" ht="15.75" customHeight="1"/>
    <row r="13643" ht="15.75" customHeight="1"/>
    <row r="13644" ht="15.75" customHeight="1"/>
    <row r="13645" ht="15.75" customHeight="1"/>
    <row r="13646" ht="15.75" customHeight="1"/>
    <row r="13647" ht="15.75" customHeight="1"/>
    <row r="13648" ht="15.75" customHeight="1"/>
    <row r="13649" ht="15.75" customHeight="1"/>
    <row r="13650" ht="15.75" customHeight="1"/>
    <row r="13651" ht="15.75" customHeight="1"/>
    <row r="13652" ht="15.75" customHeight="1"/>
    <row r="13653" ht="15.75" customHeight="1"/>
    <row r="13654" ht="15.75" customHeight="1"/>
    <row r="13655" ht="15.75" customHeight="1"/>
    <row r="13656" ht="15.75" customHeight="1"/>
    <row r="13657" ht="15.75" customHeight="1"/>
    <row r="13658" ht="15.75" customHeight="1"/>
    <row r="13659" ht="15.75" customHeight="1"/>
    <row r="13660" ht="15.75" customHeight="1"/>
    <row r="13661" ht="15.75" customHeight="1"/>
    <row r="13662" ht="15.75" customHeight="1"/>
    <row r="13663" ht="15.75" customHeight="1"/>
    <row r="13664" ht="15.75" customHeight="1"/>
    <row r="13665" ht="15.75" customHeight="1"/>
    <row r="13666" ht="15.75" customHeight="1"/>
    <row r="13667" ht="15.75" customHeight="1"/>
    <row r="13668" ht="15.75" customHeight="1"/>
    <row r="13669" ht="15.75" customHeight="1"/>
    <row r="13670" ht="15.75" customHeight="1"/>
    <row r="13671" ht="15.75" customHeight="1"/>
    <row r="13672" ht="15.75" customHeight="1"/>
    <row r="13673" ht="15.75" customHeight="1"/>
    <row r="13674" ht="15.75" customHeight="1"/>
    <row r="13675" ht="15.75" customHeight="1"/>
    <row r="13676" ht="15.75" customHeight="1"/>
    <row r="13677" ht="15.75" customHeight="1"/>
    <row r="13678" ht="15.75" customHeight="1"/>
    <row r="13679" ht="15.75" customHeight="1"/>
    <row r="13680" ht="15.75" customHeight="1"/>
    <row r="13681" ht="15.75" customHeight="1"/>
    <row r="13682" ht="15.75" customHeight="1"/>
    <row r="13683" ht="15.75" customHeight="1"/>
    <row r="13684" ht="15.75" customHeight="1"/>
    <row r="13685" ht="15.75" customHeight="1"/>
    <row r="13686" ht="15.75" customHeight="1"/>
    <row r="13687" ht="15.75" customHeight="1"/>
    <row r="13688" ht="15.75" customHeight="1"/>
    <row r="13689" ht="15.75" customHeight="1"/>
    <row r="13690" ht="15.75" customHeight="1"/>
    <row r="13691" ht="15.75" customHeight="1"/>
    <row r="13692" ht="15.75" customHeight="1"/>
    <row r="13693" ht="15.75" customHeight="1"/>
    <row r="13694" ht="15.75" customHeight="1"/>
    <row r="13695" ht="15.75" customHeight="1"/>
    <row r="13696" ht="15.75" customHeight="1"/>
    <row r="13697" ht="15.75" customHeight="1"/>
    <row r="13698" ht="15.75" customHeight="1"/>
    <row r="13699" ht="15.75" customHeight="1"/>
    <row r="13700" ht="15.75" customHeight="1"/>
    <row r="13701" ht="15.75" customHeight="1"/>
    <row r="13702" ht="15.75" customHeight="1"/>
    <row r="13703" ht="15.75" customHeight="1"/>
    <row r="13704" ht="15.75" customHeight="1"/>
    <row r="13705" ht="15.75" customHeight="1"/>
    <row r="13706" ht="15.75" customHeight="1"/>
    <row r="13707" ht="15.75" customHeight="1"/>
    <row r="13708" ht="15.75" customHeight="1"/>
    <row r="13709" ht="15.75" customHeight="1"/>
    <row r="13710" ht="15.75" customHeight="1"/>
    <row r="13711" ht="15.75" customHeight="1"/>
    <row r="13712" ht="15.75" customHeight="1"/>
    <row r="13713" ht="15.75" customHeight="1"/>
    <row r="13714" ht="15.75" customHeight="1"/>
    <row r="13715" ht="15.75" customHeight="1"/>
    <row r="13716" ht="15.75" customHeight="1"/>
    <row r="13717" ht="15.75" customHeight="1"/>
    <row r="13718" ht="15.75" customHeight="1"/>
    <row r="13719" ht="15.75" customHeight="1"/>
    <row r="13720" ht="15.75" customHeight="1"/>
    <row r="13721" ht="15.75" customHeight="1"/>
    <row r="13722" ht="15.75" customHeight="1"/>
    <row r="13723" ht="15.75" customHeight="1"/>
    <row r="13724" ht="15.75" customHeight="1"/>
    <row r="13725" ht="15.75" customHeight="1"/>
    <row r="13726" ht="15.75" customHeight="1"/>
    <row r="13727" ht="15.75" customHeight="1"/>
    <row r="13728" ht="15.75" customHeight="1"/>
    <row r="13729" ht="15.75" customHeight="1"/>
    <row r="13730" ht="15.75" customHeight="1"/>
    <row r="13731" ht="15.75" customHeight="1"/>
    <row r="13732" ht="15.75" customHeight="1"/>
    <row r="13733" ht="15.75" customHeight="1"/>
    <row r="13734" ht="15.75" customHeight="1"/>
    <row r="13735" ht="15.75" customHeight="1"/>
    <row r="13736" ht="15.75" customHeight="1"/>
    <row r="13737" ht="15.75" customHeight="1"/>
    <row r="13738" ht="15.75" customHeight="1"/>
    <row r="13739" ht="15.75" customHeight="1"/>
    <row r="13740" ht="15.75" customHeight="1"/>
    <row r="13741" ht="15.75" customHeight="1"/>
    <row r="13742" ht="15.75" customHeight="1"/>
    <row r="13743" ht="15.75" customHeight="1"/>
    <row r="13744" ht="15.75" customHeight="1"/>
    <row r="13745" ht="15.75" customHeight="1"/>
    <row r="13746" ht="15.75" customHeight="1"/>
    <row r="13747" ht="15.75" customHeight="1"/>
    <row r="13748" ht="15.75" customHeight="1"/>
    <row r="13749" ht="15.75" customHeight="1"/>
    <row r="13750" ht="15.75" customHeight="1"/>
    <row r="13751" ht="15.75" customHeight="1"/>
    <row r="13752" ht="15.75" customHeight="1"/>
    <row r="13753" ht="15.75" customHeight="1"/>
    <row r="13754" ht="15.75" customHeight="1"/>
    <row r="13755" ht="15.75" customHeight="1"/>
    <row r="13756" ht="15.75" customHeight="1"/>
    <row r="13757" ht="15.75" customHeight="1"/>
    <row r="13758" ht="15.75" customHeight="1"/>
    <row r="13759" ht="15.75" customHeight="1"/>
    <row r="13760" ht="15.75" customHeight="1"/>
    <row r="13761" ht="15.75" customHeight="1"/>
    <row r="13762" ht="15.75" customHeight="1"/>
    <row r="13763" ht="15.75" customHeight="1"/>
    <row r="13764" ht="15.75" customHeight="1"/>
    <row r="13765" ht="15.75" customHeight="1"/>
    <row r="13766" ht="15.75" customHeight="1"/>
    <row r="13767" ht="15.75" customHeight="1"/>
    <row r="13768" ht="15.75" customHeight="1"/>
    <row r="13769" ht="15.75" customHeight="1"/>
    <row r="13770" ht="15.75" customHeight="1"/>
    <row r="13771" ht="15.75" customHeight="1"/>
    <row r="13772" ht="15.75" customHeight="1"/>
    <row r="13773" ht="15.75" customHeight="1"/>
    <row r="13774" ht="15.75" customHeight="1"/>
    <row r="13775" ht="15.75" customHeight="1"/>
    <row r="13776" ht="15.75" customHeight="1"/>
    <row r="13777" ht="15.75" customHeight="1"/>
    <row r="13778" ht="15.75" customHeight="1"/>
    <row r="13779" ht="15.75" customHeight="1"/>
    <row r="13780" ht="15.75" customHeight="1"/>
    <row r="13781" ht="15.75" customHeight="1"/>
    <row r="13782" ht="15.75" customHeight="1"/>
    <row r="13783" ht="15.75" customHeight="1"/>
    <row r="13784" ht="15.75" customHeight="1"/>
    <row r="13785" ht="15.75" customHeight="1"/>
    <row r="13786" ht="15.75" customHeight="1"/>
    <row r="13787" ht="15.75" customHeight="1"/>
    <row r="13788" ht="15.75" customHeight="1"/>
    <row r="13789" ht="15.75" customHeight="1"/>
    <row r="13790" ht="15.75" customHeight="1"/>
    <row r="13791" ht="15.75" customHeight="1"/>
    <row r="13792" ht="15.75" customHeight="1"/>
    <row r="13793" ht="15.75" customHeight="1"/>
    <row r="13794" ht="15.75" customHeight="1"/>
    <row r="13795" ht="15.75" customHeight="1"/>
    <row r="13796" ht="15.75" customHeight="1"/>
    <row r="13797" ht="15.75" customHeight="1"/>
    <row r="13798" ht="15.75" customHeight="1"/>
    <row r="13799" ht="15.75" customHeight="1"/>
    <row r="13800" ht="15.75" customHeight="1"/>
    <row r="13801" ht="15.75" customHeight="1"/>
    <row r="13802" ht="15.75" customHeight="1"/>
    <row r="13803" ht="15.75" customHeight="1"/>
    <row r="13804" ht="15.75" customHeight="1"/>
    <row r="13805" ht="15.75" customHeight="1"/>
    <row r="13806" ht="15.75" customHeight="1"/>
    <row r="13807" ht="15.75" customHeight="1"/>
    <row r="13808" ht="15.75" customHeight="1"/>
    <row r="13809" ht="15.75" customHeight="1"/>
    <row r="13810" ht="15.75" customHeight="1"/>
    <row r="13811" ht="15.75" customHeight="1"/>
    <row r="13812" ht="15.75" customHeight="1"/>
    <row r="13813" ht="15.75" customHeight="1"/>
    <row r="13814" ht="15.75" customHeight="1"/>
    <row r="13815" ht="15.75" customHeight="1"/>
    <row r="13816" ht="15.75" customHeight="1"/>
    <row r="13817" ht="15.75" customHeight="1"/>
    <row r="13818" ht="15.75" customHeight="1"/>
    <row r="13819" ht="15.75" customHeight="1"/>
    <row r="13820" ht="15.75" customHeight="1"/>
    <row r="13821" ht="15.75" customHeight="1"/>
    <row r="13822" ht="15.75" customHeight="1"/>
    <row r="13823" ht="15.75" customHeight="1"/>
    <row r="13824" ht="15.75" customHeight="1"/>
    <row r="13825" ht="15.75" customHeight="1"/>
    <row r="13826" ht="15.75" customHeight="1"/>
    <row r="13827" ht="15.75" customHeight="1"/>
    <row r="13828" ht="15.75" customHeight="1"/>
    <row r="13829" ht="15.75" customHeight="1"/>
    <row r="13830" ht="15.75" customHeight="1"/>
    <row r="13831" ht="15.75" customHeight="1"/>
    <row r="13832" ht="15.75" customHeight="1"/>
    <row r="13833" ht="15.75" customHeight="1"/>
    <row r="13834" ht="15.75" customHeight="1"/>
    <row r="13835" ht="15.75" customHeight="1"/>
    <row r="13836" ht="15.75" customHeight="1"/>
    <row r="13837" ht="15.75" customHeight="1"/>
    <row r="13838" ht="15.75" customHeight="1"/>
    <row r="13839" ht="15.75" customHeight="1"/>
    <row r="13840" ht="15.75" customHeight="1"/>
    <row r="13841" ht="15.75" customHeight="1"/>
    <row r="13842" ht="15.75" customHeight="1"/>
    <row r="13843" ht="15.75" customHeight="1"/>
    <row r="13844" ht="15.75" customHeight="1"/>
    <row r="13845" ht="15.75" customHeight="1"/>
    <row r="13846" ht="15.75" customHeight="1"/>
    <row r="13847" ht="15.75" customHeight="1"/>
    <row r="13848" ht="15.75" customHeight="1"/>
    <row r="13849" ht="15.75" customHeight="1"/>
    <row r="13850" ht="15.75" customHeight="1"/>
    <row r="13851" ht="15.75" customHeight="1"/>
    <row r="13852" ht="15.75" customHeight="1"/>
    <row r="13853" ht="15.75" customHeight="1"/>
    <row r="13854" ht="15.75" customHeight="1"/>
    <row r="13855" ht="15.75" customHeight="1"/>
    <row r="13856" ht="15.75" customHeight="1"/>
    <row r="13857" ht="15.75" customHeight="1"/>
    <row r="13858" ht="15.75" customHeight="1"/>
    <row r="13859" ht="15.75" customHeight="1"/>
    <row r="13860" ht="15.75" customHeight="1"/>
    <row r="13861" ht="15.75" customHeight="1"/>
    <row r="13862" ht="15.75" customHeight="1"/>
    <row r="13863" ht="15.75" customHeight="1"/>
    <row r="13864" ht="15.75" customHeight="1"/>
    <row r="13865" ht="15.75" customHeight="1"/>
    <row r="13866" ht="15.75" customHeight="1"/>
    <row r="13867" ht="15.75" customHeight="1"/>
    <row r="13868" ht="15.75" customHeight="1"/>
    <row r="13869" ht="15.75" customHeight="1"/>
    <row r="13870" ht="15.75" customHeight="1"/>
    <row r="13871" ht="15.75" customHeight="1"/>
    <row r="13872" ht="15.75" customHeight="1"/>
    <row r="13873" ht="15.75" customHeight="1"/>
    <row r="13874" ht="15.75" customHeight="1"/>
    <row r="13875" ht="15.75" customHeight="1"/>
    <row r="13876" ht="15.75" customHeight="1"/>
    <row r="13877" ht="15.75" customHeight="1"/>
    <row r="13878" ht="15.75" customHeight="1"/>
    <row r="13879" ht="15.75" customHeight="1"/>
    <row r="13880" ht="15.75" customHeight="1"/>
    <row r="13881" ht="15.75" customHeight="1"/>
    <row r="13882" ht="15.75" customHeight="1"/>
    <row r="13883" ht="15.75" customHeight="1"/>
    <row r="13884" ht="15.75" customHeight="1"/>
    <row r="13885" ht="15.75" customHeight="1"/>
    <row r="13886" ht="15.75" customHeight="1"/>
    <row r="13887" ht="15.75" customHeight="1"/>
    <row r="13888" ht="15.75" customHeight="1"/>
    <row r="13889" ht="15.75" customHeight="1"/>
    <row r="13890" ht="15.75" customHeight="1"/>
    <row r="13891" ht="15.75" customHeight="1"/>
    <row r="13892" ht="15.75" customHeight="1"/>
    <row r="13893" ht="15.75" customHeight="1"/>
    <row r="13894" ht="15.75" customHeight="1"/>
    <row r="13895" ht="15.75" customHeight="1"/>
    <row r="13896" ht="15.75" customHeight="1"/>
    <row r="13897" ht="15.75" customHeight="1"/>
    <row r="13898" ht="15.75" customHeight="1"/>
    <row r="13899" ht="15.75" customHeight="1"/>
    <row r="13900" ht="15.75" customHeight="1"/>
    <row r="13901" ht="15.75" customHeight="1"/>
    <row r="13902" ht="15.75" customHeight="1"/>
    <row r="13903" ht="15.75" customHeight="1"/>
    <row r="13904" ht="15.75" customHeight="1"/>
    <row r="13905" ht="15.75" customHeight="1"/>
    <row r="13906" ht="15.75" customHeight="1"/>
    <row r="13907" ht="15.75" customHeight="1"/>
    <row r="13908" ht="15.75" customHeight="1"/>
    <row r="13909" ht="15.75" customHeight="1"/>
    <row r="13910" ht="15.75" customHeight="1"/>
    <row r="13911" ht="15.75" customHeight="1"/>
    <row r="13912" ht="15.75" customHeight="1"/>
    <row r="13913" ht="15.75" customHeight="1"/>
    <row r="13914" ht="15.75" customHeight="1"/>
    <row r="13915" ht="15.75" customHeight="1"/>
    <row r="13916" ht="15.75" customHeight="1"/>
    <row r="13917" ht="15.75" customHeight="1"/>
    <row r="13918" ht="15.75" customHeight="1"/>
    <row r="13919" ht="15.75" customHeight="1"/>
    <row r="13920" ht="15.75" customHeight="1"/>
    <row r="13921" ht="15.75" customHeight="1"/>
    <row r="13922" ht="15.75" customHeight="1"/>
    <row r="13923" ht="15.75" customHeight="1"/>
    <row r="13924" ht="15.75" customHeight="1"/>
    <row r="13925" ht="15.75" customHeight="1"/>
    <row r="13926" ht="15.75" customHeight="1"/>
    <row r="13927" ht="15.75" customHeight="1"/>
    <row r="13928" ht="15.75" customHeight="1"/>
    <row r="13929" ht="15.75" customHeight="1"/>
    <row r="13930" ht="15.75" customHeight="1"/>
    <row r="13931" ht="15.75" customHeight="1"/>
    <row r="13932" ht="15.75" customHeight="1"/>
    <row r="13933" ht="15.75" customHeight="1"/>
    <row r="13934" ht="15.75" customHeight="1"/>
    <row r="13935" ht="15.75" customHeight="1"/>
    <row r="13936" ht="15.75" customHeight="1"/>
    <row r="13937" ht="15.75" customHeight="1"/>
    <row r="13938" ht="15.75" customHeight="1"/>
    <row r="13939" ht="15.75" customHeight="1"/>
    <row r="13940" ht="15.75" customHeight="1"/>
    <row r="13941" ht="15.75" customHeight="1"/>
    <row r="13942" ht="15.75" customHeight="1"/>
    <row r="13943" ht="15.75" customHeight="1"/>
    <row r="13944" ht="15.75" customHeight="1"/>
    <row r="13945" ht="15.75" customHeight="1"/>
    <row r="13946" ht="15.75" customHeight="1"/>
    <row r="13947" ht="15.75" customHeight="1"/>
    <row r="13948" ht="15.75" customHeight="1"/>
    <row r="13949" ht="15.75" customHeight="1"/>
    <row r="13950" ht="15.75" customHeight="1"/>
    <row r="13951" ht="15.75" customHeight="1"/>
    <row r="13952" ht="15.75" customHeight="1"/>
    <row r="13953" ht="15.75" customHeight="1"/>
    <row r="13954" ht="15.75" customHeight="1"/>
    <row r="13955" ht="15.75" customHeight="1"/>
    <row r="13956" ht="15.75" customHeight="1"/>
    <row r="13957" ht="15.75" customHeight="1"/>
    <row r="13958" ht="15.75" customHeight="1"/>
    <row r="13959" ht="15.75" customHeight="1"/>
    <row r="13960" ht="15.75" customHeight="1"/>
    <row r="13961" ht="15.75" customHeight="1"/>
    <row r="13962" ht="15.75" customHeight="1"/>
    <row r="13963" ht="15.75" customHeight="1"/>
    <row r="13964" ht="15.75" customHeight="1"/>
    <row r="13965" ht="15.75" customHeight="1"/>
    <row r="13966" ht="15.75" customHeight="1"/>
    <row r="13967" ht="15.75" customHeight="1"/>
    <row r="13968" ht="15.75" customHeight="1"/>
    <row r="13969" ht="15.75" customHeight="1"/>
    <row r="13970" ht="15.75" customHeight="1"/>
    <row r="13971" ht="15.75" customHeight="1"/>
    <row r="13972" ht="15.75" customHeight="1"/>
    <row r="13973" ht="15.75" customHeight="1"/>
    <row r="13974" ht="15.75" customHeight="1"/>
    <row r="13975" ht="15.75" customHeight="1"/>
    <row r="13976" ht="15.75" customHeight="1"/>
    <row r="13977" ht="15.75" customHeight="1"/>
    <row r="13978" ht="15.75" customHeight="1"/>
    <row r="13979" ht="15.75" customHeight="1"/>
    <row r="13980" ht="15.75" customHeight="1"/>
    <row r="13981" ht="15.75" customHeight="1"/>
    <row r="13982" ht="15.75" customHeight="1"/>
    <row r="13983" ht="15.75" customHeight="1"/>
    <row r="13984" ht="15.75" customHeight="1"/>
    <row r="13985" ht="15.75" customHeight="1"/>
    <row r="13986" ht="15.75" customHeight="1"/>
    <row r="13987" ht="15.75" customHeight="1"/>
    <row r="13988" ht="15.75" customHeight="1"/>
    <row r="13989" ht="15.75" customHeight="1"/>
    <row r="13990" ht="15.75" customHeight="1"/>
    <row r="13991" ht="15.75" customHeight="1"/>
    <row r="13992" ht="15.75" customHeight="1"/>
    <row r="13993" ht="15.75" customHeight="1"/>
    <row r="13994" ht="15.75" customHeight="1"/>
    <row r="13995" ht="15.75" customHeight="1"/>
    <row r="13996" ht="15.75" customHeight="1"/>
    <row r="13997" ht="15.75" customHeight="1"/>
    <row r="13998" ht="15.75" customHeight="1"/>
    <row r="13999" ht="15.75" customHeight="1"/>
    <row r="14000" ht="15.75" customHeight="1"/>
    <row r="14001" ht="15.75" customHeight="1"/>
    <row r="14002" ht="15.75" customHeight="1"/>
    <row r="14003" ht="15.75" customHeight="1"/>
    <row r="14004" ht="15.75" customHeight="1"/>
    <row r="14005" ht="15.75" customHeight="1"/>
    <row r="14006" ht="15.75" customHeight="1"/>
    <row r="14007" ht="15.75" customHeight="1"/>
    <row r="14008" ht="15.75" customHeight="1"/>
    <row r="14009" ht="15.75" customHeight="1"/>
    <row r="14010" ht="15.75" customHeight="1"/>
    <row r="14011" ht="15.75" customHeight="1"/>
    <row r="14012" ht="15.75" customHeight="1"/>
    <row r="14013" ht="15.75" customHeight="1"/>
    <row r="14014" ht="15.75" customHeight="1"/>
    <row r="14015" ht="15.75" customHeight="1"/>
    <row r="14016" ht="15.75" customHeight="1"/>
    <row r="14017" ht="15.75" customHeight="1"/>
    <row r="14018" ht="15.75" customHeight="1"/>
    <row r="14019" ht="15.75" customHeight="1"/>
    <row r="14020" ht="15.75" customHeight="1"/>
    <row r="14021" ht="15.75" customHeight="1"/>
    <row r="14022" ht="15.75" customHeight="1"/>
    <row r="14023" ht="15.75" customHeight="1"/>
    <row r="14024" ht="15.75" customHeight="1"/>
    <row r="14025" ht="15.75" customHeight="1"/>
    <row r="14026" ht="15.75" customHeight="1"/>
    <row r="14027" ht="15.75" customHeight="1"/>
    <row r="14028" ht="15.75" customHeight="1"/>
    <row r="14029" ht="15.75" customHeight="1"/>
    <row r="14030" ht="15.75" customHeight="1"/>
    <row r="14031" ht="15.75" customHeight="1"/>
    <row r="14032" ht="15.75" customHeight="1"/>
    <row r="14033" ht="15.75" customHeight="1"/>
    <row r="14034" ht="15.75" customHeight="1"/>
    <row r="14035" ht="15.75" customHeight="1"/>
    <row r="14036" ht="15.75" customHeight="1"/>
    <row r="14037" ht="15.75" customHeight="1"/>
    <row r="14038" ht="15.75" customHeight="1"/>
    <row r="14039" ht="15.75" customHeight="1"/>
    <row r="14040" ht="15.75" customHeight="1"/>
    <row r="14041" ht="15.75" customHeight="1"/>
    <row r="14042" ht="15.75" customHeight="1"/>
    <row r="14043" ht="15.75" customHeight="1"/>
    <row r="14044" ht="15.75" customHeight="1"/>
    <row r="14045" ht="15.75" customHeight="1"/>
    <row r="14046" ht="15.75" customHeight="1"/>
    <row r="14047" ht="15.75" customHeight="1"/>
    <row r="14048" ht="15.75" customHeight="1"/>
    <row r="14049" ht="15.75" customHeight="1"/>
    <row r="14050" ht="15.75" customHeight="1"/>
    <row r="14051" ht="15.75" customHeight="1"/>
    <row r="14052" ht="15.75" customHeight="1"/>
    <row r="14053" ht="15.75" customHeight="1"/>
    <row r="14054" ht="15.75" customHeight="1"/>
    <row r="14055" ht="15.75" customHeight="1"/>
    <row r="14056" ht="15.75" customHeight="1"/>
    <row r="14057" ht="15.75" customHeight="1"/>
    <row r="14058" ht="15.75" customHeight="1"/>
    <row r="14059" ht="15.75" customHeight="1"/>
    <row r="14060" ht="15.75" customHeight="1"/>
    <row r="14061" ht="15.75" customHeight="1"/>
    <row r="14062" ht="15.75" customHeight="1"/>
    <row r="14063" ht="15.75" customHeight="1"/>
    <row r="14064" ht="15.75" customHeight="1"/>
    <row r="14065" ht="15.75" customHeight="1"/>
    <row r="14066" ht="15.75" customHeight="1"/>
    <row r="14067" ht="15.75" customHeight="1"/>
    <row r="14068" ht="15.75" customHeight="1"/>
    <row r="14069" ht="15.75" customHeight="1"/>
    <row r="14070" ht="15.75" customHeight="1"/>
    <row r="14071" ht="15.75" customHeight="1"/>
    <row r="14072" ht="15.75" customHeight="1"/>
    <row r="14073" ht="15.75" customHeight="1"/>
    <row r="14074" ht="15.75" customHeight="1"/>
    <row r="14075" ht="15.75" customHeight="1"/>
    <row r="14076" ht="15.75" customHeight="1"/>
    <row r="14077" ht="15.75" customHeight="1"/>
    <row r="14078" ht="15.75" customHeight="1"/>
    <row r="14079" ht="15.75" customHeight="1"/>
    <row r="14080" ht="15.75" customHeight="1"/>
    <row r="14081" ht="15.75" customHeight="1"/>
    <row r="14082" ht="15.75" customHeight="1"/>
    <row r="14083" ht="15.75" customHeight="1"/>
    <row r="14084" ht="15.75" customHeight="1"/>
    <row r="14085" ht="15.75" customHeight="1"/>
    <row r="14086" ht="15.75" customHeight="1"/>
    <row r="14087" ht="15.75" customHeight="1"/>
    <row r="14088" ht="15.75" customHeight="1"/>
    <row r="14089" ht="15.75" customHeight="1"/>
    <row r="14090" ht="15.75" customHeight="1"/>
    <row r="14091" ht="15.75" customHeight="1"/>
    <row r="14092" ht="15.75" customHeight="1"/>
    <row r="14093" ht="15.75" customHeight="1"/>
    <row r="14094" ht="15.75" customHeight="1"/>
    <row r="14095" ht="15.75" customHeight="1"/>
    <row r="14096" ht="15.75" customHeight="1"/>
    <row r="14097" ht="15.75" customHeight="1"/>
    <row r="14098" ht="15.75" customHeight="1"/>
    <row r="14099" ht="15.75" customHeight="1"/>
    <row r="14100" ht="15.75" customHeight="1"/>
    <row r="14101" ht="15.75" customHeight="1"/>
    <row r="14102" ht="15.75" customHeight="1"/>
    <row r="14103" ht="15.75" customHeight="1"/>
    <row r="14104" ht="15.75" customHeight="1"/>
    <row r="14105" ht="15.75" customHeight="1"/>
    <row r="14106" ht="15.75" customHeight="1"/>
    <row r="14107" ht="15.75" customHeight="1"/>
    <row r="14108" ht="15.75" customHeight="1"/>
    <row r="14109" ht="15.75" customHeight="1"/>
    <row r="14110" ht="15.75" customHeight="1"/>
    <row r="14111" ht="15.75" customHeight="1"/>
    <row r="14112" ht="15.75" customHeight="1"/>
    <row r="14113" ht="15.75" customHeight="1"/>
    <row r="14114" ht="15.75" customHeight="1"/>
    <row r="14115" ht="15.75" customHeight="1"/>
    <row r="14116" ht="15.75" customHeight="1"/>
    <row r="14117" ht="15.75" customHeight="1"/>
    <row r="14118" ht="15.75" customHeight="1"/>
    <row r="14119" ht="15.75" customHeight="1"/>
    <row r="14120" ht="15.75" customHeight="1"/>
    <row r="14121" ht="15.75" customHeight="1"/>
    <row r="14122" ht="15.75" customHeight="1"/>
    <row r="14123" ht="15.75" customHeight="1"/>
    <row r="14124" ht="15.75" customHeight="1"/>
    <row r="14125" ht="15.75" customHeight="1"/>
    <row r="14126" ht="15.75" customHeight="1"/>
    <row r="14127" ht="15.75" customHeight="1"/>
    <row r="14128" ht="15.75" customHeight="1"/>
    <row r="14129" ht="15.75" customHeight="1"/>
    <row r="14130" ht="15.75" customHeight="1"/>
    <row r="14131" ht="15.75" customHeight="1"/>
    <row r="14132" ht="15.75" customHeight="1"/>
    <row r="14133" ht="15.75" customHeight="1"/>
    <row r="14134" ht="15.75" customHeight="1"/>
    <row r="14135" ht="15.75" customHeight="1"/>
    <row r="14136" ht="15.75" customHeight="1"/>
    <row r="14137" ht="15.75" customHeight="1"/>
    <row r="14138" ht="15.75" customHeight="1"/>
    <row r="14139" ht="15.75" customHeight="1"/>
    <row r="14140" ht="15.75" customHeight="1"/>
    <row r="14141" ht="15.75" customHeight="1"/>
    <row r="14142" ht="15.75" customHeight="1"/>
    <row r="14143" ht="15.75" customHeight="1"/>
    <row r="14144" ht="15.75" customHeight="1"/>
    <row r="14145" ht="15.75" customHeight="1"/>
    <row r="14146" ht="15.75" customHeight="1"/>
    <row r="14147" ht="15.75" customHeight="1"/>
    <row r="14148" ht="15.75" customHeight="1"/>
    <row r="14149" ht="15.75" customHeight="1"/>
    <row r="14150" ht="15.75" customHeight="1"/>
    <row r="14151" ht="15.75" customHeight="1"/>
    <row r="14152" ht="15.75" customHeight="1"/>
    <row r="14153" ht="15.75" customHeight="1"/>
    <row r="14154" ht="15.75" customHeight="1"/>
    <row r="14155" ht="15.75" customHeight="1"/>
    <row r="14156" ht="15.75" customHeight="1"/>
    <row r="14157" ht="15.75" customHeight="1"/>
    <row r="14158" ht="15.75" customHeight="1"/>
    <row r="14159" ht="15.75" customHeight="1"/>
    <row r="14160" ht="15.75" customHeight="1"/>
    <row r="14161" ht="15.75" customHeight="1"/>
    <row r="14162" ht="15.75" customHeight="1"/>
    <row r="14163" ht="15.75" customHeight="1"/>
    <row r="14164" ht="15.75" customHeight="1"/>
    <row r="14165" ht="15.75" customHeight="1"/>
    <row r="14166" ht="15.75" customHeight="1"/>
    <row r="14167" ht="15.75" customHeight="1"/>
    <row r="14168" ht="15.75" customHeight="1"/>
    <row r="14169" ht="15.75" customHeight="1"/>
    <row r="14170" ht="15.75" customHeight="1"/>
    <row r="14171" ht="15.75" customHeight="1"/>
    <row r="14172" ht="15.75" customHeight="1"/>
    <row r="14173" ht="15.75" customHeight="1"/>
    <row r="14174" ht="15.75" customHeight="1"/>
    <row r="14175" ht="15.75" customHeight="1"/>
    <row r="14176" ht="15.75" customHeight="1"/>
    <row r="14177" ht="15.75" customHeight="1"/>
    <row r="14178" ht="15.75" customHeight="1"/>
    <row r="14179" ht="15.75" customHeight="1"/>
    <row r="14180" ht="15.75" customHeight="1"/>
    <row r="14181" ht="15.75" customHeight="1"/>
    <row r="14182" ht="15.75" customHeight="1"/>
    <row r="14183" ht="15.75" customHeight="1"/>
    <row r="14184" ht="15.75" customHeight="1"/>
    <row r="14185" ht="15.75" customHeight="1"/>
    <row r="14186" ht="15.75" customHeight="1"/>
    <row r="14187" ht="15.75" customHeight="1"/>
    <row r="14188" ht="15.75" customHeight="1"/>
    <row r="14189" ht="15.75" customHeight="1"/>
    <row r="14190" ht="15.75" customHeight="1"/>
    <row r="14191" ht="15.75" customHeight="1"/>
    <row r="14192" ht="15.75" customHeight="1"/>
    <row r="14193" ht="15.75" customHeight="1"/>
    <row r="14194" ht="15.75" customHeight="1"/>
    <row r="14195" ht="15.75" customHeight="1"/>
    <row r="14196" ht="15.75" customHeight="1"/>
    <row r="14197" ht="15.75" customHeight="1"/>
    <row r="14198" ht="15.75" customHeight="1"/>
    <row r="14199" ht="15.75" customHeight="1"/>
    <row r="14200" ht="15.75" customHeight="1"/>
    <row r="14201" ht="15.75" customHeight="1"/>
    <row r="14202" ht="15.75" customHeight="1"/>
    <row r="14203" ht="15.75" customHeight="1"/>
    <row r="14204" ht="15.75" customHeight="1"/>
    <row r="14205" ht="15.75" customHeight="1"/>
    <row r="14206" ht="15.75" customHeight="1"/>
    <row r="14207" ht="15.75" customHeight="1"/>
    <row r="14208" ht="15.75" customHeight="1"/>
    <row r="14209" ht="15.75" customHeight="1"/>
    <row r="14210" ht="15.75" customHeight="1"/>
    <row r="14211" ht="15.75" customHeight="1"/>
    <row r="14212" ht="15.75" customHeight="1"/>
    <row r="14213" ht="15.75" customHeight="1"/>
    <row r="14214" ht="15.75" customHeight="1"/>
    <row r="14215" ht="15.75" customHeight="1"/>
    <row r="14216" ht="15.75" customHeight="1"/>
    <row r="14217" ht="15.75" customHeight="1"/>
    <row r="14218" ht="15.75" customHeight="1"/>
    <row r="14219" ht="15.75" customHeight="1"/>
    <row r="14220" ht="15.75" customHeight="1"/>
    <row r="14221" ht="15.75" customHeight="1"/>
    <row r="14222" ht="15.75" customHeight="1"/>
    <row r="14223" ht="15.75" customHeight="1"/>
    <row r="14224" ht="15.75" customHeight="1"/>
    <row r="14225" ht="15.75" customHeight="1"/>
    <row r="14226" ht="15.75" customHeight="1"/>
    <row r="14227" ht="15.75" customHeight="1"/>
    <row r="14228" ht="15.75" customHeight="1"/>
    <row r="14229" ht="15.75" customHeight="1"/>
    <row r="14230" ht="15.75" customHeight="1"/>
    <row r="14231" ht="15.75" customHeight="1"/>
    <row r="14232" ht="15.75" customHeight="1"/>
    <row r="14233" ht="15.75" customHeight="1"/>
    <row r="14234" ht="15.75" customHeight="1"/>
    <row r="14235" ht="15.75" customHeight="1"/>
    <row r="14236" ht="15.75" customHeight="1"/>
    <row r="14237" ht="15.75" customHeight="1"/>
    <row r="14238" ht="15.75" customHeight="1"/>
    <row r="14239" ht="15.75" customHeight="1"/>
    <row r="14240" ht="15.75" customHeight="1"/>
    <row r="14241" ht="15.75" customHeight="1"/>
    <row r="14242" ht="15.75" customHeight="1"/>
    <row r="14243" ht="15.75" customHeight="1"/>
    <row r="14244" ht="15.75" customHeight="1"/>
    <row r="14245" ht="15.75" customHeight="1"/>
    <row r="14246" ht="15.75" customHeight="1"/>
    <row r="14247" ht="15.75" customHeight="1"/>
    <row r="14248" ht="15.75" customHeight="1"/>
    <row r="14249" ht="15.75" customHeight="1"/>
    <row r="14250" ht="15.75" customHeight="1"/>
    <row r="14251" ht="15.75" customHeight="1"/>
    <row r="14252" ht="15.75" customHeight="1"/>
    <row r="14253" ht="15.75" customHeight="1"/>
    <row r="14254" ht="15.75" customHeight="1"/>
    <row r="14255" ht="15.75" customHeight="1"/>
    <row r="14256" ht="15.75" customHeight="1"/>
    <row r="14257" ht="15.75" customHeight="1"/>
    <row r="14258" ht="15.75" customHeight="1"/>
    <row r="14259" ht="15.75" customHeight="1"/>
    <row r="14260" ht="15.75" customHeight="1"/>
    <row r="14261" ht="15.75" customHeight="1"/>
    <row r="14262" ht="15.75" customHeight="1"/>
    <row r="14263" ht="15.75" customHeight="1"/>
    <row r="14264" ht="15.75" customHeight="1"/>
    <row r="14265" ht="15.75" customHeight="1"/>
    <row r="14266" ht="15.75" customHeight="1"/>
    <row r="14267" ht="15.75" customHeight="1"/>
    <row r="14268" ht="15.75" customHeight="1"/>
    <row r="14269" ht="15.75" customHeight="1"/>
    <row r="14270" ht="15.75" customHeight="1"/>
    <row r="14271" ht="15.75" customHeight="1"/>
    <row r="14272" ht="15.75" customHeight="1"/>
    <row r="14273" ht="15.75" customHeight="1"/>
    <row r="14274" ht="15.75" customHeight="1"/>
    <row r="14275" ht="15.75" customHeight="1"/>
    <row r="14276" ht="15.75" customHeight="1"/>
    <row r="14277" ht="15.75" customHeight="1"/>
    <row r="14278" ht="15.75" customHeight="1"/>
    <row r="14279" ht="15.75" customHeight="1"/>
    <row r="14280" ht="15.75" customHeight="1"/>
    <row r="14281" ht="15.75" customHeight="1"/>
    <row r="14282" ht="15.75" customHeight="1"/>
    <row r="14283" ht="15.75" customHeight="1"/>
    <row r="14284" ht="15.75" customHeight="1"/>
    <row r="14285" ht="15.75" customHeight="1"/>
    <row r="14286" ht="15.75" customHeight="1"/>
    <row r="14287" ht="15.75" customHeight="1"/>
    <row r="14288" ht="15.75" customHeight="1"/>
    <row r="14289" ht="15.75" customHeight="1"/>
    <row r="14290" ht="15.75" customHeight="1"/>
    <row r="14291" ht="15.75" customHeight="1"/>
    <row r="14292" ht="15.75" customHeight="1"/>
    <row r="14293" ht="15.75" customHeight="1"/>
    <row r="14294" ht="15.75" customHeight="1"/>
    <row r="14295" ht="15.75" customHeight="1"/>
    <row r="14296" ht="15.75" customHeight="1"/>
    <row r="14297" ht="15.75" customHeight="1"/>
    <row r="14298" ht="15.75" customHeight="1"/>
    <row r="14299" ht="15.75" customHeight="1"/>
    <row r="14300" ht="15.75" customHeight="1"/>
    <row r="14301" ht="15.75" customHeight="1"/>
    <row r="14302" ht="15.75" customHeight="1"/>
    <row r="14303" ht="15.75" customHeight="1"/>
    <row r="14304" ht="15.75" customHeight="1"/>
    <row r="14305" ht="15.75" customHeight="1"/>
    <row r="14306" ht="15.75" customHeight="1"/>
    <row r="14307" ht="15.75" customHeight="1"/>
    <row r="14308" ht="15.75" customHeight="1"/>
    <row r="14309" ht="15.75" customHeight="1"/>
    <row r="14310" ht="15.75" customHeight="1"/>
    <row r="14311" ht="15.75" customHeight="1"/>
    <row r="14312" ht="15.75" customHeight="1"/>
    <row r="14313" ht="15.75" customHeight="1"/>
    <row r="14314" ht="15.75" customHeight="1"/>
    <row r="14315" ht="15.75" customHeight="1"/>
    <row r="14316" ht="15.75" customHeight="1"/>
    <row r="14317" ht="15.75" customHeight="1"/>
    <row r="14318" ht="15.75" customHeight="1"/>
    <row r="14319" ht="15.75" customHeight="1"/>
    <row r="14320" ht="15.75" customHeight="1"/>
    <row r="14321" ht="15.75" customHeight="1"/>
    <row r="14322" ht="15.75" customHeight="1"/>
    <row r="14323" ht="15.75" customHeight="1"/>
    <row r="14324" ht="15.75" customHeight="1"/>
    <row r="14325" ht="15.75" customHeight="1"/>
    <row r="14326" ht="15.75" customHeight="1"/>
    <row r="14327" ht="15.75" customHeight="1"/>
    <row r="14328" ht="15.75" customHeight="1"/>
    <row r="14329" ht="15.75" customHeight="1"/>
    <row r="14330" ht="15.75" customHeight="1"/>
    <row r="14331" ht="15.75" customHeight="1"/>
    <row r="14332" ht="15.75" customHeight="1"/>
    <row r="14333" ht="15.75" customHeight="1"/>
    <row r="14334" ht="15.75" customHeight="1"/>
    <row r="14335" ht="15.75" customHeight="1"/>
    <row r="14336" ht="15.75" customHeight="1"/>
    <row r="14337" ht="15.75" customHeight="1"/>
    <row r="14338" ht="15.75" customHeight="1"/>
    <row r="14339" ht="15.75" customHeight="1"/>
    <row r="14340" ht="15.75" customHeight="1"/>
    <row r="14341" ht="15.75" customHeight="1"/>
    <row r="14342" ht="15.75" customHeight="1"/>
    <row r="14343" ht="15.75" customHeight="1"/>
    <row r="14344" ht="15.75" customHeight="1"/>
    <row r="14345" ht="15.75" customHeight="1"/>
    <row r="14346" ht="15.75" customHeight="1"/>
    <row r="14347" ht="15.75" customHeight="1"/>
    <row r="14348" ht="15.75" customHeight="1"/>
    <row r="14349" ht="15.75" customHeight="1"/>
    <row r="14350" ht="15.75" customHeight="1"/>
    <row r="14351" ht="15.75" customHeight="1"/>
    <row r="14352" ht="15.75" customHeight="1"/>
    <row r="14353" ht="15.75" customHeight="1"/>
    <row r="14354" ht="15.75" customHeight="1"/>
    <row r="14355" ht="15.75" customHeight="1"/>
    <row r="14356" ht="15.75" customHeight="1"/>
    <row r="14357" ht="15.75" customHeight="1"/>
    <row r="14358" ht="15.75" customHeight="1"/>
    <row r="14359" ht="15.75" customHeight="1"/>
    <row r="14360" ht="15.75" customHeight="1"/>
    <row r="14361" ht="15.75" customHeight="1"/>
    <row r="14362" ht="15.75" customHeight="1"/>
    <row r="14363" ht="15.75" customHeight="1"/>
    <row r="14364" ht="15.75" customHeight="1"/>
    <row r="14365" ht="15.75" customHeight="1"/>
    <row r="14366" ht="15.75" customHeight="1"/>
    <row r="14367" ht="15.75" customHeight="1"/>
    <row r="14368" ht="15.75" customHeight="1"/>
    <row r="14369" ht="15.75" customHeight="1"/>
    <row r="14370" ht="15.75" customHeight="1"/>
    <row r="14371" ht="15.75" customHeight="1"/>
    <row r="14372" ht="15.75" customHeight="1"/>
    <row r="14373" ht="15.75" customHeight="1"/>
    <row r="14374" ht="15.75" customHeight="1"/>
    <row r="14375" ht="15.75" customHeight="1"/>
    <row r="14376" ht="15.75" customHeight="1"/>
    <row r="14377" ht="15.75" customHeight="1"/>
    <row r="14378" ht="15.75" customHeight="1"/>
    <row r="14379" ht="15.75" customHeight="1"/>
    <row r="14380" ht="15.75" customHeight="1"/>
    <row r="14381" ht="15.75" customHeight="1"/>
    <row r="14382" ht="15.75" customHeight="1"/>
    <row r="14383" ht="15.75" customHeight="1"/>
    <row r="14384" ht="15.75" customHeight="1"/>
    <row r="14385" ht="15.75" customHeight="1"/>
    <row r="14386" ht="15.75" customHeight="1"/>
    <row r="14387" ht="15.75" customHeight="1"/>
    <row r="14388" ht="15.75" customHeight="1"/>
    <row r="14389" ht="15.75" customHeight="1"/>
    <row r="14390" ht="15.75" customHeight="1"/>
    <row r="14391" ht="15.75" customHeight="1"/>
    <row r="14392" ht="15.75" customHeight="1"/>
    <row r="14393" ht="15.75" customHeight="1"/>
    <row r="14394" ht="15.75" customHeight="1"/>
    <row r="14395" ht="15.75" customHeight="1"/>
    <row r="14396" ht="15.75" customHeight="1"/>
    <row r="14397" ht="15.75" customHeight="1"/>
    <row r="14398" ht="15.75" customHeight="1"/>
    <row r="14399" ht="15.75" customHeight="1"/>
    <row r="14400" ht="15.75" customHeight="1"/>
    <row r="14401" ht="15.75" customHeight="1"/>
    <row r="14402" ht="15.75" customHeight="1"/>
    <row r="14403" ht="15.75" customHeight="1"/>
    <row r="14404" ht="15.75" customHeight="1"/>
    <row r="14405" ht="15.75" customHeight="1"/>
    <row r="14406" ht="15.75" customHeight="1"/>
    <row r="14407" ht="15.75" customHeight="1"/>
    <row r="14408" ht="15.75" customHeight="1"/>
    <row r="14409" ht="15.75" customHeight="1"/>
    <row r="14410" ht="15.75" customHeight="1"/>
    <row r="14411" ht="15.75" customHeight="1"/>
    <row r="14412" ht="15.75" customHeight="1"/>
    <row r="14413" ht="15.75" customHeight="1"/>
    <row r="14414" ht="15.75" customHeight="1"/>
    <row r="14415" ht="15.75" customHeight="1"/>
    <row r="14416" ht="15.75" customHeight="1"/>
    <row r="14417" ht="15.75" customHeight="1"/>
    <row r="14418" ht="15.75" customHeight="1"/>
    <row r="14419" ht="15.75" customHeight="1"/>
    <row r="14420" ht="15.75" customHeight="1"/>
    <row r="14421" ht="15.75" customHeight="1"/>
    <row r="14422" ht="15.75" customHeight="1"/>
    <row r="14423" ht="15.75" customHeight="1"/>
    <row r="14424" ht="15.75" customHeight="1"/>
    <row r="14425" ht="15.75" customHeight="1"/>
    <row r="14426" ht="15.75" customHeight="1"/>
    <row r="14427" ht="15.75" customHeight="1"/>
    <row r="14428" ht="15.75" customHeight="1"/>
    <row r="14429" ht="15.75" customHeight="1"/>
    <row r="14430" ht="15.75" customHeight="1"/>
    <row r="14431" ht="15.75" customHeight="1"/>
    <row r="14432" ht="15.75" customHeight="1"/>
    <row r="14433" ht="15.75" customHeight="1"/>
    <row r="14434" ht="15.75" customHeight="1"/>
    <row r="14435" ht="15.75" customHeight="1"/>
    <row r="14436" ht="15.75" customHeight="1"/>
    <row r="14437" ht="15.75" customHeight="1"/>
    <row r="14438" ht="15.75" customHeight="1"/>
    <row r="14439" ht="15.75" customHeight="1"/>
    <row r="14440" ht="15.75" customHeight="1"/>
    <row r="14441" ht="15.75" customHeight="1"/>
    <row r="14442" ht="15.75" customHeight="1"/>
    <row r="14443" ht="15.75" customHeight="1"/>
    <row r="14444" ht="15.75" customHeight="1"/>
    <row r="14445" ht="15.75" customHeight="1"/>
    <row r="14446" ht="15.75" customHeight="1"/>
    <row r="14447" ht="15.75" customHeight="1"/>
    <row r="14448" ht="15.75" customHeight="1"/>
    <row r="14449" ht="15.75" customHeight="1"/>
    <row r="14450" ht="15.75" customHeight="1"/>
    <row r="14451" ht="15.75" customHeight="1"/>
    <row r="14452" ht="15.75" customHeight="1"/>
    <row r="14453" ht="15.75" customHeight="1"/>
    <row r="14454" ht="15.75" customHeight="1"/>
    <row r="14455" ht="15.75" customHeight="1"/>
    <row r="14456" ht="15.75" customHeight="1"/>
    <row r="14457" ht="15.75" customHeight="1"/>
    <row r="14458" ht="15.75" customHeight="1"/>
    <row r="14459" ht="15.75" customHeight="1"/>
    <row r="14460" ht="15.75" customHeight="1"/>
    <row r="14461" ht="15.75" customHeight="1"/>
    <row r="14462" ht="15.75" customHeight="1"/>
    <row r="14463" ht="15.75" customHeight="1"/>
    <row r="14464" ht="15.75" customHeight="1"/>
    <row r="14465" ht="15.75" customHeight="1"/>
    <row r="14466" ht="15.75" customHeight="1"/>
    <row r="14467" ht="15.75" customHeight="1"/>
    <row r="14468" ht="15.75" customHeight="1"/>
    <row r="14469" ht="15.75" customHeight="1"/>
    <row r="14470" ht="15.75" customHeight="1"/>
    <row r="14471" ht="15.75" customHeight="1"/>
    <row r="14472" ht="15.75" customHeight="1"/>
    <row r="14473" ht="15.75" customHeight="1"/>
    <row r="14474" ht="15.75" customHeight="1"/>
    <row r="14475" ht="15.75" customHeight="1"/>
    <row r="14476" ht="15.75" customHeight="1"/>
    <row r="14477" ht="15.75" customHeight="1"/>
    <row r="14478" ht="15.75" customHeight="1"/>
    <row r="14479" ht="15.75" customHeight="1"/>
    <row r="14480" ht="15.75" customHeight="1"/>
    <row r="14481" ht="15.75" customHeight="1"/>
    <row r="14482" ht="15.75" customHeight="1"/>
    <row r="14483" ht="15.75" customHeight="1"/>
    <row r="14484" ht="15.75" customHeight="1"/>
    <row r="14485" ht="15.75" customHeight="1"/>
    <row r="14486" ht="15.75" customHeight="1"/>
    <row r="14487" ht="15.75" customHeight="1"/>
    <row r="14488" ht="15.75" customHeight="1"/>
    <row r="14489" ht="15.75" customHeight="1"/>
    <row r="14490" ht="15.75" customHeight="1"/>
    <row r="14491" ht="15.75" customHeight="1"/>
    <row r="14492" ht="15.75" customHeight="1"/>
    <row r="14493" ht="15.75" customHeight="1"/>
    <row r="14494" ht="15.75" customHeight="1"/>
    <row r="14495" ht="15.75" customHeight="1"/>
    <row r="14496" ht="15.75" customHeight="1"/>
    <row r="14497" ht="15.75" customHeight="1"/>
    <row r="14498" ht="15.75" customHeight="1"/>
    <row r="14499" ht="15.75" customHeight="1"/>
    <row r="14500" ht="15.75" customHeight="1"/>
    <row r="14501" ht="15.75" customHeight="1"/>
    <row r="14502" ht="15.75" customHeight="1"/>
    <row r="14503" ht="15.75" customHeight="1"/>
    <row r="14504" ht="15.75" customHeight="1"/>
    <row r="14505" ht="15.75" customHeight="1"/>
    <row r="14506" ht="15.75" customHeight="1"/>
    <row r="14507" ht="15.75" customHeight="1"/>
    <row r="14508" ht="15.75" customHeight="1"/>
    <row r="14509" ht="15.75" customHeight="1"/>
    <row r="14510" ht="15.75" customHeight="1"/>
    <row r="14511" ht="15.75" customHeight="1"/>
    <row r="14512" ht="15.75" customHeight="1"/>
    <row r="14513" ht="15.75" customHeight="1"/>
    <row r="14514" ht="15.75" customHeight="1"/>
    <row r="14515" ht="15.75" customHeight="1"/>
    <row r="14516" ht="15.75" customHeight="1"/>
    <row r="14517" ht="15.75" customHeight="1"/>
    <row r="14518" ht="15.75" customHeight="1"/>
    <row r="14519" ht="15.75" customHeight="1"/>
    <row r="14520" ht="15.75" customHeight="1"/>
    <row r="14521" ht="15.75" customHeight="1"/>
    <row r="14522" ht="15.75" customHeight="1"/>
    <row r="14523" ht="15.75" customHeight="1"/>
    <row r="14524" ht="15.75" customHeight="1"/>
    <row r="14525" ht="15.75" customHeight="1"/>
    <row r="14526" ht="15.75" customHeight="1"/>
    <row r="14527" ht="15.75" customHeight="1"/>
    <row r="14528" ht="15.75" customHeight="1"/>
    <row r="14529" ht="15.75" customHeight="1"/>
    <row r="14530" ht="15.75" customHeight="1"/>
    <row r="14531" ht="15.75" customHeight="1"/>
    <row r="14532" ht="15.75" customHeight="1"/>
    <row r="14533" ht="15.75" customHeight="1"/>
    <row r="14534" ht="15.75" customHeight="1"/>
    <row r="14535" ht="15.75" customHeight="1"/>
    <row r="14536" ht="15.75" customHeight="1"/>
    <row r="14537" ht="15.75" customHeight="1"/>
    <row r="14538" ht="15.75" customHeight="1"/>
    <row r="14539" ht="15.75" customHeight="1"/>
    <row r="14540" ht="15.75" customHeight="1"/>
    <row r="14541" ht="15.75" customHeight="1"/>
    <row r="14542" ht="15.75" customHeight="1"/>
    <row r="14543" ht="15.75" customHeight="1"/>
    <row r="14544" ht="15.75" customHeight="1"/>
    <row r="14545" ht="15.75" customHeight="1"/>
    <row r="14546" ht="15.75" customHeight="1"/>
    <row r="14547" ht="15.75" customHeight="1"/>
    <row r="14548" ht="15.75" customHeight="1"/>
    <row r="14549" ht="15.75" customHeight="1"/>
    <row r="14550" ht="15.75" customHeight="1"/>
    <row r="14551" ht="15.75" customHeight="1"/>
    <row r="14552" ht="15.75" customHeight="1"/>
    <row r="14553" ht="15.75" customHeight="1"/>
    <row r="14554" ht="15.75" customHeight="1"/>
    <row r="14555" ht="15.75" customHeight="1"/>
    <row r="14556" ht="15.75" customHeight="1"/>
    <row r="14557" ht="15.75" customHeight="1"/>
    <row r="14558" ht="15.75" customHeight="1"/>
    <row r="14559" ht="15.75" customHeight="1"/>
    <row r="14560" ht="15.75" customHeight="1"/>
    <row r="14561" ht="15.75" customHeight="1"/>
    <row r="14562" ht="15.75" customHeight="1"/>
    <row r="14563" ht="15.75" customHeight="1"/>
    <row r="14564" ht="15.75" customHeight="1"/>
    <row r="14565" ht="15.75" customHeight="1"/>
    <row r="14566" ht="15.75" customHeight="1"/>
    <row r="14567" ht="15.75" customHeight="1"/>
    <row r="14568" ht="15.75" customHeight="1"/>
    <row r="14569" ht="15.75" customHeight="1"/>
    <row r="14570" ht="15.75" customHeight="1"/>
    <row r="14571" ht="15.75" customHeight="1"/>
    <row r="14572" ht="15.75" customHeight="1"/>
    <row r="14573" ht="15.75" customHeight="1"/>
    <row r="14574" ht="15.75" customHeight="1"/>
    <row r="14575" ht="15.75" customHeight="1"/>
    <row r="14576" ht="15.75" customHeight="1"/>
    <row r="14577" ht="15.75" customHeight="1"/>
    <row r="14578" ht="15.75" customHeight="1"/>
    <row r="14579" ht="15.75" customHeight="1"/>
    <row r="14580" ht="15.75" customHeight="1"/>
    <row r="14581" ht="15.75" customHeight="1"/>
    <row r="14582" ht="15.75" customHeight="1"/>
    <row r="14583" ht="15.75" customHeight="1"/>
    <row r="14584" ht="15.75" customHeight="1"/>
    <row r="14585" ht="15.75" customHeight="1"/>
    <row r="14586" ht="15.75" customHeight="1"/>
    <row r="14587" ht="15.75" customHeight="1"/>
    <row r="14588" ht="15.75" customHeight="1"/>
    <row r="14589" ht="15.75" customHeight="1"/>
    <row r="14590" ht="15.75" customHeight="1"/>
    <row r="14591" ht="15.75" customHeight="1"/>
    <row r="14592" ht="15.75" customHeight="1"/>
    <row r="14593" ht="15.75" customHeight="1"/>
    <row r="14594" ht="15.75" customHeight="1"/>
    <row r="14595" ht="15.75" customHeight="1"/>
    <row r="14596" ht="15.75" customHeight="1"/>
    <row r="14597" ht="15.75" customHeight="1"/>
    <row r="14598" ht="15.75" customHeight="1"/>
    <row r="14599" ht="15.75" customHeight="1"/>
    <row r="14600" ht="15.75" customHeight="1"/>
    <row r="14601" ht="15.75" customHeight="1"/>
    <row r="14602" ht="15.75" customHeight="1"/>
    <row r="14603" ht="15.75" customHeight="1"/>
    <row r="14604" ht="15.75" customHeight="1"/>
    <row r="14605" ht="15.75" customHeight="1"/>
    <row r="14606" ht="15.75" customHeight="1"/>
    <row r="14607" ht="15.75" customHeight="1"/>
    <row r="14608" ht="15.75" customHeight="1"/>
    <row r="14609" ht="15.75" customHeight="1"/>
    <row r="14610" ht="15.75" customHeight="1"/>
    <row r="14611" ht="15.75" customHeight="1"/>
    <row r="14612" ht="15.75" customHeight="1"/>
    <row r="14613" ht="15.75" customHeight="1"/>
    <row r="14614" ht="15.75" customHeight="1"/>
    <row r="14615" ht="15.75" customHeight="1"/>
    <row r="14616" ht="15.75" customHeight="1"/>
    <row r="14617" ht="15.75" customHeight="1"/>
    <row r="14618" ht="15.75" customHeight="1"/>
    <row r="14619" ht="15.75" customHeight="1"/>
    <row r="14620" ht="15.75" customHeight="1"/>
    <row r="14621" ht="15.75" customHeight="1"/>
    <row r="14622" ht="15.75" customHeight="1"/>
    <row r="14623" ht="15.75" customHeight="1"/>
    <row r="14624" ht="15.75" customHeight="1"/>
    <row r="14625" ht="15.75" customHeight="1"/>
    <row r="14626" ht="15.75" customHeight="1"/>
    <row r="14627" ht="15.75" customHeight="1"/>
    <row r="14628" ht="15.75" customHeight="1"/>
    <row r="14629" ht="15.75" customHeight="1"/>
    <row r="14630" ht="15.75" customHeight="1"/>
    <row r="14631" ht="15.75" customHeight="1"/>
    <row r="14632" ht="15.75" customHeight="1"/>
    <row r="14633" ht="15.75" customHeight="1"/>
    <row r="14634" ht="15.75" customHeight="1"/>
    <row r="14635" ht="15.75" customHeight="1"/>
    <row r="14636" ht="15.75" customHeight="1"/>
    <row r="14637" ht="15.75" customHeight="1"/>
    <row r="14638" ht="15.75" customHeight="1"/>
    <row r="14639" ht="15.75" customHeight="1"/>
    <row r="14640" ht="15.75" customHeight="1"/>
    <row r="14641" ht="15.75" customHeight="1"/>
    <row r="14642" ht="15.75" customHeight="1"/>
    <row r="14643" ht="15.75" customHeight="1"/>
    <row r="14644" ht="15.75" customHeight="1"/>
    <row r="14645" ht="15.75" customHeight="1"/>
    <row r="14646" ht="15.75" customHeight="1"/>
    <row r="14647" ht="15.75" customHeight="1"/>
    <row r="14648" ht="15.75" customHeight="1"/>
    <row r="14649" ht="15.75" customHeight="1"/>
    <row r="14650" ht="15.75" customHeight="1"/>
    <row r="14651" ht="15.75" customHeight="1"/>
    <row r="14652" ht="15.75" customHeight="1"/>
    <row r="14653" ht="15.75" customHeight="1"/>
    <row r="14654" ht="15.75" customHeight="1"/>
    <row r="14655" ht="15.75" customHeight="1"/>
    <row r="14656" ht="15.75" customHeight="1"/>
    <row r="14657" ht="15.75" customHeight="1"/>
    <row r="14658" ht="15.75" customHeight="1"/>
    <row r="14659" ht="15.75" customHeight="1"/>
    <row r="14660" ht="15.75" customHeight="1"/>
    <row r="14661" ht="15.75" customHeight="1"/>
    <row r="14662" ht="15.75" customHeight="1"/>
    <row r="14663" ht="15.75" customHeight="1"/>
    <row r="14664" ht="15.75" customHeight="1"/>
    <row r="14665" ht="15.75" customHeight="1"/>
    <row r="14666" ht="15.75" customHeight="1"/>
    <row r="14667" ht="15.75" customHeight="1"/>
    <row r="14668" ht="15.75" customHeight="1"/>
    <row r="14669" ht="15.75" customHeight="1"/>
    <row r="14670" ht="15.75" customHeight="1"/>
    <row r="14671" ht="15.75" customHeight="1"/>
    <row r="14672" ht="15.75" customHeight="1"/>
    <row r="14673" ht="15.75" customHeight="1"/>
    <row r="14674" ht="15.75" customHeight="1"/>
    <row r="14675" ht="15.75" customHeight="1"/>
    <row r="14676" ht="15.75" customHeight="1"/>
    <row r="14677" ht="15.75" customHeight="1"/>
    <row r="14678" ht="15.75" customHeight="1"/>
    <row r="14679" ht="15.75" customHeight="1"/>
    <row r="14680" ht="15.75" customHeight="1"/>
    <row r="14681" ht="15.75" customHeight="1"/>
    <row r="14682" ht="15.75" customHeight="1"/>
    <row r="14683" ht="15.75" customHeight="1"/>
    <row r="14684" ht="15.75" customHeight="1"/>
    <row r="14685" ht="15.75" customHeight="1"/>
    <row r="14686" ht="15.75" customHeight="1"/>
    <row r="14687" ht="15.75" customHeight="1"/>
    <row r="14688" ht="15.75" customHeight="1"/>
    <row r="14689" ht="15.75" customHeight="1"/>
    <row r="14690" ht="15.75" customHeight="1"/>
    <row r="14691" ht="15.75" customHeight="1"/>
    <row r="14692" ht="15.75" customHeight="1"/>
    <row r="14693" ht="15.75" customHeight="1"/>
    <row r="14694" ht="15.75" customHeight="1"/>
    <row r="14695" ht="15.75" customHeight="1"/>
    <row r="14696" ht="15.75" customHeight="1"/>
    <row r="14697" ht="15.75" customHeight="1"/>
    <row r="14698" ht="15.75" customHeight="1"/>
    <row r="14699" ht="15.75" customHeight="1"/>
    <row r="14700" ht="15.75" customHeight="1"/>
    <row r="14701" ht="15.75" customHeight="1"/>
    <row r="14702" ht="15.75" customHeight="1"/>
    <row r="14703" ht="15.75" customHeight="1"/>
    <row r="14704" ht="15.75" customHeight="1"/>
    <row r="14705" ht="15.75" customHeight="1"/>
    <row r="14706" ht="15.75" customHeight="1"/>
    <row r="14707" ht="15.75" customHeight="1"/>
    <row r="14708" ht="15.75" customHeight="1"/>
    <row r="14709" ht="15.75" customHeight="1"/>
    <row r="14710" ht="15.75" customHeight="1"/>
    <row r="14711" ht="15.75" customHeight="1"/>
    <row r="14712" ht="15.75" customHeight="1"/>
    <row r="14713" ht="15.75" customHeight="1"/>
    <row r="14714" ht="15.75" customHeight="1"/>
    <row r="14715" ht="15.75" customHeight="1"/>
    <row r="14716" ht="15.75" customHeight="1"/>
    <row r="14717" ht="15.75" customHeight="1"/>
    <row r="14718" ht="15.75" customHeight="1"/>
    <row r="14719" ht="15.75" customHeight="1"/>
    <row r="14720" ht="15.75" customHeight="1"/>
    <row r="14721" ht="15.75" customHeight="1"/>
    <row r="14722" ht="15.75" customHeight="1"/>
    <row r="14723" ht="15.75" customHeight="1"/>
    <row r="14724" ht="15.75" customHeight="1"/>
    <row r="14725" ht="15.75" customHeight="1"/>
    <row r="14726" ht="15.75" customHeight="1"/>
    <row r="14727" ht="15.75" customHeight="1"/>
    <row r="14728" ht="15.75" customHeight="1"/>
    <row r="14729" ht="15.75" customHeight="1"/>
    <row r="14730" ht="15.75" customHeight="1"/>
    <row r="14731" ht="15.75" customHeight="1"/>
    <row r="14732" ht="15.75" customHeight="1"/>
    <row r="14733" ht="15.75" customHeight="1"/>
    <row r="14734" ht="15.75" customHeight="1"/>
    <row r="14735" ht="15.75" customHeight="1"/>
    <row r="14736" ht="15.75" customHeight="1"/>
    <row r="14737" ht="15.75" customHeight="1"/>
    <row r="14738" ht="15.75" customHeight="1"/>
    <row r="14739" ht="15.75" customHeight="1"/>
    <row r="14740" ht="15.75" customHeight="1"/>
    <row r="14741" ht="15.75" customHeight="1"/>
    <row r="14742" ht="15.75" customHeight="1"/>
    <row r="14743" ht="15.75" customHeight="1"/>
    <row r="14744" ht="15.75" customHeight="1"/>
    <row r="14745" ht="15.75" customHeight="1"/>
    <row r="14746" ht="15.75" customHeight="1"/>
    <row r="14747" ht="15.75" customHeight="1"/>
    <row r="14748" ht="15.75" customHeight="1"/>
    <row r="14749" ht="15.75" customHeight="1"/>
    <row r="14750" ht="15.75" customHeight="1"/>
    <row r="14751" ht="15.75" customHeight="1"/>
    <row r="14752" ht="15.75" customHeight="1"/>
    <row r="14753" ht="15.75" customHeight="1"/>
    <row r="14754" ht="15.75" customHeight="1"/>
    <row r="14755" ht="15.75" customHeight="1"/>
    <row r="14756" ht="15.75" customHeight="1"/>
    <row r="14757" ht="15.75" customHeight="1"/>
    <row r="14758" ht="15.75" customHeight="1"/>
    <row r="14759" ht="15.75" customHeight="1"/>
    <row r="14760" ht="15.75" customHeight="1"/>
    <row r="14761" ht="15.75" customHeight="1"/>
    <row r="14762" ht="15.75" customHeight="1"/>
    <row r="14763" ht="15.75" customHeight="1"/>
    <row r="14764" ht="15.75" customHeight="1"/>
    <row r="14765" ht="15.75" customHeight="1"/>
    <row r="14766" ht="15.75" customHeight="1"/>
    <row r="14767" ht="15.75" customHeight="1"/>
    <row r="14768" ht="15.75" customHeight="1"/>
    <row r="14769" ht="15.75" customHeight="1"/>
    <row r="14770" ht="15.75" customHeight="1"/>
    <row r="14771" ht="15.75" customHeight="1"/>
    <row r="14772" ht="15.75" customHeight="1"/>
    <row r="14773" ht="15.75" customHeight="1"/>
    <row r="14774" ht="15.75" customHeight="1"/>
    <row r="14775" ht="15.75" customHeight="1"/>
    <row r="14776" ht="15.75" customHeight="1"/>
    <row r="14777" ht="15.75" customHeight="1"/>
    <row r="14778" ht="15.75" customHeight="1"/>
    <row r="14779" ht="15.75" customHeight="1"/>
    <row r="14780" ht="15.75" customHeight="1"/>
    <row r="14781" ht="15.75" customHeight="1"/>
    <row r="14782" ht="15.75" customHeight="1"/>
    <row r="14783" ht="15.75" customHeight="1"/>
    <row r="14784" ht="15.75" customHeight="1"/>
    <row r="14785" ht="15.75" customHeight="1"/>
    <row r="14786" ht="15.75" customHeight="1"/>
    <row r="14787" ht="15.75" customHeight="1"/>
    <row r="14788" ht="15.75" customHeight="1"/>
    <row r="14789" ht="15.75" customHeight="1"/>
    <row r="14790" ht="15.75" customHeight="1"/>
    <row r="14791" ht="15.75" customHeight="1"/>
    <row r="14792" ht="15.75" customHeight="1"/>
    <row r="14793" ht="15.75" customHeight="1"/>
    <row r="14794" ht="15.75" customHeight="1"/>
    <row r="14795" ht="15.75" customHeight="1"/>
    <row r="14796" ht="15.75" customHeight="1"/>
    <row r="14797" ht="15.75" customHeight="1"/>
    <row r="14798" ht="15.75" customHeight="1"/>
    <row r="14799" ht="15.75" customHeight="1"/>
    <row r="14800" ht="15.75" customHeight="1"/>
    <row r="14801" ht="15.75" customHeight="1"/>
    <row r="14802" ht="15.75" customHeight="1"/>
    <row r="14803" ht="15.75" customHeight="1"/>
    <row r="14804" ht="15.75" customHeight="1"/>
    <row r="14805" ht="15.75" customHeight="1"/>
    <row r="14806" ht="15.75" customHeight="1"/>
    <row r="14807" ht="15.75" customHeight="1"/>
    <row r="14808" ht="15.75" customHeight="1"/>
    <row r="14809" ht="15.75" customHeight="1"/>
    <row r="14810" ht="15.75" customHeight="1"/>
    <row r="14811" ht="15.75" customHeight="1"/>
    <row r="14812" ht="15.75" customHeight="1"/>
    <row r="14813" ht="15.75" customHeight="1"/>
    <row r="14814" ht="15.75" customHeight="1"/>
    <row r="14815" ht="15.75" customHeight="1"/>
    <row r="14816" ht="15.75" customHeight="1"/>
    <row r="14817" ht="15.75" customHeight="1"/>
    <row r="14818" ht="15.75" customHeight="1"/>
    <row r="14819" ht="15.75" customHeight="1"/>
    <row r="14820" ht="15.75" customHeight="1"/>
    <row r="14821" ht="15.75" customHeight="1"/>
    <row r="14822" ht="15.75" customHeight="1"/>
    <row r="14823" ht="15.75" customHeight="1"/>
    <row r="14824" ht="15.75" customHeight="1"/>
    <row r="14825" ht="15.75" customHeight="1"/>
    <row r="14826" ht="15.75" customHeight="1"/>
    <row r="14827" ht="15.75" customHeight="1"/>
    <row r="14828" ht="15.75" customHeight="1"/>
    <row r="14829" ht="15.75" customHeight="1"/>
    <row r="14830" ht="15.75" customHeight="1"/>
    <row r="14831" ht="15.75" customHeight="1"/>
    <row r="14832" ht="15.75" customHeight="1"/>
    <row r="14833" ht="15.75" customHeight="1"/>
    <row r="14834" ht="15.75" customHeight="1"/>
    <row r="14835" ht="15.75" customHeight="1"/>
    <row r="14836" ht="15.75" customHeight="1"/>
    <row r="14837" ht="15.75" customHeight="1"/>
    <row r="14838" ht="15.75" customHeight="1"/>
    <row r="14839" ht="15.75" customHeight="1"/>
    <row r="14840" ht="15.75" customHeight="1"/>
    <row r="14841" ht="15.75" customHeight="1"/>
    <row r="14842" ht="15.75" customHeight="1"/>
    <row r="14843" ht="15.75" customHeight="1"/>
    <row r="14844" ht="15.75" customHeight="1"/>
    <row r="14845" ht="15.75" customHeight="1"/>
    <row r="14846" ht="15.75" customHeight="1"/>
    <row r="14847" ht="15.75" customHeight="1"/>
    <row r="14848" ht="15.75" customHeight="1"/>
    <row r="14849" ht="15.75" customHeight="1"/>
    <row r="14850" ht="15.75" customHeight="1"/>
    <row r="14851" ht="15.75" customHeight="1"/>
    <row r="14852" ht="15.75" customHeight="1"/>
    <row r="14853" ht="15.75" customHeight="1"/>
    <row r="14854" ht="15.75" customHeight="1"/>
    <row r="14855" ht="15.75" customHeight="1"/>
    <row r="14856" ht="15.75" customHeight="1"/>
    <row r="14857" ht="15.75" customHeight="1"/>
    <row r="14858" ht="15.75" customHeight="1"/>
    <row r="14859" ht="15.75" customHeight="1"/>
    <row r="14860" ht="15.75" customHeight="1"/>
    <row r="14861" ht="15.75" customHeight="1"/>
    <row r="14862" ht="15.75" customHeight="1"/>
    <row r="14863" ht="15.75" customHeight="1"/>
    <row r="14864" ht="15.75" customHeight="1"/>
    <row r="14865" ht="15.75" customHeight="1"/>
    <row r="14866" ht="15.75" customHeight="1"/>
    <row r="14867" ht="15.75" customHeight="1"/>
    <row r="14868" ht="15.75" customHeight="1"/>
    <row r="14869" ht="15.75" customHeight="1"/>
    <row r="14870" ht="15.75" customHeight="1"/>
    <row r="14871" ht="15.75" customHeight="1"/>
    <row r="14872" ht="15.75" customHeight="1"/>
    <row r="14873" ht="15.75" customHeight="1"/>
    <row r="14874" ht="15.75" customHeight="1"/>
    <row r="14875" ht="15.75" customHeight="1"/>
    <row r="14876" ht="15.75" customHeight="1"/>
    <row r="14877" ht="15.75" customHeight="1"/>
    <row r="14878" ht="15.75" customHeight="1"/>
    <row r="14879" ht="15.75" customHeight="1"/>
    <row r="14880" ht="15.75" customHeight="1"/>
    <row r="14881" ht="15.75" customHeight="1"/>
    <row r="14882" ht="15.75" customHeight="1"/>
    <row r="14883" ht="15.75" customHeight="1"/>
    <row r="14884" ht="15.75" customHeight="1"/>
    <row r="14885" ht="15.75" customHeight="1"/>
    <row r="14886" ht="15.75" customHeight="1"/>
    <row r="14887" ht="15.75" customHeight="1"/>
    <row r="14888" ht="15.75" customHeight="1"/>
    <row r="14889" ht="15.75" customHeight="1"/>
    <row r="14890" ht="15.75" customHeight="1"/>
    <row r="14891" ht="15.75" customHeight="1"/>
    <row r="14892" ht="15.75" customHeight="1"/>
    <row r="14893" ht="15.75" customHeight="1"/>
    <row r="14894" ht="15.75" customHeight="1"/>
    <row r="14895" ht="15.75" customHeight="1"/>
    <row r="14896" ht="15.75" customHeight="1"/>
    <row r="14897" ht="15.75" customHeight="1"/>
    <row r="14898" ht="15.75" customHeight="1"/>
    <row r="14899" ht="15.75" customHeight="1"/>
    <row r="14900" ht="15.75" customHeight="1"/>
    <row r="14901" ht="15.75" customHeight="1"/>
    <row r="14902" ht="15.75" customHeight="1"/>
    <row r="14903" ht="15.75" customHeight="1"/>
    <row r="14904" ht="15.75" customHeight="1"/>
    <row r="14905" ht="15.75" customHeight="1"/>
    <row r="14906" ht="15.75" customHeight="1"/>
    <row r="14907" ht="15.75" customHeight="1"/>
    <row r="14908" ht="15.75" customHeight="1"/>
    <row r="14909" ht="15.75" customHeight="1"/>
    <row r="14910" ht="15.75" customHeight="1"/>
    <row r="14911" ht="15.75" customHeight="1"/>
    <row r="14912" ht="15.75" customHeight="1"/>
    <row r="14913" ht="15.75" customHeight="1"/>
    <row r="14914" ht="15.75" customHeight="1"/>
    <row r="14915" ht="15.75" customHeight="1"/>
    <row r="14916" ht="15.75" customHeight="1"/>
    <row r="14917" ht="15.75" customHeight="1"/>
    <row r="14918" ht="15.75" customHeight="1"/>
    <row r="14919" ht="15.75" customHeight="1"/>
    <row r="14920" ht="15.75" customHeight="1"/>
    <row r="14921" ht="15.75" customHeight="1"/>
    <row r="14922" ht="15.75" customHeight="1"/>
    <row r="14923" ht="15.75" customHeight="1"/>
    <row r="14924" ht="15.75" customHeight="1"/>
    <row r="14925" ht="15.75" customHeight="1"/>
    <row r="14926" ht="15.75" customHeight="1"/>
    <row r="14927" ht="15.75" customHeight="1"/>
    <row r="14928" ht="15.75" customHeight="1"/>
    <row r="14929" ht="15.75" customHeight="1"/>
    <row r="14930" ht="15.75" customHeight="1"/>
    <row r="14931" ht="15.75" customHeight="1"/>
    <row r="14932" ht="15.75" customHeight="1"/>
    <row r="14933" ht="15.75" customHeight="1"/>
    <row r="14934" ht="15.75" customHeight="1"/>
    <row r="14935" ht="15.75" customHeight="1"/>
    <row r="14936" ht="15.75" customHeight="1"/>
    <row r="14937" ht="15.75" customHeight="1"/>
    <row r="14938" ht="15.75" customHeight="1"/>
    <row r="14939" ht="15.75" customHeight="1"/>
    <row r="14940" ht="15.75" customHeight="1"/>
    <row r="14941" ht="15.75" customHeight="1"/>
    <row r="14942" ht="15.75" customHeight="1"/>
    <row r="14943" ht="15.75" customHeight="1"/>
    <row r="14944" ht="15.75" customHeight="1"/>
    <row r="14945" ht="15.75" customHeight="1"/>
    <row r="14946" ht="15.75" customHeight="1"/>
    <row r="14947" ht="15.75" customHeight="1"/>
    <row r="14948" ht="15.75" customHeight="1"/>
    <row r="14949" ht="15.75" customHeight="1"/>
    <row r="14950" ht="15.75" customHeight="1"/>
    <row r="14951" ht="15.75" customHeight="1"/>
    <row r="14952" ht="15.75" customHeight="1"/>
    <row r="14953" ht="15.75" customHeight="1"/>
    <row r="14954" ht="15.75" customHeight="1"/>
    <row r="14955" ht="15.75" customHeight="1"/>
    <row r="14956" ht="15.75" customHeight="1"/>
    <row r="14957" ht="15.75" customHeight="1"/>
    <row r="14958" ht="15.75" customHeight="1"/>
    <row r="14959" ht="15.75" customHeight="1"/>
    <row r="14960" ht="15.75" customHeight="1"/>
    <row r="14961" ht="15.75" customHeight="1"/>
    <row r="14962" ht="15.75" customHeight="1"/>
    <row r="14963" ht="15.75" customHeight="1"/>
    <row r="14964" ht="15.75" customHeight="1"/>
    <row r="14965" ht="15.75" customHeight="1"/>
    <row r="14966" ht="15.75" customHeight="1"/>
    <row r="14967" ht="15.75" customHeight="1"/>
    <row r="14968" ht="15.75" customHeight="1"/>
    <row r="14969" ht="15.75" customHeight="1"/>
    <row r="14970" ht="15.75" customHeight="1"/>
    <row r="14971" ht="15.75" customHeight="1"/>
    <row r="14972" ht="15.75" customHeight="1"/>
    <row r="14973" ht="15.75" customHeight="1"/>
    <row r="14974" ht="15.75" customHeight="1"/>
    <row r="14975" ht="15.75" customHeight="1"/>
    <row r="14976" ht="15.75" customHeight="1"/>
    <row r="14977" ht="15.75" customHeight="1"/>
    <row r="14978" ht="15.75" customHeight="1"/>
    <row r="14979" ht="15.75" customHeight="1"/>
    <row r="14980" ht="15.75" customHeight="1"/>
    <row r="14981" ht="15.75" customHeight="1"/>
    <row r="14982" ht="15.75" customHeight="1"/>
    <row r="14983" ht="15.75" customHeight="1"/>
    <row r="14984" ht="15.75" customHeight="1"/>
    <row r="14985" ht="15.75" customHeight="1"/>
    <row r="14986" ht="15.75" customHeight="1"/>
    <row r="14987" ht="15.75" customHeight="1"/>
    <row r="14988" ht="15.75" customHeight="1"/>
    <row r="14989" ht="15.75" customHeight="1"/>
    <row r="14990" ht="15.75" customHeight="1"/>
    <row r="14991" ht="15.75" customHeight="1"/>
    <row r="14992" ht="15.75" customHeight="1"/>
    <row r="14993" ht="15.75" customHeight="1"/>
    <row r="14994" ht="15.75" customHeight="1"/>
    <row r="14995" ht="15.75" customHeight="1"/>
    <row r="14996" ht="15.75" customHeight="1"/>
    <row r="14997" ht="15.75" customHeight="1"/>
    <row r="14998" ht="15.75" customHeight="1"/>
    <row r="14999" ht="15.75" customHeight="1"/>
    <row r="15000" ht="15.75" customHeight="1"/>
    <row r="15001" ht="15.75" customHeight="1"/>
    <row r="15002" ht="15.75" customHeight="1"/>
    <row r="15003" ht="15.75" customHeight="1"/>
    <row r="15004" ht="15.75" customHeight="1"/>
    <row r="15005" ht="15.75" customHeight="1"/>
    <row r="15006" ht="15.75" customHeight="1"/>
    <row r="15007" ht="15.75" customHeight="1"/>
    <row r="15008" ht="15.75" customHeight="1"/>
    <row r="15009" ht="15.75" customHeight="1"/>
    <row r="15010" ht="15.75" customHeight="1"/>
    <row r="15011" ht="15.75" customHeight="1"/>
    <row r="15012" ht="15.75" customHeight="1"/>
    <row r="15013" ht="15.75" customHeight="1"/>
    <row r="15014" ht="15.75" customHeight="1"/>
    <row r="15015" ht="15.75" customHeight="1"/>
    <row r="15016" ht="15.75" customHeight="1"/>
    <row r="15017" ht="15.75" customHeight="1"/>
    <row r="15018" ht="15.75" customHeight="1"/>
    <row r="15019" ht="15.75" customHeight="1"/>
    <row r="15020" ht="15.75" customHeight="1"/>
    <row r="15021" ht="15.75" customHeight="1"/>
    <row r="15022" ht="15.75" customHeight="1"/>
    <row r="15023" ht="15.75" customHeight="1"/>
    <row r="15024" ht="15.75" customHeight="1"/>
    <row r="15025" ht="15.75" customHeight="1"/>
    <row r="15026" ht="15.75" customHeight="1"/>
    <row r="15027" ht="15.75" customHeight="1"/>
    <row r="15028" ht="15.75" customHeight="1"/>
    <row r="15029" ht="15.75" customHeight="1"/>
    <row r="15030" ht="15.75" customHeight="1"/>
    <row r="15031" ht="15.75" customHeight="1"/>
    <row r="15032" ht="15.75" customHeight="1"/>
    <row r="15033" ht="15.75" customHeight="1"/>
    <row r="15034" ht="15.75" customHeight="1"/>
    <row r="15035" ht="15.75" customHeight="1"/>
    <row r="15036" ht="15.75" customHeight="1"/>
    <row r="15037" ht="15.75" customHeight="1"/>
    <row r="15038" ht="15.75" customHeight="1"/>
    <row r="15039" ht="15.75" customHeight="1"/>
    <row r="15040" ht="15.75" customHeight="1"/>
    <row r="15041" ht="15.75" customHeight="1"/>
    <row r="15042" ht="15.75" customHeight="1"/>
    <row r="15043" ht="15.75" customHeight="1"/>
    <row r="15044" ht="15.75" customHeight="1"/>
    <row r="15045" ht="15.75" customHeight="1"/>
    <row r="15046" ht="15.75" customHeight="1"/>
    <row r="15047" ht="15.75" customHeight="1"/>
    <row r="15048" ht="15.75" customHeight="1"/>
    <row r="15049" ht="15.75" customHeight="1"/>
    <row r="15050" ht="15.75" customHeight="1"/>
    <row r="15051" ht="15.75" customHeight="1"/>
    <row r="15052" ht="15.75" customHeight="1"/>
    <row r="15053" ht="15.75" customHeight="1"/>
    <row r="15054" ht="15.75" customHeight="1"/>
    <row r="15055" ht="15.75" customHeight="1"/>
    <row r="15056" ht="15.75" customHeight="1"/>
    <row r="15057" ht="15.75" customHeight="1"/>
    <row r="15058" ht="15.75" customHeight="1"/>
    <row r="15059" ht="15.75" customHeight="1"/>
    <row r="15060" ht="15.75" customHeight="1"/>
    <row r="15061" ht="15.75" customHeight="1"/>
    <row r="15062" ht="15.75" customHeight="1"/>
    <row r="15063" ht="15.75" customHeight="1"/>
    <row r="15064" ht="15.75" customHeight="1"/>
    <row r="15065" ht="15.75" customHeight="1"/>
    <row r="15066" ht="15.75" customHeight="1"/>
    <row r="15067" ht="15.75" customHeight="1"/>
    <row r="15068" ht="15.75" customHeight="1"/>
    <row r="15069" ht="15.75" customHeight="1"/>
    <row r="15070" ht="15.75" customHeight="1"/>
    <row r="15071" ht="15.75" customHeight="1"/>
    <row r="15072" ht="15.75" customHeight="1"/>
    <row r="15073" ht="15.75" customHeight="1"/>
    <row r="15074" ht="15.75" customHeight="1"/>
    <row r="15075" ht="15.75" customHeight="1"/>
    <row r="15076" ht="15.75" customHeight="1"/>
    <row r="15077" ht="15.75" customHeight="1"/>
    <row r="15078" ht="15.75" customHeight="1"/>
    <row r="15079" ht="15.75" customHeight="1"/>
    <row r="15080" ht="15.75" customHeight="1"/>
    <row r="15081" ht="15.75" customHeight="1"/>
    <row r="15082" ht="15.75" customHeight="1"/>
    <row r="15083" ht="15.75" customHeight="1"/>
    <row r="15084" ht="15.75" customHeight="1"/>
    <row r="15085" ht="15.75" customHeight="1"/>
    <row r="15086" ht="15.75" customHeight="1"/>
    <row r="15087" ht="15.75" customHeight="1"/>
    <row r="15088" ht="15.75" customHeight="1"/>
    <row r="15089" ht="15.75" customHeight="1"/>
    <row r="15090" ht="15.75" customHeight="1"/>
    <row r="15091" ht="15.75" customHeight="1"/>
    <row r="15092" ht="15.75" customHeight="1"/>
    <row r="15093" ht="15.75" customHeight="1"/>
    <row r="15094" ht="15.75" customHeight="1"/>
    <row r="15095" ht="15.75" customHeight="1"/>
    <row r="15096" ht="15.75" customHeight="1"/>
    <row r="15097" ht="15.75" customHeight="1"/>
    <row r="15098" ht="15.75" customHeight="1"/>
    <row r="15099" ht="15.75" customHeight="1"/>
    <row r="15100" ht="15.75" customHeight="1"/>
    <row r="15101" ht="15.75" customHeight="1"/>
    <row r="15102" ht="15.75" customHeight="1"/>
    <row r="15103" ht="15.75" customHeight="1"/>
    <row r="15104" ht="15.75" customHeight="1"/>
    <row r="15105" ht="15.75" customHeight="1"/>
    <row r="15106" ht="15.75" customHeight="1"/>
    <row r="15107" ht="15.75" customHeight="1"/>
    <row r="15108" ht="15.75" customHeight="1"/>
    <row r="15109" ht="15.75" customHeight="1"/>
    <row r="15110" ht="15.75" customHeight="1"/>
    <row r="15111" ht="15.75" customHeight="1"/>
    <row r="15112" ht="15.75" customHeight="1"/>
    <row r="15113" ht="15.75" customHeight="1"/>
    <row r="15114" ht="15.75" customHeight="1"/>
    <row r="15115" ht="15.75" customHeight="1"/>
    <row r="15116" ht="15.75" customHeight="1"/>
    <row r="15117" ht="15.75" customHeight="1"/>
    <row r="15118" ht="15.75" customHeight="1"/>
    <row r="15119" ht="15.75" customHeight="1"/>
    <row r="15120" ht="15.75" customHeight="1"/>
    <row r="15121" ht="15.75" customHeight="1"/>
    <row r="15122" ht="15.75" customHeight="1"/>
    <row r="15123" ht="15.75" customHeight="1"/>
    <row r="15124" ht="15.75" customHeight="1"/>
    <row r="15125" ht="15.75" customHeight="1"/>
    <row r="15126" ht="15.75" customHeight="1"/>
    <row r="15127" ht="15.75" customHeight="1"/>
    <row r="15128" ht="15.75" customHeight="1"/>
    <row r="15129" ht="15.75" customHeight="1"/>
    <row r="15130" ht="15.75" customHeight="1"/>
    <row r="15131" ht="15.75" customHeight="1"/>
    <row r="15132" ht="15.75" customHeight="1"/>
    <row r="15133" ht="15.75" customHeight="1"/>
    <row r="15134" ht="15.75" customHeight="1"/>
    <row r="15135" ht="15.75" customHeight="1"/>
    <row r="15136" ht="15.75" customHeight="1"/>
    <row r="15137" ht="15.75" customHeight="1"/>
    <row r="15138" ht="15.75" customHeight="1"/>
    <row r="15139" ht="15.75" customHeight="1"/>
    <row r="15140" ht="15.75" customHeight="1"/>
    <row r="15141" ht="15.75" customHeight="1"/>
    <row r="15142" ht="15.75" customHeight="1"/>
    <row r="15143" ht="15.75" customHeight="1"/>
    <row r="15144" ht="15.75" customHeight="1"/>
    <row r="15145" ht="15.75" customHeight="1"/>
    <row r="15146" ht="15.75" customHeight="1"/>
    <row r="15147" ht="15.75" customHeight="1"/>
    <row r="15148" ht="15.75" customHeight="1"/>
    <row r="15149" ht="15.75" customHeight="1"/>
    <row r="15150" ht="15.75" customHeight="1"/>
    <row r="15151" ht="15.75" customHeight="1"/>
    <row r="15152" ht="15.75" customHeight="1"/>
    <row r="15153" ht="15.75" customHeight="1"/>
    <row r="15154" ht="15.75" customHeight="1"/>
    <row r="15155" ht="15.75" customHeight="1"/>
    <row r="15156" ht="15.75" customHeight="1"/>
    <row r="15157" ht="15.75" customHeight="1"/>
    <row r="15158" ht="15.75" customHeight="1"/>
    <row r="15159" ht="15.75" customHeight="1"/>
    <row r="15160" ht="15.75" customHeight="1"/>
    <row r="15161" ht="15.75" customHeight="1"/>
    <row r="15162" ht="15.75" customHeight="1"/>
    <row r="15163" ht="15.75" customHeight="1"/>
    <row r="15164" ht="15.75" customHeight="1"/>
    <row r="15165" ht="15.75" customHeight="1"/>
    <row r="15166" ht="15.75" customHeight="1"/>
    <row r="15167" ht="15.75" customHeight="1"/>
    <row r="15168" ht="15.75" customHeight="1"/>
    <row r="15169" ht="15.75" customHeight="1"/>
    <row r="15170" ht="15.75" customHeight="1"/>
    <row r="15171" ht="15.75" customHeight="1"/>
    <row r="15172" ht="15.75" customHeight="1"/>
    <row r="15173" ht="15.75" customHeight="1"/>
    <row r="15174" ht="15.75" customHeight="1"/>
    <row r="15175" ht="15.75" customHeight="1"/>
    <row r="15176" ht="15.75" customHeight="1"/>
    <row r="15177" ht="15.75" customHeight="1"/>
    <row r="15178" ht="15.75" customHeight="1"/>
    <row r="15179" ht="15.75" customHeight="1"/>
    <row r="15180" ht="15.75" customHeight="1"/>
    <row r="15181" ht="15.75" customHeight="1"/>
    <row r="15182" ht="15.75" customHeight="1"/>
    <row r="15183" ht="15.75" customHeight="1"/>
    <row r="15184" ht="15.75" customHeight="1"/>
    <row r="15185" ht="15.75" customHeight="1"/>
    <row r="15186" ht="15.75" customHeight="1"/>
    <row r="15187" ht="15.75" customHeight="1"/>
    <row r="15188" ht="15.75" customHeight="1"/>
    <row r="15189" ht="15.75" customHeight="1"/>
    <row r="15190" ht="15.75" customHeight="1"/>
    <row r="15191" ht="15.75" customHeight="1"/>
    <row r="15192" ht="15.75" customHeight="1"/>
    <row r="15193" ht="15.75" customHeight="1"/>
    <row r="15194" ht="15.75" customHeight="1"/>
    <row r="15195" ht="15.75" customHeight="1"/>
    <row r="15196" ht="15.75" customHeight="1"/>
    <row r="15197" ht="15.75" customHeight="1"/>
    <row r="15198" ht="15.75" customHeight="1"/>
    <row r="15199" ht="15.75" customHeight="1"/>
    <row r="15200" ht="15.75" customHeight="1"/>
    <row r="15201" ht="15.75" customHeight="1"/>
    <row r="15202" ht="15.75" customHeight="1"/>
    <row r="15203" ht="15.75" customHeight="1"/>
    <row r="15204" ht="15.75" customHeight="1"/>
    <row r="15205" ht="15.75" customHeight="1"/>
    <row r="15206" ht="15.75" customHeight="1"/>
    <row r="15207" ht="15.75" customHeight="1"/>
    <row r="15208" ht="15.75" customHeight="1"/>
    <row r="15209" ht="15.75" customHeight="1"/>
    <row r="15210" ht="15.75" customHeight="1"/>
    <row r="15211" ht="15.75" customHeight="1"/>
    <row r="15212" ht="15.75" customHeight="1"/>
    <row r="15213" ht="15.75" customHeight="1"/>
    <row r="15214" ht="15.75" customHeight="1"/>
    <row r="15215" ht="15.75" customHeight="1"/>
    <row r="15216" ht="15.75" customHeight="1"/>
    <row r="15217" ht="15.75" customHeight="1"/>
    <row r="15218" ht="15.75" customHeight="1"/>
    <row r="15219" ht="15.75" customHeight="1"/>
    <row r="15220" ht="15.75" customHeight="1"/>
    <row r="15221" ht="15.75" customHeight="1"/>
    <row r="15222" ht="15.75" customHeight="1"/>
    <row r="15223" ht="15.75" customHeight="1"/>
    <row r="15224" ht="15.75" customHeight="1"/>
    <row r="15225" ht="15.75" customHeight="1"/>
    <row r="15226" ht="15.75" customHeight="1"/>
    <row r="15227" ht="15.75" customHeight="1"/>
    <row r="15228" ht="15.75" customHeight="1"/>
    <row r="15229" ht="15.75" customHeight="1"/>
    <row r="15230" ht="15.75" customHeight="1"/>
    <row r="15231" ht="15.75" customHeight="1"/>
    <row r="15232" ht="15.75" customHeight="1"/>
    <row r="15233" ht="15.75" customHeight="1"/>
    <row r="15234" ht="15.75" customHeight="1"/>
    <row r="15235" ht="15.75" customHeight="1"/>
    <row r="15236" ht="15.75" customHeight="1"/>
    <row r="15237" ht="15.75" customHeight="1"/>
    <row r="15238" ht="15.75" customHeight="1"/>
    <row r="15239" ht="15.75" customHeight="1"/>
    <row r="15240" ht="15.75" customHeight="1"/>
    <row r="15241" ht="15.75" customHeight="1"/>
    <row r="15242" ht="15.75" customHeight="1"/>
    <row r="15243" ht="15.75" customHeight="1"/>
    <row r="15244" ht="15.75" customHeight="1"/>
    <row r="15245" ht="15.75" customHeight="1"/>
    <row r="15246" ht="15.75" customHeight="1"/>
    <row r="15247" ht="15.75" customHeight="1"/>
    <row r="15248" ht="15.75" customHeight="1"/>
    <row r="15249" ht="15.75" customHeight="1"/>
    <row r="15250" ht="15.75" customHeight="1"/>
    <row r="15251" ht="15.75" customHeight="1"/>
    <row r="15252" ht="15.75" customHeight="1"/>
    <row r="15253" ht="15.75" customHeight="1"/>
    <row r="15254" ht="15.75" customHeight="1"/>
    <row r="15255" ht="15.75" customHeight="1"/>
    <row r="15256" ht="15.75" customHeight="1"/>
    <row r="15257" ht="15.75" customHeight="1"/>
    <row r="15258" ht="15.75" customHeight="1"/>
    <row r="15259" ht="15.75" customHeight="1"/>
    <row r="15260" ht="15.75" customHeight="1"/>
    <row r="15261" ht="15.75" customHeight="1"/>
    <row r="15262" ht="15.75" customHeight="1"/>
    <row r="15263" ht="15.75" customHeight="1"/>
    <row r="15264" ht="15.75" customHeight="1"/>
    <row r="15265" ht="15.75" customHeight="1"/>
    <row r="15266" ht="15.75" customHeight="1"/>
    <row r="15267" ht="15.75" customHeight="1"/>
    <row r="15268" ht="15.75" customHeight="1"/>
    <row r="15269" ht="15.75" customHeight="1"/>
    <row r="15270" ht="15.75" customHeight="1"/>
    <row r="15271" ht="15.75" customHeight="1"/>
    <row r="15272" ht="15.75" customHeight="1"/>
    <row r="15273" ht="15.75" customHeight="1"/>
    <row r="15274" ht="15.75" customHeight="1"/>
    <row r="15275" ht="15.75" customHeight="1"/>
    <row r="15276" ht="15.75" customHeight="1"/>
    <row r="15277" ht="15.75" customHeight="1"/>
    <row r="15278" ht="15.75" customHeight="1"/>
    <row r="15279" ht="15.75" customHeight="1"/>
    <row r="15280" ht="15.75" customHeight="1"/>
    <row r="15281" ht="15.75" customHeight="1"/>
    <row r="15282" ht="15.75" customHeight="1"/>
    <row r="15283" ht="15.75" customHeight="1"/>
    <row r="15284" ht="15.75" customHeight="1"/>
    <row r="15285" ht="15.75" customHeight="1"/>
    <row r="15286" ht="15.75" customHeight="1"/>
    <row r="15287" ht="15.75" customHeight="1"/>
    <row r="15288" ht="15.75" customHeight="1"/>
    <row r="15289" ht="15.75" customHeight="1"/>
    <row r="15290" ht="15.75" customHeight="1"/>
    <row r="15291" ht="15.75" customHeight="1"/>
    <row r="15292" ht="15.75" customHeight="1"/>
    <row r="15293" ht="15.75" customHeight="1"/>
    <row r="15294" ht="15.75" customHeight="1"/>
    <row r="15295" ht="15.75" customHeight="1"/>
    <row r="15296" ht="15.75" customHeight="1"/>
    <row r="15297" ht="15.75" customHeight="1"/>
    <row r="15298" ht="15.75" customHeight="1"/>
    <row r="15299" ht="15.75" customHeight="1"/>
    <row r="15300" ht="15.75" customHeight="1"/>
    <row r="15301" ht="15.75" customHeight="1"/>
    <row r="15302" ht="15.75" customHeight="1"/>
    <row r="15303" ht="15.75" customHeight="1"/>
    <row r="15304" ht="15.75" customHeight="1"/>
    <row r="15305" ht="15.75" customHeight="1"/>
    <row r="15306" ht="15.75" customHeight="1"/>
    <row r="15307" ht="15.75" customHeight="1"/>
    <row r="15308" ht="15.75" customHeight="1"/>
    <row r="15309" ht="15.75" customHeight="1"/>
    <row r="15310" ht="15.75" customHeight="1"/>
    <row r="15311" ht="15.75" customHeight="1"/>
    <row r="15312" ht="15.75" customHeight="1"/>
    <row r="15313" ht="15.75" customHeight="1"/>
    <row r="15314" ht="15.75" customHeight="1"/>
    <row r="15315" ht="15.75" customHeight="1"/>
    <row r="15316" ht="15.75" customHeight="1"/>
    <row r="15317" ht="15.75" customHeight="1"/>
    <row r="15318" ht="15.75" customHeight="1"/>
    <row r="15319" ht="15.75" customHeight="1"/>
    <row r="15320" ht="15.75" customHeight="1"/>
    <row r="15321" ht="15.75" customHeight="1"/>
    <row r="15322" ht="15.75" customHeight="1"/>
    <row r="15323" ht="15.75" customHeight="1"/>
    <row r="15324" ht="15.75" customHeight="1"/>
    <row r="15325" ht="15.75" customHeight="1"/>
    <row r="15326" ht="15.75" customHeight="1"/>
    <row r="15327" ht="15.75" customHeight="1"/>
    <row r="15328" ht="15.75" customHeight="1"/>
    <row r="15329" ht="15.75" customHeight="1"/>
    <row r="15330" ht="15.75" customHeight="1"/>
    <row r="15331" ht="15.75" customHeight="1"/>
    <row r="15332" ht="15.75" customHeight="1"/>
    <row r="15333" ht="15.75" customHeight="1"/>
    <row r="15334" ht="15.75" customHeight="1"/>
    <row r="15335" ht="15.75" customHeight="1"/>
    <row r="15336" ht="15.75" customHeight="1"/>
    <row r="15337" ht="15.75" customHeight="1"/>
    <row r="15338" ht="15.75" customHeight="1"/>
    <row r="15339" ht="15.75" customHeight="1"/>
    <row r="15340" ht="15.75" customHeight="1"/>
    <row r="15341" ht="15.75" customHeight="1"/>
    <row r="15342" ht="15.75" customHeight="1"/>
    <row r="15343" ht="15.75" customHeight="1"/>
    <row r="15344" ht="15.75" customHeight="1"/>
    <row r="15345" ht="15.75" customHeight="1"/>
    <row r="15346" ht="15.75" customHeight="1"/>
    <row r="15347" ht="15.75" customHeight="1"/>
    <row r="15348" ht="15.75" customHeight="1"/>
    <row r="15349" ht="15.75" customHeight="1"/>
    <row r="15350" ht="15.75" customHeight="1"/>
    <row r="15351" ht="15.75" customHeight="1"/>
    <row r="15352" ht="15.75" customHeight="1"/>
    <row r="15353" ht="15.75" customHeight="1"/>
    <row r="15354" ht="15.75" customHeight="1"/>
    <row r="15355" ht="15.75" customHeight="1"/>
    <row r="15356" ht="15.75" customHeight="1"/>
    <row r="15357" ht="15.75" customHeight="1"/>
    <row r="15358" ht="15.75" customHeight="1"/>
    <row r="15359" ht="15.75" customHeight="1"/>
    <row r="15360" ht="15.75" customHeight="1"/>
    <row r="15361" ht="15.75" customHeight="1"/>
    <row r="15362" ht="15.75" customHeight="1"/>
    <row r="15363" ht="15.75" customHeight="1"/>
    <row r="15364" ht="15.75" customHeight="1"/>
    <row r="15365" ht="15.75" customHeight="1"/>
    <row r="15366" ht="15.75" customHeight="1"/>
    <row r="15367" ht="15.75" customHeight="1"/>
    <row r="15368" ht="15.75" customHeight="1"/>
    <row r="15369" ht="15.75" customHeight="1"/>
    <row r="15370" ht="15.75" customHeight="1"/>
    <row r="15371" ht="15.75" customHeight="1"/>
    <row r="15372" ht="15.75" customHeight="1"/>
    <row r="15373" ht="15.75" customHeight="1"/>
    <row r="15374" ht="15.75" customHeight="1"/>
    <row r="15375" ht="15.75" customHeight="1"/>
    <row r="15376" ht="15.75" customHeight="1"/>
    <row r="15377" ht="15.75" customHeight="1"/>
    <row r="15378" ht="15.75" customHeight="1"/>
    <row r="15379" ht="15.75" customHeight="1"/>
    <row r="15380" ht="15.75" customHeight="1"/>
    <row r="15381" ht="15.75" customHeight="1"/>
    <row r="15382" ht="15.75" customHeight="1"/>
    <row r="15383" ht="15.75" customHeight="1"/>
    <row r="15384" ht="15.75" customHeight="1"/>
    <row r="15385" ht="15.75" customHeight="1"/>
    <row r="15386" ht="15.75" customHeight="1"/>
    <row r="15387" ht="15.75" customHeight="1"/>
    <row r="15388" ht="15.75" customHeight="1"/>
    <row r="15389" ht="15.75" customHeight="1"/>
    <row r="15390" ht="15.75" customHeight="1"/>
    <row r="15391" ht="15.75" customHeight="1"/>
    <row r="15392" ht="15.75" customHeight="1"/>
    <row r="15393" ht="15.75" customHeight="1"/>
    <row r="15394" ht="15.75" customHeight="1"/>
    <row r="15395" ht="15.75" customHeight="1"/>
    <row r="15396" ht="15.75" customHeight="1"/>
    <row r="15397" ht="15.75" customHeight="1"/>
    <row r="15398" ht="15.75" customHeight="1"/>
    <row r="15399" ht="15.75" customHeight="1"/>
    <row r="15400" ht="15.75" customHeight="1"/>
    <row r="15401" ht="15.75" customHeight="1"/>
    <row r="15402" ht="15.75" customHeight="1"/>
    <row r="15403" ht="15.75" customHeight="1"/>
    <row r="15404" ht="15.75" customHeight="1"/>
    <row r="15405" ht="15.75" customHeight="1"/>
    <row r="15406" ht="15.75" customHeight="1"/>
    <row r="15407" ht="15.75" customHeight="1"/>
    <row r="15408" ht="15.75" customHeight="1"/>
    <row r="15409" ht="15.75" customHeight="1"/>
    <row r="15410" ht="15.75" customHeight="1"/>
    <row r="15411" ht="15.75" customHeight="1"/>
    <row r="15412" ht="15.75" customHeight="1"/>
    <row r="15413" ht="15.75" customHeight="1"/>
    <row r="15414" ht="15.75" customHeight="1"/>
    <row r="15415" ht="15.75" customHeight="1"/>
    <row r="15416" ht="15.75" customHeight="1"/>
    <row r="15417" ht="15.75" customHeight="1"/>
    <row r="15418" ht="15.75" customHeight="1"/>
    <row r="15419" ht="15.75" customHeight="1"/>
    <row r="15420" ht="15.75" customHeight="1"/>
    <row r="15421" ht="15.75" customHeight="1"/>
    <row r="15422" ht="15.75" customHeight="1"/>
    <row r="15423" ht="15.75" customHeight="1"/>
    <row r="15424" ht="15.75" customHeight="1"/>
    <row r="15425" ht="15.75" customHeight="1"/>
    <row r="15426" ht="15.75" customHeight="1"/>
    <row r="15427" ht="15.75" customHeight="1"/>
    <row r="15428" ht="15.75" customHeight="1"/>
    <row r="15429" ht="15.75" customHeight="1"/>
    <row r="15430" ht="15.75" customHeight="1"/>
    <row r="15431" ht="15.75" customHeight="1"/>
    <row r="15432" ht="15.75" customHeight="1"/>
    <row r="15433" ht="15.75" customHeight="1"/>
    <row r="15434" ht="15.75" customHeight="1"/>
    <row r="15435" ht="15.75" customHeight="1"/>
    <row r="15436" ht="15.75" customHeight="1"/>
    <row r="15437" ht="15.75" customHeight="1"/>
    <row r="15438" ht="15.75" customHeight="1"/>
    <row r="15439" ht="15.75" customHeight="1"/>
    <row r="15440" ht="15.75" customHeight="1"/>
    <row r="15441" ht="15.75" customHeight="1"/>
    <row r="15442" ht="15.75" customHeight="1"/>
    <row r="15443" ht="15.75" customHeight="1"/>
    <row r="15444" ht="15.75" customHeight="1"/>
    <row r="15445" ht="15.75" customHeight="1"/>
    <row r="15446" ht="15.75" customHeight="1"/>
    <row r="15447" ht="15.75" customHeight="1"/>
    <row r="15448" ht="15.75" customHeight="1"/>
    <row r="15449" ht="15.75" customHeight="1"/>
    <row r="15450" ht="15.75" customHeight="1"/>
    <row r="15451" ht="15.75" customHeight="1"/>
    <row r="15452" ht="15.75" customHeight="1"/>
    <row r="15453" ht="15.75" customHeight="1"/>
    <row r="15454" ht="15.75" customHeight="1"/>
    <row r="15455" ht="15.75" customHeight="1"/>
    <row r="15456" ht="15.75" customHeight="1"/>
    <row r="15457" ht="15.75" customHeight="1"/>
    <row r="15458" ht="15.75" customHeight="1"/>
    <row r="15459" ht="15.75" customHeight="1"/>
    <row r="15460" ht="15.75" customHeight="1"/>
    <row r="15461" ht="15.75" customHeight="1"/>
    <row r="15462" ht="15.75" customHeight="1"/>
    <row r="15463" ht="15.75" customHeight="1"/>
    <row r="15464" ht="15.75" customHeight="1"/>
    <row r="15465" ht="15.75" customHeight="1"/>
    <row r="15466" ht="15.75" customHeight="1"/>
    <row r="15467" ht="15.75" customHeight="1"/>
    <row r="15468" ht="15.75" customHeight="1"/>
    <row r="15469" ht="15.75" customHeight="1"/>
    <row r="15470" ht="15.75" customHeight="1"/>
    <row r="15471" ht="15.75" customHeight="1"/>
    <row r="15472" ht="15.75" customHeight="1"/>
    <row r="15473" ht="15.75" customHeight="1"/>
    <row r="15474" ht="15.75" customHeight="1"/>
    <row r="15475" ht="15.75" customHeight="1"/>
    <row r="15476" ht="15.75" customHeight="1"/>
    <row r="15477" ht="15.75" customHeight="1"/>
    <row r="15478" ht="15.75" customHeight="1"/>
    <row r="15479" ht="15.75" customHeight="1"/>
    <row r="15480" ht="15.75" customHeight="1"/>
    <row r="15481" ht="15.75" customHeight="1"/>
    <row r="15482" ht="15.75" customHeight="1"/>
    <row r="15483" ht="15.75" customHeight="1"/>
    <row r="15484" ht="15.75" customHeight="1"/>
    <row r="15485" ht="15.75" customHeight="1"/>
    <row r="15486" ht="15.75" customHeight="1"/>
    <row r="15487" ht="15.75" customHeight="1"/>
    <row r="15488" ht="15.75" customHeight="1"/>
    <row r="15489" ht="15.75" customHeight="1"/>
    <row r="15490" ht="15.75" customHeight="1"/>
    <row r="15491" ht="15.75" customHeight="1"/>
    <row r="15492" ht="15.75" customHeight="1"/>
    <row r="15493" ht="15.75" customHeight="1"/>
    <row r="15494" ht="15.75" customHeight="1"/>
    <row r="15495" ht="15.75" customHeight="1"/>
    <row r="15496" ht="15.75" customHeight="1"/>
    <row r="15497" ht="15.75" customHeight="1"/>
    <row r="15498" ht="15.75" customHeight="1"/>
    <row r="15499" ht="15.75" customHeight="1"/>
    <row r="15500" ht="15.75" customHeight="1"/>
    <row r="15501" ht="15.75" customHeight="1"/>
    <row r="15502" ht="15.75" customHeight="1"/>
    <row r="15503" ht="15.75" customHeight="1"/>
    <row r="15504" ht="15.75" customHeight="1"/>
    <row r="15505" ht="15.75" customHeight="1"/>
    <row r="15506" ht="15.75" customHeight="1"/>
    <row r="15507" ht="15.75" customHeight="1"/>
    <row r="15508" ht="15.75" customHeight="1"/>
    <row r="15509" ht="15.75" customHeight="1"/>
    <row r="15510" ht="15.75" customHeight="1"/>
    <row r="15511" ht="15.75" customHeight="1"/>
    <row r="15512" ht="15.75" customHeight="1"/>
    <row r="15513" ht="15.75" customHeight="1"/>
    <row r="15514" ht="15.75" customHeight="1"/>
    <row r="15515" ht="15.75" customHeight="1"/>
    <row r="15516" ht="15.75" customHeight="1"/>
    <row r="15517" ht="15.75" customHeight="1"/>
    <row r="15518" ht="15.75" customHeight="1"/>
    <row r="15519" ht="15.75" customHeight="1"/>
    <row r="15520" ht="15.75" customHeight="1"/>
    <row r="15521" ht="15.75" customHeight="1"/>
    <row r="15522" ht="15.75" customHeight="1"/>
    <row r="15523" ht="15.75" customHeight="1"/>
    <row r="15524" ht="15.75" customHeight="1"/>
    <row r="15525" ht="15.75" customHeight="1"/>
    <row r="15526" ht="15.75" customHeight="1"/>
    <row r="15527" ht="15.75" customHeight="1"/>
    <row r="15528" ht="15.75" customHeight="1"/>
    <row r="15529" ht="15.75" customHeight="1"/>
    <row r="15530" ht="15.75" customHeight="1"/>
    <row r="15531" ht="15.75" customHeight="1"/>
    <row r="15532" ht="15.75" customHeight="1"/>
    <row r="15533" ht="15.75" customHeight="1"/>
    <row r="15534" ht="15.75" customHeight="1"/>
    <row r="15535" ht="15.75" customHeight="1"/>
    <row r="15536" ht="15.75" customHeight="1"/>
    <row r="15537" ht="15.75" customHeight="1"/>
    <row r="15538" ht="15.75" customHeight="1"/>
    <row r="15539" ht="15.75" customHeight="1"/>
    <row r="15540" ht="15.75" customHeight="1"/>
    <row r="15541" ht="15.75" customHeight="1"/>
    <row r="15542" ht="15.75" customHeight="1"/>
    <row r="15543" ht="15.75" customHeight="1"/>
    <row r="15544" ht="15.75" customHeight="1"/>
    <row r="15545" ht="15.75" customHeight="1"/>
    <row r="15546" ht="15.75" customHeight="1"/>
    <row r="15547" ht="15.75" customHeight="1"/>
    <row r="15548" ht="15.75" customHeight="1"/>
    <row r="15549" ht="15.75" customHeight="1"/>
    <row r="15550" ht="15.75" customHeight="1"/>
    <row r="15551" ht="15.75" customHeight="1"/>
    <row r="15552" ht="15.75" customHeight="1"/>
    <row r="15553" ht="15.75" customHeight="1"/>
    <row r="15554" ht="15.75" customHeight="1"/>
    <row r="15555" ht="15.75" customHeight="1"/>
    <row r="15556" ht="15.75" customHeight="1"/>
    <row r="15557" ht="15.75" customHeight="1"/>
    <row r="15558" ht="15.75" customHeight="1"/>
    <row r="15559" ht="15.75" customHeight="1"/>
    <row r="15560" ht="15.75" customHeight="1"/>
    <row r="15561" ht="15.75" customHeight="1"/>
    <row r="15562" ht="15.75" customHeight="1"/>
    <row r="15563" ht="15.75" customHeight="1"/>
    <row r="15564" ht="15.75" customHeight="1"/>
    <row r="15565" ht="15.75" customHeight="1"/>
    <row r="15566" ht="15.75" customHeight="1"/>
    <row r="15567" ht="15.75" customHeight="1"/>
    <row r="15568" ht="15.75" customHeight="1"/>
    <row r="15569" ht="15.75" customHeight="1"/>
    <row r="15570" ht="15.75" customHeight="1"/>
    <row r="15571" ht="15.75" customHeight="1"/>
    <row r="15572" ht="15.75" customHeight="1"/>
    <row r="15573" ht="15.75" customHeight="1"/>
    <row r="15574" ht="15.75" customHeight="1"/>
    <row r="15575" ht="15.75" customHeight="1"/>
    <row r="15576" ht="15.75" customHeight="1"/>
    <row r="15577" ht="15.75" customHeight="1"/>
    <row r="15578" ht="15.75" customHeight="1"/>
    <row r="15579" ht="15.75" customHeight="1"/>
    <row r="15580" ht="15.75" customHeight="1"/>
    <row r="15581" ht="15.75" customHeight="1"/>
    <row r="15582" ht="15.75" customHeight="1"/>
    <row r="15583" ht="15.75" customHeight="1"/>
    <row r="15584" ht="15.75" customHeight="1"/>
    <row r="15585" ht="15.75" customHeight="1"/>
    <row r="15586" ht="15.75" customHeight="1"/>
    <row r="15587" ht="15.75" customHeight="1"/>
    <row r="15588" ht="15.75" customHeight="1"/>
    <row r="15589" ht="15.75" customHeight="1"/>
    <row r="15590" ht="15.75" customHeight="1"/>
    <row r="15591" ht="15.75" customHeight="1"/>
    <row r="15592" ht="15.75" customHeight="1"/>
    <row r="15593" ht="15.75" customHeight="1"/>
    <row r="15594" ht="15.75" customHeight="1"/>
    <row r="15595" ht="15.75" customHeight="1"/>
    <row r="15596" ht="15.75" customHeight="1"/>
    <row r="15597" ht="15.75" customHeight="1"/>
    <row r="15598" ht="15.75" customHeight="1"/>
    <row r="15599" ht="15.75" customHeight="1"/>
    <row r="15600" ht="15.75" customHeight="1"/>
    <row r="15601" ht="15.75" customHeight="1"/>
    <row r="15602" ht="15.75" customHeight="1"/>
    <row r="15603" ht="15.75" customHeight="1"/>
    <row r="15604" ht="15.75" customHeight="1"/>
    <row r="15605" ht="15.75" customHeight="1"/>
    <row r="15606" ht="15.75" customHeight="1"/>
    <row r="15607" ht="15.75" customHeight="1"/>
    <row r="15608" ht="15.75" customHeight="1"/>
    <row r="15609" ht="15.75" customHeight="1"/>
    <row r="15610" ht="15.75" customHeight="1"/>
    <row r="15611" ht="15.75" customHeight="1"/>
    <row r="15612" ht="15.75" customHeight="1"/>
    <row r="15613" ht="15.75" customHeight="1"/>
    <row r="15614" ht="15.75" customHeight="1"/>
    <row r="15615" ht="15.75" customHeight="1"/>
    <row r="15616" ht="15.75" customHeight="1"/>
    <row r="15617" ht="15.75" customHeight="1"/>
    <row r="15618" ht="15.75" customHeight="1"/>
    <row r="15619" ht="15.75" customHeight="1"/>
    <row r="15620" ht="15.75" customHeight="1"/>
    <row r="15621" ht="15.75" customHeight="1"/>
    <row r="15622" ht="15.75" customHeight="1"/>
    <row r="15623" ht="15.75" customHeight="1"/>
    <row r="15624" ht="15.75" customHeight="1"/>
    <row r="15625" ht="15.75" customHeight="1"/>
    <row r="15626" ht="15.75" customHeight="1"/>
    <row r="15627" ht="15.75" customHeight="1"/>
    <row r="15628" ht="15.75" customHeight="1"/>
    <row r="15629" ht="15.75" customHeight="1"/>
    <row r="15630" ht="15.75" customHeight="1"/>
    <row r="15631" ht="15.75" customHeight="1"/>
    <row r="15632" ht="15.75" customHeight="1"/>
    <row r="15633" ht="15.75" customHeight="1"/>
    <row r="15634" ht="15.75" customHeight="1"/>
    <row r="15635" ht="15.75" customHeight="1"/>
    <row r="15636" ht="15.75" customHeight="1"/>
    <row r="15637" ht="15.75" customHeight="1"/>
    <row r="15638" ht="15.75" customHeight="1"/>
    <row r="15639" ht="15.75" customHeight="1"/>
    <row r="15640" ht="15.75" customHeight="1"/>
    <row r="15641" ht="15.75" customHeight="1"/>
    <row r="15642" ht="15.75" customHeight="1"/>
    <row r="15643" ht="15.75" customHeight="1"/>
    <row r="15644" ht="15.75" customHeight="1"/>
    <row r="15645" ht="15.75" customHeight="1"/>
    <row r="15646" ht="15.75" customHeight="1"/>
    <row r="15647" ht="15.75" customHeight="1"/>
    <row r="15648" ht="15.75" customHeight="1"/>
    <row r="15649" ht="15.75" customHeight="1"/>
    <row r="15650" ht="15.75" customHeight="1"/>
    <row r="15651" ht="15.75" customHeight="1"/>
    <row r="15652" ht="15.75" customHeight="1"/>
    <row r="15653" ht="15.75" customHeight="1"/>
    <row r="15654" ht="15.75" customHeight="1"/>
    <row r="15655" ht="15.75" customHeight="1"/>
    <row r="15656" ht="15.75" customHeight="1"/>
    <row r="15657" ht="15.75" customHeight="1"/>
    <row r="15658" ht="15.75" customHeight="1"/>
    <row r="15659" ht="15.75" customHeight="1"/>
    <row r="15660" ht="15.75" customHeight="1"/>
    <row r="15661" ht="15.75" customHeight="1"/>
    <row r="15662" ht="15.75" customHeight="1"/>
    <row r="15663" ht="15.75" customHeight="1"/>
    <row r="15664" ht="15.75" customHeight="1"/>
    <row r="15665" ht="15.75" customHeight="1"/>
    <row r="15666" ht="15.75" customHeight="1"/>
    <row r="15667" ht="15.75" customHeight="1"/>
    <row r="15668" ht="15.75" customHeight="1"/>
    <row r="15669" ht="15.75" customHeight="1"/>
    <row r="15670" ht="15.75" customHeight="1"/>
    <row r="15671" ht="15.75" customHeight="1"/>
    <row r="15672" ht="15.75" customHeight="1"/>
    <row r="15673" ht="15.75" customHeight="1"/>
    <row r="15674" ht="15.75" customHeight="1"/>
    <row r="15675" ht="15.75" customHeight="1"/>
    <row r="15676" ht="15.75" customHeight="1"/>
    <row r="15677" ht="15.75" customHeight="1"/>
    <row r="15678" ht="15.75" customHeight="1"/>
    <row r="15679" ht="15.75" customHeight="1"/>
    <row r="15680" ht="15.75" customHeight="1"/>
    <row r="15681" ht="15.75" customHeight="1"/>
    <row r="15682" ht="15.75" customHeight="1"/>
    <row r="15683" ht="15.75" customHeight="1"/>
    <row r="15684" ht="15.75" customHeight="1"/>
    <row r="15685" ht="15.75" customHeight="1"/>
    <row r="15686" ht="15.75" customHeight="1"/>
    <row r="15687" ht="15.75" customHeight="1"/>
    <row r="15688" ht="15.75" customHeight="1"/>
    <row r="15689" ht="15.75" customHeight="1"/>
    <row r="15690" ht="15.75" customHeight="1"/>
    <row r="15691" ht="15.75" customHeight="1"/>
    <row r="15692" ht="15.75" customHeight="1"/>
    <row r="15693" ht="15.75" customHeight="1"/>
    <row r="15694" ht="15.75" customHeight="1"/>
    <row r="15695" ht="15.75" customHeight="1"/>
    <row r="15696" ht="15.75" customHeight="1"/>
    <row r="15697" ht="15.75" customHeight="1"/>
    <row r="15698" ht="15.75" customHeight="1"/>
    <row r="15699" ht="15.75" customHeight="1"/>
    <row r="15700" ht="15.75" customHeight="1"/>
    <row r="15701" ht="15.75" customHeight="1"/>
    <row r="15702" ht="15.75" customHeight="1"/>
    <row r="15703" ht="15.75" customHeight="1"/>
    <row r="15704" ht="15.75" customHeight="1"/>
    <row r="15705" ht="15.75" customHeight="1"/>
    <row r="15706" ht="15.75" customHeight="1"/>
    <row r="15707" ht="15.75" customHeight="1"/>
    <row r="15708" ht="15.75" customHeight="1"/>
    <row r="15709" ht="15.75" customHeight="1"/>
    <row r="15710" ht="15.75" customHeight="1"/>
    <row r="15711" ht="15.75" customHeight="1"/>
    <row r="15712" ht="15.75" customHeight="1"/>
    <row r="15713" ht="15.75" customHeight="1"/>
    <row r="15714" ht="15.75" customHeight="1"/>
    <row r="15715" ht="15.75" customHeight="1"/>
    <row r="15716" ht="15.75" customHeight="1"/>
    <row r="15717" ht="15.75" customHeight="1"/>
    <row r="15718" ht="15.75" customHeight="1"/>
    <row r="15719" ht="15.75" customHeight="1"/>
    <row r="15720" ht="15.75" customHeight="1"/>
    <row r="15721" ht="15.75" customHeight="1"/>
    <row r="15722" ht="15.75" customHeight="1"/>
    <row r="15723" ht="15.75" customHeight="1"/>
    <row r="15724" ht="15.75" customHeight="1"/>
    <row r="15725" ht="15.75" customHeight="1"/>
    <row r="15726" ht="15.75" customHeight="1"/>
    <row r="15727" ht="15.75" customHeight="1"/>
    <row r="15728" ht="15.75" customHeight="1"/>
    <row r="15729" ht="15.75" customHeight="1"/>
    <row r="15730" ht="15.75" customHeight="1"/>
    <row r="15731" ht="15.75" customHeight="1"/>
    <row r="15732" ht="15.75" customHeight="1"/>
    <row r="15733" ht="15.75" customHeight="1"/>
    <row r="15734" ht="15.75" customHeight="1"/>
    <row r="15735" ht="15.75" customHeight="1"/>
    <row r="15736" ht="15.75" customHeight="1"/>
    <row r="15737" ht="15.75" customHeight="1"/>
    <row r="15738" ht="15.75" customHeight="1"/>
    <row r="15739" ht="15.75" customHeight="1"/>
    <row r="15740" ht="15.75" customHeight="1"/>
    <row r="15741" ht="15.75" customHeight="1"/>
    <row r="15742" ht="15.75" customHeight="1"/>
    <row r="15743" ht="15.75" customHeight="1"/>
    <row r="15744" ht="15.75" customHeight="1"/>
    <row r="15745" ht="15.75" customHeight="1"/>
    <row r="15746" ht="15.75" customHeight="1"/>
    <row r="15747" ht="15.75" customHeight="1"/>
    <row r="15748" ht="15.75" customHeight="1"/>
    <row r="15749" ht="15.75" customHeight="1"/>
    <row r="15750" ht="15.75" customHeight="1"/>
    <row r="15751" ht="15.75" customHeight="1"/>
    <row r="15752" ht="15.75" customHeight="1"/>
    <row r="15753" ht="15.75" customHeight="1"/>
    <row r="15754" ht="15.75" customHeight="1"/>
    <row r="15755" ht="15.75" customHeight="1"/>
    <row r="15756" ht="15.75" customHeight="1"/>
    <row r="15757" ht="15.75" customHeight="1"/>
    <row r="15758" ht="15.75" customHeight="1"/>
    <row r="15759" ht="15.75" customHeight="1"/>
    <row r="15760" ht="15.75" customHeight="1"/>
    <row r="15761" ht="15.75" customHeight="1"/>
    <row r="15762" ht="15.75" customHeight="1"/>
    <row r="15763" ht="15.75" customHeight="1"/>
    <row r="15764" ht="15.75" customHeight="1"/>
    <row r="15765" ht="15.75" customHeight="1"/>
    <row r="15766" ht="15.75" customHeight="1"/>
    <row r="15767" ht="15.75" customHeight="1"/>
    <row r="15768" ht="15.75" customHeight="1"/>
    <row r="15769" ht="15.75" customHeight="1"/>
    <row r="15770" ht="15.75" customHeight="1"/>
    <row r="15771" ht="15.75" customHeight="1"/>
    <row r="15772" ht="15.75" customHeight="1"/>
    <row r="15773" ht="15.75" customHeight="1"/>
    <row r="15774" ht="15.75" customHeight="1"/>
    <row r="15775" ht="15.75" customHeight="1"/>
    <row r="15776" ht="15.75" customHeight="1"/>
    <row r="15777" ht="15.75" customHeight="1"/>
    <row r="15778" ht="15.75" customHeight="1"/>
    <row r="15779" ht="15.75" customHeight="1"/>
    <row r="15780" ht="15.75" customHeight="1"/>
    <row r="15781" ht="15.75" customHeight="1"/>
    <row r="15782" ht="15.75" customHeight="1"/>
    <row r="15783" ht="15.75" customHeight="1"/>
    <row r="15784" ht="15.75" customHeight="1"/>
    <row r="15785" ht="15.75" customHeight="1"/>
    <row r="15786" ht="15.75" customHeight="1"/>
    <row r="15787" ht="15.75" customHeight="1"/>
    <row r="15788" ht="15.75" customHeight="1"/>
    <row r="15789" ht="15.75" customHeight="1"/>
    <row r="15790" ht="15.75" customHeight="1"/>
    <row r="15791" ht="15.75" customHeight="1"/>
    <row r="15792" ht="15.75" customHeight="1"/>
    <row r="15793" ht="15.75" customHeight="1"/>
    <row r="15794" ht="15.75" customHeight="1"/>
    <row r="15795" ht="15.75" customHeight="1"/>
    <row r="15796" ht="15.75" customHeight="1"/>
    <row r="15797" ht="15.75" customHeight="1"/>
    <row r="15798" ht="15.75" customHeight="1"/>
    <row r="15799" ht="15.75" customHeight="1"/>
    <row r="15800" ht="15.75" customHeight="1"/>
    <row r="15801" ht="15.75" customHeight="1"/>
    <row r="15802" ht="15.75" customHeight="1"/>
    <row r="15803" ht="15.75" customHeight="1"/>
    <row r="15804" ht="15.75" customHeight="1"/>
    <row r="15805" ht="15.75" customHeight="1"/>
    <row r="15806" ht="15.75" customHeight="1"/>
    <row r="15807" ht="15.75" customHeight="1"/>
    <row r="15808" ht="15.75" customHeight="1"/>
    <row r="15809" ht="15.75" customHeight="1"/>
    <row r="15810" ht="15.75" customHeight="1"/>
    <row r="15811" ht="15.75" customHeight="1"/>
    <row r="15812" ht="15.75" customHeight="1"/>
    <row r="15813" ht="15.75" customHeight="1"/>
    <row r="15814" ht="15.75" customHeight="1"/>
    <row r="15815" ht="15.75" customHeight="1"/>
    <row r="15816" ht="15.75" customHeight="1"/>
    <row r="15817" ht="15.75" customHeight="1"/>
    <row r="15818" ht="15.75" customHeight="1"/>
    <row r="15819" ht="15.75" customHeight="1"/>
    <row r="15820" ht="15.75" customHeight="1"/>
    <row r="15821" ht="15.75" customHeight="1"/>
    <row r="15822" ht="15.75" customHeight="1"/>
    <row r="15823" ht="15.75" customHeight="1"/>
    <row r="15824" ht="15.75" customHeight="1"/>
    <row r="15825" ht="15.75" customHeight="1"/>
    <row r="15826" ht="15.75" customHeight="1"/>
    <row r="15827" ht="15.75" customHeight="1"/>
    <row r="15828" ht="15.75" customHeight="1"/>
    <row r="15829" ht="15.75" customHeight="1"/>
    <row r="15830" ht="15.75" customHeight="1"/>
    <row r="15831" ht="15.75" customHeight="1"/>
    <row r="15832" ht="15.75" customHeight="1"/>
    <row r="15833" ht="15.75" customHeight="1"/>
    <row r="15834" ht="15.75" customHeight="1"/>
    <row r="15835" ht="15.75" customHeight="1"/>
    <row r="15836" ht="15.75" customHeight="1"/>
    <row r="15837" ht="15.75" customHeight="1"/>
    <row r="15838" ht="15.75" customHeight="1"/>
    <row r="15839" ht="15.75" customHeight="1"/>
    <row r="15840" ht="15.75" customHeight="1"/>
    <row r="15841" ht="15.75" customHeight="1"/>
    <row r="15842" ht="15.75" customHeight="1"/>
    <row r="15843" ht="15.75" customHeight="1"/>
    <row r="15844" ht="15.75" customHeight="1"/>
    <row r="15845" ht="15.75" customHeight="1"/>
    <row r="15846" ht="15.75" customHeight="1"/>
    <row r="15847" ht="15.75" customHeight="1"/>
    <row r="15848" ht="15.75" customHeight="1"/>
    <row r="15849" ht="15.75" customHeight="1"/>
    <row r="15850" ht="15.75" customHeight="1"/>
    <row r="15851" ht="15.75" customHeight="1"/>
    <row r="15852" ht="15.75" customHeight="1"/>
    <row r="15853" ht="15.75" customHeight="1"/>
    <row r="15854" ht="15.75" customHeight="1"/>
    <row r="15855" ht="15.75" customHeight="1"/>
    <row r="15856" ht="15.75" customHeight="1"/>
    <row r="15857" ht="15.75" customHeight="1"/>
    <row r="15858" ht="15.75" customHeight="1"/>
    <row r="15859" ht="15.75" customHeight="1"/>
    <row r="15860" ht="15.75" customHeight="1"/>
    <row r="15861" ht="15.75" customHeight="1"/>
    <row r="15862" ht="15.75" customHeight="1"/>
    <row r="15863" ht="15.75" customHeight="1"/>
    <row r="15864" ht="15.75" customHeight="1"/>
    <row r="15865" ht="15.75" customHeight="1"/>
    <row r="15866" ht="15.75" customHeight="1"/>
    <row r="15867" ht="15.75" customHeight="1"/>
    <row r="15868" ht="15.75" customHeight="1"/>
    <row r="15869" ht="15.75" customHeight="1"/>
    <row r="15870" ht="15.75" customHeight="1"/>
    <row r="15871" ht="15.75" customHeight="1"/>
    <row r="15872" ht="15.75" customHeight="1"/>
    <row r="15873" ht="15.75" customHeight="1"/>
    <row r="15874" ht="15.75" customHeight="1"/>
    <row r="15875" ht="15.75" customHeight="1"/>
    <row r="15876" ht="15.75" customHeight="1"/>
    <row r="15877" ht="15.75" customHeight="1"/>
    <row r="15878" ht="15.75" customHeight="1"/>
    <row r="15879" ht="15.75" customHeight="1"/>
    <row r="15880" ht="15.75" customHeight="1"/>
    <row r="15881" ht="15.75" customHeight="1"/>
    <row r="15882" ht="15.75" customHeight="1"/>
    <row r="15883" ht="15.75" customHeight="1"/>
    <row r="15884" ht="15.75" customHeight="1"/>
    <row r="15885" ht="15.75" customHeight="1"/>
    <row r="15886" ht="15.75" customHeight="1"/>
    <row r="15887" ht="15.75" customHeight="1"/>
    <row r="15888" ht="15.75" customHeight="1"/>
    <row r="15889" ht="15.75" customHeight="1"/>
    <row r="15890" ht="15.75" customHeight="1"/>
    <row r="15891" ht="15.75" customHeight="1"/>
    <row r="15892" ht="15.75" customHeight="1"/>
    <row r="15893" ht="15.75" customHeight="1"/>
    <row r="15894" ht="15.75" customHeight="1"/>
    <row r="15895" ht="15.75" customHeight="1"/>
    <row r="15896" ht="15.75" customHeight="1"/>
    <row r="15897" ht="15.75" customHeight="1"/>
    <row r="15898" ht="15.75" customHeight="1"/>
    <row r="15899" ht="15.75" customHeight="1"/>
    <row r="15900" ht="15.75" customHeight="1"/>
    <row r="15901" ht="15.75" customHeight="1"/>
    <row r="15902" ht="15.75" customHeight="1"/>
    <row r="15903" ht="15.75" customHeight="1"/>
    <row r="15904" ht="15.75" customHeight="1"/>
    <row r="15905" ht="15.75" customHeight="1"/>
    <row r="15906" ht="15.75" customHeight="1"/>
    <row r="15907" ht="15.75" customHeight="1"/>
    <row r="15908" ht="15.75" customHeight="1"/>
    <row r="15909" ht="15.75" customHeight="1"/>
    <row r="15910" ht="15.75" customHeight="1"/>
    <row r="15911" ht="15.75" customHeight="1"/>
    <row r="15912" ht="15.75" customHeight="1"/>
    <row r="15913" ht="15.75" customHeight="1"/>
    <row r="15914" ht="15.75" customHeight="1"/>
    <row r="15915" ht="15.75" customHeight="1"/>
    <row r="15916" ht="15.75" customHeight="1"/>
    <row r="15917" ht="15.75" customHeight="1"/>
    <row r="15918" ht="15.75" customHeight="1"/>
    <row r="15919" ht="15.75" customHeight="1"/>
    <row r="15920" ht="15.75" customHeight="1"/>
    <row r="15921" ht="15.75" customHeight="1"/>
    <row r="15922" ht="15.75" customHeight="1"/>
    <row r="15923" ht="15.75" customHeight="1"/>
    <row r="15924" ht="15.75" customHeight="1"/>
    <row r="15925" ht="15.75" customHeight="1"/>
    <row r="15926" ht="15.75" customHeight="1"/>
    <row r="15927" ht="15.75" customHeight="1"/>
    <row r="15928" ht="15.75" customHeight="1"/>
    <row r="15929" ht="15.75" customHeight="1"/>
    <row r="15930" ht="15.75" customHeight="1"/>
    <row r="15931" ht="15.75" customHeight="1"/>
    <row r="15932" ht="15.75" customHeight="1"/>
    <row r="15933" ht="15.75" customHeight="1"/>
    <row r="15934" ht="15.75" customHeight="1"/>
    <row r="15935" ht="15.75" customHeight="1"/>
    <row r="15936" ht="15.75" customHeight="1"/>
    <row r="15937" ht="15.75" customHeight="1"/>
    <row r="15938" ht="15.75" customHeight="1"/>
    <row r="15939" ht="15.75" customHeight="1"/>
    <row r="15940" ht="15.75" customHeight="1"/>
    <row r="15941" ht="15.75" customHeight="1"/>
    <row r="15942" ht="15.75" customHeight="1"/>
    <row r="15943" ht="15.75" customHeight="1"/>
    <row r="15944" ht="15.75" customHeight="1"/>
    <row r="15945" ht="15.75" customHeight="1"/>
    <row r="15946" ht="15.75" customHeight="1"/>
    <row r="15947" ht="15.75" customHeight="1"/>
    <row r="15948" ht="15.75" customHeight="1"/>
    <row r="15949" ht="15.75" customHeight="1"/>
    <row r="15950" ht="15.75" customHeight="1"/>
    <row r="15951" ht="15.75" customHeight="1"/>
    <row r="15952" ht="15.75" customHeight="1"/>
    <row r="15953" ht="15.75" customHeight="1"/>
    <row r="15954" ht="15.75" customHeight="1"/>
    <row r="15955" ht="15.75" customHeight="1"/>
    <row r="15956" ht="15.75" customHeight="1"/>
    <row r="15957" ht="15.75" customHeight="1"/>
    <row r="15958" ht="15.75" customHeight="1"/>
    <row r="15959" ht="15.75" customHeight="1"/>
    <row r="15960" ht="15.75" customHeight="1"/>
    <row r="15961" ht="15.75" customHeight="1"/>
    <row r="15962" ht="15.75" customHeight="1"/>
    <row r="15963" ht="15.75" customHeight="1"/>
    <row r="15964" ht="15.75" customHeight="1"/>
    <row r="15965" ht="15.75" customHeight="1"/>
    <row r="15966" ht="15.75" customHeight="1"/>
    <row r="15967" ht="15.75" customHeight="1"/>
    <row r="15968" ht="15.75" customHeight="1"/>
    <row r="15969" ht="15.75" customHeight="1"/>
    <row r="15970" ht="15.75" customHeight="1"/>
    <row r="15971" ht="15.75" customHeight="1"/>
    <row r="15972" ht="15.75" customHeight="1"/>
    <row r="15973" ht="15.75" customHeight="1"/>
    <row r="15974" ht="15.75" customHeight="1"/>
    <row r="15975" ht="15.75" customHeight="1"/>
    <row r="15976" ht="15.75" customHeight="1"/>
    <row r="15977" ht="15.75" customHeight="1"/>
    <row r="15978" ht="15.75" customHeight="1"/>
    <row r="15979" ht="15.75" customHeight="1"/>
    <row r="15980" ht="15.75" customHeight="1"/>
    <row r="15981" ht="15.75" customHeight="1"/>
    <row r="15982" ht="15.75" customHeight="1"/>
    <row r="15983" ht="15.75" customHeight="1"/>
    <row r="15984" ht="15.75" customHeight="1"/>
    <row r="15985" ht="15.75" customHeight="1"/>
    <row r="15986" ht="15.75" customHeight="1"/>
    <row r="15987" ht="15.75" customHeight="1"/>
    <row r="15988" ht="15.75" customHeight="1"/>
    <row r="15989" ht="15.75" customHeight="1"/>
    <row r="15990" ht="15.75" customHeight="1"/>
    <row r="15991" ht="15.75" customHeight="1"/>
    <row r="15992" ht="15.75" customHeight="1"/>
    <row r="15993" ht="15.75" customHeight="1"/>
    <row r="15994" ht="15.75" customHeight="1"/>
    <row r="15995" ht="15.75" customHeight="1"/>
    <row r="15996" ht="15.75" customHeight="1"/>
    <row r="15997" ht="15.75" customHeight="1"/>
    <row r="15998" ht="15.75" customHeight="1"/>
    <row r="15999" ht="15.75" customHeight="1"/>
    <row r="16000" ht="15.75" customHeight="1"/>
    <row r="16001" ht="15.75" customHeight="1"/>
    <row r="16002" ht="15.75" customHeight="1"/>
    <row r="16003" ht="15.75" customHeight="1"/>
    <row r="16004" ht="15.75" customHeight="1"/>
    <row r="16005" ht="15.75" customHeight="1"/>
    <row r="16006" ht="15.75" customHeight="1"/>
    <row r="16007" ht="15.75" customHeight="1"/>
    <row r="16008" ht="15.75" customHeight="1"/>
    <row r="16009" ht="15.75" customHeight="1"/>
    <row r="16010" ht="15.75" customHeight="1"/>
    <row r="16011" ht="15.75" customHeight="1"/>
    <row r="16012" ht="15.75" customHeight="1"/>
    <row r="16013" ht="15.75" customHeight="1"/>
    <row r="16014" ht="15.75" customHeight="1"/>
    <row r="16015" ht="15.75" customHeight="1"/>
    <row r="16016" ht="15.75" customHeight="1"/>
    <row r="16017" ht="15.75" customHeight="1"/>
    <row r="16018" ht="15.75" customHeight="1"/>
    <row r="16019" ht="15.75" customHeight="1"/>
    <row r="16020" ht="15.75" customHeight="1"/>
    <row r="16021" ht="15.75" customHeight="1"/>
    <row r="16022" ht="15.75" customHeight="1"/>
    <row r="16023" ht="15.75" customHeight="1"/>
    <row r="16024" ht="15.75" customHeight="1"/>
    <row r="16025" ht="15.75" customHeight="1"/>
    <row r="16026" ht="15.75" customHeight="1"/>
    <row r="16027" ht="15.75" customHeight="1"/>
    <row r="16028" ht="15.75" customHeight="1"/>
    <row r="16029" ht="15.75" customHeight="1"/>
    <row r="16030" ht="15.75" customHeight="1"/>
    <row r="16031" ht="15.75" customHeight="1"/>
    <row r="16032" ht="15.75" customHeight="1"/>
    <row r="16033" ht="15.75" customHeight="1"/>
    <row r="16034" ht="15.75" customHeight="1"/>
    <row r="16035" ht="15.75" customHeight="1"/>
    <row r="16036" ht="15.75" customHeight="1"/>
    <row r="16037" ht="15.75" customHeight="1"/>
    <row r="16038" ht="15.75" customHeight="1"/>
    <row r="16039" ht="15.75" customHeight="1"/>
    <row r="16040" ht="15.75" customHeight="1"/>
    <row r="16041" ht="15.75" customHeight="1"/>
    <row r="16042" ht="15.75" customHeight="1"/>
    <row r="16043" ht="15.75" customHeight="1"/>
    <row r="16044" ht="15.75" customHeight="1"/>
    <row r="16045" ht="15.75" customHeight="1"/>
    <row r="16046" ht="15.75" customHeight="1"/>
    <row r="16047" ht="15.75" customHeight="1"/>
    <row r="16048" ht="15.75" customHeight="1"/>
    <row r="16049" ht="15.75" customHeight="1"/>
    <row r="16050" ht="15.75" customHeight="1"/>
    <row r="16051" ht="15.75" customHeight="1"/>
    <row r="16052" ht="15.75" customHeight="1"/>
    <row r="16053" ht="15.75" customHeight="1"/>
    <row r="16054" ht="15.75" customHeight="1"/>
    <row r="16055" ht="15.75" customHeight="1"/>
    <row r="16056" ht="15.75" customHeight="1"/>
    <row r="16057" ht="15.75" customHeight="1"/>
    <row r="16058" ht="15.75" customHeight="1"/>
    <row r="16059" ht="15.75" customHeight="1"/>
    <row r="16060" ht="15.75" customHeight="1"/>
    <row r="16061" ht="15.75" customHeight="1"/>
    <row r="16062" ht="15.75" customHeight="1"/>
    <row r="16063" ht="15.75" customHeight="1"/>
    <row r="16064" ht="15.75" customHeight="1"/>
    <row r="16065" ht="15.75" customHeight="1"/>
    <row r="16066" ht="15.75" customHeight="1"/>
    <row r="16067" ht="15.75" customHeight="1"/>
    <row r="16068" ht="15.75" customHeight="1"/>
    <row r="16069" ht="15.75" customHeight="1"/>
    <row r="16070" ht="15.75" customHeight="1"/>
    <row r="16071" ht="15.75" customHeight="1"/>
    <row r="16072" ht="15.75" customHeight="1"/>
    <row r="16073" ht="15.75" customHeight="1"/>
    <row r="16074" ht="15.75" customHeight="1"/>
    <row r="16075" ht="15.75" customHeight="1"/>
    <row r="16076" ht="15.75" customHeight="1"/>
    <row r="16077" ht="15.75" customHeight="1"/>
    <row r="16078" ht="15.75" customHeight="1"/>
    <row r="16079" ht="15.75" customHeight="1"/>
    <row r="16080" ht="15.75" customHeight="1"/>
    <row r="16081" ht="15.75" customHeight="1"/>
    <row r="16082" ht="15.75" customHeight="1"/>
    <row r="16083" ht="15.75" customHeight="1"/>
    <row r="16084" ht="15.75" customHeight="1"/>
    <row r="16085" ht="15.75" customHeight="1"/>
    <row r="16086" ht="15.75" customHeight="1"/>
    <row r="16087" ht="15.75" customHeight="1"/>
    <row r="16088" ht="15.75" customHeight="1"/>
    <row r="16089" ht="15.75" customHeight="1"/>
    <row r="16090" ht="15.75" customHeight="1"/>
    <row r="16091" ht="15.75" customHeight="1"/>
    <row r="16092" ht="15.75" customHeight="1"/>
    <row r="16093" ht="15.75" customHeight="1"/>
    <row r="16094" ht="15.75" customHeight="1"/>
    <row r="16095" ht="15.75" customHeight="1"/>
    <row r="16096" ht="15.75" customHeight="1"/>
    <row r="16097" ht="15.75" customHeight="1"/>
    <row r="16098" ht="15.75" customHeight="1"/>
    <row r="16099" ht="15.75" customHeight="1"/>
    <row r="16100" ht="15.75" customHeight="1"/>
    <row r="16101" ht="15.75" customHeight="1"/>
    <row r="16102" ht="15.75" customHeight="1"/>
    <row r="16103" ht="15.75" customHeight="1"/>
    <row r="16104" ht="15.75" customHeight="1"/>
    <row r="16105" ht="15.75" customHeight="1"/>
    <row r="16106" ht="15.75" customHeight="1"/>
    <row r="16107" ht="15.75" customHeight="1"/>
    <row r="16108" ht="15.75" customHeight="1"/>
    <row r="16109" ht="15.75" customHeight="1"/>
    <row r="16110" ht="15.75" customHeight="1"/>
    <row r="16111" ht="15.75" customHeight="1"/>
    <row r="16112" ht="15.75" customHeight="1"/>
    <row r="16113" ht="15.75" customHeight="1"/>
    <row r="16114" ht="15.75" customHeight="1"/>
    <row r="16115" ht="15.75" customHeight="1"/>
    <row r="16116" ht="15.75" customHeight="1"/>
    <row r="16117" ht="15.75" customHeight="1"/>
    <row r="16118" ht="15.75" customHeight="1"/>
    <row r="16119" ht="15.75" customHeight="1"/>
    <row r="16120" ht="15.75" customHeight="1"/>
    <row r="16121" ht="15.75" customHeight="1"/>
    <row r="16122" ht="15.75" customHeight="1"/>
    <row r="16123" ht="15.75" customHeight="1"/>
    <row r="16124" ht="15.75" customHeight="1"/>
    <row r="16125" ht="15.75" customHeight="1"/>
    <row r="16126" ht="15.75" customHeight="1"/>
    <row r="16127" ht="15.75" customHeight="1"/>
    <row r="16128" ht="15.75" customHeight="1"/>
    <row r="16129" ht="15.75" customHeight="1"/>
    <row r="16130" ht="15.75" customHeight="1"/>
    <row r="16131" ht="15.75" customHeight="1"/>
    <row r="16132" ht="15.75" customHeight="1"/>
    <row r="16133" ht="15.75" customHeight="1"/>
    <row r="16134" ht="15.75" customHeight="1"/>
    <row r="16135" ht="15.75" customHeight="1"/>
    <row r="16136" ht="15.75" customHeight="1"/>
    <row r="16137" ht="15.75" customHeight="1"/>
    <row r="16138" ht="15.75" customHeight="1"/>
    <row r="16139" ht="15.75" customHeight="1"/>
    <row r="16140" ht="15.75" customHeight="1"/>
    <row r="16141" ht="15.75" customHeight="1"/>
    <row r="16142" ht="15.75" customHeight="1"/>
    <row r="16143" ht="15.75" customHeight="1"/>
    <row r="16144" ht="15.75" customHeight="1"/>
    <row r="16145" ht="15.75" customHeight="1"/>
    <row r="16146" ht="15.75" customHeight="1"/>
    <row r="16147" ht="15.75" customHeight="1"/>
    <row r="16148" ht="15.75" customHeight="1"/>
    <row r="16149" ht="15.75" customHeight="1"/>
    <row r="16150" ht="15.75" customHeight="1"/>
    <row r="16151" ht="15.75" customHeight="1"/>
    <row r="16152" ht="15.75" customHeight="1"/>
    <row r="16153" ht="15.75" customHeight="1"/>
    <row r="16154" ht="15.75" customHeight="1"/>
    <row r="16155" ht="15.75" customHeight="1"/>
    <row r="16156" ht="15.75" customHeight="1"/>
    <row r="16157" ht="15.75" customHeight="1"/>
    <row r="16158" ht="15.75" customHeight="1"/>
    <row r="16159" ht="15.75" customHeight="1"/>
    <row r="16160" ht="15.75" customHeight="1"/>
    <row r="16161" ht="15.75" customHeight="1"/>
    <row r="16162" ht="15.75" customHeight="1"/>
    <row r="16163" ht="15.75" customHeight="1"/>
    <row r="16164" ht="15.75" customHeight="1"/>
    <row r="16165" ht="15.75" customHeight="1"/>
    <row r="16166" ht="15.75" customHeight="1"/>
    <row r="16167" ht="15.75" customHeight="1"/>
    <row r="16168" ht="15.75" customHeight="1"/>
    <row r="16169" ht="15.75" customHeight="1"/>
    <row r="16170" ht="15.75" customHeight="1"/>
    <row r="16171" ht="15.75" customHeight="1"/>
    <row r="16172" ht="15.75" customHeight="1"/>
    <row r="16173" ht="15.75" customHeight="1"/>
    <row r="16174" ht="15.75" customHeight="1"/>
    <row r="16175" ht="15.75" customHeight="1"/>
    <row r="16176" ht="15.75" customHeight="1"/>
    <row r="16177" ht="15.75" customHeight="1"/>
    <row r="16178" ht="15.75" customHeight="1"/>
    <row r="16179" ht="15.75" customHeight="1"/>
    <row r="16180" ht="15.75" customHeight="1"/>
    <row r="16181" ht="15.75" customHeight="1"/>
    <row r="16182" ht="15.75" customHeight="1"/>
    <row r="16183" ht="15.75" customHeight="1"/>
    <row r="16184" ht="15.75" customHeight="1"/>
    <row r="16185" ht="15.75" customHeight="1"/>
    <row r="16186" ht="15.75" customHeight="1"/>
    <row r="16187" ht="15.75" customHeight="1"/>
    <row r="16188" ht="15.75" customHeight="1"/>
    <row r="16189" ht="15.75" customHeight="1"/>
    <row r="16190" ht="15.75" customHeight="1"/>
    <row r="16191" ht="15.75" customHeight="1"/>
    <row r="16192" ht="15.75" customHeight="1"/>
    <row r="16193" ht="15.75" customHeight="1"/>
    <row r="16194" ht="15.75" customHeight="1"/>
    <row r="16195" ht="15.75" customHeight="1"/>
    <row r="16196" ht="15.75" customHeight="1"/>
    <row r="16197" ht="15.75" customHeight="1"/>
    <row r="16198" ht="15.75" customHeight="1"/>
    <row r="16199" ht="15.75" customHeight="1"/>
    <row r="16200" ht="15.75" customHeight="1"/>
    <row r="16201" ht="15.75" customHeight="1"/>
    <row r="16202" ht="15.75" customHeight="1"/>
    <row r="16203" ht="15.75" customHeight="1"/>
    <row r="16204" ht="15.75" customHeight="1"/>
    <row r="16205" ht="15.75" customHeight="1"/>
    <row r="16206" ht="15.75" customHeight="1"/>
    <row r="16207" ht="15.75" customHeight="1"/>
    <row r="16208" ht="15.75" customHeight="1"/>
    <row r="16209" ht="15.75" customHeight="1"/>
    <row r="16210" ht="15.75" customHeight="1"/>
    <row r="16211" ht="15.75" customHeight="1"/>
    <row r="16212" ht="15.75" customHeight="1"/>
    <row r="16213" ht="15.75" customHeight="1"/>
    <row r="16214" ht="15.75" customHeight="1"/>
    <row r="16215" ht="15.75" customHeight="1"/>
    <row r="16216" ht="15.75" customHeight="1"/>
    <row r="16217" ht="15.75" customHeight="1"/>
    <row r="16218" ht="15.75" customHeight="1"/>
    <row r="16219" ht="15.75" customHeight="1"/>
    <row r="16220" ht="15.75" customHeight="1"/>
    <row r="16221" ht="15.75" customHeight="1"/>
    <row r="16222" ht="15.75" customHeight="1"/>
    <row r="16223" ht="15.75" customHeight="1"/>
    <row r="16224" ht="15.75" customHeight="1"/>
    <row r="16225" ht="15.75" customHeight="1"/>
    <row r="16226" ht="15.75" customHeight="1"/>
    <row r="16227" ht="15.75" customHeight="1"/>
    <row r="16228" ht="15.75" customHeight="1"/>
    <row r="16229" ht="15.75" customHeight="1"/>
    <row r="16230" ht="15.75" customHeight="1"/>
    <row r="16231" ht="15.75" customHeight="1"/>
    <row r="16232" ht="15.75" customHeight="1"/>
    <row r="16233" ht="15.75" customHeight="1"/>
    <row r="16234" ht="15.75" customHeight="1"/>
    <row r="16235" ht="15.75" customHeight="1"/>
    <row r="16236" ht="15.75" customHeight="1"/>
    <row r="16237" ht="15.75" customHeight="1"/>
    <row r="16238" ht="15.75" customHeight="1"/>
    <row r="16239" ht="15.75" customHeight="1"/>
    <row r="16240" ht="15.75" customHeight="1"/>
    <row r="16241" ht="15.75" customHeight="1"/>
    <row r="16242" ht="15.75" customHeight="1"/>
    <row r="16243" ht="15.75" customHeight="1"/>
    <row r="16244" ht="15.75" customHeight="1"/>
    <row r="16245" ht="15.75" customHeight="1"/>
    <row r="16246" ht="15.75" customHeight="1"/>
    <row r="16247" ht="15.75" customHeight="1"/>
    <row r="16248" ht="15.75" customHeight="1"/>
    <row r="16249" ht="15.75" customHeight="1"/>
    <row r="16250" ht="15.75" customHeight="1"/>
    <row r="16251" ht="15.75" customHeight="1"/>
    <row r="16252" ht="15.75" customHeight="1"/>
    <row r="16253" ht="15.75" customHeight="1"/>
    <row r="16254" ht="15.75" customHeight="1"/>
    <row r="16255" ht="15.75" customHeight="1"/>
    <row r="16256" ht="15.75" customHeight="1"/>
    <row r="16257" ht="15.75" customHeight="1"/>
    <row r="16258" ht="15.75" customHeight="1"/>
    <row r="16259" ht="15.75" customHeight="1"/>
    <row r="16260" ht="15.75" customHeight="1"/>
    <row r="16261" ht="15.75" customHeight="1"/>
    <row r="16262" ht="15.75" customHeight="1"/>
    <row r="16263" ht="15.75" customHeight="1"/>
    <row r="16264" ht="15.75" customHeight="1"/>
    <row r="16265" ht="15.75" customHeight="1"/>
    <row r="16266" ht="15.75" customHeight="1"/>
    <row r="16267" ht="15.75" customHeight="1"/>
    <row r="16268" ht="15.75" customHeight="1"/>
    <row r="16269" ht="15.75" customHeight="1"/>
    <row r="16270" ht="15.75" customHeight="1"/>
    <row r="16271" ht="15.75" customHeight="1"/>
    <row r="16272" ht="15.75" customHeight="1"/>
    <row r="16273" ht="15.75" customHeight="1"/>
    <row r="16274" ht="15.75" customHeight="1"/>
    <row r="16275" ht="15.75" customHeight="1"/>
    <row r="16276" ht="15.75" customHeight="1"/>
    <row r="16277" ht="15.75" customHeight="1"/>
    <row r="16278" ht="15.75" customHeight="1"/>
    <row r="16279" ht="15.75" customHeight="1"/>
    <row r="16280" ht="15.75" customHeight="1"/>
    <row r="16281" ht="15.75" customHeight="1"/>
    <row r="16282" ht="15.75" customHeight="1"/>
    <row r="16283" ht="15.75" customHeight="1"/>
    <row r="16284" ht="15.75" customHeight="1"/>
    <row r="16285" ht="15.75" customHeight="1"/>
    <row r="16286" ht="15.75" customHeight="1"/>
    <row r="16287" ht="15.75" customHeight="1"/>
    <row r="16288" ht="15.75" customHeight="1"/>
    <row r="16289" ht="15.75" customHeight="1"/>
    <row r="16290" ht="15.75" customHeight="1"/>
    <row r="16291" ht="15.75" customHeight="1"/>
    <row r="16292" ht="15.75" customHeight="1"/>
    <row r="16293" ht="15.75" customHeight="1"/>
    <row r="16294" ht="15.75" customHeight="1"/>
    <row r="16295" ht="15.75" customHeight="1"/>
    <row r="16296" ht="15.75" customHeight="1"/>
    <row r="16297" ht="15.75" customHeight="1"/>
    <row r="16298" ht="15.75" customHeight="1"/>
    <row r="16299" ht="15.75" customHeight="1"/>
    <row r="16300" ht="15.75" customHeight="1"/>
    <row r="16301" ht="15.75" customHeight="1"/>
    <row r="16302" ht="15.75" customHeight="1"/>
    <row r="16303" ht="15.75" customHeight="1"/>
    <row r="16304" ht="15.75" customHeight="1"/>
    <row r="16305" ht="15.75" customHeight="1"/>
    <row r="16306" ht="15.75" customHeight="1"/>
    <row r="16307" ht="15.75" customHeight="1"/>
    <row r="16308" ht="15.75" customHeight="1"/>
    <row r="16309" ht="15.75" customHeight="1"/>
    <row r="16310" ht="15.75" customHeight="1"/>
    <row r="16311" ht="15.75" customHeight="1"/>
    <row r="16312" ht="15.75" customHeight="1"/>
    <row r="16313" ht="15.75" customHeight="1"/>
    <row r="16314" ht="15.75" customHeight="1"/>
    <row r="16315" ht="15.75" customHeight="1"/>
    <row r="16316" ht="15.75" customHeight="1"/>
    <row r="16317" ht="15.75" customHeight="1"/>
    <row r="16318" ht="15.75" customHeight="1"/>
    <row r="16319" ht="15.75" customHeight="1"/>
    <row r="16320" ht="15.75" customHeight="1"/>
    <row r="16321" ht="15.75" customHeight="1"/>
    <row r="16322" ht="15.75" customHeight="1"/>
    <row r="16323" ht="15.75" customHeight="1"/>
    <row r="16324" ht="15.75" customHeight="1"/>
    <row r="16325" ht="15.75" customHeight="1"/>
    <row r="16326" ht="15.75" customHeight="1"/>
    <row r="16327" ht="15.75" customHeight="1"/>
    <row r="16328" ht="15.75" customHeight="1"/>
    <row r="16329" ht="15.75" customHeight="1"/>
    <row r="16330" ht="15.75" customHeight="1"/>
    <row r="16331" ht="15.75" customHeight="1"/>
    <row r="16332" ht="15.75" customHeight="1"/>
    <row r="16333" ht="15.75" customHeight="1"/>
    <row r="16334" ht="15.75" customHeight="1"/>
    <row r="16335" ht="15.75" customHeight="1"/>
    <row r="16336" ht="15.75" customHeight="1"/>
    <row r="16337" ht="15.75" customHeight="1"/>
    <row r="16338" ht="15.75" customHeight="1"/>
    <row r="16339" ht="15.75" customHeight="1"/>
    <row r="16340" ht="15.75" customHeight="1"/>
    <row r="16341" ht="15.75" customHeight="1"/>
    <row r="16342" ht="15.75" customHeight="1"/>
    <row r="16343" ht="15.75" customHeight="1"/>
    <row r="16344" ht="15.75" customHeight="1"/>
    <row r="16345" ht="15.75" customHeight="1"/>
    <row r="16346" ht="15.75" customHeight="1"/>
    <row r="16347" ht="15.75" customHeight="1"/>
    <row r="16348" ht="15.75" customHeight="1"/>
    <row r="16349" ht="15.75" customHeight="1"/>
    <row r="16350" ht="15.75" customHeight="1"/>
    <row r="16351" ht="15.75" customHeight="1"/>
    <row r="16352" ht="15.75" customHeight="1"/>
    <row r="16353" ht="15.75" customHeight="1"/>
    <row r="16354" ht="15.75" customHeight="1"/>
    <row r="16355" ht="15.75" customHeight="1"/>
    <row r="16356" ht="15.75" customHeight="1"/>
    <row r="16357" ht="15.75" customHeight="1"/>
    <row r="16358" ht="15.75" customHeight="1"/>
    <row r="16359" ht="15.75" customHeight="1"/>
    <row r="16360" ht="15.75" customHeight="1"/>
    <row r="16361" ht="15.75" customHeight="1"/>
    <row r="16362" ht="15.75" customHeight="1"/>
    <row r="16363" ht="15.75" customHeight="1"/>
    <row r="16364" ht="15.75" customHeight="1"/>
    <row r="16365" ht="15.75" customHeight="1"/>
    <row r="16366" ht="15.75" customHeight="1"/>
    <row r="16367" ht="15.75" customHeight="1"/>
    <row r="16368" ht="15.75" customHeight="1"/>
    <row r="16369" ht="15.75" customHeight="1"/>
    <row r="16370" ht="15.75" customHeight="1"/>
    <row r="16371" ht="15.75" customHeight="1"/>
    <row r="16372" ht="15.75" customHeight="1"/>
    <row r="16373" ht="15.75" customHeight="1"/>
    <row r="16374" ht="15.75" customHeight="1"/>
    <row r="16375" ht="15.75" customHeight="1"/>
    <row r="16376" ht="15.75" customHeight="1"/>
    <row r="16377" ht="15.75" customHeight="1"/>
    <row r="16378" ht="15.75" customHeight="1"/>
    <row r="16379" ht="15.75" customHeight="1"/>
    <row r="16380" ht="15.75" customHeight="1"/>
    <row r="16381" ht="15.75" customHeight="1"/>
    <row r="16382" ht="15.75" customHeight="1"/>
    <row r="16383" ht="15.75" customHeight="1"/>
    <row r="16384" ht="15.75" customHeight="1"/>
    <row r="16385" ht="15.75" customHeight="1"/>
    <row r="16386" ht="15.75" customHeight="1"/>
    <row r="16387" ht="15.75" customHeight="1"/>
    <row r="16388" ht="15.75" customHeight="1"/>
    <row r="16389" ht="15.75" customHeight="1"/>
    <row r="16390" ht="15.75" customHeight="1"/>
    <row r="16391" ht="15.75" customHeight="1"/>
    <row r="16392" ht="15.75" customHeight="1"/>
    <row r="16393" ht="15.75" customHeight="1"/>
    <row r="16394" ht="15.75" customHeight="1"/>
    <row r="16395" ht="15.75" customHeight="1"/>
    <row r="16396" ht="15.75" customHeight="1"/>
    <row r="16397" ht="15.75" customHeight="1"/>
    <row r="16398" ht="15.75" customHeight="1"/>
    <row r="16399" ht="15.75" customHeight="1"/>
    <row r="16400" ht="15.75" customHeight="1"/>
    <row r="16401" ht="15.75" customHeight="1"/>
    <row r="16402" ht="15.75" customHeight="1"/>
    <row r="16403" ht="15.75" customHeight="1"/>
    <row r="16404" ht="15.75" customHeight="1"/>
    <row r="16405" ht="15.75" customHeight="1"/>
    <row r="16406" ht="15.75" customHeight="1"/>
    <row r="16407" ht="15.75" customHeight="1"/>
    <row r="16408" ht="15.75" customHeight="1"/>
    <row r="16409" ht="15.75" customHeight="1"/>
    <row r="16410" ht="15.75" customHeight="1"/>
    <row r="16411" ht="15.75" customHeight="1"/>
    <row r="16412" ht="15.75" customHeight="1"/>
    <row r="16413" ht="15.75" customHeight="1"/>
    <row r="16414" ht="15.75" customHeight="1"/>
    <row r="16415" ht="15.75" customHeight="1"/>
    <row r="16416" ht="15.75" customHeight="1"/>
    <row r="16417" ht="15.75" customHeight="1"/>
    <row r="16418" ht="15.75" customHeight="1"/>
    <row r="16419" ht="15.75" customHeight="1"/>
    <row r="16420" ht="15.75" customHeight="1"/>
    <row r="16421" ht="15.75" customHeight="1"/>
    <row r="16422" ht="15.75" customHeight="1"/>
    <row r="16423" ht="15.75" customHeight="1"/>
    <row r="16424" ht="15.75" customHeight="1"/>
    <row r="16425" ht="15.75" customHeight="1"/>
    <row r="16426" ht="15.75" customHeight="1"/>
    <row r="16427" ht="15.75" customHeight="1"/>
    <row r="16428" ht="15.75" customHeight="1"/>
    <row r="16429" ht="15.75" customHeight="1"/>
    <row r="16430" ht="15.75" customHeight="1"/>
    <row r="16431" ht="15.75" customHeight="1"/>
    <row r="16432" ht="15.75" customHeight="1"/>
    <row r="16433" ht="15.75" customHeight="1"/>
    <row r="16434" ht="15.75" customHeight="1"/>
    <row r="16435" ht="15.75" customHeight="1"/>
    <row r="16436" ht="15.75" customHeight="1"/>
    <row r="16437" ht="15.75" customHeight="1"/>
    <row r="16438" ht="15.75" customHeight="1"/>
    <row r="16439" ht="15.75" customHeight="1"/>
    <row r="16440" ht="15.75" customHeight="1"/>
    <row r="16441" ht="15.75" customHeight="1"/>
    <row r="16442" ht="15.75" customHeight="1"/>
    <row r="16443" ht="15.75" customHeight="1"/>
    <row r="16444" ht="15.75" customHeight="1"/>
    <row r="16445" ht="15.75" customHeight="1"/>
    <row r="16446" ht="15.75" customHeight="1"/>
    <row r="16447" ht="15.75" customHeight="1"/>
    <row r="16448" ht="15.75" customHeight="1"/>
    <row r="16449" ht="15.75" customHeight="1"/>
    <row r="16450" ht="15.75" customHeight="1"/>
    <row r="16451" ht="15.75" customHeight="1"/>
    <row r="16452" ht="15.75" customHeight="1"/>
    <row r="16453" ht="15.75" customHeight="1"/>
    <row r="16454" ht="15.75" customHeight="1"/>
    <row r="16455" ht="15.75" customHeight="1"/>
    <row r="16456" ht="15.75" customHeight="1"/>
    <row r="16457" ht="15.75" customHeight="1"/>
    <row r="16458" ht="15.75" customHeight="1"/>
    <row r="16459" ht="15.75" customHeight="1"/>
    <row r="16460" ht="15.75" customHeight="1"/>
    <row r="16461" ht="15.75" customHeight="1"/>
    <row r="16462" ht="15.75" customHeight="1"/>
    <row r="16463" ht="15.75" customHeight="1"/>
    <row r="16464" ht="15.75" customHeight="1"/>
    <row r="16465" ht="15.75" customHeight="1"/>
    <row r="16466" ht="15.75" customHeight="1"/>
    <row r="16467" ht="15.75" customHeight="1"/>
    <row r="16468" ht="15.75" customHeight="1"/>
    <row r="16469" ht="15.75" customHeight="1"/>
    <row r="16470" ht="15.75" customHeight="1"/>
    <row r="16471" ht="15.75" customHeight="1"/>
    <row r="16472" ht="15.75" customHeight="1"/>
    <row r="16473" ht="15.75" customHeight="1"/>
    <row r="16474" ht="15.75" customHeight="1"/>
    <row r="16475" ht="15.75" customHeight="1"/>
    <row r="16476" ht="15.75" customHeight="1"/>
    <row r="16477" ht="15.75" customHeight="1"/>
    <row r="16478" ht="15.75" customHeight="1"/>
    <row r="16479" ht="15.75" customHeight="1"/>
    <row r="16480" ht="15.75" customHeight="1"/>
    <row r="16481" ht="15.75" customHeight="1"/>
    <row r="16482" ht="15.75" customHeight="1"/>
    <row r="16483" ht="15.75" customHeight="1"/>
    <row r="16484" ht="15.75" customHeight="1"/>
    <row r="16485" ht="15.75" customHeight="1"/>
    <row r="16486" ht="15.75" customHeight="1"/>
    <row r="16487" ht="15.75" customHeight="1"/>
    <row r="16488" ht="15.75" customHeight="1"/>
    <row r="16489" ht="15.75" customHeight="1"/>
    <row r="16490" ht="15.75" customHeight="1"/>
    <row r="16491" ht="15.75" customHeight="1"/>
    <row r="16492" ht="15.75" customHeight="1"/>
    <row r="16493" ht="15.75" customHeight="1"/>
    <row r="16494" ht="15.75" customHeight="1"/>
    <row r="16495" ht="15.75" customHeight="1"/>
    <row r="16496" ht="15.75" customHeight="1"/>
    <row r="16497" ht="15.75" customHeight="1"/>
    <row r="16498" ht="15.75" customHeight="1"/>
    <row r="16499" ht="15.75" customHeight="1"/>
    <row r="16500" ht="15.75" customHeight="1"/>
    <row r="16501" ht="15.75" customHeight="1"/>
    <row r="16502" ht="15.75" customHeight="1"/>
    <row r="16503" ht="15.75" customHeight="1"/>
    <row r="16504" ht="15.75" customHeight="1"/>
    <row r="16505" ht="15.75" customHeight="1"/>
    <row r="16506" ht="15.75" customHeight="1"/>
    <row r="16507" ht="15.75" customHeight="1"/>
    <row r="16508" ht="15.75" customHeight="1"/>
    <row r="16509" ht="15.75" customHeight="1"/>
    <row r="16510" ht="15.75" customHeight="1"/>
    <row r="16511" ht="15.75" customHeight="1"/>
    <row r="16512" ht="15.75" customHeight="1"/>
    <row r="16513" ht="15.75" customHeight="1"/>
    <row r="16514" ht="15.75" customHeight="1"/>
    <row r="16515" ht="15.75" customHeight="1"/>
    <row r="16516" ht="15.75" customHeight="1"/>
    <row r="16517" ht="15.75" customHeight="1"/>
    <row r="16518" ht="15.75" customHeight="1"/>
    <row r="16519" ht="15.75" customHeight="1"/>
    <row r="16520" ht="15.75" customHeight="1"/>
    <row r="16521" ht="15.75" customHeight="1"/>
    <row r="16522" ht="15.75" customHeight="1"/>
    <row r="16523" ht="15.75" customHeight="1"/>
    <row r="16524" ht="15.75" customHeight="1"/>
    <row r="16525" ht="15.75" customHeight="1"/>
    <row r="16526" ht="15.75" customHeight="1"/>
    <row r="16527" ht="15.75" customHeight="1"/>
    <row r="16528" ht="15.75" customHeight="1"/>
    <row r="16529" ht="15.75" customHeight="1"/>
    <row r="16530" ht="15.75" customHeight="1"/>
    <row r="16531" ht="15.75" customHeight="1"/>
    <row r="16532" ht="15.75" customHeight="1"/>
    <row r="16533" ht="15.75" customHeight="1"/>
    <row r="16534" ht="15.75" customHeight="1"/>
    <row r="16535" ht="15.75" customHeight="1"/>
    <row r="16536" ht="15.75" customHeight="1"/>
    <row r="16537" ht="15.75" customHeight="1"/>
    <row r="16538" ht="15.75" customHeight="1"/>
    <row r="16539" ht="15.75" customHeight="1"/>
    <row r="16540" ht="15.75" customHeight="1"/>
    <row r="16541" ht="15.75" customHeight="1"/>
    <row r="16542" ht="15.75" customHeight="1"/>
    <row r="16543" ht="15.75" customHeight="1"/>
    <row r="16544" ht="15.75" customHeight="1"/>
    <row r="16545" ht="15.75" customHeight="1"/>
    <row r="16546" ht="15.75" customHeight="1"/>
    <row r="16547" ht="15.75" customHeight="1"/>
    <row r="16548" ht="15.75" customHeight="1"/>
    <row r="16549" ht="15.75" customHeight="1"/>
    <row r="16550" ht="15.75" customHeight="1"/>
    <row r="16551" ht="15.75" customHeight="1"/>
    <row r="16552" ht="15.75" customHeight="1"/>
    <row r="16553" ht="15.75" customHeight="1"/>
    <row r="16554" ht="15.75" customHeight="1"/>
    <row r="16555" ht="15.75" customHeight="1"/>
    <row r="16556" ht="15.75" customHeight="1"/>
    <row r="16557" ht="15.75" customHeight="1"/>
    <row r="16558" ht="15.75" customHeight="1"/>
    <row r="16559" ht="15.75" customHeight="1"/>
    <row r="16560" ht="15.75" customHeight="1"/>
    <row r="16561" ht="15.75" customHeight="1"/>
    <row r="16562" ht="15.75" customHeight="1"/>
    <row r="16563" ht="15.75" customHeight="1"/>
    <row r="16564" ht="15.75" customHeight="1"/>
    <row r="16565" ht="15.75" customHeight="1"/>
    <row r="16566" ht="15.75" customHeight="1"/>
    <row r="16567" ht="15.75" customHeight="1"/>
    <row r="16568" ht="15.75" customHeight="1"/>
    <row r="16569" ht="15.75" customHeight="1"/>
    <row r="16570" ht="15.75" customHeight="1"/>
    <row r="16571" ht="15.75" customHeight="1"/>
    <row r="16572" ht="15.75" customHeight="1"/>
    <row r="16573" ht="15.75" customHeight="1"/>
    <row r="16574" ht="15.75" customHeight="1"/>
    <row r="16575" ht="15.75" customHeight="1"/>
    <row r="16576" ht="15.75" customHeight="1"/>
    <row r="16577" ht="15.75" customHeight="1"/>
    <row r="16578" ht="15.75" customHeight="1"/>
    <row r="16579" ht="15.75" customHeight="1"/>
    <row r="16580" ht="15.75" customHeight="1"/>
    <row r="16581" ht="15.75" customHeight="1"/>
    <row r="16582" ht="15.75" customHeight="1"/>
    <row r="16583" ht="15.75" customHeight="1"/>
    <row r="16584" ht="15.75" customHeight="1"/>
    <row r="16585" ht="15.75" customHeight="1"/>
    <row r="16586" ht="15.75" customHeight="1"/>
    <row r="16587" ht="15.75" customHeight="1"/>
    <row r="16588" ht="15.75" customHeight="1"/>
    <row r="16589" ht="15.75" customHeight="1"/>
    <row r="16590" ht="15.75" customHeight="1"/>
    <row r="16591" ht="15.75" customHeight="1"/>
    <row r="16592" ht="15.75" customHeight="1"/>
    <row r="16593" ht="15.75" customHeight="1"/>
    <row r="16594" ht="15.75" customHeight="1"/>
    <row r="16595" ht="15.75" customHeight="1"/>
    <row r="16596" ht="15.75" customHeight="1"/>
    <row r="16597" ht="15.75" customHeight="1"/>
    <row r="16598" ht="15.75" customHeight="1"/>
    <row r="16599" ht="15.75" customHeight="1"/>
    <row r="16600" ht="15.75" customHeight="1"/>
    <row r="16601" ht="15.75" customHeight="1"/>
    <row r="16602" ht="15.75" customHeight="1"/>
    <row r="16603" ht="15.75" customHeight="1"/>
    <row r="16604" ht="15.75" customHeight="1"/>
    <row r="16605" ht="15.75" customHeight="1"/>
    <row r="16606" ht="15.75" customHeight="1"/>
    <row r="16607" ht="15.75" customHeight="1"/>
    <row r="16608" ht="15.75" customHeight="1"/>
    <row r="16609" ht="15.75" customHeight="1"/>
    <row r="16610" ht="15.75" customHeight="1"/>
    <row r="16611" ht="15.75" customHeight="1"/>
    <row r="16612" ht="15.75" customHeight="1"/>
    <row r="16613" ht="15.75" customHeight="1"/>
    <row r="16614" ht="15.75" customHeight="1"/>
    <row r="16615" ht="15.75" customHeight="1"/>
    <row r="16616" ht="15.75" customHeight="1"/>
    <row r="16617" ht="15.75" customHeight="1"/>
    <row r="16618" ht="15.75" customHeight="1"/>
    <row r="16619" ht="15.75" customHeight="1"/>
    <row r="16620" ht="15.75" customHeight="1"/>
    <row r="16621" ht="15.75" customHeight="1"/>
    <row r="16622" ht="15.75" customHeight="1"/>
    <row r="16623" ht="15.75" customHeight="1"/>
    <row r="16624" ht="15.75" customHeight="1"/>
    <row r="16625" ht="15.75" customHeight="1"/>
    <row r="16626" ht="15.75" customHeight="1"/>
    <row r="16627" ht="15.75" customHeight="1"/>
    <row r="16628" ht="15.75" customHeight="1"/>
    <row r="16629" ht="15.75" customHeight="1"/>
    <row r="16630" ht="15.75" customHeight="1"/>
    <row r="16631" ht="15.75" customHeight="1"/>
    <row r="16632" ht="15.75" customHeight="1"/>
    <row r="16633" ht="15.75" customHeight="1"/>
    <row r="16634" ht="15.75" customHeight="1"/>
    <row r="16635" ht="15.75" customHeight="1"/>
    <row r="16636" ht="15.75" customHeight="1"/>
    <row r="16637" ht="15.75" customHeight="1"/>
    <row r="16638" ht="15.75" customHeight="1"/>
    <row r="16639" ht="15.75" customHeight="1"/>
    <row r="16640" ht="15.75" customHeight="1"/>
    <row r="16641" ht="15.75" customHeight="1"/>
    <row r="16642" ht="15.75" customHeight="1"/>
    <row r="16643" ht="15.75" customHeight="1"/>
    <row r="16644" ht="15.75" customHeight="1"/>
    <row r="16645" ht="15.75" customHeight="1"/>
    <row r="16646" ht="15.75" customHeight="1"/>
    <row r="16647" ht="15.75" customHeight="1"/>
    <row r="16648" ht="15.75" customHeight="1"/>
    <row r="16649" ht="15.75" customHeight="1"/>
    <row r="16650" ht="15.75" customHeight="1"/>
    <row r="16651" ht="15.75" customHeight="1"/>
    <row r="16652" ht="15.75" customHeight="1"/>
    <row r="16653" ht="15.75" customHeight="1"/>
    <row r="16654" ht="15.75" customHeight="1"/>
    <row r="16655" ht="15.75" customHeight="1"/>
    <row r="16656" ht="15.75" customHeight="1"/>
    <row r="16657" ht="15.75" customHeight="1"/>
    <row r="16658" ht="15.75" customHeight="1"/>
    <row r="16659" ht="15.75" customHeight="1"/>
    <row r="16660" ht="15.75" customHeight="1"/>
    <row r="16661" ht="15.75" customHeight="1"/>
    <row r="16662" ht="15.75" customHeight="1"/>
    <row r="16663" ht="15.75" customHeight="1"/>
    <row r="16664" ht="15.75" customHeight="1"/>
    <row r="16665" ht="15.75" customHeight="1"/>
    <row r="16666" ht="15.75" customHeight="1"/>
    <row r="16667" ht="15.75" customHeight="1"/>
    <row r="16668" ht="15.75" customHeight="1"/>
    <row r="16669" ht="15.75" customHeight="1"/>
    <row r="16670" ht="15.75" customHeight="1"/>
    <row r="16671" ht="15.75" customHeight="1"/>
    <row r="16672" ht="15.75" customHeight="1"/>
    <row r="16673" ht="15.75" customHeight="1"/>
    <row r="16674" ht="15.75" customHeight="1"/>
    <row r="16675" ht="15.75" customHeight="1"/>
    <row r="16676" ht="15.75" customHeight="1"/>
    <row r="16677" ht="15.75" customHeight="1"/>
    <row r="16678" ht="15.75" customHeight="1"/>
    <row r="16679" ht="15.75" customHeight="1"/>
    <row r="16680" ht="15.75" customHeight="1"/>
    <row r="16681" ht="15.75" customHeight="1"/>
    <row r="16682" ht="15.75" customHeight="1"/>
    <row r="16683" ht="15.75" customHeight="1"/>
    <row r="16684" ht="15.75" customHeight="1"/>
    <row r="16685" ht="15.75" customHeight="1"/>
    <row r="16686" ht="15.75" customHeight="1"/>
    <row r="16687" ht="15.75" customHeight="1"/>
    <row r="16688" ht="15.75" customHeight="1"/>
    <row r="16689" ht="15.75" customHeight="1"/>
    <row r="16690" ht="15.75" customHeight="1"/>
    <row r="16691" ht="15.75" customHeight="1"/>
    <row r="16692" ht="15.75" customHeight="1"/>
    <row r="16693" ht="15.75" customHeight="1"/>
    <row r="16694" ht="15.75" customHeight="1"/>
    <row r="16695" ht="15.75" customHeight="1"/>
    <row r="16696" ht="15.75" customHeight="1"/>
    <row r="16697" ht="15.75" customHeight="1"/>
    <row r="16698" ht="15.75" customHeight="1"/>
    <row r="16699" ht="15.75" customHeight="1"/>
    <row r="16700" ht="15.75" customHeight="1"/>
    <row r="16701" ht="15.75" customHeight="1"/>
    <row r="16702" ht="15.75" customHeight="1"/>
    <row r="16703" ht="15.75" customHeight="1"/>
    <row r="16704" ht="15.75" customHeight="1"/>
    <row r="16705" ht="15.75" customHeight="1"/>
    <row r="16706" ht="15.75" customHeight="1"/>
    <row r="16707" ht="15.75" customHeight="1"/>
    <row r="16708" ht="15.75" customHeight="1"/>
    <row r="16709" ht="15.75" customHeight="1"/>
    <row r="16710" ht="15.75" customHeight="1"/>
    <row r="16711" ht="15.75" customHeight="1"/>
    <row r="16712" ht="15.75" customHeight="1"/>
    <row r="16713" ht="15.75" customHeight="1"/>
    <row r="16714" ht="15.75" customHeight="1"/>
    <row r="16715" ht="15.75" customHeight="1"/>
    <row r="16716" ht="15.75" customHeight="1"/>
    <row r="16717" ht="15.75" customHeight="1"/>
    <row r="16718" ht="15.75" customHeight="1"/>
    <row r="16719" ht="15.75" customHeight="1"/>
    <row r="16720" ht="15.75" customHeight="1"/>
    <row r="16721" ht="15.75" customHeight="1"/>
    <row r="16722" ht="15.75" customHeight="1"/>
    <row r="16723" ht="15.75" customHeight="1"/>
    <row r="16724" ht="15.75" customHeight="1"/>
    <row r="16725" ht="15.75" customHeight="1"/>
    <row r="16726" ht="15.75" customHeight="1"/>
    <row r="16727" ht="15.75" customHeight="1"/>
    <row r="16728" ht="15.75" customHeight="1"/>
    <row r="16729" ht="15.75" customHeight="1"/>
    <row r="16730" ht="15.75" customHeight="1"/>
    <row r="16731" ht="15.75" customHeight="1"/>
    <row r="16732" ht="15.75" customHeight="1"/>
    <row r="16733" ht="15.75" customHeight="1"/>
    <row r="16734" ht="15.75" customHeight="1"/>
    <row r="16735" ht="15.75" customHeight="1"/>
    <row r="16736" ht="15.75" customHeight="1"/>
    <row r="16737" ht="15.75" customHeight="1"/>
    <row r="16738" ht="15.75" customHeight="1"/>
    <row r="16739" ht="15.75" customHeight="1"/>
    <row r="16740" ht="15.75" customHeight="1"/>
    <row r="16741" ht="15.75" customHeight="1"/>
    <row r="16742" ht="15.75" customHeight="1"/>
    <row r="16743" ht="15.75" customHeight="1"/>
    <row r="16744" ht="15.75" customHeight="1"/>
    <row r="16745" ht="15.75" customHeight="1"/>
    <row r="16746" ht="15.75" customHeight="1"/>
    <row r="16747" ht="15.75" customHeight="1"/>
    <row r="16748" ht="15.75" customHeight="1"/>
    <row r="16749" ht="15.75" customHeight="1"/>
    <row r="16750" ht="15.75" customHeight="1"/>
    <row r="16751" ht="15.75" customHeight="1"/>
    <row r="16752" ht="15.75" customHeight="1"/>
    <row r="16753" ht="15.75" customHeight="1"/>
    <row r="16754" ht="15.75" customHeight="1"/>
    <row r="16755" ht="15.75" customHeight="1"/>
    <row r="16756" ht="15.75" customHeight="1"/>
    <row r="16757" ht="15.75" customHeight="1"/>
    <row r="16758" ht="15.75" customHeight="1"/>
    <row r="16759" ht="15.75" customHeight="1"/>
    <row r="16760" ht="15.75" customHeight="1"/>
    <row r="16761" ht="15.75" customHeight="1"/>
    <row r="16762" ht="15.75" customHeight="1"/>
    <row r="16763" ht="15.75" customHeight="1"/>
    <row r="16764" ht="15.75" customHeight="1"/>
    <row r="16765" ht="15.75" customHeight="1"/>
    <row r="16766" ht="15.75" customHeight="1"/>
    <row r="16767" ht="15.75" customHeight="1"/>
    <row r="16768" ht="15.75" customHeight="1"/>
    <row r="16769" ht="15.75" customHeight="1"/>
    <row r="16770" ht="15.75" customHeight="1"/>
    <row r="16771" ht="15.75" customHeight="1"/>
    <row r="16772" ht="15.75" customHeight="1"/>
    <row r="16773" ht="15.75" customHeight="1"/>
    <row r="16774" ht="15.75" customHeight="1"/>
    <row r="16775" ht="15.75" customHeight="1"/>
    <row r="16776" ht="15.75" customHeight="1"/>
    <row r="16777" ht="15.75" customHeight="1"/>
    <row r="16778" ht="15.75" customHeight="1"/>
    <row r="16779" ht="15.75" customHeight="1"/>
    <row r="16780" ht="15.75" customHeight="1"/>
    <row r="16781" ht="15.75" customHeight="1"/>
    <row r="16782" ht="15.75" customHeight="1"/>
    <row r="16783" ht="15.75" customHeight="1"/>
    <row r="16784" ht="15.75" customHeight="1"/>
    <row r="16785" ht="15.75" customHeight="1"/>
    <row r="16786" ht="15.75" customHeight="1"/>
    <row r="16787" ht="15.75" customHeight="1"/>
    <row r="16788" ht="15.75" customHeight="1"/>
    <row r="16789" ht="15.75" customHeight="1"/>
    <row r="16790" ht="15.75" customHeight="1"/>
    <row r="16791" ht="15.75" customHeight="1"/>
    <row r="16792" ht="15.75" customHeight="1"/>
    <row r="16793" ht="15.75" customHeight="1"/>
    <row r="16794" ht="15.75" customHeight="1"/>
    <row r="16795" ht="15.75" customHeight="1"/>
    <row r="16796" ht="15.75" customHeight="1"/>
    <row r="16797" ht="15.75" customHeight="1"/>
    <row r="16798" ht="15.75" customHeight="1"/>
    <row r="16799" ht="15.75" customHeight="1"/>
    <row r="16800" ht="15.75" customHeight="1"/>
    <row r="16801" ht="15.75" customHeight="1"/>
    <row r="16802" ht="15.75" customHeight="1"/>
    <row r="16803" ht="15.75" customHeight="1"/>
    <row r="16804" ht="15.75" customHeight="1"/>
    <row r="16805" ht="15.75" customHeight="1"/>
    <row r="16806" ht="15.75" customHeight="1"/>
    <row r="16807" ht="15.75" customHeight="1"/>
    <row r="16808" ht="15.75" customHeight="1"/>
    <row r="16809" ht="15.75" customHeight="1"/>
    <row r="16810" ht="15.75" customHeight="1"/>
    <row r="16811" ht="15.75" customHeight="1"/>
    <row r="16812" ht="15.75" customHeight="1"/>
    <row r="16813" ht="15.75" customHeight="1"/>
    <row r="16814" ht="15.75" customHeight="1"/>
    <row r="16815" ht="15.75" customHeight="1"/>
    <row r="16816" ht="15.75" customHeight="1"/>
    <row r="16817" ht="15.75" customHeight="1"/>
    <row r="16818" ht="15.75" customHeight="1"/>
    <row r="16819" ht="15.75" customHeight="1"/>
    <row r="16820" ht="15.75" customHeight="1"/>
    <row r="16821" ht="15.75" customHeight="1"/>
    <row r="16822" ht="15.75" customHeight="1"/>
    <row r="16823" ht="15.75" customHeight="1"/>
    <row r="16824" ht="15.75" customHeight="1"/>
    <row r="16825" ht="15.75" customHeight="1"/>
    <row r="16826" ht="15.75" customHeight="1"/>
    <row r="16827" ht="15.75" customHeight="1"/>
    <row r="16828" ht="15.75" customHeight="1"/>
    <row r="16829" ht="15.75" customHeight="1"/>
    <row r="16830" ht="15.75" customHeight="1"/>
    <row r="16831" ht="15.75" customHeight="1"/>
    <row r="16832" ht="15.75" customHeight="1"/>
    <row r="16833" ht="15.75" customHeight="1"/>
    <row r="16834" ht="15.75" customHeight="1"/>
    <row r="16835" ht="15.75" customHeight="1"/>
    <row r="16836" ht="15.75" customHeight="1"/>
    <row r="16837" ht="15.75" customHeight="1"/>
    <row r="16838" ht="15.75" customHeight="1"/>
    <row r="16839" ht="15.75" customHeight="1"/>
    <row r="16840" ht="15.75" customHeight="1"/>
    <row r="16841" ht="15.75" customHeight="1"/>
    <row r="16842" ht="15.75" customHeight="1"/>
    <row r="16843" ht="15.75" customHeight="1"/>
    <row r="16844" ht="15.75" customHeight="1"/>
    <row r="16845" ht="15.75" customHeight="1"/>
    <row r="16846" ht="15.75" customHeight="1"/>
    <row r="16847" ht="15.75" customHeight="1"/>
    <row r="16848" ht="15.75" customHeight="1"/>
    <row r="16849" ht="15.75" customHeight="1"/>
    <row r="16850" ht="15.75" customHeight="1"/>
    <row r="16851" ht="15.75" customHeight="1"/>
    <row r="16852" ht="15.75" customHeight="1"/>
    <row r="16853" ht="15.75" customHeight="1"/>
    <row r="16854" ht="15.75" customHeight="1"/>
    <row r="16855" ht="15.75" customHeight="1"/>
    <row r="16856" ht="15.75" customHeight="1"/>
    <row r="16857" ht="15.75" customHeight="1"/>
    <row r="16858" ht="15.75" customHeight="1"/>
    <row r="16859" ht="15.75" customHeight="1"/>
    <row r="16860" ht="15.75" customHeight="1"/>
    <row r="16861" ht="15.75" customHeight="1"/>
    <row r="16862" ht="15.75" customHeight="1"/>
    <row r="16863" ht="15.75" customHeight="1"/>
    <row r="16864" ht="15.75" customHeight="1"/>
    <row r="16865" ht="15.75" customHeight="1"/>
    <row r="16866" ht="15.75" customHeight="1"/>
    <row r="16867" ht="15.75" customHeight="1"/>
    <row r="16868" ht="15.75" customHeight="1"/>
    <row r="16869" ht="15.75" customHeight="1"/>
    <row r="16870" ht="15.75" customHeight="1"/>
    <row r="16871" ht="15.75" customHeight="1"/>
    <row r="16872" ht="15.75" customHeight="1"/>
    <row r="16873" ht="15.75" customHeight="1"/>
    <row r="16874" ht="15.75" customHeight="1"/>
    <row r="16875" ht="15.75" customHeight="1"/>
    <row r="16876" ht="15.75" customHeight="1"/>
    <row r="16877" ht="15.75" customHeight="1"/>
    <row r="16878" ht="15.75" customHeight="1"/>
    <row r="16879" ht="15.75" customHeight="1"/>
    <row r="16880" ht="15.75" customHeight="1"/>
    <row r="16881" ht="15.75" customHeight="1"/>
    <row r="16882" ht="15.75" customHeight="1"/>
    <row r="16883" ht="15.75" customHeight="1"/>
    <row r="16884" ht="15.75" customHeight="1"/>
    <row r="16885" ht="15.75" customHeight="1"/>
    <row r="16886" ht="15.75" customHeight="1"/>
    <row r="16887" ht="15.75" customHeight="1"/>
    <row r="16888" ht="15.75" customHeight="1"/>
    <row r="16889" ht="15.75" customHeight="1"/>
    <row r="16890" ht="15.75" customHeight="1"/>
    <row r="16891" ht="15.75" customHeight="1"/>
    <row r="16892" ht="15.75" customHeight="1"/>
    <row r="16893" ht="15.75" customHeight="1"/>
    <row r="16894" ht="15.75" customHeight="1"/>
    <row r="16895" ht="15.75" customHeight="1"/>
    <row r="16896" ht="15.75" customHeight="1"/>
    <row r="16897" ht="15.75" customHeight="1"/>
    <row r="16898" ht="15.75" customHeight="1"/>
    <row r="16899" ht="15.75" customHeight="1"/>
    <row r="16900" ht="15.75" customHeight="1"/>
    <row r="16901" ht="15.75" customHeight="1"/>
    <row r="16902" ht="15.75" customHeight="1"/>
    <row r="16903" ht="15.75" customHeight="1"/>
    <row r="16904" ht="15.75" customHeight="1"/>
    <row r="16905" ht="15.75" customHeight="1"/>
    <row r="16906" ht="15.75" customHeight="1"/>
    <row r="16907" ht="15.75" customHeight="1"/>
    <row r="16908" ht="15.75" customHeight="1"/>
    <row r="16909" ht="15.75" customHeight="1"/>
    <row r="16910" ht="15.75" customHeight="1"/>
    <row r="16911" ht="15.75" customHeight="1"/>
    <row r="16912" ht="15.75" customHeight="1"/>
    <row r="16913" ht="15.75" customHeight="1"/>
    <row r="16914" ht="15.75" customHeight="1"/>
    <row r="16915" ht="15.75" customHeight="1"/>
    <row r="16916" ht="15.75" customHeight="1"/>
    <row r="16917" ht="15.75" customHeight="1"/>
    <row r="16918" ht="15.75" customHeight="1"/>
    <row r="16919" ht="15.75" customHeight="1"/>
    <row r="16920" ht="15.75" customHeight="1"/>
    <row r="16921" ht="15.75" customHeight="1"/>
    <row r="16922" ht="15.75" customHeight="1"/>
    <row r="16923" ht="15.75" customHeight="1"/>
    <row r="16924" ht="15.75" customHeight="1"/>
    <row r="16925" ht="15.75" customHeight="1"/>
    <row r="16926" ht="15.75" customHeight="1"/>
    <row r="16927" ht="15.75" customHeight="1"/>
    <row r="16928" ht="15.75" customHeight="1"/>
    <row r="16929" ht="15.75" customHeight="1"/>
    <row r="16930" ht="15.75" customHeight="1"/>
    <row r="16931" ht="15.75" customHeight="1"/>
    <row r="16932" ht="15.75" customHeight="1"/>
    <row r="16933" ht="15.75" customHeight="1"/>
    <row r="16934" ht="15.75" customHeight="1"/>
    <row r="16935" ht="15.75" customHeight="1"/>
    <row r="16936" ht="15.75" customHeight="1"/>
    <row r="16937" ht="15.75" customHeight="1"/>
    <row r="16938" ht="15.75" customHeight="1"/>
    <row r="16939" ht="15.75" customHeight="1"/>
    <row r="16940" ht="15.75" customHeight="1"/>
    <row r="16941" ht="15.75" customHeight="1"/>
    <row r="16942" ht="15.75" customHeight="1"/>
    <row r="16943" ht="15.75" customHeight="1"/>
    <row r="16944" ht="15.75" customHeight="1"/>
    <row r="16945" ht="15.75" customHeight="1"/>
    <row r="16946" ht="15.75" customHeight="1"/>
    <row r="16947" ht="15.75" customHeight="1"/>
    <row r="16948" ht="15.75" customHeight="1"/>
    <row r="16949" ht="15.75" customHeight="1"/>
    <row r="16950" ht="15.75" customHeight="1"/>
    <row r="16951" ht="15.75" customHeight="1"/>
    <row r="16952" ht="15.75" customHeight="1"/>
    <row r="16953" ht="15.75" customHeight="1"/>
    <row r="16954" ht="15.75" customHeight="1"/>
    <row r="16955" ht="15.75" customHeight="1"/>
    <row r="16956" ht="15.75" customHeight="1"/>
    <row r="16957" ht="15.75" customHeight="1"/>
    <row r="16958" ht="15.75" customHeight="1"/>
    <row r="16959" ht="15.75" customHeight="1"/>
    <row r="16960" ht="15.75" customHeight="1"/>
    <row r="16961" ht="15.75" customHeight="1"/>
    <row r="16962" ht="15.75" customHeight="1"/>
    <row r="16963" ht="15.75" customHeight="1"/>
    <row r="16964" ht="15.75" customHeight="1"/>
    <row r="16965" ht="15.75" customHeight="1"/>
    <row r="16966" ht="15.75" customHeight="1"/>
    <row r="16967" ht="15.75" customHeight="1"/>
    <row r="16968" ht="15.75" customHeight="1"/>
    <row r="16969" ht="15.75" customHeight="1"/>
    <row r="16970" ht="15.75" customHeight="1"/>
    <row r="16971" ht="15.75" customHeight="1"/>
    <row r="16972" ht="15.75" customHeight="1"/>
    <row r="16973" ht="15.75" customHeight="1"/>
    <row r="16974" ht="15.75" customHeight="1"/>
    <row r="16975" ht="15.75" customHeight="1"/>
    <row r="16976" ht="15.75" customHeight="1"/>
    <row r="16977" ht="15.75" customHeight="1"/>
    <row r="16978" ht="15.75" customHeight="1"/>
    <row r="16979" ht="15.75" customHeight="1"/>
    <row r="16980" ht="15.75" customHeight="1"/>
    <row r="16981" ht="15.75" customHeight="1"/>
    <row r="16982" ht="15.75" customHeight="1"/>
    <row r="16983" ht="15.75" customHeight="1"/>
    <row r="16984" ht="15.75" customHeight="1"/>
    <row r="16985" ht="15.75" customHeight="1"/>
    <row r="16986" ht="15.75" customHeight="1"/>
    <row r="16987" ht="15.75" customHeight="1"/>
    <row r="16988" ht="15.75" customHeight="1"/>
    <row r="16989" ht="15.75" customHeight="1"/>
    <row r="16990" ht="15.75" customHeight="1"/>
    <row r="16991" ht="15.75" customHeight="1"/>
    <row r="16992" ht="15.75" customHeight="1"/>
    <row r="16993" ht="15.75" customHeight="1"/>
    <row r="16994" ht="15.75" customHeight="1"/>
    <row r="16995" ht="15.75" customHeight="1"/>
    <row r="16996" ht="15.75" customHeight="1"/>
    <row r="16997" ht="15.75" customHeight="1"/>
    <row r="16998" ht="15.75" customHeight="1"/>
    <row r="16999" ht="15.75" customHeight="1"/>
    <row r="17000" ht="15.75" customHeight="1"/>
    <row r="17001" ht="15.75" customHeight="1"/>
    <row r="17002" ht="15.75" customHeight="1"/>
    <row r="17003" ht="15.75" customHeight="1"/>
    <row r="17004" ht="15.75" customHeight="1"/>
    <row r="17005" ht="15.75" customHeight="1"/>
    <row r="17006" ht="15.75" customHeight="1"/>
    <row r="17007" ht="15.75" customHeight="1"/>
    <row r="17008" ht="15.75" customHeight="1"/>
    <row r="17009" ht="15.75" customHeight="1"/>
    <row r="17010" ht="15.75" customHeight="1"/>
    <row r="17011" ht="15.75" customHeight="1"/>
    <row r="17012" ht="15.75" customHeight="1"/>
    <row r="17013" ht="15.75" customHeight="1"/>
    <row r="17014" ht="15.75" customHeight="1"/>
    <row r="17015" ht="15.75" customHeight="1"/>
    <row r="17016" ht="15.75" customHeight="1"/>
    <row r="17017" ht="15.75" customHeight="1"/>
    <row r="17018" ht="15.75" customHeight="1"/>
    <row r="17019" ht="15.75" customHeight="1"/>
    <row r="17020" ht="15.75" customHeight="1"/>
    <row r="17021" ht="15.75" customHeight="1"/>
    <row r="17022" ht="15.75" customHeight="1"/>
    <row r="17023" ht="15.75" customHeight="1"/>
    <row r="17024" ht="15.75" customHeight="1"/>
    <row r="17025" ht="15.75" customHeight="1"/>
    <row r="17026" ht="15.75" customHeight="1"/>
    <row r="17027" ht="15.75" customHeight="1"/>
    <row r="17028" ht="15.75" customHeight="1"/>
    <row r="17029" ht="15.75" customHeight="1"/>
    <row r="17030" ht="15.75" customHeight="1"/>
    <row r="17031" ht="15.75" customHeight="1"/>
    <row r="17032" ht="15.75" customHeight="1"/>
    <row r="17033" ht="15.75" customHeight="1"/>
    <row r="17034" ht="15.75" customHeight="1"/>
    <row r="17035" ht="15.75" customHeight="1"/>
    <row r="17036" ht="15.75" customHeight="1"/>
    <row r="17037" ht="15.75" customHeight="1"/>
    <row r="17038" ht="15.75" customHeight="1"/>
    <row r="17039" ht="15.75" customHeight="1"/>
    <row r="17040" ht="15.75" customHeight="1"/>
    <row r="17041" ht="15.75" customHeight="1"/>
    <row r="17042" ht="15.75" customHeight="1"/>
    <row r="17043" ht="15.75" customHeight="1"/>
    <row r="17044" ht="15.75" customHeight="1"/>
    <row r="17045" ht="15.75" customHeight="1"/>
    <row r="17046" ht="15.75" customHeight="1"/>
    <row r="17047" ht="15.75" customHeight="1"/>
    <row r="17048" ht="15.75" customHeight="1"/>
    <row r="17049" ht="15.75" customHeight="1"/>
    <row r="17050" ht="15.75" customHeight="1"/>
    <row r="17051" ht="15.75" customHeight="1"/>
    <row r="17052" ht="15.75" customHeight="1"/>
    <row r="17053" ht="15.75" customHeight="1"/>
    <row r="17054" ht="15.75" customHeight="1"/>
    <row r="17055" ht="15.75" customHeight="1"/>
    <row r="17056" ht="15.75" customHeight="1"/>
    <row r="17057" ht="15.75" customHeight="1"/>
    <row r="17058" ht="15.75" customHeight="1"/>
    <row r="17059" ht="15.75" customHeight="1"/>
    <row r="17060" ht="15.75" customHeight="1"/>
    <row r="17061" ht="15.75" customHeight="1"/>
    <row r="17062" ht="15.75" customHeight="1"/>
    <row r="17063" ht="15.75" customHeight="1"/>
    <row r="17064" ht="15.75" customHeight="1"/>
    <row r="17065" ht="15.75" customHeight="1"/>
    <row r="17066" ht="15.75" customHeight="1"/>
    <row r="17067" ht="15.75" customHeight="1"/>
    <row r="17068" ht="15.75" customHeight="1"/>
    <row r="17069" ht="15.75" customHeight="1"/>
    <row r="17070" ht="15.75" customHeight="1"/>
    <row r="17071" ht="15.75" customHeight="1"/>
    <row r="17072" ht="15.75" customHeight="1"/>
    <row r="17073" ht="15.75" customHeight="1"/>
    <row r="17074" ht="15.75" customHeight="1"/>
    <row r="17075" ht="15.75" customHeight="1"/>
    <row r="17076" ht="15.75" customHeight="1"/>
    <row r="17077" ht="15.75" customHeight="1"/>
    <row r="17078" ht="15.75" customHeight="1"/>
    <row r="17079" ht="15.75" customHeight="1"/>
    <row r="17080" ht="15.75" customHeight="1"/>
    <row r="17081" ht="15.75" customHeight="1"/>
    <row r="17082" ht="15.75" customHeight="1"/>
    <row r="17083" ht="15.75" customHeight="1"/>
    <row r="17084" ht="15.75" customHeight="1"/>
    <row r="17085" ht="15.75" customHeight="1"/>
    <row r="17086" ht="15.75" customHeight="1"/>
    <row r="17087" ht="15.75" customHeight="1"/>
    <row r="17088" ht="15.75" customHeight="1"/>
    <row r="17089" ht="15.75" customHeight="1"/>
    <row r="17090" ht="15.75" customHeight="1"/>
    <row r="17091" ht="15.75" customHeight="1"/>
    <row r="17092" ht="15.75" customHeight="1"/>
    <row r="17093" ht="15.75" customHeight="1"/>
    <row r="17094" ht="15.75" customHeight="1"/>
    <row r="17095" ht="15.75" customHeight="1"/>
    <row r="17096" ht="15.75" customHeight="1"/>
    <row r="17097" ht="15.75" customHeight="1"/>
    <row r="17098" ht="15.75" customHeight="1"/>
    <row r="17099" ht="15.75" customHeight="1"/>
    <row r="17100" ht="15.75" customHeight="1"/>
    <row r="17101" ht="15.75" customHeight="1"/>
    <row r="17102" ht="15.75" customHeight="1"/>
    <row r="17103" ht="15.75" customHeight="1"/>
    <row r="17104" ht="15.75" customHeight="1"/>
    <row r="17105" ht="15.75" customHeight="1"/>
    <row r="17106" ht="15.75" customHeight="1"/>
    <row r="17107" ht="15.75" customHeight="1"/>
    <row r="17108" ht="15.75" customHeight="1"/>
    <row r="17109" ht="15.75" customHeight="1"/>
    <row r="17110" ht="15.75" customHeight="1"/>
    <row r="17111" ht="15.75" customHeight="1"/>
    <row r="17112" ht="15.75" customHeight="1"/>
    <row r="17113" ht="15.75" customHeight="1"/>
    <row r="17114" ht="15.75" customHeight="1"/>
    <row r="17115" ht="15.75" customHeight="1"/>
    <row r="17116" ht="15.75" customHeight="1"/>
    <row r="17117" ht="15.75" customHeight="1"/>
    <row r="17118" ht="15.75" customHeight="1"/>
    <row r="17119" ht="15.75" customHeight="1"/>
    <row r="17120" ht="15.75" customHeight="1"/>
    <row r="17121" ht="15.75" customHeight="1"/>
    <row r="17122" ht="15.75" customHeight="1"/>
    <row r="17123" ht="15.75" customHeight="1"/>
    <row r="17124" ht="15.75" customHeight="1"/>
    <row r="17125" ht="15.75" customHeight="1"/>
    <row r="17126" ht="15.75" customHeight="1"/>
    <row r="17127" ht="15.75" customHeight="1"/>
    <row r="17128" ht="15.75" customHeight="1"/>
    <row r="17129" ht="15.75" customHeight="1"/>
    <row r="17130" ht="15.75" customHeight="1"/>
    <row r="17131" ht="15.75" customHeight="1"/>
    <row r="17132" ht="15.75" customHeight="1"/>
    <row r="17133" ht="15.75" customHeight="1"/>
    <row r="17134" ht="15.75" customHeight="1"/>
    <row r="17135" ht="15.75" customHeight="1"/>
    <row r="17136" ht="15.75" customHeight="1"/>
    <row r="17137" ht="15.75" customHeight="1"/>
    <row r="17138" ht="15.75" customHeight="1"/>
    <row r="17139" ht="15.75" customHeight="1"/>
    <row r="17140" ht="15.75" customHeight="1"/>
    <row r="17141" ht="15.75" customHeight="1"/>
    <row r="17142" ht="15.75" customHeight="1"/>
    <row r="17143" ht="15.75" customHeight="1"/>
    <row r="17144" ht="15.75" customHeight="1"/>
    <row r="17145" ht="15.75" customHeight="1"/>
    <row r="17146" ht="15.75" customHeight="1"/>
    <row r="17147" ht="15.75" customHeight="1"/>
    <row r="17148" ht="15.75" customHeight="1"/>
    <row r="17149" ht="15.75" customHeight="1"/>
    <row r="17150" ht="15.75" customHeight="1"/>
    <row r="17151" ht="15.75" customHeight="1"/>
    <row r="17152" ht="15.75" customHeight="1"/>
    <row r="17153" ht="15.75" customHeight="1"/>
    <row r="17154" ht="15.75" customHeight="1"/>
    <row r="17155" ht="15.75" customHeight="1"/>
    <row r="17156" ht="15.75" customHeight="1"/>
    <row r="17157" ht="15.75" customHeight="1"/>
    <row r="17158" ht="15.75" customHeight="1"/>
    <row r="17159" ht="15.75" customHeight="1"/>
    <row r="17160" ht="15.75" customHeight="1"/>
    <row r="17161" ht="15.75" customHeight="1"/>
    <row r="17162" ht="15.75" customHeight="1"/>
    <row r="17163" ht="15.75" customHeight="1"/>
    <row r="17164" ht="15.75" customHeight="1"/>
    <row r="17165" ht="15.75" customHeight="1"/>
    <row r="17166" ht="15.75" customHeight="1"/>
    <row r="17167" ht="15.75" customHeight="1"/>
    <row r="17168" ht="15.75" customHeight="1"/>
    <row r="17169" ht="15.75" customHeight="1"/>
    <row r="17170" ht="15.75" customHeight="1"/>
    <row r="17171" ht="15.75" customHeight="1"/>
    <row r="17172" ht="15.75" customHeight="1"/>
    <row r="17173" ht="15.75" customHeight="1"/>
    <row r="17174" ht="15.75" customHeight="1"/>
    <row r="17175" ht="15.75" customHeight="1"/>
    <row r="17176" ht="15.75" customHeight="1"/>
    <row r="17177" ht="15.75" customHeight="1"/>
    <row r="17178" ht="15.75" customHeight="1"/>
    <row r="17179" ht="15.75" customHeight="1"/>
    <row r="17180" ht="15.75" customHeight="1"/>
    <row r="17181" ht="15.75" customHeight="1"/>
    <row r="17182" ht="15.75" customHeight="1"/>
    <row r="17183" ht="15.75" customHeight="1"/>
    <row r="17184" ht="15.75" customHeight="1"/>
    <row r="17185" ht="15.75" customHeight="1"/>
    <row r="17186" ht="15.75" customHeight="1"/>
    <row r="17187" ht="15.75" customHeight="1"/>
    <row r="17188" ht="15.75" customHeight="1"/>
    <row r="17189" ht="15.75" customHeight="1"/>
    <row r="17190" ht="15.75" customHeight="1"/>
    <row r="17191" ht="15.75" customHeight="1"/>
    <row r="17192" ht="15.75" customHeight="1"/>
    <row r="17193" ht="15.75" customHeight="1"/>
    <row r="17194" ht="15.75" customHeight="1"/>
    <row r="17195" ht="15.75" customHeight="1"/>
    <row r="17196" ht="15.75" customHeight="1"/>
    <row r="17197" ht="15.75" customHeight="1"/>
    <row r="17198" ht="15.75" customHeight="1"/>
    <row r="17199" ht="15.75" customHeight="1"/>
    <row r="17200" ht="15.75" customHeight="1"/>
    <row r="17201" ht="15.75" customHeight="1"/>
    <row r="17202" ht="15.75" customHeight="1"/>
    <row r="17203" ht="15.75" customHeight="1"/>
    <row r="17204" ht="15.75" customHeight="1"/>
    <row r="17205" ht="15.75" customHeight="1"/>
    <row r="17206" ht="15.75" customHeight="1"/>
    <row r="17207" ht="15.75" customHeight="1"/>
    <row r="17208" ht="15.75" customHeight="1"/>
    <row r="17209" ht="15.75" customHeight="1"/>
    <row r="17210" ht="15.75" customHeight="1"/>
    <row r="17211" ht="15.75" customHeight="1"/>
    <row r="17212" ht="15.75" customHeight="1"/>
    <row r="17213" ht="15.75" customHeight="1"/>
    <row r="17214" ht="15.75" customHeight="1"/>
    <row r="17215" ht="15.75" customHeight="1"/>
    <row r="17216" ht="15.75" customHeight="1"/>
    <row r="17217" ht="15.75" customHeight="1"/>
    <row r="17218" ht="15.75" customHeight="1"/>
    <row r="17219" ht="15.75" customHeight="1"/>
    <row r="17220" ht="15.75" customHeight="1"/>
    <row r="17221" ht="15.75" customHeight="1"/>
    <row r="17222" ht="15.75" customHeight="1"/>
    <row r="17223" ht="15.75" customHeight="1"/>
    <row r="17224" ht="15.75" customHeight="1"/>
    <row r="17225" ht="15.75" customHeight="1"/>
    <row r="17226" ht="15.75" customHeight="1"/>
    <row r="17227" ht="15.75" customHeight="1"/>
    <row r="17228" ht="15.75" customHeight="1"/>
    <row r="17229" ht="15.75" customHeight="1"/>
    <row r="17230" ht="15.75" customHeight="1"/>
    <row r="17231" ht="15.75" customHeight="1"/>
    <row r="17232" ht="15.75" customHeight="1"/>
    <row r="17233" ht="15.75" customHeight="1"/>
    <row r="17234" ht="15.75" customHeight="1"/>
    <row r="17235" ht="15.75" customHeight="1"/>
    <row r="17236" ht="15.75" customHeight="1"/>
    <row r="17237" ht="15.75" customHeight="1"/>
    <row r="17238" ht="15.75" customHeight="1"/>
    <row r="17239" ht="15.75" customHeight="1"/>
    <row r="17240" ht="15.75" customHeight="1"/>
    <row r="17241" ht="15.75" customHeight="1"/>
    <row r="17242" ht="15.75" customHeight="1"/>
    <row r="17243" ht="15.75" customHeight="1"/>
    <row r="17244" ht="15.75" customHeight="1"/>
    <row r="17245" ht="15.75" customHeight="1"/>
    <row r="17246" ht="15.75" customHeight="1"/>
    <row r="17247" ht="15.75" customHeight="1"/>
    <row r="17248" ht="15.75" customHeight="1"/>
    <row r="17249" ht="15.75" customHeight="1"/>
    <row r="17250" ht="15.75" customHeight="1"/>
    <row r="17251" ht="15.75" customHeight="1"/>
    <row r="17252" ht="15.75" customHeight="1"/>
    <row r="17253" ht="15.75" customHeight="1"/>
    <row r="17254" ht="15.75" customHeight="1"/>
    <row r="17255" ht="15.75" customHeight="1"/>
    <row r="17256" ht="15.75" customHeight="1"/>
    <row r="17257" ht="15.75" customHeight="1"/>
    <row r="17258" ht="15.75" customHeight="1"/>
    <row r="17259" ht="15.75" customHeight="1"/>
    <row r="17260" ht="15.75" customHeight="1"/>
    <row r="17261" ht="15.75" customHeight="1"/>
    <row r="17262" ht="15.75" customHeight="1"/>
    <row r="17263" ht="15.75" customHeight="1"/>
    <row r="17264" ht="15.75" customHeight="1"/>
    <row r="17265" ht="15.75" customHeight="1"/>
    <row r="17266" ht="15.75" customHeight="1"/>
    <row r="17267" ht="15.75" customHeight="1"/>
    <row r="17268" ht="15.75" customHeight="1"/>
    <row r="17269" ht="15.75" customHeight="1"/>
    <row r="17270" ht="15.75" customHeight="1"/>
    <row r="17271" ht="15.75" customHeight="1"/>
    <row r="17272" ht="15.75" customHeight="1"/>
    <row r="17273" ht="15.75" customHeight="1"/>
    <row r="17274" ht="15.75" customHeight="1"/>
    <row r="17275" ht="15.75" customHeight="1"/>
    <row r="17276" ht="15.75" customHeight="1"/>
    <row r="17277" ht="15.75" customHeight="1"/>
    <row r="17278" ht="15.75" customHeight="1"/>
    <row r="17279" ht="15.75" customHeight="1"/>
    <row r="17280" ht="15.75" customHeight="1"/>
    <row r="17281" ht="15.75" customHeight="1"/>
    <row r="17282" ht="15.75" customHeight="1"/>
    <row r="17283" ht="15.75" customHeight="1"/>
    <row r="17284" ht="15.75" customHeight="1"/>
    <row r="17285" ht="15.75" customHeight="1"/>
    <row r="17286" ht="15.75" customHeight="1"/>
    <row r="17287" ht="15.75" customHeight="1"/>
    <row r="17288" ht="15.75" customHeight="1"/>
    <row r="17289" ht="15.75" customHeight="1"/>
    <row r="17290" ht="15.75" customHeight="1"/>
    <row r="17291" ht="15.75" customHeight="1"/>
    <row r="17292" ht="15.75" customHeight="1"/>
    <row r="17293" ht="15.75" customHeight="1"/>
    <row r="17294" ht="15.75" customHeight="1"/>
    <row r="17295" ht="15.75" customHeight="1"/>
    <row r="17296" ht="15.75" customHeight="1"/>
    <row r="17297" ht="15.75" customHeight="1"/>
    <row r="17298" ht="15.75" customHeight="1"/>
    <row r="17299" ht="15.75" customHeight="1"/>
    <row r="17300" ht="15.75" customHeight="1"/>
    <row r="17301" ht="15.75" customHeight="1"/>
    <row r="17302" ht="15.75" customHeight="1"/>
    <row r="17303" ht="15.75" customHeight="1"/>
    <row r="17304" ht="15.75" customHeight="1"/>
    <row r="17305" ht="15.75" customHeight="1"/>
    <row r="17306" ht="15.75" customHeight="1"/>
    <row r="17307" ht="15.75" customHeight="1"/>
    <row r="17308" ht="15.75" customHeight="1"/>
    <row r="17309" ht="15.75" customHeight="1"/>
    <row r="17310" ht="15.75" customHeight="1"/>
    <row r="17311" ht="15.75" customHeight="1"/>
    <row r="17312" ht="15.75" customHeight="1"/>
    <row r="17313" ht="15.75" customHeight="1"/>
    <row r="17314" ht="15.75" customHeight="1"/>
    <row r="17315" ht="15.75" customHeight="1"/>
    <row r="17316" ht="15.75" customHeight="1"/>
    <row r="17317" ht="15.75" customHeight="1"/>
    <row r="17318" ht="15.75" customHeight="1"/>
    <row r="17319" ht="15.75" customHeight="1"/>
    <row r="17320" ht="15.75" customHeight="1"/>
    <row r="17321" ht="15.75" customHeight="1"/>
    <row r="17322" ht="15.75" customHeight="1"/>
    <row r="17323" ht="15.75" customHeight="1"/>
    <row r="17324" ht="15.75" customHeight="1"/>
    <row r="17325" ht="15.75" customHeight="1"/>
    <row r="17326" ht="15.75" customHeight="1"/>
    <row r="17327" ht="15.75" customHeight="1"/>
    <row r="17328" ht="15.75" customHeight="1"/>
    <row r="17329" ht="15.75" customHeight="1"/>
    <row r="17330" ht="15.75" customHeight="1"/>
    <row r="17331" ht="15.75" customHeight="1"/>
    <row r="17332" ht="15.75" customHeight="1"/>
    <row r="17333" ht="15.75" customHeight="1"/>
    <row r="17334" ht="15.75" customHeight="1"/>
    <row r="17335" ht="15.75" customHeight="1"/>
    <row r="17336" ht="15.75" customHeight="1"/>
    <row r="17337" ht="15.75" customHeight="1"/>
    <row r="17338" ht="15.75" customHeight="1"/>
    <row r="17339" ht="15.75" customHeight="1"/>
    <row r="17340" ht="15.75" customHeight="1"/>
    <row r="17341" ht="15.75" customHeight="1"/>
    <row r="17342" ht="15.75" customHeight="1"/>
    <row r="17343" ht="15.75" customHeight="1"/>
    <row r="17344" ht="15.75" customHeight="1"/>
    <row r="17345" ht="15.75" customHeight="1"/>
    <row r="17346" ht="15.75" customHeight="1"/>
    <row r="17347" ht="15.75" customHeight="1"/>
    <row r="17348" ht="15.75" customHeight="1"/>
    <row r="17349" ht="15.75" customHeight="1"/>
    <row r="17350" ht="15.75" customHeight="1"/>
    <row r="17351" ht="15.75" customHeight="1"/>
    <row r="17352" ht="15.75" customHeight="1"/>
    <row r="17353" ht="15.75" customHeight="1"/>
    <row r="17354" ht="15.75" customHeight="1"/>
    <row r="17355" ht="15.75" customHeight="1"/>
    <row r="17356" ht="15.75" customHeight="1"/>
    <row r="17357" ht="15.75" customHeight="1"/>
    <row r="17358" ht="15.75" customHeight="1"/>
    <row r="17359" ht="15.75" customHeight="1"/>
    <row r="17360" ht="15.75" customHeight="1"/>
    <row r="17361" ht="15.75" customHeight="1"/>
    <row r="17362" ht="15.75" customHeight="1"/>
    <row r="17363" ht="15.75" customHeight="1"/>
    <row r="17364" ht="15.75" customHeight="1"/>
    <row r="17365" ht="15.75" customHeight="1"/>
    <row r="17366" ht="15.75" customHeight="1"/>
    <row r="17367" ht="15.75" customHeight="1"/>
    <row r="17368" ht="15.75" customHeight="1"/>
    <row r="17369" ht="15.75" customHeight="1"/>
    <row r="17370" ht="15.75" customHeight="1"/>
    <row r="17371" ht="15.75" customHeight="1"/>
    <row r="17372" ht="15.75" customHeight="1"/>
    <row r="17373" ht="15.75" customHeight="1"/>
    <row r="17374" ht="15.75" customHeight="1"/>
    <row r="17375" ht="15.75" customHeight="1"/>
    <row r="17376" ht="15.75" customHeight="1"/>
    <row r="17377" ht="15.75" customHeight="1"/>
    <row r="17378" ht="15.75" customHeight="1"/>
    <row r="17379" ht="15.75" customHeight="1"/>
    <row r="17380" ht="15.75" customHeight="1"/>
    <row r="17381" ht="15.75" customHeight="1"/>
    <row r="17382" ht="15.75" customHeight="1"/>
    <row r="17383" ht="15.75" customHeight="1"/>
    <row r="17384" ht="15.75" customHeight="1"/>
    <row r="17385" ht="15.75" customHeight="1"/>
    <row r="17386" ht="15.75" customHeight="1"/>
    <row r="17387" ht="15.75" customHeight="1"/>
    <row r="17388" ht="15.75" customHeight="1"/>
    <row r="17389" ht="15.75" customHeight="1"/>
    <row r="17390" ht="15.75" customHeight="1"/>
    <row r="17391" ht="15.75" customHeight="1"/>
    <row r="17392" ht="15.75" customHeight="1"/>
    <row r="17393" ht="15.75" customHeight="1"/>
    <row r="17394" ht="15.75" customHeight="1"/>
    <row r="17395" ht="15.75" customHeight="1"/>
    <row r="17396" ht="15.75" customHeight="1"/>
    <row r="17397" ht="15.75" customHeight="1"/>
    <row r="17398" ht="15.75" customHeight="1"/>
    <row r="17399" ht="15.75" customHeight="1"/>
    <row r="17400" ht="15.75" customHeight="1"/>
    <row r="17401" ht="15.75" customHeight="1"/>
    <row r="17402" ht="15.75" customHeight="1"/>
    <row r="17403" ht="15.75" customHeight="1"/>
    <row r="17404" ht="15.75" customHeight="1"/>
    <row r="17405" ht="15.75" customHeight="1"/>
    <row r="17406" ht="15.75" customHeight="1"/>
    <row r="17407" ht="15.75" customHeight="1"/>
    <row r="17408" ht="15.75" customHeight="1"/>
    <row r="17409" ht="15.75" customHeight="1"/>
    <row r="17410" ht="15.75" customHeight="1"/>
    <row r="17411" ht="15.75" customHeight="1"/>
    <row r="17412" ht="15.75" customHeight="1"/>
    <row r="17413" ht="15.75" customHeight="1"/>
    <row r="17414" ht="15.75" customHeight="1"/>
    <row r="17415" ht="15.75" customHeight="1"/>
    <row r="17416" ht="15.75" customHeight="1"/>
    <row r="17417" ht="15.75" customHeight="1"/>
    <row r="17418" ht="15.75" customHeight="1"/>
    <row r="17419" ht="15.75" customHeight="1"/>
    <row r="17420" ht="15.75" customHeight="1"/>
    <row r="17421" ht="15.75" customHeight="1"/>
    <row r="17422" ht="15.75" customHeight="1"/>
    <row r="17423" ht="15.75" customHeight="1"/>
    <row r="17424" ht="15.75" customHeight="1"/>
    <row r="17425" ht="15.75" customHeight="1"/>
    <row r="17426" ht="15.75" customHeight="1"/>
    <row r="17427" ht="15.75" customHeight="1"/>
    <row r="17428" ht="15.75" customHeight="1"/>
    <row r="17429" ht="15.75" customHeight="1"/>
    <row r="17430" ht="15.75" customHeight="1"/>
    <row r="17431" ht="15.75" customHeight="1"/>
    <row r="17432" ht="15.75" customHeight="1"/>
    <row r="17433" ht="15.75" customHeight="1"/>
    <row r="17434" ht="15.75" customHeight="1"/>
    <row r="17435" ht="15.75" customHeight="1"/>
    <row r="17436" ht="15.75" customHeight="1"/>
    <row r="17437" ht="15.75" customHeight="1"/>
    <row r="17438" ht="15.75" customHeight="1"/>
    <row r="17439" ht="15.75" customHeight="1"/>
    <row r="17440" ht="15.75" customHeight="1"/>
    <row r="17441" ht="15.75" customHeight="1"/>
    <row r="17442" ht="15.75" customHeight="1"/>
    <row r="17443" ht="15.75" customHeight="1"/>
    <row r="17444" ht="15.75" customHeight="1"/>
    <row r="17445" ht="15.75" customHeight="1"/>
    <row r="17446" ht="15.75" customHeight="1"/>
    <row r="17447" ht="15.75" customHeight="1"/>
    <row r="17448" ht="15.75" customHeight="1"/>
    <row r="17449" ht="15.75" customHeight="1"/>
    <row r="17450" ht="15.75" customHeight="1"/>
    <row r="17451" ht="15.75" customHeight="1"/>
    <row r="17452" ht="15.75" customHeight="1"/>
    <row r="17453" ht="15.75" customHeight="1"/>
    <row r="17454" ht="15.75" customHeight="1"/>
    <row r="17455" ht="15.75" customHeight="1"/>
    <row r="17456" ht="15.75" customHeight="1"/>
    <row r="17457" ht="15.75" customHeight="1"/>
    <row r="17458" ht="15.75" customHeight="1"/>
    <row r="17459" ht="15.75" customHeight="1"/>
    <row r="17460" ht="15.75" customHeight="1"/>
    <row r="17461" ht="15.75" customHeight="1"/>
    <row r="17462" ht="15.75" customHeight="1"/>
    <row r="17463" ht="15.75" customHeight="1"/>
    <row r="17464" ht="15.75" customHeight="1"/>
    <row r="17465" ht="15.75" customHeight="1"/>
    <row r="17466" ht="15.75" customHeight="1"/>
    <row r="17467" ht="15.75" customHeight="1"/>
    <row r="17468" ht="15.75" customHeight="1"/>
    <row r="17469" ht="15.75" customHeight="1"/>
    <row r="17470" ht="15.75" customHeight="1"/>
    <row r="17471" ht="15.75" customHeight="1"/>
    <row r="17472" ht="15.75" customHeight="1"/>
    <row r="17473" ht="15.75" customHeight="1"/>
    <row r="17474" ht="15.75" customHeight="1"/>
    <row r="17475" ht="15.75" customHeight="1"/>
    <row r="17476" ht="15.75" customHeight="1"/>
    <row r="17477" ht="15.75" customHeight="1"/>
    <row r="17478" ht="15.75" customHeight="1"/>
    <row r="17479" ht="15.75" customHeight="1"/>
    <row r="17480" ht="15.75" customHeight="1"/>
    <row r="17481" ht="15.75" customHeight="1"/>
    <row r="17482" ht="15.75" customHeight="1"/>
    <row r="17483" ht="15.75" customHeight="1"/>
    <row r="17484" ht="15.75" customHeight="1"/>
    <row r="17485" ht="15.75" customHeight="1"/>
    <row r="17486" ht="15.75" customHeight="1"/>
    <row r="17487" ht="15.75" customHeight="1"/>
    <row r="17488" ht="15.75" customHeight="1"/>
    <row r="17489" ht="15.75" customHeight="1"/>
    <row r="17490" ht="15.75" customHeight="1"/>
    <row r="17491" ht="15.75" customHeight="1"/>
    <row r="17492" ht="15.75" customHeight="1"/>
    <row r="17493" ht="15.75" customHeight="1"/>
    <row r="17494" ht="15.75" customHeight="1"/>
    <row r="17495" ht="15.75" customHeight="1"/>
    <row r="17496" ht="15.75" customHeight="1"/>
    <row r="17497" ht="15.75" customHeight="1"/>
    <row r="17498" ht="15.75" customHeight="1"/>
    <row r="17499" ht="15.75" customHeight="1"/>
    <row r="17500" ht="15.75" customHeight="1"/>
    <row r="17501" ht="15.75" customHeight="1"/>
    <row r="17502" ht="15.75" customHeight="1"/>
    <row r="17503" ht="15.75" customHeight="1"/>
    <row r="17504" ht="15.75" customHeight="1"/>
    <row r="17505" ht="15.75" customHeight="1"/>
    <row r="17506" ht="15.75" customHeight="1"/>
    <row r="17507" ht="15.75" customHeight="1"/>
    <row r="17508" ht="15.75" customHeight="1"/>
    <row r="17509" ht="15.75" customHeight="1"/>
    <row r="17510" ht="15.75" customHeight="1"/>
    <row r="17511" ht="15.75" customHeight="1"/>
    <row r="17512" ht="15.75" customHeight="1"/>
    <row r="17513" ht="15.75" customHeight="1"/>
    <row r="17514" ht="15.75" customHeight="1"/>
    <row r="17515" ht="15.75" customHeight="1"/>
    <row r="17516" ht="15.75" customHeight="1"/>
    <row r="17517" ht="15.75" customHeight="1"/>
    <row r="17518" ht="15.75" customHeight="1"/>
    <row r="17519" ht="15.75" customHeight="1"/>
    <row r="17520" ht="15.75" customHeight="1"/>
    <row r="17521" ht="15.75" customHeight="1"/>
    <row r="17522" ht="15.75" customHeight="1"/>
    <row r="17523" ht="15.75" customHeight="1"/>
    <row r="17524" ht="15.75" customHeight="1"/>
    <row r="17525" ht="15.75" customHeight="1"/>
    <row r="17526" ht="15.75" customHeight="1"/>
    <row r="17527" ht="15.75" customHeight="1"/>
    <row r="17528" ht="15.75" customHeight="1"/>
    <row r="17529" ht="15.75" customHeight="1"/>
    <row r="17530" ht="15.75" customHeight="1"/>
    <row r="17531" ht="15.75" customHeight="1"/>
    <row r="17532" ht="15.75" customHeight="1"/>
    <row r="17533" ht="15.75" customHeight="1"/>
    <row r="17534" ht="15.75" customHeight="1"/>
    <row r="17535" ht="15.75" customHeight="1"/>
    <row r="17536" ht="15.75" customHeight="1"/>
    <row r="17537" ht="15.75" customHeight="1"/>
    <row r="17538" ht="15.75" customHeight="1"/>
    <row r="17539" ht="15.75" customHeight="1"/>
    <row r="17540" ht="15.75" customHeight="1"/>
    <row r="17541" ht="15.75" customHeight="1"/>
    <row r="17542" ht="15.75" customHeight="1"/>
    <row r="17543" ht="15.75" customHeight="1"/>
    <row r="17544" ht="15.75" customHeight="1"/>
    <row r="17545" ht="15.75" customHeight="1"/>
    <row r="17546" ht="15.75" customHeight="1"/>
    <row r="17547" ht="15.75" customHeight="1"/>
    <row r="17548" ht="15.75" customHeight="1"/>
    <row r="17549" ht="15.75" customHeight="1"/>
    <row r="17550" ht="15.75" customHeight="1"/>
    <row r="17551" ht="15.75" customHeight="1"/>
    <row r="17552" ht="15.75" customHeight="1"/>
    <row r="17553" ht="15.75" customHeight="1"/>
    <row r="17554" ht="15.75" customHeight="1"/>
    <row r="17555" ht="15.75" customHeight="1"/>
    <row r="17556" ht="15.75" customHeight="1"/>
    <row r="17557" ht="15.75" customHeight="1"/>
    <row r="17558" ht="15.75" customHeight="1"/>
    <row r="17559" ht="15.75" customHeight="1"/>
    <row r="17560" ht="15.75" customHeight="1"/>
    <row r="17561" ht="15.75" customHeight="1"/>
    <row r="17562" ht="15.75" customHeight="1"/>
    <row r="17563" ht="15.75" customHeight="1"/>
    <row r="17564" ht="15.75" customHeight="1"/>
    <row r="17565" ht="15.75" customHeight="1"/>
    <row r="17566" ht="15.75" customHeight="1"/>
    <row r="17567" ht="15.75" customHeight="1"/>
    <row r="17568" ht="15.75" customHeight="1"/>
    <row r="17569" ht="15.75" customHeight="1"/>
    <row r="17570" ht="15.75" customHeight="1"/>
    <row r="17571" ht="15.75" customHeight="1"/>
    <row r="17572" ht="15.75" customHeight="1"/>
    <row r="17573" ht="15.75" customHeight="1"/>
    <row r="17574" ht="15.75" customHeight="1"/>
    <row r="17575" ht="15.75" customHeight="1"/>
    <row r="17576" ht="15.75" customHeight="1"/>
    <row r="17577" ht="15.75" customHeight="1"/>
    <row r="17578" ht="15.75" customHeight="1"/>
    <row r="17579" ht="15.75" customHeight="1"/>
    <row r="17580" ht="15.75" customHeight="1"/>
    <row r="17581" ht="15.75" customHeight="1"/>
    <row r="17582" ht="15.75" customHeight="1"/>
    <row r="17583" ht="15.75" customHeight="1"/>
    <row r="17584" ht="15.75" customHeight="1"/>
    <row r="17585" ht="15.75" customHeight="1"/>
    <row r="17586" ht="15.75" customHeight="1"/>
    <row r="17587" ht="15.75" customHeight="1"/>
    <row r="17588" ht="15.75" customHeight="1"/>
    <row r="17589" ht="15.75" customHeight="1"/>
    <row r="17590" ht="15.75" customHeight="1"/>
    <row r="17591" ht="15.75" customHeight="1"/>
    <row r="17592" ht="15.75" customHeight="1"/>
    <row r="17593" ht="15.75" customHeight="1"/>
    <row r="17594" ht="15.75" customHeight="1"/>
    <row r="17595" ht="15.75" customHeight="1"/>
    <row r="17596" ht="15.75" customHeight="1"/>
    <row r="17597" ht="15.75" customHeight="1"/>
    <row r="17598" ht="15.75" customHeight="1"/>
    <row r="17599" ht="15.75" customHeight="1"/>
    <row r="17600" ht="15.75" customHeight="1"/>
    <row r="17601" ht="15.75" customHeight="1"/>
    <row r="17602" ht="15.75" customHeight="1"/>
    <row r="17603" ht="15.75" customHeight="1"/>
    <row r="17604" ht="15.75" customHeight="1"/>
    <row r="17605" ht="15.75" customHeight="1"/>
    <row r="17606" ht="15.75" customHeight="1"/>
    <row r="17607" ht="15.75" customHeight="1"/>
    <row r="17608" ht="15.75" customHeight="1"/>
    <row r="17609" ht="15.75" customHeight="1"/>
    <row r="17610" ht="15.75" customHeight="1"/>
    <row r="17611" ht="15.75" customHeight="1"/>
    <row r="17612" ht="15.75" customHeight="1"/>
    <row r="17613" ht="15.75" customHeight="1"/>
    <row r="17614" ht="15.75" customHeight="1"/>
    <row r="17615" ht="15.75" customHeight="1"/>
    <row r="17616" ht="15.75" customHeight="1"/>
    <row r="17617" ht="15.75" customHeight="1"/>
    <row r="17618" ht="15.75" customHeight="1"/>
    <row r="17619" ht="15.75" customHeight="1"/>
    <row r="17620" ht="15.75" customHeight="1"/>
    <row r="17621" ht="15.75" customHeight="1"/>
    <row r="17622" ht="15.75" customHeight="1"/>
    <row r="17623" ht="15.75" customHeight="1"/>
    <row r="17624" ht="15.75" customHeight="1"/>
    <row r="17625" ht="15.75" customHeight="1"/>
    <row r="17626" ht="15.75" customHeight="1"/>
    <row r="17627" ht="15.75" customHeight="1"/>
    <row r="17628" ht="15.75" customHeight="1"/>
    <row r="17629" ht="15.75" customHeight="1"/>
    <row r="17630" ht="15.75" customHeight="1"/>
    <row r="17631" ht="15.75" customHeight="1"/>
    <row r="17632" ht="15.75" customHeight="1"/>
    <row r="17633" ht="15.75" customHeight="1"/>
    <row r="17634" ht="15.75" customHeight="1"/>
    <row r="17635" ht="15.75" customHeight="1"/>
    <row r="17636" ht="15.75" customHeight="1"/>
    <row r="17637" ht="15.75" customHeight="1"/>
    <row r="17638" ht="15.75" customHeight="1"/>
    <row r="17639" ht="15.75" customHeight="1"/>
    <row r="17640" ht="15.75" customHeight="1"/>
    <row r="17641" ht="15.75" customHeight="1"/>
    <row r="17642" ht="15.75" customHeight="1"/>
    <row r="17643" ht="15.75" customHeight="1"/>
    <row r="17644" ht="15.75" customHeight="1"/>
    <row r="17645" ht="15.75" customHeight="1"/>
    <row r="17646" ht="15.75" customHeight="1"/>
    <row r="17647" ht="15.75" customHeight="1"/>
    <row r="17648" ht="15.75" customHeight="1"/>
    <row r="17649" ht="15.75" customHeight="1"/>
    <row r="17650" ht="15.75" customHeight="1"/>
    <row r="17651" ht="15.75" customHeight="1"/>
    <row r="17652" ht="15.75" customHeight="1"/>
    <row r="17653" ht="15.75" customHeight="1"/>
    <row r="17654" ht="15.75" customHeight="1"/>
    <row r="17655" ht="15.75" customHeight="1"/>
    <row r="17656" ht="15.75" customHeight="1"/>
    <row r="17657" ht="15.75" customHeight="1"/>
    <row r="17658" ht="15.75" customHeight="1"/>
    <row r="17659" ht="15.75" customHeight="1"/>
    <row r="17660" ht="15.75" customHeight="1"/>
    <row r="17661" ht="15.75" customHeight="1"/>
    <row r="17662" ht="15.75" customHeight="1"/>
    <row r="17663" ht="15.75" customHeight="1"/>
    <row r="17664" ht="15.75" customHeight="1"/>
    <row r="17665" ht="15.75" customHeight="1"/>
    <row r="17666" ht="15.75" customHeight="1"/>
    <row r="17667" ht="15.75" customHeight="1"/>
    <row r="17668" ht="15.75" customHeight="1"/>
    <row r="17669" ht="15.75" customHeight="1"/>
    <row r="17670" ht="15.75" customHeight="1"/>
    <row r="17671" ht="15.75" customHeight="1"/>
    <row r="17672" ht="15.75" customHeight="1"/>
    <row r="17673" ht="15.75" customHeight="1"/>
    <row r="17674" ht="15.75" customHeight="1"/>
    <row r="17675" ht="15.75" customHeight="1"/>
    <row r="17676" ht="15.75" customHeight="1"/>
    <row r="17677" ht="15.75" customHeight="1"/>
    <row r="17678" ht="15.75" customHeight="1"/>
    <row r="17679" ht="15.75" customHeight="1"/>
    <row r="17680" ht="15.75" customHeight="1"/>
    <row r="17681" ht="15.75" customHeight="1"/>
    <row r="17682" ht="15.75" customHeight="1"/>
    <row r="17683" ht="15.75" customHeight="1"/>
    <row r="17684" ht="15.75" customHeight="1"/>
    <row r="17685" ht="15.75" customHeight="1"/>
    <row r="17686" ht="15.75" customHeight="1"/>
    <row r="17687" ht="15.75" customHeight="1"/>
    <row r="17688" ht="15.75" customHeight="1"/>
    <row r="17689" ht="15.75" customHeight="1"/>
    <row r="17690" ht="15.75" customHeight="1"/>
    <row r="17691" ht="15.75" customHeight="1"/>
    <row r="17692" ht="15.75" customHeight="1"/>
    <row r="17693" ht="15.75" customHeight="1"/>
    <row r="17694" ht="15.75" customHeight="1"/>
    <row r="17695" ht="15.75" customHeight="1"/>
    <row r="17696" ht="15.75" customHeight="1"/>
    <row r="17697" ht="15.75" customHeight="1"/>
    <row r="17698" ht="15.75" customHeight="1"/>
    <row r="17699" ht="15.75" customHeight="1"/>
    <row r="17700" ht="15.75" customHeight="1"/>
    <row r="17701" ht="15.75" customHeight="1"/>
    <row r="17702" ht="15.75" customHeight="1"/>
    <row r="17703" ht="15.75" customHeight="1"/>
    <row r="17704" ht="15.75" customHeight="1"/>
    <row r="17705" ht="15.75" customHeight="1"/>
    <row r="17706" ht="15.75" customHeight="1"/>
    <row r="17707" ht="15.75" customHeight="1"/>
    <row r="17708" ht="15.75" customHeight="1"/>
    <row r="17709" ht="15.75" customHeight="1"/>
    <row r="17710" ht="15.75" customHeight="1"/>
    <row r="17711" ht="15.75" customHeight="1"/>
    <row r="17712" ht="15.75" customHeight="1"/>
    <row r="17713" ht="15.75" customHeight="1"/>
    <row r="17714" ht="15.75" customHeight="1"/>
    <row r="17715" ht="15.75" customHeight="1"/>
    <row r="17716" ht="15.75" customHeight="1"/>
    <row r="17717" ht="15.75" customHeight="1"/>
    <row r="17718" ht="15.75" customHeight="1"/>
    <row r="17719" ht="15.75" customHeight="1"/>
    <row r="17720" ht="15.75" customHeight="1"/>
    <row r="17721" ht="15.75" customHeight="1"/>
    <row r="17722" ht="15.75" customHeight="1"/>
    <row r="17723" ht="15.75" customHeight="1"/>
    <row r="17724" ht="15.75" customHeight="1"/>
    <row r="17725" ht="15.75" customHeight="1"/>
    <row r="17726" ht="15.75" customHeight="1"/>
    <row r="17727" ht="15.75" customHeight="1"/>
    <row r="17728" ht="15.75" customHeight="1"/>
    <row r="17729" ht="15.75" customHeight="1"/>
    <row r="17730" ht="15.75" customHeight="1"/>
    <row r="17731" ht="15.75" customHeight="1"/>
    <row r="17732" ht="15.75" customHeight="1"/>
    <row r="17733" ht="15.75" customHeight="1"/>
    <row r="17734" ht="15.75" customHeight="1"/>
    <row r="17735" ht="15.75" customHeight="1"/>
    <row r="17736" ht="15.75" customHeight="1"/>
    <row r="17737" ht="15.75" customHeight="1"/>
    <row r="17738" ht="15.75" customHeight="1"/>
    <row r="17739" ht="15.75" customHeight="1"/>
    <row r="17740" ht="15.75" customHeight="1"/>
    <row r="17741" ht="15.75" customHeight="1"/>
    <row r="17742" ht="15.75" customHeight="1"/>
    <row r="17743" ht="15.75" customHeight="1"/>
    <row r="17744" ht="15.75" customHeight="1"/>
    <row r="17745" ht="15.75" customHeight="1"/>
    <row r="17746" ht="15.75" customHeight="1"/>
    <row r="17747" ht="15.75" customHeight="1"/>
    <row r="17748" ht="15.75" customHeight="1"/>
    <row r="17749" ht="15.75" customHeight="1"/>
    <row r="17750" ht="15.75" customHeight="1"/>
    <row r="17751" ht="15.75" customHeight="1"/>
    <row r="17752" ht="15.75" customHeight="1"/>
    <row r="17753" ht="15.75" customHeight="1"/>
    <row r="17754" ht="15.75" customHeight="1"/>
    <row r="17755" ht="15.75" customHeight="1"/>
    <row r="17756" ht="15.75" customHeight="1"/>
    <row r="17757" ht="15.75" customHeight="1"/>
    <row r="17758" ht="15.75" customHeight="1"/>
    <row r="17759" ht="15.75" customHeight="1"/>
    <row r="17760" ht="15.75" customHeight="1"/>
    <row r="17761" ht="15.75" customHeight="1"/>
    <row r="17762" ht="15.75" customHeight="1"/>
    <row r="17763" ht="15.75" customHeight="1"/>
    <row r="17764" ht="15.75" customHeight="1"/>
    <row r="17765" ht="15.75" customHeight="1"/>
    <row r="17766" ht="15.75" customHeight="1"/>
    <row r="17767" ht="15.75" customHeight="1"/>
    <row r="17768" ht="15.75" customHeight="1"/>
    <row r="17769" ht="15.75" customHeight="1"/>
    <row r="17770" ht="15.75" customHeight="1"/>
    <row r="17771" ht="15.75" customHeight="1"/>
    <row r="17772" ht="15.75" customHeight="1"/>
    <row r="17773" ht="15.75" customHeight="1"/>
    <row r="17774" ht="15.75" customHeight="1"/>
    <row r="17775" ht="15.75" customHeight="1"/>
    <row r="17776" ht="15.75" customHeight="1"/>
    <row r="17777" ht="15.75" customHeight="1"/>
    <row r="17778" ht="15.75" customHeight="1"/>
    <row r="17779" ht="15.75" customHeight="1"/>
    <row r="17780" ht="15.75" customHeight="1"/>
    <row r="17781" ht="15.75" customHeight="1"/>
    <row r="17782" ht="15.75" customHeight="1"/>
    <row r="17783" ht="15.75" customHeight="1"/>
    <row r="17784" ht="15.75" customHeight="1"/>
    <row r="17785" ht="15.75" customHeight="1"/>
    <row r="17786" ht="15.75" customHeight="1"/>
    <row r="17787" ht="15.75" customHeight="1"/>
    <row r="17788" ht="15.75" customHeight="1"/>
    <row r="17789" ht="15.75" customHeight="1"/>
    <row r="17790" ht="15.75" customHeight="1"/>
    <row r="17791" ht="15.75" customHeight="1"/>
    <row r="17792" ht="15.75" customHeight="1"/>
    <row r="17793" ht="15.75" customHeight="1"/>
    <row r="17794" ht="15.75" customHeight="1"/>
    <row r="17795" ht="15.75" customHeight="1"/>
    <row r="17796" ht="15.75" customHeight="1"/>
    <row r="17797" ht="15.75" customHeight="1"/>
    <row r="17798" ht="15.75" customHeight="1"/>
    <row r="17799" ht="15.75" customHeight="1"/>
    <row r="17800" ht="15.75" customHeight="1"/>
    <row r="17801" ht="15.75" customHeight="1"/>
    <row r="17802" ht="15.75" customHeight="1"/>
    <row r="17803" ht="15.75" customHeight="1"/>
    <row r="17804" ht="15.75" customHeight="1"/>
    <row r="17805" ht="15.75" customHeight="1"/>
    <row r="17806" ht="15.75" customHeight="1"/>
    <row r="17807" ht="15.75" customHeight="1"/>
    <row r="17808" ht="15.75" customHeight="1"/>
    <row r="17809" ht="15.75" customHeight="1"/>
    <row r="17810" ht="15.75" customHeight="1"/>
    <row r="17811" ht="15.75" customHeight="1"/>
    <row r="17812" ht="15.75" customHeight="1"/>
    <row r="17813" ht="15.75" customHeight="1"/>
    <row r="17814" ht="15.75" customHeight="1"/>
    <row r="17815" ht="15.75" customHeight="1"/>
    <row r="17816" ht="15.75" customHeight="1"/>
    <row r="17817" ht="15.75" customHeight="1"/>
    <row r="17818" ht="15.75" customHeight="1"/>
    <row r="17819" ht="15.75" customHeight="1"/>
    <row r="17820" ht="15.75" customHeight="1"/>
    <row r="17821" ht="15.75" customHeight="1"/>
    <row r="17822" ht="15.75" customHeight="1"/>
    <row r="17823" ht="15.75" customHeight="1"/>
    <row r="17824" ht="15.75" customHeight="1"/>
    <row r="17825" ht="15.75" customHeight="1"/>
    <row r="17826" ht="15.75" customHeight="1"/>
    <row r="17827" ht="15.75" customHeight="1"/>
    <row r="17828" ht="15.75" customHeight="1"/>
    <row r="17829" ht="15.75" customHeight="1"/>
    <row r="17830" ht="15.75" customHeight="1"/>
    <row r="17831" ht="15.75" customHeight="1"/>
    <row r="17832" ht="15.75" customHeight="1"/>
    <row r="17833" ht="15.75" customHeight="1"/>
    <row r="17834" ht="15.75" customHeight="1"/>
    <row r="17835" ht="15.75" customHeight="1"/>
    <row r="17836" ht="15.75" customHeight="1"/>
    <row r="17837" ht="15.75" customHeight="1"/>
    <row r="17838" ht="15.75" customHeight="1"/>
    <row r="17839" ht="15.75" customHeight="1"/>
    <row r="17840" ht="15.75" customHeight="1"/>
    <row r="17841" ht="15.75" customHeight="1"/>
    <row r="17842" ht="15.75" customHeight="1"/>
    <row r="17843" ht="15.75" customHeight="1"/>
    <row r="17844" ht="15.75" customHeight="1"/>
    <row r="17845" ht="15.75" customHeight="1"/>
    <row r="17846" ht="15.75" customHeight="1"/>
    <row r="17847" ht="15.75" customHeight="1"/>
    <row r="17848" ht="15.75" customHeight="1"/>
    <row r="17849" ht="15.75" customHeight="1"/>
    <row r="17850" ht="15.75" customHeight="1"/>
    <row r="17851" ht="15.75" customHeight="1"/>
    <row r="17852" ht="15.75" customHeight="1"/>
    <row r="17853" ht="15.75" customHeight="1"/>
    <row r="17854" ht="15.75" customHeight="1"/>
    <row r="17855" ht="15.75" customHeight="1"/>
    <row r="17856" ht="15.75" customHeight="1"/>
    <row r="17857" ht="15.75" customHeight="1"/>
    <row r="17858" ht="15.75" customHeight="1"/>
    <row r="17859" ht="15.75" customHeight="1"/>
    <row r="17860" ht="15.75" customHeight="1"/>
    <row r="17861" ht="15.75" customHeight="1"/>
    <row r="17862" ht="15.75" customHeight="1"/>
    <row r="17863" ht="15.75" customHeight="1"/>
    <row r="17864" ht="15.75" customHeight="1"/>
    <row r="17865" ht="15.75" customHeight="1"/>
    <row r="17866" ht="15.75" customHeight="1"/>
    <row r="17867" ht="15.75" customHeight="1"/>
    <row r="17868" ht="15.75" customHeight="1"/>
    <row r="17869" ht="15.75" customHeight="1"/>
    <row r="17870" ht="15.75" customHeight="1"/>
    <row r="17871" ht="15.75" customHeight="1"/>
    <row r="17872" ht="15.75" customHeight="1"/>
    <row r="17873" ht="15.75" customHeight="1"/>
    <row r="17874" ht="15.75" customHeight="1"/>
    <row r="17875" ht="15.75" customHeight="1"/>
    <row r="17876" ht="15.75" customHeight="1"/>
    <row r="17877" ht="15.75" customHeight="1"/>
    <row r="17878" ht="15.75" customHeight="1"/>
    <row r="17879" ht="15.75" customHeight="1"/>
    <row r="17880" ht="15.75" customHeight="1"/>
    <row r="17881" ht="15.75" customHeight="1"/>
    <row r="17882" ht="15.75" customHeight="1"/>
    <row r="17883" ht="15.75" customHeight="1"/>
    <row r="17884" ht="15.75" customHeight="1"/>
    <row r="17885" ht="15.75" customHeight="1"/>
    <row r="17886" ht="15.75" customHeight="1"/>
    <row r="17887" ht="15.75" customHeight="1"/>
    <row r="17888" ht="15.75" customHeight="1"/>
    <row r="17889" ht="15.75" customHeight="1"/>
    <row r="17890" ht="15.75" customHeight="1"/>
    <row r="17891" ht="15.75" customHeight="1"/>
    <row r="17892" ht="15.75" customHeight="1"/>
    <row r="17893" ht="15.75" customHeight="1"/>
    <row r="17894" ht="15.75" customHeight="1"/>
    <row r="17895" ht="15.75" customHeight="1"/>
    <row r="17896" ht="15.75" customHeight="1"/>
    <row r="17897" ht="15.75" customHeight="1"/>
    <row r="17898" ht="15.75" customHeight="1"/>
    <row r="17899" ht="15.75" customHeight="1"/>
    <row r="17900" ht="15.75" customHeight="1"/>
    <row r="17901" ht="15.75" customHeight="1"/>
    <row r="17902" ht="15.75" customHeight="1"/>
    <row r="17903" ht="15.75" customHeight="1"/>
    <row r="17904" ht="15.75" customHeight="1"/>
    <row r="17905" ht="15.75" customHeight="1"/>
    <row r="17906" ht="15.75" customHeight="1"/>
    <row r="17907" ht="15.75" customHeight="1"/>
    <row r="17908" ht="15.75" customHeight="1"/>
    <row r="17909" ht="15.75" customHeight="1"/>
    <row r="17910" ht="15.75" customHeight="1"/>
    <row r="17911" ht="15.75" customHeight="1"/>
    <row r="17912" ht="15.75" customHeight="1"/>
    <row r="17913" ht="15.75" customHeight="1"/>
    <row r="17914" ht="15.75" customHeight="1"/>
    <row r="17915" ht="15.75" customHeight="1"/>
    <row r="17916" ht="15.75" customHeight="1"/>
    <row r="17917" ht="15.75" customHeight="1"/>
    <row r="17918" ht="15.75" customHeight="1"/>
    <row r="17919" ht="15.75" customHeight="1"/>
    <row r="17920" ht="15.75" customHeight="1"/>
    <row r="17921" ht="15.75" customHeight="1"/>
    <row r="17922" ht="15.75" customHeight="1"/>
    <row r="17923" ht="15.75" customHeight="1"/>
    <row r="17924" ht="15.75" customHeight="1"/>
    <row r="17925" ht="15.75" customHeight="1"/>
    <row r="17926" ht="15.75" customHeight="1"/>
    <row r="17927" ht="15.75" customHeight="1"/>
    <row r="17928" ht="15.75" customHeight="1"/>
    <row r="17929" ht="15.75" customHeight="1"/>
    <row r="17930" ht="15.75" customHeight="1"/>
    <row r="17931" ht="15.75" customHeight="1"/>
    <row r="17932" ht="15.75" customHeight="1"/>
    <row r="17933" ht="15.75" customHeight="1"/>
    <row r="17934" ht="15.75" customHeight="1"/>
    <row r="17935" ht="15.75" customHeight="1"/>
    <row r="17936" ht="15.75" customHeight="1"/>
    <row r="17937" ht="15.75" customHeight="1"/>
    <row r="17938" ht="15.75" customHeight="1"/>
    <row r="17939" ht="15.75" customHeight="1"/>
    <row r="17940" ht="15.75" customHeight="1"/>
    <row r="17941" ht="15.75" customHeight="1"/>
    <row r="17942" ht="15.75" customHeight="1"/>
    <row r="17943" ht="15.75" customHeight="1"/>
    <row r="17944" ht="15.75" customHeight="1"/>
    <row r="17945" ht="15.75" customHeight="1"/>
    <row r="17946" ht="15.75" customHeight="1"/>
    <row r="17947" ht="15.75" customHeight="1"/>
    <row r="17948" ht="15.75" customHeight="1"/>
    <row r="17949" ht="15.75" customHeight="1"/>
    <row r="17950" ht="15.75" customHeight="1"/>
    <row r="17951" ht="15.75" customHeight="1"/>
    <row r="17952" ht="15.75" customHeight="1"/>
    <row r="17953" ht="15.75" customHeight="1"/>
    <row r="17954" ht="15.75" customHeight="1"/>
    <row r="17955" ht="15.75" customHeight="1"/>
    <row r="17956" ht="15.75" customHeight="1"/>
    <row r="17957" ht="15.75" customHeight="1"/>
    <row r="17958" ht="15.75" customHeight="1"/>
    <row r="17959" ht="15.75" customHeight="1"/>
    <row r="17960" ht="15.75" customHeight="1"/>
    <row r="17961" ht="15.75" customHeight="1"/>
    <row r="17962" ht="15.75" customHeight="1"/>
    <row r="17963" ht="15.75" customHeight="1"/>
    <row r="17964" ht="15.75" customHeight="1"/>
    <row r="17965" ht="15.75" customHeight="1"/>
    <row r="17966" ht="15.75" customHeight="1"/>
    <row r="17967" ht="15.75" customHeight="1"/>
    <row r="17968" ht="15.75" customHeight="1"/>
    <row r="17969" ht="15.75" customHeight="1"/>
    <row r="17970" ht="15.75" customHeight="1"/>
    <row r="17971" ht="15.75" customHeight="1"/>
    <row r="17972" ht="15.75" customHeight="1"/>
    <row r="17973" ht="15.75" customHeight="1"/>
    <row r="17974" ht="15.75" customHeight="1"/>
    <row r="17975" ht="15.75" customHeight="1"/>
    <row r="17976" ht="15.75" customHeight="1"/>
    <row r="17977" ht="15.75" customHeight="1"/>
    <row r="17978" ht="15.75" customHeight="1"/>
    <row r="17979" ht="15.75" customHeight="1"/>
    <row r="17980" ht="15.75" customHeight="1"/>
    <row r="17981" ht="15.75" customHeight="1"/>
    <row r="17982" ht="15.75" customHeight="1"/>
    <row r="17983" ht="15.75" customHeight="1"/>
    <row r="17984" ht="15.75" customHeight="1"/>
    <row r="17985" ht="15.75" customHeight="1"/>
    <row r="17986" ht="15.75" customHeight="1"/>
    <row r="17987" ht="15.75" customHeight="1"/>
    <row r="17988" ht="15.75" customHeight="1"/>
    <row r="17989" ht="15.75" customHeight="1"/>
    <row r="17990" ht="15.75" customHeight="1"/>
    <row r="17991" ht="15.75" customHeight="1"/>
    <row r="17992" ht="15.75" customHeight="1"/>
    <row r="17993" ht="15.75" customHeight="1"/>
    <row r="17994" ht="15.75" customHeight="1"/>
    <row r="17995" ht="15.75" customHeight="1"/>
    <row r="17996" ht="15.75" customHeight="1"/>
    <row r="17997" ht="15.75" customHeight="1"/>
    <row r="17998" ht="15.75" customHeight="1"/>
    <row r="17999" ht="15.75" customHeight="1"/>
    <row r="18000" ht="15.75" customHeight="1"/>
    <row r="18001" ht="15.75" customHeight="1"/>
    <row r="18002" ht="15.75" customHeight="1"/>
    <row r="18003" ht="15.75" customHeight="1"/>
    <row r="18004" ht="15.75" customHeight="1"/>
    <row r="18005" ht="15.75" customHeight="1"/>
    <row r="18006" ht="15.75" customHeight="1"/>
    <row r="18007" ht="15.75" customHeight="1"/>
    <row r="18008" ht="15.75" customHeight="1"/>
    <row r="18009" ht="15.75" customHeight="1"/>
    <row r="18010" ht="15.75" customHeight="1"/>
    <row r="18011" ht="15.75" customHeight="1"/>
    <row r="18012" ht="15.75" customHeight="1"/>
    <row r="18013" ht="15.75" customHeight="1"/>
    <row r="18014" ht="15.75" customHeight="1"/>
    <row r="18015" ht="15.75" customHeight="1"/>
    <row r="18016" ht="15.75" customHeight="1"/>
    <row r="18017" ht="15.75" customHeight="1"/>
    <row r="18018" ht="15.75" customHeight="1"/>
    <row r="18019" ht="15.75" customHeight="1"/>
    <row r="18020" ht="15.75" customHeight="1"/>
    <row r="18021" ht="15.75" customHeight="1"/>
    <row r="18022" ht="15.75" customHeight="1"/>
    <row r="18023" ht="15.75" customHeight="1"/>
    <row r="18024" ht="15.75" customHeight="1"/>
    <row r="18025" ht="15.75" customHeight="1"/>
    <row r="18026" ht="15.75" customHeight="1"/>
    <row r="18027" ht="15.75" customHeight="1"/>
    <row r="18028" ht="15.75" customHeight="1"/>
    <row r="18029" ht="15.75" customHeight="1"/>
    <row r="18030" ht="15.75" customHeight="1"/>
    <row r="18031" ht="15.75" customHeight="1"/>
    <row r="18032" ht="15.75" customHeight="1"/>
    <row r="18033" ht="15.75" customHeight="1"/>
    <row r="18034" ht="15.75" customHeight="1"/>
    <row r="18035" ht="15.75" customHeight="1"/>
    <row r="18036" ht="15.75" customHeight="1"/>
    <row r="18037" ht="15.75" customHeight="1"/>
    <row r="18038" ht="15.75" customHeight="1"/>
    <row r="18039" ht="15.75" customHeight="1"/>
    <row r="18040" ht="15.75" customHeight="1"/>
    <row r="18041" ht="15.75" customHeight="1"/>
    <row r="18042" ht="15.75" customHeight="1"/>
    <row r="18043" ht="15.75" customHeight="1"/>
    <row r="18044" ht="15.75" customHeight="1"/>
    <row r="18045" ht="15.75" customHeight="1"/>
    <row r="18046" ht="15.75" customHeight="1"/>
    <row r="18047" ht="15.75" customHeight="1"/>
    <row r="18048" ht="15.75" customHeight="1"/>
    <row r="18049" ht="15.75" customHeight="1"/>
    <row r="18050" ht="15.75" customHeight="1"/>
    <row r="18051" ht="15.75" customHeight="1"/>
    <row r="18052" ht="15.75" customHeight="1"/>
    <row r="18053" ht="15.75" customHeight="1"/>
    <row r="18054" ht="15.75" customHeight="1"/>
    <row r="18055" ht="15.75" customHeight="1"/>
    <row r="18056" ht="15.75" customHeight="1"/>
    <row r="18057" ht="15.75" customHeight="1"/>
    <row r="18058" ht="15.75" customHeight="1"/>
    <row r="18059" ht="15.75" customHeight="1"/>
    <row r="18060" ht="15.75" customHeight="1"/>
    <row r="18061" ht="15.75" customHeight="1"/>
    <row r="18062" ht="15.75" customHeight="1"/>
    <row r="18063" ht="15.75" customHeight="1"/>
    <row r="18064" ht="15.75" customHeight="1"/>
    <row r="18065" ht="15.75" customHeight="1"/>
    <row r="18066" ht="15.75" customHeight="1"/>
    <row r="18067" ht="15.75" customHeight="1"/>
    <row r="18068" ht="15.75" customHeight="1"/>
    <row r="18069" ht="15.75" customHeight="1"/>
    <row r="18070" ht="15.75" customHeight="1"/>
    <row r="18071" ht="15.75" customHeight="1"/>
    <row r="18072" ht="15.75" customHeight="1"/>
    <row r="18073" ht="15.75" customHeight="1"/>
    <row r="18074" ht="15.75" customHeight="1"/>
    <row r="18075" ht="15.75" customHeight="1"/>
    <row r="18076" ht="15.75" customHeight="1"/>
    <row r="18077" ht="15.75" customHeight="1"/>
    <row r="18078" ht="15.75" customHeight="1"/>
    <row r="18079" ht="15.75" customHeight="1"/>
    <row r="18080" ht="15.75" customHeight="1"/>
    <row r="18081" ht="15.75" customHeight="1"/>
    <row r="18082" ht="15.75" customHeight="1"/>
    <row r="18083" ht="15.75" customHeight="1"/>
    <row r="18084" ht="15.75" customHeight="1"/>
    <row r="18085" ht="15.75" customHeight="1"/>
    <row r="18086" ht="15.75" customHeight="1"/>
    <row r="18087" ht="15.75" customHeight="1"/>
    <row r="18088" ht="15.75" customHeight="1"/>
    <row r="18089" ht="15.75" customHeight="1"/>
    <row r="18090" ht="15.75" customHeight="1"/>
    <row r="18091" ht="15.75" customHeight="1"/>
    <row r="18092" ht="15.75" customHeight="1"/>
    <row r="18093" ht="15.75" customHeight="1"/>
    <row r="18094" ht="15.75" customHeight="1"/>
    <row r="18095" ht="15.75" customHeight="1"/>
    <row r="18096" ht="15.75" customHeight="1"/>
    <row r="18097" ht="15.75" customHeight="1"/>
    <row r="18098" ht="15.75" customHeight="1"/>
    <row r="18099" ht="15.75" customHeight="1"/>
    <row r="18100" ht="15.75" customHeight="1"/>
    <row r="18101" ht="15.75" customHeight="1"/>
    <row r="18102" ht="15.75" customHeight="1"/>
    <row r="18103" ht="15.75" customHeight="1"/>
    <row r="18104" ht="15.75" customHeight="1"/>
    <row r="18105" ht="15.75" customHeight="1"/>
    <row r="18106" ht="15.75" customHeight="1"/>
    <row r="18107" ht="15.75" customHeight="1"/>
    <row r="18108" ht="15.75" customHeight="1"/>
    <row r="18109" ht="15.75" customHeight="1"/>
    <row r="18110" ht="15.75" customHeight="1"/>
    <row r="18111" ht="15.75" customHeight="1"/>
    <row r="18112" ht="15.75" customHeight="1"/>
    <row r="18113" ht="15.75" customHeight="1"/>
    <row r="18114" ht="15.75" customHeight="1"/>
    <row r="18115" ht="15.75" customHeight="1"/>
    <row r="18116" ht="15.75" customHeight="1"/>
    <row r="18117" ht="15.75" customHeight="1"/>
    <row r="18118" ht="15.75" customHeight="1"/>
    <row r="18119" ht="15.75" customHeight="1"/>
    <row r="18120" ht="15.75" customHeight="1"/>
    <row r="18121" ht="15.75" customHeight="1"/>
    <row r="18122" ht="15.75" customHeight="1"/>
    <row r="18123" ht="15.75" customHeight="1"/>
    <row r="18124" ht="15.75" customHeight="1"/>
    <row r="18125" ht="15.75" customHeight="1"/>
    <row r="18126" ht="15.75" customHeight="1"/>
    <row r="18127" ht="15.75" customHeight="1"/>
    <row r="18128" ht="15.75" customHeight="1"/>
    <row r="18129" ht="15.75" customHeight="1"/>
    <row r="18130" ht="15.75" customHeight="1"/>
    <row r="18131" ht="15.75" customHeight="1"/>
    <row r="18132" ht="15.75" customHeight="1"/>
    <row r="18133" ht="15.75" customHeight="1"/>
    <row r="18134" ht="15.75" customHeight="1"/>
    <row r="18135" ht="15.75" customHeight="1"/>
    <row r="18136" ht="15.75" customHeight="1"/>
    <row r="18137" ht="15.75" customHeight="1"/>
    <row r="18138" ht="15.75" customHeight="1"/>
    <row r="18139" ht="15.75" customHeight="1"/>
    <row r="18140" ht="15.75" customHeight="1"/>
    <row r="18141" ht="15.75" customHeight="1"/>
    <row r="18142" ht="15.75" customHeight="1"/>
    <row r="18143" ht="15.75" customHeight="1"/>
    <row r="18144" ht="15.75" customHeight="1"/>
    <row r="18145" ht="15.75" customHeight="1"/>
    <row r="18146" ht="15.75" customHeight="1"/>
    <row r="18147" ht="15.75" customHeight="1"/>
    <row r="18148" ht="15.75" customHeight="1"/>
    <row r="18149" ht="15.75" customHeight="1"/>
    <row r="18150" ht="15.75" customHeight="1"/>
    <row r="18151" ht="15.75" customHeight="1"/>
    <row r="18152" ht="15.75" customHeight="1"/>
    <row r="18153" ht="15.75" customHeight="1"/>
    <row r="18154" ht="15.75" customHeight="1"/>
    <row r="18155" ht="15.75" customHeight="1"/>
    <row r="18156" ht="15.75" customHeight="1"/>
    <row r="18157" ht="15.75" customHeight="1"/>
    <row r="18158" ht="15.75" customHeight="1"/>
    <row r="18159" ht="15.75" customHeight="1"/>
    <row r="18160" ht="15.75" customHeight="1"/>
    <row r="18161" ht="15.75" customHeight="1"/>
    <row r="18162" ht="15.75" customHeight="1"/>
    <row r="18163" ht="15.75" customHeight="1"/>
    <row r="18164" ht="15.75" customHeight="1"/>
    <row r="18165" ht="15.75" customHeight="1"/>
    <row r="18166" ht="15.75" customHeight="1"/>
    <row r="18167" ht="15.75" customHeight="1"/>
    <row r="18168" ht="15.75" customHeight="1"/>
    <row r="18169" ht="15.75" customHeight="1"/>
    <row r="18170" ht="15.75" customHeight="1"/>
    <row r="18171" ht="15.75" customHeight="1"/>
    <row r="18172" ht="15.75" customHeight="1"/>
    <row r="18173" ht="15.75" customHeight="1"/>
    <row r="18174" ht="15.75" customHeight="1"/>
    <row r="18175" ht="15.75" customHeight="1"/>
    <row r="18176" ht="15.75" customHeight="1"/>
    <row r="18177" ht="15.75" customHeight="1"/>
    <row r="18178" ht="15.75" customHeight="1"/>
    <row r="18179" ht="15.75" customHeight="1"/>
    <row r="18180" ht="15.75" customHeight="1"/>
    <row r="18181" ht="15.75" customHeight="1"/>
    <row r="18182" ht="15.75" customHeight="1"/>
    <row r="18183" ht="15.75" customHeight="1"/>
    <row r="18184" ht="15.75" customHeight="1"/>
    <row r="18185" ht="15.75" customHeight="1"/>
    <row r="18186" ht="15.75" customHeight="1"/>
    <row r="18187" ht="15.75" customHeight="1"/>
    <row r="18188" ht="15.75" customHeight="1"/>
    <row r="18189" ht="15.75" customHeight="1"/>
    <row r="18190" ht="15.75" customHeight="1"/>
    <row r="18191" ht="15.75" customHeight="1"/>
    <row r="18192" ht="15.75" customHeight="1"/>
    <row r="18193" ht="15.75" customHeight="1"/>
    <row r="18194" ht="15.75" customHeight="1"/>
    <row r="18195" ht="15.75" customHeight="1"/>
    <row r="18196" ht="15.75" customHeight="1"/>
    <row r="18197" ht="15.75" customHeight="1"/>
    <row r="18198" ht="15.75" customHeight="1"/>
    <row r="18199" ht="15.75" customHeight="1"/>
    <row r="18200" ht="15.75" customHeight="1"/>
    <row r="18201" ht="15.75" customHeight="1"/>
    <row r="18202" ht="15.75" customHeight="1"/>
    <row r="18203" ht="15.75" customHeight="1"/>
    <row r="18204" ht="15.75" customHeight="1"/>
    <row r="18205" ht="15.75" customHeight="1"/>
    <row r="18206" ht="15.75" customHeight="1"/>
    <row r="18207" ht="15.75" customHeight="1"/>
    <row r="18208" ht="15.75" customHeight="1"/>
    <row r="18209" ht="15.75" customHeight="1"/>
    <row r="18210" ht="15.75" customHeight="1"/>
    <row r="18211" ht="15.75" customHeight="1"/>
    <row r="18212" ht="15.75" customHeight="1"/>
    <row r="18213" ht="15.75" customHeight="1"/>
    <row r="18214" ht="15.75" customHeight="1"/>
    <row r="18215" ht="15.75" customHeight="1"/>
    <row r="18216" ht="15.75" customHeight="1"/>
    <row r="18217" ht="15.75" customHeight="1"/>
    <row r="18218" ht="15.75" customHeight="1"/>
    <row r="18219" ht="15.75" customHeight="1"/>
    <row r="18220" ht="15.75" customHeight="1"/>
    <row r="18221" ht="15.75" customHeight="1"/>
    <row r="18222" ht="15.75" customHeight="1"/>
    <row r="18223" ht="15.75" customHeight="1"/>
    <row r="18224" ht="15.75" customHeight="1"/>
    <row r="18225" ht="15.75" customHeight="1"/>
    <row r="18226" ht="15.75" customHeight="1"/>
    <row r="18227" ht="15.75" customHeight="1"/>
    <row r="18228" ht="15.75" customHeight="1"/>
    <row r="18229" ht="15.75" customHeight="1"/>
    <row r="18230" ht="15.75" customHeight="1"/>
    <row r="18231" ht="15.75" customHeight="1"/>
    <row r="18232" ht="15.75" customHeight="1"/>
    <row r="18233" ht="15.75" customHeight="1"/>
    <row r="18234" ht="15.75" customHeight="1"/>
    <row r="18235" ht="15.75" customHeight="1"/>
    <row r="18236" ht="15.75" customHeight="1"/>
    <row r="18237" ht="15.75" customHeight="1"/>
    <row r="18238" ht="15.75" customHeight="1"/>
    <row r="18239" ht="15.75" customHeight="1"/>
    <row r="18240" ht="15.75" customHeight="1"/>
    <row r="18241" ht="15.75" customHeight="1"/>
    <row r="18242" ht="15.75" customHeight="1"/>
    <row r="18243" ht="15.75" customHeight="1"/>
    <row r="18244" ht="15.75" customHeight="1"/>
    <row r="18245" ht="15.75" customHeight="1"/>
    <row r="18246" ht="15.75" customHeight="1"/>
    <row r="18247" ht="15.75" customHeight="1"/>
    <row r="18248" ht="15.75" customHeight="1"/>
    <row r="18249" ht="15.75" customHeight="1"/>
    <row r="18250" ht="15.75" customHeight="1"/>
    <row r="18251" ht="15.75" customHeight="1"/>
    <row r="18252" ht="15.75" customHeight="1"/>
    <row r="18253" ht="15.75" customHeight="1"/>
    <row r="18254" ht="15.75" customHeight="1"/>
    <row r="18255" ht="15.75" customHeight="1"/>
    <row r="18256" ht="15.75" customHeight="1"/>
    <row r="18257" ht="15.75" customHeight="1"/>
    <row r="18258" ht="15.75" customHeight="1"/>
    <row r="18259" ht="15.75" customHeight="1"/>
    <row r="18260" ht="15.75" customHeight="1"/>
    <row r="18261" ht="15.75" customHeight="1"/>
    <row r="18262" ht="15.75" customHeight="1"/>
    <row r="18263" ht="15.75" customHeight="1"/>
    <row r="18264" ht="15.75" customHeight="1"/>
    <row r="18265" ht="15.75" customHeight="1"/>
    <row r="18266" ht="15.75" customHeight="1"/>
    <row r="18267" ht="15.75" customHeight="1"/>
    <row r="18268" ht="15.75" customHeight="1"/>
    <row r="18269" ht="15.75" customHeight="1"/>
    <row r="18270" ht="15.75" customHeight="1"/>
    <row r="18271" ht="15.75" customHeight="1"/>
    <row r="18272" ht="15.75" customHeight="1"/>
    <row r="18273" ht="15.75" customHeight="1"/>
    <row r="18274" ht="15.75" customHeight="1"/>
    <row r="18275" ht="15.75" customHeight="1"/>
    <row r="18276" ht="15.75" customHeight="1"/>
    <row r="18277" ht="15.75" customHeight="1"/>
    <row r="18278" ht="15.75" customHeight="1"/>
    <row r="18279" ht="15.75" customHeight="1"/>
    <row r="18280" ht="15.75" customHeight="1"/>
    <row r="18281" ht="15.75" customHeight="1"/>
    <row r="18282" ht="15.75" customHeight="1"/>
    <row r="18283" ht="15.75" customHeight="1"/>
    <row r="18284" ht="15.75" customHeight="1"/>
    <row r="18285" ht="15.75" customHeight="1"/>
    <row r="18286" ht="15.75" customHeight="1"/>
    <row r="18287" ht="15.75" customHeight="1"/>
    <row r="18288" ht="15.75" customHeight="1"/>
    <row r="18289" ht="15.75" customHeight="1"/>
    <row r="18290" ht="15.75" customHeight="1"/>
    <row r="18291" ht="15.75" customHeight="1"/>
    <row r="18292" ht="15.75" customHeight="1"/>
    <row r="18293" ht="15.75" customHeight="1"/>
    <row r="18294" ht="15.75" customHeight="1"/>
    <row r="18295" ht="15.75" customHeight="1"/>
    <row r="18296" ht="15.75" customHeight="1"/>
    <row r="18297" ht="15.75" customHeight="1"/>
    <row r="18298" ht="15.75" customHeight="1"/>
    <row r="18299" ht="15.75" customHeight="1"/>
    <row r="18300" ht="15.75" customHeight="1"/>
    <row r="18301" ht="15.75" customHeight="1"/>
    <row r="18302" ht="15.75" customHeight="1"/>
    <row r="18303" ht="15.75" customHeight="1"/>
    <row r="18304" ht="15.75" customHeight="1"/>
    <row r="18305" ht="15.75" customHeight="1"/>
    <row r="18306" ht="15.75" customHeight="1"/>
    <row r="18307" ht="15.75" customHeight="1"/>
    <row r="18308" ht="15.75" customHeight="1"/>
    <row r="18309" ht="15.75" customHeight="1"/>
    <row r="18310" ht="15.75" customHeight="1"/>
    <row r="18311" ht="15.75" customHeight="1"/>
    <row r="18312" ht="15.75" customHeight="1"/>
    <row r="18313" ht="15.75" customHeight="1"/>
    <row r="18314" ht="15.75" customHeight="1"/>
    <row r="18315" ht="15.75" customHeight="1"/>
    <row r="18316" ht="15.75" customHeight="1"/>
    <row r="18317" ht="15.75" customHeight="1"/>
    <row r="18318" ht="15.75" customHeight="1"/>
    <row r="18319" ht="15.75" customHeight="1"/>
    <row r="18320" ht="15.75" customHeight="1"/>
    <row r="18321" ht="15.75" customHeight="1"/>
    <row r="18322" ht="15.75" customHeight="1"/>
    <row r="18323" ht="15.75" customHeight="1"/>
    <row r="18324" ht="15.75" customHeight="1"/>
    <row r="18325" ht="15.75" customHeight="1"/>
    <row r="18326" ht="15.75" customHeight="1"/>
    <row r="18327" ht="15.75" customHeight="1"/>
    <row r="18328" ht="15.75" customHeight="1"/>
    <row r="18329" ht="15.75" customHeight="1"/>
    <row r="18330" ht="15.75" customHeight="1"/>
    <row r="18331" ht="15.75" customHeight="1"/>
    <row r="18332" ht="15.75" customHeight="1"/>
    <row r="18333" ht="15.75" customHeight="1"/>
    <row r="18334" ht="15.75" customHeight="1"/>
    <row r="18335" ht="15.75" customHeight="1"/>
    <row r="18336" ht="15.75" customHeight="1"/>
    <row r="18337" ht="15.75" customHeight="1"/>
    <row r="18338" ht="15.75" customHeight="1"/>
    <row r="18339" ht="15.75" customHeight="1"/>
    <row r="18340" ht="15.75" customHeight="1"/>
    <row r="18341" ht="15.75" customHeight="1"/>
    <row r="18342" ht="15.75" customHeight="1"/>
    <row r="18343" ht="15.75" customHeight="1"/>
    <row r="18344" ht="15.75" customHeight="1"/>
    <row r="18345" ht="15.75" customHeight="1"/>
    <row r="18346" ht="15.75" customHeight="1"/>
    <row r="18347" ht="15.75" customHeight="1"/>
    <row r="18348" ht="15.75" customHeight="1"/>
    <row r="18349" ht="15.75" customHeight="1"/>
    <row r="18350" ht="15.75" customHeight="1"/>
    <row r="18351" ht="15.75" customHeight="1"/>
    <row r="18352" ht="15.75" customHeight="1"/>
    <row r="18353" ht="15.75" customHeight="1"/>
    <row r="18354" ht="15.75" customHeight="1"/>
    <row r="18355" ht="15.75" customHeight="1"/>
    <row r="18356" ht="15.75" customHeight="1"/>
    <row r="18357" ht="15.75" customHeight="1"/>
    <row r="18358" ht="15.75" customHeight="1"/>
    <row r="18359" ht="15.75" customHeight="1"/>
    <row r="18360" ht="15.75" customHeight="1"/>
    <row r="18361" ht="15.75" customHeight="1"/>
    <row r="18362" ht="15.75" customHeight="1"/>
    <row r="18363" ht="15.75" customHeight="1"/>
    <row r="18364" ht="15.75" customHeight="1"/>
    <row r="18365" ht="15.75" customHeight="1"/>
    <row r="18366" ht="15.75" customHeight="1"/>
    <row r="18367" ht="15.75" customHeight="1"/>
    <row r="18368" ht="15.75" customHeight="1"/>
    <row r="18369" ht="15.75" customHeight="1"/>
    <row r="18370" ht="15.75" customHeight="1"/>
    <row r="18371" ht="15.75" customHeight="1"/>
    <row r="18372" ht="15.75" customHeight="1"/>
    <row r="18373" ht="15.75" customHeight="1"/>
    <row r="18374" ht="15.75" customHeight="1"/>
    <row r="18375" ht="15.75" customHeight="1"/>
    <row r="18376" ht="15.75" customHeight="1"/>
    <row r="18377" ht="15.75" customHeight="1"/>
    <row r="18378" ht="15.75" customHeight="1"/>
    <row r="18379" ht="15.75" customHeight="1"/>
    <row r="18380" ht="15.75" customHeight="1"/>
    <row r="18381" ht="15.75" customHeight="1"/>
    <row r="18382" ht="15.75" customHeight="1"/>
    <row r="18383" ht="15.75" customHeight="1"/>
    <row r="18384" ht="15.75" customHeight="1"/>
    <row r="18385" ht="15.75" customHeight="1"/>
    <row r="18386" ht="15.75" customHeight="1"/>
    <row r="18387" ht="15.75" customHeight="1"/>
    <row r="18388" ht="15.75" customHeight="1"/>
    <row r="18389" ht="15.75" customHeight="1"/>
    <row r="18390" ht="15.75" customHeight="1"/>
    <row r="18391" ht="15.75" customHeight="1"/>
    <row r="18392" ht="15.75" customHeight="1"/>
    <row r="18393" ht="15.75" customHeight="1"/>
    <row r="18394" ht="15.75" customHeight="1"/>
    <row r="18395" ht="15.75" customHeight="1"/>
    <row r="18396" ht="15.75" customHeight="1"/>
    <row r="18397" ht="15.75" customHeight="1"/>
    <row r="18398" ht="15.75" customHeight="1"/>
    <row r="18399" ht="15.75" customHeight="1"/>
    <row r="18400" ht="15.75" customHeight="1"/>
    <row r="18401" ht="15.75" customHeight="1"/>
    <row r="18402" ht="15.75" customHeight="1"/>
    <row r="18403" ht="15.75" customHeight="1"/>
    <row r="18404" ht="15.75" customHeight="1"/>
    <row r="18405" ht="15.75" customHeight="1"/>
    <row r="18406" ht="15.75" customHeight="1"/>
    <row r="18407" ht="15.75" customHeight="1"/>
    <row r="18408" ht="15.75" customHeight="1"/>
    <row r="18409" ht="15.75" customHeight="1"/>
    <row r="18410" ht="15.75" customHeight="1"/>
    <row r="18411" ht="15.75" customHeight="1"/>
    <row r="18412" ht="15.75" customHeight="1"/>
    <row r="18413" ht="15.75" customHeight="1"/>
    <row r="18414" ht="15.75" customHeight="1"/>
    <row r="18415" ht="15.75" customHeight="1"/>
    <row r="18416" ht="15.75" customHeight="1"/>
    <row r="18417" ht="15.75" customHeight="1"/>
    <row r="18418" ht="15.75" customHeight="1"/>
    <row r="18419" ht="15.75" customHeight="1"/>
    <row r="18420" ht="15.75" customHeight="1"/>
    <row r="18421" ht="15.75" customHeight="1"/>
    <row r="18422" ht="15.75" customHeight="1"/>
    <row r="18423" ht="15.75" customHeight="1"/>
    <row r="18424" ht="15.75" customHeight="1"/>
    <row r="18425" ht="15.75" customHeight="1"/>
    <row r="18426" ht="15.75" customHeight="1"/>
    <row r="18427" ht="15.75" customHeight="1"/>
    <row r="18428" ht="15.75" customHeight="1"/>
    <row r="18429" ht="15.75" customHeight="1"/>
    <row r="18430" ht="15.75" customHeight="1"/>
    <row r="18431" ht="15.75" customHeight="1"/>
    <row r="18432" ht="15.75" customHeight="1"/>
    <row r="18433" ht="15.75" customHeight="1"/>
    <row r="18434" ht="15.75" customHeight="1"/>
    <row r="18435" ht="15.75" customHeight="1"/>
    <row r="18436" ht="15.75" customHeight="1"/>
    <row r="18437" ht="15.75" customHeight="1"/>
    <row r="18438" ht="15.75" customHeight="1"/>
    <row r="18439" ht="15.75" customHeight="1"/>
    <row r="18440" ht="15.75" customHeight="1"/>
    <row r="18441" ht="15.75" customHeight="1"/>
    <row r="18442" ht="15.75" customHeight="1"/>
    <row r="18443" ht="15.75" customHeight="1"/>
    <row r="18444" ht="15.75" customHeight="1"/>
    <row r="18445" ht="15.75" customHeight="1"/>
    <row r="18446" ht="15.75" customHeight="1"/>
    <row r="18447" ht="15.75" customHeight="1"/>
    <row r="18448" ht="15.75" customHeight="1"/>
    <row r="18449" ht="15.75" customHeight="1"/>
    <row r="18450" ht="15.75" customHeight="1"/>
    <row r="18451" ht="15.75" customHeight="1"/>
    <row r="18452" ht="15.75" customHeight="1"/>
    <row r="18453" ht="15.75" customHeight="1"/>
    <row r="18454" ht="15.75" customHeight="1"/>
    <row r="18455" ht="15.75" customHeight="1"/>
    <row r="18456" ht="15.75" customHeight="1"/>
    <row r="18457" ht="15.75" customHeight="1"/>
    <row r="18458" ht="15.75" customHeight="1"/>
    <row r="18459" ht="15.75" customHeight="1"/>
    <row r="18460" ht="15.75" customHeight="1"/>
    <row r="18461" ht="15.75" customHeight="1"/>
    <row r="18462" ht="15.75" customHeight="1"/>
    <row r="18463" ht="15.75" customHeight="1"/>
    <row r="18464" ht="15.75" customHeight="1"/>
    <row r="18465" ht="15.75" customHeight="1"/>
    <row r="18466" ht="15.75" customHeight="1"/>
    <row r="18467" ht="15.75" customHeight="1"/>
    <row r="18468" ht="15.75" customHeight="1"/>
    <row r="18469" ht="15.75" customHeight="1"/>
    <row r="18470" ht="15.75" customHeight="1"/>
    <row r="18471" ht="15.75" customHeight="1"/>
    <row r="18472" ht="15.75" customHeight="1"/>
    <row r="18473" ht="15.75" customHeight="1"/>
    <row r="18474" ht="15.75" customHeight="1"/>
    <row r="18475" ht="15.75" customHeight="1"/>
    <row r="18476" ht="15.75" customHeight="1"/>
    <row r="18477" ht="15.75" customHeight="1"/>
    <row r="18478" ht="15.75" customHeight="1"/>
    <row r="18479" ht="15.75" customHeight="1"/>
    <row r="18480" ht="15.75" customHeight="1"/>
    <row r="18481" ht="15.75" customHeight="1"/>
    <row r="18482" ht="15.75" customHeight="1"/>
    <row r="18483" ht="15.75" customHeight="1"/>
    <row r="18484" ht="15.75" customHeight="1"/>
    <row r="18485" ht="15.75" customHeight="1"/>
    <row r="18486" ht="15.75" customHeight="1"/>
    <row r="18487" ht="15.75" customHeight="1"/>
    <row r="18488" ht="15.75" customHeight="1"/>
    <row r="18489" ht="15.75" customHeight="1"/>
    <row r="18490" ht="15.75" customHeight="1"/>
    <row r="18491" ht="15.75" customHeight="1"/>
    <row r="18492" ht="15.75" customHeight="1"/>
    <row r="18493" ht="15.75" customHeight="1"/>
    <row r="18494" ht="15.75" customHeight="1"/>
    <row r="18495" ht="15.75" customHeight="1"/>
    <row r="18496" ht="15.75" customHeight="1"/>
    <row r="18497" ht="15.75" customHeight="1"/>
    <row r="18498" ht="15.75" customHeight="1"/>
    <row r="18499" ht="15.75" customHeight="1"/>
    <row r="18500" ht="15.75" customHeight="1"/>
    <row r="18501" ht="15.75" customHeight="1"/>
    <row r="18502" ht="15.75" customHeight="1"/>
    <row r="18503" ht="15.75" customHeight="1"/>
    <row r="18504" ht="15.75" customHeight="1"/>
    <row r="18505" ht="15.75" customHeight="1"/>
    <row r="18506" ht="15.75" customHeight="1"/>
    <row r="18507" ht="15.75" customHeight="1"/>
    <row r="18508" ht="15.75" customHeight="1"/>
    <row r="18509" ht="15.75" customHeight="1"/>
    <row r="18510" ht="15.75" customHeight="1"/>
    <row r="18511" ht="15.75" customHeight="1"/>
    <row r="18512" ht="15.75" customHeight="1"/>
    <row r="18513" ht="15.75" customHeight="1"/>
    <row r="18514" ht="15.75" customHeight="1"/>
    <row r="18515" ht="15.75" customHeight="1"/>
    <row r="18516" ht="15.75" customHeight="1"/>
    <row r="18517" ht="15.75" customHeight="1"/>
    <row r="18518" ht="15.75" customHeight="1"/>
    <row r="18519" ht="15.75" customHeight="1"/>
    <row r="18520" ht="15.75" customHeight="1"/>
    <row r="18521" ht="15.75" customHeight="1"/>
    <row r="18522" ht="15.75" customHeight="1"/>
    <row r="18523" ht="15.75" customHeight="1"/>
    <row r="18524" ht="15.75" customHeight="1"/>
    <row r="18525" ht="15.75" customHeight="1"/>
    <row r="18526" ht="15.75" customHeight="1"/>
    <row r="18527" ht="15.75" customHeight="1"/>
    <row r="18528" ht="15.75" customHeight="1"/>
    <row r="18529" ht="15.75" customHeight="1"/>
    <row r="18530" ht="15.75" customHeight="1"/>
    <row r="18531" ht="15.75" customHeight="1"/>
    <row r="18532" ht="15.75" customHeight="1"/>
    <row r="18533" ht="15.75" customHeight="1"/>
    <row r="18534" ht="15.75" customHeight="1"/>
    <row r="18535" ht="15.75" customHeight="1"/>
    <row r="18536" ht="15.75" customHeight="1"/>
    <row r="18537" ht="15.75" customHeight="1"/>
    <row r="18538" ht="15.75" customHeight="1"/>
    <row r="18539" ht="15.75" customHeight="1"/>
    <row r="18540" ht="15.75" customHeight="1"/>
    <row r="18541" ht="15.75" customHeight="1"/>
    <row r="18542" ht="15.75" customHeight="1"/>
    <row r="18543" ht="15.75" customHeight="1"/>
    <row r="18544" ht="15.75" customHeight="1"/>
    <row r="18545" ht="15.75" customHeight="1"/>
    <row r="18546" ht="15.75" customHeight="1"/>
    <row r="18547" ht="15.75" customHeight="1"/>
    <row r="18548" ht="15.75" customHeight="1"/>
    <row r="18549" ht="15.75" customHeight="1"/>
    <row r="18550" ht="15.75" customHeight="1"/>
    <row r="18551" ht="15.75" customHeight="1"/>
    <row r="18552" ht="15.75" customHeight="1"/>
    <row r="18553" ht="15.75" customHeight="1"/>
    <row r="18554" ht="15.75" customHeight="1"/>
    <row r="18555" ht="15.75" customHeight="1"/>
    <row r="18556" ht="15.75" customHeight="1"/>
    <row r="18557" ht="15.75" customHeight="1"/>
    <row r="18558" ht="15.75" customHeight="1"/>
    <row r="18559" ht="15.75" customHeight="1"/>
    <row r="18560" ht="15.75" customHeight="1"/>
    <row r="18561" ht="15.75" customHeight="1"/>
    <row r="18562" ht="15.75" customHeight="1"/>
    <row r="18563" ht="15.75" customHeight="1"/>
    <row r="18564" ht="15.75" customHeight="1"/>
    <row r="18565" ht="15.75" customHeight="1"/>
    <row r="18566" ht="15.75" customHeight="1"/>
    <row r="18567" ht="15.75" customHeight="1"/>
    <row r="18568" ht="15.75" customHeight="1"/>
    <row r="18569" ht="15.75" customHeight="1"/>
    <row r="18570" ht="15.75" customHeight="1"/>
    <row r="18571" ht="15.75" customHeight="1"/>
    <row r="18572" ht="15.75" customHeight="1"/>
    <row r="18573" ht="15.75" customHeight="1"/>
    <row r="18574" ht="15.75" customHeight="1"/>
    <row r="18575" ht="15.75" customHeight="1"/>
    <row r="18576" ht="15.75" customHeight="1"/>
    <row r="18577" ht="15.75" customHeight="1"/>
    <row r="18578" ht="15.75" customHeight="1"/>
    <row r="18579" ht="15.75" customHeight="1"/>
    <row r="18580" ht="15.75" customHeight="1"/>
    <row r="18581" ht="15.75" customHeight="1"/>
    <row r="18582" ht="15.75" customHeight="1"/>
    <row r="18583" ht="15.75" customHeight="1"/>
    <row r="18584" ht="15.75" customHeight="1"/>
    <row r="18585" ht="15.75" customHeight="1"/>
    <row r="18586" ht="15.75" customHeight="1"/>
    <row r="18587" ht="15.75" customHeight="1"/>
    <row r="18588" ht="15.75" customHeight="1"/>
    <row r="18589" ht="15.75" customHeight="1"/>
    <row r="18590" ht="15.75" customHeight="1"/>
    <row r="18591" ht="15.75" customHeight="1"/>
    <row r="18592" ht="15.75" customHeight="1"/>
    <row r="18593" ht="15.75" customHeight="1"/>
    <row r="18594" ht="15.75" customHeight="1"/>
    <row r="18595" ht="15.75" customHeight="1"/>
    <row r="18596" ht="15.75" customHeight="1"/>
    <row r="18597" ht="15.75" customHeight="1"/>
    <row r="18598" ht="15.75" customHeight="1"/>
    <row r="18599" ht="15.75" customHeight="1"/>
    <row r="18600" ht="15.75" customHeight="1"/>
    <row r="18601" ht="15.75" customHeight="1"/>
    <row r="18602" ht="15.75" customHeight="1"/>
    <row r="18603" ht="15.75" customHeight="1"/>
    <row r="18604" ht="15.75" customHeight="1"/>
    <row r="18605" ht="15.75" customHeight="1"/>
    <row r="18606" ht="15.75" customHeight="1"/>
    <row r="18607" ht="15.75" customHeight="1"/>
    <row r="18608" ht="15.75" customHeight="1"/>
    <row r="18609" ht="15.75" customHeight="1"/>
    <row r="18610" ht="15.75" customHeight="1"/>
    <row r="18611" ht="15.75" customHeight="1"/>
    <row r="18612" ht="15.75" customHeight="1"/>
    <row r="18613" ht="15.75" customHeight="1"/>
    <row r="18614" ht="15.75" customHeight="1"/>
    <row r="18615" ht="15.75" customHeight="1"/>
    <row r="18616" ht="15.75" customHeight="1"/>
    <row r="18617" ht="15.75" customHeight="1"/>
    <row r="18618" ht="15.75" customHeight="1"/>
    <row r="18619" ht="15.75" customHeight="1"/>
    <row r="18620" ht="15.75" customHeight="1"/>
    <row r="18621" ht="15.75" customHeight="1"/>
    <row r="18622" ht="15.75" customHeight="1"/>
    <row r="18623" ht="15.75" customHeight="1"/>
    <row r="18624" ht="15.75" customHeight="1"/>
    <row r="18625" ht="15.75" customHeight="1"/>
    <row r="18626" ht="15.75" customHeight="1"/>
    <row r="18627" ht="15.75" customHeight="1"/>
    <row r="18628" ht="15.75" customHeight="1"/>
    <row r="18629" ht="15.75" customHeight="1"/>
    <row r="18630" ht="15.75" customHeight="1"/>
    <row r="18631" ht="15.75" customHeight="1"/>
    <row r="18632" ht="15.75" customHeight="1"/>
    <row r="18633" ht="15.75" customHeight="1"/>
    <row r="18634" ht="15.75" customHeight="1"/>
    <row r="18635" ht="15.75" customHeight="1"/>
    <row r="18636" ht="15.75" customHeight="1"/>
    <row r="18637" ht="15.75" customHeight="1"/>
    <row r="18638" ht="15.75" customHeight="1"/>
    <row r="18639" ht="15.75" customHeight="1"/>
    <row r="18640" ht="15.75" customHeight="1"/>
    <row r="18641" ht="15.75" customHeight="1"/>
    <row r="18642" ht="15.75" customHeight="1"/>
    <row r="18643" ht="15.75" customHeight="1"/>
    <row r="18644" ht="15.75" customHeight="1"/>
    <row r="18645" ht="15.75" customHeight="1"/>
    <row r="18646" ht="15.75" customHeight="1"/>
    <row r="18647" ht="15.75" customHeight="1"/>
    <row r="18648" ht="15.75" customHeight="1"/>
    <row r="18649" ht="15.75" customHeight="1"/>
    <row r="18650" ht="15.75" customHeight="1"/>
    <row r="18651" ht="15.75" customHeight="1"/>
    <row r="18652" ht="15.75" customHeight="1"/>
    <row r="18653" ht="15.75" customHeight="1"/>
    <row r="18654" ht="15.75" customHeight="1"/>
    <row r="18655" ht="15.75" customHeight="1"/>
    <row r="18656" ht="15.75" customHeight="1"/>
    <row r="18657" ht="15.75" customHeight="1"/>
    <row r="18658" ht="15.75" customHeight="1"/>
    <row r="18659" ht="15.75" customHeight="1"/>
    <row r="18660" ht="15.75" customHeight="1"/>
    <row r="18661" ht="15.75" customHeight="1"/>
    <row r="18662" ht="15.75" customHeight="1"/>
    <row r="18663" ht="15.75" customHeight="1"/>
    <row r="18664" ht="15.75" customHeight="1"/>
    <row r="18665" ht="15.75" customHeight="1"/>
    <row r="18666" ht="15.75" customHeight="1"/>
    <row r="18667" ht="15.75" customHeight="1"/>
    <row r="18668" ht="15.75" customHeight="1"/>
    <row r="18669" ht="15.75" customHeight="1"/>
    <row r="18670" ht="15.75" customHeight="1"/>
    <row r="18671" ht="15.75" customHeight="1"/>
    <row r="18672" ht="15.75" customHeight="1"/>
    <row r="18673" ht="15.75" customHeight="1"/>
    <row r="18674" ht="15.75" customHeight="1"/>
    <row r="18675" ht="15.75" customHeight="1"/>
    <row r="18676" ht="15.75" customHeight="1"/>
    <row r="18677" ht="15.75" customHeight="1"/>
    <row r="18678" ht="15.75" customHeight="1"/>
    <row r="18679" ht="15.75" customHeight="1"/>
    <row r="18680" ht="15.75" customHeight="1"/>
    <row r="18681" ht="15.75" customHeight="1"/>
    <row r="18682" ht="15.75" customHeight="1"/>
    <row r="18683" ht="15.75" customHeight="1"/>
    <row r="18684" ht="15.75" customHeight="1"/>
    <row r="18685" ht="15.75" customHeight="1"/>
    <row r="18686" ht="15.75" customHeight="1"/>
    <row r="18687" ht="15.75" customHeight="1"/>
    <row r="18688" ht="15.75" customHeight="1"/>
    <row r="18689" ht="15.75" customHeight="1"/>
    <row r="18690" ht="15.75" customHeight="1"/>
    <row r="18691" ht="15.75" customHeight="1"/>
    <row r="18692" ht="15.75" customHeight="1"/>
    <row r="18693" ht="15.75" customHeight="1"/>
    <row r="18694" ht="15.75" customHeight="1"/>
    <row r="18695" ht="15.75" customHeight="1"/>
    <row r="18696" ht="15.75" customHeight="1"/>
    <row r="18697" ht="15.75" customHeight="1"/>
    <row r="18698" ht="15.75" customHeight="1"/>
    <row r="18699" ht="15.75" customHeight="1"/>
    <row r="18700" ht="15.75" customHeight="1"/>
    <row r="18701" ht="15.75" customHeight="1"/>
    <row r="18702" ht="15.75" customHeight="1"/>
    <row r="18703" ht="15.75" customHeight="1"/>
    <row r="18704" ht="15.75" customHeight="1"/>
    <row r="18705" ht="15.75" customHeight="1"/>
    <row r="18706" ht="15.75" customHeight="1"/>
    <row r="18707" ht="15.75" customHeight="1"/>
    <row r="18708" ht="15.75" customHeight="1"/>
    <row r="18709" ht="15.75" customHeight="1"/>
    <row r="18710" ht="15.75" customHeight="1"/>
    <row r="18711" ht="15.75" customHeight="1"/>
    <row r="18712" ht="15.75" customHeight="1"/>
    <row r="18713" ht="15.75" customHeight="1"/>
    <row r="18714" ht="15.75" customHeight="1"/>
    <row r="18715" ht="15.75" customHeight="1"/>
    <row r="18716" ht="15.75" customHeight="1"/>
    <row r="18717" ht="15.75" customHeight="1"/>
    <row r="18718" ht="15.75" customHeight="1"/>
    <row r="18719" ht="15.75" customHeight="1"/>
    <row r="18720" ht="15.75" customHeight="1"/>
    <row r="18721" ht="15.75" customHeight="1"/>
    <row r="18722" ht="15.75" customHeight="1"/>
    <row r="18723" ht="15.75" customHeight="1"/>
    <row r="18724" ht="15.75" customHeight="1"/>
    <row r="18725" ht="15.75" customHeight="1"/>
    <row r="18726" ht="15.75" customHeight="1"/>
    <row r="18727" ht="15.75" customHeight="1"/>
    <row r="18728" ht="15.75" customHeight="1"/>
    <row r="18729" ht="15.75" customHeight="1"/>
    <row r="18730" ht="15.75" customHeight="1"/>
    <row r="18731" ht="15.75" customHeight="1"/>
    <row r="18732" ht="15.75" customHeight="1"/>
    <row r="18733" ht="15.75" customHeight="1"/>
    <row r="18734" ht="15.75" customHeight="1"/>
    <row r="18735" ht="15.75" customHeight="1"/>
    <row r="18736" ht="15.75" customHeight="1"/>
    <row r="18737" ht="15.75" customHeight="1"/>
    <row r="18738" ht="15.75" customHeight="1"/>
    <row r="18739" ht="15.75" customHeight="1"/>
    <row r="18740" ht="15.75" customHeight="1"/>
    <row r="18741" ht="15.75" customHeight="1"/>
    <row r="18742" ht="15.75" customHeight="1"/>
    <row r="18743" ht="15.75" customHeight="1"/>
    <row r="18744" ht="15.75" customHeight="1"/>
    <row r="18745" ht="15.75" customHeight="1"/>
    <row r="18746" ht="15.75" customHeight="1"/>
    <row r="18747" ht="15.75" customHeight="1"/>
    <row r="18748" ht="15.75" customHeight="1"/>
    <row r="18749" ht="15.75" customHeight="1"/>
    <row r="18750" ht="15.75" customHeight="1"/>
    <row r="18751" ht="15.75" customHeight="1"/>
    <row r="18752" ht="15.75" customHeight="1"/>
    <row r="18753" ht="15.75" customHeight="1"/>
    <row r="18754" ht="15.75" customHeight="1"/>
    <row r="18755" ht="15.75" customHeight="1"/>
    <row r="18756" ht="15.75" customHeight="1"/>
    <row r="18757" ht="15.75" customHeight="1"/>
    <row r="18758" ht="15.75" customHeight="1"/>
    <row r="18759" ht="15.75" customHeight="1"/>
    <row r="18760" ht="15.75" customHeight="1"/>
    <row r="18761" ht="15.75" customHeight="1"/>
    <row r="18762" ht="15.75" customHeight="1"/>
    <row r="18763" ht="15.75" customHeight="1"/>
    <row r="18764" ht="15.75" customHeight="1"/>
    <row r="18765" ht="15.75" customHeight="1"/>
    <row r="18766" ht="15.75" customHeight="1"/>
    <row r="18767" ht="15.75" customHeight="1"/>
    <row r="18768" ht="15.75" customHeight="1"/>
    <row r="18769" ht="15.75" customHeight="1"/>
    <row r="18770" ht="15.75" customHeight="1"/>
    <row r="18771" ht="15.75" customHeight="1"/>
    <row r="18772" ht="15.75" customHeight="1"/>
    <row r="18773" ht="15.75" customHeight="1"/>
    <row r="18774" ht="15.75" customHeight="1"/>
    <row r="18775" ht="15.75" customHeight="1"/>
    <row r="18776" ht="15.75" customHeight="1"/>
    <row r="18777" ht="15.75" customHeight="1"/>
    <row r="18778" ht="15.75" customHeight="1"/>
    <row r="18779" ht="15.75" customHeight="1"/>
    <row r="18780" ht="15.75" customHeight="1"/>
    <row r="18781" ht="15.75" customHeight="1"/>
    <row r="18782" ht="15.75" customHeight="1"/>
    <row r="18783" ht="15.75" customHeight="1"/>
    <row r="18784" ht="15.75" customHeight="1"/>
    <row r="18785" ht="15.75" customHeight="1"/>
    <row r="18786" ht="15.75" customHeight="1"/>
    <row r="18787" ht="15.75" customHeight="1"/>
    <row r="18788" ht="15.75" customHeight="1"/>
    <row r="18789" ht="15.75" customHeight="1"/>
    <row r="18790" ht="15.75" customHeight="1"/>
    <row r="18791" ht="15.75" customHeight="1"/>
    <row r="18792" ht="15.75" customHeight="1"/>
    <row r="18793" ht="15.75" customHeight="1"/>
    <row r="18794" ht="15.75" customHeight="1"/>
    <row r="18795" ht="15.75" customHeight="1"/>
    <row r="18796" ht="15.75" customHeight="1"/>
    <row r="18797" ht="15.75" customHeight="1"/>
    <row r="18798" ht="15.75" customHeight="1"/>
    <row r="18799" ht="15.75" customHeight="1"/>
    <row r="18800" ht="15.75" customHeight="1"/>
    <row r="18801" ht="15.75" customHeight="1"/>
    <row r="18802" ht="15.75" customHeight="1"/>
    <row r="18803" ht="15.75" customHeight="1"/>
    <row r="18804" ht="15.75" customHeight="1"/>
    <row r="18805" ht="15.75" customHeight="1"/>
    <row r="18806" ht="15.75" customHeight="1"/>
    <row r="18807" ht="15.75" customHeight="1"/>
    <row r="18808" ht="15.75" customHeight="1"/>
    <row r="18809" ht="15.75" customHeight="1"/>
    <row r="18810" ht="15.75" customHeight="1"/>
    <row r="18811" ht="15.75" customHeight="1"/>
    <row r="18812" ht="15.75" customHeight="1"/>
    <row r="18813" ht="15.75" customHeight="1"/>
    <row r="18814" ht="15.75" customHeight="1"/>
    <row r="18815" ht="15.75" customHeight="1"/>
    <row r="18816" ht="15.75" customHeight="1"/>
    <row r="18817" ht="15.75" customHeight="1"/>
    <row r="18818" ht="15.75" customHeight="1"/>
    <row r="18819" ht="15.75" customHeight="1"/>
    <row r="18820" ht="15.75" customHeight="1"/>
    <row r="18821" ht="15.75" customHeight="1"/>
    <row r="18822" ht="15.75" customHeight="1"/>
    <row r="18823" ht="15.75" customHeight="1"/>
    <row r="18824" ht="15.75" customHeight="1"/>
    <row r="18825" ht="15.75" customHeight="1"/>
    <row r="18826" ht="15.75" customHeight="1"/>
    <row r="18827" ht="15.75" customHeight="1"/>
    <row r="18828" ht="15.75" customHeight="1"/>
    <row r="18829" ht="15.75" customHeight="1"/>
    <row r="18830" ht="15.75" customHeight="1"/>
    <row r="18831" ht="15.75" customHeight="1"/>
    <row r="18832" ht="15.75" customHeight="1"/>
    <row r="18833" ht="15.75" customHeight="1"/>
    <row r="18834" ht="15.75" customHeight="1"/>
    <row r="18835" ht="15.75" customHeight="1"/>
    <row r="18836" ht="15.75" customHeight="1"/>
    <row r="18837" ht="15.75" customHeight="1"/>
    <row r="18838" ht="15.75" customHeight="1"/>
    <row r="18839" ht="15.75" customHeight="1"/>
    <row r="18840" ht="15.75" customHeight="1"/>
    <row r="18841" ht="15.75" customHeight="1"/>
    <row r="18842" ht="15.75" customHeight="1"/>
    <row r="18843" ht="15.75" customHeight="1"/>
    <row r="18844" ht="15.75" customHeight="1"/>
    <row r="18845" ht="15.75" customHeight="1"/>
    <row r="18846" ht="15.75" customHeight="1"/>
    <row r="18847" ht="15.75" customHeight="1"/>
    <row r="18848" ht="15.75" customHeight="1"/>
    <row r="18849" ht="15.75" customHeight="1"/>
    <row r="18850" ht="15.75" customHeight="1"/>
    <row r="18851" ht="15.75" customHeight="1"/>
    <row r="18852" ht="15.75" customHeight="1"/>
    <row r="18853" ht="15.75" customHeight="1"/>
    <row r="18854" ht="15.75" customHeight="1"/>
    <row r="18855" ht="15.75" customHeight="1"/>
    <row r="18856" ht="15.75" customHeight="1"/>
    <row r="18857" ht="15.75" customHeight="1"/>
    <row r="18858" ht="15.75" customHeight="1"/>
    <row r="18859" ht="15.75" customHeight="1"/>
    <row r="18860" ht="15.75" customHeight="1"/>
    <row r="18861" ht="15.75" customHeight="1"/>
    <row r="18862" ht="15.75" customHeight="1"/>
    <row r="18863" ht="15.75" customHeight="1"/>
    <row r="18864" ht="15.75" customHeight="1"/>
    <row r="18865" ht="15.75" customHeight="1"/>
    <row r="18866" ht="15.75" customHeight="1"/>
    <row r="18867" ht="15.75" customHeight="1"/>
    <row r="18868" ht="15.75" customHeight="1"/>
    <row r="18869" ht="15.75" customHeight="1"/>
    <row r="18870" ht="15.75" customHeight="1"/>
    <row r="18871" ht="15.75" customHeight="1"/>
    <row r="18872" ht="15.75" customHeight="1"/>
    <row r="18873" ht="15.75" customHeight="1"/>
    <row r="18874" ht="15.75" customHeight="1"/>
    <row r="18875" ht="15.75" customHeight="1"/>
    <row r="18876" ht="15.75" customHeight="1"/>
    <row r="18877" ht="15.75" customHeight="1"/>
    <row r="18878" ht="15.75" customHeight="1"/>
    <row r="18879" ht="15.75" customHeight="1"/>
    <row r="18880" ht="15.75" customHeight="1"/>
    <row r="18881" ht="15.75" customHeight="1"/>
    <row r="18882" ht="15.75" customHeight="1"/>
    <row r="18883" ht="15.75" customHeight="1"/>
    <row r="18884" ht="15.75" customHeight="1"/>
    <row r="18885" ht="15.75" customHeight="1"/>
    <row r="18886" ht="15.75" customHeight="1"/>
    <row r="18887" ht="15.75" customHeight="1"/>
    <row r="18888" ht="15.75" customHeight="1"/>
    <row r="18889" ht="15.75" customHeight="1"/>
    <row r="18890" ht="15.75" customHeight="1"/>
    <row r="18891" ht="15.75" customHeight="1"/>
    <row r="18892" ht="15.75" customHeight="1"/>
    <row r="18893" ht="15.75" customHeight="1"/>
    <row r="18894" ht="15.75" customHeight="1"/>
    <row r="18895" ht="15.75" customHeight="1"/>
    <row r="18896" ht="15.75" customHeight="1"/>
    <row r="18897" ht="15.75" customHeight="1"/>
    <row r="18898" ht="15.75" customHeight="1"/>
    <row r="18899" ht="15.75" customHeight="1"/>
    <row r="18900" ht="15.75" customHeight="1"/>
    <row r="18901" ht="15.75" customHeight="1"/>
    <row r="18902" ht="15.75" customHeight="1"/>
    <row r="18903" ht="15.75" customHeight="1"/>
    <row r="18904" ht="15.75" customHeight="1"/>
    <row r="18905" ht="15.75" customHeight="1"/>
    <row r="18906" ht="15.75" customHeight="1"/>
    <row r="18907" ht="15.75" customHeight="1"/>
    <row r="18908" ht="15.75" customHeight="1"/>
    <row r="18909" ht="15.75" customHeight="1"/>
    <row r="18910" ht="15.75" customHeight="1"/>
    <row r="18911" ht="15.75" customHeight="1"/>
    <row r="18912" ht="15.75" customHeight="1"/>
    <row r="18913" ht="15.75" customHeight="1"/>
    <row r="18914" ht="15.75" customHeight="1"/>
    <row r="18915" ht="15.75" customHeight="1"/>
    <row r="18916" ht="15.75" customHeight="1"/>
    <row r="18917" ht="15.75" customHeight="1"/>
    <row r="18918" ht="15.75" customHeight="1"/>
    <row r="18919" ht="15.75" customHeight="1"/>
    <row r="18920" ht="15.75" customHeight="1"/>
    <row r="18921" ht="15.75" customHeight="1"/>
    <row r="18922" ht="15.75" customHeight="1"/>
    <row r="18923" ht="15.75" customHeight="1"/>
    <row r="18924" ht="15.75" customHeight="1"/>
    <row r="18925" ht="15.75" customHeight="1"/>
    <row r="18926" ht="15.75" customHeight="1"/>
    <row r="18927" ht="15.75" customHeight="1"/>
    <row r="18928" ht="15.75" customHeight="1"/>
    <row r="18929" ht="15.75" customHeight="1"/>
    <row r="18930" ht="15.75" customHeight="1"/>
    <row r="18931" ht="15.75" customHeight="1"/>
    <row r="18932" ht="15.75" customHeight="1"/>
    <row r="18933" ht="15.75" customHeight="1"/>
    <row r="18934" ht="15.75" customHeight="1"/>
    <row r="18935" ht="15.75" customHeight="1"/>
    <row r="18936" ht="15.75" customHeight="1"/>
    <row r="18937" ht="15.75" customHeight="1"/>
    <row r="18938" ht="15.75" customHeight="1"/>
    <row r="18939" ht="15.75" customHeight="1"/>
    <row r="18940" ht="15.75" customHeight="1"/>
    <row r="18941" ht="15.75" customHeight="1"/>
    <row r="18942" ht="15.75" customHeight="1"/>
    <row r="18943" ht="15.75" customHeight="1"/>
    <row r="18944" ht="15.75" customHeight="1"/>
    <row r="18945" ht="15.75" customHeight="1"/>
    <row r="18946" ht="15.75" customHeight="1"/>
    <row r="18947" ht="15.75" customHeight="1"/>
    <row r="18948" ht="15.75" customHeight="1"/>
    <row r="18949" ht="15.75" customHeight="1"/>
    <row r="18950" ht="15.75" customHeight="1"/>
    <row r="18951" ht="15.75" customHeight="1"/>
    <row r="18952" ht="15.75" customHeight="1"/>
    <row r="18953" ht="15.75" customHeight="1"/>
    <row r="18954" ht="15.75" customHeight="1"/>
    <row r="18955" ht="15.75" customHeight="1"/>
    <row r="18956" ht="15.75" customHeight="1"/>
    <row r="18957" ht="15.75" customHeight="1"/>
    <row r="18958" ht="15.75" customHeight="1"/>
    <row r="18959" ht="15.75" customHeight="1"/>
    <row r="18960" ht="15.75" customHeight="1"/>
    <row r="18961" ht="15.75" customHeight="1"/>
    <row r="18962" ht="15.75" customHeight="1"/>
    <row r="18963" ht="15.75" customHeight="1"/>
    <row r="18964" ht="15.75" customHeight="1"/>
    <row r="18965" ht="15.75" customHeight="1"/>
    <row r="18966" ht="15.75" customHeight="1"/>
    <row r="18967" ht="15.75" customHeight="1"/>
    <row r="18968" ht="15.75" customHeight="1"/>
    <row r="18969" ht="15.75" customHeight="1"/>
    <row r="18970" ht="15.75" customHeight="1"/>
    <row r="18971" ht="15.75" customHeight="1"/>
    <row r="18972" ht="15.75" customHeight="1"/>
    <row r="18973" ht="15.75" customHeight="1"/>
    <row r="18974" ht="15.75" customHeight="1"/>
    <row r="18975" ht="15.75" customHeight="1"/>
    <row r="18976" ht="15.75" customHeight="1"/>
    <row r="18977" ht="15.75" customHeight="1"/>
    <row r="18978" ht="15.75" customHeight="1"/>
    <row r="18979" ht="15.75" customHeight="1"/>
    <row r="18980" ht="15.75" customHeight="1"/>
    <row r="18981" ht="15.75" customHeight="1"/>
    <row r="18982" ht="15.75" customHeight="1"/>
    <row r="18983" ht="15.75" customHeight="1"/>
    <row r="18984" ht="15.75" customHeight="1"/>
    <row r="18985" ht="15.75" customHeight="1"/>
    <row r="18986" ht="15.75" customHeight="1"/>
    <row r="18987" ht="15.75" customHeight="1"/>
    <row r="18988" ht="15.75" customHeight="1"/>
    <row r="18989" ht="15.75" customHeight="1"/>
    <row r="18990" ht="15.75" customHeight="1"/>
    <row r="18991" ht="15.75" customHeight="1"/>
    <row r="18992" ht="15.75" customHeight="1"/>
    <row r="18993" ht="15.75" customHeight="1"/>
    <row r="18994" ht="15.75" customHeight="1"/>
    <row r="18995" ht="15.75" customHeight="1"/>
    <row r="18996" ht="15.75" customHeight="1"/>
    <row r="18997" ht="15.75" customHeight="1"/>
    <row r="18998" ht="15.75" customHeight="1"/>
    <row r="18999" ht="15.75" customHeight="1"/>
    <row r="19000" ht="15.75" customHeight="1"/>
    <row r="19001" ht="15.75" customHeight="1"/>
    <row r="19002" ht="15.75" customHeight="1"/>
    <row r="19003" ht="15.75" customHeight="1"/>
    <row r="19004" ht="15.75" customHeight="1"/>
    <row r="19005" ht="15.75" customHeight="1"/>
    <row r="19006" ht="15.75" customHeight="1"/>
    <row r="19007" ht="15.75" customHeight="1"/>
    <row r="19008" ht="15.75" customHeight="1"/>
    <row r="19009" ht="15.75" customHeight="1"/>
    <row r="19010" ht="15.75" customHeight="1"/>
    <row r="19011" ht="15.75" customHeight="1"/>
    <row r="19012" ht="15.75" customHeight="1"/>
    <row r="19013" ht="15.75" customHeight="1"/>
    <row r="19014" ht="15.75" customHeight="1"/>
    <row r="19015" ht="15.75" customHeight="1"/>
    <row r="19016" ht="15.75" customHeight="1"/>
    <row r="19017" ht="15.75" customHeight="1"/>
    <row r="19018" ht="15.75" customHeight="1"/>
    <row r="19019" ht="15.75" customHeight="1"/>
    <row r="19020" ht="15.75" customHeight="1"/>
    <row r="19021" ht="15.75" customHeight="1"/>
    <row r="19022" ht="15.75" customHeight="1"/>
    <row r="19023" ht="15.75" customHeight="1"/>
    <row r="19024" ht="15.75" customHeight="1"/>
    <row r="19025" ht="15.75" customHeight="1"/>
    <row r="19026" ht="15.75" customHeight="1"/>
    <row r="19027" ht="15.75" customHeight="1"/>
    <row r="19028" ht="15.75" customHeight="1"/>
    <row r="19029" ht="15.75" customHeight="1"/>
    <row r="19030" ht="15.75" customHeight="1"/>
    <row r="19031" ht="15.75" customHeight="1"/>
    <row r="19032" ht="15.75" customHeight="1"/>
    <row r="19033" ht="15.75" customHeight="1"/>
    <row r="19034" ht="15.75" customHeight="1"/>
    <row r="19035" ht="15.75" customHeight="1"/>
    <row r="19036" ht="15.75" customHeight="1"/>
    <row r="19037" ht="15.75" customHeight="1"/>
    <row r="19038" ht="15.75" customHeight="1"/>
    <row r="19039" ht="15.75" customHeight="1"/>
    <row r="19040" ht="15.75" customHeight="1"/>
    <row r="19041" ht="15.75" customHeight="1"/>
    <row r="19042" ht="15.75" customHeight="1"/>
    <row r="19043" ht="15.75" customHeight="1"/>
    <row r="19044" ht="15.75" customHeight="1"/>
    <row r="19045" ht="15.75" customHeight="1"/>
    <row r="19046" ht="15.75" customHeight="1"/>
    <row r="19047" ht="15.75" customHeight="1"/>
    <row r="19048" ht="15.75" customHeight="1"/>
    <row r="19049" ht="15.75" customHeight="1"/>
    <row r="19050" ht="15.75" customHeight="1"/>
    <row r="19051" ht="15.75" customHeight="1"/>
    <row r="19052" ht="15.75" customHeight="1"/>
    <row r="19053" ht="15.75" customHeight="1"/>
    <row r="19054" ht="15.75" customHeight="1"/>
    <row r="19055" ht="15.75" customHeight="1"/>
    <row r="19056" ht="15.75" customHeight="1"/>
    <row r="19057" ht="15.75" customHeight="1"/>
    <row r="19058" ht="15.75" customHeight="1"/>
    <row r="19059" ht="15.75" customHeight="1"/>
    <row r="19060" ht="15.75" customHeight="1"/>
    <row r="19061" ht="15.75" customHeight="1"/>
    <row r="19062" ht="15.75" customHeight="1"/>
    <row r="19063" ht="15.75" customHeight="1"/>
    <row r="19064" ht="15.75" customHeight="1"/>
    <row r="19065" ht="15.75" customHeight="1"/>
    <row r="19066" ht="15.75" customHeight="1"/>
    <row r="19067" ht="15.75" customHeight="1"/>
    <row r="19068" ht="15.75" customHeight="1"/>
    <row r="19069" ht="15.75" customHeight="1"/>
    <row r="19070" ht="15.75" customHeight="1"/>
    <row r="19071" ht="15.75" customHeight="1"/>
    <row r="19072" ht="15.75" customHeight="1"/>
    <row r="19073" ht="15.75" customHeight="1"/>
    <row r="19074" ht="15.75" customHeight="1"/>
    <row r="19075" ht="15.75" customHeight="1"/>
    <row r="19076" ht="15.75" customHeight="1"/>
    <row r="19077" ht="15.75" customHeight="1"/>
    <row r="19078" ht="15.75" customHeight="1"/>
    <row r="19079" ht="15.75" customHeight="1"/>
    <row r="19080" ht="15.75" customHeight="1"/>
    <row r="19081" ht="15.75" customHeight="1"/>
    <row r="19082" ht="15.75" customHeight="1"/>
    <row r="19083" ht="15.75" customHeight="1"/>
    <row r="19084" ht="15.75" customHeight="1"/>
    <row r="19085" ht="15.75" customHeight="1"/>
    <row r="19086" ht="15.75" customHeight="1"/>
    <row r="19087" ht="15.75" customHeight="1"/>
    <row r="19088" ht="15.75" customHeight="1"/>
    <row r="19089" ht="15.75" customHeight="1"/>
    <row r="19090" ht="15.75" customHeight="1"/>
    <row r="19091" ht="15.75" customHeight="1"/>
    <row r="19092" ht="15.75" customHeight="1"/>
    <row r="19093" ht="15.75" customHeight="1"/>
    <row r="19094" ht="15.75" customHeight="1"/>
    <row r="19095" ht="15.75" customHeight="1"/>
    <row r="19096" ht="15.75" customHeight="1"/>
    <row r="19097" ht="15.75" customHeight="1"/>
    <row r="19098" ht="15.75" customHeight="1"/>
    <row r="19099" ht="15.75" customHeight="1"/>
    <row r="19100" ht="15.75" customHeight="1"/>
    <row r="19101" ht="15.75" customHeight="1"/>
    <row r="19102" ht="15.75" customHeight="1"/>
    <row r="19103" ht="15.75" customHeight="1"/>
    <row r="19104" ht="15.75" customHeight="1"/>
    <row r="19105" ht="15.75" customHeight="1"/>
    <row r="19106" ht="15.75" customHeight="1"/>
    <row r="19107" ht="15.75" customHeight="1"/>
    <row r="19108" ht="15.75" customHeight="1"/>
    <row r="19109" ht="15.75" customHeight="1"/>
    <row r="19110" ht="15.75" customHeight="1"/>
    <row r="19111" ht="15.75" customHeight="1"/>
    <row r="19112" ht="15.75" customHeight="1"/>
    <row r="19113" ht="15.75" customHeight="1"/>
    <row r="19114" ht="15.75" customHeight="1"/>
    <row r="19115" ht="15.75" customHeight="1"/>
    <row r="19116" ht="15.75" customHeight="1"/>
    <row r="19117" ht="15.75" customHeight="1"/>
    <row r="19118" ht="15.75" customHeight="1"/>
    <row r="19119" ht="15.75" customHeight="1"/>
    <row r="19120" ht="15.75" customHeight="1"/>
    <row r="19121" ht="15.75" customHeight="1"/>
    <row r="19122" ht="15.75" customHeight="1"/>
    <row r="19123" ht="15.75" customHeight="1"/>
    <row r="19124" ht="15.75" customHeight="1"/>
    <row r="19125" ht="15.75" customHeight="1"/>
    <row r="19126" ht="15.75" customHeight="1"/>
    <row r="19127" ht="15.75" customHeight="1"/>
    <row r="19128" ht="15.75" customHeight="1"/>
    <row r="19129" ht="15.75" customHeight="1"/>
    <row r="19130" ht="15.75" customHeight="1"/>
    <row r="19131" ht="15.75" customHeight="1"/>
    <row r="19132" ht="15.75" customHeight="1"/>
    <row r="19133" ht="15.75" customHeight="1"/>
    <row r="19134" ht="15.75" customHeight="1"/>
    <row r="19135" ht="15.75" customHeight="1"/>
    <row r="19136" ht="15.75" customHeight="1"/>
    <row r="19137" ht="15.75" customHeight="1"/>
    <row r="19138" ht="15.75" customHeight="1"/>
    <row r="19139" ht="15.75" customHeight="1"/>
    <row r="19140" ht="15.75" customHeight="1"/>
    <row r="19141" ht="15.75" customHeight="1"/>
    <row r="19142" ht="15.75" customHeight="1"/>
    <row r="19143" ht="15.75" customHeight="1"/>
    <row r="19144" ht="15.75" customHeight="1"/>
    <row r="19145" ht="15.75" customHeight="1"/>
    <row r="19146" ht="15.75" customHeight="1"/>
    <row r="19147" ht="15.75" customHeight="1"/>
    <row r="19148" ht="15.75" customHeight="1"/>
    <row r="19149" ht="15.75" customHeight="1"/>
    <row r="19150" ht="15.75" customHeight="1"/>
    <row r="19151" ht="15.75" customHeight="1"/>
    <row r="19152" ht="15.75" customHeight="1"/>
    <row r="19153" ht="15.75" customHeight="1"/>
    <row r="19154" ht="15.75" customHeight="1"/>
    <row r="19155" ht="15.75" customHeight="1"/>
    <row r="19156" ht="15.75" customHeight="1"/>
    <row r="19157" ht="15.75" customHeight="1"/>
    <row r="19158" ht="15.75" customHeight="1"/>
    <row r="19159" ht="15.75" customHeight="1"/>
    <row r="19160" ht="15.75" customHeight="1"/>
    <row r="19161" ht="15.75" customHeight="1"/>
    <row r="19162" ht="15.75" customHeight="1"/>
    <row r="19163" ht="15.75" customHeight="1"/>
    <row r="19164" ht="15.75" customHeight="1"/>
    <row r="19165" ht="15.75" customHeight="1"/>
    <row r="19166" ht="15.75" customHeight="1"/>
    <row r="19167" ht="15.75" customHeight="1"/>
    <row r="19168" ht="15.75" customHeight="1"/>
    <row r="19169" ht="15.75" customHeight="1"/>
    <row r="19170" ht="15.75" customHeight="1"/>
    <row r="19171" ht="15.75" customHeight="1"/>
    <row r="19172" ht="15.75" customHeight="1"/>
    <row r="19173" ht="15.75" customHeight="1"/>
    <row r="19174" ht="15.75" customHeight="1"/>
    <row r="19175" ht="15.75" customHeight="1"/>
    <row r="19176" ht="15.75" customHeight="1"/>
    <row r="19177" ht="15.75" customHeight="1"/>
    <row r="19178" ht="15.75" customHeight="1"/>
    <row r="19179" ht="15.75" customHeight="1"/>
    <row r="19180" ht="15.75" customHeight="1"/>
    <row r="19181" ht="15.75" customHeight="1"/>
    <row r="19182" ht="15.75" customHeight="1"/>
    <row r="19183" ht="15.75" customHeight="1"/>
    <row r="19184" ht="15.75" customHeight="1"/>
    <row r="19185" ht="15.75" customHeight="1"/>
    <row r="19186" ht="15.75" customHeight="1"/>
    <row r="19187" ht="15.75" customHeight="1"/>
    <row r="19188" ht="15.75" customHeight="1"/>
    <row r="19189" ht="15.75" customHeight="1"/>
    <row r="19190" ht="15.75" customHeight="1"/>
    <row r="19191" ht="15.75" customHeight="1"/>
    <row r="19192" ht="15.75" customHeight="1"/>
    <row r="19193" ht="15.75" customHeight="1"/>
    <row r="19194" ht="15.75" customHeight="1"/>
    <row r="19195" ht="15.75" customHeight="1"/>
    <row r="19196" ht="15.75" customHeight="1"/>
    <row r="19197" ht="15.75" customHeight="1"/>
    <row r="19198" ht="15.75" customHeight="1"/>
    <row r="19199" ht="15.75" customHeight="1"/>
    <row r="19200" ht="15.75" customHeight="1"/>
    <row r="19201" ht="15.75" customHeight="1"/>
    <row r="19202" ht="15.75" customHeight="1"/>
    <row r="19203" ht="15.75" customHeight="1"/>
    <row r="19204" ht="15.75" customHeight="1"/>
    <row r="19205" ht="15.75" customHeight="1"/>
    <row r="19206" ht="15.75" customHeight="1"/>
    <row r="19207" ht="15.75" customHeight="1"/>
    <row r="19208" ht="15.75" customHeight="1"/>
    <row r="19209" ht="15.75" customHeight="1"/>
    <row r="19210" ht="15.75" customHeight="1"/>
    <row r="19211" ht="15.75" customHeight="1"/>
    <row r="19212" ht="15.75" customHeight="1"/>
    <row r="19213" ht="15.75" customHeight="1"/>
    <row r="19214" ht="15.75" customHeight="1"/>
    <row r="19215" ht="15.75" customHeight="1"/>
    <row r="19216" ht="15.75" customHeight="1"/>
    <row r="19217" ht="15.75" customHeight="1"/>
    <row r="19218" ht="15.75" customHeight="1"/>
    <row r="19219" ht="15.75" customHeight="1"/>
    <row r="19220" ht="15.75" customHeight="1"/>
    <row r="19221" ht="15.75" customHeight="1"/>
    <row r="19222" ht="15.75" customHeight="1"/>
    <row r="19223" ht="15.75" customHeight="1"/>
    <row r="19224" ht="15.75" customHeight="1"/>
    <row r="19225" ht="15.75" customHeight="1"/>
    <row r="19226" ht="15.75" customHeight="1"/>
    <row r="19227" ht="15.75" customHeight="1"/>
    <row r="19228" ht="15.75" customHeight="1"/>
    <row r="19229" ht="15.75" customHeight="1"/>
    <row r="19230" ht="15.75" customHeight="1"/>
    <row r="19231" ht="15.75" customHeight="1"/>
    <row r="19232" ht="15.75" customHeight="1"/>
    <row r="19233" ht="15.75" customHeight="1"/>
    <row r="19234" ht="15.75" customHeight="1"/>
    <row r="19235" ht="15.75" customHeight="1"/>
    <row r="19236" ht="15.75" customHeight="1"/>
    <row r="19237" ht="15.75" customHeight="1"/>
    <row r="19238" ht="15.75" customHeight="1"/>
    <row r="19239" ht="15.75" customHeight="1"/>
    <row r="19240" ht="15.75" customHeight="1"/>
    <row r="19241" ht="15.75" customHeight="1"/>
    <row r="19242" ht="15.75" customHeight="1"/>
    <row r="19243" ht="15.75" customHeight="1"/>
    <row r="19244" ht="15.75" customHeight="1"/>
    <row r="19245" ht="15.75" customHeight="1"/>
    <row r="19246" ht="15.75" customHeight="1"/>
    <row r="19247" ht="15.75" customHeight="1"/>
    <row r="19248" ht="15.75" customHeight="1"/>
    <row r="19249" ht="15.75" customHeight="1"/>
    <row r="19250" ht="15.75" customHeight="1"/>
    <row r="19251" ht="15.75" customHeight="1"/>
    <row r="19252" ht="15.75" customHeight="1"/>
    <row r="19253" ht="15.75" customHeight="1"/>
    <row r="19254" ht="15.75" customHeight="1"/>
    <row r="19255" ht="15.75" customHeight="1"/>
    <row r="19256" ht="15.75" customHeight="1"/>
    <row r="19257" ht="15.75" customHeight="1"/>
    <row r="19258" ht="15.75" customHeight="1"/>
    <row r="19259" ht="15.75" customHeight="1"/>
    <row r="19260" ht="15.75" customHeight="1"/>
    <row r="19261" ht="15.75" customHeight="1"/>
    <row r="19262" ht="15.75" customHeight="1"/>
    <row r="19263" ht="15.75" customHeight="1"/>
    <row r="19264" ht="15.75" customHeight="1"/>
    <row r="19265" ht="15.75" customHeight="1"/>
    <row r="19266" ht="15.75" customHeight="1"/>
    <row r="19267" ht="15.75" customHeight="1"/>
    <row r="19268" ht="15.75" customHeight="1"/>
    <row r="19269" ht="15.75" customHeight="1"/>
    <row r="19270" ht="15.75" customHeight="1"/>
    <row r="19271" ht="15.75" customHeight="1"/>
    <row r="19272" ht="15.75" customHeight="1"/>
    <row r="19273" ht="15.75" customHeight="1"/>
    <row r="19274" ht="15.75" customHeight="1"/>
    <row r="19275" ht="15.75" customHeight="1"/>
    <row r="19276" ht="15.75" customHeight="1"/>
    <row r="19277" ht="15.75" customHeight="1"/>
    <row r="19278" ht="15.75" customHeight="1"/>
    <row r="19279" ht="15.75" customHeight="1"/>
    <row r="19280" ht="15.75" customHeight="1"/>
    <row r="19281" ht="15.75" customHeight="1"/>
    <row r="19282" ht="15.75" customHeight="1"/>
    <row r="19283" ht="15.75" customHeight="1"/>
    <row r="19284" ht="15.75" customHeight="1"/>
    <row r="19285" ht="15.75" customHeight="1"/>
    <row r="19286" ht="15.75" customHeight="1"/>
    <row r="19287" ht="15.75" customHeight="1"/>
    <row r="19288" ht="15.75" customHeight="1"/>
    <row r="19289" ht="15.75" customHeight="1"/>
    <row r="19290" ht="15.75" customHeight="1"/>
    <row r="19291" ht="15.75" customHeight="1"/>
    <row r="19292" ht="15.75" customHeight="1"/>
    <row r="19293" ht="15.75" customHeight="1"/>
    <row r="19294" ht="15.75" customHeight="1"/>
    <row r="19295" ht="15.75" customHeight="1"/>
    <row r="19296" ht="15.75" customHeight="1"/>
    <row r="19297" ht="15.75" customHeight="1"/>
    <row r="19298" ht="15.75" customHeight="1"/>
    <row r="19299" ht="15.75" customHeight="1"/>
    <row r="19300" ht="15.75" customHeight="1"/>
    <row r="19301" ht="15.75" customHeight="1"/>
    <row r="19302" ht="15.75" customHeight="1"/>
    <row r="19303" ht="15.75" customHeight="1"/>
    <row r="19304" ht="15.75" customHeight="1"/>
    <row r="19305" ht="15.75" customHeight="1"/>
    <row r="19306" ht="15.75" customHeight="1"/>
    <row r="19307" ht="15.75" customHeight="1"/>
    <row r="19308" ht="15.75" customHeight="1"/>
    <row r="19309" ht="15.75" customHeight="1"/>
    <row r="19310" ht="15.75" customHeight="1"/>
    <row r="19311" ht="15.75" customHeight="1"/>
    <row r="19312" ht="15.75" customHeight="1"/>
    <row r="19313" ht="15.75" customHeight="1"/>
    <row r="19314" ht="15.75" customHeight="1"/>
    <row r="19315" ht="15.75" customHeight="1"/>
    <row r="19316" ht="15.75" customHeight="1"/>
    <row r="19317" ht="15.75" customHeight="1"/>
    <row r="19318" ht="15.75" customHeight="1"/>
    <row r="19319" ht="15.75" customHeight="1"/>
    <row r="19320" ht="15.75" customHeight="1"/>
    <row r="19321" ht="15.75" customHeight="1"/>
    <row r="19322" ht="15.75" customHeight="1"/>
    <row r="19323" ht="15.75" customHeight="1"/>
    <row r="19324" ht="15.75" customHeight="1"/>
    <row r="19325" ht="15.75" customHeight="1"/>
    <row r="19326" ht="15.75" customHeight="1"/>
    <row r="19327" ht="15.75" customHeight="1"/>
    <row r="19328" ht="15.75" customHeight="1"/>
    <row r="19329" ht="15.75" customHeight="1"/>
    <row r="19330" ht="15.75" customHeight="1"/>
    <row r="19331" ht="15.75" customHeight="1"/>
    <row r="19332" ht="15.75" customHeight="1"/>
    <row r="19333" ht="15.75" customHeight="1"/>
    <row r="19334" ht="15.75" customHeight="1"/>
    <row r="19335" ht="15.75" customHeight="1"/>
    <row r="19336" ht="15.75" customHeight="1"/>
    <row r="19337" ht="15.75" customHeight="1"/>
    <row r="19338" ht="15.75" customHeight="1"/>
    <row r="19339" ht="15.75" customHeight="1"/>
    <row r="19340" ht="15.75" customHeight="1"/>
    <row r="19341" ht="15.75" customHeight="1"/>
    <row r="19342" ht="15.75" customHeight="1"/>
    <row r="19343" ht="15.75" customHeight="1"/>
    <row r="19344" ht="15.75" customHeight="1"/>
    <row r="19345" ht="15.75" customHeight="1"/>
    <row r="19346" ht="15.75" customHeight="1"/>
    <row r="19347" ht="15.75" customHeight="1"/>
    <row r="19348" ht="15.75" customHeight="1"/>
    <row r="19349" ht="15.75" customHeight="1"/>
    <row r="19350" ht="15.75" customHeight="1"/>
    <row r="19351" ht="15.75" customHeight="1"/>
    <row r="19352" ht="15.75" customHeight="1"/>
    <row r="19353" ht="15.75" customHeight="1"/>
    <row r="19354" ht="15.75" customHeight="1"/>
    <row r="19355" ht="15.75" customHeight="1"/>
    <row r="19356" ht="15.75" customHeight="1"/>
    <row r="19357" ht="15.75" customHeight="1"/>
    <row r="19358" ht="15.75" customHeight="1"/>
    <row r="19359" ht="15.75" customHeight="1"/>
    <row r="19360" ht="15.75" customHeight="1"/>
    <row r="19361" ht="15.75" customHeight="1"/>
    <row r="19362" ht="15.75" customHeight="1"/>
    <row r="19363" ht="15.75" customHeight="1"/>
    <row r="19364" ht="15.75" customHeight="1"/>
    <row r="19365" ht="15.75" customHeight="1"/>
    <row r="19366" ht="15.75" customHeight="1"/>
    <row r="19367" ht="15.75" customHeight="1"/>
    <row r="19368" ht="15.75" customHeight="1"/>
    <row r="19369" ht="15.75" customHeight="1"/>
    <row r="19370" ht="15.75" customHeight="1"/>
    <row r="19371" ht="15.75" customHeight="1"/>
    <row r="19372" ht="15.75" customHeight="1"/>
    <row r="19373" ht="15.75" customHeight="1"/>
    <row r="19374" ht="15.75" customHeight="1"/>
    <row r="19375" ht="15.75" customHeight="1"/>
    <row r="19376" ht="15.75" customHeight="1"/>
    <row r="19377" ht="15.75" customHeight="1"/>
    <row r="19378" ht="15.75" customHeight="1"/>
    <row r="19379" ht="15.75" customHeight="1"/>
    <row r="19380" ht="15.75" customHeight="1"/>
    <row r="19381" ht="15.75" customHeight="1"/>
    <row r="19382" ht="15.75" customHeight="1"/>
    <row r="19383" ht="15.75" customHeight="1"/>
    <row r="19384" ht="15.75" customHeight="1"/>
    <row r="19385" ht="15.75" customHeight="1"/>
    <row r="19386" ht="15.75" customHeight="1"/>
    <row r="19387" ht="15.75" customHeight="1"/>
    <row r="19388" ht="15.75" customHeight="1"/>
    <row r="19389" ht="15.75" customHeight="1"/>
    <row r="19390" ht="15.75" customHeight="1"/>
    <row r="19391" ht="15.75" customHeight="1"/>
    <row r="19392" ht="15.75" customHeight="1"/>
    <row r="19393" ht="15.75" customHeight="1"/>
    <row r="19394" ht="15.75" customHeight="1"/>
    <row r="19395" ht="15.75" customHeight="1"/>
    <row r="19396" ht="15.75" customHeight="1"/>
    <row r="19397" ht="15.75" customHeight="1"/>
    <row r="19398" ht="15.75" customHeight="1"/>
    <row r="19399" ht="15.75" customHeight="1"/>
    <row r="19400" ht="15.75" customHeight="1"/>
    <row r="19401" ht="15.75" customHeight="1"/>
    <row r="19402" ht="15.75" customHeight="1"/>
    <row r="19403" ht="15.75" customHeight="1"/>
    <row r="19404" ht="15.75" customHeight="1"/>
    <row r="19405" ht="15.75" customHeight="1"/>
    <row r="19406" ht="15.75" customHeight="1"/>
    <row r="19407" ht="15.75" customHeight="1"/>
    <row r="19408" ht="15.75" customHeight="1"/>
    <row r="19409" ht="15.75" customHeight="1"/>
    <row r="19410" ht="15.75" customHeight="1"/>
    <row r="19411" ht="15.75" customHeight="1"/>
    <row r="19412" ht="15.75" customHeight="1"/>
    <row r="19413" ht="15.75" customHeight="1"/>
    <row r="19414" ht="15.75" customHeight="1"/>
    <row r="19415" ht="15.75" customHeight="1"/>
    <row r="19416" ht="15.75" customHeight="1"/>
    <row r="19417" ht="15.75" customHeight="1"/>
    <row r="19418" ht="15.75" customHeight="1"/>
    <row r="19419" ht="15.75" customHeight="1"/>
    <row r="19420" ht="15.75" customHeight="1"/>
    <row r="19421" ht="15.75" customHeight="1"/>
    <row r="19422" ht="15.75" customHeight="1"/>
    <row r="19423" ht="15.75" customHeight="1"/>
    <row r="19424" ht="15.75" customHeight="1"/>
    <row r="19425" ht="15.75" customHeight="1"/>
    <row r="19426" ht="15.75" customHeight="1"/>
    <row r="19427" ht="15.75" customHeight="1"/>
    <row r="19428" ht="15.75" customHeight="1"/>
    <row r="19429" ht="15.75" customHeight="1"/>
    <row r="19430" ht="15.75" customHeight="1"/>
    <row r="19431" ht="15.75" customHeight="1"/>
    <row r="19432" ht="15.75" customHeight="1"/>
    <row r="19433" ht="15.75" customHeight="1"/>
    <row r="19434" ht="15.75" customHeight="1"/>
    <row r="19435" ht="15.75" customHeight="1"/>
    <row r="19436" ht="15.75" customHeight="1"/>
    <row r="19437" ht="15.75" customHeight="1"/>
    <row r="19438" ht="15.75" customHeight="1"/>
    <row r="19439" ht="15.75" customHeight="1"/>
    <row r="19440" ht="15.75" customHeight="1"/>
    <row r="19441" ht="15.75" customHeight="1"/>
    <row r="19442" ht="15.75" customHeight="1"/>
    <row r="19443" ht="15.75" customHeight="1"/>
    <row r="19444" ht="15.75" customHeight="1"/>
    <row r="19445" ht="15.75" customHeight="1"/>
    <row r="19446" ht="15.75" customHeight="1"/>
    <row r="19447" ht="15.75" customHeight="1"/>
    <row r="19448" ht="15.75" customHeight="1"/>
    <row r="19449" ht="15.75" customHeight="1"/>
    <row r="19450" ht="15.75" customHeight="1"/>
    <row r="19451" ht="15.75" customHeight="1"/>
    <row r="19452" ht="15.75" customHeight="1"/>
    <row r="19453" ht="15.75" customHeight="1"/>
    <row r="19454" ht="15.75" customHeight="1"/>
    <row r="19455" ht="15.75" customHeight="1"/>
    <row r="19456" ht="15.75" customHeight="1"/>
    <row r="19457" ht="15.75" customHeight="1"/>
    <row r="19458" ht="15.75" customHeight="1"/>
    <row r="19459" ht="15.75" customHeight="1"/>
    <row r="19460" ht="15.75" customHeight="1"/>
    <row r="19461" ht="15.75" customHeight="1"/>
    <row r="19462" ht="15.75" customHeight="1"/>
    <row r="19463" ht="15.75" customHeight="1"/>
    <row r="19464" ht="15.75" customHeight="1"/>
    <row r="19465" ht="15.75" customHeight="1"/>
    <row r="19466" ht="15.75" customHeight="1"/>
    <row r="19467" ht="15.75" customHeight="1"/>
    <row r="19468" ht="15.75" customHeight="1"/>
    <row r="19469" ht="15.75" customHeight="1"/>
    <row r="19470" ht="15.75" customHeight="1"/>
    <row r="19471" ht="15.75" customHeight="1"/>
    <row r="19472" ht="15.75" customHeight="1"/>
    <row r="19473" ht="15.75" customHeight="1"/>
    <row r="19474" ht="15.75" customHeight="1"/>
    <row r="19475" ht="15.75" customHeight="1"/>
    <row r="19476" ht="15.75" customHeight="1"/>
    <row r="19477" ht="15.75" customHeight="1"/>
    <row r="19478" ht="15.75" customHeight="1"/>
    <row r="19479" ht="15.75" customHeight="1"/>
    <row r="19480" ht="15.75" customHeight="1"/>
    <row r="19481" ht="15.75" customHeight="1"/>
    <row r="19482" ht="15.75" customHeight="1"/>
    <row r="19483" ht="15.75" customHeight="1"/>
    <row r="19484" ht="15.75" customHeight="1"/>
    <row r="19485" ht="15.75" customHeight="1"/>
    <row r="19486" ht="15.75" customHeight="1"/>
    <row r="19487" ht="15.75" customHeight="1"/>
    <row r="19488" ht="15.75" customHeight="1"/>
    <row r="19489" ht="15.75" customHeight="1"/>
    <row r="19490" ht="15.75" customHeight="1"/>
    <row r="19491" ht="15.75" customHeight="1"/>
    <row r="19492" ht="15.75" customHeight="1"/>
    <row r="19493" ht="15.75" customHeight="1"/>
    <row r="19494" ht="15.75" customHeight="1"/>
    <row r="19495" ht="15.75" customHeight="1"/>
    <row r="19496" ht="15.75" customHeight="1"/>
    <row r="19497" ht="15.75" customHeight="1"/>
    <row r="19498" ht="15.75" customHeight="1"/>
    <row r="19499" ht="15.75" customHeight="1"/>
    <row r="19500" ht="15.75" customHeight="1"/>
    <row r="19501" ht="15.75" customHeight="1"/>
    <row r="19502" ht="15.75" customHeight="1"/>
    <row r="19503" ht="15.75" customHeight="1"/>
    <row r="19504" ht="15.75" customHeight="1"/>
    <row r="19505" ht="15.75" customHeight="1"/>
    <row r="19506" ht="15.75" customHeight="1"/>
    <row r="19507" ht="15.75" customHeight="1"/>
    <row r="19508" ht="15.75" customHeight="1"/>
    <row r="19509" ht="15.75" customHeight="1"/>
    <row r="19510" ht="15.75" customHeight="1"/>
    <row r="19511" ht="15.75" customHeight="1"/>
    <row r="19512" ht="15.75" customHeight="1"/>
    <row r="19513" ht="15.75" customHeight="1"/>
    <row r="19514" ht="15.75" customHeight="1"/>
    <row r="19515" ht="15.75" customHeight="1"/>
    <row r="19516" ht="15.75" customHeight="1"/>
    <row r="19517" ht="15.75" customHeight="1"/>
    <row r="19518" ht="15.75" customHeight="1"/>
    <row r="19519" ht="15.75" customHeight="1"/>
    <row r="19520" ht="15.75" customHeight="1"/>
    <row r="19521" ht="15.75" customHeight="1"/>
    <row r="19522" ht="15.75" customHeight="1"/>
    <row r="19523" ht="15.75" customHeight="1"/>
    <row r="19524" ht="15.75" customHeight="1"/>
    <row r="19525" ht="15.75" customHeight="1"/>
    <row r="19526" ht="15.75" customHeight="1"/>
    <row r="19527" ht="15.75" customHeight="1"/>
    <row r="19528" ht="15.75" customHeight="1"/>
    <row r="19529" ht="15.75" customHeight="1"/>
    <row r="19530" ht="15.75" customHeight="1"/>
    <row r="19531" ht="15.75" customHeight="1"/>
    <row r="19532" ht="15.75" customHeight="1"/>
    <row r="19533" ht="15.75" customHeight="1"/>
    <row r="19534" ht="15.75" customHeight="1"/>
    <row r="19535" ht="15.75" customHeight="1"/>
    <row r="19536" ht="15.75" customHeight="1"/>
    <row r="19537" ht="15.75" customHeight="1"/>
    <row r="19538" ht="15.75" customHeight="1"/>
    <row r="19539" ht="15.75" customHeight="1"/>
    <row r="19540" ht="15.75" customHeight="1"/>
    <row r="19541" ht="15.75" customHeight="1"/>
    <row r="19542" ht="15.75" customHeight="1"/>
    <row r="19543" ht="15.75" customHeight="1"/>
    <row r="19544" ht="15.75" customHeight="1"/>
    <row r="19545" ht="15.75" customHeight="1"/>
    <row r="19546" ht="15.75" customHeight="1"/>
    <row r="19547" ht="15.75" customHeight="1"/>
    <row r="19548" ht="15.75" customHeight="1"/>
    <row r="19549" ht="15.75" customHeight="1"/>
    <row r="19550" ht="15.75" customHeight="1"/>
    <row r="19551" ht="15.75" customHeight="1"/>
    <row r="19552" ht="15.75" customHeight="1"/>
    <row r="19553" ht="15.75" customHeight="1"/>
    <row r="19554" ht="15.75" customHeight="1"/>
    <row r="19555" ht="15.75" customHeight="1"/>
    <row r="19556" ht="15.75" customHeight="1"/>
    <row r="19557" ht="15.75" customHeight="1"/>
    <row r="19558" ht="15.75" customHeight="1"/>
    <row r="19559" ht="15.75" customHeight="1"/>
    <row r="19560" ht="15.75" customHeight="1"/>
    <row r="19561" ht="15.75" customHeight="1"/>
    <row r="19562" ht="15.75" customHeight="1"/>
    <row r="19563" ht="15.75" customHeight="1"/>
    <row r="19564" ht="15.75" customHeight="1"/>
    <row r="19565" ht="15.75" customHeight="1"/>
    <row r="19566" ht="15.75" customHeight="1"/>
    <row r="19567" ht="15.75" customHeight="1"/>
    <row r="19568" ht="15.75" customHeight="1"/>
    <row r="19569" ht="15.75" customHeight="1"/>
    <row r="19570" ht="15.75" customHeight="1"/>
    <row r="19571" ht="15.75" customHeight="1"/>
    <row r="19572" ht="15.75" customHeight="1"/>
    <row r="19573" ht="15.75" customHeight="1"/>
    <row r="19574" ht="15.75" customHeight="1"/>
    <row r="19575" ht="15.75" customHeight="1"/>
    <row r="19576" ht="15.75" customHeight="1"/>
    <row r="19577" ht="15.75" customHeight="1"/>
    <row r="19578" ht="15.75" customHeight="1"/>
    <row r="19579" ht="15.75" customHeight="1"/>
    <row r="19580" ht="15.75" customHeight="1"/>
    <row r="19581" ht="15.75" customHeight="1"/>
    <row r="19582" ht="15.75" customHeight="1"/>
    <row r="19583" ht="15.75" customHeight="1"/>
    <row r="19584" ht="15.75" customHeight="1"/>
    <row r="19585" ht="15.75" customHeight="1"/>
    <row r="19586" ht="15.75" customHeight="1"/>
    <row r="19587" ht="15.75" customHeight="1"/>
    <row r="19588" ht="15.75" customHeight="1"/>
    <row r="19589" ht="15.75" customHeight="1"/>
    <row r="19590" ht="15.75" customHeight="1"/>
    <row r="19591" ht="15.75" customHeight="1"/>
    <row r="19592" ht="15.75" customHeight="1"/>
    <row r="19593" ht="15.75" customHeight="1"/>
    <row r="19594" ht="15.75" customHeight="1"/>
    <row r="19595" ht="15.75" customHeight="1"/>
    <row r="19596" ht="15.75" customHeight="1"/>
    <row r="19597" ht="15.75" customHeight="1"/>
    <row r="19598" ht="15.75" customHeight="1"/>
    <row r="19599" ht="15.75" customHeight="1"/>
    <row r="19600" ht="15.75" customHeight="1"/>
    <row r="19601" ht="15.75" customHeight="1"/>
    <row r="19602" ht="15.75" customHeight="1"/>
    <row r="19603" ht="15.75" customHeight="1"/>
    <row r="19604" ht="15.75" customHeight="1"/>
    <row r="19605" ht="15.75" customHeight="1"/>
    <row r="19606" ht="15.75" customHeight="1"/>
    <row r="19607" ht="15.75" customHeight="1"/>
    <row r="19608" ht="15.75" customHeight="1"/>
    <row r="19609" ht="15.75" customHeight="1"/>
    <row r="19610" ht="15.75" customHeight="1"/>
    <row r="19611" ht="15.75" customHeight="1"/>
    <row r="19612" ht="15.75" customHeight="1"/>
    <row r="19613" ht="15.75" customHeight="1"/>
    <row r="19614" ht="15.75" customHeight="1"/>
    <row r="19615" ht="15.75" customHeight="1"/>
    <row r="19616" ht="15.75" customHeight="1"/>
    <row r="19617" ht="15.75" customHeight="1"/>
    <row r="19618" ht="15.75" customHeight="1"/>
    <row r="19619" ht="15.75" customHeight="1"/>
    <row r="19620" ht="15.75" customHeight="1"/>
    <row r="19621" ht="15.75" customHeight="1"/>
    <row r="19622" ht="15.75" customHeight="1"/>
    <row r="19623" ht="15.75" customHeight="1"/>
    <row r="19624" ht="15.75" customHeight="1"/>
    <row r="19625" ht="15.75" customHeight="1"/>
    <row r="19626" ht="15.75" customHeight="1"/>
    <row r="19627" ht="15.75" customHeight="1"/>
    <row r="19628" ht="15.75" customHeight="1"/>
    <row r="19629" ht="15.75" customHeight="1"/>
    <row r="19630" ht="15.75" customHeight="1"/>
    <row r="19631" ht="15.75" customHeight="1"/>
    <row r="19632" ht="15.75" customHeight="1"/>
    <row r="19633" ht="15.75" customHeight="1"/>
    <row r="19634" ht="15.75" customHeight="1"/>
    <row r="19635" ht="15.75" customHeight="1"/>
    <row r="19636" ht="15.75" customHeight="1"/>
    <row r="19637" ht="15.75" customHeight="1"/>
    <row r="19638" ht="15.75" customHeight="1"/>
    <row r="19639" ht="15.75" customHeight="1"/>
    <row r="19640" ht="15.75" customHeight="1"/>
    <row r="19641" ht="15.75" customHeight="1"/>
    <row r="19642" ht="15.75" customHeight="1"/>
    <row r="19643" ht="15.75" customHeight="1"/>
    <row r="19644" ht="15.75" customHeight="1"/>
    <row r="19645" ht="15.75" customHeight="1"/>
    <row r="19646" ht="15.75" customHeight="1"/>
    <row r="19647" ht="15.75" customHeight="1"/>
    <row r="19648" ht="15.75" customHeight="1"/>
    <row r="19649" ht="15.75" customHeight="1"/>
    <row r="19650" ht="15.75" customHeight="1"/>
    <row r="19651" ht="15.75" customHeight="1"/>
    <row r="19652" ht="15.75" customHeight="1"/>
    <row r="19653" ht="15.75" customHeight="1"/>
    <row r="19654" ht="15.75" customHeight="1"/>
    <row r="19655" ht="15.75" customHeight="1"/>
    <row r="19656" ht="15.75" customHeight="1"/>
    <row r="19657" ht="15.75" customHeight="1"/>
    <row r="19658" ht="15.75" customHeight="1"/>
    <row r="19659" ht="15.75" customHeight="1"/>
    <row r="19660" ht="15.75" customHeight="1"/>
    <row r="19661" ht="15.75" customHeight="1"/>
    <row r="19662" ht="15.75" customHeight="1"/>
    <row r="19663" ht="15.75" customHeight="1"/>
    <row r="19664" ht="15.75" customHeight="1"/>
    <row r="19665" ht="15.75" customHeight="1"/>
    <row r="19666" ht="15.75" customHeight="1"/>
    <row r="19667" ht="15.75" customHeight="1"/>
    <row r="19668" ht="15.75" customHeight="1"/>
    <row r="19669" ht="15.75" customHeight="1"/>
    <row r="19670" ht="15.75" customHeight="1"/>
    <row r="19671" ht="15.75" customHeight="1"/>
    <row r="19672" ht="15.75" customHeight="1"/>
    <row r="19673" ht="15.75" customHeight="1"/>
    <row r="19674" ht="15.75" customHeight="1"/>
    <row r="19675" ht="15.75" customHeight="1"/>
    <row r="19676" ht="15.75" customHeight="1"/>
    <row r="19677" ht="15.75" customHeight="1"/>
    <row r="19678" ht="15.75" customHeight="1"/>
    <row r="19679" ht="15.75" customHeight="1"/>
    <row r="19680" ht="15.75" customHeight="1"/>
    <row r="19681" ht="15.75" customHeight="1"/>
    <row r="19682" ht="15.75" customHeight="1"/>
    <row r="19683" ht="15.75" customHeight="1"/>
    <row r="19684" ht="15.75" customHeight="1"/>
    <row r="19685" ht="15.75" customHeight="1"/>
    <row r="19686" ht="15.75" customHeight="1"/>
    <row r="19687" ht="15.75" customHeight="1"/>
    <row r="19688" ht="15.75" customHeight="1"/>
    <row r="19689" ht="15.75" customHeight="1"/>
    <row r="19690" ht="15.75" customHeight="1"/>
    <row r="19691" ht="15.75" customHeight="1"/>
    <row r="19692" ht="15.75" customHeight="1"/>
    <row r="19693" ht="15.75" customHeight="1"/>
    <row r="19694" ht="15.75" customHeight="1"/>
    <row r="19695" ht="15.75" customHeight="1"/>
    <row r="19696" ht="15.75" customHeight="1"/>
    <row r="19697" ht="15.75" customHeight="1"/>
    <row r="19698" ht="15.75" customHeight="1"/>
    <row r="19699" ht="15.75" customHeight="1"/>
    <row r="19700" ht="15.75" customHeight="1"/>
    <row r="19701" ht="15.75" customHeight="1"/>
    <row r="19702" ht="15.75" customHeight="1"/>
    <row r="19703" ht="15.75" customHeight="1"/>
    <row r="19704" ht="15.75" customHeight="1"/>
    <row r="19705" ht="15.75" customHeight="1"/>
    <row r="19706" ht="15.75" customHeight="1"/>
    <row r="19707" ht="15.75" customHeight="1"/>
    <row r="19708" ht="15.75" customHeight="1"/>
    <row r="19709" ht="15.75" customHeight="1"/>
    <row r="19710" ht="15.75" customHeight="1"/>
    <row r="19711" ht="15.75" customHeight="1"/>
    <row r="19712" ht="15.75" customHeight="1"/>
    <row r="19713" ht="15.75" customHeight="1"/>
    <row r="19714" ht="15.75" customHeight="1"/>
    <row r="19715" ht="15.75" customHeight="1"/>
    <row r="19716" ht="15.75" customHeight="1"/>
    <row r="19717" ht="15.75" customHeight="1"/>
    <row r="19718" ht="15.75" customHeight="1"/>
    <row r="19719" ht="15.75" customHeight="1"/>
    <row r="19720" ht="15.75" customHeight="1"/>
    <row r="19721" ht="15.75" customHeight="1"/>
    <row r="19722" ht="15.75" customHeight="1"/>
    <row r="19723" ht="15.75" customHeight="1"/>
    <row r="19724" ht="15.75" customHeight="1"/>
    <row r="19725" ht="15.75" customHeight="1"/>
    <row r="19726" ht="15.75" customHeight="1"/>
    <row r="19727" ht="15.75" customHeight="1"/>
    <row r="19728" ht="15.75" customHeight="1"/>
    <row r="19729" ht="15.75" customHeight="1"/>
    <row r="19730" ht="15.75" customHeight="1"/>
    <row r="19731" ht="15.75" customHeight="1"/>
    <row r="19732" ht="15.75" customHeight="1"/>
    <row r="19733" ht="15.75" customHeight="1"/>
    <row r="19734" ht="15.75" customHeight="1"/>
    <row r="19735" ht="15.75" customHeight="1"/>
    <row r="19736" ht="15.75" customHeight="1"/>
    <row r="19737" ht="15.75" customHeight="1"/>
    <row r="19738" ht="15.75" customHeight="1"/>
    <row r="19739" ht="15.75" customHeight="1"/>
    <row r="19740" ht="15.75" customHeight="1"/>
    <row r="19741" ht="15.75" customHeight="1"/>
    <row r="19742" ht="15.75" customHeight="1"/>
    <row r="19743" ht="15.75" customHeight="1"/>
    <row r="19744" ht="15.75" customHeight="1"/>
    <row r="19745" ht="15.75" customHeight="1"/>
    <row r="19746" ht="15.75" customHeight="1"/>
    <row r="19747" ht="15.75" customHeight="1"/>
    <row r="19748" ht="15.75" customHeight="1"/>
    <row r="19749" ht="15.75" customHeight="1"/>
    <row r="19750" ht="15.75" customHeight="1"/>
    <row r="19751" ht="15.75" customHeight="1"/>
    <row r="19752" ht="15.75" customHeight="1"/>
    <row r="19753" ht="15.75" customHeight="1"/>
    <row r="19754" ht="15.75" customHeight="1"/>
    <row r="19755" ht="15.75" customHeight="1"/>
    <row r="19756" ht="15.75" customHeight="1"/>
    <row r="19757" ht="15.75" customHeight="1"/>
    <row r="19758" ht="15.75" customHeight="1"/>
    <row r="19759" ht="15.75" customHeight="1"/>
    <row r="19760" ht="15.75" customHeight="1"/>
    <row r="19761" ht="15.75" customHeight="1"/>
    <row r="19762" ht="15.75" customHeight="1"/>
    <row r="19763" ht="15.75" customHeight="1"/>
    <row r="19764" ht="15.75" customHeight="1"/>
    <row r="19765" ht="15.75" customHeight="1"/>
    <row r="19766" ht="15.75" customHeight="1"/>
    <row r="19767" ht="15.75" customHeight="1"/>
    <row r="19768" ht="15.75" customHeight="1"/>
    <row r="19769" ht="15.75" customHeight="1"/>
    <row r="19770" ht="15.75" customHeight="1"/>
    <row r="19771" ht="15.75" customHeight="1"/>
    <row r="19772" ht="15.75" customHeight="1"/>
    <row r="19773" ht="15.75" customHeight="1"/>
    <row r="19774" ht="15.75" customHeight="1"/>
    <row r="19775" ht="15.75" customHeight="1"/>
    <row r="19776" ht="15.75" customHeight="1"/>
    <row r="19777" ht="15.75" customHeight="1"/>
    <row r="19778" ht="15.75" customHeight="1"/>
    <row r="19779" ht="15.75" customHeight="1"/>
    <row r="19780" ht="15.75" customHeight="1"/>
    <row r="19781" ht="15.75" customHeight="1"/>
    <row r="19782" ht="15.75" customHeight="1"/>
    <row r="19783" ht="15.75" customHeight="1"/>
    <row r="19784" ht="15.75" customHeight="1"/>
    <row r="19785" ht="15.75" customHeight="1"/>
    <row r="19786" ht="15.75" customHeight="1"/>
    <row r="19787" ht="15.75" customHeight="1"/>
    <row r="19788" ht="15.75" customHeight="1"/>
    <row r="19789" ht="15.75" customHeight="1"/>
    <row r="19790" ht="15.75" customHeight="1"/>
    <row r="19791" ht="15.75" customHeight="1"/>
    <row r="19792" ht="15.75" customHeight="1"/>
    <row r="19793" ht="15.75" customHeight="1"/>
    <row r="19794" ht="15.75" customHeight="1"/>
    <row r="19795" ht="15.75" customHeight="1"/>
    <row r="19796" ht="15.75" customHeight="1"/>
    <row r="19797" ht="15.75" customHeight="1"/>
    <row r="19798" ht="15.75" customHeight="1"/>
    <row r="19799" ht="15.75" customHeight="1"/>
    <row r="19800" ht="15.75" customHeight="1"/>
    <row r="19801" ht="15.75" customHeight="1"/>
    <row r="19802" ht="15.75" customHeight="1"/>
    <row r="19803" ht="15.75" customHeight="1"/>
    <row r="19804" ht="15.75" customHeight="1"/>
    <row r="19805" ht="15.75" customHeight="1"/>
    <row r="19806" ht="15.75" customHeight="1"/>
    <row r="19807" ht="15.75" customHeight="1"/>
    <row r="19808" ht="15.75" customHeight="1"/>
    <row r="19809" ht="15.75" customHeight="1"/>
    <row r="19810" ht="15.75" customHeight="1"/>
    <row r="19811" ht="15.75" customHeight="1"/>
    <row r="19812" ht="15.75" customHeight="1"/>
    <row r="19813" ht="15.75" customHeight="1"/>
    <row r="19814" ht="15.75" customHeight="1"/>
    <row r="19815" ht="15.75" customHeight="1"/>
    <row r="19816" ht="15.75" customHeight="1"/>
    <row r="19817" ht="15.75" customHeight="1"/>
    <row r="19818" ht="15.75" customHeight="1"/>
    <row r="19819" ht="15.75" customHeight="1"/>
    <row r="19820" ht="15.75" customHeight="1"/>
    <row r="19821" ht="15.75" customHeight="1"/>
    <row r="19822" ht="15.75" customHeight="1"/>
    <row r="19823" ht="15.75" customHeight="1"/>
    <row r="19824" ht="15.75" customHeight="1"/>
    <row r="19825" ht="15.75" customHeight="1"/>
    <row r="19826" ht="15.75" customHeight="1"/>
    <row r="19827" ht="15.75" customHeight="1"/>
    <row r="19828" ht="15.75" customHeight="1"/>
    <row r="19829" ht="15.75" customHeight="1"/>
    <row r="19830" ht="15.75" customHeight="1"/>
    <row r="19831" ht="15.75" customHeight="1"/>
    <row r="19832" ht="15.75" customHeight="1"/>
    <row r="19833" ht="15.75" customHeight="1"/>
    <row r="19834" ht="15.75" customHeight="1"/>
    <row r="19835" ht="15.75" customHeight="1"/>
    <row r="19836" ht="15.75" customHeight="1"/>
    <row r="19837" ht="15.75" customHeight="1"/>
    <row r="19838" ht="15.75" customHeight="1"/>
    <row r="19839" ht="15.75" customHeight="1"/>
    <row r="19840" ht="15.75" customHeight="1"/>
    <row r="19841" ht="15.75" customHeight="1"/>
    <row r="19842" ht="15.75" customHeight="1"/>
    <row r="19843" ht="15.75" customHeight="1"/>
    <row r="19844" ht="15.75" customHeight="1"/>
    <row r="19845" ht="15.75" customHeight="1"/>
    <row r="19846" ht="15.75" customHeight="1"/>
    <row r="19847" ht="15.75" customHeight="1"/>
    <row r="19848" ht="15.75" customHeight="1"/>
    <row r="19849" ht="15.75" customHeight="1"/>
    <row r="19850" ht="15.75" customHeight="1"/>
    <row r="19851" ht="15.75" customHeight="1"/>
    <row r="19852" ht="15.75" customHeight="1"/>
    <row r="19853" ht="15.75" customHeight="1"/>
    <row r="19854" ht="15.75" customHeight="1"/>
    <row r="19855" ht="15.75" customHeight="1"/>
    <row r="19856" ht="15.75" customHeight="1"/>
    <row r="19857" ht="15.75" customHeight="1"/>
    <row r="19858" ht="15.75" customHeight="1"/>
    <row r="19859" ht="15.75" customHeight="1"/>
    <row r="19860" ht="15.75" customHeight="1"/>
    <row r="19861" ht="15.75" customHeight="1"/>
    <row r="19862" ht="15.75" customHeight="1"/>
    <row r="19863" ht="15.75" customHeight="1"/>
    <row r="19864" ht="15.75" customHeight="1"/>
    <row r="19865" ht="15.75" customHeight="1"/>
    <row r="19866" ht="15.75" customHeight="1"/>
    <row r="19867" ht="15.75" customHeight="1"/>
    <row r="19868" ht="15.75" customHeight="1"/>
    <row r="19869" ht="15.75" customHeight="1"/>
    <row r="19870" ht="15.75" customHeight="1"/>
    <row r="19871" ht="15.75" customHeight="1"/>
    <row r="19872" ht="15.75" customHeight="1"/>
    <row r="19873" ht="15.75" customHeight="1"/>
    <row r="19874" ht="15.75" customHeight="1"/>
    <row r="19875" ht="15.75" customHeight="1"/>
    <row r="19876" ht="15.75" customHeight="1"/>
    <row r="19877" ht="15.75" customHeight="1"/>
    <row r="19878" ht="15.75" customHeight="1"/>
    <row r="19879" ht="15.75" customHeight="1"/>
    <row r="19880" ht="15.75" customHeight="1"/>
    <row r="19881" ht="15.75" customHeight="1"/>
    <row r="19882" ht="15.75" customHeight="1"/>
    <row r="19883" ht="15.75" customHeight="1"/>
    <row r="19884" ht="15.75" customHeight="1"/>
    <row r="19885" ht="15.75" customHeight="1"/>
    <row r="19886" ht="15.75" customHeight="1"/>
    <row r="19887" ht="15.75" customHeight="1"/>
    <row r="19888" ht="15.75" customHeight="1"/>
    <row r="19889" ht="15.75" customHeight="1"/>
    <row r="19890" ht="15.75" customHeight="1"/>
    <row r="19891" ht="15.75" customHeight="1"/>
    <row r="19892" ht="15.75" customHeight="1"/>
    <row r="19893" ht="15.75" customHeight="1"/>
    <row r="19894" ht="15.75" customHeight="1"/>
    <row r="19895" ht="15.75" customHeight="1"/>
    <row r="19896" ht="15.75" customHeight="1"/>
    <row r="19897" ht="15.75" customHeight="1"/>
    <row r="19898" ht="15.75" customHeight="1"/>
    <row r="19899" ht="15.75" customHeight="1"/>
    <row r="19900" ht="15.75" customHeight="1"/>
    <row r="19901" ht="15.75" customHeight="1"/>
    <row r="19902" ht="15.75" customHeight="1"/>
    <row r="19903" ht="15.75" customHeight="1"/>
    <row r="19904" ht="15.75" customHeight="1"/>
    <row r="19905" ht="15.75" customHeight="1"/>
    <row r="19906" ht="15.75" customHeight="1"/>
    <row r="19907" ht="15.75" customHeight="1"/>
    <row r="19908" ht="15.75" customHeight="1"/>
    <row r="19909" ht="15.75" customHeight="1"/>
    <row r="19910" ht="15.75" customHeight="1"/>
    <row r="19911" ht="15.75" customHeight="1"/>
    <row r="19912" ht="15.75" customHeight="1"/>
    <row r="19913" ht="15.75" customHeight="1"/>
    <row r="19914" ht="15.75" customHeight="1"/>
    <row r="19915" ht="15.75" customHeight="1"/>
    <row r="19916" ht="15.75" customHeight="1"/>
    <row r="19917" ht="15.75" customHeight="1"/>
    <row r="19918" ht="15.75" customHeight="1"/>
    <row r="19919" ht="15.75" customHeight="1"/>
    <row r="19920" ht="15.75" customHeight="1"/>
    <row r="19921" ht="15.75" customHeight="1"/>
    <row r="19922" ht="15.75" customHeight="1"/>
    <row r="19923" ht="15.75" customHeight="1"/>
    <row r="19924" ht="15.75" customHeight="1"/>
    <row r="19925" ht="15.75" customHeight="1"/>
    <row r="19926" ht="15.75" customHeight="1"/>
    <row r="19927" ht="15.75" customHeight="1"/>
    <row r="19928" ht="15.75" customHeight="1"/>
    <row r="19929" ht="15.75" customHeight="1"/>
    <row r="19930" ht="15.75" customHeight="1"/>
    <row r="19931" ht="15.75" customHeight="1"/>
    <row r="19932" ht="15.75" customHeight="1"/>
    <row r="19933" ht="15.75" customHeight="1"/>
    <row r="19934" ht="15.75" customHeight="1"/>
    <row r="19935" ht="15.75" customHeight="1"/>
    <row r="19936" ht="15.75" customHeight="1"/>
    <row r="19937" ht="15.75" customHeight="1"/>
    <row r="19938" ht="15.75" customHeight="1"/>
    <row r="19939" ht="15.75" customHeight="1"/>
    <row r="19940" ht="15.75" customHeight="1"/>
    <row r="19941" ht="15.75" customHeight="1"/>
    <row r="19942" ht="15.75" customHeight="1"/>
    <row r="19943" ht="15.75" customHeight="1"/>
    <row r="19944" ht="15.75" customHeight="1"/>
    <row r="19945" ht="15.75" customHeight="1"/>
    <row r="19946" ht="15.75" customHeight="1"/>
    <row r="19947" ht="15.75" customHeight="1"/>
    <row r="19948" ht="15.75" customHeight="1"/>
    <row r="19949" ht="15.75" customHeight="1"/>
    <row r="19950" ht="15.75" customHeight="1"/>
    <row r="19951" ht="15.75" customHeight="1"/>
    <row r="19952" ht="15.75" customHeight="1"/>
    <row r="19953" ht="15.75" customHeight="1"/>
    <row r="19954" ht="15.75" customHeight="1"/>
    <row r="19955" ht="15.75" customHeight="1"/>
    <row r="19956" ht="15.75" customHeight="1"/>
    <row r="19957" ht="15.75" customHeight="1"/>
    <row r="19958" ht="15.75" customHeight="1"/>
    <row r="19959" ht="15.75" customHeight="1"/>
    <row r="19960" ht="15.75" customHeight="1"/>
    <row r="19961" ht="15.75" customHeight="1"/>
    <row r="19962" ht="15.75" customHeight="1"/>
    <row r="19963" ht="15.75" customHeight="1"/>
    <row r="19964" ht="15.75" customHeight="1"/>
    <row r="19965" ht="15.75" customHeight="1"/>
    <row r="19966" ht="15.75" customHeight="1"/>
    <row r="19967" ht="15.75" customHeight="1"/>
    <row r="19968" ht="15.75" customHeight="1"/>
    <row r="19969" ht="15.75" customHeight="1"/>
    <row r="19970" ht="15.75" customHeight="1"/>
    <row r="19971" ht="15.75" customHeight="1"/>
    <row r="19972" ht="15.75" customHeight="1"/>
    <row r="19973" ht="15.75" customHeight="1"/>
    <row r="19974" ht="15.75" customHeight="1"/>
    <row r="19975" ht="15.75" customHeight="1"/>
    <row r="19976" ht="15.75" customHeight="1"/>
    <row r="19977" ht="15.75" customHeight="1"/>
    <row r="19978" ht="15.75" customHeight="1"/>
    <row r="19979" ht="15.75" customHeight="1"/>
    <row r="19980" ht="15.75" customHeight="1"/>
    <row r="19981" ht="15.75" customHeight="1"/>
    <row r="19982" ht="15.75" customHeight="1"/>
    <row r="19983" ht="15.75" customHeight="1"/>
    <row r="19984" ht="15.75" customHeight="1"/>
    <row r="19985" ht="15.75" customHeight="1"/>
    <row r="19986" ht="15.75" customHeight="1"/>
    <row r="19987" ht="15.75" customHeight="1"/>
    <row r="19988" ht="15.75" customHeight="1"/>
    <row r="19989" ht="15.75" customHeight="1"/>
    <row r="19990" ht="15.75" customHeight="1"/>
    <row r="19991" ht="15.75" customHeight="1"/>
    <row r="19992" ht="15.75" customHeight="1"/>
    <row r="19993" ht="15.75" customHeight="1"/>
    <row r="19994" ht="15.75" customHeight="1"/>
    <row r="19995" ht="15.75" customHeight="1"/>
    <row r="19996" ht="15.75" customHeight="1"/>
    <row r="19997" ht="15.75" customHeight="1"/>
    <row r="19998" ht="15.75" customHeight="1"/>
    <row r="19999" ht="15.75" customHeight="1"/>
    <row r="20000" ht="15.75" customHeight="1"/>
    <row r="20001" ht="15.75" customHeight="1"/>
    <row r="20002" ht="15.75" customHeight="1"/>
    <row r="20003" ht="15.75" customHeight="1"/>
    <row r="20004" ht="15.75" customHeight="1"/>
    <row r="20005" ht="15.75" customHeight="1"/>
    <row r="20006" ht="15.75" customHeight="1"/>
    <row r="20007" ht="15.75" customHeight="1"/>
    <row r="20008" ht="15.75" customHeight="1"/>
    <row r="20009" ht="15.75" customHeight="1"/>
    <row r="20010" ht="15.75" customHeight="1"/>
    <row r="20011" ht="15.75" customHeight="1"/>
    <row r="20012" ht="15.75" customHeight="1"/>
    <row r="20013" ht="15.75" customHeight="1"/>
    <row r="20014" ht="15.75" customHeight="1"/>
    <row r="20015" ht="15.75" customHeight="1"/>
    <row r="20016" ht="15.75" customHeight="1"/>
    <row r="20017" ht="15.75" customHeight="1"/>
    <row r="20018" ht="15.75" customHeight="1"/>
    <row r="20019" ht="15.75" customHeight="1"/>
    <row r="20020" ht="15.75" customHeight="1"/>
    <row r="20021" ht="15.75" customHeight="1"/>
    <row r="20022" ht="15.75" customHeight="1"/>
    <row r="20023" ht="15.75" customHeight="1"/>
    <row r="20024" ht="15.75" customHeight="1"/>
    <row r="20025" ht="15.75" customHeight="1"/>
    <row r="20026" ht="15.75" customHeight="1"/>
    <row r="20027" ht="15.75" customHeight="1"/>
    <row r="20028" ht="15.75" customHeight="1"/>
    <row r="20029" ht="15.75" customHeight="1"/>
    <row r="20030" ht="15.75" customHeight="1"/>
    <row r="20031" ht="15.75" customHeight="1"/>
    <row r="20032" ht="15.75" customHeight="1"/>
    <row r="20033" ht="15.75" customHeight="1"/>
    <row r="20034" ht="15.75" customHeight="1"/>
    <row r="20035" ht="15.75" customHeight="1"/>
    <row r="20036" ht="15.75" customHeight="1"/>
  </sheetData>
  <autoFilter ref="A1:E20036"/>
  <conditionalFormatting sqref="A2:E20000">
    <cfRule type="expression" dxfId="0" priority="1">
      <formula>COUNTIF($A$2:$A20036, $A2)&gt;1</formula>
    </cfRule>
  </conditionalFormatting>
  <pageMargins left="0.7" right="0.7" top="0.75" bottom="0.75" header="0" footer="0"/>
  <pageSetup orientation="landscape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2969"/>
  <sheetViews>
    <sheetView workbookViewId="0"/>
  </sheetViews>
  <sheetFormatPr defaultColWidth="12.5703125" defaultRowHeight="15" customHeight="1"/>
  <cols>
    <col min="1" max="1" width="13.42578125" customWidth="1"/>
    <col min="2" max="2" width="20.5703125" customWidth="1"/>
    <col min="3" max="3" width="33.42578125" customWidth="1"/>
    <col min="4" max="4" width="16.140625" customWidth="1"/>
    <col min="5" max="5" width="35.140625" customWidth="1"/>
    <col min="6" max="6" width="14.7109375" customWidth="1"/>
    <col min="7" max="7" width="26.42578125" customWidth="1"/>
  </cols>
  <sheetData>
    <row r="1" spans="1:7" ht="15.75" customHeight="1">
      <c r="A1" s="81"/>
      <c r="B1" s="82"/>
      <c r="C1" s="81"/>
      <c r="D1" s="81"/>
      <c r="E1" s="81"/>
      <c r="G1" s="26"/>
    </row>
    <row r="2" spans="1:7" ht="15.75" customHeight="1">
      <c r="A2" s="1">
        <v>19286</v>
      </c>
      <c r="B2" s="2">
        <v>45114.106874999998</v>
      </c>
      <c r="C2" s="1" t="s">
        <v>0</v>
      </c>
      <c r="D2" s="1">
        <v>96</v>
      </c>
      <c r="E2" s="1" t="s">
        <v>59</v>
      </c>
    </row>
    <row r="3" spans="1:7" ht="15.75" customHeight="1">
      <c r="A3" s="1">
        <v>19282</v>
      </c>
      <c r="B3" s="2">
        <v>45113.804259259261</v>
      </c>
      <c r="C3" s="1" t="s">
        <v>0</v>
      </c>
      <c r="D3" s="1">
        <v>45</v>
      </c>
      <c r="E3" s="1" t="s">
        <v>28</v>
      </c>
    </row>
    <row r="4" spans="1:7" ht="15.75" customHeight="1">
      <c r="A4" s="1">
        <v>19281</v>
      </c>
      <c r="B4" s="2">
        <v>45113.801018518519</v>
      </c>
      <c r="C4" s="1" t="s">
        <v>0</v>
      </c>
      <c r="D4" s="1">
        <v>45</v>
      </c>
      <c r="E4" s="1" t="s">
        <v>28</v>
      </c>
    </row>
    <row r="5" spans="1:7" ht="15.75" customHeight="1">
      <c r="A5" s="1">
        <v>19278</v>
      </c>
      <c r="B5" s="2">
        <v>45113.519814814819</v>
      </c>
      <c r="C5" s="1" t="s">
        <v>0</v>
      </c>
      <c r="D5" s="1">
        <v>25</v>
      </c>
      <c r="E5" s="1" t="s">
        <v>28</v>
      </c>
    </row>
    <row r="6" spans="1:7" ht="15.75" customHeight="1">
      <c r="A6" s="1">
        <v>19277</v>
      </c>
      <c r="B6" s="2">
        <v>45113.020254629635</v>
      </c>
      <c r="C6" s="1" t="s">
        <v>0</v>
      </c>
      <c r="D6" s="1">
        <v>18</v>
      </c>
      <c r="E6" s="1" t="s">
        <v>28</v>
      </c>
    </row>
    <row r="7" spans="1:7" ht="15.75" customHeight="1">
      <c r="A7" s="1">
        <v>19276</v>
      </c>
      <c r="B7" s="2">
        <v>45113.014930555553</v>
      </c>
      <c r="C7" s="1" t="s">
        <v>0</v>
      </c>
      <c r="D7" s="1">
        <v>25</v>
      </c>
      <c r="E7" s="1" t="s">
        <v>28</v>
      </c>
    </row>
    <row r="8" spans="1:7" ht="15.75" customHeight="1">
      <c r="A8" s="1">
        <v>19275</v>
      </c>
      <c r="B8" s="2">
        <v>45112.944328703699</v>
      </c>
      <c r="C8" s="1" t="s">
        <v>0</v>
      </c>
      <c r="D8" s="1">
        <v>25</v>
      </c>
      <c r="E8" s="1" t="s">
        <v>81</v>
      </c>
    </row>
    <row r="9" spans="1:7" ht="15.75" customHeight="1">
      <c r="A9" s="1">
        <v>19274</v>
      </c>
      <c r="B9" s="2">
        <v>45112.881354166668</v>
      </c>
      <c r="C9" s="1" t="s">
        <v>0</v>
      </c>
      <c r="D9" s="1">
        <v>25</v>
      </c>
      <c r="E9" s="1" t="s">
        <v>28</v>
      </c>
    </row>
    <row r="10" spans="1:7" ht="15.75" customHeight="1">
      <c r="A10" s="1">
        <v>19267</v>
      </c>
      <c r="B10" s="2">
        <v>45112.810717592598</v>
      </c>
      <c r="C10" s="1" t="s">
        <v>0</v>
      </c>
      <c r="D10" s="1">
        <v>28</v>
      </c>
      <c r="E10" s="1" t="s">
        <v>28</v>
      </c>
    </row>
    <row r="11" spans="1:7" ht="15.75" customHeight="1">
      <c r="A11" s="1">
        <v>19266</v>
      </c>
      <c r="B11" s="2">
        <v>45112.809444444443</v>
      </c>
      <c r="C11" s="1" t="s">
        <v>0</v>
      </c>
      <c r="D11" s="1">
        <v>28</v>
      </c>
      <c r="E11" s="1" t="s">
        <v>28</v>
      </c>
    </row>
    <row r="12" spans="1:7" ht="15.75" customHeight="1">
      <c r="A12" s="1">
        <v>19265</v>
      </c>
      <c r="B12" s="2">
        <v>45112.682974537034</v>
      </c>
      <c r="C12" s="1" t="s">
        <v>0</v>
      </c>
      <c r="D12" s="1">
        <v>43</v>
      </c>
      <c r="E12" s="1" t="s">
        <v>28</v>
      </c>
    </row>
    <row r="13" spans="1:7" ht="15.75" customHeight="1">
      <c r="A13" s="1">
        <v>19264</v>
      </c>
      <c r="B13" s="2">
        <v>45112.677256944444</v>
      </c>
      <c r="C13" s="1" t="s">
        <v>0</v>
      </c>
      <c r="D13" s="1">
        <v>18</v>
      </c>
      <c r="E13" s="1" t="s">
        <v>28</v>
      </c>
    </row>
    <row r="14" spans="1:7" ht="15.75" customHeight="1">
      <c r="A14" s="1">
        <v>19263</v>
      </c>
      <c r="B14" s="2">
        <v>45112.675104166672</v>
      </c>
      <c r="C14" s="1" t="s">
        <v>0</v>
      </c>
      <c r="D14" s="1">
        <v>18</v>
      </c>
      <c r="E14" s="1" t="s">
        <v>28</v>
      </c>
    </row>
    <row r="15" spans="1:7" ht="15.75" customHeight="1">
      <c r="A15" s="1">
        <v>19261</v>
      </c>
      <c r="B15" s="2">
        <v>45111.988877314812</v>
      </c>
      <c r="C15" s="1" t="s">
        <v>0</v>
      </c>
      <c r="D15" s="1">
        <v>15</v>
      </c>
      <c r="E15" s="1" t="s">
        <v>28</v>
      </c>
    </row>
    <row r="16" spans="1:7" ht="15.75" customHeight="1">
      <c r="A16" s="1">
        <v>19260</v>
      </c>
      <c r="B16" s="2">
        <v>45110.9144212963</v>
      </c>
      <c r="C16" s="1" t="s">
        <v>0</v>
      </c>
      <c r="D16" s="1">
        <v>28</v>
      </c>
      <c r="E16" s="1" t="s">
        <v>28</v>
      </c>
    </row>
    <row r="17" spans="1:6" ht="15.75" customHeight="1">
      <c r="A17" s="1">
        <v>19259</v>
      </c>
      <c r="B17" s="2">
        <v>45110.912870370375</v>
      </c>
      <c r="C17" s="1" t="s">
        <v>0</v>
      </c>
      <c r="D17" s="1">
        <v>28</v>
      </c>
      <c r="E17" s="1" t="s">
        <v>28</v>
      </c>
    </row>
    <row r="18" spans="1:6" ht="15.75" customHeight="1">
      <c r="A18" s="1">
        <v>19258</v>
      </c>
      <c r="B18" s="2">
        <v>45110.846539351856</v>
      </c>
      <c r="C18" s="1" t="s">
        <v>0</v>
      </c>
      <c r="D18" s="1">
        <v>51</v>
      </c>
      <c r="E18" s="1" t="s">
        <v>28</v>
      </c>
    </row>
    <row r="19" spans="1:6" ht="15.75" customHeight="1">
      <c r="A19" s="1">
        <v>19257</v>
      </c>
      <c r="B19" s="2">
        <v>45110.800775462965</v>
      </c>
      <c r="C19" s="1" t="s">
        <v>0</v>
      </c>
      <c r="D19" s="1">
        <v>25</v>
      </c>
      <c r="E19" s="1" t="s">
        <v>28</v>
      </c>
    </row>
    <row r="20" spans="1:6" ht="15.75" customHeight="1">
      <c r="A20" s="1">
        <v>19256</v>
      </c>
      <c r="B20" s="2">
        <v>45110.736898148149</v>
      </c>
      <c r="C20" s="1" t="s">
        <v>0</v>
      </c>
      <c r="D20" s="1">
        <v>15</v>
      </c>
      <c r="E20" s="1" t="s">
        <v>28</v>
      </c>
    </row>
    <row r="21" spans="1:6" ht="15.75" customHeight="1">
      <c r="A21" s="1">
        <v>19255</v>
      </c>
      <c r="B21" s="2">
        <v>45110.600949074069</v>
      </c>
      <c r="C21" s="1" t="s">
        <v>0</v>
      </c>
      <c r="D21" s="1">
        <v>0</v>
      </c>
      <c r="E21" s="1" t="s">
        <v>82</v>
      </c>
    </row>
    <row r="22" spans="1:6" ht="15.75" customHeight="1">
      <c r="A22" s="1">
        <v>19254</v>
      </c>
      <c r="B22" s="2">
        <v>45110.599108796298</v>
      </c>
      <c r="C22" s="1" t="s">
        <v>0</v>
      </c>
      <c r="D22" s="1">
        <v>0</v>
      </c>
      <c r="E22" s="1" t="s">
        <v>82</v>
      </c>
    </row>
    <row r="23" spans="1:6" ht="15.75" customHeight="1">
      <c r="A23" s="1">
        <v>19253</v>
      </c>
      <c r="B23" s="2">
        <v>45110.571122685185</v>
      </c>
      <c r="C23" s="1" t="s">
        <v>8</v>
      </c>
      <c r="D23" s="1">
        <v>25</v>
      </c>
      <c r="E23" s="1" t="s">
        <v>83</v>
      </c>
      <c r="F23" s="3"/>
    </row>
    <row r="24" spans="1:6" ht="15.75" customHeight="1">
      <c r="A24" s="1">
        <v>19252</v>
      </c>
      <c r="B24" s="2">
        <v>45110.149849537032</v>
      </c>
      <c r="C24" s="1" t="s">
        <v>8</v>
      </c>
      <c r="D24" s="1">
        <v>18</v>
      </c>
      <c r="E24" s="1" t="s">
        <v>79</v>
      </c>
      <c r="F24" s="3"/>
    </row>
    <row r="25" spans="1:6" ht="15.75" customHeight="1">
      <c r="A25" s="1">
        <v>19251</v>
      </c>
      <c r="B25" s="2">
        <v>45110.096805555557</v>
      </c>
      <c r="C25" s="1" t="s">
        <v>8</v>
      </c>
      <c r="D25" s="1">
        <v>25</v>
      </c>
      <c r="E25" s="1" t="s">
        <v>15</v>
      </c>
      <c r="F25" s="3"/>
    </row>
    <row r="26" spans="1:6" ht="15.75" customHeight="1">
      <c r="A26" s="1">
        <v>19250</v>
      </c>
      <c r="B26" s="2">
        <v>45109.179548611108</v>
      </c>
      <c r="C26" s="1" t="s">
        <v>0</v>
      </c>
      <c r="D26" s="1">
        <v>18</v>
      </c>
      <c r="E26" s="1" t="s">
        <v>28</v>
      </c>
      <c r="F26" s="3"/>
    </row>
    <row r="27" spans="1:6" ht="15.75" customHeight="1">
      <c r="A27" s="1">
        <v>19249</v>
      </c>
      <c r="B27" s="2">
        <v>45109.177650462967</v>
      </c>
      <c r="C27" s="1" t="s">
        <v>0</v>
      </c>
      <c r="D27" s="1">
        <v>18</v>
      </c>
      <c r="E27" s="1" t="s">
        <v>28</v>
      </c>
      <c r="F27" s="3"/>
    </row>
    <row r="28" spans="1:6" ht="15.75" customHeight="1">
      <c r="A28" s="1">
        <v>19248</v>
      </c>
      <c r="B28" s="2">
        <v>45109.073263888888</v>
      </c>
      <c r="C28" s="1" t="s">
        <v>5</v>
      </c>
      <c r="D28" s="1">
        <v>26</v>
      </c>
      <c r="E28" s="1" t="s">
        <v>59</v>
      </c>
      <c r="F28" s="3"/>
    </row>
    <row r="29" spans="1:6" ht="15.75" customHeight="1">
      <c r="A29" s="1">
        <v>19247</v>
      </c>
      <c r="B29" s="2">
        <v>45108.912395833337</v>
      </c>
      <c r="C29" s="1" t="s">
        <v>8</v>
      </c>
      <c r="D29" s="1">
        <v>26</v>
      </c>
      <c r="E29" s="1" t="s">
        <v>85</v>
      </c>
      <c r="F29" s="3"/>
    </row>
    <row r="30" spans="1:6" ht="15.75" customHeight="1">
      <c r="A30" s="1">
        <v>19246</v>
      </c>
      <c r="B30" s="2">
        <v>45108.83315972222</v>
      </c>
      <c r="C30" s="1" t="s">
        <v>0</v>
      </c>
      <c r="D30" s="1">
        <v>20</v>
      </c>
      <c r="E30" s="1" t="s">
        <v>28</v>
      </c>
      <c r="F30" s="3"/>
    </row>
    <row r="31" spans="1:6" ht="15.75" customHeight="1">
      <c r="A31" s="1">
        <v>19245</v>
      </c>
      <c r="B31" s="2">
        <v>45108.732777777783</v>
      </c>
      <c r="C31" s="1" t="s">
        <v>0</v>
      </c>
      <c r="D31" s="1">
        <v>18</v>
      </c>
      <c r="E31" s="1" t="s">
        <v>39</v>
      </c>
      <c r="F31" s="3"/>
    </row>
    <row r="32" spans="1:6" ht="15.75" customHeight="1">
      <c r="A32" s="1">
        <v>19244</v>
      </c>
      <c r="B32" s="2">
        <v>45108.573159722218</v>
      </c>
      <c r="C32" s="1" t="s">
        <v>16</v>
      </c>
      <c r="D32" s="1">
        <v>25</v>
      </c>
      <c r="E32" s="1" t="s">
        <v>15</v>
      </c>
      <c r="F32" s="3"/>
    </row>
    <row r="33" spans="1:6" ht="15.75" customHeight="1">
      <c r="A33" s="1">
        <v>19243</v>
      </c>
      <c r="B33" s="2">
        <v>45108.555439814816</v>
      </c>
      <c r="C33" s="1" t="s">
        <v>0</v>
      </c>
      <c r="D33" s="1">
        <v>15</v>
      </c>
      <c r="E33" s="1" t="s">
        <v>39</v>
      </c>
      <c r="F33" s="3"/>
    </row>
    <row r="34" spans="1:6" ht="15.75" customHeight="1">
      <c r="A34" s="1">
        <v>19242</v>
      </c>
      <c r="B34" s="2">
        <v>45108.121111111112</v>
      </c>
      <c r="C34" s="1" t="s">
        <v>0</v>
      </c>
      <c r="D34" s="1">
        <v>70</v>
      </c>
      <c r="E34" s="1" t="s">
        <v>39</v>
      </c>
      <c r="F34" s="3"/>
    </row>
    <row r="35" spans="1:6" ht="15.75" customHeight="1">
      <c r="A35" s="1">
        <v>19241</v>
      </c>
      <c r="B35" s="2">
        <v>45108.10291666667</v>
      </c>
      <c r="C35" s="1" t="s">
        <v>5</v>
      </c>
      <c r="D35" s="1">
        <v>40</v>
      </c>
      <c r="E35" s="1" t="s">
        <v>50</v>
      </c>
      <c r="F35" s="3"/>
    </row>
    <row r="36" spans="1:6" ht="15.75" customHeight="1">
      <c r="A36" s="1">
        <v>19240</v>
      </c>
      <c r="B36" s="2">
        <v>45107.822592592594</v>
      </c>
      <c r="C36" s="1" t="s">
        <v>0</v>
      </c>
      <c r="D36" s="1">
        <v>18</v>
      </c>
      <c r="E36" s="1" t="s">
        <v>39</v>
      </c>
      <c r="F36" s="3"/>
    </row>
    <row r="37" spans="1:6" ht="15.75" customHeight="1">
      <c r="A37" s="1">
        <v>19239</v>
      </c>
      <c r="B37" s="2">
        <v>45107.71230324074</v>
      </c>
      <c r="C37" s="1" t="s">
        <v>0</v>
      </c>
      <c r="D37" s="1">
        <v>25</v>
      </c>
      <c r="E37" s="1" t="s">
        <v>28</v>
      </c>
      <c r="F37" s="3"/>
    </row>
    <row r="38" spans="1:6" ht="15.75" customHeight="1">
      <c r="A38" s="1">
        <v>19238</v>
      </c>
      <c r="B38" s="2">
        <v>45107.710775462961</v>
      </c>
      <c r="C38" s="1" t="s">
        <v>0</v>
      </c>
      <c r="D38" s="1">
        <v>25</v>
      </c>
      <c r="E38" s="1" t="s">
        <v>28</v>
      </c>
      <c r="F38" s="3"/>
    </row>
    <row r="39" spans="1:6" ht="15.75" customHeight="1">
      <c r="A39" s="1">
        <v>19237</v>
      </c>
      <c r="B39" s="2">
        <v>45107.68241898148</v>
      </c>
      <c r="C39" s="1" t="s">
        <v>0</v>
      </c>
      <c r="D39" s="1">
        <v>30</v>
      </c>
      <c r="E39" s="1" t="s">
        <v>28</v>
      </c>
      <c r="F39" s="3"/>
    </row>
    <row r="40" spans="1:6" ht="15.75" customHeight="1">
      <c r="A40" s="1">
        <v>19236</v>
      </c>
      <c r="B40" s="2">
        <v>45106.850138888884</v>
      </c>
      <c r="C40" s="1" t="s">
        <v>0</v>
      </c>
      <c r="D40" s="1">
        <v>26</v>
      </c>
      <c r="E40" s="1" t="s">
        <v>28</v>
      </c>
      <c r="F40" s="3"/>
    </row>
    <row r="41" spans="1:6" ht="15.75" customHeight="1">
      <c r="A41" s="1">
        <v>19235</v>
      </c>
      <c r="B41" s="2">
        <v>45106.84679398148</v>
      </c>
      <c r="C41" s="1" t="s">
        <v>0</v>
      </c>
      <c r="D41" s="1">
        <v>26</v>
      </c>
      <c r="E41" s="1" t="s">
        <v>28</v>
      </c>
      <c r="F41" s="3"/>
    </row>
    <row r="42" spans="1:6" ht="15.75" customHeight="1">
      <c r="A42" s="1">
        <v>19234</v>
      </c>
      <c r="B42" s="2">
        <v>45106.575138888889</v>
      </c>
      <c r="C42" s="1" t="s">
        <v>0</v>
      </c>
      <c r="D42" s="1">
        <v>26</v>
      </c>
      <c r="E42" s="1" t="s">
        <v>28</v>
      </c>
      <c r="F42" s="3"/>
    </row>
    <row r="43" spans="1:6" ht="15.75" customHeight="1">
      <c r="A43" s="1">
        <v>19233</v>
      </c>
      <c r="B43" s="2">
        <v>45106.572847222225</v>
      </c>
      <c r="C43" s="1" t="s">
        <v>0</v>
      </c>
      <c r="D43" s="1">
        <v>26</v>
      </c>
      <c r="E43" s="1" t="s">
        <v>28</v>
      </c>
      <c r="F43" s="3"/>
    </row>
    <row r="44" spans="1:6" ht="15.75" customHeight="1">
      <c r="A44" s="1">
        <v>19232</v>
      </c>
      <c r="B44" s="2">
        <v>45106.511111111111</v>
      </c>
      <c r="C44" s="1" t="s">
        <v>0</v>
      </c>
      <c r="D44" s="1">
        <v>25</v>
      </c>
      <c r="E44" s="1" t="s">
        <v>28</v>
      </c>
      <c r="F44" s="3"/>
    </row>
    <row r="45" spans="1:6" ht="15.75" customHeight="1">
      <c r="A45" s="1">
        <v>19231</v>
      </c>
      <c r="B45" s="2">
        <v>45106.005740740744</v>
      </c>
      <c r="C45" s="1" t="s">
        <v>8</v>
      </c>
      <c r="D45" s="1">
        <v>25</v>
      </c>
      <c r="E45" s="1" t="s">
        <v>59</v>
      </c>
      <c r="F45" s="3"/>
    </row>
    <row r="46" spans="1:6" ht="15.75" customHeight="1">
      <c r="A46" s="1">
        <v>19230</v>
      </c>
      <c r="B46" s="2">
        <v>45105.967511574076</v>
      </c>
      <c r="C46" s="1" t="s">
        <v>0</v>
      </c>
      <c r="D46" s="1">
        <v>0</v>
      </c>
      <c r="E46" s="1" t="s">
        <v>28</v>
      </c>
      <c r="F46" s="3"/>
    </row>
    <row r="47" spans="1:6" ht="15.75" customHeight="1">
      <c r="A47" s="1">
        <v>19229</v>
      </c>
      <c r="B47" s="2">
        <v>45105.965983796297</v>
      </c>
      <c r="C47" s="1" t="s">
        <v>0</v>
      </c>
      <c r="D47" s="1">
        <v>65</v>
      </c>
      <c r="E47" s="1" t="s">
        <v>28</v>
      </c>
      <c r="F47" s="3"/>
    </row>
    <row r="48" spans="1:6" ht="15.75" customHeight="1">
      <c r="A48" s="1">
        <v>19228</v>
      </c>
      <c r="B48" s="2">
        <v>45105.955590277779</v>
      </c>
      <c r="C48" s="1" t="s">
        <v>0</v>
      </c>
      <c r="D48" s="1">
        <v>25</v>
      </c>
      <c r="E48" s="1" t="s">
        <v>39</v>
      </c>
      <c r="F48" s="3"/>
    </row>
    <row r="49" spans="1:6" ht="15.75" customHeight="1">
      <c r="A49" s="1">
        <v>19227</v>
      </c>
      <c r="B49" s="2">
        <v>45105.823136574079</v>
      </c>
      <c r="C49" s="1" t="s">
        <v>0</v>
      </c>
      <c r="D49" s="1">
        <v>53</v>
      </c>
      <c r="E49" s="1" t="s">
        <v>28</v>
      </c>
      <c r="F49" s="3"/>
    </row>
    <row r="50" spans="1:6" ht="15.75" customHeight="1">
      <c r="A50" s="1">
        <v>19226</v>
      </c>
      <c r="B50" s="2">
        <v>45105.58965277778</v>
      </c>
      <c r="C50" s="1" t="s">
        <v>0</v>
      </c>
      <c r="D50" s="1">
        <v>0</v>
      </c>
      <c r="E50" s="1" t="s">
        <v>28</v>
      </c>
      <c r="F50" s="3"/>
    </row>
    <row r="51" spans="1:6" ht="15.75" customHeight="1">
      <c r="A51" s="1">
        <v>19225</v>
      </c>
      <c r="B51" s="2">
        <v>45105.588310185187</v>
      </c>
      <c r="C51" s="1" t="s">
        <v>0</v>
      </c>
      <c r="D51" s="1">
        <v>81</v>
      </c>
      <c r="E51" s="1" t="s">
        <v>28</v>
      </c>
      <c r="F51" s="3"/>
    </row>
    <row r="52" spans="1:6" ht="15.75" customHeight="1">
      <c r="A52" s="1">
        <v>19224</v>
      </c>
      <c r="B52" s="2">
        <v>45105.579618055555</v>
      </c>
      <c r="C52" s="1" t="s">
        <v>0</v>
      </c>
      <c r="D52" s="1">
        <v>134</v>
      </c>
      <c r="E52" s="1" t="s">
        <v>28</v>
      </c>
      <c r="F52" s="3"/>
    </row>
    <row r="53" spans="1:6" ht="15.75" customHeight="1">
      <c r="A53" s="1">
        <v>19223</v>
      </c>
      <c r="B53" s="2">
        <v>45105.515798611115</v>
      </c>
      <c r="C53" s="1" t="s">
        <v>0</v>
      </c>
      <c r="D53" s="1">
        <v>25</v>
      </c>
      <c r="E53" s="1" t="s">
        <v>28</v>
      </c>
      <c r="F53" s="3"/>
    </row>
    <row r="54" spans="1:6" ht="15.75" customHeight="1">
      <c r="A54" s="1">
        <v>19222</v>
      </c>
      <c r="B54" s="2">
        <v>45105.155416666668</v>
      </c>
      <c r="C54" s="1" t="s">
        <v>0</v>
      </c>
      <c r="D54" s="1">
        <v>20</v>
      </c>
      <c r="E54" s="1" t="s">
        <v>34</v>
      </c>
      <c r="F54" s="3"/>
    </row>
    <row r="55" spans="1:6" ht="15.75" customHeight="1">
      <c r="A55" s="1">
        <v>19221</v>
      </c>
      <c r="B55" s="2">
        <v>45105.058738425927</v>
      </c>
      <c r="C55" s="1" t="s">
        <v>0</v>
      </c>
      <c r="D55" s="1">
        <v>15</v>
      </c>
      <c r="E55" s="1" t="s">
        <v>28</v>
      </c>
      <c r="F55" s="3"/>
    </row>
    <row r="56" spans="1:6" ht="15.75" customHeight="1">
      <c r="A56" s="1">
        <v>19220</v>
      </c>
      <c r="B56" s="2">
        <v>45104.862615740742</v>
      </c>
      <c r="C56" s="1" t="s">
        <v>0</v>
      </c>
      <c r="D56" s="1">
        <v>25</v>
      </c>
      <c r="E56" s="1" t="s">
        <v>28</v>
      </c>
      <c r="F56" s="3"/>
    </row>
    <row r="57" spans="1:6" ht="15.75" customHeight="1">
      <c r="A57" s="1">
        <v>19219</v>
      </c>
      <c r="B57" s="2">
        <v>45104.830231481479</v>
      </c>
      <c r="C57" s="1" t="s">
        <v>0</v>
      </c>
      <c r="D57" s="1">
        <v>18</v>
      </c>
      <c r="E57" s="1" t="s">
        <v>28</v>
      </c>
      <c r="F57" s="3"/>
    </row>
    <row r="58" spans="1:6" ht="15.75" customHeight="1">
      <c r="A58" s="1">
        <v>19218</v>
      </c>
      <c r="B58" s="2">
        <v>45104.743321759262</v>
      </c>
      <c r="C58" s="1" t="s">
        <v>0</v>
      </c>
      <c r="D58" s="1">
        <v>25</v>
      </c>
      <c r="E58" s="1" t="s">
        <v>28</v>
      </c>
      <c r="F58" s="3"/>
    </row>
    <row r="59" spans="1:6" ht="15.75" customHeight="1">
      <c r="A59" s="1">
        <v>19217</v>
      </c>
      <c r="B59" s="2">
        <v>45104.729108796295</v>
      </c>
      <c r="C59" s="1" t="s">
        <v>5</v>
      </c>
      <c r="D59" s="1">
        <v>35</v>
      </c>
      <c r="E59" s="1" t="s">
        <v>28</v>
      </c>
      <c r="F59" s="3"/>
    </row>
    <row r="60" spans="1:6" ht="15.75" customHeight="1">
      <c r="A60" s="1">
        <v>19216</v>
      </c>
      <c r="B60" s="2">
        <v>45104.61100694444</v>
      </c>
      <c r="C60" s="1" t="s">
        <v>0</v>
      </c>
      <c r="D60" s="1">
        <v>26</v>
      </c>
      <c r="E60" s="1" t="s">
        <v>28</v>
      </c>
      <c r="F60" s="3"/>
    </row>
    <row r="61" spans="1:6" ht="15.75" customHeight="1">
      <c r="A61" s="1">
        <v>19215</v>
      </c>
      <c r="B61" s="2">
        <v>45104.46774305556</v>
      </c>
      <c r="C61" s="1" t="s">
        <v>0</v>
      </c>
      <c r="D61" s="1">
        <v>53</v>
      </c>
      <c r="E61" s="1" t="s">
        <v>28</v>
      </c>
      <c r="F61" s="3"/>
    </row>
    <row r="62" spans="1:6" ht="15.75" customHeight="1">
      <c r="A62" s="1">
        <v>19214</v>
      </c>
      <c r="B62" s="2">
        <v>45104.141932870371</v>
      </c>
      <c r="C62" s="1" t="s">
        <v>0</v>
      </c>
      <c r="D62" s="1">
        <v>25</v>
      </c>
      <c r="E62" s="1" t="s">
        <v>28</v>
      </c>
      <c r="F62" s="3"/>
    </row>
    <row r="63" spans="1:6" ht="15.75" customHeight="1">
      <c r="A63" s="1">
        <v>19213</v>
      </c>
      <c r="B63" s="2">
        <v>45104.023356481484</v>
      </c>
      <c r="C63" s="1" t="s">
        <v>0</v>
      </c>
      <c r="D63" s="1">
        <v>0</v>
      </c>
      <c r="E63" s="1" t="s">
        <v>28</v>
      </c>
      <c r="F63" s="3"/>
    </row>
    <row r="64" spans="1:6" ht="15.75" customHeight="1">
      <c r="A64" s="1">
        <v>19212</v>
      </c>
      <c r="B64" s="2">
        <v>45104.007847222223</v>
      </c>
      <c r="C64" s="1" t="s">
        <v>0</v>
      </c>
      <c r="D64" s="1">
        <v>20</v>
      </c>
      <c r="E64" s="1" t="s">
        <v>28</v>
      </c>
      <c r="F64" s="3"/>
    </row>
    <row r="65" spans="1:6" ht="15.75" customHeight="1">
      <c r="A65" s="1">
        <v>19211</v>
      </c>
      <c r="B65" s="2">
        <v>45103.975520833337</v>
      </c>
      <c r="C65" s="1" t="s">
        <v>0</v>
      </c>
      <c r="D65" s="1">
        <v>22</v>
      </c>
      <c r="E65" s="1" t="s">
        <v>28</v>
      </c>
      <c r="F65" s="3"/>
    </row>
    <row r="66" spans="1:6" ht="15.75" customHeight="1">
      <c r="A66" s="1">
        <v>19210</v>
      </c>
      <c r="B66" s="2">
        <v>45103.95275462963</v>
      </c>
      <c r="C66" s="1" t="s">
        <v>0</v>
      </c>
      <c r="D66" s="1">
        <v>78</v>
      </c>
      <c r="E66" s="1" t="s">
        <v>28</v>
      </c>
      <c r="F66" s="3"/>
    </row>
    <row r="67" spans="1:6" ht="15.75" customHeight="1">
      <c r="A67" s="1">
        <v>19209</v>
      </c>
      <c r="B67" s="2">
        <v>45103.873460648145</v>
      </c>
      <c r="C67" s="1" t="s">
        <v>0</v>
      </c>
      <c r="D67" s="1">
        <v>25</v>
      </c>
      <c r="E67" s="1" t="s">
        <v>28</v>
      </c>
      <c r="F67" s="3"/>
    </row>
    <row r="68" spans="1:6" ht="15.75" customHeight="1">
      <c r="A68" s="1">
        <v>19208</v>
      </c>
      <c r="B68" s="2">
        <v>45103.869456018518</v>
      </c>
      <c r="C68" s="1" t="s">
        <v>5</v>
      </c>
      <c r="D68" s="1">
        <v>25</v>
      </c>
      <c r="E68" s="1" t="s">
        <v>28</v>
      </c>
      <c r="F68" s="3"/>
    </row>
    <row r="69" spans="1:6" ht="15.75" customHeight="1">
      <c r="A69" s="1">
        <v>19207</v>
      </c>
      <c r="B69" s="2">
        <v>45103.808854166666</v>
      </c>
      <c r="C69" s="1" t="s">
        <v>0</v>
      </c>
      <c r="D69" s="1">
        <v>26</v>
      </c>
      <c r="E69" s="1" t="s">
        <v>28</v>
      </c>
      <c r="F69" s="3"/>
    </row>
    <row r="70" spans="1:6" ht="15.75" customHeight="1">
      <c r="A70" s="1">
        <v>19206</v>
      </c>
      <c r="B70" s="2">
        <v>45103.703321759254</v>
      </c>
      <c r="C70" s="1" t="s">
        <v>10</v>
      </c>
      <c r="D70" s="1">
        <v>15</v>
      </c>
      <c r="E70" s="1" t="s">
        <v>79</v>
      </c>
      <c r="F70" s="3"/>
    </row>
    <row r="71" spans="1:6" ht="15.75" customHeight="1">
      <c r="A71" s="1">
        <v>19205</v>
      </c>
      <c r="B71" s="2">
        <v>45103.657118055555</v>
      </c>
      <c r="C71" s="1" t="s">
        <v>0</v>
      </c>
      <c r="D71" s="1">
        <v>20</v>
      </c>
      <c r="E71" s="1" t="s">
        <v>28</v>
      </c>
      <c r="F71" s="3"/>
    </row>
    <row r="72" spans="1:6" ht="15.75" customHeight="1">
      <c r="A72" s="1">
        <v>19204</v>
      </c>
      <c r="B72" s="2">
        <v>45103.649976851855</v>
      </c>
      <c r="C72" s="1" t="s">
        <v>0</v>
      </c>
      <c r="D72" s="1">
        <v>25</v>
      </c>
      <c r="E72" s="1" t="s">
        <v>28</v>
      </c>
      <c r="F72" s="3"/>
    </row>
    <row r="73" spans="1:6" ht="15.75" customHeight="1">
      <c r="A73" s="1">
        <v>19203</v>
      </c>
      <c r="B73" s="2">
        <v>45103.559212962966</v>
      </c>
      <c r="C73" s="1" t="s">
        <v>0</v>
      </c>
      <c r="D73" s="1">
        <v>0</v>
      </c>
      <c r="E73" s="1" t="s">
        <v>28</v>
      </c>
      <c r="F73" s="3"/>
    </row>
    <row r="74" spans="1:6" ht="15.75" customHeight="1">
      <c r="A74" s="1">
        <v>19202</v>
      </c>
      <c r="B74" s="2">
        <v>45103.557789351849</v>
      </c>
      <c r="C74" s="1" t="s">
        <v>0</v>
      </c>
      <c r="D74" s="1">
        <v>18</v>
      </c>
      <c r="E74" s="1" t="s">
        <v>28</v>
      </c>
      <c r="F74" s="3"/>
    </row>
    <row r="75" spans="1:6" ht="15.75" customHeight="1">
      <c r="A75" s="1">
        <v>19201</v>
      </c>
      <c r="B75" s="2">
        <v>45103.063819444447</v>
      </c>
      <c r="C75" s="1" t="s">
        <v>0</v>
      </c>
      <c r="D75" s="1">
        <v>15</v>
      </c>
      <c r="E75" s="1" t="s">
        <v>28</v>
      </c>
      <c r="F75" s="3"/>
    </row>
    <row r="76" spans="1:6" ht="15.75" customHeight="1">
      <c r="A76" s="1">
        <v>19200</v>
      </c>
      <c r="B76" s="2">
        <v>45103.034618055557</v>
      </c>
      <c r="C76" s="1" t="s">
        <v>0</v>
      </c>
      <c r="D76" s="1">
        <v>25</v>
      </c>
      <c r="E76" s="1" t="s">
        <v>28</v>
      </c>
      <c r="F76" s="3"/>
    </row>
    <row r="77" spans="1:6" ht="15.75" customHeight="1">
      <c r="A77" s="1">
        <v>19199</v>
      </c>
      <c r="B77" s="2">
        <v>45102.990740740745</v>
      </c>
      <c r="C77" s="1" t="s">
        <v>0</v>
      </c>
      <c r="D77" s="1">
        <v>52</v>
      </c>
      <c r="E77" s="1" t="s">
        <v>28</v>
      </c>
      <c r="F77" s="3"/>
    </row>
    <row r="78" spans="1:6" ht="15.75" customHeight="1">
      <c r="A78" s="1">
        <v>19198</v>
      </c>
      <c r="B78" s="2">
        <v>45102.989282407405</v>
      </c>
      <c r="C78" s="1" t="s">
        <v>0</v>
      </c>
      <c r="D78" s="1">
        <v>35</v>
      </c>
      <c r="E78" s="1" t="s">
        <v>28</v>
      </c>
      <c r="F78" s="3"/>
    </row>
    <row r="79" spans="1:6" ht="15.75" customHeight="1">
      <c r="A79" s="1">
        <v>19197</v>
      </c>
      <c r="B79" s="2">
        <v>45102.874652777777</v>
      </c>
      <c r="C79" s="1" t="s">
        <v>0</v>
      </c>
      <c r="D79" s="1">
        <v>53</v>
      </c>
      <c r="E79" s="1" t="s">
        <v>28</v>
      </c>
      <c r="F79" s="3"/>
    </row>
    <row r="80" spans="1:6" ht="15.75" customHeight="1">
      <c r="A80" s="1">
        <v>19196</v>
      </c>
      <c r="B80" s="2">
        <v>45102.872731481482</v>
      </c>
      <c r="C80" s="1" t="s">
        <v>0</v>
      </c>
      <c r="D80" s="1">
        <v>15</v>
      </c>
      <c r="E80" s="1" t="s">
        <v>28</v>
      </c>
      <c r="F80" s="3"/>
    </row>
    <row r="81" spans="1:6" ht="15.75" customHeight="1">
      <c r="A81" s="1">
        <v>19195</v>
      </c>
      <c r="B81" s="2">
        <v>45102.870659722219</v>
      </c>
      <c r="C81" s="1" t="s">
        <v>0</v>
      </c>
      <c r="D81" s="1">
        <v>15</v>
      </c>
      <c r="E81" s="1" t="s">
        <v>28</v>
      </c>
      <c r="F81" s="3"/>
    </row>
    <row r="82" spans="1:6" ht="15.75" customHeight="1">
      <c r="A82" s="1">
        <v>19194</v>
      </c>
      <c r="B82" s="2">
        <v>45102.799293981487</v>
      </c>
      <c r="C82" s="1" t="s">
        <v>0</v>
      </c>
      <c r="D82" s="1">
        <v>28</v>
      </c>
      <c r="E82" s="1" t="s">
        <v>28</v>
      </c>
      <c r="F82" s="3"/>
    </row>
    <row r="83" spans="1:6" ht="15.75" customHeight="1">
      <c r="A83" s="1">
        <v>19193</v>
      </c>
      <c r="B83" s="2">
        <v>45102.631261574075</v>
      </c>
      <c r="C83" s="1" t="s">
        <v>0</v>
      </c>
      <c r="D83" s="1">
        <v>26</v>
      </c>
      <c r="E83" s="1" t="s">
        <v>28</v>
      </c>
      <c r="F83" s="3"/>
    </row>
    <row r="84" spans="1:6" ht="15.75" customHeight="1">
      <c r="A84" s="1">
        <v>19192</v>
      </c>
      <c r="B84" s="2">
        <v>45102.60869212963</v>
      </c>
      <c r="C84" s="1" t="s">
        <v>0</v>
      </c>
      <c r="D84" s="1">
        <v>15</v>
      </c>
      <c r="E84" s="1" t="s">
        <v>28</v>
      </c>
      <c r="F84" s="3"/>
    </row>
    <row r="85" spans="1:6" ht="15.75" customHeight="1">
      <c r="A85" s="1">
        <v>19191</v>
      </c>
      <c r="B85" s="2">
        <v>45102.608113425929</v>
      </c>
      <c r="C85" s="1" t="s">
        <v>0</v>
      </c>
      <c r="D85" s="1">
        <v>28</v>
      </c>
      <c r="E85" s="1" t="s">
        <v>28</v>
      </c>
      <c r="F85" s="3"/>
    </row>
    <row r="86" spans="1:6" ht="15.75" customHeight="1">
      <c r="A86" s="1">
        <v>19190</v>
      </c>
      <c r="B86" s="2">
        <v>45102.607210648144</v>
      </c>
      <c r="C86" s="1" t="s">
        <v>0</v>
      </c>
      <c r="D86" s="1">
        <v>25</v>
      </c>
      <c r="E86" s="1" t="s">
        <v>28</v>
      </c>
      <c r="F86" s="3"/>
    </row>
    <row r="87" spans="1:6" ht="15.75" customHeight="1">
      <c r="A87" s="1">
        <v>19189</v>
      </c>
      <c r="B87" s="2">
        <v>45102.597893518519</v>
      </c>
      <c r="C87" s="1" t="s">
        <v>0</v>
      </c>
      <c r="D87" s="1">
        <v>26</v>
      </c>
      <c r="E87" s="1" t="s">
        <v>28</v>
      </c>
      <c r="F87" s="3"/>
    </row>
    <row r="88" spans="1:6" ht="15.75" customHeight="1">
      <c r="A88" s="1">
        <v>19188</v>
      </c>
      <c r="B88" s="2">
        <v>45102.595138888893</v>
      </c>
      <c r="C88" s="1" t="s">
        <v>0</v>
      </c>
      <c r="D88" s="1">
        <v>35</v>
      </c>
      <c r="E88" s="1" t="s">
        <v>87</v>
      </c>
      <c r="F88" s="3"/>
    </row>
    <row r="89" spans="1:6" ht="15.75" customHeight="1">
      <c r="A89" s="1">
        <v>19187</v>
      </c>
      <c r="B89" s="2">
        <v>45102.586817129632</v>
      </c>
      <c r="C89" s="1" t="s">
        <v>0</v>
      </c>
      <c r="D89" s="1">
        <v>35</v>
      </c>
      <c r="E89" s="1" t="s">
        <v>28</v>
      </c>
      <c r="F89" s="3"/>
    </row>
    <row r="90" spans="1:6" ht="15.75" customHeight="1">
      <c r="A90" s="1">
        <v>19186</v>
      </c>
      <c r="B90" s="2">
        <v>45102.585497685184</v>
      </c>
      <c r="C90" s="1" t="s">
        <v>0</v>
      </c>
      <c r="D90" s="1">
        <v>35</v>
      </c>
      <c r="E90" s="1" t="s">
        <v>28</v>
      </c>
      <c r="F90" s="3"/>
    </row>
    <row r="91" spans="1:6" ht="15.75" customHeight="1">
      <c r="A91" s="1">
        <v>19185</v>
      </c>
      <c r="B91" s="2">
        <v>45102.584664351853</v>
      </c>
      <c r="C91" s="1" t="s">
        <v>0</v>
      </c>
      <c r="D91" s="1">
        <v>15</v>
      </c>
      <c r="E91" s="1" t="s">
        <v>28</v>
      </c>
      <c r="F91" s="3"/>
    </row>
    <row r="92" spans="1:6" ht="15.75" customHeight="1">
      <c r="A92" s="1">
        <v>19184</v>
      </c>
      <c r="B92" s="2">
        <v>45102.583333333328</v>
      </c>
      <c r="C92" s="1" t="s">
        <v>0</v>
      </c>
      <c r="D92" s="1">
        <v>35</v>
      </c>
      <c r="E92" s="1" t="s">
        <v>28</v>
      </c>
      <c r="F92" s="3"/>
    </row>
    <row r="93" spans="1:6" ht="15.75" customHeight="1">
      <c r="A93" s="1">
        <v>19183</v>
      </c>
      <c r="B93" s="2">
        <v>45102.573680555557</v>
      </c>
      <c r="C93" s="1" t="s">
        <v>0</v>
      </c>
      <c r="D93" s="1">
        <v>25</v>
      </c>
      <c r="E93" s="1" t="s">
        <v>28</v>
      </c>
      <c r="F93" s="3"/>
    </row>
    <row r="94" spans="1:6" ht="15.75" customHeight="1">
      <c r="A94" s="1">
        <v>19182</v>
      </c>
      <c r="B94" s="2">
        <v>45102.555543981478</v>
      </c>
      <c r="C94" s="1" t="s">
        <v>0</v>
      </c>
      <c r="D94" s="1">
        <v>25</v>
      </c>
      <c r="E94" s="1" t="s">
        <v>28</v>
      </c>
      <c r="F94" s="3"/>
    </row>
    <row r="95" spans="1:6" ht="15.75" customHeight="1">
      <c r="A95" s="1">
        <v>19181</v>
      </c>
      <c r="B95" s="2">
        <v>45102.554224537038</v>
      </c>
      <c r="C95" s="1" t="s">
        <v>0</v>
      </c>
      <c r="D95" s="1">
        <v>25</v>
      </c>
      <c r="E95" s="1" t="s">
        <v>28</v>
      </c>
      <c r="F95" s="3"/>
    </row>
    <row r="96" spans="1:6" ht="15.75" customHeight="1">
      <c r="A96" s="1">
        <v>19180</v>
      </c>
      <c r="B96" s="2">
        <v>45102.550983796296</v>
      </c>
      <c r="C96" s="1" t="s">
        <v>0</v>
      </c>
      <c r="D96" s="1">
        <v>28</v>
      </c>
      <c r="E96" s="1" t="s">
        <v>28</v>
      </c>
      <c r="F96" s="3"/>
    </row>
    <row r="97" spans="1:6" ht="15.75" customHeight="1">
      <c r="A97" s="1">
        <v>19179</v>
      </c>
      <c r="B97" s="2">
        <v>45102.549780092595</v>
      </c>
      <c r="C97" s="1" t="s">
        <v>0</v>
      </c>
      <c r="D97" s="1">
        <v>55</v>
      </c>
      <c r="E97" s="1" t="s">
        <v>28</v>
      </c>
      <c r="F97" s="3"/>
    </row>
    <row r="98" spans="1:6" ht="15.75" customHeight="1">
      <c r="A98" s="1">
        <v>19178</v>
      </c>
      <c r="B98" s="2">
        <v>45102.527800925927</v>
      </c>
      <c r="C98" s="1" t="s">
        <v>0</v>
      </c>
      <c r="D98" s="1">
        <v>20</v>
      </c>
      <c r="E98" s="1" t="s">
        <v>28</v>
      </c>
      <c r="F98" s="3"/>
    </row>
    <row r="99" spans="1:6" ht="15.75" customHeight="1">
      <c r="A99" s="1">
        <v>19177</v>
      </c>
      <c r="B99" s="2">
        <v>45102.526539351849</v>
      </c>
      <c r="C99" s="1" t="s">
        <v>0</v>
      </c>
      <c r="D99" s="1">
        <v>20</v>
      </c>
      <c r="E99" s="1" t="s">
        <v>28</v>
      </c>
      <c r="F99" s="3"/>
    </row>
    <row r="100" spans="1:6" ht="15.75" customHeight="1">
      <c r="A100" s="1">
        <v>19176</v>
      </c>
      <c r="B100" s="2">
        <v>45102.522060185191</v>
      </c>
      <c r="C100" s="1" t="s">
        <v>0</v>
      </c>
      <c r="D100" s="1">
        <v>35</v>
      </c>
      <c r="E100" s="1" t="s">
        <v>28</v>
      </c>
      <c r="F100" s="3"/>
    </row>
    <row r="101" spans="1:6" ht="15.75" customHeight="1">
      <c r="A101" s="1">
        <v>19175</v>
      </c>
      <c r="B101" s="2">
        <v>45102.505277777775</v>
      </c>
      <c r="C101" s="1" t="s">
        <v>0</v>
      </c>
      <c r="D101" s="1">
        <v>18</v>
      </c>
      <c r="E101" s="1" t="s">
        <v>28</v>
      </c>
      <c r="F101" s="3"/>
    </row>
    <row r="102" spans="1:6" ht="15.75" customHeight="1">
      <c r="A102" s="1">
        <v>19174</v>
      </c>
      <c r="B102" s="2">
        <v>45102.267754629633</v>
      </c>
      <c r="C102" s="1" t="s">
        <v>0</v>
      </c>
      <c r="D102" s="1">
        <v>80</v>
      </c>
      <c r="E102" s="1" t="s">
        <v>28</v>
      </c>
      <c r="F102" s="3"/>
    </row>
    <row r="103" spans="1:6" ht="15.75" customHeight="1">
      <c r="A103" s="1">
        <v>19173</v>
      </c>
      <c r="B103" s="2">
        <v>45102.22625</v>
      </c>
      <c r="C103" s="1" t="s">
        <v>0</v>
      </c>
      <c r="D103" s="1">
        <v>28</v>
      </c>
      <c r="E103" s="1" t="s">
        <v>39</v>
      </c>
      <c r="F103" s="3"/>
    </row>
    <row r="104" spans="1:6" ht="15.75" customHeight="1">
      <c r="A104" s="1">
        <v>19172</v>
      </c>
      <c r="B104" s="2">
        <v>45102.13548611111</v>
      </c>
      <c r="C104" s="1" t="s">
        <v>0</v>
      </c>
      <c r="D104" s="1">
        <v>20</v>
      </c>
      <c r="E104" s="1" t="s">
        <v>28</v>
      </c>
      <c r="F104" s="3"/>
    </row>
    <row r="105" spans="1:6" ht="15.75" customHeight="1">
      <c r="A105" s="1">
        <v>19171</v>
      </c>
      <c r="B105" s="2">
        <v>45102.133703703701</v>
      </c>
      <c r="C105" s="1" t="s">
        <v>0</v>
      </c>
      <c r="D105" s="1">
        <v>20</v>
      </c>
      <c r="E105" s="1" t="s">
        <v>28</v>
      </c>
      <c r="F105" s="3"/>
    </row>
    <row r="106" spans="1:6" ht="15.75" customHeight="1">
      <c r="A106" s="1">
        <v>19170</v>
      </c>
      <c r="B106" s="2">
        <v>45102.132569444446</v>
      </c>
      <c r="C106" s="1" t="s">
        <v>0</v>
      </c>
      <c r="D106" s="1">
        <v>20</v>
      </c>
      <c r="E106" s="1" t="s">
        <v>28</v>
      </c>
      <c r="F106" s="3"/>
    </row>
    <row r="107" spans="1:6" ht="15.75" customHeight="1">
      <c r="A107" s="1">
        <v>19169</v>
      </c>
      <c r="B107" s="2">
        <v>45102.032048611116</v>
      </c>
      <c r="C107" s="1" t="s">
        <v>0</v>
      </c>
      <c r="D107" s="1">
        <v>25</v>
      </c>
      <c r="E107" s="1" t="s">
        <v>88</v>
      </c>
      <c r="F107" s="3"/>
    </row>
    <row r="108" spans="1:6" ht="15.75" customHeight="1">
      <c r="A108" s="1">
        <v>19168</v>
      </c>
      <c r="B108" s="2">
        <v>45101.852870370371</v>
      </c>
      <c r="C108" s="1" t="s">
        <v>0</v>
      </c>
      <c r="D108" s="1">
        <v>26</v>
      </c>
      <c r="E108" s="1" t="s">
        <v>28</v>
      </c>
      <c r="F108" s="3"/>
    </row>
    <row r="109" spans="1:6" ht="15.75" customHeight="1">
      <c r="A109" s="1">
        <v>19167</v>
      </c>
      <c r="B109" s="2">
        <v>45101.848043981481</v>
      </c>
      <c r="C109" s="1" t="s">
        <v>0</v>
      </c>
      <c r="D109" s="1">
        <v>26</v>
      </c>
      <c r="E109" s="1" t="s">
        <v>28</v>
      </c>
      <c r="F109" s="3"/>
    </row>
    <row r="110" spans="1:6" ht="15.75" customHeight="1">
      <c r="A110" s="1">
        <v>19166</v>
      </c>
      <c r="B110" s="2">
        <v>45101.814317129625</v>
      </c>
      <c r="C110" s="1" t="s">
        <v>0</v>
      </c>
      <c r="D110" s="1">
        <v>18</v>
      </c>
      <c r="E110" s="1" t="s">
        <v>28</v>
      </c>
      <c r="F110" s="3"/>
    </row>
    <row r="111" spans="1:6" ht="15.75" customHeight="1">
      <c r="A111" s="1">
        <v>19165</v>
      </c>
      <c r="B111" s="2">
        <v>45101.811412037037</v>
      </c>
      <c r="C111" s="1" t="s">
        <v>0</v>
      </c>
      <c r="D111" s="1">
        <v>33</v>
      </c>
      <c r="E111" s="1" t="s">
        <v>28</v>
      </c>
      <c r="F111" s="3"/>
    </row>
    <row r="112" spans="1:6" ht="15.75" customHeight="1">
      <c r="A112" s="1">
        <v>19164</v>
      </c>
      <c r="B112" s="2">
        <v>45101.774537037039</v>
      </c>
      <c r="C112" s="1" t="s">
        <v>0</v>
      </c>
      <c r="D112" s="1">
        <v>18</v>
      </c>
      <c r="E112" s="1" t="s">
        <v>28</v>
      </c>
      <c r="F112" s="3"/>
    </row>
    <row r="113" spans="1:6" ht="15.75" customHeight="1">
      <c r="A113" s="1">
        <v>19163</v>
      </c>
      <c r="B113" s="2">
        <v>45101.71402777778</v>
      </c>
      <c r="C113" s="1" t="s">
        <v>0</v>
      </c>
      <c r="D113" s="1">
        <v>26</v>
      </c>
      <c r="E113" s="1" t="s">
        <v>28</v>
      </c>
      <c r="F113" s="3"/>
    </row>
    <row r="114" spans="1:6" ht="15.75" customHeight="1">
      <c r="A114" s="1">
        <v>19162</v>
      </c>
      <c r="B114" s="2">
        <v>45101.713090277779</v>
      </c>
      <c r="C114" s="1" t="s">
        <v>5</v>
      </c>
      <c r="D114" s="1">
        <v>25</v>
      </c>
      <c r="E114" s="1" t="s">
        <v>28</v>
      </c>
      <c r="F114" s="3"/>
    </row>
    <row r="115" spans="1:6" ht="15.75" customHeight="1">
      <c r="A115" s="1">
        <v>19161</v>
      </c>
      <c r="B115" s="2">
        <v>45101.689328703702</v>
      </c>
      <c r="C115" s="1" t="s">
        <v>0</v>
      </c>
      <c r="D115" s="1">
        <v>35</v>
      </c>
      <c r="E115" s="1" t="s">
        <v>28</v>
      </c>
      <c r="F115" s="3"/>
    </row>
    <row r="116" spans="1:6" ht="15.75" customHeight="1">
      <c r="A116" s="1">
        <v>19160</v>
      </c>
      <c r="B116" s="2">
        <v>45101.688055555554</v>
      </c>
      <c r="C116" s="1" t="s">
        <v>0</v>
      </c>
      <c r="D116" s="1">
        <v>25</v>
      </c>
      <c r="E116" s="1" t="s">
        <v>28</v>
      </c>
      <c r="F116" s="3"/>
    </row>
    <row r="117" spans="1:6" ht="15.75" customHeight="1">
      <c r="A117" s="1">
        <v>19159</v>
      </c>
      <c r="B117" s="2">
        <v>45101.684224537035</v>
      </c>
      <c r="C117" s="1" t="s">
        <v>0</v>
      </c>
      <c r="D117" s="1">
        <v>20</v>
      </c>
      <c r="E117" s="1" t="s">
        <v>28</v>
      </c>
      <c r="F117" s="3"/>
    </row>
    <row r="118" spans="1:6" ht="15.75" customHeight="1">
      <c r="A118" s="1">
        <v>19158</v>
      </c>
      <c r="B118" s="2">
        <v>45101.681400462963</v>
      </c>
      <c r="C118" s="1" t="s">
        <v>0</v>
      </c>
      <c r="D118" s="1">
        <v>40</v>
      </c>
      <c r="E118" s="1" t="s">
        <v>28</v>
      </c>
      <c r="F118" s="3"/>
    </row>
    <row r="119" spans="1:6" ht="15.75" customHeight="1">
      <c r="A119" s="1">
        <v>19157</v>
      </c>
      <c r="B119" s="2">
        <v>45101.680555555555</v>
      </c>
      <c r="C119" s="1" t="s">
        <v>0</v>
      </c>
      <c r="D119" s="1">
        <v>18</v>
      </c>
      <c r="E119" s="1" t="s">
        <v>89</v>
      </c>
      <c r="F119" s="3"/>
    </row>
    <row r="120" spans="1:6" ht="15.75" customHeight="1">
      <c r="A120" s="1">
        <v>19156</v>
      </c>
      <c r="B120" s="2">
        <v>45101.6799537037</v>
      </c>
      <c r="C120" s="1" t="s">
        <v>0</v>
      </c>
      <c r="D120" s="1">
        <v>25</v>
      </c>
      <c r="E120" s="1" t="s">
        <v>28</v>
      </c>
      <c r="F120" s="3"/>
    </row>
    <row r="121" spans="1:6" ht="15.75" customHeight="1">
      <c r="A121" s="1">
        <v>19155</v>
      </c>
      <c r="B121" s="2">
        <v>45101.674062499995</v>
      </c>
      <c r="C121" s="1" t="s">
        <v>0</v>
      </c>
      <c r="D121" s="1">
        <v>25</v>
      </c>
      <c r="E121" s="1" t="s">
        <v>28</v>
      </c>
      <c r="F121" s="3"/>
    </row>
    <row r="122" spans="1:6" ht="15.75" customHeight="1">
      <c r="A122" s="1">
        <v>19154</v>
      </c>
      <c r="B122" s="2">
        <v>45101.666620370372</v>
      </c>
      <c r="C122" s="1" t="s">
        <v>0</v>
      </c>
      <c r="D122" s="1">
        <v>15</v>
      </c>
      <c r="E122" s="1" t="s">
        <v>28</v>
      </c>
      <c r="F122" s="3"/>
    </row>
    <row r="123" spans="1:6" ht="15.75" customHeight="1">
      <c r="A123" s="1">
        <v>19153</v>
      </c>
      <c r="B123" s="2">
        <v>45101.666446759264</v>
      </c>
      <c r="C123" s="1" t="s">
        <v>0</v>
      </c>
      <c r="D123" s="1">
        <v>25</v>
      </c>
      <c r="E123" s="1" t="s">
        <v>28</v>
      </c>
      <c r="F123" s="3"/>
    </row>
    <row r="124" spans="1:6" ht="15.75" customHeight="1">
      <c r="A124" s="1">
        <v>19152</v>
      </c>
      <c r="B124" s="2">
        <v>45101.663634259261</v>
      </c>
      <c r="C124" s="1" t="s">
        <v>0</v>
      </c>
      <c r="D124" s="1">
        <v>48</v>
      </c>
      <c r="E124" s="1" t="s">
        <v>28</v>
      </c>
      <c r="F124" s="3"/>
    </row>
    <row r="125" spans="1:6" ht="15.75" customHeight="1">
      <c r="A125" s="1">
        <v>19151</v>
      </c>
      <c r="B125" s="2">
        <v>45101.65042824074</v>
      </c>
      <c r="C125" s="1" t="s">
        <v>0</v>
      </c>
      <c r="D125" s="1">
        <v>18</v>
      </c>
      <c r="E125" s="1" t="s">
        <v>28</v>
      </c>
      <c r="F125" s="3"/>
    </row>
    <row r="126" spans="1:6" ht="15.75" customHeight="1">
      <c r="A126" s="1">
        <v>19150</v>
      </c>
      <c r="B126" s="2">
        <v>45101.648680555554</v>
      </c>
      <c r="C126" s="1" t="s">
        <v>0</v>
      </c>
      <c r="D126" s="1">
        <v>48</v>
      </c>
      <c r="E126" s="1" t="s">
        <v>28</v>
      </c>
      <c r="F126" s="3"/>
    </row>
    <row r="127" spans="1:6" ht="15.75" customHeight="1">
      <c r="A127" s="1">
        <v>19149</v>
      </c>
      <c r="B127" s="2">
        <v>45101.648483796293</v>
      </c>
      <c r="C127" s="1" t="s">
        <v>0</v>
      </c>
      <c r="D127" s="1">
        <v>18</v>
      </c>
      <c r="E127" s="1" t="s">
        <v>28</v>
      </c>
      <c r="F127" s="3"/>
    </row>
    <row r="128" spans="1:6" ht="15.75" customHeight="1">
      <c r="A128" s="1">
        <v>19148</v>
      </c>
      <c r="B128" s="2">
        <v>45101.647187499999</v>
      </c>
      <c r="C128" s="1" t="s">
        <v>0</v>
      </c>
      <c r="D128" s="1">
        <v>18</v>
      </c>
      <c r="E128" s="1" t="s">
        <v>28</v>
      </c>
      <c r="F128" s="3"/>
    </row>
    <row r="129" spans="1:6" ht="15.75" customHeight="1">
      <c r="A129" s="1">
        <v>19147</v>
      </c>
      <c r="B129" s="2">
        <v>45101.643842592588</v>
      </c>
      <c r="C129" s="1" t="s">
        <v>0</v>
      </c>
      <c r="D129" s="1">
        <v>0</v>
      </c>
      <c r="E129" s="1" t="s">
        <v>28</v>
      </c>
      <c r="F129" s="3"/>
    </row>
    <row r="130" spans="1:6" ht="15.75" customHeight="1">
      <c r="A130" s="1">
        <v>19146</v>
      </c>
      <c r="B130" s="2">
        <v>45101.642268518517</v>
      </c>
      <c r="C130" s="1" t="s">
        <v>0</v>
      </c>
      <c r="D130" s="1">
        <v>30</v>
      </c>
      <c r="E130" s="1" t="s">
        <v>28</v>
      </c>
      <c r="F130" s="3"/>
    </row>
    <row r="131" spans="1:6" ht="15.75" customHeight="1">
      <c r="A131" s="1">
        <v>19145</v>
      </c>
      <c r="B131" s="2">
        <v>45101.638668981483</v>
      </c>
      <c r="C131" s="1" t="s">
        <v>0</v>
      </c>
      <c r="D131" s="1">
        <v>22</v>
      </c>
      <c r="E131" s="1" t="s">
        <v>28</v>
      </c>
      <c r="F131" s="3"/>
    </row>
    <row r="132" spans="1:6" ht="15.75" customHeight="1">
      <c r="A132" s="1">
        <v>19144</v>
      </c>
      <c r="B132" s="2">
        <v>45101.633263888885</v>
      </c>
      <c r="C132" s="1" t="s">
        <v>0</v>
      </c>
      <c r="D132" s="1">
        <v>22</v>
      </c>
      <c r="E132" s="1" t="s">
        <v>28</v>
      </c>
      <c r="F132" s="3"/>
    </row>
    <row r="133" spans="1:6" ht="15.75" customHeight="1">
      <c r="A133" s="1">
        <v>19143</v>
      </c>
      <c r="B133" s="2">
        <v>45101.6330787037</v>
      </c>
      <c r="C133" s="1" t="s">
        <v>0</v>
      </c>
      <c r="D133" s="1">
        <v>25</v>
      </c>
      <c r="E133" s="1" t="s">
        <v>28</v>
      </c>
      <c r="F133" s="3"/>
    </row>
    <row r="134" spans="1:6" ht="15.75" customHeight="1">
      <c r="A134" s="1">
        <v>19142</v>
      </c>
      <c r="B134" s="2">
        <v>45101.629537037035</v>
      </c>
      <c r="C134" s="1" t="s">
        <v>0</v>
      </c>
      <c r="D134" s="1">
        <v>25</v>
      </c>
      <c r="E134" s="1" t="s">
        <v>28</v>
      </c>
      <c r="F134" s="3"/>
    </row>
    <row r="135" spans="1:6" ht="15.75" customHeight="1">
      <c r="A135" s="1">
        <v>19141</v>
      </c>
      <c r="B135" s="2">
        <v>45101.628553240742</v>
      </c>
      <c r="C135" s="1" t="s">
        <v>0</v>
      </c>
      <c r="D135" s="1">
        <v>25</v>
      </c>
      <c r="E135" s="1" t="s">
        <v>28</v>
      </c>
      <c r="F135" s="3"/>
    </row>
    <row r="136" spans="1:6" ht="15.75" customHeight="1">
      <c r="A136" s="1">
        <v>19140</v>
      </c>
      <c r="B136" s="2">
        <v>45101.618425925924</v>
      </c>
      <c r="C136" s="1" t="s">
        <v>10</v>
      </c>
      <c r="D136" s="1">
        <v>0</v>
      </c>
      <c r="E136" s="1" t="s">
        <v>28</v>
      </c>
      <c r="F136" s="3"/>
    </row>
    <row r="137" spans="1:6" ht="15.75" customHeight="1">
      <c r="A137" s="1">
        <v>19139</v>
      </c>
      <c r="B137" s="2">
        <v>45101.614328703705</v>
      </c>
      <c r="C137" s="1" t="s">
        <v>0</v>
      </c>
      <c r="D137" s="1">
        <v>25</v>
      </c>
      <c r="E137" s="1" t="s">
        <v>28</v>
      </c>
      <c r="F137" s="3"/>
    </row>
    <row r="138" spans="1:6" ht="15.75" customHeight="1">
      <c r="A138" s="1">
        <v>19138</v>
      </c>
      <c r="B138" s="2">
        <v>45101.607824074075</v>
      </c>
      <c r="C138" s="1" t="s">
        <v>0</v>
      </c>
      <c r="D138" s="1">
        <v>28</v>
      </c>
      <c r="E138" s="1" t="s">
        <v>28</v>
      </c>
      <c r="F138" s="3"/>
    </row>
    <row r="139" spans="1:6" ht="15.75" customHeight="1">
      <c r="A139" s="1">
        <v>19137</v>
      </c>
      <c r="B139" s="2">
        <v>45101.595613425925</v>
      </c>
      <c r="C139" s="1" t="s">
        <v>0</v>
      </c>
      <c r="D139" s="1">
        <v>25</v>
      </c>
      <c r="E139" s="1" t="s">
        <v>28</v>
      </c>
      <c r="F139" s="3"/>
    </row>
    <row r="140" spans="1:6" ht="15.75" customHeight="1">
      <c r="A140" s="1">
        <v>19136</v>
      </c>
      <c r="B140" s="2">
        <v>45101.56930555556</v>
      </c>
      <c r="C140" s="1" t="s">
        <v>0</v>
      </c>
      <c r="D140" s="1">
        <v>20</v>
      </c>
      <c r="E140" s="1" t="s">
        <v>28</v>
      </c>
      <c r="F140" s="3"/>
    </row>
    <row r="141" spans="1:6" ht="15.75" customHeight="1">
      <c r="A141" s="1">
        <v>19135</v>
      </c>
      <c r="B141" s="2">
        <v>45101.566469907411</v>
      </c>
      <c r="C141" s="1" t="s">
        <v>0</v>
      </c>
      <c r="D141" s="1">
        <v>20</v>
      </c>
      <c r="E141" s="1" t="s">
        <v>28</v>
      </c>
      <c r="F141" s="3"/>
    </row>
    <row r="142" spans="1:6" ht="15.75" customHeight="1">
      <c r="A142" s="1">
        <v>19134</v>
      </c>
      <c r="B142" s="2">
        <v>45101.548148148147</v>
      </c>
      <c r="C142" s="1" t="s">
        <v>5</v>
      </c>
      <c r="D142" s="1">
        <v>25</v>
      </c>
      <c r="E142" s="1" t="s">
        <v>28</v>
      </c>
      <c r="F142" s="3"/>
    </row>
    <row r="143" spans="1:6" ht="15.75" customHeight="1">
      <c r="A143" s="1">
        <v>19133</v>
      </c>
      <c r="B143" s="2">
        <v>45101.539837962962</v>
      </c>
      <c r="C143" s="1" t="s">
        <v>0</v>
      </c>
      <c r="D143" s="1">
        <v>25</v>
      </c>
      <c r="E143" s="1" t="s">
        <v>28</v>
      </c>
      <c r="F143" s="3"/>
    </row>
    <row r="144" spans="1:6" ht="15.75" customHeight="1">
      <c r="A144" s="1">
        <v>19132</v>
      </c>
      <c r="B144" s="2">
        <v>45101.538923611108</v>
      </c>
      <c r="C144" s="1" t="s">
        <v>0</v>
      </c>
      <c r="D144" s="1">
        <v>25</v>
      </c>
      <c r="E144" s="1" t="s">
        <v>39</v>
      </c>
      <c r="F144" s="3"/>
    </row>
    <row r="145" spans="1:6" ht="15.75" customHeight="1">
      <c r="A145" s="1">
        <v>19131</v>
      </c>
      <c r="B145" s="2">
        <v>45101.538761574076</v>
      </c>
      <c r="C145" s="1" t="s">
        <v>0</v>
      </c>
      <c r="D145" s="1">
        <v>33</v>
      </c>
      <c r="E145" s="1" t="s">
        <v>39</v>
      </c>
      <c r="F145" s="3"/>
    </row>
    <row r="146" spans="1:6" ht="15.75" customHeight="1">
      <c r="A146" s="1">
        <v>19130</v>
      </c>
      <c r="B146" s="2">
        <v>45101.536296296297</v>
      </c>
      <c r="C146" s="1" t="s">
        <v>0</v>
      </c>
      <c r="D146" s="1">
        <v>20</v>
      </c>
      <c r="E146" s="1" t="s">
        <v>28</v>
      </c>
      <c r="F146" s="3"/>
    </row>
    <row r="147" spans="1:6" ht="15.75" customHeight="1">
      <c r="A147" s="1">
        <v>19129</v>
      </c>
      <c r="B147" s="2">
        <v>45101.534131944441</v>
      </c>
      <c r="C147" s="1" t="s">
        <v>0</v>
      </c>
      <c r="D147" s="1">
        <v>25</v>
      </c>
      <c r="E147" s="1" t="s">
        <v>28</v>
      </c>
      <c r="F147" s="3"/>
    </row>
    <row r="148" spans="1:6" ht="15.75" customHeight="1">
      <c r="A148" s="1">
        <v>19128</v>
      </c>
      <c r="B148" s="2">
        <v>45101.533425925925</v>
      </c>
      <c r="C148" s="1" t="s">
        <v>0</v>
      </c>
      <c r="D148" s="1">
        <v>35</v>
      </c>
      <c r="E148" s="1" t="s">
        <v>28</v>
      </c>
      <c r="F148" s="3"/>
    </row>
    <row r="149" spans="1:6" ht="15.75" customHeight="1">
      <c r="A149" s="1">
        <v>19127</v>
      </c>
      <c r="B149" s="2">
        <v>45101.531180555554</v>
      </c>
      <c r="C149" s="1" t="s">
        <v>0</v>
      </c>
      <c r="D149" s="1">
        <v>25</v>
      </c>
      <c r="E149" s="1" t="s">
        <v>39</v>
      </c>
      <c r="F149" s="3"/>
    </row>
    <row r="150" spans="1:6" ht="15.75" customHeight="1">
      <c r="A150" s="1">
        <v>19126</v>
      </c>
      <c r="B150" s="2">
        <v>45101.529548611114</v>
      </c>
      <c r="C150" s="1" t="s">
        <v>0</v>
      </c>
      <c r="D150" s="1">
        <v>25</v>
      </c>
      <c r="E150" s="1" t="s">
        <v>28</v>
      </c>
      <c r="F150" s="3"/>
    </row>
    <row r="151" spans="1:6" ht="15.75" customHeight="1">
      <c r="A151" s="1">
        <v>19125</v>
      </c>
      <c r="B151" s="2">
        <v>45101.527743055558</v>
      </c>
      <c r="C151" s="1" t="s">
        <v>0</v>
      </c>
      <c r="D151" s="1">
        <v>48</v>
      </c>
      <c r="E151" s="1" t="s">
        <v>28</v>
      </c>
      <c r="F151" s="3"/>
    </row>
    <row r="152" spans="1:6" ht="15.75" customHeight="1">
      <c r="A152" s="1">
        <v>19124</v>
      </c>
      <c r="B152" s="2">
        <v>45101.52643518518</v>
      </c>
      <c r="C152" s="1" t="s">
        <v>0</v>
      </c>
      <c r="D152" s="1">
        <v>18</v>
      </c>
      <c r="E152" s="1" t="s">
        <v>28</v>
      </c>
      <c r="F152" s="3"/>
    </row>
    <row r="153" spans="1:6" ht="15.75" customHeight="1">
      <c r="A153" s="1">
        <v>19123</v>
      </c>
      <c r="B153" s="2">
        <v>45101.524340277778</v>
      </c>
      <c r="C153" s="1" t="s">
        <v>0</v>
      </c>
      <c r="D153" s="1">
        <v>25</v>
      </c>
      <c r="E153" s="1" t="s">
        <v>28</v>
      </c>
      <c r="F153" s="3"/>
    </row>
    <row r="154" spans="1:6" ht="15.75" customHeight="1">
      <c r="A154" s="1">
        <v>19122</v>
      </c>
      <c r="B154" s="2">
        <v>45101.521226851852</v>
      </c>
      <c r="C154" s="1" t="s">
        <v>0</v>
      </c>
      <c r="D154" s="1">
        <v>20</v>
      </c>
      <c r="E154" s="1" t="s">
        <v>28</v>
      </c>
      <c r="F154" s="3"/>
    </row>
    <row r="155" spans="1:6" ht="15.75" customHeight="1">
      <c r="A155" s="1">
        <v>19121</v>
      </c>
      <c r="B155" s="2">
        <v>45101.515717592592</v>
      </c>
      <c r="C155" s="1" t="s">
        <v>18</v>
      </c>
      <c r="D155" s="1">
        <v>18</v>
      </c>
      <c r="E155" s="1" t="s">
        <v>28</v>
      </c>
      <c r="F155" s="3"/>
    </row>
    <row r="156" spans="1:6" ht="15.75" customHeight="1">
      <c r="A156" s="1">
        <v>19120</v>
      </c>
      <c r="B156" s="2">
        <v>45101.515162037038</v>
      </c>
      <c r="C156" s="1" t="s">
        <v>0</v>
      </c>
      <c r="D156" s="1">
        <v>28</v>
      </c>
      <c r="E156" s="1" t="s">
        <v>28</v>
      </c>
      <c r="F156" s="3"/>
    </row>
    <row r="157" spans="1:6" ht="15.75" customHeight="1">
      <c r="A157" s="1">
        <v>19119</v>
      </c>
      <c r="B157" s="2">
        <v>45101.512824074074</v>
      </c>
      <c r="C157" s="1" t="s">
        <v>0</v>
      </c>
      <c r="D157" s="1">
        <v>28</v>
      </c>
      <c r="E157" s="1" t="s">
        <v>28</v>
      </c>
      <c r="F157" s="3"/>
    </row>
    <row r="158" spans="1:6" ht="15.75" customHeight="1">
      <c r="A158" s="1">
        <v>19118</v>
      </c>
      <c r="B158" s="2">
        <v>45101.502986111111</v>
      </c>
      <c r="C158" s="1" t="s">
        <v>0</v>
      </c>
      <c r="D158" s="1">
        <v>0</v>
      </c>
      <c r="E158" s="1" t="s">
        <v>39</v>
      </c>
      <c r="F158" s="3"/>
    </row>
    <row r="159" spans="1:6" ht="15.75" customHeight="1">
      <c r="A159" s="1">
        <v>19117</v>
      </c>
      <c r="B159" s="2">
        <v>45101.491608796292</v>
      </c>
      <c r="C159" s="1" t="s">
        <v>0</v>
      </c>
      <c r="D159" s="1">
        <v>25</v>
      </c>
      <c r="E159" s="1" t="s">
        <v>28</v>
      </c>
      <c r="F159" s="3"/>
    </row>
    <row r="160" spans="1:6" ht="15.75" customHeight="1">
      <c r="A160" s="1">
        <v>19116</v>
      </c>
      <c r="B160" s="2">
        <v>45101.486597222218</v>
      </c>
      <c r="C160" s="1" t="s">
        <v>5</v>
      </c>
      <c r="D160" s="1">
        <v>25</v>
      </c>
      <c r="E160" s="1" t="s">
        <v>28</v>
      </c>
      <c r="F160" s="3"/>
    </row>
    <row r="161" spans="1:6" ht="15.75" customHeight="1">
      <c r="A161" s="1">
        <v>19115</v>
      </c>
      <c r="B161" s="2">
        <v>45101.081678240742</v>
      </c>
      <c r="C161" s="1" t="s">
        <v>0</v>
      </c>
      <c r="D161" s="1">
        <v>68</v>
      </c>
      <c r="E161" s="1" t="s">
        <v>28</v>
      </c>
      <c r="F161" s="3"/>
    </row>
    <row r="162" spans="1:6" ht="15.75" customHeight="1">
      <c r="A162" s="1">
        <v>19110</v>
      </c>
      <c r="B162" s="2">
        <v>45100.999513888892</v>
      </c>
      <c r="C162" s="1" t="s">
        <v>0</v>
      </c>
      <c r="D162" s="1">
        <v>15</v>
      </c>
      <c r="E162" s="1" t="s">
        <v>28</v>
      </c>
      <c r="F162" s="3"/>
    </row>
    <row r="163" spans="1:6" ht="15.75" customHeight="1">
      <c r="A163" s="1">
        <v>19109</v>
      </c>
      <c r="B163" s="2">
        <v>45100.971250000002</v>
      </c>
      <c r="C163" s="1" t="s">
        <v>0</v>
      </c>
      <c r="D163" s="1">
        <v>26</v>
      </c>
      <c r="E163" s="1" t="s">
        <v>28</v>
      </c>
      <c r="F163" s="3"/>
    </row>
    <row r="164" spans="1:6" ht="15.75" customHeight="1">
      <c r="A164" s="1">
        <v>19108</v>
      </c>
      <c r="B164" s="2">
        <v>45100.872557870374</v>
      </c>
      <c r="C164" s="1" t="s">
        <v>0</v>
      </c>
      <c r="D164" s="1">
        <v>25</v>
      </c>
      <c r="E164" s="1" t="s">
        <v>28</v>
      </c>
      <c r="F164" s="3"/>
    </row>
    <row r="165" spans="1:6" ht="15.75" customHeight="1">
      <c r="A165" s="1">
        <v>19105</v>
      </c>
      <c r="B165" s="2">
        <v>45100.706759259258</v>
      </c>
      <c r="C165" s="1" t="s">
        <v>0</v>
      </c>
      <c r="D165" s="1">
        <v>20</v>
      </c>
      <c r="E165" s="1" t="s">
        <v>28</v>
      </c>
      <c r="F165" s="3"/>
    </row>
    <row r="166" spans="1:6" ht="15.75" customHeight="1">
      <c r="A166" s="1">
        <v>19104</v>
      </c>
      <c r="B166" s="2">
        <v>45100.693796296298</v>
      </c>
      <c r="C166" s="1" t="s">
        <v>0</v>
      </c>
      <c r="D166" s="1">
        <v>15</v>
      </c>
      <c r="E166" s="1" t="s">
        <v>28</v>
      </c>
      <c r="F166" s="3"/>
    </row>
    <row r="167" spans="1:6" ht="15.75" customHeight="1">
      <c r="A167" s="1">
        <v>19103</v>
      </c>
      <c r="B167" s="2">
        <v>45100.60869212963</v>
      </c>
      <c r="C167" s="1" t="s">
        <v>0</v>
      </c>
      <c r="D167" s="1">
        <v>26</v>
      </c>
      <c r="E167" s="1" t="s">
        <v>28</v>
      </c>
      <c r="F167" s="3"/>
    </row>
    <row r="168" spans="1:6" ht="15.75" customHeight="1">
      <c r="A168" s="1">
        <v>19102</v>
      </c>
      <c r="B168" s="2">
        <v>45100.553240740745</v>
      </c>
      <c r="C168" s="1" t="s">
        <v>0</v>
      </c>
      <c r="D168" s="1">
        <v>25</v>
      </c>
      <c r="E168" s="1" t="s">
        <v>39</v>
      </c>
      <c r="F168" s="3"/>
    </row>
    <row r="169" spans="1:6" ht="15.75" customHeight="1">
      <c r="A169" s="1">
        <v>19101</v>
      </c>
      <c r="B169" s="2">
        <v>45100.527731481481</v>
      </c>
      <c r="C169" s="1" t="s">
        <v>0</v>
      </c>
      <c r="D169" s="1">
        <v>18</v>
      </c>
      <c r="E169" s="1" t="s">
        <v>28</v>
      </c>
      <c r="F169" s="3"/>
    </row>
    <row r="170" spans="1:6" ht="15.75" customHeight="1">
      <c r="A170" s="1">
        <v>19100</v>
      </c>
      <c r="B170" s="2">
        <v>45100.114386574074</v>
      </c>
      <c r="C170" s="1" t="s">
        <v>0</v>
      </c>
      <c r="D170" s="1">
        <v>55</v>
      </c>
      <c r="E170" s="1" t="s">
        <v>28</v>
      </c>
      <c r="F170" s="3"/>
    </row>
    <row r="171" spans="1:6" ht="15.75" customHeight="1">
      <c r="A171" s="1">
        <v>19099</v>
      </c>
      <c r="B171" s="2">
        <v>45100.061678240745</v>
      </c>
      <c r="C171" s="1" t="s">
        <v>0</v>
      </c>
      <c r="D171" s="1">
        <v>43</v>
      </c>
      <c r="E171" s="1" t="s">
        <v>28</v>
      </c>
      <c r="F171" s="3"/>
    </row>
    <row r="172" spans="1:6" ht="15.75" customHeight="1">
      <c r="A172" s="1">
        <v>19098</v>
      </c>
      <c r="B172" s="2">
        <v>45100.003611111111</v>
      </c>
      <c r="C172" s="1" t="s">
        <v>0</v>
      </c>
      <c r="D172" s="1">
        <v>15</v>
      </c>
      <c r="E172" s="1" t="s">
        <v>28</v>
      </c>
      <c r="F172" s="3"/>
    </row>
    <row r="173" spans="1:6" ht="15.75" customHeight="1">
      <c r="A173" s="1">
        <v>19097</v>
      </c>
      <c r="B173" s="2">
        <v>45099.93954861111</v>
      </c>
      <c r="C173" s="1" t="s">
        <v>0</v>
      </c>
      <c r="D173" s="1">
        <v>15</v>
      </c>
      <c r="E173" s="1" t="s">
        <v>28</v>
      </c>
      <c r="F173" s="3"/>
    </row>
    <row r="174" spans="1:6" ht="15.75" customHeight="1">
      <c r="A174" s="1">
        <v>19096</v>
      </c>
      <c r="B174" s="2">
        <v>45099.93545138889</v>
      </c>
      <c r="C174" s="1" t="s">
        <v>0</v>
      </c>
      <c r="D174" s="1">
        <v>0</v>
      </c>
      <c r="E174" s="1" t="s">
        <v>28</v>
      </c>
      <c r="F174" s="3"/>
    </row>
    <row r="175" spans="1:6" ht="15.75" customHeight="1">
      <c r="A175" s="1">
        <v>19095</v>
      </c>
      <c r="B175" s="2">
        <v>45099.932071759264</v>
      </c>
      <c r="C175" s="1" t="s">
        <v>0</v>
      </c>
      <c r="D175" s="1">
        <v>26</v>
      </c>
      <c r="E175" s="1" t="s">
        <v>28</v>
      </c>
      <c r="F175" s="3"/>
    </row>
    <row r="176" spans="1:6" ht="15.75" customHeight="1">
      <c r="A176" s="1">
        <v>19094</v>
      </c>
      <c r="B176" s="2">
        <v>45099.92350694444</v>
      </c>
      <c r="C176" s="1" t="s">
        <v>0</v>
      </c>
      <c r="D176" s="1">
        <v>45</v>
      </c>
      <c r="E176" s="1" t="s">
        <v>28</v>
      </c>
      <c r="F176" s="3"/>
    </row>
    <row r="177" spans="1:6" ht="15.75" customHeight="1">
      <c r="A177" s="1">
        <v>19093</v>
      </c>
      <c r="B177" s="2">
        <v>45099.916770833333</v>
      </c>
      <c r="C177" s="1" t="s">
        <v>0</v>
      </c>
      <c r="D177" s="1">
        <v>35</v>
      </c>
      <c r="E177" s="1" t="s">
        <v>28</v>
      </c>
      <c r="F177" s="3"/>
    </row>
    <row r="178" spans="1:6" ht="15.75" customHeight="1">
      <c r="A178" s="1">
        <v>19092</v>
      </c>
      <c r="B178" s="2">
        <v>45099.87872685185</v>
      </c>
      <c r="C178" s="1" t="s">
        <v>0</v>
      </c>
      <c r="D178" s="1">
        <v>28</v>
      </c>
      <c r="E178" s="1" t="s">
        <v>28</v>
      </c>
      <c r="F178" s="3"/>
    </row>
    <row r="179" spans="1:6" ht="15.75" customHeight="1">
      <c r="A179" s="1">
        <v>19091</v>
      </c>
      <c r="B179" s="2">
        <v>45099.869988425926</v>
      </c>
      <c r="C179" s="1" t="s">
        <v>16</v>
      </c>
      <c r="D179" s="1">
        <v>25</v>
      </c>
      <c r="E179" s="1" t="s">
        <v>39</v>
      </c>
      <c r="F179" s="3"/>
    </row>
    <row r="180" spans="1:6" ht="15.75" customHeight="1">
      <c r="A180" s="1">
        <v>19090</v>
      </c>
      <c r="B180" s="2">
        <v>45099.834872685184</v>
      </c>
      <c r="C180" s="1" t="s">
        <v>0</v>
      </c>
      <c r="D180" s="1">
        <v>25</v>
      </c>
      <c r="E180" s="1" t="s">
        <v>79</v>
      </c>
      <c r="F180" s="3"/>
    </row>
    <row r="181" spans="1:6" ht="15.75" customHeight="1">
      <c r="A181" s="1">
        <v>19089</v>
      </c>
      <c r="B181" s="2">
        <v>45099.783101851848</v>
      </c>
      <c r="C181" s="1" t="s">
        <v>0</v>
      </c>
      <c r="D181" s="1">
        <v>18</v>
      </c>
      <c r="E181" s="1" t="s">
        <v>28</v>
      </c>
      <c r="F181" s="3"/>
    </row>
    <row r="182" spans="1:6" ht="15.75" customHeight="1">
      <c r="A182" s="1">
        <v>19088</v>
      </c>
      <c r="B182" s="2">
        <v>45099.738715277781</v>
      </c>
      <c r="C182" s="1" t="s">
        <v>0</v>
      </c>
      <c r="D182" s="1">
        <v>25</v>
      </c>
      <c r="E182" s="1" t="s">
        <v>28</v>
      </c>
      <c r="F182" s="3"/>
    </row>
    <row r="183" spans="1:6" ht="15.75" customHeight="1">
      <c r="A183" s="1">
        <v>19087</v>
      </c>
      <c r="B183" s="2">
        <v>45099.702326388884</v>
      </c>
      <c r="C183" s="1" t="s">
        <v>0</v>
      </c>
      <c r="D183" s="1">
        <v>26</v>
      </c>
      <c r="E183" s="1" t="s">
        <v>28</v>
      </c>
      <c r="F183" s="3"/>
    </row>
    <row r="184" spans="1:6" ht="15.75" customHeight="1">
      <c r="A184" s="1">
        <v>19086</v>
      </c>
      <c r="B184" s="2">
        <v>45099.692106481481</v>
      </c>
      <c r="C184" s="1" t="s">
        <v>0</v>
      </c>
      <c r="D184" s="1">
        <v>28</v>
      </c>
      <c r="E184" s="1" t="s">
        <v>39</v>
      </c>
      <c r="F184" s="3"/>
    </row>
    <row r="185" spans="1:6" ht="15.75" customHeight="1">
      <c r="A185" s="1">
        <v>19085</v>
      </c>
      <c r="B185" s="2">
        <v>45099.663078703699</v>
      </c>
      <c r="C185" s="1" t="s">
        <v>0</v>
      </c>
      <c r="D185" s="1">
        <v>28</v>
      </c>
      <c r="E185" s="1" t="s">
        <v>28</v>
      </c>
      <c r="F185" s="3"/>
    </row>
    <row r="186" spans="1:6" ht="15.75" customHeight="1">
      <c r="A186" s="1">
        <v>19084</v>
      </c>
      <c r="B186" s="2">
        <v>45099.661712962959</v>
      </c>
      <c r="C186" s="1" t="s">
        <v>0</v>
      </c>
      <c r="D186" s="1">
        <v>28</v>
      </c>
      <c r="E186" s="1" t="s">
        <v>28</v>
      </c>
      <c r="F186" s="3"/>
    </row>
    <row r="187" spans="1:6" ht="15.75" customHeight="1">
      <c r="A187" s="1">
        <v>19083</v>
      </c>
      <c r="B187" s="2">
        <v>45099.614930555559</v>
      </c>
      <c r="C187" s="1" t="s">
        <v>0</v>
      </c>
      <c r="D187" s="1">
        <v>25</v>
      </c>
      <c r="E187" s="1" t="s">
        <v>28</v>
      </c>
      <c r="F187" s="3"/>
    </row>
    <row r="188" spans="1:6" ht="15.75" customHeight="1">
      <c r="A188" s="1">
        <v>19082</v>
      </c>
      <c r="B188" s="2">
        <v>45099.601643518516</v>
      </c>
      <c r="C188" s="1" t="s">
        <v>0</v>
      </c>
      <c r="D188" s="1">
        <v>35</v>
      </c>
      <c r="E188" s="1" t="s">
        <v>28</v>
      </c>
      <c r="F188" s="3"/>
    </row>
    <row r="189" spans="1:6" ht="15.75" customHeight="1">
      <c r="A189" s="1">
        <v>19081</v>
      </c>
      <c r="B189" s="2">
        <v>45099.576828703706</v>
      </c>
      <c r="C189" s="1" t="s">
        <v>0</v>
      </c>
      <c r="D189" s="1">
        <v>50</v>
      </c>
      <c r="E189" s="1" t="s">
        <v>28</v>
      </c>
      <c r="F189" s="3"/>
    </row>
    <row r="190" spans="1:6" ht="15.75" customHeight="1">
      <c r="A190" s="1">
        <v>19080</v>
      </c>
      <c r="B190" s="2">
        <v>45099.573252314818</v>
      </c>
      <c r="C190" s="1" t="s">
        <v>0</v>
      </c>
      <c r="D190" s="1">
        <v>53</v>
      </c>
      <c r="E190" s="1" t="s">
        <v>28</v>
      </c>
      <c r="F190" s="3"/>
    </row>
    <row r="191" spans="1:6" ht="15.75" customHeight="1">
      <c r="A191" s="1">
        <v>19079</v>
      </c>
      <c r="B191" s="2">
        <v>45099.56559027778</v>
      </c>
      <c r="C191" s="1" t="s">
        <v>0</v>
      </c>
      <c r="D191" s="1">
        <v>15</v>
      </c>
      <c r="E191" s="1" t="s">
        <v>28</v>
      </c>
      <c r="F191" s="3"/>
    </row>
    <row r="192" spans="1:6" ht="15.75" customHeight="1">
      <c r="A192" s="1">
        <v>19078</v>
      </c>
      <c r="B192" s="2">
        <v>45099.555243055554</v>
      </c>
      <c r="C192" s="1" t="s">
        <v>0</v>
      </c>
      <c r="D192" s="1">
        <v>20</v>
      </c>
      <c r="E192" s="1" t="s">
        <v>28</v>
      </c>
      <c r="F192" s="3"/>
    </row>
    <row r="193" spans="1:6" ht="15.75" customHeight="1">
      <c r="A193" s="1">
        <v>19077</v>
      </c>
      <c r="B193" s="2">
        <v>45099.547164351854</v>
      </c>
      <c r="C193" s="1" t="s">
        <v>0</v>
      </c>
      <c r="D193" s="1">
        <v>35</v>
      </c>
      <c r="E193" s="1" t="s">
        <v>28</v>
      </c>
      <c r="F193" s="3"/>
    </row>
    <row r="194" spans="1:6" ht="15.75" customHeight="1">
      <c r="A194" s="1">
        <v>19076</v>
      </c>
      <c r="B194" s="2">
        <v>45099.542650462958</v>
      </c>
      <c r="C194" s="1" t="s">
        <v>0</v>
      </c>
      <c r="D194" s="1">
        <v>0</v>
      </c>
      <c r="E194" s="1" t="s">
        <v>28</v>
      </c>
      <c r="F194" s="3"/>
    </row>
    <row r="195" spans="1:6" ht="15.75" customHeight="1">
      <c r="A195" s="1">
        <v>19075</v>
      </c>
      <c r="B195" s="2">
        <v>45099.519895833335</v>
      </c>
      <c r="C195" s="1" t="s">
        <v>0</v>
      </c>
      <c r="D195" s="1">
        <v>28</v>
      </c>
      <c r="E195" s="1" t="s">
        <v>28</v>
      </c>
      <c r="F195" s="3"/>
    </row>
    <row r="196" spans="1:6" ht="15.75" customHeight="1">
      <c r="A196" s="1">
        <v>19074</v>
      </c>
      <c r="B196" s="2">
        <v>45099.519780092596</v>
      </c>
      <c r="C196" s="1" t="s">
        <v>0</v>
      </c>
      <c r="D196" s="1">
        <v>28</v>
      </c>
      <c r="E196" s="1" t="s">
        <v>39</v>
      </c>
      <c r="F196" s="3"/>
    </row>
    <row r="197" spans="1:6" ht="15.75" customHeight="1">
      <c r="A197" s="1">
        <v>19073</v>
      </c>
      <c r="B197" s="2">
        <v>45099.070740740739</v>
      </c>
      <c r="C197" s="1" t="s">
        <v>0</v>
      </c>
      <c r="D197" s="1">
        <v>30</v>
      </c>
      <c r="E197" s="1" t="s">
        <v>28</v>
      </c>
      <c r="F197" s="3"/>
    </row>
    <row r="198" spans="1:6" ht="15.75" customHeight="1">
      <c r="A198" s="1">
        <v>19072</v>
      </c>
      <c r="B198" s="2">
        <v>45099.028217592597</v>
      </c>
      <c r="C198" s="1" t="s">
        <v>0</v>
      </c>
      <c r="D198" s="1">
        <v>30</v>
      </c>
      <c r="E198" s="1" t="s">
        <v>28</v>
      </c>
      <c r="F198" s="3"/>
    </row>
    <row r="199" spans="1:6" ht="15.75" customHeight="1">
      <c r="A199" s="1">
        <v>19071</v>
      </c>
      <c r="B199" s="2">
        <v>45098.966736111106</v>
      </c>
      <c r="C199" s="1" t="s">
        <v>0</v>
      </c>
      <c r="D199" s="1">
        <v>25</v>
      </c>
      <c r="E199" s="1" t="s">
        <v>28</v>
      </c>
      <c r="F199" s="3"/>
    </row>
    <row r="200" spans="1:6" ht="15.75" customHeight="1">
      <c r="A200" s="1">
        <v>19070</v>
      </c>
      <c r="B200" s="2">
        <v>45098.956261574072</v>
      </c>
      <c r="C200" s="1" t="s">
        <v>0</v>
      </c>
      <c r="D200" s="1">
        <v>25</v>
      </c>
      <c r="E200" s="1" t="s">
        <v>28</v>
      </c>
      <c r="F200" s="3"/>
    </row>
    <row r="201" spans="1:6" ht="15.75" customHeight="1">
      <c r="A201" s="1">
        <v>19069</v>
      </c>
      <c r="B201" s="2">
        <v>45098.95385416667</v>
      </c>
      <c r="C201" s="1" t="s">
        <v>0</v>
      </c>
      <c r="D201" s="1">
        <v>56</v>
      </c>
      <c r="E201" s="1" t="s">
        <v>28</v>
      </c>
      <c r="F201" s="3"/>
    </row>
    <row r="202" spans="1:6" ht="15.75" customHeight="1">
      <c r="A202" s="1">
        <v>19068</v>
      </c>
      <c r="B202" s="2">
        <v>45098.921944444446</v>
      </c>
      <c r="C202" s="1" t="s">
        <v>0</v>
      </c>
      <c r="D202" s="1">
        <v>25</v>
      </c>
      <c r="E202" s="1" t="s">
        <v>28</v>
      </c>
      <c r="F202" s="3"/>
    </row>
    <row r="203" spans="1:6" ht="15.75" customHeight="1">
      <c r="A203" s="1">
        <v>19067</v>
      </c>
      <c r="B203" s="2">
        <v>45098.910578703704</v>
      </c>
      <c r="C203" s="1" t="s">
        <v>0</v>
      </c>
      <c r="D203" s="1">
        <v>25</v>
      </c>
      <c r="E203" s="1" t="s">
        <v>28</v>
      </c>
      <c r="F203" s="3"/>
    </row>
    <row r="204" spans="1:6" ht="15.75" customHeight="1">
      <c r="A204" s="1">
        <v>19066</v>
      </c>
      <c r="B204" s="2">
        <v>45098.699571759258</v>
      </c>
      <c r="C204" s="1" t="s">
        <v>0</v>
      </c>
      <c r="D204" s="1">
        <v>0</v>
      </c>
      <c r="E204" s="1" t="s">
        <v>15</v>
      </c>
      <c r="F204" s="3"/>
    </row>
    <row r="205" spans="1:6" ht="15.75" customHeight="1">
      <c r="A205" s="1">
        <v>19065</v>
      </c>
      <c r="B205" s="2">
        <v>45098.100370370375</v>
      </c>
      <c r="C205" s="1" t="s">
        <v>0</v>
      </c>
      <c r="D205" s="1">
        <v>20</v>
      </c>
      <c r="E205" s="1" t="s">
        <v>28</v>
      </c>
      <c r="F205" s="3"/>
    </row>
    <row r="206" spans="1:6" ht="15.75" customHeight="1">
      <c r="A206" s="1">
        <v>19064</v>
      </c>
      <c r="B206" s="2">
        <v>45098.098993055552</v>
      </c>
      <c r="C206" s="1" t="s">
        <v>0</v>
      </c>
      <c r="D206" s="1">
        <v>20</v>
      </c>
      <c r="E206" s="1" t="s">
        <v>28</v>
      </c>
      <c r="F206" s="3"/>
    </row>
    <row r="207" spans="1:6" ht="15.75" customHeight="1">
      <c r="A207" s="1">
        <v>19063</v>
      </c>
      <c r="B207" s="2">
        <v>45098.078252314815</v>
      </c>
      <c r="C207" s="1" t="s">
        <v>0</v>
      </c>
      <c r="D207" s="1">
        <v>15</v>
      </c>
      <c r="E207" s="1" t="s">
        <v>28</v>
      </c>
      <c r="F207" s="3"/>
    </row>
    <row r="208" spans="1:6" ht="15.75" customHeight="1">
      <c r="A208" s="1">
        <v>19062</v>
      </c>
      <c r="B208" s="2">
        <v>45097.918344907404</v>
      </c>
      <c r="C208" s="1" t="s">
        <v>0</v>
      </c>
      <c r="D208" s="1">
        <v>28</v>
      </c>
      <c r="E208" s="1" t="s">
        <v>28</v>
      </c>
      <c r="F208" s="3"/>
    </row>
    <row r="209" spans="1:6" ht="15.75" customHeight="1">
      <c r="A209" s="1">
        <v>19061</v>
      </c>
      <c r="B209" s="2">
        <v>45097.904317129629</v>
      </c>
      <c r="C209" s="1" t="s">
        <v>0</v>
      </c>
      <c r="D209" s="1">
        <v>15</v>
      </c>
      <c r="E209" s="1" t="s">
        <v>28</v>
      </c>
      <c r="F209" s="3"/>
    </row>
    <row r="210" spans="1:6" ht="15.75" customHeight="1">
      <c r="A210" s="1">
        <v>19060</v>
      </c>
      <c r="B210" s="2">
        <v>45097.882407407407</v>
      </c>
      <c r="C210" s="1" t="s">
        <v>0</v>
      </c>
      <c r="D210" s="1">
        <v>53</v>
      </c>
      <c r="E210" s="1" t="s">
        <v>28</v>
      </c>
      <c r="F210" s="3"/>
    </row>
    <row r="211" spans="1:6" ht="15.75" customHeight="1">
      <c r="A211" s="1">
        <v>19057</v>
      </c>
      <c r="B211" s="2">
        <v>45097.655104166668</v>
      </c>
      <c r="C211" s="1" t="s">
        <v>0</v>
      </c>
      <c r="D211" s="1">
        <v>18</v>
      </c>
      <c r="E211" s="1" t="s">
        <v>79</v>
      </c>
      <c r="F211" s="3"/>
    </row>
    <row r="212" spans="1:6" ht="15.75" customHeight="1">
      <c r="A212" s="1">
        <v>19052</v>
      </c>
      <c r="B212" s="2">
        <v>45097.629259259258</v>
      </c>
      <c r="C212" s="1" t="s">
        <v>0</v>
      </c>
      <c r="D212" s="1">
        <v>25</v>
      </c>
      <c r="E212" s="1" t="s">
        <v>45</v>
      </c>
      <c r="F212" s="3"/>
    </row>
    <row r="213" spans="1:6" ht="15.75" customHeight="1">
      <c r="A213" s="1">
        <v>19049</v>
      </c>
      <c r="B213" s="2">
        <v>45097.514340277776</v>
      </c>
      <c r="C213" s="1" t="s">
        <v>0</v>
      </c>
      <c r="D213" s="1">
        <v>25</v>
      </c>
      <c r="E213" s="1" t="s">
        <v>28</v>
      </c>
      <c r="F213" s="3"/>
    </row>
    <row r="214" spans="1:6" ht="15.75" customHeight="1">
      <c r="A214" s="1">
        <v>19048</v>
      </c>
      <c r="B214" s="2">
        <v>45097.261458333334</v>
      </c>
      <c r="C214" s="1" t="s">
        <v>0</v>
      </c>
      <c r="D214" s="1">
        <v>30</v>
      </c>
      <c r="E214" s="1" t="s">
        <v>15</v>
      </c>
      <c r="F214" s="3"/>
    </row>
    <row r="215" spans="1:6" ht="15.75" customHeight="1">
      <c r="A215" s="1">
        <v>19047</v>
      </c>
      <c r="B215" s="2">
        <v>45097.258564814816</v>
      </c>
      <c r="C215" s="1" t="s">
        <v>0</v>
      </c>
      <c r="D215" s="1">
        <v>25</v>
      </c>
      <c r="E215" s="1" t="s">
        <v>15</v>
      </c>
      <c r="F215" s="3"/>
    </row>
    <row r="216" spans="1:6" ht="15.75" customHeight="1">
      <c r="A216" s="1">
        <v>19046</v>
      </c>
      <c r="B216" s="2">
        <v>45097.256400462968</v>
      </c>
      <c r="C216" s="1" t="s">
        <v>0</v>
      </c>
      <c r="D216" s="1">
        <v>25</v>
      </c>
      <c r="E216" s="1" t="s">
        <v>15</v>
      </c>
      <c r="F216" s="3"/>
    </row>
    <row r="217" spans="1:6" ht="15.75" customHeight="1">
      <c r="A217" s="1">
        <v>19045</v>
      </c>
      <c r="B217" s="2">
        <v>45097.137337962966</v>
      </c>
      <c r="C217" s="1" t="s">
        <v>0</v>
      </c>
      <c r="D217" s="1">
        <v>55</v>
      </c>
      <c r="E217" s="1" t="s">
        <v>28</v>
      </c>
      <c r="F217" s="3"/>
    </row>
    <row r="218" spans="1:6" ht="15.75" customHeight="1">
      <c r="A218" s="1">
        <v>19044</v>
      </c>
      <c r="B218" s="2">
        <v>45097.03707175926</v>
      </c>
      <c r="C218" s="1" t="s">
        <v>0</v>
      </c>
      <c r="D218" s="1">
        <v>25</v>
      </c>
      <c r="E218" s="1" t="s">
        <v>28</v>
      </c>
      <c r="F218" s="3"/>
    </row>
    <row r="219" spans="1:6" ht="15.75" customHeight="1">
      <c r="A219" s="1">
        <v>19043</v>
      </c>
      <c r="B219" s="2">
        <v>45097.009652777779</v>
      </c>
      <c r="C219" s="1" t="s">
        <v>0</v>
      </c>
      <c r="D219" s="1">
        <v>25</v>
      </c>
      <c r="E219" s="1" t="s">
        <v>39</v>
      </c>
      <c r="F219" s="3"/>
    </row>
    <row r="220" spans="1:6" ht="15.75" customHeight="1">
      <c r="A220" s="1">
        <v>19042</v>
      </c>
      <c r="B220" s="2">
        <v>45097.003252314811</v>
      </c>
      <c r="C220" s="1" t="s">
        <v>0</v>
      </c>
      <c r="D220" s="1">
        <v>15</v>
      </c>
      <c r="E220" s="1" t="s">
        <v>28</v>
      </c>
      <c r="F220" s="3"/>
    </row>
    <row r="221" spans="1:6" ht="15.75" customHeight="1">
      <c r="A221" s="1">
        <v>19041</v>
      </c>
      <c r="B221" s="2">
        <v>45097.002453703702</v>
      </c>
      <c r="C221" s="1" t="s">
        <v>0</v>
      </c>
      <c r="D221" s="1">
        <v>25</v>
      </c>
      <c r="E221" s="1" t="s">
        <v>28</v>
      </c>
      <c r="F221" s="3"/>
    </row>
    <row r="222" spans="1:6" ht="15.75" customHeight="1">
      <c r="A222" s="1">
        <v>19040</v>
      </c>
      <c r="B222" s="2">
        <v>45096.976944444439</v>
      </c>
      <c r="C222" s="1" t="s">
        <v>0</v>
      </c>
      <c r="D222" s="1">
        <v>53</v>
      </c>
      <c r="E222" s="1" t="s">
        <v>28</v>
      </c>
      <c r="F222" s="3"/>
    </row>
    <row r="223" spans="1:6" ht="15.75" customHeight="1">
      <c r="A223" s="1">
        <v>19039</v>
      </c>
      <c r="B223" s="2">
        <v>45096.975347222222</v>
      </c>
      <c r="C223" s="1" t="s">
        <v>0</v>
      </c>
      <c r="D223" s="1">
        <v>25</v>
      </c>
      <c r="E223" s="1" t="s">
        <v>28</v>
      </c>
      <c r="F223" s="3"/>
    </row>
    <row r="224" spans="1:6" ht="15.75" customHeight="1">
      <c r="A224" s="1">
        <v>19038</v>
      </c>
      <c r="B224" s="2">
        <v>45096.975254629629</v>
      </c>
      <c r="C224" s="1" t="s">
        <v>0</v>
      </c>
      <c r="D224" s="1">
        <v>15</v>
      </c>
      <c r="E224" s="1" t="s">
        <v>28</v>
      </c>
      <c r="F224" s="3"/>
    </row>
    <row r="225" spans="1:6" ht="15.75" customHeight="1">
      <c r="A225" s="1">
        <v>19037</v>
      </c>
      <c r="B225" s="2">
        <v>45096.972199074073</v>
      </c>
      <c r="C225" s="1" t="s">
        <v>0</v>
      </c>
      <c r="D225" s="1">
        <v>35</v>
      </c>
      <c r="E225" s="1" t="s">
        <v>28</v>
      </c>
      <c r="F225" s="3"/>
    </row>
    <row r="226" spans="1:6" ht="15.75" customHeight="1">
      <c r="A226" s="1">
        <v>19036</v>
      </c>
      <c r="B226" s="2">
        <v>45096.970393518517</v>
      </c>
      <c r="C226" s="1" t="s">
        <v>0</v>
      </c>
      <c r="D226" s="1">
        <v>25</v>
      </c>
      <c r="E226" s="1" t="s">
        <v>28</v>
      </c>
      <c r="F226" s="3"/>
    </row>
    <row r="227" spans="1:6" ht="15.75" customHeight="1">
      <c r="A227" s="1">
        <v>19035</v>
      </c>
      <c r="B227" s="2">
        <v>45096.963587962964</v>
      </c>
      <c r="C227" s="1" t="s">
        <v>0</v>
      </c>
      <c r="D227" s="1">
        <v>45</v>
      </c>
      <c r="E227" s="1" t="s">
        <v>28</v>
      </c>
      <c r="F227" s="3"/>
    </row>
    <row r="228" spans="1:6" ht="15.75" customHeight="1">
      <c r="A228" s="1">
        <v>19034</v>
      </c>
      <c r="B228" s="2">
        <v>45096.960381944446</v>
      </c>
      <c r="C228" s="1" t="s">
        <v>0</v>
      </c>
      <c r="D228" s="1">
        <v>25</v>
      </c>
      <c r="E228" s="1" t="s">
        <v>28</v>
      </c>
      <c r="F228" s="3"/>
    </row>
    <row r="229" spans="1:6" ht="15.75" customHeight="1">
      <c r="A229" s="1">
        <v>19033</v>
      </c>
      <c r="B229" s="2">
        <v>45096.959999999999</v>
      </c>
      <c r="C229" s="1" t="s">
        <v>0</v>
      </c>
      <c r="D229" s="1">
        <v>25</v>
      </c>
      <c r="E229" s="1" t="s">
        <v>28</v>
      </c>
      <c r="F229" s="3"/>
    </row>
    <row r="230" spans="1:6" ht="15.75" customHeight="1">
      <c r="A230" s="1">
        <v>19032</v>
      </c>
      <c r="B230" s="2">
        <v>45096.959502314814</v>
      </c>
      <c r="C230" s="1" t="s">
        <v>0</v>
      </c>
      <c r="D230" s="1">
        <v>28</v>
      </c>
      <c r="E230" s="1" t="s">
        <v>28</v>
      </c>
      <c r="F230" s="3"/>
    </row>
    <row r="231" spans="1:6" ht="15.75" customHeight="1">
      <c r="A231" s="1">
        <v>19031</v>
      </c>
      <c r="B231" s="2">
        <v>45096.957789351851</v>
      </c>
      <c r="C231" s="1" t="s">
        <v>0</v>
      </c>
      <c r="D231" s="1">
        <v>25</v>
      </c>
      <c r="E231" s="1" t="s">
        <v>28</v>
      </c>
      <c r="F231" s="3"/>
    </row>
    <row r="232" spans="1:6" ht="15.75" customHeight="1">
      <c r="A232" s="1">
        <v>19030</v>
      </c>
      <c r="B232" s="2">
        <v>45096.927291666667</v>
      </c>
      <c r="C232" s="1" t="s">
        <v>0</v>
      </c>
      <c r="D232" s="1">
        <v>26</v>
      </c>
      <c r="E232" s="1" t="s">
        <v>28</v>
      </c>
      <c r="F232" s="3"/>
    </row>
    <row r="233" spans="1:6" ht="15.75" customHeight="1">
      <c r="A233" s="1">
        <v>19029</v>
      </c>
      <c r="B233" s="2">
        <v>45096.925821759258</v>
      </c>
      <c r="C233" s="1" t="s">
        <v>0</v>
      </c>
      <c r="D233" s="1">
        <v>15</v>
      </c>
      <c r="E233" s="1" t="s">
        <v>28</v>
      </c>
      <c r="F233" s="3"/>
    </row>
    <row r="234" spans="1:6" ht="15.75" customHeight="1">
      <c r="A234" s="1">
        <v>19028</v>
      </c>
      <c r="B234" s="2">
        <v>45096.920775462961</v>
      </c>
      <c r="C234" s="1" t="s">
        <v>0</v>
      </c>
      <c r="D234" s="1">
        <v>25</v>
      </c>
      <c r="E234" s="1" t="s">
        <v>28</v>
      </c>
      <c r="F234" s="3"/>
    </row>
    <row r="235" spans="1:6" ht="15.75" customHeight="1">
      <c r="A235" s="1">
        <v>19027</v>
      </c>
      <c r="B235" s="2">
        <v>45096.479618055557</v>
      </c>
      <c r="C235" s="1" t="s">
        <v>51</v>
      </c>
      <c r="D235" s="1">
        <v>580</v>
      </c>
      <c r="F235" s="3"/>
    </row>
    <row r="236" spans="1:6" ht="15.75" customHeight="1">
      <c r="A236" s="1">
        <v>19023</v>
      </c>
      <c r="B236" s="2">
        <v>45096.443055555559</v>
      </c>
      <c r="C236" s="1" t="s">
        <v>10</v>
      </c>
      <c r="D236" s="1">
        <v>25</v>
      </c>
      <c r="E236" s="1" t="s">
        <v>79</v>
      </c>
      <c r="F236" s="3"/>
    </row>
    <row r="237" spans="1:6" ht="15.75" customHeight="1">
      <c r="A237" s="1">
        <v>19021</v>
      </c>
      <c r="B237" s="2">
        <v>45095.838090277779</v>
      </c>
      <c r="C237" s="1" t="s">
        <v>0</v>
      </c>
      <c r="D237" s="1">
        <v>0</v>
      </c>
      <c r="E237" s="1" t="s">
        <v>79</v>
      </c>
      <c r="F237" s="3"/>
    </row>
    <row r="238" spans="1:6" ht="15.75" customHeight="1">
      <c r="A238" s="1">
        <v>19020</v>
      </c>
      <c r="B238" s="2">
        <v>45095.768726851849</v>
      </c>
      <c r="C238" s="1" t="s">
        <v>0</v>
      </c>
      <c r="D238" s="1">
        <v>0</v>
      </c>
      <c r="E238" s="1" t="s">
        <v>79</v>
      </c>
      <c r="F238" s="3"/>
    </row>
    <row r="239" spans="1:6" ht="15.75" customHeight="1">
      <c r="A239" s="1">
        <v>18997</v>
      </c>
      <c r="B239" s="2">
        <v>45094.862303240741</v>
      </c>
      <c r="C239" s="1" t="s">
        <v>18</v>
      </c>
      <c r="D239" s="1">
        <v>18</v>
      </c>
      <c r="E239" s="1" t="s">
        <v>59</v>
      </c>
      <c r="F239" s="3"/>
    </row>
    <row r="240" spans="1:6" ht="15.75" customHeight="1">
      <c r="A240" s="1">
        <v>18996</v>
      </c>
      <c r="B240" s="2">
        <v>45094.624178240745</v>
      </c>
      <c r="C240" s="1" t="s">
        <v>8</v>
      </c>
      <c r="D240" s="1">
        <v>43</v>
      </c>
      <c r="E240" s="1" t="s">
        <v>59</v>
      </c>
      <c r="F240" s="3"/>
    </row>
    <row r="241" spans="1:6" ht="15.75" customHeight="1">
      <c r="A241" s="1">
        <v>18994</v>
      </c>
      <c r="B241" s="2">
        <v>45093.139178240745</v>
      </c>
      <c r="C241" s="1" t="s">
        <v>5</v>
      </c>
      <c r="D241" s="1">
        <v>18</v>
      </c>
      <c r="E241" s="1" t="s">
        <v>59</v>
      </c>
      <c r="F241" s="3"/>
    </row>
    <row r="242" spans="1:6" ht="15.75" customHeight="1">
      <c r="A242" s="1">
        <v>18993</v>
      </c>
      <c r="B242" s="2">
        <v>45093.119085648148</v>
      </c>
      <c r="C242" s="1" t="s">
        <v>0</v>
      </c>
      <c r="D242" s="1">
        <v>65</v>
      </c>
      <c r="E242" s="1" t="s">
        <v>15</v>
      </c>
      <c r="F242" s="3"/>
    </row>
    <row r="243" spans="1:6" ht="15.75" customHeight="1">
      <c r="A243" s="1">
        <v>18992</v>
      </c>
      <c r="B243" s="2">
        <v>45093.045775462961</v>
      </c>
      <c r="C243" s="1" t="s">
        <v>0</v>
      </c>
      <c r="D243" s="1">
        <v>25</v>
      </c>
      <c r="E243" s="1" t="s">
        <v>15</v>
      </c>
      <c r="F243" s="3"/>
    </row>
    <row r="244" spans="1:6" ht="15.75" customHeight="1">
      <c r="A244" s="1">
        <v>18982</v>
      </c>
      <c r="B244" s="2">
        <v>45090.802777777775</v>
      </c>
      <c r="C244" s="1" t="s">
        <v>10</v>
      </c>
      <c r="D244" s="1">
        <v>25</v>
      </c>
      <c r="F244" s="3"/>
    </row>
    <row r="245" spans="1:6" ht="15.75" customHeight="1">
      <c r="A245" s="1">
        <v>18981</v>
      </c>
      <c r="B245" s="2">
        <v>45090.611284722225</v>
      </c>
      <c r="C245" s="1" t="s">
        <v>8</v>
      </c>
      <c r="D245" s="1">
        <v>35</v>
      </c>
      <c r="F245" s="3"/>
    </row>
    <row r="246" spans="1:6" ht="15.75" customHeight="1">
      <c r="A246" s="1">
        <v>18980</v>
      </c>
      <c r="B246" s="2">
        <v>45090.502546296295</v>
      </c>
      <c r="C246" s="1" t="s">
        <v>10</v>
      </c>
      <c r="D246" s="1">
        <v>25</v>
      </c>
      <c r="F246" s="3"/>
    </row>
    <row r="247" spans="1:6" ht="15.75" customHeight="1">
      <c r="A247" s="1">
        <v>18979</v>
      </c>
      <c r="B247" s="2">
        <v>45090.499826388885</v>
      </c>
      <c r="C247" s="1" t="s">
        <v>0</v>
      </c>
      <c r="D247" s="1">
        <v>25</v>
      </c>
      <c r="F247" s="3"/>
    </row>
    <row r="248" spans="1:6" ht="15.75" customHeight="1">
      <c r="A248" s="1">
        <v>18978</v>
      </c>
      <c r="B248" s="2">
        <v>45090.073472222226</v>
      </c>
      <c r="C248" s="1" t="s">
        <v>0</v>
      </c>
      <c r="D248" s="1">
        <v>30</v>
      </c>
      <c r="F248" s="3"/>
    </row>
    <row r="249" spans="1:6" ht="15.75" customHeight="1">
      <c r="A249" s="1">
        <v>18977</v>
      </c>
      <c r="B249" s="2">
        <v>45090.070925925931</v>
      </c>
      <c r="C249" s="1" t="s">
        <v>0</v>
      </c>
      <c r="D249" s="1">
        <v>26</v>
      </c>
      <c r="F249" s="3"/>
    </row>
    <row r="250" spans="1:6" ht="15.75" customHeight="1">
      <c r="A250" s="1">
        <v>18976</v>
      </c>
      <c r="B250" s="2">
        <v>45090.068275462967</v>
      </c>
      <c r="C250" s="1" t="s">
        <v>0</v>
      </c>
      <c r="D250" s="1">
        <v>26</v>
      </c>
      <c r="F250" s="3"/>
    </row>
    <row r="251" spans="1:6" ht="15.75" customHeight="1">
      <c r="A251" s="1">
        <v>18974</v>
      </c>
      <c r="B251" s="2">
        <v>45089.649895833332</v>
      </c>
      <c r="C251" s="1" t="s">
        <v>8</v>
      </c>
      <c r="D251" s="1">
        <v>35</v>
      </c>
      <c r="F251" s="3"/>
    </row>
    <row r="252" spans="1:6" ht="15.75" customHeight="1">
      <c r="A252" s="1">
        <v>18973</v>
      </c>
      <c r="B252" s="2">
        <v>45089.086701388893</v>
      </c>
      <c r="C252" s="1" t="s">
        <v>0</v>
      </c>
      <c r="D252" s="1">
        <v>25</v>
      </c>
      <c r="F252" s="3"/>
    </row>
    <row r="253" spans="1:6" ht="15.75" customHeight="1">
      <c r="A253" s="1">
        <v>18972</v>
      </c>
      <c r="B253" s="2">
        <v>45088.996886574074</v>
      </c>
      <c r="C253" s="1" t="s">
        <v>0</v>
      </c>
      <c r="D253" s="1">
        <v>26</v>
      </c>
      <c r="F253" s="3"/>
    </row>
    <row r="254" spans="1:6" ht="15.75" customHeight="1">
      <c r="A254" s="1">
        <v>18971</v>
      </c>
      <c r="B254" s="2">
        <v>45088.930150462962</v>
      </c>
      <c r="C254" s="1" t="s">
        <v>8</v>
      </c>
      <c r="D254" s="1">
        <v>71</v>
      </c>
      <c r="F254" s="3"/>
    </row>
    <row r="255" spans="1:6" ht="15.75" customHeight="1">
      <c r="A255" s="1">
        <v>18970</v>
      </c>
      <c r="B255" s="2">
        <v>45088.543553240743</v>
      </c>
      <c r="C255" s="1" t="s">
        <v>10</v>
      </c>
      <c r="D255" s="1">
        <v>25</v>
      </c>
      <c r="F255" s="3"/>
    </row>
    <row r="256" spans="1:6" ht="15.75" customHeight="1">
      <c r="A256" s="1">
        <v>18969</v>
      </c>
      <c r="B256" s="2">
        <v>45087.735891203702</v>
      </c>
      <c r="C256" s="1" t="s">
        <v>5</v>
      </c>
      <c r="D256" s="1">
        <v>25</v>
      </c>
      <c r="F256" s="3"/>
    </row>
    <row r="257" spans="1:6" ht="15.75" customHeight="1">
      <c r="A257" s="1">
        <v>18968</v>
      </c>
      <c r="B257" s="2">
        <v>45087.601527777777</v>
      </c>
      <c r="C257" s="1" t="s">
        <v>8</v>
      </c>
      <c r="D257" s="1">
        <v>28</v>
      </c>
      <c r="F257" s="3"/>
    </row>
    <row r="258" spans="1:6" ht="15.75" customHeight="1">
      <c r="A258" s="1">
        <v>18967</v>
      </c>
      <c r="B258" s="2">
        <v>45087.599606481483</v>
      </c>
      <c r="C258" s="1" t="s">
        <v>8</v>
      </c>
      <c r="D258" s="1">
        <v>28</v>
      </c>
      <c r="F258" s="3"/>
    </row>
    <row r="259" spans="1:6" ht="15.75" customHeight="1">
      <c r="A259" s="1">
        <v>18966</v>
      </c>
      <c r="B259" s="2">
        <v>45087.597777777773</v>
      </c>
      <c r="C259" s="1" t="s">
        <v>8</v>
      </c>
      <c r="D259" s="1">
        <v>28</v>
      </c>
      <c r="F259" s="3"/>
    </row>
    <row r="260" spans="1:6" ht="15.75" customHeight="1">
      <c r="A260" s="1">
        <v>18965</v>
      </c>
      <c r="B260" s="2">
        <v>45086.80259259259</v>
      </c>
      <c r="C260" s="1" t="s">
        <v>8</v>
      </c>
      <c r="D260" s="1">
        <v>20</v>
      </c>
      <c r="F260" s="3"/>
    </row>
    <row r="261" spans="1:6" ht="15.75" customHeight="1">
      <c r="A261" s="1">
        <v>18964</v>
      </c>
      <c r="B261" s="2">
        <v>45086.770949074074</v>
      </c>
      <c r="C261" s="1" t="s">
        <v>10</v>
      </c>
      <c r="D261" s="1">
        <v>20</v>
      </c>
      <c r="F261" s="3"/>
    </row>
    <row r="262" spans="1:6" ht="15.75" customHeight="1">
      <c r="A262" s="1">
        <v>18963</v>
      </c>
      <c r="B262" s="2">
        <v>45086.567337962959</v>
      </c>
      <c r="C262" s="1" t="s">
        <v>10</v>
      </c>
      <c r="D262" s="1">
        <v>20</v>
      </c>
      <c r="F262" s="3"/>
    </row>
    <row r="263" spans="1:6" ht="15.75" customHeight="1">
      <c r="A263" s="1">
        <v>18962</v>
      </c>
      <c r="B263" s="2">
        <v>45086.563402777778</v>
      </c>
      <c r="C263" s="1" t="s">
        <v>10</v>
      </c>
      <c r="D263" s="1">
        <v>25</v>
      </c>
      <c r="F263" s="3"/>
    </row>
    <row r="264" spans="1:6" ht="15.75" customHeight="1">
      <c r="A264" s="1">
        <v>18961</v>
      </c>
      <c r="B264" s="2">
        <v>45086.174884259264</v>
      </c>
      <c r="C264" s="1" t="s">
        <v>8</v>
      </c>
      <c r="D264" s="1">
        <v>26</v>
      </c>
      <c r="F264" s="3"/>
    </row>
    <row r="265" spans="1:6" ht="15.75" customHeight="1">
      <c r="A265" s="1">
        <v>18960</v>
      </c>
      <c r="B265" s="2">
        <v>45086.17324074074</v>
      </c>
      <c r="C265" s="1" t="s">
        <v>8</v>
      </c>
      <c r="D265" s="1">
        <v>26</v>
      </c>
      <c r="F265" s="3"/>
    </row>
    <row r="266" spans="1:6" ht="15.75" customHeight="1">
      <c r="A266" s="1">
        <v>18959</v>
      </c>
      <c r="B266" s="2">
        <v>45086.089513888888</v>
      </c>
      <c r="C266" s="1" t="s">
        <v>0</v>
      </c>
      <c r="D266" s="1">
        <v>48</v>
      </c>
      <c r="F266" s="3"/>
    </row>
    <row r="267" spans="1:6" ht="15.75" customHeight="1">
      <c r="A267" s="1">
        <v>18958</v>
      </c>
      <c r="B267" s="2">
        <v>45085.996261574073</v>
      </c>
      <c r="C267" s="1" t="s">
        <v>8</v>
      </c>
      <c r="D267" s="1">
        <v>42</v>
      </c>
      <c r="F267" s="3"/>
    </row>
    <row r="268" spans="1:6" ht="15.75" customHeight="1">
      <c r="A268" s="1">
        <v>18957</v>
      </c>
      <c r="B268" s="2">
        <v>45085.991724537038</v>
      </c>
      <c r="C268" s="1" t="s">
        <v>8</v>
      </c>
      <c r="D268" s="1">
        <v>42</v>
      </c>
      <c r="F268" s="3"/>
    </row>
    <row r="269" spans="1:6" ht="15.75" customHeight="1">
      <c r="A269" s="1">
        <v>18956</v>
      </c>
      <c r="B269" s="2">
        <v>45085.852476851855</v>
      </c>
      <c r="C269" s="1" t="s">
        <v>8</v>
      </c>
      <c r="D269" s="1">
        <v>22</v>
      </c>
      <c r="F269" s="3"/>
    </row>
    <row r="270" spans="1:6" ht="15.75" customHeight="1">
      <c r="A270" s="1">
        <v>18955</v>
      </c>
      <c r="B270" s="2">
        <v>45085.846018518518</v>
      </c>
      <c r="C270" s="1" t="s">
        <v>8</v>
      </c>
      <c r="D270" s="1">
        <v>42</v>
      </c>
      <c r="F270" s="3"/>
    </row>
    <row r="271" spans="1:6" ht="15.75" customHeight="1">
      <c r="A271" s="1">
        <v>18954</v>
      </c>
      <c r="B271" s="2">
        <v>45085.084537037037</v>
      </c>
      <c r="C271" s="1" t="s">
        <v>8</v>
      </c>
      <c r="D271" s="1">
        <v>28</v>
      </c>
      <c r="F271" s="3"/>
    </row>
    <row r="272" spans="1:6" ht="15.75" customHeight="1">
      <c r="A272" s="1">
        <v>18953</v>
      </c>
      <c r="B272" s="2">
        <v>45085.052534722221</v>
      </c>
      <c r="C272" s="1" t="s">
        <v>10</v>
      </c>
      <c r="D272" s="1">
        <v>20</v>
      </c>
      <c r="F272" s="3"/>
    </row>
    <row r="273" spans="1:6" ht="15.75" customHeight="1">
      <c r="A273" s="1">
        <v>18952</v>
      </c>
      <c r="B273" s="2">
        <v>45085.050636574073</v>
      </c>
      <c r="C273" s="1" t="s">
        <v>10</v>
      </c>
      <c r="D273" s="1">
        <v>40</v>
      </c>
      <c r="F273" s="3"/>
    </row>
    <row r="274" spans="1:6" ht="15.75" customHeight="1">
      <c r="A274" s="1">
        <v>18951</v>
      </c>
      <c r="B274" s="2">
        <v>45085.041273148148</v>
      </c>
      <c r="C274" s="1" t="s">
        <v>8</v>
      </c>
      <c r="D274" s="1">
        <v>28</v>
      </c>
      <c r="F274" s="3"/>
    </row>
    <row r="275" spans="1:6" ht="15.75" customHeight="1">
      <c r="A275" s="1">
        <v>18950</v>
      </c>
      <c r="B275" s="2">
        <v>45084.980509259258</v>
      </c>
      <c r="C275" s="1" t="s">
        <v>8</v>
      </c>
      <c r="D275" s="1">
        <v>53</v>
      </c>
      <c r="F275" s="3"/>
    </row>
    <row r="276" spans="1:6" ht="15.75" customHeight="1">
      <c r="A276" s="1">
        <v>18949</v>
      </c>
      <c r="B276" s="2">
        <v>45084.978645833333</v>
      </c>
      <c r="C276" s="1" t="s">
        <v>8</v>
      </c>
      <c r="D276" s="1">
        <v>53</v>
      </c>
      <c r="F276" s="3"/>
    </row>
    <row r="277" spans="1:6" ht="15.75" customHeight="1">
      <c r="A277" s="1">
        <v>18948</v>
      </c>
      <c r="B277" s="2">
        <v>45084.956863425927</v>
      </c>
      <c r="C277" s="1" t="s">
        <v>8</v>
      </c>
      <c r="D277" s="1">
        <v>30</v>
      </c>
      <c r="F277" s="3"/>
    </row>
    <row r="278" spans="1:6" ht="15.75" customHeight="1">
      <c r="A278" s="1">
        <v>18947</v>
      </c>
      <c r="B278" s="2">
        <v>45084.955613425926</v>
      </c>
      <c r="C278" s="1" t="s">
        <v>8</v>
      </c>
      <c r="D278" s="1">
        <v>55</v>
      </c>
      <c r="F278" s="3"/>
    </row>
    <row r="279" spans="1:6" ht="15.75" customHeight="1">
      <c r="A279" s="1">
        <v>18946</v>
      </c>
      <c r="B279" s="2">
        <v>45084.953020833331</v>
      </c>
      <c r="C279" s="1" t="s">
        <v>10</v>
      </c>
      <c r="D279" s="1">
        <v>55</v>
      </c>
      <c r="F279" s="3"/>
    </row>
    <row r="280" spans="1:6" ht="15.75" customHeight="1">
      <c r="A280" s="1">
        <v>18945</v>
      </c>
      <c r="B280" s="2">
        <v>45084.952893518523</v>
      </c>
      <c r="C280" s="1" t="s">
        <v>10</v>
      </c>
      <c r="D280" s="1">
        <v>15</v>
      </c>
      <c r="F280" s="3"/>
    </row>
    <row r="281" spans="1:6" ht="15.75" customHeight="1">
      <c r="A281" s="1">
        <v>18944</v>
      </c>
      <c r="B281" s="2">
        <v>45084.837199074071</v>
      </c>
      <c r="C281" s="1" t="s">
        <v>10</v>
      </c>
      <c r="D281" s="1">
        <v>25</v>
      </c>
      <c r="F281" s="3"/>
    </row>
    <row r="282" spans="1:6" ht="15.75" customHeight="1">
      <c r="A282" s="1">
        <v>18943</v>
      </c>
      <c r="B282" s="2">
        <v>45084.699733796297</v>
      </c>
      <c r="C282" s="1" t="s">
        <v>10</v>
      </c>
      <c r="D282" s="1">
        <v>20</v>
      </c>
      <c r="F282" s="3"/>
    </row>
    <row r="283" spans="1:6" ht="15.75" customHeight="1">
      <c r="A283" s="1">
        <v>18942</v>
      </c>
      <c r="B283" s="2">
        <v>45084.696018518516</v>
      </c>
      <c r="C283" s="1" t="s">
        <v>8</v>
      </c>
      <c r="D283" s="1">
        <v>28</v>
      </c>
      <c r="F283" s="3"/>
    </row>
    <row r="284" spans="1:6" ht="15.75" customHeight="1">
      <c r="A284" s="1">
        <v>18941</v>
      </c>
      <c r="B284" s="2">
        <v>45084.653819444444</v>
      </c>
      <c r="C284" s="1" t="s">
        <v>10</v>
      </c>
      <c r="D284" s="1">
        <v>25</v>
      </c>
      <c r="F284" s="3"/>
    </row>
    <row r="285" spans="1:6" ht="15.75" customHeight="1">
      <c r="A285" s="1">
        <v>18940</v>
      </c>
      <c r="B285" s="2">
        <v>45084.653055555551</v>
      </c>
      <c r="C285" s="1" t="s">
        <v>8</v>
      </c>
      <c r="D285" s="1">
        <v>28</v>
      </c>
      <c r="F285" s="3"/>
    </row>
    <row r="286" spans="1:6" ht="15.75" customHeight="1">
      <c r="A286" s="1">
        <v>18939</v>
      </c>
      <c r="B286" s="2">
        <v>45084.618333333332</v>
      </c>
      <c r="C286" s="1" t="s">
        <v>8</v>
      </c>
      <c r="D286" s="1">
        <v>22</v>
      </c>
      <c r="F286" s="3"/>
    </row>
    <row r="287" spans="1:6" ht="15.75" customHeight="1">
      <c r="A287" s="1">
        <v>18938</v>
      </c>
      <c r="B287" s="2">
        <v>45084.55878472222</v>
      </c>
      <c r="C287" s="1" t="s">
        <v>8</v>
      </c>
      <c r="D287" s="1">
        <v>53</v>
      </c>
      <c r="F287" s="3"/>
    </row>
    <row r="288" spans="1:6" ht="15.75" customHeight="1">
      <c r="A288" s="1">
        <v>18937</v>
      </c>
      <c r="B288" s="2">
        <v>45084.47956018518</v>
      </c>
      <c r="C288" s="1" t="s">
        <v>8</v>
      </c>
      <c r="D288" s="1">
        <v>54</v>
      </c>
      <c r="F288" s="3"/>
    </row>
    <row r="289" spans="1:6" ht="15.75" customHeight="1">
      <c r="A289" s="1">
        <v>18936</v>
      </c>
      <c r="B289" s="2">
        <v>45083.714004629626</v>
      </c>
      <c r="C289" s="1" t="s">
        <v>10</v>
      </c>
      <c r="D289" s="1">
        <v>25</v>
      </c>
      <c r="F289" s="3"/>
    </row>
    <row r="290" spans="1:6" ht="15.75" customHeight="1">
      <c r="A290" s="1">
        <v>18935</v>
      </c>
      <c r="B290" s="2">
        <v>45083.680486111116</v>
      </c>
      <c r="C290" s="1" t="s">
        <v>10</v>
      </c>
      <c r="D290" s="1">
        <v>18</v>
      </c>
      <c r="F290" s="3"/>
    </row>
    <row r="291" spans="1:6" ht="15.75" customHeight="1">
      <c r="A291" s="1">
        <v>18934</v>
      </c>
      <c r="B291" s="2">
        <v>45083.421759259261</v>
      </c>
      <c r="C291" s="1" t="s">
        <v>10</v>
      </c>
      <c r="D291" s="1">
        <v>25</v>
      </c>
      <c r="F291" s="3"/>
    </row>
    <row r="292" spans="1:6" ht="15.75" customHeight="1">
      <c r="A292" s="1">
        <v>18933</v>
      </c>
      <c r="B292" s="2">
        <v>45082.700335648144</v>
      </c>
      <c r="C292" s="1" t="s">
        <v>10</v>
      </c>
      <c r="D292" s="1">
        <v>25</v>
      </c>
      <c r="F292" s="3"/>
    </row>
    <row r="293" spans="1:6" ht="15.75" customHeight="1">
      <c r="A293" s="1">
        <v>18932</v>
      </c>
      <c r="B293" s="2">
        <v>45082.035543981481</v>
      </c>
      <c r="C293" s="1" t="s">
        <v>10</v>
      </c>
      <c r="D293" s="1">
        <v>26</v>
      </c>
      <c r="F293" s="3"/>
    </row>
    <row r="294" spans="1:6" ht="15.75" customHeight="1">
      <c r="A294" s="1">
        <v>18931</v>
      </c>
      <c r="B294" s="2">
        <v>45081.559178240743</v>
      </c>
      <c r="C294" s="1" t="s">
        <v>10</v>
      </c>
      <c r="D294" s="1">
        <v>25</v>
      </c>
      <c r="F294" s="3"/>
    </row>
    <row r="295" spans="1:6" ht="15.75" customHeight="1">
      <c r="A295" s="1">
        <v>18930</v>
      </c>
      <c r="B295" s="2">
        <v>45081.55400462963</v>
      </c>
      <c r="C295" s="1" t="s">
        <v>10</v>
      </c>
      <c r="D295" s="1">
        <v>38</v>
      </c>
      <c r="F295" s="3"/>
    </row>
    <row r="296" spans="1:6" ht="15.75" customHeight="1">
      <c r="A296" s="1">
        <v>18929</v>
      </c>
      <c r="B296" s="2">
        <v>45081.111481481479</v>
      </c>
      <c r="C296" s="1" t="s">
        <v>10</v>
      </c>
      <c r="D296" s="1">
        <v>25</v>
      </c>
      <c r="F296" s="3"/>
    </row>
    <row r="297" spans="1:6" ht="15.75" customHeight="1">
      <c r="A297" s="1">
        <v>18928</v>
      </c>
      <c r="B297" s="2">
        <v>45080.967083333337</v>
      </c>
      <c r="C297" s="1" t="s">
        <v>8</v>
      </c>
      <c r="D297" s="1">
        <v>26</v>
      </c>
      <c r="F297" s="3"/>
    </row>
    <row r="298" spans="1:6" ht="15.75" customHeight="1">
      <c r="A298" s="1">
        <v>18927</v>
      </c>
      <c r="B298" s="2">
        <v>45080.786469907413</v>
      </c>
      <c r="C298" s="1" t="s">
        <v>8</v>
      </c>
      <c r="D298" s="1">
        <v>55</v>
      </c>
      <c r="F298" s="3"/>
    </row>
    <row r="299" spans="1:6" ht="15.75" customHeight="1">
      <c r="A299" s="1">
        <v>18926</v>
      </c>
      <c r="B299" s="2">
        <v>45080.776585648149</v>
      </c>
      <c r="C299" s="1" t="s">
        <v>10</v>
      </c>
      <c r="D299" s="1">
        <v>20</v>
      </c>
      <c r="F299" s="3"/>
    </row>
    <row r="300" spans="1:6" ht="15.75" customHeight="1">
      <c r="A300" s="1">
        <v>18925</v>
      </c>
      <c r="B300" s="2">
        <v>45080.759837962964</v>
      </c>
      <c r="C300" s="1" t="s">
        <v>8</v>
      </c>
      <c r="D300" s="1">
        <v>26</v>
      </c>
      <c r="F300" s="3"/>
    </row>
    <row r="301" spans="1:6" ht="15.75" customHeight="1">
      <c r="A301" s="1">
        <v>18924</v>
      </c>
      <c r="B301" s="2">
        <v>45080.738333333335</v>
      </c>
      <c r="C301" s="1" t="s">
        <v>10</v>
      </c>
      <c r="D301" s="1">
        <v>18</v>
      </c>
      <c r="F301" s="3"/>
    </row>
    <row r="302" spans="1:6" ht="15.75" customHeight="1">
      <c r="A302" s="1">
        <v>18923</v>
      </c>
      <c r="B302" s="2">
        <v>45080.702592592592</v>
      </c>
      <c r="C302" s="1" t="s">
        <v>8</v>
      </c>
      <c r="D302" s="1">
        <v>55</v>
      </c>
      <c r="F302" s="3"/>
    </row>
    <row r="303" spans="1:6" ht="15.75" customHeight="1">
      <c r="A303" s="1">
        <v>18922</v>
      </c>
      <c r="B303" s="2">
        <v>45080.701597222222</v>
      </c>
      <c r="C303" s="1" t="s">
        <v>8</v>
      </c>
      <c r="D303" s="1">
        <v>50</v>
      </c>
      <c r="F303" s="3"/>
    </row>
    <row r="304" spans="1:6" ht="15.75" customHeight="1">
      <c r="A304" s="1">
        <v>18921</v>
      </c>
      <c r="B304" s="2">
        <v>45080.67900462963</v>
      </c>
      <c r="C304" s="1" t="s">
        <v>8</v>
      </c>
      <c r="D304" s="1">
        <v>41</v>
      </c>
      <c r="F304" s="3"/>
    </row>
    <row r="305" spans="1:6" ht="15.75" customHeight="1">
      <c r="A305" s="1">
        <v>18920</v>
      </c>
      <c r="B305" s="2">
        <v>45080.626331018517</v>
      </c>
      <c r="C305" s="1" t="s">
        <v>8</v>
      </c>
      <c r="D305" s="1">
        <v>26</v>
      </c>
      <c r="F305" s="3"/>
    </row>
    <row r="306" spans="1:6" ht="15.75" customHeight="1">
      <c r="A306" s="1">
        <v>18919</v>
      </c>
      <c r="B306" s="2">
        <v>45080.618402777778</v>
      </c>
      <c r="C306" s="1" t="s">
        <v>0</v>
      </c>
      <c r="D306" s="1">
        <v>35</v>
      </c>
      <c r="F306" s="3"/>
    </row>
    <row r="307" spans="1:6" ht="15.75" customHeight="1">
      <c r="A307" s="1">
        <v>18918</v>
      </c>
      <c r="B307" s="2">
        <v>45080.60356481481</v>
      </c>
      <c r="C307" s="1" t="s">
        <v>10</v>
      </c>
      <c r="D307" s="1">
        <v>15</v>
      </c>
      <c r="F307" s="3"/>
    </row>
    <row r="308" spans="1:6" ht="15.75" customHeight="1">
      <c r="A308" s="1">
        <v>18917</v>
      </c>
      <c r="B308" s="2">
        <v>45080.582465277781</v>
      </c>
      <c r="C308" s="1" t="s">
        <v>8</v>
      </c>
      <c r="D308" s="1">
        <v>73</v>
      </c>
      <c r="F308" s="3"/>
    </row>
    <row r="309" spans="1:6" ht="15.75" customHeight="1">
      <c r="A309" s="1">
        <v>18916</v>
      </c>
      <c r="B309" s="2">
        <v>45080.571400462963</v>
      </c>
      <c r="C309" s="1" t="s">
        <v>0</v>
      </c>
      <c r="D309" s="1">
        <v>25</v>
      </c>
      <c r="F309" s="3"/>
    </row>
    <row r="310" spans="1:6" ht="15.75" customHeight="1">
      <c r="A310" s="1">
        <v>18915</v>
      </c>
      <c r="B310" s="2">
        <v>45080.570150462961</v>
      </c>
      <c r="C310" s="1" t="s">
        <v>0</v>
      </c>
      <c r="D310" s="1">
        <v>20</v>
      </c>
      <c r="F310" s="3"/>
    </row>
    <row r="311" spans="1:6" ht="15.75" customHeight="1">
      <c r="A311" s="1">
        <v>18914</v>
      </c>
      <c r="B311" s="2">
        <v>45080.568784722222</v>
      </c>
      <c r="C311" s="1" t="s">
        <v>8</v>
      </c>
      <c r="D311" s="1">
        <v>28</v>
      </c>
      <c r="F311" s="3"/>
    </row>
    <row r="312" spans="1:6" ht="15.75" customHeight="1">
      <c r="A312" s="1">
        <v>18913</v>
      </c>
      <c r="B312" s="2">
        <v>45080.565810185188</v>
      </c>
      <c r="C312" s="1" t="s">
        <v>8</v>
      </c>
      <c r="D312" s="1">
        <v>28</v>
      </c>
      <c r="F312" s="3"/>
    </row>
    <row r="313" spans="1:6" ht="15.75" customHeight="1">
      <c r="A313" s="1">
        <v>18912</v>
      </c>
      <c r="B313" s="2">
        <v>45080.565138888887</v>
      </c>
      <c r="C313" s="1" t="s">
        <v>10</v>
      </c>
      <c r="D313" s="1">
        <v>20</v>
      </c>
      <c r="F313" s="3"/>
    </row>
    <row r="314" spans="1:6" ht="15.75" customHeight="1">
      <c r="A314" s="1">
        <v>18911</v>
      </c>
      <c r="B314" s="2">
        <v>45080.564768518518</v>
      </c>
      <c r="C314" s="1" t="s">
        <v>10</v>
      </c>
      <c r="D314" s="1">
        <v>18</v>
      </c>
      <c r="F314" s="3"/>
    </row>
    <row r="315" spans="1:6" ht="15.75" customHeight="1">
      <c r="A315" s="1">
        <v>18910</v>
      </c>
      <c r="B315" s="2">
        <v>45080.562696759254</v>
      </c>
      <c r="C315" s="1" t="s">
        <v>10</v>
      </c>
      <c r="D315" s="1">
        <v>45</v>
      </c>
      <c r="F315" s="3"/>
    </row>
    <row r="316" spans="1:6" ht="15.75" customHeight="1">
      <c r="A316" s="1">
        <v>18909</v>
      </c>
      <c r="B316" s="2">
        <v>45080.560127314813</v>
      </c>
      <c r="C316" s="1" t="s">
        <v>0</v>
      </c>
      <c r="D316" s="1">
        <v>25</v>
      </c>
      <c r="F316" s="3"/>
    </row>
    <row r="317" spans="1:6" ht="15.75" customHeight="1">
      <c r="A317" s="1">
        <v>18908</v>
      </c>
      <c r="B317" s="2">
        <v>45080.558518518519</v>
      </c>
      <c r="C317" s="1" t="s">
        <v>10</v>
      </c>
      <c r="D317" s="1">
        <v>25</v>
      </c>
      <c r="F317" s="3"/>
    </row>
    <row r="318" spans="1:6" ht="15.75" customHeight="1">
      <c r="A318" s="1">
        <v>18907</v>
      </c>
      <c r="B318" s="2">
        <v>45080.555543981478</v>
      </c>
      <c r="C318" s="1" t="s">
        <v>10</v>
      </c>
      <c r="D318" s="1">
        <v>25</v>
      </c>
      <c r="F318" s="3"/>
    </row>
    <row r="319" spans="1:6" ht="15.75" customHeight="1">
      <c r="A319" s="1">
        <v>18906</v>
      </c>
      <c r="B319" s="2">
        <v>45080.544525462959</v>
      </c>
      <c r="C319" s="1" t="s">
        <v>8</v>
      </c>
      <c r="D319" s="1">
        <v>26</v>
      </c>
      <c r="F319" s="3"/>
    </row>
    <row r="320" spans="1:6" ht="15.75" customHeight="1">
      <c r="A320" s="1">
        <v>18905</v>
      </c>
      <c r="B320" s="2">
        <v>45080.54415509259</v>
      </c>
      <c r="C320" s="1" t="s">
        <v>8</v>
      </c>
      <c r="D320" s="1">
        <v>26</v>
      </c>
      <c r="F320" s="3"/>
    </row>
    <row r="321" spans="1:6" ht="15.75" customHeight="1">
      <c r="A321" s="1">
        <v>18904</v>
      </c>
      <c r="B321" s="2">
        <v>45080.543437500004</v>
      </c>
      <c r="C321" s="1" t="s">
        <v>0</v>
      </c>
      <c r="D321" s="1">
        <v>56</v>
      </c>
      <c r="F321" s="3"/>
    </row>
    <row r="322" spans="1:6" ht="15.75" customHeight="1">
      <c r="A322" s="1">
        <v>18903</v>
      </c>
      <c r="B322" s="2">
        <v>45080.510462962964</v>
      </c>
      <c r="C322" s="1" t="s">
        <v>10</v>
      </c>
      <c r="D322" s="1">
        <v>25</v>
      </c>
      <c r="F322" s="3"/>
    </row>
    <row r="323" spans="1:6" ht="15.75" customHeight="1">
      <c r="A323" s="1">
        <v>18902</v>
      </c>
      <c r="B323" s="2">
        <v>45080.492233796293</v>
      </c>
      <c r="C323" s="1" t="s">
        <v>8</v>
      </c>
      <c r="D323" s="1">
        <v>50</v>
      </c>
      <c r="F323" s="3"/>
    </row>
    <row r="324" spans="1:6" ht="15.75" customHeight="1">
      <c r="A324" s="1">
        <v>18901</v>
      </c>
      <c r="B324" s="2">
        <v>45080.480787037042</v>
      </c>
      <c r="C324" s="1" t="s">
        <v>10</v>
      </c>
      <c r="D324" s="1">
        <v>25</v>
      </c>
      <c r="F324" s="3"/>
    </row>
    <row r="325" spans="1:6" ht="15.75" customHeight="1">
      <c r="A325" s="1">
        <v>18900</v>
      </c>
      <c r="B325" s="2">
        <v>45080.049791666665</v>
      </c>
      <c r="C325" s="1" t="s">
        <v>10</v>
      </c>
      <c r="D325" s="1">
        <v>20</v>
      </c>
      <c r="F325" s="3"/>
    </row>
    <row r="326" spans="1:6" ht="15.75" customHeight="1">
      <c r="A326" s="1">
        <v>18899</v>
      </c>
      <c r="B326" s="2">
        <v>45080.046226851853</v>
      </c>
      <c r="C326" s="1" t="s">
        <v>10</v>
      </c>
      <c r="D326" s="1">
        <v>20</v>
      </c>
      <c r="F326" s="3"/>
    </row>
    <row r="327" spans="1:6" ht="15.75" customHeight="1">
      <c r="A327" s="1">
        <v>18898</v>
      </c>
      <c r="B327" s="2">
        <v>45080.044571759259</v>
      </c>
      <c r="C327" s="1" t="s">
        <v>10</v>
      </c>
      <c r="D327" s="1">
        <v>20</v>
      </c>
      <c r="F327" s="3"/>
    </row>
    <row r="328" spans="1:6" ht="15.75" customHeight="1">
      <c r="A328" s="1">
        <v>18897</v>
      </c>
      <c r="B328" s="2">
        <v>45079.917291666672</v>
      </c>
      <c r="C328" s="1" t="s">
        <v>0</v>
      </c>
      <c r="D328" s="1">
        <v>20</v>
      </c>
      <c r="F328" s="3"/>
    </row>
    <row r="329" spans="1:6" ht="15.75" customHeight="1">
      <c r="A329" s="1">
        <v>18882</v>
      </c>
      <c r="B329" s="2">
        <v>45079.109780092593</v>
      </c>
      <c r="C329" s="1" t="s">
        <v>10</v>
      </c>
      <c r="D329" s="1">
        <v>20</v>
      </c>
      <c r="F329" s="3"/>
    </row>
    <row r="330" spans="1:6" ht="15.75" customHeight="1">
      <c r="A330" s="1">
        <v>18881</v>
      </c>
      <c r="B330" s="2">
        <v>45078.976365740746</v>
      </c>
      <c r="C330" s="1" t="s">
        <v>10</v>
      </c>
      <c r="D330" s="1">
        <v>30</v>
      </c>
      <c r="F330" s="3"/>
    </row>
    <row r="331" spans="1:6" ht="15.75" customHeight="1">
      <c r="A331" s="1">
        <v>18879</v>
      </c>
      <c r="B331" s="2">
        <v>45078.828171296293</v>
      </c>
      <c r="C331" s="1" t="s">
        <v>10</v>
      </c>
      <c r="D331" s="1">
        <v>20</v>
      </c>
      <c r="F331" s="3"/>
    </row>
    <row r="332" spans="1:6" ht="15.75" customHeight="1">
      <c r="A332" s="1">
        <v>18878</v>
      </c>
      <c r="B332" s="2">
        <v>45078.672800925924</v>
      </c>
      <c r="C332" s="1" t="s">
        <v>10</v>
      </c>
      <c r="D332" s="1">
        <v>25</v>
      </c>
      <c r="F332" s="3"/>
    </row>
    <row r="333" spans="1:6" ht="15.75" customHeight="1">
      <c r="A333" s="1">
        <v>18877</v>
      </c>
      <c r="B333" s="2">
        <v>45078.639664351853</v>
      </c>
      <c r="C333" s="1" t="s">
        <v>8</v>
      </c>
      <c r="D333" s="1">
        <v>15</v>
      </c>
      <c r="F333" s="3"/>
    </row>
    <row r="334" spans="1:6" ht="15.75" customHeight="1">
      <c r="A334" s="1">
        <v>18876</v>
      </c>
      <c r="B334" s="2">
        <v>45078.540092592593</v>
      </c>
      <c r="C334" s="1" t="s">
        <v>10</v>
      </c>
      <c r="D334" s="1">
        <v>25</v>
      </c>
      <c r="F334" s="3"/>
    </row>
    <row r="335" spans="1:6" ht="15.75" customHeight="1">
      <c r="A335" s="1">
        <v>18875</v>
      </c>
      <c r="B335" s="2">
        <v>45078.528425925921</v>
      </c>
      <c r="C335" s="1" t="s">
        <v>10</v>
      </c>
      <c r="D335" s="1">
        <v>15</v>
      </c>
      <c r="F335" s="3"/>
    </row>
    <row r="336" spans="1:6" ht="15.75" customHeight="1">
      <c r="A336" s="1">
        <v>18874</v>
      </c>
      <c r="B336" s="2">
        <v>45078.084131944444</v>
      </c>
      <c r="C336" s="1" t="s">
        <v>10</v>
      </c>
      <c r="D336" s="1">
        <v>25</v>
      </c>
      <c r="F336" s="3"/>
    </row>
    <row r="337" spans="1:6" ht="15.75" customHeight="1">
      <c r="A337" s="1">
        <v>18873</v>
      </c>
      <c r="B337" s="2">
        <v>45078.050775462965</v>
      </c>
      <c r="C337" s="1" t="s">
        <v>8</v>
      </c>
      <c r="D337" s="1">
        <v>28</v>
      </c>
      <c r="F337" s="3"/>
    </row>
    <row r="338" spans="1:6" ht="15.75" customHeight="1">
      <c r="A338" s="1">
        <v>18872</v>
      </c>
      <c r="B338" s="2">
        <v>45077.984918981485</v>
      </c>
      <c r="C338" s="1" t="s">
        <v>10</v>
      </c>
      <c r="D338" s="1">
        <v>44</v>
      </c>
      <c r="F338" s="3"/>
    </row>
    <row r="339" spans="1:6" ht="15.75" customHeight="1">
      <c r="A339" s="1">
        <v>18871</v>
      </c>
      <c r="B339" s="2">
        <v>45077.969537037032</v>
      </c>
      <c r="C339" s="1" t="s">
        <v>10</v>
      </c>
      <c r="D339" s="1">
        <v>25</v>
      </c>
      <c r="F339" s="3"/>
    </row>
    <row r="340" spans="1:6" ht="15.75" customHeight="1">
      <c r="A340" s="1">
        <v>18870</v>
      </c>
      <c r="B340" s="2">
        <v>45077.968958333338</v>
      </c>
      <c r="C340" s="1" t="s">
        <v>10</v>
      </c>
      <c r="D340" s="1">
        <v>20</v>
      </c>
      <c r="F340" s="3"/>
    </row>
    <row r="341" spans="1:6" ht="15.75" customHeight="1">
      <c r="A341" s="1">
        <v>18869</v>
      </c>
      <c r="B341" s="2">
        <v>45077.939699074079</v>
      </c>
      <c r="C341" s="1" t="s">
        <v>10</v>
      </c>
      <c r="D341" s="1">
        <v>28</v>
      </c>
      <c r="F341" s="3"/>
    </row>
    <row r="342" spans="1:6" ht="15.75" customHeight="1">
      <c r="A342" s="1">
        <v>18868</v>
      </c>
      <c r="B342" s="2">
        <v>45077.937523148154</v>
      </c>
      <c r="C342" s="1" t="s">
        <v>10</v>
      </c>
      <c r="D342" s="1">
        <v>35</v>
      </c>
      <c r="F342" s="3"/>
    </row>
    <row r="343" spans="1:6" ht="15.75" customHeight="1">
      <c r="A343" s="1">
        <v>18867</v>
      </c>
      <c r="B343" s="2">
        <v>45077.9222337963</v>
      </c>
      <c r="C343" s="1" t="s">
        <v>10</v>
      </c>
      <c r="D343" s="1">
        <v>50</v>
      </c>
      <c r="F343" s="3"/>
    </row>
    <row r="344" spans="1:6" ht="15.75" customHeight="1">
      <c r="A344" s="1">
        <v>18866</v>
      </c>
      <c r="B344" s="2">
        <v>45077.922060185185</v>
      </c>
      <c r="C344" s="1" t="s">
        <v>10</v>
      </c>
      <c r="D344" s="1">
        <v>28</v>
      </c>
      <c r="F344" s="3"/>
    </row>
    <row r="345" spans="1:6" ht="15.75" customHeight="1">
      <c r="A345" s="1">
        <v>18865</v>
      </c>
      <c r="B345" s="2">
        <v>45077.920856481476</v>
      </c>
      <c r="C345" s="1" t="s">
        <v>10</v>
      </c>
      <c r="D345" s="1">
        <v>25</v>
      </c>
      <c r="F345" s="3"/>
    </row>
    <row r="346" spans="1:6" ht="15.75" customHeight="1">
      <c r="A346" s="1">
        <v>18864</v>
      </c>
      <c r="B346" s="2">
        <v>45077.920081018514</v>
      </c>
      <c r="C346" s="1" t="s">
        <v>10</v>
      </c>
      <c r="D346" s="1">
        <v>25</v>
      </c>
      <c r="F346" s="3"/>
    </row>
    <row r="347" spans="1:6" ht="15.75" customHeight="1">
      <c r="A347" s="1">
        <v>18863</v>
      </c>
      <c r="B347" s="2">
        <v>45077.917499999996</v>
      </c>
      <c r="C347" s="1" t="s">
        <v>10</v>
      </c>
      <c r="D347" s="1">
        <v>25</v>
      </c>
      <c r="F347" s="3"/>
    </row>
    <row r="348" spans="1:6" ht="15.75" customHeight="1">
      <c r="A348" s="1">
        <v>18862</v>
      </c>
      <c r="B348" s="2">
        <v>45077.915023148147</v>
      </c>
      <c r="C348" s="1" t="s">
        <v>10</v>
      </c>
      <c r="D348" s="1">
        <v>25</v>
      </c>
      <c r="F348" s="3"/>
    </row>
    <row r="349" spans="1:6" ht="15.75" customHeight="1">
      <c r="A349" s="1">
        <v>18861</v>
      </c>
      <c r="B349" s="2">
        <v>45077.871678240743</v>
      </c>
      <c r="C349" s="1" t="s">
        <v>10</v>
      </c>
      <c r="D349" s="1">
        <v>26</v>
      </c>
      <c r="F349" s="3"/>
    </row>
    <row r="350" spans="1:6" ht="15.75" customHeight="1">
      <c r="A350" s="1">
        <v>18860</v>
      </c>
      <c r="B350" s="2">
        <v>45076.541261574079</v>
      </c>
      <c r="C350" s="1" t="s">
        <v>0</v>
      </c>
      <c r="D350" s="1">
        <v>20</v>
      </c>
      <c r="F350" s="3"/>
    </row>
    <row r="351" spans="1:6" ht="15.75" customHeight="1">
      <c r="A351" s="1">
        <v>18850</v>
      </c>
      <c r="B351" s="2">
        <v>45074.967106481483</v>
      </c>
      <c r="C351" s="1" t="s">
        <v>10</v>
      </c>
      <c r="D351" s="1">
        <v>47</v>
      </c>
      <c r="F351" s="3"/>
    </row>
    <row r="352" spans="1:6" ht="15.75" customHeight="1">
      <c r="A352" s="1">
        <v>18849</v>
      </c>
      <c r="B352" s="2">
        <v>45074.917962962965</v>
      </c>
      <c r="C352" s="1" t="s">
        <v>0</v>
      </c>
      <c r="D352" s="1">
        <v>47</v>
      </c>
      <c r="F352" s="3"/>
    </row>
    <row r="353" spans="1:6" ht="15.75" customHeight="1">
      <c r="A353" s="1">
        <v>18848</v>
      </c>
      <c r="B353" s="2">
        <v>45074.887488425928</v>
      </c>
      <c r="C353" s="1" t="s">
        <v>10</v>
      </c>
      <c r="D353" s="1">
        <v>30</v>
      </c>
      <c r="F353" s="3"/>
    </row>
    <row r="354" spans="1:6" ht="15.75" customHeight="1">
      <c r="A354" s="1">
        <v>18847</v>
      </c>
      <c r="B354" s="2">
        <v>45074.884780092594</v>
      </c>
      <c r="C354" s="1" t="s">
        <v>10</v>
      </c>
      <c r="D354" s="1">
        <v>55</v>
      </c>
      <c r="F354" s="3"/>
    </row>
    <row r="355" spans="1:6" ht="15.75" customHeight="1">
      <c r="A355" s="1">
        <v>18846</v>
      </c>
      <c r="B355" s="2">
        <v>45074.882361111115</v>
      </c>
      <c r="C355" s="1" t="s">
        <v>10</v>
      </c>
      <c r="D355" s="1">
        <v>55</v>
      </c>
      <c r="F355" s="3"/>
    </row>
    <row r="356" spans="1:6" ht="15.75" customHeight="1">
      <c r="A356" s="1">
        <v>18845</v>
      </c>
      <c r="B356" s="2">
        <v>45074.652361111112</v>
      </c>
      <c r="C356" s="1" t="s">
        <v>8</v>
      </c>
      <c r="D356" s="1">
        <v>15</v>
      </c>
      <c r="F356" s="3"/>
    </row>
    <row r="357" spans="1:6" ht="15.75" customHeight="1">
      <c r="A357" s="1">
        <v>18844</v>
      </c>
      <c r="B357" s="2">
        <v>45074.647673611107</v>
      </c>
      <c r="C357" s="1" t="s">
        <v>10</v>
      </c>
      <c r="D357" s="1">
        <v>15</v>
      </c>
      <c r="F357" s="3"/>
    </row>
    <row r="358" spans="1:6" ht="15.75" customHeight="1">
      <c r="A358" s="1">
        <v>18843</v>
      </c>
      <c r="B358" s="2">
        <v>45073.995092592595</v>
      </c>
      <c r="C358" s="1" t="s">
        <v>10</v>
      </c>
      <c r="D358" s="1">
        <v>28</v>
      </c>
      <c r="F358" s="3"/>
    </row>
    <row r="359" spans="1:6" ht="15.75" customHeight="1">
      <c r="A359" s="1">
        <v>18842</v>
      </c>
      <c r="B359" s="2">
        <v>45073.532488425924</v>
      </c>
      <c r="C359" s="1" t="s">
        <v>10</v>
      </c>
      <c r="D359" s="1">
        <v>25</v>
      </c>
      <c r="F359" s="3"/>
    </row>
    <row r="360" spans="1:6" ht="15.75" customHeight="1">
      <c r="A360" s="1">
        <v>18841</v>
      </c>
      <c r="B360" s="2">
        <v>45073.05332175926</v>
      </c>
      <c r="C360" s="1" t="s">
        <v>10</v>
      </c>
      <c r="D360" s="1">
        <v>25</v>
      </c>
      <c r="F360" s="3"/>
    </row>
    <row r="361" spans="1:6" ht="15.75" customHeight="1">
      <c r="A361" s="1">
        <v>18840</v>
      </c>
      <c r="B361" s="2">
        <v>45072.9919212963</v>
      </c>
      <c r="C361" s="1" t="s">
        <v>10</v>
      </c>
      <c r="D361" s="1">
        <v>56</v>
      </c>
      <c r="F361" s="3"/>
    </row>
    <row r="362" spans="1:6" ht="15.75" customHeight="1">
      <c r="A362" s="1">
        <v>18839</v>
      </c>
      <c r="B362" s="2">
        <v>45072.985868055555</v>
      </c>
      <c r="C362" s="1" t="s">
        <v>10</v>
      </c>
      <c r="D362" s="1">
        <v>28</v>
      </c>
      <c r="F362" s="3"/>
    </row>
    <row r="363" spans="1:6" ht="15.75" customHeight="1">
      <c r="A363" s="1">
        <v>18838</v>
      </c>
      <c r="B363" s="2">
        <v>45072.9840162037</v>
      </c>
      <c r="C363" s="1" t="s">
        <v>10</v>
      </c>
      <c r="D363" s="1">
        <v>28</v>
      </c>
      <c r="F363" s="3"/>
    </row>
    <row r="364" spans="1:6" ht="15.75" customHeight="1">
      <c r="A364" s="1">
        <v>18837</v>
      </c>
      <c r="B364" s="2">
        <v>45072.946354166663</v>
      </c>
      <c r="C364" s="1" t="s">
        <v>10</v>
      </c>
      <c r="D364" s="1">
        <v>25</v>
      </c>
      <c r="F364" s="3"/>
    </row>
    <row r="365" spans="1:6" ht="15.75" customHeight="1">
      <c r="A365" s="1">
        <v>18836</v>
      </c>
      <c r="B365" s="2">
        <v>45072.932847222226</v>
      </c>
      <c r="C365" s="1" t="s">
        <v>10</v>
      </c>
      <c r="D365" s="1">
        <v>25</v>
      </c>
      <c r="F365" s="3"/>
    </row>
    <row r="366" spans="1:6" ht="15.75" customHeight="1">
      <c r="A366" s="1">
        <v>18835</v>
      </c>
      <c r="B366" s="2">
        <v>45072.931250000001</v>
      </c>
      <c r="C366" s="1" t="s">
        <v>10</v>
      </c>
      <c r="D366" s="1">
        <v>55</v>
      </c>
      <c r="F366" s="3"/>
    </row>
    <row r="367" spans="1:6" ht="15.75" customHeight="1">
      <c r="A367" s="1">
        <v>18834</v>
      </c>
      <c r="B367" s="2">
        <v>45072.83488425926</v>
      </c>
      <c r="C367" s="1" t="s">
        <v>10</v>
      </c>
      <c r="D367" s="1">
        <v>25</v>
      </c>
      <c r="F367" s="3"/>
    </row>
    <row r="368" spans="1:6" ht="15.75" customHeight="1">
      <c r="A368" s="1">
        <v>18833</v>
      </c>
      <c r="B368" s="2">
        <v>45072.786203703705</v>
      </c>
      <c r="C368" s="1" t="s">
        <v>10</v>
      </c>
      <c r="D368" s="1">
        <v>25</v>
      </c>
      <c r="F368" s="3"/>
    </row>
    <row r="369" spans="1:6" ht="15.75" customHeight="1">
      <c r="A369" s="1">
        <v>18832</v>
      </c>
      <c r="B369" s="2">
        <v>45072.765208333338</v>
      </c>
      <c r="C369" s="1" t="s">
        <v>10</v>
      </c>
      <c r="D369" s="1">
        <v>56</v>
      </c>
      <c r="F369" s="3"/>
    </row>
    <row r="370" spans="1:6" ht="15.75" customHeight="1">
      <c r="A370" s="1">
        <v>18830</v>
      </c>
      <c r="B370" s="2">
        <v>45072.681006944447</v>
      </c>
      <c r="C370" s="1" t="s">
        <v>10</v>
      </c>
      <c r="D370" s="1">
        <v>83</v>
      </c>
      <c r="F370" s="3"/>
    </row>
    <row r="371" spans="1:6" ht="15.75" customHeight="1">
      <c r="A371" s="1">
        <v>18829</v>
      </c>
      <c r="B371" s="2">
        <v>45072.046307870369</v>
      </c>
      <c r="C371" s="1" t="s">
        <v>10</v>
      </c>
      <c r="D371" s="1">
        <v>28</v>
      </c>
      <c r="F371" s="3"/>
    </row>
    <row r="372" spans="1:6" ht="15.75" customHeight="1">
      <c r="A372" s="1">
        <v>18828</v>
      </c>
      <c r="B372" s="2">
        <v>45071.900370370371</v>
      </c>
      <c r="C372" s="1" t="s">
        <v>10</v>
      </c>
      <c r="D372" s="1">
        <v>25</v>
      </c>
      <c r="F372" s="3"/>
    </row>
    <row r="373" spans="1:6" ht="15.75" customHeight="1">
      <c r="A373" s="1">
        <v>18827</v>
      </c>
      <c r="B373" s="2">
        <v>45071.763055555552</v>
      </c>
      <c r="C373" s="1" t="s">
        <v>10</v>
      </c>
      <c r="D373" s="1">
        <v>25</v>
      </c>
      <c r="F373" s="3"/>
    </row>
    <row r="374" spans="1:6" ht="15.75" customHeight="1">
      <c r="A374" s="1">
        <v>18826</v>
      </c>
      <c r="B374" s="2">
        <v>45071.732083333336</v>
      </c>
      <c r="C374" s="1" t="s">
        <v>10</v>
      </c>
      <c r="D374" s="1">
        <v>20</v>
      </c>
      <c r="F374" s="3"/>
    </row>
    <row r="375" spans="1:6" ht="15.75" customHeight="1">
      <c r="A375" s="1">
        <v>18825</v>
      </c>
      <c r="B375" s="2">
        <v>45071.683159722219</v>
      </c>
      <c r="C375" s="1" t="s">
        <v>10</v>
      </c>
      <c r="D375" s="1">
        <v>25</v>
      </c>
      <c r="F375" s="3"/>
    </row>
    <row r="376" spans="1:6" ht="15.75" customHeight="1">
      <c r="A376" s="1">
        <v>18824</v>
      </c>
      <c r="B376" s="2">
        <v>45071.629699074074</v>
      </c>
      <c r="C376" s="1" t="s">
        <v>10</v>
      </c>
      <c r="D376" s="1">
        <v>28</v>
      </c>
      <c r="F376" s="3"/>
    </row>
    <row r="377" spans="1:6" ht="15.75" customHeight="1">
      <c r="A377" s="1">
        <v>18823</v>
      </c>
      <c r="B377" s="2">
        <v>45071.58</v>
      </c>
      <c r="C377" s="1" t="s">
        <v>10</v>
      </c>
      <c r="D377" s="1">
        <v>25</v>
      </c>
      <c r="F377" s="3"/>
    </row>
    <row r="378" spans="1:6" ht="15.75" customHeight="1">
      <c r="A378" s="1">
        <v>18822</v>
      </c>
      <c r="B378" s="2">
        <v>45071.576689814814</v>
      </c>
      <c r="C378" s="1" t="s">
        <v>10</v>
      </c>
      <c r="D378" s="1">
        <v>25</v>
      </c>
      <c r="F378" s="3"/>
    </row>
    <row r="379" spans="1:6" ht="15.75" customHeight="1">
      <c r="A379" s="1">
        <v>18821</v>
      </c>
      <c r="B379" s="2">
        <v>45071.123310185183</v>
      </c>
      <c r="C379" s="1" t="s">
        <v>10</v>
      </c>
      <c r="D379" s="1">
        <v>46</v>
      </c>
      <c r="F379" s="3"/>
    </row>
    <row r="380" spans="1:6" ht="15.75" customHeight="1">
      <c r="A380" s="1">
        <v>18820</v>
      </c>
      <c r="B380" s="2">
        <v>45071.114363425921</v>
      </c>
      <c r="C380" s="1" t="s">
        <v>10</v>
      </c>
      <c r="D380" s="1">
        <v>30</v>
      </c>
      <c r="F380" s="3"/>
    </row>
    <row r="381" spans="1:6" ht="15.75" customHeight="1">
      <c r="A381" s="1">
        <v>18819</v>
      </c>
      <c r="B381" s="2">
        <v>45071.088969907403</v>
      </c>
      <c r="C381" s="1" t="s">
        <v>8</v>
      </c>
      <c r="D381" s="1">
        <v>35</v>
      </c>
      <c r="F381" s="3"/>
    </row>
    <row r="382" spans="1:6" ht="15.75" customHeight="1">
      <c r="A382" s="1">
        <v>18818</v>
      </c>
      <c r="B382" s="2">
        <v>45071.088020833333</v>
      </c>
      <c r="C382" s="1" t="s">
        <v>10</v>
      </c>
      <c r="D382" s="1">
        <v>18</v>
      </c>
      <c r="F382" s="3"/>
    </row>
    <row r="383" spans="1:6" ht="15.75" customHeight="1">
      <c r="A383" s="1">
        <v>18817</v>
      </c>
      <c r="B383" s="2">
        <v>45071.084687499999</v>
      </c>
      <c r="C383" s="1" t="s">
        <v>10</v>
      </c>
      <c r="D383" s="1">
        <v>18</v>
      </c>
      <c r="F383" s="3"/>
    </row>
    <row r="384" spans="1:6" ht="15.75" customHeight="1">
      <c r="A384" s="1">
        <v>18816</v>
      </c>
      <c r="B384" s="2">
        <v>45071.042905092589</v>
      </c>
      <c r="C384" s="1" t="s">
        <v>10</v>
      </c>
      <c r="D384" s="1">
        <v>20</v>
      </c>
      <c r="F384" s="3"/>
    </row>
    <row r="385" spans="1:6" ht="15.75" customHeight="1">
      <c r="A385" s="1">
        <v>18815</v>
      </c>
      <c r="B385" s="2">
        <v>45071.040104166663</v>
      </c>
      <c r="C385" s="1" t="s">
        <v>10</v>
      </c>
      <c r="D385" s="1">
        <v>22</v>
      </c>
      <c r="F385" s="3"/>
    </row>
    <row r="386" spans="1:6" ht="15.75" customHeight="1">
      <c r="A386" s="1">
        <v>18814</v>
      </c>
      <c r="B386" s="2">
        <v>45071.039039351846</v>
      </c>
      <c r="C386" s="1" t="s">
        <v>8</v>
      </c>
      <c r="D386" s="1">
        <v>22</v>
      </c>
      <c r="F386" s="3"/>
    </row>
    <row r="387" spans="1:6" ht="15.75" customHeight="1">
      <c r="A387" s="1">
        <v>18813</v>
      </c>
      <c r="B387" s="2">
        <v>45071.011481481481</v>
      </c>
      <c r="C387" s="1" t="s">
        <v>10</v>
      </c>
      <c r="D387" s="1">
        <v>40</v>
      </c>
      <c r="F387" s="3"/>
    </row>
    <row r="388" spans="1:6" ht="15.75" customHeight="1">
      <c r="A388" s="1">
        <v>18812</v>
      </c>
      <c r="B388" s="2">
        <v>45070.998796296291</v>
      </c>
      <c r="C388" s="1" t="s">
        <v>10</v>
      </c>
      <c r="D388" s="1">
        <v>25</v>
      </c>
      <c r="F388" s="3"/>
    </row>
    <row r="389" spans="1:6" ht="15.75" customHeight="1">
      <c r="A389" s="1">
        <v>18811</v>
      </c>
      <c r="B389" s="2">
        <v>45070.938333333332</v>
      </c>
      <c r="C389" s="1" t="s">
        <v>10</v>
      </c>
      <c r="D389" s="1">
        <v>20</v>
      </c>
      <c r="F389" s="3"/>
    </row>
    <row r="390" spans="1:6" ht="15.75" customHeight="1">
      <c r="A390" s="1">
        <v>18810</v>
      </c>
      <c r="B390" s="2">
        <v>45070.071631944447</v>
      </c>
      <c r="C390" s="1" t="s">
        <v>10</v>
      </c>
      <c r="D390" s="1">
        <v>25</v>
      </c>
      <c r="F390" s="3"/>
    </row>
    <row r="391" spans="1:6" ht="15.75" customHeight="1">
      <c r="A391" s="1">
        <v>18809</v>
      </c>
      <c r="B391" s="2">
        <v>45070.070289351846</v>
      </c>
      <c r="C391" s="1" t="s">
        <v>10</v>
      </c>
      <c r="D391" s="1">
        <v>45</v>
      </c>
      <c r="F391" s="3"/>
    </row>
    <row r="392" spans="1:6" ht="15.75" customHeight="1">
      <c r="A392" s="1">
        <v>18808</v>
      </c>
      <c r="B392" s="2">
        <v>45070.026469907403</v>
      </c>
      <c r="C392" s="1" t="s">
        <v>10</v>
      </c>
      <c r="D392" s="1">
        <v>42.5</v>
      </c>
      <c r="F392" s="3"/>
    </row>
    <row r="393" spans="1:6" ht="15.75" customHeight="1">
      <c r="A393" s="1">
        <v>18807</v>
      </c>
      <c r="B393" s="2">
        <v>45069.896041666667</v>
      </c>
      <c r="C393" s="1" t="s">
        <v>10</v>
      </c>
      <c r="D393" s="1">
        <v>22</v>
      </c>
      <c r="F393" s="3"/>
    </row>
    <row r="394" spans="1:6" ht="15.75" customHeight="1">
      <c r="A394" s="1">
        <v>18806</v>
      </c>
      <c r="B394" s="2">
        <v>45069.87672453704</v>
      </c>
      <c r="C394" s="1" t="s">
        <v>10</v>
      </c>
      <c r="D394" s="1">
        <v>76.5</v>
      </c>
      <c r="F394" s="3"/>
    </row>
    <row r="395" spans="1:6" ht="15.75" customHeight="1">
      <c r="A395" s="1">
        <v>18805</v>
      </c>
      <c r="B395" s="2">
        <v>45069.80877314815</v>
      </c>
      <c r="C395" s="1" t="s">
        <v>10</v>
      </c>
      <c r="D395" s="1">
        <v>60</v>
      </c>
      <c r="F395" s="3"/>
    </row>
    <row r="396" spans="1:6" ht="15.75" customHeight="1">
      <c r="A396" s="1">
        <v>18804</v>
      </c>
      <c r="B396" s="2">
        <v>45069.776851851857</v>
      </c>
      <c r="C396" s="1" t="s">
        <v>10</v>
      </c>
      <c r="D396" s="1">
        <v>53</v>
      </c>
      <c r="F396" s="3"/>
    </row>
    <row r="397" spans="1:6" ht="15.75" customHeight="1">
      <c r="A397" s="1">
        <v>18803</v>
      </c>
      <c r="B397" s="2">
        <v>45069.733217592591</v>
      </c>
      <c r="C397" s="1" t="s">
        <v>10</v>
      </c>
      <c r="D397" s="1">
        <v>55</v>
      </c>
      <c r="F397" s="3"/>
    </row>
    <row r="398" spans="1:6" ht="15.75" customHeight="1">
      <c r="A398" s="1">
        <v>18802</v>
      </c>
      <c r="B398" s="2">
        <v>45069.615439814814</v>
      </c>
      <c r="C398" s="1" t="s">
        <v>10</v>
      </c>
      <c r="D398" s="1">
        <v>25</v>
      </c>
      <c r="F398" s="3"/>
    </row>
    <row r="399" spans="1:6" ht="15.75" customHeight="1">
      <c r="A399" s="1">
        <v>18801</v>
      </c>
      <c r="B399" s="2">
        <v>45069.578009259261</v>
      </c>
      <c r="C399" s="1" t="s">
        <v>10</v>
      </c>
      <c r="D399" s="1">
        <v>18</v>
      </c>
      <c r="F399" s="3"/>
    </row>
    <row r="400" spans="1:6" ht="15.75" customHeight="1">
      <c r="A400" s="1">
        <v>18800</v>
      </c>
      <c r="B400" s="2">
        <v>45068.977118055554</v>
      </c>
      <c r="C400" s="1" t="s">
        <v>10</v>
      </c>
      <c r="D400" s="1">
        <v>100</v>
      </c>
      <c r="F400" s="3"/>
    </row>
    <row r="401" spans="1:6" ht="15.75" customHeight="1">
      <c r="A401" s="1">
        <v>18799</v>
      </c>
      <c r="B401" s="2">
        <v>45068.725312499999</v>
      </c>
      <c r="C401" s="1" t="s">
        <v>10</v>
      </c>
      <c r="D401" s="1">
        <v>25</v>
      </c>
      <c r="F401" s="3"/>
    </row>
    <row r="402" spans="1:6" ht="15.75" customHeight="1">
      <c r="A402" s="1">
        <v>18798</v>
      </c>
      <c r="B402" s="2">
        <v>45068.134236111116</v>
      </c>
      <c r="C402" s="1" t="s">
        <v>10</v>
      </c>
      <c r="D402" s="1">
        <v>28</v>
      </c>
      <c r="F402" s="3"/>
    </row>
    <row r="403" spans="1:6" ht="15.75" customHeight="1">
      <c r="A403" s="1">
        <v>18797</v>
      </c>
      <c r="B403" s="2">
        <v>45067.725219907406</v>
      </c>
      <c r="C403" s="1" t="s">
        <v>10</v>
      </c>
      <c r="D403" s="1">
        <v>25</v>
      </c>
      <c r="F403" s="3"/>
    </row>
    <row r="404" spans="1:6" ht="15.75" customHeight="1">
      <c r="A404" s="1">
        <v>18796</v>
      </c>
      <c r="B404" s="2">
        <v>45067.023148148146</v>
      </c>
      <c r="C404" s="1" t="s">
        <v>10</v>
      </c>
      <c r="D404" s="1">
        <v>20</v>
      </c>
      <c r="F404" s="3"/>
    </row>
    <row r="405" spans="1:6" ht="15.75" customHeight="1">
      <c r="A405" s="1">
        <v>18795</v>
      </c>
      <c r="B405" s="2">
        <v>45067.020879629628</v>
      </c>
      <c r="C405" s="1" t="s">
        <v>52</v>
      </c>
      <c r="D405" s="1">
        <v>20</v>
      </c>
      <c r="F405" s="3"/>
    </row>
    <row r="406" spans="1:6" ht="15.75" customHeight="1">
      <c r="A406" s="1">
        <v>18794</v>
      </c>
      <c r="B406" s="2">
        <v>45066.90221064815</v>
      </c>
      <c r="C406" s="1" t="s">
        <v>10</v>
      </c>
      <c r="D406" s="1">
        <v>53</v>
      </c>
      <c r="F406" s="3"/>
    </row>
    <row r="407" spans="1:6" ht="15.75" customHeight="1">
      <c r="A407" s="1">
        <v>18793</v>
      </c>
      <c r="B407" s="2">
        <v>45066.900358796294</v>
      </c>
      <c r="C407" s="1" t="s">
        <v>10</v>
      </c>
      <c r="D407" s="1">
        <v>53</v>
      </c>
      <c r="F407" s="3"/>
    </row>
    <row r="408" spans="1:6" ht="15.75" customHeight="1">
      <c r="A408" s="1">
        <v>18792</v>
      </c>
      <c r="B408" s="2">
        <v>45066.787928240738</v>
      </c>
      <c r="C408" s="1" t="s">
        <v>10</v>
      </c>
      <c r="D408" s="1">
        <v>55</v>
      </c>
      <c r="F408" s="3"/>
    </row>
    <row r="409" spans="1:6" ht="15.75" customHeight="1">
      <c r="A409" s="1">
        <v>18791</v>
      </c>
      <c r="B409" s="2">
        <v>45066.702025462961</v>
      </c>
      <c r="C409" s="1" t="s">
        <v>10</v>
      </c>
      <c r="D409" s="1">
        <v>28</v>
      </c>
      <c r="F409" s="3"/>
    </row>
    <row r="410" spans="1:6" ht="15.75" customHeight="1">
      <c r="A410" s="1">
        <v>18790</v>
      </c>
      <c r="B410" s="2">
        <v>45066.5158912037</v>
      </c>
      <c r="C410" s="1" t="s">
        <v>10</v>
      </c>
      <c r="D410" s="1">
        <v>25</v>
      </c>
      <c r="F410" s="3"/>
    </row>
    <row r="411" spans="1:6" ht="15.75" customHeight="1">
      <c r="A411" s="1">
        <v>18789</v>
      </c>
      <c r="B411" s="2">
        <v>45066.205451388887</v>
      </c>
      <c r="C411" s="1" t="s">
        <v>10</v>
      </c>
      <c r="D411" s="1">
        <v>30</v>
      </c>
      <c r="F411" s="3"/>
    </row>
    <row r="412" spans="1:6" ht="15.75" customHeight="1">
      <c r="A412" s="1">
        <v>18783</v>
      </c>
      <c r="B412" s="2">
        <v>45065.710636574076</v>
      </c>
      <c r="C412" s="1" t="s">
        <v>10</v>
      </c>
      <c r="D412" s="1">
        <v>20</v>
      </c>
      <c r="F412" s="3"/>
    </row>
    <row r="413" spans="1:6" ht="15.75" customHeight="1">
      <c r="A413" s="1">
        <v>18782</v>
      </c>
      <c r="B413" s="2">
        <v>45065.664444444439</v>
      </c>
      <c r="C413" s="1" t="s">
        <v>10</v>
      </c>
      <c r="D413" s="1">
        <v>20</v>
      </c>
      <c r="F413" s="3"/>
    </row>
    <row r="414" spans="1:6" ht="15.75" customHeight="1">
      <c r="A414" s="1">
        <v>18781</v>
      </c>
      <c r="B414" s="2">
        <v>45065.619826388887</v>
      </c>
      <c r="C414" s="1" t="s">
        <v>10</v>
      </c>
      <c r="D414" s="1">
        <v>25</v>
      </c>
      <c r="F414" s="3"/>
    </row>
    <row r="415" spans="1:6" ht="15.75" customHeight="1">
      <c r="A415" s="1">
        <v>18780</v>
      </c>
      <c r="B415" s="2">
        <v>45065.007118055553</v>
      </c>
      <c r="C415" s="1" t="s">
        <v>10</v>
      </c>
      <c r="D415" s="1">
        <v>18</v>
      </c>
      <c r="F415" s="3"/>
    </row>
    <row r="416" spans="1:6" ht="15.75" customHeight="1">
      <c r="A416" s="1">
        <v>18779</v>
      </c>
      <c r="B416" s="2">
        <v>45064.806990740741</v>
      </c>
      <c r="C416" s="1" t="s">
        <v>10</v>
      </c>
      <c r="D416" s="1">
        <v>18</v>
      </c>
      <c r="F416" s="3"/>
    </row>
    <row r="417" spans="1:6" ht="15.75" customHeight="1">
      <c r="A417" s="1">
        <v>18778</v>
      </c>
      <c r="B417" s="2">
        <v>45064.729525462964</v>
      </c>
      <c r="C417" s="1" t="s">
        <v>10</v>
      </c>
      <c r="D417" s="1">
        <v>15</v>
      </c>
      <c r="F417" s="3"/>
    </row>
    <row r="418" spans="1:6" ht="15.75" customHeight="1">
      <c r="A418" s="1">
        <v>18777</v>
      </c>
      <c r="B418" s="2">
        <v>45064.726099537038</v>
      </c>
      <c r="C418" s="1" t="s">
        <v>10</v>
      </c>
      <c r="D418" s="1">
        <v>15</v>
      </c>
      <c r="F418" s="3"/>
    </row>
    <row r="419" spans="1:6" ht="15.75" customHeight="1">
      <c r="A419" s="1">
        <v>18776</v>
      </c>
      <c r="B419" s="2">
        <v>45064.700578703705</v>
      </c>
      <c r="C419" s="1" t="s">
        <v>10</v>
      </c>
      <c r="D419" s="1">
        <v>25</v>
      </c>
      <c r="F419" s="3"/>
    </row>
    <row r="420" spans="1:6" ht="15.75" customHeight="1">
      <c r="A420" s="1">
        <v>18775</v>
      </c>
      <c r="B420" s="2">
        <v>45064.120844907404</v>
      </c>
      <c r="C420" s="1" t="s">
        <v>10</v>
      </c>
      <c r="D420" s="1">
        <v>63</v>
      </c>
      <c r="F420" s="3"/>
    </row>
    <row r="421" spans="1:6" ht="15.75" customHeight="1">
      <c r="A421" s="1">
        <v>18770</v>
      </c>
      <c r="B421" s="2">
        <v>45064.079502314809</v>
      </c>
      <c r="C421" s="1" t="s">
        <v>10</v>
      </c>
      <c r="D421" s="1">
        <v>25</v>
      </c>
      <c r="F421" s="3"/>
    </row>
    <row r="422" spans="1:6" ht="15.75" customHeight="1">
      <c r="A422" s="1">
        <v>18769</v>
      </c>
      <c r="B422" s="2">
        <v>45063.933032407411</v>
      </c>
      <c r="C422" s="1" t="s">
        <v>10</v>
      </c>
      <c r="D422" s="1">
        <v>25</v>
      </c>
      <c r="F422" s="3"/>
    </row>
    <row r="423" spans="1:6" ht="15.75" customHeight="1">
      <c r="A423" s="1">
        <v>18768</v>
      </c>
      <c r="B423" s="2">
        <v>45063.878518518519</v>
      </c>
      <c r="C423" s="1" t="s">
        <v>10</v>
      </c>
      <c r="D423" s="1">
        <v>45</v>
      </c>
      <c r="F423" s="3"/>
    </row>
    <row r="424" spans="1:6" ht="15.75" customHeight="1">
      <c r="A424" s="1">
        <v>18767</v>
      </c>
      <c r="B424" s="2">
        <v>45063.782800925925</v>
      </c>
      <c r="C424" s="1" t="s">
        <v>10</v>
      </c>
      <c r="D424" s="1">
        <v>56</v>
      </c>
      <c r="F424" s="3"/>
    </row>
    <row r="425" spans="1:6" ht="15.75" customHeight="1">
      <c r="A425" s="1">
        <v>18766</v>
      </c>
      <c r="B425" s="2">
        <v>45063.76158564815</v>
      </c>
      <c r="C425" s="1" t="s">
        <v>10</v>
      </c>
      <c r="D425" s="1">
        <v>25</v>
      </c>
      <c r="F425" s="3"/>
    </row>
    <row r="426" spans="1:6" ht="15.75" customHeight="1">
      <c r="A426" s="1">
        <v>18765</v>
      </c>
      <c r="B426" s="2">
        <v>45063.74618055555</v>
      </c>
      <c r="C426" s="1" t="s">
        <v>10</v>
      </c>
      <c r="D426" s="1">
        <v>22</v>
      </c>
      <c r="F426" s="3"/>
    </row>
    <row r="427" spans="1:6" ht="15.75" customHeight="1">
      <c r="A427" s="1">
        <v>18764</v>
      </c>
      <c r="B427" s="2">
        <v>45063.71711805556</v>
      </c>
      <c r="C427" s="1" t="s">
        <v>10</v>
      </c>
      <c r="D427" s="1">
        <v>15</v>
      </c>
      <c r="F427" s="3"/>
    </row>
    <row r="428" spans="1:6" ht="15.75" customHeight="1">
      <c r="A428" s="1">
        <v>18763</v>
      </c>
      <c r="B428" s="2">
        <v>45063.696724537032</v>
      </c>
      <c r="C428" s="1" t="s">
        <v>10</v>
      </c>
      <c r="D428" s="1">
        <v>26</v>
      </c>
      <c r="F428" s="3"/>
    </row>
    <row r="429" spans="1:6" ht="15.75" customHeight="1">
      <c r="A429" s="1">
        <v>18762</v>
      </c>
      <c r="B429" s="2">
        <v>45063.692557870367</v>
      </c>
      <c r="C429" s="1" t="s">
        <v>8</v>
      </c>
      <c r="D429" s="1">
        <v>25</v>
      </c>
      <c r="F429" s="3"/>
    </row>
    <row r="430" spans="1:6" ht="15.75" customHeight="1">
      <c r="A430" s="1">
        <v>18761</v>
      </c>
      <c r="B430" s="2">
        <v>45063.689837962964</v>
      </c>
      <c r="C430" s="1" t="s">
        <v>10</v>
      </c>
      <c r="D430" s="1">
        <v>61</v>
      </c>
      <c r="F430" s="3"/>
    </row>
    <row r="431" spans="1:6" ht="15.75" customHeight="1">
      <c r="A431" s="1">
        <v>18760</v>
      </c>
      <c r="B431" s="2">
        <v>45063.662870370375</v>
      </c>
      <c r="C431" s="1" t="s">
        <v>10</v>
      </c>
      <c r="D431" s="1">
        <v>25</v>
      </c>
      <c r="F431" s="3"/>
    </row>
    <row r="432" spans="1:6" ht="15.75" customHeight="1">
      <c r="A432" s="1">
        <v>18759</v>
      </c>
      <c r="B432" s="2">
        <v>45063.645960648151</v>
      </c>
      <c r="C432" s="1" t="s">
        <v>10</v>
      </c>
      <c r="D432" s="1">
        <v>25</v>
      </c>
      <c r="F432" s="3"/>
    </row>
    <row r="433" spans="1:6" ht="15.75" customHeight="1">
      <c r="A433" s="1">
        <v>18758</v>
      </c>
      <c r="B433" s="2">
        <v>45063.107893518521</v>
      </c>
      <c r="C433" s="1" t="s">
        <v>10</v>
      </c>
      <c r="D433" s="1">
        <v>20</v>
      </c>
      <c r="F433" s="3"/>
    </row>
    <row r="434" spans="1:6" ht="15.75" customHeight="1">
      <c r="A434" s="1">
        <v>18756</v>
      </c>
      <c r="B434" s="2">
        <v>45063.037407407406</v>
      </c>
      <c r="C434" s="1" t="s">
        <v>8</v>
      </c>
      <c r="D434" s="1">
        <v>53</v>
      </c>
      <c r="F434" s="3"/>
    </row>
    <row r="435" spans="1:6" ht="15.75" customHeight="1">
      <c r="A435" s="1">
        <v>18755</v>
      </c>
      <c r="B435" s="2">
        <v>45063.005219907413</v>
      </c>
      <c r="C435" s="1" t="s">
        <v>10</v>
      </c>
      <c r="D435" s="1">
        <v>20</v>
      </c>
      <c r="F435" s="3"/>
    </row>
    <row r="436" spans="1:6" ht="15.75" customHeight="1">
      <c r="A436" s="1">
        <v>18754</v>
      </c>
      <c r="B436" s="2">
        <v>45063.002384259264</v>
      </c>
      <c r="C436" s="1" t="s">
        <v>10</v>
      </c>
      <c r="D436" s="1">
        <v>20</v>
      </c>
      <c r="F436" s="3"/>
    </row>
    <row r="437" spans="1:6" ht="15.75" customHeight="1">
      <c r="A437" s="1">
        <v>18753</v>
      </c>
      <c r="B437" s="2">
        <v>45062.609155092592</v>
      </c>
      <c r="C437" s="1" t="s">
        <v>10</v>
      </c>
      <c r="D437" s="1">
        <v>25</v>
      </c>
      <c r="F437" s="3"/>
    </row>
    <row r="438" spans="1:6" ht="15.75" customHeight="1">
      <c r="A438" s="1">
        <v>18752</v>
      </c>
      <c r="B438" s="2">
        <v>45062.451041666667</v>
      </c>
      <c r="C438" s="1" t="s">
        <v>10</v>
      </c>
      <c r="D438" s="1">
        <v>85</v>
      </c>
      <c r="F438" s="3"/>
    </row>
    <row r="439" spans="1:6" ht="15.75" customHeight="1">
      <c r="A439" s="1">
        <v>18751</v>
      </c>
      <c r="B439" s="2">
        <v>45062.039942129632</v>
      </c>
      <c r="C439" s="1" t="s">
        <v>10</v>
      </c>
      <c r="D439" s="1">
        <v>53</v>
      </c>
      <c r="F439" s="3"/>
    </row>
    <row r="440" spans="1:6" ht="15.75" customHeight="1">
      <c r="A440" s="1">
        <v>18750</v>
      </c>
      <c r="B440" s="2">
        <v>45061.926354166666</v>
      </c>
      <c r="C440" s="1" t="s">
        <v>10</v>
      </c>
      <c r="D440" s="1">
        <v>25</v>
      </c>
      <c r="F440" s="3"/>
    </row>
    <row r="441" spans="1:6" ht="15.75" customHeight="1">
      <c r="A441" s="1">
        <v>18749</v>
      </c>
      <c r="B441" s="2">
        <v>45061.891585648147</v>
      </c>
      <c r="C441" s="1" t="s">
        <v>10</v>
      </c>
      <c r="D441" s="1">
        <v>28</v>
      </c>
      <c r="F441" s="3"/>
    </row>
    <row r="442" spans="1:6" ht="15.75" customHeight="1">
      <c r="A442" s="1">
        <v>18689</v>
      </c>
      <c r="B442" s="2">
        <v>45060.984699074077</v>
      </c>
      <c r="C442" s="1" t="s">
        <v>10</v>
      </c>
      <c r="D442" s="1">
        <v>48</v>
      </c>
      <c r="F442" s="3"/>
    </row>
    <row r="443" spans="1:6" ht="15.75" customHeight="1">
      <c r="A443" s="1">
        <v>18688</v>
      </c>
      <c r="B443" s="2">
        <v>45060.981516203705</v>
      </c>
      <c r="C443" s="1" t="s">
        <v>10</v>
      </c>
      <c r="D443" s="1">
        <v>48</v>
      </c>
      <c r="F443" s="3"/>
    </row>
    <row r="444" spans="1:6" ht="15.75" customHeight="1">
      <c r="A444" s="1">
        <v>18687</v>
      </c>
      <c r="B444" s="2">
        <v>45060.811550925922</v>
      </c>
      <c r="C444" s="1" t="s">
        <v>10</v>
      </c>
      <c r="D444" s="1">
        <v>54</v>
      </c>
      <c r="F444" s="3"/>
    </row>
    <row r="445" spans="1:6" ht="15.75" customHeight="1">
      <c r="A445" s="1">
        <v>18686</v>
      </c>
      <c r="B445" s="2">
        <v>45059.07813657407</v>
      </c>
      <c r="C445" s="1" t="s">
        <v>10</v>
      </c>
      <c r="D445" s="1">
        <v>20</v>
      </c>
      <c r="F445" s="3"/>
    </row>
    <row r="446" spans="1:6" ht="15.75" customHeight="1">
      <c r="A446" s="1">
        <v>18685</v>
      </c>
      <c r="B446" s="2">
        <v>45059.058657407411</v>
      </c>
      <c r="C446" s="1" t="s">
        <v>10</v>
      </c>
      <c r="D446" s="1">
        <v>30</v>
      </c>
      <c r="F446" s="3"/>
    </row>
    <row r="447" spans="1:6" ht="15.75" customHeight="1">
      <c r="A447" s="1">
        <v>18684</v>
      </c>
      <c r="B447" s="2">
        <v>45058.127511574072</v>
      </c>
      <c r="C447" s="1" t="s">
        <v>10</v>
      </c>
      <c r="D447" s="1">
        <v>25</v>
      </c>
      <c r="F447" s="3"/>
    </row>
    <row r="448" spans="1:6" ht="15.75" customHeight="1">
      <c r="A448" s="1">
        <v>18683</v>
      </c>
      <c r="B448" s="2">
        <v>45058.115300925929</v>
      </c>
      <c r="C448" s="1" t="s">
        <v>10</v>
      </c>
      <c r="D448" s="1">
        <v>25</v>
      </c>
      <c r="F448" s="3"/>
    </row>
    <row r="449" spans="1:6" ht="15.75" customHeight="1">
      <c r="A449" s="1">
        <v>18682</v>
      </c>
      <c r="B449" s="2">
        <v>45058.087650462963</v>
      </c>
      <c r="C449" s="1" t="s">
        <v>10</v>
      </c>
      <c r="D449" s="1">
        <v>25</v>
      </c>
      <c r="F449" s="3"/>
    </row>
    <row r="450" spans="1:6" ht="15.75" customHeight="1">
      <c r="A450" s="1">
        <v>18681</v>
      </c>
      <c r="B450" s="2">
        <v>45058.077465277776</v>
      </c>
      <c r="C450" s="1" t="s">
        <v>10</v>
      </c>
      <c r="D450" s="1">
        <v>25</v>
      </c>
      <c r="F450" s="3"/>
    </row>
    <row r="451" spans="1:6" ht="15.75" customHeight="1">
      <c r="A451" s="1">
        <v>18680</v>
      </c>
      <c r="B451" s="2">
        <v>45058.049490740741</v>
      </c>
      <c r="C451" s="1" t="s">
        <v>10</v>
      </c>
      <c r="D451" s="1">
        <v>25</v>
      </c>
      <c r="F451" s="3"/>
    </row>
    <row r="452" spans="1:6" ht="15.75" customHeight="1">
      <c r="A452" s="1">
        <v>18679</v>
      </c>
      <c r="B452" s="2">
        <v>45058.014224537037</v>
      </c>
      <c r="C452" s="1" t="s">
        <v>10</v>
      </c>
      <c r="D452" s="1">
        <v>25</v>
      </c>
      <c r="F452" s="3"/>
    </row>
    <row r="453" spans="1:6" ht="15.75" customHeight="1">
      <c r="A453" s="1">
        <v>18678</v>
      </c>
      <c r="B453" s="2">
        <v>45057.963368055556</v>
      </c>
      <c r="C453" s="1" t="s">
        <v>0</v>
      </c>
      <c r="D453" s="1">
        <v>55</v>
      </c>
      <c r="F453" s="3"/>
    </row>
    <row r="454" spans="1:6" ht="15.75" customHeight="1">
      <c r="A454" s="1">
        <v>18677</v>
      </c>
      <c r="B454" s="2">
        <v>45057.947175925925</v>
      </c>
      <c r="C454" s="1" t="s">
        <v>10</v>
      </c>
      <c r="D454" s="1">
        <v>53</v>
      </c>
      <c r="F454" s="3"/>
    </row>
    <row r="455" spans="1:6" ht="15.75" customHeight="1">
      <c r="A455" s="1">
        <v>18676</v>
      </c>
      <c r="B455" s="2">
        <v>45057.946597222224</v>
      </c>
      <c r="C455" s="1" t="s">
        <v>10</v>
      </c>
      <c r="D455" s="1">
        <v>35</v>
      </c>
      <c r="F455" s="3"/>
    </row>
    <row r="456" spans="1:6" ht="15.75" customHeight="1">
      <c r="A456" s="1">
        <v>18675</v>
      </c>
      <c r="B456" s="2">
        <v>45057.938206018516</v>
      </c>
      <c r="C456" s="1" t="s">
        <v>10</v>
      </c>
      <c r="D456" s="1">
        <v>25</v>
      </c>
      <c r="F456" s="3"/>
    </row>
    <row r="457" spans="1:6" ht="15.75" customHeight="1">
      <c r="A457" s="1">
        <v>18674</v>
      </c>
      <c r="B457" s="2">
        <v>45057.936319444445</v>
      </c>
      <c r="C457" s="1" t="s">
        <v>10</v>
      </c>
      <c r="D457" s="1">
        <v>25</v>
      </c>
      <c r="F457" s="3"/>
    </row>
    <row r="458" spans="1:6" ht="15.75" customHeight="1">
      <c r="A458" s="1">
        <v>18673</v>
      </c>
      <c r="B458" s="2">
        <v>45057.928564814814</v>
      </c>
      <c r="C458" s="1" t="s">
        <v>10</v>
      </c>
      <c r="D458" s="1">
        <v>25</v>
      </c>
      <c r="F458" s="3"/>
    </row>
    <row r="459" spans="1:6" ht="15.75" customHeight="1">
      <c r="A459" s="1">
        <v>18672</v>
      </c>
      <c r="B459" s="2">
        <v>45057.927719907406</v>
      </c>
      <c r="C459" s="1" t="s">
        <v>10</v>
      </c>
      <c r="D459" s="1">
        <v>28</v>
      </c>
      <c r="F459" s="3"/>
    </row>
    <row r="460" spans="1:6" ht="15.75" customHeight="1">
      <c r="A460" s="1">
        <v>18671</v>
      </c>
      <c r="B460" s="2">
        <v>45057.927708333329</v>
      </c>
      <c r="C460" s="1" t="s">
        <v>10</v>
      </c>
      <c r="D460" s="1">
        <v>25</v>
      </c>
      <c r="F460" s="3"/>
    </row>
    <row r="461" spans="1:6" ht="15.75" customHeight="1">
      <c r="A461" s="1">
        <v>18670</v>
      </c>
      <c r="B461" s="2">
        <v>45057.922534722224</v>
      </c>
      <c r="C461" s="1" t="s">
        <v>10</v>
      </c>
      <c r="D461" s="1">
        <v>28</v>
      </c>
      <c r="F461" s="3"/>
    </row>
    <row r="462" spans="1:6" ht="15.75" customHeight="1">
      <c r="A462" s="1">
        <v>18669</v>
      </c>
      <c r="B462" s="2">
        <v>45057.921018518522</v>
      </c>
      <c r="C462" s="1" t="s">
        <v>10</v>
      </c>
      <c r="D462" s="1">
        <v>81</v>
      </c>
      <c r="F462" s="3"/>
    </row>
    <row r="463" spans="1:6" ht="15.75" customHeight="1">
      <c r="A463" s="1">
        <v>18668</v>
      </c>
      <c r="B463" s="2">
        <v>45057.91810185185</v>
      </c>
      <c r="C463" s="1" t="s">
        <v>10</v>
      </c>
      <c r="D463" s="1">
        <v>28</v>
      </c>
      <c r="F463" s="3"/>
    </row>
    <row r="464" spans="1:6" ht="15.75" customHeight="1">
      <c r="A464" s="1">
        <v>18667</v>
      </c>
      <c r="B464" s="2">
        <v>45057.917581018519</v>
      </c>
      <c r="C464" s="1" t="s">
        <v>10</v>
      </c>
      <c r="D464" s="1">
        <v>20</v>
      </c>
      <c r="F464" s="3"/>
    </row>
    <row r="465" spans="1:6" ht="15.75" customHeight="1">
      <c r="A465" s="1">
        <v>18666</v>
      </c>
      <c r="B465" s="2">
        <v>45057.91106481482</v>
      </c>
      <c r="C465" s="1" t="s">
        <v>8</v>
      </c>
      <c r="D465" s="1">
        <v>25</v>
      </c>
      <c r="F465" s="3"/>
    </row>
    <row r="466" spans="1:6" ht="15.75" customHeight="1">
      <c r="A466" s="1">
        <v>18665</v>
      </c>
      <c r="B466" s="2">
        <v>45057.900636574079</v>
      </c>
      <c r="C466" s="1" t="s">
        <v>10</v>
      </c>
      <c r="D466" s="1">
        <v>55</v>
      </c>
      <c r="F466" s="3"/>
    </row>
    <row r="467" spans="1:6" ht="15.75" customHeight="1">
      <c r="A467" s="1">
        <v>18664</v>
      </c>
      <c r="B467" s="2">
        <v>45057.830706018518</v>
      </c>
      <c r="C467" s="1" t="s">
        <v>10</v>
      </c>
      <c r="D467" s="1">
        <v>26</v>
      </c>
      <c r="F467" s="3"/>
    </row>
    <row r="468" spans="1:6" ht="15.75" customHeight="1">
      <c r="A468" s="1">
        <v>18663</v>
      </c>
      <c r="B468" s="2">
        <v>45057.667337962965</v>
      </c>
      <c r="C468" s="1" t="s">
        <v>10</v>
      </c>
      <c r="D468" s="1">
        <v>15</v>
      </c>
      <c r="F468" s="3"/>
    </row>
    <row r="469" spans="1:6" ht="15.75" customHeight="1">
      <c r="A469" s="1">
        <v>18662</v>
      </c>
      <c r="B469" s="2">
        <v>45057.660104166665</v>
      </c>
      <c r="C469" s="1" t="s">
        <v>10</v>
      </c>
      <c r="D469" s="1">
        <v>28</v>
      </c>
      <c r="F469" s="3"/>
    </row>
    <row r="470" spans="1:6" ht="15.75" customHeight="1">
      <c r="A470" s="1">
        <v>18661</v>
      </c>
      <c r="B470" s="2">
        <v>45057.614247685182</v>
      </c>
      <c r="C470" s="1" t="s">
        <v>10</v>
      </c>
      <c r="D470" s="1">
        <v>55</v>
      </c>
      <c r="F470" s="3"/>
    </row>
    <row r="471" spans="1:6" ht="15.75" customHeight="1">
      <c r="A471" s="1">
        <v>18660</v>
      </c>
      <c r="B471" s="2">
        <v>45057.440150462964</v>
      </c>
      <c r="C471" s="1" t="s">
        <v>10</v>
      </c>
      <c r="D471" s="1">
        <v>25</v>
      </c>
      <c r="F471" s="3"/>
    </row>
    <row r="472" spans="1:6" ht="15.75" customHeight="1">
      <c r="A472" s="1">
        <v>18659</v>
      </c>
      <c r="B472" s="2">
        <v>45057.400381944448</v>
      </c>
      <c r="C472" s="1" t="s">
        <v>8</v>
      </c>
      <c r="D472" s="1">
        <v>20</v>
      </c>
      <c r="F472" s="3"/>
    </row>
    <row r="473" spans="1:6" ht="15.75" customHeight="1">
      <c r="A473" s="1">
        <v>18658</v>
      </c>
      <c r="B473" s="2">
        <v>45057.15929398148</v>
      </c>
      <c r="C473" s="1" t="s">
        <v>10</v>
      </c>
      <c r="D473" s="1">
        <v>28</v>
      </c>
      <c r="F473" s="3"/>
    </row>
    <row r="474" spans="1:6" ht="15.75" customHeight="1">
      <c r="A474" s="1">
        <v>18657</v>
      </c>
      <c r="B474" s="2">
        <v>45057.10428240741</v>
      </c>
      <c r="C474" s="1" t="s">
        <v>10</v>
      </c>
      <c r="D474" s="1">
        <v>18</v>
      </c>
      <c r="F474" s="3"/>
    </row>
    <row r="475" spans="1:6" ht="15.75" customHeight="1">
      <c r="A475" s="1">
        <v>18656</v>
      </c>
      <c r="B475" s="2">
        <v>45056.991979166662</v>
      </c>
      <c r="C475" s="1" t="s">
        <v>10</v>
      </c>
      <c r="D475" s="1">
        <v>25</v>
      </c>
      <c r="F475" s="3"/>
    </row>
    <row r="476" spans="1:6" ht="15.75" customHeight="1">
      <c r="A476" s="1">
        <v>18655</v>
      </c>
      <c r="B476" s="2">
        <v>45056.98810185185</v>
      </c>
      <c r="C476" s="1" t="s">
        <v>10</v>
      </c>
      <c r="D476" s="1">
        <v>0</v>
      </c>
      <c r="F476" s="3"/>
    </row>
    <row r="477" spans="1:6" ht="15.75" customHeight="1">
      <c r="A477" s="1">
        <v>18654</v>
      </c>
      <c r="B477" s="2">
        <v>45056.986458333333</v>
      </c>
      <c r="C477" s="1" t="s">
        <v>10</v>
      </c>
      <c r="D477" s="1">
        <v>0</v>
      </c>
      <c r="F477" s="3"/>
    </row>
    <row r="478" spans="1:6" ht="15.75" customHeight="1">
      <c r="A478" s="1">
        <v>18653</v>
      </c>
      <c r="B478" s="2">
        <v>45056.985231481478</v>
      </c>
      <c r="C478" s="1" t="s">
        <v>10</v>
      </c>
      <c r="D478" s="1">
        <v>0</v>
      </c>
      <c r="F478" s="3"/>
    </row>
    <row r="479" spans="1:6" ht="15.75" customHeight="1">
      <c r="A479" s="1">
        <v>18652</v>
      </c>
      <c r="B479" s="2">
        <v>45056.978495370371</v>
      </c>
      <c r="C479" s="1" t="s">
        <v>10</v>
      </c>
      <c r="D479" s="1">
        <v>25</v>
      </c>
      <c r="F479" s="3"/>
    </row>
    <row r="480" spans="1:6" ht="15.75" customHeight="1">
      <c r="A480" s="1">
        <v>18651</v>
      </c>
      <c r="B480" s="2">
        <v>45056.977662037039</v>
      </c>
      <c r="C480" s="1" t="s">
        <v>10</v>
      </c>
      <c r="D480" s="1">
        <v>25</v>
      </c>
      <c r="F480" s="3"/>
    </row>
    <row r="481" spans="1:6" ht="15.75" customHeight="1">
      <c r="A481" s="1">
        <v>18650</v>
      </c>
      <c r="B481" s="2">
        <v>45056.971620370372</v>
      </c>
      <c r="C481" s="1" t="s">
        <v>10</v>
      </c>
      <c r="D481" s="1">
        <v>25</v>
      </c>
      <c r="F481" s="3"/>
    </row>
    <row r="482" spans="1:6" ht="15.75" customHeight="1">
      <c r="A482" s="1">
        <v>18649</v>
      </c>
      <c r="B482" s="2">
        <v>45056.964004629626</v>
      </c>
      <c r="C482" s="1" t="s">
        <v>10</v>
      </c>
      <c r="D482" s="1">
        <v>35</v>
      </c>
      <c r="F482" s="3"/>
    </row>
    <row r="483" spans="1:6" ht="15.75" customHeight="1">
      <c r="A483" s="1">
        <v>18648</v>
      </c>
      <c r="B483" s="2">
        <v>45056.962500000001</v>
      </c>
      <c r="C483" s="1" t="s">
        <v>10</v>
      </c>
      <c r="D483" s="1">
        <v>25</v>
      </c>
      <c r="F483" s="3"/>
    </row>
    <row r="484" spans="1:6" ht="15.75" customHeight="1">
      <c r="A484" s="1">
        <v>18647</v>
      </c>
      <c r="B484" s="2">
        <v>45056.940185185187</v>
      </c>
      <c r="C484" s="1" t="s">
        <v>10</v>
      </c>
      <c r="D484" s="1">
        <v>25</v>
      </c>
      <c r="F484" s="3"/>
    </row>
    <row r="485" spans="1:6" ht="15.75" customHeight="1">
      <c r="A485" s="1">
        <v>18646</v>
      </c>
      <c r="B485" s="2">
        <v>45056.933796296296</v>
      </c>
      <c r="C485" s="1" t="s">
        <v>10</v>
      </c>
      <c r="D485" s="1">
        <v>25</v>
      </c>
      <c r="F485" s="3"/>
    </row>
    <row r="486" spans="1:6" ht="15.75" customHeight="1">
      <c r="A486" s="1">
        <v>18645</v>
      </c>
      <c r="B486" s="2">
        <v>45056.932766203703</v>
      </c>
      <c r="C486" s="1" t="s">
        <v>10</v>
      </c>
      <c r="D486" s="1">
        <v>25</v>
      </c>
      <c r="F486" s="3"/>
    </row>
    <row r="487" spans="1:6" ht="15.75" customHeight="1">
      <c r="A487" s="1">
        <v>18644</v>
      </c>
      <c r="B487" s="2">
        <v>45056.920324074075</v>
      </c>
      <c r="C487" s="1" t="s">
        <v>10</v>
      </c>
      <c r="D487" s="1">
        <v>20</v>
      </c>
      <c r="F487" s="3"/>
    </row>
    <row r="488" spans="1:6" ht="15.75" customHeight="1">
      <c r="A488" s="1">
        <v>18643</v>
      </c>
      <c r="B488" s="2">
        <v>45056.913761574076</v>
      </c>
      <c r="C488" s="1" t="s">
        <v>10</v>
      </c>
      <c r="D488" s="1">
        <v>25</v>
      </c>
      <c r="F488" s="3"/>
    </row>
    <row r="489" spans="1:6" ht="15.75" customHeight="1">
      <c r="A489" s="1">
        <v>18642</v>
      </c>
      <c r="B489" s="2">
        <v>45056.866967592592</v>
      </c>
      <c r="C489" s="1" t="s">
        <v>10</v>
      </c>
      <c r="D489" s="1">
        <v>15</v>
      </c>
      <c r="F489" s="3"/>
    </row>
    <row r="490" spans="1:6" ht="15.75" customHeight="1">
      <c r="A490" s="1">
        <v>18641</v>
      </c>
      <c r="B490" s="2">
        <v>45056.019490740742</v>
      </c>
      <c r="C490" s="1" t="s">
        <v>10</v>
      </c>
      <c r="D490" s="1">
        <v>55</v>
      </c>
      <c r="F490" s="3"/>
    </row>
    <row r="491" spans="1:6" ht="15.75" customHeight="1">
      <c r="A491" s="1">
        <v>18640</v>
      </c>
      <c r="B491" s="2">
        <v>45055.997129629628</v>
      </c>
      <c r="C491" s="1" t="s">
        <v>10</v>
      </c>
      <c r="D491" s="1">
        <v>28</v>
      </c>
      <c r="F491" s="3"/>
    </row>
    <row r="492" spans="1:6" ht="15.75" customHeight="1">
      <c r="A492" s="1">
        <v>18639</v>
      </c>
      <c r="B492" s="2">
        <v>45055.973761574074</v>
      </c>
      <c r="C492" s="1" t="s">
        <v>10</v>
      </c>
      <c r="D492" s="1">
        <v>83</v>
      </c>
      <c r="F492" s="3"/>
    </row>
    <row r="493" spans="1:6" ht="15.75" customHeight="1">
      <c r="A493" s="1">
        <v>18638</v>
      </c>
      <c r="B493" s="2">
        <v>45055.963113425925</v>
      </c>
      <c r="C493" s="1" t="s">
        <v>10</v>
      </c>
      <c r="D493" s="1">
        <v>20</v>
      </c>
      <c r="F493" s="3"/>
    </row>
    <row r="494" spans="1:6" ht="15.75" customHeight="1">
      <c r="A494" s="1">
        <v>18637</v>
      </c>
      <c r="B494" s="2">
        <v>45055.960335648153</v>
      </c>
      <c r="C494" s="1" t="s">
        <v>10</v>
      </c>
      <c r="D494" s="1">
        <v>25</v>
      </c>
      <c r="F494" s="3"/>
    </row>
    <row r="495" spans="1:6" ht="15.75" customHeight="1">
      <c r="A495" s="1">
        <v>18636</v>
      </c>
      <c r="B495" s="2">
        <v>45055.956388888888</v>
      </c>
      <c r="C495" s="1" t="s">
        <v>5</v>
      </c>
      <c r="D495" s="1">
        <v>25</v>
      </c>
      <c r="F495" s="3"/>
    </row>
    <row r="496" spans="1:6" ht="15.75" customHeight="1">
      <c r="A496" s="1">
        <v>18635</v>
      </c>
      <c r="B496" s="2">
        <v>45055.930358796293</v>
      </c>
      <c r="C496" s="1" t="s">
        <v>8</v>
      </c>
      <c r="D496" s="1">
        <v>35</v>
      </c>
      <c r="F496" s="3"/>
    </row>
    <row r="497" spans="1:6" ht="15.75" customHeight="1">
      <c r="A497" s="1">
        <v>18634</v>
      </c>
      <c r="B497" s="2">
        <v>45055.927858796298</v>
      </c>
      <c r="C497" s="1" t="s">
        <v>10</v>
      </c>
      <c r="D497" s="1">
        <v>20</v>
      </c>
      <c r="F497" s="3"/>
    </row>
    <row r="498" spans="1:6" ht="15.75" customHeight="1">
      <c r="A498" s="1">
        <v>18633</v>
      </c>
      <c r="B498" s="2">
        <v>45055.918495370366</v>
      </c>
      <c r="C498" s="1" t="s">
        <v>10</v>
      </c>
      <c r="D498" s="1">
        <v>25</v>
      </c>
      <c r="F498" s="3"/>
    </row>
    <row r="499" spans="1:6" ht="15.75" customHeight="1">
      <c r="A499" s="1">
        <v>18632</v>
      </c>
      <c r="B499" s="2">
        <v>45055.91715277778</v>
      </c>
      <c r="C499" s="1" t="s">
        <v>10</v>
      </c>
      <c r="D499" s="1">
        <v>15</v>
      </c>
      <c r="F499" s="3"/>
    </row>
    <row r="500" spans="1:6" ht="15.75" customHeight="1">
      <c r="A500" s="1">
        <v>18631</v>
      </c>
      <c r="B500" s="2">
        <v>45055.916932870372</v>
      </c>
      <c r="C500" s="1" t="s">
        <v>8</v>
      </c>
      <c r="D500" s="1">
        <v>25</v>
      </c>
      <c r="F500" s="3"/>
    </row>
    <row r="501" spans="1:6" ht="15.75" customHeight="1">
      <c r="A501" s="1">
        <v>18630</v>
      </c>
      <c r="B501" s="2">
        <v>45055.911875000005</v>
      </c>
      <c r="C501" s="1" t="s">
        <v>10</v>
      </c>
      <c r="D501" s="1">
        <v>20</v>
      </c>
      <c r="F501" s="3"/>
    </row>
    <row r="502" spans="1:6" ht="15.75" customHeight="1">
      <c r="A502" s="1">
        <v>18629</v>
      </c>
      <c r="B502" s="2">
        <v>45055.908356481479</v>
      </c>
      <c r="C502" s="1" t="s">
        <v>16</v>
      </c>
      <c r="D502" s="1">
        <v>20</v>
      </c>
      <c r="F502" s="3"/>
    </row>
    <row r="503" spans="1:6" ht="15.75" customHeight="1">
      <c r="A503" s="1">
        <v>18628</v>
      </c>
      <c r="B503" s="2">
        <v>45055.907673611116</v>
      </c>
      <c r="C503" s="1" t="s">
        <v>10</v>
      </c>
      <c r="D503" s="1">
        <v>25</v>
      </c>
      <c r="F503" s="3"/>
    </row>
    <row r="504" spans="1:6" ht="15.75" customHeight="1">
      <c r="A504" s="1">
        <v>18627</v>
      </c>
      <c r="B504" s="2">
        <v>45055.898530092592</v>
      </c>
      <c r="C504" s="1" t="s">
        <v>8</v>
      </c>
      <c r="D504" s="1">
        <v>38</v>
      </c>
      <c r="F504" s="3"/>
    </row>
    <row r="505" spans="1:6" ht="15.75" customHeight="1">
      <c r="A505" s="1">
        <v>18626</v>
      </c>
      <c r="B505" s="2">
        <v>45055.889247685191</v>
      </c>
      <c r="C505" s="1" t="s">
        <v>10</v>
      </c>
      <c r="D505" s="1">
        <v>18</v>
      </c>
      <c r="F505" s="3"/>
    </row>
    <row r="506" spans="1:6" ht="15.75" customHeight="1">
      <c r="A506" s="1">
        <v>18625</v>
      </c>
      <c r="B506" s="2">
        <v>45055.87332175926</v>
      </c>
      <c r="C506" s="1" t="s">
        <v>10</v>
      </c>
      <c r="D506" s="1">
        <v>28</v>
      </c>
      <c r="F506" s="3"/>
    </row>
    <row r="507" spans="1:6" ht="15.75" customHeight="1">
      <c r="A507" s="1">
        <v>18624</v>
      </c>
      <c r="B507" s="2">
        <v>45055.858715277776</v>
      </c>
      <c r="C507" s="1" t="s">
        <v>10</v>
      </c>
      <c r="D507" s="1">
        <v>18</v>
      </c>
      <c r="F507" s="3"/>
    </row>
    <row r="508" spans="1:6" ht="15.75" customHeight="1">
      <c r="A508" s="1">
        <v>18623</v>
      </c>
      <c r="B508" s="2">
        <v>45055.791701388887</v>
      </c>
      <c r="C508" s="1" t="s">
        <v>8</v>
      </c>
      <c r="D508" s="1">
        <v>20</v>
      </c>
      <c r="F508" s="3"/>
    </row>
    <row r="509" spans="1:6" ht="15.75" customHeight="1">
      <c r="A509" s="1">
        <v>18622</v>
      </c>
      <c r="B509" s="2">
        <v>45055.599756944444</v>
      </c>
      <c r="C509" s="1" t="s">
        <v>10</v>
      </c>
      <c r="D509" s="1">
        <v>25</v>
      </c>
      <c r="F509" s="3"/>
    </row>
    <row r="510" spans="1:6" ht="15.75" customHeight="1">
      <c r="A510" s="1">
        <v>18615</v>
      </c>
      <c r="B510" s="2">
        <v>45055.0862037037</v>
      </c>
      <c r="C510" s="1" t="s">
        <v>10</v>
      </c>
      <c r="D510" s="1">
        <v>25</v>
      </c>
      <c r="F510" s="3"/>
    </row>
    <row r="511" spans="1:6" ht="15.75" customHeight="1">
      <c r="A511" s="1">
        <v>18462</v>
      </c>
      <c r="B511" s="2">
        <v>45051.616145833337</v>
      </c>
      <c r="C511" s="1" t="s">
        <v>10</v>
      </c>
      <c r="D511" s="1">
        <v>0</v>
      </c>
      <c r="F511" s="3"/>
    </row>
    <row r="512" spans="1:6" ht="15.75" customHeight="1">
      <c r="A512" s="1">
        <v>18406</v>
      </c>
      <c r="B512" s="2">
        <v>45047.687638888892</v>
      </c>
      <c r="C512" s="1" t="s">
        <v>10</v>
      </c>
      <c r="D512" s="1">
        <v>420</v>
      </c>
      <c r="F512" s="3"/>
    </row>
    <row r="513" spans="1:6" ht="15.75" customHeight="1">
      <c r="A513" s="1">
        <v>18405</v>
      </c>
      <c r="B513" s="2">
        <v>45047.607048611113</v>
      </c>
      <c r="C513" s="1" t="s">
        <v>10</v>
      </c>
      <c r="D513" s="1">
        <v>420</v>
      </c>
      <c r="F513" s="3"/>
    </row>
    <row r="514" spans="1:6" ht="15.75" customHeight="1">
      <c r="A514" s="1">
        <v>18404</v>
      </c>
      <c r="B514" s="2">
        <v>45046.081331018519</v>
      </c>
      <c r="C514" s="1" t="s">
        <v>10</v>
      </c>
      <c r="D514" s="1">
        <v>85</v>
      </c>
      <c r="F514" s="3"/>
    </row>
    <row r="515" spans="1:6" ht="15.75" customHeight="1">
      <c r="A515" s="1">
        <v>18350</v>
      </c>
      <c r="B515" s="2">
        <v>45042.111863425926</v>
      </c>
      <c r="C515" s="1" t="s">
        <v>10</v>
      </c>
      <c r="D515" s="1">
        <v>0</v>
      </c>
      <c r="F515" s="3"/>
    </row>
    <row r="516" spans="1:6" ht="15.75" customHeight="1">
      <c r="A516" s="1">
        <v>18142</v>
      </c>
      <c r="B516" s="2">
        <v>45024.096620370372</v>
      </c>
      <c r="C516" s="1" t="s">
        <v>10</v>
      </c>
      <c r="D516" s="1">
        <v>28</v>
      </c>
      <c r="F516" s="3"/>
    </row>
    <row r="517" spans="1:6" ht="15.75" customHeight="1">
      <c r="A517" s="1">
        <v>18140</v>
      </c>
      <c r="B517" s="2">
        <v>45023.781018518523</v>
      </c>
      <c r="C517" s="1" t="s">
        <v>8</v>
      </c>
      <c r="D517" s="1">
        <v>25</v>
      </c>
      <c r="F517" s="3"/>
    </row>
    <row r="518" spans="1:6" ht="15.75" customHeight="1">
      <c r="A518" s="1">
        <v>18137</v>
      </c>
      <c r="B518" s="2">
        <v>45022.120740740742</v>
      </c>
      <c r="C518" s="1" t="s">
        <v>10</v>
      </c>
      <c r="D518" s="1">
        <v>825</v>
      </c>
      <c r="F518" s="3"/>
    </row>
    <row r="519" spans="1:6" ht="15.75" customHeight="1">
      <c r="A519" s="1">
        <v>18130</v>
      </c>
      <c r="B519" s="2">
        <v>45020.573877314819</v>
      </c>
      <c r="C519" s="1" t="s">
        <v>10</v>
      </c>
      <c r="D519" s="1">
        <v>0</v>
      </c>
      <c r="F519" s="3"/>
    </row>
    <row r="520" spans="1:6" ht="15.75" customHeight="1">
      <c r="A520" s="1">
        <v>18127</v>
      </c>
      <c r="B520" s="2">
        <v>45015.637384259258</v>
      </c>
      <c r="C520" s="1" t="s">
        <v>10</v>
      </c>
      <c r="D520" s="1">
        <v>0</v>
      </c>
      <c r="F520" s="3"/>
    </row>
    <row r="521" spans="1:6" ht="15.75" customHeight="1">
      <c r="A521" s="1">
        <v>18125</v>
      </c>
      <c r="B521" s="2">
        <v>45015.575335648144</v>
      </c>
      <c r="C521" s="1" t="s">
        <v>10</v>
      </c>
      <c r="D521" s="1">
        <v>0</v>
      </c>
      <c r="F521" s="3"/>
    </row>
    <row r="522" spans="1:6" ht="15.75" customHeight="1">
      <c r="A522" s="1">
        <v>18124</v>
      </c>
      <c r="B522" s="2">
        <v>45014.774884259255</v>
      </c>
      <c r="C522" s="1" t="s">
        <v>10</v>
      </c>
      <c r="D522" s="1">
        <v>25</v>
      </c>
      <c r="F522" s="3"/>
    </row>
    <row r="523" spans="1:6" ht="15.75" customHeight="1">
      <c r="A523" s="1">
        <v>18123</v>
      </c>
      <c r="B523" s="2">
        <v>45012.970451388886</v>
      </c>
      <c r="C523" s="1" t="s">
        <v>8</v>
      </c>
      <c r="D523" s="1">
        <v>55</v>
      </c>
      <c r="F523" s="3"/>
    </row>
    <row r="524" spans="1:6" ht="15.75" customHeight="1">
      <c r="A524" s="1">
        <v>18122</v>
      </c>
      <c r="B524" s="2">
        <v>45012.579421296294</v>
      </c>
      <c r="C524" s="1" t="s">
        <v>10</v>
      </c>
      <c r="D524" s="1">
        <v>25</v>
      </c>
      <c r="F524" s="3"/>
    </row>
    <row r="525" spans="1:6" ht="15.75" customHeight="1">
      <c r="A525" s="1">
        <v>18117</v>
      </c>
      <c r="B525" s="2">
        <v>45011.942337962959</v>
      </c>
      <c r="C525" s="1" t="s">
        <v>10</v>
      </c>
      <c r="D525" s="1">
        <v>15</v>
      </c>
      <c r="F525" s="3"/>
    </row>
    <row r="526" spans="1:6" ht="15.75" customHeight="1">
      <c r="A526" s="1">
        <v>18116</v>
      </c>
      <c r="B526" s="2">
        <v>45011.693726851852</v>
      </c>
      <c r="C526" s="1" t="s">
        <v>10</v>
      </c>
      <c r="D526" s="1">
        <v>15</v>
      </c>
      <c r="F526" s="3"/>
    </row>
    <row r="527" spans="1:6" ht="15.75" customHeight="1">
      <c r="A527" s="1">
        <v>18115</v>
      </c>
      <c r="B527" s="2">
        <v>45011.690763888888</v>
      </c>
      <c r="C527" s="1" t="s">
        <v>10</v>
      </c>
      <c r="D527" s="1">
        <v>15</v>
      </c>
      <c r="F527" s="3"/>
    </row>
    <row r="528" spans="1:6" ht="15.75" customHeight="1">
      <c r="A528" s="1">
        <v>18114</v>
      </c>
      <c r="B528" s="2">
        <v>45011.687210648146</v>
      </c>
      <c r="C528" s="1" t="s">
        <v>10</v>
      </c>
      <c r="D528" s="1">
        <v>85</v>
      </c>
      <c r="F528" s="3"/>
    </row>
    <row r="529" spans="1:6" ht="15.75" customHeight="1">
      <c r="A529" s="1">
        <v>18113</v>
      </c>
      <c r="B529" s="2">
        <v>45011.520509259259</v>
      </c>
      <c r="C529" s="1" t="s">
        <v>10</v>
      </c>
      <c r="D529" s="1">
        <v>28</v>
      </c>
      <c r="F529" s="3"/>
    </row>
    <row r="530" spans="1:6" ht="15.75" customHeight="1">
      <c r="A530" s="1">
        <v>18111</v>
      </c>
      <c r="B530" s="2">
        <v>45011.133611111116</v>
      </c>
      <c r="C530" s="1" t="s">
        <v>51</v>
      </c>
      <c r="D530" s="1">
        <v>566</v>
      </c>
      <c r="F530" s="3"/>
    </row>
    <row r="531" spans="1:6" ht="15.75" customHeight="1">
      <c r="A531" s="1">
        <v>18109</v>
      </c>
      <c r="B531" s="2">
        <v>45010.056192129632</v>
      </c>
      <c r="C531" s="1" t="s">
        <v>10</v>
      </c>
      <c r="D531" s="1">
        <v>45</v>
      </c>
      <c r="F531" s="3"/>
    </row>
    <row r="532" spans="1:6" ht="15.75" customHeight="1">
      <c r="A532" s="1">
        <v>18108</v>
      </c>
      <c r="B532" s="2">
        <v>45010.044733796298</v>
      </c>
      <c r="C532" s="1" t="s">
        <v>10</v>
      </c>
      <c r="D532" s="1">
        <v>28</v>
      </c>
      <c r="F532" s="3"/>
    </row>
    <row r="533" spans="1:6" ht="15.75" customHeight="1">
      <c r="A533" s="1">
        <v>18107</v>
      </c>
      <c r="B533" s="2">
        <v>45009.10292824074</v>
      </c>
      <c r="C533" s="1" t="s">
        <v>10</v>
      </c>
      <c r="D533" s="1">
        <v>25</v>
      </c>
      <c r="F533" s="3"/>
    </row>
    <row r="534" spans="1:6" ht="15.75" customHeight="1">
      <c r="A534" s="1">
        <v>18106</v>
      </c>
      <c r="B534" s="2">
        <v>45008.531099537038</v>
      </c>
      <c r="C534" s="1" t="s">
        <v>10</v>
      </c>
      <c r="D534" s="1">
        <v>25</v>
      </c>
      <c r="F534" s="3"/>
    </row>
    <row r="535" spans="1:6" ht="15.75" customHeight="1">
      <c r="A535" s="1">
        <v>18104</v>
      </c>
      <c r="B535" s="2">
        <v>45007.938680555555</v>
      </c>
      <c r="C535" s="1" t="s">
        <v>10</v>
      </c>
      <c r="D535" s="1">
        <v>200</v>
      </c>
      <c r="F535" s="3"/>
    </row>
    <row r="536" spans="1:6" ht="15.75" customHeight="1">
      <c r="A536" s="1">
        <v>18101</v>
      </c>
      <c r="B536" s="2">
        <v>45007.934016203704</v>
      </c>
      <c r="C536" s="1" t="s">
        <v>16</v>
      </c>
      <c r="D536" s="1">
        <v>200</v>
      </c>
      <c r="F536" s="3"/>
    </row>
    <row r="537" spans="1:6" ht="15.75" customHeight="1">
      <c r="A537" s="1">
        <v>18099</v>
      </c>
      <c r="B537" s="2">
        <v>45006.76730324074</v>
      </c>
      <c r="C537" s="1" t="s">
        <v>10</v>
      </c>
      <c r="D537" s="1">
        <v>50</v>
      </c>
      <c r="F537" s="3"/>
    </row>
    <row r="538" spans="1:6" ht="15.75" customHeight="1">
      <c r="A538" s="1">
        <v>18098</v>
      </c>
      <c r="B538" s="2">
        <v>45005.955277777779</v>
      </c>
      <c r="C538" s="1" t="s">
        <v>10</v>
      </c>
      <c r="D538" s="1">
        <v>100</v>
      </c>
      <c r="F538" s="3"/>
    </row>
    <row r="539" spans="1:6" ht="15.75" customHeight="1">
      <c r="A539" s="1">
        <v>18097</v>
      </c>
      <c r="B539" s="2">
        <v>45004.677650462967</v>
      </c>
      <c r="C539" s="1" t="s">
        <v>10</v>
      </c>
      <c r="D539" s="1">
        <v>130.5</v>
      </c>
      <c r="F539" s="3"/>
    </row>
    <row r="540" spans="1:6" ht="15.75" customHeight="1">
      <c r="A540" s="1">
        <v>18095</v>
      </c>
      <c r="B540" s="2">
        <v>45003.973344907412</v>
      </c>
      <c r="C540" s="1" t="s">
        <v>10</v>
      </c>
      <c r="D540" s="1">
        <v>55</v>
      </c>
      <c r="F540" s="3"/>
    </row>
    <row r="541" spans="1:6" ht="15.75" customHeight="1">
      <c r="A541" s="1">
        <v>18094</v>
      </c>
      <c r="B541" s="2">
        <v>45003.816469907411</v>
      </c>
      <c r="C541" s="1" t="s">
        <v>10</v>
      </c>
      <c r="D541" s="1">
        <v>68</v>
      </c>
      <c r="F541" s="3"/>
    </row>
    <row r="542" spans="1:6" ht="15.75" customHeight="1">
      <c r="A542" s="1">
        <v>18093</v>
      </c>
      <c r="B542" s="2">
        <v>45003.747025462959</v>
      </c>
      <c r="C542" s="1" t="s">
        <v>10</v>
      </c>
      <c r="D542" s="1">
        <v>53</v>
      </c>
      <c r="F542" s="3"/>
    </row>
    <row r="543" spans="1:6" ht="15.75" customHeight="1">
      <c r="A543" s="1">
        <v>18062</v>
      </c>
      <c r="B543" s="2">
        <v>44999.671319444446</v>
      </c>
      <c r="C543" s="1" t="s">
        <v>10</v>
      </c>
      <c r="D543" s="1">
        <v>35</v>
      </c>
      <c r="F543" s="3"/>
    </row>
    <row r="544" spans="1:6" ht="15.75" customHeight="1">
      <c r="A544" s="1">
        <v>18061</v>
      </c>
      <c r="B544" s="2">
        <v>44998.579965277779</v>
      </c>
      <c r="C544" s="1" t="s">
        <v>10</v>
      </c>
      <c r="D544" s="1">
        <v>100</v>
      </c>
      <c r="F544" s="3"/>
    </row>
    <row r="545" spans="1:6" ht="15.75" customHeight="1">
      <c r="A545" s="1">
        <v>18057</v>
      </c>
      <c r="B545" s="2">
        <v>44995.838749999995</v>
      </c>
      <c r="C545" s="1" t="s">
        <v>10</v>
      </c>
      <c r="D545" s="1">
        <v>55</v>
      </c>
      <c r="F545" s="3"/>
    </row>
    <row r="546" spans="1:6" ht="15.75" customHeight="1">
      <c r="A546" s="1">
        <v>18056</v>
      </c>
      <c r="B546" s="2">
        <v>44995.83520833333</v>
      </c>
      <c r="C546" s="1" t="s">
        <v>10</v>
      </c>
      <c r="D546" s="1">
        <v>55</v>
      </c>
      <c r="F546" s="3"/>
    </row>
    <row r="547" spans="1:6" ht="15.75" customHeight="1">
      <c r="A547" s="1">
        <v>18055</v>
      </c>
      <c r="B547" s="2">
        <v>44995.143020833333</v>
      </c>
      <c r="C547" s="1" t="s">
        <v>10</v>
      </c>
      <c r="D547" s="1">
        <v>40</v>
      </c>
      <c r="F547" s="3"/>
    </row>
    <row r="548" spans="1:6" ht="15.75" customHeight="1">
      <c r="A548" s="1">
        <v>18054</v>
      </c>
      <c r="B548" s="2">
        <v>44995.115949074076</v>
      </c>
      <c r="C548" s="1" t="s">
        <v>10</v>
      </c>
      <c r="D548" s="1">
        <v>43</v>
      </c>
      <c r="F548" s="3"/>
    </row>
    <row r="549" spans="1:6" ht="15.75" customHeight="1">
      <c r="A549" s="1">
        <v>18053</v>
      </c>
      <c r="B549" s="2">
        <v>44994.750856481478</v>
      </c>
      <c r="C549" s="1" t="s">
        <v>10</v>
      </c>
      <c r="D549" s="1">
        <v>25</v>
      </c>
      <c r="F549" s="3"/>
    </row>
    <row r="550" spans="1:6" ht="15.75" customHeight="1">
      <c r="A550" s="1">
        <v>18052</v>
      </c>
      <c r="B550" s="2">
        <v>44994.749027777776</v>
      </c>
      <c r="C550" s="1" t="s">
        <v>10</v>
      </c>
      <c r="D550" s="1">
        <v>25</v>
      </c>
      <c r="F550" s="3"/>
    </row>
    <row r="551" spans="1:6" ht="15.75" customHeight="1">
      <c r="A551" s="1">
        <v>18047</v>
      </c>
      <c r="B551" s="2">
        <v>44993.984722222223</v>
      </c>
      <c r="C551" s="1" t="s">
        <v>10</v>
      </c>
      <c r="D551" s="1">
        <v>50</v>
      </c>
      <c r="F551" s="3"/>
    </row>
    <row r="552" spans="1:6" ht="15.75" customHeight="1">
      <c r="A552" s="1">
        <v>18043</v>
      </c>
      <c r="B552" s="2">
        <v>44993.613391203704</v>
      </c>
      <c r="C552" s="1" t="s">
        <v>10</v>
      </c>
      <c r="D552" s="1">
        <v>15</v>
      </c>
      <c r="F552" s="3"/>
    </row>
    <row r="553" spans="1:6" ht="15.75" customHeight="1">
      <c r="A553" s="1">
        <v>18042</v>
      </c>
      <c r="B553" s="2">
        <v>44993.612071759257</v>
      </c>
      <c r="C553" s="1" t="s">
        <v>10</v>
      </c>
      <c r="D553" s="1">
        <v>35</v>
      </c>
      <c r="F553" s="3"/>
    </row>
    <row r="554" spans="1:6" ht="15.75" customHeight="1">
      <c r="A554" s="1">
        <v>18041</v>
      </c>
      <c r="B554" s="2">
        <v>44993.082245370373</v>
      </c>
      <c r="C554" s="1" t="s">
        <v>10</v>
      </c>
      <c r="D554" s="1">
        <v>86</v>
      </c>
      <c r="F554" s="3"/>
    </row>
    <row r="555" spans="1:6" ht="15.75" customHeight="1">
      <c r="A555" s="1">
        <v>18040</v>
      </c>
      <c r="B555" s="2">
        <v>44992.813275462962</v>
      </c>
      <c r="C555" s="1" t="s">
        <v>10</v>
      </c>
      <c r="D555" s="1">
        <v>40</v>
      </c>
      <c r="F555" s="3"/>
    </row>
    <row r="556" spans="1:6" ht="15.75" customHeight="1">
      <c r="A556" s="1">
        <v>18039</v>
      </c>
      <c r="B556" s="2">
        <v>44992.786111111112</v>
      </c>
      <c r="C556" s="1" t="s">
        <v>10</v>
      </c>
      <c r="D556" s="1">
        <v>15</v>
      </c>
      <c r="F556" s="3"/>
    </row>
    <row r="557" spans="1:6" ht="15.75" customHeight="1">
      <c r="A557" s="1">
        <v>18038</v>
      </c>
      <c r="B557" s="2">
        <v>44991.971030092594</v>
      </c>
      <c r="C557" s="1" t="s">
        <v>10</v>
      </c>
      <c r="D557" s="1">
        <v>25</v>
      </c>
      <c r="F557" s="3"/>
    </row>
    <row r="558" spans="1:6" ht="15.75" customHeight="1">
      <c r="A558" s="1">
        <v>18037</v>
      </c>
      <c r="B558" s="2">
        <v>44991.893506944441</v>
      </c>
      <c r="C558" s="1" t="s">
        <v>10</v>
      </c>
      <c r="D558" s="1">
        <v>15</v>
      </c>
      <c r="F558" s="3"/>
    </row>
    <row r="559" spans="1:6" ht="15.75" customHeight="1">
      <c r="A559" s="1">
        <v>18036</v>
      </c>
      <c r="B559" s="2">
        <v>44991.626550925925</v>
      </c>
      <c r="C559" s="1" t="s">
        <v>10</v>
      </c>
      <c r="D559" s="1">
        <v>15</v>
      </c>
      <c r="F559" s="3"/>
    </row>
    <row r="560" spans="1:6" ht="15.75" customHeight="1">
      <c r="A560" s="1">
        <v>18035</v>
      </c>
      <c r="B560" s="2">
        <v>44991.538090277776</v>
      </c>
      <c r="C560" s="1" t="s">
        <v>10</v>
      </c>
      <c r="D560" s="1">
        <v>15</v>
      </c>
      <c r="F560" s="3"/>
    </row>
    <row r="561" spans="1:6" ht="15.75" customHeight="1">
      <c r="A561" s="1">
        <v>18034</v>
      </c>
      <c r="B561" s="2">
        <v>44991.535983796297</v>
      </c>
      <c r="C561" s="1" t="s">
        <v>10</v>
      </c>
      <c r="D561" s="1">
        <v>35</v>
      </c>
      <c r="F561" s="3"/>
    </row>
    <row r="562" spans="1:6" ht="15.75" customHeight="1">
      <c r="A562" s="1">
        <v>18033</v>
      </c>
      <c r="B562" s="2">
        <v>44991.128969907411</v>
      </c>
      <c r="C562" s="1" t="s">
        <v>10</v>
      </c>
      <c r="D562" s="1">
        <v>18</v>
      </c>
      <c r="F562" s="3"/>
    </row>
    <row r="563" spans="1:6" ht="15.75" customHeight="1">
      <c r="A563" s="1">
        <v>18032</v>
      </c>
      <c r="B563" s="2">
        <v>44991.078645833331</v>
      </c>
      <c r="C563" s="1" t="s">
        <v>10</v>
      </c>
      <c r="D563" s="1">
        <v>33</v>
      </c>
      <c r="F563" s="3"/>
    </row>
    <row r="564" spans="1:6" ht="15.75" customHeight="1">
      <c r="A564" s="1">
        <v>18031</v>
      </c>
      <c r="B564" s="2">
        <v>44989.838796296295</v>
      </c>
      <c r="C564" s="1" t="s">
        <v>10</v>
      </c>
      <c r="D564" s="1">
        <v>15</v>
      </c>
      <c r="F564" s="3"/>
    </row>
    <row r="565" spans="1:6" ht="15.75" customHeight="1">
      <c r="A565" s="1">
        <v>18030</v>
      </c>
      <c r="B565" s="2">
        <v>44989.093275462961</v>
      </c>
      <c r="C565" s="1" t="s">
        <v>10</v>
      </c>
      <c r="D565" s="1">
        <v>80</v>
      </c>
      <c r="F565" s="3"/>
    </row>
    <row r="566" spans="1:6" ht="15.75" customHeight="1">
      <c r="A566" s="1">
        <v>18029</v>
      </c>
      <c r="B566" s="2">
        <v>44988.705601851849</v>
      </c>
      <c r="C566" s="1" t="s">
        <v>10</v>
      </c>
      <c r="D566" s="1">
        <v>42</v>
      </c>
      <c r="F566" s="3"/>
    </row>
    <row r="567" spans="1:6" ht="15.75" customHeight="1">
      <c r="A567" s="1">
        <v>18028</v>
      </c>
      <c r="B567" s="2">
        <v>44986.761388888888</v>
      </c>
      <c r="C567" s="1" t="s">
        <v>16</v>
      </c>
      <c r="D567" s="1">
        <v>0</v>
      </c>
      <c r="F567" s="3"/>
    </row>
    <row r="568" spans="1:6" ht="15.75" customHeight="1">
      <c r="A568" s="1">
        <v>18025</v>
      </c>
      <c r="B568" s="2">
        <v>44986.687152777777</v>
      </c>
      <c r="C568" s="1" t="s">
        <v>10</v>
      </c>
      <c r="D568" s="1">
        <v>30</v>
      </c>
      <c r="F568" s="3"/>
    </row>
    <row r="569" spans="1:6" ht="15.75" customHeight="1">
      <c r="A569" s="1">
        <v>18012</v>
      </c>
      <c r="B569" s="2">
        <v>44985.958020833335</v>
      </c>
      <c r="C569" s="1" t="s">
        <v>10</v>
      </c>
      <c r="D569" s="1">
        <v>33</v>
      </c>
      <c r="F569" s="3"/>
    </row>
    <row r="570" spans="1:6" ht="15.75" customHeight="1">
      <c r="A570" s="1">
        <v>18011</v>
      </c>
      <c r="B570" s="2">
        <v>44985.123668981483</v>
      </c>
      <c r="C570" s="1" t="s">
        <v>10</v>
      </c>
      <c r="D570" s="1">
        <v>15</v>
      </c>
      <c r="F570" s="3"/>
    </row>
    <row r="571" spans="1:6" ht="15.75" customHeight="1">
      <c r="A571" s="1">
        <v>18010</v>
      </c>
      <c r="B571" s="2">
        <v>44985.118229166663</v>
      </c>
      <c r="C571" s="1" t="s">
        <v>10</v>
      </c>
      <c r="D571" s="1">
        <v>15</v>
      </c>
      <c r="F571" s="3"/>
    </row>
    <row r="572" spans="1:6" ht="15.75" customHeight="1">
      <c r="A572" s="1">
        <v>18009</v>
      </c>
      <c r="B572" s="2">
        <v>44984.678379629629</v>
      </c>
      <c r="C572" s="1" t="s">
        <v>10</v>
      </c>
      <c r="D572" s="1">
        <v>15</v>
      </c>
      <c r="F572" s="3"/>
    </row>
    <row r="573" spans="1:6" ht="15.75" customHeight="1">
      <c r="A573" s="1">
        <v>18008</v>
      </c>
      <c r="B573" s="2">
        <v>44984.655706018515</v>
      </c>
      <c r="C573" s="1" t="s">
        <v>10</v>
      </c>
      <c r="D573" s="1">
        <v>35</v>
      </c>
      <c r="F573" s="3"/>
    </row>
    <row r="574" spans="1:6" ht="15.75" customHeight="1">
      <c r="A574" s="1">
        <v>18007</v>
      </c>
      <c r="B574" s="2">
        <v>44984.63762731482</v>
      </c>
      <c r="C574" s="1" t="s">
        <v>10</v>
      </c>
      <c r="D574" s="1">
        <v>25</v>
      </c>
      <c r="F574" s="3"/>
    </row>
    <row r="575" spans="1:6" ht="15.75" customHeight="1">
      <c r="A575" s="1">
        <v>18006</v>
      </c>
      <c r="B575" s="2">
        <v>44984.632314814815</v>
      </c>
      <c r="C575" s="1" t="s">
        <v>10</v>
      </c>
      <c r="D575" s="1">
        <v>25</v>
      </c>
      <c r="F575" s="3"/>
    </row>
    <row r="576" spans="1:6" ht="15.75" customHeight="1">
      <c r="A576" s="1">
        <v>18005</v>
      </c>
      <c r="B576" s="2">
        <v>44984.572430555556</v>
      </c>
      <c r="C576" s="1" t="s">
        <v>10</v>
      </c>
      <c r="D576" s="1">
        <v>30</v>
      </c>
      <c r="F576" s="3"/>
    </row>
    <row r="577" spans="1:6" ht="15.75" customHeight="1">
      <c r="A577" s="1">
        <v>18004</v>
      </c>
      <c r="B577" s="2">
        <v>44984.08798611111</v>
      </c>
      <c r="C577" s="1" t="s">
        <v>10</v>
      </c>
      <c r="D577" s="1">
        <v>15</v>
      </c>
      <c r="F577" s="3"/>
    </row>
    <row r="578" spans="1:6" ht="15.75" customHeight="1">
      <c r="A578" s="1">
        <v>18003</v>
      </c>
      <c r="B578" s="2">
        <v>44983.765925925924</v>
      </c>
      <c r="C578" s="1" t="s">
        <v>10</v>
      </c>
      <c r="D578" s="1">
        <v>15</v>
      </c>
      <c r="F578" s="3"/>
    </row>
    <row r="579" spans="1:6" ht="15.75" customHeight="1">
      <c r="A579" s="1">
        <v>18001</v>
      </c>
      <c r="B579" s="2">
        <v>44982.954409722224</v>
      </c>
      <c r="C579" s="1" t="s">
        <v>10</v>
      </c>
      <c r="D579" s="1">
        <v>28</v>
      </c>
      <c r="F579" s="3"/>
    </row>
    <row r="580" spans="1:6" ht="15.75" customHeight="1">
      <c r="A580" s="1">
        <v>18000</v>
      </c>
      <c r="B580" s="2">
        <v>44982.730150462958</v>
      </c>
      <c r="C580" s="1" t="s">
        <v>10</v>
      </c>
      <c r="D580" s="1">
        <v>30</v>
      </c>
      <c r="F580" s="3"/>
    </row>
    <row r="581" spans="1:6" ht="15.75" customHeight="1">
      <c r="A581" s="1">
        <v>17998</v>
      </c>
      <c r="B581" s="2">
        <v>44982.081041666665</v>
      </c>
      <c r="C581" s="1" t="s">
        <v>10</v>
      </c>
      <c r="D581" s="1">
        <v>25</v>
      </c>
      <c r="F581" s="3"/>
    </row>
    <row r="582" spans="1:6" ht="15.75" customHeight="1">
      <c r="A582" s="1">
        <v>17997</v>
      </c>
      <c r="B582" s="2">
        <v>44981.906030092592</v>
      </c>
      <c r="C582" s="1" t="s">
        <v>10</v>
      </c>
      <c r="D582" s="1">
        <v>28</v>
      </c>
      <c r="F582" s="3"/>
    </row>
    <row r="583" spans="1:6" ht="15.75" customHeight="1">
      <c r="A583" s="1">
        <v>17996</v>
      </c>
      <c r="B583" s="2">
        <v>44980.137731481482</v>
      </c>
      <c r="C583" s="1" t="s">
        <v>10</v>
      </c>
      <c r="D583" s="1">
        <v>43</v>
      </c>
      <c r="F583" s="3"/>
    </row>
    <row r="584" spans="1:6" ht="15.75" customHeight="1">
      <c r="A584" s="1">
        <v>17995</v>
      </c>
      <c r="B584" s="2">
        <v>44979.806886574079</v>
      </c>
      <c r="C584" s="1" t="s">
        <v>10</v>
      </c>
      <c r="D584" s="1">
        <v>24</v>
      </c>
      <c r="F584" s="3"/>
    </row>
    <row r="585" spans="1:6" ht="15.75" customHeight="1">
      <c r="A585" s="1">
        <v>17994</v>
      </c>
      <c r="B585" s="2">
        <v>44979.629513888889</v>
      </c>
      <c r="C585" s="1" t="s">
        <v>10</v>
      </c>
      <c r="D585" s="1">
        <v>64</v>
      </c>
      <c r="F585" s="3"/>
    </row>
    <row r="586" spans="1:6" ht="15.75" customHeight="1">
      <c r="A586" s="1">
        <v>17993</v>
      </c>
      <c r="B586" s="2">
        <v>44978.694108796291</v>
      </c>
      <c r="C586" s="1" t="s">
        <v>10</v>
      </c>
      <c r="D586" s="1">
        <v>28</v>
      </c>
      <c r="F586" s="3"/>
    </row>
    <row r="587" spans="1:6" ht="15.75" customHeight="1">
      <c r="A587" s="1">
        <v>17992</v>
      </c>
      <c r="B587" s="2">
        <v>44978.609965277778</v>
      </c>
      <c r="C587" s="1" t="s">
        <v>10</v>
      </c>
      <c r="D587" s="1">
        <v>79</v>
      </c>
      <c r="F587" s="3"/>
    </row>
    <row r="588" spans="1:6" ht="15.75" customHeight="1">
      <c r="A588" s="1">
        <v>17956</v>
      </c>
      <c r="B588" s="2">
        <v>44977.613923611112</v>
      </c>
      <c r="C588" s="1" t="s">
        <v>10</v>
      </c>
      <c r="D588" s="1">
        <v>57</v>
      </c>
      <c r="F588" s="3"/>
    </row>
    <row r="589" spans="1:6" ht="15.75" customHeight="1">
      <c r="A589" s="1">
        <v>17955</v>
      </c>
      <c r="B589" s="2">
        <v>44977.550474537042</v>
      </c>
      <c r="C589" s="1" t="s">
        <v>10</v>
      </c>
      <c r="D589" s="1">
        <v>18</v>
      </c>
      <c r="F589" s="3"/>
    </row>
    <row r="590" spans="1:6" ht="15.75" customHeight="1">
      <c r="A590" s="1">
        <v>17954</v>
      </c>
      <c r="B590" s="2">
        <v>44977.549108796295</v>
      </c>
      <c r="C590" s="1" t="s">
        <v>10</v>
      </c>
      <c r="D590" s="1">
        <v>18</v>
      </c>
      <c r="F590" s="3"/>
    </row>
    <row r="591" spans="1:6" ht="15.75" customHeight="1">
      <c r="A591" s="1">
        <v>17953</v>
      </c>
      <c r="B591" s="2">
        <v>44977.134699074071</v>
      </c>
      <c r="C591" s="1" t="s">
        <v>10</v>
      </c>
      <c r="D591" s="1">
        <v>24</v>
      </c>
      <c r="F591" s="3"/>
    </row>
    <row r="592" spans="1:6" ht="15.75" customHeight="1">
      <c r="A592" s="1">
        <v>17949</v>
      </c>
      <c r="B592" s="2">
        <v>44977.074432870373</v>
      </c>
      <c r="C592" s="1" t="s">
        <v>10</v>
      </c>
      <c r="D592" s="1">
        <v>24</v>
      </c>
      <c r="F592" s="3"/>
    </row>
    <row r="593" spans="1:6" ht="15.75" customHeight="1">
      <c r="A593" s="1">
        <v>17923</v>
      </c>
      <c r="B593" s="2">
        <v>44977.016134259262</v>
      </c>
      <c r="C593" s="1" t="s">
        <v>10</v>
      </c>
      <c r="D593" s="1">
        <v>68</v>
      </c>
      <c r="F593" s="3"/>
    </row>
    <row r="594" spans="1:6" ht="15.75" customHeight="1">
      <c r="A594" s="1">
        <v>17874</v>
      </c>
      <c r="B594" s="2">
        <v>44976.845405092594</v>
      </c>
      <c r="C594" s="1" t="s">
        <v>10</v>
      </c>
      <c r="D594" s="1">
        <v>46</v>
      </c>
      <c r="F594" s="3"/>
    </row>
    <row r="595" spans="1:6" ht="15.75" customHeight="1">
      <c r="A595" s="1">
        <v>17873</v>
      </c>
      <c r="B595" s="2">
        <v>44976.845162037032</v>
      </c>
      <c r="C595" s="1" t="s">
        <v>10</v>
      </c>
      <c r="D595" s="1">
        <v>30</v>
      </c>
      <c r="F595" s="3"/>
    </row>
    <row r="596" spans="1:6" ht="15.75" customHeight="1">
      <c r="A596" s="1">
        <v>17872</v>
      </c>
      <c r="B596" s="2">
        <v>44976.566759259258</v>
      </c>
      <c r="C596" s="1" t="s">
        <v>10</v>
      </c>
      <c r="D596" s="1">
        <v>48</v>
      </c>
      <c r="F596" s="3"/>
    </row>
    <row r="597" spans="1:6" ht="15.75" customHeight="1">
      <c r="A597" s="1">
        <v>17871</v>
      </c>
      <c r="B597" s="2">
        <v>44975.942210648151</v>
      </c>
      <c r="C597" s="1" t="s">
        <v>10</v>
      </c>
      <c r="D597" s="1">
        <v>25</v>
      </c>
      <c r="F597" s="3"/>
    </row>
    <row r="598" spans="1:6" ht="15.75" customHeight="1">
      <c r="A598" s="1">
        <v>17870</v>
      </c>
      <c r="B598" s="2">
        <v>44975.903379629628</v>
      </c>
      <c r="C598" s="1" t="s">
        <v>10</v>
      </c>
      <c r="D598" s="1">
        <v>35</v>
      </c>
      <c r="F598" s="3"/>
    </row>
    <row r="599" spans="1:6" ht="15.75" customHeight="1">
      <c r="A599" s="1">
        <v>17869</v>
      </c>
      <c r="B599" s="2">
        <v>44975.858217592591</v>
      </c>
      <c r="C599" s="1" t="s">
        <v>10</v>
      </c>
      <c r="D599" s="1">
        <v>15</v>
      </c>
      <c r="F599" s="3"/>
    </row>
    <row r="600" spans="1:6" ht="15.75" customHeight="1">
      <c r="A600" s="1">
        <v>17868</v>
      </c>
      <c r="B600" s="2">
        <v>44975.856817129628</v>
      </c>
      <c r="C600" s="1" t="s">
        <v>10</v>
      </c>
      <c r="D600" s="1">
        <v>15</v>
      </c>
      <c r="F600" s="3"/>
    </row>
    <row r="601" spans="1:6" ht="15.75" customHeight="1">
      <c r="A601" s="1">
        <v>17867</v>
      </c>
      <c r="B601" s="2">
        <v>44975.855023148149</v>
      </c>
      <c r="C601" s="1" t="s">
        <v>10</v>
      </c>
      <c r="D601" s="1">
        <v>15</v>
      </c>
      <c r="F601" s="3"/>
    </row>
    <row r="602" spans="1:6" ht="15.75" customHeight="1">
      <c r="A602" s="1">
        <v>17866</v>
      </c>
      <c r="B602" s="2">
        <v>44975.850891203707</v>
      </c>
      <c r="C602" s="1" t="s">
        <v>10</v>
      </c>
      <c r="D602" s="1">
        <v>18</v>
      </c>
      <c r="F602" s="3"/>
    </row>
    <row r="603" spans="1:6" ht="15.75" customHeight="1">
      <c r="A603" s="1">
        <v>17865</v>
      </c>
      <c r="B603" s="2">
        <v>44975.828460648147</v>
      </c>
      <c r="C603" s="1" t="s">
        <v>10</v>
      </c>
      <c r="D603" s="1">
        <v>43</v>
      </c>
      <c r="F603" s="3"/>
    </row>
    <row r="604" spans="1:6" ht="15.75" customHeight="1">
      <c r="A604" s="1">
        <v>17864</v>
      </c>
      <c r="B604" s="2">
        <v>44975.823553240742</v>
      </c>
      <c r="C604" s="1" t="s">
        <v>10</v>
      </c>
      <c r="D604" s="1">
        <v>80</v>
      </c>
      <c r="F604" s="3"/>
    </row>
    <row r="605" spans="1:6" ht="15.75" customHeight="1">
      <c r="A605" s="1">
        <v>17863</v>
      </c>
      <c r="B605" s="2">
        <v>44975.802245370374</v>
      </c>
      <c r="C605" s="1" t="s">
        <v>10</v>
      </c>
      <c r="D605" s="1">
        <v>35</v>
      </c>
      <c r="F605" s="3"/>
    </row>
    <row r="606" spans="1:6" ht="15.75" customHeight="1">
      <c r="A606" s="1">
        <v>17862</v>
      </c>
      <c r="B606" s="2">
        <v>44975.787175925929</v>
      </c>
      <c r="C606" s="1" t="s">
        <v>10</v>
      </c>
      <c r="D606" s="1">
        <v>24</v>
      </c>
      <c r="F606" s="3"/>
    </row>
    <row r="607" spans="1:6" ht="15.75" customHeight="1">
      <c r="A607" s="1">
        <v>17861</v>
      </c>
      <c r="B607" s="2">
        <v>44975.759606481486</v>
      </c>
      <c r="C607" s="1" t="s">
        <v>10</v>
      </c>
      <c r="D607" s="1">
        <v>49</v>
      </c>
      <c r="F607" s="3"/>
    </row>
    <row r="608" spans="1:6" ht="15.75" customHeight="1">
      <c r="A608" s="1">
        <v>17860</v>
      </c>
      <c r="B608" s="2">
        <v>44975.753599537042</v>
      </c>
      <c r="C608" s="1" t="s">
        <v>10</v>
      </c>
      <c r="D608" s="1">
        <v>49</v>
      </c>
      <c r="F608" s="3"/>
    </row>
    <row r="609" spans="1:6" ht="15.75" customHeight="1">
      <c r="A609" s="1">
        <v>17859</v>
      </c>
      <c r="B609" s="2">
        <v>44975.738877314812</v>
      </c>
      <c r="C609" s="1" t="s">
        <v>10</v>
      </c>
      <c r="D609" s="1">
        <v>18</v>
      </c>
      <c r="F609" s="3"/>
    </row>
    <row r="610" spans="1:6" ht="15.75" customHeight="1">
      <c r="A610" s="1">
        <v>17858</v>
      </c>
      <c r="B610" s="2">
        <v>44975.72010416667</v>
      </c>
      <c r="C610" s="1" t="s">
        <v>10</v>
      </c>
      <c r="D610" s="1">
        <v>15</v>
      </c>
      <c r="F610" s="3"/>
    </row>
    <row r="611" spans="1:6" ht="15.75" customHeight="1">
      <c r="A611" s="1">
        <v>17857</v>
      </c>
      <c r="B611" s="2">
        <v>44975.719768518524</v>
      </c>
      <c r="C611" s="1" t="s">
        <v>10</v>
      </c>
      <c r="D611" s="1">
        <v>24</v>
      </c>
      <c r="F611" s="3"/>
    </row>
    <row r="612" spans="1:6" ht="15.75" customHeight="1">
      <c r="A612" s="1">
        <v>17856</v>
      </c>
      <c r="B612" s="2">
        <v>44975.716134259259</v>
      </c>
      <c r="C612" s="1" t="s">
        <v>10</v>
      </c>
      <c r="D612" s="1">
        <v>25</v>
      </c>
      <c r="F612" s="3"/>
    </row>
    <row r="613" spans="1:6" ht="15.75" customHeight="1">
      <c r="A613" s="1">
        <v>17855</v>
      </c>
      <c r="B613" s="2">
        <v>44975.712789351848</v>
      </c>
      <c r="C613" s="1" t="s">
        <v>10</v>
      </c>
      <c r="D613" s="1">
        <v>25</v>
      </c>
      <c r="F613" s="3"/>
    </row>
    <row r="614" spans="1:6" ht="15.75" customHeight="1">
      <c r="A614" s="1">
        <v>17854</v>
      </c>
      <c r="B614" s="2">
        <v>44975.712627314817</v>
      </c>
      <c r="C614" s="1" t="s">
        <v>10</v>
      </c>
      <c r="D614" s="1">
        <v>30</v>
      </c>
      <c r="F614" s="3"/>
    </row>
    <row r="615" spans="1:6" ht="15.75" customHeight="1">
      <c r="A615" s="1">
        <v>17853</v>
      </c>
      <c r="B615" s="2">
        <v>44975.710601851853</v>
      </c>
      <c r="C615" s="1" t="s">
        <v>10</v>
      </c>
      <c r="D615" s="1">
        <v>25</v>
      </c>
      <c r="F615" s="3"/>
    </row>
    <row r="616" spans="1:6" ht="15.75" customHeight="1">
      <c r="A616" s="1">
        <v>17852</v>
      </c>
      <c r="B616" s="2">
        <v>44975.708969907406</v>
      </c>
      <c r="C616" s="1" t="s">
        <v>10</v>
      </c>
      <c r="D616" s="1">
        <v>25</v>
      </c>
      <c r="F616" s="3"/>
    </row>
    <row r="617" spans="1:6" ht="15.75" customHeight="1">
      <c r="A617" s="1">
        <v>17851</v>
      </c>
      <c r="B617" s="2">
        <v>44975.696111111116</v>
      </c>
      <c r="C617" s="1" t="s">
        <v>10</v>
      </c>
      <c r="D617" s="1">
        <v>47</v>
      </c>
      <c r="F617" s="3"/>
    </row>
    <row r="618" spans="1:6" ht="15.75" customHeight="1">
      <c r="A618" s="1">
        <v>17850</v>
      </c>
      <c r="B618" s="2">
        <v>44975.683969907404</v>
      </c>
      <c r="C618" s="1" t="s">
        <v>10</v>
      </c>
      <c r="D618" s="1">
        <v>15</v>
      </c>
      <c r="F618" s="3"/>
    </row>
    <row r="619" spans="1:6" ht="15.75" customHeight="1">
      <c r="A619" s="1">
        <v>17849</v>
      </c>
      <c r="B619" s="2">
        <v>44975.679282407407</v>
      </c>
      <c r="C619" s="1" t="s">
        <v>10</v>
      </c>
      <c r="D619" s="1">
        <v>39</v>
      </c>
      <c r="F619" s="3"/>
    </row>
    <row r="620" spans="1:6" ht="15.75" customHeight="1">
      <c r="A620" s="1">
        <v>17848</v>
      </c>
      <c r="B620" s="2">
        <v>44975.672037037039</v>
      </c>
      <c r="C620" s="1" t="s">
        <v>10</v>
      </c>
      <c r="D620" s="1">
        <v>55</v>
      </c>
      <c r="F620" s="3"/>
    </row>
    <row r="621" spans="1:6" ht="15.75" customHeight="1">
      <c r="A621" s="1">
        <v>17847</v>
      </c>
      <c r="B621" s="2">
        <v>44975.670451388884</v>
      </c>
      <c r="C621" s="1" t="s">
        <v>10</v>
      </c>
      <c r="D621" s="1">
        <v>116</v>
      </c>
      <c r="F621" s="3"/>
    </row>
    <row r="622" spans="1:6" ht="15.75" customHeight="1">
      <c r="A622" s="1">
        <v>17846</v>
      </c>
      <c r="B622" s="2">
        <v>44975.662893518514</v>
      </c>
      <c r="C622" s="1" t="s">
        <v>10</v>
      </c>
      <c r="D622" s="1">
        <v>25</v>
      </c>
      <c r="F622" s="3"/>
    </row>
    <row r="623" spans="1:6" ht="15.75" customHeight="1">
      <c r="A623" s="1">
        <v>17845</v>
      </c>
      <c r="B623" s="2">
        <v>44975.661944444444</v>
      </c>
      <c r="C623" s="1" t="s">
        <v>10</v>
      </c>
      <c r="D623" s="1">
        <v>28</v>
      </c>
      <c r="F623" s="3"/>
    </row>
    <row r="624" spans="1:6" ht="15.75" customHeight="1">
      <c r="A624" s="1">
        <v>17844</v>
      </c>
      <c r="B624" s="2">
        <v>44975.65829861111</v>
      </c>
      <c r="C624" s="1" t="s">
        <v>10</v>
      </c>
      <c r="D624" s="1">
        <v>45</v>
      </c>
      <c r="F624" s="3"/>
    </row>
    <row r="625" spans="1:6" ht="15.75" customHeight="1">
      <c r="A625" s="1">
        <v>17843</v>
      </c>
      <c r="B625" s="2">
        <v>44975.652673611112</v>
      </c>
      <c r="C625" s="1" t="s">
        <v>10</v>
      </c>
      <c r="D625" s="1">
        <v>28</v>
      </c>
      <c r="F625" s="3"/>
    </row>
    <row r="626" spans="1:6" ht="15.75" customHeight="1">
      <c r="A626" s="1">
        <v>17842</v>
      </c>
      <c r="B626" s="2">
        <v>44975.651655092588</v>
      </c>
      <c r="C626" s="1" t="s">
        <v>10</v>
      </c>
      <c r="D626" s="1">
        <v>25</v>
      </c>
      <c r="F626" s="3"/>
    </row>
    <row r="627" spans="1:6" ht="15.75" customHeight="1">
      <c r="A627" s="1">
        <v>17841</v>
      </c>
      <c r="B627" s="2">
        <v>44975.650393518517</v>
      </c>
      <c r="C627" s="1" t="s">
        <v>10</v>
      </c>
      <c r="D627" s="1">
        <v>28</v>
      </c>
      <c r="F627" s="3"/>
    </row>
    <row r="628" spans="1:6" ht="15.75" customHeight="1">
      <c r="A628" s="1">
        <v>17840</v>
      </c>
      <c r="B628" s="2">
        <v>44975.647256944445</v>
      </c>
      <c r="C628" s="1" t="s">
        <v>10</v>
      </c>
      <c r="D628" s="1">
        <v>28</v>
      </c>
      <c r="F628" s="3"/>
    </row>
    <row r="629" spans="1:6" ht="15.75" customHeight="1">
      <c r="A629" s="1">
        <v>17839</v>
      </c>
      <c r="B629" s="2">
        <v>44975.646134259259</v>
      </c>
      <c r="C629" s="1" t="s">
        <v>10</v>
      </c>
      <c r="D629" s="1">
        <v>60</v>
      </c>
      <c r="F629" s="3"/>
    </row>
    <row r="630" spans="1:6" ht="15.75" customHeight="1">
      <c r="A630" s="1">
        <v>17838</v>
      </c>
      <c r="B630" s="2">
        <v>44975.628229166672</v>
      </c>
      <c r="C630" s="1" t="s">
        <v>10</v>
      </c>
      <c r="D630" s="1">
        <v>28</v>
      </c>
      <c r="F630" s="3"/>
    </row>
    <row r="631" spans="1:6" ht="15.75" customHeight="1">
      <c r="A631" s="1">
        <v>17837</v>
      </c>
      <c r="B631" s="2">
        <v>44975.62799768518</v>
      </c>
      <c r="C631" s="1" t="s">
        <v>10</v>
      </c>
      <c r="D631" s="1">
        <v>55</v>
      </c>
      <c r="F631" s="3"/>
    </row>
    <row r="632" spans="1:6" ht="15.75" customHeight="1">
      <c r="A632" s="1">
        <v>17836</v>
      </c>
      <c r="B632" s="2">
        <v>44975.61518518519</v>
      </c>
      <c r="C632" s="1" t="s">
        <v>10</v>
      </c>
      <c r="D632" s="1">
        <v>36</v>
      </c>
      <c r="F632" s="3"/>
    </row>
    <row r="633" spans="1:6" ht="15.75" customHeight="1">
      <c r="A633" s="1">
        <v>17835</v>
      </c>
      <c r="B633" s="2">
        <v>44975.611030092594</v>
      </c>
      <c r="C633" s="1" t="s">
        <v>10</v>
      </c>
      <c r="D633" s="1">
        <v>20</v>
      </c>
      <c r="F633" s="3"/>
    </row>
    <row r="634" spans="1:6" ht="15.75" customHeight="1">
      <c r="A634" s="1">
        <v>17834</v>
      </c>
      <c r="B634" s="2">
        <v>44975.609537037039</v>
      </c>
      <c r="C634" s="1" t="s">
        <v>10</v>
      </c>
      <c r="D634" s="1">
        <v>25</v>
      </c>
      <c r="F634" s="3"/>
    </row>
    <row r="635" spans="1:6" ht="15.75" customHeight="1">
      <c r="A635" s="1">
        <v>17833</v>
      </c>
      <c r="B635" s="2">
        <v>44975.607094907406</v>
      </c>
      <c r="C635" s="1" t="s">
        <v>10</v>
      </c>
      <c r="D635" s="1">
        <v>124</v>
      </c>
      <c r="F635" s="3"/>
    </row>
    <row r="636" spans="1:6" ht="15.75" customHeight="1">
      <c r="A636" s="1">
        <v>17832</v>
      </c>
      <c r="B636" s="2">
        <v>44975.597395833334</v>
      </c>
      <c r="C636" s="1" t="s">
        <v>10</v>
      </c>
      <c r="D636" s="1">
        <v>74</v>
      </c>
      <c r="F636" s="3"/>
    </row>
    <row r="637" spans="1:6" ht="15.75" customHeight="1">
      <c r="A637" s="1">
        <v>17831</v>
      </c>
      <c r="B637" s="2">
        <v>44975.595219907409</v>
      </c>
      <c r="C637" s="1" t="s">
        <v>10</v>
      </c>
      <c r="D637" s="1">
        <v>25</v>
      </c>
      <c r="F637" s="3"/>
    </row>
    <row r="638" spans="1:6" ht="15.75" customHeight="1">
      <c r="A638" s="1">
        <v>17830</v>
      </c>
      <c r="B638" s="2">
        <v>44975.595023148147</v>
      </c>
      <c r="C638" s="1" t="s">
        <v>10</v>
      </c>
      <c r="D638" s="1">
        <v>22</v>
      </c>
      <c r="F638" s="3"/>
    </row>
    <row r="639" spans="1:6" ht="15.75" customHeight="1">
      <c r="A639" s="1">
        <v>17829</v>
      </c>
      <c r="B639" s="2">
        <v>44975.592939814815</v>
      </c>
      <c r="C639" s="1" t="s">
        <v>10</v>
      </c>
      <c r="D639" s="1">
        <v>25</v>
      </c>
      <c r="F639" s="3"/>
    </row>
    <row r="640" spans="1:6" ht="15.75" customHeight="1">
      <c r="A640" s="1">
        <v>17828</v>
      </c>
      <c r="B640" s="2">
        <v>44975.589409722219</v>
      </c>
      <c r="C640" s="1" t="s">
        <v>10</v>
      </c>
      <c r="D640" s="1">
        <v>55</v>
      </c>
      <c r="F640" s="3"/>
    </row>
    <row r="641" spans="1:6" ht="15.75" customHeight="1">
      <c r="A641" s="1">
        <v>17827</v>
      </c>
      <c r="B641" s="2">
        <v>44975.585787037038</v>
      </c>
      <c r="C641" s="1" t="s">
        <v>10</v>
      </c>
      <c r="D641" s="1">
        <v>30</v>
      </c>
      <c r="F641" s="3"/>
    </row>
    <row r="642" spans="1:6" ht="15.75" customHeight="1">
      <c r="A642" s="1">
        <v>17826</v>
      </c>
      <c r="B642" s="2">
        <v>44975.580231481479</v>
      </c>
      <c r="C642" s="1" t="s">
        <v>10</v>
      </c>
      <c r="D642" s="1">
        <v>55</v>
      </c>
      <c r="F642" s="3"/>
    </row>
    <row r="643" spans="1:6" ht="15.75" customHeight="1">
      <c r="A643" s="1">
        <v>17825</v>
      </c>
      <c r="B643" s="2">
        <v>44975.575891203705</v>
      </c>
      <c r="C643" s="1" t="s">
        <v>10</v>
      </c>
      <c r="D643" s="1">
        <v>28</v>
      </c>
      <c r="F643" s="3"/>
    </row>
    <row r="644" spans="1:6" ht="15.75" customHeight="1">
      <c r="A644" s="1">
        <v>17824</v>
      </c>
      <c r="B644" s="2">
        <v>44975.557812500003</v>
      </c>
      <c r="C644" s="1" t="s">
        <v>10</v>
      </c>
      <c r="D644" s="1">
        <v>25</v>
      </c>
      <c r="F644" s="3"/>
    </row>
    <row r="645" spans="1:6" ht="15.75" customHeight="1">
      <c r="A645" s="1">
        <v>17823</v>
      </c>
      <c r="B645" s="2">
        <v>44975.539097222223</v>
      </c>
      <c r="C645" s="1" t="s">
        <v>10</v>
      </c>
      <c r="D645" s="1">
        <v>25</v>
      </c>
      <c r="F645" s="3"/>
    </row>
    <row r="646" spans="1:6" ht="15.75" customHeight="1">
      <c r="A646" s="1">
        <v>17822</v>
      </c>
      <c r="B646" s="2">
        <v>44975.537974537037</v>
      </c>
      <c r="C646" s="1" t="s">
        <v>10</v>
      </c>
      <c r="D646" s="1">
        <v>25</v>
      </c>
      <c r="F646" s="3"/>
    </row>
    <row r="647" spans="1:6" ht="15.75" customHeight="1">
      <c r="A647" s="1">
        <v>17821</v>
      </c>
      <c r="B647" s="2">
        <v>44975.526030092587</v>
      </c>
      <c r="C647" s="1" t="s">
        <v>10</v>
      </c>
      <c r="D647" s="1">
        <v>25</v>
      </c>
      <c r="F647" s="3"/>
    </row>
    <row r="648" spans="1:6" ht="15.75" customHeight="1">
      <c r="A648" s="1">
        <v>17820</v>
      </c>
      <c r="B648" s="2">
        <v>44975.157731481479</v>
      </c>
      <c r="C648" s="1" t="s">
        <v>10</v>
      </c>
      <c r="D648" s="1">
        <v>24</v>
      </c>
      <c r="F648" s="3"/>
    </row>
    <row r="649" spans="1:6" ht="15.75" customHeight="1">
      <c r="A649" s="1">
        <v>17819</v>
      </c>
      <c r="B649" s="2">
        <v>44975.103749999995</v>
      </c>
      <c r="C649" s="1" t="s">
        <v>10</v>
      </c>
      <c r="D649" s="1">
        <v>20</v>
      </c>
      <c r="F649" s="3"/>
    </row>
    <row r="650" spans="1:6" ht="15.75" customHeight="1">
      <c r="A650" s="1">
        <v>17818</v>
      </c>
      <c r="B650" s="2">
        <v>44975.079918981486</v>
      </c>
      <c r="C650" s="1" t="s">
        <v>10</v>
      </c>
      <c r="D650" s="1">
        <v>15</v>
      </c>
      <c r="F650" s="3"/>
    </row>
    <row r="651" spans="1:6" ht="15.75" customHeight="1">
      <c r="A651" s="1">
        <v>17817</v>
      </c>
      <c r="B651" s="2">
        <v>44975.078958333332</v>
      </c>
      <c r="C651" s="1" t="s">
        <v>10</v>
      </c>
      <c r="D651" s="1">
        <v>24</v>
      </c>
      <c r="F651" s="3"/>
    </row>
    <row r="652" spans="1:6" ht="15.75" customHeight="1">
      <c r="A652" s="1">
        <v>17816</v>
      </c>
      <c r="B652" s="2">
        <v>44975.074895833328</v>
      </c>
      <c r="C652" s="1" t="s">
        <v>10</v>
      </c>
      <c r="D652" s="1">
        <v>24</v>
      </c>
      <c r="F652" s="3"/>
    </row>
    <row r="653" spans="1:6" ht="15.75" customHeight="1">
      <c r="A653" s="1">
        <v>17815</v>
      </c>
      <c r="B653" s="2">
        <v>44975.071273148147</v>
      </c>
      <c r="C653" s="1" t="s">
        <v>10</v>
      </c>
      <c r="D653" s="1">
        <v>20</v>
      </c>
      <c r="F653" s="3"/>
    </row>
    <row r="654" spans="1:6" ht="15.75" customHeight="1">
      <c r="A654" s="1">
        <v>17814</v>
      </c>
      <c r="B654" s="2">
        <v>44975.070219907408</v>
      </c>
      <c r="C654" s="1" t="s">
        <v>10</v>
      </c>
      <c r="D654" s="1">
        <v>45</v>
      </c>
      <c r="F654" s="3"/>
    </row>
    <row r="655" spans="1:6" ht="15.75" customHeight="1">
      <c r="A655" s="1">
        <v>17813</v>
      </c>
      <c r="B655" s="2">
        <v>44975.069803240738</v>
      </c>
      <c r="C655" s="1" t="s">
        <v>10</v>
      </c>
      <c r="D655" s="1">
        <v>38</v>
      </c>
      <c r="F655" s="3"/>
    </row>
    <row r="656" spans="1:6" ht="15.75" customHeight="1">
      <c r="A656" s="1">
        <v>17812</v>
      </c>
      <c r="B656" s="2">
        <v>44975.065428240741</v>
      </c>
      <c r="C656" s="1" t="s">
        <v>10</v>
      </c>
      <c r="D656" s="1">
        <v>45</v>
      </c>
      <c r="F656" s="3"/>
    </row>
    <row r="657" spans="1:6" ht="15.75" customHeight="1">
      <c r="A657" s="1">
        <v>17811</v>
      </c>
      <c r="B657" s="2">
        <v>44975.065011574072</v>
      </c>
      <c r="C657" s="1" t="s">
        <v>10</v>
      </c>
      <c r="D657" s="1">
        <v>40</v>
      </c>
      <c r="F657" s="3"/>
    </row>
    <row r="658" spans="1:6" ht="15.75" customHeight="1">
      <c r="A658" s="1">
        <v>17810</v>
      </c>
      <c r="B658" s="2">
        <v>44975.061053240745</v>
      </c>
      <c r="C658" s="1" t="s">
        <v>10</v>
      </c>
      <c r="D658" s="1">
        <v>22</v>
      </c>
      <c r="F658" s="3"/>
    </row>
    <row r="659" spans="1:6" ht="15.75" customHeight="1">
      <c r="A659" s="1">
        <v>17809</v>
      </c>
      <c r="B659" s="2">
        <v>44975.059525462959</v>
      </c>
      <c r="C659" s="1" t="s">
        <v>10</v>
      </c>
      <c r="D659" s="1">
        <v>22</v>
      </c>
      <c r="F659" s="3"/>
    </row>
    <row r="660" spans="1:6" ht="15.75" customHeight="1">
      <c r="A660" s="1">
        <v>17808</v>
      </c>
      <c r="B660" s="2">
        <v>44975.052557870367</v>
      </c>
      <c r="C660" s="1" t="s">
        <v>10</v>
      </c>
      <c r="D660" s="1">
        <v>15</v>
      </c>
      <c r="F660" s="3"/>
    </row>
    <row r="661" spans="1:6" ht="15.75" customHeight="1">
      <c r="A661" s="1">
        <v>17807</v>
      </c>
      <c r="B661" s="2">
        <v>44975.05097222222</v>
      </c>
      <c r="C661" s="1" t="s">
        <v>10</v>
      </c>
      <c r="D661" s="1">
        <v>25</v>
      </c>
      <c r="F661" s="3"/>
    </row>
    <row r="662" spans="1:6" ht="15.75" customHeight="1">
      <c r="A662" s="1">
        <v>17806</v>
      </c>
      <c r="B662" s="2">
        <v>44975.049675925926</v>
      </c>
      <c r="C662" s="1" t="s">
        <v>10</v>
      </c>
      <c r="D662" s="1">
        <v>15</v>
      </c>
      <c r="F662" s="3"/>
    </row>
    <row r="663" spans="1:6" ht="15.75" customHeight="1">
      <c r="A663" s="1">
        <v>17805</v>
      </c>
      <c r="B663" s="2">
        <v>44975.045474537037</v>
      </c>
      <c r="C663" s="1" t="s">
        <v>10</v>
      </c>
      <c r="D663" s="1">
        <v>35</v>
      </c>
      <c r="F663" s="3"/>
    </row>
    <row r="664" spans="1:6" ht="15.75" customHeight="1">
      <c r="A664" s="1">
        <v>17804</v>
      </c>
      <c r="B664" s="2">
        <v>44975.044837962967</v>
      </c>
      <c r="C664" s="1" t="s">
        <v>10</v>
      </c>
      <c r="D664" s="1">
        <v>24</v>
      </c>
      <c r="F664" s="3"/>
    </row>
    <row r="665" spans="1:6" ht="15.75" customHeight="1">
      <c r="A665" s="1">
        <v>17803</v>
      </c>
      <c r="B665" s="2">
        <v>44975.042453703703</v>
      </c>
      <c r="C665" s="1" t="s">
        <v>10</v>
      </c>
      <c r="D665" s="1">
        <v>35</v>
      </c>
      <c r="F665" s="3"/>
    </row>
    <row r="666" spans="1:6" ht="15.75" customHeight="1">
      <c r="A666" s="1">
        <v>17802</v>
      </c>
      <c r="B666" s="2">
        <v>44975.037986111114</v>
      </c>
      <c r="C666" s="1" t="s">
        <v>10</v>
      </c>
      <c r="D666" s="1">
        <v>55</v>
      </c>
      <c r="F666" s="3"/>
    </row>
    <row r="667" spans="1:6" ht="15.75" customHeight="1">
      <c r="A667" s="1">
        <v>17801</v>
      </c>
      <c r="B667" s="2">
        <v>44975.03434027778</v>
      </c>
      <c r="C667" s="1" t="s">
        <v>10</v>
      </c>
      <c r="D667" s="1">
        <v>35</v>
      </c>
      <c r="F667" s="3"/>
    </row>
    <row r="668" spans="1:6" ht="15.75" customHeight="1">
      <c r="A668" s="1">
        <v>17800</v>
      </c>
      <c r="B668" s="2">
        <v>44975.028148148151</v>
      </c>
      <c r="C668" s="1" t="s">
        <v>10</v>
      </c>
      <c r="D668" s="1">
        <v>124</v>
      </c>
      <c r="F668" s="3"/>
    </row>
    <row r="669" spans="1:6" ht="15.75" customHeight="1">
      <c r="A669" s="1">
        <v>17799</v>
      </c>
      <c r="B669" s="2">
        <v>44975.010636574079</v>
      </c>
      <c r="C669" s="1" t="s">
        <v>10</v>
      </c>
      <c r="D669" s="1">
        <v>25</v>
      </c>
      <c r="F669" s="3"/>
    </row>
    <row r="670" spans="1:6" ht="15.75" customHeight="1">
      <c r="A670" s="1">
        <v>17798</v>
      </c>
      <c r="B670" s="2">
        <v>44975.00990740741</v>
      </c>
      <c r="C670" s="1" t="s">
        <v>10</v>
      </c>
      <c r="D670" s="1">
        <v>24</v>
      </c>
      <c r="F670" s="3"/>
    </row>
    <row r="671" spans="1:6" ht="15.75" customHeight="1">
      <c r="A671" s="1">
        <v>17797</v>
      </c>
      <c r="B671" s="2">
        <v>44975.009340277778</v>
      </c>
      <c r="C671" s="1" t="s">
        <v>10</v>
      </c>
      <c r="D671" s="1">
        <v>25</v>
      </c>
      <c r="F671" s="3"/>
    </row>
    <row r="672" spans="1:6" ht="15.75" customHeight="1">
      <c r="A672" s="1">
        <v>17796</v>
      </c>
      <c r="B672" s="2">
        <v>44975.005740740744</v>
      </c>
      <c r="C672" s="1" t="s">
        <v>10</v>
      </c>
      <c r="D672" s="1">
        <v>100</v>
      </c>
      <c r="F672" s="3"/>
    </row>
    <row r="673" spans="1:6" ht="15.75" customHeight="1">
      <c r="A673" s="1">
        <v>17795</v>
      </c>
      <c r="B673" s="2">
        <v>44974.989710648151</v>
      </c>
      <c r="C673" s="1" t="s">
        <v>10</v>
      </c>
      <c r="D673" s="1">
        <v>110</v>
      </c>
      <c r="F673" s="3"/>
    </row>
    <row r="674" spans="1:6" ht="15.75" customHeight="1">
      <c r="A674" s="1">
        <v>17794</v>
      </c>
      <c r="B674" s="2">
        <v>44974.98836805555</v>
      </c>
      <c r="C674" s="1" t="s">
        <v>10</v>
      </c>
      <c r="D674" s="1">
        <v>43</v>
      </c>
      <c r="F674" s="3"/>
    </row>
    <row r="675" spans="1:6" ht="15.75" customHeight="1">
      <c r="A675" s="1">
        <v>17793</v>
      </c>
      <c r="B675" s="2">
        <v>44974.981076388889</v>
      </c>
      <c r="C675" s="1" t="s">
        <v>10</v>
      </c>
      <c r="D675" s="1">
        <v>25</v>
      </c>
      <c r="F675" s="3"/>
    </row>
    <row r="676" spans="1:6" ht="15.75" customHeight="1">
      <c r="A676" s="1">
        <v>17792</v>
      </c>
      <c r="B676" s="2">
        <v>44974.977800925924</v>
      </c>
      <c r="C676" s="1" t="s">
        <v>10</v>
      </c>
      <c r="D676" s="1">
        <v>25</v>
      </c>
      <c r="F676" s="3"/>
    </row>
    <row r="677" spans="1:6" ht="15.75" customHeight="1">
      <c r="A677" s="1">
        <v>17791</v>
      </c>
      <c r="B677" s="2">
        <v>44974.973078703704</v>
      </c>
      <c r="C677" s="1" t="s">
        <v>10</v>
      </c>
      <c r="D677" s="1">
        <v>25</v>
      </c>
      <c r="F677" s="3"/>
    </row>
    <row r="678" spans="1:6" ht="15.75" customHeight="1">
      <c r="A678" s="1">
        <v>17790</v>
      </c>
      <c r="B678" s="2">
        <v>44974.97075231481</v>
      </c>
      <c r="C678" s="1" t="s">
        <v>10</v>
      </c>
      <c r="D678" s="1">
        <v>25</v>
      </c>
      <c r="F678" s="3"/>
    </row>
    <row r="679" spans="1:6" ht="15.75" customHeight="1">
      <c r="A679" s="1">
        <v>17789</v>
      </c>
      <c r="B679" s="2">
        <v>44974.970486111109</v>
      </c>
      <c r="C679" s="1" t="s">
        <v>10</v>
      </c>
      <c r="D679" s="1">
        <v>15</v>
      </c>
      <c r="F679" s="3"/>
    </row>
    <row r="680" spans="1:6" ht="15.75" customHeight="1">
      <c r="A680" s="1">
        <v>17788</v>
      </c>
      <c r="B680" s="2">
        <v>44974.97042824074</v>
      </c>
      <c r="C680" s="1" t="s">
        <v>10</v>
      </c>
      <c r="D680" s="1">
        <v>24</v>
      </c>
      <c r="F680" s="3"/>
    </row>
    <row r="681" spans="1:6" ht="15.75" customHeight="1">
      <c r="A681" s="1">
        <v>17787</v>
      </c>
      <c r="B681" s="2">
        <v>44974.968541666662</v>
      </c>
      <c r="C681" s="1" t="s">
        <v>10</v>
      </c>
      <c r="D681" s="1">
        <v>24</v>
      </c>
      <c r="F681" s="3"/>
    </row>
    <row r="682" spans="1:6" ht="15.75" customHeight="1">
      <c r="A682" s="1">
        <v>17786</v>
      </c>
      <c r="B682" s="2">
        <v>44974.967418981483</v>
      </c>
      <c r="C682" s="1" t="s">
        <v>10</v>
      </c>
      <c r="D682" s="1">
        <v>24</v>
      </c>
      <c r="F682" s="3"/>
    </row>
    <row r="683" spans="1:6" ht="15.75" customHeight="1">
      <c r="A683" s="1">
        <v>17785</v>
      </c>
      <c r="B683" s="2">
        <v>44974.9612962963</v>
      </c>
      <c r="C683" s="1" t="s">
        <v>10</v>
      </c>
      <c r="D683" s="1">
        <v>24</v>
      </c>
      <c r="F683" s="3"/>
    </row>
    <row r="684" spans="1:6" ht="15.75" customHeight="1">
      <c r="A684" s="1">
        <v>17784</v>
      </c>
      <c r="B684" s="2">
        <v>44974.923321759255</v>
      </c>
      <c r="C684" s="1" t="s">
        <v>10</v>
      </c>
      <c r="D684" s="1">
        <v>39</v>
      </c>
      <c r="F684" s="3"/>
    </row>
    <row r="685" spans="1:6" ht="15.75" customHeight="1">
      <c r="A685" s="1">
        <v>17783</v>
      </c>
      <c r="B685" s="2">
        <v>44974.871388888889</v>
      </c>
      <c r="C685" s="1" t="s">
        <v>10</v>
      </c>
      <c r="D685" s="1">
        <v>55</v>
      </c>
      <c r="F685" s="3"/>
    </row>
    <row r="686" spans="1:6" ht="15.75" customHeight="1">
      <c r="A686" s="1">
        <v>17782</v>
      </c>
      <c r="B686" s="2">
        <v>44974.866678240738</v>
      </c>
      <c r="C686" s="1" t="s">
        <v>10</v>
      </c>
      <c r="D686" s="1">
        <v>25</v>
      </c>
      <c r="F686" s="3"/>
    </row>
    <row r="687" spans="1:6" ht="15.75" customHeight="1">
      <c r="A687" s="1">
        <v>17781</v>
      </c>
      <c r="B687" s="2">
        <v>44974.863541666666</v>
      </c>
      <c r="C687" s="1" t="s">
        <v>10</v>
      </c>
      <c r="D687" s="1">
        <v>25</v>
      </c>
      <c r="F687" s="3"/>
    </row>
    <row r="688" spans="1:6" ht="15.75" customHeight="1">
      <c r="A688" s="1">
        <v>17780</v>
      </c>
      <c r="B688" s="2">
        <v>44974.861840277779</v>
      </c>
      <c r="C688" s="1" t="s">
        <v>10</v>
      </c>
      <c r="D688" s="1">
        <v>55</v>
      </c>
      <c r="F688" s="3"/>
    </row>
    <row r="689" spans="1:6" ht="15.75" customHeight="1">
      <c r="A689" s="1">
        <v>17779</v>
      </c>
      <c r="B689" s="2">
        <v>44974.856261574074</v>
      </c>
      <c r="C689" s="1" t="s">
        <v>18</v>
      </c>
      <c r="D689" s="1">
        <v>55</v>
      </c>
      <c r="F689" s="3"/>
    </row>
    <row r="690" spans="1:6" ht="15.75" customHeight="1">
      <c r="A690" s="1">
        <v>17778</v>
      </c>
      <c r="B690" s="2">
        <v>44974.793854166666</v>
      </c>
      <c r="C690" s="1" t="s">
        <v>10</v>
      </c>
      <c r="D690" s="1">
        <v>35</v>
      </c>
      <c r="F690" s="3"/>
    </row>
    <row r="691" spans="1:6" ht="15.75" customHeight="1">
      <c r="A691" s="1">
        <v>17777</v>
      </c>
      <c r="B691" s="2">
        <v>44974.782118055555</v>
      </c>
      <c r="C691" s="1" t="s">
        <v>10</v>
      </c>
      <c r="D691" s="1">
        <v>80</v>
      </c>
      <c r="F691" s="3"/>
    </row>
    <row r="692" spans="1:6" ht="15.75" customHeight="1">
      <c r="A692" s="1">
        <v>17776</v>
      </c>
      <c r="B692" s="2">
        <v>44974.780266203699</v>
      </c>
      <c r="C692" s="1" t="s">
        <v>10</v>
      </c>
      <c r="D692" s="1">
        <v>67</v>
      </c>
      <c r="F692" s="3"/>
    </row>
    <row r="693" spans="1:6" ht="15.75" customHeight="1">
      <c r="A693" s="1">
        <v>17775</v>
      </c>
      <c r="B693" s="2">
        <v>44974.52039351852</v>
      </c>
      <c r="C693" s="1" t="s">
        <v>10</v>
      </c>
      <c r="D693" s="1">
        <v>15</v>
      </c>
      <c r="F693" s="3"/>
    </row>
    <row r="694" spans="1:6" ht="15.75" customHeight="1">
      <c r="A694" s="1">
        <v>17774</v>
      </c>
      <c r="B694" s="2">
        <v>44974.467835648145</v>
      </c>
      <c r="C694" s="1" t="s">
        <v>10</v>
      </c>
      <c r="D694" s="1">
        <v>60</v>
      </c>
      <c r="F694" s="3"/>
    </row>
    <row r="695" spans="1:6" ht="15.75" customHeight="1">
      <c r="A695" s="1">
        <v>17773</v>
      </c>
      <c r="B695" s="2">
        <v>44974.433935185181</v>
      </c>
      <c r="C695" s="1" t="s">
        <v>10</v>
      </c>
      <c r="D695" s="1">
        <v>25</v>
      </c>
      <c r="F695" s="3"/>
    </row>
    <row r="696" spans="1:6" ht="15.75" customHeight="1">
      <c r="A696" s="1">
        <v>17772</v>
      </c>
      <c r="B696" s="2">
        <v>44974.261678240742</v>
      </c>
      <c r="C696" s="1" t="s">
        <v>10</v>
      </c>
      <c r="D696" s="1">
        <v>25</v>
      </c>
      <c r="F696" s="3"/>
    </row>
    <row r="697" spans="1:6" ht="15.75" customHeight="1">
      <c r="A697" s="1">
        <v>17771</v>
      </c>
      <c r="B697" s="2">
        <v>44974.257719907408</v>
      </c>
      <c r="C697" s="1" t="s">
        <v>10</v>
      </c>
      <c r="D697" s="1">
        <v>25</v>
      </c>
      <c r="F697" s="3"/>
    </row>
    <row r="698" spans="1:6" ht="15.75" customHeight="1">
      <c r="A698" s="1">
        <v>17770</v>
      </c>
      <c r="B698" s="2">
        <v>44974.071921296301</v>
      </c>
      <c r="C698" s="1" t="s">
        <v>10</v>
      </c>
      <c r="D698" s="1">
        <v>55</v>
      </c>
      <c r="F698" s="3"/>
    </row>
    <row r="699" spans="1:6" ht="15.75" customHeight="1">
      <c r="A699" s="1">
        <v>17769</v>
      </c>
      <c r="B699" s="2">
        <v>44974.067881944444</v>
      </c>
      <c r="C699" s="1" t="s">
        <v>10</v>
      </c>
      <c r="D699" s="1">
        <v>22</v>
      </c>
      <c r="F699" s="3"/>
    </row>
    <row r="700" spans="1:6" ht="15.75" customHeight="1">
      <c r="A700" s="1">
        <v>17768</v>
      </c>
      <c r="B700" s="2">
        <v>44974.065995370373</v>
      </c>
      <c r="C700" s="1" t="s">
        <v>10</v>
      </c>
      <c r="D700" s="1">
        <v>15</v>
      </c>
      <c r="F700" s="3"/>
    </row>
    <row r="701" spans="1:6" ht="15.75" customHeight="1">
      <c r="A701" s="1">
        <v>17767</v>
      </c>
      <c r="B701" s="2">
        <v>44974.065532407403</v>
      </c>
      <c r="C701" s="1" t="s">
        <v>10</v>
      </c>
      <c r="D701" s="1">
        <v>22</v>
      </c>
      <c r="F701" s="3"/>
    </row>
    <row r="702" spans="1:6" ht="15.75" customHeight="1">
      <c r="A702" s="1">
        <v>17766</v>
      </c>
      <c r="B702" s="2">
        <v>44974.057303240741</v>
      </c>
      <c r="C702" s="1" t="s">
        <v>10</v>
      </c>
      <c r="D702" s="1">
        <v>28</v>
      </c>
      <c r="F702" s="3"/>
    </row>
    <row r="703" spans="1:6" ht="15.75" customHeight="1">
      <c r="A703" s="1">
        <v>17765</v>
      </c>
      <c r="B703" s="2">
        <v>44974.056516203702</v>
      </c>
      <c r="C703" s="1" t="s">
        <v>10</v>
      </c>
      <c r="D703" s="1">
        <v>15</v>
      </c>
      <c r="F703" s="3"/>
    </row>
    <row r="704" spans="1:6" ht="15.75" customHeight="1">
      <c r="A704" s="1">
        <v>17764</v>
      </c>
      <c r="B704" s="2">
        <v>44974.053645833337</v>
      </c>
      <c r="C704" s="1" t="s">
        <v>10</v>
      </c>
      <c r="D704" s="1">
        <v>40</v>
      </c>
      <c r="F704" s="3"/>
    </row>
    <row r="705" spans="1:6" ht="15.75" customHeight="1">
      <c r="A705" s="1">
        <v>17763</v>
      </c>
      <c r="B705" s="2">
        <v>44974.043657407412</v>
      </c>
      <c r="C705" s="1" t="s">
        <v>10</v>
      </c>
      <c r="D705" s="1">
        <v>42</v>
      </c>
      <c r="F705" s="3"/>
    </row>
    <row r="706" spans="1:6" ht="15.75" customHeight="1">
      <c r="A706" s="1">
        <v>17762</v>
      </c>
      <c r="B706" s="2">
        <v>44974.042858796296</v>
      </c>
      <c r="C706" s="1" t="s">
        <v>10</v>
      </c>
      <c r="D706" s="1">
        <v>0</v>
      </c>
      <c r="F706" s="3"/>
    </row>
    <row r="707" spans="1:6" ht="15.75" customHeight="1">
      <c r="A707" s="1">
        <v>17761</v>
      </c>
      <c r="B707" s="2">
        <v>44974.041168981479</v>
      </c>
      <c r="C707" s="1" t="s">
        <v>10</v>
      </c>
      <c r="D707" s="1">
        <v>28</v>
      </c>
      <c r="F707" s="3"/>
    </row>
    <row r="708" spans="1:6" ht="15.75" customHeight="1">
      <c r="A708" s="1">
        <v>17760</v>
      </c>
      <c r="B708" s="2">
        <v>44974.016238425931</v>
      </c>
      <c r="C708" s="1" t="s">
        <v>10</v>
      </c>
      <c r="D708" s="1">
        <v>55</v>
      </c>
      <c r="F708" s="3"/>
    </row>
    <row r="709" spans="1:6" ht="15.75" customHeight="1">
      <c r="A709" s="1">
        <v>17759</v>
      </c>
      <c r="B709" s="2">
        <v>44974.013784722221</v>
      </c>
      <c r="C709" s="1" t="s">
        <v>10</v>
      </c>
      <c r="D709" s="1">
        <v>25</v>
      </c>
      <c r="F709" s="3"/>
    </row>
    <row r="710" spans="1:6" ht="15.75" customHeight="1">
      <c r="A710" s="1">
        <v>17758</v>
      </c>
      <c r="B710" s="2">
        <v>44974.008530092593</v>
      </c>
      <c r="C710" s="1" t="s">
        <v>10</v>
      </c>
      <c r="D710" s="1">
        <v>25</v>
      </c>
      <c r="F710" s="3"/>
    </row>
    <row r="711" spans="1:6" ht="15.75" customHeight="1">
      <c r="A711" s="1">
        <v>17757</v>
      </c>
      <c r="B711" s="2">
        <v>44974.005127314813</v>
      </c>
      <c r="C711" s="1" t="s">
        <v>10</v>
      </c>
      <c r="D711" s="1">
        <v>55</v>
      </c>
      <c r="F711" s="3"/>
    </row>
    <row r="712" spans="1:6" ht="15.75" customHeight="1">
      <c r="A712" s="1">
        <v>17756</v>
      </c>
      <c r="B712" s="2">
        <v>44974.002199074079</v>
      </c>
      <c r="C712" s="1" t="s">
        <v>10</v>
      </c>
      <c r="D712" s="1">
        <v>28</v>
      </c>
      <c r="F712" s="3"/>
    </row>
    <row r="713" spans="1:6" ht="15.75" customHeight="1">
      <c r="A713" s="1">
        <v>17755</v>
      </c>
      <c r="B713" s="2">
        <v>44973.982638888891</v>
      </c>
      <c r="C713" s="1" t="s">
        <v>10</v>
      </c>
      <c r="D713" s="1">
        <v>83</v>
      </c>
      <c r="F713" s="3"/>
    </row>
    <row r="714" spans="1:6" ht="15.75" customHeight="1">
      <c r="A714" s="1">
        <v>17754</v>
      </c>
      <c r="B714" s="2">
        <v>44973.982245370367</v>
      </c>
      <c r="C714" s="1" t="s">
        <v>10</v>
      </c>
      <c r="D714" s="1">
        <v>55</v>
      </c>
      <c r="F714" s="3"/>
    </row>
    <row r="715" spans="1:6" ht="15.75" customHeight="1">
      <c r="A715" s="1">
        <v>17753</v>
      </c>
      <c r="B715" s="2">
        <v>44973.965787037036</v>
      </c>
      <c r="C715" s="1" t="s">
        <v>10</v>
      </c>
      <c r="D715" s="1">
        <v>39</v>
      </c>
      <c r="F715" s="3"/>
    </row>
    <row r="716" spans="1:6" ht="15.75" customHeight="1">
      <c r="A716" s="1">
        <v>17752</v>
      </c>
      <c r="B716" s="2">
        <v>44973.960324074069</v>
      </c>
      <c r="C716" s="1" t="s">
        <v>10</v>
      </c>
      <c r="D716" s="1">
        <v>35</v>
      </c>
      <c r="F716" s="3"/>
    </row>
    <row r="717" spans="1:6" ht="15.75" customHeight="1">
      <c r="A717" s="1">
        <v>17751</v>
      </c>
      <c r="B717" s="2">
        <v>44973.93450231482</v>
      </c>
      <c r="C717" s="1" t="s">
        <v>10</v>
      </c>
      <c r="D717" s="1">
        <v>43</v>
      </c>
      <c r="F717" s="3"/>
    </row>
    <row r="718" spans="1:6" ht="15.75" customHeight="1">
      <c r="A718" s="1">
        <v>17750</v>
      </c>
      <c r="B718" s="2">
        <v>44973.929490740746</v>
      </c>
      <c r="C718" s="1" t="s">
        <v>10</v>
      </c>
      <c r="D718" s="1">
        <v>55</v>
      </c>
      <c r="F718" s="3"/>
    </row>
    <row r="719" spans="1:6" ht="15.75" customHeight="1">
      <c r="A719" s="1">
        <v>17749</v>
      </c>
      <c r="B719" s="2">
        <v>44973.913576388892</v>
      </c>
      <c r="C719" s="1" t="s">
        <v>10</v>
      </c>
      <c r="D719" s="1">
        <v>25</v>
      </c>
      <c r="F719" s="3"/>
    </row>
    <row r="720" spans="1:6" ht="15.75" customHeight="1">
      <c r="A720" s="1">
        <v>17748</v>
      </c>
      <c r="B720" s="2">
        <v>44973.898726851854</v>
      </c>
      <c r="C720" s="1" t="s">
        <v>10</v>
      </c>
      <c r="D720" s="1">
        <v>25</v>
      </c>
      <c r="F720" s="3"/>
    </row>
    <row r="721" spans="1:6" ht="15.75" customHeight="1">
      <c r="A721" s="1">
        <v>17747</v>
      </c>
      <c r="B721" s="2">
        <v>44973.803067129629</v>
      </c>
      <c r="C721" s="1" t="s">
        <v>10</v>
      </c>
      <c r="D721" s="1">
        <v>18</v>
      </c>
      <c r="F721" s="3"/>
    </row>
    <row r="722" spans="1:6" ht="15.75" customHeight="1">
      <c r="A722" s="1">
        <v>17746</v>
      </c>
      <c r="B722" s="2">
        <v>44973.79987268518</v>
      </c>
      <c r="C722" s="1" t="s">
        <v>10</v>
      </c>
      <c r="D722" s="1">
        <v>22</v>
      </c>
      <c r="F722" s="3"/>
    </row>
    <row r="723" spans="1:6" ht="15.75" customHeight="1">
      <c r="A723" s="1">
        <v>17745</v>
      </c>
      <c r="B723" s="2">
        <v>44973.796307870369</v>
      </c>
      <c r="C723" s="1" t="s">
        <v>10</v>
      </c>
      <c r="D723" s="1">
        <v>42</v>
      </c>
      <c r="F723" s="3"/>
    </row>
    <row r="724" spans="1:6" ht="15.75" customHeight="1">
      <c r="A724" s="1">
        <v>17744</v>
      </c>
      <c r="B724" s="2">
        <v>44973.769942129627</v>
      </c>
      <c r="C724" s="1" t="s">
        <v>10</v>
      </c>
      <c r="D724" s="1">
        <v>25</v>
      </c>
      <c r="F724" s="3"/>
    </row>
    <row r="725" spans="1:6" ht="15.75" customHeight="1">
      <c r="A725" s="1">
        <v>17743</v>
      </c>
      <c r="B725" s="2">
        <v>44973.750046296293</v>
      </c>
      <c r="C725" s="1" t="s">
        <v>10</v>
      </c>
      <c r="D725" s="1">
        <v>45</v>
      </c>
      <c r="F725" s="3"/>
    </row>
    <row r="726" spans="1:6" ht="15.75" customHeight="1">
      <c r="A726" s="1">
        <v>17742</v>
      </c>
      <c r="B726" s="2">
        <v>44973.740370370375</v>
      </c>
      <c r="C726" s="1" t="s">
        <v>10</v>
      </c>
      <c r="D726" s="1">
        <v>25</v>
      </c>
      <c r="F726" s="3"/>
    </row>
    <row r="727" spans="1:6" ht="15.75" customHeight="1">
      <c r="A727" s="1">
        <v>17741</v>
      </c>
      <c r="B727" s="2">
        <v>44973.686331018514</v>
      </c>
      <c r="C727" s="1" t="s">
        <v>10</v>
      </c>
      <c r="D727" s="1">
        <v>24</v>
      </c>
      <c r="F727" s="3"/>
    </row>
    <row r="728" spans="1:6" ht="15.75" customHeight="1">
      <c r="A728" s="1">
        <v>17740</v>
      </c>
      <c r="B728" s="2">
        <v>44973.674201388887</v>
      </c>
      <c r="C728" s="1" t="s">
        <v>10</v>
      </c>
      <c r="D728" s="1">
        <v>0</v>
      </c>
      <c r="F728" s="3"/>
    </row>
    <row r="729" spans="1:6" ht="15.75" customHeight="1">
      <c r="A729" s="1">
        <v>17739</v>
      </c>
      <c r="B729" s="2">
        <v>44973.629155092596</v>
      </c>
      <c r="C729" s="1" t="s">
        <v>10</v>
      </c>
      <c r="D729" s="1">
        <v>25</v>
      </c>
      <c r="F729" s="3"/>
    </row>
    <row r="730" spans="1:6" ht="15.75" customHeight="1">
      <c r="A730" s="1">
        <v>17738</v>
      </c>
      <c r="B730" s="2">
        <v>44973.628113425926</v>
      </c>
      <c r="C730" s="1" t="s">
        <v>10</v>
      </c>
      <c r="D730" s="1">
        <v>25</v>
      </c>
      <c r="F730" s="3"/>
    </row>
    <row r="731" spans="1:6" ht="15.75" customHeight="1">
      <c r="A731" s="1">
        <v>17737</v>
      </c>
      <c r="B731" s="2">
        <v>44973.621423611112</v>
      </c>
      <c r="C731" s="1" t="s">
        <v>10</v>
      </c>
      <c r="D731" s="1">
        <v>18</v>
      </c>
      <c r="F731" s="3"/>
    </row>
    <row r="732" spans="1:6" ht="15.75" customHeight="1">
      <c r="A732" s="1">
        <v>17736</v>
      </c>
      <c r="B732" s="2">
        <v>44973.530347222222</v>
      </c>
      <c r="C732" s="1" t="s">
        <v>10</v>
      </c>
      <c r="D732" s="1">
        <v>18</v>
      </c>
      <c r="F732" s="3"/>
    </row>
    <row r="733" spans="1:6" ht="15.75" customHeight="1">
      <c r="A733" s="1">
        <v>17735</v>
      </c>
      <c r="B733" s="2">
        <v>44973.528981481482</v>
      </c>
      <c r="C733" s="1" t="s">
        <v>10</v>
      </c>
      <c r="D733" s="1">
        <v>48</v>
      </c>
      <c r="F733" s="3"/>
    </row>
    <row r="734" spans="1:6" ht="15.75" customHeight="1">
      <c r="A734" s="1">
        <v>17734</v>
      </c>
      <c r="B734" s="2">
        <v>44973.148564814815</v>
      </c>
      <c r="C734" s="1" t="s">
        <v>10</v>
      </c>
      <c r="D734" s="1">
        <v>35</v>
      </c>
      <c r="F734" s="3"/>
    </row>
    <row r="735" spans="1:6" ht="15.75" customHeight="1">
      <c r="A735" s="1">
        <v>17733</v>
      </c>
      <c r="B735" s="2">
        <v>44973.144131944442</v>
      </c>
      <c r="C735" s="1" t="s">
        <v>10</v>
      </c>
      <c r="D735" s="1">
        <v>15</v>
      </c>
      <c r="F735" s="3"/>
    </row>
    <row r="736" spans="1:6" ht="15.75" customHeight="1">
      <c r="A736" s="1">
        <v>17732</v>
      </c>
      <c r="B736" s="2">
        <v>44973.141805555555</v>
      </c>
      <c r="C736" s="1" t="s">
        <v>10</v>
      </c>
      <c r="D736" s="1">
        <v>37</v>
      </c>
      <c r="F736" s="3"/>
    </row>
    <row r="737" spans="1:6" ht="15.75" customHeight="1">
      <c r="A737" s="1">
        <v>17731</v>
      </c>
      <c r="B737" s="2">
        <v>44973.137164351851</v>
      </c>
      <c r="C737" s="1" t="s">
        <v>10</v>
      </c>
      <c r="D737" s="1">
        <v>37</v>
      </c>
      <c r="F737" s="3"/>
    </row>
    <row r="738" spans="1:6" ht="15.75" customHeight="1">
      <c r="A738" s="1">
        <v>17730</v>
      </c>
      <c r="B738" s="2">
        <v>44973.100034722222</v>
      </c>
      <c r="C738" s="1" t="s">
        <v>10</v>
      </c>
      <c r="D738" s="1">
        <v>43</v>
      </c>
      <c r="F738" s="3"/>
    </row>
    <row r="739" spans="1:6" ht="15.75" customHeight="1">
      <c r="A739" s="1">
        <v>17729</v>
      </c>
      <c r="B739" s="2">
        <v>44973.099733796298</v>
      </c>
      <c r="C739" s="1" t="s">
        <v>10</v>
      </c>
      <c r="D739" s="1">
        <v>107</v>
      </c>
      <c r="F739" s="3"/>
    </row>
    <row r="740" spans="1:6" ht="15.75" customHeight="1">
      <c r="A740" s="1">
        <v>17728</v>
      </c>
      <c r="B740" s="2">
        <v>44973.097280092596</v>
      </c>
      <c r="C740" s="1" t="s">
        <v>10</v>
      </c>
      <c r="D740" s="1">
        <v>25</v>
      </c>
      <c r="F740" s="3"/>
    </row>
    <row r="741" spans="1:6" ht="15.75" customHeight="1">
      <c r="A741" s="1">
        <v>17727</v>
      </c>
      <c r="B741" s="2">
        <v>44973.0856712963</v>
      </c>
      <c r="C741" s="1" t="s">
        <v>10</v>
      </c>
      <c r="D741" s="1">
        <v>25</v>
      </c>
      <c r="F741" s="3"/>
    </row>
    <row r="742" spans="1:6" ht="15.75" customHeight="1">
      <c r="A742" s="1">
        <v>17726</v>
      </c>
      <c r="B742" s="2">
        <v>44973.076388888891</v>
      </c>
      <c r="C742" s="1" t="s">
        <v>10</v>
      </c>
      <c r="D742" s="1">
        <v>56</v>
      </c>
      <c r="F742" s="3"/>
    </row>
    <row r="743" spans="1:6" ht="15.75" customHeight="1">
      <c r="A743" s="1">
        <v>17725</v>
      </c>
      <c r="B743" s="2">
        <v>44973.044120370367</v>
      </c>
      <c r="C743" s="1" t="s">
        <v>10</v>
      </c>
      <c r="D743" s="1">
        <v>24</v>
      </c>
      <c r="F743" s="3"/>
    </row>
    <row r="744" spans="1:6" ht="15.75" customHeight="1">
      <c r="A744" s="1">
        <v>17724</v>
      </c>
      <c r="B744" s="2">
        <v>44973.041458333333</v>
      </c>
      <c r="C744" s="1" t="s">
        <v>10</v>
      </c>
      <c r="D744" s="1">
        <v>24</v>
      </c>
      <c r="F744" s="3"/>
    </row>
    <row r="745" spans="1:6" ht="15.75" customHeight="1">
      <c r="A745" s="1">
        <v>17723</v>
      </c>
      <c r="B745" s="2">
        <v>44973.040590277778</v>
      </c>
      <c r="C745" s="1" t="s">
        <v>10</v>
      </c>
      <c r="D745" s="1">
        <v>25</v>
      </c>
      <c r="F745" s="3"/>
    </row>
    <row r="746" spans="1:6" ht="15.75" customHeight="1">
      <c r="A746" s="1">
        <v>17722</v>
      </c>
      <c r="B746" s="2">
        <v>44973.037199074075</v>
      </c>
      <c r="C746" s="1" t="s">
        <v>10</v>
      </c>
      <c r="D746" s="1">
        <v>25</v>
      </c>
      <c r="F746" s="3"/>
    </row>
    <row r="747" spans="1:6" ht="15.75" customHeight="1">
      <c r="A747" s="1">
        <v>17721</v>
      </c>
      <c r="B747" s="2">
        <v>44973.03696759259</v>
      </c>
      <c r="C747" s="1" t="s">
        <v>10</v>
      </c>
      <c r="D747" s="1">
        <v>25</v>
      </c>
      <c r="F747" s="3"/>
    </row>
    <row r="748" spans="1:6" ht="15.75" customHeight="1">
      <c r="A748" s="1">
        <v>17720</v>
      </c>
      <c r="B748" s="2">
        <v>44973.034444444449</v>
      </c>
      <c r="C748" s="1" t="s">
        <v>10</v>
      </c>
      <c r="D748" s="1">
        <v>60</v>
      </c>
      <c r="F748" s="3"/>
    </row>
    <row r="749" spans="1:6" ht="15.75" customHeight="1">
      <c r="A749" s="1">
        <v>17719</v>
      </c>
      <c r="B749" s="2">
        <v>44973.033483796295</v>
      </c>
      <c r="C749" s="1" t="s">
        <v>18</v>
      </c>
      <c r="D749" s="1">
        <v>25</v>
      </c>
      <c r="F749" s="3"/>
    </row>
    <row r="750" spans="1:6" ht="15.75" customHeight="1">
      <c r="A750" s="1">
        <v>17718</v>
      </c>
      <c r="B750" s="2">
        <v>44973.028541666667</v>
      </c>
      <c r="C750" s="1" t="s">
        <v>10</v>
      </c>
      <c r="D750" s="1">
        <v>24</v>
      </c>
      <c r="F750" s="3"/>
    </row>
    <row r="751" spans="1:6" ht="15.75" customHeight="1">
      <c r="A751" s="1">
        <v>17717</v>
      </c>
      <c r="B751" s="2">
        <v>44973.017731481479</v>
      </c>
      <c r="C751" s="1" t="s">
        <v>10</v>
      </c>
      <c r="D751" s="1">
        <v>58</v>
      </c>
      <c r="F751" s="3"/>
    </row>
    <row r="752" spans="1:6" ht="15.75" customHeight="1">
      <c r="A752" s="1">
        <v>17716</v>
      </c>
      <c r="B752" s="2">
        <v>44973.016203703708</v>
      </c>
      <c r="C752" s="1" t="s">
        <v>10</v>
      </c>
      <c r="D752" s="1">
        <v>10</v>
      </c>
      <c r="F752" s="3"/>
    </row>
    <row r="753" spans="1:6" ht="15.75" customHeight="1">
      <c r="A753" s="1">
        <v>17715</v>
      </c>
      <c r="B753" s="2">
        <v>44973.014293981483</v>
      </c>
      <c r="C753" s="1" t="s">
        <v>10</v>
      </c>
      <c r="D753" s="1">
        <v>45</v>
      </c>
      <c r="F753" s="3"/>
    </row>
    <row r="754" spans="1:6" ht="15.75" customHeight="1">
      <c r="A754" s="1">
        <v>17714</v>
      </c>
      <c r="B754" s="2">
        <v>44973.013541666667</v>
      </c>
      <c r="C754" s="1" t="s">
        <v>10</v>
      </c>
      <c r="D754" s="1">
        <v>35</v>
      </c>
      <c r="F754" s="3"/>
    </row>
    <row r="755" spans="1:6" ht="15.75" customHeight="1">
      <c r="A755" s="1">
        <v>17713</v>
      </c>
      <c r="B755" s="2">
        <v>44973.008240740739</v>
      </c>
      <c r="C755" s="1" t="s">
        <v>10</v>
      </c>
      <c r="D755" s="1">
        <v>24</v>
      </c>
      <c r="F755" s="3"/>
    </row>
    <row r="756" spans="1:6" ht="15.75" customHeight="1">
      <c r="A756" s="1">
        <v>17712</v>
      </c>
      <c r="B756" s="2">
        <v>44973.00503472222</v>
      </c>
      <c r="C756" s="1" t="s">
        <v>10</v>
      </c>
      <c r="D756" s="1">
        <v>25</v>
      </c>
      <c r="F756" s="3"/>
    </row>
    <row r="757" spans="1:6" ht="15.75" customHeight="1">
      <c r="A757" s="1">
        <v>17711</v>
      </c>
      <c r="B757" s="2">
        <v>44973.004606481481</v>
      </c>
      <c r="C757" s="1" t="s">
        <v>10</v>
      </c>
      <c r="D757" s="1">
        <v>28</v>
      </c>
      <c r="F757" s="3"/>
    </row>
    <row r="758" spans="1:6" ht="15.75" customHeight="1">
      <c r="A758" s="1">
        <v>17710</v>
      </c>
      <c r="B758" s="2">
        <v>44973.002835648149</v>
      </c>
      <c r="C758" s="1" t="s">
        <v>10</v>
      </c>
      <c r="D758" s="1">
        <v>35</v>
      </c>
      <c r="F758" s="3"/>
    </row>
    <row r="759" spans="1:6" ht="15.75" customHeight="1">
      <c r="A759" s="1">
        <v>17709</v>
      </c>
      <c r="B759" s="2">
        <v>44973.000891203701</v>
      </c>
      <c r="C759" s="1" t="s">
        <v>10</v>
      </c>
      <c r="D759" s="1">
        <v>35</v>
      </c>
      <c r="F759" s="3"/>
    </row>
    <row r="760" spans="1:6" ht="15.75" customHeight="1">
      <c r="A760" s="1">
        <v>17708</v>
      </c>
      <c r="B760" s="2">
        <v>44972.998333333337</v>
      </c>
      <c r="C760" s="1" t="s">
        <v>10</v>
      </c>
      <c r="D760" s="1">
        <v>18</v>
      </c>
      <c r="F760" s="3"/>
    </row>
    <row r="761" spans="1:6" ht="15.75" customHeight="1">
      <c r="A761" s="1">
        <v>17707</v>
      </c>
      <c r="B761" s="2">
        <v>44972.996435185181</v>
      </c>
      <c r="C761" s="1" t="s">
        <v>10</v>
      </c>
      <c r="D761" s="1">
        <v>18</v>
      </c>
      <c r="F761" s="3"/>
    </row>
    <row r="762" spans="1:6" ht="15.75" customHeight="1">
      <c r="A762" s="1">
        <v>17706</v>
      </c>
      <c r="B762" s="2">
        <v>44972.991539351853</v>
      </c>
      <c r="C762" s="1" t="s">
        <v>10</v>
      </c>
      <c r="D762" s="1">
        <v>24</v>
      </c>
      <c r="F762" s="3"/>
    </row>
    <row r="763" spans="1:6" ht="15.75" customHeight="1">
      <c r="A763" s="1">
        <v>17705</v>
      </c>
      <c r="B763" s="2">
        <v>44972.990902777776</v>
      </c>
      <c r="C763" s="1" t="s">
        <v>10</v>
      </c>
      <c r="D763" s="1">
        <v>24</v>
      </c>
      <c r="F763" s="3"/>
    </row>
    <row r="764" spans="1:6" ht="15.75" customHeight="1">
      <c r="A764" s="1">
        <v>17704</v>
      </c>
      <c r="B764" s="2">
        <v>44972.989050925928</v>
      </c>
      <c r="C764" s="1" t="s">
        <v>10</v>
      </c>
      <c r="D764" s="1">
        <v>18</v>
      </c>
      <c r="F764" s="3"/>
    </row>
    <row r="765" spans="1:6" ht="15.75" customHeight="1">
      <c r="A765" s="1">
        <v>17703</v>
      </c>
      <c r="B765" s="2">
        <v>44972.988877314812</v>
      </c>
      <c r="C765" s="1" t="s">
        <v>10</v>
      </c>
      <c r="D765" s="1">
        <v>25</v>
      </c>
      <c r="F765" s="3"/>
    </row>
    <row r="766" spans="1:6" ht="15.75" customHeight="1">
      <c r="A766" s="1">
        <v>17702</v>
      </c>
      <c r="B766" s="2">
        <v>44972.985185185185</v>
      </c>
      <c r="C766" s="1" t="s">
        <v>10</v>
      </c>
      <c r="D766" s="1">
        <v>92</v>
      </c>
      <c r="F766" s="3"/>
    </row>
    <row r="767" spans="1:6" ht="15.75" customHeight="1">
      <c r="A767" s="1">
        <v>17701</v>
      </c>
      <c r="B767" s="2">
        <v>44972.984953703708</v>
      </c>
      <c r="C767" s="1" t="s">
        <v>10</v>
      </c>
      <c r="D767" s="1">
        <v>50</v>
      </c>
      <c r="F767" s="3"/>
    </row>
    <row r="768" spans="1:6" ht="15.75" customHeight="1">
      <c r="A768" s="1">
        <v>17700</v>
      </c>
      <c r="B768" s="2">
        <v>44972.984803240739</v>
      </c>
      <c r="C768" s="1" t="s">
        <v>8</v>
      </c>
      <c r="D768" s="1">
        <v>55</v>
      </c>
      <c r="F768" s="3"/>
    </row>
    <row r="769" spans="1:6" ht="15.75" customHeight="1">
      <c r="A769" s="1">
        <v>17699</v>
      </c>
      <c r="B769" s="2">
        <v>44972.983333333337</v>
      </c>
      <c r="C769" s="1" t="s">
        <v>10</v>
      </c>
      <c r="D769" s="1">
        <v>55</v>
      </c>
      <c r="F769" s="3"/>
    </row>
    <row r="770" spans="1:6" ht="15.75" customHeight="1">
      <c r="A770" s="1">
        <v>17698</v>
      </c>
      <c r="B770" s="2">
        <v>44972.978379629625</v>
      </c>
      <c r="C770" s="1" t="s">
        <v>10</v>
      </c>
      <c r="D770" s="1">
        <v>110</v>
      </c>
      <c r="F770" s="3"/>
    </row>
    <row r="771" spans="1:6" ht="15.75" customHeight="1">
      <c r="A771" s="1">
        <v>17697</v>
      </c>
      <c r="B771" s="2">
        <v>44972.973344907412</v>
      </c>
      <c r="C771" s="1" t="s">
        <v>10</v>
      </c>
      <c r="D771" s="1">
        <v>20</v>
      </c>
      <c r="F771" s="3"/>
    </row>
    <row r="772" spans="1:6" ht="15.75" customHeight="1">
      <c r="A772" s="1">
        <v>17696</v>
      </c>
      <c r="B772" s="2">
        <v>44972.971875000003</v>
      </c>
      <c r="C772" s="1" t="s">
        <v>10</v>
      </c>
      <c r="D772" s="1">
        <v>55</v>
      </c>
      <c r="F772" s="3"/>
    </row>
    <row r="773" spans="1:6" ht="15.75" customHeight="1">
      <c r="A773" s="1">
        <v>17695</v>
      </c>
      <c r="B773" s="2">
        <v>44972.971215277779</v>
      </c>
      <c r="C773" s="1" t="s">
        <v>10</v>
      </c>
      <c r="D773" s="1">
        <v>53</v>
      </c>
      <c r="F773" s="3"/>
    </row>
    <row r="774" spans="1:6" ht="15.75" customHeight="1">
      <c r="A774" s="1">
        <v>17694</v>
      </c>
      <c r="B774" s="2">
        <v>44972.952615740738</v>
      </c>
      <c r="C774" s="1" t="s">
        <v>10</v>
      </c>
      <c r="D774" s="1">
        <v>24</v>
      </c>
      <c r="F774" s="3"/>
    </row>
    <row r="775" spans="1:6" ht="15.75" customHeight="1">
      <c r="A775" s="1">
        <v>17693</v>
      </c>
      <c r="B775" s="2">
        <v>44972.925729166665</v>
      </c>
      <c r="C775" s="1" t="s">
        <v>10</v>
      </c>
      <c r="D775" s="1">
        <v>24</v>
      </c>
      <c r="F775" s="3"/>
    </row>
    <row r="776" spans="1:6" ht="15.75" customHeight="1">
      <c r="A776" s="1">
        <v>17692</v>
      </c>
      <c r="B776" s="2">
        <v>44972.909722222219</v>
      </c>
      <c r="C776" s="1" t="s">
        <v>10</v>
      </c>
      <c r="D776" s="1">
        <v>25</v>
      </c>
      <c r="F776" s="3"/>
    </row>
    <row r="777" spans="1:6" ht="15.75" customHeight="1">
      <c r="A777" s="1">
        <v>17691</v>
      </c>
      <c r="B777" s="2">
        <v>44972.899872685186</v>
      </c>
      <c r="C777" s="1" t="s">
        <v>10</v>
      </c>
      <c r="D777" s="1">
        <v>24</v>
      </c>
      <c r="F777" s="3"/>
    </row>
    <row r="778" spans="1:6" ht="15.75" customHeight="1">
      <c r="A778" s="1">
        <v>17690</v>
      </c>
      <c r="B778" s="2">
        <v>44972.874409722222</v>
      </c>
      <c r="C778" s="1" t="s">
        <v>10</v>
      </c>
      <c r="D778" s="1">
        <v>48</v>
      </c>
      <c r="F778" s="3"/>
    </row>
    <row r="779" spans="1:6" ht="15.75" customHeight="1">
      <c r="A779" s="1">
        <v>17689</v>
      </c>
      <c r="B779" s="2">
        <v>44972.870532407411</v>
      </c>
      <c r="C779" s="1" t="s">
        <v>10</v>
      </c>
      <c r="D779" s="1">
        <v>48</v>
      </c>
      <c r="F779" s="3"/>
    </row>
    <row r="780" spans="1:6" ht="15.75" customHeight="1">
      <c r="A780" s="1">
        <v>17688</v>
      </c>
      <c r="B780" s="2">
        <v>44972.866886574076</v>
      </c>
      <c r="C780" s="1" t="s">
        <v>10</v>
      </c>
      <c r="D780" s="1">
        <v>20</v>
      </c>
      <c r="F780" s="3"/>
    </row>
    <row r="781" spans="1:6" ht="15.75" customHeight="1">
      <c r="A781" s="1">
        <v>17687</v>
      </c>
      <c r="B781" s="2">
        <v>44972.861932870372</v>
      </c>
      <c r="C781" s="1" t="s">
        <v>16</v>
      </c>
      <c r="D781" s="1">
        <v>20</v>
      </c>
      <c r="F781" s="3"/>
    </row>
    <row r="782" spans="1:6" ht="15.75" customHeight="1">
      <c r="A782" s="1">
        <v>17686</v>
      </c>
      <c r="B782" s="2">
        <v>44972.800081018519</v>
      </c>
      <c r="C782" s="1" t="s">
        <v>53</v>
      </c>
      <c r="D782" s="1">
        <v>35</v>
      </c>
      <c r="F782" s="3"/>
    </row>
    <row r="783" spans="1:6" ht="15.75" customHeight="1">
      <c r="A783" s="1">
        <v>17685</v>
      </c>
      <c r="B783" s="2">
        <v>44972.730567129634</v>
      </c>
      <c r="C783" s="1" t="s">
        <v>10</v>
      </c>
      <c r="D783" s="1">
        <v>20</v>
      </c>
      <c r="F783" s="3"/>
    </row>
    <row r="784" spans="1:6" ht="15.75" customHeight="1">
      <c r="A784" s="1">
        <v>17684</v>
      </c>
      <c r="B784" s="2">
        <v>44972.666620370372</v>
      </c>
      <c r="C784" s="1" t="s">
        <v>10</v>
      </c>
      <c r="D784" s="1">
        <v>55</v>
      </c>
      <c r="F784" s="3"/>
    </row>
    <row r="785" spans="1:6" ht="15.75" customHeight="1">
      <c r="A785" s="1">
        <v>17683</v>
      </c>
      <c r="B785" s="2">
        <v>44972.666203703702</v>
      </c>
      <c r="C785" s="1" t="s">
        <v>10</v>
      </c>
      <c r="D785" s="1">
        <v>15</v>
      </c>
      <c r="F785" s="3"/>
    </row>
    <row r="786" spans="1:6" ht="15.75" customHeight="1">
      <c r="A786" s="1">
        <v>17680</v>
      </c>
      <c r="B786" s="2">
        <v>44972.576782407406</v>
      </c>
      <c r="C786" s="1" t="s">
        <v>10</v>
      </c>
      <c r="D786" s="1">
        <v>25</v>
      </c>
      <c r="F786" s="3"/>
    </row>
    <row r="787" spans="1:6" ht="15.75" customHeight="1">
      <c r="A787" s="1">
        <v>17679</v>
      </c>
      <c r="B787" s="2">
        <v>44972.565474537041</v>
      </c>
      <c r="C787" s="1" t="s">
        <v>10</v>
      </c>
      <c r="D787" s="1">
        <v>15</v>
      </c>
      <c r="F787" s="3"/>
    </row>
    <row r="788" spans="1:6" ht="15.75" customHeight="1">
      <c r="A788" s="1">
        <v>17678</v>
      </c>
      <c r="B788" s="2">
        <v>44972.55868055555</v>
      </c>
      <c r="C788" s="1" t="s">
        <v>10</v>
      </c>
      <c r="D788" s="1">
        <v>40</v>
      </c>
      <c r="F788" s="3"/>
    </row>
    <row r="789" spans="1:6" ht="15.75" customHeight="1">
      <c r="A789" s="1">
        <v>17677</v>
      </c>
      <c r="B789" s="2">
        <v>44972.522002314814</v>
      </c>
      <c r="C789" s="1" t="s">
        <v>16</v>
      </c>
      <c r="D789" s="1">
        <v>75</v>
      </c>
      <c r="F789" s="3"/>
    </row>
    <row r="790" spans="1:6" ht="15.75" customHeight="1">
      <c r="A790" s="1">
        <v>17676</v>
      </c>
      <c r="B790" s="2">
        <v>44972.149664351848</v>
      </c>
      <c r="C790" s="1" t="s">
        <v>10</v>
      </c>
      <c r="D790" s="1">
        <v>38</v>
      </c>
      <c r="F790" s="3"/>
    </row>
    <row r="791" spans="1:6" ht="15.75" customHeight="1">
      <c r="A791" s="1">
        <v>17674</v>
      </c>
      <c r="B791" s="2">
        <v>44971.078946759255</v>
      </c>
      <c r="C791" s="1" t="s">
        <v>10</v>
      </c>
      <c r="D791" s="1">
        <v>30</v>
      </c>
      <c r="F791" s="3"/>
    </row>
    <row r="792" spans="1:6" ht="15.75" customHeight="1">
      <c r="A792" s="1">
        <v>17673</v>
      </c>
      <c r="B792" s="2">
        <v>44970.905405092592</v>
      </c>
      <c r="C792" s="1" t="s">
        <v>10</v>
      </c>
      <c r="D792" s="1">
        <v>43</v>
      </c>
      <c r="F792" s="3"/>
    </row>
    <row r="793" spans="1:6" ht="15.75" customHeight="1">
      <c r="A793" s="1">
        <v>17592</v>
      </c>
      <c r="B793" s="2">
        <v>44950.769895833335</v>
      </c>
      <c r="C793" s="1" t="s">
        <v>10</v>
      </c>
      <c r="D793" s="1">
        <v>13.5</v>
      </c>
      <c r="F793" s="3"/>
    </row>
    <row r="794" spans="1:6" ht="15.75" customHeight="1">
      <c r="A794" s="1">
        <v>17591</v>
      </c>
      <c r="B794" s="2">
        <v>44950.609513888892</v>
      </c>
      <c r="C794" s="1" t="s">
        <v>10</v>
      </c>
      <c r="D794" s="1">
        <v>30</v>
      </c>
      <c r="F794" s="3"/>
    </row>
    <row r="795" spans="1:6" ht="15.75" customHeight="1">
      <c r="A795" s="1">
        <v>17549</v>
      </c>
      <c r="B795" s="2">
        <v>44948.041076388894</v>
      </c>
      <c r="C795" s="1" t="s">
        <v>10</v>
      </c>
      <c r="D795" s="1">
        <v>35</v>
      </c>
      <c r="F795" s="3"/>
    </row>
    <row r="796" spans="1:6" ht="15.75" customHeight="1">
      <c r="A796" s="1">
        <v>17540</v>
      </c>
      <c r="B796" s="2">
        <v>44944.732719907406</v>
      </c>
      <c r="C796" s="1" t="s">
        <v>10</v>
      </c>
      <c r="D796" s="1">
        <v>0</v>
      </c>
      <c r="F796" s="3"/>
    </row>
    <row r="797" spans="1:6" ht="15.75" customHeight="1">
      <c r="A797" s="1">
        <v>17539</v>
      </c>
      <c r="B797" s="2">
        <v>44943.932534722218</v>
      </c>
      <c r="C797" s="1" t="s">
        <v>10</v>
      </c>
      <c r="D797" s="1">
        <v>49</v>
      </c>
      <c r="F797" s="3"/>
    </row>
    <row r="798" spans="1:6" ht="15.75" customHeight="1">
      <c r="A798" s="1">
        <v>17538</v>
      </c>
      <c r="B798" s="2">
        <v>44943.878460648149</v>
      </c>
      <c r="C798" s="1" t="s">
        <v>10</v>
      </c>
      <c r="D798" s="1">
        <v>25</v>
      </c>
      <c r="F798" s="3"/>
    </row>
    <row r="799" spans="1:6" ht="15.75" customHeight="1">
      <c r="A799" s="1">
        <v>17536</v>
      </c>
      <c r="B799" s="2">
        <v>44942.691111111111</v>
      </c>
      <c r="C799" s="1" t="s">
        <v>10</v>
      </c>
      <c r="D799" s="1">
        <v>48</v>
      </c>
      <c r="F799" s="3"/>
    </row>
    <row r="800" spans="1:6" ht="15.75" customHeight="1">
      <c r="A800" s="1">
        <v>17533</v>
      </c>
      <c r="B800" s="2">
        <v>44941.950972222221</v>
      </c>
      <c r="C800" s="1" t="s">
        <v>10</v>
      </c>
      <c r="D800" s="1">
        <v>83</v>
      </c>
      <c r="F800" s="3"/>
    </row>
    <row r="801" spans="1:6" ht="15.75" customHeight="1">
      <c r="A801" s="1">
        <v>17532</v>
      </c>
      <c r="B801" s="2">
        <v>44940.561828703707</v>
      </c>
      <c r="C801" s="1" t="s">
        <v>10</v>
      </c>
      <c r="D801" s="1">
        <v>20</v>
      </c>
      <c r="F801" s="3"/>
    </row>
    <row r="802" spans="1:6" ht="15.75" customHeight="1">
      <c r="A802" s="1">
        <v>17446</v>
      </c>
      <c r="B802" s="2">
        <v>44936.161041666666</v>
      </c>
      <c r="C802" s="1" t="s">
        <v>10</v>
      </c>
      <c r="D802" s="1">
        <v>60</v>
      </c>
      <c r="F802" s="3"/>
    </row>
    <row r="803" spans="1:6" ht="15.75" customHeight="1">
      <c r="A803" s="1">
        <v>17428</v>
      </c>
      <c r="B803" s="2">
        <v>44934.852476851855</v>
      </c>
      <c r="C803" s="1" t="s">
        <v>10</v>
      </c>
      <c r="D803" s="1">
        <v>39</v>
      </c>
      <c r="F803" s="3"/>
    </row>
    <row r="804" spans="1:6" ht="15.75" customHeight="1">
      <c r="A804" s="1">
        <v>17192</v>
      </c>
      <c r="B804" s="2">
        <v>44927.631331018521</v>
      </c>
      <c r="C804" s="1" t="s">
        <v>10</v>
      </c>
      <c r="D804" s="1">
        <v>20</v>
      </c>
      <c r="F804" s="3"/>
    </row>
    <row r="805" spans="1:6" ht="15.75" customHeight="1">
      <c r="A805" s="1">
        <v>17189</v>
      </c>
      <c r="B805" s="2">
        <v>44923.03424768518</v>
      </c>
      <c r="C805" s="1" t="s">
        <v>10</v>
      </c>
      <c r="D805" s="1">
        <v>64</v>
      </c>
      <c r="F805" s="3"/>
    </row>
    <row r="806" spans="1:6" ht="15.75" customHeight="1">
      <c r="A806" s="1">
        <v>17070</v>
      </c>
      <c r="B806" s="2">
        <v>44918.150578703702</v>
      </c>
      <c r="C806" s="1" t="s">
        <v>10</v>
      </c>
      <c r="D806" s="1">
        <v>47</v>
      </c>
      <c r="F806" s="3"/>
    </row>
    <row r="807" spans="1:6" ht="15.75" customHeight="1">
      <c r="A807" s="1">
        <v>17029</v>
      </c>
      <c r="B807" s="2">
        <v>44915.261238425926</v>
      </c>
      <c r="C807" s="1" t="s">
        <v>10</v>
      </c>
      <c r="D807" s="1">
        <v>68</v>
      </c>
      <c r="F807" s="3"/>
    </row>
    <row r="808" spans="1:6" ht="15.75" customHeight="1">
      <c r="A808" s="1">
        <v>17028</v>
      </c>
      <c r="B808" s="2">
        <v>44915.259155092594</v>
      </c>
      <c r="C808" s="1" t="s">
        <v>10</v>
      </c>
      <c r="D808" s="1">
        <v>68</v>
      </c>
      <c r="F808" s="3"/>
    </row>
    <row r="809" spans="1:6" ht="15.75" customHeight="1">
      <c r="A809" s="1">
        <v>17027</v>
      </c>
      <c r="B809" s="2">
        <v>44914.026099537034</v>
      </c>
      <c r="C809" s="1" t="s">
        <v>10</v>
      </c>
      <c r="D809" s="1">
        <v>28</v>
      </c>
      <c r="F809" s="3"/>
    </row>
    <row r="810" spans="1:6" ht="15.75" customHeight="1">
      <c r="A810" s="1">
        <v>17026</v>
      </c>
      <c r="B810" s="2">
        <v>44913.99423611111</v>
      </c>
      <c r="C810" s="1" t="s">
        <v>10</v>
      </c>
      <c r="D810" s="1">
        <v>0</v>
      </c>
      <c r="F810" s="3"/>
    </row>
    <row r="811" spans="1:6" ht="15.75" customHeight="1">
      <c r="A811" s="1">
        <v>17025</v>
      </c>
      <c r="B811" s="2">
        <v>44913.988773148143</v>
      </c>
      <c r="C811" s="1" t="s">
        <v>10</v>
      </c>
      <c r="D811" s="1">
        <v>0</v>
      </c>
      <c r="F811" s="3"/>
    </row>
    <row r="812" spans="1:6" ht="15.75" customHeight="1">
      <c r="A812" s="1">
        <v>17019</v>
      </c>
      <c r="B812" s="2">
        <v>44913.959629629629</v>
      </c>
      <c r="C812" s="1" t="s">
        <v>16</v>
      </c>
      <c r="D812" s="1">
        <v>0</v>
      </c>
      <c r="F812" s="3"/>
    </row>
    <row r="813" spans="1:6" ht="15.75" customHeight="1">
      <c r="A813" s="1">
        <v>17015</v>
      </c>
      <c r="B813" s="2">
        <v>44913.896481481483</v>
      </c>
      <c r="C813" s="1" t="s">
        <v>10</v>
      </c>
      <c r="D813" s="1">
        <v>100</v>
      </c>
      <c r="F813" s="3"/>
    </row>
    <row r="814" spans="1:6" ht="15.75" customHeight="1">
      <c r="A814" s="1">
        <v>17014</v>
      </c>
      <c r="B814" s="2">
        <v>44913.854201388887</v>
      </c>
      <c r="C814" s="1" t="s">
        <v>10</v>
      </c>
      <c r="D814" s="1">
        <v>46</v>
      </c>
      <c r="F814" s="3"/>
    </row>
    <row r="815" spans="1:6" ht="15.75" customHeight="1">
      <c r="A815" s="1">
        <v>16976</v>
      </c>
      <c r="B815" s="2">
        <v>44910.182800925926</v>
      </c>
      <c r="C815" s="1" t="s">
        <v>10</v>
      </c>
      <c r="D815" s="1">
        <v>0</v>
      </c>
      <c r="F815" s="3"/>
    </row>
    <row r="816" spans="1:6" ht="15.75" customHeight="1">
      <c r="A816" s="1">
        <v>16975</v>
      </c>
      <c r="B816" s="2">
        <v>44909.943159722221</v>
      </c>
      <c r="C816" s="1" t="s">
        <v>10</v>
      </c>
      <c r="D816" s="1">
        <v>28</v>
      </c>
      <c r="F816" s="3"/>
    </row>
    <row r="817" spans="1:6" ht="15.75" customHeight="1">
      <c r="A817" s="1">
        <v>16971</v>
      </c>
      <c r="B817" s="2">
        <v>44909.407268518524</v>
      </c>
      <c r="C817" s="1" t="s">
        <v>16</v>
      </c>
      <c r="D817" s="1">
        <v>0</v>
      </c>
      <c r="F817" s="3"/>
    </row>
    <row r="818" spans="1:6" ht="15.75" customHeight="1">
      <c r="A818" s="1">
        <v>16952</v>
      </c>
      <c r="B818" s="2">
        <v>44908.568819444445</v>
      </c>
      <c r="C818" s="1" t="s">
        <v>10</v>
      </c>
      <c r="D818" s="1">
        <v>60</v>
      </c>
      <c r="F818" s="3"/>
    </row>
    <row r="819" spans="1:6" ht="15.75" customHeight="1">
      <c r="A819" s="1">
        <v>16946</v>
      </c>
      <c r="B819" s="2">
        <v>44907.692858796298</v>
      </c>
      <c r="C819" s="1" t="s">
        <v>10</v>
      </c>
      <c r="D819" s="1">
        <v>0</v>
      </c>
      <c r="F819" s="3"/>
    </row>
    <row r="820" spans="1:6" ht="15.75" customHeight="1">
      <c r="A820" s="1">
        <v>16941</v>
      </c>
      <c r="B820" s="2">
        <v>44905.748229166667</v>
      </c>
      <c r="C820" s="1" t="s">
        <v>10</v>
      </c>
      <c r="D820" s="1">
        <v>25</v>
      </c>
      <c r="F820" s="3"/>
    </row>
    <row r="821" spans="1:6" ht="15.75" customHeight="1">
      <c r="A821" s="1">
        <v>16938</v>
      </c>
      <c r="B821" s="2">
        <v>44903.291828703703</v>
      </c>
      <c r="C821" s="1" t="s">
        <v>10</v>
      </c>
      <c r="D821" s="1">
        <v>24</v>
      </c>
      <c r="F821" s="3"/>
    </row>
    <row r="822" spans="1:6" ht="15.75" customHeight="1">
      <c r="A822" s="1">
        <v>16937</v>
      </c>
      <c r="B822" s="2">
        <v>44903.283379629633</v>
      </c>
      <c r="C822" s="1" t="s">
        <v>10</v>
      </c>
      <c r="D822" s="1">
        <v>0</v>
      </c>
      <c r="F822" s="3"/>
    </row>
    <row r="823" spans="1:6" ht="15.75" customHeight="1">
      <c r="A823" s="1">
        <v>16935</v>
      </c>
      <c r="B823" s="2">
        <v>44900.929108796292</v>
      </c>
      <c r="C823" s="1" t="s">
        <v>10</v>
      </c>
      <c r="D823" s="1">
        <v>22</v>
      </c>
      <c r="F823" s="3"/>
    </row>
    <row r="824" spans="1:6" ht="15.75" customHeight="1">
      <c r="A824" s="1">
        <v>16934</v>
      </c>
      <c r="B824" s="2">
        <v>44900.127789351856</v>
      </c>
      <c r="C824" s="1" t="s">
        <v>10</v>
      </c>
      <c r="D824" s="1">
        <v>20</v>
      </c>
      <c r="F824" s="3"/>
    </row>
    <row r="825" spans="1:6" ht="15.75" customHeight="1">
      <c r="A825" s="1">
        <v>16933</v>
      </c>
      <c r="B825" s="2">
        <v>44898.127488425926</v>
      </c>
      <c r="C825" s="1" t="s">
        <v>10</v>
      </c>
      <c r="D825" s="1">
        <v>25</v>
      </c>
      <c r="F825" s="3"/>
    </row>
    <row r="826" spans="1:6" ht="15.75" customHeight="1">
      <c r="A826" s="1">
        <v>16895</v>
      </c>
      <c r="B826" s="2">
        <v>44897.070613425924</v>
      </c>
      <c r="C826" s="1" t="s">
        <v>10</v>
      </c>
      <c r="D826" s="1">
        <v>49</v>
      </c>
      <c r="F826" s="3"/>
    </row>
    <row r="827" spans="1:6" ht="15.75" customHeight="1">
      <c r="A827" s="1">
        <v>16894</v>
      </c>
      <c r="B827" s="2">
        <v>44896.716921296298</v>
      </c>
      <c r="C827" s="1" t="s">
        <v>10</v>
      </c>
      <c r="D827" s="1">
        <v>25</v>
      </c>
      <c r="F827" s="3"/>
    </row>
    <row r="828" spans="1:6" ht="15.75" customHeight="1">
      <c r="A828" s="1">
        <v>16863</v>
      </c>
      <c r="B828" s="2">
        <v>44896.023333333331</v>
      </c>
      <c r="C828" s="1" t="s">
        <v>10</v>
      </c>
      <c r="D828" s="1">
        <v>35</v>
      </c>
      <c r="F828" s="3"/>
    </row>
    <row r="829" spans="1:6" ht="15.75" customHeight="1">
      <c r="A829" s="1">
        <v>16862</v>
      </c>
      <c r="B829" s="2">
        <v>44895.9450462963</v>
      </c>
      <c r="C829" s="1" t="s">
        <v>10</v>
      </c>
      <c r="D829" s="1">
        <v>0</v>
      </c>
      <c r="F829" s="3"/>
    </row>
    <row r="830" spans="1:6" ht="15.75" customHeight="1">
      <c r="A830" s="1">
        <v>16857</v>
      </c>
      <c r="B830" s="2">
        <v>44895.099652777775</v>
      </c>
      <c r="C830" s="1" t="s">
        <v>10</v>
      </c>
      <c r="D830" s="1">
        <v>63</v>
      </c>
      <c r="F830" s="3"/>
    </row>
    <row r="831" spans="1:6" ht="15.75" customHeight="1">
      <c r="A831" s="1">
        <v>16854</v>
      </c>
      <c r="B831" s="2">
        <v>44894.685208333336</v>
      </c>
      <c r="C831" s="1" t="s">
        <v>10</v>
      </c>
      <c r="D831" s="1">
        <v>25</v>
      </c>
      <c r="F831" s="3"/>
    </row>
    <row r="832" spans="1:6" ht="15.75" customHeight="1">
      <c r="A832" s="1">
        <v>16853</v>
      </c>
      <c r="B832" s="2">
        <v>44894.522395833337</v>
      </c>
      <c r="C832" s="1" t="s">
        <v>10</v>
      </c>
      <c r="D832" s="1">
        <v>50</v>
      </c>
      <c r="F832" s="3"/>
    </row>
    <row r="833" spans="1:6" ht="15.75" customHeight="1">
      <c r="A833" s="1">
        <v>16851</v>
      </c>
      <c r="B833" s="2">
        <v>44894.095902777779</v>
      </c>
      <c r="C833" s="1" t="s">
        <v>10</v>
      </c>
      <c r="D833" s="1">
        <v>92</v>
      </c>
      <c r="F833" s="3"/>
    </row>
    <row r="834" spans="1:6" ht="15.75" customHeight="1">
      <c r="A834" s="1">
        <v>16850</v>
      </c>
      <c r="B834" s="2">
        <v>44893.887141203704</v>
      </c>
      <c r="C834" s="1" t="s">
        <v>10</v>
      </c>
      <c r="D834" s="1">
        <v>55</v>
      </c>
      <c r="F834" s="3"/>
    </row>
    <row r="835" spans="1:6" ht="15.75" customHeight="1">
      <c r="A835" s="1">
        <v>16849</v>
      </c>
      <c r="B835" s="2">
        <v>44893.856192129635</v>
      </c>
      <c r="C835" s="1" t="s">
        <v>10</v>
      </c>
      <c r="D835" s="1">
        <v>74</v>
      </c>
      <c r="F835" s="3"/>
    </row>
    <row r="836" spans="1:6" ht="15.75" customHeight="1">
      <c r="A836" s="1">
        <v>16848</v>
      </c>
      <c r="B836" s="2">
        <v>44893.737523148149</v>
      </c>
      <c r="C836" s="1" t="s">
        <v>10</v>
      </c>
      <c r="D836" s="1">
        <v>0</v>
      </c>
      <c r="F836" s="3"/>
    </row>
    <row r="837" spans="1:6" ht="15.75" customHeight="1">
      <c r="A837" s="1">
        <v>16847</v>
      </c>
      <c r="B837" s="2">
        <v>44893.067430555559</v>
      </c>
      <c r="C837" s="1" t="s">
        <v>10</v>
      </c>
      <c r="D837" s="1">
        <v>25</v>
      </c>
      <c r="F837" s="3"/>
    </row>
    <row r="838" spans="1:6" ht="15.75" customHeight="1">
      <c r="A838" s="1">
        <v>16846</v>
      </c>
      <c r="B838" s="2">
        <v>44892.962407407409</v>
      </c>
      <c r="C838" s="1" t="s">
        <v>10</v>
      </c>
      <c r="D838" s="1">
        <v>25</v>
      </c>
      <c r="F838" s="3"/>
    </row>
    <row r="839" spans="1:6" ht="15.75" customHeight="1">
      <c r="A839" s="1">
        <v>16845</v>
      </c>
      <c r="B839" s="2">
        <v>44892.934594907405</v>
      </c>
      <c r="C839" s="1" t="s">
        <v>10</v>
      </c>
      <c r="D839" s="1">
        <v>49</v>
      </c>
      <c r="F839" s="3"/>
    </row>
    <row r="840" spans="1:6" ht="15.75" customHeight="1">
      <c r="A840" s="1">
        <v>16840</v>
      </c>
      <c r="B840" s="2">
        <v>44892.151076388887</v>
      </c>
      <c r="C840" s="1" t="s">
        <v>10</v>
      </c>
      <c r="D840" s="1">
        <v>0</v>
      </c>
      <c r="F840" s="3"/>
    </row>
    <row r="841" spans="1:6" ht="15.75" customHeight="1">
      <c r="A841" s="1">
        <v>16839</v>
      </c>
      <c r="B841" s="2">
        <v>44891.822013888886</v>
      </c>
      <c r="C841" s="1" t="s">
        <v>10</v>
      </c>
      <c r="D841" s="1">
        <v>25</v>
      </c>
      <c r="F841" s="3"/>
    </row>
    <row r="842" spans="1:6" ht="15.75" customHeight="1">
      <c r="A842" s="1">
        <v>16838</v>
      </c>
      <c r="B842" s="2">
        <v>44891.805891203709</v>
      </c>
      <c r="C842" s="1" t="s">
        <v>10</v>
      </c>
      <c r="D842" s="1">
        <v>0</v>
      </c>
      <c r="F842" s="3"/>
    </row>
    <row r="843" spans="1:6" ht="15.75" customHeight="1">
      <c r="A843" s="1">
        <v>16837</v>
      </c>
      <c r="B843" s="2">
        <v>44891.803622685184</v>
      </c>
      <c r="C843" s="1" t="s">
        <v>10</v>
      </c>
      <c r="D843" s="1">
        <v>47</v>
      </c>
      <c r="F843" s="3"/>
    </row>
    <row r="844" spans="1:6" ht="15.75" customHeight="1">
      <c r="A844" s="1">
        <v>16836</v>
      </c>
      <c r="B844" s="2">
        <v>44890.898483796293</v>
      </c>
      <c r="C844" s="1" t="s">
        <v>10</v>
      </c>
      <c r="D844" s="1">
        <v>25</v>
      </c>
      <c r="E844" s="1" t="s">
        <v>50</v>
      </c>
      <c r="F844" s="3"/>
    </row>
    <row r="845" spans="1:6" ht="15.75" customHeight="1">
      <c r="A845" s="1">
        <v>16835</v>
      </c>
      <c r="B845" s="2">
        <v>44890.892060185186</v>
      </c>
      <c r="C845" s="1" t="s">
        <v>10</v>
      </c>
      <c r="D845" s="1">
        <v>25</v>
      </c>
      <c r="E845" s="1" t="s">
        <v>50</v>
      </c>
      <c r="F845" s="3"/>
    </row>
    <row r="846" spans="1:6" ht="15.75" customHeight="1">
      <c r="A846" s="1">
        <v>16834</v>
      </c>
      <c r="B846" s="2">
        <v>44890.833807870367</v>
      </c>
      <c r="C846" s="1" t="s">
        <v>10</v>
      </c>
      <c r="D846" s="1">
        <v>25</v>
      </c>
      <c r="E846" s="1" t="s">
        <v>74</v>
      </c>
      <c r="F846" s="3"/>
    </row>
    <row r="847" spans="1:6" ht="15.75" customHeight="1">
      <c r="A847" s="1">
        <v>16833</v>
      </c>
      <c r="B847" s="2">
        <v>44890.786296296297</v>
      </c>
      <c r="C847" s="1" t="s">
        <v>10</v>
      </c>
      <c r="D847" s="1">
        <v>90</v>
      </c>
      <c r="E847" s="1" t="s">
        <v>50</v>
      </c>
      <c r="F847" s="3"/>
    </row>
    <row r="848" spans="1:6" ht="15.75" customHeight="1">
      <c r="A848" s="1">
        <v>16832</v>
      </c>
      <c r="B848" s="2">
        <v>44890.688912037032</v>
      </c>
      <c r="C848" s="1" t="s">
        <v>10</v>
      </c>
      <c r="D848" s="1">
        <v>25</v>
      </c>
      <c r="E848" s="1" t="s">
        <v>50</v>
      </c>
      <c r="F848" s="3"/>
    </row>
    <row r="849" spans="1:6" ht="15.75" customHeight="1">
      <c r="A849" s="1">
        <v>16826</v>
      </c>
      <c r="B849" s="2">
        <v>44890.118692129632</v>
      </c>
      <c r="C849" s="1" t="s">
        <v>10</v>
      </c>
      <c r="D849" s="1">
        <v>86</v>
      </c>
      <c r="E849" s="1" t="s">
        <v>50</v>
      </c>
      <c r="F849" s="3"/>
    </row>
    <row r="850" spans="1:6" ht="15.75" customHeight="1">
      <c r="A850" s="1">
        <v>16825</v>
      </c>
      <c r="B850" s="2">
        <v>44890.099166666667</v>
      </c>
      <c r="C850" s="1" t="s">
        <v>10</v>
      </c>
      <c r="D850" s="1">
        <v>79</v>
      </c>
      <c r="E850" s="1" t="s">
        <v>50</v>
      </c>
      <c r="F850" s="3"/>
    </row>
    <row r="851" spans="1:6" ht="15.75" customHeight="1">
      <c r="A851" s="1">
        <v>16824</v>
      </c>
      <c r="B851" s="2">
        <v>44890.02715277778</v>
      </c>
      <c r="C851" s="1" t="s">
        <v>10</v>
      </c>
      <c r="D851" s="1">
        <v>25</v>
      </c>
      <c r="E851" s="1" t="s">
        <v>74</v>
      </c>
      <c r="F851" s="3"/>
    </row>
    <row r="852" spans="1:6" ht="15.75" customHeight="1">
      <c r="A852" s="1">
        <v>16823</v>
      </c>
      <c r="B852" s="2">
        <v>44890.024907407409</v>
      </c>
      <c r="C852" s="1" t="s">
        <v>10</v>
      </c>
      <c r="D852" s="1">
        <v>25</v>
      </c>
      <c r="E852" s="1" t="s">
        <v>74</v>
      </c>
      <c r="F852" s="3"/>
    </row>
    <row r="853" spans="1:6" ht="15.75" customHeight="1">
      <c r="A853" s="1">
        <v>16822</v>
      </c>
      <c r="B853" s="2">
        <v>44889.993611111116</v>
      </c>
      <c r="C853" s="1" t="s">
        <v>10</v>
      </c>
      <c r="D853" s="1">
        <v>25</v>
      </c>
      <c r="E853" s="1" t="s">
        <v>74</v>
      </c>
      <c r="F853" s="3"/>
    </row>
    <row r="854" spans="1:6" ht="15.75" customHeight="1">
      <c r="A854" s="1">
        <v>16821</v>
      </c>
      <c r="B854" s="2">
        <v>44889.992835648147</v>
      </c>
      <c r="C854" s="1" t="s">
        <v>10</v>
      </c>
      <c r="D854" s="1">
        <v>25</v>
      </c>
      <c r="E854" s="1" t="s">
        <v>74</v>
      </c>
      <c r="F854" s="3"/>
    </row>
    <row r="855" spans="1:6" ht="15.75" customHeight="1">
      <c r="A855" s="1">
        <v>16820</v>
      </c>
      <c r="B855" s="2">
        <v>44889.990624999999</v>
      </c>
      <c r="C855" s="1" t="s">
        <v>10</v>
      </c>
      <c r="D855" s="1">
        <v>25</v>
      </c>
      <c r="E855" s="1" t="s">
        <v>74</v>
      </c>
      <c r="F855" s="3"/>
    </row>
    <row r="856" spans="1:6" ht="15.75" customHeight="1">
      <c r="A856" s="1">
        <v>16819</v>
      </c>
      <c r="B856" s="2">
        <v>44889.911226851851</v>
      </c>
      <c r="C856" s="1" t="s">
        <v>10</v>
      </c>
      <c r="D856" s="1">
        <v>25</v>
      </c>
      <c r="E856" s="1" t="s">
        <v>74</v>
      </c>
      <c r="F856" s="3"/>
    </row>
    <row r="857" spans="1:6" ht="15.75" customHeight="1">
      <c r="A857" s="1">
        <v>16818</v>
      </c>
      <c r="B857" s="2">
        <v>44889.863182870366</v>
      </c>
      <c r="C857" s="1" t="s">
        <v>10</v>
      </c>
      <c r="D857" s="1">
        <v>25</v>
      </c>
      <c r="E857" s="1" t="s">
        <v>74</v>
      </c>
      <c r="F857" s="3"/>
    </row>
    <row r="858" spans="1:6" ht="15.75" customHeight="1">
      <c r="A858" s="1">
        <v>16817</v>
      </c>
      <c r="B858" s="2">
        <v>44889.81832175926</v>
      </c>
      <c r="C858" s="1" t="s">
        <v>10</v>
      </c>
      <c r="D858" s="1">
        <v>43</v>
      </c>
      <c r="E858" s="1" t="s">
        <v>50</v>
      </c>
      <c r="F858" s="3"/>
    </row>
    <row r="859" spans="1:6" ht="15.75" customHeight="1">
      <c r="A859" s="1">
        <v>16816</v>
      </c>
      <c r="B859" s="2">
        <v>44889.595810185187</v>
      </c>
      <c r="C859" s="1" t="s">
        <v>10</v>
      </c>
      <c r="D859" s="1">
        <v>28</v>
      </c>
      <c r="E859" s="1" t="s">
        <v>50</v>
      </c>
      <c r="F859" s="3"/>
    </row>
    <row r="860" spans="1:6" ht="15.75" customHeight="1">
      <c r="A860" s="1">
        <v>16815</v>
      </c>
      <c r="B860" s="2">
        <v>44889.544664351852</v>
      </c>
      <c r="C860" s="1" t="s">
        <v>10</v>
      </c>
      <c r="D860" s="1">
        <v>25</v>
      </c>
      <c r="E860" s="1" t="s">
        <v>74</v>
      </c>
      <c r="F860" s="3"/>
    </row>
    <row r="861" spans="1:6" ht="15.75" customHeight="1">
      <c r="A861" s="1">
        <v>16813</v>
      </c>
      <c r="B861" s="2">
        <v>44889.516122685185</v>
      </c>
      <c r="C861" s="1" t="s">
        <v>16</v>
      </c>
      <c r="D861" s="1">
        <v>47</v>
      </c>
      <c r="E861" s="1" t="s">
        <v>74</v>
      </c>
      <c r="F861" s="3"/>
    </row>
    <row r="862" spans="1:6" ht="15.75" customHeight="1">
      <c r="A862" s="1">
        <v>16812</v>
      </c>
      <c r="B862" s="2">
        <v>44889.18074074074</v>
      </c>
      <c r="C862" s="1" t="s">
        <v>10</v>
      </c>
      <c r="D862" s="1">
        <v>25</v>
      </c>
      <c r="E862" s="1" t="s">
        <v>74</v>
      </c>
      <c r="F862" s="3"/>
    </row>
    <row r="863" spans="1:6" ht="15.75" customHeight="1">
      <c r="A863" s="1">
        <v>16811</v>
      </c>
      <c r="B863" s="2">
        <v>44889.146701388891</v>
      </c>
      <c r="C863" s="1" t="s">
        <v>10</v>
      </c>
      <c r="D863" s="1">
        <v>76</v>
      </c>
      <c r="E863" s="1" t="s">
        <v>50</v>
      </c>
      <c r="F863" s="3"/>
    </row>
    <row r="864" spans="1:6" ht="15.75" customHeight="1">
      <c r="A864" s="1">
        <v>16810</v>
      </c>
      <c r="B864" s="2">
        <v>44889.122442129628</v>
      </c>
      <c r="C864" s="1" t="s">
        <v>10</v>
      </c>
      <c r="D864" s="1">
        <v>15</v>
      </c>
      <c r="E864" s="1" t="s">
        <v>50</v>
      </c>
      <c r="F864" s="3"/>
    </row>
    <row r="865" spans="1:6" ht="15.75" customHeight="1">
      <c r="A865" s="1">
        <v>16809</v>
      </c>
      <c r="B865" s="2">
        <v>44889.026990740742</v>
      </c>
      <c r="C865" s="1" t="s">
        <v>10</v>
      </c>
      <c r="D865" s="1">
        <v>30</v>
      </c>
      <c r="E865" s="1" t="s">
        <v>50</v>
      </c>
      <c r="F865" s="3"/>
    </row>
    <row r="866" spans="1:6" ht="15.75" customHeight="1">
      <c r="A866" s="1">
        <v>16808</v>
      </c>
      <c r="B866" s="2">
        <v>44889.021967592591</v>
      </c>
      <c r="C866" s="1" t="s">
        <v>16</v>
      </c>
      <c r="D866" s="1">
        <v>30</v>
      </c>
      <c r="E866" s="1" t="s">
        <v>50</v>
      </c>
      <c r="F866" s="3"/>
    </row>
    <row r="867" spans="1:6" ht="15.75" customHeight="1">
      <c r="A867" s="1">
        <v>16807</v>
      </c>
      <c r="B867" s="2">
        <v>44889.006655092591</v>
      </c>
      <c r="C867" s="1" t="s">
        <v>10</v>
      </c>
      <c r="D867" s="1">
        <v>25</v>
      </c>
      <c r="E867" s="1" t="s">
        <v>50</v>
      </c>
      <c r="F867" s="3"/>
    </row>
    <row r="868" spans="1:6" ht="15.75" customHeight="1">
      <c r="A868" s="1">
        <v>16806</v>
      </c>
      <c r="B868" s="2">
        <v>44889.005023148144</v>
      </c>
      <c r="C868" s="1" t="s">
        <v>10</v>
      </c>
      <c r="D868" s="1">
        <v>25</v>
      </c>
      <c r="E868" s="1" t="s">
        <v>50</v>
      </c>
      <c r="F868" s="3"/>
    </row>
    <row r="869" spans="1:6" ht="15.75" customHeight="1">
      <c r="A869" s="1">
        <v>16805</v>
      </c>
      <c r="B869" s="2">
        <v>44888.997141203705</v>
      </c>
      <c r="C869" s="1" t="s">
        <v>10</v>
      </c>
      <c r="D869" s="1">
        <v>55</v>
      </c>
      <c r="E869" s="1" t="s">
        <v>50</v>
      </c>
      <c r="F869" s="3"/>
    </row>
    <row r="870" spans="1:6" ht="15.75" customHeight="1">
      <c r="A870" s="1">
        <v>16804</v>
      </c>
      <c r="B870" s="2">
        <v>44888.99486111111</v>
      </c>
      <c r="C870" s="1" t="s">
        <v>10</v>
      </c>
      <c r="D870" s="1">
        <v>15</v>
      </c>
      <c r="E870" s="1" t="s">
        <v>50</v>
      </c>
      <c r="F870" s="3"/>
    </row>
    <row r="871" spans="1:6" ht="15.75" customHeight="1">
      <c r="A871" s="1">
        <v>16803</v>
      </c>
      <c r="B871" s="2">
        <v>44888.993888888886</v>
      </c>
      <c r="C871" s="1" t="s">
        <v>10</v>
      </c>
      <c r="D871" s="1">
        <v>44</v>
      </c>
      <c r="E871" s="1" t="s">
        <v>50</v>
      </c>
      <c r="F871" s="3"/>
    </row>
    <row r="872" spans="1:6" ht="15.75" customHeight="1">
      <c r="A872" s="1">
        <v>16802</v>
      </c>
      <c r="B872" s="2">
        <v>44888.982581018514</v>
      </c>
      <c r="C872" s="1" t="s">
        <v>10</v>
      </c>
      <c r="D872" s="1">
        <v>100</v>
      </c>
      <c r="E872" s="1" t="s">
        <v>50</v>
      </c>
      <c r="F872" s="3"/>
    </row>
    <row r="873" spans="1:6" ht="15.75" customHeight="1">
      <c r="A873" s="1">
        <v>16801</v>
      </c>
      <c r="B873" s="2">
        <v>44888.975497685184</v>
      </c>
      <c r="C873" s="1" t="s">
        <v>10</v>
      </c>
      <c r="D873" s="1">
        <v>35</v>
      </c>
      <c r="E873" s="1" t="s">
        <v>50</v>
      </c>
      <c r="F873" s="3"/>
    </row>
    <row r="874" spans="1:6" ht="15.75" customHeight="1">
      <c r="A874" s="1">
        <v>16800</v>
      </c>
      <c r="B874" s="2">
        <v>44888.969988425924</v>
      </c>
      <c r="C874" s="1" t="s">
        <v>10</v>
      </c>
      <c r="D874" s="1">
        <v>24</v>
      </c>
      <c r="E874" s="1" t="s">
        <v>50</v>
      </c>
      <c r="F874" s="3"/>
    </row>
    <row r="875" spans="1:6" ht="15.75" customHeight="1">
      <c r="A875" s="1">
        <v>16799</v>
      </c>
      <c r="B875" s="2">
        <v>44888.968055555553</v>
      </c>
      <c r="C875" s="1" t="s">
        <v>10</v>
      </c>
      <c r="D875" s="1">
        <v>24</v>
      </c>
      <c r="E875" s="1" t="s">
        <v>50</v>
      </c>
      <c r="F875" s="3"/>
    </row>
    <row r="876" spans="1:6" ht="15.75" customHeight="1">
      <c r="A876" s="1">
        <v>16798</v>
      </c>
      <c r="B876" s="2">
        <v>44888.967349537037</v>
      </c>
      <c r="C876" s="1" t="s">
        <v>10</v>
      </c>
      <c r="D876" s="1">
        <v>28</v>
      </c>
      <c r="E876" s="1" t="s">
        <v>50</v>
      </c>
      <c r="F876" s="3"/>
    </row>
    <row r="877" spans="1:6" ht="15.75" customHeight="1">
      <c r="A877" s="1">
        <v>16797</v>
      </c>
      <c r="B877" s="2">
        <v>44888.965717592597</v>
      </c>
      <c r="C877" s="1" t="s">
        <v>10</v>
      </c>
      <c r="D877" s="1">
        <v>25</v>
      </c>
      <c r="E877" s="1" t="s">
        <v>50</v>
      </c>
      <c r="F877" s="3"/>
    </row>
    <row r="878" spans="1:6" ht="15.75" customHeight="1">
      <c r="A878" s="1">
        <v>16796</v>
      </c>
      <c r="B878" s="2">
        <v>44888.965347222227</v>
      </c>
      <c r="C878" s="1" t="s">
        <v>10</v>
      </c>
      <c r="D878" s="1">
        <v>25</v>
      </c>
      <c r="E878" s="1" t="s">
        <v>50</v>
      </c>
      <c r="F878" s="3"/>
    </row>
    <row r="879" spans="1:6" ht="15.75" customHeight="1">
      <c r="A879" s="1">
        <v>16795</v>
      </c>
      <c r="B879" s="2">
        <v>44888.963854166665</v>
      </c>
      <c r="C879" s="1" t="s">
        <v>10</v>
      </c>
      <c r="D879" s="1">
        <v>30</v>
      </c>
      <c r="E879" s="1" t="s">
        <v>50</v>
      </c>
      <c r="F879" s="3"/>
    </row>
    <row r="880" spans="1:6" ht="15.75" customHeight="1">
      <c r="A880" s="1">
        <v>16794</v>
      </c>
      <c r="B880" s="2">
        <v>44888.962256944447</v>
      </c>
      <c r="C880" s="1" t="s">
        <v>10</v>
      </c>
      <c r="D880" s="1">
        <v>25</v>
      </c>
      <c r="E880" s="1" t="s">
        <v>50</v>
      </c>
      <c r="F880" s="3"/>
    </row>
    <row r="881" spans="1:6" ht="15.75" customHeight="1">
      <c r="A881" s="1">
        <v>16793</v>
      </c>
      <c r="B881" s="2">
        <v>44888.960902777777</v>
      </c>
      <c r="C881" s="1" t="s">
        <v>10</v>
      </c>
      <c r="D881" s="1">
        <v>55</v>
      </c>
      <c r="E881" s="1" t="s">
        <v>50</v>
      </c>
      <c r="F881" s="3"/>
    </row>
    <row r="882" spans="1:6" ht="15.75" customHeight="1">
      <c r="A882" s="1">
        <v>16792</v>
      </c>
      <c r="B882" s="2">
        <v>44888.950300925921</v>
      </c>
      <c r="C882" s="1" t="s">
        <v>10</v>
      </c>
      <c r="D882" s="1">
        <v>39</v>
      </c>
      <c r="E882" s="1" t="s">
        <v>50</v>
      </c>
      <c r="F882" s="3"/>
    </row>
    <row r="883" spans="1:6" ht="15.75" customHeight="1">
      <c r="A883" s="1">
        <v>16791</v>
      </c>
      <c r="B883" s="2">
        <v>44888.948564814811</v>
      </c>
      <c r="C883" s="1" t="s">
        <v>10</v>
      </c>
      <c r="D883" s="1">
        <v>24</v>
      </c>
      <c r="E883" s="1" t="s">
        <v>50</v>
      </c>
      <c r="F883" s="3"/>
    </row>
    <row r="884" spans="1:6" ht="15.75" customHeight="1">
      <c r="A884" s="1">
        <v>16790</v>
      </c>
      <c r="B884" s="2">
        <v>44888.935231481482</v>
      </c>
      <c r="C884" s="1" t="s">
        <v>10</v>
      </c>
      <c r="D884" s="1">
        <v>53</v>
      </c>
      <c r="E884" s="1" t="s">
        <v>50</v>
      </c>
      <c r="F884" s="3"/>
    </row>
    <row r="885" spans="1:6" ht="15.75" customHeight="1">
      <c r="A885" s="1">
        <v>16789</v>
      </c>
      <c r="B885" s="2">
        <v>44888.920902777776</v>
      </c>
      <c r="C885" s="1" t="s">
        <v>10</v>
      </c>
      <c r="D885" s="1">
        <v>57</v>
      </c>
      <c r="E885" s="1" t="s">
        <v>50</v>
      </c>
      <c r="F885" s="3"/>
    </row>
    <row r="886" spans="1:6" ht="15.75" customHeight="1">
      <c r="A886" s="1">
        <v>16788</v>
      </c>
      <c r="B886" s="2">
        <v>44888.886145833334</v>
      </c>
      <c r="C886" s="1" t="s">
        <v>10</v>
      </c>
      <c r="D886" s="1">
        <v>40</v>
      </c>
      <c r="E886" s="1" t="s">
        <v>74</v>
      </c>
      <c r="F886" s="3"/>
    </row>
    <row r="887" spans="1:6" ht="15.75" customHeight="1">
      <c r="A887" s="1">
        <v>16787</v>
      </c>
      <c r="B887" s="2">
        <v>44888.84511574074</v>
      </c>
      <c r="C887" s="1" t="s">
        <v>10</v>
      </c>
      <c r="D887" s="1">
        <v>24</v>
      </c>
      <c r="E887" s="1" t="s">
        <v>50</v>
      </c>
      <c r="F887" s="3"/>
    </row>
    <row r="888" spans="1:6" ht="15.75" customHeight="1">
      <c r="A888" s="1">
        <v>16786</v>
      </c>
      <c r="B888" s="2">
        <v>44888.843518518523</v>
      </c>
      <c r="C888" s="1" t="s">
        <v>10</v>
      </c>
      <c r="D888" s="1">
        <v>24</v>
      </c>
      <c r="E888" s="1" t="s">
        <v>50</v>
      </c>
      <c r="F888" s="3"/>
    </row>
    <row r="889" spans="1:6" ht="15.75" customHeight="1">
      <c r="A889" s="1">
        <v>16785</v>
      </c>
      <c r="B889" s="2">
        <v>44888.818402777775</v>
      </c>
      <c r="C889" s="1" t="s">
        <v>10</v>
      </c>
      <c r="D889" s="1">
        <v>24</v>
      </c>
      <c r="E889" s="1" t="s">
        <v>50</v>
      </c>
      <c r="F889" s="3"/>
    </row>
    <row r="890" spans="1:6" ht="15.75" customHeight="1">
      <c r="A890" s="1">
        <v>16784</v>
      </c>
      <c r="B890" s="2">
        <v>44888.785682870366</v>
      </c>
      <c r="C890" s="1" t="s">
        <v>10</v>
      </c>
      <c r="D890" s="1">
        <v>22</v>
      </c>
      <c r="E890" s="1" t="s">
        <v>50</v>
      </c>
      <c r="F890" s="3"/>
    </row>
    <row r="891" spans="1:6" ht="15.75" customHeight="1">
      <c r="A891" s="1">
        <v>16783</v>
      </c>
      <c r="B891" s="2">
        <v>44888.635219907403</v>
      </c>
      <c r="C891" s="1" t="s">
        <v>10</v>
      </c>
      <c r="D891" s="1">
        <v>50</v>
      </c>
      <c r="E891" s="1" t="s">
        <v>74</v>
      </c>
      <c r="F891" s="3"/>
    </row>
    <row r="892" spans="1:6" ht="15.75" customHeight="1">
      <c r="A892" s="1">
        <v>16782</v>
      </c>
      <c r="B892" s="2">
        <v>44888.6015625</v>
      </c>
      <c r="C892" s="1" t="s">
        <v>10</v>
      </c>
      <c r="D892" s="1">
        <v>55</v>
      </c>
      <c r="E892" s="1" t="s">
        <v>50</v>
      </c>
      <c r="F892" s="3"/>
    </row>
    <row r="893" spans="1:6" ht="15.75" customHeight="1">
      <c r="A893" s="1">
        <v>16781</v>
      </c>
      <c r="B893" s="2">
        <v>44888.572268518517</v>
      </c>
      <c r="C893" s="1" t="s">
        <v>10</v>
      </c>
      <c r="D893" s="1">
        <v>53</v>
      </c>
      <c r="E893" s="1" t="s">
        <v>74</v>
      </c>
      <c r="F893" s="3"/>
    </row>
    <row r="894" spans="1:6" ht="15.75" customHeight="1">
      <c r="A894" s="1">
        <v>16780</v>
      </c>
      <c r="B894" s="2">
        <v>44888.536469907413</v>
      </c>
      <c r="C894" s="1" t="s">
        <v>10</v>
      </c>
      <c r="D894" s="1">
        <v>59</v>
      </c>
      <c r="E894" s="1" t="s">
        <v>50</v>
      </c>
      <c r="F894" s="3"/>
    </row>
    <row r="895" spans="1:6" ht="15.75" customHeight="1">
      <c r="A895" s="1">
        <v>16779</v>
      </c>
      <c r="B895" s="2">
        <v>44888.165150462963</v>
      </c>
      <c r="C895" s="1" t="s">
        <v>10</v>
      </c>
      <c r="D895" s="1">
        <v>68</v>
      </c>
      <c r="E895" s="1" t="s">
        <v>50</v>
      </c>
      <c r="F895" s="3"/>
    </row>
    <row r="896" spans="1:6" ht="15.75" customHeight="1">
      <c r="A896" s="1">
        <v>16778</v>
      </c>
      <c r="B896" s="2">
        <v>44888.156805555554</v>
      </c>
      <c r="C896" s="1" t="s">
        <v>10</v>
      </c>
      <c r="D896" s="1">
        <v>24</v>
      </c>
      <c r="E896" s="1" t="s">
        <v>50</v>
      </c>
      <c r="F896" s="3"/>
    </row>
    <row r="897" spans="1:6" ht="15.75" customHeight="1">
      <c r="A897" s="1">
        <v>16777</v>
      </c>
      <c r="B897" s="2">
        <v>44888.15489583333</v>
      </c>
      <c r="C897" s="1" t="s">
        <v>10</v>
      </c>
      <c r="D897" s="1">
        <v>45</v>
      </c>
      <c r="E897" s="1" t="s">
        <v>50</v>
      </c>
      <c r="F897" s="3"/>
    </row>
    <row r="898" spans="1:6" ht="15.75" customHeight="1">
      <c r="A898" s="1">
        <v>16776</v>
      </c>
      <c r="B898" s="2">
        <v>44888.078680555554</v>
      </c>
      <c r="C898" s="1" t="s">
        <v>10</v>
      </c>
      <c r="D898" s="1">
        <v>20</v>
      </c>
      <c r="E898" s="1" t="s">
        <v>50</v>
      </c>
      <c r="F898" s="3"/>
    </row>
    <row r="899" spans="1:6" ht="15.75" customHeight="1">
      <c r="A899" s="1">
        <v>16775</v>
      </c>
      <c r="B899" s="2">
        <v>44888.07613425926</v>
      </c>
      <c r="C899" s="1" t="s">
        <v>10</v>
      </c>
      <c r="D899" s="1">
        <v>35</v>
      </c>
      <c r="E899" s="1" t="s">
        <v>50</v>
      </c>
      <c r="F899" s="3"/>
    </row>
    <row r="900" spans="1:6" ht="15.75" customHeight="1">
      <c r="A900" s="1">
        <v>16774</v>
      </c>
      <c r="B900" s="2">
        <v>44888.07335648148</v>
      </c>
      <c r="C900" s="1" t="s">
        <v>10</v>
      </c>
      <c r="D900" s="1">
        <v>20</v>
      </c>
      <c r="E900" s="1" t="s">
        <v>50</v>
      </c>
      <c r="F900" s="3"/>
    </row>
    <row r="901" spans="1:6" ht="15.75" customHeight="1">
      <c r="A901" s="1">
        <v>16773</v>
      </c>
      <c r="B901" s="2">
        <v>44888.069537037038</v>
      </c>
      <c r="C901" s="1" t="s">
        <v>10</v>
      </c>
      <c r="D901" s="1">
        <v>49</v>
      </c>
      <c r="E901" s="1" t="s">
        <v>50</v>
      </c>
      <c r="F901" s="3"/>
    </row>
    <row r="902" spans="1:6" ht="15.75" customHeight="1">
      <c r="A902" s="1">
        <v>16772</v>
      </c>
      <c r="B902" s="2">
        <v>44888.065821759257</v>
      </c>
      <c r="C902" s="1" t="s">
        <v>10</v>
      </c>
      <c r="D902" s="1">
        <v>58</v>
      </c>
      <c r="E902" s="1" t="s">
        <v>50</v>
      </c>
      <c r="F902" s="3"/>
    </row>
    <row r="903" spans="1:6" ht="15.75" customHeight="1">
      <c r="A903" s="1">
        <v>16771</v>
      </c>
      <c r="B903" s="2">
        <v>44888.065474537041</v>
      </c>
      <c r="C903" s="1" t="s">
        <v>10</v>
      </c>
      <c r="D903" s="1">
        <v>25</v>
      </c>
      <c r="E903" s="1" t="s">
        <v>50</v>
      </c>
      <c r="F903" s="3"/>
    </row>
    <row r="904" spans="1:6" ht="15.75" customHeight="1">
      <c r="A904" s="1">
        <v>16770</v>
      </c>
      <c r="B904" s="2">
        <v>44888.062939814816</v>
      </c>
      <c r="C904" s="1" t="s">
        <v>10</v>
      </c>
      <c r="D904" s="1">
        <v>24</v>
      </c>
      <c r="E904" s="1" t="s">
        <v>50</v>
      </c>
      <c r="F904" s="3"/>
    </row>
    <row r="905" spans="1:6" ht="15.75" customHeight="1">
      <c r="A905" s="1">
        <v>16769</v>
      </c>
      <c r="B905" s="2">
        <v>44888.057291666672</v>
      </c>
      <c r="C905" s="1" t="s">
        <v>10</v>
      </c>
      <c r="D905" s="1">
        <v>25</v>
      </c>
      <c r="E905" s="1" t="s">
        <v>50</v>
      </c>
      <c r="F905" s="3"/>
    </row>
    <row r="906" spans="1:6" ht="15.75" customHeight="1">
      <c r="A906" s="1">
        <v>16768</v>
      </c>
      <c r="B906" s="2">
        <v>44888.047986111109</v>
      </c>
      <c r="C906" s="1" t="s">
        <v>10</v>
      </c>
      <c r="D906" s="1">
        <v>35</v>
      </c>
      <c r="E906" s="1" t="s">
        <v>50</v>
      </c>
      <c r="F906" s="3"/>
    </row>
    <row r="907" spans="1:6" ht="15.75" customHeight="1">
      <c r="A907" s="1">
        <v>16767</v>
      </c>
      <c r="B907" s="2">
        <v>44888.045057870375</v>
      </c>
      <c r="C907" s="1" t="s">
        <v>10</v>
      </c>
      <c r="D907" s="1">
        <v>35</v>
      </c>
      <c r="E907" s="1" t="s">
        <v>50</v>
      </c>
      <c r="F907" s="3"/>
    </row>
    <row r="908" spans="1:6" ht="15.75" customHeight="1">
      <c r="A908" s="1">
        <v>16766</v>
      </c>
      <c r="B908" s="2">
        <v>44888.041886574079</v>
      </c>
      <c r="C908" s="1" t="s">
        <v>10</v>
      </c>
      <c r="D908" s="1">
        <v>35</v>
      </c>
      <c r="E908" s="1" t="s">
        <v>50</v>
      </c>
      <c r="F908" s="3"/>
    </row>
    <row r="909" spans="1:6" ht="15.75" customHeight="1">
      <c r="A909" s="1">
        <v>16765</v>
      </c>
      <c r="B909" s="2">
        <v>44888.04142361111</v>
      </c>
      <c r="C909" s="1" t="s">
        <v>10</v>
      </c>
      <c r="D909" s="1">
        <v>35</v>
      </c>
      <c r="E909" s="1" t="s">
        <v>50</v>
      </c>
      <c r="F909" s="3"/>
    </row>
    <row r="910" spans="1:6" ht="15.75" customHeight="1">
      <c r="A910" s="1">
        <v>16764</v>
      </c>
      <c r="B910" s="2">
        <v>44888.03974537037</v>
      </c>
      <c r="C910" s="1" t="s">
        <v>10</v>
      </c>
      <c r="D910" s="1">
        <v>25</v>
      </c>
      <c r="E910" s="1" t="s">
        <v>50</v>
      </c>
      <c r="F910" s="3"/>
    </row>
    <row r="911" spans="1:6" ht="15.75" customHeight="1">
      <c r="A911" s="1">
        <v>16763</v>
      </c>
      <c r="B911" s="2">
        <v>44888.039594907408</v>
      </c>
      <c r="C911" s="1" t="s">
        <v>10</v>
      </c>
      <c r="D911" s="1">
        <v>35</v>
      </c>
      <c r="E911" s="1" t="s">
        <v>50</v>
      </c>
      <c r="F911" s="3"/>
    </row>
    <row r="912" spans="1:6" ht="15.75" customHeight="1">
      <c r="A912" s="1">
        <v>16762</v>
      </c>
      <c r="B912" s="2">
        <v>44888.038206018522</v>
      </c>
      <c r="C912" s="1" t="s">
        <v>10</v>
      </c>
      <c r="D912" s="1">
        <v>20</v>
      </c>
      <c r="E912" s="1" t="s">
        <v>50</v>
      </c>
      <c r="F912" s="3"/>
    </row>
    <row r="913" spans="1:6" ht="15.75" customHeight="1">
      <c r="A913" s="1">
        <v>16761</v>
      </c>
      <c r="B913" s="2">
        <v>44888.036122685182</v>
      </c>
      <c r="C913" s="1" t="s">
        <v>10</v>
      </c>
      <c r="D913" s="1">
        <v>42</v>
      </c>
      <c r="E913" s="1" t="s">
        <v>50</v>
      </c>
      <c r="F913" s="3"/>
    </row>
    <row r="914" spans="1:6" ht="15.75" customHeight="1">
      <c r="A914" s="1">
        <v>16760</v>
      </c>
      <c r="B914" s="2">
        <v>44888.035092592589</v>
      </c>
      <c r="C914" s="1" t="s">
        <v>10</v>
      </c>
      <c r="D914" s="1">
        <v>88</v>
      </c>
      <c r="E914" s="1" t="s">
        <v>50</v>
      </c>
      <c r="F914" s="3"/>
    </row>
    <row r="915" spans="1:6" ht="15.75" customHeight="1">
      <c r="A915" s="1">
        <v>16759</v>
      </c>
      <c r="B915" s="2">
        <v>44888.032812500001</v>
      </c>
      <c r="C915" s="1" t="s">
        <v>10</v>
      </c>
      <c r="D915" s="1">
        <v>25</v>
      </c>
      <c r="E915" s="1" t="s">
        <v>50</v>
      </c>
      <c r="F915" s="3"/>
    </row>
    <row r="916" spans="1:6" ht="15.75" customHeight="1">
      <c r="A916" s="1">
        <v>16758</v>
      </c>
      <c r="B916" s="2">
        <v>44888.03125</v>
      </c>
      <c r="C916" s="1" t="s">
        <v>10</v>
      </c>
      <c r="D916" s="1">
        <v>35</v>
      </c>
      <c r="E916" s="1" t="s">
        <v>50</v>
      </c>
      <c r="F916" s="3"/>
    </row>
    <row r="917" spans="1:6" ht="15.75" customHeight="1">
      <c r="A917" s="1">
        <v>16757</v>
      </c>
      <c r="B917" s="2">
        <v>44888.028009259258</v>
      </c>
      <c r="C917" s="1" t="s">
        <v>10</v>
      </c>
      <c r="D917" s="1">
        <v>35</v>
      </c>
      <c r="E917" s="1" t="s">
        <v>50</v>
      </c>
      <c r="F917" s="3"/>
    </row>
    <row r="918" spans="1:6" ht="15.75" customHeight="1">
      <c r="A918" s="1">
        <v>16756</v>
      </c>
      <c r="B918" s="2">
        <v>44888.028009259258</v>
      </c>
      <c r="C918" s="1" t="s">
        <v>10</v>
      </c>
      <c r="D918" s="1">
        <v>24</v>
      </c>
      <c r="E918" s="1" t="s">
        <v>50</v>
      </c>
      <c r="F918" s="3"/>
    </row>
    <row r="919" spans="1:6" ht="15.75" customHeight="1">
      <c r="A919" s="1">
        <v>16755</v>
      </c>
      <c r="B919" s="2">
        <v>44888.018043981487</v>
      </c>
      <c r="C919" s="1" t="s">
        <v>10</v>
      </c>
      <c r="D919" s="1">
        <v>0</v>
      </c>
      <c r="E919" s="1" t="s">
        <v>50</v>
      </c>
      <c r="F919" s="3"/>
    </row>
    <row r="920" spans="1:6" ht="15.75" customHeight="1">
      <c r="A920" s="1">
        <v>16754</v>
      </c>
      <c r="B920" s="2">
        <v>44888.009976851856</v>
      </c>
      <c r="C920" s="1" t="s">
        <v>10</v>
      </c>
      <c r="D920" s="1">
        <v>45</v>
      </c>
      <c r="E920" s="1" t="s">
        <v>50</v>
      </c>
      <c r="F920" s="3"/>
    </row>
    <row r="921" spans="1:6" ht="15.75" customHeight="1">
      <c r="A921" s="1">
        <v>16753</v>
      </c>
      <c r="B921" s="2">
        <v>44888.008009259254</v>
      </c>
      <c r="C921" s="1" t="s">
        <v>10</v>
      </c>
      <c r="D921" s="1">
        <v>55</v>
      </c>
      <c r="E921" s="1" t="s">
        <v>50</v>
      </c>
      <c r="F921" s="3"/>
    </row>
    <row r="922" spans="1:6" ht="15.75" customHeight="1">
      <c r="A922" s="1">
        <v>16752</v>
      </c>
      <c r="B922" s="2">
        <v>44888.006539351853</v>
      </c>
      <c r="C922" s="1" t="s">
        <v>10</v>
      </c>
      <c r="D922" s="1">
        <v>35</v>
      </c>
      <c r="E922" s="1" t="s">
        <v>50</v>
      </c>
      <c r="F922" s="3"/>
    </row>
    <row r="923" spans="1:6" ht="15.75" customHeight="1">
      <c r="A923" s="1">
        <v>16751</v>
      </c>
      <c r="B923" s="2">
        <v>44888.003750000003</v>
      </c>
      <c r="C923" s="1" t="s">
        <v>10</v>
      </c>
      <c r="D923" s="1">
        <v>35</v>
      </c>
      <c r="E923" s="1" t="s">
        <v>50</v>
      </c>
      <c r="F923" s="3"/>
    </row>
    <row r="924" spans="1:6" ht="15.75" customHeight="1">
      <c r="A924" s="1">
        <v>16750</v>
      </c>
      <c r="B924" s="2">
        <v>44887.999027777776</v>
      </c>
      <c r="C924" s="1" t="s">
        <v>10</v>
      </c>
      <c r="D924" s="1">
        <v>25</v>
      </c>
      <c r="E924" s="1" t="s">
        <v>50</v>
      </c>
      <c r="F924" s="3"/>
    </row>
    <row r="925" spans="1:6" ht="15.75" customHeight="1">
      <c r="A925" s="1">
        <v>16749</v>
      </c>
      <c r="B925" s="2">
        <v>44887.998194444444</v>
      </c>
      <c r="C925" s="1" t="s">
        <v>10</v>
      </c>
      <c r="D925" s="1">
        <v>15</v>
      </c>
      <c r="E925" s="1" t="s">
        <v>50</v>
      </c>
      <c r="F925" s="3"/>
    </row>
    <row r="926" spans="1:6" ht="15.75" customHeight="1">
      <c r="A926" s="1">
        <v>16748</v>
      </c>
      <c r="B926" s="2">
        <v>44887.990173611106</v>
      </c>
      <c r="C926" s="1" t="s">
        <v>10</v>
      </c>
      <c r="D926" s="1">
        <v>25</v>
      </c>
      <c r="E926" s="1" t="s">
        <v>50</v>
      </c>
      <c r="F926" s="3"/>
    </row>
    <row r="927" spans="1:6" ht="15.75" customHeight="1">
      <c r="A927" s="1">
        <v>16747</v>
      </c>
      <c r="B927" s="2">
        <v>44887.989687499998</v>
      </c>
      <c r="C927" s="1" t="s">
        <v>10</v>
      </c>
      <c r="D927" s="1">
        <v>53</v>
      </c>
      <c r="E927" s="1" t="s">
        <v>50</v>
      </c>
      <c r="F927" s="3"/>
    </row>
    <row r="928" spans="1:6" ht="15.75" customHeight="1">
      <c r="A928" s="1">
        <v>16746</v>
      </c>
      <c r="B928" s="2">
        <v>44887.986597222218</v>
      </c>
      <c r="C928" s="1" t="s">
        <v>10</v>
      </c>
      <c r="D928" s="1">
        <v>35</v>
      </c>
      <c r="E928" s="1" t="s">
        <v>50</v>
      </c>
      <c r="F928" s="3"/>
    </row>
    <row r="929" spans="1:6" ht="15.75" customHeight="1">
      <c r="A929" s="1">
        <v>16745</v>
      </c>
      <c r="B929" s="2">
        <v>44887.985173611116</v>
      </c>
      <c r="C929" s="1" t="s">
        <v>10</v>
      </c>
      <c r="D929" s="1">
        <v>53</v>
      </c>
      <c r="E929" s="1" t="s">
        <v>50</v>
      </c>
      <c r="F929" s="3"/>
    </row>
    <row r="930" spans="1:6" ht="15.75" customHeight="1">
      <c r="A930" s="1">
        <v>16744</v>
      </c>
      <c r="B930" s="2">
        <v>44887.983807870369</v>
      </c>
      <c r="C930" s="1" t="s">
        <v>10</v>
      </c>
      <c r="D930" s="1">
        <v>25</v>
      </c>
      <c r="E930" s="1" t="s">
        <v>50</v>
      </c>
      <c r="F930" s="3"/>
    </row>
    <row r="931" spans="1:6" ht="15.75" customHeight="1">
      <c r="A931" s="1">
        <v>16743</v>
      </c>
      <c r="B931" s="2">
        <v>44887.977083333331</v>
      </c>
      <c r="C931" s="1" t="s">
        <v>10</v>
      </c>
      <c r="D931" s="1">
        <v>28</v>
      </c>
      <c r="E931" s="1" t="s">
        <v>50</v>
      </c>
      <c r="F931" s="3"/>
    </row>
    <row r="932" spans="1:6" ht="15.75" customHeight="1">
      <c r="A932" s="1">
        <v>16742</v>
      </c>
      <c r="B932" s="2">
        <v>44887.976226851853</v>
      </c>
      <c r="C932" s="1" t="s">
        <v>10</v>
      </c>
      <c r="D932" s="1">
        <v>44</v>
      </c>
      <c r="E932" s="1" t="s">
        <v>50</v>
      </c>
      <c r="F932" s="3"/>
    </row>
    <row r="933" spans="1:6" ht="15.75" customHeight="1">
      <c r="A933" s="1">
        <v>16741</v>
      </c>
      <c r="B933" s="2">
        <v>44887.975995370369</v>
      </c>
      <c r="C933" s="1" t="s">
        <v>10</v>
      </c>
      <c r="D933" s="1">
        <v>24</v>
      </c>
      <c r="E933" s="1" t="s">
        <v>50</v>
      </c>
      <c r="F933" s="3"/>
    </row>
    <row r="934" spans="1:6" ht="15.75" customHeight="1">
      <c r="A934" s="1">
        <v>16740</v>
      </c>
      <c r="B934" s="2">
        <v>44887.973761574074</v>
      </c>
      <c r="C934" s="1" t="s">
        <v>10</v>
      </c>
      <c r="D934" s="1">
        <v>55</v>
      </c>
      <c r="E934" s="1" t="s">
        <v>50</v>
      </c>
      <c r="F934" s="3"/>
    </row>
    <row r="935" spans="1:6" ht="15.75" customHeight="1">
      <c r="A935" s="1">
        <v>16739</v>
      </c>
      <c r="B935" s="2">
        <v>44887.970520833333</v>
      </c>
      <c r="C935" s="1" t="s">
        <v>10</v>
      </c>
      <c r="D935" s="1">
        <v>25</v>
      </c>
      <c r="E935" s="1" t="s">
        <v>50</v>
      </c>
      <c r="F935" s="3"/>
    </row>
    <row r="936" spans="1:6" ht="15.75" customHeight="1">
      <c r="A936" s="1">
        <v>16738</v>
      </c>
      <c r="B936" s="2">
        <v>44887.970324074078</v>
      </c>
      <c r="C936" s="1" t="s">
        <v>10</v>
      </c>
      <c r="D936" s="1">
        <v>35</v>
      </c>
      <c r="E936" s="1" t="s">
        <v>50</v>
      </c>
      <c r="F936" s="3"/>
    </row>
    <row r="937" spans="1:6" ht="15.75" customHeight="1">
      <c r="A937" s="1">
        <v>16737</v>
      </c>
      <c r="B937" s="2">
        <v>44887.968518518523</v>
      </c>
      <c r="C937" s="1" t="s">
        <v>10</v>
      </c>
      <c r="D937" s="1">
        <v>25</v>
      </c>
      <c r="E937" s="1" t="s">
        <v>50</v>
      </c>
      <c r="F937" s="3"/>
    </row>
    <row r="938" spans="1:6" ht="15.75" customHeight="1">
      <c r="A938" s="1">
        <v>16736</v>
      </c>
      <c r="B938" s="2">
        <v>44887.967824074076</v>
      </c>
      <c r="C938" s="1" t="s">
        <v>10</v>
      </c>
      <c r="D938" s="1">
        <v>35</v>
      </c>
      <c r="E938" s="1" t="s">
        <v>50</v>
      </c>
      <c r="F938" s="3"/>
    </row>
    <row r="939" spans="1:6" ht="15.75" customHeight="1">
      <c r="A939" s="1">
        <v>16735</v>
      </c>
      <c r="B939" s="2">
        <v>44887.942361111112</v>
      </c>
      <c r="C939" s="1" t="s">
        <v>10</v>
      </c>
      <c r="D939" s="1">
        <v>39</v>
      </c>
      <c r="E939" s="1" t="s">
        <v>50</v>
      </c>
      <c r="F939" s="3"/>
    </row>
    <row r="940" spans="1:6" ht="15.75" customHeight="1">
      <c r="A940" s="1">
        <v>16734</v>
      </c>
      <c r="B940" s="2">
        <v>44887.94231481482</v>
      </c>
      <c r="C940" s="1" t="s">
        <v>10</v>
      </c>
      <c r="D940" s="1">
        <v>63</v>
      </c>
      <c r="E940" s="1" t="s">
        <v>50</v>
      </c>
      <c r="F940" s="3"/>
    </row>
    <row r="941" spans="1:6" ht="15.75" customHeight="1">
      <c r="A941" s="1">
        <v>16733</v>
      </c>
      <c r="B941" s="2">
        <v>44887.937615740739</v>
      </c>
      <c r="C941" s="1" t="s">
        <v>10</v>
      </c>
      <c r="D941" s="1">
        <v>42</v>
      </c>
      <c r="E941" s="1" t="s">
        <v>50</v>
      </c>
      <c r="F941" s="3"/>
    </row>
    <row r="942" spans="1:6" ht="15.75" customHeight="1">
      <c r="A942" s="1">
        <v>16732</v>
      </c>
      <c r="B942" s="2">
        <v>44887.914849537032</v>
      </c>
      <c r="C942" s="1" t="s">
        <v>10</v>
      </c>
      <c r="D942" s="1">
        <v>18</v>
      </c>
      <c r="E942" s="1" t="s">
        <v>50</v>
      </c>
      <c r="F942" s="3"/>
    </row>
    <row r="943" spans="1:6" ht="15.75" customHeight="1">
      <c r="A943" s="1">
        <v>16731</v>
      </c>
      <c r="B943" s="2">
        <v>44887.911412037036</v>
      </c>
      <c r="C943" s="1" t="s">
        <v>16</v>
      </c>
      <c r="D943" s="1">
        <v>18</v>
      </c>
      <c r="E943" s="1" t="s">
        <v>50</v>
      </c>
      <c r="F943" s="3"/>
    </row>
    <row r="944" spans="1:6" ht="15.75" customHeight="1">
      <c r="A944" s="1">
        <v>16730</v>
      </c>
      <c r="B944" s="2">
        <v>44887.859918981485</v>
      </c>
      <c r="C944" s="1" t="s">
        <v>10</v>
      </c>
      <c r="D944" s="1">
        <v>15</v>
      </c>
      <c r="E944" s="1" t="s">
        <v>50</v>
      </c>
      <c r="F944" s="3"/>
    </row>
    <row r="945" spans="1:6" ht="15.75" customHeight="1">
      <c r="A945" s="1">
        <v>16729</v>
      </c>
      <c r="B945" s="2">
        <v>44887.822280092594</v>
      </c>
      <c r="C945" s="1" t="s">
        <v>10</v>
      </c>
      <c r="D945" s="1">
        <v>35</v>
      </c>
      <c r="E945" s="1" t="s">
        <v>50</v>
      </c>
      <c r="F945" s="3"/>
    </row>
    <row r="946" spans="1:6" ht="15.75" customHeight="1">
      <c r="A946" s="1">
        <v>16728</v>
      </c>
      <c r="B946" s="2">
        <v>44887.770995370374</v>
      </c>
      <c r="C946" s="1" t="s">
        <v>10</v>
      </c>
      <c r="D946" s="1">
        <v>47</v>
      </c>
      <c r="E946" s="1" t="s">
        <v>90</v>
      </c>
      <c r="F946" s="3"/>
    </row>
    <row r="947" spans="1:6" ht="15.75" customHeight="1">
      <c r="A947" s="1">
        <v>16727</v>
      </c>
      <c r="B947" s="2">
        <v>44887.730856481481</v>
      </c>
      <c r="C947" s="1" t="s">
        <v>10</v>
      </c>
      <c r="D947" s="1">
        <v>55</v>
      </c>
      <c r="E947" s="1" t="s">
        <v>50</v>
      </c>
      <c r="F947" s="3"/>
    </row>
    <row r="948" spans="1:6" ht="15.75" customHeight="1">
      <c r="A948" s="1">
        <v>16726</v>
      </c>
      <c r="B948" s="2">
        <v>44887.729444444441</v>
      </c>
      <c r="C948" s="1" t="s">
        <v>10</v>
      </c>
      <c r="D948" s="1">
        <v>28</v>
      </c>
      <c r="E948" s="1" t="s">
        <v>50</v>
      </c>
      <c r="F948" s="3"/>
    </row>
    <row r="949" spans="1:6" ht="15.75" customHeight="1">
      <c r="A949" s="1">
        <v>16725</v>
      </c>
      <c r="B949" s="2">
        <v>44887.693449074075</v>
      </c>
      <c r="C949" s="1" t="s">
        <v>10</v>
      </c>
      <c r="D949" s="1">
        <v>35</v>
      </c>
      <c r="E949" s="1" t="s">
        <v>50</v>
      </c>
      <c r="F949" s="3"/>
    </row>
    <row r="950" spans="1:6" ht="15.75" customHeight="1">
      <c r="A950" s="1">
        <v>16724</v>
      </c>
      <c r="B950" s="2">
        <v>44887.691759259258</v>
      </c>
      <c r="C950" s="1" t="s">
        <v>10</v>
      </c>
      <c r="D950" s="1">
        <v>42</v>
      </c>
      <c r="E950" s="1" t="s">
        <v>50</v>
      </c>
      <c r="F950" s="3"/>
    </row>
    <row r="951" spans="1:6" ht="15.75" customHeight="1">
      <c r="A951" s="1">
        <v>16723</v>
      </c>
      <c r="B951" s="2">
        <v>44887.539178240739</v>
      </c>
      <c r="C951" s="1" t="s">
        <v>10</v>
      </c>
      <c r="D951" s="1">
        <v>35</v>
      </c>
      <c r="E951" s="1" t="s">
        <v>50</v>
      </c>
      <c r="F951" s="3"/>
    </row>
    <row r="952" spans="1:6" ht="15.75" customHeight="1">
      <c r="A952" s="1">
        <v>16719</v>
      </c>
      <c r="B952" s="2">
        <v>44887.138159722221</v>
      </c>
      <c r="C952" s="1" t="s">
        <v>10</v>
      </c>
      <c r="D952" s="1">
        <v>20</v>
      </c>
      <c r="E952" s="1" t="s">
        <v>50</v>
      </c>
      <c r="F952" s="3"/>
    </row>
    <row r="953" spans="1:6" ht="15.75" customHeight="1">
      <c r="A953" s="1">
        <v>16718</v>
      </c>
      <c r="B953" s="2">
        <v>44887.09674768518</v>
      </c>
      <c r="C953" s="1" t="s">
        <v>10</v>
      </c>
      <c r="D953" s="1">
        <v>35</v>
      </c>
      <c r="E953" s="1" t="s">
        <v>50</v>
      </c>
      <c r="F953" s="3"/>
    </row>
    <row r="954" spans="1:6" ht="15.75" customHeight="1">
      <c r="A954" s="1">
        <v>16717</v>
      </c>
      <c r="B954" s="2">
        <v>44887.050057870365</v>
      </c>
      <c r="C954" s="1" t="s">
        <v>10</v>
      </c>
      <c r="D954" s="1">
        <v>10</v>
      </c>
      <c r="E954" s="1" t="s">
        <v>50</v>
      </c>
      <c r="F954" s="3"/>
    </row>
    <row r="955" spans="1:6" ht="15.75" customHeight="1">
      <c r="A955" s="1">
        <v>16716</v>
      </c>
      <c r="B955" s="2">
        <v>44887.041203703702</v>
      </c>
      <c r="C955" s="1" t="s">
        <v>10</v>
      </c>
      <c r="D955" s="1">
        <v>20</v>
      </c>
      <c r="E955" s="1" t="s">
        <v>50</v>
      </c>
      <c r="F955" s="3"/>
    </row>
    <row r="956" spans="1:6" ht="15.75" customHeight="1">
      <c r="A956" s="1">
        <v>16715</v>
      </c>
      <c r="B956" s="2">
        <v>44887.027013888888</v>
      </c>
      <c r="C956" s="1" t="s">
        <v>10</v>
      </c>
      <c r="D956" s="1">
        <v>49</v>
      </c>
      <c r="E956" s="1" t="s">
        <v>50</v>
      </c>
      <c r="F956" s="3"/>
    </row>
    <row r="957" spans="1:6" ht="15.75" customHeight="1">
      <c r="A957" s="1">
        <v>16714</v>
      </c>
      <c r="B957" s="2">
        <v>44887.013414351852</v>
      </c>
      <c r="C957" s="1" t="s">
        <v>10</v>
      </c>
      <c r="D957" s="1">
        <v>15</v>
      </c>
      <c r="E957" s="1" t="s">
        <v>50</v>
      </c>
      <c r="F957" s="3"/>
    </row>
    <row r="958" spans="1:6" ht="15.75" customHeight="1">
      <c r="A958" s="1">
        <v>16713</v>
      </c>
      <c r="B958" s="2">
        <v>44886.999745370369</v>
      </c>
      <c r="C958" s="1" t="s">
        <v>10</v>
      </c>
      <c r="D958" s="1">
        <v>25</v>
      </c>
      <c r="E958" s="1" t="s">
        <v>50</v>
      </c>
      <c r="F958" s="3"/>
    </row>
    <row r="959" spans="1:6" ht="15.75" customHeight="1">
      <c r="A959" s="1">
        <v>16712</v>
      </c>
      <c r="B959" s="2">
        <v>44886.999548611115</v>
      </c>
      <c r="C959" s="1" t="s">
        <v>10</v>
      </c>
      <c r="D959" s="1">
        <v>59</v>
      </c>
      <c r="E959" s="1" t="s">
        <v>50</v>
      </c>
      <c r="F959" s="3"/>
    </row>
    <row r="960" spans="1:6" ht="15.75" customHeight="1">
      <c r="A960" s="1">
        <v>16711</v>
      </c>
      <c r="B960" s="2">
        <v>44886.99391203704</v>
      </c>
      <c r="C960" s="1" t="s">
        <v>10</v>
      </c>
      <c r="D960" s="1">
        <v>20</v>
      </c>
      <c r="E960" s="1" t="s">
        <v>50</v>
      </c>
      <c r="F960" s="3"/>
    </row>
    <row r="961" spans="1:6" ht="15.75" customHeight="1">
      <c r="A961" s="1">
        <v>16710</v>
      </c>
      <c r="B961" s="2">
        <v>44886.990983796291</v>
      </c>
      <c r="C961" s="1" t="s">
        <v>10</v>
      </c>
      <c r="D961" s="1">
        <v>91</v>
      </c>
      <c r="E961" s="1" t="s">
        <v>50</v>
      </c>
      <c r="F961" s="3"/>
    </row>
    <row r="962" spans="1:6" ht="15.75" customHeight="1">
      <c r="A962" s="1">
        <v>16709</v>
      </c>
      <c r="B962" s="2">
        <v>44886.988726851851</v>
      </c>
      <c r="C962" s="1" t="s">
        <v>10</v>
      </c>
      <c r="D962" s="1">
        <v>35</v>
      </c>
      <c r="E962" s="1" t="s">
        <v>50</v>
      </c>
      <c r="F962" s="3"/>
    </row>
    <row r="963" spans="1:6" ht="15.75" customHeight="1">
      <c r="A963" s="1">
        <v>16708</v>
      </c>
      <c r="B963" s="2">
        <v>44886.984143518523</v>
      </c>
      <c r="C963" s="1" t="s">
        <v>10</v>
      </c>
      <c r="D963" s="1">
        <v>10</v>
      </c>
      <c r="E963" s="1" t="s">
        <v>50</v>
      </c>
      <c r="F963" s="3"/>
    </row>
    <row r="964" spans="1:6" ht="15.75" customHeight="1">
      <c r="A964" s="1">
        <v>16707</v>
      </c>
      <c r="B964" s="2">
        <v>44886.981249999997</v>
      </c>
      <c r="C964" s="1" t="s">
        <v>10</v>
      </c>
      <c r="D964" s="1">
        <v>40</v>
      </c>
      <c r="E964" s="1" t="s">
        <v>50</v>
      </c>
      <c r="F964" s="3"/>
    </row>
    <row r="965" spans="1:6" ht="15.75" customHeight="1">
      <c r="A965" s="1">
        <v>16706</v>
      </c>
      <c r="B965" s="2">
        <v>44886.976493055554</v>
      </c>
      <c r="C965" s="1" t="s">
        <v>10</v>
      </c>
      <c r="D965" s="1">
        <v>25</v>
      </c>
      <c r="E965" s="1" t="s">
        <v>50</v>
      </c>
      <c r="F965" s="3"/>
    </row>
    <row r="966" spans="1:6" ht="15.75" customHeight="1">
      <c r="A966" s="1">
        <v>16705</v>
      </c>
      <c r="B966" s="2">
        <v>44886.971377314811</v>
      </c>
      <c r="C966" s="1" t="s">
        <v>10</v>
      </c>
      <c r="D966" s="1">
        <v>41</v>
      </c>
      <c r="E966" s="1" t="s">
        <v>50</v>
      </c>
      <c r="F966" s="3"/>
    </row>
    <row r="967" spans="1:6" ht="15.75" customHeight="1">
      <c r="A967" s="1">
        <v>16704</v>
      </c>
      <c r="B967" s="2">
        <v>44886.958993055552</v>
      </c>
      <c r="C967" s="1" t="s">
        <v>10</v>
      </c>
      <c r="D967" s="1">
        <v>15</v>
      </c>
      <c r="E967" s="1" t="s">
        <v>50</v>
      </c>
      <c r="F967" s="3"/>
    </row>
    <row r="968" spans="1:6" ht="15.75" customHeight="1">
      <c r="A968" s="1">
        <v>16703</v>
      </c>
      <c r="B968" s="2">
        <v>44886.956921296296</v>
      </c>
      <c r="C968" s="1" t="s">
        <v>10</v>
      </c>
      <c r="D968" s="1">
        <v>52</v>
      </c>
      <c r="E968" s="1" t="s">
        <v>50</v>
      </c>
      <c r="F968" s="3"/>
    </row>
    <row r="969" spans="1:6" ht="15.75" customHeight="1">
      <c r="A969" s="1">
        <v>16702</v>
      </c>
      <c r="B969" s="2">
        <v>44886.949166666665</v>
      </c>
      <c r="C969" s="1" t="s">
        <v>10</v>
      </c>
      <c r="D969" s="1">
        <v>18</v>
      </c>
      <c r="E969" s="1" t="s">
        <v>50</v>
      </c>
      <c r="F969" s="3"/>
    </row>
    <row r="970" spans="1:6" ht="15.75" customHeight="1">
      <c r="A970" s="1">
        <v>16701</v>
      </c>
      <c r="B970" s="2">
        <v>44886.947291666671</v>
      </c>
      <c r="C970" s="1" t="s">
        <v>10</v>
      </c>
      <c r="D970" s="1">
        <v>35</v>
      </c>
      <c r="E970" s="1" t="s">
        <v>50</v>
      </c>
      <c r="F970" s="3"/>
    </row>
    <row r="971" spans="1:6" ht="15.75" customHeight="1">
      <c r="A971" s="1">
        <v>16700</v>
      </c>
      <c r="B971" s="2">
        <v>44886.940694444449</v>
      </c>
      <c r="C971" s="1" t="s">
        <v>10</v>
      </c>
      <c r="D971" s="1">
        <v>42</v>
      </c>
      <c r="E971" s="1" t="s">
        <v>50</v>
      </c>
      <c r="F971" s="3"/>
    </row>
    <row r="972" spans="1:6" ht="15.75" customHeight="1">
      <c r="A972" s="1">
        <v>16699</v>
      </c>
      <c r="B972" s="2">
        <v>44886.931712962964</v>
      </c>
      <c r="C972" s="1" t="s">
        <v>10</v>
      </c>
      <c r="D972" s="1">
        <v>35</v>
      </c>
      <c r="E972" s="1" t="s">
        <v>50</v>
      </c>
      <c r="F972" s="3"/>
    </row>
    <row r="973" spans="1:6" ht="15.75" customHeight="1">
      <c r="A973" s="1">
        <v>16698</v>
      </c>
      <c r="B973" s="2">
        <v>44886.89708333333</v>
      </c>
      <c r="C973" s="1" t="s">
        <v>10</v>
      </c>
      <c r="D973" s="1">
        <v>65</v>
      </c>
      <c r="E973" s="1" t="s">
        <v>50</v>
      </c>
      <c r="F973" s="3"/>
    </row>
    <row r="974" spans="1:6" ht="15.75" customHeight="1">
      <c r="A974" s="1">
        <v>16697</v>
      </c>
      <c r="B974" s="2">
        <v>44886.880844907406</v>
      </c>
      <c r="C974" s="1" t="s">
        <v>10</v>
      </c>
      <c r="D974" s="1">
        <v>53</v>
      </c>
      <c r="E974" s="1" t="s">
        <v>50</v>
      </c>
      <c r="F974" s="3"/>
    </row>
    <row r="975" spans="1:6" ht="15.75" customHeight="1">
      <c r="A975" s="1">
        <v>16696</v>
      </c>
      <c r="B975" s="2">
        <v>44886.860636574071</v>
      </c>
      <c r="C975" s="1" t="s">
        <v>10</v>
      </c>
      <c r="D975" s="1">
        <v>35</v>
      </c>
      <c r="E975" s="1" t="s">
        <v>50</v>
      </c>
      <c r="F975" s="3"/>
    </row>
    <row r="976" spans="1:6" ht="15.75" customHeight="1">
      <c r="A976" s="1">
        <v>16695</v>
      </c>
      <c r="B976" s="2">
        <v>44886.859907407408</v>
      </c>
      <c r="C976" s="1" t="s">
        <v>10</v>
      </c>
      <c r="D976" s="1">
        <v>53</v>
      </c>
      <c r="E976" s="1" t="s">
        <v>50</v>
      </c>
      <c r="F976" s="3"/>
    </row>
    <row r="977" spans="1:6" ht="15.75" customHeight="1">
      <c r="A977" s="1">
        <v>16694</v>
      </c>
      <c r="B977" s="2">
        <v>44886.856516203705</v>
      </c>
      <c r="C977" s="1" t="s">
        <v>10</v>
      </c>
      <c r="D977" s="1">
        <v>53</v>
      </c>
      <c r="E977" s="1" t="s">
        <v>50</v>
      </c>
      <c r="F977" s="3"/>
    </row>
    <row r="978" spans="1:6" ht="15.75" customHeight="1">
      <c r="A978" s="1">
        <v>16693</v>
      </c>
      <c r="B978" s="2">
        <v>44886.848020833335</v>
      </c>
      <c r="C978" s="1" t="s">
        <v>10</v>
      </c>
      <c r="D978" s="1">
        <v>75</v>
      </c>
      <c r="E978" s="1" t="s">
        <v>50</v>
      </c>
      <c r="F978" s="3"/>
    </row>
    <row r="979" spans="1:6" ht="15.75" customHeight="1">
      <c r="A979" s="1">
        <v>16692</v>
      </c>
      <c r="B979" s="2">
        <v>44886.84642361111</v>
      </c>
      <c r="C979" s="1" t="s">
        <v>10</v>
      </c>
      <c r="D979" s="1">
        <v>35</v>
      </c>
      <c r="E979" s="1" t="s">
        <v>50</v>
      </c>
      <c r="F979" s="3"/>
    </row>
    <row r="980" spans="1:6" ht="15.75" customHeight="1">
      <c r="A980" s="1">
        <v>16691</v>
      </c>
      <c r="B980" s="2">
        <v>44886.845439814817</v>
      </c>
      <c r="C980" s="1" t="s">
        <v>10</v>
      </c>
      <c r="D980" s="1">
        <v>55</v>
      </c>
      <c r="E980" s="1" t="s">
        <v>50</v>
      </c>
      <c r="F980" s="3"/>
    </row>
    <row r="981" spans="1:6" ht="15.75" customHeight="1">
      <c r="A981" s="1">
        <v>16690</v>
      </c>
      <c r="B981" s="2">
        <v>44886.812638888892</v>
      </c>
      <c r="C981" s="1" t="s">
        <v>10</v>
      </c>
      <c r="D981" s="1">
        <v>65</v>
      </c>
      <c r="E981" s="1" t="s">
        <v>50</v>
      </c>
      <c r="F981" s="3"/>
    </row>
    <row r="982" spans="1:6" ht="15.75" customHeight="1">
      <c r="A982" s="1">
        <v>16689</v>
      </c>
      <c r="B982" s="2">
        <v>44886.801284722227</v>
      </c>
      <c r="C982" s="1" t="s">
        <v>18</v>
      </c>
      <c r="D982" s="1">
        <v>35</v>
      </c>
      <c r="E982" s="1" t="s">
        <v>50</v>
      </c>
      <c r="F982" s="3"/>
    </row>
    <row r="983" spans="1:6" ht="15.75" customHeight="1">
      <c r="A983" s="1">
        <v>16688</v>
      </c>
      <c r="B983" s="2">
        <v>44886.79623842593</v>
      </c>
      <c r="C983" s="1" t="s">
        <v>10</v>
      </c>
      <c r="D983" s="1">
        <v>35</v>
      </c>
      <c r="E983" s="1" t="s">
        <v>50</v>
      </c>
      <c r="F983" s="3"/>
    </row>
    <row r="984" spans="1:6" ht="15.75" customHeight="1">
      <c r="A984" s="1">
        <v>16687</v>
      </c>
      <c r="B984" s="2">
        <v>44886.771747685183</v>
      </c>
      <c r="C984" s="1" t="s">
        <v>10</v>
      </c>
      <c r="D984" s="1">
        <v>35</v>
      </c>
      <c r="E984" s="1" t="s">
        <v>50</v>
      </c>
      <c r="F984" s="3"/>
    </row>
    <row r="985" spans="1:6" ht="15.75" customHeight="1">
      <c r="A985" s="1">
        <v>16686</v>
      </c>
      <c r="B985" s="2">
        <v>44886.629699074074</v>
      </c>
      <c r="C985" s="1" t="s">
        <v>10</v>
      </c>
      <c r="D985" s="1">
        <v>55</v>
      </c>
      <c r="E985" s="1" t="s">
        <v>50</v>
      </c>
      <c r="F985" s="3"/>
    </row>
    <row r="986" spans="1:6" ht="15.75" customHeight="1">
      <c r="A986" s="1">
        <v>16685</v>
      </c>
      <c r="B986" s="2">
        <v>44886.618715277778</v>
      </c>
      <c r="C986" s="1" t="s">
        <v>10</v>
      </c>
      <c r="D986" s="1">
        <v>20</v>
      </c>
      <c r="E986" s="1" t="s">
        <v>50</v>
      </c>
      <c r="F986" s="3"/>
    </row>
    <row r="987" spans="1:6" ht="15.75" customHeight="1">
      <c r="A987" s="1">
        <v>16684</v>
      </c>
      <c r="B987" s="2">
        <v>44886.615601851852</v>
      </c>
      <c r="C987" s="1" t="s">
        <v>10</v>
      </c>
      <c r="D987" s="1">
        <v>15</v>
      </c>
      <c r="E987" s="1" t="s">
        <v>50</v>
      </c>
      <c r="F987" s="3"/>
    </row>
    <row r="988" spans="1:6" ht="15.75" customHeight="1">
      <c r="A988" s="1">
        <v>16654</v>
      </c>
      <c r="B988" s="2">
        <v>44886.534803240742</v>
      </c>
      <c r="C988" s="1" t="s">
        <v>10</v>
      </c>
      <c r="D988" s="1">
        <v>87</v>
      </c>
      <c r="E988" s="1" t="s">
        <v>50</v>
      </c>
      <c r="F988" s="3"/>
    </row>
    <row r="989" spans="1:6" ht="15.75" customHeight="1">
      <c r="A989" s="1">
        <v>16652</v>
      </c>
      <c r="B989" s="2">
        <v>44886.48364583333</v>
      </c>
      <c r="C989" s="1" t="s">
        <v>10</v>
      </c>
      <c r="D989" s="1">
        <v>25</v>
      </c>
      <c r="E989" s="1" t="s">
        <v>50</v>
      </c>
      <c r="F989" s="3"/>
    </row>
    <row r="990" spans="1:6" ht="15.75" customHeight="1">
      <c r="A990" s="1">
        <v>16630</v>
      </c>
      <c r="B990" s="2">
        <v>44885.909884259258</v>
      </c>
      <c r="C990" s="1" t="s">
        <v>10</v>
      </c>
      <c r="D990" s="1">
        <v>20</v>
      </c>
      <c r="E990" s="1" t="s">
        <v>50</v>
      </c>
      <c r="F990" s="3"/>
    </row>
    <row r="991" spans="1:6" ht="15.75" customHeight="1">
      <c r="A991" s="1">
        <v>16621</v>
      </c>
      <c r="B991" s="2">
        <v>44885.659571759257</v>
      </c>
      <c r="C991" s="1" t="s">
        <v>10</v>
      </c>
      <c r="D991" s="1">
        <v>0</v>
      </c>
      <c r="E991" s="1" t="s">
        <v>50</v>
      </c>
      <c r="F991" s="3"/>
    </row>
    <row r="992" spans="1:6" ht="15.75" customHeight="1">
      <c r="A992" s="1">
        <v>16604</v>
      </c>
      <c r="B992" s="2">
        <v>44883.616122685184</v>
      </c>
      <c r="C992" s="1" t="s">
        <v>10</v>
      </c>
      <c r="D992" s="1">
        <v>15</v>
      </c>
      <c r="E992" s="1" t="s">
        <v>50</v>
      </c>
      <c r="F992" s="3"/>
    </row>
    <row r="993" spans="1:6" ht="15.75" customHeight="1">
      <c r="A993" s="1">
        <v>16603</v>
      </c>
      <c r="B993" s="2">
        <v>44883.615162037036</v>
      </c>
      <c r="C993" s="1" t="s">
        <v>10</v>
      </c>
      <c r="D993" s="1">
        <v>143</v>
      </c>
      <c r="E993" s="1" t="s">
        <v>50</v>
      </c>
      <c r="F993" s="3"/>
    </row>
    <row r="994" spans="1:6" ht="15.75" customHeight="1">
      <c r="A994" s="1">
        <v>16602</v>
      </c>
      <c r="B994" s="2">
        <v>44883.590520833328</v>
      </c>
      <c r="C994" s="1" t="s">
        <v>10</v>
      </c>
      <c r="D994" s="1">
        <v>60</v>
      </c>
      <c r="E994" s="1" t="s">
        <v>91</v>
      </c>
      <c r="F994" s="3"/>
    </row>
    <row r="995" spans="1:6" ht="15.75" customHeight="1">
      <c r="A995" s="1">
        <v>16564</v>
      </c>
      <c r="B995" s="2">
        <v>44882.996932870374</v>
      </c>
      <c r="C995" s="1" t="s">
        <v>10</v>
      </c>
      <c r="D995" s="1">
        <v>35</v>
      </c>
      <c r="E995" s="1" t="s">
        <v>92</v>
      </c>
      <c r="F995" s="3"/>
    </row>
    <row r="996" spans="1:6" ht="15.75" customHeight="1">
      <c r="A996" s="1">
        <v>16560</v>
      </c>
      <c r="B996" s="2">
        <v>44881.775277777779</v>
      </c>
      <c r="C996" s="1" t="s">
        <v>10</v>
      </c>
      <c r="D996" s="1">
        <v>83</v>
      </c>
      <c r="E996" s="1" t="s">
        <v>91</v>
      </c>
      <c r="F996" s="3"/>
    </row>
    <row r="997" spans="1:6" ht="15.75" customHeight="1">
      <c r="A997" s="1">
        <v>16554</v>
      </c>
      <c r="B997" s="2">
        <v>44880.163101851853</v>
      </c>
      <c r="C997" s="1" t="s">
        <v>10</v>
      </c>
      <c r="D997" s="1">
        <v>0</v>
      </c>
      <c r="E997" s="1" t="s">
        <v>50</v>
      </c>
      <c r="F997" s="3"/>
    </row>
    <row r="998" spans="1:6" ht="15.75" customHeight="1">
      <c r="A998" s="1">
        <v>16552</v>
      </c>
      <c r="B998" s="2">
        <v>44878.204340277778</v>
      </c>
      <c r="C998" s="1" t="s">
        <v>10</v>
      </c>
      <c r="D998" s="1">
        <v>47</v>
      </c>
      <c r="E998" s="1" t="s">
        <v>93</v>
      </c>
      <c r="F998" s="3"/>
    </row>
    <row r="999" spans="1:6" ht="15.75" customHeight="1">
      <c r="A999" s="1">
        <v>16546</v>
      </c>
      <c r="B999" s="2">
        <v>44877.809733796297</v>
      </c>
      <c r="C999" s="1" t="s">
        <v>10</v>
      </c>
      <c r="D999" s="1">
        <v>25</v>
      </c>
      <c r="E999" s="1" t="s">
        <v>92</v>
      </c>
      <c r="F999" s="3"/>
    </row>
    <row r="1000" spans="1:6" ht="15.75" customHeight="1">
      <c r="A1000" s="1">
        <v>16545</v>
      </c>
      <c r="B1000" s="2">
        <v>44877.809513888889</v>
      </c>
      <c r="C1000" s="1" t="s">
        <v>10</v>
      </c>
      <c r="D1000" s="1">
        <v>25</v>
      </c>
      <c r="E1000" s="1" t="s">
        <v>92</v>
      </c>
      <c r="F1000" s="3"/>
    </row>
    <row r="1001" spans="1:6" ht="15.75" customHeight="1">
      <c r="A1001" s="1">
        <v>16544</v>
      </c>
      <c r="B1001" s="2">
        <v>44877.803032407406</v>
      </c>
      <c r="C1001" s="1" t="s">
        <v>10</v>
      </c>
      <c r="D1001" s="1">
        <v>25</v>
      </c>
      <c r="E1001" s="1" t="s">
        <v>92</v>
      </c>
      <c r="F1001" s="3"/>
    </row>
    <row r="1002" spans="1:6" ht="15.75" customHeight="1">
      <c r="A1002" s="1">
        <v>16543</v>
      </c>
      <c r="B1002" s="2">
        <v>44877.795787037037</v>
      </c>
      <c r="C1002" s="1" t="s">
        <v>10</v>
      </c>
      <c r="D1002" s="1">
        <v>25</v>
      </c>
      <c r="E1002" s="1" t="s">
        <v>92</v>
      </c>
      <c r="F1002" s="3"/>
    </row>
    <row r="1003" spans="1:6" ht="15.75" customHeight="1">
      <c r="A1003" s="1">
        <v>16542</v>
      </c>
      <c r="B1003" s="2">
        <v>44877.795497685191</v>
      </c>
      <c r="C1003" s="1" t="s">
        <v>10</v>
      </c>
      <c r="D1003" s="1">
        <v>46</v>
      </c>
      <c r="E1003" s="1" t="s">
        <v>92</v>
      </c>
      <c r="F1003" s="3"/>
    </row>
    <row r="1004" spans="1:6" ht="15.75" customHeight="1">
      <c r="A1004" s="1">
        <v>16541</v>
      </c>
      <c r="B1004" s="2">
        <v>44877.787175925929</v>
      </c>
      <c r="C1004" s="1" t="s">
        <v>10</v>
      </c>
      <c r="D1004" s="1">
        <v>25</v>
      </c>
      <c r="E1004" s="1" t="s">
        <v>92</v>
      </c>
      <c r="F1004" s="3"/>
    </row>
    <row r="1005" spans="1:6" ht="15.75" customHeight="1">
      <c r="A1005" s="1">
        <v>16540</v>
      </c>
      <c r="B1005" s="2">
        <v>44877.784085648149</v>
      </c>
      <c r="C1005" s="1" t="s">
        <v>10</v>
      </c>
      <c r="D1005" s="1">
        <v>35</v>
      </c>
      <c r="E1005" s="1" t="s">
        <v>92</v>
      </c>
      <c r="F1005" s="3"/>
    </row>
    <row r="1006" spans="1:6" ht="15.75" customHeight="1">
      <c r="A1006" s="1">
        <v>16539</v>
      </c>
      <c r="B1006" s="2">
        <v>44877.767118055555</v>
      </c>
      <c r="C1006" s="1" t="s">
        <v>10</v>
      </c>
      <c r="D1006" s="1">
        <v>25</v>
      </c>
      <c r="E1006" s="1" t="s">
        <v>92</v>
      </c>
      <c r="F1006" s="3"/>
    </row>
    <row r="1007" spans="1:6" ht="15.75" customHeight="1">
      <c r="A1007" s="1">
        <v>16538</v>
      </c>
      <c r="B1007" s="2">
        <v>44877.763958333337</v>
      </c>
      <c r="C1007" s="1" t="s">
        <v>10</v>
      </c>
      <c r="D1007" s="1">
        <v>25</v>
      </c>
      <c r="E1007" s="1" t="s">
        <v>92</v>
      </c>
      <c r="F1007" s="3"/>
    </row>
    <row r="1008" spans="1:6" ht="15.75" customHeight="1">
      <c r="A1008" s="1">
        <v>16537</v>
      </c>
      <c r="B1008" s="2">
        <v>44877.734259259261</v>
      </c>
      <c r="C1008" s="1" t="s">
        <v>10</v>
      </c>
      <c r="D1008" s="1">
        <v>24</v>
      </c>
      <c r="E1008" s="1" t="s">
        <v>92</v>
      </c>
      <c r="F1008" s="3"/>
    </row>
    <row r="1009" spans="1:6" ht="15.75" customHeight="1">
      <c r="A1009" s="1">
        <v>16536</v>
      </c>
      <c r="B1009" s="2">
        <v>44877.654212962967</v>
      </c>
      <c r="C1009" s="1" t="s">
        <v>10</v>
      </c>
      <c r="D1009" s="1">
        <v>49</v>
      </c>
      <c r="E1009" s="1" t="s">
        <v>92</v>
      </c>
      <c r="F1009" s="3"/>
    </row>
    <row r="1010" spans="1:6" ht="15.75" customHeight="1">
      <c r="A1010" s="1">
        <v>16535</v>
      </c>
      <c r="B1010" s="2">
        <v>44877.644236111111</v>
      </c>
      <c r="C1010" s="1" t="s">
        <v>10</v>
      </c>
      <c r="D1010" s="1">
        <v>25</v>
      </c>
      <c r="E1010" s="1" t="s">
        <v>92</v>
      </c>
      <c r="F1010" s="3"/>
    </row>
    <row r="1011" spans="1:6" ht="15.75" customHeight="1">
      <c r="A1011" s="1">
        <v>16534</v>
      </c>
      <c r="B1011" s="2">
        <v>44877.270196759258</v>
      </c>
      <c r="C1011" s="1" t="s">
        <v>10</v>
      </c>
      <c r="D1011" s="1">
        <v>25</v>
      </c>
      <c r="E1011" s="1" t="s">
        <v>92</v>
      </c>
      <c r="F1011" s="3"/>
    </row>
    <row r="1012" spans="1:6" ht="15.75" customHeight="1">
      <c r="A1012" s="1">
        <v>16458</v>
      </c>
      <c r="B1012" s="2">
        <v>44876.807546296295</v>
      </c>
      <c r="C1012" s="1" t="s">
        <v>10</v>
      </c>
      <c r="D1012" s="1">
        <v>40</v>
      </c>
      <c r="E1012" s="1" t="s">
        <v>92</v>
      </c>
      <c r="F1012" s="3"/>
    </row>
    <row r="1013" spans="1:6" ht="15.75" customHeight="1">
      <c r="A1013" s="1">
        <v>16444</v>
      </c>
      <c r="B1013" s="2">
        <v>44875.802395833336</v>
      </c>
      <c r="C1013" s="1" t="s">
        <v>10</v>
      </c>
      <c r="D1013" s="1">
        <v>25</v>
      </c>
      <c r="E1013" s="1" t="s">
        <v>92</v>
      </c>
      <c r="F1013" s="3"/>
    </row>
    <row r="1014" spans="1:6" ht="15.75" customHeight="1">
      <c r="A1014" s="1">
        <v>16443</v>
      </c>
      <c r="B1014" s="2">
        <v>44875.800659722227</v>
      </c>
      <c r="C1014" s="1" t="s">
        <v>10</v>
      </c>
      <c r="D1014" s="1">
        <v>25</v>
      </c>
      <c r="E1014" s="1" t="s">
        <v>92</v>
      </c>
      <c r="F1014" s="3"/>
    </row>
    <row r="1015" spans="1:6" ht="15.75" customHeight="1">
      <c r="A1015" s="1">
        <v>16442</v>
      </c>
      <c r="B1015" s="2">
        <v>44875.502824074079</v>
      </c>
      <c r="C1015" s="1" t="s">
        <v>10</v>
      </c>
      <c r="D1015" s="1">
        <v>25</v>
      </c>
      <c r="E1015" s="1" t="s">
        <v>92</v>
      </c>
      <c r="F1015" s="3"/>
    </row>
    <row r="1016" spans="1:6" ht="15.75" customHeight="1">
      <c r="A1016" s="1">
        <v>16431</v>
      </c>
      <c r="B1016" s="2">
        <v>44874.8909837963</v>
      </c>
      <c r="C1016" s="1" t="s">
        <v>10</v>
      </c>
      <c r="D1016" s="1">
        <v>25</v>
      </c>
      <c r="E1016" s="1" t="s">
        <v>92</v>
      </c>
      <c r="F1016" s="3"/>
    </row>
    <row r="1017" spans="1:6" ht="15.75" customHeight="1">
      <c r="A1017" s="1">
        <v>16430</v>
      </c>
      <c r="B1017" s="2">
        <v>44871.039884259255</v>
      </c>
      <c r="C1017" s="1" t="s">
        <v>10</v>
      </c>
      <c r="D1017" s="1">
        <v>0</v>
      </c>
      <c r="E1017" s="1" t="s">
        <v>93</v>
      </c>
      <c r="F1017" s="3"/>
    </row>
    <row r="1018" spans="1:6" ht="15.75" customHeight="1">
      <c r="A1018" s="1">
        <v>16406</v>
      </c>
      <c r="B1018" s="2">
        <v>44868.76262731482</v>
      </c>
      <c r="C1018" s="1" t="s">
        <v>10</v>
      </c>
      <c r="D1018" s="1">
        <v>0</v>
      </c>
      <c r="E1018" s="1" t="s">
        <v>50</v>
      </c>
      <c r="F1018" s="3"/>
    </row>
    <row r="1019" spans="1:6" ht="15.75" customHeight="1">
      <c r="A1019" s="1">
        <v>16397</v>
      </c>
      <c r="B1019" s="2">
        <v>44865.114629629628</v>
      </c>
      <c r="C1019" s="1" t="s">
        <v>10</v>
      </c>
      <c r="D1019" s="1">
        <v>35</v>
      </c>
      <c r="F1019" s="3"/>
    </row>
    <row r="1020" spans="1:6" ht="15.75" customHeight="1">
      <c r="A1020" s="1">
        <v>16395</v>
      </c>
      <c r="B1020" s="2">
        <v>44864.898831018523</v>
      </c>
      <c r="C1020" s="1" t="s">
        <v>10</v>
      </c>
      <c r="D1020" s="1">
        <v>18</v>
      </c>
      <c r="F1020" s="3"/>
    </row>
    <row r="1021" spans="1:6" ht="15.75" customHeight="1">
      <c r="A1021" s="1">
        <v>16394</v>
      </c>
      <c r="B1021" s="2">
        <v>44864.833402777775</v>
      </c>
      <c r="C1021" s="1" t="s">
        <v>10</v>
      </c>
      <c r="D1021" s="1">
        <v>55</v>
      </c>
      <c r="F1021" s="3"/>
    </row>
    <row r="1022" spans="1:6" ht="15.75" customHeight="1">
      <c r="A1022" s="1">
        <v>16393</v>
      </c>
      <c r="B1022" s="2">
        <v>44864.810543981483</v>
      </c>
      <c r="C1022" s="1" t="s">
        <v>10</v>
      </c>
      <c r="D1022" s="1">
        <v>47</v>
      </c>
      <c r="F1022" s="3"/>
    </row>
    <row r="1023" spans="1:6" ht="15.75" customHeight="1">
      <c r="A1023" s="1">
        <v>16392</v>
      </c>
      <c r="B1023" s="2">
        <v>44864.809513888889</v>
      </c>
      <c r="C1023" s="1" t="s">
        <v>10</v>
      </c>
      <c r="D1023" s="1">
        <v>47</v>
      </c>
      <c r="F1023" s="3"/>
    </row>
    <row r="1024" spans="1:6" ht="15.75" customHeight="1">
      <c r="A1024" s="1">
        <v>16391</v>
      </c>
      <c r="B1024" s="2">
        <v>44864.710821759261</v>
      </c>
      <c r="C1024" s="1" t="s">
        <v>10</v>
      </c>
      <c r="D1024" s="1">
        <v>15</v>
      </c>
      <c r="F1024" s="3"/>
    </row>
    <row r="1025" spans="1:6" ht="15.75" customHeight="1">
      <c r="A1025" s="1">
        <v>16390</v>
      </c>
      <c r="B1025" s="2">
        <v>44864.684212962966</v>
      </c>
      <c r="C1025" s="1" t="s">
        <v>10</v>
      </c>
      <c r="D1025" s="1">
        <v>15</v>
      </c>
      <c r="F1025" s="3"/>
    </row>
    <row r="1026" spans="1:6" ht="15.75" customHeight="1">
      <c r="A1026" s="1">
        <v>16388</v>
      </c>
      <c r="B1026" s="2">
        <v>44863.660740740743</v>
      </c>
      <c r="C1026" s="1" t="s">
        <v>10</v>
      </c>
      <c r="D1026" s="1">
        <v>24</v>
      </c>
      <c r="F1026" s="3"/>
    </row>
    <row r="1027" spans="1:6" ht="15.75" customHeight="1">
      <c r="A1027" s="1">
        <v>16387</v>
      </c>
      <c r="B1027" s="2">
        <v>44863.60328703704</v>
      </c>
      <c r="C1027" s="1" t="s">
        <v>10</v>
      </c>
      <c r="D1027" s="1">
        <v>55</v>
      </c>
      <c r="F1027" s="3"/>
    </row>
    <row r="1028" spans="1:6" ht="15.75" customHeight="1">
      <c r="A1028" s="1">
        <v>16386</v>
      </c>
      <c r="B1028" s="2">
        <v>44863.098368055551</v>
      </c>
      <c r="C1028" s="1" t="s">
        <v>10</v>
      </c>
      <c r="D1028" s="1">
        <v>37</v>
      </c>
      <c r="F1028" s="3"/>
    </row>
    <row r="1029" spans="1:6" ht="15.75" customHeight="1">
      <c r="A1029" s="1">
        <v>16385</v>
      </c>
      <c r="B1029" s="2">
        <v>44862.035601851851</v>
      </c>
      <c r="C1029" s="1" t="s">
        <v>10</v>
      </c>
      <c r="D1029" s="1">
        <v>55</v>
      </c>
      <c r="F1029" s="3"/>
    </row>
    <row r="1030" spans="1:6" ht="15.75" customHeight="1">
      <c r="A1030" s="1">
        <v>16384</v>
      </c>
      <c r="B1030" s="2">
        <v>44862.025659722218</v>
      </c>
      <c r="C1030" s="1" t="s">
        <v>10</v>
      </c>
      <c r="D1030" s="1">
        <v>18</v>
      </c>
      <c r="F1030" s="3"/>
    </row>
    <row r="1031" spans="1:6" ht="15.75" customHeight="1">
      <c r="A1031" s="1">
        <v>16383</v>
      </c>
      <c r="B1031" s="2">
        <v>44861.977303240739</v>
      </c>
      <c r="C1031" s="1" t="s">
        <v>10</v>
      </c>
      <c r="D1031" s="1">
        <v>81</v>
      </c>
      <c r="F1031" s="3"/>
    </row>
    <row r="1032" spans="1:6" ht="15.75" customHeight="1">
      <c r="A1032" s="1">
        <v>16382</v>
      </c>
      <c r="B1032" s="2">
        <v>44861.963402777779</v>
      </c>
      <c r="C1032" s="1" t="s">
        <v>10</v>
      </c>
      <c r="D1032" s="1">
        <v>43</v>
      </c>
      <c r="F1032" s="3"/>
    </row>
    <row r="1033" spans="1:6" ht="15.75" customHeight="1">
      <c r="A1033" s="1">
        <v>16381</v>
      </c>
      <c r="B1033" s="2">
        <v>44861.932627314818</v>
      </c>
      <c r="C1033" s="1" t="s">
        <v>10</v>
      </c>
      <c r="D1033" s="1">
        <v>25</v>
      </c>
      <c r="F1033" s="3"/>
    </row>
    <row r="1034" spans="1:6" ht="15.75" customHeight="1">
      <c r="A1034" s="1">
        <v>16380</v>
      </c>
      <c r="B1034" s="2">
        <v>44861.926585648151</v>
      </c>
      <c r="C1034" s="1" t="s">
        <v>10</v>
      </c>
      <c r="D1034" s="1">
        <v>60</v>
      </c>
      <c r="F1034" s="3"/>
    </row>
    <row r="1035" spans="1:6" ht="15.75" customHeight="1">
      <c r="A1035" s="1">
        <v>16379</v>
      </c>
      <c r="B1035" s="2">
        <v>44861.88890046296</v>
      </c>
      <c r="C1035" s="1" t="s">
        <v>10</v>
      </c>
      <c r="D1035" s="1">
        <v>77</v>
      </c>
      <c r="F1035" s="3"/>
    </row>
    <row r="1036" spans="1:6" ht="15.75" customHeight="1">
      <c r="A1036" s="1">
        <v>16378</v>
      </c>
      <c r="B1036" s="2">
        <v>44861.883692129632</v>
      </c>
      <c r="C1036" s="1" t="s">
        <v>10</v>
      </c>
      <c r="D1036" s="1">
        <v>15</v>
      </c>
      <c r="F1036" s="3"/>
    </row>
    <row r="1037" spans="1:6" ht="15.75" customHeight="1">
      <c r="A1037" s="1">
        <v>16377</v>
      </c>
      <c r="B1037" s="2">
        <v>44861.859270833331</v>
      </c>
      <c r="C1037" s="1" t="s">
        <v>18</v>
      </c>
      <c r="D1037" s="1">
        <v>25</v>
      </c>
      <c r="F1037" s="3"/>
    </row>
    <row r="1038" spans="1:6" ht="15.75" customHeight="1">
      <c r="A1038" s="1">
        <v>16376</v>
      </c>
      <c r="B1038" s="2">
        <v>44861.856238425928</v>
      </c>
      <c r="C1038" s="1" t="s">
        <v>10</v>
      </c>
      <c r="D1038" s="1">
        <v>83</v>
      </c>
      <c r="F1038" s="3"/>
    </row>
    <row r="1039" spans="1:6" ht="15.75" customHeight="1">
      <c r="A1039" s="1">
        <v>16375</v>
      </c>
      <c r="B1039" s="2">
        <v>44861.813333333332</v>
      </c>
      <c r="C1039" s="1" t="s">
        <v>10</v>
      </c>
      <c r="D1039" s="1">
        <v>28</v>
      </c>
      <c r="F1039" s="3"/>
    </row>
    <row r="1040" spans="1:6" ht="15.75" customHeight="1">
      <c r="A1040" s="1">
        <v>16374</v>
      </c>
      <c r="B1040" s="2">
        <v>44861.666712962964</v>
      </c>
      <c r="C1040" s="1" t="s">
        <v>10</v>
      </c>
      <c r="D1040" s="1">
        <v>58</v>
      </c>
      <c r="F1040" s="3"/>
    </row>
    <row r="1041" spans="1:6" ht="15.75" customHeight="1">
      <c r="A1041" s="1">
        <v>16373</v>
      </c>
      <c r="B1041" s="2">
        <v>44861.635914351849</v>
      </c>
      <c r="C1041" s="1" t="s">
        <v>10</v>
      </c>
      <c r="D1041" s="1">
        <v>24</v>
      </c>
      <c r="F1041" s="3"/>
    </row>
    <row r="1042" spans="1:6" ht="15.75" customHeight="1">
      <c r="A1042" s="1">
        <v>16370</v>
      </c>
      <c r="B1042" s="2">
        <v>44860.575601851851</v>
      </c>
      <c r="C1042" s="1" t="s">
        <v>10</v>
      </c>
      <c r="D1042" s="1">
        <v>25</v>
      </c>
      <c r="F1042" s="3"/>
    </row>
    <row r="1043" spans="1:6" ht="15.75" customHeight="1">
      <c r="A1043" s="1">
        <v>16369</v>
      </c>
      <c r="B1043" s="2">
        <v>44860.572083333333</v>
      </c>
      <c r="C1043" s="1" t="s">
        <v>10</v>
      </c>
      <c r="D1043" s="1">
        <v>25</v>
      </c>
      <c r="F1043" s="3"/>
    </row>
    <row r="1044" spans="1:6" ht="15.75" customHeight="1">
      <c r="A1044" s="1">
        <v>16368</v>
      </c>
      <c r="B1044" s="2">
        <v>44858.653391203705</v>
      </c>
      <c r="C1044" s="1" t="s">
        <v>10</v>
      </c>
      <c r="D1044" s="1">
        <v>35</v>
      </c>
      <c r="F1044" s="3"/>
    </row>
    <row r="1045" spans="1:6" ht="15.75" customHeight="1">
      <c r="A1045" s="1">
        <v>16367</v>
      </c>
      <c r="B1045" s="2">
        <v>44857.508518518516</v>
      </c>
      <c r="C1045" s="1" t="s">
        <v>10</v>
      </c>
      <c r="D1045" s="1">
        <v>55</v>
      </c>
      <c r="F1045" s="3"/>
    </row>
    <row r="1046" spans="1:6" ht="15.75" customHeight="1">
      <c r="A1046" s="1">
        <v>16366</v>
      </c>
      <c r="B1046" s="2">
        <v>44854.984803240739</v>
      </c>
      <c r="C1046" s="1" t="s">
        <v>10</v>
      </c>
      <c r="D1046" s="1">
        <v>55</v>
      </c>
      <c r="F1046" s="3"/>
    </row>
    <row r="1047" spans="1:6" ht="15.75" customHeight="1">
      <c r="A1047" s="1">
        <v>16364</v>
      </c>
      <c r="B1047" s="2">
        <v>44851.519918981481</v>
      </c>
      <c r="C1047" s="1" t="s">
        <v>10</v>
      </c>
      <c r="D1047" s="1">
        <v>103</v>
      </c>
      <c r="F1047" s="3"/>
    </row>
    <row r="1048" spans="1:6" ht="15.75" customHeight="1">
      <c r="A1048" s="1">
        <v>16363</v>
      </c>
      <c r="B1048" s="2">
        <v>44850.660682870366</v>
      </c>
      <c r="C1048" s="1" t="s">
        <v>10</v>
      </c>
      <c r="D1048" s="1">
        <v>28</v>
      </c>
      <c r="F1048" s="3"/>
    </row>
    <row r="1049" spans="1:6" ht="15.75" customHeight="1">
      <c r="A1049" s="1">
        <v>16362</v>
      </c>
      <c r="B1049" s="2">
        <v>44850.64230324074</v>
      </c>
      <c r="C1049" s="1" t="s">
        <v>10</v>
      </c>
      <c r="D1049" s="1">
        <v>0</v>
      </c>
      <c r="F1049" s="3"/>
    </row>
    <row r="1050" spans="1:6" ht="15.75" customHeight="1">
      <c r="A1050" s="1">
        <v>16361</v>
      </c>
      <c r="B1050" s="2">
        <v>44850.523483796293</v>
      </c>
      <c r="C1050" s="1" t="s">
        <v>10</v>
      </c>
      <c r="D1050" s="1">
        <v>15</v>
      </c>
      <c r="F1050" s="3"/>
    </row>
    <row r="1051" spans="1:6" ht="15.75" customHeight="1">
      <c r="A1051" s="1">
        <v>16360</v>
      </c>
      <c r="B1051" s="2">
        <v>44848.592222222222</v>
      </c>
      <c r="C1051" s="1" t="s">
        <v>10</v>
      </c>
      <c r="D1051" s="1">
        <v>48</v>
      </c>
      <c r="F1051" s="3"/>
    </row>
    <row r="1052" spans="1:6" ht="15.75" customHeight="1">
      <c r="A1052" s="1">
        <v>16359</v>
      </c>
      <c r="B1052" s="2">
        <v>44848.588854166665</v>
      </c>
      <c r="C1052" s="1" t="s">
        <v>10</v>
      </c>
      <c r="D1052" s="1">
        <v>48</v>
      </c>
      <c r="F1052" s="3"/>
    </row>
    <row r="1053" spans="1:6" ht="15.75" customHeight="1">
      <c r="A1053" s="1">
        <v>16354</v>
      </c>
      <c r="B1053" s="2">
        <v>44846.554270833338</v>
      </c>
      <c r="C1053" s="1" t="s">
        <v>10</v>
      </c>
      <c r="D1053" s="1">
        <v>22</v>
      </c>
      <c r="F1053" s="3"/>
    </row>
    <row r="1054" spans="1:6" ht="15.75" customHeight="1">
      <c r="A1054" s="1">
        <v>16353</v>
      </c>
      <c r="B1054" s="2">
        <v>44846.105983796297</v>
      </c>
      <c r="C1054" s="1" t="s">
        <v>10</v>
      </c>
      <c r="D1054" s="1">
        <v>45</v>
      </c>
      <c r="F1054" s="3"/>
    </row>
    <row r="1055" spans="1:6" ht="15.75" customHeight="1">
      <c r="A1055" s="1">
        <v>16352</v>
      </c>
      <c r="B1055" s="2">
        <v>44846.104664351849</v>
      </c>
      <c r="C1055" s="1" t="s">
        <v>10</v>
      </c>
      <c r="D1055" s="1">
        <v>45</v>
      </c>
      <c r="F1055" s="3"/>
    </row>
    <row r="1056" spans="1:6" ht="15.75" customHeight="1">
      <c r="A1056" s="1">
        <v>16351</v>
      </c>
      <c r="B1056" s="2">
        <v>44846.101666666669</v>
      </c>
      <c r="C1056" s="1" t="s">
        <v>10</v>
      </c>
      <c r="D1056" s="1">
        <v>58</v>
      </c>
      <c r="F1056" s="3"/>
    </row>
    <row r="1057" spans="1:6" ht="15.75" customHeight="1">
      <c r="A1057" s="1">
        <v>16349</v>
      </c>
      <c r="B1057" s="2">
        <v>44845.026053240741</v>
      </c>
      <c r="C1057" s="1" t="s">
        <v>10</v>
      </c>
      <c r="D1057" s="1">
        <v>25</v>
      </c>
      <c r="F1057" s="3"/>
    </row>
    <row r="1058" spans="1:6" ht="15.75" customHeight="1">
      <c r="A1058" s="1">
        <v>16348</v>
      </c>
      <c r="B1058" s="2">
        <v>44844.920347222222</v>
      </c>
      <c r="C1058" s="1" t="s">
        <v>10</v>
      </c>
      <c r="D1058" s="1">
        <v>25</v>
      </c>
      <c r="F1058" s="3"/>
    </row>
    <row r="1059" spans="1:6" ht="15.75" customHeight="1">
      <c r="A1059" s="1">
        <v>16347</v>
      </c>
      <c r="B1059" s="2">
        <v>44844.855486111112</v>
      </c>
      <c r="C1059" s="1" t="s">
        <v>10</v>
      </c>
      <c r="D1059" s="1">
        <v>25</v>
      </c>
      <c r="F1059" s="3"/>
    </row>
    <row r="1060" spans="1:6" ht="15.75" customHeight="1">
      <c r="A1060" s="1">
        <v>16346</v>
      </c>
      <c r="B1060" s="2">
        <v>44844.096562499995</v>
      </c>
      <c r="C1060" s="1" t="s">
        <v>10</v>
      </c>
      <c r="D1060" s="1">
        <v>40</v>
      </c>
      <c r="F1060" s="3"/>
    </row>
    <row r="1061" spans="1:6" ht="15.75" customHeight="1">
      <c r="A1061" s="1">
        <v>16344</v>
      </c>
      <c r="B1061" s="2">
        <v>44840.965787037036</v>
      </c>
      <c r="C1061" s="1" t="s">
        <v>10</v>
      </c>
      <c r="D1061" s="1">
        <v>35</v>
      </c>
      <c r="F1061" s="3"/>
    </row>
    <row r="1062" spans="1:6" ht="15.75" customHeight="1">
      <c r="A1062" s="1">
        <v>16343</v>
      </c>
      <c r="B1062" s="2">
        <v>44840.964490740742</v>
      </c>
      <c r="C1062" s="1" t="s">
        <v>10</v>
      </c>
      <c r="D1062" s="1">
        <v>55</v>
      </c>
      <c r="F1062" s="3"/>
    </row>
    <row r="1063" spans="1:6" ht="15.75" customHeight="1">
      <c r="A1063" s="1">
        <v>16342</v>
      </c>
      <c r="B1063" s="2">
        <v>44840.964224537034</v>
      </c>
      <c r="C1063" s="1" t="s">
        <v>10</v>
      </c>
      <c r="D1063" s="1">
        <v>85</v>
      </c>
      <c r="F1063" s="3"/>
    </row>
    <row r="1064" spans="1:6" ht="15.75" customHeight="1">
      <c r="A1064" s="1">
        <v>16341</v>
      </c>
      <c r="B1064" s="2">
        <v>44839.766770833332</v>
      </c>
      <c r="C1064" s="1" t="s">
        <v>10</v>
      </c>
      <c r="D1064" s="1">
        <v>25</v>
      </c>
      <c r="F1064" s="3"/>
    </row>
    <row r="1065" spans="1:6" ht="15.75" customHeight="1">
      <c r="A1065" s="1">
        <v>16340</v>
      </c>
      <c r="B1065" s="2">
        <v>44837.593136574069</v>
      </c>
      <c r="C1065" s="1" t="s">
        <v>10</v>
      </c>
      <c r="D1065" s="1">
        <v>28</v>
      </c>
      <c r="F1065" s="3"/>
    </row>
    <row r="1066" spans="1:6" ht="15.75" customHeight="1">
      <c r="A1066" s="1">
        <v>16339</v>
      </c>
      <c r="B1066" s="2">
        <v>44835.343414351853</v>
      </c>
      <c r="C1066" s="1" t="s">
        <v>10</v>
      </c>
      <c r="D1066" s="1">
        <v>15</v>
      </c>
      <c r="F1066" s="3"/>
    </row>
    <row r="1067" spans="1:6" ht="15.75" customHeight="1">
      <c r="A1067" s="1">
        <v>16337</v>
      </c>
      <c r="B1067" s="2">
        <v>44834.491608796292</v>
      </c>
      <c r="C1067" s="1" t="s">
        <v>10</v>
      </c>
      <c r="D1067" s="1">
        <v>53</v>
      </c>
      <c r="F1067" s="3"/>
    </row>
    <row r="1068" spans="1:6" ht="15.75" customHeight="1">
      <c r="A1068" s="1">
        <v>16336</v>
      </c>
      <c r="B1068" s="2">
        <v>44834.130462962959</v>
      </c>
      <c r="C1068" s="1" t="s">
        <v>10</v>
      </c>
      <c r="D1068" s="1">
        <v>33</v>
      </c>
      <c r="F1068" s="3"/>
    </row>
    <row r="1069" spans="1:6" ht="15.75" customHeight="1">
      <c r="A1069" s="1">
        <v>16335</v>
      </c>
      <c r="B1069" s="2">
        <v>44834.001886574071</v>
      </c>
      <c r="C1069" s="1" t="s">
        <v>10</v>
      </c>
      <c r="D1069" s="1">
        <v>18</v>
      </c>
      <c r="F1069" s="3"/>
    </row>
    <row r="1070" spans="1:6" ht="15.75" customHeight="1">
      <c r="A1070" s="1">
        <v>16334</v>
      </c>
      <c r="B1070" s="2">
        <v>44832.93167824074</v>
      </c>
      <c r="C1070" s="1" t="s">
        <v>10</v>
      </c>
      <c r="D1070" s="1">
        <v>24</v>
      </c>
      <c r="F1070" s="3"/>
    </row>
    <row r="1071" spans="1:6" ht="15.75" customHeight="1">
      <c r="A1071" s="1">
        <v>16333</v>
      </c>
      <c r="B1071" s="2">
        <v>44832.645254629635</v>
      </c>
      <c r="C1071" s="1" t="s">
        <v>10</v>
      </c>
      <c r="D1071" s="1">
        <v>25</v>
      </c>
      <c r="F1071" s="3"/>
    </row>
    <row r="1072" spans="1:6" ht="15.75" customHeight="1">
      <c r="A1072" s="1">
        <v>16332</v>
      </c>
      <c r="B1072" s="2">
        <v>44832.642812499995</v>
      </c>
      <c r="C1072" s="1" t="s">
        <v>10</v>
      </c>
      <c r="D1072" s="1">
        <v>25</v>
      </c>
      <c r="F1072" s="3"/>
    </row>
    <row r="1073" spans="1:6" ht="15.75" customHeight="1">
      <c r="A1073" s="1">
        <v>16331</v>
      </c>
      <c r="B1073" s="2">
        <v>44832.576226851852</v>
      </c>
      <c r="C1073" s="1" t="s">
        <v>10</v>
      </c>
      <c r="D1073" s="1">
        <v>25</v>
      </c>
      <c r="F1073" s="3"/>
    </row>
    <row r="1074" spans="1:6" ht="15.75" customHeight="1">
      <c r="A1074" s="1">
        <v>16330</v>
      </c>
      <c r="B1074" s="2">
        <v>44832.537916666668</v>
      </c>
      <c r="C1074" s="1" t="s">
        <v>10</v>
      </c>
      <c r="D1074" s="1">
        <v>35</v>
      </c>
      <c r="F1074" s="3"/>
    </row>
    <row r="1075" spans="1:6" ht="15.75" customHeight="1">
      <c r="A1075" s="1">
        <v>16329</v>
      </c>
      <c r="B1075" s="2">
        <v>44832.499895833331</v>
      </c>
      <c r="C1075" s="1" t="s">
        <v>10</v>
      </c>
      <c r="D1075" s="1">
        <v>35</v>
      </c>
      <c r="F1075" s="3"/>
    </row>
    <row r="1076" spans="1:6" ht="15.75" customHeight="1">
      <c r="A1076" s="1">
        <v>16327</v>
      </c>
      <c r="B1076" s="2">
        <v>44831.467048611114</v>
      </c>
      <c r="C1076" s="1" t="s">
        <v>10</v>
      </c>
      <c r="D1076" s="1">
        <v>18</v>
      </c>
      <c r="F1076" s="3"/>
    </row>
    <row r="1077" spans="1:6" ht="15.75" customHeight="1">
      <c r="A1077" s="1">
        <v>16326</v>
      </c>
      <c r="B1077" s="2">
        <v>44831.085439814815</v>
      </c>
      <c r="C1077" s="1" t="s">
        <v>10</v>
      </c>
      <c r="D1077" s="1">
        <v>38</v>
      </c>
      <c r="F1077" s="3"/>
    </row>
    <row r="1078" spans="1:6" ht="15.75" customHeight="1">
      <c r="A1078" s="1">
        <v>16325</v>
      </c>
      <c r="B1078" s="2">
        <v>44831.081273148149</v>
      </c>
      <c r="C1078" s="1" t="s">
        <v>10</v>
      </c>
      <c r="D1078" s="1">
        <v>48</v>
      </c>
      <c r="F1078" s="3"/>
    </row>
    <row r="1079" spans="1:6" ht="15.75" customHeight="1">
      <c r="A1079" s="1">
        <v>16324</v>
      </c>
      <c r="B1079" s="2">
        <v>44831.079317129625</v>
      </c>
      <c r="C1079" s="1" t="s">
        <v>10</v>
      </c>
      <c r="D1079" s="1">
        <v>48</v>
      </c>
      <c r="F1079" s="3"/>
    </row>
    <row r="1080" spans="1:6" ht="15.75" customHeight="1">
      <c r="A1080" s="1">
        <v>16321</v>
      </c>
      <c r="B1080" s="2">
        <v>44831.047280092593</v>
      </c>
      <c r="C1080" s="1" t="s">
        <v>10</v>
      </c>
      <c r="D1080" s="1">
        <v>44</v>
      </c>
      <c r="F1080" s="3"/>
    </row>
    <row r="1081" spans="1:6" ht="15.75" customHeight="1">
      <c r="A1081" s="1">
        <v>16300</v>
      </c>
      <c r="B1081" s="2">
        <v>44830.681724537033</v>
      </c>
      <c r="C1081" s="1" t="s">
        <v>10</v>
      </c>
      <c r="D1081" s="1">
        <v>68</v>
      </c>
      <c r="F1081" s="3"/>
    </row>
    <row r="1082" spans="1:6" ht="15.75" customHeight="1">
      <c r="A1082" s="1">
        <v>16298</v>
      </c>
      <c r="B1082" s="2">
        <v>44830.051342592589</v>
      </c>
      <c r="C1082" s="1" t="s">
        <v>10</v>
      </c>
      <c r="D1082" s="1">
        <v>100</v>
      </c>
      <c r="F1082" s="3"/>
    </row>
    <row r="1083" spans="1:6" ht="15.75" customHeight="1">
      <c r="A1083" s="1">
        <v>16297</v>
      </c>
      <c r="B1083" s="2">
        <v>44830.04822916667</v>
      </c>
      <c r="C1083" s="1" t="s">
        <v>10</v>
      </c>
      <c r="D1083" s="1">
        <v>99</v>
      </c>
      <c r="F1083" s="3"/>
    </row>
    <row r="1084" spans="1:6" ht="15.75" customHeight="1">
      <c r="A1084" s="1">
        <v>16296</v>
      </c>
      <c r="B1084" s="2">
        <v>44830.036631944444</v>
      </c>
      <c r="C1084" s="1" t="s">
        <v>18</v>
      </c>
      <c r="D1084" s="1">
        <v>73</v>
      </c>
      <c r="F1084" s="3"/>
    </row>
    <row r="1085" spans="1:6" ht="15.75" customHeight="1">
      <c r="A1085" s="1">
        <v>16295</v>
      </c>
      <c r="B1085" s="2">
        <v>44830.010821759264</v>
      </c>
      <c r="C1085" s="1" t="s">
        <v>10</v>
      </c>
      <c r="D1085" s="1">
        <v>48</v>
      </c>
      <c r="F1085" s="3"/>
    </row>
    <row r="1086" spans="1:6" ht="15.75" customHeight="1">
      <c r="A1086" s="1">
        <v>16294</v>
      </c>
      <c r="B1086" s="2">
        <v>44829.760023148148</v>
      </c>
      <c r="C1086" s="1" t="s">
        <v>10</v>
      </c>
      <c r="D1086" s="1">
        <v>40</v>
      </c>
      <c r="F1086" s="3"/>
    </row>
    <row r="1087" spans="1:6" ht="15.75" customHeight="1">
      <c r="A1087" s="1">
        <v>16293</v>
      </c>
      <c r="B1087" s="2">
        <v>44829.750694444447</v>
      </c>
      <c r="C1087" s="1" t="s">
        <v>10</v>
      </c>
      <c r="D1087" s="1">
        <v>42.5</v>
      </c>
      <c r="F1087" s="3"/>
    </row>
    <row r="1088" spans="1:6" ht="15.75" customHeight="1">
      <c r="A1088" s="1">
        <v>16292</v>
      </c>
      <c r="B1088" s="2">
        <v>44829.744039351848</v>
      </c>
      <c r="C1088" s="1" t="s">
        <v>10</v>
      </c>
      <c r="D1088" s="1">
        <v>25</v>
      </c>
      <c r="F1088" s="3"/>
    </row>
    <row r="1089" spans="1:6" ht="15.75" customHeight="1">
      <c r="A1089" s="1">
        <v>16291</v>
      </c>
      <c r="B1089" s="2">
        <v>44829.737268518518</v>
      </c>
      <c r="C1089" s="1" t="s">
        <v>10</v>
      </c>
      <c r="D1089" s="1">
        <v>25</v>
      </c>
      <c r="F1089" s="3"/>
    </row>
    <row r="1090" spans="1:6" ht="15.75" customHeight="1">
      <c r="A1090" s="1">
        <v>16290</v>
      </c>
      <c r="B1090" s="2">
        <v>44829.713090277779</v>
      </c>
      <c r="C1090" s="1" t="s">
        <v>10</v>
      </c>
      <c r="D1090" s="1">
        <v>49</v>
      </c>
      <c r="F1090" s="3"/>
    </row>
    <row r="1091" spans="1:6" ht="15.75" customHeight="1">
      <c r="A1091" s="1">
        <v>16289</v>
      </c>
      <c r="B1091" s="2">
        <v>44829.706782407404</v>
      </c>
      <c r="C1091" s="1" t="s">
        <v>10</v>
      </c>
      <c r="D1091" s="1">
        <v>50</v>
      </c>
      <c r="F1091" s="3"/>
    </row>
    <row r="1092" spans="1:6" ht="15.75" customHeight="1">
      <c r="A1092" s="1">
        <v>16288</v>
      </c>
      <c r="B1092" s="2">
        <v>44829.70313657407</v>
      </c>
      <c r="C1092" s="1" t="s">
        <v>10</v>
      </c>
      <c r="D1092" s="1">
        <v>35</v>
      </c>
      <c r="F1092" s="3"/>
    </row>
    <row r="1093" spans="1:6" ht="15.75" customHeight="1">
      <c r="A1093" s="1">
        <v>16287</v>
      </c>
      <c r="B1093" s="2">
        <v>44829.702175925922</v>
      </c>
      <c r="C1093" s="1" t="s">
        <v>10</v>
      </c>
      <c r="D1093" s="1">
        <v>30</v>
      </c>
      <c r="F1093" s="3"/>
    </row>
    <row r="1094" spans="1:6" ht="15.75" customHeight="1">
      <c r="A1094" s="1">
        <v>16286</v>
      </c>
      <c r="B1094" s="2">
        <v>44829.698749999996</v>
      </c>
      <c r="C1094" s="1" t="s">
        <v>10</v>
      </c>
      <c r="D1094" s="1">
        <v>15</v>
      </c>
      <c r="F1094" s="3"/>
    </row>
    <row r="1095" spans="1:6" ht="15.75" customHeight="1">
      <c r="A1095" s="1">
        <v>16285</v>
      </c>
      <c r="B1095" s="2">
        <v>44829.687673611115</v>
      </c>
      <c r="C1095" s="1" t="s">
        <v>10</v>
      </c>
      <c r="D1095" s="1">
        <v>53</v>
      </c>
      <c r="F1095" s="3"/>
    </row>
    <row r="1096" spans="1:6" ht="15.75" customHeight="1">
      <c r="A1096" s="1">
        <v>16284</v>
      </c>
      <c r="B1096" s="2">
        <v>44829.685833333337</v>
      </c>
      <c r="C1096" s="1" t="s">
        <v>10</v>
      </c>
      <c r="D1096" s="1">
        <v>35</v>
      </c>
      <c r="F1096" s="3"/>
    </row>
    <row r="1097" spans="1:6" ht="15.75" customHeight="1">
      <c r="A1097" s="1">
        <v>16283</v>
      </c>
      <c r="B1097" s="2">
        <v>44829.68472222222</v>
      </c>
      <c r="C1097" s="1" t="s">
        <v>10</v>
      </c>
      <c r="D1097" s="1">
        <v>58</v>
      </c>
      <c r="F1097" s="3"/>
    </row>
    <row r="1098" spans="1:6" ht="15.75" customHeight="1">
      <c r="A1098" s="1">
        <v>16282</v>
      </c>
      <c r="B1098" s="2">
        <v>44829.68414351852</v>
      </c>
      <c r="C1098" s="1" t="s">
        <v>16</v>
      </c>
      <c r="D1098" s="1">
        <v>25</v>
      </c>
      <c r="F1098" s="3"/>
    </row>
    <row r="1099" spans="1:6" ht="15.75" customHeight="1">
      <c r="A1099" s="1">
        <v>16281</v>
      </c>
      <c r="B1099" s="2">
        <v>44829.684074074074</v>
      </c>
      <c r="C1099" s="1" t="s">
        <v>10</v>
      </c>
      <c r="D1099" s="1">
        <v>18</v>
      </c>
      <c r="F1099" s="3"/>
    </row>
    <row r="1100" spans="1:6" ht="15.75" customHeight="1">
      <c r="A1100" s="1">
        <v>16280</v>
      </c>
      <c r="B1100" s="2">
        <v>44829.682812500003</v>
      </c>
      <c r="C1100" s="1" t="s">
        <v>10</v>
      </c>
      <c r="D1100" s="1">
        <v>15</v>
      </c>
      <c r="F1100" s="3"/>
    </row>
    <row r="1101" spans="1:6" ht="15.75" customHeight="1">
      <c r="A1101" s="1">
        <v>16279</v>
      </c>
      <c r="B1101" s="2">
        <v>44829.682175925926</v>
      </c>
      <c r="C1101" s="1" t="s">
        <v>10</v>
      </c>
      <c r="D1101" s="1">
        <v>92</v>
      </c>
      <c r="F1101" s="3"/>
    </row>
    <row r="1102" spans="1:6" ht="15.75" customHeight="1">
      <c r="A1102" s="1">
        <v>16278</v>
      </c>
      <c r="B1102" s="2">
        <v>44829.677314814813</v>
      </c>
      <c r="C1102" s="1" t="s">
        <v>10</v>
      </c>
      <c r="D1102" s="1">
        <v>25</v>
      </c>
      <c r="F1102" s="3"/>
    </row>
    <row r="1103" spans="1:6" ht="15.75" customHeight="1">
      <c r="A1103" s="1">
        <v>16277</v>
      </c>
      <c r="B1103" s="2">
        <v>44829.675925925927</v>
      </c>
      <c r="C1103" s="1" t="s">
        <v>10</v>
      </c>
      <c r="D1103" s="1">
        <v>45</v>
      </c>
      <c r="F1103" s="3"/>
    </row>
    <row r="1104" spans="1:6" ht="15.75" customHeight="1">
      <c r="A1104" s="1">
        <v>16276</v>
      </c>
      <c r="B1104" s="2">
        <v>44829.674166666664</v>
      </c>
      <c r="C1104" s="1" t="s">
        <v>10</v>
      </c>
      <c r="D1104" s="1">
        <v>45</v>
      </c>
      <c r="F1104" s="3"/>
    </row>
    <row r="1105" spans="1:6" ht="15.75" customHeight="1">
      <c r="A1105" s="1">
        <v>16275</v>
      </c>
      <c r="B1105" s="2">
        <v>44829.666944444441</v>
      </c>
      <c r="C1105" s="1" t="s">
        <v>10</v>
      </c>
      <c r="D1105" s="1">
        <v>42.5</v>
      </c>
      <c r="F1105" s="3"/>
    </row>
    <row r="1106" spans="1:6" ht="15.75" customHeight="1">
      <c r="A1106" s="1">
        <v>16274</v>
      </c>
      <c r="B1106" s="2">
        <v>44829.664560185185</v>
      </c>
      <c r="C1106" s="1" t="s">
        <v>10</v>
      </c>
      <c r="D1106" s="1">
        <v>25</v>
      </c>
      <c r="F1106" s="3"/>
    </row>
    <row r="1107" spans="1:6" ht="15.75" customHeight="1">
      <c r="A1107" s="1">
        <v>16273</v>
      </c>
      <c r="B1107" s="2">
        <v>44829.663530092592</v>
      </c>
      <c r="C1107" s="1" t="s">
        <v>10</v>
      </c>
      <c r="D1107" s="1">
        <v>25</v>
      </c>
      <c r="F1107" s="3"/>
    </row>
    <row r="1108" spans="1:6" ht="15.75" customHeight="1">
      <c r="A1108" s="1">
        <v>16272</v>
      </c>
      <c r="B1108" s="2">
        <v>44829.662569444445</v>
      </c>
      <c r="C1108" s="1" t="s">
        <v>10</v>
      </c>
      <c r="D1108" s="1">
        <v>25</v>
      </c>
      <c r="F1108" s="3"/>
    </row>
    <row r="1109" spans="1:6" ht="15.75" customHeight="1">
      <c r="A1109" s="1">
        <v>16271</v>
      </c>
      <c r="B1109" s="2">
        <v>44829.655428240745</v>
      </c>
      <c r="C1109" s="1" t="s">
        <v>10</v>
      </c>
      <c r="D1109" s="1">
        <v>25</v>
      </c>
      <c r="F1109" s="3"/>
    </row>
    <row r="1110" spans="1:6" ht="15.75" customHeight="1">
      <c r="A1110" s="1">
        <v>16270</v>
      </c>
      <c r="B1110" s="2">
        <v>44829.651180555556</v>
      </c>
      <c r="C1110" s="1" t="s">
        <v>10</v>
      </c>
      <c r="D1110" s="1">
        <v>46</v>
      </c>
      <c r="F1110" s="3"/>
    </row>
    <row r="1111" spans="1:6" ht="15.75" customHeight="1">
      <c r="A1111" s="1">
        <v>16269</v>
      </c>
      <c r="B1111" s="2">
        <v>44829.639374999999</v>
      </c>
      <c r="C1111" s="1" t="s">
        <v>10</v>
      </c>
      <c r="D1111" s="1">
        <v>25</v>
      </c>
      <c r="F1111" s="3"/>
    </row>
    <row r="1112" spans="1:6" ht="15.75" customHeight="1">
      <c r="A1112" s="1">
        <v>16268</v>
      </c>
      <c r="B1112" s="2">
        <v>44829.637291666666</v>
      </c>
      <c r="C1112" s="1" t="s">
        <v>10</v>
      </c>
      <c r="D1112" s="1">
        <v>25</v>
      </c>
      <c r="F1112" s="3"/>
    </row>
    <row r="1113" spans="1:6" ht="15.75" customHeight="1">
      <c r="A1113" s="1">
        <v>16267</v>
      </c>
      <c r="B1113" s="2">
        <v>44829.636388888888</v>
      </c>
      <c r="C1113" s="1" t="s">
        <v>10</v>
      </c>
      <c r="D1113" s="1">
        <v>90</v>
      </c>
      <c r="F1113" s="3"/>
    </row>
    <row r="1114" spans="1:6" ht="15.75" customHeight="1">
      <c r="A1114" s="1">
        <v>16266</v>
      </c>
      <c r="B1114" s="2">
        <v>44829.615729166668</v>
      </c>
      <c r="C1114" s="1" t="s">
        <v>10</v>
      </c>
      <c r="D1114" s="1">
        <v>25</v>
      </c>
      <c r="F1114" s="3"/>
    </row>
    <row r="1115" spans="1:6" ht="15.75" customHeight="1">
      <c r="A1115" s="1">
        <v>16265</v>
      </c>
      <c r="B1115" s="2">
        <v>44829.613252314812</v>
      </c>
      <c r="C1115" s="1" t="s">
        <v>10</v>
      </c>
      <c r="D1115" s="1">
        <v>72</v>
      </c>
      <c r="F1115" s="3"/>
    </row>
    <row r="1116" spans="1:6" ht="15.75" customHeight="1">
      <c r="A1116" s="1">
        <v>16264</v>
      </c>
      <c r="B1116" s="2">
        <v>44829.607499999998</v>
      </c>
      <c r="C1116" s="1" t="s">
        <v>10</v>
      </c>
      <c r="D1116" s="1">
        <v>18</v>
      </c>
      <c r="F1116" s="3"/>
    </row>
    <row r="1117" spans="1:6" ht="15.75" customHeight="1">
      <c r="A1117" s="1">
        <v>16263</v>
      </c>
      <c r="B1117" s="2">
        <v>44829.607199074075</v>
      </c>
      <c r="C1117" s="1" t="s">
        <v>10</v>
      </c>
      <c r="D1117" s="1">
        <v>24</v>
      </c>
      <c r="F1117" s="3"/>
    </row>
    <row r="1118" spans="1:6" ht="15.75" customHeight="1">
      <c r="A1118" s="1">
        <v>16262</v>
      </c>
      <c r="B1118" s="2">
        <v>44829.605868055558</v>
      </c>
      <c r="C1118" s="1" t="s">
        <v>10</v>
      </c>
      <c r="D1118" s="1">
        <v>36</v>
      </c>
      <c r="F1118" s="3"/>
    </row>
    <row r="1119" spans="1:6" ht="15.75" customHeight="1">
      <c r="A1119" s="1">
        <v>16261</v>
      </c>
      <c r="B1119" s="2">
        <v>44829.604097222225</v>
      </c>
      <c r="C1119" s="1" t="s">
        <v>10</v>
      </c>
      <c r="D1119" s="1">
        <v>50</v>
      </c>
      <c r="F1119" s="3"/>
    </row>
    <row r="1120" spans="1:6" ht="15.75" customHeight="1">
      <c r="A1120" s="1">
        <v>16260</v>
      </c>
      <c r="B1120" s="2">
        <v>44829.601458333331</v>
      </c>
      <c r="C1120" s="1" t="s">
        <v>10</v>
      </c>
      <c r="D1120" s="1">
        <v>35</v>
      </c>
      <c r="F1120" s="3"/>
    </row>
    <row r="1121" spans="1:6" ht="15.75" customHeight="1">
      <c r="A1121" s="1">
        <v>16259</v>
      </c>
      <c r="B1121" s="2">
        <v>44829.600613425922</v>
      </c>
      <c r="C1121" s="1" t="s">
        <v>10</v>
      </c>
      <c r="D1121" s="1">
        <v>106</v>
      </c>
      <c r="F1121" s="3"/>
    </row>
    <row r="1122" spans="1:6" ht="15.75" customHeight="1">
      <c r="A1122" s="1">
        <v>16258</v>
      </c>
      <c r="B1122" s="2">
        <v>44829.600405092591</v>
      </c>
      <c r="C1122" s="1" t="s">
        <v>10</v>
      </c>
      <c r="D1122" s="1">
        <v>45</v>
      </c>
      <c r="F1122" s="3"/>
    </row>
    <row r="1123" spans="1:6" ht="15.75" customHeight="1">
      <c r="A1123" s="1">
        <v>16257</v>
      </c>
      <c r="B1123" s="2">
        <v>44829.600231481483</v>
      </c>
      <c r="C1123" s="1" t="s">
        <v>10</v>
      </c>
      <c r="D1123" s="1">
        <v>25</v>
      </c>
      <c r="F1123" s="3"/>
    </row>
    <row r="1124" spans="1:6" ht="15.75" customHeight="1">
      <c r="A1124" s="1">
        <v>16256</v>
      </c>
      <c r="B1124" s="2">
        <v>44829.599259259259</v>
      </c>
      <c r="C1124" s="1" t="s">
        <v>10</v>
      </c>
      <c r="D1124" s="1">
        <v>55</v>
      </c>
      <c r="F1124" s="3"/>
    </row>
    <row r="1125" spans="1:6" ht="15.75" customHeight="1">
      <c r="A1125" s="1">
        <v>16255</v>
      </c>
      <c r="B1125" s="2">
        <v>44829.599016203705</v>
      </c>
      <c r="C1125" s="1" t="s">
        <v>10</v>
      </c>
      <c r="D1125" s="1">
        <v>25</v>
      </c>
      <c r="F1125" s="3"/>
    </row>
    <row r="1126" spans="1:6" ht="15.75" customHeight="1">
      <c r="A1126" s="1">
        <v>16254</v>
      </c>
      <c r="B1126" s="2">
        <v>44829.583993055552</v>
      </c>
      <c r="C1126" s="1" t="s">
        <v>10</v>
      </c>
      <c r="D1126" s="1">
        <v>25</v>
      </c>
      <c r="F1126" s="3"/>
    </row>
    <row r="1127" spans="1:6" ht="15.75" customHeight="1">
      <c r="A1127" s="1">
        <v>16253</v>
      </c>
      <c r="B1127" s="2">
        <v>44829.57984953704</v>
      </c>
      <c r="C1127" s="1" t="s">
        <v>10</v>
      </c>
      <c r="D1127" s="1">
        <v>28</v>
      </c>
      <c r="F1127" s="3"/>
    </row>
    <row r="1128" spans="1:6" ht="15.75" customHeight="1">
      <c r="A1128" s="1">
        <v>16252</v>
      </c>
      <c r="B1128" s="2">
        <v>44829.578657407408</v>
      </c>
      <c r="C1128" s="1" t="s">
        <v>10</v>
      </c>
      <c r="D1128" s="1">
        <v>25</v>
      </c>
      <c r="F1128" s="3"/>
    </row>
    <row r="1129" spans="1:6" ht="15.75" customHeight="1">
      <c r="A1129" s="1">
        <v>16251</v>
      </c>
      <c r="B1129" s="2">
        <v>44829.576666666668</v>
      </c>
      <c r="C1129" s="1" t="s">
        <v>10</v>
      </c>
      <c r="D1129" s="1">
        <v>40</v>
      </c>
      <c r="F1129" s="3"/>
    </row>
    <row r="1130" spans="1:6" ht="15.75" customHeight="1">
      <c r="A1130" s="1">
        <v>16250</v>
      </c>
      <c r="B1130" s="2">
        <v>44829.573321759264</v>
      </c>
      <c r="C1130" s="1" t="s">
        <v>10</v>
      </c>
      <c r="D1130" s="1">
        <v>15</v>
      </c>
      <c r="F1130" s="3"/>
    </row>
    <row r="1131" spans="1:6" ht="15.75" customHeight="1">
      <c r="A1131" s="1">
        <v>16249</v>
      </c>
      <c r="B1131" s="2">
        <v>44829.572962962964</v>
      </c>
      <c r="C1131" s="1" t="s">
        <v>10</v>
      </c>
      <c r="D1131" s="1">
        <v>35</v>
      </c>
      <c r="F1131" s="3"/>
    </row>
    <row r="1132" spans="1:6" ht="15.75" customHeight="1">
      <c r="A1132" s="1">
        <v>16248</v>
      </c>
      <c r="B1132" s="2">
        <v>44829.555995370371</v>
      </c>
      <c r="C1132" s="1" t="s">
        <v>10</v>
      </c>
      <c r="D1132" s="1">
        <v>70</v>
      </c>
      <c r="F1132" s="3"/>
    </row>
    <row r="1133" spans="1:6" ht="15.75" customHeight="1">
      <c r="A1133" s="1">
        <v>16247</v>
      </c>
      <c r="B1133" s="2">
        <v>44829.551550925928</v>
      </c>
      <c r="C1133" s="1" t="s">
        <v>10</v>
      </c>
      <c r="D1133" s="1">
        <v>35</v>
      </c>
      <c r="F1133" s="3"/>
    </row>
    <row r="1134" spans="1:6" ht="15.75" customHeight="1">
      <c r="A1134" s="1">
        <v>16246</v>
      </c>
      <c r="B1134" s="2">
        <v>44829.547696759255</v>
      </c>
      <c r="C1134" s="1" t="s">
        <v>10</v>
      </c>
      <c r="D1134" s="1">
        <v>35</v>
      </c>
      <c r="F1134" s="3"/>
    </row>
    <row r="1135" spans="1:6" ht="15.75" customHeight="1">
      <c r="A1135" s="1">
        <v>16245</v>
      </c>
      <c r="B1135" s="2">
        <v>44829.547372685185</v>
      </c>
      <c r="C1135" s="1" t="s">
        <v>10</v>
      </c>
      <c r="D1135" s="1">
        <v>70</v>
      </c>
      <c r="F1135" s="3"/>
    </row>
    <row r="1136" spans="1:6" ht="15.75" customHeight="1">
      <c r="A1136" s="1">
        <v>16244</v>
      </c>
      <c r="B1136" s="2">
        <v>44829.546168981484</v>
      </c>
      <c r="C1136" s="1" t="s">
        <v>10</v>
      </c>
      <c r="D1136" s="1">
        <v>25</v>
      </c>
      <c r="F1136" s="3"/>
    </row>
    <row r="1137" spans="1:6" ht="15.75" customHeight="1">
      <c r="A1137" s="1">
        <v>16243</v>
      </c>
      <c r="B1137" s="2">
        <v>44829.537280092598</v>
      </c>
      <c r="C1137" s="1" t="s">
        <v>10</v>
      </c>
      <c r="D1137" s="1">
        <v>20</v>
      </c>
      <c r="F1137" s="3"/>
    </row>
    <row r="1138" spans="1:6" ht="15.75" customHeight="1">
      <c r="A1138" s="1">
        <v>16242</v>
      </c>
      <c r="B1138" s="2">
        <v>44829.537083333329</v>
      </c>
      <c r="C1138" s="1" t="s">
        <v>10</v>
      </c>
      <c r="D1138" s="1">
        <v>25</v>
      </c>
      <c r="F1138" s="3"/>
    </row>
    <row r="1139" spans="1:6" ht="15.75" customHeight="1">
      <c r="A1139" s="1">
        <v>16241</v>
      </c>
      <c r="B1139" s="2">
        <v>44829.534710648149</v>
      </c>
      <c r="C1139" s="1" t="s">
        <v>10</v>
      </c>
      <c r="D1139" s="1">
        <v>45</v>
      </c>
      <c r="F1139" s="3"/>
    </row>
    <row r="1140" spans="1:6" ht="15.75" customHeight="1">
      <c r="A1140" s="1">
        <v>16240</v>
      </c>
      <c r="B1140" s="2">
        <v>44829.533321759256</v>
      </c>
      <c r="C1140" s="1" t="s">
        <v>10</v>
      </c>
      <c r="D1140" s="1">
        <v>53</v>
      </c>
      <c r="F1140" s="3"/>
    </row>
    <row r="1141" spans="1:6" ht="15.75" customHeight="1">
      <c r="A1141" s="1">
        <v>16239</v>
      </c>
      <c r="B1141" s="2">
        <v>44829.524710648147</v>
      </c>
      <c r="C1141" s="1" t="s">
        <v>10</v>
      </c>
      <c r="D1141" s="1">
        <v>28</v>
      </c>
      <c r="F1141" s="3"/>
    </row>
    <row r="1142" spans="1:6" ht="15.75" customHeight="1">
      <c r="A1142" s="1">
        <v>16238</v>
      </c>
      <c r="B1142" s="2">
        <v>44829.523148148146</v>
      </c>
      <c r="C1142" s="1" t="s">
        <v>10</v>
      </c>
      <c r="D1142" s="1">
        <v>20</v>
      </c>
      <c r="F1142" s="3"/>
    </row>
    <row r="1143" spans="1:6" ht="15.75" customHeight="1">
      <c r="A1143" s="1">
        <v>16237</v>
      </c>
      <c r="B1143" s="2">
        <v>44829.522673611107</v>
      </c>
      <c r="C1143" s="1" t="s">
        <v>10</v>
      </c>
      <c r="D1143" s="1">
        <v>45</v>
      </c>
      <c r="F1143" s="3"/>
    </row>
    <row r="1144" spans="1:6" ht="15.75" customHeight="1">
      <c r="A1144" s="1">
        <v>16236</v>
      </c>
      <c r="B1144" s="2">
        <v>44829.518877314811</v>
      </c>
      <c r="C1144" s="1" t="s">
        <v>10</v>
      </c>
      <c r="D1144" s="1">
        <v>25</v>
      </c>
      <c r="F1144" s="3"/>
    </row>
    <row r="1145" spans="1:6" ht="15.75" customHeight="1">
      <c r="A1145" s="1">
        <v>16235</v>
      </c>
      <c r="B1145" s="2">
        <v>44829.512395833328</v>
      </c>
      <c r="C1145" s="1" t="s">
        <v>10</v>
      </c>
      <c r="D1145" s="1">
        <v>55</v>
      </c>
      <c r="F1145" s="3"/>
    </row>
    <row r="1146" spans="1:6" ht="15.75" customHeight="1">
      <c r="A1146" s="1">
        <v>16234</v>
      </c>
      <c r="B1146" s="2">
        <v>44829.509918981479</v>
      </c>
      <c r="C1146" s="1" t="s">
        <v>10</v>
      </c>
      <c r="D1146" s="1">
        <v>25</v>
      </c>
      <c r="F1146" s="3"/>
    </row>
    <row r="1147" spans="1:6" ht="15.75" customHeight="1">
      <c r="A1147" s="1">
        <v>16233</v>
      </c>
      <c r="B1147" s="2">
        <v>44829.509456018517</v>
      </c>
      <c r="C1147" s="1" t="s">
        <v>10</v>
      </c>
      <c r="D1147" s="1">
        <v>25</v>
      </c>
      <c r="F1147" s="3"/>
    </row>
    <row r="1148" spans="1:6" ht="15.75" customHeight="1">
      <c r="A1148" s="1">
        <v>16232</v>
      </c>
      <c r="B1148" s="2">
        <v>44829.50854166667</v>
      </c>
      <c r="C1148" s="1" t="s">
        <v>10</v>
      </c>
      <c r="D1148" s="1">
        <v>25</v>
      </c>
      <c r="F1148" s="3"/>
    </row>
    <row r="1149" spans="1:6" ht="15.75" customHeight="1">
      <c r="A1149" s="1">
        <v>16231</v>
      </c>
      <c r="B1149" s="2">
        <v>44829.508506944447</v>
      </c>
      <c r="C1149" s="1" t="s">
        <v>10</v>
      </c>
      <c r="D1149" s="1">
        <v>55</v>
      </c>
      <c r="F1149" s="3"/>
    </row>
    <row r="1150" spans="1:6" ht="15.75" customHeight="1">
      <c r="A1150" s="1">
        <v>16230</v>
      </c>
      <c r="B1150" s="2">
        <v>44829.50503472222</v>
      </c>
      <c r="C1150" s="1" t="s">
        <v>10</v>
      </c>
      <c r="D1150" s="1">
        <v>25</v>
      </c>
      <c r="F1150" s="3"/>
    </row>
    <row r="1151" spans="1:6" ht="15.75" customHeight="1">
      <c r="A1151" s="1">
        <v>16229</v>
      </c>
      <c r="B1151" s="2">
        <v>44829.476018518515</v>
      </c>
      <c r="C1151" s="1" t="s">
        <v>10</v>
      </c>
      <c r="D1151" s="1">
        <v>55</v>
      </c>
      <c r="F1151" s="3"/>
    </row>
    <row r="1152" spans="1:6" ht="15.75" customHeight="1">
      <c r="A1152" s="1">
        <v>16228</v>
      </c>
      <c r="B1152" s="2">
        <v>44829.114444444444</v>
      </c>
      <c r="C1152" s="1" t="s">
        <v>10</v>
      </c>
      <c r="D1152" s="1">
        <v>55</v>
      </c>
      <c r="F1152" s="3"/>
    </row>
    <row r="1153" spans="1:6" ht="15.75" customHeight="1">
      <c r="A1153" s="1">
        <v>16227</v>
      </c>
      <c r="B1153" s="2">
        <v>44829.067719907413</v>
      </c>
      <c r="C1153" s="1" t="s">
        <v>10</v>
      </c>
      <c r="D1153" s="1">
        <v>33</v>
      </c>
      <c r="F1153" s="3"/>
    </row>
    <row r="1154" spans="1:6" ht="15.75" customHeight="1">
      <c r="A1154" s="1">
        <v>16226</v>
      </c>
      <c r="B1154" s="2">
        <v>44829.048148148147</v>
      </c>
      <c r="C1154" s="1" t="s">
        <v>10</v>
      </c>
      <c r="D1154" s="1">
        <v>55</v>
      </c>
      <c r="F1154" s="3"/>
    </row>
    <row r="1155" spans="1:6" ht="15.75" customHeight="1">
      <c r="A1155" s="1">
        <v>16225</v>
      </c>
      <c r="B1155" s="2">
        <v>44829.027037037042</v>
      </c>
      <c r="C1155" s="1" t="s">
        <v>10</v>
      </c>
      <c r="D1155" s="1">
        <v>38</v>
      </c>
      <c r="F1155" s="3"/>
    </row>
    <row r="1156" spans="1:6" ht="15.75" customHeight="1">
      <c r="A1156" s="1">
        <v>16224</v>
      </c>
      <c r="B1156" s="2">
        <v>44828.981712962966</v>
      </c>
      <c r="C1156" s="1" t="s">
        <v>10</v>
      </c>
      <c r="D1156" s="1">
        <v>15</v>
      </c>
      <c r="F1156" s="3"/>
    </row>
    <row r="1157" spans="1:6" ht="15.75" customHeight="1">
      <c r="A1157" s="1">
        <v>16223</v>
      </c>
      <c r="B1157" s="2">
        <v>44828.979814814811</v>
      </c>
      <c r="C1157" s="1" t="s">
        <v>10</v>
      </c>
      <c r="D1157" s="1">
        <v>15</v>
      </c>
      <c r="F1157" s="3"/>
    </row>
    <row r="1158" spans="1:6" ht="15.75" customHeight="1">
      <c r="A1158" s="1">
        <v>16222</v>
      </c>
      <c r="B1158" s="2">
        <v>44828.923263888893</v>
      </c>
      <c r="C1158" s="1" t="s">
        <v>10</v>
      </c>
      <c r="D1158" s="1">
        <v>15</v>
      </c>
      <c r="F1158" s="3"/>
    </row>
    <row r="1159" spans="1:6" ht="15.75" customHeight="1">
      <c r="A1159" s="1">
        <v>16221</v>
      </c>
      <c r="B1159" s="2">
        <v>44828.777986111112</v>
      </c>
      <c r="C1159" s="1" t="s">
        <v>10</v>
      </c>
      <c r="D1159" s="1">
        <v>63</v>
      </c>
      <c r="F1159" s="3"/>
    </row>
    <row r="1160" spans="1:6" ht="15.75" customHeight="1">
      <c r="A1160" s="1">
        <v>16220</v>
      </c>
      <c r="B1160" s="2">
        <v>44828.760520833333</v>
      </c>
      <c r="C1160" s="1" t="s">
        <v>10</v>
      </c>
      <c r="D1160" s="1">
        <v>35</v>
      </c>
      <c r="F1160" s="3"/>
    </row>
    <row r="1161" spans="1:6" ht="15.75" customHeight="1">
      <c r="A1161" s="1">
        <v>16219</v>
      </c>
      <c r="B1161" s="2">
        <v>44828.71</v>
      </c>
      <c r="C1161" s="1" t="s">
        <v>10</v>
      </c>
      <c r="D1161" s="1">
        <v>55</v>
      </c>
      <c r="F1161" s="3"/>
    </row>
    <row r="1162" spans="1:6" ht="15.75" customHeight="1">
      <c r="A1162" s="1">
        <v>16218</v>
      </c>
      <c r="B1162" s="2">
        <v>44828.590902777782</v>
      </c>
      <c r="C1162" s="1" t="s">
        <v>10</v>
      </c>
      <c r="D1162" s="1">
        <v>66</v>
      </c>
      <c r="F1162" s="3"/>
    </row>
    <row r="1163" spans="1:6" ht="15.75" customHeight="1">
      <c r="A1163" s="1">
        <v>16217</v>
      </c>
      <c r="B1163" s="2">
        <v>44828.04184027778</v>
      </c>
      <c r="C1163" s="1" t="s">
        <v>10</v>
      </c>
      <c r="D1163" s="1">
        <v>18</v>
      </c>
      <c r="F1163" s="3"/>
    </row>
    <row r="1164" spans="1:6" ht="15.75" customHeight="1">
      <c r="A1164" s="1">
        <v>16216</v>
      </c>
      <c r="B1164" s="2">
        <v>44827.912222222221</v>
      </c>
      <c r="C1164" s="1" t="s">
        <v>10</v>
      </c>
      <c r="D1164" s="1">
        <v>47</v>
      </c>
      <c r="F1164" s="3"/>
    </row>
    <row r="1165" spans="1:6" ht="15.75" customHeight="1">
      <c r="A1165" s="1">
        <v>16215</v>
      </c>
      <c r="B1165" s="2">
        <v>44827.907800925925</v>
      </c>
      <c r="C1165" s="1" t="s">
        <v>10</v>
      </c>
      <c r="D1165" s="1">
        <v>35</v>
      </c>
      <c r="F1165" s="3"/>
    </row>
    <row r="1166" spans="1:6" ht="15.75" customHeight="1">
      <c r="A1166" s="1">
        <v>16214</v>
      </c>
      <c r="B1166" s="2">
        <v>44827.658842592587</v>
      </c>
      <c r="C1166" s="1" t="s">
        <v>10</v>
      </c>
      <c r="D1166" s="1">
        <v>55</v>
      </c>
      <c r="F1166" s="3"/>
    </row>
    <row r="1167" spans="1:6" ht="15.75" customHeight="1">
      <c r="A1167" s="1">
        <v>16213</v>
      </c>
      <c r="B1167" s="2">
        <v>44826.963819444441</v>
      </c>
      <c r="C1167" s="1" t="s">
        <v>10</v>
      </c>
      <c r="D1167" s="1">
        <v>86</v>
      </c>
      <c r="F1167" s="3"/>
    </row>
    <row r="1168" spans="1:6" ht="15.75" customHeight="1">
      <c r="A1168" s="1">
        <v>16212</v>
      </c>
      <c r="B1168" s="2">
        <v>44826.90761574074</v>
      </c>
      <c r="C1168" s="1" t="s">
        <v>10</v>
      </c>
      <c r="D1168" s="1">
        <v>55</v>
      </c>
      <c r="F1168" s="3"/>
    </row>
    <row r="1169" spans="1:6" ht="15.75" customHeight="1">
      <c r="A1169" s="1">
        <v>16211</v>
      </c>
      <c r="B1169" s="2">
        <v>44826.880046296297</v>
      </c>
      <c r="C1169" s="1" t="s">
        <v>10</v>
      </c>
      <c r="D1169" s="1">
        <v>35</v>
      </c>
      <c r="F1169" s="3"/>
    </row>
    <row r="1170" spans="1:6" ht="15.75" customHeight="1">
      <c r="A1170" s="1">
        <v>16210</v>
      </c>
      <c r="B1170" s="2">
        <v>44826.838136574079</v>
      </c>
      <c r="C1170" s="1" t="s">
        <v>10</v>
      </c>
      <c r="D1170" s="1">
        <v>0</v>
      </c>
      <c r="F1170" s="3"/>
    </row>
    <row r="1171" spans="1:6" ht="15.75" customHeight="1">
      <c r="A1171" s="1">
        <v>16209</v>
      </c>
      <c r="B1171" s="2">
        <v>44826.826388888891</v>
      </c>
      <c r="C1171" s="1" t="s">
        <v>10</v>
      </c>
      <c r="D1171" s="1">
        <v>0</v>
      </c>
      <c r="F1171" s="3"/>
    </row>
    <row r="1172" spans="1:6" ht="15.75" customHeight="1">
      <c r="A1172" s="1">
        <v>16208</v>
      </c>
      <c r="B1172" s="2">
        <v>44826.7028125</v>
      </c>
      <c r="C1172" s="1" t="s">
        <v>10</v>
      </c>
      <c r="D1172" s="1">
        <v>0</v>
      </c>
      <c r="F1172" s="3"/>
    </row>
    <row r="1173" spans="1:6" ht="15.75" customHeight="1">
      <c r="A1173" s="1">
        <v>16207</v>
      </c>
      <c r="B1173" s="2">
        <v>44826.701701388884</v>
      </c>
      <c r="C1173" s="1" t="s">
        <v>10</v>
      </c>
      <c r="D1173" s="1">
        <v>35</v>
      </c>
      <c r="F1173" s="3"/>
    </row>
    <row r="1174" spans="1:6" ht="15.75" customHeight="1">
      <c r="A1174" s="1">
        <v>16206</v>
      </c>
      <c r="B1174" s="2">
        <v>44826.688055555554</v>
      </c>
      <c r="C1174" s="1" t="s">
        <v>10</v>
      </c>
      <c r="D1174" s="1">
        <v>0</v>
      </c>
      <c r="F1174" s="3"/>
    </row>
    <row r="1175" spans="1:6" ht="15.75" customHeight="1">
      <c r="A1175" s="1">
        <v>16205</v>
      </c>
      <c r="B1175" s="2">
        <v>44826.590497685189</v>
      </c>
      <c r="C1175" s="1" t="s">
        <v>10</v>
      </c>
      <c r="D1175" s="1">
        <v>25</v>
      </c>
      <c r="F1175" s="3"/>
    </row>
    <row r="1176" spans="1:6" ht="15.75" customHeight="1">
      <c r="A1176" s="1">
        <v>16204</v>
      </c>
      <c r="B1176" s="2">
        <v>44826.517997685187</v>
      </c>
      <c r="C1176" s="1" t="s">
        <v>10</v>
      </c>
      <c r="D1176" s="1">
        <v>35</v>
      </c>
      <c r="F1176" s="3"/>
    </row>
    <row r="1177" spans="1:6" ht="15.75" customHeight="1">
      <c r="A1177" s="1">
        <v>16203</v>
      </c>
      <c r="B1177" s="2">
        <v>44826.510266203702</v>
      </c>
      <c r="C1177" s="1" t="s">
        <v>10</v>
      </c>
      <c r="D1177" s="1">
        <v>15</v>
      </c>
      <c r="F1177" s="3"/>
    </row>
    <row r="1178" spans="1:6" ht="15.75" customHeight="1">
      <c r="A1178" s="1">
        <v>16201</v>
      </c>
      <c r="B1178" s="2">
        <v>44826.396666666667</v>
      </c>
      <c r="C1178" s="1" t="s">
        <v>10</v>
      </c>
      <c r="D1178" s="1">
        <v>27.5</v>
      </c>
      <c r="F1178" s="3"/>
    </row>
    <row r="1179" spans="1:6" ht="15.75" customHeight="1">
      <c r="A1179" s="1">
        <v>16200</v>
      </c>
      <c r="B1179" s="2">
        <v>44826.121990740736</v>
      </c>
      <c r="C1179" s="1" t="s">
        <v>10</v>
      </c>
      <c r="D1179" s="1">
        <v>28</v>
      </c>
      <c r="F1179" s="3"/>
    </row>
    <row r="1180" spans="1:6" ht="15.75" customHeight="1">
      <c r="A1180" s="1">
        <v>16199</v>
      </c>
      <c r="B1180" s="2">
        <v>44825.832349537042</v>
      </c>
      <c r="C1180" s="1" t="s">
        <v>10</v>
      </c>
      <c r="D1180" s="1">
        <v>63</v>
      </c>
      <c r="F1180" s="3"/>
    </row>
    <row r="1181" spans="1:6" ht="15.75" customHeight="1">
      <c r="A1181" s="1">
        <v>16198</v>
      </c>
      <c r="B1181" s="2">
        <v>44825.800509259258</v>
      </c>
      <c r="C1181" s="1" t="s">
        <v>10</v>
      </c>
      <c r="D1181" s="1">
        <v>55</v>
      </c>
      <c r="F1181" s="3"/>
    </row>
    <row r="1182" spans="1:6" ht="15.75" customHeight="1">
      <c r="A1182" s="1">
        <v>16197</v>
      </c>
      <c r="B1182" s="2">
        <v>44825.470578703702</v>
      </c>
      <c r="C1182" s="1" t="s">
        <v>10</v>
      </c>
      <c r="D1182" s="1">
        <v>55</v>
      </c>
      <c r="F1182" s="3"/>
    </row>
    <row r="1183" spans="1:6" ht="15.75" customHeight="1">
      <c r="A1183" s="1">
        <v>16196</v>
      </c>
      <c r="B1183" s="2">
        <v>44825.015092592592</v>
      </c>
      <c r="C1183" s="1" t="s">
        <v>10</v>
      </c>
      <c r="D1183" s="1">
        <v>35</v>
      </c>
      <c r="F1183" s="3"/>
    </row>
    <row r="1184" spans="1:6" ht="15.75" customHeight="1">
      <c r="A1184" s="1">
        <v>16195</v>
      </c>
      <c r="B1184" s="2">
        <v>44824.994999999995</v>
      </c>
      <c r="C1184" s="1" t="s">
        <v>10</v>
      </c>
      <c r="D1184" s="1">
        <v>63</v>
      </c>
      <c r="F1184" s="3"/>
    </row>
    <row r="1185" spans="1:6" ht="15.75" customHeight="1">
      <c r="A1185" s="1">
        <v>16194</v>
      </c>
      <c r="B1185" s="2">
        <v>44824.778067129635</v>
      </c>
      <c r="C1185" s="1" t="s">
        <v>10</v>
      </c>
      <c r="D1185" s="1">
        <v>42.5</v>
      </c>
      <c r="F1185" s="3"/>
    </row>
    <row r="1186" spans="1:6" ht="15.75" customHeight="1">
      <c r="A1186" s="1">
        <v>16193</v>
      </c>
      <c r="B1186" s="2">
        <v>44824.7659837963</v>
      </c>
      <c r="C1186" s="1" t="s">
        <v>10</v>
      </c>
      <c r="D1186" s="1">
        <v>28</v>
      </c>
      <c r="F1186" s="3"/>
    </row>
    <row r="1187" spans="1:6" ht="15.75" customHeight="1">
      <c r="A1187" s="1">
        <v>16192</v>
      </c>
      <c r="B1187" s="2">
        <v>44824.756736111114</v>
      </c>
      <c r="C1187" s="1" t="s">
        <v>10</v>
      </c>
      <c r="D1187" s="1">
        <v>55</v>
      </c>
      <c r="F1187" s="3"/>
    </row>
    <row r="1188" spans="1:6" ht="15.75" customHeight="1">
      <c r="A1188" s="1">
        <v>16191</v>
      </c>
      <c r="B1188" s="2">
        <v>44824.694421296299</v>
      </c>
      <c r="C1188" s="1" t="s">
        <v>10</v>
      </c>
      <c r="D1188" s="1">
        <v>35</v>
      </c>
      <c r="F1188" s="3"/>
    </row>
    <row r="1189" spans="1:6" ht="15.75" customHeight="1">
      <c r="A1189" s="1">
        <v>16190</v>
      </c>
      <c r="B1189" s="2">
        <v>44824.553263888884</v>
      </c>
      <c r="C1189" s="1" t="s">
        <v>10</v>
      </c>
      <c r="D1189" s="1">
        <v>15</v>
      </c>
      <c r="F1189" s="3"/>
    </row>
    <row r="1190" spans="1:6" ht="15.75" customHeight="1">
      <c r="A1190" s="1">
        <v>16189</v>
      </c>
      <c r="B1190" s="2">
        <v>44824.09778935185</v>
      </c>
      <c r="C1190" s="1" t="s">
        <v>10</v>
      </c>
      <c r="D1190" s="1">
        <v>0</v>
      </c>
      <c r="F1190" s="3"/>
    </row>
    <row r="1191" spans="1:6" ht="15.75" customHeight="1">
      <c r="A1191" s="1">
        <v>16188</v>
      </c>
      <c r="B1191" s="2">
        <v>44824.095671296294</v>
      </c>
      <c r="C1191" s="1" t="s">
        <v>10</v>
      </c>
      <c r="D1191" s="1">
        <v>0</v>
      </c>
      <c r="F1191" s="3"/>
    </row>
    <row r="1192" spans="1:6" ht="15.75" customHeight="1">
      <c r="A1192" s="1">
        <v>16186</v>
      </c>
      <c r="B1192" s="2">
        <v>44824.04614583333</v>
      </c>
      <c r="C1192" s="1" t="s">
        <v>10</v>
      </c>
      <c r="D1192" s="1">
        <v>15</v>
      </c>
      <c r="F1192" s="3"/>
    </row>
    <row r="1193" spans="1:6" ht="15.75" customHeight="1">
      <c r="A1193" s="1">
        <v>16185</v>
      </c>
      <c r="B1193" s="2">
        <v>44823.899907407409</v>
      </c>
      <c r="C1193" s="1" t="s">
        <v>10</v>
      </c>
      <c r="D1193" s="1">
        <v>35</v>
      </c>
      <c r="F1193" s="3"/>
    </row>
    <row r="1194" spans="1:6" ht="15.75" customHeight="1">
      <c r="A1194" s="1">
        <v>16184</v>
      </c>
      <c r="B1194" s="2">
        <v>44823.754942129628</v>
      </c>
      <c r="C1194" s="1" t="s">
        <v>10</v>
      </c>
      <c r="D1194" s="1">
        <v>52</v>
      </c>
      <c r="F1194" s="3"/>
    </row>
    <row r="1195" spans="1:6" ht="15.75" customHeight="1">
      <c r="A1195" s="1">
        <v>16183</v>
      </c>
      <c r="B1195" s="2">
        <v>44823.703032407408</v>
      </c>
      <c r="C1195" s="1" t="s">
        <v>10</v>
      </c>
      <c r="D1195" s="1">
        <v>15</v>
      </c>
      <c r="F1195" s="3"/>
    </row>
    <row r="1196" spans="1:6" ht="15.75" customHeight="1">
      <c r="A1196" s="1">
        <v>16182</v>
      </c>
      <c r="B1196" s="2">
        <v>44823.658194444448</v>
      </c>
      <c r="C1196" s="1" t="s">
        <v>10</v>
      </c>
      <c r="D1196" s="1">
        <v>25</v>
      </c>
      <c r="F1196" s="3"/>
    </row>
    <row r="1197" spans="1:6" ht="15.75" customHeight="1">
      <c r="A1197" s="1">
        <v>16181</v>
      </c>
      <c r="B1197" s="2">
        <v>44823.480347222227</v>
      </c>
      <c r="C1197" s="1" t="s">
        <v>10</v>
      </c>
      <c r="D1197" s="1">
        <v>84</v>
      </c>
      <c r="F1197" s="3"/>
    </row>
    <row r="1198" spans="1:6" ht="15.75" customHeight="1">
      <c r="A1198" s="1">
        <v>16179</v>
      </c>
      <c r="B1198" s="2">
        <v>44823.041527777779</v>
      </c>
      <c r="C1198" s="1" t="s">
        <v>10</v>
      </c>
      <c r="D1198" s="1">
        <v>77</v>
      </c>
      <c r="F1198" s="3"/>
    </row>
    <row r="1199" spans="1:6" ht="15.75" customHeight="1">
      <c r="A1199" s="1">
        <v>16177</v>
      </c>
      <c r="B1199" s="2">
        <v>44822.880601851852</v>
      </c>
      <c r="C1199" s="1" t="s">
        <v>10</v>
      </c>
      <c r="D1199" s="1">
        <v>89</v>
      </c>
      <c r="F1199" s="3"/>
    </row>
    <row r="1200" spans="1:6" ht="15.75" customHeight="1">
      <c r="A1200" s="1">
        <v>16176</v>
      </c>
      <c r="B1200" s="2">
        <v>44822.811377314814</v>
      </c>
      <c r="C1200" s="1" t="s">
        <v>10</v>
      </c>
      <c r="D1200" s="1">
        <v>63</v>
      </c>
      <c r="F1200" s="3"/>
    </row>
    <row r="1201" spans="1:6" ht="15.75" customHeight="1">
      <c r="A1201" s="1">
        <v>16175</v>
      </c>
      <c r="B1201" s="2">
        <v>44822.806666666671</v>
      </c>
      <c r="C1201" s="1" t="s">
        <v>10</v>
      </c>
      <c r="D1201" s="1">
        <v>18</v>
      </c>
      <c r="F1201" s="3"/>
    </row>
    <row r="1202" spans="1:6" ht="15.75" customHeight="1">
      <c r="A1202" s="1">
        <v>16174</v>
      </c>
      <c r="B1202" s="2">
        <v>44822.788668981477</v>
      </c>
      <c r="C1202" s="1" t="s">
        <v>10</v>
      </c>
      <c r="D1202" s="1">
        <v>70</v>
      </c>
      <c r="F1202" s="3"/>
    </row>
    <row r="1203" spans="1:6" ht="15.75" customHeight="1">
      <c r="A1203" s="1">
        <v>16173</v>
      </c>
      <c r="B1203" s="2">
        <v>44822.78601851852</v>
      </c>
      <c r="C1203" s="1" t="s">
        <v>10</v>
      </c>
      <c r="D1203" s="1">
        <v>0</v>
      </c>
      <c r="F1203" s="3"/>
    </row>
    <row r="1204" spans="1:6" ht="15.75" customHeight="1">
      <c r="A1204" s="1">
        <v>16172</v>
      </c>
      <c r="B1204" s="2">
        <v>44822.783622685187</v>
      </c>
      <c r="C1204" s="1" t="s">
        <v>10</v>
      </c>
      <c r="D1204" s="1">
        <v>10</v>
      </c>
      <c r="F1204" s="3"/>
    </row>
    <row r="1205" spans="1:6" ht="15.75" customHeight="1">
      <c r="A1205" s="1">
        <v>16171</v>
      </c>
      <c r="B1205" s="2">
        <v>44822.748784722222</v>
      </c>
      <c r="C1205" s="1" t="s">
        <v>10</v>
      </c>
      <c r="D1205" s="1">
        <v>55</v>
      </c>
      <c r="F1205" s="3"/>
    </row>
    <row r="1206" spans="1:6" ht="15.75" customHeight="1">
      <c r="A1206" s="1">
        <v>16170</v>
      </c>
      <c r="B1206" s="2">
        <v>44822.703703703708</v>
      </c>
      <c r="C1206" s="1" t="s">
        <v>10</v>
      </c>
      <c r="D1206" s="1">
        <v>49</v>
      </c>
      <c r="F1206" s="3"/>
    </row>
    <row r="1207" spans="1:6" ht="15.75" customHeight="1">
      <c r="A1207" s="1">
        <v>16169</v>
      </c>
      <c r="B1207" s="2">
        <v>44822.701805555553</v>
      </c>
      <c r="C1207" s="1" t="s">
        <v>10</v>
      </c>
      <c r="D1207" s="1">
        <v>35</v>
      </c>
      <c r="F1207" s="3"/>
    </row>
    <row r="1208" spans="1:6" ht="15.75" customHeight="1">
      <c r="A1208" s="1">
        <v>16168</v>
      </c>
      <c r="B1208" s="2">
        <v>44822.699282407411</v>
      </c>
      <c r="C1208" s="1" t="s">
        <v>10</v>
      </c>
      <c r="D1208" s="1">
        <v>24</v>
      </c>
      <c r="F1208" s="3"/>
    </row>
    <row r="1209" spans="1:6" ht="15.75" customHeight="1">
      <c r="A1209" s="1">
        <v>16167</v>
      </c>
      <c r="B1209" s="2">
        <v>44822.696979166663</v>
      </c>
      <c r="C1209" s="1" t="s">
        <v>10</v>
      </c>
      <c r="D1209" s="1">
        <v>63</v>
      </c>
      <c r="F1209" s="3"/>
    </row>
    <row r="1210" spans="1:6" ht="15.75" customHeight="1">
      <c r="A1210" s="1">
        <v>19287</v>
      </c>
      <c r="B1210" s="2">
        <v>45114.490763888891</v>
      </c>
      <c r="C1210" s="1" t="s">
        <v>0</v>
      </c>
      <c r="D1210" s="1">
        <v>25</v>
      </c>
      <c r="E1210" s="1" t="s">
        <v>28</v>
      </c>
      <c r="F1210" s="3"/>
    </row>
    <row r="1211" spans="1:6" ht="15.75" customHeight="1">
      <c r="A1211" s="1">
        <v>19288</v>
      </c>
      <c r="B1211" s="2">
        <v>45114.531122685185</v>
      </c>
      <c r="C1211" s="1" t="s">
        <v>0</v>
      </c>
      <c r="D1211" s="1">
        <v>35</v>
      </c>
      <c r="E1211" s="1" t="s">
        <v>28</v>
      </c>
      <c r="F1211" s="3"/>
    </row>
    <row r="1212" spans="1:6" ht="15.75" customHeight="1">
      <c r="A1212" s="1">
        <v>19289</v>
      </c>
      <c r="B1212" s="2">
        <v>45114.809537037036</v>
      </c>
      <c r="C1212" s="1" t="s">
        <v>0</v>
      </c>
      <c r="D1212" s="1">
        <v>0</v>
      </c>
      <c r="E1212" s="1" t="s">
        <v>79</v>
      </c>
      <c r="F1212" s="3"/>
    </row>
    <row r="1213" spans="1:6" ht="15.75" customHeight="1">
      <c r="A1213" s="1">
        <v>19291</v>
      </c>
      <c r="B1213" s="2">
        <v>45114.885891203703</v>
      </c>
      <c r="C1213" s="1" t="s">
        <v>0</v>
      </c>
      <c r="D1213" s="1">
        <v>35</v>
      </c>
      <c r="E1213" s="1" t="s">
        <v>28</v>
      </c>
      <c r="F1213" s="3"/>
    </row>
    <row r="1214" spans="1:6" ht="15.75" customHeight="1">
      <c r="A1214" s="1">
        <v>19290</v>
      </c>
      <c r="B1214" s="2">
        <v>45114.884050925924</v>
      </c>
      <c r="C1214" s="1" t="s">
        <v>0</v>
      </c>
      <c r="D1214" s="1">
        <v>35</v>
      </c>
      <c r="E1214" s="1" t="s">
        <v>28</v>
      </c>
      <c r="F1214" s="3"/>
    </row>
    <row r="1215" spans="1:6" ht="15.75" customHeight="1">
      <c r="A1215" s="1">
        <v>19291</v>
      </c>
      <c r="B1215" s="2">
        <v>45114.885891203703</v>
      </c>
      <c r="C1215" s="1" t="s">
        <v>0</v>
      </c>
      <c r="D1215" s="1">
        <v>35</v>
      </c>
      <c r="E1215" s="1" t="s">
        <v>28</v>
      </c>
      <c r="F1215" s="3"/>
    </row>
    <row r="1216" spans="1:6" ht="15.75" customHeight="1">
      <c r="A1216" s="1">
        <v>19292</v>
      </c>
      <c r="B1216" s="2">
        <v>45115.094641203701</v>
      </c>
      <c r="C1216" s="1" t="s">
        <v>0</v>
      </c>
      <c r="D1216" s="1">
        <v>35</v>
      </c>
      <c r="E1216" s="1" t="s">
        <v>28</v>
      </c>
      <c r="F1216" s="3"/>
    </row>
    <row r="1217" spans="1:6" ht="15.75" customHeight="1">
      <c r="A1217" s="1">
        <v>19293</v>
      </c>
      <c r="B1217" s="2">
        <v>45115.513831018521</v>
      </c>
      <c r="C1217" s="1" t="s">
        <v>0</v>
      </c>
      <c r="D1217" s="1">
        <v>30</v>
      </c>
      <c r="E1217" s="1" t="s">
        <v>28</v>
      </c>
      <c r="F1217" s="3"/>
    </row>
    <row r="1218" spans="1:6" ht="15.75" customHeight="1">
      <c r="A1218" s="1">
        <v>19294</v>
      </c>
      <c r="B1218" s="2">
        <v>45115.61</v>
      </c>
      <c r="C1218" s="1" t="s">
        <v>0</v>
      </c>
      <c r="D1218" s="1">
        <v>51</v>
      </c>
      <c r="E1218" s="1" t="s">
        <v>28</v>
      </c>
      <c r="F1218" s="3"/>
    </row>
    <row r="1219" spans="1:6" ht="15.75" customHeight="1">
      <c r="A1219" s="1">
        <v>19295</v>
      </c>
      <c r="B1219" s="2">
        <v>45115.68409722222</v>
      </c>
      <c r="C1219" s="1" t="s">
        <v>0</v>
      </c>
      <c r="D1219" s="1">
        <v>40</v>
      </c>
      <c r="E1219" s="1" t="s">
        <v>28</v>
      </c>
      <c r="F1219" s="3"/>
    </row>
    <row r="1220" spans="1:6" ht="15.75" customHeight="1">
      <c r="A1220" s="1">
        <v>19296</v>
      </c>
      <c r="B1220" s="2">
        <v>45115.872569444444</v>
      </c>
      <c r="C1220" s="1" t="s">
        <v>0</v>
      </c>
      <c r="D1220" s="1">
        <v>25</v>
      </c>
      <c r="E1220" s="1" t="s">
        <v>79</v>
      </c>
      <c r="F1220" s="3"/>
    </row>
    <row r="1221" spans="1:6" ht="15.75" customHeight="1">
      <c r="A1221" s="1">
        <v>19297</v>
      </c>
      <c r="B1221" s="2">
        <v>45116.048715277779</v>
      </c>
      <c r="C1221" s="1" t="s">
        <v>0</v>
      </c>
      <c r="D1221" s="1">
        <v>25</v>
      </c>
      <c r="E1221" s="1" t="s">
        <v>28</v>
      </c>
      <c r="F1221" s="3"/>
    </row>
    <row r="1222" spans="1:6" ht="15.75" customHeight="1">
      <c r="A1222" s="1">
        <v>19298</v>
      </c>
      <c r="B1222" s="2">
        <v>45116.511053240742</v>
      </c>
      <c r="C1222" s="1" t="s">
        <v>0</v>
      </c>
      <c r="D1222" s="1">
        <v>25</v>
      </c>
      <c r="E1222" s="1" t="s">
        <v>79</v>
      </c>
      <c r="F1222" s="3"/>
    </row>
    <row r="1223" spans="1:6" ht="15.75" customHeight="1">
      <c r="A1223" s="1">
        <v>19299</v>
      </c>
      <c r="B1223" s="2">
        <v>45116.569548611114</v>
      </c>
      <c r="C1223" s="1" t="s">
        <v>0</v>
      </c>
      <c r="D1223" s="1">
        <v>40</v>
      </c>
      <c r="E1223" s="1" t="s">
        <v>28</v>
      </c>
      <c r="F1223" s="3"/>
    </row>
    <row r="1224" spans="1:6" ht="15.75" customHeight="1">
      <c r="A1224" s="1">
        <v>19300</v>
      </c>
      <c r="B1224" s="2">
        <v>45116.717453703706</v>
      </c>
      <c r="C1224" s="1" t="s">
        <v>0</v>
      </c>
      <c r="D1224" s="1">
        <v>52</v>
      </c>
      <c r="E1224" s="1" t="s">
        <v>28</v>
      </c>
      <c r="F1224" s="3"/>
    </row>
    <row r="1225" spans="1:6" ht="15.75" customHeight="1">
      <c r="A1225" s="1">
        <v>19301</v>
      </c>
      <c r="B1225" s="2">
        <v>45116.746053240742</v>
      </c>
      <c r="C1225" s="1" t="s">
        <v>0</v>
      </c>
      <c r="D1225" s="1">
        <v>46</v>
      </c>
      <c r="E1225" s="1" t="s">
        <v>28</v>
      </c>
      <c r="F1225" s="3"/>
    </row>
    <row r="1226" spans="1:6" ht="15.75" customHeight="1">
      <c r="A1226" s="1">
        <v>19303</v>
      </c>
      <c r="B1226" s="2">
        <v>45116.756701388891</v>
      </c>
      <c r="C1226" s="1" t="s">
        <v>0</v>
      </c>
      <c r="D1226" s="1">
        <v>73</v>
      </c>
      <c r="E1226" s="1" t="s">
        <v>28</v>
      </c>
      <c r="F1226" s="3"/>
    </row>
    <row r="1227" spans="1:6" ht="15.75" customHeight="1">
      <c r="A1227" s="1">
        <v>19302</v>
      </c>
      <c r="B1227" s="2">
        <v>45116.750972222224</v>
      </c>
      <c r="C1227" s="1" t="s">
        <v>0</v>
      </c>
      <c r="D1227" s="1">
        <v>73</v>
      </c>
      <c r="E1227" s="1" t="s">
        <v>28</v>
      </c>
      <c r="F1227" s="3"/>
    </row>
    <row r="1228" spans="1:6" ht="15.75" customHeight="1">
      <c r="A1228" s="1">
        <v>19303</v>
      </c>
      <c r="B1228" s="2">
        <v>45116.756701388891</v>
      </c>
      <c r="C1228" s="1" t="s">
        <v>0</v>
      </c>
      <c r="D1228" s="1">
        <v>73</v>
      </c>
      <c r="E1228" s="1" t="s">
        <v>28</v>
      </c>
      <c r="F1228" s="3"/>
    </row>
    <row r="1229" spans="1:6" ht="15.75" customHeight="1">
      <c r="A1229" s="1">
        <v>19304</v>
      </c>
      <c r="B1229" s="2">
        <v>45116.94866898148</v>
      </c>
      <c r="C1229" s="1" t="s">
        <v>0</v>
      </c>
      <c r="D1229" s="1">
        <v>20</v>
      </c>
      <c r="E1229" s="1" t="s">
        <v>28</v>
      </c>
      <c r="F1229" s="3"/>
    </row>
    <row r="1230" spans="1:6" ht="15.75" customHeight="1">
      <c r="A1230" s="1">
        <v>19305</v>
      </c>
      <c r="B1230" s="2">
        <v>45117.053171296298</v>
      </c>
      <c r="C1230" s="1" t="s">
        <v>0</v>
      </c>
      <c r="D1230" s="1">
        <v>40</v>
      </c>
      <c r="E1230" s="1" t="s">
        <v>28</v>
      </c>
      <c r="F1230" s="3"/>
    </row>
    <row r="1231" spans="1:6" ht="15.75" customHeight="1">
      <c r="A1231" s="1">
        <v>19306</v>
      </c>
      <c r="B1231" s="2">
        <v>45117.116956018515</v>
      </c>
      <c r="C1231" s="1" t="s">
        <v>0</v>
      </c>
      <c r="D1231" s="1">
        <v>25</v>
      </c>
      <c r="E1231" s="1" t="s">
        <v>28</v>
      </c>
      <c r="F1231" s="3"/>
    </row>
    <row r="1232" spans="1:6" ht="15.75" customHeight="1">
      <c r="A1232" s="1">
        <v>19307</v>
      </c>
      <c r="B1232" s="2">
        <v>45117.344467592593</v>
      </c>
      <c r="C1232" s="1" t="s">
        <v>0</v>
      </c>
      <c r="D1232" s="1">
        <v>18</v>
      </c>
      <c r="E1232" s="1" t="s">
        <v>28</v>
      </c>
      <c r="F1232" s="3"/>
    </row>
    <row r="1233" spans="1:6" ht="15.75" customHeight="1">
      <c r="A1233" s="1">
        <v>19309</v>
      </c>
      <c r="B1233" s="2">
        <v>45117.526354166665</v>
      </c>
      <c r="C1233" s="1" t="s">
        <v>0</v>
      </c>
      <c r="D1233" s="1">
        <v>25</v>
      </c>
      <c r="E1233" s="1" t="s">
        <v>79</v>
      </c>
      <c r="F1233" s="3"/>
    </row>
    <row r="1234" spans="1:6" ht="15.75" customHeight="1">
      <c r="A1234" s="1">
        <v>19308</v>
      </c>
      <c r="B1234" s="2">
        <v>45117.523495370369</v>
      </c>
      <c r="C1234" s="1" t="s">
        <v>0</v>
      </c>
      <c r="D1234" s="1">
        <v>25</v>
      </c>
      <c r="E1234" s="1" t="s">
        <v>79</v>
      </c>
      <c r="F1234" s="3"/>
    </row>
    <row r="1235" spans="1:6" ht="15.75" customHeight="1">
      <c r="A1235" s="1">
        <v>19309</v>
      </c>
      <c r="B1235" s="2">
        <v>45117.526354166665</v>
      </c>
      <c r="C1235" s="1" t="s">
        <v>0</v>
      </c>
      <c r="D1235" s="1">
        <v>25</v>
      </c>
      <c r="E1235" s="1" t="s">
        <v>79</v>
      </c>
      <c r="F1235" s="3"/>
    </row>
    <row r="1236" spans="1:6" ht="15.75" customHeight="1">
      <c r="A1236" s="1">
        <v>19310</v>
      </c>
      <c r="B1236" s="2">
        <v>45117.678831018522</v>
      </c>
      <c r="C1236" s="1" t="s">
        <v>0</v>
      </c>
      <c r="D1236" s="1">
        <v>35</v>
      </c>
      <c r="E1236" s="1" t="s">
        <v>28</v>
      </c>
      <c r="F1236" s="3"/>
    </row>
    <row r="1237" spans="1:6" ht="15.75" customHeight="1">
      <c r="A1237" s="1">
        <v>19311</v>
      </c>
      <c r="B1237" s="2">
        <v>45117.807488425926</v>
      </c>
      <c r="C1237" s="1" t="s">
        <v>0</v>
      </c>
      <c r="D1237" s="1">
        <v>15</v>
      </c>
      <c r="E1237" s="1" t="s">
        <v>28</v>
      </c>
      <c r="F1237" s="3"/>
    </row>
    <row r="1238" spans="1:6" ht="15.75" customHeight="1">
      <c r="A1238" s="1">
        <v>19313</v>
      </c>
      <c r="B1238" s="2">
        <v>45117.872418981482</v>
      </c>
      <c r="C1238" s="1" t="s">
        <v>0</v>
      </c>
      <c r="D1238" s="1">
        <v>18</v>
      </c>
      <c r="E1238" s="1" t="s">
        <v>79</v>
      </c>
      <c r="F1238" s="3"/>
    </row>
    <row r="1239" spans="1:6" ht="15.75" customHeight="1">
      <c r="A1239" s="1">
        <v>19312</v>
      </c>
      <c r="B1239" s="2">
        <v>45117.870219907411</v>
      </c>
      <c r="C1239" s="1" t="s">
        <v>0</v>
      </c>
      <c r="D1239" s="1">
        <v>0</v>
      </c>
      <c r="E1239" s="1" t="s">
        <v>28</v>
      </c>
      <c r="F1239" s="3"/>
    </row>
    <row r="1240" spans="1:6" ht="15.75" customHeight="1">
      <c r="A1240" s="1">
        <v>19313</v>
      </c>
      <c r="B1240" s="2">
        <v>45117.872418981482</v>
      </c>
      <c r="C1240" s="1" t="s">
        <v>0</v>
      </c>
      <c r="D1240" s="1">
        <v>18</v>
      </c>
      <c r="E1240" s="1" t="s">
        <v>79</v>
      </c>
      <c r="F1240" s="3"/>
    </row>
    <row r="1241" spans="1:6" ht="15.75" customHeight="1">
      <c r="A1241" s="1">
        <v>19314</v>
      </c>
      <c r="B1241" s="2">
        <v>45117.904756944445</v>
      </c>
      <c r="C1241" s="1" t="s">
        <v>0</v>
      </c>
      <c r="D1241" s="1">
        <v>25</v>
      </c>
      <c r="E1241" s="1" t="s">
        <v>28</v>
      </c>
      <c r="F1241" s="3"/>
    </row>
    <row r="1242" spans="1:6" ht="15.75" customHeight="1">
      <c r="A1242" s="1">
        <v>19315</v>
      </c>
      <c r="B1242" s="2">
        <v>45117.911724537036</v>
      </c>
      <c r="C1242" s="1" t="s">
        <v>0</v>
      </c>
      <c r="D1242" s="1">
        <v>22</v>
      </c>
      <c r="E1242" s="1" t="s">
        <v>28</v>
      </c>
      <c r="F1242" s="3"/>
    </row>
    <row r="1243" spans="1:6" ht="15.75" customHeight="1">
      <c r="A1243" s="1">
        <v>19318</v>
      </c>
      <c r="B1243" s="2">
        <v>45117.927384259259</v>
      </c>
      <c r="C1243" s="1" t="s">
        <v>0</v>
      </c>
      <c r="D1243" s="1">
        <v>20</v>
      </c>
      <c r="E1243" s="1" t="s">
        <v>28</v>
      </c>
      <c r="F1243" s="3"/>
    </row>
    <row r="1244" spans="1:6" ht="15.75" customHeight="1">
      <c r="A1244" s="1">
        <v>19317</v>
      </c>
      <c r="B1244" s="2">
        <v>45117.926400462966</v>
      </c>
      <c r="C1244" s="1" t="s">
        <v>0</v>
      </c>
      <c r="D1244" s="1">
        <v>26</v>
      </c>
      <c r="E1244" s="1" t="s">
        <v>28</v>
      </c>
      <c r="F1244" s="3"/>
    </row>
    <row r="1245" spans="1:6" ht="15.75" customHeight="1">
      <c r="A1245" s="1">
        <v>19316</v>
      </c>
      <c r="B1245" s="2">
        <v>45117.924490740741</v>
      </c>
      <c r="C1245" s="1" t="s">
        <v>0</v>
      </c>
      <c r="D1245" s="1">
        <v>28</v>
      </c>
      <c r="E1245" s="1" t="s">
        <v>28</v>
      </c>
      <c r="F1245" s="3"/>
    </row>
    <row r="1246" spans="1:6" ht="15.75" customHeight="1">
      <c r="A1246" s="1">
        <v>19318</v>
      </c>
      <c r="B1246" s="2">
        <v>45117.927384259259</v>
      </c>
      <c r="C1246" s="1" t="s">
        <v>0</v>
      </c>
      <c r="D1246" s="1">
        <v>20</v>
      </c>
      <c r="E1246" s="1" t="s">
        <v>28</v>
      </c>
      <c r="F1246" s="3"/>
    </row>
    <row r="1247" spans="1:6" ht="15.75" customHeight="1">
      <c r="A1247" s="1">
        <v>19317</v>
      </c>
      <c r="B1247" s="2">
        <v>45117.926400462966</v>
      </c>
      <c r="C1247" s="1" t="s">
        <v>0</v>
      </c>
      <c r="D1247" s="1">
        <v>26</v>
      </c>
      <c r="E1247" s="1" t="s">
        <v>28</v>
      </c>
      <c r="F1247" s="3"/>
    </row>
    <row r="1248" spans="1:6" ht="15.75" customHeight="1">
      <c r="A1248" s="1">
        <v>19318</v>
      </c>
      <c r="B1248" s="2">
        <v>45117.927384259259</v>
      </c>
      <c r="C1248" s="1" t="s">
        <v>0</v>
      </c>
      <c r="D1248" s="1">
        <v>20</v>
      </c>
      <c r="E1248" s="1" t="s">
        <v>28</v>
      </c>
      <c r="F1248" s="3"/>
    </row>
    <row r="1249" spans="1:6" ht="15.75" customHeight="1">
      <c r="A1249" s="1">
        <v>19319</v>
      </c>
      <c r="B1249" s="2">
        <v>45117.960150462961</v>
      </c>
      <c r="C1249" s="1" t="s">
        <v>0</v>
      </c>
      <c r="D1249" s="1">
        <v>28</v>
      </c>
      <c r="E1249" s="1" t="s">
        <v>28</v>
      </c>
      <c r="F1249" s="3"/>
    </row>
    <row r="1250" spans="1:6" ht="15.75" customHeight="1">
      <c r="A1250" s="1">
        <v>19320</v>
      </c>
      <c r="B1250" s="2">
        <v>45118.727349537039</v>
      </c>
      <c r="C1250" s="1" t="s">
        <v>0</v>
      </c>
      <c r="D1250" s="1">
        <v>15</v>
      </c>
      <c r="E1250" s="1" t="s">
        <v>28</v>
      </c>
      <c r="F1250" s="3"/>
    </row>
    <row r="1251" spans="1:6" ht="15.75" customHeight="1">
      <c r="A1251" s="1">
        <v>19322</v>
      </c>
      <c r="B1251" s="2">
        <v>45118.753518518519</v>
      </c>
      <c r="C1251" s="1" t="s">
        <v>0</v>
      </c>
      <c r="D1251" s="1">
        <v>26</v>
      </c>
      <c r="E1251" s="1" t="s">
        <v>28</v>
      </c>
      <c r="F1251" s="3"/>
    </row>
    <row r="1252" spans="1:6" ht="15.75" customHeight="1">
      <c r="A1252" s="1">
        <v>19321</v>
      </c>
      <c r="B1252" s="2">
        <v>45118.750937500001</v>
      </c>
      <c r="C1252" s="1" t="s">
        <v>0</v>
      </c>
      <c r="D1252" s="1">
        <v>41</v>
      </c>
      <c r="E1252" s="1" t="s">
        <v>28</v>
      </c>
      <c r="F1252" s="3"/>
    </row>
    <row r="1253" spans="1:6" ht="15.75" customHeight="1">
      <c r="A1253" s="1">
        <v>19322</v>
      </c>
      <c r="B1253" s="2">
        <v>45118.753518518519</v>
      </c>
      <c r="C1253" s="1" t="s">
        <v>0</v>
      </c>
      <c r="D1253" s="1">
        <v>26</v>
      </c>
      <c r="E1253" s="1" t="s">
        <v>28</v>
      </c>
      <c r="F1253" s="3"/>
    </row>
    <row r="1254" spans="1:6" ht="15.75" customHeight="1">
      <c r="A1254" s="1">
        <v>19323</v>
      </c>
      <c r="B1254" s="2">
        <v>45118.926979166667</v>
      </c>
      <c r="C1254" s="1" t="s">
        <v>0</v>
      </c>
      <c r="D1254" s="1">
        <v>25</v>
      </c>
      <c r="E1254" s="1" t="s">
        <v>28</v>
      </c>
      <c r="F1254" s="3"/>
    </row>
    <row r="1255" spans="1:6" ht="15.75" customHeight="1">
      <c r="A1255" s="1">
        <v>19325</v>
      </c>
      <c r="B1255" s="2">
        <v>45119.089872685188</v>
      </c>
      <c r="C1255" s="1" t="s">
        <v>0</v>
      </c>
      <c r="D1255" s="1">
        <v>53</v>
      </c>
      <c r="E1255" s="1" t="s">
        <v>28</v>
      </c>
      <c r="F1255" s="3"/>
    </row>
    <row r="1256" spans="1:6" ht="15.75" customHeight="1">
      <c r="A1256" s="1">
        <v>19327</v>
      </c>
      <c r="B1256" s="2">
        <v>45119.750081018516</v>
      </c>
      <c r="C1256" s="1" t="s">
        <v>0</v>
      </c>
      <c r="D1256" s="1">
        <v>28</v>
      </c>
      <c r="E1256" s="1" t="s">
        <v>28</v>
      </c>
      <c r="F1256" s="3"/>
    </row>
    <row r="1257" spans="1:6" ht="15.75" customHeight="1">
      <c r="A1257" s="1">
        <v>19328</v>
      </c>
      <c r="B1257" s="2">
        <v>45119.79482638889</v>
      </c>
      <c r="C1257" s="1" t="s">
        <v>0</v>
      </c>
      <c r="D1257" s="1">
        <v>41</v>
      </c>
      <c r="E1257" s="1" t="s">
        <v>28</v>
      </c>
      <c r="F1257" s="3"/>
    </row>
    <row r="1258" spans="1:6" ht="15.75" customHeight="1">
      <c r="A1258" s="1">
        <v>19329</v>
      </c>
      <c r="B1258" s="2">
        <v>45119.811030092591</v>
      </c>
      <c r="C1258" s="1" t="s">
        <v>0</v>
      </c>
      <c r="D1258" s="1">
        <v>20</v>
      </c>
      <c r="E1258" s="1" t="s">
        <v>28</v>
      </c>
      <c r="F1258" s="3"/>
    </row>
    <row r="1259" spans="1:6" ht="15.75" customHeight="1">
      <c r="A1259" s="1">
        <v>19330</v>
      </c>
      <c r="B1259" s="2">
        <v>45119.848368055558</v>
      </c>
      <c r="C1259" s="1" t="s">
        <v>0</v>
      </c>
      <c r="D1259" s="1">
        <v>26</v>
      </c>
      <c r="E1259" s="1" t="s">
        <v>28</v>
      </c>
      <c r="F1259" s="3"/>
    </row>
    <row r="1260" spans="1:6" ht="15.75" customHeight="1">
      <c r="A1260" s="1">
        <v>19331</v>
      </c>
      <c r="B1260" s="2">
        <v>45119.868564814817</v>
      </c>
      <c r="C1260" s="1" t="s">
        <v>0</v>
      </c>
      <c r="D1260" s="1">
        <v>25</v>
      </c>
      <c r="E1260" s="1" t="s">
        <v>28</v>
      </c>
      <c r="F1260" s="3"/>
    </row>
    <row r="1261" spans="1:6" ht="15.75" customHeight="1">
      <c r="A1261" s="1">
        <v>19332</v>
      </c>
      <c r="B1261" s="2">
        <v>45119.916481481479</v>
      </c>
      <c r="C1261" s="1" t="s">
        <v>0</v>
      </c>
      <c r="D1261" s="1">
        <v>68</v>
      </c>
      <c r="E1261" s="1" t="s">
        <v>28</v>
      </c>
      <c r="F1261" s="3"/>
    </row>
    <row r="1262" spans="1:6" ht="15.75" customHeight="1">
      <c r="A1262" s="1">
        <v>19333</v>
      </c>
      <c r="B1262" s="2">
        <v>45119.938032407408</v>
      </c>
      <c r="C1262" s="1" t="s">
        <v>0</v>
      </c>
      <c r="D1262" s="1">
        <v>46</v>
      </c>
      <c r="E1262" s="1" t="s">
        <v>28</v>
      </c>
      <c r="F1262" s="3"/>
    </row>
    <row r="1263" spans="1:6" ht="15.75" customHeight="1">
      <c r="A1263" s="1">
        <v>19334</v>
      </c>
      <c r="B1263" s="2">
        <v>45119.944293981483</v>
      </c>
      <c r="C1263" s="1" t="s">
        <v>0</v>
      </c>
      <c r="D1263" s="1">
        <v>46</v>
      </c>
      <c r="E1263" s="1" t="s">
        <v>28</v>
      </c>
      <c r="F1263" s="3"/>
    </row>
    <row r="1264" spans="1:6" ht="15.75" customHeight="1">
      <c r="A1264" s="1">
        <v>19335</v>
      </c>
      <c r="B1264" s="2">
        <v>45119.978275462963</v>
      </c>
      <c r="C1264" s="1" t="s">
        <v>0</v>
      </c>
      <c r="D1264" s="1">
        <v>20</v>
      </c>
      <c r="E1264" s="1" t="s">
        <v>28</v>
      </c>
      <c r="F1264" s="3"/>
    </row>
    <row r="1265" spans="1:6" ht="15.75" customHeight="1">
      <c r="A1265" s="1">
        <v>19339</v>
      </c>
      <c r="B1265" s="2">
        <v>45120.052511574075</v>
      </c>
      <c r="C1265" s="1" t="s">
        <v>51</v>
      </c>
      <c r="D1265" s="1">
        <v>21</v>
      </c>
      <c r="F1265" s="3"/>
    </row>
    <row r="1266" spans="1:6" ht="15.75" customHeight="1">
      <c r="A1266" s="1">
        <v>19340</v>
      </c>
      <c r="B1266" s="2">
        <v>45120.072870370372</v>
      </c>
      <c r="C1266" s="1" t="s">
        <v>0</v>
      </c>
      <c r="D1266" s="1">
        <v>25</v>
      </c>
      <c r="E1266" s="1" t="s">
        <v>28</v>
      </c>
      <c r="F1266" s="3"/>
    </row>
    <row r="1267" spans="1:6" ht="15.75" customHeight="1">
      <c r="A1267" s="1">
        <v>19341</v>
      </c>
      <c r="B1267" s="2">
        <v>45120.078460648147</v>
      </c>
      <c r="C1267" s="1" t="s">
        <v>0</v>
      </c>
      <c r="D1267" s="1">
        <v>35</v>
      </c>
      <c r="E1267" s="1" t="s">
        <v>28</v>
      </c>
      <c r="F1267" s="3"/>
    </row>
    <row r="1268" spans="1:6" ht="15.75" customHeight="1">
      <c r="A1268" s="1">
        <v>19342</v>
      </c>
      <c r="B1268" s="2">
        <v>45120.563067129631</v>
      </c>
      <c r="C1268" s="1" t="s">
        <v>0</v>
      </c>
      <c r="D1268" s="1">
        <v>18</v>
      </c>
      <c r="E1268" s="1" t="s">
        <v>28</v>
      </c>
      <c r="F1268" s="3"/>
    </row>
    <row r="1269" spans="1:6" ht="15.75" customHeight="1">
      <c r="A1269" s="1">
        <v>19343</v>
      </c>
      <c r="B1269" s="2">
        <v>45120.625636574077</v>
      </c>
      <c r="C1269" s="1" t="s">
        <v>51</v>
      </c>
      <c r="D1269" s="1">
        <v>25</v>
      </c>
      <c r="E1269" s="1" t="s">
        <v>28</v>
      </c>
      <c r="F1269" s="3"/>
    </row>
    <row r="1270" spans="1:6" ht="15.75" customHeight="1">
      <c r="A1270" s="1">
        <v>19345</v>
      </c>
      <c r="B1270" s="2">
        <v>45120.636273148149</v>
      </c>
      <c r="C1270" s="1" t="s">
        <v>0</v>
      </c>
      <c r="D1270" s="1">
        <v>25</v>
      </c>
      <c r="E1270" s="1" t="s">
        <v>28</v>
      </c>
      <c r="F1270" s="3"/>
    </row>
    <row r="1271" spans="1:6" ht="15.75" customHeight="1">
      <c r="A1271" s="1">
        <v>19344</v>
      </c>
      <c r="B1271" s="2">
        <v>45120.6328125</v>
      </c>
      <c r="C1271" s="1" t="s">
        <v>0</v>
      </c>
      <c r="D1271" s="1">
        <v>25</v>
      </c>
      <c r="E1271" s="1" t="s">
        <v>28</v>
      </c>
      <c r="F1271" s="3"/>
    </row>
    <row r="1272" spans="1:6" ht="15.75" customHeight="1">
      <c r="A1272" s="1">
        <v>19345</v>
      </c>
      <c r="B1272" s="2">
        <v>45120.636273148149</v>
      </c>
      <c r="C1272" s="1" t="s">
        <v>0</v>
      </c>
      <c r="D1272" s="1">
        <v>25</v>
      </c>
      <c r="E1272" s="1" t="s">
        <v>28</v>
      </c>
      <c r="F1272" s="3"/>
    </row>
    <row r="1273" spans="1:6" ht="15.75" customHeight="1">
      <c r="A1273" s="1">
        <v>19346</v>
      </c>
      <c r="B1273" s="2">
        <v>45120.796261574076</v>
      </c>
      <c r="C1273" s="1" t="s">
        <v>0</v>
      </c>
      <c r="D1273" s="1">
        <v>35</v>
      </c>
      <c r="E1273" s="1" t="s">
        <v>28</v>
      </c>
      <c r="F1273" s="3"/>
    </row>
    <row r="1274" spans="1:6" ht="15.75" customHeight="1">
      <c r="A1274" s="1">
        <v>19348</v>
      </c>
      <c r="B1274" s="2">
        <v>45120.89340277778</v>
      </c>
      <c r="C1274" s="1" t="s">
        <v>0</v>
      </c>
      <c r="D1274" s="1">
        <v>15</v>
      </c>
      <c r="E1274" s="1" t="s">
        <v>28</v>
      </c>
      <c r="F1274" s="3"/>
    </row>
    <row r="1275" spans="1:6" ht="15.75" customHeight="1">
      <c r="A1275" s="1">
        <v>19347</v>
      </c>
      <c r="B1275" s="2">
        <v>45120.891793981478</v>
      </c>
      <c r="C1275" s="1" t="s">
        <v>0</v>
      </c>
      <c r="D1275" s="1">
        <v>15</v>
      </c>
      <c r="E1275" s="1" t="s">
        <v>28</v>
      </c>
      <c r="F1275" s="3"/>
    </row>
    <row r="1276" spans="1:6" ht="15.75" customHeight="1">
      <c r="A1276" s="1">
        <v>19348</v>
      </c>
      <c r="B1276" s="2">
        <v>45120.89340277778</v>
      </c>
      <c r="C1276" s="1" t="s">
        <v>0</v>
      </c>
      <c r="D1276" s="1">
        <v>15</v>
      </c>
      <c r="E1276" s="1" t="s">
        <v>28</v>
      </c>
      <c r="F1276" s="3"/>
    </row>
    <row r="1277" spans="1:6" ht="15.75" customHeight="1">
      <c r="A1277" s="1">
        <v>19351</v>
      </c>
      <c r="B1277" s="2">
        <v>45120.972256944442</v>
      </c>
      <c r="C1277" s="1" t="s">
        <v>0</v>
      </c>
      <c r="D1277" s="1">
        <v>18</v>
      </c>
      <c r="E1277" s="1" t="s">
        <v>28</v>
      </c>
      <c r="F1277" s="3"/>
    </row>
    <row r="1278" spans="1:6" ht="15.75" customHeight="1">
      <c r="A1278" s="1">
        <v>19350</v>
      </c>
      <c r="B1278" s="2">
        <v>45120.97115740741</v>
      </c>
      <c r="C1278" s="1" t="s">
        <v>0</v>
      </c>
      <c r="D1278" s="1">
        <v>18</v>
      </c>
      <c r="E1278" s="1" t="s">
        <v>28</v>
      </c>
      <c r="F1278" s="3"/>
    </row>
    <row r="1279" spans="1:6" ht="15.75" customHeight="1">
      <c r="A1279" s="1">
        <v>19349</v>
      </c>
      <c r="B1279" s="2">
        <v>45120.96974537037</v>
      </c>
      <c r="C1279" s="1" t="s">
        <v>0</v>
      </c>
      <c r="D1279" s="1">
        <v>18</v>
      </c>
      <c r="E1279" s="1" t="s">
        <v>28</v>
      </c>
      <c r="F1279" s="3"/>
    </row>
    <row r="1280" spans="1:6" ht="15.75" customHeight="1">
      <c r="A1280" s="1">
        <v>19353</v>
      </c>
      <c r="B1280" s="2">
        <v>45120.986284722225</v>
      </c>
      <c r="C1280" s="1" t="s">
        <v>0</v>
      </c>
      <c r="D1280" s="1">
        <v>0</v>
      </c>
      <c r="E1280" s="1" t="s">
        <v>28</v>
      </c>
      <c r="F1280" s="3"/>
    </row>
    <row r="1281" spans="1:6" ht="15.75" customHeight="1">
      <c r="A1281" s="1">
        <v>19352</v>
      </c>
      <c r="B1281" s="2">
        <v>45120.973935185182</v>
      </c>
      <c r="C1281" s="1" t="s">
        <v>0</v>
      </c>
      <c r="D1281" s="1">
        <v>18</v>
      </c>
      <c r="E1281" s="1" t="s">
        <v>28</v>
      </c>
      <c r="F1281" s="3"/>
    </row>
    <row r="1282" spans="1:6" ht="15.75" customHeight="1">
      <c r="A1282" s="1">
        <v>19351</v>
      </c>
      <c r="B1282" s="2">
        <v>45120.972256944442</v>
      </c>
      <c r="C1282" s="1" t="s">
        <v>0</v>
      </c>
      <c r="D1282" s="1">
        <v>18</v>
      </c>
      <c r="E1282" s="1" t="s">
        <v>28</v>
      </c>
      <c r="F1282" s="3"/>
    </row>
    <row r="1283" spans="1:6" ht="15.75" customHeight="1">
      <c r="A1283" s="1">
        <v>19350</v>
      </c>
      <c r="B1283" s="2">
        <v>45120.97115740741</v>
      </c>
      <c r="C1283" s="1" t="s">
        <v>0</v>
      </c>
      <c r="D1283" s="1">
        <v>18</v>
      </c>
      <c r="E1283" s="1" t="s">
        <v>28</v>
      </c>
      <c r="F1283" s="3"/>
    </row>
    <row r="1284" spans="1:6" ht="15.75" customHeight="1">
      <c r="A1284" s="1">
        <v>19354</v>
      </c>
      <c r="B1284" s="2">
        <v>45120.988865740743</v>
      </c>
      <c r="C1284" s="1" t="s">
        <v>0</v>
      </c>
      <c r="D1284" s="1">
        <v>0</v>
      </c>
      <c r="E1284" s="1" t="s">
        <v>28</v>
      </c>
      <c r="F1284" s="3"/>
    </row>
    <row r="1285" spans="1:6" ht="15.75" customHeight="1">
      <c r="A1285" s="1">
        <v>19353</v>
      </c>
      <c r="B1285" s="2">
        <v>45120.986284722225</v>
      </c>
      <c r="C1285" s="1" t="s">
        <v>0</v>
      </c>
      <c r="D1285" s="1">
        <v>0</v>
      </c>
      <c r="E1285" s="1" t="s">
        <v>28</v>
      </c>
      <c r="F1285" s="3"/>
    </row>
    <row r="1286" spans="1:6" ht="15.75" customHeight="1">
      <c r="A1286" s="1">
        <v>19352</v>
      </c>
      <c r="B1286" s="2">
        <v>45120.973935185182</v>
      </c>
      <c r="C1286" s="1" t="s">
        <v>0</v>
      </c>
      <c r="D1286" s="1">
        <v>18</v>
      </c>
      <c r="E1286" s="1" t="s">
        <v>28</v>
      </c>
      <c r="F1286" s="3"/>
    </row>
    <row r="1287" spans="1:6" ht="15.75" customHeight="1">
      <c r="A1287" s="1">
        <v>19351</v>
      </c>
      <c r="B1287" s="2">
        <v>45120.972256944442</v>
      </c>
      <c r="C1287" s="1" t="s">
        <v>0</v>
      </c>
      <c r="D1287" s="1">
        <v>18</v>
      </c>
      <c r="E1287" s="1" t="s">
        <v>28</v>
      </c>
      <c r="F1287" s="3"/>
    </row>
    <row r="1288" spans="1:6" ht="15.75" customHeight="1">
      <c r="A1288" s="1">
        <v>19354</v>
      </c>
      <c r="B1288" s="2">
        <v>45120.988865740743</v>
      </c>
      <c r="C1288" s="1" t="s">
        <v>0</v>
      </c>
      <c r="D1288" s="1">
        <v>0</v>
      </c>
      <c r="E1288" s="1" t="s">
        <v>28</v>
      </c>
      <c r="F1288" s="3"/>
    </row>
    <row r="1289" spans="1:6" ht="15.75" customHeight="1">
      <c r="A1289" s="1">
        <v>19353</v>
      </c>
      <c r="B1289" s="2">
        <v>45120.986284722225</v>
      </c>
      <c r="C1289" s="1" t="s">
        <v>0</v>
      </c>
      <c r="D1289" s="1">
        <v>0</v>
      </c>
      <c r="E1289" s="1" t="s">
        <v>28</v>
      </c>
      <c r="F1289" s="3"/>
    </row>
    <row r="1290" spans="1:6" ht="15.75" customHeight="1">
      <c r="A1290" s="1">
        <v>19352</v>
      </c>
      <c r="B1290" s="2">
        <v>45120.973935185182</v>
      </c>
      <c r="C1290" s="1" t="s">
        <v>0</v>
      </c>
      <c r="D1290" s="1">
        <v>18</v>
      </c>
      <c r="E1290" s="1" t="s">
        <v>28</v>
      </c>
      <c r="F1290" s="3"/>
    </row>
    <row r="1291" spans="1:6" ht="15.75" customHeight="1">
      <c r="A1291" s="1">
        <v>19354</v>
      </c>
      <c r="B1291" s="2">
        <v>45120.988865740743</v>
      </c>
      <c r="C1291" s="1" t="s">
        <v>0</v>
      </c>
      <c r="D1291" s="1">
        <v>0</v>
      </c>
      <c r="E1291" s="1" t="s">
        <v>28</v>
      </c>
      <c r="F1291" s="3"/>
    </row>
    <row r="1292" spans="1:6" ht="15.75" customHeight="1">
      <c r="A1292" s="1">
        <v>19353</v>
      </c>
      <c r="B1292" s="2">
        <v>45120.986284722225</v>
      </c>
      <c r="C1292" s="1" t="s">
        <v>0</v>
      </c>
      <c r="D1292" s="1">
        <v>0</v>
      </c>
      <c r="E1292" s="1" t="s">
        <v>28</v>
      </c>
      <c r="F1292" s="3"/>
    </row>
    <row r="1293" spans="1:6" ht="15.75" customHeight="1">
      <c r="A1293" s="1">
        <v>19354</v>
      </c>
      <c r="B1293" s="2">
        <v>45120.988865740743</v>
      </c>
      <c r="C1293" s="1" t="s">
        <v>0</v>
      </c>
      <c r="D1293" s="1">
        <v>0</v>
      </c>
      <c r="E1293" s="1" t="s">
        <v>28</v>
      </c>
      <c r="F1293" s="3"/>
    </row>
    <row r="1294" spans="1:6" ht="15.75" customHeight="1">
      <c r="A1294" s="1">
        <v>19355</v>
      </c>
      <c r="B1294" s="2">
        <v>45121.101875</v>
      </c>
      <c r="C1294" s="1" t="s">
        <v>0</v>
      </c>
      <c r="D1294" s="1">
        <v>15</v>
      </c>
      <c r="E1294" s="1" t="s">
        <v>28</v>
      </c>
      <c r="F1294" s="3"/>
    </row>
    <row r="1295" spans="1:6" ht="15.75" customHeight="1">
      <c r="A1295" s="1">
        <v>19356</v>
      </c>
      <c r="B1295" s="2">
        <v>45121.528726851851</v>
      </c>
      <c r="C1295" s="1" t="s">
        <v>0</v>
      </c>
      <c r="D1295" s="1">
        <v>15</v>
      </c>
      <c r="E1295" s="1" t="s">
        <v>28</v>
      </c>
      <c r="F1295" s="3"/>
    </row>
    <row r="1296" spans="1:6" ht="15.75" customHeight="1">
      <c r="A1296" s="1">
        <v>19357</v>
      </c>
      <c r="B1296" s="2">
        <v>45121.597453703704</v>
      </c>
      <c r="C1296" s="1" t="s">
        <v>0</v>
      </c>
      <c r="D1296" s="1">
        <v>52</v>
      </c>
      <c r="E1296" s="1" t="s">
        <v>28</v>
      </c>
      <c r="F1296" s="3"/>
    </row>
    <row r="1297" spans="1:6" ht="15.75" customHeight="1">
      <c r="A1297" s="1">
        <v>19358</v>
      </c>
      <c r="B1297" s="2">
        <v>45121.617337962962</v>
      </c>
      <c r="C1297" s="1" t="s">
        <v>0</v>
      </c>
      <c r="D1297" s="1">
        <v>28</v>
      </c>
      <c r="E1297" s="1" t="s">
        <v>28</v>
      </c>
      <c r="F1297" s="3"/>
    </row>
    <row r="1298" spans="1:6" ht="15.75" customHeight="1">
      <c r="A1298" s="1">
        <v>19359</v>
      </c>
      <c r="B1298" s="2">
        <v>45122.491979166669</v>
      </c>
      <c r="C1298" s="1" t="s">
        <v>0</v>
      </c>
      <c r="D1298" s="1">
        <v>18</v>
      </c>
      <c r="E1298" s="1" t="s">
        <v>28</v>
      </c>
      <c r="F1298" s="3"/>
    </row>
    <row r="1299" spans="1:6" ht="15.75" customHeight="1">
      <c r="A1299" s="1">
        <v>19362</v>
      </c>
      <c r="B1299" s="2">
        <v>45122.593425925923</v>
      </c>
      <c r="C1299" s="1" t="s">
        <v>0</v>
      </c>
      <c r="D1299" s="1">
        <v>15</v>
      </c>
      <c r="E1299" s="1" t="s">
        <v>28</v>
      </c>
      <c r="F1299" s="3"/>
    </row>
    <row r="1300" spans="1:6" ht="15.75" customHeight="1">
      <c r="A1300" s="1">
        <v>19361</v>
      </c>
      <c r="B1300" s="2">
        <v>45122.592476851853</v>
      </c>
      <c r="C1300" s="1" t="s">
        <v>0</v>
      </c>
      <c r="D1300" s="1">
        <v>15</v>
      </c>
      <c r="E1300" s="1" t="s">
        <v>28</v>
      </c>
      <c r="F1300" s="3"/>
    </row>
    <row r="1301" spans="1:6" ht="15.75" customHeight="1">
      <c r="A1301" s="1">
        <v>19360</v>
      </c>
      <c r="B1301" s="2">
        <v>45122.591145833336</v>
      </c>
      <c r="C1301" s="1" t="s">
        <v>0</v>
      </c>
      <c r="D1301" s="1">
        <v>15</v>
      </c>
      <c r="E1301" s="1" t="s">
        <v>28</v>
      </c>
      <c r="F1301" s="3"/>
    </row>
    <row r="1302" spans="1:6" ht="15.75" customHeight="1">
      <c r="A1302" s="1">
        <v>19362</v>
      </c>
      <c r="B1302" s="2">
        <v>45122.593425925923</v>
      </c>
      <c r="C1302" s="1" t="s">
        <v>0</v>
      </c>
      <c r="D1302" s="1">
        <v>15</v>
      </c>
      <c r="E1302" s="1" t="s">
        <v>28</v>
      </c>
      <c r="F1302" s="3"/>
    </row>
    <row r="1303" spans="1:6" ht="15.75" customHeight="1">
      <c r="A1303" s="1">
        <v>19361</v>
      </c>
      <c r="B1303" s="2">
        <v>45122.592476851853</v>
      </c>
      <c r="C1303" s="1" t="s">
        <v>0</v>
      </c>
      <c r="D1303" s="1">
        <v>15</v>
      </c>
      <c r="E1303" s="1" t="s">
        <v>28</v>
      </c>
      <c r="F1303" s="3"/>
    </row>
    <row r="1304" spans="1:6" ht="15.75" customHeight="1">
      <c r="A1304" s="1">
        <v>19362</v>
      </c>
      <c r="B1304" s="2">
        <v>45122.593425925923</v>
      </c>
      <c r="C1304" s="1" t="s">
        <v>0</v>
      </c>
      <c r="D1304" s="1">
        <v>15</v>
      </c>
      <c r="E1304" s="1" t="s">
        <v>28</v>
      </c>
      <c r="F1304" s="3"/>
    </row>
    <row r="1305" spans="1:6" ht="15.75" customHeight="1">
      <c r="A1305" s="1">
        <v>19363</v>
      </c>
      <c r="B1305" s="2">
        <v>45122.761747685188</v>
      </c>
      <c r="C1305" s="1" t="s">
        <v>0</v>
      </c>
      <c r="D1305" s="1">
        <v>20</v>
      </c>
      <c r="E1305" s="1" t="s">
        <v>28</v>
      </c>
      <c r="F1305" s="3"/>
    </row>
    <row r="1306" spans="1:6" ht="15.75" customHeight="1">
      <c r="A1306" s="1">
        <v>19364</v>
      </c>
      <c r="B1306" s="2">
        <v>45122.909062500003</v>
      </c>
      <c r="C1306" s="1" t="s">
        <v>0</v>
      </c>
      <c r="D1306" s="1">
        <v>25</v>
      </c>
      <c r="E1306" s="1" t="s">
        <v>28</v>
      </c>
      <c r="F1306" s="3"/>
    </row>
    <row r="1307" spans="1:6" ht="15.75" customHeight="1">
      <c r="A1307" s="1">
        <v>19365</v>
      </c>
      <c r="B1307" s="2">
        <v>45123.73133101852</v>
      </c>
      <c r="C1307" s="1" t="s">
        <v>0</v>
      </c>
      <c r="D1307" s="1">
        <v>28</v>
      </c>
      <c r="E1307" s="1" t="s">
        <v>28</v>
      </c>
      <c r="F1307" s="3"/>
    </row>
    <row r="1308" spans="1:6" ht="15.75" customHeight="1">
      <c r="A1308" s="1">
        <v>19366</v>
      </c>
      <c r="B1308" s="2">
        <v>45123.828819444447</v>
      </c>
      <c r="C1308" s="1" t="s">
        <v>0</v>
      </c>
      <c r="D1308" s="1">
        <v>55</v>
      </c>
      <c r="E1308" s="1" t="s">
        <v>79</v>
      </c>
      <c r="F1308" s="3"/>
    </row>
    <row r="1309" spans="1:6" ht="15.75" customHeight="1">
      <c r="A1309" s="1">
        <v>19368</v>
      </c>
      <c r="B1309" s="2">
        <v>45124.623252314814</v>
      </c>
      <c r="C1309" s="1" t="s">
        <v>0</v>
      </c>
      <c r="D1309" s="1">
        <v>15</v>
      </c>
      <c r="E1309" s="1" t="s">
        <v>28</v>
      </c>
      <c r="F1309" s="3"/>
    </row>
    <row r="1310" spans="1:6" ht="15.75" customHeight="1">
      <c r="A1310" s="1">
        <v>19367</v>
      </c>
      <c r="B1310" s="2">
        <v>45124.621168981481</v>
      </c>
      <c r="C1310" s="1" t="s">
        <v>0</v>
      </c>
      <c r="D1310" s="1">
        <v>15</v>
      </c>
      <c r="E1310" s="1" t="s">
        <v>28</v>
      </c>
      <c r="F1310" s="3"/>
    </row>
    <row r="1311" spans="1:6" ht="15.75" customHeight="1">
      <c r="A1311" s="1">
        <v>19368</v>
      </c>
      <c r="B1311" s="2">
        <v>45124.623252314814</v>
      </c>
      <c r="C1311" s="1" t="s">
        <v>0</v>
      </c>
      <c r="D1311" s="1">
        <v>15</v>
      </c>
      <c r="E1311" s="1" t="s">
        <v>28</v>
      </c>
      <c r="F1311" s="3"/>
    </row>
    <row r="1312" spans="1:6" ht="15.75" customHeight="1">
      <c r="A1312" s="1">
        <v>19369</v>
      </c>
      <c r="B1312" s="2">
        <v>45124.82340277778</v>
      </c>
      <c r="C1312" s="1" t="s">
        <v>0</v>
      </c>
      <c r="D1312" s="1">
        <v>20</v>
      </c>
      <c r="E1312" s="1" t="s">
        <v>28</v>
      </c>
      <c r="F1312" s="3"/>
    </row>
    <row r="1313" spans="1:6" ht="15.75" customHeight="1">
      <c r="A1313" s="1">
        <v>19370</v>
      </c>
      <c r="B1313" s="2">
        <v>45124.92769675926</v>
      </c>
      <c r="C1313" s="1" t="s">
        <v>0</v>
      </c>
      <c r="D1313" s="1">
        <v>71</v>
      </c>
      <c r="E1313" s="1" t="s">
        <v>28</v>
      </c>
      <c r="F1313" s="3"/>
    </row>
    <row r="1314" spans="1:6" ht="15.75" customHeight="1">
      <c r="A1314" s="1">
        <v>19371</v>
      </c>
      <c r="B1314" s="2">
        <v>45124.955277777779</v>
      </c>
      <c r="C1314" s="1" t="s">
        <v>0</v>
      </c>
      <c r="D1314" s="1">
        <v>0</v>
      </c>
      <c r="E1314" s="1" t="s">
        <v>28</v>
      </c>
      <c r="F1314" s="3"/>
    </row>
    <row r="1315" spans="1:6" ht="15.75" customHeight="1">
      <c r="A1315" s="1">
        <v>19372</v>
      </c>
      <c r="B1315" s="2">
        <v>45125.030729166669</v>
      </c>
      <c r="C1315" s="1" t="s">
        <v>0</v>
      </c>
      <c r="D1315" s="1">
        <v>25</v>
      </c>
      <c r="E1315" s="1" t="s">
        <v>79</v>
      </c>
      <c r="F1315" s="3"/>
    </row>
    <row r="1316" spans="1:6" ht="15.75" customHeight="1">
      <c r="A1316" s="1">
        <v>19373</v>
      </c>
      <c r="B1316" s="2">
        <v>45125.046122685184</v>
      </c>
      <c r="C1316" s="1" t="s">
        <v>0</v>
      </c>
      <c r="D1316" s="1">
        <v>15</v>
      </c>
      <c r="E1316" s="1" t="s">
        <v>79</v>
      </c>
      <c r="F1316" s="3"/>
    </row>
    <row r="1317" spans="1:6" ht="15.75" customHeight="1">
      <c r="A1317" s="1">
        <v>19378</v>
      </c>
      <c r="B1317" s="2">
        <v>45125.082615740743</v>
      </c>
      <c r="C1317" s="1" t="s">
        <v>0</v>
      </c>
      <c r="D1317" s="1">
        <v>44</v>
      </c>
      <c r="E1317" s="1" t="s">
        <v>79</v>
      </c>
      <c r="F1317" s="3"/>
    </row>
    <row r="1318" spans="1:6" ht="15.75" customHeight="1">
      <c r="A1318" s="1">
        <v>19374</v>
      </c>
      <c r="B1318" s="2">
        <v>45125.075196759259</v>
      </c>
      <c r="C1318" s="1" t="s">
        <v>0</v>
      </c>
      <c r="D1318" s="1">
        <v>40</v>
      </c>
      <c r="E1318" s="1" t="s">
        <v>28</v>
      </c>
      <c r="F1318" s="3"/>
    </row>
    <row r="1319" spans="1:6" ht="15.75" customHeight="1">
      <c r="A1319" s="1">
        <v>19378</v>
      </c>
      <c r="B1319" s="2">
        <v>45125.082615740743</v>
      </c>
      <c r="C1319" s="1" t="s">
        <v>0</v>
      </c>
      <c r="D1319" s="1">
        <v>44</v>
      </c>
      <c r="E1319" s="1" t="s">
        <v>79</v>
      </c>
      <c r="F1319" s="3"/>
    </row>
    <row r="1320" spans="1:6" ht="15.75" customHeight="1">
      <c r="A1320" s="1">
        <v>19414</v>
      </c>
      <c r="B1320" s="2">
        <v>45125.102094907408</v>
      </c>
      <c r="C1320" s="1" t="s">
        <v>0</v>
      </c>
      <c r="D1320" s="1">
        <v>25</v>
      </c>
      <c r="E1320" s="1" t="s">
        <v>79</v>
      </c>
      <c r="F1320" s="3"/>
    </row>
    <row r="1321" spans="1:6" ht="15.75" customHeight="1">
      <c r="A1321" s="1">
        <v>19413</v>
      </c>
      <c r="B1321" s="2">
        <v>45125.098715277774</v>
      </c>
      <c r="C1321" s="1" t="s">
        <v>0</v>
      </c>
      <c r="D1321" s="1">
        <v>35</v>
      </c>
      <c r="E1321" s="1" t="s">
        <v>79</v>
      </c>
      <c r="F1321" s="3"/>
    </row>
    <row r="1322" spans="1:6" ht="15.75" customHeight="1">
      <c r="A1322" s="1">
        <v>19424</v>
      </c>
      <c r="B1322" s="2">
        <v>45125.111608796295</v>
      </c>
      <c r="C1322" s="1" t="s">
        <v>0</v>
      </c>
      <c r="D1322" s="1">
        <v>25</v>
      </c>
      <c r="E1322" s="1" t="s">
        <v>79</v>
      </c>
      <c r="F1322" s="3"/>
    </row>
    <row r="1323" spans="1:6" ht="15.75" customHeight="1">
      <c r="A1323" s="1">
        <v>19423</v>
      </c>
      <c r="B1323" s="2">
        <v>45125.109791666669</v>
      </c>
      <c r="C1323" s="1" t="s">
        <v>0</v>
      </c>
      <c r="D1323" s="1">
        <v>25</v>
      </c>
      <c r="E1323" s="1" t="s">
        <v>79</v>
      </c>
      <c r="F1323" s="3"/>
    </row>
    <row r="1324" spans="1:6" ht="15.75" customHeight="1">
      <c r="A1324" s="1">
        <v>19414</v>
      </c>
      <c r="B1324" s="2">
        <v>45125.102094907408</v>
      </c>
      <c r="C1324" s="1" t="s">
        <v>0</v>
      </c>
      <c r="D1324" s="1">
        <v>25</v>
      </c>
      <c r="E1324" s="1" t="s">
        <v>79</v>
      </c>
      <c r="F1324" s="3"/>
    </row>
    <row r="1325" spans="1:6" ht="15.75" customHeight="1">
      <c r="A1325" s="1">
        <v>19424</v>
      </c>
      <c r="B1325" s="2">
        <v>45125.111608796295</v>
      </c>
      <c r="C1325" s="1" t="s">
        <v>0</v>
      </c>
      <c r="D1325" s="1">
        <v>25</v>
      </c>
      <c r="E1325" s="1" t="s">
        <v>79</v>
      </c>
      <c r="F1325" s="3"/>
    </row>
    <row r="1326" spans="1:6" ht="15.75" customHeight="1">
      <c r="A1326" s="1">
        <v>19423</v>
      </c>
      <c r="B1326" s="2">
        <v>45125.109791666669</v>
      </c>
      <c r="C1326" s="1" t="s">
        <v>0</v>
      </c>
      <c r="D1326" s="1">
        <v>25</v>
      </c>
      <c r="E1326" s="1" t="s">
        <v>79</v>
      </c>
      <c r="F1326" s="3"/>
    </row>
    <row r="1327" spans="1:6" ht="15.75" customHeight="1">
      <c r="A1327" s="1">
        <v>19424</v>
      </c>
      <c r="B1327" s="2">
        <v>45125.111608796295</v>
      </c>
      <c r="C1327" s="1" t="s">
        <v>0</v>
      </c>
      <c r="D1327" s="1">
        <v>25</v>
      </c>
      <c r="E1327" s="1" t="s">
        <v>79</v>
      </c>
      <c r="F1327" s="3"/>
    </row>
    <row r="1328" spans="1:6" ht="15.75" customHeight="1">
      <c r="A1328" s="1">
        <v>19425</v>
      </c>
      <c r="B1328" s="2">
        <v>45125.562638888892</v>
      </c>
      <c r="C1328" s="1" t="s">
        <v>0</v>
      </c>
      <c r="D1328" s="1">
        <v>26</v>
      </c>
      <c r="E1328" s="1" t="s">
        <v>28</v>
      </c>
      <c r="F1328" s="3"/>
    </row>
    <row r="1329" spans="1:6" ht="15.75" customHeight="1">
      <c r="A1329" s="1">
        <v>19426</v>
      </c>
      <c r="B1329" s="2">
        <v>45125.58766203704</v>
      </c>
      <c r="C1329" s="1" t="s">
        <v>0</v>
      </c>
      <c r="D1329" s="1">
        <v>18</v>
      </c>
      <c r="E1329" s="1" t="s">
        <v>79</v>
      </c>
      <c r="F1329" s="3"/>
    </row>
    <row r="1330" spans="1:6" ht="15.75" customHeight="1">
      <c r="A1330" s="1">
        <v>19427</v>
      </c>
      <c r="B1330" s="2">
        <v>45125.670370370368</v>
      </c>
      <c r="C1330" s="1" t="s">
        <v>0</v>
      </c>
      <c r="D1330" s="1">
        <v>52</v>
      </c>
      <c r="E1330" s="1" t="s">
        <v>28</v>
      </c>
      <c r="F1330" s="3"/>
    </row>
    <row r="1331" spans="1:6" ht="15.75" customHeight="1">
      <c r="A1331" s="1">
        <v>19428</v>
      </c>
      <c r="B1331" s="2">
        <v>45125.748518518521</v>
      </c>
      <c r="C1331" s="1" t="s">
        <v>0</v>
      </c>
      <c r="D1331" s="1">
        <v>15</v>
      </c>
      <c r="E1331" s="1" t="s">
        <v>28</v>
      </c>
      <c r="F1331" s="3"/>
    </row>
    <row r="1332" spans="1:6" ht="15.75" customHeight="1">
      <c r="A1332" s="1">
        <v>19430</v>
      </c>
      <c r="B1332" s="2">
        <v>45125.756099537037</v>
      </c>
      <c r="C1332" s="1" t="s">
        <v>0</v>
      </c>
      <c r="D1332" s="1">
        <v>0</v>
      </c>
      <c r="E1332" s="1" t="s">
        <v>28</v>
      </c>
      <c r="F1332" s="3"/>
    </row>
    <row r="1333" spans="1:6" ht="15.75" customHeight="1">
      <c r="A1333" s="1">
        <v>19429</v>
      </c>
      <c r="B1333" s="2">
        <v>45125.755150462966</v>
      </c>
      <c r="C1333" s="1" t="s">
        <v>0</v>
      </c>
      <c r="D1333" s="1">
        <v>35</v>
      </c>
      <c r="E1333" s="1" t="s">
        <v>28</v>
      </c>
      <c r="F1333" s="3"/>
    </row>
    <row r="1334" spans="1:6" ht="15.75" customHeight="1">
      <c r="A1334" s="1">
        <v>19430</v>
      </c>
      <c r="B1334" s="2">
        <v>45125.756099537037</v>
      </c>
      <c r="C1334" s="1" t="s">
        <v>0</v>
      </c>
      <c r="D1334" s="1">
        <v>0</v>
      </c>
      <c r="E1334" s="1" t="s">
        <v>28</v>
      </c>
      <c r="F1334" s="3"/>
    </row>
    <row r="1335" spans="1:6" ht="15.75" customHeight="1">
      <c r="A1335" s="1">
        <v>19432</v>
      </c>
      <c r="B1335" s="2">
        <v>45125.775810185187</v>
      </c>
      <c r="C1335" s="1" t="s">
        <v>0</v>
      </c>
      <c r="D1335" s="1">
        <v>0</v>
      </c>
      <c r="E1335" s="1" t="s">
        <v>28</v>
      </c>
      <c r="F1335" s="3"/>
    </row>
    <row r="1336" spans="1:6" ht="15.75" customHeight="1">
      <c r="A1336" s="1">
        <v>19431</v>
      </c>
      <c r="B1336" s="2">
        <v>45125.771527777775</v>
      </c>
      <c r="C1336" s="1" t="s">
        <v>0</v>
      </c>
      <c r="D1336" s="1">
        <v>20</v>
      </c>
      <c r="E1336" s="1" t="s">
        <v>28</v>
      </c>
      <c r="F1336" s="3"/>
    </row>
    <row r="1337" spans="1:6" ht="15.75" customHeight="1">
      <c r="A1337" s="1">
        <v>19432</v>
      </c>
      <c r="B1337" s="2">
        <v>45125.775810185187</v>
      </c>
      <c r="C1337" s="1" t="s">
        <v>0</v>
      </c>
      <c r="D1337" s="1">
        <v>0</v>
      </c>
      <c r="E1337" s="1" t="s">
        <v>28</v>
      </c>
      <c r="F1337" s="3"/>
    </row>
    <row r="1338" spans="1:6" ht="15.75" customHeight="1">
      <c r="A1338" s="1">
        <v>19433</v>
      </c>
      <c r="B1338" s="2">
        <v>45125.840416666666</v>
      </c>
      <c r="C1338" s="1" t="s">
        <v>0</v>
      </c>
      <c r="D1338" s="1">
        <v>15</v>
      </c>
      <c r="E1338" s="1" t="s">
        <v>28</v>
      </c>
      <c r="F1338" s="3"/>
    </row>
    <row r="1339" spans="1:6" ht="15.75" customHeight="1">
      <c r="A1339" s="1">
        <v>19434</v>
      </c>
      <c r="B1339" s="2">
        <v>45125.845995370371</v>
      </c>
      <c r="C1339" s="1" t="s">
        <v>0</v>
      </c>
      <c r="D1339" s="1">
        <v>28</v>
      </c>
      <c r="E1339" s="1" t="s">
        <v>28</v>
      </c>
      <c r="F1339" s="3"/>
    </row>
    <row r="1340" spans="1:6" ht="15.75" customHeight="1">
      <c r="A1340" s="1">
        <v>19435</v>
      </c>
      <c r="B1340" s="2">
        <v>45125.857245370367</v>
      </c>
      <c r="C1340" s="1" t="s">
        <v>0</v>
      </c>
      <c r="D1340" s="1">
        <v>28</v>
      </c>
      <c r="E1340" s="1" t="s">
        <v>28</v>
      </c>
      <c r="F1340" s="3"/>
    </row>
    <row r="1341" spans="1:6" ht="15.75" customHeight="1">
      <c r="A1341" s="1">
        <v>19437</v>
      </c>
      <c r="B1341" s="2">
        <v>45125.886736111112</v>
      </c>
      <c r="C1341" s="1" t="s">
        <v>0</v>
      </c>
      <c r="D1341" s="1">
        <v>25</v>
      </c>
      <c r="E1341" s="1" t="s">
        <v>28</v>
      </c>
      <c r="F1341" s="3"/>
    </row>
    <row r="1342" spans="1:6" ht="15.75" customHeight="1">
      <c r="A1342" s="1">
        <v>19436</v>
      </c>
      <c r="B1342" s="2">
        <v>45125.883553240739</v>
      </c>
      <c r="C1342" s="1" t="s">
        <v>0</v>
      </c>
      <c r="D1342" s="1">
        <v>0</v>
      </c>
      <c r="E1342" s="1" t="s">
        <v>28</v>
      </c>
      <c r="F1342" s="3"/>
    </row>
    <row r="1343" spans="1:6" ht="15.75" customHeight="1">
      <c r="A1343" s="1">
        <v>19438</v>
      </c>
      <c r="B1343" s="2">
        <v>45125.890590277777</v>
      </c>
      <c r="C1343" s="1" t="s">
        <v>0</v>
      </c>
      <c r="D1343" s="1">
        <v>79</v>
      </c>
      <c r="E1343" s="1" t="s">
        <v>28</v>
      </c>
      <c r="F1343" s="3"/>
    </row>
    <row r="1344" spans="1:6" ht="15.75" customHeight="1">
      <c r="A1344" s="1">
        <v>19437</v>
      </c>
      <c r="B1344" s="2">
        <v>45125.886736111112</v>
      </c>
      <c r="C1344" s="1" t="s">
        <v>0</v>
      </c>
      <c r="D1344" s="1">
        <v>25</v>
      </c>
      <c r="E1344" s="1" t="s">
        <v>28</v>
      </c>
      <c r="F1344" s="3"/>
    </row>
    <row r="1345" spans="1:6" ht="15.75" customHeight="1">
      <c r="A1345" s="1">
        <v>19438</v>
      </c>
      <c r="B1345" s="2">
        <v>45125.890590277777</v>
      </c>
      <c r="C1345" s="1" t="s">
        <v>0</v>
      </c>
      <c r="D1345" s="1">
        <v>79</v>
      </c>
      <c r="E1345" s="1" t="s">
        <v>28</v>
      </c>
      <c r="F1345" s="3"/>
    </row>
    <row r="1346" spans="1:6" ht="15.75" customHeight="1">
      <c r="A1346" s="1">
        <v>19439</v>
      </c>
      <c r="B1346" s="2">
        <v>45125.912719907406</v>
      </c>
      <c r="C1346" s="1" t="s">
        <v>0</v>
      </c>
      <c r="D1346" s="1">
        <v>46</v>
      </c>
      <c r="E1346" s="1" t="s">
        <v>28</v>
      </c>
      <c r="F1346" s="3"/>
    </row>
    <row r="1347" spans="1:6" ht="15.75" customHeight="1">
      <c r="A1347" s="1">
        <v>19440</v>
      </c>
      <c r="B1347" s="2">
        <v>45125.926817129628</v>
      </c>
      <c r="C1347" s="1" t="s">
        <v>0</v>
      </c>
      <c r="D1347" s="1">
        <v>25</v>
      </c>
      <c r="E1347" s="1" t="s">
        <v>28</v>
      </c>
      <c r="F1347" s="3"/>
    </row>
    <row r="1348" spans="1:6" ht="15.75" customHeight="1">
      <c r="A1348" s="1">
        <v>19443</v>
      </c>
      <c r="B1348" s="2">
        <v>45125.947118055556</v>
      </c>
      <c r="C1348" s="1" t="s">
        <v>0</v>
      </c>
      <c r="D1348" s="1">
        <v>26</v>
      </c>
      <c r="E1348" s="1" t="s">
        <v>28</v>
      </c>
      <c r="F1348" s="3"/>
    </row>
    <row r="1349" spans="1:6" ht="15.75" customHeight="1">
      <c r="A1349" s="1">
        <v>19442</v>
      </c>
      <c r="B1349" s="2">
        <v>45125.946956018517</v>
      </c>
      <c r="C1349" s="1" t="s">
        <v>0</v>
      </c>
      <c r="D1349" s="1">
        <v>55</v>
      </c>
      <c r="E1349" s="1" t="s">
        <v>28</v>
      </c>
      <c r="F1349" s="3"/>
    </row>
    <row r="1350" spans="1:6" ht="15.75" customHeight="1">
      <c r="A1350" s="1">
        <v>19441</v>
      </c>
      <c r="B1350" s="2">
        <v>45125.946631944447</v>
      </c>
      <c r="C1350" s="1" t="s">
        <v>0</v>
      </c>
      <c r="D1350" s="1">
        <v>35</v>
      </c>
      <c r="E1350" s="1" t="s">
        <v>28</v>
      </c>
      <c r="F1350" s="3"/>
    </row>
    <row r="1351" spans="1:6" ht="15.75" customHeight="1">
      <c r="A1351" s="1">
        <v>19443</v>
      </c>
      <c r="B1351" s="2">
        <v>45125.947118055556</v>
      </c>
      <c r="C1351" s="1" t="s">
        <v>0</v>
      </c>
      <c r="D1351" s="1">
        <v>26</v>
      </c>
      <c r="E1351" s="1" t="s">
        <v>28</v>
      </c>
      <c r="F1351" s="3"/>
    </row>
    <row r="1352" spans="1:6" ht="15.75" customHeight="1">
      <c r="A1352" s="1">
        <v>19442</v>
      </c>
      <c r="B1352" s="2">
        <v>45125.946956018517</v>
      </c>
      <c r="C1352" s="1" t="s">
        <v>0</v>
      </c>
      <c r="D1352" s="1">
        <v>55</v>
      </c>
      <c r="E1352" s="1" t="s">
        <v>28</v>
      </c>
      <c r="F1352" s="3"/>
    </row>
    <row r="1353" spans="1:6" ht="15.75" customHeight="1">
      <c r="A1353" s="1">
        <v>19444</v>
      </c>
      <c r="B1353" s="2">
        <v>45125.959918981483</v>
      </c>
      <c r="C1353" s="1" t="s">
        <v>0</v>
      </c>
      <c r="D1353" s="1">
        <v>35</v>
      </c>
      <c r="E1353" s="1" t="s">
        <v>28</v>
      </c>
      <c r="F1353" s="3"/>
    </row>
    <row r="1354" spans="1:6" ht="15.75" customHeight="1">
      <c r="A1354" s="1">
        <v>19443</v>
      </c>
      <c r="B1354" s="2">
        <v>45125.947118055556</v>
      </c>
      <c r="C1354" s="1" t="s">
        <v>0</v>
      </c>
      <c r="D1354" s="1">
        <v>26</v>
      </c>
      <c r="E1354" s="1" t="s">
        <v>28</v>
      </c>
      <c r="F1354" s="3"/>
    </row>
    <row r="1355" spans="1:6" ht="15.75" customHeight="1">
      <c r="A1355" s="1">
        <v>19444</v>
      </c>
      <c r="B1355" s="2">
        <v>45125.959918981483</v>
      </c>
      <c r="C1355" s="1" t="s">
        <v>0</v>
      </c>
      <c r="D1355" s="1">
        <v>35</v>
      </c>
      <c r="E1355" s="1" t="s">
        <v>28</v>
      </c>
      <c r="F1355" s="3"/>
    </row>
    <row r="1356" spans="1:6" ht="15.75" customHeight="1">
      <c r="A1356" s="1">
        <v>19445</v>
      </c>
      <c r="B1356" s="2">
        <v>45126.05096064815</v>
      </c>
      <c r="C1356" s="1" t="s">
        <v>0</v>
      </c>
      <c r="D1356" s="1">
        <v>18</v>
      </c>
      <c r="E1356" s="1" t="s">
        <v>28</v>
      </c>
      <c r="F1356" s="3"/>
    </row>
    <row r="1357" spans="1:6" ht="15.75" customHeight="1">
      <c r="A1357" s="1">
        <v>19446</v>
      </c>
      <c r="B1357" s="2">
        <v>45126.057812500003</v>
      </c>
      <c r="C1357" s="1" t="s">
        <v>0</v>
      </c>
      <c r="D1357" s="1">
        <v>22</v>
      </c>
      <c r="E1357" s="1" t="s">
        <v>28</v>
      </c>
      <c r="F1357" s="3"/>
    </row>
    <row r="1358" spans="1:6" ht="15.75" customHeight="1">
      <c r="A1358" s="1">
        <v>19447</v>
      </c>
      <c r="B1358" s="2">
        <v>45126.077499999999</v>
      </c>
      <c r="C1358" s="1" t="s">
        <v>0</v>
      </c>
      <c r="D1358" s="1">
        <v>25</v>
      </c>
      <c r="E1358" s="1" t="s">
        <v>28</v>
      </c>
      <c r="F1358" s="3"/>
    </row>
    <row r="1359" spans="1:6" ht="15.75" customHeight="1">
      <c r="A1359" s="1">
        <v>19448</v>
      </c>
      <c r="B1359" s="2">
        <v>45126.092245370368</v>
      </c>
      <c r="C1359" s="1" t="s">
        <v>0</v>
      </c>
      <c r="D1359" s="1">
        <v>26</v>
      </c>
      <c r="E1359" s="1" t="s">
        <v>28</v>
      </c>
      <c r="F1359" s="3"/>
    </row>
    <row r="1360" spans="1:6" ht="15.75" customHeight="1">
      <c r="A1360" s="1">
        <v>19449</v>
      </c>
      <c r="B1360" s="2">
        <v>45126.546759259261</v>
      </c>
      <c r="C1360" s="1" t="s">
        <v>0</v>
      </c>
      <c r="D1360" s="1">
        <v>38</v>
      </c>
      <c r="E1360" s="1" t="s">
        <v>28</v>
      </c>
      <c r="F1360" s="3"/>
    </row>
    <row r="1361" spans="1:6" ht="15.75" customHeight="1">
      <c r="A1361" s="1">
        <v>19450</v>
      </c>
      <c r="B1361" s="2">
        <v>45126.730810185189</v>
      </c>
      <c r="C1361" s="1" t="s">
        <v>0</v>
      </c>
      <c r="D1361" s="1">
        <v>15</v>
      </c>
      <c r="E1361" s="1" t="s">
        <v>28</v>
      </c>
      <c r="F1361" s="3"/>
    </row>
    <row r="1362" spans="1:6" ht="15.75" customHeight="1">
      <c r="A1362" s="1">
        <v>19451</v>
      </c>
      <c r="B1362" s="2">
        <v>45126.817766203705</v>
      </c>
      <c r="C1362" s="1" t="s">
        <v>0</v>
      </c>
      <c r="D1362" s="1">
        <v>0</v>
      </c>
      <c r="E1362" s="1" t="s">
        <v>28</v>
      </c>
      <c r="F1362" s="3"/>
    </row>
    <row r="1363" spans="1:6" ht="15.75" customHeight="1">
      <c r="A1363" s="1">
        <v>19452</v>
      </c>
      <c r="B1363" s="2">
        <v>45126.963020833333</v>
      </c>
      <c r="C1363" s="1" t="s">
        <v>0</v>
      </c>
      <c r="D1363" s="1">
        <v>43</v>
      </c>
      <c r="E1363" s="1" t="s">
        <v>79</v>
      </c>
      <c r="F1363" s="3"/>
    </row>
    <row r="1364" spans="1:6" ht="15.75" customHeight="1">
      <c r="A1364" s="1">
        <v>19453</v>
      </c>
      <c r="B1364" s="2">
        <v>45126.984548611108</v>
      </c>
      <c r="C1364" s="1" t="s">
        <v>0</v>
      </c>
      <c r="D1364" s="1">
        <v>35</v>
      </c>
      <c r="E1364" s="1" t="s">
        <v>28</v>
      </c>
      <c r="F1364" s="3"/>
    </row>
    <row r="1365" spans="1:6" ht="15.75" customHeight="1">
      <c r="A1365" s="1">
        <v>19455</v>
      </c>
      <c r="B1365" s="2">
        <v>45126.989837962959</v>
      </c>
      <c r="C1365" s="1" t="s">
        <v>0</v>
      </c>
      <c r="D1365" s="1">
        <v>35</v>
      </c>
      <c r="E1365" s="1" t="s">
        <v>28</v>
      </c>
      <c r="F1365" s="3"/>
    </row>
    <row r="1366" spans="1:6" ht="15.75" customHeight="1">
      <c r="A1366" s="1">
        <v>19454</v>
      </c>
      <c r="B1366" s="2">
        <v>45126.988240740742</v>
      </c>
      <c r="C1366" s="1" t="s">
        <v>0</v>
      </c>
      <c r="D1366" s="1">
        <v>35</v>
      </c>
      <c r="E1366" s="1" t="s">
        <v>28</v>
      </c>
      <c r="F1366" s="3"/>
    </row>
    <row r="1367" spans="1:6" ht="15.75" customHeight="1">
      <c r="A1367" s="1">
        <v>19455</v>
      </c>
      <c r="B1367" s="2">
        <v>45126.989837962959</v>
      </c>
      <c r="C1367" s="1" t="s">
        <v>0</v>
      </c>
      <c r="D1367" s="1">
        <v>35</v>
      </c>
      <c r="E1367" s="1" t="s">
        <v>28</v>
      </c>
      <c r="F1367" s="3"/>
    </row>
    <row r="1368" spans="1:6" ht="15.75" customHeight="1">
      <c r="A1368" s="1">
        <v>19456</v>
      </c>
      <c r="B1368" s="2">
        <v>45127.031574074077</v>
      </c>
      <c r="C1368" s="1" t="s">
        <v>0</v>
      </c>
      <c r="D1368" s="1">
        <v>25</v>
      </c>
      <c r="E1368" s="1" t="s">
        <v>79</v>
      </c>
      <c r="F1368" s="3"/>
    </row>
    <row r="1369" spans="1:6" ht="15.75" customHeight="1">
      <c r="A1369" s="1">
        <v>19457</v>
      </c>
      <c r="B1369" s="2">
        <v>45127.040393518517</v>
      </c>
      <c r="C1369" s="1" t="s">
        <v>0</v>
      </c>
      <c r="D1369" s="1">
        <v>50</v>
      </c>
      <c r="E1369" s="1" t="s">
        <v>28</v>
      </c>
      <c r="F1369" s="3"/>
    </row>
    <row r="1370" spans="1:6" ht="15.75" customHeight="1">
      <c r="A1370" s="1">
        <v>19458</v>
      </c>
      <c r="B1370" s="2">
        <v>45127.674756944441</v>
      </c>
      <c r="C1370" s="1" t="s">
        <v>0</v>
      </c>
      <c r="D1370" s="1">
        <v>25</v>
      </c>
      <c r="E1370" s="1" t="s">
        <v>28</v>
      </c>
      <c r="F1370" s="3"/>
    </row>
    <row r="1371" spans="1:6" ht="15.75" customHeight="1">
      <c r="A1371" s="1">
        <v>19464</v>
      </c>
      <c r="B1371" s="2">
        <v>45127.885381944441</v>
      </c>
      <c r="C1371" s="1" t="s">
        <v>0</v>
      </c>
      <c r="D1371" s="1">
        <v>52</v>
      </c>
      <c r="E1371" s="1" t="s">
        <v>28</v>
      </c>
      <c r="F1371" s="3"/>
    </row>
    <row r="1372" spans="1:6" ht="15.75" customHeight="1">
      <c r="A1372" s="1">
        <v>19463</v>
      </c>
      <c r="B1372" s="2">
        <v>45127.884097222224</v>
      </c>
      <c r="C1372" s="1" t="s">
        <v>0</v>
      </c>
      <c r="D1372" s="1">
        <v>25</v>
      </c>
      <c r="E1372" s="1" t="s">
        <v>28</v>
      </c>
      <c r="F1372" s="3"/>
    </row>
    <row r="1373" spans="1:6" ht="15.75" customHeight="1">
      <c r="A1373" s="1">
        <v>19464</v>
      </c>
      <c r="B1373" s="2">
        <v>45127.885381944441</v>
      </c>
      <c r="C1373" s="1" t="s">
        <v>0</v>
      </c>
      <c r="D1373" s="1">
        <v>52</v>
      </c>
      <c r="E1373" s="1" t="s">
        <v>28</v>
      </c>
      <c r="F1373" s="3"/>
    </row>
    <row r="1374" spans="1:6" ht="15.75" customHeight="1">
      <c r="A1374" s="1">
        <v>19465</v>
      </c>
      <c r="B1374" s="2">
        <v>45128.044317129628</v>
      </c>
      <c r="C1374" s="1" t="s">
        <v>0</v>
      </c>
      <c r="D1374" s="1">
        <v>18</v>
      </c>
      <c r="E1374" s="1" t="s">
        <v>79</v>
      </c>
      <c r="F1374" s="3"/>
    </row>
    <row r="1375" spans="1:6" ht="15.75" customHeight="1">
      <c r="A1375" s="1">
        <v>19466</v>
      </c>
      <c r="B1375" s="2">
        <v>45128.648726851854</v>
      </c>
      <c r="C1375" s="1" t="s">
        <v>0</v>
      </c>
      <c r="D1375" s="1">
        <v>40</v>
      </c>
      <c r="E1375" s="1" t="s">
        <v>79</v>
      </c>
      <c r="F1375" s="3"/>
    </row>
    <row r="1376" spans="1:6" ht="15.75" customHeight="1">
      <c r="A1376" s="1">
        <v>19467</v>
      </c>
      <c r="B1376" s="2">
        <v>45128.732800925929</v>
      </c>
      <c r="C1376" s="1" t="s">
        <v>0</v>
      </c>
      <c r="D1376" s="1">
        <v>18</v>
      </c>
      <c r="E1376" s="1" t="s">
        <v>28</v>
      </c>
      <c r="F1376" s="3"/>
    </row>
    <row r="1377" spans="1:6" ht="15.75" customHeight="1">
      <c r="A1377" s="1">
        <v>19468</v>
      </c>
      <c r="B1377" s="2">
        <v>45128.886886574073</v>
      </c>
      <c r="C1377" s="1" t="s">
        <v>0</v>
      </c>
      <c r="D1377" s="1">
        <v>55</v>
      </c>
      <c r="E1377" s="1" t="s">
        <v>79</v>
      </c>
      <c r="F1377" s="3"/>
    </row>
    <row r="1378" spans="1:6" ht="15.75" customHeight="1">
      <c r="A1378" s="1">
        <v>19469</v>
      </c>
      <c r="B1378" s="2">
        <v>45129.085717592592</v>
      </c>
      <c r="C1378" s="1" t="s">
        <v>0</v>
      </c>
      <c r="D1378" s="1">
        <v>63</v>
      </c>
      <c r="E1378" s="1" t="s">
        <v>28</v>
      </c>
      <c r="F1378" s="3"/>
    </row>
    <row r="1379" spans="1:6" ht="15.75" customHeight="1">
      <c r="A1379" s="1">
        <v>19470</v>
      </c>
      <c r="B1379" s="2">
        <v>45130.559641203705</v>
      </c>
      <c r="C1379" s="1" t="s">
        <v>0</v>
      </c>
      <c r="D1379" s="1">
        <v>0</v>
      </c>
      <c r="E1379" s="1" t="s">
        <v>28</v>
      </c>
      <c r="F1379" s="3"/>
    </row>
    <row r="1380" spans="1:6" ht="15.75" customHeight="1">
      <c r="A1380" s="1">
        <v>19472</v>
      </c>
      <c r="B1380" s="2">
        <v>45130.741759259261</v>
      </c>
      <c r="C1380" s="1" t="s">
        <v>0</v>
      </c>
      <c r="D1380" s="1">
        <v>25</v>
      </c>
      <c r="E1380" s="1" t="s">
        <v>28</v>
      </c>
      <c r="F1380" s="3"/>
    </row>
    <row r="1381" spans="1:6" ht="15.75" customHeight="1">
      <c r="A1381" s="1">
        <v>19474</v>
      </c>
      <c r="B1381" s="2">
        <v>45130.982870370368</v>
      </c>
      <c r="C1381" s="1" t="s">
        <v>0</v>
      </c>
      <c r="D1381" s="1">
        <v>28</v>
      </c>
      <c r="E1381" s="1" t="s">
        <v>79</v>
      </c>
      <c r="F1381" s="3"/>
    </row>
    <row r="1382" spans="1:6" ht="15.75" customHeight="1">
      <c r="A1382" s="1">
        <v>19473</v>
      </c>
      <c r="B1382" s="2">
        <v>45130.980358796296</v>
      </c>
      <c r="C1382" s="1" t="s">
        <v>0</v>
      </c>
      <c r="D1382" s="1">
        <v>28</v>
      </c>
      <c r="E1382" s="1" t="s">
        <v>79</v>
      </c>
      <c r="F1382" s="3"/>
    </row>
    <row r="1383" spans="1:6" ht="15.75" customHeight="1">
      <c r="A1383" s="1">
        <v>19474</v>
      </c>
      <c r="B1383" s="2">
        <v>45130.982870370368</v>
      </c>
      <c r="C1383" s="1" t="s">
        <v>0</v>
      </c>
      <c r="D1383" s="1">
        <v>28</v>
      </c>
      <c r="E1383" s="1" t="s">
        <v>79</v>
      </c>
      <c r="F1383" s="3"/>
    </row>
    <row r="1384" spans="1:6" ht="15.75" customHeight="1">
      <c r="A1384" s="1">
        <v>19475</v>
      </c>
      <c r="B1384" s="2">
        <v>45130.998402777775</v>
      </c>
      <c r="C1384" s="1" t="s">
        <v>0</v>
      </c>
      <c r="D1384" s="1">
        <v>15</v>
      </c>
      <c r="E1384" s="1" t="s">
        <v>28</v>
      </c>
      <c r="F1384" s="3"/>
    </row>
    <row r="1385" spans="1:6" ht="15.75" customHeight="1">
      <c r="A1385" s="1">
        <v>19476</v>
      </c>
      <c r="B1385" s="2">
        <v>45131.000740740739</v>
      </c>
      <c r="C1385" s="1" t="s">
        <v>0</v>
      </c>
      <c r="D1385" s="1">
        <v>15</v>
      </c>
      <c r="E1385" s="1" t="s">
        <v>28</v>
      </c>
      <c r="F1385" s="3"/>
    </row>
    <row r="1386" spans="1:6" ht="15.75" customHeight="1">
      <c r="A1386" s="1">
        <v>19477</v>
      </c>
      <c r="B1386" s="2">
        <v>45131.873032407406</v>
      </c>
      <c r="C1386" s="1" t="s">
        <v>0</v>
      </c>
      <c r="D1386" s="1">
        <v>0</v>
      </c>
      <c r="E1386" s="1" t="s">
        <v>28</v>
      </c>
      <c r="F1386" s="3"/>
    </row>
    <row r="1387" spans="1:6" ht="15.75" customHeight="1">
      <c r="A1387" s="1">
        <v>19478</v>
      </c>
      <c r="B1387" s="2">
        <v>45132.051481481481</v>
      </c>
      <c r="C1387" s="1" t="s">
        <v>0</v>
      </c>
      <c r="D1387" s="1">
        <v>25</v>
      </c>
      <c r="E1387" s="1" t="s">
        <v>79</v>
      </c>
      <c r="F1387" s="3"/>
    </row>
    <row r="1388" spans="1:6" ht="15.75" customHeight="1">
      <c r="A1388" s="1">
        <v>19479</v>
      </c>
      <c r="B1388" s="2">
        <v>45132.600208333337</v>
      </c>
      <c r="C1388" s="1" t="s">
        <v>0</v>
      </c>
      <c r="D1388" s="1">
        <v>25</v>
      </c>
      <c r="E1388" s="1" t="s">
        <v>28</v>
      </c>
      <c r="F1388" s="3"/>
    </row>
    <row r="1389" spans="1:6" ht="15.75" customHeight="1">
      <c r="A1389" s="1">
        <v>19480</v>
      </c>
      <c r="B1389" s="2">
        <v>45132.615300925929</v>
      </c>
      <c r="C1389" s="1" t="s">
        <v>0</v>
      </c>
      <c r="D1389" s="1">
        <v>18</v>
      </c>
      <c r="E1389" s="1" t="s">
        <v>28</v>
      </c>
      <c r="F1389" s="3"/>
    </row>
    <row r="1390" spans="1:6" ht="15.75" customHeight="1">
      <c r="A1390" s="1">
        <v>19481</v>
      </c>
      <c r="B1390" s="2">
        <v>45132.789039351854</v>
      </c>
      <c r="C1390" s="1" t="s">
        <v>0</v>
      </c>
      <c r="D1390" s="1">
        <v>25</v>
      </c>
      <c r="E1390" s="1" t="s">
        <v>28</v>
      </c>
      <c r="F1390" s="3"/>
    </row>
    <row r="1391" spans="1:6" ht="15.75" customHeight="1">
      <c r="A1391" s="1">
        <v>19482</v>
      </c>
      <c r="B1391" s="2">
        <v>45132.848402777781</v>
      </c>
      <c r="C1391" s="1" t="s">
        <v>0</v>
      </c>
      <c r="D1391" s="1">
        <v>69</v>
      </c>
      <c r="E1391" s="1" t="s">
        <v>28</v>
      </c>
      <c r="F1391" s="3"/>
    </row>
    <row r="1392" spans="1:6" ht="15.75" customHeight="1">
      <c r="A1392" s="1">
        <v>19483</v>
      </c>
      <c r="B1392" s="2">
        <v>45133.090150462966</v>
      </c>
      <c r="C1392" s="1" t="s">
        <v>0</v>
      </c>
      <c r="D1392" s="1">
        <v>20</v>
      </c>
      <c r="E1392" s="1" t="s">
        <v>28</v>
      </c>
      <c r="F1392" s="3"/>
    </row>
    <row r="1393" spans="1:6" ht="15.75" customHeight="1">
      <c r="A1393" s="1">
        <v>19484</v>
      </c>
      <c r="B1393" s="2">
        <v>45133.556689814817</v>
      </c>
      <c r="C1393" s="1" t="s">
        <v>0</v>
      </c>
      <c r="D1393" s="1">
        <v>43</v>
      </c>
      <c r="E1393" s="1" t="s">
        <v>28</v>
      </c>
      <c r="F1393" s="3"/>
    </row>
    <row r="1394" spans="1:6" ht="15.75" customHeight="1">
      <c r="A1394" s="1">
        <v>19485</v>
      </c>
      <c r="B1394" s="2">
        <v>45133.607789351852</v>
      </c>
      <c r="C1394" s="1" t="s">
        <v>0</v>
      </c>
      <c r="D1394" s="1">
        <v>18</v>
      </c>
      <c r="E1394" s="1" t="s">
        <v>28</v>
      </c>
      <c r="F1394" s="3"/>
    </row>
    <row r="1395" spans="1:6" ht="15.75" customHeight="1">
      <c r="A1395" s="1">
        <v>19488</v>
      </c>
      <c r="B1395" s="2">
        <v>45133.810659722221</v>
      </c>
      <c r="C1395" s="1" t="s">
        <v>0</v>
      </c>
      <c r="D1395" s="1">
        <v>25</v>
      </c>
      <c r="E1395" s="1" t="s">
        <v>28</v>
      </c>
      <c r="F1395" s="3"/>
    </row>
    <row r="1396" spans="1:6" ht="15.75" customHeight="1">
      <c r="A1396" s="1">
        <v>19487</v>
      </c>
      <c r="B1396" s="2">
        <v>45133.808634259258</v>
      </c>
      <c r="C1396" s="1" t="s">
        <v>0</v>
      </c>
      <c r="D1396" s="1">
        <v>0</v>
      </c>
      <c r="E1396" s="1" t="s">
        <v>28</v>
      </c>
      <c r="F1396" s="3"/>
    </row>
    <row r="1397" spans="1:6" ht="15.75" customHeight="1">
      <c r="A1397" s="1">
        <v>19486</v>
      </c>
      <c r="B1397" s="2">
        <v>45133.807060185187</v>
      </c>
      <c r="C1397" s="1" t="s">
        <v>0</v>
      </c>
      <c r="D1397" s="1">
        <v>25</v>
      </c>
      <c r="E1397" s="1" t="s">
        <v>28</v>
      </c>
      <c r="F1397" s="3"/>
    </row>
    <row r="1398" spans="1:6" ht="15.75" customHeight="1">
      <c r="A1398" s="1">
        <v>19489</v>
      </c>
      <c r="B1398" s="2">
        <v>45133.81318287037</v>
      </c>
      <c r="C1398" s="1" t="s">
        <v>0</v>
      </c>
      <c r="D1398" s="1">
        <v>25</v>
      </c>
      <c r="E1398" s="1" t="s">
        <v>28</v>
      </c>
      <c r="F1398" s="3"/>
    </row>
    <row r="1399" spans="1:6" ht="15.75" customHeight="1">
      <c r="A1399" s="1">
        <v>19488</v>
      </c>
      <c r="B1399" s="2">
        <v>45133.810659722221</v>
      </c>
      <c r="C1399" s="1" t="s">
        <v>0</v>
      </c>
      <c r="D1399" s="1">
        <v>25</v>
      </c>
      <c r="E1399" s="1" t="s">
        <v>28</v>
      </c>
      <c r="F1399" s="3"/>
    </row>
    <row r="1400" spans="1:6" ht="15.75" customHeight="1">
      <c r="A1400" s="1">
        <v>19487</v>
      </c>
      <c r="B1400" s="2">
        <v>45133.808634259258</v>
      </c>
      <c r="C1400" s="1" t="s">
        <v>0</v>
      </c>
      <c r="D1400" s="1">
        <v>0</v>
      </c>
      <c r="E1400" s="1" t="s">
        <v>28</v>
      </c>
      <c r="F1400" s="3"/>
    </row>
    <row r="1401" spans="1:6" ht="15.75" customHeight="1">
      <c r="A1401" s="1">
        <v>19489</v>
      </c>
      <c r="B1401" s="2">
        <v>45133.81318287037</v>
      </c>
      <c r="C1401" s="1" t="s">
        <v>0</v>
      </c>
      <c r="D1401" s="1">
        <v>25</v>
      </c>
      <c r="E1401" s="1" t="s">
        <v>28</v>
      </c>
      <c r="F1401" s="3"/>
    </row>
    <row r="1402" spans="1:6" ht="15.75" customHeight="1">
      <c r="A1402" s="1">
        <v>19488</v>
      </c>
      <c r="B1402" s="2">
        <v>45133.810659722221</v>
      </c>
      <c r="C1402" s="1" t="s">
        <v>0</v>
      </c>
      <c r="D1402" s="1">
        <v>25</v>
      </c>
      <c r="E1402" s="1" t="s">
        <v>28</v>
      </c>
      <c r="F1402" s="3"/>
    </row>
    <row r="1403" spans="1:6" ht="15.75" customHeight="1">
      <c r="A1403" s="1">
        <v>19489</v>
      </c>
      <c r="B1403" s="2">
        <v>45133.81318287037</v>
      </c>
      <c r="C1403" s="1" t="s">
        <v>0</v>
      </c>
      <c r="D1403" s="1">
        <v>25</v>
      </c>
      <c r="E1403" s="1" t="s">
        <v>28</v>
      </c>
      <c r="F1403" s="3"/>
    </row>
    <row r="1404" spans="1:6" ht="15.75" customHeight="1">
      <c r="A1404" s="1">
        <v>19490</v>
      </c>
      <c r="B1404" s="2">
        <v>45133.844212962962</v>
      </c>
      <c r="C1404" s="1" t="s">
        <v>0</v>
      </c>
      <c r="D1404" s="1">
        <v>25</v>
      </c>
      <c r="E1404" s="1" t="s">
        <v>28</v>
      </c>
      <c r="F1404" s="3"/>
    </row>
    <row r="1405" spans="1:6" ht="15.75" customHeight="1">
      <c r="A1405" s="1">
        <v>19491</v>
      </c>
      <c r="B1405" s="2">
        <v>45133.881643518522</v>
      </c>
      <c r="C1405" s="1" t="s">
        <v>0</v>
      </c>
      <c r="D1405" s="1">
        <v>20</v>
      </c>
      <c r="E1405" s="1" t="s">
        <v>28</v>
      </c>
      <c r="F1405" s="3"/>
    </row>
    <row r="1406" spans="1:6" ht="15.75" customHeight="1">
      <c r="A1406" s="1">
        <v>19492</v>
      </c>
      <c r="B1406" s="2">
        <v>45135.930891203701</v>
      </c>
      <c r="C1406" s="1" t="s">
        <v>0</v>
      </c>
      <c r="D1406" s="1">
        <v>25</v>
      </c>
      <c r="E1406" s="1" t="s">
        <v>80</v>
      </c>
      <c r="F1406" s="3"/>
    </row>
    <row r="1407" spans="1:6" ht="15.75" customHeight="1">
      <c r="A1407" s="1">
        <v>19493</v>
      </c>
      <c r="B1407" s="2">
        <v>45135.944525462961</v>
      </c>
      <c r="C1407" s="1" t="s">
        <v>0</v>
      </c>
      <c r="D1407" s="1">
        <v>35</v>
      </c>
      <c r="E1407" s="1" t="s">
        <v>79</v>
      </c>
      <c r="F1407" s="3"/>
    </row>
    <row r="1408" spans="1:6" ht="15.75" customHeight="1">
      <c r="A1408" s="1">
        <v>19494</v>
      </c>
      <c r="B1408" s="2">
        <v>45136.0544212963</v>
      </c>
      <c r="C1408" s="1" t="s">
        <v>0</v>
      </c>
      <c r="D1408" s="1">
        <v>35</v>
      </c>
      <c r="E1408" s="1" t="s">
        <v>79</v>
      </c>
      <c r="F1408" s="3"/>
    </row>
    <row r="1409" spans="1:6" ht="15.75" customHeight="1">
      <c r="A1409" s="1">
        <v>19496</v>
      </c>
      <c r="B1409" s="2">
        <v>45136.54619212963</v>
      </c>
      <c r="C1409" s="1" t="s">
        <v>0</v>
      </c>
      <c r="D1409" s="1">
        <v>35</v>
      </c>
      <c r="E1409" s="1" t="s">
        <v>80</v>
      </c>
      <c r="F1409" s="3"/>
    </row>
    <row r="1410" spans="1:6" ht="15.75" customHeight="1">
      <c r="A1410" s="1">
        <v>19497</v>
      </c>
      <c r="B1410" s="2">
        <v>45136.684282407405</v>
      </c>
      <c r="C1410" s="1" t="s">
        <v>0</v>
      </c>
      <c r="D1410" s="1">
        <v>25</v>
      </c>
      <c r="E1410" s="1" t="s">
        <v>28</v>
      </c>
      <c r="F1410" s="3"/>
    </row>
    <row r="1411" spans="1:6" ht="15.75" customHeight="1">
      <c r="A1411" s="1">
        <v>19498</v>
      </c>
      <c r="B1411" s="2">
        <v>45136.768240740741</v>
      </c>
      <c r="C1411" s="1" t="s">
        <v>0</v>
      </c>
      <c r="D1411" s="1">
        <v>15</v>
      </c>
      <c r="E1411" s="1" t="s">
        <v>28</v>
      </c>
      <c r="F1411" s="3"/>
    </row>
    <row r="1412" spans="1:6" ht="15.75" customHeight="1">
      <c r="A1412" s="1">
        <v>19499</v>
      </c>
      <c r="B1412" s="2">
        <v>45137.001030092593</v>
      </c>
      <c r="C1412" s="1" t="s">
        <v>8</v>
      </c>
      <c r="D1412" s="1">
        <v>25</v>
      </c>
      <c r="E1412" s="1" t="s">
        <v>28</v>
      </c>
      <c r="F1412" s="3"/>
    </row>
    <row r="1413" spans="1:6" ht="15.75" customHeight="1">
      <c r="A1413" s="1">
        <v>19500</v>
      </c>
      <c r="B1413" s="2">
        <v>45137.104664351849</v>
      </c>
      <c r="C1413" s="1" t="s">
        <v>18</v>
      </c>
      <c r="D1413" s="1">
        <v>20</v>
      </c>
      <c r="E1413" s="1" t="s">
        <v>79</v>
      </c>
      <c r="F1413" s="3"/>
    </row>
    <row r="1414" spans="1:6" ht="15.75" customHeight="1">
      <c r="A1414" s="1">
        <v>19501</v>
      </c>
      <c r="B1414" s="2">
        <v>45137.549120370371</v>
      </c>
      <c r="C1414" s="1" t="s">
        <v>0</v>
      </c>
      <c r="D1414" s="1">
        <v>0</v>
      </c>
      <c r="E1414" s="1" t="s">
        <v>28</v>
      </c>
      <c r="F1414" s="3"/>
    </row>
    <row r="1415" spans="1:6" ht="15.75" customHeight="1">
      <c r="A1415" s="1">
        <v>19503</v>
      </c>
      <c r="B1415" s="2">
        <v>45137.626319444447</v>
      </c>
      <c r="C1415" s="1" t="s">
        <v>0</v>
      </c>
      <c r="D1415" s="1">
        <v>26</v>
      </c>
      <c r="E1415" s="1" t="s">
        <v>28</v>
      </c>
      <c r="F1415" s="3"/>
    </row>
    <row r="1416" spans="1:6" ht="15.75" customHeight="1">
      <c r="A1416" s="1">
        <v>19502</v>
      </c>
      <c r="B1416" s="2">
        <v>45137.623993055553</v>
      </c>
      <c r="C1416" s="1" t="s">
        <v>0</v>
      </c>
      <c r="D1416" s="1">
        <v>26</v>
      </c>
      <c r="E1416" s="1" t="s">
        <v>28</v>
      </c>
      <c r="F1416" s="3"/>
    </row>
    <row r="1417" spans="1:6" ht="15.75" customHeight="1">
      <c r="A1417" s="1">
        <v>19503</v>
      </c>
      <c r="B1417" s="2">
        <v>45137.626319444447</v>
      </c>
      <c r="C1417" s="1" t="s">
        <v>0</v>
      </c>
      <c r="D1417" s="1">
        <v>26</v>
      </c>
      <c r="E1417" s="1" t="s">
        <v>28</v>
      </c>
      <c r="F1417" s="3"/>
    </row>
    <row r="1418" spans="1:6" ht="15.75" customHeight="1">
      <c r="A1418" s="1">
        <v>19504</v>
      </c>
      <c r="B1418" s="2">
        <v>45137.68787037037</v>
      </c>
      <c r="C1418" s="1" t="s">
        <v>0</v>
      </c>
      <c r="D1418" s="1">
        <v>26</v>
      </c>
      <c r="E1418" s="1" t="s">
        <v>79</v>
      </c>
      <c r="F1418" s="3"/>
    </row>
    <row r="1419" spans="1:6" ht="15.75" customHeight="1">
      <c r="A1419" s="1">
        <v>19506</v>
      </c>
      <c r="B1419" s="2">
        <v>45137.755486111113</v>
      </c>
      <c r="C1419" s="1" t="s">
        <v>0</v>
      </c>
      <c r="D1419" s="1">
        <v>35</v>
      </c>
      <c r="E1419" s="1" t="s">
        <v>28</v>
      </c>
      <c r="F1419" s="3"/>
    </row>
    <row r="1420" spans="1:6" ht="15.75" customHeight="1">
      <c r="A1420" s="1">
        <v>19505</v>
      </c>
      <c r="B1420" s="2">
        <v>45137.751157407409</v>
      </c>
      <c r="C1420" s="1" t="s">
        <v>0</v>
      </c>
      <c r="D1420" s="1">
        <v>26</v>
      </c>
      <c r="E1420" s="1" t="s">
        <v>79</v>
      </c>
      <c r="F1420" s="3"/>
    </row>
    <row r="1421" spans="1:6" ht="15.75" customHeight="1">
      <c r="A1421" s="1">
        <v>19506</v>
      </c>
      <c r="B1421" s="2">
        <v>45137.755486111113</v>
      </c>
      <c r="C1421" s="1" t="s">
        <v>0</v>
      </c>
      <c r="D1421" s="1">
        <v>35</v>
      </c>
      <c r="E1421" s="1" t="s">
        <v>28</v>
      </c>
      <c r="F1421" s="3"/>
    </row>
    <row r="1422" spans="1:6" ht="15.75" customHeight="1">
      <c r="A1422" s="1">
        <v>19507</v>
      </c>
      <c r="B1422" s="2">
        <v>45137.840370370373</v>
      </c>
      <c r="C1422" s="1" t="s">
        <v>0</v>
      </c>
      <c r="D1422" s="1">
        <v>75</v>
      </c>
      <c r="E1422" s="1" t="s">
        <v>79</v>
      </c>
      <c r="F1422" s="3"/>
    </row>
    <row r="1423" spans="1:6" ht="15.75" customHeight="1">
      <c r="A1423" s="1">
        <v>19508</v>
      </c>
      <c r="B1423" s="2">
        <v>45138.199745370373</v>
      </c>
      <c r="C1423" s="1" t="s">
        <v>0</v>
      </c>
      <c r="D1423" s="1">
        <v>15</v>
      </c>
      <c r="E1423" s="1" t="s">
        <v>28</v>
      </c>
      <c r="F1423" s="3"/>
    </row>
    <row r="1424" spans="1:6" ht="15.75" customHeight="1">
      <c r="A1424" s="1">
        <v>19509</v>
      </c>
      <c r="B1424" s="2">
        <v>45138.657465277778</v>
      </c>
      <c r="C1424" s="1" t="s">
        <v>0</v>
      </c>
      <c r="D1424" s="1">
        <v>22</v>
      </c>
      <c r="E1424" s="1" t="s">
        <v>28</v>
      </c>
      <c r="F1424" s="3"/>
    </row>
    <row r="1425" spans="1:6" ht="15.75" customHeight="1">
      <c r="A1425" s="1">
        <v>19511</v>
      </c>
      <c r="B1425" s="2">
        <v>45139.646828703706</v>
      </c>
      <c r="C1425" s="1" t="s">
        <v>0</v>
      </c>
      <c r="D1425" s="1">
        <v>15</v>
      </c>
      <c r="E1425" s="1" t="s">
        <v>28</v>
      </c>
      <c r="F1425" s="3"/>
    </row>
    <row r="1426" spans="1:6" ht="15.75" customHeight="1">
      <c r="A1426" s="1">
        <v>19513</v>
      </c>
      <c r="B1426" s="2">
        <v>45139.947326388887</v>
      </c>
      <c r="C1426" s="1" t="s">
        <v>0</v>
      </c>
      <c r="D1426" s="1">
        <v>25</v>
      </c>
      <c r="E1426" s="1" t="s">
        <v>28</v>
      </c>
      <c r="F1426" s="3"/>
    </row>
    <row r="1427" spans="1:6" ht="15.75" customHeight="1">
      <c r="A1427" s="1">
        <v>19512</v>
      </c>
      <c r="B1427" s="2">
        <v>45139.945208333331</v>
      </c>
      <c r="C1427" s="1" t="s">
        <v>0</v>
      </c>
      <c r="D1427" s="1">
        <v>25</v>
      </c>
      <c r="E1427" s="1" t="s">
        <v>28</v>
      </c>
      <c r="F1427" s="3"/>
    </row>
    <row r="1428" spans="1:6" ht="15.75" customHeight="1">
      <c r="A1428" s="1">
        <v>19513</v>
      </c>
      <c r="B1428" s="2">
        <v>45139.947326388887</v>
      </c>
      <c r="C1428" s="1" t="s">
        <v>0</v>
      </c>
      <c r="D1428" s="1">
        <v>25</v>
      </c>
      <c r="E1428" s="1" t="s">
        <v>28</v>
      </c>
      <c r="F1428" s="3"/>
    </row>
    <row r="1429" spans="1:6" ht="15.75" customHeight="1">
      <c r="A1429" s="1">
        <v>19514</v>
      </c>
      <c r="B1429" s="2">
        <v>45140.545555555553</v>
      </c>
      <c r="C1429" s="1" t="s">
        <v>0</v>
      </c>
      <c r="D1429" s="1">
        <v>25</v>
      </c>
      <c r="E1429" s="1" t="s">
        <v>28</v>
      </c>
      <c r="F1429" s="3"/>
    </row>
    <row r="1430" spans="1:6" ht="15.75" customHeight="1">
      <c r="A1430" s="1">
        <v>19517</v>
      </c>
      <c r="B1430" s="2">
        <v>45140.619849537034</v>
      </c>
      <c r="C1430" s="1" t="s">
        <v>0</v>
      </c>
      <c r="D1430" s="1">
        <v>25</v>
      </c>
      <c r="E1430" s="1" t="s">
        <v>28</v>
      </c>
      <c r="F1430" s="3"/>
    </row>
    <row r="1431" spans="1:6" ht="15.75" customHeight="1">
      <c r="A1431" s="1">
        <v>19516</v>
      </c>
      <c r="B1431" s="2">
        <v>45140.619143518517</v>
      </c>
      <c r="C1431" s="1" t="s">
        <v>0</v>
      </c>
      <c r="D1431" s="1">
        <v>25</v>
      </c>
      <c r="E1431" s="1" t="s">
        <v>28</v>
      </c>
      <c r="F1431" s="3"/>
    </row>
    <row r="1432" spans="1:6" ht="15.75" customHeight="1">
      <c r="A1432" s="1">
        <v>19515</v>
      </c>
      <c r="B1432" s="2">
        <v>45140.618136574078</v>
      </c>
      <c r="C1432" s="1" t="s">
        <v>0</v>
      </c>
      <c r="D1432" s="1">
        <v>30</v>
      </c>
      <c r="E1432" s="1" t="s">
        <v>28</v>
      </c>
      <c r="F1432" s="3"/>
    </row>
    <row r="1433" spans="1:6" ht="15.75" customHeight="1">
      <c r="A1433" s="1">
        <v>19517</v>
      </c>
      <c r="B1433" s="2">
        <v>45140.619849537034</v>
      </c>
      <c r="C1433" s="1" t="s">
        <v>0</v>
      </c>
      <c r="D1433" s="1">
        <v>25</v>
      </c>
      <c r="E1433" s="1" t="s">
        <v>28</v>
      </c>
      <c r="F1433" s="3"/>
    </row>
    <row r="1434" spans="1:6" ht="15.75" customHeight="1">
      <c r="A1434" s="1">
        <v>19516</v>
      </c>
      <c r="B1434" s="2">
        <v>45140.619143518517</v>
      </c>
      <c r="C1434" s="1" t="s">
        <v>0</v>
      </c>
      <c r="D1434" s="1">
        <v>25</v>
      </c>
      <c r="E1434" s="1" t="s">
        <v>28</v>
      </c>
      <c r="F1434" s="3"/>
    </row>
    <row r="1435" spans="1:6" ht="15.75" customHeight="1">
      <c r="A1435" s="1">
        <v>19517</v>
      </c>
      <c r="B1435" s="2">
        <v>45140.619849537034</v>
      </c>
      <c r="C1435" s="1" t="s">
        <v>0</v>
      </c>
      <c r="D1435" s="1">
        <v>25</v>
      </c>
      <c r="E1435" s="1" t="s">
        <v>28</v>
      </c>
      <c r="F1435" s="3"/>
    </row>
    <row r="1436" spans="1:6" ht="15.75" customHeight="1">
      <c r="A1436" s="1">
        <v>19518</v>
      </c>
      <c r="B1436" s="2">
        <v>45141.02138888889</v>
      </c>
      <c r="C1436" s="1" t="s">
        <v>18</v>
      </c>
      <c r="D1436" s="1">
        <v>33</v>
      </c>
      <c r="E1436" s="1" t="s">
        <v>79</v>
      </c>
      <c r="F1436" s="3"/>
    </row>
    <row r="1437" spans="1:6" ht="15.75" customHeight="1">
      <c r="A1437" s="1">
        <v>19521</v>
      </c>
      <c r="B1437" s="2">
        <v>45141.060752314814</v>
      </c>
      <c r="C1437" s="1" t="s">
        <v>0</v>
      </c>
      <c r="D1437" s="1">
        <v>20</v>
      </c>
      <c r="E1437" s="1" t="s">
        <v>28</v>
      </c>
      <c r="F1437" s="3"/>
    </row>
    <row r="1438" spans="1:6" ht="15.75" customHeight="1">
      <c r="A1438" s="1">
        <v>19520</v>
      </c>
      <c r="B1438" s="2">
        <v>45141.058981481481</v>
      </c>
      <c r="C1438" s="1" t="s">
        <v>0</v>
      </c>
      <c r="D1438" s="1">
        <v>20</v>
      </c>
      <c r="E1438" s="1" t="s">
        <v>28</v>
      </c>
      <c r="F1438" s="3"/>
    </row>
    <row r="1439" spans="1:6" ht="15.75" customHeight="1">
      <c r="A1439" s="1">
        <v>19519</v>
      </c>
      <c r="B1439" s="2">
        <v>45141.057604166665</v>
      </c>
      <c r="C1439" s="1" t="s">
        <v>0</v>
      </c>
      <c r="D1439" s="1">
        <v>20</v>
      </c>
      <c r="E1439" s="1" t="s">
        <v>28</v>
      </c>
      <c r="F1439" s="3"/>
    </row>
    <row r="1440" spans="1:6" ht="15.75" customHeight="1">
      <c r="A1440" s="1">
        <v>19521</v>
      </c>
      <c r="B1440" s="2">
        <v>45141.060752314814</v>
      </c>
      <c r="C1440" s="1" t="s">
        <v>0</v>
      </c>
      <c r="D1440" s="1">
        <v>20</v>
      </c>
      <c r="E1440" s="1" t="s">
        <v>28</v>
      </c>
      <c r="F1440" s="3"/>
    </row>
    <row r="1441" spans="1:6" ht="15.75" customHeight="1">
      <c r="A1441" s="1">
        <v>19520</v>
      </c>
      <c r="B1441" s="2">
        <v>45141.058981481481</v>
      </c>
      <c r="C1441" s="1" t="s">
        <v>0</v>
      </c>
      <c r="D1441" s="1">
        <v>20</v>
      </c>
      <c r="E1441" s="1" t="s">
        <v>28</v>
      </c>
      <c r="F1441" s="3"/>
    </row>
    <row r="1442" spans="1:6" ht="15.75" customHeight="1">
      <c r="A1442" s="1">
        <v>19521</v>
      </c>
      <c r="B1442" s="2">
        <v>45141.060752314814</v>
      </c>
      <c r="C1442" s="1" t="s">
        <v>0</v>
      </c>
      <c r="D1442" s="1">
        <v>20</v>
      </c>
      <c r="E1442" s="1" t="s">
        <v>28</v>
      </c>
      <c r="F1442" s="3"/>
    </row>
    <row r="1443" spans="1:6" ht="15.75" customHeight="1">
      <c r="A1443" s="1">
        <v>19523</v>
      </c>
      <c r="B1443" s="2">
        <v>45141.116805555554</v>
      </c>
      <c r="C1443" s="1" t="s">
        <v>0</v>
      </c>
      <c r="D1443" s="1">
        <v>25</v>
      </c>
      <c r="E1443" s="1" t="s">
        <v>28</v>
      </c>
      <c r="F1443" s="3"/>
    </row>
    <row r="1444" spans="1:6" ht="15.75" customHeight="1">
      <c r="A1444" s="1">
        <v>19522</v>
      </c>
      <c r="B1444" s="2">
        <v>45141.115104166667</v>
      </c>
      <c r="C1444" s="1" t="s">
        <v>0</v>
      </c>
      <c r="D1444" s="1">
        <v>25</v>
      </c>
      <c r="E1444" s="1" t="s">
        <v>28</v>
      </c>
      <c r="F1444" s="3"/>
    </row>
    <row r="1445" spans="1:6" ht="15.75" customHeight="1">
      <c r="A1445" s="1">
        <v>19523</v>
      </c>
      <c r="B1445" s="2">
        <v>45141.116805555554</v>
      </c>
      <c r="C1445" s="1" t="s">
        <v>0</v>
      </c>
      <c r="D1445" s="1">
        <v>25</v>
      </c>
      <c r="E1445" s="1" t="s">
        <v>28</v>
      </c>
      <c r="F1445" s="3"/>
    </row>
    <row r="1446" spans="1:6" ht="15.75" customHeight="1">
      <c r="A1446" s="1">
        <v>19524</v>
      </c>
      <c r="B1446" s="2">
        <v>45141.180439814816</v>
      </c>
      <c r="C1446" s="1" t="s">
        <v>0</v>
      </c>
      <c r="D1446" s="1">
        <v>53</v>
      </c>
      <c r="E1446" s="1" t="s">
        <v>28</v>
      </c>
      <c r="F1446" s="3"/>
    </row>
    <row r="1447" spans="1:6" ht="15.75" customHeight="1">
      <c r="A1447" s="1">
        <v>19525</v>
      </c>
      <c r="B1447" s="2">
        <v>45141.538888888892</v>
      </c>
      <c r="C1447" s="1" t="s">
        <v>0</v>
      </c>
      <c r="D1447" s="1">
        <v>25</v>
      </c>
      <c r="E1447" s="1" t="s">
        <v>28</v>
      </c>
      <c r="F1447" s="3"/>
    </row>
    <row r="1448" spans="1:6" ht="15.75" customHeight="1">
      <c r="A1448" s="1">
        <v>19526</v>
      </c>
      <c r="B1448" s="2">
        <v>45141.707002314812</v>
      </c>
      <c r="C1448" s="1" t="s">
        <v>0</v>
      </c>
      <c r="D1448" s="1">
        <v>25</v>
      </c>
      <c r="E1448" s="1" t="s">
        <v>28</v>
      </c>
      <c r="F1448" s="3"/>
    </row>
    <row r="1449" spans="1:6" ht="15.75" customHeight="1">
      <c r="A1449" s="1">
        <v>19527</v>
      </c>
      <c r="B1449" s="2">
        <v>45141.810995370368</v>
      </c>
      <c r="C1449" s="1" t="s">
        <v>0</v>
      </c>
      <c r="D1449" s="1">
        <v>0</v>
      </c>
      <c r="E1449" s="1" t="s">
        <v>28</v>
      </c>
      <c r="F1449" s="3"/>
    </row>
    <row r="1450" spans="1:6" ht="15.75" customHeight="1">
      <c r="A1450" s="1">
        <v>19528</v>
      </c>
      <c r="B1450" s="2">
        <v>45141.922546296293</v>
      </c>
      <c r="C1450" s="1" t="s">
        <v>0</v>
      </c>
      <c r="D1450" s="1">
        <v>78</v>
      </c>
      <c r="E1450" s="1" t="s">
        <v>28</v>
      </c>
      <c r="F1450" s="3"/>
    </row>
    <row r="1451" spans="1:6" ht="15.75" customHeight="1">
      <c r="A1451" s="1">
        <v>19530</v>
      </c>
      <c r="B1451" s="2">
        <v>45142.150451388887</v>
      </c>
      <c r="C1451" s="1" t="s">
        <v>0</v>
      </c>
      <c r="D1451" s="1">
        <v>0</v>
      </c>
      <c r="E1451" s="1" t="s">
        <v>28</v>
      </c>
      <c r="F1451" s="3"/>
    </row>
    <row r="1452" spans="1:6" ht="15.75" customHeight="1">
      <c r="A1452" s="1">
        <v>19529</v>
      </c>
      <c r="B1452" s="2">
        <v>45142.148553240739</v>
      </c>
      <c r="C1452" s="1" t="s">
        <v>0</v>
      </c>
      <c r="D1452" s="1">
        <v>0</v>
      </c>
      <c r="E1452" s="1" t="s">
        <v>28</v>
      </c>
      <c r="F1452" s="3"/>
    </row>
    <row r="1453" spans="1:6" ht="15.75" customHeight="1">
      <c r="A1453" s="1">
        <v>19530</v>
      </c>
      <c r="B1453" s="2">
        <v>45142.150451388887</v>
      </c>
      <c r="C1453" s="1" t="s">
        <v>0</v>
      </c>
      <c r="D1453" s="1">
        <v>0</v>
      </c>
      <c r="E1453" s="1" t="s">
        <v>28</v>
      </c>
      <c r="F1453" s="3"/>
    </row>
    <row r="1454" spans="1:6" ht="15.75" customHeight="1">
      <c r="A1454" s="1">
        <v>19531</v>
      </c>
      <c r="B1454" s="2">
        <v>45142.765625</v>
      </c>
      <c r="C1454" s="1" t="s">
        <v>0</v>
      </c>
      <c r="D1454" s="1">
        <v>25</v>
      </c>
      <c r="E1454" s="1" t="s">
        <v>28</v>
      </c>
      <c r="F1454" s="3"/>
    </row>
    <row r="1455" spans="1:6" ht="15.75" customHeight="1">
      <c r="A1455" s="1">
        <v>19532</v>
      </c>
      <c r="B1455" s="2">
        <v>45142.939351851855</v>
      </c>
      <c r="C1455" s="1" t="s">
        <v>0</v>
      </c>
      <c r="D1455" s="1">
        <v>30</v>
      </c>
      <c r="E1455" s="1" t="s">
        <v>28</v>
      </c>
      <c r="F1455" s="3"/>
    </row>
    <row r="1456" spans="1:6" ht="15.75" customHeight="1">
      <c r="A1456" s="1">
        <v>19534</v>
      </c>
      <c r="B1456" s="2">
        <v>45143.093148148146</v>
      </c>
      <c r="C1456" s="1" t="s">
        <v>0</v>
      </c>
      <c r="D1456" s="1">
        <v>35</v>
      </c>
      <c r="E1456" s="1" t="s">
        <v>28</v>
      </c>
      <c r="F1456" s="3"/>
    </row>
    <row r="1457" spans="1:6" ht="15.75" customHeight="1">
      <c r="A1457" s="1">
        <v>19535</v>
      </c>
      <c r="B1457" s="2">
        <v>45144.15289351852</v>
      </c>
      <c r="C1457" s="1" t="s">
        <v>0</v>
      </c>
      <c r="D1457" s="1">
        <v>28</v>
      </c>
      <c r="E1457" s="1" t="s">
        <v>28</v>
      </c>
      <c r="F1457" s="3"/>
    </row>
    <row r="1458" spans="1:6" ht="15.75" customHeight="1">
      <c r="A1458" s="1">
        <v>19536</v>
      </c>
      <c r="B1458" s="2">
        <v>45144.542719907404</v>
      </c>
      <c r="C1458" s="1" t="s">
        <v>0</v>
      </c>
      <c r="D1458" s="1">
        <v>25</v>
      </c>
      <c r="E1458" s="1" t="s">
        <v>28</v>
      </c>
      <c r="F1458" s="3"/>
    </row>
    <row r="1459" spans="1:6" ht="15.75" customHeight="1">
      <c r="A1459" s="1">
        <v>19539</v>
      </c>
      <c r="B1459" s="2">
        <v>45146.166863425926</v>
      </c>
      <c r="C1459" s="1" t="s">
        <v>0</v>
      </c>
      <c r="D1459" s="1">
        <v>55</v>
      </c>
      <c r="E1459" s="1" t="s">
        <v>28</v>
      </c>
      <c r="F1459" s="3"/>
    </row>
    <row r="1460" spans="1:6" ht="15.75" customHeight="1">
      <c r="A1460" s="1">
        <v>19540</v>
      </c>
      <c r="B1460" s="2">
        <v>45146.168599537035</v>
      </c>
      <c r="C1460" s="1" t="s">
        <v>0</v>
      </c>
      <c r="D1460" s="1">
        <v>35</v>
      </c>
      <c r="E1460" s="1" t="s">
        <v>28</v>
      </c>
      <c r="F1460" s="3"/>
    </row>
    <row r="1461" spans="1:6" ht="15.75" customHeight="1">
      <c r="A1461" s="1">
        <v>19541</v>
      </c>
      <c r="B1461" s="2">
        <v>45146.706921296296</v>
      </c>
      <c r="C1461" s="1" t="s">
        <v>0</v>
      </c>
      <c r="D1461" s="1">
        <v>20</v>
      </c>
      <c r="E1461" s="1" t="s">
        <v>28</v>
      </c>
      <c r="F1461" s="3"/>
    </row>
    <row r="1462" spans="1:6" ht="15.75" customHeight="1">
      <c r="A1462" s="1">
        <v>19543</v>
      </c>
      <c r="B1462" s="2">
        <v>45147.609467592592</v>
      </c>
      <c r="C1462" s="1" t="s">
        <v>0</v>
      </c>
      <c r="D1462" s="1">
        <v>30</v>
      </c>
      <c r="E1462" s="1" t="s">
        <v>28</v>
      </c>
      <c r="F1462" s="3"/>
    </row>
    <row r="1463" spans="1:6" ht="15.75" customHeight="1">
      <c r="A1463" s="1">
        <v>19542</v>
      </c>
      <c r="B1463" s="2">
        <v>45147.607858796298</v>
      </c>
      <c r="C1463" s="1" t="s">
        <v>0</v>
      </c>
      <c r="D1463" s="1">
        <v>30</v>
      </c>
      <c r="E1463" s="1" t="s">
        <v>28</v>
      </c>
      <c r="F1463" s="3"/>
    </row>
    <row r="1464" spans="1:6" ht="15.75" customHeight="1">
      <c r="A1464" s="1">
        <v>19543</v>
      </c>
      <c r="B1464" s="2">
        <v>45147.609467592592</v>
      </c>
      <c r="C1464" s="1" t="s">
        <v>0</v>
      </c>
      <c r="D1464" s="1">
        <v>30</v>
      </c>
      <c r="E1464" s="1" t="s">
        <v>28</v>
      </c>
      <c r="F1464" s="3"/>
    </row>
    <row r="1465" spans="1:6" ht="15.75" customHeight="1">
      <c r="A1465" s="1">
        <v>19544</v>
      </c>
      <c r="B1465" s="2">
        <v>45147.932152777779</v>
      </c>
      <c r="C1465" s="1" t="s">
        <v>0</v>
      </c>
      <c r="D1465" s="1">
        <v>45</v>
      </c>
      <c r="E1465" s="1" t="s">
        <v>28</v>
      </c>
      <c r="F1465" s="3"/>
    </row>
    <row r="1466" spans="1:6" ht="15.75" customHeight="1">
      <c r="A1466" s="1">
        <v>19545</v>
      </c>
      <c r="B1466" s="2">
        <v>45147.953263888892</v>
      </c>
      <c r="C1466" s="1" t="s">
        <v>0</v>
      </c>
      <c r="D1466" s="1">
        <v>25</v>
      </c>
      <c r="E1466" s="1" t="s">
        <v>28</v>
      </c>
      <c r="F1466" s="3"/>
    </row>
    <row r="1467" spans="1:6" ht="15.75" customHeight="1">
      <c r="A1467" s="1">
        <v>19546</v>
      </c>
      <c r="B1467" s="2">
        <v>45148.019583333335</v>
      </c>
      <c r="C1467" s="1" t="s">
        <v>0</v>
      </c>
      <c r="D1467" s="1">
        <v>20</v>
      </c>
      <c r="E1467" s="1" t="s">
        <v>28</v>
      </c>
      <c r="F1467" s="3"/>
    </row>
    <row r="1468" spans="1:6" ht="15.75" customHeight="1">
      <c r="A1468" s="1">
        <v>19547</v>
      </c>
      <c r="B1468" s="2">
        <v>45148.115393518521</v>
      </c>
      <c r="C1468" s="1" t="s">
        <v>0</v>
      </c>
      <c r="D1468" s="1">
        <v>28</v>
      </c>
      <c r="E1468" s="1" t="s">
        <v>59</v>
      </c>
      <c r="F1468" s="3"/>
    </row>
    <row r="1469" spans="1:6" ht="15.75" customHeight="1">
      <c r="A1469" s="1">
        <v>19548</v>
      </c>
      <c r="B1469" s="2">
        <v>45148.804201388892</v>
      </c>
      <c r="C1469" s="1" t="s">
        <v>0</v>
      </c>
      <c r="D1469" s="1">
        <v>28</v>
      </c>
      <c r="E1469" s="1" t="s">
        <v>28</v>
      </c>
      <c r="F1469" s="3"/>
    </row>
    <row r="1470" spans="1:6" ht="15.75" customHeight="1">
      <c r="A1470" s="1">
        <v>19551</v>
      </c>
      <c r="B1470" s="2">
        <v>45149.666446759256</v>
      </c>
      <c r="C1470" s="1" t="s">
        <v>0</v>
      </c>
      <c r="D1470" s="1">
        <v>35</v>
      </c>
      <c r="E1470" s="1" t="s">
        <v>28</v>
      </c>
      <c r="F1470" s="3"/>
    </row>
    <row r="1471" spans="1:6" ht="15.75" customHeight="1">
      <c r="A1471" s="1">
        <v>19559</v>
      </c>
      <c r="B1471" s="2">
        <v>45149.944456018522</v>
      </c>
      <c r="C1471" s="1" t="s">
        <v>0</v>
      </c>
      <c r="D1471" s="1">
        <v>20</v>
      </c>
      <c r="E1471" s="1" t="s">
        <v>28</v>
      </c>
      <c r="F1471" s="3"/>
    </row>
    <row r="1472" spans="1:6" ht="15.75" customHeight="1">
      <c r="A1472" s="1">
        <v>19558</v>
      </c>
      <c r="B1472" s="2">
        <v>45149.941747685189</v>
      </c>
      <c r="C1472" s="1" t="s">
        <v>0</v>
      </c>
      <c r="D1472" s="1">
        <v>35</v>
      </c>
      <c r="E1472" s="1" t="s">
        <v>28</v>
      </c>
      <c r="F1472" s="3"/>
    </row>
    <row r="1473" spans="1:6" ht="15.75" customHeight="1">
      <c r="A1473" s="1">
        <v>19559</v>
      </c>
      <c r="B1473" s="2">
        <v>45149.944456018522</v>
      </c>
      <c r="C1473" s="1" t="s">
        <v>0</v>
      </c>
      <c r="D1473" s="1">
        <v>20</v>
      </c>
      <c r="E1473" s="1" t="s">
        <v>28</v>
      </c>
      <c r="F1473" s="3"/>
    </row>
    <row r="1474" spans="1:6" ht="15.75" customHeight="1">
      <c r="A1474" s="1">
        <v>19560</v>
      </c>
      <c r="B1474" s="2">
        <v>45150.117604166669</v>
      </c>
      <c r="C1474" s="1" t="s">
        <v>0</v>
      </c>
      <c r="D1474" s="1">
        <v>20</v>
      </c>
      <c r="E1474" s="1" t="s">
        <v>28</v>
      </c>
      <c r="F1474" s="3"/>
    </row>
    <row r="1475" spans="1:6" ht="15.75" customHeight="1">
      <c r="A1475" s="1">
        <v>19561</v>
      </c>
      <c r="B1475" s="2">
        <v>45150.120625000003</v>
      </c>
      <c r="C1475" s="1" t="s">
        <v>0</v>
      </c>
      <c r="D1475" s="1">
        <v>20</v>
      </c>
      <c r="E1475" s="1" t="s">
        <v>28</v>
      </c>
      <c r="F1475" s="3"/>
    </row>
    <row r="1476" spans="1:6" ht="15.75" customHeight="1">
      <c r="A1476" s="1">
        <v>19562</v>
      </c>
      <c r="B1476" s="2">
        <v>45150.666805555556</v>
      </c>
      <c r="C1476" s="1" t="s">
        <v>0</v>
      </c>
      <c r="D1476" s="1">
        <v>132</v>
      </c>
      <c r="E1476" s="1" t="s">
        <v>28</v>
      </c>
      <c r="F1476" s="3"/>
    </row>
    <row r="1477" spans="1:6" ht="15.75" customHeight="1">
      <c r="A1477" s="1">
        <v>19563</v>
      </c>
      <c r="B1477" s="2">
        <v>45150.916018518517</v>
      </c>
      <c r="C1477" s="1" t="s">
        <v>0</v>
      </c>
      <c r="D1477" s="1">
        <v>25</v>
      </c>
      <c r="E1477" s="1" t="s">
        <v>28</v>
      </c>
      <c r="F1477" s="3"/>
    </row>
    <row r="1478" spans="1:6" ht="15.75" customHeight="1">
      <c r="A1478" s="1">
        <v>19565</v>
      </c>
      <c r="B1478" s="2">
        <v>45151.576192129629</v>
      </c>
      <c r="C1478" s="1" t="s">
        <v>0</v>
      </c>
      <c r="D1478" s="1">
        <v>63</v>
      </c>
      <c r="E1478" s="1" t="s">
        <v>28</v>
      </c>
      <c r="F1478" s="3"/>
    </row>
    <row r="1479" spans="1:6" ht="15.75" customHeight="1">
      <c r="A1479" s="1">
        <v>19564</v>
      </c>
      <c r="B1479" s="2">
        <v>45151.572696759256</v>
      </c>
      <c r="C1479" s="1" t="s">
        <v>0</v>
      </c>
      <c r="D1479" s="1">
        <v>63</v>
      </c>
      <c r="E1479" s="1" t="s">
        <v>28</v>
      </c>
      <c r="F1479" s="3"/>
    </row>
    <row r="1480" spans="1:6" ht="15.75" customHeight="1">
      <c r="A1480" s="1">
        <v>19565</v>
      </c>
      <c r="B1480" s="2">
        <v>45151.576192129629</v>
      </c>
      <c r="C1480" s="1" t="s">
        <v>0</v>
      </c>
      <c r="D1480" s="1">
        <v>63</v>
      </c>
      <c r="E1480" s="1" t="s">
        <v>28</v>
      </c>
      <c r="F1480" s="3"/>
    </row>
    <row r="1481" spans="1:6" ht="15.75" customHeight="1">
      <c r="A1481" s="1">
        <v>19566</v>
      </c>
      <c r="B1481" s="2">
        <v>45151.679907407408</v>
      </c>
      <c r="C1481" s="1" t="s">
        <v>0</v>
      </c>
      <c r="D1481" s="1">
        <v>45</v>
      </c>
      <c r="E1481" s="1" t="s">
        <v>28</v>
      </c>
      <c r="F1481" s="3"/>
    </row>
    <row r="1482" spans="1:6" ht="15.75" customHeight="1">
      <c r="A1482" s="1">
        <v>19567</v>
      </c>
      <c r="B1482" s="2">
        <v>45151.685162037036</v>
      </c>
      <c r="C1482" s="1" t="s">
        <v>0</v>
      </c>
      <c r="D1482" s="1">
        <v>45</v>
      </c>
      <c r="E1482" s="1" t="s">
        <v>28</v>
      </c>
      <c r="F1482" s="3"/>
    </row>
    <row r="1483" spans="1:6" ht="15.75" customHeight="1">
      <c r="A1483" s="1">
        <v>19568</v>
      </c>
      <c r="B1483" s="2">
        <v>45152.020358796297</v>
      </c>
      <c r="C1483" s="1" t="s">
        <v>0</v>
      </c>
      <c r="D1483" s="1">
        <v>25</v>
      </c>
      <c r="E1483" s="1" t="s">
        <v>28</v>
      </c>
      <c r="F1483" s="3"/>
    </row>
    <row r="1484" spans="1:6" ht="15.75" customHeight="1">
      <c r="A1484" s="1">
        <v>19569</v>
      </c>
      <c r="B1484" s="2">
        <v>45152.844583333332</v>
      </c>
      <c r="C1484" s="1" t="s">
        <v>0</v>
      </c>
      <c r="D1484" s="1">
        <v>28</v>
      </c>
      <c r="E1484" s="1" t="s">
        <v>28</v>
      </c>
      <c r="F1484" s="3"/>
    </row>
    <row r="1485" spans="1:6" ht="15.75" customHeight="1">
      <c r="A1485" s="1">
        <v>19570</v>
      </c>
      <c r="B1485" s="2">
        <v>45153.095590277779</v>
      </c>
      <c r="C1485" s="1" t="s">
        <v>0</v>
      </c>
      <c r="D1485" s="1">
        <v>45</v>
      </c>
      <c r="E1485" s="1" t="s">
        <v>28</v>
      </c>
      <c r="F1485" s="3"/>
    </row>
    <row r="1486" spans="1:6" ht="15.75" customHeight="1">
      <c r="A1486" s="1">
        <v>19571</v>
      </c>
      <c r="B1486" s="2">
        <v>45153.115439814814</v>
      </c>
      <c r="C1486" s="1" t="s">
        <v>0</v>
      </c>
      <c r="D1486" s="1">
        <v>35</v>
      </c>
      <c r="E1486" s="1" t="s">
        <v>28</v>
      </c>
      <c r="F1486" s="3"/>
    </row>
    <row r="1487" spans="1:6" ht="15.75" customHeight="1">
      <c r="A1487" s="1">
        <v>19572</v>
      </c>
      <c r="B1487" s="2">
        <v>45153.494687500002</v>
      </c>
      <c r="C1487" s="1" t="s">
        <v>0</v>
      </c>
      <c r="D1487" s="1">
        <v>25</v>
      </c>
      <c r="E1487" s="1" t="s">
        <v>28</v>
      </c>
      <c r="F1487" s="3"/>
    </row>
    <row r="1488" spans="1:6" ht="15.75" customHeight="1">
      <c r="A1488" s="1">
        <v>19573</v>
      </c>
      <c r="B1488" s="2">
        <v>45153.51902777778</v>
      </c>
      <c r="C1488" s="1" t="s">
        <v>0</v>
      </c>
      <c r="D1488" s="1">
        <v>35</v>
      </c>
      <c r="E1488" s="1" t="s">
        <v>28</v>
      </c>
      <c r="F1488" s="3"/>
    </row>
    <row r="1489" spans="1:6" ht="15.75" customHeight="1">
      <c r="A1489" s="1">
        <v>19575</v>
      </c>
      <c r="B1489" s="2">
        <v>45153.530648148146</v>
      </c>
      <c r="C1489" s="1" t="s">
        <v>0</v>
      </c>
      <c r="D1489" s="1">
        <v>25</v>
      </c>
      <c r="E1489" s="1" t="s">
        <v>28</v>
      </c>
      <c r="F1489" s="3"/>
    </row>
    <row r="1490" spans="1:6" ht="15.75" customHeight="1">
      <c r="A1490" s="1">
        <v>19574</v>
      </c>
      <c r="B1490" s="2">
        <v>45153.529965277776</v>
      </c>
      <c r="C1490" s="1" t="s">
        <v>0</v>
      </c>
      <c r="D1490" s="1">
        <v>25</v>
      </c>
      <c r="E1490" s="1" t="s">
        <v>28</v>
      </c>
      <c r="F1490" s="3"/>
    </row>
    <row r="1491" spans="1:6" ht="15.75" customHeight="1">
      <c r="A1491" s="1">
        <v>19575</v>
      </c>
      <c r="B1491" s="2">
        <v>45153.530648148146</v>
      </c>
      <c r="C1491" s="1" t="s">
        <v>0</v>
      </c>
      <c r="D1491" s="1">
        <v>25</v>
      </c>
      <c r="E1491" s="1" t="s">
        <v>28</v>
      </c>
      <c r="F1491" s="3"/>
    </row>
    <row r="1492" spans="1:6" ht="15.75" customHeight="1">
      <c r="A1492" s="1">
        <v>19578</v>
      </c>
      <c r="B1492" s="2">
        <v>45153.546990740739</v>
      </c>
      <c r="C1492" s="1" t="s">
        <v>0</v>
      </c>
      <c r="D1492" s="1">
        <v>15</v>
      </c>
      <c r="E1492" s="1" t="s">
        <v>28</v>
      </c>
      <c r="F1492" s="3"/>
    </row>
    <row r="1493" spans="1:6" ht="15.75" customHeight="1">
      <c r="A1493" s="1">
        <v>19577</v>
      </c>
      <c r="B1493" s="2">
        <v>45153.546261574076</v>
      </c>
      <c r="C1493" s="1" t="s">
        <v>0</v>
      </c>
      <c r="D1493" s="1">
        <v>25</v>
      </c>
      <c r="E1493" s="1" t="s">
        <v>28</v>
      </c>
      <c r="F1493" s="3"/>
    </row>
    <row r="1494" spans="1:6" ht="15.75" customHeight="1">
      <c r="A1494" s="1">
        <v>19576</v>
      </c>
      <c r="B1494" s="2">
        <v>45153.544317129628</v>
      </c>
      <c r="C1494" s="1" t="s">
        <v>0</v>
      </c>
      <c r="D1494" s="1">
        <v>15</v>
      </c>
      <c r="E1494" s="1" t="s">
        <v>28</v>
      </c>
      <c r="F1494" s="3"/>
    </row>
    <row r="1495" spans="1:6" ht="15.75" customHeight="1">
      <c r="A1495" s="1">
        <v>19579</v>
      </c>
      <c r="B1495" s="2">
        <v>45153.553807870368</v>
      </c>
      <c r="C1495" s="1" t="s">
        <v>0</v>
      </c>
      <c r="D1495" s="1">
        <v>15</v>
      </c>
      <c r="E1495" s="1" t="s">
        <v>28</v>
      </c>
      <c r="F1495" s="3"/>
    </row>
    <row r="1496" spans="1:6" ht="15.75" customHeight="1">
      <c r="A1496" s="1">
        <v>19578</v>
      </c>
      <c r="B1496" s="2">
        <v>45153.546990740739</v>
      </c>
      <c r="C1496" s="1" t="s">
        <v>0</v>
      </c>
      <c r="D1496" s="1">
        <v>15</v>
      </c>
      <c r="E1496" s="1" t="s">
        <v>28</v>
      </c>
      <c r="F1496" s="3"/>
    </row>
    <row r="1497" spans="1:6" ht="15.75" customHeight="1">
      <c r="A1497" s="1">
        <v>19577</v>
      </c>
      <c r="B1497" s="2">
        <v>45153.546261574076</v>
      </c>
      <c r="C1497" s="1" t="s">
        <v>0</v>
      </c>
      <c r="D1497" s="1">
        <v>25</v>
      </c>
      <c r="E1497" s="1" t="s">
        <v>28</v>
      </c>
      <c r="F1497" s="3"/>
    </row>
    <row r="1498" spans="1:6" ht="15.75" customHeight="1">
      <c r="A1498" s="1">
        <v>19581</v>
      </c>
      <c r="B1498" s="2">
        <v>45153.558969907404</v>
      </c>
      <c r="C1498" s="1" t="s">
        <v>0</v>
      </c>
      <c r="D1498" s="1">
        <v>25</v>
      </c>
      <c r="E1498" s="1" t="s">
        <v>80</v>
      </c>
      <c r="F1498" s="3"/>
    </row>
    <row r="1499" spans="1:6" ht="15.75" customHeight="1">
      <c r="A1499" s="1">
        <v>19580</v>
      </c>
      <c r="B1499" s="2">
        <v>45153.557708333334</v>
      </c>
      <c r="C1499" s="1" t="s">
        <v>0</v>
      </c>
      <c r="D1499" s="1">
        <v>25</v>
      </c>
      <c r="E1499" s="1" t="s">
        <v>80</v>
      </c>
      <c r="F1499" s="3"/>
    </row>
    <row r="1500" spans="1:6" ht="15.75" customHeight="1">
      <c r="A1500" s="1">
        <v>19579</v>
      </c>
      <c r="B1500" s="2">
        <v>45153.553807870368</v>
      </c>
      <c r="C1500" s="1" t="s">
        <v>0</v>
      </c>
      <c r="D1500" s="1">
        <v>15</v>
      </c>
      <c r="E1500" s="1" t="s">
        <v>28</v>
      </c>
      <c r="F1500" s="3"/>
    </row>
    <row r="1501" spans="1:6" ht="15.75" customHeight="1">
      <c r="A1501" s="1">
        <v>19578</v>
      </c>
      <c r="B1501" s="2">
        <v>45153.546990740739</v>
      </c>
      <c r="C1501" s="1" t="s">
        <v>0</v>
      </c>
      <c r="D1501" s="1">
        <v>15</v>
      </c>
      <c r="E1501" s="1" t="s">
        <v>28</v>
      </c>
      <c r="F1501" s="3"/>
    </row>
    <row r="1502" spans="1:6" ht="15.75" customHeight="1">
      <c r="A1502" s="1">
        <v>19581</v>
      </c>
      <c r="B1502" s="2">
        <v>45153.558969907404</v>
      </c>
      <c r="C1502" s="1" t="s">
        <v>0</v>
      </c>
      <c r="D1502" s="1">
        <v>25</v>
      </c>
      <c r="E1502" s="1" t="s">
        <v>80</v>
      </c>
      <c r="F1502" s="3"/>
    </row>
    <row r="1503" spans="1:6" ht="15.75" customHeight="1">
      <c r="A1503" s="1">
        <v>19580</v>
      </c>
      <c r="B1503" s="2">
        <v>45153.557708333334</v>
      </c>
      <c r="C1503" s="1" t="s">
        <v>0</v>
      </c>
      <c r="D1503" s="1">
        <v>25</v>
      </c>
      <c r="E1503" s="1" t="s">
        <v>80</v>
      </c>
      <c r="F1503" s="3"/>
    </row>
    <row r="1504" spans="1:6" ht="15.75" customHeight="1">
      <c r="A1504" s="1">
        <v>19579</v>
      </c>
      <c r="B1504" s="2">
        <v>45153.553807870368</v>
      </c>
      <c r="C1504" s="1" t="s">
        <v>0</v>
      </c>
      <c r="D1504" s="1">
        <v>15</v>
      </c>
      <c r="E1504" s="1" t="s">
        <v>28</v>
      </c>
      <c r="F1504" s="3"/>
    </row>
    <row r="1505" spans="1:6" ht="15.75" customHeight="1">
      <c r="A1505" s="1">
        <v>19581</v>
      </c>
      <c r="B1505" s="2">
        <v>45153.558969907404</v>
      </c>
      <c r="C1505" s="1" t="s">
        <v>0</v>
      </c>
      <c r="D1505" s="1">
        <v>25</v>
      </c>
      <c r="E1505" s="1" t="s">
        <v>80</v>
      </c>
      <c r="F1505" s="3"/>
    </row>
    <row r="1506" spans="1:6" ht="15.75" customHeight="1">
      <c r="A1506" s="1">
        <v>19580</v>
      </c>
      <c r="B1506" s="2">
        <v>45153.557708333334</v>
      </c>
      <c r="C1506" s="1" t="s">
        <v>0</v>
      </c>
      <c r="D1506" s="1">
        <v>25</v>
      </c>
      <c r="E1506" s="1" t="s">
        <v>80</v>
      </c>
      <c r="F1506" s="3"/>
    </row>
    <row r="1507" spans="1:6" ht="15.75" customHeight="1">
      <c r="A1507" s="1">
        <v>19581</v>
      </c>
      <c r="B1507" s="2">
        <v>45153.558969907404</v>
      </c>
      <c r="C1507" s="1" t="s">
        <v>0</v>
      </c>
      <c r="D1507" s="1">
        <v>25</v>
      </c>
      <c r="E1507" s="1" t="s">
        <v>80</v>
      </c>
      <c r="F1507" s="3"/>
    </row>
    <row r="1508" spans="1:6" ht="15.75" customHeight="1">
      <c r="A1508" s="1">
        <v>19582</v>
      </c>
      <c r="B1508" s="2">
        <v>45153.659722222219</v>
      </c>
      <c r="C1508" s="1" t="s">
        <v>0</v>
      </c>
      <c r="D1508" s="1">
        <v>25</v>
      </c>
      <c r="E1508" s="1" t="s">
        <v>28</v>
      </c>
      <c r="F1508" s="3"/>
    </row>
    <row r="1509" spans="1:6" ht="15.75" customHeight="1">
      <c r="A1509" s="1">
        <v>19583</v>
      </c>
      <c r="B1509" s="2">
        <v>45153.679884259262</v>
      </c>
      <c r="C1509" s="1" t="s">
        <v>0</v>
      </c>
      <c r="D1509" s="1">
        <v>43</v>
      </c>
      <c r="E1509" s="1" t="s">
        <v>28</v>
      </c>
      <c r="F1509" s="3"/>
    </row>
    <row r="1510" spans="1:6" ht="15.75" customHeight="1">
      <c r="A1510" s="1">
        <v>19584</v>
      </c>
      <c r="B1510" s="2">
        <v>45153.928703703707</v>
      </c>
      <c r="C1510" s="1" t="s">
        <v>0</v>
      </c>
      <c r="D1510" s="1">
        <v>15</v>
      </c>
      <c r="E1510" s="1" t="s">
        <v>28</v>
      </c>
      <c r="F1510" s="3"/>
    </row>
    <row r="1511" spans="1:6" ht="15.75" customHeight="1">
      <c r="A1511" s="1">
        <v>19587</v>
      </c>
      <c r="B1511" s="2">
        <v>45154.539895833332</v>
      </c>
      <c r="C1511" s="1" t="s">
        <v>0</v>
      </c>
      <c r="D1511" s="1">
        <v>25</v>
      </c>
      <c r="E1511" s="1" t="s">
        <v>74</v>
      </c>
      <c r="F1511" s="3"/>
    </row>
    <row r="1512" spans="1:6" ht="15.75" customHeight="1">
      <c r="A1512" s="1">
        <v>19586</v>
      </c>
      <c r="B1512" s="2">
        <v>45154.536261574074</v>
      </c>
      <c r="C1512" s="1" t="s">
        <v>0</v>
      </c>
      <c r="D1512" s="1">
        <v>25</v>
      </c>
      <c r="E1512" s="1" t="s">
        <v>74</v>
      </c>
      <c r="F1512" s="3"/>
    </row>
    <row r="1513" spans="1:6" ht="15.75" customHeight="1">
      <c r="A1513" s="1">
        <v>19587</v>
      </c>
      <c r="B1513" s="2">
        <v>45154.539895833332</v>
      </c>
      <c r="C1513" s="1" t="s">
        <v>0</v>
      </c>
      <c r="D1513" s="1">
        <v>25</v>
      </c>
      <c r="E1513" s="1" t="s">
        <v>74</v>
      </c>
      <c r="F1513" s="3"/>
    </row>
    <row r="1514" spans="1:6" ht="15.75" customHeight="1">
      <c r="A1514" s="1">
        <v>19589</v>
      </c>
      <c r="B1514" s="2">
        <v>45154.632303240738</v>
      </c>
      <c r="C1514" s="1" t="s">
        <v>0</v>
      </c>
      <c r="D1514" s="1">
        <v>25</v>
      </c>
      <c r="E1514" s="1" t="s">
        <v>28</v>
      </c>
      <c r="F1514" s="3"/>
    </row>
    <row r="1515" spans="1:6" ht="15.75" customHeight="1">
      <c r="A1515" s="1">
        <v>19588</v>
      </c>
      <c r="B1515" s="2">
        <v>45154.63040509259</v>
      </c>
      <c r="C1515" s="1" t="s">
        <v>0</v>
      </c>
      <c r="D1515" s="1">
        <v>25</v>
      </c>
      <c r="E1515" s="1" t="s">
        <v>28</v>
      </c>
      <c r="F1515" s="3"/>
    </row>
    <row r="1516" spans="1:6" ht="15.75" customHeight="1">
      <c r="A1516" s="1">
        <v>19589</v>
      </c>
      <c r="B1516" s="2">
        <v>45154.632303240738</v>
      </c>
      <c r="C1516" s="1" t="s">
        <v>0</v>
      </c>
      <c r="D1516" s="1">
        <v>25</v>
      </c>
      <c r="E1516" s="1" t="s">
        <v>28</v>
      </c>
      <c r="F1516" s="3"/>
    </row>
    <row r="1517" spans="1:6" ht="15.75" customHeight="1">
      <c r="A1517" s="1">
        <v>19591</v>
      </c>
      <c r="B1517" s="2">
        <v>45155.451226851852</v>
      </c>
      <c r="C1517" s="1" t="s">
        <v>0</v>
      </c>
      <c r="D1517" s="1">
        <v>35</v>
      </c>
      <c r="E1517" s="1" t="s">
        <v>74</v>
      </c>
      <c r="F1517" s="3"/>
    </row>
    <row r="1518" spans="1:6" ht="15.75" customHeight="1">
      <c r="A1518" s="1">
        <v>19593</v>
      </c>
      <c r="B1518" s="2">
        <v>45155.750069444446</v>
      </c>
      <c r="C1518" s="1" t="s">
        <v>0</v>
      </c>
      <c r="D1518" s="1">
        <v>84</v>
      </c>
      <c r="E1518" s="1" t="s">
        <v>74</v>
      </c>
      <c r="F1518" s="3"/>
    </row>
    <row r="1519" spans="1:6" ht="15.75" customHeight="1">
      <c r="A1519" s="1">
        <v>19592</v>
      </c>
      <c r="B1519" s="2">
        <v>45155.746076388888</v>
      </c>
      <c r="C1519" s="1" t="s">
        <v>0</v>
      </c>
      <c r="D1519" s="1">
        <v>48</v>
      </c>
      <c r="E1519" s="1" t="s">
        <v>28</v>
      </c>
      <c r="F1519" s="3"/>
    </row>
    <row r="1520" spans="1:6" ht="15.75" customHeight="1">
      <c r="A1520" s="1">
        <v>19593</v>
      </c>
      <c r="B1520" s="2">
        <v>45155.750069444446</v>
      </c>
      <c r="C1520" s="1" t="s">
        <v>0</v>
      </c>
      <c r="D1520" s="1">
        <v>84</v>
      </c>
      <c r="E1520" s="1" t="s">
        <v>74</v>
      </c>
      <c r="F1520" s="3"/>
    </row>
    <row r="1521" spans="1:6" ht="15.75" customHeight="1">
      <c r="A1521" s="1">
        <v>19594</v>
      </c>
      <c r="B1521" s="2">
        <v>45155.864293981482</v>
      </c>
      <c r="C1521" s="1" t="s">
        <v>0</v>
      </c>
      <c r="D1521" s="1">
        <v>40</v>
      </c>
      <c r="E1521" s="1" t="s">
        <v>79</v>
      </c>
      <c r="F1521" s="3"/>
    </row>
    <row r="1522" spans="1:6" ht="15.75" customHeight="1">
      <c r="A1522" s="1">
        <v>19595</v>
      </c>
      <c r="B1522" s="2">
        <v>45156.479201388887</v>
      </c>
      <c r="C1522" s="1" t="s">
        <v>0</v>
      </c>
      <c r="D1522" s="1">
        <v>35</v>
      </c>
      <c r="E1522" s="1" t="s">
        <v>28</v>
      </c>
      <c r="F1522" s="3"/>
    </row>
    <row r="1523" spans="1:6" ht="15.75" customHeight="1">
      <c r="A1523" s="1">
        <v>19596</v>
      </c>
      <c r="B1523" s="2">
        <v>45156.549907407411</v>
      </c>
      <c r="C1523" s="1" t="s">
        <v>0</v>
      </c>
      <c r="D1523" s="1">
        <v>25</v>
      </c>
      <c r="E1523" s="1" t="s">
        <v>74</v>
      </c>
      <c r="F1523" s="3"/>
    </row>
    <row r="1524" spans="1:6" ht="15.75" customHeight="1">
      <c r="A1524" s="1">
        <v>19597</v>
      </c>
      <c r="B1524" s="2">
        <v>45156.606736111113</v>
      </c>
      <c r="C1524" s="1" t="s">
        <v>0</v>
      </c>
      <c r="D1524" s="1">
        <v>25</v>
      </c>
      <c r="E1524" s="1" t="s">
        <v>74</v>
      </c>
      <c r="F1524" s="3"/>
    </row>
    <row r="1525" spans="1:6" ht="15.75" customHeight="1">
      <c r="A1525" s="1">
        <v>19601</v>
      </c>
      <c r="B1525" s="2">
        <v>45156.715555555558</v>
      </c>
      <c r="C1525" s="1" t="s">
        <v>0</v>
      </c>
      <c r="D1525" s="1">
        <v>54</v>
      </c>
      <c r="E1525" s="1" t="s">
        <v>74</v>
      </c>
      <c r="F1525" s="3"/>
    </row>
    <row r="1526" spans="1:6" ht="15.75" customHeight="1">
      <c r="A1526" s="1">
        <v>19600</v>
      </c>
      <c r="B1526" s="2">
        <v>45156.714895833335</v>
      </c>
      <c r="C1526" s="1" t="s">
        <v>0</v>
      </c>
      <c r="D1526" s="1">
        <v>63</v>
      </c>
      <c r="E1526" s="1" t="s">
        <v>74</v>
      </c>
      <c r="F1526" s="3"/>
    </row>
    <row r="1527" spans="1:6" ht="15.75" customHeight="1">
      <c r="A1527" s="1">
        <v>19599</v>
      </c>
      <c r="B1527" s="2">
        <v>45156.712789351855</v>
      </c>
      <c r="C1527" s="1" t="s">
        <v>0</v>
      </c>
      <c r="D1527" s="1">
        <v>0</v>
      </c>
      <c r="E1527" s="1" t="s">
        <v>74</v>
      </c>
      <c r="F1527" s="3"/>
    </row>
    <row r="1528" spans="1:6" ht="15.75" customHeight="1">
      <c r="A1528" s="1">
        <v>19598</v>
      </c>
      <c r="B1528" s="2">
        <v>45156.711875000001</v>
      </c>
      <c r="C1528" s="1" t="s">
        <v>0</v>
      </c>
      <c r="D1528" s="1">
        <v>63</v>
      </c>
      <c r="E1528" s="1" t="s">
        <v>74</v>
      </c>
      <c r="F1528" s="3"/>
    </row>
    <row r="1529" spans="1:6" ht="15.75" customHeight="1">
      <c r="A1529" s="1">
        <v>19602</v>
      </c>
      <c r="B1529" s="2">
        <v>45156.717442129629</v>
      </c>
      <c r="C1529" s="1" t="s">
        <v>0</v>
      </c>
      <c r="D1529" s="1">
        <v>0</v>
      </c>
      <c r="E1529" s="1" t="s">
        <v>74</v>
      </c>
      <c r="F1529" s="3"/>
    </row>
    <row r="1530" spans="1:6" ht="15.75" customHeight="1">
      <c r="A1530" s="1">
        <v>19601</v>
      </c>
      <c r="B1530" s="2">
        <v>45156.715555555558</v>
      </c>
      <c r="C1530" s="1" t="s">
        <v>0</v>
      </c>
      <c r="D1530" s="1">
        <v>54</v>
      </c>
      <c r="E1530" s="1" t="s">
        <v>74</v>
      </c>
      <c r="F1530" s="3"/>
    </row>
    <row r="1531" spans="1:6" ht="15.75" customHeight="1">
      <c r="A1531" s="1">
        <v>19600</v>
      </c>
      <c r="B1531" s="2">
        <v>45156.714895833335</v>
      </c>
      <c r="C1531" s="1" t="s">
        <v>0</v>
      </c>
      <c r="D1531" s="1">
        <v>63</v>
      </c>
      <c r="E1531" s="1" t="s">
        <v>74</v>
      </c>
      <c r="F1531" s="3"/>
    </row>
    <row r="1532" spans="1:6" ht="15.75" customHeight="1">
      <c r="A1532" s="1">
        <v>19599</v>
      </c>
      <c r="B1532" s="2">
        <v>45156.712789351855</v>
      </c>
      <c r="C1532" s="1" t="s">
        <v>0</v>
      </c>
      <c r="D1532" s="1">
        <v>0</v>
      </c>
      <c r="E1532" s="1" t="s">
        <v>74</v>
      </c>
      <c r="F1532" s="3"/>
    </row>
    <row r="1533" spans="1:6" ht="15.75" customHeight="1">
      <c r="A1533" s="1">
        <v>19602</v>
      </c>
      <c r="B1533" s="2">
        <v>45156.717442129629</v>
      </c>
      <c r="C1533" s="1" t="s">
        <v>0</v>
      </c>
      <c r="D1533" s="1">
        <v>0</v>
      </c>
      <c r="E1533" s="1" t="s">
        <v>74</v>
      </c>
      <c r="F1533" s="3"/>
    </row>
    <row r="1534" spans="1:6" ht="15.75" customHeight="1">
      <c r="A1534" s="1">
        <v>19601</v>
      </c>
      <c r="B1534" s="2">
        <v>45156.715555555558</v>
      </c>
      <c r="C1534" s="1" t="s">
        <v>0</v>
      </c>
      <c r="D1534" s="1">
        <v>54</v>
      </c>
      <c r="E1534" s="1" t="s">
        <v>74</v>
      </c>
      <c r="F1534" s="3"/>
    </row>
    <row r="1535" spans="1:6" ht="15.75" customHeight="1">
      <c r="A1535" s="1">
        <v>19600</v>
      </c>
      <c r="B1535" s="2">
        <v>45156.714895833335</v>
      </c>
      <c r="C1535" s="1" t="s">
        <v>0</v>
      </c>
      <c r="D1535" s="1">
        <v>63</v>
      </c>
      <c r="E1535" s="1" t="s">
        <v>74</v>
      </c>
      <c r="F1535" s="3"/>
    </row>
    <row r="1536" spans="1:6" ht="15.75" customHeight="1">
      <c r="A1536" s="1">
        <v>19602</v>
      </c>
      <c r="B1536" s="2">
        <v>45156.717442129629</v>
      </c>
      <c r="C1536" s="1" t="s">
        <v>0</v>
      </c>
      <c r="D1536" s="1">
        <v>0</v>
      </c>
      <c r="E1536" s="1" t="s">
        <v>74</v>
      </c>
      <c r="F1536" s="3"/>
    </row>
    <row r="1537" spans="1:6" ht="15.75" customHeight="1">
      <c r="A1537" s="1">
        <v>19601</v>
      </c>
      <c r="B1537" s="2">
        <v>45156.715555555558</v>
      </c>
      <c r="C1537" s="1" t="s">
        <v>0</v>
      </c>
      <c r="D1537" s="1">
        <v>54</v>
      </c>
      <c r="E1537" s="1" t="s">
        <v>74</v>
      </c>
      <c r="F1537" s="3"/>
    </row>
    <row r="1538" spans="1:6" ht="15.75" customHeight="1">
      <c r="A1538" s="1">
        <v>19603</v>
      </c>
      <c r="B1538" s="2">
        <v>45156.743680555555</v>
      </c>
      <c r="C1538" s="1" t="s">
        <v>0</v>
      </c>
      <c r="D1538" s="1">
        <v>25</v>
      </c>
      <c r="E1538" s="1" t="s">
        <v>74</v>
      </c>
      <c r="F1538" s="3"/>
    </row>
    <row r="1539" spans="1:6" ht="15.75" customHeight="1">
      <c r="A1539" s="1">
        <v>19602</v>
      </c>
      <c r="B1539" s="2">
        <v>45156.717442129629</v>
      </c>
      <c r="C1539" s="1" t="s">
        <v>0</v>
      </c>
      <c r="D1539" s="1">
        <v>0</v>
      </c>
      <c r="E1539" s="1" t="s">
        <v>74</v>
      </c>
      <c r="F1539" s="3"/>
    </row>
    <row r="1540" spans="1:6" ht="15.75" customHeight="1">
      <c r="A1540" s="1">
        <v>19603</v>
      </c>
      <c r="B1540" s="2">
        <v>45156.743680555555</v>
      </c>
      <c r="C1540" s="1" t="s">
        <v>0</v>
      </c>
      <c r="D1540" s="1">
        <v>25</v>
      </c>
      <c r="E1540" s="1" t="s">
        <v>74</v>
      </c>
      <c r="F1540" s="3"/>
    </row>
    <row r="1541" spans="1:6" ht="15.75" customHeight="1">
      <c r="A1541" s="1">
        <v>19604</v>
      </c>
      <c r="B1541" s="2">
        <v>45156.823888888888</v>
      </c>
      <c r="C1541" s="1" t="s">
        <v>0</v>
      </c>
      <c r="D1541" s="1">
        <v>25</v>
      </c>
      <c r="E1541" s="1" t="s">
        <v>74</v>
      </c>
      <c r="F1541" s="3"/>
    </row>
    <row r="1542" spans="1:6" ht="15.75" customHeight="1">
      <c r="A1542" s="1">
        <v>19607</v>
      </c>
      <c r="B1542" s="2">
        <v>45156.829907407409</v>
      </c>
      <c r="C1542" s="1" t="s">
        <v>0</v>
      </c>
      <c r="D1542" s="1">
        <v>22</v>
      </c>
      <c r="E1542" s="1" t="s">
        <v>28</v>
      </c>
      <c r="F1542" s="3"/>
    </row>
    <row r="1543" spans="1:6" ht="15.75" customHeight="1">
      <c r="A1543" s="1">
        <v>19606</v>
      </c>
      <c r="B1543" s="2">
        <v>45156.828715277778</v>
      </c>
      <c r="C1543" s="1" t="s">
        <v>0</v>
      </c>
      <c r="D1543" s="1">
        <v>22</v>
      </c>
      <c r="E1543" s="1" t="s">
        <v>28</v>
      </c>
      <c r="F1543" s="3"/>
    </row>
    <row r="1544" spans="1:6" ht="15.75" customHeight="1">
      <c r="A1544" s="1">
        <v>19605</v>
      </c>
      <c r="B1544" s="2">
        <v>45156.827349537038</v>
      </c>
      <c r="C1544" s="1" t="s">
        <v>0</v>
      </c>
      <c r="D1544" s="1">
        <v>22</v>
      </c>
      <c r="E1544" s="1" t="s">
        <v>28</v>
      </c>
      <c r="F1544" s="3"/>
    </row>
    <row r="1545" spans="1:6" ht="15.75" customHeight="1">
      <c r="A1545" s="1">
        <v>19607</v>
      </c>
      <c r="B1545" s="2">
        <v>45156.829907407409</v>
      </c>
      <c r="C1545" s="1" t="s">
        <v>0</v>
      </c>
      <c r="D1545" s="1">
        <v>22</v>
      </c>
      <c r="E1545" s="1" t="s">
        <v>28</v>
      </c>
      <c r="F1545" s="3"/>
    </row>
    <row r="1546" spans="1:6" ht="15.75" customHeight="1">
      <c r="A1546" s="1">
        <v>19606</v>
      </c>
      <c r="B1546" s="2">
        <v>45156.828715277778</v>
      </c>
      <c r="C1546" s="1" t="s">
        <v>0</v>
      </c>
      <c r="D1546" s="1">
        <v>22</v>
      </c>
      <c r="E1546" s="1" t="s">
        <v>28</v>
      </c>
      <c r="F1546" s="3"/>
    </row>
    <row r="1547" spans="1:6" ht="15.75" customHeight="1">
      <c r="A1547" s="1">
        <v>19607</v>
      </c>
      <c r="B1547" s="2">
        <v>45156.829907407409</v>
      </c>
      <c r="C1547" s="1" t="s">
        <v>0</v>
      </c>
      <c r="D1547" s="1">
        <v>22</v>
      </c>
      <c r="E1547" s="1" t="s">
        <v>28</v>
      </c>
      <c r="F1547" s="3"/>
    </row>
    <row r="1548" spans="1:6" ht="15.75" customHeight="1">
      <c r="A1548" s="1">
        <v>19608</v>
      </c>
      <c r="B1548" s="2">
        <v>45156.862476851849</v>
      </c>
      <c r="C1548" s="1" t="s">
        <v>0</v>
      </c>
      <c r="D1548" s="1">
        <v>51</v>
      </c>
      <c r="E1548" s="1" t="s">
        <v>74</v>
      </c>
      <c r="F1548" s="3"/>
    </row>
    <row r="1549" spans="1:6" ht="15.75" customHeight="1">
      <c r="A1549" s="1">
        <v>19613</v>
      </c>
      <c r="B1549" s="2">
        <v>45156.874710648146</v>
      </c>
      <c r="C1549" s="1" t="s">
        <v>0</v>
      </c>
      <c r="D1549" s="1">
        <v>28</v>
      </c>
      <c r="E1549" s="1" t="s">
        <v>74</v>
      </c>
      <c r="F1549" s="3"/>
    </row>
    <row r="1550" spans="1:6" ht="15.75" customHeight="1">
      <c r="A1550" s="1">
        <v>19612</v>
      </c>
      <c r="B1550" s="2">
        <v>45156.873344907406</v>
      </c>
      <c r="C1550" s="1" t="s">
        <v>0</v>
      </c>
      <c r="D1550" s="1">
        <v>45</v>
      </c>
      <c r="E1550" s="1" t="s">
        <v>74</v>
      </c>
      <c r="F1550" s="3"/>
    </row>
    <row r="1551" spans="1:6" ht="15.75" customHeight="1">
      <c r="A1551" s="1">
        <v>19611</v>
      </c>
      <c r="B1551" s="2">
        <v>45156.871701388889</v>
      </c>
      <c r="C1551" s="1" t="s">
        <v>0</v>
      </c>
      <c r="D1551" s="1">
        <v>25</v>
      </c>
      <c r="E1551" s="1" t="s">
        <v>74</v>
      </c>
      <c r="F1551" s="3"/>
    </row>
    <row r="1552" spans="1:6" ht="15.75" customHeight="1">
      <c r="A1552" s="1">
        <v>19610</v>
      </c>
      <c r="B1552" s="2">
        <v>45156.871307870373</v>
      </c>
      <c r="C1552" s="1" t="s">
        <v>0</v>
      </c>
      <c r="D1552" s="1">
        <v>35</v>
      </c>
      <c r="E1552" s="1" t="s">
        <v>74</v>
      </c>
      <c r="F1552" s="3"/>
    </row>
    <row r="1553" spans="1:6" ht="15.75" customHeight="1">
      <c r="A1553" s="1">
        <v>19609</v>
      </c>
      <c r="B1553" s="2">
        <v>45156.871168981481</v>
      </c>
      <c r="C1553" s="1" t="s">
        <v>0</v>
      </c>
      <c r="D1553" s="1">
        <v>60</v>
      </c>
      <c r="E1553" s="1" t="s">
        <v>74</v>
      </c>
      <c r="F1553" s="3"/>
    </row>
    <row r="1554" spans="1:6" ht="15.75" customHeight="1">
      <c r="A1554" s="1">
        <v>19616</v>
      </c>
      <c r="B1554" s="2">
        <v>45156.878634259258</v>
      </c>
      <c r="C1554" s="1" t="s">
        <v>0</v>
      </c>
      <c r="D1554" s="1">
        <v>20</v>
      </c>
      <c r="E1554" s="1" t="s">
        <v>74</v>
      </c>
      <c r="F1554" s="3"/>
    </row>
    <row r="1555" spans="1:6" ht="15.75" customHeight="1">
      <c r="A1555" s="1">
        <v>19615</v>
      </c>
      <c r="B1555" s="2">
        <v>45156.877465277779</v>
      </c>
      <c r="C1555" s="1" t="s">
        <v>0</v>
      </c>
      <c r="D1555" s="1">
        <v>51</v>
      </c>
      <c r="E1555" s="1" t="s">
        <v>74</v>
      </c>
      <c r="F1555" s="3"/>
    </row>
    <row r="1556" spans="1:6" ht="15.75" customHeight="1">
      <c r="A1556" s="1">
        <v>19614</v>
      </c>
      <c r="B1556" s="2">
        <v>45156.876631944448</v>
      </c>
      <c r="C1556" s="1" t="s">
        <v>0</v>
      </c>
      <c r="D1556" s="1">
        <v>61</v>
      </c>
      <c r="E1556" s="1" t="s">
        <v>74</v>
      </c>
      <c r="F1556" s="3"/>
    </row>
    <row r="1557" spans="1:6" ht="15.75" customHeight="1">
      <c r="A1557" s="1">
        <v>19613</v>
      </c>
      <c r="B1557" s="2">
        <v>45156.874710648146</v>
      </c>
      <c r="C1557" s="1" t="s">
        <v>0</v>
      </c>
      <c r="D1557" s="1">
        <v>28</v>
      </c>
      <c r="E1557" s="1" t="s">
        <v>74</v>
      </c>
      <c r="F1557" s="3"/>
    </row>
    <row r="1558" spans="1:6" ht="15.75" customHeight="1">
      <c r="A1558" s="1">
        <v>19612</v>
      </c>
      <c r="B1558" s="2">
        <v>45156.873344907406</v>
      </c>
      <c r="C1558" s="1" t="s">
        <v>0</v>
      </c>
      <c r="D1558" s="1">
        <v>45</v>
      </c>
      <c r="E1558" s="1" t="s">
        <v>74</v>
      </c>
      <c r="F1558" s="3"/>
    </row>
    <row r="1559" spans="1:6" ht="15.75" customHeight="1">
      <c r="A1559" s="1">
        <v>19611</v>
      </c>
      <c r="B1559" s="2">
        <v>45156.871701388889</v>
      </c>
      <c r="C1559" s="1" t="s">
        <v>0</v>
      </c>
      <c r="D1559" s="1">
        <v>25</v>
      </c>
      <c r="E1559" s="1" t="s">
        <v>74</v>
      </c>
      <c r="F1559" s="3"/>
    </row>
    <row r="1560" spans="1:6" ht="15.75" customHeight="1">
      <c r="A1560" s="1">
        <v>19610</v>
      </c>
      <c r="B1560" s="2">
        <v>45156.871307870373</v>
      </c>
      <c r="C1560" s="1" t="s">
        <v>0</v>
      </c>
      <c r="D1560" s="1">
        <v>35</v>
      </c>
      <c r="E1560" s="1" t="s">
        <v>74</v>
      </c>
      <c r="F1560" s="3"/>
    </row>
    <row r="1561" spans="1:6" ht="15.75" customHeight="1">
      <c r="A1561" s="1">
        <v>19617</v>
      </c>
      <c r="B1561" s="2">
        <v>45156.88890046296</v>
      </c>
      <c r="C1561" s="1" t="s">
        <v>0</v>
      </c>
      <c r="D1561" s="1">
        <v>77</v>
      </c>
      <c r="E1561" s="1" t="s">
        <v>74</v>
      </c>
      <c r="F1561" s="3"/>
    </row>
    <row r="1562" spans="1:6" ht="15.75" customHeight="1">
      <c r="A1562" s="1">
        <v>19616</v>
      </c>
      <c r="B1562" s="2">
        <v>45156.878634259258</v>
      </c>
      <c r="C1562" s="1" t="s">
        <v>0</v>
      </c>
      <c r="D1562" s="1">
        <v>20</v>
      </c>
      <c r="E1562" s="1" t="s">
        <v>74</v>
      </c>
      <c r="F1562" s="3"/>
    </row>
    <row r="1563" spans="1:6" ht="15.75" customHeight="1">
      <c r="A1563" s="1">
        <v>19615</v>
      </c>
      <c r="B1563" s="2">
        <v>45156.877465277779</v>
      </c>
      <c r="C1563" s="1" t="s">
        <v>0</v>
      </c>
      <c r="D1563" s="1">
        <v>51</v>
      </c>
      <c r="E1563" s="1" t="s">
        <v>74</v>
      </c>
      <c r="F1563" s="3"/>
    </row>
    <row r="1564" spans="1:6" ht="15.75" customHeight="1">
      <c r="A1564" s="1">
        <v>19614</v>
      </c>
      <c r="B1564" s="2">
        <v>45156.876631944448</v>
      </c>
      <c r="C1564" s="1" t="s">
        <v>0</v>
      </c>
      <c r="D1564" s="1">
        <v>61</v>
      </c>
      <c r="E1564" s="1" t="s">
        <v>74</v>
      </c>
      <c r="F1564" s="3"/>
    </row>
    <row r="1565" spans="1:6" ht="15.75" customHeight="1">
      <c r="A1565" s="1">
        <v>19613</v>
      </c>
      <c r="B1565" s="2">
        <v>45156.874710648146</v>
      </c>
      <c r="C1565" s="1" t="s">
        <v>0</v>
      </c>
      <c r="D1565" s="1">
        <v>28</v>
      </c>
      <c r="E1565" s="1" t="s">
        <v>74</v>
      </c>
      <c r="F1565" s="3"/>
    </row>
    <row r="1566" spans="1:6" ht="15.75" customHeight="1">
      <c r="A1566" s="1">
        <v>19612</v>
      </c>
      <c r="B1566" s="2">
        <v>45156.873344907406</v>
      </c>
      <c r="C1566" s="1" t="s">
        <v>0</v>
      </c>
      <c r="D1566" s="1">
        <v>45</v>
      </c>
      <c r="E1566" s="1" t="s">
        <v>74</v>
      </c>
      <c r="F1566" s="3"/>
    </row>
    <row r="1567" spans="1:6" ht="15.75" customHeight="1">
      <c r="A1567" s="1">
        <v>19611</v>
      </c>
      <c r="B1567" s="2">
        <v>45156.871701388889</v>
      </c>
      <c r="C1567" s="1" t="s">
        <v>0</v>
      </c>
      <c r="D1567" s="1">
        <v>25</v>
      </c>
      <c r="E1567" s="1" t="s">
        <v>74</v>
      </c>
      <c r="F1567" s="3"/>
    </row>
    <row r="1568" spans="1:6" ht="15.75" customHeight="1">
      <c r="A1568" s="1">
        <v>19617</v>
      </c>
      <c r="B1568" s="2">
        <v>45156.88890046296</v>
      </c>
      <c r="C1568" s="1" t="s">
        <v>0</v>
      </c>
      <c r="D1568" s="1">
        <v>77</v>
      </c>
      <c r="E1568" s="1" t="s">
        <v>74</v>
      </c>
      <c r="F1568" s="3"/>
    </row>
    <row r="1569" spans="1:6" ht="15.75" customHeight="1">
      <c r="A1569" s="1">
        <v>19616</v>
      </c>
      <c r="B1569" s="2">
        <v>45156.878634259258</v>
      </c>
      <c r="C1569" s="1" t="s">
        <v>0</v>
      </c>
      <c r="D1569" s="1">
        <v>20</v>
      </c>
      <c r="E1569" s="1" t="s">
        <v>74</v>
      </c>
      <c r="F1569" s="3"/>
    </row>
    <row r="1570" spans="1:6" ht="15.75" customHeight="1">
      <c r="A1570" s="1">
        <v>19615</v>
      </c>
      <c r="B1570" s="2">
        <v>45156.877465277779</v>
      </c>
      <c r="C1570" s="1" t="s">
        <v>0</v>
      </c>
      <c r="D1570" s="1">
        <v>51</v>
      </c>
      <c r="E1570" s="1" t="s">
        <v>74</v>
      </c>
      <c r="F1570" s="3"/>
    </row>
    <row r="1571" spans="1:6" ht="15.75" customHeight="1">
      <c r="A1571" s="1">
        <v>19614</v>
      </c>
      <c r="B1571" s="2">
        <v>45156.876631944448</v>
      </c>
      <c r="C1571" s="1" t="s">
        <v>0</v>
      </c>
      <c r="D1571" s="1">
        <v>61</v>
      </c>
      <c r="E1571" s="1" t="s">
        <v>74</v>
      </c>
      <c r="F1571" s="3"/>
    </row>
    <row r="1572" spans="1:6" ht="15.75" customHeight="1">
      <c r="A1572" s="1">
        <v>19613</v>
      </c>
      <c r="B1572" s="2">
        <v>45156.874710648146</v>
      </c>
      <c r="C1572" s="1" t="s">
        <v>0</v>
      </c>
      <c r="D1572" s="1">
        <v>28</v>
      </c>
      <c r="E1572" s="1" t="s">
        <v>74</v>
      </c>
      <c r="F1572" s="3"/>
    </row>
    <row r="1573" spans="1:6" ht="15.75" customHeight="1">
      <c r="A1573" s="1">
        <v>19612</v>
      </c>
      <c r="B1573" s="2">
        <v>45156.873344907406</v>
      </c>
      <c r="C1573" s="1" t="s">
        <v>0</v>
      </c>
      <c r="D1573" s="1">
        <v>45</v>
      </c>
      <c r="E1573" s="1" t="s">
        <v>74</v>
      </c>
      <c r="F1573" s="3"/>
    </row>
    <row r="1574" spans="1:6" ht="15.75" customHeight="1">
      <c r="A1574" s="1">
        <v>19618</v>
      </c>
      <c r="B1574" s="2">
        <v>45156.899930555555</v>
      </c>
      <c r="C1574" s="1" t="s">
        <v>0</v>
      </c>
      <c r="D1574" s="1">
        <v>28</v>
      </c>
      <c r="E1574" s="1" t="s">
        <v>74</v>
      </c>
      <c r="F1574" s="3"/>
    </row>
    <row r="1575" spans="1:6" ht="15.75" customHeight="1">
      <c r="A1575" s="1">
        <v>19617</v>
      </c>
      <c r="B1575" s="2">
        <v>45156.88890046296</v>
      </c>
      <c r="C1575" s="1" t="s">
        <v>0</v>
      </c>
      <c r="D1575" s="1">
        <v>77</v>
      </c>
      <c r="E1575" s="1" t="s">
        <v>74</v>
      </c>
      <c r="F1575" s="3"/>
    </row>
    <row r="1576" spans="1:6" ht="15.75" customHeight="1">
      <c r="A1576" s="1">
        <v>19616</v>
      </c>
      <c r="B1576" s="2">
        <v>45156.878634259258</v>
      </c>
      <c r="C1576" s="1" t="s">
        <v>0</v>
      </c>
      <c r="D1576" s="1">
        <v>20</v>
      </c>
      <c r="E1576" s="1" t="s">
        <v>74</v>
      </c>
      <c r="F1576" s="3"/>
    </row>
    <row r="1577" spans="1:6" ht="15.75" customHeight="1">
      <c r="A1577" s="1">
        <v>19615</v>
      </c>
      <c r="B1577" s="2">
        <v>45156.877465277779</v>
      </c>
      <c r="C1577" s="1" t="s">
        <v>0</v>
      </c>
      <c r="D1577" s="1">
        <v>51</v>
      </c>
      <c r="E1577" s="1" t="s">
        <v>74</v>
      </c>
      <c r="F1577" s="3"/>
    </row>
    <row r="1578" spans="1:6" ht="15.75" customHeight="1">
      <c r="A1578" s="1">
        <v>19614</v>
      </c>
      <c r="B1578" s="2">
        <v>45156.876631944448</v>
      </c>
      <c r="C1578" s="1" t="s">
        <v>0</v>
      </c>
      <c r="D1578" s="1">
        <v>61</v>
      </c>
      <c r="E1578" s="1" t="s">
        <v>74</v>
      </c>
      <c r="F1578" s="3"/>
    </row>
    <row r="1579" spans="1:6" ht="15.75" customHeight="1">
      <c r="A1579" s="1">
        <v>19613</v>
      </c>
      <c r="B1579" s="2">
        <v>45156.874710648146</v>
      </c>
      <c r="C1579" s="1" t="s">
        <v>0</v>
      </c>
      <c r="D1579" s="1">
        <v>28</v>
      </c>
      <c r="E1579" s="1" t="s">
        <v>74</v>
      </c>
      <c r="F1579" s="3"/>
    </row>
    <row r="1580" spans="1:6" ht="15.75" customHeight="1">
      <c r="A1580" s="1">
        <v>19618</v>
      </c>
      <c r="B1580" s="2">
        <v>45156.899930555555</v>
      </c>
      <c r="C1580" s="1" t="s">
        <v>0</v>
      </c>
      <c r="D1580" s="1">
        <v>28</v>
      </c>
      <c r="E1580" s="1" t="s">
        <v>74</v>
      </c>
      <c r="F1580" s="3"/>
    </row>
    <row r="1581" spans="1:6" ht="15.75" customHeight="1">
      <c r="A1581" s="1">
        <v>19617</v>
      </c>
      <c r="B1581" s="2">
        <v>45156.88890046296</v>
      </c>
      <c r="C1581" s="1" t="s">
        <v>0</v>
      </c>
      <c r="D1581" s="1">
        <v>77</v>
      </c>
      <c r="E1581" s="1" t="s">
        <v>74</v>
      </c>
      <c r="F1581" s="3"/>
    </row>
    <row r="1582" spans="1:6" ht="15.75" customHeight="1">
      <c r="A1582" s="1">
        <v>19616</v>
      </c>
      <c r="B1582" s="2">
        <v>45156.878634259258</v>
      </c>
      <c r="C1582" s="1" t="s">
        <v>0</v>
      </c>
      <c r="D1582" s="1">
        <v>20</v>
      </c>
      <c r="E1582" s="1" t="s">
        <v>74</v>
      </c>
      <c r="F1582" s="3"/>
    </row>
    <row r="1583" spans="1:6" ht="15.75" customHeight="1">
      <c r="A1583" s="1">
        <v>19615</v>
      </c>
      <c r="B1583" s="2">
        <v>45156.877465277779</v>
      </c>
      <c r="C1583" s="1" t="s">
        <v>0</v>
      </c>
      <c r="D1583" s="1">
        <v>51</v>
      </c>
      <c r="E1583" s="1" t="s">
        <v>74</v>
      </c>
      <c r="F1583" s="3"/>
    </row>
    <row r="1584" spans="1:6" ht="15.75" customHeight="1">
      <c r="A1584" s="1">
        <v>19614</v>
      </c>
      <c r="B1584" s="2">
        <v>45156.876631944448</v>
      </c>
      <c r="C1584" s="1" t="s">
        <v>0</v>
      </c>
      <c r="D1584" s="1">
        <v>61</v>
      </c>
      <c r="E1584" s="1" t="s">
        <v>74</v>
      </c>
      <c r="F1584" s="3"/>
    </row>
    <row r="1585" spans="1:6" ht="15.75" customHeight="1">
      <c r="A1585" s="1">
        <v>19618</v>
      </c>
      <c r="B1585" s="2">
        <v>45156.899930555555</v>
      </c>
      <c r="C1585" s="1" t="s">
        <v>0</v>
      </c>
      <c r="D1585" s="1">
        <v>28</v>
      </c>
      <c r="E1585" s="1" t="s">
        <v>74</v>
      </c>
      <c r="F1585" s="3"/>
    </row>
    <row r="1586" spans="1:6" ht="15.75" customHeight="1">
      <c r="A1586" s="1">
        <v>19617</v>
      </c>
      <c r="B1586" s="2">
        <v>45156.88890046296</v>
      </c>
      <c r="C1586" s="1" t="s">
        <v>0</v>
      </c>
      <c r="D1586" s="1">
        <v>77</v>
      </c>
      <c r="E1586" s="1" t="s">
        <v>74</v>
      </c>
      <c r="F1586" s="3"/>
    </row>
    <row r="1587" spans="1:6" ht="15.75" customHeight="1">
      <c r="A1587" s="1">
        <v>19616</v>
      </c>
      <c r="B1587" s="2">
        <v>45156.878634259258</v>
      </c>
      <c r="C1587" s="1" t="s">
        <v>0</v>
      </c>
      <c r="D1587" s="1">
        <v>20</v>
      </c>
      <c r="E1587" s="1" t="s">
        <v>74</v>
      </c>
      <c r="F1587" s="3"/>
    </row>
    <row r="1588" spans="1:6" ht="15.75" customHeight="1">
      <c r="A1588" s="1">
        <v>19615</v>
      </c>
      <c r="B1588" s="2">
        <v>45156.877465277779</v>
      </c>
      <c r="C1588" s="1" t="s">
        <v>0</v>
      </c>
      <c r="D1588" s="1">
        <v>51</v>
      </c>
      <c r="E1588" s="1" t="s">
        <v>74</v>
      </c>
      <c r="F1588" s="3"/>
    </row>
    <row r="1589" spans="1:6" ht="15.75" customHeight="1">
      <c r="A1589" s="1">
        <v>19618</v>
      </c>
      <c r="B1589" s="2">
        <v>45156.899930555555</v>
      </c>
      <c r="C1589" s="1" t="s">
        <v>0</v>
      </c>
      <c r="D1589" s="1">
        <v>28</v>
      </c>
      <c r="E1589" s="1" t="s">
        <v>74</v>
      </c>
      <c r="F1589" s="3"/>
    </row>
    <row r="1590" spans="1:6" ht="15.75" customHeight="1">
      <c r="A1590" s="1">
        <v>19617</v>
      </c>
      <c r="B1590" s="2">
        <v>45156.88890046296</v>
      </c>
      <c r="C1590" s="1" t="s">
        <v>0</v>
      </c>
      <c r="D1590" s="1">
        <v>77</v>
      </c>
      <c r="E1590" s="1" t="s">
        <v>74</v>
      </c>
      <c r="F1590" s="3"/>
    </row>
    <row r="1591" spans="1:6" ht="15.75" customHeight="1">
      <c r="A1591" s="1">
        <v>19616</v>
      </c>
      <c r="B1591" s="2">
        <v>45156.878634259258</v>
      </c>
      <c r="C1591" s="1" t="s">
        <v>0</v>
      </c>
      <c r="D1591" s="1">
        <v>20</v>
      </c>
      <c r="E1591" s="1" t="s">
        <v>74</v>
      </c>
      <c r="F1591" s="3"/>
    </row>
    <row r="1592" spans="1:6" ht="15.75" customHeight="1">
      <c r="A1592" s="1">
        <v>19618</v>
      </c>
      <c r="B1592" s="2">
        <v>45156.899930555555</v>
      </c>
      <c r="C1592" s="1" t="s">
        <v>0</v>
      </c>
      <c r="D1592" s="1">
        <v>28</v>
      </c>
      <c r="E1592" s="1" t="s">
        <v>74</v>
      </c>
      <c r="F1592" s="3"/>
    </row>
    <row r="1593" spans="1:6" ht="15.75" customHeight="1">
      <c r="A1593" s="1">
        <v>19617</v>
      </c>
      <c r="B1593" s="2">
        <v>45156.88890046296</v>
      </c>
      <c r="C1593" s="1" t="s">
        <v>0</v>
      </c>
      <c r="D1593" s="1">
        <v>77</v>
      </c>
      <c r="E1593" s="1" t="s">
        <v>74</v>
      </c>
      <c r="F1593" s="3"/>
    </row>
    <row r="1594" spans="1:6" ht="15.75" customHeight="1">
      <c r="A1594" s="1">
        <v>19620</v>
      </c>
      <c r="B1594" s="2">
        <v>45156.935844907406</v>
      </c>
      <c r="C1594" s="1" t="s">
        <v>0</v>
      </c>
      <c r="D1594" s="1">
        <v>28</v>
      </c>
      <c r="E1594" s="1" t="s">
        <v>74</v>
      </c>
      <c r="F1594" s="3"/>
    </row>
    <row r="1595" spans="1:6" ht="15.75" customHeight="1">
      <c r="A1595" s="1">
        <v>19619</v>
      </c>
      <c r="B1595" s="2">
        <v>45156.934108796297</v>
      </c>
      <c r="C1595" s="1" t="s">
        <v>0</v>
      </c>
      <c r="D1595" s="1">
        <v>28</v>
      </c>
      <c r="E1595" s="1" t="s">
        <v>74</v>
      </c>
      <c r="F1595" s="3"/>
    </row>
    <row r="1596" spans="1:6" ht="15.75" customHeight="1">
      <c r="A1596" s="1">
        <v>19618</v>
      </c>
      <c r="B1596" s="2">
        <v>45156.899930555555</v>
      </c>
      <c r="C1596" s="1" t="s">
        <v>0</v>
      </c>
      <c r="D1596" s="1">
        <v>28</v>
      </c>
      <c r="E1596" s="1" t="s">
        <v>74</v>
      </c>
      <c r="F1596" s="3"/>
    </row>
    <row r="1597" spans="1:6" ht="15.75" customHeight="1">
      <c r="A1597" s="1">
        <v>19620</v>
      </c>
      <c r="B1597" s="2">
        <v>45156.935844907406</v>
      </c>
      <c r="C1597" s="1" t="s">
        <v>0</v>
      </c>
      <c r="D1597" s="1">
        <v>28</v>
      </c>
      <c r="E1597" s="1" t="s">
        <v>74</v>
      </c>
      <c r="F1597" s="3"/>
    </row>
    <row r="1598" spans="1:6" ht="15.75" customHeight="1">
      <c r="A1598" s="1">
        <v>19619</v>
      </c>
      <c r="B1598" s="2">
        <v>45156.934108796297</v>
      </c>
      <c r="C1598" s="1" t="s">
        <v>0</v>
      </c>
      <c r="D1598" s="1">
        <v>28</v>
      </c>
      <c r="E1598" s="1" t="s">
        <v>74</v>
      </c>
      <c r="F1598" s="3"/>
    </row>
    <row r="1599" spans="1:6" ht="15.75" customHeight="1">
      <c r="A1599" s="1">
        <v>19620</v>
      </c>
      <c r="B1599" s="2">
        <v>45156.935844907406</v>
      </c>
      <c r="C1599" s="1" t="s">
        <v>0</v>
      </c>
      <c r="D1599" s="1">
        <v>28</v>
      </c>
      <c r="E1599" s="1" t="s">
        <v>74</v>
      </c>
      <c r="F1599" s="3"/>
    </row>
    <row r="1600" spans="1:6" ht="15.75" customHeight="1">
      <c r="A1600" s="1">
        <v>19621</v>
      </c>
      <c r="B1600" s="2">
        <v>45156.963807870372</v>
      </c>
      <c r="C1600" s="1" t="s">
        <v>0</v>
      </c>
      <c r="D1600" s="1">
        <v>51</v>
      </c>
      <c r="E1600" s="1" t="s">
        <v>74</v>
      </c>
      <c r="F1600" s="3"/>
    </row>
    <row r="1601" spans="1:6" ht="15.75" customHeight="1">
      <c r="A1601" s="1">
        <v>19623</v>
      </c>
      <c r="B1601" s="2">
        <v>45157.568657407406</v>
      </c>
      <c r="C1601" s="1" t="s">
        <v>0</v>
      </c>
      <c r="D1601" s="1">
        <v>41</v>
      </c>
      <c r="E1601" s="1" t="s">
        <v>74</v>
      </c>
      <c r="F1601" s="3"/>
    </row>
    <row r="1602" spans="1:6" ht="15.75" customHeight="1">
      <c r="A1602" s="1">
        <v>19626</v>
      </c>
      <c r="B1602" s="2">
        <v>45158.194467592592</v>
      </c>
      <c r="C1602" s="1" t="s">
        <v>0</v>
      </c>
      <c r="D1602" s="1">
        <v>72</v>
      </c>
      <c r="E1602" s="1" t="s">
        <v>28</v>
      </c>
      <c r="F1602" s="3"/>
    </row>
    <row r="1603" spans="1:6" ht="15.75" customHeight="1">
      <c r="A1603" s="1">
        <v>19627</v>
      </c>
      <c r="B1603" s="2">
        <v>45158.66878472222</v>
      </c>
      <c r="C1603" s="1" t="s">
        <v>0</v>
      </c>
      <c r="D1603" s="1">
        <v>15</v>
      </c>
      <c r="E1603" s="1" t="s">
        <v>28</v>
      </c>
      <c r="F1603" s="3"/>
    </row>
    <row r="1604" spans="1:6" ht="15.75" customHeight="1">
      <c r="A1604" s="1">
        <v>19782</v>
      </c>
      <c r="B1604" s="2">
        <v>45161.044803240744</v>
      </c>
      <c r="C1604" s="1" t="s">
        <v>51</v>
      </c>
      <c r="D1604" s="1">
        <v>168</v>
      </c>
      <c r="F1604" s="3"/>
    </row>
    <row r="1605" spans="1:6" ht="15.75" customHeight="1">
      <c r="A1605" s="1">
        <v>19783</v>
      </c>
      <c r="B1605" s="2">
        <v>45161.068252314813</v>
      </c>
      <c r="C1605" s="1" t="s">
        <v>0</v>
      </c>
      <c r="D1605" s="1">
        <v>52</v>
      </c>
      <c r="E1605" s="1" t="s">
        <v>79</v>
      </c>
      <c r="F1605" s="3"/>
    </row>
    <row r="1606" spans="1:6" ht="15.75" customHeight="1">
      <c r="A1606" s="1">
        <v>19784</v>
      </c>
      <c r="B1606" s="2">
        <v>45161.103368055556</v>
      </c>
      <c r="C1606" s="1" t="s">
        <v>51</v>
      </c>
      <c r="D1606" s="1">
        <v>780</v>
      </c>
      <c r="F1606" s="3"/>
    </row>
    <row r="1607" spans="1:6" ht="15.75" customHeight="1">
      <c r="A1607" s="1">
        <v>19841</v>
      </c>
      <c r="B1607" s="2">
        <v>45162.969548611109</v>
      </c>
      <c r="C1607" s="1" t="s">
        <v>10</v>
      </c>
      <c r="D1607" s="1">
        <v>0</v>
      </c>
      <c r="E1607" s="1" t="s">
        <v>79</v>
      </c>
      <c r="F1607" s="3"/>
    </row>
    <row r="1608" spans="1:6" ht="15.75" customHeight="1">
      <c r="A1608" s="1">
        <v>19845</v>
      </c>
      <c r="B1608" s="2">
        <v>45163.008877314816</v>
      </c>
      <c r="C1608" s="1" t="s">
        <v>97</v>
      </c>
      <c r="D1608" s="1">
        <v>35</v>
      </c>
      <c r="F1608" s="3"/>
    </row>
    <row r="1609" spans="1:6" ht="15.75" customHeight="1">
      <c r="A1609" s="1">
        <v>19848</v>
      </c>
      <c r="B1609" s="2">
        <v>45163.819178240738</v>
      </c>
      <c r="C1609" s="1" t="s">
        <v>0</v>
      </c>
      <c r="D1609" s="1">
        <v>51</v>
      </c>
      <c r="E1609" s="1" t="s">
        <v>74</v>
      </c>
      <c r="F1609" s="3"/>
    </row>
    <row r="1610" spans="1:6" ht="15.75" customHeight="1">
      <c r="A1610" s="1">
        <v>19849</v>
      </c>
      <c r="B1610" s="2">
        <v>45163.964143518519</v>
      </c>
      <c r="C1610" s="1" t="s">
        <v>0</v>
      </c>
      <c r="D1610" s="1">
        <v>25</v>
      </c>
      <c r="E1610" s="1" t="s">
        <v>74</v>
      </c>
      <c r="F1610" s="3"/>
    </row>
    <row r="1611" spans="1:6" ht="15.75" customHeight="1">
      <c r="A1611" s="1">
        <v>19851</v>
      </c>
      <c r="B1611" s="2">
        <v>45164.59480324074</v>
      </c>
      <c r="C1611" s="1" t="s">
        <v>0</v>
      </c>
      <c r="D1611" s="1">
        <v>25</v>
      </c>
      <c r="E1611" s="1" t="s">
        <v>28</v>
      </c>
      <c r="F1611" s="3"/>
    </row>
    <row r="1612" spans="1:6" ht="15.75" customHeight="1">
      <c r="A1612" s="1">
        <v>19850</v>
      </c>
      <c r="B1612" s="2">
        <v>45164.592129629629</v>
      </c>
      <c r="C1612" s="1" t="s">
        <v>0</v>
      </c>
      <c r="D1612" s="1">
        <v>55</v>
      </c>
      <c r="E1612" s="1" t="s">
        <v>28</v>
      </c>
      <c r="F1612" s="3"/>
    </row>
    <row r="1613" spans="1:6" ht="15.75" customHeight="1">
      <c r="A1613" s="1">
        <v>19851</v>
      </c>
      <c r="B1613" s="2">
        <v>45164.59480324074</v>
      </c>
      <c r="C1613" s="1" t="s">
        <v>0</v>
      </c>
      <c r="D1613" s="1">
        <v>25</v>
      </c>
      <c r="E1613" s="1" t="s">
        <v>28</v>
      </c>
      <c r="F1613" s="3"/>
    </row>
    <row r="1614" spans="1:6" ht="15.75" customHeight="1">
      <c r="A1614" s="1">
        <v>19890</v>
      </c>
      <c r="B1614" s="2">
        <v>45165.758958333332</v>
      </c>
      <c r="C1614" s="1" t="s">
        <v>0</v>
      </c>
      <c r="D1614" s="1">
        <v>61</v>
      </c>
      <c r="E1614" s="1" t="s">
        <v>74</v>
      </c>
      <c r="F1614" s="3"/>
    </row>
    <row r="1615" spans="1:6" ht="15.75" customHeight="1">
      <c r="A1615" s="1">
        <v>19899</v>
      </c>
      <c r="B1615" s="2">
        <v>45166.029270833336</v>
      </c>
      <c r="C1615" s="1" t="s">
        <v>0</v>
      </c>
      <c r="D1615" s="1">
        <v>70</v>
      </c>
      <c r="E1615" s="1" t="s">
        <v>74</v>
      </c>
      <c r="F1615" s="3"/>
    </row>
    <row r="1616" spans="1:6" ht="15.75" customHeight="1">
      <c r="A1616" s="1">
        <v>19928</v>
      </c>
      <c r="B1616" s="2">
        <v>45168.123703703706</v>
      </c>
      <c r="C1616" s="1" t="s">
        <v>0</v>
      </c>
      <c r="D1616" s="1">
        <v>0</v>
      </c>
      <c r="E1616" s="1" t="s">
        <v>92</v>
      </c>
      <c r="F1616" s="3"/>
    </row>
    <row r="1617" spans="1:6" ht="15.75" customHeight="1">
      <c r="A1617" s="1">
        <v>19929</v>
      </c>
      <c r="B1617" s="2">
        <v>45168.949560185189</v>
      </c>
      <c r="C1617" s="1" t="s">
        <v>0</v>
      </c>
      <c r="D1617" s="1">
        <v>25</v>
      </c>
      <c r="E1617" s="1" t="s">
        <v>28</v>
      </c>
      <c r="F1617" s="3"/>
    </row>
    <row r="1618" spans="1:6" ht="15.75" customHeight="1">
      <c r="A1618" s="1">
        <v>19931</v>
      </c>
      <c r="B1618" s="2">
        <v>45169.172662037039</v>
      </c>
      <c r="C1618" s="1" t="s">
        <v>0</v>
      </c>
      <c r="D1618" s="1">
        <v>25</v>
      </c>
      <c r="E1618" s="1" t="s">
        <v>28</v>
      </c>
      <c r="F1618" s="3"/>
    </row>
    <row r="1619" spans="1:6" ht="15.75" customHeight="1">
      <c r="A1619" s="1">
        <v>19930</v>
      </c>
      <c r="B1619" s="2">
        <v>45169.16847222222</v>
      </c>
      <c r="C1619" s="1" t="s">
        <v>0</v>
      </c>
      <c r="D1619" s="1">
        <v>25</v>
      </c>
      <c r="E1619" s="1" t="s">
        <v>28</v>
      </c>
      <c r="F1619" s="3"/>
    </row>
    <row r="1620" spans="1:6" ht="15.75" customHeight="1">
      <c r="A1620" s="1">
        <v>19931</v>
      </c>
      <c r="B1620" s="2">
        <v>45169.172662037039</v>
      </c>
      <c r="C1620" s="1" t="s">
        <v>0</v>
      </c>
      <c r="D1620" s="1">
        <v>25</v>
      </c>
      <c r="E1620" s="1" t="s">
        <v>28</v>
      </c>
      <c r="F1620" s="3"/>
    </row>
    <row r="1621" spans="1:6" ht="15.75" customHeight="1">
      <c r="F1621" s="3"/>
    </row>
    <row r="1622" spans="1:6" ht="15.75" customHeight="1">
      <c r="F1622" s="3"/>
    </row>
    <row r="1623" spans="1:6" ht="15.75" customHeight="1">
      <c r="F1623" s="3"/>
    </row>
    <row r="1624" spans="1:6" ht="15.75" customHeight="1">
      <c r="F1624" s="3"/>
    </row>
    <row r="1625" spans="1:6" ht="15.75" customHeight="1">
      <c r="F1625" s="3"/>
    </row>
    <row r="1626" spans="1:6" ht="15.75" customHeight="1">
      <c r="F1626" s="3"/>
    </row>
    <row r="1627" spans="1:6" ht="15.75" customHeight="1">
      <c r="F1627" s="3"/>
    </row>
    <row r="1628" spans="1:6" ht="15.75" customHeight="1">
      <c r="F1628" s="3"/>
    </row>
    <row r="1629" spans="1:6" ht="15.75" customHeight="1">
      <c r="F1629" s="3"/>
    </row>
    <row r="1630" spans="1:6" ht="15.75" customHeight="1">
      <c r="F1630" s="3"/>
    </row>
    <row r="1631" spans="1:6" ht="15.75" customHeight="1">
      <c r="F1631" s="3"/>
    </row>
    <row r="1632" spans="1:6" ht="15.75" customHeight="1">
      <c r="F1632" s="3"/>
    </row>
    <row r="1633" spans="6:6" ht="15.75" customHeight="1">
      <c r="F1633" s="3"/>
    </row>
    <row r="1634" spans="6:6" ht="15.75" customHeight="1">
      <c r="F1634" s="3"/>
    </row>
    <row r="1635" spans="6:6" ht="15.75" customHeight="1">
      <c r="F1635" s="3"/>
    </row>
    <row r="1636" spans="6:6" ht="15.75" customHeight="1">
      <c r="F1636" s="3"/>
    </row>
    <row r="1637" spans="6:6" ht="15.75" customHeight="1">
      <c r="F1637" s="3"/>
    </row>
    <row r="1638" spans="6:6" ht="15.75" customHeight="1">
      <c r="F1638" s="3"/>
    </row>
    <row r="1639" spans="6:6" ht="15.75" customHeight="1">
      <c r="F1639" s="3"/>
    </row>
    <row r="1640" spans="6:6" ht="15.75" customHeight="1">
      <c r="F1640" s="3"/>
    </row>
    <row r="1641" spans="6:6" ht="15.75" customHeight="1">
      <c r="F1641" s="3"/>
    </row>
    <row r="1642" spans="6:6" ht="15.75" customHeight="1">
      <c r="F1642" s="3"/>
    </row>
    <row r="1643" spans="6:6" ht="15.75" customHeight="1">
      <c r="F1643" s="3"/>
    </row>
    <row r="1644" spans="6:6" ht="15.75" customHeight="1">
      <c r="F1644" s="3"/>
    </row>
    <row r="1645" spans="6:6" ht="15.75" customHeight="1">
      <c r="F1645" s="3"/>
    </row>
    <row r="1646" spans="6:6" ht="15.75" customHeight="1">
      <c r="F1646" s="3"/>
    </row>
    <row r="1647" spans="6:6" ht="15.75" customHeight="1">
      <c r="F1647" s="3"/>
    </row>
    <row r="1648" spans="6:6" ht="15.75" customHeight="1">
      <c r="F1648" s="3"/>
    </row>
    <row r="1649" spans="6:6" ht="15.75" customHeight="1">
      <c r="F1649" s="3"/>
    </row>
    <row r="1650" spans="6:6" ht="15.75" customHeight="1">
      <c r="F1650" s="3"/>
    </row>
    <row r="1651" spans="6:6" ht="15.75" customHeight="1">
      <c r="F1651" s="3"/>
    </row>
    <row r="1652" spans="6:6" ht="15.75" customHeight="1">
      <c r="F1652" s="3"/>
    </row>
    <row r="1653" spans="6:6" ht="15.75" customHeight="1">
      <c r="F1653" s="3"/>
    </row>
    <row r="1654" spans="6:6" ht="15.75" customHeight="1">
      <c r="F1654" s="3"/>
    </row>
    <row r="1655" spans="6:6" ht="15.75" customHeight="1">
      <c r="F1655" s="3"/>
    </row>
    <row r="1656" spans="6:6" ht="15.75" customHeight="1">
      <c r="F1656" s="3"/>
    </row>
    <row r="1657" spans="6:6" ht="15.75" customHeight="1">
      <c r="F1657" s="3"/>
    </row>
    <row r="1658" spans="6:6" ht="15.75" customHeight="1">
      <c r="F1658" s="3"/>
    </row>
    <row r="1659" spans="6:6" ht="15.75" customHeight="1">
      <c r="F1659" s="3"/>
    </row>
    <row r="1660" spans="6:6" ht="15.75" customHeight="1">
      <c r="F1660" s="3"/>
    </row>
    <row r="1661" spans="6:6" ht="15.75" customHeight="1">
      <c r="F1661" s="3"/>
    </row>
    <row r="1662" spans="6:6" ht="15.75" customHeight="1">
      <c r="F1662" s="3"/>
    </row>
    <row r="1663" spans="6:6" ht="15.75" customHeight="1">
      <c r="F1663" s="3"/>
    </row>
    <row r="1664" spans="6:6" ht="15.75" customHeight="1">
      <c r="F1664" s="3"/>
    </row>
    <row r="1665" spans="6:6" ht="15.75" customHeight="1">
      <c r="F1665" s="3"/>
    </row>
    <row r="1666" spans="6:6" ht="15.75" customHeight="1">
      <c r="F1666" s="3"/>
    </row>
    <row r="1667" spans="6:6" ht="15.75" customHeight="1">
      <c r="F1667" s="3"/>
    </row>
    <row r="1668" spans="6:6" ht="15.75" customHeight="1">
      <c r="F1668" s="3"/>
    </row>
    <row r="1669" spans="6:6" ht="15.75" customHeight="1">
      <c r="F1669" s="3"/>
    </row>
    <row r="1670" spans="6:6" ht="15.75" customHeight="1">
      <c r="F1670" s="3"/>
    </row>
    <row r="1671" spans="6:6" ht="15.75" customHeight="1">
      <c r="F1671" s="3"/>
    </row>
    <row r="1672" spans="6:6" ht="15.75" customHeight="1">
      <c r="F1672" s="3"/>
    </row>
    <row r="1673" spans="6:6" ht="15.75" customHeight="1">
      <c r="F1673" s="3"/>
    </row>
    <row r="1674" spans="6:6" ht="15.75" customHeight="1">
      <c r="F1674" s="3"/>
    </row>
    <row r="1675" spans="6:6" ht="15.75" customHeight="1">
      <c r="F1675" s="3"/>
    </row>
    <row r="1676" spans="6:6" ht="15.75" customHeight="1">
      <c r="F1676" s="3"/>
    </row>
    <row r="1677" spans="6:6" ht="15.75" customHeight="1">
      <c r="F1677" s="3"/>
    </row>
    <row r="1678" spans="6:6" ht="15.75" customHeight="1">
      <c r="F1678" s="3"/>
    </row>
    <row r="1679" spans="6:6" ht="15.75" customHeight="1">
      <c r="F1679" s="3"/>
    </row>
    <row r="1680" spans="6:6" ht="15.75" customHeight="1">
      <c r="F1680" s="3"/>
    </row>
    <row r="1681" spans="6:6" ht="15.75" customHeight="1">
      <c r="F1681" s="3"/>
    </row>
    <row r="1682" spans="6:6" ht="15.75" customHeight="1">
      <c r="F1682" s="3"/>
    </row>
    <row r="1683" spans="6:6" ht="15.75" customHeight="1">
      <c r="F1683" s="3"/>
    </row>
    <row r="1684" spans="6:6" ht="15.75" customHeight="1">
      <c r="F1684" s="3"/>
    </row>
    <row r="1685" spans="6:6" ht="15.75" customHeight="1">
      <c r="F1685" s="3"/>
    </row>
    <row r="1686" spans="6:6" ht="15.75" customHeight="1">
      <c r="F1686" s="3"/>
    </row>
    <row r="1687" spans="6:6" ht="15.75" customHeight="1">
      <c r="F1687" s="3"/>
    </row>
    <row r="1688" spans="6:6" ht="15.75" customHeight="1">
      <c r="F1688" s="3"/>
    </row>
    <row r="1689" spans="6:6" ht="15.75" customHeight="1">
      <c r="F1689" s="3"/>
    </row>
    <row r="1690" spans="6:6" ht="15.75" customHeight="1">
      <c r="F1690" s="3"/>
    </row>
    <row r="1691" spans="6:6" ht="15.75" customHeight="1">
      <c r="F1691" s="3"/>
    </row>
    <row r="1692" spans="6:6" ht="15.75" customHeight="1">
      <c r="F1692" s="3"/>
    </row>
    <row r="1693" spans="6:6" ht="15.75" customHeight="1">
      <c r="F1693" s="3"/>
    </row>
    <row r="1694" spans="6:6" ht="15.75" customHeight="1">
      <c r="F1694" s="3"/>
    </row>
    <row r="1695" spans="6:6" ht="15.75" customHeight="1">
      <c r="F1695" s="3"/>
    </row>
    <row r="1696" spans="6:6" ht="15.75" customHeight="1">
      <c r="F1696" s="3"/>
    </row>
    <row r="1697" spans="6:6" ht="15.75" customHeight="1">
      <c r="F1697" s="3"/>
    </row>
    <row r="1698" spans="6:6" ht="15.75" customHeight="1">
      <c r="F1698" s="3"/>
    </row>
    <row r="1699" spans="6:6" ht="15.75" customHeight="1">
      <c r="F1699" s="3"/>
    </row>
    <row r="1700" spans="6:6" ht="15.75" customHeight="1">
      <c r="F1700" s="3"/>
    </row>
    <row r="1701" spans="6:6" ht="15.75" customHeight="1">
      <c r="F1701" s="3"/>
    </row>
    <row r="1702" spans="6:6" ht="15.75" customHeight="1">
      <c r="F1702" s="3"/>
    </row>
    <row r="1703" spans="6:6" ht="15.75" customHeight="1">
      <c r="F1703" s="3"/>
    </row>
    <row r="1704" spans="6:6" ht="15.75" customHeight="1">
      <c r="F1704" s="3"/>
    </row>
    <row r="1705" spans="6:6" ht="15.75" customHeight="1">
      <c r="F1705" s="3"/>
    </row>
    <row r="1706" spans="6:6" ht="15.75" customHeight="1">
      <c r="F1706" s="3"/>
    </row>
    <row r="1707" spans="6:6" ht="15.75" customHeight="1">
      <c r="F1707" s="3"/>
    </row>
    <row r="1708" spans="6:6" ht="15.75" customHeight="1">
      <c r="F1708" s="3"/>
    </row>
    <row r="1709" spans="6:6" ht="15.75" customHeight="1">
      <c r="F1709" s="3"/>
    </row>
    <row r="1710" spans="6:6" ht="15.75" customHeight="1">
      <c r="F1710" s="3"/>
    </row>
    <row r="1711" spans="6:6" ht="15.75" customHeight="1">
      <c r="F1711" s="3"/>
    </row>
    <row r="1712" spans="6:6" ht="15.75" customHeight="1">
      <c r="F1712" s="3"/>
    </row>
    <row r="1713" spans="6:6" ht="15.75" customHeight="1">
      <c r="F1713" s="3"/>
    </row>
    <row r="1714" spans="6:6" ht="15.75" customHeight="1">
      <c r="F1714" s="3"/>
    </row>
    <row r="1715" spans="6:6" ht="15.75" customHeight="1">
      <c r="F1715" s="3"/>
    </row>
    <row r="1716" spans="6:6" ht="15.75" customHeight="1">
      <c r="F1716" s="3"/>
    </row>
    <row r="1717" spans="6:6" ht="15.75" customHeight="1">
      <c r="F1717" s="3"/>
    </row>
    <row r="1718" spans="6:6" ht="15.75" customHeight="1">
      <c r="F1718" s="3"/>
    </row>
    <row r="1719" spans="6:6" ht="15.75" customHeight="1">
      <c r="F1719" s="3"/>
    </row>
    <row r="1720" spans="6:6" ht="15.75" customHeight="1">
      <c r="F1720" s="3"/>
    </row>
    <row r="1721" spans="6:6" ht="15.75" customHeight="1">
      <c r="F1721" s="3"/>
    </row>
    <row r="1722" spans="6:6" ht="15.75" customHeight="1">
      <c r="F1722" s="3"/>
    </row>
    <row r="1723" spans="6:6" ht="15.75" customHeight="1">
      <c r="F1723" s="3"/>
    </row>
    <row r="1724" spans="6:6" ht="15.75" customHeight="1">
      <c r="F1724" s="3"/>
    </row>
    <row r="1725" spans="6:6" ht="15.75" customHeight="1">
      <c r="F1725" s="3"/>
    </row>
    <row r="1726" spans="6:6" ht="15.75" customHeight="1">
      <c r="F1726" s="3"/>
    </row>
    <row r="1727" spans="6:6" ht="15.75" customHeight="1">
      <c r="F1727" s="3"/>
    </row>
    <row r="1728" spans="6:6" ht="15.75" customHeight="1">
      <c r="F1728" s="3"/>
    </row>
    <row r="1729" spans="6:6" ht="15.75" customHeight="1">
      <c r="F1729" s="3"/>
    </row>
    <row r="1730" spans="6:6" ht="15.75" customHeight="1">
      <c r="F1730" s="3"/>
    </row>
    <row r="1731" spans="6:6" ht="15.75" customHeight="1">
      <c r="F1731" s="3"/>
    </row>
    <row r="1732" spans="6:6" ht="15.75" customHeight="1">
      <c r="F1732" s="3"/>
    </row>
    <row r="1733" spans="6:6" ht="15.75" customHeight="1">
      <c r="F1733" s="3"/>
    </row>
    <row r="1734" spans="6:6" ht="15.75" customHeight="1">
      <c r="F1734" s="3"/>
    </row>
    <row r="1735" spans="6:6" ht="15.75" customHeight="1">
      <c r="F1735" s="3"/>
    </row>
    <row r="1736" spans="6:6" ht="15.75" customHeight="1">
      <c r="F1736" s="3"/>
    </row>
    <row r="1737" spans="6:6" ht="15.75" customHeight="1">
      <c r="F1737" s="3"/>
    </row>
    <row r="1738" spans="6:6" ht="15.75" customHeight="1">
      <c r="F1738" s="3"/>
    </row>
    <row r="1739" spans="6:6" ht="15.75" customHeight="1">
      <c r="F1739" s="3"/>
    </row>
    <row r="1740" spans="6:6" ht="15.75" customHeight="1">
      <c r="F1740" s="3"/>
    </row>
    <row r="1741" spans="6:6" ht="15.75" customHeight="1">
      <c r="F1741" s="3"/>
    </row>
    <row r="1742" spans="6:6" ht="15.75" customHeight="1">
      <c r="F1742" s="3"/>
    </row>
    <row r="1743" spans="6:6" ht="15.75" customHeight="1">
      <c r="F1743" s="3"/>
    </row>
    <row r="1744" spans="6:6" ht="15.75" customHeight="1">
      <c r="F1744" s="3"/>
    </row>
    <row r="1745" spans="6:6" ht="15.75" customHeight="1">
      <c r="F1745" s="3"/>
    </row>
    <row r="1746" spans="6:6" ht="15.75" customHeight="1">
      <c r="F1746" s="3"/>
    </row>
    <row r="1747" spans="6:6" ht="15.75" customHeight="1">
      <c r="F1747" s="3"/>
    </row>
    <row r="1748" spans="6:6" ht="15.75" customHeight="1">
      <c r="F1748" s="3"/>
    </row>
    <row r="1749" spans="6:6" ht="15.75" customHeight="1">
      <c r="F1749" s="3"/>
    </row>
    <row r="1750" spans="6:6" ht="15.75" customHeight="1">
      <c r="F1750" s="3"/>
    </row>
    <row r="1751" spans="6:6" ht="15.75" customHeight="1">
      <c r="F1751" s="3"/>
    </row>
    <row r="1752" spans="6:6" ht="15.75" customHeight="1">
      <c r="F1752" s="3"/>
    </row>
    <row r="1753" spans="6:6" ht="15.75" customHeight="1">
      <c r="F1753" s="3"/>
    </row>
    <row r="1754" spans="6:6" ht="15.75" customHeight="1">
      <c r="F1754" s="3"/>
    </row>
    <row r="1755" spans="6:6" ht="15.75" customHeight="1">
      <c r="F1755" s="3"/>
    </row>
    <row r="1756" spans="6:6" ht="15.75" customHeight="1">
      <c r="F1756" s="3"/>
    </row>
    <row r="1757" spans="6:6" ht="15.75" customHeight="1">
      <c r="F1757" s="3"/>
    </row>
    <row r="1758" spans="6:6" ht="15.75" customHeight="1">
      <c r="F1758" s="3"/>
    </row>
    <row r="1759" spans="6:6" ht="15.75" customHeight="1">
      <c r="F1759" s="3"/>
    </row>
    <row r="1760" spans="6:6" ht="15.75" customHeight="1">
      <c r="F1760" s="3"/>
    </row>
    <row r="1761" spans="6:6" ht="15.75" customHeight="1">
      <c r="F1761" s="3"/>
    </row>
    <row r="1762" spans="6:6" ht="15.75" customHeight="1">
      <c r="F1762" s="3"/>
    </row>
    <row r="1763" spans="6:6" ht="15.75" customHeight="1">
      <c r="F1763" s="3"/>
    </row>
    <row r="1764" spans="6:6" ht="15.75" customHeight="1">
      <c r="F1764" s="3"/>
    </row>
    <row r="1765" spans="6:6" ht="15.75" customHeight="1">
      <c r="F1765" s="3"/>
    </row>
    <row r="1766" spans="6:6" ht="15.75" customHeight="1">
      <c r="F1766" s="3"/>
    </row>
    <row r="1767" spans="6:6" ht="15.75" customHeight="1">
      <c r="F1767" s="3"/>
    </row>
    <row r="1768" spans="6:6" ht="15.75" customHeight="1">
      <c r="F1768" s="3"/>
    </row>
    <row r="1769" spans="6:6" ht="15.75" customHeight="1">
      <c r="F1769" s="3"/>
    </row>
    <row r="1770" spans="6:6" ht="15.75" customHeight="1">
      <c r="F1770" s="3"/>
    </row>
    <row r="1771" spans="6:6" ht="15.75" customHeight="1">
      <c r="F1771" s="3"/>
    </row>
    <row r="1772" spans="6:6" ht="15.75" customHeight="1">
      <c r="F1772" s="3"/>
    </row>
    <row r="1773" spans="6:6" ht="15.75" customHeight="1">
      <c r="F1773" s="3"/>
    </row>
    <row r="1774" spans="6:6" ht="15.75" customHeight="1">
      <c r="F1774" s="3"/>
    </row>
    <row r="1775" spans="6:6" ht="15.75" customHeight="1">
      <c r="F1775" s="3"/>
    </row>
    <row r="1776" spans="6:6" ht="15.75" customHeight="1">
      <c r="F1776" s="3"/>
    </row>
    <row r="1777" spans="6:6" ht="15.75" customHeight="1">
      <c r="F1777" s="3"/>
    </row>
    <row r="1778" spans="6:6" ht="15.75" customHeight="1">
      <c r="F1778" s="3"/>
    </row>
    <row r="1779" spans="6:6" ht="15.75" customHeight="1">
      <c r="F1779" s="3"/>
    </row>
    <row r="1780" spans="6:6" ht="15.75" customHeight="1">
      <c r="F1780" s="3"/>
    </row>
    <row r="1781" spans="6:6" ht="15.75" customHeight="1">
      <c r="F1781" s="3"/>
    </row>
    <row r="1782" spans="6:6" ht="15.75" customHeight="1">
      <c r="F1782" s="3"/>
    </row>
    <row r="1783" spans="6:6" ht="15.75" customHeight="1">
      <c r="F1783" s="3"/>
    </row>
    <row r="1784" spans="6:6" ht="15.75" customHeight="1">
      <c r="F1784" s="3"/>
    </row>
    <row r="1785" spans="6:6" ht="15.75" customHeight="1">
      <c r="F1785" s="3"/>
    </row>
    <row r="1786" spans="6:6" ht="15.75" customHeight="1">
      <c r="F1786" s="3"/>
    </row>
    <row r="1787" spans="6:6" ht="15.75" customHeight="1">
      <c r="F1787" s="3"/>
    </row>
    <row r="1788" spans="6:6" ht="15.75" customHeight="1">
      <c r="F1788" s="3"/>
    </row>
    <row r="1789" spans="6:6" ht="15.75" customHeight="1">
      <c r="F1789" s="3"/>
    </row>
    <row r="1790" spans="6:6" ht="15.75" customHeight="1">
      <c r="F1790" s="3"/>
    </row>
    <row r="1791" spans="6:6" ht="15.75" customHeight="1">
      <c r="F1791" s="3"/>
    </row>
    <row r="1792" spans="6:6" ht="15.75" customHeight="1">
      <c r="F1792" s="3"/>
    </row>
    <row r="1793" spans="6:6" ht="15.75" customHeight="1">
      <c r="F1793" s="3"/>
    </row>
    <row r="1794" spans="6:6" ht="15.75" customHeight="1">
      <c r="F1794" s="3"/>
    </row>
    <row r="1795" spans="6:6" ht="15.75" customHeight="1">
      <c r="F1795" s="3"/>
    </row>
    <row r="1796" spans="6:6" ht="15.75" customHeight="1">
      <c r="F1796" s="3"/>
    </row>
    <row r="1797" spans="6:6" ht="15.75" customHeight="1">
      <c r="F1797" s="3"/>
    </row>
    <row r="1798" spans="6:6" ht="15.75" customHeight="1">
      <c r="F1798" s="3"/>
    </row>
    <row r="1799" spans="6:6" ht="15.75" customHeight="1">
      <c r="F1799" s="3"/>
    </row>
    <row r="1800" spans="6:6" ht="15.75" customHeight="1">
      <c r="F1800" s="3"/>
    </row>
    <row r="1801" spans="6:6" ht="15.75" customHeight="1">
      <c r="F1801" s="3"/>
    </row>
    <row r="1802" spans="6:6" ht="15.75" customHeight="1">
      <c r="F1802" s="3"/>
    </row>
    <row r="1803" spans="6:6" ht="15.75" customHeight="1">
      <c r="F1803" s="3"/>
    </row>
    <row r="1804" spans="6:6" ht="15.75" customHeight="1">
      <c r="F1804" s="3"/>
    </row>
    <row r="1805" spans="6:6" ht="15.75" customHeight="1">
      <c r="F1805" s="3"/>
    </row>
    <row r="1806" spans="6:6" ht="15.75" customHeight="1">
      <c r="F1806" s="3"/>
    </row>
    <row r="1807" spans="6:6" ht="15.75" customHeight="1">
      <c r="F1807" s="3"/>
    </row>
    <row r="1808" spans="6:6" ht="15.75" customHeight="1">
      <c r="F1808" s="3"/>
    </row>
    <row r="1809" spans="6:6" ht="15.75" customHeight="1">
      <c r="F1809" s="3"/>
    </row>
    <row r="1810" spans="6:6" ht="15.75" customHeight="1">
      <c r="F1810" s="3"/>
    </row>
    <row r="1811" spans="6:6" ht="15.75" customHeight="1">
      <c r="F1811" s="3"/>
    </row>
    <row r="1812" spans="6:6" ht="15.75" customHeight="1">
      <c r="F1812" s="3"/>
    </row>
    <row r="1813" spans="6:6" ht="15.75" customHeight="1">
      <c r="F1813" s="3"/>
    </row>
    <row r="1814" spans="6:6" ht="15.75" customHeight="1">
      <c r="F1814" s="3"/>
    </row>
    <row r="1815" spans="6:6" ht="15.75" customHeight="1">
      <c r="F1815" s="3"/>
    </row>
    <row r="1816" spans="6:6" ht="15.75" customHeight="1">
      <c r="F1816" s="3"/>
    </row>
    <row r="1817" spans="6:6" ht="15.75" customHeight="1">
      <c r="F1817" s="3"/>
    </row>
    <row r="1818" spans="6:6" ht="15.75" customHeight="1">
      <c r="F1818" s="3"/>
    </row>
    <row r="1819" spans="6:6" ht="15.75" customHeight="1">
      <c r="F1819" s="3"/>
    </row>
    <row r="1820" spans="6:6" ht="15.75" customHeight="1">
      <c r="F1820" s="3"/>
    </row>
    <row r="1821" spans="6:6" ht="15.75" customHeight="1"/>
    <row r="1822" spans="6:6" ht="15.75" customHeight="1"/>
    <row r="1823" spans="6:6" ht="15.75" customHeight="1"/>
    <row r="1824" spans="6:6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  <row r="1991" ht="15.75" customHeight="1"/>
    <row r="1992" ht="15.75" customHeight="1"/>
    <row r="1993" ht="15.75" customHeight="1"/>
    <row r="1994" ht="15.75" customHeight="1"/>
    <row r="1995" ht="15.75" customHeight="1"/>
    <row r="1996" ht="15.75" customHeight="1"/>
    <row r="1997" ht="15.75" customHeight="1"/>
    <row r="1998" ht="15.75" customHeight="1"/>
    <row r="1999" ht="15.75" customHeight="1"/>
    <row r="2000" ht="15.75" customHeight="1"/>
    <row r="2001" ht="15.75" customHeight="1"/>
    <row r="2002" ht="15.75" customHeight="1"/>
    <row r="2003" ht="15.75" customHeight="1"/>
    <row r="2004" ht="15.75" customHeight="1"/>
    <row r="2005" ht="15.75" customHeight="1"/>
    <row r="2006" ht="15.75" customHeight="1"/>
    <row r="2007" ht="15.75" customHeight="1"/>
    <row r="2008" ht="15.75" customHeight="1"/>
    <row r="2009" ht="15.75" customHeight="1"/>
    <row r="2010" ht="15.75" customHeight="1"/>
    <row r="2011" ht="15.75" customHeight="1"/>
    <row r="2012" ht="15.75" customHeight="1"/>
    <row r="2013" ht="15.75" customHeight="1"/>
    <row r="2014" ht="15.75" customHeight="1"/>
    <row r="2015" ht="15.75" customHeight="1"/>
    <row r="2016" ht="15.75" customHeight="1"/>
    <row r="2017" ht="15.75" customHeight="1"/>
    <row r="2018" ht="15.75" customHeight="1"/>
    <row r="2019" ht="15.75" customHeight="1"/>
    <row r="2020" ht="15.75" customHeight="1"/>
    <row r="2021" ht="15.75" customHeight="1"/>
    <row r="2022" ht="15.75" customHeight="1"/>
    <row r="2023" ht="15.75" customHeight="1"/>
    <row r="2024" ht="15.75" customHeight="1"/>
    <row r="2025" ht="15.75" customHeight="1"/>
    <row r="2026" ht="15.75" customHeight="1"/>
    <row r="2027" ht="15.75" customHeight="1"/>
    <row r="2028" ht="15.75" customHeight="1"/>
    <row r="2029" ht="15.75" customHeight="1"/>
    <row r="2030" ht="15.75" customHeight="1"/>
    <row r="2031" ht="15.75" customHeight="1"/>
    <row r="2032" ht="15.75" customHeight="1"/>
    <row r="2033" ht="15.75" customHeight="1"/>
    <row r="2034" ht="15.75" customHeight="1"/>
    <row r="2035" ht="15.75" customHeight="1"/>
    <row r="2036" ht="15.75" customHeight="1"/>
    <row r="2037" ht="15.75" customHeight="1"/>
    <row r="2038" ht="15.75" customHeight="1"/>
    <row r="2039" ht="15.75" customHeight="1"/>
    <row r="2040" ht="15.75" customHeight="1"/>
    <row r="2041" ht="15.75" customHeight="1"/>
    <row r="2042" ht="15.75" customHeight="1"/>
    <row r="2043" ht="15.75" customHeight="1"/>
    <row r="2044" ht="15.75" customHeight="1"/>
    <row r="2045" ht="15.75" customHeight="1"/>
    <row r="2046" ht="15.75" customHeight="1"/>
    <row r="2047" ht="15.75" customHeight="1"/>
    <row r="2048" ht="15.75" customHeight="1"/>
    <row r="2049" ht="15.75" customHeight="1"/>
    <row r="2050" ht="15.75" customHeight="1"/>
    <row r="2051" ht="15.75" customHeight="1"/>
    <row r="2052" ht="15.75" customHeight="1"/>
    <row r="2053" ht="15.75" customHeight="1"/>
    <row r="2054" ht="15.75" customHeight="1"/>
    <row r="2055" ht="15.75" customHeight="1"/>
    <row r="2056" ht="15.75" customHeight="1"/>
    <row r="2057" ht="15.75" customHeight="1"/>
    <row r="2058" ht="15.75" customHeight="1"/>
    <row r="2059" ht="15.75" customHeight="1"/>
    <row r="2060" ht="15.75" customHeight="1"/>
    <row r="2061" ht="15.75" customHeight="1"/>
    <row r="2062" ht="15.75" customHeight="1"/>
    <row r="2063" ht="15.75" customHeight="1"/>
    <row r="2064" ht="15.75" customHeight="1"/>
    <row r="2065" ht="15.75" customHeight="1"/>
    <row r="2066" ht="15.75" customHeight="1"/>
    <row r="2067" ht="15.75" customHeight="1"/>
    <row r="2068" ht="15.75" customHeight="1"/>
    <row r="2069" ht="15.75" customHeight="1"/>
    <row r="2070" ht="15.75" customHeight="1"/>
    <row r="2071" ht="15.75" customHeight="1"/>
    <row r="2072" ht="15.75" customHeight="1"/>
    <row r="2073" ht="15.75" customHeight="1"/>
    <row r="2074" ht="15.75" customHeight="1"/>
    <row r="2075" ht="15.75" customHeight="1"/>
    <row r="2076" ht="15.75" customHeight="1"/>
    <row r="2077" ht="15.75" customHeight="1"/>
    <row r="2078" ht="15.75" customHeight="1"/>
    <row r="2079" ht="15.75" customHeight="1"/>
    <row r="2080" ht="15.75" customHeight="1"/>
    <row r="2081" ht="15.75" customHeight="1"/>
    <row r="2082" ht="15.75" customHeight="1"/>
    <row r="2083" ht="15.75" customHeight="1"/>
    <row r="2084" ht="15.75" customHeight="1"/>
    <row r="2085" ht="15.75" customHeight="1"/>
    <row r="2086" ht="15.75" customHeight="1"/>
    <row r="2087" ht="15.75" customHeight="1"/>
    <row r="2088" ht="15.75" customHeight="1"/>
    <row r="2089" ht="15.75" customHeight="1"/>
    <row r="2090" ht="15.75" customHeight="1"/>
    <row r="2091" ht="15.75" customHeight="1"/>
    <row r="2092" ht="15.75" customHeight="1"/>
    <row r="2093" ht="15.75" customHeight="1"/>
    <row r="2094" ht="15.75" customHeight="1"/>
    <row r="2095" ht="15.75" customHeight="1"/>
    <row r="2096" ht="15.75" customHeight="1"/>
    <row r="2097" ht="15.75" customHeight="1"/>
    <row r="2098" ht="15.75" customHeight="1"/>
    <row r="2099" ht="15.75" customHeight="1"/>
    <row r="2100" ht="15.75" customHeight="1"/>
    <row r="2101" ht="15.75" customHeight="1"/>
    <row r="2102" ht="15.75" customHeight="1"/>
    <row r="2103" ht="15.75" customHeight="1"/>
    <row r="2104" ht="15.75" customHeight="1"/>
    <row r="2105" ht="15.75" customHeight="1"/>
    <row r="2106" ht="15.75" customHeight="1"/>
    <row r="2107" ht="15.75" customHeight="1"/>
    <row r="2108" ht="15.75" customHeight="1"/>
    <row r="2109" ht="15.75" customHeight="1"/>
    <row r="2110" ht="15.75" customHeight="1"/>
    <row r="2111" ht="15.75" customHeight="1"/>
    <row r="2112" ht="15.75" customHeight="1"/>
    <row r="2113" ht="15.75" customHeight="1"/>
    <row r="2114" ht="15.75" customHeight="1"/>
    <row r="2115" ht="15.75" customHeight="1"/>
    <row r="2116" ht="15.75" customHeight="1"/>
    <row r="2117" ht="15.75" customHeight="1"/>
    <row r="2118" ht="15.75" customHeight="1"/>
    <row r="2119" ht="15.75" customHeight="1"/>
    <row r="2120" ht="15.75" customHeight="1"/>
    <row r="2121" ht="15.75" customHeight="1"/>
    <row r="2122" ht="15.75" customHeight="1"/>
    <row r="2123" ht="15.75" customHeight="1"/>
    <row r="2124" ht="15.75" customHeight="1"/>
    <row r="2125" ht="15.75" customHeight="1"/>
    <row r="2126" ht="15.75" customHeight="1"/>
    <row r="2127" ht="15.75" customHeight="1"/>
    <row r="2128" ht="15.75" customHeight="1"/>
    <row r="2129" ht="15.75" customHeight="1"/>
    <row r="2130" ht="15.75" customHeight="1"/>
    <row r="2131" ht="15.75" customHeight="1"/>
    <row r="2132" ht="15.75" customHeight="1"/>
    <row r="2133" ht="15.75" customHeight="1"/>
    <row r="2134" ht="15.75" customHeight="1"/>
    <row r="2135" ht="15.75" customHeight="1"/>
    <row r="2136" ht="15.75" customHeight="1"/>
    <row r="2137" ht="15.75" customHeight="1"/>
    <row r="2138" ht="15.75" customHeight="1"/>
    <row r="2139" ht="15.75" customHeight="1"/>
    <row r="2140" ht="15.75" customHeight="1"/>
    <row r="2141" ht="15.75" customHeight="1"/>
    <row r="2142" ht="15.75" customHeight="1"/>
    <row r="2143" ht="15.75" customHeight="1"/>
    <row r="2144" ht="15.75" customHeight="1"/>
    <row r="2145" ht="15.75" customHeight="1"/>
    <row r="2146" ht="15.75" customHeight="1"/>
    <row r="2147" ht="15.75" customHeight="1"/>
    <row r="2148" ht="15.75" customHeight="1"/>
    <row r="2149" ht="15.75" customHeight="1"/>
    <row r="2150" ht="15.75" customHeight="1"/>
    <row r="2151" ht="15.75" customHeight="1"/>
    <row r="2152" ht="15.75" customHeight="1"/>
    <row r="2153" ht="15.75" customHeight="1"/>
    <row r="2154" ht="15.75" customHeight="1"/>
    <row r="2155" ht="15.75" customHeight="1"/>
    <row r="2156" ht="15.75" customHeight="1"/>
    <row r="2157" ht="15.75" customHeight="1"/>
    <row r="2158" ht="15.75" customHeight="1"/>
    <row r="2159" ht="15.75" customHeight="1"/>
    <row r="2160" ht="15.75" customHeight="1"/>
    <row r="2161" ht="15.75" customHeight="1"/>
    <row r="2162" ht="15.75" customHeight="1"/>
    <row r="2163" ht="15.75" customHeight="1"/>
    <row r="2164" ht="15.75" customHeight="1"/>
    <row r="2165" ht="15.75" customHeight="1"/>
    <row r="2166" ht="15.75" customHeight="1"/>
    <row r="2167" ht="15.75" customHeight="1"/>
    <row r="2168" ht="15.75" customHeight="1"/>
    <row r="2169" ht="15.75" customHeight="1"/>
    <row r="2170" ht="15.75" customHeight="1"/>
    <row r="2171" ht="15.75" customHeight="1"/>
    <row r="2172" ht="15.75" customHeight="1"/>
    <row r="2173" ht="15.75" customHeight="1"/>
    <row r="2174" ht="15.75" customHeight="1"/>
    <row r="2175" ht="15.75" customHeight="1"/>
    <row r="2176" ht="15.75" customHeight="1"/>
    <row r="2177" ht="15.75" customHeight="1"/>
    <row r="2178" ht="15.75" customHeight="1"/>
    <row r="2179" ht="15.75" customHeight="1"/>
    <row r="2180" ht="15.75" customHeight="1"/>
    <row r="2181" ht="15.75" customHeight="1"/>
    <row r="2182" ht="15.75" customHeight="1"/>
    <row r="2183" ht="15.75" customHeight="1"/>
    <row r="2184" ht="15.75" customHeight="1"/>
    <row r="2185" ht="15.75" customHeight="1"/>
    <row r="2186" ht="15.75" customHeight="1"/>
    <row r="2187" ht="15.75" customHeight="1"/>
    <row r="2188" ht="15.75" customHeight="1"/>
    <row r="2189" ht="15.75" customHeight="1"/>
    <row r="2190" ht="15.75" customHeight="1"/>
    <row r="2191" ht="15.75" customHeight="1"/>
    <row r="2192" ht="15.75" customHeight="1"/>
    <row r="2193" ht="15.75" customHeight="1"/>
    <row r="2194" ht="15.75" customHeight="1"/>
    <row r="2195" ht="15.75" customHeight="1"/>
    <row r="2196" ht="15.75" customHeight="1"/>
    <row r="2197" ht="15.75" customHeight="1"/>
    <row r="2198" ht="15.75" customHeight="1"/>
    <row r="2199" ht="15.75" customHeight="1"/>
    <row r="2200" ht="15.75" customHeight="1"/>
    <row r="2201" ht="15.75" customHeight="1"/>
    <row r="2202" ht="15.75" customHeight="1"/>
    <row r="2203" ht="15.75" customHeight="1"/>
    <row r="2204" ht="15.75" customHeight="1"/>
    <row r="2205" ht="15.75" customHeight="1"/>
    <row r="2206" ht="15.75" customHeight="1"/>
    <row r="2207" ht="15.75" customHeight="1"/>
    <row r="2208" ht="15.75" customHeight="1"/>
    <row r="2209" ht="15.75" customHeight="1"/>
    <row r="2210" ht="15.75" customHeight="1"/>
    <row r="2211" ht="15.75" customHeight="1"/>
    <row r="2212" ht="15.75" customHeight="1"/>
    <row r="2213" ht="15.75" customHeight="1"/>
    <row r="2214" ht="15.75" customHeight="1"/>
    <row r="2215" ht="15.75" customHeight="1"/>
    <row r="2216" ht="15.75" customHeight="1"/>
    <row r="2217" ht="15.75" customHeight="1"/>
    <row r="2218" ht="15.75" customHeight="1"/>
    <row r="2219" ht="15.75" customHeight="1"/>
    <row r="2220" ht="15.75" customHeight="1"/>
    <row r="2221" ht="15.75" customHeight="1"/>
    <row r="2222" ht="15.75" customHeight="1"/>
    <row r="2223" ht="15.75" customHeight="1"/>
    <row r="2224" ht="15.75" customHeight="1"/>
    <row r="2225" ht="15.75" customHeight="1"/>
    <row r="2226" ht="15.75" customHeight="1"/>
    <row r="2227" ht="15.75" customHeight="1"/>
    <row r="2228" ht="15.75" customHeight="1"/>
    <row r="2229" ht="15.75" customHeight="1"/>
    <row r="2230" ht="15.75" customHeight="1"/>
    <row r="2231" ht="15.75" customHeight="1"/>
    <row r="2232" ht="15.75" customHeight="1"/>
    <row r="2233" ht="15.75" customHeight="1"/>
    <row r="2234" ht="15.75" customHeight="1"/>
    <row r="2235" ht="15.75" customHeight="1"/>
    <row r="2236" ht="15.75" customHeight="1"/>
    <row r="2237" ht="15.75" customHeight="1"/>
    <row r="2238" ht="15.75" customHeight="1"/>
    <row r="2239" ht="15.75" customHeight="1"/>
    <row r="2240" ht="15.75" customHeight="1"/>
    <row r="2241" ht="15.75" customHeight="1"/>
    <row r="2242" ht="15.75" customHeight="1"/>
    <row r="2243" ht="15.75" customHeight="1"/>
    <row r="2244" ht="15.75" customHeight="1"/>
    <row r="2245" ht="15.75" customHeight="1"/>
    <row r="2246" ht="15.75" customHeight="1"/>
    <row r="2247" ht="15.75" customHeight="1"/>
    <row r="2248" ht="15.75" customHeight="1"/>
    <row r="2249" ht="15.75" customHeight="1"/>
    <row r="2250" ht="15.75" customHeight="1"/>
    <row r="2251" ht="15.75" customHeight="1"/>
    <row r="2252" ht="15.75" customHeight="1"/>
    <row r="2253" ht="15.75" customHeight="1"/>
    <row r="2254" ht="15.75" customHeight="1"/>
    <row r="2255" ht="15.75" customHeight="1"/>
    <row r="2256" ht="15.75" customHeight="1"/>
    <row r="2257" ht="15.75" customHeight="1"/>
    <row r="2258" ht="15.75" customHeight="1"/>
    <row r="2259" ht="15.75" customHeight="1"/>
    <row r="2260" ht="15.75" customHeight="1"/>
    <row r="2261" ht="15.75" customHeight="1"/>
    <row r="2262" ht="15.75" customHeight="1"/>
    <row r="2263" ht="15.75" customHeight="1"/>
    <row r="2264" ht="15.75" customHeight="1"/>
    <row r="2265" ht="15.75" customHeight="1"/>
    <row r="2266" ht="15.75" customHeight="1"/>
    <row r="2267" ht="15.75" customHeight="1"/>
    <row r="2268" ht="15.75" customHeight="1"/>
    <row r="2269" ht="15.75" customHeight="1"/>
    <row r="2270" ht="15.75" customHeight="1"/>
    <row r="2271" ht="15.75" customHeight="1"/>
    <row r="2272" ht="15.75" customHeight="1"/>
    <row r="2273" ht="15.75" customHeight="1"/>
    <row r="2274" ht="15.75" customHeight="1"/>
    <row r="2275" ht="15.75" customHeight="1"/>
    <row r="2276" ht="15.75" customHeight="1"/>
    <row r="2277" ht="15.75" customHeight="1"/>
    <row r="2278" ht="15.75" customHeight="1"/>
    <row r="2279" ht="15.75" customHeight="1"/>
    <row r="2280" ht="15.75" customHeight="1"/>
    <row r="2281" ht="15.75" customHeight="1"/>
    <row r="2282" ht="15.75" customHeight="1"/>
    <row r="2283" ht="15.75" customHeight="1"/>
    <row r="2284" ht="15.75" customHeight="1"/>
    <row r="2285" ht="15.75" customHeight="1"/>
    <row r="2286" ht="15.75" customHeight="1"/>
    <row r="2287" ht="15.75" customHeight="1"/>
    <row r="2288" ht="15.75" customHeight="1"/>
    <row r="2289" ht="15.75" customHeight="1"/>
    <row r="2290" ht="15.75" customHeight="1"/>
    <row r="2291" ht="15.75" customHeight="1"/>
    <row r="2292" ht="15.75" customHeight="1"/>
    <row r="2293" ht="15.75" customHeight="1"/>
    <row r="2294" ht="15.75" customHeight="1"/>
    <row r="2295" ht="15.75" customHeight="1"/>
    <row r="2296" ht="15.75" customHeight="1"/>
    <row r="2297" ht="15.75" customHeight="1"/>
    <row r="2298" ht="15.75" customHeight="1"/>
    <row r="2299" ht="15.75" customHeight="1"/>
    <row r="2300" ht="15.75" customHeight="1"/>
    <row r="2301" ht="15.75" customHeight="1"/>
    <row r="2302" ht="15.75" customHeight="1"/>
    <row r="2303" ht="15.75" customHeight="1"/>
    <row r="2304" ht="15.75" customHeight="1"/>
    <row r="2305" ht="15.75" customHeight="1"/>
    <row r="2306" ht="15.75" customHeight="1"/>
    <row r="2307" ht="15.75" customHeight="1"/>
    <row r="2308" ht="15.75" customHeight="1"/>
    <row r="2309" ht="15.75" customHeight="1"/>
    <row r="2310" ht="15.75" customHeight="1"/>
    <row r="2311" ht="15.75" customHeight="1"/>
    <row r="2312" ht="15.75" customHeight="1"/>
    <row r="2313" ht="15.75" customHeight="1"/>
    <row r="2314" ht="15.75" customHeight="1"/>
    <row r="2315" ht="15.75" customHeight="1"/>
    <row r="2316" ht="15.75" customHeight="1"/>
    <row r="2317" ht="15.75" customHeight="1"/>
    <row r="2318" ht="15.75" customHeight="1"/>
    <row r="2319" ht="15.75" customHeight="1"/>
    <row r="2320" ht="15.75" customHeight="1"/>
    <row r="2321" ht="15.75" customHeight="1"/>
    <row r="2322" ht="15.75" customHeight="1"/>
    <row r="2323" ht="15.75" customHeight="1"/>
    <row r="2324" ht="15.75" customHeight="1"/>
    <row r="2325" ht="15.75" customHeight="1"/>
    <row r="2326" ht="15.75" customHeight="1"/>
    <row r="2327" ht="15.75" customHeight="1"/>
    <row r="2328" ht="15.75" customHeight="1"/>
    <row r="2329" ht="15.75" customHeight="1"/>
    <row r="2330" ht="15.75" customHeight="1"/>
    <row r="2331" ht="15.75" customHeight="1"/>
    <row r="2332" ht="15.75" customHeight="1"/>
    <row r="2333" ht="15.75" customHeight="1"/>
    <row r="2334" ht="15.75" customHeight="1"/>
    <row r="2335" ht="15.75" customHeight="1"/>
    <row r="2336" ht="15.75" customHeight="1"/>
    <row r="2337" ht="15.75" customHeight="1"/>
    <row r="2338" ht="15.75" customHeight="1"/>
    <row r="2339" ht="15.75" customHeight="1"/>
    <row r="2340" ht="15.75" customHeight="1"/>
    <row r="2341" ht="15.75" customHeight="1"/>
    <row r="2342" ht="15.75" customHeight="1"/>
    <row r="2343" ht="15.75" customHeight="1"/>
    <row r="2344" ht="15.75" customHeight="1"/>
    <row r="2345" ht="15.75" customHeight="1"/>
    <row r="2346" ht="15.75" customHeight="1"/>
    <row r="2347" ht="15.75" customHeight="1"/>
    <row r="2348" ht="15.75" customHeight="1"/>
    <row r="2349" ht="15.75" customHeight="1"/>
    <row r="2350" ht="15.75" customHeight="1"/>
    <row r="2351" ht="15.75" customHeight="1"/>
    <row r="2352" ht="15.75" customHeight="1"/>
    <row r="2353" ht="15.75" customHeight="1"/>
    <row r="2354" ht="15.75" customHeight="1"/>
    <row r="2355" ht="15.75" customHeight="1"/>
    <row r="2356" ht="15.75" customHeight="1"/>
    <row r="2357" ht="15.75" customHeight="1"/>
    <row r="2358" ht="15.75" customHeight="1"/>
    <row r="2359" ht="15.75" customHeight="1"/>
    <row r="2360" ht="15.75" customHeight="1"/>
    <row r="2361" ht="15.75" customHeight="1"/>
    <row r="2362" ht="15.75" customHeight="1"/>
    <row r="2363" ht="15.75" customHeight="1"/>
    <row r="2364" ht="15.75" customHeight="1"/>
    <row r="2365" ht="15.75" customHeight="1"/>
    <row r="2366" ht="15.75" customHeight="1"/>
    <row r="2367" ht="15.75" customHeight="1"/>
    <row r="2368" ht="15.75" customHeight="1"/>
    <row r="2369" ht="15.75" customHeight="1"/>
    <row r="2370" ht="15.75" customHeight="1"/>
    <row r="2371" ht="15.75" customHeight="1"/>
    <row r="2372" ht="15.75" customHeight="1"/>
    <row r="2373" ht="15.75" customHeight="1"/>
    <row r="2374" ht="15.75" customHeight="1"/>
    <row r="2375" ht="15.75" customHeight="1"/>
    <row r="2376" ht="15.75" customHeight="1"/>
    <row r="2377" ht="15.75" customHeight="1"/>
    <row r="2378" ht="15.75" customHeight="1"/>
    <row r="2379" ht="15.75" customHeight="1"/>
    <row r="2380" ht="15.75" customHeight="1"/>
    <row r="2381" ht="15.75" customHeight="1"/>
    <row r="2382" ht="15.75" customHeight="1"/>
    <row r="2383" ht="15.75" customHeight="1"/>
    <row r="2384" ht="15.75" customHeight="1"/>
    <row r="2385" ht="15.75" customHeight="1"/>
    <row r="2386" ht="15.75" customHeight="1"/>
    <row r="2387" ht="15.75" customHeight="1"/>
    <row r="2388" ht="15.75" customHeight="1"/>
    <row r="2389" ht="15.75" customHeight="1"/>
    <row r="2390" ht="15.75" customHeight="1"/>
    <row r="2391" ht="15.75" customHeight="1"/>
    <row r="2392" ht="15.75" customHeight="1"/>
    <row r="2393" ht="15.75" customHeight="1"/>
    <row r="2394" ht="15.75" customHeight="1"/>
    <row r="2395" ht="15.75" customHeight="1"/>
    <row r="2396" ht="15.75" customHeight="1"/>
    <row r="2397" ht="15.75" customHeight="1"/>
    <row r="2398" ht="15.75" customHeight="1"/>
    <row r="2399" ht="15.75" customHeight="1"/>
    <row r="2400" ht="15.75" customHeight="1"/>
    <row r="2401" ht="15.75" customHeight="1"/>
    <row r="2402" ht="15.75" customHeight="1"/>
    <row r="2403" ht="15.75" customHeight="1"/>
    <row r="2404" ht="15.75" customHeight="1"/>
    <row r="2405" ht="15.75" customHeight="1"/>
    <row r="2406" ht="15.75" customHeight="1"/>
    <row r="2407" ht="15.75" customHeight="1"/>
    <row r="2408" ht="15.75" customHeight="1"/>
    <row r="2409" ht="15.75" customHeight="1"/>
    <row r="2410" ht="15.75" customHeight="1"/>
    <row r="2411" ht="15.75" customHeight="1"/>
    <row r="2412" ht="15.75" customHeight="1"/>
    <row r="2413" ht="15.75" customHeight="1"/>
    <row r="2414" ht="15.75" customHeight="1"/>
    <row r="2415" ht="15.75" customHeight="1"/>
    <row r="2416" ht="15.75" customHeight="1"/>
    <row r="2417" ht="15.75" customHeight="1"/>
    <row r="2418" ht="15.75" customHeight="1"/>
    <row r="2419" ht="15.75" customHeight="1"/>
    <row r="2420" ht="15.75" customHeight="1"/>
    <row r="2421" ht="15.75" customHeight="1"/>
    <row r="2422" ht="15.75" customHeight="1"/>
    <row r="2423" ht="15.75" customHeight="1"/>
    <row r="2424" ht="15.75" customHeight="1"/>
    <row r="2425" ht="15.75" customHeight="1"/>
    <row r="2426" ht="15.75" customHeight="1"/>
    <row r="2427" ht="15.75" customHeight="1"/>
    <row r="2428" ht="15.75" customHeight="1"/>
    <row r="2429" ht="15.75" customHeight="1"/>
    <row r="2430" ht="15.75" customHeight="1"/>
    <row r="2431" ht="15.75" customHeight="1"/>
    <row r="2432" ht="15.75" customHeight="1"/>
    <row r="2433" ht="15.75" customHeight="1"/>
    <row r="2434" ht="15.75" customHeight="1"/>
    <row r="2435" ht="15.75" customHeight="1"/>
    <row r="2436" ht="15.75" customHeight="1"/>
    <row r="2437" ht="15.75" customHeight="1"/>
    <row r="2438" ht="15.75" customHeight="1"/>
    <row r="2439" ht="15.75" customHeight="1"/>
    <row r="2440" ht="15.75" customHeight="1"/>
    <row r="2441" ht="15.75" customHeight="1"/>
    <row r="2442" ht="15.75" customHeight="1"/>
    <row r="2443" ht="15.75" customHeight="1"/>
    <row r="2444" ht="15.75" customHeight="1"/>
    <row r="2445" ht="15.75" customHeight="1"/>
    <row r="2446" ht="15.75" customHeight="1"/>
    <row r="2447" ht="15.75" customHeight="1"/>
    <row r="2448" ht="15.75" customHeight="1"/>
    <row r="2449" ht="15.75" customHeight="1"/>
    <row r="2450" ht="15.75" customHeight="1"/>
    <row r="2451" ht="15.75" customHeight="1"/>
    <row r="2452" ht="15.75" customHeight="1"/>
    <row r="2453" ht="15.75" customHeight="1"/>
    <row r="2454" ht="15.75" customHeight="1"/>
    <row r="2455" ht="15.75" customHeight="1"/>
    <row r="2456" ht="15.75" customHeight="1"/>
    <row r="2457" ht="15.75" customHeight="1"/>
    <row r="2458" ht="15.75" customHeight="1"/>
    <row r="2459" ht="15.75" customHeight="1"/>
    <row r="2460" ht="15.75" customHeight="1"/>
    <row r="2461" ht="15.75" customHeight="1"/>
    <row r="2462" ht="15.75" customHeight="1"/>
    <row r="2463" ht="15.75" customHeight="1"/>
    <row r="2464" ht="15.75" customHeight="1"/>
    <row r="2465" ht="15.75" customHeight="1"/>
    <row r="2466" ht="15.75" customHeight="1"/>
    <row r="2467" ht="15.75" customHeight="1"/>
    <row r="2468" ht="15.75" customHeight="1"/>
    <row r="2469" ht="15.75" customHeight="1"/>
    <row r="2470" ht="15.75" customHeight="1"/>
    <row r="2471" ht="15.75" customHeight="1"/>
    <row r="2472" ht="15.75" customHeight="1"/>
    <row r="2473" ht="15.75" customHeight="1"/>
    <row r="2474" ht="15.75" customHeight="1"/>
    <row r="2475" ht="15.75" customHeight="1"/>
    <row r="2476" ht="15.75" customHeight="1"/>
    <row r="2477" ht="15.75" customHeight="1"/>
    <row r="2478" ht="15.75" customHeight="1"/>
    <row r="2479" ht="15.75" customHeight="1"/>
    <row r="2480" ht="15.75" customHeight="1"/>
    <row r="2481" ht="15.75" customHeight="1"/>
    <row r="2482" ht="15.75" customHeight="1"/>
    <row r="2483" ht="15.75" customHeight="1"/>
    <row r="2484" ht="15.75" customHeight="1"/>
    <row r="2485" ht="15.75" customHeight="1"/>
    <row r="2486" ht="15.75" customHeight="1"/>
    <row r="2487" ht="15.75" customHeight="1"/>
    <row r="2488" ht="15.75" customHeight="1"/>
    <row r="2489" ht="15.75" customHeight="1"/>
    <row r="2490" ht="15.75" customHeight="1"/>
    <row r="2491" ht="15.75" customHeight="1"/>
    <row r="2492" ht="15.75" customHeight="1"/>
    <row r="2493" ht="15.75" customHeight="1"/>
    <row r="2494" ht="15.75" customHeight="1"/>
    <row r="2495" ht="15.75" customHeight="1"/>
    <row r="2496" ht="15.75" customHeight="1"/>
    <row r="2497" ht="15.75" customHeight="1"/>
    <row r="2498" ht="15.75" customHeight="1"/>
    <row r="2499" ht="15.75" customHeight="1"/>
    <row r="2500" ht="15.75" customHeight="1"/>
    <row r="2501" ht="15.75" customHeight="1"/>
    <row r="2502" ht="15.75" customHeight="1"/>
    <row r="2503" ht="15.75" customHeight="1"/>
    <row r="2504" ht="15.75" customHeight="1"/>
    <row r="2505" ht="15.75" customHeight="1"/>
    <row r="2506" ht="15.75" customHeight="1"/>
    <row r="2507" ht="15.75" customHeight="1"/>
    <row r="2508" ht="15.75" customHeight="1"/>
    <row r="2509" ht="15.75" customHeight="1"/>
    <row r="2510" ht="15.75" customHeight="1"/>
    <row r="2511" ht="15.75" customHeight="1"/>
    <row r="2512" ht="15.75" customHeight="1"/>
    <row r="2513" ht="15.75" customHeight="1"/>
    <row r="2514" ht="15.75" customHeight="1"/>
    <row r="2515" ht="15.75" customHeight="1"/>
    <row r="2516" ht="15.75" customHeight="1"/>
    <row r="2517" ht="15.75" customHeight="1"/>
    <row r="2518" ht="15.75" customHeight="1"/>
    <row r="2519" ht="15.75" customHeight="1"/>
    <row r="2520" ht="15.75" customHeight="1"/>
    <row r="2521" ht="15.75" customHeight="1"/>
    <row r="2522" ht="15.75" customHeight="1"/>
    <row r="2523" ht="15.75" customHeight="1"/>
    <row r="2524" ht="15.75" customHeight="1"/>
    <row r="2525" ht="15.75" customHeight="1"/>
    <row r="2526" ht="15.75" customHeight="1"/>
    <row r="2527" ht="15.75" customHeight="1"/>
    <row r="2528" ht="15.75" customHeight="1"/>
    <row r="2529" ht="15.75" customHeight="1"/>
    <row r="2530" ht="15.75" customHeight="1"/>
    <row r="2531" ht="15.75" customHeight="1"/>
    <row r="2532" ht="15.75" customHeight="1"/>
    <row r="2533" ht="15.75" customHeight="1"/>
    <row r="2534" ht="15.75" customHeight="1"/>
    <row r="2535" ht="15.75" customHeight="1"/>
    <row r="2536" ht="15.75" customHeight="1"/>
    <row r="2537" ht="15.75" customHeight="1"/>
    <row r="2538" ht="15.75" customHeight="1"/>
    <row r="2539" ht="15.75" customHeight="1"/>
    <row r="2540" ht="15.75" customHeight="1"/>
    <row r="2541" ht="15.75" customHeight="1"/>
    <row r="2542" ht="15.75" customHeight="1"/>
    <row r="2543" ht="15.75" customHeight="1"/>
    <row r="2544" ht="15.75" customHeight="1"/>
    <row r="2545" ht="15.75" customHeight="1"/>
    <row r="2546" ht="15.75" customHeight="1"/>
    <row r="2547" ht="15.75" customHeight="1"/>
    <row r="2548" ht="15.75" customHeight="1"/>
    <row r="2549" ht="15.75" customHeight="1"/>
    <row r="2550" ht="15.75" customHeight="1"/>
    <row r="2551" ht="15.75" customHeight="1"/>
    <row r="2552" ht="15.75" customHeight="1"/>
    <row r="2553" ht="15.75" customHeight="1"/>
    <row r="2554" ht="15.75" customHeight="1"/>
    <row r="2555" ht="15.75" customHeight="1"/>
    <row r="2556" ht="15.75" customHeight="1"/>
    <row r="2557" ht="15.75" customHeight="1"/>
    <row r="2558" ht="15.75" customHeight="1"/>
    <row r="2559" ht="15.75" customHeight="1"/>
    <row r="2560" ht="15.75" customHeight="1"/>
    <row r="2561" ht="15.75" customHeight="1"/>
    <row r="2562" ht="15.75" customHeight="1"/>
    <row r="2563" ht="15.75" customHeight="1"/>
    <row r="2564" ht="15.75" customHeight="1"/>
    <row r="2565" ht="15.75" customHeight="1"/>
    <row r="2566" ht="15.75" customHeight="1"/>
    <row r="2567" ht="15.75" customHeight="1"/>
    <row r="2568" ht="15.75" customHeight="1"/>
    <row r="2569" ht="15.75" customHeight="1"/>
    <row r="2570" ht="15.75" customHeight="1"/>
    <row r="2571" ht="15.75" customHeight="1"/>
    <row r="2572" ht="15.75" customHeight="1"/>
    <row r="2573" ht="15.75" customHeight="1"/>
    <row r="2574" ht="15.75" customHeight="1"/>
    <row r="2575" ht="15.75" customHeight="1"/>
    <row r="2576" ht="15.75" customHeight="1"/>
    <row r="2577" ht="15.75" customHeight="1"/>
    <row r="2578" ht="15.75" customHeight="1"/>
    <row r="2579" ht="15.75" customHeight="1"/>
    <row r="2580" ht="15.75" customHeight="1"/>
    <row r="2581" ht="15.75" customHeight="1"/>
    <row r="2582" ht="15.75" customHeight="1"/>
    <row r="2583" ht="15.75" customHeight="1"/>
    <row r="2584" ht="15.75" customHeight="1"/>
    <row r="2585" ht="15.75" customHeight="1"/>
    <row r="2586" ht="15.75" customHeight="1"/>
    <row r="2587" ht="15.75" customHeight="1"/>
    <row r="2588" ht="15.75" customHeight="1"/>
    <row r="2589" ht="15.75" customHeight="1"/>
    <row r="2590" ht="15.75" customHeight="1"/>
    <row r="2591" ht="15.75" customHeight="1"/>
    <row r="2592" ht="15.75" customHeight="1"/>
    <row r="2593" ht="15.75" customHeight="1"/>
    <row r="2594" ht="15.75" customHeight="1"/>
    <row r="2595" ht="15.75" customHeight="1"/>
    <row r="2596" ht="15.75" customHeight="1"/>
    <row r="2597" ht="15.75" customHeight="1"/>
    <row r="2598" ht="15.75" customHeight="1"/>
    <row r="2599" ht="15.75" customHeight="1"/>
    <row r="2600" ht="15.75" customHeight="1"/>
    <row r="2601" ht="15.75" customHeight="1"/>
    <row r="2602" ht="15.75" customHeight="1"/>
    <row r="2603" ht="15.75" customHeight="1"/>
    <row r="2604" ht="15.75" customHeight="1"/>
    <row r="2605" ht="15.75" customHeight="1"/>
    <row r="2606" ht="15.75" customHeight="1"/>
    <row r="2607" ht="15.75" customHeight="1"/>
    <row r="2608" ht="15.75" customHeight="1"/>
    <row r="2609" ht="15.75" customHeight="1"/>
    <row r="2610" ht="15.75" customHeight="1"/>
    <row r="2611" ht="15.75" customHeight="1"/>
    <row r="2612" ht="15.75" customHeight="1"/>
    <row r="2613" ht="15.75" customHeight="1"/>
    <row r="2614" ht="15.75" customHeight="1"/>
    <row r="2615" ht="15.75" customHeight="1"/>
    <row r="2616" ht="15.75" customHeight="1"/>
    <row r="2617" ht="15.75" customHeight="1"/>
    <row r="2618" ht="15.75" customHeight="1"/>
    <row r="2619" ht="15.75" customHeight="1"/>
    <row r="2620" ht="15.75" customHeight="1"/>
    <row r="2621" ht="15.75" customHeight="1"/>
    <row r="2622" ht="15.75" customHeight="1"/>
    <row r="2623" ht="15.75" customHeight="1"/>
    <row r="2624" ht="15.75" customHeight="1"/>
    <row r="2625" ht="15.75" customHeight="1"/>
    <row r="2626" ht="15.75" customHeight="1"/>
    <row r="2627" ht="15.75" customHeight="1"/>
    <row r="2628" ht="15.75" customHeight="1"/>
    <row r="2629" ht="15.75" customHeight="1"/>
    <row r="2630" ht="15.75" customHeight="1"/>
    <row r="2631" ht="15.75" customHeight="1"/>
    <row r="2632" ht="15.75" customHeight="1"/>
    <row r="2633" ht="15.75" customHeight="1"/>
    <row r="2634" ht="15.75" customHeight="1"/>
    <row r="2635" ht="15.75" customHeight="1"/>
    <row r="2636" ht="15.75" customHeight="1"/>
    <row r="2637" ht="15.75" customHeight="1"/>
    <row r="2638" ht="15.75" customHeight="1"/>
    <row r="2639" ht="15.75" customHeight="1"/>
    <row r="2640" ht="15.75" customHeight="1"/>
    <row r="2641" ht="15.75" customHeight="1"/>
    <row r="2642" ht="15.75" customHeight="1"/>
    <row r="2643" ht="15.75" customHeight="1"/>
    <row r="2644" ht="15.75" customHeight="1"/>
    <row r="2645" ht="15.75" customHeight="1"/>
    <row r="2646" ht="15.75" customHeight="1"/>
    <row r="2647" ht="15.75" customHeight="1"/>
    <row r="2648" ht="15.75" customHeight="1"/>
    <row r="2649" ht="15.75" customHeight="1"/>
    <row r="2650" ht="15.75" customHeight="1"/>
    <row r="2651" ht="15.75" customHeight="1"/>
    <row r="2652" ht="15.75" customHeight="1"/>
    <row r="2653" ht="15.75" customHeight="1"/>
    <row r="2654" ht="15.75" customHeight="1"/>
    <row r="2655" ht="15.75" customHeight="1"/>
    <row r="2656" ht="15.75" customHeight="1"/>
    <row r="2657" ht="15.75" customHeight="1"/>
    <row r="2658" ht="15.75" customHeight="1"/>
    <row r="2659" ht="15.75" customHeight="1"/>
    <row r="2660" ht="15.75" customHeight="1"/>
    <row r="2661" ht="15.75" customHeight="1"/>
    <row r="2662" ht="15.75" customHeight="1"/>
    <row r="2663" ht="15.75" customHeight="1"/>
    <row r="2664" ht="15.75" customHeight="1"/>
    <row r="2665" ht="15.75" customHeight="1"/>
    <row r="2666" ht="15.75" customHeight="1"/>
    <row r="2667" ht="15.75" customHeight="1"/>
    <row r="2668" ht="15.75" customHeight="1"/>
    <row r="2669" ht="15.75" customHeight="1"/>
    <row r="2670" ht="15.75" customHeight="1"/>
    <row r="2671" ht="15.75" customHeight="1"/>
    <row r="2672" ht="15.75" customHeight="1"/>
    <row r="2673" ht="15.75" customHeight="1"/>
    <row r="2674" ht="15.75" customHeight="1"/>
    <row r="2675" ht="15.75" customHeight="1"/>
    <row r="2676" ht="15.75" customHeight="1"/>
    <row r="2677" ht="15.75" customHeight="1"/>
    <row r="2678" ht="15.75" customHeight="1"/>
    <row r="2679" ht="15.75" customHeight="1"/>
    <row r="2680" ht="15.75" customHeight="1"/>
    <row r="2681" ht="15.75" customHeight="1"/>
    <row r="2682" ht="15.75" customHeight="1"/>
    <row r="2683" ht="15.75" customHeight="1"/>
    <row r="2684" ht="15.75" customHeight="1"/>
    <row r="2685" ht="15.75" customHeight="1"/>
    <row r="2686" ht="15.75" customHeight="1"/>
    <row r="2687" ht="15.75" customHeight="1"/>
    <row r="2688" ht="15.75" customHeight="1"/>
    <row r="2689" ht="15.75" customHeight="1"/>
    <row r="2690" ht="15.75" customHeight="1"/>
    <row r="2691" ht="15.75" customHeight="1"/>
    <row r="2692" ht="15.75" customHeight="1"/>
    <row r="2693" ht="15.75" customHeight="1"/>
    <row r="2694" ht="15.75" customHeight="1"/>
    <row r="2695" ht="15.75" customHeight="1"/>
    <row r="2696" ht="15.75" customHeight="1"/>
    <row r="2697" ht="15.75" customHeight="1"/>
    <row r="2698" ht="15.75" customHeight="1"/>
    <row r="2699" ht="15.75" customHeight="1"/>
    <row r="2700" ht="15.75" customHeight="1"/>
    <row r="2701" ht="15.75" customHeight="1"/>
    <row r="2702" ht="15.75" customHeight="1"/>
    <row r="2703" ht="15.75" customHeight="1"/>
    <row r="2704" ht="15.75" customHeight="1"/>
    <row r="2705" ht="15.75" customHeight="1"/>
    <row r="2706" ht="15.75" customHeight="1"/>
    <row r="2707" ht="15.75" customHeight="1"/>
    <row r="2708" ht="15.75" customHeight="1"/>
    <row r="2709" ht="15.75" customHeight="1"/>
    <row r="2710" ht="15.75" customHeight="1"/>
    <row r="2711" ht="15.75" customHeight="1"/>
    <row r="2712" ht="15.75" customHeight="1"/>
    <row r="2713" ht="15.75" customHeight="1"/>
    <row r="2714" ht="15.75" customHeight="1"/>
    <row r="2715" ht="15.75" customHeight="1"/>
    <row r="2716" ht="15.75" customHeight="1"/>
    <row r="2717" ht="15.75" customHeight="1"/>
    <row r="2718" ht="15.75" customHeight="1"/>
    <row r="2719" ht="15.75" customHeight="1"/>
    <row r="2720" ht="15.75" customHeight="1"/>
    <row r="2721" ht="15.75" customHeight="1"/>
    <row r="2722" ht="15.75" customHeight="1"/>
    <row r="2723" ht="15.75" customHeight="1"/>
    <row r="2724" ht="15.75" customHeight="1"/>
    <row r="2725" ht="15.75" customHeight="1"/>
    <row r="2726" ht="15.75" customHeight="1"/>
    <row r="2727" ht="15.75" customHeight="1"/>
    <row r="2728" ht="15.75" customHeight="1"/>
    <row r="2729" ht="15.75" customHeight="1"/>
    <row r="2730" ht="15.75" customHeight="1"/>
    <row r="2731" ht="15.75" customHeight="1"/>
    <row r="2732" ht="15.75" customHeight="1"/>
    <row r="2733" ht="15.75" customHeight="1"/>
    <row r="2734" ht="15.75" customHeight="1"/>
    <row r="2735" ht="15.75" customHeight="1"/>
    <row r="2736" ht="15.75" customHeight="1"/>
    <row r="2737" ht="15.75" customHeight="1"/>
    <row r="2738" ht="15.75" customHeight="1"/>
    <row r="2739" ht="15.75" customHeight="1"/>
    <row r="2740" ht="15.75" customHeight="1"/>
    <row r="2741" ht="15.75" customHeight="1"/>
    <row r="2742" ht="15.75" customHeight="1"/>
    <row r="2743" ht="15.75" customHeight="1"/>
    <row r="2744" ht="15.75" customHeight="1"/>
    <row r="2745" ht="15.75" customHeight="1"/>
    <row r="2746" ht="15.75" customHeight="1"/>
    <row r="2747" ht="15.75" customHeight="1"/>
    <row r="2748" ht="15.75" customHeight="1"/>
    <row r="2749" ht="15.75" customHeight="1"/>
    <row r="2750" ht="15.75" customHeight="1"/>
    <row r="2751" ht="15.75" customHeight="1"/>
    <row r="2752" ht="15.75" customHeight="1"/>
    <row r="2753" ht="15.75" customHeight="1"/>
    <row r="2754" ht="15.75" customHeight="1"/>
    <row r="2755" ht="15.75" customHeight="1"/>
    <row r="2756" ht="15.75" customHeight="1"/>
    <row r="2757" ht="15.75" customHeight="1"/>
    <row r="2758" ht="15.75" customHeight="1"/>
    <row r="2759" ht="15.75" customHeight="1"/>
    <row r="2760" ht="15.75" customHeight="1"/>
    <row r="2761" ht="15.75" customHeight="1"/>
    <row r="2762" ht="15.75" customHeight="1"/>
    <row r="2763" ht="15.75" customHeight="1"/>
    <row r="2764" ht="15.75" customHeight="1"/>
    <row r="2765" ht="15.75" customHeight="1"/>
    <row r="2766" ht="15.75" customHeight="1"/>
    <row r="2767" ht="15.75" customHeight="1"/>
    <row r="2768" ht="15.75" customHeight="1"/>
    <row r="2769" ht="15.75" customHeight="1"/>
    <row r="2770" ht="15.75" customHeight="1"/>
    <row r="2771" ht="15.75" customHeight="1"/>
    <row r="2772" ht="15.75" customHeight="1"/>
    <row r="2773" ht="15.75" customHeight="1"/>
    <row r="2774" ht="15.75" customHeight="1"/>
    <row r="2775" ht="15.75" customHeight="1"/>
    <row r="2776" ht="15.75" customHeight="1"/>
    <row r="2777" ht="15.75" customHeight="1"/>
    <row r="2778" ht="15.75" customHeight="1"/>
    <row r="2779" ht="15.75" customHeight="1"/>
    <row r="2780" ht="15.75" customHeight="1"/>
    <row r="2781" ht="15.75" customHeight="1"/>
    <row r="2782" ht="15.75" customHeight="1"/>
    <row r="2783" ht="15.75" customHeight="1"/>
    <row r="2784" ht="15.75" customHeight="1"/>
    <row r="2785" ht="15.75" customHeight="1"/>
    <row r="2786" ht="15.75" customHeight="1"/>
    <row r="2787" ht="15.75" customHeight="1"/>
    <row r="2788" ht="15.75" customHeight="1"/>
    <row r="2789" ht="15.75" customHeight="1"/>
    <row r="2790" ht="15.75" customHeight="1"/>
    <row r="2791" ht="15.75" customHeight="1"/>
    <row r="2792" ht="15.75" customHeight="1"/>
    <row r="2793" ht="15.75" customHeight="1"/>
    <row r="2794" ht="15.75" customHeight="1"/>
    <row r="2795" ht="15.75" customHeight="1"/>
    <row r="2796" ht="15.75" customHeight="1"/>
    <row r="2797" ht="15.75" customHeight="1"/>
    <row r="2798" ht="15.75" customHeight="1"/>
    <row r="2799" ht="15.75" customHeight="1"/>
    <row r="2800" ht="15.75" customHeight="1"/>
    <row r="2801" ht="15.75" customHeight="1"/>
    <row r="2802" ht="15.75" customHeight="1"/>
    <row r="2803" ht="15.75" customHeight="1"/>
    <row r="2804" ht="15.75" customHeight="1"/>
    <row r="2805" ht="15.75" customHeight="1"/>
    <row r="2806" ht="15.75" customHeight="1"/>
    <row r="2807" ht="15.75" customHeight="1"/>
    <row r="2808" ht="15.75" customHeight="1"/>
    <row r="2809" ht="15.75" customHeight="1"/>
    <row r="2810" ht="15.75" customHeight="1"/>
    <row r="2811" ht="15.75" customHeight="1"/>
    <row r="2812" ht="15.75" customHeight="1"/>
    <row r="2813" ht="15.75" customHeight="1"/>
    <row r="2814" ht="15.75" customHeight="1"/>
    <row r="2815" ht="15.75" customHeight="1"/>
    <row r="2816" ht="15.75" customHeight="1"/>
    <row r="2817" ht="15.75" customHeight="1"/>
    <row r="2818" ht="15.75" customHeight="1"/>
    <row r="2819" ht="15.75" customHeight="1"/>
    <row r="2820" ht="15.75" customHeight="1"/>
    <row r="2821" ht="15.75" customHeight="1"/>
    <row r="2822" ht="15.75" customHeight="1"/>
    <row r="2823" ht="15.75" customHeight="1"/>
    <row r="2824" ht="15.75" customHeight="1"/>
    <row r="2825" ht="15.75" customHeight="1"/>
    <row r="2826" ht="15.75" customHeight="1"/>
    <row r="2827" ht="15.75" customHeight="1"/>
    <row r="2828" ht="15.75" customHeight="1"/>
    <row r="2829" ht="15.75" customHeight="1"/>
    <row r="2830" ht="15.75" customHeight="1"/>
    <row r="2831" ht="15.75" customHeight="1"/>
    <row r="2832" ht="15.75" customHeight="1"/>
    <row r="2833" ht="15.75" customHeight="1"/>
    <row r="2834" ht="15.75" customHeight="1"/>
    <row r="2835" ht="15.75" customHeight="1"/>
    <row r="2836" ht="15.75" customHeight="1"/>
    <row r="2837" ht="15.75" customHeight="1"/>
    <row r="2838" ht="15.75" customHeight="1"/>
    <row r="2839" ht="15.75" customHeight="1"/>
    <row r="2840" ht="15.75" customHeight="1"/>
    <row r="2841" ht="15.75" customHeight="1"/>
    <row r="2842" ht="15.75" customHeight="1"/>
    <row r="2843" ht="15.75" customHeight="1"/>
    <row r="2844" ht="15.75" customHeight="1"/>
    <row r="2845" ht="15.75" customHeight="1"/>
    <row r="2846" ht="15.75" customHeight="1"/>
    <row r="2847" ht="15.75" customHeight="1"/>
    <row r="2848" ht="15.75" customHeight="1"/>
    <row r="2849" ht="15.75" customHeight="1"/>
    <row r="2850" ht="15.75" customHeight="1"/>
    <row r="2851" ht="15.75" customHeight="1"/>
    <row r="2852" ht="15.75" customHeight="1"/>
    <row r="2853" ht="15.75" customHeight="1"/>
    <row r="2854" ht="15.75" customHeight="1"/>
    <row r="2855" ht="15.75" customHeight="1"/>
    <row r="2856" ht="15.75" customHeight="1"/>
    <row r="2857" ht="15.75" customHeight="1"/>
    <row r="2858" ht="15.75" customHeight="1"/>
    <row r="2859" ht="15.75" customHeight="1"/>
    <row r="2860" ht="15.75" customHeight="1"/>
    <row r="2861" ht="15.75" customHeight="1"/>
    <row r="2862" ht="15.75" customHeight="1"/>
    <row r="2863" ht="15.75" customHeight="1"/>
    <row r="2864" ht="15.75" customHeight="1"/>
    <row r="2865" ht="15.75" customHeight="1"/>
    <row r="2866" ht="15.75" customHeight="1"/>
    <row r="2867" ht="15.75" customHeight="1"/>
    <row r="2868" ht="15.75" customHeight="1"/>
    <row r="2869" ht="15.75" customHeight="1"/>
    <row r="2870" ht="15.75" customHeight="1"/>
    <row r="2871" ht="15.75" customHeight="1"/>
    <row r="2872" ht="15.75" customHeight="1"/>
    <row r="2873" ht="15.75" customHeight="1"/>
    <row r="2874" ht="15.75" customHeight="1"/>
    <row r="2875" ht="15.75" customHeight="1"/>
    <row r="2876" ht="15.75" customHeight="1"/>
    <row r="2877" ht="15.75" customHeight="1"/>
    <row r="2878" ht="15.75" customHeight="1"/>
    <row r="2879" ht="15.75" customHeight="1"/>
    <row r="2880" ht="15.75" customHeight="1"/>
    <row r="2881" ht="15.75" customHeight="1"/>
    <row r="2882" ht="15.75" customHeight="1"/>
    <row r="2883" ht="15.75" customHeight="1"/>
    <row r="2884" ht="15.75" customHeight="1"/>
    <row r="2885" ht="15.75" customHeight="1"/>
    <row r="2886" ht="15.75" customHeight="1"/>
    <row r="2887" ht="15.75" customHeight="1"/>
    <row r="2888" ht="15.75" customHeight="1"/>
    <row r="2889" ht="15.75" customHeight="1"/>
    <row r="2890" ht="15.75" customHeight="1"/>
    <row r="2891" ht="15.75" customHeight="1"/>
    <row r="2892" ht="15.75" customHeight="1"/>
    <row r="2893" ht="15.75" customHeight="1"/>
    <row r="2894" ht="15.75" customHeight="1"/>
    <row r="2895" ht="15.75" customHeight="1"/>
    <row r="2896" ht="15.75" customHeight="1"/>
    <row r="2897" ht="15.75" customHeight="1"/>
    <row r="2898" ht="15.75" customHeight="1"/>
    <row r="2899" ht="15.75" customHeight="1"/>
    <row r="2900" ht="15.75" customHeight="1"/>
    <row r="2901" ht="15.75" customHeight="1"/>
    <row r="2902" ht="15.75" customHeight="1"/>
    <row r="2903" ht="15.75" customHeight="1"/>
    <row r="2904" ht="15.75" customHeight="1"/>
    <row r="2905" ht="15.75" customHeight="1"/>
    <row r="2906" ht="15.75" customHeight="1"/>
    <row r="2907" ht="15.75" customHeight="1"/>
    <row r="2908" ht="15.75" customHeight="1"/>
    <row r="2909" ht="15.75" customHeight="1"/>
    <row r="2910" ht="15.75" customHeight="1"/>
    <row r="2911" ht="15.75" customHeight="1"/>
    <row r="2912" ht="15.75" customHeight="1"/>
    <row r="2913" ht="15.75" customHeight="1"/>
    <row r="2914" ht="15.75" customHeight="1"/>
    <row r="2915" ht="15.75" customHeight="1"/>
    <row r="2916" ht="15.75" customHeight="1"/>
    <row r="2917" ht="15.75" customHeight="1"/>
    <row r="2918" ht="15.75" customHeight="1"/>
    <row r="2919" ht="15.75" customHeight="1"/>
    <row r="2920" ht="15.75" customHeight="1"/>
    <row r="2921" ht="15.75" customHeight="1"/>
    <row r="2922" ht="15.75" customHeight="1"/>
    <row r="2923" ht="15.75" customHeight="1"/>
    <row r="2924" ht="15.75" customHeight="1"/>
    <row r="2925" ht="15.75" customHeight="1"/>
    <row r="2926" ht="15.75" customHeight="1"/>
    <row r="2927" ht="15.75" customHeight="1"/>
    <row r="2928" ht="15.75" customHeight="1"/>
    <row r="2929" ht="15.75" customHeight="1"/>
    <row r="2930" ht="15.75" customHeight="1"/>
    <row r="2931" ht="15.75" customHeight="1"/>
    <row r="2932" ht="15.75" customHeight="1"/>
    <row r="2933" ht="15.75" customHeight="1"/>
    <row r="2934" ht="15.75" customHeight="1"/>
    <row r="2935" ht="15.75" customHeight="1"/>
    <row r="2936" ht="15.75" customHeight="1"/>
    <row r="2937" ht="15.75" customHeight="1"/>
    <row r="2938" ht="15.75" customHeight="1"/>
    <row r="2939" ht="15.75" customHeight="1"/>
    <row r="2940" ht="15.75" customHeight="1"/>
    <row r="2941" ht="15.75" customHeight="1"/>
    <row r="2942" ht="15.75" customHeight="1"/>
    <row r="2943" ht="15.75" customHeight="1"/>
    <row r="2944" ht="15.75" customHeight="1"/>
    <row r="2945" ht="15.75" customHeight="1"/>
    <row r="2946" ht="15.75" customHeight="1"/>
    <row r="2947" ht="15.75" customHeight="1"/>
    <row r="2948" ht="15.75" customHeight="1"/>
    <row r="2949" ht="15.75" customHeight="1"/>
    <row r="2950" ht="15.75" customHeight="1"/>
    <row r="2951" ht="15.75" customHeight="1"/>
    <row r="2952" ht="15.75" customHeight="1"/>
    <row r="2953" ht="15.75" customHeight="1"/>
    <row r="2954" ht="15.75" customHeight="1"/>
    <row r="2955" ht="15.75" customHeight="1"/>
    <row r="2956" ht="15.75" customHeight="1"/>
    <row r="2957" ht="15.75" customHeight="1"/>
    <row r="2958" ht="15.75" customHeight="1"/>
    <row r="2959" ht="15.75" customHeight="1"/>
    <row r="2960" ht="15.75" customHeight="1"/>
    <row r="2961" ht="15.75" customHeight="1"/>
    <row r="2962" ht="15.75" customHeight="1"/>
    <row r="2963" ht="15.75" customHeight="1"/>
    <row r="2964" ht="15.75" customHeight="1"/>
    <row r="2965" ht="15.75" customHeight="1"/>
    <row r="2966" ht="15.75" customHeight="1"/>
    <row r="2967" ht="15.75" customHeight="1"/>
    <row r="2968" ht="15.75" customHeight="1"/>
    <row r="2969" ht="15.75" customHeight="1"/>
  </sheetData>
  <autoFilter ref="A1:E2969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10105"/>
  <sheetViews>
    <sheetView workbookViewId="0"/>
  </sheetViews>
  <sheetFormatPr defaultColWidth="12.5703125" defaultRowHeight="15" customHeight="1"/>
  <cols>
    <col min="1" max="1" width="13.42578125" customWidth="1"/>
    <col min="2" max="2" width="20.5703125" customWidth="1"/>
    <col min="3" max="3" width="33.42578125" customWidth="1"/>
    <col min="4" max="4" width="27.7109375" customWidth="1"/>
    <col min="5" max="5" width="35.140625" customWidth="1"/>
    <col min="6" max="6" width="23.42578125" customWidth="1"/>
    <col min="7" max="7" width="24.42578125" customWidth="1"/>
    <col min="8" max="8" width="12.28515625" customWidth="1"/>
  </cols>
  <sheetData>
    <row r="1" spans="1:9" ht="15.75" customHeight="1">
      <c r="A1" s="83" t="s">
        <v>41</v>
      </c>
      <c r="B1" s="81" t="s">
        <v>42</v>
      </c>
      <c r="C1" s="83" t="s">
        <v>43</v>
      </c>
      <c r="D1" s="83" t="s">
        <v>44</v>
      </c>
      <c r="E1" s="81" t="s">
        <v>1</v>
      </c>
      <c r="F1" s="81" t="s">
        <v>98</v>
      </c>
      <c r="G1" s="84"/>
      <c r="H1" s="84"/>
      <c r="I1" s="84"/>
    </row>
    <row r="2" spans="1:9" ht="15.75" customHeight="1">
      <c r="A2" s="26">
        <v>19278</v>
      </c>
      <c r="B2" s="2">
        <v>45113.519814814819</v>
      </c>
      <c r="C2" s="26" t="s">
        <v>0</v>
      </c>
      <c r="D2" s="26">
        <v>25</v>
      </c>
      <c r="E2" s="1" t="s">
        <v>28</v>
      </c>
      <c r="F2" s="85">
        <f t="shared" ref="F2:F10000" si="0">IF(E2="","", AVERAGEIF($E$2:$E10105,E2,$D$2:$D10105))</f>
        <v>27.231884057971016</v>
      </c>
      <c r="G2" s="1" t="e">
        <f>IF(VALUE(F2) = VALUE(RIGHT(Insights!$C$3, 4)), E2, "")</f>
        <v>#VALUE!</v>
      </c>
      <c r="H2" s="26" t="e">
        <f t="shared" ref="H2:H10000" si="1">IF(G2&lt;&gt;"", D2, "")</f>
        <v>#VALUE!</v>
      </c>
      <c r="I2" s="1" t="e">
        <f t="shared" ref="I2:I10000" si="2">IF(G2&lt;&gt;"", 1, "")</f>
        <v>#VALUE!</v>
      </c>
    </row>
    <row r="3" spans="1:9" ht="15.75" customHeight="1">
      <c r="A3" s="26">
        <v>19277</v>
      </c>
      <c r="B3" s="2">
        <v>45113.020254629635</v>
      </c>
      <c r="C3" s="26" t="s">
        <v>0</v>
      </c>
      <c r="D3" s="26">
        <v>18</v>
      </c>
      <c r="E3" s="1" t="s">
        <v>28</v>
      </c>
      <c r="F3" s="85">
        <f t="shared" si="0"/>
        <v>27.231884057971016</v>
      </c>
      <c r="G3" s="1" t="e">
        <f>IF(VALUE(F3) = VALUE(RIGHT(Insights!$C$3, 4)), E3, "")</f>
        <v>#VALUE!</v>
      </c>
      <c r="H3" s="26" t="e">
        <f t="shared" si="1"/>
        <v>#VALUE!</v>
      </c>
      <c r="I3" s="1" t="e">
        <f t="shared" si="2"/>
        <v>#VALUE!</v>
      </c>
    </row>
    <row r="4" spans="1:9" ht="15.75" customHeight="1">
      <c r="A4" s="26">
        <v>19276</v>
      </c>
      <c r="B4" s="2">
        <v>45113.014930555553</v>
      </c>
      <c r="C4" s="26" t="s">
        <v>0</v>
      </c>
      <c r="D4" s="26">
        <v>25</v>
      </c>
      <c r="E4" s="1" t="s">
        <v>28</v>
      </c>
      <c r="F4" s="85">
        <f t="shared" si="0"/>
        <v>27.231884057971016</v>
      </c>
      <c r="G4" s="1" t="e">
        <f>IF(VALUE(F4) = VALUE(RIGHT(Insights!$C$3, 4)), E4, "")</f>
        <v>#VALUE!</v>
      </c>
      <c r="H4" s="26" t="e">
        <f t="shared" si="1"/>
        <v>#VALUE!</v>
      </c>
      <c r="I4" s="1" t="e">
        <f t="shared" si="2"/>
        <v>#VALUE!</v>
      </c>
    </row>
    <row r="5" spans="1:9" ht="15.75" customHeight="1">
      <c r="A5" s="26">
        <v>19275</v>
      </c>
      <c r="B5" s="2">
        <v>45112.944328703699</v>
      </c>
      <c r="C5" s="26" t="s">
        <v>0</v>
      </c>
      <c r="D5" s="26">
        <v>25</v>
      </c>
      <c r="E5" s="1" t="s">
        <v>81</v>
      </c>
      <c r="F5" s="85">
        <f t="shared" si="0"/>
        <v>25</v>
      </c>
      <c r="G5" s="1" t="e">
        <f>IF(VALUE(F5) = VALUE(RIGHT(Insights!$C$3, 4)), E5, "")</f>
        <v>#VALUE!</v>
      </c>
      <c r="H5" s="26" t="e">
        <f t="shared" si="1"/>
        <v>#VALUE!</v>
      </c>
      <c r="I5" s="1" t="e">
        <f t="shared" si="2"/>
        <v>#VALUE!</v>
      </c>
    </row>
    <row r="6" spans="1:9" ht="15.75" customHeight="1">
      <c r="A6" s="26">
        <v>19274</v>
      </c>
      <c r="B6" s="2">
        <v>45112.881354166668</v>
      </c>
      <c r="C6" s="26" t="s">
        <v>0</v>
      </c>
      <c r="D6" s="26">
        <v>25</v>
      </c>
      <c r="E6" s="1" t="s">
        <v>28</v>
      </c>
      <c r="F6" s="85">
        <f t="shared" si="0"/>
        <v>27.231884057971016</v>
      </c>
      <c r="G6" s="1" t="e">
        <f>IF(VALUE(F6) = VALUE(RIGHT(Insights!$C$3, 4)), E6, "")</f>
        <v>#VALUE!</v>
      </c>
      <c r="H6" s="26" t="e">
        <f t="shared" si="1"/>
        <v>#VALUE!</v>
      </c>
      <c r="I6" s="1" t="e">
        <f t="shared" si="2"/>
        <v>#VALUE!</v>
      </c>
    </row>
    <row r="7" spans="1:9" ht="15.75" customHeight="1">
      <c r="A7" s="26">
        <v>19267</v>
      </c>
      <c r="B7" s="2">
        <v>45112.810717592598</v>
      </c>
      <c r="C7" s="26" t="s">
        <v>0</v>
      </c>
      <c r="D7" s="26">
        <v>28</v>
      </c>
      <c r="E7" s="1" t="s">
        <v>28</v>
      </c>
      <c r="F7" s="85">
        <f t="shared" si="0"/>
        <v>27.231884057971016</v>
      </c>
      <c r="G7" s="1" t="e">
        <f>IF(VALUE(F7) = VALUE(RIGHT(Insights!$C$3, 4)), E7, "")</f>
        <v>#VALUE!</v>
      </c>
      <c r="H7" s="26" t="e">
        <f t="shared" si="1"/>
        <v>#VALUE!</v>
      </c>
      <c r="I7" s="1" t="e">
        <f t="shared" si="2"/>
        <v>#VALUE!</v>
      </c>
    </row>
    <row r="8" spans="1:9" ht="15.75" customHeight="1">
      <c r="A8" s="26">
        <v>19266</v>
      </c>
      <c r="B8" s="2">
        <v>45112.809444444443</v>
      </c>
      <c r="C8" s="26" t="s">
        <v>0</v>
      </c>
      <c r="D8" s="26">
        <v>28</v>
      </c>
      <c r="E8" s="1" t="s">
        <v>28</v>
      </c>
      <c r="F8" s="85">
        <f t="shared" si="0"/>
        <v>27.231884057971016</v>
      </c>
      <c r="G8" s="1" t="e">
        <f>IF(VALUE(F8) = VALUE(RIGHT(Insights!$C$3, 4)), E8, "")</f>
        <v>#VALUE!</v>
      </c>
      <c r="H8" s="26" t="e">
        <f t="shared" si="1"/>
        <v>#VALUE!</v>
      </c>
      <c r="I8" s="1" t="e">
        <f t="shared" si="2"/>
        <v>#VALUE!</v>
      </c>
    </row>
    <row r="9" spans="1:9" ht="15.75" customHeight="1">
      <c r="A9" s="26">
        <v>19265</v>
      </c>
      <c r="B9" s="2">
        <v>45112.682974537034</v>
      </c>
      <c r="C9" s="26" t="s">
        <v>0</v>
      </c>
      <c r="D9" s="26">
        <v>43</v>
      </c>
      <c r="E9" s="1" t="s">
        <v>28</v>
      </c>
      <c r="F9" s="85">
        <f t="shared" si="0"/>
        <v>27.231884057971016</v>
      </c>
      <c r="G9" s="1" t="e">
        <f>IF(VALUE(F9) = VALUE(RIGHT(Insights!$C$3, 4)), E9, "")</f>
        <v>#VALUE!</v>
      </c>
      <c r="H9" s="26" t="e">
        <f t="shared" si="1"/>
        <v>#VALUE!</v>
      </c>
      <c r="I9" s="1" t="e">
        <f t="shared" si="2"/>
        <v>#VALUE!</v>
      </c>
    </row>
    <row r="10" spans="1:9" ht="15.75" customHeight="1">
      <c r="A10" s="26">
        <v>19264</v>
      </c>
      <c r="B10" s="2">
        <v>45112.677256944444</v>
      </c>
      <c r="C10" s="26" t="s">
        <v>0</v>
      </c>
      <c r="D10" s="26">
        <v>18</v>
      </c>
      <c r="E10" s="1" t="s">
        <v>28</v>
      </c>
      <c r="F10" s="85">
        <f t="shared" si="0"/>
        <v>27.231884057971016</v>
      </c>
      <c r="G10" s="1" t="e">
        <f>IF(VALUE(F10) = VALUE(RIGHT(Insights!$C$3, 4)), E10, "")</f>
        <v>#VALUE!</v>
      </c>
      <c r="H10" s="26" t="e">
        <f t="shared" si="1"/>
        <v>#VALUE!</v>
      </c>
      <c r="I10" s="1" t="e">
        <f t="shared" si="2"/>
        <v>#VALUE!</v>
      </c>
    </row>
    <row r="11" spans="1:9" ht="15.75" customHeight="1">
      <c r="A11" s="26">
        <v>19263</v>
      </c>
      <c r="B11" s="2">
        <v>45112.675104166672</v>
      </c>
      <c r="C11" s="26" t="s">
        <v>0</v>
      </c>
      <c r="D11" s="26">
        <v>18</v>
      </c>
      <c r="E11" s="1" t="s">
        <v>28</v>
      </c>
      <c r="F11" s="85">
        <f t="shared" si="0"/>
        <v>27.231884057971016</v>
      </c>
      <c r="G11" s="1" t="e">
        <f>IF(VALUE(F11) = VALUE(RIGHT(Insights!$C$3, 4)), E11, "")</f>
        <v>#VALUE!</v>
      </c>
      <c r="H11" s="26" t="e">
        <f t="shared" si="1"/>
        <v>#VALUE!</v>
      </c>
      <c r="I11" s="1" t="e">
        <f t="shared" si="2"/>
        <v>#VALUE!</v>
      </c>
    </row>
    <row r="12" spans="1:9" ht="15.75" customHeight="1">
      <c r="A12" s="26">
        <v>19261</v>
      </c>
      <c r="B12" s="2">
        <v>45111.988877314812</v>
      </c>
      <c r="C12" s="26" t="s">
        <v>0</v>
      </c>
      <c r="D12" s="26">
        <v>15</v>
      </c>
      <c r="E12" s="1" t="s">
        <v>28</v>
      </c>
      <c r="F12" s="85">
        <f t="shared" si="0"/>
        <v>27.231884057971016</v>
      </c>
      <c r="G12" s="1" t="e">
        <f>IF(VALUE(F12) = VALUE(RIGHT(Insights!$C$3, 4)), E12, "")</f>
        <v>#VALUE!</v>
      </c>
      <c r="H12" s="26" t="e">
        <f t="shared" si="1"/>
        <v>#VALUE!</v>
      </c>
      <c r="I12" s="1" t="e">
        <f t="shared" si="2"/>
        <v>#VALUE!</v>
      </c>
    </row>
    <row r="13" spans="1:9" ht="15.75" customHeight="1">
      <c r="A13" s="26">
        <v>19260</v>
      </c>
      <c r="B13" s="2">
        <v>45110.9144212963</v>
      </c>
      <c r="C13" s="26" t="s">
        <v>0</v>
      </c>
      <c r="D13" s="26">
        <v>28</v>
      </c>
      <c r="E13" s="1" t="s">
        <v>28</v>
      </c>
      <c r="F13" s="85">
        <f t="shared" si="0"/>
        <v>27.231884057971016</v>
      </c>
      <c r="G13" s="1" t="e">
        <f>IF(VALUE(F13) = VALUE(RIGHT(Insights!$C$3, 4)), E13, "")</f>
        <v>#VALUE!</v>
      </c>
      <c r="H13" s="26" t="e">
        <f t="shared" si="1"/>
        <v>#VALUE!</v>
      </c>
      <c r="I13" s="1" t="e">
        <f t="shared" si="2"/>
        <v>#VALUE!</v>
      </c>
    </row>
    <row r="14" spans="1:9" ht="15.75" customHeight="1">
      <c r="A14" s="26">
        <v>19259</v>
      </c>
      <c r="B14" s="2">
        <v>45110.912870370375</v>
      </c>
      <c r="C14" s="26" t="s">
        <v>0</v>
      </c>
      <c r="D14" s="26">
        <v>28</v>
      </c>
      <c r="E14" s="1" t="s">
        <v>28</v>
      </c>
      <c r="F14" s="85">
        <f t="shared" si="0"/>
        <v>27.231884057971016</v>
      </c>
      <c r="G14" s="1" t="e">
        <f>IF(VALUE(F14) = VALUE(RIGHT(Insights!$C$3, 4)), E14, "")</f>
        <v>#VALUE!</v>
      </c>
      <c r="H14" s="26" t="e">
        <f t="shared" si="1"/>
        <v>#VALUE!</v>
      </c>
      <c r="I14" s="1" t="e">
        <f t="shared" si="2"/>
        <v>#VALUE!</v>
      </c>
    </row>
    <row r="15" spans="1:9" ht="15.75" customHeight="1">
      <c r="A15" s="26">
        <v>19258</v>
      </c>
      <c r="B15" s="2">
        <v>45110.846539351856</v>
      </c>
      <c r="C15" s="26" t="s">
        <v>0</v>
      </c>
      <c r="D15" s="26">
        <v>51</v>
      </c>
      <c r="E15" s="1" t="s">
        <v>28</v>
      </c>
      <c r="F15" s="85">
        <f t="shared" si="0"/>
        <v>27.231884057971016</v>
      </c>
      <c r="G15" s="1" t="e">
        <f>IF(VALUE(F15) = VALUE(RIGHT(Insights!$C$3, 4)), E15, "")</f>
        <v>#VALUE!</v>
      </c>
      <c r="H15" s="26" t="e">
        <f t="shared" si="1"/>
        <v>#VALUE!</v>
      </c>
      <c r="I15" s="1" t="e">
        <f t="shared" si="2"/>
        <v>#VALUE!</v>
      </c>
    </row>
    <row r="16" spans="1:9" ht="15.75" customHeight="1">
      <c r="A16" s="26">
        <v>19257</v>
      </c>
      <c r="B16" s="2">
        <v>45110.800775462965</v>
      </c>
      <c r="C16" s="26" t="s">
        <v>0</v>
      </c>
      <c r="D16" s="26">
        <v>25</v>
      </c>
      <c r="E16" s="1" t="s">
        <v>28</v>
      </c>
      <c r="F16" s="85">
        <f t="shared" si="0"/>
        <v>27.231884057971016</v>
      </c>
      <c r="G16" s="1" t="e">
        <f>IF(VALUE(F16) = VALUE(RIGHT(Insights!$C$3, 4)), E16, "")</f>
        <v>#VALUE!</v>
      </c>
      <c r="H16" s="26" t="e">
        <f t="shared" si="1"/>
        <v>#VALUE!</v>
      </c>
      <c r="I16" s="1" t="e">
        <f t="shared" si="2"/>
        <v>#VALUE!</v>
      </c>
    </row>
    <row r="17" spans="1:9" ht="15.75" customHeight="1">
      <c r="A17" s="26">
        <v>19256</v>
      </c>
      <c r="B17" s="2">
        <v>45110.736898148149</v>
      </c>
      <c r="C17" s="26" t="s">
        <v>0</v>
      </c>
      <c r="D17" s="26">
        <v>15</v>
      </c>
      <c r="E17" s="1" t="s">
        <v>28</v>
      </c>
      <c r="F17" s="85">
        <f t="shared" si="0"/>
        <v>27.231884057971016</v>
      </c>
      <c r="G17" s="1" t="e">
        <f>IF(VALUE(F17) = VALUE(RIGHT(Insights!$C$3, 4)), E17, "")</f>
        <v>#VALUE!</v>
      </c>
      <c r="H17" s="26" t="e">
        <f t="shared" si="1"/>
        <v>#VALUE!</v>
      </c>
      <c r="I17" s="1" t="e">
        <f t="shared" si="2"/>
        <v>#VALUE!</v>
      </c>
    </row>
    <row r="18" spans="1:9" ht="15.75" customHeight="1">
      <c r="A18" s="26">
        <v>19255</v>
      </c>
      <c r="B18" s="2">
        <v>45110.600949074069</v>
      </c>
      <c r="C18" s="26" t="s">
        <v>0</v>
      </c>
      <c r="D18" s="26">
        <v>0</v>
      </c>
      <c r="E18" s="1" t="s">
        <v>82</v>
      </c>
      <c r="F18" s="85">
        <f t="shared" si="0"/>
        <v>0</v>
      </c>
      <c r="G18" s="1" t="e">
        <f>IF(VALUE(F18) = VALUE(RIGHT(Insights!$C$3, 4)), E18, "")</f>
        <v>#VALUE!</v>
      </c>
      <c r="H18" s="26" t="e">
        <f t="shared" si="1"/>
        <v>#VALUE!</v>
      </c>
      <c r="I18" s="1" t="e">
        <f t="shared" si="2"/>
        <v>#VALUE!</v>
      </c>
    </row>
    <row r="19" spans="1:9" ht="15.75" customHeight="1">
      <c r="A19" s="26">
        <v>19254</v>
      </c>
      <c r="B19" s="2">
        <v>45110.599108796298</v>
      </c>
      <c r="C19" s="26" t="s">
        <v>0</v>
      </c>
      <c r="D19" s="26">
        <v>0</v>
      </c>
      <c r="E19" s="1" t="s">
        <v>82</v>
      </c>
      <c r="F19" s="85">
        <f t="shared" si="0"/>
        <v>0</v>
      </c>
      <c r="G19" s="1" t="e">
        <f>IF(VALUE(F19) = VALUE(RIGHT(Insights!$C$3, 4)), E19, "")</f>
        <v>#VALUE!</v>
      </c>
      <c r="H19" s="26" t="e">
        <f t="shared" si="1"/>
        <v>#VALUE!</v>
      </c>
      <c r="I19" s="1" t="e">
        <f t="shared" si="2"/>
        <v>#VALUE!</v>
      </c>
    </row>
    <row r="20" spans="1:9" ht="15.75" customHeight="1">
      <c r="A20" s="26">
        <v>19253</v>
      </c>
      <c r="B20" s="2">
        <v>45110.571122685185</v>
      </c>
      <c r="C20" s="26" t="s">
        <v>8</v>
      </c>
      <c r="D20" s="26">
        <v>25</v>
      </c>
      <c r="E20" s="1" t="s">
        <v>83</v>
      </c>
      <c r="F20" s="85">
        <f t="shared" si="0"/>
        <v>25</v>
      </c>
      <c r="G20" s="1" t="e">
        <f>IF(VALUE(F20) = VALUE(RIGHT(Insights!$C$3, 4)), E20, "")</f>
        <v>#VALUE!</v>
      </c>
      <c r="H20" s="26" t="e">
        <f t="shared" si="1"/>
        <v>#VALUE!</v>
      </c>
      <c r="I20" s="1" t="e">
        <f t="shared" si="2"/>
        <v>#VALUE!</v>
      </c>
    </row>
    <row r="21" spans="1:9" ht="15.75" customHeight="1">
      <c r="A21" s="26">
        <v>19252</v>
      </c>
      <c r="B21" s="2">
        <v>45110.149849537032</v>
      </c>
      <c r="C21" s="26" t="s">
        <v>8</v>
      </c>
      <c r="D21" s="26">
        <v>18</v>
      </c>
      <c r="E21" s="1" t="s">
        <v>84</v>
      </c>
      <c r="F21" s="85">
        <f t="shared" si="0"/>
        <v>20.2</v>
      </c>
      <c r="G21" s="1" t="e">
        <f>IF(VALUE(F21) = VALUE(RIGHT(Insights!$C$3, 4)), E21, "")</f>
        <v>#VALUE!</v>
      </c>
      <c r="H21" s="26" t="e">
        <f t="shared" si="1"/>
        <v>#VALUE!</v>
      </c>
      <c r="I21" s="1" t="e">
        <f t="shared" si="2"/>
        <v>#VALUE!</v>
      </c>
    </row>
    <row r="22" spans="1:9" ht="15.75" customHeight="1">
      <c r="A22" s="26">
        <v>19251</v>
      </c>
      <c r="B22" s="2">
        <v>45110.096805555557</v>
      </c>
      <c r="C22" s="26" t="s">
        <v>8</v>
      </c>
      <c r="D22" s="26">
        <v>25</v>
      </c>
      <c r="E22" s="1" t="s">
        <v>84</v>
      </c>
      <c r="F22" s="85">
        <f t="shared" si="0"/>
        <v>20.2</v>
      </c>
      <c r="G22" s="1" t="e">
        <f>IF(VALUE(F22) = VALUE(RIGHT(Insights!$C$3, 4)), E22, "")</f>
        <v>#VALUE!</v>
      </c>
      <c r="H22" s="26" t="e">
        <f t="shared" si="1"/>
        <v>#VALUE!</v>
      </c>
      <c r="I22" s="1" t="e">
        <f t="shared" si="2"/>
        <v>#VALUE!</v>
      </c>
    </row>
    <row r="23" spans="1:9" ht="15.75" customHeight="1">
      <c r="A23" s="26">
        <v>19250</v>
      </c>
      <c r="B23" s="2">
        <v>45109.179548611108</v>
      </c>
      <c r="C23" s="26" t="s">
        <v>0</v>
      </c>
      <c r="D23" s="26">
        <v>18</v>
      </c>
      <c r="E23" s="1" t="s">
        <v>28</v>
      </c>
      <c r="F23" s="85">
        <f t="shared" si="0"/>
        <v>27.231884057971016</v>
      </c>
      <c r="G23" s="1" t="e">
        <f>IF(VALUE(F23) = VALUE(RIGHT(Insights!$C$3, 4)), E23, "")</f>
        <v>#VALUE!</v>
      </c>
      <c r="H23" s="26" t="e">
        <f t="shared" si="1"/>
        <v>#VALUE!</v>
      </c>
      <c r="I23" s="1" t="e">
        <f t="shared" si="2"/>
        <v>#VALUE!</v>
      </c>
    </row>
    <row r="24" spans="1:9" ht="15.75" customHeight="1">
      <c r="A24" s="26">
        <v>19249</v>
      </c>
      <c r="B24" s="2">
        <v>45109.177650462967</v>
      </c>
      <c r="C24" s="26" t="s">
        <v>0</v>
      </c>
      <c r="D24" s="26">
        <v>18</v>
      </c>
      <c r="E24" s="1" t="s">
        <v>28</v>
      </c>
      <c r="F24" s="85">
        <f t="shared" si="0"/>
        <v>27.231884057971016</v>
      </c>
      <c r="G24" s="1" t="e">
        <f>IF(VALUE(F24) = VALUE(RIGHT(Insights!$C$3, 4)), E24, "")</f>
        <v>#VALUE!</v>
      </c>
      <c r="H24" s="26" t="e">
        <f t="shared" si="1"/>
        <v>#VALUE!</v>
      </c>
      <c r="I24" s="1" t="e">
        <f t="shared" si="2"/>
        <v>#VALUE!</v>
      </c>
    </row>
    <row r="25" spans="1:9" ht="15.75" customHeight="1">
      <c r="A25" s="26">
        <v>19248</v>
      </c>
      <c r="B25" s="2">
        <v>45109.073263888888</v>
      </c>
      <c r="C25" s="26" t="s">
        <v>5</v>
      </c>
      <c r="D25" s="26">
        <v>26</v>
      </c>
      <c r="E25" s="1" t="s">
        <v>59</v>
      </c>
      <c r="F25" s="85">
        <f t="shared" si="0"/>
        <v>25.5</v>
      </c>
      <c r="G25" s="1" t="e">
        <f>IF(VALUE(F25) = VALUE(RIGHT(Insights!$C$3, 4)), E25, "")</f>
        <v>#VALUE!</v>
      </c>
      <c r="H25" s="26" t="e">
        <f t="shared" si="1"/>
        <v>#VALUE!</v>
      </c>
      <c r="I25" s="1" t="e">
        <f t="shared" si="2"/>
        <v>#VALUE!</v>
      </c>
    </row>
    <row r="26" spans="1:9" ht="15.75" customHeight="1">
      <c r="A26" s="26">
        <v>19247</v>
      </c>
      <c r="B26" s="2">
        <v>45108.912395833337</v>
      </c>
      <c r="C26" s="26" t="s">
        <v>8</v>
      </c>
      <c r="D26" s="26">
        <v>26</v>
      </c>
      <c r="E26" s="1" t="s">
        <v>85</v>
      </c>
      <c r="F26" s="85">
        <f t="shared" si="0"/>
        <v>26</v>
      </c>
      <c r="G26" s="1" t="e">
        <f>IF(VALUE(F26) = VALUE(RIGHT(Insights!$C$3, 4)), E26, "")</f>
        <v>#VALUE!</v>
      </c>
      <c r="H26" s="26" t="e">
        <f t="shared" si="1"/>
        <v>#VALUE!</v>
      </c>
      <c r="I26" s="1" t="e">
        <f t="shared" si="2"/>
        <v>#VALUE!</v>
      </c>
    </row>
    <row r="27" spans="1:9" ht="15.75" customHeight="1">
      <c r="A27" s="26">
        <v>19246</v>
      </c>
      <c r="B27" s="2">
        <v>45108.83315972222</v>
      </c>
      <c r="C27" s="26" t="s">
        <v>0</v>
      </c>
      <c r="D27" s="26">
        <v>20</v>
      </c>
      <c r="E27" s="1" t="s">
        <v>28</v>
      </c>
      <c r="F27" s="85">
        <f t="shared" si="0"/>
        <v>27.231884057971016</v>
      </c>
      <c r="G27" s="1" t="e">
        <f>IF(VALUE(F27) = VALUE(RIGHT(Insights!$C$3, 4)), E27, "")</f>
        <v>#VALUE!</v>
      </c>
      <c r="H27" s="26" t="e">
        <f t="shared" si="1"/>
        <v>#VALUE!</v>
      </c>
      <c r="I27" s="1" t="e">
        <f t="shared" si="2"/>
        <v>#VALUE!</v>
      </c>
    </row>
    <row r="28" spans="1:9" ht="15.75" customHeight="1">
      <c r="A28" s="26">
        <v>19245</v>
      </c>
      <c r="B28" s="2">
        <v>45108.732777777783</v>
      </c>
      <c r="C28" s="26" t="s">
        <v>0</v>
      </c>
      <c r="D28" s="26">
        <v>18</v>
      </c>
      <c r="E28" s="1" t="s">
        <v>28</v>
      </c>
      <c r="F28" s="85">
        <f t="shared" si="0"/>
        <v>27.231884057971016</v>
      </c>
      <c r="G28" s="1" t="e">
        <f>IF(VALUE(F28) = VALUE(RIGHT(Insights!$C$3, 4)), E28, "")</f>
        <v>#VALUE!</v>
      </c>
      <c r="H28" s="26" t="e">
        <f t="shared" si="1"/>
        <v>#VALUE!</v>
      </c>
      <c r="I28" s="1" t="e">
        <f t="shared" si="2"/>
        <v>#VALUE!</v>
      </c>
    </row>
    <row r="29" spans="1:9" ht="15.75" customHeight="1">
      <c r="A29" s="26">
        <v>19244</v>
      </c>
      <c r="B29" s="2">
        <v>45108.573159722218</v>
      </c>
      <c r="C29" s="26" t="s">
        <v>16</v>
      </c>
      <c r="D29" s="26">
        <v>25</v>
      </c>
      <c r="E29" s="1" t="s">
        <v>15</v>
      </c>
      <c r="F29" s="85">
        <f t="shared" si="0"/>
        <v>21</v>
      </c>
      <c r="G29" s="1" t="e">
        <f>IF(VALUE(F29) = VALUE(RIGHT(Insights!$C$3, 4)), E29, "")</f>
        <v>#VALUE!</v>
      </c>
      <c r="H29" s="26" t="e">
        <f t="shared" si="1"/>
        <v>#VALUE!</v>
      </c>
      <c r="I29" s="1" t="e">
        <f t="shared" si="2"/>
        <v>#VALUE!</v>
      </c>
    </row>
    <row r="30" spans="1:9" ht="15.75" customHeight="1">
      <c r="A30" s="26">
        <v>19243</v>
      </c>
      <c r="B30" s="2">
        <v>45108.555439814816</v>
      </c>
      <c r="C30" s="26" t="s">
        <v>0</v>
      </c>
      <c r="D30" s="26">
        <v>15</v>
      </c>
      <c r="E30" s="1" t="s">
        <v>28</v>
      </c>
      <c r="F30" s="85">
        <f t="shared" si="0"/>
        <v>27.231884057971016</v>
      </c>
      <c r="G30" s="1" t="e">
        <f>IF(VALUE(F30) = VALUE(RIGHT(Insights!$C$3, 4)), E30, "")</f>
        <v>#VALUE!</v>
      </c>
      <c r="H30" s="26" t="e">
        <f t="shared" si="1"/>
        <v>#VALUE!</v>
      </c>
      <c r="I30" s="1" t="e">
        <f t="shared" si="2"/>
        <v>#VALUE!</v>
      </c>
    </row>
    <row r="31" spans="1:9" ht="15.75" customHeight="1">
      <c r="A31" s="26">
        <v>19242</v>
      </c>
      <c r="B31" s="2">
        <v>45108.121111111112</v>
      </c>
      <c r="C31" s="26" t="s">
        <v>0</v>
      </c>
      <c r="D31" s="26">
        <v>70</v>
      </c>
      <c r="E31" s="1" t="s">
        <v>39</v>
      </c>
      <c r="F31" s="85">
        <f t="shared" si="0"/>
        <v>49</v>
      </c>
      <c r="G31" s="1" t="e">
        <f>IF(VALUE(F31) = VALUE(RIGHT(Insights!$C$3, 4)), E31, "")</f>
        <v>#VALUE!</v>
      </c>
      <c r="H31" s="26" t="e">
        <f t="shared" si="1"/>
        <v>#VALUE!</v>
      </c>
      <c r="I31" s="1" t="e">
        <f t="shared" si="2"/>
        <v>#VALUE!</v>
      </c>
    </row>
    <row r="32" spans="1:9" ht="15.75" customHeight="1">
      <c r="A32" s="26">
        <v>19241</v>
      </c>
      <c r="B32" s="2">
        <v>45108.10291666667</v>
      </c>
      <c r="C32" s="26" t="s">
        <v>5</v>
      </c>
      <c r="D32" s="26">
        <v>40</v>
      </c>
      <c r="E32" s="1" t="s">
        <v>50</v>
      </c>
      <c r="F32" s="85">
        <f t="shared" si="0"/>
        <v>40</v>
      </c>
      <c r="G32" s="1" t="e">
        <f>IF(VALUE(F32) = VALUE(RIGHT(Insights!$C$3, 4)), E32, "")</f>
        <v>#VALUE!</v>
      </c>
      <c r="H32" s="26" t="e">
        <f t="shared" si="1"/>
        <v>#VALUE!</v>
      </c>
      <c r="I32" s="1" t="e">
        <f t="shared" si="2"/>
        <v>#VALUE!</v>
      </c>
    </row>
    <row r="33" spans="1:9" ht="15.75" customHeight="1">
      <c r="A33" s="26">
        <v>19240</v>
      </c>
      <c r="B33" s="2">
        <v>45107.822592592594</v>
      </c>
      <c r="C33" s="26" t="s">
        <v>0</v>
      </c>
      <c r="D33" s="26">
        <v>18</v>
      </c>
      <c r="E33" s="1" t="s">
        <v>28</v>
      </c>
      <c r="F33" s="85">
        <f t="shared" si="0"/>
        <v>27.231884057971016</v>
      </c>
      <c r="G33" s="1" t="e">
        <f>IF(VALUE(F33) = VALUE(RIGHT(Insights!$C$3, 4)), E33, "")</f>
        <v>#VALUE!</v>
      </c>
      <c r="H33" s="26" t="e">
        <f t="shared" si="1"/>
        <v>#VALUE!</v>
      </c>
      <c r="I33" s="1" t="e">
        <f t="shared" si="2"/>
        <v>#VALUE!</v>
      </c>
    </row>
    <row r="34" spans="1:9" ht="15.75" customHeight="1">
      <c r="A34" s="26">
        <v>19239</v>
      </c>
      <c r="B34" s="2">
        <v>45107.71230324074</v>
      </c>
      <c r="C34" s="26" t="s">
        <v>0</v>
      </c>
      <c r="D34" s="26">
        <v>25</v>
      </c>
      <c r="E34" s="1" t="s">
        <v>28</v>
      </c>
      <c r="F34" s="85">
        <f t="shared" si="0"/>
        <v>27.231884057971016</v>
      </c>
      <c r="G34" s="1" t="e">
        <f>IF(VALUE(F34) = VALUE(RIGHT(Insights!$C$3, 4)), E34, "")</f>
        <v>#VALUE!</v>
      </c>
      <c r="H34" s="26" t="e">
        <f t="shared" si="1"/>
        <v>#VALUE!</v>
      </c>
      <c r="I34" s="1" t="e">
        <f t="shared" si="2"/>
        <v>#VALUE!</v>
      </c>
    </row>
    <row r="35" spans="1:9" ht="15.75" customHeight="1">
      <c r="A35" s="26">
        <v>19238</v>
      </c>
      <c r="B35" s="2">
        <v>45107.710775462961</v>
      </c>
      <c r="C35" s="26" t="s">
        <v>0</v>
      </c>
      <c r="D35" s="26">
        <v>25</v>
      </c>
      <c r="E35" s="1" t="s">
        <v>28</v>
      </c>
      <c r="F35" s="85">
        <f t="shared" si="0"/>
        <v>27.231884057971016</v>
      </c>
      <c r="G35" s="1" t="e">
        <f>IF(VALUE(F35) = VALUE(RIGHT(Insights!$C$3, 4)), E35, "")</f>
        <v>#VALUE!</v>
      </c>
      <c r="H35" s="26" t="e">
        <f t="shared" si="1"/>
        <v>#VALUE!</v>
      </c>
      <c r="I35" s="1" t="e">
        <f t="shared" si="2"/>
        <v>#VALUE!</v>
      </c>
    </row>
    <row r="36" spans="1:9" ht="15.75" customHeight="1">
      <c r="A36" s="26">
        <v>19237</v>
      </c>
      <c r="B36" s="2">
        <v>45107.68241898148</v>
      </c>
      <c r="C36" s="26" t="s">
        <v>0</v>
      </c>
      <c r="D36" s="26">
        <v>30</v>
      </c>
      <c r="E36" s="1" t="s">
        <v>28</v>
      </c>
      <c r="F36" s="85">
        <f t="shared" si="0"/>
        <v>27.231884057971016</v>
      </c>
      <c r="G36" s="1" t="e">
        <f>IF(VALUE(F36) = VALUE(RIGHT(Insights!$C$3, 4)), E36, "")</f>
        <v>#VALUE!</v>
      </c>
      <c r="H36" s="26" t="e">
        <f t="shared" si="1"/>
        <v>#VALUE!</v>
      </c>
      <c r="I36" s="1" t="e">
        <f t="shared" si="2"/>
        <v>#VALUE!</v>
      </c>
    </row>
    <row r="37" spans="1:9" ht="15.75" customHeight="1">
      <c r="A37" s="26">
        <v>19236</v>
      </c>
      <c r="B37" s="2">
        <v>45106.850138888884</v>
      </c>
      <c r="C37" s="26" t="s">
        <v>0</v>
      </c>
      <c r="D37" s="26">
        <v>26</v>
      </c>
      <c r="E37" s="1" t="s">
        <v>28</v>
      </c>
      <c r="F37" s="85">
        <f t="shared" si="0"/>
        <v>27.231884057971016</v>
      </c>
      <c r="G37" s="1" t="e">
        <f>IF(VALUE(F37) = VALUE(RIGHT(Insights!$C$3, 4)), E37, "")</f>
        <v>#VALUE!</v>
      </c>
      <c r="H37" s="26" t="e">
        <f t="shared" si="1"/>
        <v>#VALUE!</v>
      </c>
      <c r="I37" s="1" t="e">
        <f t="shared" si="2"/>
        <v>#VALUE!</v>
      </c>
    </row>
    <row r="38" spans="1:9" ht="15.75" customHeight="1">
      <c r="A38" s="26">
        <v>19235</v>
      </c>
      <c r="B38" s="2">
        <v>45106.84679398148</v>
      </c>
      <c r="C38" s="26" t="s">
        <v>0</v>
      </c>
      <c r="D38" s="26">
        <v>26</v>
      </c>
      <c r="E38" s="1" t="s">
        <v>28</v>
      </c>
      <c r="F38" s="85">
        <f t="shared" si="0"/>
        <v>27.231884057971016</v>
      </c>
      <c r="G38" s="1" t="e">
        <f>IF(VALUE(F38) = VALUE(RIGHT(Insights!$C$3, 4)), E38, "")</f>
        <v>#VALUE!</v>
      </c>
      <c r="H38" s="26" t="e">
        <f t="shared" si="1"/>
        <v>#VALUE!</v>
      </c>
      <c r="I38" s="1" t="e">
        <f t="shared" si="2"/>
        <v>#VALUE!</v>
      </c>
    </row>
    <row r="39" spans="1:9" ht="15.75" customHeight="1">
      <c r="A39" s="26">
        <v>19234</v>
      </c>
      <c r="B39" s="2">
        <v>45106.575138888889</v>
      </c>
      <c r="C39" s="26" t="s">
        <v>0</v>
      </c>
      <c r="D39" s="26">
        <v>26</v>
      </c>
      <c r="E39" s="1" t="s">
        <v>28</v>
      </c>
      <c r="F39" s="85">
        <f t="shared" si="0"/>
        <v>27.231884057971016</v>
      </c>
      <c r="G39" s="1" t="e">
        <f>IF(VALUE(F39) = VALUE(RIGHT(Insights!$C$3, 4)), E39, "")</f>
        <v>#VALUE!</v>
      </c>
      <c r="H39" s="26" t="e">
        <f t="shared" si="1"/>
        <v>#VALUE!</v>
      </c>
      <c r="I39" s="1" t="e">
        <f t="shared" si="2"/>
        <v>#VALUE!</v>
      </c>
    </row>
    <row r="40" spans="1:9" ht="15.75" customHeight="1">
      <c r="A40" s="26">
        <v>19233</v>
      </c>
      <c r="B40" s="2">
        <v>45106.572847222225</v>
      </c>
      <c r="C40" s="26" t="s">
        <v>0</v>
      </c>
      <c r="D40" s="26">
        <v>26</v>
      </c>
      <c r="E40" s="1" t="s">
        <v>28</v>
      </c>
      <c r="F40" s="85">
        <f t="shared" si="0"/>
        <v>27.231884057971016</v>
      </c>
      <c r="G40" s="1" t="e">
        <f>IF(VALUE(F40) = VALUE(RIGHT(Insights!$C$3, 4)), E40, "")</f>
        <v>#VALUE!</v>
      </c>
      <c r="H40" s="26" t="e">
        <f t="shared" si="1"/>
        <v>#VALUE!</v>
      </c>
      <c r="I40" s="1" t="e">
        <f t="shared" si="2"/>
        <v>#VALUE!</v>
      </c>
    </row>
    <row r="41" spans="1:9" ht="15.75" customHeight="1">
      <c r="A41" s="26">
        <v>19232</v>
      </c>
      <c r="B41" s="2">
        <v>45106.511111111111</v>
      </c>
      <c r="C41" s="26" t="s">
        <v>0</v>
      </c>
      <c r="D41" s="26">
        <v>25</v>
      </c>
      <c r="E41" s="1" t="s">
        <v>28</v>
      </c>
      <c r="F41" s="85">
        <f t="shared" si="0"/>
        <v>27.231884057971016</v>
      </c>
      <c r="G41" s="1" t="e">
        <f>IF(VALUE(F41) = VALUE(RIGHT(Insights!$C$3, 4)), E41, "")</f>
        <v>#VALUE!</v>
      </c>
      <c r="H41" s="26" t="e">
        <f t="shared" si="1"/>
        <v>#VALUE!</v>
      </c>
      <c r="I41" s="1" t="e">
        <f t="shared" si="2"/>
        <v>#VALUE!</v>
      </c>
    </row>
    <row r="42" spans="1:9" ht="15.75" customHeight="1">
      <c r="A42" s="26">
        <v>19231</v>
      </c>
      <c r="B42" s="2">
        <v>45106.005740740744</v>
      </c>
      <c r="C42" s="26" t="s">
        <v>8</v>
      </c>
      <c r="D42" s="26">
        <v>25</v>
      </c>
      <c r="E42" s="1" t="s">
        <v>59</v>
      </c>
      <c r="F42" s="85">
        <f t="shared" si="0"/>
        <v>25.5</v>
      </c>
      <c r="G42" s="1" t="e">
        <f>IF(VALUE(F42) = VALUE(RIGHT(Insights!$C$3, 4)), E42, "")</f>
        <v>#VALUE!</v>
      </c>
      <c r="H42" s="26" t="e">
        <f t="shared" si="1"/>
        <v>#VALUE!</v>
      </c>
      <c r="I42" s="1" t="e">
        <f t="shared" si="2"/>
        <v>#VALUE!</v>
      </c>
    </row>
    <row r="43" spans="1:9" ht="15.75" customHeight="1">
      <c r="A43" s="26">
        <v>19230</v>
      </c>
      <c r="B43" s="2">
        <v>45105.967511574076</v>
      </c>
      <c r="C43" s="26" t="s">
        <v>0</v>
      </c>
      <c r="D43" s="26">
        <v>0</v>
      </c>
      <c r="E43" s="1" t="s">
        <v>28</v>
      </c>
      <c r="F43" s="85">
        <f t="shared" si="0"/>
        <v>27.231884057971016</v>
      </c>
      <c r="G43" s="1" t="e">
        <f>IF(VALUE(F43) = VALUE(RIGHT(Insights!$C$3, 4)), E43, "")</f>
        <v>#VALUE!</v>
      </c>
      <c r="H43" s="26" t="e">
        <f t="shared" si="1"/>
        <v>#VALUE!</v>
      </c>
      <c r="I43" s="1" t="e">
        <f t="shared" si="2"/>
        <v>#VALUE!</v>
      </c>
    </row>
    <row r="44" spans="1:9" ht="15.75" customHeight="1">
      <c r="A44" s="26">
        <v>19229</v>
      </c>
      <c r="B44" s="2">
        <v>45105.965983796297</v>
      </c>
      <c r="C44" s="26" t="s">
        <v>0</v>
      </c>
      <c r="D44" s="26">
        <v>65</v>
      </c>
      <c r="E44" s="1" t="s">
        <v>28</v>
      </c>
      <c r="F44" s="85">
        <f t="shared" si="0"/>
        <v>27.231884057971016</v>
      </c>
      <c r="G44" s="1" t="e">
        <f>IF(VALUE(F44) = VALUE(RIGHT(Insights!$C$3, 4)), E44, "")</f>
        <v>#VALUE!</v>
      </c>
      <c r="H44" s="26" t="e">
        <f t="shared" si="1"/>
        <v>#VALUE!</v>
      </c>
      <c r="I44" s="1" t="e">
        <f t="shared" si="2"/>
        <v>#VALUE!</v>
      </c>
    </row>
    <row r="45" spans="1:9" ht="15.75" customHeight="1">
      <c r="A45" s="26">
        <v>19228</v>
      </c>
      <c r="B45" s="2">
        <v>45105.955590277779</v>
      </c>
      <c r="C45" s="26" t="s">
        <v>0</v>
      </c>
      <c r="D45" s="26">
        <v>25</v>
      </c>
      <c r="E45" s="1" t="s">
        <v>28</v>
      </c>
      <c r="F45" s="85">
        <f t="shared" si="0"/>
        <v>27.231884057971016</v>
      </c>
      <c r="G45" s="1" t="e">
        <f>IF(VALUE(F45) = VALUE(RIGHT(Insights!$C$3, 4)), E45, "")</f>
        <v>#VALUE!</v>
      </c>
      <c r="H45" s="26" t="e">
        <f t="shared" si="1"/>
        <v>#VALUE!</v>
      </c>
      <c r="I45" s="1" t="e">
        <f t="shared" si="2"/>
        <v>#VALUE!</v>
      </c>
    </row>
    <row r="46" spans="1:9" ht="15.75" customHeight="1">
      <c r="A46" s="26">
        <v>19227</v>
      </c>
      <c r="B46" s="2">
        <v>45105.823136574079</v>
      </c>
      <c r="C46" s="26" t="s">
        <v>0</v>
      </c>
      <c r="D46" s="26">
        <v>53</v>
      </c>
      <c r="E46" s="1" t="s">
        <v>28</v>
      </c>
      <c r="F46" s="85">
        <f t="shared" si="0"/>
        <v>27.231884057971016</v>
      </c>
      <c r="G46" s="1" t="e">
        <f>IF(VALUE(F46) = VALUE(RIGHT(Insights!$C$3, 4)), E46, "")</f>
        <v>#VALUE!</v>
      </c>
      <c r="H46" s="26" t="e">
        <f t="shared" si="1"/>
        <v>#VALUE!</v>
      </c>
      <c r="I46" s="1" t="e">
        <f t="shared" si="2"/>
        <v>#VALUE!</v>
      </c>
    </row>
    <row r="47" spans="1:9" ht="15.75" customHeight="1">
      <c r="A47" s="26">
        <v>19226</v>
      </c>
      <c r="B47" s="2">
        <v>45105.58965277778</v>
      </c>
      <c r="C47" s="26" t="s">
        <v>0</v>
      </c>
      <c r="D47" s="26">
        <v>0</v>
      </c>
      <c r="E47" s="1" t="s">
        <v>28</v>
      </c>
      <c r="F47" s="85">
        <f t="shared" si="0"/>
        <v>27.231884057971016</v>
      </c>
      <c r="G47" s="1" t="e">
        <f>IF(VALUE(F47) = VALUE(RIGHT(Insights!$C$3, 4)), E47, "")</f>
        <v>#VALUE!</v>
      </c>
      <c r="H47" s="26" t="e">
        <f t="shared" si="1"/>
        <v>#VALUE!</v>
      </c>
      <c r="I47" s="1" t="e">
        <f t="shared" si="2"/>
        <v>#VALUE!</v>
      </c>
    </row>
    <row r="48" spans="1:9" ht="15.75" customHeight="1">
      <c r="A48" s="26">
        <v>19225</v>
      </c>
      <c r="B48" s="2">
        <v>45105.588310185187</v>
      </c>
      <c r="C48" s="26" t="s">
        <v>0</v>
      </c>
      <c r="D48" s="26">
        <v>81</v>
      </c>
      <c r="E48" s="1" t="s">
        <v>28</v>
      </c>
      <c r="F48" s="85">
        <f t="shared" si="0"/>
        <v>27.231884057971016</v>
      </c>
      <c r="G48" s="1" t="e">
        <f>IF(VALUE(F48) = VALUE(RIGHT(Insights!$C$3, 4)), E48, "")</f>
        <v>#VALUE!</v>
      </c>
      <c r="H48" s="26" t="e">
        <f t="shared" si="1"/>
        <v>#VALUE!</v>
      </c>
      <c r="I48" s="1" t="e">
        <f t="shared" si="2"/>
        <v>#VALUE!</v>
      </c>
    </row>
    <row r="49" spans="1:9" ht="15.75" customHeight="1">
      <c r="A49" s="26">
        <v>19224</v>
      </c>
      <c r="B49" s="2">
        <v>45105.579618055555</v>
      </c>
      <c r="C49" s="26" t="s">
        <v>0</v>
      </c>
      <c r="D49" s="26">
        <v>134</v>
      </c>
      <c r="E49" s="1" t="s">
        <v>28</v>
      </c>
      <c r="F49" s="85">
        <f t="shared" si="0"/>
        <v>27.231884057971016</v>
      </c>
      <c r="G49" s="1" t="e">
        <f>IF(VALUE(F49) = VALUE(RIGHT(Insights!$C$3, 4)), E49, "")</f>
        <v>#VALUE!</v>
      </c>
      <c r="H49" s="26" t="e">
        <f t="shared" si="1"/>
        <v>#VALUE!</v>
      </c>
      <c r="I49" s="1" t="e">
        <f t="shared" si="2"/>
        <v>#VALUE!</v>
      </c>
    </row>
    <row r="50" spans="1:9" ht="15.75" customHeight="1">
      <c r="A50" s="26">
        <v>19223</v>
      </c>
      <c r="B50" s="2">
        <v>45105.515798611115</v>
      </c>
      <c r="C50" s="26" t="s">
        <v>0</v>
      </c>
      <c r="D50" s="26">
        <v>25</v>
      </c>
      <c r="E50" s="1" t="s">
        <v>28</v>
      </c>
      <c r="F50" s="85">
        <f t="shared" si="0"/>
        <v>27.231884057971016</v>
      </c>
      <c r="G50" s="1" t="e">
        <f>IF(VALUE(F50) = VALUE(RIGHT(Insights!$C$3, 4)), E50, "")</f>
        <v>#VALUE!</v>
      </c>
      <c r="H50" s="26" t="e">
        <f t="shared" si="1"/>
        <v>#VALUE!</v>
      </c>
      <c r="I50" s="1" t="e">
        <f t="shared" si="2"/>
        <v>#VALUE!</v>
      </c>
    </row>
    <row r="51" spans="1:9" ht="15.75" customHeight="1">
      <c r="A51" s="26">
        <v>19222</v>
      </c>
      <c r="B51" s="2">
        <v>45105.155416666668</v>
      </c>
      <c r="C51" s="26" t="s">
        <v>0</v>
      </c>
      <c r="D51" s="26">
        <v>20</v>
      </c>
      <c r="E51" s="1" t="s">
        <v>28</v>
      </c>
      <c r="F51" s="85">
        <f t="shared" si="0"/>
        <v>27.231884057971016</v>
      </c>
      <c r="G51" s="1" t="e">
        <f>IF(VALUE(F51) = VALUE(RIGHT(Insights!$C$3, 4)), E51, "")</f>
        <v>#VALUE!</v>
      </c>
      <c r="H51" s="26" t="e">
        <f t="shared" si="1"/>
        <v>#VALUE!</v>
      </c>
      <c r="I51" s="1" t="e">
        <f t="shared" si="2"/>
        <v>#VALUE!</v>
      </c>
    </row>
    <row r="52" spans="1:9" ht="15.75" customHeight="1">
      <c r="A52" s="26">
        <v>19221</v>
      </c>
      <c r="B52" s="2">
        <v>45105.058738425927</v>
      </c>
      <c r="C52" s="26" t="s">
        <v>0</v>
      </c>
      <c r="D52" s="26">
        <v>15</v>
      </c>
      <c r="E52" s="1" t="s">
        <v>28</v>
      </c>
      <c r="F52" s="85">
        <f t="shared" si="0"/>
        <v>27.231884057971016</v>
      </c>
      <c r="G52" s="1" t="e">
        <f>IF(VALUE(F52) = VALUE(RIGHT(Insights!$C$3, 4)), E52, "")</f>
        <v>#VALUE!</v>
      </c>
      <c r="H52" s="26" t="e">
        <f t="shared" si="1"/>
        <v>#VALUE!</v>
      </c>
      <c r="I52" s="1" t="e">
        <f t="shared" si="2"/>
        <v>#VALUE!</v>
      </c>
    </row>
    <row r="53" spans="1:9" ht="15.75" customHeight="1">
      <c r="A53" s="26">
        <v>19220</v>
      </c>
      <c r="B53" s="2">
        <v>45104.862615740742</v>
      </c>
      <c r="C53" s="26" t="s">
        <v>0</v>
      </c>
      <c r="D53" s="26">
        <v>25</v>
      </c>
      <c r="E53" s="1" t="s">
        <v>28</v>
      </c>
      <c r="F53" s="85">
        <f t="shared" si="0"/>
        <v>27.231884057971016</v>
      </c>
      <c r="G53" s="1" t="e">
        <f>IF(VALUE(F53) = VALUE(RIGHT(Insights!$C$3, 4)), E53, "")</f>
        <v>#VALUE!</v>
      </c>
      <c r="H53" s="26" t="e">
        <f t="shared" si="1"/>
        <v>#VALUE!</v>
      </c>
      <c r="I53" s="1" t="e">
        <f t="shared" si="2"/>
        <v>#VALUE!</v>
      </c>
    </row>
    <row r="54" spans="1:9" ht="15.75" customHeight="1">
      <c r="A54" s="26">
        <v>19219</v>
      </c>
      <c r="B54" s="2">
        <v>45104.830231481479</v>
      </c>
      <c r="C54" s="26" t="s">
        <v>0</v>
      </c>
      <c r="D54" s="26">
        <v>18</v>
      </c>
      <c r="E54" s="1" t="s">
        <v>28</v>
      </c>
      <c r="F54" s="85">
        <f t="shared" si="0"/>
        <v>27.231884057971016</v>
      </c>
      <c r="G54" s="1" t="e">
        <f>IF(VALUE(F54) = VALUE(RIGHT(Insights!$C$3, 4)), E54, "")</f>
        <v>#VALUE!</v>
      </c>
      <c r="H54" s="26" t="e">
        <f t="shared" si="1"/>
        <v>#VALUE!</v>
      </c>
      <c r="I54" s="1" t="e">
        <f t="shared" si="2"/>
        <v>#VALUE!</v>
      </c>
    </row>
    <row r="55" spans="1:9" ht="15.75" customHeight="1">
      <c r="A55" s="26">
        <v>19218</v>
      </c>
      <c r="B55" s="2">
        <v>45104.743321759262</v>
      </c>
      <c r="C55" s="26" t="s">
        <v>0</v>
      </c>
      <c r="D55" s="26">
        <v>25</v>
      </c>
      <c r="E55" s="1" t="s">
        <v>28</v>
      </c>
      <c r="F55" s="85">
        <f t="shared" si="0"/>
        <v>27.231884057971016</v>
      </c>
      <c r="G55" s="1" t="e">
        <f>IF(VALUE(F55) = VALUE(RIGHT(Insights!$C$3, 4)), E55, "")</f>
        <v>#VALUE!</v>
      </c>
      <c r="H55" s="26" t="e">
        <f t="shared" si="1"/>
        <v>#VALUE!</v>
      </c>
      <c r="I55" s="1" t="e">
        <f t="shared" si="2"/>
        <v>#VALUE!</v>
      </c>
    </row>
    <row r="56" spans="1:9" ht="15.75" customHeight="1">
      <c r="A56" s="26">
        <v>19217</v>
      </c>
      <c r="B56" s="2">
        <v>45104.729108796295</v>
      </c>
      <c r="C56" s="26" t="s">
        <v>5</v>
      </c>
      <c r="D56" s="26">
        <v>35</v>
      </c>
      <c r="E56" s="1" t="s">
        <v>28</v>
      </c>
      <c r="F56" s="85">
        <f t="shared" si="0"/>
        <v>27.231884057971016</v>
      </c>
      <c r="G56" s="1" t="e">
        <f>IF(VALUE(F56) = VALUE(RIGHT(Insights!$C$3, 4)), E56, "")</f>
        <v>#VALUE!</v>
      </c>
      <c r="H56" s="26" t="e">
        <f t="shared" si="1"/>
        <v>#VALUE!</v>
      </c>
      <c r="I56" s="1" t="e">
        <f t="shared" si="2"/>
        <v>#VALUE!</v>
      </c>
    </row>
    <row r="57" spans="1:9" ht="15.75" customHeight="1">
      <c r="A57" s="26">
        <v>19216</v>
      </c>
      <c r="B57" s="2">
        <v>45104.61100694444</v>
      </c>
      <c r="C57" s="26" t="s">
        <v>0</v>
      </c>
      <c r="D57" s="26">
        <v>26</v>
      </c>
      <c r="E57" s="1" t="s">
        <v>28</v>
      </c>
      <c r="F57" s="85">
        <f t="shared" si="0"/>
        <v>27.231884057971016</v>
      </c>
      <c r="G57" s="1" t="e">
        <f>IF(VALUE(F57) = VALUE(RIGHT(Insights!$C$3, 4)), E57, "")</f>
        <v>#VALUE!</v>
      </c>
      <c r="H57" s="26" t="e">
        <f t="shared" si="1"/>
        <v>#VALUE!</v>
      </c>
      <c r="I57" s="1" t="e">
        <f t="shared" si="2"/>
        <v>#VALUE!</v>
      </c>
    </row>
    <row r="58" spans="1:9" ht="15.75" customHeight="1">
      <c r="A58" s="26">
        <v>19215</v>
      </c>
      <c r="B58" s="2">
        <v>45104.46774305556</v>
      </c>
      <c r="C58" s="26" t="s">
        <v>0</v>
      </c>
      <c r="D58" s="26">
        <v>53</v>
      </c>
      <c r="E58" s="1" t="s">
        <v>28</v>
      </c>
      <c r="F58" s="85">
        <f t="shared" si="0"/>
        <v>27.231884057971016</v>
      </c>
      <c r="G58" s="1" t="e">
        <f>IF(VALUE(F58) = VALUE(RIGHT(Insights!$C$3, 4)), E58, "")</f>
        <v>#VALUE!</v>
      </c>
      <c r="H58" s="26" t="e">
        <f t="shared" si="1"/>
        <v>#VALUE!</v>
      </c>
      <c r="I58" s="1" t="e">
        <f t="shared" si="2"/>
        <v>#VALUE!</v>
      </c>
    </row>
    <row r="59" spans="1:9" ht="15.75" customHeight="1">
      <c r="A59" s="26">
        <v>19214</v>
      </c>
      <c r="B59" s="2">
        <v>45104.141932870371</v>
      </c>
      <c r="C59" s="26" t="s">
        <v>0</v>
      </c>
      <c r="D59" s="26">
        <v>25</v>
      </c>
      <c r="E59" s="1" t="s">
        <v>28</v>
      </c>
      <c r="F59" s="85">
        <f t="shared" si="0"/>
        <v>27.231884057971016</v>
      </c>
      <c r="G59" s="1" t="e">
        <f>IF(VALUE(F59) = VALUE(RIGHT(Insights!$C$3, 4)), E59, "")</f>
        <v>#VALUE!</v>
      </c>
      <c r="H59" s="26" t="e">
        <f t="shared" si="1"/>
        <v>#VALUE!</v>
      </c>
      <c r="I59" s="1" t="e">
        <f t="shared" si="2"/>
        <v>#VALUE!</v>
      </c>
    </row>
    <row r="60" spans="1:9" ht="15.75" customHeight="1">
      <c r="A60" s="26">
        <v>19213</v>
      </c>
      <c r="B60" s="2">
        <v>45104.023356481484</v>
      </c>
      <c r="C60" s="26" t="s">
        <v>0</v>
      </c>
      <c r="D60" s="26">
        <v>0</v>
      </c>
      <c r="E60" s="1" t="s">
        <v>28</v>
      </c>
      <c r="F60" s="85">
        <f t="shared" si="0"/>
        <v>27.231884057971016</v>
      </c>
      <c r="G60" s="1" t="e">
        <f>IF(VALUE(F60) = VALUE(RIGHT(Insights!$C$3, 4)), E60, "")</f>
        <v>#VALUE!</v>
      </c>
      <c r="H60" s="26" t="e">
        <f t="shared" si="1"/>
        <v>#VALUE!</v>
      </c>
      <c r="I60" s="1" t="e">
        <f t="shared" si="2"/>
        <v>#VALUE!</v>
      </c>
    </row>
    <row r="61" spans="1:9" ht="15.75" customHeight="1">
      <c r="A61" s="26">
        <v>19212</v>
      </c>
      <c r="B61" s="2">
        <v>45104.007847222223</v>
      </c>
      <c r="C61" s="26" t="s">
        <v>0</v>
      </c>
      <c r="D61" s="26">
        <v>20</v>
      </c>
      <c r="E61" s="1" t="s">
        <v>28</v>
      </c>
      <c r="F61" s="85">
        <f t="shared" si="0"/>
        <v>27.231884057971016</v>
      </c>
      <c r="G61" s="1" t="e">
        <f>IF(VALUE(F61) = VALUE(RIGHT(Insights!$C$3, 4)), E61, "")</f>
        <v>#VALUE!</v>
      </c>
      <c r="H61" s="26" t="e">
        <f t="shared" si="1"/>
        <v>#VALUE!</v>
      </c>
      <c r="I61" s="1" t="e">
        <f t="shared" si="2"/>
        <v>#VALUE!</v>
      </c>
    </row>
    <row r="62" spans="1:9" ht="15.75" customHeight="1">
      <c r="A62" s="26">
        <v>19211</v>
      </c>
      <c r="B62" s="2">
        <v>45103.975520833337</v>
      </c>
      <c r="C62" s="26" t="s">
        <v>0</v>
      </c>
      <c r="D62" s="26">
        <v>22</v>
      </c>
      <c r="E62" s="1" t="s">
        <v>28</v>
      </c>
      <c r="F62" s="85">
        <f t="shared" si="0"/>
        <v>27.231884057971016</v>
      </c>
      <c r="G62" s="1" t="e">
        <f>IF(VALUE(F62) = VALUE(RIGHT(Insights!$C$3, 4)), E62, "")</f>
        <v>#VALUE!</v>
      </c>
      <c r="H62" s="26" t="e">
        <f t="shared" si="1"/>
        <v>#VALUE!</v>
      </c>
      <c r="I62" s="1" t="e">
        <f t="shared" si="2"/>
        <v>#VALUE!</v>
      </c>
    </row>
    <row r="63" spans="1:9" ht="15.75" customHeight="1">
      <c r="A63" s="26">
        <v>19210</v>
      </c>
      <c r="B63" s="2">
        <v>45103.95275462963</v>
      </c>
      <c r="C63" s="26" t="s">
        <v>0</v>
      </c>
      <c r="D63" s="26">
        <v>78</v>
      </c>
      <c r="E63" s="1" t="s">
        <v>28</v>
      </c>
      <c r="F63" s="85">
        <f t="shared" si="0"/>
        <v>27.231884057971016</v>
      </c>
      <c r="G63" s="1" t="e">
        <f>IF(VALUE(F63) = VALUE(RIGHT(Insights!$C$3, 4)), E63, "")</f>
        <v>#VALUE!</v>
      </c>
      <c r="H63" s="26" t="e">
        <f t="shared" si="1"/>
        <v>#VALUE!</v>
      </c>
      <c r="I63" s="1" t="e">
        <f t="shared" si="2"/>
        <v>#VALUE!</v>
      </c>
    </row>
    <row r="64" spans="1:9" ht="15.75" customHeight="1">
      <c r="A64" s="26">
        <v>19209</v>
      </c>
      <c r="B64" s="2">
        <v>45103.873460648145</v>
      </c>
      <c r="C64" s="26" t="s">
        <v>0</v>
      </c>
      <c r="D64" s="26">
        <v>25</v>
      </c>
      <c r="E64" s="1" t="s">
        <v>28</v>
      </c>
      <c r="F64" s="85">
        <f t="shared" si="0"/>
        <v>27.231884057971016</v>
      </c>
      <c r="G64" s="1" t="e">
        <f>IF(VALUE(F64) = VALUE(RIGHT(Insights!$C$3, 4)), E64, "")</f>
        <v>#VALUE!</v>
      </c>
      <c r="H64" s="26" t="e">
        <f t="shared" si="1"/>
        <v>#VALUE!</v>
      </c>
      <c r="I64" s="1" t="e">
        <f t="shared" si="2"/>
        <v>#VALUE!</v>
      </c>
    </row>
    <row r="65" spans="1:9" ht="15.75" customHeight="1">
      <c r="A65" s="26">
        <v>19208</v>
      </c>
      <c r="B65" s="2">
        <v>45103.869456018518</v>
      </c>
      <c r="C65" s="26" t="s">
        <v>5</v>
      </c>
      <c r="D65" s="26">
        <v>25</v>
      </c>
      <c r="E65" s="1" t="s">
        <v>28</v>
      </c>
      <c r="F65" s="85">
        <f t="shared" si="0"/>
        <v>27.231884057971016</v>
      </c>
      <c r="G65" s="1" t="e">
        <f>IF(VALUE(F65) = VALUE(RIGHT(Insights!$C$3, 4)), E65, "")</f>
        <v>#VALUE!</v>
      </c>
      <c r="H65" s="26" t="e">
        <f t="shared" si="1"/>
        <v>#VALUE!</v>
      </c>
      <c r="I65" s="1" t="e">
        <f t="shared" si="2"/>
        <v>#VALUE!</v>
      </c>
    </row>
    <row r="66" spans="1:9" ht="15.75" customHeight="1">
      <c r="A66" s="26">
        <v>19207</v>
      </c>
      <c r="B66" s="2">
        <v>45103.808854166666</v>
      </c>
      <c r="C66" s="26" t="s">
        <v>0</v>
      </c>
      <c r="D66" s="26">
        <v>26</v>
      </c>
      <c r="E66" s="1" t="s">
        <v>28</v>
      </c>
      <c r="F66" s="85">
        <f t="shared" si="0"/>
        <v>27.231884057971016</v>
      </c>
      <c r="G66" s="1" t="e">
        <f>IF(VALUE(F66) = VALUE(RIGHT(Insights!$C$3, 4)), E66, "")</f>
        <v>#VALUE!</v>
      </c>
      <c r="H66" s="26" t="e">
        <f t="shared" si="1"/>
        <v>#VALUE!</v>
      </c>
      <c r="I66" s="1" t="e">
        <f t="shared" si="2"/>
        <v>#VALUE!</v>
      </c>
    </row>
    <row r="67" spans="1:9" ht="15.75" customHeight="1">
      <c r="A67" s="26">
        <v>19206</v>
      </c>
      <c r="B67" s="2">
        <v>45103.703321759254</v>
      </c>
      <c r="C67" s="26" t="s">
        <v>10</v>
      </c>
      <c r="D67" s="26">
        <v>15</v>
      </c>
      <c r="E67" s="1" t="s">
        <v>84</v>
      </c>
      <c r="F67" s="85">
        <f t="shared" si="0"/>
        <v>20.2</v>
      </c>
      <c r="G67" s="1" t="e">
        <f>IF(VALUE(F67) = VALUE(RIGHT(Insights!$C$3, 4)), E67, "")</f>
        <v>#VALUE!</v>
      </c>
      <c r="H67" s="26" t="e">
        <f t="shared" si="1"/>
        <v>#VALUE!</v>
      </c>
      <c r="I67" s="1" t="e">
        <f t="shared" si="2"/>
        <v>#VALUE!</v>
      </c>
    </row>
    <row r="68" spans="1:9" ht="15.75" customHeight="1">
      <c r="A68" s="26">
        <v>19205</v>
      </c>
      <c r="B68" s="2">
        <v>45103.657118055555</v>
      </c>
      <c r="C68" s="26" t="s">
        <v>0</v>
      </c>
      <c r="D68" s="26">
        <v>20</v>
      </c>
      <c r="E68" s="1" t="s">
        <v>28</v>
      </c>
      <c r="F68" s="85">
        <f t="shared" si="0"/>
        <v>27.231884057971016</v>
      </c>
      <c r="G68" s="1" t="e">
        <f>IF(VALUE(F68) = VALUE(RIGHT(Insights!$C$3, 4)), E68, "")</f>
        <v>#VALUE!</v>
      </c>
      <c r="H68" s="26" t="e">
        <f t="shared" si="1"/>
        <v>#VALUE!</v>
      </c>
      <c r="I68" s="1" t="e">
        <f t="shared" si="2"/>
        <v>#VALUE!</v>
      </c>
    </row>
    <row r="69" spans="1:9" ht="15.75" customHeight="1">
      <c r="A69" s="26">
        <v>19204</v>
      </c>
      <c r="B69" s="2">
        <v>45103.649976851855</v>
      </c>
      <c r="C69" s="26" t="s">
        <v>0</v>
      </c>
      <c r="D69" s="26">
        <v>25</v>
      </c>
      <c r="E69" s="1" t="s">
        <v>28</v>
      </c>
      <c r="F69" s="85">
        <f t="shared" si="0"/>
        <v>27.231884057971016</v>
      </c>
      <c r="G69" s="1" t="e">
        <f>IF(VALUE(F69) = VALUE(RIGHT(Insights!$C$3, 4)), E69, "")</f>
        <v>#VALUE!</v>
      </c>
      <c r="H69" s="26" t="e">
        <f t="shared" si="1"/>
        <v>#VALUE!</v>
      </c>
      <c r="I69" s="1" t="e">
        <f t="shared" si="2"/>
        <v>#VALUE!</v>
      </c>
    </row>
    <row r="70" spans="1:9" ht="15.75" customHeight="1">
      <c r="A70" s="26">
        <v>19203</v>
      </c>
      <c r="B70" s="2">
        <v>45103.559212962966</v>
      </c>
      <c r="C70" s="26" t="s">
        <v>0</v>
      </c>
      <c r="D70" s="26">
        <v>0</v>
      </c>
      <c r="E70" s="1" t="s">
        <v>28</v>
      </c>
      <c r="F70" s="85">
        <f t="shared" si="0"/>
        <v>27.231884057971016</v>
      </c>
      <c r="G70" s="1" t="e">
        <f>IF(VALUE(F70) = VALUE(RIGHT(Insights!$C$3, 4)), E70, "")</f>
        <v>#VALUE!</v>
      </c>
      <c r="H70" s="26" t="e">
        <f t="shared" si="1"/>
        <v>#VALUE!</v>
      </c>
      <c r="I70" s="1" t="e">
        <f t="shared" si="2"/>
        <v>#VALUE!</v>
      </c>
    </row>
    <row r="71" spans="1:9" ht="15.75" customHeight="1">
      <c r="A71" s="26">
        <v>19202</v>
      </c>
      <c r="B71" s="2">
        <v>45103.557789351849</v>
      </c>
      <c r="C71" s="26" t="s">
        <v>0</v>
      </c>
      <c r="D71" s="26">
        <v>18</v>
      </c>
      <c r="E71" s="1" t="s">
        <v>28</v>
      </c>
      <c r="F71" s="85">
        <f t="shared" si="0"/>
        <v>27.231884057971016</v>
      </c>
      <c r="G71" s="1" t="e">
        <f>IF(VALUE(F71) = VALUE(RIGHT(Insights!$C$3, 4)), E71, "")</f>
        <v>#VALUE!</v>
      </c>
      <c r="H71" s="26" t="e">
        <f t="shared" si="1"/>
        <v>#VALUE!</v>
      </c>
      <c r="I71" s="1" t="e">
        <f t="shared" si="2"/>
        <v>#VALUE!</v>
      </c>
    </row>
    <row r="72" spans="1:9" ht="15.75" customHeight="1">
      <c r="A72" s="26">
        <v>19201</v>
      </c>
      <c r="B72" s="2">
        <v>45103.063819444447</v>
      </c>
      <c r="C72" s="26" t="s">
        <v>0</v>
      </c>
      <c r="D72" s="26">
        <v>15</v>
      </c>
      <c r="E72" s="1" t="s">
        <v>28</v>
      </c>
      <c r="F72" s="85">
        <f t="shared" si="0"/>
        <v>27.231884057971016</v>
      </c>
      <c r="G72" s="1" t="e">
        <f>IF(VALUE(F72) = VALUE(RIGHT(Insights!$C$3, 4)), E72, "")</f>
        <v>#VALUE!</v>
      </c>
      <c r="H72" s="26" t="e">
        <f t="shared" si="1"/>
        <v>#VALUE!</v>
      </c>
      <c r="I72" s="1" t="e">
        <f t="shared" si="2"/>
        <v>#VALUE!</v>
      </c>
    </row>
    <row r="73" spans="1:9" ht="15.75" customHeight="1">
      <c r="A73" s="26">
        <v>19200</v>
      </c>
      <c r="B73" s="2">
        <v>45103.034618055557</v>
      </c>
      <c r="C73" s="26" t="s">
        <v>0</v>
      </c>
      <c r="D73" s="26">
        <v>25</v>
      </c>
      <c r="E73" s="1" t="s">
        <v>28</v>
      </c>
      <c r="F73" s="85">
        <f t="shared" si="0"/>
        <v>27.231884057971016</v>
      </c>
      <c r="G73" s="1" t="e">
        <f>IF(VALUE(F73) = VALUE(RIGHT(Insights!$C$3, 4)), E73, "")</f>
        <v>#VALUE!</v>
      </c>
      <c r="H73" s="26" t="e">
        <f t="shared" si="1"/>
        <v>#VALUE!</v>
      </c>
      <c r="I73" s="1" t="e">
        <f t="shared" si="2"/>
        <v>#VALUE!</v>
      </c>
    </row>
    <row r="74" spans="1:9" ht="15.75" customHeight="1">
      <c r="A74" s="26">
        <v>19199</v>
      </c>
      <c r="B74" s="2">
        <v>45102.990740740745</v>
      </c>
      <c r="C74" s="26" t="s">
        <v>0</v>
      </c>
      <c r="D74" s="26">
        <v>52</v>
      </c>
      <c r="E74" s="1" t="s">
        <v>28</v>
      </c>
      <c r="F74" s="85">
        <f t="shared" si="0"/>
        <v>27.231884057971016</v>
      </c>
      <c r="G74" s="1" t="e">
        <f>IF(VALUE(F74) = VALUE(RIGHT(Insights!$C$3, 4)), E74, "")</f>
        <v>#VALUE!</v>
      </c>
      <c r="H74" s="26" t="e">
        <f t="shared" si="1"/>
        <v>#VALUE!</v>
      </c>
      <c r="I74" s="1" t="e">
        <f t="shared" si="2"/>
        <v>#VALUE!</v>
      </c>
    </row>
    <row r="75" spans="1:9" ht="15.75" customHeight="1">
      <c r="A75" s="26">
        <v>19198</v>
      </c>
      <c r="B75" s="2">
        <v>45102.989282407405</v>
      </c>
      <c r="C75" s="26" t="s">
        <v>0</v>
      </c>
      <c r="D75" s="26">
        <v>35</v>
      </c>
      <c r="E75" s="1" t="s">
        <v>28</v>
      </c>
      <c r="F75" s="85">
        <f t="shared" si="0"/>
        <v>27.231884057971016</v>
      </c>
      <c r="G75" s="1" t="e">
        <f>IF(VALUE(F75) = VALUE(RIGHT(Insights!$C$3, 4)), E75, "")</f>
        <v>#VALUE!</v>
      </c>
      <c r="H75" s="26" t="e">
        <f t="shared" si="1"/>
        <v>#VALUE!</v>
      </c>
      <c r="I75" s="1" t="e">
        <f t="shared" si="2"/>
        <v>#VALUE!</v>
      </c>
    </row>
    <row r="76" spans="1:9" ht="15.75" customHeight="1">
      <c r="A76" s="26">
        <v>19197</v>
      </c>
      <c r="B76" s="2">
        <v>45102.874652777777</v>
      </c>
      <c r="C76" s="26" t="s">
        <v>0</v>
      </c>
      <c r="D76" s="26">
        <v>53</v>
      </c>
      <c r="E76" s="1" t="s">
        <v>28</v>
      </c>
      <c r="F76" s="85">
        <f t="shared" si="0"/>
        <v>27.231884057971016</v>
      </c>
      <c r="G76" s="1" t="e">
        <f>IF(VALUE(F76) = VALUE(RIGHT(Insights!$C$3, 4)), E76, "")</f>
        <v>#VALUE!</v>
      </c>
      <c r="H76" s="26" t="e">
        <f t="shared" si="1"/>
        <v>#VALUE!</v>
      </c>
      <c r="I76" s="1" t="e">
        <f t="shared" si="2"/>
        <v>#VALUE!</v>
      </c>
    </row>
    <row r="77" spans="1:9" ht="15.75" customHeight="1">
      <c r="A77" s="26">
        <v>19196</v>
      </c>
      <c r="B77" s="2">
        <v>45102.872731481482</v>
      </c>
      <c r="C77" s="26" t="s">
        <v>0</v>
      </c>
      <c r="D77" s="26">
        <v>15</v>
      </c>
      <c r="E77" s="1" t="s">
        <v>28</v>
      </c>
      <c r="F77" s="85">
        <f t="shared" si="0"/>
        <v>27.231884057971016</v>
      </c>
      <c r="G77" s="1" t="e">
        <f>IF(VALUE(F77) = VALUE(RIGHT(Insights!$C$3, 4)), E77, "")</f>
        <v>#VALUE!</v>
      </c>
      <c r="H77" s="26" t="e">
        <f t="shared" si="1"/>
        <v>#VALUE!</v>
      </c>
      <c r="I77" s="1" t="e">
        <f t="shared" si="2"/>
        <v>#VALUE!</v>
      </c>
    </row>
    <row r="78" spans="1:9" ht="15.75" customHeight="1">
      <c r="A78" s="26">
        <v>19195</v>
      </c>
      <c r="B78" s="2">
        <v>45102.870659722219</v>
      </c>
      <c r="C78" s="26" t="s">
        <v>0</v>
      </c>
      <c r="D78" s="26">
        <v>15</v>
      </c>
      <c r="E78" s="1" t="s">
        <v>28</v>
      </c>
      <c r="F78" s="85">
        <f t="shared" si="0"/>
        <v>27.231884057971016</v>
      </c>
      <c r="G78" s="1" t="e">
        <f>IF(VALUE(F78) = VALUE(RIGHT(Insights!$C$3, 4)), E78, "")</f>
        <v>#VALUE!</v>
      </c>
      <c r="H78" s="26" t="e">
        <f t="shared" si="1"/>
        <v>#VALUE!</v>
      </c>
      <c r="I78" s="1" t="e">
        <f t="shared" si="2"/>
        <v>#VALUE!</v>
      </c>
    </row>
    <row r="79" spans="1:9" ht="15.75" customHeight="1">
      <c r="A79" s="26">
        <v>19194</v>
      </c>
      <c r="B79" s="2">
        <v>45102.799293981487</v>
      </c>
      <c r="C79" s="26" t="s">
        <v>0</v>
      </c>
      <c r="D79" s="26">
        <v>28</v>
      </c>
      <c r="E79" s="1" t="s">
        <v>28</v>
      </c>
      <c r="F79" s="85">
        <f t="shared" si="0"/>
        <v>27.231884057971016</v>
      </c>
      <c r="G79" s="1" t="e">
        <f>IF(VALUE(F79) = VALUE(RIGHT(Insights!$C$3, 4)), E79, "")</f>
        <v>#VALUE!</v>
      </c>
      <c r="H79" s="26" t="e">
        <f t="shared" si="1"/>
        <v>#VALUE!</v>
      </c>
      <c r="I79" s="1" t="e">
        <f t="shared" si="2"/>
        <v>#VALUE!</v>
      </c>
    </row>
    <row r="80" spans="1:9" ht="15.75" customHeight="1">
      <c r="A80" s="26">
        <v>19193</v>
      </c>
      <c r="B80" s="2">
        <v>45102.631261574075</v>
      </c>
      <c r="C80" s="26" t="s">
        <v>0</v>
      </c>
      <c r="D80" s="26">
        <v>26</v>
      </c>
      <c r="E80" s="1" t="s">
        <v>28</v>
      </c>
      <c r="F80" s="85">
        <f t="shared" si="0"/>
        <v>27.231884057971016</v>
      </c>
      <c r="G80" s="1" t="e">
        <f>IF(VALUE(F80) = VALUE(RIGHT(Insights!$C$3, 4)), E80, "")</f>
        <v>#VALUE!</v>
      </c>
      <c r="H80" s="26" t="e">
        <f t="shared" si="1"/>
        <v>#VALUE!</v>
      </c>
      <c r="I80" s="1" t="e">
        <f t="shared" si="2"/>
        <v>#VALUE!</v>
      </c>
    </row>
    <row r="81" spans="1:9" ht="15.75" customHeight="1">
      <c r="A81" s="26">
        <v>19192</v>
      </c>
      <c r="B81" s="2">
        <v>45102.60869212963</v>
      </c>
      <c r="C81" s="26" t="s">
        <v>0</v>
      </c>
      <c r="D81" s="26">
        <v>15</v>
      </c>
      <c r="E81" s="1" t="s">
        <v>28</v>
      </c>
      <c r="F81" s="85">
        <f t="shared" si="0"/>
        <v>27.231884057971016</v>
      </c>
      <c r="G81" s="1" t="e">
        <f>IF(VALUE(F81) = VALUE(RIGHT(Insights!$C$3, 4)), E81, "")</f>
        <v>#VALUE!</v>
      </c>
      <c r="H81" s="26" t="e">
        <f t="shared" si="1"/>
        <v>#VALUE!</v>
      </c>
      <c r="I81" s="1" t="e">
        <f t="shared" si="2"/>
        <v>#VALUE!</v>
      </c>
    </row>
    <row r="82" spans="1:9" ht="15.75" customHeight="1">
      <c r="A82" s="26">
        <v>19191</v>
      </c>
      <c r="B82" s="2">
        <v>45102.608113425929</v>
      </c>
      <c r="C82" s="26" t="s">
        <v>0</v>
      </c>
      <c r="D82" s="26">
        <v>28</v>
      </c>
      <c r="E82" s="1" t="s">
        <v>28</v>
      </c>
      <c r="F82" s="85">
        <f t="shared" si="0"/>
        <v>27.231884057971016</v>
      </c>
      <c r="G82" s="1" t="e">
        <f>IF(VALUE(F82) = VALUE(RIGHT(Insights!$C$3, 4)), E82, "")</f>
        <v>#VALUE!</v>
      </c>
      <c r="H82" s="26" t="e">
        <f t="shared" si="1"/>
        <v>#VALUE!</v>
      </c>
      <c r="I82" s="1" t="e">
        <f t="shared" si="2"/>
        <v>#VALUE!</v>
      </c>
    </row>
    <row r="83" spans="1:9" ht="15.75" customHeight="1">
      <c r="A83" s="26">
        <v>19190</v>
      </c>
      <c r="B83" s="2">
        <v>45102.607210648144</v>
      </c>
      <c r="C83" s="26" t="s">
        <v>0</v>
      </c>
      <c r="D83" s="26">
        <v>25</v>
      </c>
      <c r="E83" s="1" t="s">
        <v>28</v>
      </c>
      <c r="F83" s="85">
        <f t="shared" si="0"/>
        <v>27.231884057971016</v>
      </c>
      <c r="G83" s="1" t="e">
        <f>IF(VALUE(F83) = VALUE(RIGHT(Insights!$C$3, 4)), E83, "")</f>
        <v>#VALUE!</v>
      </c>
      <c r="H83" s="26" t="e">
        <f t="shared" si="1"/>
        <v>#VALUE!</v>
      </c>
      <c r="I83" s="1" t="e">
        <f t="shared" si="2"/>
        <v>#VALUE!</v>
      </c>
    </row>
    <row r="84" spans="1:9" ht="15.75" customHeight="1">
      <c r="A84" s="26">
        <v>19189</v>
      </c>
      <c r="B84" s="2">
        <v>45102.597893518519</v>
      </c>
      <c r="C84" s="26" t="s">
        <v>0</v>
      </c>
      <c r="D84" s="26">
        <v>26</v>
      </c>
      <c r="E84" s="1" t="s">
        <v>28</v>
      </c>
      <c r="F84" s="85">
        <f t="shared" si="0"/>
        <v>27.231884057971016</v>
      </c>
      <c r="G84" s="1" t="e">
        <f>IF(VALUE(F84) = VALUE(RIGHT(Insights!$C$3, 4)), E84, "")</f>
        <v>#VALUE!</v>
      </c>
      <c r="H84" s="26" t="e">
        <f t="shared" si="1"/>
        <v>#VALUE!</v>
      </c>
      <c r="I84" s="1" t="e">
        <f t="shared" si="2"/>
        <v>#VALUE!</v>
      </c>
    </row>
    <row r="85" spans="1:9" ht="15.75" customHeight="1">
      <c r="A85" s="26">
        <v>19188</v>
      </c>
      <c r="B85" s="2">
        <v>45102.595138888893</v>
      </c>
      <c r="C85" s="26" t="s">
        <v>0</v>
      </c>
      <c r="D85" s="26">
        <v>35</v>
      </c>
      <c r="E85" s="1" t="s">
        <v>28</v>
      </c>
      <c r="F85" s="85">
        <f t="shared" si="0"/>
        <v>27.231884057971016</v>
      </c>
      <c r="G85" s="1" t="e">
        <f>IF(VALUE(F85) = VALUE(RIGHT(Insights!$C$3, 4)), E85, "")</f>
        <v>#VALUE!</v>
      </c>
      <c r="H85" s="26" t="e">
        <f t="shared" si="1"/>
        <v>#VALUE!</v>
      </c>
      <c r="I85" s="1" t="e">
        <f t="shared" si="2"/>
        <v>#VALUE!</v>
      </c>
    </row>
    <row r="86" spans="1:9" ht="15.75" customHeight="1">
      <c r="A86" s="26">
        <v>19187</v>
      </c>
      <c r="B86" s="2">
        <v>45102.586817129632</v>
      </c>
      <c r="C86" s="26" t="s">
        <v>0</v>
      </c>
      <c r="D86" s="26">
        <v>35</v>
      </c>
      <c r="E86" s="1" t="s">
        <v>28</v>
      </c>
      <c r="F86" s="85">
        <f t="shared" si="0"/>
        <v>27.231884057971016</v>
      </c>
      <c r="G86" s="1" t="e">
        <f>IF(VALUE(F86) = VALUE(RIGHT(Insights!$C$3, 4)), E86, "")</f>
        <v>#VALUE!</v>
      </c>
      <c r="H86" s="26" t="e">
        <f t="shared" si="1"/>
        <v>#VALUE!</v>
      </c>
      <c r="I86" s="1" t="e">
        <f t="shared" si="2"/>
        <v>#VALUE!</v>
      </c>
    </row>
    <row r="87" spans="1:9" ht="15.75" customHeight="1">
      <c r="A87" s="26">
        <v>19186</v>
      </c>
      <c r="B87" s="2">
        <v>45102.585497685184</v>
      </c>
      <c r="C87" s="26" t="s">
        <v>0</v>
      </c>
      <c r="D87" s="26">
        <v>35</v>
      </c>
      <c r="E87" s="1" t="s">
        <v>28</v>
      </c>
      <c r="F87" s="85">
        <f t="shared" si="0"/>
        <v>27.231884057971016</v>
      </c>
      <c r="G87" s="1" t="e">
        <f>IF(VALUE(F87) = VALUE(RIGHT(Insights!$C$3, 4)), E87, "")</f>
        <v>#VALUE!</v>
      </c>
      <c r="H87" s="26" t="e">
        <f t="shared" si="1"/>
        <v>#VALUE!</v>
      </c>
      <c r="I87" s="1" t="e">
        <f t="shared" si="2"/>
        <v>#VALUE!</v>
      </c>
    </row>
    <row r="88" spans="1:9" ht="15.75" customHeight="1">
      <c r="A88" s="26">
        <v>19185</v>
      </c>
      <c r="B88" s="2">
        <v>45102.584664351853</v>
      </c>
      <c r="C88" s="26" t="s">
        <v>0</v>
      </c>
      <c r="D88" s="26">
        <v>15</v>
      </c>
      <c r="E88" s="1" t="s">
        <v>28</v>
      </c>
      <c r="F88" s="85">
        <f t="shared" si="0"/>
        <v>27.231884057971016</v>
      </c>
      <c r="G88" s="1" t="e">
        <f>IF(VALUE(F88) = VALUE(RIGHT(Insights!$C$3, 4)), E88, "")</f>
        <v>#VALUE!</v>
      </c>
      <c r="H88" s="26" t="e">
        <f t="shared" si="1"/>
        <v>#VALUE!</v>
      </c>
      <c r="I88" s="1" t="e">
        <f t="shared" si="2"/>
        <v>#VALUE!</v>
      </c>
    </row>
    <row r="89" spans="1:9" ht="15.75" customHeight="1">
      <c r="A89" s="26">
        <v>19184</v>
      </c>
      <c r="B89" s="2">
        <v>45102.583333333328</v>
      </c>
      <c r="C89" s="26" t="s">
        <v>0</v>
      </c>
      <c r="D89" s="26">
        <v>35</v>
      </c>
      <c r="E89" s="1" t="s">
        <v>28</v>
      </c>
      <c r="F89" s="85">
        <f t="shared" si="0"/>
        <v>27.231884057971016</v>
      </c>
      <c r="G89" s="1" t="e">
        <f>IF(VALUE(F89) = VALUE(RIGHT(Insights!$C$3, 4)), E89, "")</f>
        <v>#VALUE!</v>
      </c>
      <c r="H89" s="26" t="e">
        <f t="shared" si="1"/>
        <v>#VALUE!</v>
      </c>
      <c r="I89" s="1" t="e">
        <f t="shared" si="2"/>
        <v>#VALUE!</v>
      </c>
    </row>
    <row r="90" spans="1:9" ht="15.75" customHeight="1">
      <c r="A90" s="26">
        <v>19183</v>
      </c>
      <c r="B90" s="2">
        <v>45102.573680555557</v>
      </c>
      <c r="C90" s="26" t="s">
        <v>0</v>
      </c>
      <c r="D90" s="26">
        <v>25</v>
      </c>
      <c r="E90" s="1" t="s">
        <v>28</v>
      </c>
      <c r="F90" s="85">
        <f t="shared" si="0"/>
        <v>27.231884057971016</v>
      </c>
      <c r="G90" s="1" t="e">
        <f>IF(VALUE(F90) = VALUE(RIGHT(Insights!$C$3, 4)), E90, "")</f>
        <v>#VALUE!</v>
      </c>
      <c r="H90" s="26" t="e">
        <f t="shared" si="1"/>
        <v>#VALUE!</v>
      </c>
      <c r="I90" s="1" t="e">
        <f t="shared" si="2"/>
        <v>#VALUE!</v>
      </c>
    </row>
    <row r="91" spans="1:9" ht="15.75" customHeight="1">
      <c r="A91" s="26">
        <v>19182</v>
      </c>
      <c r="B91" s="2">
        <v>45102.555543981478</v>
      </c>
      <c r="C91" s="26" t="s">
        <v>0</v>
      </c>
      <c r="D91" s="26">
        <v>25</v>
      </c>
      <c r="E91" s="1" t="s">
        <v>28</v>
      </c>
      <c r="F91" s="85">
        <f t="shared" si="0"/>
        <v>27.231884057971016</v>
      </c>
      <c r="G91" s="1" t="e">
        <f>IF(VALUE(F91) = VALUE(RIGHT(Insights!$C$3, 4)), E91, "")</f>
        <v>#VALUE!</v>
      </c>
      <c r="H91" s="26" t="e">
        <f t="shared" si="1"/>
        <v>#VALUE!</v>
      </c>
      <c r="I91" s="1" t="e">
        <f t="shared" si="2"/>
        <v>#VALUE!</v>
      </c>
    </row>
    <row r="92" spans="1:9" ht="15.75" customHeight="1">
      <c r="A92" s="26">
        <v>19181</v>
      </c>
      <c r="B92" s="2">
        <v>45102.554224537038</v>
      </c>
      <c r="C92" s="26" t="s">
        <v>0</v>
      </c>
      <c r="D92" s="26">
        <v>25</v>
      </c>
      <c r="E92" s="1" t="s">
        <v>28</v>
      </c>
      <c r="F92" s="85">
        <f t="shared" si="0"/>
        <v>27.231884057971016</v>
      </c>
      <c r="G92" s="1" t="e">
        <f>IF(VALUE(F92) = VALUE(RIGHT(Insights!$C$3, 4)), E92, "")</f>
        <v>#VALUE!</v>
      </c>
      <c r="H92" s="26" t="e">
        <f t="shared" si="1"/>
        <v>#VALUE!</v>
      </c>
      <c r="I92" s="1" t="e">
        <f t="shared" si="2"/>
        <v>#VALUE!</v>
      </c>
    </row>
    <row r="93" spans="1:9" ht="15.75" customHeight="1">
      <c r="A93" s="26">
        <v>19180</v>
      </c>
      <c r="B93" s="2">
        <v>45102.550983796296</v>
      </c>
      <c r="C93" s="26" t="s">
        <v>0</v>
      </c>
      <c r="D93" s="26">
        <v>28</v>
      </c>
      <c r="E93" s="1" t="s">
        <v>28</v>
      </c>
      <c r="F93" s="85">
        <f t="shared" si="0"/>
        <v>27.231884057971016</v>
      </c>
      <c r="G93" s="1" t="e">
        <f>IF(VALUE(F93) = VALUE(RIGHT(Insights!$C$3, 4)), E93, "")</f>
        <v>#VALUE!</v>
      </c>
      <c r="H93" s="26" t="e">
        <f t="shared" si="1"/>
        <v>#VALUE!</v>
      </c>
      <c r="I93" s="1" t="e">
        <f t="shared" si="2"/>
        <v>#VALUE!</v>
      </c>
    </row>
    <row r="94" spans="1:9" ht="15.75" customHeight="1">
      <c r="A94" s="26">
        <v>19179</v>
      </c>
      <c r="B94" s="2">
        <v>45102.549780092595</v>
      </c>
      <c r="C94" s="26" t="s">
        <v>0</v>
      </c>
      <c r="D94" s="26">
        <v>55</v>
      </c>
      <c r="E94" s="1" t="s">
        <v>28</v>
      </c>
      <c r="F94" s="85">
        <f t="shared" si="0"/>
        <v>27.231884057971016</v>
      </c>
      <c r="G94" s="1" t="e">
        <f>IF(VALUE(F94) = VALUE(RIGHT(Insights!$C$3, 4)), E94, "")</f>
        <v>#VALUE!</v>
      </c>
      <c r="H94" s="26" t="e">
        <f t="shared" si="1"/>
        <v>#VALUE!</v>
      </c>
      <c r="I94" s="1" t="e">
        <f t="shared" si="2"/>
        <v>#VALUE!</v>
      </c>
    </row>
    <row r="95" spans="1:9" ht="15.75" customHeight="1">
      <c r="A95" s="26">
        <v>19178</v>
      </c>
      <c r="B95" s="2">
        <v>45102.527800925927</v>
      </c>
      <c r="C95" s="26" t="s">
        <v>0</v>
      </c>
      <c r="D95" s="26">
        <v>20</v>
      </c>
      <c r="E95" s="1" t="s">
        <v>28</v>
      </c>
      <c r="F95" s="85">
        <f t="shared" si="0"/>
        <v>27.231884057971016</v>
      </c>
      <c r="G95" s="1" t="e">
        <f>IF(VALUE(F95) = VALUE(RIGHT(Insights!$C$3, 4)), E95, "")</f>
        <v>#VALUE!</v>
      </c>
      <c r="H95" s="26" t="e">
        <f t="shared" si="1"/>
        <v>#VALUE!</v>
      </c>
      <c r="I95" s="1" t="e">
        <f t="shared" si="2"/>
        <v>#VALUE!</v>
      </c>
    </row>
    <row r="96" spans="1:9" ht="15.75" customHeight="1">
      <c r="A96" s="26">
        <v>19177</v>
      </c>
      <c r="B96" s="2">
        <v>45102.526539351849</v>
      </c>
      <c r="C96" s="26" t="s">
        <v>0</v>
      </c>
      <c r="D96" s="26">
        <v>20</v>
      </c>
      <c r="E96" s="1" t="s">
        <v>28</v>
      </c>
      <c r="F96" s="85">
        <f t="shared" si="0"/>
        <v>27.231884057971016</v>
      </c>
      <c r="G96" s="1" t="e">
        <f>IF(VALUE(F96) = VALUE(RIGHT(Insights!$C$3, 4)), E96, "")</f>
        <v>#VALUE!</v>
      </c>
      <c r="H96" s="26" t="e">
        <f t="shared" si="1"/>
        <v>#VALUE!</v>
      </c>
      <c r="I96" s="1" t="e">
        <f t="shared" si="2"/>
        <v>#VALUE!</v>
      </c>
    </row>
    <row r="97" spans="1:9" ht="15.75" customHeight="1">
      <c r="A97" s="26">
        <v>19176</v>
      </c>
      <c r="B97" s="2">
        <v>45102.522060185191</v>
      </c>
      <c r="C97" s="26" t="s">
        <v>0</v>
      </c>
      <c r="D97" s="26">
        <v>35</v>
      </c>
      <c r="E97" s="1" t="s">
        <v>28</v>
      </c>
      <c r="F97" s="85">
        <f t="shared" si="0"/>
        <v>27.231884057971016</v>
      </c>
      <c r="G97" s="1" t="e">
        <f>IF(VALUE(F97) = VALUE(RIGHT(Insights!$C$3, 4)), E97, "")</f>
        <v>#VALUE!</v>
      </c>
      <c r="H97" s="26" t="e">
        <f t="shared" si="1"/>
        <v>#VALUE!</v>
      </c>
      <c r="I97" s="1" t="e">
        <f t="shared" si="2"/>
        <v>#VALUE!</v>
      </c>
    </row>
    <row r="98" spans="1:9" ht="15.75" customHeight="1">
      <c r="A98" s="26">
        <v>19175</v>
      </c>
      <c r="B98" s="2">
        <v>45102.505277777775</v>
      </c>
      <c r="C98" s="26" t="s">
        <v>0</v>
      </c>
      <c r="D98" s="26">
        <v>18</v>
      </c>
      <c r="E98" s="1" t="s">
        <v>28</v>
      </c>
      <c r="F98" s="85">
        <f t="shared" si="0"/>
        <v>27.231884057971016</v>
      </c>
      <c r="G98" s="1" t="e">
        <f>IF(VALUE(F98) = VALUE(RIGHT(Insights!$C$3, 4)), E98, "")</f>
        <v>#VALUE!</v>
      </c>
      <c r="H98" s="26" t="e">
        <f t="shared" si="1"/>
        <v>#VALUE!</v>
      </c>
      <c r="I98" s="1" t="e">
        <f t="shared" si="2"/>
        <v>#VALUE!</v>
      </c>
    </row>
    <row r="99" spans="1:9" ht="15.75" customHeight="1">
      <c r="A99" s="26">
        <v>19174</v>
      </c>
      <c r="B99" s="2">
        <v>45102.267754629633</v>
      </c>
      <c r="C99" s="26" t="s">
        <v>0</v>
      </c>
      <c r="D99" s="26">
        <v>80</v>
      </c>
      <c r="E99" s="1" t="s">
        <v>28</v>
      </c>
      <c r="F99" s="85">
        <f t="shared" si="0"/>
        <v>27.231884057971016</v>
      </c>
      <c r="G99" s="1" t="e">
        <f>IF(VALUE(F99) = VALUE(RIGHT(Insights!$C$3, 4)), E99, "")</f>
        <v>#VALUE!</v>
      </c>
      <c r="H99" s="26" t="e">
        <f t="shared" si="1"/>
        <v>#VALUE!</v>
      </c>
      <c r="I99" s="1" t="e">
        <f t="shared" si="2"/>
        <v>#VALUE!</v>
      </c>
    </row>
    <row r="100" spans="1:9" ht="15.75" customHeight="1">
      <c r="A100" s="26">
        <v>19173</v>
      </c>
      <c r="B100" s="2">
        <v>45102.22625</v>
      </c>
      <c r="C100" s="26" t="s">
        <v>0</v>
      </c>
      <c r="D100" s="26">
        <v>28</v>
      </c>
      <c r="E100" s="1" t="s">
        <v>28</v>
      </c>
      <c r="F100" s="85">
        <f t="shared" si="0"/>
        <v>27.231884057971016</v>
      </c>
      <c r="G100" s="1" t="e">
        <f>IF(VALUE(F100) = VALUE(RIGHT(Insights!$C$3, 4)), E100, "")</f>
        <v>#VALUE!</v>
      </c>
      <c r="H100" s="26" t="e">
        <f t="shared" si="1"/>
        <v>#VALUE!</v>
      </c>
      <c r="I100" s="1" t="e">
        <f t="shared" si="2"/>
        <v>#VALUE!</v>
      </c>
    </row>
    <row r="101" spans="1:9" ht="15.75" customHeight="1">
      <c r="A101" s="26">
        <v>19172</v>
      </c>
      <c r="B101" s="2">
        <v>45102.13548611111</v>
      </c>
      <c r="C101" s="26" t="s">
        <v>0</v>
      </c>
      <c r="D101" s="26">
        <v>20</v>
      </c>
      <c r="E101" s="1" t="s">
        <v>28</v>
      </c>
      <c r="F101" s="85">
        <f t="shared" si="0"/>
        <v>27.231884057971016</v>
      </c>
      <c r="G101" s="1" t="e">
        <f>IF(VALUE(F101) = VALUE(RIGHT(Insights!$C$3, 4)), E101, "")</f>
        <v>#VALUE!</v>
      </c>
      <c r="H101" s="26" t="e">
        <f t="shared" si="1"/>
        <v>#VALUE!</v>
      </c>
      <c r="I101" s="1" t="e">
        <f t="shared" si="2"/>
        <v>#VALUE!</v>
      </c>
    </row>
    <row r="102" spans="1:9" ht="15.75" customHeight="1">
      <c r="A102" s="26">
        <v>19171</v>
      </c>
      <c r="B102" s="2">
        <v>45102.133703703701</v>
      </c>
      <c r="C102" s="26" t="s">
        <v>0</v>
      </c>
      <c r="D102" s="26">
        <v>20</v>
      </c>
      <c r="E102" s="1" t="s">
        <v>28</v>
      </c>
      <c r="F102" s="85">
        <f t="shared" si="0"/>
        <v>27.231884057971016</v>
      </c>
      <c r="G102" s="1" t="e">
        <f>IF(VALUE(F102) = VALUE(RIGHT(Insights!$C$3, 4)), E102, "")</f>
        <v>#VALUE!</v>
      </c>
      <c r="H102" s="26" t="e">
        <f t="shared" si="1"/>
        <v>#VALUE!</v>
      </c>
      <c r="I102" s="1" t="e">
        <f t="shared" si="2"/>
        <v>#VALUE!</v>
      </c>
    </row>
    <row r="103" spans="1:9" ht="15.75" customHeight="1">
      <c r="A103" s="26">
        <v>19170</v>
      </c>
      <c r="B103" s="2">
        <v>45102.132569444446</v>
      </c>
      <c r="C103" s="26" t="s">
        <v>0</v>
      </c>
      <c r="D103" s="26">
        <v>20</v>
      </c>
      <c r="E103" s="1" t="s">
        <v>28</v>
      </c>
      <c r="F103" s="85">
        <f t="shared" si="0"/>
        <v>27.231884057971016</v>
      </c>
      <c r="G103" s="1" t="e">
        <f>IF(VALUE(F103) = VALUE(RIGHT(Insights!$C$3, 4)), E103, "")</f>
        <v>#VALUE!</v>
      </c>
      <c r="H103" s="26" t="e">
        <f t="shared" si="1"/>
        <v>#VALUE!</v>
      </c>
      <c r="I103" s="1" t="e">
        <f t="shared" si="2"/>
        <v>#VALUE!</v>
      </c>
    </row>
    <row r="104" spans="1:9" ht="15.75" customHeight="1">
      <c r="A104" s="26">
        <v>19169</v>
      </c>
      <c r="B104" s="2">
        <v>45102.032048611116</v>
      </c>
      <c r="C104" s="26" t="s">
        <v>0</v>
      </c>
      <c r="D104" s="26">
        <v>25</v>
      </c>
      <c r="E104" s="1" t="s">
        <v>99</v>
      </c>
      <c r="F104" s="85">
        <f t="shared" si="0"/>
        <v>25</v>
      </c>
      <c r="G104" s="1" t="e">
        <f>IF(VALUE(F104) = VALUE(RIGHT(Insights!$C$3, 4)), E104, "")</f>
        <v>#VALUE!</v>
      </c>
      <c r="H104" s="26" t="e">
        <f t="shared" si="1"/>
        <v>#VALUE!</v>
      </c>
      <c r="I104" s="1" t="e">
        <f t="shared" si="2"/>
        <v>#VALUE!</v>
      </c>
    </row>
    <row r="105" spans="1:9" ht="15.75" customHeight="1">
      <c r="A105" s="26">
        <v>19168</v>
      </c>
      <c r="B105" s="2">
        <v>45101.852870370371</v>
      </c>
      <c r="C105" s="26" t="s">
        <v>0</v>
      </c>
      <c r="D105" s="26">
        <v>26</v>
      </c>
      <c r="E105" s="1" t="s">
        <v>28</v>
      </c>
      <c r="F105" s="85">
        <f t="shared" si="0"/>
        <v>27.231884057971016</v>
      </c>
      <c r="G105" s="1" t="e">
        <f>IF(VALUE(F105) = VALUE(RIGHT(Insights!$C$3, 4)), E105, "")</f>
        <v>#VALUE!</v>
      </c>
      <c r="H105" s="26" t="e">
        <f t="shared" si="1"/>
        <v>#VALUE!</v>
      </c>
      <c r="I105" s="1" t="e">
        <f t="shared" si="2"/>
        <v>#VALUE!</v>
      </c>
    </row>
    <row r="106" spans="1:9" ht="15.75" customHeight="1">
      <c r="A106" s="26">
        <v>19167</v>
      </c>
      <c r="B106" s="2">
        <v>45101.848043981481</v>
      </c>
      <c r="C106" s="26" t="s">
        <v>0</v>
      </c>
      <c r="D106" s="26">
        <v>26</v>
      </c>
      <c r="E106" s="1" t="s">
        <v>28</v>
      </c>
      <c r="F106" s="85">
        <f t="shared" si="0"/>
        <v>27.231884057971016</v>
      </c>
      <c r="G106" s="1" t="e">
        <f>IF(VALUE(F106) = VALUE(RIGHT(Insights!$C$3, 4)), E106, "")</f>
        <v>#VALUE!</v>
      </c>
      <c r="H106" s="26" t="e">
        <f t="shared" si="1"/>
        <v>#VALUE!</v>
      </c>
      <c r="I106" s="1" t="e">
        <f t="shared" si="2"/>
        <v>#VALUE!</v>
      </c>
    </row>
    <row r="107" spans="1:9" ht="15.75" customHeight="1">
      <c r="A107" s="26">
        <v>19166</v>
      </c>
      <c r="B107" s="2">
        <v>45101.814317129625</v>
      </c>
      <c r="C107" s="26" t="s">
        <v>0</v>
      </c>
      <c r="D107" s="26">
        <v>18</v>
      </c>
      <c r="E107" s="1" t="s">
        <v>28</v>
      </c>
      <c r="F107" s="85">
        <f t="shared" si="0"/>
        <v>27.231884057971016</v>
      </c>
      <c r="G107" s="1" t="e">
        <f>IF(VALUE(F107) = VALUE(RIGHT(Insights!$C$3, 4)), E107, "")</f>
        <v>#VALUE!</v>
      </c>
      <c r="H107" s="26" t="e">
        <f t="shared" si="1"/>
        <v>#VALUE!</v>
      </c>
      <c r="I107" s="1" t="e">
        <f t="shared" si="2"/>
        <v>#VALUE!</v>
      </c>
    </row>
    <row r="108" spans="1:9" ht="15.75" customHeight="1">
      <c r="A108" s="26">
        <v>19165</v>
      </c>
      <c r="B108" s="2">
        <v>45101.811412037037</v>
      </c>
      <c r="C108" s="26" t="s">
        <v>0</v>
      </c>
      <c r="D108" s="26">
        <v>33</v>
      </c>
      <c r="E108" s="1" t="s">
        <v>28</v>
      </c>
      <c r="F108" s="85">
        <f t="shared" si="0"/>
        <v>27.231884057971016</v>
      </c>
      <c r="G108" s="1" t="e">
        <f>IF(VALUE(F108) = VALUE(RIGHT(Insights!$C$3, 4)), E108, "")</f>
        <v>#VALUE!</v>
      </c>
      <c r="H108" s="26" t="e">
        <f t="shared" si="1"/>
        <v>#VALUE!</v>
      </c>
      <c r="I108" s="1" t="e">
        <f t="shared" si="2"/>
        <v>#VALUE!</v>
      </c>
    </row>
    <row r="109" spans="1:9" ht="15.75" customHeight="1">
      <c r="A109" s="26">
        <v>19164</v>
      </c>
      <c r="B109" s="2">
        <v>45101.774537037039</v>
      </c>
      <c r="C109" s="26" t="s">
        <v>0</v>
      </c>
      <c r="D109" s="26">
        <v>18</v>
      </c>
      <c r="E109" s="1" t="s">
        <v>28</v>
      </c>
      <c r="F109" s="85">
        <f t="shared" si="0"/>
        <v>27.231884057971016</v>
      </c>
      <c r="G109" s="1" t="e">
        <f>IF(VALUE(F109) = VALUE(RIGHT(Insights!$C$3, 4)), E109, "")</f>
        <v>#VALUE!</v>
      </c>
      <c r="H109" s="26" t="e">
        <f t="shared" si="1"/>
        <v>#VALUE!</v>
      </c>
      <c r="I109" s="1" t="e">
        <f t="shared" si="2"/>
        <v>#VALUE!</v>
      </c>
    </row>
    <row r="110" spans="1:9" ht="15.75" customHeight="1">
      <c r="A110" s="26">
        <v>19163</v>
      </c>
      <c r="B110" s="2">
        <v>45101.71402777778</v>
      </c>
      <c r="C110" s="26" t="s">
        <v>0</v>
      </c>
      <c r="D110" s="26">
        <v>26</v>
      </c>
      <c r="E110" s="1" t="s">
        <v>28</v>
      </c>
      <c r="F110" s="85">
        <f t="shared" si="0"/>
        <v>27.231884057971016</v>
      </c>
      <c r="G110" s="1" t="e">
        <f>IF(VALUE(F110) = VALUE(RIGHT(Insights!$C$3, 4)), E110, "")</f>
        <v>#VALUE!</v>
      </c>
      <c r="H110" s="26" t="e">
        <f t="shared" si="1"/>
        <v>#VALUE!</v>
      </c>
      <c r="I110" s="1" t="e">
        <f t="shared" si="2"/>
        <v>#VALUE!</v>
      </c>
    </row>
    <row r="111" spans="1:9" ht="15.75" customHeight="1">
      <c r="A111" s="26">
        <v>19162</v>
      </c>
      <c r="B111" s="2">
        <v>45101.713090277779</v>
      </c>
      <c r="C111" s="26" t="s">
        <v>5</v>
      </c>
      <c r="D111" s="26">
        <v>25</v>
      </c>
      <c r="E111" s="1" t="s">
        <v>28</v>
      </c>
      <c r="F111" s="85">
        <f t="shared" si="0"/>
        <v>27.231884057971016</v>
      </c>
      <c r="G111" s="1" t="e">
        <f>IF(VALUE(F111) = VALUE(RIGHT(Insights!$C$3, 4)), E111, "")</f>
        <v>#VALUE!</v>
      </c>
      <c r="H111" s="26" t="e">
        <f t="shared" si="1"/>
        <v>#VALUE!</v>
      </c>
      <c r="I111" s="1" t="e">
        <f t="shared" si="2"/>
        <v>#VALUE!</v>
      </c>
    </row>
    <row r="112" spans="1:9" ht="15.75" customHeight="1">
      <c r="A112" s="26">
        <v>19161</v>
      </c>
      <c r="B112" s="2">
        <v>45101.689328703702</v>
      </c>
      <c r="C112" s="26" t="s">
        <v>0</v>
      </c>
      <c r="D112" s="26">
        <v>35</v>
      </c>
      <c r="E112" s="1" t="s">
        <v>28</v>
      </c>
      <c r="F112" s="85">
        <f t="shared" si="0"/>
        <v>27.231884057971016</v>
      </c>
      <c r="G112" s="1" t="e">
        <f>IF(VALUE(F112) = VALUE(RIGHT(Insights!$C$3, 4)), E112, "")</f>
        <v>#VALUE!</v>
      </c>
      <c r="H112" s="26" t="e">
        <f t="shared" si="1"/>
        <v>#VALUE!</v>
      </c>
      <c r="I112" s="1" t="e">
        <f t="shared" si="2"/>
        <v>#VALUE!</v>
      </c>
    </row>
    <row r="113" spans="1:9" ht="15.75" customHeight="1">
      <c r="A113" s="26">
        <v>19160</v>
      </c>
      <c r="B113" s="2">
        <v>45101.688055555554</v>
      </c>
      <c r="C113" s="26" t="s">
        <v>0</v>
      </c>
      <c r="D113" s="26">
        <v>25</v>
      </c>
      <c r="E113" s="1" t="s">
        <v>28</v>
      </c>
      <c r="F113" s="85">
        <f t="shared" si="0"/>
        <v>27.231884057971016</v>
      </c>
      <c r="G113" s="1" t="e">
        <f>IF(VALUE(F113) = VALUE(RIGHT(Insights!$C$3, 4)), E113, "")</f>
        <v>#VALUE!</v>
      </c>
      <c r="H113" s="26" t="e">
        <f t="shared" si="1"/>
        <v>#VALUE!</v>
      </c>
      <c r="I113" s="1" t="e">
        <f t="shared" si="2"/>
        <v>#VALUE!</v>
      </c>
    </row>
    <row r="114" spans="1:9" ht="15.75" customHeight="1">
      <c r="A114" s="26">
        <v>19159</v>
      </c>
      <c r="B114" s="2">
        <v>45101.684224537035</v>
      </c>
      <c r="C114" s="26" t="s">
        <v>0</v>
      </c>
      <c r="D114" s="26">
        <v>20</v>
      </c>
      <c r="E114" s="1" t="s">
        <v>28</v>
      </c>
      <c r="F114" s="85">
        <f t="shared" si="0"/>
        <v>27.231884057971016</v>
      </c>
      <c r="G114" s="1" t="e">
        <f>IF(VALUE(F114) = VALUE(RIGHT(Insights!$C$3, 4)), E114, "")</f>
        <v>#VALUE!</v>
      </c>
      <c r="H114" s="26" t="e">
        <f t="shared" si="1"/>
        <v>#VALUE!</v>
      </c>
      <c r="I114" s="1" t="e">
        <f t="shared" si="2"/>
        <v>#VALUE!</v>
      </c>
    </row>
    <row r="115" spans="1:9" ht="15.75" customHeight="1">
      <c r="A115" s="26">
        <v>19158</v>
      </c>
      <c r="B115" s="2">
        <v>45101.681400462963</v>
      </c>
      <c r="C115" s="26" t="s">
        <v>0</v>
      </c>
      <c r="D115" s="26">
        <v>40</v>
      </c>
      <c r="E115" s="1" t="s">
        <v>28</v>
      </c>
      <c r="F115" s="85">
        <f t="shared" si="0"/>
        <v>27.231884057971016</v>
      </c>
      <c r="G115" s="1" t="e">
        <f>IF(VALUE(F115) = VALUE(RIGHT(Insights!$C$3, 4)), E115, "")</f>
        <v>#VALUE!</v>
      </c>
      <c r="H115" s="26" t="e">
        <f t="shared" si="1"/>
        <v>#VALUE!</v>
      </c>
      <c r="I115" s="1" t="e">
        <f t="shared" si="2"/>
        <v>#VALUE!</v>
      </c>
    </row>
    <row r="116" spans="1:9" ht="15.75" customHeight="1">
      <c r="A116" s="26">
        <v>19157</v>
      </c>
      <c r="B116" s="2">
        <v>45101.680555555555</v>
      </c>
      <c r="C116" s="26" t="s">
        <v>0</v>
      </c>
      <c r="D116" s="26">
        <v>18</v>
      </c>
      <c r="E116" s="1" t="s">
        <v>100</v>
      </c>
      <c r="F116" s="85">
        <f t="shared" si="0"/>
        <v>18</v>
      </c>
      <c r="G116" s="1" t="e">
        <f>IF(VALUE(F116) = VALUE(RIGHT(Insights!$C$3, 4)), E116, "")</f>
        <v>#VALUE!</v>
      </c>
      <c r="H116" s="26" t="e">
        <f t="shared" si="1"/>
        <v>#VALUE!</v>
      </c>
      <c r="I116" s="1" t="e">
        <f t="shared" si="2"/>
        <v>#VALUE!</v>
      </c>
    </row>
    <row r="117" spans="1:9" ht="15.75" customHeight="1">
      <c r="A117" s="26">
        <v>19156</v>
      </c>
      <c r="B117" s="2">
        <v>45101.6799537037</v>
      </c>
      <c r="C117" s="26" t="s">
        <v>0</v>
      </c>
      <c r="D117" s="26">
        <v>25</v>
      </c>
      <c r="E117" s="1" t="s">
        <v>28</v>
      </c>
      <c r="F117" s="85">
        <f t="shared" si="0"/>
        <v>27.231884057971016</v>
      </c>
      <c r="G117" s="1" t="e">
        <f>IF(VALUE(F117) = VALUE(RIGHT(Insights!$C$3, 4)), E117, "")</f>
        <v>#VALUE!</v>
      </c>
      <c r="H117" s="26" t="e">
        <f t="shared" si="1"/>
        <v>#VALUE!</v>
      </c>
      <c r="I117" s="1" t="e">
        <f t="shared" si="2"/>
        <v>#VALUE!</v>
      </c>
    </row>
    <row r="118" spans="1:9" ht="15.75" customHeight="1">
      <c r="A118" s="26">
        <v>19155</v>
      </c>
      <c r="B118" s="2">
        <v>45101.674062499995</v>
      </c>
      <c r="C118" s="26" t="s">
        <v>0</v>
      </c>
      <c r="D118" s="26">
        <v>25</v>
      </c>
      <c r="E118" s="1" t="s">
        <v>28</v>
      </c>
      <c r="F118" s="85">
        <f t="shared" si="0"/>
        <v>27.231884057971016</v>
      </c>
      <c r="G118" s="1" t="e">
        <f>IF(VALUE(F118) = VALUE(RIGHT(Insights!$C$3, 4)), E118, "")</f>
        <v>#VALUE!</v>
      </c>
      <c r="H118" s="26" t="e">
        <f t="shared" si="1"/>
        <v>#VALUE!</v>
      </c>
      <c r="I118" s="1" t="e">
        <f t="shared" si="2"/>
        <v>#VALUE!</v>
      </c>
    </row>
    <row r="119" spans="1:9" ht="15.75" customHeight="1">
      <c r="A119" s="26">
        <v>19154</v>
      </c>
      <c r="B119" s="2">
        <v>45101.666620370372</v>
      </c>
      <c r="C119" s="26" t="s">
        <v>0</v>
      </c>
      <c r="D119" s="26">
        <v>15</v>
      </c>
      <c r="E119" s="1" t="s">
        <v>28</v>
      </c>
      <c r="F119" s="85">
        <f t="shared" si="0"/>
        <v>27.231884057971016</v>
      </c>
      <c r="G119" s="1" t="e">
        <f>IF(VALUE(F119) = VALUE(RIGHT(Insights!$C$3, 4)), E119, "")</f>
        <v>#VALUE!</v>
      </c>
      <c r="H119" s="26" t="e">
        <f t="shared" si="1"/>
        <v>#VALUE!</v>
      </c>
      <c r="I119" s="1" t="e">
        <f t="shared" si="2"/>
        <v>#VALUE!</v>
      </c>
    </row>
    <row r="120" spans="1:9" ht="15.75" customHeight="1">
      <c r="A120" s="26">
        <v>19153</v>
      </c>
      <c r="B120" s="2">
        <v>45101.666446759264</v>
      </c>
      <c r="C120" s="26" t="s">
        <v>0</v>
      </c>
      <c r="D120" s="26">
        <v>25</v>
      </c>
      <c r="E120" s="1" t="s">
        <v>28</v>
      </c>
      <c r="F120" s="85">
        <f t="shared" si="0"/>
        <v>27.231884057971016</v>
      </c>
      <c r="G120" s="1" t="e">
        <f>IF(VALUE(F120) = VALUE(RIGHT(Insights!$C$3, 4)), E120, "")</f>
        <v>#VALUE!</v>
      </c>
      <c r="H120" s="26" t="e">
        <f t="shared" si="1"/>
        <v>#VALUE!</v>
      </c>
      <c r="I120" s="1" t="e">
        <f t="shared" si="2"/>
        <v>#VALUE!</v>
      </c>
    </row>
    <row r="121" spans="1:9" ht="15.75" customHeight="1">
      <c r="A121" s="26">
        <v>19152</v>
      </c>
      <c r="B121" s="2">
        <v>45101.663634259261</v>
      </c>
      <c r="C121" s="26" t="s">
        <v>0</v>
      </c>
      <c r="D121" s="26">
        <v>48</v>
      </c>
      <c r="E121" s="1" t="s">
        <v>28</v>
      </c>
      <c r="F121" s="85">
        <f t="shared" si="0"/>
        <v>27.231884057971016</v>
      </c>
      <c r="G121" s="1" t="e">
        <f>IF(VALUE(F121) = VALUE(RIGHT(Insights!$C$3, 4)), E121, "")</f>
        <v>#VALUE!</v>
      </c>
      <c r="H121" s="26" t="e">
        <f t="shared" si="1"/>
        <v>#VALUE!</v>
      </c>
      <c r="I121" s="1" t="e">
        <f t="shared" si="2"/>
        <v>#VALUE!</v>
      </c>
    </row>
    <row r="122" spans="1:9" ht="15.75" customHeight="1">
      <c r="A122" s="26">
        <v>19151</v>
      </c>
      <c r="B122" s="2">
        <v>45101.65042824074</v>
      </c>
      <c r="C122" s="26" t="s">
        <v>0</v>
      </c>
      <c r="D122" s="26">
        <v>18</v>
      </c>
      <c r="E122" s="1" t="s">
        <v>28</v>
      </c>
      <c r="F122" s="85">
        <f t="shared" si="0"/>
        <v>27.231884057971016</v>
      </c>
      <c r="G122" s="1" t="e">
        <f>IF(VALUE(F122) = VALUE(RIGHT(Insights!$C$3, 4)), E122, "")</f>
        <v>#VALUE!</v>
      </c>
      <c r="H122" s="26" t="e">
        <f t="shared" si="1"/>
        <v>#VALUE!</v>
      </c>
      <c r="I122" s="1" t="e">
        <f t="shared" si="2"/>
        <v>#VALUE!</v>
      </c>
    </row>
    <row r="123" spans="1:9" ht="15.75" customHeight="1">
      <c r="A123" s="26">
        <v>19150</v>
      </c>
      <c r="B123" s="2">
        <v>45101.648680555554</v>
      </c>
      <c r="C123" s="26" t="s">
        <v>0</v>
      </c>
      <c r="D123" s="26">
        <v>48</v>
      </c>
      <c r="E123" s="1" t="s">
        <v>28</v>
      </c>
      <c r="F123" s="85">
        <f t="shared" si="0"/>
        <v>27.231884057971016</v>
      </c>
      <c r="G123" s="1" t="e">
        <f>IF(VALUE(F123) = VALUE(RIGHT(Insights!$C$3, 4)), E123, "")</f>
        <v>#VALUE!</v>
      </c>
      <c r="H123" s="26" t="e">
        <f t="shared" si="1"/>
        <v>#VALUE!</v>
      </c>
      <c r="I123" s="1" t="e">
        <f t="shared" si="2"/>
        <v>#VALUE!</v>
      </c>
    </row>
    <row r="124" spans="1:9" ht="15.75" customHeight="1">
      <c r="A124" s="26">
        <v>19149</v>
      </c>
      <c r="B124" s="2">
        <v>45101.648483796293</v>
      </c>
      <c r="C124" s="26" t="s">
        <v>0</v>
      </c>
      <c r="D124" s="26">
        <v>18</v>
      </c>
      <c r="E124" s="1" t="s">
        <v>28</v>
      </c>
      <c r="F124" s="85">
        <f t="shared" si="0"/>
        <v>27.231884057971016</v>
      </c>
      <c r="G124" s="1" t="e">
        <f>IF(VALUE(F124) = VALUE(RIGHT(Insights!$C$3, 4)), E124, "")</f>
        <v>#VALUE!</v>
      </c>
      <c r="H124" s="26" t="e">
        <f t="shared" si="1"/>
        <v>#VALUE!</v>
      </c>
      <c r="I124" s="1" t="e">
        <f t="shared" si="2"/>
        <v>#VALUE!</v>
      </c>
    </row>
    <row r="125" spans="1:9" ht="15.75" customHeight="1">
      <c r="A125" s="26">
        <v>19148</v>
      </c>
      <c r="B125" s="2">
        <v>45101.647187499999</v>
      </c>
      <c r="C125" s="26" t="s">
        <v>0</v>
      </c>
      <c r="D125" s="26">
        <v>18</v>
      </c>
      <c r="E125" s="1" t="s">
        <v>28</v>
      </c>
      <c r="F125" s="85">
        <f t="shared" si="0"/>
        <v>27.231884057971016</v>
      </c>
      <c r="G125" s="1" t="e">
        <f>IF(VALUE(F125) = VALUE(RIGHT(Insights!$C$3, 4)), E125, "")</f>
        <v>#VALUE!</v>
      </c>
      <c r="H125" s="26" t="e">
        <f t="shared" si="1"/>
        <v>#VALUE!</v>
      </c>
      <c r="I125" s="1" t="e">
        <f t="shared" si="2"/>
        <v>#VALUE!</v>
      </c>
    </row>
    <row r="126" spans="1:9" ht="15.75" customHeight="1">
      <c r="A126" s="26">
        <v>19147</v>
      </c>
      <c r="B126" s="2">
        <v>45101.643842592588</v>
      </c>
      <c r="C126" s="26" t="s">
        <v>0</v>
      </c>
      <c r="D126" s="26">
        <v>0</v>
      </c>
      <c r="E126" s="1" t="s">
        <v>28</v>
      </c>
      <c r="F126" s="85">
        <f t="shared" si="0"/>
        <v>27.231884057971016</v>
      </c>
      <c r="G126" s="1" t="e">
        <f>IF(VALUE(F126) = VALUE(RIGHT(Insights!$C$3, 4)), E126, "")</f>
        <v>#VALUE!</v>
      </c>
      <c r="H126" s="26" t="e">
        <f t="shared" si="1"/>
        <v>#VALUE!</v>
      </c>
      <c r="I126" s="1" t="e">
        <f t="shared" si="2"/>
        <v>#VALUE!</v>
      </c>
    </row>
    <row r="127" spans="1:9" ht="15.75" customHeight="1">
      <c r="A127" s="26">
        <v>19146</v>
      </c>
      <c r="B127" s="2">
        <v>45101.642268518517</v>
      </c>
      <c r="C127" s="26" t="s">
        <v>0</v>
      </c>
      <c r="D127" s="26">
        <v>30</v>
      </c>
      <c r="E127" s="1" t="s">
        <v>28</v>
      </c>
      <c r="F127" s="85">
        <f t="shared" si="0"/>
        <v>27.231884057971016</v>
      </c>
      <c r="G127" s="1" t="e">
        <f>IF(VALUE(F127) = VALUE(RIGHT(Insights!$C$3, 4)), E127, "")</f>
        <v>#VALUE!</v>
      </c>
      <c r="H127" s="26" t="e">
        <f t="shared" si="1"/>
        <v>#VALUE!</v>
      </c>
      <c r="I127" s="1" t="e">
        <f t="shared" si="2"/>
        <v>#VALUE!</v>
      </c>
    </row>
    <row r="128" spans="1:9" ht="15.75" customHeight="1">
      <c r="A128" s="26">
        <v>19145</v>
      </c>
      <c r="B128" s="2">
        <v>45101.638668981483</v>
      </c>
      <c r="C128" s="26" t="s">
        <v>0</v>
      </c>
      <c r="D128" s="26">
        <v>22</v>
      </c>
      <c r="E128" s="1" t="s">
        <v>28</v>
      </c>
      <c r="F128" s="85">
        <f t="shared" si="0"/>
        <v>27.231884057971016</v>
      </c>
      <c r="G128" s="1" t="e">
        <f>IF(VALUE(F128) = VALUE(RIGHT(Insights!$C$3, 4)), E128, "")</f>
        <v>#VALUE!</v>
      </c>
      <c r="H128" s="26" t="e">
        <f t="shared" si="1"/>
        <v>#VALUE!</v>
      </c>
      <c r="I128" s="1" t="e">
        <f t="shared" si="2"/>
        <v>#VALUE!</v>
      </c>
    </row>
    <row r="129" spans="1:9" ht="15.75" customHeight="1">
      <c r="A129" s="26">
        <v>19144</v>
      </c>
      <c r="B129" s="2">
        <v>45101.633263888885</v>
      </c>
      <c r="C129" s="26" t="s">
        <v>0</v>
      </c>
      <c r="D129" s="26">
        <v>22</v>
      </c>
      <c r="E129" s="1" t="s">
        <v>28</v>
      </c>
      <c r="F129" s="85">
        <f t="shared" si="0"/>
        <v>27.231884057971016</v>
      </c>
      <c r="G129" s="1" t="e">
        <f>IF(VALUE(F129) = VALUE(RIGHT(Insights!$C$3, 4)), E129, "")</f>
        <v>#VALUE!</v>
      </c>
      <c r="H129" s="26" t="e">
        <f t="shared" si="1"/>
        <v>#VALUE!</v>
      </c>
      <c r="I129" s="1" t="e">
        <f t="shared" si="2"/>
        <v>#VALUE!</v>
      </c>
    </row>
    <row r="130" spans="1:9" ht="15.75" customHeight="1">
      <c r="A130" s="26">
        <v>19143</v>
      </c>
      <c r="B130" s="2">
        <v>45101.6330787037</v>
      </c>
      <c r="C130" s="26" t="s">
        <v>0</v>
      </c>
      <c r="D130" s="26">
        <v>25</v>
      </c>
      <c r="E130" s="1" t="s">
        <v>28</v>
      </c>
      <c r="F130" s="85">
        <f t="shared" si="0"/>
        <v>27.231884057971016</v>
      </c>
      <c r="G130" s="1" t="e">
        <f>IF(VALUE(F130) = VALUE(RIGHT(Insights!$C$3, 4)), E130, "")</f>
        <v>#VALUE!</v>
      </c>
      <c r="H130" s="26" t="e">
        <f t="shared" si="1"/>
        <v>#VALUE!</v>
      </c>
      <c r="I130" s="1" t="e">
        <f t="shared" si="2"/>
        <v>#VALUE!</v>
      </c>
    </row>
    <row r="131" spans="1:9" ht="15.75" customHeight="1">
      <c r="A131" s="26">
        <v>19142</v>
      </c>
      <c r="B131" s="2">
        <v>45101.629537037035</v>
      </c>
      <c r="C131" s="26" t="s">
        <v>0</v>
      </c>
      <c r="D131" s="26">
        <v>25</v>
      </c>
      <c r="E131" s="1" t="s">
        <v>28</v>
      </c>
      <c r="F131" s="85">
        <f t="shared" si="0"/>
        <v>27.231884057971016</v>
      </c>
      <c r="G131" s="1" t="e">
        <f>IF(VALUE(F131) = VALUE(RIGHT(Insights!$C$3, 4)), E131, "")</f>
        <v>#VALUE!</v>
      </c>
      <c r="H131" s="26" t="e">
        <f t="shared" si="1"/>
        <v>#VALUE!</v>
      </c>
      <c r="I131" s="1" t="e">
        <f t="shared" si="2"/>
        <v>#VALUE!</v>
      </c>
    </row>
    <row r="132" spans="1:9" ht="15.75" customHeight="1">
      <c r="A132" s="26">
        <v>19141</v>
      </c>
      <c r="B132" s="2">
        <v>45101.628553240742</v>
      </c>
      <c r="C132" s="26" t="s">
        <v>0</v>
      </c>
      <c r="D132" s="26">
        <v>25</v>
      </c>
      <c r="E132" s="1" t="s">
        <v>28</v>
      </c>
      <c r="F132" s="85">
        <f t="shared" si="0"/>
        <v>27.231884057971016</v>
      </c>
      <c r="G132" s="1" t="e">
        <f>IF(VALUE(F132) = VALUE(RIGHT(Insights!$C$3, 4)), E132, "")</f>
        <v>#VALUE!</v>
      </c>
      <c r="H132" s="26" t="e">
        <f t="shared" si="1"/>
        <v>#VALUE!</v>
      </c>
      <c r="I132" s="1" t="e">
        <f t="shared" si="2"/>
        <v>#VALUE!</v>
      </c>
    </row>
    <row r="133" spans="1:9" ht="15.75" customHeight="1">
      <c r="A133" s="26">
        <v>19140</v>
      </c>
      <c r="B133" s="2">
        <v>45101.618425925924</v>
      </c>
      <c r="C133" s="26" t="s">
        <v>10</v>
      </c>
      <c r="D133" s="26">
        <v>0</v>
      </c>
      <c r="E133" s="1" t="s">
        <v>28</v>
      </c>
      <c r="F133" s="85">
        <f t="shared" si="0"/>
        <v>27.231884057971016</v>
      </c>
      <c r="G133" s="1" t="e">
        <f>IF(VALUE(F133) = VALUE(RIGHT(Insights!$C$3, 4)), E133, "")</f>
        <v>#VALUE!</v>
      </c>
      <c r="H133" s="26" t="e">
        <f t="shared" si="1"/>
        <v>#VALUE!</v>
      </c>
      <c r="I133" s="1" t="e">
        <f t="shared" si="2"/>
        <v>#VALUE!</v>
      </c>
    </row>
    <row r="134" spans="1:9" ht="15.75" customHeight="1">
      <c r="A134" s="26">
        <v>19139</v>
      </c>
      <c r="B134" s="2">
        <v>45101.614328703705</v>
      </c>
      <c r="C134" s="26" t="s">
        <v>0</v>
      </c>
      <c r="D134" s="26">
        <v>25</v>
      </c>
      <c r="E134" s="1" t="s">
        <v>28</v>
      </c>
      <c r="F134" s="85">
        <f t="shared" si="0"/>
        <v>27.231884057971016</v>
      </c>
      <c r="G134" s="1" t="e">
        <f>IF(VALUE(F134) = VALUE(RIGHT(Insights!$C$3, 4)), E134, "")</f>
        <v>#VALUE!</v>
      </c>
      <c r="H134" s="26" t="e">
        <f t="shared" si="1"/>
        <v>#VALUE!</v>
      </c>
      <c r="I134" s="1" t="e">
        <f t="shared" si="2"/>
        <v>#VALUE!</v>
      </c>
    </row>
    <row r="135" spans="1:9" ht="15.75" customHeight="1">
      <c r="A135" s="26">
        <v>19138</v>
      </c>
      <c r="B135" s="2">
        <v>45101.607824074075</v>
      </c>
      <c r="C135" s="26" t="s">
        <v>0</v>
      </c>
      <c r="D135" s="26">
        <v>28</v>
      </c>
      <c r="E135" s="1" t="s">
        <v>28</v>
      </c>
      <c r="F135" s="85">
        <f t="shared" si="0"/>
        <v>27.231884057971016</v>
      </c>
      <c r="G135" s="1" t="e">
        <f>IF(VALUE(F135) = VALUE(RIGHT(Insights!$C$3, 4)), E135, "")</f>
        <v>#VALUE!</v>
      </c>
      <c r="H135" s="26" t="e">
        <f t="shared" si="1"/>
        <v>#VALUE!</v>
      </c>
      <c r="I135" s="1" t="e">
        <f t="shared" si="2"/>
        <v>#VALUE!</v>
      </c>
    </row>
    <row r="136" spans="1:9" ht="15.75" customHeight="1">
      <c r="A136" s="26">
        <v>19137</v>
      </c>
      <c r="B136" s="2">
        <v>45101.595613425925</v>
      </c>
      <c r="C136" s="26" t="s">
        <v>0</v>
      </c>
      <c r="D136" s="26">
        <v>25</v>
      </c>
      <c r="E136" s="1" t="s">
        <v>28</v>
      </c>
      <c r="F136" s="85">
        <f t="shared" si="0"/>
        <v>27.231884057971016</v>
      </c>
      <c r="G136" s="1" t="e">
        <f>IF(VALUE(F136) = VALUE(RIGHT(Insights!$C$3, 4)), E136, "")</f>
        <v>#VALUE!</v>
      </c>
      <c r="H136" s="26" t="e">
        <f t="shared" si="1"/>
        <v>#VALUE!</v>
      </c>
      <c r="I136" s="1" t="e">
        <f t="shared" si="2"/>
        <v>#VALUE!</v>
      </c>
    </row>
    <row r="137" spans="1:9" ht="15.75" customHeight="1">
      <c r="A137" s="26">
        <v>19136</v>
      </c>
      <c r="B137" s="2">
        <v>45101.56930555556</v>
      </c>
      <c r="C137" s="26" t="s">
        <v>0</v>
      </c>
      <c r="D137" s="26">
        <v>20</v>
      </c>
      <c r="E137" s="1" t="s">
        <v>28</v>
      </c>
      <c r="F137" s="85">
        <f t="shared" si="0"/>
        <v>27.231884057971016</v>
      </c>
      <c r="G137" s="1" t="e">
        <f>IF(VALUE(F137) = VALUE(RIGHT(Insights!$C$3, 4)), E137, "")</f>
        <v>#VALUE!</v>
      </c>
      <c r="H137" s="26" t="e">
        <f t="shared" si="1"/>
        <v>#VALUE!</v>
      </c>
      <c r="I137" s="1" t="e">
        <f t="shared" si="2"/>
        <v>#VALUE!</v>
      </c>
    </row>
    <row r="138" spans="1:9" ht="15.75" customHeight="1">
      <c r="A138" s="26">
        <v>19135</v>
      </c>
      <c r="B138" s="2">
        <v>45101.566469907411</v>
      </c>
      <c r="C138" s="26" t="s">
        <v>0</v>
      </c>
      <c r="D138" s="26">
        <v>20</v>
      </c>
      <c r="E138" s="1" t="s">
        <v>28</v>
      </c>
      <c r="F138" s="85">
        <f t="shared" si="0"/>
        <v>27.231884057971016</v>
      </c>
      <c r="G138" s="1" t="e">
        <f>IF(VALUE(F138) = VALUE(RIGHT(Insights!$C$3, 4)), E138, "")</f>
        <v>#VALUE!</v>
      </c>
      <c r="H138" s="26" t="e">
        <f t="shared" si="1"/>
        <v>#VALUE!</v>
      </c>
      <c r="I138" s="1" t="e">
        <f t="shared" si="2"/>
        <v>#VALUE!</v>
      </c>
    </row>
    <row r="139" spans="1:9" ht="15.75" customHeight="1">
      <c r="A139" s="26">
        <v>19134</v>
      </c>
      <c r="B139" s="2">
        <v>45101.548148148147</v>
      </c>
      <c r="C139" s="26" t="s">
        <v>5</v>
      </c>
      <c r="D139" s="26">
        <v>25</v>
      </c>
      <c r="E139" s="1" t="s">
        <v>28</v>
      </c>
      <c r="F139" s="85">
        <f t="shared" si="0"/>
        <v>27.231884057971016</v>
      </c>
      <c r="G139" s="1" t="e">
        <f>IF(VALUE(F139) = VALUE(RIGHT(Insights!$C$3, 4)), E139, "")</f>
        <v>#VALUE!</v>
      </c>
      <c r="H139" s="26" t="e">
        <f t="shared" si="1"/>
        <v>#VALUE!</v>
      </c>
      <c r="I139" s="1" t="e">
        <f t="shared" si="2"/>
        <v>#VALUE!</v>
      </c>
    </row>
    <row r="140" spans="1:9" ht="15.75" customHeight="1">
      <c r="A140" s="26">
        <v>19133</v>
      </c>
      <c r="B140" s="2">
        <v>45101.539837962962</v>
      </c>
      <c r="C140" s="26" t="s">
        <v>0</v>
      </c>
      <c r="D140" s="26">
        <v>25</v>
      </c>
      <c r="E140" s="1" t="s">
        <v>28</v>
      </c>
      <c r="F140" s="85">
        <f t="shared" si="0"/>
        <v>27.231884057971016</v>
      </c>
      <c r="G140" s="1" t="e">
        <f>IF(VALUE(F140) = VALUE(RIGHT(Insights!$C$3, 4)), E140, "")</f>
        <v>#VALUE!</v>
      </c>
      <c r="H140" s="26" t="e">
        <f t="shared" si="1"/>
        <v>#VALUE!</v>
      </c>
      <c r="I140" s="1" t="e">
        <f t="shared" si="2"/>
        <v>#VALUE!</v>
      </c>
    </row>
    <row r="141" spans="1:9" ht="15.75" customHeight="1">
      <c r="A141" s="26">
        <v>19132</v>
      </c>
      <c r="B141" s="2">
        <v>45101.538923611108</v>
      </c>
      <c r="C141" s="26" t="s">
        <v>0</v>
      </c>
      <c r="D141" s="26">
        <v>25</v>
      </c>
      <c r="E141" s="1" t="s">
        <v>28</v>
      </c>
      <c r="F141" s="85">
        <f t="shared" si="0"/>
        <v>27.231884057971016</v>
      </c>
      <c r="G141" s="1" t="e">
        <f>IF(VALUE(F141) = VALUE(RIGHT(Insights!$C$3, 4)), E141, "")</f>
        <v>#VALUE!</v>
      </c>
      <c r="H141" s="26" t="e">
        <f t="shared" si="1"/>
        <v>#VALUE!</v>
      </c>
      <c r="I141" s="1" t="e">
        <f t="shared" si="2"/>
        <v>#VALUE!</v>
      </c>
    </row>
    <row r="142" spans="1:9" ht="15.75" customHeight="1">
      <c r="A142" s="26">
        <v>19131</v>
      </c>
      <c r="B142" s="2">
        <v>45101.538761574076</v>
      </c>
      <c r="C142" s="26" t="s">
        <v>0</v>
      </c>
      <c r="D142" s="26">
        <v>33</v>
      </c>
      <c r="E142" s="1" t="s">
        <v>28</v>
      </c>
      <c r="F142" s="85">
        <f t="shared" si="0"/>
        <v>27.231884057971016</v>
      </c>
      <c r="G142" s="1" t="e">
        <f>IF(VALUE(F142) = VALUE(RIGHT(Insights!$C$3, 4)), E142, "")</f>
        <v>#VALUE!</v>
      </c>
      <c r="H142" s="26" t="e">
        <f t="shared" si="1"/>
        <v>#VALUE!</v>
      </c>
      <c r="I142" s="1" t="e">
        <f t="shared" si="2"/>
        <v>#VALUE!</v>
      </c>
    </row>
    <row r="143" spans="1:9" ht="15.75" customHeight="1">
      <c r="A143" s="26">
        <v>19130</v>
      </c>
      <c r="B143" s="2">
        <v>45101.536296296297</v>
      </c>
      <c r="C143" s="26" t="s">
        <v>0</v>
      </c>
      <c r="D143" s="26">
        <v>20</v>
      </c>
      <c r="E143" s="1" t="s">
        <v>28</v>
      </c>
      <c r="F143" s="85">
        <f t="shared" si="0"/>
        <v>27.231884057971016</v>
      </c>
      <c r="G143" s="1" t="e">
        <f>IF(VALUE(F143) = VALUE(RIGHT(Insights!$C$3, 4)), E143, "")</f>
        <v>#VALUE!</v>
      </c>
      <c r="H143" s="26" t="e">
        <f t="shared" si="1"/>
        <v>#VALUE!</v>
      </c>
      <c r="I143" s="1" t="e">
        <f t="shared" si="2"/>
        <v>#VALUE!</v>
      </c>
    </row>
    <row r="144" spans="1:9" ht="15.75" customHeight="1">
      <c r="A144" s="26">
        <v>19129</v>
      </c>
      <c r="B144" s="2">
        <v>45101.534131944441</v>
      </c>
      <c r="C144" s="26" t="s">
        <v>0</v>
      </c>
      <c r="D144" s="26">
        <v>25</v>
      </c>
      <c r="E144" s="1" t="s">
        <v>28</v>
      </c>
      <c r="F144" s="85">
        <f t="shared" si="0"/>
        <v>27.231884057971016</v>
      </c>
      <c r="G144" s="1" t="e">
        <f>IF(VALUE(F144) = VALUE(RIGHT(Insights!$C$3, 4)), E144, "")</f>
        <v>#VALUE!</v>
      </c>
      <c r="H144" s="26" t="e">
        <f t="shared" si="1"/>
        <v>#VALUE!</v>
      </c>
      <c r="I144" s="1" t="e">
        <f t="shared" si="2"/>
        <v>#VALUE!</v>
      </c>
    </row>
    <row r="145" spans="1:9" ht="15.75" customHeight="1">
      <c r="A145" s="26">
        <v>19128</v>
      </c>
      <c r="B145" s="2">
        <v>45101.533425925925</v>
      </c>
      <c r="C145" s="26" t="s">
        <v>0</v>
      </c>
      <c r="D145" s="26">
        <v>35</v>
      </c>
      <c r="E145" s="1" t="s">
        <v>28</v>
      </c>
      <c r="F145" s="85">
        <f t="shared" si="0"/>
        <v>27.231884057971016</v>
      </c>
      <c r="G145" s="1" t="e">
        <f>IF(VALUE(F145) = VALUE(RIGHT(Insights!$C$3, 4)), E145, "")</f>
        <v>#VALUE!</v>
      </c>
      <c r="H145" s="26" t="e">
        <f t="shared" si="1"/>
        <v>#VALUE!</v>
      </c>
      <c r="I145" s="1" t="e">
        <f t="shared" si="2"/>
        <v>#VALUE!</v>
      </c>
    </row>
    <row r="146" spans="1:9" ht="15.75" customHeight="1">
      <c r="A146" s="26">
        <v>19127</v>
      </c>
      <c r="B146" s="2">
        <v>45101.531180555554</v>
      </c>
      <c r="C146" s="26" t="s">
        <v>0</v>
      </c>
      <c r="D146" s="26">
        <v>25</v>
      </c>
      <c r="E146" s="1" t="s">
        <v>28</v>
      </c>
      <c r="F146" s="85">
        <f t="shared" si="0"/>
        <v>27.231884057971016</v>
      </c>
      <c r="G146" s="1" t="e">
        <f>IF(VALUE(F146) = VALUE(RIGHT(Insights!$C$3, 4)), E146, "")</f>
        <v>#VALUE!</v>
      </c>
      <c r="H146" s="26" t="e">
        <f t="shared" si="1"/>
        <v>#VALUE!</v>
      </c>
      <c r="I146" s="1" t="e">
        <f t="shared" si="2"/>
        <v>#VALUE!</v>
      </c>
    </row>
    <row r="147" spans="1:9" ht="15.75" customHeight="1">
      <c r="A147" s="26">
        <v>19126</v>
      </c>
      <c r="B147" s="2">
        <v>45101.529548611114</v>
      </c>
      <c r="C147" s="26" t="s">
        <v>0</v>
      </c>
      <c r="D147" s="26">
        <v>25</v>
      </c>
      <c r="E147" s="1" t="s">
        <v>28</v>
      </c>
      <c r="F147" s="85">
        <f t="shared" si="0"/>
        <v>27.231884057971016</v>
      </c>
      <c r="G147" s="1" t="e">
        <f>IF(VALUE(F147) = VALUE(RIGHT(Insights!$C$3, 4)), E147, "")</f>
        <v>#VALUE!</v>
      </c>
      <c r="H147" s="26" t="e">
        <f t="shared" si="1"/>
        <v>#VALUE!</v>
      </c>
      <c r="I147" s="1" t="e">
        <f t="shared" si="2"/>
        <v>#VALUE!</v>
      </c>
    </row>
    <row r="148" spans="1:9" ht="15.75" customHeight="1">
      <c r="A148" s="26">
        <v>19125</v>
      </c>
      <c r="B148" s="2">
        <v>45101.527743055558</v>
      </c>
      <c r="C148" s="26" t="s">
        <v>0</v>
      </c>
      <c r="D148" s="26">
        <v>48</v>
      </c>
      <c r="E148" s="1" t="s">
        <v>28</v>
      </c>
      <c r="F148" s="85">
        <f t="shared" si="0"/>
        <v>27.231884057971016</v>
      </c>
      <c r="G148" s="1" t="e">
        <f>IF(VALUE(F148) = VALUE(RIGHT(Insights!$C$3, 4)), E148, "")</f>
        <v>#VALUE!</v>
      </c>
      <c r="H148" s="26" t="e">
        <f t="shared" si="1"/>
        <v>#VALUE!</v>
      </c>
      <c r="I148" s="1" t="e">
        <f t="shared" si="2"/>
        <v>#VALUE!</v>
      </c>
    </row>
    <row r="149" spans="1:9" ht="15.75" customHeight="1">
      <c r="A149" s="26">
        <v>19124</v>
      </c>
      <c r="B149" s="2">
        <v>45101.52643518518</v>
      </c>
      <c r="C149" s="26" t="s">
        <v>0</v>
      </c>
      <c r="D149" s="26">
        <v>18</v>
      </c>
      <c r="E149" s="1" t="s">
        <v>28</v>
      </c>
      <c r="F149" s="85">
        <f t="shared" si="0"/>
        <v>27.231884057971016</v>
      </c>
      <c r="G149" s="1" t="e">
        <f>IF(VALUE(F149) = VALUE(RIGHT(Insights!$C$3, 4)), E149, "")</f>
        <v>#VALUE!</v>
      </c>
      <c r="H149" s="26" t="e">
        <f t="shared" si="1"/>
        <v>#VALUE!</v>
      </c>
      <c r="I149" s="1" t="e">
        <f t="shared" si="2"/>
        <v>#VALUE!</v>
      </c>
    </row>
    <row r="150" spans="1:9" ht="15.75" customHeight="1">
      <c r="A150" s="26">
        <v>19123</v>
      </c>
      <c r="B150" s="2">
        <v>45101.524340277778</v>
      </c>
      <c r="C150" s="26" t="s">
        <v>0</v>
      </c>
      <c r="D150" s="26">
        <v>25</v>
      </c>
      <c r="E150" s="1" t="s">
        <v>28</v>
      </c>
      <c r="F150" s="85">
        <f t="shared" si="0"/>
        <v>27.231884057971016</v>
      </c>
      <c r="G150" s="1" t="e">
        <f>IF(VALUE(F150) = VALUE(RIGHT(Insights!$C$3, 4)), E150, "")</f>
        <v>#VALUE!</v>
      </c>
      <c r="H150" s="26" t="e">
        <f t="shared" si="1"/>
        <v>#VALUE!</v>
      </c>
      <c r="I150" s="1" t="e">
        <f t="shared" si="2"/>
        <v>#VALUE!</v>
      </c>
    </row>
    <row r="151" spans="1:9" ht="15.75" customHeight="1">
      <c r="A151" s="26">
        <v>19122</v>
      </c>
      <c r="B151" s="2">
        <v>45101.521226851852</v>
      </c>
      <c r="C151" s="26" t="s">
        <v>0</v>
      </c>
      <c r="D151" s="26">
        <v>20</v>
      </c>
      <c r="E151" s="1" t="s">
        <v>28</v>
      </c>
      <c r="F151" s="85">
        <f t="shared" si="0"/>
        <v>27.231884057971016</v>
      </c>
      <c r="G151" s="1" t="e">
        <f>IF(VALUE(F151) = VALUE(RIGHT(Insights!$C$3, 4)), E151, "")</f>
        <v>#VALUE!</v>
      </c>
      <c r="H151" s="26" t="e">
        <f t="shared" si="1"/>
        <v>#VALUE!</v>
      </c>
      <c r="I151" s="1" t="e">
        <f t="shared" si="2"/>
        <v>#VALUE!</v>
      </c>
    </row>
    <row r="152" spans="1:9" ht="15.75" customHeight="1">
      <c r="A152" s="26">
        <v>19121</v>
      </c>
      <c r="B152" s="2">
        <v>45101.515717592592</v>
      </c>
      <c r="C152" s="26" t="s">
        <v>18</v>
      </c>
      <c r="D152" s="26">
        <v>18</v>
      </c>
      <c r="E152" s="1" t="s">
        <v>28</v>
      </c>
      <c r="F152" s="85">
        <f t="shared" si="0"/>
        <v>27.231884057971016</v>
      </c>
      <c r="G152" s="1" t="e">
        <f>IF(VALUE(F152) = VALUE(RIGHT(Insights!$C$3, 4)), E152, "")</f>
        <v>#VALUE!</v>
      </c>
      <c r="H152" s="26" t="e">
        <f t="shared" si="1"/>
        <v>#VALUE!</v>
      </c>
      <c r="I152" s="1" t="e">
        <f t="shared" si="2"/>
        <v>#VALUE!</v>
      </c>
    </row>
    <row r="153" spans="1:9" ht="15.75" customHeight="1">
      <c r="A153" s="26">
        <v>19120</v>
      </c>
      <c r="B153" s="2">
        <v>45101.515162037038</v>
      </c>
      <c r="C153" s="26" t="s">
        <v>0</v>
      </c>
      <c r="D153" s="26">
        <v>28</v>
      </c>
      <c r="E153" s="1" t="s">
        <v>28</v>
      </c>
      <c r="F153" s="85">
        <f t="shared" si="0"/>
        <v>27.231884057971016</v>
      </c>
      <c r="G153" s="1" t="e">
        <f>IF(VALUE(F153) = VALUE(RIGHT(Insights!$C$3, 4)), E153, "")</f>
        <v>#VALUE!</v>
      </c>
      <c r="H153" s="26" t="e">
        <f t="shared" si="1"/>
        <v>#VALUE!</v>
      </c>
      <c r="I153" s="1" t="e">
        <f t="shared" si="2"/>
        <v>#VALUE!</v>
      </c>
    </row>
    <row r="154" spans="1:9" ht="15.75" customHeight="1">
      <c r="A154" s="26">
        <v>19119</v>
      </c>
      <c r="B154" s="2">
        <v>45101.512824074074</v>
      </c>
      <c r="C154" s="26" t="s">
        <v>0</v>
      </c>
      <c r="D154" s="26">
        <v>28</v>
      </c>
      <c r="E154" s="1" t="s">
        <v>28</v>
      </c>
      <c r="F154" s="85">
        <f t="shared" si="0"/>
        <v>27.231884057971016</v>
      </c>
      <c r="G154" s="1" t="e">
        <f>IF(VALUE(F154) = VALUE(RIGHT(Insights!$C$3, 4)), E154, "")</f>
        <v>#VALUE!</v>
      </c>
      <c r="H154" s="26" t="e">
        <f t="shared" si="1"/>
        <v>#VALUE!</v>
      </c>
      <c r="I154" s="1" t="e">
        <f t="shared" si="2"/>
        <v>#VALUE!</v>
      </c>
    </row>
    <row r="155" spans="1:9" ht="15.75" customHeight="1">
      <c r="A155" s="26">
        <v>19118</v>
      </c>
      <c r="B155" s="2">
        <v>45101.502986111111</v>
      </c>
      <c r="C155" s="26" t="s">
        <v>0</v>
      </c>
      <c r="D155" s="26">
        <v>0</v>
      </c>
      <c r="E155" s="1" t="s">
        <v>28</v>
      </c>
      <c r="F155" s="85">
        <f t="shared" si="0"/>
        <v>27.231884057971016</v>
      </c>
      <c r="G155" s="1" t="e">
        <f>IF(VALUE(F155) = VALUE(RIGHT(Insights!$C$3, 4)), E155, "")</f>
        <v>#VALUE!</v>
      </c>
      <c r="H155" s="26" t="e">
        <f t="shared" si="1"/>
        <v>#VALUE!</v>
      </c>
      <c r="I155" s="1" t="e">
        <f t="shared" si="2"/>
        <v>#VALUE!</v>
      </c>
    </row>
    <row r="156" spans="1:9" ht="15.75" customHeight="1">
      <c r="A156" s="26">
        <v>19117</v>
      </c>
      <c r="B156" s="2">
        <v>45101.491608796292</v>
      </c>
      <c r="C156" s="26" t="s">
        <v>0</v>
      </c>
      <c r="D156" s="26">
        <v>25</v>
      </c>
      <c r="E156" s="1" t="s">
        <v>28</v>
      </c>
      <c r="F156" s="85">
        <f t="shared" si="0"/>
        <v>27.231884057971016</v>
      </c>
      <c r="G156" s="1" t="e">
        <f>IF(VALUE(F156) = VALUE(RIGHT(Insights!$C$3, 4)), E156, "")</f>
        <v>#VALUE!</v>
      </c>
      <c r="H156" s="26" t="e">
        <f t="shared" si="1"/>
        <v>#VALUE!</v>
      </c>
      <c r="I156" s="1" t="e">
        <f t="shared" si="2"/>
        <v>#VALUE!</v>
      </c>
    </row>
    <row r="157" spans="1:9" ht="15.75" customHeight="1">
      <c r="A157" s="26">
        <v>19116</v>
      </c>
      <c r="B157" s="2">
        <v>45101.486597222218</v>
      </c>
      <c r="C157" s="26" t="s">
        <v>5</v>
      </c>
      <c r="D157" s="26">
        <v>25</v>
      </c>
      <c r="E157" s="1" t="s">
        <v>28</v>
      </c>
      <c r="F157" s="85">
        <f t="shared" si="0"/>
        <v>27.231884057971016</v>
      </c>
      <c r="G157" s="1" t="e">
        <f>IF(VALUE(F157) = VALUE(RIGHT(Insights!$C$3, 4)), E157, "")</f>
        <v>#VALUE!</v>
      </c>
      <c r="H157" s="26" t="e">
        <f t="shared" si="1"/>
        <v>#VALUE!</v>
      </c>
      <c r="I157" s="1" t="e">
        <f t="shared" si="2"/>
        <v>#VALUE!</v>
      </c>
    </row>
    <row r="158" spans="1:9" ht="15.75" customHeight="1">
      <c r="A158" s="26">
        <v>19115</v>
      </c>
      <c r="B158" s="2">
        <v>45101.081678240742</v>
      </c>
      <c r="C158" s="26" t="s">
        <v>0</v>
      </c>
      <c r="D158" s="26">
        <v>68</v>
      </c>
      <c r="E158" s="1" t="s">
        <v>28</v>
      </c>
      <c r="F158" s="85">
        <f t="shared" si="0"/>
        <v>27.231884057971016</v>
      </c>
      <c r="G158" s="1" t="e">
        <f>IF(VALUE(F158) = VALUE(RIGHT(Insights!$C$3, 4)), E158, "")</f>
        <v>#VALUE!</v>
      </c>
      <c r="H158" s="26" t="e">
        <f t="shared" si="1"/>
        <v>#VALUE!</v>
      </c>
      <c r="I158" s="1" t="e">
        <f t="shared" si="2"/>
        <v>#VALUE!</v>
      </c>
    </row>
    <row r="159" spans="1:9" ht="15.75" customHeight="1">
      <c r="A159" s="26">
        <v>19110</v>
      </c>
      <c r="B159" s="2">
        <v>45100.999513888892</v>
      </c>
      <c r="C159" s="26" t="s">
        <v>0</v>
      </c>
      <c r="D159" s="26">
        <v>15</v>
      </c>
      <c r="E159" s="1" t="s">
        <v>28</v>
      </c>
      <c r="F159" s="85">
        <f t="shared" si="0"/>
        <v>27.231884057971016</v>
      </c>
      <c r="G159" s="1" t="e">
        <f>IF(VALUE(F159) = VALUE(RIGHT(Insights!$C$3, 4)), E159, "")</f>
        <v>#VALUE!</v>
      </c>
      <c r="H159" s="26" t="e">
        <f t="shared" si="1"/>
        <v>#VALUE!</v>
      </c>
      <c r="I159" s="1" t="e">
        <f t="shared" si="2"/>
        <v>#VALUE!</v>
      </c>
    </row>
    <row r="160" spans="1:9" ht="15.75" customHeight="1">
      <c r="A160" s="26">
        <v>19109</v>
      </c>
      <c r="B160" s="2">
        <v>45100.971250000002</v>
      </c>
      <c r="C160" s="26" t="s">
        <v>0</v>
      </c>
      <c r="D160" s="26">
        <v>26</v>
      </c>
      <c r="E160" s="1" t="s">
        <v>28</v>
      </c>
      <c r="F160" s="85">
        <f t="shared" si="0"/>
        <v>27.231884057971016</v>
      </c>
      <c r="G160" s="1" t="e">
        <f>IF(VALUE(F160) = VALUE(RIGHT(Insights!$C$3, 4)), E160, "")</f>
        <v>#VALUE!</v>
      </c>
      <c r="H160" s="26" t="e">
        <f t="shared" si="1"/>
        <v>#VALUE!</v>
      </c>
      <c r="I160" s="1" t="e">
        <f t="shared" si="2"/>
        <v>#VALUE!</v>
      </c>
    </row>
    <row r="161" spans="1:9" ht="15.75" customHeight="1">
      <c r="A161" s="26">
        <v>19108</v>
      </c>
      <c r="B161" s="2">
        <v>45100.872557870374</v>
      </c>
      <c r="C161" s="26" t="s">
        <v>0</v>
      </c>
      <c r="D161" s="26">
        <v>25</v>
      </c>
      <c r="E161" s="1" t="s">
        <v>28</v>
      </c>
      <c r="F161" s="85">
        <f t="shared" si="0"/>
        <v>27.231884057971016</v>
      </c>
      <c r="G161" s="1" t="e">
        <f>IF(VALUE(F161) = VALUE(RIGHT(Insights!$C$3, 4)), E161, "")</f>
        <v>#VALUE!</v>
      </c>
      <c r="H161" s="26" t="e">
        <f t="shared" si="1"/>
        <v>#VALUE!</v>
      </c>
      <c r="I161" s="1" t="e">
        <f t="shared" si="2"/>
        <v>#VALUE!</v>
      </c>
    </row>
    <row r="162" spans="1:9" ht="15.75" customHeight="1">
      <c r="A162" s="26">
        <v>19105</v>
      </c>
      <c r="B162" s="2">
        <v>45100.706759259258</v>
      </c>
      <c r="C162" s="26" t="s">
        <v>0</v>
      </c>
      <c r="D162" s="26">
        <v>20</v>
      </c>
      <c r="E162" s="1" t="s">
        <v>28</v>
      </c>
      <c r="F162" s="85">
        <f t="shared" si="0"/>
        <v>27.231884057971016</v>
      </c>
      <c r="G162" s="1" t="e">
        <f>IF(VALUE(F162) = VALUE(RIGHT(Insights!$C$3, 4)), E162, "")</f>
        <v>#VALUE!</v>
      </c>
      <c r="H162" s="26" t="e">
        <f t="shared" si="1"/>
        <v>#VALUE!</v>
      </c>
      <c r="I162" s="1" t="e">
        <f t="shared" si="2"/>
        <v>#VALUE!</v>
      </c>
    </row>
    <row r="163" spans="1:9" ht="15.75" customHeight="1">
      <c r="A163" s="26">
        <v>19104</v>
      </c>
      <c r="B163" s="2">
        <v>45100.693796296298</v>
      </c>
      <c r="C163" s="26" t="s">
        <v>0</v>
      </c>
      <c r="D163" s="26">
        <v>15</v>
      </c>
      <c r="E163" s="1" t="s">
        <v>28</v>
      </c>
      <c r="F163" s="85">
        <f t="shared" si="0"/>
        <v>27.231884057971016</v>
      </c>
      <c r="G163" s="1" t="e">
        <f>IF(VALUE(F163) = VALUE(RIGHT(Insights!$C$3, 4)), E163, "")</f>
        <v>#VALUE!</v>
      </c>
      <c r="H163" s="26" t="e">
        <f t="shared" si="1"/>
        <v>#VALUE!</v>
      </c>
      <c r="I163" s="1" t="e">
        <f t="shared" si="2"/>
        <v>#VALUE!</v>
      </c>
    </row>
    <row r="164" spans="1:9" ht="15.75" customHeight="1">
      <c r="A164" s="26">
        <v>19103</v>
      </c>
      <c r="B164" s="2">
        <v>45100.60869212963</v>
      </c>
      <c r="C164" s="26" t="s">
        <v>0</v>
      </c>
      <c r="D164" s="26">
        <v>26</v>
      </c>
      <c r="E164" s="1" t="s">
        <v>28</v>
      </c>
      <c r="F164" s="85">
        <f t="shared" si="0"/>
        <v>27.231884057971016</v>
      </c>
      <c r="G164" s="1" t="e">
        <f>IF(VALUE(F164) = VALUE(RIGHT(Insights!$C$3, 4)), E164, "")</f>
        <v>#VALUE!</v>
      </c>
      <c r="H164" s="26" t="e">
        <f t="shared" si="1"/>
        <v>#VALUE!</v>
      </c>
      <c r="I164" s="1" t="e">
        <f t="shared" si="2"/>
        <v>#VALUE!</v>
      </c>
    </row>
    <row r="165" spans="1:9" ht="15.75" customHeight="1">
      <c r="A165" s="26">
        <v>19102</v>
      </c>
      <c r="B165" s="2">
        <v>45100.553240740745</v>
      </c>
      <c r="C165" s="26" t="s">
        <v>0</v>
      </c>
      <c r="D165" s="26">
        <v>25</v>
      </c>
      <c r="E165" s="1" t="s">
        <v>28</v>
      </c>
      <c r="F165" s="85">
        <f t="shared" si="0"/>
        <v>27.231884057971016</v>
      </c>
      <c r="G165" s="1" t="e">
        <f>IF(VALUE(F165) = VALUE(RIGHT(Insights!$C$3, 4)), E165, "")</f>
        <v>#VALUE!</v>
      </c>
      <c r="H165" s="26" t="e">
        <f t="shared" si="1"/>
        <v>#VALUE!</v>
      </c>
      <c r="I165" s="1" t="e">
        <f t="shared" si="2"/>
        <v>#VALUE!</v>
      </c>
    </row>
    <row r="166" spans="1:9" ht="15.75" customHeight="1">
      <c r="A166" s="26">
        <v>19101</v>
      </c>
      <c r="B166" s="2">
        <v>45100.527731481481</v>
      </c>
      <c r="C166" s="26" t="s">
        <v>0</v>
      </c>
      <c r="D166" s="26">
        <v>18</v>
      </c>
      <c r="E166" s="1" t="s">
        <v>28</v>
      </c>
      <c r="F166" s="85">
        <f t="shared" si="0"/>
        <v>27.231884057971016</v>
      </c>
      <c r="G166" s="1" t="e">
        <f>IF(VALUE(F166) = VALUE(RIGHT(Insights!$C$3, 4)), E166, "")</f>
        <v>#VALUE!</v>
      </c>
      <c r="H166" s="26" t="e">
        <f t="shared" si="1"/>
        <v>#VALUE!</v>
      </c>
      <c r="I166" s="1" t="e">
        <f t="shared" si="2"/>
        <v>#VALUE!</v>
      </c>
    </row>
    <row r="167" spans="1:9" ht="15.75" customHeight="1">
      <c r="A167" s="26">
        <v>19100</v>
      </c>
      <c r="B167" s="2">
        <v>45100.114386574074</v>
      </c>
      <c r="C167" s="26" t="s">
        <v>0</v>
      </c>
      <c r="D167" s="26">
        <v>55</v>
      </c>
      <c r="E167" s="1" t="s">
        <v>28</v>
      </c>
      <c r="F167" s="85">
        <f t="shared" si="0"/>
        <v>27.231884057971016</v>
      </c>
      <c r="G167" s="1" t="e">
        <f>IF(VALUE(F167) = VALUE(RIGHT(Insights!$C$3, 4)), E167, "")</f>
        <v>#VALUE!</v>
      </c>
      <c r="H167" s="26" t="e">
        <f t="shared" si="1"/>
        <v>#VALUE!</v>
      </c>
      <c r="I167" s="1" t="e">
        <f t="shared" si="2"/>
        <v>#VALUE!</v>
      </c>
    </row>
    <row r="168" spans="1:9" ht="15.75" customHeight="1">
      <c r="A168" s="26">
        <v>19099</v>
      </c>
      <c r="B168" s="2">
        <v>45100.061678240745</v>
      </c>
      <c r="C168" s="26" t="s">
        <v>0</v>
      </c>
      <c r="D168" s="26">
        <v>43</v>
      </c>
      <c r="E168" s="1" t="s">
        <v>28</v>
      </c>
      <c r="F168" s="85">
        <f t="shared" si="0"/>
        <v>27.231884057971016</v>
      </c>
      <c r="G168" s="1" t="e">
        <f>IF(VALUE(F168) = VALUE(RIGHT(Insights!$C$3, 4)), E168, "")</f>
        <v>#VALUE!</v>
      </c>
      <c r="H168" s="26" t="e">
        <f t="shared" si="1"/>
        <v>#VALUE!</v>
      </c>
      <c r="I168" s="1" t="e">
        <f t="shared" si="2"/>
        <v>#VALUE!</v>
      </c>
    </row>
    <row r="169" spans="1:9" ht="15.75" customHeight="1">
      <c r="A169" s="26">
        <v>19098</v>
      </c>
      <c r="B169" s="2">
        <v>45100.003611111111</v>
      </c>
      <c r="C169" s="26" t="s">
        <v>0</v>
      </c>
      <c r="D169" s="26">
        <v>15</v>
      </c>
      <c r="E169" s="1" t="s">
        <v>28</v>
      </c>
      <c r="F169" s="85">
        <f t="shared" si="0"/>
        <v>27.231884057971016</v>
      </c>
      <c r="G169" s="1" t="e">
        <f>IF(VALUE(F169) = VALUE(RIGHT(Insights!$C$3, 4)), E169, "")</f>
        <v>#VALUE!</v>
      </c>
      <c r="H169" s="26" t="e">
        <f t="shared" si="1"/>
        <v>#VALUE!</v>
      </c>
      <c r="I169" s="1" t="e">
        <f t="shared" si="2"/>
        <v>#VALUE!</v>
      </c>
    </row>
    <row r="170" spans="1:9" ht="15.75" customHeight="1">
      <c r="A170" s="26">
        <v>19097</v>
      </c>
      <c r="B170" s="2">
        <v>45099.93954861111</v>
      </c>
      <c r="C170" s="26" t="s">
        <v>0</v>
      </c>
      <c r="D170" s="26">
        <v>15</v>
      </c>
      <c r="E170" s="1" t="s">
        <v>28</v>
      </c>
      <c r="F170" s="85">
        <f t="shared" si="0"/>
        <v>27.231884057971016</v>
      </c>
      <c r="G170" s="1" t="e">
        <f>IF(VALUE(F170) = VALUE(RIGHT(Insights!$C$3, 4)), E170, "")</f>
        <v>#VALUE!</v>
      </c>
      <c r="H170" s="26" t="e">
        <f t="shared" si="1"/>
        <v>#VALUE!</v>
      </c>
      <c r="I170" s="1" t="e">
        <f t="shared" si="2"/>
        <v>#VALUE!</v>
      </c>
    </row>
    <row r="171" spans="1:9" ht="15.75" customHeight="1">
      <c r="A171" s="26">
        <v>19096</v>
      </c>
      <c r="B171" s="2">
        <v>45099.93545138889</v>
      </c>
      <c r="C171" s="26" t="s">
        <v>0</v>
      </c>
      <c r="D171" s="26">
        <v>0</v>
      </c>
      <c r="E171" s="1" t="s">
        <v>28</v>
      </c>
      <c r="F171" s="85">
        <f t="shared" si="0"/>
        <v>27.231884057971016</v>
      </c>
      <c r="G171" s="1" t="e">
        <f>IF(VALUE(F171) = VALUE(RIGHT(Insights!$C$3, 4)), E171, "")</f>
        <v>#VALUE!</v>
      </c>
      <c r="H171" s="26" t="e">
        <f t="shared" si="1"/>
        <v>#VALUE!</v>
      </c>
      <c r="I171" s="1" t="e">
        <f t="shared" si="2"/>
        <v>#VALUE!</v>
      </c>
    </row>
    <row r="172" spans="1:9" ht="15.75" customHeight="1">
      <c r="A172" s="26">
        <v>19095</v>
      </c>
      <c r="B172" s="2">
        <v>45099.932071759264</v>
      </c>
      <c r="C172" s="26" t="s">
        <v>0</v>
      </c>
      <c r="D172" s="26">
        <v>26</v>
      </c>
      <c r="E172" s="1" t="s">
        <v>28</v>
      </c>
      <c r="F172" s="85">
        <f t="shared" si="0"/>
        <v>27.231884057971016</v>
      </c>
      <c r="G172" s="1" t="e">
        <f>IF(VALUE(F172) = VALUE(RIGHT(Insights!$C$3, 4)), E172, "")</f>
        <v>#VALUE!</v>
      </c>
      <c r="H172" s="26" t="e">
        <f t="shared" si="1"/>
        <v>#VALUE!</v>
      </c>
      <c r="I172" s="1" t="e">
        <f t="shared" si="2"/>
        <v>#VALUE!</v>
      </c>
    </row>
    <row r="173" spans="1:9" ht="15.75" customHeight="1">
      <c r="A173" s="26">
        <v>19094</v>
      </c>
      <c r="B173" s="2">
        <v>45099.92350694444</v>
      </c>
      <c r="C173" s="26" t="s">
        <v>0</v>
      </c>
      <c r="D173" s="26">
        <v>45</v>
      </c>
      <c r="E173" s="1" t="s">
        <v>28</v>
      </c>
      <c r="F173" s="85">
        <f t="shared" si="0"/>
        <v>27.231884057971016</v>
      </c>
      <c r="G173" s="1" t="e">
        <f>IF(VALUE(F173) = VALUE(RIGHT(Insights!$C$3, 4)), E173, "")</f>
        <v>#VALUE!</v>
      </c>
      <c r="H173" s="26" t="e">
        <f t="shared" si="1"/>
        <v>#VALUE!</v>
      </c>
      <c r="I173" s="1" t="e">
        <f t="shared" si="2"/>
        <v>#VALUE!</v>
      </c>
    </row>
    <row r="174" spans="1:9" ht="15.75" customHeight="1">
      <c r="A174" s="26">
        <v>19093</v>
      </c>
      <c r="B174" s="2">
        <v>45099.916770833333</v>
      </c>
      <c r="C174" s="26" t="s">
        <v>0</v>
      </c>
      <c r="D174" s="26">
        <v>35</v>
      </c>
      <c r="E174" s="1" t="s">
        <v>28</v>
      </c>
      <c r="F174" s="85">
        <f t="shared" si="0"/>
        <v>27.231884057971016</v>
      </c>
      <c r="G174" s="1" t="e">
        <f>IF(VALUE(F174) = VALUE(RIGHT(Insights!$C$3, 4)), E174, "")</f>
        <v>#VALUE!</v>
      </c>
      <c r="H174" s="26" t="e">
        <f t="shared" si="1"/>
        <v>#VALUE!</v>
      </c>
      <c r="I174" s="1" t="e">
        <f t="shared" si="2"/>
        <v>#VALUE!</v>
      </c>
    </row>
    <row r="175" spans="1:9" ht="15.75" customHeight="1">
      <c r="A175" s="26">
        <v>19092</v>
      </c>
      <c r="B175" s="2">
        <v>45099.87872685185</v>
      </c>
      <c r="C175" s="26" t="s">
        <v>0</v>
      </c>
      <c r="D175" s="26">
        <v>28</v>
      </c>
      <c r="E175" s="1" t="s">
        <v>28</v>
      </c>
      <c r="F175" s="85">
        <f t="shared" si="0"/>
        <v>27.231884057971016</v>
      </c>
      <c r="G175" s="1" t="e">
        <f>IF(VALUE(F175) = VALUE(RIGHT(Insights!$C$3, 4)), E175, "")</f>
        <v>#VALUE!</v>
      </c>
      <c r="H175" s="26" t="e">
        <f t="shared" si="1"/>
        <v>#VALUE!</v>
      </c>
      <c r="I175" s="1" t="e">
        <f t="shared" si="2"/>
        <v>#VALUE!</v>
      </c>
    </row>
    <row r="176" spans="1:9" ht="15.75" customHeight="1">
      <c r="A176" s="26">
        <v>19091</v>
      </c>
      <c r="B176" s="2">
        <v>45099.869988425926</v>
      </c>
      <c r="C176" s="26" t="s">
        <v>16</v>
      </c>
      <c r="D176" s="26">
        <v>25</v>
      </c>
      <c r="E176" s="1" t="s">
        <v>28</v>
      </c>
      <c r="F176" s="85">
        <f t="shared" si="0"/>
        <v>27.231884057971016</v>
      </c>
      <c r="G176" s="1" t="e">
        <f>IF(VALUE(F176) = VALUE(RIGHT(Insights!$C$3, 4)), E176, "")</f>
        <v>#VALUE!</v>
      </c>
      <c r="H176" s="26" t="e">
        <f t="shared" si="1"/>
        <v>#VALUE!</v>
      </c>
      <c r="I176" s="1" t="e">
        <f t="shared" si="2"/>
        <v>#VALUE!</v>
      </c>
    </row>
    <row r="177" spans="1:9" ht="15.75" customHeight="1">
      <c r="A177" s="26">
        <v>19090</v>
      </c>
      <c r="B177" s="2">
        <v>45099.834872685184</v>
      </c>
      <c r="C177" s="26" t="s">
        <v>0</v>
      </c>
      <c r="D177" s="26">
        <v>25</v>
      </c>
      <c r="E177" s="1" t="s">
        <v>84</v>
      </c>
      <c r="F177" s="85">
        <f t="shared" si="0"/>
        <v>20.2</v>
      </c>
      <c r="G177" s="1" t="e">
        <f>IF(VALUE(F177) = VALUE(RIGHT(Insights!$C$3, 4)), E177, "")</f>
        <v>#VALUE!</v>
      </c>
      <c r="H177" s="26" t="e">
        <f t="shared" si="1"/>
        <v>#VALUE!</v>
      </c>
      <c r="I177" s="1" t="e">
        <f t="shared" si="2"/>
        <v>#VALUE!</v>
      </c>
    </row>
    <row r="178" spans="1:9" ht="15.75" customHeight="1">
      <c r="A178" s="26">
        <v>19089</v>
      </c>
      <c r="B178" s="2">
        <v>45099.783101851848</v>
      </c>
      <c r="C178" s="26" t="s">
        <v>0</v>
      </c>
      <c r="D178" s="26">
        <v>18</v>
      </c>
      <c r="E178" s="1" t="s">
        <v>28</v>
      </c>
      <c r="F178" s="85">
        <f t="shared" si="0"/>
        <v>27.231884057971016</v>
      </c>
      <c r="G178" s="1" t="e">
        <f>IF(VALUE(F178) = VALUE(RIGHT(Insights!$C$3, 4)), E178, "")</f>
        <v>#VALUE!</v>
      </c>
      <c r="H178" s="26" t="e">
        <f t="shared" si="1"/>
        <v>#VALUE!</v>
      </c>
      <c r="I178" s="1" t="e">
        <f t="shared" si="2"/>
        <v>#VALUE!</v>
      </c>
    </row>
    <row r="179" spans="1:9" ht="15.75" customHeight="1">
      <c r="A179" s="26">
        <v>19088</v>
      </c>
      <c r="B179" s="2">
        <v>45099.738715277781</v>
      </c>
      <c r="C179" s="26" t="s">
        <v>0</v>
      </c>
      <c r="D179" s="26">
        <v>25</v>
      </c>
      <c r="E179" s="1" t="s">
        <v>28</v>
      </c>
      <c r="F179" s="85">
        <f t="shared" si="0"/>
        <v>27.231884057971016</v>
      </c>
      <c r="G179" s="1" t="e">
        <f>IF(VALUE(F179) = VALUE(RIGHT(Insights!$C$3, 4)), E179, "")</f>
        <v>#VALUE!</v>
      </c>
      <c r="H179" s="26" t="e">
        <f t="shared" si="1"/>
        <v>#VALUE!</v>
      </c>
      <c r="I179" s="1" t="e">
        <f t="shared" si="2"/>
        <v>#VALUE!</v>
      </c>
    </row>
    <row r="180" spans="1:9" ht="15.75" customHeight="1">
      <c r="A180" s="26">
        <v>19087</v>
      </c>
      <c r="B180" s="2">
        <v>45099.702326388884</v>
      </c>
      <c r="C180" s="26" t="s">
        <v>0</v>
      </c>
      <c r="D180" s="26">
        <v>26</v>
      </c>
      <c r="E180" s="1" t="s">
        <v>28</v>
      </c>
      <c r="F180" s="85">
        <f t="shared" si="0"/>
        <v>27.231884057971016</v>
      </c>
      <c r="G180" s="1" t="e">
        <f>IF(VALUE(F180) = VALUE(RIGHT(Insights!$C$3, 4)), E180, "")</f>
        <v>#VALUE!</v>
      </c>
      <c r="H180" s="26" t="e">
        <f t="shared" si="1"/>
        <v>#VALUE!</v>
      </c>
      <c r="I180" s="1" t="e">
        <f t="shared" si="2"/>
        <v>#VALUE!</v>
      </c>
    </row>
    <row r="181" spans="1:9" ht="15.75" customHeight="1">
      <c r="A181" s="26">
        <v>19086</v>
      </c>
      <c r="B181" s="2">
        <v>45099.692106481481</v>
      </c>
      <c r="C181" s="26" t="s">
        <v>0</v>
      </c>
      <c r="D181" s="26">
        <v>28</v>
      </c>
      <c r="E181" s="1" t="s">
        <v>39</v>
      </c>
      <c r="F181" s="85">
        <f t="shared" si="0"/>
        <v>49</v>
      </c>
      <c r="G181" s="1" t="e">
        <f>IF(VALUE(F181) = VALUE(RIGHT(Insights!$C$3, 4)), E181, "")</f>
        <v>#VALUE!</v>
      </c>
      <c r="H181" s="26" t="e">
        <f t="shared" si="1"/>
        <v>#VALUE!</v>
      </c>
      <c r="I181" s="1" t="e">
        <f t="shared" si="2"/>
        <v>#VALUE!</v>
      </c>
    </row>
    <row r="182" spans="1:9" ht="15.75" customHeight="1">
      <c r="A182" s="26">
        <v>19085</v>
      </c>
      <c r="B182" s="2">
        <v>45099.663078703699</v>
      </c>
      <c r="C182" s="26" t="s">
        <v>0</v>
      </c>
      <c r="D182" s="26">
        <v>28</v>
      </c>
      <c r="E182" s="1" t="s">
        <v>28</v>
      </c>
      <c r="F182" s="85">
        <f t="shared" si="0"/>
        <v>27.231884057971016</v>
      </c>
      <c r="G182" s="1" t="e">
        <f>IF(VALUE(F182) = VALUE(RIGHT(Insights!$C$3, 4)), E182, "")</f>
        <v>#VALUE!</v>
      </c>
      <c r="H182" s="26" t="e">
        <f t="shared" si="1"/>
        <v>#VALUE!</v>
      </c>
      <c r="I182" s="1" t="e">
        <f t="shared" si="2"/>
        <v>#VALUE!</v>
      </c>
    </row>
    <row r="183" spans="1:9" ht="15.75" customHeight="1">
      <c r="A183" s="26">
        <v>19084</v>
      </c>
      <c r="B183" s="2">
        <v>45099.661712962959</v>
      </c>
      <c r="C183" s="26" t="s">
        <v>0</v>
      </c>
      <c r="D183" s="26">
        <v>28</v>
      </c>
      <c r="E183" s="1" t="s">
        <v>28</v>
      </c>
      <c r="F183" s="85">
        <f t="shared" si="0"/>
        <v>27.231884057971016</v>
      </c>
      <c r="G183" s="1" t="e">
        <f>IF(VALUE(F183) = VALUE(RIGHT(Insights!$C$3, 4)), E183, "")</f>
        <v>#VALUE!</v>
      </c>
      <c r="H183" s="26" t="e">
        <f t="shared" si="1"/>
        <v>#VALUE!</v>
      </c>
      <c r="I183" s="1" t="e">
        <f t="shared" si="2"/>
        <v>#VALUE!</v>
      </c>
    </row>
    <row r="184" spans="1:9" ht="15.75" customHeight="1">
      <c r="A184" s="26">
        <v>19083</v>
      </c>
      <c r="B184" s="2">
        <v>45099.614930555559</v>
      </c>
      <c r="C184" s="26" t="s">
        <v>0</v>
      </c>
      <c r="D184" s="26">
        <v>25</v>
      </c>
      <c r="E184" s="1" t="s">
        <v>28</v>
      </c>
      <c r="F184" s="85">
        <f t="shared" si="0"/>
        <v>27.231884057971016</v>
      </c>
      <c r="G184" s="1" t="e">
        <f>IF(VALUE(F184) = VALUE(RIGHT(Insights!$C$3, 4)), E184, "")</f>
        <v>#VALUE!</v>
      </c>
      <c r="H184" s="26" t="e">
        <f t="shared" si="1"/>
        <v>#VALUE!</v>
      </c>
      <c r="I184" s="1" t="e">
        <f t="shared" si="2"/>
        <v>#VALUE!</v>
      </c>
    </row>
    <row r="185" spans="1:9" ht="15.75" customHeight="1">
      <c r="A185" s="26">
        <v>19082</v>
      </c>
      <c r="B185" s="2">
        <v>45099.601643518516</v>
      </c>
      <c r="C185" s="26" t="s">
        <v>0</v>
      </c>
      <c r="D185" s="26">
        <v>35</v>
      </c>
      <c r="E185" s="1" t="s">
        <v>28</v>
      </c>
      <c r="F185" s="85">
        <f t="shared" si="0"/>
        <v>27.231884057971016</v>
      </c>
      <c r="G185" s="1" t="e">
        <f>IF(VALUE(F185) = VALUE(RIGHT(Insights!$C$3, 4)), E185, "")</f>
        <v>#VALUE!</v>
      </c>
      <c r="H185" s="26" t="e">
        <f t="shared" si="1"/>
        <v>#VALUE!</v>
      </c>
      <c r="I185" s="1" t="e">
        <f t="shared" si="2"/>
        <v>#VALUE!</v>
      </c>
    </row>
    <row r="186" spans="1:9" ht="15.75" customHeight="1">
      <c r="A186" s="26">
        <v>19081</v>
      </c>
      <c r="B186" s="2">
        <v>45099.576828703706</v>
      </c>
      <c r="C186" s="26" t="s">
        <v>0</v>
      </c>
      <c r="D186" s="26">
        <v>50</v>
      </c>
      <c r="E186" s="1" t="s">
        <v>28</v>
      </c>
      <c r="F186" s="85">
        <f t="shared" si="0"/>
        <v>27.231884057971016</v>
      </c>
      <c r="G186" s="1" t="e">
        <f>IF(VALUE(F186) = VALUE(RIGHT(Insights!$C$3, 4)), E186, "")</f>
        <v>#VALUE!</v>
      </c>
      <c r="H186" s="26" t="e">
        <f t="shared" si="1"/>
        <v>#VALUE!</v>
      </c>
      <c r="I186" s="1" t="e">
        <f t="shared" si="2"/>
        <v>#VALUE!</v>
      </c>
    </row>
    <row r="187" spans="1:9" ht="15.75" customHeight="1">
      <c r="A187" s="26">
        <v>19080</v>
      </c>
      <c r="B187" s="2">
        <v>45099.573252314818</v>
      </c>
      <c r="C187" s="26" t="s">
        <v>0</v>
      </c>
      <c r="D187" s="26">
        <v>53</v>
      </c>
      <c r="E187" s="1" t="s">
        <v>28</v>
      </c>
      <c r="F187" s="85">
        <f t="shared" si="0"/>
        <v>27.231884057971016</v>
      </c>
      <c r="G187" s="1" t="e">
        <f>IF(VALUE(F187) = VALUE(RIGHT(Insights!$C$3, 4)), E187, "")</f>
        <v>#VALUE!</v>
      </c>
      <c r="H187" s="26" t="e">
        <f t="shared" si="1"/>
        <v>#VALUE!</v>
      </c>
      <c r="I187" s="1" t="e">
        <f t="shared" si="2"/>
        <v>#VALUE!</v>
      </c>
    </row>
    <row r="188" spans="1:9" ht="15.75" customHeight="1">
      <c r="A188" s="26">
        <v>19079</v>
      </c>
      <c r="B188" s="2">
        <v>45099.56559027778</v>
      </c>
      <c r="C188" s="26" t="s">
        <v>0</v>
      </c>
      <c r="D188" s="26">
        <v>15</v>
      </c>
      <c r="E188" s="1" t="s">
        <v>28</v>
      </c>
      <c r="F188" s="85">
        <f t="shared" si="0"/>
        <v>27.231884057971016</v>
      </c>
      <c r="G188" s="1" t="e">
        <f>IF(VALUE(F188) = VALUE(RIGHT(Insights!$C$3, 4)), E188, "")</f>
        <v>#VALUE!</v>
      </c>
      <c r="H188" s="26" t="e">
        <f t="shared" si="1"/>
        <v>#VALUE!</v>
      </c>
      <c r="I188" s="1" t="e">
        <f t="shared" si="2"/>
        <v>#VALUE!</v>
      </c>
    </row>
    <row r="189" spans="1:9" ht="15.75" customHeight="1">
      <c r="A189" s="26">
        <v>19078</v>
      </c>
      <c r="B189" s="2">
        <v>45099.555243055554</v>
      </c>
      <c r="C189" s="26" t="s">
        <v>0</v>
      </c>
      <c r="D189" s="26">
        <v>20</v>
      </c>
      <c r="E189" s="1" t="s">
        <v>28</v>
      </c>
      <c r="F189" s="85">
        <f t="shared" si="0"/>
        <v>27.231884057971016</v>
      </c>
      <c r="G189" s="1" t="e">
        <f>IF(VALUE(F189) = VALUE(RIGHT(Insights!$C$3, 4)), E189, "")</f>
        <v>#VALUE!</v>
      </c>
      <c r="H189" s="26" t="e">
        <f t="shared" si="1"/>
        <v>#VALUE!</v>
      </c>
      <c r="I189" s="1" t="e">
        <f t="shared" si="2"/>
        <v>#VALUE!</v>
      </c>
    </row>
    <row r="190" spans="1:9" ht="15.75" customHeight="1">
      <c r="A190" s="26">
        <v>19077</v>
      </c>
      <c r="B190" s="2">
        <v>45099.547164351854</v>
      </c>
      <c r="C190" s="26" t="s">
        <v>0</v>
      </c>
      <c r="D190" s="26">
        <v>35</v>
      </c>
      <c r="E190" s="1" t="s">
        <v>28</v>
      </c>
      <c r="F190" s="85">
        <f t="shared" si="0"/>
        <v>27.231884057971016</v>
      </c>
      <c r="G190" s="1" t="e">
        <f>IF(VALUE(F190) = VALUE(RIGHT(Insights!$C$3, 4)), E190, "")</f>
        <v>#VALUE!</v>
      </c>
      <c r="H190" s="26" t="e">
        <f t="shared" si="1"/>
        <v>#VALUE!</v>
      </c>
      <c r="I190" s="1" t="e">
        <f t="shared" si="2"/>
        <v>#VALUE!</v>
      </c>
    </row>
    <row r="191" spans="1:9" ht="15.75" customHeight="1">
      <c r="A191" s="26">
        <v>19076</v>
      </c>
      <c r="B191" s="2">
        <v>45099.542650462958</v>
      </c>
      <c r="C191" s="26" t="s">
        <v>0</v>
      </c>
      <c r="D191" s="26">
        <v>0</v>
      </c>
      <c r="E191" s="1" t="s">
        <v>28</v>
      </c>
      <c r="F191" s="85">
        <f t="shared" si="0"/>
        <v>27.231884057971016</v>
      </c>
      <c r="G191" s="1" t="e">
        <f>IF(VALUE(F191) = VALUE(RIGHT(Insights!$C$3, 4)), E191, "")</f>
        <v>#VALUE!</v>
      </c>
      <c r="H191" s="26" t="e">
        <f t="shared" si="1"/>
        <v>#VALUE!</v>
      </c>
      <c r="I191" s="1" t="e">
        <f t="shared" si="2"/>
        <v>#VALUE!</v>
      </c>
    </row>
    <row r="192" spans="1:9" ht="15.75" customHeight="1">
      <c r="A192" s="26">
        <v>19075</v>
      </c>
      <c r="B192" s="2">
        <v>45099.519895833335</v>
      </c>
      <c r="C192" s="26" t="s">
        <v>0</v>
      </c>
      <c r="D192" s="26">
        <v>28</v>
      </c>
      <c r="E192" s="1" t="s">
        <v>28</v>
      </c>
      <c r="F192" s="85">
        <f t="shared" si="0"/>
        <v>27.231884057971016</v>
      </c>
      <c r="G192" s="1" t="e">
        <f>IF(VALUE(F192) = VALUE(RIGHT(Insights!$C$3, 4)), E192, "")</f>
        <v>#VALUE!</v>
      </c>
      <c r="H192" s="26" t="e">
        <f t="shared" si="1"/>
        <v>#VALUE!</v>
      </c>
      <c r="I192" s="1" t="e">
        <f t="shared" si="2"/>
        <v>#VALUE!</v>
      </c>
    </row>
    <row r="193" spans="1:9" ht="15.75" customHeight="1">
      <c r="A193" s="26">
        <v>19074</v>
      </c>
      <c r="B193" s="2">
        <v>45099.519780092596</v>
      </c>
      <c r="C193" s="26" t="s">
        <v>0</v>
      </c>
      <c r="D193" s="26">
        <v>28</v>
      </c>
      <c r="E193" s="1" t="s">
        <v>28</v>
      </c>
      <c r="F193" s="85">
        <f t="shared" si="0"/>
        <v>27.231884057971016</v>
      </c>
      <c r="G193" s="1" t="e">
        <f>IF(VALUE(F193) = VALUE(RIGHT(Insights!$C$3, 4)), E193, "")</f>
        <v>#VALUE!</v>
      </c>
      <c r="H193" s="26" t="e">
        <f t="shared" si="1"/>
        <v>#VALUE!</v>
      </c>
      <c r="I193" s="1" t="e">
        <f t="shared" si="2"/>
        <v>#VALUE!</v>
      </c>
    </row>
    <row r="194" spans="1:9" ht="15.75" customHeight="1">
      <c r="A194" s="26">
        <v>19073</v>
      </c>
      <c r="B194" s="2">
        <v>45099.070740740739</v>
      </c>
      <c r="C194" s="26" t="s">
        <v>0</v>
      </c>
      <c r="D194" s="26">
        <v>30</v>
      </c>
      <c r="E194" s="1" t="s">
        <v>28</v>
      </c>
      <c r="F194" s="85">
        <f t="shared" si="0"/>
        <v>27.231884057971016</v>
      </c>
      <c r="G194" s="1" t="e">
        <f>IF(VALUE(F194) = VALUE(RIGHT(Insights!$C$3, 4)), E194, "")</f>
        <v>#VALUE!</v>
      </c>
      <c r="H194" s="26" t="e">
        <f t="shared" si="1"/>
        <v>#VALUE!</v>
      </c>
      <c r="I194" s="1" t="e">
        <f t="shared" si="2"/>
        <v>#VALUE!</v>
      </c>
    </row>
    <row r="195" spans="1:9" ht="15.75" customHeight="1">
      <c r="A195" s="26">
        <v>19072</v>
      </c>
      <c r="B195" s="2">
        <v>45099.028217592597</v>
      </c>
      <c r="C195" s="26" t="s">
        <v>0</v>
      </c>
      <c r="D195" s="26">
        <v>30</v>
      </c>
      <c r="E195" s="1" t="s">
        <v>28</v>
      </c>
      <c r="F195" s="85">
        <f t="shared" si="0"/>
        <v>27.231884057971016</v>
      </c>
      <c r="G195" s="1" t="e">
        <f>IF(VALUE(F195) = VALUE(RIGHT(Insights!$C$3, 4)), E195, "")</f>
        <v>#VALUE!</v>
      </c>
      <c r="H195" s="26" t="e">
        <f t="shared" si="1"/>
        <v>#VALUE!</v>
      </c>
      <c r="I195" s="1" t="e">
        <f t="shared" si="2"/>
        <v>#VALUE!</v>
      </c>
    </row>
    <row r="196" spans="1:9" ht="15.75" customHeight="1">
      <c r="A196" s="26">
        <v>19071</v>
      </c>
      <c r="B196" s="2">
        <v>45098.966736111106</v>
      </c>
      <c r="C196" s="26" t="s">
        <v>0</v>
      </c>
      <c r="D196" s="26">
        <v>25</v>
      </c>
      <c r="E196" s="1" t="s">
        <v>28</v>
      </c>
      <c r="F196" s="85">
        <f t="shared" si="0"/>
        <v>27.231884057971016</v>
      </c>
      <c r="G196" s="1" t="e">
        <f>IF(VALUE(F196) = VALUE(RIGHT(Insights!$C$3, 4)), E196, "")</f>
        <v>#VALUE!</v>
      </c>
      <c r="H196" s="26" t="e">
        <f t="shared" si="1"/>
        <v>#VALUE!</v>
      </c>
      <c r="I196" s="1" t="e">
        <f t="shared" si="2"/>
        <v>#VALUE!</v>
      </c>
    </row>
    <row r="197" spans="1:9" ht="15.75" customHeight="1">
      <c r="A197" s="26">
        <v>19070</v>
      </c>
      <c r="B197" s="2">
        <v>45098.956261574072</v>
      </c>
      <c r="C197" s="26" t="s">
        <v>0</v>
      </c>
      <c r="D197" s="26">
        <v>25</v>
      </c>
      <c r="E197" s="1" t="s">
        <v>28</v>
      </c>
      <c r="F197" s="85">
        <f t="shared" si="0"/>
        <v>27.231884057971016</v>
      </c>
      <c r="G197" s="1" t="e">
        <f>IF(VALUE(F197) = VALUE(RIGHT(Insights!$C$3, 4)), E197, "")</f>
        <v>#VALUE!</v>
      </c>
      <c r="H197" s="26" t="e">
        <f t="shared" si="1"/>
        <v>#VALUE!</v>
      </c>
      <c r="I197" s="1" t="e">
        <f t="shared" si="2"/>
        <v>#VALUE!</v>
      </c>
    </row>
    <row r="198" spans="1:9" ht="15.75" customHeight="1">
      <c r="A198" s="26">
        <v>19069</v>
      </c>
      <c r="B198" s="2">
        <v>45098.95385416667</v>
      </c>
      <c r="C198" s="26" t="s">
        <v>0</v>
      </c>
      <c r="D198" s="26">
        <v>56</v>
      </c>
      <c r="E198" s="1" t="s">
        <v>28</v>
      </c>
      <c r="F198" s="85">
        <f t="shared" si="0"/>
        <v>27.231884057971016</v>
      </c>
      <c r="G198" s="1" t="e">
        <f>IF(VALUE(F198) = VALUE(RIGHT(Insights!$C$3, 4)), E198, "")</f>
        <v>#VALUE!</v>
      </c>
      <c r="H198" s="26" t="e">
        <f t="shared" si="1"/>
        <v>#VALUE!</v>
      </c>
      <c r="I198" s="1" t="e">
        <f t="shared" si="2"/>
        <v>#VALUE!</v>
      </c>
    </row>
    <row r="199" spans="1:9" ht="15.75" customHeight="1">
      <c r="A199" s="26">
        <v>19068</v>
      </c>
      <c r="B199" s="2">
        <v>45098.921944444446</v>
      </c>
      <c r="C199" s="26" t="s">
        <v>0</v>
      </c>
      <c r="D199" s="26">
        <v>25</v>
      </c>
      <c r="E199" s="1" t="s">
        <v>28</v>
      </c>
      <c r="F199" s="85">
        <f t="shared" si="0"/>
        <v>27.231884057971016</v>
      </c>
      <c r="G199" s="1" t="e">
        <f>IF(VALUE(F199) = VALUE(RIGHT(Insights!$C$3, 4)), E199, "")</f>
        <v>#VALUE!</v>
      </c>
      <c r="H199" s="26" t="e">
        <f t="shared" si="1"/>
        <v>#VALUE!</v>
      </c>
      <c r="I199" s="1" t="e">
        <f t="shared" si="2"/>
        <v>#VALUE!</v>
      </c>
    </row>
    <row r="200" spans="1:9" ht="15.75" customHeight="1">
      <c r="A200" s="26">
        <v>19067</v>
      </c>
      <c r="B200" s="2">
        <v>45098.910578703704</v>
      </c>
      <c r="C200" s="26" t="s">
        <v>0</v>
      </c>
      <c r="D200" s="26">
        <v>25</v>
      </c>
      <c r="E200" s="1" t="s">
        <v>28</v>
      </c>
      <c r="F200" s="85">
        <f t="shared" si="0"/>
        <v>27.231884057971016</v>
      </c>
      <c r="G200" s="1" t="e">
        <f>IF(VALUE(F200) = VALUE(RIGHT(Insights!$C$3, 4)), E200, "")</f>
        <v>#VALUE!</v>
      </c>
      <c r="H200" s="26" t="e">
        <f t="shared" si="1"/>
        <v>#VALUE!</v>
      </c>
      <c r="I200" s="1" t="e">
        <f t="shared" si="2"/>
        <v>#VALUE!</v>
      </c>
    </row>
    <row r="201" spans="1:9" ht="15.75" customHeight="1">
      <c r="A201" s="26">
        <v>19066</v>
      </c>
      <c r="B201" s="2">
        <v>45098.699571759258</v>
      </c>
      <c r="C201" s="26" t="s">
        <v>0</v>
      </c>
      <c r="D201" s="26">
        <v>0</v>
      </c>
      <c r="E201" s="1" t="s">
        <v>15</v>
      </c>
      <c r="F201" s="85">
        <f t="shared" si="0"/>
        <v>21</v>
      </c>
      <c r="G201" s="1" t="e">
        <f>IF(VALUE(F201) = VALUE(RIGHT(Insights!$C$3, 4)), E201, "")</f>
        <v>#VALUE!</v>
      </c>
      <c r="H201" s="26" t="e">
        <f t="shared" si="1"/>
        <v>#VALUE!</v>
      </c>
      <c r="I201" s="1" t="e">
        <f t="shared" si="2"/>
        <v>#VALUE!</v>
      </c>
    </row>
    <row r="202" spans="1:9" ht="15.75" customHeight="1">
      <c r="A202" s="26">
        <v>19065</v>
      </c>
      <c r="B202" s="2">
        <v>45098.100370370375</v>
      </c>
      <c r="C202" s="26" t="s">
        <v>0</v>
      </c>
      <c r="D202" s="26">
        <v>20</v>
      </c>
      <c r="E202" s="1" t="s">
        <v>28</v>
      </c>
      <c r="F202" s="85">
        <f t="shared" si="0"/>
        <v>27.231884057971016</v>
      </c>
      <c r="G202" s="1" t="e">
        <f>IF(VALUE(F202) = VALUE(RIGHT(Insights!$C$3, 4)), E202, "")</f>
        <v>#VALUE!</v>
      </c>
      <c r="H202" s="26" t="e">
        <f t="shared" si="1"/>
        <v>#VALUE!</v>
      </c>
      <c r="I202" s="1" t="e">
        <f t="shared" si="2"/>
        <v>#VALUE!</v>
      </c>
    </row>
    <row r="203" spans="1:9" ht="15.75" customHeight="1">
      <c r="A203" s="26">
        <v>19064</v>
      </c>
      <c r="B203" s="2">
        <v>45098.098993055552</v>
      </c>
      <c r="C203" s="26" t="s">
        <v>0</v>
      </c>
      <c r="D203" s="26">
        <v>20</v>
      </c>
      <c r="E203" s="1" t="s">
        <v>28</v>
      </c>
      <c r="F203" s="85">
        <f t="shared" si="0"/>
        <v>27.231884057971016</v>
      </c>
      <c r="G203" s="1" t="e">
        <f>IF(VALUE(F203) = VALUE(RIGHT(Insights!$C$3, 4)), E203, "")</f>
        <v>#VALUE!</v>
      </c>
      <c r="H203" s="26" t="e">
        <f t="shared" si="1"/>
        <v>#VALUE!</v>
      </c>
      <c r="I203" s="1" t="e">
        <f t="shared" si="2"/>
        <v>#VALUE!</v>
      </c>
    </row>
    <row r="204" spans="1:9" ht="15.75" customHeight="1">
      <c r="A204" s="26">
        <v>19063</v>
      </c>
      <c r="B204" s="2">
        <v>45098.078252314815</v>
      </c>
      <c r="C204" s="26" t="s">
        <v>0</v>
      </c>
      <c r="D204" s="26">
        <v>15</v>
      </c>
      <c r="E204" s="1" t="s">
        <v>28</v>
      </c>
      <c r="F204" s="85">
        <f t="shared" si="0"/>
        <v>27.231884057971016</v>
      </c>
      <c r="G204" s="1" t="e">
        <f>IF(VALUE(F204) = VALUE(RIGHT(Insights!$C$3, 4)), E204, "")</f>
        <v>#VALUE!</v>
      </c>
      <c r="H204" s="26" t="e">
        <f t="shared" si="1"/>
        <v>#VALUE!</v>
      </c>
      <c r="I204" s="1" t="e">
        <f t="shared" si="2"/>
        <v>#VALUE!</v>
      </c>
    </row>
    <row r="205" spans="1:9" ht="15.75" customHeight="1">
      <c r="A205" s="26">
        <v>19062</v>
      </c>
      <c r="B205" s="2">
        <v>45097.918344907404</v>
      </c>
      <c r="C205" s="26" t="s">
        <v>0</v>
      </c>
      <c r="D205" s="26">
        <v>28</v>
      </c>
      <c r="E205" s="1" t="s">
        <v>28</v>
      </c>
      <c r="F205" s="85">
        <f t="shared" si="0"/>
        <v>27.231884057971016</v>
      </c>
      <c r="G205" s="1" t="e">
        <f>IF(VALUE(F205) = VALUE(RIGHT(Insights!$C$3, 4)), E205, "")</f>
        <v>#VALUE!</v>
      </c>
      <c r="H205" s="26" t="e">
        <f t="shared" si="1"/>
        <v>#VALUE!</v>
      </c>
      <c r="I205" s="1" t="e">
        <f t="shared" si="2"/>
        <v>#VALUE!</v>
      </c>
    </row>
    <row r="206" spans="1:9" ht="15.75" customHeight="1">
      <c r="A206" s="26">
        <v>19061</v>
      </c>
      <c r="B206" s="2">
        <v>45097.904317129629</v>
      </c>
      <c r="C206" s="26" t="s">
        <v>0</v>
      </c>
      <c r="D206" s="26">
        <v>15</v>
      </c>
      <c r="E206" s="1" t="s">
        <v>28</v>
      </c>
      <c r="F206" s="85">
        <f t="shared" si="0"/>
        <v>27.231884057971016</v>
      </c>
      <c r="G206" s="1" t="e">
        <f>IF(VALUE(F206) = VALUE(RIGHT(Insights!$C$3, 4)), E206, "")</f>
        <v>#VALUE!</v>
      </c>
      <c r="H206" s="26" t="e">
        <f t="shared" si="1"/>
        <v>#VALUE!</v>
      </c>
      <c r="I206" s="1" t="e">
        <f t="shared" si="2"/>
        <v>#VALUE!</v>
      </c>
    </row>
    <row r="207" spans="1:9" ht="15.75" customHeight="1">
      <c r="A207" s="26">
        <v>19060</v>
      </c>
      <c r="B207" s="2">
        <v>45097.882407407407</v>
      </c>
      <c r="C207" s="26" t="s">
        <v>0</v>
      </c>
      <c r="D207" s="26">
        <v>53</v>
      </c>
      <c r="E207" s="1" t="s">
        <v>28</v>
      </c>
      <c r="F207" s="85">
        <f t="shared" si="0"/>
        <v>27.231884057971016</v>
      </c>
      <c r="G207" s="1" t="e">
        <f>IF(VALUE(F207) = VALUE(RIGHT(Insights!$C$3, 4)), E207, "")</f>
        <v>#VALUE!</v>
      </c>
      <c r="H207" s="26" t="e">
        <f t="shared" si="1"/>
        <v>#VALUE!</v>
      </c>
      <c r="I207" s="1" t="e">
        <f t="shared" si="2"/>
        <v>#VALUE!</v>
      </c>
    </row>
    <row r="208" spans="1:9" ht="15.75" customHeight="1">
      <c r="A208" s="26">
        <v>19057</v>
      </c>
      <c r="B208" s="2">
        <v>45097.655104166668</v>
      </c>
      <c r="C208" s="26" t="s">
        <v>0</v>
      </c>
      <c r="D208" s="26">
        <v>18</v>
      </c>
      <c r="E208" s="1" t="s">
        <v>84</v>
      </c>
      <c r="F208" s="85">
        <f t="shared" si="0"/>
        <v>20.2</v>
      </c>
      <c r="G208" s="1" t="e">
        <f>IF(VALUE(F208) = VALUE(RIGHT(Insights!$C$3, 4)), E208, "")</f>
        <v>#VALUE!</v>
      </c>
      <c r="H208" s="26" t="e">
        <f t="shared" si="1"/>
        <v>#VALUE!</v>
      </c>
      <c r="I208" s="1" t="e">
        <f t="shared" si="2"/>
        <v>#VALUE!</v>
      </c>
    </row>
    <row r="209" spans="1:9" ht="15.75" customHeight="1">
      <c r="A209" s="26">
        <v>19052</v>
      </c>
      <c r="B209" s="2">
        <v>45097.629259259258</v>
      </c>
      <c r="C209" s="26" t="s">
        <v>0</v>
      </c>
      <c r="D209" s="26">
        <v>25</v>
      </c>
      <c r="E209" s="1" t="s">
        <v>45</v>
      </c>
      <c r="F209" s="85">
        <f t="shared" si="0"/>
        <v>25</v>
      </c>
      <c r="G209" s="1" t="e">
        <f>IF(VALUE(F209) = VALUE(RIGHT(Insights!$C$3, 4)), E209, "")</f>
        <v>#VALUE!</v>
      </c>
      <c r="H209" s="26" t="e">
        <f t="shared" si="1"/>
        <v>#VALUE!</v>
      </c>
      <c r="I209" s="1" t="e">
        <f t="shared" si="2"/>
        <v>#VALUE!</v>
      </c>
    </row>
    <row r="210" spans="1:9" ht="15.75" customHeight="1">
      <c r="A210" s="26">
        <v>19049</v>
      </c>
      <c r="B210" s="2">
        <v>45097.514340277776</v>
      </c>
      <c r="C210" s="26" t="s">
        <v>0</v>
      </c>
      <c r="D210" s="26">
        <v>25</v>
      </c>
      <c r="E210" s="1" t="s">
        <v>28</v>
      </c>
      <c r="F210" s="85">
        <f t="shared" si="0"/>
        <v>27.231884057971016</v>
      </c>
      <c r="G210" s="1" t="e">
        <f>IF(VALUE(F210) = VALUE(RIGHT(Insights!$C$3, 4)), E210, "")</f>
        <v>#VALUE!</v>
      </c>
      <c r="H210" s="26" t="e">
        <f t="shared" si="1"/>
        <v>#VALUE!</v>
      </c>
      <c r="I210" s="1" t="e">
        <f t="shared" si="2"/>
        <v>#VALUE!</v>
      </c>
    </row>
    <row r="211" spans="1:9" ht="15.75" customHeight="1">
      <c r="A211" s="26">
        <v>19048</v>
      </c>
      <c r="B211" s="2">
        <v>45097.261458333334</v>
      </c>
      <c r="C211" s="26" t="s">
        <v>0</v>
      </c>
      <c r="D211" s="26">
        <v>30</v>
      </c>
      <c r="E211" s="1" t="s">
        <v>15</v>
      </c>
      <c r="F211" s="85">
        <f t="shared" si="0"/>
        <v>21</v>
      </c>
      <c r="G211" s="1" t="e">
        <f>IF(VALUE(F211) = VALUE(RIGHT(Insights!$C$3, 4)), E211, "")</f>
        <v>#VALUE!</v>
      </c>
      <c r="H211" s="26" t="e">
        <f t="shared" si="1"/>
        <v>#VALUE!</v>
      </c>
      <c r="I211" s="1" t="e">
        <f t="shared" si="2"/>
        <v>#VALUE!</v>
      </c>
    </row>
    <row r="212" spans="1:9" ht="15.75" customHeight="1">
      <c r="A212" s="26">
        <v>19047</v>
      </c>
      <c r="B212" s="2">
        <v>45097.258564814816</v>
      </c>
      <c r="C212" s="26" t="s">
        <v>0</v>
      </c>
      <c r="D212" s="26">
        <v>25</v>
      </c>
      <c r="E212" s="1" t="s">
        <v>15</v>
      </c>
      <c r="F212" s="85">
        <f t="shared" si="0"/>
        <v>21</v>
      </c>
      <c r="G212" s="1" t="e">
        <f>IF(VALUE(F212) = VALUE(RIGHT(Insights!$C$3, 4)), E212, "")</f>
        <v>#VALUE!</v>
      </c>
      <c r="H212" s="26" t="e">
        <f t="shared" si="1"/>
        <v>#VALUE!</v>
      </c>
      <c r="I212" s="1" t="e">
        <f t="shared" si="2"/>
        <v>#VALUE!</v>
      </c>
    </row>
    <row r="213" spans="1:9" ht="15.75" customHeight="1">
      <c r="A213" s="26">
        <v>19046</v>
      </c>
      <c r="B213" s="2">
        <v>45097.256400462968</v>
      </c>
      <c r="C213" s="26" t="s">
        <v>0</v>
      </c>
      <c r="D213" s="26">
        <v>25</v>
      </c>
      <c r="E213" s="1" t="s">
        <v>15</v>
      </c>
      <c r="F213" s="85">
        <f t="shared" si="0"/>
        <v>21</v>
      </c>
      <c r="G213" s="1" t="e">
        <f>IF(VALUE(F213) = VALUE(RIGHT(Insights!$C$3, 4)), E213, "")</f>
        <v>#VALUE!</v>
      </c>
      <c r="H213" s="26" t="e">
        <f t="shared" si="1"/>
        <v>#VALUE!</v>
      </c>
      <c r="I213" s="1" t="e">
        <f t="shared" si="2"/>
        <v>#VALUE!</v>
      </c>
    </row>
    <row r="214" spans="1:9" ht="15.75" customHeight="1">
      <c r="A214" s="26">
        <v>19045</v>
      </c>
      <c r="B214" s="2">
        <v>45097.137337962966</v>
      </c>
      <c r="C214" s="26" t="s">
        <v>0</v>
      </c>
      <c r="D214" s="26">
        <v>55</v>
      </c>
      <c r="E214" s="1" t="s">
        <v>28</v>
      </c>
      <c r="F214" s="85">
        <f t="shared" si="0"/>
        <v>27.231884057971016</v>
      </c>
      <c r="G214" s="1" t="e">
        <f>IF(VALUE(F214) = VALUE(RIGHT(Insights!$C$3, 4)), E214, "")</f>
        <v>#VALUE!</v>
      </c>
      <c r="H214" s="26" t="e">
        <f t="shared" si="1"/>
        <v>#VALUE!</v>
      </c>
      <c r="I214" s="1" t="e">
        <f t="shared" si="2"/>
        <v>#VALUE!</v>
      </c>
    </row>
    <row r="215" spans="1:9" ht="15.75" customHeight="1">
      <c r="A215" s="26">
        <v>19044</v>
      </c>
      <c r="B215" s="2">
        <v>45097.03707175926</v>
      </c>
      <c r="C215" s="26" t="s">
        <v>0</v>
      </c>
      <c r="D215" s="26">
        <v>25</v>
      </c>
      <c r="E215" s="1" t="s">
        <v>28</v>
      </c>
      <c r="F215" s="85">
        <f t="shared" si="0"/>
        <v>27.231884057971016</v>
      </c>
      <c r="G215" s="1" t="e">
        <f>IF(VALUE(F215) = VALUE(RIGHT(Insights!$C$3, 4)), E215, "")</f>
        <v>#VALUE!</v>
      </c>
      <c r="H215" s="26" t="e">
        <f t="shared" si="1"/>
        <v>#VALUE!</v>
      </c>
      <c r="I215" s="1" t="e">
        <f t="shared" si="2"/>
        <v>#VALUE!</v>
      </c>
    </row>
    <row r="216" spans="1:9" ht="15.75" customHeight="1">
      <c r="A216" s="26">
        <v>19043</v>
      </c>
      <c r="B216" s="2">
        <v>45097.009652777779</v>
      </c>
      <c r="C216" s="26" t="s">
        <v>0</v>
      </c>
      <c r="D216" s="26">
        <v>25</v>
      </c>
      <c r="E216" s="1" t="s">
        <v>28</v>
      </c>
      <c r="F216" s="85">
        <f t="shared" si="0"/>
        <v>27.231884057971016</v>
      </c>
      <c r="G216" s="1" t="e">
        <f>IF(VALUE(F216) = VALUE(RIGHT(Insights!$C$3, 4)), E216, "")</f>
        <v>#VALUE!</v>
      </c>
      <c r="H216" s="26" t="e">
        <f t="shared" si="1"/>
        <v>#VALUE!</v>
      </c>
      <c r="I216" s="1" t="e">
        <f t="shared" si="2"/>
        <v>#VALUE!</v>
      </c>
    </row>
    <row r="217" spans="1:9" ht="15.75" customHeight="1">
      <c r="A217" s="26">
        <v>19042</v>
      </c>
      <c r="B217" s="2">
        <v>45097.003252314811</v>
      </c>
      <c r="C217" s="26" t="s">
        <v>0</v>
      </c>
      <c r="D217" s="26">
        <v>15</v>
      </c>
      <c r="E217" s="1" t="s">
        <v>28</v>
      </c>
      <c r="F217" s="85">
        <f t="shared" si="0"/>
        <v>27.231884057971016</v>
      </c>
      <c r="G217" s="1" t="e">
        <f>IF(VALUE(F217) = VALUE(RIGHT(Insights!$C$3, 4)), E217, "")</f>
        <v>#VALUE!</v>
      </c>
      <c r="H217" s="26" t="e">
        <f t="shared" si="1"/>
        <v>#VALUE!</v>
      </c>
      <c r="I217" s="1" t="e">
        <f t="shared" si="2"/>
        <v>#VALUE!</v>
      </c>
    </row>
    <row r="218" spans="1:9" ht="15.75" customHeight="1">
      <c r="A218" s="26">
        <v>19041</v>
      </c>
      <c r="B218" s="2">
        <v>45097.002453703702</v>
      </c>
      <c r="C218" s="26" t="s">
        <v>0</v>
      </c>
      <c r="D218" s="26">
        <v>25</v>
      </c>
      <c r="E218" s="1" t="s">
        <v>28</v>
      </c>
      <c r="F218" s="85">
        <f t="shared" si="0"/>
        <v>27.231884057971016</v>
      </c>
      <c r="G218" s="1" t="e">
        <f>IF(VALUE(F218) = VALUE(RIGHT(Insights!$C$3, 4)), E218, "")</f>
        <v>#VALUE!</v>
      </c>
      <c r="H218" s="26" t="e">
        <f t="shared" si="1"/>
        <v>#VALUE!</v>
      </c>
      <c r="I218" s="1" t="e">
        <f t="shared" si="2"/>
        <v>#VALUE!</v>
      </c>
    </row>
    <row r="219" spans="1:9" ht="15.75" customHeight="1">
      <c r="A219" s="26">
        <v>19040</v>
      </c>
      <c r="B219" s="2">
        <v>45096.976944444439</v>
      </c>
      <c r="C219" s="26" t="s">
        <v>0</v>
      </c>
      <c r="D219" s="26">
        <v>53</v>
      </c>
      <c r="E219" s="1" t="s">
        <v>28</v>
      </c>
      <c r="F219" s="85">
        <f t="shared" si="0"/>
        <v>27.231884057971016</v>
      </c>
      <c r="G219" s="1" t="e">
        <f>IF(VALUE(F219) = VALUE(RIGHT(Insights!$C$3, 4)), E219, "")</f>
        <v>#VALUE!</v>
      </c>
      <c r="H219" s="26" t="e">
        <f t="shared" si="1"/>
        <v>#VALUE!</v>
      </c>
      <c r="I219" s="1" t="e">
        <f t="shared" si="2"/>
        <v>#VALUE!</v>
      </c>
    </row>
    <row r="220" spans="1:9" ht="15.75" customHeight="1">
      <c r="A220" s="26">
        <v>19039</v>
      </c>
      <c r="B220" s="2">
        <v>45096.975347222222</v>
      </c>
      <c r="C220" s="26" t="s">
        <v>0</v>
      </c>
      <c r="D220" s="26">
        <v>25</v>
      </c>
      <c r="E220" s="1" t="s">
        <v>28</v>
      </c>
      <c r="F220" s="85">
        <f t="shared" si="0"/>
        <v>27.231884057971016</v>
      </c>
      <c r="G220" s="1" t="e">
        <f>IF(VALUE(F220) = VALUE(RIGHT(Insights!$C$3, 4)), E220, "")</f>
        <v>#VALUE!</v>
      </c>
      <c r="H220" s="26" t="e">
        <f t="shared" si="1"/>
        <v>#VALUE!</v>
      </c>
      <c r="I220" s="1" t="e">
        <f t="shared" si="2"/>
        <v>#VALUE!</v>
      </c>
    </row>
    <row r="221" spans="1:9" ht="15.75" customHeight="1">
      <c r="A221" s="26">
        <v>19038</v>
      </c>
      <c r="B221" s="2">
        <v>45096.975254629629</v>
      </c>
      <c r="C221" s="26" t="s">
        <v>0</v>
      </c>
      <c r="D221" s="26">
        <v>15</v>
      </c>
      <c r="E221" s="1" t="s">
        <v>28</v>
      </c>
      <c r="F221" s="85">
        <f t="shared" si="0"/>
        <v>27.231884057971016</v>
      </c>
      <c r="G221" s="1" t="e">
        <f>IF(VALUE(F221) = VALUE(RIGHT(Insights!$C$3, 4)), E221, "")</f>
        <v>#VALUE!</v>
      </c>
      <c r="H221" s="26" t="e">
        <f t="shared" si="1"/>
        <v>#VALUE!</v>
      </c>
      <c r="I221" s="1" t="e">
        <f t="shared" si="2"/>
        <v>#VALUE!</v>
      </c>
    </row>
    <row r="222" spans="1:9" ht="15.75" customHeight="1">
      <c r="A222" s="26">
        <v>19037</v>
      </c>
      <c r="B222" s="2">
        <v>45096.972199074073</v>
      </c>
      <c r="C222" s="26" t="s">
        <v>0</v>
      </c>
      <c r="D222" s="26">
        <v>35</v>
      </c>
      <c r="E222" s="1" t="s">
        <v>28</v>
      </c>
      <c r="F222" s="85">
        <f t="shared" si="0"/>
        <v>27.231884057971016</v>
      </c>
      <c r="G222" s="1" t="e">
        <f>IF(VALUE(F222) = VALUE(RIGHT(Insights!$C$3, 4)), E222, "")</f>
        <v>#VALUE!</v>
      </c>
      <c r="H222" s="26" t="e">
        <f t="shared" si="1"/>
        <v>#VALUE!</v>
      </c>
      <c r="I222" s="1" t="e">
        <f t="shared" si="2"/>
        <v>#VALUE!</v>
      </c>
    </row>
    <row r="223" spans="1:9" ht="15.75" customHeight="1">
      <c r="A223" s="26">
        <v>19036</v>
      </c>
      <c r="B223" s="2">
        <v>45096.970393518517</v>
      </c>
      <c r="C223" s="26" t="s">
        <v>0</v>
      </c>
      <c r="D223" s="26">
        <v>25</v>
      </c>
      <c r="E223" s="1" t="s">
        <v>28</v>
      </c>
      <c r="F223" s="85">
        <f t="shared" si="0"/>
        <v>27.231884057971016</v>
      </c>
      <c r="G223" s="1" t="e">
        <f>IF(VALUE(F223) = VALUE(RIGHT(Insights!$C$3, 4)), E223, "")</f>
        <v>#VALUE!</v>
      </c>
      <c r="H223" s="26" t="e">
        <f t="shared" si="1"/>
        <v>#VALUE!</v>
      </c>
      <c r="I223" s="1" t="e">
        <f t="shared" si="2"/>
        <v>#VALUE!</v>
      </c>
    </row>
    <row r="224" spans="1:9" ht="15.75" customHeight="1">
      <c r="A224" s="26">
        <v>19035</v>
      </c>
      <c r="B224" s="2">
        <v>45096.963587962964</v>
      </c>
      <c r="C224" s="26" t="s">
        <v>0</v>
      </c>
      <c r="D224" s="26">
        <v>45</v>
      </c>
      <c r="E224" s="1" t="s">
        <v>28</v>
      </c>
      <c r="F224" s="85">
        <f t="shared" si="0"/>
        <v>27.231884057971016</v>
      </c>
      <c r="G224" s="1" t="e">
        <f>IF(VALUE(F224) = VALUE(RIGHT(Insights!$C$3, 4)), E224, "")</f>
        <v>#VALUE!</v>
      </c>
      <c r="H224" s="26" t="e">
        <f t="shared" si="1"/>
        <v>#VALUE!</v>
      </c>
      <c r="I224" s="1" t="e">
        <f t="shared" si="2"/>
        <v>#VALUE!</v>
      </c>
    </row>
    <row r="225" spans="1:9" ht="15.75" customHeight="1">
      <c r="A225" s="26">
        <v>19034</v>
      </c>
      <c r="B225" s="2">
        <v>45096.960381944446</v>
      </c>
      <c r="C225" s="26" t="s">
        <v>0</v>
      </c>
      <c r="D225" s="26">
        <v>25</v>
      </c>
      <c r="E225" s="1" t="s">
        <v>28</v>
      </c>
      <c r="F225" s="85">
        <f t="shared" si="0"/>
        <v>27.231884057971016</v>
      </c>
      <c r="G225" s="1" t="e">
        <f>IF(VALUE(F225) = VALUE(RIGHT(Insights!$C$3, 4)), E225, "")</f>
        <v>#VALUE!</v>
      </c>
      <c r="H225" s="26" t="e">
        <f t="shared" si="1"/>
        <v>#VALUE!</v>
      </c>
      <c r="I225" s="1" t="e">
        <f t="shared" si="2"/>
        <v>#VALUE!</v>
      </c>
    </row>
    <row r="226" spans="1:9" ht="15.75" customHeight="1">
      <c r="A226" s="26">
        <v>19033</v>
      </c>
      <c r="B226" s="2">
        <v>45096.959999999999</v>
      </c>
      <c r="C226" s="26" t="s">
        <v>0</v>
      </c>
      <c r="D226" s="26">
        <v>25</v>
      </c>
      <c r="E226" s="1" t="s">
        <v>28</v>
      </c>
      <c r="F226" s="85">
        <f t="shared" si="0"/>
        <v>27.231884057971016</v>
      </c>
      <c r="G226" s="1" t="e">
        <f>IF(VALUE(F226) = VALUE(RIGHT(Insights!$C$3, 4)), E226, "")</f>
        <v>#VALUE!</v>
      </c>
      <c r="H226" s="26" t="e">
        <f t="shared" si="1"/>
        <v>#VALUE!</v>
      </c>
      <c r="I226" s="1" t="e">
        <f t="shared" si="2"/>
        <v>#VALUE!</v>
      </c>
    </row>
    <row r="227" spans="1:9" ht="15.75" customHeight="1">
      <c r="A227" s="26">
        <v>19032</v>
      </c>
      <c r="B227" s="2">
        <v>45096.959502314814</v>
      </c>
      <c r="C227" s="26" t="s">
        <v>0</v>
      </c>
      <c r="D227" s="26">
        <v>28</v>
      </c>
      <c r="E227" s="1" t="s">
        <v>28</v>
      </c>
      <c r="F227" s="85">
        <f t="shared" si="0"/>
        <v>27.231884057971016</v>
      </c>
      <c r="G227" s="1" t="e">
        <f>IF(VALUE(F227) = VALUE(RIGHT(Insights!$C$3, 4)), E227, "")</f>
        <v>#VALUE!</v>
      </c>
      <c r="H227" s="26" t="e">
        <f t="shared" si="1"/>
        <v>#VALUE!</v>
      </c>
      <c r="I227" s="1" t="e">
        <f t="shared" si="2"/>
        <v>#VALUE!</v>
      </c>
    </row>
    <row r="228" spans="1:9" ht="15.75" customHeight="1">
      <c r="A228" s="26">
        <v>19031</v>
      </c>
      <c r="B228" s="2">
        <v>45096.957789351851</v>
      </c>
      <c r="C228" s="26" t="s">
        <v>0</v>
      </c>
      <c r="D228" s="26">
        <v>25</v>
      </c>
      <c r="E228" s="1" t="s">
        <v>28</v>
      </c>
      <c r="F228" s="85">
        <f t="shared" si="0"/>
        <v>27.231884057971016</v>
      </c>
      <c r="G228" s="1" t="e">
        <f>IF(VALUE(F228) = VALUE(RIGHT(Insights!$C$3, 4)), E228, "")</f>
        <v>#VALUE!</v>
      </c>
      <c r="H228" s="26" t="e">
        <f t="shared" si="1"/>
        <v>#VALUE!</v>
      </c>
      <c r="I228" s="1" t="e">
        <f t="shared" si="2"/>
        <v>#VALUE!</v>
      </c>
    </row>
    <row r="229" spans="1:9" ht="15.75" customHeight="1">
      <c r="A229" s="26">
        <v>19030</v>
      </c>
      <c r="B229" s="2">
        <v>45096.927291666667</v>
      </c>
      <c r="C229" s="26" t="s">
        <v>0</v>
      </c>
      <c r="D229" s="26">
        <v>26</v>
      </c>
      <c r="E229" s="1" t="s">
        <v>28</v>
      </c>
      <c r="F229" s="85">
        <f t="shared" si="0"/>
        <v>27.231884057971016</v>
      </c>
      <c r="G229" s="1" t="e">
        <f>IF(VALUE(F229) = VALUE(RIGHT(Insights!$C$3, 4)), E229, "")</f>
        <v>#VALUE!</v>
      </c>
      <c r="H229" s="26" t="e">
        <f t="shared" si="1"/>
        <v>#VALUE!</v>
      </c>
      <c r="I229" s="1" t="e">
        <f t="shared" si="2"/>
        <v>#VALUE!</v>
      </c>
    </row>
    <row r="230" spans="1:9" ht="15.75" customHeight="1">
      <c r="A230" s="26">
        <v>19029</v>
      </c>
      <c r="B230" s="2">
        <v>45096.925821759258</v>
      </c>
      <c r="C230" s="26" t="s">
        <v>0</v>
      </c>
      <c r="D230" s="26">
        <v>15</v>
      </c>
      <c r="E230" s="1" t="s">
        <v>28</v>
      </c>
      <c r="F230" s="85">
        <f t="shared" si="0"/>
        <v>27.231884057971016</v>
      </c>
      <c r="G230" s="1" t="e">
        <f>IF(VALUE(F230) = VALUE(RIGHT(Insights!$C$3, 4)), E230, "")</f>
        <v>#VALUE!</v>
      </c>
      <c r="H230" s="26" t="e">
        <f t="shared" si="1"/>
        <v>#VALUE!</v>
      </c>
      <c r="I230" s="1" t="e">
        <f t="shared" si="2"/>
        <v>#VALUE!</v>
      </c>
    </row>
    <row r="231" spans="1:9" ht="15.75" customHeight="1">
      <c r="A231" s="26">
        <v>19028</v>
      </c>
      <c r="B231" s="2">
        <v>45096.920775462961</v>
      </c>
      <c r="C231" s="26" t="s">
        <v>0</v>
      </c>
      <c r="D231" s="26">
        <v>25</v>
      </c>
      <c r="E231" s="1" t="s">
        <v>28</v>
      </c>
      <c r="F231" s="85">
        <f t="shared" si="0"/>
        <v>27.231884057971016</v>
      </c>
      <c r="G231" s="1" t="e">
        <f>IF(VALUE(F231) = VALUE(RIGHT(Insights!$C$3, 4)), E231, "")</f>
        <v>#VALUE!</v>
      </c>
      <c r="H231" s="26" t="e">
        <f t="shared" si="1"/>
        <v>#VALUE!</v>
      </c>
      <c r="I231" s="1" t="e">
        <f t="shared" si="2"/>
        <v>#VALUE!</v>
      </c>
    </row>
    <row r="232" spans="1:9" ht="15.75" customHeight="1">
      <c r="A232" s="26"/>
      <c r="B232" s="2"/>
      <c r="C232" s="26"/>
      <c r="D232" s="26"/>
      <c r="F232" s="85" t="str">
        <f t="shared" si="0"/>
        <v/>
      </c>
      <c r="G232" s="1" t="e">
        <f>IF(VALUE(F232) = VALUE(RIGHT(Insights!$C$3, 4)), E232, "")</f>
        <v>#VALUE!</v>
      </c>
      <c r="H232" s="26" t="e">
        <f t="shared" si="1"/>
        <v>#VALUE!</v>
      </c>
      <c r="I232" s="1" t="e">
        <f t="shared" si="2"/>
        <v>#VALUE!</v>
      </c>
    </row>
    <row r="233" spans="1:9" ht="15.75" customHeight="1">
      <c r="A233" s="26"/>
      <c r="B233" s="2"/>
      <c r="C233" s="26"/>
      <c r="D233" s="26"/>
      <c r="F233" s="85" t="str">
        <f t="shared" si="0"/>
        <v/>
      </c>
      <c r="G233" s="1" t="e">
        <f>IF(VALUE(F233) = VALUE(RIGHT(Insights!$C$3, 4)), E233, "")</f>
        <v>#VALUE!</v>
      </c>
      <c r="H233" s="26" t="e">
        <f t="shared" si="1"/>
        <v>#VALUE!</v>
      </c>
      <c r="I233" s="1" t="e">
        <f t="shared" si="2"/>
        <v>#VALUE!</v>
      </c>
    </row>
    <row r="234" spans="1:9" ht="15.75" customHeight="1">
      <c r="A234" s="26"/>
      <c r="B234" s="2"/>
      <c r="C234" s="26"/>
      <c r="D234" s="26"/>
      <c r="F234" s="85" t="str">
        <f t="shared" si="0"/>
        <v/>
      </c>
      <c r="G234" s="1" t="e">
        <f>IF(VALUE(F234) = VALUE(RIGHT(Insights!$C$3, 4)), E234, "")</f>
        <v>#VALUE!</v>
      </c>
      <c r="H234" s="26" t="e">
        <f t="shared" si="1"/>
        <v>#VALUE!</v>
      </c>
      <c r="I234" s="1" t="e">
        <f t="shared" si="2"/>
        <v>#VALUE!</v>
      </c>
    </row>
    <row r="235" spans="1:9" ht="15.75" customHeight="1">
      <c r="A235" s="26"/>
      <c r="B235" s="2"/>
      <c r="C235" s="26"/>
      <c r="D235" s="26"/>
      <c r="F235" s="85" t="str">
        <f t="shared" si="0"/>
        <v/>
      </c>
      <c r="G235" s="1" t="e">
        <f>IF(VALUE(F235) = VALUE(RIGHT(Insights!$C$3, 4)), E235, "")</f>
        <v>#VALUE!</v>
      </c>
      <c r="H235" s="26" t="e">
        <f t="shared" si="1"/>
        <v>#VALUE!</v>
      </c>
      <c r="I235" s="1" t="e">
        <f t="shared" si="2"/>
        <v>#VALUE!</v>
      </c>
    </row>
    <row r="236" spans="1:9" ht="15.75" customHeight="1">
      <c r="A236" s="26"/>
      <c r="B236" s="2"/>
      <c r="C236" s="26"/>
      <c r="D236" s="26"/>
      <c r="F236" s="85" t="str">
        <f t="shared" si="0"/>
        <v/>
      </c>
      <c r="G236" s="1" t="e">
        <f>IF(VALUE(F236) = VALUE(RIGHT(Insights!$C$3, 4)), E236, "")</f>
        <v>#VALUE!</v>
      </c>
      <c r="H236" s="26" t="e">
        <f t="shared" si="1"/>
        <v>#VALUE!</v>
      </c>
      <c r="I236" s="1" t="e">
        <f t="shared" si="2"/>
        <v>#VALUE!</v>
      </c>
    </row>
    <row r="237" spans="1:9" ht="15.75" customHeight="1">
      <c r="A237" s="26"/>
      <c r="B237" s="2"/>
      <c r="C237" s="26"/>
      <c r="D237" s="26"/>
      <c r="F237" s="85" t="str">
        <f t="shared" si="0"/>
        <v/>
      </c>
      <c r="G237" s="1" t="e">
        <f>IF(VALUE(F237) = VALUE(RIGHT(Insights!$C$3, 4)), E237, "")</f>
        <v>#VALUE!</v>
      </c>
      <c r="H237" s="26" t="e">
        <f t="shared" si="1"/>
        <v>#VALUE!</v>
      </c>
      <c r="I237" s="1" t="e">
        <f t="shared" si="2"/>
        <v>#VALUE!</v>
      </c>
    </row>
    <row r="238" spans="1:9" ht="15.75" customHeight="1">
      <c r="A238" s="26"/>
      <c r="B238" s="2"/>
      <c r="C238" s="26"/>
      <c r="D238" s="26"/>
      <c r="F238" s="85" t="str">
        <f t="shared" si="0"/>
        <v/>
      </c>
      <c r="G238" s="1" t="e">
        <f>IF(VALUE(F238) = VALUE(RIGHT(Insights!$C$3, 4)), E238, "")</f>
        <v>#VALUE!</v>
      </c>
      <c r="H238" s="26" t="e">
        <f t="shared" si="1"/>
        <v>#VALUE!</v>
      </c>
      <c r="I238" s="1" t="e">
        <f t="shared" si="2"/>
        <v>#VALUE!</v>
      </c>
    </row>
    <row r="239" spans="1:9" ht="15.75" customHeight="1">
      <c r="A239" s="26"/>
      <c r="B239" s="2"/>
      <c r="C239" s="26"/>
      <c r="D239" s="26"/>
      <c r="F239" s="85" t="str">
        <f t="shared" si="0"/>
        <v/>
      </c>
      <c r="G239" s="1" t="e">
        <f>IF(VALUE(F239) = VALUE(RIGHT(Insights!$C$3, 4)), E239, "")</f>
        <v>#VALUE!</v>
      </c>
      <c r="H239" s="26" t="e">
        <f t="shared" si="1"/>
        <v>#VALUE!</v>
      </c>
      <c r="I239" s="1" t="e">
        <f t="shared" si="2"/>
        <v>#VALUE!</v>
      </c>
    </row>
    <row r="240" spans="1:9" ht="15.75" customHeight="1">
      <c r="A240" s="26"/>
      <c r="B240" s="2"/>
      <c r="C240" s="26"/>
      <c r="D240" s="26"/>
      <c r="F240" s="85" t="str">
        <f t="shared" si="0"/>
        <v/>
      </c>
      <c r="G240" s="1" t="e">
        <f>IF(VALUE(F240) = VALUE(RIGHT(Insights!$C$3, 4)), E240, "")</f>
        <v>#VALUE!</v>
      </c>
      <c r="H240" s="26" t="e">
        <f t="shared" si="1"/>
        <v>#VALUE!</v>
      </c>
      <c r="I240" s="1" t="e">
        <f t="shared" si="2"/>
        <v>#VALUE!</v>
      </c>
    </row>
    <row r="241" spans="1:9" ht="15.75" customHeight="1">
      <c r="A241" s="26"/>
      <c r="B241" s="2"/>
      <c r="C241" s="26"/>
      <c r="D241" s="26"/>
      <c r="F241" s="85" t="str">
        <f t="shared" si="0"/>
        <v/>
      </c>
      <c r="G241" s="1" t="e">
        <f>IF(VALUE(F241) = VALUE(RIGHT(Insights!$C$3, 4)), E241, "")</f>
        <v>#VALUE!</v>
      </c>
      <c r="H241" s="26" t="e">
        <f t="shared" si="1"/>
        <v>#VALUE!</v>
      </c>
      <c r="I241" s="1" t="e">
        <f t="shared" si="2"/>
        <v>#VALUE!</v>
      </c>
    </row>
    <row r="242" spans="1:9" ht="15.75" customHeight="1">
      <c r="A242" s="26"/>
      <c r="B242" s="2"/>
      <c r="C242" s="26"/>
      <c r="D242" s="26"/>
      <c r="F242" s="85" t="str">
        <f t="shared" si="0"/>
        <v/>
      </c>
      <c r="G242" s="1" t="e">
        <f>IF(VALUE(F242) = VALUE(RIGHT(Insights!$C$3, 4)), E242, "")</f>
        <v>#VALUE!</v>
      </c>
      <c r="H242" s="26" t="e">
        <f t="shared" si="1"/>
        <v>#VALUE!</v>
      </c>
      <c r="I242" s="1" t="e">
        <f t="shared" si="2"/>
        <v>#VALUE!</v>
      </c>
    </row>
    <row r="243" spans="1:9" ht="15.75" customHeight="1">
      <c r="A243" s="26"/>
      <c r="B243" s="2"/>
      <c r="C243" s="26"/>
      <c r="D243" s="26"/>
      <c r="F243" s="85" t="str">
        <f t="shared" si="0"/>
        <v/>
      </c>
      <c r="G243" s="1" t="e">
        <f>IF(VALUE(F243) = VALUE(RIGHT(Insights!$C$3, 4)), E243, "")</f>
        <v>#VALUE!</v>
      </c>
      <c r="H243" s="26" t="e">
        <f t="shared" si="1"/>
        <v>#VALUE!</v>
      </c>
      <c r="I243" s="1" t="e">
        <f t="shared" si="2"/>
        <v>#VALUE!</v>
      </c>
    </row>
    <row r="244" spans="1:9" ht="15.75" customHeight="1">
      <c r="A244" s="26"/>
      <c r="B244" s="2"/>
      <c r="C244" s="26"/>
      <c r="D244" s="26"/>
      <c r="F244" s="85" t="str">
        <f t="shared" si="0"/>
        <v/>
      </c>
      <c r="G244" s="1" t="e">
        <f>IF(VALUE(F244) = VALUE(RIGHT(Insights!$C$3, 4)), E244, "")</f>
        <v>#VALUE!</v>
      </c>
      <c r="H244" s="26" t="e">
        <f t="shared" si="1"/>
        <v>#VALUE!</v>
      </c>
      <c r="I244" s="1" t="e">
        <f t="shared" si="2"/>
        <v>#VALUE!</v>
      </c>
    </row>
    <row r="245" spans="1:9" ht="15.75" customHeight="1">
      <c r="A245" s="26"/>
      <c r="B245" s="2"/>
      <c r="C245" s="26"/>
      <c r="D245" s="26"/>
      <c r="F245" s="85" t="str">
        <f t="shared" si="0"/>
        <v/>
      </c>
      <c r="G245" s="1" t="e">
        <f>IF(VALUE(F245) = VALUE(RIGHT(Insights!$C$3, 4)), E245, "")</f>
        <v>#VALUE!</v>
      </c>
      <c r="H245" s="26" t="e">
        <f t="shared" si="1"/>
        <v>#VALUE!</v>
      </c>
      <c r="I245" s="1" t="e">
        <f t="shared" si="2"/>
        <v>#VALUE!</v>
      </c>
    </row>
    <row r="246" spans="1:9" ht="15.75" customHeight="1">
      <c r="A246" s="26"/>
      <c r="B246" s="2"/>
      <c r="C246" s="26"/>
      <c r="D246" s="26"/>
      <c r="F246" s="85" t="str">
        <f t="shared" si="0"/>
        <v/>
      </c>
      <c r="G246" s="1" t="e">
        <f>IF(VALUE(F246) = VALUE(RIGHT(Insights!$C$3, 4)), E246, "")</f>
        <v>#VALUE!</v>
      </c>
      <c r="H246" s="26" t="e">
        <f t="shared" si="1"/>
        <v>#VALUE!</v>
      </c>
      <c r="I246" s="1" t="e">
        <f t="shared" si="2"/>
        <v>#VALUE!</v>
      </c>
    </row>
    <row r="247" spans="1:9" ht="15.75" customHeight="1">
      <c r="A247" s="26"/>
      <c r="B247" s="2"/>
      <c r="C247" s="26"/>
      <c r="D247" s="26"/>
      <c r="F247" s="85" t="str">
        <f t="shared" si="0"/>
        <v/>
      </c>
      <c r="G247" s="1" t="e">
        <f>IF(VALUE(F247) = VALUE(RIGHT(Insights!$C$3, 4)), E247, "")</f>
        <v>#VALUE!</v>
      </c>
      <c r="H247" s="26" t="e">
        <f t="shared" si="1"/>
        <v>#VALUE!</v>
      </c>
      <c r="I247" s="1" t="e">
        <f t="shared" si="2"/>
        <v>#VALUE!</v>
      </c>
    </row>
    <row r="248" spans="1:9" ht="15.75" customHeight="1">
      <c r="A248" s="26"/>
      <c r="B248" s="2"/>
      <c r="C248" s="26"/>
      <c r="D248" s="26"/>
      <c r="F248" s="85" t="str">
        <f t="shared" si="0"/>
        <v/>
      </c>
      <c r="G248" s="1" t="e">
        <f>IF(VALUE(F248) = VALUE(RIGHT(Insights!$C$3, 4)), E248, "")</f>
        <v>#VALUE!</v>
      </c>
      <c r="H248" s="26" t="e">
        <f t="shared" si="1"/>
        <v>#VALUE!</v>
      </c>
      <c r="I248" s="1" t="e">
        <f t="shared" si="2"/>
        <v>#VALUE!</v>
      </c>
    </row>
    <row r="249" spans="1:9" ht="15.75" customHeight="1">
      <c r="A249" s="26"/>
      <c r="B249" s="2"/>
      <c r="C249" s="26"/>
      <c r="D249" s="26"/>
      <c r="F249" s="85" t="str">
        <f t="shared" si="0"/>
        <v/>
      </c>
      <c r="G249" s="1" t="e">
        <f>IF(VALUE(F249) = VALUE(RIGHT(Insights!$C$3, 4)), E249, "")</f>
        <v>#VALUE!</v>
      </c>
      <c r="H249" s="26" t="e">
        <f t="shared" si="1"/>
        <v>#VALUE!</v>
      </c>
      <c r="I249" s="1" t="e">
        <f t="shared" si="2"/>
        <v>#VALUE!</v>
      </c>
    </row>
    <row r="250" spans="1:9" ht="15.75" customHeight="1">
      <c r="A250" s="26"/>
      <c r="B250" s="2"/>
      <c r="C250" s="26"/>
      <c r="D250" s="26"/>
      <c r="F250" s="85" t="str">
        <f t="shared" si="0"/>
        <v/>
      </c>
      <c r="G250" s="1" t="e">
        <f>IF(VALUE(F250) = VALUE(RIGHT(Insights!$C$3, 4)), E250, "")</f>
        <v>#VALUE!</v>
      </c>
      <c r="H250" s="26" t="e">
        <f t="shared" si="1"/>
        <v>#VALUE!</v>
      </c>
      <c r="I250" s="1" t="e">
        <f t="shared" si="2"/>
        <v>#VALUE!</v>
      </c>
    </row>
    <row r="251" spans="1:9" ht="15.75" customHeight="1">
      <c r="A251" s="26"/>
      <c r="B251" s="2"/>
      <c r="C251" s="26"/>
      <c r="D251" s="26"/>
      <c r="F251" s="85" t="str">
        <f t="shared" si="0"/>
        <v/>
      </c>
      <c r="G251" s="1" t="e">
        <f>IF(VALUE(F251) = VALUE(RIGHT(Insights!$C$3, 4)), E251, "")</f>
        <v>#VALUE!</v>
      </c>
      <c r="H251" s="26" t="e">
        <f t="shared" si="1"/>
        <v>#VALUE!</v>
      </c>
      <c r="I251" s="1" t="e">
        <f t="shared" si="2"/>
        <v>#VALUE!</v>
      </c>
    </row>
    <row r="252" spans="1:9" ht="15.75" customHeight="1">
      <c r="A252" s="26"/>
      <c r="B252" s="2"/>
      <c r="C252" s="26"/>
      <c r="D252" s="26"/>
      <c r="F252" s="85" t="str">
        <f t="shared" si="0"/>
        <v/>
      </c>
      <c r="G252" s="1" t="e">
        <f>IF(VALUE(F252) = VALUE(RIGHT(Insights!$C$3, 4)), E252, "")</f>
        <v>#VALUE!</v>
      </c>
      <c r="H252" s="26" t="e">
        <f t="shared" si="1"/>
        <v>#VALUE!</v>
      </c>
      <c r="I252" s="1" t="e">
        <f t="shared" si="2"/>
        <v>#VALUE!</v>
      </c>
    </row>
    <row r="253" spans="1:9" ht="15.75" customHeight="1">
      <c r="A253" s="26"/>
      <c r="B253" s="2"/>
      <c r="C253" s="26"/>
      <c r="D253" s="26"/>
      <c r="F253" s="85" t="str">
        <f t="shared" si="0"/>
        <v/>
      </c>
      <c r="G253" s="1" t="e">
        <f>IF(VALUE(F253) = VALUE(RIGHT(Insights!$C$3, 4)), E253, "")</f>
        <v>#VALUE!</v>
      </c>
      <c r="H253" s="26" t="e">
        <f t="shared" si="1"/>
        <v>#VALUE!</v>
      </c>
      <c r="I253" s="1" t="e">
        <f t="shared" si="2"/>
        <v>#VALUE!</v>
      </c>
    </row>
    <row r="254" spans="1:9" ht="15.75" customHeight="1">
      <c r="A254" s="26"/>
      <c r="B254" s="2"/>
      <c r="C254" s="26"/>
      <c r="D254" s="26"/>
      <c r="F254" s="85" t="str">
        <f t="shared" si="0"/>
        <v/>
      </c>
      <c r="G254" s="1" t="e">
        <f>IF(VALUE(F254) = VALUE(RIGHT(Insights!$C$3, 4)), E254, "")</f>
        <v>#VALUE!</v>
      </c>
      <c r="H254" s="26" t="e">
        <f t="shared" si="1"/>
        <v>#VALUE!</v>
      </c>
      <c r="I254" s="1" t="e">
        <f t="shared" si="2"/>
        <v>#VALUE!</v>
      </c>
    </row>
    <row r="255" spans="1:9" ht="15.75" customHeight="1">
      <c r="A255" s="26"/>
      <c r="B255" s="2"/>
      <c r="C255" s="26"/>
      <c r="D255" s="26"/>
      <c r="F255" s="85" t="str">
        <f t="shared" si="0"/>
        <v/>
      </c>
      <c r="G255" s="1" t="e">
        <f>IF(VALUE(F255) = VALUE(RIGHT(Insights!$C$3, 4)), E255, "")</f>
        <v>#VALUE!</v>
      </c>
      <c r="H255" s="26" t="e">
        <f t="shared" si="1"/>
        <v>#VALUE!</v>
      </c>
      <c r="I255" s="1" t="e">
        <f t="shared" si="2"/>
        <v>#VALUE!</v>
      </c>
    </row>
    <row r="256" spans="1:9" ht="15.75" customHeight="1">
      <c r="A256" s="26"/>
      <c r="B256" s="2"/>
      <c r="C256" s="26"/>
      <c r="D256" s="26"/>
      <c r="F256" s="85" t="str">
        <f t="shared" si="0"/>
        <v/>
      </c>
      <c r="G256" s="1" t="e">
        <f>IF(VALUE(F256) = VALUE(RIGHT(Insights!$C$3, 4)), E256, "")</f>
        <v>#VALUE!</v>
      </c>
      <c r="H256" s="26" t="e">
        <f t="shared" si="1"/>
        <v>#VALUE!</v>
      </c>
      <c r="I256" s="1" t="e">
        <f t="shared" si="2"/>
        <v>#VALUE!</v>
      </c>
    </row>
    <row r="257" spans="1:9" ht="15.75" customHeight="1">
      <c r="A257" s="26"/>
      <c r="B257" s="2"/>
      <c r="C257" s="26"/>
      <c r="D257" s="26"/>
      <c r="F257" s="85" t="str">
        <f t="shared" si="0"/>
        <v/>
      </c>
      <c r="G257" s="1" t="e">
        <f>IF(VALUE(F257) = VALUE(RIGHT(Insights!$C$3, 4)), E257, "")</f>
        <v>#VALUE!</v>
      </c>
      <c r="H257" s="26" t="e">
        <f t="shared" si="1"/>
        <v>#VALUE!</v>
      </c>
      <c r="I257" s="1" t="e">
        <f t="shared" si="2"/>
        <v>#VALUE!</v>
      </c>
    </row>
    <row r="258" spans="1:9" ht="15.75" customHeight="1">
      <c r="A258" s="26"/>
      <c r="B258" s="2"/>
      <c r="C258" s="26"/>
      <c r="D258" s="26"/>
      <c r="F258" s="85" t="str">
        <f t="shared" si="0"/>
        <v/>
      </c>
      <c r="G258" s="1" t="e">
        <f>IF(VALUE(F258) = VALUE(RIGHT(Insights!$C$3, 4)), E258, "")</f>
        <v>#VALUE!</v>
      </c>
      <c r="H258" s="26" t="e">
        <f t="shared" si="1"/>
        <v>#VALUE!</v>
      </c>
      <c r="I258" s="1" t="e">
        <f t="shared" si="2"/>
        <v>#VALUE!</v>
      </c>
    </row>
    <row r="259" spans="1:9" ht="15.75" customHeight="1">
      <c r="A259" s="26"/>
      <c r="B259" s="2"/>
      <c r="C259" s="26"/>
      <c r="D259" s="26"/>
      <c r="F259" s="85" t="str">
        <f t="shared" si="0"/>
        <v/>
      </c>
      <c r="G259" s="1" t="e">
        <f>IF(VALUE(F259) = VALUE(RIGHT(Insights!$C$3, 4)), E259, "")</f>
        <v>#VALUE!</v>
      </c>
      <c r="H259" s="26" t="e">
        <f t="shared" si="1"/>
        <v>#VALUE!</v>
      </c>
      <c r="I259" s="1" t="e">
        <f t="shared" si="2"/>
        <v>#VALUE!</v>
      </c>
    </row>
    <row r="260" spans="1:9" ht="15.75" customHeight="1">
      <c r="A260" s="26"/>
      <c r="B260" s="2"/>
      <c r="C260" s="26"/>
      <c r="D260" s="26"/>
      <c r="F260" s="85" t="str">
        <f t="shared" si="0"/>
        <v/>
      </c>
      <c r="G260" s="1" t="e">
        <f>IF(VALUE(F260) = VALUE(RIGHT(Insights!$C$3, 4)), E260, "")</f>
        <v>#VALUE!</v>
      </c>
      <c r="H260" s="26" t="e">
        <f t="shared" si="1"/>
        <v>#VALUE!</v>
      </c>
      <c r="I260" s="1" t="e">
        <f t="shared" si="2"/>
        <v>#VALUE!</v>
      </c>
    </row>
    <row r="261" spans="1:9" ht="15.75" customHeight="1">
      <c r="A261" s="26"/>
      <c r="B261" s="2"/>
      <c r="C261" s="26"/>
      <c r="D261" s="26"/>
      <c r="F261" s="85" t="str">
        <f t="shared" si="0"/>
        <v/>
      </c>
      <c r="G261" s="1" t="e">
        <f>IF(VALUE(F261) = VALUE(RIGHT(Insights!$C$3, 4)), E261, "")</f>
        <v>#VALUE!</v>
      </c>
      <c r="H261" s="26" t="e">
        <f t="shared" si="1"/>
        <v>#VALUE!</v>
      </c>
      <c r="I261" s="1" t="e">
        <f t="shared" si="2"/>
        <v>#VALUE!</v>
      </c>
    </row>
    <row r="262" spans="1:9" ht="15.75" customHeight="1">
      <c r="A262" s="26"/>
      <c r="B262" s="2"/>
      <c r="C262" s="26"/>
      <c r="D262" s="26"/>
      <c r="F262" s="85" t="str">
        <f t="shared" si="0"/>
        <v/>
      </c>
      <c r="G262" s="1" t="e">
        <f>IF(VALUE(F262) = VALUE(RIGHT(Insights!$C$3, 4)), E262, "")</f>
        <v>#VALUE!</v>
      </c>
      <c r="H262" s="26" t="e">
        <f t="shared" si="1"/>
        <v>#VALUE!</v>
      </c>
      <c r="I262" s="1" t="e">
        <f t="shared" si="2"/>
        <v>#VALUE!</v>
      </c>
    </row>
    <row r="263" spans="1:9" ht="15.75" customHeight="1">
      <c r="A263" s="26"/>
      <c r="B263" s="2"/>
      <c r="C263" s="26"/>
      <c r="D263" s="26"/>
      <c r="F263" s="85" t="str">
        <f t="shared" si="0"/>
        <v/>
      </c>
      <c r="G263" s="1" t="e">
        <f>IF(VALUE(F263) = VALUE(RIGHT(Insights!$C$3, 4)), E263, "")</f>
        <v>#VALUE!</v>
      </c>
      <c r="H263" s="26" t="e">
        <f t="shared" si="1"/>
        <v>#VALUE!</v>
      </c>
      <c r="I263" s="1" t="e">
        <f t="shared" si="2"/>
        <v>#VALUE!</v>
      </c>
    </row>
    <row r="264" spans="1:9" ht="15.75" customHeight="1">
      <c r="A264" s="26"/>
      <c r="B264" s="2"/>
      <c r="C264" s="26"/>
      <c r="D264" s="26"/>
      <c r="F264" s="85" t="str">
        <f t="shared" si="0"/>
        <v/>
      </c>
      <c r="G264" s="1" t="e">
        <f>IF(VALUE(F264) = VALUE(RIGHT(Insights!$C$3, 4)), E264, "")</f>
        <v>#VALUE!</v>
      </c>
      <c r="H264" s="26" t="e">
        <f t="shared" si="1"/>
        <v>#VALUE!</v>
      </c>
      <c r="I264" s="1" t="e">
        <f t="shared" si="2"/>
        <v>#VALUE!</v>
      </c>
    </row>
    <row r="265" spans="1:9" ht="15.75" customHeight="1">
      <c r="A265" s="26"/>
      <c r="B265" s="2"/>
      <c r="C265" s="26"/>
      <c r="D265" s="26"/>
      <c r="F265" s="85" t="str">
        <f t="shared" si="0"/>
        <v/>
      </c>
      <c r="G265" s="1" t="e">
        <f>IF(VALUE(F265) = VALUE(RIGHT(Insights!$C$3, 4)), E265, "")</f>
        <v>#VALUE!</v>
      </c>
      <c r="H265" s="26" t="e">
        <f t="shared" si="1"/>
        <v>#VALUE!</v>
      </c>
      <c r="I265" s="1" t="e">
        <f t="shared" si="2"/>
        <v>#VALUE!</v>
      </c>
    </row>
    <row r="266" spans="1:9" ht="15.75" customHeight="1">
      <c r="A266" s="26"/>
      <c r="B266" s="2"/>
      <c r="C266" s="26"/>
      <c r="D266" s="26"/>
      <c r="F266" s="85" t="str">
        <f t="shared" si="0"/>
        <v/>
      </c>
      <c r="G266" s="1" t="e">
        <f>IF(VALUE(F266) = VALUE(RIGHT(Insights!$C$3, 4)), E266, "")</f>
        <v>#VALUE!</v>
      </c>
      <c r="H266" s="26" t="e">
        <f t="shared" si="1"/>
        <v>#VALUE!</v>
      </c>
      <c r="I266" s="1" t="e">
        <f t="shared" si="2"/>
        <v>#VALUE!</v>
      </c>
    </row>
    <row r="267" spans="1:9" ht="15.75" customHeight="1">
      <c r="A267" s="26"/>
      <c r="B267" s="2"/>
      <c r="C267" s="26"/>
      <c r="D267" s="26"/>
      <c r="F267" s="85" t="str">
        <f t="shared" si="0"/>
        <v/>
      </c>
      <c r="G267" s="1" t="e">
        <f>IF(VALUE(F267) = VALUE(RIGHT(Insights!$C$3, 4)), E267, "")</f>
        <v>#VALUE!</v>
      </c>
      <c r="H267" s="26" t="e">
        <f t="shared" si="1"/>
        <v>#VALUE!</v>
      </c>
      <c r="I267" s="1" t="e">
        <f t="shared" si="2"/>
        <v>#VALUE!</v>
      </c>
    </row>
    <row r="268" spans="1:9" ht="15.75" customHeight="1">
      <c r="A268" s="26"/>
      <c r="B268" s="2"/>
      <c r="C268" s="26"/>
      <c r="D268" s="26"/>
      <c r="F268" s="85" t="str">
        <f t="shared" si="0"/>
        <v/>
      </c>
      <c r="G268" s="1" t="e">
        <f>IF(VALUE(F268) = VALUE(RIGHT(Insights!$C$3, 4)), E268, "")</f>
        <v>#VALUE!</v>
      </c>
      <c r="H268" s="26" t="e">
        <f t="shared" si="1"/>
        <v>#VALUE!</v>
      </c>
      <c r="I268" s="1" t="e">
        <f t="shared" si="2"/>
        <v>#VALUE!</v>
      </c>
    </row>
    <row r="269" spans="1:9" ht="15.75" customHeight="1">
      <c r="A269" s="26"/>
      <c r="B269" s="2"/>
      <c r="C269" s="26"/>
      <c r="D269" s="26"/>
      <c r="F269" s="85" t="str">
        <f t="shared" si="0"/>
        <v/>
      </c>
      <c r="G269" s="1" t="e">
        <f>IF(VALUE(F269) = VALUE(RIGHT(Insights!$C$3, 4)), E269, "")</f>
        <v>#VALUE!</v>
      </c>
      <c r="H269" s="26" t="e">
        <f t="shared" si="1"/>
        <v>#VALUE!</v>
      </c>
      <c r="I269" s="1" t="e">
        <f t="shared" si="2"/>
        <v>#VALUE!</v>
      </c>
    </row>
    <row r="270" spans="1:9" ht="15.75" customHeight="1">
      <c r="A270" s="26"/>
      <c r="B270" s="2"/>
      <c r="C270" s="26"/>
      <c r="D270" s="26"/>
      <c r="F270" s="85" t="str">
        <f t="shared" si="0"/>
        <v/>
      </c>
      <c r="G270" s="1" t="e">
        <f>IF(VALUE(F270) = VALUE(RIGHT(Insights!$C$3, 4)), E270, "")</f>
        <v>#VALUE!</v>
      </c>
      <c r="H270" s="26" t="e">
        <f t="shared" si="1"/>
        <v>#VALUE!</v>
      </c>
      <c r="I270" s="1" t="e">
        <f t="shared" si="2"/>
        <v>#VALUE!</v>
      </c>
    </row>
    <row r="271" spans="1:9" ht="15.75" customHeight="1">
      <c r="A271" s="26"/>
      <c r="B271" s="2"/>
      <c r="C271" s="26"/>
      <c r="D271" s="26"/>
      <c r="F271" s="85" t="str">
        <f t="shared" si="0"/>
        <v/>
      </c>
      <c r="G271" s="1" t="e">
        <f>IF(VALUE(F271) = VALUE(RIGHT(Insights!$C$3, 4)), E271, "")</f>
        <v>#VALUE!</v>
      </c>
      <c r="H271" s="26" t="e">
        <f t="shared" si="1"/>
        <v>#VALUE!</v>
      </c>
      <c r="I271" s="1" t="e">
        <f t="shared" si="2"/>
        <v>#VALUE!</v>
      </c>
    </row>
    <row r="272" spans="1:9" ht="15.75" customHeight="1">
      <c r="A272" s="26"/>
      <c r="B272" s="2"/>
      <c r="C272" s="26"/>
      <c r="D272" s="26"/>
      <c r="F272" s="85" t="str">
        <f t="shared" si="0"/>
        <v/>
      </c>
      <c r="G272" s="1" t="e">
        <f>IF(VALUE(F272) = VALUE(RIGHT(Insights!$C$3, 4)), E272, "")</f>
        <v>#VALUE!</v>
      </c>
      <c r="H272" s="26" t="e">
        <f t="shared" si="1"/>
        <v>#VALUE!</v>
      </c>
      <c r="I272" s="1" t="e">
        <f t="shared" si="2"/>
        <v>#VALUE!</v>
      </c>
    </row>
    <row r="273" spans="1:9" ht="15.75" customHeight="1">
      <c r="A273" s="26"/>
      <c r="B273" s="2"/>
      <c r="C273" s="26"/>
      <c r="D273" s="26"/>
      <c r="F273" s="85" t="str">
        <f t="shared" si="0"/>
        <v/>
      </c>
      <c r="G273" s="1" t="e">
        <f>IF(VALUE(F273) = VALUE(RIGHT(Insights!$C$3, 4)), E273, "")</f>
        <v>#VALUE!</v>
      </c>
      <c r="H273" s="26" t="e">
        <f t="shared" si="1"/>
        <v>#VALUE!</v>
      </c>
      <c r="I273" s="1" t="e">
        <f t="shared" si="2"/>
        <v>#VALUE!</v>
      </c>
    </row>
    <row r="274" spans="1:9" ht="15.75" customHeight="1">
      <c r="A274" s="26"/>
      <c r="B274" s="2"/>
      <c r="C274" s="26"/>
      <c r="D274" s="26"/>
      <c r="F274" s="85" t="str">
        <f t="shared" si="0"/>
        <v/>
      </c>
      <c r="G274" s="1" t="e">
        <f>IF(VALUE(F274) = VALUE(RIGHT(Insights!$C$3, 4)), E274, "")</f>
        <v>#VALUE!</v>
      </c>
      <c r="H274" s="26" t="e">
        <f t="shared" si="1"/>
        <v>#VALUE!</v>
      </c>
      <c r="I274" s="1" t="e">
        <f t="shared" si="2"/>
        <v>#VALUE!</v>
      </c>
    </row>
    <row r="275" spans="1:9" ht="15.75" customHeight="1">
      <c r="A275" s="26"/>
      <c r="B275" s="2"/>
      <c r="C275" s="26"/>
      <c r="D275" s="26"/>
      <c r="F275" s="85" t="str">
        <f t="shared" si="0"/>
        <v/>
      </c>
      <c r="G275" s="1" t="e">
        <f>IF(VALUE(F275) = VALUE(RIGHT(Insights!$C$3, 4)), E275, "")</f>
        <v>#VALUE!</v>
      </c>
      <c r="H275" s="26" t="e">
        <f t="shared" si="1"/>
        <v>#VALUE!</v>
      </c>
      <c r="I275" s="1" t="e">
        <f t="shared" si="2"/>
        <v>#VALUE!</v>
      </c>
    </row>
    <row r="276" spans="1:9" ht="15.75" customHeight="1">
      <c r="A276" s="26"/>
      <c r="B276" s="2"/>
      <c r="C276" s="26"/>
      <c r="D276" s="26"/>
      <c r="F276" s="85" t="str">
        <f t="shared" si="0"/>
        <v/>
      </c>
      <c r="G276" s="1" t="e">
        <f>IF(VALUE(F276) = VALUE(RIGHT(Insights!$C$3, 4)), E276, "")</f>
        <v>#VALUE!</v>
      </c>
      <c r="H276" s="26" t="e">
        <f t="shared" si="1"/>
        <v>#VALUE!</v>
      </c>
      <c r="I276" s="1" t="e">
        <f t="shared" si="2"/>
        <v>#VALUE!</v>
      </c>
    </row>
    <row r="277" spans="1:9" ht="15.75" customHeight="1">
      <c r="A277" s="26"/>
      <c r="B277" s="2"/>
      <c r="C277" s="26"/>
      <c r="D277" s="26"/>
      <c r="F277" s="85" t="str">
        <f t="shared" si="0"/>
        <v/>
      </c>
      <c r="G277" s="1" t="e">
        <f>IF(VALUE(F277) = VALUE(RIGHT(Insights!$C$3, 4)), E277, "")</f>
        <v>#VALUE!</v>
      </c>
      <c r="H277" s="26" t="e">
        <f t="shared" si="1"/>
        <v>#VALUE!</v>
      </c>
      <c r="I277" s="1" t="e">
        <f t="shared" si="2"/>
        <v>#VALUE!</v>
      </c>
    </row>
    <row r="278" spans="1:9" ht="15.75" customHeight="1">
      <c r="A278" s="26"/>
      <c r="B278" s="2"/>
      <c r="C278" s="26"/>
      <c r="D278" s="26"/>
      <c r="F278" s="85" t="str">
        <f t="shared" si="0"/>
        <v/>
      </c>
      <c r="G278" s="1" t="e">
        <f>IF(VALUE(F278) = VALUE(RIGHT(Insights!$C$3, 4)), E278, "")</f>
        <v>#VALUE!</v>
      </c>
      <c r="H278" s="26" t="e">
        <f t="shared" si="1"/>
        <v>#VALUE!</v>
      </c>
      <c r="I278" s="1" t="e">
        <f t="shared" si="2"/>
        <v>#VALUE!</v>
      </c>
    </row>
    <row r="279" spans="1:9" ht="15.75" customHeight="1">
      <c r="A279" s="26"/>
      <c r="B279" s="2"/>
      <c r="C279" s="26"/>
      <c r="D279" s="26"/>
      <c r="F279" s="85" t="str">
        <f t="shared" si="0"/>
        <v/>
      </c>
      <c r="G279" s="1" t="e">
        <f>IF(VALUE(F279) = VALUE(RIGHT(Insights!$C$3, 4)), E279, "")</f>
        <v>#VALUE!</v>
      </c>
      <c r="H279" s="26" t="e">
        <f t="shared" si="1"/>
        <v>#VALUE!</v>
      </c>
      <c r="I279" s="1" t="e">
        <f t="shared" si="2"/>
        <v>#VALUE!</v>
      </c>
    </row>
    <row r="280" spans="1:9" ht="15.75" customHeight="1">
      <c r="A280" s="26"/>
      <c r="B280" s="2"/>
      <c r="C280" s="26"/>
      <c r="D280" s="26"/>
      <c r="F280" s="85" t="str">
        <f t="shared" si="0"/>
        <v/>
      </c>
      <c r="G280" s="1" t="e">
        <f>IF(VALUE(F280) = VALUE(RIGHT(Insights!$C$3, 4)), E280, "")</f>
        <v>#VALUE!</v>
      </c>
      <c r="H280" s="26" t="e">
        <f t="shared" si="1"/>
        <v>#VALUE!</v>
      </c>
      <c r="I280" s="1" t="e">
        <f t="shared" si="2"/>
        <v>#VALUE!</v>
      </c>
    </row>
    <row r="281" spans="1:9" ht="15.75" customHeight="1">
      <c r="A281" s="26"/>
      <c r="B281" s="2"/>
      <c r="C281" s="26"/>
      <c r="D281" s="26"/>
      <c r="F281" s="85" t="str">
        <f t="shared" si="0"/>
        <v/>
      </c>
      <c r="G281" s="1" t="e">
        <f>IF(VALUE(F281) = VALUE(RIGHT(Insights!$C$3, 4)), E281, "")</f>
        <v>#VALUE!</v>
      </c>
      <c r="H281" s="26" t="e">
        <f t="shared" si="1"/>
        <v>#VALUE!</v>
      </c>
      <c r="I281" s="1" t="e">
        <f t="shared" si="2"/>
        <v>#VALUE!</v>
      </c>
    </row>
    <row r="282" spans="1:9" ht="15.75" customHeight="1">
      <c r="A282" s="26"/>
      <c r="B282" s="2"/>
      <c r="C282" s="26"/>
      <c r="D282" s="26"/>
      <c r="F282" s="85" t="str">
        <f t="shared" si="0"/>
        <v/>
      </c>
      <c r="G282" s="1" t="e">
        <f>IF(VALUE(F282) = VALUE(RIGHT(Insights!$C$3, 4)), E282, "")</f>
        <v>#VALUE!</v>
      </c>
      <c r="H282" s="26" t="e">
        <f t="shared" si="1"/>
        <v>#VALUE!</v>
      </c>
      <c r="I282" s="1" t="e">
        <f t="shared" si="2"/>
        <v>#VALUE!</v>
      </c>
    </row>
    <row r="283" spans="1:9" ht="15.75" customHeight="1">
      <c r="A283" s="26"/>
      <c r="B283" s="2"/>
      <c r="C283" s="26"/>
      <c r="D283" s="26"/>
      <c r="F283" s="85" t="str">
        <f t="shared" si="0"/>
        <v/>
      </c>
      <c r="G283" s="1" t="e">
        <f>IF(VALUE(F283) = VALUE(RIGHT(Insights!$C$3, 4)), E283, "")</f>
        <v>#VALUE!</v>
      </c>
      <c r="H283" s="26" t="e">
        <f t="shared" si="1"/>
        <v>#VALUE!</v>
      </c>
      <c r="I283" s="1" t="e">
        <f t="shared" si="2"/>
        <v>#VALUE!</v>
      </c>
    </row>
    <row r="284" spans="1:9" ht="15.75" customHeight="1">
      <c r="A284" s="26"/>
      <c r="B284" s="2"/>
      <c r="C284" s="26"/>
      <c r="D284" s="26"/>
      <c r="F284" s="85" t="str">
        <f t="shared" si="0"/>
        <v/>
      </c>
      <c r="G284" s="1" t="e">
        <f>IF(VALUE(F284) = VALUE(RIGHT(Insights!$C$3, 4)), E284, "")</f>
        <v>#VALUE!</v>
      </c>
      <c r="H284" s="26" t="e">
        <f t="shared" si="1"/>
        <v>#VALUE!</v>
      </c>
      <c r="I284" s="1" t="e">
        <f t="shared" si="2"/>
        <v>#VALUE!</v>
      </c>
    </row>
    <row r="285" spans="1:9" ht="15.75" customHeight="1">
      <c r="A285" s="26"/>
      <c r="B285" s="2"/>
      <c r="C285" s="26"/>
      <c r="D285" s="26"/>
      <c r="F285" s="85" t="str">
        <f t="shared" si="0"/>
        <v/>
      </c>
      <c r="G285" s="1" t="e">
        <f>IF(VALUE(F285) = VALUE(RIGHT(Insights!$C$3, 4)), E285, "")</f>
        <v>#VALUE!</v>
      </c>
      <c r="H285" s="26" t="e">
        <f t="shared" si="1"/>
        <v>#VALUE!</v>
      </c>
      <c r="I285" s="1" t="e">
        <f t="shared" si="2"/>
        <v>#VALUE!</v>
      </c>
    </row>
    <row r="286" spans="1:9" ht="15.75" customHeight="1">
      <c r="A286" s="26"/>
      <c r="B286" s="2"/>
      <c r="C286" s="26"/>
      <c r="D286" s="26"/>
      <c r="F286" s="85" t="str">
        <f t="shared" si="0"/>
        <v/>
      </c>
      <c r="G286" s="1" t="e">
        <f>IF(VALUE(F286) = VALUE(RIGHT(Insights!$C$3, 4)), E286, "")</f>
        <v>#VALUE!</v>
      </c>
      <c r="H286" s="26" t="e">
        <f t="shared" si="1"/>
        <v>#VALUE!</v>
      </c>
      <c r="I286" s="1" t="e">
        <f t="shared" si="2"/>
        <v>#VALUE!</v>
      </c>
    </row>
    <row r="287" spans="1:9" ht="15.75" customHeight="1">
      <c r="A287" s="26"/>
      <c r="B287" s="2"/>
      <c r="C287" s="26"/>
      <c r="D287" s="26"/>
      <c r="F287" s="85" t="str">
        <f t="shared" si="0"/>
        <v/>
      </c>
      <c r="G287" s="1" t="e">
        <f>IF(VALUE(F287) = VALUE(RIGHT(Insights!$C$3, 4)), E287, "")</f>
        <v>#VALUE!</v>
      </c>
      <c r="H287" s="26" t="e">
        <f t="shared" si="1"/>
        <v>#VALUE!</v>
      </c>
      <c r="I287" s="1" t="e">
        <f t="shared" si="2"/>
        <v>#VALUE!</v>
      </c>
    </row>
    <row r="288" spans="1:9" ht="15.75" customHeight="1">
      <c r="A288" s="26"/>
      <c r="B288" s="2"/>
      <c r="C288" s="26"/>
      <c r="D288" s="26"/>
      <c r="F288" s="85" t="str">
        <f t="shared" si="0"/>
        <v/>
      </c>
      <c r="G288" s="1" t="e">
        <f>IF(VALUE(F288) = VALUE(RIGHT(Insights!$C$3, 4)), E288, "")</f>
        <v>#VALUE!</v>
      </c>
      <c r="H288" s="26" t="e">
        <f t="shared" si="1"/>
        <v>#VALUE!</v>
      </c>
      <c r="I288" s="1" t="e">
        <f t="shared" si="2"/>
        <v>#VALUE!</v>
      </c>
    </row>
    <row r="289" spans="1:9" ht="15.75" customHeight="1">
      <c r="A289" s="26"/>
      <c r="B289" s="2"/>
      <c r="C289" s="26"/>
      <c r="D289" s="26"/>
      <c r="F289" s="85" t="str">
        <f t="shared" si="0"/>
        <v/>
      </c>
      <c r="G289" s="1" t="e">
        <f>IF(VALUE(F289) = VALUE(RIGHT(Insights!$C$3, 4)), E289, "")</f>
        <v>#VALUE!</v>
      </c>
      <c r="H289" s="26" t="e">
        <f t="shared" si="1"/>
        <v>#VALUE!</v>
      </c>
      <c r="I289" s="1" t="e">
        <f t="shared" si="2"/>
        <v>#VALUE!</v>
      </c>
    </row>
    <row r="290" spans="1:9" ht="15.75" customHeight="1">
      <c r="A290" s="26"/>
      <c r="B290" s="2"/>
      <c r="C290" s="26"/>
      <c r="D290" s="26"/>
      <c r="F290" s="85" t="str">
        <f t="shared" si="0"/>
        <v/>
      </c>
      <c r="G290" s="1" t="e">
        <f>IF(VALUE(F290) = VALUE(RIGHT(Insights!$C$3, 4)), E290, "")</f>
        <v>#VALUE!</v>
      </c>
      <c r="H290" s="26" t="e">
        <f t="shared" si="1"/>
        <v>#VALUE!</v>
      </c>
      <c r="I290" s="1" t="e">
        <f t="shared" si="2"/>
        <v>#VALUE!</v>
      </c>
    </row>
    <row r="291" spans="1:9" ht="15.75" customHeight="1">
      <c r="A291" s="26"/>
      <c r="B291" s="2"/>
      <c r="C291" s="26"/>
      <c r="D291" s="26"/>
      <c r="F291" s="85" t="str">
        <f t="shared" si="0"/>
        <v/>
      </c>
      <c r="G291" s="1" t="e">
        <f>IF(VALUE(F291) = VALUE(RIGHT(Insights!$C$3, 4)), E291, "")</f>
        <v>#VALUE!</v>
      </c>
      <c r="H291" s="26" t="e">
        <f t="shared" si="1"/>
        <v>#VALUE!</v>
      </c>
      <c r="I291" s="1" t="e">
        <f t="shared" si="2"/>
        <v>#VALUE!</v>
      </c>
    </row>
    <row r="292" spans="1:9" ht="15.75" customHeight="1">
      <c r="A292" s="26"/>
      <c r="B292" s="2"/>
      <c r="C292" s="26"/>
      <c r="D292" s="26"/>
      <c r="F292" s="85" t="str">
        <f t="shared" si="0"/>
        <v/>
      </c>
      <c r="G292" s="1" t="e">
        <f>IF(VALUE(F292) = VALUE(RIGHT(Insights!$C$3, 4)), E292, "")</f>
        <v>#VALUE!</v>
      </c>
      <c r="H292" s="26" t="e">
        <f t="shared" si="1"/>
        <v>#VALUE!</v>
      </c>
      <c r="I292" s="1" t="e">
        <f t="shared" si="2"/>
        <v>#VALUE!</v>
      </c>
    </row>
    <row r="293" spans="1:9" ht="15.75" customHeight="1">
      <c r="A293" s="26"/>
      <c r="B293" s="2"/>
      <c r="C293" s="26"/>
      <c r="D293" s="26"/>
      <c r="F293" s="85" t="str">
        <f t="shared" si="0"/>
        <v/>
      </c>
      <c r="G293" s="1" t="e">
        <f>IF(VALUE(F293) = VALUE(RIGHT(Insights!$C$3, 4)), E293, "")</f>
        <v>#VALUE!</v>
      </c>
      <c r="H293" s="26" t="e">
        <f t="shared" si="1"/>
        <v>#VALUE!</v>
      </c>
      <c r="I293" s="1" t="e">
        <f t="shared" si="2"/>
        <v>#VALUE!</v>
      </c>
    </row>
    <row r="294" spans="1:9" ht="15.75" customHeight="1">
      <c r="A294" s="26"/>
      <c r="B294" s="2"/>
      <c r="C294" s="26"/>
      <c r="D294" s="26"/>
      <c r="F294" s="85" t="str">
        <f t="shared" si="0"/>
        <v/>
      </c>
      <c r="G294" s="1" t="e">
        <f>IF(VALUE(F294) = VALUE(RIGHT(Insights!$C$3, 4)), E294, "")</f>
        <v>#VALUE!</v>
      </c>
      <c r="H294" s="26" t="e">
        <f t="shared" si="1"/>
        <v>#VALUE!</v>
      </c>
      <c r="I294" s="1" t="e">
        <f t="shared" si="2"/>
        <v>#VALUE!</v>
      </c>
    </row>
    <row r="295" spans="1:9" ht="15.75" customHeight="1">
      <c r="A295" s="26"/>
      <c r="B295" s="2"/>
      <c r="C295" s="26"/>
      <c r="D295" s="26"/>
      <c r="F295" s="85" t="str">
        <f t="shared" si="0"/>
        <v/>
      </c>
      <c r="G295" s="1" t="e">
        <f>IF(VALUE(F295) = VALUE(RIGHT(Insights!$C$3, 4)), E295, "")</f>
        <v>#VALUE!</v>
      </c>
      <c r="H295" s="26" t="e">
        <f t="shared" si="1"/>
        <v>#VALUE!</v>
      </c>
      <c r="I295" s="1" t="e">
        <f t="shared" si="2"/>
        <v>#VALUE!</v>
      </c>
    </row>
    <row r="296" spans="1:9" ht="15.75" customHeight="1">
      <c r="A296" s="26"/>
      <c r="B296" s="2"/>
      <c r="C296" s="26"/>
      <c r="D296" s="26"/>
      <c r="F296" s="85" t="str">
        <f t="shared" si="0"/>
        <v/>
      </c>
      <c r="G296" s="1" t="e">
        <f>IF(VALUE(F296) = VALUE(RIGHT(Insights!$C$3, 4)), E296, "")</f>
        <v>#VALUE!</v>
      </c>
      <c r="H296" s="26" t="e">
        <f t="shared" si="1"/>
        <v>#VALUE!</v>
      </c>
      <c r="I296" s="1" t="e">
        <f t="shared" si="2"/>
        <v>#VALUE!</v>
      </c>
    </row>
    <row r="297" spans="1:9" ht="15.75" customHeight="1">
      <c r="A297" s="26"/>
      <c r="B297" s="2"/>
      <c r="C297" s="26"/>
      <c r="D297" s="26"/>
      <c r="F297" s="85" t="str">
        <f t="shared" si="0"/>
        <v/>
      </c>
      <c r="G297" s="1" t="e">
        <f>IF(VALUE(F297) = VALUE(RIGHT(Insights!$C$3, 4)), E297, "")</f>
        <v>#VALUE!</v>
      </c>
      <c r="H297" s="26" t="e">
        <f t="shared" si="1"/>
        <v>#VALUE!</v>
      </c>
      <c r="I297" s="1" t="e">
        <f t="shared" si="2"/>
        <v>#VALUE!</v>
      </c>
    </row>
    <row r="298" spans="1:9" ht="15.75" customHeight="1">
      <c r="A298" s="26"/>
      <c r="B298" s="2"/>
      <c r="C298" s="26"/>
      <c r="D298" s="26"/>
      <c r="F298" s="85" t="str">
        <f t="shared" si="0"/>
        <v/>
      </c>
      <c r="G298" s="1" t="e">
        <f>IF(VALUE(F298) = VALUE(RIGHT(Insights!$C$3, 4)), E298, "")</f>
        <v>#VALUE!</v>
      </c>
      <c r="H298" s="26" t="e">
        <f t="shared" si="1"/>
        <v>#VALUE!</v>
      </c>
      <c r="I298" s="1" t="e">
        <f t="shared" si="2"/>
        <v>#VALUE!</v>
      </c>
    </row>
    <row r="299" spans="1:9" ht="15.75" customHeight="1">
      <c r="A299" s="26"/>
      <c r="B299" s="2"/>
      <c r="C299" s="26"/>
      <c r="D299" s="26"/>
      <c r="F299" s="85" t="str">
        <f t="shared" si="0"/>
        <v/>
      </c>
      <c r="G299" s="1" t="e">
        <f>IF(VALUE(F299) = VALUE(RIGHT(Insights!$C$3, 4)), E299, "")</f>
        <v>#VALUE!</v>
      </c>
      <c r="H299" s="26" t="e">
        <f t="shared" si="1"/>
        <v>#VALUE!</v>
      </c>
      <c r="I299" s="1" t="e">
        <f t="shared" si="2"/>
        <v>#VALUE!</v>
      </c>
    </row>
    <row r="300" spans="1:9" ht="15.75" customHeight="1">
      <c r="A300" s="26"/>
      <c r="B300" s="2"/>
      <c r="C300" s="26"/>
      <c r="D300" s="26"/>
      <c r="F300" s="85" t="str">
        <f t="shared" si="0"/>
        <v/>
      </c>
      <c r="G300" s="1" t="e">
        <f>IF(VALUE(F300) = VALUE(RIGHT(Insights!$C$3, 4)), E300, "")</f>
        <v>#VALUE!</v>
      </c>
      <c r="H300" s="26" t="e">
        <f t="shared" si="1"/>
        <v>#VALUE!</v>
      </c>
      <c r="I300" s="1" t="e">
        <f t="shared" si="2"/>
        <v>#VALUE!</v>
      </c>
    </row>
    <row r="301" spans="1:9" ht="15.75" customHeight="1">
      <c r="A301" s="26"/>
      <c r="B301" s="2"/>
      <c r="C301" s="26"/>
      <c r="D301" s="26"/>
      <c r="F301" s="85" t="str">
        <f t="shared" si="0"/>
        <v/>
      </c>
      <c r="G301" s="1" t="e">
        <f>IF(VALUE(F301) = VALUE(RIGHT(Insights!$C$3, 4)), E301, "")</f>
        <v>#VALUE!</v>
      </c>
      <c r="H301" s="26" t="e">
        <f t="shared" si="1"/>
        <v>#VALUE!</v>
      </c>
      <c r="I301" s="1" t="e">
        <f t="shared" si="2"/>
        <v>#VALUE!</v>
      </c>
    </row>
    <row r="302" spans="1:9" ht="15.75" customHeight="1">
      <c r="A302" s="26"/>
      <c r="B302" s="2"/>
      <c r="C302" s="26"/>
      <c r="D302" s="26"/>
      <c r="F302" s="85" t="str">
        <f t="shared" si="0"/>
        <v/>
      </c>
      <c r="G302" s="1" t="e">
        <f>IF(VALUE(F302) = VALUE(RIGHT(Insights!$C$3, 4)), E302, "")</f>
        <v>#VALUE!</v>
      </c>
      <c r="H302" s="26" t="e">
        <f t="shared" si="1"/>
        <v>#VALUE!</v>
      </c>
      <c r="I302" s="1" t="e">
        <f t="shared" si="2"/>
        <v>#VALUE!</v>
      </c>
    </row>
    <row r="303" spans="1:9" ht="15.75" customHeight="1">
      <c r="A303" s="26"/>
      <c r="B303" s="2"/>
      <c r="C303" s="26"/>
      <c r="D303" s="26"/>
      <c r="F303" s="85" t="str">
        <f t="shared" si="0"/>
        <v/>
      </c>
      <c r="G303" s="1" t="e">
        <f>IF(VALUE(F303) = VALUE(RIGHT(Insights!$C$3, 4)), E303, "")</f>
        <v>#VALUE!</v>
      </c>
      <c r="H303" s="26" t="e">
        <f t="shared" si="1"/>
        <v>#VALUE!</v>
      </c>
      <c r="I303" s="1" t="e">
        <f t="shared" si="2"/>
        <v>#VALUE!</v>
      </c>
    </row>
    <row r="304" spans="1:9" ht="15.75" customHeight="1">
      <c r="A304" s="26"/>
      <c r="B304" s="2"/>
      <c r="C304" s="26"/>
      <c r="D304" s="26"/>
      <c r="F304" s="85" t="str">
        <f t="shared" si="0"/>
        <v/>
      </c>
      <c r="G304" s="1" t="e">
        <f>IF(VALUE(F304) = VALUE(RIGHT(Insights!$C$3, 4)), E304, "")</f>
        <v>#VALUE!</v>
      </c>
      <c r="H304" s="26" t="e">
        <f t="shared" si="1"/>
        <v>#VALUE!</v>
      </c>
      <c r="I304" s="1" t="e">
        <f t="shared" si="2"/>
        <v>#VALUE!</v>
      </c>
    </row>
    <row r="305" spans="1:9" ht="15.75" customHeight="1">
      <c r="A305" s="26"/>
      <c r="B305" s="2"/>
      <c r="C305" s="26"/>
      <c r="D305" s="26"/>
      <c r="F305" s="85" t="str">
        <f t="shared" si="0"/>
        <v/>
      </c>
      <c r="G305" s="1" t="e">
        <f>IF(VALUE(F305) = VALUE(RIGHT(Insights!$C$3, 4)), E305, "")</f>
        <v>#VALUE!</v>
      </c>
      <c r="H305" s="26" t="e">
        <f t="shared" si="1"/>
        <v>#VALUE!</v>
      </c>
      <c r="I305" s="1" t="e">
        <f t="shared" si="2"/>
        <v>#VALUE!</v>
      </c>
    </row>
    <row r="306" spans="1:9" ht="15.75" customHeight="1">
      <c r="A306" s="26"/>
      <c r="B306" s="2"/>
      <c r="C306" s="26"/>
      <c r="D306" s="26"/>
      <c r="F306" s="85" t="str">
        <f t="shared" si="0"/>
        <v/>
      </c>
      <c r="G306" s="1" t="e">
        <f>IF(VALUE(F306) = VALUE(RIGHT(Insights!$C$3, 4)), E306, "")</f>
        <v>#VALUE!</v>
      </c>
      <c r="H306" s="26" t="e">
        <f t="shared" si="1"/>
        <v>#VALUE!</v>
      </c>
      <c r="I306" s="1" t="e">
        <f t="shared" si="2"/>
        <v>#VALUE!</v>
      </c>
    </row>
    <row r="307" spans="1:9" ht="15.75" customHeight="1">
      <c r="A307" s="26"/>
      <c r="B307" s="2"/>
      <c r="C307" s="26"/>
      <c r="D307" s="26"/>
      <c r="F307" s="85" t="str">
        <f t="shared" si="0"/>
        <v/>
      </c>
      <c r="G307" s="1" t="e">
        <f>IF(VALUE(F307) = VALUE(RIGHT(Insights!$C$3, 4)), E307, "")</f>
        <v>#VALUE!</v>
      </c>
      <c r="H307" s="26" t="e">
        <f t="shared" si="1"/>
        <v>#VALUE!</v>
      </c>
      <c r="I307" s="1" t="e">
        <f t="shared" si="2"/>
        <v>#VALUE!</v>
      </c>
    </row>
    <row r="308" spans="1:9" ht="15.75" customHeight="1">
      <c r="A308" s="26"/>
      <c r="B308" s="2"/>
      <c r="C308" s="26"/>
      <c r="D308" s="26"/>
      <c r="F308" s="85" t="str">
        <f t="shared" si="0"/>
        <v/>
      </c>
      <c r="G308" s="1" t="e">
        <f>IF(VALUE(F308) = VALUE(RIGHT(Insights!$C$3, 4)), E308, "")</f>
        <v>#VALUE!</v>
      </c>
      <c r="H308" s="26" t="e">
        <f t="shared" si="1"/>
        <v>#VALUE!</v>
      </c>
      <c r="I308" s="1" t="e">
        <f t="shared" si="2"/>
        <v>#VALUE!</v>
      </c>
    </row>
    <row r="309" spans="1:9" ht="15.75" customHeight="1">
      <c r="A309" s="26"/>
      <c r="B309" s="2"/>
      <c r="C309" s="26"/>
      <c r="D309" s="26"/>
      <c r="F309" s="85" t="str">
        <f t="shared" si="0"/>
        <v/>
      </c>
      <c r="G309" s="1" t="e">
        <f>IF(VALUE(F309) = VALUE(RIGHT(Insights!$C$3, 4)), E309, "")</f>
        <v>#VALUE!</v>
      </c>
      <c r="H309" s="26" t="e">
        <f t="shared" si="1"/>
        <v>#VALUE!</v>
      </c>
      <c r="I309" s="1" t="e">
        <f t="shared" si="2"/>
        <v>#VALUE!</v>
      </c>
    </row>
    <row r="310" spans="1:9" ht="15.75" customHeight="1">
      <c r="A310" s="26"/>
      <c r="B310" s="2"/>
      <c r="C310" s="26"/>
      <c r="D310" s="26"/>
      <c r="F310" s="85" t="str">
        <f t="shared" si="0"/>
        <v/>
      </c>
      <c r="G310" s="1" t="e">
        <f>IF(VALUE(F310) = VALUE(RIGHT(Insights!$C$3, 4)), E310, "")</f>
        <v>#VALUE!</v>
      </c>
      <c r="H310" s="26" t="e">
        <f t="shared" si="1"/>
        <v>#VALUE!</v>
      </c>
      <c r="I310" s="1" t="e">
        <f t="shared" si="2"/>
        <v>#VALUE!</v>
      </c>
    </row>
    <row r="311" spans="1:9" ht="15.75" customHeight="1">
      <c r="A311" s="26"/>
      <c r="B311" s="2"/>
      <c r="C311" s="26"/>
      <c r="D311" s="26"/>
      <c r="F311" s="85" t="str">
        <f t="shared" si="0"/>
        <v/>
      </c>
      <c r="G311" s="1" t="e">
        <f>IF(VALUE(F311) = VALUE(RIGHT(Insights!$C$3, 4)), E311, "")</f>
        <v>#VALUE!</v>
      </c>
      <c r="H311" s="26" t="e">
        <f t="shared" si="1"/>
        <v>#VALUE!</v>
      </c>
      <c r="I311" s="1" t="e">
        <f t="shared" si="2"/>
        <v>#VALUE!</v>
      </c>
    </row>
    <row r="312" spans="1:9" ht="15.75" customHeight="1">
      <c r="A312" s="26"/>
      <c r="B312" s="2"/>
      <c r="C312" s="26"/>
      <c r="D312" s="26"/>
      <c r="F312" s="85" t="str">
        <f t="shared" si="0"/>
        <v/>
      </c>
      <c r="G312" s="1" t="e">
        <f>IF(VALUE(F312) = VALUE(RIGHT(Insights!$C$3, 4)), E312, "")</f>
        <v>#VALUE!</v>
      </c>
      <c r="H312" s="26" t="e">
        <f t="shared" si="1"/>
        <v>#VALUE!</v>
      </c>
      <c r="I312" s="1" t="e">
        <f t="shared" si="2"/>
        <v>#VALUE!</v>
      </c>
    </row>
    <row r="313" spans="1:9" ht="15.75" customHeight="1">
      <c r="A313" s="26"/>
      <c r="B313" s="2"/>
      <c r="C313" s="26"/>
      <c r="D313" s="26"/>
      <c r="F313" s="85" t="str">
        <f t="shared" si="0"/>
        <v/>
      </c>
      <c r="G313" s="1" t="e">
        <f>IF(VALUE(F313) = VALUE(RIGHT(Insights!$C$3, 4)), E313, "")</f>
        <v>#VALUE!</v>
      </c>
      <c r="H313" s="26" t="e">
        <f t="shared" si="1"/>
        <v>#VALUE!</v>
      </c>
      <c r="I313" s="1" t="e">
        <f t="shared" si="2"/>
        <v>#VALUE!</v>
      </c>
    </row>
    <row r="314" spans="1:9" ht="15.75" customHeight="1">
      <c r="A314" s="26"/>
      <c r="B314" s="2"/>
      <c r="C314" s="26"/>
      <c r="D314" s="26"/>
      <c r="F314" s="85" t="str">
        <f t="shared" si="0"/>
        <v/>
      </c>
      <c r="G314" s="1" t="e">
        <f>IF(VALUE(F314) = VALUE(RIGHT(Insights!$C$3, 4)), E314, "")</f>
        <v>#VALUE!</v>
      </c>
      <c r="H314" s="26" t="e">
        <f t="shared" si="1"/>
        <v>#VALUE!</v>
      </c>
      <c r="I314" s="1" t="e">
        <f t="shared" si="2"/>
        <v>#VALUE!</v>
      </c>
    </row>
    <row r="315" spans="1:9" ht="15.75" customHeight="1">
      <c r="A315" s="26"/>
      <c r="B315" s="2"/>
      <c r="C315" s="26"/>
      <c r="D315" s="26"/>
      <c r="F315" s="85" t="str">
        <f t="shared" si="0"/>
        <v/>
      </c>
      <c r="G315" s="1" t="e">
        <f>IF(VALUE(F315) = VALUE(RIGHT(Insights!$C$3, 4)), E315, "")</f>
        <v>#VALUE!</v>
      </c>
      <c r="H315" s="26" t="e">
        <f t="shared" si="1"/>
        <v>#VALUE!</v>
      </c>
      <c r="I315" s="1" t="e">
        <f t="shared" si="2"/>
        <v>#VALUE!</v>
      </c>
    </row>
    <row r="316" spans="1:9" ht="15.75" customHeight="1">
      <c r="A316" s="26"/>
      <c r="B316" s="2"/>
      <c r="C316" s="26"/>
      <c r="D316" s="26"/>
      <c r="F316" s="85" t="str">
        <f t="shared" si="0"/>
        <v/>
      </c>
      <c r="G316" s="1" t="e">
        <f>IF(VALUE(F316) = VALUE(RIGHT(Insights!$C$3, 4)), E316, "")</f>
        <v>#VALUE!</v>
      </c>
      <c r="H316" s="26" t="e">
        <f t="shared" si="1"/>
        <v>#VALUE!</v>
      </c>
      <c r="I316" s="1" t="e">
        <f t="shared" si="2"/>
        <v>#VALUE!</v>
      </c>
    </row>
    <row r="317" spans="1:9" ht="15.75" customHeight="1">
      <c r="A317" s="26"/>
      <c r="B317" s="2"/>
      <c r="C317" s="26"/>
      <c r="D317" s="26"/>
      <c r="F317" s="85" t="str">
        <f t="shared" si="0"/>
        <v/>
      </c>
      <c r="G317" s="1" t="e">
        <f>IF(VALUE(F317) = VALUE(RIGHT(Insights!$C$3, 4)), E317, "")</f>
        <v>#VALUE!</v>
      </c>
      <c r="H317" s="26" t="e">
        <f t="shared" si="1"/>
        <v>#VALUE!</v>
      </c>
      <c r="I317" s="1" t="e">
        <f t="shared" si="2"/>
        <v>#VALUE!</v>
      </c>
    </row>
    <row r="318" spans="1:9" ht="15.75" customHeight="1">
      <c r="A318" s="26"/>
      <c r="B318" s="2"/>
      <c r="C318" s="26"/>
      <c r="D318" s="26"/>
      <c r="F318" s="85" t="str">
        <f t="shared" si="0"/>
        <v/>
      </c>
      <c r="G318" s="1" t="e">
        <f>IF(VALUE(F318) = VALUE(RIGHT(Insights!$C$3, 4)), E318, "")</f>
        <v>#VALUE!</v>
      </c>
      <c r="H318" s="26" t="e">
        <f t="shared" si="1"/>
        <v>#VALUE!</v>
      </c>
      <c r="I318" s="1" t="e">
        <f t="shared" si="2"/>
        <v>#VALUE!</v>
      </c>
    </row>
    <row r="319" spans="1:9" ht="15.75" customHeight="1">
      <c r="A319" s="26"/>
      <c r="B319" s="2"/>
      <c r="C319" s="26"/>
      <c r="D319" s="26"/>
      <c r="F319" s="85" t="str">
        <f t="shared" si="0"/>
        <v/>
      </c>
      <c r="G319" s="1" t="e">
        <f>IF(VALUE(F319) = VALUE(RIGHT(Insights!$C$3, 4)), E319, "")</f>
        <v>#VALUE!</v>
      </c>
      <c r="H319" s="26" t="e">
        <f t="shared" si="1"/>
        <v>#VALUE!</v>
      </c>
      <c r="I319" s="1" t="e">
        <f t="shared" si="2"/>
        <v>#VALUE!</v>
      </c>
    </row>
    <row r="320" spans="1:9" ht="15.75" customHeight="1">
      <c r="A320" s="26"/>
      <c r="B320" s="2"/>
      <c r="C320" s="26"/>
      <c r="D320" s="26"/>
      <c r="F320" s="85" t="str">
        <f t="shared" si="0"/>
        <v/>
      </c>
      <c r="G320" s="1" t="e">
        <f>IF(VALUE(F320) = VALUE(RIGHT(Insights!$C$3, 4)), E320, "")</f>
        <v>#VALUE!</v>
      </c>
      <c r="H320" s="26" t="e">
        <f t="shared" si="1"/>
        <v>#VALUE!</v>
      </c>
      <c r="I320" s="1" t="e">
        <f t="shared" si="2"/>
        <v>#VALUE!</v>
      </c>
    </row>
    <row r="321" spans="1:9" ht="15.75" customHeight="1">
      <c r="A321" s="26"/>
      <c r="B321" s="2"/>
      <c r="C321" s="26"/>
      <c r="D321" s="26"/>
      <c r="F321" s="85" t="str">
        <f t="shared" si="0"/>
        <v/>
      </c>
      <c r="G321" s="1" t="e">
        <f>IF(VALUE(F321) = VALUE(RIGHT(Insights!$C$3, 4)), E321, "")</f>
        <v>#VALUE!</v>
      </c>
      <c r="H321" s="26" t="e">
        <f t="shared" si="1"/>
        <v>#VALUE!</v>
      </c>
      <c r="I321" s="1" t="e">
        <f t="shared" si="2"/>
        <v>#VALUE!</v>
      </c>
    </row>
    <row r="322" spans="1:9" ht="15.75" customHeight="1">
      <c r="A322" s="26"/>
      <c r="B322" s="2"/>
      <c r="C322" s="26"/>
      <c r="D322" s="26"/>
      <c r="F322" s="85" t="str">
        <f t="shared" si="0"/>
        <v/>
      </c>
      <c r="G322" s="1" t="e">
        <f>IF(VALUE(F322) = VALUE(RIGHT(Insights!$C$3, 4)), E322, "")</f>
        <v>#VALUE!</v>
      </c>
      <c r="H322" s="26" t="e">
        <f t="shared" si="1"/>
        <v>#VALUE!</v>
      </c>
      <c r="I322" s="1" t="e">
        <f t="shared" si="2"/>
        <v>#VALUE!</v>
      </c>
    </row>
    <row r="323" spans="1:9" ht="15.75" customHeight="1">
      <c r="A323" s="26"/>
      <c r="B323" s="2"/>
      <c r="C323" s="26"/>
      <c r="D323" s="26"/>
      <c r="F323" s="85" t="str">
        <f t="shared" si="0"/>
        <v/>
      </c>
      <c r="G323" s="1" t="e">
        <f>IF(VALUE(F323) = VALUE(RIGHT(Insights!$C$3, 4)), E323, "")</f>
        <v>#VALUE!</v>
      </c>
      <c r="H323" s="26" t="e">
        <f t="shared" si="1"/>
        <v>#VALUE!</v>
      </c>
      <c r="I323" s="1" t="e">
        <f t="shared" si="2"/>
        <v>#VALUE!</v>
      </c>
    </row>
    <row r="324" spans="1:9" ht="15.75" customHeight="1">
      <c r="A324" s="26"/>
      <c r="B324" s="2"/>
      <c r="C324" s="26"/>
      <c r="D324" s="26"/>
      <c r="F324" s="85" t="str">
        <f t="shared" si="0"/>
        <v/>
      </c>
      <c r="G324" s="1" t="e">
        <f>IF(VALUE(F324) = VALUE(RIGHT(Insights!$C$3, 4)), E324, "")</f>
        <v>#VALUE!</v>
      </c>
      <c r="H324" s="26" t="e">
        <f t="shared" si="1"/>
        <v>#VALUE!</v>
      </c>
      <c r="I324" s="1" t="e">
        <f t="shared" si="2"/>
        <v>#VALUE!</v>
      </c>
    </row>
    <row r="325" spans="1:9" ht="15.75" customHeight="1">
      <c r="A325" s="26"/>
      <c r="B325" s="2"/>
      <c r="C325" s="26"/>
      <c r="D325" s="26"/>
      <c r="F325" s="85" t="str">
        <f t="shared" si="0"/>
        <v/>
      </c>
      <c r="G325" s="1" t="e">
        <f>IF(VALUE(F325) = VALUE(RIGHT(Insights!$C$3, 4)), E325, "")</f>
        <v>#VALUE!</v>
      </c>
      <c r="H325" s="26" t="e">
        <f t="shared" si="1"/>
        <v>#VALUE!</v>
      </c>
      <c r="I325" s="1" t="e">
        <f t="shared" si="2"/>
        <v>#VALUE!</v>
      </c>
    </row>
    <row r="326" spans="1:9" ht="15.75" customHeight="1">
      <c r="A326" s="26"/>
      <c r="B326" s="2"/>
      <c r="C326" s="26"/>
      <c r="D326" s="26"/>
      <c r="F326" s="85" t="str">
        <f t="shared" si="0"/>
        <v/>
      </c>
      <c r="G326" s="1" t="e">
        <f>IF(VALUE(F326) = VALUE(RIGHT(Insights!$C$3, 4)), E326, "")</f>
        <v>#VALUE!</v>
      </c>
      <c r="H326" s="26" t="e">
        <f t="shared" si="1"/>
        <v>#VALUE!</v>
      </c>
      <c r="I326" s="1" t="e">
        <f t="shared" si="2"/>
        <v>#VALUE!</v>
      </c>
    </row>
    <row r="327" spans="1:9" ht="15.75" customHeight="1">
      <c r="A327" s="26"/>
      <c r="B327" s="2"/>
      <c r="C327" s="26"/>
      <c r="D327" s="26"/>
      <c r="F327" s="85" t="str">
        <f t="shared" si="0"/>
        <v/>
      </c>
      <c r="G327" s="1" t="e">
        <f>IF(VALUE(F327) = VALUE(RIGHT(Insights!$C$3, 4)), E327, "")</f>
        <v>#VALUE!</v>
      </c>
      <c r="H327" s="26" t="e">
        <f t="shared" si="1"/>
        <v>#VALUE!</v>
      </c>
      <c r="I327" s="1" t="e">
        <f t="shared" si="2"/>
        <v>#VALUE!</v>
      </c>
    </row>
    <row r="328" spans="1:9" ht="15.75" customHeight="1">
      <c r="A328" s="26"/>
      <c r="B328" s="2"/>
      <c r="C328" s="26"/>
      <c r="D328" s="26"/>
      <c r="F328" s="85" t="str">
        <f t="shared" si="0"/>
        <v/>
      </c>
      <c r="G328" s="1" t="e">
        <f>IF(VALUE(F328) = VALUE(RIGHT(Insights!$C$3, 4)), E328, "")</f>
        <v>#VALUE!</v>
      </c>
      <c r="H328" s="26" t="e">
        <f t="shared" si="1"/>
        <v>#VALUE!</v>
      </c>
      <c r="I328" s="1" t="e">
        <f t="shared" si="2"/>
        <v>#VALUE!</v>
      </c>
    </row>
    <row r="329" spans="1:9" ht="15.75" customHeight="1">
      <c r="A329" s="26"/>
      <c r="B329" s="2"/>
      <c r="C329" s="26"/>
      <c r="D329" s="26"/>
      <c r="F329" s="85" t="str">
        <f t="shared" si="0"/>
        <v/>
      </c>
      <c r="G329" s="1" t="e">
        <f>IF(VALUE(F329) = VALUE(RIGHT(Insights!$C$3, 4)), E329, "")</f>
        <v>#VALUE!</v>
      </c>
      <c r="H329" s="26" t="e">
        <f t="shared" si="1"/>
        <v>#VALUE!</v>
      </c>
      <c r="I329" s="1" t="e">
        <f t="shared" si="2"/>
        <v>#VALUE!</v>
      </c>
    </row>
    <row r="330" spans="1:9" ht="15.75" customHeight="1">
      <c r="A330" s="26"/>
      <c r="B330" s="2"/>
      <c r="C330" s="26"/>
      <c r="D330" s="26"/>
      <c r="F330" s="85" t="str">
        <f t="shared" si="0"/>
        <v/>
      </c>
      <c r="G330" s="1" t="e">
        <f>IF(VALUE(F330) = VALUE(RIGHT(Insights!$C$3, 4)), E330, "")</f>
        <v>#VALUE!</v>
      </c>
      <c r="H330" s="26" t="e">
        <f t="shared" si="1"/>
        <v>#VALUE!</v>
      </c>
      <c r="I330" s="1" t="e">
        <f t="shared" si="2"/>
        <v>#VALUE!</v>
      </c>
    </row>
    <row r="331" spans="1:9" ht="15.75" customHeight="1">
      <c r="A331" s="26"/>
      <c r="B331" s="2"/>
      <c r="C331" s="26"/>
      <c r="D331" s="26"/>
      <c r="F331" s="85" t="str">
        <f t="shared" si="0"/>
        <v/>
      </c>
      <c r="G331" s="1" t="e">
        <f>IF(VALUE(F331) = VALUE(RIGHT(Insights!$C$3, 4)), E331, "")</f>
        <v>#VALUE!</v>
      </c>
      <c r="H331" s="26" t="e">
        <f t="shared" si="1"/>
        <v>#VALUE!</v>
      </c>
      <c r="I331" s="1" t="e">
        <f t="shared" si="2"/>
        <v>#VALUE!</v>
      </c>
    </row>
    <row r="332" spans="1:9" ht="15.75" customHeight="1">
      <c r="A332" s="26"/>
      <c r="B332" s="2"/>
      <c r="C332" s="26"/>
      <c r="D332" s="26"/>
      <c r="F332" s="85" t="str">
        <f t="shared" si="0"/>
        <v/>
      </c>
      <c r="G332" s="1" t="e">
        <f>IF(VALUE(F332) = VALUE(RIGHT(Insights!$C$3, 4)), E332, "")</f>
        <v>#VALUE!</v>
      </c>
      <c r="H332" s="26" t="e">
        <f t="shared" si="1"/>
        <v>#VALUE!</v>
      </c>
      <c r="I332" s="1" t="e">
        <f t="shared" si="2"/>
        <v>#VALUE!</v>
      </c>
    </row>
    <row r="333" spans="1:9" ht="15.75" customHeight="1">
      <c r="A333" s="26"/>
      <c r="B333" s="2"/>
      <c r="C333" s="26"/>
      <c r="D333" s="26"/>
      <c r="F333" s="85" t="str">
        <f t="shared" si="0"/>
        <v/>
      </c>
      <c r="G333" s="1" t="e">
        <f>IF(VALUE(F333) = VALUE(RIGHT(Insights!$C$3, 4)), E333, "")</f>
        <v>#VALUE!</v>
      </c>
      <c r="H333" s="26" t="e">
        <f t="shared" si="1"/>
        <v>#VALUE!</v>
      </c>
      <c r="I333" s="1" t="e">
        <f t="shared" si="2"/>
        <v>#VALUE!</v>
      </c>
    </row>
    <row r="334" spans="1:9" ht="15.75" customHeight="1">
      <c r="A334" s="26"/>
      <c r="B334" s="2"/>
      <c r="C334" s="26"/>
      <c r="D334" s="26"/>
      <c r="F334" s="85" t="str">
        <f t="shared" si="0"/>
        <v/>
      </c>
      <c r="G334" s="1" t="e">
        <f>IF(VALUE(F334) = VALUE(RIGHT(Insights!$C$3, 4)), E334, "")</f>
        <v>#VALUE!</v>
      </c>
      <c r="H334" s="26" t="e">
        <f t="shared" si="1"/>
        <v>#VALUE!</v>
      </c>
      <c r="I334" s="1" t="e">
        <f t="shared" si="2"/>
        <v>#VALUE!</v>
      </c>
    </row>
    <row r="335" spans="1:9" ht="15.75" customHeight="1">
      <c r="A335" s="26"/>
      <c r="B335" s="2"/>
      <c r="C335" s="26"/>
      <c r="D335" s="26"/>
      <c r="F335" s="85" t="str">
        <f t="shared" si="0"/>
        <v/>
      </c>
      <c r="G335" s="1" t="e">
        <f>IF(VALUE(F335) = VALUE(RIGHT(Insights!$C$3, 4)), E335, "")</f>
        <v>#VALUE!</v>
      </c>
      <c r="H335" s="26" t="e">
        <f t="shared" si="1"/>
        <v>#VALUE!</v>
      </c>
      <c r="I335" s="1" t="e">
        <f t="shared" si="2"/>
        <v>#VALUE!</v>
      </c>
    </row>
    <row r="336" spans="1:9" ht="15.75" customHeight="1">
      <c r="A336" s="26"/>
      <c r="B336" s="2"/>
      <c r="C336" s="26"/>
      <c r="D336" s="26"/>
      <c r="F336" s="85" t="str">
        <f t="shared" si="0"/>
        <v/>
      </c>
      <c r="G336" s="1" t="e">
        <f>IF(VALUE(F336) = VALUE(RIGHT(Insights!$C$3, 4)), E336, "")</f>
        <v>#VALUE!</v>
      </c>
      <c r="H336" s="26" t="e">
        <f t="shared" si="1"/>
        <v>#VALUE!</v>
      </c>
      <c r="I336" s="1" t="e">
        <f t="shared" si="2"/>
        <v>#VALUE!</v>
      </c>
    </row>
    <row r="337" spans="1:9" ht="15.75" customHeight="1">
      <c r="A337" s="26"/>
      <c r="B337" s="2"/>
      <c r="C337" s="26"/>
      <c r="D337" s="26"/>
      <c r="F337" s="85" t="str">
        <f t="shared" si="0"/>
        <v/>
      </c>
      <c r="G337" s="1" t="e">
        <f>IF(VALUE(F337) = VALUE(RIGHT(Insights!$C$3, 4)), E337, "")</f>
        <v>#VALUE!</v>
      </c>
      <c r="H337" s="26" t="e">
        <f t="shared" si="1"/>
        <v>#VALUE!</v>
      </c>
      <c r="I337" s="1" t="e">
        <f t="shared" si="2"/>
        <v>#VALUE!</v>
      </c>
    </row>
    <row r="338" spans="1:9" ht="15.75" customHeight="1">
      <c r="A338" s="26"/>
      <c r="B338" s="2"/>
      <c r="C338" s="26"/>
      <c r="D338" s="26"/>
      <c r="F338" s="85" t="str">
        <f t="shared" si="0"/>
        <v/>
      </c>
      <c r="G338" s="1" t="e">
        <f>IF(VALUE(F338) = VALUE(RIGHT(Insights!$C$3, 4)), E338, "")</f>
        <v>#VALUE!</v>
      </c>
      <c r="H338" s="26" t="e">
        <f t="shared" si="1"/>
        <v>#VALUE!</v>
      </c>
      <c r="I338" s="1" t="e">
        <f t="shared" si="2"/>
        <v>#VALUE!</v>
      </c>
    </row>
    <row r="339" spans="1:9" ht="15.75" customHeight="1">
      <c r="A339" s="26"/>
      <c r="B339" s="2"/>
      <c r="C339" s="26"/>
      <c r="D339" s="26"/>
      <c r="F339" s="85" t="str">
        <f t="shared" si="0"/>
        <v/>
      </c>
      <c r="G339" s="1" t="e">
        <f>IF(VALUE(F339) = VALUE(RIGHT(Insights!$C$3, 4)), E339, "")</f>
        <v>#VALUE!</v>
      </c>
      <c r="H339" s="26" t="e">
        <f t="shared" si="1"/>
        <v>#VALUE!</v>
      </c>
      <c r="I339" s="1" t="e">
        <f t="shared" si="2"/>
        <v>#VALUE!</v>
      </c>
    </row>
    <row r="340" spans="1:9" ht="15.75" customHeight="1">
      <c r="A340" s="26"/>
      <c r="B340" s="2"/>
      <c r="C340" s="26"/>
      <c r="D340" s="26"/>
      <c r="F340" s="85" t="str">
        <f t="shared" si="0"/>
        <v/>
      </c>
      <c r="G340" s="1" t="e">
        <f>IF(VALUE(F340) = VALUE(RIGHT(Insights!$C$3, 4)), E340, "")</f>
        <v>#VALUE!</v>
      </c>
      <c r="H340" s="26" t="e">
        <f t="shared" si="1"/>
        <v>#VALUE!</v>
      </c>
      <c r="I340" s="1" t="e">
        <f t="shared" si="2"/>
        <v>#VALUE!</v>
      </c>
    </row>
    <row r="341" spans="1:9" ht="15.75" customHeight="1">
      <c r="A341" s="26"/>
      <c r="B341" s="2"/>
      <c r="C341" s="26"/>
      <c r="D341" s="26"/>
      <c r="F341" s="85" t="str">
        <f t="shared" si="0"/>
        <v/>
      </c>
      <c r="G341" s="1" t="e">
        <f>IF(VALUE(F341) = VALUE(RIGHT(Insights!$C$3, 4)), E341, "")</f>
        <v>#VALUE!</v>
      </c>
      <c r="H341" s="26" t="e">
        <f t="shared" si="1"/>
        <v>#VALUE!</v>
      </c>
      <c r="I341" s="1" t="e">
        <f t="shared" si="2"/>
        <v>#VALUE!</v>
      </c>
    </row>
    <row r="342" spans="1:9" ht="15.75" customHeight="1">
      <c r="A342" s="26"/>
      <c r="B342" s="2"/>
      <c r="C342" s="26"/>
      <c r="D342" s="26"/>
      <c r="F342" s="85" t="str">
        <f t="shared" si="0"/>
        <v/>
      </c>
      <c r="G342" s="1" t="e">
        <f>IF(VALUE(F342) = VALUE(RIGHT(Insights!$C$3, 4)), E342, "")</f>
        <v>#VALUE!</v>
      </c>
      <c r="H342" s="26" t="e">
        <f t="shared" si="1"/>
        <v>#VALUE!</v>
      </c>
      <c r="I342" s="1" t="e">
        <f t="shared" si="2"/>
        <v>#VALUE!</v>
      </c>
    </row>
    <row r="343" spans="1:9" ht="15.75" customHeight="1">
      <c r="A343" s="26"/>
      <c r="B343" s="2"/>
      <c r="C343" s="26"/>
      <c r="D343" s="26"/>
      <c r="F343" s="85" t="str">
        <f t="shared" si="0"/>
        <v/>
      </c>
      <c r="G343" s="1" t="e">
        <f>IF(VALUE(F343) = VALUE(RIGHT(Insights!$C$3, 4)), E343, "")</f>
        <v>#VALUE!</v>
      </c>
      <c r="H343" s="26" t="e">
        <f t="shared" si="1"/>
        <v>#VALUE!</v>
      </c>
      <c r="I343" s="1" t="e">
        <f t="shared" si="2"/>
        <v>#VALUE!</v>
      </c>
    </row>
    <row r="344" spans="1:9" ht="15.75" customHeight="1">
      <c r="A344" s="26"/>
      <c r="B344" s="2"/>
      <c r="C344" s="26"/>
      <c r="D344" s="26"/>
      <c r="F344" s="85" t="str">
        <f t="shared" si="0"/>
        <v/>
      </c>
      <c r="G344" s="1" t="e">
        <f>IF(VALUE(F344) = VALUE(RIGHT(Insights!$C$3, 4)), E344, "")</f>
        <v>#VALUE!</v>
      </c>
      <c r="H344" s="26" t="e">
        <f t="shared" si="1"/>
        <v>#VALUE!</v>
      </c>
      <c r="I344" s="1" t="e">
        <f t="shared" si="2"/>
        <v>#VALUE!</v>
      </c>
    </row>
    <row r="345" spans="1:9" ht="15.75" customHeight="1">
      <c r="A345" s="26"/>
      <c r="B345" s="2"/>
      <c r="C345" s="26"/>
      <c r="D345" s="26"/>
      <c r="F345" s="85" t="str">
        <f t="shared" si="0"/>
        <v/>
      </c>
      <c r="G345" s="1" t="e">
        <f>IF(VALUE(F345) = VALUE(RIGHT(Insights!$C$3, 4)), E345, "")</f>
        <v>#VALUE!</v>
      </c>
      <c r="H345" s="26" t="e">
        <f t="shared" si="1"/>
        <v>#VALUE!</v>
      </c>
      <c r="I345" s="1" t="e">
        <f t="shared" si="2"/>
        <v>#VALUE!</v>
      </c>
    </row>
    <row r="346" spans="1:9" ht="15.75" customHeight="1">
      <c r="A346" s="26"/>
      <c r="B346" s="2"/>
      <c r="C346" s="26"/>
      <c r="D346" s="26"/>
      <c r="F346" s="85" t="str">
        <f t="shared" si="0"/>
        <v/>
      </c>
      <c r="G346" s="1" t="e">
        <f>IF(VALUE(F346) = VALUE(RIGHT(Insights!$C$3, 4)), E346, "")</f>
        <v>#VALUE!</v>
      </c>
      <c r="H346" s="26" t="e">
        <f t="shared" si="1"/>
        <v>#VALUE!</v>
      </c>
      <c r="I346" s="1" t="e">
        <f t="shared" si="2"/>
        <v>#VALUE!</v>
      </c>
    </row>
    <row r="347" spans="1:9" ht="15.75" customHeight="1">
      <c r="A347" s="26"/>
      <c r="B347" s="2"/>
      <c r="C347" s="26"/>
      <c r="D347" s="26"/>
      <c r="F347" s="85" t="str">
        <f t="shared" si="0"/>
        <v/>
      </c>
      <c r="G347" s="1" t="e">
        <f>IF(VALUE(F347) = VALUE(RIGHT(Insights!$C$3, 4)), E347, "")</f>
        <v>#VALUE!</v>
      </c>
      <c r="H347" s="26" t="e">
        <f t="shared" si="1"/>
        <v>#VALUE!</v>
      </c>
      <c r="I347" s="1" t="e">
        <f t="shared" si="2"/>
        <v>#VALUE!</v>
      </c>
    </row>
    <row r="348" spans="1:9" ht="15.75" customHeight="1">
      <c r="A348" s="26"/>
      <c r="B348" s="2"/>
      <c r="C348" s="26"/>
      <c r="D348" s="26"/>
      <c r="F348" s="85" t="str">
        <f t="shared" si="0"/>
        <v/>
      </c>
      <c r="G348" s="1" t="e">
        <f>IF(VALUE(F348) = VALUE(RIGHT(Insights!$C$3, 4)), E348, "")</f>
        <v>#VALUE!</v>
      </c>
      <c r="H348" s="26" t="e">
        <f t="shared" si="1"/>
        <v>#VALUE!</v>
      </c>
      <c r="I348" s="1" t="e">
        <f t="shared" si="2"/>
        <v>#VALUE!</v>
      </c>
    </row>
    <row r="349" spans="1:9" ht="15.75" customHeight="1">
      <c r="A349" s="26"/>
      <c r="B349" s="2"/>
      <c r="C349" s="26"/>
      <c r="D349" s="26"/>
      <c r="F349" s="85" t="str">
        <f t="shared" si="0"/>
        <v/>
      </c>
      <c r="G349" s="1" t="e">
        <f>IF(VALUE(F349) = VALUE(RIGHT(Insights!$C$3, 4)), E349, "")</f>
        <v>#VALUE!</v>
      </c>
      <c r="H349" s="26" t="e">
        <f t="shared" si="1"/>
        <v>#VALUE!</v>
      </c>
      <c r="I349" s="1" t="e">
        <f t="shared" si="2"/>
        <v>#VALUE!</v>
      </c>
    </row>
    <row r="350" spans="1:9" ht="15.75" customHeight="1">
      <c r="A350" s="26"/>
      <c r="B350" s="2"/>
      <c r="C350" s="26"/>
      <c r="D350" s="26"/>
      <c r="F350" s="85" t="str">
        <f t="shared" si="0"/>
        <v/>
      </c>
      <c r="G350" s="1" t="e">
        <f>IF(VALUE(F350) = VALUE(RIGHT(Insights!$C$3, 4)), E350, "")</f>
        <v>#VALUE!</v>
      </c>
      <c r="H350" s="26" t="e">
        <f t="shared" si="1"/>
        <v>#VALUE!</v>
      </c>
      <c r="I350" s="1" t="e">
        <f t="shared" si="2"/>
        <v>#VALUE!</v>
      </c>
    </row>
    <row r="351" spans="1:9" ht="15.75" customHeight="1">
      <c r="A351" s="26"/>
      <c r="B351" s="2"/>
      <c r="C351" s="26"/>
      <c r="D351" s="26"/>
      <c r="F351" s="85" t="str">
        <f t="shared" si="0"/>
        <v/>
      </c>
      <c r="G351" s="1" t="e">
        <f>IF(VALUE(F351) = VALUE(RIGHT(Insights!$C$3, 4)), E351, "")</f>
        <v>#VALUE!</v>
      </c>
      <c r="H351" s="26" t="e">
        <f t="shared" si="1"/>
        <v>#VALUE!</v>
      </c>
      <c r="I351" s="1" t="e">
        <f t="shared" si="2"/>
        <v>#VALUE!</v>
      </c>
    </row>
    <row r="352" spans="1:9" ht="15.75" customHeight="1">
      <c r="A352" s="26"/>
      <c r="B352" s="2"/>
      <c r="C352" s="26"/>
      <c r="D352" s="26"/>
      <c r="F352" s="85" t="str">
        <f t="shared" si="0"/>
        <v/>
      </c>
      <c r="G352" s="1" t="e">
        <f>IF(VALUE(F352) = VALUE(RIGHT(Insights!$C$3, 4)), E352, "")</f>
        <v>#VALUE!</v>
      </c>
      <c r="H352" s="26" t="e">
        <f t="shared" si="1"/>
        <v>#VALUE!</v>
      </c>
      <c r="I352" s="1" t="e">
        <f t="shared" si="2"/>
        <v>#VALUE!</v>
      </c>
    </row>
    <row r="353" spans="1:9" ht="15.75" customHeight="1">
      <c r="A353" s="26"/>
      <c r="B353" s="2"/>
      <c r="C353" s="26"/>
      <c r="D353" s="26"/>
      <c r="F353" s="85" t="str">
        <f t="shared" si="0"/>
        <v/>
      </c>
      <c r="G353" s="1" t="e">
        <f>IF(VALUE(F353) = VALUE(RIGHT(Insights!$C$3, 4)), E353, "")</f>
        <v>#VALUE!</v>
      </c>
      <c r="H353" s="26" t="e">
        <f t="shared" si="1"/>
        <v>#VALUE!</v>
      </c>
      <c r="I353" s="1" t="e">
        <f t="shared" si="2"/>
        <v>#VALUE!</v>
      </c>
    </row>
    <row r="354" spans="1:9" ht="15.75" customHeight="1">
      <c r="A354" s="26"/>
      <c r="B354" s="2"/>
      <c r="C354" s="26"/>
      <c r="D354" s="26"/>
      <c r="F354" s="85" t="str">
        <f t="shared" si="0"/>
        <v/>
      </c>
      <c r="G354" s="1" t="e">
        <f>IF(VALUE(F354) = VALUE(RIGHT(Insights!$C$3, 4)), E354, "")</f>
        <v>#VALUE!</v>
      </c>
      <c r="H354" s="26" t="e">
        <f t="shared" si="1"/>
        <v>#VALUE!</v>
      </c>
      <c r="I354" s="1" t="e">
        <f t="shared" si="2"/>
        <v>#VALUE!</v>
      </c>
    </row>
    <row r="355" spans="1:9" ht="15.75" customHeight="1">
      <c r="A355" s="26"/>
      <c r="B355" s="2"/>
      <c r="C355" s="26"/>
      <c r="D355" s="26"/>
      <c r="F355" s="85" t="str">
        <f t="shared" si="0"/>
        <v/>
      </c>
      <c r="G355" s="1" t="e">
        <f>IF(VALUE(F355) = VALUE(RIGHT(Insights!$C$3, 4)), E355, "")</f>
        <v>#VALUE!</v>
      </c>
      <c r="H355" s="26" t="e">
        <f t="shared" si="1"/>
        <v>#VALUE!</v>
      </c>
      <c r="I355" s="1" t="e">
        <f t="shared" si="2"/>
        <v>#VALUE!</v>
      </c>
    </row>
    <row r="356" spans="1:9" ht="15.75" customHeight="1">
      <c r="A356" s="26"/>
      <c r="B356" s="2"/>
      <c r="C356" s="26"/>
      <c r="D356" s="26"/>
      <c r="F356" s="85" t="str">
        <f t="shared" si="0"/>
        <v/>
      </c>
      <c r="G356" s="1" t="e">
        <f>IF(VALUE(F356) = VALUE(RIGHT(Insights!$C$3, 4)), E356, "")</f>
        <v>#VALUE!</v>
      </c>
      <c r="H356" s="26" t="e">
        <f t="shared" si="1"/>
        <v>#VALUE!</v>
      </c>
      <c r="I356" s="1" t="e">
        <f t="shared" si="2"/>
        <v>#VALUE!</v>
      </c>
    </row>
    <row r="357" spans="1:9" ht="15.75" customHeight="1">
      <c r="A357" s="26"/>
      <c r="B357" s="2"/>
      <c r="C357" s="26"/>
      <c r="D357" s="26"/>
      <c r="F357" s="85" t="str">
        <f t="shared" si="0"/>
        <v/>
      </c>
      <c r="G357" s="1" t="e">
        <f>IF(VALUE(F357) = VALUE(RIGHT(Insights!$C$3, 4)), E357, "")</f>
        <v>#VALUE!</v>
      </c>
      <c r="H357" s="26" t="e">
        <f t="shared" si="1"/>
        <v>#VALUE!</v>
      </c>
      <c r="I357" s="1" t="e">
        <f t="shared" si="2"/>
        <v>#VALUE!</v>
      </c>
    </row>
    <row r="358" spans="1:9" ht="15.75" customHeight="1">
      <c r="A358" s="26"/>
      <c r="B358" s="2"/>
      <c r="C358" s="26"/>
      <c r="D358" s="26"/>
      <c r="F358" s="85" t="str">
        <f t="shared" si="0"/>
        <v/>
      </c>
      <c r="G358" s="1" t="e">
        <f>IF(VALUE(F358) = VALUE(RIGHT(Insights!$C$3, 4)), E358, "")</f>
        <v>#VALUE!</v>
      </c>
      <c r="H358" s="26" t="e">
        <f t="shared" si="1"/>
        <v>#VALUE!</v>
      </c>
      <c r="I358" s="1" t="e">
        <f t="shared" si="2"/>
        <v>#VALUE!</v>
      </c>
    </row>
    <row r="359" spans="1:9" ht="15.75" customHeight="1">
      <c r="A359" s="26"/>
      <c r="B359" s="2"/>
      <c r="C359" s="26"/>
      <c r="D359" s="26"/>
      <c r="F359" s="85" t="str">
        <f t="shared" si="0"/>
        <v/>
      </c>
      <c r="G359" s="1" t="e">
        <f>IF(VALUE(F359) = VALUE(RIGHT(Insights!$C$3, 4)), E359, "")</f>
        <v>#VALUE!</v>
      </c>
      <c r="H359" s="26" t="e">
        <f t="shared" si="1"/>
        <v>#VALUE!</v>
      </c>
      <c r="I359" s="1" t="e">
        <f t="shared" si="2"/>
        <v>#VALUE!</v>
      </c>
    </row>
    <row r="360" spans="1:9" ht="15.75" customHeight="1">
      <c r="A360" s="26"/>
      <c r="B360" s="2"/>
      <c r="C360" s="26"/>
      <c r="D360" s="26"/>
      <c r="F360" s="85" t="str">
        <f t="shared" si="0"/>
        <v/>
      </c>
      <c r="G360" s="1" t="e">
        <f>IF(VALUE(F360) = VALUE(RIGHT(Insights!$C$3, 4)), E360, "")</f>
        <v>#VALUE!</v>
      </c>
      <c r="H360" s="26" t="e">
        <f t="shared" si="1"/>
        <v>#VALUE!</v>
      </c>
      <c r="I360" s="1" t="e">
        <f t="shared" si="2"/>
        <v>#VALUE!</v>
      </c>
    </row>
    <row r="361" spans="1:9" ht="15.75" customHeight="1">
      <c r="A361" s="26"/>
      <c r="B361" s="2"/>
      <c r="C361" s="26"/>
      <c r="D361" s="26"/>
      <c r="F361" s="85" t="str">
        <f t="shared" si="0"/>
        <v/>
      </c>
      <c r="G361" s="1" t="e">
        <f>IF(VALUE(F361) = VALUE(RIGHT(Insights!$C$3, 4)), E361, "")</f>
        <v>#VALUE!</v>
      </c>
      <c r="H361" s="26" t="e">
        <f t="shared" si="1"/>
        <v>#VALUE!</v>
      </c>
      <c r="I361" s="1" t="e">
        <f t="shared" si="2"/>
        <v>#VALUE!</v>
      </c>
    </row>
    <row r="362" spans="1:9" ht="15.75" customHeight="1">
      <c r="A362" s="26"/>
      <c r="B362" s="2"/>
      <c r="C362" s="26"/>
      <c r="D362" s="26"/>
      <c r="F362" s="85" t="str">
        <f t="shared" si="0"/>
        <v/>
      </c>
      <c r="G362" s="1" t="e">
        <f>IF(VALUE(F362) = VALUE(RIGHT(Insights!$C$3, 4)), E362, "")</f>
        <v>#VALUE!</v>
      </c>
      <c r="H362" s="26" t="e">
        <f t="shared" si="1"/>
        <v>#VALUE!</v>
      </c>
      <c r="I362" s="1" t="e">
        <f t="shared" si="2"/>
        <v>#VALUE!</v>
      </c>
    </row>
    <row r="363" spans="1:9" ht="15.75" customHeight="1">
      <c r="A363" s="26"/>
      <c r="B363" s="2"/>
      <c r="C363" s="26"/>
      <c r="D363" s="26"/>
      <c r="F363" s="85" t="str">
        <f t="shared" si="0"/>
        <v/>
      </c>
      <c r="G363" s="1" t="e">
        <f>IF(VALUE(F363) = VALUE(RIGHT(Insights!$C$3, 4)), E363, "")</f>
        <v>#VALUE!</v>
      </c>
      <c r="H363" s="26" t="e">
        <f t="shared" si="1"/>
        <v>#VALUE!</v>
      </c>
      <c r="I363" s="1" t="e">
        <f t="shared" si="2"/>
        <v>#VALUE!</v>
      </c>
    </row>
    <row r="364" spans="1:9" ht="15.75" customHeight="1">
      <c r="A364" s="26"/>
      <c r="B364" s="2"/>
      <c r="C364" s="26"/>
      <c r="D364" s="26"/>
      <c r="F364" s="85" t="str">
        <f t="shared" si="0"/>
        <v/>
      </c>
      <c r="G364" s="1" t="e">
        <f>IF(VALUE(F364) = VALUE(RIGHT(Insights!$C$3, 4)), E364, "")</f>
        <v>#VALUE!</v>
      </c>
      <c r="H364" s="26" t="e">
        <f t="shared" si="1"/>
        <v>#VALUE!</v>
      </c>
      <c r="I364" s="1" t="e">
        <f t="shared" si="2"/>
        <v>#VALUE!</v>
      </c>
    </row>
    <row r="365" spans="1:9" ht="15.75" customHeight="1">
      <c r="A365" s="26"/>
      <c r="B365" s="2"/>
      <c r="C365" s="26"/>
      <c r="D365" s="26"/>
      <c r="F365" s="85" t="str">
        <f t="shared" si="0"/>
        <v/>
      </c>
      <c r="G365" s="1" t="e">
        <f>IF(VALUE(F365) = VALUE(RIGHT(Insights!$C$3, 4)), E365, "")</f>
        <v>#VALUE!</v>
      </c>
      <c r="H365" s="26" t="e">
        <f t="shared" si="1"/>
        <v>#VALUE!</v>
      </c>
      <c r="I365" s="1" t="e">
        <f t="shared" si="2"/>
        <v>#VALUE!</v>
      </c>
    </row>
    <row r="366" spans="1:9" ht="15.75" customHeight="1">
      <c r="A366" s="26"/>
      <c r="B366" s="2"/>
      <c r="C366" s="26"/>
      <c r="D366" s="26"/>
      <c r="F366" s="85" t="str">
        <f t="shared" si="0"/>
        <v/>
      </c>
      <c r="G366" s="1" t="e">
        <f>IF(VALUE(F366) = VALUE(RIGHT(Insights!$C$3, 4)), E366, "")</f>
        <v>#VALUE!</v>
      </c>
      <c r="H366" s="26" t="e">
        <f t="shared" si="1"/>
        <v>#VALUE!</v>
      </c>
      <c r="I366" s="1" t="e">
        <f t="shared" si="2"/>
        <v>#VALUE!</v>
      </c>
    </row>
    <row r="367" spans="1:9" ht="15.75" customHeight="1">
      <c r="A367" s="26"/>
      <c r="B367" s="2"/>
      <c r="C367" s="26"/>
      <c r="D367" s="26"/>
      <c r="F367" s="85" t="str">
        <f t="shared" si="0"/>
        <v/>
      </c>
      <c r="G367" s="1" t="e">
        <f>IF(VALUE(F367) = VALUE(RIGHT(Insights!$C$3, 4)), E367, "")</f>
        <v>#VALUE!</v>
      </c>
      <c r="H367" s="26" t="e">
        <f t="shared" si="1"/>
        <v>#VALUE!</v>
      </c>
      <c r="I367" s="1" t="e">
        <f t="shared" si="2"/>
        <v>#VALUE!</v>
      </c>
    </row>
    <row r="368" spans="1:9" ht="15.75" customHeight="1">
      <c r="A368" s="26"/>
      <c r="B368" s="2"/>
      <c r="C368" s="26"/>
      <c r="D368" s="26"/>
      <c r="F368" s="85" t="str">
        <f t="shared" si="0"/>
        <v/>
      </c>
      <c r="G368" s="1" t="e">
        <f>IF(VALUE(F368) = VALUE(RIGHT(Insights!$C$3, 4)), E368, "")</f>
        <v>#VALUE!</v>
      </c>
      <c r="H368" s="26" t="e">
        <f t="shared" si="1"/>
        <v>#VALUE!</v>
      </c>
      <c r="I368" s="1" t="e">
        <f t="shared" si="2"/>
        <v>#VALUE!</v>
      </c>
    </row>
    <row r="369" spans="1:9" ht="15.75" customHeight="1">
      <c r="A369" s="26"/>
      <c r="B369" s="2"/>
      <c r="C369" s="26"/>
      <c r="D369" s="26"/>
      <c r="F369" s="85" t="str">
        <f t="shared" si="0"/>
        <v/>
      </c>
      <c r="G369" s="1" t="e">
        <f>IF(VALUE(F369) = VALUE(RIGHT(Insights!$C$3, 4)), E369, "")</f>
        <v>#VALUE!</v>
      </c>
      <c r="H369" s="26" t="e">
        <f t="shared" si="1"/>
        <v>#VALUE!</v>
      </c>
      <c r="I369" s="1" t="e">
        <f t="shared" si="2"/>
        <v>#VALUE!</v>
      </c>
    </row>
    <row r="370" spans="1:9" ht="15.75" customHeight="1">
      <c r="A370" s="26"/>
      <c r="B370" s="2"/>
      <c r="C370" s="26"/>
      <c r="D370" s="26"/>
      <c r="F370" s="85" t="str">
        <f t="shared" si="0"/>
        <v/>
      </c>
      <c r="G370" s="1" t="e">
        <f>IF(VALUE(F370) = VALUE(RIGHT(Insights!$C$3, 4)), E370, "")</f>
        <v>#VALUE!</v>
      </c>
      <c r="H370" s="26" t="e">
        <f t="shared" si="1"/>
        <v>#VALUE!</v>
      </c>
      <c r="I370" s="1" t="e">
        <f t="shared" si="2"/>
        <v>#VALUE!</v>
      </c>
    </row>
    <row r="371" spans="1:9" ht="15.75" customHeight="1">
      <c r="A371" s="26"/>
      <c r="B371" s="2"/>
      <c r="C371" s="26"/>
      <c r="D371" s="26"/>
      <c r="F371" s="85" t="str">
        <f t="shared" si="0"/>
        <v/>
      </c>
      <c r="G371" s="1" t="e">
        <f>IF(VALUE(F371) = VALUE(RIGHT(Insights!$C$3, 4)), E371, "")</f>
        <v>#VALUE!</v>
      </c>
      <c r="H371" s="26" t="e">
        <f t="shared" si="1"/>
        <v>#VALUE!</v>
      </c>
      <c r="I371" s="1" t="e">
        <f t="shared" si="2"/>
        <v>#VALUE!</v>
      </c>
    </row>
    <row r="372" spans="1:9" ht="15.75" customHeight="1">
      <c r="A372" s="26"/>
      <c r="B372" s="2"/>
      <c r="C372" s="26"/>
      <c r="D372" s="26"/>
      <c r="F372" s="85" t="str">
        <f t="shared" si="0"/>
        <v/>
      </c>
      <c r="G372" s="1" t="e">
        <f>IF(VALUE(F372) = VALUE(RIGHT(Insights!$C$3, 4)), E372, "")</f>
        <v>#VALUE!</v>
      </c>
      <c r="H372" s="26" t="e">
        <f t="shared" si="1"/>
        <v>#VALUE!</v>
      </c>
      <c r="I372" s="1" t="e">
        <f t="shared" si="2"/>
        <v>#VALUE!</v>
      </c>
    </row>
    <row r="373" spans="1:9" ht="15.75" customHeight="1">
      <c r="A373" s="26"/>
      <c r="B373" s="2"/>
      <c r="C373" s="26"/>
      <c r="D373" s="26"/>
      <c r="F373" s="85" t="str">
        <f t="shared" si="0"/>
        <v/>
      </c>
      <c r="G373" s="1" t="e">
        <f>IF(VALUE(F373) = VALUE(RIGHT(Insights!$C$3, 4)), E373, "")</f>
        <v>#VALUE!</v>
      </c>
      <c r="H373" s="26" t="e">
        <f t="shared" si="1"/>
        <v>#VALUE!</v>
      </c>
      <c r="I373" s="1" t="e">
        <f t="shared" si="2"/>
        <v>#VALUE!</v>
      </c>
    </row>
    <row r="374" spans="1:9" ht="15.75" customHeight="1">
      <c r="A374" s="26"/>
      <c r="B374" s="2"/>
      <c r="C374" s="26"/>
      <c r="D374" s="26"/>
      <c r="F374" s="85" t="str">
        <f t="shared" si="0"/>
        <v/>
      </c>
      <c r="G374" s="1" t="e">
        <f>IF(VALUE(F374) = VALUE(RIGHT(Insights!$C$3, 4)), E374, "")</f>
        <v>#VALUE!</v>
      </c>
      <c r="H374" s="26" t="e">
        <f t="shared" si="1"/>
        <v>#VALUE!</v>
      </c>
      <c r="I374" s="1" t="e">
        <f t="shared" si="2"/>
        <v>#VALUE!</v>
      </c>
    </row>
    <row r="375" spans="1:9" ht="15.75" customHeight="1">
      <c r="A375" s="26"/>
      <c r="B375" s="2"/>
      <c r="C375" s="26"/>
      <c r="D375" s="26"/>
      <c r="F375" s="85" t="str">
        <f t="shared" si="0"/>
        <v/>
      </c>
      <c r="G375" s="1" t="e">
        <f>IF(VALUE(F375) = VALUE(RIGHT(Insights!$C$3, 4)), E375, "")</f>
        <v>#VALUE!</v>
      </c>
      <c r="H375" s="26" t="e">
        <f t="shared" si="1"/>
        <v>#VALUE!</v>
      </c>
      <c r="I375" s="1" t="e">
        <f t="shared" si="2"/>
        <v>#VALUE!</v>
      </c>
    </row>
    <row r="376" spans="1:9" ht="15.75" customHeight="1">
      <c r="A376" s="26"/>
      <c r="B376" s="2"/>
      <c r="C376" s="26"/>
      <c r="D376" s="26"/>
      <c r="F376" s="85" t="str">
        <f t="shared" si="0"/>
        <v/>
      </c>
      <c r="G376" s="1" t="e">
        <f>IF(VALUE(F376) = VALUE(RIGHT(Insights!$C$3, 4)), E376, "")</f>
        <v>#VALUE!</v>
      </c>
      <c r="H376" s="26" t="e">
        <f t="shared" si="1"/>
        <v>#VALUE!</v>
      </c>
      <c r="I376" s="1" t="e">
        <f t="shared" si="2"/>
        <v>#VALUE!</v>
      </c>
    </row>
    <row r="377" spans="1:9" ht="15.75" customHeight="1">
      <c r="A377" s="26"/>
      <c r="B377" s="2"/>
      <c r="C377" s="26"/>
      <c r="D377" s="26"/>
      <c r="F377" s="85" t="str">
        <f t="shared" si="0"/>
        <v/>
      </c>
      <c r="G377" s="1" t="e">
        <f>IF(VALUE(F377) = VALUE(RIGHT(Insights!$C$3, 4)), E377, "")</f>
        <v>#VALUE!</v>
      </c>
      <c r="H377" s="26" t="e">
        <f t="shared" si="1"/>
        <v>#VALUE!</v>
      </c>
      <c r="I377" s="1" t="e">
        <f t="shared" si="2"/>
        <v>#VALUE!</v>
      </c>
    </row>
    <row r="378" spans="1:9" ht="15.75" customHeight="1">
      <c r="A378" s="26"/>
      <c r="B378" s="2"/>
      <c r="C378" s="26"/>
      <c r="D378" s="26"/>
      <c r="F378" s="85" t="str">
        <f t="shared" si="0"/>
        <v/>
      </c>
      <c r="G378" s="1" t="e">
        <f>IF(VALUE(F378) = VALUE(RIGHT(Insights!$C$3, 4)), E378, "")</f>
        <v>#VALUE!</v>
      </c>
      <c r="H378" s="26" t="e">
        <f t="shared" si="1"/>
        <v>#VALUE!</v>
      </c>
      <c r="I378" s="1" t="e">
        <f t="shared" si="2"/>
        <v>#VALUE!</v>
      </c>
    </row>
    <row r="379" spans="1:9" ht="15.75" customHeight="1">
      <c r="A379" s="26"/>
      <c r="B379" s="2"/>
      <c r="C379" s="26"/>
      <c r="D379" s="26"/>
      <c r="F379" s="85" t="str">
        <f t="shared" si="0"/>
        <v/>
      </c>
      <c r="G379" s="1" t="e">
        <f>IF(VALUE(F379) = VALUE(RIGHT(Insights!$C$3, 4)), E379, "")</f>
        <v>#VALUE!</v>
      </c>
      <c r="H379" s="26" t="e">
        <f t="shared" si="1"/>
        <v>#VALUE!</v>
      </c>
      <c r="I379" s="1" t="e">
        <f t="shared" si="2"/>
        <v>#VALUE!</v>
      </c>
    </row>
    <row r="380" spans="1:9" ht="15.75" customHeight="1">
      <c r="A380" s="26"/>
      <c r="B380" s="2"/>
      <c r="C380" s="26"/>
      <c r="D380" s="26"/>
      <c r="F380" s="85" t="str">
        <f t="shared" si="0"/>
        <v/>
      </c>
      <c r="G380" s="1" t="e">
        <f>IF(VALUE(F380) = VALUE(RIGHT(Insights!$C$3, 4)), E380, "")</f>
        <v>#VALUE!</v>
      </c>
      <c r="H380" s="26" t="e">
        <f t="shared" si="1"/>
        <v>#VALUE!</v>
      </c>
      <c r="I380" s="1" t="e">
        <f t="shared" si="2"/>
        <v>#VALUE!</v>
      </c>
    </row>
    <row r="381" spans="1:9" ht="15.75" customHeight="1">
      <c r="A381" s="26"/>
      <c r="B381" s="2"/>
      <c r="C381" s="26"/>
      <c r="D381" s="26"/>
      <c r="F381" s="85" t="str">
        <f t="shared" si="0"/>
        <v/>
      </c>
      <c r="G381" s="1" t="e">
        <f>IF(VALUE(F381) = VALUE(RIGHT(Insights!$C$3, 4)), E381, "")</f>
        <v>#VALUE!</v>
      </c>
      <c r="H381" s="26" t="e">
        <f t="shared" si="1"/>
        <v>#VALUE!</v>
      </c>
      <c r="I381" s="1" t="e">
        <f t="shared" si="2"/>
        <v>#VALUE!</v>
      </c>
    </row>
    <row r="382" spans="1:9" ht="15.75" customHeight="1">
      <c r="A382" s="26"/>
      <c r="B382" s="2"/>
      <c r="C382" s="26"/>
      <c r="D382" s="26"/>
      <c r="F382" s="85" t="str">
        <f t="shared" si="0"/>
        <v/>
      </c>
      <c r="G382" s="1" t="e">
        <f>IF(VALUE(F382) = VALUE(RIGHT(Insights!$C$3, 4)), E382, "")</f>
        <v>#VALUE!</v>
      </c>
      <c r="H382" s="26" t="e">
        <f t="shared" si="1"/>
        <v>#VALUE!</v>
      </c>
      <c r="I382" s="1" t="e">
        <f t="shared" si="2"/>
        <v>#VALUE!</v>
      </c>
    </row>
    <row r="383" spans="1:9" ht="15.75" customHeight="1">
      <c r="A383" s="26"/>
      <c r="B383" s="2"/>
      <c r="C383" s="26"/>
      <c r="D383" s="26"/>
      <c r="F383" s="85" t="str">
        <f t="shared" si="0"/>
        <v/>
      </c>
      <c r="G383" s="1" t="e">
        <f>IF(VALUE(F383) = VALUE(RIGHT(Insights!$C$3, 4)), E383, "")</f>
        <v>#VALUE!</v>
      </c>
      <c r="H383" s="26" t="e">
        <f t="shared" si="1"/>
        <v>#VALUE!</v>
      </c>
      <c r="I383" s="1" t="e">
        <f t="shared" si="2"/>
        <v>#VALUE!</v>
      </c>
    </row>
    <row r="384" spans="1:9" ht="15.75" customHeight="1">
      <c r="A384" s="26"/>
      <c r="B384" s="2"/>
      <c r="C384" s="26"/>
      <c r="D384" s="26"/>
      <c r="F384" s="85" t="str">
        <f t="shared" si="0"/>
        <v/>
      </c>
      <c r="G384" s="1" t="e">
        <f>IF(VALUE(F384) = VALUE(RIGHT(Insights!$C$3, 4)), E384, "")</f>
        <v>#VALUE!</v>
      </c>
      <c r="H384" s="26" t="e">
        <f t="shared" si="1"/>
        <v>#VALUE!</v>
      </c>
      <c r="I384" s="1" t="e">
        <f t="shared" si="2"/>
        <v>#VALUE!</v>
      </c>
    </row>
    <row r="385" spans="1:9" ht="15.75" customHeight="1">
      <c r="A385" s="26"/>
      <c r="B385" s="2"/>
      <c r="C385" s="26"/>
      <c r="D385" s="26"/>
      <c r="F385" s="85" t="str">
        <f t="shared" si="0"/>
        <v/>
      </c>
      <c r="G385" s="1" t="e">
        <f>IF(VALUE(F385) = VALUE(RIGHT(Insights!$C$3, 4)), E385, "")</f>
        <v>#VALUE!</v>
      </c>
      <c r="H385" s="26" t="e">
        <f t="shared" si="1"/>
        <v>#VALUE!</v>
      </c>
      <c r="I385" s="1" t="e">
        <f t="shared" si="2"/>
        <v>#VALUE!</v>
      </c>
    </row>
    <row r="386" spans="1:9" ht="15.75" customHeight="1">
      <c r="A386" s="26"/>
      <c r="B386" s="2"/>
      <c r="C386" s="26"/>
      <c r="D386" s="26"/>
      <c r="F386" s="85" t="str">
        <f t="shared" si="0"/>
        <v/>
      </c>
      <c r="G386" s="1" t="e">
        <f>IF(VALUE(F386) = VALUE(RIGHT(Insights!$C$3, 4)), E386, "")</f>
        <v>#VALUE!</v>
      </c>
      <c r="H386" s="26" t="e">
        <f t="shared" si="1"/>
        <v>#VALUE!</v>
      </c>
      <c r="I386" s="1" t="e">
        <f t="shared" si="2"/>
        <v>#VALUE!</v>
      </c>
    </row>
    <row r="387" spans="1:9" ht="15.75" customHeight="1">
      <c r="A387" s="26"/>
      <c r="B387" s="2"/>
      <c r="C387" s="26"/>
      <c r="D387" s="26"/>
      <c r="F387" s="85" t="str">
        <f t="shared" si="0"/>
        <v/>
      </c>
      <c r="G387" s="1" t="e">
        <f>IF(VALUE(F387) = VALUE(RIGHT(Insights!$C$3, 4)), E387, "")</f>
        <v>#VALUE!</v>
      </c>
      <c r="H387" s="26" t="e">
        <f t="shared" si="1"/>
        <v>#VALUE!</v>
      </c>
      <c r="I387" s="1" t="e">
        <f t="shared" si="2"/>
        <v>#VALUE!</v>
      </c>
    </row>
    <row r="388" spans="1:9" ht="15.75" customHeight="1">
      <c r="A388" s="26"/>
      <c r="B388" s="2"/>
      <c r="C388" s="26"/>
      <c r="D388" s="26"/>
      <c r="F388" s="85" t="str">
        <f t="shared" si="0"/>
        <v/>
      </c>
      <c r="G388" s="1" t="e">
        <f>IF(VALUE(F388) = VALUE(RIGHT(Insights!$C$3, 4)), E388, "")</f>
        <v>#VALUE!</v>
      </c>
      <c r="H388" s="26" t="e">
        <f t="shared" si="1"/>
        <v>#VALUE!</v>
      </c>
      <c r="I388" s="1" t="e">
        <f t="shared" si="2"/>
        <v>#VALUE!</v>
      </c>
    </row>
    <row r="389" spans="1:9" ht="15.75" customHeight="1">
      <c r="A389" s="26"/>
      <c r="B389" s="2"/>
      <c r="C389" s="26"/>
      <c r="D389" s="26"/>
      <c r="F389" s="85" t="str">
        <f t="shared" si="0"/>
        <v/>
      </c>
      <c r="G389" s="1" t="e">
        <f>IF(VALUE(F389) = VALUE(RIGHT(Insights!$C$3, 4)), E389, "")</f>
        <v>#VALUE!</v>
      </c>
      <c r="H389" s="26" t="e">
        <f t="shared" si="1"/>
        <v>#VALUE!</v>
      </c>
      <c r="I389" s="1" t="e">
        <f t="shared" si="2"/>
        <v>#VALUE!</v>
      </c>
    </row>
    <row r="390" spans="1:9" ht="15.75" customHeight="1">
      <c r="A390" s="26"/>
      <c r="B390" s="2"/>
      <c r="C390" s="26"/>
      <c r="D390" s="26"/>
      <c r="F390" s="85" t="str">
        <f t="shared" si="0"/>
        <v/>
      </c>
      <c r="G390" s="1" t="e">
        <f>IF(VALUE(F390) = VALUE(RIGHT(Insights!$C$3, 4)), E390, "")</f>
        <v>#VALUE!</v>
      </c>
      <c r="H390" s="26" t="e">
        <f t="shared" si="1"/>
        <v>#VALUE!</v>
      </c>
      <c r="I390" s="1" t="e">
        <f t="shared" si="2"/>
        <v>#VALUE!</v>
      </c>
    </row>
    <row r="391" spans="1:9" ht="15.75" customHeight="1">
      <c r="A391" s="26"/>
      <c r="B391" s="2"/>
      <c r="C391" s="26"/>
      <c r="D391" s="26"/>
      <c r="F391" s="85" t="str">
        <f t="shared" si="0"/>
        <v/>
      </c>
      <c r="G391" s="1" t="e">
        <f>IF(VALUE(F391) = VALUE(RIGHT(Insights!$C$3, 4)), E391, "")</f>
        <v>#VALUE!</v>
      </c>
      <c r="H391" s="26" t="e">
        <f t="shared" si="1"/>
        <v>#VALUE!</v>
      </c>
      <c r="I391" s="1" t="e">
        <f t="shared" si="2"/>
        <v>#VALUE!</v>
      </c>
    </row>
    <row r="392" spans="1:9" ht="15.75" customHeight="1">
      <c r="A392" s="26"/>
      <c r="B392" s="2"/>
      <c r="C392" s="26"/>
      <c r="D392" s="26"/>
      <c r="F392" s="85" t="str">
        <f t="shared" si="0"/>
        <v/>
      </c>
      <c r="G392" s="1" t="e">
        <f>IF(VALUE(F392) = VALUE(RIGHT(Insights!$C$3, 4)), E392, "")</f>
        <v>#VALUE!</v>
      </c>
      <c r="H392" s="26" t="e">
        <f t="shared" si="1"/>
        <v>#VALUE!</v>
      </c>
      <c r="I392" s="1" t="e">
        <f t="shared" si="2"/>
        <v>#VALUE!</v>
      </c>
    </row>
    <row r="393" spans="1:9" ht="15.75" customHeight="1">
      <c r="A393" s="26"/>
      <c r="B393" s="2"/>
      <c r="C393" s="26"/>
      <c r="D393" s="26"/>
      <c r="F393" s="85" t="str">
        <f t="shared" si="0"/>
        <v/>
      </c>
      <c r="G393" s="1" t="e">
        <f>IF(VALUE(F393) = VALUE(RIGHT(Insights!$C$3, 4)), E393, "")</f>
        <v>#VALUE!</v>
      </c>
      <c r="H393" s="26" t="e">
        <f t="shared" si="1"/>
        <v>#VALUE!</v>
      </c>
      <c r="I393" s="1" t="e">
        <f t="shared" si="2"/>
        <v>#VALUE!</v>
      </c>
    </row>
    <row r="394" spans="1:9" ht="15.75" customHeight="1">
      <c r="A394" s="26"/>
      <c r="B394" s="2"/>
      <c r="C394" s="26"/>
      <c r="D394" s="26"/>
      <c r="F394" s="85" t="str">
        <f t="shared" si="0"/>
        <v/>
      </c>
      <c r="G394" s="1" t="e">
        <f>IF(VALUE(F394) = VALUE(RIGHT(Insights!$C$3, 4)), E394, "")</f>
        <v>#VALUE!</v>
      </c>
      <c r="H394" s="26" t="e">
        <f t="shared" si="1"/>
        <v>#VALUE!</v>
      </c>
      <c r="I394" s="1" t="e">
        <f t="shared" si="2"/>
        <v>#VALUE!</v>
      </c>
    </row>
    <row r="395" spans="1:9" ht="15.75" customHeight="1">
      <c r="A395" s="26"/>
      <c r="B395" s="2"/>
      <c r="C395" s="26"/>
      <c r="D395" s="26"/>
      <c r="F395" s="85" t="str">
        <f t="shared" si="0"/>
        <v/>
      </c>
      <c r="G395" s="1" t="e">
        <f>IF(VALUE(F395) = VALUE(RIGHT(Insights!$C$3, 4)), E395, "")</f>
        <v>#VALUE!</v>
      </c>
      <c r="H395" s="26" t="e">
        <f t="shared" si="1"/>
        <v>#VALUE!</v>
      </c>
      <c r="I395" s="1" t="e">
        <f t="shared" si="2"/>
        <v>#VALUE!</v>
      </c>
    </row>
    <row r="396" spans="1:9" ht="15.75" customHeight="1">
      <c r="A396" s="26"/>
      <c r="B396" s="2"/>
      <c r="C396" s="26"/>
      <c r="D396" s="26"/>
      <c r="F396" s="85" t="str">
        <f t="shared" si="0"/>
        <v/>
      </c>
      <c r="G396" s="1" t="e">
        <f>IF(VALUE(F396) = VALUE(RIGHT(Insights!$C$3, 4)), E396, "")</f>
        <v>#VALUE!</v>
      </c>
      <c r="H396" s="26" t="e">
        <f t="shared" si="1"/>
        <v>#VALUE!</v>
      </c>
      <c r="I396" s="1" t="e">
        <f t="shared" si="2"/>
        <v>#VALUE!</v>
      </c>
    </row>
    <row r="397" spans="1:9" ht="15.75" customHeight="1">
      <c r="A397" s="26"/>
      <c r="B397" s="2"/>
      <c r="C397" s="26"/>
      <c r="D397" s="26"/>
      <c r="F397" s="85" t="str">
        <f t="shared" si="0"/>
        <v/>
      </c>
      <c r="G397" s="1" t="e">
        <f>IF(VALUE(F397) = VALUE(RIGHT(Insights!$C$3, 4)), E397, "")</f>
        <v>#VALUE!</v>
      </c>
      <c r="H397" s="26" t="e">
        <f t="shared" si="1"/>
        <v>#VALUE!</v>
      </c>
      <c r="I397" s="1" t="e">
        <f t="shared" si="2"/>
        <v>#VALUE!</v>
      </c>
    </row>
    <row r="398" spans="1:9" ht="15.75" customHeight="1">
      <c r="A398" s="26"/>
      <c r="B398" s="2"/>
      <c r="C398" s="26"/>
      <c r="D398" s="26"/>
      <c r="F398" s="85" t="str">
        <f t="shared" si="0"/>
        <v/>
      </c>
      <c r="G398" s="1" t="e">
        <f>IF(VALUE(F398) = VALUE(RIGHT(Insights!$C$3, 4)), E398, "")</f>
        <v>#VALUE!</v>
      </c>
      <c r="H398" s="26" t="e">
        <f t="shared" si="1"/>
        <v>#VALUE!</v>
      </c>
      <c r="I398" s="1" t="e">
        <f t="shared" si="2"/>
        <v>#VALUE!</v>
      </c>
    </row>
    <row r="399" spans="1:9" ht="15.75" customHeight="1">
      <c r="A399" s="26"/>
      <c r="B399" s="2"/>
      <c r="C399" s="26"/>
      <c r="D399" s="26"/>
      <c r="F399" s="85" t="str">
        <f t="shared" si="0"/>
        <v/>
      </c>
      <c r="G399" s="1" t="e">
        <f>IF(VALUE(F399) = VALUE(RIGHT(Insights!$C$3, 4)), E399, "")</f>
        <v>#VALUE!</v>
      </c>
      <c r="H399" s="26" t="e">
        <f t="shared" si="1"/>
        <v>#VALUE!</v>
      </c>
      <c r="I399" s="1" t="e">
        <f t="shared" si="2"/>
        <v>#VALUE!</v>
      </c>
    </row>
    <row r="400" spans="1:9" ht="15.75" customHeight="1">
      <c r="A400" s="26"/>
      <c r="B400" s="2"/>
      <c r="C400" s="26"/>
      <c r="D400" s="26"/>
      <c r="F400" s="85" t="str">
        <f t="shared" si="0"/>
        <v/>
      </c>
      <c r="G400" s="1" t="e">
        <f>IF(VALUE(F400) = VALUE(RIGHT(Insights!$C$3, 4)), E400, "")</f>
        <v>#VALUE!</v>
      </c>
      <c r="H400" s="26" t="e">
        <f t="shared" si="1"/>
        <v>#VALUE!</v>
      </c>
      <c r="I400" s="1" t="e">
        <f t="shared" si="2"/>
        <v>#VALUE!</v>
      </c>
    </row>
    <row r="401" spans="1:9" ht="15.75" customHeight="1">
      <c r="A401" s="26"/>
      <c r="B401" s="2"/>
      <c r="C401" s="26"/>
      <c r="D401" s="26"/>
      <c r="F401" s="85" t="str">
        <f t="shared" si="0"/>
        <v/>
      </c>
      <c r="G401" s="1" t="e">
        <f>IF(VALUE(F401) = VALUE(RIGHT(Insights!$C$3, 4)), E401, "")</f>
        <v>#VALUE!</v>
      </c>
      <c r="H401" s="26" t="e">
        <f t="shared" si="1"/>
        <v>#VALUE!</v>
      </c>
      <c r="I401" s="1" t="e">
        <f t="shared" si="2"/>
        <v>#VALUE!</v>
      </c>
    </row>
    <row r="402" spans="1:9" ht="15.75" customHeight="1">
      <c r="A402" s="26"/>
      <c r="B402" s="2"/>
      <c r="C402" s="26"/>
      <c r="D402" s="26"/>
      <c r="F402" s="85" t="str">
        <f t="shared" si="0"/>
        <v/>
      </c>
      <c r="G402" s="1" t="e">
        <f>IF(VALUE(F402) = VALUE(RIGHT(Insights!$C$3, 4)), E402, "")</f>
        <v>#VALUE!</v>
      </c>
      <c r="H402" s="26" t="e">
        <f t="shared" si="1"/>
        <v>#VALUE!</v>
      </c>
      <c r="I402" s="1" t="e">
        <f t="shared" si="2"/>
        <v>#VALUE!</v>
      </c>
    </row>
    <row r="403" spans="1:9" ht="15.75" customHeight="1">
      <c r="A403" s="26"/>
      <c r="B403" s="2"/>
      <c r="C403" s="26"/>
      <c r="D403" s="26"/>
      <c r="F403" s="85" t="str">
        <f t="shared" si="0"/>
        <v/>
      </c>
      <c r="G403" s="1" t="e">
        <f>IF(VALUE(F403) = VALUE(RIGHT(Insights!$C$3, 4)), E403, "")</f>
        <v>#VALUE!</v>
      </c>
      <c r="H403" s="26" t="e">
        <f t="shared" si="1"/>
        <v>#VALUE!</v>
      </c>
      <c r="I403" s="1" t="e">
        <f t="shared" si="2"/>
        <v>#VALUE!</v>
      </c>
    </row>
    <row r="404" spans="1:9" ht="15.75" customHeight="1">
      <c r="A404" s="26"/>
      <c r="B404" s="2"/>
      <c r="C404" s="26"/>
      <c r="D404" s="26"/>
      <c r="F404" s="85" t="str">
        <f t="shared" si="0"/>
        <v/>
      </c>
      <c r="G404" s="1" t="e">
        <f>IF(VALUE(F404) = VALUE(RIGHT(Insights!$C$3, 4)), E404, "")</f>
        <v>#VALUE!</v>
      </c>
      <c r="H404" s="26" t="e">
        <f t="shared" si="1"/>
        <v>#VALUE!</v>
      </c>
      <c r="I404" s="1" t="e">
        <f t="shared" si="2"/>
        <v>#VALUE!</v>
      </c>
    </row>
    <row r="405" spans="1:9" ht="15.75" customHeight="1">
      <c r="A405" s="26"/>
      <c r="B405" s="2"/>
      <c r="C405" s="26"/>
      <c r="D405" s="26"/>
      <c r="F405" s="85" t="str">
        <f t="shared" si="0"/>
        <v/>
      </c>
      <c r="G405" s="1" t="e">
        <f>IF(VALUE(F405) = VALUE(RIGHT(Insights!$C$3, 4)), E405, "")</f>
        <v>#VALUE!</v>
      </c>
      <c r="H405" s="26" t="e">
        <f t="shared" si="1"/>
        <v>#VALUE!</v>
      </c>
      <c r="I405" s="1" t="e">
        <f t="shared" si="2"/>
        <v>#VALUE!</v>
      </c>
    </row>
    <row r="406" spans="1:9" ht="15.75" customHeight="1">
      <c r="A406" s="26"/>
      <c r="B406" s="2"/>
      <c r="C406" s="26"/>
      <c r="D406" s="26"/>
      <c r="F406" s="85" t="str">
        <f t="shared" si="0"/>
        <v/>
      </c>
      <c r="G406" s="1" t="e">
        <f>IF(VALUE(F406) = VALUE(RIGHT(Insights!$C$3, 4)), E406, "")</f>
        <v>#VALUE!</v>
      </c>
      <c r="H406" s="26" t="e">
        <f t="shared" si="1"/>
        <v>#VALUE!</v>
      </c>
      <c r="I406" s="1" t="e">
        <f t="shared" si="2"/>
        <v>#VALUE!</v>
      </c>
    </row>
    <row r="407" spans="1:9" ht="15.75" customHeight="1">
      <c r="A407" s="26"/>
      <c r="B407" s="2"/>
      <c r="C407" s="26"/>
      <c r="D407" s="26"/>
      <c r="F407" s="85" t="str">
        <f t="shared" si="0"/>
        <v/>
      </c>
      <c r="G407" s="1" t="e">
        <f>IF(VALUE(F407) = VALUE(RIGHT(Insights!$C$3, 4)), E407, "")</f>
        <v>#VALUE!</v>
      </c>
      <c r="H407" s="26" t="e">
        <f t="shared" si="1"/>
        <v>#VALUE!</v>
      </c>
      <c r="I407" s="1" t="e">
        <f t="shared" si="2"/>
        <v>#VALUE!</v>
      </c>
    </row>
    <row r="408" spans="1:9" ht="15.75" customHeight="1">
      <c r="A408" s="26"/>
      <c r="B408" s="2"/>
      <c r="C408" s="26"/>
      <c r="D408" s="26"/>
      <c r="F408" s="85" t="str">
        <f t="shared" si="0"/>
        <v/>
      </c>
      <c r="G408" s="1" t="e">
        <f>IF(VALUE(F408) = VALUE(RIGHT(Insights!$C$3, 4)), E408, "")</f>
        <v>#VALUE!</v>
      </c>
      <c r="H408" s="26" t="e">
        <f t="shared" si="1"/>
        <v>#VALUE!</v>
      </c>
      <c r="I408" s="1" t="e">
        <f t="shared" si="2"/>
        <v>#VALUE!</v>
      </c>
    </row>
    <row r="409" spans="1:9" ht="15.75" customHeight="1">
      <c r="A409" s="26"/>
      <c r="B409" s="2"/>
      <c r="C409" s="26"/>
      <c r="D409" s="26"/>
      <c r="F409" s="85" t="str">
        <f t="shared" si="0"/>
        <v/>
      </c>
      <c r="G409" s="1" t="e">
        <f>IF(VALUE(F409) = VALUE(RIGHT(Insights!$C$3, 4)), E409, "")</f>
        <v>#VALUE!</v>
      </c>
      <c r="H409" s="26" t="e">
        <f t="shared" si="1"/>
        <v>#VALUE!</v>
      </c>
      <c r="I409" s="1" t="e">
        <f t="shared" si="2"/>
        <v>#VALUE!</v>
      </c>
    </row>
    <row r="410" spans="1:9" ht="15.75" customHeight="1">
      <c r="A410" s="26"/>
      <c r="B410" s="2"/>
      <c r="C410" s="26"/>
      <c r="D410" s="26"/>
      <c r="F410" s="85" t="str">
        <f t="shared" si="0"/>
        <v/>
      </c>
      <c r="G410" s="1" t="e">
        <f>IF(VALUE(F410) = VALUE(RIGHT(Insights!$C$3, 4)), E410, "")</f>
        <v>#VALUE!</v>
      </c>
      <c r="H410" s="26" t="e">
        <f t="shared" si="1"/>
        <v>#VALUE!</v>
      </c>
      <c r="I410" s="1" t="e">
        <f t="shared" si="2"/>
        <v>#VALUE!</v>
      </c>
    </row>
    <row r="411" spans="1:9" ht="15.75" customHeight="1">
      <c r="A411" s="26"/>
      <c r="B411" s="2"/>
      <c r="C411" s="26"/>
      <c r="D411" s="26"/>
      <c r="F411" s="85" t="str">
        <f t="shared" si="0"/>
        <v/>
      </c>
      <c r="G411" s="1" t="e">
        <f>IF(VALUE(F411) = VALUE(RIGHT(Insights!$C$3, 4)), E411, "")</f>
        <v>#VALUE!</v>
      </c>
      <c r="H411" s="26" t="e">
        <f t="shared" si="1"/>
        <v>#VALUE!</v>
      </c>
      <c r="I411" s="1" t="e">
        <f t="shared" si="2"/>
        <v>#VALUE!</v>
      </c>
    </row>
    <row r="412" spans="1:9" ht="15.75" customHeight="1">
      <c r="A412" s="26"/>
      <c r="B412" s="2"/>
      <c r="C412" s="26"/>
      <c r="D412" s="26"/>
      <c r="F412" s="85" t="str">
        <f t="shared" si="0"/>
        <v/>
      </c>
      <c r="G412" s="1" t="e">
        <f>IF(VALUE(F412) = VALUE(RIGHT(Insights!$C$3, 4)), E412, "")</f>
        <v>#VALUE!</v>
      </c>
      <c r="H412" s="26" t="e">
        <f t="shared" si="1"/>
        <v>#VALUE!</v>
      </c>
      <c r="I412" s="1" t="e">
        <f t="shared" si="2"/>
        <v>#VALUE!</v>
      </c>
    </row>
    <row r="413" spans="1:9" ht="15.75" customHeight="1">
      <c r="A413" s="26"/>
      <c r="B413" s="2"/>
      <c r="C413" s="26"/>
      <c r="D413" s="26"/>
      <c r="F413" s="85" t="str">
        <f t="shared" si="0"/>
        <v/>
      </c>
      <c r="G413" s="1" t="e">
        <f>IF(VALUE(F413) = VALUE(RIGHT(Insights!$C$3, 4)), E413, "")</f>
        <v>#VALUE!</v>
      </c>
      <c r="H413" s="26" t="e">
        <f t="shared" si="1"/>
        <v>#VALUE!</v>
      </c>
      <c r="I413" s="1" t="e">
        <f t="shared" si="2"/>
        <v>#VALUE!</v>
      </c>
    </row>
    <row r="414" spans="1:9" ht="15.75" customHeight="1">
      <c r="A414" s="26"/>
      <c r="B414" s="2"/>
      <c r="C414" s="26"/>
      <c r="D414" s="26"/>
      <c r="F414" s="85" t="str">
        <f t="shared" si="0"/>
        <v/>
      </c>
      <c r="G414" s="1" t="e">
        <f>IF(VALUE(F414) = VALUE(RIGHT(Insights!$C$3, 4)), E414, "")</f>
        <v>#VALUE!</v>
      </c>
      <c r="H414" s="26" t="e">
        <f t="shared" si="1"/>
        <v>#VALUE!</v>
      </c>
      <c r="I414" s="1" t="e">
        <f t="shared" si="2"/>
        <v>#VALUE!</v>
      </c>
    </row>
    <row r="415" spans="1:9" ht="15.75" customHeight="1">
      <c r="A415" s="26"/>
      <c r="B415" s="2"/>
      <c r="C415" s="26"/>
      <c r="D415" s="26"/>
      <c r="F415" s="85" t="str">
        <f t="shared" si="0"/>
        <v/>
      </c>
      <c r="G415" s="1" t="e">
        <f>IF(VALUE(F415) = VALUE(RIGHT(Insights!$C$3, 4)), E415, "")</f>
        <v>#VALUE!</v>
      </c>
      <c r="H415" s="26" t="e">
        <f t="shared" si="1"/>
        <v>#VALUE!</v>
      </c>
      <c r="I415" s="1" t="e">
        <f t="shared" si="2"/>
        <v>#VALUE!</v>
      </c>
    </row>
    <row r="416" spans="1:9" ht="15.75" customHeight="1">
      <c r="A416" s="26"/>
      <c r="B416" s="2"/>
      <c r="C416" s="26"/>
      <c r="D416" s="26"/>
      <c r="F416" s="85" t="str">
        <f t="shared" si="0"/>
        <v/>
      </c>
      <c r="G416" s="1" t="e">
        <f>IF(VALUE(F416) = VALUE(RIGHT(Insights!$C$3, 4)), E416, "")</f>
        <v>#VALUE!</v>
      </c>
      <c r="H416" s="26" t="e">
        <f t="shared" si="1"/>
        <v>#VALUE!</v>
      </c>
      <c r="I416" s="1" t="e">
        <f t="shared" si="2"/>
        <v>#VALUE!</v>
      </c>
    </row>
    <row r="417" spans="1:9" ht="15.75" customHeight="1">
      <c r="A417" s="26"/>
      <c r="B417" s="2"/>
      <c r="C417" s="26"/>
      <c r="D417" s="26"/>
      <c r="F417" s="85" t="str">
        <f t="shared" si="0"/>
        <v/>
      </c>
      <c r="G417" s="1" t="e">
        <f>IF(VALUE(F417) = VALUE(RIGHT(Insights!$C$3, 4)), E417, "")</f>
        <v>#VALUE!</v>
      </c>
      <c r="H417" s="26" t="e">
        <f t="shared" si="1"/>
        <v>#VALUE!</v>
      </c>
      <c r="I417" s="1" t="e">
        <f t="shared" si="2"/>
        <v>#VALUE!</v>
      </c>
    </row>
    <row r="418" spans="1:9" ht="15.75" customHeight="1">
      <c r="A418" s="26"/>
      <c r="B418" s="2"/>
      <c r="C418" s="26"/>
      <c r="D418" s="26"/>
      <c r="F418" s="85" t="str">
        <f t="shared" si="0"/>
        <v/>
      </c>
      <c r="G418" s="1" t="e">
        <f>IF(VALUE(F418) = VALUE(RIGHT(Insights!$C$3, 4)), E418, "")</f>
        <v>#VALUE!</v>
      </c>
      <c r="H418" s="26" t="e">
        <f t="shared" si="1"/>
        <v>#VALUE!</v>
      </c>
      <c r="I418" s="1" t="e">
        <f t="shared" si="2"/>
        <v>#VALUE!</v>
      </c>
    </row>
    <row r="419" spans="1:9" ht="15.75" customHeight="1">
      <c r="A419" s="26"/>
      <c r="B419" s="2"/>
      <c r="C419" s="26"/>
      <c r="D419" s="26"/>
      <c r="F419" s="85" t="str">
        <f t="shared" si="0"/>
        <v/>
      </c>
      <c r="G419" s="1" t="e">
        <f>IF(VALUE(F419) = VALUE(RIGHT(Insights!$C$3, 4)), E419, "")</f>
        <v>#VALUE!</v>
      </c>
      <c r="H419" s="26" t="e">
        <f t="shared" si="1"/>
        <v>#VALUE!</v>
      </c>
      <c r="I419" s="1" t="e">
        <f t="shared" si="2"/>
        <v>#VALUE!</v>
      </c>
    </row>
    <row r="420" spans="1:9" ht="15.75" customHeight="1">
      <c r="A420" s="26"/>
      <c r="B420" s="2"/>
      <c r="C420" s="26"/>
      <c r="D420" s="26"/>
      <c r="F420" s="85" t="str">
        <f t="shared" si="0"/>
        <v/>
      </c>
      <c r="G420" s="1" t="e">
        <f>IF(VALUE(F420) = VALUE(RIGHT(Insights!$C$3, 4)), E420, "")</f>
        <v>#VALUE!</v>
      </c>
      <c r="H420" s="26" t="e">
        <f t="shared" si="1"/>
        <v>#VALUE!</v>
      </c>
      <c r="I420" s="1" t="e">
        <f t="shared" si="2"/>
        <v>#VALUE!</v>
      </c>
    </row>
    <row r="421" spans="1:9" ht="15.75" customHeight="1">
      <c r="A421" s="26"/>
      <c r="B421" s="2"/>
      <c r="C421" s="26"/>
      <c r="D421" s="26"/>
      <c r="F421" s="85" t="str">
        <f t="shared" si="0"/>
        <v/>
      </c>
      <c r="G421" s="1" t="e">
        <f>IF(VALUE(F421) = VALUE(RIGHT(Insights!$C$3, 4)), E421, "")</f>
        <v>#VALUE!</v>
      </c>
      <c r="H421" s="26" t="e">
        <f t="shared" si="1"/>
        <v>#VALUE!</v>
      </c>
      <c r="I421" s="1" t="e">
        <f t="shared" si="2"/>
        <v>#VALUE!</v>
      </c>
    </row>
    <row r="422" spans="1:9" ht="15.75" customHeight="1">
      <c r="A422" s="26"/>
      <c r="B422" s="2"/>
      <c r="C422" s="26"/>
      <c r="D422" s="26"/>
      <c r="F422" s="85" t="str">
        <f t="shared" si="0"/>
        <v/>
      </c>
      <c r="G422" s="1" t="e">
        <f>IF(VALUE(F422) = VALUE(RIGHT(Insights!$C$3, 4)), E422, "")</f>
        <v>#VALUE!</v>
      </c>
      <c r="H422" s="26" t="e">
        <f t="shared" si="1"/>
        <v>#VALUE!</v>
      </c>
      <c r="I422" s="1" t="e">
        <f t="shared" si="2"/>
        <v>#VALUE!</v>
      </c>
    </row>
    <row r="423" spans="1:9" ht="15.75" customHeight="1">
      <c r="A423" s="26"/>
      <c r="B423" s="2"/>
      <c r="C423" s="26"/>
      <c r="D423" s="26"/>
      <c r="F423" s="85" t="str">
        <f t="shared" si="0"/>
        <v/>
      </c>
      <c r="G423" s="1" t="e">
        <f>IF(VALUE(F423) = VALUE(RIGHT(Insights!$C$3, 4)), E423, "")</f>
        <v>#VALUE!</v>
      </c>
      <c r="H423" s="26" t="e">
        <f t="shared" si="1"/>
        <v>#VALUE!</v>
      </c>
      <c r="I423" s="1" t="e">
        <f t="shared" si="2"/>
        <v>#VALUE!</v>
      </c>
    </row>
    <row r="424" spans="1:9" ht="15.75" customHeight="1">
      <c r="A424" s="26"/>
      <c r="B424" s="2"/>
      <c r="C424" s="26"/>
      <c r="D424" s="26"/>
      <c r="F424" s="85" t="str">
        <f t="shared" si="0"/>
        <v/>
      </c>
      <c r="G424" s="1" t="e">
        <f>IF(VALUE(F424) = VALUE(RIGHT(Insights!$C$3, 4)), E424, "")</f>
        <v>#VALUE!</v>
      </c>
      <c r="H424" s="26" t="e">
        <f t="shared" si="1"/>
        <v>#VALUE!</v>
      </c>
      <c r="I424" s="1" t="e">
        <f t="shared" si="2"/>
        <v>#VALUE!</v>
      </c>
    </row>
    <row r="425" spans="1:9" ht="15.75" customHeight="1">
      <c r="A425" s="26"/>
      <c r="B425" s="2"/>
      <c r="C425" s="26"/>
      <c r="D425" s="26"/>
      <c r="F425" s="85" t="str">
        <f t="shared" si="0"/>
        <v/>
      </c>
      <c r="G425" s="1" t="e">
        <f>IF(VALUE(F425) = VALUE(RIGHT(Insights!$C$3, 4)), E425, "")</f>
        <v>#VALUE!</v>
      </c>
      <c r="H425" s="26" t="e">
        <f t="shared" si="1"/>
        <v>#VALUE!</v>
      </c>
      <c r="I425" s="1" t="e">
        <f t="shared" si="2"/>
        <v>#VALUE!</v>
      </c>
    </row>
    <row r="426" spans="1:9" ht="15.75" customHeight="1">
      <c r="A426" s="26"/>
      <c r="B426" s="2"/>
      <c r="C426" s="26"/>
      <c r="D426" s="26"/>
      <c r="F426" s="85" t="str">
        <f t="shared" si="0"/>
        <v/>
      </c>
      <c r="G426" s="1" t="e">
        <f>IF(VALUE(F426) = VALUE(RIGHT(Insights!$C$3, 4)), E426, "")</f>
        <v>#VALUE!</v>
      </c>
      <c r="H426" s="26" t="e">
        <f t="shared" si="1"/>
        <v>#VALUE!</v>
      </c>
      <c r="I426" s="1" t="e">
        <f t="shared" si="2"/>
        <v>#VALUE!</v>
      </c>
    </row>
    <row r="427" spans="1:9" ht="15.75" customHeight="1">
      <c r="A427" s="26"/>
      <c r="B427" s="2"/>
      <c r="C427" s="26"/>
      <c r="D427" s="26"/>
      <c r="F427" s="85" t="str">
        <f t="shared" si="0"/>
        <v/>
      </c>
      <c r="G427" s="1" t="e">
        <f>IF(VALUE(F427) = VALUE(RIGHT(Insights!$C$3, 4)), E427, "")</f>
        <v>#VALUE!</v>
      </c>
      <c r="H427" s="26" t="e">
        <f t="shared" si="1"/>
        <v>#VALUE!</v>
      </c>
      <c r="I427" s="1" t="e">
        <f t="shared" si="2"/>
        <v>#VALUE!</v>
      </c>
    </row>
    <row r="428" spans="1:9" ht="15.75" customHeight="1">
      <c r="A428" s="26"/>
      <c r="B428" s="2"/>
      <c r="C428" s="26"/>
      <c r="D428" s="26"/>
      <c r="F428" s="85" t="str">
        <f t="shared" si="0"/>
        <v/>
      </c>
      <c r="G428" s="1" t="e">
        <f>IF(VALUE(F428) = VALUE(RIGHT(Insights!$C$3, 4)), E428, "")</f>
        <v>#VALUE!</v>
      </c>
      <c r="H428" s="26" t="e">
        <f t="shared" si="1"/>
        <v>#VALUE!</v>
      </c>
      <c r="I428" s="1" t="e">
        <f t="shared" si="2"/>
        <v>#VALUE!</v>
      </c>
    </row>
    <row r="429" spans="1:9" ht="15.75" customHeight="1">
      <c r="A429" s="26"/>
      <c r="B429" s="2"/>
      <c r="C429" s="26"/>
      <c r="D429" s="26"/>
      <c r="F429" s="85" t="str">
        <f t="shared" si="0"/>
        <v/>
      </c>
      <c r="G429" s="1" t="e">
        <f>IF(VALUE(F429) = VALUE(RIGHT(Insights!$C$3, 4)), E429, "")</f>
        <v>#VALUE!</v>
      </c>
      <c r="H429" s="26" t="e">
        <f t="shared" si="1"/>
        <v>#VALUE!</v>
      </c>
      <c r="I429" s="1" t="e">
        <f t="shared" si="2"/>
        <v>#VALUE!</v>
      </c>
    </row>
    <row r="430" spans="1:9" ht="15.75" customHeight="1">
      <c r="A430" s="26"/>
      <c r="B430" s="2"/>
      <c r="C430" s="26"/>
      <c r="D430" s="26"/>
      <c r="F430" s="85" t="str">
        <f t="shared" si="0"/>
        <v/>
      </c>
      <c r="G430" s="1" t="e">
        <f>IF(VALUE(F430) = VALUE(RIGHT(Insights!$C$3, 4)), E430, "")</f>
        <v>#VALUE!</v>
      </c>
      <c r="H430" s="26" t="e">
        <f t="shared" si="1"/>
        <v>#VALUE!</v>
      </c>
      <c r="I430" s="1" t="e">
        <f t="shared" si="2"/>
        <v>#VALUE!</v>
      </c>
    </row>
    <row r="431" spans="1:9" ht="15.75" customHeight="1">
      <c r="A431" s="26"/>
      <c r="B431" s="2"/>
      <c r="C431" s="26"/>
      <c r="D431" s="26"/>
      <c r="F431" s="85" t="str">
        <f t="shared" si="0"/>
        <v/>
      </c>
      <c r="G431" s="1" t="e">
        <f>IF(VALUE(F431) = VALUE(RIGHT(Insights!$C$3, 4)), E431, "")</f>
        <v>#VALUE!</v>
      </c>
      <c r="H431" s="26" t="e">
        <f t="shared" si="1"/>
        <v>#VALUE!</v>
      </c>
      <c r="I431" s="1" t="e">
        <f t="shared" si="2"/>
        <v>#VALUE!</v>
      </c>
    </row>
    <row r="432" spans="1:9" ht="15.75" customHeight="1">
      <c r="A432" s="26"/>
      <c r="B432" s="2"/>
      <c r="C432" s="26"/>
      <c r="D432" s="26"/>
      <c r="F432" s="85" t="str">
        <f t="shared" si="0"/>
        <v/>
      </c>
      <c r="G432" s="1" t="e">
        <f>IF(VALUE(F432) = VALUE(RIGHT(Insights!$C$3, 4)), E432, "")</f>
        <v>#VALUE!</v>
      </c>
      <c r="H432" s="26" t="e">
        <f t="shared" si="1"/>
        <v>#VALUE!</v>
      </c>
      <c r="I432" s="1" t="e">
        <f t="shared" si="2"/>
        <v>#VALUE!</v>
      </c>
    </row>
    <row r="433" spans="1:9" ht="15.75" customHeight="1">
      <c r="A433" s="26"/>
      <c r="B433" s="2"/>
      <c r="C433" s="26"/>
      <c r="D433" s="26"/>
      <c r="F433" s="85" t="str">
        <f t="shared" si="0"/>
        <v/>
      </c>
      <c r="G433" s="1" t="e">
        <f>IF(VALUE(F433) = VALUE(RIGHT(Insights!$C$3, 4)), E433, "")</f>
        <v>#VALUE!</v>
      </c>
      <c r="H433" s="26" t="e">
        <f t="shared" si="1"/>
        <v>#VALUE!</v>
      </c>
      <c r="I433" s="1" t="e">
        <f t="shared" si="2"/>
        <v>#VALUE!</v>
      </c>
    </row>
    <row r="434" spans="1:9" ht="15.75" customHeight="1">
      <c r="A434" s="26"/>
      <c r="B434" s="2"/>
      <c r="C434" s="26"/>
      <c r="D434" s="26"/>
      <c r="F434" s="85" t="str">
        <f t="shared" si="0"/>
        <v/>
      </c>
      <c r="G434" s="1" t="e">
        <f>IF(VALUE(F434) = VALUE(RIGHT(Insights!$C$3, 4)), E434, "")</f>
        <v>#VALUE!</v>
      </c>
      <c r="H434" s="26" t="e">
        <f t="shared" si="1"/>
        <v>#VALUE!</v>
      </c>
      <c r="I434" s="1" t="e">
        <f t="shared" si="2"/>
        <v>#VALUE!</v>
      </c>
    </row>
    <row r="435" spans="1:9" ht="15.75" customHeight="1">
      <c r="A435" s="26"/>
      <c r="B435" s="2"/>
      <c r="C435" s="26"/>
      <c r="D435" s="26"/>
      <c r="F435" s="85" t="str">
        <f t="shared" si="0"/>
        <v/>
      </c>
      <c r="G435" s="1" t="e">
        <f>IF(VALUE(F435) = VALUE(RIGHT(Insights!$C$3, 4)), E435, "")</f>
        <v>#VALUE!</v>
      </c>
      <c r="H435" s="26" t="e">
        <f t="shared" si="1"/>
        <v>#VALUE!</v>
      </c>
      <c r="I435" s="1" t="e">
        <f t="shared" si="2"/>
        <v>#VALUE!</v>
      </c>
    </row>
    <row r="436" spans="1:9" ht="15.75" customHeight="1">
      <c r="A436" s="26"/>
      <c r="B436" s="2"/>
      <c r="C436" s="26"/>
      <c r="D436" s="26"/>
      <c r="F436" s="85" t="str">
        <f t="shared" si="0"/>
        <v/>
      </c>
      <c r="G436" s="1" t="e">
        <f>IF(VALUE(F436) = VALUE(RIGHT(Insights!$C$3, 4)), E436, "")</f>
        <v>#VALUE!</v>
      </c>
      <c r="H436" s="26" t="e">
        <f t="shared" si="1"/>
        <v>#VALUE!</v>
      </c>
      <c r="I436" s="1" t="e">
        <f t="shared" si="2"/>
        <v>#VALUE!</v>
      </c>
    </row>
    <row r="437" spans="1:9" ht="15.75" customHeight="1">
      <c r="A437" s="26"/>
      <c r="B437" s="2"/>
      <c r="C437" s="26"/>
      <c r="D437" s="26"/>
      <c r="F437" s="85" t="str">
        <f t="shared" si="0"/>
        <v/>
      </c>
      <c r="G437" s="1" t="e">
        <f>IF(VALUE(F437) = VALUE(RIGHT(Insights!$C$3, 4)), E437, "")</f>
        <v>#VALUE!</v>
      </c>
      <c r="H437" s="26" t="e">
        <f t="shared" si="1"/>
        <v>#VALUE!</v>
      </c>
      <c r="I437" s="1" t="e">
        <f t="shared" si="2"/>
        <v>#VALUE!</v>
      </c>
    </row>
    <row r="438" spans="1:9" ht="15.75" customHeight="1">
      <c r="A438" s="26"/>
      <c r="B438" s="2"/>
      <c r="C438" s="26"/>
      <c r="D438" s="26"/>
      <c r="F438" s="85" t="str">
        <f t="shared" si="0"/>
        <v/>
      </c>
      <c r="G438" s="1" t="e">
        <f>IF(VALUE(F438) = VALUE(RIGHT(Insights!$C$3, 4)), E438, "")</f>
        <v>#VALUE!</v>
      </c>
      <c r="H438" s="26" t="e">
        <f t="shared" si="1"/>
        <v>#VALUE!</v>
      </c>
      <c r="I438" s="1" t="e">
        <f t="shared" si="2"/>
        <v>#VALUE!</v>
      </c>
    </row>
    <row r="439" spans="1:9" ht="15.75" customHeight="1">
      <c r="A439" s="26"/>
      <c r="B439" s="2"/>
      <c r="C439" s="26"/>
      <c r="D439" s="26"/>
      <c r="F439" s="85" t="str">
        <f t="shared" si="0"/>
        <v/>
      </c>
      <c r="G439" s="1" t="e">
        <f>IF(VALUE(F439) = VALUE(RIGHT(Insights!$C$3, 4)), E439, "")</f>
        <v>#VALUE!</v>
      </c>
      <c r="H439" s="26" t="e">
        <f t="shared" si="1"/>
        <v>#VALUE!</v>
      </c>
      <c r="I439" s="1" t="e">
        <f t="shared" si="2"/>
        <v>#VALUE!</v>
      </c>
    </row>
    <row r="440" spans="1:9" ht="15.75" customHeight="1">
      <c r="A440" s="26"/>
      <c r="B440" s="2"/>
      <c r="C440" s="26"/>
      <c r="D440" s="26"/>
      <c r="F440" s="85" t="str">
        <f t="shared" si="0"/>
        <v/>
      </c>
      <c r="G440" s="1" t="e">
        <f>IF(VALUE(F440) = VALUE(RIGHT(Insights!$C$3, 4)), E440, "")</f>
        <v>#VALUE!</v>
      </c>
      <c r="H440" s="26" t="e">
        <f t="shared" si="1"/>
        <v>#VALUE!</v>
      </c>
      <c r="I440" s="1" t="e">
        <f t="shared" si="2"/>
        <v>#VALUE!</v>
      </c>
    </row>
    <row r="441" spans="1:9" ht="15.75" customHeight="1">
      <c r="A441" s="26"/>
      <c r="B441" s="2"/>
      <c r="C441" s="26"/>
      <c r="D441" s="26"/>
      <c r="F441" s="85" t="str">
        <f t="shared" si="0"/>
        <v/>
      </c>
      <c r="G441" s="1" t="e">
        <f>IF(VALUE(F441) = VALUE(RIGHT(Insights!$C$3, 4)), E441, "")</f>
        <v>#VALUE!</v>
      </c>
      <c r="H441" s="26" t="e">
        <f t="shared" si="1"/>
        <v>#VALUE!</v>
      </c>
      <c r="I441" s="1" t="e">
        <f t="shared" si="2"/>
        <v>#VALUE!</v>
      </c>
    </row>
    <row r="442" spans="1:9" ht="15.75" customHeight="1">
      <c r="A442" s="26"/>
      <c r="B442" s="2"/>
      <c r="C442" s="26"/>
      <c r="D442" s="26"/>
      <c r="F442" s="85" t="str">
        <f t="shared" si="0"/>
        <v/>
      </c>
      <c r="G442" s="1" t="e">
        <f>IF(VALUE(F442) = VALUE(RIGHT(Insights!$C$3, 4)), E442, "")</f>
        <v>#VALUE!</v>
      </c>
      <c r="H442" s="26" t="e">
        <f t="shared" si="1"/>
        <v>#VALUE!</v>
      </c>
      <c r="I442" s="1" t="e">
        <f t="shared" si="2"/>
        <v>#VALUE!</v>
      </c>
    </row>
    <row r="443" spans="1:9" ht="15.75" customHeight="1">
      <c r="A443" s="26"/>
      <c r="B443" s="2"/>
      <c r="C443" s="26"/>
      <c r="D443" s="26"/>
      <c r="F443" s="85" t="str">
        <f t="shared" si="0"/>
        <v/>
      </c>
      <c r="G443" s="1" t="e">
        <f>IF(VALUE(F443) = VALUE(RIGHT(Insights!$C$3, 4)), E443, "")</f>
        <v>#VALUE!</v>
      </c>
      <c r="H443" s="26" t="e">
        <f t="shared" si="1"/>
        <v>#VALUE!</v>
      </c>
      <c r="I443" s="1" t="e">
        <f t="shared" si="2"/>
        <v>#VALUE!</v>
      </c>
    </row>
    <row r="444" spans="1:9" ht="15.75" customHeight="1">
      <c r="A444" s="26"/>
      <c r="B444" s="2"/>
      <c r="C444" s="26"/>
      <c r="D444" s="26"/>
      <c r="F444" s="85" t="str">
        <f t="shared" si="0"/>
        <v/>
      </c>
      <c r="G444" s="1" t="e">
        <f>IF(VALUE(F444) = VALUE(RIGHT(Insights!$C$3, 4)), E444, "")</f>
        <v>#VALUE!</v>
      </c>
      <c r="H444" s="26" t="e">
        <f t="shared" si="1"/>
        <v>#VALUE!</v>
      </c>
      <c r="I444" s="1" t="e">
        <f t="shared" si="2"/>
        <v>#VALUE!</v>
      </c>
    </row>
    <row r="445" spans="1:9" ht="15.75" customHeight="1">
      <c r="A445" s="26"/>
      <c r="B445" s="2"/>
      <c r="C445" s="26"/>
      <c r="D445" s="26"/>
      <c r="F445" s="85" t="str">
        <f t="shared" si="0"/>
        <v/>
      </c>
      <c r="G445" s="1" t="e">
        <f>IF(VALUE(F445) = VALUE(RIGHT(Insights!$C$3, 4)), E445, "")</f>
        <v>#VALUE!</v>
      </c>
      <c r="H445" s="26" t="e">
        <f t="shared" si="1"/>
        <v>#VALUE!</v>
      </c>
      <c r="I445" s="1" t="e">
        <f t="shared" si="2"/>
        <v>#VALUE!</v>
      </c>
    </row>
    <row r="446" spans="1:9" ht="15.75" customHeight="1">
      <c r="A446" s="26"/>
      <c r="B446" s="2"/>
      <c r="C446" s="26"/>
      <c r="D446" s="26"/>
      <c r="F446" s="85" t="str">
        <f t="shared" si="0"/>
        <v/>
      </c>
      <c r="G446" s="1" t="e">
        <f>IF(VALUE(F446) = VALUE(RIGHT(Insights!$C$3, 4)), E446, "")</f>
        <v>#VALUE!</v>
      </c>
      <c r="H446" s="26" t="e">
        <f t="shared" si="1"/>
        <v>#VALUE!</v>
      </c>
      <c r="I446" s="1" t="e">
        <f t="shared" si="2"/>
        <v>#VALUE!</v>
      </c>
    </row>
    <row r="447" spans="1:9" ht="15.75" customHeight="1">
      <c r="A447" s="26"/>
      <c r="B447" s="2"/>
      <c r="C447" s="26"/>
      <c r="D447" s="26"/>
      <c r="F447" s="85" t="str">
        <f t="shared" si="0"/>
        <v/>
      </c>
      <c r="G447" s="1" t="e">
        <f>IF(VALUE(F447) = VALUE(RIGHT(Insights!$C$3, 4)), E447, "")</f>
        <v>#VALUE!</v>
      </c>
      <c r="H447" s="26" t="e">
        <f t="shared" si="1"/>
        <v>#VALUE!</v>
      </c>
      <c r="I447" s="1" t="e">
        <f t="shared" si="2"/>
        <v>#VALUE!</v>
      </c>
    </row>
    <row r="448" spans="1:9" ht="15.75" customHeight="1">
      <c r="A448" s="26"/>
      <c r="B448" s="2"/>
      <c r="C448" s="26"/>
      <c r="D448" s="26"/>
      <c r="F448" s="85" t="str">
        <f t="shared" si="0"/>
        <v/>
      </c>
      <c r="G448" s="1" t="e">
        <f>IF(VALUE(F448) = VALUE(RIGHT(Insights!$C$3, 4)), E448, "")</f>
        <v>#VALUE!</v>
      </c>
      <c r="H448" s="26" t="e">
        <f t="shared" si="1"/>
        <v>#VALUE!</v>
      </c>
      <c r="I448" s="1" t="e">
        <f t="shared" si="2"/>
        <v>#VALUE!</v>
      </c>
    </row>
    <row r="449" spans="1:9" ht="15.75" customHeight="1">
      <c r="A449" s="26"/>
      <c r="B449" s="2"/>
      <c r="C449" s="26"/>
      <c r="D449" s="26"/>
      <c r="F449" s="85" t="str">
        <f t="shared" si="0"/>
        <v/>
      </c>
      <c r="G449" s="1" t="e">
        <f>IF(VALUE(F449) = VALUE(RIGHT(Insights!$C$3, 4)), E449, "")</f>
        <v>#VALUE!</v>
      </c>
      <c r="H449" s="26" t="e">
        <f t="shared" si="1"/>
        <v>#VALUE!</v>
      </c>
      <c r="I449" s="1" t="e">
        <f t="shared" si="2"/>
        <v>#VALUE!</v>
      </c>
    </row>
    <row r="450" spans="1:9" ht="15.75" customHeight="1">
      <c r="A450" s="26"/>
      <c r="B450" s="2"/>
      <c r="C450" s="26"/>
      <c r="D450" s="26"/>
      <c r="F450" s="85" t="str">
        <f t="shared" si="0"/>
        <v/>
      </c>
      <c r="G450" s="1" t="e">
        <f>IF(VALUE(F450) = VALUE(RIGHT(Insights!$C$3, 4)), E450, "")</f>
        <v>#VALUE!</v>
      </c>
      <c r="H450" s="26" t="e">
        <f t="shared" si="1"/>
        <v>#VALUE!</v>
      </c>
      <c r="I450" s="1" t="e">
        <f t="shared" si="2"/>
        <v>#VALUE!</v>
      </c>
    </row>
    <row r="451" spans="1:9" ht="15.75" customHeight="1">
      <c r="A451" s="26"/>
      <c r="B451" s="2"/>
      <c r="C451" s="26"/>
      <c r="D451" s="26"/>
      <c r="F451" s="85" t="str">
        <f t="shared" si="0"/>
        <v/>
      </c>
      <c r="G451" s="1" t="e">
        <f>IF(VALUE(F451) = VALUE(RIGHT(Insights!$C$3, 4)), E451, "")</f>
        <v>#VALUE!</v>
      </c>
      <c r="H451" s="26" t="e">
        <f t="shared" si="1"/>
        <v>#VALUE!</v>
      </c>
      <c r="I451" s="1" t="e">
        <f t="shared" si="2"/>
        <v>#VALUE!</v>
      </c>
    </row>
    <row r="452" spans="1:9" ht="15.75" customHeight="1">
      <c r="A452" s="26"/>
      <c r="B452" s="2"/>
      <c r="C452" s="26"/>
      <c r="D452" s="26"/>
      <c r="F452" s="85" t="str">
        <f t="shared" si="0"/>
        <v/>
      </c>
      <c r="G452" s="1" t="e">
        <f>IF(VALUE(F452) = VALUE(RIGHT(Insights!$C$3, 4)), E452, "")</f>
        <v>#VALUE!</v>
      </c>
      <c r="H452" s="26" t="e">
        <f t="shared" si="1"/>
        <v>#VALUE!</v>
      </c>
      <c r="I452" s="1" t="e">
        <f t="shared" si="2"/>
        <v>#VALUE!</v>
      </c>
    </row>
    <row r="453" spans="1:9" ht="15.75" customHeight="1">
      <c r="A453" s="26"/>
      <c r="B453" s="2"/>
      <c r="C453" s="26"/>
      <c r="D453" s="26"/>
      <c r="F453" s="85" t="str">
        <f t="shared" si="0"/>
        <v/>
      </c>
      <c r="G453" s="1" t="e">
        <f>IF(VALUE(F453) = VALUE(RIGHT(Insights!$C$3, 4)), E453, "")</f>
        <v>#VALUE!</v>
      </c>
      <c r="H453" s="26" t="e">
        <f t="shared" si="1"/>
        <v>#VALUE!</v>
      </c>
      <c r="I453" s="1" t="e">
        <f t="shared" si="2"/>
        <v>#VALUE!</v>
      </c>
    </row>
    <row r="454" spans="1:9" ht="15.75" customHeight="1">
      <c r="A454" s="26"/>
      <c r="B454" s="2"/>
      <c r="C454" s="26"/>
      <c r="D454" s="26"/>
      <c r="F454" s="85" t="str">
        <f t="shared" si="0"/>
        <v/>
      </c>
      <c r="G454" s="1" t="e">
        <f>IF(VALUE(F454) = VALUE(RIGHT(Insights!$C$3, 4)), E454, "")</f>
        <v>#VALUE!</v>
      </c>
      <c r="H454" s="26" t="e">
        <f t="shared" si="1"/>
        <v>#VALUE!</v>
      </c>
      <c r="I454" s="1" t="e">
        <f t="shared" si="2"/>
        <v>#VALUE!</v>
      </c>
    </row>
    <row r="455" spans="1:9" ht="15.75" customHeight="1">
      <c r="A455" s="26"/>
      <c r="B455" s="2"/>
      <c r="C455" s="26"/>
      <c r="D455" s="26"/>
      <c r="F455" s="85" t="str">
        <f t="shared" si="0"/>
        <v/>
      </c>
      <c r="G455" s="1" t="e">
        <f>IF(VALUE(F455) = VALUE(RIGHT(Insights!$C$3, 4)), E455, "")</f>
        <v>#VALUE!</v>
      </c>
      <c r="H455" s="26" t="e">
        <f t="shared" si="1"/>
        <v>#VALUE!</v>
      </c>
      <c r="I455" s="1" t="e">
        <f t="shared" si="2"/>
        <v>#VALUE!</v>
      </c>
    </row>
    <row r="456" spans="1:9" ht="15.75" customHeight="1">
      <c r="A456" s="26"/>
      <c r="B456" s="2"/>
      <c r="C456" s="26"/>
      <c r="D456" s="26"/>
      <c r="F456" s="85" t="str">
        <f t="shared" si="0"/>
        <v/>
      </c>
      <c r="G456" s="1" t="e">
        <f>IF(VALUE(F456) = VALUE(RIGHT(Insights!$C$3, 4)), E456, "")</f>
        <v>#VALUE!</v>
      </c>
      <c r="H456" s="26" t="e">
        <f t="shared" si="1"/>
        <v>#VALUE!</v>
      </c>
      <c r="I456" s="1" t="e">
        <f t="shared" si="2"/>
        <v>#VALUE!</v>
      </c>
    </row>
    <row r="457" spans="1:9" ht="15.75" customHeight="1">
      <c r="A457" s="26"/>
      <c r="B457" s="2"/>
      <c r="C457" s="26"/>
      <c r="D457" s="26"/>
      <c r="F457" s="85" t="str">
        <f t="shared" si="0"/>
        <v/>
      </c>
      <c r="G457" s="1" t="e">
        <f>IF(VALUE(F457) = VALUE(RIGHT(Insights!$C$3, 4)), E457, "")</f>
        <v>#VALUE!</v>
      </c>
      <c r="H457" s="26" t="e">
        <f t="shared" si="1"/>
        <v>#VALUE!</v>
      </c>
      <c r="I457" s="1" t="e">
        <f t="shared" si="2"/>
        <v>#VALUE!</v>
      </c>
    </row>
    <row r="458" spans="1:9" ht="15.75" customHeight="1">
      <c r="A458" s="26"/>
      <c r="B458" s="2"/>
      <c r="C458" s="26"/>
      <c r="D458" s="26"/>
      <c r="F458" s="85" t="str">
        <f t="shared" si="0"/>
        <v/>
      </c>
      <c r="G458" s="1" t="e">
        <f>IF(VALUE(F458) = VALUE(RIGHT(Insights!$C$3, 4)), E458, "")</f>
        <v>#VALUE!</v>
      </c>
      <c r="H458" s="26" t="e">
        <f t="shared" si="1"/>
        <v>#VALUE!</v>
      </c>
      <c r="I458" s="1" t="e">
        <f t="shared" si="2"/>
        <v>#VALUE!</v>
      </c>
    </row>
    <row r="459" spans="1:9" ht="15.75" customHeight="1">
      <c r="A459" s="26"/>
      <c r="B459" s="2"/>
      <c r="C459" s="26"/>
      <c r="D459" s="26"/>
      <c r="F459" s="85" t="str">
        <f t="shared" si="0"/>
        <v/>
      </c>
      <c r="G459" s="1" t="e">
        <f>IF(VALUE(F459) = VALUE(RIGHT(Insights!$C$3, 4)), E459, "")</f>
        <v>#VALUE!</v>
      </c>
      <c r="H459" s="26" t="e">
        <f t="shared" si="1"/>
        <v>#VALUE!</v>
      </c>
      <c r="I459" s="1" t="e">
        <f t="shared" si="2"/>
        <v>#VALUE!</v>
      </c>
    </row>
    <row r="460" spans="1:9" ht="15.75" customHeight="1">
      <c r="A460" s="26"/>
      <c r="B460" s="2"/>
      <c r="C460" s="26"/>
      <c r="D460" s="26"/>
      <c r="F460" s="85" t="str">
        <f t="shared" si="0"/>
        <v/>
      </c>
      <c r="G460" s="1" t="e">
        <f>IF(VALUE(F460) = VALUE(RIGHT(Insights!$C$3, 4)), E460, "")</f>
        <v>#VALUE!</v>
      </c>
      <c r="H460" s="26" t="e">
        <f t="shared" si="1"/>
        <v>#VALUE!</v>
      </c>
      <c r="I460" s="1" t="e">
        <f t="shared" si="2"/>
        <v>#VALUE!</v>
      </c>
    </row>
    <row r="461" spans="1:9" ht="15.75" customHeight="1">
      <c r="A461" s="26"/>
      <c r="B461" s="2"/>
      <c r="C461" s="26"/>
      <c r="D461" s="26"/>
      <c r="F461" s="85" t="str">
        <f t="shared" si="0"/>
        <v/>
      </c>
      <c r="G461" s="1" t="e">
        <f>IF(VALUE(F461) = VALUE(RIGHT(Insights!$C$3, 4)), E461, "")</f>
        <v>#VALUE!</v>
      </c>
      <c r="H461" s="26" t="e">
        <f t="shared" si="1"/>
        <v>#VALUE!</v>
      </c>
      <c r="I461" s="1" t="e">
        <f t="shared" si="2"/>
        <v>#VALUE!</v>
      </c>
    </row>
    <row r="462" spans="1:9" ht="15.75" customHeight="1">
      <c r="A462" s="26"/>
      <c r="B462" s="2"/>
      <c r="C462" s="26"/>
      <c r="D462" s="26"/>
      <c r="F462" s="85" t="str">
        <f t="shared" si="0"/>
        <v/>
      </c>
      <c r="G462" s="1" t="e">
        <f>IF(VALUE(F462) = VALUE(RIGHT(Insights!$C$3, 4)), E462, "")</f>
        <v>#VALUE!</v>
      </c>
      <c r="H462" s="26" t="e">
        <f t="shared" si="1"/>
        <v>#VALUE!</v>
      </c>
      <c r="I462" s="1" t="e">
        <f t="shared" si="2"/>
        <v>#VALUE!</v>
      </c>
    </row>
    <row r="463" spans="1:9" ht="15.75" customHeight="1">
      <c r="A463" s="26"/>
      <c r="B463" s="2"/>
      <c r="C463" s="26"/>
      <c r="D463" s="26"/>
      <c r="F463" s="85" t="str">
        <f t="shared" si="0"/>
        <v/>
      </c>
      <c r="G463" s="1" t="e">
        <f>IF(VALUE(F463) = VALUE(RIGHT(Insights!$C$3, 4)), E463, "")</f>
        <v>#VALUE!</v>
      </c>
      <c r="H463" s="26" t="e">
        <f t="shared" si="1"/>
        <v>#VALUE!</v>
      </c>
      <c r="I463" s="1" t="e">
        <f t="shared" si="2"/>
        <v>#VALUE!</v>
      </c>
    </row>
    <row r="464" spans="1:9" ht="15.75" customHeight="1">
      <c r="A464" s="26"/>
      <c r="B464" s="2"/>
      <c r="C464" s="26"/>
      <c r="D464" s="26"/>
      <c r="F464" s="85" t="str">
        <f t="shared" si="0"/>
        <v/>
      </c>
      <c r="G464" s="1" t="e">
        <f>IF(VALUE(F464) = VALUE(RIGHT(Insights!$C$3, 4)), E464, "")</f>
        <v>#VALUE!</v>
      </c>
      <c r="H464" s="26" t="e">
        <f t="shared" si="1"/>
        <v>#VALUE!</v>
      </c>
      <c r="I464" s="1" t="e">
        <f t="shared" si="2"/>
        <v>#VALUE!</v>
      </c>
    </row>
    <row r="465" spans="1:9" ht="15.75" customHeight="1">
      <c r="A465" s="26"/>
      <c r="B465" s="2"/>
      <c r="C465" s="26"/>
      <c r="D465" s="26"/>
      <c r="F465" s="85" t="str">
        <f t="shared" si="0"/>
        <v/>
      </c>
      <c r="G465" s="1" t="e">
        <f>IF(VALUE(F465) = VALUE(RIGHT(Insights!$C$3, 4)), E465, "")</f>
        <v>#VALUE!</v>
      </c>
      <c r="H465" s="26" t="e">
        <f t="shared" si="1"/>
        <v>#VALUE!</v>
      </c>
      <c r="I465" s="1" t="e">
        <f t="shared" si="2"/>
        <v>#VALUE!</v>
      </c>
    </row>
    <row r="466" spans="1:9" ht="15.75" customHeight="1">
      <c r="A466" s="26"/>
      <c r="B466" s="2"/>
      <c r="C466" s="26"/>
      <c r="D466" s="26"/>
      <c r="F466" s="85" t="str">
        <f t="shared" si="0"/>
        <v/>
      </c>
      <c r="G466" s="1" t="e">
        <f>IF(VALUE(F466) = VALUE(RIGHT(Insights!$C$3, 4)), E466, "")</f>
        <v>#VALUE!</v>
      </c>
      <c r="H466" s="26" t="e">
        <f t="shared" si="1"/>
        <v>#VALUE!</v>
      </c>
      <c r="I466" s="1" t="e">
        <f t="shared" si="2"/>
        <v>#VALUE!</v>
      </c>
    </row>
    <row r="467" spans="1:9" ht="15.75" customHeight="1">
      <c r="A467" s="26"/>
      <c r="B467" s="2"/>
      <c r="C467" s="26"/>
      <c r="D467" s="26"/>
      <c r="F467" s="85" t="str">
        <f t="shared" si="0"/>
        <v/>
      </c>
      <c r="G467" s="1" t="e">
        <f>IF(VALUE(F467) = VALUE(RIGHT(Insights!$C$3, 4)), E467, "")</f>
        <v>#VALUE!</v>
      </c>
      <c r="H467" s="26" t="e">
        <f t="shared" si="1"/>
        <v>#VALUE!</v>
      </c>
      <c r="I467" s="1" t="e">
        <f t="shared" si="2"/>
        <v>#VALUE!</v>
      </c>
    </row>
    <row r="468" spans="1:9" ht="15.75" customHeight="1">
      <c r="A468" s="26"/>
      <c r="B468" s="2"/>
      <c r="C468" s="26"/>
      <c r="D468" s="26"/>
      <c r="F468" s="85" t="str">
        <f t="shared" si="0"/>
        <v/>
      </c>
      <c r="G468" s="1" t="e">
        <f>IF(VALUE(F468) = VALUE(RIGHT(Insights!$C$3, 4)), E468, "")</f>
        <v>#VALUE!</v>
      </c>
      <c r="H468" s="26" t="e">
        <f t="shared" si="1"/>
        <v>#VALUE!</v>
      </c>
      <c r="I468" s="1" t="e">
        <f t="shared" si="2"/>
        <v>#VALUE!</v>
      </c>
    </row>
    <row r="469" spans="1:9" ht="15.75" customHeight="1">
      <c r="A469" s="26"/>
      <c r="B469" s="2"/>
      <c r="C469" s="26"/>
      <c r="D469" s="26"/>
      <c r="F469" s="85" t="str">
        <f t="shared" si="0"/>
        <v/>
      </c>
      <c r="G469" s="1" t="e">
        <f>IF(VALUE(F469) = VALUE(RIGHT(Insights!$C$3, 4)), E469, "")</f>
        <v>#VALUE!</v>
      </c>
      <c r="H469" s="26" t="e">
        <f t="shared" si="1"/>
        <v>#VALUE!</v>
      </c>
      <c r="I469" s="1" t="e">
        <f t="shared" si="2"/>
        <v>#VALUE!</v>
      </c>
    </row>
    <row r="470" spans="1:9" ht="15.75" customHeight="1">
      <c r="A470" s="26"/>
      <c r="B470" s="2"/>
      <c r="C470" s="26"/>
      <c r="D470" s="26"/>
      <c r="F470" s="85" t="str">
        <f t="shared" si="0"/>
        <v/>
      </c>
      <c r="G470" s="1" t="e">
        <f>IF(VALUE(F470) = VALUE(RIGHT(Insights!$C$3, 4)), E470, "")</f>
        <v>#VALUE!</v>
      </c>
      <c r="H470" s="26" t="e">
        <f t="shared" si="1"/>
        <v>#VALUE!</v>
      </c>
      <c r="I470" s="1" t="e">
        <f t="shared" si="2"/>
        <v>#VALUE!</v>
      </c>
    </row>
    <row r="471" spans="1:9" ht="15.75" customHeight="1">
      <c r="A471" s="26"/>
      <c r="B471" s="2"/>
      <c r="C471" s="26"/>
      <c r="D471" s="26"/>
      <c r="F471" s="85" t="str">
        <f t="shared" si="0"/>
        <v/>
      </c>
      <c r="G471" s="1" t="e">
        <f>IF(VALUE(F471) = VALUE(RIGHT(Insights!$C$3, 4)), E471, "")</f>
        <v>#VALUE!</v>
      </c>
      <c r="H471" s="26" t="e">
        <f t="shared" si="1"/>
        <v>#VALUE!</v>
      </c>
      <c r="I471" s="1" t="e">
        <f t="shared" si="2"/>
        <v>#VALUE!</v>
      </c>
    </row>
    <row r="472" spans="1:9" ht="15.75" customHeight="1">
      <c r="A472" s="26"/>
      <c r="B472" s="2"/>
      <c r="C472" s="26"/>
      <c r="D472" s="26"/>
      <c r="F472" s="85" t="str">
        <f t="shared" si="0"/>
        <v/>
      </c>
      <c r="G472" s="1" t="e">
        <f>IF(VALUE(F472) = VALUE(RIGHT(Insights!$C$3, 4)), E472, "")</f>
        <v>#VALUE!</v>
      </c>
      <c r="H472" s="26" t="e">
        <f t="shared" si="1"/>
        <v>#VALUE!</v>
      </c>
      <c r="I472" s="1" t="e">
        <f t="shared" si="2"/>
        <v>#VALUE!</v>
      </c>
    </row>
    <row r="473" spans="1:9" ht="15.75" customHeight="1">
      <c r="A473" s="26"/>
      <c r="B473" s="2"/>
      <c r="C473" s="26"/>
      <c r="D473" s="26"/>
      <c r="F473" s="85" t="str">
        <f t="shared" si="0"/>
        <v/>
      </c>
      <c r="G473" s="1" t="e">
        <f>IF(VALUE(F473) = VALUE(RIGHT(Insights!$C$3, 4)), E473, "")</f>
        <v>#VALUE!</v>
      </c>
      <c r="H473" s="26" t="e">
        <f t="shared" si="1"/>
        <v>#VALUE!</v>
      </c>
      <c r="I473" s="1" t="e">
        <f t="shared" si="2"/>
        <v>#VALUE!</v>
      </c>
    </row>
    <row r="474" spans="1:9" ht="15.75" customHeight="1">
      <c r="A474" s="26"/>
      <c r="B474" s="2"/>
      <c r="C474" s="26"/>
      <c r="D474" s="26"/>
      <c r="F474" s="85" t="str">
        <f t="shared" si="0"/>
        <v/>
      </c>
      <c r="G474" s="1" t="e">
        <f>IF(VALUE(F474) = VALUE(RIGHT(Insights!$C$3, 4)), E474, "")</f>
        <v>#VALUE!</v>
      </c>
      <c r="H474" s="26" t="e">
        <f t="shared" si="1"/>
        <v>#VALUE!</v>
      </c>
      <c r="I474" s="1" t="e">
        <f t="shared" si="2"/>
        <v>#VALUE!</v>
      </c>
    </row>
    <row r="475" spans="1:9" ht="15.75" customHeight="1">
      <c r="A475" s="26"/>
      <c r="B475" s="2"/>
      <c r="C475" s="26"/>
      <c r="D475" s="26"/>
      <c r="F475" s="85" t="str">
        <f t="shared" si="0"/>
        <v/>
      </c>
      <c r="G475" s="1" t="e">
        <f>IF(VALUE(F475) = VALUE(RIGHT(Insights!$C$3, 4)), E475, "")</f>
        <v>#VALUE!</v>
      </c>
      <c r="H475" s="26" t="e">
        <f t="shared" si="1"/>
        <v>#VALUE!</v>
      </c>
      <c r="I475" s="1" t="e">
        <f t="shared" si="2"/>
        <v>#VALUE!</v>
      </c>
    </row>
    <row r="476" spans="1:9" ht="15.75" customHeight="1">
      <c r="A476" s="26"/>
      <c r="B476" s="2"/>
      <c r="C476" s="26"/>
      <c r="D476" s="26"/>
      <c r="F476" s="85" t="str">
        <f t="shared" si="0"/>
        <v/>
      </c>
      <c r="G476" s="1" t="e">
        <f>IF(VALUE(F476) = VALUE(RIGHT(Insights!$C$3, 4)), E476, "")</f>
        <v>#VALUE!</v>
      </c>
      <c r="H476" s="26" t="e">
        <f t="shared" si="1"/>
        <v>#VALUE!</v>
      </c>
      <c r="I476" s="1" t="e">
        <f t="shared" si="2"/>
        <v>#VALUE!</v>
      </c>
    </row>
    <row r="477" spans="1:9" ht="15.75" customHeight="1">
      <c r="A477" s="26"/>
      <c r="B477" s="2"/>
      <c r="C477" s="26"/>
      <c r="D477" s="26"/>
      <c r="F477" s="85" t="str">
        <f t="shared" si="0"/>
        <v/>
      </c>
      <c r="G477" s="1" t="e">
        <f>IF(VALUE(F477) = VALUE(RIGHT(Insights!$C$3, 4)), E477, "")</f>
        <v>#VALUE!</v>
      </c>
      <c r="H477" s="26" t="e">
        <f t="shared" si="1"/>
        <v>#VALUE!</v>
      </c>
      <c r="I477" s="1" t="e">
        <f t="shared" si="2"/>
        <v>#VALUE!</v>
      </c>
    </row>
    <row r="478" spans="1:9" ht="15.75" customHeight="1">
      <c r="A478" s="26"/>
      <c r="B478" s="2"/>
      <c r="C478" s="26"/>
      <c r="D478" s="26"/>
      <c r="F478" s="85" t="str">
        <f t="shared" si="0"/>
        <v/>
      </c>
      <c r="G478" s="1" t="e">
        <f>IF(VALUE(F478) = VALUE(RIGHT(Insights!$C$3, 4)), E478, "")</f>
        <v>#VALUE!</v>
      </c>
      <c r="H478" s="26" t="e">
        <f t="shared" si="1"/>
        <v>#VALUE!</v>
      </c>
      <c r="I478" s="1" t="e">
        <f t="shared" si="2"/>
        <v>#VALUE!</v>
      </c>
    </row>
    <row r="479" spans="1:9" ht="15.75" customHeight="1">
      <c r="A479" s="26"/>
      <c r="B479" s="2"/>
      <c r="C479" s="26"/>
      <c r="D479" s="26"/>
      <c r="F479" s="85" t="str">
        <f t="shared" si="0"/>
        <v/>
      </c>
      <c r="G479" s="1" t="e">
        <f>IF(VALUE(F479) = VALUE(RIGHT(Insights!$C$3, 4)), E479, "")</f>
        <v>#VALUE!</v>
      </c>
      <c r="H479" s="26" t="e">
        <f t="shared" si="1"/>
        <v>#VALUE!</v>
      </c>
      <c r="I479" s="1" t="e">
        <f t="shared" si="2"/>
        <v>#VALUE!</v>
      </c>
    </row>
    <row r="480" spans="1:9" ht="15.75" customHeight="1">
      <c r="A480" s="26"/>
      <c r="B480" s="2"/>
      <c r="C480" s="26"/>
      <c r="D480" s="26"/>
      <c r="F480" s="85" t="str">
        <f t="shared" si="0"/>
        <v/>
      </c>
      <c r="G480" s="1" t="e">
        <f>IF(VALUE(F480) = VALUE(RIGHT(Insights!$C$3, 4)), E480, "")</f>
        <v>#VALUE!</v>
      </c>
      <c r="H480" s="26" t="e">
        <f t="shared" si="1"/>
        <v>#VALUE!</v>
      </c>
      <c r="I480" s="1" t="e">
        <f t="shared" si="2"/>
        <v>#VALUE!</v>
      </c>
    </row>
    <row r="481" spans="1:9" ht="15.75" customHeight="1">
      <c r="A481" s="26"/>
      <c r="B481" s="2"/>
      <c r="C481" s="26"/>
      <c r="D481" s="26"/>
      <c r="F481" s="85" t="str">
        <f t="shared" si="0"/>
        <v/>
      </c>
      <c r="G481" s="1" t="e">
        <f>IF(VALUE(F481) = VALUE(RIGHT(Insights!$C$3, 4)), E481, "")</f>
        <v>#VALUE!</v>
      </c>
      <c r="H481" s="26" t="e">
        <f t="shared" si="1"/>
        <v>#VALUE!</v>
      </c>
      <c r="I481" s="1" t="e">
        <f t="shared" si="2"/>
        <v>#VALUE!</v>
      </c>
    </row>
    <row r="482" spans="1:9" ht="15.75" customHeight="1">
      <c r="A482" s="26"/>
      <c r="B482" s="2"/>
      <c r="C482" s="26"/>
      <c r="D482" s="26"/>
      <c r="F482" s="85" t="str">
        <f t="shared" si="0"/>
        <v/>
      </c>
      <c r="G482" s="1" t="e">
        <f>IF(VALUE(F482) = VALUE(RIGHT(Insights!$C$3, 4)), E482, "")</f>
        <v>#VALUE!</v>
      </c>
      <c r="H482" s="26" t="e">
        <f t="shared" si="1"/>
        <v>#VALUE!</v>
      </c>
      <c r="I482" s="1" t="e">
        <f t="shared" si="2"/>
        <v>#VALUE!</v>
      </c>
    </row>
    <row r="483" spans="1:9" ht="15.75" customHeight="1">
      <c r="A483" s="26"/>
      <c r="B483" s="2"/>
      <c r="C483" s="26"/>
      <c r="D483" s="26"/>
      <c r="F483" s="85" t="str">
        <f t="shared" si="0"/>
        <v/>
      </c>
      <c r="G483" s="1" t="e">
        <f>IF(VALUE(F483) = VALUE(RIGHT(Insights!$C$3, 4)), E483, "")</f>
        <v>#VALUE!</v>
      </c>
      <c r="H483" s="26" t="e">
        <f t="shared" si="1"/>
        <v>#VALUE!</v>
      </c>
      <c r="I483" s="1" t="e">
        <f t="shared" si="2"/>
        <v>#VALUE!</v>
      </c>
    </row>
    <row r="484" spans="1:9" ht="15.75" customHeight="1">
      <c r="A484" s="26"/>
      <c r="B484" s="2"/>
      <c r="C484" s="26"/>
      <c r="D484" s="26"/>
      <c r="F484" s="85" t="str">
        <f t="shared" si="0"/>
        <v/>
      </c>
      <c r="G484" s="1" t="e">
        <f>IF(VALUE(F484) = VALUE(RIGHT(Insights!$C$3, 4)), E484, "")</f>
        <v>#VALUE!</v>
      </c>
      <c r="H484" s="26" t="e">
        <f t="shared" si="1"/>
        <v>#VALUE!</v>
      </c>
      <c r="I484" s="1" t="e">
        <f t="shared" si="2"/>
        <v>#VALUE!</v>
      </c>
    </row>
    <row r="485" spans="1:9" ht="15.75" customHeight="1">
      <c r="A485" s="26"/>
      <c r="B485" s="2"/>
      <c r="C485" s="26"/>
      <c r="D485" s="26"/>
      <c r="F485" s="85" t="str">
        <f t="shared" si="0"/>
        <v/>
      </c>
      <c r="G485" s="1" t="e">
        <f>IF(VALUE(F485) = VALUE(RIGHT(Insights!$C$3, 4)), E485, "")</f>
        <v>#VALUE!</v>
      </c>
      <c r="H485" s="26" t="e">
        <f t="shared" si="1"/>
        <v>#VALUE!</v>
      </c>
      <c r="I485" s="1" t="e">
        <f t="shared" si="2"/>
        <v>#VALUE!</v>
      </c>
    </row>
    <row r="486" spans="1:9" ht="15.75" customHeight="1">
      <c r="A486" s="26"/>
      <c r="B486" s="2"/>
      <c r="C486" s="26"/>
      <c r="D486" s="26"/>
      <c r="F486" s="85" t="str">
        <f t="shared" si="0"/>
        <v/>
      </c>
      <c r="G486" s="1" t="e">
        <f>IF(VALUE(F486) = VALUE(RIGHT(Insights!$C$3, 4)), E486, "")</f>
        <v>#VALUE!</v>
      </c>
      <c r="H486" s="26" t="e">
        <f t="shared" si="1"/>
        <v>#VALUE!</v>
      </c>
      <c r="I486" s="1" t="e">
        <f t="shared" si="2"/>
        <v>#VALUE!</v>
      </c>
    </row>
    <row r="487" spans="1:9" ht="15.75" customHeight="1">
      <c r="A487" s="26"/>
      <c r="B487" s="2"/>
      <c r="C487" s="26"/>
      <c r="D487" s="26"/>
      <c r="F487" s="85" t="str">
        <f t="shared" si="0"/>
        <v/>
      </c>
      <c r="G487" s="1" t="e">
        <f>IF(VALUE(F487) = VALUE(RIGHT(Insights!$C$3, 4)), E487, "")</f>
        <v>#VALUE!</v>
      </c>
      <c r="H487" s="26" t="e">
        <f t="shared" si="1"/>
        <v>#VALUE!</v>
      </c>
      <c r="I487" s="1" t="e">
        <f t="shared" si="2"/>
        <v>#VALUE!</v>
      </c>
    </row>
    <row r="488" spans="1:9" ht="15.75" customHeight="1">
      <c r="A488" s="26"/>
      <c r="B488" s="2"/>
      <c r="C488" s="26"/>
      <c r="D488" s="26"/>
      <c r="F488" s="85" t="str">
        <f t="shared" si="0"/>
        <v/>
      </c>
      <c r="G488" s="1" t="e">
        <f>IF(VALUE(F488) = VALUE(RIGHT(Insights!$C$3, 4)), E488, "")</f>
        <v>#VALUE!</v>
      </c>
      <c r="H488" s="26" t="e">
        <f t="shared" si="1"/>
        <v>#VALUE!</v>
      </c>
      <c r="I488" s="1" t="e">
        <f t="shared" si="2"/>
        <v>#VALUE!</v>
      </c>
    </row>
    <row r="489" spans="1:9" ht="15.75" customHeight="1">
      <c r="A489" s="26"/>
      <c r="B489" s="2"/>
      <c r="C489" s="26"/>
      <c r="D489" s="26"/>
      <c r="F489" s="85" t="str">
        <f t="shared" si="0"/>
        <v/>
      </c>
      <c r="G489" s="1" t="e">
        <f>IF(VALUE(F489) = VALUE(RIGHT(Insights!$C$3, 4)), E489, "")</f>
        <v>#VALUE!</v>
      </c>
      <c r="H489" s="26" t="e">
        <f t="shared" si="1"/>
        <v>#VALUE!</v>
      </c>
      <c r="I489" s="1" t="e">
        <f t="shared" si="2"/>
        <v>#VALUE!</v>
      </c>
    </row>
    <row r="490" spans="1:9" ht="15.75" customHeight="1">
      <c r="A490" s="26"/>
      <c r="B490" s="2"/>
      <c r="C490" s="26"/>
      <c r="D490" s="26"/>
      <c r="F490" s="85" t="str">
        <f t="shared" si="0"/>
        <v/>
      </c>
      <c r="G490" s="1" t="e">
        <f>IF(VALUE(F490) = VALUE(RIGHT(Insights!$C$3, 4)), E490, "")</f>
        <v>#VALUE!</v>
      </c>
      <c r="H490" s="26" t="e">
        <f t="shared" si="1"/>
        <v>#VALUE!</v>
      </c>
      <c r="I490" s="1" t="e">
        <f t="shared" si="2"/>
        <v>#VALUE!</v>
      </c>
    </row>
    <row r="491" spans="1:9" ht="15.75" customHeight="1">
      <c r="A491" s="26"/>
      <c r="B491" s="2"/>
      <c r="C491" s="26"/>
      <c r="D491" s="26"/>
      <c r="F491" s="85" t="str">
        <f t="shared" si="0"/>
        <v/>
      </c>
      <c r="G491" s="1" t="e">
        <f>IF(VALUE(F491) = VALUE(RIGHT(Insights!$C$3, 4)), E491, "")</f>
        <v>#VALUE!</v>
      </c>
      <c r="H491" s="26" t="e">
        <f t="shared" si="1"/>
        <v>#VALUE!</v>
      </c>
      <c r="I491" s="1" t="e">
        <f t="shared" si="2"/>
        <v>#VALUE!</v>
      </c>
    </row>
    <row r="492" spans="1:9" ht="15.75" customHeight="1">
      <c r="A492" s="26"/>
      <c r="B492" s="2"/>
      <c r="C492" s="26"/>
      <c r="D492" s="26"/>
      <c r="F492" s="85" t="str">
        <f t="shared" si="0"/>
        <v/>
      </c>
      <c r="G492" s="1" t="e">
        <f>IF(VALUE(F492) = VALUE(RIGHT(Insights!$C$3, 4)), E492, "")</f>
        <v>#VALUE!</v>
      </c>
      <c r="H492" s="26" t="e">
        <f t="shared" si="1"/>
        <v>#VALUE!</v>
      </c>
      <c r="I492" s="1" t="e">
        <f t="shared" si="2"/>
        <v>#VALUE!</v>
      </c>
    </row>
    <row r="493" spans="1:9" ht="15.75" customHeight="1">
      <c r="A493" s="26"/>
      <c r="B493" s="2"/>
      <c r="C493" s="26"/>
      <c r="D493" s="26"/>
      <c r="F493" s="85" t="str">
        <f t="shared" si="0"/>
        <v/>
      </c>
      <c r="G493" s="1" t="e">
        <f>IF(VALUE(F493) = VALUE(RIGHT(Insights!$C$3, 4)), E493, "")</f>
        <v>#VALUE!</v>
      </c>
      <c r="H493" s="26" t="e">
        <f t="shared" si="1"/>
        <v>#VALUE!</v>
      </c>
      <c r="I493" s="1" t="e">
        <f t="shared" si="2"/>
        <v>#VALUE!</v>
      </c>
    </row>
    <row r="494" spans="1:9" ht="15.75" customHeight="1">
      <c r="A494" s="26"/>
      <c r="B494" s="2"/>
      <c r="C494" s="26"/>
      <c r="D494" s="26"/>
      <c r="F494" s="85" t="str">
        <f t="shared" si="0"/>
        <v/>
      </c>
      <c r="G494" s="1" t="e">
        <f>IF(VALUE(F494) = VALUE(RIGHT(Insights!$C$3, 4)), E494, "")</f>
        <v>#VALUE!</v>
      </c>
      <c r="H494" s="26" t="e">
        <f t="shared" si="1"/>
        <v>#VALUE!</v>
      </c>
      <c r="I494" s="1" t="e">
        <f t="shared" si="2"/>
        <v>#VALUE!</v>
      </c>
    </row>
    <row r="495" spans="1:9" ht="15.75" customHeight="1">
      <c r="A495" s="26"/>
      <c r="B495" s="2"/>
      <c r="C495" s="26"/>
      <c r="D495" s="26"/>
      <c r="F495" s="85" t="str">
        <f t="shared" si="0"/>
        <v/>
      </c>
      <c r="G495" s="1" t="e">
        <f>IF(VALUE(F495) = VALUE(RIGHT(Insights!$C$3, 4)), E495, "")</f>
        <v>#VALUE!</v>
      </c>
      <c r="H495" s="26" t="e">
        <f t="shared" si="1"/>
        <v>#VALUE!</v>
      </c>
      <c r="I495" s="1" t="e">
        <f t="shared" si="2"/>
        <v>#VALUE!</v>
      </c>
    </row>
    <row r="496" spans="1:9" ht="15.75" customHeight="1">
      <c r="A496" s="26"/>
      <c r="B496" s="2"/>
      <c r="C496" s="26"/>
      <c r="D496" s="26"/>
      <c r="F496" s="85" t="str">
        <f t="shared" si="0"/>
        <v/>
      </c>
      <c r="G496" s="1" t="e">
        <f>IF(VALUE(F496) = VALUE(RIGHT(Insights!$C$3, 4)), E496, "")</f>
        <v>#VALUE!</v>
      </c>
      <c r="H496" s="26" t="e">
        <f t="shared" si="1"/>
        <v>#VALUE!</v>
      </c>
      <c r="I496" s="1" t="e">
        <f t="shared" si="2"/>
        <v>#VALUE!</v>
      </c>
    </row>
    <row r="497" spans="1:9" ht="15.75" customHeight="1">
      <c r="A497" s="26"/>
      <c r="B497" s="2"/>
      <c r="C497" s="26"/>
      <c r="D497" s="26"/>
      <c r="F497" s="85" t="str">
        <f t="shared" si="0"/>
        <v/>
      </c>
      <c r="G497" s="1" t="e">
        <f>IF(VALUE(F497) = VALUE(RIGHT(Insights!$C$3, 4)), E497, "")</f>
        <v>#VALUE!</v>
      </c>
      <c r="H497" s="26" t="e">
        <f t="shared" si="1"/>
        <v>#VALUE!</v>
      </c>
      <c r="I497" s="1" t="e">
        <f t="shared" si="2"/>
        <v>#VALUE!</v>
      </c>
    </row>
    <row r="498" spans="1:9" ht="15.75" customHeight="1">
      <c r="A498" s="26"/>
      <c r="B498" s="2"/>
      <c r="C498" s="26"/>
      <c r="D498" s="26"/>
      <c r="F498" s="85" t="str">
        <f t="shared" si="0"/>
        <v/>
      </c>
      <c r="G498" s="1" t="e">
        <f>IF(VALUE(F498) = VALUE(RIGHT(Insights!$C$3, 4)), E498, "")</f>
        <v>#VALUE!</v>
      </c>
      <c r="H498" s="26" t="e">
        <f t="shared" si="1"/>
        <v>#VALUE!</v>
      </c>
      <c r="I498" s="1" t="e">
        <f t="shared" si="2"/>
        <v>#VALUE!</v>
      </c>
    </row>
    <row r="499" spans="1:9" ht="15.75" customHeight="1">
      <c r="A499" s="26"/>
      <c r="B499" s="2"/>
      <c r="C499" s="26"/>
      <c r="D499" s="26"/>
      <c r="F499" s="85" t="str">
        <f t="shared" si="0"/>
        <v/>
      </c>
      <c r="G499" s="1" t="e">
        <f>IF(VALUE(F499) = VALUE(RIGHT(Insights!$C$3, 4)), E499, "")</f>
        <v>#VALUE!</v>
      </c>
      <c r="H499" s="26" t="e">
        <f t="shared" si="1"/>
        <v>#VALUE!</v>
      </c>
      <c r="I499" s="1" t="e">
        <f t="shared" si="2"/>
        <v>#VALUE!</v>
      </c>
    </row>
    <row r="500" spans="1:9" ht="15.75" customHeight="1">
      <c r="A500" s="26"/>
      <c r="B500" s="2"/>
      <c r="C500" s="26"/>
      <c r="D500" s="26"/>
      <c r="F500" s="85" t="str">
        <f t="shared" si="0"/>
        <v/>
      </c>
      <c r="G500" s="1" t="e">
        <f>IF(VALUE(F500) = VALUE(RIGHT(Insights!$C$3, 4)), E500, "")</f>
        <v>#VALUE!</v>
      </c>
      <c r="H500" s="26" t="e">
        <f t="shared" si="1"/>
        <v>#VALUE!</v>
      </c>
      <c r="I500" s="1" t="e">
        <f t="shared" si="2"/>
        <v>#VALUE!</v>
      </c>
    </row>
    <row r="501" spans="1:9" ht="15.75" customHeight="1">
      <c r="A501" s="26"/>
      <c r="B501" s="2"/>
      <c r="C501" s="26"/>
      <c r="D501" s="26"/>
      <c r="F501" s="85" t="str">
        <f t="shared" si="0"/>
        <v/>
      </c>
      <c r="G501" s="1" t="e">
        <f>IF(VALUE(F501) = VALUE(RIGHT(Insights!$C$3, 4)), E501, "")</f>
        <v>#VALUE!</v>
      </c>
      <c r="H501" s="26" t="e">
        <f t="shared" si="1"/>
        <v>#VALUE!</v>
      </c>
      <c r="I501" s="1" t="e">
        <f t="shared" si="2"/>
        <v>#VALUE!</v>
      </c>
    </row>
    <row r="502" spans="1:9" ht="15.75" customHeight="1">
      <c r="A502" s="26"/>
      <c r="B502" s="2"/>
      <c r="C502" s="26"/>
      <c r="D502" s="26"/>
      <c r="F502" s="85" t="str">
        <f t="shared" si="0"/>
        <v/>
      </c>
      <c r="G502" s="1" t="e">
        <f>IF(VALUE(F502) = VALUE(RIGHT(Insights!$C$3, 4)), E502, "")</f>
        <v>#VALUE!</v>
      </c>
      <c r="H502" s="26" t="e">
        <f t="shared" si="1"/>
        <v>#VALUE!</v>
      </c>
      <c r="I502" s="1" t="e">
        <f t="shared" si="2"/>
        <v>#VALUE!</v>
      </c>
    </row>
    <row r="503" spans="1:9" ht="15.75" customHeight="1">
      <c r="A503" s="26"/>
      <c r="B503" s="2"/>
      <c r="C503" s="26"/>
      <c r="D503" s="26"/>
      <c r="F503" s="85" t="str">
        <f t="shared" si="0"/>
        <v/>
      </c>
      <c r="G503" s="1" t="e">
        <f>IF(VALUE(F503) = VALUE(RIGHT(Insights!$C$3, 4)), E503, "")</f>
        <v>#VALUE!</v>
      </c>
      <c r="H503" s="26" t="e">
        <f t="shared" si="1"/>
        <v>#VALUE!</v>
      </c>
      <c r="I503" s="1" t="e">
        <f t="shared" si="2"/>
        <v>#VALUE!</v>
      </c>
    </row>
    <row r="504" spans="1:9" ht="15.75" customHeight="1">
      <c r="A504" s="26"/>
      <c r="B504" s="2"/>
      <c r="C504" s="26"/>
      <c r="D504" s="26"/>
      <c r="F504" s="85" t="str">
        <f t="shared" si="0"/>
        <v/>
      </c>
      <c r="G504" s="1" t="e">
        <f>IF(VALUE(F504) = VALUE(RIGHT(Insights!$C$3, 4)), E504, "")</f>
        <v>#VALUE!</v>
      </c>
      <c r="H504" s="26" t="e">
        <f t="shared" si="1"/>
        <v>#VALUE!</v>
      </c>
      <c r="I504" s="1" t="e">
        <f t="shared" si="2"/>
        <v>#VALUE!</v>
      </c>
    </row>
    <row r="505" spans="1:9" ht="15.75" customHeight="1">
      <c r="A505" s="26"/>
      <c r="B505" s="2"/>
      <c r="C505" s="26"/>
      <c r="D505" s="26"/>
      <c r="F505" s="85" t="str">
        <f t="shared" si="0"/>
        <v/>
      </c>
      <c r="G505" s="1" t="e">
        <f>IF(VALUE(F505) = VALUE(RIGHT(Insights!$C$3, 4)), E505, "")</f>
        <v>#VALUE!</v>
      </c>
      <c r="H505" s="26" t="e">
        <f t="shared" si="1"/>
        <v>#VALUE!</v>
      </c>
      <c r="I505" s="1" t="e">
        <f t="shared" si="2"/>
        <v>#VALUE!</v>
      </c>
    </row>
    <row r="506" spans="1:9" ht="15.75" customHeight="1">
      <c r="A506" s="26"/>
      <c r="B506" s="2"/>
      <c r="C506" s="26"/>
      <c r="D506" s="26"/>
      <c r="F506" s="85" t="str">
        <f t="shared" si="0"/>
        <v/>
      </c>
      <c r="G506" s="1" t="e">
        <f>IF(VALUE(F506) = VALUE(RIGHT(Insights!$C$3, 4)), E506, "")</f>
        <v>#VALUE!</v>
      </c>
      <c r="H506" s="26" t="e">
        <f t="shared" si="1"/>
        <v>#VALUE!</v>
      </c>
      <c r="I506" s="1" t="e">
        <f t="shared" si="2"/>
        <v>#VALUE!</v>
      </c>
    </row>
    <row r="507" spans="1:9" ht="15.75" customHeight="1">
      <c r="A507" s="26"/>
      <c r="B507" s="2"/>
      <c r="C507" s="26"/>
      <c r="D507" s="26"/>
      <c r="F507" s="85" t="str">
        <f t="shared" si="0"/>
        <v/>
      </c>
      <c r="G507" s="1" t="e">
        <f>IF(VALUE(F507) = VALUE(RIGHT(Insights!$C$3, 4)), E507, "")</f>
        <v>#VALUE!</v>
      </c>
      <c r="H507" s="26" t="e">
        <f t="shared" si="1"/>
        <v>#VALUE!</v>
      </c>
      <c r="I507" s="1" t="e">
        <f t="shared" si="2"/>
        <v>#VALUE!</v>
      </c>
    </row>
    <row r="508" spans="1:9" ht="15.75" customHeight="1">
      <c r="A508" s="26"/>
      <c r="B508" s="2"/>
      <c r="C508" s="26"/>
      <c r="D508" s="26"/>
      <c r="F508" s="85" t="str">
        <f t="shared" si="0"/>
        <v/>
      </c>
      <c r="G508" s="1" t="e">
        <f>IF(VALUE(F508) = VALUE(RIGHT(Insights!$C$3, 4)), E508, "")</f>
        <v>#VALUE!</v>
      </c>
      <c r="H508" s="26" t="e">
        <f t="shared" si="1"/>
        <v>#VALUE!</v>
      </c>
      <c r="I508" s="1" t="e">
        <f t="shared" si="2"/>
        <v>#VALUE!</v>
      </c>
    </row>
    <row r="509" spans="1:9" ht="15.75" customHeight="1">
      <c r="A509" s="26"/>
      <c r="B509" s="2"/>
      <c r="C509" s="26"/>
      <c r="D509" s="26"/>
      <c r="F509" s="85" t="str">
        <f t="shared" si="0"/>
        <v/>
      </c>
      <c r="G509" s="1" t="e">
        <f>IF(VALUE(F509) = VALUE(RIGHT(Insights!$C$3, 4)), E509, "")</f>
        <v>#VALUE!</v>
      </c>
      <c r="H509" s="26" t="e">
        <f t="shared" si="1"/>
        <v>#VALUE!</v>
      </c>
      <c r="I509" s="1" t="e">
        <f t="shared" si="2"/>
        <v>#VALUE!</v>
      </c>
    </row>
    <row r="510" spans="1:9" ht="15.75" customHeight="1">
      <c r="A510" s="26"/>
      <c r="B510" s="2"/>
      <c r="C510" s="26"/>
      <c r="D510" s="26"/>
      <c r="F510" s="85" t="str">
        <f t="shared" si="0"/>
        <v/>
      </c>
      <c r="G510" s="1" t="e">
        <f>IF(VALUE(F510) = VALUE(RIGHT(Insights!$C$3, 4)), E510, "")</f>
        <v>#VALUE!</v>
      </c>
      <c r="H510" s="26" t="e">
        <f t="shared" si="1"/>
        <v>#VALUE!</v>
      </c>
      <c r="I510" s="1" t="e">
        <f t="shared" si="2"/>
        <v>#VALUE!</v>
      </c>
    </row>
    <row r="511" spans="1:9" ht="15.75" customHeight="1">
      <c r="A511" s="26"/>
      <c r="B511" s="2"/>
      <c r="C511" s="26"/>
      <c r="D511" s="26"/>
      <c r="F511" s="85" t="str">
        <f t="shared" si="0"/>
        <v/>
      </c>
      <c r="G511" s="1" t="e">
        <f>IF(VALUE(F511) = VALUE(RIGHT(Insights!$C$3, 4)), E511, "")</f>
        <v>#VALUE!</v>
      </c>
      <c r="H511" s="26" t="e">
        <f t="shared" si="1"/>
        <v>#VALUE!</v>
      </c>
      <c r="I511" s="1" t="e">
        <f t="shared" si="2"/>
        <v>#VALUE!</v>
      </c>
    </row>
    <row r="512" spans="1:9" ht="15.75" customHeight="1">
      <c r="A512" s="26"/>
      <c r="B512" s="2"/>
      <c r="C512" s="26"/>
      <c r="D512" s="26"/>
      <c r="F512" s="85" t="str">
        <f t="shared" si="0"/>
        <v/>
      </c>
      <c r="G512" s="1" t="e">
        <f>IF(VALUE(F512) = VALUE(RIGHT(Insights!$C$3, 4)), E512, "")</f>
        <v>#VALUE!</v>
      </c>
      <c r="H512" s="26" t="e">
        <f t="shared" si="1"/>
        <v>#VALUE!</v>
      </c>
      <c r="I512" s="1" t="e">
        <f t="shared" si="2"/>
        <v>#VALUE!</v>
      </c>
    </row>
    <row r="513" spans="1:9" ht="15.75" customHeight="1">
      <c r="A513" s="26"/>
      <c r="B513" s="2"/>
      <c r="C513" s="26"/>
      <c r="D513" s="26"/>
      <c r="F513" s="85" t="str">
        <f t="shared" si="0"/>
        <v/>
      </c>
      <c r="G513" s="1" t="e">
        <f>IF(VALUE(F513) = VALUE(RIGHT(Insights!$C$3, 4)), E513, "")</f>
        <v>#VALUE!</v>
      </c>
      <c r="H513" s="26" t="e">
        <f t="shared" si="1"/>
        <v>#VALUE!</v>
      </c>
      <c r="I513" s="1" t="e">
        <f t="shared" si="2"/>
        <v>#VALUE!</v>
      </c>
    </row>
    <row r="514" spans="1:9" ht="15.75" customHeight="1">
      <c r="A514" s="26"/>
      <c r="B514" s="2"/>
      <c r="C514" s="26"/>
      <c r="D514" s="26"/>
      <c r="F514" s="85" t="str">
        <f t="shared" si="0"/>
        <v/>
      </c>
      <c r="G514" s="1" t="e">
        <f>IF(VALUE(F514) = VALUE(RIGHT(Insights!$C$3, 4)), E514, "")</f>
        <v>#VALUE!</v>
      </c>
      <c r="H514" s="26" t="e">
        <f t="shared" si="1"/>
        <v>#VALUE!</v>
      </c>
      <c r="I514" s="1" t="e">
        <f t="shared" si="2"/>
        <v>#VALUE!</v>
      </c>
    </row>
    <row r="515" spans="1:9" ht="15.75" customHeight="1">
      <c r="A515" s="26"/>
      <c r="B515" s="2"/>
      <c r="C515" s="26"/>
      <c r="D515" s="26"/>
      <c r="F515" s="85" t="str">
        <f t="shared" si="0"/>
        <v/>
      </c>
      <c r="G515" s="1" t="e">
        <f>IF(VALUE(F515) = VALUE(RIGHT(Insights!$C$3, 4)), E515, "")</f>
        <v>#VALUE!</v>
      </c>
      <c r="H515" s="26" t="e">
        <f t="shared" si="1"/>
        <v>#VALUE!</v>
      </c>
      <c r="I515" s="1" t="e">
        <f t="shared" si="2"/>
        <v>#VALUE!</v>
      </c>
    </row>
    <row r="516" spans="1:9" ht="15.75" customHeight="1">
      <c r="A516" s="26"/>
      <c r="B516" s="2"/>
      <c r="C516" s="26"/>
      <c r="D516" s="26"/>
      <c r="F516" s="85" t="str">
        <f t="shared" si="0"/>
        <v/>
      </c>
      <c r="G516" s="1" t="e">
        <f>IF(VALUE(F516) = VALUE(RIGHT(Insights!$C$3, 4)), E516, "")</f>
        <v>#VALUE!</v>
      </c>
      <c r="H516" s="26" t="e">
        <f t="shared" si="1"/>
        <v>#VALUE!</v>
      </c>
      <c r="I516" s="1" t="e">
        <f t="shared" si="2"/>
        <v>#VALUE!</v>
      </c>
    </row>
    <row r="517" spans="1:9" ht="15.75" customHeight="1">
      <c r="A517" s="26"/>
      <c r="B517" s="2"/>
      <c r="C517" s="26"/>
      <c r="D517" s="26"/>
      <c r="F517" s="85" t="str">
        <f t="shared" si="0"/>
        <v/>
      </c>
      <c r="G517" s="1" t="e">
        <f>IF(VALUE(F517) = VALUE(RIGHT(Insights!$C$3, 4)), E517, "")</f>
        <v>#VALUE!</v>
      </c>
      <c r="H517" s="26" t="e">
        <f t="shared" si="1"/>
        <v>#VALUE!</v>
      </c>
      <c r="I517" s="1" t="e">
        <f t="shared" si="2"/>
        <v>#VALUE!</v>
      </c>
    </row>
    <row r="518" spans="1:9" ht="15.75" customHeight="1">
      <c r="A518" s="26"/>
      <c r="B518" s="2"/>
      <c r="C518" s="26"/>
      <c r="D518" s="26"/>
      <c r="F518" s="85" t="str">
        <f t="shared" si="0"/>
        <v/>
      </c>
      <c r="G518" s="1" t="e">
        <f>IF(VALUE(F518) = VALUE(RIGHT(Insights!$C$3, 4)), E518, "")</f>
        <v>#VALUE!</v>
      </c>
      <c r="H518" s="26" t="e">
        <f t="shared" si="1"/>
        <v>#VALUE!</v>
      </c>
      <c r="I518" s="1" t="e">
        <f t="shared" si="2"/>
        <v>#VALUE!</v>
      </c>
    </row>
    <row r="519" spans="1:9" ht="15.75" customHeight="1">
      <c r="A519" s="26"/>
      <c r="B519" s="2"/>
      <c r="C519" s="26"/>
      <c r="D519" s="26"/>
      <c r="F519" s="85" t="str">
        <f t="shared" si="0"/>
        <v/>
      </c>
      <c r="G519" s="1" t="e">
        <f>IF(VALUE(F519) = VALUE(RIGHT(Insights!$C$3, 4)), E519, "")</f>
        <v>#VALUE!</v>
      </c>
      <c r="H519" s="26" t="e">
        <f t="shared" si="1"/>
        <v>#VALUE!</v>
      </c>
      <c r="I519" s="1" t="e">
        <f t="shared" si="2"/>
        <v>#VALUE!</v>
      </c>
    </row>
    <row r="520" spans="1:9" ht="15.75" customHeight="1">
      <c r="A520" s="26"/>
      <c r="B520" s="2"/>
      <c r="C520" s="26"/>
      <c r="D520" s="26"/>
      <c r="F520" s="85" t="str">
        <f t="shared" si="0"/>
        <v/>
      </c>
      <c r="G520" s="1" t="e">
        <f>IF(VALUE(F520) = VALUE(RIGHT(Insights!$C$3, 4)), E520, "")</f>
        <v>#VALUE!</v>
      </c>
      <c r="H520" s="26" t="e">
        <f t="shared" si="1"/>
        <v>#VALUE!</v>
      </c>
      <c r="I520" s="1" t="e">
        <f t="shared" si="2"/>
        <v>#VALUE!</v>
      </c>
    </row>
    <row r="521" spans="1:9" ht="15.75" customHeight="1">
      <c r="A521" s="26"/>
      <c r="B521" s="2"/>
      <c r="C521" s="26"/>
      <c r="D521" s="26"/>
      <c r="F521" s="85" t="str">
        <f t="shared" si="0"/>
        <v/>
      </c>
      <c r="G521" s="1" t="e">
        <f>IF(VALUE(F521) = VALUE(RIGHT(Insights!$C$3, 4)), E521, "")</f>
        <v>#VALUE!</v>
      </c>
      <c r="H521" s="26" t="e">
        <f t="shared" si="1"/>
        <v>#VALUE!</v>
      </c>
      <c r="I521" s="1" t="e">
        <f t="shared" si="2"/>
        <v>#VALUE!</v>
      </c>
    </row>
    <row r="522" spans="1:9" ht="15.75" customHeight="1">
      <c r="A522" s="26"/>
      <c r="B522" s="2"/>
      <c r="C522" s="26"/>
      <c r="D522" s="26"/>
      <c r="F522" s="85" t="str">
        <f t="shared" si="0"/>
        <v/>
      </c>
      <c r="G522" s="1" t="e">
        <f>IF(VALUE(F522) = VALUE(RIGHT(Insights!$C$3, 4)), E522, "")</f>
        <v>#VALUE!</v>
      </c>
      <c r="H522" s="26" t="e">
        <f t="shared" si="1"/>
        <v>#VALUE!</v>
      </c>
      <c r="I522" s="1" t="e">
        <f t="shared" si="2"/>
        <v>#VALUE!</v>
      </c>
    </row>
    <row r="523" spans="1:9" ht="15.75" customHeight="1">
      <c r="A523" s="26"/>
      <c r="B523" s="2"/>
      <c r="C523" s="26"/>
      <c r="D523" s="26"/>
      <c r="F523" s="85" t="str">
        <f t="shared" si="0"/>
        <v/>
      </c>
      <c r="G523" s="1" t="e">
        <f>IF(VALUE(F523) = VALUE(RIGHT(Insights!$C$3, 4)), E523, "")</f>
        <v>#VALUE!</v>
      </c>
      <c r="H523" s="26" t="e">
        <f t="shared" si="1"/>
        <v>#VALUE!</v>
      </c>
      <c r="I523" s="1" t="e">
        <f t="shared" si="2"/>
        <v>#VALUE!</v>
      </c>
    </row>
    <row r="524" spans="1:9" ht="15.75" customHeight="1">
      <c r="A524" s="26"/>
      <c r="B524" s="2"/>
      <c r="C524" s="26"/>
      <c r="D524" s="26"/>
      <c r="F524" s="85" t="str">
        <f t="shared" si="0"/>
        <v/>
      </c>
      <c r="G524" s="1" t="e">
        <f>IF(VALUE(F524) = VALUE(RIGHT(Insights!$C$3, 4)), E524, "")</f>
        <v>#VALUE!</v>
      </c>
      <c r="H524" s="26" t="e">
        <f t="shared" si="1"/>
        <v>#VALUE!</v>
      </c>
      <c r="I524" s="1" t="e">
        <f t="shared" si="2"/>
        <v>#VALUE!</v>
      </c>
    </row>
    <row r="525" spans="1:9" ht="15.75" customHeight="1">
      <c r="A525" s="26"/>
      <c r="B525" s="2"/>
      <c r="C525" s="26"/>
      <c r="D525" s="26"/>
      <c r="F525" s="85" t="str">
        <f t="shared" si="0"/>
        <v/>
      </c>
      <c r="G525" s="1" t="e">
        <f>IF(VALUE(F525) = VALUE(RIGHT(Insights!$C$3, 4)), E525, "")</f>
        <v>#VALUE!</v>
      </c>
      <c r="H525" s="26" t="e">
        <f t="shared" si="1"/>
        <v>#VALUE!</v>
      </c>
      <c r="I525" s="1" t="e">
        <f t="shared" si="2"/>
        <v>#VALUE!</v>
      </c>
    </row>
    <row r="526" spans="1:9" ht="15.75" customHeight="1">
      <c r="A526" s="26"/>
      <c r="B526" s="2"/>
      <c r="C526" s="26"/>
      <c r="D526" s="26"/>
      <c r="F526" s="85" t="str">
        <f t="shared" si="0"/>
        <v/>
      </c>
      <c r="G526" s="1" t="e">
        <f>IF(VALUE(F526) = VALUE(RIGHT(Insights!$C$3, 4)), E526, "")</f>
        <v>#VALUE!</v>
      </c>
      <c r="H526" s="26" t="e">
        <f t="shared" si="1"/>
        <v>#VALUE!</v>
      </c>
      <c r="I526" s="1" t="e">
        <f t="shared" si="2"/>
        <v>#VALUE!</v>
      </c>
    </row>
    <row r="527" spans="1:9" ht="15.75" customHeight="1">
      <c r="A527" s="26"/>
      <c r="B527" s="2"/>
      <c r="C527" s="26"/>
      <c r="D527" s="26"/>
      <c r="F527" s="85" t="str">
        <f t="shared" si="0"/>
        <v/>
      </c>
      <c r="G527" s="1" t="e">
        <f>IF(VALUE(F527) = VALUE(RIGHT(Insights!$C$3, 4)), E527, "")</f>
        <v>#VALUE!</v>
      </c>
      <c r="H527" s="26" t="e">
        <f t="shared" si="1"/>
        <v>#VALUE!</v>
      </c>
      <c r="I527" s="1" t="e">
        <f t="shared" si="2"/>
        <v>#VALUE!</v>
      </c>
    </row>
    <row r="528" spans="1:9" ht="15.75" customHeight="1">
      <c r="A528" s="26"/>
      <c r="B528" s="2"/>
      <c r="C528" s="26"/>
      <c r="D528" s="26"/>
      <c r="F528" s="85" t="str">
        <f t="shared" si="0"/>
        <v/>
      </c>
      <c r="G528" s="1" t="e">
        <f>IF(VALUE(F528) = VALUE(RIGHT(Insights!$C$3, 4)), E528, "")</f>
        <v>#VALUE!</v>
      </c>
      <c r="H528" s="26" t="e">
        <f t="shared" si="1"/>
        <v>#VALUE!</v>
      </c>
      <c r="I528" s="1" t="e">
        <f t="shared" si="2"/>
        <v>#VALUE!</v>
      </c>
    </row>
    <row r="529" spans="1:9" ht="15.75" customHeight="1">
      <c r="A529" s="26"/>
      <c r="B529" s="2"/>
      <c r="C529" s="26"/>
      <c r="D529" s="26"/>
      <c r="F529" s="85" t="str">
        <f t="shared" si="0"/>
        <v/>
      </c>
      <c r="G529" s="1" t="e">
        <f>IF(VALUE(F529) = VALUE(RIGHT(Insights!$C$3, 4)), E529, "")</f>
        <v>#VALUE!</v>
      </c>
      <c r="H529" s="26" t="e">
        <f t="shared" si="1"/>
        <v>#VALUE!</v>
      </c>
      <c r="I529" s="1" t="e">
        <f t="shared" si="2"/>
        <v>#VALUE!</v>
      </c>
    </row>
    <row r="530" spans="1:9" ht="15.75" customHeight="1">
      <c r="A530" s="26"/>
      <c r="B530" s="2"/>
      <c r="C530" s="26"/>
      <c r="D530" s="26"/>
      <c r="F530" s="85" t="str">
        <f t="shared" si="0"/>
        <v/>
      </c>
      <c r="G530" s="1" t="e">
        <f>IF(VALUE(F530) = VALUE(RIGHT(Insights!$C$3, 4)), E530, "")</f>
        <v>#VALUE!</v>
      </c>
      <c r="H530" s="26" t="e">
        <f t="shared" si="1"/>
        <v>#VALUE!</v>
      </c>
      <c r="I530" s="1" t="e">
        <f t="shared" si="2"/>
        <v>#VALUE!</v>
      </c>
    </row>
    <row r="531" spans="1:9" ht="15.75" customHeight="1">
      <c r="A531" s="26"/>
      <c r="B531" s="2"/>
      <c r="C531" s="26"/>
      <c r="D531" s="26"/>
      <c r="F531" s="85" t="str">
        <f t="shared" si="0"/>
        <v/>
      </c>
      <c r="G531" s="1" t="e">
        <f>IF(VALUE(F531) = VALUE(RIGHT(Insights!$C$3, 4)), E531, "")</f>
        <v>#VALUE!</v>
      </c>
      <c r="H531" s="26" t="e">
        <f t="shared" si="1"/>
        <v>#VALUE!</v>
      </c>
      <c r="I531" s="1" t="e">
        <f t="shared" si="2"/>
        <v>#VALUE!</v>
      </c>
    </row>
    <row r="532" spans="1:9" ht="15.75" customHeight="1">
      <c r="A532" s="26"/>
      <c r="B532" s="2"/>
      <c r="C532" s="26"/>
      <c r="D532" s="26"/>
      <c r="F532" s="85" t="str">
        <f t="shared" si="0"/>
        <v/>
      </c>
      <c r="G532" s="1" t="e">
        <f>IF(VALUE(F532) = VALUE(RIGHT(Insights!$C$3, 4)), E532, "")</f>
        <v>#VALUE!</v>
      </c>
      <c r="H532" s="26" t="e">
        <f t="shared" si="1"/>
        <v>#VALUE!</v>
      </c>
      <c r="I532" s="1" t="e">
        <f t="shared" si="2"/>
        <v>#VALUE!</v>
      </c>
    </row>
    <row r="533" spans="1:9" ht="15.75" customHeight="1">
      <c r="A533" s="26"/>
      <c r="B533" s="2"/>
      <c r="C533" s="26"/>
      <c r="D533" s="26"/>
      <c r="F533" s="85" t="str">
        <f t="shared" si="0"/>
        <v/>
      </c>
      <c r="G533" s="1" t="e">
        <f>IF(VALUE(F533) = VALUE(RIGHT(Insights!$C$3, 4)), E533, "")</f>
        <v>#VALUE!</v>
      </c>
      <c r="H533" s="26" t="e">
        <f t="shared" si="1"/>
        <v>#VALUE!</v>
      </c>
      <c r="I533" s="1" t="e">
        <f t="shared" si="2"/>
        <v>#VALUE!</v>
      </c>
    </row>
    <row r="534" spans="1:9" ht="15.75" customHeight="1">
      <c r="A534" s="26"/>
      <c r="B534" s="2"/>
      <c r="C534" s="26"/>
      <c r="D534" s="26"/>
      <c r="F534" s="85" t="str">
        <f t="shared" si="0"/>
        <v/>
      </c>
      <c r="G534" s="1" t="e">
        <f>IF(VALUE(F534) = VALUE(RIGHT(Insights!$C$3, 4)), E534, "")</f>
        <v>#VALUE!</v>
      </c>
      <c r="H534" s="26" t="e">
        <f t="shared" si="1"/>
        <v>#VALUE!</v>
      </c>
      <c r="I534" s="1" t="e">
        <f t="shared" si="2"/>
        <v>#VALUE!</v>
      </c>
    </row>
    <row r="535" spans="1:9" ht="15.75" customHeight="1">
      <c r="A535" s="26"/>
      <c r="B535" s="2"/>
      <c r="C535" s="26"/>
      <c r="D535" s="26"/>
      <c r="F535" s="85" t="str">
        <f t="shared" si="0"/>
        <v/>
      </c>
      <c r="G535" s="1" t="e">
        <f>IF(VALUE(F535) = VALUE(RIGHT(Insights!$C$3, 4)), E535, "")</f>
        <v>#VALUE!</v>
      </c>
      <c r="H535" s="26" t="e">
        <f t="shared" si="1"/>
        <v>#VALUE!</v>
      </c>
      <c r="I535" s="1" t="e">
        <f t="shared" si="2"/>
        <v>#VALUE!</v>
      </c>
    </row>
    <row r="536" spans="1:9" ht="15.75" customHeight="1">
      <c r="A536" s="26"/>
      <c r="B536" s="2"/>
      <c r="C536" s="26"/>
      <c r="D536" s="26"/>
      <c r="F536" s="85" t="str">
        <f t="shared" si="0"/>
        <v/>
      </c>
      <c r="G536" s="1" t="e">
        <f>IF(VALUE(F536) = VALUE(RIGHT(Insights!$C$3, 4)), E536, "")</f>
        <v>#VALUE!</v>
      </c>
      <c r="H536" s="26" t="e">
        <f t="shared" si="1"/>
        <v>#VALUE!</v>
      </c>
      <c r="I536" s="1" t="e">
        <f t="shared" si="2"/>
        <v>#VALUE!</v>
      </c>
    </row>
    <row r="537" spans="1:9" ht="15.75" customHeight="1">
      <c r="A537" s="26"/>
      <c r="B537" s="2"/>
      <c r="C537" s="26"/>
      <c r="D537" s="26"/>
      <c r="F537" s="85" t="str">
        <f t="shared" si="0"/>
        <v/>
      </c>
      <c r="G537" s="1" t="e">
        <f>IF(VALUE(F537) = VALUE(RIGHT(Insights!$C$3, 4)), E537, "")</f>
        <v>#VALUE!</v>
      </c>
      <c r="H537" s="26" t="e">
        <f t="shared" si="1"/>
        <v>#VALUE!</v>
      </c>
      <c r="I537" s="1" t="e">
        <f t="shared" si="2"/>
        <v>#VALUE!</v>
      </c>
    </row>
    <row r="538" spans="1:9" ht="15.75" customHeight="1">
      <c r="A538" s="26"/>
      <c r="B538" s="2"/>
      <c r="C538" s="26"/>
      <c r="D538" s="26"/>
      <c r="F538" s="85" t="str">
        <f t="shared" si="0"/>
        <v/>
      </c>
      <c r="G538" s="1" t="e">
        <f>IF(VALUE(F538) = VALUE(RIGHT(Insights!$C$3, 4)), E538, "")</f>
        <v>#VALUE!</v>
      </c>
      <c r="H538" s="26" t="e">
        <f t="shared" si="1"/>
        <v>#VALUE!</v>
      </c>
      <c r="I538" s="1" t="e">
        <f t="shared" si="2"/>
        <v>#VALUE!</v>
      </c>
    </row>
    <row r="539" spans="1:9" ht="15.75" customHeight="1">
      <c r="A539" s="26"/>
      <c r="B539" s="2"/>
      <c r="C539" s="26"/>
      <c r="D539" s="26"/>
      <c r="F539" s="85" t="str">
        <f t="shared" si="0"/>
        <v/>
      </c>
      <c r="G539" s="1" t="e">
        <f>IF(VALUE(F539) = VALUE(RIGHT(Insights!$C$3, 4)), E539, "")</f>
        <v>#VALUE!</v>
      </c>
      <c r="H539" s="26" t="e">
        <f t="shared" si="1"/>
        <v>#VALUE!</v>
      </c>
      <c r="I539" s="1" t="e">
        <f t="shared" si="2"/>
        <v>#VALUE!</v>
      </c>
    </row>
    <row r="540" spans="1:9" ht="15.75" customHeight="1">
      <c r="A540" s="26"/>
      <c r="B540" s="2"/>
      <c r="C540" s="26"/>
      <c r="D540" s="26"/>
      <c r="F540" s="85" t="str">
        <f t="shared" si="0"/>
        <v/>
      </c>
      <c r="G540" s="1" t="e">
        <f>IF(VALUE(F540) = VALUE(RIGHT(Insights!$C$3, 4)), E540, "")</f>
        <v>#VALUE!</v>
      </c>
      <c r="H540" s="26" t="e">
        <f t="shared" si="1"/>
        <v>#VALUE!</v>
      </c>
      <c r="I540" s="1" t="e">
        <f t="shared" si="2"/>
        <v>#VALUE!</v>
      </c>
    </row>
    <row r="541" spans="1:9" ht="15.75" customHeight="1">
      <c r="A541" s="26"/>
      <c r="B541" s="2"/>
      <c r="C541" s="26"/>
      <c r="D541" s="26"/>
      <c r="F541" s="85" t="str">
        <f t="shared" si="0"/>
        <v/>
      </c>
      <c r="G541" s="1" t="e">
        <f>IF(VALUE(F541) = VALUE(RIGHT(Insights!$C$3, 4)), E541, "")</f>
        <v>#VALUE!</v>
      </c>
      <c r="H541" s="26" t="e">
        <f t="shared" si="1"/>
        <v>#VALUE!</v>
      </c>
      <c r="I541" s="1" t="e">
        <f t="shared" si="2"/>
        <v>#VALUE!</v>
      </c>
    </row>
    <row r="542" spans="1:9" ht="15.75" customHeight="1">
      <c r="A542" s="26"/>
      <c r="B542" s="2"/>
      <c r="C542" s="26"/>
      <c r="D542" s="26"/>
      <c r="F542" s="85" t="str">
        <f t="shared" si="0"/>
        <v/>
      </c>
      <c r="G542" s="1" t="e">
        <f>IF(VALUE(F542) = VALUE(RIGHT(Insights!$C$3, 4)), E542, "")</f>
        <v>#VALUE!</v>
      </c>
      <c r="H542" s="26" t="e">
        <f t="shared" si="1"/>
        <v>#VALUE!</v>
      </c>
      <c r="I542" s="1" t="e">
        <f t="shared" si="2"/>
        <v>#VALUE!</v>
      </c>
    </row>
    <row r="543" spans="1:9" ht="15.75" customHeight="1">
      <c r="A543" s="26"/>
      <c r="B543" s="2"/>
      <c r="C543" s="26"/>
      <c r="D543" s="26"/>
      <c r="F543" s="85" t="str">
        <f t="shared" si="0"/>
        <v/>
      </c>
      <c r="G543" s="1" t="e">
        <f>IF(VALUE(F543) = VALUE(RIGHT(Insights!$C$3, 4)), E543, "")</f>
        <v>#VALUE!</v>
      </c>
      <c r="H543" s="26" t="e">
        <f t="shared" si="1"/>
        <v>#VALUE!</v>
      </c>
      <c r="I543" s="1" t="e">
        <f t="shared" si="2"/>
        <v>#VALUE!</v>
      </c>
    </row>
    <row r="544" spans="1:9" ht="15.75" customHeight="1">
      <c r="A544" s="26"/>
      <c r="B544" s="2"/>
      <c r="C544" s="26"/>
      <c r="D544" s="26"/>
      <c r="F544" s="85" t="str">
        <f t="shared" si="0"/>
        <v/>
      </c>
      <c r="G544" s="1" t="e">
        <f>IF(VALUE(F544) = VALUE(RIGHT(Insights!$C$3, 4)), E544, "")</f>
        <v>#VALUE!</v>
      </c>
      <c r="H544" s="26" t="e">
        <f t="shared" si="1"/>
        <v>#VALUE!</v>
      </c>
      <c r="I544" s="1" t="e">
        <f t="shared" si="2"/>
        <v>#VALUE!</v>
      </c>
    </row>
    <row r="545" spans="1:9" ht="15.75" customHeight="1">
      <c r="A545" s="26"/>
      <c r="B545" s="2"/>
      <c r="C545" s="26"/>
      <c r="D545" s="26"/>
      <c r="F545" s="85" t="str">
        <f t="shared" si="0"/>
        <v/>
      </c>
      <c r="G545" s="1" t="e">
        <f>IF(VALUE(F545) = VALUE(RIGHT(Insights!$C$3, 4)), E545, "")</f>
        <v>#VALUE!</v>
      </c>
      <c r="H545" s="26" t="e">
        <f t="shared" si="1"/>
        <v>#VALUE!</v>
      </c>
      <c r="I545" s="1" t="e">
        <f t="shared" si="2"/>
        <v>#VALUE!</v>
      </c>
    </row>
    <row r="546" spans="1:9" ht="15.75" customHeight="1">
      <c r="A546" s="26"/>
      <c r="B546" s="2"/>
      <c r="C546" s="26"/>
      <c r="D546" s="26"/>
      <c r="F546" s="85" t="str">
        <f t="shared" si="0"/>
        <v/>
      </c>
      <c r="G546" s="1" t="e">
        <f>IF(VALUE(F546) = VALUE(RIGHT(Insights!$C$3, 4)), E546, "")</f>
        <v>#VALUE!</v>
      </c>
      <c r="H546" s="26" t="e">
        <f t="shared" si="1"/>
        <v>#VALUE!</v>
      </c>
      <c r="I546" s="1" t="e">
        <f t="shared" si="2"/>
        <v>#VALUE!</v>
      </c>
    </row>
    <row r="547" spans="1:9" ht="15.75" customHeight="1">
      <c r="A547" s="26"/>
      <c r="B547" s="2"/>
      <c r="C547" s="26"/>
      <c r="D547" s="26"/>
      <c r="F547" s="85" t="str">
        <f t="shared" si="0"/>
        <v/>
      </c>
      <c r="G547" s="1" t="e">
        <f>IF(VALUE(F547) = VALUE(RIGHT(Insights!$C$3, 4)), E547, "")</f>
        <v>#VALUE!</v>
      </c>
      <c r="H547" s="26" t="e">
        <f t="shared" si="1"/>
        <v>#VALUE!</v>
      </c>
      <c r="I547" s="1" t="e">
        <f t="shared" si="2"/>
        <v>#VALUE!</v>
      </c>
    </row>
    <row r="548" spans="1:9" ht="15.75" customHeight="1">
      <c r="A548" s="26"/>
      <c r="B548" s="2"/>
      <c r="C548" s="26"/>
      <c r="D548" s="26"/>
      <c r="F548" s="85" t="str">
        <f t="shared" si="0"/>
        <v/>
      </c>
      <c r="G548" s="1" t="e">
        <f>IF(VALUE(F548) = VALUE(RIGHT(Insights!$C$3, 4)), E548, "")</f>
        <v>#VALUE!</v>
      </c>
      <c r="H548" s="26" t="e">
        <f t="shared" si="1"/>
        <v>#VALUE!</v>
      </c>
      <c r="I548" s="1" t="e">
        <f t="shared" si="2"/>
        <v>#VALUE!</v>
      </c>
    </row>
    <row r="549" spans="1:9" ht="15.75" customHeight="1">
      <c r="A549" s="26"/>
      <c r="B549" s="2"/>
      <c r="C549" s="26"/>
      <c r="D549" s="26"/>
      <c r="F549" s="85" t="str">
        <f t="shared" si="0"/>
        <v/>
      </c>
      <c r="G549" s="1" t="e">
        <f>IF(VALUE(F549) = VALUE(RIGHT(Insights!$C$3, 4)), E549, "")</f>
        <v>#VALUE!</v>
      </c>
      <c r="H549" s="26" t="e">
        <f t="shared" si="1"/>
        <v>#VALUE!</v>
      </c>
      <c r="I549" s="1" t="e">
        <f t="shared" si="2"/>
        <v>#VALUE!</v>
      </c>
    </row>
    <row r="550" spans="1:9" ht="15.75" customHeight="1">
      <c r="A550" s="26"/>
      <c r="B550" s="2"/>
      <c r="C550" s="26"/>
      <c r="D550" s="26"/>
      <c r="F550" s="85" t="str">
        <f t="shared" si="0"/>
        <v/>
      </c>
      <c r="G550" s="1" t="e">
        <f>IF(VALUE(F550) = VALUE(RIGHT(Insights!$C$3, 4)), E550, "")</f>
        <v>#VALUE!</v>
      </c>
      <c r="H550" s="26" t="e">
        <f t="shared" si="1"/>
        <v>#VALUE!</v>
      </c>
      <c r="I550" s="1" t="e">
        <f t="shared" si="2"/>
        <v>#VALUE!</v>
      </c>
    </row>
    <row r="551" spans="1:9" ht="15.75" customHeight="1">
      <c r="A551" s="26"/>
      <c r="B551" s="2"/>
      <c r="C551" s="26"/>
      <c r="D551" s="26"/>
      <c r="F551" s="85" t="str">
        <f t="shared" si="0"/>
        <v/>
      </c>
      <c r="G551" s="1" t="e">
        <f>IF(VALUE(F551) = VALUE(RIGHT(Insights!$C$3, 4)), E551, "")</f>
        <v>#VALUE!</v>
      </c>
      <c r="H551" s="26" t="e">
        <f t="shared" si="1"/>
        <v>#VALUE!</v>
      </c>
      <c r="I551" s="1" t="e">
        <f t="shared" si="2"/>
        <v>#VALUE!</v>
      </c>
    </row>
    <row r="552" spans="1:9" ht="15.75" customHeight="1">
      <c r="A552" s="26"/>
      <c r="B552" s="2"/>
      <c r="C552" s="26"/>
      <c r="D552" s="26"/>
      <c r="F552" s="85" t="str">
        <f t="shared" si="0"/>
        <v/>
      </c>
      <c r="G552" s="1" t="e">
        <f>IF(VALUE(F552) = VALUE(RIGHT(Insights!$C$3, 4)), E552, "")</f>
        <v>#VALUE!</v>
      </c>
      <c r="H552" s="26" t="e">
        <f t="shared" si="1"/>
        <v>#VALUE!</v>
      </c>
      <c r="I552" s="1" t="e">
        <f t="shared" si="2"/>
        <v>#VALUE!</v>
      </c>
    </row>
    <row r="553" spans="1:9" ht="15.75" customHeight="1">
      <c r="A553" s="26"/>
      <c r="B553" s="2"/>
      <c r="C553" s="26"/>
      <c r="D553" s="26"/>
      <c r="F553" s="85" t="str">
        <f t="shared" si="0"/>
        <v/>
      </c>
      <c r="G553" s="1" t="e">
        <f>IF(VALUE(F553) = VALUE(RIGHT(Insights!$C$3, 4)), E553, "")</f>
        <v>#VALUE!</v>
      </c>
      <c r="H553" s="26" t="e">
        <f t="shared" si="1"/>
        <v>#VALUE!</v>
      </c>
      <c r="I553" s="1" t="e">
        <f t="shared" si="2"/>
        <v>#VALUE!</v>
      </c>
    </row>
    <row r="554" spans="1:9" ht="15.75" customHeight="1">
      <c r="A554" s="26"/>
      <c r="B554" s="2"/>
      <c r="C554" s="26"/>
      <c r="D554" s="26"/>
      <c r="F554" s="85" t="str">
        <f t="shared" si="0"/>
        <v/>
      </c>
      <c r="G554" s="1" t="e">
        <f>IF(VALUE(F554) = VALUE(RIGHT(Insights!$C$3, 4)), E554, "")</f>
        <v>#VALUE!</v>
      </c>
      <c r="H554" s="26" t="e">
        <f t="shared" si="1"/>
        <v>#VALUE!</v>
      </c>
      <c r="I554" s="1" t="e">
        <f t="shared" si="2"/>
        <v>#VALUE!</v>
      </c>
    </row>
    <row r="555" spans="1:9" ht="15.75" customHeight="1">
      <c r="A555" s="26"/>
      <c r="B555" s="2"/>
      <c r="C555" s="26"/>
      <c r="D555" s="26"/>
      <c r="F555" s="85" t="str">
        <f t="shared" si="0"/>
        <v/>
      </c>
      <c r="G555" s="1" t="e">
        <f>IF(VALUE(F555) = VALUE(RIGHT(Insights!$C$3, 4)), E555, "")</f>
        <v>#VALUE!</v>
      </c>
      <c r="H555" s="26" t="e">
        <f t="shared" si="1"/>
        <v>#VALUE!</v>
      </c>
      <c r="I555" s="1" t="e">
        <f t="shared" si="2"/>
        <v>#VALUE!</v>
      </c>
    </row>
    <row r="556" spans="1:9" ht="15.75" customHeight="1">
      <c r="A556" s="26"/>
      <c r="B556" s="2"/>
      <c r="C556" s="26"/>
      <c r="D556" s="26"/>
      <c r="F556" s="85" t="str">
        <f t="shared" si="0"/>
        <v/>
      </c>
      <c r="G556" s="1" t="e">
        <f>IF(VALUE(F556) = VALUE(RIGHT(Insights!$C$3, 4)), E556, "")</f>
        <v>#VALUE!</v>
      </c>
      <c r="H556" s="26" t="e">
        <f t="shared" si="1"/>
        <v>#VALUE!</v>
      </c>
      <c r="I556" s="1" t="e">
        <f t="shared" si="2"/>
        <v>#VALUE!</v>
      </c>
    </row>
    <row r="557" spans="1:9" ht="15.75" customHeight="1">
      <c r="A557" s="26"/>
      <c r="B557" s="2"/>
      <c r="C557" s="26"/>
      <c r="D557" s="26"/>
      <c r="F557" s="85" t="str">
        <f t="shared" si="0"/>
        <v/>
      </c>
      <c r="G557" s="1" t="e">
        <f>IF(VALUE(F557) = VALUE(RIGHT(Insights!$C$3, 4)), E557, "")</f>
        <v>#VALUE!</v>
      </c>
      <c r="H557" s="26" t="e">
        <f t="shared" si="1"/>
        <v>#VALUE!</v>
      </c>
      <c r="I557" s="1" t="e">
        <f t="shared" si="2"/>
        <v>#VALUE!</v>
      </c>
    </row>
    <row r="558" spans="1:9" ht="15.75" customHeight="1">
      <c r="A558" s="26"/>
      <c r="B558" s="2"/>
      <c r="C558" s="26"/>
      <c r="D558" s="26"/>
      <c r="F558" s="85" t="str">
        <f t="shared" si="0"/>
        <v/>
      </c>
      <c r="G558" s="1" t="e">
        <f>IF(VALUE(F558) = VALUE(RIGHT(Insights!$C$3, 4)), E558, "")</f>
        <v>#VALUE!</v>
      </c>
      <c r="H558" s="26" t="e">
        <f t="shared" si="1"/>
        <v>#VALUE!</v>
      </c>
      <c r="I558" s="1" t="e">
        <f t="shared" si="2"/>
        <v>#VALUE!</v>
      </c>
    </row>
    <row r="559" spans="1:9" ht="15.75" customHeight="1">
      <c r="A559" s="26"/>
      <c r="B559" s="2"/>
      <c r="C559" s="26"/>
      <c r="D559" s="26"/>
      <c r="F559" s="85" t="str">
        <f t="shared" si="0"/>
        <v/>
      </c>
      <c r="G559" s="1" t="e">
        <f>IF(VALUE(F559) = VALUE(RIGHT(Insights!$C$3, 4)), E559, "")</f>
        <v>#VALUE!</v>
      </c>
      <c r="H559" s="26" t="e">
        <f t="shared" si="1"/>
        <v>#VALUE!</v>
      </c>
      <c r="I559" s="1" t="e">
        <f t="shared" si="2"/>
        <v>#VALUE!</v>
      </c>
    </row>
    <row r="560" spans="1:9" ht="15.75" customHeight="1">
      <c r="A560" s="26"/>
      <c r="B560" s="2"/>
      <c r="C560" s="26"/>
      <c r="D560" s="26"/>
      <c r="F560" s="85" t="str">
        <f t="shared" si="0"/>
        <v/>
      </c>
      <c r="G560" s="1" t="e">
        <f>IF(VALUE(F560) = VALUE(RIGHT(Insights!$C$3, 4)), E560, "")</f>
        <v>#VALUE!</v>
      </c>
      <c r="H560" s="26" t="e">
        <f t="shared" si="1"/>
        <v>#VALUE!</v>
      </c>
      <c r="I560" s="1" t="e">
        <f t="shared" si="2"/>
        <v>#VALUE!</v>
      </c>
    </row>
    <row r="561" spans="1:9" ht="15.75" customHeight="1">
      <c r="A561" s="26"/>
      <c r="B561" s="2"/>
      <c r="C561" s="26"/>
      <c r="D561" s="26"/>
      <c r="F561" s="85" t="str">
        <f t="shared" si="0"/>
        <v/>
      </c>
      <c r="G561" s="1" t="e">
        <f>IF(VALUE(F561) = VALUE(RIGHT(Insights!$C$3, 4)), E561, "")</f>
        <v>#VALUE!</v>
      </c>
      <c r="H561" s="26" t="e">
        <f t="shared" si="1"/>
        <v>#VALUE!</v>
      </c>
      <c r="I561" s="1" t="e">
        <f t="shared" si="2"/>
        <v>#VALUE!</v>
      </c>
    </row>
    <row r="562" spans="1:9" ht="15.75" customHeight="1">
      <c r="A562" s="26"/>
      <c r="B562" s="2"/>
      <c r="C562" s="26"/>
      <c r="D562" s="26"/>
      <c r="F562" s="85" t="str">
        <f t="shared" si="0"/>
        <v/>
      </c>
      <c r="G562" s="1" t="e">
        <f>IF(VALUE(F562) = VALUE(RIGHT(Insights!$C$3, 4)), E562, "")</f>
        <v>#VALUE!</v>
      </c>
      <c r="H562" s="26" t="e">
        <f t="shared" si="1"/>
        <v>#VALUE!</v>
      </c>
      <c r="I562" s="1" t="e">
        <f t="shared" si="2"/>
        <v>#VALUE!</v>
      </c>
    </row>
    <row r="563" spans="1:9" ht="15.75" customHeight="1">
      <c r="A563" s="26"/>
      <c r="B563" s="2"/>
      <c r="C563" s="26"/>
      <c r="D563" s="26"/>
      <c r="F563" s="85" t="str">
        <f t="shared" si="0"/>
        <v/>
      </c>
      <c r="G563" s="1" t="e">
        <f>IF(VALUE(F563) = VALUE(RIGHT(Insights!$C$3, 4)), E563, "")</f>
        <v>#VALUE!</v>
      </c>
      <c r="H563" s="26" t="e">
        <f t="shared" si="1"/>
        <v>#VALUE!</v>
      </c>
      <c r="I563" s="1" t="e">
        <f t="shared" si="2"/>
        <v>#VALUE!</v>
      </c>
    </row>
    <row r="564" spans="1:9" ht="15.75" customHeight="1">
      <c r="A564" s="26"/>
      <c r="B564" s="2"/>
      <c r="C564" s="26"/>
      <c r="D564" s="26"/>
      <c r="F564" s="85" t="str">
        <f t="shared" si="0"/>
        <v/>
      </c>
      <c r="G564" s="1" t="e">
        <f>IF(VALUE(F564) = VALUE(RIGHT(Insights!$C$3, 4)), E564, "")</f>
        <v>#VALUE!</v>
      </c>
      <c r="H564" s="26" t="e">
        <f t="shared" si="1"/>
        <v>#VALUE!</v>
      </c>
      <c r="I564" s="1" t="e">
        <f t="shared" si="2"/>
        <v>#VALUE!</v>
      </c>
    </row>
    <row r="565" spans="1:9" ht="15.75" customHeight="1">
      <c r="A565" s="26"/>
      <c r="B565" s="2"/>
      <c r="C565" s="26"/>
      <c r="D565" s="26"/>
      <c r="F565" s="85" t="str">
        <f t="shared" si="0"/>
        <v/>
      </c>
      <c r="G565" s="1" t="e">
        <f>IF(VALUE(F565) = VALUE(RIGHT(Insights!$C$3, 4)), E565, "")</f>
        <v>#VALUE!</v>
      </c>
      <c r="H565" s="26" t="e">
        <f t="shared" si="1"/>
        <v>#VALUE!</v>
      </c>
      <c r="I565" s="1" t="e">
        <f t="shared" si="2"/>
        <v>#VALUE!</v>
      </c>
    </row>
    <row r="566" spans="1:9" ht="15.75" customHeight="1">
      <c r="A566" s="26"/>
      <c r="B566" s="2"/>
      <c r="C566" s="26"/>
      <c r="D566" s="26"/>
      <c r="F566" s="85" t="str">
        <f t="shared" si="0"/>
        <v/>
      </c>
      <c r="G566" s="1" t="e">
        <f>IF(VALUE(F566) = VALUE(RIGHT(Insights!$C$3, 4)), E566, "")</f>
        <v>#VALUE!</v>
      </c>
      <c r="H566" s="26" t="e">
        <f t="shared" si="1"/>
        <v>#VALUE!</v>
      </c>
      <c r="I566" s="1" t="e">
        <f t="shared" si="2"/>
        <v>#VALUE!</v>
      </c>
    </row>
    <row r="567" spans="1:9" ht="15.75" customHeight="1">
      <c r="A567" s="26"/>
      <c r="B567" s="2"/>
      <c r="C567" s="26"/>
      <c r="D567" s="26"/>
      <c r="F567" s="85" t="str">
        <f t="shared" si="0"/>
        <v/>
      </c>
      <c r="G567" s="1" t="e">
        <f>IF(VALUE(F567) = VALUE(RIGHT(Insights!$C$3, 4)), E567, "")</f>
        <v>#VALUE!</v>
      </c>
      <c r="H567" s="26" t="e">
        <f t="shared" si="1"/>
        <v>#VALUE!</v>
      </c>
      <c r="I567" s="1" t="e">
        <f t="shared" si="2"/>
        <v>#VALUE!</v>
      </c>
    </row>
    <row r="568" spans="1:9" ht="15.75" customHeight="1">
      <c r="A568" s="26"/>
      <c r="B568" s="2"/>
      <c r="C568" s="26"/>
      <c r="D568" s="26"/>
      <c r="F568" s="85" t="str">
        <f t="shared" si="0"/>
        <v/>
      </c>
      <c r="G568" s="1" t="e">
        <f>IF(VALUE(F568) = VALUE(RIGHT(Insights!$C$3, 4)), E568, "")</f>
        <v>#VALUE!</v>
      </c>
      <c r="H568" s="26" t="e">
        <f t="shared" si="1"/>
        <v>#VALUE!</v>
      </c>
      <c r="I568" s="1" t="e">
        <f t="shared" si="2"/>
        <v>#VALUE!</v>
      </c>
    </row>
    <row r="569" spans="1:9" ht="15.75" customHeight="1">
      <c r="A569" s="26"/>
      <c r="B569" s="2"/>
      <c r="C569" s="26"/>
      <c r="D569" s="26"/>
      <c r="F569" s="85" t="str">
        <f t="shared" si="0"/>
        <v/>
      </c>
      <c r="G569" s="1" t="e">
        <f>IF(VALUE(F569) = VALUE(RIGHT(Insights!$C$3, 4)), E569, "")</f>
        <v>#VALUE!</v>
      </c>
      <c r="H569" s="26" t="e">
        <f t="shared" si="1"/>
        <v>#VALUE!</v>
      </c>
      <c r="I569" s="1" t="e">
        <f t="shared" si="2"/>
        <v>#VALUE!</v>
      </c>
    </row>
    <row r="570" spans="1:9" ht="15.75" customHeight="1">
      <c r="A570" s="26"/>
      <c r="B570" s="2"/>
      <c r="C570" s="26"/>
      <c r="D570" s="26"/>
      <c r="F570" s="85" t="str">
        <f t="shared" si="0"/>
        <v/>
      </c>
      <c r="G570" s="1" t="e">
        <f>IF(VALUE(F570) = VALUE(RIGHT(Insights!$C$3, 4)), E570, "")</f>
        <v>#VALUE!</v>
      </c>
      <c r="H570" s="26" t="e">
        <f t="shared" si="1"/>
        <v>#VALUE!</v>
      </c>
      <c r="I570" s="1" t="e">
        <f t="shared" si="2"/>
        <v>#VALUE!</v>
      </c>
    </row>
    <row r="571" spans="1:9" ht="15.75" customHeight="1">
      <c r="A571" s="26"/>
      <c r="B571" s="2"/>
      <c r="C571" s="26"/>
      <c r="D571" s="26"/>
      <c r="F571" s="85" t="str">
        <f t="shared" si="0"/>
        <v/>
      </c>
      <c r="G571" s="1" t="e">
        <f>IF(VALUE(F571) = VALUE(RIGHT(Insights!$C$3, 4)), E571, "")</f>
        <v>#VALUE!</v>
      </c>
      <c r="H571" s="26" t="e">
        <f t="shared" si="1"/>
        <v>#VALUE!</v>
      </c>
      <c r="I571" s="1" t="e">
        <f t="shared" si="2"/>
        <v>#VALUE!</v>
      </c>
    </row>
    <row r="572" spans="1:9" ht="15.75" customHeight="1">
      <c r="A572" s="26"/>
      <c r="B572" s="2"/>
      <c r="C572" s="26"/>
      <c r="D572" s="26"/>
      <c r="F572" s="85" t="str">
        <f t="shared" si="0"/>
        <v/>
      </c>
      <c r="G572" s="1" t="e">
        <f>IF(VALUE(F572) = VALUE(RIGHT(Insights!$C$3, 4)), E572, "")</f>
        <v>#VALUE!</v>
      </c>
      <c r="H572" s="26" t="e">
        <f t="shared" si="1"/>
        <v>#VALUE!</v>
      </c>
      <c r="I572" s="1" t="e">
        <f t="shared" si="2"/>
        <v>#VALUE!</v>
      </c>
    </row>
    <row r="573" spans="1:9" ht="15.75" customHeight="1">
      <c r="A573" s="26"/>
      <c r="B573" s="2"/>
      <c r="C573" s="26"/>
      <c r="D573" s="26"/>
      <c r="F573" s="85" t="str">
        <f t="shared" si="0"/>
        <v/>
      </c>
      <c r="G573" s="1" t="e">
        <f>IF(VALUE(F573) = VALUE(RIGHT(Insights!$C$3, 4)), E573, "")</f>
        <v>#VALUE!</v>
      </c>
      <c r="H573" s="26" t="e">
        <f t="shared" si="1"/>
        <v>#VALUE!</v>
      </c>
      <c r="I573" s="1" t="e">
        <f t="shared" si="2"/>
        <v>#VALUE!</v>
      </c>
    </row>
    <row r="574" spans="1:9" ht="15.75" customHeight="1">
      <c r="A574" s="26"/>
      <c r="B574" s="2"/>
      <c r="C574" s="26"/>
      <c r="D574" s="26"/>
      <c r="F574" s="85" t="str">
        <f t="shared" si="0"/>
        <v/>
      </c>
      <c r="G574" s="1" t="e">
        <f>IF(VALUE(F574) = VALUE(RIGHT(Insights!$C$3, 4)), E574, "")</f>
        <v>#VALUE!</v>
      </c>
      <c r="H574" s="26" t="e">
        <f t="shared" si="1"/>
        <v>#VALUE!</v>
      </c>
      <c r="I574" s="1" t="e">
        <f t="shared" si="2"/>
        <v>#VALUE!</v>
      </c>
    </row>
    <row r="575" spans="1:9" ht="15.75" customHeight="1">
      <c r="A575" s="26"/>
      <c r="B575" s="2"/>
      <c r="C575" s="26"/>
      <c r="D575" s="26"/>
      <c r="F575" s="85" t="str">
        <f t="shared" si="0"/>
        <v/>
      </c>
      <c r="G575" s="1" t="e">
        <f>IF(VALUE(F575) = VALUE(RIGHT(Insights!$C$3, 4)), E575, "")</f>
        <v>#VALUE!</v>
      </c>
      <c r="H575" s="26" t="e">
        <f t="shared" si="1"/>
        <v>#VALUE!</v>
      </c>
      <c r="I575" s="1" t="e">
        <f t="shared" si="2"/>
        <v>#VALUE!</v>
      </c>
    </row>
    <row r="576" spans="1:9" ht="15.75" customHeight="1">
      <c r="A576" s="26"/>
      <c r="B576" s="2"/>
      <c r="C576" s="26"/>
      <c r="D576" s="26"/>
      <c r="F576" s="85" t="str">
        <f t="shared" si="0"/>
        <v/>
      </c>
      <c r="G576" s="1" t="e">
        <f>IF(VALUE(F576) = VALUE(RIGHT(Insights!$C$3, 4)), E576, "")</f>
        <v>#VALUE!</v>
      </c>
      <c r="H576" s="26" t="e">
        <f t="shared" si="1"/>
        <v>#VALUE!</v>
      </c>
      <c r="I576" s="1" t="e">
        <f t="shared" si="2"/>
        <v>#VALUE!</v>
      </c>
    </row>
    <row r="577" spans="1:9" ht="15.75" customHeight="1">
      <c r="A577" s="26"/>
      <c r="B577" s="2"/>
      <c r="C577" s="26"/>
      <c r="D577" s="26"/>
      <c r="F577" s="85" t="str">
        <f t="shared" si="0"/>
        <v/>
      </c>
      <c r="G577" s="1" t="e">
        <f>IF(VALUE(F577) = VALUE(RIGHT(Insights!$C$3, 4)), E577, "")</f>
        <v>#VALUE!</v>
      </c>
      <c r="H577" s="26" t="e">
        <f t="shared" si="1"/>
        <v>#VALUE!</v>
      </c>
      <c r="I577" s="1" t="e">
        <f t="shared" si="2"/>
        <v>#VALUE!</v>
      </c>
    </row>
    <row r="578" spans="1:9" ht="15.75" customHeight="1">
      <c r="A578" s="26"/>
      <c r="B578" s="2"/>
      <c r="C578" s="26"/>
      <c r="D578" s="26"/>
      <c r="F578" s="85" t="str">
        <f t="shared" si="0"/>
        <v/>
      </c>
      <c r="G578" s="1" t="e">
        <f>IF(VALUE(F578) = VALUE(RIGHT(Insights!$C$3, 4)), E578, "")</f>
        <v>#VALUE!</v>
      </c>
      <c r="H578" s="26" t="e">
        <f t="shared" si="1"/>
        <v>#VALUE!</v>
      </c>
      <c r="I578" s="1" t="e">
        <f t="shared" si="2"/>
        <v>#VALUE!</v>
      </c>
    </row>
    <row r="579" spans="1:9" ht="15.75" customHeight="1">
      <c r="A579" s="26"/>
      <c r="B579" s="2"/>
      <c r="C579" s="26"/>
      <c r="D579" s="26"/>
      <c r="F579" s="85" t="str">
        <f t="shared" si="0"/>
        <v/>
      </c>
      <c r="G579" s="1" t="e">
        <f>IF(VALUE(F579) = VALUE(RIGHT(Insights!$C$3, 4)), E579, "")</f>
        <v>#VALUE!</v>
      </c>
      <c r="H579" s="26" t="e">
        <f t="shared" si="1"/>
        <v>#VALUE!</v>
      </c>
      <c r="I579" s="1" t="e">
        <f t="shared" si="2"/>
        <v>#VALUE!</v>
      </c>
    </row>
    <row r="580" spans="1:9" ht="15.75" customHeight="1">
      <c r="A580" s="26"/>
      <c r="B580" s="2"/>
      <c r="C580" s="26"/>
      <c r="D580" s="26"/>
      <c r="F580" s="85" t="str">
        <f t="shared" si="0"/>
        <v/>
      </c>
      <c r="G580" s="1" t="e">
        <f>IF(VALUE(F580) = VALUE(RIGHT(Insights!$C$3, 4)), E580, "")</f>
        <v>#VALUE!</v>
      </c>
      <c r="H580" s="26" t="e">
        <f t="shared" si="1"/>
        <v>#VALUE!</v>
      </c>
      <c r="I580" s="1" t="e">
        <f t="shared" si="2"/>
        <v>#VALUE!</v>
      </c>
    </row>
    <row r="581" spans="1:9" ht="15.75" customHeight="1">
      <c r="A581" s="26"/>
      <c r="B581" s="2"/>
      <c r="C581" s="26"/>
      <c r="D581" s="26"/>
      <c r="F581" s="85" t="str">
        <f t="shared" si="0"/>
        <v/>
      </c>
      <c r="G581" s="1" t="e">
        <f>IF(VALUE(F581) = VALUE(RIGHT(Insights!$C$3, 4)), E581, "")</f>
        <v>#VALUE!</v>
      </c>
      <c r="H581" s="26" t="e">
        <f t="shared" si="1"/>
        <v>#VALUE!</v>
      </c>
      <c r="I581" s="1" t="e">
        <f t="shared" si="2"/>
        <v>#VALUE!</v>
      </c>
    </row>
    <row r="582" spans="1:9" ht="15.75" customHeight="1">
      <c r="A582" s="26"/>
      <c r="B582" s="2"/>
      <c r="C582" s="26"/>
      <c r="D582" s="26"/>
      <c r="F582" s="85" t="str">
        <f t="shared" si="0"/>
        <v/>
      </c>
      <c r="G582" s="1" t="e">
        <f>IF(VALUE(F582) = VALUE(RIGHT(Insights!$C$3, 4)), E582, "")</f>
        <v>#VALUE!</v>
      </c>
      <c r="H582" s="26" t="e">
        <f t="shared" si="1"/>
        <v>#VALUE!</v>
      </c>
      <c r="I582" s="1" t="e">
        <f t="shared" si="2"/>
        <v>#VALUE!</v>
      </c>
    </row>
    <row r="583" spans="1:9" ht="15.75" customHeight="1">
      <c r="A583" s="26"/>
      <c r="B583" s="2"/>
      <c r="C583" s="26"/>
      <c r="D583" s="26"/>
      <c r="F583" s="85" t="str">
        <f t="shared" si="0"/>
        <v/>
      </c>
      <c r="G583" s="1" t="e">
        <f>IF(VALUE(F583) = VALUE(RIGHT(Insights!$C$3, 4)), E583, "")</f>
        <v>#VALUE!</v>
      </c>
      <c r="H583" s="26" t="e">
        <f t="shared" si="1"/>
        <v>#VALUE!</v>
      </c>
      <c r="I583" s="1" t="e">
        <f t="shared" si="2"/>
        <v>#VALUE!</v>
      </c>
    </row>
    <row r="584" spans="1:9" ht="15.75" customHeight="1">
      <c r="A584" s="26"/>
      <c r="B584" s="2"/>
      <c r="C584" s="26"/>
      <c r="D584" s="26"/>
      <c r="F584" s="85" t="str">
        <f t="shared" si="0"/>
        <v/>
      </c>
      <c r="G584" s="1" t="e">
        <f>IF(VALUE(F584) = VALUE(RIGHT(Insights!$C$3, 4)), E584, "")</f>
        <v>#VALUE!</v>
      </c>
      <c r="H584" s="26" t="e">
        <f t="shared" si="1"/>
        <v>#VALUE!</v>
      </c>
      <c r="I584" s="1" t="e">
        <f t="shared" si="2"/>
        <v>#VALUE!</v>
      </c>
    </row>
    <row r="585" spans="1:9" ht="15.75" customHeight="1">
      <c r="A585" s="26"/>
      <c r="B585" s="2"/>
      <c r="C585" s="26"/>
      <c r="D585" s="26"/>
      <c r="F585" s="85" t="str">
        <f t="shared" si="0"/>
        <v/>
      </c>
      <c r="G585" s="1" t="e">
        <f>IF(VALUE(F585) = VALUE(RIGHT(Insights!$C$3, 4)), E585, "")</f>
        <v>#VALUE!</v>
      </c>
      <c r="H585" s="26" t="e">
        <f t="shared" si="1"/>
        <v>#VALUE!</v>
      </c>
      <c r="I585" s="1" t="e">
        <f t="shared" si="2"/>
        <v>#VALUE!</v>
      </c>
    </row>
    <row r="586" spans="1:9" ht="15.75" customHeight="1">
      <c r="A586" s="26"/>
      <c r="B586" s="2"/>
      <c r="C586" s="26"/>
      <c r="D586" s="26"/>
      <c r="F586" s="85" t="str">
        <f t="shared" si="0"/>
        <v/>
      </c>
      <c r="G586" s="1" t="e">
        <f>IF(VALUE(F586) = VALUE(RIGHT(Insights!$C$3, 4)), E586, "")</f>
        <v>#VALUE!</v>
      </c>
      <c r="H586" s="26" t="e">
        <f t="shared" si="1"/>
        <v>#VALUE!</v>
      </c>
      <c r="I586" s="1" t="e">
        <f t="shared" si="2"/>
        <v>#VALUE!</v>
      </c>
    </row>
    <row r="587" spans="1:9" ht="15.75" customHeight="1">
      <c r="A587" s="26"/>
      <c r="B587" s="2"/>
      <c r="C587" s="26"/>
      <c r="D587" s="26"/>
      <c r="F587" s="85" t="str">
        <f t="shared" si="0"/>
        <v/>
      </c>
      <c r="G587" s="1" t="e">
        <f>IF(VALUE(F587) = VALUE(RIGHT(Insights!$C$3, 4)), E587, "")</f>
        <v>#VALUE!</v>
      </c>
      <c r="H587" s="26" t="e">
        <f t="shared" si="1"/>
        <v>#VALUE!</v>
      </c>
      <c r="I587" s="1" t="e">
        <f t="shared" si="2"/>
        <v>#VALUE!</v>
      </c>
    </row>
    <row r="588" spans="1:9" ht="15.75" customHeight="1">
      <c r="A588" s="26"/>
      <c r="B588" s="2"/>
      <c r="C588" s="26"/>
      <c r="D588" s="26"/>
      <c r="F588" s="85" t="str">
        <f t="shared" si="0"/>
        <v/>
      </c>
      <c r="G588" s="1" t="e">
        <f>IF(VALUE(F588) = VALUE(RIGHT(Insights!$C$3, 4)), E588, "")</f>
        <v>#VALUE!</v>
      </c>
      <c r="H588" s="26" t="e">
        <f t="shared" si="1"/>
        <v>#VALUE!</v>
      </c>
      <c r="I588" s="1" t="e">
        <f t="shared" si="2"/>
        <v>#VALUE!</v>
      </c>
    </row>
    <row r="589" spans="1:9" ht="15.75" customHeight="1">
      <c r="A589" s="26"/>
      <c r="B589" s="2"/>
      <c r="C589" s="26"/>
      <c r="D589" s="26"/>
      <c r="F589" s="85" t="str">
        <f t="shared" si="0"/>
        <v/>
      </c>
      <c r="G589" s="1" t="e">
        <f>IF(VALUE(F589) = VALUE(RIGHT(Insights!$C$3, 4)), E589, "")</f>
        <v>#VALUE!</v>
      </c>
      <c r="H589" s="26" t="e">
        <f t="shared" si="1"/>
        <v>#VALUE!</v>
      </c>
      <c r="I589" s="1" t="e">
        <f t="shared" si="2"/>
        <v>#VALUE!</v>
      </c>
    </row>
    <row r="590" spans="1:9" ht="15.75" customHeight="1">
      <c r="A590" s="26"/>
      <c r="B590" s="2"/>
      <c r="C590" s="26"/>
      <c r="D590" s="26"/>
      <c r="F590" s="85" t="str">
        <f t="shared" si="0"/>
        <v/>
      </c>
      <c r="G590" s="1" t="e">
        <f>IF(VALUE(F590) = VALUE(RIGHT(Insights!$C$3, 4)), E590, "")</f>
        <v>#VALUE!</v>
      </c>
      <c r="H590" s="26" t="e">
        <f t="shared" si="1"/>
        <v>#VALUE!</v>
      </c>
      <c r="I590" s="1" t="e">
        <f t="shared" si="2"/>
        <v>#VALUE!</v>
      </c>
    </row>
    <row r="591" spans="1:9" ht="15.75" customHeight="1">
      <c r="A591" s="26"/>
      <c r="B591" s="2"/>
      <c r="C591" s="26"/>
      <c r="D591" s="26"/>
      <c r="F591" s="85" t="str">
        <f t="shared" si="0"/>
        <v/>
      </c>
      <c r="G591" s="1" t="e">
        <f>IF(VALUE(F591) = VALUE(RIGHT(Insights!$C$3, 4)), E591, "")</f>
        <v>#VALUE!</v>
      </c>
      <c r="H591" s="26" t="e">
        <f t="shared" si="1"/>
        <v>#VALUE!</v>
      </c>
      <c r="I591" s="1" t="e">
        <f t="shared" si="2"/>
        <v>#VALUE!</v>
      </c>
    </row>
    <row r="592" spans="1:9" ht="15.75" customHeight="1">
      <c r="A592" s="26"/>
      <c r="B592" s="2"/>
      <c r="C592" s="26"/>
      <c r="D592" s="26"/>
      <c r="F592" s="85" t="str">
        <f t="shared" si="0"/>
        <v/>
      </c>
      <c r="G592" s="1" t="e">
        <f>IF(VALUE(F592) = VALUE(RIGHT(Insights!$C$3, 4)), E592, "")</f>
        <v>#VALUE!</v>
      </c>
      <c r="H592" s="26" t="e">
        <f t="shared" si="1"/>
        <v>#VALUE!</v>
      </c>
      <c r="I592" s="1" t="e">
        <f t="shared" si="2"/>
        <v>#VALUE!</v>
      </c>
    </row>
    <row r="593" spans="1:9" ht="15.75" customHeight="1">
      <c r="A593" s="26"/>
      <c r="B593" s="2"/>
      <c r="C593" s="26"/>
      <c r="D593" s="26"/>
      <c r="F593" s="85" t="str">
        <f t="shared" si="0"/>
        <v/>
      </c>
      <c r="G593" s="1" t="e">
        <f>IF(VALUE(F593) = VALUE(RIGHT(Insights!$C$3, 4)), E593, "")</f>
        <v>#VALUE!</v>
      </c>
      <c r="H593" s="26" t="e">
        <f t="shared" si="1"/>
        <v>#VALUE!</v>
      </c>
      <c r="I593" s="1" t="e">
        <f t="shared" si="2"/>
        <v>#VALUE!</v>
      </c>
    </row>
    <row r="594" spans="1:9" ht="15.75" customHeight="1">
      <c r="A594" s="26"/>
      <c r="B594" s="2"/>
      <c r="C594" s="26"/>
      <c r="D594" s="26"/>
      <c r="F594" s="85" t="str">
        <f t="shared" si="0"/>
        <v/>
      </c>
      <c r="G594" s="1" t="e">
        <f>IF(VALUE(F594) = VALUE(RIGHT(Insights!$C$3, 4)), E594, "")</f>
        <v>#VALUE!</v>
      </c>
      <c r="H594" s="26" t="e">
        <f t="shared" si="1"/>
        <v>#VALUE!</v>
      </c>
      <c r="I594" s="1" t="e">
        <f t="shared" si="2"/>
        <v>#VALUE!</v>
      </c>
    </row>
    <row r="595" spans="1:9" ht="15.75" customHeight="1">
      <c r="A595" s="26"/>
      <c r="B595" s="2"/>
      <c r="C595" s="26"/>
      <c r="D595" s="26"/>
      <c r="F595" s="85" t="str">
        <f t="shared" si="0"/>
        <v/>
      </c>
      <c r="G595" s="1" t="e">
        <f>IF(VALUE(F595) = VALUE(RIGHT(Insights!$C$3, 4)), E595, "")</f>
        <v>#VALUE!</v>
      </c>
      <c r="H595" s="26" t="e">
        <f t="shared" si="1"/>
        <v>#VALUE!</v>
      </c>
      <c r="I595" s="1" t="e">
        <f t="shared" si="2"/>
        <v>#VALUE!</v>
      </c>
    </row>
    <row r="596" spans="1:9" ht="15.75" customHeight="1">
      <c r="A596" s="26"/>
      <c r="B596" s="2"/>
      <c r="C596" s="26"/>
      <c r="D596" s="26"/>
      <c r="F596" s="85" t="str">
        <f t="shared" si="0"/>
        <v/>
      </c>
      <c r="G596" s="1" t="e">
        <f>IF(VALUE(F596) = VALUE(RIGHT(Insights!$C$3, 4)), E596, "")</f>
        <v>#VALUE!</v>
      </c>
      <c r="H596" s="26" t="e">
        <f t="shared" si="1"/>
        <v>#VALUE!</v>
      </c>
      <c r="I596" s="1" t="e">
        <f t="shared" si="2"/>
        <v>#VALUE!</v>
      </c>
    </row>
    <row r="597" spans="1:9" ht="15.75" customHeight="1">
      <c r="A597" s="26"/>
      <c r="B597" s="2"/>
      <c r="C597" s="26"/>
      <c r="D597" s="26"/>
      <c r="F597" s="85" t="str">
        <f t="shared" si="0"/>
        <v/>
      </c>
      <c r="G597" s="1" t="e">
        <f>IF(VALUE(F597) = VALUE(RIGHT(Insights!$C$3, 4)), E597, "")</f>
        <v>#VALUE!</v>
      </c>
      <c r="H597" s="26" t="e">
        <f t="shared" si="1"/>
        <v>#VALUE!</v>
      </c>
      <c r="I597" s="1" t="e">
        <f t="shared" si="2"/>
        <v>#VALUE!</v>
      </c>
    </row>
    <row r="598" spans="1:9" ht="15.75" customHeight="1">
      <c r="A598" s="26"/>
      <c r="B598" s="2"/>
      <c r="C598" s="26"/>
      <c r="D598" s="26"/>
      <c r="F598" s="85" t="str">
        <f t="shared" si="0"/>
        <v/>
      </c>
      <c r="G598" s="1" t="e">
        <f>IF(VALUE(F598) = VALUE(RIGHT(Insights!$C$3, 4)), E598, "")</f>
        <v>#VALUE!</v>
      </c>
      <c r="H598" s="26" t="e">
        <f t="shared" si="1"/>
        <v>#VALUE!</v>
      </c>
      <c r="I598" s="1" t="e">
        <f t="shared" si="2"/>
        <v>#VALUE!</v>
      </c>
    </row>
    <row r="599" spans="1:9" ht="15.75" customHeight="1">
      <c r="A599" s="26"/>
      <c r="B599" s="2"/>
      <c r="C599" s="26"/>
      <c r="D599" s="26"/>
      <c r="F599" s="85" t="str">
        <f t="shared" si="0"/>
        <v/>
      </c>
      <c r="G599" s="1" t="e">
        <f>IF(VALUE(F599) = VALUE(RIGHT(Insights!$C$3, 4)), E599, "")</f>
        <v>#VALUE!</v>
      </c>
      <c r="H599" s="26" t="e">
        <f t="shared" si="1"/>
        <v>#VALUE!</v>
      </c>
      <c r="I599" s="1" t="e">
        <f t="shared" si="2"/>
        <v>#VALUE!</v>
      </c>
    </row>
    <row r="600" spans="1:9" ht="15.75" customHeight="1">
      <c r="A600" s="26"/>
      <c r="B600" s="2"/>
      <c r="C600" s="26"/>
      <c r="D600" s="26"/>
      <c r="F600" s="85" t="str">
        <f t="shared" si="0"/>
        <v/>
      </c>
      <c r="G600" s="1" t="e">
        <f>IF(VALUE(F600) = VALUE(RIGHT(Insights!$C$3, 4)), E600, "")</f>
        <v>#VALUE!</v>
      </c>
      <c r="H600" s="26" t="e">
        <f t="shared" si="1"/>
        <v>#VALUE!</v>
      </c>
      <c r="I600" s="1" t="e">
        <f t="shared" si="2"/>
        <v>#VALUE!</v>
      </c>
    </row>
    <row r="601" spans="1:9" ht="15.75" customHeight="1">
      <c r="A601" s="26"/>
      <c r="B601" s="2"/>
      <c r="C601" s="26"/>
      <c r="D601" s="26"/>
      <c r="F601" s="85" t="str">
        <f t="shared" si="0"/>
        <v/>
      </c>
      <c r="G601" s="1" t="e">
        <f>IF(VALUE(F601) = VALUE(RIGHT(Insights!$C$3, 4)), E601, "")</f>
        <v>#VALUE!</v>
      </c>
      <c r="H601" s="26" t="e">
        <f t="shared" si="1"/>
        <v>#VALUE!</v>
      </c>
      <c r="I601" s="1" t="e">
        <f t="shared" si="2"/>
        <v>#VALUE!</v>
      </c>
    </row>
    <row r="602" spans="1:9" ht="15.75" customHeight="1">
      <c r="A602" s="26"/>
      <c r="B602" s="2"/>
      <c r="C602" s="26"/>
      <c r="D602" s="26"/>
      <c r="F602" s="85" t="str">
        <f t="shared" si="0"/>
        <v/>
      </c>
      <c r="G602" s="1" t="e">
        <f>IF(VALUE(F602) = VALUE(RIGHT(Insights!$C$3, 4)), E602, "")</f>
        <v>#VALUE!</v>
      </c>
      <c r="H602" s="26" t="e">
        <f t="shared" si="1"/>
        <v>#VALUE!</v>
      </c>
      <c r="I602" s="1" t="e">
        <f t="shared" si="2"/>
        <v>#VALUE!</v>
      </c>
    </row>
    <row r="603" spans="1:9" ht="15.75" customHeight="1">
      <c r="A603" s="26"/>
      <c r="B603" s="2"/>
      <c r="C603" s="26"/>
      <c r="D603" s="26"/>
      <c r="F603" s="85" t="str">
        <f t="shared" si="0"/>
        <v/>
      </c>
      <c r="G603" s="1" t="e">
        <f>IF(VALUE(F603) = VALUE(RIGHT(Insights!$C$3, 4)), E603, "")</f>
        <v>#VALUE!</v>
      </c>
      <c r="H603" s="26" t="e">
        <f t="shared" si="1"/>
        <v>#VALUE!</v>
      </c>
      <c r="I603" s="1" t="e">
        <f t="shared" si="2"/>
        <v>#VALUE!</v>
      </c>
    </row>
    <row r="604" spans="1:9" ht="15.75" customHeight="1">
      <c r="A604" s="26"/>
      <c r="B604" s="2"/>
      <c r="C604" s="26"/>
      <c r="D604" s="26"/>
      <c r="F604" s="85" t="str">
        <f t="shared" si="0"/>
        <v/>
      </c>
      <c r="G604" s="1" t="e">
        <f>IF(VALUE(F604) = VALUE(RIGHT(Insights!$C$3, 4)), E604, "")</f>
        <v>#VALUE!</v>
      </c>
      <c r="H604" s="26" t="e">
        <f t="shared" si="1"/>
        <v>#VALUE!</v>
      </c>
      <c r="I604" s="1" t="e">
        <f t="shared" si="2"/>
        <v>#VALUE!</v>
      </c>
    </row>
    <row r="605" spans="1:9" ht="15.75" customHeight="1">
      <c r="A605" s="26"/>
      <c r="B605" s="2"/>
      <c r="C605" s="26"/>
      <c r="D605" s="26"/>
      <c r="F605" s="85" t="str">
        <f t="shared" si="0"/>
        <v/>
      </c>
      <c r="G605" s="1" t="e">
        <f>IF(VALUE(F605) = VALUE(RIGHT(Insights!$C$3, 4)), E605, "")</f>
        <v>#VALUE!</v>
      </c>
      <c r="H605" s="26" t="e">
        <f t="shared" si="1"/>
        <v>#VALUE!</v>
      </c>
      <c r="I605" s="1" t="e">
        <f t="shared" si="2"/>
        <v>#VALUE!</v>
      </c>
    </row>
    <row r="606" spans="1:9" ht="15.75" customHeight="1">
      <c r="A606" s="26"/>
      <c r="B606" s="2"/>
      <c r="C606" s="26"/>
      <c r="D606" s="26"/>
      <c r="F606" s="85" t="str">
        <f t="shared" si="0"/>
        <v/>
      </c>
      <c r="G606" s="1" t="e">
        <f>IF(VALUE(F606) = VALUE(RIGHT(Insights!$C$3, 4)), E606, "")</f>
        <v>#VALUE!</v>
      </c>
      <c r="H606" s="26" t="e">
        <f t="shared" si="1"/>
        <v>#VALUE!</v>
      </c>
      <c r="I606" s="1" t="e">
        <f t="shared" si="2"/>
        <v>#VALUE!</v>
      </c>
    </row>
    <row r="607" spans="1:9" ht="15.75" customHeight="1">
      <c r="A607" s="26"/>
      <c r="B607" s="2"/>
      <c r="C607" s="26"/>
      <c r="D607" s="26"/>
      <c r="F607" s="85" t="str">
        <f t="shared" si="0"/>
        <v/>
      </c>
      <c r="G607" s="1" t="e">
        <f>IF(VALUE(F607) = VALUE(RIGHT(Insights!$C$3, 4)), E607, "")</f>
        <v>#VALUE!</v>
      </c>
      <c r="H607" s="26" t="e">
        <f t="shared" si="1"/>
        <v>#VALUE!</v>
      </c>
      <c r="I607" s="1" t="e">
        <f t="shared" si="2"/>
        <v>#VALUE!</v>
      </c>
    </row>
    <row r="608" spans="1:9" ht="15.75" customHeight="1">
      <c r="A608" s="26"/>
      <c r="B608" s="2"/>
      <c r="C608" s="26"/>
      <c r="D608" s="26"/>
      <c r="F608" s="85" t="str">
        <f t="shared" si="0"/>
        <v/>
      </c>
      <c r="G608" s="1" t="e">
        <f>IF(VALUE(F608) = VALUE(RIGHT(Insights!$C$3, 4)), E608, "")</f>
        <v>#VALUE!</v>
      </c>
      <c r="H608" s="26" t="e">
        <f t="shared" si="1"/>
        <v>#VALUE!</v>
      </c>
      <c r="I608" s="1" t="e">
        <f t="shared" si="2"/>
        <v>#VALUE!</v>
      </c>
    </row>
    <row r="609" spans="1:9" ht="15.75" customHeight="1">
      <c r="A609" s="26"/>
      <c r="B609" s="2"/>
      <c r="C609" s="26"/>
      <c r="D609" s="26"/>
      <c r="F609" s="85" t="str">
        <f t="shared" si="0"/>
        <v/>
      </c>
      <c r="G609" s="1" t="e">
        <f>IF(VALUE(F609) = VALUE(RIGHT(Insights!$C$3, 4)), E609, "")</f>
        <v>#VALUE!</v>
      </c>
      <c r="H609" s="26" t="e">
        <f t="shared" si="1"/>
        <v>#VALUE!</v>
      </c>
      <c r="I609" s="1" t="e">
        <f t="shared" si="2"/>
        <v>#VALUE!</v>
      </c>
    </row>
    <row r="610" spans="1:9" ht="15.75" customHeight="1">
      <c r="A610" s="26"/>
      <c r="B610" s="2"/>
      <c r="C610" s="26"/>
      <c r="D610" s="26"/>
      <c r="F610" s="85" t="str">
        <f t="shared" si="0"/>
        <v/>
      </c>
      <c r="G610" s="1" t="e">
        <f>IF(VALUE(F610) = VALUE(RIGHT(Insights!$C$3, 4)), E610, "")</f>
        <v>#VALUE!</v>
      </c>
      <c r="H610" s="26" t="e">
        <f t="shared" si="1"/>
        <v>#VALUE!</v>
      </c>
      <c r="I610" s="1" t="e">
        <f t="shared" si="2"/>
        <v>#VALUE!</v>
      </c>
    </row>
    <row r="611" spans="1:9" ht="15.75" customHeight="1">
      <c r="A611" s="26"/>
      <c r="B611" s="2"/>
      <c r="C611" s="26"/>
      <c r="D611" s="26"/>
      <c r="F611" s="85" t="str">
        <f t="shared" si="0"/>
        <v/>
      </c>
      <c r="G611" s="1" t="e">
        <f>IF(VALUE(F611) = VALUE(RIGHT(Insights!$C$3, 4)), E611, "")</f>
        <v>#VALUE!</v>
      </c>
      <c r="H611" s="26" t="e">
        <f t="shared" si="1"/>
        <v>#VALUE!</v>
      </c>
      <c r="I611" s="1" t="e">
        <f t="shared" si="2"/>
        <v>#VALUE!</v>
      </c>
    </row>
    <row r="612" spans="1:9" ht="15.75" customHeight="1">
      <c r="A612" s="26"/>
      <c r="B612" s="2"/>
      <c r="C612" s="26"/>
      <c r="D612" s="26"/>
      <c r="F612" s="85" t="str">
        <f t="shared" si="0"/>
        <v/>
      </c>
      <c r="G612" s="1" t="e">
        <f>IF(VALUE(F612) = VALUE(RIGHT(Insights!$C$3, 4)), E612, "")</f>
        <v>#VALUE!</v>
      </c>
      <c r="H612" s="26" t="e">
        <f t="shared" si="1"/>
        <v>#VALUE!</v>
      </c>
      <c r="I612" s="1" t="e">
        <f t="shared" si="2"/>
        <v>#VALUE!</v>
      </c>
    </row>
    <row r="613" spans="1:9" ht="15.75" customHeight="1">
      <c r="A613" s="26"/>
      <c r="B613" s="2"/>
      <c r="C613" s="26"/>
      <c r="D613" s="26"/>
      <c r="F613" s="85" t="str">
        <f t="shared" si="0"/>
        <v/>
      </c>
      <c r="G613" s="1" t="e">
        <f>IF(VALUE(F613) = VALUE(RIGHT(Insights!$C$3, 4)), E613, "")</f>
        <v>#VALUE!</v>
      </c>
      <c r="H613" s="26" t="e">
        <f t="shared" si="1"/>
        <v>#VALUE!</v>
      </c>
      <c r="I613" s="1" t="e">
        <f t="shared" si="2"/>
        <v>#VALUE!</v>
      </c>
    </row>
    <row r="614" spans="1:9" ht="15.75" customHeight="1">
      <c r="A614" s="26"/>
      <c r="B614" s="2"/>
      <c r="C614" s="26"/>
      <c r="D614" s="26"/>
      <c r="F614" s="85" t="str">
        <f t="shared" si="0"/>
        <v/>
      </c>
      <c r="G614" s="1" t="e">
        <f>IF(VALUE(F614) = VALUE(RIGHT(Insights!$C$3, 4)), E614, "")</f>
        <v>#VALUE!</v>
      </c>
      <c r="H614" s="26" t="e">
        <f t="shared" si="1"/>
        <v>#VALUE!</v>
      </c>
      <c r="I614" s="1" t="e">
        <f t="shared" si="2"/>
        <v>#VALUE!</v>
      </c>
    </row>
    <row r="615" spans="1:9" ht="15.75" customHeight="1">
      <c r="A615" s="26"/>
      <c r="B615" s="2"/>
      <c r="C615" s="26"/>
      <c r="D615" s="26"/>
      <c r="F615" s="85" t="str">
        <f t="shared" si="0"/>
        <v/>
      </c>
      <c r="G615" s="1" t="e">
        <f>IF(VALUE(F615) = VALUE(RIGHT(Insights!$C$3, 4)), E615, "")</f>
        <v>#VALUE!</v>
      </c>
      <c r="H615" s="26" t="e">
        <f t="shared" si="1"/>
        <v>#VALUE!</v>
      </c>
      <c r="I615" s="1" t="e">
        <f t="shared" si="2"/>
        <v>#VALUE!</v>
      </c>
    </row>
    <row r="616" spans="1:9" ht="15.75" customHeight="1">
      <c r="A616" s="26"/>
      <c r="B616" s="2"/>
      <c r="C616" s="26"/>
      <c r="D616" s="26"/>
      <c r="F616" s="85" t="str">
        <f t="shared" si="0"/>
        <v/>
      </c>
      <c r="G616" s="1" t="e">
        <f>IF(VALUE(F616) = VALUE(RIGHT(Insights!$C$3, 4)), E616, "")</f>
        <v>#VALUE!</v>
      </c>
      <c r="H616" s="26" t="e">
        <f t="shared" si="1"/>
        <v>#VALUE!</v>
      </c>
      <c r="I616" s="1" t="e">
        <f t="shared" si="2"/>
        <v>#VALUE!</v>
      </c>
    </row>
    <row r="617" spans="1:9" ht="15.75" customHeight="1">
      <c r="A617" s="26"/>
      <c r="B617" s="2"/>
      <c r="C617" s="26"/>
      <c r="D617" s="26"/>
      <c r="F617" s="85" t="str">
        <f t="shared" si="0"/>
        <v/>
      </c>
      <c r="G617" s="1" t="e">
        <f>IF(VALUE(F617) = VALUE(RIGHT(Insights!$C$3, 4)), E617, "")</f>
        <v>#VALUE!</v>
      </c>
      <c r="H617" s="26" t="e">
        <f t="shared" si="1"/>
        <v>#VALUE!</v>
      </c>
      <c r="I617" s="1" t="e">
        <f t="shared" si="2"/>
        <v>#VALUE!</v>
      </c>
    </row>
    <row r="618" spans="1:9" ht="15.75" customHeight="1">
      <c r="A618" s="26"/>
      <c r="B618" s="2"/>
      <c r="C618" s="26"/>
      <c r="D618" s="26"/>
      <c r="F618" s="85" t="str">
        <f t="shared" si="0"/>
        <v/>
      </c>
      <c r="G618" s="1" t="e">
        <f>IF(VALUE(F618) = VALUE(RIGHT(Insights!$C$3, 4)), E618, "")</f>
        <v>#VALUE!</v>
      </c>
      <c r="H618" s="26" t="e">
        <f t="shared" si="1"/>
        <v>#VALUE!</v>
      </c>
      <c r="I618" s="1" t="e">
        <f t="shared" si="2"/>
        <v>#VALUE!</v>
      </c>
    </row>
    <row r="619" spans="1:9" ht="15.75" customHeight="1">
      <c r="A619" s="26"/>
      <c r="B619" s="2"/>
      <c r="C619" s="26"/>
      <c r="D619" s="26"/>
      <c r="F619" s="85" t="str">
        <f t="shared" si="0"/>
        <v/>
      </c>
      <c r="G619" s="1" t="e">
        <f>IF(VALUE(F619) = VALUE(RIGHT(Insights!$C$3, 4)), E619, "")</f>
        <v>#VALUE!</v>
      </c>
      <c r="H619" s="26" t="e">
        <f t="shared" si="1"/>
        <v>#VALUE!</v>
      </c>
      <c r="I619" s="1" t="e">
        <f t="shared" si="2"/>
        <v>#VALUE!</v>
      </c>
    </row>
    <row r="620" spans="1:9" ht="15.75" customHeight="1">
      <c r="A620" s="26"/>
      <c r="B620" s="2"/>
      <c r="C620" s="26"/>
      <c r="D620" s="26"/>
      <c r="F620" s="85" t="str">
        <f t="shared" si="0"/>
        <v/>
      </c>
      <c r="G620" s="1" t="e">
        <f>IF(VALUE(F620) = VALUE(RIGHT(Insights!$C$3, 4)), E620, "")</f>
        <v>#VALUE!</v>
      </c>
      <c r="H620" s="26" t="e">
        <f t="shared" si="1"/>
        <v>#VALUE!</v>
      </c>
      <c r="I620" s="1" t="e">
        <f t="shared" si="2"/>
        <v>#VALUE!</v>
      </c>
    </row>
    <row r="621" spans="1:9" ht="15.75" customHeight="1">
      <c r="A621" s="26"/>
      <c r="B621" s="2"/>
      <c r="C621" s="26"/>
      <c r="D621" s="26"/>
      <c r="F621" s="85" t="str">
        <f t="shared" si="0"/>
        <v/>
      </c>
      <c r="G621" s="1" t="e">
        <f>IF(VALUE(F621) = VALUE(RIGHT(Insights!$C$3, 4)), E621, "")</f>
        <v>#VALUE!</v>
      </c>
      <c r="H621" s="26" t="e">
        <f t="shared" si="1"/>
        <v>#VALUE!</v>
      </c>
      <c r="I621" s="1" t="e">
        <f t="shared" si="2"/>
        <v>#VALUE!</v>
      </c>
    </row>
    <row r="622" spans="1:9" ht="15.75" customHeight="1">
      <c r="A622" s="26"/>
      <c r="B622" s="2"/>
      <c r="C622" s="26"/>
      <c r="D622" s="26"/>
      <c r="F622" s="85" t="str">
        <f t="shared" si="0"/>
        <v/>
      </c>
      <c r="G622" s="1" t="e">
        <f>IF(VALUE(F622) = VALUE(RIGHT(Insights!$C$3, 4)), E622, "")</f>
        <v>#VALUE!</v>
      </c>
      <c r="H622" s="26" t="e">
        <f t="shared" si="1"/>
        <v>#VALUE!</v>
      </c>
      <c r="I622" s="1" t="e">
        <f t="shared" si="2"/>
        <v>#VALUE!</v>
      </c>
    </row>
    <row r="623" spans="1:9" ht="15.75" customHeight="1">
      <c r="A623" s="26"/>
      <c r="B623" s="2"/>
      <c r="C623" s="26"/>
      <c r="D623" s="26"/>
      <c r="F623" s="85" t="str">
        <f t="shared" si="0"/>
        <v/>
      </c>
      <c r="G623" s="1" t="e">
        <f>IF(VALUE(F623) = VALUE(RIGHT(Insights!$C$3, 4)), E623, "")</f>
        <v>#VALUE!</v>
      </c>
      <c r="H623" s="26" t="e">
        <f t="shared" si="1"/>
        <v>#VALUE!</v>
      </c>
      <c r="I623" s="1" t="e">
        <f t="shared" si="2"/>
        <v>#VALUE!</v>
      </c>
    </row>
    <row r="624" spans="1:9" ht="15.75" customHeight="1">
      <c r="A624" s="26"/>
      <c r="B624" s="2"/>
      <c r="C624" s="26"/>
      <c r="D624" s="26"/>
      <c r="F624" s="85" t="str">
        <f t="shared" si="0"/>
        <v/>
      </c>
      <c r="G624" s="1" t="e">
        <f>IF(VALUE(F624) = VALUE(RIGHT(Insights!$C$3, 4)), E624, "")</f>
        <v>#VALUE!</v>
      </c>
      <c r="H624" s="26" t="e">
        <f t="shared" si="1"/>
        <v>#VALUE!</v>
      </c>
      <c r="I624" s="1" t="e">
        <f t="shared" si="2"/>
        <v>#VALUE!</v>
      </c>
    </row>
    <row r="625" spans="1:9" ht="15.75" customHeight="1">
      <c r="A625" s="26"/>
      <c r="B625" s="2"/>
      <c r="C625" s="26"/>
      <c r="D625" s="26"/>
      <c r="F625" s="85" t="str">
        <f t="shared" si="0"/>
        <v/>
      </c>
      <c r="G625" s="1" t="e">
        <f>IF(VALUE(F625) = VALUE(RIGHT(Insights!$C$3, 4)), E625, "")</f>
        <v>#VALUE!</v>
      </c>
      <c r="H625" s="26" t="e">
        <f t="shared" si="1"/>
        <v>#VALUE!</v>
      </c>
      <c r="I625" s="1" t="e">
        <f t="shared" si="2"/>
        <v>#VALUE!</v>
      </c>
    </row>
    <row r="626" spans="1:9" ht="15.75" customHeight="1">
      <c r="A626" s="26"/>
      <c r="B626" s="2"/>
      <c r="C626" s="26"/>
      <c r="D626" s="26"/>
      <c r="F626" s="85" t="str">
        <f t="shared" si="0"/>
        <v/>
      </c>
      <c r="G626" s="1" t="e">
        <f>IF(VALUE(F626) = VALUE(RIGHT(Insights!$C$3, 4)), E626, "")</f>
        <v>#VALUE!</v>
      </c>
      <c r="H626" s="26" t="e">
        <f t="shared" si="1"/>
        <v>#VALUE!</v>
      </c>
      <c r="I626" s="1" t="e">
        <f t="shared" si="2"/>
        <v>#VALUE!</v>
      </c>
    </row>
    <row r="627" spans="1:9" ht="15.75" customHeight="1">
      <c r="A627" s="26"/>
      <c r="B627" s="2"/>
      <c r="C627" s="26"/>
      <c r="D627" s="26"/>
      <c r="F627" s="85" t="str">
        <f t="shared" si="0"/>
        <v/>
      </c>
      <c r="G627" s="1" t="e">
        <f>IF(VALUE(F627) = VALUE(RIGHT(Insights!$C$3, 4)), E627, "")</f>
        <v>#VALUE!</v>
      </c>
      <c r="H627" s="26" t="e">
        <f t="shared" si="1"/>
        <v>#VALUE!</v>
      </c>
      <c r="I627" s="1" t="e">
        <f t="shared" si="2"/>
        <v>#VALUE!</v>
      </c>
    </row>
    <row r="628" spans="1:9" ht="15.75" customHeight="1">
      <c r="A628" s="26"/>
      <c r="B628" s="2"/>
      <c r="C628" s="26"/>
      <c r="D628" s="26"/>
      <c r="F628" s="85" t="str">
        <f t="shared" si="0"/>
        <v/>
      </c>
      <c r="G628" s="1" t="e">
        <f>IF(VALUE(F628) = VALUE(RIGHT(Insights!$C$3, 4)), E628, "")</f>
        <v>#VALUE!</v>
      </c>
      <c r="H628" s="26" t="e">
        <f t="shared" si="1"/>
        <v>#VALUE!</v>
      </c>
      <c r="I628" s="1" t="e">
        <f t="shared" si="2"/>
        <v>#VALUE!</v>
      </c>
    </row>
    <row r="629" spans="1:9" ht="15.75" customHeight="1">
      <c r="A629" s="26"/>
      <c r="B629" s="2"/>
      <c r="C629" s="26"/>
      <c r="D629" s="26"/>
      <c r="F629" s="85" t="str">
        <f t="shared" si="0"/>
        <v/>
      </c>
      <c r="G629" s="1" t="e">
        <f>IF(VALUE(F629) = VALUE(RIGHT(Insights!$C$3, 4)), E629, "")</f>
        <v>#VALUE!</v>
      </c>
      <c r="H629" s="26" t="e">
        <f t="shared" si="1"/>
        <v>#VALUE!</v>
      </c>
      <c r="I629" s="1" t="e">
        <f t="shared" si="2"/>
        <v>#VALUE!</v>
      </c>
    </row>
    <row r="630" spans="1:9" ht="15.75" customHeight="1">
      <c r="A630" s="26"/>
      <c r="B630" s="2"/>
      <c r="C630" s="26"/>
      <c r="D630" s="26"/>
      <c r="F630" s="85" t="str">
        <f t="shared" si="0"/>
        <v/>
      </c>
      <c r="G630" s="1" t="e">
        <f>IF(VALUE(F630) = VALUE(RIGHT(Insights!$C$3, 4)), E630, "")</f>
        <v>#VALUE!</v>
      </c>
      <c r="H630" s="26" t="e">
        <f t="shared" si="1"/>
        <v>#VALUE!</v>
      </c>
      <c r="I630" s="1" t="e">
        <f t="shared" si="2"/>
        <v>#VALUE!</v>
      </c>
    </row>
    <row r="631" spans="1:9" ht="15.75" customHeight="1">
      <c r="A631" s="26"/>
      <c r="B631" s="2"/>
      <c r="C631" s="26"/>
      <c r="D631" s="26"/>
      <c r="F631" s="85" t="str">
        <f t="shared" si="0"/>
        <v/>
      </c>
      <c r="G631" s="1" t="e">
        <f>IF(VALUE(F631) = VALUE(RIGHT(Insights!$C$3, 4)), E631, "")</f>
        <v>#VALUE!</v>
      </c>
      <c r="H631" s="26" t="e">
        <f t="shared" si="1"/>
        <v>#VALUE!</v>
      </c>
      <c r="I631" s="1" t="e">
        <f t="shared" si="2"/>
        <v>#VALUE!</v>
      </c>
    </row>
    <row r="632" spans="1:9" ht="15.75" customHeight="1">
      <c r="A632" s="26"/>
      <c r="B632" s="2"/>
      <c r="C632" s="26"/>
      <c r="D632" s="26"/>
      <c r="F632" s="85" t="str">
        <f t="shared" si="0"/>
        <v/>
      </c>
      <c r="G632" s="1" t="e">
        <f>IF(VALUE(F632) = VALUE(RIGHT(Insights!$C$3, 4)), E632, "")</f>
        <v>#VALUE!</v>
      </c>
      <c r="H632" s="26" t="e">
        <f t="shared" si="1"/>
        <v>#VALUE!</v>
      </c>
      <c r="I632" s="1" t="e">
        <f t="shared" si="2"/>
        <v>#VALUE!</v>
      </c>
    </row>
    <row r="633" spans="1:9" ht="15.75" customHeight="1">
      <c r="A633" s="26"/>
      <c r="B633" s="2"/>
      <c r="C633" s="26"/>
      <c r="D633" s="26"/>
      <c r="F633" s="85" t="str">
        <f t="shared" si="0"/>
        <v/>
      </c>
      <c r="G633" s="1" t="e">
        <f>IF(VALUE(F633) = VALUE(RIGHT(Insights!$C$3, 4)), E633, "")</f>
        <v>#VALUE!</v>
      </c>
      <c r="H633" s="26" t="e">
        <f t="shared" si="1"/>
        <v>#VALUE!</v>
      </c>
      <c r="I633" s="1" t="e">
        <f t="shared" si="2"/>
        <v>#VALUE!</v>
      </c>
    </row>
    <row r="634" spans="1:9" ht="15.75" customHeight="1">
      <c r="A634" s="26"/>
      <c r="B634" s="2"/>
      <c r="C634" s="26"/>
      <c r="D634" s="26"/>
      <c r="F634" s="85" t="str">
        <f t="shared" si="0"/>
        <v/>
      </c>
      <c r="G634" s="1" t="e">
        <f>IF(VALUE(F634) = VALUE(RIGHT(Insights!$C$3, 4)), E634, "")</f>
        <v>#VALUE!</v>
      </c>
      <c r="H634" s="26" t="e">
        <f t="shared" si="1"/>
        <v>#VALUE!</v>
      </c>
      <c r="I634" s="1" t="e">
        <f t="shared" si="2"/>
        <v>#VALUE!</v>
      </c>
    </row>
    <row r="635" spans="1:9" ht="15.75" customHeight="1">
      <c r="A635" s="26"/>
      <c r="B635" s="2"/>
      <c r="C635" s="26"/>
      <c r="D635" s="26"/>
      <c r="F635" s="85" t="str">
        <f t="shared" si="0"/>
        <v/>
      </c>
      <c r="G635" s="1" t="e">
        <f>IF(VALUE(F635) = VALUE(RIGHT(Insights!$C$3, 4)), E635, "")</f>
        <v>#VALUE!</v>
      </c>
      <c r="H635" s="26" t="e">
        <f t="shared" si="1"/>
        <v>#VALUE!</v>
      </c>
      <c r="I635" s="1" t="e">
        <f t="shared" si="2"/>
        <v>#VALUE!</v>
      </c>
    </row>
    <row r="636" spans="1:9" ht="15.75" customHeight="1">
      <c r="A636" s="26"/>
      <c r="B636" s="2"/>
      <c r="C636" s="26"/>
      <c r="D636" s="26"/>
      <c r="F636" s="85" t="str">
        <f t="shared" si="0"/>
        <v/>
      </c>
      <c r="G636" s="1" t="e">
        <f>IF(VALUE(F636) = VALUE(RIGHT(Insights!$C$3, 4)), E636, "")</f>
        <v>#VALUE!</v>
      </c>
      <c r="H636" s="26" t="e">
        <f t="shared" si="1"/>
        <v>#VALUE!</v>
      </c>
      <c r="I636" s="1" t="e">
        <f t="shared" si="2"/>
        <v>#VALUE!</v>
      </c>
    </row>
    <row r="637" spans="1:9" ht="15.75" customHeight="1">
      <c r="A637" s="26"/>
      <c r="B637" s="2"/>
      <c r="C637" s="26"/>
      <c r="D637" s="26"/>
      <c r="F637" s="85" t="str">
        <f t="shared" si="0"/>
        <v/>
      </c>
      <c r="G637" s="1" t="e">
        <f>IF(VALUE(F637) = VALUE(RIGHT(Insights!$C$3, 4)), E637, "")</f>
        <v>#VALUE!</v>
      </c>
      <c r="H637" s="26" t="e">
        <f t="shared" si="1"/>
        <v>#VALUE!</v>
      </c>
      <c r="I637" s="1" t="e">
        <f t="shared" si="2"/>
        <v>#VALUE!</v>
      </c>
    </row>
    <row r="638" spans="1:9" ht="15.75" customHeight="1">
      <c r="A638" s="26"/>
      <c r="B638" s="2"/>
      <c r="C638" s="26"/>
      <c r="D638" s="26"/>
      <c r="F638" s="85" t="str">
        <f t="shared" si="0"/>
        <v/>
      </c>
      <c r="G638" s="1" t="e">
        <f>IF(VALUE(F638) = VALUE(RIGHT(Insights!$C$3, 4)), E638, "")</f>
        <v>#VALUE!</v>
      </c>
      <c r="H638" s="26" t="e">
        <f t="shared" si="1"/>
        <v>#VALUE!</v>
      </c>
      <c r="I638" s="1" t="e">
        <f t="shared" si="2"/>
        <v>#VALUE!</v>
      </c>
    </row>
    <row r="639" spans="1:9" ht="15.75" customHeight="1">
      <c r="A639" s="26"/>
      <c r="B639" s="2"/>
      <c r="C639" s="26"/>
      <c r="D639" s="26"/>
      <c r="F639" s="85" t="str">
        <f t="shared" si="0"/>
        <v/>
      </c>
      <c r="G639" s="1" t="e">
        <f>IF(VALUE(F639) = VALUE(RIGHT(Insights!$C$3, 4)), E639, "")</f>
        <v>#VALUE!</v>
      </c>
      <c r="H639" s="26" t="e">
        <f t="shared" si="1"/>
        <v>#VALUE!</v>
      </c>
      <c r="I639" s="1" t="e">
        <f t="shared" si="2"/>
        <v>#VALUE!</v>
      </c>
    </row>
    <row r="640" spans="1:9" ht="15.75" customHeight="1">
      <c r="A640" s="26"/>
      <c r="B640" s="2"/>
      <c r="C640" s="26"/>
      <c r="D640" s="26"/>
      <c r="F640" s="85" t="str">
        <f t="shared" si="0"/>
        <v/>
      </c>
      <c r="G640" s="1" t="e">
        <f>IF(VALUE(F640) = VALUE(RIGHT(Insights!$C$3, 4)), E640, "")</f>
        <v>#VALUE!</v>
      </c>
      <c r="H640" s="26" t="e">
        <f t="shared" si="1"/>
        <v>#VALUE!</v>
      </c>
      <c r="I640" s="1" t="e">
        <f t="shared" si="2"/>
        <v>#VALUE!</v>
      </c>
    </row>
    <row r="641" spans="1:9" ht="15.75" customHeight="1">
      <c r="A641" s="26"/>
      <c r="B641" s="2"/>
      <c r="C641" s="26"/>
      <c r="D641" s="26"/>
      <c r="F641" s="85" t="str">
        <f t="shared" si="0"/>
        <v/>
      </c>
      <c r="G641" s="1" t="e">
        <f>IF(VALUE(F641) = VALUE(RIGHT(Insights!$C$3, 4)), E641, "")</f>
        <v>#VALUE!</v>
      </c>
      <c r="H641" s="26" t="e">
        <f t="shared" si="1"/>
        <v>#VALUE!</v>
      </c>
      <c r="I641" s="1" t="e">
        <f t="shared" si="2"/>
        <v>#VALUE!</v>
      </c>
    </row>
    <row r="642" spans="1:9" ht="15.75" customHeight="1">
      <c r="A642" s="26"/>
      <c r="B642" s="2"/>
      <c r="C642" s="26"/>
      <c r="D642" s="26"/>
      <c r="F642" s="85" t="str">
        <f t="shared" si="0"/>
        <v/>
      </c>
      <c r="G642" s="1" t="e">
        <f>IF(VALUE(F642) = VALUE(RIGHT(Insights!$C$3, 4)), E642, "")</f>
        <v>#VALUE!</v>
      </c>
      <c r="H642" s="26" t="e">
        <f t="shared" si="1"/>
        <v>#VALUE!</v>
      </c>
      <c r="I642" s="1" t="e">
        <f t="shared" si="2"/>
        <v>#VALUE!</v>
      </c>
    </row>
    <row r="643" spans="1:9" ht="15.75" customHeight="1">
      <c r="A643" s="26"/>
      <c r="B643" s="2"/>
      <c r="C643" s="26"/>
      <c r="D643" s="26"/>
      <c r="F643" s="85" t="str">
        <f t="shared" si="0"/>
        <v/>
      </c>
      <c r="G643" s="1" t="e">
        <f>IF(VALUE(F643) = VALUE(RIGHT(Insights!$C$3, 4)), E643, "")</f>
        <v>#VALUE!</v>
      </c>
      <c r="H643" s="26" t="e">
        <f t="shared" si="1"/>
        <v>#VALUE!</v>
      </c>
      <c r="I643" s="1" t="e">
        <f t="shared" si="2"/>
        <v>#VALUE!</v>
      </c>
    </row>
    <row r="644" spans="1:9" ht="15.75" customHeight="1">
      <c r="A644" s="26"/>
      <c r="B644" s="2"/>
      <c r="C644" s="26"/>
      <c r="D644" s="26"/>
      <c r="F644" s="85" t="str">
        <f t="shared" si="0"/>
        <v/>
      </c>
      <c r="G644" s="1" t="e">
        <f>IF(VALUE(F644) = VALUE(RIGHT(Insights!$C$3, 4)), E644, "")</f>
        <v>#VALUE!</v>
      </c>
      <c r="H644" s="26" t="e">
        <f t="shared" si="1"/>
        <v>#VALUE!</v>
      </c>
      <c r="I644" s="1" t="e">
        <f t="shared" si="2"/>
        <v>#VALUE!</v>
      </c>
    </row>
    <row r="645" spans="1:9" ht="15.75" customHeight="1">
      <c r="A645" s="26"/>
      <c r="B645" s="2"/>
      <c r="C645" s="26"/>
      <c r="D645" s="26"/>
      <c r="F645" s="85" t="str">
        <f t="shared" si="0"/>
        <v/>
      </c>
      <c r="G645" s="1" t="e">
        <f>IF(VALUE(F645) = VALUE(RIGHT(Insights!$C$3, 4)), E645, "")</f>
        <v>#VALUE!</v>
      </c>
      <c r="H645" s="26" t="e">
        <f t="shared" si="1"/>
        <v>#VALUE!</v>
      </c>
      <c r="I645" s="1" t="e">
        <f t="shared" si="2"/>
        <v>#VALUE!</v>
      </c>
    </row>
    <row r="646" spans="1:9" ht="15.75" customHeight="1">
      <c r="A646" s="26"/>
      <c r="B646" s="2"/>
      <c r="C646" s="26"/>
      <c r="D646" s="26"/>
      <c r="F646" s="85" t="str">
        <f t="shared" si="0"/>
        <v/>
      </c>
      <c r="G646" s="1" t="e">
        <f>IF(VALUE(F646) = VALUE(RIGHT(Insights!$C$3, 4)), E646, "")</f>
        <v>#VALUE!</v>
      </c>
      <c r="H646" s="26" t="e">
        <f t="shared" si="1"/>
        <v>#VALUE!</v>
      </c>
      <c r="I646" s="1" t="e">
        <f t="shared" si="2"/>
        <v>#VALUE!</v>
      </c>
    </row>
    <row r="647" spans="1:9" ht="15.75" customHeight="1">
      <c r="A647" s="26"/>
      <c r="B647" s="2"/>
      <c r="C647" s="26"/>
      <c r="D647" s="26"/>
      <c r="F647" s="85" t="str">
        <f t="shared" si="0"/>
        <v/>
      </c>
      <c r="G647" s="1" t="e">
        <f>IF(VALUE(F647) = VALUE(RIGHT(Insights!$C$3, 4)), E647, "")</f>
        <v>#VALUE!</v>
      </c>
      <c r="H647" s="26" t="e">
        <f t="shared" si="1"/>
        <v>#VALUE!</v>
      </c>
      <c r="I647" s="1" t="e">
        <f t="shared" si="2"/>
        <v>#VALUE!</v>
      </c>
    </row>
    <row r="648" spans="1:9" ht="15.75" customHeight="1">
      <c r="A648" s="26"/>
      <c r="B648" s="2"/>
      <c r="C648" s="26"/>
      <c r="D648" s="26"/>
      <c r="F648" s="85" t="str">
        <f t="shared" si="0"/>
        <v/>
      </c>
      <c r="G648" s="1" t="e">
        <f>IF(VALUE(F648) = VALUE(RIGHT(Insights!$C$3, 4)), E648, "")</f>
        <v>#VALUE!</v>
      </c>
      <c r="H648" s="26" t="e">
        <f t="shared" si="1"/>
        <v>#VALUE!</v>
      </c>
      <c r="I648" s="1" t="e">
        <f t="shared" si="2"/>
        <v>#VALUE!</v>
      </c>
    </row>
    <row r="649" spans="1:9" ht="15.75" customHeight="1">
      <c r="A649" s="26"/>
      <c r="B649" s="2"/>
      <c r="C649" s="26"/>
      <c r="D649" s="26"/>
      <c r="F649" s="85" t="str">
        <f t="shared" si="0"/>
        <v/>
      </c>
      <c r="G649" s="1" t="e">
        <f>IF(VALUE(F649) = VALUE(RIGHT(Insights!$C$3, 4)), E649, "")</f>
        <v>#VALUE!</v>
      </c>
      <c r="H649" s="26" t="e">
        <f t="shared" si="1"/>
        <v>#VALUE!</v>
      </c>
      <c r="I649" s="1" t="e">
        <f t="shared" si="2"/>
        <v>#VALUE!</v>
      </c>
    </row>
    <row r="650" spans="1:9" ht="15.75" customHeight="1">
      <c r="A650" s="26"/>
      <c r="B650" s="2"/>
      <c r="C650" s="26"/>
      <c r="D650" s="26"/>
      <c r="F650" s="85" t="str">
        <f t="shared" si="0"/>
        <v/>
      </c>
      <c r="G650" s="1" t="e">
        <f>IF(VALUE(F650) = VALUE(RIGHT(Insights!$C$3, 4)), E650, "")</f>
        <v>#VALUE!</v>
      </c>
      <c r="H650" s="26" t="e">
        <f t="shared" si="1"/>
        <v>#VALUE!</v>
      </c>
      <c r="I650" s="1" t="e">
        <f t="shared" si="2"/>
        <v>#VALUE!</v>
      </c>
    </row>
    <row r="651" spans="1:9" ht="15.75" customHeight="1">
      <c r="A651" s="26"/>
      <c r="B651" s="2"/>
      <c r="C651" s="26"/>
      <c r="D651" s="26"/>
      <c r="F651" s="85" t="str">
        <f t="shared" si="0"/>
        <v/>
      </c>
      <c r="G651" s="1" t="e">
        <f>IF(VALUE(F651) = VALUE(RIGHT(Insights!$C$3, 4)), E651, "")</f>
        <v>#VALUE!</v>
      </c>
      <c r="H651" s="26" t="e">
        <f t="shared" si="1"/>
        <v>#VALUE!</v>
      </c>
      <c r="I651" s="1" t="e">
        <f t="shared" si="2"/>
        <v>#VALUE!</v>
      </c>
    </row>
    <row r="652" spans="1:9" ht="15.75" customHeight="1">
      <c r="A652" s="26"/>
      <c r="B652" s="2"/>
      <c r="C652" s="26"/>
      <c r="D652" s="26"/>
      <c r="F652" s="85" t="str">
        <f t="shared" si="0"/>
        <v/>
      </c>
      <c r="G652" s="1" t="e">
        <f>IF(VALUE(F652) = VALUE(RIGHT(Insights!$C$3, 4)), E652, "")</f>
        <v>#VALUE!</v>
      </c>
      <c r="H652" s="26" t="e">
        <f t="shared" si="1"/>
        <v>#VALUE!</v>
      </c>
      <c r="I652" s="1" t="e">
        <f t="shared" si="2"/>
        <v>#VALUE!</v>
      </c>
    </row>
    <row r="653" spans="1:9" ht="15.75" customHeight="1">
      <c r="A653" s="26"/>
      <c r="B653" s="2"/>
      <c r="C653" s="26"/>
      <c r="D653" s="26"/>
      <c r="F653" s="85" t="str">
        <f t="shared" si="0"/>
        <v/>
      </c>
      <c r="G653" s="1" t="e">
        <f>IF(VALUE(F653) = VALUE(RIGHT(Insights!$C$3, 4)), E653, "")</f>
        <v>#VALUE!</v>
      </c>
      <c r="H653" s="26" t="e">
        <f t="shared" si="1"/>
        <v>#VALUE!</v>
      </c>
      <c r="I653" s="1" t="e">
        <f t="shared" si="2"/>
        <v>#VALUE!</v>
      </c>
    </row>
    <row r="654" spans="1:9" ht="15.75" customHeight="1">
      <c r="A654" s="26"/>
      <c r="B654" s="2"/>
      <c r="C654" s="26"/>
      <c r="D654" s="26"/>
      <c r="F654" s="85" t="str">
        <f t="shared" si="0"/>
        <v/>
      </c>
      <c r="G654" s="1" t="e">
        <f>IF(VALUE(F654) = VALUE(RIGHT(Insights!$C$3, 4)), E654, "")</f>
        <v>#VALUE!</v>
      </c>
      <c r="H654" s="26" t="e">
        <f t="shared" si="1"/>
        <v>#VALUE!</v>
      </c>
      <c r="I654" s="1" t="e">
        <f t="shared" si="2"/>
        <v>#VALUE!</v>
      </c>
    </row>
    <row r="655" spans="1:9" ht="15.75" customHeight="1">
      <c r="A655" s="26"/>
      <c r="B655" s="2"/>
      <c r="C655" s="26"/>
      <c r="D655" s="26"/>
      <c r="F655" s="85" t="str">
        <f t="shared" si="0"/>
        <v/>
      </c>
      <c r="G655" s="1" t="e">
        <f>IF(VALUE(F655) = VALUE(RIGHT(Insights!$C$3, 4)), E655, "")</f>
        <v>#VALUE!</v>
      </c>
      <c r="H655" s="26" t="e">
        <f t="shared" si="1"/>
        <v>#VALUE!</v>
      </c>
      <c r="I655" s="1" t="e">
        <f t="shared" si="2"/>
        <v>#VALUE!</v>
      </c>
    </row>
    <row r="656" spans="1:9" ht="15.75" customHeight="1">
      <c r="A656" s="26"/>
      <c r="B656" s="2"/>
      <c r="C656" s="26"/>
      <c r="D656" s="26"/>
      <c r="F656" s="85" t="str">
        <f t="shared" si="0"/>
        <v/>
      </c>
      <c r="G656" s="1" t="e">
        <f>IF(VALUE(F656) = VALUE(RIGHT(Insights!$C$3, 4)), E656, "")</f>
        <v>#VALUE!</v>
      </c>
      <c r="H656" s="26" t="e">
        <f t="shared" si="1"/>
        <v>#VALUE!</v>
      </c>
      <c r="I656" s="1" t="e">
        <f t="shared" si="2"/>
        <v>#VALUE!</v>
      </c>
    </row>
    <row r="657" spans="1:9" ht="15.75" customHeight="1">
      <c r="A657" s="26"/>
      <c r="B657" s="2"/>
      <c r="C657" s="26"/>
      <c r="D657" s="26"/>
      <c r="F657" s="85" t="str">
        <f t="shared" si="0"/>
        <v/>
      </c>
      <c r="G657" s="1" t="e">
        <f>IF(VALUE(F657) = VALUE(RIGHT(Insights!$C$3, 4)), E657, "")</f>
        <v>#VALUE!</v>
      </c>
      <c r="H657" s="26" t="e">
        <f t="shared" si="1"/>
        <v>#VALUE!</v>
      </c>
      <c r="I657" s="1" t="e">
        <f t="shared" si="2"/>
        <v>#VALUE!</v>
      </c>
    </row>
    <row r="658" spans="1:9" ht="15.75" customHeight="1">
      <c r="A658" s="26"/>
      <c r="B658" s="2"/>
      <c r="C658" s="26"/>
      <c r="D658" s="26"/>
      <c r="F658" s="85" t="str">
        <f t="shared" si="0"/>
        <v/>
      </c>
      <c r="G658" s="1" t="e">
        <f>IF(VALUE(F658) = VALUE(RIGHT(Insights!$C$3, 4)), E658, "")</f>
        <v>#VALUE!</v>
      </c>
      <c r="H658" s="26" t="e">
        <f t="shared" si="1"/>
        <v>#VALUE!</v>
      </c>
      <c r="I658" s="1" t="e">
        <f t="shared" si="2"/>
        <v>#VALUE!</v>
      </c>
    </row>
    <row r="659" spans="1:9" ht="15.75" customHeight="1">
      <c r="A659" s="26"/>
      <c r="B659" s="2"/>
      <c r="C659" s="26"/>
      <c r="D659" s="26"/>
      <c r="F659" s="85" t="str">
        <f t="shared" si="0"/>
        <v/>
      </c>
      <c r="G659" s="1" t="e">
        <f>IF(VALUE(F659) = VALUE(RIGHT(Insights!$C$3, 4)), E659, "")</f>
        <v>#VALUE!</v>
      </c>
      <c r="H659" s="26" t="e">
        <f t="shared" si="1"/>
        <v>#VALUE!</v>
      </c>
      <c r="I659" s="1" t="e">
        <f t="shared" si="2"/>
        <v>#VALUE!</v>
      </c>
    </row>
    <row r="660" spans="1:9" ht="15.75" customHeight="1">
      <c r="A660" s="26"/>
      <c r="B660" s="2"/>
      <c r="C660" s="26"/>
      <c r="D660" s="26"/>
      <c r="F660" s="85" t="str">
        <f t="shared" si="0"/>
        <v/>
      </c>
      <c r="G660" s="1" t="e">
        <f>IF(VALUE(F660) = VALUE(RIGHT(Insights!$C$3, 4)), E660, "")</f>
        <v>#VALUE!</v>
      </c>
      <c r="H660" s="26" t="e">
        <f t="shared" si="1"/>
        <v>#VALUE!</v>
      </c>
      <c r="I660" s="1" t="e">
        <f t="shared" si="2"/>
        <v>#VALUE!</v>
      </c>
    </row>
    <row r="661" spans="1:9" ht="15.75" customHeight="1">
      <c r="A661" s="26"/>
      <c r="B661" s="2"/>
      <c r="C661" s="26"/>
      <c r="D661" s="26"/>
      <c r="F661" s="85" t="str">
        <f t="shared" si="0"/>
        <v/>
      </c>
      <c r="G661" s="1" t="e">
        <f>IF(VALUE(F661) = VALUE(RIGHT(Insights!$C$3, 4)), E661, "")</f>
        <v>#VALUE!</v>
      </c>
      <c r="H661" s="26" t="e">
        <f t="shared" si="1"/>
        <v>#VALUE!</v>
      </c>
      <c r="I661" s="1" t="e">
        <f t="shared" si="2"/>
        <v>#VALUE!</v>
      </c>
    </row>
    <row r="662" spans="1:9" ht="15.75" customHeight="1">
      <c r="A662" s="26"/>
      <c r="B662" s="2"/>
      <c r="C662" s="26"/>
      <c r="D662" s="26"/>
      <c r="F662" s="85" t="str">
        <f t="shared" si="0"/>
        <v/>
      </c>
      <c r="G662" s="1" t="e">
        <f>IF(VALUE(F662) = VALUE(RIGHT(Insights!$C$3, 4)), E662, "")</f>
        <v>#VALUE!</v>
      </c>
      <c r="H662" s="26" t="e">
        <f t="shared" si="1"/>
        <v>#VALUE!</v>
      </c>
      <c r="I662" s="1" t="e">
        <f t="shared" si="2"/>
        <v>#VALUE!</v>
      </c>
    </row>
    <row r="663" spans="1:9" ht="15.75" customHeight="1">
      <c r="A663" s="26"/>
      <c r="B663" s="2"/>
      <c r="C663" s="26"/>
      <c r="D663" s="26"/>
      <c r="F663" s="85" t="str">
        <f t="shared" si="0"/>
        <v/>
      </c>
      <c r="G663" s="1" t="e">
        <f>IF(VALUE(F663) = VALUE(RIGHT(Insights!$C$3, 4)), E663, "")</f>
        <v>#VALUE!</v>
      </c>
      <c r="H663" s="26" t="e">
        <f t="shared" si="1"/>
        <v>#VALUE!</v>
      </c>
      <c r="I663" s="1" t="e">
        <f t="shared" si="2"/>
        <v>#VALUE!</v>
      </c>
    </row>
    <row r="664" spans="1:9" ht="15.75" customHeight="1">
      <c r="A664" s="26"/>
      <c r="B664" s="2"/>
      <c r="C664" s="26"/>
      <c r="D664" s="26"/>
      <c r="F664" s="85" t="str">
        <f t="shared" si="0"/>
        <v/>
      </c>
      <c r="G664" s="1" t="e">
        <f>IF(VALUE(F664) = VALUE(RIGHT(Insights!$C$3, 4)), E664, "")</f>
        <v>#VALUE!</v>
      </c>
      <c r="H664" s="26" t="e">
        <f t="shared" si="1"/>
        <v>#VALUE!</v>
      </c>
      <c r="I664" s="1" t="e">
        <f t="shared" si="2"/>
        <v>#VALUE!</v>
      </c>
    </row>
    <row r="665" spans="1:9" ht="15.75" customHeight="1">
      <c r="A665" s="26"/>
      <c r="B665" s="2"/>
      <c r="C665" s="26"/>
      <c r="D665" s="26"/>
      <c r="F665" s="85" t="str">
        <f t="shared" si="0"/>
        <v/>
      </c>
      <c r="G665" s="1" t="e">
        <f>IF(VALUE(F665) = VALUE(RIGHT(Insights!$C$3, 4)), E665, "")</f>
        <v>#VALUE!</v>
      </c>
      <c r="H665" s="26" t="e">
        <f t="shared" si="1"/>
        <v>#VALUE!</v>
      </c>
      <c r="I665" s="1" t="e">
        <f t="shared" si="2"/>
        <v>#VALUE!</v>
      </c>
    </row>
    <row r="666" spans="1:9" ht="15.75" customHeight="1">
      <c r="A666" s="26"/>
      <c r="B666" s="2"/>
      <c r="C666" s="26"/>
      <c r="D666" s="26"/>
      <c r="F666" s="85" t="str">
        <f t="shared" si="0"/>
        <v/>
      </c>
      <c r="G666" s="1" t="e">
        <f>IF(VALUE(F666) = VALUE(RIGHT(Insights!$C$3, 4)), E666, "")</f>
        <v>#VALUE!</v>
      </c>
      <c r="H666" s="26" t="e">
        <f t="shared" si="1"/>
        <v>#VALUE!</v>
      </c>
      <c r="I666" s="1" t="e">
        <f t="shared" si="2"/>
        <v>#VALUE!</v>
      </c>
    </row>
    <row r="667" spans="1:9" ht="15.75" customHeight="1">
      <c r="A667" s="26"/>
      <c r="B667" s="2"/>
      <c r="C667" s="26"/>
      <c r="D667" s="26"/>
      <c r="F667" s="85" t="str">
        <f t="shared" si="0"/>
        <v/>
      </c>
      <c r="G667" s="1" t="e">
        <f>IF(VALUE(F667) = VALUE(RIGHT(Insights!$C$3, 4)), E667, "")</f>
        <v>#VALUE!</v>
      </c>
      <c r="H667" s="26" t="e">
        <f t="shared" si="1"/>
        <v>#VALUE!</v>
      </c>
      <c r="I667" s="1" t="e">
        <f t="shared" si="2"/>
        <v>#VALUE!</v>
      </c>
    </row>
    <row r="668" spans="1:9" ht="15.75" customHeight="1">
      <c r="A668" s="26"/>
      <c r="B668" s="2"/>
      <c r="C668" s="26"/>
      <c r="D668" s="26"/>
      <c r="F668" s="85" t="str">
        <f t="shared" si="0"/>
        <v/>
      </c>
      <c r="G668" s="1" t="e">
        <f>IF(VALUE(F668) = VALUE(RIGHT(Insights!$C$3, 4)), E668, "")</f>
        <v>#VALUE!</v>
      </c>
      <c r="H668" s="26" t="e">
        <f t="shared" si="1"/>
        <v>#VALUE!</v>
      </c>
      <c r="I668" s="1" t="e">
        <f t="shared" si="2"/>
        <v>#VALUE!</v>
      </c>
    </row>
    <row r="669" spans="1:9" ht="15.75" customHeight="1">
      <c r="A669" s="26"/>
      <c r="B669" s="2"/>
      <c r="C669" s="26"/>
      <c r="D669" s="26"/>
      <c r="F669" s="85" t="str">
        <f t="shared" si="0"/>
        <v/>
      </c>
      <c r="G669" s="1" t="e">
        <f>IF(VALUE(F669) = VALUE(RIGHT(Insights!$C$3, 4)), E669, "")</f>
        <v>#VALUE!</v>
      </c>
      <c r="H669" s="26" t="e">
        <f t="shared" si="1"/>
        <v>#VALUE!</v>
      </c>
      <c r="I669" s="1" t="e">
        <f t="shared" si="2"/>
        <v>#VALUE!</v>
      </c>
    </row>
    <row r="670" spans="1:9" ht="15.75" customHeight="1">
      <c r="A670" s="26"/>
      <c r="B670" s="2"/>
      <c r="C670" s="26"/>
      <c r="D670" s="26"/>
      <c r="F670" s="85" t="str">
        <f t="shared" si="0"/>
        <v/>
      </c>
      <c r="G670" s="1" t="e">
        <f>IF(VALUE(F670) = VALUE(RIGHT(Insights!$C$3, 4)), E670, "")</f>
        <v>#VALUE!</v>
      </c>
      <c r="H670" s="26" t="e">
        <f t="shared" si="1"/>
        <v>#VALUE!</v>
      </c>
      <c r="I670" s="1" t="e">
        <f t="shared" si="2"/>
        <v>#VALUE!</v>
      </c>
    </row>
    <row r="671" spans="1:9" ht="15.75" customHeight="1">
      <c r="A671" s="26"/>
      <c r="B671" s="2"/>
      <c r="C671" s="26"/>
      <c r="D671" s="26"/>
      <c r="F671" s="85" t="str">
        <f t="shared" si="0"/>
        <v/>
      </c>
      <c r="G671" s="1" t="e">
        <f>IF(VALUE(F671) = VALUE(RIGHT(Insights!$C$3, 4)), E671, "")</f>
        <v>#VALUE!</v>
      </c>
      <c r="H671" s="26" t="e">
        <f t="shared" si="1"/>
        <v>#VALUE!</v>
      </c>
      <c r="I671" s="1" t="e">
        <f t="shared" si="2"/>
        <v>#VALUE!</v>
      </c>
    </row>
    <row r="672" spans="1:9" ht="15.75" customHeight="1">
      <c r="A672" s="26"/>
      <c r="B672" s="2"/>
      <c r="C672" s="26"/>
      <c r="D672" s="26"/>
      <c r="F672" s="85" t="str">
        <f t="shared" si="0"/>
        <v/>
      </c>
      <c r="G672" s="1" t="e">
        <f>IF(VALUE(F672) = VALUE(RIGHT(Insights!$C$3, 4)), E672, "")</f>
        <v>#VALUE!</v>
      </c>
      <c r="H672" s="26" t="e">
        <f t="shared" si="1"/>
        <v>#VALUE!</v>
      </c>
      <c r="I672" s="1" t="e">
        <f t="shared" si="2"/>
        <v>#VALUE!</v>
      </c>
    </row>
    <row r="673" spans="1:9" ht="15.75" customHeight="1">
      <c r="A673" s="26"/>
      <c r="B673" s="2"/>
      <c r="C673" s="26"/>
      <c r="D673" s="26"/>
      <c r="F673" s="85" t="str">
        <f t="shared" si="0"/>
        <v/>
      </c>
      <c r="G673" s="1" t="e">
        <f>IF(VALUE(F673) = VALUE(RIGHT(Insights!$C$3, 4)), E673, "")</f>
        <v>#VALUE!</v>
      </c>
      <c r="H673" s="26" t="e">
        <f t="shared" si="1"/>
        <v>#VALUE!</v>
      </c>
      <c r="I673" s="1" t="e">
        <f t="shared" si="2"/>
        <v>#VALUE!</v>
      </c>
    </row>
    <row r="674" spans="1:9" ht="15.75" customHeight="1">
      <c r="A674" s="26"/>
      <c r="B674" s="2"/>
      <c r="C674" s="26"/>
      <c r="D674" s="26"/>
      <c r="F674" s="85" t="str">
        <f t="shared" si="0"/>
        <v/>
      </c>
      <c r="G674" s="1" t="e">
        <f>IF(VALUE(F674) = VALUE(RIGHT(Insights!$C$3, 4)), E674, "")</f>
        <v>#VALUE!</v>
      </c>
      <c r="H674" s="26" t="e">
        <f t="shared" si="1"/>
        <v>#VALUE!</v>
      </c>
      <c r="I674" s="1" t="e">
        <f t="shared" si="2"/>
        <v>#VALUE!</v>
      </c>
    </row>
    <row r="675" spans="1:9" ht="15.75" customHeight="1">
      <c r="A675" s="26"/>
      <c r="B675" s="2"/>
      <c r="C675" s="26"/>
      <c r="D675" s="26"/>
      <c r="F675" s="85" t="str">
        <f t="shared" si="0"/>
        <v/>
      </c>
      <c r="G675" s="1" t="e">
        <f>IF(VALUE(F675) = VALUE(RIGHT(Insights!$C$3, 4)), E675, "")</f>
        <v>#VALUE!</v>
      </c>
      <c r="H675" s="26" t="e">
        <f t="shared" si="1"/>
        <v>#VALUE!</v>
      </c>
      <c r="I675" s="1" t="e">
        <f t="shared" si="2"/>
        <v>#VALUE!</v>
      </c>
    </row>
    <row r="676" spans="1:9" ht="15.75" customHeight="1">
      <c r="A676" s="26"/>
      <c r="B676" s="2"/>
      <c r="C676" s="26"/>
      <c r="D676" s="26"/>
      <c r="F676" s="85" t="str">
        <f t="shared" si="0"/>
        <v/>
      </c>
      <c r="G676" s="1" t="e">
        <f>IF(VALUE(F676) = VALUE(RIGHT(Insights!$C$3, 4)), E676, "")</f>
        <v>#VALUE!</v>
      </c>
      <c r="H676" s="26" t="e">
        <f t="shared" si="1"/>
        <v>#VALUE!</v>
      </c>
      <c r="I676" s="1" t="e">
        <f t="shared" si="2"/>
        <v>#VALUE!</v>
      </c>
    </row>
    <row r="677" spans="1:9" ht="15.75" customHeight="1">
      <c r="A677" s="26"/>
      <c r="B677" s="2"/>
      <c r="C677" s="26"/>
      <c r="D677" s="26"/>
      <c r="F677" s="85" t="str">
        <f t="shared" si="0"/>
        <v/>
      </c>
      <c r="G677" s="1" t="e">
        <f>IF(VALUE(F677) = VALUE(RIGHT(Insights!$C$3, 4)), E677, "")</f>
        <v>#VALUE!</v>
      </c>
      <c r="H677" s="26" t="e">
        <f t="shared" si="1"/>
        <v>#VALUE!</v>
      </c>
      <c r="I677" s="1" t="e">
        <f t="shared" si="2"/>
        <v>#VALUE!</v>
      </c>
    </row>
    <row r="678" spans="1:9" ht="15.75" customHeight="1">
      <c r="A678" s="26"/>
      <c r="B678" s="2"/>
      <c r="C678" s="26"/>
      <c r="D678" s="26"/>
      <c r="F678" s="85" t="str">
        <f t="shared" si="0"/>
        <v/>
      </c>
      <c r="G678" s="1" t="e">
        <f>IF(VALUE(F678) = VALUE(RIGHT(Insights!$C$3, 4)), E678, "")</f>
        <v>#VALUE!</v>
      </c>
      <c r="H678" s="26" t="e">
        <f t="shared" si="1"/>
        <v>#VALUE!</v>
      </c>
      <c r="I678" s="1" t="e">
        <f t="shared" si="2"/>
        <v>#VALUE!</v>
      </c>
    </row>
    <row r="679" spans="1:9" ht="15.75" customHeight="1">
      <c r="A679" s="26"/>
      <c r="B679" s="2"/>
      <c r="C679" s="26"/>
      <c r="D679" s="26"/>
      <c r="F679" s="85" t="str">
        <f t="shared" si="0"/>
        <v/>
      </c>
      <c r="G679" s="1" t="e">
        <f>IF(VALUE(F679) = VALUE(RIGHT(Insights!$C$3, 4)), E679, "")</f>
        <v>#VALUE!</v>
      </c>
      <c r="H679" s="26" t="e">
        <f t="shared" si="1"/>
        <v>#VALUE!</v>
      </c>
      <c r="I679" s="1" t="e">
        <f t="shared" si="2"/>
        <v>#VALUE!</v>
      </c>
    </row>
    <row r="680" spans="1:9" ht="15.75" customHeight="1">
      <c r="A680" s="26"/>
      <c r="B680" s="2"/>
      <c r="C680" s="26"/>
      <c r="D680" s="26"/>
      <c r="F680" s="85" t="str">
        <f t="shared" si="0"/>
        <v/>
      </c>
      <c r="G680" s="1" t="e">
        <f>IF(VALUE(F680) = VALUE(RIGHT(Insights!$C$3, 4)), E680, "")</f>
        <v>#VALUE!</v>
      </c>
      <c r="H680" s="26" t="e">
        <f t="shared" si="1"/>
        <v>#VALUE!</v>
      </c>
      <c r="I680" s="1" t="e">
        <f t="shared" si="2"/>
        <v>#VALUE!</v>
      </c>
    </row>
    <row r="681" spans="1:9" ht="15.75" customHeight="1">
      <c r="A681" s="26"/>
      <c r="B681" s="2"/>
      <c r="C681" s="26"/>
      <c r="D681" s="26"/>
      <c r="F681" s="85" t="str">
        <f t="shared" si="0"/>
        <v/>
      </c>
      <c r="G681" s="1" t="e">
        <f>IF(VALUE(F681) = VALUE(RIGHT(Insights!$C$3, 4)), E681, "")</f>
        <v>#VALUE!</v>
      </c>
      <c r="H681" s="26" t="e">
        <f t="shared" si="1"/>
        <v>#VALUE!</v>
      </c>
      <c r="I681" s="1" t="e">
        <f t="shared" si="2"/>
        <v>#VALUE!</v>
      </c>
    </row>
    <row r="682" spans="1:9" ht="15.75" customHeight="1">
      <c r="A682" s="26"/>
      <c r="B682" s="2"/>
      <c r="C682" s="26"/>
      <c r="D682" s="26"/>
      <c r="F682" s="85" t="str">
        <f t="shared" si="0"/>
        <v/>
      </c>
      <c r="G682" s="1" t="e">
        <f>IF(VALUE(F682) = VALUE(RIGHT(Insights!$C$3, 4)), E682, "")</f>
        <v>#VALUE!</v>
      </c>
      <c r="H682" s="26" t="e">
        <f t="shared" si="1"/>
        <v>#VALUE!</v>
      </c>
      <c r="I682" s="1" t="e">
        <f t="shared" si="2"/>
        <v>#VALUE!</v>
      </c>
    </row>
    <row r="683" spans="1:9" ht="15.75" customHeight="1">
      <c r="A683" s="26"/>
      <c r="B683" s="2"/>
      <c r="C683" s="26"/>
      <c r="D683" s="26"/>
      <c r="F683" s="85" t="str">
        <f t="shared" si="0"/>
        <v/>
      </c>
      <c r="G683" s="1" t="e">
        <f>IF(VALUE(F683) = VALUE(RIGHT(Insights!$C$3, 4)), E683, "")</f>
        <v>#VALUE!</v>
      </c>
      <c r="H683" s="26" t="e">
        <f t="shared" si="1"/>
        <v>#VALUE!</v>
      </c>
      <c r="I683" s="1" t="e">
        <f t="shared" si="2"/>
        <v>#VALUE!</v>
      </c>
    </row>
    <row r="684" spans="1:9" ht="15.75" customHeight="1">
      <c r="A684" s="26"/>
      <c r="B684" s="2"/>
      <c r="C684" s="26"/>
      <c r="D684" s="26"/>
      <c r="F684" s="85" t="str">
        <f t="shared" si="0"/>
        <v/>
      </c>
      <c r="G684" s="1" t="e">
        <f>IF(VALUE(F684) = VALUE(RIGHT(Insights!$C$3, 4)), E684, "")</f>
        <v>#VALUE!</v>
      </c>
      <c r="H684" s="26" t="e">
        <f t="shared" si="1"/>
        <v>#VALUE!</v>
      </c>
      <c r="I684" s="1" t="e">
        <f t="shared" si="2"/>
        <v>#VALUE!</v>
      </c>
    </row>
    <row r="685" spans="1:9" ht="15.75" customHeight="1">
      <c r="A685" s="26"/>
      <c r="B685" s="2"/>
      <c r="C685" s="26"/>
      <c r="D685" s="26"/>
      <c r="F685" s="85" t="str">
        <f t="shared" si="0"/>
        <v/>
      </c>
      <c r="G685" s="1" t="e">
        <f>IF(VALUE(F685) = VALUE(RIGHT(Insights!$C$3, 4)), E685, "")</f>
        <v>#VALUE!</v>
      </c>
      <c r="H685" s="26" t="e">
        <f t="shared" si="1"/>
        <v>#VALUE!</v>
      </c>
      <c r="I685" s="1" t="e">
        <f t="shared" si="2"/>
        <v>#VALUE!</v>
      </c>
    </row>
    <row r="686" spans="1:9" ht="15.75" customHeight="1">
      <c r="A686" s="26"/>
      <c r="B686" s="2"/>
      <c r="C686" s="26"/>
      <c r="D686" s="26"/>
      <c r="F686" s="85" t="str">
        <f t="shared" si="0"/>
        <v/>
      </c>
      <c r="G686" s="1" t="e">
        <f>IF(VALUE(F686) = VALUE(RIGHT(Insights!$C$3, 4)), E686, "")</f>
        <v>#VALUE!</v>
      </c>
      <c r="H686" s="26" t="e">
        <f t="shared" si="1"/>
        <v>#VALUE!</v>
      </c>
      <c r="I686" s="1" t="e">
        <f t="shared" si="2"/>
        <v>#VALUE!</v>
      </c>
    </row>
    <row r="687" spans="1:9" ht="15.75" customHeight="1">
      <c r="A687" s="26"/>
      <c r="B687" s="2"/>
      <c r="C687" s="26"/>
      <c r="D687" s="26"/>
      <c r="F687" s="85" t="str">
        <f t="shared" si="0"/>
        <v/>
      </c>
      <c r="G687" s="1" t="e">
        <f>IF(VALUE(F687) = VALUE(RIGHT(Insights!$C$3, 4)), E687, "")</f>
        <v>#VALUE!</v>
      </c>
      <c r="H687" s="26" t="e">
        <f t="shared" si="1"/>
        <v>#VALUE!</v>
      </c>
      <c r="I687" s="1" t="e">
        <f t="shared" si="2"/>
        <v>#VALUE!</v>
      </c>
    </row>
    <row r="688" spans="1:9" ht="15.75" customHeight="1">
      <c r="A688" s="26"/>
      <c r="B688" s="2"/>
      <c r="C688" s="26"/>
      <c r="D688" s="26"/>
      <c r="F688" s="85" t="str">
        <f t="shared" si="0"/>
        <v/>
      </c>
      <c r="G688" s="1" t="e">
        <f>IF(VALUE(F688) = VALUE(RIGHT(Insights!$C$3, 4)), E688, "")</f>
        <v>#VALUE!</v>
      </c>
      <c r="H688" s="26" t="e">
        <f t="shared" si="1"/>
        <v>#VALUE!</v>
      </c>
      <c r="I688" s="1" t="e">
        <f t="shared" si="2"/>
        <v>#VALUE!</v>
      </c>
    </row>
    <row r="689" spans="1:9" ht="15.75" customHeight="1">
      <c r="A689" s="26"/>
      <c r="B689" s="2"/>
      <c r="C689" s="26"/>
      <c r="D689" s="26"/>
      <c r="F689" s="85" t="str">
        <f t="shared" si="0"/>
        <v/>
      </c>
      <c r="G689" s="1" t="e">
        <f>IF(VALUE(F689) = VALUE(RIGHT(Insights!$C$3, 4)), E689, "")</f>
        <v>#VALUE!</v>
      </c>
      <c r="H689" s="26" t="e">
        <f t="shared" si="1"/>
        <v>#VALUE!</v>
      </c>
      <c r="I689" s="1" t="e">
        <f t="shared" si="2"/>
        <v>#VALUE!</v>
      </c>
    </row>
    <row r="690" spans="1:9" ht="15.75" customHeight="1">
      <c r="A690" s="26"/>
      <c r="B690" s="2"/>
      <c r="C690" s="26"/>
      <c r="D690" s="26"/>
      <c r="F690" s="85" t="str">
        <f t="shared" si="0"/>
        <v/>
      </c>
      <c r="G690" s="1" t="e">
        <f>IF(VALUE(F690) = VALUE(RIGHT(Insights!$C$3, 4)), E690, "")</f>
        <v>#VALUE!</v>
      </c>
      <c r="H690" s="26" t="e">
        <f t="shared" si="1"/>
        <v>#VALUE!</v>
      </c>
      <c r="I690" s="1" t="e">
        <f t="shared" si="2"/>
        <v>#VALUE!</v>
      </c>
    </row>
    <row r="691" spans="1:9" ht="15.75" customHeight="1">
      <c r="A691" s="26"/>
      <c r="B691" s="2"/>
      <c r="C691" s="26"/>
      <c r="D691" s="26"/>
      <c r="F691" s="85" t="str">
        <f t="shared" si="0"/>
        <v/>
      </c>
      <c r="G691" s="1" t="e">
        <f>IF(VALUE(F691) = VALUE(RIGHT(Insights!$C$3, 4)), E691, "")</f>
        <v>#VALUE!</v>
      </c>
      <c r="H691" s="26" t="e">
        <f t="shared" si="1"/>
        <v>#VALUE!</v>
      </c>
      <c r="I691" s="1" t="e">
        <f t="shared" si="2"/>
        <v>#VALUE!</v>
      </c>
    </row>
    <row r="692" spans="1:9" ht="15.75" customHeight="1">
      <c r="A692" s="26"/>
      <c r="B692" s="2"/>
      <c r="C692" s="26"/>
      <c r="D692" s="26"/>
      <c r="F692" s="85" t="str">
        <f t="shared" si="0"/>
        <v/>
      </c>
      <c r="G692" s="1" t="e">
        <f>IF(VALUE(F692) = VALUE(RIGHT(Insights!$C$3, 4)), E692, "")</f>
        <v>#VALUE!</v>
      </c>
      <c r="H692" s="26" t="e">
        <f t="shared" si="1"/>
        <v>#VALUE!</v>
      </c>
      <c r="I692" s="1" t="e">
        <f t="shared" si="2"/>
        <v>#VALUE!</v>
      </c>
    </row>
    <row r="693" spans="1:9" ht="15.75" customHeight="1">
      <c r="A693" s="26"/>
      <c r="B693" s="2"/>
      <c r="C693" s="26"/>
      <c r="D693" s="26"/>
      <c r="F693" s="85" t="str">
        <f t="shared" si="0"/>
        <v/>
      </c>
      <c r="G693" s="1" t="e">
        <f>IF(VALUE(F693) = VALUE(RIGHT(Insights!$C$3, 4)), E693, "")</f>
        <v>#VALUE!</v>
      </c>
      <c r="H693" s="26" t="e">
        <f t="shared" si="1"/>
        <v>#VALUE!</v>
      </c>
      <c r="I693" s="1" t="e">
        <f t="shared" si="2"/>
        <v>#VALUE!</v>
      </c>
    </row>
    <row r="694" spans="1:9" ht="15.75" customHeight="1">
      <c r="A694" s="26"/>
      <c r="B694" s="2"/>
      <c r="C694" s="26"/>
      <c r="D694" s="26"/>
      <c r="F694" s="85" t="str">
        <f t="shared" si="0"/>
        <v/>
      </c>
      <c r="G694" s="1" t="e">
        <f>IF(VALUE(F694) = VALUE(RIGHT(Insights!$C$3, 4)), E694, "")</f>
        <v>#VALUE!</v>
      </c>
      <c r="H694" s="26" t="e">
        <f t="shared" si="1"/>
        <v>#VALUE!</v>
      </c>
      <c r="I694" s="1" t="e">
        <f t="shared" si="2"/>
        <v>#VALUE!</v>
      </c>
    </row>
    <row r="695" spans="1:9" ht="15.75" customHeight="1">
      <c r="A695" s="26"/>
      <c r="B695" s="2"/>
      <c r="C695" s="26"/>
      <c r="D695" s="26"/>
      <c r="F695" s="85" t="str">
        <f t="shared" si="0"/>
        <v/>
      </c>
      <c r="G695" s="1" t="e">
        <f>IF(VALUE(F695) = VALUE(RIGHT(Insights!$C$3, 4)), E695, "")</f>
        <v>#VALUE!</v>
      </c>
      <c r="H695" s="26" t="e">
        <f t="shared" si="1"/>
        <v>#VALUE!</v>
      </c>
      <c r="I695" s="1" t="e">
        <f t="shared" si="2"/>
        <v>#VALUE!</v>
      </c>
    </row>
    <row r="696" spans="1:9" ht="15.75" customHeight="1">
      <c r="A696" s="26"/>
      <c r="B696" s="2"/>
      <c r="C696" s="26"/>
      <c r="D696" s="26"/>
      <c r="F696" s="85" t="str">
        <f t="shared" si="0"/>
        <v/>
      </c>
      <c r="G696" s="1" t="e">
        <f>IF(VALUE(F696) = VALUE(RIGHT(Insights!$C$3, 4)), E696, "")</f>
        <v>#VALUE!</v>
      </c>
      <c r="H696" s="26" t="e">
        <f t="shared" si="1"/>
        <v>#VALUE!</v>
      </c>
      <c r="I696" s="1" t="e">
        <f t="shared" si="2"/>
        <v>#VALUE!</v>
      </c>
    </row>
    <row r="697" spans="1:9" ht="15.75" customHeight="1">
      <c r="A697" s="26"/>
      <c r="B697" s="2"/>
      <c r="C697" s="26"/>
      <c r="D697" s="26"/>
      <c r="F697" s="85" t="str">
        <f t="shared" si="0"/>
        <v/>
      </c>
      <c r="G697" s="1" t="e">
        <f>IF(VALUE(F697) = VALUE(RIGHT(Insights!$C$3, 4)), E697, "")</f>
        <v>#VALUE!</v>
      </c>
      <c r="H697" s="26" t="e">
        <f t="shared" si="1"/>
        <v>#VALUE!</v>
      </c>
      <c r="I697" s="1" t="e">
        <f t="shared" si="2"/>
        <v>#VALUE!</v>
      </c>
    </row>
    <row r="698" spans="1:9" ht="15.75" customHeight="1">
      <c r="A698" s="26"/>
      <c r="B698" s="2"/>
      <c r="C698" s="26"/>
      <c r="D698" s="26"/>
      <c r="F698" s="85" t="str">
        <f t="shared" si="0"/>
        <v/>
      </c>
      <c r="G698" s="1" t="e">
        <f>IF(VALUE(F698) = VALUE(RIGHT(Insights!$C$3, 4)), E698, "")</f>
        <v>#VALUE!</v>
      </c>
      <c r="H698" s="26" t="e">
        <f t="shared" si="1"/>
        <v>#VALUE!</v>
      </c>
      <c r="I698" s="1" t="e">
        <f t="shared" si="2"/>
        <v>#VALUE!</v>
      </c>
    </row>
    <row r="699" spans="1:9" ht="15.75" customHeight="1">
      <c r="A699" s="26"/>
      <c r="B699" s="2"/>
      <c r="C699" s="26"/>
      <c r="D699" s="26"/>
      <c r="F699" s="85" t="str">
        <f t="shared" si="0"/>
        <v/>
      </c>
      <c r="G699" s="1" t="e">
        <f>IF(VALUE(F699) = VALUE(RIGHT(Insights!$C$3, 4)), E699, "")</f>
        <v>#VALUE!</v>
      </c>
      <c r="H699" s="26" t="e">
        <f t="shared" si="1"/>
        <v>#VALUE!</v>
      </c>
      <c r="I699" s="1" t="e">
        <f t="shared" si="2"/>
        <v>#VALUE!</v>
      </c>
    </row>
    <row r="700" spans="1:9" ht="15.75" customHeight="1">
      <c r="A700" s="26"/>
      <c r="B700" s="2"/>
      <c r="C700" s="26"/>
      <c r="D700" s="26"/>
      <c r="F700" s="85" t="str">
        <f t="shared" si="0"/>
        <v/>
      </c>
      <c r="G700" s="1" t="e">
        <f>IF(VALUE(F700) = VALUE(RIGHT(Insights!$C$3, 4)), E700, "")</f>
        <v>#VALUE!</v>
      </c>
      <c r="H700" s="26" t="e">
        <f t="shared" si="1"/>
        <v>#VALUE!</v>
      </c>
      <c r="I700" s="1" t="e">
        <f t="shared" si="2"/>
        <v>#VALUE!</v>
      </c>
    </row>
    <row r="701" spans="1:9" ht="15.75" customHeight="1">
      <c r="A701" s="26"/>
      <c r="B701" s="2"/>
      <c r="C701" s="26"/>
      <c r="D701" s="26"/>
      <c r="F701" s="85" t="str">
        <f t="shared" si="0"/>
        <v/>
      </c>
      <c r="G701" s="1" t="e">
        <f>IF(VALUE(F701) = VALUE(RIGHT(Insights!$C$3, 4)), E701, "")</f>
        <v>#VALUE!</v>
      </c>
      <c r="H701" s="26" t="e">
        <f t="shared" si="1"/>
        <v>#VALUE!</v>
      </c>
      <c r="I701" s="1" t="e">
        <f t="shared" si="2"/>
        <v>#VALUE!</v>
      </c>
    </row>
    <row r="702" spans="1:9" ht="15.75" customHeight="1">
      <c r="A702" s="26"/>
      <c r="B702" s="2"/>
      <c r="C702" s="26"/>
      <c r="D702" s="26"/>
      <c r="F702" s="85" t="str">
        <f t="shared" si="0"/>
        <v/>
      </c>
      <c r="G702" s="1" t="e">
        <f>IF(VALUE(F702) = VALUE(RIGHT(Insights!$C$3, 4)), E702, "")</f>
        <v>#VALUE!</v>
      </c>
      <c r="H702" s="26" t="e">
        <f t="shared" si="1"/>
        <v>#VALUE!</v>
      </c>
      <c r="I702" s="1" t="e">
        <f t="shared" si="2"/>
        <v>#VALUE!</v>
      </c>
    </row>
    <row r="703" spans="1:9" ht="15.75" customHeight="1">
      <c r="A703" s="26"/>
      <c r="B703" s="2"/>
      <c r="C703" s="26"/>
      <c r="D703" s="26"/>
      <c r="F703" s="85" t="str">
        <f t="shared" si="0"/>
        <v/>
      </c>
      <c r="G703" s="1" t="e">
        <f>IF(VALUE(F703) = VALUE(RIGHT(Insights!$C$3, 4)), E703, "")</f>
        <v>#VALUE!</v>
      </c>
      <c r="H703" s="26" t="e">
        <f t="shared" si="1"/>
        <v>#VALUE!</v>
      </c>
      <c r="I703" s="1" t="e">
        <f t="shared" si="2"/>
        <v>#VALUE!</v>
      </c>
    </row>
    <row r="704" spans="1:9" ht="15.75" customHeight="1">
      <c r="A704" s="26"/>
      <c r="B704" s="2"/>
      <c r="C704" s="26"/>
      <c r="D704" s="26"/>
      <c r="F704" s="85" t="str">
        <f t="shared" si="0"/>
        <v/>
      </c>
      <c r="G704" s="1" t="e">
        <f>IF(VALUE(F704) = VALUE(RIGHT(Insights!$C$3, 4)), E704, "")</f>
        <v>#VALUE!</v>
      </c>
      <c r="H704" s="26" t="e">
        <f t="shared" si="1"/>
        <v>#VALUE!</v>
      </c>
      <c r="I704" s="1" t="e">
        <f t="shared" si="2"/>
        <v>#VALUE!</v>
      </c>
    </row>
    <row r="705" spans="1:9" ht="15.75" customHeight="1">
      <c r="A705" s="26"/>
      <c r="B705" s="2"/>
      <c r="C705" s="26"/>
      <c r="D705" s="26"/>
      <c r="F705" s="85" t="str">
        <f t="shared" si="0"/>
        <v/>
      </c>
      <c r="G705" s="1" t="e">
        <f>IF(VALUE(F705) = VALUE(RIGHT(Insights!$C$3, 4)), E705, "")</f>
        <v>#VALUE!</v>
      </c>
      <c r="H705" s="26" t="e">
        <f t="shared" si="1"/>
        <v>#VALUE!</v>
      </c>
      <c r="I705" s="1" t="e">
        <f t="shared" si="2"/>
        <v>#VALUE!</v>
      </c>
    </row>
    <row r="706" spans="1:9" ht="15.75" customHeight="1">
      <c r="A706" s="26"/>
      <c r="B706" s="2"/>
      <c r="C706" s="26"/>
      <c r="D706" s="26"/>
      <c r="F706" s="85" t="str">
        <f t="shared" si="0"/>
        <v/>
      </c>
      <c r="G706" s="1" t="e">
        <f>IF(VALUE(F706) = VALUE(RIGHT(Insights!$C$3, 4)), E706, "")</f>
        <v>#VALUE!</v>
      </c>
      <c r="H706" s="26" t="e">
        <f t="shared" si="1"/>
        <v>#VALUE!</v>
      </c>
      <c r="I706" s="1" t="e">
        <f t="shared" si="2"/>
        <v>#VALUE!</v>
      </c>
    </row>
    <row r="707" spans="1:9" ht="15.75" customHeight="1">
      <c r="A707" s="26"/>
      <c r="B707" s="2"/>
      <c r="C707" s="26"/>
      <c r="D707" s="26"/>
      <c r="F707" s="85" t="str">
        <f t="shared" si="0"/>
        <v/>
      </c>
      <c r="G707" s="1" t="e">
        <f>IF(VALUE(F707) = VALUE(RIGHT(Insights!$C$3, 4)), E707, "")</f>
        <v>#VALUE!</v>
      </c>
      <c r="H707" s="26" t="e">
        <f t="shared" si="1"/>
        <v>#VALUE!</v>
      </c>
      <c r="I707" s="1" t="e">
        <f t="shared" si="2"/>
        <v>#VALUE!</v>
      </c>
    </row>
    <row r="708" spans="1:9" ht="15.75" customHeight="1">
      <c r="A708" s="26"/>
      <c r="B708" s="2"/>
      <c r="C708" s="26"/>
      <c r="D708" s="26"/>
      <c r="F708" s="85" t="str">
        <f t="shared" si="0"/>
        <v/>
      </c>
      <c r="G708" s="1" t="e">
        <f>IF(VALUE(F708) = VALUE(RIGHT(Insights!$C$3, 4)), E708, "")</f>
        <v>#VALUE!</v>
      </c>
      <c r="H708" s="26" t="e">
        <f t="shared" si="1"/>
        <v>#VALUE!</v>
      </c>
      <c r="I708" s="1" t="e">
        <f t="shared" si="2"/>
        <v>#VALUE!</v>
      </c>
    </row>
    <row r="709" spans="1:9" ht="15.75" customHeight="1">
      <c r="A709" s="26"/>
      <c r="B709" s="2"/>
      <c r="C709" s="26"/>
      <c r="D709" s="26"/>
      <c r="F709" s="85" t="str">
        <f t="shared" si="0"/>
        <v/>
      </c>
      <c r="G709" s="1" t="e">
        <f>IF(VALUE(F709) = VALUE(RIGHT(Insights!$C$3, 4)), E709, "")</f>
        <v>#VALUE!</v>
      </c>
      <c r="H709" s="26" t="e">
        <f t="shared" si="1"/>
        <v>#VALUE!</v>
      </c>
      <c r="I709" s="1" t="e">
        <f t="shared" si="2"/>
        <v>#VALUE!</v>
      </c>
    </row>
    <row r="710" spans="1:9" ht="15.75" customHeight="1">
      <c r="A710" s="26"/>
      <c r="B710" s="2"/>
      <c r="C710" s="26"/>
      <c r="D710" s="26"/>
      <c r="F710" s="85" t="str">
        <f t="shared" si="0"/>
        <v/>
      </c>
      <c r="G710" s="1" t="e">
        <f>IF(VALUE(F710) = VALUE(RIGHT(Insights!$C$3, 4)), E710, "")</f>
        <v>#VALUE!</v>
      </c>
      <c r="H710" s="26" t="e">
        <f t="shared" si="1"/>
        <v>#VALUE!</v>
      </c>
      <c r="I710" s="1" t="e">
        <f t="shared" si="2"/>
        <v>#VALUE!</v>
      </c>
    </row>
    <row r="711" spans="1:9" ht="15.75" customHeight="1">
      <c r="A711" s="26"/>
      <c r="B711" s="2"/>
      <c r="C711" s="26"/>
      <c r="D711" s="26"/>
      <c r="F711" s="85" t="str">
        <f t="shared" si="0"/>
        <v/>
      </c>
      <c r="G711" s="1" t="e">
        <f>IF(VALUE(F711) = VALUE(RIGHT(Insights!$C$3, 4)), E711, "")</f>
        <v>#VALUE!</v>
      </c>
      <c r="H711" s="26" t="e">
        <f t="shared" si="1"/>
        <v>#VALUE!</v>
      </c>
      <c r="I711" s="1" t="e">
        <f t="shared" si="2"/>
        <v>#VALUE!</v>
      </c>
    </row>
    <row r="712" spans="1:9" ht="15.75" customHeight="1">
      <c r="A712" s="26"/>
      <c r="B712" s="2"/>
      <c r="C712" s="26"/>
      <c r="D712" s="26"/>
      <c r="F712" s="85" t="str">
        <f t="shared" si="0"/>
        <v/>
      </c>
      <c r="G712" s="1" t="e">
        <f>IF(VALUE(F712) = VALUE(RIGHT(Insights!$C$3, 4)), E712, "")</f>
        <v>#VALUE!</v>
      </c>
      <c r="H712" s="26" t="e">
        <f t="shared" si="1"/>
        <v>#VALUE!</v>
      </c>
      <c r="I712" s="1" t="e">
        <f t="shared" si="2"/>
        <v>#VALUE!</v>
      </c>
    </row>
    <row r="713" spans="1:9" ht="15.75" customHeight="1">
      <c r="A713" s="26"/>
      <c r="B713" s="2"/>
      <c r="C713" s="26"/>
      <c r="D713" s="26"/>
      <c r="F713" s="85" t="str">
        <f t="shared" si="0"/>
        <v/>
      </c>
      <c r="G713" s="1" t="e">
        <f>IF(VALUE(F713) = VALUE(RIGHT(Insights!$C$3, 4)), E713, "")</f>
        <v>#VALUE!</v>
      </c>
      <c r="H713" s="26" t="e">
        <f t="shared" si="1"/>
        <v>#VALUE!</v>
      </c>
      <c r="I713" s="1" t="e">
        <f t="shared" si="2"/>
        <v>#VALUE!</v>
      </c>
    </row>
    <row r="714" spans="1:9" ht="15.75" customHeight="1">
      <c r="A714" s="26"/>
      <c r="B714" s="2"/>
      <c r="C714" s="26"/>
      <c r="D714" s="26"/>
      <c r="F714" s="85" t="str">
        <f t="shared" si="0"/>
        <v/>
      </c>
      <c r="G714" s="1" t="e">
        <f>IF(VALUE(F714) = VALUE(RIGHT(Insights!$C$3, 4)), E714, "")</f>
        <v>#VALUE!</v>
      </c>
      <c r="H714" s="26" t="e">
        <f t="shared" si="1"/>
        <v>#VALUE!</v>
      </c>
      <c r="I714" s="1" t="e">
        <f t="shared" si="2"/>
        <v>#VALUE!</v>
      </c>
    </row>
    <row r="715" spans="1:9" ht="15.75" customHeight="1">
      <c r="A715" s="26"/>
      <c r="B715" s="2"/>
      <c r="C715" s="26"/>
      <c r="D715" s="26"/>
      <c r="F715" s="85" t="str">
        <f t="shared" si="0"/>
        <v/>
      </c>
      <c r="G715" s="1" t="e">
        <f>IF(VALUE(F715) = VALUE(RIGHT(Insights!$C$3, 4)), E715, "")</f>
        <v>#VALUE!</v>
      </c>
      <c r="H715" s="26" t="e">
        <f t="shared" si="1"/>
        <v>#VALUE!</v>
      </c>
      <c r="I715" s="1" t="e">
        <f t="shared" si="2"/>
        <v>#VALUE!</v>
      </c>
    </row>
    <row r="716" spans="1:9" ht="15.75" customHeight="1">
      <c r="A716" s="26"/>
      <c r="B716" s="2"/>
      <c r="C716" s="26"/>
      <c r="D716" s="26"/>
      <c r="F716" s="85" t="str">
        <f t="shared" si="0"/>
        <v/>
      </c>
      <c r="G716" s="1" t="e">
        <f>IF(VALUE(F716) = VALUE(RIGHT(Insights!$C$3, 4)), E716, "")</f>
        <v>#VALUE!</v>
      </c>
      <c r="H716" s="26" t="e">
        <f t="shared" si="1"/>
        <v>#VALUE!</v>
      </c>
      <c r="I716" s="1" t="e">
        <f t="shared" si="2"/>
        <v>#VALUE!</v>
      </c>
    </row>
    <row r="717" spans="1:9" ht="15.75" customHeight="1">
      <c r="A717" s="26"/>
      <c r="B717" s="2"/>
      <c r="C717" s="26"/>
      <c r="D717" s="26"/>
      <c r="F717" s="85" t="str">
        <f t="shared" si="0"/>
        <v/>
      </c>
      <c r="G717" s="1" t="e">
        <f>IF(VALUE(F717) = VALUE(RIGHT(Insights!$C$3, 4)), E717, "")</f>
        <v>#VALUE!</v>
      </c>
      <c r="H717" s="26" t="e">
        <f t="shared" si="1"/>
        <v>#VALUE!</v>
      </c>
      <c r="I717" s="1" t="e">
        <f t="shared" si="2"/>
        <v>#VALUE!</v>
      </c>
    </row>
    <row r="718" spans="1:9" ht="15.75" customHeight="1">
      <c r="A718" s="26"/>
      <c r="B718" s="2"/>
      <c r="C718" s="26"/>
      <c r="D718" s="26"/>
      <c r="F718" s="85" t="str">
        <f t="shared" si="0"/>
        <v/>
      </c>
      <c r="G718" s="1" t="e">
        <f>IF(VALUE(F718) = VALUE(RIGHT(Insights!$C$3, 4)), E718, "")</f>
        <v>#VALUE!</v>
      </c>
      <c r="H718" s="26" t="e">
        <f t="shared" si="1"/>
        <v>#VALUE!</v>
      </c>
      <c r="I718" s="1" t="e">
        <f t="shared" si="2"/>
        <v>#VALUE!</v>
      </c>
    </row>
    <row r="719" spans="1:9" ht="15.75" customHeight="1">
      <c r="A719" s="26"/>
      <c r="B719" s="2"/>
      <c r="C719" s="26"/>
      <c r="D719" s="26"/>
      <c r="F719" s="85" t="str">
        <f t="shared" si="0"/>
        <v/>
      </c>
      <c r="G719" s="1" t="e">
        <f>IF(VALUE(F719) = VALUE(RIGHT(Insights!$C$3, 4)), E719, "")</f>
        <v>#VALUE!</v>
      </c>
      <c r="H719" s="26" t="e">
        <f t="shared" si="1"/>
        <v>#VALUE!</v>
      </c>
      <c r="I719" s="1" t="e">
        <f t="shared" si="2"/>
        <v>#VALUE!</v>
      </c>
    </row>
    <row r="720" spans="1:9" ht="15.75" customHeight="1">
      <c r="A720" s="26"/>
      <c r="B720" s="2"/>
      <c r="C720" s="26"/>
      <c r="D720" s="26"/>
      <c r="F720" s="85" t="str">
        <f t="shared" si="0"/>
        <v/>
      </c>
      <c r="G720" s="1" t="e">
        <f>IF(VALUE(F720) = VALUE(RIGHT(Insights!$C$3, 4)), E720, "")</f>
        <v>#VALUE!</v>
      </c>
      <c r="H720" s="26" t="e">
        <f t="shared" si="1"/>
        <v>#VALUE!</v>
      </c>
      <c r="I720" s="1" t="e">
        <f t="shared" si="2"/>
        <v>#VALUE!</v>
      </c>
    </row>
    <row r="721" spans="1:9" ht="15.75" customHeight="1">
      <c r="A721" s="26"/>
      <c r="B721" s="2"/>
      <c r="C721" s="26"/>
      <c r="D721" s="26"/>
      <c r="F721" s="85" t="str">
        <f t="shared" si="0"/>
        <v/>
      </c>
      <c r="G721" s="1" t="e">
        <f>IF(VALUE(F721) = VALUE(RIGHT(Insights!$C$3, 4)), E721, "")</f>
        <v>#VALUE!</v>
      </c>
      <c r="H721" s="26" t="e">
        <f t="shared" si="1"/>
        <v>#VALUE!</v>
      </c>
      <c r="I721" s="1" t="e">
        <f t="shared" si="2"/>
        <v>#VALUE!</v>
      </c>
    </row>
    <row r="722" spans="1:9" ht="15.75" customHeight="1">
      <c r="A722" s="26"/>
      <c r="B722" s="2"/>
      <c r="C722" s="26"/>
      <c r="D722" s="26"/>
      <c r="F722" s="85" t="str">
        <f t="shared" si="0"/>
        <v/>
      </c>
      <c r="G722" s="1" t="e">
        <f>IF(VALUE(F722) = VALUE(RIGHT(Insights!$C$3, 4)), E722, "")</f>
        <v>#VALUE!</v>
      </c>
      <c r="H722" s="26" t="e">
        <f t="shared" si="1"/>
        <v>#VALUE!</v>
      </c>
      <c r="I722" s="1" t="e">
        <f t="shared" si="2"/>
        <v>#VALUE!</v>
      </c>
    </row>
    <row r="723" spans="1:9" ht="15.75" customHeight="1">
      <c r="A723" s="26"/>
      <c r="B723" s="2"/>
      <c r="C723" s="26"/>
      <c r="D723" s="26"/>
      <c r="F723" s="85" t="str">
        <f t="shared" si="0"/>
        <v/>
      </c>
      <c r="G723" s="1" t="e">
        <f>IF(VALUE(F723) = VALUE(RIGHT(Insights!$C$3, 4)), E723, "")</f>
        <v>#VALUE!</v>
      </c>
      <c r="H723" s="26" t="e">
        <f t="shared" si="1"/>
        <v>#VALUE!</v>
      </c>
      <c r="I723" s="1" t="e">
        <f t="shared" si="2"/>
        <v>#VALUE!</v>
      </c>
    </row>
    <row r="724" spans="1:9" ht="15.75" customHeight="1">
      <c r="A724" s="26"/>
      <c r="B724" s="2"/>
      <c r="C724" s="26"/>
      <c r="D724" s="26"/>
      <c r="F724" s="85" t="str">
        <f t="shared" si="0"/>
        <v/>
      </c>
      <c r="G724" s="1" t="e">
        <f>IF(VALUE(F724) = VALUE(RIGHT(Insights!$C$3, 4)), E724, "")</f>
        <v>#VALUE!</v>
      </c>
      <c r="H724" s="26" t="e">
        <f t="shared" si="1"/>
        <v>#VALUE!</v>
      </c>
      <c r="I724" s="1" t="e">
        <f t="shared" si="2"/>
        <v>#VALUE!</v>
      </c>
    </row>
    <row r="725" spans="1:9" ht="15.75" customHeight="1">
      <c r="A725" s="26"/>
      <c r="B725" s="2"/>
      <c r="C725" s="26"/>
      <c r="D725" s="26"/>
      <c r="F725" s="85" t="str">
        <f t="shared" si="0"/>
        <v/>
      </c>
      <c r="G725" s="1" t="e">
        <f>IF(VALUE(F725) = VALUE(RIGHT(Insights!$C$3, 4)), E725, "")</f>
        <v>#VALUE!</v>
      </c>
      <c r="H725" s="26" t="e">
        <f t="shared" si="1"/>
        <v>#VALUE!</v>
      </c>
      <c r="I725" s="1" t="e">
        <f t="shared" si="2"/>
        <v>#VALUE!</v>
      </c>
    </row>
    <row r="726" spans="1:9" ht="15.75" customHeight="1">
      <c r="A726" s="26"/>
      <c r="B726" s="2"/>
      <c r="C726" s="26"/>
      <c r="D726" s="26"/>
      <c r="F726" s="85" t="str">
        <f t="shared" si="0"/>
        <v/>
      </c>
      <c r="G726" s="1" t="e">
        <f>IF(VALUE(F726) = VALUE(RIGHT(Insights!$C$3, 4)), E726, "")</f>
        <v>#VALUE!</v>
      </c>
      <c r="H726" s="26" t="e">
        <f t="shared" si="1"/>
        <v>#VALUE!</v>
      </c>
      <c r="I726" s="1" t="e">
        <f t="shared" si="2"/>
        <v>#VALUE!</v>
      </c>
    </row>
    <row r="727" spans="1:9" ht="15.75" customHeight="1">
      <c r="A727" s="26"/>
      <c r="B727" s="2"/>
      <c r="C727" s="26"/>
      <c r="D727" s="26"/>
      <c r="F727" s="85" t="str">
        <f t="shared" si="0"/>
        <v/>
      </c>
      <c r="G727" s="1" t="e">
        <f>IF(VALUE(F727) = VALUE(RIGHT(Insights!$C$3, 4)), E727, "")</f>
        <v>#VALUE!</v>
      </c>
      <c r="H727" s="26" t="e">
        <f t="shared" si="1"/>
        <v>#VALUE!</v>
      </c>
      <c r="I727" s="1" t="e">
        <f t="shared" si="2"/>
        <v>#VALUE!</v>
      </c>
    </row>
    <row r="728" spans="1:9" ht="15.75" customHeight="1">
      <c r="A728" s="26"/>
      <c r="B728" s="2"/>
      <c r="C728" s="26"/>
      <c r="D728" s="26"/>
      <c r="F728" s="85" t="str">
        <f t="shared" si="0"/>
        <v/>
      </c>
      <c r="G728" s="1" t="e">
        <f>IF(VALUE(F728) = VALUE(RIGHT(Insights!$C$3, 4)), E728, "")</f>
        <v>#VALUE!</v>
      </c>
      <c r="H728" s="26" t="e">
        <f t="shared" si="1"/>
        <v>#VALUE!</v>
      </c>
      <c r="I728" s="1" t="e">
        <f t="shared" si="2"/>
        <v>#VALUE!</v>
      </c>
    </row>
    <row r="729" spans="1:9" ht="15.75" customHeight="1">
      <c r="A729" s="26"/>
      <c r="B729" s="2"/>
      <c r="C729" s="26"/>
      <c r="D729" s="26"/>
      <c r="F729" s="85" t="str">
        <f t="shared" si="0"/>
        <v/>
      </c>
      <c r="G729" s="1" t="e">
        <f>IF(VALUE(F729) = VALUE(RIGHT(Insights!$C$3, 4)), E729, "")</f>
        <v>#VALUE!</v>
      </c>
      <c r="H729" s="26" t="e">
        <f t="shared" si="1"/>
        <v>#VALUE!</v>
      </c>
      <c r="I729" s="1" t="e">
        <f t="shared" si="2"/>
        <v>#VALUE!</v>
      </c>
    </row>
    <row r="730" spans="1:9" ht="15.75" customHeight="1">
      <c r="A730" s="26"/>
      <c r="B730" s="2"/>
      <c r="C730" s="26"/>
      <c r="D730" s="26"/>
      <c r="F730" s="85" t="str">
        <f t="shared" si="0"/>
        <v/>
      </c>
      <c r="G730" s="1" t="e">
        <f>IF(VALUE(F730) = VALUE(RIGHT(Insights!$C$3, 4)), E730, "")</f>
        <v>#VALUE!</v>
      </c>
      <c r="H730" s="26" t="e">
        <f t="shared" si="1"/>
        <v>#VALUE!</v>
      </c>
      <c r="I730" s="1" t="e">
        <f t="shared" si="2"/>
        <v>#VALUE!</v>
      </c>
    </row>
    <row r="731" spans="1:9" ht="15.75" customHeight="1">
      <c r="A731" s="26"/>
      <c r="B731" s="2"/>
      <c r="C731" s="26"/>
      <c r="D731" s="26"/>
      <c r="F731" s="85" t="str">
        <f t="shared" si="0"/>
        <v/>
      </c>
      <c r="G731" s="1" t="e">
        <f>IF(VALUE(F731) = VALUE(RIGHT(Insights!$C$3, 4)), E731, "")</f>
        <v>#VALUE!</v>
      </c>
      <c r="H731" s="26" t="e">
        <f t="shared" si="1"/>
        <v>#VALUE!</v>
      </c>
      <c r="I731" s="1" t="e">
        <f t="shared" si="2"/>
        <v>#VALUE!</v>
      </c>
    </row>
    <row r="732" spans="1:9" ht="15.75" customHeight="1">
      <c r="A732" s="26"/>
      <c r="B732" s="2"/>
      <c r="C732" s="26"/>
      <c r="D732" s="26"/>
      <c r="F732" s="85" t="str">
        <f t="shared" si="0"/>
        <v/>
      </c>
      <c r="G732" s="1" t="e">
        <f>IF(VALUE(F732) = VALUE(RIGHT(Insights!$C$3, 4)), E732, "")</f>
        <v>#VALUE!</v>
      </c>
      <c r="H732" s="26" t="e">
        <f t="shared" si="1"/>
        <v>#VALUE!</v>
      </c>
      <c r="I732" s="1" t="e">
        <f t="shared" si="2"/>
        <v>#VALUE!</v>
      </c>
    </row>
    <row r="733" spans="1:9" ht="15.75" customHeight="1">
      <c r="A733" s="26"/>
      <c r="B733" s="2"/>
      <c r="C733" s="26"/>
      <c r="D733" s="26"/>
      <c r="F733" s="85" t="str">
        <f t="shared" si="0"/>
        <v/>
      </c>
      <c r="G733" s="1" t="e">
        <f>IF(VALUE(F733) = VALUE(RIGHT(Insights!$C$3, 4)), E733, "")</f>
        <v>#VALUE!</v>
      </c>
      <c r="H733" s="26" t="e">
        <f t="shared" si="1"/>
        <v>#VALUE!</v>
      </c>
      <c r="I733" s="1" t="e">
        <f t="shared" si="2"/>
        <v>#VALUE!</v>
      </c>
    </row>
    <row r="734" spans="1:9" ht="15.75" customHeight="1">
      <c r="A734" s="26"/>
      <c r="B734" s="2"/>
      <c r="C734" s="26"/>
      <c r="D734" s="26"/>
      <c r="F734" s="85" t="str">
        <f t="shared" si="0"/>
        <v/>
      </c>
      <c r="G734" s="1" t="e">
        <f>IF(VALUE(F734) = VALUE(RIGHT(Insights!$C$3, 4)), E734, "")</f>
        <v>#VALUE!</v>
      </c>
      <c r="H734" s="26" t="e">
        <f t="shared" si="1"/>
        <v>#VALUE!</v>
      </c>
      <c r="I734" s="1" t="e">
        <f t="shared" si="2"/>
        <v>#VALUE!</v>
      </c>
    </row>
    <row r="735" spans="1:9" ht="15.75" customHeight="1">
      <c r="A735" s="26"/>
      <c r="B735" s="2"/>
      <c r="C735" s="26"/>
      <c r="D735" s="26"/>
      <c r="F735" s="85" t="str">
        <f t="shared" si="0"/>
        <v/>
      </c>
      <c r="G735" s="1" t="e">
        <f>IF(VALUE(F735) = VALUE(RIGHT(Insights!$C$3, 4)), E735, "")</f>
        <v>#VALUE!</v>
      </c>
      <c r="H735" s="26" t="e">
        <f t="shared" si="1"/>
        <v>#VALUE!</v>
      </c>
      <c r="I735" s="1" t="e">
        <f t="shared" si="2"/>
        <v>#VALUE!</v>
      </c>
    </row>
    <row r="736" spans="1:9" ht="15.75" customHeight="1">
      <c r="A736" s="26"/>
      <c r="B736" s="2"/>
      <c r="C736" s="26"/>
      <c r="D736" s="26"/>
      <c r="F736" s="85" t="str">
        <f t="shared" si="0"/>
        <v/>
      </c>
      <c r="G736" s="1" t="e">
        <f>IF(VALUE(F736) = VALUE(RIGHT(Insights!$C$3, 4)), E736, "")</f>
        <v>#VALUE!</v>
      </c>
      <c r="H736" s="26" t="e">
        <f t="shared" si="1"/>
        <v>#VALUE!</v>
      </c>
      <c r="I736" s="1" t="e">
        <f t="shared" si="2"/>
        <v>#VALUE!</v>
      </c>
    </row>
    <row r="737" spans="1:9" ht="15.75" customHeight="1">
      <c r="A737" s="26"/>
      <c r="B737" s="2"/>
      <c r="C737" s="26"/>
      <c r="D737" s="26"/>
      <c r="F737" s="85" t="str">
        <f t="shared" si="0"/>
        <v/>
      </c>
      <c r="G737" s="1" t="e">
        <f>IF(VALUE(F737) = VALUE(RIGHT(Insights!$C$3, 4)), E737, "")</f>
        <v>#VALUE!</v>
      </c>
      <c r="H737" s="26" t="e">
        <f t="shared" si="1"/>
        <v>#VALUE!</v>
      </c>
      <c r="I737" s="1" t="e">
        <f t="shared" si="2"/>
        <v>#VALUE!</v>
      </c>
    </row>
    <row r="738" spans="1:9" ht="15.75" customHeight="1">
      <c r="A738" s="26"/>
      <c r="B738" s="2"/>
      <c r="C738" s="26"/>
      <c r="D738" s="26"/>
      <c r="F738" s="85" t="str">
        <f t="shared" si="0"/>
        <v/>
      </c>
      <c r="G738" s="1" t="e">
        <f>IF(VALUE(F738) = VALUE(RIGHT(Insights!$C$3, 4)), E738, "")</f>
        <v>#VALUE!</v>
      </c>
      <c r="H738" s="26" t="e">
        <f t="shared" si="1"/>
        <v>#VALUE!</v>
      </c>
      <c r="I738" s="1" t="e">
        <f t="shared" si="2"/>
        <v>#VALUE!</v>
      </c>
    </row>
    <row r="739" spans="1:9" ht="15.75" customHeight="1">
      <c r="A739" s="26"/>
      <c r="B739" s="2"/>
      <c r="C739" s="26"/>
      <c r="D739" s="26"/>
      <c r="F739" s="85" t="str">
        <f t="shared" si="0"/>
        <v/>
      </c>
      <c r="G739" s="1" t="e">
        <f>IF(VALUE(F739) = VALUE(RIGHT(Insights!$C$3, 4)), E739, "")</f>
        <v>#VALUE!</v>
      </c>
      <c r="H739" s="26" t="e">
        <f t="shared" si="1"/>
        <v>#VALUE!</v>
      </c>
      <c r="I739" s="1" t="e">
        <f t="shared" si="2"/>
        <v>#VALUE!</v>
      </c>
    </row>
    <row r="740" spans="1:9" ht="15.75" customHeight="1">
      <c r="A740" s="26"/>
      <c r="B740" s="2"/>
      <c r="C740" s="26"/>
      <c r="D740" s="26"/>
      <c r="F740" s="85" t="str">
        <f t="shared" si="0"/>
        <v/>
      </c>
      <c r="G740" s="1" t="e">
        <f>IF(VALUE(F740) = VALUE(RIGHT(Insights!$C$3, 4)), E740, "")</f>
        <v>#VALUE!</v>
      </c>
      <c r="H740" s="26" t="e">
        <f t="shared" si="1"/>
        <v>#VALUE!</v>
      </c>
      <c r="I740" s="1" t="e">
        <f t="shared" si="2"/>
        <v>#VALUE!</v>
      </c>
    </row>
    <row r="741" spans="1:9" ht="15.75" customHeight="1">
      <c r="A741" s="26"/>
      <c r="B741" s="2"/>
      <c r="C741" s="26"/>
      <c r="D741" s="26"/>
      <c r="F741" s="85" t="str">
        <f t="shared" si="0"/>
        <v/>
      </c>
      <c r="G741" s="1" t="e">
        <f>IF(VALUE(F741) = VALUE(RIGHT(Insights!$C$3, 4)), E741, "")</f>
        <v>#VALUE!</v>
      </c>
      <c r="H741" s="26" t="e">
        <f t="shared" si="1"/>
        <v>#VALUE!</v>
      </c>
      <c r="I741" s="1" t="e">
        <f t="shared" si="2"/>
        <v>#VALUE!</v>
      </c>
    </row>
    <row r="742" spans="1:9" ht="15.75" customHeight="1">
      <c r="A742" s="26"/>
      <c r="B742" s="2"/>
      <c r="C742" s="26"/>
      <c r="D742" s="26"/>
      <c r="F742" s="85" t="str">
        <f t="shared" si="0"/>
        <v/>
      </c>
      <c r="G742" s="1" t="e">
        <f>IF(VALUE(F742) = VALUE(RIGHT(Insights!$C$3, 4)), E742, "")</f>
        <v>#VALUE!</v>
      </c>
      <c r="H742" s="26" t="e">
        <f t="shared" si="1"/>
        <v>#VALUE!</v>
      </c>
      <c r="I742" s="1" t="e">
        <f t="shared" si="2"/>
        <v>#VALUE!</v>
      </c>
    </row>
    <row r="743" spans="1:9" ht="15.75" customHeight="1">
      <c r="A743" s="26"/>
      <c r="B743" s="2"/>
      <c r="C743" s="26"/>
      <c r="D743" s="26"/>
      <c r="F743" s="85" t="str">
        <f t="shared" si="0"/>
        <v/>
      </c>
      <c r="G743" s="1" t="e">
        <f>IF(VALUE(F743) = VALUE(RIGHT(Insights!$C$3, 4)), E743, "")</f>
        <v>#VALUE!</v>
      </c>
      <c r="H743" s="26" t="e">
        <f t="shared" si="1"/>
        <v>#VALUE!</v>
      </c>
      <c r="I743" s="1" t="e">
        <f t="shared" si="2"/>
        <v>#VALUE!</v>
      </c>
    </row>
    <row r="744" spans="1:9" ht="15.75" customHeight="1">
      <c r="A744" s="26"/>
      <c r="B744" s="2"/>
      <c r="C744" s="26"/>
      <c r="D744" s="26"/>
      <c r="F744" s="85" t="str">
        <f t="shared" si="0"/>
        <v/>
      </c>
      <c r="G744" s="1" t="e">
        <f>IF(VALUE(F744) = VALUE(RIGHT(Insights!$C$3, 4)), E744, "")</f>
        <v>#VALUE!</v>
      </c>
      <c r="H744" s="26" t="e">
        <f t="shared" si="1"/>
        <v>#VALUE!</v>
      </c>
      <c r="I744" s="1" t="e">
        <f t="shared" si="2"/>
        <v>#VALUE!</v>
      </c>
    </row>
    <row r="745" spans="1:9" ht="15.75" customHeight="1">
      <c r="A745" s="26"/>
      <c r="B745" s="2"/>
      <c r="C745" s="26"/>
      <c r="D745" s="26"/>
      <c r="F745" s="85" t="str">
        <f t="shared" si="0"/>
        <v/>
      </c>
      <c r="G745" s="1" t="e">
        <f>IF(VALUE(F745) = VALUE(RIGHT(Insights!$C$3, 4)), E745, "")</f>
        <v>#VALUE!</v>
      </c>
      <c r="H745" s="26" t="e">
        <f t="shared" si="1"/>
        <v>#VALUE!</v>
      </c>
      <c r="I745" s="1" t="e">
        <f t="shared" si="2"/>
        <v>#VALUE!</v>
      </c>
    </row>
    <row r="746" spans="1:9" ht="15.75" customHeight="1">
      <c r="A746" s="26"/>
      <c r="B746" s="2"/>
      <c r="C746" s="26"/>
      <c r="D746" s="26"/>
      <c r="F746" s="85" t="str">
        <f t="shared" si="0"/>
        <v/>
      </c>
      <c r="G746" s="1" t="e">
        <f>IF(VALUE(F746) = VALUE(RIGHT(Insights!$C$3, 4)), E746, "")</f>
        <v>#VALUE!</v>
      </c>
      <c r="H746" s="26" t="e">
        <f t="shared" si="1"/>
        <v>#VALUE!</v>
      </c>
      <c r="I746" s="1" t="e">
        <f t="shared" si="2"/>
        <v>#VALUE!</v>
      </c>
    </row>
    <row r="747" spans="1:9" ht="15.75" customHeight="1">
      <c r="A747" s="26"/>
      <c r="B747" s="2"/>
      <c r="C747" s="26"/>
      <c r="D747" s="26"/>
      <c r="F747" s="85" t="str">
        <f t="shared" si="0"/>
        <v/>
      </c>
      <c r="G747" s="1" t="e">
        <f>IF(VALUE(F747) = VALUE(RIGHT(Insights!$C$3, 4)), E747, "")</f>
        <v>#VALUE!</v>
      </c>
      <c r="H747" s="26" t="e">
        <f t="shared" si="1"/>
        <v>#VALUE!</v>
      </c>
      <c r="I747" s="1" t="e">
        <f t="shared" si="2"/>
        <v>#VALUE!</v>
      </c>
    </row>
    <row r="748" spans="1:9" ht="15.75" customHeight="1">
      <c r="A748" s="26"/>
      <c r="B748" s="2"/>
      <c r="C748" s="26"/>
      <c r="D748" s="26"/>
      <c r="F748" s="85" t="str">
        <f t="shared" si="0"/>
        <v/>
      </c>
      <c r="G748" s="1" t="e">
        <f>IF(VALUE(F748) = VALUE(RIGHT(Insights!$C$3, 4)), E748, "")</f>
        <v>#VALUE!</v>
      </c>
      <c r="H748" s="26" t="e">
        <f t="shared" si="1"/>
        <v>#VALUE!</v>
      </c>
      <c r="I748" s="1" t="e">
        <f t="shared" si="2"/>
        <v>#VALUE!</v>
      </c>
    </row>
    <row r="749" spans="1:9" ht="15.75" customHeight="1">
      <c r="A749" s="26"/>
      <c r="B749" s="2"/>
      <c r="C749" s="26"/>
      <c r="D749" s="26"/>
      <c r="F749" s="85" t="str">
        <f t="shared" si="0"/>
        <v/>
      </c>
      <c r="G749" s="1" t="e">
        <f>IF(VALUE(F749) = VALUE(RIGHT(Insights!$C$3, 4)), E749, "")</f>
        <v>#VALUE!</v>
      </c>
      <c r="H749" s="26" t="e">
        <f t="shared" si="1"/>
        <v>#VALUE!</v>
      </c>
      <c r="I749" s="1" t="e">
        <f t="shared" si="2"/>
        <v>#VALUE!</v>
      </c>
    </row>
    <row r="750" spans="1:9" ht="15.75" customHeight="1">
      <c r="A750" s="26"/>
      <c r="B750" s="2"/>
      <c r="C750" s="26"/>
      <c r="D750" s="26"/>
      <c r="F750" s="85" t="str">
        <f t="shared" si="0"/>
        <v/>
      </c>
      <c r="G750" s="1" t="e">
        <f>IF(VALUE(F750) = VALUE(RIGHT(Insights!$C$3, 4)), E750, "")</f>
        <v>#VALUE!</v>
      </c>
      <c r="H750" s="26" t="e">
        <f t="shared" si="1"/>
        <v>#VALUE!</v>
      </c>
      <c r="I750" s="1" t="e">
        <f t="shared" si="2"/>
        <v>#VALUE!</v>
      </c>
    </row>
    <row r="751" spans="1:9" ht="15.75" customHeight="1">
      <c r="A751" s="26"/>
      <c r="B751" s="2"/>
      <c r="C751" s="26"/>
      <c r="D751" s="26"/>
      <c r="F751" s="85" t="str">
        <f t="shared" si="0"/>
        <v/>
      </c>
      <c r="G751" s="1" t="e">
        <f>IF(VALUE(F751) = VALUE(RIGHT(Insights!$C$3, 4)), E751, "")</f>
        <v>#VALUE!</v>
      </c>
      <c r="H751" s="26" t="e">
        <f t="shared" si="1"/>
        <v>#VALUE!</v>
      </c>
      <c r="I751" s="1" t="e">
        <f t="shared" si="2"/>
        <v>#VALUE!</v>
      </c>
    </row>
    <row r="752" spans="1:9" ht="15.75" customHeight="1">
      <c r="A752" s="26"/>
      <c r="B752" s="2"/>
      <c r="C752" s="26"/>
      <c r="D752" s="26"/>
      <c r="F752" s="85" t="str">
        <f t="shared" si="0"/>
        <v/>
      </c>
      <c r="G752" s="1" t="e">
        <f>IF(VALUE(F752) = VALUE(RIGHT(Insights!$C$3, 4)), E752, "")</f>
        <v>#VALUE!</v>
      </c>
      <c r="H752" s="26" t="e">
        <f t="shared" si="1"/>
        <v>#VALUE!</v>
      </c>
      <c r="I752" s="1" t="e">
        <f t="shared" si="2"/>
        <v>#VALUE!</v>
      </c>
    </row>
    <row r="753" spans="1:9" ht="15.75" customHeight="1">
      <c r="A753" s="26"/>
      <c r="B753" s="2"/>
      <c r="C753" s="26"/>
      <c r="D753" s="26"/>
      <c r="F753" s="85" t="str">
        <f t="shared" si="0"/>
        <v/>
      </c>
      <c r="G753" s="1" t="e">
        <f>IF(VALUE(F753) = VALUE(RIGHT(Insights!$C$3, 4)), E753, "")</f>
        <v>#VALUE!</v>
      </c>
      <c r="H753" s="26" t="e">
        <f t="shared" si="1"/>
        <v>#VALUE!</v>
      </c>
      <c r="I753" s="1" t="e">
        <f t="shared" si="2"/>
        <v>#VALUE!</v>
      </c>
    </row>
    <row r="754" spans="1:9" ht="15.75" customHeight="1">
      <c r="A754" s="26"/>
      <c r="B754" s="2"/>
      <c r="C754" s="26"/>
      <c r="D754" s="26"/>
      <c r="F754" s="85" t="str">
        <f t="shared" si="0"/>
        <v/>
      </c>
      <c r="G754" s="1" t="e">
        <f>IF(VALUE(F754) = VALUE(RIGHT(Insights!$C$3, 4)), E754, "")</f>
        <v>#VALUE!</v>
      </c>
      <c r="H754" s="26" t="e">
        <f t="shared" si="1"/>
        <v>#VALUE!</v>
      </c>
      <c r="I754" s="1" t="e">
        <f t="shared" si="2"/>
        <v>#VALUE!</v>
      </c>
    </row>
    <row r="755" spans="1:9" ht="15.75" customHeight="1">
      <c r="A755" s="26"/>
      <c r="B755" s="2"/>
      <c r="C755" s="26"/>
      <c r="D755" s="26"/>
      <c r="F755" s="85" t="str">
        <f t="shared" si="0"/>
        <v/>
      </c>
      <c r="G755" s="1" t="e">
        <f>IF(VALUE(F755) = VALUE(RIGHT(Insights!$C$3, 4)), E755, "")</f>
        <v>#VALUE!</v>
      </c>
      <c r="H755" s="26" t="e">
        <f t="shared" si="1"/>
        <v>#VALUE!</v>
      </c>
      <c r="I755" s="1" t="e">
        <f t="shared" si="2"/>
        <v>#VALUE!</v>
      </c>
    </row>
    <row r="756" spans="1:9" ht="15.75" customHeight="1">
      <c r="A756" s="26"/>
      <c r="B756" s="2"/>
      <c r="C756" s="26"/>
      <c r="D756" s="26"/>
      <c r="F756" s="85" t="str">
        <f t="shared" si="0"/>
        <v/>
      </c>
      <c r="G756" s="1" t="e">
        <f>IF(VALUE(F756) = VALUE(RIGHT(Insights!$C$3, 4)), E756, "")</f>
        <v>#VALUE!</v>
      </c>
      <c r="H756" s="26" t="e">
        <f t="shared" si="1"/>
        <v>#VALUE!</v>
      </c>
      <c r="I756" s="1" t="e">
        <f t="shared" si="2"/>
        <v>#VALUE!</v>
      </c>
    </row>
    <row r="757" spans="1:9" ht="15.75" customHeight="1">
      <c r="A757" s="26"/>
      <c r="B757" s="2"/>
      <c r="C757" s="26"/>
      <c r="D757" s="26"/>
      <c r="F757" s="85" t="str">
        <f t="shared" si="0"/>
        <v/>
      </c>
      <c r="G757" s="1" t="e">
        <f>IF(VALUE(F757) = VALUE(RIGHT(Insights!$C$3, 4)), E757, "")</f>
        <v>#VALUE!</v>
      </c>
      <c r="H757" s="26" t="e">
        <f t="shared" si="1"/>
        <v>#VALUE!</v>
      </c>
      <c r="I757" s="1" t="e">
        <f t="shared" si="2"/>
        <v>#VALUE!</v>
      </c>
    </row>
    <row r="758" spans="1:9" ht="15.75" customHeight="1">
      <c r="A758" s="26"/>
      <c r="B758" s="2"/>
      <c r="C758" s="26"/>
      <c r="D758" s="26"/>
      <c r="F758" s="85" t="str">
        <f t="shared" si="0"/>
        <v/>
      </c>
      <c r="G758" s="1" t="e">
        <f>IF(VALUE(F758) = VALUE(RIGHT(Insights!$C$3, 4)), E758, "")</f>
        <v>#VALUE!</v>
      </c>
      <c r="H758" s="26" t="e">
        <f t="shared" si="1"/>
        <v>#VALUE!</v>
      </c>
      <c r="I758" s="1" t="e">
        <f t="shared" si="2"/>
        <v>#VALUE!</v>
      </c>
    </row>
    <row r="759" spans="1:9" ht="15.75" customHeight="1">
      <c r="A759" s="26"/>
      <c r="B759" s="2"/>
      <c r="C759" s="26"/>
      <c r="D759" s="26"/>
      <c r="F759" s="85" t="str">
        <f t="shared" si="0"/>
        <v/>
      </c>
      <c r="G759" s="1" t="e">
        <f>IF(VALUE(F759) = VALUE(RIGHT(Insights!$C$3, 4)), E759, "")</f>
        <v>#VALUE!</v>
      </c>
      <c r="H759" s="26" t="e">
        <f t="shared" si="1"/>
        <v>#VALUE!</v>
      </c>
      <c r="I759" s="1" t="e">
        <f t="shared" si="2"/>
        <v>#VALUE!</v>
      </c>
    </row>
    <row r="760" spans="1:9" ht="15.75" customHeight="1">
      <c r="A760" s="26"/>
      <c r="B760" s="2"/>
      <c r="C760" s="26"/>
      <c r="D760" s="26"/>
      <c r="F760" s="85" t="str">
        <f t="shared" si="0"/>
        <v/>
      </c>
      <c r="G760" s="1" t="e">
        <f>IF(VALUE(F760) = VALUE(RIGHT(Insights!$C$3, 4)), E760, "")</f>
        <v>#VALUE!</v>
      </c>
      <c r="H760" s="26" t="e">
        <f t="shared" si="1"/>
        <v>#VALUE!</v>
      </c>
      <c r="I760" s="1" t="e">
        <f t="shared" si="2"/>
        <v>#VALUE!</v>
      </c>
    </row>
    <row r="761" spans="1:9" ht="15.75" customHeight="1">
      <c r="A761" s="26"/>
      <c r="B761" s="2"/>
      <c r="C761" s="26"/>
      <c r="D761" s="26"/>
      <c r="F761" s="85" t="str">
        <f t="shared" si="0"/>
        <v/>
      </c>
      <c r="G761" s="1" t="e">
        <f>IF(VALUE(F761) = VALUE(RIGHT(Insights!$C$3, 4)), E761, "")</f>
        <v>#VALUE!</v>
      </c>
      <c r="H761" s="26" t="e">
        <f t="shared" si="1"/>
        <v>#VALUE!</v>
      </c>
      <c r="I761" s="1" t="e">
        <f t="shared" si="2"/>
        <v>#VALUE!</v>
      </c>
    </row>
    <row r="762" spans="1:9" ht="15.75" customHeight="1">
      <c r="A762" s="26"/>
      <c r="B762" s="2"/>
      <c r="C762" s="26"/>
      <c r="D762" s="26"/>
      <c r="F762" s="85" t="str">
        <f t="shared" si="0"/>
        <v/>
      </c>
      <c r="G762" s="1" t="e">
        <f>IF(VALUE(F762) = VALUE(RIGHT(Insights!$C$3, 4)), E762, "")</f>
        <v>#VALUE!</v>
      </c>
      <c r="H762" s="26" t="e">
        <f t="shared" si="1"/>
        <v>#VALUE!</v>
      </c>
      <c r="I762" s="1" t="e">
        <f t="shared" si="2"/>
        <v>#VALUE!</v>
      </c>
    </row>
    <row r="763" spans="1:9" ht="15.75" customHeight="1">
      <c r="A763" s="26"/>
      <c r="B763" s="2"/>
      <c r="C763" s="26"/>
      <c r="D763" s="26"/>
      <c r="F763" s="85" t="str">
        <f t="shared" si="0"/>
        <v/>
      </c>
      <c r="G763" s="1" t="e">
        <f>IF(VALUE(F763) = VALUE(RIGHT(Insights!$C$3, 4)), E763, "")</f>
        <v>#VALUE!</v>
      </c>
      <c r="H763" s="26" t="e">
        <f t="shared" si="1"/>
        <v>#VALUE!</v>
      </c>
      <c r="I763" s="1" t="e">
        <f t="shared" si="2"/>
        <v>#VALUE!</v>
      </c>
    </row>
    <row r="764" spans="1:9" ht="15.75" customHeight="1">
      <c r="A764" s="26"/>
      <c r="B764" s="2"/>
      <c r="C764" s="26"/>
      <c r="D764" s="26"/>
      <c r="F764" s="85" t="str">
        <f t="shared" si="0"/>
        <v/>
      </c>
      <c r="G764" s="1" t="e">
        <f>IF(VALUE(F764) = VALUE(RIGHT(Insights!$C$3, 4)), E764, "")</f>
        <v>#VALUE!</v>
      </c>
      <c r="H764" s="26" t="e">
        <f t="shared" si="1"/>
        <v>#VALUE!</v>
      </c>
      <c r="I764" s="1" t="e">
        <f t="shared" si="2"/>
        <v>#VALUE!</v>
      </c>
    </row>
    <row r="765" spans="1:9" ht="15.75" customHeight="1">
      <c r="A765" s="26"/>
      <c r="B765" s="2"/>
      <c r="C765" s="26"/>
      <c r="D765" s="26"/>
      <c r="F765" s="85" t="str">
        <f t="shared" si="0"/>
        <v/>
      </c>
      <c r="G765" s="1" t="e">
        <f>IF(VALUE(F765) = VALUE(RIGHT(Insights!$C$3, 4)), E765, "")</f>
        <v>#VALUE!</v>
      </c>
      <c r="H765" s="26" t="e">
        <f t="shared" si="1"/>
        <v>#VALUE!</v>
      </c>
      <c r="I765" s="1" t="e">
        <f t="shared" si="2"/>
        <v>#VALUE!</v>
      </c>
    </row>
    <row r="766" spans="1:9" ht="15.75" customHeight="1">
      <c r="A766" s="26"/>
      <c r="B766" s="2"/>
      <c r="C766" s="26"/>
      <c r="D766" s="26"/>
      <c r="F766" s="85" t="str">
        <f t="shared" si="0"/>
        <v/>
      </c>
      <c r="G766" s="1" t="e">
        <f>IF(VALUE(F766) = VALUE(RIGHT(Insights!$C$3, 4)), E766, "")</f>
        <v>#VALUE!</v>
      </c>
      <c r="H766" s="26" t="e">
        <f t="shared" si="1"/>
        <v>#VALUE!</v>
      </c>
      <c r="I766" s="1" t="e">
        <f t="shared" si="2"/>
        <v>#VALUE!</v>
      </c>
    </row>
    <row r="767" spans="1:9" ht="15.75" customHeight="1">
      <c r="A767" s="26"/>
      <c r="B767" s="2"/>
      <c r="C767" s="26"/>
      <c r="D767" s="26"/>
      <c r="F767" s="85" t="str">
        <f t="shared" si="0"/>
        <v/>
      </c>
      <c r="G767" s="1" t="e">
        <f>IF(VALUE(F767) = VALUE(RIGHT(Insights!$C$3, 4)), E767, "")</f>
        <v>#VALUE!</v>
      </c>
      <c r="H767" s="26" t="e">
        <f t="shared" si="1"/>
        <v>#VALUE!</v>
      </c>
      <c r="I767" s="1" t="e">
        <f t="shared" si="2"/>
        <v>#VALUE!</v>
      </c>
    </row>
    <row r="768" spans="1:9" ht="15.75" customHeight="1">
      <c r="A768" s="26"/>
      <c r="B768" s="2"/>
      <c r="C768" s="26"/>
      <c r="D768" s="26"/>
      <c r="F768" s="85" t="str">
        <f t="shared" si="0"/>
        <v/>
      </c>
      <c r="G768" s="1" t="e">
        <f>IF(VALUE(F768) = VALUE(RIGHT(Insights!$C$3, 4)), E768, "")</f>
        <v>#VALUE!</v>
      </c>
      <c r="H768" s="26" t="e">
        <f t="shared" si="1"/>
        <v>#VALUE!</v>
      </c>
      <c r="I768" s="1" t="e">
        <f t="shared" si="2"/>
        <v>#VALUE!</v>
      </c>
    </row>
    <row r="769" spans="1:9" ht="15.75" customHeight="1">
      <c r="A769" s="26"/>
      <c r="B769" s="2"/>
      <c r="C769" s="26"/>
      <c r="D769" s="26"/>
      <c r="F769" s="85" t="str">
        <f t="shared" si="0"/>
        <v/>
      </c>
      <c r="G769" s="1" t="e">
        <f>IF(VALUE(F769) = VALUE(RIGHT(Insights!$C$3, 4)), E769, "")</f>
        <v>#VALUE!</v>
      </c>
      <c r="H769" s="26" t="e">
        <f t="shared" si="1"/>
        <v>#VALUE!</v>
      </c>
      <c r="I769" s="1" t="e">
        <f t="shared" si="2"/>
        <v>#VALUE!</v>
      </c>
    </row>
    <row r="770" spans="1:9" ht="15.75" customHeight="1">
      <c r="A770" s="26"/>
      <c r="B770" s="2"/>
      <c r="C770" s="26"/>
      <c r="D770" s="26"/>
      <c r="F770" s="85" t="str">
        <f t="shared" si="0"/>
        <v/>
      </c>
      <c r="G770" s="1" t="e">
        <f>IF(VALUE(F770) = VALUE(RIGHT(Insights!$C$3, 4)), E770, "")</f>
        <v>#VALUE!</v>
      </c>
      <c r="H770" s="26" t="e">
        <f t="shared" si="1"/>
        <v>#VALUE!</v>
      </c>
      <c r="I770" s="1" t="e">
        <f t="shared" si="2"/>
        <v>#VALUE!</v>
      </c>
    </row>
    <row r="771" spans="1:9" ht="15.75" customHeight="1">
      <c r="A771" s="26"/>
      <c r="B771" s="2"/>
      <c r="C771" s="26"/>
      <c r="D771" s="26"/>
      <c r="F771" s="85" t="str">
        <f t="shared" si="0"/>
        <v/>
      </c>
      <c r="G771" s="1" t="e">
        <f>IF(VALUE(F771) = VALUE(RIGHT(Insights!$C$3, 4)), E771, "")</f>
        <v>#VALUE!</v>
      </c>
      <c r="H771" s="26" t="e">
        <f t="shared" si="1"/>
        <v>#VALUE!</v>
      </c>
      <c r="I771" s="1" t="e">
        <f t="shared" si="2"/>
        <v>#VALUE!</v>
      </c>
    </row>
    <row r="772" spans="1:9" ht="15.75" customHeight="1">
      <c r="A772" s="26"/>
      <c r="B772" s="2"/>
      <c r="C772" s="26"/>
      <c r="D772" s="26"/>
      <c r="F772" s="85" t="str">
        <f t="shared" si="0"/>
        <v/>
      </c>
      <c r="G772" s="1" t="e">
        <f>IF(VALUE(F772) = VALUE(RIGHT(Insights!$C$3, 4)), E772, "")</f>
        <v>#VALUE!</v>
      </c>
      <c r="H772" s="26" t="e">
        <f t="shared" si="1"/>
        <v>#VALUE!</v>
      </c>
      <c r="I772" s="1" t="e">
        <f t="shared" si="2"/>
        <v>#VALUE!</v>
      </c>
    </row>
    <row r="773" spans="1:9" ht="15.75" customHeight="1">
      <c r="A773" s="26"/>
      <c r="B773" s="2"/>
      <c r="C773" s="26"/>
      <c r="D773" s="26"/>
      <c r="F773" s="85" t="str">
        <f t="shared" si="0"/>
        <v/>
      </c>
      <c r="G773" s="1" t="e">
        <f>IF(VALUE(F773) = VALUE(RIGHT(Insights!$C$3, 4)), E773, "")</f>
        <v>#VALUE!</v>
      </c>
      <c r="H773" s="26" t="e">
        <f t="shared" si="1"/>
        <v>#VALUE!</v>
      </c>
      <c r="I773" s="1" t="e">
        <f t="shared" si="2"/>
        <v>#VALUE!</v>
      </c>
    </row>
    <row r="774" spans="1:9" ht="15.75" customHeight="1">
      <c r="A774" s="26"/>
      <c r="B774" s="2"/>
      <c r="C774" s="26"/>
      <c r="D774" s="26"/>
      <c r="F774" s="85" t="str">
        <f t="shared" si="0"/>
        <v/>
      </c>
      <c r="G774" s="1" t="e">
        <f>IF(VALUE(F774) = VALUE(RIGHT(Insights!$C$3, 4)), E774, "")</f>
        <v>#VALUE!</v>
      </c>
      <c r="H774" s="26" t="e">
        <f t="shared" si="1"/>
        <v>#VALUE!</v>
      </c>
      <c r="I774" s="1" t="e">
        <f t="shared" si="2"/>
        <v>#VALUE!</v>
      </c>
    </row>
    <row r="775" spans="1:9" ht="15.75" customHeight="1">
      <c r="A775" s="26"/>
      <c r="B775" s="2"/>
      <c r="C775" s="26"/>
      <c r="D775" s="26"/>
      <c r="F775" s="85" t="str">
        <f t="shared" si="0"/>
        <v/>
      </c>
      <c r="G775" s="1" t="e">
        <f>IF(VALUE(F775) = VALUE(RIGHT(Insights!$C$3, 4)), E775, "")</f>
        <v>#VALUE!</v>
      </c>
      <c r="H775" s="26" t="e">
        <f t="shared" si="1"/>
        <v>#VALUE!</v>
      </c>
      <c r="I775" s="1" t="e">
        <f t="shared" si="2"/>
        <v>#VALUE!</v>
      </c>
    </row>
    <row r="776" spans="1:9" ht="15.75" customHeight="1">
      <c r="A776" s="26"/>
      <c r="B776" s="2"/>
      <c r="C776" s="26"/>
      <c r="D776" s="26"/>
      <c r="F776" s="85" t="str">
        <f t="shared" si="0"/>
        <v/>
      </c>
      <c r="G776" s="1" t="e">
        <f>IF(VALUE(F776) = VALUE(RIGHT(Insights!$C$3, 4)), E776, "")</f>
        <v>#VALUE!</v>
      </c>
      <c r="H776" s="26" t="e">
        <f t="shared" si="1"/>
        <v>#VALUE!</v>
      </c>
      <c r="I776" s="1" t="e">
        <f t="shared" si="2"/>
        <v>#VALUE!</v>
      </c>
    </row>
    <row r="777" spans="1:9" ht="15.75" customHeight="1">
      <c r="A777" s="26"/>
      <c r="B777" s="2"/>
      <c r="C777" s="26"/>
      <c r="D777" s="26"/>
      <c r="F777" s="85" t="str">
        <f t="shared" si="0"/>
        <v/>
      </c>
      <c r="G777" s="1" t="e">
        <f>IF(VALUE(F777) = VALUE(RIGHT(Insights!$C$3, 4)), E777, "")</f>
        <v>#VALUE!</v>
      </c>
      <c r="H777" s="26" t="e">
        <f t="shared" si="1"/>
        <v>#VALUE!</v>
      </c>
      <c r="I777" s="1" t="e">
        <f t="shared" si="2"/>
        <v>#VALUE!</v>
      </c>
    </row>
    <row r="778" spans="1:9" ht="15.75" customHeight="1">
      <c r="A778" s="26"/>
      <c r="B778" s="2"/>
      <c r="C778" s="26"/>
      <c r="D778" s="26"/>
      <c r="F778" s="85" t="str">
        <f t="shared" si="0"/>
        <v/>
      </c>
      <c r="G778" s="1" t="e">
        <f>IF(VALUE(F778) = VALUE(RIGHT(Insights!$C$3, 4)), E778, "")</f>
        <v>#VALUE!</v>
      </c>
      <c r="H778" s="26" t="e">
        <f t="shared" si="1"/>
        <v>#VALUE!</v>
      </c>
      <c r="I778" s="1" t="e">
        <f t="shared" si="2"/>
        <v>#VALUE!</v>
      </c>
    </row>
    <row r="779" spans="1:9" ht="15.75" customHeight="1">
      <c r="A779" s="26"/>
      <c r="B779" s="2"/>
      <c r="C779" s="26"/>
      <c r="D779" s="26"/>
      <c r="F779" s="85" t="str">
        <f t="shared" si="0"/>
        <v/>
      </c>
      <c r="G779" s="1" t="e">
        <f>IF(VALUE(F779) = VALUE(RIGHT(Insights!$C$3, 4)), E779, "")</f>
        <v>#VALUE!</v>
      </c>
      <c r="H779" s="26" t="e">
        <f t="shared" si="1"/>
        <v>#VALUE!</v>
      </c>
      <c r="I779" s="1" t="e">
        <f t="shared" si="2"/>
        <v>#VALUE!</v>
      </c>
    </row>
    <row r="780" spans="1:9" ht="15.75" customHeight="1">
      <c r="A780" s="26"/>
      <c r="B780" s="2"/>
      <c r="C780" s="26"/>
      <c r="D780" s="26"/>
      <c r="F780" s="85" t="str">
        <f t="shared" si="0"/>
        <v/>
      </c>
      <c r="G780" s="1" t="e">
        <f>IF(VALUE(F780) = VALUE(RIGHT(Insights!$C$3, 4)), E780, "")</f>
        <v>#VALUE!</v>
      </c>
      <c r="H780" s="26" t="e">
        <f t="shared" si="1"/>
        <v>#VALUE!</v>
      </c>
      <c r="I780" s="1" t="e">
        <f t="shared" si="2"/>
        <v>#VALUE!</v>
      </c>
    </row>
    <row r="781" spans="1:9" ht="15.75" customHeight="1">
      <c r="A781" s="26"/>
      <c r="B781" s="2"/>
      <c r="C781" s="26"/>
      <c r="D781" s="26"/>
      <c r="F781" s="85" t="str">
        <f t="shared" si="0"/>
        <v/>
      </c>
      <c r="G781" s="1" t="e">
        <f>IF(VALUE(F781) = VALUE(RIGHT(Insights!$C$3, 4)), E781, "")</f>
        <v>#VALUE!</v>
      </c>
      <c r="H781" s="26" t="e">
        <f t="shared" si="1"/>
        <v>#VALUE!</v>
      </c>
      <c r="I781" s="1" t="e">
        <f t="shared" si="2"/>
        <v>#VALUE!</v>
      </c>
    </row>
    <row r="782" spans="1:9" ht="15.75" customHeight="1">
      <c r="A782" s="26"/>
      <c r="B782" s="2"/>
      <c r="C782" s="26"/>
      <c r="D782" s="26"/>
      <c r="F782" s="85" t="str">
        <f t="shared" si="0"/>
        <v/>
      </c>
      <c r="G782" s="1" t="e">
        <f>IF(VALUE(F782) = VALUE(RIGHT(Insights!$C$3, 4)), E782, "")</f>
        <v>#VALUE!</v>
      </c>
      <c r="H782" s="26" t="e">
        <f t="shared" si="1"/>
        <v>#VALUE!</v>
      </c>
      <c r="I782" s="1" t="e">
        <f t="shared" si="2"/>
        <v>#VALUE!</v>
      </c>
    </row>
    <row r="783" spans="1:9" ht="15.75" customHeight="1">
      <c r="A783" s="26"/>
      <c r="B783" s="2"/>
      <c r="C783" s="26"/>
      <c r="D783" s="26"/>
      <c r="F783" s="85" t="str">
        <f t="shared" si="0"/>
        <v/>
      </c>
      <c r="G783" s="1" t="e">
        <f>IF(VALUE(F783) = VALUE(RIGHT(Insights!$C$3, 4)), E783, "")</f>
        <v>#VALUE!</v>
      </c>
      <c r="H783" s="26" t="e">
        <f t="shared" si="1"/>
        <v>#VALUE!</v>
      </c>
      <c r="I783" s="1" t="e">
        <f t="shared" si="2"/>
        <v>#VALUE!</v>
      </c>
    </row>
    <row r="784" spans="1:9" ht="15.75" customHeight="1">
      <c r="A784" s="26"/>
      <c r="B784" s="2"/>
      <c r="C784" s="26"/>
      <c r="D784" s="26"/>
      <c r="F784" s="85" t="str">
        <f t="shared" si="0"/>
        <v/>
      </c>
      <c r="G784" s="1" t="e">
        <f>IF(VALUE(F784) = VALUE(RIGHT(Insights!$C$3, 4)), E784, "")</f>
        <v>#VALUE!</v>
      </c>
      <c r="H784" s="26" t="e">
        <f t="shared" si="1"/>
        <v>#VALUE!</v>
      </c>
      <c r="I784" s="1" t="e">
        <f t="shared" si="2"/>
        <v>#VALUE!</v>
      </c>
    </row>
    <row r="785" spans="1:9" ht="15.75" customHeight="1">
      <c r="A785" s="26"/>
      <c r="B785" s="2"/>
      <c r="C785" s="26"/>
      <c r="D785" s="26"/>
      <c r="F785" s="85" t="str">
        <f t="shared" si="0"/>
        <v/>
      </c>
      <c r="G785" s="1" t="e">
        <f>IF(VALUE(F785) = VALUE(RIGHT(Insights!$C$3, 4)), E785, "")</f>
        <v>#VALUE!</v>
      </c>
      <c r="H785" s="26" t="e">
        <f t="shared" si="1"/>
        <v>#VALUE!</v>
      </c>
      <c r="I785" s="1" t="e">
        <f t="shared" si="2"/>
        <v>#VALUE!</v>
      </c>
    </row>
    <row r="786" spans="1:9" ht="15.75" customHeight="1">
      <c r="A786" s="26"/>
      <c r="B786" s="2"/>
      <c r="C786" s="26"/>
      <c r="D786" s="26"/>
      <c r="F786" s="85" t="str">
        <f t="shared" si="0"/>
        <v/>
      </c>
      <c r="G786" s="1" t="e">
        <f>IF(VALUE(F786) = VALUE(RIGHT(Insights!$C$3, 4)), E786, "")</f>
        <v>#VALUE!</v>
      </c>
      <c r="H786" s="26" t="e">
        <f t="shared" si="1"/>
        <v>#VALUE!</v>
      </c>
      <c r="I786" s="1" t="e">
        <f t="shared" si="2"/>
        <v>#VALUE!</v>
      </c>
    </row>
    <row r="787" spans="1:9" ht="15.75" customHeight="1">
      <c r="A787" s="26"/>
      <c r="B787" s="2"/>
      <c r="C787" s="26"/>
      <c r="D787" s="26"/>
      <c r="F787" s="85" t="str">
        <f t="shared" si="0"/>
        <v/>
      </c>
      <c r="G787" s="1" t="e">
        <f>IF(VALUE(F787) = VALUE(RIGHT(Insights!$C$3, 4)), E787, "")</f>
        <v>#VALUE!</v>
      </c>
      <c r="H787" s="26" t="e">
        <f t="shared" si="1"/>
        <v>#VALUE!</v>
      </c>
      <c r="I787" s="1" t="e">
        <f t="shared" si="2"/>
        <v>#VALUE!</v>
      </c>
    </row>
    <row r="788" spans="1:9" ht="15.75" customHeight="1">
      <c r="A788" s="26"/>
      <c r="B788" s="2"/>
      <c r="C788" s="26"/>
      <c r="D788" s="26"/>
      <c r="F788" s="85" t="str">
        <f t="shared" si="0"/>
        <v/>
      </c>
      <c r="G788" s="1" t="e">
        <f>IF(VALUE(F788) = VALUE(RIGHT(Insights!$C$3, 4)), E788, "")</f>
        <v>#VALUE!</v>
      </c>
      <c r="H788" s="26" t="e">
        <f t="shared" si="1"/>
        <v>#VALUE!</v>
      </c>
      <c r="I788" s="1" t="e">
        <f t="shared" si="2"/>
        <v>#VALUE!</v>
      </c>
    </row>
    <row r="789" spans="1:9" ht="15.75" customHeight="1">
      <c r="A789" s="26"/>
      <c r="B789" s="2"/>
      <c r="C789" s="26"/>
      <c r="D789" s="26"/>
      <c r="F789" s="85" t="str">
        <f t="shared" si="0"/>
        <v/>
      </c>
      <c r="G789" s="1" t="e">
        <f>IF(VALUE(F789) = VALUE(RIGHT(Insights!$C$3, 4)), E789, "")</f>
        <v>#VALUE!</v>
      </c>
      <c r="H789" s="26" t="e">
        <f t="shared" si="1"/>
        <v>#VALUE!</v>
      </c>
      <c r="I789" s="1" t="e">
        <f t="shared" si="2"/>
        <v>#VALUE!</v>
      </c>
    </row>
    <row r="790" spans="1:9" ht="15.75" customHeight="1">
      <c r="A790" s="26"/>
      <c r="B790" s="2"/>
      <c r="C790" s="26"/>
      <c r="D790" s="26"/>
      <c r="F790" s="85" t="str">
        <f t="shared" si="0"/>
        <v/>
      </c>
      <c r="G790" s="1" t="e">
        <f>IF(VALUE(F790) = VALUE(RIGHT(Insights!$C$3, 4)), E790, "")</f>
        <v>#VALUE!</v>
      </c>
      <c r="H790" s="26" t="e">
        <f t="shared" si="1"/>
        <v>#VALUE!</v>
      </c>
      <c r="I790" s="1" t="e">
        <f t="shared" si="2"/>
        <v>#VALUE!</v>
      </c>
    </row>
    <row r="791" spans="1:9" ht="15.75" customHeight="1">
      <c r="A791" s="26"/>
      <c r="B791" s="2"/>
      <c r="C791" s="26"/>
      <c r="D791" s="26"/>
      <c r="F791" s="85" t="str">
        <f t="shared" si="0"/>
        <v/>
      </c>
      <c r="G791" s="1" t="e">
        <f>IF(VALUE(F791) = VALUE(RIGHT(Insights!$C$3, 4)), E791, "")</f>
        <v>#VALUE!</v>
      </c>
      <c r="H791" s="26" t="e">
        <f t="shared" si="1"/>
        <v>#VALUE!</v>
      </c>
      <c r="I791" s="1" t="e">
        <f t="shared" si="2"/>
        <v>#VALUE!</v>
      </c>
    </row>
    <row r="792" spans="1:9" ht="15.75" customHeight="1">
      <c r="A792" s="26"/>
      <c r="B792" s="2"/>
      <c r="C792" s="26"/>
      <c r="D792" s="26"/>
      <c r="F792" s="85" t="str">
        <f t="shared" si="0"/>
        <v/>
      </c>
      <c r="G792" s="1" t="e">
        <f>IF(VALUE(F792) = VALUE(RIGHT(Insights!$C$3, 4)), E792, "")</f>
        <v>#VALUE!</v>
      </c>
      <c r="H792" s="26" t="e">
        <f t="shared" si="1"/>
        <v>#VALUE!</v>
      </c>
      <c r="I792" s="1" t="e">
        <f t="shared" si="2"/>
        <v>#VALUE!</v>
      </c>
    </row>
    <row r="793" spans="1:9" ht="15.75" customHeight="1">
      <c r="A793" s="26"/>
      <c r="B793" s="2"/>
      <c r="C793" s="26"/>
      <c r="D793" s="26"/>
      <c r="F793" s="85" t="str">
        <f t="shared" si="0"/>
        <v/>
      </c>
      <c r="G793" s="1" t="e">
        <f>IF(VALUE(F793) = VALUE(RIGHT(Insights!$C$3, 4)), E793, "")</f>
        <v>#VALUE!</v>
      </c>
      <c r="H793" s="26" t="e">
        <f t="shared" si="1"/>
        <v>#VALUE!</v>
      </c>
      <c r="I793" s="1" t="e">
        <f t="shared" si="2"/>
        <v>#VALUE!</v>
      </c>
    </row>
    <row r="794" spans="1:9" ht="15.75" customHeight="1">
      <c r="A794" s="26"/>
      <c r="B794" s="2"/>
      <c r="C794" s="26"/>
      <c r="D794" s="26"/>
      <c r="F794" s="85" t="str">
        <f t="shared" si="0"/>
        <v/>
      </c>
      <c r="G794" s="1" t="e">
        <f>IF(VALUE(F794) = VALUE(RIGHT(Insights!$C$3, 4)), E794, "")</f>
        <v>#VALUE!</v>
      </c>
      <c r="H794" s="26" t="e">
        <f t="shared" si="1"/>
        <v>#VALUE!</v>
      </c>
      <c r="I794" s="1" t="e">
        <f t="shared" si="2"/>
        <v>#VALUE!</v>
      </c>
    </row>
    <row r="795" spans="1:9" ht="15.75" customHeight="1">
      <c r="A795" s="26"/>
      <c r="B795" s="2"/>
      <c r="C795" s="26"/>
      <c r="D795" s="26"/>
      <c r="F795" s="85" t="str">
        <f t="shared" si="0"/>
        <v/>
      </c>
      <c r="G795" s="1" t="e">
        <f>IF(VALUE(F795) = VALUE(RIGHT(Insights!$C$3, 4)), E795, "")</f>
        <v>#VALUE!</v>
      </c>
      <c r="H795" s="26" t="e">
        <f t="shared" si="1"/>
        <v>#VALUE!</v>
      </c>
      <c r="I795" s="1" t="e">
        <f t="shared" si="2"/>
        <v>#VALUE!</v>
      </c>
    </row>
    <row r="796" spans="1:9" ht="15.75" customHeight="1">
      <c r="A796" s="26"/>
      <c r="B796" s="2"/>
      <c r="C796" s="26"/>
      <c r="D796" s="26"/>
      <c r="F796" s="85" t="str">
        <f t="shared" si="0"/>
        <v/>
      </c>
      <c r="G796" s="1" t="e">
        <f>IF(VALUE(F796) = VALUE(RIGHT(Insights!$C$3, 4)), E796, "")</f>
        <v>#VALUE!</v>
      </c>
      <c r="H796" s="26" t="e">
        <f t="shared" si="1"/>
        <v>#VALUE!</v>
      </c>
      <c r="I796" s="1" t="e">
        <f t="shared" si="2"/>
        <v>#VALUE!</v>
      </c>
    </row>
    <row r="797" spans="1:9" ht="15.75" customHeight="1">
      <c r="A797" s="26"/>
      <c r="B797" s="2"/>
      <c r="C797" s="26"/>
      <c r="D797" s="26"/>
      <c r="F797" s="85" t="str">
        <f t="shared" si="0"/>
        <v/>
      </c>
      <c r="G797" s="1" t="e">
        <f>IF(VALUE(F797) = VALUE(RIGHT(Insights!$C$3, 4)), E797, "")</f>
        <v>#VALUE!</v>
      </c>
      <c r="H797" s="26" t="e">
        <f t="shared" si="1"/>
        <v>#VALUE!</v>
      </c>
      <c r="I797" s="1" t="e">
        <f t="shared" si="2"/>
        <v>#VALUE!</v>
      </c>
    </row>
    <row r="798" spans="1:9" ht="15.75" customHeight="1">
      <c r="A798" s="26"/>
      <c r="B798" s="2"/>
      <c r="C798" s="26"/>
      <c r="D798" s="26"/>
      <c r="F798" s="85" t="str">
        <f t="shared" si="0"/>
        <v/>
      </c>
      <c r="G798" s="1" t="e">
        <f>IF(VALUE(F798) = VALUE(RIGHT(Insights!$C$3, 4)), E798, "")</f>
        <v>#VALUE!</v>
      </c>
      <c r="H798" s="26" t="e">
        <f t="shared" si="1"/>
        <v>#VALUE!</v>
      </c>
      <c r="I798" s="1" t="e">
        <f t="shared" si="2"/>
        <v>#VALUE!</v>
      </c>
    </row>
    <row r="799" spans="1:9" ht="15.75" customHeight="1">
      <c r="A799" s="26"/>
      <c r="B799" s="2"/>
      <c r="C799" s="26"/>
      <c r="D799" s="26"/>
      <c r="F799" s="85" t="str">
        <f t="shared" si="0"/>
        <v/>
      </c>
      <c r="G799" s="1" t="e">
        <f>IF(VALUE(F799) = VALUE(RIGHT(Insights!$C$3, 4)), E799, "")</f>
        <v>#VALUE!</v>
      </c>
      <c r="H799" s="26" t="e">
        <f t="shared" si="1"/>
        <v>#VALUE!</v>
      </c>
      <c r="I799" s="1" t="e">
        <f t="shared" si="2"/>
        <v>#VALUE!</v>
      </c>
    </row>
    <row r="800" spans="1:9" ht="15.75" customHeight="1">
      <c r="A800" s="26"/>
      <c r="B800" s="2"/>
      <c r="C800" s="26"/>
      <c r="D800" s="26"/>
      <c r="F800" s="85" t="str">
        <f t="shared" si="0"/>
        <v/>
      </c>
      <c r="G800" s="1" t="e">
        <f>IF(VALUE(F800) = VALUE(RIGHT(Insights!$C$3, 4)), E800, "")</f>
        <v>#VALUE!</v>
      </c>
      <c r="H800" s="26" t="e">
        <f t="shared" si="1"/>
        <v>#VALUE!</v>
      </c>
      <c r="I800" s="1" t="e">
        <f t="shared" si="2"/>
        <v>#VALUE!</v>
      </c>
    </row>
    <row r="801" spans="1:9" ht="15.75" customHeight="1">
      <c r="A801" s="26"/>
      <c r="B801" s="2"/>
      <c r="C801" s="26"/>
      <c r="D801" s="26"/>
      <c r="F801" s="85" t="str">
        <f t="shared" si="0"/>
        <v/>
      </c>
      <c r="G801" s="1" t="e">
        <f>IF(VALUE(F801) = VALUE(RIGHT(Insights!$C$3, 4)), E801, "")</f>
        <v>#VALUE!</v>
      </c>
      <c r="H801" s="26" t="e">
        <f t="shared" si="1"/>
        <v>#VALUE!</v>
      </c>
      <c r="I801" s="1" t="e">
        <f t="shared" si="2"/>
        <v>#VALUE!</v>
      </c>
    </row>
    <row r="802" spans="1:9" ht="15.75" customHeight="1">
      <c r="A802" s="26"/>
      <c r="B802" s="2"/>
      <c r="C802" s="26"/>
      <c r="D802" s="26"/>
      <c r="F802" s="85" t="str">
        <f t="shared" si="0"/>
        <v/>
      </c>
      <c r="G802" s="1" t="e">
        <f>IF(VALUE(F802) = VALUE(RIGHT(Insights!$C$3, 4)), E802, "")</f>
        <v>#VALUE!</v>
      </c>
      <c r="H802" s="26" t="e">
        <f t="shared" si="1"/>
        <v>#VALUE!</v>
      </c>
      <c r="I802" s="1" t="e">
        <f t="shared" si="2"/>
        <v>#VALUE!</v>
      </c>
    </row>
    <row r="803" spans="1:9" ht="15.75" customHeight="1">
      <c r="A803" s="26"/>
      <c r="B803" s="2"/>
      <c r="C803" s="26"/>
      <c r="D803" s="26"/>
      <c r="F803" s="85" t="str">
        <f t="shared" si="0"/>
        <v/>
      </c>
      <c r="G803" s="1" t="e">
        <f>IF(VALUE(F803) = VALUE(RIGHT(Insights!$C$3, 4)), E803, "")</f>
        <v>#VALUE!</v>
      </c>
      <c r="H803" s="26" t="e">
        <f t="shared" si="1"/>
        <v>#VALUE!</v>
      </c>
      <c r="I803" s="1" t="e">
        <f t="shared" si="2"/>
        <v>#VALUE!</v>
      </c>
    </row>
    <row r="804" spans="1:9" ht="15.75" customHeight="1">
      <c r="A804" s="26"/>
      <c r="B804" s="2"/>
      <c r="C804" s="26"/>
      <c r="D804" s="26"/>
      <c r="F804" s="85" t="str">
        <f t="shared" si="0"/>
        <v/>
      </c>
      <c r="G804" s="1" t="e">
        <f>IF(VALUE(F804) = VALUE(RIGHT(Insights!$C$3, 4)), E804, "")</f>
        <v>#VALUE!</v>
      </c>
      <c r="H804" s="26" t="e">
        <f t="shared" si="1"/>
        <v>#VALUE!</v>
      </c>
      <c r="I804" s="1" t="e">
        <f t="shared" si="2"/>
        <v>#VALUE!</v>
      </c>
    </row>
    <row r="805" spans="1:9" ht="15.75" customHeight="1">
      <c r="A805" s="26"/>
      <c r="B805" s="2"/>
      <c r="C805" s="26"/>
      <c r="D805" s="26"/>
      <c r="F805" s="85" t="str">
        <f t="shared" si="0"/>
        <v/>
      </c>
      <c r="G805" s="1" t="e">
        <f>IF(VALUE(F805) = VALUE(RIGHT(Insights!$C$3, 4)), E805, "")</f>
        <v>#VALUE!</v>
      </c>
      <c r="H805" s="26" t="e">
        <f t="shared" si="1"/>
        <v>#VALUE!</v>
      </c>
      <c r="I805" s="1" t="e">
        <f t="shared" si="2"/>
        <v>#VALUE!</v>
      </c>
    </row>
    <row r="806" spans="1:9" ht="15.75" customHeight="1">
      <c r="A806" s="26"/>
      <c r="B806" s="2"/>
      <c r="C806" s="26"/>
      <c r="D806" s="26"/>
      <c r="F806" s="85" t="str">
        <f t="shared" si="0"/>
        <v/>
      </c>
      <c r="G806" s="1" t="e">
        <f>IF(VALUE(F806) = VALUE(RIGHT(Insights!$C$3, 4)), E806, "")</f>
        <v>#VALUE!</v>
      </c>
      <c r="H806" s="26" t="e">
        <f t="shared" si="1"/>
        <v>#VALUE!</v>
      </c>
      <c r="I806" s="1" t="e">
        <f t="shared" si="2"/>
        <v>#VALUE!</v>
      </c>
    </row>
    <row r="807" spans="1:9" ht="15.75" customHeight="1">
      <c r="A807" s="26"/>
      <c r="B807" s="2"/>
      <c r="C807" s="26"/>
      <c r="D807" s="26"/>
      <c r="F807" s="85" t="str">
        <f t="shared" si="0"/>
        <v/>
      </c>
      <c r="G807" s="1" t="e">
        <f>IF(VALUE(F807) = VALUE(RIGHT(Insights!$C$3, 4)), E807, "")</f>
        <v>#VALUE!</v>
      </c>
      <c r="H807" s="26" t="e">
        <f t="shared" si="1"/>
        <v>#VALUE!</v>
      </c>
      <c r="I807" s="1" t="e">
        <f t="shared" si="2"/>
        <v>#VALUE!</v>
      </c>
    </row>
    <row r="808" spans="1:9" ht="15.75" customHeight="1">
      <c r="A808" s="26"/>
      <c r="B808" s="2"/>
      <c r="C808" s="26"/>
      <c r="D808" s="26"/>
      <c r="F808" s="85" t="str">
        <f t="shared" si="0"/>
        <v/>
      </c>
      <c r="G808" s="1" t="e">
        <f>IF(VALUE(F808) = VALUE(RIGHT(Insights!$C$3, 4)), E808, "")</f>
        <v>#VALUE!</v>
      </c>
      <c r="H808" s="26" t="e">
        <f t="shared" si="1"/>
        <v>#VALUE!</v>
      </c>
      <c r="I808" s="1" t="e">
        <f t="shared" si="2"/>
        <v>#VALUE!</v>
      </c>
    </row>
    <row r="809" spans="1:9" ht="15.75" customHeight="1">
      <c r="A809" s="26"/>
      <c r="B809" s="2"/>
      <c r="C809" s="26"/>
      <c r="D809" s="26"/>
      <c r="F809" s="85" t="str">
        <f t="shared" si="0"/>
        <v/>
      </c>
      <c r="G809" s="1" t="e">
        <f>IF(VALUE(F809) = VALUE(RIGHT(Insights!$C$3, 4)), E809, "")</f>
        <v>#VALUE!</v>
      </c>
      <c r="H809" s="26" t="e">
        <f t="shared" si="1"/>
        <v>#VALUE!</v>
      </c>
      <c r="I809" s="1" t="e">
        <f t="shared" si="2"/>
        <v>#VALUE!</v>
      </c>
    </row>
    <row r="810" spans="1:9" ht="15.75" customHeight="1">
      <c r="A810" s="26"/>
      <c r="B810" s="2"/>
      <c r="C810" s="26"/>
      <c r="D810" s="26"/>
      <c r="F810" s="85" t="str">
        <f t="shared" si="0"/>
        <v/>
      </c>
      <c r="G810" s="1" t="e">
        <f>IF(VALUE(F810) = VALUE(RIGHT(Insights!$C$3, 4)), E810, "")</f>
        <v>#VALUE!</v>
      </c>
      <c r="H810" s="26" t="e">
        <f t="shared" si="1"/>
        <v>#VALUE!</v>
      </c>
      <c r="I810" s="1" t="e">
        <f t="shared" si="2"/>
        <v>#VALUE!</v>
      </c>
    </row>
    <row r="811" spans="1:9" ht="15.75" customHeight="1">
      <c r="A811" s="26"/>
      <c r="B811" s="2"/>
      <c r="C811" s="26"/>
      <c r="D811" s="26"/>
      <c r="F811" s="85" t="str">
        <f t="shared" si="0"/>
        <v/>
      </c>
      <c r="G811" s="1" t="e">
        <f>IF(VALUE(F811) = VALUE(RIGHT(Insights!$C$3, 4)), E811, "")</f>
        <v>#VALUE!</v>
      </c>
      <c r="H811" s="26" t="e">
        <f t="shared" si="1"/>
        <v>#VALUE!</v>
      </c>
      <c r="I811" s="1" t="e">
        <f t="shared" si="2"/>
        <v>#VALUE!</v>
      </c>
    </row>
    <row r="812" spans="1:9" ht="15.75" customHeight="1">
      <c r="A812" s="26"/>
      <c r="B812" s="2"/>
      <c r="C812" s="26"/>
      <c r="D812" s="26"/>
      <c r="F812" s="85" t="str">
        <f t="shared" si="0"/>
        <v/>
      </c>
      <c r="G812" s="1" t="e">
        <f>IF(VALUE(F812) = VALUE(RIGHT(Insights!$C$3, 4)), E812, "")</f>
        <v>#VALUE!</v>
      </c>
      <c r="H812" s="26" t="e">
        <f t="shared" si="1"/>
        <v>#VALUE!</v>
      </c>
      <c r="I812" s="1" t="e">
        <f t="shared" si="2"/>
        <v>#VALUE!</v>
      </c>
    </row>
    <row r="813" spans="1:9" ht="15.75" customHeight="1">
      <c r="A813" s="26"/>
      <c r="B813" s="2"/>
      <c r="C813" s="26"/>
      <c r="D813" s="26"/>
      <c r="F813" s="85" t="str">
        <f t="shared" si="0"/>
        <v/>
      </c>
      <c r="G813" s="1" t="e">
        <f>IF(VALUE(F813) = VALUE(RIGHT(Insights!$C$3, 4)), E813, "")</f>
        <v>#VALUE!</v>
      </c>
      <c r="H813" s="26" t="e">
        <f t="shared" si="1"/>
        <v>#VALUE!</v>
      </c>
      <c r="I813" s="1" t="e">
        <f t="shared" si="2"/>
        <v>#VALUE!</v>
      </c>
    </row>
    <row r="814" spans="1:9" ht="15.75" customHeight="1">
      <c r="A814" s="26"/>
      <c r="B814" s="2"/>
      <c r="C814" s="26"/>
      <c r="D814" s="26"/>
      <c r="F814" s="85" t="str">
        <f t="shared" si="0"/>
        <v/>
      </c>
      <c r="G814" s="1" t="e">
        <f>IF(VALUE(F814) = VALUE(RIGHT(Insights!$C$3, 4)), E814, "")</f>
        <v>#VALUE!</v>
      </c>
      <c r="H814" s="26" t="e">
        <f t="shared" si="1"/>
        <v>#VALUE!</v>
      </c>
      <c r="I814" s="1" t="e">
        <f t="shared" si="2"/>
        <v>#VALUE!</v>
      </c>
    </row>
    <row r="815" spans="1:9" ht="15.75" customHeight="1">
      <c r="A815" s="26"/>
      <c r="B815" s="2"/>
      <c r="C815" s="26"/>
      <c r="D815" s="26"/>
      <c r="F815" s="85" t="str">
        <f t="shared" si="0"/>
        <v/>
      </c>
      <c r="G815" s="1" t="e">
        <f>IF(VALUE(F815) = VALUE(RIGHT(Insights!$C$3, 4)), E815, "")</f>
        <v>#VALUE!</v>
      </c>
      <c r="H815" s="26" t="e">
        <f t="shared" si="1"/>
        <v>#VALUE!</v>
      </c>
      <c r="I815" s="1" t="e">
        <f t="shared" si="2"/>
        <v>#VALUE!</v>
      </c>
    </row>
    <row r="816" spans="1:9" ht="15.75" customHeight="1">
      <c r="A816" s="26"/>
      <c r="B816" s="2"/>
      <c r="C816" s="26"/>
      <c r="D816" s="26"/>
      <c r="F816" s="85" t="str">
        <f t="shared" si="0"/>
        <v/>
      </c>
      <c r="G816" s="1" t="e">
        <f>IF(VALUE(F816) = VALUE(RIGHT(Insights!$C$3, 4)), E816, "")</f>
        <v>#VALUE!</v>
      </c>
      <c r="H816" s="26" t="e">
        <f t="shared" si="1"/>
        <v>#VALUE!</v>
      </c>
      <c r="I816" s="1" t="e">
        <f t="shared" si="2"/>
        <v>#VALUE!</v>
      </c>
    </row>
    <row r="817" spans="1:9" ht="15.75" customHeight="1">
      <c r="A817" s="26"/>
      <c r="B817" s="2"/>
      <c r="C817" s="26"/>
      <c r="D817" s="26"/>
      <c r="F817" s="85" t="str">
        <f t="shared" si="0"/>
        <v/>
      </c>
      <c r="G817" s="1" t="e">
        <f>IF(VALUE(F817) = VALUE(RIGHT(Insights!$C$3, 4)), E817, "")</f>
        <v>#VALUE!</v>
      </c>
      <c r="H817" s="26" t="e">
        <f t="shared" si="1"/>
        <v>#VALUE!</v>
      </c>
      <c r="I817" s="1" t="e">
        <f t="shared" si="2"/>
        <v>#VALUE!</v>
      </c>
    </row>
    <row r="818" spans="1:9" ht="15.75" customHeight="1">
      <c r="A818" s="26"/>
      <c r="B818" s="2"/>
      <c r="C818" s="26"/>
      <c r="D818" s="26"/>
      <c r="F818" s="85" t="str">
        <f t="shared" si="0"/>
        <v/>
      </c>
      <c r="G818" s="1" t="e">
        <f>IF(VALUE(F818) = VALUE(RIGHT(Insights!$C$3, 4)), E818, "")</f>
        <v>#VALUE!</v>
      </c>
      <c r="H818" s="26" t="e">
        <f t="shared" si="1"/>
        <v>#VALUE!</v>
      </c>
      <c r="I818" s="1" t="e">
        <f t="shared" si="2"/>
        <v>#VALUE!</v>
      </c>
    </row>
    <row r="819" spans="1:9" ht="15.75" customHeight="1">
      <c r="A819" s="26"/>
      <c r="B819" s="2"/>
      <c r="C819" s="26"/>
      <c r="D819" s="26"/>
      <c r="F819" s="85" t="str">
        <f t="shared" si="0"/>
        <v/>
      </c>
      <c r="G819" s="1" t="e">
        <f>IF(VALUE(F819) = VALUE(RIGHT(Insights!$C$3, 4)), E819, "")</f>
        <v>#VALUE!</v>
      </c>
      <c r="H819" s="26" t="e">
        <f t="shared" si="1"/>
        <v>#VALUE!</v>
      </c>
      <c r="I819" s="1" t="e">
        <f t="shared" si="2"/>
        <v>#VALUE!</v>
      </c>
    </row>
    <row r="820" spans="1:9" ht="15.75" customHeight="1">
      <c r="A820" s="26"/>
      <c r="B820" s="2"/>
      <c r="C820" s="26"/>
      <c r="D820" s="26"/>
      <c r="F820" s="85" t="str">
        <f t="shared" si="0"/>
        <v/>
      </c>
      <c r="G820" s="1" t="e">
        <f>IF(VALUE(F820) = VALUE(RIGHT(Insights!$C$3, 4)), E820, "")</f>
        <v>#VALUE!</v>
      </c>
      <c r="H820" s="26" t="e">
        <f t="shared" si="1"/>
        <v>#VALUE!</v>
      </c>
      <c r="I820" s="1" t="e">
        <f t="shared" si="2"/>
        <v>#VALUE!</v>
      </c>
    </row>
    <row r="821" spans="1:9" ht="15.75" customHeight="1">
      <c r="A821" s="26"/>
      <c r="B821" s="2"/>
      <c r="C821" s="26"/>
      <c r="D821" s="26"/>
      <c r="F821" s="85" t="str">
        <f t="shared" si="0"/>
        <v/>
      </c>
      <c r="G821" s="1" t="e">
        <f>IF(VALUE(F821) = VALUE(RIGHT(Insights!$C$3, 4)), E821, "")</f>
        <v>#VALUE!</v>
      </c>
      <c r="H821" s="26" t="e">
        <f t="shared" si="1"/>
        <v>#VALUE!</v>
      </c>
      <c r="I821" s="1" t="e">
        <f t="shared" si="2"/>
        <v>#VALUE!</v>
      </c>
    </row>
    <row r="822" spans="1:9" ht="15.75" customHeight="1">
      <c r="A822" s="26"/>
      <c r="B822" s="2"/>
      <c r="C822" s="26"/>
      <c r="D822" s="26"/>
      <c r="F822" s="85" t="str">
        <f t="shared" si="0"/>
        <v/>
      </c>
      <c r="G822" s="1" t="e">
        <f>IF(VALUE(F822) = VALUE(RIGHT(Insights!$C$3, 4)), E822, "")</f>
        <v>#VALUE!</v>
      </c>
      <c r="H822" s="26" t="e">
        <f t="shared" si="1"/>
        <v>#VALUE!</v>
      </c>
      <c r="I822" s="1" t="e">
        <f t="shared" si="2"/>
        <v>#VALUE!</v>
      </c>
    </row>
    <row r="823" spans="1:9" ht="15.75" customHeight="1">
      <c r="A823" s="26"/>
      <c r="B823" s="2"/>
      <c r="C823" s="26"/>
      <c r="D823" s="26"/>
      <c r="F823" s="85" t="str">
        <f t="shared" si="0"/>
        <v/>
      </c>
      <c r="G823" s="1" t="e">
        <f>IF(VALUE(F823) = VALUE(RIGHT(Insights!$C$3, 4)), E823, "")</f>
        <v>#VALUE!</v>
      </c>
      <c r="H823" s="26" t="e">
        <f t="shared" si="1"/>
        <v>#VALUE!</v>
      </c>
      <c r="I823" s="1" t="e">
        <f t="shared" si="2"/>
        <v>#VALUE!</v>
      </c>
    </row>
    <row r="824" spans="1:9" ht="15.75" customHeight="1">
      <c r="A824" s="26"/>
      <c r="B824" s="2"/>
      <c r="C824" s="26"/>
      <c r="D824" s="26"/>
      <c r="F824" s="85" t="str">
        <f t="shared" si="0"/>
        <v/>
      </c>
      <c r="G824" s="1" t="e">
        <f>IF(VALUE(F824) = VALUE(RIGHT(Insights!$C$3, 4)), E824, "")</f>
        <v>#VALUE!</v>
      </c>
      <c r="H824" s="26" t="e">
        <f t="shared" si="1"/>
        <v>#VALUE!</v>
      </c>
      <c r="I824" s="1" t="e">
        <f t="shared" si="2"/>
        <v>#VALUE!</v>
      </c>
    </row>
    <row r="825" spans="1:9" ht="15.75" customHeight="1">
      <c r="A825" s="26"/>
      <c r="B825" s="2"/>
      <c r="C825" s="26"/>
      <c r="D825" s="26"/>
      <c r="F825" s="85" t="str">
        <f t="shared" si="0"/>
        <v/>
      </c>
      <c r="G825" s="1" t="e">
        <f>IF(VALUE(F825) = VALUE(RIGHT(Insights!$C$3, 4)), E825, "")</f>
        <v>#VALUE!</v>
      </c>
      <c r="H825" s="26" t="e">
        <f t="shared" si="1"/>
        <v>#VALUE!</v>
      </c>
      <c r="I825" s="1" t="e">
        <f t="shared" si="2"/>
        <v>#VALUE!</v>
      </c>
    </row>
    <row r="826" spans="1:9" ht="15.75" customHeight="1">
      <c r="A826" s="26"/>
      <c r="B826" s="2"/>
      <c r="C826" s="26"/>
      <c r="D826" s="26"/>
      <c r="F826" s="85" t="str">
        <f t="shared" si="0"/>
        <v/>
      </c>
      <c r="G826" s="1" t="e">
        <f>IF(VALUE(F826) = VALUE(RIGHT(Insights!$C$3, 4)), E826, "")</f>
        <v>#VALUE!</v>
      </c>
      <c r="H826" s="26" t="e">
        <f t="shared" si="1"/>
        <v>#VALUE!</v>
      </c>
      <c r="I826" s="1" t="e">
        <f t="shared" si="2"/>
        <v>#VALUE!</v>
      </c>
    </row>
    <row r="827" spans="1:9" ht="15.75" customHeight="1">
      <c r="A827" s="26"/>
      <c r="B827" s="2"/>
      <c r="C827" s="26"/>
      <c r="D827" s="26"/>
      <c r="F827" s="85" t="str">
        <f t="shared" si="0"/>
        <v/>
      </c>
      <c r="G827" s="1" t="e">
        <f>IF(VALUE(F827) = VALUE(RIGHT(Insights!$C$3, 4)), E827, "")</f>
        <v>#VALUE!</v>
      </c>
      <c r="H827" s="26" t="e">
        <f t="shared" si="1"/>
        <v>#VALUE!</v>
      </c>
      <c r="I827" s="1" t="e">
        <f t="shared" si="2"/>
        <v>#VALUE!</v>
      </c>
    </row>
    <row r="828" spans="1:9" ht="15.75" customHeight="1">
      <c r="A828" s="26"/>
      <c r="B828" s="2"/>
      <c r="C828" s="26"/>
      <c r="D828" s="26"/>
      <c r="F828" s="85" t="str">
        <f t="shared" si="0"/>
        <v/>
      </c>
      <c r="G828" s="1" t="e">
        <f>IF(VALUE(F828) = VALUE(RIGHT(Insights!$C$3, 4)), E828, "")</f>
        <v>#VALUE!</v>
      </c>
      <c r="H828" s="26" t="e">
        <f t="shared" si="1"/>
        <v>#VALUE!</v>
      </c>
      <c r="I828" s="1" t="e">
        <f t="shared" si="2"/>
        <v>#VALUE!</v>
      </c>
    </row>
    <row r="829" spans="1:9" ht="15.75" customHeight="1">
      <c r="A829" s="26"/>
      <c r="B829" s="2"/>
      <c r="C829" s="26"/>
      <c r="D829" s="26"/>
      <c r="F829" s="85" t="str">
        <f t="shared" si="0"/>
        <v/>
      </c>
      <c r="G829" s="1" t="e">
        <f>IF(VALUE(F829) = VALUE(RIGHT(Insights!$C$3, 4)), E829, "")</f>
        <v>#VALUE!</v>
      </c>
      <c r="H829" s="26" t="e">
        <f t="shared" si="1"/>
        <v>#VALUE!</v>
      </c>
      <c r="I829" s="1" t="e">
        <f t="shared" si="2"/>
        <v>#VALUE!</v>
      </c>
    </row>
    <row r="830" spans="1:9" ht="15.75" customHeight="1">
      <c r="A830" s="26"/>
      <c r="B830" s="2"/>
      <c r="C830" s="26"/>
      <c r="D830" s="26"/>
      <c r="F830" s="85" t="str">
        <f t="shared" si="0"/>
        <v/>
      </c>
      <c r="G830" s="1" t="e">
        <f>IF(VALUE(F830) = VALUE(RIGHT(Insights!$C$3, 4)), E830, "")</f>
        <v>#VALUE!</v>
      </c>
      <c r="H830" s="26" t="e">
        <f t="shared" si="1"/>
        <v>#VALUE!</v>
      </c>
      <c r="I830" s="1" t="e">
        <f t="shared" si="2"/>
        <v>#VALUE!</v>
      </c>
    </row>
    <row r="831" spans="1:9" ht="15.75" customHeight="1">
      <c r="A831" s="26"/>
      <c r="B831" s="2"/>
      <c r="C831" s="26"/>
      <c r="D831" s="26"/>
      <c r="F831" s="85" t="str">
        <f t="shared" si="0"/>
        <v/>
      </c>
      <c r="G831" s="1" t="e">
        <f>IF(VALUE(F831) = VALUE(RIGHT(Insights!$C$3, 4)), E831, "")</f>
        <v>#VALUE!</v>
      </c>
      <c r="H831" s="26" t="e">
        <f t="shared" si="1"/>
        <v>#VALUE!</v>
      </c>
      <c r="I831" s="1" t="e">
        <f t="shared" si="2"/>
        <v>#VALUE!</v>
      </c>
    </row>
    <row r="832" spans="1:9" ht="15.75" customHeight="1">
      <c r="A832" s="26"/>
      <c r="B832" s="2"/>
      <c r="C832" s="26"/>
      <c r="D832" s="26"/>
      <c r="F832" s="85" t="str">
        <f t="shared" si="0"/>
        <v/>
      </c>
      <c r="G832" s="1" t="e">
        <f>IF(VALUE(F832) = VALUE(RIGHT(Insights!$C$3, 4)), E832, "")</f>
        <v>#VALUE!</v>
      </c>
      <c r="H832" s="26" t="e">
        <f t="shared" si="1"/>
        <v>#VALUE!</v>
      </c>
      <c r="I832" s="1" t="e">
        <f t="shared" si="2"/>
        <v>#VALUE!</v>
      </c>
    </row>
    <row r="833" spans="1:9" ht="15.75" customHeight="1">
      <c r="A833" s="26"/>
      <c r="B833" s="2"/>
      <c r="C833" s="26"/>
      <c r="D833" s="26"/>
      <c r="F833" s="85" t="str">
        <f t="shared" si="0"/>
        <v/>
      </c>
      <c r="G833" s="1" t="e">
        <f>IF(VALUE(F833) = VALUE(RIGHT(Insights!$C$3, 4)), E833, "")</f>
        <v>#VALUE!</v>
      </c>
      <c r="H833" s="26" t="e">
        <f t="shared" si="1"/>
        <v>#VALUE!</v>
      </c>
      <c r="I833" s="1" t="e">
        <f t="shared" si="2"/>
        <v>#VALUE!</v>
      </c>
    </row>
    <row r="834" spans="1:9" ht="15.75" customHeight="1">
      <c r="A834" s="26"/>
      <c r="B834" s="2"/>
      <c r="C834" s="26"/>
      <c r="D834" s="26"/>
      <c r="F834" s="85" t="str">
        <f t="shared" si="0"/>
        <v/>
      </c>
      <c r="G834" s="1" t="e">
        <f>IF(VALUE(F834) = VALUE(RIGHT(Insights!$C$3, 4)), E834, "")</f>
        <v>#VALUE!</v>
      </c>
      <c r="H834" s="26" t="e">
        <f t="shared" si="1"/>
        <v>#VALUE!</v>
      </c>
      <c r="I834" s="1" t="e">
        <f t="shared" si="2"/>
        <v>#VALUE!</v>
      </c>
    </row>
    <row r="835" spans="1:9" ht="15.75" customHeight="1">
      <c r="A835" s="26"/>
      <c r="B835" s="2"/>
      <c r="C835" s="26"/>
      <c r="D835" s="26"/>
      <c r="F835" s="85" t="str">
        <f t="shared" si="0"/>
        <v/>
      </c>
      <c r="G835" s="1" t="e">
        <f>IF(VALUE(F835) = VALUE(RIGHT(Insights!$C$3, 4)), E835, "")</f>
        <v>#VALUE!</v>
      </c>
      <c r="H835" s="26" t="e">
        <f t="shared" si="1"/>
        <v>#VALUE!</v>
      </c>
      <c r="I835" s="1" t="e">
        <f t="shared" si="2"/>
        <v>#VALUE!</v>
      </c>
    </row>
    <row r="836" spans="1:9" ht="15.75" customHeight="1">
      <c r="A836" s="26"/>
      <c r="B836" s="2"/>
      <c r="C836" s="26"/>
      <c r="D836" s="26"/>
      <c r="F836" s="85" t="str">
        <f t="shared" si="0"/>
        <v/>
      </c>
      <c r="G836" s="1" t="e">
        <f>IF(VALUE(F836) = VALUE(RIGHT(Insights!$C$3, 4)), E836, "")</f>
        <v>#VALUE!</v>
      </c>
      <c r="H836" s="26" t="e">
        <f t="shared" si="1"/>
        <v>#VALUE!</v>
      </c>
      <c r="I836" s="1" t="e">
        <f t="shared" si="2"/>
        <v>#VALUE!</v>
      </c>
    </row>
    <row r="837" spans="1:9" ht="15.75" customHeight="1">
      <c r="A837" s="26"/>
      <c r="B837" s="2"/>
      <c r="C837" s="26"/>
      <c r="D837" s="26"/>
      <c r="F837" s="85" t="str">
        <f t="shared" si="0"/>
        <v/>
      </c>
      <c r="G837" s="1" t="e">
        <f>IF(VALUE(F837) = VALUE(RIGHT(Insights!$C$3, 4)), E837, "")</f>
        <v>#VALUE!</v>
      </c>
      <c r="H837" s="26" t="e">
        <f t="shared" si="1"/>
        <v>#VALUE!</v>
      </c>
      <c r="I837" s="1" t="e">
        <f t="shared" si="2"/>
        <v>#VALUE!</v>
      </c>
    </row>
    <row r="838" spans="1:9" ht="15.75" customHeight="1">
      <c r="A838" s="26"/>
      <c r="B838" s="2"/>
      <c r="C838" s="26"/>
      <c r="D838" s="26"/>
      <c r="F838" s="85" t="str">
        <f t="shared" si="0"/>
        <v/>
      </c>
      <c r="G838" s="1" t="e">
        <f>IF(VALUE(F838) = VALUE(RIGHT(Insights!$C$3, 4)), E838, "")</f>
        <v>#VALUE!</v>
      </c>
      <c r="H838" s="26" t="e">
        <f t="shared" si="1"/>
        <v>#VALUE!</v>
      </c>
      <c r="I838" s="1" t="e">
        <f t="shared" si="2"/>
        <v>#VALUE!</v>
      </c>
    </row>
    <row r="839" spans="1:9" ht="15.75" customHeight="1">
      <c r="A839" s="26"/>
      <c r="B839" s="2"/>
      <c r="C839" s="26"/>
      <c r="D839" s="26"/>
      <c r="F839" s="85" t="str">
        <f t="shared" si="0"/>
        <v/>
      </c>
      <c r="G839" s="1" t="e">
        <f>IF(VALUE(F839) = VALUE(RIGHT(Insights!$C$3, 4)), E839, "")</f>
        <v>#VALUE!</v>
      </c>
      <c r="H839" s="26" t="e">
        <f t="shared" si="1"/>
        <v>#VALUE!</v>
      </c>
      <c r="I839" s="1" t="e">
        <f t="shared" si="2"/>
        <v>#VALUE!</v>
      </c>
    </row>
    <row r="840" spans="1:9" ht="15.75" customHeight="1">
      <c r="A840" s="26"/>
      <c r="B840" s="2"/>
      <c r="C840" s="26"/>
      <c r="D840" s="26"/>
      <c r="F840" s="85" t="str">
        <f t="shared" si="0"/>
        <v/>
      </c>
      <c r="G840" s="1" t="e">
        <f>IF(VALUE(F840) = VALUE(RIGHT(Insights!$C$3, 4)), E840, "")</f>
        <v>#VALUE!</v>
      </c>
      <c r="H840" s="26" t="e">
        <f t="shared" si="1"/>
        <v>#VALUE!</v>
      </c>
      <c r="I840" s="1" t="e">
        <f t="shared" si="2"/>
        <v>#VALUE!</v>
      </c>
    </row>
    <row r="841" spans="1:9" ht="15.75" customHeight="1">
      <c r="A841" s="26"/>
      <c r="B841" s="2"/>
      <c r="C841" s="26"/>
      <c r="D841" s="26"/>
      <c r="F841" s="85" t="str">
        <f t="shared" si="0"/>
        <v/>
      </c>
      <c r="G841" s="1" t="e">
        <f>IF(VALUE(F841) = VALUE(RIGHT(Insights!$C$3, 4)), E841, "")</f>
        <v>#VALUE!</v>
      </c>
      <c r="H841" s="26" t="e">
        <f t="shared" si="1"/>
        <v>#VALUE!</v>
      </c>
      <c r="I841" s="1" t="e">
        <f t="shared" si="2"/>
        <v>#VALUE!</v>
      </c>
    </row>
    <row r="842" spans="1:9" ht="15.75" customHeight="1">
      <c r="A842" s="26"/>
      <c r="B842" s="2"/>
      <c r="C842" s="26"/>
      <c r="D842" s="26"/>
      <c r="F842" s="85" t="str">
        <f t="shared" si="0"/>
        <v/>
      </c>
      <c r="G842" s="1" t="e">
        <f>IF(VALUE(F842) = VALUE(RIGHT(Insights!$C$3, 4)), E842, "")</f>
        <v>#VALUE!</v>
      </c>
      <c r="H842" s="26" t="e">
        <f t="shared" si="1"/>
        <v>#VALUE!</v>
      </c>
      <c r="I842" s="1" t="e">
        <f t="shared" si="2"/>
        <v>#VALUE!</v>
      </c>
    </row>
    <row r="843" spans="1:9" ht="15.75" customHeight="1">
      <c r="A843" s="26"/>
      <c r="B843" s="2"/>
      <c r="C843" s="26"/>
      <c r="D843" s="26"/>
      <c r="F843" s="85" t="str">
        <f t="shared" si="0"/>
        <v/>
      </c>
      <c r="G843" s="1" t="e">
        <f>IF(VALUE(F843) = VALUE(RIGHT(Insights!$C$3, 4)), E843, "")</f>
        <v>#VALUE!</v>
      </c>
      <c r="H843" s="26" t="e">
        <f t="shared" si="1"/>
        <v>#VALUE!</v>
      </c>
      <c r="I843" s="1" t="e">
        <f t="shared" si="2"/>
        <v>#VALUE!</v>
      </c>
    </row>
    <row r="844" spans="1:9" ht="15.75" customHeight="1">
      <c r="A844" s="26"/>
      <c r="B844" s="2"/>
      <c r="C844" s="26"/>
      <c r="D844" s="26"/>
      <c r="F844" s="85" t="str">
        <f t="shared" si="0"/>
        <v/>
      </c>
      <c r="G844" s="1" t="e">
        <f>IF(VALUE(F844) = VALUE(RIGHT(Insights!$C$3, 4)), E844, "")</f>
        <v>#VALUE!</v>
      </c>
      <c r="H844" s="26" t="e">
        <f t="shared" si="1"/>
        <v>#VALUE!</v>
      </c>
      <c r="I844" s="1" t="e">
        <f t="shared" si="2"/>
        <v>#VALUE!</v>
      </c>
    </row>
    <row r="845" spans="1:9" ht="15.75" customHeight="1">
      <c r="A845" s="26"/>
      <c r="B845" s="2"/>
      <c r="C845" s="26"/>
      <c r="D845" s="26"/>
      <c r="F845" s="85" t="str">
        <f t="shared" si="0"/>
        <v/>
      </c>
      <c r="G845" s="1" t="e">
        <f>IF(VALUE(F845) = VALUE(RIGHT(Insights!$C$3, 4)), E845, "")</f>
        <v>#VALUE!</v>
      </c>
      <c r="H845" s="26" t="e">
        <f t="shared" si="1"/>
        <v>#VALUE!</v>
      </c>
      <c r="I845" s="1" t="e">
        <f t="shared" si="2"/>
        <v>#VALUE!</v>
      </c>
    </row>
    <row r="846" spans="1:9" ht="15.75" customHeight="1">
      <c r="A846" s="26"/>
      <c r="B846" s="2"/>
      <c r="C846" s="26"/>
      <c r="D846" s="26"/>
      <c r="F846" s="85" t="str">
        <f t="shared" si="0"/>
        <v/>
      </c>
      <c r="G846" s="1" t="e">
        <f>IF(VALUE(F846) = VALUE(RIGHT(Insights!$C$3, 4)), E846, "")</f>
        <v>#VALUE!</v>
      </c>
      <c r="H846" s="26" t="e">
        <f t="shared" si="1"/>
        <v>#VALUE!</v>
      </c>
      <c r="I846" s="1" t="e">
        <f t="shared" si="2"/>
        <v>#VALUE!</v>
      </c>
    </row>
    <row r="847" spans="1:9" ht="15.75" customHeight="1">
      <c r="A847" s="26"/>
      <c r="B847" s="2"/>
      <c r="C847" s="26"/>
      <c r="D847" s="26"/>
      <c r="F847" s="85" t="str">
        <f t="shared" si="0"/>
        <v/>
      </c>
      <c r="G847" s="1" t="e">
        <f>IF(VALUE(F847) = VALUE(RIGHT(Insights!$C$3, 4)), E847, "")</f>
        <v>#VALUE!</v>
      </c>
      <c r="H847" s="26" t="e">
        <f t="shared" si="1"/>
        <v>#VALUE!</v>
      </c>
      <c r="I847" s="1" t="e">
        <f t="shared" si="2"/>
        <v>#VALUE!</v>
      </c>
    </row>
    <row r="848" spans="1:9" ht="15.75" customHeight="1">
      <c r="A848" s="26"/>
      <c r="B848" s="2"/>
      <c r="C848" s="26"/>
      <c r="D848" s="26"/>
      <c r="F848" s="85" t="str">
        <f t="shared" si="0"/>
        <v/>
      </c>
      <c r="G848" s="1" t="e">
        <f>IF(VALUE(F848) = VALUE(RIGHT(Insights!$C$3, 4)), E848, "")</f>
        <v>#VALUE!</v>
      </c>
      <c r="H848" s="26" t="e">
        <f t="shared" si="1"/>
        <v>#VALUE!</v>
      </c>
      <c r="I848" s="1" t="e">
        <f t="shared" si="2"/>
        <v>#VALUE!</v>
      </c>
    </row>
    <row r="849" spans="1:9" ht="15.75" customHeight="1">
      <c r="A849" s="26"/>
      <c r="B849" s="2"/>
      <c r="C849" s="26"/>
      <c r="D849" s="26"/>
      <c r="F849" s="85" t="str">
        <f t="shared" si="0"/>
        <v/>
      </c>
      <c r="G849" s="1" t="e">
        <f>IF(VALUE(F849) = VALUE(RIGHT(Insights!$C$3, 4)), E849, "")</f>
        <v>#VALUE!</v>
      </c>
      <c r="H849" s="26" t="e">
        <f t="shared" si="1"/>
        <v>#VALUE!</v>
      </c>
      <c r="I849" s="1" t="e">
        <f t="shared" si="2"/>
        <v>#VALUE!</v>
      </c>
    </row>
    <row r="850" spans="1:9" ht="15.75" customHeight="1">
      <c r="A850" s="26"/>
      <c r="B850" s="2"/>
      <c r="C850" s="26"/>
      <c r="D850" s="26"/>
      <c r="F850" s="85" t="str">
        <f t="shared" si="0"/>
        <v/>
      </c>
      <c r="G850" s="1" t="e">
        <f>IF(VALUE(F850) = VALUE(RIGHT(Insights!$C$3, 4)), E850, "")</f>
        <v>#VALUE!</v>
      </c>
      <c r="H850" s="26" t="e">
        <f t="shared" si="1"/>
        <v>#VALUE!</v>
      </c>
      <c r="I850" s="1" t="e">
        <f t="shared" si="2"/>
        <v>#VALUE!</v>
      </c>
    </row>
    <row r="851" spans="1:9" ht="15.75" customHeight="1">
      <c r="A851" s="26"/>
      <c r="B851" s="2"/>
      <c r="C851" s="26"/>
      <c r="D851" s="26"/>
      <c r="F851" s="85" t="str">
        <f t="shared" si="0"/>
        <v/>
      </c>
      <c r="G851" s="1" t="e">
        <f>IF(VALUE(F851) = VALUE(RIGHT(Insights!$C$3, 4)), E851, "")</f>
        <v>#VALUE!</v>
      </c>
      <c r="H851" s="26" t="e">
        <f t="shared" si="1"/>
        <v>#VALUE!</v>
      </c>
      <c r="I851" s="1" t="e">
        <f t="shared" si="2"/>
        <v>#VALUE!</v>
      </c>
    </row>
    <row r="852" spans="1:9" ht="15.75" customHeight="1">
      <c r="A852" s="26"/>
      <c r="B852" s="2"/>
      <c r="C852" s="26"/>
      <c r="D852" s="26"/>
      <c r="F852" s="85" t="str">
        <f t="shared" si="0"/>
        <v/>
      </c>
      <c r="G852" s="1" t="e">
        <f>IF(VALUE(F852) = VALUE(RIGHT(Insights!$C$3, 4)), E852, "")</f>
        <v>#VALUE!</v>
      </c>
      <c r="H852" s="26" t="e">
        <f t="shared" si="1"/>
        <v>#VALUE!</v>
      </c>
      <c r="I852" s="1" t="e">
        <f t="shared" si="2"/>
        <v>#VALUE!</v>
      </c>
    </row>
    <row r="853" spans="1:9" ht="15.75" customHeight="1">
      <c r="A853" s="26"/>
      <c r="B853" s="2"/>
      <c r="C853" s="26"/>
      <c r="D853" s="26"/>
      <c r="F853" s="85" t="str">
        <f t="shared" si="0"/>
        <v/>
      </c>
      <c r="G853" s="1" t="e">
        <f>IF(VALUE(F853) = VALUE(RIGHT(Insights!$C$3, 4)), E853, "")</f>
        <v>#VALUE!</v>
      </c>
      <c r="H853" s="26" t="e">
        <f t="shared" si="1"/>
        <v>#VALUE!</v>
      </c>
      <c r="I853" s="1" t="e">
        <f t="shared" si="2"/>
        <v>#VALUE!</v>
      </c>
    </row>
    <row r="854" spans="1:9" ht="15.75" customHeight="1">
      <c r="A854" s="26"/>
      <c r="B854" s="2"/>
      <c r="C854" s="26"/>
      <c r="D854" s="26"/>
      <c r="F854" s="85" t="str">
        <f t="shared" si="0"/>
        <v/>
      </c>
      <c r="G854" s="1" t="e">
        <f>IF(VALUE(F854) = VALUE(RIGHT(Insights!$C$3, 4)), E854, "")</f>
        <v>#VALUE!</v>
      </c>
      <c r="H854" s="26" t="e">
        <f t="shared" si="1"/>
        <v>#VALUE!</v>
      </c>
      <c r="I854" s="1" t="e">
        <f t="shared" si="2"/>
        <v>#VALUE!</v>
      </c>
    </row>
    <row r="855" spans="1:9" ht="15.75" customHeight="1">
      <c r="A855" s="26"/>
      <c r="B855" s="2"/>
      <c r="C855" s="26"/>
      <c r="D855" s="26"/>
      <c r="F855" s="85" t="str">
        <f t="shared" si="0"/>
        <v/>
      </c>
      <c r="G855" s="1" t="e">
        <f>IF(VALUE(F855) = VALUE(RIGHT(Insights!$C$3, 4)), E855, "")</f>
        <v>#VALUE!</v>
      </c>
      <c r="H855" s="26" t="e">
        <f t="shared" si="1"/>
        <v>#VALUE!</v>
      </c>
      <c r="I855" s="1" t="e">
        <f t="shared" si="2"/>
        <v>#VALUE!</v>
      </c>
    </row>
    <row r="856" spans="1:9" ht="15.75" customHeight="1">
      <c r="A856" s="26"/>
      <c r="B856" s="2"/>
      <c r="C856" s="26"/>
      <c r="D856" s="26"/>
      <c r="F856" s="85" t="str">
        <f t="shared" si="0"/>
        <v/>
      </c>
      <c r="G856" s="1" t="e">
        <f>IF(VALUE(F856) = VALUE(RIGHT(Insights!$C$3, 4)), E856, "")</f>
        <v>#VALUE!</v>
      </c>
      <c r="H856" s="26" t="e">
        <f t="shared" si="1"/>
        <v>#VALUE!</v>
      </c>
      <c r="I856" s="1" t="e">
        <f t="shared" si="2"/>
        <v>#VALUE!</v>
      </c>
    </row>
    <row r="857" spans="1:9" ht="15.75" customHeight="1">
      <c r="A857" s="26"/>
      <c r="B857" s="2"/>
      <c r="C857" s="26"/>
      <c r="D857" s="26"/>
      <c r="F857" s="85" t="str">
        <f t="shared" si="0"/>
        <v/>
      </c>
      <c r="G857" s="1" t="e">
        <f>IF(VALUE(F857) = VALUE(RIGHT(Insights!$C$3, 4)), E857, "")</f>
        <v>#VALUE!</v>
      </c>
      <c r="H857" s="26" t="e">
        <f t="shared" si="1"/>
        <v>#VALUE!</v>
      </c>
      <c r="I857" s="1" t="e">
        <f t="shared" si="2"/>
        <v>#VALUE!</v>
      </c>
    </row>
    <row r="858" spans="1:9" ht="15.75" customHeight="1">
      <c r="A858" s="26"/>
      <c r="B858" s="2"/>
      <c r="C858" s="26"/>
      <c r="D858" s="26"/>
      <c r="F858" s="85" t="str">
        <f t="shared" si="0"/>
        <v/>
      </c>
      <c r="G858" s="1" t="e">
        <f>IF(VALUE(F858) = VALUE(RIGHT(Insights!$C$3, 4)), E858, "")</f>
        <v>#VALUE!</v>
      </c>
      <c r="H858" s="26" t="e">
        <f t="shared" si="1"/>
        <v>#VALUE!</v>
      </c>
      <c r="I858" s="1" t="e">
        <f t="shared" si="2"/>
        <v>#VALUE!</v>
      </c>
    </row>
    <row r="859" spans="1:9" ht="15.75" customHeight="1">
      <c r="A859" s="26"/>
      <c r="B859" s="2"/>
      <c r="C859" s="26"/>
      <c r="D859" s="26"/>
      <c r="F859" s="85" t="str">
        <f t="shared" si="0"/>
        <v/>
      </c>
      <c r="G859" s="1" t="e">
        <f>IF(VALUE(F859) = VALUE(RIGHT(Insights!$C$3, 4)), E859, "")</f>
        <v>#VALUE!</v>
      </c>
      <c r="H859" s="26" t="e">
        <f t="shared" si="1"/>
        <v>#VALUE!</v>
      </c>
      <c r="I859" s="1" t="e">
        <f t="shared" si="2"/>
        <v>#VALUE!</v>
      </c>
    </row>
    <row r="860" spans="1:9" ht="15.75" customHeight="1">
      <c r="A860" s="26"/>
      <c r="B860" s="2"/>
      <c r="C860" s="26"/>
      <c r="D860" s="26"/>
      <c r="F860" s="85" t="str">
        <f t="shared" si="0"/>
        <v/>
      </c>
      <c r="G860" s="1" t="e">
        <f>IF(VALUE(F860) = VALUE(RIGHT(Insights!$C$3, 4)), E860, "")</f>
        <v>#VALUE!</v>
      </c>
      <c r="H860" s="26" t="e">
        <f t="shared" si="1"/>
        <v>#VALUE!</v>
      </c>
      <c r="I860" s="1" t="e">
        <f t="shared" si="2"/>
        <v>#VALUE!</v>
      </c>
    </row>
    <row r="861" spans="1:9" ht="15.75" customHeight="1">
      <c r="A861" s="26"/>
      <c r="B861" s="2"/>
      <c r="C861" s="26"/>
      <c r="D861" s="26"/>
      <c r="F861" s="85" t="str">
        <f t="shared" si="0"/>
        <v/>
      </c>
      <c r="G861" s="1" t="e">
        <f>IF(VALUE(F861) = VALUE(RIGHT(Insights!$C$3, 4)), E861, "")</f>
        <v>#VALUE!</v>
      </c>
      <c r="H861" s="26" t="e">
        <f t="shared" si="1"/>
        <v>#VALUE!</v>
      </c>
      <c r="I861" s="1" t="e">
        <f t="shared" si="2"/>
        <v>#VALUE!</v>
      </c>
    </row>
    <row r="862" spans="1:9" ht="15.75" customHeight="1">
      <c r="A862" s="26"/>
      <c r="B862" s="2"/>
      <c r="C862" s="26"/>
      <c r="D862" s="26"/>
      <c r="F862" s="85" t="str">
        <f t="shared" si="0"/>
        <v/>
      </c>
      <c r="G862" s="1" t="e">
        <f>IF(VALUE(F862) = VALUE(RIGHT(Insights!$C$3, 4)), E862, "")</f>
        <v>#VALUE!</v>
      </c>
      <c r="H862" s="26" t="e">
        <f t="shared" si="1"/>
        <v>#VALUE!</v>
      </c>
      <c r="I862" s="1" t="e">
        <f t="shared" si="2"/>
        <v>#VALUE!</v>
      </c>
    </row>
    <row r="863" spans="1:9" ht="15.75" customHeight="1">
      <c r="A863" s="26"/>
      <c r="B863" s="2"/>
      <c r="C863" s="26"/>
      <c r="D863" s="26"/>
      <c r="F863" s="85" t="str">
        <f t="shared" si="0"/>
        <v/>
      </c>
      <c r="G863" s="1" t="e">
        <f>IF(VALUE(F863) = VALUE(RIGHT(Insights!$C$3, 4)), E863, "")</f>
        <v>#VALUE!</v>
      </c>
      <c r="H863" s="26" t="e">
        <f t="shared" si="1"/>
        <v>#VALUE!</v>
      </c>
      <c r="I863" s="1" t="e">
        <f t="shared" si="2"/>
        <v>#VALUE!</v>
      </c>
    </row>
    <row r="864" spans="1:9" ht="15.75" customHeight="1">
      <c r="A864" s="26"/>
      <c r="B864" s="2"/>
      <c r="C864" s="26"/>
      <c r="D864" s="26"/>
      <c r="F864" s="85" t="str">
        <f t="shared" si="0"/>
        <v/>
      </c>
      <c r="G864" s="1" t="e">
        <f>IF(VALUE(F864) = VALUE(RIGHT(Insights!$C$3, 4)), E864, "")</f>
        <v>#VALUE!</v>
      </c>
      <c r="H864" s="26" t="e">
        <f t="shared" si="1"/>
        <v>#VALUE!</v>
      </c>
      <c r="I864" s="1" t="e">
        <f t="shared" si="2"/>
        <v>#VALUE!</v>
      </c>
    </row>
    <row r="865" spans="1:9" ht="15.75" customHeight="1">
      <c r="A865" s="26"/>
      <c r="B865" s="2"/>
      <c r="C865" s="26"/>
      <c r="D865" s="26"/>
      <c r="F865" s="85" t="str">
        <f t="shared" si="0"/>
        <v/>
      </c>
      <c r="G865" s="1" t="e">
        <f>IF(VALUE(F865) = VALUE(RIGHT(Insights!$C$3, 4)), E865, "")</f>
        <v>#VALUE!</v>
      </c>
      <c r="H865" s="26" t="e">
        <f t="shared" si="1"/>
        <v>#VALUE!</v>
      </c>
      <c r="I865" s="1" t="e">
        <f t="shared" si="2"/>
        <v>#VALUE!</v>
      </c>
    </row>
    <row r="866" spans="1:9" ht="15.75" customHeight="1">
      <c r="A866" s="26"/>
      <c r="B866" s="2"/>
      <c r="C866" s="26"/>
      <c r="D866" s="26"/>
      <c r="F866" s="85" t="str">
        <f t="shared" si="0"/>
        <v/>
      </c>
      <c r="G866" s="1" t="e">
        <f>IF(VALUE(F866) = VALUE(RIGHT(Insights!$C$3, 4)), E866, "")</f>
        <v>#VALUE!</v>
      </c>
      <c r="H866" s="26" t="e">
        <f t="shared" si="1"/>
        <v>#VALUE!</v>
      </c>
      <c r="I866" s="1" t="e">
        <f t="shared" si="2"/>
        <v>#VALUE!</v>
      </c>
    </row>
    <row r="867" spans="1:9" ht="15.75" customHeight="1">
      <c r="A867" s="26"/>
      <c r="B867" s="2"/>
      <c r="C867" s="26"/>
      <c r="D867" s="26"/>
      <c r="F867" s="85" t="str">
        <f t="shared" si="0"/>
        <v/>
      </c>
      <c r="G867" s="1" t="e">
        <f>IF(VALUE(F867) = VALUE(RIGHT(Insights!$C$3, 4)), E867, "")</f>
        <v>#VALUE!</v>
      </c>
      <c r="H867" s="26" t="e">
        <f t="shared" si="1"/>
        <v>#VALUE!</v>
      </c>
      <c r="I867" s="1" t="e">
        <f t="shared" si="2"/>
        <v>#VALUE!</v>
      </c>
    </row>
    <row r="868" spans="1:9" ht="15.75" customHeight="1">
      <c r="A868" s="26"/>
      <c r="B868" s="2"/>
      <c r="C868" s="26"/>
      <c r="D868" s="26"/>
      <c r="F868" s="85" t="str">
        <f t="shared" si="0"/>
        <v/>
      </c>
      <c r="G868" s="1" t="e">
        <f>IF(VALUE(F868) = VALUE(RIGHT(Insights!$C$3, 4)), E868, "")</f>
        <v>#VALUE!</v>
      </c>
      <c r="H868" s="26" t="e">
        <f t="shared" si="1"/>
        <v>#VALUE!</v>
      </c>
      <c r="I868" s="1" t="e">
        <f t="shared" si="2"/>
        <v>#VALUE!</v>
      </c>
    </row>
    <row r="869" spans="1:9" ht="15.75" customHeight="1">
      <c r="A869" s="26"/>
      <c r="B869" s="2"/>
      <c r="C869" s="26"/>
      <c r="D869" s="26"/>
      <c r="F869" s="85" t="str">
        <f t="shared" si="0"/>
        <v/>
      </c>
      <c r="G869" s="1" t="e">
        <f>IF(VALUE(F869) = VALUE(RIGHT(Insights!$C$3, 4)), E869, "")</f>
        <v>#VALUE!</v>
      </c>
      <c r="H869" s="26" t="e">
        <f t="shared" si="1"/>
        <v>#VALUE!</v>
      </c>
      <c r="I869" s="1" t="e">
        <f t="shared" si="2"/>
        <v>#VALUE!</v>
      </c>
    </row>
    <row r="870" spans="1:9" ht="15.75" customHeight="1">
      <c r="A870" s="26"/>
      <c r="B870" s="2"/>
      <c r="C870" s="26"/>
      <c r="D870" s="26"/>
      <c r="F870" s="85" t="str">
        <f t="shared" si="0"/>
        <v/>
      </c>
      <c r="G870" s="1" t="e">
        <f>IF(VALUE(F870) = VALUE(RIGHT(Insights!$C$3, 4)), E870, "")</f>
        <v>#VALUE!</v>
      </c>
      <c r="H870" s="26" t="e">
        <f t="shared" si="1"/>
        <v>#VALUE!</v>
      </c>
      <c r="I870" s="1" t="e">
        <f t="shared" si="2"/>
        <v>#VALUE!</v>
      </c>
    </row>
    <row r="871" spans="1:9" ht="15.75" customHeight="1">
      <c r="A871" s="26"/>
      <c r="B871" s="2"/>
      <c r="C871" s="26"/>
      <c r="D871" s="26"/>
      <c r="F871" s="85" t="str">
        <f t="shared" si="0"/>
        <v/>
      </c>
      <c r="G871" s="1" t="e">
        <f>IF(VALUE(F871) = VALUE(RIGHT(Insights!$C$3, 4)), E871, "")</f>
        <v>#VALUE!</v>
      </c>
      <c r="H871" s="26" t="e">
        <f t="shared" si="1"/>
        <v>#VALUE!</v>
      </c>
      <c r="I871" s="1" t="e">
        <f t="shared" si="2"/>
        <v>#VALUE!</v>
      </c>
    </row>
    <row r="872" spans="1:9" ht="15.75" customHeight="1">
      <c r="A872" s="26"/>
      <c r="B872" s="2"/>
      <c r="C872" s="26"/>
      <c r="D872" s="26"/>
      <c r="F872" s="85" t="str">
        <f t="shared" si="0"/>
        <v/>
      </c>
      <c r="G872" s="1" t="e">
        <f>IF(VALUE(F872) = VALUE(RIGHT(Insights!$C$3, 4)), E872, "")</f>
        <v>#VALUE!</v>
      </c>
      <c r="H872" s="26" t="e">
        <f t="shared" si="1"/>
        <v>#VALUE!</v>
      </c>
      <c r="I872" s="1" t="e">
        <f t="shared" si="2"/>
        <v>#VALUE!</v>
      </c>
    </row>
    <row r="873" spans="1:9" ht="15.75" customHeight="1">
      <c r="A873" s="26"/>
      <c r="B873" s="2"/>
      <c r="C873" s="26"/>
      <c r="D873" s="26"/>
      <c r="F873" s="85" t="str">
        <f t="shared" si="0"/>
        <v/>
      </c>
      <c r="G873" s="1" t="e">
        <f>IF(VALUE(F873) = VALUE(RIGHT(Insights!$C$3, 4)), E873, "")</f>
        <v>#VALUE!</v>
      </c>
      <c r="H873" s="26" t="e">
        <f t="shared" si="1"/>
        <v>#VALUE!</v>
      </c>
      <c r="I873" s="1" t="e">
        <f t="shared" si="2"/>
        <v>#VALUE!</v>
      </c>
    </row>
    <row r="874" spans="1:9" ht="15.75" customHeight="1">
      <c r="A874" s="26"/>
      <c r="B874" s="2"/>
      <c r="C874" s="26"/>
      <c r="D874" s="26"/>
      <c r="F874" s="85" t="str">
        <f t="shared" si="0"/>
        <v/>
      </c>
      <c r="G874" s="1" t="e">
        <f>IF(VALUE(F874) = VALUE(RIGHT(Insights!$C$3, 4)), E874, "")</f>
        <v>#VALUE!</v>
      </c>
      <c r="H874" s="26" t="e">
        <f t="shared" si="1"/>
        <v>#VALUE!</v>
      </c>
      <c r="I874" s="1" t="e">
        <f t="shared" si="2"/>
        <v>#VALUE!</v>
      </c>
    </row>
    <row r="875" spans="1:9" ht="15.75" customHeight="1">
      <c r="A875" s="26"/>
      <c r="B875" s="2"/>
      <c r="C875" s="26"/>
      <c r="D875" s="26"/>
      <c r="F875" s="85" t="str">
        <f t="shared" si="0"/>
        <v/>
      </c>
      <c r="G875" s="1" t="e">
        <f>IF(VALUE(F875) = VALUE(RIGHT(Insights!$C$3, 4)), E875, "")</f>
        <v>#VALUE!</v>
      </c>
      <c r="H875" s="26" t="e">
        <f t="shared" si="1"/>
        <v>#VALUE!</v>
      </c>
      <c r="I875" s="1" t="e">
        <f t="shared" si="2"/>
        <v>#VALUE!</v>
      </c>
    </row>
    <row r="876" spans="1:9" ht="15.75" customHeight="1">
      <c r="A876" s="26"/>
      <c r="B876" s="2"/>
      <c r="C876" s="26"/>
      <c r="D876" s="26"/>
      <c r="F876" s="85" t="str">
        <f t="shared" si="0"/>
        <v/>
      </c>
      <c r="G876" s="1" t="e">
        <f>IF(VALUE(F876) = VALUE(RIGHT(Insights!$C$3, 4)), E876, "")</f>
        <v>#VALUE!</v>
      </c>
      <c r="H876" s="26" t="e">
        <f t="shared" si="1"/>
        <v>#VALUE!</v>
      </c>
      <c r="I876" s="1" t="e">
        <f t="shared" si="2"/>
        <v>#VALUE!</v>
      </c>
    </row>
    <row r="877" spans="1:9" ht="15.75" customHeight="1">
      <c r="A877" s="26"/>
      <c r="B877" s="2"/>
      <c r="C877" s="26"/>
      <c r="D877" s="26"/>
      <c r="F877" s="85" t="str">
        <f t="shared" si="0"/>
        <v/>
      </c>
      <c r="G877" s="1" t="e">
        <f>IF(VALUE(F877) = VALUE(RIGHT(Insights!$C$3, 4)), E877, "")</f>
        <v>#VALUE!</v>
      </c>
      <c r="H877" s="26" t="e">
        <f t="shared" si="1"/>
        <v>#VALUE!</v>
      </c>
      <c r="I877" s="1" t="e">
        <f t="shared" si="2"/>
        <v>#VALUE!</v>
      </c>
    </row>
    <row r="878" spans="1:9" ht="15.75" customHeight="1">
      <c r="A878" s="26"/>
      <c r="B878" s="2"/>
      <c r="C878" s="26"/>
      <c r="D878" s="26"/>
      <c r="F878" s="85" t="str">
        <f t="shared" si="0"/>
        <v/>
      </c>
      <c r="G878" s="1" t="e">
        <f>IF(VALUE(F878) = VALUE(RIGHT(Insights!$C$3, 4)), E878, "")</f>
        <v>#VALUE!</v>
      </c>
      <c r="H878" s="26" t="e">
        <f t="shared" si="1"/>
        <v>#VALUE!</v>
      </c>
      <c r="I878" s="1" t="e">
        <f t="shared" si="2"/>
        <v>#VALUE!</v>
      </c>
    </row>
    <row r="879" spans="1:9" ht="15.75" customHeight="1">
      <c r="A879" s="26"/>
      <c r="B879" s="2"/>
      <c r="C879" s="26"/>
      <c r="D879" s="26"/>
      <c r="F879" s="85" t="str">
        <f t="shared" si="0"/>
        <v/>
      </c>
      <c r="G879" s="1" t="e">
        <f>IF(VALUE(F879) = VALUE(RIGHT(Insights!$C$3, 4)), E879, "")</f>
        <v>#VALUE!</v>
      </c>
      <c r="H879" s="26" t="e">
        <f t="shared" si="1"/>
        <v>#VALUE!</v>
      </c>
      <c r="I879" s="1" t="e">
        <f t="shared" si="2"/>
        <v>#VALUE!</v>
      </c>
    </row>
    <row r="880" spans="1:9" ht="15.75" customHeight="1">
      <c r="A880" s="26"/>
      <c r="B880" s="2"/>
      <c r="C880" s="26"/>
      <c r="D880" s="26"/>
      <c r="F880" s="85" t="str">
        <f t="shared" si="0"/>
        <v/>
      </c>
      <c r="G880" s="1" t="e">
        <f>IF(VALUE(F880) = VALUE(RIGHT(Insights!$C$3, 4)), E880, "")</f>
        <v>#VALUE!</v>
      </c>
      <c r="H880" s="26" t="e">
        <f t="shared" si="1"/>
        <v>#VALUE!</v>
      </c>
      <c r="I880" s="1" t="e">
        <f t="shared" si="2"/>
        <v>#VALUE!</v>
      </c>
    </row>
    <row r="881" spans="1:9" ht="15.75" customHeight="1">
      <c r="A881" s="26"/>
      <c r="B881" s="2"/>
      <c r="C881" s="26"/>
      <c r="D881" s="26"/>
      <c r="F881" s="85" t="str">
        <f t="shared" si="0"/>
        <v/>
      </c>
      <c r="G881" s="1" t="e">
        <f>IF(VALUE(F881) = VALUE(RIGHT(Insights!$C$3, 4)), E881, "")</f>
        <v>#VALUE!</v>
      </c>
      <c r="H881" s="26" t="e">
        <f t="shared" si="1"/>
        <v>#VALUE!</v>
      </c>
      <c r="I881" s="1" t="e">
        <f t="shared" si="2"/>
        <v>#VALUE!</v>
      </c>
    </row>
    <row r="882" spans="1:9" ht="15.75" customHeight="1">
      <c r="A882" s="26"/>
      <c r="B882" s="2"/>
      <c r="C882" s="26"/>
      <c r="D882" s="26"/>
      <c r="F882" s="85" t="str">
        <f t="shared" si="0"/>
        <v/>
      </c>
      <c r="G882" s="1" t="e">
        <f>IF(VALUE(F882) = VALUE(RIGHT(Insights!$C$3, 4)), E882, "")</f>
        <v>#VALUE!</v>
      </c>
      <c r="H882" s="26" t="e">
        <f t="shared" si="1"/>
        <v>#VALUE!</v>
      </c>
      <c r="I882" s="1" t="e">
        <f t="shared" si="2"/>
        <v>#VALUE!</v>
      </c>
    </row>
    <row r="883" spans="1:9" ht="15.75" customHeight="1">
      <c r="A883" s="26"/>
      <c r="B883" s="2"/>
      <c r="C883" s="26"/>
      <c r="D883" s="26"/>
      <c r="F883" s="85" t="str">
        <f t="shared" si="0"/>
        <v/>
      </c>
      <c r="G883" s="1" t="e">
        <f>IF(VALUE(F883) = VALUE(RIGHT(Insights!$C$3, 4)), E883, "")</f>
        <v>#VALUE!</v>
      </c>
      <c r="H883" s="26" t="e">
        <f t="shared" si="1"/>
        <v>#VALUE!</v>
      </c>
      <c r="I883" s="1" t="e">
        <f t="shared" si="2"/>
        <v>#VALUE!</v>
      </c>
    </row>
    <row r="884" spans="1:9" ht="15.75" customHeight="1">
      <c r="A884" s="26"/>
      <c r="B884" s="2"/>
      <c r="C884" s="26"/>
      <c r="D884" s="26"/>
      <c r="F884" s="85" t="str">
        <f t="shared" si="0"/>
        <v/>
      </c>
      <c r="G884" s="1" t="e">
        <f>IF(VALUE(F884) = VALUE(RIGHT(Insights!$C$3, 4)), E884, "")</f>
        <v>#VALUE!</v>
      </c>
      <c r="H884" s="26" t="e">
        <f t="shared" si="1"/>
        <v>#VALUE!</v>
      </c>
      <c r="I884" s="1" t="e">
        <f t="shared" si="2"/>
        <v>#VALUE!</v>
      </c>
    </row>
    <row r="885" spans="1:9" ht="15.75" customHeight="1">
      <c r="A885" s="26"/>
      <c r="B885" s="2"/>
      <c r="C885" s="26"/>
      <c r="D885" s="26"/>
      <c r="F885" s="85" t="str">
        <f t="shared" si="0"/>
        <v/>
      </c>
      <c r="G885" s="1" t="e">
        <f>IF(VALUE(F885) = VALUE(RIGHT(Insights!$C$3, 4)), E885, "")</f>
        <v>#VALUE!</v>
      </c>
      <c r="H885" s="26" t="e">
        <f t="shared" si="1"/>
        <v>#VALUE!</v>
      </c>
      <c r="I885" s="1" t="e">
        <f t="shared" si="2"/>
        <v>#VALUE!</v>
      </c>
    </row>
    <row r="886" spans="1:9" ht="15.75" customHeight="1">
      <c r="A886" s="26"/>
      <c r="B886" s="2"/>
      <c r="C886" s="26"/>
      <c r="D886" s="26"/>
      <c r="F886" s="85" t="str">
        <f t="shared" si="0"/>
        <v/>
      </c>
      <c r="G886" s="1" t="e">
        <f>IF(VALUE(F886) = VALUE(RIGHT(Insights!$C$3, 4)), E886, "")</f>
        <v>#VALUE!</v>
      </c>
      <c r="H886" s="26" t="e">
        <f t="shared" si="1"/>
        <v>#VALUE!</v>
      </c>
      <c r="I886" s="1" t="e">
        <f t="shared" si="2"/>
        <v>#VALUE!</v>
      </c>
    </row>
    <row r="887" spans="1:9" ht="15.75" customHeight="1">
      <c r="A887" s="26"/>
      <c r="B887" s="2"/>
      <c r="C887" s="26"/>
      <c r="D887" s="26"/>
      <c r="F887" s="85" t="str">
        <f t="shared" si="0"/>
        <v/>
      </c>
      <c r="G887" s="1" t="e">
        <f>IF(VALUE(F887) = VALUE(RIGHT(Insights!$C$3, 4)), E887, "")</f>
        <v>#VALUE!</v>
      </c>
      <c r="H887" s="26" t="e">
        <f t="shared" si="1"/>
        <v>#VALUE!</v>
      </c>
      <c r="I887" s="1" t="e">
        <f t="shared" si="2"/>
        <v>#VALUE!</v>
      </c>
    </row>
    <row r="888" spans="1:9" ht="15.75" customHeight="1">
      <c r="A888" s="26"/>
      <c r="B888" s="2"/>
      <c r="C888" s="26"/>
      <c r="D888" s="26"/>
      <c r="F888" s="85" t="str">
        <f t="shared" si="0"/>
        <v/>
      </c>
      <c r="G888" s="1" t="e">
        <f>IF(VALUE(F888) = VALUE(RIGHT(Insights!$C$3, 4)), E888, "")</f>
        <v>#VALUE!</v>
      </c>
      <c r="H888" s="26" t="e">
        <f t="shared" si="1"/>
        <v>#VALUE!</v>
      </c>
      <c r="I888" s="1" t="e">
        <f t="shared" si="2"/>
        <v>#VALUE!</v>
      </c>
    </row>
    <row r="889" spans="1:9" ht="15.75" customHeight="1">
      <c r="A889" s="26"/>
      <c r="B889" s="2"/>
      <c r="C889" s="26"/>
      <c r="D889" s="26"/>
      <c r="F889" s="85" t="str">
        <f t="shared" si="0"/>
        <v/>
      </c>
      <c r="G889" s="1" t="e">
        <f>IF(VALUE(F889) = VALUE(RIGHT(Insights!$C$3, 4)), E889, "")</f>
        <v>#VALUE!</v>
      </c>
      <c r="H889" s="26" t="e">
        <f t="shared" si="1"/>
        <v>#VALUE!</v>
      </c>
      <c r="I889" s="1" t="e">
        <f t="shared" si="2"/>
        <v>#VALUE!</v>
      </c>
    </row>
    <row r="890" spans="1:9" ht="15.75" customHeight="1">
      <c r="A890" s="26"/>
      <c r="B890" s="2"/>
      <c r="C890" s="26"/>
      <c r="D890" s="26"/>
      <c r="F890" s="85" t="str">
        <f t="shared" si="0"/>
        <v/>
      </c>
      <c r="G890" s="1" t="e">
        <f>IF(VALUE(F890) = VALUE(RIGHT(Insights!$C$3, 4)), E890, "")</f>
        <v>#VALUE!</v>
      </c>
      <c r="H890" s="26" t="e">
        <f t="shared" si="1"/>
        <v>#VALUE!</v>
      </c>
      <c r="I890" s="1" t="e">
        <f t="shared" si="2"/>
        <v>#VALUE!</v>
      </c>
    </row>
    <row r="891" spans="1:9" ht="15.75" customHeight="1">
      <c r="A891" s="26"/>
      <c r="B891" s="2"/>
      <c r="C891" s="26"/>
      <c r="D891" s="26"/>
      <c r="F891" s="85" t="str">
        <f t="shared" si="0"/>
        <v/>
      </c>
      <c r="G891" s="1" t="e">
        <f>IF(VALUE(F891) = VALUE(RIGHT(Insights!$C$3, 4)), E891, "")</f>
        <v>#VALUE!</v>
      </c>
      <c r="H891" s="26" t="e">
        <f t="shared" si="1"/>
        <v>#VALUE!</v>
      </c>
      <c r="I891" s="1" t="e">
        <f t="shared" si="2"/>
        <v>#VALUE!</v>
      </c>
    </row>
    <row r="892" spans="1:9" ht="15.75" customHeight="1">
      <c r="A892" s="26"/>
      <c r="B892" s="2"/>
      <c r="C892" s="26"/>
      <c r="D892" s="26"/>
      <c r="F892" s="85" t="str">
        <f t="shared" si="0"/>
        <v/>
      </c>
      <c r="G892" s="1" t="e">
        <f>IF(VALUE(F892) = VALUE(RIGHT(Insights!$C$3, 4)), E892, "")</f>
        <v>#VALUE!</v>
      </c>
      <c r="H892" s="26" t="e">
        <f t="shared" si="1"/>
        <v>#VALUE!</v>
      </c>
      <c r="I892" s="1" t="e">
        <f t="shared" si="2"/>
        <v>#VALUE!</v>
      </c>
    </row>
    <row r="893" spans="1:9" ht="15.75" customHeight="1">
      <c r="A893" s="26"/>
      <c r="B893" s="2"/>
      <c r="C893" s="26"/>
      <c r="D893" s="26"/>
      <c r="F893" s="85" t="str">
        <f t="shared" si="0"/>
        <v/>
      </c>
      <c r="G893" s="1" t="e">
        <f>IF(VALUE(F893) = VALUE(RIGHT(Insights!$C$3, 4)), E893, "")</f>
        <v>#VALUE!</v>
      </c>
      <c r="H893" s="26" t="e">
        <f t="shared" si="1"/>
        <v>#VALUE!</v>
      </c>
      <c r="I893" s="1" t="e">
        <f t="shared" si="2"/>
        <v>#VALUE!</v>
      </c>
    </row>
    <row r="894" spans="1:9" ht="15.75" customHeight="1">
      <c r="A894" s="26"/>
      <c r="B894" s="2"/>
      <c r="C894" s="26"/>
      <c r="D894" s="26"/>
      <c r="F894" s="85" t="str">
        <f t="shared" si="0"/>
        <v/>
      </c>
      <c r="G894" s="1" t="e">
        <f>IF(VALUE(F894) = VALUE(RIGHT(Insights!$C$3, 4)), E894, "")</f>
        <v>#VALUE!</v>
      </c>
      <c r="H894" s="26" t="e">
        <f t="shared" si="1"/>
        <v>#VALUE!</v>
      </c>
      <c r="I894" s="1" t="e">
        <f t="shared" si="2"/>
        <v>#VALUE!</v>
      </c>
    </row>
    <row r="895" spans="1:9" ht="15.75" customHeight="1">
      <c r="A895" s="26"/>
      <c r="B895" s="2"/>
      <c r="C895" s="26"/>
      <c r="D895" s="26"/>
      <c r="F895" s="85" t="str">
        <f t="shared" si="0"/>
        <v/>
      </c>
      <c r="G895" s="1" t="e">
        <f>IF(VALUE(F895) = VALUE(RIGHT(Insights!$C$3, 4)), E895, "")</f>
        <v>#VALUE!</v>
      </c>
      <c r="H895" s="26" t="e">
        <f t="shared" si="1"/>
        <v>#VALUE!</v>
      </c>
      <c r="I895" s="1" t="e">
        <f t="shared" si="2"/>
        <v>#VALUE!</v>
      </c>
    </row>
    <row r="896" spans="1:9" ht="15.75" customHeight="1">
      <c r="A896" s="26"/>
      <c r="B896" s="2"/>
      <c r="C896" s="26"/>
      <c r="D896" s="26"/>
      <c r="F896" s="85" t="str">
        <f t="shared" si="0"/>
        <v/>
      </c>
      <c r="G896" s="1" t="e">
        <f>IF(VALUE(F896) = VALUE(RIGHT(Insights!$C$3, 4)), E896, "")</f>
        <v>#VALUE!</v>
      </c>
      <c r="H896" s="26" t="e">
        <f t="shared" si="1"/>
        <v>#VALUE!</v>
      </c>
      <c r="I896" s="1" t="e">
        <f t="shared" si="2"/>
        <v>#VALUE!</v>
      </c>
    </row>
    <row r="897" spans="1:9" ht="15.75" customHeight="1">
      <c r="A897" s="26"/>
      <c r="B897" s="2"/>
      <c r="C897" s="26"/>
      <c r="D897" s="26"/>
      <c r="F897" s="85" t="str">
        <f t="shared" si="0"/>
        <v/>
      </c>
      <c r="G897" s="1" t="e">
        <f>IF(VALUE(F897) = VALUE(RIGHT(Insights!$C$3, 4)), E897, "")</f>
        <v>#VALUE!</v>
      </c>
      <c r="H897" s="26" t="e">
        <f t="shared" si="1"/>
        <v>#VALUE!</v>
      </c>
      <c r="I897" s="1" t="e">
        <f t="shared" si="2"/>
        <v>#VALUE!</v>
      </c>
    </row>
    <row r="898" spans="1:9" ht="15.75" customHeight="1">
      <c r="A898" s="26"/>
      <c r="B898" s="2"/>
      <c r="C898" s="26"/>
      <c r="D898" s="26"/>
      <c r="F898" s="85" t="str">
        <f t="shared" si="0"/>
        <v/>
      </c>
      <c r="G898" s="1" t="e">
        <f>IF(VALUE(F898) = VALUE(RIGHT(Insights!$C$3, 4)), E898, "")</f>
        <v>#VALUE!</v>
      </c>
      <c r="H898" s="26" t="e">
        <f t="shared" si="1"/>
        <v>#VALUE!</v>
      </c>
      <c r="I898" s="1" t="e">
        <f t="shared" si="2"/>
        <v>#VALUE!</v>
      </c>
    </row>
    <row r="899" spans="1:9" ht="15.75" customHeight="1">
      <c r="A899" s="26"/>
      <c r="B899" s="2"/>
      <c r="C899" s="26"/>
      <c r="D899" s="26"/>
      <c r="F899" s="85" t="str">
        <f t="shared" si="0"/>
        <v/>
      </c>
      <c r="G899" s="1" t="e">
        <f>IF(VALUE(F899) = VALUE(RIGHT(Insights!$C$3, 4)), E899, "")</f>
        <v>#VALUE!</v>
      </c>
      <c r="H899" s="26" t="e">
        <f t="shared" si="1"/>
        <v>#VALUE!</v>
      </c>
      <c r="I899" s="1" t="e">
        <f t="shared" si="2"/>
        <v>#VALUE!</v>
      </c>
    </row>
    <row r="900" spans="1:9" ht="15.75" customHeight="1">
      <c r="A900" s="26"/>
      <c r="B900" s="2"/>
      <c r="C900" s="26"/>
      <c r="D900" s="26"/>
      <c r="F900" s="85" t="str">
        <f t="shared" si="0"/>
        <v/>
      </c>
      <c r="G900" s="1" t="e">
        <f>IF(VALUE(F900) = VALUE(RIGHT(Insights!$C$3, 4)), E900, "")</f>
        <v>#VALUE!</v>
      </c>
      <c r="H900" s="26" t="e">
        <f t="shared" si="1"/>
        <v>#VALUE!</v>
      </c>
      <c r="I900" s="1" t="e">
        <f t="shared" si="2"/>
        <v>#VALUE!</v>
      </c>
    </row>
    <row r="901" spans="1:9" ht="15.75" customHeight="1">
      <c r="A901" s="26"/>
      <c r="B901" s="2"/>
      <c r="C901" s="26"/>
      <c r="D901" s="26"/>
      <c r="F901" s="85" t="str">
        <f t="shared" si="0"/>
        <v/>
      </c>
      <c r="G901" s="1" t="e">
        <f>IF(VALUE(F901) = VALUE(RIGHT(Insights!$C$3, 4)), E901, "")</f>
        <v>#VALUE!</v>
      </c>
      <c r="H901" s="26" t="e">
        <f t="shared" si="1"/>
        <v>#VALUE!</v>
      </c>
      <c r="I901" s="1" t="e">
        <f t="shared" si="2"/>
        <v>#VALUE!</v>
      </c>
    </row>
    <row r="902" spans="1:9" ht="15.75" customHeight="1">
      <c r="A902" s="26"/>
      <c r="B902" s="2"/>
      <c r="C902" s="26"/>
      <c r="D902" s="26"/>
      <c r="F902" s="85" t="str">
        <f t="shared" si="0"/>
        <v/>
      </c>
      <c r="G902" s="1" t="e">
        <f>IF(VALUE(F902) = VALUE(RIGHT(Insights!$C$3, 4)), E902, "")</f>
        <v>#VALUE!</v>
      </c>
      <c r="H902" s="26" t="e">
        <f t="shared" si="1"/>
        <v>#VALUE!</v>
      </c>
      <c r="I902" s="1" t="e">
        <f t="shared" si="2"/>
        <v>#VALUE!</v>
      </c>
    </row>
    <row r="903" spans="1:9" ht="15.75" customHeight="1">
      <c r="A903" s="26"/>
      <c r="B903" s="2"/>
      <c r="C903" s="26"/>
      <c r="D903" s="26"/>
      <c r="F903" s="85" t="str">
        <f t="shared" si="0"/>
        <v/>
      </c>
      <c r="G903" s="1" t="e">
        <f>IF(VALUE(F903) = VALUE(RIGHT(Insights!$C$3, 4)), E903, "")</f>
        <v>#VALUE!</v>
      </c>
      <c r="H903" s="26" t="e">
        <f t="shared" si="1"/>
        <v>#VALUE!</v>
      </c>
      <c r="I903" s="1" t="e">
        <f t="shared" si="2"/>
        <v>#VALUE!</v>
      </c>
    </row>
    <row r="904" spans="1:9" ht="15.75" customHeight="1">
      <c r="A904" s="26"/>
      <c r="B904" s="2"/>
      <c r="C904" s="26"/>
      <c r="D904" s="26"/>
      <c r="F904" s="85" t="str">
        <f t="shared" si="0"/>
        <v/>
      </c>
      <c r="G904" s="1" t="e">
        <f>IF(VALUE(F904) = VALUE(RIGHT(Insights!$C$3, 4)), E904, "")</f>
        <v>#VALUE!</v>
      </c>
      <c r="H904" s="26" t="e">
        <f t="shared" si="1"/>
        <v>#VALUE!</v>
      </c>
      <c r="I904" s="1" t="e">
        <f t="shared" si="2"/>
        <v>#VALUE!</v>
      </c>
    </row>
    <row r="905" spans="1:9" ht="15.75" customHeight="1">
      <c r="A905" s="26"/>
      <c r="B905" s="2"/>
      <c r="C905" s="26"/>
      <c r="D905" s="26"/>
      <c r="F905" s="85" t="str">
        <f t="shared" si="0"/>
        <v/>
      </c>
      <c r="G905" s="1" t="e">
        <f>IF(VALUE(F905) = VALUE(RIGHT(Insights!$C$3, 4)), E905, "")</f>
        <v>#VALUE!</v>
      </c>
      <c r="H905" s="26" t="e">
        <f t="shared" si="1"/>
        <v>#VALUE!</v>
      </c>
      <c r="I905" s="1" t="e">
        <f t="shared" si="2"/>
        <v>#VALUE!</v>
      </c>
    </row>
    <row r="906" spans="1:9" ht="15.75" customHeight="1">
      <c r="A906" s="26"/>
      <c r="B906" s="2"/>
      <c r="C906" s="26"/>
      <c r="D906" s="26"/>
      <c r="F906" s="85" t="str">
        <f t="shared" si="0"/>
        <v/>
      </c>
      <c r="G906" s="1" t="e">
        <f>IF(VALUE(F906) = VALUE(RIGHT(Insights!$C$3, 4)), E906, "")</f>
        <v>#VALUE!</v>
      </c>
      <c r="H906" s="26" t="e">
        <f t="shared" si="1"/>
        <v>#VALUE!</v>
      </c>
      <c r="I906" s="1" t="e">
        <f t="shared" si="2"/>
        <v>#VALUE!</v>
      </c>
    </row>
    <row r="907" spans="1:9" ht="15.75" customHeight="1">
      <c r="A907" s="26"/>
      <c r="B907" s="2"/>
      <c r="C907" s="26"/>
      <c r="D907" s="26"/>
      <c r="F907" s="85" t="str">
        <f t="shared" si="0"/>
        <v/>
      </c>
      <c r="G907" s="1" t="e">
        <f>IF(VALUE(F907) = VALUE(RIGHT(Insights!$C$3, 4)), E907, "")</f>
        <v>#VALUE!</v>
      </c>
      <c r="H907" s="26" t="e">
        <f t="shared" si="1"/>
        <v>#VALUE!</v>
      </c>
      <c r="I907" s="1" t="e">
        <f t="shared" si="2"/>
        <v>#VALUE!</v>
      </c>
    </row>
    <row r="908" spans="1:9" ht="15.75" customHeight="1">
      <c r="A908" s="26"/>
      <c r="B908" s="2"/>
      <c r="C908" s="26"/>
      <c r="D908" s="26"/>
      <c r="F908" s="85" t="str">
        <f t="shared" si="0"/>
        <v/>
      </c>
      <c r="G908" s="1" t="e">
        <f>IF(VALUE(F908) = VALUE(RIGHT(Insights!$C$3, 4)), E908, "")</f>
        <v>#VALUE!</v>
      </c>
      <c r="H908" s="26" t="e">
        <f t="shared" si="1"/>
        <v>#VALUE!</v>
      </c>
      <c r="I908" s="1" t="e">
        <f t="shared" si="2"/>
        <v>#VALUE!</v>
      </c>
    </row>
    <row r="909" spans="1:9" ht="15.75" customHeight="1">
      <c r="A909" s="26"/>
      <c r="B909" s="2"/>
      <c r="C909" s="26"/>
      <c r="D909" s="26"/>
      <c r="F909" s="85" t="str">
        <f t="shared" si="0"/>
        <v/>
      </c>
      <c r="G909" s="1" t="e">
        <f>IF(VALUE(F909) = VALUE(RIGHT(Insights!$C$3, 4)), E909, "")</f>
        <v>#VALUE!</v>
      </c>
      <c r="H909" s="26" t="e">
        <f t="shared" si="1"/>
        <v>#VALUE!</v>
      </c>
      <c r="I909" s="1" t="e">
        <f t="shared" si="2"/>
        <v>#VALUE!</v>
      </c>
    </row>
    <row r="910" spans="1:9" ht="15.75" customHeight="1">
      <c r="A910" s="26"/>
      <c r="B910" s="2"/>
      <c r="C910" s="26"/>
      <c r="D910" s="26"/>
      <c r="F910" s="85" t="str">
        <f t="shared" si="0"/>
        <v/>
      </c>
      <c r="G910" s="1" t="e">
        <f>IF(VALUE(F910) = VALUE(RIGHT(Insights!$C$3, 4)), E910, "")</f>
        <v>#VALUE!</v>
      </c>
      <c r="H910" s="26" t="e">
        <f t="shared" si="1"/>
        <v>#VALUE!</v>
      </c>
      <c r="I910" s="1" t="e">
        <f t="shared" si="2"/>
        <v>#VALUE!</v>
      </c>
    </row>
    <row r="911" spans="1:9" ht="15.75" customHeight="1">
      <c r="A911" s="26"/>
      <c r="B911" s="2"/>
      <c r="C911" s="26"/>
      <c r="D911" s="26"/>
      <c r="F911" s="85" t="str">
        <f t="shared" si="0"/>
        <v/>
      </c>
      <c r="G911" s="1" t="e">
        <f>IF(VALUE(F911) = VALUE(RIGHT(Insights!$C$3, 4)), E911, "")</f>
        <v>#VALUE!</v>
      </c>
      <c r="H911" s="26" t="e">
        <f t="shared" si="1"/>
        <v>#VALUE!</v>
      </c>
      <c r="I911" s="1" t="e">
        <f t="shared" si="2"/>
        <v>#VALUE!</v>
      </c>
    </row>
    <row r="912" spans="1:9" ht="15.75" customHeight="1">
      <c r="A912" s="26"/>
      <c r="B912" s="2"/>
      <c r="C912" s="26"/>
      <c r="D912" s="26"/>
      <c r="F912" s="85" t="str">
        <f t="shared" si="0"/>
        <v/>
      </c>
      <c r="G912" s="1" t="e">
        <f>IF(VALUE(F912) = VALUE(RIGHT(Insights!$C$3, 4)), E912, "")</f>
        <v>#VALUE!</v>
      </c>
      <c r="H912" s="26" t="e">
        <f t="shared" si="1"/>
        <v>#VALUE!</v>
      </c>
      <c r="I912" s="1" t="e">
        <f t="shared" si="2"/>
        <v>#VALUE!</v>
      </c>
    </row>
    <row r="913" spans="1:9" ht="15.75" customHeight="1">
      <c r="A913" s="26"/>
      <c r="B913" s="2"/>
      <c r="C913" s="26"/>
      <c r="D913" s="26"/>
      <c r="F913" s="85" t="str">
        <f t="shared" si="0"/>
        <v/>
      </c>
      <c r="G913" s="1" t="e">
        <f>IF(VALUE(F913) = VALUE(RIGHT(Insights!$C$3, 4)), E913, "")</f>
        <v>#VALUE!</v>
      </c>
      <c r="H913" s="26" t="e">
        <f t="shared" si="1"/>
        <v>#VALUE!</v>
      </c>
      <c r="I913" s="1" t="e">
        <f t="shared" si="2"/>
        <v>#VALUE!</v>
      </c>
    </row>
    <row r="914" spans="1:9" ht="15.75" customHeight="1">
      <c r="A914" s="26"/>
      <c r="B914" s="2"/>
      <c r="C914" s="26"/>
      <c r="D914" s="26"/>
      <c r="F914" s="85" t="str">
        <f t="shared" si="0"/>
        <v/>
      </c>
      <c r="G914" s="1" t="e">
        <f>IF(VALUE(F914) = VALUE(RIGHT(Insights!$C$3, 4)), E914, "")</f>
        <v>#VALUE!</v>
      </c>
      <c r="H914" s="26" t="e">
        <f t="shared" si="1"/>
        <v>#VALUE!</v>
      </c>
      <c r="I914" s="1" t="e">
        <f t="shared" si="2"/>
        <v>#VALUE!</v>
      </c>
    </row>
    <row r="915" spans="1:9" ht="15.75" customHeight="1">
      <c r="A915" s="26"/>
      <c r="B915" s="2"/>
      <c r="C915" s="26"/>
      <c r="D915" s="26"/>
      <c r="F915" s="85" t="str">
        <f t="shared" si="0"/>
        <v/>
      </c>
      <c r="G915" s="1" t="e">
        <f>IF(VALUE(F915) = VALUE(RIGHT(Insights!$C$3, 4)), E915, "")</f>
        <v>#VALUE!</v>
      </c>
      <c r="H915" s="26" t="e">
        <f t="shared" si="1"/>
        <v>#VALUE!</v>
      </c>
      <c r="I915" s="1" t="e">
        <f t="shared" si="2"/>
        <v>#VALUE!</v>
      </c>
    </row>
    <row r="916" spans="1:9" ht="15.75" customHeight="1">
      <c r="A916" s="26"/>
      <c r="B916" s="2"/>
      <c r="C916" s="26"/>
      <c r="D916" s="26"/>
      <c r="F916" s="85" t="str">
        <f t="shared" si="0"/>
        <v/>
      </c>
      <c r="G916" s="1" t="e">
        <f>IF(VALUE(F916) = VALUE(RIGHT(Insights!$C$3, 4)), E916, "")</f>
        <v>#VALUE!</v>
      </c>
      <c r="H916" s="26" t="e">
        <f t="shared" si="1"/>
        <v>#VALUE!</v>
      </c>
      <c r="I916" s="1" t="e">
        <f t="shared" si="2"/>
        <v>#VALUE!</v>
      </c>
    </row>
    <row r="917" spans="1:9" ht="15.75" customHeight="1">
      <c r="A917" s="26"/>
      <c r="B917" s="2"/>
      <c r="C917" s="26"/>
      <c r="D917" s="26"/>
      <c r="F917" s="85" t="str">
        <f t="shared" si="0"/>
        <v/>
      </c>
      <c r="G917" s="1" t="e">
        <f>IF(VALUE(F917) = VALUE(RIGHT(Insights!$C$3, 4)), E917, "")</f>
        <v>#VALUE!</v>
      </c>
      <c r="H917" s="26" t="e">
        <f t="shared" si="1"/>
        <v>#VALUE!</v>
      </c>
      <c r="I917" s="1" t="e">
        <f t="shared" si="2"/>
        <v>#VALUE!</v>
      </c>
    </row>
    <row r="918" spans="1:9" ht="15.75" customHeight="1">
      <c r="A918" s="26"/>
      <c r="B918" s="2"/>
      <c r="C918" s="26"/>
      <c r="D918" s="26"/>
      <c r="F918" s="85" t="str">
        <f t="shared" si="0"/>
        <v/>
      </c>
      <c r="G918" s="1" t="e">
        <f>IF(VALUE(F918) = VALUE(RIGHT(Insights!$C$3, 4)), E918, "")</f>
        <v>#VALUE!</v>
      </c>
      <c r="H918" s="26" t="e">
        <f t="shared" si="1"/>
        <v>#VALUE!</v>
      </c>
      <c r="I918" s="1" t="e">
        <f t="shared" si="2"/>
        <v>#VALUE!</v>
      </c>
    </row>
    <row r="919" spans="1:9" ht="15.75" customHeight="1">
      <c r="A919" s="26"/>
      <c r="B919" s="2"/>
      <c r="C919" s="26"/>
      <c r="D919" s="26"/>
      <c r="F919" s="85" t="str">
        <f t="shared" si="0"/>
        <v/>
      </c>
      <c r="G919" s="1" t="e">
        <f>IF(VALUE(F919) = VALUE(RIGHT(Insights!$C$3, 4)), E919, "")</f>
        <v>#VALUE!</v>
      </c>
      <c r="H919" s="26" t="e">
        <f t="shared" si="1"/>
        <v>#VALUE!</v>
      </c>
      <c r="I919" s="1" t="e">
        <f t="shared" si="2"/>
        <v>#VALUE!</v>
      </c>
    </row>
    <row r="920" spans="1:9" ht="15.75" customHeight="1">
      <c r="A920" s="26"/>
      <c r="B920" s="2"/>
      <c r="C920" s="26"/>
      <c r="D920" s="26"/>
      <c r="F920" s="85" t="str">
        <f t="shared" si="0"/>
        <v/>
      </c>
      <c r="G920" s="1" t="e">
        <f>IF(VALUE(F920) = VALUE(RIGHT(Insights!$C$3, 4)), E920, "")</f>
        <v>#VALUE!</v>
      </c>
      <c r="H920" s="26" t="e">
        <f t="shared" si="1"/>
        <v>#VALUE!</v>
      </c>
      <c r="I920" s="1" t="e">
        <f t="shared" si="2"/>
        <v>#VALUE!</v>
      </c>
    </row>
    <row r="921" spans="1:9" ht="15.75" customHeight="1">
      <c r="A921" s="26"/>
      <c r="B921" s="2"/>
      <c r="C921" s="26"/>
      <c r="D921" s="26"/>
      <c r="F921" s="85" t="str">
        <f t="shared" si="0"/>
        <v/>
      </c>
      <c r="G921" s="1" t="e">
        <f>IF(VALUE(F921) = VALUE(RIGHT(Insights!$C$3, 4)), E921, "")</f>
        <v>#VALUE!</v>
      </c>
      <c r="H921" s="26" t="e">
        <f t="shared" si="1"/>
        <v>#VALUE!</v>
      </c>
      <c r="I921" s="1" t="e">
        <f t="shared" si="2"/>
        <v>#VALUE!</v>
      </c>
    </row>
    <row r="922" spans="1:9" ht="15.75" customHeight="1">
      <c r="A922" s="26"/>
      <c r="B922" s="2"/>
      <c r="C922" s="26"/>
      <c r="D922" s="26"/>
      <c r="F922" s="85" t="str">
        <f t="shared" si="0"/>
        <v/>
      </c>
      <c r="G922" s="1" t="e">
        <f>IF(VALUE(F922) = VALUE(RIGHT(Insights!$C$3, 4)), E922, "")</f>
        <v>#VALUE!</v>
      </c>
      <c r="H922" s="26" t="e">
        <f t="shared" si="1"/>
        <v>#VALUE!</v>
      </c>
      <c r="I922" s="1" t="e">
        <f t="shared" si="2"/>
        <v>#VALUE!</v>
      </c>
    </row>
    <row r="923" spans="1:9" ht="15.75" customHeight="1">
      <c r="A923" s="26"/>
      <c r="B923" s="2"/>
      <c r="C923" s="26"/>
      <c r="D923" s="26"/>
      <c r="F923" s="85" t="str">
        <f t="shared" si="0"/>
        <v/>
      </c>
      <c r="G923" s="1" t="e">
        <f>IF(VALUE(F923) = VALUE(RIGHT(Insights!$C$3, 4)), E923, "")</f>
        <v>#VALUE!</v>
      </c>
      <c r="H923" s="26" t="e">
        <f t="shared" si="1"/>
        <v>#VALUE!</v>
      </c>
      <c r="I923" s="1" t="e">
        <f t="shared" si="2"/>
        <v>#VALUE!</v>
      </c>
    </row>
    <row r="924" spans="1:9" ht="15.75" customHeight="1">
      <c r="A924" s="26"/>
      <c r="B924" s="2"/>
      <c r="C924" s="26"/>
      <c r="D924" s="26"/>
      <c r="F924" s="85" t="str">
        <f t="shared" si="0"/>
        <v/>
      </c>
      <c r="G924" s="1" t="e">
        <f>IF(VALUE(F924) = VALUE(RIGHT(Insights!$C$3, 4)), E924, "")</f>
        <v>#VALUE!</v>
      </c>
      <c r="H924" s="26" t="e">
        <f t="shared" si="1"/>
        <v>#VALUE!</v>
      </c>
      <c r="I924" s="1" t="e">
        <f t="shared" si="2"/>
        <v>#VALUE!</v>
      </c>
    </row>
    <row r="925" spans="1:9" ht="15.75" customHeight="1">
      <c r="A925" s="26"/>
      <c r="B925" s="2"/>
      <c r="C925" s="26"/>
      <c r="D925" s="26"/>
      <c r="F925" s="85" t="str">
        <f t="shared" si="0"/>
        <v/>
      </c>
      <c r="G925" s="1" t="e">
        <f>IF(VALUE(F925) = VALUE(RIGHT(Insights!$C$3, 4)), E925, "")</f>
        <v>#VALUE!</v>
      </c>
      <c r="H925" s="26" t="e">
        <f t="shared" si="1"/>
        <v>#VALUE!</v>
      </c>
      <c r="I925" s="1" t="e">
        <f t="shared" si="2"/>
        <v>#VALUE!</v>
      </c>
    </row>
    <row r="926" spans="1:9" ht="15.75" customHeight="1">
      <c r="A926" s="26"/>
      <c r="B926" s="2"/>
      <c r="C926" s="26"/>
      <c r="D926" s="26"/>
      <c r="F926" s="85" t="str">
        <f t="shared" si="0"/>
        <v/>
      </c>
      <c r="G926" s="1" t="e">
        <f>IF(VALUE(F926) = VALUE(RIGHT(Insights!$C$3, 4)), E926, "")</f>
        <v>#VALUE!</v>
      </c>
      <c r="H926" s="26" t="e">
        <f t="shared" si="1"/>
        <v>#VALUE!</v>
      </c>
      <c r="I926" s="1" t="e">
        <f t="shared" si="2"/>
        <v>#VALUE!</v>
      </c>
    </row>
    <row r="927" spans="1:9" ht="15.75" customHeight="1">
      <c r="A927" s="26"/>
      <c r="B927" s="2"/>
      <c r="C927" s="26"/>
      <c r="D927" s="26"/>
      <c r="F927" s="85" t="str">
        <f t="shared" si="0"/>
        <v/>
      </c>
      <c r="G927" s="1" t="e">
        <f>IF(VALUE(F927) = VALUE(RIGHT(Insights!$C$3, 4)), E927, "")</f>
        <v>#VALUE!</v>
      </c>
      <c r="H927" s="26" t="e">
        <f t="shared" si="1"/>
        <v>#VALUE!</v>
      </c>
      <c r="I927" s="1" t="e">
        <f t="shared" si="2"/>
        <v>#VALUE!</v>
      </c>
    </row>
    <row r="928" spans="1:9" ht="15.75" customHeight="1">
      <c r="A928" s="26"/>
      <c r="B928" s="2"/>
      <c r="C928" s="26"/>
      <c r="D928" s="26"/>
      <c r="F928" s="85" t="str">
        <f t="shared" si="0"/>
        <v/>
      </c>
      <c r="G928" s="1" t="e">
        <f>IF(VALUE(F928) = VALUE(RIGHT(Insights!$C$3, 4)), E928, "")</f>
        <v>#VALUE!</v>
      </c>
      <c r="H928" s="26" t="e">
        <f t="shared" si="1"/>
        <v>#VALUE!</v>
      </c>
      <c r="I928" s="1" t="e">
        <f t="shared" si="2"/>
        <v>#VALUE!</v>
      </c>
    </row>
    <row r="929" spans="1:9" ht="15.75" customHeight="1">
      <c r="A929" s="26"/>
      <c r="B929" s="2"/>
      <c r="C929" s="26"/>
      <c r="D929" s="26"/>
      <c r="F929" s="85" t="str">
        <f t="shared" si="0"/>
        <v/>
      </c>
      <c r="G929" s="1" t="e">
        <f>IF(VALUE(F929) = VALUE(RIGHT(Insights!$C$3, 4)), E929, "")</f>
        <v>#VALUE!</v>
      </c>
      <c r="H929" s="26" t="e">
        <f t="shared" si="1"/>
        <v>#VALUE!</v>
      </c>
      <c r="I929" s="1" t="e">
        <f t="shared" si="2"/>
        <v>#VALUE!</v>
      </c>
    </row>
    <row r="930" spans="1:9" ht="15.75" customHeight="1">
      <c r="A930" s="26"/>
      <c r="B930" s="2"/>
      <c r="C930" s="26"/>
      <c r="D930" s="26"/>
      <c r="F930" s="85" t="str">
        <f t="shared" si="0"/>
        <v/>
      </c>
      <c r="G930" s="1" t="e">
        <f>IF(VALUE(F930) = VALUE(RIGHT(Insights!$C$3, 4)), E930, "")</f>
        <v>#VALUE!</v>
      </c>
      <c r="H930" s="26" t="e">
        <f t="shared" si="1"/>
        <v>#VALUE!</v>
      </c>
      <c r="I930" s="1" t="e">
        <f t="shared" si="2"/>
        <v>#VALUE!</v>
      </c>
    </row>
    <row r="931" spans="1:9" ht="15.75" customHeight="1">
      <c r="A931" s="26"/>
      <c r="B931" s="2"/>
      <c r="C931" s="26"/>
      <c r="D931" s="26"/>
      <c r="F931" s="85" t="str">
        <f t="shared" si="0"/>
        <v/>
      </c>
      <c r="G931" s="1" t="e">
        <f>IF(VALUE(F931) = VALUE(RIGHT(Insights!$C$3, 4)), E931, "")</f>
        <v>#VALUE!</v>
      </c>
      <c r="H931" s="26" t="e">
        <f t="shared" si="1"/>
        <v>#VALUE!</v>
      </c>
      <c r="I931" s="1" t="e">
        <f t="shared" si="2"/>
        <v>#VALUE!</v>
      </c>
    </row>
    <row r="932" spans="1:9" ht="15.75" customHeight="1">
      <c r="A932" s="26"/>
      <c r="B932" s="2"/>
      <c r="C932" s="26"/>
      <c r="D932" s="26"/>
      <c r="F932" s="85" t="str">
        <f t="shared" si="0"/>
        <v/>
      </c>
      <c r="G932" s="1" t="e">
        <f>IF(VALUE(F932) = VALUE(RIGHT(Insights!$C$3, 4)), E932, "")</f>
        <v>#VALUE!</v>
      </c>
      <c r="H932" s="26" t="e">
        <f t="shared" si="1"/>
        <v>#VALUE!</v>
      </c>
      <c r="I932" s="1" t="e">
        <f t="shared" si="2"/>
        <v>#VALUE!</v>
      </c>
    </row>
    <row r="933" spans="1:9" ht="15.75" customHeight="1">
      <c r="A933" s="26"/>
      <c r="B933" s="2"/>
      <c r="C933" s="26"/>
      <c r="D933" s="26"/>
      <c r="F933" s="85" t="str">
        <f t="shared" si="0"/>
        <v/>
      </c>
      <c r="G933" s="1" t="e">
        <f>IF(VALUE(F933) = VALUE(RIGHT(Insights!$C$3, 4)), E933, "")</f>
        <v>#VALUE!</v>
      </c>
      <c r="H933" s="26" t="e">
        <f t="shared" si="1"/>
        <v>#VALUE!</v>
      </c>
      <c r="I933" s="1" t="e">
        <f t="shared" si="2"/>
        <v>#VALUE!</v>
      </c>
    </row>
    <row r="934" spans="1:9" ht="15.75" customHeight="1">
      <c r="A934" s="26"/>
      <c r="B934" s="2"/>
      <c r="C934" s="26"/>
      <c r="D934" s="26"/>
      <c r="F934" s="85" t="str">
        <f t="shared" si="0"/>
        <v/>
      </c>
      <c r="G934" s="1" t="e">
        <f>IF(VALUE(F934) = VALUE(RIGHT(Insights!$C$3, 4)), E934, "")</f>
        <v>#VALUE!</v>
      </c>
      <c r="H934" s="26" t="e">
        <f t="shared" si="1"/>
        <v>#VALUE!</v>
      </c>
      <c r="I934" s="1" t="e">
        <f t="shared" si="2"/>
        <v>#VALUE!</v>
      </c>
    </row>
    <row r="935" spans="1:9" ht="15.75" customHeight="1">
      <c r="A935" s="26"/>
      <c r="B935" s="2"/>
      <c r="C935" s="26"/>
      <c r="D935" s="26"/>
      <c r="F935" s="85" t="str">
        <f t="shared" si="0"/>
        <v/>
      </c>
      <c r="G935" s="1" t="e">
        <f>IF(VALUE(F935) = VALUE(RIGHT(Insights!$C$3, 4)), E935, "")</f>
        <v>#VALUE!</v>
      </c>
      <c r="H935" s="26" t="e">
        <f t="shared" si="1"/>
        <v>#VALUE!</v>
      </c>
      <c r="I935" s="1" t="e">
        <f t="shared" si="2"/>
        <v>#VALUE!</v>
      </c>
    </row>
    <row r="936" spans="1:9" ht="15.75" customHeight="1">
      <c r="A936" s="26"/>
      <c r="B936" s="2"/>
      <c r="C936" s="26"/>
      <c r="D936" s="26"/>
      <c r="F936" s="85" t="str">
        <f t="shared" si="0"/>
        <v/>
      </c>
      <c r="G936" s="1" t="e">
        <f>IF(VALUE(F936) = VALUE(RIGHT(Insights!$C$3, 4)), E936, "")</f>
        <v>#VALUE!</v>
      </c>
      <c r="H936" s="26" t="e">
        <f t="shared" si="1"/>
        <v>#VALUE!</v>
      </c>
      <c r="I936" s="1" t="e">
        <f t="shared" si="2"/>
        <v>#VALUE!</v>
      </c>
    </row>
    <row r="937" spans="1:9" ht="15.75" customHeight="1">
      <c r="A937" s="26"/>
      <c r="B937" s="2"/>
      <c r="C937" s="26"/>
      <c r="D937" s="26"/>
      <c r="F937" s="85" t="str">
        <f t="shared" si="0"/>
        <v/>
      </c>
      <c r="G937" s="1" t="e">
        <f>IF(VALUE(F937) = VALUE(RIGHT(Insights!$C$3, 4)), E937, "")</f>
        <v>#VALUE!</v>
      </c>
      <c r="H937" s="26" t="e">
        <f t="shared" si="1"/>
        <v>#VALUE!</v>
      </c>
      <c r="I937" s="1" t="e">
        <f t="shared" si="2"/>
        <v>#VALUE!</v>
      </c>
    </row>
    <row r="938" spans="1:9" ht="15.75" customHeight="1">
      <c r="A938" s="26"/>
      <c r="B938" s="2"/>
      <c r="C938" s="26"/>
      <c r="D938" s="26"/>
      <c r="F938" s="85" t="str">
        <f t="shared" si="0"/>
        <v/>
      </c>
      <c r="G938" s="1" t="e">
        <f>IF(VALUE(F938) = VALUE(RIGHT(Insights!$C$3, 4)), E938, "")</f>
        <v>#VALUE!</v>
      </c>
      <c r="H938" s="26" t="e">
        <f t="shared" si="1"/>
        <v>#VALUE!</v>
      </c>
      <c r="I938" s="1" t="e">
        <f t="shared" si="2"/>
        <v>#VALUE!</v>
      </c>
    </row>
    <row r="939" spans="1:9" ht="15.75" customHeight="1">
      <c r="A939" s="26"/>
      <c r="B939" s="2"/>
      <c r="C939" s="26"/>
      <c r="D939" s="26"/>
      <c r="F939" s="85" t="str">
        <f t="shared" si="0"/>
        <v/>
      </c>
      <c r="G939" s="1" t="e">
        <f>IF(VALUE(F939) = VALUE(RIGHT(Insights!$C$3, 4)), E939, "")</f>
        <v>#VALUE!</v>
      </c>
      <c r="H939" s="26" t="e">
        <f t="shared" si="1"/>
        <v>#VALUE!</v>
      </c>
      <c r="I939" s="1" t="e">
        <f t="shared" si="2"/>
        <v>#VALUE!</v>
      </c>
    </row>
    <row r="940" spans="1:9" ht="15.75" customHeight="1">
      <c r="A940" s="26"/>
      <c r="B940" s="2"/>
      <c r="C940" s="26"/>
      <c r="D940" s="26"/>
      <c r="F940" s="85" t="str">
        <f t="shared" si="0"/>
        <v/>
      </c>
      <c r="G940" s="1" t="e">
        <f>IF(VALUE(F940) = VALUE(RIGHT(Insights!$C$3, 4)), E940, "")</f>
        <v>#VALUE!</v>
      </c>
      <c r="H940" s="26" t="e">
        <f t="shared" si="1"/>
        <v>#VALUE!</v>
      </c>
      <c r="I940" s="1" t="e">
        <f t="shared" si="2"/>
        <v>#VALUE!</v>
      </c>
    </row>
    <row r="941" spans="1:9" ht="15.75" customHeight="1">
      <c r="A941" s="26"/>
      <c r="B941" s="2"/>
      <c r="C941" s="26"/>
      <c r="D941" s="26"/>
      <c r="F941" s="85" t="str">
        <f t="shared" si="0"/>
        <v/>
      </c>
      <c r="G941" s="1" t="e">
        <f>IF(VALUE(F941) = VALUE(RIGHT(Insights!$C$3, 4)), E941, "")</f>
        <v>#VALUE!</v>
      </c>
      <c r="H941" s="26" t="e">
        <f t="shared" si="1"/>
        <v>#VALUE!</v>
      </c>
      <c r="I941" s="1" t="e">
        <f t="shared" si="2"/>
        <v>#VALUE!</v>
      </c>
    </row>
    <row r="942" spans="1:9" ht="15.75" customHeight="1">
      <c r="A942" s="26"/>
      <c r="B942" s="2"/>
      <c r="C942" s="26"/>
      <c r="D942" s="26"/>
      <c r="F942" s="85" t="str">
        <f t="shared" si="0"/>
        <v/>
      </c>
      <c r="G942" s="1" t="e">
        <f>IF(VALUE(F942) = VALUE(RIGHT(Insights!$C$3, 4)), E942, "")</f>
        <v>#VALUE!</v>
      </c>
      <c r="H942" s="26" t="e">
        <f t="shared" si="1"/>
        <v>#VALUE!</v>
      </c>
      <c r="I942" s="1" t="e">
        <f t="shared" si="2"/>
        <v>#VALUE!</v>
      </c>
    </row>
    <row r="943" spans="1:9" ht="15.75" customHeight="1">
      <c r="A943" s="26"/>
      <c r="B943" s="2"/>
      <c r="C943" s="26"/>
      <c r="D943" s="26"/>
      <c r="F943" s="85" t="str">
        <f t="shared" si="0"/>
        <v/>
      </c>
      <c r="G943" s="1" t="e">
        <f>IF(VALUE(F943) = VALUE(RIGHT(Insights!$C$3, 4)), E943, "")</f>
        <v>#VALUE!</v>
      </c>
      <c r="H943" s="26" t="e">
        <f t="shared" si="1"/>
        <v>#VALUE!</v>
      </c>
      <c r="I943" s="1" t="e">
        <f t="shared" si="2"/>
        <v>#VALUE!</v>
      </c>
    </row>
    <row r="944" spans="1:9" ht="15.75" customHeight="1">
      <c r="A944" s="26"/>
      <c r="B944" s="2"/>
      <c r="C944" s="26"/>
      <c r="D944" s="26"/>
      <c r="F944" s="85" t="str">
        <f t="shared" si="0"/>
        <v/>
      </c>
      <c r="G944" s="1" t="e">
        <f>IF(VALUE(F944) = VALUE(RIGHT(Insights!$C$3, 4)), E944, "")</f>
        <v>#VALUE!</v>
      </c>
      <c r="H944" s="26" t="e">
        <f t="shared" si="1"/>
        <v>#VALUE!</v>
      </c>
      <c r="I944" s="1" t="e">
        <f t="shared" si="2"/>
        <v>#VALUE!</v>
      </c>
    </row>
    <row r="945" spans="1:9" ht="15.75" customHeight="1">
      <c r="A945" s="26"/>
      <c r="B945" s="2"/>
      <c r="C945" s="26"/>
      <c r="D945" s="26"/>
      <c r="F945" s="85" t="str">
        <f t="shared" si="0"/>
        <v/>
      </c>
      <c r="G945" s="1" t="e">
        <f>IF(VALUE(F945) = VALUE(RIGHT(Insights!$C$3, 4)), E945, "")</f>
        <v>#VALUE!</v>
      </c>
      <c r="H945" s="26" t="e">
        <f t="shared" si="1"/>
        <v>#VALUE!</v>
      </c>
      <c r="I945" s="1" t="e">
        <f t="shared" si="2"/>
        <v>#VALUE!</v>
      </c>
    </row>
    <row r="946" spans="1:9" ht="15.75" customHeight="1">
      <c r="A946" s="26"/>
      <c r="B946" s="2"/>
      <c r="C946" s="26"/>
      <c r="D946" s="26"/>
      <c r="F946" s="85" t="str">
        <f t="shared" si="0"/>
        <v/>
      </c>
      <c r="G946" s="1" t="e">
        <f>IF(VALUE(F946) = VALUE(RIGHT(Insights!$C$3, 4)), E946, "")</f>
        <v>#VALUE!</v>
      </c>
      <c r="H946" s="26" t="e">
        <f t="shared" si="1"/>
        <v>#VALUE!</v>
      </c>
      <c r="I946" s="1" t="e">
        <f t="shared" si="2"/>
        <v>#VALUE!</v>
      </c>
    </row>
    <row r="947" spans="1:9" ht="15.75" customHeight="1">
      <c r="A947" s="26"/>
      <c r="B947" s="2"/>
      <c r="C947" s="26"/>
      <c r="D947" s="26"/>
      <c r="F947" s="85" t="str">
        <f t="shared" si="0"/>
        <v/>
      </c>
      <c r="G947" s="1" t="e">
        <f>IF(VALUE(F947) = VALUE(RIGHT(Insights!$C$3, 4)), E947, "")</f>
        <v>#VALUE!</v>
      </c>
      <c r="H947" s="26" t="e">
        <f t="shared" si="1"/>
        <v>#VALUE!</v>
      </c>
      <c r="I947" s="1" t="e">
        <f t="shared" si="2"/>
        <v>#VALUE!</v>
      </c>
    </row>
    <row r="948" spans="1:9" ht="15.75" customHeight="1">
      <c r="A948" s="26"/>
      <c r="B948" s="2"/>
      <c r="C948" s="26"/>
      <c r="D948" s="26"/>
      <c r="F948" s="85" t="str">
        <f t="shared" si="0"/>
        <v/>
      </c>
      <c r="G948" s="1" t="e">
        <f>IF(VALUE(F948) = VALUE(RIGHT(Insights!$C$3, 4)), E948, "")</f>
        <v>#VALUE!</v>
      </c>
      <c r="H948" s="26" t="e">
        <f t="shared" si="1"/>
        <v>#VALUE!</v>
      </c>
      <c r="I948" s="1" t="e">
        <f t="shared" si="2"/>
        <v>#VALUE!</v>
      </c>
    </row>
    <row r="949" spans="1:9" ht="15.75" customHeight="1">
      <c r="A949" s="26"/>
      <c r="B949" s="2"/>
      <c r="C949" s="26"/>
      <c r="D949" s="26"/>
      <c r="F949" s="85" t="str">
        <f t="shared" si="0"/>
        <v/>
      </c>
      <c r="G949" s="1" t="e">
        <f>IF(VALUE(F949) = VALUE(RIGHT(Insights!$C$3, 4)), E949, "")</f>
        <v>#VALUE!</v>
      </c>
      <c r="H949" s="26" t="e">
        <f t="shared" si="1"/>
        <v>#VALUE!</v>
      </c>
      <c r="I949" s="1" t="e">
        <f t="shared" si="2"/>
        <v>#VALUE!</v>
      </c>
    </row>
    <row r="950" spans="1:9" ht="15.75" customHeight="1">
      <c r="A950" s="26"/>
      <c r="B950" s="2"/>
      <c r="C950" s="26"/>
      <c r="D950" s="26"/>
      <c r="F950" s="85" t="str">
        <f t="shared" si="0"/>
        <v/>
      </c>
      <c r="G950" s="1" t="e">
        <f>IF(VALUE(F950) = VALUE(RIGHT(Insights!$C$3, 4)), E950, "")</f>
        <v>#VALUE!</v>
      </c>
      <c r="H950" s="26" t="e">
        <f t="shared" si="1"/>
        <v>#VALUE!</v>
      </c>
      <c r="I950" s="1" t="e">
        <f t="shared" si="2"/>
        <v>#VALUE!</v>
      </c>
    </row>
    <row r="951" spans="1:9" ht="15.75" customHeight="1">
      <c r="A951" s="26"/>
      <c r="B951" s="2"/>
      <c r="C951" s="26"/>
      <c r="D951" s="26"/>
      <c r="F951" s="85" t="str">
        <f t="shared" si="0"/>
        <v/>
      </c>
      <c r="G951" s="1" t="e">
        <f>IF(VALUE(F951) = VALUE(RIGHT(Insights!$C$3, 4)), E951, "")</f>
        <v>#VALUE!</v>
      </c>
      <c r="H951" s="26" t="e">
        <f t="shared" si="1"/>
        <v>#VALUE!</v>
      </c>
      <c r="I951" s="1" t="e">
        <f t="shared" si="2"/>
        <v>#VALUE!</v>
      </c>
    </row>
    <row r="952" spans="1:9" ht="15.75" customHeight="1">
      <c r="A952" s="26"/>
      <c r="B952" s="2"/>
      <c r="C952" s="26"/>
      <c r="D952" s="26"/>
      <c r="F952" s="85" t="str">
        <f t="shared" si="0"/>
        <v/>
      </c>
      <c r="G952" s="1" t="e">
        <f>IF(VALUE(F952) = VALUE(RIGHT(Insights!$C$3, 4)), E952, "")</f>
        <v>#VALUE!</v>
      </c>
      <c r="H952" s="26" t="e">
        <f t="shared" si="1"/>
        <v>#VALUE!</v>
      </c>
      <c r="I952" s="1" t="e">
        <f t="shared" si="2"/>
        <v>#VALUE!</v>
      </c>
    </row>
    <row r="953" spans="1:9" ht="15.75" customHeight="1">
      <c r="A953" s="26"/>
      <c r="B953" s="2"/>
      <c r="C953" s="26"/>
      <c r="D953" s="26"/>
      <c r="F953" s="85" t="str">
        <f t="shared" si="0"/>
        <v/>
      </c>
      <c r="G953" s="1" t="e">
        <f>IF(VALUE(F953) = VALUE(RIGHT(Insights!$C$3, 4)), E953, "")</f>
        <v>#VALUE!</v>
      </c>
      <c r="H953" s="26" t="e">
        <f t="shared" si="1"/>
        <v>#VALUE!</v>
      </c>
      <c r="I953" s="1" t="e">
        <f t="shared" si="2"/>
        <v>#VALUE!</v>
      </c>
    </row>
    <row r="954" spans="1:9" ht="15.75" customHeight="1">
      <c r="A954" s="26"/>
      <c r="B954" s="2"/>
      <c r="C954" s="26"/>
      <c r="D954" s="26"/>
      <c r="F954" s="85" t="str">
        <f t="shared" si="0"/>
        <v/>
      </c>
      <c r="G954" s="1" t="e">
        <f>IF(VALUE(F954) = VALUE(RIGHT(Insights!$C$3, 4)), E954, "")</f>
        <v>#VALUE!</v>
      </c>
      <c r="H954" s="26" t="e">
        <f t="shared" si="1"/>
        <v>#VALUE!</v>
      </c>
      <c r="I954" s="1" t="e">
        <f t="shared" si="2"/>
        <v>#VALUE!</v>
      </c>
    </row>
    <row r="955" spans="1:9" ht="15.75" customHeight="1">
      <c r="A955" s="26"/>
      <c r="B955" s="2"/>
      <c r="C955" s="26"/>
      <c r="D955" s="26"/>
      <c r="F955" s="85" t="str">
        <f t="shared" si="0"/>
        <v/>
      </c>
      <c r="G955" s="1" t="e">
        <f>IF(VALUE(F955) = VALUE(RIGHT(Insights!$C$3, 4)), E955, "")</f>
        <v>#VALUE!</v>
      </c>
      <c r="H955" s="26" t="e">
        <f t="shared" si="1"/>
        <v>#VALUE!</v>
      </c>
      <c r="I955" s="1" t="e">
        <f t="shared" si="2"/>
        <v>#VALUE!</v>
      </c>
    </row>
    <row r="956" spans="1:9" ht="15.75" customHeight="1">
      <c r="A956" s="26"/>
      <c r="B956" s="2"/>
      <c r="C956" s="26"/>
      <c r="D956" s="26"/>
      <c r="F956" s="85" t="str">
        <f t="shared" si="0"/>
        <v/>
      </c>
      <c r="G956" s="1" t="e">
        <f>IF(VALUE(F956) = VALUE(RIGHT(Insights!$C$3, 4)), E956, "")</f>
        <v>#VALUE!</v>
      </c>
      <c r="H956" s="26" t="e">
        <f t="shared" si="1"/>
        <v>#VALUE!</v>
      </c>
      <c r="I956" s="1" t="e">
        <f t="shared" si="2"/>
        <v>#VALUE!</v>
      </c>
    </row>
    <row r="957" spans="1:9" ht="15.75" customHeight="1">
      <c r="A957" s="26"/>
      <c r="B957" s="2"/>
      <c r="C957" s="26"/>
      <c r="D957" s="26"/>
      <c r="F957" s="85" t="str">
        <f t="shared" si="0"/>
        <v/>
      </c>
      <c r="G957" s="1" t="e">
        <f>IF(VALUE(F957) = VALUE(RIGHT(Insights!$C$3, 4)), E957, "")</f>
        <v>#VALUE!</v>
      </c>
      <c r="H957" s="26" t="e">
        <f t="shared" si="1"/>
        <v>#VALUE!</v>
      </c>
      <c r="I957" s="1" t="e">
        <f t="shared" si="2"/>
        <v>#VALUE!</v>
      </c>
    </row>
    <row r="958" spans="1:9" ht="15.75" customHeight="1">
      <c r="A958" s="26"/>
      <c r="B958" s="2"/>
      <c r="C958" s="26"/>
      <c r="D958" s="26"/>
      <c r="F958" s="85" t="str">
        <f t="shared" si="0"/>
        <v/>
      </c>
      <c r="G958" s="1" t="e">
        <f>IF(VALUE(F958) = VALUE(RIGHT(Insights!$C$3, 4)), E958, "")</f>
        <v>#VALUE!</v>
      </c>
      <c r="H958" s="26" t="e">
        <f t="shared" si="1"/>
        <v>#VALUE!</v>
      </c>
      <c r="I958" s="1" t="e">
        <f t="shared" si="2"/>
        <v>#VALUE!</v>
      </c>
    </row>
    <row r="959" spans="1:9" ht="15.75" customHeight="1">
      <c r="A959" s="26"/>
      <c r="B959" s="2"/>
      <c r="C959" s="26"/>
      <c r="D959" s="26"/>
      <c r="F959" s="85" t="str">
        <f t="shared" si="0"/>
        <v/>
      </c>
      <c r="G959" s="1" t="e">
        <f>IF(VALUE(F959) = VALUE(RIGHT(Insights!$C$3, 4)), E959, "")</f>
        <v>#VALUE!</v>
      </c>
      <c r="H959" s="26" t="e">
        <f t="shared" si="1"/>
        <v>#VALUE!</v>
      </c>
      <c r="I959" s="1" t="e">
        <f t="shared" si="2"/>
        <v>#VALUE!</v>
      </c>
    </row>
    <row r="960" spans="1:9" ht="15.75" customHeight="1">
      <c r="A960" s="26"/>
      <c r="B960" s="2"/>
      <c r="C960" s="26"/>
      <c r="D960" s="26"/>
      <c r="F960" s="85" t="str">
        <f t="shared" si="0"/>
        <v/>
      </c>
      <c r="G960" s="1" t="e">
        <f>IF(VALUE(F960) = VALUE(RIGHT(Insights!$C$3, 4)), E960, "")</f>
        <v>#VALUE!</v>
      </c>
      <c r="H960" s="26" t="e">
        <f t="shared" si="1"/>
        <v>#VALUE!</v>
      </c>
      <c r="I960" s="1" t="e">
        <f t="shared" si="2"/>
        <v>#VALUE!</v>
      </c>
    </row>
    <row r="961" spans="1:9" ht="15.75" customHeight="1">
      <c r="A961" s="26"/>
      <c r="B961" s="2"/>
      <c r="C961" s="26"/>
      <c r="D961" s="26"/>
      <c r="F961" s="85" t="str">
        <f t="shared" si="0"/>
        <v/>
      </c>
      <c r="G961" s="1" t="e">
        <f>IF(VALUE(F961) = VALUE(RIGHT(Insights!$C$3, 4)), E961, "")</f>
        <v>#VALUE!</v>
      </c>
      <c r="H961" s="26" t="e">
        <f t="shared" si="1"/>
        <v>#VALUE!</v>
      </c>
      <c r="I961" s="1" t="e">
        <f t="shared" si="2"/>
        <v>#VALUE!</v>
      </c>
    </row>
    <row r="962" spans="1:9" ht="15.75" customHeight="1">
      <c r="A962" s="26"/>
      <c r="B962" s="2"/>
      <c r="C962" s="26"/>
      <c r="D962" s="26"/>
      <c r="F962" s="85" t="str">
        <f t="shared" si="0"/>
        <v/>
      </c>
      <c r="G962" s="1" t="e">
        <f>IF(VALUE(F962) = VALUE(RIGHT(Insights!$C$3, 4)), E962, "")</f>
        <v>#VALUE!</v>
      </c>
      <c r="H962" s="26" t="e">
        <f t="shared" si="1"/>
        <v>#VALUE!</v>
      </c>
      <c r="I962" s="1" t="e">
        <f t="shared" si="2"/>
        <v>#VALUE!</v>
      </c>
    </row>
    <row r="963" spans="1:9" ht="15.75" customHeight="1">
      <c r="A963" s="26"/>
      <c r="B963" s="2"/>
      <c r="C963" s="26"/>
      <c r="D963" s="26"/>
      <c r="F963" s="85" t="str">
        <f t="shared" si="0"/>
        <v/>
      </c>
      <c r="G963" s="1" t="e">
        <f>IF(VALUE(F963) = VALUE(RIGHT(Insights!$C$3, 4)), E963, "")</f>
        <v>#VALUE!</v>
      </c>
      <c r="H963" s="26" t="e">
        <f t="shared" si="1"/>
        <v>#VALUE!</v>
      </c>
      <c r="I963" s="1" t="e">
        <f t="shared" si="2"/>
        <v>#VALUE!</v>
      </c>
    </row>
    <row r="964" spans="1:9" ht="15.75" customHeight="1">
      <c r="A964" s="26"/>
      <c r="B964" s="2"/>
      <c r="C964" s="26"/>
      <c r="D964" s="26"/>
      <c r="F964" s="85" t="str">
        <f t="shared" si="0"/>
        <v/>
      </c>
      <c r="G964" s="1" t="e">
        <f>IF(VALUE(F964) = VALUE(RIGHT(Insights!$C$3, 4)), E964, "")</f>
        <v>#VALUE!</v>
      </c>
      <c r="H964" s="26" t="e">
        <f t="shared" si="1"/>
        <v>#VALUE!</v>
      </c>
      <c r="I964" s="1" t="e">
        <f t="shared" si="2"/>
        <v>#VALUE!</v>
      </c>
    </row>
    <row r="965" spans="1:9" ht="15.75" customHeight="1">
      <c r="A965" s="26"/>
      <c r="B965" s="2"/>
      <c r="C965" s="26"/>
      <c r="D965" s="26"/>
      <c r="F965" s="85" t="str">
        <f t="shared" si="0"/>
        <v/>
      </c>
      <c r="G965" s="1" t="e">
        <f>IF(VALUE(F965) = VALUE(RIGHT(Insights!$C$3, 4)), E965, "")</f>
        <v>#VALUE!</v>
      </c>
      <c r="H965" s="26" t="e">
        <f t="shared" si="1"/>
        <v>#VALUE!</v>
      </c>
      <c r="I965" s="1" t="e">
        <f t="shared" si="2"/>
        <v>#VALUE!</v>
      </c>
    </row>
    <row r="966" spans="1:9" ht="15.75" customHeight="1">
      <c r="A966" s="26"/>
      <c r="B966" s="2"/>
      <c r="C966" s="26"/>
      <c r="D966" s="26"/>
      <c r="F966" s="85" t="str">
        <f t="shared" si="0"/>
        <v/>
      </c>
      <c r="G966" s="1" t="e">
        <f>IF(VALUE(F966) = VALUE(RIGHT(Insights!$C$3, 4)), E966, "")</f>
        <v>#VALUE!</v>
      </c>
      <c r="H966" s="26" t="e">
        <f t="shared" si="1"/>
        <v>#VALUE!</v>
      </c>
      <c r="I966" s="1" t="e">
        <f t="shared" si="2"/>
        <v>#VALUE!</v>
      </c>
    </row>
    <row r="967" spans="1:9" ht="15.75" customHeight="1">
      <c r="A967" s="26"/>
      <c r="B967" s="2"/>
      <c r="C967" s="26"/>
      <c r="D967" s="26"/>
      <c r="F967" s="85" t="str">
        <f t="shared" si="0"/>
        <v/>
      </c>
      <c r="G967" s="1" t="e">
        <f>IF(VALUE(F967) = VALUE(RIGHT(Insights!$C$3, 4)), E967, "")</f>
        <v>#VALUE!</v>
      </c>
      <c r="H967" s="26" t="e">
        <f t="shared" si="1"/>
        <v>#VALUE!</v>
      </c>
      <c r="I967" s="1" t="e">
        <f t="shared" si="2"/>
        <v>#VALUE!</v>
      </c>
    </row>
    <row r="968" spans="1:9" ht="15.75" customHeight="1">
      <c r="A968" s="26"/>
      <c r="B968" s="2"/>
      <c r="C968" s="26"/>
      <c r="D968" s="26"/>
      <c r="F968" s="85" t="str">
        <f t="shared" si="0"/>
        <v/>
      </c>
      <c r="G968" s="1" t="e">
        <f>IF(VALUE(F968) = VALUE(RIGHT(Insights!$C$3, 4)), E968, "")</f>
        <v>#VALUE!</v>
      </c>
      <c r="H968" s="26" t="e">
        <f t="shared" si="1"/>
        <v>#VALUE!</v>
      </c>
      <c r="I968" s="1" t="e">
        <f t="shared" si="2"/>
        <v>#VALUE!</v>
      </c>
    </row>
    <row r="969" spans="1:9" ht="15.75" customHeight="1">
      <c r="A969" s="26"/>
      <c r="B969" s="2"/>
      <c r="C969" s="26"/>
      <c r="D969" s="26"/>
      <c r="F969" s="85" t="str">
        <f t="shared" si="0"/>
        <v/>
      </c>
      <c r="G969" s="1" t="e">
        <f>IF(VALUE(F969) = VALUE(RIGHT(Insights!$C$3, 4)), E969, "")</f>
        <v>#VALUE!</v>
      </c>
      <c r="H969" s="26" t="e">
        <f t="shared" si="1"/>
        <v>#VALUE!</v>
      </c>
      <c r="I969" s="1" t="e">
        <f t="shared" si="2"/>
        <v>#VALUE!</v>
      </c>
    </row>
    <row r="970" spans="1:9" ht="15.75" customHeight="1">
      <c r="A970" s="26"/>
      <c r="B970" s="2"/>
      <c r="C970" s="26"/>
      <c r="D970" s="26"/>
      <c r="F970" s="85" t="str">
        <f t="shared" si="0"/>
        <v/>
      </c>
      <c r="G970" s="1" t="e">
        <f>IF(VALUE(F970) = VALUE(RIGHT(Insights!$C$3, 4)), E970, "")</f>
        <v>#VALUE!</v>
      </c>
      <c r="H970" s="26" t="e">
        <f t="shared" si="1"/>
        <v>#VALUE!</v>
      </c>
      <c r="I970" s="1" t="e">
        <f t="shared" si="2"/>
        <v>#VALUE!</v>
      </c>
    </row>
    <row r="971" spans="1:9" ht="15.75" customHeight="1">
      <c r="A971" s="26"/>
      <c r="B971" s="2"/>
      <c r="C971" s="26"/>
      <c r="D971" s="26"/>
      <c r="F971" s="85" t="str">
        <f t="shared" si="0"/>
        <v/>
      </c>
      <c r="G971" s="1" t="e">
        <f>IF(VALUE(F971) = VALUE(RIGHT(Insights!$C$3, 4)), E971, "")</f>
        <v>#VALUE!</v>
      </c>
      <c r="H971" s="26" t="e">
        <f t="shared" si="1"/>
        <v>#VALUE!</v>
      </c>
      <c r="I971" s="1" t="e">
        <f t="shared" si="2"/>
        <v>#VALUE!</v>
      </c>
    </row>
    <row r="972" spans="1:9" ht="15.75" customHeight="1">
      <c r="A972" s="26"/>
      <c r="B972" s="2"/>
      <c r="C972" s="26"/>
      <c r="D972" s="26"/>
      <c r="F972" s="85" t="str">
        <f t="shared" si="0"/>
        <v/>
      </c>
      <c r="G972" s="1" t="e">
        <f>IF(VALUE(F972) = VALUE(RIGHT(Insights!$C$3, 4)), E972, "")</f>
        <v>#VALUE!</v>
      </c>
      <c r="H972" s="26" t="e">
        <f t="shared" si="1"/>
        <v>#VALUE!</v>
      </c>
      <c r="I972" s="1" t="e">
        <f t="shared" si="2"/>
        <v>#VALUE!</v>
      </c>
    </row>
    <row r="973" spans="1:9" ht="15.75" customHeight="1">
      <c r="A973" s="26"/>
      <c r="B973" s="2"/>
      <c r="C973" s="26"/>
      <c r="D973" s="26"/>
      <c r="F973" s="85" t="str">
        <f t="shared" si="0"/>
        <v/>
      </c>
      <c r="G973" s="1" t="e">
        <f>IF(VALUE(F973) = VALUE(RIGHT(Insights!$C$3, 4)), E973, "")</f>
        <v>#VALUE!</v>
      </c>
      <c r="H973" s="26" t="e">
        <f t="shared" si="1"/>
        <v>#VALUE!</v>
      </c>
      <c r="I973" s="1" t="e">
        <f t="shared" si="2"/>
        <v>#VALUE!</v>
      </c>
    </row>
    <row r="974" spans="1:9" ht="15.75" customHeight="1">
      <c r="A974" s="26"/>
      <c r="B974" s="2"/>
      <c r="C974" s="26"/>
      <c r="D974" s="26"/>
      <c r="F974" s="85" t="str">
        <f t="shared" si="0"/>
        <v/>
      </c>
      <c r="G974" s="1" t="e">
        <f>IF(VALUE(F974) = VALUE(RIGHT(Insights!$C$3, 4)), E974, "")</f>
        <v>#VALUE!</v>
      </c>
      <c r="H974" s="26" t="e">
        <f t="shared" si="1"/>
        <v>#VALUE!</v>
      </c>
      <c r="I974" s="1" t="e">
        <f t="shared" si="2"/>
        <v>#VALUE!</v>
      </c>
    </row>
    <row r="975" spans="1:9" ht="15.75" customHeight="1">
      <c r="A975" s="26"/>
      <c r="B975" s="2"/>
      <c r="C975" s="26"/>
      <c r="D975" s="26"/>
      <c r="F975" s="85" t="str">
        <f t="shared" si="0"/>
        <v/>
      </c>
      <c r="G975" s="1" t="e">
        <f>IF(VALUE(F975) = VALUE(RIGHT(Insights!$C$3, 4)), E975, "")</f>
        <v>#VALUE!</v>
      </c>
      <c r="H975" s="26" t="e">
        <f t="shared" si="1"/>
        <v>#VALUE!</v>
      </c>
      <c r="I975" s="1" t="e">
        <f t="shared" si="2"/>
        <v>#VALUE!</v>
      </c>
    </row>
    <row r="976" spans="1:9" ht="15.75" customHeight="1">
      <c r="A976" s="26"/>
      <c r="B976" s="2"/>
      <c r="C976" s="26"/>
      <c r="D976" s="26"/>
      <c r="F976" s="85" t="str">
        <f t="shared" si="0"/>
        <v/>
      </c>
      <c r="G976" s="1" t="e">
        <f>IF(VALUE(F976) = VALUE(RIGHT(Insights!$C$3, 4)), E976, "")</f>
        <v>#VALUE!</v>
      </c>
      <c r="H976" s="26" t="e">
        <f t="shared" si="1"/>
        <v>#VALUE!</v>
      </c>
      <c r="I976" s="1" t="e">
        <f t="shared" si="2"/>
        <v>#VALUE!</v>
      </c>
    </row>
    <row r="977" spans="1:9" ht="15.75" customHeight="1">
      <c r="A977" s="26"/>
      <c r="B977" s="2"/>
      <c r="C977" s="26"/>
      <c r="D977" s="26"/>
      <c r="F977" s="85" t="str">
        <f t="shared" si="0"/>
        <v/>
      </c>
      <c r="G977" s="1" t="e">
        <f>IF(VALUE(F977) = VALUE(RIGHT(Insights!$C$3, 4)), E977, "")</f>
        <v>#VALUE!</v>
      </c>
      <c r="H977" s="26" t="e">
        <f t="shared" si="1"/>
        <v>#VALUE!</v>
      </c>
      <c r="I977" s="1" t="e">
        <f t="shared" si="2"/>
        <v>#VALUE!</v>
      </c>
    </row>
    <row r="978" spans="1:9" ht="15.75" customHeight="1">
      <c r="A978" s="26"/>
      <c r="B978" s="2"/>
      <c r="C978" s="26"/>
      <c r="D978" s="26"/>
      <c r="F978" s="85" t="str">
        <f t="shared" si="0"/>
        <v/>
      </c>
      <c r="G978" s="1" t="e">
        <f>IF(VALUE(F978) = VALUE(RIGHT(Insights!$C$3, 4)), E978, "")</f>
        <v>#VALUE!</v>
      </c>
      <c r="H978" s="26" t="e">
        <f t="shared" si="1"/>
        <v>#VALUE!</v>
      </c>
      <c r="I978" s="1" t="e">
        <f t="shared" si="2"/>
        <v>#VALUE!</v>
      </c>
    </row>
    <row r="979" spans="1:9" ht="15.75" customHeight="1">
      <c r="A979" s="26"/>
      <c r="B979" s="2"/>
      <c r="C979" s="26"/>
      <c r="D979" s="26"/>
      <c r="F979" s="85" t="str">
        <f t="shared" si="0"/>
        <v/>
      </c>
      <c r="G979" s="1" t="e">
        <f>IF(VALUE(F979) = VALUE(RIGHT(Insights!$C$3, 4)), E979, "")</f>
        <v>#VALUE!</v>
      </c>
      <c r="H979" s="26" t="e">
        <f t="shared" si="1"/>
        <v>#VALUE!</v>
      </c>
      <c r="I979" s="1" t="e">
        <f t="shared" si="2"/>
        <v>#VALUE!</v>
      </c>
    </row>
    <row r="980" spans="1:9" ht="15.75" customHeight="1">
      <c r="A980" s="26"/>
      <c r="B980" s="2"/>
      <c r="C980" s="26"/>
      <c r="D980" s="26"/>
      <c r="F980" s="85" t="str">
        <f t="shared" si="0"/>
        <v/>
      </c>
      <c r="G980" s="1" t="e">
        <f>IF(VALUE(F980) = VALUE(RIGHT(Insights!$C$3, 4)), E980, "")</f>
        <v>#VALUE!</v>
      </c>
      <c r="H980" s="26" t="e">
        <f t="shared" si="1"/>
        <v>#VALUE!</v>
      </c>
      <c r="I980" s="1" t="e">
        <f t="shared" si="2"/>
        <v>#VALUE!</v>
      </c>
    </row>
    <row r="981" spans="1:9" ht="15.75" customHeight="1">
      <c r="A981" s="26"/>
      <c r="B981" s="2"/>
      <c r="C981" s="26"/>
      <c r="D981" s="26"/>
      <c r="F981" s="85" t="str">
        <f t="shared" si="0"/>
        <v/>
      </c>
      <c r="G981" s="1" t="e">
        <f>IF(VALUE(F981) = VALUE(RIGHT(Insights!$C$3, 4)), E981, "")</f>
        <v>#VALUE!</v>
      </c>
      <c r="H981" s="26" t="e">
        <f t="shared" si="1"/>
        <v>#VALUE!</v>
      </c>
      <c r="I981" s="1" t="e">
        <f t="shared" si="2"/>
        <v>#VALUE!</v>
      </c>
    </row>
    <row r="982" spans="1:9" ht="15.75" customHeight="1">
      <c r="A982" s="26"/>
      <c r="B982" s="2"/>
      <c r="C982" s="26"/>
      <c r="D982" s="26"/>
      <c r="F982" s="85" t="str">
        <f t="shared" si="0"/>
        <v/>
      </c>
      <c r="G982" s="1" t="e">
        <f>IF(VALUE(F982) = VALUE(RIGHT(Insights!$C$3, 4)), E982, "")</f>
        <v>#VALUE!</v>
      </c>
      <c r="H982" s="26" t="e">
        <f t="shared" si="1"/>
        <v>#VALUE!</v>
      </c>
      <c r="I982" s="1" t="e">
        <f t="shared" si="2"/>
        <v>#VALUE!</v>
      </c>
    </row>
    <row r="983" spans="1:9" ht="15.75" customHeight="1">
      <c r="A983" s="26"/>
      <c r="B983" s="2"/>
      <c r="C983" s="26"/>
      <c r="D983" s="26"/>
      <c r="F983" s="85" t="str">
        <f t="shared" si="0"/>
        <v/>
      </c>
      <c r="G983" s="1" t="e">
        <f>IF(VALUE(F983) = VALUE(RIGHT(Insights!$C$3, 4)), E983, "")</f>
        <v>#VALUE!</v>
      </c>
      <c r="H983" s="26" t="e">
        <f t="shared" si="1"/>
        <v>#VALUE!</v>
      </c>
      <c r="I983" s="1" t="e">
        <f t="shared" si="2"/>
        <v>#VALUE!</v>
      </c>
    </row>
    <row r="984" spans="1:9" ht="15.75" customHeight="1">
      <c r="A984" s="26"/>
      <c r="B984" s="2"/>
      <c r="C984" s="26"/>
      <c r="D984" s="26"/>
      <c r="F984" s="85" t="str">
        <f t="shared" si="0"/>
        <v/>
      </c>
      <c r="G984" s="1" t="e">
        <f>IF(VALUE(F984) = VALUE(RIGHT(Insights!$C$3, 4)), E984, "")</f>
        <v>#VALUE!</v>
      </c>
      <c r="H984" s="26" t="e">
        <f t="shared" si="1"/>
        <v>#VALUE!</v>
      </c>
      <c r="I984" s="1" t="e">
        <f t="shared" si="2"/>
        <v>#VALUE!</v>
      </c>
    </row>
    <row r="985" spans="1:9" ht="15.75" customHeight="1">
      <c r="A985" s="26"/>
      <c r="B985" s="2"/>
      <c r="C985" s="26"/>
      <c r="D985" s="26"/>
      <c r="F985" s="85" t="str">
        <f t="shared" si="0"/>
        <v/>
      </c>
      <c r="G985" s="1" t="e">
        <f>IF(VALUE(F985) = VALUE(RIGHT(Insights!$C$3, 4)), E985, "")</f>
        <v>#VALUE!</v>
      </c>
      <c r="H985" s="26" t="e">
        <f t="shared" si="1"/>
        <v>#VALUE!</v>
      </c>
      <c r="I985" s="1" t="e">
        <f t="shared" si="2"/>
        <v>#VALUE!</v>
      </c>
    </row>
    <row r="986" spans="1:9" ht="15.75" customHeight="1">
      <c r="A986" s="26"/>
      <c r="B986" s="2"/>
      <c r="C986" s="26"/>
      <c r="D986" s="26"/>
      <c r="F986" s="85" t="str">
        <f t="shared" si="0"/>
        <v/>
      </c>
      <c r="G986" s="1" t="e">
        <f>IF(VALUE(F986) = VALUE(RIGHT(Insights!$C$3, 4)), E986, "")</f>
        <v>#VALUE!</v>
      </c>
      <c r="H986" s="26" t="e">
        <f t="shared" si="1"/>
        <v>#VALUE!</v>
      </c>
      <c r="I986" s="1" t="e">
        <f t="shared" si="2"/>
        <v>#VALUE!</v>
      </c>
    </row>
    <row r="987" spans="1:9" ht="15.75" customHeight="1">
      <c r="A987" s="26"/>
      <c r="B987" s="2"/>
      <c r="C987" s="26"/>
      <c r="D987" s="26"/>
      <c r="F987" s="85" t="str">
        <f t="shared" si="0"/>
        <v/>
      </c>
      <c r="G987" s="1" t="e">
        <f>IF(VALUE(F987) = VALUE(RIGHT(Insights!$C$3, 4)), E987, "")</f>
        <v>#VALUE!</v>
      </c>
      <c r="H987" s="26" t="e">
        <f t="shared" si="1"/>
        <v>#VALUE!</v>
      </c>
      <c r="I987" s="1" t="e">
        <f t="shared" si="2"/>
        <v>#VALUE!</v>
      </c>
    </row>
    <row r="988" spans="1:9" ht="15.75" customHeight="1">
      <c r="A988" s="26"/>
      <c r="B988" s="2"/>
      <c r="C988" s="26"/>
      <c r="D988" s="26"/>
      <c r="F988" s="85" t="str">
        <f t="shared" si="0"/>
        <v/>
      </c>
      <c r="G988" s="1" t="e">
        <f>IF(VALUE(F988) = VALUE(RIGHT(Insights!$C$3, 4)), E988, "")</f>
        <v>#VALUE!</v>
      </c>
      <c r="H988" s="26" t="e">
        <f t="shared" si="1"/>
        <v>#VALUE!</v>
      </c>
      <c r="I988" s="1" t="e">
        <f t="shared" si="2"/>
        <v>#VALUE!</v>
      </c>
    </row>
    <row r="989" spans="1:9" ht="15.75" customHeight="1">
      <c r="A989" s="26"/>
      <c r="B989" s="2"/>
      <c r="C989" s="26"/>
      <c r="D989" s="26"/>
      <c r="F989" s="85" t="str">
        <f t="shared" si="0"/>
        <v/>
      </c>
      <c r="G989" s="1" t="e">
        <f>IF(VALUE(F989) = VALUE(RIGHT(Insights!$C$3, 4)), E989, "")</f>
        <v>#VALUE!</v>
      </c>
      <c r="H989" s="26" t="e">
        <f t="shared" si="1"/>
        <v>#VALUE!</v>
      </c>
      <c r="I989" s="1" t="e">
        <f t="shared" si="2"/>
        <v>#VALUE!</v>
      </c>
    </row>
    <row r="990" spans="1:9" ht="15.75" customHeight="1">
      <c r="A990" s="26"/>
      <c r="B990" s="2"/>
      <c r="C990" s="26"/>
      <c r="D990" s="26"/>
      <c r="F990" s="85" t="str">
        <f t="shared" si="0"/>
        <v/>
      </c>
      <c r="G990" s="1" t="e">
        <f>IF(VALUE(F990) = VALUE(RIGHT(Insights!$C$3, 4)), E990, "")</f>
        <v>#VALUE!</v>
      </c>
      <c r="H990" s="26" t="e">
        <f t="shared" si="1"/>
        <v>#VALUE!</v>
      </c>
      <c r="I990" s="1" t="e">
        <f t="shared" si="2"/>
        <v>#VALUE!</v>
      </c>
    </row>
    <row r="991" spans="1:9" ht="15.75" customHeight="1">
      <c r="A991" s="26"/>
      <c r="B991" s="2"/>
      <c r="C991" s="26"/>
      <c r="D991" s="26"/>
      <c r="F991" s="85" t="str">
        <f t="shared" si="0"/>
        <v/>
      </c>
      <c r="G991" s="1" t="e">
        <f>IF(VALUE(F991) = VALUE(RIGHT(Insights!$C$3, 4)), E991, "")</f>
        <v>#VALUE!</v>
      </c>
      <c r="H991" s="26" t="e">
        <f t="shared" si="1"/>
        <v>#VALUE!</v>
      </c>
      <c r="I991" s="1" t="e">
        <f t="shared" si="2"/>
        <v>#VALUE!</v>
      </c>
    </row>
    <row r="992" spans="1:9" ht="15.75" customHeight="1">
      <c r="A992" s="26"/>
      <c r="B992" s="2"/>
      <c r="C992" s="26"/>
      <c r="D992" s="26"/>
      <c r="F992" s="85" t="str">
        <f t="shared" si="0"/>
        <v/>
      </c>
      <c r="G992" s="1" t="e">
        <f>IF(VALUE(F992) = VALUE(RIGHT(Insights!$C$3, 4)), E992, "")</f>
        <v>#VALUE!</v>
      </c>
      <c r="H992" s="26" t="e">
        <f t="shared" si="1"/>
        <v>#VALUE!</v>
      </c>
      <c r="I992" s="1" t="e">
        <f t="shared" si="2"/>
        <v>#VALUE!</v>
      </c>
    </row>
    <row r="993" spans="1:9" ht="15.75" customHeight="1">
      <c r="A993" s="26"/>
      <c r="B993" s="2"/>
      <c r="C993" s="26"/>
      <c r="D993" s="26"/>
      <c r="F993" s="85" t="str">
        <f t="shared" si="0"/>
        <v/>
      </c>
      <c r="G993" s="1" t="e">
        <f>IF(VALUE(F993) = VALUE(RIGHT(Insights!$C$3, 4)), E993, "")</f>
        <v>#VALUE!</v>
      </c>
      <c r="H993" s="26" t="e">
        <f t="shared" si="1"/>
        <v>#VALUE!</v>
      </c>
      <c r="I993" s="1" t="e">
        <f t="shared" si="2"/>
        <v>#VALUE!</v>
      </c>
    </row>
    <row r="994" spans="1:9" ht="15.75" customHeight="1">
      <c r="A994" s="26"/>
      <c r="B994" s="2"/>
      <c r="C994" s="26"/>
      <c r="D994" s="26"/>
      <c r="F994" s="85" t="str">
        <f t="shared" si="0"/>
        <v/>
      </c>
      <c r="G994" s="1" t="e">
        <f>IF(VALUE(F994) = VALUE(RIGHT(Insights!$C$3, 4)), E994, "")</f>
        <v>#VALUE!</v>
      </c>
      <c r="H994" s="26" t="e">
        <f t="shared" si="1"/>
        <v>#VALUE!</v>
      </c>
      <c r="I994" s="1" t="e">
        <f t="shared" si="2"/>
        <v>#VALUE!</v>
      </c>
    </row>
    <row r="995" spans="1:9" ht="15.75" customHeight="1">
      <c r="A995" s="26"/>
      <c r="B995" s="2"/>
      <c r="C995" s="26"/>
      <c r="D995" s="26"/>
      <c r="F995" s="85" t="str">
        <f t="shared" si="0"/>
        <v/>
      </c>
      <c r="G995" s="1" t="e">
        <f>IF(VALUE(F995) = VALUE(RIGHT(Insights!$C$3, 4)), E995, "")</f>
        <v>#VALUE!</v>
      </c>
      <c r="H995" s="26" t="e">
        <f t="shared" si="1"/>
        <v>#VALUE!</v>
      </c>
      <c r="I995" s="1" t="e">
        <f t="shared" si="2"/>
        <v>#VALUE!</v>
      </c>
    </row>
    <row r="996" spans="1:9" ht="15.75" customHeight="1">
      <c r="A996" s="26"/>
      <c r="B996" s="2"/>
      <c r="C996" s="26"/>
      <c r="D996" s="26"/>
      <c r="F996" s="85" t="str">
        <f t="shared" si="0"/>
        <v/>
      </c>
      <c r="G996" s="1" t="e">
        <f>IF(VALUE(F996) = VALUE(RIGHT(Insights!$C$3, 4)), E996, "")</f>
        <v>#VALUE!</v>
      </c>
      <c r="H996" s="26" t="e">
        <f t="shared" si="1"/>
        <v>#VALUE!</v>
      </c>
      <c r="I996" s="1" t="e">
        <f t="shared" si="2"/>
        <v>#VALUE!</v>
      </c>
    </row>
    <row r="997" spans="1:9" ht="15.75" customHeight="1">
      <c r="A997" s="26"/>
      <c r="B997" s="2"/>
      <c r="C997" s="26"/>
      <c r="D997" s="26"/>
      <c r="F997" s="85" t="str">
        <f t="shared" si="0"/>
        <v/>
      </c>
      <c r="G997" s="1" t="e">
        <f>IF(VALUE(F997) = VALUE(RIGHT(Insights!$C$3, 4)), E997, "")</f>
        <v>#VALUE!</v>
      </c>
      <c r="H997" s="26" t="e">
        <f t="shared" si="1"/>
        <v>#VALUE!</v>
      </c>
      <c r="I997" s="1" t="e">
        <f t="shared" si="2"/>
        <v>#VALUE!</v>
      </c>
    </row>
    <row r="998" spans="1:9" ht="15.75" customHeight="1">
      <c r="A998" s="26"/>
      <c r="B998" s="2"/>
      <c r="C998" s="26"/>
      <c r="D998" s="26"/>
      <c r="F998" s="85" t="str">
        <f t="shared" si="0"/>
        <v/>
      </c>
      <c r="G998" s="1" t="e">
        <f>IF(VALUE(F998) = VALUE(RIGHT(Insights!$C$3, 4)), E998, "")</f>
        <v>#VALUE!</v>
      </c>
      <c r="H998" s="26" t="e">
        <f t="shared" si="1"/>
        <v>#VALUE!</v>
      </c>
      <c r="I998" s="1" t="e">
        <f t="shared" si="2"/>
        <v>#VALUE!</v>
      </c>
    </row>
    <row r="999" spans="1:9" ht="15.75" customHeight="1">
      <c r="A999" s="26"/>
      <c r="B999" s="2"/>
      <c r="C999" s="26"/>
      <c r="D999" s="26"/>
      <c r="F999" s="85" t="str">
        <f t="shared" si="0"/>
        <v/>
      </c>
      <c r="G999" s="1" t="e">
        <f>IF(VALUE(F999) = VALUE(RIGHT(Insights!$C$3, 4)), E999, "")</f>
        <v>#VALUE!</v>
      </c>
      <c r="H999" s="26" t="e">
        <f t="shared" si="1"/>
        <v>#VALUE!</v>
      </c>
      <c r="I999" s="1" t="e">
        <f t="shared" si="2"/>
        <v>#VALUE!</v>
      </c>
    </row>
    <row r="1000" spans="1:9" ht="15.75" customHeight="1">
      <c r="A1000" s="26"/>
      <c r="B1000" s="2"/>
      <c r="C1000" s="26"/>
      <c r="D1000" s="26"/>
      <c r="F1000" s="85" t="str">
        <f t="shared" si="0"/>
        <v/>
      </c>
      <c r="G1000" s="1" t="e">
        <f>IF(VALUE(F1000) = VALUE(RIGHT(Insights!$C$3, 4)), E1000, "")</f>
        <v>#VALUE!</v>
      </c>
      <c r="H1000" s="26" t="e">
        <f t="shared" si="1"/>
        <v>#VALUE!</v>
      </c>
      <c r="I1000" s="1" t="e">
        <f t="shared" si="2"/>
        <v>#VALUE!</v>
      </c>
    </row>
    <row r="1001" spans="1:9" ht="15.75" customHeight="1">
      <c r="A1001" s="26"/>
      <c r="B1001" s="2"/>
      <c r="C1001" s="26"/>
      <c r="D1001" s="26"/>
      <c r="F1001" s="85" t="str">
        <f t="shared" si="0"/>
        <v/>
      </c>
      <c r="G1001" s="1" t="e">
        <f>IF(VALUE(F1001) = VALUE(RIGHT(Insights!$C$3, 4)), E1001, "")</f>
        <v>#VALUE!</v>
      </c>
      <c r="H1001" s="26" t="e">
        <f t="shared" si="1"/>
        <v>#VALUE!</v>
      </c>
      <c r="I1001" s="1" t="e">
        <f t="shared" si="2"/>
        <v>#VALUE!</v>
      </c>
    </row>
    <row r="1002" spans="1:9" ht="15.75" customHeight="1">
      <c r="A1002" s="26"/>
      <c r="B1002" s="2"/>
      <c r="C1002" s="26"/>
      <c r="D1002" s="26"/>
      <c r="F1002" s="85" t="str">
        <f t="shared" si="0"/>
        <v/>
      </c>
      <c r="G1002" s="1" t="e">
        <f>IF(VALUE(F1002) = VALUE(RIGHT(Insights!$C$3, 4)), E1002, "")</f>
        <v>#VALUE!</v>
      </c>
      <c r="H1002" s="26" t="e">
        <f t="shared" si="1"/>
        <v>#VALUE!</v>
      </c>
      <c r="I1002" s="1" t="e">
        <f t="shared" si="2"/>
        <v>#VALUE!</v>
      </c>
    </row>
    <row r="1003" spans="1:9" ht="15.75" customHeight="1">
      <c r="A1003" s="26"/>
      <c r="B1003" s="2"/>
      <c r="C1003" s="26"/>
      <c r="D1003" s="26"/>
      <c r="F1003" s="85" t="str">
        <f t="shared" si="0"/>
        <v/>
      </c>
      <c r="G1003" s="1" t="e">
        <f>IF(VALUE(F1003) = VALUE(RIGHT(Insights!$C$3, 4)), E1003, "")</f>
        <v>#VALUE!</v>
      </c>
      <c r="H1003" s="26" t="e">
        <f t="shared" si="1"/>
        <v>#VALUE!</v>
      </c>
      <c r="I1003" s="1" t="e">
        <f t="shared" si="2"/>
        <v>#VALUE!</v>
      </c>
    </row>
    <row r="1004" spans="1:9" ht="15.75" customHeight="1">
      <c r="A1004" s="26"/>
      <c r="B1004" s="2"/>
      <c r="C1004" s="26"/>
      <c r="D1004" s="26"/>
      <c r="F1004" s="85" t="str">
        <f t="shared" si="0"/>
        <v/>
      </c>
      <c r="G1004" s="1" t="e">
        <f>IF(VALUE(F1004) = VALUE(RIGHT(Insights!$C$3, 4)), E1004, "")</f>
        <v>#VALUE!</v>
      </c>
      <c r="H1004" s="26" t="e">
        <f t="shared" si="1"/>
        <v>#VALUE!</v>
      </c>
      <c r="I1004" s="1" t="e">
        <f t="shared" si="2"/>
        <v>#VALUE!</v>
      </c>
    </row>
    <row r="1005" spans="1:9" ht="15.75" customHeight="1">
      <c r="A1005" s="26"/>
      <c r="B1005" s="2"/>
      <c r="C1005" s="26"/>
      <c r="D1005" s="26"/>
      <c r="F1005" s="85" t="str">
        <f t="shared" si="0"/>
        <v/>
      </c>
      <c r="G1005" s="1" t="e">
        <f>IF(VALUE(F1005) = VALUE(RIGHT(Insights!$C$3, 4)), E1005, "")</f>
        <v>#VALUE!</v>
      </c>
      <c r="H1005" s="26" t="e">
        <f t="shared" si="1"/>
        <v>#VALUE!</v>
      </c>
      <c r="I1005" s="1" t="e">
        <f t="shared" si="2"/>
        <v>#VALUE!</v>
      </c>
    </row>
    <row r="1006" spans="1:9" ht="15.75" customHeight="1">
      <c r="A1006" s="26"/>
      <c r="B1006" s="2"/>
      <c r="C1006" s="26"/>
      <c r="D1006" s="26"/>
      <c r="F1006" s="85" t="str">
        <f t="shared" si="0"/>
        <v/>
      </c>
      <c r="G1006" s="1" t="e">
        <f>IF(VALUE(F1006) = VALUE(RIGHT(Insights!$C$3, 4)), E1006, "")</f>
        <v>#VALUE!</v>
      </c>
      <c r="H1006" s="26" t="e">
        <f t="shared" si="1"/>
        <v>#VALUE!</v>
      </c>
      <c r="I1006" s="1" t="e">
        <f t="shared" si="2"/>
        <v>#VALUE!</v>
      </c>
    </row>
    <row r="1007" spans="1:9" ht="15.75" customHeight="1">
      <c r="A1007" s="26"/>
      <c r="B1007" s="2"/>
      <c r="C1007" s="26"/>
      <c r="D1007" s="26"/>
      <c r="F1007" s="85" t="str">
        <f t="shared" si="0"/>
        <v/>
      </c>
      <c r="G1007" s="1" t="e">
        <f>IF(VALUE(F1007) = VALUE(RIGHT(Insights!$C$3, 4)), E1007, "")</f>
        <v>#VALUE!</v>
      </c>
      <c r="H1007" s="26" t="e">
        <f t="shared" si="1"/>
        <v>#VALUE!</v>
      </c>
      <c r="I1007" s="1" t="e">
        <f t="shared" si="2"/>
        <v>#VALUE!</v>
      </c>
    </row>
    <row r="1008" spans="1:9" ht="15.75" customHeight="1">
      <c r="A1008" s="26"/>
      <c r="B1008" s="2"/>
      <c r="C1008" s="26"/>
      <c r="D1008" s="26"/>
      <c r="F1008" s="85" t="str">
        <f t="shared" si="0"/>
        <v/>
      </c>
      <c r="G1008" s="1" t="e">
        <f>IF(VALUE(F1008) = VALUE(RIGHT(Insights!$C$3, 4)), E1008, "")</f>
        <v>#VALUE!</v>
      </c>
      <c r="H1008" s="26" t="e">
        <f t="shared" si="1"/>
        <v>#VALUE!</v>
      </c>
      <c r="I1008" s="1" t="e">
        <f t="shared" si="2"/>
        <v>#VALUE!</v>
      </c>
    </row>
    <row r="1009" spans="1:9" ht="15.75" customHeight="1">
      <c r="A1009" s="26"/>
      <c r="B1009" s="2"/>
      <c r="C1009" s="26"/>
      <c r="D1009" s="26"/>
      <c r="F1009" s="85" t="str">
        <f t="shared" si="0"/>
        <v/>
      </c>
      <c r="G1009" s="1" t="e">
        <f>IF(VALUE(F1009) = VALUE(RIGHT(Insights!$C$3, 4)), E1009, "")</f>
        <v>#VALUE!</v>
      </c>
      <c r="H1009" s="26" t="e">
        <f t="shared" si="1"/>
        <v>#VALUE!</v>
      </c>
      <c r="I1009" s="1" t="e">
        <f t="shared" si="2"/>
        <v>#VALUE!</v>
      </c>
    </row>
    <row r="1010" spans="1:9" ht="15.75" customHeight="1">
      <c r="A1010" s="26"/>
      <c r="B1010" s="2"/>
      <c r="C1010" s="26"/>
      <c r="D1010" s="26"/>
      <c r="F1010" s="85" t="str">
        <f t="shared" si="0"/>
        <v/>
      </c>
      <c r="G1010" s="1" t="e">
        <f>IF(VALUE(F1010) = VALUE(RIGHT(Insights!$C$3, 4)), E1010, "")</f>
        <v>#VALUE!</v>
      </c>
      <c r="H1010" s="26" t="e">
        <f t="shared" si="1"/>
        <v>#VALUE!</v>
      </c>
      <c r="I1010" s="1" t="e">
        <f t="shared" si="2"/>
        <v>#VALUE!</v>
      </c>
    </row>
    <row r="1011" spans="1:9" ht="15.75" customHeight="1">
      <c r="A1011" s="26"/>
      <c r="B1011" s="2"/>
      <c r="C1011" s="26"/>
      <c r="D1011" s="26"/>
      <c r="F1011" s="85" t="str">
        <f t="shared" si="0"/>
        <v/>
      </c>
      <c r="G1011" s="1" t="e">
        <f>IF(VALUE(F1011) = VALUE(RIGHT(Insights!$C$3, 4)), E1011, "")</f>
        <v>#VALUE!</v>
      </c>
      <c r="H1011" s="26" t="e">
        <f t="shared" si="1"/>
        <v>#VALUE!</v>
      </c>
      <c r="I1011" s="1" t="e">
        <f t="shared" si="2"/>
        <v>#VALUE!</v>
      </c>
    </row>
    <row r="1012" spans="1:9" ht="15.75" customHeight="1">
      <c r="A1012" s="26"/>
      <c r="B1012" s="2"/>
      <c r="C1012" s="26"/>
      <c r="D1012" s="26"/>
      <c r="F1012" s="85" t="str">
        <f t="shared" si="0"/>
        <v/>
      </c>
      <c r="G1012" s="1" t="e">
        <f>IF(VALUE(F1012) = VALUE(RIGHT(Insights!$C$3, 4)), E1012, "")</f>
        <v>#VALUE!</v>
      </c>
      <c r="H1012" s="26" t="e">
        <f t="shared" si="1"/>
        <v>#VALUE!</v>
      </c>
      <c r="I1012" s="1" t="e">
        <f t="shared" si="2"/>
        <v>#VALUE!</v>
      </c>
    </row>
    <row r="1013" spans="1:9" ht="15.75" customHeight="1">
      <c r="A1013" s="26"/>
      <c r="B1013" s="2"/>
      <c r="C1013" s="26"/>
      <c r="D1013" s="26"/>
      <c r="F1013" s="85" t="str">
        <f t="shared" si="0"/>
        <v/>
      </c>
      <c r="G1013" s="1" t="e">
        <f>IF(VALUE(F1013) = VALUE(RIGHT(Insights!$C$3, 4)), E1013, "")</f>
        <v>#VALUE!</v>
      </c>
      <c r="H1013" s="26" t="e">
        <f t="shared" si="1"/>
        <v>#VALUE!</v>
      </c>
      <c r="I1013" s="1" t="e">
        <f t="shared" si="2"/>
        <v>#VALUE!</v>
      </c>
    </row>
    <row r="1014" spans="1:9" ht="15.75" customHeight="1">
      <c r="A1014" s="26"/>
      <c r="B1014" s="2"/>
      <c r="C1014" s="26"/>
      <c r="D1014" s="26"/>
      <c r="F1014" s="85" t="str">
        <f t="shared" si="0"/>
        <v/>
      </c>
      <c r="G1014" s="1" t="e">
        <f>IF(VALUE(F1014) = VALUE(RIGHT(Insights!$C$3, 4)), E1014, "")</f>
        <v>#VALUE!</v>
      </c>
      <c r="H1014" s="26" t="e">
        <f t="shared" si="1"/>
        <v>#VALUE!</v>
      </c>
      <c r="I1014" s="1" t="e">
        <f t="shared" si="2"/>
        <v>#VALUE!</v>
      </c>
    </row>
    <row r="1015" spans="1:9" ht="15.75" customHeight="1">
      <c r="A1015" s="26"/>
      <c r="B1015" s="2"/>
      <c r="C1015" s="26"/>
      <c r="D1015" s="26"/>
      <c r="F1015" s="85" t="str">
        <f t="shared" si="0"/>
        <v/>
      </c>
      <c r="G1015" s="1" t="e">
        <f>IF(VALUE(F1015) = VALUE(RIGHT(Insights!$C$3, 4)), E1015, "")</f>
        <v>#VALUE!</v>
      </c>
      <c r="H1015" s="26" t="e">
        <f t="shared" si="1"/>
        <v>#VALUE!</v>
      </c>
      <c r="I1015" s="1" t="e">
        <f t="shared" si="2"/>
        <v>#VALUE!</v>
      </c>
    </row>
    <row r="1016" spans="1:9" ht="15.75" customHeight="1">
      <c r="A1016" s="26"/>
      <c r="B1016" s="2"/>
      <c r="C1016" s="26"/>
      <c r="D1016" s="26"/>
      <c r="F1016" s="85" t="str">
        <f t="shared" si="0"/>
        <v/>
      </c>
      <c r="G1016" s="1" t="e">
        <f>IF(VALUE(F1016) = VALUE(RIGHT(Insights!$C$3, 4)), E1016, "")</f>
        <v>#VALUE!</v>
      </c>
      <c r="H1016" s="26" t="e">
        <f t="shared" si="1"/>
        <v>#VALUE!</v>
      </c>
      <c r="I1016" s="1" t="e">
        <f t="shared" si="2"/>
        <v>#VALUE!</v>
      </c>
    </row>
    <row r="1017" spans="1:9" ht="15.75" customHeight="1">
      <c r="A1017" s="26"/>
      <c r="B1017" s="2"/>
      <c r="C1017" s="26"/>
      <c r="D1017" s="26"/>
      <c r="F1017" s="85" t="str">
        <f t="shared" si="0"/>
        <v/>
      </c>
      <c r="G1017" s="1" t="e">
        <f>IF(VALUE(F1017) = VALUE(RIGHT(Insights!$C$3, 4)), E1017, "")</f>
        <v>#VALUE!</v>
      </c>
      <c r="H1017" s="26" t="e">
        <f t="shared" si="1"/>
        <v>#VALUE!</v>
      </c>
      <c r="I1017" s="1" t="e">
        <f t="shared" si="2"/>
        <v>#VALUE!</v>
      </c>
    </row>
    <row r="1018" spans="1:9" ht="15.75" customHeight="1">
      <c r="A1018" s="26"/>
      <c r="B1018" s="2"/>
      <c r="C1018" s="26"/>
      <c r="D1018" s="26"/>
      <c r="F1018" s="85" t="str">
        <f t="shared" si="0"/>
        <v/>
      </c>
      <c r="G1018" s="1" t="e">
        <f>IF(VALUE(F1018) = VALUE(RIGHT(Insights!$C$3, 4)), E1018, "")</f>
        <v>#VALUE!</v>
      </c>
      <c r="H1018" s="26" t="e">
        <f t="shared" si="1"/>
        <v>#VALUE!</v>
      </c>
      <c r="I1018" s="1" t="e">
        <f t="shared" si="2"/>
        <v>#VALUE!</v>
      </c>
    </row>
    <row r="1019" spans="1:9" ht="15.75" customHeight="1">
      <c r="A1019" s="26"/>
      <c r="B1019" s="2"/>
      <c r="C1019" s="26"/>
      <c r="D1019" s="26"/>
      <c r="F1019" s="85" t="str">
        <f t="shared" si="0"/>
        <v/>
      </c>
      <c r="G1019" s="1" t="e">
        <f>IF(VALUE(F1019) = VALUE(RIGHT(Insights!$C$3, 4)), E1019, "")</f>
        <v>#VALUE!</v>
      </c>
      <c r="H1019" s="26" t="e">
        <f t="shared" si="1"/>
        <v>#VALUE!</v>
      </c>
      <c r="I1019" s="1" t="e">
        <f t="shared" si="2"/>
        <v>#VALUE!</v>
      </c>
    </row>
    <row r="1020" spans="1:9" ht="15.75" customHeight="1">
      <c r="A1020" s="26"/>
      <c r="B1020" s="2"/>
      <c r="C1020" s="26"/>
      <c r="D1020" s="26"/>
      <c r="F1020" s="85" t="str">
        <f t="shared" si="0"/>
        <v/>
      </c>
      <c r="G1020" s="1" t="e">
        <f>IF(VALUE(F1020) = VALUE(RIGHT(Insights!$C$3, 4)), E1020, "")</f>
        <v>#VALUE!</v>
      </c>
      <c r="H1020" s="26" t="e">
        <f t="shared" si="1"/>
        <v>#VALUE!</v>
      </c>
      <c r="I1020" s="1" t="e">
        <f t="shared" si="2"/>
        <v>#VALUE!</v>
      </c>
    </row>
    <row r="1021" spans="1:9" ht="15.75" customHeight="1">
      <c r="A1021" s="26"/>
      <c r="B1021" s="2"/>
      <c r="C1021" s="26"/>
      <c r="D1021" s="26"/>
      <c r="F1021" s="85" t="str">
        <f t="shared" si="0"/>
        <v/>
      </c>
      <c r="G1021" s="1" t="e">
        <f>IF(VALUE(F1021) = VALUE(RIGHT(Insights!$C$3, 4)), E1021, "")</f>
        <v>#VALUE!</v>
      </c>
      <c r="H1021" s="26" t="e">
        <f t="shared" si="1"/>
        <v>#VALUE!</v>
      </c>
      <c r="I1021" s="1" t="e">
        <f t="shared" si="2"/>
        <v>#VALUE!</v>
      </c>
    </row>
    <row r="1022" spans="1:9" ht="15.75" customHeight="1">
      <c r="A1022" s="26"/>
      <c r="B1022" s="2"/>
      <c r="C1022" s="26"/>
      <c r="D1022" s="26"/>
      <c r="F1022" s="85" t="str">
        <f t="shared" si="0"/>
        <v/>
      </c>
      <c r="G1022" s="1" t="e">
        <f>IF(VALUE(F1022) = VALUE(RIGHT(Insights!$C$3, 4)), E1022, "")</f>
        <v>#VALUE!</v>
      </c>
      <c r="H1022" s="26" t="e">
        <f t="shared" si="1"/>
        <v>#VALUE!</v>
      </c>
      <c r="I1022" s="1" t="e">
        <f t="shared" si="2"/>
        <v>#VALUE!</v>
      </c>
    </row>
    <row r="1023" spans="1:9" ht="15.75" customHeight="1">
      <c r="A1023" s="26"/>
      <c r="B1023" s="2"/>
      <c r="C1023" s="26"/>
      <c r="D1023" s="26"/>
      <c r="F1023" s="85" t="str">
        <f t="shared" si="0"/>
        <v/>
      </c>
      <c r="G1023" s="1" t="e">
        <f>IF(VALUE(F1023) = VALUE(RIGHT(Insights!$C$3, 4)), E1023, "")</f>
        <v>#VALUE!</v>
      </c>
      <c r="H1023" s="26" t="e">
        <f t="shared" si="1"/>
        <v>#VALUE!</v>
      </c>
      <c r="I1023" s="1" t="e">
        <f t="shared" si="2"/>
        <v>#VALUE!</v>
      </c>
    </row>
    <row r="1024" spans="1:9" ht="15.75" customHeight="1">
      <c r="A1024" s="26"/>
      <c r="B1024" s="2"/>
      <c r="C1024" s="26"/>
      <c r="D1024" s="26"/>
      <c r="F1024" s="85" t="str">
        <f t="shared" si="0"/>
        <v/>
      </c>
      <c r="G1024" s="1" t="e">
        <f>IF(VALUE(F1024) = VALUE(RIGHT(Insights!$C$3, 4)), E1024, "")</f>
        <v>#VALUE!</v>
      </c>
      <c r="H1024" s="26" t="e">
        <f t="shared" si="1"/>
        <v>#VALUE!</v>
      </c>
      <c r="I1024" s="1" t="e">
        <f t="shared" si="2"/>
        <v>#VALUE!</v>
      </c>
    </row>
    <row r="1025" spans="1:9" ht="15.75" customHeight="1">
      <c r="A1025" s="26"/>
      <c r="B1025" s="2"/>
      <c r="C1025" s="26"/>
      <c r="D1025" s="26"/>
      <c r="F1025" s="85" t="str">
        <f t="shared" si="0"/>
        <v/>
      </c>
      <c r="G1025" s="1" t="e">
        <f>IF(VALUE(F1025) = VALUE(RIGHT(Insights!$C$3, 4)), E1025, "")</f>
        <v>#VALUE!</v>
      </c>
      <c r="H1025" s="26" t="e">
        <f t="shared" si="1"/>
        <v>#VALUE!</v>
      </c>
      <c r="I1025" s="1" t="e">
        <f t="shared" si="2"/>
        <v>#VALUE!</v>
      </c>
    </row>
    <row r="1026" spans="1:9" ht="15.75" customHeight="1">
      <c r="A1026" s="26"/>
      <c r="B1026" s="2"/>
      <c r="C1026" s="26"/>
      <c r="D1026" s="26"/>
      <c r="F1026" s="85" t="str">
        <f t="shared" si="0"/>
        <v/>
      </c>
      <c r="G1026" s="1" t="e">
        <f>IF(VALUE(F1026) = VALUE(RIGHT(Insights!$C$3, 4)), E1026, "")</f>
        <v>#VALUE!</v>
      </c>
      <c r="H1026" s="26" t="e">
        <f t="shared" si="1"/>
        <v>#VALUE!</v>
      </c>
      <c r="I1026" s="1" t="e">
        <f t="shared" si="2"/>
        <v>#VALUE!</v>
      </c>
    </row>
    <row r="1027" spans="1:9" ht="15.75" customHeight="1">
      <c r="A1027" s="26"/>
      <c r="B1027" s="2"/>
      <c r="C1027" s="26"/>
      <c r="D1027" s="26"/>
      <c r="F1027" s="85" t="str">
        <f t="shared" si="0"/>
        <v/>
      </c>
      <c r="G1027" s="1" t="e">
        <f>IF(VALUE(F1027) = VALUE(RIGHT(Insights!$C$3, 4)), E1027, "")</f>
        <v>#VALUE!</v>
      </c>
      <c r="H1027" s="26" t="e">
        <f t="shared" si="1"/>
        <v>#VALUE!</v>
      </c>
      <c r="I1027" s="1" t="e">
        <f t="shared" si="2"/>
        <v>#VALUE!</v>
      </c>
    </row>
    <row r="1028" spans="1:9" ht="15.75" customHeight="1">
      <c r="A1028" s="26"/>
      <c r="B1028" s="2"/>
      <c r="C1028" s="26"/>
      <c r="D1028" s="26"/>
      <c r="F1028" s="85" t="str">
        <f t="shared" si="0"/>
        <v/>
      </c>
      <c r="G1028" s="1" t="e">
        <f>IF(VALUE(F1028) = VALUE(RIGHT(Insights!$C$3, 4)), E1028, "")</f>
        <v>#VALUE!</v>
      </c>
      <c r="H1028" s="26" t="e">
        <f t="shared" si="1"/>
        <v>#VALUE!</v>
      </c>
      <c r="I1028" s="1" t="e">
        <f t="shared" si="2"/>
        <v>#VALUE!</v>
      </c>
    </row>
    <row r="1029" spans="1:9" ht="15.75" customHeight="1">
      <c r="A1029" s="26"/>
      <c r="B1029" s="2"/>
      <c r="C1029" s="26"/>
      <c r="D1029" s="26"/>
      <c r="F1029" s="85" t="str">
        <f t="shared" si="0"/>
        <v/>
      </c>
      <c r="G1029" s="1" t="e">
        <f>IF(VALUE(F1029) = VALUE(RIGHT(Insights!$C$3, 4)), E1029, "")</f>
        <v>#VALUE!</v>
      </c>
      <c r="H1029" s="26" t="e">
        <f t="shared" si="1"/>
        <v>#VALUE!</v>
      </c>
      <c r="I1029" s="1" t="e">
        <f t="shared" si="2"/>
        <v>#VALUE!</v>
      </c>
    </row>
    <row r="1030" spans="1:9" ht="15.75" customHeight="1">
      <c r="A1030" s="26"/>
      <c r="B1030" s="2"/>
      <c r="C1030" s="26"/>
      <c r="D1030" s="26"/>
      <c r="F1030" s="85" t="str">
        <f t="shared" si="0"/>
        <v/>
      </c>
      <c r="G1030" s="1" t="e">
        <f>IF(VALUE(F1030) = VALUE(RIGHT(Insights!$C$3, 4)), E1030, "")</f>
        <v>#VALUE!</v>
      </c>
      <c r="H1030" s="26" t="e">
        <f t="shared" si="1"/>
        <v>#VALUE!</v>
      </c>
      <c r="I1030" s="1" t="e">
        <f t="shared" si="2"/>
        <v>#VALUE!</v>
      </c>
    </row>
    <row r="1031" spans="1:9" ht="15.75" customHeight="1">
      <c r="A1031" s="26"/>
      <c r="B1031" s="2"/>
      <c r="C1031" s="26"/>
      <c r="D1031" s="26"/>
      <c r="F1031" s="85" t="str">
        <f t="shared" si="0"/>
        <v/>
      </c>
      <c r="G1031" s="1" t="e">
        <f>IF(VALUE(F1031) = VALUE(RIGHT(Insights!$C$3, 4)), E1031, "")</f>
        <v>#VALUE!</v>
      </c>
      <c r="H1031" s="26" t="e">
        <f t="shared" si="1"/>
        <v>#VALUE!</v>
      </c>
      <c r="I1031" s="1" t="e">
        <f t="shared" si="2"/>
        <v>#VALUE!</v>
      </c>
    </row>
    <row r="1032" spans="1:9" ht="15.75" customHeight="1">
      <c r="A1032" s="26"/>
      <c r="B1032" s="2"/>
      <c r="C1032" s="26"/>
      <c r="D1032" s="26"/>
      <c r="F1032" s="85" t="str">
        <f t="shared" si="0"/>
        <v/>
      </c>
      <c r="G1032" s="1" t="e">
        <f>IF(VALUE(F1032) = VALUE(RIGHT(Insights!$C$3, 4)), E1032, "")</f>
        <v>#VALUE!</v>
      </c>
      <c r="H1032" s="26" t="e">
        <f t="shared" si="1"/>
        <v>#VALUE!</v>
      </c>
      <c r="I1032" s="1" t="e">
        <f t="shared" si="2"/>
        <v>#VALUE!</v>
      </c>
    </row>
    <row r="1033" spans="1:9" ht="15.75" customHeight="1">
      <c r="A1033" s="26"/>
      <c r="B1033" s="2"/>
      <c r="C1033" s="26"/>
      <c r="D1033" s="26"/>
      <c r="F1033" s="85" t="str">
        <f t="shared" si="0"/>
        <v/>
      </c>
      <c r="G1033" s="1" t="e">
        <f>IF(VALUE(F1033) = VALUE(RIGHT(Insights!$C$3, 4)), E1033, "")</f>
        <v>#VALUE!</v>
      </c>
      <c r="H1033" s="26" t="e">
        <f t="shared" si="1"/>
        <v>#VALUE!</v>
      </c>
      <c r="I1033" s="1" t="e">
        <f t="shared" si="2"/>
        <v>#VALUE!</v>
      </c>
    </row>
    <row r="1034" spans="1:9" ht="15.75" customHeight="1">
      <c r="A1034" s="26"/>
      <c r="B1034" s="2"/>
      <c r="C1034" s="26"/>
      <c r="D1034" s="26"/>
      <c r="F1034" s="85" t="str">
        <f t="shared" si="0"/>
        <v/>
      </c>
      <c r="G1034" s="1" t="e">
        <f>IF(VALUE(F1034) = VALUE(RIGHT(Insights!$C$3, 4)), E1034, "")</f>
        <v>#VALUE!</v>
      </c>
      <c r="H1034" s="26" t="e">
        <f t="shared" si="1"/>
        <v>#VALUE!</v>
      </c>
      <c r="I1034" s="1" t="e">
        <f t="shared" si="2"/>
        <v>#VALUE!</v>
      </c>
    </row>
    <row r="1035" spans="1:9" ht="15.75" customHeight="1">
      <c r="A1035" s="26"/>
      <c r="B1035" s="2"/>
      <c r="C1035" s="26"/>
      <c r="D1035" s="26"/>
      <c r="F1035" s="85" t="str">
        <f t="shared" si="0"/>
        <v/>
      </c>
      <c r="G1035" s="1" t="e">
        <f>IF(VALUE(F1035) = VALUE(RIGHT(Insights!$C$3, 4)), E1035, "")</f>
        <v>#VALUE!</v>
      </c>
      <c r="H1035" s="26" t="e">
        <f t="shared" si="1"/>
        <v>#VALUE!</v>
      </c>
      <c r="I1035" s="1" t="e">
        <f t="shared" si="2"/>
        <v>#VALUE!</v>
      </c>
    </row>
    <row r="1036" spans="1:9" ht="15.75" customHeight="1">
      <c r="A1036" s="26"/>
      <c r="B1036" s="2"/>
      <c r="C1036" s="26"/>
      <c r="D1036" s="26"/>
      <c r="F1036" s="85" t="str">
        <f t="shared" si="0"/>
        <v/>
      </c>
      <c r="G1036" s="1" t="e">
        <f>IF(VALUE(F1036) = VALUE(RIGHT(Insights!$C$3, 4)), E1036, "")</f>
        <v>#VALUE!</v>
      </c>
      <c r="H1036" s="26" t="e">
        <f t="shared" si="1"/>
        <v>#VALUE!</v>
      </c>
      <c r="I1036" s="1" t="e">
        <f t="shared" si="2"/>
        <v>#VALUE!</v>
      </c>
    </row>
    <row r="1037" spans="1:9" ht="15.75" customHeight="1">
      <c r="A1037" s="26"/>
      <c r="B1037" s="2"/>
      <c r="C1037" s="26"/>
      <c r="D1037" s="26"/>
      <c r="F1037" s="85" t="str">
        <f t="shared" si="0"/>
        <v/>
      </c>
      <c r="G1037" s="1" t="e">
        <f>IF(VALUE(F1037) = VALUE(RIGHT(Insights!$C$3, 4)), E1037, "")</f>
        <v>#VALUE!</v>
      </c>
      <c r="H1037" s="26" t="e">
        <f t="shared" si="1"/>
        <v>#VALUE!</v>
      </c>
      <c r="I1037" s="1" t="e">
        <f t="shared" si="2"/>
        <v>#VALUE!</v>
      </c>
    </row>
    <row r="1038" spans="1:9" ht="15.75" customHeight="1">
      <c r="A1038" s="26"/>
      <c r="B1038" s="2"/>
      <c r="C1038" s="26"/>
      <c r="D1038" s="26"/>
      <c r="F1038" s="85" t="str">
        <f t="shared" si="0"/>
        <v/>
      </c>
      <c r="G1038" s="1" t="e">
        <f>IF(VALUE(F1038) = VALUE(RIGHT(Insights!$C$3, 4)), E1038, "")</f>
        <v>#VALUE!</v>
      </c>
      <c r="H1038" s="26" t="e">
        <f t="shared" si="1"/>
        <v>#VALUE!</v>
      </c>
      <c r="I1038" s="1" t="e">
        <f t="shared" si="2"/>
        <v>#VALUE!</v>
      </c>
    </row>
    <row r="1039" spans="1:9" ht="15.75" customHeight="1">
      <c r="A1039" s="26"/>
      <c r="B1039" s="2"/>
      <c r="C1039" s="26"/>
      <c r="D1039" s="26"/>
      <c r="F1039" s="85" t="str">
        <f t="shared" si="0"/>
        <v/>
      </c>
      <c r="G1039" s="1" t="e">
        <f>IF(VALUE(F1039) = VALUE(RIGHT(Insights!$C$3, 4)), E1039, "")</f>
        <v>#VALUE!</v>
      </c>
      <c r="H1039" s="26" t="e">
        <f t="shared" si="1"/>
        <v>#VALUE!</v>
      </c>
      <c r="I1039" s="1" t="e">
        <f t="shared" si="2"/>
        <v>#VALUE!</v>
      </c>
    </row>
    <row r="1040" spans="1:9" ht="15.75" customHeight="1">
      <c r="A1040" s="26"/>
      <c r="B1040" s="2"/>
      <c r="C1040" s="26"/>
      <c r="D1040" s="26"/>
      <c r="F1040" s="85" t="str">
        <f t="shared" si="0"/>
        <v/>
      </c>
      <c r="G1040" s="1" t="e">
        <f>IF(VALUE(F1040) = VALUE(RIGHT(Insights!$C$3, 4)), E1040, "")</f>
        <v>#VALUE!</v>
      </c>
      <c r="H1040" s="26" t="e">
        <f t="shared" si="1"/>
        <v>#VALUE!</v>
      </c>
      <c r="I1040" s="1" t="e">
        <f t="shared" si="2"/>
        <v>#VALUE!</v>
      </c>
    </row>
    <row r="1041" spans="1:9" ht="15.75" customHeight="1">
      <c r="A1041" s="26"/>
      <c r="B1041" s="2"/>
      <c r="C1041" s="26"/>
      <c r="D1041" s="26"/>
      <c r="F1041" s="85" t="str">
        <f t="shared" si="0"/>
        <v/>
      </c>
      <c r="G1041" s="1" t="e">
        <f>IF(VALUE(F1041) = VALUE(RIGHT(Insights!$C$3, 4)), E1041, "")</f>
        <v>#VALUE!</v>
      </c>
      <c r="H1041" s="26" t="e">
        <f t="shared" si="1"/>
        <v>#VALUE!</v>
      </c>
      <c r="I1041" s="1" t="e">
        <f t="shared" si="2"/>
        <v>#VALUE!</v>
      </c>
    </row>
    <row r="1042" spans="1:9" ht="15.75" customHeight="1">
      <c r="A1042" s="26"/>
      <c r="B1042" s="2"/>
      <c r="C1042" s="26"/>
      <c r="D1042" s="26"/>
      <c r="F1042" s="85" t="str">
        <f t="shared" si="0"/>
        <v/>
      </c>
      <c r="G1042" s="1" t="e">
        <f>IF(VALUE(F1042) = VALUE(RIGHT(Insights!$C$3, 4)), E1042, "")</f>
        <v>#VALUE!</v>
      </c>
      <c r="H1042" s="26" t="e">
        <f t="shared" si="1"/>
        <v>#VALUE!</v>
      </c>
      <c r="I1042" s="1" t="e">
        <f t="shared" si="2"/>
        <v>#VALUE!</v>
      </c>
    </row>
    <row r="1043" spans="1:9" ht="15.75" customHeight="1">
      <c r="A1043" s="26"/>
      <c r="B1043" s="2"/>
      <c r="C1043" s="26"/>
      <c r="D1043" s="26"/>
      <c r="F1043" s="85" t="str">
        <f t="shared" si="0"/>
        <v/>
      </c>
      <c r="G1043" s="1" t="e">
        <f>IF(VALUE(F1043) = VALUE(RIGHT(Insights!$C$3, 4)), E1043, "")</f>
        <v>#VALUE!</v>
      </c>
      <c r="H1043" s="26" t="e">
        <f t="shared" si="1"/>
        <v>#VALUE!</v>
      </c>
      <c r="I1043" s="1" t="e">
        <f t="shared" si="2"/>
        <v>#VALUE!</v>
      </c>
    </row>
    <row r="1044" spans="1:9" ht="15.75" customHeight="1">
      <c r="A1044" s="26"/>
      <c r="B1044" s="2"/>
      <c r="C1044" s="26"/>
      <c r="D1044" s="26"/>
      <c r="F1044" s="85" t="str">
        <f t="shared" si="0"/>
        <v/>
      </c>
      <c r="G1044" s="1" t="e">
        <f>IF(VALUE(F1044) = VALUE(RIGHT(Insights!$C$3, 4)), E1044, "")</f>
        <v>#VALUE!</v>
      </c>
      <c r="H1044" s="26" t="e">
        <f t="shared" si="1"/>
        <v>#VALUE!</v>
      </c>
      <c r="I1044" s="1" t="e">
        <f t="shared" si="2"/>
        <v>#VALUE!</v>
      </c>
    </row>
    <row r="1045" spans="1:9" ht="15.75" customHeight="1">
      <c r="A1045" s="26"/>
      <c r="B1045" s="2"/>
      <c r="C1045" s="26"/>
      <c r="D1045" s="26"/>
      <c r="F1045" s="85" t="str">
        <f t="shared" si="0"/>
        <v/>
      </c>
      <c r="G1045" s="1" t="e">
        <f>IF(VALUE(F1045) = VALUE(RIGHT(Insights!$C$3, 4)), E1045, "")</f>
        <v>#VALUE!</v>
      </c>
      <c r="H1045" s="26" t="e">
        <f t="shared" si="1"/>
        <v>#VALUE!</v>
      </c>
      <c r="I1045" s="1" t="e">
        <f t="shared" si="2"/>
        <v>#VALUE!</v>
      </c>
    </row>
    <row r="1046" spans="1:9" ht="15.75" customHeight="1">
      <c r="A1046" s="26"/>
      <c r="B1046" s="2"/>
      <c r="C1046" s="26"/>
      <c r="D1046" s="26"/>
      <c r="F1046" s="85" t="str">
        <f t="shared" si="0"/>
        <v/>
      </c>
      <c r="G1046" s="1" t="e">
        <f>IF(VALUE(F1046) = VALUE(RIGHT(Insights!$C$3, 4)), E1046, "")</f>
        <v>#VALUE!</v>
      </c>
      <c r="H1046" s="26" t="e">
        <f t="shared" si="1"/>
        <v>#VALUE!</v>
      </c>
      <c r="I1046" s="1" t="e">
        <f t="shared" si="2"/>
        <v>#VALUE!</v>
      </c>
    </row>
    <row r="1047" spans="1:9" ht="15.75" customHeight="1">
      <c r="A1047" s="26"/>
      <c r="B1047" s="2"/>
      <c r="C1047" s="26"/>
      <c r="D1047" s="26"/>
      <c r="F1047" s="85" t="str">
        <f t="shared" si="0"/>
        <v/>
      </c>
      <c r="G1047" s="1" t="e">
        <f>IF(VALUE(F1047) = VALUE(RIGHT(Insights!$C$3, 4)), E1047, "")</f>
        <v>#VALUE!</v>
      </c>
      <c r="H1047" s="26" t="e">
        <f t="shared" si="1"/>
        <v>#VALUE!</v>
      </c>
      <c r="I1047" s="1" t="e">
        <f t="shared" si="2"/>
        <v>#VALUE!</v>
      </c>
    </row>
    <row r="1048" spans="1:9" ht="15.75" customHeight="1">
      <c r="A1048" s="26"/>
      <c r="B1048" s="2"/>
      <c r="C1048" s="26"/>
      <c r="D1048" s="26"/>
      <c r="F1048" s="85" t="str">
        <f t="shared" si="0"/>
        <v/>
      </c>
      <c r="G1048" s="1" t="e">
        <f>IF(VALUE(F1048) = VALUE(RIGHT(Insights!$C$3, 4)), E1048, "")</f>
        <v>#VALUE!</v>
      </c>
      <c r="H1048" s="26" t="e">
        <f t="shared" si="1"/>
        <v>#VALUE!</v>
      </c>
      <c r="I1048" s="1" t="e">
        <f t="shared" si="2"/>
        <v>#VALUE!</v>
      </c>
    </row>
    <row r="1049" spans="1:9" ht="15.75" customHeight="1">
      <c r="A1049" s="26"/>
      <c r="B1049" s="2"/>
      <c r="C1049" s="26"/>
      <c r="D1049" s="26"/>
      <c r="F1049" s="85" t="str">
        <f t="shared" si="0"/>
        <v/>
      </c>
      <c r="G1049" s="1" t="e">
        <f>IF(VALUE(F1049) = VALUE(RIGHT(Insights!$C$3, 4)), E1049, "")</f>
        <v>#VALUE!</v>
      </c>
      <c r="H1049" s="26" t="e">
        <f t="shared" si="1"/>
        <v>#VALUE!</v>
      </c>
      <c r="I1049" s="1" t="e">
        <f t="shared" si="2"/>
        <v>#VALUE!</v>
      </c>
    </row>
    <row r="1050" spans="1:9" ht="15.75" customHeight="1">
      <c r="A1050" s="26"/>
      <c r="B1050" s="2"/>
      <c r="C1050" s="26"/>
      <c r="D1050" s="26"/>
      <c r="F1050" s="85" t="str">
        <f t="shared" si="0"/>
        <v/>
      </c>
      <c r="G1050" s="1" t="e">
        <f>IF(VALUE(F1050) = VALUE(RIGHT(Insights!$C$3, 4)), E1050, "")</f>
        <v>#VALUE!</v>
      </c>
      <c r="H1050" s="26" t="e">
        <f t="shared" si="1"/>
        <v>#VALUE!</v>
      </c>
      <c r="I1050" s="1" t="e">
        <f t="shared" si="2"/>
        <v>#VALUE!</v>
      </c>
    </row>
    <row r="1051" spans="1:9" ht="15.75" customHeight="1">
      <c r="A1051" s="26"/>
      <c r="B1051" s="2"/>
      <c r="C1051" s="26"/>
      <c r="D1051" s="26"/>
      <c r="F1051" s="85" t="str">
        <f t="shared" si="0"/>
        <v/>
      </c>
      <c r="G1051" s="1" t="e">
        <f>IF(VALUE(F1051) = VALUE(RIGHT(Insights!$C$3, 4)), E1051, "")</f>
        <v>#VALUE!</v>
      </c>
      <c r="H1051" s="26" t="e">
        <f t="shared" si="1"/>
        <v>#VALUE!</v>
      </c>
      <c r="I1051" s="1" t="e">
        <f t="shared" si="2"/>
        <v>#VALUE!</v>
      </c>
    </row>
    <row r="1052" spans="1:9" ht="15.75" customHeight="1">
      <c r="A1052" s="26"/>
      <c r="B1052" s="2"/>
      <c r="C1052" s="26"/>
      <c r="D1052" s="26"/>
      <c r="F1052" s="85" t="str">
        <f t="shared" si="0"/>
        <v/>
      </c>
      <c r="G1052" s="1" t="e">
        <f>IF(VALUE(F1052) = VALUE(RIGHT(Insights!$C$3, 4)), E1052, "")</f>
        <v>#VALUE!</v>
      </c>
      <c r="H1052" s="26" t="e">
        <f t="shared" si="1"/>
        <v>#VALUE!</v>
      </c>
      <c r="I1052" s="1" t="e">
        <f t="shared" si="2"/>
        <v>#VALUE!</v>
      </c>
    </row>
    <row r="1053" spans="1:9" ht="15.75" customHeight="1">
      <c r="A1053" s="26"/>
      <c r="B1053" s="2"/>
      <c r="C1053" s="26"/>
      <c r="D1053" s="26"/>
      <c r="F1053" s="85" t="str">
        <f t="shared" si="0"/>
        <v/>
      </c>
      <c r="G1053" s="1" t="e">
        <f>IF(VALUE(F1053) = VALUE(RIGHT(Insights!$C$3, 4)), E1053, "")</f>
        <v>#VALUE!</v>
      </c>
      <c r="H1053" s="26" t="e">
        <f t="shared" si="1"/>
        <v>#VALUE!</v>
      </c>
      <c r="I1053" s="1" t="e">
        <f t="shared" si="2"/>
        <v>#VALUE!</v>
      </c>
    </row>
    <row r="1054" spans="1:9" ht="15.75" customHeight="1">
      <c r="A1054" s="26"/>
      <c r="B1054" s="2"/>
      <c r="C1054" s="26"/>
      <c r="D1054" s="26"/>
      <c r="F1054" s="85" t="str">
        <f t="shared" si="0"/>
        <v/>
      </c>
      <c r="G1054" s="1" t="e">
        <f>IF(VALUE(F1054) = VALUE(RIGHT(Insights!$C$3, 4)), E1054, "")</f>
        <v>#VALUE!</v>
      </c>
      <c r="H1054" s="26" t="e">
        <f t="shared" si="1"/>
        <v>#VALUE!</v>
      </c>
      <c r="I1054" s="1" t="e">
        <f t="shared" si="2"/>
        <v>#VALUE!</v>
      </c>
    </row>
    <row r="1055" spans="1:9" ht="15.75" customHeight="1">
      <c r="A1055" s="26"/>
      <c r="B1055" s="2"/>
      <c r="C1055" s="26"/>
      <c r="D1055" s="26"/>
      <c r="F1055" s="85" t="str">
        <f t="shared" si="0"/>
        <v/>
      </c>
      <c r="G1055" s="1" t="e">
        <f>IF(VALUE(F1055) = VALUE(RIGHT(Insights!$C$3, 4)), E1055, "")</f>
        <v>#VALUE!</v>
      </c>
      <c r="H1055" s="26" t="e">
        <f t="shared" si="1"/>
        <v>#VALUE!</v>
      </c>
      <c r="I1055" s="1" t="e">
        <f t="shared" si="2"/>
        <v>#VALUE!</v>
      </c>
    </row>
    <row r="1056" spans="1:9" ht="15.75" customHeight="1">
      <c r="A1056" s="26"/>
      <c r="B1056" s="2"/>
      <c r="C1056" s="26"/>
      <c r="D1056" s="26"/>
      <c r="F1056" s="85" t="str">
        <f t="shared" si="0"/>
        <v/>
      </c>
      <c r="G1056" s="1" t="e">
        <f>IF(VALUE(F1056) = VALUE(RIGHT(Insights!$C$3, 4)), E1056, "")</f>
        <v>#VALUE!</v>
      </c>
      <c r="H1056" s="26" t="e">
        <f t="shared" si="1"/>
        <v>#VALUE!</v>
      </c>
      <c r="I1056" s="1" t="e">
        <f t="shared" si="2"/>
        <v>#VALUE!</v>
      </c>
    </row>
    <row r="1057" spans="1:9" ht="15.75" customHeight="1">
      <c r="A1057" s="26"/>
      <c r="B1057" s="2"/>
      <c r="C1057" s="26"/>
      <c r="D1057" s="26"/>
      <c r="F1057" s="85" t="str">
        <f t="shared" si="0"/>
        <v/>
      </c>
      <c r="G1057" s="1" t="e">
        <f>IF(VALUE(F1057) = VALUE(RIGHT(Insights!$C$3, 4)), E1057, "")</f>
        <v>#VALUE!</v>
      </c>
      <c r="H1057" s="26" t="e">
        <f t="shared" si="1"/>
        <v>#VALUE!</v>
      </c>
      <c r="I1057" s="1" t="e">
        <f t="shared" si="2"/>
        <v>#VALUE!</v>
      </c>
    </row>
    <row r="1058" spans="1:9" ht="15.75" customHeight="1">
      <c r="A1058" s="26"/>
      <c r="B1058" s="2"/>
      <c r="C1058" s="26"/>
      <c r="D1058" s="26"/>
      <c r="F1058" s="85" t="str">
        <f t="shared" si="0"/>
        <v/>
      </c>
      <c r="G1058" s="1" t="e">
        <f>IF(VALUE(F1058) = VALUE(RIGHT(Insights!$C$3, 4)), E1058, "")</f>
        <v>#VALUE!</v>
      </c>
      <c r="H1058" s="26" t="e">
        <f t="shared" si="1"/>
        <v>#VALUE!</v>
      </c>
      <c r="I1058" s="1" t="e">
        <f t="shared" si="2"/>
        <v>#VALUE!</v>
      </c>
    </row>
    <row r="1059" spans="1:9" ht="15.75" customHeight="1">
      <c r="A1059" s="26"/>
      <c r="B1059" s="2"/>
      <c r="C1059" s="26"/>
      <c r="D1059" s="26"/>
      <c r="F1059" s="85" t="str">
        <f t="shared" si="0"/>
        <v/>
      </c>
      <c r="G1059" s="1" t="e">
        <f>IF(VALUE(F1059) = VALUE(RIGHT(Insights!$C$3, 4)), E1059, "")</f>
        <v>#VALUE!</v>
      </c>
      <c r="H1059" s="26" t="e">
        <f t="shared" si="1"/>
        <v>#VALUE!</v>
      </c>
      <c r="I1059" s="1" t="e">
        <f t="shared" si="2"/>
        <v>#VALUE!</v>
      </c>
    </row>
    <row r="1060" spans="1:9" ht="15.75" customHeight="1">
      <c r="A1060" s="26"/>
      <c r="B1060" s="2"/>
      <c r="C1060" s="26"/>
      <c r="D1060" s="26"/>
      <c r="F1060" s="85" t="str">
        <f t="shared" si="0"/>
        <v/>
      </c>
      <c r="G1060" s="1" t="e">
        <f>IF(VALUE(F1060) = VALUE(RIGHT(Insights!$C$3, 4)), E1060, "")</f>
        <v>#VALUE!</v>
      </c>
      <c r="H1060" s="26" t="e">
        <f t="shared" si="1"/>
        <v>#VALUE!</v>
      </c>
      <c r="I1060" s="1" t="e">
        <f t="shared" si="2"/>
        <v>#VALUE!</v>
      </c>
    </row>
    <row r="1061" spans="1:9" ht="15.75" customHeight="1">
      <c r="A1061" s="26"/>
      <c r="B1061" s="2"/>
      <c r="C1061" s="26"/>
      <c r="D1061" s="26"/>
      <c r="F1061" s="85" t="str">
        <f t="shared" si="0"/>
        <v/>
      </c>
      <c r="G1061" s="1" t="e">
        <f>IF(VALUE(F1061) = VALUE(RIGHT(Insights!$C$3, 4)), E1061, "")</f>
        <v>#VALUE!</v>
      </c>
      <c r="H1061" s="26" t="e">
        <f t="shared" si="1"/>
        <v>#VALUE!</v>
      </c>
      <c r="I1061" s="1" t="e">
        <f t="shared" si="2"/>
        <v>#VALUE!</v>
      </c>
    </row>
    <row r="1062" spans="1:9" ht="15.75" customHeight="1">
      <c r="A1062" s="26"/>
      <c r="B1062" s="2"/>
      <c r="C1062" s="26"/>
      <c r="D1062" s="26"/>
      <c r="F1062" s="85" t="str">
        <f t="shared" si="0"/>
        <v/>
      </c>
      <c r="G1062" s="1" t="e">
        <f>IF(VALUE(F1062) = VALUE(RIGHT(Insights!$C$3, 4)), E1062, "")</f>
        <v>#VALUE!</v>
      </c>
      <c r="H1062" s="26" t="e">
        <f t="shared" si="1"/>
        <v>#VALUE!</v>
      </c>
      <c r="I1062" s="1" t="e">
        <f t="shared" si="2"/>
        <v>#VALUE!</v>
      </c>
    </row>
    <row r="1063" spans="1:9" ht="15.75" customHeight="1">
      <c r="A1063" s="26"/>
      <c r="B1063" s="2"/>
      <c r="C1063" s="26"/>
      <c r="D1063" s="26"/>
      <c r="F1063" s="85" t="str">
        <f t="shared" si="0"/>
        <v/>
      </c>
      <c r="G1063" s="1" t="e">
        <f>IF(VALUE(F1063) = VALUE(RIGHT(Insights!$C$3, 4)), E1063, "")</f>
        <v>#VALUE!</v>
      </c>
      <c r="H1063" s="26" t="e">
        <f t="shared" si="1"/>
        <v>#VALUE!</v>
      </c>
      <c r="I1063" s="1" t="e">
        <f t="shared" si="2"/>
        <v>#VALUE!</v>
      </c>
    </row>
    <row r="1064" spans="1:9" ht="15.75" customHeight="1">
      <c r="A1064" s="26"/>
      <c r="B1064" s="2"/>
      <c r="C1064" s="26"/>
      <c r="D1064" s="26"/>
      <c r="F1064" s="85" t="str">
        <f t="shared" si="0"/>
        <v/>
      </c>
      <c r="G1064" s="1" t="e">
        <f>IF(VALUE(F1064) = VALUE(RIGHT(Insights!$C$3, 4)), E1064, "")</f>
        <v>#VALUE!</v>
      </c>
      <c r="H1064" s="26" t="e">
        <f t="shared" si="1"/>
        <v>#VALUE!</v>
      </c>
      <c r="I1064" s="1" t="e">
        <f t="shared" si="2"/>
        <v>#VALUE!</v>
      </c>
    </row>
    <row r="1065" spans="1:9" ht="15.75" customHeight="1">
      <c r="A1065" s="26"/>
      <c r="B1065" s="2"/>
      <c r="C1065" s="26"/>
      <c r="D1065" s="26"/>
      <c r="F1065" s="85" t="str">
        <f t="shared" si="0"/>
        <v/>
      </c>
      <c r="G1065" s="1" t="e">
        <f>IF(VALUE(F1065) = VALUE(RIGHT(Insights!$C$3, 4)), E1065, "")</f>
        <v>#VALUE!</v>
      </c>
      <c r="H1065" s="26" t="e">
        <f t="shared" si="1"/>
        <v>#VALUE!</v>
      </c>
      <c r="I1065" s="1" t="e">
        <f t="shared" si="2"/>
        <v>#VALUE!</v>
      </c>
    </row>
    <row r="1066" spans="1:9" ht="15.75" customHeight="1">
      <c r="A1066" s="26"/>
      <c r="B1066" s="2"/>
      <c r="C1066" s="26"/>
      <c r="D1066" s="26"/>
      <c r="F1066" s="85" t="str">
        <f t="shared" si="0"/>
        <v/>
      </c>
      <c r="G1066" s="1" t="e">
        <f>IF(VALUE(F1066) = VALUE(RIGHT(Insights!$C$3, 4)), E1066, "")</f>
        <v>#VALUE!</v>
      </c>
      <c r="H1066" s="26" t="e">
        <f t="shared" si="1"/>
        <v>#VALUE!</v>
      </c>
      <c r="I1066" s="1" t="e">
        <f t="shared" si="2"/>
        <v>#VALUE!</v>
      </c>
    </row>
    <row r="1067" spans="1:9" ht="15.75" customHeight="1">
      <c r="A1067" s="26"/>
      <c r="B1067" s="2"/>
      <c r="C1067" s="26"/>
      <c r="D1067" s="26"/>
      <c r="F1067" s="85" t="str">
        <f t="shared" si="0"/>
        <v/>
      </c>
      <c r="G1067" s="1" t="e">
        <f>IF(VALUE(F1067) = VALUE(RIGHT(Insights!$C$3, 4)), E1067, "")</f>
        <v>#VALUE!</v>
      </c>
      <c r="H1067" s="26" t="e">
        <f t="shared" si="1"/>
        <v>#VALUE!</v>
      </c>
      <c r="I1067" s="1" t="e">
        <f t="shared" si="2"/>
        <v>#VALUE!</v>
      </c>
    </row>
    <row r="1068" spans="1:9" ht="15.75" customHeight="1">
      <c r="A1068" s="26"/>
      <c r="B1068" s="2"/>
      <c r="C1068" s="26"/>
      <c r="D1068" s="26"/>
      <c r="F1068" s="85" t="str">
        <f t="shared" si="0"/>
        <v/>
      </c>
      <c r="G1068" s="1" t="e">
        <f>IF(VALUE(F1068) = VALUE(RIGHT(Insights!$C$3, 4)), E1068, "")</f>
        <v>#VALUE!</v>
      </c>
      <c r="H1068" s="26" t="e">
        <f t="shared" si="1"/>
        <v>#VALUE!</v>
      </c>
      <c r="I1068" s="1" t="e">
        <f t="shared" si="2"/>
        <v>#VALUE!</v>
      </c>
    </row>
    <row r="1069" spans="1:9" ht="15.75" customHeight="1">
      <c r="A1069" s="26"/>
      <c r="B1069" s="2"/>
      <c r="C1069" s="26"/>
      <c r="D1069" s="26"/>
      <c r="F1069" s="85" t="str">
        <f t="shared" si="0"/>
        <v/>
      </c>
      <c r="G1069" s="1" t="e">
        <f>IF(VALUE(F1069) = VALUE(RIGHT(Insights!$C$3, 4)), E1069, "")</f>
        <v>#VALUE!</v>
      </c>
      <c r="H1069" s="26" t="e">
        <f t="shared" si="1"/>
        <v>#VALUE!</v>
      </c>
      <c r="I1069" s="1" t="e">
        <f t="shared" si="2"/>
        <v>#VALUE!</v>
      </c>
    </row>
    <row r="1070" spans="1:9" ht="15.75" customHeight="1">
      <c r="A1070" s="26"/>
      <c r="B1070" s="2"/>
      <c r="C1070" s="26"/>
      <c r="D1070" s="26"/>
      <c r="F1070" s="85" t="str">
        <f t="shared" si="0"/>
        <v/>
      </c>
      <c r="G1070" s="1" t="e">
        <f>IF(VALUE(F1070) = VALUE(RIGHT(Insights!$C$3, 4)), E1070, "")</f>
        <v>#VALUE!</v>
      </c>
      <c r="H1070" s="26" t="e">
        <f t="shared" si="1"/>
        <v>#VALUE!</v>
      </c>
      <c r="I1070" s="1" t="e">
        <f t="shared" si="2"/>
        <v>#VALUE!</v>
      </c>
    </row>
    <row r="1071" spans="1:9" ht="15.75" customHeight="1">
      <c r="A1071" s="26"/>
      <c r="B1071" s="2"/>
      <c r="C1071" s="26"/>
      <c r="D1071" s="26"/>
      <c r="F1071" s="85" t="str">
        <f t="shared" si="0"/>
        <v/>
      </c>
      <c r="G1071" s="1" t="e">
        <f>IF(VALUE(F1071) = VALUE(RIGHT(Insights!$C$3, 4)), E1071, "")</f>
        <v>#VALUE!</v>
      </c>
      <c r="H1071" s="26" t="e">
        <f t="shared" si="1"/>
        <v>#VALUE!</v>
      </c>
      <c r="I1071" s="1" t="e">
        <f t="shared" si="2"/>
        <v>#VALUE!</v>
      </c>
    </row>
    <row r="1072" spans="1:9" ht="15.75" customHeight="1">
      <c r="A1072" s="26"/>
      <c r="B1072" s="2"/>
      <c r="C1072" s="26"/>
      <c r="D1072" s="26"/>
      <c r="F1072" s="85" t="str">
        <f t="shared" si="0"/>
        <v/>
      </c>
      <c r="G1072" s="1" t="e">
        <f>IF(VALUE(F1072) = VALUE(RIGHT(Insights!$C$3, 4)), E1072, "")</f>
        <v>#VALUE!</v>
      </c>
      <c r="H1072" s="26" t="e">
        <f t="shared" si="1"/>
        <v>#VALUE!</v>
      </c>
      <c r="I1072" s="1" t="e">
        <f t="shared" si="2"/>
        <v>#VALUE!</v>
      </c>
    </row>
    <row r="1073" spans="1:9" ht="15.75" customHeight="1">
      <c r="A1073" s="26"/>
      <c r="B1073" s="2"/>
      <c r="C1073" s="26"/>
      <c r="D1073" s="26"/>
      <c r="F1073" s="85" t="str">
        <f t="shared" si="0"/>
        <v/>
      </c>
      <c r="G1073" s="1" t="e">
        <f>IF(VALUE(F1073) = VALUE(RIGHT(Insights!$C$3, 4)), E1073, "")</f>
        <v>#VALUE!</v>
      </c>
      <c r="H1073" s="26" t="e">
        <f t="shared" si="1"/>
        <v>#VALUE!</v>
      </c>
      <c r="I1073" s="1" t="e">
        <f t="shared" si="2"/>
        <v>#VALUE!</v>
      </c>
    </row>
    <row r="1074" spans="1:9" ht="15.75" customHeight="1">
      <c r="A1074" s="26"/>
      <c r="B1074" s="2"/>
      <c r="C1074" s="26"/>
      <c r="D1074" s="26"/>
      <c r="F1074" s="85" t="str">
        <f t="shared" si="0"/>
        <v/>
      </c>
      <c r="G1074" s="1" t="e">
        <f>IF(VALUE(F1074) = VALUE(RIGHT(Insights!$C$3, 4)), E1074, "")</f>
        <v>#VALUE!</v>
      </c>
      <c r="H1074" s="26" t="e">
        <f t="shared" si="1"/>
        <v>#VALUE!</v>
      </c>
      <c r="I1074" s="1" t="e">
        <f t="shared" si="2"/>
        <v>#VALUE!</v>
      </c>
    </row>
    <row r="1075" spans="1:9" ht="15.75" customHeight="1">
      <c r="A1075" s="26"/>
      <c r="B1075" s="2"/>
      <c r="C1075" s="26"/>
      <c r="D1075" s="26"/>
      <c r="F1075" s="85" t="str">
        <f t="shared" si="0"/>
        <v/>
      </c>
      <c r="G1075" s="1" t="e">
        <f>IF(VALUE(F1075) = VALUE(RIGHT(Insights!$C$3, 4)), E1075, "")</f>
        <v>#VALUE!</v>
      </c>
      <c r="H1075" s="26" t="e">
        <f t="shared" si="1"/>
        <v>#VALUE!</v>
      </c>
      <c r="I1075" s="1" t="e">
        <f t="shared" si="2"/>
        <v>#VALUE!</v>
      </c>
    </row>
    <row r="1076" spans="1:9" ht="15.75" customHeight="1">
      <c r="A1076" s="26"/>
      <c r="B1076" s="2"/>
      <c r="C1076" s="26"/>
      <c r="D1076" s="26"/>
      <c r="F1076" s="85" t="str">
        <f t="shared" si="0"/>
        <v/>
      </c>
      <c r="G1076" s="1" t="e">
        <f>IF(VALUE(F1076) = VALUE(RIGHT(Insights!$C$3, 4)), E1076, "")</f>
        <v>#VALUE!</v>
      </c>
      <c r="H1076" s="26" t="e">
        <f t="shared" si="1"/>
        <v>#VALUE!</v>
      </c>
      <c r="I1076" s="1" t="e">
        <f t="shared" si="2"/>
        <v>#VALUE!</v>
      </c>
    </row>
    <row r="1077" spans="1:9" ht="15.75" customHeight="1">
      <c r="A1077" s="26"/>
      <c r="B1077" s="2"/>
      <c r="C1077" s="26"/>
      <c r="D1077" s="26"/>
      <c r="F1077" s="85" t="str">
        <f t="shared" si="0"/>
        <v/>
      </c>
      <c r="G1077" s="1" t="e">
        <f>IF(VALUE(F1077) = VALUE(RIGHT(Insights!$C$3, 4)), E1077, "")</f>
        <v>#VALUE!</v>
      </c>
      <c r="H1077" s="26" t="e">
        <f t="shared" si="1"/>
        <v>#VALUE!</v>
      </c>
      <c r="I1077" s="1" t="e">
        <f t="shared" si="2"/>
        <v>#VALUE!</v>
      </c>
    </row>
    <row r="1078" spans="1:9" ht="15.75" customHeight="1">
      <c r="A1078" s="26"/>
      <c r="B1078" s="2"/>
      <c r="C1078" s="26"/>
      <c r="D1078" s="26"/>
      <c r="F1078" s="85" t="str">
        <f t="shared" si="0"/>
        <v/>
      </c>
      <c r="G1078" s="1" t="e">
        <f>IF(VALUE(F1078) = VALUE(RIGHT(Insights!$C$3, 4)), E1078, "")</f>
        <v>#VALUE!</v>
      </c>
      <c r="H1078" s="26" t="e">
        <f t="shared" si="1"/>
        <v>#VALUE!</v>
      </c>
      <c r="I1078" s="1" t="e">
        <f t="shared" si="2"/>
        <v>#VALUE!</v>
      </c>
    </row>
    <row r="1079" spans="1:9" ht="15.75" customHeight="1">
      <c r="A1079" s="26"/>
      <c r="B1079" s="2"/>
      <c r="C1079" s="26"/>
      <c r="D1079" s="26"/>
      <c r="F1079" s="85" t="str">
        <f t="shared" si="0"/>
        <v/>
      </c>
      <c r="G1079" s="1" t="e">
        <f>IF(VALUE(F1079) = VALUE(RIGHT(Insights!$C$3, 4)), E1079, "")</f>
        <v>#VALUE!</v>
      </c>
      <c r="H1079" s="26" t="e">
        <f t="shared" si="1"/>
        <v>#VALUE!</v>
      </c>
      <c r="I1079" s="1" t="e">
        <f t="shared" si="2"/>
        <v>#VALUE!</v>
      </c>
    </row>
    <row r="1080" spans="1:9" ht="15.75" customHeight="1">
      <c r="A1080" s="26"/>
      <c r="B1080" s="2"/>
      <c r="C1080" s="26"/>
      <c r="D1080" s="26"/>
      <c r="F1080" s="85" t="str">
        <f t="shared" si="0"/>
        <v/>
      </c>
      <c r="G1080" s="1" t="e">
        <f>IF(VALUE(F1080) = VALUE(RIGHT(Insights!$C$3, 4)), E1080, "")</f>
        <v>#VALUE!</v>
      </c>
      <c r="H1080" s="26" t="e">
        <f t="shared" si="1"/>
        <v>#VALUE!</v>
      </c>
      <c r="I1080" s="1" t="e">
        <f t="shared" si="2"/>
        <v>#VALUE!</v>
      </c>
    </row>
    <row r="1081" spans="1:9" ht="15.75" customHeight="1">
      <c r="A1081" s="26"/>
      <c r="B1081" s="2"/>
      <c r="C1081" s="26"/>
      <c r="D1081" s="26"/>
      <c r="F1081" s="85" t="str">
        <f t="shared" si="0"/>
        <v/>
      </c>
      <c r="G1081" s="1" t="e">
        <f>IF(VALUE(F1081) = VALUE(RIGHT(Insights!$C$3, 4)), E1081, "")</f>
        <v>#VALUE!</v>
      </c>
      <c r="H1081" s="26" t="e">
        <f t="shared" si="1"/>
        <v>#VALUE!</v>
      </c>
      <c r="I1081" s="1" t="e">
        <f t="shared" si="2"/>
        <v>#VALUE!</v>
      </c>
    </row>
    <row r="1082" spans="1:9" ht="15.75" customHeight="1">
      <c r="A1082" s="26"/>
      <c r="B1082" s="2"/>
      <c r="C1082" s="26"/>
      <c r="D1082" s="26"/>
      <c r="F1082" s="85" t="str">
        <f t="shared" si="0"/>
        <v/>
      </c>
      <c r="G1082" s="1" t="e">
        <f>IF(VALUE(F1082) = VALUE(RIGHT(Insights!$C$3, 4)), E1082, "")</f>
        <v>#VALUE!</v>
      </c>
      <c r="H1082" s="26" t="e">
        <f t="shared" si="1"/>
        <v>#VALUE!</v>
      </c>
      <c r="I1082" s="1" t="e">
        <f t="shared" si="2"/>
        <v>#VALUE!</v>
      </c>
    </row>
    <row r="1083" spans="1:9" ht="15.75" customHeight="1">
      <c r="A1083" s="26"/>
      <c r="B1083" s="2"/>
      <c r="C1083" s="26"/>
      <c r="D1083" s="26"/>
      <c r="F1083" s="85" t="str">
        <f t="shared" si="0"/>
        <v/>
      </c>
      <c r="G1083" s="1" t="e">
        <f>IF(VALUE(F1083) = VALUE(RIGHT(Insights!$C$3, 4)), E1083, "")</f>
        <v>#VALUE!</v>
      </c>
      <c r="H1083" s="26" t="e">
        <f t="shared" si="1"/>
        <v>#VALUE!</v>
      </c>
      <c r="I1083" s="1" t="e">
        <f t="shared" si="2"/>
        <v>#VALUE!</v>
      </c>
    </row>
    <row r="1084" spans="1:9" ht="15.75" customHeight="1">
      <c r="A1084" s="26"/>
      <c r="B1084" s="2"/>
      <c r="C1084" s="26"/>
      <c r="D1084" s="26"/>
      <c r="F1084" s="85" t="str">
        <f t="shared" si="0"/>
        <v/>
      </c>
      <c r="G1084" s="1" t="e">
        <f>IF(VALUE(F1084) = VALUE(RIGHT(Insights!$C$3, 4)), E1084, "")</f>
        <v>#VALUE!</v>
      </c>
      <c r="H1084" s="26" t="e">
        <f t="shared" si="1"/>
        <v>#VALUE!</v>
      </c>
      <c r="I1084" s="1" t="e">
        <f t="shared" si="2"/>
        <v>#VALUE!</v>
      </c>
    </row>
    <row r="1085" spans="1:9" ht="15.75" customHeight="1">
      <c r="A1085" s="26"/>
      <c r="B1085" s="2"/>
      <c r="C1085" s="26"/>
      <c r="D1085" s="26"/>
      <c r="F1085" s="85" t="str">
        <f t="shared" si="0"/>
        <v/>
      </c>
      <c r="G1085" s="1" t="e">
        <f>IF(VALUE(F1085) = VALUE(RIGHT(Insights!$C$3, 4)), E1085, "")</f>
        <v>#VALUE!</v>
      </c>
      <c r="H1085" s="26" t="e">
        <f t="shared" si="1"/>
        <v>#VALUE!</v>
      </c>
      <c r="I1085" s="1" t="e">
        <f t="shared" si="2"/>
        <v>#VALUE!</v>
      </c>
    </row>
    <row r="1086" spans="1:9" ht="15.75" customHeight="1">
      <c r="A1086" s="26"/>
      <c r="B1086" s="2"/>
      <c r="C1086" s="26"/>
      <c r="D1086" s="26"/>
      <c r="F1086" s="85" t="str">
        <f t="shared" si="0"/>
        <v/>
      </c>
      <c r="G1086" s="1" t="e">
        <f>IF(VALUE(F1086) = VALUE(RIGHT(Insights!$C$3, 4)), E1086, "")</f>
        <v>#VALUE!</v>
      </c>
      <c r="H1086" s="26" t="e">
        <f t="shared" si="1"/>
        <v>#VALUE!</v>
      </c>
      <c r="I1086" s="1" t="e">
        <f t="shared" si="2"/>
        <v>#VALUE!</v>
      </c>
    </row>
    <row r="1087" spans="1:9" ht="15.75" customHeight="1">
      <c r="A1087" s="26"/>
      <c r="B1087" s="2"/>
      <c r="C1087" s="26"/>
      <c r="D1087" s="26"/>
      <c r="F1087" s="85" t="str">
        <f t="shared" si="0"/>
        <v/>
      </c>
      <c r="G1087" s="1" t="e">
        <f>IF(VALUE(F1087) = VALUE(RIGHT(Insights!$C$3, 4)), E1087, "")</f>
        <v>#VALUE!</v>
      </c>
      <c r="H1087" s="26" t="e">
        <f t="shared" si="1"/>
        <v>#VALUE!</v>
      </c>
      <c r="I1087" s="1" t="e">
        <f t="shared" si="2"/>
        <v>#VALUE!</v>
      </c>
    </row>
    <row r="1088" spans="1:9" ht="15.75" customHeight="1">
      <c r="A1088" s="26"/>
      <c r="B1088" s="2"/>
      <c r="C1088" s="26"/>
      <c r="D1088" s="26"/>
      <c r="F1088" s="85" t="str">
        <f t="shared" si="0"/>
        <v/>
      </c>
      <c r="G1088" s="1" t="e">
        <f>IF(VALUE(F1088) = VALUE(RIGHT(Insights!$C$3, 4)), E1088, "")</f>
        <v>#VALUE!</v>
      </c>
      <c r="H1088" s="26" t="e">
        <f t="shared" si="1"/>
        <v>#VALUE!</v>
      </c>
      <c r="I1088" s="1" t="e">
        <f t="shared" si="2"/>
        <v>#VALUE!</v>
      </c>
    </row>
    <row r="1089" spans="1:9" ht="15.75" customHeight="1">
      <c r="A1089" s="26"/>
      <c r="B1089" s="2"/>
      <c r="C1089" s="26"/>
      <c r="D1089" s="26"/>
      <c r="F1089" s="85" t="str">
        <f t="shared" si="0"/>
        <v/>
      </c>
      <c r="G1089" s="1" t="e">
        <f>IF(VALUE(F1089) = VALUE(RIGHT(Insights!$C$3, 4)), E1089, "")</f>
        <v>#VALUE!</v>
      </c>
      <c r="H1089" s="26" t="e">
        <f t="shared" si="1"/>
        <v>#VALUE!</v>
      </c>
      <c r="I1089" s="1" t="e">
        <f t="shared" si="2"/>
        <v>#VALUE!</v>
      </c>
    </row>
    <row r="1090" spans="1:9" ht="15.75" customHeight="1">
      <c r="A1090" s="26"/>
      <c r="B1090" s="2"/>
      <c r="C1090" s="26"/>
      <c r="D1090" s="26"/>
      <c r="F1090" s="85" t="str">
        <f t="shared" si="0"/>
        <v/>
      </c>
      <c r="G1090" s="1" t="e">
        <f>IF(VALUE(F1090) = VALUE(RIGHT(Insights!$C$3, 4)), E1090, "")</f>
        <v>#VALUE!</v>
      </c>
      <c r="H1090" s="26" t="e">
        <f t="shared" si="1"/>
        <v>#VALUE!</v>
      </c>
      <c r="I1090" s="1" t="e">
        <f t="shared" si="2"/>
        <v>#VALUE!</v>
      </c>
    </row>
    <row r="1091" spans="1:9" ht="15.75" customHeight="1">
      <c r="A1091" s="26"/>
      <c r="B1091" s="2"/>
      <c r="C1091" s="26"/>
      <c r="D1091" s="26"/>
      <c r="F1091" s="85" t="str">
        <f t="shared" si="0"/>
        <v/>
      </c>
      <c r="G1091" s="1" t="e">
        <f>IF(VALUE(F1091) = VALUE(RIGHT(Insights!$C$3, 4)), E1091, "")</f>
        <v>#VALUE!</v>
      </c>
      <c r="H1091" s="26" t="e">
        <f t="shared" si="1"/>
        <v>#VALUE!</v>
      </c>
      <c r="I1091" s="1" t="e">
        <f t="shared" si="2"/>
        <v>#VALUE!</v>
      </c>
    </row>
    <row r="1092" spans="1:9" ht="15.75" customHeight="1">
      <c r="A1092" s="26"/>
      <c r="B1092" s="2"/>
      <c r="C1092" s="26"/>
      <c r="D1092" s="26"/>
      <c r="F1092" s="85" t="str">
        <f t="shared" si="0"/>
        <v/>
      </c>
      <c r="G1092" s="1" t="e">
        <f>IF(VALUE(F1092) = VALUE(RIGHT(Insights!$C$3, 4)), E1092, "")</f>
        <v>#VALUE!</v>
      </c>
      <c r="H1092" s="26" t="e">
        <f t="shared" si="1"/>
        <v>#VALUE!</v>
      </c>
      <c r="I1092" s="1" t="e">
        <f t="shared" si="2"/>
        <v>#VALUE!</v>
      </c>
    </row>
    <row r="1093" spans="1:9" ht="15.75" customHeight="1">
      <c r="A1093" s="26"/>
      <c r="B1093" s="2"/>
      <c r="C1093" s="26"/>
      <c r="D1093" s="26"/>
      <c r="F1093" s="85" t="str">
        <f t="shared" si="0"/>
        <v/>
      </c>
      <c r="G1093" s="1" t="e">
        <f>IF(VALUE(F1093) = VALUE(RIGHT(Insights!$C$3, 4)), E1093, "")</f>
        <v>#VALUE!</v>
      </c>
      <c r="H1093" s="26" t="e">
        <f t="shared" si="1"/>
        <v>#VALUE!</v>
      </c>
      <c r="I1093" s="1" t="e">
        <f t="shared" si="2"/>
        <v>#VALUE!</v>
      </c>
    </row>
    <row r="1094" spans="1:9" ht="15.75" customHeight="1">
      <c r="A1094" s="26"/>
      <c r="B1094" s="2"/>
      <c r="C1094" s="26"/>
      <c r="D1094" s="26"/>
      <c r="F1094" s="85" t="str">
        <f t="shared" si="0"/>
        <v/>
      </c>
      <c r="G1094" s="1" t="e">
        <f>IF(VALUE(F1094) = VALUE(RIGHT(Insights!$C$3, 4)), E1094, "")</f>
        <v>#VALUE!</v>
      </c>
      <c r="H1094" s="26" t="e">
        <f t="shared" si="1"/>
        <v>#VALUE!</v>
      </c>
      <c r="I1094" s="1" t="e">
        <f t="shared" si="2"/>
        <v>#VALUE!</v>
      </c>
    </row>
    <row r="1095" spans="1:9" ht="15.75" customHeight="1">
      <c r="A1095" s="26"/>
      <c r="B1095" s="2"/>
      <c r="C1095" s="26"/>
      <c r="D1095" s="26"/>
      <c r="F1095" s="85" t="str">
        <f t="shared" si="0"/>
        <v/>
      </c>
      <c r="G1095" s="1" t="e">
        <f>IF(VALUE(F1095) = VALUE(RIGHT(Insights!$C$3, 4)), E1095, "")</f>
        <v>#VALUE!</v>
      </c>
      <c r="H1095" s="26" t="e">
        <f t="shared" si="1"/>
        <v>#VALUE!</v>
      </c>
      <c r="I1095" s="1" t="e">
        <f t="shared" si="2"/>
        <v>#VALUE!</v>
      </c>
    </row>
    <row r="1096" spans="1:9" ht="15.75" customHeight="1">
      <c r="A1096" s="26"/>
      <c r="B1096" s="2"/>
      <c r="C1096" s="26"/>
      <c r="D1096" s="26"/>
      <c r="F1096" s="85" t="str">
        <f t="shared" si="0"/>
        <v/>
      </c>
      <c r="G1096" s="1" t="e">
        <f>IF(VALUE(F1096) = VALUE(RIGHT(Insights!$C$3, 4)), E1096, "")</f>
        <v>#VALUE!</v>
      </c>
      <c r="H1096" s="26" t="e">
        <f t="shared" si="1"/>
        <v>#VALUE!</v>
      </c>
      <c r="I1096" s="1" t="e">
        <f t="shared" si="2"/>
        <v>#VALUE!</v>
      </c>
    </row>
    <row r="1097" spans="1:9" ht="15.75" customHeight="1">
      <c r="A1097" s="26"/>
      <c r="B1097" s="2"/>
      <c r="C1097" s="26"/>
      <c r="D1097" s="26"/>
      <c r="F1097" s="85" t="str">
        <f t="shared" si="0"/>
        <v/>
      </c>
      <c r="G1097" s="1" t="e">
        <f>IF(VALUE(F1097) = VALUE(RIGHT(Insights!$C$3, 4)), E1097, "")</f>
        <v>#VALUE!</v>
      </c>
      <c r="H1097" s="26" t="e">
        <f t="shared" si="1"/>
        <v>#VALUE!</v>
      </c>
      <c r="I1097" s="1" t="e">
        <f t="shared" si="2"/>
        <v>#VALUE!</v>
      </c>
    </row>
    <row r="1098" spans="1:9" ht="15.75" customHeight="1">
      <c r="A1098" s="26"/>
      <c r="B1098" s="2"/>
      <c r="C1098" s="26"/>
      <c r="D1098" s="26"/>
      <c r="F1098" s="85" t="str">
        <f t="shared" si="0"/>
        <v/>
      </c>
      <c r="G1098" s="1" t="e">
        <f>IF(VALUE(F1098) = VALUE(RIGHT(Insights!$C$3, 4)), E1098, "")</f>
        <v>#VALUE!</v>
      </c>
      <c r="H1098" s="26" t="e">
        <f t="shared" si="1"/>
        <v>#VALUE!</v>
      </c>
      <c r="I1098" s="1" t="e">
        <f t="shared" si="2"/>
        <v>#VALUE!</v>
      </c>
    </row>
    <row r="1099" spans="1:9" ht="15.75" customHeight="1">
      <c r="A1099" s="26"/>
      <c r="B1099" s="2"/>
      <c r="C1099" s="26"/>
      <c r="D1099" s="26"/>
      <c r="F1099" s="85" t="str">
        <f t="shared" si="0"/>
        <v/>
      </c>
      <c r="G1099" s="1" t="e">
        <f>IF(VALUE(F1099) = VALUE(RIGHT(Insights!$C$3, 4)), E1099, "")</f>
        <v>#VALUE!</v>
      </c>
      <c r="H1099" s="26" t="e">
        <f t="shared" si="1"/>
        <v>#VALUE!</v>
      </c>
      <c r="I1099" s="1" t="e">
        <f t="shared" si="2"/>
        <v>#VALUE!</v>
      </c>
    </row>
    <row r="1100" spans="1:9" ht="15.75" customHeight="1">
      <c r="A1100" s="26"/>
      <c r="B1100" s="2"/>
      <c r="C1100" s="26"/>
      <c r="D1100" s="26"/>
      <c r="F1100" s="85" t="str">
        <f t="shared" si="0"/>
        <v/>
      </c>
      <c r="G1100" s="1" t="e">
        <f>IF(VALUE(F1100) = VALUE(RIGHT(Insights!$C$3, 4)), E1100, "")</f>
        <v>#VALUE!</v>
      </c>
      <c r="H1100" s="26" t="e">
        <f t="shared" si="1"/>
        <v>#VALUE!</v>
      </c>
      <c r="I1100" s="1" t="e">
        <f t="shared" si="2"/>
        <v>#VALUE!</v>
      </c>
    </row>
    <row r="1101" spans="1:9" ht="15.75" customHeight="1">
      <c r="A1101" s="26"/>
      <c r="B1101" s="2"/>
      <c r="C1101" s="26"/>
      <c r="D1101" s="26"/>
      <c r="F1101" s="85" t="str">
        <f t="shared" si="0"/>
        <v/>
      </c>
      <c r="G1101" s="1" t="e">
        <f>IF(VALUE(F1101) = VALUE(RIGHT(Insights!$C$3, 4)), E1101, "")</f>
        <v>#VALUE!</v>
      </c>
      <c r="H1101" s="26" t="e">
        <f t="shared" si="1"/>
        <v>#VALUE!</v>
      </c>
      <c r="I1101" s="1" t="e">
        <f t="shared" si="2"/>
        <v>#VALUE!</v>
      </c>
    </row>
    <row r="1102" spans="1:9" ht="15.75" customHeight="1">
      <c r="A1102" s="26"/>
      <c r="B1102" s="2"/>
      <c r="C1102" s="26"/>
      <c r="D1102" s="26"/>
      <c r="F1102" s="85" t="str">
        <f t="shared" si="0"/>
        <v/>
      </c>
      <c r="G1102" s="1" t="e">
        <f>IF(VALUE(F1102) = VALUE(RIGHT(Insights!$C$3, 4)), E1102, "")</f>
        <v>#VALUE!</v>
      </c>
      <c r="H1102" s="26" t="e">
        <f t="shared" si="1"/>
        <v>#VALUE!</v>
      </c>
      <c r="I1102" s="1" t="e">
        <f t="shared" si="2"/>
        <v>#VALUE!</v>
      </c>
    </row>
    <row r="1103" spans="1:9" ht="15.75" customHeight="1">
      <c r="A1103" s="26"/>
      <c r="B1103" s="2"/>
      <c r="C1103" s="26"/>
      <c r="D1103" s="26"/>
      <c r="F1103" s="85" t="str">
        <f t="shared" si="0"/>
        <v/>
      </c>
      <c r="G1103" s="1" t="e">
        <f>IF(VALUE(F1103) = VALUE(RIGHT(Insights!$C$3, 4)), E1103, "")</f>
        <v>#VALUE!</v>
      </c>
      <c r="H1103" s="26" t="e">
        <f t="shared" si="1"/>
        <v>#VALUE!</v>
      </c>
      <c r="I1103" s="1" t="e">
        <f t="shared" si="2"/>
        <v>#VALUE!</v>
      </c>
    </row>
    <row r="1104" spans="1:9" ht="15.75" customHeight="1">
      <c r="A1104" s="26"/>
      <c r="B1104" s="2"/>
      <c r="C1104" s="26"/>
      <c r="D1104" s="26"/>
      <c r="F1104" s="85" t="str">
        <f t="shared" si="0"/>
        <v/>
      </c>
      <c r="G1104" s="1" t="e">
        <f>IF(VALUE(F1104) = VALUE(RIGHT(Insights!$C$3, 4)), E1104, "")</f>
        <v>#VALUE!</v>
      </c>
      <c r="H1104" s="26" t="e">
        <f t="shared" si="1"/>
        <v>#VALUE!</v>
      </c>
      <c r="I1104" s="1" t="e">
        <f t="shared" si="2"/>
        <v>#VALUE!</v>
      </c>
    </row>
    <row r="1105" spans="1:9" ht="15.75" customHeight="1">
      <c r="A1105" s="26"/>
      <c r="B1105" s="2"/>
      <c r="C1105" s="26"/>
      <c r="D1105" s="26"/>
      <c r="F1105" s="85" t="str">
        <f t="shared" si="0"/>
        <v/>
      </c>
      <c r="G1105" s="1" t="e">
        <f>IF(VALUE(F1105) = VALUE(RIGHT(Insights!$C$3, 4)), E1105, "")</f>
        <v>#VALUE!</v>
      </c>
      <c r="H1105" s="26" t="e">
        <f t="shared" si="1"/>
        <v>#VALUE!</v>
      </c>
      <c r="I1105" s="1" t="e">
        <f t="shared" si="2"/>
        <v>#VALUE!</v>
      </c>
    </row>
    <row r="1106" spans="1:9" ht="15.75" customHeight="1">
      <c r="A1106" s="26"/>
      <c r="B1106" s="2"/>
      <c r="C1106" s="26"/>
      <c r="D1106" s="26"/>
      <c r="F1106" s="85" t="str">
        <f t="shared" si="0"/>
        <v/>
      </c>
      <c r="G1106" s="1" t="e">
        <f>IF(VALUE(F1106) = VALUE(RIGHT(Insights!$C$3, 4)), E1106, "")</f>
        <v>#VALUE!</v>
      </c>
      <c r="H1106" s="26" t="e">
        <f t="shared" si="1"/>
        <v>#VALUE!</v>
      </c>
      <c r="I1106" s="1" t="e">
        <f t="shared" si="2"/>
        <v>#VALUE!</v>
      </c>
    </row>
    <row r="1107" spans="1:9" ht="15.75" customHeight="1">
      <c r="A1107" s="26"/>
      <c r="B1107" s="2"/>
      <c r="C1107" s="26"/>
      <c r="D1107" s="26"/>
      <c r="F1107" s="85" t="str">
        <f t="shared" si="0"/>
        <v/>
      </c>
      <c r="G1107" s="1" t="e">
        <f>IF(VALUE(F1107) = VALUE(RIGHT(Insights!$C$3, 4)), E1107, "")</f>
        <v>#VALUE!</v>
      </c>
      <c r="H1107" s="26" t="e">
        <f t="shared" si="1"/>
        <v>#VALUE!</v>
      </c>
      <c r="I1107" s="1" t="e">
        <f t="shared" si="2"/>
        <v>#VALUE!</v>
      </c>
    </row>
    <row r="1108" spans="1:9" ht="15.75" customHeight="1">
      <c r="A1108" s="26"/>
      <c r="B1108" s="2"/>
      <c r="C1108" s="26"/>
      <c r="D1108" s="26"/>
      <c r="F1108" s="85" t="str">
        <f t="shared" si="0"/>
        <v/>
      </c>
      <c r="G1108" s="1" t="e">
        <f>IF(VALUE(F1108) = VALUE(RIGHT(Insights!$C$3, 4)), E1108, "")</f>
        <v>#VALUE!</v>
      </c>
      <c r="H1108" s="26" t="e">
        <f t="shared" si="1"/>
        <v>#VALUE!</v>
      </c>
      <c r="I1108" s="1" t="e">
        <f t="shared" si="2"/>
        <v>#VALUE!</v>
      </c>
    </row>
    <row r="1109" spans="1:9" ht="15.75" customHeight="1">
      <c r="A1109" s="26"/>
      <c r="B1109" s="2"/>
      <c r="C1109" s="26"/>
      <c r="D1109" s="26"/>
      <c r="F1109" s="85" t="str">
        <f t="shared" si="0"/>
        <v/>
      </c>
      <c r="G1109" s="1" t="e">
        <f>IF(VALUE(F1109) = VALUE(RIGHT(Insights!$C$3, 4)), E1109, "")</f>
        <v>#VALUE!</v>
      </c>
      <c r="H1109" s="26" t="e">
        <f t="shared" si="1"/>
        <v>#VALUE!</v>
      </c>
      <c r="I1109" s="1" t="e">
        <f t="shared" si="2"/>
        <v>#VALUE!</v>
      </c>
    </row>
    <row r="1110" spans="1:9" ht="15.75" customHeight="1">
      <c r="A1110" s="26"/>
      <c r="B1110" s="2"/>
      <c r="C1110" s="26"/>
      <c r="D1110" s="26"/>
      <c r="F1110" s="85" t="str">
        <f t="shared" si="0"/>
        <v/>
      </c>
      <c r="G1110" s="1" t="e">
        <f>IF(VALUE(F1110) = VALUE(RIGHT(Insights!$C$3, 4)), E1110, "")</f>
        <v>#VALUE!</v>
      </c>
      <c r="H1110" s="26" t="e">
        <f t="shared" si="1"/>
        <v>#VALUE!</v>
      </c>
      <c r="I1110" s="1" t="e">
        <f t="shared" si="2"/>
        <v>#VALUE!</v>
      </c>
    </row>
    <row r="1111" spans="1:9" ht="15.75" customHeight="1">
      <c r="A1111" s="26"/>
      <c r="B1111" s="2"/>
      <c r="C1111" s="26"/>
      <c r="D1111" s="26"/>
      <c r="F1111" s="85" t="str">
        <f t="shared" si="0"/>
        <v/>
      </c>
      <c r="G1111" s="1" t="e">
        <f>IF(VALUE(F1111) = VALUE(RIGHT(Insights!$C$3, 4)), E1111, "")</f>
        <v>#VALUE!</v>
      </c>
      <c r="H1111" s="26" t="e">
        <f t="shared" si="1"/>
        <v>#VALUE!</v>
      </c>
      <c r="I1111" s="1" t="e">
        <f t="shared" si="2"/>
        <v>#VALUE!</v>
      </c>
    </row>
    <row r="1112" spans="1:9" ht="15.75" customHeight="1">
      <c r="A1112" s="26"/>
      <c r="B1112" s="2"/>
      <c r="C1112" s="26"/>
      <c r="D1112" s="26"/>
      <c r="F1112" s="85" t="str">
        <f t="shared" si="0"/>
        <v/>
      </c>
      <c r="G1112" s="1" t="e">
        <f>IF(VALUE(F1112) = VALUE(RIGHT(Insights!$C$3, 4)), E1112, "")</f>
        <v>#VALUE!</v>
      </c>
      <c r="H1112" s="26" t="e">
        <f t="shared" si="1"/>
        <v>#VALUE!</v>
      </c>
      <c r="I1112" s="1" t="e">
        <f t="shared" si="2"/>
        <v>#VALUE!</v>
      </c>
    </row>
    <row r="1113" spans="1:9" ht="15.75" customHeight="1">
      <c r="A1113" s="26"/>
      <c r="B1113" s="2"/>
      <c r="C1113" s="26"/>
      <c r="D1113" s="26"/>
      <c r="F1113" s="85" t="str">
        <f t="shared" si="0"/>
        <v/>
      </c>
      <c r="G1113" s="1" t="e">
        <f>IF(VALUE(F1113) = VALUE(RIGHT(Insights!$C$3, 4)), E1113, "")</f>
        <v>#VALUE!</v>
      </c>
      <c r="H1113" s="26" t="e">
        <f t="shared" si="1"/>
        <v>#VALUE!</v>
      </c>
      <c r="I1113" s="1" t="e">
        <f t="shared" si="2"/>
        <v>#VALUE!</v>
      </c>
    </row>
    <row r="1114" spans="1:9" ht="15.75" customHeight="1">
      <c r="A1114" s="26"/>
      <c r="B1114" s="2"/>
      <c r="C1114" s="26"/>
      <c r="D1114" s="26"/>
      <c r="F1114" s="85" t="str">
        <f t="shared" si="0"/>
        <v/>
      </c>
      <c r="G1114" s="1" t="e">
        <f>IF(VALUE(F1114) = VALUE(RIGHT(Insights!$C$3, 4)), E1114, "")</f>
        <v>#VALUE!</v>
      </c>
      <c r="H1114" s="26" t="e">
        <f t="shared" si="1"/>
        <v>#VALUE!</v>
      </c>
      <c r="I1114" s="1" t="e">
        <f t="shared" si="2"/>
        <v>#VALUE!</v>
      </c>
    </row>
    <row r="1115" spans="1:9" ht="15.75" customHeight="1">
      <c r="A1115" s="26"/>
      <c r="B1115" s="2"/>
      <c r="C1115" s="26"/>
      <c r="D1115" s="26"/>
      <c r="F1115" s="85" t="str">
        <f t="shared" si="0"/>
        <v/>
      </c>
      <c r="G1115" s="1" t="e">
        <f>IF(VALUE(F1115) = VALUE(RIGHT(Insights!$C$3, 4)), E1115, "")</f>
        <v>#VALUE!</v>
      </c>
      <c r="H1115" s="26" t="e">
        <f t="shared" si="1"/>
        <v>#VALUE!</v>
      </c>
      <c r="I1115" s="1" t="e">
        <f t="shared" si="2"/>
        <v>#VALUE!</v>
      </c>
    </row>
    <row r="1116" spans="1:9" ht="15.75" customHeight="1">
      <c r="A1116" s="26"/>
      <c r="B1116" s="2"/>
      <c r="C1116" s="26"/>
      <c r="D1116" s="26"/>
      <c r="F1116" s="85" t="str">
        <f t="shared" si="0"/>
        <v/>
      </c>
      <c r="G1116" s="1" t="e">
        <f>IF(VALUE(F1116) = VALUE(RIGHT(Insights!$C$3, 4)), E1116, "")</f>
        <v>#VALUE!</v>
      </c>
      <c r="H1116" s="26" t="e">
        <f t="shared" si="1"/>
        <v>#VALUE!</v>
      </c>
      <c r="I1116" s="1" t="e">
        <f t="shared" si="2"/>
        <v>#VALUE!</v>
      </c>
    </row>
    <row r="1117" spans="1:9" ht="15.75" customHeight="1">
      <c r="A1117" s="26"/>
      <c r="B1117" s="2"/>
      <c r="C1117" s="26"/>
      <c r="D1117" s="26"/>
      <c r="F1117" s="85" t="str">
        <f t="shared" si="0"/>
        <v/>
      </c>
      <c r="G1117" s="1" t="e">
        <f>IF(VALUE(F1117) = VALUE(RIGHT(Insights!$C$3, 4)), E1117, "")</f>
        <v>#VALUE!</v>
      </c>
      <c r="H1117" s="26" t="e">
        <f t="shared" si="1"/>
        <v>#VALUE!</v>
      </c>
      <c r="I1117" s="1" t="e">
        <f t="shared" si="2"/>
        <v>#VALUE!</v>
      </c>
    </row>
    <row r="1118" spans="1:9" ht="15.75" customHeight="1">
      <c r="A1118" s="26"/>
      <c r="B1118" s="2"/>
      <c r="C1118" s="26"/>
      <c r="D1118" s="26"/>
      <c r="F1118" s="85" t="str">
        <f t="shared" si="0"/>
        <v/>
      </c>
      <c r="G1118" s="1" t="e">
        <f>IF(VALUE(F1118) = VALUE(RIGHT(Insights!$C$3, 4)), E1118, "")</f>
        <v>#VALUE!</v>
      </c>
      <c r="H1118" s="26" t="e">
        <f t="shared" si="1"/>
        <v>#VALUE!</v>
      </c>
      <c r="I1118" s="1" t="e">
        <f t="shared" si="2"/>
        <v>#VALUE!</v>
      </c>
    </row>
    <row r="1119" spans="1:9" ht="15.75" customHeight="1">
      <c r="A1119" s="26"/>
      <c r="B1119" s="2"/>
      <c r="C1119" s="26"/>
      <c r="D1119" s="26"/>
      <c r="F1119" s="85" t="str">
        <f t="shared" si="0"/>
        <v/>
      </c>
      <c r="G1119" s="1" t="e">
        <f>IF(VALUE(F1119) = VALUE(RIGHT(Insights!$C$3, 4)), E1119, "")</f>
        <v>#VALUE!</v>
      </c>
      <c r="H1119" s="26" t="e">
        <f t="shared" si="1"/>
        <v>#VALUE!</v>
      </c>
      <c r="I1119" s="1" t="e">
        <f t="shared" si="2"/>
        <v>#VALUE!</v>
      </c>
    </row>
    <row r="1120" spans="1:9" ht="15.75" customHeight="1">
      <c r="A1120" s="26"/>
      <c r="B1120" s="2"/>
      <c r="C1120" s="26"/>
      <c r="D1120" s="26"/>
      <c r="F1120" s="85" t="str">
        <f t="shared" si="0"/>
        <v/>
      </c>
      <c r="G1120" s="1" t="e">
        <f>IF(VALUE(F1120) = VALUE(RIGHT(Insights!$C$3, 4)), E1120, "")</f>
        <v>#VALUE!</v>
      </c>
      <c r="H1120" s="26" t="e">
        <f t="shared" si="1"/>
        <v>#VALUE!</v>
      </c>
      <c r="I1120" s="1" t="e">
        <f t="shared" si="2"/>
        <v>#VALUE!</v>
      </c>
    </row>
    <row r="1121" spans="1:9" ht="15.75" customHeight="1">
      <c r="A1121" s="26"/>
      <c r="B1121" s="2"/>
      <c r="C1121" s="26"/>
      <c r="D1121" s="26"/>
      <c r="F1121" s="85" t="str">
        <f t="shared" si="0"/>
        <v/>
      </c>
      <c r="G1121" s="1" t="e">
        <f>IF(VALUE(F1121) = VALUE(RIGHT(Insights!$C$3, 4)), E1121, "")</f>
        <v>#VALUE!</v>
      </c>
      <c r="H1121" s="26" t="e">
        <f t="shared" si="1"/>
        <v>#VALUE!</v>
      </c>
      <c r="I1121" s="1" t="e">
        <f t="shared" si="2"/>
        <v>#VALUE!</v>
      </c>
    </row>
    <row r="1122" spans="1:9" ht="15.75" customHeight="1">
      <c r="A1122" s="26"/>
      <c r="B1122" s="2"/>
      <c r="C1122" s="26"/>
      <c r="D1122" s="26"/>
      <c r="F1122" s="85" t="str">
        <f t="shared" si="0"/>
        <v/>
      </c>
      <c r="G1122" s="1" t="e">
        <f>IF(VALUE(F1122) = VALUE(RIGHT(Insights!$C$3, 4)), E1122, "")</f>
        <v>#VALUE!</v>
      </c>
      <c r="H1122" s="26" t="e">
        <f t="shared" si="1"/>
        <v>#VALUE!</v>
      </c>
      <c r="I1122" s="1" t="e">
        <f t="shared" si="2"/>
        <v>#VALUE!</v>
      </c>
    </row>
    <row r="1123" spans="1:9" ht="15.75" customHeight="1">
      <c r="A1123" s="26"/>
      <c r="B1123" s="2"/>
      <c r="C1123" s="26"/>
      <c r="D1123" s="26"/>
      <c r="F1123" s="85" t="str">
        <f t="shared" si="0"/>
        <v/>
      </c>
      <c r="G1123" s="1" t="e">
        <f>IF(VALUE(F1123) = VALUE(RIGHT(Insights!$C$3, 4)), E1123, "")</f>
        <v>#VALUE!</v>
      </c>
      <c r="H1123" s="26" t="e">
        <f t="shared" si="1"/>
        <v>#VALUE!</v>
      </c>
      <c r="I1123" s="1" t="e">
        <f t="shared" si="2"/>
        <v>#VALUE!</v>
      </c>
    </row>
    <row r="1124" spans="1:9" ht="15.75" customHeight="1">
      <c r="A1124" s="26"/>
      <c r="B1124" s="2"/>
      <c r="C1124" s="26"/>
      <c r="D1124" s="26"/>
      <c r="F1124" s="85" t="str">
        <f t="shared" si="0"/>
        <v/>
      </c>
      <c r="G1124" s="1" t="e">
        <f>IF(VALUE(F1124) = VALUE(RIGHT(Insights!$C$3, 4)), E1124, "")</f>
        <v>#VALUE!</v>
      </c>
      <c r="H1124" s="26" t="e">
        <f t="shared" si="1"/>
        <v>#VALUE!</v>
      </c>
      <c r="I1124" s="1" t="e">
        <f t="shared" si="2"/>
        <v>#VALUE!</v>
      </c>
    </row>
    <row r="1125" spans="1:9" ht="15.75" customHeight="1">
      <c r="A1125" s="26"/>
      <c r="B1125" s="2"/>
      <c r="C1125" s="26"/>
      <c r="D1125" s="26"/>
      <c r="F1125" s="85" t="str">
        <f t="shared" si="0"/>
        <v/>
      </c>
      <c r="G1125" s="1" t="e">
        <f>IF(VALUE(F1125) = VALUE(RIGHT(Insights!$C$3, 4)), E1125, "")</f>
        <v>#VALUE!</v>
      </c>
      <c r="H1125" s="26" t="e">
        <f t="shared" si="1"/>
        <v>#VALUE!</v>
      </c>
      <c r="I1125" s="1" t="e">
        <f t="shared" si="2"/>
        <v>#VALUE!</v>
      </c>
    </row>
    <row r="1126" spans="1:9" ht="15.75" customHeight="1">
      <c r="A1126" s="26"/>
      <c r="B1126" s="2"/>
      <c r="C1126" s="26"/>
      <c r="D1126" s="26"/>
      <c r="F1126" s="85" t="str">
        <f t="shared" si="0"/>
        <v/>
      </c>
      <c r="G1126" s="1" t="e">
        <f>IF(VALUE(F1126) = VALUE(RIGHT(Insights!$C$3, 4)), E1126, "")</f>
        <v>#VALUE!</v>
      </c>
      <c r="H1126" s="26" t="e">
        <f t="shared" si="1"/>
        <v>#VALUE!</v>
      </c>
      <c r="I1126" s="1" t="e">
        <f t="shared" si="2"/>
        <v>#VALUE!</v>
      </c>
    </row>
    <row r="1127" spans="1:9" ht="15.75" customHeight="1">
      <c r="A1127" s="26"/>
      <c r="B1127" s="2"/>
      <c r="C1127" s="26"/>
      <c r="D1127" s="26"/>
      <c r="F1127" s="85" t="str">
        <f t="shared" si="0"/>
        <v/>
      </c>
      <c r="G1127" s="1" t="e">
        <f>IF(VALUE(F1127) = VALUE(RIGHT(Insights!$C$3, 4)), E1127, "")</f>
        <v>#VALUE!</v>
      </c>
      <c r="H1127" s="26" t="e">
        <f t="shared" si="1"/>
        <v>#VALUE!</v>
      </c>
      <c r="I1127" s="1" t="e">
        <f t="shared" si="2"/>
        <v>#VALUE!</v>
      </c>
    </row>
    <row r="1128" spans="1:9" ht="15.75" customHeight="1">
      <c r="A1128" s="26"/>
      <c r="B1128" s="2"/>
      <c r="C1128" s="26"/>
      <c r="D1128" s="26"/>
      <c r="F1128" s="85" t="str">
        <f t="shared" si="0"/>
        <v/>
      </c>
      <c r="G1128" s="1" t="e">
        <f>IF(VALUE(F1128) = VALUE(RIGHT(Insights!$C$3, 4)), E1128, "")</f>
        <v>#VALUE!</v>
      </c>
      <c r="H1128" s="26" t="e">
        <f t="shared" si="1"/>
        <v>#VALUE!</v>
      </c>
      <c r="I1128" s="1" t="e">
        <f t="shared" si="2"/>
        <v>#VALUE!</v>
      </c>
    </row>
    <row r="1129" spans="1:9" ht="15.75" customHeight="1">
      <c r="A1129" s="26"/>
      <c r="B1129" s="2"/>
      <c r="C1129" s="26"/>
      <c r="D1129" s="26"/>
      <c r="F1129" s="85" t="str">
        <f t="shared" si="0"/>
        <v/>
      </c>
      <c r="G1129" s="1" t="e">
        <f>IF(VALUE(F1129) = VALUE(RIGHT(Insights!$C$3, 4)), E1129, "")</f>
        <v>#VALUE!</v>
      </c>
      <c r="H1129" s="26" t="e">
        <f t="shared" si="1"/>
        <v>#VALUE!</v>
      </c>
      <c r="I1129" s="1" t="e">
        <f t="shared" si="2"/>
        <v>#VALUE!</v>
      </c>
    </row>
    <row r="1130" spans="1:9" ht="15.75" customHeight="1">
      <c r="A1130" s="26"/>
      <c r="B1130" s="2"/>
      <c r="C1130" s="26"/>
      <c r="D1130" s="26"/>
      <c r="F1130" s="85" t="str">
        <f t="shared" si="0"/>
        <v/>
      </c>
      <c r="G1130" s="1" t="e">
        <f>IF(VALUE(F1130) = VALUE(RIGHT(Insights!$C$3, 4)), E1130, "")</f>
        <v>#VALUE!</v>
      </c>
      <c r="H1130" s="26" t="e">
        <f t="shared" si="1"/>
        <v>#VALUE!</v>
      </c>
      <c r="I1130" s="1" t="e">
        <f t="shared" si="2"/>
        <v>#VALUE!</v>
      </c>
    </row>
    <row r="1131" spans="1:9" ht="15.75" customHeight="1">
      <c r="A1131" s="26"/>
      <c r="B1131" s="2"/>
      <c r="C1131" s="26"/>
      <c r="D1131" s="26"/>
      <c r="F1131" s="85" t="str">
        <f t="shared" si="0"/>
        <v/>
      </c>
      <c r="G1131" s="1" t="e">
        <f>IF(VALUE(F1131) = VALUE(RIGHT(Insights!$C$3, 4)), E1131, "")</f>
        <v>#VALUE!</v>
      </c>
      <c r="H1131" s="26" t="e">
        <f t="shared" si="1"/>
        <v>#VALUE!</v>
      </c>
      <c r="I1131" s="1" t="e">
        <f t="shared" si="2"/>
        <v>#VALUE!</v>
      </c>
    </row>
    <row r="1132" spans="1:9" ht="15.75" customHeight="1">
      <c r="A1132" s="26"/>
      <c r="B1132" s="2"/>
      <c r="C1132" s="26"/>
      <c r="D1132" s="26"/>
      <c r="F1132" s="85" t="str">
        <f t="shared" si="0"/>
        <v/>
      </c>
      <c r="G1132" s="1" t="e">
        <f>IF(VALUE(F1132) = VALUE(RIGHT(Insights!$C$3, 4)), E1132, "")</f>
        <v>#VALUE!</v>
      </c>
      <c r="H1132" s="26" t="e">
        <f t="shared" si="1"/>
        <v>#VALUE!</v>
      </c>
      <c r="I1132" s="1" t="e">
        <f t="shared" si="2"/>
        <v>#VALUE!</v>
      </c>
    </row>
    <row r="1133" spans="1:9" ht="15.75" customHeight="1">
      <c r="A1133" s="26"/>
      <c r="B1133" s="2"/>
      <c r="C1133" s="26"/>
      <c r="D1133" s="26"/>
      <c r="F1133" s="85" t="str">
        <f t="shared" si="0"/>
        <v/>
      </c>
      <c r="G1133" s="1" t="e">
        <f>IF(VALUE(F1133) = VALUE(RIGHT(Insights!$C$3, 4)), E1133, "")</f>
        <v>#VALUE!</v>
      </c>
      <c r="H1133" s="26" t="e">
        <f t="shared" si="1"/>
        <v>#VALUE!</v>
      </c>
      <c r="I1133" s="1" t="e">
        <f t="shared" si="2"/>
        <v>#VALUE!</v>
      </c>
    </row>
    <row r="1134" spans="1:9" ht="15.75" customHeight="1">
      <c r="A1134" s="26"/>
      <c r="B1134" s="2"/>
      <c r="C1134" s="26"/>
      <c r="D1134" s="26"/>
      <c r="F1134" s="85" t="str">
        <f t="shared" si="0"/>
        <v/>
      </c>
      <c r="G1134" s="1" t="e">
        <f>IF(VALUE(F1134) = VALUE(RIGHT(Insights!$C$3, 4)), E1134, "")</f>
        <v>#VALUE!</v>
      </c>
      <c r="H1134" s="26" t="e">
        <f t="shared" si="1"/>
        <v>#VALUE!</v>
      </c>
      <c r="I1134" s="1" t="e">
        <f t="shared" si="2"/>
        <v>#VALUE!</v>
      </c>
    </row>
    <row r="1135" spans="1:9" ht="15.75" customHeight="1">
      <c r="A1135" s="26"/>
      <c r="B1135" s="2"/>
      <c r="C1135" s="26"/>
      <c r="D1135" s="26"/>
      <c r="F1135" s="85" t="str">
        <f t="shared" si="0"/>
        <v/>
      </c>
      <c r="G1135" s="1" t="e">
        <f>IF(VALUE(F1135) = VALUE(RIGHT(Insights!$C$3, 4)), E1135, "")</f>
        <v>#VALUE!</v>
      </c>
      <c r="H1135" s="26" t="e">
        <f t="shared" si="1"/>
        <v>#VALUE!</v>
      </c>
      <c r="I1135" s="1" t="e">
        <f t="shared" si="2"/>
        <v>#VALUE!</v>
      </c>
    </row>
    <row r="1136" spans="1:9" ht="15.75" customHeight="1">
      <c r="A1136" s="26"/>
      <c r="B1136" s="2"/>
      <c r="C1136" s="26"/>
      <c r="D1136" s="26"/>
      <c r="F1136" s="85" t="str">
        <f t="shared" si="0"/>
        <v/>
      </c>
      <c r="G1136" s="1" t="e">
        <f>IF(VALUE(F1136) = VALUE(RIGHT(Insights!$C$3, 4)), E1136, "")</f>
        <v>#VALUE!</v>
      </c>
      <c r="H1136" s="26" t="e">
        <f t="shared" si="1"/>
        <v>#VALUE!</v>
      </c>
      <c r="I1136" s="1" t="e">
        <f t="shared" si="2"/>
        <v>#VALUE!</v>
      </c>
    </row>
    <row r="1137" spans="1:9" ht="15.75" customHeight="1">
      <c r="A1137" s="26"/>
      <c r="B1137" s="2"/>
      <c r="C1137" s="26"/>
      <c r="D1137" s="26"/>
      <c r="F1137" s="85" t="str">
        <f t="shared" si="0"/>
        <v/>
      </c>
      <c r="G1137" s="1" t="e">
        <f>IF(VALUE(F1137) = VALUE(RIGHT(Insights!$C$3, 4)), E1137, "")</f>
        <v>#VALUE!</v>
      </c>
      <c r="H1137" s="26" t="e">
        <f t="shared" si="1"/>
        <v>#VALUE!</v>
      </c>
      <c r="I1137" s="1" t="e">
        <f t="shared" si="2"/>
        <v>#VALUE!</v>
      </c>
    </row>
    <row r="1138" spans="1:9" ht="15.75" customHeight="1">
      <c r="A1138" s="26"/>
      <c r="B1138" s="2"/>
      <c r="C1138" s="26"/>
      <c r="D1138" s="26"/>
      <c r="F1138" s="85" t="str">
        <f t="shared" si="0"/>
        <v/>
      </c>
      <c r="G1138" s="1" t="e">
        <f>IF(VALUE(F1138) = VALUE(RIGHT(Insights!$C$3, 4)), E1138, "")</f>
        <v>#VALUE!</v>
      </c>
      <c r="H1138" s="26" t="e">
        <f t="shared" si="1"/>
        <v>#VALUE!</v>
      </c>
      <c r="I1138" s="1" t="e">
        <f t="shared" si="2"/>
        <v>#VALUE!</v>
      </c>
    </row>
    <row r="1139" spans="1:9" ht="15.75" customHeight="1">
      <c r="A1139" s="26"/>
      <c r="B1139" s="2"/>
      <c r="C1139" s="26"/>
      <c r="D1139" s="26"/>
      <c r="F1139" s="85" t="str">
        <f t="shared" si="0"/>
        <v/>
      </c>
      <c r="G1139" s="1" t="e">
        <f>IF(VALUE(F1139) = VALUE(RIGHT(Insights!$C$3, 4)), E1139, "")</f>
        <v>#VALUE!</v>
      </c>
      <c r="H1139" s="26" t="e">
        <f t="shared" si="1"/>
        <v>#VALUE!</v>
      </c>
      <c r="I1139" s="1" t="e">
        <f t="shared" si="2"/>
        <v>#VALUE!</v>
      </c>
    </row>
    <row r="1140" spans="1:9" ht="15.75" customHeight="1">
      <c r="A1140" s="26"/>
      <c r="B1140" s="2"/>
      <c r="C1140" s="26"/>
      <c r="D1140" s="26"/>
      <c r="F1140" s="85" t="str">
        <f t="shared" si="0"/>
        <v/>
      </c>
      <c r="G1140" s="1" t="e">
        <f>IF(VALUE(F1140) = VALUE(RIGHT(Insights!$C$3, 4)), E1140, "")</f>
        <v>#VALUE!</v>
      </c>
      <c r="H1140" s="26" t="e">
        <f t="shared" si="1"/>
        <v>#VALUE!</v>
      </c>
      <c r="I1140" s="1" t="e">
        <f t="shared" si="2"/>
        <v>#VALUE!</v>
      </c>
    </row>
    <row r="1141" spans="1:9" ht="15.75" customHeight="1">
      <c r="A1141" s="26"/>
      <c r="B1141" s="2"/>
      <c r="C1141" s="26"/>
      <c r="D1141" s="26"/>
      <c r="F1141" s="85" t="str">
        <f t="shared" si="0"/>
        <v/>
      </c>
      <c r="G1141" s="1" t="e">
        <f>IF(VALUE(F1141) = VALUE(RIGHT(Insights!$C$3, 4)), E1141, "")</f>
        <v>#VALUE!</v>
      </c>
      <c r="H1141" s="26" t="e">
        <f t="shared" si="1"/>
        <v>#VALUE!</v>
      </c>
      <c r="I1141" s="1" t="e">
        <f t="shared" si="2"/>
        <v>#VALUE!</v>
      </c>
    </row>
    <row r="1142" spans="1:9" ht="15.75" customHeight="1">
      <c r="A1142" s="26"/>
      <c r="B1142" s="2"/>
      <c r="C1142" s="26"/>
      <c r="D1142" s="26"/>
      <c r="F1142" s="85" t="str">
        <f t="shared" si="0"/>
        <v/>
      </c>
      <c r="G1142" s="1" t="e">
        <f>IF(VALUE(F1142) = VALUE(RIGHT(Insights!$C$3, 4)), E1142, "")</f>
        <v>#VALUE!</v>
      </c>
      <c r="H1142" s="26" t="e">
        <f t="shared" si="1"/>
        <v>#VALUE!</v>
      </c>
      <c r="I1142" s="1" t="e">
        <f t="shared" si="2"/>
        <v>#VALUE!</v>
      </c>
    </row>
    <row r="1143" spans="1:9" ht="15.75" customHeight="1">
      <c r="A1143" s="26"/>
      <c r="B1143" s="2"/>
      <c r="C1143" s="26"/>
      <c r="D1143" s="26"/>
      <c r="F1143" s="85" t="str">
        <f t="shared" si="0"/>
        <v/>
      </c>
      <c r="G1143" s="1" t="e">
        <f>IF(VALUE(F1143) = VALUE(RIGHT(Insights!$C$3, 4)), E1143, "")</f>
        <v>#VALUE!</v>
      </c>
      <c r="H1143" s="26" t="e">
        <f t="shared" si="1"/>
        <v>#VALUE!</v>
      </c>
      <c r="I1143" s="1" t="e">
        <f t="shared" si="2"/>
        <v>#VALUE!</v>
      </c>
    </row>
    <row r="1144" spans="1:9" ht="15.75" customHeight="1">
      <c r="A1144" s="26"/>
      <c r="B1144" s="2"/>
      <c r="C1144" s="26"/>
      <c r="D1144" s="26"/>
      <c r="F1144" s="85" t="str">
        <f t="shared" si="0"/>
        <v/>
      </c>
      <c r="G1144" s="1" t="e">
        <f>IF(VALUE(F1144) = VALUE(RIGHT(Insights!$C$3, 4)), E1144, "")</f>
        <v>#VALUE!</v>
      </c>
      <c r="H1144" s="26" t="e">
        <f t="shared" si="1"/>
        <v>#VALUE!</v>
      </c>
      <c r="I1144" s="1" t="e">
        <f t="shared" si="2"/>
        <v>#VALUE!</v>
      </c>
    </row>
    <row r="1145" spans="1:9" ht="15.75" customHeight="1">
      <c r="A1145" s="26"/>
      <c r="B1145" s="2"/>
      <c r="C1145" s="26"/>
      <c r="D1145" s="26"/>
      <c r="F1145" s="85" t="str">
        <f t="shared" si="0"/>
        <v/>
      </c>
      <c r="G1145" s="1" t="e">
        <f>IF(VALUE(F1145) = VALUE(RIGHT(Insights!$C$3, 4)), E1145, "")</f>
        <v>#VALUE!</v>
      </c>
      <c r="H1145" s="26" t="e">
        <f t="shared" si="1"/>
        <v>#VALUE!</v>
      </c>
      <c r="I1145" s="1" t="e">
        <f t="shared" si="2"/>
        <v>#VALUE!</v>
      </c>
    </row>
    <row r="1146" spans="1:9" ht="15.75" customHeight="1">
      <c r="A1146" s="26"/>
      <c r="B1146" s="2"/>
      <c r="C1146" s="26"/>
      <c r="D1146" s="26"/>
      <c r="F1146" s="85" t="str">
        <f t="shared" si="0"/>
        <v/>
      </c>
      <c r="G1146" s="1" t="e">
        <f>IF(VALUE(F1146) = VALUE(RIGHT(Insights!$C$3, 4)), E1146, "")</f>
        <v>#VALUE!</v>
      </c>
      <c r="H1146" s="26" t="e">
        <f t="shared" si="1"/>
        <v>#VALUE!</v>
      </c>
      <c r="I1146" s="1" t="e">
        <f t="shared" si="2"/>
        <v>#VALUE!</v>
      </c>
    </row>
    <row r="1147" spans="1:9" ht="15.75" customHeight="1">
      <c r="A1147" s="26"/>
      <c r="B1147" s="2"/>
      <c r="C1147" s="26"/>
      <c r="D1147" s="26"/>
      <c r="F1147" s="85" t="str">
        <f t="shared" si="0"/>
        <v/>
      </c>
      <c r="G1147" s="1" t="e">
        <f>IF(VALUE(F1147) = VALUE(RIGHT(Insights!$C$3, 4)), E1147, "")</f>
        <v>#VALUE!</v>
      </c>
      <c r="H1147" s="26" t="e">
        <f t="shared" si="1"/>
        <v>#VALUE!</v>
      </c>
      <c r="I1147" s="1" t="e">
        <f t="shared" si="2"/>
        <v>#VALUE!</v>
      </c>
    </row>
    <row r="1148" spans="1:9" ht="15.75" customHeight="1">
      <c r="A1148" s="26"/>
      <c r="B1148" s="2"/>
      <c r="C1148" s="26"/>
      <c r="D1148" s="26"/>
      <c r="F1148" s="85" t="str">
        <f t="shared" si="0"/>
        <v/>
      </c>
      <c r="G1148" s="1" t="e">
        <f>IF(VALUE(F1148) = VALUE(RIGHT(Insights!$C$3, 4)), E1148, "")</f>
        <v>#VALUE!</v>
      </c>
      <c r="H1148" s="26" t="e">
        <f t="shared" si="1"/>
        <v>#VALUE!</v>
      </c>
      <c r="I1148" s="1" t="e">
        <f t="shared" si="2"/>
        <v>#VALUE!</v>
      </c>
    </row>
    <row r="1149" spans="1:9" ht="15.75" customHeight="1">
      <c r="A1149" s="26"/>
      <c r="B1149" s="2"/>
      <c r="C1149" s="26"/>
      <c r="D1149" s="26"/>
      <c r="F1149" s="85" t="str">
        <f t="shared" si="0"/>
        <v/>
      </c>
      <c r="G1149" s="1" t="e">
        <f>IF(VALUE(F1149) = VALUE(RIGHT(Insights!$C$3, 4)), E1149, "")</f>
        <v>#VALUE!</v>
      </c>
      <c r="H1149" s="26" t="e">
        <f t="shared" si="1"/>
        <v>#VALUE!</v>
      </c>
      <c r="I1149" s="1" t="e">
        <f t="shared" si="2"/>
        <v>#VALUE!</v>
      </c>
    </row>
    <row r="1150" spans="1:9" ht="15.75" customHeight="1">
      <c r="A1150" s="26"/>
      <c r="B1150" s="2"/>
      <c r="C1150" s="26"/>
      <c r="D1150" s="26"/>
      <c r="F1150" s="85" t="str">
        <f t="shared" si="0"/>
        <v/>
      </c>
      <c r="G1150" s="1" t="e">
        <f>IF(VALUE(F1150) = VALUE(RIGHT(Insights!$C$3, 4)), E1150, "")</f>
        <v>#VALUE!</v>
      </c>
      <c r="H1150" s="26" t="e">
        <f t="shared" si="1"/>
        <v>#VALUE!</v>
      </c>
      <c r="I1150" s="1" t="e">
        <f t="shared" si="2"/>
        <v>#VALUE!</v>
      </c>
    </row>
    <row r="1151" spans="1:9" ht="15.75" customHeight="1">
      <c r="A1151" s="26"/>
      <c r="B1151" s="2"/>
      <c r="C1151" s="26"/>
      <c r="D1151" s="26"/>
      <c r="F1151" s="85" t="str">
        <f t="shared" si="0"/>
        <v/>
      </c>
      <c r="G1151" s="1" t="e">
        <f>IF(VALUE(F1151) = VALUE(RIGHT(Insights!$C$3, 4)), E1151, "")</f>
        <v>#VALUE!</v>
      </c>
      <c r="H1151" s="26" t="e">
        <f t="shared" si="1"/>
        <v>#VALUE!</v>
      </c>
      <c r="I1151" s="1" t="e">
        <f t="shared" si="2"/>
        <v>#VALUE!</v>
      </c>
    </row>
    <row r="1152" spans="1:9" ht="15.75" customHeight="1">
      <c r="A1152" s="26"/>
      <c r="B1152" s="2"/>
      <c r="C1152" s="26"/>
      <c r="D1152" s="26"/>
      <c r="F1152" s="85" t="str">
        <f t="shared" si="0"/>
        <v/>
      </c>
      <c r="G1152" s="1" t="e">
        <f>IF(VALUE(F1152) = VALUE(RIGHT(Insights!$C$3, 4)), E1152, "")</f>
        <v>#VALUE!</v>
      </c>
      <c r="H1152" s="26" t="e">
        <f t="shared" si="1"/>
        <v>#VALUE!</v>
      </c>
      <c r="I1152" s="1" t="e">
        <f t="shared" si="2"/>
        <v>#VALUE!</v>
      </c>
    </row>
    <row r="1153" spans="1:9" ht="15.75" customHeight="1">
      <c r="A1153" s="26"/>
      <c r="B1153" s="2"/>
      <c r="C1153" s="26"/>
      <c r="D1153" s="26"/>
      <c r="F1153" s="85" t="str">
        <f t="shared" si="0"/>
        <v/>
      </c>
      <c r="G1153" s="1" t="e">
        <f>IF(VALUE(F1153) = VALUE(RIGHT(Insights!$C$3, 4)), E1153, "")</f>
        <v>#VALUE!</v>
      </c>
      <c r="H1153" s="26" t="e">
        <f t="shared" si="1"/>
        <v>#VALUE!</v>
      </c>
      <c r="I1153" s="1" t="e">
        <f t="shared" si="2"/>
        <v>#VALUE!</v>
      </c>
    </row>
    <row r="1154" spans="1:9" ht="15.75" customHeight="1">
      <c r="A1154" s="26"/>
      <c r="B1154" s="2"/>
      <c r="C1154" s="26"/>
      <c r="D1154" s="26"/>
      <c r="F1154" s="85" t="str">
        <f t="shared" si="0"/>
        <v/>
      </c>
      <c r="G1154" s="1" t="e">
        <f>IF(VALUE(F1154) = VALUE(RIGHT(Insights!$C$3, 4)), E1154, "")</f>
        <v>#VALUE!</v>
      </c>
      <c r="H1154" s="26" t="e">
        <f t="shared" si="1"/>
        <v>#VALUE!</v>
      </c>
      <c r="I1154" s="1" t="e">
        <f t="shared" si="2"/>
        <v>#VALUE!</v>
      </c>
    </row>
    <row r="1155" spans="1:9" ht="15.75" customHeight="1">
      <c r="A1155" s="26"/>
      <c r="B1155" s="2"/>
      <c r="C1155" s="26"/>
      <c r="D1155" s="26"/>
      <c r="F1155" s="85" t="str">
        <f t="shared" si="0"/>
        <v/>
      </c>
      <c r="G1155" s="1" t="e">
        <f>IF(VALUE(F1155) = VALUE(RIGHT(Insights!$C$3, 4)), E1155, "")</f>
        <v>#VALUE!</v>
      </c>
      <c r="H1155" s="26" t="e">
        <f t="shared" si="1"/>
        <v>#VALUE!</v>
      </c>
      <c r="I1155" s="1" t="e">
        <f t="shared" si="2"/>
        <v>#VALUE!</v>
      </c>
    </row>
    <row r="1156" spans="1:9" ht="15.75" customHeight="1">
      <c r="A1156" s="26"/>
      <c r="B1156" s="2"/>
      <c r="C1156" s="26"/>
      <c r="D1156" s="26"/>
      <c r="F1156" s="85" t="str">
        <f t="shared" si="0"/>
        <v/>
      </c>
      <c r="G1156" s="1" t="e">
        <f>IF(VALUE(F1156) = VALUE(RIGHT(Insights!$C$3, 4)), E1156, "")</f>
        <v>#VALUE!</v>
      </c>
      <c r="H1156" s="26" t="e">
        <f t="shared" si="1"/>
        <v>#VALUE!</v>
      </c>
      <c r="I1156" s="1" t="e">
        <f t="shared" si="2"/>
        <v>#VALUE!</v>
      </c>
    </row>
    <row r="1157" spans="1:9" ht="15.75" customHeight="1">
      <c r="A1157" s="26"/>
      <c r="B1157" s="2"/>
      <c r="C1157" s="26"/>
      <c r="D1157" s="26"/>
      <c r="F1157" s="85" t="str">
        <f t="shared" si="0"/>
        <v/>
      </c>
      <c r="G1157" s="1" t="e">
        <f>IF(VALUE(F1157) = VALUE(RIGHT(Insights!$C$3, 4)), E1157, "")</f>
        <v>#VALUE!</v>
      </c>
      <c r="H1157" s="26" t="e">
        <f t="shared" si="1"/>
        <v>#VALUE!</v>
      </c>
      <c r="I1157" s="1" t="e">
        <f t="shared" si="2"/>
        <v>#VALUE!</v>
      </c>
    </row>
    <row r="1158" spans="1:9" ht="15.75" customHeight="1">
      <c r="A1158" s="26"/>
      <c r="B1158" s="2"/>
      <c r="C1158" s="26"/>
      <c r="D1158" s="26"/>
      <c r="F1158" s="85" t="str">
        <f t="shared" si="0"/>
        <v/>
      </c>
      <c r="G1158" s="1" t="e">
        <f>IF(VALUE(F1158) = VALUE(RIGHT(Insights!$C$3, 4)), E1158, "")</f>
        <v>#VALUE!</v>
      </c>
      <c r="H1158" s="26" t="e">
        <f t="shared" si="1"/>
        <v>#VALUE!</v>
      </c>
      <c r="I1158" s="1" t="e">
        <f t="shared" si="2"/>
        <v>#VALUE!</v>
      </c>
    </row>
    <row r="1159" spans="1:9" ht="15.75" customHeight="1">
      <c r="A1159" s="26"/>
      <c r="B1159" s="2"/>
      <c r="C1159" s="26"/>
      <c r="D1159" s="26"/>
      <c r="F1159" s="85" t="str">
        <f t="shared" si="0"/>
        <v/>
      </c>
      <c r="G1159" s="1" t="e">
        <f>IF(VALUE(F1159) = VALUE(RIGHT(Insights!$C$3, 4)), E1159, "")</f>
        <v>#VALUE!</v>
      </c>
      <c r="H1159" s="26" t="e">
        <f t="shared" si="1"/>
        <v>#VALUE!</v>
      </c>
      <c r="I1159" s="1" t="e">
        <f t="shared" si="2"/>
        <v>#VALUE!</v>
      </c>
    </row>
    <row r="1160" spans="1:9" ht="15.75" customHeight="1">
      <c r="A1160" s="26"/>
      <c r="B1160" s="2"/>
      <c r="C1160" s="26"/>
      <c r="D1160" s="26"/>
      <c r="F1160" s="85" t="str">
        <f t="shared" si="0"/>
        <v/>
      </c>
      <c r="G1160" s="1" t="e">
        <f>IF(VALUE(F1160) = VALUE(RIGHT(Insights!$C$3, 4)), E1160, "")</f>
        <v>#VALUE!</v>
      </c>
      <c r="H1160" s="26" t="e">
        <f t="shared" si="1"/>
        <v>#VALUE!</v>
      </c>
      <c r="I1160" s="1" t="e">
        <f t="shared" si="2"/>
        <v>#VALUE!</v>
      </c>
    </row>
    <row r="1161" spans="1:9" ht="15.75" customHeight="1">
      <c r="A1161" s="26"/>
      <c r="B1161" s="2"/>
      <c r="C1161" s="26"/>
      <c r="D1161" s="26"/>
      <c r="F1161" s="85" t="str">
        <f t="shared" si="0"/>
        <v/>
      </c>
      <c r="G1161" s="1" t="e">
        <f>IF(VALUE(F1161) = VALUE(RIGHT(Insights!$C$3, 4)), E1161, "")</f>
        <v>#VALUE!</v>
      </c>
      <c r="H1161" s="26" t="e">
        <f t="shared" si="1"/>
        <v>#VALUE!</v>
      </c>
      <c r="I1161" s="1" t="e">
        <f t="shared" si="2"/>
        <v>#VALUE!</v>
      </c>
    </row>
    <row r="1162" spans="1:9" ht="15.75" customHeight="1">
      <c r="A1162" s="26"/>
      <c r="B1162" s="2"/>
      <c r="C1162" s="26"/>
      <c r="D1162" s="26"/>
      <c r="F1162" s="85" t="str">
        <f t="shared" si="0"/>
        <v/>
      </c>
      <c r="G1162" s="1" t="e">
        <f>IF(VALUE(F1162) = VALUE(RIGHT(Insights!$C$3, 4)), E1162, "")</f>
        <v>#VALUE!</v>
      </c>
      <c r="H1162" s="26" t="e">
        <f t="shared" si="1"/>
        <v>#VALUE!</v>
      </c>
      <c r="I1162" s="1" t="e">
        <f t="shared" si="2"/>
        <v>#VALUE!</v>
      </c>
    </row>
    <row r="1163" spans="1:9" ht="15.75" customHeight="1">
      <c r="A1163" s="26"/>
      <c r="B1163" s="2"/>
      <c r="C1163" s="26"/>
      <c r="D1163" s="26"/>
      <c r="F1163" s="85" t="str">
        <f t="shared" si="0"/>
        <v/>
      </c>
      <c r="G1163" s="1" t="e">
        <f>IF(VALUE(F1163) = VALUE(RIGHT(Insights!$C$3, 4)), E1163, "")</f>
        <v>#VALUE!</v>
      </c>
      <c r="H1163" s="26" t="e">
        <f t="shared" si="1"/>
        <v>#VALUE!</v>
      </c>
      <c r="I1163" s="1" t="e">
        <f t="shared" si="2"/>
        <v>#VALUE!</v>
      </c>
    </row>
    <row r="1164" spans="1:9" ht="15.75" customHeight="1">
      <c r="A1164" s="26"/>
      <c r="B1164" s="2"/>
      <c r="C1164" s="26"/>
      <c r="D1164" s="26"/>
      <c r="F1164" s="85" t="str">
        <f t="shared" si="0"/>
        <v/>
      </c>
      <c r="G1164" s="1" t="e">
        <f>IF(VALUE(F1164) = VALUE(RIGHT(Insights!$C$3, 4)), E1164, "")</f>
        <v>#VALUE!</v>
      </c>
      <c r="H1164" s="26" t="e">
        <f t="shared" si="1"/>
        <v>#VALUE!</v>
      </c>
      <c r="I1164" s="1" t="e">
        <f t="shared" si="2"/>
        <v>#VALUE!</v>
      </c>
    </row>
    <row r="1165" spans="1:9" ht="15.75" customHeight="1">
      <c r="A1165" s="26"/>
      <c r="B1165" s="2"/>
      <c r="C1165" s="26"/>
      <c r="D1165" s="26"/>
      <c r="F1165" s="85" t="str">
        <f t="shared" si="0"/>
        <v/>
      </c>
      <c r="G1165" s="1" t="e">
        <f>IF(VALUE(F1165) = VALUE(RIGHT(Insights!$C$3, 4)), E1165, "")</f>
        <v>#VALUE!</v>
      </c>
      <c r="H1165" s="26" t="e">
        <f t="shared" si="1"/>
        <v>#VALUE!</v>
      </c>
      <c r="I1165" s="1" t="e">
        <f t="shared" si="2"/>
        <v>#VALUE!</v>
      </c>
    </row>
    <row r="1166" spans="1:9" ht="15.75" customHeight="1">
      <c r="A1166" s="26"/>
      <c r="B1166" s="2"/>
      <c r="C1166" s="26"/>
      <c r="D1166" s="26"/>
      <c r="F1166" s="85" t="str">
        <f t="shared" si="0"/>
        <v/>
      </c>
      <c r="G1166" s="1" t="e">
        <f>IF(VALUE(F1166) = VALUE(RIGHT(Insights!$C$3, 4)), E1166, "")</f>
        <v>#VALUE!</v>
      </c>
      <c r="H1166" s="26" t="e">
        <f t="shared" si="1"/>
        <v>#VALUE!</v>
      </c>
      <c r="I1166" s="1" t="e">
        <f t="shared" si="2"/>
        <v>#VALUE!</v>
      </c>
    </row>
    <row r="1167" spans="1:9" ht="15.75" customHeight="1">
      <c r="A1167" s="26"/>
      <c r="B1167" s="2"/>
      <c r="C1167" s="26"/>
      <c r="D1167" s="26"/>
      <c r="F1167" s="85" t="str">
        <f t="shared" si="0"/>
        <v/>
      </c>
      <c r="G1167" s="1" t="e">
        <f>IF(VALUE(F1167) = VALUE(RIGHT(Insights!$C$3, 4)), E1167, "")</f>
        <v>#VALUE!</v>
      </c>
      <c r="H1167" s="26" t="e">
        <f t="shared" si="1"/>
        <v>#VALUE!</v>
      </c>
      <c r="I1167" s="1" t="e">
        <f t="shared" si="2"/>
        <v>#VALUE!</v>
      </c>
    </row>
    <row r="1168" spans="1:9" ht="15.75" customHeight="1">
      <c r="A1168" s="26"/>
      <c r="B1168" s="2"/>
      <c r="C1168" s="26"/>
      <c r="D1168" s="26"/>
      <c r="F1168" s="85" t="str">
        <f t="shared" si="0"/>
        <v/>
      </c>
      <c r="G1168" s="1" t="e">
        <f>IF(VALUE(F1168) = VALUE(RIGHT(Insights!$C$3, 4)), E1168, "")</f>
        <v>#VALUE!</v>
      </c>
      <c r="H1168" s="26" t="e">
        <f t="shared" si="1"/>
        <v>#VALUE!</v>
      </c>
      <c r="I1168" s="1" t="e">
        <f t="shared" si="2"/>
        <v>#VALUE!</v>
      </c>
    </row>
    <row r="1169" spans="1:9" ht="15.75" customHeight="1">
      <c r="A1169" s="26"/>
      <c r="B1169" s="2"/>
      <c r="C1169" s="26"/>
      <c r="D1169" s="26"/>
      <c r="F1169" s="85" t="str">
        <f t="shared" si="0"/>
        <v/>
      </c>
      <c r="G1169" s="1" t="e">
        <f>IF(VALUE(F1169) = VALUE(RIGHT(Insights!$C$3, 4)), E1169, "")</f>
        <v>#VALUE!</v>
      </c>
      <c r="H1169" s="26" t="e">
        <f t="shared" si="1"/>
        <v>#VALUE!</v>
      </c>
      <c r="I1169" s="1" t="e">
        <f t="shared" si="2"/>
        <v>#VALUE!</v>
      </c>
    </row>
    <row r="1170" spans="1:9" ht="15.75" customHeight="1">
      <c r="A1170" s="26"/>
      <c r="B1170" s="2"/>
      <c r="C1170" s="26"/>
      <c r="D1170" s="26"/>
      <c r="F1170" s="85" t="str">
        <f t="shared" si="0"/>
        <v/>
      </c>
      <c r="G1170" s="1" t="e">
        <f>IF(VALUE(F1170) = VALUE(RIGHT(Insights!$C$3, 4)), E1170, "")</f>
        <v>#VALUE!</v>
      </c>
      <c r="H1170" s="26" t="e">
        <f t="shared" si="1"/>
        <v>#VALUE!</v>
      </c>
      <c r="I1170" s="1" t="e">
        <f t="shared" si="2"/>
        <v>#VALUE!</v>
      </c>
    </row>
    <row r="1171" spans="1:9" ht="15.75" customHeight="1">
      <c r="A1171" s="26"/>
      <c r="B1171" s="2"/>
      <c r="C1171" s="26"/>
      <c r="D1171" s="26"/>
      <c r="F1171" s="85" t="str">
        <f t="shared" si="0"/>
        <v/>
      </c>
      <c r="G1171" s="1" t="e">
        <f>IF(VALUE(F1171) = VALUE(RIGHT(Insights!$C$3, 4)), E1171, "")</f>
        <v>#VALUE!</v>
      </c>
      <c r="H1171" s="26" t="e">
        <f t="shared" si="1"/>
        <v>#VALUE!</v>
      </c>
      <c r="I1171" s="1" t="e">
        <f t="shared" si="2"/>
        <v>#VALUE!</v>
      </c>
    </row>
    <row r="1172" spans="1:9" ht="15.75" customHeight="1">
      <c r="A1172" s="26"/>
      <c r="B1172" s="2"/>
      <c r="C1172" s="26"/>
      <c r="D1172" s="26"/>
      <c r="F1172" s="85" t="str">
        <f t="shared" si="0"/>
        <v/>
      </c>
      <c r="G1172" s="1" t="e">
        <f>IF(VALUE(F1172) = VALUE(RIGHT(Insights!$C$3, 4)), E1172, "")</f>
        <v>#VALUE!</v>
      </c>
      <c r="H1172" s="26" t="e">
        <f t="shared" si="1"/>
        <v>#VALUE!</v>
      </c>
      <c r="I1172" s="1" t="e">
        <f t="shared" si="2"/>
        <v>#VALUE!</v>
      </c>
    </row>
    <row r="1173" spans="1:9" ht="15.75" customHeight="1">
      <c r="A1173" s="26"/>
      <c r="B1173" s="2"/>
      <c r="C1173" s="26"/>
      <c r="D1173" s="26"/>
      <c r="F1173" s="85" t="str">
        <f t="shared" si="0"/>
        <v/>
      </c>
      <c r="G1173" s="1" t="e">
        <f>IF(VALUE(F1173) = VALUE(RIGHT(Insights!$C$3, 4)), E1173, "")</f>
        <v>#VALUE!</v>
      </c>
      <c r="H1173" s="26" t="e">
        <f t="shared" si="1"/>
        <v>#VALUE!</v>
      </c>
      <c r="I1173" s="1" t="e">
        <f t="shared" si="2"/>
        <v>#VALUE!</v>
      </c>
    </row>
    <row r="1174" spans="1:9" ht="15.75" customHeight="1">
      <c r="A1174" s="26"/>
      <c r="B1174" s="2"/>
      <c r="C1174" s="26"/>
      <c r="D1174" s="26"/>
      <c r="F1174" s="85" t="str">
        <f t="shared" si="0"/>
        <v/>
      </c>
      <c r="G1174" s="1" t="e">
        <f>IF(VALUE(F1174) = VALUE(RIGHT(Insights!$C$3, 4)), E1174, "")</f>
        <v>#VALUE!</v>
      </c>
      <c r="H1174" s="26" t="e">
        <f t="shared" si="1"/>
        <v>#VALUE!</v>
      </c>
      <c r="I1174" s="1" t="e">
        <f t="shared" si="2"/>
        <v>#VALUE!</v>
      </c>
    </row>
    <row r="1175" spans="1:9" ht="15.75" customHeight="1">
      <c r="A1175" s="26"/>
      <c r="B1175" s="2"/>
      <c r="C1175" s="26"/>
      <c r="D1175" s="26"/>
      <c r="F1175" s="85" t="str">
        <f t="shared" si="0"/>
        <v/>
      </c>
      <c r="G1175" s="1" t="e">
        <f>IF(VALUE(F1175) = VALUE(RIGHT(Insights!$C$3, 4)), E1175, "")</f>
        <v>#VALUE!</v>
      </c>
      <c r="H1175" s="26" t="e">
        <f t="shared" si="1"/>
        <v>#VALUE!</v>
      </c>
      <c r="I1175" s="1" t="e">
        <f t="shared" si="2"/>
        <v>#VALUE!</v>
      </c>
    </row>
    <row r="1176" spans="1:9" ht="15.75" customHeight="1">
      <c r="A1176" s="26"/>
      <c r="B1176" s="2"/>
      <c r="C1176" s="26"/>
      <c r="D1176" s="26"/>
      <c r="F1176" s="85" t="str">
        <f t="shared" si="0"/>
        <v/>
      </c>
      <c r="G1176" s="1" t="e">
        <f>IF(VALUE(F1176) = VALUE(RIGHT(Insights!$C$3, 4)), E1176, "")</f>
        <v>#VALUE!</v>
      </c>
      <c r="H1176" s="26" t="e">
        <f t="shared" si="1"/>
        <v>#VALUE!</v>
      </c>
      <c r="I1176" s="1" t="e">
        <f t="shared" si="2"/>
        <v>#VALUE!</v>
      </c>
    </row>
    <row r="1177" spans="1:9" ht="15.75" customHeight="1">
      <c r="A1177" s="26"/>
      <c r="B1177" s="2"/>
      <c r="C1177" s="26"/>
      <c r="D1177" s="26"/>
      <c r="F1177" s="85" t="str">
        <f t="shared" si="0"/>
        <v/>
      </c>
      <c r="G1177" s="1" t="e">
        <f>IF(VALUE(F1177) = VALUE(RIGHT(Insights!$C$3, 4)), E1177, "")</f>
        <v>#VALUE!</v>
      </c>
      <c r="H1177" s="26" t="e">
        <f t="shared" si="1"/>
        <v>#VALUE!</v>
      </c>
      <c r="I1177" s="1" t="e">
        <f t="shared" si="2"/>
        <v>#VALUE!</v>
      </c>
    </row>
    <row r="1178" spans="1:9" ht="15.75" customHeight="1">
      <c r="A1178" s="26"/>
      <c r="B1178" s="2"/>
      <c r="C1178" s="26"/>
      <c r="D1178" s="26"/>
      <c r="F1178" s="85" t="str">
        <f t="shared" si="0"/>
        <v/>
      </c>
      <c r="G1178" s="1" t="e">
        <f>IF(VALUE(F1178) = VALUE(RIGHT(Insights!$C$3, 4)), E1178, "")</f>
        <v>#VALUE!</v>
      </c>
      <c r="H1178" s="26" t="e">
        <f t="shared" si="1"/>
        <v>#VALUE!</v>
      </c>
      <c r="I1178" s="1" t="e">
        <f t="shared" si="2"/>
        <v>#VALUE!</v>
      </c>
    </row>
    <row r="1179" spans="1:9" ht="15.75" customHeight="1">
      <c r="A1179" s="26"/>
      <c r="B1179" s="2"/>
      <c r="C1179" s="26"/>
      <c r="D1179" s="26"/>
      <c r="F1179" s="85" t="str">
        <f t="shared" si="0"/>
        <v/>
      </c>
      <c r="G1179" s="1" t="e">
        <f>IF(VALUE(F1179) = VALUE(RIGHT(Insights!$C$3, 4)), E1179, "")</f>
        <v>#VALUE!</v>
      </c>
      <c r="H1179" s="26" t="e">
        <f t="shared" si="1"/>
        <v>#VALUE!</v>
      </c>
      <c r="I1179" s="1" t="e">
        <f t="shared" si="2"/>
        <v>#VALUE!</v>
      </c>
    </row>
    <row r="1180" spans="1:9" ht="15.75" customHeight="1">
      <c r="A1180" s="26"/>
      <c r="B1180" s="2"/>
      <c r="C1180" s="26"/>
      <c r="D1180" s="26"/>
      <c r="F1180" s="85" t="str">
        <f t="shared" si="0"/>
        <v/>
      </c>
      <c r="G1180" s="1" t="e">
        <f>IF(VALUE(F1180) = VALUE(RIGHT(Insights!$C$3, 4)), E1180, "")</f>
        <v>#VALUE!</v>
      </c>
      <c r="H1180" s="26" t="e">
        <f t="shared" si="1"/>
        <v>#VALUE!</v>
      </c>
      <c r="I1180" s="1" t="e">
        <f t="shared" si="2"/>
        <v>#VALUE!</v>
      </c>
    </row>
    <row r="1181" spans="1:9" ht="15.75" customHeight="1">
      <c r="A1181" s="26"/>
      <c r="B1181" s="2"/>
      <c r="C1181" s="26"/>
      <c r="D1181" s="26"/>
      <c r="F1181" s="85" t="str">
        <f t="shared" si="0"/>
        <v/>
      </c>
      <c r="G1181" s="1" t="e">
        <f>IF(VALUE(F1181) = VALUE(RIGHT(Insights!$C$3, 4)), E1181, "")</f>
        <v>#VALUE!</v>
      </c>
      <c r="H1181" s="26" t="e">
        <f t="shared" si="1"/>
        <v>#VALUE!</v>
      </c>
      <c r="I1181" s="1" t="e">
        <f t="shared" si="2"/>
        <v>#VALUE!</v>
      </c>
    </row>
    <row r="1182" spans="1:9" ht="15.75" customHeight="1">
      <c r="A1182" s="26"/>
      <c r="B1182" s="2"/>
      <c r="C1182" s="26"/>
      <c r="D1182" s="26"/>
      <c r="F1182" s="85" t="str">
        <f t="shared" si="0"/>
        <v/>
      </c>
      <c r="G1182" s="1" t="e">
        <f>IF(VALUE(F1182) = VALUE(RIGHT(Insights!$C$3, 4)), E1182, "")</f>
        <v>#VALUE!</v>
      </c>
      <c r="H1182" s="26" t="e">
        <f t="shared" si="1"/>
        <v>#VALUE!</v>
      </c>
      <c r="I1182" s="1" t="e">
        <f t="shared" si="2"/>
        <v>#VALUE!</v>
      </c>
    </row>
    <row r="1183" spans="1:9" ht="15.75" customHeight="1">
      <c r="A1183" s="26"/>
      <c r="B1183" s="2"/>
      <c r="C1183" s="26"/>
      <c r="D1183" s="26"/>
      <c r="F1183" s="85" t="str">
        <f t="shared" si="0"/>
        <v/>
      </c>
      <c r="G1183" s="1" t="e">
        <f>IF(VALUE(F1183) = VALUE(RIGHT(Insights!$C$3, 4)), E1183, "")</f>
        <v>#VALUE!</v>
      </c>
      <c r="H1183" s="26" t="e">
        <f t="shared" si="1"/>
        <v>#VALUE!</v>
      </c>
      <c r="I1183" s="1" t="e">
        <f t="shared" si="2"/>
        <v>#VALUE!</v>
      </c>
    </row>
    <row r="1184" spans="1:9" ht="15.75" customHeight="1">
      <c r="A1184" s="26"/>
      <c r="B1184" s="2"/>
      <c r="C1184" s="26"/>
      <c r="D1184" s="26"/>
      <c r="F1184" s="85" t="str">
        <f t="shared" si="0"/>
        <v/>
      </c>
      <c r="G1184" s="1" t="e">
        <f>IF(VALUE(F1184) = VALUE(RIGHT(Insights!$C$3, 4)), E1184, "")</f>
        <v>#VALUE!</v>
      </c>
      <c r="H1184" s="26" t="e">
        <f t="shared" si="1"/>
        <v>#VALUE!</v>
      </c>
      <c r="I1184" s="1" t="e">
        <f t="shared" si="2"/>
        <v>#VALUE!</v>
      </c>
    </row>
    <row r="1185" spans="1:9" ht="15.75" customHeight="1">
      <c r="A1185" s="26"/>
      <c r="B1185" s="2"/>
      <c r="C1185" s="26"/>
      <c r="D1185" s="26"/>
      <c r="F1185" s="85" t="str">
        <f t="shared" si="0"/>
        <v/>
      </c>
      <c r="G1185" s="1" t="e">
        <f>IF(VALUE(F1185) = VALUE(RIGHT(Insights!$C$3, 4)), E1185, "")</f>
        <v>#VALUE!</v>
      </c>
      <c r="H1185" s="26" t="e">
        <f t="shared" si="1"/>
        <v>#VALUE!</v>
      </c>
      <c r="I1185" s="1" t="e">
        <f t="shared" si="2"/>
        <v>#VALUE!</v>
      </c>
    </row>
    <row r="1186" spans="1:9" ht="15.75" customHeight="1">
      <c r="A1186" s="26"/>
      <c r="B1186" s="2"/>
      <c r="C1186" s="26"/>
      <c r="D1186" s="26"/>
      <c r="F1186" s="85" t="str">
        <f t="shared" si="0"/>
        <v/>
      </c>
      <c r="G1186" s="1" t="e">
        <f>IF(VALUE(F1186) = VALUE(RIGHT(Insights!$C$3, 4)), E1186, "")</f>
        <v>#VALUE!</v>
      </c>
      <c r="H1186" s="26" t="e">
        <f t="shared" si="1"/>
        <v>#VALUE!</v>
      </c>
      <c r="I1186" s="1" t="e">
        <f t="shared" si="2"/>
        <v>#VALUE!</v>
      </c>
    </row>
    <row r="1187" spans="1:9" ht="15.75" customHeight="1">
      <c r="A1187" s="26"/>
      <c r="B1187" s="2"/>
      <c r="C1187" s="26"/>
      <c r="D1187" s="26"/>
      <c r="F1187" s="85" t="str">
        <f t="shared" si="0"/>
        <v/>
      </c>
      <c r="G1187" s="1" t="e">
        <f>IF(VALUE(F1187) = VALUE(RIGHT(Insights!$C$3, 4)), E1187, "")</f>
        <v>#VALUE!</v>
      </c>
      <c r="H1187" s="26" t="e">
        <f t="shared" si="1"/>
        <v>#VALUE!</v>
      </c>
      <c r="I1187" s="1" t="e">
        <f t="shared" si="2"/>
        <v>#VALUE!</v>
      </c>
    </row>
    <row r="1188" spans="1:9" ht="15.75" customHeight="1">
      <c r="A1188" s="26"/>
      <c r="B1188" s="2"/>
      <c r="C1188" s="26"/>
      <c r="D1188" s="26"/>
      <c r="F1188" s="85" t="str">
        <f t="shared" si="0"/>
        <v/>
      </c>
      <c r="G1188" s="1" t="e">
        <f>IF(VALUE(F1188) = VALUE(RIGHT(Insights!$C$3, 4)), E1188, "")</f>
        <v>#VALUE!</v>
      </c>
      <c r="H1188" s="26" t="e">
        <f t="shared" si="1"/>
        <v>#VALUE!</v>
      </c>
      <c r="I1188" s="1" t="e">
        <f t="shared" si="2"/>
        <v>#VALUE!</v>
      </c>
    </row>
    <row r="1189" spans="1:9" ht="15.75" customHeight="1">
      <c r="A1189" s="26"/>
      <c r="B1189" s="2"/>
      <c r="C1189" s="26"/>
      <c r="D1189" s="26"/>
      <c r="F1189" s="85" t="str">
        <f t="shared" si="0"/>
        <v/>
      </c>
      <c r="G1189" s="1" t="e">
        <f>IF(VALUE(F1189) = VALUE(RIGHT(Insights!$C$3, 4)), E1189, "")</f>
        <v>#VALUE!</v>
      </c>
      <c r="H1189" s="26" t="e">
        <f t="shared" si="1"/>
        <v>#VALUE!</v>
      </c>
      <c r="I1189" s="1" t="e">
        <f t="shared" si="2"/>
        <v>#VALUE!</v>
      </c>
    </row>
    <row r="1190" spans="1:9" ht="15.75" customHeight="1">
      <c r="A1190" s="26"/>
      <c r="B1190" s="2"/>
      <c r="C1190" s="26"/>
      <c r="D1190" s="26"/>
      <c r="F1190" s="85" t="str">
        <f t="shared" si="0"/>
        <v/>
      </c>
      <c r="G1190" s="1" t="e">
        <f>IF(VALUE(F1190) = VALUE(RIGHT(Insights!$C$3, 4)), E1190, "")</f>
        <v>#VALUE!</v>
      </c>
      <c r="H1190" s="26" t="e">
        <f t="shared" si="1"/>
        <v>#VALUE!</v>
      </c>
      <c r="I1190" s="1" t="e">
        <f t="shared" si="2"/>
        <v>#VALUE!</v>
      </c>
    </row>
    <row r="1191" spans="1:9" ht="15.75" customHeight="1">
      <c r="A1191" s="26"/>
      <c r="B1191" s="2"/>
      <c r="C1191" s="26"/>
      <c r="D1191" s="26"/>
      <c r="F1191" s="85" t="str">
        <f t="shared" si="0"/>
        <v/>
      </c>
      <c r="G1191" s="1" t="e">
        <f>IF(VALUE(F1191) = VALUE(RIGHT(Insights!$C$3, 4)), E1191, "")</f>
        <v>#VALUE!</v>
      </c>
      <c r="H1191" s="26" t="e">
        <f t="shared" si="1"/>
        <v>#VALUE!</v>
      </c>
      <c r="I1191" s="1" t="e">
        <f t="shared" si="2"/>
        <v>#VALUE!</v>
      </c>
    </row>
    <row r="1192" spans="1:9" ht="15.75" customHeight="1">
      <c r="A1192" s="26"/>
      <c r="B1192" s="2"/>
      <c r="C1192" s="26"/>
      <c r="D1192" s="26"/>
      <c r="F1192" s="85" t="str">
        <f t="shared" si="0"/>
        <v/>
      </c>
      <c r="G1192" s="1" t="e">
        <f>IF(VALUE(F1192) = VALUE(RIGHT(Insights!$C$3, 4)), E1192, "")</f>
        <v>#VALUE!</v>
      </c>
      <c r="H1192" s="26" t="e">
        <f t="shared" si="1"/>
        <v>#VALUE!</v>
      </c>
      <c r="I1192" s="1" t="e">
        <f t="shared" si="2"/>
        <v>#VALUE!</v>
      </c>
    </row>
    <row r="1193" spans="1:9" ht="15.75" customHeight="1">
      <c r="A1193" s="26"/>
      <c r="B1193" s="2"/>
      <c r="C1193" s="26"/>
      <c r="D1193" s="26"/>
      <c r="F1193" s="85" t="str">
        <f t="shared" si="0"/>
        <v/>
      </c>
      <c r="G1193" s="1" t="e">
        <f>IF(VALUE(F1193) = VALUE(RIGHT(Insights!$C$3, 4)), E1193, "")</f>
        <v>#VALUE!</v>
      </c>
      <c r="H1193" s="26" t="e">
        <f t="shared" si="1"/>
        <v>#VALUE!</v>
      </c>
      <c r="I1193" s="1" t="e">
        <f t="shared" si="2"/>
        <v>#VALUE!</v>
      </c>
    </row>
    <row r="1194" spans="1:9" ht="15.75" customHeight="1">
      <c r="A1194" s="26"/>
      <c r="B1194" s="2"/>
      <c r="C1194" s="26"/>
      <c r="D1194" s="26"/>
      <c r="F1194" s="85" t="str">
        <f t="shared" si="0"/>
        <v/>
      </c>
      <c r="G1194" s="1" t="e">
        <f>IF(VALUE(F1194) = VALUE(RIGHT(Insights!$C$3, 4)), E1194, "")</f>
        <v>#VALUE!</v>
      </c>
      <c r="H1194" s="26" t="e">
        <f t="shared" si="1"/>
        <v>#VALUE!</v>
      </c>
      <c r="I1194" s="1" t="e">
        <f t="shared" si="2"/>
        <v>#VALUE!</v>
      </c>
    </row>
    <row r="1195" spans="1:9" ht="15.75" customHeight="1">
      <c r="A1195" s="26"/>
      <c r="B1195" s="2"/>
      <c r="C1195" s="26"/>
      <c r="D1195" s="26"/>
      <c r="F1195" s="85" t="str">
        <f t="shared" si="0"/>
        <v/>
      </c>
      <c r="G1195" s="1" t="e">
        <f>IF(VALUE(F1195) = VALUE(RIGHT(Insights!$C$3, 4)), E1195, "")</f>
        <v>#VALUE!</v>
      </c>
      <c r="H1195" s="26" t="e">
        <f t="shared" si="1"/>
        <v>#VALUE!</v>
      </c>
      <c r="I1195" s="1" t="e">
        <f t="shared" si="2"/>
        <v>#VALUE!</v>
      </c>
    </row>
    <row r="1196" spans="1:9" ht="15.75" customHeight="1">
      <c r="A1196" s="26"/>
      <c r="B1196" s="2"/>
      <c r="C1196" s="26"/>
      <c r="D1196" s="26"/>
      <c r="F1196" s="85" t="str">
        <f t="shared" si="0"/>
        <v/>
      </c>
      <c r="G1196" s="1" t="e">
        <f>IF(VALUE(F1196) = VALUE(RIGHT(Insights!$C$3, 4)), E1196, "")</f>
        <v>#VALUE!</v>
      </c>
      <c r="H1196" s="26" t="e">
        <f t="shared" si="1"/>
        <v>#VALUE!</v>
      </c>
      <c r="I1196" s="1" t="e">
        <f t="shared" si="2"/>
        <v>#VALUE!</v>
      </c>
    </row>
    <row r="1197" spans="1:9" ht="15.75" customHeight="1">
      <c r="A1197" s="26"/>
      <c r="B1197" s="2"/>
      <c r="C1197" s="26"/>
      <c r="D1197" s="26"/>
      <c r="F1197" s="85" t="str">
        <f t="shared" si="0"/>
        <v/>
      </c>
      <c r="G1197" s="1" t="e">
        <f>IF(VALUE(F1197) = VALUE(RIGHT(Insights!$C$3, 4)), E1197, "")</f>
        <v>#VALUE!</v>
      </c>
      <c r="H1197" s="26" t="e">
        <f t="shared" si="1"/>
        <v>#VALUE!</v>
      </c>
      <c r="I1197" s="1" t="e">
        <f t="shared" si="2"/>
        <v>#VALUE!</v>
      </c>
    </row>
    <row r="1198" spans="1:9" ht="15.75" customHeight="1">
      <c r="A1198" s="26"/>
      <c r="B1198" s="2"/>
      <c r="C1198" s="26"/>
      <c r="D1198" s="26"/>
      <c r="F1198" s="85" t="str">
        <f t="shared" si="0"/>
        <v/>
      </c>
      <c r="G1198" s="1" t="e">
        <f>IF(VALUE(F1198) = VALUE(RIGHT(Insights!$C$3, 4)), E1198, "")</f>
        <v>#VALUE!</v>
      </c>
      <c r="H1198" s="26" t="e">
        <f t="shared" si="1"/>
        <v>#VALUE!</v>
      </c>
      <c r="I1198" s="1" t="e">
        <f t="shared" si="2"/>
        <v>#VALUE!</v>
      </c>
    </row>
    <row r="1199" spans="1:9" ht="15.75" customHeight="1">
      <c r="A1199" s="26"/>
      <c r="B1199" s="2"/>
      <c r="C1199" s="26"/>
      <c r="D1199" s="26"/>
      <c r="F1199" s="85" t="str">
        <f t="shared" si="0"/>
        <v/>
      </c>
      <c r="G1199" s="1" t="e">
        <f>IF(VALUE(F1199) = VALUE(RIGHT(Insights!$C$3, 4)), E1199, "")</f>
        <v>#VALUE!</v>
      </c>
      <c r="H1199" s="26" t="e">
        <f t="shared" si="1"/>
        <v>#VALUE!</v>
      </c>
      <c r="I1199" s="1" t="e">
        <f t="shared" si="2"/>
        <v>#VALUE!</v>
      </c>
    </row>
    <row r="1200" spans="1:9" ht="15.75" customHeight="1">
      <c r="A1200" s="26"/>
      <c r="B1200" s="2"/>
      <c r="C1200" s="26"/>
      <c r="D1200" s="26"/>
      <c r="F1200" s="85" t="str">
        <f t="shared" si="0"/>
        <v/>
      </c>
      <c r="G1200" s="1" t="e">
        <f>IF(VALUE(F1200) = VALUE(RIGHT(Insights!$C$3, 4)), E1200, "")</f>
        <v>#VALUE!</v>
      </c>
      <c r="H1200" s="26" t="e">
        <f t="shared" si="1"/>
        <v>#VALUE!</v>
      </c>
      <c r="I1200" s="1" t="e">
        <f t="shared" si="2"/>
        <v>#VALUE!</v>
      </c>
    </row>
    <row r="1201" spans="1:9" ht="15.75" customHeight="1">
      <c r="A1201" s="26"/>
      <c r="B1201" s="2"/>
      <c r="C1201" s="26"/>
      <c r="D1201" s="26"/>
      <c r="F1201" s="85" t="str">
        <f t="shared" si="0"/>
        <v/>
      </c>
      <c r="G1201" s="1" t="e">
        <f>IF(VALUE(F1201) = VALUE(RIGHT(Insights!$C$3, 4)), E1201, "")</f>
        <v>#VALUE!</v>
      </c>
      <c r="H1201" s="26" t="e">
        <f t="shared" si="1"/>
        <v>#VALUE!</v>
      </c>
      <c r="I1201" s="1" t="e">
        <f t="shared" si="2"/>
        <v>#VALUE!</v>
      </c>
    </row>
    <row r="1202" spans="1:9" ht="15.75" customHeight="1">
      <c r="A1202" s="26"/>
      <c r="B1202" s="2"/>
      <c r="C1202" s="26"/>
      <c r="D1202" s="26"/>
      <c r="F1202" s="85" t="str">
        <f t="shared" si="0"/>
        <v/>
      </c>
      <c r="G1202" s="1" t="e">
        <f>IF(VALUE(F1202) = VALUE(RIGHT(Insights!$C$3, 4)), E1202, "")</f>
        <v>#VALUE!</v>
      </c>
      <c r="H1202" s="26" t="e">
        <f t="shared" si="1"/>
        <v>#VALUE!</v>
      </c>
      <c r="I1202" s="1" t="e">
        <f t="shared" si="2"/>
        <v>#VALUE!</v>
      </c>
    </row>
    <row r="1203" spans="1:9" ht="15.75" customHeight="1">
      <c r="A1203" s="26"/>
      <c r="B1203" s="2"/>
      <c r="C1203" s="26"/>
      <c r="D1203" s="26"/>
      <c r="F1203" s="85" t="str">
        <f t="shared" si="0"/>
        <v/>
      </c>
      <c r="G1203" s="1" t="e">
        <f>IF(VALUE(F1203) = VALUE(RIGHT(Insights!$C$3, 4)), E1203, "")</f>
        <v>#VALUE!</v>
      </c>
      <c r="H1203" s="26" t="e">
        <f t="shared" si="1"/>
        <v>#VALUE!</v>
      </c>
      <c r="I1203" s="1" t="e">
        <f t="shared" si="2"/>
        <v>#VALUE!</v>
      </c>
    </row>
    <row r="1204" spans="1:9" ht="15.75" customHeight="1">
      <c r="A1204" s="26"/>
      <c r="B1204" s="2"/>
      <c r="C1204" s="26"/>
      <c r="D1204" s="26"/>
      <c r="F1204" s="85" t="str">
        <f t="shared" si="0"/>
        <v/>
      </c>
      <c r="G1204" s="1" t="e">
        <f>IF(VALUE(F1204) = VALUE(RIGHT(Insights!$C$3, 4)), E1204, "")</f>
        <v>#VALUE!</v>
      </c>
      <c r="H1204" s="26" t="e">
        <f t="shared" si="1"/>
        <v>#VALUE!</v>
      </c>
      <c r="I1204" s="1" t="e">
        <f t="shared" si="2"/>
        <v>#VALUE!</v>
      </c>
    </row>
    <row r="1205" spans="1:9" ht="15.75" customHeight="1">
      <c r="A1205" s="26"/>
      <c r="B1205" s="2"/>
      <c r="C1205" s="26"/>
      <c r="D1205" s="26"/>
      <c r="F1205" s="85" t="str">
        <f t="shared" si="0"/>
        <v/>
      </c>
      <c r="G1205" s="1" t="e">
        <f>IF(VALUE(F1205) = VALUE(RIGHT(Insights!$C$3, 4)), E1205, "")</f>
        <v>#VALUE!</v>
      </c>
      <c r="H1205" s="26" t="e">
        <f t="shared" si="1"/>
        <v>#VALUE!</v>
      </c>
      <c r="I1205" s="1" t="e">
        <f t="shared" si="2"/>
        <v>#VALUE!</v>
      </c>
    </row>
    <row r="1206" spans="1:9" ht="15.75" customHeight="1">
      <c r="A1206" s="26"/>
      <c r="B1206" s="2"/>
      <c r="C1206" s="26"/>
      <c r="D1206" s="26"/>
      <c r="F1206" s="85" t="str">
        <f t="shared" si="0"/>
        <v/>
      </c>
      <c r="G1206" s="1" t="e">
        <f>IF(VALUE(F1206) = VALUE(RIGHT(Insights!$C$3, 4)), E1206, "")</f>
        <v>#VALUE!</v>
      </c>
      <c r="H1206" s="26" t="e">
        <f t="shared" si="1"/>
        <v>#VALUE!</v>
      </c>
      <c r="I1206" s="1" t="e">
        <f t="shared" si="2"/>
        <v>#VALUE!</v>
      </c>
    </row>
    <row r="1207" spans="1:9" ht="15.75" customHeight="1">
      <c r="A1207" s="26"/>
      <c r="B1207" s="2"/>
      <c r="C1207" s="26"/>
      <c r="D1207" s="26"/>
      <c r="F1207" s="85" t="str">
        <f t="shared" si="0"/>
        <v/>
      </c>
      <c r="G1207" s="1" t="e">
        <f>IF(VALUE(F1207) = VALUE(RIGHT(Insights!$C$3, 4)), E1207, "")</f>
        <v>#VALUE!</v>
      </c>
      <c r="H1207" s="26" t="e">
        <f t="shared" si="1"/>
        <v>#VALUE!</v>
      </c>
      <c r="I1207" s="1" t="e">
        <f t="shared" si="2"/>
        <v>#VALUE!</v>
      </c>
    </row>
    <row r="1208" spans="1:9" ht="15.75" customHeight="1">
      <c r="A1208" s="26"/>
      <c r="B1208" s="2"/>
      <c r="C1208" s="26"/>
      <c r="D1208" s="26"/>
      <c r="F1208" s="85" t="str">
        <f t="shared" si="0"/>
        <v/>
      </c>
      <c r="G1208" s="1" t="e">
        <f>IF(VALUE(F1208) = VALUE(RIGHT(Insights!$C$3, 4)), E1208, "")</f>
        <v>#VALUE!</v>
      </c>
      <c r="H1208" s="26" t="e">
        <f t="shared" si="1"/>
        <v>#VALUE!</v>
      </c>
      <c r="I1208" s="1" t="e">
        <f t="shared" si="2"/>
        <v>#VALUE!</v>
      </c>
    </row>
    <row r="1209" spans="1:9" ht="15.75" customHeight="1">
      <c r="A1209" s="26"/>
      <c r="B1209" s="2"/>
      <c r="C1209" s="26"/>
      <c r="D1209" s="26"/>
      <c r="F1209" s="85" t="str">
        <f t="shared" si="0"/>
        <v/>
      </c>
      <c r="G1209" s="1" t="e">
        <f>IF(VALUE(F1209) = VALUE(RIGHT(Insights!$C$3, 4)), E1209, "")</f>
        <v>#VALUE!</v>
      </c>
      <c r="H1209" s="26" t="e">
        <f t="shared" si="1"/>
        <v>#VALUE!</v>
      </c>
      <c r="I1209" s="1" t="e">
        <f t="shared" si="2"/>
        <v>#VALUE!</v>
      </c>
    </row>
    <row r="1210" spans="1:9" ht="15.75" customHeight="1">
      <c r="A1210" s="26"/>
      <c r="B1210" s="2"/>
      <c r="C1210" s="26"/>
      <c r="D1210" s="26"/>
      <c r="F1210" s="85" t="str">
        <f t="shared" si="0"/>
        <v/>
      </c>
      <c r="G1210" s="1" t="e">
        <f>IF(VALUE(F1210) = VALUE(RIGHT(Insights!$C$3, 4)), E1210, "")</f>
        <v>#VALUE!</v>
      </c>
      <c r="H1210" s="26" t="e">
        <f t="shared" si="1"/>
        <v>#VALUE!</v>
      </c>
      <c r="I1210" s="1" t="e">
        <f t="shared" si="2"/>
        <v>#VALUE!</v>
      </c>
    </row>
    <row r="1211" spans="1:9" ht="15.75" customHeight="1">
      <c r="A1211" s="26"/>
      <c r="B1211" s="2"/>
      <c r="C1211" s="26"/>
      <c r="D1211" s="26"/>
      <c r="F1211" s="85" t="str">
        <f t="shared" si="0"/>
        <v/>
      </c>
      <c r="G1211" s="1" t="e">
        <f>IF(VALUE(F1211) = VALUE(RIGHT(Insights!$C$3, 4)), E1211, "")</f>
        <v>#VALUE!</v>
      </c>
      <c r="H1211" s="26" t="e">
        <f t="shared" si="1"/>
        <v>#VALUE!</v>
      </c>
      <c r="I1211" s="1" t="e">
        <f t="shared" si="2"/>
        <v>#VALUE!</v>
      </c>
    </row>
    <row r="1212" spans="1:9" ht="15.75" customHeight="1">
      <c r="A1212" s="26"/>
      <c r="B1212" s="2"/>
      <c r="C1212" s="26"/>
      <c r="D1212" s="26"/>
      <c r="F1212" s="85" t="str">
        <f t="shared" si="0"/>
        <v/>
      </c>
      <c r="G1212" s="1" t="e">
        <f>IF(VALUE(F1212) = VALUE(RIGHT(Insights!$C$3, 4)), E1212, "")</f>
        <v>#VALUE!</v>
      </c>
      <c r="H1212" s="26" t="e">
        <f t="shared" si="1"/>
        <v>#VALUE!</v>
      </c>
      <c r="I1212" s="1" t="e">
        <f t="shared" si="2"/>
        <v>#VALUE!</v>
      </c>
    </row>
    <row r="1213" spans="1:9" ht="15.75" customHeight="1">
      <c r="A1213" s="26"/>
      <c r="B1213" s="2"/>
      <c r="C1213" s="26"/>
      <c r="D1213" s="26"/>
      <c r="F1213" s="85" t="str">
        <f t="shared" si="0"/>
        <v/>
      </c>
      <c r="G1213" s="1" t="e">
        <f>IF(VALUE(F1213) = VALUE(RIGHT(Insights!$C$3, 4)), E1213, "")</f>
        <v>#VALUE!</v>
      </c>
      <c r="H1213" s="26" t="e">
        <f t="shared" si="1"/>
        <v>#VALUE!</v>
      </c>
      <c r="I1213" s="1" t="e">
        <f t="shared" si="2"/>
        <v>#VALUE!</v>
      </c>
    </row>
    <row r="1214" spans="1:9" ht="15.75" customHeight="1">
      <c r="A1214" s="26"/>
      <c r="B1214" s="2"/>
      <c r="C1214" s="26"/>
      <c r="D1214" s="26"/>
      <c r="F1214" s="85" t="str">
        <f t="shared" si="0"/>
        <v/>
      </c>
      <c r="G1214" s="1" t="e">
        <f>IF(VALUE(F1214) = VALUE(RIGHT(Insights!$C$3, 4)), E1214, "")</f>
        <v>#VALUE!</v>
      </c>
      <c r="H1214" s="26" t="e">
        <f t="shared" si="1"/>
        <v>#VALUE!</v>
      </c>
      <c r="I1214" s="1" t="e">
        <f t="shared" si="2"/>
        <v>#VALUE!</v>
      </c>
    </row>
    <row r="1215" spans="1:9" ht="15.75" customHeight="1">
      <c r="A1215" s="26"/>
      <c r="B1215" s="2"/>
      <c r="C1215" s="26"/>
      <c r="D1215" s="26"/>
      <c r="F1215" s="85" t="str">
        <f t="shared" si="0"/>
        <v/>
      </c>
      <c r="G1215" s="1" t="e">
        <f>IF(VALUE(F1215) = VALUE(RIGHT(Insights!$C$3, 4)), E1215, "")</f>
        <v>#VALUE!</v>
      </c>
      <c r="H1215" s="26" t="e">
        <f t="shared" si="1"/>
        <v>#VALUE!</v>
      </c>
      <c r="I1215" s="1" t="e">
        <f t="shared" si="2"/>
        <v>#VALUE!</v>
      </c>
    </row>
    <row r="1216" spans="1:9" ht="15.75" customHeight="1">
      <c r="A1216" s="26"/>
      <c r="B1216" s="2"/>
      <c r="C1216" s="26"/>
      <c r="D1216" s="26"/>
      <c r="F1216" s="85" t="str">
        <f t="shared" si="0"/>
        <v/>
      </c>
      <c r="G1216" s="1" t="e">
        <f>IF(VALUE(F1216) = VALUE(RIGHT(Insights!$C$3, 4)), E1216, "")</f>
        <v>#VALUE!</v>
      </c>
      <c r="H1216" s="26" t="e">
        <f t="shared" si="1"/>
        <v>#VALUE!</v>
      </c>
      <c r="I1216" s="1" t="e">
        <f t="shared" si="2"/>
        <v>#VALUE!</v>
      </c>
    </row>
    <row r="1217" spans="1:9" ht="15.75" customHeight="1">
      <c r="A1217" s="26"/>
      <c r="B1217" s="2"/>
      <c r="C1217" s="26"/>
      <c r="D1217" s="26"/>
      <c r="F1217" s="85" t="str">
        <f t="shared" si="0"/>
        <v/>
      </c>
      <c r="G1217" s="1" t="e">
        <f>IF(VALUE(F1217) = VALUE(RIGHT(Insights!$C$3, 4)), E1217, "")</f>
        <v>#VALUE!</v>
      </c>
      <c r="H1217" s="26" t="e">
        <f t="shared" si="1"/>
        <v>#VALUE!</v>
      </c>
      <c r="I1217" s="1" t="e">
        <f t="shared" si="2"/>
        <v>#VALUE!</v>
      </c>
    </row>
    <row r="1218" spans="1:9" ht="15.75" customHeight="1">
      <c r="A1218" s="26"/>
      <c r="B1218" s="2"/>
      <c r="C1218" s="26"/>
      <c r="D1218" s="26"/>
      <c r="F1218" s="85" t="str">
        <f t="shared" si="0"/>
        <v/>
      </c>
      <c r="G1218" s="1" t="e">
        <f>IF(VALUE(F1218) = VALUE(RIGHT(Insights!$C$3, 4)), E1218, "")</f>
        <v>#VALUE!</v>
      </c>
      <c r="H1218" s="26" t="e">
        <f t="shared" si="1"/>
        <v>#VALUE!</v>
      </c>
      <c r="I1218" s="1" t="e">
        <f t="shared" si="2"/>
        <v>#VALUE!</v>
      </c>
    </row>
    <row r="1219" spans="1:9" ht="15.75" customHeight="1">
      <c r="A1219" s="26"/>
      <c r="B1219" s="2"/>
      <c r="C1219" s="26"/>
      <c r="D1219" s="26"/>
      <c r="F1219" s="85" t="str">
        <f t="shared" si="0"/>
        <v/>
      </c>
      <c r="G1219" s="1" t="e">
        <f>IF(VALUE(F1219) = VALUE(RIGHT(Insights!$C$3, 4)), E1219, "")</f>
        <v>#VALUE!</v>
      </c>
      <c r="H1219" s="26" t="e">
        <f t="shared" si="1"/>
        <v>#VALUE!</v>
      </c>
      <c r="I1219" s="1" t="e">
        <f t="shared" si="2"/>
        <v>#VALUE!</v>
      </c>
    </row>
    <row r="1220" spans="1:9" ht="15.75" customHeight="1">
      <c r="A1220" s="26"/>
      <c r="B1220" s="2"/>
      <c r="C1220" s="26"/>
      <c r="D1220" s="26"/>
      <c r="F1220" s="85" t="str">
        <f t="shared" si="0"/>
        <v/>
      </c>
      <c r="G1220" s="1" t="e">
        <f>IF(VALUE(F1220) = VALUE(RIGHT(Insights!$C$3, 4)), E1220, "")</f>
        <v>#VALUE!</v>
      </c>
      <c r="H1220" s="26" t="e">
        <f t="shared" si="1"/>
        <v>#VALUE!</v>
      </c>
      <c r="I1220" s="1" t="e">
        <f t="shared" si="2"/>
        <v>#VALUE!</v>
      </c>
    </row>
    <row r="1221" spans="1:9" ht="15.75" customHeight="1">
      <c r="A1221" s="26"/>
      <c r="B1221" s="2"/>
      <c r="C1221" s="26"/>
      <c r="D1221" s="26"/>
      <c r="F1221" s="85" t="str">
        <f t="shared" si="0"/>
        <v/>
      </c>
      <c r="G1221" s="1" t="e">
        <f>IF(VALUE(F1221) = VALUE(RIGHT(Insights!$C$3, 4)), E1221, "")</f>
        <v>#VALUE!</v>
      </c>
      <c r="H1221" s="26" t="e">
        <f t="shared" si="1"/>
        <v>#VALUE!</v>
      </c>
      <c r="I1221" s="1" t="e">
        <f t="shared" si="2"/>
        <v>#VALUE!</v>
      </c>
    </row>
    <row r="1222" spans="1:9" ht="15.75" customHeight="1">
      <c r="A1222" s="26"/>
      <c r="B1222" s="2"/>
      <c r="C1222" s="26"/>
      <c r="D1222" s="26"/>
      <c r="F1222" s="85" t="str">
        <f t="shared" si="0"/>
        <v/>
      </c>
      <c r="G1222" s="1" t="e">
        <f>IF(VALUE(F1222) = VALUE(RIGHT(Insights!$C$3, 4)), E1222, "")</f>
        <v>#VALUE!</v>
      </c>
      <c r="H1222" s="26" t="e">
        <f t="shared" si="1"/>
        <v>#VALUE!</v>
      </c>
      <c r="I1222" s="1" t="e">
        <f t="shared" si="2"/>
        <v>#VALUE!</v>
      </c>
    </row>
    <row r="1223" spans="1:9" ht="15.75" customHeight="1">
      <c r="A1223" s="26"/>
      <c r="B1223" s="2"/>
      <c r="C1223" s="26"/>
      <c r="D1223" s="26"/>
      <c r="F1223" s="85" t="str">
        <f t="shared" si="0"/>
        <v/>
      </c>
      <c r="G1223" s="1" t="e">
        <f>IF(VALUE(F1223) = VALUE(RIGHT(Insights!$C$3, 4)), E1223, "")</f>
        <v>#VALUE!</v>
      </c>
      <c r="H1223" s="26" t="e">
        <f t="shared" si="1"/>
        <v>#VALUE!</v>
      </c>
      <c r="I1223" s="1" t="e">
        <f t="shared" si="2"/>
        <v>#VALUE!</v>
      </c>
    </row>
    <row r="1224" spans="1:9" ht="15.75" customHeight="1">
      <c r="A1224" s="26"/>
      <c r="B1224" s="2"/>
      <c r="C1224" s="26"/>
      <c r="D1224" s="26"/>
      <c r="F1224" s="85" t="str">
        <f t="shared" si="0"/>
        <v/>
      </c>
      <c r="G1224" s="1" t="e">
        <f>IF(VALUE(F1224) = VALUE(RIGHT(Insights!$C$3, 4)), E1224, "")</f>
        <v>#VALUE!</v>
      </c>
      <c r="H1224" s="26" t="e">
        <f t="shared" si="1"/>
        <v>#VALUE!</v>
      </c>
      <c r="I1224" s="1" t="e">
        <f t="shared" si="2"/>
        <v>#VALUE!</v>
      </c>
    </row>
    <row r="1225" spans="1:9" ht="15.75" customHeight="1">
      <c r="A1225" s="26"/>
      <c r="B1225" s="2"/>
      <c r="C1225" s="26"/>
      <c r="D1225" s="26"/>
      <c r="F1225" s="85" t="str">
        <f t="shared" si="0"/>
        <v/>
      </c>
      <c r="G1225" s="1" t="e">
        <f>IF(VALUE(F1225) = VALUE(RIGHT(Insights!$C$3, 4)), E1225, "")</f>
        <v>#VALUE!</v>
      </c>
      <c r="H1225" s="26" t="e">
        <f t="shared" si="1"/>
        <v>#VALUE!</v>
      </c>
      <c r="I1225" s="1" t="e">
        <f t="shared" si="2"/>
        <v>#VALUE!</v>
      </c>
    </row>
    <row r="1226" spans="1:9" ht="15.75" customHeight="1">
      <c r="A1226" s="26"/>
      <c r="B1226" s="2"/>
      <c r="C1226" s="26"/>
      <c r="D1226" s="26"/>
      <c r="F1226" s="85" t="str">
        <f t="shared" si="0"/>
        <v/>
      </c>
      <c r="G1226" s="1" t="e">
        <f>IF(VALUE(F1226) = VALUE(RIGHT(Insights!$C$3, 4)), E1226, "")</f>
        <v>#VALUE!</v>
      </c>
      <c r="H1226" s="26" t="e">
        <f t="shared" si="1"/>
        <v>#VALUE!</v>
      </c>
      <c r="I1226" s="1" t="e">
        <f t="shared" si="2"/>
        <v>#VALUE!</v>
      </c>
    </row>
    <row r="1227" spans="1:9" ht="15.75" customHeight="1">
      <c r="A1227" s="26"/>
      <c r="B1227" s="2"/>
      <c r="C1227" s="26"/>
      <c r="D1227" s="26"/>
      <c r="F1227" s="85" t="str">
        <f t="shared" si="0"/>
        <v/>
      </c>
      <c r="G1227" s="1" t="e">
        <f>IF(VALUE(F1227) = VALUE(RIGHT(Insights!$C$3, 4)), E1227, "")</f>
        <v>#VALUE!</v>
      </c>
      <c r="H1227" s="26" t="e">
        <f t="shared" si="1"/>
        <v>#VALUE!</v>
      </c>
      <c r="I1227" s="1" t="e">
        <f t="shared" si="2"/>
        <v>#VALUE!</v>
      </c>
    </row>
    <row r="1228" spans="1:9" ht="15.75" customHeight="1">
      <c r="A1228" s="26"/>
      <c r="B1228" s="2"/>
      <c r="C1228" s="26"/>
      <c r="D1228" s="26"/>
      <c r="F1228" s="85" t="str">
        <f t="shared" si="0"/>
        <v/>
      </c>
      <c r="G1228" s="1" t="e">
        <f>IF(VALUE(F1228) = VALUE(RIGHT(Insights!$C$3, 4)), E1228, "")</f>
        <v>#VALUE!</v>
      </c>
      <c r="H1228" s="26" t="e">
        <f t="shared" si="1"/>
        <v>#VALUE!</v>
      </c>
      <c r="I1228" s="1" t="e">
        <f t="shared" si="2"/>
        <v>#VALUE!</v>
      </c>
    </row>
    <row r="1229" spans="1:9" ht="15.75" customHeight="1">
      <c r="A1229" s="26"/>
      <c r="B1229" s="2"/>
      <c r="C1229" s="26"/>
      <c r="D1229" s="26"/>
      <c r="F1229" s="85" t="str">
        <f t="shared" si="0"/>
        <v/>
      </c>
      <c r="G1229" s="1" t="e">
        <f>IF(VALUE(F1229) = VALUE(RIGHT(Insights!$C$3, 4)), E1229, "")</f>
        <v>#VALUE!</v>
      </c>
      <c r="H1229" s="26" t="e">
        <f t="shared" si="1"/>
        <v>#VALUE!</v>
      </c>
      <c r="I1229" s="1" t="e">
        <f t="shared" si="2"/>
        <v>#VALUE!</v>
      </c>
    </row>
    <row r="1230" spans="1:9" ht="15.75" customHeight="1">
      <c r="A1230" s="26"/>
      <c r="B1230" s="2"/>
      <c r="C1230" s="26"/>
      <c r="D1230" s="26"/>
      <c r="F1230" s="85" t="str">
        <f t="shared" si="0"/>
        <v/>
      </c>
      <c r="G1230" s="1" t="e">
        <f>IF(VALUE(F1230) = VALUE(RIGHT(Insights!$C$3, 4)), E1230, "")</f>
        <v>#VALUE!</v>
      </c>
      <c r="H1230" s="26" t="e">
        <f t="shared" si="1"/>
        <v>#VALUE!</v>
      </c>
      <c r="I1230" s="1" t="e">
        <f t="shared" si="2"/>
        <v>#VALUE!</v>
      </c>
    </row>
    <row r="1231" spans="1:9" ht="15.75" customHeight="1">
      <c r="A1231" s="26"/>
      <c r="B1231" s="2"/>
      <c r="C1231" s="26"/>
      <c r="D1231" s="26"/>
      <c r="F1231" s="85" t="str">
        <f t="shared" si="0"/>
        <v/>
      </c>
      <c r="G1231" s="1" t="e">
        <f>IF(VALUE(F1231) = VALUE(RIGHT(Insights!$C$3, 4)), E1231, "")</f>
        <v>#VALUE!</v>
      </c>
      <c r="H1231" s="26" t="e">
        <f t="shared" si="1"/>
        <v>#VALUE!</v>
      </c>
      <c r="I1231" s="1" t="e">
        <f t="shared" si="2"/>
        <v>#VALUE!</v>
      </c>
    </row>
    <row r="1232" spans="1:9" ht="15.75" customHeight="1">
      <c r="A1232" s="26"/>
      <c r="B1232" s="2"/>
      <c r="C1232" s="26"/>
      <c r="D1232" s="26"/>
      <c r="F1232" s="85" t="str">
        <f t="shared" si="0"/>
        <v/>
      </c>
      <c r="G1232" s="1" t="e">
        <f>IF(VALUE(F1232) = VALUE(RIGHT(Insights!$C$3, 4)), E1232, "")</f>
        <v>#VALUE!</v>
      </c>
      <c r="H1232" s="26" t="e">
        <f t="shared" si="1"/>
        <v>#VALUE!</v>
      </c>
      <c r="I1232" s="1" t="e">
        <f t="shared" si="2"/>
        <v>#VALUE!</v>
      </c>
    </row>
    <row r="1233" spans="1:9" ht="15.75" customHeight="1">
      <c r="A1233" s="26"/>
      <c r="B1233" s="2"/>
      <c r="C1233" s="26"/>
      <c r="D1233" s="26"/>
      <c r="F1233" s="85" t="str">
        <f t="shared" si="0"/>
        <v/>
      </c>
      <c r="G1233" s="1" t="e">
        <f>IF(VALUE(F1233) = VALUE(RIGHT(Insights!$C$3, 4)), E1233, "")</f>
        <v>#VALUE!</v>
      </c>
      <c r="H1233" s="26" t="e">
        <f t="shared" si="1"/>
        <v>#VALUE!</v>
      </c>
      <c r="I1233" s="1" t="e">
        <f t="shared" si="2"/>
        <v>#VALUE!</v>
      </c>
    </row>
    <row r="1234" spans="1:9" ht="15.75" customHeight="1">
      <c r="A1234" s="26"/>
      <c r="B1234" s="2"/>
      <c r="C1234" s="26"/>
      <c r="D1234" s="26"/>
      <c r="F1234" s="85" t="str">
        <f t="shared" si="0"/>
        <v/>
      </c>
      <c r="G1234" s="1" t="e">
        <f>IF(VALUE(F1234) = VALUE(RIGHT(Insights!$C$3, 4)), E1234, "")</f>
        <v>#VALUE!</v>
      </c>
      <c r="H1234" s="26" t="e">
        <f t="shared" si="1"/>
        <v>#VALUE!</v>
      </c>
      <c r="I1234" s="1" t="e">
        <f t="shared" si="2"/>
        <v>#VALUE!</v>
      </c>
    </row>
    <row r="1235" spans="1:9" ht="15.75" customHeight="1">
      <c r="A1235" s="26"/>
      <c r="B1235" s="2"/>
      <c r="C1235" s="26"/>
      <c r="D1235" s="26"/>
      <c r="F1235" s="85" t="str">
        <f t="shared" si="0"/>
        <v/>
      </c>
      <c r="G1235" s="1" t="e">
        <f>IF(VALUE(F1235) = VALUE(RIGHT(Insights!$C$3, 4)), E1235, "")</f>
        <v>#VALUE!</v>
      </c>
      <c r="H1235" s="26" t="e">
        <f t="shared" si="1"/>
        <v>#VALUE!</v>
      </c>
      <c r="I1235" s="1" t="e">
        <f t="shared" si="2"/>
        <v>#VALUE!</v>
      </c>
    </row>
    <row r="1236" spans="1:9" ht="15.75" customHeight="1">
      <c r="A1236" s="26"/>
      <c r="B1236" s="2"/>
      <c r="C1236" s="26"/>
      <c r="D1236" s="26"/>
      <c r="F1236" s="85" t="str">
        <f t="shared" si="0"/>
        <v/>
      </c>
      <c r="G1236" s="1" t="e">
        <f>IF(VALUE(F1236) = VALUE(RIGHT(Insights!$C$3, 4)), E1236, "")</f>
        <v>#VALUE!</v>
      </c>
      <c r="H1236" s="26" t="e">
        <f t="shared" si="1"/>
        <v>#VALUE!</v>
      </c>
      <c r="I1236" s="1" t="e">
        <f t="shared" si="2"/>
        <v>#VALUE!</v>
      </c>
    </row>
    <row r="1237" spans="1:9" ht="15.75" customHeight="1">
      <c r="A1237" s="26"/>
      <c r="B1237" s="2"/>
      <c r="C1237" s="26"/>
      <c r="D1237" s="26"/>
      <c r="F1237" s="85" t="str">
        <f t="shared" si="0"/>
        <v/>
      </c>
      <c r="G1237" s="1" t="e">
        <f>IF(VALUE(F1237) = VALUE(RIGHT(Insights!$C$3, 4)), E1237, "")</f>
        <v>#VALUE!</v>
      </c>
      <c r="H1237" s="26" t="e">
        <f t="shared" si="1"/>
        <v>#VALUE!</v>
      </c>
      <c r="I1237" s="1" t="e">
        <f t="shared" si="2"/>
        <v>#VALUE!</v>
      </c>
    </row>
    <row r="1238" spans="1:9" ht="15.75" customHeight="1">
      <c r="A1238" s="26"/>
      <c r="B1238" s="2"/>
      <c r="C1238" s="26"/>
      <c r="D1238" s="26"/>
      <c r="F1238" s="85" t="str">
        <f t="shared" si="0"/>
        <v/>
      </c>
      <c r="G1238" s="1" t="e">
        <f>IF(VALUE(F1238) = VALUE(RIGHT(Insights!$C$3, 4)), E1238, "")</f>
        <v>#VALUE!</v>
      </c>
      <c r="H1238" s="26" t="e">
        <f t="shared" si="1"/>
        <v>#VALUE!</v>
      </c>
      <c r="I1238" s="1" t="e">
        <f t="shared" si="2"/>
        <v>#VALUE!</v>
      </c>
    </row>
    <row r="1239" spans="1:9" ht="15.75" customHeight="1">
      <c r="A1239" s="26"/>
      <c r="B1239" s="2"/>
      <c r="C1239" s="26"/>
      <c r="D1239" s="26"/>
      <c r="F1239" s="85" t="str">
        <f t="shared" si="0"/>
        <v/>
      </c>
      <c r="G1239" s="1" t="e">
        <f>IF(VALUE(F1239) = VALUE(RIGHT(Insights!$C$3, 4)), E1239, "")</f>
        <v>#VALUE!</v>
      </c>
      <c r="H1239" s="26" t="e">
        <f t="shared" si="1"/>
        <v>#VALUE!</v>
      </c>
      <c r="I1239" s="1" t="e">
        <f t="shared" si="2"/>
        <v>#VALUE!</v>
      </c>
    </row>
    <row r="1240" spans="1:9" ht="15.75" customHeight="1">
      <c r="A1240" s="26"/>
      <c r="B1240" s="2"/>
      <c r="C1240" s="26"/>
      <c r="D1240" s="26"/>
      <c r="F1240" s="85" t="str">
        <f t="shared" si="0"/>
        <v/>
      </c>
      <c r="G1240" s="1" t="e">
        <f>IF(VALUE(F1240) = VALUE(RIGHT(Insights!$C$3, 4)), E1240, "")</f>
        <v>#VALUE!</v>
      </c>
      <c r="H1240" s="26" t="e">
        <f t="shared" si="1"/>
        <v>#VALUE!</v>
      </c>
      <c r="I1240" s="1" t="e">
        <f t="shared" si="2"/>
        <v>#VALUE!</v>
      </c>
    </row>
    <row r="1241" spans="1:9" ht="15.75" customHeight="1">
      <c r="A1241" s="26"/>
      <c r="B1241" s="2"/>
      <c r="C1241" s="26"/>
      <c r="D1241" s="26"/>
      <c r="F1241" s="85" t="str">
        <f t="shared" si="0"/>
        <v/>
      </c>
      <c r="G1241" s="1" t="e">
        <f>IF(VALUE(F1241) = VALUE(RIGHT(Insights!$C$3, 4)), E1241, "")</f>
        <v>#VALUE!</v>
      </c>
      <c r="H1241" s="26" t="e">
        <f t="shared" si="1"/>
        <v>#VALUE!</v>
      </c>
      <c r="I1241" s="1" t="e">
        <f t="shared" si="2"/>
        <v>#VALUE!</v>
      </c>
    </row>
    <row r="1242" spans="1:9" ht="15.75" customHeight="1">
      <c r="A1242" s="26"/>
      <c r="B1242" s="2"/>
      <c r="C1242" s="26"/>
      <c r="D1242" s="26"/>
      <c r="F1242" s="85" t="str">
        <f t="shared" si="0"/>
        <v/>
      </c>
      <c r="G1242" s="1" t="e">
        <f>IF(VALUE(F1242) = VALUE(RIGHT(Insights!$C$3, 4)), E1242, "")</f>
        <v>#VALUE!</v>
      </c>
      <c r="H1242" s="26" t="e">
        <f t="shared" si="1"/>
        <v>#VALUE!</v>
      </c>
      <c r="I1242" s="1" t="e">
        <f t="shared" si="2"/>
        <v>#VALUE!</v>
      </c>
    </row>
    <row r="1243" spans="1:9" ht="15.75" customHeight="1">
      <c r="A1243" s="26"/>
      <c r="B1243" s="2"/>
      <c r="C1243" s="26"/>
      <c r="D1243" s="26"/>
      <c r="F1243" s="85" t="str">
        <f t="shared" si="0"/>
        <v/>
      </c>
      <c r="G1243" s="1" t="e">
        <f>IF(VALUE(F1243) = VALUE(RIGHT(Insights!$C$3, 4)), E1243, "")</f>
        <v>#VALUE!</v>
      </c>
      <c r="H1243" s="26" t="e">
        <f t="shared" si="1"/>
        <v>#VALUE!</v>
      </c>
      <c r="I1243" s="1" t="e">
        <f t="shared" si="2"/>
        <v>#VALUE!</v>
      </c>
    </row>
    <row r="1244" spans="1:9" ht="15.75" customHeight="1">
      <c r="A1244" s="26"/>
      <c r="B1244" s="2"/>
      <c r="C1244" s="26"/>
      <c r="D1244" s="26"/>
      <c r="F1244" s="85" t="str">
        <f t="shared" si="0"/>
        <v/>
      </c>
      <c r="G1244" s="1" t="e">
        <f>IF(VALUE(F1244) = VALUE(RIGHT(Insights!$C$3, 4)), E1244, "")</f>
        <v>#VALUE!</v>
      </c>
      <c r="H1244" s="26" t="e">
        <f t="shared" si="1"/>
        <v>#VALUE!</v>
      </c>
      <c r="I1244" s="1" t="e">
        <f t="shared" si="2"/>
        <v>#VALUE!</v>
      </c>
    </row>
    <row r="1245" spans="1:9" ht="15.75" customHeight="1">
      <c r="A1245" s="26"/>
      <c r="B1245" s="2"/>
      <c r="C1245" s="26"/>
      <c r="D1245" s="26"/>
      <c r="F1245" s="85" t="str">
        <f t="shared" si="0"/>
        <v/>
      </c>
      <c r="G1245" s="1" t="e">
        <f>IF(VALUE(F1245) = VALUE(RIGHT(Insights!$C$3, 4)), E1245, "")</f>
        <v>#VALUE!</v>
      </c>
      <c r="H1245" s="26" t="e">
        <f t="shared" si="1"/>
        <v>#VALUE!</v>
      </c>
      <c r="I1245" s="1" t="e">
        <f t="shared" si="2"/>
        <v>#VALUE!</v>
      </c>
    </row>
    <row r="1246" spans="1:9" ht="15.75" customHeight="1">
      <c r="A1246" s="26"/>
      <c r="B1246" s="2"/>
      <c r="C1246" s="26"/>
      <c r="D1246" s="26"/>
      <c r="F1246" s="85" t="str">
        <f t="shared" si="0"/>
        <v/>
      </c>
      <c r="G1246" s="1" t="e">
        <f>IF(VALUE(F1246) = VALUE(RIGHT(Insights!$C$3, 4)), E1246, "")</f>
        <v>#VALUE!</v>
      </c>
      <c r="H1246" s="26" t="e">
        <f t="shared" si="1"/>
        <v>#VALUE!</v>
      </c>
      <c r="I1246" s="1" t="e">
        <f t="shared" si="2"/>
        <v>#VALUE!</v>
      </c>
    </row>
    <row r="1247" spans="1:9" ht="15.75" customHeight="1">
      <c r="A1247" s="26"/>
      <c r="B1247" s="2"/>
      <c r="C1247" s="26"/>
      <c r="D1247" s="26"/>
      <c r="F1247" s="85" t="str">
        <f t="shared" si="0"/>
        <v/>
      </c>
      <c r="G1247" s="1" t="e">
        <f>IF(VALUE(F1247) = VALUE(RIGHT(Insights!$C$3, 4)), E1247, "")</f>
        <v>#VALUE!</v>
      </c>
      <c r="H1247" s="26" t="e">
        <f t="shared" si="1"/>
        <v>#VALUE!</v>
      </c>
      <c r="I1247" s="1" t="e">
        <f t="shared" si="2"/>
        <v>#VALUE!</v>
      </c>
    </row>
    <row r="1248" spans="1:9" ht="15.75" customHeight="1">
      <c r="A1248" s="26"/>
      <c r="B1248" s="2"/>
      <c r="C1248" s="26"/>
      <c r="D1248" s="26"/>
      <c r="F1248" s="85" t="str">
        <f t="shared" si="0"/>
        <v/>
      </c>
      <c r="G1248" s="1" t="e">
        <f>IF(VALUE(F1248) = VALUE(RIGHT(Insights!$C$3, 4)), E1248, "")</f>
        <v>#VALUE!</v>
      </c>
      <c r="H1248" s="26" t="e">
        <f t="shared" si="1"/>
        <v>#VALUE!</v>
      </c>
      <c r="I1248" s="1" t="e">
        <f t="shared" si="2"/>
        <v>#VALUE!</v>
      </c>
    </row>
    <row r="1249" spans="1:9" ht="15.75" customHeight="1">
      <c r="A1249" s="26"/>
      <c r="B1249" s="2"/>
      <c r="C1249" s="26"/>
      <c r="D1249" s="26"/>
      <c r="F1249" s="85" t="str">
        <f t="shared" si="0"/>
        <v/>
      </c>
      <c r="G1249" s="1" t="e">
        <f>IF(VALUE(F1249) = VALUE(RIGHT(Insights!$C$3, 4)), E1249, "")</f>
        <v>#VALUE!</v>
      </c>
      <c r="H1249" s="26" t="e">
        <f t="shared" si="1"/>
        <v>#VALUE!</v>
      </c>
      <c r="I1249" s="1" t="e">
        <f t="shared" si="2"/>
        <v>#VALUE!</v>
      </c>
    </row>
    <row r="1250" spans="1:9" ht="15.75" customHeight="1">
      <c r="A1250" s="26"/>
      <c r="B1250" s="2"/>
      <c r="C1250" s="26"/>
      <c r="D1250" s="26"/>
      <c r="F1250" s="85" t="str">
        <f t="shared" si="0"/>
        <v/>
      </c>
      <c r="G1250" s="1" t="e">
        <f>IF(VALUE(F1250) = VALUE(RIGHT(Insights!$C$3, 4)), E1250, "")</f>
        <v>#VALUE!</v>
      </c>
      <c r="H1250" s="26" t="e">
        <f t="shared" si="1"/>
        <v>#VALUE!</v>
      </c>
      <c r="I1250" s="1" t="e">
        <f t="shared" si="2"/>
        <v>#VALUE!</v>
      </c>
    </row>
    <row r="1251" spans="1:9" ht="15.75" customHeight="1">
      <c r="A1251" s="26"/>
      <c r="B1251" s="2"/>
      <c r="C1251" s="26"/>
      <c r="D1251" s="26"/>
      <c r="F1251" s="85" t="str">
        <f t="shared" si="0"/>
        <v/>
      </c>
      <c r="G1251" s="1" t="e">
        <f>IF(VALUE(F1251) = VALUE(RIGHT(Insights!$C$3, 4)), E1251, "")</f>
        <v>#VALUE!</v>
      </c>
      <c r="H1251" s="26" t="e">
        <f t="shared" si="1"/>
        <v>#VALUE!</v>
      </c>
      <c r="I1251" s="1" t="e">
        <f t="shared" si="2"/>
        <v>#VALUE!</v>
      </c>
    </row>
    <row r="1252" spans="1:9" ht="15.75" customHeight="1">
      <c r="A1252" s="26"/>
      <c r="B1252" s="2"/>
      <c r="C1252" s="26"/>
      <c r="D1252" s="26"/>
      <c r="F1252" s="85" t="str">
        <f t="shared" si="0"/>
        <v/>
      </c>
      <c r="G1252" s="1" t="e">
        <f>IF(VALUE(F1252) = VALUE(RIGHT(Insights!$C$3, 4)), E1252, "")</f>
        <v>#VALUE!</v>
      </c>
      <c r="H1252" s="26" t="e">
        <f t="shared" si="1"/>
        <v>#VALUE!</v>
      </c>
      <c r="I1252" s="1" t="e">
        <f t="shared" si="2"/>
        <v>#VALUE!</v>
      </c>
    </row>
    <row r="1253" spans="1:9" ht="15.75" customHeight="1">
      <c r="A1253" s="26"/>
      <c r="B1253" s="2"/>
      <c r="C1253" s="26"/>
      <c r="D1253" s="26"/>
      <c r="F1253" s="85" t="str">
        <f t="shared" si="0"/>
        <v/>
      </c>
      <c r="G1253" s="1" t="e">
        <f>IF(VALUE(F1253) = VALUE(RIGHT(Insights!$C$3, 4)), E1253, "")</f>
        <v>#VALUE!</v>
      </c>
      <c r="H1253" s="26" t="e">
        <f t="shared" si="1"/>
        <v>#VALUE!</v>
      </c>
      <c r="I1253" s="1" t="e">
        <f t="shared" si="2"/>
        <v>#VALUE!</v>
      </c>
    </row>
    <row r="1254" spans="1:9" ht="15.75" customHeight="1">
      <c r="A1254" s="26"/>
      <c r="B1254" s="2"/>
      <c r="C1254" s="26"/>
      <c r="D1254" s="26"/>
      <c r="F1254" s="85" t="str">
        <f t="shared" si="0"/>
        <v/>
      </c>
      <c r="G1254" s="1" t="e">
        <f>IF(VALUE(F1254) = VALUE(RIGHT(Insights!$C$3, 4)), E1254, "")</f>
        <v>#VALUE!</v>
      </c>
      <c r="H1254" s="26" t="e">
        <f t="shared" si="1"/>
        <v>#VALUE!</v>
      </c>
      <c r="I1254" s="1" t="e">
        <f t="shared" si="2"/>
        <v>#VALUE!</v>
      </c>
    </row>
    <row r="1255" spans="1:9" ht="15.75" customHeight="1">
      <c r="A1255" s="26"/>
      <c r="B1255" s="2"/>
      <c r="C1255" s="26"/>
      <c r="D1255" s="26"/>
      <c r="F1255" s="85" t="str">
        <f t="shared" si="0"/>
        <v/>
      </c>
      <c r="G1255" s="1" t="e">
        <f>IF(VALUE(F1255) = VALUE(RIGHT(Insights!$C$3, 4)), E1255, "")</f>
        <v>#VALUE!</v>
      </c>
      <c r="H1255" s="26" t="e">
        <f t="shared" si="1"/>
        <v>#VALUE!</v>
      </c>
      <c r="I1255" s="1" t="e">
        <f t="shared" si="2"/>
        <v>#VALUE!</v>
      </c>
    </row>
    <row r="1256" spans="1:9" ht="15.75" customHeight="1">
      <c r="A1256" s="26"/>
      <c r="B1256" s="2"/>
      <c r="C1256" s="26"/>
      <c r="D1256" s="26"/>
      <c r="F1256" s="85" t="str">
        <f t="shared" si="0"/>
        <v/>
      </c>
      <c r="G1256" s="1" t="e">
        <f>IF(VALUE(F1256) = VALUE(RIGHT(Insights!$C$3, 4)), E1256, "")</f>
        <v>#VALUE!</v>
      </c>
      <c r="H1256" s="26" t="e">
        <f t="shared" si="1"/>
        <v>#VALUE!</v>
      </c>
      <c r="I1256" s="1" t="e">
        <f t="shared" si="2"/>
        <v>#VALUE!</v>
      </c>
    </row>
    <row r="1257" spans="1:9" ht="15.75" customHeight="1">
      <c r="A1257" s="26"/>
      <c r="B1257" s="2"/>
      <c r="C1257" s="26"/>
      <c r="D1257" s="26"/>
      <c r="F1257" s="85" t="str">
        <f t="shared" si="0"/>
        <v/>
      </c>
      <c r="G1257" s="1" t="e">
        <f>IF(VALUE(F1257) = VALUE(RIGHT(Insights!$C$3, 4)), E1257, "")</f>
        <v>#VALUE!</v>
      </c>
      <c r="H1257" s="26" t="e">
        <f t="shared" si="1"/>
        <v>#VALUE!</v>
      </c>
      <c r="I1257" s="1" t="e">
        <f t="shared" si="2"/>
        <v>#VALUE!</v>
      </c>
    </row>
    <row r="1258" spans="1:9" ht="15.75" customHeight="1">
      <c r="A1258" s="26"/>
      <c r="B1258" s="2"/>
      <c r="C1258" s="26"/>
      <c r="D1258" s="26"/>
      <c r="F1258" s="85" t="str">
        <f t="shared" si="0"/>
        <v/>
      </c>
      <c r="G1258" s="1" t="e">
        <f>IF(VALUE(F1258) = VALUE(RIGHT(Insights!$C$3, 4)), E1258, "")</f>
        <v>#VALUE!</v>
      </c>
      <c r="H1258" s="26" t="e">
        <f t="shared" si="1"/>
        <v>#VALUE!</v>
      </c>
      <c r="I1258" s="1" t="e">
        <f t="shared" si="2"/>
        <v>#VALUE!</v>
      </c>
    </row>
    <row r="1259" spans="1:9" ht="15.75" customHeight="1">
      <c r="A1259" s="26"/>
      <c r="B1259" s="2"/>
      <c r="C1259" s="26"/>
      <c r="D1259" s="26"/>
      <c r="F1259" s="85" t="str">
        <f t="shared" si="0"/>
        <v/>
      </c>
      <c r="G1259" s="1" t="e">
        <f>IF(VALUE(F1259) = VALUE(RIGHT(Insights!$C$3, 4)), E1259, "")</f>
        <v>#VALUE!</v>
      </c>
      <c r="H1259" s="26" t="e">
        <f t="shared" si="1"/>
        <v>#VALUE!</v>
      </c>
      <c r="I1259" s="1" t="e">
        <f t="shared" si="2"/>
        <v>#VALUE!</v>
      </c>
    </row>
    <row r="1260" spans="1:9" ht="15.75" customHeight="1">
      <c r="A1260" s="26"/>
      <c r="B1260" s="2"/>
      <c r="C1260" s="26"/>
      <c r="D1260" s="26"/>
      <c r="F1260" s="85" t="str">
        <f t="shared" si="0"/>
        <v/>
      </c>
      <c r="G1260" s="1" t="e">
        <f>IF(VALUE(F1260) = VALUE(RIGHT(Insights!$C$3, 4)), E1260, "")</f>
        <v>#VALUE!</v>
      </c>
      <c r="H1260" s="26" t="e">
        <f t="shared" si="1"/>
        <v>#VALUE!</v>
      </c>
      <c r="I1260" s="1" t="e">
        <f t="shared" si="2"/>
        <v>#VALUE!</v>
      </c>
    </row>
    <row r="1261" spans="1:9" ht="15.75" customHeight="1">
      <c r="A1261" s="26"/>
      <c r="B1261" s="2"/>
      <c r="C1261" s="26"/>
      <c r="D1261" s="26"/>
      <c r="F1261" s="85" t="str">
        <f t="shared" si="0"/>
        <v/>
      </c>
      <c r="G1261" s="1" t="e">
        <f>IF(VALUE(F1261) = VALUE(RIGHT(Insights!$C$3, 4)), E1261, "")</f>
        <v>#VALUE!</v>
      </c>
      <c r="H1261" s="26" t="e">
        <f t="shared" si="1"/>
        <v>#VALUE!</v>
      </c>
      <c r="I1261" s="1" t="e">
        <f t="shared" si="2"/>
        <v>#VALUE!</v>
      </c>
    </row>
    <row r="1262" spans="1:9" ht="15.75" customHeight="1">
      <c r="A1262" s="26"/>
      <c r="B1262" s="2"/>
      <c r="C1262" s="26"/>
      <c r="D1262" s="26"/>
      <c r="F1262" s="85" t="str">
        <f t="shared" si="0"/>
        <v/>
      </c>
      <c r="G1262" s="1" t="e">
        <f>IF(VALUE(F1262) = VALUE(RIGHT(Insights!$C$3, 4)), E1262, "")</f>
        <v>#VALUE!</v>
      </c>
      <c r="H1262" s="26" t="e">
        <f t="shared" si="1"/>
        <v>#VALUE!</v>
      </c>
      <c r="I1262" s="1" t="e">
        <f t="shared" si="2"/>
        <v>#VALUE!</v>
      </c>
    </row>
    <row r="1263" spans="1:9" ht="15.75" customHeight="1">
      <c r="A1263" s="26"/>
      <c r="B1263" s="2"/>
      <c r="C1263" s="26"/>
      <c r="D1263" s="26"/>
      <c r="F1263" s="85" t="str">
        <f t="shared" si="0"/>
        <v/>
      </c>
      <c r="G1263" s="1" t="e">
        <f>IF(VALUE(F1263) = VALUE(RIGHT(Insights!$C$3, 4)), E1263, "")</f>
        <v>#VALUE!</v>
      </c>
      <c r="H1263" s="26" t="e">
        <f t="shared" si="1"/>
        <v>#VALUE!</v>
      </c>
      <c r="I1263" s="1" t="e">
        <f t="shared" si="2"/>
        <v>#VALUE!</v>
      </c>
    </row>
    <row r="1264" spans="1:9" ht="15.75" customHeight="1">
      <c r="A1264" s="26"/>
      <c r="B1264" s="2"/>
      <c r="C1264" s="26"/>
      <c r="D1264" s="26"/>
      <c r="F1264" s="85" t="str">
        <f t="shared" si="0"/>
        <v/>
      </c>
      <c r="G1264" s="1" t="e">
        <f>IF(VALUE(F1264) = VALUE(RIGHT(Insights!$C$3, 4)), E1264, "")</f>
        <v>#VALUE!</v>
      </c>
      <c r="H1264" s="26" t="e">
        <f t="shared" si="1"/>
        <v>#VALUE!</v>
      </c>
      <c r="I1264" s="1" t="e">
        <f t="shared" si="2"/>
        <v>#VALUE!</v>
      </c>
    </row>
    <row r="1265" spans="1:9" ht="15.75" customHeight="1">
      <c r="A1265" s="26"/>
      <c r="B1265" s="2"/>
      <c r="C1265" s="26"/>
      <c r="D1265" s="26"/>
      <c r="F1265" s="85" t="str">
        <f t="shared" si="0"/>
        <v/>
      </c>
      <c r="G1265" s="1" t="e">
        <f>IF(VALUE(F1265) = VALUE(RIGHT(Insights!$C$3, 4)), E1265, "")</f>
        <v>#VALUE!</v>
      </c>
      <c r="H1265" s="26" t="e">
        <f t="shared" si="1"/>
        <v>#VALUE!</v>
      </c>
      <c r="I1265" s="1" t="e">
        <f t="shared" si="2"/>
        <v>#VALUE!</v>
      </c>
    </row>
    <row r="1266" spans="1:9" ht="15.75" customHeight="1">
      <c r="A1266" s="26"/>
      <c r="B1266" s="2"/>
      <c r="C1266" s="26"/>
      <c r="D1266" s="26"/>
      <c r="F1266" s="85" t="str">
        <f t="shared" si="0"/>
        <v/>
      </c>
      <c r="G1266" s="1" t="e">
        <f>IF(VALUE(F1266) = VALUE(RIGHT(Insights!$C$3, 4)), E1266, "")</f>
        <v>#VALUE!</v>
      </c>
      <c r="H1266" s="26" t="e">
        <f t="shared" si="1"/>
        <v>#VALUE!</v>
      </c>
      <c r="I1266" s="1" t="e">
        <f t="shared" si="2"/>
        <v>#VALUE!</v>
      </c>
    </row>
    <row r="1267" spans="1:9" ht="15.75" customHeight="1">
      <c r="A1267" s="26"/>
      <c r="B1267" s="2"/>
      <c r="C1267" s="26"/>
      <c r="D1267" s="26"/>
      <c r="F1267" s="85" t="str">
        <f t="shared" si="0"/>
        <v/>
      </c>
      <c r="G1267" s="1" t="e">
        <f>IF(VALUE(F1267) = VALUE(RIGHT(Insights!$C$3, 4)), E1267, "")</f>
        <v>#VALUE!</v>
      </c>
      <c r="H1267" s="26" t="e">
        <f t="shared" si="1"/>
        <v>#VALUE!</v>
      </c>
      <c r="I1267" s="1" t="e">
        <f t="shared" si="2"/>
        <v>#VALUE!</v>
      </c>
    </row>
    <row r="1268" spans="1:9" ht="15.75" customHeight="1">
      <c r="A1268" s="26"/>
      <c r="B1268" s="2"/>
      <c r="C1268" s="26"/>
      <c r="D1268" s="26"/>
      <c r="F1268" s="85" t="str">
        <f t="shared" si="0"/>
        <v/>
      </c>
      <c r="G1268" s="1" t="e">
        <f>IF(VALUE(F1268) = VALUE(RIGHT(Insights!$C$3, 4)), E1268, "")</f>
        <v>#VALUE!</v>
      </c>
      <c r="H1268" s="26" t="e">
        <f t="shared" si="1"/>
        <v>#VALUE!</v>
      </c>
      <c r="I1268" s="1" t="e">
        <f t="shared" si="2"/>
        <v>#VALUE!</v>
      </c>
    </row>
    <row r="1269" spans="1:9" ht="15.75" customHeight="1">
      <c r="A1269" s="26"/>
      <c r="B1269" s="2"/>
      <c r="C1269" s="26"/>
      <c r="D1269" s="26"/>
      <c r="F1269" s="85" t="str">
        <f t="shared" si="0"/>
        <v/>
      </c>
      <c r="G1269" s="1" t="e">
        <f>IF(VALUE(F1269) = VALUE(RIGHT(Insights!$C$3, 4)), E1269, "")</f>
        <v>#VALUE!</v>
      </c>
      <c r="H1269" s="26" t="e">
        <f t="shared" si="1"/>
        <v>#VALUE!</v>
      </c>
      <c r="I1269" s="1" t="e">
        <f t="shared" si="2"/>
        <v>#VALUE!</v>
      </c>
    </row>
    <row r="1270" spans="1:9" ht="15.75" customHeight="1">
      <c r="A1270" s="26"/>
      <c r="B1270" s="2"/>
      <c r="C1270" s="26"/>
      <c r="D1270" s="26"/>
      <c r="F1270" s="85" t="str">
        <f t="shared" si="0"/>
        <v/>
      </c>
      <c r="G1270" s="1" t="e">
        <f>IF(VALUE(F1270) = VALUE(RIGHT(Insights!$C$3, 4)), E1270, "")</f>
        <v>#VALUE!</v>
      </c>
      <c r="H1270" s="26" t="e">
        <f t="shared" si="1"/>
        <v>#VALUE!</v>
      </c>
      <c r="I1270" s="1" t="e">
        <f t="shared" si="2"/>
        <v>#VALUE!</v>
      </c>
    </row>
    <row r="1271" spans="1:9" ht="15.75" customHeight="1">
      <c r="A1271" s="26"/>
      <c r="B1271" s="2"/>
      <c r="C1271" s="26"/>
      <c r="D1271" s="26"/>
      <c r="F1271" s="85" t="str">
        <f t="shared" si="0"/>
        <v/>
      </c>
      <c r="G1271" s="1" t="e">
        <f>IF(VALUE(F1271) = VALUE(RIGHT(Insights!$C$3, 4)), E1271, "")</f>
        <v>#VALUE!</v>
      </c>
      <c r="H1271" s="26" t="e">
        <f t="shared" si="1"/>
        <v>#VALUE!</v>
      </c>
      <c r="I1271" s="1" t="e">
        <f t="shared" si="2"/>
        <v>#VALUE!</v>
      </c>
    </row>
    <row r="1272" spans="1:9" ht="15.75" customHeight="1">
      <c r="A1272" s="26"/>
      <c r="B1272" s="2"/>
      <c r="C1272" s="26"/>
      <c r="D1272" s="26"/>
      <c r="F1272" s="85" t="str">
        <f t="shared" si="0"/>
        <v/>
      </c>
      <c r="G1272" s="1" t="e">
        <f>IF(VALUE(F1272) = VALUE(RIGHT(Insights!$C$3, 4)), E1272, "")</f>
        <v>#VALUE!</v>
      </c>
      <c r="H1272" s="26" t="e">
        <f t="shared" si="1"/>
        <v>#VALUE!</v>
      </c>
      <c r="I1272" s="1" t="e">
        <f t="shared" si="2"/>
        <v>#VALUE!</v>
      </c>
    </row>
    <row r="1273" spans="1:9" ht="15.75" customHeight="1">
      <c r="A1273" s="26"/>
      <c r="B1273" s="2"/>
      <c r="C1273" s="26"/>
      <c r="D1273" s="26"/>
      <c r="F1273" s="85" t="str">
        <f t="shared" si="0"/>
        <v/>
      </c>
      <c r="G1273" s="1" t="e">
        <f>IF(VALUE(F1273) = VALUE(RIGHT(Insights!$C$3, 4)), E1273, "")</f>
        <v>#VALUE!</v>
      </c>
      <c r="H1273" s="26" t="e">
        <f t="shared" si="1"/>
        <v>#VALUE!</v>
      </c>
      <c r="I1273" s="1" t="e">
        <f t="shared" si="2"/>
        <v>#VALUE!</v>
      </c>
    </row>
    <row r="1274" spans="1:9" ht="15.75" customHeight="1">
      <c r="A1274" s="26"/>
      <c r="B1274" s="2"/>
      <c r="C1274" s="26"/>
      <c r="D1274" s="26"/>
      <c r="F1274" s="85" t="str">
        <f t="shared" si="0"/>
        <v/>
      </c>
      <c r="G1274" s="1" t="e">
        <f>IF(VALUE(F1274) = VALUE(RIGHT(Insights!$C$3, 4)), E1274, "")</f>
        <v>#VALUE!</v>
      </c>
      <c r="H1274" s="26" t="e">
        <f t="shared" si="1"/>
        <v>#VALUE!</v>
      </c>
      <c r="I1274" s="1" t="e">
        <f t="shared" si="2"/>
        <v>#VALUE!</v>
      </c>
    </row>
    <row r="1275" spans="1:9" ht="15.75" customHeight="1">
      <c r="A1275" s="26"/>
      <c r="B1275" s="2"/>
      <c r="C1275" s="26"/>
      <c r="D1275" s="26"/>
      <c r="F1275" s="85" t="str">
        <f t="shared" si="0"/>
        <v/>
      </c>
      <c r="G1275" s="1" t="e">
        <f>IF(VALUE(F1275) = VALUE(RIGHT(Insights!$C$3, 4)), E1275, "")</f>
        <v>#VALUE!</v>
      </c>
      <c r="H1275" s="26" t="e">
        <f t="shared" si="1"/>
        <v>#VALUE!</v>
      </c>
      <c r="I1275" s="1" t="e">
        <f t="shared" si="2"/>
        <v>#VALUE!</v>
      </c>
    </row>
    <row r="1276" spans="1:9" ht="15.75" customHeight="1">
      <c r="A1276" s="26"/>
      <c r="B1276" s="2"/>
      <c r="C1276" s="26"/>
      <c r="D1276" s="26"/>
      <c r="F1276" s="85" t="str">
        <f t="shared" si="0"/>
        <v/>
      </c>
      <c r="G1276" s="1" t="e">
        <f>IF(VALUE(F1276) = VALUE(RIGHT(Insights!$C$3, 4)), E1276, "")</f>
        <v>#VALUE!</v>
      </c>
      <c r="H1276" s="26" t="e">
        <f t="shared" si="1"/>
        <v>#VALUE!</v>
      </c>
      <c r="I1276" s="1" t="e">
        <f t="shared" si="2"/>
        <v>#VALUE!</v>
      </c>
    </row>
    <row r="1277" spans="1:9" ht="15.75" customHeight="1">
      <c r="A1277" s="26"/>
      <c r="B1277" s="2"/>
      <c r="C1277" s="26"/>
      <c r="D1277" s="26"/>
      <c r="F1277" s="85" t="str">
        <f t="shared" si="0"/>
        <v/>
      </c>
      <c r="G1277" s="1" t="e">
        <f>IF(VALUE(F1277) = VALUE(RIGHT(Insights!$C$3, 4)), E1277, "")</f>
        <v>#VALUE!</v>
      </c>
      <c r="H1277" s="26" t="e">
        <f t="shared" si="1"/>
        <v>#VALUE!</v>
      </c>
      <c r="I1277" s="1" t="e">
        <f t="shared" si="2"/>
        <v>#VALUE!</v>
      </c>
    </row>
    <row r="1278" spans="1:9" ht="15.75" customHeight="1">
      <c r="A1278" s="26"/>
      <c r="B1278" s="2"/>
      <c r="C1278" s="26"/>
      <c r="D1278" s="26"/>
      <c r="F1278" s="85" t="str">
        <f t="shared" si="0"/>
        <v/>
      </c>
      <c r="G1278" s="1" t="e">
        <f>IF(VALUE(F1278) = VALUE(RIGHT(Insights!$C$3, 4)), E1278, "")</f>
        <v>#VALUE!</v>
      </c>
      <c r="H1278" s="26" t="e">
        <f t="shared" si="1"/>
        <v>#VALUE!</v>
      </c>
      <c r="I1278" s="1" t="e">
        <f t="shared" si="2"/>
        <v>#VALUE!</v>
      </c>
    </row>
    <row r="1279" spans="1:9" ht="15.75" customHeight="1">
      <c r="A1279" s="26"/>
      <c r="B1279" s="2"/>
      <c r="C1279" s="26"/>
      <c r="D1279" s="26"/>
      <c r="F1279" s="85" t="str">
        <f t="shared" si="0"/>
        <v/>
      </c>
      <c r="G1279" s="1" t="e">
        <f>IF(VALUE(F1279) = VALUE(RIGHT(Insights!$C$3, 4)), E1279, "")</f>
        <v>#VALUE!</v>
      </c>
      <c r="H1279" s="26" t="e">
        <f t="shared" si="1"/>
        <v>#VALUE!</v>
      </c>
      <c r="I1279" s="1" t="e">
        <f t="shared" si="2"/>
        <v>#VALUE!</v>
      </c>
    </row>
    <row r="1280" spans="1:9" ht="15.75" customHeight="1">
      <c r="A1280" s="26"/>
      <c r="B1280" s="2"/>
      <c r="C1280" s="26"/>
      <c r="D1280" s="26"/>
      <c r="F1280" s="85" t="str">
        <f t="shared" si="0"/>
        <v/>
      </c>
      <c r="G1280" s="1" t="e">
        <f>IF(VALUE(F1280) = VALUE(RIGHT(Insights!$C$3, 4)), E1280, "")</f>
        <v>#VALUE!</v>
      </c>
      <c r="H1280" s="26" t="e">
        <f t="shared" si="1"/>
        <v>#VALUE!</v>
      </c>
      <c r="I1280" s="1" t="e">
        <f t="shared" si="2"/>
        <v>#VALUE!</v>
      </c>
    </row>
    <row r="1281" spans="1:9" ht="15.75" customHeight="1">
      <c r="A1281" s="26"/>
      <c r="B1281" s="2"/>
      <c r="C1281" s="26"/>
      <c r="D1281" s="26"/>
      <c r="F1281" s="85" t="str">
        <f t="shared" si="0"/>
        <v/>
      </c>
      <c r="G1281" s="1" t="e">
        <f>IF(VALUE(F1281) = VALUE(RIGHT(Insights!$C$3, 4)), E1281, "")</f>
        <v>#VALUE!</v>
      </c>
      <c r="H1281" s="26" t="e">
        <f t="shared" si="1"/>
        <v>#VALUE!</v>
      </c>
      <c r="I1281" s="1" t="e">
        <f t="shared" si="2"/>
        <v>#VALUE!</v>
      </c>
    </row>
    <row r="1282" spans="1:9" ht="15.75" customHeight="1">
      <c r="A1282" s="26"/>
      <c r="B1282" s="2"/>
      <c r="C1282" s="26"/>
      <c r="D1282" s="26"/>
      <c r="F1282" s="85" t="str">
        <f t="shared" si="0"/>
        <v/>
      </c>
      <c r="G1282" s="1" t="e">
        <f>IF(VALUE(F1282) = VALUE(RIGHT(Insights!$C$3, 4)), E1282, "")</f>
        <v>#VALUE!</v>
      </c>
      <c r="H1282" s="26" t="e">
        <f t="shared" si="1"/>
        <v>#VALUE!</v>
      </c>
      <c r="I1282" s="1" t="e">
        <f t="shared" si="2"/>
        <v>#VALUE!</v>
      </c>
    </row>
    <row r="1283" spans="1:9" ht="15.75" customHeight="1">
      <c r="A1283" s="26"/>
      <c r="B1283" s="2"/>
      <c r="C1283" s="26"/>
      <c r="D1283" s="26"/>
      <c r="F1283" s="85" t="str">
        <f t="shared" si="0"/>
        <v/>
      </c>
      <c r="G1283" s="1" t="e">
        <f>IF(VALUE(F1283) = VALUE(RIGHT(Insights!$C$3, 4)), E1283, "")</f>
        <v>#VALUE!</v>
      </c>
      <c r="H1283" s="26" t="e">
        <f t="shared" si="1"/>
        <v>#VALUE!</v>
      </c>
      <c r="I1283" s="1" t="e">
        <f t="shared" si="2"/>
        <v>#VALUE!</v>
      </c>
    </row>
    <row r="1284" spans="1:9" ht="15.75" customHeight="1">
      <c r="A1284" s="26"/>
      <c r="B1284" s="2"/>
      <c r="C1284" s="26"/>
      <c r="D1284" s="26"/>
      <c r="F1284" s="85" t="str">
        <f t="shared" si="0"/>
        <v/>
      </c>
      <c r="G1284" s="1" t="e">
        <f>IF(VALUE(F1284) = VALUE(RIGHT(Insights!$C$3, 4)), E1284, "")</f>
        <v>#VALUE!</v>
      </c>
      <c r="H1284" s="26" t="e">
        <f t="shared" si="1"/>
        <v>#VALUE!</v>
      </c>
      <c r="I1284" s="1" t="e">
        <f t="shared" si="2"/>
        <v>#VALUE!</v>
      </c>
    </row>
    <row r="1285" spans="1:9" ht="15.75" customHeight="1">
      <c r="A1285" s="26"/>
      <c r="B1285" s="2"/>
      <c r="C1285" s="26"/>
      <c r="D1285" s="26"/>
      <c r="F1285" s="85" t="str">
        <f t="shared" si="0"/>
        <v/>
      </c>
      <c r="G1285" s="1" t="e">
        <f>IF(VALUE(F1285) = VALUE(RIGHT(Insights!$C$3, 4)), E1285, "")</f>
        <v>#VALUE!</v>
      </c>
      <c r="H1285" s="26" t="e">
        <f t="shared" si="1"/>
        <v>#VALUE!</v>
      </c>
      <c r="I1285" s="1" t="e">
        <f t="shared" si="2"/>
        <v>#VALUE!</v>
      </c>
    </row>
    <row r="1286" spans="1:9" ht="15.75" customHeight="1">
      <c r="A1286" s="26"/>
      <c r="B1286" s="2"/>
      <c r="C1286" s="26"/>
      <c r="D1286" s="26"/>
      <c r="F1286" s="85" t="str">
        <f t="shared" si="0"/>
        <v/>
      </c>
      <c r="G1286" s="1" t="e">
        <f>IF(VALUE(F1286) = VALUE(RIGHT(Insights!$C$3, 4)), E1286, "")</f>
        <v>#VALUE!</v>
      </c>
      <c r="H1286" s="26" t="e">
        <f t="shared" si="1"/>
        <v>#VALUE!</v>
      </c>
      <c r="I1286" s="1" t="e">
        <f t="shared" si="2"/>
        <v>#VALUE!</v>
      </c>
    </row>
    <row r="1287" spans="1:9" ht="15.75" customHeight="1">
      <c r="A1287" s="26"/>
      <c r="B1287" s="2"/>
      <c r="C1287" s="26"/>
      <c r="D1287" s="26"/>
      <c r="F1287" s="85" t="str">
        <f t="shared" si="0"/>
        <v/>
      </c>
      <c r="G1287" s="1" t="e">
        <f>IF(VALUE(F1287) = VALUE(RIGHT(Insights!$C$3, 4)), E1287, "")</f>
        <v>#VALUE!</v>
      </c>
      <c r="H1287" s="26" t="e">
        <f t="shared" si="1"/>
        <v>#VALUE!</v>
      </c>
      <c r="I1287" s="1" t="e">
        <f t="shared" si="2"/>
        <v>#VALUE!</v>
      </c>
    </row>
    <row r="1288" spans="1:9" ht="15.75" customHeight="1">
      <c r="A1288" s="26"/>
      <c r="B1288" s="2"/>
      <c r="C1288" s="26"/>
      <c r="D1288" s="26"/>
      <c r="F1288" s="85" t="str">
        <f t="shared" si="0"/>
        <v/>
      </c>
      <c r="G1288" s="1" t="e">
        <f>IF(VALUE(F1288) = VALUE(RIGHT(Insights!$C$3, 4)), E1288, "")</f>
        <v>#VALUE!</v>
      </c>
      <c r="H1288" s="26" t="e">
        <f t="shared" si="1"/>
        <v>#VALUE!</v>
      </c>
      <c r="I1288" s="1" t="e">
        <f t="shared" si="2"/>
        <v>#VALUE!</v>
      </c>
    </row>
    <row r="1289" spans="1:9" ht="15.75" customHeight="1">
      <c r="A1289" s="26"/>
      <c r="B1289" s="2"/>
      <c r="C1289" s="26"/>
      <c r="D1289" s="26"/>
      <c r="F1289" s="85" t="str">
        <f t="shared" si="0"/>
        <v/>
      </c>
      <c r="G1289" s="1" t="e">
        <f>IF(VALUE(F1289) = VALUE(RIGHT(Insights!$C$3, 4)), E1289, "")</f>
        <v>#VALUE!</v>
      </c>
      <c r="H1289" s="26" t="e">
        <f t="shared" si="1"/>
        <v>#VALUE!</v>
      </c>
      <c r="I1289" s="1" t="e">
        <f t="shared" si="2"/>
        <v>#VALUE!</v>
      </c>
    </row>
    <row r="1290" spans="1:9" ht="15.75" customHeight="1">
      <c r="A1290" s="26"/>
      <c r="B1290" s="2"/>
      <c r="C1290" s="26"/>
      <c r="D1290" s="26"/>
      <c r="F1290" s="85" t="str">
        <f t="shared" si="0"/>
        <v/>
      </c>
      <c r="G1290" s="1" t="e">
        <f>IF(VALUE(F1290) = VALUE(RIGHT(Insights!$C$3, 4)), E1290, "")</f>
        <v>#VALUE!</v>
      </c>
      <c r="H1290" s="26" t="e">
        <f t="shared" si="1"/>
        <v>#VALUE!</v>
      </c>
      <c r="I1290" s="1" t="e">
        <f t="shared" si="2"/>
        <v>#VALUE!</v>
      </c>
    </row>
    <row r="1291" spans="1:9" ht="15.75" customHeight="1">
      <c r="A1291" s="26"/>
      <c r="B1291" s="2"/>
      <c r="C1291" s="26"/>
      <c r="D1291" s="26"/>
      <c r="F1291" s="85" t="str">
        <f t="shared" si="0"/>
        <v/>
      </c>
      <c r="G1291" s="1" t="e">
        <f>IF(VALUE(F1291) = VALUE(RIGHT(Insights!$C$3, 4)), E1291, "")</f>
        <v>#VALUE!</v>
      </c>
      <c r="H1291" s="26" t="e">
        <f t="shared" si="1"/>
        <v>#VALUE!</v>
      </c>
      <c r="I1291" s="1" t="e">
        <f t="shared" si="2"/>
        <v>#VALUE!</v>
      </c>
    </row>
    <row r="1292" spans="1:9" ht="15.75" customHeight="1">
      <c r="A1292" s="26"/>
      <c r="B1292" s="2"/>
      <c r="C1292" s="26"/>
      <c r="D1292" s="26"/>
      <c r="F1292" s="85" t="str">
        <f t="shared" si="0"/>
        <v/>
      </c>
      <c r="G1292" s="1" t="e">
        <f>IF(VALUE(F1292) = VALUE(RIGHT(Insights!$C$3, 4)), E1292, "")</f>
        <v>#VALUE!</v>
      </c>
      <c r="H1292" s="26" t="e">
        <f t="shared" si="1"/>
        <v>#VALUE!</v>
      </c>
      <c r="I1292" s="1" t="e">
        <f t="shared" si="2"/>
        <v>#VALUE!</v>
      </c>
    </row>
    <row r="1293" spans="1:9" ht="15.75" customHeight="1">
      <c r="A1293" s="26"/>
      <c r="B1293" s="2"/>
      <c r="C1293" s="26"/>
      <c r="D1293" s="26"/>
      <c r="F1293" s="85" t="str">
        <f t="shared" si="0"/>
        <v/>
      </c>
      <c r="G1293" s="1" t="e">
        <f>IF(VALUE(F1293) = VALUE(RIGHT(Insights!$C$3, 4)), E1293, "")</f>
        <v>#VALUE!</v>
      </c>
      <c r="H1293" s="26" t="e">
        <f t="shared" si="1"/>
        <v>#VALUE!</v>
      </c>
      <c r="I1293" s="1" t="e">
        <f t="shared" si="2"/>
        <v>#VALUE!</v>
      </c>
    </row>
    <row r="1294" spans="1:9" ht="15.75" customHeight="1">
      <c r="A1294" s="26"/>
      <c r="B1294" s="2"/>
      <c r="C1294" s="26"/>
      <c r="D1294" s="26"/>
      <c r="F1294" s="85" t="str">
        <f t="shared" si="0"/>
        <v/>
      </c>
      <c r="G1294" s="1" t="e">
        <f>IF(VALUE(F1294) = VALUE(RIGHT(Insights!$C$3, 4)), E1294, "")</f>
        <v>#VALUE!</v>
      </c>
      <c r="H1294" s="26" t="e">
        <f t="shared" si="1"/>
        <v>#VALUE!</v>
      </c>
      <c r="I1294" s="1" t="e">
        <f t="shared" si="2"/>
        <v>#VALUE!</v>
      </c>
    </row>
    <row r="1295" spans="1:9" ht="15.75" customHeight="1">
      <c r="A1295" s="26"/>
      <c r="B1295" s="2"/>
      <c r="C1295" s="26"/>
      <c r="D1295" s="26"/>
      <c r="F1295" s="85" t="str">
        <f t="shared" si="0"/>
        <v/>
      </c>
      <c r="G1295" s="1" t="e">
        <f>IF(VALUE(F1295) = VALUE(RIGHT(Insights!$C$3, 4)), E1295, "")</f>
        <v>#VALUE!</v>
      </c>
      <c r="H1295" s="26" t="e">
        <f t="shared" si="1"/>
        <v>#VALUE!</v>
      </c>
      <c r="I1295" s="1" t="e">
        <f t="shared" si="2"/>
        <v>#VALUE!</v>
      </c>
    </row>
    <row r="1296" spans="1:9" ht="15.75" customHeight="1">
      <c r="A1296" s="26"/>
      <c r="B1296" s="2"/>
      <c r="C1296" s="26"/>
      <c r="D1296" s="26"/>
      <c r="F1296" s="85" t="str">
        <f t="shared" si="0"/>
        <v/>
      </c>
      <c r="G1296" s="1" t="e">
        <f>IF(VALUE(F1296) = VALUE(RIGHT(Insights!$C$3, 4)), E1296, "")</f>
        <v>#VALUE!</v>
      </c>
      <c r="H1296" s="26" t="e">
        <f t="shared" si="1"/>
        <v>#VALUE!</v>
      </c>
      <c r="I1296" s="1" t="e">
        <f t="shared" si="2"/>
        <v>#VALUE!</v>
      </c>
    </row>
    <row r="1297" spans="1:9" ht="15.75" customHeight="1">
      <c r="A1297" s="26"/>
      <c r="B1297" s="2"/>
      <c r="C1297" s="26"/>
      <c r="D1297" s="26"/>
      <c r="F1297" s="85" t="str">
        <f t="shared" si="0"/>
        <v/>
      </c>
      <c r="G1297" s="1" t="e">
        <f>IF(VALUE(F1297) = VALUE(RIGHT(Insights!$C$3, 4)), E1297, "")</f>
        <v>#VALUE!</v>
      </c>
      <c r="H1297" s="26" t="e">
        <f t="shared" si="1"/>
        <v>#VALUE!</v>
      </c>
      <c r="I1297" s="1" t="e">
        <f t="shared" si="2"/>
        <v>#VALUE!</v>
      </c>
    </row>
    <row r="1298" spans="1:9" ht="15.75" customHeight="1">
      <c r="A1298" s="26"/>
      <c r="B1298" s="2"/>
      <c r="C1298" s="26"/>
      <c r="D1298" s="26"/>
      <c r="F1298" s="85" t="str">
        <f t="shared" si="0"/>
        <v/>
      </c>
      <c r="G1298" s="1" t="e">
        <f>IF(VALUE(F1298) = VALUE(RIGHT(Insights!$C$3, 4)), E1298, "")</f>
        <v>#VALUE!</v>
      </c>
      <c r="H1298" s="26" t="e">
        <f t="shared" si="1"/>
        <v>#VALUE!</v>
      </c>
      <c r="I1298" s="1" t="e">
        <f t="shared" si="2"/>
        <v>#VALUE!</v>
      </c>
    </row>
    <row r="1299" spans="1:9" ht="15.75" customHeight="1">
      <c r="A1299" s="26"/>
      <c r="B1299" s="2"/>
      <c r="C1299" s="26"/>
      <c r="D1299" s="26"/>
      <c r="F1299" s="85" t="str">
        <f t="shared" si="0"/>
        <v/>
      </c>
      <c r="G1299" s="1" t="e">
        <f>IF(VALUE(F1299) = VALUE(RIGHT(Insights!$C$3, 4)), E1299, "")</f>
        <v>#VALUE!</v>
      </c>
      <c r="H1299" s="26" t="e">
        <f t="shared" si="1"/>
        <v>#VALUE!</v>
      </c>
      <c r="I1299" s="1" t="e">
        <f t="shared" si="2"/>
        <v>#VALUE!</v>
      </c>
    </row>
    <row r="1300" spans="1:9" ht="15.75" customHeight="1">
      <c r="A1300" s="26"/>
      <c r="B1300" s="2"/>
      <c r="C1300" s="26"/>
      <c r="D1300" s="26"/>
      <c r="F1300" s="85" t="str">
        <f t="shared" si="0"/>
        <v/>
      </c>
      <c r="G1300" s="1" t="e">
        <f>IF(VALUE(F1300) = VALUE(RIGHT(Insights!$C$3, 4)), E1300, "")</f>
        <v>#VALUE!</v>
      </c>
      <c r="H1300" s="26" t="e">
        <f t="shared" si="1"/>
        <v>#VALUE!</v>
      </c>
      <c r="I1300" s="1" t="e">
        <f t="shared" si="2"/>
        <v>#VALUE!</v>
      </c>
    </row>
    <row r="1301" spans="1:9" ht="15.75" customHeight="1">
      <c r="A1301" s="26"/>
      <c r="B1301" s="2"/>
      <c r="C1301" s="26"/>
      <c r="D1301" s="26"/>
      <c r="F1301" s="85" t="str">
        <f t="shared" si="0"/>
        <v/>
      </c>
      <c r="G1301" s="1" t="e">
        <f>IF(VALUE(F1301) = VALUE(RIGHT(Insights!$C$3, 4)), E1301, "")</f>
        <v>#VALUE!</v>
      </c>
      <c r="H1301" s="26" t="e">
        <f t="shared" si="1"/>
        <v>#VALUE!</v>
      </c>
      <c r="I1301" s="1" t="e">
        <f t="shared" si="2"/>
        <v>#VALUE!</v>
      </c>
    </row>
    <row r="1302" spans="1:9" ht="15.75" customHeight="1">
      <c r="A1302" s="26"/>
      <c r="B1302" s="2"/>
      <c r="C1302" s="26"/>
      <c r="D1302" s="26"/>
      <c r="F1302" s="85" t="str">
        <f t="shared" si="0"/>
        <v/>
      </c>
      <c r="G1302" s="1" t="e">
        <f>IF(VALUE(F1302) = VALUE(RIGHT(Insights!$C$3, 4)), E1302, "")</f>
        <v>#VALUE!</v>
      </c>
      <c r="H1302" s="26" t="e">
        <f t="shared" si="1"/>
        <v>#VALUE!</v>
      </c>
      <c r="I1302" s="1" t="e">
        <f t="shared" si="2"/>
        <v>#VALUE!</v>
      </c>
    </row>
    <row r="1303" spans="1:9" ht="15.75" customHeight="1">
      <c r="A1303" s="26"/>
      <c r="B1303" s="2"/>
      <c r="C1303" s="26"/>
      <c r="D1303" s="26"/>
      <c r="F1303" s="85" t="str">
        <f t="shared" si="0"/>
        <v/>
      </c>
      <c r="G1303" s="1" t="e">
        <f>IF(VALUE(F1303) = VALUE(RIGHT(Insights!$C$3, 4)), E1303, "")</f>
        <v>#VALUE!</v>
      </c>
      <c r="H1303" s="26" t="e">
        <f t="shared" si="1"/>
        <v>#VALUE!</v>
      </c>
      <c r="I1303" s="1" t="e">
        <f t="shared" si="2"/>
        <v>#VALUE!</v>
      </c>
    </row>
    <row r="1304" spans="1:9" ht="15.75" customHeight="1">
      <c r="A1304" s="26"/>
      <c r="B1304" s="2"/>
      <c r="C1304" s="26"/>
      <c r="D1304" s="26"/>
      <c r="F1304" s="85" t="str">
        <f t="shared" si="0"/>
        <v/>
      </c>
      <c r="G1304" s="1" t="e">
        <f>IF(VALUE(F1304) = VALUE(RIGHT(Insights!$C$3, 4)), E1304, "")</f>
        <v>#VALUE!</v>
      </c>
      <c r="H1304" s="26" t="e">
        <f t="shared" si="1"/>
        <v>#VALUE!</v>
      </c>
      <c r="I1304" s="1" t="e">
        <f t="shared" si="2"/>
        <v>#VALUE!</v>
      </c>
    </row>
    <row r="1305" spans="1:9" ht="15.75" customHeight="1">
      <c r="A1305" s="26"/>
      <c r="B1305" s="2"/>
      <c r="C1305" s="26"/>
      <c r="D1305" s="26"/>
      <c r="F1305" s="85" t="str">
        <f t="shared" si="0"/>
        <v/>
      </c>
      <c r="G1305" s="1" t="e">
        <f>IF(VALUE(F1305) = VALUE(RIGHT(Insights!$C$3, 4)), E1305, "")</f>
        <v>#VALUE!</v>
      </c>
      <c r="H1305" s="26" t="e">
        <f t="shared" si="1"/>
        <v>#VALUE!</v>
      </c>
      <c r="I1305" s="1" t="e">
        <f t="shared" si="2"/>
        <v>#VALUE!</v>
      </c>
    </row>
    <row r="1306" spans="1:9" ht="15.75" customHeight="1">
      <c r="A1306" s="26"/>
      <c r="B1306" s="2"/>
      <c r="C1306" s="26"/>
      <c r="D1306" s="26"/>
      <c r="F1306" s="85" t="str">
        <f t="shared" si="0"/>
        <v/>
      </c>
      <c r="G1306" s="1" t="e">
        <f>IF(VALUE(F1306) = VALUE(RIGHT(Insights!$C$3, 4)), E1306, "")</f>
        <v>#VALUE!</v>
      </c>
      <c r="H1306" s="26" t="e">
        <f t="shared" si="1"/>
        <v>#VALUE!</v>
      </c>
      <c r="I1306" s="1" t="e">
        <f t="shared" si="2"/>
        <v>#VALUE!</v>
      </c>
    </row>
    <row r="1307" spans="1:9" ht="15.75" customHeight="1">
      <c r="A1307" s="26"/>
      <c r="B1307" s="2"/>
      <c r="C1307" s="26"/>
      <c r="D1307" s="26"/>
      <c r="F1307" s="85" t="str">
        <f t="shared" si="0"/>
        <v/>
      </c>
      <c r="G1307" s="1" t="e">
        <f>IF(VALUE(F1307) = VALUE(RIGHT(Insights!$C$3, 4)), E1307, "")</f>
        <v>#VALUE!</v>
      </c>
      <c r="H1307" s="26" t="e">
        <f t="shared" si="1"/>
        <v>#VALUE!</v>
      </c>
      <c r="I1307" s="1" t="e">
        <f t="shared" si="2"/>
        <v>#VALUE!</v>
      </c>
    </row>
    <row r="1308" spans="1:9" ht="15.75" customHeight="1">
      <c r="A1308" s="26"/>
      <c r="B1308" s="2"/>
      <c r="C1308" s="26"/>
      <c r="D1308" s="26"/>
      <c r="F1308" s="85" t="str">
        <f t="shared" si="0"/>
        <v/>
      </c>
      <c r="G1308" s="1" t="e">
        <f>IF(VALUE(F1308) = VALUE(RIGHT(Insights!$C$3, 4)), E1308, "")</f>
        <v>#VALUE!</v>
      </c>
      <c r="H1308" s="26" t="e">
        <f t="shared" si="1"/>
        <v>#VALUE!</v>
      </c>
      <c r="I1308" s="1" t="e">
        <f t="shared" si="2"/>
        <v>#VALUE!</v>
      </c>
    </row>
    <row r="1309" spans="1:9" ht="15.75" customHeight="1">
      <c r="A1309" s="26"/>
      <c r="B1309" s="2"/>
      <c r="C1309" s="26"/>
      <c r="D1309" s="26"/>
      <c r="F1309" s="85" t="str">
        <f t="shared" si="0"/>
        <v/>
      </c>
      <c r="G1309" s="1" t="e">
        <f>IF(VALUE(F1309) = VALUE(RIGHT(Insights!$C$3, 4)), E1309, "")</f>
        <v>#VALUE!</v>
      </c>
      <c r="H1309" s="26" t="e">
        <f t="shared" si="1"/>
        <v>#VALUE!</v>
      </c>
      <c r="I1309" s="1" t="e">
        <f t="shared" si="2"/>
        <v>#VALUE!</v>
      </c>
    </row>
    <row r="1310" spans="1:9" ht="15.75" customHeight="1">
      <c r="A1310" s="26"/>
      <c r="B1310" s="2"/>
      <c r="C1310" s="26"/>
      <c r="D1310" s="26"/>
      <c r="F1310" s="85" t="str">
        <f t="shared" si="0"/>
        <v/>
      </c>
      <c r="G1310" s="1" t="e">
        <f>IF(VALUE(F1310) = VALUE(RIGHT(Insights!$C$3, 4)), E1310, "")</f>
        <v>#VALUE!</v>
      </c>
      <c r="H1310" s="26" t="e">
        <f t="shared" si="1"/>
        <v>#VALUE!</v>
      </c>
      <c r="I1310" s="1" t="e">
        <f t="shared" si="2"/>
        <v>#VALUE!</v>
      </c>
    </row>
    <row r="1311" spans="1:9" ht="15.75" customHeight="1">
      <c r="A1311" s="26"/>
      <c r="B1311" s="2"/>
      <c r="C1311" s="26"/>
      <c r="D1311" s="26"/>
      <c r="F1311" s="85" t="str">
        <f t="shared" si="0"/>
        <v/>
      </c>
      <c r="G1311" s="1" t="e">
        <f>IF(VALUE(F1311) = VALUE(RIGHT(Insights!$C$3, 4)), E1311, "")</f>
        <v>#VALUE!</v>
      </c>
      <c r="H1311" s="26" t="e">
        <f t="shared" si="1"/>
        <v>#VALUE!</v>
      </c>
      <c r="I1311" s="1" t="e">
        <f t="shared" si="2"/>
        <v>#VALUE!</v>
      </c>
    </row>
    <row r="1312" spans="1:9" ht="15.75" customHeight="1">
      <c r="A1312" s="26"/>
      <c r="B1312" s="2"/>
      <c r="C1312" s="26"/>
      <c r="D1312" s="26"/>
      <c r="F1312" s="85" t="str">
        <f t="shared" si="0"/>
        <v/>
      </c>
      <c r="G1312" s="1" t="e">
        <f>IF(VALUE(F1312) = VALUE(RIGHT(Insights!$C$3, 4)), E1312, "")</f>
        <v>#VALUE!</v>
      </c>
      <c r="H1312" s="26" t="e">
        <f t="shared" si="1"/>
        <v>#VALUE!</v>
      </c>
      <c r="I1312" s="1" t="e">
        <f t="shared" si="2"/>
        <v>#VALUE!</v>
      </c>
    </row>
    <row r="1313" spans="1:9" ht="15.75" customHeight="1">
      <c r="A1313" s="26"/>
      <c r="B1313" s="2"/>
      <c r="C1313" s="26"/>
      <c r="D1313" s="26"/>
      <c r="F1313" s="85" t="str">
        <f t="shared" si="0"/>
        <v/>
      </c>
      <c r="G1313" s="1" t="e">
        <f>IF(VALUE(F1313) = VALUE(RIGHT(Insights!$C$3, 4)), E1313, "")</f>
        <v>#VALUE!</v>
      </c>
      <c r="H1313" s="26" t="e">
        <f t="shared" si="1"/>
        <v>#VALUE!</v>
      </c>
      <c r="I1313" s="1" t="e">
        <f t="shared" si="2"/>
        <v>#VALUE!</v>
      </c>
    </row>
    <row r="1314" spans="1:9" ht="15.75" customHeight="1">
      <c r="A1314" s="26"/>
      <c r="B1314" s="2"/>
      <c r="C1314" s="26"/>
      <c r="D1314" s="26"/>
      <c r="F1314" s="85" t="str">
        <f t="shared" si="0"/>
        <v/>
      </c>
      <c r="G1314" s="1" t="e">
        <f>IF(VALUE(F1314) = VALUE(RIGHT(Insights!$C$3, 4)), E1314, "")</f>
        <v>#VALUE!</v>
      </c>
      <c r="H1314" s="26" t="e">
        <f t="shared" si="1"/>
        <v>#VALUE!</v>
      </c>
      <c r="I1314" s="1" t="e">
        <f t="shared" si="2"/>
        <v>#VALUE!</v>
      </c>
    </row>
    <row r="1315" spans="1:9" ht="15.75" customHeight="1">
      <c r="A1315" s="26"/>
      <c r="B1315" s="2"/>
      <c r="C1315" s="26"/>
      <c r="D1315" s="26"/>
      <c r="F1315" s="85" t="str">
        <f t="shared" si="0"/>
        <v/>
      </c>
      <c r="G1315" s="1" t="e">
        <f>IF(VALUE(F1315) = VALUE(RIGHT(Insights!$C$3, 4)), E1315, "")</f>
        <v>#VALUE!</v>
      </c>
      <c r="H1315" s="26" t="e">
        <f t="shared" si="1"/>
        <v>#VALUE!</v>
      </c>
      <c r="I1315" s="1" t="e">
        <f t="shared" si="2"/>
        <v>#VALUE!</v>
      </c>
    </row>
    <row r="1316" spans="1:9" ht="15.75" customHeight="1">
      <c r="A1316" s="26"/>
      <c r="B1316" s="2"/>
      <c r="C1316" s="26"/>
      <c r="D1316" s="26"/>
      <c r="F1316" s="85" t="str">
        <f t="shared" si="0"/>
        <v/>
      </c>
      <c r="G1316" s="1" t="e">
        <f>IF(VALUE(F1316) = VALUE(RIGHT(Insights!$C$3, 4)), E1316, "")</f>
        <v>#VALUE!</v>
      </c>
      <c r="H1316" s="26" t="e">
        <f t="shared" si="1"/>
        <v>#VALUE!</v>
      </c>
      <c r="I1316" s="1" t="e">
        <f t="shared" si="2"/>
        <v>#VALUE!</v>
      </c>
    </row>
    <row r="1317" spans="1:9" ht="15.75" customHeight="1">
      <c r="A1317" s="26"/>
      <c r="B1317" s="2"/>
      <c r="C1317" s="26"/>
      <c r="D1317" s="26"/>
      <c r="F1317" s="85" t="str">
        <f t="shared" si="0"/>
        <v/>
      </c>
      <c r="G1317" s="1" t="e">
        <f>IF(VALUE(F1317) = VALUE(RIGHT(Insights!$C$3, 4)), E1317, "")</f>
        <v>#VALUE!</v>
      </c>
      <c r="H1317" s="26" t="e">
        <f t="shared" si="1"/>
        <v>#VALUE!</v>
      </c>
      <c r="I1317" s="1" t="e">
        <f t="shared" si="2"/>
        <v>#VALUE!</v>
      </c>
    </row>
    <row r="1318" spans="1:9" ht="15.75" customHeight="1">
      <c r="A1318" s="26"/>
      <c r="B1318" s="2"/>
      <c r="C1318" s="26"/>
      <c r="D1318" s="26"/>
      <c r="F1318" s="85" t="str">
        <f t="shared" si="0"/>
        <v/>
      </c>
      <c r="G1318" s="1" t="e">
        <f>IF(VALUE(F1318) = VALUE(RIGHT(Insights!$C$3, 4)), E1318, "")</f>
        <v>#VALUE!</v>
      </c>
      <c r="H1318" s="26" t="e">
        <f t="shared" si="1"/>
        <v>#VALUE!</v>
      </c>
      <c r="I1318" s="1" t="e">
        <f t="shared" si="2"/>
        <v>#VALUE!</v>
      </c>
    </row>
    <row r="1319" spans="1:9" ht="15.75" customHeight="1">
      <c r="A1319" s="26"/>
      <c r="B1319" s="2"/>
      <c r="C1319" s="26"/>
      <c r="D1319" s="26"/>
      <c r="F1319" s="85" t="str">
        <f t="shared" si="0"/>
        <v/>
      </c>
      <c r="G1319" s="1" t="e">
        <f>IF(VALUE(F1319) = VALUE(RIGHT(Insights!$C$3, 4)), E1319, "")</f>
        <v>#VALUE!</v>
      </c>
      <c r="H1319" s="26" t="e">
        <f t="shared" si="1"/>
        <v>#VALUE!</v>
      </c>
      <c r="I1319" s="1" t="e">
        <f t="shared" si="2"/>
        <v>#VALUE!</v>
      </c>
    </row>
    <row r="1320" spans="1:9" ht="15.75" customHeight="1">
      <c r="A1320" s="26"/>
      <c r="B1320" s="2"/>
      <c r="C1320" s="26"/>
      <c r="D1320" s="26"/>
      <c r="F1320" s="85" t="str">
        <f t="shared" si="0"/>
        <v/>
      </c>
      <c r="G1320" s="1" t="e">
        <f>IF(VALUE(F1320) = VALUE(RIGHT(Insights!$C$3, 4)), E1320, "")</f>
        <v>#VALUE!</v>
      </c>
      <c r="H1320" s="26" t="e">
        <f t="shared" si="1"/>
        <v>#VALUE!</v>
      </c>
      <c r="I1320" s="1" t="e">
        <f t="shared" si="2"/>
        <v>#VALUE!</v>
      </c>
    </row>
    <row r="1321" spans="1:9" ht="15.75" customHeight="1">
      <c r="A1321" s="26"/>
      <c r="B1321" s="2"/>
      <c r="C1321" s="26"/>
      <c r="D1321" s="26"/>
      <c r="F1321" s="85" t="str">
        <f t="shared" si="0"/>
        <v/>
      </c>
      <c r="G1321" s="1" t="e">
        <f>IF(VALUE(F1321) = VALUE(RIGHT(Insights!$C$3, 4)), E1321, "")</f>
        <v>#VALUE!</v>
      </c>
      <c r="H1321" s="26" t="e">
        <f t="shared" si="1"/>
        <v>#VALUE!</v>
      </c>
      <c r="I1321" s="1" t="e">
        <f t="shared" si="2"/>
        <v>#VALUE!</v>
      </c>
    </row>
    <row r="1322" spans="1:9" ht="15.75" customHeight="1">
      <c r="A1322" s="26"/>
      <c r="B1322" s="2"/>
      <c r="C1322" s="26"/>
      <c r="D1322" s="26"/>
      <c r="F1322" s="85" t="str">
        <f t="shared" si="0"/>
        <v/>
      </c>
      <c r="G1322" s="1" t="e">
        <f>IF(VALUE(F1322) = VALUE(RIGHT(Insights!$C$3, 4)), E1322, "")</f>
        <v>#VALUE!</v>
      </c>
      <c r="H1322" s="26" t="e">
        <f t="shared" si="1"/>
        <v>#VALUE!</v>
      </c>
      <c r="I1322" s="1" t="e">
        <f t="shared" si="2"/>
        <v>#VALUE!</v>
      </c>
    </row>
    <row r="1323" spans="1:9" ht="15.75" customHeight="1">
      <c r="A1323" s="26"/>
      <c r="B1323" s="2"/>
      <c r="C1323" s="26"/>
      <c r="D1323" s="26"/>
      <c r="F1323" s="85" t="str">
        <f t="shared" si="0"/>
        <v/>
      </c>
      <c r="G1323" s="1" t="e">
        <f>IF(VALUE(F1323) = VALUE(RIGHT(Insights!$C$3, 4)), E1323, "")</f>
        <v>#VALUE!</v>
      </c>
      <c r="H1323" s="26" t="e">
        <f t="shared" si="1"/>
        <v>#VALUE!</v>
      </c>
      <c r="I1323" s="1" t="e">
        <f t="shared" si="2"/>
        <v>#VALUE!</v>
      </c>
    </row>
    <row r="1324" spans="1:9" ht="15.75" customHeight="1">
      <c r="A1324" s="26"/>
      <c r="B1324" s="2"/>
      <c r="C1324" s="26"/>
      <c r="D1324" s="26"/>
      <c r="F1324" s="85" t="str">
        <f t="shared" si="0"/>
        <v/>
      </c>
      <c r="G1324" s="1" t="e">
        <f>IF(VALUE(F1324) = VALUE(RIGHT(Insights!$C$3, 4)), E1324, "")</f>
        <v>#VALUE!</v>
      </c>
      <c r="H1324" s="26" t="e">
        <f t="shared" si="1"/>
        <v>#VALUE!</v>
      </c>
      <c r="I1324" s="1" t="e">
        <f t="shared" si="2"/>
        <v>#VALUE!</v>
      </c>
    </row>
    <row r="1325" spans="1:9" ht="15.75" customHeight="1">
      <c r="A1325" s="26"/>
      <c r="B1325" s="2"/>
      <c r="C1325" s="26"/>
      <c r="D1325" s="26"/>
      <c r="F1325" s="85" t="str">
        <f t="shared" si="0"/>
        <v/>
      </c>
      <c r="G1325" s="1" t="e">
        <f>IF(VALUE(F1325) = VALUE(RIGHT(Insights!$C$3, 4)), E1325, "")</f>
        <v>#VALUE!</v>
      </c>
      <c r="H1325" s="26" t="e">
        <f t="shared" si="1"/>
        <v>#VALUE!</v>
      </c>
      <c r="I1325" s="1" t="e">
        <f t="shared" si="2"/>
        <v>#VALUE!</v>
      </c>
    </row>
    <row r="1326" spans="1:9" ht="15.75" customHeight="1">
      <c r="A1326" s="26"/>
      <c r="B1326" s="2"/>
      <c r="C1326" s="26"/>
      <c r="D1326" s="26"/>
      <c r="F1326" s="85" t="str">
        <f t="shared" si="0"/>
        <v/>
      </c>
      <c r="G1326" s="1" t="e">
        <f>IF(VALUE(F1326) = VALUE(RIGHT(Insights!$C$3, 4)), E1326, "")</f>
        <v>#VALUE!</v>
      </c>
      <c r="H1326" s="26" t="e">
        <f t="shared" si="1"/>
        <v>#VALUE!</v>
      </c>
      <c r="I1326" s="1" t="e">
        <f t="shared" si="2"/>
        <v>#VALUE!</v>
      </c>
    </row>
    <row r="1327" spans="1:9" ht="15.75" customHeight="1">
      <c r="A1327" s="26"/>
      <c r="B1327" s="2"/>
      <c r="C1327" s="26"/>
      <c r="D1327" s="26"/>
      <c r="F1327" s="85" t="str">
        <f t="shared" si="0"/>
        <v/>
      </c>
      <c r="G1327" s="1" t="e">
        <f>IF(VALUE(F1327) = VALUE(RIGHT(Insights!$C$3, 4)), E1327, "")</f>
        <v>#VALUE!</v>
      </c>
      <c r="H1327" s="26" t="e">
        <f t="shared" si="1"/>
        <v>#VALUE!</v>
      </c>
      <c r="I1327" s="1" t="e">
        <f t="shared" si="2"/>
        <v>#VALUE!</v>
      </c>
    </row>
    <row r="1328" spans="1:9" ht="15.75" customHeight="1">
      <c r="A1328" s="26"/>
      <c r="B1328" s="2"/>
      <c r="C1328" s="26"/>
      <c r="D1328" s="26"/>
      <c r="F1328" s="85" t="str">
        <f t="shared" si="0"/>
        <v/>
      </c>
      <c r="G1328" s="1" t="e">
        <f>IF(VALUE(F1328) = VALUE(RIGHT(Insights!$C$3, 4)), E1328, "")</f>
        <v>#VALUE!</v>
      </c>
      <c r="H1328" s="26" t="e">
        <f t="shared" si="1"/>
        <v>#VALUE!</v>
      </c>
      <c r="I1328" s="1" t="e">
        <f t="shared" si="2"/>
        <v>#VALUE!</v>
      </c>
    </row>
    <row r="1329" spans="1:9" ht="15.75" customHeight="1">
      <c r="A1329" s="26"/>
      <c r="B1329" s="2"/>
      <c r="C1329" s="26"/>
      <c r="D1329" s="26"/>
      <c r="F1329" s="85" t="str">
        <f t="shared" si="0"/>
        <v/>
      </c>
      <c r="G1329" s="1" t="e">
        <f>IF(VALUE(F1329) = VALUE(RIGHT(Insights!$C$3, 4)), E1329, "")</f>
        <v>#VALUE!</v>
      </c>
      <c r="H1329" s="26" t="e">
        <f t="shared" si="1"/>
        <v>#VALUE!</v>
      </c>
      <c r="I1329" s="1" t="e">
        <f t="shared" si="2"/>
        <v>#VALUE!</v>
      </c>
    </row>
    <row r="1330" spans="1:9" ht="15.75" customHeight="1">
      <c r="A1330" s="26"/>
      <c r="B1330" s="2"/>
      <c r="C1330" s="26"/>
      <c r="D1330" s="26"/>
      <c r="F1330" s="85" t="str">
        <f t="shared" si="0"/>
        <v/>
      </c>
      <c r="G1330" s="1" t="e">
        <f>IF(VALUE(F1330) = VALUE(RIGHT(Insights!$C$3, 4)), E1330, "")</f>
        <v>#VALUE!</v>
      </c>
      <c r="H1330" s="26" t="e">
        <f t="shared" si="1"/>
        <v>#VALUE!</v>
      </c>
      <c r="I1330" s="1" t="e">
        <f t="shared" si="2"/>
        <v>#VALUE!</v>
      </c>
    </row>
    <row r="1331" spans="1:9" ht="15.75" customHeight="1">
      <c r="A1331" s="26"/>
      <c r="B1331" s="2"/>
      <c r="C1331" s="26"/>
      <c r="D1331" s="26"/>
      <c r="F1331" s="85" t="str">
        <f t="shared" si="0"/>
        <v/>
      </c>
      <c r="G1331" s="1" t="e">
        <f>IF(VALUE(F1331) = VALUE(RIGHT(Insights!$C$3, 4)), E1331, "")</f>
        <v>#VALUE!</v>
      </c>
      <c r="H1331" s="26" t="e">
        <f t="shared" si="1"/>
        <v>#VALUE!</v>
      </c>
      <c r="I1331" s="1" t="e">
        <f t="shared" si="2"/>
        <v>#VALUE!</v>
      </c>
    </row>
    <row r="1332" spans="1:9" ht="15.75" customHeight="1">
      <c r="A1332" s="26"/>
      <c r="B1332" s="2"/>
      <c r="C1332" s="26"/>
      <c r="D1332" s="26"/>
      <c r="F1332" s="85" t="str">
        <f t="shared" si="0"/>
        <v/>
      </c>
      <c r="G1332" s="1" t="e">
        <f>IF(VALUE(F1332) = VALUE(RIGHT(Insights!$C$3, 4)), E1332, "")</f>
        <v>#VALUE!</v>
      </c>
      <c r="H1332" s="26" t="e">
        <f t="shared" si="1"/>
        <v>#VALUE!</v>
      </c>
      <c r="I1332" s="1" t="e">
        <f t="shared" si="2"/>
        <v>#VALUE!</v>
      </c>
    </row>
    <row r="1333" spans="1:9" ht="15.75" customHeight="1">
      <c r="A1333" s="26"/>
      <c r="B1333" s="2"/>
      <c r="C1333" s="26"/>
      <c r="D1333" s="26"/>
      <c r="F1333" s="85" t="str">
        <f t="shared" si="0"/>
        <v/>
      </c>
      <c r="G1333" s="1" t="e">
        <f>IF(VALUE(F1333) = VALUE(RIGHT(Insights!$C$3, 4)), E1333, "")</f>
        <v>#VALUE!</v>
      </c>
      <c r="H1333" s="26" t="e">
        <f t="shared" si="1"/>
        <v>#VALUE!</v>
      </c>
      <c r="I1333" s="1" t="e">
        <f t="shared" si="2"/>
        <v>#VALUE!</v>
      </c>
    </row>
    <row r="1334" spans="1:9" ht="15.75" customHeight="1">
      <c r="A1334" s="26"/>
      <c r="B1334" s="2"/>
      <c r="C1334" s="26"/>
      <c r="D1334" s="26"/>
      <c r="F1334" s="85" t="str">
        <f t="shared" si="0"/>
        <v/>
      </c>
      <c r="G1334" s="1" t="e">
        <f>IF(VALUE(F1334) = VALUE(RIGHT(Insights!$C$3, 4)), E1334, "")</f>
        <v>#VALUE!</v>
      </c>
      <c r="H1334" s="26" t="e">
        <f t="shared" si="1"/>
        <v>#VALUE!</v>
      </c>
      <c r="I1334" s="1" t="e">
        <f t="shared" si="2"/>
        <v>#VALUE!</v>
      </c>
    </row>
    <row r="1335" spans="1:9" ht="15.75" customHeight="1">
      <c r="A1335" s="26"/>
      <c r="B1335" s="2"/>
      <c r="C1335" s="26"/>
      <c r="D1335" s="26"/>
      <c r="F1335" s="85" t="str">
        <f t="shared" si="0"/>
        <v/>
      </c>
      <c r="G1335" s="1" t="e">
        <f>IF(VALUE(F1335) = VALUE(RIGHT(Insights!$C$3, 4)), E1335, "")</f>
        <v>#VALUE!</v>
      </c>
      <c r="H1335" s="26" t="e">
        <f t="shared" si="1"/>
        <v>#VALUE!</v>
      </c>
      <c r="I1335" s="1" t="e">
        <f t="shared" si="2"/>
        <v>#VALUE!</v>
      </c>
    </row>
    <row r="1336" spans="1:9" ht="15.75" customHeight="1">
      <c r="A1336" s="26"/>
      <c r="B1336" s="2"/>
      <c r="C1336" s="26"/>
      <c r="D1336" s="26"/>
      <c r="F1336" s="85" t="str">
        <f t="shared" si="0"/>
        <v/>
      </c>
      <c r="G1336" s="1" t="e">
        <f>IF(VALUE(F1336) = VALUE(RIGHT(Insights!$C$3, 4)), E1336, "")</f>
        <v>#VALUE!</v>
      </c>
      <c r="H1336" s="26" t="e">
        <f t="shared" si="1"/>
        <v>#VALUE!</v>
      </c>
      <c r="I1336" s="1" t="e">
        <f t="shared" si="2"/>
        <v>#VALUE!</v>
      </c>
    </row>
    <row r="1337" spans="1:9" ht="15.75" customHeight="1">
      <c r="A1337" s="26"/>
      <c r="B1337" s="2"/>
      <c r="C1337" s="26"/>
      <c r="D1337" s="26"/>
      <c r="F1337" s="85" t="str">
        <f t="shared" si="0"/>
        <v/>
      </c>
      <c r="G1337" s="1" t="e">
        <f>IF(VALUE(F1337) = VALUE(RIGHT(Insights!$C$3, 4)), E1337, "")</f>
        <v>#VALUE!</v>
      </c>
      <c r="H1337" s="26" t="e">
        <f t="shared" si="1"/>
        <v>#VALUE!</v>
      </c>
      <c r="I1337" s="1" t="e">
        <f t="shared" si="2"/>
        <v>#VALUE!</v>
      </c>
    </row>
    <row r="1338" spans="1:9" ht="15.75" customHeight="1">
      <c r="A1338" s="26"/>
      <c r="B1338" s="2"/>
      <c r="C1338" s="26"/>
      <c r="D1338" s="26"/>
      <c r="F1338" s="85" t="str">
        <f t="shared" si="0"/>
        <v/>
      </c>
      <c r="G1338" s="1" t="e">
        <f>IF(VALUE(F1338) = VALUE(RIGHT(Insights!$C$3, 4)), E1338, "")</f>
        <v>#VALUE!</v>
      </c>
      <c r="H1338" s="26" t="e">
        <f t="shared" si="1"/>
        <v>#VALUE!</v>
      </c>
      <c r="I1338" s="1" t="e">
        <f t="shared" si="2"/>
        <v>#VALUE!</v>
      </c>
    </row>
    <row r="1339" spans="1:9" ht="15.75" customHeight="1">
      <c r="A1339" s="26"/>
      <c r="B1339" s="2"/>
      <c r="C1339" s="26"/>
      <c r="D1339" s="26"/>
      <c r="F1339" s="85" t="str">
        <f t="shared" si="0"/>
        <v/>
      </c>
      <c r="G1339" s="1" t="e">
        <f>IF(VALUE(F1339) = VALUE(RIGHT(Insights!$C$3, 4)), E1339, "")</f>
        <v>#VALUE!</v>
      </c>
      <c r="H1339" s="26" t="e">
        <f t="shared" si="1"/>
        <v>#VALUE!</v>
      </c>
      <c r="I1339" s="1" t="e">
        <f t="shared" si="2"/>
        <v>#VALUE!</v>
      </c>
    </row>
    <row r="1340" spans="1:9" ht="15.75" customHeight="1">
      <c r="A1340" s="26"/>
      <c r="B1340" s="2"/>
      <c r="C1340" s="26"/>
      <c r="D1340" s="26"/>
      <c r="F1340" s="85" t="str">
        <f t="shared" si="0"/>
        <v/>
      </c>
      <c r="G1340" s="1" t="e">
        <f>IF(VALUE(F1340) = VALUE(RIGHT(Insights!$C$3, 4)), E1340, "")</f>
        <v>#VALUE!</v>
      </c>
      <c r="H1340" s="26" t="e">
        <f t="shared" si="1"/>
        <v>#VALUE!</v>
      </c>
      <c r="I1340" s="1" t="e">
        <f t="shared" si="2"/>
        <v>#VALUE!</v>
      </c>
    </row>
    <row r="1341" spans="1:9" ht="15.75" customHeight="1">
      <c r="A1341" s="26"/>
      <c r="B1341" s="2"/>
      <c r="C1341" s="26"/>
      <c r="D1341" s="26"/>
      <c r="F1341" s="85" t="str">
        <f t="shared" si="0"/>
        <v/>
      </c>
      <c r="G1341" s="1" t="e">
        <f>IF(VALUE(F1341) = VALUE(RIGHT(Insights!$C$3, 4)), E1341, "")</f>
        <v>#VALUE!</v>
      </c>
      <c r="H1341" s="26" t="e">
        <f t="shared" si="1"/>
        <v>#VALUE!</v>
      </c>
      <c r="I1341" s="1" t="e">
        <f t="shared" si="2"/>
        <v>#VALUE!</v>
      </c>
    </row>
    <row r="1342" spans="1:9" ht="15.75" customHeight="1">
      <c r="A1342" s="26"/>
      <c r="B1342" s="2"/>
      <c r="C1342" s="26"/>
      <c r="D1342" s="26"/>
      <c r="F1342" s="85" t="str">
        <f t="shared" si="0"/>
        <v/>
      </c>
      <c r="G1342" s="1" t="e">
        <f>IF(VALUE(F1342) = VALUE(RIGHT(Insights!$C$3, 4)), E1342, "")</f>
        <v>#VALUE!</v>
      </c>
      <c r="H1342" s="26" t="e">
        <f t="shared" si="1"/>
        <v>#VALUE!</v>
      </c>
      <c r="I1342" s="1" t="e">
        <f t="shared" si="2"/>
        <v>#VALUE!</v>
      </c>
    </row>
    <row r="1343" spans="1:9" ht="15.75" customHeight="1">
      <c r="A1343" s="26"/>
      <c r="B1343" s="2"/>
      <c r="C1343" s="26"/>
      <c r="D1343" s="26"/>
      <c r="F1343" s="85" t="str">
        <f t="shared" si="0"/>
        <v/>
      </c>
      <c r="G1343" s="1" t="e">
        <f>IF(VALUE(F1343) = VALUE(RIGHT(Insights!$C$3, 4)), E1343, "")</f>
        <v>#VALUE!</v>
      </c>
      <c r="H1343" s="26" t="e">
        <f t="shared" si="1"/>
        <v>#VALUE!</v>
      </c>
      <c r="I1343" s="1" t="e">
        <f t="shared" si="2"/>
        <v>#VALUE!</v>
      </c>
    </row>
    <row r="1344" spans="1:9" ht="15.75" customHeight="1">
      <c r="A1344" s="26"/>
      <c r="B1344" s="2"/>
      <c r="C1344" s="26"/>
      <c r="D1344" s="26"/>
      <c r="F1344" s="85" t="str">
        <f t="shared" si="0"/>
        <v/>
      </c>
      <c r="G1344" s="1" t="e">
        <f>IF(VALUE(F1344) = VALUE(RIGHT(Insights!$C$3, 4)), E1344, "")</f>
        <v>#VALUE!</v>
      </c>
      <c r="H1344" s="26" t="e">
        <f t="shared" si="1"/>
        <v>#VALUE!</v>
      </c>
      <c r="I1344" s="1" t="e">
        <f t="shared" si="2"/>
        <v>#VALUE!</v>
      </c>
    </row>
    <row r="1345" spans="1:9" ht="15.75" customHeight="1">
      <c r="A1345" s="26"/>
      <c r="B1345" s="2"/>
      <c r="C1345" s="26"/>
      <c r="D1345" s="26"/>
      <c r="F1345" s="85" t="str">
        <f t="shared" si="0"/>
        <v/>
      </c>
      <c r="G1345" s="1" t="e">
        <f>IF(VALUE(F1345) = VALUE(RIGHT(Insights!$C$3, 4)), E1345, "")</f>
        <v>#VALUE!</v>
      </c>
      <c r="H1345" s="26" t="e">
        <f t="shared" si="1"/>
        <v>#VALUE!</v>
      </c>
      <c r="I1345" s="1" t="e">
        <f t="shared" si="2"/>
        <v>#VALUE!</v>
      </c>
    </row>
    <row r="1346" spans="1:9" ht="15.75" customHeight="1">
      <c r="A1346" s="26"/>
      <c r="B1346" s="2"/>
      <c r="C1346" s="26"/>
      <c r="D1346" s="26"/>
      <c r="F1346" s="85" t="str">
        <f t="shared" si="0"/>
        <v/>
      </c>
      <c r="G1346" s="1" t="e">
        <f>IF(VALUE(F1346) = VALUE(RIGHT(Insights!$C$3, 4)), E1346, "")</f>
        <v>#VALUE!</v>
      </c>
      <c r="H1346" s="26" t="e">
        <f t="shared" si="1"/>
        <v>#VALUE!</v>
      </c>
      <c r="I1346" s="1" t="e">
        <f t="shared" si="2"/>
        <v>#VALUE!</v>
      </c>
    </row>
    <row r="1347" spans="1:9" ht="15.75" customHeight="1">
      <c r="A1347" s="26"/>
      <c r="B1347" s="2"/>
      <c r="C1347" s="26"/>
      <c r="D1347" s="26"/>
      <c r="F1347" s="85" t="str">
        <f t="shared" si="0"/>
        <v/>
      </c>
      <c r="G1347" s="1" t="e">
        <f>IF(VALUE(F1347) = VALUE(RIGHT(Insights!$C$3, 4)), E1347, "")</f>
        <v>#VALUE!</v>
      </c>
      <c r="H1347" s="26" t="e">
        <f t="shared" si="1"/>
        <v>#VALUE!</v>
      </c>
      <c r="I1347" s="1" t="e">
        <f t="shared" si="2"/>
        <v>#VALUE!</v>
      </c>
    </row>
    <row r="1348" spans="1:9" ht="15.75" customHeight="1">
      <c r="A1348" s="26"/>
      <c r="B1348" s="2"/>
      <c r="C1348" s="26"/>
      <c r="D1348" s="26"/>
      <c r="F1348" s="85" t="str">
        <f t="shared" si="0"/>
        <v/>
      </c>
      <c r="G1348" s="1" t="e">
        <f>IF(VALUE(F1348) = VALUE(RIGHT(Insights!$C$3, 4)), E1348, "")</f>
        <v>#VALUE!</v>
      </c>
      <c r="H1348" s="26" t="e">
        <f t="shared" si="1"/>
        <v>#VALUE!</v>
      </c>
      <c r="I1348" s="1" t="e">
        <f t="shared" si="2"/>
        <v>#VALUE!</v>
      </c>
    </row>
    <row r="1349" spans="1:9" ht="15.75" customHeight="1">
      <c r="A1349" s="26"/>
      <c r="B1349" s="2"/>
      <c r="C1349" s="26"/>
      <c r="D1349" s="26"/>
      <c r="F1349" s="85" t="str">
        <f t="shared" si="0"/>
        <v/>
      </c>
      <c r="G1349" s="1" t="e">
        <f>IF(VALUE(F1349) = VALUE(RIGHT(Insights!$C$3, 4)), E1349, "")</f>
        <v>#VALUE!</v>
      </c>
      <c r="H1349" s="26" t="e">
        <f t="shared" si="1"/>
        <v>#VALUE!</v>
      </c>
      <c r="I1349" s="1" t="e">
        <f t="shared" si="2"/>
        <v>#VALUE!</v>
      </c>
    </row>
    <row r="1350" spans="1:9" ht="15.75" customHeight="1">
      <c r="A1350" s="26"/>
      <c r="B1350" s="2"/>
      <c r="C1350" s="26"/>
      <c r="D1350" s="26"/>
      <c r="F1350" s="85" t="str">
        <f t="shared" si="0"/>
        <v/>
      </c>
      <c r="G1350" s="1" t="e">
        <f>IF(VALUE(F1350) = VALUE(RIGHT(Insights!$C$3, 4)), E1350, "")</f>
        <v>#VALUE!</v>
      </c>
      <c r="H1350" s="26" t="e">
        <f t="shared" si="1"/>
        <v>#VALUE!</v>
      </c>
      <c r="I1350" s="1" t="e">
        <f t="shared" si="2"/>
        <v>#VALUE!</v>
      </c>
    </row>
    <row r="1351" spans="1:9" ht="15.75" customHeight="1">
      <c r="A1351" s="26"/>
      <c r="B1351" s="2"/>
      <c r="C1351" s="26"/>
      <c r="D1351" s="26"/>
      <c r="F1351" s="85" t="str">
        <f t="shared" si="0"/>
        <v/>
      </c>
      <c r="G1351" s="1" t="e">
        <f>IF(VALUE(F1351) = VALUE(RIGHT(Insights!$C$3, 4)), E1351, "")</f>
        <v>#VALUE!</v>
      </c>
      <c r="H1351" s="26" t="e">
        <f t="shared" si="1"/>
        <v>#VALUE!</v>
      </c>
      <c r="I1351" s="1" t="e">
        <f t="shared" si="2"/>
        <v>#VALUE!</v>
      </c>
    </row>
    <row r="1352" spans="1:9" ht="15.75" customHeight="1">
      <c r="A1352" s="26"/>
      <c r="B1352" s="2"/>
      <c r="C1352" s="26"/>
      <c r="D1352" s="26"/>
      <c r="F1352" s="85" t="str">
        <f t="shared" si="0"/>
        <v/>
      </c>
      <c r="G1352" s="1" t="e">
        <f>IF(VALUE(F1352) = VALUE(RIGHT(Insights!$C$3, 4)), E1352, "")</f>
        <v>#VALUE!</v>
      </c>
      <c r="H1352" s="26" t="e">
        <f t="shared" si="1"/>
        <v>#VALUE!</v>
      </c>
      <c r="I1352" s="1" t="e">
        <f t="shared" si="2"/>
        <v>#VALUE!</v>
      </c>
    </row>
    <row r="1353" spans="1:9" ht="15.75" customHeight="1">
      <c r="A1353" s="26"/>
      <c r="B1353" s="2"/>
      <c r="C1353" s="26"/>
      <c r="D1353" s="26"/>
      <c r="F1353" s="85" t="str">
        <f t="shared" si="0"/>
        <v/>
      </c>
      <c r="G1353" s="1" t="e">
        <f>IF(VALUE(F1353) = VALUE(RIGHT(Insights!$C$3, 4)), E1353, "")</f>
        <v>#VALUE!</v>
      </c>
      <c r="H1353" s="26" t="e">
        <f t="shared" si="1"/>
        <v>#VALUE!</v>
      </c>
      <c r="I1353" s="1" t="e">
        <f t="shared" si="2"/>
        <v>#VALUE!</v>
      </c>
    </row>
    <row r="1354" spans="1:9" ht="15.75" customHeight="1">
      <c r="A1354" s="26"/>
      <c r="B1354" s="2"/>
      <c r="C1354" s="26"/>
      <c r="D1354" s="26"/>
      <c r="F1354" s="85" t="str">
        <f t="shared" si="0"/>
        <v/>
      </c>
      <c r="G1354" s="1" t="e">
        <f>IF(VALUE(F1354) = VALUE(RIGHT(Insights!$C$3, 4)), E1354, "")</f>
        <v>#VALUE!</v>
      </c>
      <c r="H1354" s="26" t="e">
        <f t="shared" si="1"/>
        <v>#VALUE!</v>
      </c>
      <c r="I1354" s="1" t="e">
        <f t="shared" si="2"/>
        <v>#VALUE!</v>
      </c>
    </row>
    <row r="1355" spans="1:9" ht="15.75" customHeight="1">
      <c r="A1355" s="26"/>
      <c r="B1355" s="2"/>
      <c r="C1355" s="26"/>
      <c r="D1355" s="26"/>
      <c r="F1355" s="85" t="str">
        <f t="shared" si="0"/>
        <v/>
      </c>
      <c r="G1355" s="1" t="e">
        <f>IF(VALUE(F1355) = VALUE(RIGHT(Insights!$C$3, 4)), E1355, "")</f>
        <v>#VALUE!</v>
      </c>
      <c r="H1355" s="26" t="e">
        <f t="shared" si="1"/>
        <v>#VALUE!</v>
      </c>
      <c r="I1355" s="1" t="e">
        <f t="shared" si="2"/>
        <v>#VALUE!</v>
      </c>
    </row>
    <row r="1356" spans="1:9" ht="15.75" customHeight="1">
      <c r="A1356" s="26"/>
      <c r="B1356" s="2"/>
      <c r="C1356" s="26"/>
      <c r="D1356" s="26"/>
      <c r="F1356" s="85" t="str">
        <f t="shared" si="0"/>
        <v/>
      </c>
      <c r="G1356" s="1" t="e">
        <f>IF(VALUE(F1356) = VALUE(RIGHT(Insights!$C$3, 4)), E1356, "")</f>
        <v>#VALUE!</v>
      </c>
      <c r="H1356" s="26" t="e">
        <f t="shared" si="1"/>
        <v>#VALUE!</v>
      </c>
      <c r="I1356" s="1" t="e">
        <f t="shared" si="2"/>
        <v>#VALUE!</v>
      </c>
    </row>
    <row r="1357" spans="1:9" ht="15.75" customHeight="1">
      <c r="A1357" s="26"/>
      <c r="B1357" s="2"/>
      <c r="C1357" s="26"/>
      <c r="D1357" s="26"/>
      <c r="F1357" s="85" t="str">
        <f t="shared" si="0"/>
        <v/>
      </c>
      <c r="G1357" s="1" t="e">
        <f>IF(VALUE(F1357) = VALUE(RIGHT(Insights!$C$3, 4)), E1357, "")</f>
        <v>#VALUE!</v>
      </c>
      <c r="H1357" s="26" t="e">
        <f t="shared" si="1"/>
        <v>#VALUE!</v>
      </c>
      <c r="I1357" s="1" t="e">
        <f t="shared" si="2"/>
        <v>#VALUE!</v>
      </c>
    </row>
    <row r="1358" spans="1:9" ht="15.75" customHeight="1">
      <c r="A1358" s="26"/>
      <c r="B1358" s="2"/>
      <c r="C1358" s="26"/>
      <c r="D1358" s="26"/>
      <c r="F1358" s="85" t="str">
        <f t="shared" si="0"/>
        <v/>
      </c>
      <c r="G1358" s="1" t="e">
        <f>IF(VALUE(F1358) = VALUE(RIGHT(Insights!$C$3, 4)), E1358, "")</f>
        <v>#VALUE!</v>
      </c>
      <c r="H1358" s="26" t="e">
        <f t="shared" si="1"/>
        <v>#VALUE!</v>
      </c>
      <c r="I1358" s="1" t="e">
        <f t="shared" si="2"/>
        <v>#VALUE!</v>
      </c>
    </row>
    <row r="1359" spans="1:9" ht="15.75" customHeight="1">
      <c r="A1359" s="26"/>
      <c r="B1359" s="2"/>
      <c r="C1359" s="26"/>
      <c r="D1359" s="26"/>
      <c r="F1359" s="85" t="str">
        <f t="shared" si="0"/>
        <v/>
      </c>
      <c r="G1359" s="1" t="e">
        <f>IF(VALUE(F1359) = VALUE(RIGHT(Insights!$C$3, 4)), E1359, "")</f>
        <v>#VALUE!</v>
      </c>
      <c r="H1359" s="26" t="e">
        <f t="shared" si="1"/>
        <v>#VALUE!</v>
      </c>
      <c r="I1359" s="1" t="e">
        <f t="shared" si="2"/>
        <v>#VALUE!</v>
      </c>
    </row>
    <row r="1360" spans="1:9" ht="15.75" customHeight="1">
      <c r="A1360" s="26"/>
      <c r="B1360" s="2"/>
      <c r="C1360" s="26"/>
      <c r="D1360" s="26"/>
      <c r="F1360" s="85" t="str">
        <f t="shared" si="0"/>
        <v/>
      </c>
      <c r="G1360" s="1" t="e">
        <f>IF(VALUE(F1360) = VALUE(RIGHT(Insights!$C$3, 4)), E1360, "")</f>
        <v>#VALUE!</v>
      </c>
      <c r="H1360" s="26" t="e">
        <f t="shared" si="1"/>
        <v>#VALUE!</v>
      </c>
      <c r="I1360" s="1" t="e">
        <f t="shared" si="2"/>
        <v>#VALUE!</v>
      </c>
    </row>
    <row r="1361" spans="1:9" ht="15.75" customHeight="1">
      <c r="A1361" s="26"/>
      <c r="B1361" s="2"/>
      <c r="C1361" s="26"/>
      <c r="D1361" s="26"/>
      <c r="F1361" s="85" t="str">
        <f t="shared" si="0"/>
        <v/>
      </c>
      <c r="G1361" s="1" t="e">
        <f>IF(VALUE(F1361) = VALUE(RIGHT(Insights!$C$3, 4)), E1361, "")</f>
        <v>#VALUE!</v>
      </c>
      <c r="H1361" s="26" t="e">
        <f t="shared" si="1"/>
        <v>#VALUE!</v>
      </c>
      <c r="I1361" s="1" t="e">
        <f t="shared" si="2"/>
        <v>#VALUE!</v>
      </c>
    </row>
    <row r="1362" spans="1:9" ht="15.75" customHeight="1">
      <c r="A1362" s="26"/>
      <c r="B1362" s="2"/>
      <c r="C1362" s="26"/>
      <c r="D1362" s="26"/>
      <c r="F1362" s="85" t="str">
        <f t="shared" si="0"/>
        <v/>
      </c>
      <c r="G1362" s="1" t="e">
        <f>IF(VALUE(F1362) = VALUE(RIGHT(Insights!$C$3, 4)), E1362, "")</f>
        <v>#VALUE!</v>
      </c>
      <c r="H1362" s="26" t="e">
        <f t="shared" si="1"/>
        <v>#VALUE!</v>
      </c>
      <c r="I1362" s="1" t="e">
        <f t="shared" si="2"/>
        <v>#VALUE!</v>
      </c>
    </row>
    <row r="1363" spans="1:9" ht="15.75" customHeight="1">
      <c r="A1363" s="26"/>
      <c r="B1363" s="2"/>
      <c r="C1363" s="26"/>
      <c r="D1363" s="26"/>
      <c r="F1363" s="85" t="str">
        <f t="shared" si="0"/>
        <v/>
      </c>
      <c r="G1363" s="1" t="e">
        <f>IF(VALUE(F1363) = VALUE(RIGHT(Insights!$C$3, 4)), E1363, "")</f>
        <v>#VALUE!</v>
      </c>
      <c r="H1363" s="26" t="e">
        <f t="shared" si="1"/>
        <v>#VALUE!</v>
      </c>
      <c r="I1363" s="1" t="e">
        <f t="shared" si="2"/>
        <v>#VALUE!</v>
      </c>
    </row>
    <row r="1364" spans="1:9" ht="15.75" customHeight="1">
      <c r="A1364" s="26"/>
      <c r="B1364" s="2"/>
      <c r="C1364" s="26"/>
      <c r="D1364" s="26"/>
      <c r="F1364" s="85" t="str">
        <f t="shared" si="0"/>
        <v/>
      </c>
      <c r="G1364" s="1" t="e">
        <f>IF(VALUE(F1364) = VALUE(RIGHT(Insights!$C$3, 4)), E1364, "")</f>
        <v>#VALUE!</v>
      </c>
      <c r="H1364" s="26" t="e">
        <f t="shared" si="1"/>
        <v>#VALUE!</v>
      </c>
      <c r="I1364" s="1" t="e">
        <f t="shared" si="2"/>
        <v>#VALUE!</v>
      </c>
    </row>
    <row r="1365" spans="1:9" ht="15.75" customHeight="1">
      <c r="A1365" s="26"/>
      <c r="B1365" s="2"/>
      <c r="C1365" s="26"/>
      <c r="D1365" s="26"/>
      <c r="F1365" s="85" t="str">
        <f t="shared" si="0"/>
        <v/>
      </c>
      <c r="G1365" s="1" t="e">
        <f>IF(VALUE(F1365) = VALUE(RIGHT(Insights!$C$3, 4)), E1365, "")</f>
        <v>#VALUE!</v>
      </c>
      <c r="H1365" s="26" t="e">
        <f t="shared" si="1"/>
        <v>#VALUE!</v>
      </c>
      <c r="I1365" s="1" t="e">
        <f t="shared" si="2"/>
        <v>#VALUE!</v>
      </c>
    </row>
    <row r="1366" spans="1:9" ht="15.75" customHeight="1">
      <c r="A1366" s="26"/>
      <c r="B1366" s="2"/>
      <c r="C1366" s="26"/>
      <c r="D1366" s="26"/>
      <c r="F1366" s="85" t="str">
        <f t="shared" si="0"/>
        <v/>
      </c>
      <c r="G1366" s="1" t="e">
        <f>IF(VALUE(F1366) = VALUE(RIGHT(Insights!$C$3, 4)), E1366, "")</f>
        <v>#VALUE!</v>
      </c>
      <c r="H1366" s="26" t="e">
        <f t="shared" si="1"/>
        <v>#VALUE!</v>
      </c>
      <c r="I1366" s="1" t="e">
        <f t="shared" si="2"/>
        <v>#VALUE!</v>
      </c>
    </row>
    <row r="1367" spans="1:9" ht="15.75" customHeight="1">
      <c r="A1367" s="26"/>
      <c r="B1367" s="2"/>
      <c r="C1367" s="26"/>
      <c r="D1367" s="26"/>
      <c r="F1367" s="85" t="str">
        <f t="shared" si="0"/>
        <v/>
      </c>
      <c r="G1367" s="1" t="e">
        <f>IF(VALUE(F1367) = VALUE(RIGHT(Insights!$C$3, 4)), E1367, "")</f>
        <v>#VALUE!</v>
      </c>
      <c r="H1367" s="26" t="e">
        <f t="shared" si="1"/>
        <v>#VALUE!</v>
      </c>
      <c r="I1367" s="1" t="e">
        <f t="shared" si="2"/>
        <v>#VALUE!</v>
      </c>
    </row>
    <row r="1368" spans="1:9" ht="15.75" customHeight="1">
      <c r="A1368" s="26"/>
      <c r="B1368" s="2"/>
      <c r="C1368" s="26"/>
      <c r="D1368" s="26"/>
      <c r="F1368" s="85" t="str">
        <f t="shared" si="0"/>
        <v/>
      </c>
      <c r="G1368" s="1" t="e">
        <f>IF(VALUE(F1368) = VALUE(RIGHT(Insights!$C$3, 4)), E1368, "")</f>
        <v>#VALUE!</v>
      </c>
      <c r="H1368" s="26" t="e">
        <f t="shared" si="1"/>
        <v>#VALUE!</v>
      </c>
      <c r="I1368" s="1" t="e">
        <f t="shared" si="2"/>
        <v>#VALUE!</v>
      </c>
    </row>
    <row r="1369" spans="1:9" ht="15.75" customHeight="1">
      <c r="A1369" s="26"/>
      <c r="B1369" s="2"/>
      <c r="C1369" s="26"/>
      <c r="D1369" s="26"/>
      <c r="F1369" s="85" t="str">
        <f t="shared" si="0"/>
        <v/>
      </c>
      <c r="G1369" s="1" t="e">
        <f>IF(VALUE(F1369) = VALUE(RIGHT(Insights!$C$3, 4)), E1369, "")</f>
        <v>#VALUE!</v>
      </c>
      <c r="H1369" s="26" t="e">
        <f t="shared" si="1"/>
        <v>#VALUE!</v>
      </c>
      <c r="I1369" s="1" t="e">
        <f t="shared" si="2"/>
        <v>#VALUE!</v>
      </c>
    </row>
    <row r="1370" spans="1:9" ht="15.75" customHeight="1">
      <c r="A1370" s="26"/>
      <c r="B1370" s="2"/>
      <c r="C1370" s="26"/>
      <c r="D1370" s="26"/>
      <c r="F1370" s="85" t="str">
        <f t="shared" si="0"/>
        <v/>
      </c>
      <c r="G1370" s="1" t="e">
        <f>IF(VALUE(F1370) = VALUE(RIGHT(Insights!$C$3, 4)), E1370, "")</f>
        <v>#VALUE!</v>
      </c>
      <c r="H1370" s="26" t="e">
        <f t="shared" si="1"/>
        <v>#VALUE!</v>
      </c>
      <c r="I1370" s="1" t="e">
        <f t="shared" si="2"/>
        <v>#VALUE!</v>
      </c>
    </row>
    <row r="1371" spans="1:9" ht="15.75" customHeight="1">
      <c r="A1371" s="26"/>
      <c r="B1371" s="2"/>
      <c r="C1371" s="26"/>
      <c r="D1371" s="26"/>
      <c r="F1371" s="85" t="str">
        <f t="shared" si="0"/>
        <v/>
      </c>
      <c r="G1371" s="1" t="e">
        <f>IF(VALUE(F1371) = VALUE(RIGHT(Insights!$C$3, 4)), E1371, "")</f>
        <v>#VALUE!</v>
      </c>
      <c r="H1371" s="26" t="e">
        <f t="shared" si="1"/>
        <v>#VALUE!</v>
      </c>
      <c r="I1371" s="1" t="e">
        <f t="shared" si="2"/>
        <v>#VALUE!</v>
      </c>
    </row>
    <row r="1372" spans="1:9" ht="15.75" customHeight="1">
      <c r="A1372" s="26"/>
      <c r="B1372" s="2"/>
      <c r="C1372" s="26"/>
      <c r="D1372" s="26"/>
      <c r="F1372" s="85" t="str">
        <f t="shared" si="0"/>
        <v/>
      </c>
      <c r="G1372" s="1" t="e">
        <f>IF(VALUE(F1372) = VALUE(RIGHT(Insights!$C$3, 4)), E1372, "")</f>
        <v>#VALUE!</v>
      </c>
      <c r="H1372" s="26" t="e">
        <f t="shared" si="1"/>
        <v>#VALUE!</v>
      </c>
      <c r="I1372" s="1" t="e">
        <f t="shared" si="2"/>
        <v>#VALUE!</v>
      </c>
    </row>
    <row r="1373" spans="1:9" ht="15.75" customHeight="1">
      <c r="A1373" s="26"/>
      <c r="B1373" s="2"/>
      <c r="C1373" s="26"/>
      <c r="D1373" s="26"/>
      <c r="F1373" s="85" t="str">
        <f t="shared" si="0"/>
        <v/>
      </c>
      <c r="G1373" s="1" t="e">
        <f>IF(VALUE(F1373) = VALUE(RIGHT(Insights!$C$3, 4)), E1373, "")</f>
        <v>#VALUE!</v>
      </c>
      <c r="H1373" s="26" t="e">
        <f t="shared" si="1"/>
        <v>#VALUE!</v>
      </c>
      <c r="I1373" s="1" t="e">
        <f t="shared" si="2"/>
        <v>#VALUE!</v>
      </c>
    </row>
    <row r="1374" spans="1:9" ht="15.75" customHeight="1">
      <c r="A1374" s="26"/>
      <c r="B1374" s="2"/>
      <c r="C1374" s="26"/>
      <c r="D1374" s="26"/>
      <c r="F1374" s="85" t="str">
        <f t="shared" si="0"/>
        <v/>
      </c>
      <c r="G1374" s="1" t="e">
        <f>IF(VALUE(F1374) = VALUE(RIGHT(Insights!$C$3, 4)), E1374, "")</f>
        <v>#VALUE!</v>
      </c>
      <c r="H1374" s="26" t="e">
        <f t="shared" si="1"/>
        <v>#VALUE!</v>
      </c>
      <c r="I1374" s="1" t="e">
        <f t="shared" si="2"/>
        <v>#VALUE!</v>
      </c>
    </row>
    <row r="1375" spans="1:9" ht="15.75" customHeight="1">
      <c r="A1375" s="26"/>
      <c r="B1375" s="2"/>
      <c r="C1375" s="26"/>
      <c r="D1375" s="26"/>
      <c r="F1375" s="85" t="str">
        <f t="shared" si="0"/>
        <v/>
      </c>
      <c r="G1375" s="1" t="e">
        <f>IF(VALUE(F1375) = VALUE(RIGHT(Insights!$C$3, 4)), E1375, "")</f>
        <v>#VALUE!</v>
      </c>
      <c r="H1375" s="26" t="e">
        <f t="shared" si="1"/>
        <v>#VALUE!</v>
      </c>
      <c r="I1375" s="1" t="e">
        <f t="shared" si="2"/>
        <v>#VALUE!</v>
      </c>
    </row>
    <row r="1376" spans="1:9" ht="15.75" customHeight="1">
      <c r="A1376" s="26"/>
      <c r="B1376" s="2"/>
      <c r="C1376" s="26"/>
      <c r="D1376" s="26"/>
      <c r="F1376" s="85" t="str">
        <f t="shared" si="0"/>
        <v/>
      </c>
      <c r="G1376" s="1" t="e">
        <f>IF(VALUE(F1376) = VALUE(RIGHT(Insights!$C$3, 4)), E1376, "")</f>
        <v>#VALUE!</v>
      </c>
      <c r="H1376" s="26" t="e">
        <f t="shared" si="1"/>
        <v>#VALUE!</v>
      </c>
      <c r="I1376" s="1" t="e">
        <f t="shared" si="2"/>
        <v>#VALUE!</v>
      </c>
    </row>
    <row r="1377" spans="1:9" ht="15.75" customHeight="1">
      <c r="A1377" s="26"/>
      <c r="B1377" s="2"/>
      <c r="C1377" s="26"/>
      <c r="D1377" s="26"/>
      <c r="F1377" s="85" t="str">
        <f t="shared" si="0"/>
        <v/>
      </c>
      <c r="G1377" s="1" t="e">
        <f>IF(VALUE(F1377) = VALUE(RIGHT(Insights!$C$3, 4)), E1377, "")</f>
        <v>#VALUE!</v>
      </c>
      <c r="H1377" s="26" t="e">
        <f t="shared" si="1"/>
        <v>#VALUE!</v>
      </c>
      <c r="I1377" s="1" t="e">
        <f t="shared" si="2"/>
        <v>#VALUE!</v>
      </c>
    </row>
    <row r="1378" spans="1:9" ht="15.75" customHeight="1">
      <c r="A1378" s="26"/>
      <c r="B1378" s="2"/>
      <c r="C1378" s="26"/>
      <c r="D1378" s="26"/>
      <c r="F1378" s="85" t="str">
        <f t="shared" si="0"/>
        <v/>
      </c>
      <c r="G1378" s="1" t="e">
        <f>IF(VALUE(F1378) = VALUE(RIGHT(Insights!$C$3, 4)), E1378, "")</f>
        <v>#VALUE!</v>
      </c>
      <c r="H1378" s="26" t="e">
        <f t="shared" si="1"/>
        <v>#VALUE!</v>
      </c>
      <c r="I1378" s="1" t="e">
        <f t="shared" si="2"/>
        <v>#VALUE!</v>
      </c>
    </row>
    <row r="1379" spans="1:9" ht="15.75" customHeight="1">
      <c r="A1379" s="26"/>
      <c r="B1379" s="2"/>
      <c r="C1379" s="26"/>
      <c r="D1379" s="26"/>
      <c r="F1379" s="85" t="str">
        <f t="shared" si="0"/>
        <v/>
      </c>
      <c r="G1379" s="1" t="e">
        <f>IF(VALUE(F1379) = VALUE(RIGHT(Insights!$C$3, 4)), E1379, "")</f>
        <v>#VALUE!</v>
      </c>
      <c r="H1379" s="26" t="e">
        <f t="shared" si="1"/>
        <v>#VALUE!</v>
      </c>
      <c r="I1379" s="1" t="e">
        <f t="shared" si="2"/>
        <v>#VALUE!</v>
      </c>
    </row>
    <row r="1380" spans="1:9" ht="15.75" customHeight="1">
      <c r="A1380" s="26"/>
      <c r="B1380" s="2"/>
      <c r="C1380" s="26"/>
      <c r="D1380" s="26"/>
      <c r="F1380" s="85" t="str">
        <f t="shared" si="0"/>
        <v/>
      </c>
      <c r="G1380" s="1" t="e">
        <f>IF(VALUE(F1380) = VALUE(RIGHT(Insights!$C$3, 4)), E1380, "")</f>
        <v>#VALUE!</v>
      </c>
      <c r="H1380" s="26" t="e">
        <f t="shared" si="1"/>
        <v>#VALUE!</v>
      </c>
      <c r="I1380" s="1" t="e">
        <f t="shared" si="2"/>
        <v>#VALUE!</v>
      </c>
    </row>
    <row r="1381" spans="1:9" ht="15.75" customHeight="1">
      <c r="A1381" s="26"/>
      <c r="B1381" s="2"/>
      <c r="C1381" s="26"/>
      <c r="D1381" s="26"/>
      <c r="F1381" s="85" t="str">
        <f t="shared" si="0"/>
        <v/>
      </c>
      <c r="G1381" s="1" t="e">
        <f>IF(VALUE(F1381) = VALUE(RIGHT(Insights!$C$3, 4)), E1381, "")</f>
        <v>#VALUE!</v>
      </c>
      <c r="H1381" s="26" t="e">
        <f t="shared" si="1"/>
        <v>#VALUE!</v>
      </c>
      <c r="I1381" s="1" t="e">
        <f t="shared" si="2"/>
        <v>#VALUE!</v>
      </c>
    </row>
    <row r="1382" spans="1:9" ht="15.75" customHeight="1">
      <c r="A1382" s="26"/>
      <c r="B1382" s="2"/>
      <c r="C1382" s="26"/>
      <c r="D1382" s="26"/>
      <c r="F1382" s="85" t="str">
        <f t="shared" si="0"/>
        <v/>
      </c>
      <c r="G1382" s="1" t="e">
        <f>IF(VALUE(F1382) = VALUE(RIGHT(Insights!$C$3, 4)), E1382, "")</f>
        <v>#VALUE!</v>
      </c>
      <c r="H1382" s="26" t="e">
        <f t="shared" si="1"/>
        <v>#VALUE!</v>
      </c>
      <c r="I1382" s="1" t="e">
        <f t="shared" si="2"/>
        <v>#VALUE!</v>
      </c>
    </row>
    <row r="1383" spans="1:9" ht="15.75" customHeight="1">
      <c r="A1383" s="26"/>
      <c r="B1383" s="2"/>
      <c r="C1383" s="26"/>
      <c r="D1383" s="26"/>
      <c r="F1383" s="85" t="str">
        <f t="shared" si="0"/>
        <v/>
      </c>
      <c r="G1383" s="1" t="e">
        <f>IF(VALUE(F1383) = VALUE(RIGHT(Insights!$C$3, 4)), E1383, "")</f>
        <v>#VALUE!</v>
      </c>
      <c r="H1383" s="26" t="e">
        <f t="shared" si="1"/>
        <v>#VALUE!</v>
      </c>
      <c r="I1383" s="1" t="e">
        <f t="shared" si="2"/>
        <v>#VALUE!</v>
      </c>
    </row>
    <row r="1384" spans="1:9" ht="15.75" customHeight="1">
      <c r="A1384" s="26"/>
      <c r="B1384" s="2"/>
      <c r="C1384" s="26"/>
      <c r="D1384" s="26"/>
      <c r="F1384" s="85" t="str">
        <f t="shared" si="0"/>
        <v/>
      </c>
      <c r="G1384" s="1" t="e">
        <f>IF(VALUE(F1384) = VALUE(RIGHT(Insights!$C$3, 4)), E1384, "")</f>
        <v>#VALUE!</v>
      </c>
      <c r="H1384" s="26" t="e">
        <f t="shared" si="1"/>
        <v>#VALUE!</v>
      </c>
      <c r="I1384" s="1" t="e">
        <f t="shared" si="2"/>
        <v>#VALUE!</v>
      </c>
    </row>
    <row r="1385" spans="1:9" ht="15.75" customHeight="1">
      <c r="A1385" s="26"/>
      <c r="B1385" s="2"/>
      <c r="C1385" s="26"/>
      <c r="D1385" s="26"/>
      <c r="F1385" s="85" t="str">
        <f t="shared" si="0"/>
        <v/>
      </c>
      <c r="G1385" s="1" t="e">
        <f>IF(VALUE(F1385) = VALUE(RIGHT(Insights!$C$3, 4)), E1385, "")</f>
        <v>#VALUE!</v>
      </c>
      <c r="H1385" s="26" t="e">
        <f t="shared" si="1"/>
        <v>#VALUE!</v>
      </c>
      <c r="I1385" s="1" t="e">
        <f t="shared" si="2"/>
        <v>#VALUE!</v>
      </c>
    </row>
    <row r="1386" spans="1:9" ht="15.75" customHeight="1">
      <c r="A1386" s="26"/>
      <c r="B1386" s="2"/>
      <c r="C1386" s="26"/>
      <c r="D1386" s="26"/>
      <c r="F1386" s="85" t="str">
        <f t="shared" si="0"/>
        <v/>
      </c>
      <c r="G1386" s="1" t="e">
        <f>IF(VALUE(F1386) = VALUE(RIGHT(Insights!$C$3, 4)), E1386, "")</f>
        <v>#VALUE!</v>
      </c>
      <c r="H1386" s="26" t="e">
        <f t="shared" si="1"/>
        <v>#VALUE!</v>
      </c>
      <c r="I1386" s="1" t="e">
        <f t="shared" si="2"/>
        <v>#VALUE!</v>
      </c>
    </row>
    <row r="1387" spans="1:9" ht="15.75" customHeight="1">
      <c r="A1387" s="26"/>
      <c r="B1387" s="2"/>
      <c r="C1387" s="26"/>
      <c r="D1387" s="26"/>
      <c r="F1387" s="85" t="str">
        <f t="shared" si="0"/>
        <v/>
      </c>
      <c r="G1387" s="1" t="e">
        <f>IF(VALUE(F1387) = VALUE(RIGHT(Insights!$C$3, 4)), E1387, "")</f>
        <v>#VALUE!</v>
      </c>
      <c r="H1387" s="26" t="e">
        <f t="shared" si="1"/>
        <v>#VALUE!</v>
      </c>
      <c r="I1387" s="1" t="e">
        <f t="shared" si="2"/>
        <v>#VALUE!</v>
      </c>
    </row>
    <row r="1388" spans="1:9" ht="15.75" customHeight="1">
      <c r="A1388" s="26"/>
      <c r="B1388" s="2"/>
      <c r="C1388" s="26"/>
      <c r="D1388" s="26"/>
      <c r="F1388" s="85" t="str">
        <f t="shared" si="0"/>
        <v/>
      </c>
      <c r="G1388" s="1" t="e">
        <f>IF(VALUE(F1388) = VALUE(RIGHT(Insights!$C$3, 4)), E1388, "")</f>
        <v>#VALUE!</v>
      </c>
      <c r="H1388" s="26" t="e">
        <f t="shared" si="1"/>
        <v>#VALUE!</v>
      </c>
      <c r="I1388" s="1" t="e">
        <f t="shared" si="2"/>
        <v>#VALUE!</v>
      </c>
    </row>
    <row r="1389" spans="1:9" ht="15.75" customHeight="1">
      <c r="A1389" s="26"/>
      <c r="B1389" s="2"/>
      <c r="C1389" s="26"/>
      <c r="D1389" s="26"/>
      <c r="F1389" s="85" t="str">
        <f t="shared" si="0"/>
        <v/>
      </c>
      <c r="G1389" s="1" t="e">
        <f>IF(VALUE(F1389) = VALUE(RIGHT(Insights!$C$3, 4)), E1389, "")</f>
        <v>#VALUE!</v>
      </c>
      <c r="H1389" s="26" t="e">
        <f t="shared" si="1"/>
        <v>#VALUE!</v>
      </c>
      <c r="I1389" s="1" t="e">
        <f t="shared" si="2"/>
        <v>#VALUE!</v>
      </c>
    </row>
    <row r="1390" spans="1:9" ht="15.75" customHeight="1">
      <c r="A1390" s="26"/>
      <c r="B1390" s="2"/>
      <c r="C1390" s="26"/>
      <c r="D1390" s="26"/>
      <c r="F1390" s="85" t="str">
        <f t="shared" si="0"/>
        <v/>
      </c>
      <c r="G1390" s="1" t="e">
        <f>IF(VALUE(F1390) = VALUE(RIGHT(Insights!$C$3, 4)), E1390, "")</f>
        <v>#VALUE!</v>
      </c>
      <c r="H1390" s="26" t="e">
        <f t="shared" si="1"/>
        <v>#VALUE!</v>
      </c>
      <c r="I1390" s="1" t="e">
        <f t="shared" si="2"/>
        <v>#VALUE!</v>
      </c>
    </row>
    <row r="1391" spans="1:9" ht="15.75" customHeight="1">
      <c r="A1391" s="26"/>
      <c r="B1391" s="2"/>
      <c r="C1391" s="26"/>
      <c r="D1391" s="26"/>
      <c r="F1391" s="85" t="str">
        <f t="shared" si="0"/>
        <v/>
      </c>
      <c r="G1391" s="1" t="e">
        <f>IF(VALUE(F1391) = VALUE(RIGHT(Insights!$C$3, 4)), E1391, "")</f>
        <v>#VALUE!</v>
      </c>
      <c r="H1391" s="26" t="e">
        <f t="shared" si="1"/>
        <v>#VALUE!</v>
      </c>
      <c r="I1391" s="1" t="e">
        <f t="shared" si="2"/>
        <v>#VALUE!</v>
      </c>
    </row>
    <row r="1392" spans="1:9" ht="15.75" customHeight="1">
      <c r="A1392" s="26"/>
      <c r="B1392" s="2"/>
      <c r="C1392" s="26"/>
      <c r="D1392" s="26"/>
      <c r="F1392" s="85" t="str">
        <f t="shared" si="0"/>
        <v/>
      </c>
      <c r="G1392" s="1" t="e">
        <f>IF(VALUE(F1392) = VALUE(RIGHT(Insights!$C$3, 4)), E1392, "")</f>
        <v>#VALUE!</v>
      </c>
      <c r="H1392" s="26" t="e">
        <f t="shared" si="1"/>
        <v>#VALUE!</v>
      </c>
      <c r="I1392" s="1" t="e">
        <f t="shared" si="2"/>
        <v>#VALUE!</v>
      </c>
    </row>
    <row r="1393" spans="1:9" ht="15.75" customHeight="1">
      <c r="A1393" s="26"/>
      <c r="B1393" s="2"/>
      <c r="C1393" s="26"/>
      <c r="D1393" s="26"/>
      <c r="F1393" s="85" t="str">
        <f t="shared" si="0"/>
        <v/>
      </c>
      <c r="G1393" s="1" t="e">
        <f>IF(VALUE(F1393) = VALUE(RIGHT(Insights!$C$3, 4)), E1393, "")</f>
        <v>#VALUE!</v>
      </c>
      <c r="H1393" s="26" t="e">
        <f t="shared" si="1"/>
        <v>#VALUE!</v>
      </c>
      <c r="I1393" s="1" t="e">
        <f t="shared" si="2"/>
        <v>#VALUE!</v>
      </c>
    </row>
    <row r="1394" spans="1:9" ht="15.75" customHeight="1">
      <c r="A1394" s="26"/>
      <c r="B1394" s="2"/>
      <c r="C1394" s="26"/>
      <c r="D1394" s="26"/>
      <c r="F1394" s="85" t="str">
        <f t="shared" si="0"/>
        <v/>
      </c>
      <c r="G1394" s="1" t="e">
        <f>IF(VALUE(F1394) = VALUE(RIGHT(Insights!$C$3, 4)), E1394, "")</f>
        <v>#VALUE!</v>
      </c>
      <c r="H1394" s="26" t="e">
        <f t="shared" si="1"/>
        <v>#VALUE!</v>
      </c>
      <c r="I1394" s="1" t="e">
        <f t="shared" si="2"/>
        <v>#VALUE!</v>
      </c>
    </row>
    <row r="1395" spans="1:9" ht="15.75" customHeight="1">
      <c r="A1395" s="26"/>
      <c r="B1395" s="2"/>
      <c r="C1395" s="26"/>
      <c r="D1395" s="26"/>
      <c r="F1395" s="85" t="str">
        <f t="shared" si="0"/>
        <v/>
      </c>
      <c r="G1395" s="1" t="e">
        <f>IF(VALUE(F1395) = VALUE(RIGHT(Insights!$C$3, 4)), E1395, "")</f>
        <v>#VALUE!</v>
      </c>
      <c r="H1395" s="26" t="e">
        <f t="shared" si="1"/>
        <v>#VALUE!</v>
      </c>
      <c r="I1395" s="1" t="e">
        <f t="shared" si="2"/>
        <v>#VALUE!</v>
      </c>
    </row>
    <row r="1396" spans="1:9" ht="15.75" customHeight="1">
      <c r="A1396" s="26"/>
      <c r="B1396" s="2"/>
      <c r="C1396" s="26"/>
      <c r="D1396" s="26"/>
      <c r="F1396" s="85" t="str">
        <f t="shared" si="0"/>
        <v/>
      </c>
      <c r="G1396" s="1" t="e">
        <f>IF(VALUE(F1396) = VALUE(RIGHT(Insights!$C$3, 4)), E1396, "")</f>
        <v>#VALUE!</v>
      </c>
      <c r="H1396" s="26" t="e">
        <f t="shared" si="1"/>
        <v>#VALUE!</v>
      </c>
      <c r="I1396" s="1" t="e">
        <f t="shared" si="2"/>
        <v>#VALUE!</v>
      </c>
    </row>
    <row r="1397" spans="1:9" ht="15.75" customHeight="1">
      <c r="A1397" s="26"/>
      <c r="B1397" s="2"/>
      <c r="C1397" s="26"/>
      <c r="D1397" s="26"/>
      <c r="F1397" s="85" t="str">
        <f t="shared" si="0"/>
        <v/>
      </c>
      <c r="G1397" s="1" t="e">
        <f>IF(VALUE(F1397) = VALUE(RIGHT(Insights!$C$3, 4)), E1397, "")</f>
        <v>#VALUE!</v>
      </c>
      <c r="H1397" s="26" t="e">
        <f t="shared" si="1"/>
        <v>#VALUE!</v>
      </c>
      <c r="I1397" s="1" t="e">
        <f t="shared" si="2"/>
        <v>#VALUE!</v>
      </c>
    </row>
    <row r="1398" spans="1:9" ht="15.75" customHeight="1">
      <c r="A1398" s="26"/>
      <c r="B1398" s="2"/>
      <c r="C1398" s="26"/>
      <c r="D1398" s="26"/>
      <c r="F1398" s="85" t="str">
        <f t="shared" si="0"/>
        <v/>
      </c>
      <c r="G1398" s="1" t="e">
        <f>IF(VALUE(F1398) = VALUE(RIGHT(Insights!$C$3, 4)), E1398, "")</f>
        <v>#VALUE!</v>
      </c>
      <c r="H1398" s="26" t="e">
        <f t="shared" si="1"/>
        <v>#VALUE!</v>
      </c>
      <c r="I1398" s="1" t="e">
        <f t="shared" si="2"/>
        <v>#VALUE!</v>
      </c>
    </row>
    <row r="1399" spans="1:9" ht="15.75" customHeight="1">
      <c r="A1399" s="26"/>
      <c r="B1399" s="2"/>
      <c r="C1399" s="26"/>
      <c r="D1399" s="26"/>
      <c r="F1399" s="85" t="str">
        <f t="shared" si="0"/>
        <v/>
      </c>
      <c r="G1399" s="1" t="e">
        <f>IF(VALUE(F1399) = VALUE(RIGHT(Insights!$C$3, 4)), E1399, "")</f>
        <v>#VALUE!</v>
      </c>
      <c r="H1399" s="26" t="e">
        <f t="shared" si="1"/>
        <v>#VALUE!</v>
      </c>
      <c r="I1399" s="1" t="e">
        <f t="shared" si="2"/>
        <v>#VALUE!</v>
      </c>
    </row>
    <row r="1400" spans="1:9" ht="15.75" customHeight="1">
      <c r="A1400" s="26"/>
      <c r="B1400" s="2"/>
      <c r="C1400" s="26"/>
      <c r="D1400" s="26"/>
      <c r="F1400" s="85" t="str">
        <f t="shared" si="0"/>
        <v/>
      </c>
      <c r="G1400" s="1" t="e">
        <f>IF(VALUE(F1400) = VALUE(RIGHT(Insights!$C$3, 4)), E1400, "")</f>
        <v>#VALUE!</v>
      </c>
      <c r="H1400" s="26" t="e">
        <f t="shared" si="1"/>
        <v>#VALUE!</v>
      </c>
      <c r="I1400" s="1" t="e">
        <f t="shared" si="2"/>
        <v>#VALUE!</v>
      </c>
    </row>
    <row r="1401" spans="1:9" ht="15.75" customHeight="1">
      <c r="A1401" s="26"/>
      <c r="B1401" s="2"/>
      <c r="C1401" s="26"/>
      <c r="D1401" s="26"/>
      <c r="F1401" s="85" t="str">
        <f t="shared" si="0"/>
        <v/>
      </c>
      <c r="G1401" s="1" t="e">
        <f>IF(VALUE(F1401) = VALUE(RIGHT(Insights!$C$3, 4)), E1401, "")</f>
        <v>#VALUE!</v>
      </c>
      <c r="H1401" s="26" t="e">
        <f t="shared" si="1"/>
        <v>#VALUE!</v>
      </c>
      <c r="I1401" s="1" t="e">
        <f t="shared" si="2"/>
        <v>#VALUE!</v>
      </c>
    </row>
    <row r="1402" spans="1:9" ht="15.75" customHeight="1">
      <c r="A1402" s="26"/>
      <c r="B1402" s="2"/>
      <c r="C1402" s="26"/>
      <c r="D1402" s="26"/>
      <c r="F1402" s="85" t="str">
        <f t="shared" si="0"/>
        <v/>
      </c>
      <c r="G1402" s="1" t="e">
        <f>IF(VALUE(F1402) = VALUE(RIGHT(Insights!$C$3, 4)), E1402, "")</f>
        <v>#VALUE!</v>
      </c>
      <c r="H1402" s="26" t="e">
        <f t="shared" si="1"/>
        <v>#VALUE!</v>
      </c>
      <c r="I1402" s="1" t="e">
        <f t="shared" si="2"/>
        <v>#VALUE!</v>
      </c>
    </row>
    <row r="1403" spans="1:9" ht="15.75" customHeight="1">
      <c r="A1403" s="26"/>
      <c r="B1403" s="2"/>
      <c r="C1403" s="26"/>
      <c r="D1403" s="26"/>
      <c r="F1403" s="85" t="str">
        <f t="shared" si="0"/>
        <v/>
      </c>
      <c r="G1403" s="1" t="e">
        <f>IF(VALUE(F1403) = VALUE(RIGHT(Insights!$C$3, 4)), E1403, "")</f>
        <v>#VALUE!</v>
      </c>
      <c r="H1403" s="26" t="e">
        <f t="shared" si="1"/>
        <v>#VALUE!</v>
      </c>
      <c r="I1403" s="1" t="e">
        <f t="shared" si="2"/>
        <v>#VALUE!</v>
      </c>
    </row>
    <row r="1404" spans="1:9" ht="15.75" customHeight="1">
      <c r="A1404" s="26"/>
      <c r="B1404" s="2"/>
      <c r="C1404" s="26"/>
      <c r="D1404" s="26"/>
      <c r="F1404" s="85" t="str">
        <f t="shared" si="0"/>
        <v/>
      </c>
      <c r="G1404" s="1" t="e">
        <f>IF(VALUE(F1404) = VALUE(RIGHT(Insights!$C$3, 4)), E1404, "")</f>
        <v>#VALUE!</v>
      </c>
      <c r="H1404" s="26" t="e">
        <f t="shared" si="1"/>
        <v>#VALUE!</v>
      </c>
      <c r="I1404" s="1" t="e">
        <f t="shared" si="2"/>
        <v>#VALUE!</v>
      </c>
    </row>
    <row r="1405" spans="1:9" ht="15.75" customHeight="1">
      <c r="A1405" s="26"/>
      <c r="B1405" s="2"/>
      <c r="C1405" s="26"/>
      <c r="D1405" s="26"/>
      <c r="F1405" s="85" t="str">
        <f t="shared" si="0"/>
        <v/>
      </c>
      <c r="G1405" s="1" t="e">
        <f>IF(VALUE(F1405) = VALUE(RIGHT(Insights!$C$3, 4)), E1405, "")</f>
        <v>#VALUE!</v>
      </c>
      <c r="H1405" s="26" t="e">
        <f t="shared" si="1"/>
        <v>#VALUE!</v>
      </c>
      <c r="I1405" s="1" t="e">
        <f t="shared" si="2"/>
        <v>#VALUE!</v>
      </c>
    </row>
    <row r="1406" spans="1:9" ht="15.75" customHeight="1">
      <c r="A1406" s="26"/>
      <c r="B1406" s="2"/>
      <c r="C1406" s="26"/>
      <c r="D1406" s="26"/>
      <c r="F1406" s="85" t="str">
        <f t="shared" si="0"/>
        <v/>
      </c>
      <c r="G1406" s="1" t="e">
        <f>IF(VALUE(F1406) = VALUE(RIGHT(Insights!$C$3, 4)), E1406, "")</f>
        <v>#VALUE!</v>
      </c>
      <c r="H1406" s="26" t="e">
        <f t="shared" si="1"/>
        <v>#VALUE!</v>
      </c>
      <c r="I1406" s="1" t="e">
        <f t="shared" si="2"/>
        <v>#VALUE!</v>
      </c>
    </row>
    <row r="1407" spans="1:9" ht="15.75" customHeight="1">
      <c r="A1407" s="26"/>
      <c r="B1407" s="2"/>
      <c r="C1407" s="26"/>
      <c r="D1407" s="26"/>
      <c r="F1407" s="85" t="str">
        <f t="shared" si="0"/>
        <v/>
      </c>
      <c r="G1407" s="1" t="e">
        <f>IF(VALUE(F1407) = VALUE(RIGHT(Insights!$C$3, 4)), E1407, "")</f>
        <v>#VALUE!</v>
      </c>
      <c r="H1407" s="26" t="e">
        <f t="shared" si="1"/>
        <v>#VALUE!</v>
      </c>
      <c r="I1407" s="1" t="e">
        <f t="shared" si="2"/>
        <v>#VALUE!</v>
      </c>
    </row>
    <row r="1408" spans="1:9" ht="15.75" customHeight="1">
      <c r="A1408" s="26"/>
      <c r="B1408" s="2"/>
      <c r="C1408" s="26"/>
      <c r="D1408" s="26"/>
      <c r="F1408" s="85" t="str">
        <f t="shared" si="0"/>
        <v/>
      </c>
      <c r="G1408" s="1" t="e">
        <f>IF(VALUE(F1408) = VALUE(RIGHT(Insights!$C$3, 4)), E1408, "")</f>
        <v>#VALUE!</v>
      </c>
      <c r="H1408" s="26" t="e">
        <f t="shared" si="1"/>
        <v>#VALUE!</v>
      </c>
      <c r="I1408" s="1" t="e">
        <f t="shared" si="2"/>
        <v>#VALUE!</v>
      </c>
    </row>
    <row r="1409" spans="1:9" ht="15.75" customHeight="1">
      <c r="A1409" s="26"/>
      <c r="B1409" s="2"/>
      <c r="C1409" s="26"/>
      <c r="D1409" s="26"/>
      <c r="F1409" s="85" t="str">
        <f t="shared" si="0"/>
        <v/>
      </c>
      <c r="G1409" s="1" t="e">
        <f>IF(VALUE(F1409) = VALUE(RIGHT(Insights!$C$3, 4)), E1409, "")</f>
        <v>#VALUE!</v>
      </c>
      <c r="H1409" s="26" t="e">
        <f t="shared" si="1"/>
        <v>#VALUE!</v>
      </c>
      <c r="I1409" s="1" t="e">
        <f t="shared" si="2"/>
        <v>#VALUE!</v>
      </c>
    </row>
    <row r="1410" spans="1:9" ht="15.75" customHeight="1">
      <c r="A1410" s="26"/>
      <c r="B1410" s="2"/>
      <c r="C1410" s="26"/>
      <c r="D1410" s="26"/>
      <c r="F1410" s="85" t="str">
        <f t="shared" si="0"/>
        <v/>
      </c>
      <c r="G1410" s="1" t="e">
        <f>IF(VALUE(F1410) = VALUE(RIGHT(Insights!$C$3, 4)), E1410, "")</f>
        <v>#VALUE!</v>
      </c>
      <c r="H1410" s="26" t="e">
        <f t="shared" si="1"/>
        <v>#VALUE!</v>
      </c>
      <c r="I1410" s="1" t="e">
        <f t="shared" si="2"/>
        <v>#VALUE!</v>
      </c>
    </row>
    <row r="1411" spans="1:9" ht="15.75" customHeight="1">
      <c r="A1411" s="26"/>
      <c r="B1411" s="2"/>
      <c r="C1411" s="26"/>
      <c r="D1411" s="26"/>
      <c r="F1411" s="85" t="str">
        <f t="shared" si="0"/>
        <v/>
      </c>
      <c r="G1411" s="1" t="e">
        <f>IF(VALUE(F1411) = VALUE(RIGHT(Insights!$C$3, 4)), E1411, "")</f>
        <v>#VALUE!</v>
      </c>
      <c r="H1411" s="26" t="e">
        <f t="shared" si="1"/>
        <v>#VALUE!</v>
      </c>
      <c r="I1411" s="1" t="e">
        <f t="shared" si="2"/>
        <v>#VALUE!</v>
      </c>
    </row>
    <row r="1412" spans="1:9" ht="15.75" customHeight="1">
      <c r="A1412" s="26"/>
      <c r="B1412" s="2"/>
      <c r="C1412" s="26"/>
      <c r="D1412" s="26"/>
      <c r="F1412" s="85" t="str">
        <f t="shared" si="0"/>
        <v/>
      </c>
      <c r="G1412" s="1" t="e">
        <f>IF(VALUE(F1412) = VALUE(RIGHT(Insights!$C$3, 4)), E1412, "")</f>
        <v>#VALUE!</v>
      </c>
      <c r="H1412" s="26" t="e">
        <f t="shared" si="1"/>
        <v>#VALUE!</v>
      </c>
      <c r="I1412" s="1" t="e">
        <f t="shared" si="2"/>
        <v>#VALUE!</v>
      </c>
    </row>
    <row r="1413" spans="1:9" ht="15.75" customHeight="1">
      <c r="A1413" s="26"/>
      <c r="B1413" s="2"/>
      <c r="C1413" s="26"/>
      <c r="D1413" s="26"/>
      <c r="F1413" s="85" t="str">
        <f t="shared" si="0"/>
        <v/>
      </c>
      <c r="G1413" s="1" t="e">
        <f>IF(VALUE(F1413) = VALUE(RIGHT(Insights!$C$3, 4)), E1413, "")</f>
        <v>#VALUE!</v>
      </c>
      <c r="H1413" s="26" t="e">
        <f t="shared" si="1"/>
        <v>#VALUE!</v>
      </c>
      <c r="I1413" s="1" t="e">
        <f t="shared" si="2"/>
        <v>#VALUE!</v>
      </c>
    </row>
    <row r="1414" spans="1:9" ht="15.75" customHeight="1">
      <c r="A1414" s="26"/>
      <c r="B1414" s="2"/>
      <c r="C1414" s="26"/>
      <c r="D1414" s="26"/>
      <c r="F1414" s="85" t="str">
        <f t="shared" si="0"/>
        <v/>
      </c>
      <c r="G1414" s="1" t="e">
        <f>IF(VALUE(F1414) = VALUE(RIGHT(Insights!$C$3, 4)), E1414, "")</f>
        <v>#VALUE!</v>
      </c>
      <c r="H1414" s="26" t="e">
        <f t="shared" si="1"/>
        <v>#VALUE!</v>
      </c>
      <c r="I1414" s="1" t="e">
        <f t="shared" si="2"/>
        <v>#VALUE!</v>
      </c>
    </row>
    <row r="1415" spans="1:9" ht="15.75" customHeight="1">
      <c r="A1415" s="26"/>
      <c r="B1415" s="2"/>
      <c r="C1415" s="26"/>
      <c r="D1415" s="26"/>
      <c r="F1415" s="85" t="str">
        <f t="shared" si="0"/>
        <v/>
      </c>
      <c r="G1415" s="1" t="e">
        <f>IF(VALUE(F1415) = VALUE(RIGHT(Insights!$C$3, 4)), E1415, "")</f>
        <v>#VALUE!</v>
      </c>
      <c r="H1415" s="26" t="e">
        <f t="shared" si="1"/>
        <v>#VALUE!</v>
      </c>
      <c r="I1415" s="1" t="e">
        <f t="shared" si="2"/>
        <v>#VALUE!</v>
      </c>
    </row>
    <row r="1416" spans="1:9" ht="15.75" customHeight="1">
      <c r="A1416" s="26"/>
      <c r="B1416" s="2"/>
      <c r="C1416" s="26"/>
      <c r="D1416" s="26"/>
      <c r="F1416" s="85" t="str">
        <f t="shared" si="0"/>
        <v/>
      </c>
      <c r="G1416" s="1" t="e">
        <f>IF(VALUE(F1416) = VALUE(RIGHT(Insights!$C$3, 4)), E1416, "")</f>
        <v>#VALUE!</v>
      </c>
      <c r="H1416" s="26" t="e">
        <f t="shared" si="1"/>
        <v>#VALUE!</v>
      </c>
      <c r="I1416" s="1" t="e">
        <f t="shared" si="2"/>
        <v>#VALUE!</v>
      </c>
    </row>
    <row r="1417" spans="1:9" ht="15.75" customHeight="1">
      <c r="A1417" s="26"/>
      <c r="B1417" s="2"/>
      <c r="C1417" s="26"/>
      <c r="D1417" s="26"/>
      <c r="F1417" s="85" t="str">
        <f t="shared" si="0"/>
        <v/>
      </c>
      <c r="G1417" s="1" t="e">
        <f>IF(VALUE(F1417) = VALUE(RIGHT(Insights!$C$3, 4)), E1417, "")</f>
        <v>#VALUE!</v>
      </c>
      <c r="H1417" s="26" t="e">
        <f t="shared" si="1"/>
        <v>#VALUE!</v>
      </c>
      <c r="I1417" s="1" t="e">
        <f t="shared" si="2"/>
        <v>#VALUE!</v>
      </c>
    </row>
    <row r="1418" spans="1:9" ht="15.75" customHeight="1">
      <c r="A1418" s="26"/>
      <c r="B1418" s="2"/>
      <c r="C1418" s="26"/>
      <c r="D1418" s="26"/>
      <c r="F1418" s="85" t="str">
        <f t="shared" si="0"/>
        <v/>
      </c>
      <c r="G1418" s="1" t="e">
        <f>IF(VALUE(F1418) = VALUE(RIGHT(Insights!$C$3, 4)), E1418, "")</f>
        <v>#VALUE!</v>
      </c>
      <c r="H1418" s="26" t="e">
        <f t="shared" si="1"/>
        <v>#VALUE!</v>
      </c>
      <c r="I1418" s="1" t="e">
        <f t="shared" si="2"/>
        <v>#VALUE!</v>
      </c>
    </row>
    <row r="1419" spans="1:9" ht="15.75" customHeight="1">
      <c r="A1419" s="26"/>
      <c r="B1419" s="2"/>
      <c r="C1419" s="26"/>
      <c r="D1419" s="26"/>
      <c r="F1419" s="85" t="str">
        <f t="shared" si="0"/>
        <v/>
      </c>
      <c r="G1419" s="1" t="e">
        <f>IF(VALUE(F1419) = VALUE(RIGHT(Insights!$C$3, 4)), E1419, "")</f>
        <v>#VALUE!</v>
      </c>
      <c r="H1419" s="26" t="e">
        <f t="shared" si="1"/>
        <v>#VALUE!</v>
      </c>
      <c r="I1419" s="1" t="e">
        <f t="shared" si="2"/>
        <v>#VALUE!</v>
      </c>
    </row>
    <row r="1420" spans="1:9" ht="15.75" customHeight="1">
      <c r="A1420" s="26"/>
      <c r="B1420" s="2"/>
      <c r="C1420" s="26"/>
      <c r="D1420" s="26"/>
      <c r="F1420" s="85" t="str">
        <f t="shared" si="0"/>
        <v/>
      </c>
      <c r="G1420" s="1" t="e">
        <f>IF(VALUE(F1420) = VALUE(RIGHT(Insights!$C$3, 4)), E1420, "")</f>
        <v>#VALUE!</v>
      </c>
      <c r="H1420" s="26" t="e">
        <f t="shared" si="1"/>
        <v>#VALUE!</v>
      </c>
      <c r="I1420" s="1" t="e">
        <f t="shared" si="2"/>
        <v>#VALUE!</v>
      </c>
    </row>
    <row r="1421" spans="1:9" ht="15.75" customHeight="1">
      <c r="A1421" s="26"/>
      <c r="B1421" s="2"/>
      <c r="C1421" s="26"/>
      <c r="D1421" s="26"/>
      <c r="F1421" s="85" t="str">
        <f t="shared" si="0"/>
        <v/>
      </c>
      <c r="G1421" s="1" t="e">
        <f>IF(VALUE(F1421) = VALUE(RIGHT(Insights!$C$3, 4)), E1421, "")</f>
        <v>#VALUE!</v>
      </c>
      <c r="H1421" s="26" t="e">
        <f t="shared" si="1"/>
        <v>#VALUE!</v>
      </c>
      <c r="I1421" s="1" t="e">
        <f t="shared" si="2"/>
        <v>#VALUE!</v>
      </c>
    </row>
    <row r="1422" spans="1:9" ht="15.75" customHeight="1">
      <c r="A1422" s="26"/>
      <c r="B1422" s="2"/>
      <c r="C1422" s="26"/>
      <c r="D1422" s="26"/>
      <c r="F1422" s="85" t="str">
        <f t="shared" si="0"/>
        <v/>
      </c>
      <c r="G1422" s="1" t="e">
        <f>IF(VALUE(F1422) = VALUE(RIGHT(Insights!$C$3, 4)), E1422, "")</f>
        <v>#VALUE!</v>
      </c>
      <c r="H1422" s="26" t="e">
        <f t="shared" si="1"/>
        <v>#VALUE!</v>
      </c>
      <c r="I1422" s="1" t="e">
        <f t="shared" si="2"/>
        <v>#VALUE!</v>
      </c>
    </row>
    <row r="1423" spans="1:9" ht="15.75" customHeight="1">
      <c r="A1423" s="26"/>
      <c r="B1423" s="2"/>
      <c r="C1423" s="26"/>
      <c r="D1423" s="26"/>
      <c r="F1423" s="85" t="str">
        <f t="shared" si="0"/>
        <v/>
      </c>
      <c r="G1423" s="1" t="e">
        <f>IF(VALUE(F1423) = VALUE(RIGHT(Insights!$C$3, 4)), E1423, "")</f>
        <v>#VALUE!</v>
      </c>
      <c r="H1423" s="26" t="e">
        <f t="shared" si="1"/>
        <v>#VALUE!</v>
      </c>
      <c r="I1423" s="1" t="e">
        <f t="shared" si="2"/>
        <v>#VALUE!</v>
      </c>
    </row>
    <row r="1424" spans="1:9" ht="15.75" customHeight="1">
      <c r="A1424" s="26"/>
      <c r="B1424" s="2"/>
      <c r="C1424" s="26"/>
      <c r="D1424" s="26"/>
      <c r="F1424" s="85" t="str">
        <f t="shared" si="0"/>
        <v/>
      </c>
      <c r="G1424" s="1" t="e">
        <f>IF(VALUE(F1424) = VALUE(RIGHT(Insights!$C$3, 4)), E1424, "")</f>
        <v>#VALUE!</v>
      </c>
      <c r="H1424" s="26" t="e">
        <f t="shared" si="1"/>
        <v>#VALUE!</v>
      </c>
      <c r="I1424" s="1" t="e">
        <f t="shared" si="2"/>
        <v>#VALUE!</v>
      </c>
    </row>
    <row r="1425" spans="1:9" ht="15.75" customHeight="1">
      <c r="A1425" s="26"/>
      <c r="B1425" s="2"/>
      <c r="C1425" s="26"/>
      <c r="D1425" s="26"/>
      <c r="F1425" s="85" t="str">
        <f t="shared" si="0"/>
        <v/>
      </c>
      <c r="G1425" s="1" t="e">
        <f>IF(VALUE(F1425) = VALUE(RIGHT(Insights!$C$3, 4)), E1425, "")</f>
        <v>#VALUE!</v>
      </c>
      <c r="H1425" s="26" t="e">
        <f t="shared" si="1"/>
        <v>#VALUE!</v>
      </c>
      <c r="I1425" s="1" t="e">
        <f t="shared" si="2"/>
        <v>#VALUE!</v>
      </c>
    </row>
    <row r="1426" spans="1:9" ht="15.75" customHeight="1">
      <c r="A1426" s="26"/>
      <c r="B1426" s="2"/>
      <c r="C1426" s="26"/>
      <c r="D1426" s="26"/>
      <c r="F1426" s="85" t="str">
        <f t="shared" si="0"/>
        <v/>
      </c>
      <c r="G1426" s="1" t="e">
        <f>IF(VALUE(F1426) = VALUE(RIGHT(Insights!$C$3, 4)), E1426, "")</f>
        <v>#VALUE!</v>
      </c>
      <c r="H1426" s="26" t="e">
        <f t="shared" si="1"/>
        <v>#VALUE!</v>
      </c>
      <c r="I1426" s="1" t="e">
        <f t="shared" si="2"/>
        <v>#VALUE!</v>
      </c>
    </row>
    <row r="1427" spans="1:9" ht="15.75" customHeight="1">
      <c r="A1427" s="26"/>
      <c r="B1427" s="2"/>
      <c r="C1427" s="26"/>
      <c r="D1427" s="26"/>
      <c r="F1427" s="85" t="str">
        <f t="shared" si="0"/>
        <v/>
      </c>
      <c r="G1427" s="1" t="e">
        <f>IF(VALUE(F1427) = VALUE(RIGHT(Insights!$C$3, 4)), E1427, "")</f>
        <v>#VALUE!</v>
      </c>
      <c r="H1427" s="26" t="e">
        <f t="shared" si="1"/>
        <v>#VALUE!</v>
      </c>
      <c r="I1427" s="1" t="e">
        <f t="shared" si="2"/>
        <v>#VALUE!</v>
      </c>
    </row>
    <row r="1428" spans="1:9" ht="15.75" customHeight="1">
      <c r="A1428" s="26"/>
      <c r="B1428" s="2"/>
      <c r="C1428" s="26"/>
      <c r="D1428" s="26"/>
      <c r="F1428" s="85" t="str">
        <f t="shared" si="0"/>
        <v/>
      </c>
      <c r="G1428" s="1" t="e">
        <f>IF(VALUE(F1428) = VALUE(RIGHT(Insights!$C$3, 4)), E1428, "")</f>
        <v>#VALUE!</v>
      </c>
      <c r="H1428" s="26" t="e">
        <f t="shared" si="1"/>
        <v>#VALUE!</v>
      </c>
      <c r="I1428" s="1" t="e">
        <f t="shared" si="2"/>
        <v>#VALUE!</v>
      </c>
    </row>
    <row r="1429" spans="1:9" ht="15.75" customHeight="1">
      <c r="A1429" s="26"/>
      <c r="B1429" s="2"/>
      <c r="C1429" s="26"/>
      <c r="D1429" s="26"/>
      <c r="F1429" s="85" t="str">
        <f t="shared" si="0"/>
        <v/>
      </c>
      <c r="G1429" s="1" t="e">
        <f>IF(VALUE(F1429) = VALUE(RIGHT(Insights!$C$3, 4)), E1429, "")</f>
        <v>#VALUE!</v>
      </c>
      <c r="H1429" s="26" t="e">
        <f t="shared" si="1"/>
        <v>#VALUE!</v>
      </c>
      <c r="I1429" s="1" t="e">
        <f t="shared" si="2"/>
        <v>#VALUE!</v>
      </c>
    </row>
    <row r="1430" spans="1:9" ht="15.75" customHeight="1">
      <c r="A1430" s="26"/>
      <c r="B1430" s="2"/>
      <c r="C1430" s="26"/>
      <c r="D1430" s="26"/>
      <c r="F1430" s="85" t="str">
        <f t="shared" si="0"/>
        <v/>
      </c>
      <c r="G1430" s="1" t="e">
        <f>IF(VALUE(F1430) = VALUE(RIGHT(Insights!$C$3, 4)), E1430, "")</f>
        <v>#VALUE!</v>
      </c>
      <c r="H1430" s="26" t="e">
        <f t="shared" si="1"/>
        <v>#VALUE!</v>
      </c>
      <c r="I1430" s="1" t="e">
        <f t="shared" si="2"/>
        <v>#VALUE!</v>
      </c>
    </row>
    <row r="1431" spans="1:9" ht="15.75" customHeight="1">
      <c r="A1431" s="26"/>
      <c r="B1431" s="2"/>
      <c r="C1431" s="26"/>
      <c r="D1431" s="26"/>
      <c r="F1431" s="85" t="str">
        <f t="shared" si="0"/>
        <v/>
      </c>
      <c r="G1431" s="1" t="e">
        <f>IF(VALUE(F1431) = VALUE(RIGHT(Insights!$C$3, 4)), E1431, "")</f>
        <v>#VALUE!</v>
      </c>
      <c r="H1431" s="26" t="e">
        <f t="shared" si="1"/>
        <v>#VALUE!</v>
      </c>
      <c r="I1431" s="1" t="e">
        <f t="shared" si="2"/>
        <v>#VALUE!</v>
      </c>
    </row>
    <row r="1432" spans="1:9" ht="15.75" customHeight="1">
      <c r="A1432" s="26"/>
      <c r="B1432" s="2"/>
      <c r="C1432" s="26"/>
      <c r="D1432" s="26"/>
      <c r="F1432" s="85" t="str">
        <f t="shared" si="0"/>
        <v/>
      </c>
      <c r="G1432" s="1" t="e">
        <f>IF(VALUE(F1432) = VALUE(RIGHT(Insights!$C$3, 4)), E1432, "")</f>
        <v>#VALUE!</v>
      </c>
      <c r="H1432" s="26" t="e">
        <f t="shared" si="1"/>
        <v>#VALUE!</v>
      </c>
      <c r="I1432" s="1" t="e">
        <f t="shared" si="2"/>
        <v>#VALUE!</v>
      </c>
    </row>
    <row r="1433" spans="1:9" ht="15.75" customHeight="1">
      <c r="A1433" s="26"/>
      <c r="B1433" s="2"/>
      <c r="C1433" s="26"/>
      <c r="D1433" s="26"/>
      <c r="F1433" s="85" t="str">
        <f t="shared" si="0"/>
        <v/>
      </c>
      <c r="G1433" s="1" t="e">
        <f>IF(VALUE(F1433) = VALUE(RIGHT(Insights!$C$3, 4)), E1433, "")</f>
        <v>#VALUE!</v>
      </c>
      <c r="H1433" s="26" t="e">
        <f t="shared" si="1"/>
        <v>#VALUE!</v>
      </c>
      <c r="I1433" s="1" t="e">
        <f t="shared" si="2"/>
        <v>#VALUE!</v>
      </c>
    </row>
    <row r="1434" spans="1:9" ht="15.75" customHeight="1">
      <c r="A1434" s="26"/>
      <c r="B1434" s="2"/>
      <c r="C1434" s="26"/>
      <c r="D1434" s="26"/>
      <c r="F1434" s="85" t="str">
        <f t="shared" si="0"/>
        <v/>
      </c>
      <c r="G1434" s="1" t="e">
        <f>IF(VALUE(F1434) = VALUE(RIGHT(Insights!$C$3, 4)), E1434, "")</f>
        <v>#VALUE!</v>
      </c>
      <c r="H1434" s="26" t="e">
        <f t="shared" si="1"/>
        <v>#VALUE!</v>
      </c>
      <c r="I1434" s="1" t="e">
        <f t="shared" si="2"/>
        <v>#VALUE!</v>
      </c>
    </row>
    <row r="1435" spans="1:9" ht="15.75" customHeight="1">
      <c r="A1435" s="26"/>
      <c r="B1435" s="2"/>
      <c r="C1435" s="26"/>
      <c r="D1435" s="26"/>
      <c r="F1435" s="85" t="str">
        <f t="shared" si="0"/>
        <v/>
      </c>
      <c r="G1435" s="1" t="e">
        <f>IF(VALUE(F1435) = VALUE(RIGHT(Insights!$C$3, 4)), E1435, "")</f>
        <v>#VALUE!</v>
      </c>
      <c r="H1435" s="26" t="e">
        <f t="shared" si="1"/>
        <v>#VALUE!</v>
      </c>
      <c r="I1435" s="1" t="e">
        <f t="shared" si="2"/>
        <v>#VALUE!</v>
      </c>
    </row>
    <row r="1436" spans="1:9" ht="15.75" customHeight="1">
      <c r="A1436" s="26"/>
      <c r="B1436" s="2"/>
      <c r="C1436" s="26"/>
      <c r="D1436" s="26"/>
      <c r="F1436" s="85" t="str">
        <f t="shared" si="0"/>
        <v/>
      </c>
      <c r="G1436" s="1" t="e">
        <f>IF(VALUE(F1436) = VALUE(RIGHT(Insights!$C$3, 4)), E1436, "")</f>
        <v>#VALUE!</v>
      </c>
      <c r="H1436" s="26" t="e">
        <f t="shared" si="1"/>
        <v>#VALUE!</v>
      </c>
      <c r="I1436" s="1" t="e">
        <f t="shared" si="2"/>
        <v>#VALUE!</v>
      </c>
    </row>
    <row r="1437" spans="1:9" ht="15.75" customHeight="1">
      <c r="A1437" s="26"/>
      <c r="B1437" s="2"/>
      <c r="C1437" s="26"/>
      <c r="D1437" s="26"/>
      <c r="F1437" s="85" t="str">
        <f t="shared" si="0"/>
        <v/>
      </c>
      <c r="G1437" s="1" t="e">
        <f>IF(VALUE(F1437) = VALUE(RIGHT(Insights!$C$3, 4)), E1437, "")</f>
        <v>#VALUE!</v>
      </c>
      <c r="H1437" s="26" t="e">
        <f t="shared" si="1"/>
        <v>#VALUE!</v>
      </c>
      <c r="I1437" s="1" t="e">
        <f t="shared" si="2"/>
        <v>#VALUE!</v>
      </c>
    </row>
    <row r="1438" spans="1:9" ht="15.75" customHeight="1">
      <c r="A1438" s="26"/>
      <c r="B1438" s="2"/>
      <c r="C1438" s="26"/>
      <c r="D1438" s="26"/>
      <c r="F1438" s="85" t="str">
        <f t="shared" si="0"/>
        <v/>
      </c>
      <c r="G1438" s="1" t="e">
        <f>IF(VALUE(F1438) = VALUE(RIGHT(Insights!$C$3, 4)), E1438, "")</f>
        <v>#VALUE!</v>
      </c>
      <c r="H1438" s="26" t="e">
        <f t="shared" si="1"/>
        <v>#VALUE!</v>
      </c>
      <c r="I1438" s="1" t="e">
        <f t="shared" si="2"/>
        <v>#VALUE!</v>
      </c>
    </row>
    <row r="1439" spans="1:9" ht="15.75" customHeight="1">
      <c r="A1439" s="26"/>
      <c r="B1439" s="2"/>
      <c r="C1439" s="26"/>
      <c r="D1439" s="26"/>
      <c r="F1439" s="85" t="str">
        <f t="shared" si="0"/>
        <v/>
      </c>
      <c r="G1439" s="1" t="e">
        <f>IF(VALUE(F1439) = VALUE(RIGHT(Insights!$C$3, 4)), E1439, "")</f>
        <v>#VALUE!</v>
      </c>
      <c r="H1439" s="26" t="e">
        <f t="shared" si="1"/>
        <v>#VALUE!</v>
      </c>
      <c r="I1439" s="1" t="e">
        <f t="shared" si="2"/>
        <v>#VALUE!</v>
      </c>
    </row>
    <row r="1440" spans="1:9" ht="15.75" customHeight="1">
      <c r="A1440" s="26"/>
      <c r="B1440" s="2"/>
      <c r="C1440" s="26"/>
      <c r="D1440" s="26"/>
      <c r="F1440" s="85" t="str">
        <f t="shared" si="0"/>
        <v/>
      </c>
      <c r="G1440" s="1" t="e">
        <f>IF(VALUE(F1440) = VALUE(RIGHT(Insights!$C$3, 4)), E1440, "")</f>
        <v>#VALUE!</v>
      </c>
      <c r="H1440" s="26" t="e">
        <f t="shared" si="1"/>
        <v>#VALUE!</v>
      </c>
      <c r="I1440" s="1" t="e">
        <f t="shared" si="2"/>
        <v>#VALUE!</v>
      </c>
    </row>
    <row r="1441" spans="1:9" ht="15.75" customHeight="1">
      <c r="A1441" s="26"/>
      <c r="B1441" s="2"/>
      <c r="C1441" s="26"/>
      <c r="D1441" s="26"/>
      <c r="F1441" s="85" t="str">
        <f t="shared" si="0"/>
        <v/>
      </c>
      <c r="G1441" s="1" t="e">
        <f>IF(VALUE(F1441) = VALUE(RIGHT(Insights!$C$3, 4)), E1441, "")</f>
        <v>#VALUE!</v>
      </c>
      <c r="H1441" s="26" t="e">
        <f t="shared" si="1"/>
        <v>#VALUE!</v>
      </c>
      <c r="I1441" s="1" t="e">
        <f t="shared" si="2"/>
        <v>#VALUE!</v>
      </c>
    </row>
    <row r="1442" spans="1:9" ht="15.75" customHeight="1">
      <c r="A1442" s="26"/>
      <c r="B1442" s="2"/>
      <c r="C1442" s="26"/>
      <c r="D1442" s="26"/>
      <c r="F1442" s="85" t="str">
        <f t="shared" si="0"/>
        <v/>
      </c>
      <c r="G1442" s="1" t="e">
        <f>IF(VALUE(F1442) = VALUE(RIGHT(Insights!$C$3, 4)), E1442, "")</f>
        <v>#VALUE!</v>
      </c>
      <c r="H1442" s="26" t="e">
        <f t="shared" si="1"/>
        <v>#VALUE!</v>
      </c>
      <c r="I1442" s="1" t="e">
        <f t="shared" si="2"/>
        <v>#VALUE!</v>
      </c>
    </row>
    <row r="1443" spans="1:9" ht="15.75" customHeight="1">
      <c r="A1443" s="26"/>
      <c r="B1443" s="2"/>
      <c r="C1443" s="26"/>
      <c r="D1443" s="26"/>
      <c r="F1443" s="85" t="str">
        <f t="shared" si="0"/>
        <v/>
      </c>
      <c r="G1443" s="1" t="e">
        <f>IF(VALUE(F1443) = VALUE(RIGHT(Insights!$C$3, 4)), E1443, "")</f>
        <v>#VALUE!</v>
      </c>
      <c r="H1443" s="26" t="e">
        <f t="shared" si="1"/>
        <v>#VALUE!</v>
      </c>
      <c r="I1443" s="1" t="e">
        <f t="shared" si="2"/>
        <v>#VALUE!</v>
      </c>
    </row>
    <row r="1444" spans="1:9" ht="15.75" customHeight="1">
      <c r="A1444" s="26"/>
      <c r="B1444" s="2"/>
      <c r="C1444" s="26"/>
      <c r="D1444" s="26"/>
      <c r="F1444" s="85" t="str">
        <f t="shared" si="0"/>
        <v/>
      </c>
      <c r="G1444" s="1" t="e">
        <f>IF(VALUE(F1444) = VALUE(RIGHT(Insights!$C$3, 4)), E1444, "")</f>
        <v>#VALUE!</v>
      </c>
      <c r="H1444" s="26" t="e">
        <f t="shared" si="1"/>
        <v>#VALUE!</v>
      </c>
      <c r="I1444" s="1" t="e">
        <f t="shared" si="2"/>
        <v>#VALUE!</v>
      </c>
    </row>
    <row r="1445" spans="1:9" ht="15.75" customHeight="1">
      <c r="A1445" s="26"/>
      <c r="B1445" s="2"/>
      <c r="C1445" s="26"/>
      <c r="D1445" s="26"/>
      <c r="F1445" s="85" t="str">
        <f t="shared" si="0"/>
        <v/>
      </c>
      <c r="G1445" s="1" t="e">
        <f>IF(VALUE(F1445) = VALUE(RIGHT(Insights!$C$3, 4)), E1445, "")</f>
        <v>#VALUE!</v>
      </c>
      <c r="H1445" s="26" t="e">
        <f t="shared" si="1"/>
        <v>#VALUE!</v>
      </c>
      <c r="I1445" s="1" t="e">
        <f t="shared" si="2"/>
        <v>#VALUE!</v>
      </c>
    </row>
    <row r="1446" spans="1:9" ht="15.75" customHeight="1">
      <c r="A1446" s="26"/>
      <c r="B1446" s="2"/>
      <c r="C1446" s="26"/>
      <c r="D1446" s="26"/>
      <c r="F1446" s="85" t="str">
        <f t="shared" si="0"/>
        <v/>
      </c>
      <c r="G1446" s="1" t="e">
        <f>IF(VALUE(F1446) = VALUE(RIGHT(Insights!$C$3, 4)), E1446, "")</f>
        <v>#VALUE!</v>
      </c>
      <c r="H1446" s="26" t="e">
        <f t="shared" si="1"/>
        <v>#VALUE!</v>
      </c>
      <c r="I1446" s="1" t="e">
        <f t="shared" si="2"/>
        <v>#VALUE!</v>
      </c>
    </row>
    <row r="1447" spans="1:9" ht="15.75" customHeight="1">
      <c r="A1447" s="26"/>
      <c r="B1447" s="2"/>
      <c r="C1447" s="26"/>
      <c r="D1447" s="26"/>
      <c r="F1447" s="85" t="str">
        <f t="shared" si="0"/>
        <v/>
      </c>
      <c r="G1447" s="1" t="e">
        <f>IF(VALUE(F1447) = VALUE(RIGHT(Insights!$C$3, 4)), E1447, "")</f>
        <v>#VALUE!</v>
      </c>
      <c r="H1447" s="26" t="e">
        <f t="shared" si="1"/>
        <v>#VALUE!</v>
      </c>
      <c r="I1447" s="1" t="e">
        <f t="shared" si="2"/>
        <v>#VALUE!</v>
      </c>
    </row>
    <row r="1448" spans="1:9" ht="15.75" customHeight="1">
      <c r="A1448" s="26"/>
      <c r="B1448" s="2"/>
      <c r="C1448" s="26"/>
      <c r="D1448" s="26"/>
      <c r="F1448" s="85" t="str">
        <f t="shared" si="0"/>
        <v/>
      </c>
      <c r="G1448" s="1" t="e">
        <f>IF(VALUE(F1448) = VALUE(RIGHT(Insights!$C$3, 4)), E1448, "")</f>
        <v>#VALUE!</v>
      </c>
      <c r="H1448" s="26" t="e">
        <f t="shared" si="1"/>
        <v>#VALUE!</v>
      </c>
      <c r="I1448" s="1" t="e">
        <f t="shared" si="2"/>
        <v>#VALUE!</v>
      </c>
    </row>
    <row r="1449" spans="1:9" ht="15.75" customHeight="1">
      <c r="A1449" s="26"/>
      <c r="B1449" s="2"/>
      <c r="C1449" s="26"/>
      <c r="D1449" s="26"/>
      <c r="F1449" s="85" t="str">
        <f t="shared" si="0"/>
        <v/>
      </c>
      <c r="G1449" s="1" t="e">
        <f>IF(VALUE(F1449) = VALUE(RIGHT(Insights!$C$3, 4)), E1449, "")</f>
        <v>#VALUE!</v>
      </c>
      <c r="H1449" s="26" t="e">
        <f t="shared" si="1"/>
        <v>#VALUE!</v>
      </c>
      <c r="I1449" s="1" t="e">
        <f t="shared" si="2"/>
        <v>#VALUE!</v>
      </c>
    </row>
    <row r="1450" spans="1:9" ht="15.75" customHeight="1">
      <c r="A1450" s="26"/>
      <c r="B1450" s="2"/>
      <c r="C1450" s="26"/>
      <c r="D1450" s="26"/>
      <c r="F1450" s="85" t="str">
        <f t="shared" si="0"/>
        <v/>
      </c>
      <c r="G1450" s="1" t="e">
        <f>IF(VALUE(F1450) = VALUE(RIGHT(Insights!$C$3, 4)), E1450, "")</f>
        <v>#VALUE!</v>
      </c>
      <c r="H1450" s="26" t="e">
        <f t="shared" si="1"/>
        <v>#VALUE!</v>
      </c>
      <c r="I1450" s="1" t="e">
        <f t="shared" si="2"/>
        <v>#VALUE!</v>
      </c>
    </row>
    <row r="1451" spans="1:9" ht="15.75" customHeight="1">
      <c r="A1451" s="26"/>
      <c r="B1451" s="2"/>
      <c r="C1451" s="26"/>
      <c r="D1451" s="26"/>
      <c r="F1451" s="85" t="str">
        <f t="shared" si="0"/>
        <v/>
      </c>
      <c r="G1451" s="1" t="e">
        <f>IF(VALUE(F1451) = VALUE(RIGHT(Insights!$C$3, 4)), E1451, "")</f>
        <v>#VALUE!</v>
      </c>
      <c r="H1451" s="26" t="e">
        <f t="shared" si="1"/>
        <v>#VALUE!</v>
      </c>
      <c r="I1451" s="1" t="e">
        <f t="shared" si="2"/>
        <v>#VALUE!</v>
      </c>
    </row>
    <row r="1452" spans="1:9" ht="15.75" customHeight="1">
      <c r="A1452" s="26"/>
      <c r="B1452" s="2"/>
      <c r="C1452" s="26"/>
      <c r="D1452" s="26"/>
      <c r="F1452" s="85" t="str">
        <f t="shared" si="0"/>
        <v/>
      </c>
      <c r="G1452" s="1" t="e">
        <f>IF(VALUE(F1452) = VALUE(RIGHT(Insights!$C$3, 4)), E1452, "")</f>
        <v>#VALUE!</v>
      </c>
      <c r="H1452" s="26" t="e">
        <f t="shared" si="1"/>
        <v>#VALUE!</v>
      </c>
      <c r="I1452" s="1" t="e">
        <f t="shared" si="2"/>
        <v>#VALUE!</v>
      </c>
    </row>
    <row r="1453" spans="1:9" ht="15.75" customHeight="1">
      <c r="A1453" s="26"/>
      <c r="B1453" s="2"/>
      <c r="C1453" s="26"/>
      <c r="D1453" s="26"/>
      <c r="F1453" s="85" t="str">
        <f t="shared" si="0"/>
        <v/>
      </c>
      <c r="G1453" s="1" t="e">
        <f>IF(VALUE(F1453) = VALUE(RIGHT(Insights!$C$3, 4)), E1453, "")</f>
        <v>#VALUE!</v>
      </c>
      <c r="H1453" s="26" t="e">
        <f t="shared" si="1"/>
        <v>#VALUE!</v>
      </c>
      <c r="I1453" s="1" t="e">
        <f t="shared" si="2"/>
        <v>#VALUE!</v>
      </c>
    </row>
    <row r="1454" spans="1:9" ht="15.75" customHeight="1">
      <c r="A1454" s="26"/>
      <c r="B1454" s="2"/>
      <c r="C1454" s="26"/>
      <c r="D1454" s="26"/>
      <c r="F1454" s="85" t="str">
        <f t="shared" si="0"/>
        <v/>
      </c>
      <c r="G1454" s="1" t="e">
        <f>IF(VALUE(F1454) = VALUE(RIGHT(Insights!$C$3, 4)), E1454, "")</f>
        <v>#VALUE!</v>
      </c>
      <c r="H1454" s="26" t="e">
        <f t="shared" si="1"/>
        <v>#VALUE!</v>
      </c>
      <c r="I1454" s="1" t="e">
        <f t="shared" si="2"/>
        <v>#VALUE!</v>
      </c>
    </row>
    <row r="1455" spans="1:9" ht="15.75" customHeight="1">
      <c r="A1455" s="26"/>
      <c r="B1455" s="2"/>
      <c r="C1455" s="26"/>
      <c r="D1455" s="26"/>
      <c r="F1455" s="85" t="str">
        <f t="shared" si="0"/>
        <v/>
      </c>
      <c r="G1455" s="1" t="e">
        <f>IF(VALUE(F1455) = VALUE(RIGHT(Insights!$C$3, 4)), E1455, "")</f>
        <v>#VALUE!</v>
      </c>
      <c r="H1455" s="26" t="e">
        <f t="shared" si="1"/>
        <v>#VALUE!</v>
      </c>
      <c r="I1455" s="1" t="e">
        <f t="shared" si="2"/>
        <v>#VALUE!</v>
      </c>
    </row>
    <row r="1456" spans="1:9" ht="15.75" customHeight="1">
      <c r="A1456" s="26"/>
      <c r="B1456" s="2"/>
      <c r="C1456" s="26"/>
      <c r="D1456" s="26"/>
      <c r="F1456" s="85" t="str">
        <f t="shared" si="0"/>
        <v/>
      </c>
      <c r="G1456" s="1" t="e">
        <f>IF(VALUE(F1456) = VALUE(RIGHT(Insights!$C$3, 4)), E1456, "")</f>
        <v>#VALUE!</v>
      </c>
      <c r="H1456" s="26" t="e">
        <f t="shared" si="1"/>
        <v>#VALUE!</v>
      </c>
      <c r="I1456" s="1" t="e">
        <f t="shared" si="2"/>
        <v>#VALUE!</v>
      </c>
    </row>
    <row r="1457" spans="1:9" ht="15.75" customHeight="1">
      <c r="A1457" s="26"/>
      <c r="B1457" s="2"/>
      <c r="C1457" s="26"/>
      <c r="D1457" s="26"/>
      <c r="F1457" s="85" t="str">
        <f t="shared" si="0"/>
        <v/>
      </c>
      <c r="G1457" s="1" t="e">
        <f>IF(VALUE(F1457) = VALUE(RIGHT(Insights!$C$3, 4)), E1457, "")</f>
        <v>#VALUE!</v>
      </c>
      <c r="H1457" s="26" t="e">
        <f t="shared" si="1"/>
        <v>#VALUE!</v>
      </c>
      <c r="I1457" s="1" t="e">
        <f t="shared" si="2"/>
        <v>#VALUE!</v>
      </c>
    </row>
    <row r="1458" spans="1:9" ht="15.75" customHeight="1">
      <c r="A1458" s="26"/>
      <c r="B1458" s="2"/>
      <c r="C1458" s="26"/>
      <c r="D1458" s="26"/>
      <c r="F1458" s="85" t="str">
        <f t="shared" si="0"/>
        <v/>
      </c>
      <c r="G1458" s="1" t="e">
        <f>IF(VALUE(F1458) = VALUE(RIGHT(Insights!$C$3, 4)), E1458, "")</f>
        <v>#VALUE!</v>
      </c>
      <c r="H1458" s="26" t="e">
        <f t="shared" si="1"/>
        <v>#VALUE!</v>
      </c>
      <c r="I1458" s="1" t="e">
        <f t="shared" si="2"/>
        <v>#VALUE!</v>
      </c>
    </row>
    <row r="1459" spans="1:9" ht="15.75" customHeight="1">
      <c r="A1459" s="26"/>
      <c r="B1459" s="2"/>
      <c r="C1459" s="26"/>
      <c r="D1459" s="26"/>
      <c r="F1459" s="85" t="str">
        <f t="shared" si="0"/>
        <v/>
      </c>
      <c r="G1459" s="1" t="e">
        <f>IF(VALUE(F1459) = VALUE(RIGHT(Insights!$C$3, 4)), E1459, "")</f>
        <v>#VALUE!</v>
      </c>
      <c r="H1459" s="26" t="e">
        <f t="shared" si="1"/>
        <v>#VALUE!</v>
      </c>
      <c r="I1459" s="1" t="e">
        <f t="shared" si="2"/>
        <v>#VALUE!</v>
      </c>
    </row>
    <row r="1460" spans="1:9" ht="15.75" customHeight="1">
      <c r="A1460" s="26"/>
      <c r="B1460" s="2"/>
      <c r="C1460" s="26"/>
      <c r="D1460" s="26"/>
      <c r="F1460" s="85" t="str">
        <f t="shared" si="0"/>
        <v/>
      </c>
      <c r="G1460" s="1" t="e">
        <f>IF(VALUE(F1460) = VALUE(RIGHT(Insights!$C$3, 4)), E1460, "")</f>
        <v>#VALUE!</v>
      </c>
      <c r="H1460" s="26" t="e">
        <f t="shared" si="1"/>
        <v>#VALUE!</v>
      </c>
      <c r="I1460" s="1" t="e">
        <f t="shared" si="2"/>
        <v>#VALUE!</v>
      </c>
    </row>
    <row r="1461" spans="1:9" ht="15.75" customHeight="1">
      <c r="A1461" s="26"/>
      <c r="B1461" s="2"/>
      <c r="C1461" s="26"/>
      <c r="D1461" s="26"/>
      <c r="F1461" s="85" t="str">
        <f t="shared" si="0"/>
        <v/>
      </c>
      <c r="G1461" s="1" t="e">
        <f>IF(VALUE(F1461) = VALUE(RIGHT(Insights!$C$3, 4)), E1461, "")</f>
        <v>#VALUE!</v>
      </c>
      <c r="H1461" s="26" t="e">
        <f t="shared" si="1"/>
        <v>#VALUE!</v>
      </c>
      <c r="I1461" s="1" t="e">
        <f t="shared" si="2"/>
        <v>#VALUE!</v>
      </c>
    </row>
    <row r="1462" spans="1:9" ht="15.75" customHeight="1">
      <c r="A1462" s="26"/>
      <c r="B1462" s="2"/>
      <c r="C1462" s="26"/>
      <c r="D1462" s="26"/>
      <c r="F1462" s="85" t="str">
        <f t="shared" si="0"/>
        <v/>
      </c>
      <c r="G1462" s="1" t="e">
        <f>IF(VALUE(F1462) = VALUE(RIGHT(Insights!$C$3, 4)), E1462, "")</f>
        <v>#VALUE!</v>
      </c>
      <c r="H1462" s="26" t="e">
        <f t="shared" si="1"/>
        <v>#VALUE!</v>
      </c>
      <c r="I1462" s="1" t="e">
        <f t="shared" si="2"/>
        <v>#VALUE!</v>
      </c>
    </row>
    <row r="1463" spans="1:9" ht="15.75" customHeight="1">
      <c r="A1463" s="26"/>
      <c r="B1463" s="2"/>
      <c r="C1463" s="26"/>
      <c r="D1463" s="26"/>
      <c r="F1463" s="85" t="str">
        <f t="shared" si="0"/>
        <v/>
      </c>
      <c r="G1463" s="1" t="e">
        <f>IF(VALUE(F1463) = VALUE(RIGHT(Insights!$C$3, 4)), E1463, "")</f>
        <v>#VALUE!</v>
      </c>
      <c r="H1463" s="26" t="e">
        <f t="shared" si="1"/>
        <v>#VALUE!</v>
      </c>
      <c r="I1463" s="1" t="e">
        <f t="shared" si="2"/>
        <v>#VALUE!</v>
      </c>
    </row>
    <row r="1464" spans="1:9" ht="15.75" customHeight="1">
      <c r="A1464" s="26"/>
      <c r="B1464" s="2"/>
      <c r="C1464" s="26"/>
      <c r="D1464" s="26"/>
      <c r="F1464" s="85" t="str">
        <f t="shared" si="0"/>
        <v/>
      </c>
      <c r="G1464" s="1" t="e">
        <f>IF(VALUE(F1464) = VALUE(RIGHT(Insights!$C$3, 4)), E1464, "")</f>
        <v>#VALUE!</v>
      </c>
      <c r="H1464" s="26" t="e">
        <f t="shared" si="1"/>
        <v>#VALUE!</v>
      </c>
      <c r="I1464" s="1" t="e">
        <f t="shared" si="2"/>
        <v>#VALUE!</v>
      </c>
    </row>
    <row r="1465" spans="1:9" ht="15.75" customHeight="1">
      <c r="A1465" s="26"/>
      <c r="B1465" s="2"/>
      <c r="C1465" s="26"/>
      <c r="D1465" s="26"/>
      <c r="F1465" s="85" t="str">
        <f t="shared" si="0"/>
        <v/>
      </c>
      <c r="G1465" s="1" t="e">
        <f>IF(VALUE(F1465) = VALUE(RIGHT(Insights!$C$3, 4)), E1465, "")</f>
        <v>#VALUE!</v>
      </c>
      <c r="H1465" s="26" t="e">
        <f t="shared" si="1"/>
        <v>#VALUE!</v>
      </c>
      <c r="I1465" s="1" t="e">
        <f t="shared" si="2"/>
        <v>#VALUE!</v>
      </c>
    </row>
    <row r="1466" spans="1:9" ht="15.75" customHeight="1">
      <c r="A1466" s="26"/>
      <c r="B1466" s="2"/>
      <c r="C1466" s="26"/>
      <c r="D1466" s="26"/>
      <c r="F1466" s="85" t="str">
        <f t="shared" si="0"/>
        <v/>
      </c>
      <c r="G1466" s="1" t="e">
        <f>IF(VALUE(F1466) = VALUE(RIGHT(Insights!$C$3, 4)), E1466, "")</f>
        <v>#VALUE!</v>
      </c>
      <c r="H1466" s="26" t="e">
        <f t="shared" si="1"/>
        <v>#VALUE!</v>
      </c>
      <c r="I1466" s="1" t="e">
        <f t="shared" si="2"/>
        <v>#VALUE!</v>
      </c>
    </row>
    <row r="1467" spans="1:9" ht="15.75" customHeight="1">
      <c r="A1467" s="26"/>
      <c r="B1467" s="2"/>
      <c r="C1467" s="26"/>
      <c r="D1467" s="26"/>
      <c r="F1467" s="85" t="str">
        <f t="shared" si="0"/>
        <v/>
      </c>
      <c r="G1467" s="1" t="e">
        <f>IF(VALUE(F1467) = VALUE(RIGHT(Insights!$C$3, 4)), E1467, "")</f>
        <v>#VALUE!</v>
      </c>
      <c r="H1467" s="26" t="e">
        <f t="shared" si="1"/>
        <v>#VALUE!</v>
      </c>
      <c r="I1467" s="1" t="e">
        <f t="shared" si="2"/>
        <v>#VALUE!</v>
      </c>
    </row>
    <row r="1468" spans="1:9" ht="15.75" customHeight="1">
      <c r="A1468" s="26"/>
      <c r="B1468" s="2"/>
      <c r="C1468" s="26"/>
      <c r="D1468" s="26"/>
      <c r="F1468" s="85" t="str">
        <f t="shared" si="0"/>
        <v/>
      </c>
      <c r="G1468" s="1" t="e">
        <f>IF(VALUE(F1468) = VALUE(RIGHT(Insights!$C$3, 4)), E1468, "")</f>
        <v>#VALUE!</v>
      </c>
      <c r="H1468" s="26" t="e">
        <f t="shared" si="1"/>
        <v>#VALUE!</v>
      </c>
      <c r="I1468" s="1" t="e">
        <f t="shared" si="2"/>
        <v>#VALUE!</v>
      </c>
    </row>
    <row r="1469" spans="1:9" ht="15.75" customHeight="1">
      <c r="A1469" s="26"/>
      <c r="B1469" s="2"/>
      <c r="C1469" s="26"/>
      <c r="D1469" s="26"/>
      <c r="F1469" s="85" t="str">
        <f t="shared" si="0"/>
        <v/>
      </c>
      <c r="G1469" s="1" t="e">
        <f>IF(VALUE(F1469) = VALUE(RIGHT(Insights!$C$3, 4)), E1469, "")</f>
        <v>#VALUE!</v>
      </c>
      <c r="H1469" s="26" t="e">
        <f t="shared" si="1"/>
        <v>#VALUE!</v>
      </c>
      <c r="I1469" s="1" t="e">
        <f t="shared" si="2"/>
        <v>#VALUE!</v>
      </c>
    </row>
    <row r="1470" spans="1:9" ht="15.75" customHeight="1">
      <c r="A1470" s="26"/>
      <c r="B1470" s="2"/>
      <c r="C1470" s="26"/>
      <c r="D1470" s="26"/>
      <c r="F1470" s="85" t="str">
        <f t="shared" si="0"/>
        <v/>
      </c>
      <c r="G1470" s="1" t="e">
        <f>IF(VALUE(F1470) = VALUE(RIGHT(Insights!$C$3, 4)), E1470, "")</f>
        <v>#VALUE!</v>
      </c>
      <c r="H1470" s="26" t="e">
        <f t="shared" si="1"/>
        <v>#VALUE!</v>
      </c>
      <c r="I1470" s="1" t="e">
        <f t="shared" si="2"/>
        <v>#VALUE!</v>
      </c>
    </row>
    <row r="1471" spans="1:9" ht="15.75" customHeight="1">
      <c r="A1471" s="26"/>
      <c r="B1471" s="2"/>
      <c r="C1471" s="26"/>
      <c r="D1471" s="26"/>
      <c r="F1471" s="85" t="str">
        <f t="shared" si="0"/>
        <v/>
      </c>
      <c r="G1471" s="1" t="e">
        <f>IF(VALUE(F1471) = VALUE(RIGHT(Insights!$C$3, 4)), E1471, "")</f>
        <v>#VALUE!</v>
      </c>
      <c r="H1471" s="26" t="e">
        <f t="shared" si="1"/>
        <v>#VALUE!</v>
      </c>
      <c r="I1471" s="1" t="e">
        <f t="shared" si="2"/>
        <v>#VALUE!</v>
      </c>
    </row>
    <row r="1472" spans="1:9" ht="15.75" customHeight="1">
      <c r="A1472" s="26"/>
      <c r="B1472" s="2"/>
      <c r="C1472" s="26"/>
      <c r="D1472" s="26"/>
      <c r="F1472" s="85" t="str">
        <f t="shared" si="0"/>
        <v/>
      </c>
      <c r="G1472" s="1" t="e">
        <f>IF(VALUE(F1472) = VALUE(RIGHT(Insights!$C$3, 4)), E1472, "")</f>
        <v>#VALUE!</v>
      </c>
      <c r="H1472" s="26" t="e">
        <f t="shared" si="1"/>
        <v>#VALUE!</v>
      </c>
      <c r="I1472" s="1" t="e">
        <f t="shared" si="2"/>
        <v>#VALUE!</v>
      </c>
    </row>
    <row r="1473" spans="1:9" ht="15.75" customHeight="1">
      <c r="A1473" s="26"/>
      <c r="B1473" s="2"/>
      <c r="C1473" s="26"/>
      <c r="D1473" s="26"/>
      <c r="F1473" s="85" t="str">
        <f t="shared" si="0"/>
        <v/>
      </c>
      <c r="G1473" s="1" t="e">
        <f>IF(VALUE(F1473) = VALUE(RIGHT(Insights!$C$3, 4)), E1473, "")</f>
        <v>#VALUE!</v>
      </c>
      <c r="H1473" s="26" t="e">
        <f t="shared" si="1"/>
        <v>#VALUE!</v>
      </c>
      <c r="I1473" s="1" t="e">
        <f t="shared" si="2"/>
        <v>#VALUE!</v>
      </c>
    </row>
    <row r="1474" spans="1:9" ht="15.75" customHeight="1">
      <c r="A1474" s="26"/>
      <c r="B1474" s="2"/>
      <c r="C1474" s="26"/>
      <c r="D1474" s="26"/>
      <c r="F1474" s="85" t="str">
        <f t="shared" si="0"/>
        <v/>
      </c>
      <c r="G1474" s="1" t="e">
        <f>IF(VALUE(F1474) = VALUE(RIGHT(Insights!$C$3, 4)), E1474, "")</f>
        <v>#VALUE!</v>
      </c>
      <c r="H1474" s="26" t="e">
        <f t="shared" si="1"/>
        <v>#VALUE!</v>
      </c>
      <c r="I1474" s="1" t="e">
        <f t="shared" si="2"/>
        <v>#VALUE!</v>
      </c>
    </row>
    <row r="1475" spans="1:9" ht="15.75" customHeight="1">
      <c r="A1475" s="26"/>
      <c r="B1475" s="2"/>
      <c r="C1475" s="26"/>
      <c r="D1475" s="26"/>
      <c r="F1475" s="85" t="str">
        <f t="shared" si="0"/>
        <v/>
      </c>
      <c r="G1475" s="1" t="e">
        <f>IF(VALUE(F1475) = VALUE(RIGHT(Insights!$C$3, 4)), E1475, "")</f>
        <v>#VALUE!</v>
      </c>
      <c r="H1475" s="26" t="e">
        <f t="shared" si="1"/>
        <v>#VALUE!</v>
      </c>
      <c r="I1475" s="1" t="e">
        <f t="shared" si="2"/>
        <v>#VALUE!</v>
      </c>
    </row>
    <row r="1476" spans="1:9" ht="15.75" customHeight="1">
      <c r="A1476" s="26"/>
      <c r="B1476" s="2"/>
      <c r="C1476" s="26"/>
      <c r="D1476" s="26"/>
      <c r="F1476" s="85" t="str">
        <f t="shared" si="0"/>
        <v/>
      </c>
      <c r="G1476" s="1" t="e">
        <f>IF(VALUE(F1476) = VALUE(RIGHT(Insights!$C$3, 4)), E1476, "")</f>
        <v>#VALUE!</v>
      </c>
      <c r="H1476" s="26" t="e">
        <f t="shared" si="1"/>
        <v>#VALUE!</v>
      </c>
      <c r="I1476" s="1" t="e">
        <f t="shared" si="2"/>
        <v>#VALUE!</v>
      </c>
    </row>
    <row r="1477" spans="1:9" ht="15.75" customHeight="1">
      <c r="A1477" s="26"/>
      <c r="B1477" s="2"/>
      <c r="C1477" s="26"/>
      <c r="D1477" s="26"/>
      <c r="F1477" s="85" t="str">
        <f t="shared" si="0"/>
        <v/>
      </c>
      <c r="G1477" s="1" t="e">
        <f>IF(VALUE(F1477) = VALUE(RIGHT(Insights!$C$3, 4)), E1477, "")</f>
        <v>#VALUE!</v>
      </c>
      <c r="H1477" s="26" t="e">
        <f t="shared" si="1"/>
        <v>#VALUE!</v>
      </c>
      <c r="I1477" s="1" t="e">
        <f t="shared" si="2"/>
        <v>#VALUE!</v>
      </c>
    </row>
    <row r="1478" spans="1:9" ht="15.75" customHeight="1">
      <c r="A1478" s="26"/>
      <c r="B1478" s="2"/>
      <c r="C1478" s="26"/>
      <c r="D1478" s="26"/>
      <c r="F1478" s="85" t="str">
        <f t="shared" si="0"/>
        <v/>
      </c>
      <c r="G1478" s="1" t="e">
        <f>IF(VALUE(F1478) = VALUE(RIGHT(Insights!$C$3, 4)), E1478, "")</f>
        <v>#VALUE!</v>
      </c>
      <c r="H1478" s="26" t="e">
        <f t="shared" si="1"/>
        <v>#VALUE!</v>
      </c>
      <c r="I1478" s="1" t="e">
        <f t="shared" si="2"/>
        <v>#VALUE!</v>
      </c>
    </row>
    <row r="1479" spans="1:9" ht="15.75" customHeight="1">
      <c r="A1479" s="26"/>
      <c r="B1479" s="2"/>
      <c r="C1479" s="26"/>
      <c r="D1479" s="26"/>
      <c r="F1479" s="85" t="str">
        <f t="shared" si="0"/>
        <v/>
      </c>
      <c r="G1479" s="1" t="e">
        <f>IF(VALUE(F1479) = VALUE(RIGHT(Insights!$C$3, 4)), E1479, "")</f>
        <v>#VALUE!</v>
      </c>
      <c r="H1479" s="26" t="e">
        <f t="shared" si="1"/>
        <v>#VALUE!</v>
      </c>
      <c r="I1479" s="1" t="e">
        <f t="shared" si="2"/>
        <v>#VALUE!</v>
      </c>
    </row>
    <row r="1480" spans="1:9" ht="15.75" customHeight="1">
      <c r="A1480" s="26"/>
      <c r="B1480" s="2"/>
      <c r="C1480" s="26"/>
      <c r="D1480" s="26"/>
      <c r="F1480" s="85" t="str">
        <f t="shared" si="0"/>
        <v/>
      </c>
      <c r="G1480" s="1" t="e">
        <f>IF(VALUE(F1480) = VALUE(RIGHT(Insights!$C$3, 4)), E1480, "")</f>
        <v>#VALUE!</v>
      </c>
      <c r="H1480" s="26" t="e">
        <f t="shared" si="1"/>
        <v>#VALUE!</v>
      </c>
      <c r="I1480" s="1" t="e">
        <f t="shared" si="2"/>
        <v>#VALUE!</v>
      </c>
    </row>
    <row r="1481" spans="1:9" ht="15.75" customHeight="1">
      <c r="A1481" s="26"/>
      <c r="B1481" s="2"/>
      <c r="C1481" s="26"/>
      <c r="D1481" s="26"/>
      <c r="F1481" s="85" t="str">
        <f t="shared" si="0"/>
        <v/>
      </c>
      <c r="G1481" s="1" t="e">
        <f>IF(VALUE(F1481) = VALUE(RIGHT(Insights!$C$3, 4)), E1481, "")</f>
        <v>#VALUE!</v>
      </c>
      <c r="H1481" s="26" t="e">
        <f t="shared" si="1"/>
        <v>#VALUE!</v>
      </c>
      <c r="I1481" s="1" t="e">
        <f t="shared" si="2"/>
        <v>#VALUE!</v>
      </c>
    </row>
    <row r="1482" spans="1:9" ht="15.75" customHeight="1">
      <c r="A1482" s="26"/>
      <c r="B1482" s="2"/>
      <c r="C1482" s="26"/>
      <c r="D1482" s="26"/>
      <c r="F1482" s="85" t="str">
        <f t="shared" si="0"/>
        <v/>
      </c>
      <c r="G1482" s="1" t="e">
        <f>IF(VALUE(F1482) = VALUE(RIGHT(Insights!$C$3, 4)), E1482, "")</f>
        <v>#VALUE!</v>
      </c>
      <c r="H1482" s="26" t="e">
        <f t="shared" si="1"/>
        <v>#VALUE!</v>
      </c>
      <c r="I1482" s="1" t="e">
        <f t="shared" si="2"/>
        <v>#VALUE!</v>
      </c>
    </row>
    <row r="1483" spans="1:9" ht="15.75" customHeight="1">
      <c r="A1483" s="26"/>
      <c r="B1483" s="2"/>
      <c r="C1483" s="26"/>
      <c r="D1483" s="26"/>
      <c r="F1483" s="85" t="str">
        <f t="shared" si="0"/>
        <v/>
      </c>
      <c r="G1483" s="1" t="e">
        <f>IF(VALUE(F1483) = VALUE(RIGHT(Insights!$C$3, 4)), E1483, "")</f>
        <v>#VALUE!</v>
      </c>
      <c r="H1483" s="26" t="e">
        <f t="shared" si="1"/>
        <v>#VALUE!</v>
      </c>
      <c r="I1483" s="1" t="e">
        <f t="shared" si="2"/>
        <v>#VALUE!</v>
      </c>
    </row>
    <row r="1484" spans="1:9" ht="15.75" customHeight="1">
      <c r="A1484" s="26"/>
      <c r="B1484" s="2"/>
      <c r="C1484" s="26"/>
      <c r="D1484" s="26"/>
      <c r="F1484" s="85" t="str">
        <f t="shared" si="0"/>
        <v/>
      </c>
      <c r="G1484" s="1" t="e">
        <f>IF(VALUE(F1484) = VALUE(RIGHT(Insights!$C$3, 4)), E1484, "")</f>
        <v>#VALUE!</v>
      </c>
      <c r="H1484" s="26" t="e">
        <f t="shared" si="1"/>
        <v>#VALUE!</v>
      </c>
      <c r="I1484" s="1" t="e">
        <f t="shared" si="2"/>
        <v>#VALUE!</v>
      </c>
    </row>
    <row r="1485" spans="1:9" ht="15.75" customHeight="1">
      <c r="A1485" s="26"/>
      <c r="B1485" s="2"/>
      <c r="C1485" s="26"/>
      <c r="D1485" s="26"/>
      <c r="F1485" s="85" t="str">
        <f t="shared" si="0"/>
        <v/>
      </c>
      <c r="G1485" s="1" t="e">
        <f>IF(VALUE(F1485) = VALUE(RIGHT(Insights!$C$3, 4)), E1485, "")</f>
        <v>#VALUE!</v>
      </c>
      <c r="H1485" s="26" t="e">
        <f t="shared" si="1"/>
        <v>#VALUE!</v>
      </c>
      <c r="I1485" s="1" t="e">
        <f t="shared" si="2"/>
        <v>#VALUE!</v>
      </c>
    </row>
    <row r="1486" spans="1:9" ht="15.75" customHeight="1">
      <c r="A1486" s="26"/>
      <c r="B1486" s="2"/>
      <c r="C1486" s="26"/>
      <c r="D1486" s="26"/>
      <c r="F1486" s="85" t="str">
        <f t="shared" si="0"/>
        <v/>
      </c>
      <c r="G1486" s="1" t="e">
        <f>IF(VALUE(F1486) = VALUE(RIGHT(Insights!$C$3, 4)), E1486, "")</f>
        <v>#VALUE!</v>
      </c>
      <c r="H1486" s="26" t="e">
        <f t="shared" si="1"/>
        <v>#VALUE!</v>
      </c>
      <c r="I1486" s="1" t="e">
        <f t="shared" si="2"/>
        <v>#VALUE!</v>
      </c>
    </row>
    <row r="1487" spans="1:9" ht="15.75" customHeight="1">
      <c r="A1487" s="26"/>
      <c r="B1487" s="2"/>
      <c r="C1487" s="26"/>
      <c r="D1487" s="26"/>
      <c r="F1487" s="85" t="str">
        <f t="shared" si="0"/>
        <v/>
      </c>
      <c r="G1487" s="1" t="e">
        <f>IF(VALUE(F1487) = VALUE(RIGHT(Insights!$C$3, 4)), E1487, "")</f>
        <v>#VALUE!</v>
      </c>
      <c r="H1487" s="26" t="e">
        <f t="shared" si="1"/>
        <v>#VALUE!</v>
      </c>
      <c r="I1487" s="1" t="e">
        <f t="shared" si="2"/>
        <v>#VALUE!</v>
      </c>
    </row>
    <row r="1488" spans="1:9" ht="15.75" customHeight="1">
      <c r="A1488" s="26"/>
      <c r="B1488" s="2"/>
      <c r="C1488" s="26"/>
      <c r="D1488" s="26"/>
      <c r="F1488" s="85" t="str">
        <f t="shared" si="0"/>
        <v/>
      </c>
      <c r="G1488" s="1" t="e">
        <f>IF(VALUE(F1488) = VALUE(RIGHT(Insights!$C$3, 4)), E1488, "")</f>
        <v>#VALUE!</v>
      </c>
      <c r="H1488" s="26" t="e">
        <f t="shared" si="1"/>
        <v>#VALUE!</v>
      </c>
      <c r="I1488" s="1" t="e">
        <f t="shared" si="2"/>
        <v>#VALUE!</v>
      </c>
    </row>
    <row r="1489" spans="1:9" ht="15.75" customHeight="1">
      <c r="A1489" s="26"/>
      <c r="B1489" s="2"/>
      <c r="C1489" s="26"/>
      <c r="D1489" s="26"/>
      <c r="F1489" s="85" t="str">
        <f t="shared" si="0"/>
        <v/>
      </c>
      <c r="G1489" s="1" t="e">
        <f>IF(VALUE(F1489) = VALUE(RIGHT(Insights!$C$3, 4)), E1489, "")</f>
        <v>#VALUE!</v>
      </c>
      <c r="H1489" s="26" t="e">
        <f t="shared" si="1"/>
        <v>#VALUE!</v>
      </c>
      <c r="I1489" s="1" t="e">
        <f t="shared" si="2"/>
        <v>#VALUE!</v>
      </c>
    </row>
    <row r="1490" spans="1:9" ht="15.75" customHeight="1">
      <c r="A1490" s="26"/>
      <c r="B1490" s="2"/>
      <c r="C1490" s="26"/>
      <c r="D1490" s="26"/>
      <c r="F1490" s="85" t="str">
        <f t="shared" si="0"/>
        <v/>
      </c>
      <c r="G1490" s="1" t="e">
        <f>IF(VALUE(F1490) = VALUE(RIGHT(Insights!$C$3, 4)), E1490, "")</f>
        <v>#VALUE!</v>
      </c>
      <c r="H1490" s="26" t="e">
        <f t="shared" si="1"/>
        <v>#VALUE!</v>
      </c>
      <c r="I1490" s="1" t="e">
        <f t="shared" si="2"/>
        <v>#VALUE!</v>
      </c>
    </row>
    <row r="1491" spans="1:9" ht="15.75" customHeight="1">
      <c r="A1491" s="26"/>
      <c r="B1491" s="2"/>
      <c r="C1491" s="26"/>
      <c r="D1491" s="26"/>
      <c r="F1491" s="85" t="str">
        <f t="shared" si="0"/>
        <v/>
      </c>
      <c r="G1491" s="1" t="e">
        <f>IF(VALUE(F1491) = VALUE(RIGHT(Insights!$C$3, 4)), E1491, "")</f>
        <v>#VALUE!</v>
      </c>
      <c r="H1491" s="26" t="e">
        <f t="shared" si="1"/>
        <v>#VALUE!</v>
      </c>
      <c r="I1491" s="1" t="e">
        <f t="shared" si="2"/>
        <v>#VALUE!</v>
      </c>
    </row>
    <row r="1492" spans="1:9" ht="15.75" customHeight="1">
      <c r="A1492" s="26"/>
      <c r="B1492" s="2"/>
      <c r="C1492" s="26"/>
      <c r="D1492" s="26"/>
      <c r="F1492" s="85" t="str">
        <f t="shared" si="0"/>
        <v/>
      </c>
      <c r="G1492" s="1" t="e">
        <f>IF(VALUE(F1492) = VALUE(RIGHT(Insights!$C$3, 4)), E1492, "")</f>
        <v>#VALUE!</v>
      </c>
      <c r="H1492" s="26" t="e">
        <f t="shared" si="1"/>
        <v>#VALUE!</v>
      </c>
      <c r="I1492" s="1" t="e">
        <f t="shared" si="2"/>
        <v>#VALUE!</v>
      </c>
    </row>
    <row r="1493" spans="1:9" ht="15.75" customHeight="1">
      <c r="A1493" s="26"/>
      <c r="B1493" s="2"/>
      <c r="C1493" s="26"/>
      <c r="D1493" s="26"/>
      <c r="F1493" s="85" t="str">
        <f t="shared" si="0"/>
        <v/>
      </c>
      <c r="G1493" s="1" t="e">
        <f>IF(VALUE(F1493) = VALUE(RIGHT(Insights!$C$3, 4)), E1493, "")</f>
        <v>#VALUE!</v>
      </c>
      <c r="H1493" s="26" t="e">
        <f t="shared" si="1"/>
        <v>#VALUE!</v>
      </c>
      <c r="I1493" s="1" t="e">
        <f t="shared" si="2"/>
        <v>#VALUE!</v>
      </c>
    </row>
    <row r="1494" spans="1:9" ht="15.75" customHeight="1">
      <c r="A1494" s="26"/>
      <c r="B1494" s="2"/>
      <c r="C1494" s="26"/>
      <c r="D1494" s="26"/>
      <c r="F1494" s="85" t="str">
        <f t="shared" si="0"/>
        <v/>
      </c>
      <c r="G1494" s="1" t="e">
        <f>IF(VALUE(F1494) = VALUE(RIGHT(Insights!$C$3, 4)), E1494, "")</f>
        <v>#VALUE!</v>
      </c>
      <c r="H1494" s="26" t="e">
        <f t="shared" si="1"/>
        <v>#VALUE!</v>
      </c>
      <c r="I1494" s="1" t="e">
        <f t="shared" si="2"/>
        <v>#VALUE!</v>
      </c>
    </row>
    <row r="1495" spans="1:9" ht="15.75" customHeight="1">
      <c r="A1495" s="26"/>
      <c r="B1495" s="2"/>
      <c r="C1495" s="26"/>
      <c r="D1495" s="26"/>
      <c r="F1495" s="85" t="str">
        <f t="shared" si="0"/>
        <v/>
      </c>
      <c r="G1495" s="1" t="e">
        <f>IF(VALUE(F1495) = VALUE(RIGHT(Insights!$C$3, 4)), E1495, "")</f>
        <v>#VALUE!</v>
      </c>
      <c r="H1495" s="26" t="e">
        <f t="shared" si="1"/>
        <v>#VALUE!</v>
      </c>
      <c r="I1495" s="1" t="e">
        <f t="shared" si="2"/>
        <v>#VALUE!</v>
      </c>
    </row>
    <row r="1496" spans="1:9" ht="15.75" customHeight="1">
      <c r="A1496" s="26"/>
      <c r="B1496" s="2"/>
      <c r="C1496" s="26"/>
      <c r="D1496" s="26"/>
      <c r="F1496" s="85" t="str">
        <f t="shared" si="0"/>
        <v/>
      </c>
      <c r="G1496" s="1" t="e">
        <f>IF(VALUE(F1496) = VALUE(RIGHT(Insights!$C$3, 4)), E1496, "")</f>
        <v>#VALUE!</v>
      </c>
      <c r="H1496" s="26" t="e">
        <f t="shared" si="1"/>
        <v>#VALUE!</v>
      </c>
      <c r="I1496" s="1" t="e">
        <f t="shared" si="2"/>
        <v>#VALUE!</v>
      </c>
    </row>
    <row r="1497" spans="1:9" ht="15.75" customHeight="1">
      <c r="A1497" s="26"/>
      <c r="B1497" s="2"/>
      <c r="C1497" s="26"/>
      <c r="D1497" s="26"/>
      <c r="F1497" s="85" t="str">
        <f t="shared" si="0"/>
        <v/>
      </c>
      <c r="G1497" s="1" t="e">
        <f>IF(VALUE(F1497) = VALUE(RIGHT(Insights!$C$3, 4)), E1497, "")</f>
        <v>#VALUE!</v>
      </c>
      <c r="H1497" s="26" t="e">
        <f t="shared" si="1"/>
        <v>#VALUE!</v>
      </c>
      <c r="I1497" s="1" t="e">
        <f t="shared" si="2"/>
        <v>#VALUE!</v>
      </c>
    </row>
    <row r="1498" spans="1:9" ht="15.75" customHeight="1">
      <c r="A1498" s="26"/>
      <c r="B1498" s="2"/>
      <c r="C1498" s="26"/>
      <c r="D1498" s="26"/>
      <c r="F1498" s="85" t="str">
        <f t="shared" si="0"/>
        <v/>
      </c>
      <c r="G1498" s="1" t="e">
        <f>IF(VALUE(F1498) = VALUE(RIGHT(Insights!$C$3, 4)), E1498, "")</f>
        <v>#VALUE!</v>
      </c>
      <c r="H1498" s="26" t="e">
        <f t="shared" si="1"/>
        <v>#VALUE!</v>
      </c>
      <c r="I1498" s="1" t="e">
        <f t="shared" si="2"/>
        <v>#VALUE!</v>
      </c>
    </row>
    <row r="1499" spans="1:9" ht="15.75" customHeight="1">
      <c r="A1499" s="26"/>
      <c r="B1499" s="2"/>
      <c r="C1499" s="26"/>
      <c r="D1499" s="26"/>
      <c r="F1499" s="85" t="str">
        <f t="shared" si="0"/>
        <v/>
      </c>
      <c r="G1499" s="1" t="e">
        <f>IF(VALUE(F1499) = VALUE(RIGHT(Insights!$C$3, 4)), E1499, "")</f>
        <v>#VALUE!</v>
      </c>
      <c r="H1499" s="26" t="e">
        <f t="shared" si="1"/>
        <v>#VALUE!</v>
      </c>
      <c r="I1499" s="1" t="e">
        <f t="shared" si="2"/>
        <v>#VALUE!</v>
      </c>
    </row>
    <row r="1500" spans="1:9" ht="15.75" customHeight="1">
      <c r="A1500" s="26"/>
      <c r="B1500" s="2"/>
      <c r="C1500" s="26"/>
      <c r="D1500" s="26"/>
      <c r="F1500" s="85" t="str">
        <f t="shared" si="0"/>
        <v/>
      </c>
      <c r="G1500" s="1" t="e">
        <f>IF(VALUE(F1500) = VALUE(RIGHT(Insights!$C$3, 4)), E1500, "")</f>
        <v>#VALUE!</v>
      </c>
      <c r="H1500" s="26" t="e">
        <f t="shared" si="1"/>
        <v>#VALUE!</v>
      </c>
      <c r="I1500" s="1" t="e">
        <f t="shared" si="2"/>
        <v>#VALUE!</v>
      </c>
    </row>
    <row r="1501" spans="1:9" ht="15.75" customHeight="1">
      <c r="A1501" s="26"/>
      <c r="B1501" s="2"/>
      <c r="C1501" s="26"/>
      <c r="D1501" s="26"/>
      <c r="F1501" s="85" t="str">
        <f t="shared" si="0"/>
        <v/>
      </c>
      <c r="G1501" s="1" t="e">
        <f>IF(VALUE(F1501) = VALUE(RIGHT(Insights!$C$3, 4)), E1501, "")</f>
        <v>#VALUE!</v>
      </c>
      <c r="H1501" s="26" t="e">
        <f t="shared" si="1"/>
        <v>#VALUE!</v>
      </c>
      <c r="I1501" s="1" t="e">
        <f t="shared" si="2"/>
        <v>#VALUE!</v>
      </c>
    </row>
    <row r="1502" spans="1:9" ht="15.75" customHeight="1">
      <c r="A1502" s="26"/>
      <c r="B1502" s="2"/>
      <c r="C1502" s="26"/>
      <c r="D1502" s="26"/>
      <c r="F1502" s="85" t="str">
        <f t="shared" si="0"/>
        <v/>
      </c>
      <c r="G1502" s="1" t="e">
        <f>IF(VALUE(F1502) = VALUE(RIGHT(Insights!$C$3, 4)), E1502, "")</f>
        <v>#VALUE!</v>
      </c>
      <c r="H1502" s="26" t="e">
        <f t="shared" si="1"/>
        <v>#VALUE!</v>
      </c>
      <c r="I1502" s="1" t="e">
        <f t="shared" si="2"/>
        <v>#VALUE!</v>
      </c>
    </row>
    <row r="1503" spans="1:9" ht="15.75" customHeight="1">
      <c r="A1503" s="26"/>
      <c r="B1503" s="2"/>
      <c r="C1503" s="26"/>
      <c r="D1503" s="26"/>
      <c r="F1503" s="85" t="str">
        <f t="shared" si="0"/>
        <v/>
      </c>
      <c r="G1503" s="1" t="e">
        <f>IF(VALUE(F1503) = VALUE(RIGHT(Insights!$C$3, 4)), E1503, "")</f>
        <v>#VALUE!</v>
      </c>
      <c r="H1503" s="26" t="e">
        <f t="shared" si="1"/>
        <v>#VALUE!</v>
      </c>
      <c r="I1503" s="1" t="e">
        <f t="shared" si="2"/>
        <v>#VALUE!</v>
      </c>
    </row>
    <row r="1504" spans="1:9" ht="15.75" customHeight="1">
      <c r="A1504" s="26"/>
      <c r="B1504" s="2"/>
      <c r="C1504" s="26"/>
      <c r="D1504" s="26"/>
      <c r="F1504" s="85" t="str">
        <f t="shared" si="0"/>
        <v/>
      </c>
      <c r="G1504" s="1" t="e">
        <f>IF(VALUE(F1504) = VALUE(RIGHT(Insights!$C$3, 4)), E1504, "")</f>
        <v>#VALUE!</v>
      </c>
      <c r="H1504" s="26" t="e">
        <f t="shared" si="1"/>
        <v>#VALUE!</v>
      </c>
      <c r="I1504" s="1" t="e">
        <f t="shared" si="2"/>
        <v>#VALUE!</v>
      </c>
    </row>
    <row r="1505" spans="1:9" ht="15.75" customHeight="1">
      <c r="A1505" s="26"/>
      <c r="B1505" s="2"/>
      <c r="C1505" s="26"/>
      <c r="D1505" s="26"/>
      <c r="F1505" s="85" t="str">
        <f t="shared" si="0"/>
        <v/>
      </c>
      <c r="G1505" s="1" t="e">
        <f>IF(VALUE(F1505) = VALUE(RIGHT(Insights!$C$3, 4)), E1505, "")</f>
        <v>#VALUE!</v>
      </c>
      <c r="H1505" s="26" t="e">
        <f t="shared" si="1"/>
        <v>#VALUE!</v>
      </c>
      <c r="I1505" s="1" t="e">
        <f t="shared" si="2"/>
        <v>#VALUE!</v>
      </c>
    </row>
    <row r="1506" spans="1:9" ht="15.75" customHeight="1">
      <c r="A1506" s="26"/>
      <c r="B1506" s="2"/>
      <c r="C1506" s="26"/>
      <c r="D1506" s="26"/>
      <c r="F1506" s="85" t="str">
        <f t="shared" si="0"/>
        <v/>
      </c>
      <c r="G1506" s="1" t="e">
        <f>IF(VALUE(F1506) = VALUE(RIGHT(Insights!$C$3, 4)), E1506, "")</f>
        <v>#VALUE!</v>
      </c>
      <c r="H1506" s="26" t="e">
        <f t="shared" si="1"/>
        <v>#VALUE!</v>
      </c>
      <c r="I1506" s="1" t="e">
        <f t="shared" si="2"/>
        <v>#VALUE!</v>
      </c>
    </row>
    <row r="1507" spans="1:9" ht="15.75" customHeight="1">
      <c r="A1507" s="26"/>
      <c r="B1507" s="2"/>
      <c r="C1507" s="26"/>
      <c r="D1507" s="26"/>
      <c r="F1507" s="85" t="str">
        <f t="shared" si="0"/>
        <v/>
      </c>
      <c r="G1507" s="1" t="e">
        <f>IF(VALUE(F1507) = VALUE(RIGHT(Insights!$C$3, 4)), E1507, "")</f>
        <v>#VALUE!</v>
      </c>
      <c r="H1507" s="26" t="e">
        <f t="shared" si="1"/>
        <v>#VALUE!</v>
      </c>
      <c r="I1507" s="1" t="e">
        <f t="shared" si="2"/>
        <v>#VALUE!</v>
      </c>
    </row>
    <row r="1508" spans="1:9" ht="15.75" customHeight="1">
      <c r="A1508" s="26"/>
      <c r="B1508" s="2"/>
      <c r="C1508" s="26"/>
      <c r="D1508" s="26"/>
      <c r="F1508" s="85" t="str">
        <f t="shared" si="0"/>
        <v/>
      </c>
      <c r="G1508" s="1" t="e">
        <f>IF(VALUE(F1508) = VALUE(RIGHT(Insights!$C$3, 4)), E1508, "")</f>
        <v>#VALUE!</v>
      </c>
      <c r="H1508" s="26" t="e">
        <f t="shared" si="1"/>
        <v>#VALUE!</v>
      </c>
      <c r="I1508" s="1" t="e">
        <f t="shared" si="2"/>
        <v>#VALUE!</v>
      </c>
    </row>
    <row r="1509" spans="1:9" ht="15.75" customHeight="1">
      <c r="A1509" s="26"/>
      <c r="B1509" s="2"/>
      <c r="C1509" s="26"/>
      <c r="D1509" s="26"/>
      <c r="F1509" s="85" t="str">
        <f t="shared" si="0"/>
        <v/>
      </c>
      <c r="G1509" s="1" t="e">
        <f>IF(VALUE(F1509) = VALUE(RIGHT(Insights!$C$3, 4)), E1509, "")</f>
        <v>#VALUE!</v>
      </c>
      <c r="H1509" s="26" t="e">
        <f t="shared" si="1"/>
        <v>#VALUE!</v>
      </c>
      <c r="I1509" s="1" t="e">
        <f t="shared" si="2"/>
        <v>#VALUE!</v>
      </c>
    </row>
    <row r="1510" spans="1:9" ht="15.75" customHeight="1">
      <c r="A1510" s="26"/>
      <c r="B1510" s="2"/>
      <c r="C1510" s="26"/>
      <c r="D1510" s="26"/>
      <c r="F1510" s="85" t="str">
        <f t="shared" si="0"/>
        <v/>
      </c>
      <c r="G1510" s="1" t="e">
        <f>IF(VALUE(F1510) = VALUE(RIGHT(Insights!$C$3, 4)), E1510, "")</f>
        <v>#VALUE!</v>
      </c>
      <c r="H1510" s="26" t="e">
        <f t="shared" si="1"/>
        <v>#VALUE!</v>
      </c>
      <c r="I1510" s="1" t="e">
        <f t="shared" si="2"/>
        <v>#VALUE!</v>
      </c>
    </row>
    <row r="1511" spans="1:9" ht="15.75" customHeight="1">
      <c r="A1511" s="26"/>
      <c r="B1511" s="2"/>
      <c r="C1511" s="26"/>
      <c r="D1511" s="26"/>
      <c r="F1511" s="85" t="str">
        <f t="shared" si="0"/>
        <v/>
      </c>
      <c r="G1511" s="1" t="e">
        <f>IF(VALUE(F1511) = VALUE(RIGHT(Insights!$C$3, 4)), E1511, "")</f>
        <v>#VALUE!</v>
      </c>
      <c r="H1511" s="26" t="e">
        <f t="shared" si="1"/>
        <v>#VALUE!</v>
      </c>
      <c r="I1511" s="1" t="e">
        <f t="shared" si="2"/>
        <v>#VALUE!</v>
      </c>
    </row>
    <row r="1512" spans="1:9" ht="15.75" customHeight="1">
      <c r="A1512" s="26"/>
      <c r="B1512" s="2"/>
      <c r="C1512" s="26"/>
      <c r="D1512" s="26"/>
      <c r="F1512" s="85" t="str">
        <f t="shared" si="0"/>
        <v/>
      </c>
      <c r="G1512" s="1" t="e">
        <f>IF(VALUE(F1512) = VALUE(RIGHT(Insights!$C$3, 4)), E1512, "")</f>
        <v>#VALUE!</v>
      </c>
      <c r="H1512" s="26" t="e">
        <f t="shared" si="1"/>
        <v>#VALUE!</v>
      </c>
      <c r="I1512" s="1" t="e">
        <f t="shared" si="2"/>
        <v>#VALUE!</v>
      </c>
    </row>
    <row r="1513" spans="1:9" ht="15.75" customHeight="1">
      <c r="A1513" s="26"/>
      <c r="B1513" s="2"/>
      <c r="C1513" s="26"/>
      <c r="D1513" s="26"/>
      <c r="F1513" s="85" t="str">
        <f t="shared" si="0"/>
        <v/>
      </c>
      <c r="G1513" s="1" t="e">
        <f>IF(VALUE(F1513) = VALUE(RIGHT(Insights!$C$3, 4)), E1513, "")</f>
        <v>#VALUE!</v>
      </c>
      <c r="H1513" s="26" t="e">
        <f t="shared" si="1"/>
        <v>#VALUE!</v>
      </c>
      <c r="I1513" s="1" t="e">
        <f t="shared" si="2"/>
        <v>#VALUE!</v>
      </c>
    </row>
    <row r="1514" spans="1:9" ht="15.75" customHeight="1">
      <c r="A1514" s="26"/>
      <c r="B1514" s="2"/>
      <c r="C1514" s="26"/>
      <c r="D1514" s="26"/>
      <c r="F1514" s="85" t="str">
        <f t="shared" si="0"/>
        <v/>
      </c>
      <c r="G1514" s="1" t="e">
        <f>IF(VALUE(F1514) = VALUE(RIGHT(Insights!$C$3, 4)), E1514, "")</f>
        <v>#VALUE!</v>
      </c>
      <c r="H1514" s="26" t="e">
        <f t="shared" si="1"/>
        <v>#VALUE!</v>
      </c>
      <c r="I1514" s="1" t="e">
        <f t="shared" si="2"/>
        <v>#VALUE!</v>
      </c>
    </row>
    <row r="1515" spans="1:9" ht="15.75" customHeight="1">
      <c r="A1515" s="26"/>
      <c r="B1515" s="2"/>
      <c r="C1515" s="26"/>
      <c r="D1515" s="26"/>
      <c r="F1515" s="85" t="str">
        <f t="shared" si="0"/>
        <v/>
      </c>
      <c r="G1515" s="1" t="e">
        <f>IF(VALUE(F1515) = VALUE(RIGHT(Insights!$C$3, 4)), E1515, "")</f>
        <v>#VALUE!</v>
      </c>
      <c r="H1515" s="26" t="e">
        <f t="shared" si="1"/>
        <v>#VALUE!</v>
      </c>
      <c r="I1515" s="1" t="e">
        <f t="shared" si="2"/>
        <v>#VALUE!</v>
      </c>
    </row>
    <row r="1516" spans="1:9" ht="15.75" customHeight="1">
      <c r="A1516" s="26"/>
      <c r="B1516" s="2"/>
      <c r="C1516" s="26"/>
      <c r="D1516" s="26"/>
      <c r="F1516" s="85" t="str">
        <f t="shared" si="0"/>
        <v/>
      </c>
      <c r="G1516" s="1" t="e">
        <f>IF(VALUE(F1516) = VALUE(RIGHT(Insights!$C$3, 4)), E1516, "")</f>
        <v>#VALUE!</v>
      </c>
      <c r="H1516" s="26" t="e">
        <f t="shared" si="1"/>
        <v>#VALUE!</v>
      </c>
      <c r="I1516" s="1" t="e">
        <f t="shared" si="2"/>
        <v>#VALUE!</v>
      </c>
    </row>
    <row r="1517" spans="1:9" ht="15.75" customHeight="1">
      <c r="A1517" s="26"/>
      <c r="B1517" s="2"/>
      <c r="C1517" s="26"/>
      <c r="D1517" s="26"/>
      <c r="F1517" s="85" t="str">
        <f t="shared" si="0"/>
        <v/>
      </c>
      <c r="G1517" s="1" t="e">
        <f>IF(VALUE(F1517) = VALUE(RIGHT(Insights!$C$3, 4)), E1517, "")</f>
        <v>#VALUE!</v>
      </c>
      <c r="H1517" s="26" t="e">
        <f t="shared" si="1"/>
        <v>#VALUE!</v>
      </c>
      <c r="I1517" s="1" t="e">
        <f t="shared" si="2"/>
        <v>#VALUE!</v>
      </c>
    </row>
    <row r="1518" spans="1:9" ht="15.75" customHeight="1">
      <c r="A1518" s="26"/>
      <c r="B1518" s="2"/>
      <c r="C1518" s="26"/>
      <c r="D1518" s="26"/>
      <c r="F1518" s="85" t="str">
        <f t="shared" si="0"/>
        <v/>
      </c>
      <c r="G1518" s="1" t="e">
        <f>IF(VALUE(F1518) = VALUE(RIGHT(Insights!$C$3, 4)), E1518, "")</f>
        <v>#VALUE!</v>
      </c>
      <c r="H1518" s="26" t="e">
        <f t="shared" si="1"/>
        <v>#VALUE!</v>
      </c>
      <c r="I1518" s="1" t="e">
        <f t="shared" si="2"/>
        <v>#VALUE!</v>
      </c>
    </row>
    <row r="1519" spans="1:9" ht="15.75" customHeight="1">
      <c r="A1519" s="26"/>
      <c r="B1519" s="2"/>
      <c r="C1519" s="26"/>
      <c r="D1519" s="26"/>
      <c r="F1519" s="85" t="str">
        <f t="shared" si="0"/>
        <v/>
      </c>
      <c r="G1519" s="1" t="e">
        <f>IF(VALUE(F1519) = VALUE(RIGHT(Insights!$C$3, 4)), E1519, "")</f>
        <v>#VALUE!</v>
      </c>
      <c r="H1519" s="26" t="e">
        <f t="shared" si="1"/>
        <v>#VALUE!</v>
      </c>
      <c r="I1519" s="1" t="e">
        <f t="shared" si="2"/>
        <v>#VALUE!</v>
      </c>
    </row>
    <row r="1520" spans="1:9" ht="15.75" customHeight="1">
      <c r="A1520" s="26"/>
      <c r="B1520" s="2"/>
      <c r="C1520" s="26"/>
      <c r="D1520" s="26"/>
      <c r="F1520" s="85" t="str">
        <f t="shared" si="0"/>
        <v/>
      </c>
      <c r="G1520" s="1" t="e">
        <f>IF(VALUE(F1520) = VALUE(RIGHT(Insights!$C$3, 4)), E1520, "")</f>
        <v>#VALUE!</v>
      </c>
      <c r="H1520" s="26" t="e">
        <f t="shared" si="1"/>
        <v>#VALUE!</v>
      </c>
      <c r="I1520" s="1" t="e">
        <f t="shared" si="2"/>
        <v>#VALUE!</v>
      </c>
    </row>
    <row r="1521" spans="1:9" ht="15.75" customHeight="1">
      <c r="A1521" s="26"/>
      <c r="B1521" s="2"/>
      <c r="C1521" s="26"/>
      <c r="D1521" s="26"/>
      <c r="F1521" s="85" t="str">
        <f t="shared" si="0"/>
        <v/>
      </c>
      <c r="G1521" s="1" t="e">
        <f>IF(VALUE(F1521) = VALUE(RIGHT(Insights!$C$3, 4)), E1521, "")</f>
        <v>#VALUE!</v>
      </c>
      <c r="H1521" s="26" t="e">
        <f t="shared" si="1"/>
        <v>#VALUE!</v>
      </c>
      <c r="I1521" s="1" t="e">
        <f t="shared" si="2"/>
        <v>#VALUE!</v>
      </c>
    </row>
    <row r="1522" spans="1:9" ht="15.75" customHeight="1">
      <c r="A1522" s="26"/>
      <c r="B1522" s="2"/>
      <c r="C1522" s="26"/>
      <c r="D1522" s="26"/>
      <c r="F1522" s="85" t="str">
        <f t="shared" si="0"/>
        <v/>
      </c>
      <c r="G1522" s="1" t="e">
        <f>IF(VALUE(F1522) = VALUE(RIGHT(Insights!$C$3, 4)), E1522, "")</f>
        <v>#VALUE!</v>
      </c>
      <c r="H1522" s="26" t="e">
        <f t="shared" si="1"/>
        <v>#VALUE!</v>
      </c>
      <c r="I1522" s="1" t="e">
        <f t="shared" si="2"/>
        <v>#VALUE!</v>
      </c>
    </row>
    <row r="1523" spans="1:9" ht="15.75" customHeight="1">
      <c r="A1523" s="26"/>
      <c r="B1523" s="2"/>
      <c r="C1523" s="26"/>
      <c r="D1523" s="26"/>
      <c r="F1523" s="85" t="str">
        <f t="shared" si="0"/>
        <v/>
      </c>
      <c r="G1523" s="1" t="e">
        <f>IF(VALUE(F1523) = VALUE(RIGHT(Insights!$C$3, 4)), E1523, "")</f>
        <v>#VALUE!</v>
      </c>
      <c r="H1523" s="26" t="e">
        <f t="shared" si="1"/>
        <v>#VALUE!</v>
      </c>
      <c r="I1523" s="1" t="e">
        <f t="shared" si="2"/>
        <v>#VALUE!</v>
      </c>
    </row>
    <row r="1524" spans="1:9" ht="15.75" customHeight="1">
      <c r="A1524" s="26"/>
      <c r="B1524" s="2"/>
      <c r="C1524" s="26"/>
      <c r="D1524" s="26"/>
      <c r="F1524" s="85" t="str">
        <f t="shared" si="0"/>
        <v/>
      </c>
      <c r="G1524" s="1" t="e">
        <f>IF(VALUE(F1524) = VALUE(RIGHT(Insights!$C$3, 4)), E1524, "")</f>
        <v>#VALUE!</v>
      </c>
      <c r="H1524" s="26" t="e">
        <f t="shared" si="1"/>
        <v>#VALUE!</v>
      </c>
      <c r="I1524" s="1" t="e">
        <f t="shared" si="2"/>
        <v>#VALUE!</v>
      </c>
    </row>
    <row r="1525" spans="1:9" ht="15.75" customHeight="1">
      <c r="A1525" s="26"/>
      <c r="B1525" s="2"/>
      <c r="C1525" s="26"/>
      <c r="D1525" s="26"/>
      <c r="F1525" s="85" t="str">
        <f t="shared" si="0"/>
        <v/>
      </c>
      <c r="G1525" s="1" t="e">
        <f>IF(VALUE(F1525) = VALUE(RIGHT(Insights!$C$3, 4)), E1525, "")</f>
        <v>#VALUE!</v>
      </c>
      <c r="H1525" s="26" t="e">
        <f t="shared" si="1"/>
        <v>#VALUE!</v>
      </c>
      <c r="I1525" s="1" t="e">
        <f t="shared" si="2"/>
        <v>#VALUE!</v>
      </c>
    </row>
    <row r="1526" spans="1:9" ht="15.75" customHeight="1">
      <c r="A1526" s="26"/>
      <c r="B1526" s="2"/>
      <c r="C1526" s="26"/>
      <c r="D1526" s="26"/>
      <c r="F1526" s="85" t="str">
        <f t="shared" si="0"/>
        <v/>
      </c>
      <c r="G1526" s="1" t="e">
        <f>IF(VALUE(F1526) = VALUE(RIGHT(Insights!$C$3, 4)), E1526, "")</f>
        <v>#VALUE!</v>
      </c>
      <c r="H1526" s="26" t="e">
        <f t="shared" si="1"/>
        <v>#VALUE!</v>
      </c>
      <c r="I1526" s="1" t="e">
        <f t="shared" si="2"/>
        <v>#VALUE!</v>
      </c>
    </row>
    <row r="1527" spans="1:9" ht="15.75" customHeight="1">
      <c r="A1527" s="26"/>
      <c r="B1527" s="2"/>
      <c r="C1527" s="26"/>
      <c r="D1527" s="26"/>
      <c r="F1527" s="85" t="str">
        <f t="shared" si="0"/>
        <v/>
      </c>
      <c r="G1527" s="1" t="e">
        <f>IF(VALUE(F1527) = VALUE(RIGHT(Insights!$C$3, 4)), E1527, "")</f>
        <v>#VALUE!</v>
      </c>
      <c r="H1527" s="26" t="e">
        <f t="shared" si="1"/>
        <v>#VALUE!</v>
      </c>
      <c r="I1527" s="1" t="e">
        <f t="shared" si="2"/>
        <v>#VALUE!</v>
      </c>
    </row>
    <row r="1528" spans="1:9" ht="15.75" customHeight="1">
      <c r="A1528" s="26"/>
      <c r="B1528" s="2"/>
      <c r="C1528" s="26"/>
      <c r="D1528" s="26"/>
      <c r="F1528" s="85" t="str">
        <f t="shared" si="0"/>
        <v/>
      </c>
      <c r="G1528" s="1" t="e">
        <f>IF(VALUE(F1528) = VALUE(RIGHT(Insights!$C$3, 4)), E1528, "")</f>
        <v>#VALUE!</v>
      </c>
      <c r="H1528" s="26" t="e">
        <f t="shared" si="1"/>
        <v>#VALUE!</v>
      </c>
      <c r="I1528" s="1" t="e">
        <f t="shared" si="2"/>
        <v>#VALUE!</v>
      </c>
    </row>
    <row r="1529" spans="1:9" ht="15.75" customHeight="1">
      <c r="A1529" s="26"/>
      <c r="B1529" s="2"/>
      <c r="C1529" s="26"/>
      <c r="D1529" s="26"/>
      <c r="F1529" s="85" t="str">
        <f t="shared" si="0"/>
        <v/>
      </c>
      <c r="G1529" s="1" t="e">
        <f>IF(VALUE(F1529) = VALUE(RIGHT(Insights!$C$3, 4)), E1529, "")</f>
        <v>#VALUE!</v>
      </c>
      <c r="H1529" s="26" t="e">
        <f t="shared" si="1"/>
        <v>#VALUE!</v>
      </c>
      <c r="I1529" s="1" t="e">
        <f t="shared" si="2"/>
        <v>#VALUE!</v>
      </c>
    </row>
    <row r="1530" spans="1:9" ht="15.75" customHeight="1">
      <c r="A1530" s="26"/>
      <c r="B1530" s="2"/>
      <c r="C1530" s="26"/>
      <c r="D1530" s="26"/>
      <c r="F1530" s="85" t="str">
        <f t="shared" si="0"/>
        <v/>
      </c>
      <c r="G1530" s="1" t="e">
        <f>IF(VALUE(F1530) = VALUE(RIGHT(Insights!$C$3, 4)), E1530, "")</f>
        <v>#VALUE!</v>
      </c>
      <c r="H1530" s="26" t="e">
        <f t="shared" si="1"/>
        <v>#VALUE!</v>
      </c>
      <c r="I1530" s="1" t="e">
        <f t="shared" si="2"/>
        <v>#VALUE!</v>
      </c>
    </row>
    <row r="1531" spans="1:9" ht="15.75" customHeight="1">
      <c r="A1531" s="26"/>
      <c r="B1531" s="2"/>
      <c r="C1531" s="26"/>
      <c r="D1531" s="26"/>
      <c r="F1531" s="85" t="str">
        <f t="shared" si="0"/>
        <v/>
      </c>
      <c r="G1531" s="1" t="e">
        <f>IF(VALUE(F1531) = VALUE(RIGHT(Insights!$C$3, 4)), E1531, "")</f>
        <v>#VALUE!</v>
      </c>
      <c r="H1531" s="26" t="e">
        <f t="shared" si="1"/>
        <v>#VALUE!</v>
      </c>
      <c r="I1531" s="1" t="e">
        <f t="shared" si="2"/>
        <v>#VALUE!</v>
      </c>
    </row>
    <row r="1532" spans="1:9" ht="15.75" customHeight="1">
      <c r="A1532" s="26"/>
      <c r="B1532" s="2"/>
      <c r="C1532" s="26"/>
      <c r="D1532" s="26"/>
      <c r="F1532" s="85" t="str">
        <f t="shared" si="0"/>
        <v/>
      </c>
      <c r="G1532" s="1" t="e">
        <f>IF(VALUE(F1532) = VALUE(RIGHT(Insights!$C$3, 4)), E1532, "")</f>
        <v>#VALUE!</v>
      </c>
      <c r="H1532" s="26" t="e">
        <f t="shared" si="1"/>
        <v>#VALUE!</v>
      </c>
      <c r="I1532" s="1" t="e">
        <f t="shared" si="2"/>
        <v>#VALUE!</v>
      </c>
    </row>
    <row r="1533" spans="1:9" ht="15.75" customHeight="1">
      <c r="A1533" s="26"/>
      <c r="B1533" s="2"/>
      <c r="C1533" s="26"/>
      <c r="D1533" s="26"/>
      <c r="F1533" s="85" t="str">
        <f t="shared" si="0"/>
        <v/>
      </c>
      <c r="G1533" s="1" t="e">
        <f>IF(VALUE(F1533) = VALUE(RIGHT(Insights!$C$3, 4)), E1533, "")</f>
        <v>#VALUE!</v>
      </c>
      <c r="H1533" s="26" t="e">
        <f t="shared" si="1"/>
        <v>#VALUE!</v>
      </c>
      <c r="I1533" s="1" t="e">
        <f t="shared" si="2"/>
        <v>#VALUE!</v>
      </c>
    </row>
    <row r="1534" spans="1:9" ht="15.75" customHeight="1">
      <c r="A1534" s="26"/>
      <c r="B1534" s="2"/>
      <c r="C1534" s="26"/>
      <c r="D1534" s="26"/>
      <c r="F1534" s="85" t="str">
        <f t="shared" si="0"/>
        <v/>
      </c>
      <c r="G1534" s="1" t="e">
        <f>IF(VALUE(F1534) = VALUE(RIGHT(Insights!$C$3, 4)), E1534, "")</f>
        <v>#VALUE!</v>
      </c>
      <c r="H1534" s="26" t="e">
        <f t="shared" si="1"/>
        <v>#VALUE!</v>
      </c>
      <c r="I1534" s="1" t="e">
        <f t="shared" si="2"/>
        <v>#VALUE!</v>
      </c>
    </row>
    <row r="1535" spans="1:9" ht="15.75" customHeight="1">
      <c r="A1535" s="26"/>
      <c r="B1535" s="2"/>
      <c r="C1535" s="26"/>
      <c r="D1535" s="26"/>
      <c r="F1535" s="85" t="str">
        <f t="shared" si="0"/>
        <v/>
      </c>
      <c r="G1535" s="1" t="e">
        <f>IF(VALUE(F1535) = VALUE(RIGHT(Insights!$C$3, 4)), E1535, "")</f>
        <v>#VALUE!</v>
      </c>
      <c r="H1535" s="26" t="e">
        <f t="shared" si="1"/>
        <v>#VALUE!</v>
      </c>
      <c r="I1535" s="1" t="e">
        <f t="shared" si="2"/>
        <v>#VALUE!</v>
      </c>
    </row>
    <row r="1536" spans="1:9" ht="15.75" customHeight="1">
      <c r="A1536" s="26"/>
      <c r="B1536" s="2"/>
      <c r="C1536" s="26"/>
      <c r="D1536" s="26"/>
      <c r="F1536" s="85" t="str">
        <f t="shared" si="0"/>
        <v/>
      </c>
      <c r="G1536" s="1" t="e">
        <f>IF(VALUE(F1536) = VALUE(RIGHT(Insights!$C$3, 4)), E1536, "")</f>
        <v>#VALUE!</v>
      </c>
      <c r="H1536" s="26" t="e">
        <f t="shared" si="1"/>
        <v>#VALUE!</v>
      </c>
      <c r="I1536" s="1" t="e">
        <f t="shared" si="2"/>
        <v>#VALUE!</v>
      </c>
    </row>
    <row r="1537" spans="1:9" ht="15.75" customHeight="1">
      <c r="A1537" s="26"/>
      <c r="B1537" s="2"/>
      <c r="C1537" s="26"/>
      <c r="D1537" s="26"/>
      <c r="F1537" s="85" t="str">
        <f t="shared" si="0"/>
        <v/>
      </c>
      <c r="G1537" s="1" t="e">
        <f>IF(VALUE(F1537) = VALUE(RIGHT(Insights!$C$3, 4)), E1537, "")</f>
        <v>#VALUE!</v>
      </c>
      <c r="H1537" s="26" t="e">
        <f t="shared" si="1"/>
        <v>#VALUE!</v>
      </c>
      <c r="I1537" s="1" t="e">
        <f t="shared" si="2"/>
        <v>#VALUE!</v>
      </c>
    </row>
    <row r="1538" spans="1:9" ht="15.75" customHeight="1">
      <c r="A1538" s="26"/>
      <c r="B1538" s="2"/>
      <c r="C1538" s="26"/>
      <c r="D1538" s="26"/>
      <c r="F1538" s="85" t="str">
        <f t="shared" si="0"/>
        <v/>
      </c>
      <c r="G1538" s="1" t="e">
        <f>IF(VALUE(F1538) = VALUE(RIGHT(Insights!$C$3, 4)), E1538, "")</f>
        <v>#VALUE!</v>
      </c>
      <c r="H1538" s="26" t="e">
        <f t="shared" si="1"/>
        <v>#VALUE!</v>
      </c>
      <c r="I1538" s="1" t="e">
        <f t="shared" si="2"/>
        <v>#VALUE!</v>
      </c>
    </row>
    <row r="1539" spans="1:9" ht="15.75" customHeight="1">
      <c r="A1539" s="26"/>
      <c r="B1539" s="2"/>
      <c r="C1539" s="26"/>
      <c r="D1539" s="26"/>
      <c r="F1539" s="85" t="str">
        <f t="shared" si="0"/>
        <v/>
      </c>
      <c r="G1539" s="1" t="e">
        <f>IF(VALUE(F1539) = VALUE(RIGHT(Insights!$C$3, 4)), E1539, "")</f>
        <v>#VALUE!</v>
      </c>
      <c r="H1539" s="26" t="e">
        <f t="shared" si="1"/>
        <v>#VALUE!</v>
      </c>
      <c r="I1539" s="1" t="e">
        <f t="shared" si="2"/>
        <v>#VALUE!</v>
      </c>
    </row>
    <row r="1540" spans="1:9" ht="15.75" customHeight="1">
      <c r="A1540" s="26"/>
      <c r="B1540" s="2"/>
      <c r="C1540" s="26"/>
      <c r="D1540" s="26"/>
      <c r="F1540" s="85" t="str">
        <f t="shared" si="0"/>
        <v/>
      </c>
      <c r="G1540" s="1" t="e">
        <f>IF(VALUE(F1540) = VALUE(RIGHT(Insights!$C$3, 4)), E1540, "")</f>
        <v>#VALUE!</v>
      </c>
      <c r="H1540" s="26" t="e">
        <f t="shared" si="1"/>
        <v>#VALUE!</v>
      </c>
      <c r="I1540" s="1" t="e">
        <f t="shared" si="2"/>
        <v>#VALUE!</v>
      </c>
    </row>
    <row r="1541" spans="1:9" ht="15.75" customHeight="1">
      <c r="A1541" s="26"/>
      <c r="B1541" s="2"/>
      <c r="C1541" s="26"/>
      <c r="D1541" s="26"/>
      <c r="F1541" s="85" t="str">
        <f t="shared" si="0"/>
        <v/>
      </c>
      <c r="G1541" s="1" t="e">
        <f>IF(VALUE(F1541) = VALUE(RIGHT(Insights!$C$3, 4)), E1541, "")</f>
        <v>#VALUE!</v>
      </c>
      <c r="H1541" s="26" t="e">
        <f t="shared" si="1"/>
        <v>#VALUE!</v>
      </c>
      <c r="I1541" s="1" t="e">
        <f t="shared" si="2"/>
        <v>#VALUE!</v>
      </c>
    </row>
    <row r="1542" spans="1:9" ht="15.75" customHeight="1">
      <c r="A1542" s="26"/>
      <c r="B1542" s="2"/>
      <c r="C1542" s="26"/>
      <c r="D1542" s="26"/>
      <c r="F1542" s="85" t="str">
        <f t="shared" si="0"/>
        <v/>
      </c>
      <c r="G1542" s="1" t="e">
        <f>IF(VALUE(F1542) = VALUE(RIGHT(Insights!$C$3, 4)), E1542, "")</f>
        <v>#VALUE!</v>
      </c>
      <c r="H1542" s="26" t="e">
        <f t="shared" si="1"/>
        <v>#VALUE!</v>
      </c>
      <c r="I1542" s="1" t="e">
        <f t="shared" si="2"/>
        <v>#VALUE!</v>
      </c>
    </row>
    <row r="1543" spans="1:9" ht="15.75" customHeight="1">
      <c r="A1543" s="26"/>
      <c r="B1543" s="2"/>
      <c r="C1543" s="26"/>
      <c r="D1543" s="26"/>
      <c r="F1543" s="85" t="str">
        <f t="shared" si="0"/>
        <v/>
      </c>
      <c r="G1543" s="1" t="e">
        <f>IF(VALUE(F1543) = VALUE(RIGHT(Insights!$C$3, 4)), E1543, "")</f>
        <v>#VALUE!</v>
      </c>
      <c r="H1543" s="26" t="e">
        <f t="shared" si="1"/>
        <v>#VALUE!</v>
      </c>
      <c r="I1543" s="1" t="e">
        <f t="shared" si="2"/>
        <v>#VALUE!</v>
      </c>
    </row>
    <row r="1544" spans="1:9" ht="15.75" customHeight="1">
      <c r="A1544" s="26"/>
      <c r="B1544" s="2"/>
      <c r="C1544" s="26"/>
      <c r="D1544" s="26"/>
      <c r="F1544" s="85" t="str">
        <f t="shared" si="0"/>
        <v/>
      </c>
      <c r="G1544" s="1" t="e">
        <f>IF(VALUE(F1544) = VALUE(RIGHT(Insights!$C$3, 4)), E1544, "")</f>
        <v>#VALUE!</v>
      </c>
      <c r="H1544" s="26" t="e">
        <f t="shared" si="1"/>
        <v>#VALUE!</v>
      </c>
      <c r="I1544" s="1" t="e">
        <f t="shared" si="2"/>
        <v>#VALUE!</v>
      </c>
    </row>
    <row r="1545" spans="1:9" ht="15.75" customHeight="1">
      <c r="A1545" s="26"/>
      <c r="B1545" s="2"/>
      <c r="C1545" s="26"/>
      <c r="D1545" s="26"/>
      <c r="F1545" s="85" t="str">
        <f t="shared" si="0"/>
        <v/>
      </c>
      <c r="G1545" s="1" t="e">
        <f>IF(VALUE(F1545) = VALUE(RIGHT(Insights!$C$3, 4)), E1545, "")</f>
        <v>#VALUE!</v>
      </c>
      <c r="H1545" s="26" t="e">
        <f t="shared" si="1"/>
        <v>#VALUE!</v>
      </c>
      <c r="I1545" s="1" t="e">
        <f t="shared" si="2"/>
        <v>#VALUE!</v>
      </c>
    </row>
    <row r="1546" spans="1:9" ht="15.75" customHeight="1">
      <c r="A1546" s="26"/>
      <c r="B1546" s="2"/>
      <c r="C1546" s="26"/>
      <c r="D1546" s="26"/>
      <c r="F1546" s="85" t="str">
        <f t="shared" si="0"/>
        <v/>
      </c>
      <c r="G1546" s="1" t="e">
        <f>IF(VALUE(F1546) = VALUE(RIGHT(Insights!$C$3, 4)), E1546, "")</f>
        <v>#VALUE!</v>
      </c>
      <c r="H1546" s="26" t="e">
        <f t="shared" si="1"/>
        <v>#VALUE!</v>
      </c>
      <c r="I1546" s="1" t="e">
        <f t="shared" si="2"/>
        <v>#VALUE!</v>
      </c>
    </row>
    <row r="1547" spans="1:9" ht="15.75" customHeight="1">
      <c r="A1547" s="26"/>
      <c r="B1547" s="2"/>
      <c r="C1547" s="26"/>
      <c r="D1547" s="26"/>
      <c r="F1547" s="85" t="str">
        <f t="shared" si="0"/>
        <v/>
      </c>
      <c r="G1547" s="1" t="e">
        <f>IF(VALUE(F1547) = VALUE(RIGHT(Insights!$C$3, 4)), E1547, "")</f>
        <v>#VALUE!</v>
      </c>
      <c r="H1547" s="26" t="e">
        <f t="shared" si="1"/>
        <v>#VALUE!</v>
      </c>
      <c r="I1547" s="1" t="e">
        <f t="shared" si="2"/>
        <v>#VALUE!</v>
      </c>
    </row>
    <row r="1548" spans="1:9" ht="15.75" customHeight="1">
      <c r="A1548" s="26"/>
      <c r="B1548" s="2"/>
      <c r="C1548" s="26"/>
      <c r="D1548" s="26"/>
      <c r="F1548" s="85" t="str">
        <f t="shared" si="0"/>
        <v/>
      </c>
      <c r="G1548" s="1" t="e">
        <f>IF(VALUE(F1548) = VALUE(RIGHT(Insights!$C$3, 4)), E1548, "")</f>
        <v>#VALUE!</v>
      </c>
      <c r="H1548" s="26" t="e">
        <f t="shared" si="1"/>
        <v>#VALUE!</v>
      </c>
      <c r="I1548" s="1" t="e">
        <f t="shared" si="2"/>
        <v>#VALUE!</v>
      </c>
    </row>
    <row r="1549" spans="1:9" ht="15.75" customHeight="1">
      <c r="A1549" s="26"/>
      <c r="B1549" s="2"/>
      <c r="C1549" s="26"/>
      <c r="D1549" s="26"/>
      <c r="F1549" s="85" t="str">
        <f t="shared" si="0"/>
        <v/>
      </c>
      <c r="G1549" s="1" t="e">
        <f>IF(VALUE(F1549) = VALUE(RIGHT(Insights!$C$3, 4)), E1549, "")</f>
        <v>#VALUE!</v>
      </c>
      <c r="H1549" s="26" t="e">
        <f t="shared" si="1"/>
        <v>#VALUE!</v>
      </c>
      <c r="I1549" s="1" t="e">
        <f t="shared" si="2"/>
        <v>#VALUE!</v>
      </c>
    </row>
    <row r="1550" spans="1:9" ht="15.75" customHeight="1">
      <c r="A1550" s="26"/>
      <c r="B1550" s="2"/>
      <c r="C1550" s="26"/>
      <c r="D1550" s="26"/>
      <c r="F1550" s="85" t="str">
        <f t="shared" si="0"/>
        <v/>
      </c>
      <c r="G1550" s="1" t="e">
        <f>IF(VALUE(F1550) = VALUE(RIGHT(Insights!$C$3, 4)), E1550, "")</f>
        <v>#VALUE!</v>
      </c>
      <c r="H1550" s="26" t="e">
        <f t="shared" si="1"/>
        <v>#VALUE!</v>
      </c>
      <c r="I1550" s="1" t="e">
        <f t="shared" si="2"/>
        <v>#VALUE!</v>
      </c>
    </row>
    <row r="1551" spans="1:9" ht="15.75" customHeight="1">
      <c r="A1551" s="26"/>
      <c r="B1551" s="2"/>
      <c r="C1551" s="26"/>
      <c r="D1551" s="26"/>
      <c r="F1551" s="85" t="str">
        <f t="shared" si="0"/>
        <v/>
      </c>
      <c r="G1551" s="1" t="e">
        <f>IF(VALUE(F1551) = VALUE(RIGHT(Insights!$C$3, 4)), E1551, "")</f>
        <v>#VALUE!</v>
      </c>
      <c r="H1551" s="26" t="e">
        <f t="shared" si="1"/>
        <v>#VALUE!</v>
      </c>
      <c r="I1551" s="1" t="e">
        <f t="shared" si="2"/>
        <v>#VALUE!</v>
      </c>
    </row>
    <row r="1552" spans="1:9" ht="15.75" customHeight="1">
      <c r="A1552" s="26"/>
      <c r="B1552" s="2"/>
      <c r="C1552" s="26"/>
      <c r="D1552" s="26"/>
      <c r="F1552" s="85" t="str">
        <f t="shared" si="0"/>
        <v/>
      </c>
      <c r="G1552" s="1" t="e">
        <f>IF(VALUE(F1552) = VALUE(RIGHT(Insights!$C$3, 4)), E1552, "")</f>
        <v>#VALUE!</v>
      </c>
      <c r="H1552" s="26" t="e">
        <f t="shared" si="1"/>
        <v>#VALUE!</v>
      </c>
      <c r="I1552" s="1" t="e">
        <f t="shared" si="2"/>
        <v>#VALUE!</v>
      </c>
    </row>
    <row r="1553" spans="1:9" ht="15.75" customHeight="1">
      <c r="A1553" s="26"/>
      <c r="B1553" s="2"/>
      <c r="C1553" s="26"/>
      <c r="D1553" s="26"/>
      <c r="F1553" s="85" t="str">
        <f t="shared" si="0"/>
        <v/>
      </c>
      <c r="G1553" s="1" t="e">
        <f>IF(VALUE(F1553) = VALUE(RIGHT(Insights!$C$3, 4)), E1553, "")</f>
        <v>#VALUE!</v>
      </c>
      <c r="H1553" s="26" t="e">
        <f t="shared" si="1"/>
        <v>#VALUE!</v>
      </c>
      <c r="I1553" s="1" t="e">
        <f t="shared" si="2"/>
        <v>#VALUE!</v>
      </c>
    </row>
    <row r="1554" spans="1:9" ht="15.75" customHeight="1">
      <c r="A1554" s="26"/>
      <c r="B1554" s="2"/>
      <c r="C1554" s="26"/>
      <c r="D1554" s="26"/>
      <c r="F1554" s="85" t="str">
        <f t="shared" si="0"/>
        <v/>
      </c>
      <c r="G1554" s="1" t="e">
        <f>IF(VALUE(F1554) = VALUE(RIGHT(Insights!$C$3, 4)), E1554, "")</f>
        <v>#VALUE!</v>
      </c>
      <c r="H1554" s="26" t="e">
        <f t="shared" si="1"/>
        <v>#VALUE!</v>
      </c>
      <c r="I1554" s="1" t="e">
        <f t="shared" si="2"/>
        <v>#VALUE!</v>
      </c>
    </row>
    <row r="1555" spans="1:9" ht="15.75" customHeight="1">
      <c r="A1555" s="26"/>
      <c r="B1555" s="2"/>
      <c r="C1555" s="26"/>
      <c r="D1555" s="26"/>
      <c r="F1555" s="85" t="str">
        <f t="shared" si="0"/>
        <v/>
      </c>
      <c r="G1555" s="1" t="e">
        <f>IF(VALUE(F1555) = VALUE(RIGHT(Insights!$C$3, 4)), E1555, "")</f>
        <v>#VALUE!</v>
      </c>
      <c r="H1555" s="26" t="e">
        <f t="shared" si="1"/>
        <v>#VALUE!</v>
      </c>
      <c r="I1555" s="1" t="e">
        <f t="shared" si="2"/>
        <v>#VALUE!</v>
      </c>
    </row>
    <row r="1556" spans="1:9" ht="15.75" customHeight="1">
      <c r="A1556" s="26"/>
      <c r="B1556" s="2"/>
      <c r="C1556" s="26"/>
      <c r="D1556" s="26"/>
      <c r="F1556" s="85" t="str">
        <f t="shared" si="0"/>
        <v/>
      </c>
      <c r="G1556" s="1" t="e">
        <f>IF(VALUE(F1556) = VALUE(RIGHT(Insights!$C$3, 4)), E1556, "")</f>
        <v>#VALUE!</v>
      </c>
      <c r="H1556" s="26" t="e">
        <f t="shared" si="1"/>
        <v>#VALUE!</v>
      </c>
      <c r="I1556" s="1" t="e">
        <f t="shared" si="2"/>
        <v>#VALUE!</v>
      </c>
    </row>
    <row r="1557" spans="1:9" ht="15.75" customHeight="1">
      <c r="A1557" s="26"/>
      <c r="B1557" s="2"/>
      <c r="C1557" s="26"/>
      <c r="D1557" s="26"/>
      <c r="F1557" s="85" t="str">
        <f t="shared" si="0"/>
        <v/>
      </c>
      <c r="G1557" s="1" t="e">
        <f>IF(VALUE(F1557) = VALUE(RIGHT(Insights!$C$3, 4)), E1557, "")</f>
        <v>#VALUE!</v>
      </c>
      <c r="H1557" s="26" t="e">
        <f t="shared" si="1"/>
        <v>#VALUE!</v>
      </c>
      <c r="I1557" s="1" t="e">
        <f t="shared" si="2"/>
        <v>#VALUE!</v>
      </c>
    </row>
    <row r="1558" spans="1:9" ht="15.75" customHeight="1">
      <c r="A1558" s="26"/>
      <c r="B1558" s="2"/>
      <c r="C1558" s="26"/>
      <c r="D1558" s="26"/>
      <c r="F1558" s="85" t="str">
        <f t="shared" si="0"/>
        <v/>
      </c>
      <c r="G1558" s="1" t="e">
        <f>IF(VALUE(F1558) = VALUE(RIGHT(Insights!$C$3, 4)), E1558, "")</f>
        <v>#VALUE!</v>
      </c>
      <c r="H1558" s="26" t="e">
        <f t="shared" si="1"/>
        <v>#VALUE!</v>
      </c>
      <c r="I1558" s="1" t="e">
        <f t="shared" si="2"/>
        <v>#VALUE!</v>
      </c>
    </row>
    <row r="1559" spans="1:9" ht="15.75" customHeight="1">
      <c r="A1559" s="26"/>
      <c r="B1559" s="2"/>
      <c r="C1559" s="26"/>
      <c r="D1559" s="26"/>
      <c r="F1559" s="85" t="str">
        <f t="shared" si="0"/>
        <v/>
      </c>
      <c r="G1559" s="1" t="e">
        <f>IF(VALUE(F1559) = VALUE(RIGHT(Insights!$C$3, 4)), E1559, "")</f>
        <v>#VALUE!</v>
      </c>
      <c r="H1559" s="26" t="e">
        <f t="shared" si="1"/>
        <v>#VALUE!</v>
      </c>
      <c r="I1559" s="1" t="e">
        <f t="shared" si="2"/>
        <v>#VALUE!</v>
      </c>
    </row>
    <row r="1560" spans="1:9" ht="15.75" customHeight="1">
      <c r="A1560" s="26"/>
      <c r="B1560" s="2"/>
      <c r="C1560" s="26"/>
      <c r="D1560" s="26"/>
      <c r="F1560" s="85" t="str">
        <f t="shared" si="0"/>
        <v/>
      </c>
      <c r="G1560" s="1" t="e">
        <f>IF(VALUE(F1560) = VALUE(RIGHT(Insights!$C$3, 4)), E1560, "")</f>
        <v>#VALUE!</v>
      </c>
      <c r="H1560" s="26" t="e">
        <f t="shared" si="1"/>
        <v>#VALUE!</v>
      </c>
      <c r="I1560" s="1" t="e">
        <f t="shared" si="2"/>
        <v>#VALUE!</v>
      </c>
    </row>
    <row r="1561" spans="1:9" ht="15.75" customHeight="1">
      <c r="A1561" s="26"/>
      <c r="B1561" s="2"/>
      <c r="C1561" s="26"/>
      <c r="D1561" s="26"/>
      <c r="F1561" s="85" t="str">
        <f t="shared" si="0"/>
        <v/>
      </c>
      <c r="G1561" s="1" t="e">
        <f>IF(VALUE(F1561) = VALUE(RIGHT(Insights!$C$3, 4)), E1561, "")</f>
        <v>#VALUE!</v>
      </c>
      <c r="H1561" s="26" t="e">
        <f t="shared" si="1"/>
        <v>#VALUE!</v>
      </c>
      <c r="I1561" s="1" t="e">
        <f t="shared" si="2"/>
        <v>#VALUE!</v>
      </c>
    </row>
    <row r="1562" spans="1:9" ht="15.75" customHeight="1">
      <c r="A1562" s="26"/>
      <c r="B1562" s="2"/>
      <c r="C1562" s="26"/>
      <c r="D1562" s="26"/>
      <c r="F1562" s="85" t="str">
        <f t="shared" si="0"/>
        <v/>
      </c>
      <c r="G1562" s="1" t="e">
        <f>IF(VALUE(F1562) = VALUE(RIGHT(Insights!$C$3, 4)), E1562, "")</f>
        <v>#VALUE!</v>
      </c>
      <c r="H1562" s="26" t="e">
        <f t="shared" si="1"/>
        <v>#VALUE!</v>
      </c>
      <c r="I1562" s="1" t="e">
        <f t="shared" si="2"/>
        <v>#VALUE!</v>
      </c>
    </row>
    <row r="1563" spans="1:9" ht="15.75" customHeight="1">
      <c r="A1563" s="26"/>
      <c r="B1563" s="2"/>
      <c r="C1563" s="26"/>
      <c r="D1563" s="26"/>
      <c r="F1563" s="85" t="str">
        <f t="shared" si="0"/>
        <v/>
      </c>
      <c r="G1563" s="1" t="e">
        <f>IF(VALUE(F1563) = VALUE(RIGHT(Insights!$C$3, 4)), E1563, "")</f>
        <v>#VALUE!</v>
      </c>
      <c r="H1563" s="26" t="e">
        <f t="shared" si="1"/>
        <v>#VALUE!</v>
      </c>
      <c r="I1563" s="1" t="e">
        <f t="shared" si="2"/>
        <v>#VALUE!</v>
      </c>
    </row>
    <row r="1564" spans="1:9" ht="15.75" customHeight="1">
      <c r="A1564" s="26"/>
      <c r="B1564" s="2"/>
      <c r="C1564" s="26"/>
      <c r="D1564" s="26"/>
      <c r="F1564" s="85" t="str">
        <f t="shared" si="0"/>
        <v/>
      </c>
      <c r="G1564" s="1" t="e">
        <f>IF(VALUE(F1564) = VALUE(RIGHT(Insights!$C$3, 4)), E1564, "")</f>
        <v>#VALUE!</v>
      </c>
      <c r="H1564" s="26" t="e">
        <f t="shared" si="1"/>
        <v>#VALUE!</v>
      </c>
      <c r="I1564" s="1" t="e">
        <f t="shared" si="2"/>
        <v>#VALUE!</v>
      </c>
    </row>
    <row r="1565" spans="1:9" ht="15.75" customHeight="1">
      <c r="A1565" s="26"/>
      <c r="B1565" s="2"/>
      <c r="C1565" s="26"/>
      <c r="D1565" s="26"/>
      <c r="F1565" s="85" t="str">
        <f t="shared" si="0"/>
        <v/>
      </c>
      <c r="G1565" s="1" t="e">
        <f>IF(VALUE(F1565) = VALUE(RIGHT(Insights!$C$3, 4)), E1565, "")</f>
        <v>#VALUE!</v>
      </c>
      <c r="H1565" s="26" t="e">
        <f t="shared" si="1"/>
        <v>#VALUE!</v>
      </c>
      <c r="I1565" s="1" t="e">
        <f t="shared" si="2"/>
        <v>#VALUE!</v>
      </c>
    </row>
    <row r="1566" spans="1:9" ht="15.75" customHeight="1">
      <c r="A1566" s="26"/>
      <c r="B1566" s="2"/>
      <c r="C1566" s="26"/>
      <c r="D1566" s="26"/>
      <c r="F1566" s="85" t="str">
        <f t="shared" si="0"/>
        <v/>
      </c>
      <c r="G1566" s="1" t="e">
        <f>IF(VALUE(F1566) = VALUE(RIGHT(Insights!$C$3, 4)), E1566, "")</f>
        <v>#VALUE!</v>
      </c>
      <c r="H1566" s="26" t="e">
        <f t="shared" si="1"/>
        <v>#VALUE!</v>
      </c>
      <c r="I1566" s="1" t="e">
        <f t="shared" si="2"/>
        <v>#VALUE!</v>
      </c>
    </row>
    <row r="1567" spans="1:9" ht="15.75" customHeight="1">
      <c r="A1567" s="26"/>
      <c r="B1567" s="2"/>
      <c r="C1567" s="26"/>
      <c r="D1567" s="26"/>
      <c r="F1567" s="85" t="str">
        <f t="shared" si="0"/>
        <v/>
      </c>
      <c r="G1567" s="1" t="e">
        <f>IF(VALUE(F1567) = VALUE(RIGHT(Insights!$C$3, 4)), E1567, "")</f>
        <v>#VALUE!</v>
      </c>
      <c r="H1567" s="26" t="e">
        <f t="shared" si="1"/>
        <v>#VALUE!</v>
      </c>
      <c r="I1567" s="1" t="e">
        <f t="shared" si="2"/>
        <v>#VALUE!</v>
      </c>
    </row>
    <row r="1568" spans="1:9" ht="15.75" customHeight="1">
      <c r="A1568" s="26"/>
      <c r="B1568" s="2"/>
      <c r="C1568" s="26"/>
      <c r="D1568" s="26"/>
      <c r="F1568" s="85" t="str">
        <f t="shared" si="0"/>
        <v/>
      </c>
      <c r="G1568" s="1" t="e">
        <f>IF(VALUE(F1568) = VALUE(RIGHT(Insights!$C$3, 4)), E1568, "")</f>
        <v>#VALUE!</v>
      </c>
      <c r="H1568" s="26" t="e">
        <f t="shared" si="1"/>
        <v>#VALUE!</v>
      </c>
      <c r="I1568" s="1" t="e">
        <f t="shared" si="2"/>
        <v>#VALUE!</v>
      </c>
    </row>
    <row r="1569" spans="1:9" ht="15.75" customHeight="1">
      <c r="A1569" s="26"/>
      <c r="B1569" s="2"/>
      <c r="C1569" s="26"/>
      <c r="D1569" s="26"/>
      <c r="F1569" s="85" t="str">
        <f t="shared" si="0"/>
        <v/>
      </c>
      <c r="G1569" s="1" t="e">
        <f>IF(VALUE(F1569) = VALUE(RIGHT(Insights!$C$3, 4)), E1569, "")</f>
        <v>#VALUE!</v>
      </c>
      <c r="H1569" s="26" t="e">
        <f t="shared" si="1"/>
        <v>#VALUE!</v>
      </c>
      <c r="I1569" s="1" t="e">
        <f t="shared" si="2"/>
        <v>#VALUE!</v>
      </c>
    </row>
    <row r="1570" spans="1:9" ht="15.75" customHeight="1">
      <c r="A1570" s="26"/>
      <c r="B1570" s="2"/>
      <c r="C1570" s="26"/>
      <c r="D1570" s="26"/>
      <c r="F1570" s="85" t="str">
        <f t="shared" si="0"/>
        <v/>
      </c>
      <c r="G1570" s="1" t="e">
        <f>IF(VALUE(F1570) = VALUE(RIGHT(Insights!$C$3, 4)), E1570, "")</f>
        <v>#VALUE!</v>
      </c>
      <c r="H1570" s="26" t="e">
        <f t="shared" si="1"/>
        <v>#VALUE!</v>
      </c>
      <c r="I1570" s="1" t="e">
        <f t="shared" si="2"/>
        <v>#VALUE!</v>
      </c>
    </row>
    <row r="1571" spans="1:9" ht="15.75" customHeight="1">
      <c r="A1571" s="26"/>
      <c r="B1571" s="2"/>
      <c r="C1571" s="26"/>
      <c r="D1571" s="26"/>
      <c r="F1571" s="85" t="str">
        <f t="shared" si="0"/>
        <v/>
      </c>
      <c r="G1571" s="1" t="e">
        <f>IF(VALUE(F1571) = VALUE(RIGHT(Insights!$C$3, 4)), E1571, "")</f>
        <v>#VALUE!</v>
      </c>
      <c r="H1571" s="26" t="e">
        <f t="shared" si="1"/>
        <v>#VALUE!</v>
      </c>
      <c r="I1571" s="1" t="e">
        <f t="shared" si="2"/>
        <v>#VALUE!</v>
      </c>
    </row>
    <row r="1572" spans="1:9" ht="15.75" customHeight="1">
      <c r="A1572" s="26"/>
      <c r="B1572" s="2"/>
      <c r="C1572" s="26"/>
      <c r="D1572" s="26"/>
      <c r="F1572" s="85" t="str">
        <f t="shared" si="0"/>
        <v/>
      </c>
      <c r="G1572" s="1" t="e">
        <f>IF(VALUE(F1572) = VALUE(RIGHT(Insights!$C$3, 4)), E1572, "")</f>
        <v>#VALUE!</v>
      </c>
      <c r="H1572" s="26" t="e">
        <f t="shared" si="1"/>
        <v>#VALUE!</v>
      </c>
      <c r="I1572" s="1" t="e">
        <f t="shared" si="2"/>
        <v>#VALUE!</v>
      </c>
    </row>
    <row r="1573" spans="1:9" ht="15.75" customHeight="1">
      <c r="A1573" s="26"/>
      <c r="B1573" s="2"/>
      <c r="C1573" s="26"/>
      <c r="D1573" s="26"/>
      <c r="F1573" s="85" t="str">
        <f t="shared" si="0"/>
        <v/>
      </c>
      <c r="G1573" s="1" t="e">
        <f>IF(VALUE(F1573) = VALUE(RIGHT(Insights!$C$3, 4)), E1573, "")</f>
        <v>#VALUE!</v>
      </c>
      <c r="H1573" s="26" t="e">
        <f t="shared" si="1"/>
        <v>#VALUE!</v>
      </c>
      <c r="I1573" s="1" t="e">
        <f t="shared" si="2"/>
        <v>#VALUE!</v>
      </c>
    </row>
    <row r="1574" spans="1:9" ht="15.75" customHeight="1">
      <c r="A1574" s="26"/>
      <c r="B1574" s="2"/>
      <c r="C1574" s="26"/>
      <c r="D1574" s="26"/>
      <c r="F1574" s="85" t="str">
        <f t="shared" si="0"/>
        <v/>
      </c>
      <c r="G1574" s="1" t="e">
        <f>IF(VALUE(F1574) = VALUE(RIGHT(Insights!$C$3, 4)), E1574, "")</f>
        <v>#VALUE!</v>
      </c>
      <c r="H1574" s="26" t="e">
        <f t="shared" si="1"/>
        <v>#VALUE!</v>
      </c>
      <c r="I1574" s="1" t="e">
        <f t="shared" si="2"/>
        <v>#VALUE!</v>
      </c>
    </row>
    <row r="1575" spans="1:9" ht="15.75" customHeight="1">
      <c r="A1575" s="26"/>
      <c r="B1575" s="2"/>
      <c r="C1575" s="26"/>
      <c r="D1575" s="26"/>
      <c r="F1575" s="85" t="str">
        <f t="shared" si="0"/>
        <v/>
      </c>
      <c r="G1575" s="1" t="e">
        <f>IF(VALUE(F1575) = VALUE(RIGHT(Insights!$C$3, 4)), E1575, "")</f>
        <v>#VALUE!</v>
      </c>
      <c r="H1575" s="26" t="e">
        <f t="shared" si="1"/>
        <v>#VALUE!</v>
      </c>
      <c r="I1575" s="1" t="e">
        <f t="shared" si="2"/>
        <v>#VALUE!</v>
      </c>
    </row>
    <row r="1576" spans="1:9" ht="15.75" customHeight="1">
      <c r="A1576" s="26"/>
      <c r="B1576" s="2"/>
      <c r="C1576" s="26"/>
      <c r="D1576" s="26"/>
      <c r="F1576" s="85" t="str">
        <f t="shared" si="0"/>
        <v/>
      </c>
      <c r="G1576" s="1" t="e">
        <f>IF(VALUE(F1576) = VALUE(RIGHT(Insights!$C$3, 4)), E1576, "")</f>
        <v>#VALUE!</v>
      </c>
      <c r="H1576" s="26" t="e">
        <f t="shared" si="1"/>
        <v>#VALUE!</v>
      </c>
      <c r="I1576" s="1" t="e">
        <f t="shared" si="2"/>
        <v>#VALUE!</v>
      </c>
    </row>
    <row r="1577" spans="1:9" ht="15.75" customHeight="1">
      <c r="A1577" s="26"/>
      <c r="B1577" s="2"/>
      <c r="C1577" s="26"/>
      <c r="D1577" s="26"/>
      <c r="F1577" s="85" t="str">
        <f t="shared" si="0"/>
        <v/>
      </c>
      <c r="G1577" s="1" t="e">
        <f>IF(VALUE(F1577) = VALUE(RIGHT(Insights!$C$3, 4)), E1577, "")</f>
        <v>#VALUE!</v>
      </c>
      <c r="H1577" s="26" t="e">
        <f t="shared" si="1"/>
        <v>#VALUE!</v>
      </c>
      <c r="I1577" s="1" t="e">
        <f t="shared" si="2"/>
        <v>#VALUE!</v>
      </c>
    </row>
    <row r="1578" spans="1:9" ht="15.75" customHeight="1">
      <c r="A1578" s="26"/>
      <c r="B1578" s="2"/>
      <c r="C1578" s="26"/>
      <c r="D1578" s="26"/>
      <c r="F1578" s="85" t="str">
        <f t="shared" si="0"/>
        <v/>
      </c>
      <c r="G1578" s="1" t="e">
        <f>IF(VALUE(F1578) = VALUE(RIGHT(Insights!$C$3, 4)), E1578, "")</f>
        <v>#VALUE!</v>
      </c>
      <c r="H1578" s="26" t="e">
        <f t="shared" si="1"/>
        <v>#VALUE!</v>
      </c>
      <c r="I1578" s="1" t="e">
        <f t="shared" si="2"/>
        <v>#VALUE!</v>
      </c>
    </row>
    <row r="1579" spans="1:9" ht="15.75" customHeight="1">
      <c r="A1579" s="26"/>
      <c r="B1579" s="2"/>
      <c r="C1579" s="26"/>
      <c r="D1579" s="26"/>
      <c r="F1579" s="85" t="str">
        <f t="shared" si="0"/>
        <v/>
      </c>
      <c r="G1579" s="1" t="e">
        <f>IF(VALUE(F1579) = VALUE(RIGHT(Insights!$C$3, 4)), E1579, "")</f>
        <v>#VALUE!</v>
      </c>
      <c r="H1579" s="26" t="e">
        <f t="shared" si="1"/>
        <v>#VALUE!</v>
      </c>
      <c r="I1579" s="1" t="e">
        <f t="shared" si="2"/>
        <v>#VALUE!</v>
      </c>
    </row>
    <row r="1580" spans="1:9" ht="15.75" customHeight="1">
      <c r="A1580" s="26"/>
      <c r="B1580" s="2"/>
      <c r="C1580" s="26"/>
      <c r="D1580" s="26"/>
      <c r="F1580" s="85" t="str">
        <f t="shared" si="0"/>
        <v/>
      </c>
      <c r="G1580" s="1" t="e">
        <f>IF(VALUE(F1580) = VALUE(RIGHT(Insights!$C$3, 4)), E1580, "")</f>
        <v>#VALUE!</v>
      </c>
      <c r="H1580" s="26" t="e">
        <f t="shared" si="1"/>
        <v>#VALUE!</v>
      </c>
      <c r="I1580" s="1" t="e">
        <f t="shared" si="2"/>
        <v>#VALUE!</v>
      </c>
    </row>
    <row r="1581" spans="1:9" ht="15.75" customHeight="1">
      <c r="A1581" s="26"/>
      <c r="B1581" s="2"/>
      <c r="C1581" s="26"/>
      <c r="D1581" s="26"/>
      <c r="F1581" s="85" t="str">
        <f t="shared" si="0"/>
        <v/>
      </c>
      <c r="G1581" s="1" t="e">
        <f>IF(VALUE(F1581) = VALUE(RIGHT(Insights!$C$3, 4)), E1581, "")</f>
        <v>#VALUE!</v>
      </c>
      <c r="H1581" s="26" t="e">
        <f t="shared" si="1"/>
        <v>#VALUE!</v>
      </c>
      <c r="I1581" s="1" t="e">
        <f t="shared" si="2"/>
        <v>#VALUE!</v>
      </c>
    </row>
    <row r="1582" spans="1:9" ht="15.75" customHeight="1">
      <c r="A1582" s="26"/>
      <c r="B1582" s="2"/>
      <c r="C1582" s="26"/>
      <c r="D1582" s="26"/>
      <c r="F1582" s="85" t="str">
        <f t="shared" si="0"/>
        <v/>
      </c>
      <c r="G1582" s="1" t="e">
        <f>IF(VALUE(F1582) = VALUE(RIGHT(Insights!$C$3, 4)), E1582, "")</f>
        <v>#VALUE!</v>
      </c>
      <c r="H1582" s="26" t="e">
        <f t="shared" si="1"/>
        <v>#VALUE!</v>
      </c>
      <c r="I1582" s="1" t="e">
        <f t="shared" si="2"/>
        <v>#VALUE!</v>
      </c>
    </row>
    <row r="1583" spans="1:9" ht="15.75" customHeight="1">
      <c r="A1583" s="26"/>
      <c r="B1583" s="2"/>
      <c r="C1583" s="26"/>
      <c r="D1583" s="26"/>
      <c r="F1583" s="85" t="str">
        <f t="shared" si="0"/>
        <v/>
      </c>
      <c r="G1583" s="1" t="e">
        <f>IF(VALUE(F1583) = VALUE(RIGHT(Insights!$C$3, 4)), E1583, "")</f>
        <v>#VALUE!</v>
      </c>
      <c r="H1583" s="26" t="e">
        <f t="shared" si="1"/>
        <v>#VALUE!</v>
      </c>
      <c r="I1583" s="1" t="e">
        <f t="shared" si="2"/>
        <v>#VALUE!</v>
      </c>
    </row>
    <row r="1584" spans="1:9" ht="15.75" customHeight="1">
      <c r="A1584" s="26"/>
      <c r="B1584" s="2"/>
      <c r="C1584" s="26"/>
      <c r="D1584" s="26"/>
      <c r="F1584" s="85" t="str">
        <f t="shared" si="0"/>
        <v/>
      </c>
      <c r="G1584" s="1" t="e">
        <f>IF(VALUE(F1584) = VALUE(RIGHT(Insights!$C$3, 4)), E1584, "")</f>
        <v>#VALUE!</v>
      </c>
      <c r="H1584" s="26" t="e">
        <f t="shared" si="1"/>
        <v>#VALUE!</v>
      </c>
      <c r="I1584" s="1" t="e">
        <f t="shared" si="2"/>
        <v>#VALUE!</v>
      </c>
    </row>
    <row r="1585" spans="1:9" ht="15.75" customHeight="1">
      <c r="A1585" s="26"/>
      <c r="B1585" s="2"/>
      <c r="C1585" s="26"/>
      <c r="D1585" s="26"/>
      <c r="F1585" s="85" t="str">
        <f t="shared" si="0"/>
        <v/>
      </c>
      <c r="G1585" s="1" t="e">
        <f>IF(VALUE(F1585) = VALUE(RIGHT(Insights!$C$3, 4)), E1585, "")</f>
        <v>#VALUE!</v>
      </c>
      <c r="H1585" s="26" t="e">
        <f t="shared" si="1"/>
        <v>#VALUE!</v>
      </c>
      <c r="I1585" s="1" t="e">
        <f t="shared" si="2"/>
        <v>#VALUE!</v>
      </c>
    </row>
    <row r="1586" spans="1:9" ht="15.75" customHeight="1">
      <c r="A1586" s="26"/>
      <c r="B1586" s="2"/>
      <c r="C1586" s="26"/>
      <c r="D1586" s="26"/>
      <c r="F1586" s="85" t="str">
        <f t="shared" si="0"/>
        <v/>
      </c>
      <c r="G1586" s="1" t="e">
        <f>IF(VALUE(F1586) = VALUE(RIGHT(Insights!$C$3, 4)), E1586, "")</f>
        <v>#VALUE!</v>
      </c>
      <c r="H1586" s="26" t="e">
        <f t="shared" si="1"/>
        <v>#VALUE!</v>
      </c>
      <c r="I1586" s="1" t="e">
        <f t="shared" si="2"/>
        <v>#VALUE!</v>
      </c>
    </row>
    <row r="1587" spans="1:9" ht="15.75" customHeight="1">
      <c r="A1587" s="26"/>
      <c r="B1587" s="2"/>
      <c r="C1587" s="26"/>
      <c r="D1587" s="26"/>
      <c r="F1587" s="85" t="str">
        <f t="shared" si="0"/>
        <v/>
      </c>
      <c r="G1587" s="1" t="e">
        <f>IF(VALUE(F1587) = VALUE(RIGHT(Insights!$C$3, 4)), E1587, "")</f>
        <v>#VALUE!</v>
      </c>
      <c r="H1587" s="26" t="e">
        <f t="shared" si="1"/>
        <v>#VALUE!</v>
      </c>
      <c r="I1587" s="1" t="e">
        <f t="shared" si="2"/>
        <v>#VALUE!</v>
      </c>
    </row>
    <row r="1588" spans="1:9" ht="15.75" customHeight="1">
      <c r="A1588" s="26"/>
      <c r="B1588" s="2"/>
      <c r="C1588" s="26"/>
      <c r="D1588" s="26"/>
      <c r="F1588" s="85" t="str">
        <f t="shared" si="0"/>
        <v/>
      </c>
      <c r="G1588" s="1" t="e">
        <f>IF(VALUE(F1588) = VALUE(RIGHT(Insights!$C$3, 4)), E1588, "")</f>
        <v>#VALUE!</v>
      </c>
      <c r="H1588" s="26" t="e">
        <f t="shared" si="1"/>
        <v>#VALUE!</v>
      </c>
      <c r="I1588" s="1" t="e">
        <f t="shared" si="2"/>
        <v>#VALUE!</v>
      </c>
    </row>
    <row r="1589" spans="1:9" ht="15.75" customHeight="1">
      <c r="A1589" s="26"/>
      <c r="B1589" s="2"/>
      <c r="C1589" s="26"/>
      <c r="D1589" s="26"/>
      <c r="F1589" s="85" t="str">
        <f t="shared" si="0"/>
        <v/>
      </c>
      <c r="G1589" s="1" t="e">
        <f>IF(VALUE(F1589) = VALUE(RIGHT(Insights!$C$3, 4)), E1589, "")</f>
        <v>#VALUE!</v>
      </c>
      <c r="H1589" s="26" t="e">
        <f t="shared" si="1"/>
        <v>#VALUE!</v>
      </c>
      <c r="I1589" s="1" t="e">
        <f t="shared" si="2"/>
        <v>#VALUE!</v>
      </c>
    </row>
    <row r="1590" spans="1:9" ht="15.75" customHeight="1">
      <c r="A1590" s="26"/>
      <c r="B1590" s="2"/>
      <c r="C1590" s="26"/>
      <c r="D1590" s="26"/>
      <c r="F1590" s="85" t="str">
        <f t="shared" si="0"/>
        <v/>
      </c>
      <c r="G1590" s="1" t="e">
        <f>IF(VALUE(F1590) = VALUE(RIGHT(Insights!$C$3, 4)), E1590, "")</f>
        <v>#VALUE!</v>
      </c>
      <c r="H1590" s="26" t="e">
        <f t="shared" si="1"/>
        <v>#VALUE!</v>
      </c>
      <c r="I1590" s="1" t="e">
        <f t="shared" si="2"/>
        <v>#VALUE!</v>
      </c>
    </row>
    <row r="1591" spans="1:9" ht="15.75" customHeight="1">
      <c r="A1591" s="26"/>
      <c r="B1591" s="2"/>
      <c r="C1591" s="26"/>
      <c r="D1591" s="26"/>
      <c r="F1591" s="85" t="str">
        <f t="shared" si="0"/>
        <v/>
      </c>
      <c r="G1591" s="1" t="e">
        <f>IF(VALUE(F1591) = VALUE(RIGHT(Insights!$C$3, 4)), E1591, "")</f>
        <v>#VALUE!</v>
      </c>
      <c r="H1591" s="26" t="e">
        <f t="shared" si="1"/>
        <v>#VALUE!</v>
      </c>
      <c r="I1591" s="1" t="e">
        <f t="shared" si="2"/>
        <v>#VALUE!</v>
      </c>
    </row>
    <row r="1592" spans="1:9" ht="15.75" customHeight="1">
      <c r="A1592" s="26"/>
      <c r="B1592" s="2"/>
      <c r="C1592" s="26"/>
      <c r="D1592" s="26"/>
      <c r="F1592" s="85" t="str">
        <f t="shared" si="0"/>
        <v/>
      </c>
      <c r="G1592" s="1" t="e">
        <f>IF(VALUE(F1592) = VALUE(RIGHT(Insights!$C$3, 4)), E1592, "")</f>
        <v>#VALUE!</v>
      </c>
      <c r="H1592" s="26" t="e">
        <f t="shared" si="1"/>
        <v>#VALUE!</v>
      </c>
      <c r="I1592" s="1" t="e">
        <f t="shared" si="2"/>
        <v>#VALUE!</v>
      </c>
    </row>
    <row r="1593" spans="1:9" ht="15.75" customHeight="1">
      <c r="A1593" s="26"/>
      <c r="B1593" s="2"/>
      <c r="C1593" s="26"/>
      <c r="D1593" s="26"/>
      <c r="F1593" s="85" t="str">
        <f t="shared" si="0"/>
        <v/>
      </c>
      <c r="G1593" s="1" t="e">
        <f>IF(VALUE(F1593) = VALUE(RIGHT(Insights!$C$3, 4)), E1593, "")</f>
        <v>#VALUE!</v>
      </c>
      <c r="H1593" s="26" t="e">
        <f t="shared" si="1"/>
        <v>#VALUE!</v>
      </c>
      <c r="I1593" s="1" t="e">
        <f t="shared" si="2"/>
        <v>#VALUE!</v>
      </c>
    </row>
    <row r="1594" spans="1:9" ht="15.75" customHeight="1">
      <c r="A1594" s="26"/>
      <c r="B1594" s="2"/>
      <c r="C1594" s="26"/>
      <c r="D1594" s="26"/>
      <c r="F1594" s="85" t="str">
        <f t="shared" si="0"/>
        <v/>
      </c>
      <c r="G1594" s="1" t="e">
        <f>IF(VALUE(F1594) = VALUE(RIGHT(Insights!$C$3, 4)), E1594, "")</f>
        <v>#VALUE!</v>
      </c>
      <c r="H1594" s="26" t="e">
        <f t="shared" si="1"/>
        <v>#VALUE!</v>
      </c>
      <c r="I1594" s="1" t="e">
        <f t="shared" si="2"/>
        <v>#VALUE!</v>
      </c>
    </row>
    <row r="1595" spans="1:9" ht="15.75" customHeight="1">
      <c r="A1595" s="26"/>
      <c r="B1595" s="2"/>
      <c r="C1595" s="26"/>
      <c r="D1595" s="26"/>
      <c r="F1595" s="85" t="str">
        <f t="shared" si="0"/>
        <v/>
      </c>
      <c r="G1595" s="1" t="e">
        <f>IF(VALUE(F1595) = VALUE(RIGHT(Insights!$C$3, 4)), E1595, "")</f>
        <v>#VALUE!</v>
      </c>
      <c r="H1595" s="26" t="e">
        <f t="shared" si="1"/>
        <v>#VALUE!</v>
      </c>
      <c r="I1595" s="1" t="e">
        <f t="shared" si="2"/>
        <v>#VALUE!</v>
      </c>
    </row>
    <row r="1596" spans="1:9" ht="15.75" customHeight="1">
      <c r="A1596" s="26"/>
      <c r="B1596" s="2"/>
      <c r="C1596" s="26"/>
      <c r="D1596" s="26"/>
      <c r="F1596" s="85" t="str">
        <f t="shared" si="0"/>
        <v/>
      </c>
      <c r="G1596" s="1" t="e">
        <f>IF(VALUE(F1596) = VALUE(RIGHT(Insights!$C$3, 4)), E1596, "")</f>
        <v>#VALUE!</v>
      </c>
      <c r="H1596" s="26" t="e">
        <f t="shared" si="1"/>
        <v>#VALUE!</v>
      </c>
      <c r="I1596" s="1" t="e">
        <f t="shared" si="2"/>
        <v>#VALUE!</v>
      </c>
    </row>
    <row r="1597" spans="1:9" ht="15.75" customHeight="1">
      <c r="A1597" s="26"/>
      <c r="B1597" s="2"/>
      <c r="C1597" s="26"/>
      <c r="D1597" s="26"/>
      <c r="F1597" s="85" t="str">
        <f t="shared" si="0"/>
        <v/>
      </c>
      <c r="G1597" s="1" t="e">
        <f>IF(VALUE(F1597) = VALUE(RIGHT(Insights!$C$3, 4)), E1597, "")</f>
        <v>#VALUE!</v>
      </c>
      <c r="H1597" s="26" t="e">
        <f t="shared" si="1"/>
        <v>#VALUE!</v>
      </c>
      <c r="I1597" s="1" t="e">
        <f t="shared" si="2"/>
        <v>#VALUE!</v>
      </c>
    </row>
    <row r="1598" spans="1:9" ht="15.75" customHeight="1">
      <c r="A1598" s="26"/>
      <c r="B1598" s="2"/>
      <c r="C1598" s="26"/>
      <c r="D1598" s="26"/>
      <c r="F1598" s="85" t="str">
        <f t="shared" si="0"/>
        <v/>
      </c>
      <c r="G1598" s="1" t="e">
        <f>IF(VALUE(F1598) = VALUE(RIGHT(Insights!$C$3, 4)), E1598, "")</f>
        <v>#VALUE!</v>
      </c>
      <c r="H1598" s="26" t="e">
        <f t="shared" si="1"/>
        <v>#VALUE!</v>
      </c>
      <c r="I1598" s="1" t="e">
        <f t="shared" si="2"/>
        <v>#VALUE!</v>
      </c>
    </row>
    <row r="1599" spans="1:9" ht="15.75" customHeight="1">
      <c r="A1599" s="26"/>
      <c r="B1599" s="2"/>
      <c r="C1599" s="26"/>
      <c r="D1599" s="26"/>
      <c r="F1599" s="85" t="str">
        <f t="shared" si="0"/>
        <v/>
      </c>
      <c r="G1599" s="1" t="e">
        <f>IF(VALUE(F1599) = VALUE(RIGHT(Insights!$C$3, 4)), E1599, "")</f>
        <v>#VALUE!</v>
      </c>
      <c r="H1599" s="26" t="e">
        <f t="shared" si="1"/>
        <v>#VALUE!</v>
      </c>
      <c r="I1599" s="1" t="e">
        <f t="shared" si="2"/>
        <v>#VALUE!</v>
      </c>
    </row>
    <row r="1600" spans="1:9" ht="15.75" customHeight="1">
      <c r="A1600" s="26"/>
      <c r="B1600" s="2"/>
      <c r="C1600" s="26"/>
      <c r="D1600" s="26"/>
      <c r="F1600" s="85" t="str">
        <f t="shared" si="0"/>
        <v/>
      </c>
      <c r="G1600" s="1" t="e">
        <f>IF(VALUE(F1600) = VALUE(RIGHT(Insights!$C$3, 4)), E1600, "")</f>
        <v>#VALUE!</v>
      </c>
      <c r="H1600" s="26" t="e">
        <f t="shared" si="1"/>
        <v>#VALUE!</v>
      </c>
      <c r="I1600" s="1" t="e">
        <f t="shared" si="2"/>
        <v>#VALUE!</v>
      </c>
    </row>
    <row r="1601" spans="1:9" ht="15.75" customHeight="1">
      <c r="A1601" s="26"/>
      <c r="B1601" s="2"/>
      <c r="C1601" s="26"/>
      <c r="D1601" s="26"/>
      <c r="F1601" s="85" t="str">
        <f t="shared" si="0"/>
        <v/>
      </c>
      <c r="G1601" s="1" t="e">
        <f>IF(VALUE(F1601) = VALUE(RIGHT(Insights!$C$3, 4)), E1601, "")</f>
        <v>#VALUE!</v>
      </c>
      <c r="H1601" s="26" t="e">
        <f t="shared" si="1"/>
        <v>#VALUE!</v>
      </c>
      <c r="I1601" s="1" t="e">
        <f t="shared" si="2"/>
        <v>#VALUE!</v>
      </c>
    </row>
    <row r="1602" spans="1:9" ht="15.75" customHeight="1">
      <c r="A1602" s="26"/>
      <c r="B1602" s="2"/>
      <c r="C1602" s="26"/>
      <c r="D1602" s="26"/>
      <c r="F1602" s="85" t="str">
        <f t="shared" si="0"/>
        <v/>
      </c>
      <c r="G1602" s="1" t="e">
        <f>IF(VALUE(F1602) = VALUE(RIGHT(Insights!$C$3, 4)), E1602, "")</f>
        <v>#VALUE!</v>
      </c>
      <c r="H1602" s="26" t="e">
        <f t="shared" si="1"/>
        <v>#VALUE!</v>
      </c>
      <c r="I1602" s="1" t="e">
        <f t="shared" si="2"/>
        <v>#VALUE!</v>
      </c>
    </row>
    <row r="1603" spans="1:9" ht="15.75" customHeight="1">
      <c r="A1603" s="26"/>
      <c r="B1603" s="2"/>
      <c r="C1603" s="26"/>
      <c r="D1603" s="26"/>
      <c r="F1603" s="85" t="str">
        <f t="shared" si="0"/>
        <v/>
      </c>
      <c r="G1603" s="1" t="e">
        <f>IF(VALUE(F1603) = VALUE(RIGHT(Insights!$C$3, 4)), E1603, "")</f>
        <v>#VALUE!</v>
      </c>
      <c r="H1603" s="26" t="e">
        <f t="shared" si="1"/>
        <v>#VALUE!</v>
      </c>
      <c r="I1603" s="1" t="e">
        <f t="shared" si="2"/>
        <v>#VALUE!</v>
      </c>
    </row>
    <row r="1604" spans="1:9" ht="15.75" customHeight="1">
      <c r="A1604" s="26"/>
      <c r="B1604" s="2"/>
      <c r="C1604" s="26"/>
      <c r="D1604" s="26"/>
      <c r="F1604" s="85" t="str">
        <f t="shared" si="0"/>
        <v/>
      </c>
      <c r="G1604" s="1" t="e">
        <f>IF(VALUE(F1604) = VALUE(RIGHT(Insights!$C$3, 4)), E1604, "")</f>
        <v>#VALUE!</v>
      </c>
      <c r="H1604" s="26" t="e">
        <f t="shared" si="1"/>
        <v>#VALUE!</v>
      </c>
      <c r="I1604" s="1" t="e">
        <f t="shared" si="2"/>
        <v>#VALUE!</v>
      </c>
    </row>
    <row r="1605" spans="1:9" ht="15.75" customHeight="1">
      <c r="A1605" s="26"/>
      <c r="B1605" s="2"/>
      <c r="C1605" s="26"/>
      <c r="D1605" s="26"/>
      <c r="F1605" s="85" t="str">
        <f t="shared" si="0"/>
        <v/>
      </c>
      <c r="G1605" s="1" t="e">
        <f>IF(VALUE(F1605) = VALUE(RIGHT(Insights!$C$3, 4)), E1605, "")</f>
        <v>#VALUE!</v>
      </c>
      <c r="H1605" s="26" t="e">
        <f t="shared" si="1"/>
        <v>#VALUE!</v>
      </c>
      <c r="I1605" s="1" t="e">
        <f t="shared" si="2"/>
        <v>#VALUE!</v>
      </c>
    </row>
    <row r="1606" spans="1:9" ht="15.75" customHeight="1">
      <c r="A1606" s="26"/>
      <c r="B1606" s="2"/>
      <c r="C1606" s="26"/>
      <c r="D1606" s="26"/>
      <c r="F1606" s="85" t="str">
        <f t="shared" si="0"/>
        <v/>
      </c>
      <c r="G1606" s="1" t="e">
        <f>IF(VALUE(F1606) = VALUE(RIGHT(Insights!$C$3, 4)), E1606, "")</f>
        <v>#VALUE!</v>
      </c>
      <c r="H1606" s="26" t="e">
        <f t="shared" si="1"/>
        <v>#VALUE!</v>
      </c>
      <c r="I1606" s="1" t="e">
        <f t="shared" si="2"/>
        <v>#VALUE!</v>
      </c>
    </row>
    <row r="1607" spans="1:9" ht="15.75" customHeight="1">
      <c r="A1607" s="26"/>
      <c r="B1607" s="2"/>
      <c r="C1607" s="26"/>
      <c r="D1607" s="26"/>
      <c r="F1607" s="85" t="str">
        <f t="shared" si="0"/>
        <v/>
      </c>
      <c r="G1607" s="1" t="e">
        <f>IF(VALUE(F1607) = VALUE(RIGHT(Insights!$C$3, 4)), E1607, "")</f>
        <v>#VALUE!</v>
      </c>
      <c r="H1607" s="26" t="e">
        <f t="shared" si="1"/>
        <v>#VALUE!</v>
      </c>
      <c r="I1607" s="1" t="e">
        <f t="shared" si="2"/>
        <v>#VALUE!</v>
      </c>
    </row>
    <row r="1608" spans="1:9" ht="15.75" customHeight="1">
      <c r="A1608" s="26"/>
      <c r="B1608" s="2"/>
      <c r="C1608" s="26"/>
      <c r="D1608" s="26"/>
      <c r="F1608" s="85" t="str">
        <f t="shared" si="0"/>
        <v/>
      </c>
      <c r="G1608" s="1" t="e">
        <f>IF(VALUE(F1608) = VALUE(RIGHT(Insights!$C$3, 4)), E1608, "")</f>
        <v>#VALUE!</v>
      </c>
      <c r="H1608" s="26" t="e">
        <f t="shared" si="1"/>
        <v>#VALUE!</v>
      </c>
      <c r="I1608" s="1" t="e">
        <f t="shared" si="2"/>
        <v>#VALUE!</v>
      </c>
    </row>
    <row r="1609" spans="1:9" ht="15.75" customHeight="1">
      <c r="A1609" s="26"/>
      <c r="B1609" s="2"/>
      <c r="C1609" s="26"/>
      <c r="D1609" s="26"/>
      <c r="F1609" s="85" t="str">
        <f t="shared" si="0"/>
        <v/>
      </c>
      <c r="G1609" s="1" t="e">
        <f>IF(VALUE(F1609) = VALUE(RIGHT(Insights!$C$3, 4)), E1609, "")</f>
        <v>#VALUE!</v>
      </c>
      <c r="H1609" s="26" t="e">
        <f t="shared" si="1"/>
        <v>#VALUE!</v>
      </c>
      <c r="I1609" s="1" t="e">
        <f t="shared" si="2"/>
        <v>#VALUE!</v>
      </c>
    </row>
    <row r="1610" spans="1:9" ht="15.75" customHeight="1">
      <c r="A1610" s="26"/>
      <c r="B1610" s="2"/>
      <c r="C1610" s="26"/>
      <c r="D1610" s="26"/>
      <c r="F1610" s="85" t="str">
        <f t="shared" si="0"/>
        <v/>
      </c>
      <c r="G1610" s="1" t="e">
        <f>IF(VALUE(F1610) = VALUE(RIGHT(Insights!$C$3, 4)), E1610, "")</f>
        <v>#VALUE!</v>
      </c>
      <c r="H1610" s="26" t="e">
        <f t="shared" si="1"/>
        <v>#VALUE!</v>
      </c>
      <c r="I1610" s="1" t="e">
        <f t="shared" si="2"/>
        <v>#VALUE!</v>
      </c>
    </row>
    <row r="1611" spans="1:9" ht="15.75" customHeight="1">
      <c r="A1611" s="26"/>
      <c r="B1611" s="2"/>
      <c r="C1611" s="26"/>
      <c r="D1611" s="26"/>
      <c r="F1611" s="85" t="str">
        <f t="shared" si="0"/>
        <v/>
      </c>
      <c r="G1611" s="1" t="e">
        <f>IF(VALUE(F1611) = VALUE(RIGHT(Insights!$C$3, 4)), E1611, "")</f>
        <v>#VALUE!</v>
      </c>
      <c r="H1611" s="26" t="e">
        <f t="shared" si="1"/>
        <v>#VALUE!</v>
      </c>
      <c r="I1611" s="1" t="e">
        <f t="shared" si="2"/>
        <v>#VALUE!</v>
      </c>
    </row>
    <row r="1612" spans="1:9" ht="15.75" customHeight="1">
      <c r="A1612" s="26"/>
      <c r="B1612" s="2"/>
      <c r="C1612" s="26"/>
      <c r="D1612" s="26"/>
      <c r="F1612" s="85" t="str">
        <f t="shared" si="0"/>
        <v/>
      </c>
      <c r="G1612" s="1" t="e">
        <f>IF(VALUE(F1612) = VALUE(RIGHT(Insights!$C$3, 4)), E1612, "")</f>
        <v>#VALUE!</v>
      </c>
      <c r="H1612" s="26" t="e">
        <f t="shared" si="1"/>
        <v>#VALUE!</v>
      </c>
      <c r="I1612" s="1" t="e">
        <f t="shared" si="2"/>
        <v>#VALUE!</v>
      </c>
    </row>
    <row r="1613" spans="1:9" ht="15.75" customHeight="1">
      <c r="A1613" s="26"/>
      <c r="B1613" s="2"/>
      <c r="C1613" s="26"/>
      <c r="D1613" s="26"/>
      <c r="F1613" s="85" t="str">
        <f t="shared" si="0"/>
        <v/>
      </c>
      <c r="G1613" s="1" t="e">
        <f>IF(VALUE(F1613) = VALUE(RIGHT(Insights!$C$3, 4)), E1613, "")</f>
        <v>#VALUE!</v>
      </c>
      <c r="H1613" s="26" t="e">
        <f t="shared" si="1"/>
        <v>#VALUE!</v>
      </c>
      <c r="I1613" s="1" t="e">
        <f t="shared" si="2"/>
        <v>#VALUE!</v>
      </c>
    </row>
    <row r="1614" spans="1:9" ht="15.75" customHeight="1">
      <c r="A1614" s="26"/>
      <c r="B1614" s="2"/>
      <c r="C1614" s="26"/>
      <c r="D1614" s="26"/>
      <c r="F1614" s="85" t="str">
        <f t="shared" si="0"/>
        <v/>
      </c>
      <c r="G1614" s="1" t="e">
        <f>IF(VALUE(F1614) = VALUE(RIGHT(Insights!$C$3, 4)), E1614, "")</f>
        <v>#VALUE!</v>
      </c>
      <c r="H1614" s="26" t="e">
        <f t="shared" si="1"/>
        <v>#VALUE!</v>
      </c>
      <c r="I1614" s="1" t="e">
        <f t="shared" si="2"/>
        <v>#VALUE!</v>
      </c>
    </row>
    <row r="1615" spans="1:9" ht="15.75" customHeight="1">
      <c r="A1615" s="26"/>
      <c r="B1615" s="2"/>
      <c r="C1615" s="26"/>
      <c r="D1615" s="26"/>
      <c r="F1615" s="85" t="str">
        <f t="shared" si="0"/>
        <v/>
      </c>
      <c r="G1615" s="1" t="e">
        <f>IF(VALUE(F1615) = VALUE(RIGHT(Insights!$C$3, 4)), E1615, "")</f>
        <v>#VALUE!</v>
      </c>
      <c r="H1615" s="26" t="e">
        <f t="shared" si="1"/>
        <v>#VALUE!</v>
      </c>
      <c r="I1615" s="1" t="e">
        <f t="shared" si="2"/>
        <v>#VALUE!</v>
      </c>
    </row>
    <row r="1616" spans="1:9" ht="15.75" customHeight="1">
      <c r="A1616" s="26"/>
      <c r="B1616" s="2"/>
      <c r="C1616" s="26"/>
      <c r="D1616" s="26"/>
      <c r="F1616" s="85" t="str">
        <f t="shared" si="0"/>
        <v/>
      </c>
      <c r="G1616" s="1" t="e">
        <f>IF(VALUE(F1616) = VALUE(RIGHT(Insights!$C$3, 4)), E1616, "")</f>
        <v>#VALUE!</v>
      </c>
      <c r="H1616" s="26" t="e">
        <f t="shared" si="1"/>
        <v>#VALUE!</v>
      </c>
      <c r="I1616" s="1" t="e">
        <f t="shared" si="2"/>
        <v>#VALUE!</v>
      </c>
    </row>
    <row r="1617" spans="1:9" ht="15.75" customHeight="1">
      <c r="A1617" s="26"/>
      <c r="B1617" s="2"/>
      <c r="C1617" s="26"/>
      <c r="D1617" s="26"/>
      <c r="F1617" s="85" t="str">
        <f t="shared" si="0"/>
        <v/>
      </c>
      <c r="G1617" s="1" t="e">
        <f>IF(VALUE(F1617) = VALUE(RIGHT(Insights!$C$3, 4)), E1617, "")</f>
        <v>#VALUE!</v>
      </c>
      <c r="H1617" s="26" t="e">
        <f t="shared" si="1"/>
        <v>#VALUE!</v>
      </c>
      <c r="I1617" s="1" t="e">
        <f t="shared" si="2"/>
        <v>#VALUE!</v>
      </c>
    </row>
    <row r="1618" spans="1:9" ht="15.75" customHeight="1">
      <c r="A1618" s="26"/>
      <c r="B1618" s="2"/>
      <c r="C1618" s="26"/>
      <c r="D1618" s="26"/>
      <c r="F1618" s="85" t="str">
        <f t="shared" si="0"/>
        <v/>
      </c>
      <c r="G1618" s="1" t="e">
        <f>IF(VALUE(F1618) = VALUE(RIGHT(Insights!$C$3, 4)), E1618, "")</f>
        <v>#VALUE!</v>
      </c>
      <c r="H1618" s="26" t="e">
        <f t="shared" si="1"/>
        <v>#VALUE!</v>
      </c>
      <c r="I1618" s="1" t="e">
        <f t="shared" si="2"/>
        <v>#VALUE!</v>
      </c>
    </row>
    <row r="1619" spans="1:9" ht="15.75" customHeight="1">
      <c r="A1619" s="26"/>
      <c r="B1619" s="2"/>
      <c r="C1619" s="26"/>
      <c r="D1619" s="26"/>
      <c r="F1619" s="85" t="str">
        <f t="shared" si="0"/>
        <v/>
      </c>
      <c r="G1619" s="1" t="e">
        <f>IF(VALUE(F1619) = VALUE(RIGHT(Insights!$C$3, 4)), E1619, "")</f>
        <v>#VALUE!</v>
      </c>
      <c r="H1619" s="26" t="e">
        <f t="shared" si="1"/>
        <v>#VALUE!</v>
      </c>
      <c r="I1619" s="1" t="e">
        <f t="shared" si="2"/>
        <v>#VALUE!</v>
      </c>
    </row>
    <row r="1620" spans="1:9" ht="15.75" customHeight="1">
      <c r="A1620" s="26"/>
      <c r="B1620" s="2"/>
      <c r="C1620" s="26"/>
      <c r="D1620" s="26"/>
      <c r="F1620" s="85" t="str">
        <f t="shared" si="0"/>
        <v/>
      </c>
      <c r="G1620" s="1" t="e">
        <f>IF(VALUE(F1620) = VALUE(RIGHT(Insights!$C$3, 4)), E1620, "")</f>
        <v>#VALUE!</v>
      </c>
      <c r="H1620" s="26" t="e">
        <f t="shared" si="1"/>
        <v>#VALUE!</v>
      </c>
      <c r="I1620" s="1" t="e">
        <f t="shared" si="2"/>
        <v>#VALUE!</v>
      </c>
    </row>
    <row r="1621" spans="1:9" ht="15.75" customHeight="1">
      <c r="A1621" s="26"/>
      <c r="B1621" s="2"/>
      <c r="C1621" s="26"/>
      <c r="D1621" s="26"/>
      <c r="F1621" s="85" t="str">
        <f t="shared" si="0"/>
        <v/>
      </c>
      <c r="G1621" s="1" t="e">
        <f>IF(VALUE(F1621) = VALUE(RIGHT(Insights!$C$3, 4)), E1621, "")</f>
        <v>#VALUE!</v>
      </c>
      <c r="H1621" s="26" t="e">
        <f t="shared" si="1"/>
        <v>#VALUE!</v>
      </c>
      <c r="I1621" s="1" t="e">
        <f t="shared" si="2"/>
        <v>#VALUE!</v>
      </c>
    </row>
    <row r="1622" spans="1:9" ht="15.75" customHeight="1">
      <c r="A1622" s="26"/>
      <c r="B1622" s="2"/>
      <c r="C1622" s="26"/>
      <c r="D1622" s="26"/>
      <c r="F1622" s="85" t="str">
        <f t="shared" si="0"/>
        <v/>
      </c>
      <c r="G1622" s="1" t="e">
        <f>IF(VALUE(F1622) = VALUE(RIGHT(Insights!$C$3, 4)), E1622, "")</f>
        <v>#VALUE!</v>
      </c>
      <c r="H1622" s="26" t="e">
        <f t="shared" si="1"/>
        <v>#VALUE!</v>
      </c>
      <c r="I1622" s="1" t="e">
        <f t="shared" si="2"/>
        <v>#VALUE!</v>
      </c>
    </row>
    <row r="1623" spans="1:9" ht="15.75" customHeight="1">
      <c r="A1623" s="26"/>
      <c r="B1623" s="2"/>
      <c r="C1623" s="26"/>
      <c r="D1623" s="26"/>
      <c r="F1623" s="85" t="str">
        <f t="shared" si="0"/>
        <v/>
      </c>
      <c r="G1623" s="1" t="e">
        <f>IF(VALUE(F1623) = VALUE(RIGHT(Insights!$C$3, 4)), E1623, "")</f>
        <v>#VALUE!</v>
      </c>
      <c r="H1623" s="26" t="e">
        <f t="shared" si="1"/>
        <v>#VALUE!</v>
      </c>
      <c r="I1623" s="1" t="e">
        <f t="shared" si="2"/>
        <v>#VALUE!</v>
      </c>
    </row>
    <row r="1624" spans="1:9" ht="15.75" customHeight="1">
      <c r="A1624" s="26"/>
      <c r="B1624" s="2"/>
      <c r="C1624" s="26"/>
      <c r="D1624" s="26"/>
      <c r="F1624" s="85" t="str">
        <f t="shared" si="0"/>
        <v/>
      </c>
      <c r="G1624" s="1" t="e">
        <f>IF(VALUE(F1624) = VALUE(RIGHT(Insights!$C$3, 4)), E1624, "")</f>
        <v>#VALUE!</v>
      </c>
      <c r="H1624" s="26" t="e">
        <f t="shared" si="1"/>
        <v>#VALUE!</v>
      </c>
      <c r="I1624" s="1" t="e">
        <f t="shared" si="2"/>
        <v>#VALUE!</v>
      </c>
    </row>
    <row r="1625" spans="1:9" ht="15.75" customHeight="1">
      <c r="A1625" s="26"/>
      <c r="B1625" s="2"/>
      <c r="C1625" s="26"/>
      <c r="D1625" s="26"/>
      <c r="F1625" s="85" t="str">
        <f t="shared" si="0"/>
        <v/>
      </c>
      <c r="G1625" s="1" t="e">
        <f>IF(VALUE(F1625) = VALUE(RIGHT(Insights!$C$3, 4)), E1625, "")</f>
        <v>#VALUE!</v>
      </c>
      <c r="H1625" s="26" t="e">
        <f t="shared" si="1"/>
        <v>#VALUE!</v>
      </c>
      <c r="I1625" s="1" t="e">
        <f t="shared" si="2"/>
        <v>#VALUE!</v>
      </c>
    </row>
    <row r="1626" spans="1:9" ht="15.75" customHeight="1">
      <c r="A1626" s="26"/>
      <c r="B1626" s="2"/>
      <c r="C1626" s="26"/>
      <c r="D1626" s="26"/>
      <c r="F1626" s="85" t="str">
        <f t="shared" si="0"/>
        <v/>
      </c>
      <c r="G1626" s="1" t="e">
        <f>IF(VALUE(F1626) = VALUE(RIGHT(Insights!$C$3, 4)), E1626, "")</f>
        <v>#VALUE!</v>
      </c>
      <c r="H1626" s="26" t="e">
        <f t="shared" si="1"/>
        <v>#VALUE!</v>
      </c>
      <c r="I1626" s="1" t="e">
        <f t="shared" si="2"/>
        <v>#VALUE!</v>
      </c>
    </row>
    <row r="1627" spans="1:9" ht="15.75" customHeight="1">
      <c r="A1627" s="26"/>
      <c r="B1627" s="2"/>
      <c r="C1627" s="26"/>
      <c r="D1627" s="26"/>
      <c r="F1627" s="85" t="str">
        <f t="shared" si="0"/>
        <v/>
      </c>
      <c r="G1627" s="1" t="e">
        <f>IF(VALUE(F1627) = VALUE(RIGHT(Insights!$C$3, 4)), E1627, "")</f>
        <v>#VALUE!</v>
      </c>
      <c r="H1627" s="26" t="e">
        <f t="shared" si="1"/>
        <v>#VALUE!</v>
      </c>
      <c r="I1627" s="1" t="e">
        <f t="shared" si="2"/>
        <v>#VALUE!</v>
      </c>
    </row>
    <row r="1628" spans="1:9" ht="15.75" customHeight="1">
      <c r="A1628" s="26"/>
      <c r="B1628" s="2"/>
      <c r="C1628" s="26"/>
      <c r="D1628" s="26"/>
      <c r="F1628" s="85" t="str">
        <f t="shared" si="0"/>
        <v/>
      </c>
      <c r="G1628" s="1" t="e">
        <f>IF(VALUE(F1628) = VALUE(RIGHT(Insights!$C$3, 4)), E1628, "")</f>
        <v>#VALUE!</v>
      </c>
      <c r="H1628" s="26" t="e">
        <f t="shared" si="1"/>
        <v>#VALUE!</v>
      </c>
      <c r="I1628" s="1" t="e">
        <f t="shared" si="2"/>
        <v>#VALUE!</v>
      </c>
    </row>
    <row r="1629" spans="1:9" ht="15.75" customHeight="1">
      <c r="A1629" s="26"/>
      <c r="B1629" s="2"/>
      <c r="C1629" s="26"/>
      <c r="D1629" s="26"/>
      <c r="F1629" s="85" t="str">
        <f t="shared" si="0"/>
        <v/>
      </c>
      <c r="G1629" s="1" t="e">
        <f>IF(VALUE(F1629) = VALUE(RIGHT(Insights!$C$3, 4)), E1629, "")</f>
        <v>#VALUE!</v>
      </c>
      <c r="H1629" s="26" t="e">
        <f t="shared" si="1"/>
        <v>#VALUE!</v>
      </c>
      <c r="I1629" s="1" t="e">
        <f t="shared" si="2"/>
        <v>#VALUE!</v>
      </c>
    </row>
    <row r="1630" spans="1:9" ht="15.75" customHeight="1">
      <c r="A1630" s="26"/>
      <c r="B1630" s="2"/>
      <c r="C1630" s="26"/>
      <c r="D1630" s="26"/>
      <c r="F1630" s="85" t="str">
        <f t="shared" si="0"/>
        <v/>
      </c>
      <c r="G1630" s="1" t="e">
        <f>IF(VALUE(F1630) = VALUE(RIGHT(Insights!$C$3, 4)), E1630, "")</f>
        <v>#VALUE!</v>
      </c>
      <c r="H1630" s="26" t="e">
        <f t="shared" si="1"/>
        <v>#VALUE!</v>
      </c>
      <c r="I1630" s="1" t="e">
        <f t="shared" si="2"/>
        <v>#VALUE!</v>
      </c>
    </row>
    <row r="1631" spans="1:9" ht="15.75" customHeight="1">
      <c r="A1631" s="26"/>
      <c r="B1631" s="2"/>
      <c r="C1631" s="26"/>
      <c r="D1631" s="26"/>
      <c r="F1631" s="85" t="str">
        <f t="shared" si="0"/>
        <v/>
      </c>
      <c r="G1631" s="1" t="e">
        <f>IF(VALUE(F1631) = VALUE(RIGHT(Insights!$C$3, 4)), E1631, "")</f>
        <v>#VALUE!</v>
      </c>
      <c r="H1631" s="26" t="e">
        <f t="shared" si="1"/>
        <v>#VALUE!</v>
      </c>
      <c r="I1631" s="1" t="e">
        <f t="shared" si="2"/>
        <v>#VALUE!</v>
      </c>
    </row>
    <row r="1632" spans="1:9" ht="15.75" customHeight="1">
      <c r="A1632" s="26"/>
      <c r="B1632" s="2"/>
      <c r="C1632" s="26"/>
      <c r="D1632" s="26"/>
      <c r="F1632" s="85" t="str">
        <f t="shared" si="0"/>
        <v/>
      </c>
      <c r="G1632" s="1" t="e">
        <f>IF(VALUE(F1632) = VALUE(RIGHT(Insights!$C$3, 4)), E1632, "")</f>
        <v>#VALUE!</v>
      </c>
      <c r="H1632" s="26" t="e">
        <f t="shared" si="1"/>
        <v>#VALUE!</v>
      </c>
      <c r="I1632" s="1" t="e">
        <f t="shared" si="2"/>
        <v>#VALUE!</v>
      </c>
    </row>
    <row r="1633" spans="1:9" ht="15.75" customHeight="1">
      <c r="A1633" s="26"/>
      <c r="B1633" s="2"/>
      <c r="C1633" s="26"/>
      <c r="D1633" s="26"/>
      <c r="F1633" s="85" t="str">
        <f t="shared" si="0"/>
        <v/>
      </c>
      <c r="G1633" s="1" t="e">
        <f>IF(VALUE(F1633) = VALUE(RIGHT(Insights!$C$3, 4)), E1633, "")</f>
        <v>#VALUE!</v>
      </c>
      <c r="H1633" s="26" t="e">
        <f t="shared" si="1"/>
        <v>#VALUE!</v>
      </c>
      <c r="I1633" s="1" t="e">
        <f t="shared" si="2"/>
        <v>#VALUE!</v>
      </c>
    </row>
    <row r="1634" spans="1:9" ht="15.75" customHeight="1">
      <c r="A1634" s="26"/>
      <c r="B1634" s="2"/>
      <c r="C1634" s="26"/>
      <c r="D1634" s="26"/>
      <c r="F1634" s="85" t="str">
        <f t="shared" si="0"/>
        <v/>
      </c>
      <c r="G1634" s="1" t="e">
        <f>IF(VALUE(F1634) = VALUE(RIGHT(Insights!$C$3, 4)), E1634, "")</f>
        <v>#VALUE!</v>
      </c>
      <c r="H1634" s="26" t="e">
        <f t="shared" si="1"/>
        <v>#VALUE!</v>
      </c>
      <c r="I1634" s="1" t="e">
        <f t="shared" si="2"/>
        <v>#VALUE!</v>
      </c>
    </row>
    <row r="1635" spans="1:9" ht="15.75" customHeight="1">
      <c r="A1635" s="26"/>
      <c r="B1635" s="2"/>
      <c r="C1635" s="26"/>
      <c r="D1635" s="26"/>
      <c r="F1635" s="85" t="str">
        <f t="shared" si="0"/>
        <v/>
      </c>
      <c r="G1635" s="1" t="e">
        <f>IF(VALUE(F1635) = VALUE(RIGHT(Insights!$C$3, 4)), E1635, "")</f>
        <v>#VALUE!</v>
      </c>
      <c r="H1635" s="26" t="e">
        <f t="shared" si="1"/>
        <v>#VALUE!</v>
      </c>
      <c r="I1635" s="1" t="e">
        <f t="shared" si="2"/>
        <v>#VALUE!</v>
      </c>
    </row>
    <row r="1636" spans="1:9" ht="15.75" customHeight="1">
      <c r="A1636" s="26"/>
      <c r="B1636" s="2"/>
      <c r="C1636" s="26"/>
      <c r="D1636" s="26"/>
      <c r="F1636" s="85" t="str">
        <f t="shared" si="0"/>
        <v/>
      </c>
      <c r="G1636" s="1" t="e">
        <f>IF(VALUE(F1636) = VALUE(RIGHT(Insights!$C$3, 4)), E1636, "")</f>
        <v>#VALUE!</v>
      </c>
      <c r="H1636" s="26" t="e">
        <f t="shared" si="1"/>
        <v>#VALUE!</v>
      </c>
      <c r="I1636" s="1" t="e">
        <f t="shared" si="2"/>
        <v>#VALUE!</v>
      </c>
    </row>
    <row r="1637" spans="1:9" ht="15.75" customHeight="1">
      <c r="A1637" s="26"/>
      <c r="B1637" s="2"/>
      <c r="C1637" s="26"/>
      <c r="D1637" s="26"/>
      <c r="F1637" s="85" t="str">
        <f t="shared" si="0"/>
        <v/>
      </c>
      <c r="G1637" s="1" t="e">
        <f>IF(VALUE(F1637) = VALUE(RIGHT(Insights!$C$3, 4)), E1637, "")</f>
        <v>#VALUE!</v>
      </c>
      <c r="H1637" s="26" t="e">
        <f t="shared" si="1"/>
        <v>#VALUE!</v>
      </c>
      <c r="I1637" s="1" t="e">
        <f t="shared" si="2"/>
        <v>#VALUE!</v>
      </c>
    </row>
    <row r="1638" spans="1:9" ht="15.75" customHeight="1">
      <c r="A1638" s="26"/>
      <c r="B1638" s="2"/>
      <c r="C1638" s="26"/>
      <c r="D1638" s="26"/>
      <c r="F1638" s="85" t="str">
        <f t="shared" si="0"/>
        <v/>
      </c>
      <c r="G1638" s="1" t="e">
        <f>IF(VALUE(F1638) = VALUE(RIGHT(Insights!$C$3, 4)), E1638, "")</f>
        <v>#VALUE!</v>
      </c>
      <c r="H1638" s="26" t="e">
        <f t="shared" si="1"/>
        <v>#VALUE!</v>
      </c>
      <c r="I1638" s="1" t="e">
        <f t="shared" si="2"/>
        <v>#VALUE!</v>
      </c>
    </row>
    <row r="1639" spans="1:9" ht="15.75" customHeight="1">
      <c r="A1639" s="26"/>
      <c r="B1639" s="2"/>
      <c r="C1639" s="26"/>
      <c r="D1639" s="26"/>
      <c r="F1639" s="85" t="str">
        <f t="shared" si="0"/>
        <v/>
      </c>
      <c r="G1639" s="1" t="e">
        <f>IF(VALUE(F1639) = VALUE(RIGHT(Insights!$C$3, 4)), E1639, "")</f>
        <v>#VALUE!</v>
      </c>
      <c r="H1639" s="26" t="e">
        <f t="shared" si="1"/>
        <v>#VALUE!</v>
      </c>
      <c r="I1639" s="1" t="e">
        <f t="shared" si="2"/>
        <v>#VALUE!</v>
      </c>
    </row>
    <row r="1640" spans="1:9" ht="15.75" customHeight="1">
      <c r="A1640" s="26"/>
      <c r="B1640" s="2"/>
      <c r="C1640" s="26"/>
      <c r="D1640" s="26"/>
      <c r="F1640" s="85" t="str">
        <f t="shared" si="0"/>
        <v/>
      </c>
      <c r="G1640" s="1" t="e">
        <f>IF(VALUE(F1640) = VALUE(RIGHT(Insights!$C$3, 4)), E1640, "")</f>
        <v>#VALUE!</v>
      </c>
      <c r="H1640" s="26" t="e">
        <f t="shared" si="1"/>
        <v>#VALUE!</v>
      </c>
      <c r="I1640" s="1" t="e">
        <f t="shared" si="2"/>
        <v>#VALUE!</v>
      </c>
    </row>
    <row r="1641" spans="1:9" ht="15.75" customHeight="1">
      <c r="A1641" s="26"/>
      <c r="B1641" s="2"/>
      <c r="C1641" s="26"/>
      <c r="D1641" s="26"/>
      <c r="F1641" s="85" t="str">
        <f t="shared" si="0"/>
        <v/>
      </c>
      <c r="G1641" s="1" t="e">
        <f>IF(VALUE(F1641) = VALUE(RIGHT(Insights!$C$3, 4)), E1641, "")</f>
        <v>#VALUE!</v>
      </c>
      <c r="H1641" s="26" t="e">
        <f t="shared" si="1"/>
        <v>#VALUE!</v>
      </c>
      <c r="I1641" s="1" t="e">
        <f t="shared" si="2"/>
        <v>#VALUE!</v>
      </c>
    </row>
    <row r="1642" spans="1:9" ht="15.75" customHeight="1">
      <c r="A1642" s="26"/>
      <c r="B1642" s="2"/>
      <c r="C1642" s="26"/>
      <c r="D1642" s="26"/>
      <c r="F1642" s="85" t="str">
        <f t="shared" si="0"/>
        <v/>
      </c>
      <c r="G1642" s="1" t="e">
        <f>IF(VALUE(F1642) = VALUE(RIGHT(Insights!$C$3, 4)), E1642, "")</f>
        <v>#VALUE!</v>
      </c>
      <c r="H1642" s="26" t="e">
        <f t="shared" si="1"/>
        <v>#VALUE!</v>
      </c>
      <c r="I1642" s="1" t="e">
        <f t="shared" si="2"/>
        <v>#VALUE!</v>
      </c>
    </row>
    <row r="1643" spans="1:9" ht="15.75" customHeight="1">
      <c r="A1643" s="26"/>
      <c r="B1643" s="2"/>
      <c r="C1643" s="26"/>
      <c r="D1643" s="26"/>
      <c r="F1643" s="85" t="str">
        <f t="shared" si="0"/>
        <v/>
      </c>
      <c r="G1643" s="1" t="e">
        <f>IF(VALUE(F1643) = VALUE(RIGHT(Insights!$C$3, 4)), E1643, "")</f>
        <v>#VALUE!</v>
      </c>
      <c r="H1643" s="26" t="e">
        <f t="shared" si="1"/>
        <v>#VALUE!</v>
      </c>
      <c r="I1643" s="1" t="e">
        <f t="shared" si="2"/>
        <v>#VALUE!</v>
      </c>
    </row>
    <row r="1644" spans="1:9" ht="15.75" customHeight="1">
      <c r="A1644" s="26"/>
      <c r="B1644" s="2"/>
      <c r="C1644" s="26"/>
      <c r="D1644" s="26"/>
      <c r="F1644" s="85" t="str">
        <f t="shared" si="0"/>
        <v/>
      </c>
      <c r="G1644" s="1" t="e">
        <f>IF(VALUE(F1644) = VALUE(RIGHT(Insights!$C$3, 4)), E1644, "")</f>
        <v>#VALUE!</v>
      </c>
      <c r="H1644" s="26" t="e">
        <f t="shared" si="1"/>
        <v>#VALUE!</v>
      </c>
      <c r="I1644" s="1" t="e">
        <f t="shared" si="2"/>
        <v>#VALUE!</v>
      </c>
    </row>
    <row r="1645" spans="1:9" ht="15.75" customHeight="1">
      <c r="A1645" s="26"/>
      <c r="B1645" s="2"/>
      <c r="C1645" s="26"/>
      <c r="D1645" s="26"/>
      <c r="F1645" s="85" t="str">
        <f t="shared" si="0"/>
        <v/>
      </c>
      <c r="G1645" s="1" t="e">
        <f>IF(VALUE(F1645) = VALUE(RIGHT(Insights!$C$3, 4)), E1645, "")</f>
        <v>#VALUE!</v>
      </c>
      <c r="H1645" s="26" t="e">
        <f t="shared" si="1"/>
        <v>#VALUE!</v>
      </c>
      <c r="I1645" s="1" t="e">
        <f t="shared" si="2"/>
        <v>#VALUE!</v>
      </c>
    </row>
    <row r="1646" spans="1:9" ht="15.75" customHeight="1">
      <c r="A1646" s="26"/>
      <c r="B1646" s="2"/>
      <c r="C1646" s="26"/>
      <c r="D1646" s="26"/>
      <c r="F1646" s="85" t="str">
        <f t="shared" si="0"/>
        <v/>
      </c>
      <c r="G1646" s="1" t="e">
        <f>IF(VALUE(F1646) = VALUE(RIGHT(Insights!$C$3, 4)), E1646, "")</f>
        <v>#VALUE!</v>
      </c>
      <c r="H1646" s="26" t="e">
        <f t="shared" si="1"/>
        <v>#VALUE!</v>
      </c>
      <c r="I1646" s="1" t="e">
        <f t="shared" si="2"/>
        <v>#VALUE!</v>
      </c>
    </row>
    <row r="1647" spans="1:9" ht="15.75" customHeight="1">
      <c r="A1647" s="26"/>
      <c r="B1647" s="2"/>
      <c r="C1647" s="26"/>
      <c r="D1647" s="26"/>
      <c r="F1647" s="85" t="str">
        <f t="shared" si="0"/>
        <v/>
      </c>
      <c r="G1647" s="1" t="e">
        <f>IF(VALUE(F1647) = VALUE(RIGHT(Insights!$C$3, 4)), E1647, "")</f>
        <v>#VALUE!</v>
      </c>
      <c r="H1647" s="26" t="e">
        <f t="shared" si="1"/>
        <v>#VALUE!</v>
      </c>
      <c r="I1647" s="1" t="e">
        <f t="shared" si="2"/>
        <v>#VALUE!</v>
      </c>
    </row>
    <row r="1648" spans="1:9" ht="15.75" customHeight="1">
      <c r="A1648" s="26"/>
      <c r="B1648" s="2"/>
      <c r="C1648" s="26"/>
      <c r="D1648" s="26"/>
      <c r="F1648" s="85" t="str">
        <f t="shared" si="0"/>
        <v/>
      </c>
      <c r="G1648" s="1" t="e">
        <f>IF(VALUE(F1648) = VALUE(RIGHT(Insights!$C$3, 4)), E1648, "")</f>
        <v>#VALUE!</v>
      </c>
      <c r="H1648" s="26" t="e">
        <f t="shared" si="1"/>
        <v>#VALUE!</v>
      </c>
      <c r="I1648" s="1" t="e">
        <f t="shared" si="2"/>
        <v>#VALUE!</v>
      </c>
    </row>
    <row r="1649" spans="1:9" ht="15.75" customHeight="1">
      <c r="A1649" s="26"/>
      <c r="B1649" s="2"/>
      <c r="C1649" s="26"/>
      <c r="D1649" s="26"/>
      <c r="F1649" s="85" t="str">
        <f t="shared" si="0"/>
        <v/>
      </c>
      <c r="G1649" s="1" t="e">
        <f>IF(VALUE(F1649) = VALUE(RIGHT(Insights!$C$3, 4)), E1649, "")</f>
        <v>#VALUE!</v>
      </c>
      <c r="H1649" s="26" t="e">
        <f t="shared" si="1"/>
        <v>#VALUE!</v>
      </c>
      <c r="I1649" s="1" t="e">
        <f t="shared" si="2"/>
        <v>#VALUE!</v>
      </c>
    </row>
    <row r="1650" spans="1:9" ht="15.75" customHeight="1">
      <c r="A1650" s="26"/>
      <c r="B1650" s="2"/>
      <c r="C1650" s="26"/>
      <c r="D1650" s="26"/>
      <c r="F1650" s="85" t="str">
        <f t="shared" si="0"/>
        <v/>
      </c>
      <c r="G1650" s="1" t="e">
        <f>IF(VALUE(F1650) = VALUE(RIGHT(Insights!$C$3, 4)), E1650, "")</f>
        <v>#VALUE!</v>
      </c>
      <c r="H1650" s="26" t="e">
        <f t="shared" si="1"/>
        <v>#VALUE!</v>
      </c>
      <c r="I1650" s="1" t="e">
        <f t="shared" si="2"/>
        <v>#VALUE!</v>
      </c>
    </row>
    <row r="1651" spans="1:9" ht="15.75" customHeight="1">
      <c r="A1651" s="26"/>
      <c r="B1651" s="2"/>
      <c r="C1651" s="26"/>
      <c r="D1651" s="26"/>
      <c r="F1651" s="85" t="str">
        <f t="shared" si="0"/>
        <v/>
      </c>
      <c r="G1651" s="1" t="e">
        <f>IF(VALUE(F1651) = VALUE(RIGHT(Insights!$C$3, 4)), E1651, "")</f>
        <v>#VALUE!</v>
      </c>
      <c r="H1651" s="26" t="e">
        <f t="shared" si="1"/>
        <v>#VALUE!</v>
      </c>
      <c r="I1651" s="1" t="e">
        <f t="shared" si="2"/>
        <v>#VALUE!</v>
      </c>
    </row>
    <row r="1652" spans="1:9" ht="15.75" customHeight="1">
      <c r="A1652" s="26"/>
      <c r="B1652" s="2"/>
      <c r="C1652" s="26"/>
      <c r="D1652" s="26"/>
      <c r="F1652" s="85" t="str">
        <f t="shared" si="0"/>
        <v/>
      </c>
      <c r="G1652" s="1" t="e">
        <f>IF(VALUE(F1652) = VALUE(RIGHT(Insights!$C$3, 4)), E1652, "")</f>
        <v>#VALUE!</v>
      </c>
      <c r="H1652" s="26" t="e">
        <f t="shared" si="1"/>
        <v>#VALUE!</v>
      </c>
      <c r="I1652" s="1" t="e">
        <f t="shared" si="2"/>
        <v>#VALUE!</v>
      </c>
    </row>
    <row r="1653" spans="1:9" ht="15.75" customHeight="1">
      <c r="A1653" s="26"/>
      <c r="B1653" s="2"/>
      <c r="C1653" s="26"/>
      <c r="D1653" s="26"/>
      <c r="F1653" s="85" t="str">
        <f t="shared" si="0"/>
        <v/>
      </c>
      <c r="G1653" s="1" t="e">
        <f>IF(VALUE(F1653) = VALUE(RIGHT(Insights!$C$3, 4)), E1653, "")</f>
        <v>#VALUE!</v>
      </c>
      <c r="H1653" s="26" t="e">
        <f t="shared" si="1"/>
        <v>#VALUE!</v>
      </c>
      <c r="I1653" s="1" t="e">
        <f t="shared" si="2"/>
        <v>#VALUE!</v>
      </c>
    </row>
    <row r="1654" spans="1:9" ht="15.75" customHeight="1">
      <c r="A1654" s="26"/>
      <c r="B1654" s="2"/>
      <c r="C1654" s="26"/>
      <c r="D1654" s="26"/>
      <c r="F1654" s="85" t="str">
        <f t="shared" si="0"/>
        <v/>
      </c>
      <c r="G1654" s="1" t="e">
        <f>IF(VALUE(F1654) = VALUE(RIGHT(Insights!$C$3, 4)), E1654, "")</f>
        <v>#VALUE!</v>
      </c>
      <c r="H1654" s="26" t="e">
        <f t="shared" si="1"/>
        <v>#VALUE!</v>
      </c>
      <c r="I1654" s="1" t="e">
        <f t="shared" si="2"/>
        <v>#VALUE!</v>
      </c>
    </row>
    <row r="1655" spans="1:9" ht="15.75" customHeight="1">
      <c r="A1655" s="26"/>
      <c r="B1655" s="2"/>
      <c r="C1655" s="26"/>
      <c r="D1655" s="26"/>
      <c r="F1655" s="85" t="str">
        <f t="shared" si="0"/>
        <v/>
      </c>
      <c r="G1655" s="1" t="e">
        <f>IF(VALUE(F1655) = VALUE(RIGHT(Insights!$C$3, 4)), E1655, "")</f>
        <v>#VALUE!</v>
      </c>
      <c r="H1655" s="26" t="e">
        <f t="shared" si="1"/>
        <v>#VALUE!</v>
      </c>
      <c r="I1655" s="1" t="e">
        <f t="shared" si="2"/>
        <v>#VALUE!</v>
      </c>
    </row>
    <row r="1656" spans="1:9" ht="15.75" customHeight="1">
      <c r="A1656" s="26"/>
      <c r="B1656" s="2"/>
      <c r="C1656" s="26"/>
      <c r="D1656" s="26"/>
      <c r="F1656" s="85" t="str">
        <f t="shared" si="0"/>
        <v/>
      </c>
      <c r="G1656" s="1" t="e">
        <f>IF(VALUE(F1656) = VALUE(RIGHT(Insights!$C$3, 4)), E1656, "")</f>
        <v>#VALUE!</v>
      </c>
      <c r="H1656" s="26" t="e">
        <f t="shared" si="1"/>
        <v>#VALUE!</v>
      </c>
      <c r="I1656" s="1" t="e">
        <f t="shared" si="2"/>
        <v>#VALUE!</v>
      </c>
    </row>
    <row r="1657" spans="1:9" ht="15.75" customHeight="1">
      <c r="A1657" s="26"/>
      <c r="B1657" s="2"/>
      <c r="C1657" s="26"/>
      <c r="D1657" s="26"/>
      <c r="F1657" s="85" t="str">
        <f t="shared" si="0"/>
        <v/>
      </c>
      <c r="G1657" s="1" t="e">
        <f>IF(VALUE(F1657) = VALUE(RIGHT(Insights!$C$3, 4)), E1657, "")</f>
        <v>#VALUE!</v>
      </c>
      <c r="H1657" s="26" t="e">
        <f t="shared" si="1"/>
        <v>#VALUE!</v>
      </c>
      <c r="I1657" s="1" t="e">
        <f t="shared" si="2"/>
        <v>#VALUE!</v>
      </c>
    </row>
    <row r="1658" spans="1:9" ht="15.75" customHeight="1">
      <c r="A1658" s="26"/>
      <c r="B1658" s="2"/>
      <c r="C1658" s="26"/>
      <c r="D1658" s="26"/>
      <c r="F1658" s="85" t="str">
        <f t="shared" si="0"/>
        <v/>
      </c>
      <c r="G1658" s="1" t="e">
        <f>IF(VALUE(F1658) = VALUE(RIGHT(Insights!$C$3, 4)), E1658, "")</f>
        <v>#VALUE!</v>
      </c>
      <c r="H1658" s="26" t="e">
        <f t="shared" si="1"/>
        <v>#VALUE!</v>
      </c>
      <c r="I1658" s="1" t="e">
        <f t="shared" si="2"/>
        <v>#VALUE!</v>
      </c>
    </row>
    <row r="1659" spans="1:9" ht="15.75" customHeight="1">
      <c r="A1659" s="26"/>
      <c r="B1659" s="2"/>
      <c r="C1659" s="26"/>
      <c r="D1659" s="26"/>
      <c r="F1659" s="85" t="str">
        <f t="shared" si="0"/>
        <v/>
      </c>
      <c r="G1659" s="1" t="e">
        <f>IF(VALUE(F1659) = VALUE(RIGHT(Insights!$C$3, 4)), E1659, "")</f>
        <v>#VALUE!</v>
      </c>
      <c r="H1659" s="26" t="e">
        <f t="shared" si="1"/>
        <v>#VALUE!</v>
      </c>
      <c r="I1659" s="1" t="e">
        <f t="shared" si="2"/>
        <v>#VALUE!</v>
      </c>
    </row>
    <row r="1660" spans="1:9" ht="15.75" customHeight="1">
      <c r="A1660" s="26"/>
      <c r="B1660" s="2"/>
      <c r="C1660" s="26"/>
      <c r="D1660" s="26"/>
      <c r="F1660" s="85" t="str">
        <f t="shared" si="0"/>
        <v/>
      </c>
      <c r="G1660" s="1" t="e">
        <f>IF(VALUE(F1660) = VALUE(RIGHT(Insights!$C$3, 4)), E1660, "")</f>
        <v>#VALUE!</v>
      </c>
      <c r="H1660" s="26" t="e">
        <f t="shared" si="1"/>
        <v>#VALUE!</v>
      </c>
      <c r="I1660" s="1" t="e">
        <f t="shared" si="2"/>
        <v>#VALUE!</v>
      </c>
    </row>
    <row r="1661" spans="1:9" ht="15.75" customHeight="1">
      <c r="A1661" s="26"/>
      <c r="B1661" s="2"/>
      <c r="C1661" s="26"/>
      <c r="D1661" s="26"/>
      <c r="F1661" s="85" t="str">
        <f t="shared" si="0"/>
        <v/>
      </c>
      <c r="G1661" s="1" t="e">
        <f>IF(VALUE(F1661) = VALUE(RIGHT(Insights!$C$3, 4)), E1661, "")</f>
        <v>#VALUE!</v>
      </c>
      <c r="H1661" s="26" t="e">
        <f t="shared" si="1"/>
        <v>#VALUE!</v>
      </c>
      <c r="I1661" s="1" t="e">
        <f t="shared" si="2"/>
        <v>#VALUE!</v>
      </c>
    </row>
    <row r="1662" spans="1:9" ht="15.75" customHeight="1">
      <c r="A1662" s="26"/>
      <c r="B1662" s="2"/>
      <c r="C1662" s="26"/>
      <c r="D1662" s="26"/>
      <c r="F1662" s="85" t="str">
        <f t="shared" si="0"/>
        <v/>
      </c>
      <c r="G1662" s="1" t="e">
        <f>IF(VALUE(F1662) = VALUE(RIGHT(Insights!$C$3, 4)), E1662, "")</f>
        <v>#VALUE!</v>
      </c>
      <c r="H1662" s="26" t="e">
        <f t="shared" si="1"/>
        <v>#VALUE!</v>
      </c>
      <c r="I1662" s="1" t="e">
        <f t="shared" si="2"/>
        <v>#VALUE!</v>
      </c>
    </row>
    <row r="1663" spans="1:9" ht="15.75" customHeight="1">
      <c r="A1663" s="26"/>
      <c r="B1663" s="2"/>
      <c r="C1663" s="26"/>
      <c r="D1663" s="26"/>
      <c r="F1663" s="85" t="str">
        <f t="shared" si="0"/>
        <v/>
      </c>
      <c r="G1663" s="1" t="e">
        <f>IF(VALUE(F1663) = VALUE(RIGHT(Insights!$C$3, 4)), E1663, "")</f>
        <v>#VALUE!</v>
      </c>
      <c r="H1663" s="26" t="e">
        <f t="shared" si="1"/>
        <v>#VALUE!</v>
      </c>
      <c r="I1663" s="1" t="e">
        <f t="shared" si="2"/>
        <v>#VALUE!</v>
      </c>
    </row>
    <row r="1664" spans="1:9" ht="15.75" customHeight="1">
      <c r="A1664" s="26"/>
      <c r="B1664" s="2"/>
      <c r="C1664" s="26"/>
      <c r="D1664" s="26"/>
      <c r="F1664" s="85" t="str">
        <f t="shared" si="0"/>
        <v/>
      </c>
      <c r="G1664" s="1" t="e">
        <f>IF(VALUE(F1664) = VALUE(RIGHT(Insights!$C$3, 4)), E1664, "")</f>
        <v>#VALUE!</v>
      </c>
      <c r="H1664" s="26" t="e">
        <f t="shared" si="1"/>
        <v>#VALUE!</v>
      </c>
      <c r="I1664" s="1" t="e">
        <f t="shared" si="2"/>
        <v>#VALUE!</v>
      </c>
    </row>
    <row r="1665" spans="1:9" ht="15.75" customHeight="1">
      <c r="A1665" s="26"/>
      <c r="B1665" s="2"/>
      <c r="C1665" s="26"/>
      <c r="D1665" s="26"/>
      <c r="F1665" s="85" t="str">
        <f t="shared" si="0"/>
        <v/>
      </c>
      <c r="G1665" s="1" t="e">
        <f>IF(VALUE(F1665) = VALUE(RIGHT(Insights!$C$3, 4)), E1665, "")</f>
        <v>#VALUE!</v>
      </c>
      <c r="H1665" s="26" t="e">
        <f t="shared" si="1"/>
        <v>#VALUE!</v>
      </c>
      <c r="I1665" s="1" t="e">
        <f t="shared" si="2"/>
        <v>#VALUE!</v>
      </c>
    </row>
    <row r="1666" spans="1:9" ht="15.75" customHeight="1">
      <c r="A1666" s="26"/>
      <c r="B1666" s="2"/>
      <c r="C1666" s="26"/>
      <c r="D1666" s="26"/>
      <c r="F1666" s="85" t="str">
        <f t="shared" si="0"/>
        <v/>
      </c>
      <c r="G1666" s="1" t="e">
        <f>IF(VALUE(F1666) = VALUE(RIGHT(Insights!$C$3, 4)), E1666, "")</f>
        <v>#VALUE!</v>
      </c>
      <c r="H1666" s="26" t="e">
        <f t="shared" si="1"/>
        <v>#VALUE!</v>
      </c>
      <c r="I1666" s="1" t="e">
        <f t="shared" si="2"/>
        <v>#VALUE!</v>
      </c>
    </row>
    <row r="1667" spans="1:9" ht="15.75" customHeight="1">
      <c r="A1667" s="26"/>
      <c r="B1667" s="2"/>
      <c r="C1667" s="26"/>
      <c r="D1667" s="26"/>
      <c r="F1667" s="85" t="str">
        <f t="shared" si="0"/>
        <v/>
      </c>
      <c r="G1667" s="1" t="e">
        <f>IF(VALUE(F1667) = VALUE(RIGHT(Insights!$C$3, 4)), E1667, "")</f>
        <v>#VALUE!</v>
      </c>
      <c r="H1667" s="26" t="e">
        <f t="shared" si="1"/>
        <v>#VALUE!</v>
      </c>
      <c r="I1667" s="1" t="e">
        <f t="shared" si="2"/>
        <v>#VALUE!</v>
      </c>
    </row>
    <row r="1668" spans="1:9" ht="15.75" customHeight="1">
      <c r="A1668" s="26"/>
      <c r="B1668" s="2"/>
      <c r="C1668" s="26"/>
      <c r="D1668" s="26"/>
      <c r="F1668" s="85" t="str">
        <f t="shared" si="0"/>
        <v/>
      </c>
      <c r="G1668" s="1" t="e">
        <f>IF(VALUE(F1668) = VALUE(RIGHT(Insights!$C$3, 4)), E1668, "")</f>
        <v>#VALUE!</v>
      </c>
      <c r="H1668" s="26" t="e">
        <f t="shared" si="1"/>
        <v>#VALUE!</v>
      </c>
      <c r="I1668" s="1" t="e">
        <f t="shared" si="2"/>
        <v>#VALUE!</v>
      </c>
    </row>
    <row r="1669" spans="1:9" ht="15.75" customHeight="1">
      <c r="A1669" s="26"/>
      <c r="B1669" s="2"/>
      <c r="C1669" s="26"/>
      <c r="D1669" s="26"/>
      <c r="F1669" s="85" t="str">
        <f t="shared" si="0"/>
        <v/>
      </c>
      <c r="G1669" s="1" t="e">
        <f>IF(VALUE(F1669) = VALUE(RIGHT(Insights!$C$3, 4)), E1669, "")</f>
        <v>#VALUE!</v>
      </c>
      <c r="H1669" s="26" t="e">
        <f t="shared" si="1"/>
        <v>#VALUE!</v>
      </c>
      <c r="I1669" s="1" t="e">
        <f t="shared" si="2"/>
        <v>#VALUE!</v>
      </c>
    </row>
    <row r="1670" spans="1:9" ht="15.75" customHeight="1">
      <c r="A1670" s="26"/>
      <c r="B1670" s="2"/>
      <c r="C1670" s="26"/>
      <c r="D1670" s="26"/>
      <c r="F1670" s="85" t="str">
        <f t="shared" si="0"/>
        <v/>
      </c>
      <c r="G1670" s="1" t="e">
        <f>IF(VALUE(F1670) = VALUE(RIGHT(Insights!$C$3, 4)), E1670, "")</f>
        <v>#VALUE!</v>
      </c>
      <c r="H1670" s="26" t="e">
        <f t="shared" si="1"/>
        <v>#VALUE!</v>
      </c>
      <c r="I1670" s="1" t="e">
        <f t="shared" si="2"/>
        <v>#VALUE!</v>
      </c>
    </row>
    <row r="1671" spans="1:9" ht="15.75" customHeight="1">
      <c r="A1671" s="26"/>
      <c r="B1671" s="2"/>
      <c r="C1671" s="26"/>
      <c r="D1671" s="26"/>
      <c r="F1671" s="85" t="str">
        <f t="shared" si="0"/>
        <v/>
      </c>
      <c r="G1671" s="1" t="e">
        <f>IF(VALUE(F1671) = VALUE(RIGHT(Insights!$C$3, 4)), E1671, "")</f>
        <v>#VALUE!</v>
      </c>
      <c r="H1671" s="26" t="e">
        <f t="shared" si="1"/>
        <v>#VALUE!</v>
      </c>
      <c r="I1671" s="1" t="e">
        <f t="shared" si="2"/>
        <v>#VALUE!</v>
      </c>
    </row>
    <row r="1672" spans="1:9" ht="15.75" customHeight="1">
      <c r="A1672" s="26"/>
      <c r="B1672" s="2"/>
      <c r="C1672" s="26"/>
      <c r="D1672" s="26"/>
      <c r="F1672" s="85" t="str">
        <f t="shared" si="0"/>
        <v/>
      </c>
      <c r="G1672" s="1" t="e">
        <f>IF(VALUE(F1672) = VALUE(RIGHT(Insights!$C$3, 4)), E1672, "")</f>
        <v>#VALUE!</v>
      </c>
      <c r="H1672" s="26" t="e">
        <f t="shared" si="1"/>
        <v>#VALUE!</v>
      </c>
      <c r="I1672" s="1" t="e">
        <f t="shared" si="2"/>
        <v>#VALUE!</v>
      </c>
    </row>
    <row r="1673" spans="1:9" ht="15.75" customHeight="1">
      <c r="A1673" s="26"/>
      <c r="B1673" s="2"/>
      <c r="C1673" s="26"/>
      <c r="D1673" s="26"/>
      <c r="F1673" s="85" t="str">
        <f t="shared" si="0"/>
        <v/>
      </c>
      <c r="G1673" s="1" t="e">
        <f>IF(VALUE(F1673) = VALUE(RIGHT(Insights!$C$3, 4)), E1673, "")</f>
        <v>#VALUE!</v>
      </c>
      <c r="H1673" s="26" t="e">
        <f t="shared" si="1"/>
        <v>#VALUE!</v>
      </c>
      <c r="I1673" s="1" t="e">
        <f t="shared" si="2"/>
        <v>#VALUE!</v>
      </c>
    </row>
    <row r="1674" spans="1:9" ht="15.75" customHeight="1">
      <c r="A1674" s="26"/>
      <c r="B1674" s="2"/>
      <c r="C1674" s="26"/>
      <c r="D1674" s="26"/>
      <c r="F1674" s="85" t="str">
        <f t="shared" si="0"/>
        <v/>
      </c>
      <c r="G1674" s="1" t="e">
        <f>IF(VALUE(F1674) = VALUE(RIGHT(Insights!$C$3, 4)), E1674, "")</f>
        <v>#VALUE!</v>
      </c>
      <c r="H1674" s="26" t="e">
        <f t="shared" si="1"/>
        <v>#VALUE!</v>
      </c>
      <c r="I1674" s="1" t="e">
        <f t="shared" si="2"/>
        <v>#VALUE!</v>
      </c>
    </row>
    <row r="1675" spans="1:9" ht="15.75" customHeight="1">
      <c r="A1675" s="26"/>
      <c r="B1675" s="2"/>
      <c r="C1675" s="26"/>
      <c r="D1675" s="26"/>
      <c r="F1675" s="85" t="str">
        <f t="shared" si="0"/>
        <v/>
      </c>
      <c r="G1675" s="1" t="e">
        <f>IF(VALUE(F1675) = VALUE(RIGHT(Insights!$C$3, 4)), E1675, "")</f>
        <v>#VALUE!</v>
      </c>
      <c r="H1675" s="26" t="e">
        <f t="shared" si="1"/>
        <v>#VALUE!</v>
      </c>
      <c r="I1675" s="1" t="e">
        <f t="shared" si="2"/>
        <v>#VALUE!</v>
      </c>
    </row>
    <row r="1676" spans="1:9" ht="15.75" customHeight="1">
      <c r="A1676" s="26"/>
      <c r="B1676" s="2"/>
      <c r="C1676" s="26"/>
      <c r="D1676" s="26"/>
      <c r="F1676" s="85" t="str">
        <f t="shared" si="0"/>
        <v/>
      </c>
      <c r="G1676" s="1" t="e">
        <f>IF(VALUE(F1676) = VALUE(RIGHT(Insights!$C$3, 4)), E1676, "")</f>
        <v>#VALUE!</v>
      </c>
      <c r="H1676" s="26" t="e">
        <f t="shared" si="1"/>
        <v>#VALUE!</v>
      </c>
      <c r="I1676" s="1" t="e">
        <f t="shared" si="2"/>
        <v>#VALUE!</v>
      </c>
    </row>
    <row r="1677" spans="1:9" ht="15.75" customHeight="1">
      <c r="A1677" s="26"/>
      <c r="B1677" s="2"/>
      <c r="C1677" s="26"/>
      <c r="D1677" s="26"/>
      <c r="F1677" s="85" t="str">
        <f t="shared" si="0"/>
        <v/>
      </c>
      <c r="G1677" s="1" t="e">
        <f>IF(VALUE(F1677) = VALUE(RIGHT(Insights!$C$3, 4)), E1677, "")</f>
        <v>#VALUE!</v>
      </c>
      <c r="H1677" s="26" t="e">
        <f t="shared" si="1"/>
        <v>#VALUE!</v>
      </c>
      <c r="I1677" s="1" t="e">
        <f t="shared" si="2"/>
        <v>#VALUE!</v>
      </c>
    </row>
    <row r="1678" spans="1:9" ht="15.75" customHeight="1">
      <c r="A1678" s="26"/>
      <c r="B1678" s="2"/>
      <c r="C1678" s="26"/>
      <c r="D1678" s="26"/>
      <c r="F1678" s="85" t="str">
        <f t="shared" si="0"/>
        <v/>
      </c>
      <c r="G1678" s="1" t="e">
        <f>IF(VALUE(F1678) = VALUE(RIGHT(Insights!$C$3, 4)), E1678, "")</f>
        <v>#VALUE!</v>
      </c>
      <c r="H1678" s="26" t="e">
        <f t="shared" si="1"/>
        <v>#VALUE!</v>
      </c>
      <c r="I1678" s="1" t="e">
        <f t="shared" si="2"/>
        <v>#VALUE!</v>
      </c>
    </row>
    <row r="1679" spans="1:9" ht="15.75" customHeight="1">
      <c r="A1679" s="26"/>
      <c r="B1679" s="2"/>
      <c r="C1679" s="26"/>
      <c r="D1679" s="26"/>
      <c r="F1679" s="85" t="str">
        <f t="shared" si="0"/>
        <v/>
      </c>
      <c r="G1679" s="1" t="e">
        <f>IF(VALUE(F1679) = VALUE(RIGHT(Insights!$C$3, 4)), E1679, "")</f>
        <v>#VALUE!</v>
      </c>
      <c r="H1679" s="26" t="e">
        <f t="shared" si="1"/>
        <v>#VALUE!</v>
      </c>
      <c r="I1679" s="1" t="e">
        <f t="shared" si="2"/>
        <v>#VALUE!</v>
      </c>
    </row>
    <row r="1680" spans="1:9" ht="15.75" customHeight="1">
      <c r="A1680" s="26"/>
      <c r="B1680" s="2"/>
      <c r="C1680" s="26"/>
      <c r="D1680" s="26"/>
      <c r="F1680" s="85" t="str">
        <f t="shared" si="0"/>
        <v/>
      </c>
      <c r="G1680" s="1" t="e">
        <f>IF(VALUE(F1680) = VALUE(RIGHT(Insights!$C$3, 4)), E1680, "")</f>
        <v>#VALUE!</v>
      </c>
      <c r="H1680" s="26" t="e">
        <f t="shared" si="1"/>
        <v>#VALUE!</v>
      </c>
      <c r="I1680" s="1" t="e">
        <f t="shared" si="2"/>
        <v>#VALUE!</v>
      </c>
    </row>
    <row r="1681" spans="1:9" ht="15.75" customHeight="1">
      <c r="A1681" s="26"/>
      <c r="B1681" s="2"/>
      <c r="C1681" s="26"/>
      <c r="D1681" s="26"/>
      <c r="F1681" s="85" t="str">
        <f t="shared" si="0"/>
        <v/>
      </c>
      <c r="G1681" s="1" t="e">
        <f>IF(VALUE(F1681) = VALUE(RIGHT(Insights!$C$3, 4)), E1681, "")</f>
        <v>#VALUE!</v>
      </c>
      <c r="H1681" s="26" t="e">
        <f t="shared" si="1"/>
        <v>#VALUE!</v>
      </c>
      <c r="I1681" s="1" t="e">
        <f t="shared" si="2"/>
        <v>#VALUE!</v>
      </c>
    </row>
    <row r="1682" spans="1:9" ht="15.75" customHeight="1">
      <c r="A1682" s="26"/>
      <c r="B1682" s="2"/>
      <c r="C1682" s="26"/>
      <c r="D1682" s="26"/>
      <c r="F1682" s="85" t="str">
        <f t="shared" si="0"/>
        <v/>
      </c>
      <c r="G1682" s="1" t="e">
        <f>IF(VALUE(F1682) = VALUE(RIGHT(Insights!$C$3, 4)), E1682, "")</f>
        <v>#VALUE!</v>
      </c>
      <c r="H1682" s="26" t="e">
        <f t="shared" si="1"/>
        <v>#VALUE!</v>
      </c>
      <c r="I1682" s="1" t="e">
        <f t="shared" si="2"/>
        <v>#VALUE!</v>
      </c>
    </row>
    <row r="1683" spans="1:9" ht="15.75" customHeight="1">
      <c r="A1683" s="26"/>
      <c r="B1683" s="2"/>
      <c r="C1683" s="26"/>
      <c r="D1683" s="26"/>
      <c r="F1683" s="85" t="str">
        <f t="shared" si="0"/>
        <v/>
      </c>
      <c r="G1683" s="1" t="e">
        <f>IF(VALUE(F1683) = VALUE(RIGHT(Insights!$C$3, 4)), E1683, "")</f>
        <v>#VALUE!</v>
      </c>
      <c r="H1683" s="26" t="e">
        <f t="shared" si="1"/>
        <v>#VALUE!</v>
      </c>
      <c r="I1683" s="1" t="e">
        <f t="shared" si="2"/>
        <v>#VALUE!</v>
      </c>
    </row>
    <row r="1684" spans="1:9" ht="15.75" customHeight="1">
      <c r="A1684" s="26"/>
      <c r="B1684" s="2"/>
      <c r="C1684" s="26"/>
      <c r="D1684" s="26"/>
      <c r="F1684" s="85" t="str">
        <f t="shared" si="0"/>
        <v/>
      </c>
      <c r="G1684" s="1" t="e">
        <f>IF(VALUE(F1684) = VALUE(RIGHT(Insights!$C$3, 4)), E1684, "")</f>
        <v>#VALUE!</v>
      </c>
      <c r="H1684" s="26" t="e">
        <f t="shared" si="1"/>
        <v>#VALUE!</v>
      </c>
      <c r="I1684" s="1" t="e">
        <f t="shared" si="2"/>
        <v>#VALUE!</v>
      </c>
    </row>
    <row r="1685" spans="1:9" ht="15.75" customHeight="1">
      <c r="A1685" s="26"/>
      <c r="B1685" s="2"/>
      <c r="C1685" s="26"/>
      <c r="D1685" s="26"/>
      <c r="F1685" s="85" t="str">
        <f t="shared" si="0"/>
        <v/>
      </c>
      <c r="G1685" s="1" t="e">
        <f>IF(VALUE(F1685) = VALUE(RIGHT(Insights!$C$3, 4)), E1685, "")</f>
        <v>#VALUE!</v>
      </c>
      <c r="H1685" s="26" t="e">
        <f t="shared" si="1"/>
        <v>#VALUE!</v>
      </c>
      <c r="I1685" s="1" t="e">
        <f t="shared" si="2"/>
        <v>#VALUE!</v>
      </c>
    </row>
    <row r="1686" spans="1:9" ht="15.75" customHeight="1">
      <c r="A1686" s="26"/>
      <c r="B1686" s="2"/>
      <c r="C1686" s="26"/>
      <c r="D1686" s="26"/>
      <c r="F1686" s="85" t="str">
        <f t="shared" si="0"/>
        <v/>
      </c>
      <c r="G1686" s="1" t="e">
        <f>IF(VALUE(F1686) = VALUE(RIGHT(Insights!$C$3, 4)), E1686, "")</f>
        <v>#VALUE!</v>
      </c>
      <c r="H1686" s="26" t="e">
        <f t="shared" si="1"/>
        <v>#VALUE!</v>
      </c>
      <c r="I1686" s="1" t="e">
        <f t="shared" si="2"/>
        <v>#VALUE!</v>
      </c>
    </row>
    <row r="1687" spans="1:9" ht="15.75" customHeight="1">
      <c r="A1687" s="26"/>
      <c r="B1687" s="2"/>
      <c r="C1687" s="26"/>
      <c r="D1687" s="26"/>
      <c r="F1687" s="85" t="str">
        <f t="shared" si="0"/>
        <v/>
      </c>
      <c r="G1687" s="1" t="e">
        <f>IF(VALUE(F1687) = VALUE(RIGHT(Insights!$C$3, 4)), E1687, "")</f>
        <v>#VALUE!</v>
      </c>
      <c r="H1687" s="26" t="e">
        <f t="shared" si="1"/>
        <v>#VALUE!</v>
      </c>
      <c r="I1687" s="1" t="e">
        <f t="shared" si="2"/>
        <v>#VALUE!</v>
      </c>
    </row>
    <row r="1688" spans="1:9" ht="15.75" customHeight="1">
      <c r="A1688" s="26"/>
      <c r="B1688" s="2"/>
      <c r="C1688" s="26"/>
      <c r="D1688" s="26"/>
      <c r="F1688" s="85" t="str">
        <f t="shared" si="0"/>
        <v/>
      </c>
      <c r="G1688" s="1" t="e">
        <f>IF(VALUE(F1688) = VALUE(RIGHT(Insights!$C$3, 4)), E1688, "")</f>
        <v>#VALUE!</v>
      </c>
      <c r="H1688" s="26" t="e">
        <f t="shared" si="1"/>
        <v>#VALUE!</v>
      </c>
      <c r="I1688" s="1" t="e">
        <f t="shared" si="2"/>
        <v>#VALUE!</v>
      </c>
    </row>
    <row r="1689" spans="1:9" ht="15.75" customHeight="1">
      <c r="A1689" s="26"/>
      <c r="B1689" s="2"/>
      <c r="C1689" s="26"/>
      <c r="D1689" s="26"/>
      <c r="F1689" s="85" t="str">
        <f t="shared" si="0"/>
        <v/>
      </c>
      <c r="G1689" s="1" t="e">
        <f>IF(VALUE(F1689) = VALUE(RIGHT(Insights!$C$3, 4)), E1689, "")</f>
        <v>#VALUE!</v>
      </c>
      <c r="H1689" s="26" t="e">
        <f t="shared" si="1"/>
        <v>#VALUE!</v>
      </c>
      <c r="I1689" s="1" t="e">
        <f t="shared" si="2"/>
        <v>#VALUE!</v>
      </c>
    </row>
    <row r="1690" spans="1:9" ht="15.75" customHeight="1">
      <c r="A1690" s="26"/>
      <c r="B1690" s="2"/>
      <c r="C1690" s="26"/>
      <c r="D1690" s="26"/>
      <c r="F1690" s="85" t="str">
        <f t="shared" si="0"/>
        <v/>
      </c>
      <c r="G1690" s="1" t="e">
        <f>IF(VALUE(F1690) = VALUE(RIGHT(Insights!$C$3, 4)), E1690, "")</f>
        <v>#VALUE!</v>
      </c>
      <c r="H1690" s="26" t="e">
        <f t="shared" si="1"/>
        <v>#VALUE!</v>
      </c>
      <c r="I1690" s="1" t="e">
        <f t="shared" si="2"/>
        <v>#VALUE!</v>
      </c>
    </row>
    <row r="1691" spans="1:9" ht="15.75" customHeight="1">
      <c r="A1691" s="26"/>
      <c r="B1691" s="2"/>
      <c r="C1691" s="26"/>
      <c r="D1691" s="26"/>
      <c r="F1691" s="85" t="str">
        <f t="shared" si="0"/>
        <v/>
      </c>
      <c r="G1691" s="1" t="e">
        <f>IF(VALUE(F1691) = VALUE(RIGHT(Insights!$C$3, 4)), E1691, "")</f>
        <v>#VALUE!</v>
      </c>
      <c r="H1691" s="26" t="e">
        <f t="shared" si="1"/>
        <v>#VALUE!</v>
      </c>
      <c r="I1691" s="1" t="e">
        <f t="shared" si="2"/>
        <v>#VALUE!</v>
      </c>
    </row>
    <row r="1692" spans="1:9" ht="15.75" customHeight="1">
      <c r="A1692" s="26"/>
      <c r="B1692" s="2"/>
      <c r="C1692" s="26"/>
      <c r="D1692" s="26"/>
      <c r="F1692" s="85" t="str">
        <f t="shared" si="0"/>
        <v/>
      </c>
      <c r="G1692" s="1" t="e">
        <f>IF(VALUE(F1692) = VALUE(RIGHT(Insights!$C$3, 4)), E1692, "")</f>
        <v>#VALUE!</v>
      </c>
      <c r="H1692" s="26" t="e">
        <f t="shared" si="1"/>
        <v>#VALUE!</v>
      </c>
      <c r="I1692" s="1" t="e">
        <f t="shared" si="2"/>
        <v>#VALUE!</v>
      </c>
    </row>
    <row r="1693" spans="1:9" ht="15.75" customHeight="1">
      <c r="A1693" s="26"/>
      <c r="B1693" s="2"/>
      <c r="C1693" s="26"/>
      <c r="D1693" s="26"/>
      <c r="F1693" s="85" t="str">
        <f t="shared" si="0"/>
        <v/>
      </c>
      <c r="G1693" s="1" t="e">
        <f>IF(VALUE(F1693) = VALUE(RIGHT(Insights!$C$3, 4)), E1693, "")</f>
        <v>#VALUE!</v>
      </c>
      <c r="H1693" s="26" t="e">
        <f t="shared" si="1"/>
        <v>#VALUE!</v>
      </c>
      <c r="I1693" s="1" t="e">
        <f t="shared" si="2"/>
        <v>#VALUE!</v>
      </c>
    </row>
    <row r="1694" spans="1:9" ht="15.75" customHeight="1">
      <c r="A1694" s="26"/>
      <c r="B1694" s="2"/>
      <c r="C1694" s="26"/>
      <c r="D1694" s="26"/>
      <c r="F1694" s="85" t="str">
        <f t="shared" si="0"/>
        <v/>
      </c>
      <c r="G1694" s="1" t="e">
        <f>IF(VALUE(F1694) = VALUE(RIGHT(Insights!$C$3, 4)), E1694, "")</f>
        <v>#VALUE!</v>
      </c>
      <c r="H1694" s="26" t="e">
        <f t="shared" si="1"/>
        <v>#VALUE!</v>
      </c>
      <c r="I1694" s="1" t="e">
        <f t="shared" si="2"/>
        <v>#VALUE!</v>
      </c>
    </row>
    <row r="1695" spans="1:9" ht="15.75" customHeight="1">
      <c r="A1695" s="26"/>
      <c r="B1695" s="2"/>
      <c r="C1695" s="26"/>
      <c r="D1695" s="26"/>
      <c r="F1695" s="85" t="str">
        <f t="shared" si="0"/>
        <v/>
      </c>
      <c r="G1695" s="1" t="e">
        <f>IF(VALUE(F1695) = VALUE(RIGHT(Insights!$C$3, 4)), E1695, "")</f>
        <v>#VALUE!</v>
      </c>
      <c r="H1695" s="26" t="e">
        <f t="shared" si="1"/>
        <v>#VALUE!</v>
      </c>
      <c r="I1695" s="1" t="e">
        <f t="shared" si="2"/>
        <v>#VALUE!</v>
      </c>
    </row>
    <row r="1696" spans="1:9" ht="15.75" customHeight="1">
      <c r="A1696" s="26"/>
      <c r="B1696" s="2"/>
      <c r="C1696" s="26"/>
      <c r="D1696" s="26"/>
      <c r="F1696" s="85" t="str">
        <f t="shared" si="0"/>
        <v/>
      </c>
      <c r="G1696" s="1" t="e">
        <f>IF(VALUE(F1696) = VALUE(RIGHT(Insights!$C$3, 4)), E1696, "")</f>
        <v>#VALUE!</v>
      </c>
      <c r="H1696" s="26" t="e">
        <f t="shared" si="1"/>
        <v>#VALUE!</v>
      </c>
      <c r="I1696" s="1" t="e">
        <f t="shared" si="2"/>
        <v>#VALUE!</v>
      </c>
    </row>
    <row r="1697" spans="1:9" ht="15.75" customHeight="1">
      <c r="A1697" s="26"/>
      <c r="B1697" s="2"/>
      <c r="C1697" s="26"/>
      <c r="D1697" s="26"/>
      <c r="F1697" s="85" t="str">
        <f t="shared" si="0"/>
        <v/>
      </c>
      <c r="G1697" s="1" t="e">
        <f>IF(VALUE(F1697) = VALUE(RIGHT(Insights!$C$3, 4)), E1697, "")</f>
        <v>#VALUE!</v>
      </c>
      <c r="H1697" s="26" t="e">
        <f t="shared" si="1"/>
        <v>#VALUE!</v>
      </c>
      <c r="I1697" s="1" t="e">
        <f t="shared" si="2"/>
        <v>#VALUE!</v>
      </c>
    </row>
    <row r="1698" spans="1:9" ht="15.75" customHeight="1">
      <c r="A1698" s="26"/>
      <c r="B1698" s="2"/>
      <c r="C1698" s="26"/>
      <c r="D1698" s="26"/>
      <c r="F1698" s="85" t="str">
        <f t="shared" si="0"/>
        <v/>
      </c>
      <c r="G1698" s="1" t="e">
        <f>IF(VALUE(F1698) = VALUE(RIGHT(Insights!$C$3, 4)), E1698, "")</f>
        <v>#VALUE!</v>
      </c>
      <c r="H1698" s="26" t="e">
        <f t="shared" si="1"/>
        <v>#VALUE!</v>
      </c>
      <c r="I1698" s="1" t="e">
        <f t="shared" si="2"/>
        <v>#VALUE!</v>
      </c>
    </row>
    <row r="1699" spans="1:9" ht="15.75" customHeight="1">
      <c r="A1699" s="26"/>
      <c r="B1699" s="2"/>
      <c r="C1699" s="26"/>
      <c r="D1699" s="26"/>
      <c r="F1699" s="85" t="str">
        <f t="shared" si="0"/>
        <v/>
      </c>
      <c r="G1699" s="1" t="e">
        <f>IF(VALUE(F1699) = VALUE(RIGHT(Insights!$C$3, 4)), E1699, "")</f>
        <v>#VALUE!</v>
      </c>
      <c r="H1699" s="26" t="e">
        <f t="shared" si="1"/>
        <v>#VALUE!</v>
      </c>
      <c r="I1699" s="1" t="e">
        <f t="shared" si="2"/>
        <v>#VALUE!</v>
      </c>
    </row>
    <row r="1700" spans="1:9" ht="15.75" customHeight="1">
      <c r="A1700" s="26"/>
      <c r="B1700" s="2"/>
      <c r="C1700" s="26"/>
      <c r="D1700" s="26"/>
      <c r="F1700" s="85" t="str">
        <f t="shared" si="0"/>
        <v/>
      </c>
      <c r="G1700" s="1" t="e">
        <f>IF(VALUE(F1700) = VALUE(RIGHT(Insights!$C$3, 4)), E1700, "")</f>
        <v>#VALUE!</v>
      </c>
      <c r="H1700" s="26" t="e">
        <f t="shared" si="1"/>
        <v>#VALUE!</v>
      </c>
      <c r="I1700" s="1" t="e">
        <f t="shared" si="2"/>
        <v>#VALUE!</v>
      </c>
    </row>
    <row r="1701" spans="1:9" ht="15.75" customHeight="1">
      <c r="A1701" s="26"/>
      <c r="B1701" s="2"/>
      <c r="C1701" s="26"/>
      <c r="D1701" s="26"/>
      <c r="F1701" s="85" t="str">
        <f t="shared" si="0"/>
        <v/>
      </c>
      <c r="G1701" s="1" t="e">
        <f>IF(VALUE(F1701) = VALUE(RIGHT(Insights!$C$3, 4)), E1701, "")</f>
        <v>#VALUE!</v>
      </c>
      <c r="H1701" s="26" t="e">
        <f t="shared" si="1"/>
        <v>#VALUE!</v>
      </c>
      <c r="I1701" s="1" t="e">
        <f t="shared" si="2"/>
        <v>#VALUE!</v>
      </c>
    </row>
    <row r="1702" spans="1:9" ht="15.75" customHeight="1">
      <c r="A1702" s="26"/>
      <c r="B1702" s="2"/>
      <c r="C1702" s="26"/>
      <c r="D1702" s="26"/>
      <c r="F1702" s="85" t="str">
        <f t="shared" si="0"/>
        <v/>
      </c>
      <c r="G1702" s="1" t="e">
        <f>IF(VALUE(F1702) = VALUE(RIGHT(Insights!$C$3, 4)), E1702, "")</f>
        <v>#VALUE!</v>
      </c>
      <c r="H1702" s="26" t="e">
        <f t="shared" si="1"/>
        <v>#VALUE!</v>
      </c>
      <c r="I1702" s="1" t="e">
        <f t="shared" si="2"/>
        <v>#VALUE!</v>
      </c>
    </row>
    <row r="1703" spans="1:9" ht="15.75" customHeight="1">
      <c r="A1703" s="26"/>
      <c r="B1703" s="2"/>
      <c r="C1703" s="26"/>
      <c r="D1703" s="26"/>
      <c r="F1703" s="85" t="str">
        <f t="shared" si="0"/>
        <v/>
      </c>
      <c r="G1703" s="1" t="e">
        <f>IF(VALUE(F1703) = VALUE(RIGHT(Insights!$C$3, 4)), E1703, "")</f>
        <v>#VALUE!</v>
      </c>
      <c r="H1703" s="26" t="e">
        <f t="shared" si="1"/>
        <v>#VALUE!</v>
      </c>
      <c r="I1703" s="1" t="e">
        <f t="shared" si="2"/>
        <v>#VALUE!</v>
      </c>
    </row>
    <row r="1704" spans="1:9" ht="15.75" customHeight="1">
      <c r="A1704" s="26"/>
      <c r="B1704" s="2"/>
      <c r="C1704" s="26"/>
      <c r="D1704" s="26"/>
      <c r="F1704" s="85" t="str">
        <f t="shared" si="0"/>
        <v/>
      </c>
      <c r="G1704" s="1" t="e">
        <f>IF(VALUE(F1704) = VALUE(RIGHT(Insights!$C$3, 4)), E1704, "")</f>
        <v>#VALUE!</v>
      </c>
      <c r="H1704" s="26" t="e">
        <f t="shared" si="1"/>
        <v>#VALUE!</v>
      </c>
      <c r="I1704" s="1" t="e">
        <f t="shared" si="2"/>
        <v>#VALUE!</v>
      </c>
    </row>
    <row r="1705" spans="1:9" ht="15.75" customHeight="1">
      <c r="A1705" s="26"/>
      <c r="B1705" s="2"/>
      <c r="C1705" s="26"/>
      <c r="D1705" s="26"/>
      <c r="F1705" s="85" t="str">
        <f t="shared" si="0"/>
        <v/>
      </c>
      <c r="G1705" s="1" t="e">
        <f>IF(VALUE(F1705) = VALUE(RIGHT(Insights!$C$3, 4)), E1705, "")</f>
        <v>#VALUE!</v>
      </c>
      <c r="H1705" s="26" t="e">
        <f t="shared" si="1"/>
        <v>#VALUE!</v>
      </c>
      <c r="I1705" s="1" t="e">
        <f t="shared" si="2"/>
        <v>#VALUE!</v>
      </c>
    </row>
    <row r="1706" spans="1:9" ht="15.75" customHeight="1">
      <c r="A1706" s="26"/>
      <c r="B1706" s="2"/>
      <c r="C1706" s="26"/>
      <c r="D1706" s="26"/>
      <c r="F1706" s="85" t="str">
        <f t="shared" si="0"/>
        <v/>
      </c>
      <c r="G1706" s="1" t="e">
        <f>IF(VALUE(F1706) = VALUE(RIGHT(Insights!$C$3, 4)), E1706, "")</f>
        <v>#VALUE!</v>
      </c>
      <c r="H1706" s="26" t="e">
        <f t="shared" si="1"/>
        <v>#VALUE!</v>
      </c>
      <c r="I1706" s="1" t="e">
        <f t="shared" si="2"/>
        <v>#VALUE!</v>
      </c>
    </row>
    <row r="1707" spans="1:9" ht="15.75" customHeight="1">
      <c r="A1707" s="26"/>
      <c r="B1707" s="2"/>
      <c r="C1707" s="26"/>
      <c r="D1707" s="26"/>
      <c r="F1707" s="85" t="str">
        <f t="shared" si="0"/>
        <v/>
      </c>
      <c r="G1707" s="1" t="e">
        <f>IF(VALUE(F1707) = VALUE(RIGHT(Insights!$C$3, 4)), E1707, "")</f>
        <v>#VALUE!</v>
      </c>
      <c r="H1707" s="26" t="e">
        <f t="shared" si="1"/>
        <v>#VALUE!</v>
      </c>
      <c r="I1707" s="1" t="e">
        <f t="shared" si="2"/>
        <v>#VALUE!</v>
      </c>
    </row>
    <row r="1708" spans="1:9" ht="15.75" customHeight="1">
      <c r="A1708" s="26"/>
      <c r="B1708" s="2"/>
      <c r="C1708" s="26"/>
      <c r="D1708" s="26"/>
      <c r="F1708" s="85" t="str">
        <f t="shared" si="0"/>
        <v/>
      </c>
      <c r="G1708" s="1" t="e">
        <f>IF(VALUE(F1708) = VALUE(RIGHT(Insights!$C$3, 4)), E1708, "")</f>
        <v>#VALUE!</v>
      </c>
      <c r="H1708" s="26" t="e">
        <f t="shared" si="1"/>
        <v>#VALUE!</v>
      </c>
      <c r="I1708" s="1" t="e">
        <f t="shared" si="2"/>
        <v>#VALUE!</v>
      </c>
    </row>
    <row r="1709" spans="1:9" ht="15.75" customHeight="1">
      <c r="A1709" s="26"/>
      <c r="B1709" s="2"/>
      <c r="C1709" s="26"/>
      <c r="D1709" s="26"/>
      <c r="F1709" s="85" t="str">
        <f t="shared" si="0"/>
        <v/>
      </c>
      <c r="G1709" s="1" t="e">
        <f>IF(VALUE(F1709) = VALUE(RIGHT(Insights!$C$3, 4)), E1709, "")</f>
        <v>#VALUE!</v>
      </c>
      <c r="H1709" s="26" t="e">
        <f t="shared" si="1"/>
        <v>#VALUE!</v>
      </c>
      <c r="I1709" s="1" t="e">
        <f t="shared" si="2"/>
        <v>#VALUE!</v>
      </c>
    </row>
    <row r="1710" spans="1:9" ht="15.75" customHeight="1">
      <c r="A1710" s="26"/>
      <c r="B1710" s="2"/>
      <c r="C1710" s="26"/>
      <c r="D1710" s="26"/>
      <c r="F1710" s="85" t="str">
        <f t="shared" si="0"/>
        <v/>
      </c>
      <c r="G1710" s="1" t="e">
        <f>IF(VALUE(F1710) = VALUE(RIGHT(Insights!$C$3, 4)), E1710, "")</f>
        <v>#VALUE!</v>
      </c>
      <c r="H1710" s="26" t="e">
        <f t="shared" si="1"/>
        <v>#VALUE!</v>
      </c>
      <c r="I1710" s="1" t="e">
        <f t="shared" si="2"/>
        <v>#VALUE!</v>
      </c>
    </row>
    <row r="1711" spans="1:9" ht="15.75" customHeight="1">
      <c r="A1711" s="26"/>
      <c r="B1711" s="2"/>
      <c r="C1711" s="26"/>
      <c r="D1711" s="26"/>
      <c r="F1711" s="85" t="str">
        <f t="shared" si="0"/>
        <v/>
      </c>
      <c r="G1711" s="1" t="e">
        <f>IF(VALUE(F1711) = VALUE(RIGHT(Insights!$C$3, 4)), E1711, "")</f>
        <v>#VALUE!</v>
      </c>
      <c r="H1711" s="26" t="e">
        <f t="shared" si="1"/>
        <v>#VALUE!</v>
      </c>
      <c r="I1711" s="1" t="e">
        <f t="shared" si="2"/>
        <v>#VALUE!</v>
      </c>
    </row>
    <row r="1712" spans="1:9" ht="15.75" customHeight="1">
      <c r="A1712" s="26"/>
      <c r="B1712" s="2"/>
      <c r="C1712" s="26"/>
      <c r="D1712" s="26"/>
      <c r="F1712" s="85" t="str">
        <f t="shared" si="0"/>
        <v/>
      </c>
      <c r="G1712" s="1" t="e">
        <f>IF(VALUE(F1712) = VALUE(RIGHT(Insights!$C$3, 4)), E1712, "")</f>
        <v>#VALUE!</v>
      </c>
      <c r="H1712" s="26" t="e">
        <f t="shared" si="1"/>
        <v>#VALUE!</v>
      </c>
      <c r="I1712" s="1" t="e">
        <f t="shared" si="2"/>
        <v>#VALUE!</v>
      </c>
    </row>
    <row r="1713" spans="1:9" ht="15.75" customHeight="1">
      <c r="A1713" s="26"/>
      <c r="B1713" s="2"/>
      <c r="C1713" s="26"/>
      <c r="D1713" s="26"/>
      <c r="F1713" s="85" t="str">
        <f t="shared" si="0"/>
        <v/>
      </c>
      <c r="G1713" s="1" t="e">
        <f>IF(VALUE(F1713) = VALUE(RIGHT(Insights!$C$3, 4)), E1713, "")</f>
        <v>#VALUE!</v>
      </c>
      <c r="H1713" s="26" t="e">
        <f t="shared" si="1"/>
        <v>#VALUE!</v>
      </c>
      <c r="I1713" s="1" t="e">
        <f t="shared" si="2"/>
        <v>#VALUE!</v>
      </c>
    </row>
    <row r="1714" spans="1:9" ht="15.75" customHeight="1">
      <c r="A1714" s="26"/>
      <c r="B1714" s="2"/>
      <c r="C1714" s="26"/>
      <c r="D1714" s="26"/>
      <c r="F1714" s="85" t="str">
        <f t="shared" si="0"/>
        <v/>
      </c>
      <c r="G1714" s="1" t="e">
        <f>IF(VALUE(F1714) = VALUE(RIGHT(Insights!$C$3, 4)), E1714, "")</f>
        <v>#VALUE!</v>
      </c>
      <c r="H1714" s="26" t="e">
        <f t="shared" si="1"/>
        <v>#VALUE!</v>
      </c>
      <c r="I1714" s="1" t="e">
        <f t="shared" si="2"/>
        <v>#VALUE!</v>
      </c>
    </row>
    <row r="1715" spans="1:9" ht="15.75" customHeight="1">
      <c r="A1715" s="26"/>
      <c r="B1715" s="2"/>
      <c r="C1715" s="26"/>
      <c r="D1715" s="26"/>
      <c r="F1715" s="85" t="str">
        <f t="shared" si="0"/>
        <v/>
      </c>
      <c r="G1715" s="1" t="e">
        <f>IF(VALUE(F1715) = VALUE(RIGHT(Insights!$C$3, 4)), E1715, "")</f>
        <v>#VALUE!</v>
      </c>
      <c r="H1715" s="26" t="e">
        <f t="shared" si="1"/>
        <v>#VALUE!</v>
      </c>
      <c r="I1715" s="1" t="e">
        <f t="shared" si="2"/>
        <v>#VALUE!</v>
      </c>
    </row>
    <row r="1716" spans="1:9" ht="15.75" customHeight="1">
      <c r="A1716" s="26"/>
      <c r="B1716" s="2"/>
      <c r="C1716" s="26"/>
      <c r="D1716" s="26"/>
      <c r="F1716" s="85" t="str">
        <f t="shared" si="0"/>
        <v/>
      </c>
      <c r="G1716" s="1" t="e">
        <f>IF(VALUE(F1716) = VALUE(RIGHT(Insights!$C$3, 4)), E1716, "")</f>
        <v>#VALUE!</v>
      </c>
      <c r="H1716" s="26" t="e">
        <f t="shared" si="1"/>
        <v>#VALUE!</v>
      </c>
      <c r="I1716" s="1" t="e">
        <f t="shared" si="2"/>
        <v>#VALUE!</v>
      </c>
    </row>
    <row r="1717" spans="1:9" ht="15.75" customHeight="1">
      <c r="A1717" s="26"/>
      <c r="B1717" s="2"/>
      <c r="C1717" s="26"/>
      <c r="D1717" s="26"/>
      <c r="F1717" s="85" t="str">
        <f t="shared" si="0"/>
        <v/>
      </c>
      <c r="G1717" s="1" t="e">
        <f>IF(VALUE(F1717) = VALUE(RIGHT(Insights!$C$3, 4)), E1717, "")</f>
        <v>#VALUE!</v>
      </c>
      <c r="H1717" s="26" t="e">
        <f t="shared" si="1"/>
        <v>#VALUE!</v>
      </c>
      <c r="I1717" s="1" t="e">
        <f t="shared" si="2"/>
        <v>#VALUE!</v>
      </c>
    </row>
    <row r="1718" spans="1:9" ht="15.75" customHeight="1">
      <c r="A1718" s="26"/>
      <c r="B1718" s="2"/>
      <c r="C1718" s="26"/>
      <c r="D1718" s="26"/>
      <c r="F1718" s="85" t="str">
        <f t="shared" si="0"/>
        <v/>
      </c>
      <c r="G1718" s="1" t="e">
        <f>IF(VALUE(F1718) = VALUE(RIGHT(Insights!$C$3, 4)), E1718, "")</f>
        <v>#VALUE!</v>
      </c>
      <c r="H1718" s="26" t="e">
        <f t="shared" si="1"/>
        <v>#VALUE!</v>
      </c>
      <c r="I1718" s="1" t="e">
        <f t="shared" si="2"/>
        <v>#VALUE!</v>
      </c>
    </row>
    <row r="1719" spans="1:9" ht="15.75" customHeight="1">
      <c r="A1719" s="26"/>
      <c r="B1719" s="2"/>
      <c r="C1719" s="26"/>
      <c r="D1719" s="26"/>
      <c r="F1719" s="85" t="str">
        <f t="shared" si="0"/>
        <v/>
      </c>
      <c r="G1719" s="1" t="e">
        <f>IF(VALUE(F1719) = VALUE(RIGHT(Insights!$C$3, 4)), E1719, "")</f>
        <v>#VALUE!</v>
      </c>
      <c r="H1719" s="26" t="e">
        <f t="shared" si="1"/>
        <v>#VALUE!</v>
      </c>
      <c r="I1719" s="1" t="e">
        <f t="shared" si="2"/>
        <v>#VALUE!</v>
      </c>
    </row>
    <row r="1720" spans="1:9" ht="15.75" customHeight="1">
      <c r="A1720" s="26"/>
      <c r="B1720" s="2"/>
      <c r="C1720" s="26"/>
      <c r="D1720" s="26"/>
      <c r="F1720" s="85" t="str">
        <f t="shared" si="0"/>
        <v/>
      </c>
      <c r="G1720" s="1" t="e">
        <f>IF(VALUE(F1720) = VALUE(RIGHT(Insights!$C$3, 4)), E1720, "")</f>
        <v>#VALUE!</v>
      </c>
      <c r="H1720" s="26" t="e">
        <f t="shared" si="1"/>
        <v>#VALUE!</v>
      </c>
      <c r="I1720" s="1" t="e">
        <f t="shared" si="2"/>
        <v>#VALUE!</v>
      </c>
    </row>
    <row r="1721" spans="1:9" ht="15.75" customHeight="1">
      <c r="A1721" s="26"/>
      <c r="B1721" s="2"/>
      <c r="C1721" s="26"/>
      <c r="D1721" s="26"/>
      <c r="F1721" s="85" t="str">
        <f t="shared" si="0"/>
        <v/>
      </c>
      <c r="G1721" s="1" t="e">
        <f>IF(VALUE(F1721) = VALUE(RIGHT(Insights!$C$3, 4)), E1721, "")</f>
        <v>#VALUE!</v>
      </c>
      <c r="H1721" s="26" t="e">
        <f t="shared" si="1"/>
        <v>#VALUE!</v>
      </c>
      <c r="I1721" s="1" t="e">
        <f t="shared" si="2"/>
        <v>#VALUE!</v>
      </c>
    </row>
    <row r="1722" spans="1:9" ht="15.75" customHeight="1">
      <c r="A1722" s="26"/>
      <c r="B1722" s="2"/>
      <c r="C1722" s="26"/>
      <c r="D1722" s="26"/>
      <c r="F1722" s="85" t="str">
        <f t="shared" si="0"/>
        <v/>
      </c>
      <c r="G1722" s="1" t="e">
        <f>IF(VALUE(F1722) = VALUE(RIGHT(Insights!$C$3, 4)), E1722, "")</f>
        <v>#VALUE!</v>
      </c>
      <c r="H1722" s="26" t="e">
        <f t="shared" si="1"/>
        <v>#VALUE!</v>
      </c>
      <c r="I1722" s="1" t="e">
        <f t="shared" si="2"/>
        <v>#VALUE!</v>
      </c>
    </row>
    <row r="1723" spans="1:9" ht="15.75" customHeight="1">
      <c r="A1723" s="26"/>
      <c r="B1723" s="2"/>
      <c r="C1723" s="26"/>
      <c r="D1723" s="26"/>
      <c r="F1723" s="85" t="str">
        <f t="shared" si="0"/>
        <v/>
      </c>
      <c r="G1723" s="1" t="e">
        <f>IF(VALUE(F1723) = VALUE(RIGHT(Insights!$C$3, 4)), E1723, "")</f>
        <v>#VALUE!</v>
      </c>
      <c r="H1723" s="26" t="e">
        <f t="shared" si="1"/>
        <v>#VALUE!</v>
      </c>
      <c r="I1723" s="1" t="e">
        <f t="shared" si="2"/>
        <v>#VALUE!</v>
      </c>
    </row>
    <row r="1724" spans="1:9" ht="15.75" customHeight="1">
      <c r="A1724" s="26"/>
      <c r="B1724" s="2"/>
      <c r="C1724" s="26"/>
      <c r="D1724" s="26"/>
      <c r="F1724" s="85" t="str">
        <f t="shared" si="0"/>
        <v/>
      </c>
      <c r="G1724" s="1" t="e">
        <f>IF(VALUE(F1724) = VALUE(RIGHT(Insights!$C$3, 4)), E1724, "")</f>
        <v>#VALUE!</v>
      </c>
      <c r="H1724" s="26" t="e">
        <f t="shared" si="1"/>
        <v>#VALUE!</v>
      </c>
      <c r="I1724" s="1" t="e">
        <f t="shared" si="2"/>
        <v>#VALUE!</v>
      </c>
    </row>
    <row r="1725" spans="1:9" ht="15.75" customHeight="1">
      <c r="A1725" s="26"/>
      <c r="B1725" s="2"/>
      <c r="C1725" s="26"/>
      <c r="D1725" s="26"/>
      <c r="F1725" s="85" t="str">
        <f t="shared" si="0"/>
        <v/>
      </c>
      <c r="G1725" s="1" t="e">
        <f>IF(VALUE(F1725) = VALUE(RIGHT(Insights!$C$3, 4)), E1725, "")</f>
        <v>#VALUE!</v>
      </c>
      <c r="H1725" s="26" t="e">
        <f t="shared" si="1"/>
        <v>#VALUE!</v>
      </c>
      <c r="I1725" s="1" t="e">
        <f t="shared" si="2"/>
        <v>#VALUE!</v>
      </c>
    </row>
    <row r="1726" spans="1:9" ht="15.75" customHeight="1">
      <c r="A1726" s="26"/>
      <c r="B1726" s="2"/>
      <c r="C1726" s="26"/>
      <c r="D1726" s="26"/>
      <c r="F1726" s="85" t="str">
        <f t="shared" si="0"/>
        <v/>
      </c>
      <c r="G1726" s="1" t="e">
        <f>IF(VALUE(F1726) = VALUE(RIGHT(Insights!$C$3, 4)), E1726, "")</f>
        <v>#VALUE!</v>
      </c>
      <c r="H1726" s="26" t="e">
        <f t="shared" si="1"/>
        <v>#VALUE!</v>
      </c>
      <c r="I1726" s="1" t="e">
        <f t="shared" si="2"/>
        <v>#VALUE!</v>
      </c>
    </row>
    <row r="1727" spans="1:9" ht="15.75" customHeight="1">
      <c r="A1727" s="26"/>
      <c r="B1727" s="2"/>
      <c r="C1727" s="26"/>
      <c r="D1727" s="26"/>
      <c r="F1727" s="85" t="str">
        <f t="shared" si="0"/>
        <v/>
      </c>
      <c r="G1727" s="1" t="e">
        <f>IF(VALUE(F1727) = VALUE(RIGHT(Insights!$C$3, 4)), E1727, "")</f>
        <v>#VALUE!</v>
      </c>
      <c r="H1727" s="26" t="e">
        <f t="shared" si="1"/>
        <v>#VALUE!</v>
      </c>
      <c r="I1727" s="1" t="e">
        <f t="shared" si="2"/>
        <v>#VALUE!</v>
      </c>
    </row>
    <row r="1728" spans="1:9" ht="15.75" customHeight="1">
      <c r="A1728" s="26"/>
      <c r="B1728" s="2"/>
      <c r="C1728" s="26"/>
      <c r="D1728" s="26"/>
      <c r="F1728" s="85" t="str">
        <f t="shared" si="0"/>
        <v/>
      </c>
      <c r="G1728" s="1" t="e">
        <f>IF(VALUE(F1728) = VALUE(RIGHT(Insights!$C$3, 4)), E1728, "")</f>
        <v>#VALUE!</v>
      </c>
      <c r="H1728" s="26" t="e">
        <f t="shared" si="1"/>
        <v>#VALUE!</v>
      </c>
      <c r="I1728" s="1" t="e">
        <f t="shared" si="2"/>
        <v>#VALUE!</v>
      </c>
    </row>
    <row r="1729" spans="1:9" ht="15.75" customHeight="1">
      <c r="A1729" s="26"/>
      <c r="B1729" s="2"/>
      <c r="C1729" s="26"/>
      <c r="D1729" s="26"/>
      <c r="F1729" s="85" t="str">
        <f t="shared" si="0"/>
        <v/>
      </c>
      <c r="G1729" s="1" t="e">
        <f>IF(VALUE(F1729) = VALUE(RIGHT(Insights!$C$3, 4)), E1729, "")</f>
        <v>#VALUE!</v>
      </c>
      <c r="H1729" s="26" t="e">
        <f t="shared" si="1"/>
        <v>#VALUE!</v>
      </c>
      <c r="I1729" s="1" t="e">
        <f t="shared" si="2"/>
        <v>#VALUE!</v>
      </c>
    </row>
    <row r="1730" spans="1:9" ht="15.75" customHeight="1">
      <c r="A1730" s="26"/>
      <c r="B1730" s="2"/>
      <c r="C1730" s="26"/>
      <c r="D1730" s="26"/>
      <c r="F1730" s="85" t="str">
        <f t="shared" si="0"/>
        <v/>
      </c>
      <c r="G1730" s="1" t="e">
        <f>IF(VALUE(F1730) = VALUE(RIGHT(Insights!$C$3, 4)), E1730, "")</f>
        <v>#VALUE!</v>
      </c>
      <c r="H1730" s="26" t="e">
        <f t="shared" si="1"/>
        <v>#VALUE!</v>
      </c>
      <c r="I1730" s="1" t="e">
        <f t="shared" si="2"/>
        <v>#VALUE!</v>
      </c>
    </row>
    <row r="1731" spans="1:9" ht="15.75" customHeight="1">
      <c r="A1731" s="26"/>
      <c r="B1731" s="2"/>
      <c r="C1731" s="26"/>
      <c r="D1731" s="26"/>
      <c r="F1731" s="85" t="str">
        <f t="shared" si="0"/>
        <v/>
      </c>
      <c r="G1731" s="1" t="e">
        <f>IF(VALUE(F1731) = VALUE(RIGHT(Insights!$C$3, 4)), E1731, "")</f>
        <v>#VALUE!</v>
      </c>
      <c r="H1731" s="26" t="e">
        <f t="shared" si="1"/>
        <v>#VALUE!</v>
      </c>
      <c r="I1731" s="1" t="e">
        <f t="shared" si="2"/>
        <v>#VALUE!</v>
      </c>
    </row>
    <row r="1732" spans="1:9" ht="15.75" customHeight="1">
      <c r="A1732" s="26"/>
      <c r="B1732" s="2"/>
      <c r="C1732" s="26"/>
      <c r="D1732" s="26"/>
      <c r="F1732" s="85" t="str">
        <f t="shared" si="0"/>
        <v/>
      </c>
      <c r="G1732" s="1" t="e">
        <f>IF(VALUE(F1732) = VALUE(RIGHT(Insights!$C$3, 4)), E1732, "")</f>
        <v>#VALUE!</v>
      </c>
      <c r="H1732" s="26" t="e">
        <f t="shared" si="1"/>
        <v>#VALUE!</v>
      </c>
      <c r="I1732" s="1" t="e">
        <f t="shared" si="2"/>
        <v>#VALUE!</v>
      </c>
    </row>
    <row r="1733" spans="1:9" ht="15.75" customHeight="1">
      <c r="A1733" s="26"/>
      <c r="B1733" s="2"/>
      <c r="C1733" s="26"/>
      <c r="D1733" s="26"/>
      <c r="F1733" s="85" t="str">
        <f t="shared" si="0"/>
        <v/>
      </c>
      <c r="G1733" s="1" t="e">
        <f>IF(VALUE(F1733) = VALUE(RIGHT(Insights!$C$3, 4)), E1733, "")</f>
        <v>#VALUE!</v>
      </c>
      <c r="H1733" s="26" t="e">
        <f t="shared" si="1"/>
        <v>#VALUE!</v>
      </c>
      <c r="I1733" s="1" t="e">
        <f t="shared" si="2"/>
        <v>#VALUE!</v>
      </c>
    </row>
    <row r="1734" spans="1:9" ht="15.75" customHeight="1">
      <c r="A1734" s="26"/>
      <c r="B1734" s="2"/>
      <c r="C1734" s="26"/>
      <c r="D1734" s="26"/>
      <c r="F1734" s="85" t="str">
        <f t="shared" si="0"/>
        <v/>
      </c>
      <c r="G1734" s="1" t="e">
        <f>IF(VALUE(F1734) = VALUE(RIGHT(Insights!$C$3, 4)), E1734, "")</f>
        <v>#VALUE!</v>
      </c>
      <c r="H1734" s="26" t="e">
        <f t="shared" si="1"/>
        <v>#VALUE!</v>
      </c>
      <c r="I1734" s="1" t="e">
        <f t="shared" si="2"/>
        <v>#VALUE!</v>
      </c>
    </row>
    <row r="1735" spans="1:9" ht="15.75" customHeight="1">
      <c r="A1735" s="26"/>
      <c r="B1735" s="2"/>
      <c r="C1735" s="26"/>
      <c r="D1735" s="26"/>
      <c r="F1735" s="85" t="str">
        <f t="shared" si="0"/>
        <v/>
      </c>
      <c r="G1735" s="1" t="e">
        <f>IF(VALUE(F1735) = VALUE(RIGHT(Insights!$C$3, 4)), E1735, "")</f>
        <v>#VALUE!</v>
      </c>
      <c r="H1735" s="26" t="e">
        <f t="shared" si="1"/>
        <v>#VALUE!</v>
      </c>
      <c r="I1735" s="1" t="e">
        <f t="shared" si="2"/>
        <v>#VALUE!</v>
      </c>
    </row>
    <row r="1736" spans="1:9" ht="15.75" customHeight="1">
      <c r="A1736" s="26"/>
      <c r="B1736" s="2"/>
      <c r="C1736" s="26"/>
      <c r="D1736" s="26"/>
      <c r="F1736" s="85" t="str">
        <f t="shared" si="0"/>
        <v/>
      </c>
      <c r="G1736" s="1" t="e">
        <f>IF(VALUE(F1736) = VALUE(RIGHT(Insights!$C$3, 4)), E1736, "")</f>
        <v>#VALUE!</v>
      </c>
      <c r="H1736" s="26" t="e">
        <f t="shared" si="1"/>
        <v>#VALUE!</v>
      </c>
      <c r="I1736" s="1" t="e">
        <f t="shared" si="2"/>
        <v>#VALUE!</v>
      </c>
    </row>
    <row r="1737" spans="1:9" ht="15.75" customHeight="1">
      <c r="A1737" s="26"/>
      <c r="B1737" s="2"/>
      <c r="C1737" s="26"/>
      <c r="D1737" s="26"/>
      <c r="F1737" s="85" t="str">
        <f t="shared" si="0"/>
        <v/>
      </c>
      <c r="G1737" s="1" t="e">
        <f>IF(VALUE(F1737) = VALUE(RIGHT(Insights!$C$3, 4)), E1737, "")</f>
        <v>#VALUE!</v>
      </c>
      <c r="H1737" s="26" t="e">
        <f t="shared" si="1"/>
        <v>#VALUE!</v>
      </c>
      <c r="I1737" s="1" t="e">
        <f t="shared" si="2"/>
        <v>#VALUE!</v>
      </c>
    </row>
    <row r="1738" spans="1:9" ht="15.75" customHeight="1">
      <c r="A1738" s="26"/>
      <c r="B1738" s="2"/>
      <c r="C1738" s="26"/>
      <c r="D1738" s="26"/>
      <c r="F1738" s="85" t="str">
        <f t="shared" si="0"/>
        <v/>
      </c>
      <c r="G1738" s="1" t="e">
        <f>IF(VALUE(F1738) = VALUE(RIGHT(Insights!$C$3, 4)), E1738, "")</f>
        <v>#VALUE!</v>
      </c>
      <c r="H1738" s="26" t="e">
        <f t="shared" si="1"/>
        <v>#VALUE!</v>
      </c>
      <c r="I1738" s="1" t="e">
        <f t="shared" si="2"/>
        <v>#VALUE!</v>
      </c>
    </row>
    <row r="1739" spans="1:9" ht="15.75" customHeight="1">
      <c r="A1739" s="26"/>
      <c r="B1739" s="2"/>
      <c r="C1739" s="26"/>
      <c r="D1739" s="26"/>
      <c r="F1739" s="85" t="str">
        <f t="shared" si="0"/>
        <v/>
      </c>
      <c r="G1739" s="1" t="e">
        <f>IF(VALUE(F1739) = VALUE(RIGHT(Insights!$C$3, 4)), E1739, "")</f>
        <v>#VALUE!</v>
      </c>
      <c r="H1739" s="26" t="e">
        <f t="shared" si="1"/>
        <v>#VALUE!</v>
      </c>
      <c r="I1739" s="1" t="e">
        <f t="shared" si="2"/>
        <v>#VALUE!</v>
      </c>
    </row>
    <row r="1740" spans="1:9" ht="15.75" customHeight="1">
      <c r="A1740" s="26"/>
      <c r="B1740" s="2"/>
      <c r="C1740" s="26"/>
      <c r="D1740" s="26"/>
      <c r="F1740" s="85" t="str">
        <f t="shared" si="0"/>
        <v/>
      </c>
      <c r="G1740" s="1" t="e">
        <f>IF(VALUE(F1740) = VALUE(RIGHT(Insights!$C$3, 4)), E1740, "")</f>
        <v>#VALUE!</v>
      </c>
      <c r="H1740" s="26" t="e">
        <f t="shared" si="1"/>
        <v>#VALUE!</v>
      </c>
      <c r="I1740" s="1" t="e">
        <f t="shared" si="2"/>
        <v>#VALUE!</v>
      </c>
    </row>
    <row r="1741" spans="1:9" ht="15.75" customHeight="1">
      <c r="A1741" s="26"/>
      <c r="B1741" s="2"/>
      <c r="C1741" s="26"/>
      <c r="D1741" s="26"/>
      <c r="F1741" s="85" t="str">
        <f t="shared" si="0"/>
        <v/>
      </c>
      <c r="G1741" s="1" t="e">
        <f>IF(VALUE(F1741) = VALUE(RIGHT(Insights!$C$3, 4)), E1741, "")</f>
        <v>#VALUE!</v>
      </c>
      <c r="H1741" s="26" t="e">
        <f t="shared" si="1"/>
        <v>#VALUE!</v>
      </c>
      <c r="I1741" s="1" t="e">
        <f t="shared" si="2"/>
        <v>#VALUE!</v>
      </c>
    </row>
    <row r="1742" spans="1:9" ht="15.75" customHeight="1">
      <c r="A1742" s="26"/>
      <c r="B1742" s="2"/>
      <c r="C1742" s="26"/>
      <c r="D1742" s="26"/>
      <c r="F1742" s="85" t="str">
        <f t="shared" si="0"/>
        <v/>
      </c>
      <c r="G1742" s="1" t="e">
        <f>IF(VALUE(F1742) = VALUE(RIGHT(Insights!$C$3, 4)), E1742, "")</f>
        <v>#VALUE!</v>
      </c>
      <c r="H1742" s="26" t="e">
        <f t="shared" si="1"/>
        <v>#VALUE!</v>
      </c>
      <c r="I1742" s="1" t="e">
        <f t="shared" si="2"/>
        <v>#VALUE!</v>
      </c>
    </row>
    <row r="1743" spans="1:9" ht="15.75" customHeight="1">
      <c r="A1743" s="26"/>
      <c r="B1743" s="2"/>
      <c r="C1743" s="26"/>
      <c r="D1743" s="26"/>
      <c r="F1743" s="85" t="str">
        <f t="shared" si="0"/>
        <v/>
      </c>
      <c r="G1743" s="1" t="e">
        <f>IF(VALUE(F1743) = VALUE(RIGHT(Insights!$C$3, 4)), E1743, "")</f>
        <v>#VALUE!</v>
      </c>
      <c r="H1743" s="26" t="e">
        <f t="shared" si="1"/>
        <v>#VALUE!</v>
      </c>
      <c r="I1743" s="1" t="e">
        <f t="shared" si="2"/>
        <v>#VALUE!</v>
      </c>
    </row>
    <row r="1744" spans="1:9" ht="15.75" customHeight="1">
      <c r="A1744" s="26"/>
      <c r="B1744" s="2"/>
      <c r="C1744" s="26"/>
      <c r="D1744" s="26"/>
      <c r="F1744" s="85" t="str">
        <f t="shared" si="0"/>
        <v/>
      </c>
      <c r="G1744" s="1" t="e">
        <f>IF(VALUE(F1744) = VALUE(RIGHT(Insights!$C$3, 4)), E1744, "")</f>
        <v>#VALUE!</v>
      </c>
      <c r="H1744" s="26" t="e">
        <f t="shared" si="1"/>
        <v>#VALUE!</v>
      </c>
      <c r="I1744" s="1" t="e">
        <f t="shared" si="2"/>
        <v>#VALUE!</v>
      </c>
    </row>
    <row r="1745" spans="1:9" ht="15.75" customHeight="1">
      <c r="A1745" s="26"/>
      <c r="B1745" s="2"/>
      <c r="C1745" s="26"/>
      <c r="D1745" s="26"/>
      <c r="F1745" s="85" t="str">
        <f t="shared" si="0"/>
        <v/>
      </c>
      <c r="G1745" s="1" t="e">
        <f>IF(VALUE(F1745) = VALUE(RIGHT(Insights!$C$3, 4)), E1745, "")</f>
        <v>#VALUE!</v>
      </c>
      <c r="H1745" s="26" t="e">
        <f t="shared" si="1"/>
        <v>#VALUE!</v>
      </c>
      <c r="I1745" s="1" t="e">
        <f t="shared" si="2"/>
        <v>#VALUE!</v>
      </c>
    </row>
    <row r="1746" spans="1:9" ht="15.75" customHeight="1">
      <c r="A1746" s="26"/>
      <c r="B1746" s="2"/>
      <c r="C1746" s="26"/>
      <c r="D1746" s="26"/>
      <c r="F1746" s="85" t="str">
        <f t="shared" si="0"/>
        <v/>
      </c>
      <c r="G1746" s="1" t="e">
        <f>IF(VALUE(F1746) = VALUE(RIGHT(Insights!$C$3, 4)), E1746, "")</f>
        <v>#VALUE!</v>
      </c>
      <c r="H1746" s="26" t="e">
        <f t="shared" si="1"/>
        <v>#VALUE!</v>
      </c>
      <c r="I1746" s="1" t="e">
        <f t="shared" si="2"/>
        <v>#VALUE!</v>
      </c>
    </row>
    <row r="1747" spans="1:9" ht="15.75" customHeight="1">
      <c r="A1747" s="26"/>
      <c r="B1747" s="2"/>
      <c r="C1747" s="26"/>
      <c r="D1747" s="26"/>
      <c r="F1747" s="85" t="str">
        <f t="shared" si="0"/>
        <v/>
      </c>
      <c r="G1747" s="1" t="e">
        <f>IF(VALUE(F1747) = VALUE(RIGHT(Insights!$C$3, 4)), E1747, "")</f>
        <v>#VALUE!</v>
      </c>
      <c r="H1747" s="26" t="e">
        <f t="shared" si="1"/>
        <v>#VALUE!</v>
      </c>
      <c r="I1747" s="1" t="e">
        <f t="shared" si="2"/>
        <v>#VALUE!</v>
      </c>
    </row>
    <row r="1748" spans="1:9" ht="15.75" customHeight="1">
      <c r="A1748" s="26"/>
      <c r="B1748" s="2"/>
      <c r="C1748" s="26"/>
      <c r="D1748" s="26"/>
      <c r="F1748" s="85" t="str">
        <f t="shared" si="0"/>
        <v/>
      </c>
      <c r="G1748" s="1" t="e">
        <f>IF(VALUE(F1748) = VALUE(RIGHT(Insights!$C$3, 4)), E1748, "")</f>
        <v>#VALUE!</v>
      </c>
      <c r="H1748" s="26" t="e">
        <f t="shared" si="1"/>
        <v>#VALUE!</v>
      </c>
      <c r="I1748" s="1" t="e">
        <f t="shared" si="2"/>
        <v>#VALUE!</v>
      </c>
    </row>
    <row r="1749" spans="1:9" ht="15.75" customHeight="1">
      <c r="A1749" s="26"/>
      <c r="B1749" s="2"/>
      <c r="C1749" s="26"/>
      <c r="D1749" s="26"/>
      <c r="F1749" s="85" t="str">
        <f t="shared" si="0"/>
        <v/>
      </c>
      <c r="G1749" s="1" t="e">
        <f>IF(VALUE(F1749) = VALUE(RIGHT(Insights!$C$3, 4)), E1749, "")</f>
        <v>#VALUE!</v>
      </c>
      <c r="H1749" s="26" t="e">
        <f t="shared" si="1"/>
        <v>#VALUE!</v>
      </c>
      <c r="I1749" s="1" t="e">
        <f t="shared" si="2"/>
        <v>#VALUE!</v>
      </c>
    </row>
    <row r="1750" spans="1:9" ht="15.75" customHeight="1">
      <c r="A1750" s="26"/>
      <c r="B1750" s="2"/>
      <c r="C1750" s="26"/>
      <c r="D1750" s="26"/>
      <c r="F1750" s="85" t="str">
        <f t="shared" si="0"/>
        <v/>
      </c>
      <c r="G1750" s="1" t="e">
        <f>IF(VALUE(F1750) = VALUE(RIGHT(Insights!$C$3, 4)), E1750, "")</f>
        <v>#VALUE!</v>
      </c>
      <c r="H1750" s="26" t="e">
        <f t="shared" si="1"/>
        <v>#VALUE!</v>
      </c>
      <c r="I1750" s="1" t="e">
        <f t="shared" si="2"/>
        <v>#VALUE!</v>
      </c>
    </row>
    <row r="1751" spans="1:9" ht="15.75" customHeight="1">
      <c r="A1751" s="26"/>
      <c r="B1751" s="2"/>
      <c r="C1751" s="26"/>
      <c r="D1751" s="26"/>
      <c r="F1751" s="85" t="str">
        <f t="shared" si="0"/>
        <v/>
      </c>
      <c r="G1751" s="1" t="e">
        <f>IF(VALUE(F1751) = VALUE(RIGHT(Insights!$C$3, 4)), E1751, "")</f>
        <v>#VALUE!</v>
      </c>
      <c r="H1751" s="26" t="e">
        <f t="shared" si="1"/>
        <v>#VALUE!</v>
      </c>
      <c r="I1751" s="1" t="e">
        <f t="shared" si="2"/>
        <v>#VALUE!</v>
      </c>
    </row>
    <row r="1752" spans="1:9" ht="15.75" customHeight="1">
      <c r="A1752" s="26"/>
      <c r="B1752" s="2"/>
      <c r="C1752" s="26"/>
      <c r="D1752" s="26"/>
      <c r="F1752" s="85" t="str">
        <f t="shared" si="0"/>
        <v/>
      </c>
      <c r="G1752" s="1" t="e">
        <f>IF(VALUE(F1752) = VALUE(RIGHT(Insights!$C$3, 4)), E1752, "")</f>
        <v>#VALUE!</v>
      </c>
      <c r="H1752" s="26" t="e">
        <f t="shared" si="1"/>
        <v>#VALUE!</v>
      </c>
      <c r="I1752" s="1" t="e">
        <f t="shared" si="2"/>
        <v>#VALUE!</v>
      </c>
    </row>
    <row r="1753" spans="1:9" ht="15.75" customHeight="1">
      <c r="A1753" s="26"/>
      <c r="B1753" s="2"/>
      <c r="C1753" s="26"/>
      <c r="D1753" s="26"/>
      <c r="F1753" s="85" t="str">
        <f t="shared" si="0"/>
        <v/>
      </c>
      <c r="G1753" s="1" t="e">
        <f>IF(VALUE(F1753) = VALUE(RIGHT(Insights!$C$3, 4)), E1753, "")</f>
        <v>#VALUE!</v>
      </c>
      <c r="H1753" s="26" t="e">
        <f t="shared" si="1"/>
        <v>#VALUE!</v>
      </c>
      <c r="I1753" s="1" t="e">
        <f t="shared" si="2"/>
        <v>#VALUE!</v>
      </c>
    </row>
    <row r="1754" spans="1:9" ht="15.75" customHeight="1">
      <c r="A1754" s="26"/>
      <c r="B1754" s="2"/>
      <c r="C1754" s="26"/>
      <c r="D1754" s="26"/>
      <c r="F1754" s="85" t="str">
        <f t="shared" si="0"/>
        <v/>
      </c>
      <c r="G1754" s="1" t="e">
        <f>IF(VALUE(F1754) = VALUE(RIGHT(Insights!$C$3, 4)), E1754, "")</f>
        <v>#VALUE!</v>
      </c>
      <c r="H1754" s="26" t="e">
        <f t="shared" si="1"/>
        <v>#VALUE!</v>
      </c>
      <c r="I1754" s="1" t="e">
        <f t="shared" si="2"/>
        <v>#VALUE!</v>
      </c>
    </row>
    <row r="1755" spans="1:9" ht="15.75" customHeight="1">
      <c r="A1755" s="26"/>
      <c r="B1755" s="2"/>
      <c r="C1755" s="26"/>
      <c r="D1755" s="26"/>
      <c r="F1755" s="85" t="str">
        <f t="shared" si="0"/>
        <v/>
      </c>
      <c r="G1755" s="1" t="e">
        <f>IF(VALUE(F1755) = VALUE(RIGHT(Insights!$C$3, 4)), E1755, "")</f>
        <v>#VALUE!</v>
      </c>
      <c r="H1755" s="26" t="e">
        <f t="shared" si="1"/>
        <v>#VALUE!</v>
      </c>
      <c r="I1755" s="1" t="e">
        <f t="shared" si="2"/>
        <v>#VALUE!</v>
      </c>
    </row>
    <row r="1756" spans="1:9" ht="15.75" customHeight="1">
      <c r="A1756" s="26"/>
      <c r="B1756" s="2"/>
      <c r="C1756" s="26"/>
      <c r="D1756" s="26"/>
      <c r="F1756" s="85" t="str">
        <f t="shared" si="0"/>
        <v/>
      </c>
      <c r="G1756" s="1" t="e">
        <f>IF(VALUE(F1756) = VALUE(RIGHT(Insights!$C$3, 4)), E1756, "")</f>
        <v>#VALUE!</v>
      </c>
      <c r="H1756" s="26" t="e">
        <f t="shared" si="1"/>
        <v>#VALUE!</v>
      </c>
      <c r="I1756" s="1" t="e">
        <f t="shared" si="2"/>
        <v>#VALUE!</v>
      </c>
    </row>
    <row r="1757" spans="1:9" ht="15.75" customHeight="1">
      <c r="A1757" s="26"/>
      <c r="B1757" s="2"/>
      <c r="C1757" s="26"/>
      <c r="D1757" s="26"/>
      <c r="F1757" s="85" t="str">
        <f t="shared" si="0"/>
        <v/>
      </c>
      <c r="G1757" s="1" t="e">
        <f>IF(VALUE(F1757) = VALUE(RIGHT(Insights!$C$3, 4)), E1757, "")</f>
        <v>#VALUE!</v>
      </c>
      <c r="H1757" s="26" t="e">
        <f t="shared" si="1"/>
        <v>#VALUE!</v>
      </c>
      <c r="I1757" s="1" t="e">
        <f t="shared" si="2"/>
        <v>#VALUE!</v>
      </c>
    </row>
    <row r="1758" spans="1:9" ht="15.75" customHeight="1">
      <c r="A1758" s="26"/>
      <c r="B1758" s="2"/>
      <c r="C1758" s="26"/>
      <c r="D1758" s="26"/>
      <c r="F1758" s="85" t="str">
        <f t="shared" si="0"/>
        <v/>
      </c>
      <c r="G1758" s="1" t="e">
        <f>IF(VALUE(F1758) = VALUE(RIGHT(Insights!$C$3, 4)), E1758, "")</f>
        <v>#VALUE!</v>
      </c>
      <c r="H1758" s="26" t="e">
        <f t="shared" si="1"/>
        <v>#VALUE!</v>
      </c>
      <c r="I1758" s="1" t="e">
        <f t="shared" si="2"/>
        <v>#VALUE!</v>
      </c>
    </row>
    <row r="1759" spans="1:9" ht="15.75" customHeight="1">
      <c r="A1759" s="26"/>
      <c r="B1759" s="2"/>
      <c r="C1759" s="26"/>
      <c r="D1759" s="26"/>
      <c r="F1759" s="85" t="str">
        <f t="shared" si="0"/>
        <v/>
      </c>
      <c r="G1759" s="1" t="e">
        <f>IF(VALUE(F1759) = VALUE(RIGHT(Insights!$C$3, 4)), E1759, "")</f>
        <v>#VALUE!</v>
      </c>
      <c r="H1759" s="26" t="e">
        <f t="shared" si="1"/>
        <v>#VALUE!</v>
      </c>
      <c r="I1759" s="1" t="e">
        <f t="shared" si="2"/>
        <v>#VALUE!</v>
      </c>
    </row>
    <row r="1760" spans="1:9" ht="15.75" customHeight="1">
      <c r="A1760" s="26"/>
      <c r="B1760" s="2"/>
      <c r="C1760" s="26"/>
      <c r="D1760" s="26"/>
      <c r="F1760" s="85" t="str">
        <f t="shared" si="0"/>
        <v/>
      </c>
      <c r="G1760" s="1" t="e">
        <f>IF(VALUE(F1760) = VALUE(RIGHT(Insights!$C$3, 4)), E1760, "")</f>
        <v>#VALUE!</v>
      </c>
      <c r="H1760" s="26" t="e">
        <f t="shared" si="1"/>
        <v>#VALUE!</v>
      </c>
      <c r="I1760" s="1" t="e">
        <f t="shared" si="2"/>
        <v>#VALUE!</v>
      </c>
    </row>
    <row r="1761" spans="1:9" ht="15.75" customHeight="1">
      <c r="A1761" s="26"/>
      <c r="B1761" s="2"/>
      <c r="C1761" s="26"/>
      <c r="D1761" s="26"/>
      <c r="F1761" s="85" t="str">
        <f t="shared" si="0"/>
        <v/>
      </c>
      <c r="G1761" s="1" t="e">
        <f>IF(VALUE(F1761) = VALUE(RIGHT(Insights!$C$3, 4)), E1761, "")</f>
        <v>#VALUE!</v>
      </c>
      <c r="H1761" s="26" t="e">
        <f t="shared" si="1"/>
        <v>#VALUE!</v>
      </c>
      <c r="I1761" s="1" t="e">
        <f t="shared" si="2"/>
        <v>#VALUE!</v>
      </c>
    </row>
    <row r="1762" spans="1:9" ht="15.75" customHeight="1">
      <c r="A1762" s="26"/>
      <c r="B1762" s="2"/>
      <c r="C1762" s="26"/>
      <c r="D1762" s="26"/>
      <c r="F1762" s="85" t="str">
        <f t="shared" si="0"/>
        <v/>
      </c>
      <c r="G1762" s="1" t="e">
        <f>IF(VALUE(F1762) = VALUE(RIGHT(Insights!$C$3, 4)), E1762, "")</f>
        <v>#VALUE!</v>
      </c>
      <c r="H1762" s="26" t="e">
        <f t="shared" si="1"/>
        <v>#VALUE!</v>
      </c>
      <c r="I1762" s="1" t="e">
        <f t="shared" si="2"/>
        <v>#VALUE!</v>
      </c>
    </row>
    <row r="1763" spans="1:9" ht="15.75" customHeight="1">
      <c r="A1763" s="26"/>
      <c r="B1763" s="2"/>
      <c r="C1763" s="26"/>
      <c r="D1763" s="26"/>
      <c r="F1763" s="85" t="str">
        <f t="shared" si="0"/>
        <v/>
      </c>
      <c r="G1763" s="1" t="e">
        <f>IF(VALUE(F1763) = VALUE(RIGHT(Insights!$C$3, 4)), E1763, "")</f>
        <v>#VALUE!</v>
      </c>
      <c r="H1763" s="26" t="e">
        <f t="shared" si="1"/>
        <v>#VALUE!</v>
      </c>
      <c r="I1763" s="1" t="e">
        <f t="shared" si="2"/>
        <v>#VALUE!</v>
      </c>
    </row>
    <row r="1764" spans="1:9" ht="15.75" customHeight="1">
      <c r="A1764" s="26"/>
      <c r="B1764" s="2"/>
      <c r="C1764" s="26"/>
      <c r="D1764" s="26"/>
      <c r="F1764" s="85" t="str">
        <f t="shared" si="0"/>
        <v/>
      </c>
      <c r="G1764" s="1" t="e">
        <f>IF(VALUE(F1764) = VALUE(RIGHT(Insights!$C$3, 4)), E1764, "")</f>
        <v>#VALUE!</v>
      </c>
      <c r="H1764" s="26" t="e">
        <f t="shared" si="1"/>
        <v>#VALUE!</v>
      </c>
      <c r="I1764" s="1" t="e">
        <f t="shared" si="2"/>
        <v>#VALUE!</v>
      </c>
    </row>
    <row r="1765" spans="1:9" ht="15.75" customHeight="1">
      <c r="A1765" s="26"/>
      <c r="B1765" s="2"/>
      <c r="C1765" s="26"/>
      <c r="D1765" s="26"/>
      <c r="F1765" s="85" t="str">
        <f t="shared" si="0"/>
        <v/>
      </c>
      <c r="G1765" s="1" t="e">
        <f>IF(VALUE(F1765) = VALUE(RIGHT(Insights!$C$3, 4)), E1765, "")</f>
        <v>#VALUE!</v>
      </c>
      <c r="H1765" s="26" t="e">
        <f t="shared" si="1"/>
        <v>#VALUE!</v>
      </c>
      <c r="I1765" s="1" t="e">
        <f t="shared" si="2"/>
        <v>#VALUE!</v>
      </c>
    </row>
    <row r="1766" spans="1:9" ht="15.75" customHeight="1">
      <c r="A1766" s="26"/>
      <c r="B1766" s="2"/>
      <c r="C1766" s="26"/>
      <c r="D1766" s="26"/>
      <c r="F1766" s="85" t="str">
        <f t="shared" si="0"/>
        <v/>
      </c>
      <c r="G1766" s="1" t="e">
        <f>IF(VALUE(F1766) = VALUE(RIGHT(Insights!$C$3, 4)), E1766, "")</f>
        <v>#VALUE!</v>
      </c>
      <c r="H1766" s="26" t="e">
        <f t="shared" si="1"/>
        <v>#VALUE!</v>
      </c>
      <c r="I1766" s="1" t="e">
        <f t="shared" si="2"/>
        <v>#VALUE!</v>
      </c>
    </row>
    <row r="1767" spans="1:9" ht="15.75" customHeight="1">
      <c r="A1767" s="26"/>
      <c r="B1767" s="2"/>
      <c r="C1767" s="26"/>
      <c r="D1767" s="26"/>
      <c r="F1767" s="85" t="str">
        <f t="shared" si="0"/>
        <v/>
      </c>
      <c r="G1767" s="1" t="e">
        <f>IF(VALUE(F1767) = VALUE(RIGHT(Insights!$C$3, 4)), E1767, "")</f>
        <v>#VALUE!</v>
      </c>
      <c r="H1767" s="26" t="e">
        <f t="shared" si="1"/>
        <v>#VALUE!</v>
      </c>
      <c r="I1767" s="1" t="e">
        <f t="shared" si="2"/>
        <v>#VALUE!</v>
      </c>
    </row>
    <row r="1768" spans="1:9" ht="15.75" customHeight="1">
      <c r="A1768" s="26"/>
      <c r="B1768" s="2"/>
      <c r="C1768" s="26"/>
      <c r="D1768" s="26"/>
      <c r="F1768" s="85" t="str">
        <f t="shared" si="0"/>
        <v/>
      </c>
      <c r="G1768" s="1" t="e">
        <f>IF(VALUE(F1768) = VALUE(RIGHT(Insights!$C$3, 4)), E1768, "")</f>
        <v>#VALUE!</v>
      </c>
      <c r="H1768" s="26" t="e">
        <f t="shared" si="1"/>
        <v>#VALUE!</v>
      </c>
      <c r="I1768" s="1" t="e">
        <f t="shared" si="2"/>
        <v>#VALUE!</v>
      </c>
    </row>
    <row r="1769" spans="1:9" ht="15.75" customHeight="1">
      <c r="A1769" s="26"/>
      <c r="B1769" s="2"/>
      <c r="C1769" s="26"/>
      <c r="D1769" s="26"/>
      <c r="F1769" s="85" t="str">
        <f t="shared" si="0"/>
        <v/>
      </c>
      <c r="G1769" s="1" t="e">
        <f>IF(VALUE(F1769) = VALUE(RIGHT(Insights!$C$3, 4)), E1769, "")</f>
        <v>#VALUE!</v>
      </c>
      <c r="H1769" s="26" t="e">
        <f t="shared" si="1"/>
        <v>#VALUE!</v>
      </c>
      <c r="I1769" s="1" t="e">
        <f t="shared" si="2"/>
        <v>#VALUE!</v>
      </c>
    </row>
    <row r="1770" spans="1:9" ht="15.75" customHeight="1">
      <c r="A1770" s="26"/>
      <c r="B1770" s="2"/>
      <c r="C1770" s="26"/>
      <c r="D1770" s="26"/>
      <c r="F1770" s="85" t="str">
        <f t="shared" si="0"/>
        <v/>
      </c>
      <c r="G1770" s="1" t="e">
        <f>IF(VALUE(F1770) = VALUE(RIGHT(Insights!$C$3, 4)), E1770, "")</f>
        <v>#VALUE!</v>
      </c>
      <c r="H1770" s="26" t="e">
        <f t="shared" si="1"/>
        <v>#VALUE!</v>
      </c>
      <c r="I1770" s="1" t="e">
        <f t="shared" si="2"/>
        <v>#VALUE!</v>
      </c>
    </row>
    <row r="1771" spans="1:9" ht="15.75" customHeight="1">
      <c r="A1771" s="26"/>
      <c r="B1771" s="2"/>
      <c r="C1771" s="26"/>
      <c r="D1771" s="26"/>
      <c r="F1771" s="85" t="str">
        <f t="shared" si="0"/>
        <v/>
      </c>
      <c r="G1771" s="1" t="e">
        <f>IF(VALUE(F1771) = VALUE(RIGHT(Insights!$C$3, 4)), E1771, "")</f>
        <v>#VALUE!</v>
      </c>
      <c r="H1771" s="26" t="e">
        <f t="shared" si="1"/>
        <v>#VALUE!</v>
      </c>
      <c r="I1771" s="1" t="e">
        <f t="shared" si="2"/>
        <v>#VALUE!</v>
      </c>
    </row>
    <row r="1772" spans="1:9" ht="15.75" customHeight="1">
      <c r="A1772" s="26"/>
      <c r="B1772" s="2"/>
      <c r="C1772" s="26"/>
      <c r="D1772" s="26"/>
      <c r="F1772" s="85" t="str">
        <f t="shared" si="0"/>
        <v/>
      </c>
      <c r="G1772" s="1" t="e">
        <f>IF(VALUE(F1772) = VALUE(RIGHT(Insights!$C$3, 4)), E1772, "")</f>
        <v>#VALUE!</v>
      </c>
      <c r="H1772" s="26" t="e">
        <f t="shared" si="1"/>
        <v>#VALUE!</v>
      </c>
      <c r="I1772" s="1" t="e">
        <f t="shared" si="2"/>
        <v>#VALUE!</v>
      </c>
    </row>
    <row r="1773" spans="1:9" ht="15.75" customHeight="1">
      <c r="A1773" s="26"/>
      <c r="B1773" s="2"/>
      <c r="C1773" s="26"/>
      <c r="D1773" s="26"/>
      <c r="F1773" s="85" t="str">
        <f t="shared" si="0"/>
        <v/>
      </c>
      <c r="G1773" s="1" t="e">
        <f>IF(VALUE(F1773) = VALUE(RIGHT(Insights!$C$3, 4)), E1773, "")</f>
        <v>#VALUE!</v>
      </c>
      <c r="H1773" s="26" t="e">
        <f t="shared" si="1"/>
        <v>#VALUE!</v>
      </c>
      <c r="I1773" s="1" t="e">
        <f t="shared" si="2"/>
        <v>#VALUE!</v>
      </c>
    </row>
    <row r="1774" spans="1:9" ht="15.75" customHeight="1">
      <c r="A1774" s="26"/>
      <c r="B1774" s="2"/>
      <c r="C1774" s="26"/>
      <c r="D1774" s="26"/>
      <c r="F1774" s="85" t="str">
        <f t="shared" si="0"/>
        <v/>
      </c>
      <c r="G1774" s="1" t="e">
        <f>IF(VALUE(F1774) = VALUE(RIGHT(Insights!$C$3, 4)), E1774, "")</f>
        <v>#VALUE!</v>
      </c>
      <c r="H1774" s="26" t="e">
        <f t="shared" si="1"/>
        <v>#VALUE!</v>
      </c>
      <c r="I1774" s="1" t="e">
        <f t="shared" si="2"/>
        <v>#VALUE!</v>
      </c>
    </row>
    <row r="1775" spans="1:9" ht="15.75" customHeight="1">
      <c r="A1775" s="26"/>
      <c r="B1775" s="2"/>
      <c r="C1775" s="26"/>
      <c r="D1775" s="26"/>
      <c r="F1775" s="85" t="str">
        <f t="shared" si="0"/>
        <v/>
      </c>
      <c r="G1775" s="1" t="e">
        <f>IF(VALUE(F1775) = VALUE(RIGHT(Insights!$C$3, 4)), E1775, "")</f>
        <v>#VALUE!</v>
      </c>
      <c r="H1775" s="26" t="e">
        <f t="shared" si="1"/>
        <v>#VALUE!</v>
      </c>
      <c r="I1775" s="1" t="e">
        <f t="shared" si="2"/>
        <v>#VALUE!</v>
      </c>
    </row>
    <row r="1776" spans="1:9" ht="15.75" customHeight="1">
      <c r="A1776" s="26"/>
      <c r="B1776" s="2"/>
      <c r="C1776" s="26"/>
      <c r="D1776" s="26"/>
      <c r="F1776" s="85" t="str">
        <f t="shared" si="0"/>
        <v/>
      </c>
      <c r="G1776" s="1" t="e">
        <f>IF(VALUE(F1776) = VALUE(RIGHT(Insights!$C$3, 4)), E1776, "")</f>
        <v>#VALUE!</v>
      </c>
      <c r="H1776" s="26" t="e">
        <f t="shared" si="1"/>
        <v>#VALUE!</v>
      </c>
      <c r="I1776" s="1" t="e">
        <f t="shared" si="2"/>
        <v>#VALUE!</v>
      </c>
    </row>
    <row r="1777" spans="1:9" ht="15.75" customHeight="1">
      <c r="A1777" s="26"/>
      <c r="B1777" s="2"/>
      <c r="C1777" s="26"/>
      <c r="D1777" s="26"/>
      <c r="F1777" s="85" t="str">
        <f t="shared" si="0"/>
        <v/>
      </c>
      <c r="G1777" s="1" t="e">
        <f>IF(VALUE(F1777) = VALUE(RIGHT(Insights!$C$3, 4)), E1777, "")</f>
        <v>#VALUE!</v>
      </c>
      <c r="H1777" s="26" t="e">
        <f t="shared" si="1"/>
        <v>#VALUE!</v>
      </c>
      <c r="I1777" s="1" t="e">
        <f t="shared" si="2"/>
        <v>#VALUE!</v>
      </c>
    </row>
    <row r="1778" spans="1:9" ht="15.75" customHeight="1">
      <c r="A1778" s="26"/>
      <c r="B1778" s="2"/>
      <c r="C1778" s="26"/>
      <c r="D1778" s="26"/>
      <c r="F1778" s="85" t="str">
        <f t="shared" si="0"/>
        <v/>
      </c>
      <c r="G1778" s="1" t="e">
        <f>IF(VALUE(F1778) = VALUE(RIGHT(Insights!$C$3, 4)), E1778, "")</f>
        <v>#VALUE!</v>
      </c>
      <c r="H1778" s="26" t="e">
        <f t="shared" si="1"/>
        <v>#VALUE!</v>
      </c>
      <c r="I1778" s="1" t="e">
        <f t="shared" si="2"/>
        <v>#VALUE!</v>
      </c>
    </row>
    <row r="1779" spans="1:9" ht="15.75" customHeight="1">
      <c r="A1779" s="26"/>
      <c r="B1779" s="2"/>
      <c r="C1779" s="26"/>
      <c r="D1779" s="26"/>
      <c r="F1779" s="85" t="str">
        <f t="shared" si="0"/>
        <v/>
      </c>
      <c r="G1779" s="1" t="e">
        <f>IF(VALUE(F1779) = VALUE(RIGHT(Insights!$C$3, 4)), E1779, "")</f>
        <v>#VALUE!</v>
      </c>
      <c r="H1779" s="26" t="e">
        <f t="shared" si="1"/>
        <v>#VALUE!</v>
      </c>
      <c r="I1779" s="1" t="e">
        <f t="shared" si="2"/>
        <v>#VALUE!</v>
      </c>
    </row>
    <row r="1780" spans="1:9" ht="15.75" customHeight="1">
      <c r="A1780" s="26"/>
      <c r="B1780" s="2"/>
      <c r="C1780" s="26"/>
      <c r="D1780" s="26"/>
      <c r="F1780" s="85" t="str">
        <f t="shared" si="0"/>
        <v/>
      </c>
      <c r="G1780" s="1" t="e">
        <f>IF(VALUE(F1780) = VALUE(RIGHT(Insights!$C$3, 4)), E1780, "")</f>
        <v>#VALUE!</v>
      </c>
      <c r="H1780" s="26" t="e">
        <f t="shared" si="1"/>
        <v>#VALUE!</v>
      </c>
      <c r="I1780" s="1" t="e">
        <f t="shared" si="2"/>
        <v>#VALUE!</v>
      </c>
    </row>
    <row r="1781" spans="1:9" ht="15.75" customHeight="1">
      <c r="A1781" s="26"/>
      <c r="B1781" s="2"/>
      <c r="C1781" s="26"/>
      <c r="D1781" s="26"/>
      <c r="F1781" s="85" t="str">
        <f t="shared" si="0"/>
        <v/>
      </c>
      <c r="G1781" s="1" t="e">
        <f>IF(VALUE(F1781) = VALUE(RIGHT(Insights!$C$3, 4)), E1781, "")</f>
        <v>#VALUE!</v>
      </c>
      <c r="H1781" s="26" t="e">
        <f t="shared" si="1"/>
        <v>#VALUE!</v>
      </c>
      <c r="I1781" s="1" t="e">
        <f t="shared" si="2"/>
        <v>#VALUE!</v>
      </c>
    </row>
    <row r="1782" spans="1:9" ht="15.75" customHeight="1">
      <c r="A1782" s="26"/>
      <c r="B1782" s="2"/>
      <c r="C1782" s="26"/>
      <c r="D1782" s="26"/>
      <c r="F1782" s="85" t="str">
        <f t="shared" si="0"/>
        <v/>
      </c>
      <c r="G1782" s="1" t="e">
        <f>IF(VALUE(F1782) = VALUE(RIGHT(Insights!$C$3, 4)), E1782, "")</f>
        <v>#VALUE!</v>
      </c>
      <c r="H1782" s="26" t="e">
        <f t="shared" si="1"/>
        <v>#VALUE!</v>
      </c>
      <c r="I1782" s="1" t="e">
        <f t="shared" si="2"/>
        <v>#VALUE!</v>
      </c>
    </row>
    <row r="1783" spans="1:9" ht="15.75" customHeight="1">
      <c r="A1783" s="26"/>
      <c r="B1783" s="2"/>
      <c r="C1783" s="26"/>
      <c r="D1783" s="26"/>
      <c r="F1783" s="85" t="str">
        <f t="shared" si="0"/>
        <v/>
      </c>
      <c r="G1783" s="1" t="e">
        <f>IF(VALUE(F1783) = VALUE(RIGHT(Insights!$C$3, 4)), E1783, "")</f>
        <v>#VALUE!</v>
      </c>
      <c r="H1783" s="26" t="e">
        <f t="shared" si="1"/>
        <v>#VALUE!</v>
      </c>
      <c r="I1783" s="1" t="e">
        <f t="shared" si="2"/>
        <v>#VALUE!</v>
      </c>
    </row>
    <row r="1784" spans="1:9" ht="15.75" customHeight="1">
      <c r="A1784" s="26"/>
      <c r="B1784" s="2"/>
      <c r="C1784" s="26"/>
      <c r="D1784" s="26"/>
      <c r="F1784" s="85" t="str">
        <f t="shared" si="0"/>
        <v/>
      </c>
      <c r="G1784" s="1" t="e">
        <f>IF(VALUE(F1784) = VALUE(RIGHT(Insights!$C$3, 4)), E1784, "")</f>
        <v>#VALUE!</v>
      </c>
      <c r="H1784" s="26" t="e">
        <f t="shared" si="1"/>
        <v>#VALUE!</v>
      </c>
      <c r="I1784" s="1" t="e">
        <f t="shared" si="2"/>
        <v>#VALUE!</v>
      </c>
    </row>
    <row r="1785" spans="1:9" ht="15.75" customHeight="1">
      <c r="A1785" s="26"/>
      <c r="B1785" s="2"/>
      <c r="C1785" s="26"/>
      <c r="D1785" s="26"/>
      <c r="F1785" s="85" t="str">
        <f t="shared" si="0"/>
        <v/>
      </c>
      <c r="G1785" s="1" t="e">
        <f>IF(VALUE(F1785) = VALUE(RIGHT(Insights!$C$3, 4)), E1785, "")</f>
        <v>#VALUE!</v>
      </c>
      <c r="H1785" s="26" t="e">
        <f t="shared" si="1"/>
        <v>#VALUE!</v>
      </c>
      <c r="I1785" s="1" t="e">
        <f t="shared" si="2"/>
        <v>#VALUE!</v>
      </c>
    </row>
    <row r="1786" spans="1:9" ht="15.75" customHeight="1">
      <c r="A1786" s="26"/>
      <c r="B1786" s="2"/>
      <c r="C1786" s="26"/>
      <c r="D1786" s="26"/>
      <c r="F1786" s="85" t="str">
        <f t="shared" si="0"/>
        <v/>
      </c>
      <c r="G1786" s="1" t="e">
        <f>IF(VALUE(F1786) = VALUE(RIGHT(Insights!$C$3, 4)), E1786, "")</f>
        <v>#VALUE!</v>
      </c>
      <c r="H1786" s="26" t="e">
        <f t="shared" si="1"/>
        <v>#VALUE!</v>
      </c>
      <c r="I1786" s="1" t="e">
        <f t="shared" si="2"/>
        <v>#VALUE!</v>
      </c>
    </row>
    <row r="1787" spans="1:9" ht="15.75" customHeight="1">
      <c r="A1787" s="26"/>
      <c r="B1787" s="2"/>
      <c r="C1787" s="26"/>
      <c r="D1787" s="26"/>
      <c r="F1787" s="85" t="str">
        <f t="shared" si="0"/>
        <v/>
      </c>
      <c r="G1787" s="1" t="e">
        <f>IF(VALUE(F1787) = VALUE(RIGHT(Insights!$C$3, 4)), E1787, "")</f>
        <v>#VALUE!</v>
      </c>
      <c r="H1787" s="26" t="e">
        <f t="shared" si="1"/>
        <v>#VALUE!</v>
      </c>
      <c r="I1787" s="1" t="e">
        <f t="shared" si="2"/>
        <v>#VALUE!</v>
      </c>
    </row>
    <row r="1788" spans="1:9" ht="15.75" customHeight="1">
      <c r="A1788" s="26"/>
      <c r="B1788" s="2"/>
      <c r="C1788" s="26"/>
      <c r="D1788" s="26"/>
      <c r="F1788" s="85" t="str">
        <f t="shared" si="0"/>
        <v/>
      </c>
      <c r="G1788" s="1" t="e">
        <f>IF(VALUE(F1788) = VALUE(RIGHT(Insights!$C$3, 4)), E1788, "")</f>
        <v>#VALUE!</v>
      </c>
      <c r="H1788" s="26" t="e">
        <f t="shared" si="1"/>
        <v>#VALUE!</v>
      </c>
      <c r="I1788" s="1" t="e">
        <f t="shared" si="2"/>
        <v>#VALUE!</v>
      </c>
    </row>
    <row r="1789" spans="1:9" ht="15.75" customHeight="1">
      <c r="A1789" s="26"/>
      <c r="B1789" s="2"/>
      <c r="C1789" s="26"/>
      <c r="D1789" s="26"/>
      <c r="F1789" s="85" t="str">
        <f t="shared" si="0"/>
        <v/>
      </c>
      <c r="G1789" s="1" t="e">
        <f>IF(VALUE(F1789) = VALUE(RIGHT(Insights!$C$3, 4)), E1789, "")</f>
        <v>#VALUE!</v>
      </c>
      <c r="H1789" s="26" t="e">
        <f t="shared" si="1"/>
        <v>#VALUE!</v>
      </c>
      <c r="I1789" s="1" t="e">
        <f t="shared" si="2"/>
        <v>#VALUE!</v>
      </c>
    </row>
    <row r="1790" spans="1:9" ht="15.75" customHeight="1">
      <c r="A1790" s="26"/>
      <c r="B1790" s="2"/>
      <c r="C1790" s="26"/>
      <c r="D1790" s="26"/>
      <c r="F1790" s="85" t="str">
        <f t="shared" si="0"/>
        <v/>
      </c>
      <c r="G1790" s="1" t="e">
        <f>IF(VALUE(F1790) = VALUE(RIGHT(Insights!$C$3, 4)), E1790, "")</f>
        <v>#VALUE!</v>
      </c>
      <c r="H1790" s="26" t="e">
        <f t="shared" si="1"/>
        <v>#VALUE!</v>
      </c>
      <c r="I1790" s="1" t="e">
        <f t="shared" si="2"/>
        <v>#VALUE!</v>
      </c>
    </row>
    <row r="1791" spans="1:9" ht="15.75" customHeight="1">
      <c r="A1791" s="26"/>
      <c r="B1791" s="2"/>
      <c r="C1791" s="26"/>
      <c r="D1791" s="26"/>
      <c r="F1791" s="85" t="str">
        <f t="shared" si="0"/>
        <v/>
      </c>
      <c r="G1791" s="1" t="e">
        <f>IF(VALUE(F1791) = VALUE(RIGHT(Insights!$C$3, 4)), E1791, "")</f>
        <v>#VALUE!</v>
      </c>
      <c r="H1791" s="26" t="e">
        <f t="shared" si="1"/>
        <v>#VALUE!</v>
      </c>
      <c r="I1791" s="1" t="e">
        <f t="shared" si="2"/>
        <v>#VALUE!</v>
      </c>
    </row>
    <row r="1792" spans="1:9" ht="15.75" customHeight="1">
      <c r="A1792" s="26"/>
      <c r="B1792" s="2"/>
      <c r="C1792" s="26"/>
      <c r="D1792" s="26"/>
      <c r="F1792" s="85" t="str">
        <f t="shared" si="0"/>
        <v/>
      </c>
      <c r="G1792" s="1" t="e">
        <f>IF(VALUE(F1792) = VALUE(RIGHT(Insights!$C$3, 4)), E1792, "")</f>
        <v>#VALUE!</v>
      </c>
      <c r="H1792" s="26" t="e">
        <f t="shared" si="1"/>
        <v>#VALUE!</v>
      </c>
      <c r="I1792" s="1" t="e">
        <f t="shared" si="2"/>
        <v>#VALUE!</v>
      </c>
    </row>
    <row r="1793" spans="1:9" ht="15.75" customHeight="1">
      <c r="A1793" s="26"/>
      <c r="B1793" s="2"/>
      <c r="C1793" s="26"/>
      <c r="D1793" s="26"/>
      <c r="F1793" s="85" t="str">
        <f t="shared" si="0"/>
        <v/>
      </c>
      <c r="G1793" s="1" t="e">
        <f>IF(VALUE(F1793) = VALUE(RIGHT(Insights!$C$3, 4)), E1793, "")</f>
        <v>#VALUE!</v>
      </c>
      <c r="H1793" s="26" t="e">
        <f t="shared" si="1"/>
        <v>#VALUE!</v>
      </c>
      <c r="I1793" s="1" t="e">
        <f t="shared" si="2"/>
        <v>#VALUE!</v>
      </c>
    </row>
    <row r="1794" spans="1:9" ht="15.75" customHeight="1">
      <c r="A1794" s="26"/>
      <c r="B1794" s="2"/>
      <c r="C1794" s="26"/>
      <c r="D1794" s="26"/>
      <c r="F1794" s="85" t="str">
        <f t="shared" si="0"/>
        <v/>
      </c>
      <c r="G1794" s="1" t="e">
        <f>IF(VALUE(F1794) = VALUE(RIGHT(Insights!$C$3, 4)), E1794, "")</f>
        <v>#VALUE!</v>
      </c>
      <c r="H1794" s="26" t="e">
        <f t="shared" si="1"/>
        <v>#VALUE!</v>
      </c>
      <c r="I1794" s="1" t="e">
        <f t="shared" si="2"/>
        <v>#VALUE!</v>
      </c>
    </row>
    <row r="1795" spans="1:9" ht="15.75" customHeight="1">
      <c r="A1795" s="26"/>
      <c r="B1795" s="2"/>
      <c r="C1795" s="26"/>
      <c r="D1795" s="26"/>
      <c r="F1795" s="85" t="str">
        <f t="shared" si="0"/>
        <v/>
      </c>
      <c r="G1795" s="1" t="e">
        <f>IF(VALUE(F1795) = VALUE(RIGHT(Insights!$C$3, 4)), E1795, "")</f>
        <v>#VALUE!</v>
      </c>
      <c r="H1795" s="26" t="e">
        <f t="shared" si="1"/>
        <v>#VALUE!</v>
      </c>
      <c r="I1795" s="1" t="e">
        <f t="shared" si="2"/>
        <v>#VALUE!</v>
      </c>
    </row>
    <row r="1796" spans="1:9" ht="15.75" customHeight="1">
      <c r="A1796" s="26"/>
      <c r="B1796" s="2"/>
      <c r="C1796" s="26"/>
      <c r="D1796" s="26"/>
      <c r="F1796" s="85" t="str">
        <f t="shared" si="0"/>
        <v/>
      </c>
      <c r="G1796" s="1" t="e">
        <f>IF(VALUE(F1796) = VALUE(RIGHT(Insights!$C$3, 4)), E1796, "")</f>
        <v>#VALUE!</v>
      </c>
      <c r="H1796" s="26" t="e">
        <f t="shared" si="1"/>
        <v>#VALUE!</v>
      </c>
      <c r="I1796" s="1" t="e">
        <f t="shared" si="2"/>
        <v>#VALUE!</v>
      </c>
    </row>
    <row r="1797" spans="1:9" ht="15.75" customHeight="1">
      <c r="A1797" s="26"/>
      <c r="B1797" s="2"/>
      <c r="C1797" s="26"/>
      <c r="D1797" s="26"/>
      <c r="F1797" s="85" t="str">
        <f t="shared" si="0"/>
        <v/>
      </c>
      <c r="G1797" s="1" t="e">
        <f>IF(VALUE(F1797) = VALUE(RIGHT(Insights!$C$3, 4)), E1797, "")</f>
        <v>#VALUE!</v>
      </c>
      <c r="H1797" s="26" t="e">
        <f t="shared" si="1"/>
        <v>#VALUE!</v>
      </c>
      <c r="I1797" s="1" t="e">
        <f t="shared" si="2"/>
        <v>#VALUE!</v>
      </c>
    </row>
    <row r="1798" spans="1:9" ht="15.75" customHeight="1">
      <c r="A1798" s="26"/>
      <c r="B1798" s="2"/>
      <c r="C1798" s="26"/>
      <c r="D1798" s="26"/>
      <c r="F1798" s="85" t="str">
        <f t="shared" si="0"/>
        <v/>
      </c>
      <c r="G1798" s="1" t="e">
        <f>IF(VALUE(F1798) = VALUE(RIGHT(Insights!$C$3, 4)), E1798, "")</f>
        <v>#VALUE!</v>
      </c>
      <c r="H1798" s="26" t="e">
        <f t="shared" si="1"/>
        <v>#VALUE!</v>
      </c>
      <c r="I1798" s="1" t="e">
        <f t="shared" si="2"/>
        <v>#VALUE!</v>
      </c>
    </row>
    <row r="1799" spans="1:9" ht="15.75" customHeight="1">
      <c r="A1799" s="26"/>
      <c r="B1799" s="2"/>
      <c r="C1799" s="26"/>
      <c r="D1799" s="26"/>
      <c r="F1799" s="85" t="str">
        <f t="shared" si="0"/>
        <v/>
      </c>
      <c r="G1799" s="1" t="e">
        <f>IF(VALUE(F1799) = VALUE(RIGHT(Insights!$C$3, 4)), E1799, "")</f>
        <v>#VALUE!</v>
      </c>
      <c r="H1799" s="26" t="e">
        <f t="shared" si="1"/>
        <v>#VALUE!</v>
      </c>
      <c r="I1799" s="1" t="e">
        <f t="shared" si="2"/>
        <v>#VALUE!</v>
      </c>
    </row>
    <row r="1800" spans="1:9" ht="15.75" customHeight="1">
      <c r="A1800" s="26"/>
      <c r="B1800" s="2"/>
      <c r="C1800" s="26"/>
      <c r="D1800" s="26"/>
      <c r="F1800" s="85" t="str">
        <f t="shared" si="0"/>
        <v/>
      </c>
      <c r="G1800" s="1" t="e">
        <f>IF(VALUE(F1800) = VALUE(RIGHT(Insights!$C$3, 4)), E1800, "")</f>
        <v>#VALUE!</v>
      </c>
      <c r="H1800" s="26" t="e">
        <f t="shared" si="1"/>
        <v>#VALUE!</v>
      </c>
      <c r="I1800" s="1" t="e">
        <f t="shared" si="2"/>
        <v>#VALUE!</v>
      </c>
    </row>
    <row r="1801" spans="1:9" ht="15.75" customHeight="1">
      <c r="A1801" s="26"/>
      <c r="B1801" s="2"/>
      <c r="C1801" s="26"/>
      <c r="D1801" s="26"/>
      <c r="F1801" s="85" t="str">
        <f t="shared" si="0"/>
        <v/>
      </c>
      <c r="G1801" s="1" t="e">
        <f>IF(VALUE(F1801) = VALUE(RIGHT(Insights!$C$3, 4)), E1801, "")</f>
        <v>#VALUE!</v>
      </c>
      <c r="H1801" s="26" t="e">
        <f t="shared" si="1"/>
        <v>#VALUE!</v>
      </c>
      <c r="I1801" s="1" t="e">
        <f t="shared" si="2"/>
        <v>#VALUE!</v>
      </c>
    </row>
    <row r="1802" spans="1:9" ht="15.75" customHeight="1">
      <c r="A1802" s="26"/>
      <c r="B1802" s="2"/>
      <c r="C1802" s="26"/>
      <c r="D1802" s="26"/>
      <c r="F1802" s="85" t="str">
        <f t="shared" si="0"/>
        <v/>
      </c>
      <c r="G1802" s="1" t="e">
        <f>IF(VALUE(F1802) = VALUE(RIGHT(Insights!$C$3, 4)), E1802, "")</f>
        <v>#VALUE!</v>
      </c>
      <c r="H1802" s="26" t="e">
        <f t="shared" si="1"/>
        <v>#VALUE!</v>
      </c>
      <c r="I1802" s="1" t="e">
        <f t="shared" si="2"/>
        <v>#VALUE!</v>
      </c>
    </row>
    <row r="1803" spans="1:9" ht="15.75" customHeight="1">
      <c r="A1803" s="26"/>
      <c r="B1803" s="2"/>
      <c r="C1803" s="26"/>
      <c r="D1803" s="26"/>
      <c r="F1803" s="85" t="str">
        <f t="shared" si="0"/>
        <v/>
      </c>
      <c r="G1803" s="1" t="e">
        <f>IF(VALUE(F1803) = VALUE(RIGHT(Insights!$C$3, 4)), E1803, "")</f>
        <v>#VALUE!</v>
      </c>
      <c r="H1803" s="26" t="e">
        <f t="shared" si="1"/>
        <v>#VALUE!</v>
      </c>
      <c r="I1803" s="1" t="e">
        <f t="shared" si="2"/>
        <v>#VALUE!</v>
      </c>
    </row>
    <row r="1804" spans="1:9" ht="15.75" customHeight="1">
      <c r="A1804" s="26"/>
      <c r="B1804" s="2"/>
      <c r="C1804" s="26"/>
      <c r="D1804" s="26"/>
      <c r="F1804" s="85" t="str">
        <f t="shared" si="0"/>
        <v/>
      </c>
      <c r="G1804" s="1" t="e">
        <f>IF(VALUE(F1804) = VALUE(RIGHT(Insights!$C$3, 4)), E1804, "")</f>
        <v>#VALUE!</v>
      </c>
      <c r="H1804" s="26" t="e">
        <f t="shared" si="1"/>
        <v>#VALUE!</v>
      </c>
      <c r="I1804" s="1" t="e">
        <f t="shared" si="2"/>
        <v>#VALUE!</v>
      </c>
    </row>
    <row r="1805" spans="1:9" ht="15.75" customHeight="1">
      <c r="A1805" s="26"/>
      <c r="B1805" s="2"/>
      <c r="C1805" s="26"/>
      <c r="D1805" s="26"/>
      <c r="F1805" s="85" t="str">
        <f t="shared" si="0"/>
        <v/>
      </c>
      <c r="G1805" s="1" t="e">
        <f>IF(VALUE(F1805) = VALUE(RIGHT(Insights!$C$3, 4)), E1805, "")</f>
        <v>#VALUE!</v>
      </c>
      <c r="H1805" s="26" t="e">
        <f t="shared" si="1"/>
        <v>#VALUE!</v>
      </c>
      <c r="I1805" s="1" t="e">
        <f t="shared" si="2"/>
        <v>#VALUE!</v>
      </c>
    </row>
    <row r="1806" spans="1:9" ht="15.75" customHeight="1">
      <c r="A1806" s="26"/>
      <c r="B1806" s="2"/>
      <c r="C1806" s="26"/>
      <c r="D1806" s="26"/>
      <c r="F1806" s="85" t="str">
        <f t="shared" si="0"/>
        <v/>
      </c>
      <c r="G1806" s="1" t="e">
        <f>IF(VALUE(F1806) = VALUE(RIGHT(Insights!$C$3, 4)), E1806, "")</f>
        <v>#VALUE!</v>
      </c>
      <c r="H1806" s="26" t="e">
        <f t="shared" si="1"/>
        <v>#VALUE!</v>
      </c>
      <c r="I1806" s="1" t="e">
        <f t="shared" si="2"/>
        <v>#VALUE!</v>
      </c>
    </row>
    <row r="1807" spans="1:9" ht="15.75" customHeight="1">
      <c r="A1807" s="26"/>
      <c r="B1807" s="2"/>
      <c r="C1807" s="26"/>
      <c r="D1807" s="26"/>
      <c r="F1807" s="85" t="str">
        <f t="shared" si="0"/>
        <v/>
      </c>
      <c r="G1807" s="1" t="e">
        <f>IF(VALUE(F1807) = VALUE(RIGHT(Insights!$C$3, 4)), E1807, "")</f>
        <v>#VALUE!</v>
      </c>
      <c r="H1807" s="26" t="e">
        <f t="shared" si="1"/>
        <v>#VALUE!</v>
      </c>
      <c r="I1807" s="1" t="e">
        <f t="shared" si="2"/>
        <v>#VALUE!</v>
      </c>
    </row>
    <row r="1808" spans="1:9" ht="15.75" customHeight="1">
      <c r="A1808" s="26"/>
      <c r="B1808" s="2"/>
      <c r="C1808" s="26"/>
      <c r="D1808" s="26"/>
      <c r="F1808" s="85" t="str">
        <f t="shared" si="0"/>
        <v/>
      </c>
      <c r="G1808" s="1" t="e">
        <f>IF(VALUE(F1808) = VALUE(RIGHT(Insights!$C$3, 4)), E1808, "")</f>
        <v>#VALUE!</v>
      </c>
      <c r="H1808" s="26" t="e">
        <f t="shared" si="1"/>
        <v>#VALUE!</v>
      </c>
      <c r="I1808" s="1" t="e">
        <f t="shared" si="2"/>
        <v>#VALUE!</v>
      </c>
    </row>
    <row r="1809" spans="1:9" ht="15.75" customHeight="1">
      <c r="A1809" s="26"/>
      <c r="B1809" s="2"/>
      <c r="C1809" s="26"/>
      <c r="D1809" s="26"/>
      <c r="F1809" s="85" t="str">
        <f t="shared" si="0"/>
        <v/>
      </c>
      <c r="G1809" s="1" t="e">
        <f>IF(VALUE(F1809) = VALUE(RIGHT(Insights!$C$3, 4)), E1809, "")</f>
        <v>#VALUE!</v>
      </c>
      <c r="H1809" s="26" t="e">
        <f t="shared" si="1"/>
        <v>#VALUE!</v>
      </c>
      <c r="I1809" s="1" t="e">
        <f t="shared" si="2"/>
        <v>#VALUE!</v>
      </c>
    </row>
    <row r="1810" spans="1:9" ht="15.75" customHeight="1">
      <c r="A1810" s="26"/>
      <c r="B1810" s="2"/>
      <c r="C1810" s="26"/>
      <c r="D1810" s="26"/>
      <c r="F1810" s="85" t="str">
        <f t="shared" si="0"/>
        <v/>
      </c>
      <c r="G1810" s="1" t="e">
        <f>IF(VALUE(F1810) = VALUE(RIGHT(Insights!$C$3, 4)), E1810, "")</f>
        <v>#VALUE!</v>
      </c>
      <c r="H1810" s="26" t="e">
        <f t="shared" si="1"/>
        <v>#VALUE!</v>
      </c>
      <c r="I1810" s="1" t="e">
        <f t="shared" si="2"/>
        <v>#VALUE!</v>
      </c>
    </row>
    <row r="1811" spans="1:9" ht="15.75" customHeight="1">
      <c r="A1811" s="26"/>
      <c r="B1811" s="2"/>
      <c r="C1811" s="26"/>
      <c r="D1811" s="26"/>
      <c r="F1811" s="85" t="str">
        <f t="shared" si="0"/>
        <v/>
      </c>
      <c r="G1811" s="1" t="e">
        <f>IF(VALUE(F1811) = VALUE(RIGHT(Insights!$C$3, 4)), E1811, "")</f>
        <v>#VALUE!</v>
      </c>
      <c r="H1811" s="26" t="e">
        <f t="shared" si="1"/>
        <v>#VALUE!</v>
      </c>
      <c r="I1811" s="1" t="e">
        <f t="shared" si="2"/>
        <v>#VALUE!</v>
      </c>
    </row>
    <row r="1812" spans="1:9" ht="15.75" customHeight="1">
      <c r="A1812" s="26"/>
      <c r="B1812" s="2"/>
      <c r="C1812" s="26"/>
      <c r="D1812" s="26"/>
      <c r="F1812" s="85" t="str">
        <f t="shared" si="0"/>
        <v/>
      </c>
      <c r="G1812" s="1" t="e">
        <f>IF(VALUE(F1812) = VALUE(RIGHT(Insights!$C$3, 4)), E1812, "")</f>
        <v>#VALUE!</v>
      </c>
      <c r="H1812" s="26" t="e">
        <f t="shared" si="1"/>
        <v>#VALUE!</v>
      </c>
      <c r="I1812" s="1" t="e">
        <f t="shared" si="2"/>
        <v>#VALUE!</v>
      </c>
    </row>
    <row r="1813" spans="1:9" ht="15.75" customHeight="1">
      <c r="A1813" s="26"/>
      <c r="B1813" s="2"/>
      <c r="C1813" s="26"/>
      <c r="D1813" s="26"/>
      <c r="F1813" s="85" t="str">
        <f t="shared" si="0"/>
        <v/>
      </c>
      <c r="G1813" s="1" t="e">
        <f>IF(VALUE(F1813) = VALUE(RIGHT(Insights!$C$3, 4)), E1813, "")</f>
        <v>#VALUE!</v>
      </c>
      <c r="H1813" s="26" t="e">
        <f t="shared" si="1"/>
        <v>#VALUE!</v>
      </c>
      <c r="I1813" s="1" t="e">
        <f t="shared" si="2"/>
        <v>#VALUE!</v>
      </c>
    </row>
    <row r="1814" spans="1:9" ht="15.75" customHeight="1">
      <c r="A1814" s="26"/>
      <c r="B1814" s="2"/>
      <c r="C1814" s="26"/>
      <c r="D1814" s="26"/>
      <c r="F1814" s="85" t="str">
        <f t="shared" si="0"/>
        <v/>
      </c>
      <c r="G1814" s="1" t="e">
        <f>IF(VALUE(F1814) = VALUE(RIGHT(Insights!$C$3, 4)), E1814, "")</f>
        <v>#VALUE!</v>
      </c>
      <c r="H1814" s="26" t="e">
        <f t="shared" si="1"/>
        <v>#VALUE!</v>
      </c>
      <c r="I1814" s="1" t="e">
        <f t="shared" si="2"/>
        <v>#VALUE!</v>
      </c>
    </row>
    <row r="1815" spans="1:9" ht="15.75" customHeight="1">
      <c r="A1815" s="26"/>
      <c r="B1815" s="2"/>
      <c r="C1815" s="26"/>
      <c r="D1815" s="26"/>
      <c r="F1815" s="85" t="str">
        <f t="shared" si="0"/>
        <v/>
      </c>
      <c r="G1815" s="1" t="e">
        <f>IF(VALUE(F1815) = VALUE(RIGHT(Insights!$C$3, 4)), E1815, "")</f>
        <v>#VALUE!</v>
      </c>
      <c r="H1815" s="26" t="e">
        <f t="shared" si="1"/>
        <v>#VALUE!</v>
      </c>
      <c r="I1815" s="1" t="e">
        <f t="shared" si="2"/>
        <v>#VALUE!</v>
      </c>
    </row>
    <row r="1816" spans="1:9" ht="15.75" customHeight="1">
      <c r="A1816" s="26"/>
      <c r="B1816" s="2"/>
      <c r="C1816" s="26"/>
      <c r="D1816" s="26"/>
      <c r="F1816" s="85" t="str">
        <f t="shared" si="0"/>
        <v/>
      </c>
      <c r="G1816" s="1" t="e">
        <f>IF(VALUE(F1816) = VALUE(RIGHT(Insights!$C$3, 4)), E1816, "")</f>
        <v>#VALUE!</v>
      </c>
      <c r="H1816" s="26" t="e">
        <f t="shared" si="1"/>
        <v>#VALUE!</v>
      </c>
      <c r="I1816" s="1" t="e">
        <f t="shared" si="2"/>
        <v>#VALUE!</v>
      </c>
    </row>
    <row r="1817" spans="1:9" ht="15.75" customHeight="1">
      <c r="A1817" s="26"/>
      <c r="B1817" s="2"/>
      <c r="C1817" s="26"/>
      <c r="D1817" s="26"/>
      <c r="F1817" s="85" t="str">
        <f t="shared" si="0"/>
        <v/>
      </c>
      <c r="G1817" s="1" t="e">
        <f>IF(VALUE(F1817) = VALUE(RIGHT(Insights!$C$3, 4)), E1817, "")</f>
        <v>#VALUE!</v>
      </c>
      <c r="H1817" s="26" t="e">
        <f t="shared" si="1"/>
        <v>#VALUE!</v>
      </c>
      <c r="I1817" s="1" t="e">
        <f t="shared" si="2"/>
        <v>#VALUE!</v>
      </c>
    </row>
    <row r="1818" spans="1:9" ht="15.75" customHeight="1">
      <c r="A1818" s="26"/>
      <c r="B1818" s="2"/>
      <c r="C1818" s="26"/>
      <c r="D1818" s="26"/>
      <c r="F1818" s="85" t="str">
        <f t="shared" si="0"/>
        <v/>
      </c>
      <c r="G1818" s="1" t="e">
        <f>IF(VALUE(F1818) = VALUE(RIGHT(Insights!$C$3, 4)), E1818, "")</f>
        <v>#VALUE!</v>
      </c>
      <c r="H1818" s="26" t="e">
        <f t="shared" si="1"/>
        <v>#VALUE!</v>
      </c>
      <c r="I1818" s="1" t="e">
        <f t="shared" si="2"/>
        <v>#VALUE!</v>
      </c>
    </row>
    <row r="1819" spans="1:9" ht="15.75" customHeight="1">
      <c r="A1819" s="26"/>
      <c r="B1819" s="2"/>
      <c r="C1819" s="26"/>
      <c r="D1819" s="26"/>
      <c r="F1819" s="85" t="str">
        <f t="shared" si="0"/>
        <v/>
      </c>
      <c r="G1819" s="1" t="e">
        <f>IF(VALUE(F1819) = VALUE(RIGHT(Insights!$C$3, 4)), E1819, "")</f>
        <v>#VALUE!</v>
      </c>
      <c r="H1819" s="26" t="e">
        <f t="shared" si="1"/>
        <v>#VALUE!</v>
      </c>
      <c r="I1819" s="1" t="e">
        <f t="shared" si="2"/>
        <v>#VALUE!</v>
      </c>
    </row>
    <row r="1820" spans="1:9" ht="15.75" customHeight="1">
      <c r="A1820" s="26"/>
      <c r="B1820" s="2"/>
      <c r="C1820" s="26"/>
      <c r="D1820" s="26"/>
      <c r="F1820" s="85" t="str">
        <f t="shared" si="0"/>
        <v/>
      </c>
      <c r="G1820" s="1" t="e">
        <f>IF(VALUE(F1820) = VALUE(RIGHT(Insights!$C$3, 4)), E1820, "")</f>
        <v>#VALUE!</v>
      </c>
      <c r="H1820" s="26" t="e">
        <f t="shared" si="1"/>
        <v>#VALUE!</v>
      </c>
      <c r="I1820" s="1" t="e">
        <f t="shared" si="2"/>
        <v>#VALUE!</v>
      </c>
    </row>
    <row r="1821" spans="1:9" ht="15.75" customHeight="1">
      <c r="A1821" s="26"/>
      <c r="B1821" s="2"/>
      <c r="C1821" s="26"/>
      <c r="D1821" s="26"/>
      <c r="F1821" s="85" t="str">
        <f t="shared" si="0"/>
        <v/>
      </c>
      <c r="G1821" s="1" t="e">
        <f>IF(VALUE(F1821) = VALUE(RIGHT(Insights!$C$3, 4)), E1821, "")</f>
        <v>#VALUE!</v>
      </c>
      <c r="H1821" s="26" t="e">
        <f t="shared" si="1"/>
        <v>#VALUE!</v>
      </c>
      <c r="I1821" s="1" t="e">
        <f t="shared" si="2"/>
        <v>#VALUE!</v>
      </c>
    </row>
    <row r="1822" spans="1:9" ht="15.75" customHeight="1">
      <c r="A1822" s="26"/>
      <c r="B1822" s="2"/>
      <c r="C1822" s="26"/>
      <c r="D1822" s="26"/>
      <c r="F1822" s="85" t="str">
        <f t="shared" si="0"/>
        <v/>
      </c>
      <c r="G1822" s="1" t="e">
        <f>IF(VALUE(F1822) = VALUE(RIGHT(Insights!$C$3, 4)), E1822, "")</f>
        <v>#VALUE!</v>
      </c>
      <c r="H1822" s="26" t="e">
        <f t="shared" si="1"/>
        <v>#VALUE!</v>
      </c>
      <c r="I1822" s="1" t="e">
        <f t="shared" si="2"/>
        <v>#VALUE!</v>
      </c>
    </row>
    <row r="1823" spans="1:9" ht="15.75" customHeight="1">
      <c r="A1823" s="26"/>
      <c r="B1823" s="2"/>
      <c r="C1823" s="26"/>
      <c r="D1823" s="26"/>
      <c r="F1823" s="85" t="str">
        <f t="shared" si="0"/>
        <v/>
      </c>
      <c r="G1823" s="1" t="e">
        <f>IF(VALUE(F1823) = VALUE(RIGHT(Insights!$C$3, 4)), E1823, "")</f>
        <v>#VALUE!</v>
      </c>
      <c r="H1823" s="26" t="e">
        <f t="shared" si="1"/>
        <v>#VALUE!</v>
      </c>
      <c r="I1823" s="1" t="e">
        <f t="shared" si="2"/>
        <v>#VALUE!</v>
      </c>
    </row>
    <row r="1824" spans="1:9" ht="15.75" customHeight="1">
      <c r="A1824" s="26"/>
      <c r="B1824" s="2"/>
      <c r="C1824" s="26"/>
      <c r="D1824" s="26"/>
      <c r="F1824" s="85" t="str">
        <f t="shared" si="0"/>
        <v/>
      </c>
      <c r="G1824" s="1" t="e">
        <f>IF(VALUE(F1824) = VALUE(RIGHT(Insights!$C$3, 4)), E1824, "")</f>
        <v>#VALUE!</v>
      </c>
      <c r="H1824" s="26" t="e">
        <f t="shared" si="1"/>
        <v>#VALUE!</v>
      </c>
      <c r="I1824" s="1" t="e">
        <f t="shared" si="2"/>
        <v>#VALUE!</v>
      </c>
    </row>
    <row r="1825" spans="1:9" ht="15.75" customHeight="1">
      <c r="A1825" s="26"/>
      <c r="B1825" s="2"/>
      <c r="C1825" s="26"/>
      <c r="D1825" s="26"/>
      <c r="F1825" s="85" t="str">
        <f t="shared" si="0"/>
        <v/>
      </c>
      <c r="G1825" s="1" t="e">
        <f>IF(VALUE(F1825) = VALUE(RIGHT(Insights!$C$3, 4)), E1825, "")</f>
        <v>#VALUE!</v>
      </c>
      <c r="H1825" s="26" t="e">
        <f t="shared" si="1"/>
        <v>#VALUE!</v>
      </c>
      <c r="I1825" s="1" t="e">
        <f t="shared" si="2"/>
        <v>#VALUE!</v>
      </c>
    </row>
    <row r="1826" spans="1:9" ht="15.75" customHeight="1">
      <c r="A1826" s="26"/>
      <c r="B1826" s="2"/>
      <c r="C1826" s="26"/>
      <c r="D1826" s="26"/>
      <c r="F1826" s="85" t="str">
        <f t="shared" si="0"/>
        <v/>
      </c>
      <c r="G1826" s="1" t="e">
        <f>IF(VALUE(F1826) = VALUE(RIGHT(Insights!$C$3, 4)), E1826, "")</f>
        <v>#VALUE!</v>
      </c>
      <c r="H1826" s="26" t="e">
        <f t="shared" si="1"/>
        <v>#VALUE!</v>
      </c>
      <c r="I1826" s="1" t="e">
        <f t="shared" si="2"/>
        <v>#VALUE!</v>
      </c>
    </row>
    <row r="1827" spans="1:9" ht="15.75" customHeight="1">
      <c r="A1827" s="26"/>
      <c r="B1827" s="2"/>
      <c r="C1827" s="26"/>
      <c r="D1827" s="26"/>
      <c r="F1827" s="85" t="str">
        <f t="shared" si="0"/>
        <v/>
      </c>
      <c r="G1827" s="1" t="e">
        <f>IF(VALUE(F1827) = VALUE(RIGHT(Insights!$C$3, 4)), E1827, "")</f>
        <v>#VALUE!</v>
      </c>
      <c r="H1827" s="26" t="e">
        <f t="shared" si="1"/>
        <v>#VALUE!</v>
      </c>
      <c r="I1827" s="1" t="e">
        <f t="shared" si="2"/>
        <v>#VALUE!</v>
      </c>
    </row>
    <row r="1828" spans="1:9" ht="15.75" customHeight="1">
      <c r="A1828" s="26"/>
      <c r="B1828" s="2"/>
      <c r="C1828" s="26"/>
      <c r="D1828" s="26"/>
      <c r="F1828" s="85" t="str">
        <f t="shared" si="0"/>
        <v/>
      </c>
      <c r="G1828" s="1" t="e">
        <f>IF(VALUE(F1828) = VALUE(RIGHT(Insights!$C$3, 4)), E1828, "")</f>
        <v>#VALUE!</v>
      </c>
      <c r="H1828" s="26" t="e">
        <f t="shared" si="1"/>
        <v>#VALUE!</v>
      </c>
      <c r="I1828" s="1" t="e">
        <f t="shared" si="2"/>
        <v>#VALUE!</v>
      </c>
    </row>
    <row r="1829" spans="1:9" ht="15.75" customHeight="1">
      <c r="A1829" s="26"/>
      <c r="B1829" s="2"/>
      <c r="C1829" s="26"/>
      <c r="D1829" s="26"/>
      <c r="F1829" s="85" t="str">
        <f t="shared" si="0"/>
        <v/>
      </c>
      <c r="G1829" s="1" t="e">
        <f>IF(VALUE(F1829) = VALUE(RIGHT(Insights!$C$3, 4)), E1829, "")</f>
        <v>#VALUE!</v>
      </c>
      <c r="H1829" s="26" t="e">
        <f t="shared" si="1"/>
        <v>#VALUE!</v>
      </c>
      <c r="I1829" s="1" t="e">
        <f t="shared" si="2"/>
        <v>#VALUE!</v>
      </c>
    </row>
    <row r="1830" spans="1:9" ht="15.75" customHeight="1">
      <c r="A1830" s="26"/>
      <c r="B1830" s="2"/>
      <c r="C1830" s="26"/>
      <c r="D1830" s="26"/>
      <c r="F1830" s="85" t="str">
        <f t="shared" si="0"/>
        <v/>
      </c>
      <c r="G1830" s="1" t="e">
        <f>IF(VALUE(F1830) = VALUE(RIGHT(Insights!$C$3, 4)), E1830, "")</f>
        <v>#VALUE!</v>
      </c>
      <c r="H1830" s="26" t="e">
        <f t="shared" si="1"/>
        <v>#VALUE!</v>
      </c>
      <c r="I1830" s="1" t="e">
        <f t="shared" si="2"/>
        <v>#VALUE!</v>
      </c>
    </row>
    <row r="1831" spans="1:9" ht="15.75" customHeight="1">
      <c r="A1831" s="26"/>
      <c r="B1831" s="2"/>
      <c r="C1831" s="26"/>
      <c r="D1831" s="26"/>
      <c r="F1831" s="85" t="str">
        <f t="shared" si="0"/>
        <v/>
      </c>
      <c r="G1831" s="1" t="e">
        <f>IF(VALUE(F1831) = VALUE(RIGHT(Insights!$C$3, 4)), E1831, "")</f>
        <v>#VALUE!</v>
      </c>
      <c r="H1831" s="26" t="e">
        <f t="shared" si="1"/>
        <v>#VALUE!</v>
      </c>
      <c r="I1831" s="1" t="e">
        <f t="shared" si="2"/>
        <v>#VALUE!</v>
      </c>
    </row>
    <row r="1832" spans="1:9" ht="15.75" customHeight="1">
      <c r="A1832" s="26"/>
      <c r="B1832" s="2"/>
      <c r="C1832" s="26"/>
      <c r="D1832" s="26"/>
      <c r="F1832" s="85" t="str">
        <f t="shared" si="0"/>
        <v/>
      </c>
      <c r="G1832" s="1" t="e">
        <f>IF(VALUE(F1832) = VALUE(RIGHT(Insights!$C$3, 4)), E1832, "")</f>
        <v>#VALUE!</v>
      </c>
      <c r="H1832" s="26" t="e">
        <f t="shared" si="1"/>
        <v>#VALUE!</v>
      </c>
      <c r="I1832" s="1" t="e">
        <f t="shared" si="2"/>
        <v>#VALUE!</v>
      </c>
    </row>
    <row r="1833" spans="1:9" ht="15.75" customHeight="1">
      <c r="A1833" s="26"/>
      <c r="B1833" s="2"/>
      <c r="C1833" s="26"/>
      <c r="D1833" s="26"/>
      <c r="F1833" s="85" t="str">
        <f t="shared" si="0"/>
        <v/>
      </c>
      <c r="G1833" s="1" t="e">
        <f>IF(VALUE(F1833) = VALUE(RIGHT(Insights!$C$3, 4)), E1833, "")</f>
        <v>#VALUE!</v>
      </c>
      <c r="H1833" s="26" t="e">
        <f t="shared" si="1"/>
        <v>#VALUE!</v>
      </c>
      <c r="I1833" s="1" t="e">
        <f t="shared" si="2"/>
        <v>#VALUE!</v>
      </c>
    </row>
    <row r="1834" spans="1:9" ht="15.75" customHeight="1">
      <c r="A1834" s="26"/>
      <c r="B1834" s="2"/>
      <c r="C1834" s="26"/>
      <c r="D1834" s="26"/>
      <c r="F1834" s="85" t="str">
        <f t="shared" si="0"/>
        <v/>
      </c>
      <c r="G1834" s="1" t="e">
        <f>IF(VALUE(F1834) = VALUE(RIGHT(Insights!$C$3, 4)), E1834, "")</f>
        <v>#VALUE!</v>
      </c>
      <c r="H1834" s="26" t="e">
        <f t="shared" si="1"/>
        <v>#VALUE!</v>
      </c>
      <c r="I1834" s="1" t="e">
        <f t="shared" si="2"/>
        <v>#VALUE!</v>
      </c>
    </row>
    <row r="1835" spans="1:9" ht="15.75" customHeight="1">
      <c r="A1835" s="26"/>
      <c r="B1835" s="2"/>
      <c r="C1835" s="26"/>
      <c r="D1835" s="26"/>
      <c r="F1835" s="85" t="str">
        <f t="shared" si="0"/>
        <v/>
      </c>
      <c r="G1835" s="1" t="e">
        <f>IF(VALUE(F1835) = VALUE(RIGHT(Insights!$C$3, 4)), E1835, "")</f>
        <v>#VALUE!</v>
      </c>
      <c r="H1835" s="26" t="e">
        <f t="shared" si="1"/>
        <v>#VALUE!</v>
      </c>
      <c r="I1835" s="1" t="e">
        <f t="shared" si="2"/>
        <v>#VALUE!</v>
      </c>
    </row>
    <row r="1836" spans="1:9" ht="15.75" customHeight="1">
      <c r="A1836" s="26"/>
      <c r="B1836" s="2"/>
      <c r="C1836" s="26"/>
      <c r="D1836" s="26"/>
      <c r="F1836" s="85" t="str">
        <f t="shared" si="0"/>
        <v/>
      </c>
      <c r="G1836" s="1" t="e">
        <f>IF(VALUE(F1836) = VALUE(RIGHT(Insights!$C$3, 4)), E1836, "")</f>
        <v>#VALUE!</v>
      </c>
      <c r="H1836" s="26" t="e">
        <f t="shared" si="1"/>
        <v>#VALUE!</v>
      </c>
      <c r="I1836" s="1" t="e">
        <f t="shared" si="2"/>
        <v>#VALUE!</v>
      </c>
    </row>
    <row r="1837" spans="1:9" ht="15.75" customHeight="1">
      <c r="A1837" s="26"/>
      <c r="B1837" s="2"/>
      <c r="C1837" s="26"/>
      <c r="D1837" s="26"/>
      <c r="F1837" s="85" t="str">
        <f t="shared" si="0"/>
        <v/>
      </c>
      <c r="G1837" s="1" t="e">
        <f>IF(VALUE(F1837) = VALUE(RIGHT(Insights!$C$3, 4)), E1837, "")</f>
        <v>#VALUE!</v>
      </c>
      <c r="H1837" s="26" t="e">
        <f t="shared" si="1"/>
        <v>#VALUE!</v>
      </c>
      <c r="I1837" s="1" t="e">
        <f t="shared" si="2"/>
        <v>#VALUE!</v>
      </c>
    </row>
    <row r="1838" spans="1:9" ht="15.75" customHeight="1">
      <c r="A1838" s="26"/>
      <c r="B1838" s="2"/>
      <c r="C1838" s="26"/>
      <c r="D1838" s="26"/>
      <c r="F1838" s="85" t="str">
        <f t="shared" si="0"/>
        <v/>
      </c>
      <c r="G1838" s="1" t="e">
        <f>IF(VALUE(F1838) = VALUE(RIGHT(Insights!$C$3, 4)), E1838, "")</f>
        <v>#VALUE!</v>
      </c>
      <c r="H1838" s="26" t="e">
        <f t="shared" si="1"/>
        <v>#VALUE!</v>
      </c>
      <c r="I1838" s="1" t="e">
        <f t="shared" si="2"/>
        <v>#VALUE!</v>
      </c>
    </row>
    <row r="1839" spans="1:9" ht="15.75" customHeight="1">
      <c r="A1839" s="26"/>
      <c r="B1839" s="2"/>
      <c r="C1839" s="26"/>
      <c r="D1839" s="26"/>
      <c r="F1839" s="85" t="str">
        <f t="shared" si="0"/>
        <v/>
      </c>
      <c r="G1839" s="1" t="e">
        <f>IF(VALUE(F1839) = VALUE(RIGHT(Insights!$C$3, 4)), E1839, "")</f>
        <v>#VALUE!</v>
      </c>
      <c r="H1839" s="26" t="e">
        <f t="shared" si="1"/>
        <v>#VALUE!</v>
      </c>
      <c r="I1839" s="1" t="e">
        <f t="shared" si="2"/>
        <v>#VALUE!</v>
      </c>
    </row>
    <row r="1840" spans="1:9" ht="15.75" customHeight="1">
      <c r="A1840" s="26"/>
      <c r="B1840" s="2"/>
      <c r="C1840" s="26"/>
      <c r="D1840" s="26"/>
      <c r="F1840" s="85" t="str">
        <f t="shared" si="0"/>
        <v/>
      </c>
      <c r="G1840" s="1" t="e">
        <f>IF(VALUE(F1840) = VALUE(RIGHT(Insights!$C$3, 4)), E1840, "")</f>
        <v>#VALUE!</v>
      </c>
      <c r="H1840" s="26" t="e">
        <f t="shared" si="1"/>
        <v>#VALUE!</v>
      </c>
      <c r="I1840" s="1" t="e">
        <f t="shared" si="2"/>
        <v>#VALUE!</v>
      </c>
    </row>
    <row r="1841" spans="1:9" ht="15.75" customHeight="1">
      <c r="A1841" s="26"/>
      <c r="B1841" s="2"/>
      <c r="C1841" s="26"/>
      <c r="D1841" s="26"/>
      <c r="F1841" s="85" t="str">
        <f t="shared" si="0"/>
        <v/>
      </c>
      <c r="G1841" s="1" t="e">
        <f>IF(VALUE(F1841) = VALUE(RIGHT(Insights!$C$3, 4)), E1841, "")</f>
        <v>#VALUE!</v>
      </c>
      <c r="H1841" s="26" t="e">
        <f t="shared" si="1"/>
        <v>#VALUE!</v>
      </c>
      <c r="I1841" s="1" t="e">
        <f t="shared" si="2"/>
        <v>#VALUE!</v>
      </c>
    </row>
    <row r="1842" spans="1:9" ht="15.75" customHeight="1">
      <c r="A1842" s="26"/>
      <c r="B1842" s="2"/>
      <c r="C1842" s="26"/>
      <c r="D1842" s="26"/>
      <c r="F1842" s="85" t="str">
        <f t="shared" si="0"/>
        <v/>
      </c>
      <c r="G1842" s="1" t="e">
        <f>IF(VALUE(F1842) = VALUE(RIGHT(Insights!$C$3, 4)), E1842, "")</f>
        <v>#VALUE!</v>
      </c>
      <c r="H1842" s="26" t="e">
        <f t="shared" si="1"/>
        <v>#VALUE!</v>
      </c>
      <c r="I1842" s="1" t="e">
        <f t="shared" si="2"/>
        <v>#VALUE!</v>
      </c>
    </row>
    <row r="1843" spans="1:9" ht="15.75" customHeight="1">
      <c r="A1843" s="26"/>
      <c r="B1843" s="2"/>
      <c r="C1843" s="26"/>
      <c r="D1843" s="26"/>
      <c r="F1843" s="85" t="str">
        <f t="shared" si="0"/>
        <v/>
      </c>
      <c r="G1843" s="1" t="e">
        <f>IF(VALUE(F1843) = VALUE(RIGHT(Insights!$C$3, 4)), E1843, "")</f>
        <v>#VALUE!</v>
      </c>
      <c r="H1843" s="26" t="e">
        <f t="shared" si="1"/>
        <v>#VALUE!</v>
      </c>
      <c r="I1843" s="1" t="e">
        <f t="shared" si="2"/>
        <v>#VALUE!</v>
      </c>
    </row>
    <row r="1844" spans="1:9" ht="15.75" customHeight="1">
      <c r="A1844" s="26"/>
      <c r="B1844" s="2"/>
      <c r="C1844" s="26"/>
      <c r="D1844" s="26"/>
      <c r="F1844" s="85" t="str">
        <f t="shared" si="0"/>
        <v/>
      </c>
      <c r="G1844" s="1" t="e">
        <f>IF(VALUE(F1844) = VALUE(RIGHT(Insights!$C$3, 4)), E1844, "")</f>
        <v>#VALUE!</v>
      </c>
      <c r="H1844" s="26" t="e">
        <f t="shared" si="1"/>
        <v>#VALUE!</v>
      </c>
      <c r="I1844" s="1" t="e">
        <f t="shared" si="2"/>
        <v>#VALUE!</v>
      </c>
    </row>
    <row r="1845" spans="1:9" ht="15.75" customHeight="1">
      <c r="A1845" s="26"/>
      <c r="B1845" s="2"/>
      <c r="C1845" s="26"/>
      <c r="D1845" s="26"/>
      <c r="F1845" s="85" t="str">
        <f t="shared" si="0"/>
        <v/>
      </c>
      <c r="G1845" s="1" t="e">
        <f>IF(VALUE(F1845) = VALUE(RIGHT(Insights!$C$3, 4)), E1845, "")</f>
        <v>#VALUE!</v>
      </c>
      <c r="H1845" s="26" t="e">
        <f t="shared" si="1"/>
        <v>#VALUE!</v>
      </c>
      <c r="I1845" s="1" t="e">
        <f t="shared" si="2"/>
        <v>#VALUE!</v>
      </c>
    </row>
    <row r="1846" spans="1:9" ht="15.75" customHeight="1">
      <c r="A1846" s="26"/>
      <c r="B1846" s="2"/>
      <c r="C1846" s="26"/>
      <c r="D1846" s="26"/>
      <c r="F1846" s="85" t="str">
        <f t="shared" si="0"/>
        <v/>
      </c>
      <c r="G1846" s="1" t="e">
        <f>IF(VALUE(F1846) = VALUE(RIGHT(Insights!$C$3, 4)), E1846, "")</f>
        <v>#VALUE!</v>
      </c>
      <c r="H1846" s="26" t="e">
        <f t="shared" si="1"/>
        <v>#VALUE!</v>
      </c>
      <c r="I1846" s="1" t="e">
        <f t="shared" si="2"/>
        <v>#VALUE!</v>
      </c>
    </row>
    <row r="1847" spans="1:9" ht="15.75" customHeight="1">
      <c r="A1847" s="26"/>
      <c r="B1847" s="2"/>
      <c r="C1847" s="26"/>
      <c r="D1847" s="26"/>
      <c r="F1847" s="85" t="str">
        <f t="shared" si="0"/>
        <v/>
      </c>
      <c r="G1847" s="1" t="e">
        <f>IF(VALUE(F1847) = VALUE(RIGHT(Insights!$C$3, 4)), E1847, "")</f>
        <v>#VALUE!</v>
      </c>
      <c r="H1847" s="26" t="e">
        <f t="shared" si="1"/>
        <v>#VALUE!</v>
      </c>
      <c r="I1847" s="1" t="e">
        <f t="shared" si="2"/>
        <v>#VALUE!</v>
      </c>
    </row>
    <row r="1848" spans="1:9" ht="15.75" customHeight="1">
      <c r="A1848" s="26"/>
      <c r="B1848" s="2"/>
      <c r="C1848" s="26"/>
      <c r="D1848" s="26"/>
      <c r="F1848" s="85" t="str">
        <f t="shared" si="0"/>
        <v/>
      </c>
      <c r="G1848" s="1" t="e">
        <f>IF(VALUE(F1848) = VALUE(RIGHT(Insights!$C$3, 4)), E1848, "")</f>
        <v>#VALUE!</v>
      </c>
      <c r="H1848" s="26" t="e">
        <f t="shared" si="1"/>
        <v>#VALUE!</v>
      </c>
      <c r="I1848" s="1" t="e">
        <f t="shared" si="2"/>
        <v>#VALUE!</v>
      </c>
    </row>
    <row r="1849" spans="1:9" ht="15.75" customHeight="1">
      <c r="A1849" s="26"/>
      <c r="B1849" s="2"/>
      <c r="C1849" s="26"/>
      <c r="D1849" s="26"/>
      <c r="F1849" s="85" t="str">
        <f t="shared" si="0"/>
        <v/>
      </c>
      <c r="G1849" s="1" t="e">
        <f>IF(VALUE(F1849) = VALUE(RIGHT(Insights!$C$3, 4)), E1849, "")</f>
        <v>#VALUE!</v>
      </c>
      <c r="H1849" s="26" t="e">
        <f t="shared" si="1"/>
        <v>#VALUE!</v>
      </c>
      <c r="I1849" s="1" t="e">
        <f t="shared" si="2"/>
        <v>#VALUE!</v>
      </c>
    </row>
    <row r="1850" spans="1:9" ht="15.75" customHeight="1">
      <c r="A1850" s="26"/>
      <c r="B1850" s="2"/>
      <c r="C1850" s="26"/>
      <c r="D1850" s="26"/>
      <c r="F1850" s="85" t="str">
        <f t="shared" si="0"/>
        <v/>
      </c>
      <c r="G1850" s="1" t="e">
        <f>IF(VALUE(F1850) = VALUE(RIGHT(Insights!$C$3, 4)), E1850, "")</f>
        <v>#VALUE!</v>
      </c>
      <c r="H1850" s="26" t="e">
        <f t="shared" si="1"/>
        <v>#VALUE!</v>
      </c>
      <c r="I1850" s="1" t="e">
        <f t="shared" si="2"/>
        <v>#VALUE!</v>
      </c>
    </row>
    <row r="1851" spans="1:9" ht="15.75" customHeight="1">
      <c r="A1851" s="26"/>
      <c r="B1851" s="2"/>
      <c r="C1851" s="26"/>
      <c r="D1851" s="26"/>
      <c r="F1851" s="85" t="str">
        <f t="shared" si="0"/>
        <v/>
      </c>
      <c r="G1851" s="1" t="e">
        <f>IF(VALUE(F1851) = VALUE(RIGHT(Insights!$C$3, 4)), E1851, "")</f>
        <v>#VALUE!</v>
      </c>
      <c r="H1851" s="26" t="e">
        <f t="shared" si="1"/>
        <v>#VALUE!</v>
      </c>
      <c r="I1851" s="1" t="e">
        <f t="shared" si="2"/>
        <v>#VALUE!</v>
      </c>
    </row>
    <row r="1852" spans="1:9" ht="15.75" customHeight="1">
      <c r="A1852" s="26"/>
      <c r="B1852" s="2"/>
      <c r="C1852" s="26"/>
      <c r="D1852" s="26"/>
      <c r="F1852" s="85" t="str">
        <f t="shared" si="0"/>
        <v/>
      </c>
      <c r="G1852" s="1" t="e">
        <f>IF(VALUE(F1852) = VALUE(RIGHT(Insights!$C$3, 4)), E1852, "")</f>
        <v>#VALUE!</v>
      </c>
      <c r="H1852" s="26" t="e">
        <f t="shared" si="1"/>
        <v>#VALUE!</v>
      </c>
      <c r="I1852" s="1" t="e">
        <f t="shared" si="2"/>
        <v>#VALUE!</v>
      </c>
    </row>
    <row r="1853" spans="1:9" ht="15.75" customHeight="1">
      <c r="A1853" s="26"/>
      <c r="B1853" s="2"/>
      <c r="C1853" s="26"/>
      <c r="D1853" s="26"/>
      <c r="F1853" s="85" t="str">
        <f t="shared" si="0"/>
        <v/>
      </c>
      <c r="G1853" s="1" t="e">
        <f>IF(VALUE(F1853) = VALUE(RIGHT(Insights!$C$3, 4)), E1853, "")</f>
        <v>#VALUE!</v>
      </c>
      <c r="H1853" s="26" t="e">
        <f t="shared" si="1"/>
        <v>#VALUE!</v>
      </c>
      <c r="I1853" s="1" t="e">
        <f t="shared" si="2"/>
        <v>#VALUE!</v>
      </c>
    </row>
    <row r="1854" spans="1:9" ht="15.75" customHeight="1">
      <c r="A1854" s="26"/>
      <c r="B1854" s="2"/>
      <c r="C1854" s="26"/>
      <c r="D1854" s="26"/>
      <c r="F1854" s="85" t="str">
        <f t="shared" si="0"/>
        <v/>
      </c>
      <c r="G1854" s="1" t="e">
        <f>IF(VALUE(F1854) = VALUE(RIGHT(Insights!$C$3, 4)), E1854, "")</f>
        <v>#VALUE!</v>
      </c>
      <c r="H1854" s="26" t="e">
        <f t="shared" si="1"/>
        <v>#VALUE!</v>
      </c>
      <c r="I1854" s="1" t="e">
        <f t="shared" si="2"/>
        <v>#VALUE!</v>
      </c>
    </row>
    <row r="1855" spans="1:9" ht="15.75" customHeight="1">
      <c r="A1855" s="26"/>
      <c r="B1855" s="2"/>
      <c r="C1855" s="26"/>
      <c r="D1855" s="26"/>
      <c r="F1855" s="85" t="str">
        <f t="shared" si="0"/>
        <v/>
      </c>
      <c r="G1855" s="1" t="e">
        <f>IF(VALUE(F1855) = VALUE(RIGHT(Insights!$C$3, 4)), E1855, "")</f>
        <v>#VALUE!</v>
      </c>
      <c r="H1855" s="26" t="e">
        <f t="shared" si="1"/>
        <v>#VALUE!</v>
      </c>
      <c r="I1855" s="1" t="e">
        <f t="shared" si="2"/>
        <v>#VALUE!</v>
      </c>
    </row>
    <row r="1856" spans="1:9" ht="15.75" customHeight="1">
      <c r="A1856" s="26"/>
      <c r="B1856" s="2"/>
      <c r="C1856" s="26"/>
      <c r="D1856" s="26"/>
      <c r="F1856" s="85" t="str">
        <f t="shared" si="0"/>
        <v/>
      </c>
      <c r="G1856" s="1" t="e">
        <f>IF(VALUE(F1856) = VALUE(RIGHT(Insights!$C$3, 4)), E1856, "")</f>
        <v>#VALUE!</v>
      </c>
      <c r="H1856" s="26" t="e">
        <f t="shared" si="1"/>
        <v>#VALUE!</v>
      </c>
      <c r="I1856" s="1" t="e">
        <f t="shared" si="2"/>
        <v>#VALUE!</v>
      </c>
    </row>
    <row r="1857" spans="1:9" ht="15.75" customHeight="1">
      <c r="A1857" s="26"/>
      <c r="B1857" s="2"/>
      <c r="C1857" s="26"/>
      <c r="D1857" s="26"/>
      <c r="F1857" s="85" t="str">
        <f t="shared" si="0"/>
        <v/>
      </c>
      <c r="G1857" s="1" t="e">
        <f>IF(VALUE(F1857) = VALUE(RIGHT(Insights!$C$3, 4)), E1857, "")</f>
        <v>#VALUE!</v>
      </c>
      <c r="H1857" s="26" t="e">
        <f t="shared" si="1"/>
        <v>#VALUE!</v>
      </c>
      <c r="I1857" s="1" t="e">
        <f t="shared" si="2"/>
        <v>#VALUE!</v>
      </c>
    </row>
    <row r="1858" spans="1:9" ht="15.75" customHeight="1">
      <c r="A1858" s="26"/>
      <c r="B1858" s="2"/>
      <c r="C1858" s="26"/>
      <c r="D1858" s="26"/>
      <c r="F1858" s="85" t="str">
        <f t="shared" si="0"/>
        <v/>
      </c>
      <c r="G1858" s="1" t="e">
        <f>IF(VALUE(F1858) = VALUE(RIGHT(Insights!$C$3, 4)), E1858, "")</f>
        <v>#VALUE!</v>
      </c>
      <c r="H1858" s="26" t="e">
        <f t="shared" si="1"/>
        <v>#VALUE!</v>
      </c>
      <c r="I1858" s="1" t="e">
        <f t="shared" si="2"/>
        <v>#VALUE!</v>
      </c>
    </row>
    <row r="1859" spans="1:9" ht="15.75" customHeight="1">
      <c r="A1859" s="26"/>
      <c r="B1859" s="2"/>
      <c r="C1859" s="26"/>
      <c r="D1859" s="26"/>
      <c r="F1859" s="85" t="str">
        <f t="shared" si="0"/>
        <v/>
      </c>
      <c r="G1859" s="1" t="e">
        <f>IF(VALUE(F1859) = VALUE(RIGHT(Insights!$C$3, 4)), E1859, "")</f>
        <v>#VALUE!</v>
      </c>
      <c r="H1859" s="26" t="e">
        <f t="shared" si="1"/>
        <v>#VALUE!</v>
      </c>
      <c r="I1859" s="1" t="e">
        <f t="shared" si="2"/>
        <v>#VALUE!</v>
      </c>
    </row>
    <row r="1860" spans="1:9" ht="15.75" customHeight="1">
      <c r="A1860" s="26"/>
      <c r="B1860" s="2"/>
      <c r="C1860" s="26"/>
      <c r="D1860" s="26"/>
      <c r="F1860" s="85" t="str">
        <f t="shared" si="0"/>
        <v/>
      </c>
      <c r="G1860" s="1" t="e">
        <f>IF(VALUE(F1860) = VALUE(RIGHT(Insights!$C$3, 4)), E1860, "")</f>
        <v>#VALUE!</v>
      </c>
      <c r="H1860" s="26" t="e">
        <f t="shared" si="1"/>
        <v>#VALUE!</v>
      </c>
      <c r="I1860" s="1" t="e">
        <f t="shared" si="2"/>
        <v>#VALUE!</v>
      </c>
    </row>
    <row r="1861" spans="1:9" ht="15.75" customHeight="1">
      <c r="A1861" s="26"/>
      <c r="B1861" s="2"/>
      <c r="C1861" s="26"/>
      <c r="D1861" s="26"/>
      <c r="F1861" s="85" t="str">
        <f t="shared" si="0"/>
        <v/>
      </c>
      <c r="G1861" s="1" t="e">
        <f>IF(VALUE(F1861) = VALUE(RIGHT(Insights!$C$3, 4)), E1861, "")</f>
        <v>#VALUE!</v>
      </c>
      <c r="H1861" s="26" t="e">
        <f t="shared" si="1"/>
        <v>#VALUE!</v>
      </c>
      <c r="I1861" s="1" t="e">
        <f t="shared" si="2"/>
        <v>#VALUE!</v>
      </c>
    </row>
    <row r="1862" spans="1:9" ht="15.75" customHeight="1">
      <c r="A1862" s="26"/>
      <c r="B1862" s="2"/>
      <c r="C1862" s="26"/>
      <c r="D1862" s="26"/>
      <c r="F1862" s="85" t="str">
        <f t="shared" si="0"/>
        <v/>
      </c>
      <c r="G1862" s="1" t="e">
        <f>IF(VALUE(F1862) = VALUE(RIGHT(Insights!$C$3, 4)), E1862, "")</f>
        <v>#VALUE!</v>
      </c>
      <c r="H1862" s="26" t="e">
        <f t="shared" si="1"/>
        <v>#VALUE!</v>
      </c>
      <c r="I1862" s="1" t="e">
        <f t="shared" si="2"/>
        <v>#VALUE!</v>
      </c>
    </row>
    <row r="1863" spans="1:9" ht="15.75" customHeight="1">
      <c r="A1863" s="26"/>
      <c r="B1863" s="2"/>
      <c r="C1863" s="26"/>
      <c r="D1863" s="26"/>
      <c r="F1863" s="85" t="str">
        <f t="shared" si="0"/>
        <v/>
      </c>
      <c r="G1863" s="1" t="e">
        <f>IF(VALUE(F1863) = VALUE(RIGHT(Insights!$C$3, 4)), E1863, "")</f>
        <v>#VALUE!</v>
      </c>
      <c r="H1863" s="26" t="e">
        <f t="shared" si="1"/>
        <v>#VALUE!</v>
      </c>
      <c r="I1863" s="1" t="e">
        <f t="shared" si="2"/>
        <v>#VALUE!</v>
      </c>
    </row>
    <row r="1864" spans="1:9" ht="15.75" customHeight="1">
      <c r="A1864" s="26"/>
      <c r="B1864" s="2"/>
      <c r="C1864" s="26"/>
      <c r="D1864" s="26"/>
      <c r="F1864" s="85" t="str">
        <f t="shared" si="0"/>
        <v/>
      </c>
      <c r="G1864" s="1" t="e">
        <f>IF(VALUE(F1864) = VALUE(RIGHT(Insights!$C$3, 4)), E1864, "")</f>
        <v>#VALUE!</v>
      </c>
      <c r="H1864" s="26" t="e">
        <f t="shared" si="1"/>
        <v>#VALUE!</v>
      </c>
      <c r="I1864" s="1" t="e">
        <f t="shared" si="2"/>
        <v>#VALUE!</v>
      </c>
    </row>
    <row r="1865" spans="1:9" ht="15.75" customHeight="1">
      <c r="A1865" s="26"/>
      <c r="B1865" s="2"/>
      <c r="C1865" s="26"/>
      <c r="D1865" s="26"/>
      <c r="F1865" s="85" t="str">
        <f t="shared" si="0"/>
        <v/>
      </c>
      <c r="G1865" s="1" t="e">
        <f>IF(VALUE(F1865) = VALUE(RIGHT(Insights!$C$3, 4)), E1865, "")</f>
        <v>#VALUE!</v>
      </c>
      <c r="H1865" s="26" t="e">
        <f t="shared" si="1"/>
        <v>#VALUE!</v>
      </c>
      <c r="I1865" s="1" t="e">
        <f t="shared" si="2"/>
        <v>#VALUE!</v>
      </c>
    </row>
    <row r="1866" spans="1:9" ht="15.75" customHeight="1">
      <c r="A1866" s="26"/>
      <c r="B1866" s="2"/>
      <c r="C1866" s="26"/>
      <c r="D1866" s="26"/>
      <c r="F1866" s="85" t="str">
        <f t="shared" si="0"/>
        <v/>
      </c>
      <c r="G1866" s="1" t="e">
        <f>IF(VALUE(F1866) = VALUE(RIGHT(Insights!$C$3, 4)), E1866, "")</f>
        <v>#VALUE!</v>
      </c>
      <c r="H1866" s="26" t="e">
        <f t="shared" si="1"/>
        <v>#VALUE!</v>
      </c>
      <c r="I1866" s="1" t="e">
        <f t="shared" si="2"/>
        <v>#VALUE!</v>
      </c>
    </row>
    <row r="1867" spans="1:9" ht="15.75" customHeight="1">
      <c r="A1867" s="26"/>
      <c r="B1867" s="2"/>
      <c r="C1867" s="26"/>
      <c r="D1867" s="26"/>
      <c r="F1867" s="85" t="str">
        <f t="shared" si="0"/>
        <v/>
      </c>
      <c r="G1867" s="1" t="e">
        <f>IF(VALUE(F1867) = VALUE(RIGHT(Insights!$C$3, 4)), E1867, "")</f>
        <v>#VALUE!</v>
      </c>
      <c r="H1867" s="26" t="e">
        <f t="shared" si="1"/>
        <v>#VALUE!</v>
      </c>
      <c r="I1867" s="1" t="e">
        <f t="shared" si="2"/>
        <v>#VALUE!</v>
      </c>
    </row>
    <row r="1868" spans="1:9" ht="15.75" customHeight="1">
      <c r="A1868" s="26"/>
      <c r="B1868" s="2"/>
      <c r="C1868" s="26"/>
      <c r="D1868" s="26"/>
      <c r="F1868" s="85" t="str">
        <f t="shared" si="0"/>
        <v/>
      </c>
      <c r="G1868" s="1" t="e">
        <f>IF(VALUE(F1868) = VALUE(RIGHT(Insights!$C$3, 4)), E1868, "")</f>
        <v>#VALUE!</v>
      </c>
      <c r="H1868" s="26" t="e">
        <f t="shared" si="1"/>
        <v>#VALUE!</v>
      </c>
      <c r="I1868" s="1" t="e">
        <f t="shared" si="2"/>
        <v>#VALUE!</v>
      </c>
    </row>
    <row r="1869" spans="1:9" ht="15.75" customHeight="1">
      <c r="A1869" s="26"/>
      <c r="B1869" s="2"/>
      <c r="C1869" s="26"/>
      <c r="D1869" s="26"/>
      <c r="F1869" s="85" t="str">
        <f t="shared" si="0"/>
        <v/>
      </c>
      <c r="G1869" s="1" t="e">
        <f>IF(VALUE(F1869) = VALUE(RIGHT(Insights!$C$3, 4)), E1869, "")</f>
        <v>#VALUE!</v>
      </c>
      <c r="H1869" s="26" t="e">
        <f t="shared" si="1"/>
        <v>#VALUE!</v>
      </c>
      <c r="I1869" s="1" t="e">
        <f t="shared" si="2"/>
        <v>#VALUE!</v>
      </c>
    </row>
    <row r="1870" spans="1:9" ht="15.75" customHeight="1">
      <c r="A1870" s="26"/>
      <c r="B1870" s="2"/>
      <c r="C1870" s="26"/>
      <c r="D1870" s="26"/>
      <c r="F1870" s="85" t="str">
        <f t="shared" si="0"/>
        <v/>
      </c>
      <c r="G1870" s="1" t="e">
        <f>IF(VALUE(F1870) = VALUE(RIGHT(Insights!$C$3, 4)), E1870, "")</f>
        <v>#VALUE!</v>
      </c>
      <c r="H1870" s="26" t="e">
        <f t="shared" si="1"/>
        <v>#VALUE!</v>
      </c>
      <c r="I1870" s="1" t="e">
        <f t="shared" si="2"/>
        <v>#VALUE!</v>
      </c>
    </row>
    <row r="1871" spans="1:9" ht="15.75" customHeight="1">
      <c r="A1871" s="26"/>
      <c r="B1871" s="2"/>
      <c r="C1871" s="26"/>
      <c r="D1871" s="26"/>
      <c r="F1871" s="85" t="str">
        <f t="shared" si="0"/>
        <v/>
      </c>
      <c r="G1871" s="1" t="e">
        <f>IF(VALUE(F1871) = VALUE(RIGHT(Insights!$C$3, 4)), E1871, "")</f>
        <v>#VALUE!</v>
      </c>
      <c r="H1871" s="26" t="e">
        <f t="shared" si="1"/>
        <v>#VALUE!</v>
      </c>
      <c r="I1871" s="1" t="e">
        <f t="shared" si="2"/>
        <v>#VALUE!</v>
      </c>
    </row>
    <row r="1872" spans="1:9" ht="15.75" customHeight="1">
      <c r="A1872" s="26"/>
      <c r="B1872" s="2"/>
      <c r="C1872" s="26"/>
      <c r="D1872" s="26"/>
      <c r="F1872" s="85" t="str">
        <f t="shared" si="0"/>
        <v/>
      </c>
      <c r="G1872" s="1" t="e">
        <f>IF(VALUE(F1872) = VALUE(RIGHT(Insights!$C$3, 4)), E1872, "")</f>
        <v>#VALUE!</v>
      </c>
      <c r="H1872" s="26" t="e">
        <f t="shared" si="1"/>
        <v>#VALUE!</v>
      </c>
      <c r="I1872" s="1" t="e">
        <f t="shared" si="2"/>
        <v>#VALUE!</v>
      </c>
    </row>
    <row r="1873" spans="1:9" ht="15.75" customHeight="1">
      <c r="A1873" s="26"/>
      <c r="B1873" s="2"/>
      <c r="C1873" s="26"/>
      <c r="D1873" s="26"/>
      <c r="F1873" s="85" t="str">
        <f t="shared" si="0"/>
        <v/>
      </c>
      <c r="G1873" s="1" t="e">
        <f>IF(VALUE(F1873) = VALUE(RIGHT(Insights!$C$3, 4)), E1873, "")</f>
        <v>#VALUE!</v>
      </c>
      <c r="H1873" s="26" t="e">
        <f t="shared" si="1"/>
        <v>#VALUE!</v>
      </c>
      <c r="I1873" s="1" t="e">
        <f t="shared" si="2"/>
        <v>#VALUE!</v>
      </c>
    </row>
    <row r="1874" spans="1:9" ht="15.75" customHeight="1">
      <c r="A1874" s="26"/>
      <c r="B1874" s="2"/>
      <c r="C1874" s="26"/>
      <c r="D1874" s="26"/>
      <c r="F1874" s="85" t="str">
        <f t="shared" si="0"/>
        <v/>
      </c>
      <c r="G1874" s="1" t="e">
        <f>IF(VALUE(F1874) = VALUE(RIGHT(Insights!$C$3, 4)), E1874, "")</f>
        <v>#VALUE!</v>
      </c>
      <c r="H1874" s="26" t="e">
        <f t="shared" si="1"/>
        <v>#VALUE!</v>
      </c>
      <c r="I1874" s="1" t="e">
        <f t="shared" si="2"/>
        <v>#VALUE!</v>
      </c>
    </row>
    <row r="1875" spans="1:9" ht="15.75" customHeight="1">
      <c r="A1875" s="26"/>
      <c r="B1875" s="2"/>
      <c r="C1875" s="26"/>
      <c r="D1875" s="26"/>
      <c r="F1875" s="85" t="str">
        <f t="shared" si="0"/>
        <v/>
      </c>
      <c r="G1875" s="1" t="e">
        <f>IF(VALUE(F1875) = VALUE(RIGHT(Insights!$C$3, 4)), E1875, "")</f>
        <v>#VALUE!</v>
      </c>
      <c r="H1875" s="26" t="e">
        <f t="shared" si="1"/>
        <v>#VALUE!</v>
      </c>
      <c r="I1875" s="1" t="e">
        <f t="shared" si="2"/>
        <v>#VALUE!</v>
      </c>
    </row>
    <row r="1876" spans="1:9" ht="15.75" customHeight="1">
      <c r="A1876" s="26"/>
      <c r="B1876" s="2"/>
      <c r="C1876" s="26"/>
      <c r="D1876" s="26"/>
      <c r="F1876" s="85" t="str">
        <f t="shared" si="0"/>
        <v/>
      </c>
      <c r="G1876" s="1" t="e">
        <f>IF(VALUE(F1876) = VALUE(RIGHT(Insights!$C$3, 4)), E1876, "")</f>
        <v>#VALUE!</v>
      </c>
      <c r="H1876" s="26" t="e">
        <f t="shared" si="1"/>
        <v>#VALUE!</v>
      </c>
      <c r="I1876" s="1" t="e">
        <f t="shared" si="2"/>
        <v>#VALUE!</v>
      </c>
    </row>
    <row r="1877" spans="1:9" ht="15.75" customHeight="1">
      <c r="A1877" s="26"/>
      <c r="B1877" s="2"/>
      <c r="C1877" s="26"/>
      <c r="D1877" s="26"/>
      <c r="F1877" s="85" t="str">
        <f t="shared" si="0"/>
        <v/>
      </c>
      <c r="G1877" s="1" t="e">
        <f>IF(VALUE(F1877) = VALUE(RIGHT(Insights!$C$3, 4)), E1877, "")</f>
        <v>#VALUE!</v>
      </c>
      <c r="H1877" s="26" t="e">
        <f t="shared" si="1"/>
        <v>#VALUE!</v>
      </c>
      <c r="I1877" s="1" t="e">
        <f t="shared" si="2"/>
        <v>#VALUE!</v>
      </c>
    </row>
    <row r="1878" spans="1:9" ht="15.75" customHeight="1">
      <c r="A1878" s="26"/>
      <c r="B1878" s="2"/>
      <c r="C1878" s="26"/>
      <c r="D1878" s="26"/>
      <c r="F1878" s="85" t="str">
        <f t="shared" si="0"/>
        <v/>
      </c>
      <c r="G1878" s="1" t="e">
        <f>IF(VALUE(F1878) = VALUE(RIGHT(Insights!$C$3, 4)), E1878, "")</f>
        <v>#VALUE!</v>
      </c>
      <c r="H1878" s="26" t="e">
        <f t="shared" si="1"/>
        <v>#VALUE!</v>
      </c>
      <c r="I1878" s="1" t="e">
        <f t="shared" si="2"/>
        <v>#VALUE!</v>
      </c>
    </row>
    <row r="1879" spans="1:9" ht="15.75" customHeight="1">
      <c r="A1879" s="26"/>
      <c r="B1879" s="2"/>
      <c r="C1879" s="26"/>
      <c r="D1879" s="26"/>
      <c r="F1879" s="85" t="str">
        <f t="shared" si="0"/>
        <v/>
      </c>
      <c r="G1879" s="1" t="e">
        <f>IF(VALUE(F1879) = VALUE(RIGHT(Insights!$C$3, 4)), E1879, "")</f>
        <v>#VALUE!</v>
      </c>
      <c r="H1879" s="26" t="e">
        <f t="shared" si="1"/>
        <v>#VALUE!</v>
      </c>
      <c r="I1879" s="1" t="e">
        <f t="shared" si="2"/>
        <v>#VALUE!</v>
      </c>
    </row>
    <row r="1880" spans="1:9" ht="15.75" customHeight="1">
      <c r="A1880" s="26"/>
      <c r="B1880" s="2"/>
      <c r="C1880" s="26"/>
      <c r="D1880" s="26"/>
      <c r="F1880" s="85" t="str">
        <f t="shared" si="0"/>
        <v/>
      </c>
      <c r="G1880" s="1" t="e">
        <f>IF(VALUE(F1880) = VALUE(RIGHT(Insights!$C$3, 4)), E1880, "")</f>
        <v>#VALUE!</v>
      </c>
      <c r="H1880" s="26" t="e">
        <f t="shared" si="1"/>
        <v>#VALUE!</v>
      </c>
      <c r="I1880" s="1" t="e">
        <f t="shared" si="2"/>
        <v>#VALUE!</v>
      </c>
    </row>
    <row r="1881" spans="1:9" ht="15.75" customHeight="1">
      <c r="A1881" s="26"/>
      <c r="B1881" s="2"/>
      <c r="C1881" s="26"/>
      <c r="D1881" s="26"/>
      <c r="F1881" s="85" t="str">
        <f t="shared" si="0"/>
        <v/>
      </c>
      <c r="G1881" s="1" t="e">
        <f>IF(VALUE(F1881) = VALUE(RIGHT(Insights!$C$3, 4)), E1881, "")</f>
        <v>#VALUE!</v>
      </c>
      <c r="H1881" s="26" t="e">
        <f t="shared" si="1"/>
        <v>#VALUE!</v>
      </c>
      <c r="I1881" s="1" t="e">
        <f t="shared" si="2"/>
        <v>#VALUE!</v>
      </c>
    </row>
    <row r="1882" spans="1:9" ht="15.75" customHeight="1">
      <c r="A1882" s="26"/>
      <c r="B1882" s="2"/>
      <c r="C1882" s="26"/>
      <c r="D1882" s="26"/>
      <c r="F1882" s="85" t="str">
        <f t="shared" si="0"/>
        <v/>
      </c>
      <c r="G1882" s="1" t="e">
        <f>IF(VALUE(F1882) = VALUE(RIGHT(Insights!$C$3, 4)), E1882, "")</f>
        <v>#VALUE!</v>
      </c>
      <c r="H1882" s="26" t="e">
        <f t="shared" si="1"/>
        <v>#VALUE!</v>
      </c>
      <c r="I1882" s="1" t="e">
        <f t="shared" si="2"/>
        <v>#VALUE!</v>
      </c>
    </row>
    <row r="1883" spans="1:9" ht="15.75" customHeight="1">
      <c r="A1883" s="26"/>
      <c r="B1883" s="2"/>
      <c r="C1883" s="26"/>
      <c r="D1883" s="26"/>
      <c r="F1883" s="85" t="str">
        <f t="shared" si="0"/>
        <v/>
      </c>
      <c r="G1883" s="1" t="e">
        <f>IF(VALUE(F1883) = VALUE(RIGHT(Insights!$C$3, 4)), E1883, "")</f>
        <v>#VALUE!</v>
      </c>
      <c r="H1883" s="26" t="e">
        <f t="shared" si="1"/>
        <v>#VALUE!</v>
      </c>
      <c r="I1883" s="1" t="e">
        <f t="shared" si="2"/>
        <v>#VALUE!</v>
      </c>
    </row>
    <row r="1884" spans="1:9" ht="15.75" customHeight="1">
      <c r="A1884" s="26"/>
      <c r="B1884" s="2"/>
      <c r="C1884" s="26"/>
      <c r="D1884" s="26"/>
      <c r="F1884" s="85" t="str">
        <f t="shared" si="0"/>
        <v/>
      </c>
      <c r="G1884" s="1" t="e">
        <f>IF(VALUE(F1884) = VALUE(RIGHT(Insights!$C$3, 4)), E1884, "")</f>
        <v>#VALUE!</v>
      </c>
      <c r="H1884" s="26" t="e">
        <f t="shared" si="1"/>
        <v>#VALUE!</v>
      </c>
      <c r="I1884" s="1" t="e">
        <f t="shared" si="2"/>
        <v>#VALUE!</v>
      </c>
    </row>
    <row r="1885" spans="1:9" ht="15.75" customHeight="1">
      <c r="A1885" s="26"/>
      <c r="B1885" s="2"/>
      <c r="C1885" s="26"/>
      <c r="D1885" s="26"/>
      <c r="F1885" s="85" t="str">
        <f t="shared" si="0"/>
        <v/>
      </c>
      <c r="G1885" s="1" t="e">
        <f>IF(VALUE(F1885) = VALUE(RIGHT(Insights!$C$3, 4)), E1885, "")</f>
        <v>#VALUE!</v>
      </c>
      <c r="H1885" s="26" t="e">
        <f t="shared" si="1"/>
        <v>#VALUE!</v>
      </c>
      <c r="I1885" s="1" t="e">
        <f t="shared" si="2"/>
        <v>#VALUE!</v>
      </c>
    </row>
    <row r="1886" spans="1:9" ht="15.75" customHeight="1">
      <c r="A1886" s="26"/>
      <c r="B1886" s="2"/>
      <c r="C1886" s="26"/>
      <c r="D1886" s="26"/>
      <c r="F1886" s="85" t="str">
        <f t="shared" si="0"/>
        <v/>
      </c>
      <c r="G1886" s="1" t="e">
        <f>IF(VALUE(F1886) = VALUE(RIGHT(Insights!$C$3, 4)), E1886, "")</f>
        <v>#VALUE!</v>
      </c>
      <c r="H1886" s="26" t="e">
        <f t="shared" si="1"/>
        <v>#VALUE!</v>
      </c>
      <c r="I1886" s="1" t="e">
        <f t="shared" si="2"/>
        <v>#VALUE!</v>
      </c>
    </row>
    <row r="1887" spans="1:9" ht="15.75" customHeight="1">
      <c r="A1887" s="26"/>
      <c r="B1887" s="2"/>
      <c r="C1887" s="26"/>
      <c r="D1887" s="26"/>
      <c r="F1887" s="85" t="str">
        <f t="shared" si="0"/>
        <v/>
      </c>
      <c r="G1887" s="1" t="e">
        <f>IF(VALUE(F1887) = VALUE(RIGHT(Insights!$C$3, 4)), E1887, "")</f>
        <v>#VALUE!</v>
      </c>
      <c r="H1887" s="26" t="e">
        <f t="shared" si="1"/>
        <v>#VALUE!</v>
      </c>
      <c r="I1887" s="1" t="e">
        <f t="shared" si="2"/>
        <v>#VALUE!</v>
      </c>
    </row>
    <row r="1888" spans="1:9" ht="15.75" customHeight="1">
      <c r="A1888" s="26"/>
      <c r="B1888" s="2"/>
      <c r="C1888" s="26"/>
      <c r="D1888" s="26"/>
      <c r="F1888" s="85" t="str">
        <f t="shared" si="0"/>
        <v/>
      </c>
      <c r="G1888" s="1" t="e">
        <f>IF(VALUE(F1888) = VALUE(RIGHT(Insights!$C$3, 4)), E1888, "")</f>
        <v>#VALUE!</v>
      </c>
      <c r="H1888" s="26" t="e">
        <f t="shared" si="1"/>
        <v>#VALUE!</v>
      </c>
      <c r="I1888" s="1" t="e">
        <f t="shared" si="2"/>
        <v>#VALUE!</v>
      </c>
    </row>
    <row r="1889" spans="1:9" ht="15.75" customHeight="1">
      <c r="A1889" s="26"/>
      <c r="B1889" s="2"/>
      <c r="C1889" s="26"/>
      <c r="D1889" s="26"/>
      <c r="F1889" s="85" t="str">
        <f t="shared" si="0"/>
        <v/>
      </c>
      <c r="G1889" s="1" t="e">
        <f>IF(VALUE(F1889) = VALUE(RIGHT(Insights!$C$3, 4)), E1889, "")</f>
        <v>#VALUE!</v>
      </c>
      <c r="H1889" s="26" t="e">
        <f t="shared" si="1"/>
        <v>#VALUE!</v>
      </c>
      <c r="I1889" s="1" t="e">
        <f t="shared" si="2"/>
        <v>#VALUE!</v>
      </c>
    </row>
    <row r="1890" spans="1:9" ht="15.75" customHeight="1">
      <c r="A1890" s="26"/>
      <c r="B1890" s="2"/>
      <c r="C1890" s="26"/>
      <c r="D1890" s="26"/>
      <c r="F1890" s="85" t="str">
        <f t="shared" si="0"/>
        <v/>
      </c>
      <c r="G1890" s="1" t="e">
        <f>IF(VALUE(F1890) = VALUE(RIGHT(Insights!$C$3, 4)), E1890, "")</f>
        <v>#VALUE!</v>
      </c>
      <c r="H1890" s="26" t="e">
        <f t="shared" si="1"/>
        <v>#VALUE!</v>
      </c>
      <c r="I1890" s="1" t="e">
        <f t="shared" si="2"/>
        <v>#VALUE!</v>
      </c>
    </row>
    <row r="1891" spans="1:9" ht="15.75" customHeight="1">
      <c r="A1891" s="26"/>
      <c r="B1891" s="2"/>
      <c r="C1891" s="26"/>
      <c r="D1891" s="26"/>
      <c r="F1891" s="85" t="str">
        <f t="shared" si="0"/>
        <v/>
      </c>
      <c r="G1891" s="1" t="e">
        <f>IF(VALUE(F1891) = VALUE(RIGHT(Insights!$C$3, 4)), E1891, "")</f>
        <v>#VALUE!</v>
      </c>
      <c r="H1891" s="26" t="e">
        <f t="shared" si="1"/>
        <v>#VALUE!</v>
      </c>
      <c r="I1891" s="1" t="e">
        <f t="shared" si="2"/>
        <v>#VALUE!</v>
      </c>
    </row>
    <row r="1892" spans="1:9" ht="15.75" customHeight="1">
      <c r="A1892" s="26"/>
      <c r="B1892" s="2"/>
      <c r="C1892" s="26"/>
      <c r="D1892" s="26"/>
      <c r="F1892" s="85" t="str">
        <f t="shared" si="0"/>
        <v/>
      </c>
      <c r="G1892" s="1" t="e">
        <f>IF(VALUE(F1892) = VALUE(RIGHT(Insights!$C$3, 4)), E1892, "")</f>
        <v>#VALUE!</v>
      </c>
      <c r="H1892" s="26" t="e">
        <f t="shared" si="1"/>
        <v>#VALUE!</v>
      </c>
      <c r="I1892" s="1" t="e">
        <f t="shared" si="2"/>
        <v>#VALUE!</v>
      </c>
    </row>
    <row r="1893" spans="1:9" ht="15.75" customHeight="1">
      <c r="A1893" s="26"/>
      <c r="B1893" s="2"/>
      <c r="C1893" s="26"/>
      <c r="D1893" s="26"/>
      <c r="F1893" s="85" t="str">
        <f t="shared" si="0"/>
        <v/>
      </c>
      <c r="G1893" s="1" t="e">
        <f>IF(VALUE(F1893) = VALUE(RIGHT(Insights!$C$3, 4)), E1893, "")</f>
        <v>#VALUE!</v>
      </c>
      <c r="H1893" s="26" t="e">
        <f t="shared" si="1"/>
        <v>#VALUE!</v>
      </c>
      <c r="I1893" s="1" t="e">
        <f t="shared" si="2"/>
        <v>#VALUE!</v>
      </c>
    </row>
    <row r="1894" spans="1:9" ht="15.75" customHeight="1">
      <c r="A1894" s="26"/>
      <c r="B1894" s="2"/>
      <c r="C1894" s="26"/>
      <c r="D1894" s="26"/>
      <c r="F1894" s="85" t="str">
        <f t="shared" si="0"/>
        <v/>
      </c>
      <c r="G1894" s="1" t="e">
        <f>IF(VALUE(F1894) = VALUE(RIGHT(Insights!$C$3, 4)), E1894, "")</f>
        <v>#VALUE!</v>
      </c>
      <c r="H1894" s="26" t="e">
        <f t="shared" si="1"/>
        <v>#VALUE!</v>
      </c>
      <c r="I1894" s="1" t="e">
        <f t="shared" si="2"/>
        <v>#VALUE!</v>
      </c>
    </row>
    <row r="1895" spans="1:9" ht="15.75" customHeight="1">
      <c r="A1895" s="26"/>
      <c r="B1895" s="2"/>
      <c r="C1895" s="26"/>
      <c r="D1895" s="26"/>
      <c r="F1895" s="85" t="str">
        <f t="shared" si="0"/>
        <v/>
      </c>
      <c r="G1895" s="1" t="e">
        <f>IF(VALUE(F1895) = VALUE(RIGHT(Insights!$C$3, 4)), E1895, "")</f>
        <v>#VALUE!</v>
      </c>
      <c r="H1895" s="26" t="e">
        <f t="shared" si="1"/>
        <v>#VALUE!</v>
      </c>
      <c r="I1895" s="1" t="e">
        <f t="shared" si="2"/>
        <v>#VALUE!</v>
      </c>
    </row>
    <row r="1896" spans="1:9" ht="15.75" customHeight="1">
      <c r="A1896" s="26"/>
      <c r="B1896" s="2"/>
      <c r="C1896" s="26"/>
      <c r="D1896" s="26"/>
      <c r="F1896" s="85" t="str">
        <f t="shared" si="0"/>
        <v/>
      </c>
      <c r="G1896" s="1" t="e">
        <f>IF(VALUE(F1896) = VALUE(RIGHT(Insights!$C$3, 4)), E1896, "")</f>
        <v>#VALUE!</v>
      </c>
      <c r="H1896" s="26" t="e">
        <f t="shared" si="1"/>
        <v>#VALUE!</v>
      </c>
      <c r="I1896" s="1" t="e">
        <f t="shared" si="2"/>
        <v>#VALUE!</v>
      </c>
    </row>
    <row r="1897" spans="1:9" ht="15.75" customHeight="1">
      <c r="A1897" s="26"/>
      <c r="B1897" s="2"/>
      <c r="C1897" s="26"/>
      <c r="D1897" s="26"/>
      <c r="F1897" s="85" t="str">
        <f t="shared" si="0"/>
        <v/>
      </c>
      <c r="G1897" s="1" t="e">
        <f>IF(VALUE(F1897) = VALUE(RIGHT(Insights!$C$3, 4)), E1897, "")</f>
        <v>#VALUE!</v>
      </c>
      <c r="H1897" s="26" t="e">
        <f t="shared" si="1"/>
        <v>#VALUE!</v>
      </c>
      <c r="I1897" s="1" t="e">
        <f t="shared" si="2"/>
        <v>#VALUE!</v>
      </c>
    </row>
    <row r="1898" spans="1:9" ht="15.75" customHeight="1">
      <c r="A1898" s="26"/>
      <c r="B1898" s="2"/>
      <c r="C1898" s="26"/>
      <c r="D1898" s="26"/>
      <c r="F1898" s="85" t="str">
        <f t="shared" si="0"/>
        <v/>
      </c>
      <c r="G1898" s="1" t="e">
        <f>IF(VALUE(F1898) = VALUE(RIGHT(Insights!$C$3, 4)), E1898, "")</f>
        <v>#VALUE!</v>
      </c>
      <c r="H1898" s="26" t="e">
        <f t="shared" si="1"/>
        <v>#VALUE!</v>
      </c>
      <c r="I1898" s="1" t="e">
        <f t="shared" si="2"/>
        <v>#VALUE!</v>
      </c>
    </row>
    <row r="1899" spans="1:9" ht="15.75" customHeight="1">
      <c r="A1899" s="26"/>
      <c r="B1899" s="2"/>
      <c r="C1899" s="26"/>
      <c r="D1899" s="26"/>
      <c r="F1899" s="85" t="str">
        <f t="shared" si="0"/>
        <v/>
      </c>
      <c r="G1899" s="1" t="e">
        <f>IF(VALUE(F1899) = VALUE(RIGHT(Insights!$C$3, 4)), E1899, "")</f>
        <v>#VALUE!</v>
      </c>
      <c r="H1899" s="26" t="e">
        <f t="shared" si="1"/>
        <v>#VALUE!</v>
      </c>
      <c r="I1899" s="1" t="e">
        <f t="shared" si="2"/>
        <v>#VALUE!</v>
      </c>
    </row>
    <row r="1900" spans="1:9" ht="15.75" customHeight="1">
      <c r="A1900" s="26"/>
      <c r="B1900" s="2"/>
      <c r="C1900" s="26"/>
      <c r="D1900" s="26"/>
      <c r="F1900" s="85" t="str">
        <f t="shared" si="0"/>
        <v/>
      </c>
      <c r="G1900" s="1" t="e">
        <f>IF(VALUE(F1900) = VALUE(RIGHT(Insights!$C$3, 4)), E1900, "")</f>
        <v>#VALUE!</v>
      </c>
      <c r="H1900" s="26" t="e">
        <f t="shared" si="1"/>
        <v>#VALUE!</v>
      </c>
      <c r="I1900" s="1" t="e">
        <f t="shared" si="2"/>
        <v>#VALUE!</v>
      </c>
    </row>
    <row r="1901" spans="1:9" ht="15.75" customHeight="1">
      <c r="A1901" s="26"/>
      <c r="B1901" s="2"/>
      <c r="C1901" s="26"/>
      <c r="D1901" s="26"/>
      <c r="F1901" s="85" t="str">
        <f t="shared" si="0"/>
        <v/>
      </c>
      <c r="G1901" s="1" t="e">
        <f>IF(VALUE(F1901) = VALUE(RIGHT(Insights!$C$3, 4)), E1901, "")</f>
        <v>#VALUE!</v>
      </c>
      <c r="H1901" s="26" t="e">
        <f t="shared" si="1"/>
        <v>#VALUE!</v>
      </c>
      <c r="I1901" s="1" t="e">
        <f t="shared" si="2"/>
        <v>#VALUE!</v>
      </c>
    </row>
    <row r="1902" spans="1:9" ht="15.75" customHeight="1">
      <c r="A1902" s="26"/>
      <c r="B1902" s="2"/>
      <c r="C1902" s="26"/>
      <c r="D1902" s="26"/>
      <c r="F1902" s="85" t="str">
        <f t="shared" si="0"/>
        <v/>
      </c>
      <c r="G1902" s="1" t="e">
        <f>IF(VALUE(F1902) = VALUE(RIGHT(Insights!$C$3, 4)), E1902, "")</f>
        <v>#VALUE!</v>
      </c>
      <c r="H1902" s="26" t="e">
        <f t="shared" si="1"/>
        <v>#VALUE!</v>
      </c>
      <c r="I1902" s="1" t="e">
        <f t="shared" si="2"/>
        <v>#VALUE!</v>
      </c>
    </row>
    <row r="1903" spans="1:9" ht="15.75" customHeight="1">
      <c r="A1903" s="26"/>
      <c r="B1903" s="2"/>
      <c r="C1903" s="26"/>
      <c r="D1903" s="26"/>
      <c r="F1903" s="85" t="str">
        <f t="shared" si="0"/>
        <v/>
      </c>
      <c r="G1903" s="1" t="e">
        <f>IF(VALUE(F1903) = VALUE(RIGHT(Insights!$C$3, 4)), E1903, "")</f>
        <v>#VALUE!</v>
      </c>
      <c r="H1903" s="26" t="e">
        <f t="shared" si="1"/>
        <v>#VALUE!</v>
      </c>
      <c r="I1903" s="1" t="e">
        <f t="shared" si="2"/>
        <v>#VALUE!</v>
      </c>
    </row>
    <row r="1904" spans="1:9" ht="15.75" customHeight="1">
      <c r="A1904" s="26"/>
      <c r="B1904" s="2"/>
      <c r="C1904" s="26"/>
      <c r="D1904" s="26"/>
      <c r="F1904" s="85" t="str">
        <f t="shared" si="0"/>
        <v/>
      </c>
      <c r="G1904" s="1" t="e">
        <f>IF(VALUE(F1904) = VALUE(RIGHT(Insights!$C$3, 4)), E1904, "")</f>
        <v>#VALUE!</v>
      </c>
      <c r="H1904" s="26" t="e">
        <f t="shared" si="1"/>
        <v>#VALUE!</v>
      </c>
      <c r="I1904" s="1" t="e">
        <f t="shared" si="2"/>
        <v>#VALUE!</v>
      </c>
    </row>
    <row r="1905" spans="1:9" ht="15.75" customHeight="1">
      <c r="A1905" s="26"/>
      <c r="B1905" s="2"/>
      <c r="C1905" s="26"/>
      <c r="D1905" s="26"/>
      <c r="F1905" s="85" t="str">
        <f t="shared" si="0"/>
        <v/>
      </c>
      <c r="G1905" s="1" t="e">
        <f>IF(VALUE(F1905) = VALUE(RIGHT(Insights!$C$3, 4)), E1905, "")</f>
        <v>#VALUE!</v>
      </c>
      <c r="H1905" s="26" t="e">
        <f t="shared" si="1"/>
        <v>#VALUE!</v>
      </c>
      <c r="I1905" s="1" t="e">
        <f t="shared" si="2"/>
        <v>#VALUE!</v>
      </c>
    </row>
    <row r="1906" spans="1:9" ht="15.75" customHeight="1">
      <c r="A1906" s="26"/>
      <c r="B1906" s="2"/>
      <c r="C1906" s="26"/>
      <c r="D1906" s="26"/>
      <c r="F1906" s="85" t="str">
        <f t="shared" si="0"/>
        <v/>
      </c>
      <c r="G1906" s="1" t="e">
        <f>IF(VALUE(F1906) = VALUE(RIGHT(Insights!$C$3, 4)), E1906, "")</f>
        <v>#VALUE!</v>
      </c>
      <c r="H1906" s="26" t="e">
        <f t="shared" si="1"/>
        <v>#VALUE!</v>
      </c>
      <c r="I1906" s="1" t="e">
        <f t="shared" si="2"/>
        <v>#VALUE!</v>
      </c>
    </row>
    <row r="1907" spans="1:9" ht="15.75" customHeight="1">
      <c r="A1907" s="26"/>
      <c r="B1907" s="2"/>
      <c r="C1907" s="26"/>
      <c r="D1907" s="26"/>
      <c r="F1907" s="85" t="str">
        <f t="shared" si="0"/>
        <v/>
      </c>
      <c r="G1907" s="1" t="e">
        <f>IF(VALUE(F1907) = VALUE(RIGHT(Insights!$C$3, 4)), E1907, "")</f>
        <v>#VALUE!</v>
      </c>
      <c r="H1907" s="26" t="e">
        <f t="shared" si="1"/>
        <v>#VALUE!</v>
      </c>
      <c r="I1907" s="1" t="e">
        <f t="shared" si="2"/>
        <v>#VALUE!</v>
      </c>
    </row>
    <row r="1908" spans="1:9" ht="15.75" customHeight="1">
      <c r="A1908" s="26"/>
      <c r="B1908" s="2"/>
      <c r="C1908" s="26"/>
      <c r="D1908" s="26"/>
      <c r="F1908" s="85" t="str">
        <f t="shared" si="0"/>
        <v/>
      </c>
      <c r="G1908" s="1" t="e">
        <f>IF(VALUE(F1908) = VALUE(RIGHT(Insights!$C$3, 4)), E1908, "")</f>
        <v>#VALUE!</v>
      </c>
      <c r="H1908" s="26" t="e">
        <f t="shared" si="1"/>
        <v>#VALUE!</v>
      </c>
      <c r="I1908" s="1" t="e">
        <f t="shared" si="2"/>
        <v>#VALUE!</v>
      </c>
    </row>
    <row r="1909" spans="1:9" ht="15.75" customHeight="1">
      <c r="A1909" s="26"/>
      <c r="B1909" s="2"/>
      <c r="C1909" s="26"/>
      <c r="D1909" s="26"/>
      <c r="F1909" s="85" t="str">
        <f t="shared" si="0"/>
        <v/>
      </c>
      <c r="G1909" s="1" t="e">
        <f>IF(VALUE(F1909) = VALUE(RIGHT(Insights!$C$3, 4)), E1909, "")</f>
        <v>#VALUE!</v>
      </c>
      <c r="H1909" s="26" t="e">
        <f t="shared" si="1"/>
        <v>#VALUE!</v>
      </c>
      <c r="I1909" s="1" t="e">
        <f t="shared" si="2"/>
        <v>#VALUE!</v>
      </c>
    </row>
    <row r="1910" spans="1:9" ht="15.75" customHeight="1">
      <c r="A1910" s="26"/>
      <c r="B1910" s="2"/>
      <c r="C1910" s="26"/>
      <c r="D1910" s="26"/>
      <c r="F1910" s="85" t="str">
        <f t="shared" si="0"/>
        <v/>
      </c>
      <c r="G1910" s="1" t="e">
        <f>IF(VALUE(F1910) = VALUE(RIGHT(Insights!$C$3, 4)), E1910, "")</f>
        <v>#VALUE!</v>
      </c>
      <c r="H1910" s="26" t="e">
        <f t="shared" si="1"/>
        <v>#VALUE!</v>
      </c>
      <c r="I1910" s="1" t="e">
        <f t="shared" si="2"/>
        <v>#VALUE!</v>
      </c>
    </row>
    <row r="1911" spans="1:9" ht="15.75" customHeight="1">
      <c r="A1911" s="26"/>
      <c r="B1911" s="2"/>
      <c r="C1911" s="26"/>
      <c r="D1911" s="26"/>
      <c r="F1911" s="85" t="str">
        <f t="shared" si="0"/>
        <v/>
      </c>
      <c r="G1911" s="1" t="e">
        <f>IF(VALUE(F1911) = VALUE(RIGHT(Insights!$C$3, 4)), E1911, "")</f>
        <v>#VALUE!</v>
      </c>
      <c r="H1911" s="26" t="e">
        <f t="shared" si="1"/>
        <v>#VALUE!</v>
      </c>
      <c r="I1911" s="1" t="e">
        <f t="shared" si="2"/>
        <v>#VALUE!</v>
      </c>
    </row>
    <row r="1912" spans="1:9" ht="15.75" customHeight="1">
      <c r="A1912" s="26"/>
      <c r="B1912" s="2"/>
      <c r="C1912" s="26"/>
      <c r="D1912" s="26"/>
      <c r="F1912" s="85" t="str">
        <f t="shared" si="0"/>
        <v/>
      </c>
      <c r="G1912" s="1" t="e">
        <f>IF(VALUE(F1912) = VALUE(RIGHT(Insights!$C$3, 4)), E1912, "")</f>
        <v>#VALUE!</v>
      </c>
      <c r="H1912" s="26" t="e">
        <f t="shared" si="1"/>
        <v>#VALUE!</v>
      </c>
      <c r="I1912" s="1" t="e">
        <f t="shared" si="2"/>
        <v>#VALUE!</v>
      </c>
    </row>
    <row r="1913" spans="1:9" ht="15.75" customHeight="1">
      <c r="A1913" s="26"/>
      <c r="B1913" s="2"/>
      <c r="C1913" s="26"/>
      <c r="D1913" s="26"/>
      <c r="F1913" s="85" t="str">
        <f t="shared" si="0"/>
        <v/>
      </c>
      <c r="G1913" s="1" t="e">
        <f>IF(VALUE(F1913) = VALUE(RIGHT(Insights!$C$3, 4)), E1913, "")</f>
        <v>#VALUE!</v>
      </c>
      <c r="H1913" s="26" t="e">
        <f t="shared" si="1"/>
        <v>#VALUE!</v>
      </c>
      <c r="I1913" s="1" t="e">
        <f t="shared" si="2"/>
        <v>#VALUE!</v>
      </c>
    </row>
    <row r="1914" spans="1:9" ht="15.75" customHeight="1">
      <c r="A1914" s="26"/>
      <c r="B1914" s="2"/>
      <c r="C1914" s="26"/>
      <c r="D1914" s="26"/>
      <c r="F1914" s="85" t="str">
        <f t="shared" si="0"/>
        <v/>
      </c>
      <c r="G1914" s="1" t="e">
        <f>IF(VALUE(F1914) = VALUE(RIGHT(Insights!$C$3, 4)), E1914, "")</f>
        <v>#VALUE!</v>
      </c>
      <c r="H1914" s="26" t="e">
        <f t="shared" si="1"/>
        <v>#VALUE!</v>
      </c>
      <c r="I1914" s="1" t="e">
        <f t="shared" si="2"/>
        <v>#VALUE!</v>
      </c>
    </row>
    <row r="1915" spans="1:9" ht="15.75" customHeight="1">
      <c r="A1915" s="26"/>
      <c r="B1915" s="2"/>
      <c r="C1915" s="26"/>
      <c r="D1915" s="26"/>
      <c r="F1915" s="85" t="str">
        <f t="shared" si="0"/>
        <v/>
      </c>
      <c r="G1915" s="1" t="e">
        <f>IF(VALUE(F1915) = VALUE(RIGHT(Insights!$C$3, 4)), E1915, "")</f>
        <v>#VALUE!</v>
      </c>
      <c r="H1915" s="26" t="e">
        <f t="shared" si="1"/>
        <v>#VALUE!</v>
      </c>
      <c r="I1915" s="1" t="e">
        <f t="shared" si="2"/>
        <v>#VALUE!</v>
      </c>
    </row>
    <row r="1916" spans="1:9" ht="15.75" customHeight="1">
      <c r="A1916" s="26"/>
      <c r="B1916" s="2"/>
      <c r="C1916" s="26"/>
      <c r="D1916" s="26"/>
      <c r="F1916" s="85" t="str">
        <f t="shared" si="0"/>
        <v/>
      </c>
      <c r="G1916" s="1" t="e">
        <f>IF(VALUE(F1916) = VALUE(RIGHT(Insights!$C$3, 4)), E1916, "")</f>
        <v>#VALUE!</v>
      </c>
      <c r="H1916" s="26" t="e">
        <f t="shared" si="1"/>
        <v>#VALUE!</v>
      </c>
      <c r="I1916" s="1" t="e">
        <f t="shared" si="2"/>
        <v>#VALUE!</v>
      </c>
    </row>
    <row r="1917" spans="1:9" ht="15.75" customHeight="1">
      <c r="A1917" s="26"/>
      <c r="B1917" s="2"/>
      <c r="C1917" s="26"/>
      <c r="D1917" s="26"/>
      <c r="F1917" s="85" t="str">
        <f t="shared" si="0"/>
        <v/>
      </c>
      <c r="G1917" s="1" t="e">
        <f>IF(VALUE(F1917) = VALUE(RIGHT(Insights!$C$3, 4)), E1917, "")</f>
        <v>#VALUE!</v>
      </c>
      <c r="H1917" s="26" t="e">
        <f t="shared" si="1"/>
        <v>#VALUE!</v>
      </c>
      <c r="I1917" s="1" t="e">
        <f t="shared" si="2"/>
        <v>#VALUE!</v>
      </c>
    </row>
    <row r="1918" spans="1:9" ht="15.75" customHeight="1">
      <c r="A1918" s="26"/>
      <c r="B1918" s="2"/>
      <c r="C1918" s="26"/>
      <c r="D1918" s="26"/>
      <c r="F1918" s="85" t="str">
        <f t="shared" si="0"/>
        <v/>
      </c>
      <c r="G1918" s="1" t="e">
        <f>IF(VALUE(F1918) = VALUE(RIGHT(Insights!$C$3, 4)), E1918, "")</f>
        <v>#VALUE!</v>
      </c>
      <c r="H1918" s="26" t="e">
        <f t="shared" si="1"/>
        <v>#VALUE!</v>
      </c>
      <c r="I1918" s="1" t="e">
        <f t="shared" si="2"/>
        <v>#VALUE!</v>
      </c>
    </row>
    <row r="1919" spans="1:9" ht="15.75" customHeight="1">
      <c r="A1919" s="26"/>
      <c r="B1919" s="2"/>
      <c r="C1919" s="26"/>
      <c r="D1919" s="26"/>
      <c r="F1919" s="85" t="str">
        <f t="shared" si="0"/>
        <v/>
      </c>
      <c r="G1919" s="1" t="e">
        <f>IF(VALUE(F1919) = VALUE(RIGHT(Insights!$C$3, 4)), E1919, "")</f>
        <v>#VALUE!</v>
      </c>
      <c r="H1919" s="26" t="e">
        <f t="shared" si="1"/>
        <v>#VALUE!</v>
      </c>
      <c r="I1919" s="1" t="e">
        <f t="shared" si="2"/>
        <v>#VALUE!</v>
      </c>
    </row>
    <row r="1920" spans="1:9" ht="15.75" customHeight="1">
      <c r="A1920" s="26"/>
      <c r="B1920" s="2"/>
      <c r="C1920" s="26"/>
      <c r="D1920" s="26"/>
      <c r="F1920" s="85" t="str">
        <f t="shared" si="0"/>
        <v/>
      </c>
      <c r="G1920" s="1" t="e">
        <f>IF(VALUE(F1920) = VALUE(RIGHT(Insights!$C$3, 4)), E1920, "")</f>
        <v>#VALUE!</v>
      </c>
      <c r="H1920" s="26" t="e">
        <f t="shared" si="1"/>
        <v>#VALUE!</v>
      </c>
      <c r="I1920" s="1" t="e">
        <f t="shared" si="2"/>
        <v>#VALUE!</v>
      </c>
    </row>
    <row r="1921" spans="1:9" ht="15.75" customHeight="1">
      <c r="A1921" s="26"/>
      <c r="B1921" s="2"/>
      <c r="C1921" s="26"/>
      <c r="D1921" s="26"/>
      <c r="F1921" s="85" t="str">
        <f t="shared" si="0"/>
        <v/>
      </c>
      <c r="G1921" s="1" t="e">
        <f>IF(VALUE(F1921) = VALUE(RIGHT(Insights!$C$3, 4)), E1921, "")</f>
        <v>#VALUE!</v>
      </c>
      <c r="H1921" s="26" t="e">
        <f t="shared" si="1"/>
        <v>#VALUE!</v>
      </c>
      <c r="I1921" s="1" t="e">
        <f t="shared" si="2"/>
        <v>#VALUE!</v>
      </c>
    </row>
    <row r="1922" spans="1:9" ht="15.75" customHeight="1">
      <c r="A1922" s="26"/>
      <c r="B1922" s="2"/>
      <c r="C1922" s="26"/>
      <c r="D1922" s="26"/>
      <c r="F1922" s="85" t="str">
        <f t="shared" si="0"/>
        <v/>
      </c>
      <c r="G1922" s="1" t="e">
        <f>IF(VALUE(F1922) = VALUE(RIGHT(Insights!$C$3, 4)), E1922, "")</f>
        <v>#VALUE!</v>
      </c>
      <c r="H1922" s="26" t="e">
        <f t="shared" si="1"/>
        <v>#VALUE!</v>
      </c>
      <c r="I1922" s="1" t="e">
        <f t="shared" si="2"/>
        <v>#VALUE!</v>
      </c>
    </row>
    <row r="1923" spans="1:9" ht="15.75" customHeight="1">
      <c r="A1923" s="26"/>
      <c r="B1923" s="2"/>
      <c r="C1923" s="26"/>
      <c r="D1923" s="26"/>
      <c r="F1923" s="85" t="str">
        <f t="shared" si="0"/>
        <v/>
      </c>
      <c r="G1923" s="1" t="e">
        <f>IF(VALUE(F1923) = VALUE(RIGHT(Insights!$C$3, 4)), E1923, "")</f>
        <v>#VALUE!</v>
      </c>
      <c r="H1923" s="26" t="e">
        <f t="shared" si="1"/>
        <v>#VALUE!</v>
      </c>
      <c r="I1923" s="1" t="e">
        <f t="shared" si="2"/>
        <v>#VALUE!</v>
      </c>
    </row>
    <row r="1924" spans="1:9" ht="15.75" customHeight="1">
      <c r="A1924" s="26"/>
      <c r="B1924" s="2"/>
      <c r="C1924" s="26"/>
      <c r="D1924" s="26"/>
      <c r="F1924" s="85" t="str">
        <f t="shared" si="0"/>
        <v/>
      </c>
      <c r="G1924" s="1" t="e">
        <f>IF(VALUE(F1924) = VALUE(RIGHT(Insights!$C$3, 4)), E1924, "")</f>
        <v>#VALUE!</v>
      </c>
      <c r="H1924" s="26" t="e">
        <f t="shared" si="1"/>
        <v>#VALUE!</v>
      </c>
      <c r="I1924" s="1" t="e">
        <f t="shared" si="2"/>
        <v>#VALUE!</v>
      </c>
    </row>
    <row r="1925" spans="1:9" ht="15.75" customHeight="1">
      <c r="A1925" s="26"/>
      <c r="B1925" s="2"/>
      <c r="C1925" s="26"/>
      <c r="D1925" s="26"/>
      <c r="F1925" s="85" t="str">
        <f t="shared" si="0"/>
        <v/>
      </c>
      <c r="G1925" s="1" t="e">
        <f>IF(VALUE(F1925) = VALUE(RIGHT(Insights!$C$3, 4)), E1925, "")</f>
        <v>#VALUE!</v>
      </c>
      <c r="H1925" s="26" t="e">
        <f t="shared" si="1"/>
        <v>#VALUE!</v>
      </c>
      <c r="I1925" s="1" t="e">
        <f t="shared" si="2"/>
        <v>#VALUE!</v>
      </c>
    </row>
    <row r="1926" spans="1:9" ht="15.75" customHeight="1">
      <c r="A1926" s="26"/>
      <c r="B1926" s="2"/>
      <c r="C1926" s="26"/>
      <c r="D1926" s="26"/>
      <c r="F1926" s="85" t="str">
        <f t="shared" si="0"/>
        <v/>
      </c>
      <c r="G1926" s="1" t="e">
        <f>IF(VALUE(F1926) = VALUE(RIGHT(Insights!$C$3, 4)), E1926, "")</f>
        <v>#VALUE!</v>
      </c>
      <c r="H1926" s="26" t="e">
        <f t="shared" si="1"/>
        <v>#VALUE!</v>
      </c>
      <c r="I1926" s="1" t="e">
        <f t="shared" si="2"/>
        <v>#VALUE!</v>
      </c>
    </row>
    <row r="1927" spans="1:9" ht="15.75" customHeight="1">
      <c r="A1927" s="26"/>
      <c r="B1927" s="2"/>
      <c r="C1927" s="26"/>
      <c r="D1927" s="26"/>
      <c r="F1927" s="85" t="str">
        <f t="shared" si="0"/>
        <v/>
      </c>
      <c r="G1927" s="1" t="e">
        <f>IF(VALUE(F1927) = VALUE(RIGHT(Insights!$C$3, 4)), E1927, "")</f>
        <v>#VALUE!</v>
      </c>
      <c r="H1927" s="26" t="e">
        <f t="shared" si="1"/>
        <v>#VALUE!</v>
      </c>
      <c r="I1927" s="1" t="e">
        <f t="shared" si="2"/>
        <v>#VALUE!</v>
      </c>
    </row>
    <row r="1928" spans="1:9" ht="15.75" customHeight="1">
      <c r="A1928" s="26"/>
      <c r="B1928" s="2"/>
      <c r="C1928" s="26"/>
      <c r="D1928" s="26"/>
      <c r="F1928" s="85" t="str">
        <f t="shared" si="0"/>
        <v/>
      </c>
      <c r="G1928" s="1" t="e">
        <f>IF(VALUE(F1928) = VALUE(RIGHT(Insights!$C$3, 4)), E1928, "")</f>
        <v>#VALUE!</v>
      </c>
      <c r="H1928" s="26" t="e">
        <f t="shared" si="1"/>
        <v>#VALUE!</v>
      </c>
      <c r="I1928" s="1" t="e">
        <f t="shared" si="2"/>
        <v>#VALUE!</v>
      </c>
    </row>
    <row r="1929" spans="1:9" ht="15.75" customHeight="1">
      <c r="A1929" s="26"/>
      <c r="B1929" s="2"/>
      <c r="C1929" s="26"/>
      <c r="D1929" s="26"/>
      <c r="F1929" s="85" t="str">
        <f t="shared" si="0"/>
        <v/>
      </c>
      <c r="G1929" s="1" t="e">
        <f>IF(VALUE(F1929) = VALUE(RIGHT(Insights!$C$3, 4)), E1929, "")</f>
        <v>#VALUE!</v>
      </c>
      <c r="H1929" s="26" t="e">
        <f t="shared" si="1"/>
        <v>#VALUE!</v>
      </c>
      <c r="I1929" s="1" t="e">
        <f t="shared" si="2"/>
        <v>#VALUE!</v>
      </c>
    </row>
    <row r="1930" spans="1:9" ht="15.75" customHeight="1">
      <c r="A1930" s="26"/>
      <c r="B1930" s="2"/>
      <c r="C1930" s="26"/>
      <c r="D1930" s="26"/>
      <c r="F1930" s="85" t="str">
        <f t="shared" si="0"/>
        <v/>
      </c>
      <c r="G1930" s="1" t="e">
        <f>IF(VALUE(F1930) = VALUE(RIGHT(Insights!$C$3, 4)), E1930, "")</f>
        <v>#VALUE!</v>
      </c>
      <c r="H1930" s="26" t="e">
        <f t="shared" si="1"/>
        <v>#VALUE!</v>
      </c>
      <c r="I1930" s="1" t="e">
        <f t="shared" si="2"/>
        <v>#VALUE!</v>
      </c>
    </row>
    <row r="1931" spans="1:9" ht="15.75" customHeight="1">
      <c r="A1931" s="26"/>
      <c r="B1931" s="2"/>
      <c r="C1931" s="26"/>
      <c r="D1931" s="26"/>
      <c r="F1931" s="85" t="str">
        <f t="shared" si="0"/>
        <v/>
      </c>
      <c r="G1931" s="1" t="e">
        <f>IF(VALUE(F1931) = VALUE(RIGHT(Insights!$C$3, 4)), E1931, "")</f>
        <v>#VALUE!</v>
      </c>
      <c r="H1931" s="26" t="e">
        <f t="shared" si="1"/>
        <v>#VALUE!</v>
      </c>
      <c r="I1931" s="1" t="e">
        <f t="shared" si="2"/>
        <v>#VALUE!</v>
      </c>
    </row>
    <row r="1932" spans="1:9" ht="15.75" customHeight="1">
      <c r="A1932" s="26"/>
      <c r="B1932" s="2"/>
      <c r="C1932" s="26"/>
      <c r="D1932" s="26"/>
      <c r="F1932" s="85" t="str">
        <f t="shared" si="0"/>
        <v/>
      </c>
      <c r="G1932" s="1" t="e">
        <f>IF(VALUE(F1932) = VALUE(RIGHT(Insights!$C$3, 4)), E1932, "")</f>
        <v>#VALUE!</v>
      </c>
      <c r="H1932" s="26" t="e">
        <f t="shared" si="1"/>
        <v>#VALUE!</v>
      </c>
      <c r="I1932" s="1" t="e">
        <f t="shared" si="2"/>
        <v>#VALUE!</v>
      </c>
    </row>
    <row r="1933" spans="1:9" ht="15.75" customHeight="1">
      <c r="A1933" s="26"/>
      <c r="B1933" s="2"/>
      <c r="C1933" s="26"/>
      <c r="D1933" s="26"/>
      <c r="F1933" s="85" t="str">
        <f t="shared" si="0"/>
        <v/>
      </c>
      <c r="G1933" s="1" t="e">
        <f>IF(VALUE(F1933) = VALUE(RIGHT(Insights!$C$3, 4)), E1933, "")</f>
        <v>#VALUE!</v>
      </c>
      <c r="H1933" s="26" t="e">
        <f t="shared" si="1"/>
        <v>#VALUE!</v>
      </c>
      <c r="I1933" s="1" t="e">
        <f t="shared" si="2"/>
        <v>#VALUE!</v>
      </c>
    </row>
    <row r="1934" spans="1:9" ht="15.75" customHeight="1">
      <c r="A1934" s="26"/>
      <c r="B1934" s="2"/>
      <c r="C1934" s="26"/>
      <c r="D1934" s="26"/>
      <c r="F1934" s="85" t="str">
        <f t="shared" si="0"/>
        <v/>
      </c>
      <c r="G1934" s="1" t="e">
        <f>IF(VALUE(F1934) = VALUE(RIGHT(Insights!$C$3, 4)), E1934, "")</f>
        <v>#VALUE!</v>
      </c>
      <c r="H1934" s="26" t="e">
        <f t="shared" si="1"/>
        <v>#VALUE!</v>
      </c>
      <c r="I1934" s="1" t="e">
        <f t="shared" si="2"/>
        <v>#VALUE!</v>
      </c>
    </row>
    <row r="1935" spans="1:9" ht="15.75" customHeight="1">
      <c r="A1935" s="26"/>
      <c r="B1935" s="2"/>
      <c r="C1935" s="26"/>
      <c r="D1935" s="26"/>
      <c r="F1935" s="85" t="str">
        <f t="shared" si="0"/>
        <v/>
      </c>
      <c r="G1935" s="1" t="e">
        <f>IF(VALUE(F1935) = VALUE(RIGHT(Insights!$C$3, 4)), E1935, "")</f>
        <v>#VALUE!</v>
      </c>
      <c r="H1935" s="26" t="e">
        <f t="shared" si="1"/>
        <v>#VALUE!</v>
      </c>
      <c r="I1935" s="1" t="e">
        <f t="shared" si="2"/>
        <v>#VALUE!</v>
      </c>
    </row>
    <row r="1936" spans="1:9" ht="15.75" customHeight="1">
      <c r="A1936" s="26"/>
      <c r="B1936" s="2"/>
      <c r="C1936" s="26"/>
      <c r="D1936" s="26"/>
      <c r="F1936" s="85" t="str">
        <f t="shared" si="0"/>
        <v/>
      </c>
      <c r="G1936" s="1" t="e">
        <f>IF(VALUE(F1936) = VALUE(RIGHT(Insights!$C$3, 4)), E1936, "")</f>
        <v>#VALUE!</v>
      </c>
      <c r="H1936" s="26" t="e">
        <f t="shared" si="1"/>
        <v>#VALUE!</v>
      </c>
      <c r="I1936" s="1" t="e">
        <f t="shared" si="2"/>
        <v>#VALUE!</v>
      </c>
    </row>
    <row r="1937" spans="1:9" ht="15.75" customHeight="1">
      <c r="A1937" s="26"/>
      <c r="B1937" s="2"/>
      <c r="C1937" s="26"/>
      <c r="D1937" s="26"/>
      <c r="F1937" s="85" t="str">
        <f t="shared" si="0"/>
        <v/>
      </c>
      <c r="G1937" s="1" t="e">
        <f>IF(VALUE(F1937) = VALUE(RIGHT(Insights!$C$3, 4)), E1937, "")</f>
        <v>#VALUE!</v>
      </c>
      <c r="H1937" s="26" t="e">
        <f t="shared" si="1"/>
        <v>#VALUE!</v>
      </c>
      <c r="I1937" s="1" t="e">
        <f t="shared" si="2"/>
        <v>#VALUE!</v>
      </c>
    </row>
    <row r="1938" spans="1:9" ht="15.75" customHeight="1">
      <c r="A1938" s="26"/>
      <c r="B1938" s="2"/>
      <c r="C1938" s="26"/>
      <c r="D1938" s="26"/>
      <c r="F1938" s="85" t="str">
        <f t="shared" si="0"/>
        <v/>
      </c>
      <c r="G1938" s="1" t="e">
        <f>IF(VALUE(F1938) = VALUE(RIGHT(Insights!$C$3, 4)), E1938, "")</f>
        <v>#VALUE!</v>
      </c>
      <c r="H1938" s="26" t="e">
        <f t="shared" si="1"/>
        <v>#VALUE!</v>
      </c>
      <c r="I1938" s="1" t="e">
        <f t="shared" si="2"/>
        <v>#VALUE!</v>
      </c>
    </row>
    <row r="1939" spans="1:9" ht="15.75" customHeight="1">
      <c r="A1939" s="26"/>
      <c r="B1939" s="2"/>
      <c r="C1939" s="26"/>
      <c r="D1939" s="26"/>
      <c r="F1939" s="85" t="str">
        <f t="shared" si="0"/>
        <v/>
      </c>
      <c r="G1939" s="1" t="e">
        <f>IF(VALUE(F1939) = VALUE(RIGHT(Insights!$C$3, 4)), E1939, "")</f>
        <v>#VALUE!</v>
      </c>
      <c r="H1939" s="26" t="e">
        <f t="shared" si="1"/>
        <v>#VALUE!</v>
      </c>
      <c r="I1939" s="1" t="e">
        <f t="shared" si="2"/>
        <v>#VALUE!</v>
      </c>
    </row>
    <row r="1940" spans="1:9" ht="15.75" customHeight="1">
      <c r="A1940" s="26"/>
      <c r="B1940" s="2"/>
      <c r="C1940" s="26"/>
      <c r="D1940" s="26"/>
      <c r="F1940" s="85" t="str">
        <f t="shared" si="0"/>
        <v/>
      </c>
      <c r="G1940" s="1" t="e">
        <f>IF(VALUE(F1940) = VALUE(RIGHT(Insights!$C$3, 4)), E1940, "")</f>
        <v>#VALUE!</v>
      </c>
      <c r="H1940" s="26" t="e">
        <f t="shared" si="1"/>
        <v>#VALUE!</v>
      </c>
      <c r="I1940" s="1" t="e">
        <f t="shared" si="2"/>
        <v>#VALUE!</v>
      </c>
    </row>
    <row r="1941" spans="1:9" ht="15.75" customHeight="1">
      <c r="A1941" s="26"/>
      <c r="B1941" s="2"/>
      <c r="C1941" s="26"/>
      <c r="D1941" s="26"/>
      <c r="F1941" s="85" t="str">
        <f t="shared" si="0"/>
        <v/>
      </c>
      <c r="G1941" s="1" t="e">
        <f>IF(VALUE(F1941) = VALUE(RIGHT(Insights!$C$3, 4)), E1941, "")</f>
        <v>#VALUE!</v>
      </c>
      <c r="H1941" s="26" t="e">
        <f t="shared" si="1"/>
        <v>#VALUE!</v>
      </c>
      <c r="I1941" s="1" t="e">
        <f t="shared" si="2"/>
        <v>#VALUE!</v>
      </c>
    </row>
    <row r="1942" spans="1:9" ht="15.75" customHeight="1">
      <c r="A1942" s="26"/>
      <c r="B1942" s="2"/>
      <c r="C1942" s="26"/>
      <c r="D1942" s="26"/>
      <c r="F1942" s="85" t="str">
        <f t="shared" si="0"/>
        <v/>
      </c>
      <c r="G1942" s="1" t="e">
        <f>IF(VALUE(F1942) = VALUE(RIGHT(Insights!$C$3, 4)), E1942, "")</f>
        <v>#VALUE!</v>
      </c>
      <c r="H1942" s="26" t="e">
        <f t="shared" si="1"/>
        <v>#VALUE!</v>
      </c>
      <c r="I1942" s="1" t="e">
        <f t="shared" si="2"/>
        <v>#VALUE!</v>
      </c>
    </row>
    <row r="1943" spans="1:9" ht="15.75" customHeight="1">
      <c r="A1943" s="26"/>
      <c r="B1943" s="2"/>
      <c r="C1943" s="26"/>
      <c r="D1943" s="26"/>
      <c r="F1943" s="85" t="str">
        <f t="shared" si="0"/>
        <v/>
      </c>
      <c r="G1943" s="1" t="e">
        <f>IF(VALUE(F1943) = VALUE(RIGHT(Insights!$C$3, 4)), E1943, "")</f>
        <v>#VALUE!</v>
      </c>
      <c r="H1943" s="26" t="e">
        <f t="shared" si="1"/>
        <v>#VALUE!</v>
      </c>
      <c r="I1943" s="1" t="e">
        <f t="shared" si="2"/>
        <v>#VALUE!</v>
      </c>
    </row>
    <row r="1944" spans="1:9" ht="15.75" customHeight="1">
      <c r="A1944" s="26"/>
      <c r="B1944" s="2"/>
      <c r="C1944" s="26"/>
      <c r="D1944" s="26"/>
      <c r="F1944" s="85" t="str">
        <f t="shared" si="0"/>
        <v/>
      </c>
      <c r="G1944" s="1" t="e">
        <f>IF(VALUE(F1944) = VALUE(RIGHT(Insights!$C$3, 4)), E1944, "")</f>
        <v>#VALUE!</v>
      </c>
      <c r="H1944" s="26" t="e">
        <f t="shared" si="1"/>
        <v>#VALUE!</v>
      </c>
      <c r="I1944" s="1" t="e">
        <f t="shared" si="2"/>
        <v>#VALUE!</v>
      </c>
    </row>
    <row r="1945" spans="1:9" ht="15.75" customHeight="1">
      <c r="A1945" s="26"/>
      <c r="B1945" s="2"/>
      <c r="C1945" s="26"/>
      <c r="D1945" s="26"/>
      <c r="F1945" s="85" t="str">
        <f t="shared" si="0"/>
        <v/>
      </c>
      <c r="G1945" s="1" t="e">
        <f>IF(VALUE(F1945) = VALUE(RIGHT(Insights!$C$3, 4)), E1945, "")</f>
        <v>#VALUE!</v>
      </c>
      <c r="H1945" s="26" t="e">
        <f t="shared" si="1"/>
        <v>#VALUE!</v>
      </c>
      <c r="I1945" s="1" t="e">
        <f t="shared" si="2"/>
        <v>#VALUE!</v>
      </c>
    </row>
    <row r="1946" spans="1:9" ht="15.75" customHeight="1">
      <c r="A1946" s="26"/>
      <c r="B1946" s="2"/>
      <c r="C1946" s="26"/>
      <c r="D1946" s="26"/>
      <c r="F1946" s="85" t="str">
        <f t="shared" si="0"/>
        <v/>
      </c>
      <c r="G1946" s="1" t="e">
        <f>IF(VALUE(F1946) = VALUE(RIGHT(Insights!$C$3, 4)), E1946, "")</f>
        <v>#VALUE!</v>
      </c>
      <c r="H1946" s="26" t="e">
        <f t="shared" si="1"/>
        <v>#VALUE!</v>
      </c>
      <c r="I1946" s="1" t="e">
        <f t="shared" si="2"/>
        <v>#VALUE!</v>
      </c>
    </row>
    <row r="1947" spans="1:9" ht="15.75" customHeight="1">
      <c r="A1947" s="26"/>
      <c r="B1947" s="2"/>
      <c r="C1947" s="26"/>
      <c r="D1947" s="26"/>
      <c r="F1947" s="85" t="str">
        <f t="shared" si="0"/>
        <v/>
      </c>
      <c r="G1947" s="1" t="e">
        <f>IF(VALUE(F1947) = VALUE(RIGHT(Insights!$C$3, 4)), E1947, "")</f>
        <v>#VALUE!</v>
      </c>
      <c r="H1947" s="26" t="e">
        <f t="shared" si="1"/>
        <v>#VALUE!</v>
      </c>
      <c r="I1947" s="1" t="e">
        <f t="shared" si="2"/>
        <v>#VALUE!</v>
      </c>
    </row>
    <row r="1948" spans="1:9" ht="15.75" customHeight="1">
      <c r="A1948" s="26"/>
      <c r="B1948" s="2"/>
      <c r="C1948" s="26"/>
      <c r="D1948" s="26"/>
      <c r="F1948" s="85" t="str">
        <f t="shared" si="0"/>
        <v/>
      </c>
      <c r="G1948" s="1" t="e">
        <f>IF(VALUE(F1948) = VALUE(RIGHT(Insights!$C$3, 4)), E1948, "")</f>
        <v>#VALUE!</v>
      </c>
      <c r="H1948" s="26" t="e">
        <f t="shared" si="1"/>
        <v>#VALUE!</v>
      </c>
      <c r="I1948" s="1" t="e">
        <f t="shared" si="2"/>
        <v>#VALUE!</v>
      </c>
    </row>
    <row r="1949" spans="1:9" ht="15.75" customHeight="1">
      <c r="A1949" s="26"/>
      <c r="B1949" s="2"/>
      <c r="C1949" s="26"/>
      <c r="D1949" s="26"/>
      <c r="F1949" s="85" t="str">
        <f t="shared" si="0"/>
        <v/>
      </c>
      <c r="G1949" s="1" t="e">
        <f>IF(VALUE(F1949) = VALUE(RIGHT(Insights!$C$3, 4)), E1949, "")</f>
        <v>#VALUE!</v>
      </c>
      <c r="H1949" s="26" t="e">
        <f t="shared" si="1"/>
        <v>#VALUE!</v>
      </c>
      <c r="I1949" s="1" t="e">
        <f t="shared" si="2"/>
        <v>#VALUE!</v>
      </c>
    </row>
    <row r="1950" spans="1:9" ht="15.75" customHeight="1">
      <c r="A1950" s="26"/>
      <c r="B1950" s="2"/>
      <c r="C1950" s="26"/>
      <c r="D1950" s="26"/>
      <c r="F1950" s="85" t="str">
        <f t="shared" si="0"/>
        <v/>
      </c>
      <c r="G1950" s="1" t="e">
        <f>IF(VALUE(F1950) = VALUE(RIGHT(Insights!$C$3, 4)), E1950, "")</f>
        <v>#VALUE!</v>
      </c>
      <c r="H1950" s="26" t="e">
        <f t="shared" si="1"/>
        <v>#VALUE!</v>
      </c>
      <c r="I1950" s="1" t="e">
        <f t="shared" si="2"/>
        <v>#VALUE!</v>
      </c>
    </row>
    <row r="1951" spans="1:9" ht="15.75" customHeight="1">
      <c r="A1951" s="26"/>
      <c r="B1951" s="2"/>
      <c r="C1951" s="26"/>
      <c r="D1951" s="26"/>
      <c r="F1951" s="85" t="str">
        <f t="shared" si="0"/>
        <v/>
      </c>
      <c r="G1951" s="1" t="e">
        <f>IF(VALUE(F1951) = VALUE(RIGHT(Insights!$C$3, 4)), E1951, "")</f>
        <v>#VALUE!</v>
      </c>
      <c r="H1951" s="26" t="e">
        <f t="shared" si="1"/>
        <v>#VALUE!</v>
      </c>
      <c r="I1951" s="1" t="e">
        <f t="shared" si="2"/>
        <v>#VALUE!</v>
      </c>
    </row>
    <row r="1952" spans="1:9" ht="15.75" customHeight="1">
      <c r="A1952" s="26"/>
      <c r="B1952" s="2"/>
      <c r="C1952" s="26"/>
      <c r="D1952" s="26"/>
      <c r="F1952" s="85" t="str">
        <f t="shared" si="0"/>
        <v/>
      </c>
      <c r="G1952" s="1" t="e">
        <f>IF(VALUE(F1952) = VALUE(RIGHT(Insights!$C$3, 4)), E1952, "")</f>
        <v>#VALUE!</v>
      </c>
      <c r="H1952" s="26" t="e">
        <f t="shared" si="1"/>
        <v>#VALUE!</v>
      </c>
      <c r="I1952" s="1" t="e">
        <f t="shared" si="2"/>
        <v>#VALUE!</v>
      </c>
    </row>
    <row r="1953" spans="1:9" ht="15.75" customHeight="1">
      <c r="A1953" s="26"/>
      <c r="B1953" s="2"/>
      <c r="C1953" s="26"/>
      <c r="D1953" s="26"/>
      <c r="F1953" s="85" t="str">
        <f t="shared" si="0"/>
        <v/>
      </c>
      <c r="G1953" s="1" t="e">
        <f>IF(VALUE(F1953) = VALUE(RIGHT(Insights!$C$3, 4)), E1953, "")</f>
        <v>#VALUE!</v>
      </c>
      <c r="H1953" s="26" t="e">
        <f t="shared" si="1"/>
        <v>#VALUE!</v>
      </c>
      <c r="I1953" s="1" t="e">
        <f t="shared" si="2"/>
        <v>#VALUE!</v>
      </c>
    </row>
    <row r="1954" spans="1:9" ht="15.75" customHeight="1">
      <c r="A1954" s="26"/>
      <c r="B1954" s="2"/>
      <c r="C1954" s="26"/>
      <c r="D1954" s="26"/>
      <c r="F1954" s="85" t="str">
        <f t="shared" si="0"/>
        <v/>
      </c>
      <c r="G1954" s="1" t="e">
        <f>IF(VALUE(F1954) = VALUE(RIGHT(Insights!$C$3, 4)), E1954, "")</f>
        <v>#VALUE!</v>
      </c>
      <c r="H1954" s="26" t="e">
        <f t="shared" si="1"/>
        <v>#VALUE!</v>
      </c>
      <c r="I1954" s="1" t="e">
        <f t="shared" si="2"/>
        <v>#VALUE!</v>
      </c>
    </row>
    <row r="1955" spans="1:9" ht="15.75" customHeight="1">
      <c r="A1955" s="26"/>
      <c r="B1955" s="2"/>
      <c r="C1955" s="26"/>
      <c r="D1955" s="26"/>
      <c r="F1955" s="85" t="str">
        <f t="shared" si="0"/>
        <v/>
      </c>
      <c r="G1955" s="1" t="e">
        <f>IF(VALUE(F1955) = VALUE(RIGHT(Insights!$C$3, 4)), E1955, "")</f>
        <v>#VALUE!</v>
      </c>
      <c r="H1955" s="26" t="e">
        <f t="shared" si="1"/>
        <v>#VALUE!</v>
      </c>
      <c r="I1955" s="1" t="e">
        <f t="shared" si="2"/>
        <v>#VALUE!</v>
      </c>
    </row>
    <row r="1956" spans="1:9" ht="15.75" customHeight="1">
      <c r="A1956" s="26"/>
      <c r="B1956" s="2"/>
      <c r="C1956" s="26"/>
      <c r="D1956" s="26"/>
      <c r="F1956" s="85" t="str">
        <f t="shared" si="0"/>
        <v/>
      </c>
      <c r="G1956" s="1" t="e">
        <f>IF(VALUE(F1956) = VALUE(RIGHT(Insights!$C$3, 4)), E1956, "")</f>
        <v>#VALUE!</v>
      </c>
      <c r="H1956" s="26" t="e">
        <f t="shared" si="1"/>
        <v>#VALUE!</v>
      </c>
      <c r="I1956" s="1" t="e">
        <f t="shared" si="2"/>
        <v>#VALUE!</v>
      </c>
    </row>
    <row r="1957" spans="1:9" ht="15.75" customHeight="1">
      <c r="A1957" s="26"/>
      <c r="B1957" s="2"/>
      <c r="C1957" s="26"/>
      <c r="D1957" s="26"/>
      <c r="F1957" s="85" t="str">
        <f t="shared" si="0"/>
        <v/>
      </c>
      <c r="G1957" s="1" t="e">
        <f>IF(VALUE(F1957) = VALUE(RIGHT(Insights!$C$3, 4)), E1957, "")</f>
        <v>#VALUE!</v>
      </c>
      <c r="H1957" s="26" t="e">
        <f t="shared" si="1"/>
        <v>#VALUE!</v>
      </c>
      <c r="I1957" s="1" t="e">
        <f t="shared" si="2"/>
        <v>#VALUE!</v>
      </c>
    </row>
    <row r="1958" spans="1:9" ht="15.75" customHeight="1">
      <c r="A1958" s="26"/>
      <c r="B1958" s="2"/>
      <c r="C1958" s="26"/>
      <c r="D1958" s="26"/>
      <c r="F1958" s="85" t="str">
        <f t="shared" si="0"/>
        <v/>
      </c>
      <c r="G1958" s="1" t="e">
        <f>IF(VALUE(F1958) = VALUE(RIGHT(Insights!$C$3, 4)), E1958, "")</f>
        <v>#VALUE!</v>
      </c>
      <c r="H1958" s="26" t="e">
        <f t="shared" si="1"/>
        <v>#VALUE!</v>
      </c>
      <c r="I1958" s="1" t="e">
        <f t="shared" si="2"/>
        <v>#VALUE!</v>
      </c>
    </row>
    <row r="1959" spans="1:9" ht="15.75" customHeight="1">
      <c r="A1959" s="26"/>
      <c r="B1959" s="2"/>
      <c r="C1959" s="26"/>
      <c r="D1959" s="26"/>
      <c r="F1959" s="85" t="str">
        <f t="shared" si="0"/>
        <v/>
      </c>
      <c r="G1959" s="1" t="e">
        <f>IF(VALUE(F1959) = VALUE(RIGHT(Insights!$C$3, 4)), E1959, "")</f>
        <v>#VALUE!</v>
      </c>
      <c r="H1959" s="26" t="e">
        <f t="shared" si="1"/>
        <v>#VALUE!</v>
      </c>
      <c r="I1959" s="1" t="e">
        <f t="shared" si="2"/>
        <v>#VALUE!</v>
      </c>
    </row>
    <row r="1960" spans="1:9" ht="15.75" customHeight="1">
      <c r="A1960" s="26"/>
      <c r="B1960" s="2"/>
      <c r="C1960" s="26"/>
      <c r="D1960" s="26"/>
      <c r="F1960" s="85" t="str">
        <f t="shared" si="0"/>
        <v/>
      </c>
      <c r="G1960" s="1" t="e">
        <f>IF(VALUE(F1960) = VALUE(RIGHT(Insights!$C$3, 4)), E1960, "")</f>
        <v>#VALUE!</v>
      </c>
      <c r="H1960" s="26" t="e">
        <f t="shared" si="1"/>
        <v>#VALUE!</v>
      </c>
      <c r="I1960" s="1" t="e">
        <f t="shared" si="2"/>
        <v>#VALUE!</v>
      </c>
    </row>
    <row r="1961" spans="1:9" ht="15.75" customHeight="1">
      <c r="A1961" s="26"/>
      <c r="B1961" s="2"/>
      <c r="C1961" s="26"/>
      <c r="D1961" s="26"/>
      <c r="F1961" s="85" t="str">
        <f t="shared" si="0"/>
        <v/>
      </c>
      <c r="G1961" s="1" t="e">
        <f>IF(VALUE(F1961) = VALUE(RIGHT(Insights!$C$3, 4)), E1961, "")</f>
        <v>#VALUE!</v>
      </c>
      <c r="H1961" s="26" t="e">
        <f t="shared" si="1"/>
        <v>#VALUE!</v>
      </c>
      <c r="I1961" s="1" t="e">
        <f t="shared" si="2"/>
        <v>#VALUE!</v>
      </c>
    </row>
    <row r="1962" spans="1:9" ht="15.75" customHeight="1">
      <c r="A1962" s="26"/>
      <c r="B1962" s="2"/>
      <c r="C1962" s="26"/>
      <c r="D1962" s="26"/>
      <c r="F1962" s="85" t="str">
        <f t="shared" si="0"/>
        <v/>
      </c>
      <c r="G1962" s="1" t="e">
        <f>IF(VALUE(F1962) = VALUE(RIGHT(Insights!$C$3, 4)), E1962, "")</f>
        <v>#VALUE!</v>
      </c>
      <c r="H1962" s="26" t="e">
        <f t="shared" si="1"/>
        <v>#VALUE!</v>
      </c>
      <c r="I1962" s="1" t="e">
        <f t="shared" si="2"/>
        <v>#VALUE!</v>
      </c>
    </row>
    <row r="1963" spans="1:9" ht="15.75" customHeight="1">
      <c r="A1963" s="26"/>
      <c r="B1963" s="2"/>
      <c r="C1963" s="26"/>
      <c r="D1963" s="26"/>
      <c r="F1963" s="85" t="str">
        <f t="shared" si="0"/>
        <v/>
      </c>
      <c r="G1963" s="1" t="e">
        <f>IF(VALUE(F1963) = VALUE(RIGHT(Insights!$C$3, 4)), E1963, "")</f>
        <v>#VALUE!</v>
      </c>
      <c r="H1963" s="26" t="e">
        <f t="shared" si="1"/>
        <v>#VALUE!</v>
      </c>
      <c r="I1963" s="1" t="e">
        <f t="shared" si="2"/>
        <v>#VALUE!</v>
      </c>
    </row>
    <row r="1964" spans="1:9" ht="15.75" customHeight="1">
      <c r="A1964" s="26"/>
      <c r="B1964" s="2"/>
      <c r="C1964" s="26"/>
      <c r="D1964" s="26"/>
      <c r="F1964" s="85" t="str">
        <f t="shared" si="0"/>
        <v/>
      </c>
      <c r="G1964" s="1" t="e">
        <f>IF(VALUE(F1964) = VALUE(RIGHT(Insights!$C$3, 4)), E1964, "")</f>
        <v>#VALUE!</v>
      </c>
      <c r="H1964" s="26" t="e">
        <f t="shared" si="1"/>
        <v>#VALUE!</v>
      </c>
      <c r="I1964" s="1" t="e">
        <f t="shared" si="2"/>
        <v>#VALUE!</v>
      </c>
    </row>
    <row r="1965" spans="1:9" ht="15.75" customHeight="1">
      <c r="A1965" s="26"/>
      <c r="B1965" s="2"/>
      <c r="C1965" s="26"/>
      <c r="D1965" s="26"/>
      <c r="F1965" s="85" t="str">
        <f t="shared" si="0"/>
        <v/>
      </c>
      <c r="G1965" s="1" t="e">
        <f>IF(VALUE(F1965) = VALUE(RIGHT(Insights!$C$3, 4)), E1965, "")</f>
        <v>#VALUE!</v>
      </c>
      <c r="H1965" s="26" t="e">
        <f t="shared" si="1"/>
        <v>#VALUE!</v>
      </c>
      <c r="I1965" s="1" t="e">
        <f t="shared" si="2"/>
        <v>#VALUE!</v>
      </c>
    </row>
    <row r="1966" spans="1:9" ht="15.75" customHeight="1">
      <c r="A1966" s="26"/>
      <c r="B1966" s="2"/>
      <c r="C1966" s="26"/>
      <c r="D1966" s="26"/>
      <c r="F1966" s="85" t="str">
        <f t="shared" si="0"/>
        <v/>
      </c>
      <c r="G1966" s="1" t="e">
        <f>IF(VALUE(F1966) = VALUE(RIGHT(Insights!$C$3, 4)), E1966, "")</f>
        <v>#VALUE!</v>
      </c>
      <c r="H1966" s="26" t="e">
        <f t="shared" si="1"/>
        <v>#VALUE!</v>
      </c>
      <c r="I1966" s="1" t="e">
        <f t="shared" si="2"/>
        <v>#VALUE!</v>
      </c>
    </row>
    <row r="1967" spans="1:9" ht="15.75" customHeight="1">
      <c r="A1967" s="26"/>
      <c r="B1967" s="2"/>
      <c r="C1967" s="26"/>
      <c r="D1967" s="26"/>
      <c r="F1967" s="85" t="str">
        <f t="shared" si="0"/>
        <v/>
      </c>
      <c r="G1967" s="1" t="e">
        <f>IF(VALUE(F1967) = VALUE(RIGHT(Insights!$C$3, 4)), E1967, "")</f>
        <v>#VALUE!</v>
      </c>
      <c r="H1967" s="26" t="e">
        <f t="shared" si="1"/>
        <v>#VALUE!</v>
      </c>
      <c r="I1967" s="1" t="e">
        <f t="shared" si="2"/>
        <v>#VALUE!</v>
      </c>
    </row>
    <row r="1968" spans="1:9" ht="15.75" customHeight="1">
      <c r="A1968" s="26"/>
      <c r="B1968" s="2"/>
      <c r="C1968" s="26"/>
      <c r="D1968" s="26"/>
      <c r="F1968" s="85" t="str">
        <f t="shared" si="0"/>
        <v/>
      </c>
      <c r="G1968" s="1" t="e">
        <f>IF(VALUE(F1968) = VALUE(RIGHT(Insights!$C$3, 4)), E1968, "")</f>
        <v>#VALUE!</v>
      </c>
      <c r="H1968" s="26" t="e">
        <f t="shared" si="1"/>
        <v>#VALUE!</v>
      </c>
      <c r="I1968" s="1" t="e">
        <f t="shared" si="2"/>
        <v>#VALUE!</v>
      </c>
    </row>
    <row r="1969" spans="1:9" ht="15.75" customHeight="1">
      <c r="A1969" s="26"/>
      <c r="B1969" s="2"/>
      <c r="C1969" s="26"/>
      <c r="D1969" s="26"/>
      <c r="F1969" s="85" t="str">
        <f t="shared" si="0"/>
        <v/>
      </c>
      <c r="G1969" s="1" t="e">
        <f>IF(VALUE(F1969) = VALUE(RIGHT(Insights!$C$3, 4)), E1969, "")</f>
        <v>#VALUE!</v>
      </c>
      <c r="H1969" s="26" t="e">
        <f t="shared" si="1"/>
        <v>#VALUE!</v>
      </c>
      <c r="I1969" s="1" t="e">
        <f t="shared" si="2"/>
        <v>#VALUE!</v>
      </c>
    </row>
    <row r="1970" spans="1:9" ht="15.75" customHeight="1">
      <c r="A1970" s="26"/>
      <c r="B1970" s="2"/>
      <c r="C1970" s="26"/>
      <c r="D1970" s="26"/>
      <c r="F1970" s="85" t="str">
        <f t="shared" si="0"/>
        <v/>
      </c>
      <c r="G1970" s="1" t="e">
        <f>IF(VALUE(F1970) = VALUE(RIGHT(Insights!$C$3, 4)), E1970, "")</f>
        <v>#VALUE!</v>
      </c>
      <c r="H1970" s="26" t="e">
        <f t="shared" si="1"/>
        <v>#VALUE!</v>
      </c>
      <c r="I1970" s="1" t="e">
        <f t="shared" si="2"/>
        <v>#VALUE!</v>
      </c>
    </row>
    <row r="1971" spans="1:9" ht="15.75" customHeight="1">
      <c r="A1971" s="26"/>
      <c r="B1971" s="2"/>
      <c r="C1971" s="26"/>
      <c r="D1971" s="26"/>
      <c r="F1971" s="85" t="str">
        <f t="shared" si="0"/>
        <v/>
      </c>
      <c r="G1971" s="1" t="e">
        <f>IF(VALUE(F1971) = VALUE(RIGHT(Insights!$C$3, 4)), E1971, "")</f>
        <v>#VALUE!</v>
      </c>
      <c r="H1971" s="26" t="e">
        <f t="shared" si="1"/>
        <v>#VALUE!</v>
      </c>
      <c r="I1971" s="1" t="e">
        <f t="shared" si="2"/>
        <v>#VALUE!</v>
      </c>
    </row>
    <row r="1972" spans="1:9" ht="15.75" customHeight="1">
      <c r="A1972" s="26"/>
      <c r="B1972" s="2"/>
      <c r="C1972" s="26"/>
      <c r="D1972" s="26"/>
      <c r="F1972" s="85" t="str">
        <f t="shared" si="0"/>
        <v/>
      </c>
      <c r="G1972" s="1" t="e">
        <f>IF(VALUE(F1972) = VALUE(RIGHT(Insights!$C$3, 4)), E1972, "")</f>
        <v>#VALUE!</v>
      </c>
      <c r="H1972" s="26" t="e">
        <f t="shared" si="1"/>
        <v>#VALUE!</v>
      </c>
      <c r="I1972" s="1" t="e">
        <f t="shared" si="2"/>
        <v>#VALUE!</v>
      </c>
    </row>
    <row r="1973" spans="1:9" ht="15.75" customHeight="1">
      <c r="A1973" s="26"/>
      <c r="B1973" s="2"/>
      <c r="C1973" s="26"/>
      <c r="D1973" s="26"/>
      <c r="F1973" s="85" t="str">
        <f t="shared" si="0"/>
        <v/>
      </c>
      <c r="G1973" s="1" t="e">
        <f>IF(VALUE(F1973) = VALUE(RIGHT(Insights!$C$3, 4)), E1973, "")</f>
        <v>#VALUE!</v>
      </c>
      <c r="H1973" s="26" t="e">
        <f t="shared" si="1"/>
        <v>#VALUE!</v>
      </c>
      <c r="I1973" s="1" t="e">
        <f t="shared" si="2"/>
        <v>#VALUE!</v>
      </c>
    </row>
    <row r="1974" spans="1:9" ht="15.75" customHeight="1">
      <c r="A1974" s="26"/>
      <c r="B1974" s="2"/>
      <c r="C1974" s="26"/>
      <c r="D1974" s="26"/>
      <c r="F1974" s="85" t="str">
        <f t="shared" si="0"/>
        <v/>
      </c>
      <c r="G1974" s="1" t="e">
        <f>IF(VALUE(F1974) = VALUE(RIGHT(Insights!$C$3, 4)), E1974, "")</f>
        <v>#VALUE!</v>
      </c>
      <c r="H1974" s="26" t="e">
        <f t="shared" si="1"/>
        <v>#VALUE!</v>
      </c>
      <c r="I1974" s="1" t="e">
        <f t="shared" si="2"/>
        <v>#VALUE!</v>
      </c>
    </row>
    <row r="1975" spans="1:9" ht="15.75" customHeight="1">
      <c r="A1975" s="26"/>
      <c r="B1975" s="2"/>
      <c r="C1975" s="26"/>
      <c r="D1975" s="26"/>
      <c r="F1975" s="85" t="str">
        <f t="shared" si="0"/>
        <v/>
      </c>
      <c r="G1975" s="1" t="e">
        <f>IF(VALUE(F1975) = VALUE(RIGHT(Insights!$C$3, 4)), E1975, "")</f>
        <v>#VALUE!</v>
      </c>
      <c r="H1975" s="26" t="e">
        <f t="shared" si="1"/>
        <v>#VALUE!</v>
      </c>
      <c r="I1975" s="1" t="e">
        <f t="shared" si="2"/>
        <v>#VALUE!</v>
      </c>
    </row>
    <row r="1976" spans="1:9" ht="15.75" customHeight="1">
      <c r="A1976" s="26"/>
      <c r="B1976" s="2"/>
      <c r="C1976" s="26"/>
      <c r="D1976" s="26"/>
      <c r="F1976" s="85" t="str">
        <f t="shared" si="0"/>
        <v/>
      </c>
      <c r="G1976" s="1" t="e">
        <f>IF(VALUE(F1976) = VALUE(RIGHT(Insights!$C$3, 4)), E1976, "")</f>
        <v>#VALUE!</v>
      </c>
      <c r="H1976" s="26" t="e">
        <f t="shared" si="1"/>
        <v>#VALUE!</v>
      </c>
      <c r="I1976" s="1" t="e">
        <f t="shared" si="2"/>
        <v>#VALUE!</v>
      </c>
    </row>
    <row r="1977" spans="1:9" ht="15.75" customHeight="1">
      <c r="A1977" s="26"/>
      <c r="B1977" s="2"/>
      <c r="C1977" s="26"/>
      <c r="D1977" s="26"/>
      <c r="F1977" s="85" t="str">
        <f t="shared" si="0"/>
        <v/>
      </c>
      <c r="G1977" s="1" t="e">
        <f>IF(VALUE(F1977) = VALUE(RIGHT(Insights!$C$3, 4)), E1977, "")</f>
        <v>#VALUE!</v>
      </c>
      <c r="H1977" s="26" t="e">
        <f t="shared" si="1"/>
        <v>#VALUE!</v>
      </c>
      <c r="I1977" s="1" t="e">
        <f t="shared" si="2"/>
        <v>#VALUE!</v>
      </c>
    </row>
    <row r="1978" spans="1:9" ht="15.75" customHeight="1">
      <c r="A1978" s="26"/>
      <c r="B1978" s="2"/>
      <c r="C1978" s="26"/>
      <c r="D1978" s="26"/>
      <c r="F1978" s="85" t="str">
        <f t="shared" si="0"/>
        <v/>
      </c>
      <c r="G1978" s="1" t="e">
        <f>IF(VALUE(F1978) = VALUE(RIGHT(Insights!$C$3, 4)), E1978, "")</f>
        <v>#VALUE!</v>
      </c>
      <c r="H1978" s="26" t="e">
        <f t="shared" si="1"/>
        <v>#VALUE!</v>
      </c>
      <c r="I1978" s="1" t="e">
        <f t="shared" si="2"/>
        <v>#VALUE!</v>
      </c>
    </row>
    <row r="1979" spans="1:9" ht="15.75" customHeight="1">
      <c r="A1979" s="26"/>
      <c r="B1979" s="2"/>
      <c r="C1979" s="26"/>
      <c r="D1979" s="26"/>
      <c r="F1979" s="85" t="str">
        <f t="shared" si="0"/>
        <v/>
      </c>
      <c r="G1979" s="1" t="e">
        <f>IF(VALUE(F1979) = VALUE(RIGHT(Insights!$C$3, 4)), E1979, "")</f>
        <v>#VALUE!</v>
      </c>
      <c r="H1979" s="26" t="e">
        <f t="shared" si="1"/>
        <v>#VALUE!</v>
      </c>
      <c r="I1979" s="1" t="e">
        <f t="shared" si="2"/>
        <v>#VALUE!</v>
      </c>
    </row>
    <row r="1980" spans="1:9" ht="15.75" customHeight="1">
      <c r="A1980" s="26"/>
      <c r="B1980" s="2"/>
      <c r="C1980" s="26"/>
      <c r="D1980" s="26"/>
      <c r="F1980" s="85" t="str">
        <f t="shared" si="0"/>
        <v/>
      </c>
      <c r="G1980" s="1" t="e">
        <f>IF(VALUE(F1980) = VALUE(RIGHT(Insights!$C$3, 4)), E1980, "")</f>
        <v>#VALUE!</v>
      </c>
      <c r="H1980" s="26" t="e">
        <f t="shared" si="1"/>
        <v>#VALUE!</v>
      </c>
      <c r="I1980" s="1" t="e">
        <f t="shared" si="2"/>
        <v>#VALUE!</v>
      </c>
    </row>
    <row r="1981" spans="1:9" ht="15.75" customHeight="1">
      <c r="A1981" s="26"/>
      <c r="B1981" s="2"/>
      <c r="C1981" s="26"/>
      <c r="D1981" s="26"/>
      <c r="F1981" s="85" t="str">
        <f t="shared" si="0"/>
        <v/>
      </c>
      <c r="G1981" s="1" t="e">
        <f>IF(VALUE(F1981) = VALUE(RIGHT(Insights!$C$3, 4)), E1981, "")</f>
        <v>#VALUE!</v>
      </c>
      <c r="H1981" s="26" t="e">
        <f t="shared" si="1"/>
        <v>#VALUE!</v>
      </c>
      <c r="I1981" s="1" t="e">
        <f t="shared" si="2"/>
        <v>#VALUE!</v>
      </c>
    </row>
    <row r="1982" spans="1:9" ht="15.75" customHeight="1">
      <c r="A1982" s="26"/>
      <c r="B1982" s="2"/>
      <c r="C1982" s="26"/>
      <c r="D1982" s="26"/>
      <c r="F1982" s="85" t="str">
        <f t="shared" si="0"/>
        <v/>
      </c>
      <c r="G1982" s="1" t="e">
        <f>IF(VALUE(F1982) = VALUE(RIGHT(Insights!$C$3, 4)), E1982, "")</f>
        <v>#VALUE!</v>
      </c>
      <c r="H1982" s="26" t="e">
        <f t="shared" si="1"/>
        <v>#VALUE!</v>
      </c>
      <c r="I1982" s="1" t="e">
        <f t="shared" si="2"/>
        <v>#VALUE!</v>
      </c>
    </row>
    <row r="1983" spans="1:9" ht="15.75" customHeight="1">
      <c r="A1983" s="26"/>
      <c r="B1983" s="2"/>
      <c r="C1983" s="26"/>
      <c r="D1983" s="26"/>
      <c r="F1983" s="85" t="str">
        <f t="shared" si="0"/>
        <v/>
      </c>
      <c r="G1983" s="1" t="e">
        <f>IF(VALUE(F1983) = VALUE(RIGHT(Insights!$C$3, 4)), E1983, "")</f>
        <v>#VALUE!</v>
      </c>
      <c r="H1983" s="26" t="e">
        <f t="shared" si="1"/>
        <v>#VALUE!</v>
      </c>
      <c r="I1983" s="1" t="e">
        <f t="shared" si="2"/>
        <v>#VALUE!</v>
      </c>
    </row>
    <row r="1984" spans="1:9" ht="15.75" customHeight="1">
      <c r="A1984" s="26"/>
      <c r="B1984" s="2"/>
      <c r="C1984" s="26"/>
      <c r="D1984" s="26"/>
      <c r="F1984" s="85" t="str">
        <f t="shared" si="0"/>
        <v/>
      </c>
      <c r="G1984" s="1" t="e">
        <f>IF(VALUE(F1984) = VALUE(RIGHT(Insights!$C$3, 4)), E1984, "")</f>
        <v>#VALUE!</v>
      </c>
      <c r="H1984" s="26" t="e">
        <f t="shared" si="1"/>
        <v>#VALUE!</v>
      </c>
      <c r="I1984" s="1" t="e">
        <f t="shared" si="2"/>
        <v>#VALUE!</v>
      </c>
    </row>
    <row r="1985" spans="1:9" ht="15.75" customHeight="1">
      <c r="A1985" s="26"/>
      <c r="B1985" s="2"/>
      <c r="C1985" s="26"/>
      <c r="D1985" s="26"/>
      <c r="F1985" s="85" t="str">
        <f t="shared" si="0"/>
        <v/>
      </c>
      <c r="G1985" s="1" t="e">
        <f>IF(VALUE(F1985) = VALUE(RIGHT(Insights!$C$3, 4)), E1985, "")</f>
        <v>#VALUE!</v>
      </c>
      <c r="H1985" s="26" t="e">
        <f t="shared" si="1"/>
        <v>#VALUE!</v>
      </c>
      <c r="I1985" s="1" t="e">
        <f t="shared" si="2"/>
        <v>#VALUE!</v>
      </c>
    </row>
    <row r="1986" spans="1:9" ht="15.75" customHeight="1">
      <c r="A1986" s="26"/>
      <c r="B1986" s="2"/>
      <c r="C1986" s="26"/>
      <c r="D1986" s="26"/>
      <c r="F1986" s="85" t="str">
        <f t="shared" si="0"/>
        <v/>
      </c>
      <c r="G1986" s="1" t="e">
        <f>IF(VALUE(F1986) = VALUE(RIGHT(Insights!$C$3, 4)), E1986, "")</f>
        <v>#VALUE!</v>
      </c>
      <c r="H1986" s="26" t="e">
        <f t="shared" si="1"/>
        <v>#VALUE!</v>
      </c>
      <c r="I1986" s="1" t="e">
        <f t="shared" si="2"/>
        <v>#VALUE!</v>
      </c>
    </row>
    <row r="1987" spans="1:9" ht="15.75" customHeight="1">
      <c r="A1987" s="26"/>
      <c r="B1987" s="2"/>
      <c r="C1987" s="26"/>
      <c r="D1987" s="26"/>
      <c r="F1987" s="85" t="str">
        <f t="shared" si="0"/>
        <v/>
      </c>
      <c r="G1987" s="1" t="e">
        <f>IF(VALUE(F1987) = VALUE(RIGHT(Insights!$C$3, 4)), E1987, "")</f>
        <v>#VALUE!</v>
      </c>
      <c r="H1987" s="26" t="e">
        <f t="shared" si="1"/>
        <v>#VALUE!</v>
      </c>
      <c r="I1987" s="1" t="e">
        <f t="shared" si="2"/>
        <v>#VALUE!</v>
      </c>
    </row>
    <row r="1988" spans="1:9" ht="15.75" customHeight="1">
      <c r="A1988" s="26"/>
      <c r="B1988" s="2"/>
      <c r="C1988" s="26"/>
      <c r="D1988" s="26"/>
      <c r="F1988" s="85" t="str">
        <f t="shared" si="0"/>
        <v/>
      </c>
      <c r="G1988" s="1" t="e">
        <f>IF(VALUE(F1988) = VALUE(RIGHT(Insights!$C$3, 4)), E1988, "")</f>
        <v>#VALUE!</v>
      </c>
      <c r="H1988" s="26" t="e">
        <f t="shared" si="1"/>
        <v>#VALUE!</v>
      </c>
      <c r="I1988" s="1" t="e">
        <f t="shared" si="2"/>
        <v>#VALUE!</v>
      </c>
    </row>
    <row r="1989" spans="1:9" ht="15.75" customHeight="1">
      <c r="A1989" s="26"/>
      <c r="B1989" s="2"/>
      <c r="C1989" s="26"/>
      <c r="D1989" s="26"/>
      <c r="F1989" s="85" t="str">
        <f t="shared" si="0"/>
        <v/>
      </c>
      <c r="G1989" s="1" t="e">
        <f>IF(VALUE(F1989) = VALUE(RIGHT(Insights!$C$3, 4)), E1989, "")</f>
        <v>#VALUE!</v>
      </c>
      <c r="H1989" s="26" t="e">
        <f t="shared" si="1"/>
        <v>#VALUE!</v>
      </c>
      <c r="I1989" s="1" t="e">
        <f t="shared" si="2"/>
        <v>#VALUE!</v>
      </c>
    </row>
    <row r="1990" spans="1:9" ht="15.75" customHeight="1">
      <c r="A1990" s="26"/>
      <c r="B1990" s="2"/>
      <c r="C1990" s="26"/>
      <c r="D1990" s="26"/>
      <c r="F1990" s="85" t="str">
        <f t="shared" si="0"/>
        <v/>
      </c>
      <c r="G1990" s="1" t="e">
        <f>IF(VALUE(F1990) = VALUE(RIGHT(Insights!$C$3, 4)), E1990, "")</f>
        <v>#VALUE!</v>
      </c>
      <c r="H1990" s="26" t="e">
        <f t="shared" si="1"/>
        <v>#VALUE!</v>
      </c>
      <c r="I1990" s="1" t="e">
        <f t="shared" si="2"/>
        <v>#VALUE!</v>
      </c>
    </row>
    <row r="1991" spans="1:9" ht="15.75" customHeight="1">
      <c r="A1991" s="26"/>
      <c r="B1991" s="2"/>
      <c r="C1991" s="26"/>
      <c r="D1991" s="26"/>
      <c r="F1991" s="85" t="str">
        <f t="shared" si="0"/>
        <v/>
      </c>
      <c r="G1991" s="1" t="e">
        <f>IF(VALUE(F1991) = VALUE(RIGHT(Insights!$C$3, 4)), E1991, "")</f>
        <v>#VALUE!</v>
      </c>
      <c r="H1991" s="26" t="e">
        <f t="shared" si="1"/>
        <v>#VALUE!</v>
      </c>
      <c r="I1991" s="1" t="e">
        <f t="shared" si="2"/>
        <v>#VALUE!</v>
      </c>
    </row>
    <row r="1992" spans="1:9" ht="15.75" customHeight="1">
      <c r="A1992" s="26"/>
      <c r="B1992" s="2"/>
      <c r="C1992" s="26"/>
      <c r="D1992" s="26"/>
      <c r="F1992" s="85" t="str">
        <f t="shared" si="0"/>
        <v/>
      </c>
      <c r="G1992" s="1" t="e">
        <f>IF(VALUE(F1992) = VALUE(RIGHT(Insights!$C$3, 4)), E1992, "")</f>
        <v>#VALUE!</v>
      </c>
      <c r="H1992" s="26" t="e">
        <f t="shared" si="1"/>
        <v>#VALUE!</v>
      </c>
      <c r="I1992" s="1" t="e">
        <f t="shared" si="2"/>
        <v>#VALUE!</v>
      </c>
    </row>
    <row r="1993" spans="1:9" ht="15.75" customHeight="1">
      <c r="A1993" s="26"/>
      <c r="B1993" s="2"/>
      <c r="C1993" s="26"/>
      <c r="D1993" s="26"/>
      <c r="F1993" s="85" t="str">
        <f t="shared" si="0"/>
        <v/>
      </c>
      <c r="G1993" s="1" t="e">
        <f>IF(VALUE(F1993) = VALUE(RIGHT(Insights!$C$3, 4)), E1993, "")</f>
        <v>#VALUE!</v>
      </c>
      <c r="H1993" s="26" t="e">
        <f t="shared" si="1"/>
        <v>#VALUE!</v>
      </c>
      <c r="I1993" s="1" t="e">
        <f t="shared" si="2"/>
        <v>#VALUE!</v>
      </c>
    </row>
    <row r="1994" spans="1:9" ht="15.75" customHeight="1">
      <c r="A1994" s="26"/>
      <c r="B1994" s="2"/>
      <c r="C1994" s="26"/>
      <c r="D1994" s="26"/>
      <c r="F1994" s="85" t="str">
        <f t="shared" si="0"/>
        <v/>
      </c>
      <c r="G1994" s="1" t="e">
        <f>IF(VALUE(F1994) = VALUE(RIGHT(Insights!$C$3, 4)), E1994, "")</f>
        <v>#VALUE!</v>
      </c>
      <c r="H1994" s="26" t="e">
        <f t="shared" si="1"/>
        <v>#VALUE!</v>
      </c>
      <c r="I1994" s="1" t="e">
        <f t="shared" si="2"/>
        <v>#VALUE!</v>
      </c>
    </row>
    <row r="1995" spans="1:9" ht="15.75" customHeight="1">
      <c r="A1995" s="26"/>
      <c r="B1995" s="2"/>
      <c r="C1995" s="26"/>
      <c r="D1995" s="26"/>
      <c r="F1995" s="85" t="str">
        <f t="shared" si="0"/>
        <v/>
      </c>
      <c r="G1995" s="1" t="e">
        <f>IF(VALUE(F1995) = VALUE(RIGHT(Insights!$C$3, 4)), E1995, "")</f>
        <v>#VALUE!</v>
      </c>
      <c r="H1995" s="26" t="e">
        <f t="shared" si="1"/>
        <v>#VALUE!</v>
      </c>
      <c r="I1995" s="1" t="e">
        <f t="shared" si="2"/>
        <v>#VALUE!</v>
      </c>
    </row>
    <row r="1996" spans="1:9" ht="15.75" customHeight="1">
      <c r="A1996" s="26"/>
      <c r="B1996" s="2"/>
      <c r="C1996" s="26"/>
      <c r="D1996" s="26"/>
      <c r="F1996" s="85" t="str">
        <f t="shared" si="0"/>
        <v/>
      </c>
      <c r="G1996" s="1" t="e">
        <f>IF(VALUE(F1996) = VALUE(RIGHT(Insights!$C$3, 4)), E1996, "")</f>
        <v>#VALUE!</v>
      </c>
      <c r="H1996" s="26" t="e">
        <f t="shared" si="1"/>
        <v>#VALUE!</v>
      </c>
      <c r="I1996" s="1" t="e">
        <f t="shared" si="2"/>
        <v>#VALUE!</v>
      </c>
    </row>
    <row r="1997" spans="1:9" ht="15.75" customHeight="1">
      <c r="A1997" s="26"/>
      <c r="B1997" s="2"/>
      <c r="C1997" s="26"/>
      <c r="D1997" s="26"/>
      <c r="F1997" s="85" t="str">
        <f t="shared" si="0"/>
        <v/>
      </c>
      <c r="G1997" s="1" t="e">
        <f>IF(VALUE(F1997) = VALUE(RIGHT(Insights!$C$3, 4)), E1997, "")</f>
        <v>#VALUE!</v>
      </c>
      <c r="H1997" s="26" t="e">
        <f t="shared" si="1"/>
        <v>#VALUE!</v>
      </c>
      <c r="I1997" s="1" t="e">
        <f t="shared" si="2"/>
        <v>#VALUE!</v>
      </c>
    </row>
    <row r="1998" spans="1:9" ht="15.75" customHeight="1">
      <c r="A1998" s="26"/>
      <c r="B1998" s="2"/>
      <c r="C1998" s="26"/>
      <c r="D1998" s="26"/>
      <c r="F1998" s="85" t="str">
        <f t="shared" si="0"/>
        <v/>
      </c>
      <c r="G1998" s="1" t="e">
        <f>IF(VALUE(F1998) = VALUE(RIGHT(Insights!$C$3, 4)), E1998, "")</f>
        <v>#VALUE!</v>
      </c>
      <c r="H1998" s="26" t="e">
        <f t="shared" si="1"/>
        <v>#VALUE!</v>
      </c>
      <c r="I1998" s="1" t="e">
        <f t="shared" si="2"/>
        <v>#VALUE!</v>
      </c>
    </row>
    <row r="1999" spans="1:9" ht="15.75" customHeight="1">
      <c r="A1999" s="26"/>
      <c r="B1999" s="2"/>
      <c r="C1999" s="26"/>
      <c r="D1999" s="26"/>
      <c r="F1999" s="85" t="str">
        <f t="shared" si="0"/>
        <v/>
      </c>
      <c r="G1999" s="1" t="e">
        <f>IF(VALUE(F1999) = VALUE(RIGHT(Insights!$C$3, 4)), E1999, "")</f>
        <v>#VALUE!</v>
      </c>
      <c r="H1999" s="26" t="e">
        <f t="shared" si="1"/>
        <v>#VALUE!</v>
      </c>
      <c r="I1999" s="1" t="e">
        <f t="shared" si="2"/>
        <v>#VALUE!</v>
      </c>
    </row>
    <row r="2000" spans="1:9" ht="15.75" customHeight="1">
      <c r="A2000" s="26"/>
      <c r="B2000" s="2"/>
      <c r="C2000" s="26"/>
      <c r="D2000" s="26"/>
      <c r="F2000" s="85" t="str">
        <f t="shared" si="0"/>
        <v/>
      </c>
      <c r="G2000" s="1" t="e">
        <f>IF(VALUE(F2000) = VALUE(RIGHT(Insights!$C$3, 4)), E2000, "")</f>
        <v>#VALUE!</v>
      </c>
      <c r="H2000" s="26" t="e">
        <f t="shared" si="1"/>
        <v>#VALUE!</v>
      </c>
      <c r="I2000" s="1" t="e">
        <f t="shared" si="2"/>
        <v>#VALUE!</v>
      </c>
    </row>
    <row r="2001" spans="1:9" ht="15.75" customHeight="1">
      <c r="A2001" s="26"/>
      <c r="B2001" s="2"/>
      <c r="C2001" s="26"/>
      <c r="D2001" s="26"/>
      <c r="F2001" s="85" t="str">
        <f t="shared" si="0"/>
        <v/>
      </c>
      <c r="G2001" s="1" t="e">
        <f>IF(VALUE(F2001) = VALUE(RIGHT(Insights!$C$3, 4)), E2001, "")</f>
        <v>#VALUE!</v>
      </c>
      <c r="H2001" s="26" t="e">
        <f t="shared" si="1"/>
        <v>#VALUE!</v>
      </c>
      <c r="I2001" s="1" t="e">
        <f t="shared" si="2"/>
        <v>#VALUE!</v>
      </c>
    </row>
    <row r="2002" spans="1:9" ht="15.75" customHeight="1">
      <c r="A2002" s="26"/>
      <c r="B2002" s="2"/>
      <c r="C2002" s="26"/>
      <c r="D2002" s="26"/>
      <c r="F2002" s="85" t="str">
        <f t="shared" si="0"/>
        <v/>
      </c>
      <c r="G2002" s="1" t="e">
        <f>IF(VALUE(F2002) = VALUE(RIGHT(Insights!$C$3, 4)), E2002, "")</f>
        <v>#VALUE!</v>
      </c>
      <c r="H2002" s="26" t="e">
        <f t="shared" si="1"/>
        <v>#VALUE!</v>
      </c>
      <c r="I2002" s="1" t="e">
        <f t="shared" si="2"/>
        <v>#VALUE!</v>
      </c>
    </row>
    <row r="2003" spans="1:9" ht="15.75" customHeight="1">
      <c r="A2003" s="26"/>
      <c r="B2003" s="2"/>
      <c r="C2003" s="26"/>
      <c r="D2003" s="26"/>
      <c r="F2003" s="85" t="str">
        <f t="shared" si="0"/>
        <v/>
      </c>
      <c r="G2003" s="1" t="e">
        <f>IF(VALUE(F2003) = VALUE(RIGHT(Insights!$C$3, 4)), E2003, "")</f>
        <v>#VALUE!</v>
      </c>
      <c r="H2003" s="26" t="e">
        <f t="shared" si="1"/>
        <v>#VALUE!</v>
      </c>
      <c r="I2003" s="1" t="e">
        <f t="shared" si="2"/>
        <v>#VALUE!</v>
      </c>
    </row>
    <row r="2004" spans="1:9" ht="15.75" customHeight="1">
      <c r="A2004" s="26"/>
      <c r="B2004" s="2"/>
      <c r="C2004" s="26"/>
      <c r="D2004" s="26"/>
      <c r="F2004" s="85" t="str">
        <f t="shared" si="0"/>
        <v/>
      </c>
      <c r="G2004" s="1" t="e">
        <f>IF(VALUE(F2004) = VALUE(RIGHT(Insights!$C$3, 4)), E2004, "")</f>
        <v>#VALUE!</v>
      </c>
      <c r="H2004" s="26" t="e">
        <f t="shared" si="1"/>
        <v>#VALUE!</v>
      </c>
      <c r="I2004" s="1" t="e">
        <f t="shared" si="2"/>
        <v>#VALUE!</v>
      </c>
    </row>
    <row r="2005" spans="1:9" ht="15.75" customHeight="1">
      <c r="A2005" s="26"/>
      <c r="B2005" s="2"/>
      <c r="C2005" s="26"/>
      <c r="D2005" s="26"/>
      <c r="F2005" s="85" t="str">
        <f t="shared" si="0"/>
        <v/>
      </c>
      <c r="G2005" s="1" t="e">
        <f>IF(VALUE(F2005) = VALUE(RIGHT(Insights!$C$3, 4)), E2005, "")</f>
        <v>#VALUE!</v>
      </c>
      <c r="H2005" s="26" t="e">
        <f t="shared" si="1"/>
        <v>#VALUE!</v>
      </c>
      <c r="I2005" s="1" t="e">
        <f t="shared" si="2"/>
        <v>#VALUE!</v>
      </c>
    </row>
    <row r="2006" spans="1:9" ht="15.75" customHeight="1">
      <c r="A2006" s="26"/>
      <c r="B2006" s="2"/>
      <c r="C2006" s="26"/>
      <c r="D2006" s="26"/>
      <c r="F2006" s="85" t="str">
        <f t="shared" si="0"/>
        <v/>
      </c>
      <c r="G2006" s="1" t="e">
        <f>IF(VALUE(F2006) = VALUE(RIGHT(Insights!$C$3, 4)), E2006, "")</f>
        <v>#VALUE!</v>
      </c>
      <c r="H2006" s="26" t="e">
        <f t="shared" si="1"/>
        <v>#VALUE!</v>
      </c>
      <c r="I2006" s="1" t="e">
        <f t="shared" si="2"/>
        <v>#VALUE!</v>
      </c>
    </row>
    <row r="2007" spans="1:9" ht="15.75" customHeight="1">
      <c r="A2007" s="26"/>
      <c r="B2007" s="2"/>
      <c r="C2007" s="26"/>
      <c r="D2007" s="26"/>
      <c r="F2007" s="85" t="str">
        <f t="shared" si="0"/>
        <v/>
      </c>
      <c r="G2007" s="1" t="e">
        <f>IF(VALUE(F2007) = VALUE(RIGHT(Insights!$C$3, 4)), E2007, "")</f>
        <v>#VALUE!</v>
      </c>
      <c r="H2007" s="26" t="e">
        <f t="shared" si="1"/>
        <v>#VALUE!</v>
      </c>
      <c r="I2007" s="1" t="e">
        <f t="shared" si="2"/>
        <v>#VALUE!</v>
      </c>
    </row>
    <row r="2008" spans="1:9" ht="15.75" customHeight="1">
      <c r="A2008" s="26"/>
      <c r="B2008" s="2"/>
      <c r="C2008" s="26"/>
      <c r="D2008" s="26"/>
      <c r="F2008" s="85" t="str">
        <f t="shared" si="0"/>
        <v/>
      </c>
      <c r="G2008" s="1" t="e">
        <f>IF(VALUE(F2008) = VALUE(RIGHT(Insights!$C$3, 4)), E2008, "")</f>
        <v>#VALUE!</v>
      </c>
      <c r="H2008" s="26" t="e">
        <f t="shared" si="1"/>
        <v>#VALUE!</v>
      </c>
      <c r="I2008" s="1" t="e">
        <f t="shared" si="2"/>
        <v>#VALUE!</v>
      </c>
    </row>
    <row r="2009" spans="1:9" ht="15.75" customHeight="1">
      <c r="A2009" s="26"/>
      <c r="B2009" s="2"/>
      <c r="C2009" s="26"/>
      <c r="D2009" s="26"/>
      <c r="F2009" s="85" t="str">
        <f t="shared" si="0"/>
        <v/>
      </c>
      <c r="G2009" s="1" t="e">
        <f>IF(VALUE(F2009) = VALUE(RIGHT(Insights!$C$3, 4)), E2009, "")</f>
        <v>#VALUE!</v>
      </c>
      <c r="H2009" s="26" t="e">
        <f t="shared" si="1"/>
        <v>#VALUE!</v>
      </c>
      <c r="I2009" s="1" t="e">
        <f t="shared" si="2"/>
        <v>#VALUE!</v>
      </c>
    </row>
    <row r="2010" spans="1:9" ht="15.75" customHeight="1">
      <c r="A2010" s="26"/>
      <c r="B2010" s="2"/>
      <c r="C2010" s="26"/>
      <c r="D2010" s="26"/>
      <c r="F2010" s="85" t="str">
        <f t="shared" si="0"/>
        <v/>
      </c>
      <c r="G2010" s="1" t="e">
        <f>IF(VALUE(F2010) = VALUE(RIGHT(Insights!$C$3, 4)), E2010, "")</f>
        <v>#VALUE!</v>
      </c>
      <c r="H2010" s="26" t="e">
        <f t="shared" si="1"/>
        <v>#VALUE!</v>
      </c>
      <c r="I2010" s="1" t="e">
        <f t="shared" si="2"/>
        <v>#VALUE!</v>
      </c>
    </row>
    <row r="2011" spans="1:9" ht="15.75" customHeight="1">
      <c r="A2011" s="26"/>
      <c r="B2011" s="2"/>
      <c r="C2011" s="26"/>
      <c r="D2011" s="26"/>
      <c r="F2011" s="85" t="str">
        <f t="shared" si="0"/>
        <v/>
      </c>
      <c r="G2011" s="1" t="e">
        <f>IF(VALUE(F2011) = VALUE(RIGHT(Insights!$C$3, 4)), E2011, "")</f>
        <v>#VALUE!</v>
      </c>
      <c r="H2011" s="26" t="e">
        <f t="shared" si="1"/>
        <v>#VALUE!</v>
      </c>
      <c r="I2011" s="1" t="e">
        <f t="shared" si="2"/>
        <v>#VALUE!</v>
      </c>
    </row>
    <row r="2012" spans="1:9" ht="15.75" customHeight="1">
      <c r="A2012" s="26"/>
      <c r="B2012" s="2"/>
      <c r="C2012" s="26"/>
      <c r="D2012" s="26"/>
      <c r="F2012" s="85" t="str">
        <f t="shared" si="0"/>
        <v/>
      </c>
      <c r="G2012" s="1" t="e">
        <f>IF(VALUE(F2012) = VALUE(RIGHT(Insights!$C$3, 4)), E2012, "")</f>
        <v>#VALUE!</v>
      </c>
      <c r="H2012" s="26" t="e">
        <f t="shared" si="1"/>
        <v>#VALUE!</v>
      </c>
      <c r="I2012" s="1" t="e">
        <f t="shared" si="2"/>
        <v>#VALUE!</v>
      </c>
    </row>
    <row r="2013" spans="1:9" ht="15.75" customHeight="1">
      <c r="A2013" s="26"/>
      <c r="B2013" s="2"/>
      <c r="C2013" s="26"/>
      <c r="D2013" s="26"/>
      <c r="F2013" s="85" t="str">
        <f t="shared" si="0"/>
        <v/>
      </c>
      <c r="G2013" s="1" t="e">
        <f>IF(VALUE(F2013) = VALUE(RIGHT(Insights!$C$3, 4)), E2013, "")</f>
        <v>#VALUE!</v>
      </c>
      <c r="H2013" s="26" t="e">
        <f t="shared" si="1"/>
        <v>#VALUE!</v>
      </c>
      <c r="I2013" s="1" t="e">
        <f t="shared" si="2"/>
        <v>#VALUE!</v>
      </c>
    </row>
    <row r="2014" spans="1:9" ht="15.75" customHeight="1">
      <c r="A2014" s="26"/>
      <c r="B2014" s="2"/>
      <c r="C2014" s="26"/>
      <c r="D2014" s="26"/>
      <c r="F2014" s="85" t="str">
        <f t="shared" si="0"/>
        <v/>
      </c>
      <c r="G2014" s="1" t="e">
        <f>IF(VALUE(F2014) = VALUE(RIGHT(Insights!$C$3, 4)), E2014, "")</f>
        <v>#VALUE!</v>
      </c>
      <c r="H2014" s="26" t="e">
        <f t="shared" si="1"/>
        <v>#VALUE!</v>
      </c>
      <c r="I2014" s="1" t="e">
        <f t="shared" si="2"/>
        <v>#VALUE!</v>
      </c>
    </row>
    <row r="2015" spans="1:9" ht="15.75" customHeight="1">
      <c r="A2015" s="26"/>
      <c r="B2015" s="2"/>
      <c r="C2015" s="26"/>
      <c r="D2015" s="26"/>
      <c r="F2015" s="85" t="str">
        <f t="shared" si="0"/>
        <v/>
      </c>
      <c r="G2015" s="1" t="e">
        <f>IF(VALUE(F2015) = VALUE(RIGHT(Insights!$C$3, 4)), E2015, "")</f>
        <v>#VALUE!</v>
      </c>
      <c r="H2015" s="26" t="e">
        <f t="shared" si="1"/>
        <v>#VALUE!</v>
      </c>
      <c r="I2015" s="1" t="e">
        <f t="shared" si="2"/>
        <v>#VALUE!</v>
      </c>
    </row>
    <row r="2016" spans="1:9" ht="15.75" customHeight="1">
      <c r="A2016" s="26"/>
      <c r="B2016" s="2"/>
      <c r="C2016" s="26"/>
      <c r="D2016" s="26"/>
      <c r="F2016" s="85" t="str">
        <f t="shared" si="0"/>
        <v/>
      </c>
      <c r="G2016" s="1" t="e">
        <f>IF(VALUE(F2016) = VALUE(RIGHT(Insights!$C$3, 4)), E2016, "")</f>
        <v>#VALUE!</v>
      </c>
      <c r="H2016" s="26" t="e">
        <f t="shared" si="1"/>
        <v>#VALUE!</v>
      </c>
      <c r="I2016" s="1" t="e">
        <f t="shared" si="2"/>
        <v>#VALUE!</v>
      </c>
    </row>
    <row r="2017" spans="1:9" ht="15.75" customHeight="1">
      <c r="A2017" s="26"/>
      <c r="B2017" s="2"/>
      <c r="C2017" s="26"/>
      <c r="D2017" s="26"/>
      <c r="F2017" s="85" t="str">
        <f t="shared" si="0"/>
        <v/>
      </c>
      <c r="G2017" s="1" t="e">
        <f>IF(VALUE(F2017) = VALUE(RIGHT(Insights!$C$3, 4)), E2017, "")</f>
        <v>#VALUE!</v>
      </c>
      <c r="H2017" s="26" t="e">
        <f t="shared" si="1"/>
        <v>#VALUE!</v>
      </c>
      <c r="I2017" s="1" t="e">
        <f t="shared" si="2"/>
        <v>#VALUE!</v>
      </c>
    </row>
    <row r="2018" spans="1:9" ht="15.75" customHeight="1">
      <c r="A2018" s="26"/>
      <c r="B2018" s="2"/>
      <c r="C2018" s="26"/>
      <c r="D2018" s="26"/>
      <c r="F2018" s="85" t="str">
        <f t="shared" si="0"/>
        <v/>
      </c>
      <c r="G2018" s="1" t="e">
        <f>IF(VALUE(F2018) = VALUE(RIGHT(Insights!$C$3, 4)), E2018, "")</f>
        <v>#VALUE!</v>
      </c>
      <c r="H2018" s="26" t="e">
        <f t="shared" si="1"/>
        <v>#VALUE!</v>
      </c>
      <c r="I2018" s="1" t="e">
        <f t="shared" si="2"/>
        <v>#VALUE!</v>
      </c>
    </row>
    <row r="2019" spans="1:9" ht="15.75" customHeight="1">
      <c r="A2019" s="26"/>
      <c r="B2019" s="2"/>
      <c r="C2019" s="26"/>
      <c r="D2019" s="26"/>
      <c r="F2019" s="85" t="str">
        <f t="shared" si="0"/>
        <v/>
      </c>
      <c r="G2019" s="1" t="e">
        <f>IF(VALUE(F2019) = VALUE(RIGHT(Insights!$C$3, 4)), E2019, "")</f>
        <v>#VALUE!</v>
      </c>
      <c r="H2019" s="26" t="e">
        <f t="shared" si="1"/>
        <v>#VALUE!</v>
      </c>
      <c r="I2019" s="1" t="e">
        <f t="shared" si="2"/>
        <v>#VALUE!</v>
      </c>
    </row>
    <row r="2020" spans="1:9" ht="15.75" customHeight="1">
      <c r="A2020" s="26"/>
      <c r="B2020" s="2"/>
      <c r="C2020" s="26"/>
      <c r="D2020" s="26"/>
      <c r="F2020" s="85" t="str">
        <f t="shared" si="0"/>
        <v/>
      </c>
      <c r="G2020" s="1" t="e">
        <f>IF(VALUE(F2020) = VALUE(RIGHT(Insights!$C$3, 4)), E2020, "")</f>
        <v>#VALUE!</v>
      </c>
      <c r="H2020" s="26" t="e">
        <f t="shared" si="1"/>
        <v>#VALUE!</v>
      </c>
      <c r="I2020" s="1" t="e">
        <f t="shared" si="2"/>
        <v>#VALUE!</v>
      </c>
    </row>
    <row r="2021" spans="1:9" ht="15.75" customHeight="1">
      <c r="A2021" s="26"/>
      <c r="B2021" s="2"/>
      <c r="C2021" s="26"/>
      <c r="D2021" s="26"/>
      <c r="F2021" s="85" t="str">
        <f t="shared" si="0"/>
        <v/>
      </c>
      <c r="G2021" s="1" t="e">
        <f>IF(VALUE(F2021) = VALUE(RIGHT(Insights!$C$3, 4)), E2021, "")</f>
        <v>#VALUE!</v>
      </c>
      <c r="H2021" s="26" t="e">
        <f t="shared" si="1"/>
        <v>#VALUE!</v>
      </c>
      <c r="I2021" s="1" t="e">
        <f t="shared" si="2"/>
        <v>#VALUE!</v>
      </c>
    </row>
    <row r="2022" spans="1:9" ht="15.75" customHeight="1">
      <c r="A2022" s="26"/>
      <c r="B2022" s="2"/>
      <c r="C2022" s="26"/>
      <c r="D2022" s="26"/>
      <c r="F2022" s="85" t="str">
        <f t="shared" si="0"/>
        <v/>
      </c>
      <c r="G2022" s="1" t="e">
        <f>IF(VALUE(F2022) = VALUE(RIGHT(Insights!$C$3, 4)), E2022, "")</f>
        <v>#VALUE!</v>
      </c>
      <c r="H2022" s="26" t="e">
        <f t="shared" si="1"/>
        <v>#VALUE!</v>
      </c>
      <c r="I2022" s="1" t="e">
        <f t="shared" si="2"/>
        <v>#VALUE!</v>
      </c>
    </row>
    <row r="2023" spans="1:9" ht="15.75" customHeight="1">
      <c r="A2023" s="26"/>
      <c r="B2023" s="2"/>
      <c r="C2023" s="26"/>
      <c r="D2023" s="26"/>
      <c r="F2023" s="85" t="str">
        <f t="shared" si="0"/>
        <v/>
      </c>
      <c r="G2023" s="1" t="e">
        <f>IF(VALUE(F2023) = VALUE(RIGHT(Insights!$C$3, 4)), E2023, "")</f>
        <v>#VALUE!</v>
      </c>
      <c r="H2023" s="26" t="e">
        <f t="shared" si="1"/>
        <v>#VALUE!</v>
      </c>
      <c r="I2023" s="1" t="e">
        <f t="shared" si="2"/>
        <v>#VALUE!</v>
      </c>
    </row>
    <row r="2024" spans="1:9" ht="15.75" customHeight="1">
      <c r="A2024" s="26"/>
      <c r="B2024" s="2"/>
      <c r="C2024" s="26"/>
      <c r="D2024" s="26"/>
      <c r="F2024" s="85" t="str">
        <f t="shared" si="0"/>
        <v/>
      </c>
      <c r="G2024" s="1" t="e">
        <f>IF(VALUE(F2024) = VALUE(RIGHT(Insights!$C$3, 4)), E2024, "")</f>
        <v>#VALUE!</v>
      </c>
      <c r="H2024" s="26" t="e">
        <f t="shared" si="1"/>
        <v>#VALUE!</v>
      </c>
      <c r="I2024" s="1" t="e">
        <f t="shared" si="2"/>
        <v>#VALUE!</v>
      </c>
    </row>
    <row r="2025" spans="1:9" ht="15.75" customHeight="1">
      <c r="A2025" s="26"/>
      <c r="B2025" s="2"/>
      <c r="C2025" s="26"/>
      <c r="D2025" s="26"/>
      <c r="F2025" s="85" t="str">
        <f t="shared" si="0"/>
        <v/>
      </c>
      <c r="G2025" s="1" t="e">
        <f>IF(VALUE(F2025) = VALUE(RIGHT(Insights!$C$3, 4)), E2025, "")</f>
        <v>#VALUE!</v>
      </c>
      <c r="H2025" s="26" t="e">
        <f t="shared" si="1"/>
        <v>#VALUE!</v>
      </c>
      <c r="I2025" s="1" t="e">
        <f t="shared" si="2"/>
        <v>#VALUE!</v>
      </c>
    </row>
    <row r="2026" spans="1:9" ht="15.75" customHeight="1">
      <c r="A2026" s="26"/>
      <c r="B2026" s="2"/>
      <c r="C2026" s="26"/>
      <c r="D2026" s="26"/>
      <c r="F2026" s="85" t="str">
        <f t="shared" si="0"/>
        <v/>
      </c>
      <c r="G2026" s="1" t="e">
        <f>IF(VALUE(F2026) = VALUE(RIGHT(Insights!$C$3, 4)), E2026, "")</f>
        <v>#VALUE!</v>
      </c>
      <c r="H2026" s="26" t="e">
        <f t="shared" si="1"/>
        <v>#VALUE!</v>
      </c>
      <c r="I2026" s="1" t="e">
        <f t="shared" si="2"/>
        <v>#VALUE!</v>
      </c>
    </row>
    <row r="2027" spans="1:9" ht="15.75" customHeight="1">
      <c r="A2027" s="26"/>
      <c r="B2027" s="2"/>
      <c r="C2027" s="26"/>
      <c r="D2027" s="26"/>
      <c r="F2027" s="85" t="str">
        <f t="shared" si="0"/>
        <v/>
      </c>
      <c r="G2027" s="1" t="e">
        <f>IF(VALUE(F2027) = VALUE(RIGHT(Insights!$C$3, 4)), E2027, "")</f>
        <v>#VALUE!</v>
      </c>
      <c r="H2027" s="26" t="e">
        <f t="shared" si="1"/>
        <v>#VALUE!</v>
      </c>
      <c r="I2027" s="1" t="e">
        <f t="shared" si="2"/>
        <v>#VALUE!</v>
      </c>
    </row>
    <row r="2028" spans="1:9" ht="15.75" customHeight="1">
      <c r="A2028" s="26"/>
      <c r="B2028" s="2"/>
      <c r="C2028" s="26"/>
      <c r="D2028" s="26"/>
      <c r="F2028" s="85" t="str">
        <f t="shared" si="0"/>
        <v/>
      </c>
      <c r="G2028" s="1" t="e">
        <f>IF(VALUE(F2028) = VALUE(RIGHT(Insights!$C$3, 4)), E2028, "")</f>
        <v>#VALUE!</v>
      </c>
      <c r="H2028" s="26" t="e">
        <f t="shared" si="1"/>
        <v>#VALUE!</v>
      </c>
      <c r="I2028" s="1" t="e">
        <f t="shared" si="2"/>
        <v>#VALUE!</v>
      </c>
    </row>
    <row r="2029" spans="1:9" ht="15.75" customHeight="1">
      <c r="A2029" s="26"/>
      <c r="B2029" s="2"/>
      <c r="C2029" s="26"/>
      <c r="D2029" s="26"/>
      <c r="F2029" s="85" t="str">
        <f t="shared" si="0"/>
        <v/>
      </c>
      <c r="G2029" s="1" t="e">
        <f>IF(VALUE(F2029) = VALUE(RIGHT(Insights!$C$3, 4)), E2029, "")</f>
        <v>#VALUE!</v>
      </c>
      <c r="H2029" s="26" t="e">
        <f t="shared" si="1"/>
        <v>#VALUE!</v>
      </c>
      <c r="I2029" s="1" t="e">
        <f t="shared" si="2"/>
        <v>#VALUE!</v>
      </c>
    </row>
    <row r="2030" spans="1:9" ht="15.75" customHeight="1">
      <c r="A2030" s="26"/>
      <c r="B2030" s="2"/>
      <c r="C2030" s="26"/>
      <c r="D2030" s="26"/>
      <c r="F2030" s="85" t="str">
        <f t="shared" si="0"/>
        <v/>
      </c>
      <c r="G2030" s="1" t="e">
        <f>IF(VALUE(F2030) = VALUE(RIGHT(Insights!$C$3, 4)), E2030, "")</f>
        <v>#VALUE!</v>
      </c>
      <c r="H2030" s="26" t="e">
        <f t="shared" si="1"/>
        <v>#VALUE!</v>
      </c>
      <c r="I2030" s="1" t="e">
        <f t="shared" si="2"/>
        <v>#VALUE!</v>
      </c>
    </row>
    <row r="2031" spans="1:9" ht="15.75" customHeight="1">
      <c r="A2031" s="26"/>
      <c r="B2031" s="2"/>
      <c r="C2031" s="26"/>
      <c r="D2031" s="26"/>
      <c r="F2031" s="85" t="str">
        <f t="shared" si="0"/>
        <v/>
      </c>
      <c r="G2031" s="1" t="e">
        <f>IF(VALUE(F2031) = VALUE(RIGHT(Insights!$C$3, 4)), E2031, "")</f>
        <v>#VALUE!</v>
      </c>
      <c r="H2031" s="26" t="e">
        <f t="shared" si="1"/>
        <v>#VALUE!</v>
      </c>
      <c r="I2031" s="1" t="e">
        <f t="shared" si="2"/>
        <v>#VALUE!</v>
      </c>
    </row>
    <row r="2032" spans="1:9" ht="15.75" customHeight="1">
      <c r="A2032" s="26"/>
      <c r="B2032" s="2"/>
      <c r="C2032" s="26"/>
      <c r="D2032" s="26"/>
      <c r="F2032" s="85" t="str">
        <f t="shared" si="0"/>
        <v/>
      </c>
      <c r="G2032" s="1" t="e">
        <f>IF(VALUE(F2032) = VALUE(RIGHT(Insights!$C$3, 4)), E2032, "")</f>
        <v>#VALUE!</v>
      </c>
      <c r="H2032" s="26" t="e">
        <f t="shared" si="1"/>
        <v>#VALUE!</v>
      </c>
      <c r="I2032" s="1" t="e">
        <f t="shared" si="2"/>
        <v>#VALUE!</v>
      </c>
    </row>
    <row r="2033" spans="1:9" ht="15.75" customHeight="1">
      <c r="A2033" s="26"/>
      <c r="B2033" s="2"/>
      <c r="C2033" s="26"/>
      <c r="D2033" s="26"/>
      <c r="F2033" s="85" t="str">
        <f t="shared" si="0"/>
        <v/>
      </c>
      <c r="G2033" s="1" t="e">
        <f>IF(VALUE(F2033) = VALUE(RIGHT(Insights!$C$3, 4)), E2033, "")</f>
        <v>#VALUE!</v>
      </c>
      <c r="H2033" s="26" t="e">
        <f t="shared" si="1"/>
        <v>#VALUE!</v>
      </c>
      <c r="I2033" s="1" t="e">
        <f t="shared" si="2"/>
        <v>#VALUE!</v>
      </c>
    </row>
    <row r="2034" spans="1:9" ht="15.75" customHeight="1">
      <c r="A2034" s="26"/>
      <c r="B2034" s="2"/>
      <c r="C2034" s="26"/>
      <c r="D2034" s="26"/>
      <c r="F2034" s="85" t="str">
        <f t="shared" si="0"/>
        <v/>
      </c>
      <c r="G2034" s="1" t="e">
        <f>IF(VALUE(F2034) = VALUE(RIGHT(Insights!$C$3, 4)), E2034, "")</f>
        <v>#VALUE!</v>
      </c>
      <c r="H2034" s="26" t="e">
        <f t="shared" si="1"/>
        <v>#VALUE!</v>
      </c>
      <c r="I2034" s="1" t="e">
        <f t="shared" si="2"/>
        <v>#VALUE!</v>
      </c>
    </row>
    <row r="2035" spans="1:9" ht="15.75" customHeight="1">
      <c r="A2035" s="26"/>
      <c r="B2035" s="2"/>
      <c r="C2035" s="26"/>
      <c r="D2035" s="26"/>
      <c r="F2035" s="85" t="str">
        <f t="shared" si="0"/>
        <v/>
      </c>
      <c r="G2035" s="1" t="e">
        <f>IF(VALUE(F2035) = VALUE(RIGHT(Insights!$C$3, 4)), E2035, "")</f>
        <v>#VALUE!</v>
      </c>
      <c r="H2035" s="26" t="e">
        <f t="shared" si="1"/>
        <v>#VALUE!</v>
      </c>
      <c r="I2035" s="1" t="e">
        <f t="shared" si="2"/>
        <v>#VALUE!</v>
      </c>
    </row>
    <row r="2036" spans="1:9" ht="15.75" customHeight="1">
      <c r="A2036" s="26"/>
      <c r="B2036" s="2"/>
      <c r="C2036" s="26"/>
      <c r="D2036" s="26"/>
      <c r="F2036" s="85" t="str">
        <f t="shared" si="0"/>
        <v/>
      </c>
      <c r="G2036" s="1" t="e">
        <f>IF(VALUE(F2036) = VALUE(RIGHT(Insights!$C$3, 4)), E2036, "")</f>
        <v>#VALUE!</v>
      </c>
      <c r="H2036" s="26" t="e">
        <f t="shared" si="1"/>
        <v>#VALUE!</v>
      </c>
      <c r="I2036" s="1" t="e">
        <f t="shared" si="2"/>
        <v>#VALUE!</v>
      </c>
    </row>
    <row r="2037" spans="1:9" ht="15.75" customHeight="1">
      <c r="A2037" s="26"/>
      <c r="B2037" s="2"/>
      <c r="C2037" s="26"/>
      <c r="D2037" s="26"/>
      <c r="F2037" s="85" t="str">
        <f t="shared" si="0"/>
        <v/>
      </c>
      <c r="G2037" s="1" t="e">
        <f>IF(VALUE(F2037) = VALUE(RIGHT(Insights!$C$3, 4)), E2037, "")</f>
        <v>#VALUE!</v>
      </c>
      <c r="H2037" s="26" t="e">
        <f t="shared" si="1"/>
        <v>#VALUE!</v>
      </c>
      <c r="I2037" s="1" t="e">
        <f t="shared" si="2"/>
        <v>#VALUE!</v>
      </c>
    </row>
    <row r="2038" spans="1:9" ht="15.75" customHeight="1">
      <c r="A2038" s="26"/>
      <c r="B2038" s="2"/>
      <c r="C2038" s="26"/>
      <c r="D2038" s="26"/>
      <c r="F2038" s="85" t="str">
        <f t="shared" si="0"/>
        <v/>
      </c>
      <c r="G2038" s="1" t="e">
        <f>IF(VALUE(F2038) = VALUE(RIGHT(Insights!$C$3, 4)), E2038, "")</f>
        <v>#VALUE!</v>
      </c>
      <c r="H2038" s="26" t="e">
        <f t="shared" si="1"/>
        <v>#VALUE!</v>
      </c>
      <c r="I2038" s="1" t="e">
        <f t="shared" si="2"/>
        <v>#VALUE!</v>
      </c>
    </row>
    <row r="2039" spans="1:9" ht="15.75" customHeight="1">
      <c r="A2039" s="26"/>
      <c r="B2039" s="2"/>
      <c r="C2039" s="26"/>
      <c r="D2039" s="26"/>
      <c r="F2039" s="85" t="str">
        <f t="shared" si="0"/>
        <v/>
      </c>
      <c r="G2039" s="1" t="e">
        <f>IF(VALUE(F2039) = VALUE(RIGHT(Insights!$C$3, 4)), E2039, "")</f>
        <v>#VALUE!</v>
      </c>
      <c r="H2039" s="26" t="e">
        <f t="shared" si="1"/>
        <v>#VALUE!</v>
      </c>
      <c r="I2039" s="1" t="e">
        <f t="shared" si="2"/>
        <v>#VALUE!</v>
      </c>
    </row>
    <row r="2040" spans="1:9" ht="15.75" customHeight="1">
      <c r="A2040" s="26"/>
      <c r="B2040" s="2"/>
      <c r="C2040" s="26"/>
      <c r="D2040" s="26"/>
      <c r="F2040" s="85" t="str">
        <f t="shared" si="0"/>
        <v/>
      </c>
      <c r="G2040" s="1" t="e">
        <f>IF(VALUE(F2040) = VALUE(RIGHT(Insights!$C$3, 4)), E2040, "")</f>
        <v>#VALUE!</v>
      </c>
      <c r="H2040" s="26" t="e">
        <f t="shared" si="1"/>
        <v>#VALUE!</v>
      </c>
      <c r="I2040" s="1" t="e">
        <f t="shared" si="2"/>
        <v>#VALUE!</v>
      </c>
    </row>
    <row r="2041" spans="1:9" ht="15.75" customHeight="1">
      <c r="A2041" s="26"/>
      <c r="B2041" s="2"/>
      <c r="C2041" s="26"/>
      <c r="D2041" s="26"/>
      <c r="F2041" s="85" t="str">
        <f t="shared" si="0"/>
        <v/>
      </c>
      <c r="G2041" s="1" t="e">
        <f>IF(VALUE(F2041) = VALUE(RIGHT(Insights!$C$3, 4)), E2041, "")</f>
        <v>#VALUE!</v>
      </c>
      <c r="H2041" s="26" t="e">
        <f t="shared" si="1"/>
        <v>#VALUE!</v>
      </c>
      <c r="I2041" s="1" t="e">
        <f t="shared" si="2"/>
        <v>#VALUE!</v>
      </c>
    </row>
    <row r="2042" spans="1:9" ht="15.75" customHeight="1">
      <c r="A2042" s="26"/>
      <c r="B2042" s="2"/>
      <c r="C2042" s="26"/>
      <c r="D2042" s="26"/>
      <c r="F2042" s="85" t="str">
        <f t="shared" si="0"/>
        <v/>
      </c>
      <c r="G2042" s="1" t="e">
        <f>IF(VALUE(F2042) = VALUE(RIGHT(Insights!$C$3, 4)), E2042, "")</f>
        <v>#VALUE!</v>
      </c>
      <c r="H2042" s="26" t="e">
        <f t="shared" si="1"/>
        <v>#VALUE!</v>
      </c>
      <c r="I2042" s="1" t="e">
        <f t="shared" si="2"/>
        <v>#VALUE!</v>
      </c>
    </row>
    <row r="2043" spans="1:9" ht="15.75" customHeight="1">
      <c r="A2043" s="26"/>
      <c r="B2043" s="2"/>
      <c r="C2043" s="26"/>
      <c r="D2043" s="26"/>
      <c r="F2043" s="85" t="str">
        <f t="shared" si="0"/>
        <v/>
      </c>
      <c r="G2043" s="1" t="e">
        <f>IF(VALUE(F2043) = VALUE(RIGHT(Insights!$C$3, 4)), E2043, "")</f>
        <v>#VALUE!</v>
      </c>
      <c r="H2043" s="26" t="e">
        <f t="shared" si="1"/>
        <v>#VALUE!</v>
      </c>
      <c r="I2043" s="1" t="e">
        <f t="shared" si="2"/>
        <v>#VALUE!</v>
      </c>
    </row>
    <row r="2044" spans="1:9" ht="15.75" customHeight="1">
      <c r="A2044" s="26"/>
      <c r="B2044" s="2"/>
      <c r="C2044" s="26"/>
      <c r="D2044" s="26"/>
      <c r="F2044" s="85" t="str">
        <f t="shared" si="0"/>
        <v/>
      </c>
      <c r="G2044" s="1" t="e">
        <f>IF(VALUE(F2044) = VALUE(RIGHT(Insights!$C$3, 4)), E2044, "")</f>
        <v>#VALUE!</v>
      </c>
      <c r="H2044" s="26" t="e">
        <f t="shared" si="1"/>
        <v>#VALUE!</v>
      </c>
      <c r="I2044" s="1" t="e">
        <f t="shared" si="2"/>
        <v>#VALUE!</v>
      </c>
    </row>
    <row r="2045" spans="1:9" ht="15.75" customHeight="1">
      <c r="A2045" s="26"/>
      <c r="B2045" s="2"/>
      <c r="C2045" s="26"/>
      <c r="D2045" s="26"/>
      <c r="F2045" s="85" t="str">
        <f t="shared" si="0"/>
        <v/>
      </c>
      <c r="G2045" s="1" t="e">
        <f>IF(VALUE(F2045) = VALUE(RIGHT(Insights!$C$3, 4)), E2045, "")</f>
        <v>#VALUE!</v>
      </c>
      <c r="H2045" s="26" t="e">
        <f t="shared" si="1"/>
        <v>#VALUE!</v>
      </c>
      <c r="I2045" s="1" t="e">
        <f t="shared" si="2"/>
        <v>#VALUE!</v>
      </c>
    </row>
    <row r="2046" spans="1:9" ht="15.75" customHeight="1">
      <c r="A2046" s="26"/>
      <c r="B2046" s="2"/>
      <c r="C2046" s="26"/>
      <c r="D2046" s="26"/>
      <c r="F2046" s="85" t="str">
        <f t="shared" si="0"/>
        <v/>
      </c>
      <c r="G2046" s="1" t="e">
        <f>IF(VALUE(F2046) = VALUE(RIGHT(Insights!$C$3, 4)), E2046, "")</f>
        <v>#VALUE!</v>
      </c>
      <c r="H2046" s="26" t="e">
        <f t="shared" si="1"/>
        <v>#VALUE!</v>
      </c>
      <c r="I2046" s="1" t="e">
        <f t="shared" si="2"/>
        <v>#VALUE!</v>
      </c>
    </row>
    <row r="2047" spans="1:9" ht="15.75" customHeight="1">
      <c r="A2047" s="26"/>
      <c r="B2047" s="2"/>
      <c r="C2047" s="26"/>
      <c r="D2047" s="26"/>
      <c r="F2047" s="85" t="str">
        <f t="shared" si="0"/>
        <v/>
      </c>
      <c r="G2047" s="1" t="e">
        <f>IF(VALUE(F2047) = VALUE(RIGHT(Insights!$C$3, 4)), E2047, "")</f>
        <v>#VALUE!</v>
      </c>
      <c r="H2047" s="26" t="e">
        <f t="shared" si="1"/>
        <v>#VALUE!</v>
      </c>
      <c r="I2047" s="1" t="e">
        <f t="shared" si="2"/>
        <v>#VALUE!</v>
      </c>
    </row>
    <row r="2048" spans="1:9" ht="15.75" customHeight="1">
      <c r="A2048" s="26"/>
      <c r="B2048" s="2"/>
      <c r="C2048" s="26"/>
      <c r="D2048" s="26"/>
      <c r="F2048" s="85" t="str">
        <f t="shared" si="0"/>
        <v/>
      </c>
      <c r="G2048" s="1" t="e">
        <f>IF(VALUE(F2048) = VALUE(RIGHT(Insights!$C$3, 4)), E2048, "")</f>
        <v>#VALUE!</v>
      </c>
      <c r="H2048" s="26" t="e">
        <f t="shared" si="1"/>
        <v>#VALUE!</v>
      </c>
      <c r="I2048" s="1" t="e">
        <f t="shared" si="2"/>
        <v>#VALUE!</v>
      </c>
    </row>
    <row r="2049" spans="1:9" ht="15.75" customHeight="1">
      <c r="A2049" s="26"/>
      <c r="B2049" s="2"/>
      <c r="C2049" s="26"/>
      <c r="D2049" s="26"/>
      <c r="F2049" s="85" t="str">
        <f t="shared" si="0"/>
        <v/>
      </c>
      <c r="G2049" s="1" t="e">
        <f>IF(VALUE(F2049) = VALUE(RIGHT(Insights!$C$3, 4)), E2049, "")</f>
        <v>#VALUE!</v>
      </c>
      <c r="H2049" s="26" t="e">
        <f t="shared" si="1"/>
        <v>#VALUE!</v>
      </c>
      <c r="I2049" s="1" t="e">
        <f t="shared" si="2"/>
        <v>#VALUE!</v>
      </c>
    </row>
    <row r="2050" spans="1:9" ht="15.75" customHeight="1">
      <c r="A2050" s="26"/>
      <c r="B2050" s="2"/>
      <c r="C2050" s="26"/>
      <c r="D2050" s="26"/>
      <c r="F2050" s="85" t="str">
        <f t="shared" si="0"/>
        <v/>
      </c>
      <c r="G2050" s="1" t="e">
        <f>IF(VALUE(F2050) = VALUE(RIGHT(Insights!$C$3, 4)), E2050, "")</f>
        <v>#VALUE!</v>
      </c>
      <c r="H2050" s="26" t="e">
        <f t="shared" si="1"/>
        <v>#VALUE!</v>
      </c>
      <c r="I2050" s="1" t="e">
        <f t="shared" si="2"/>
        <v>#VALUE!</v>
      </c>
    </row>
    <row r="2051" spans="1:9" ht="15.75" customHeight="1">
      <c r="A2051" s="26"/>
      <c r="B2051" s="2"/>
      <c r="C2051" s="26"/>
      <c r="D2051" s="26"/>
      <c r="F2051" s="85" t="str">
        <f t="shared" si="0"/>
        <v/>
      </c>
      <c r="G2051" s="1" t="e">
        <f>IF(VALUE(F2051) = VALUE(RIGHT(Insights!$C$3, 4)), E2051, "")</f>
        <v>#VALUE!</v>
      </c>
      <c r="H2051" s="26" t="e">
        <f t="shared" si="1"/>
        <v>#VALUE!</v>
      </c>
      <c r="I2051" s="1" t="e">
        <f t="shared" si="2"/>
        <v>#VALUE!</v>
      </c>
    </row>
    <row r="2052" spans="1:9" ht="15.75" customHeight="1">
      <c r="A2052" s="26"/>
      <c r="B2052" s="2"/>
      <c r="C2052" s="26"/>
      <c r="D2052" s="26"/>
      <c r="F2052" s="85" t="str">
        <f t="shared" si="0"/>
        <v/>
      </c>
      <c r="G2052" s="1" t="e">
        <f>IF(VALUE(F2052) = VALUE(RIGHT(Insights!$C$3, 4)), E2052, "")</f>
        <v>#VALUE!</v>
      </c>
      <c r="H2052" s="26" t="e">
        <f t="shared" si="1"/>
        <v>#VALUE!</v>
      </c>
      <c r="I2052" s="1" t="e">
        <f t="shared" si="2"/>
        <v>#VALUE!</v>
      </c>
    </row>
    <row r="2053" spans="1:9" ht="15.75" customHeight="1">
      <c r="A2053" s="26"/>
      <c r="B2053" s="2"/>
      <c r="C2053" s="26"/>
      <c r="D2053" s="26"/>
      <c r="F2053" s="85" t="str">
        <f t="shared" si="0"/>
        <v/>
      </c>
      <c r="G2053" s="1" t="e">
        <f>IF(VALUE(F2053) = VALUE(RIGHT(Insights!$C$3, 4)), E2053, "")</f>
        <v>#VALUE!</v>
      </c>
      <c r="H2053" s="26" t="e">
        <f t="shared" si="1"/>
        <v>#VALUE!</v>
      </c>
      <c r="I2053" s="1" t="e">
        <f t="shared" si="2"/>
        <v>#VALUE!</v>
      </c>
    </row>
    <row r="2054" spans="1:9" ht="15.75" customHeight="1">
      <c r="A2054" s="26"/>
      <c r="B2054" s="2"/>
      <c r="C2054" s="26"/>
      <c r="D2054" s="26"/>
      <c r="F2054" s="85" t="str">
        <f t="shared" si="0"/>
        <v/>
      </c>
      <c r="G2054" s="1" t="e">
        <f>IF(VALUE(F2054) = VALUE(RIGHT(Insights!$C$3, 4)), E2054, "")</f>
        <v>#VALUE!</v>
      </c>
      <c r="H2054" s="26" t="e">
        <f t="shared" si="1"/>
        <v>#VALUE!</v>
      </c>
      <c r="I2054" s="1" t="e">
        <f t="shared" si="2"/>
        <v>#VALUE!</v>
      </c>
    </row>
    <row r="2055" spans="1:9" ht="15.75" customHeight="1">
      <c r="A2055" s="26"/>
      <c r="B2055" s="2"/>
      <c r="C2055" s="26"/>
      <c r="D2055" s="26"/>
      <c r="F2055" s="85" t="str">
        <f t="shared" si="0"/>
        <v/>
      </c>
      <c r="G2055" s="1" t="e">
        <f>IF(VALUE(F2055) = VALUE(RIGHT(Insights!$C$3, 4)), E2055, "")</f>
        <v>#VALUE!</v>
      </c>
      <c r="H2055" s="26" t="e">
        <f t="shared" si="1"/>
        <v>#VALUE!</v>
      </c>
      <c r="I2055" s="1" t="e">
        <f t="shared" si="2"/>
        <v>#VALUE!</v>
      </c>
    </row>
    <row r="2056" spans="1:9" ht="15.75" customHeight="1">
      <c r="A2056" s="26"/>
      <c r="B2056" s="2"/>
      <c r="C2056" s="26"/>
      <c r="D2056" s="26"/>
      <c r="F2056" s="85" t="str">
        <f t="shared" si="0"/>
        <v/>
      </c>
      <c r="G2056" s="1" t="e">
        <f>IF(VALUE(F2056) = VALUE(RIGHT(Insights!$C$3, 4)), E2056, "")</f>
        <v>#VALUE!</v>
      </c>
      <c r="H2056" s="26" t="e">
        <f t="shared" si="1"/>
        <v>#VALUE!</v>
      </c>
      <c r="I2056" s="1" t="e">
        <f t="shared" si="2"/>
        <v>#VALUE!</v>
      </c>
    </row>
    <row r="2057" spans="1:9" ht="15.75" customHeight="1">
      <c r="A2057" s="26"/>
      <c r="B2057" s="2"/>
      <c r="C2057" s="26"/>
      <c r="D2057" s="26"/>
      <c r="F2057" s="85" t="str">
        <f t="shared" si="0"/>
        <v/>
      </c>
      <c r="G2057" s="1" t="e">
        <f>IF(VALUE(F2057) = VALUE(RIGHT(Insights!$C$3, 4)), E2057, "")</f>
        <v>#VALUE!</v>
      </c>
      <c r="H2057" s="26" t="e">
        <f t="shared" si="1"/>
        <v>#VALUE!</v>
      </c>
      <c r="I2057" s="1" t="e">
        <f t="shared" si="2"/>
        <v>#VALUE!</v>
      </c>
    </row>
    <row r="2058" spans="1:9" ht="15.75" customHeight="1">
      <c r="A2058" s="26"/>
      <c r="B2058" s="2"/>
      <c r="C2058" s="26"/>
      <c r="D2058" s="26"/>
      <c r="F2058" s="85" t="str">
        <f t="shared" si="0"/>
        <v/>
      </c>
      <c r="G2058" s="1" t="e">
        <f>IF(VALUE(F2058) = VALUE(RIGHT(Insights!$C$3, 4)), E2058, "")</f>
        <v>#VALUE!</v>
      </c>
      <c r="H2058" s="26" t="e">
        <f t="shared" si="1"/>
        <v>#VALUE!</v>
      </c>
      <c r="I2058" s="1" t="e">
        <f t="shared" si="2"/>
        <v>#VALUE!</v>
      </c>
    </row>
    <row r="2059" spans="1:9" ht="15.75" customHeight="1">
      <c r="A2059" s="26"/>
      <c r="B2059" s="2"/>
      <c r="C2059" s="26"/>
      <c r="D2059" s="26"/>
      <c r="F2059" s="85" t="str">
        <f t="shared" si="0"/>
        <v/>
      </c>
      <c r="G2059" s="1" t="e">
        <f>IF(VALUE(F2059) = VALUE(RIGHT(Insights!$C$3, 4)), E2059, "")</f>
        <v>#VALUE!</v>
      </c>
      <c r="H2059" s="26" t="e">
        <f t="shared" si="1"/>
        <v>#VALUE!</v>
      </c>
      <c r="I2059" s="1" t="e">
        <f t="shared" si="2"/>
        <v>#VALUE!</v>
      </c>
    </row>
    <row r="2060" spans="1:9" ht="15.75" customHeight="1">
      <c r="A2060" s="26"/>
      <c r="B2060" s="2"/>
      <c r="C2060" s="26"/>
      <c r="D2060" s="26"/>
      <c r="F2060" s="85" t="str">
        <f t="shared" si="0"/>
        <v/>
      </c>
      <c r="G2060" s="1" t="e">
        <f>IF(VALUE(F2060) = VALUE(RIGHT(Insights!$C$3, 4)), E2060, "")</f>
        <v>#VALUE!</v>
      </c>
      <c r="H2060" s="26" t="e">
        <f t="shared" si="1"/>
        <v>#VALUE!</v>
      </c>
      <c r="I2060" s="1" t="e">
        <f t="shared" si="2"/>
        <v>#VALUE!</v>
      </c>
    </row>
    <row r="2061" spans="1:9" ht="15.75" customHeight="1">
      <c r="A2061" s="26"/>
      <c r="B2061" s="2"/>
      <c r="C2061" s="26"/>
      <c r="D2061" s="26"/>
      <c r="F2061" s="85" t="str">
        <f t="shared" si="0"/>
        <v/>
      </c>
      <c r="G2061" s="1" t="e">
        <f>IF(VALUE(F2061) = VALUE(RIGHT(Insights!$C$3, 4)), E2061, "")</f>
        <v>#VALUE!</v>
      </c>
      <c r="H2061" s="26" t="e">
        <f t="shared" si="1"/>
        <v>#VALUE!</v>
      </c>
      <c r="I2061" s="1" t="e">
        <f t="shared" si="2"/>
        <v>#VALUE!</v>
      </c>
    </row>
    <row r="2062" spans="1:9" ht="15.75" customHeight="1">
      <c r="A2062" s="26"/>
      <c r="B2062" s="2"/>
      <c r="C2062" s="26"/>
      <c r="D2062" s="26"/>
      <c r="F2062" s="85" t="str">
        <f t="shared" si="0"/>
        <v/>
      </c>
      <c r="G2062" s="1" t="e">
        <f>IF(VALUE(F2062) = VALUE(RIGHT(Insights!$C$3, 4)), E2062, "")</f>
        <v>#VALUE!</v>
      </c>
      <c r="H2062" s="26" t="e">
        <f t="shared" si="1"/>
        <v>#VALUE!</v>
      </c>
      <c r="I2062" s="1" t="e">
        <f t="shared" si="2"/>
        <v>#VALUE!</v>
      </c>
    </row>
    <row r="2063" spans="1:9" ht="15.75" customHeight="1">
      <c r="A2063" s="26"/>
      <c r="B2063" s="2"/>
      <c r="C2063" s="26"/>
      <c r="D2063" s="26"/>
      <c r="F2063" s="85" t="str">
        <f t="shared" si="0"/>
        <v/>
      </c>
      <c r="G2063" s="1" t="e">
        <f>IF(VALUE(F2063) = VALUE(RIGHT(Insights!$C$3, 4)), E2063, "")</f>
        <v>#VALUE!</v>
      </c>
      <c r="H2063" s="26" t="e">
        <f t="shared" si="1"/>
        <v>#VALUE!</v>
      </c>
      <c r="I2063" s="1" t="e">
        <f t="shared" si="2"/>
        <v>#VALUE!</v>
      </c>
    </row>
    <row r="2064" spans="1:9" ht="15.75" customHeight="1">
      <c r="A2064" s="26"/>
      <c r="B2064" s="2"/>
      <c r="C2064" s="26"/>
      <c r="D2064" s="26"/>
      <c r="F2064" s="85" t="str">
        <f t="shared" si="0"/>
        <v/>
      </c>
      <c r="G2064" s="1" t="e">
        <f>IF(VALUE(F2064) = VALUE(RIGHT(Insights!$C$3, 4)), E2064, "")</f>
        <v>#VALUE!</v>
      </c>
      <c r="H2064" s="26" t="e">
        <f t="shared" si="1"/>
        <v>#VALUE!</v>
      </c>
      <c r="I2064" s="1" t="e">
        <f t="shared" si="2"/>
        <v>#VALUE!</v>
      </c>
    </row>
    <row r="2065" spans="1:9" ht="15.75" customHeight="1">
      <c r="A2065" s="26"/>
      <c r="B2065" s="2"/>
      <c r="C2065" s="26"/>
      <c r="D2065" s="26"/>
      <c r="F2065" s="85" t="str">
        <f t="shared" si="0"/>
        <v/>
      </c>
      <c r="G2065" s="1" t="e">
        <f>IF(VALUE(F2065) = VALUE(RIGHT(Insights!$C$3, 4)), E2065, "")</f>
        <v>#VALUE!</v>
      </c>
      <c r="H2065" s="26" t="e">
        <f t="shared" si="1"/>
        <v>#VALUE!</v>
      </c>
      <c r="I2065" s="1" t="e">
        <f t="shared" si="2"/>
        <v>#VALUE!</v>
      </c>
    </row>
    <row r="2066" spans="1:9" ht="15.75" customHeight="1">
      <c r="A2066" s="26"/>
      <c r="B2066" s="2"/>
      <c r="C2066" s="26"/>
      <c r="D2066" s="26"/>
      <c r="F2066" s="85" t="str">
        <f t="shared" si="0"/>
        <v/>
      </c>
      <c r="G2066" s="1" t="e">
        <f>IF(VALUE(F2066) = VALUE(RIGHT(Insights!$C$3, 4)), E2066, "")</f>
        <v>#VALUE!</v>
      </c>
      <c r="H2066" s="26" t="e">
        <f t="shared" si="1"/>
        <v>#VALUE!</v>
      </c>
      <c r="I2066" s="1" t="e">
        <f t="shared" si="2"/>
        <v>#VALUE!</v>
      </c>
    </row>
    <row r="2067" spans="1:9" ht="15.75" customHeight="1">
      <c r="A2067" s="26"/>
      <c r="B2067" s="2"/>
      <c r="C2067" s="26"/>
      <c r="D2067" s="26"/>
      <c r="F2067" s="85" t="str">
        <f t="shared" si="0"/>
        <v/>
      </c>
      <c r="G2067" s="1" t="e">
        <f>IF(VALUE(F2067) = VALUE(RIGHT(Insights!$C$3, 4)), E2067, "")</f>
        <v>#VALUE!</v>
      </c>
      <c r="H2067" s="26" t="e">
        <f t="shared" si="1"/>
        <v>#VALUE!</v>
      </c>
      <c r="I2067" s="1" t="e">
        <f t="shared" si="2"/>
        <v>#VALUE!</v>
      </c>
    </row>
    <row r="2068" spans="1:9" ht="15.75" customHeight="1">
      <c r="A2068" s="26"/>
      <c r="B2068" s="2"/>
      <c r="C2068" s="26"/>
      <c r="D2068" s="26"/>
      <c r="F2068" s="85" t="str">
        <f t="shared" si="0"/>
        <v/>
      </c>
      <c r="G2068" s="1" t="e">
        <f>IF(VALUE(F2068) = VALUE(RIGHT(Insights!$C$3, 4)), E2068, "")</f>
        <v>#VALUE!</v>
      </c>
      <c r="H2068" s="26" t="e">
        <f t="shared" si="1"/>
        <v>#VALUE!</v>
      </c>
      <c r="I2068" s="1" t="e">
        <f t="shared" si="2"/>
        <v>#VALUE!</v>
      </c>
    </row>
    <row r="2069" spans="1:9" ht="15.75" customHeight="1">
      <c r="A2069" s="26"/>
      <c r="B2069" s="2"/>
      <c r="C2069" s="26"/>
      <c r="D2069" s="26"/>
      <c r="F2069" s="85" t="str">
        <f t="shared" si="0"/>
        <v/>
      </c>
      <c r="G2069" s="1" t="e">
        <f>IF(VALUE(F2069) = VALUE(RIGHT(Insights!$C$3, 4)), E2069, "")</f>
        <v>#VALUE!</v>
      </c>
      <c r="H2069" s="26" t="e">
        <f t="shared" si="1"/>
        <v>#VALUE!</v>
      </c>
      <c r="I2069" s="1" t="e">
        <f t="shared" si="2"/>
        <v>#VALUE!</v>
      </c>
    </row>
    <row r="2070" spans="1:9" ht="15.75" customHeight="1">
      <c r="A2070" s="26"/>
      <c r="B2070" s="2"/>
      <c r="C2070" s="26"/>
      <c r="D2070" s="26"/>
      <c r="F2070" s="85" t="str">
        <f t="shared" si="0"/>
        <v/>
      </c>
      <c r="G2070" s="1" t="e">
        <f>IF(VALUE(F2070) = VALUE(RIGHT(Insights!$C$3, 4)), E2070, "")</f>
        <v>#VALUE!</v>
      </c>
      <c r="H2070" s="26" t="e">
        <f t="shared" si="1"/>
        <v>#VALUE!</v>
      </c>
      <c r="I2070" s="1" t="e">
        <f t="shared" si="2"/>
        <v>#VALUE!</v>
      </c>
    </row>
    <row r="2071" spans="1:9" ht="15.75" customHeight="1">
      <c r="A2071" s="26"/>
      <c r="B2071" s="2"/>
      <c r="C2071" s="26"/>
      <c r="D2071" s="26"/>
      <c r="F2071" s="85" t="str">
        <f t="shared" si="0"/>
        <v/>
      </c>
      <c r="G2071" s="1" t="e">
        <f>IF(VALUE(F2071) = VALUE(RIGHT(Insights!$C$3, 4)), E2071, "")</f>
        <v>#VALUE!</v>
      </c>
      <c r="H2071" s="26" t="e">
        <f t="shared" si="1"/>
        <v>#VALUE!</v>
      </c>
      <c r="I2071" s="1" t="e">
        <f t="shared" si="2"/>
        <v>#VALUE!</v>
      </c>
    </row>
    <row r="2072" spans="1:9" ht="15.75" customHeight="1">
      <c r="A2072" s="26"/>
      <c r="B2072" s="2"/>
      <c r="C2072" s="26"/>
      <c r="D2072" s="26"/>
      <c r="F2072" s="85" t="str">
        <f t="shared" si="0"/>
        <v/>
      </c>
      <c r="G2072" s="1" t="e">
        <f>IF(VALUE(F2072) = VALUE(RIGHT(Insights!$C$3, 4)), E2072, "")</f>
        <v>#VALUE!</v>
      </c>
      <c r="H2072" s="26" t="e">
        <f t="shared" si="1"/>
        <v>#VALUE!</v>
      </c>
      <c r="I2072" s="1" t="e">
        <f t="shared" si="2"/>
        <v>#VALUE!</v>
      </c>
    </row>
    <row r="2073" spans="1:9" ht="15.75" customHeight="1">
      <c r="A2073" s="26"/>
      <c r="B2073" s="2"/>
      <c r="C2073" s="26"/>
      <c r="D2073" s="26"/>
      <c r="F2073" s="85" t="str">
        <f t="shared" si="0"/>
        <v/>
      </c>
      <c r="G2073" s="1" t="e">
        <f>IF(VALUE(F2073) = VALUE(RIGHT(Insights!$C$3, 4)), E2073, "")</f>
        <v>#VALUE!</v>
      </c>
      <c r="H2073" s="26" t="e">
        <f t="shared" si="1"/>
        <v>#VALUE!</v>
      </c>
      <c r="I2073" s="1" t="e">
        <f t="shared" si="2"/>
        <v>#VALUE!</v>
      </c>
    </row>
    <row r="2074" spans="1:9" ht="15.75" customHeight="1">
      <c r="A2074" s="26"/>
      <c r="B2074" s="2"/>
      <c r="C2074" s="26"/>
      <c r="D2074" s="26"/>
      <c r="F2074" s="85" t="str">
        <f t="shared" si="0"/>
        <v/>
      </c>
      <c r="G2074" s="1" t="e">
        <f>IF(VALUE(F2074) = VALUE(RIGHT(Insights!$C$3, 4)), E2074, "")</f>
        <v>#VALUE!</v>
      </c>
      <c r="H2074" s="26" t="e">
        <f t="shared" si="1"/>
        <v>#VALUE!</v>
      </c>
      <c r="I2074" s="1" t="e">
        <f t="shared" si="2"/>
        <v>#VALUE!</v>
      </c>
    </row>
    <row r="2075" spans="1:9" ht="15.75" customHeight="1">
      <c r="A2075" s="26"/>
      <c r="B2075" s="2"/>
      <c r="C2075" s="26"/>
      <c r="D2075" s="26"/>
      <c r="F2075" s="85" t="str">
        <f t="shared" si="0"/>
        <v/>
      </c>
      <c r="G2075" s="1" t="e">
        <f>IF(VALUE(F2075) = VALUE(RIGHT(Insights!$C$3, 4)), E2075, "")</f>
        <v>#VALUE!</v>
      </c>
      <c r="H2075" s="26" t="e">
        <f t="shared" si="1"/>
        <v>#VALUE!</v>
      </c>
      <c r="I2075" s="1" t="e">
        <f t="shared" si="2"/>
        <v>#VALUE!</v>
      </c>
    </row>
    <row r="2076" spans="1:9" ht="15.75" customHeight="1">
      <c r="A2076" s="26"/>
      <c r="B2076" s="2"/>
      <c r="C2076" s="26"/>
      <c r="D2076" s="26"/>
      <c r="F2076" s="85" t="str">
        <f t="shared" si="0"/>
        <v/>
      </c>
      <c r="G2076" s="1" t="e">
        <f>IF(VALUE(F2076) = VALUE(RIGHT(Insights!$C$3, 4)), E2076, "")</f>
        <v>#VALUE!</v>
      </c>
      <c r="H2076" s="26" t="e">
        <f t="shared" si="1"/>
        <v>#VALUE!</v>
      </c>
      <c r="I2076" s="1" t="e">
        <f t="shared" si="2"/>
        <v>#VALUE!</v>
      </c>
    </row>
    <row r="2077" spans="1:9" ht="15.75" customHeight="1">
      <c r="A2077" s="26"/>
      <c r="B2077" s="2"/>
      <c r="C2077" s="26"/>
      <c r="D2077" s="26"/>
      <c r="F2077" s="85" t="str">
        <f t="shared" si="0"/>
        <v/>
      </c>
      <c r="G2077" s="1" t="e">
        <f>IF(VALUE(F2077) = VALUE(RIGHT(Insights!$C$3, 4)), E2077, "")</f>
        <v>#VALUE!</v>
      </c>
      <c r="H2077" s="26" t="e">
        <f t="shared" si="1"/>
        <v>#VALUE!</v>
      </c>
      <c r="I2077" s="1" t="e">
        <f t="shared" si="2"/>
        <v>#VALUE!</v>
      </c>
    </row>
    <row r="2078" spans="1:9" ht="15.75" customHeight="1">
      <c r="A2078" s="26"/>
      <c r="B2078" s="2"/>
      <c r="C2078" s="26"/>
      <c r="D2078" s="26"/>
      <c r="F2078" s="85" t="str">
        <f t="shared" si="0"/>
        <v/>
      </c>
      <c r="G2078" s="1" t="e">
        <f>IF(VALUE(F2078) = VALUE(RIGHT(Insights!$C$3, 4)), E2078, "")</f>
        <v>#VALUE!</v>
      </c>
      <c r="H2078" s="26" t="e">
        <f t="shared" si="1"/>
        <v>#VALUE!</v>
      </c>
      <c r="I2078" s="1" t="e">
        <f t="shared" si="2"/>
        <v>#VALUE!</v>
      </c>
    </row>
    <row r="2079" spans="1:9" ht="15.75" customHeight="1">
      <c r="A2079" s="26"/>
      <c r="B2079" s="2"/>
      <c r="C2079" s="26"/>
      <c r="D2079" s="26"/>
      <c r="F2079" s="85" t="str">
        <f t="shared" si="0"/>
        <v/>
      </c>
      <c r="G2079" s="1" t="e">
        <f>IF(VALUE(F2079) = VALUE(RIGHT(Insights!$C$3, 4)), E2079, "")</f>
        <v>#VALUE!</v>
      </c>
      <c r="H2079" s="26" t="e">
        <f t="shared" si="1"/>
        <v>#VALUE!</v>
      </c>
      <c r="I2079" s="1" t="e">
        <f t="shared" si="2"/>
        <v>#VALUE!</v>
      </c>
    </row>
    <row r="2080" spans="1:9" ht="15.75" customHeight="1">
      <c r="A2080" s="26"/>
      <c r="B2080" s="2"/>
      <c r="C2080" s="26"/>
      <c r="D2080" s="26"/>
      <c r="F2080" s="85" t="str">
        <f t="shared" si="0"/>
        <v/>
      </c>
      <c r="G2080" s="1" t="e">
        <f>IF(VALUE(F2080) = VALUE(RIGHT(Insights!$C$3, 4)), E2080, "")</f>
        <v>#VALUE!</v>
      </c>
      <c r="H2080" s="26" t="e">
        <f t="shared" si="1"/>
        <v>#VALUE!</v>
      </c>
      <c r="I2080" s="1" t="e">
        <f t="shared" si="2"/>
        <v>#VALUE!</v>
      </c>
    </row>
    <row r="2081" spans="1:9" ht="15.75" customHeight="1">
      <c r="A2081" s="26"/>
      <c r="B2081" s="2"/>
      <c r="C2081" s="26"/>
      <c r="D2081" s="26"/>
      <c r="F2081" s="85" t="str">
        <f t="shared" si="0"/>
        <v/>
      </c>
      <c r="G2081" s="1" t="e">
        <f>IF(VALUE(F2081) = VALUE(RIGHT(Insights!$C$3, 4)), E2081, "")</f>
        <v>#VALUE!</v>
      </c>
      <c r="H2081" s="26" t="e">
        <f t="shared" si="1"/>
        <v>#VALUE!</v>
      </c>
      <c r="I2081" s="1" t="e">
        <f t="shared" si="2"/>
        <v>#VALUE!</v>
      </c>
    </row>
    <row r="2082" spans="1:9" ht="15.75" customHeight="1">
      <c r="A2082" s="26"/>
      <c r="B2082" s="2"/>
      <c r="C2082" s="26"/>
      <c r="D2082" s="26"/>
      <c r="F2082" s="85" t="str">
        <f t="shared" si="0"/>
        <v/>
      </c>
      <c r="G2082" s="1" t="e">
        <f>IF(VALUE(F2082) = VALUE(RIGHT(Insights!$C$3, 4)), E2082, "")</f>
        <v>#VALUE!</v>
      </c>
      <c r="H2082" s="26" t="e">
        <f t="shared" si="1"/>
        <v>#VALUE!</v>
      </c>
      <c r="I2082" s="1" t="e">
        <f t="shared" si="2"/>
        <v>#VALUE!</v>
      </c>
    </row>
    <row r="2083" spans="1:9" ht="15.75" customHeight="1">
      <c r="A2083" s="26"/>
      <c r="B2083" s="2"/>
      <c r="C2083" s="26"/>
      <c r="D2083" s="26"/>
      <c r="F2083" s="85" t="str">
        <f t="shared" si="0"/>
        <v/>
      </c>
      <c r="G2083" s="1" t="e">
        <f>IF(VALUE(F2083) = VALUE(RIGHT(Insights!$C$3, 4)), E2083, "")</f>
        <v>#VALUE!</v>
      </c>
      <c r="H2083" s="26" t="e">
        <f t="shared" si="1"/>
        <v>#VALUE!</v>
      </c>
      <c r="I2083" s="1" t="e">
        <f t="shared" si="2"/>
        <v>#VALUE!</v>
      </c>
    </row>
    <row r="2084" spans="1:9" ht="15.75" customHeight="1">
      <c r="A2084" s="26"/>
      <c r="B2084" s="2"/>
      <c r="C2084" s="26"/>
      <c r="D2084" s="26"/>
      <c r="F2084" s="85" t="str">
        <f t="shared" si="0"/>
        <v/>
      </c>
      <c r="G2084" s="1" t="e">
        <f>IF(VALUE(F2084) = VALUE(RIGHT(Insights!$C$3, 4)), E2084, "")</f>
        <v>#VALUE!</v>
      </c>
      <c r="H2084" s="26" t="e">
        <f t="shared" si="1"/>
        <v>#VALUE!</v>
      </c>
      <c r="I2084" s="1" t="e">
        <f t="shared" si="2"/>
        <v>#VALUE!</v>
      </c>
    </row>
    <row r="2085" spans="1:9" ht="15.75" customHeight="1">
      <c r="A2085" s="26"/>
      <c r="B2085" s="2"/>
      <c r="C2085" s="26"/>
      <c r="D2085" s="26"/>
      <c r="F2085" s="85" t="str">
        <f t="shared" si="0"/>
        <v/>
      </c>
      <c r="G2085" s="1" t="e">
        <f>IF(VALUE(F2085) = VALUE(RIGHT(Insights!$C$3, 4)), E2085, "")</f>
        <v>#VALUE!</v>
      </c>
      <c r="H2085" s="26" t="e">
        <f t="shared" si="1"/>
        <v>#VALUE!</v>
      </c>
      <c r="I2085" s="1" t="e">
        <f t="shared" si="2"/>
        <v>#VALUE!</v>
      </c>
    </row>
    <row r="2086" spans="1:9" ht="15.75" customHeight="1">
      <c r="A2086" s="26"/>
      <c r="B2086" s="2"/>
      <c r="C2086" s="26"/>
      <c r="D2086" s="26"/>
      <c r="F2086" s="85" t="str">
        <f t="shared" si="0"/>
        <v/>
      </c>
      <c r="G2086" s="1" t="e">
        <f>IF(VALUE(F2086) = VALUE(RIGHT(Insights!$C$3, 4)), E2086, "")</f>
        <v>#VALUE!</v>
      </c>
      <c r="H2086" s="26" t="e">
        <f t="shared" si="1"/>
        <v>#VALUE!</v>
      </c>
      <c r="I2086" s="1" t="e">
        <f t="shared" si="2"/>
        <v>#VALUE!</v>
      </c>
    </row>
    <row r="2087" spans="1:9" ht="15.75" customHeight="1">
      <c r="A2087" s="26"/>
      <c r="B2087" s="2"/>
      <c r="C2087" s="26"/>
      <c r="D2087" s="26"/>
      <c r="F2087" s="85" t="str">
        <f t="shared" si="0"/>
        <v/>
      </c>
      <c r="G2087" s="1" t="e">
        <f>IF(VALUE(F2087) = VALUE(RIGHT(Insights!$C$3, 4)), E2087, "")</f>
        <v>#VALUE!</v>
      </c>
      <c r="H2087" s="26" t="e">
        <f t="shared" si="1"/>
        <v>#VALUE!</v>
      </c>
      <c r="I2087" s="1" t="e">
        <f t="shared" si="2"/>
        <v>#VALUE!</v>
      </c>
    </row>
    <row r="2088" spans="1:9" ht="15.75" customHeight="1">
      <c r="A2088" s="26"/>
      <c r="B2088" s="2"/>
      <c r="C2088" s="26"/>
      <c r="D2088" s="26"/>
      <c r="F2088" s="85" t="str">
        <f t="shared" si="0"/>
        <v/>
      </c>
      <c r="G2088" s="1" t="e">
        <f>IF(VALUE(F2088) = VALUE(RIGHT(Insights!$C$3, 4)), E2088, "")</f>
        <v>#VALUE!</v>
      </c>
      <c r="H2088" s="26" t="e">
        <f t="shared" si="1"/>
        <v>#VALUE!</v>
      </c>
      <c r="I2088" s="1" t="e">
        <f t="shared" si="2"/>
        <v>#VALUE!</v>
      </c>
    </row>
    <row r="2089" spans="1:9" ht="15.75" customHeight="1">
      <c r="A2089" s="26"/>
      <c r="B2089" s="2"/>
      <c r="C2089" s="26"/>
      <c r="D2089" s="26"/>
      <c r="F2089" s="85" t="str">
        <f t="shared" si="0"/>
        <v/>
      </c>
      <c r="G2089" s="1" t="e">
        <f>IF(VALUE(F2089) = VALUE(RIGHT(Insights!$C$3, 4)), E2089, "")</f>
        <v>#VALUE!</v>
      </c>
      <c r="H2089" s="26" t="e">
        <f t="shared" si="1"/>
        <v>#VALUE!</v>
      </c>
      <c r="I2089" s="1" t="e">
        <f t="shared" si="2"/>
        <v>#VALUE!</v>
      </c>
    </row>
    <row r="2090" spans="1:9" ht="15.75" customHeight="1">
      <c r="A2090" s="26"/>
      <c r="B2090" s="2"/>
      <c r="C2090" s="26"/>
      <c r="D2090" s="26"/>
      <c r="F2090" s="85" t="str">
        <f t="shared" si="0"/>
        <v/>
      </c>
      <c r="G2090" s="1" t="e">
        <f>IF(VALUE(F2090) = VALUE(RIGHT(Insights!$C$3, 4)), E2090, "")</f>
        <v>#VALUE!</v>
      </c>
      <c r="H2090" s="26" t="e">
        <f t="shared" si="1"/>
        <v>#VALUE!</v>
      </c>
      <c r="I2090" s="1" t="e">
        <f t="shared" si="2"/>
        <v>#VALUE!</v>
      </c>
    </row>
    <row r="2091" spans="1:9" ht="15.75" customHeight="1">
      <c r="A2091" s="26"/>
      <c r="B2091" s="2"/>
      <c r="C2091" s="26"/>
      <c r="D2091" s="26"/>
      <c r="F2091" s="85" t="str">
        <f t="shared" si="0"/>
        <v/>
      </c>
      <c r="G2091" s="1" t="e">
        <f>IF(VALUE(F2091) = VALUE(RIGHT(Insights!$C$3, 4)), E2091, "")</f>
        <v>#VALUE!</v>
      </c>
      <c r="H2091" s="26" t="e">
        <f t="shared" si="1"/>
        <v>#VALUE!</v>
      </c>
      <c r="I2091" s="1" t="e">
        <f t="shared" si="2"/>
        <v>#VALUE!</v>
      </c>
    </row>
    <row r="2092" spans="1:9" ht="15.75" customHeight="1">
      <c r="A2092" s="26"/>
      <c r="B2092" s="2"/>
      <c r="C2092" s="26"/>
      <c r="D2092" s="26"/>
      <c r="F2092" s="85" t="str">
        <f t="shared" si="0"/>
        <v/>
      </c>
      <c r="G2092" s="1" t="e">
        <f>IF(VALUE(F2092) = VALUE(RIGHT(Insights!$C$3, 4)), E2092, "")</f>
        <v>#VALUE!</v>
      </c>
      <c r="H2092" s="26" t="e">
        <f t="shared" si="1"/>
        <v>#VALUE!</v>
      </c>
      <c r="I2092" s="1" t="e">
        <f t="shared" si="2"/>
        <v>#VALUE!</v>
      </c>
    </row>
    <row r="2093" spans="1:9" ht="15.75" customHeight="1">
      <c r="A2093" s="26"/>
      <c r="B2093" s="2"/>
      <c r="C2093" s="26"/>
      <c r="D2093" s="26"/>
      <c r="F2093" s="85" t="str">
        <f t="shared" si="0"/>
        <v/>
      </c>
      <c r="G2093" s="1" t="e">
        <f>IF(VALUE(F2093) = VALUE(RIGHT(Insights!$C$3, 4)), E2093, "")</f>
        <v>#VALUE!</v>
      </c>
      <c r="H2093" s="26" t="e">
        <f t="shared" si="1"/>
        <v>#VALUE!</v>
      </c>
      <c r="I2093" s="1" t="e">
        <f t="shared" si="2"/>
        <v>#VALUE!</v>
      </c>
    </row>
    <row r="2094" spans="1:9" ht="15.75" customHeight="1">
      <c r="A2094" s="26"/>
      <c r="B2094" s="2"/>
      <c r="C2094" s="26"/>
      <c r="D2094" s="26"/>
      <c r="F2094" s="85" t="str">
        <f t="shared" si="0"/>
        <v/>
      </c>
      <c r="G2094" s="1" t="e">
        <f>IF(VALUE(F2094) = VALUE(RIGHT(Insights!$C$3, 4)), E2094, "")</f>
        <v>#VALUE!</v>
      </c>
      <c r="H2094" s="26" t="e">
        <f t="shared" si="1"/>
        <v>#VALUE!</v>
      </c>
      <c r="I2094" s="1" t="e">
        <f t="shared" si="2"/>
        <v>#VALUE!</v>
      </c>
    </row>
    <row r="2095" spans="1:9" ht="15.75" customHeight="1">
      <c r="A2095" s="26"/>
      <c r="B2095" s="2"/>
      <c r="C2095" s="26"/>
      <c r="D2095" s="26"/>
      <c r="F2095" s="85" t="str">
        <f t="shared" si="0"/>
        <v/>
      </c>
      <c r="G2095" s="1" t="e">
        <f>IF(VALUE(F2095) = VALUE(RIGHT(Insights!$C$3, 4)), E2095, "")</f>
        <v>#VALUE!</v>
      </c>
      <c r="H2095" s="26" t="e">
        <f t="shared" si="1"/>
        <v>#VALUE!</v>
      </c>
      <c r="I2095" s="1" t="e">
        <f t="shared" si="2"/>
        <v>#VALUE!</v>
      </c>
    </row>
    <row r="2096" spans="1:9" ht="15.75" customHeight="1">
      <c r="A2096" s="26"/>
      <c r="B2096" s="2"/>
      <c r="C2096" s="26"/>
      <c r="D2096" s="26"/>
      <c r="F2096" s="85" t="str">
        <f t="shared" si="0"/>
        <v/>
      </c>
      <c r="G2096" s="1" t="e">
        <f>IF(VALUE(F2096) = VALUE(RIGHT(Insights!$C$3, 4)), E2096, "")</f>
        <v>#VALUE!</v>
      </c>
      <c r="H2096" s="26" t="e">
        <f t="shared" si="1"/>
        <v>#VALUE!</v>
      </c>
      <c r="I2096" s="1" t="e">
        <f t="shared" si="2"/>
        <v>#VALUE!</v>
      </c>
    </row>
    <row r="2097" spans="1:9" ht="15.75" customHeight="1">
      <c r="A2097" s="26"/>
      <c r="B2097" s="2"/>
      <c r="C2097" s="26"/>
      <c r="D2097" s="26"/>
      <c r="F2097" s="85" t="str">
        <f t="shared" si="0"/>
        <v/>
      </c>
      <c r="G2097" s="1" t="e">
        <f>IF(VALUE(F2097) = VALUE(RIGHT(Insights!$C$3, 4)), E2097, "")</f>
        <v>#VALUE!</v>
      </c>
      <c r="H2097" s="26" t="e">
        <f t="shared" si="1"/>
        <v>#VALUE!</v>
      </c>
      <c r="I2097" s="1" t="e">
        <f t="shared" si="2"/>
        <v>#VALUE!</v>
      </c>
    </row>
    <row r="2098" spans="1:9" ht="15.75" customHeight="1">
      <c r="A2098" s="26"/>
      <c r="B2098" s="2"/>
      <c r="C2098" s="26"/>
      <c r="D2098" s="26"/>
      <c r="F2098" s="85" t="str">
        <f t="shared" si="0"/>
        <v/>
      </c>
      <c r="G2098" s="1" t="e">
        <f>IF(VALUE(F2098) = VALUE(RIGHT(Insights!$C$3, 4)), E2098, "")</f>
        <v>#VALUE!</v>
      </c>
      <c r="H2098" s="26" t="e">
        <f t="shared" si="1"/>
        <v>#VALUE!</v>
      </c>
      <c r="I2098" s="1" t="e">
        <f t="shared" si="2"/>
        <v>#VALUE!</v>
      </c>
    </row>
    <row r="2099" spans="1:9" ht="15.75" customHeight="1">
      <c r="A2099" s="26"/>
      <c r="B2099" s="2"/>
      <c r="C2099" s="26"/>
      <c r="D2099" s="26"/>
      <c r="F2099" s="85" t="str">
        <f t="shared" si="0"/>
        <v/>
      </c>
      <c r="G2099" s="1" t="e">
        <f>IF(VALUE(F2099) = VALUE(RIGHT(Insights!$C$3, 4)), E2099, "")</f>
        <v>#VALUE!</v>
      </c>
      <c r="H2099" s="26" t="e">
        <f t="shared" si="1"/>
        <v>#VALUE!</v>
      </c>
      <c r="I2099" s="1" t="e">
        <f t="shared" si="2"/>
        <v>#VALUE!</v>
      </c>
    </row>
    <row r="2100" spans="1:9" ht="15.75" customHeight="1">
      <c r="A2100" s="26"/>
      <c r="B2100" s="2"/>
      <c r="C2100" s="26"/>
      <c r="D2100" s="26"/>
      <c r="F2100" s="85" t="str">
        <f t="shared" si="0"/>
        <v/>
      </c>
      <c r="G2100" s="1" t="e">
        <f>IF(VALUE(F2100) = VALUE(RIGHT(Insights!$C$3, 4)), E2100, "")</f>
        <v>#VALUE!</v>
      </c>
      <c r="H2100" s="26" t="e">
        <f t="shared" si="1"/>
        <v>#VALUE!</v>
      </c>
      <c r="I2100" s="1" t="e">
        <f t="shared" si="2"/>
        <v>#VALUE!</v>
      </c>
    </row>
    <row r="2101" spans="1:9" ht="15.75" customHeight="1">
      <c r="A2101" s="26"/>
      <c r="B2101" s="2"/>
      <c r="C2101" s="26"/>
      <c r="D2101" s="26"/>
      <c r="F2101" s="85" t="str">
        <f t="shared" si="0"/>
        <v/>
      </c>
      <c r="G2101" s="1" t="e">
        <f>IF(VALUE(F2101) = VALUE(RIGHT(Insights!$C$3, 4)), E2101, "")</f>
        <v>#VALUE!</v>
      </c>
      <c r="H2101" s="26" t="e">
        <f t="shared" si="1"/>
        <v>#VALUE!</v>
      </c>
      <c r="I2101" s="1" t="e">
        <f t="shared" si="2"/>
        <v>#VALUE!</v>
      </c>
    </row>
    <row r="2102" spans="1:9" ht="15.75" customHeight="1">
      <c r="A2102" s="26"/>
      <c r="B2102" s="2"/>
      <c r="C2102" s="26"/>
      <c r="D2102" s="26"/>
      <c r="F2102" s="85" t="str">
        <f t="shared" si="0"/>
        <v/>
      </c>
      <c r="G2102" s="1" t="e">
        <f>IF(VALUE(F2102) = VALUE(RIGHT(Insights!$C$3, 4)), E2102, "")</f>
        <v>#VALUE!</v>
      </c>
      <c r="H2102" s="26" t="e">
        <f t="shared" si="1"/>
        <v>#VALUE!</v>
      </c>
      <c r="I2102" s="1" t="e">
        <f t="shared" si="2"/>
        <v>#VALUE!</v>
      </c>
    </row>
    <row r="2103" spans="1:9" ht="15.75" customHeight="1">
      <c r="A2103" s="26"/>
      <c r="B2103" s="2"/>
      <c r="C2103" s="26"/>
      <c r="D2103" s="26"/>
      <c r="F2103" s="85" t="str">
        <f t="shared" si="0"/>
        <v/>
      </c>
      <c r="G2103" s="1" t="e">
        <f>IF(VALUE(F2103) = VALUE(RIGHT(Insights!$C$3, 4)), E2103, "")</f>
        <v>#VALUE!</v>
      </c>
      <c r="H2103" s="26" t="e">
        <f t="shared" si="1"/>
        <v>#VALUE!</v>
      </c>
      <c r="I2103" s="1" t="e">
        <f t="shared" si="2"/>
        <v>#VALUE!</v>
      </c>
    </row>
    <row r="2104" spans="1:9" ht="15.75" customHeight="1">
      <c r="A2104" s="26"/>
      <c r="B2104" s="2"/>
      <c r="C2104" s="26"/>
      <c r="D2104" s="26"/>
      <c r="F2104" s="85" t="str">
        <f t="shared" si="0"/>
        <v/>
      </c>
      <c r="G2104" s="1" t="e">
        <f>IF(VALUE(F2104) = VALUE(RIGHT(Insights!$C$3, 4)), E2104, "")</f>
        <v>#VALUE!</v>
      </c>
      <c r="H2104" s="26" t="e">
        <f t="shared" si="1"/>
        <v>#VALUE!</v>
      </c>
      <c r="I2104" s="1" t="e">
        <f t="shared" si="2"/>
        <v>#VALUE!</v>
      </c>
    </row>
    <row r="2105" spans="1:9" ht="15.75" customHeight="1">
      <c r="A2105" s="26"/>
      <c r="B2105" s="2"/>
      <c r="C2105" s="26"/>
      <c r="D2105" s="26"/>
      <c r="F2105" s="85" t="str">
        <f t="shared" si="0"/>
        <v/>
      </c>
      <c r="G2105" s="1" t="e">
        <f>IF(VALUE(F2105) = VALUE(RIGHT(Insights!$C$3, 4)), E2105, "")</f>
        <v>#VALUE!</v>
      </c>
      <c r="H2105" s="26" t="e">
        <f t="shared" si="1"/>
        <v>#VALUE!</v>
      </c>
      <c r="I2105" s="1" t="e">
        <f t="shared" si="2"/>
        <v>#VALUE!</v>
      </c>
    </row>
    <row r="2106" spans="1:9" ht="15.75" customHeight="1">
      <c r="A2106" s="26"/>
      <c r="B2106" s="2"/>
      <c r="C2106" s="26"/>
      <c r="D2106" s="26"/>
      <c r="F2106" s="85" t="str">
        <f t="shared" si="0"/>
        <v/>
      </c>
      <c r="G2106" s="1" t="e">
        <f>IF(VALUE(F2106) = VALUE(RIGHT(Insights!$C$3, 4)), E2106, "")</f>
        <v>#VALUE!</v>
      </c>
      <c r="H2106" s="26" t="e">
        <f t="shared" si="1"/>
        <v>#VALUE!</v>
      </c>
      <c r="I2106" s="1" t="e">
        <f t="shared" si="2"/>
        <v>#VALUE!</v>
      </c>
    </row>
    <row r="2107" spans="1:9" ht="15.75" customHeight="1">
      <c r="A2107" s="26"/>
      <c r="B2107" s="2"/>
      <c r="C2107" s="26"/>
      <c r="D2107" s="26"/>
      <c r="F2107" s="85" t="str">
        <f t="shared" si="0"/>
        <v/>
      </c>
      <c r="G2107" s="1" t="e">
        <f>IF(VALUE(F2107) = VALUE(RIGHT(Insights!$C$3, 4)), E2107, "")</f>
        <v>#VALUE!</v>
      </c>
      <c r="H2107" s="26" t="e">
        <f t="shared" si="1"/>
        <v>#VALUE!</v>
      </c>
      <c r="I2107" s="1" t="e">
        <f t="shared" si="2"/>
        <v>#VALUE!</v>
      </c>
    </row>
    <row r="2108" spans="1:9" ht="15.75" customHeight="1">
      <c r="A2108" s="26"/>
      <c r="B2108" s="2"/>
      <c r="C2108" s="26"/>
      <c r="D2108" s="26"/>
      <c r="F2108" s="85" t="str">
        <f t="shared" si="0"/>
        <v/>
      </c>
      <c r="G2108" s="1" t="e">
        <f>IF(VALUE(F2108) = VALUE(RIGHT(Insights!$C$3, 4)), E2108, "")</f>
        <v>#VALUE!</v>
      </c>
      <c r="H2108" s="26" t="e">
        <f t="shared" si="1"/>
        <v>#VALUE!</v>
      </c>
      <c r="I2108" s="1" t="e">
        <f t="shared" si="2"/>
        <v>#VALUE!</v>
      </c>
    </row>
    <row r="2109" spans="1:9" ht="15.75" customHeight="1">
      <c r="A2109" s="26"/>
      <c r="B2109" s="2"/>
      <c r="C2109" s="26"/>
      <c r="D2109" s="26"/>
      <c r="F2109" s="85" t="str">
        <f t="shared" si="0"/>
        <v/>
      </c>
      <c r="G2109" s="1" t="e">
        <f>IF(VALUE(F2109) = VALUE(RIGHT(Insights!$C$3, 4)), E2109, "")</f>
        <v>#VALUE!</v>
      </c>
      <c r="H2109" s="26" t="e">
        <f t="shared" si="1"/>
        <v>#VALUE!</v>
      </c>
      <c r="I2109" s="1" t="e">
        <f t="shared" si="2"/>
        <v>#VALUE!</v>
      </c>
    </row>
    <row r="2110" spans="1:9" ht="15.75" customHeight="1">
      <c r="A2110" s="26"/>
      <c r="B2110" s="2"/>
      <c r="C2110" s="26"/>
      <c r="D2110" s="26"/>
      <c r="F2110" s="85" t="str">
        <f t="shared" si="0"/>
        <v/>
      </c>
      <c r="G2110" s="1" t="e">
        <f>IF(VALUE(F2110) = VALUE(RIGHT(Insights!$C$3, 4)), E2110, "")</f>
        <v>#VALUE!</v>
      </c>
      <c r="H2110" s="26" t="e">
        <f t="shared" si="1"/>
        <v>#VALUE!</v>
      </c>
      <c r="I2110" s="1" t="e">
        <f t="shared" si="2"/>
        <v>#VALUE!</v>
      </c>
    </row>
    <row r="2111" spans="1:9" ht="15.75" customHeight="1">
      <c r="A2111" s="26"/>
      <c r="B2111" s="2"/>
      <c r="C2111" s="26"/>
      <c r="D2111" s="26"/>
      <c r="F2111" s="85" t="str">
        <f t="shared" si="0"/>
        <v/>
      </c>
      <c r="G2111" s="1" t="e">
        <f>IF(VALUE(F2111) = VALUE(RIGHT(Insights!$C$3, 4)), E2111, "")</f>
        <v>#VALUE!</v>
      </c>
      <c r="H2111" s="26" t="e">
        <f t="shared" si="1"/>
        <v>#VALUE!</v>
      </c>
      <c r="I2111" s="1" t="e">
        <f t="shared" si="2"/>
        <v>#VALUE!</v>
      </c>
    </row>
    <row r="2112" spans="1:9" ht="15.75" customHeight="1">
      <c r="A2112" s="26"/>
      <c r="B2112" s="2"/>
      <c r="C2112" s="26"/>
      <c r="D2112" s="26"/>
      <c r="F2112" s="85" t="str">
        <f t="shared" si="0"/>
        <v/>
      </c>
      <c r="G2112" s="1" t="e">
        <f>IF(VALUE(F2112) = VALUE(RIGHT(Insights!$C$3, 4)), E2112, "")</f>
        <v>#VALUE!</v>
      </c>
      <c r="H2112" s="26" t="e">
        <f t="shared" si="1"/>
        <v>#VALUE!</v>
      </c>
      <c r="I2112" s="1" t="e">
        <f t="shared" si="2"/>
        <v>#VALUE!</v>
      </c>
    </row>
    <row r="2113" spans="1:9" ht="15.75" customHeight="1">
      <c r="A2113" s="26"/>
      <c r="B2113" s="2"/>
      <c r="C2113" s="26"/>
      <c r="D2113" s="26"/>
      <c r="F2113" s="85" t="str">
        <f t="shared" si="0"/>
        <v/>
      </c>
      <c r="G2113" s="1" t="e">
        <f>IF(VALUE(F2113) = VALUE(RIGHT(Insights!$C$3, 4)), E2113, "")</f>
        <v>#VALUE!</v>
      </c>
      <c r="H2113" s="26" t="e">
        <f t="shared" si="1"/>
        <v>#VALUE!</v>
      </c>
      <c r="I2113" s="1" t="e">
        <f t="shared" si="2"/>
        <v>#VALUE!</v>
      </c>
    </row>
    <row r="2114" spans="1:9" ht="15.75" customHeight="1">
      <c r="A2114" s="26"/>
      <c r="B2114" s="2"/>
      <c r="C2114" s="26"/>
      <c r="D2114" s="26"/>
      <c r="F2114" s="85" t="str">
        <f t="shared" si="0"/>
        <v/>
      </c>
      <c r="G2114" s="1" t="e">
        <f>IF(VALUE(F2114) = VALUE(RIGHT(Insights!$C$3, 4)), E2114, "")</f>
        <v>#VALUE!</v>
      </c>
      <c r="H2114" s="26" t="e">
        <f t="shared" si="1"/>
        <v>#VALUE!</v>
      </c>
      <c r="I2114" s="1" t="e">
        <f t="shared" si="2"/>
        <v>#VALUE!</v>
      </c>
    </row>
    <row r="2115" spans="1:9" ht="15.75" customHeight="1">
      <c r="A2115" s="26"/>
      <c r="B2115" s="2"/>
      <c r="C2115" s="26"/>
      <c r="D2115" s="26"/>
      <c r="F2115" s="85" t="str">
        <f t="shared" si="0"/>
        <v/>
      </c>
      <c r="G2115" s="1" t="e">
        <f>IF(VALUE(F2115) = VALUE(RIGHT(Insights!$C$3, 4)), E2115, "")</f>
        <v>#VALUE!</v>
      </c>
      <c r="H2115" s="26" t="e">
        <f t="shared" si="1"/>
        <v>#VALUE!</v>
      </c>
      <c r="I2115" s="1" t="e">
        <f t="shared" si="2"/>
        <v>#VALUE!</v>
      </c>
    </row>
    <row r="2116" spans="1:9" ht="15.75" customHeight="1">
      <c r="A2116" s="26"/>
      <c r="B2116" s="2"/>
      <c r="C2116" s="26"/>
      <c r="D2116" s="26"/>
      <c r="F2116" s="85" t="str">
        <f t="shared" si="0"/>
        <v/>
      </c>
      <c r="G2116" s="1" t="e">
        <f>IF(VALUE(F2116) = VALUE(RIGHT(Insights!$C$3, 4)), E2116, "")</f>
        <v>#VALUE!</v>
      </c>
      <c r="H2116" s="26" t="e">
        <f t="shared" si="1"/>
        <v>#VALUE!</v>
      </c>
      <c r="I2116" s="1" t="e">
        <f t="shared" si="2"/>
        <v>#VALUE!</v>
      </c>
    </row>
    <row r="2117" spans="1:9" ht="15.75" customHeight="1">
      <c r="A2117" s="26"/>
      <c r="B2117" s="2"/>
      <c r="C2117" s="26"/>
      <c r="D2117" s="26"/>
      <c r="F2117" s="85" t="str">
        <f t="shared" si="0"/>
        <v/>
      </c>
      <c r="G2117" s="1" t="e">
        <f>IF(VALUE(F2117) = VALUE(RIGHT(Insights!$C$3, 4)), E2117, "")</f>
        <v>#VALUE!</v>
      </c>
      <c r="H2117" s="26" t="e">
        <f t="shared" si="1"/>
        <v>#VALUE!</v>
      </c>
      <c r="I2117" s="1" t="e">
        <f t="shared" si="2"/>
        <v>#VALUE!</v>
      </c>
    </row>
    <row r="2118" spans="1:9" ht="15.75" customHeight="1">
      <c r="A2118" s="26"/>
      <c r="B2118" s="2"/>
      <c r="C2118" s="26"/>
      <c r="D2118" s="26"/>
      <c r="F2118" s="85" t="str">
        <f t="shared" si="0"/>
        <v/>
      </c>
      <c r="G2118" s="1" t="e">
        <f>IF(VALUE(F2118) = VALUE(RIGHT(Insights!$C$3, 4)), E2118, "")</f>
        <v>#VALUE!</v>
      </c>
      <c r="H2118" s="26" t="e">
        <f t="shared" si="1"/>
        <v>#VALUE!</v>
      </c>
      <c r="I2118" s="1" t="e">
        <f t="shared" si="2"/>
        <v>#VALUE!</v>
      </c>
    </row>
    <row r="2119" spans="1:9" ht="15.75" customHeight="1">
      <c r="A2119" s="26"/>
      <c r="B2119" s="2"/>
      <c r="C2119" s="26"/>
      <c r="D2119" s="26"/>
      <c r="F2119" s="85" t="str">
        <f t="shared" si="0"/>
        <v/>
      </c>
      <c r="G2119" s="1" t="e">
        <f>IF(VALUE(F2119) = VALUE(RIGHT(Insights!$C$3, 4)), E2119, "")</f>
        <v>#VALUE!</v>
      </c>
      <c r="H2119" s="26" t="e">
        <f t="shared" si="1"/>
        <v>#VALUE!</v>
      </c>
      <c r="I2119" s="1" t="e">
        <f t="shared" si="2"/>
        <v>#VALUE!</v>
      </c>
    </row>
    <row r="2120" spans="1:9" ht="15.75" customHeight="1">
      <c r="A2120" s="26"/>
      <c r="B2120" s="2"/>
      <c r="C2120" s="26"/>
      <c r="D2120" s="26"/>
      <c r="F2120" s="85" t="str">
        <f t="shared" si="0"/>
        <v/>
      </c>
      <c r="G2120" s="1" t="e">
        <f>IF(VALUE(F2120) = VALUE(RIGHT(Insights!$C$3, 4)), E2120, "")</f>
        <v>#VALUE!</v>
      </c>
      <c r="H2120" s="26" t="e">
        <f t="shared" si="1"/>
        <v>#VALUE!</v>
      </c>
      <c r="I2120" s="1" t="e">
        <f t="shared" si="2"/>
        <v>#VALUE!</v>
      </c>
    </row>
    <row r="2121" spans="1:9" ht="15.75" customHeight="1">
      <c r="A2121" s="26"/>
      <c r="B2121" s="2"/>
      <c r="C2121" s="26"/>
      <c r="D2121" s="26"/>
      <c r="F2121" s="85" t="str">
        <f t="shared" si="0"/>
        <v/>
      </c>
      <c r="G2121" s="1" t="e">
        <f>IF(VALUE(F2121) = VALUE(RIGHT(Insights!$C$3, 4)), E2121, "")</f>
        <v>#VALUE!</v>
      </c>
      <c r="H2121" s="26" t="e">
        <f t="shared" si="1"/>
        <v>#VALUE!</v>
      </c>
      <c r="I2121" s="1" t="e">
        <f t="shared" si="2"/>
        <v>#VALUE!</v>
      </c>
    </row>
    <row r="2122" spans="1:9" ht="15.75" customHeight="1">
      <c r="A2122" s="26"/>
      <c r="B2122" s="2"/>
      <c r="C2122" s="26"/>
      <c r="D2122" s="26"/>
      <c r="F2122" s="85" t="str">
        <f t="shared" si="0"/>
        <v/>
      </c>
      <c r="G2122" s="1" t="e">
        <f>IF(VALUE(F2122) = VALUE(RIGHT(Insights!$C$3, 4)), E2122, "")</f>
        <v>#VALUE!</v>
      </c>
      <c r="H2122" s="26" t="e">
        <f t="shared" si="1"/>
        <v>#VALUE!</v>
      </c>
      <c r="I2122" s="1" t="e">
        <f t="shared" si="2"/>
        <v>#VALUE!</v>
      </c>
    </row>
    <row r="2123" spans="1:9" ht="15.75" customHeight="1">
      <c r="A2123" s="26"/>
      <c r="B2123" s="2"/>
      <c r="C2123" s="26"/>
      <c r="D2123" s="26"/>
      <c r="F2123" s="85" t="str">
        <f t="shared" si="0"/>
        <v/>
      </c>
      <c r="G2123" s="1" t="e">
        <f>IF(VALUE(F2123) = VALUE(RIGHT(Insights!$C$3, 4)), E2123, "")</f>
        <v>#VALUE!</v>
      </c>
      <c r="H2123" s="26" t="e">
        <f t="shared" si="1"/>
        <v>#VALUE!</v>
      </c>
      <c r="I2123" s="1" t="e">
        <f t="shared" si="2"/>
        <v>#VALUE!</v>
      </c>
    </row>
    <row r="2124" spans="1:9" ht="15.75" customHeight="1">
      <c r="A2124" s="26"/>
      <c r="B2124" s="2"/>
      <c r="C2124" s="26"/>
      <c r="D2124" s="26"/>
      <c r="F2124" s="85" t="str">
        <f t="shared" si="0"/>
        <v/>
      </c>
      <c r="G2124" s="1" t="e">
        <f>IF(VALUE(F2124) = VALUE(RIGHT(Insights!$C$3, 4)), E2124, "")</f>
        <v>#VALUE!</v>
      </c>
      <c r="H2124" s="26" t="e">
        <f t="shared" si="1"/>
        <v>#VALUE!</v>
      </c>
      <c r="I2124" s="1" t="e">
        <f t="shared" si="2"/>
        <v>#VALUE!</v>
      </c>
    </row>
    <row r="2125" spans="1:9" ht="15.75" customHeight="1">
      <c r="A2125" s="26"/>
      <c r="B2125" s="2"/>
      <c r="C2125" s="26"/>
      <c r="D2125" s="26"/>
      <c r="F2125" s="85" t="str">
        <f t="shared" si="0"/>
        <v/>
      </c>
      <c r="G2125" s="1" t="e">
        <f>IF(VALUE(F2125) = VALUE(RIGHT(Insights!$C$3, 4)), E2125, "")</f>
        <v>#VALUE!</v>
      </c>
      <c r="H2125" s="26" t="e">
        <f t="shared" si="1"/>
        <v>#VALUE!</v>
      </c>
      <c r="I2125" s="1" t="e">
        <f t="shared" si="2"/>
        <v>#VALUE!</v>
      </c>
    </row>
    <row r="2126" spans="1:9" ht="15.75" customHeight="1">
      <c r="A2126" s="26"/>
      <c r="B2126" s="2"/>
      <c r="C2126" s="26"/>
      <c r="D2126" s="26"/>
      <c r="F2126" s="85" t="str">
        <f t="shared" si="0"/>
        <v/>
      </c>
      <c r="G2126" s="1" t="e">
        <f>IF(VALUE(F2126) = VALUE(RIGHT(Insights!$C$3, 4)), E2126, "")</f>
        <v>#VALUE!</v>
      </c>
      <c r="H2126" s="26" t="e">
        <f t="shared" si="1"/>
        <v>#VALUE!</v>
      </c>
      <c r="I2126" s="1" t="e">
        <f t="shared" si="2"/>
        <v>#VALUE!</v>
      </c>
    </row>
    <row r="2127" spans="1:9" ht="15.75" customHeight="1">
      <c r="A2127" s="26"/>
      <c r="B2127" s="2"/>
      <c r="C2127" s="26"/>
      <c r="D2127" s="26"/>
      <c r="F2127" s="85" t="str">
        <f t="shared" si="0"/>
        <v/>
      </c>
      <c r="G2127" s="1" t="e">
        <f>IF(VALUE(F2127) = VALUE(RIGHT(Insights!$C$3, 4)), E2127, "")</f>
        <v>#VALUE!</v>
      </c>
      <c r="H2127" s="26" t="e">
        <f t="shared" si="1"/>
        <v>#VALUE!</v>
      </c>
      <c r="I2127" s="1" t="e">
        <f t="shared" si="2"/>
        <v>#VALUE!</v>
      </c>
    </row>
    <row r="2128" spans="1:9" ht="15.75" customHeight="1">
      <c r="A2128" s="26"/>
      <c r="B2128" s="2"/>
      <c r="C2128" s="26"/>
      <c r="D2128" s="26"/>
      <c r="F2128" s="85" t="str">
        <f t="shared" si="0"/>
        <v/>
      </c>
      <c r="G2128" s="1" t="e">
        <f>IF(VALUE(F2128) = VALUE(RIGHT(Insights!$C$3, 4)), E2128, "")</f>
        <v>#VALUE!</v>
      </c>
      <c r="H2128" s="26" t="e">
        <f t="shared" si="1"/>
        <v>#VALUE!</v>
      </c>
      <c r="I2128" s="1" t="e">
        <f t="shared" si="2"/>
        <v>#VALUE!</v>
      </c>
    </row>
    <row r="2129" spans="1:9" ht="15.75" customHeight="1">
      <c r="A2129" s="26"/>
      <c r="B2129" s="2"/>
      <c r="C2129" s="26"/>
      <c r="D2129" s="26"/>
      <c r="F2129" s="85" t="str">
        <f t="shared" si="0"/>
        <v/>
      </c>
      <c r="G2129" s="1" t="e">
        <f>IF(VALUE(F2129) = VALUE(RIGHT(Insights!$C$3, 4)), E2129, "")</f>
        <v>#VALUE!</v>
      </c>
      <c r="H2129" s="26" t="e">
        <f t="shared" si="1"/>
        <v>#VALUE!</v>
      </c>
      <c r="I2129" s="1" t="e">
        <f t="shared" si="2"/>
        <v>#VALUE!</v>
      </c>
    </row>
    <row r="2130" spans="1:9" ht="15.75" customHeight="1">
      <c r="A2130" s="26"/>
      <c r="B2130" s="2"/>
      <c r="C2130" s="26"/>
      <c r="D2130" s="26"/>
      <c r="F2130" s="85" t="str">
        <f t="shared" si="0"/>
        <v/>
      </c>
      <c r="G2130" s="1" t="e">
        <f>IF(VALUE(F2130) = VALUE(RIGHT(Insights!$C$3, 4)), E2130, "")</f>
        <v>#VALUE!</v>
      </c>
      <c r="H2130" s="26" t="e">
        <f t="shared" si="1"/>
        <v>#VALUE!</v>
      </c>
      <c r="I2130" s="1" t="e">
        <f t="shared" si="2"/>
        <v>#VALUE!</v>
      </c>
    </row>
    <row r="2131" spans="1:9" ht="15.75" customHeight="1">
      <c r="A2131" s="26"/>
      <c r="B2131" s="2"/>
      <c r="C2131" s="26"/>
      <c r="D2131" s="26"/>
      <c r="F2131" s="85" t="str">
        <f t="shared" si="0"/>
        <v/>
      </c>
      <c r="G2131" s="1" t="e">
        <f>IF(VALUE(F2131) = VALUE(RIGHT(Insights!$C$3, 4)), E2131, "")</f>
        <v>#VALUE!</v>
      </c>
      <c r="H2131" s="26" t="e">
        <f t="shared" si="1"/>
        <v>#VALUE!</v>
      </c>
      <c r="I2131" s="1" t="e">
        <f t="shared" si="2"/>
        <v>#VALUE!</v>
      </c>
    </row>
    <row r="2132" spans="1:9" ht="15.75" customHeight="1">
      <c r="A2132" s="26"/>
      <c r="B2132" s="2"/>
      <c r="C2132" s="26"/>
      <c r="D2132" s="26"/>
      <c r="F2132" s="85" t="str">
        <f t="shared" si="0"/>
        <v/>
      </c>
      <c r="G2132" s="1" t="e">
        <f>IF(VALUE(F2132) = VALUE(RIGHT(Insights!$C$3, 4)), E2132, "")</f>
        <v>#VALUE!</v>
      </c>
      <c r="H2132" s="26" t="e">
        <f t="shared" si="1"/>
        <v>#VALUE!</v>
      </c>
      <c r="I2132" s="1" t="e">
        <f t="shared" si="2"/>
        <v>#VALUE!</v>
      </c>
    </row>
    <row r="2133" spans="1:9" ht="15.75" customHeight="1">
      <c r="A2133" s="26"/>
      <c r="B2133" s="2"/>
      <c r="C2133" s="26"/>
      <c r="D2133" s="26"/>
      <c r="F2133" s="85" t="str">
        <f t="shared" si="0"/>
        <v/>
      </c>
      <c r="G2133" s="1" t="e">
        <f>IF(VALUE(F2133) = VALUE(RIGHT(Insights!$C$3, 4)), E2133, "")</f>
        <v>#VALUE!</v>
      </c>
      <c r="H2133" s="26" t="e">
        <f t="shared" si="1"/>
        <v>#VALUE!</v>
      </c>
      <c r="I2133" s="1" t="e">
        <f t="shared" si="2"/>
        <v>#VALUE!</v>
      </c>
    </row>
    <row r="2134" spans="1:9" ht="15.75" customHeight="1">
      <c r="A2134" s="26"/>
      <c r="B2134" s="2"/>
      <c r="C2134" s="26"/>
      <c r="D2134" s="26"/>
      <c r="F2134" s="85" t="str">
        <f t="shared" si="0"/>
        <v/>
      </c>
      <c r="G2134" s="1" t="e">
        <f>IF(VALUE(F2134) = VALUE(RIGHT(Insights!$C$3, 4)), E2134, "")</f>
        <v>#VALUE!</v>
      </c>
      <c r="H2134" s="26" t="e">
        <f t="shared" si="1"/>
        <v>#VALUE!</v>
      </c>
      <c r="I2134" s="1" t="e">
        <f t="shared" si="2"/>
        <v>#VALUE!</v>
      </c>
    </row>
    <row r="2135" spans="1:9" ht="15.75" customHeight="1">
      <c r="A2135" s="26"/>
      <c r="B2135" s="2"/>
      <c r="C2135" s="26"/>
      <c r="D2135" s="26"/>
      <c r="F2135" s="85" t="str">
        <f t="shared" si="0"/>
        <v/>
      </c>
      <c r="G2135" s="1" t="e">
        <f>IF(VALUE(F2135) = VALUE(RIGHT(Insights!$C$3, 4)), E2135, "")</f>
        <v>#VALUE!</v>
      </c>
      <c r="H2135" s="26" t="e">
        <f t="shared" si="1"/>
        <v>#VALUE!</v>
      </c>
      <c r="I2135" s="1" t="e">
        <f t="shared" si="2"/>
        <v>#VALUE!</v>
      </c>
    </row>
    <row r="2136" spans="1:9" ht="15.75" customHeight="1">
      <c r="A2136" s="26"/>
      <c r="B2136" s="2"/>
      <c r="C2136" s="26"/>
      <c r="D2136" s="26"/>
      <c r="F2136" s="85" t="str">
        <f t="shared" si="0"/>
        <v/>
      </c>
      <c r="G2136" s="1" t="e">
        <f>IF(VALUE(F2136) = VALUE(RIGHT(Insights!$C$3, 4)), E2136, "")</f>
        <v>#VALUE!</v>
      </c>
      <c r="H2136" s="26" t="e">
        <f t="shared" si="1"/>
        <v>#VALUE!</v>
      </c>
      <c r="I2136" s="1" t="e">
        <f t="shared" si="2"/>
        <v>#VALUE!</v>
      </c>
    </row>
    <row r="2137" spans="1:9" ht="15.75" customHeight="1">
      <c r="A2137" s="26"/>
      <c r="B2137" s="2"/>
      <c r="C2137" s="26"/>
      <c r="D2137" s="26"/>
      <c r="F2137" s="85" t="str">
        <f t="shared" si="0"/>
        <v/>
      </c>
      <c r="G2137" s="1" t="e">
        <f>IF(VALUE(F2137) = VALUE(RIGHT(Insights!$C$3, 4)), E2137, "")</f>
        <v>#VALUE!</v>
      </c>
      <c r="H2137" s="26" t="e">
        <f t="shared" si="1"/>
        <v>#VALUE!</v>
      </c>
      <c r="I2137" s="1" t="e">
        <f t="shared" si="2"/>
        <v>#VALUE!</v>
      </c>
    </row>
    <row r="2138" spans="1:9" ht="15.75" customHeight="1">
      <c r="A2138" s="26"/>
      <c r="B2138" s="2"/>
      <c r="C2138" s="26"/>
      <c r="D2138" s="26"/>
      <c r="F2138" s="85" t="str">
        <f t="shared" si="0"/>
        <v/>
      </c>
      <c r="G2138" s="1" t="e">
        <f>IF(VALUE(F2138) = VALUE(RIGHT(Insights!$C$3, 4)), E2138, "")</f>
        <v>#VALUE!</v>
      </c>
      <c r="H2138" s="26" t="e">
        <f t="shared" si="1"/>
        <v>#VALUE!</v>
      </c>
      <c r="I2138" s="1" t="e">
        <f t="shared" si="2"/>
        <v>#VALUE!</v>
      </c>
    </row>
    <row r="2139" spans="1:9" ht="15.75" customHeight="1">
      <c r="A2139" s="26"/>
      <c r="B2139" s="2"/>
      <c r="C2139" s="26"/>
      <c r="D2139" s="26"/>
      <c r="F2139" s="85" t="str">
        <f t="shared" si="0"/>
        <v/>
      </c>
      <c r="G2139" s="1" t="e">
        <f>IF(VALUE(F2139) = VALUE(RIGHT(Insights!$C$3, 4)), E2139, "")</f>
        <v>#VALUE!</v>
      </c>
      <c r="H2139" s="26" t="e">
        <f t="shared" si="1"/>
        <v>#VALUE!</v>
      </c>
      <c r="I2139" s="1" t="e">
        <f t="shared" si="2"/>
        <v>#VALUE!</v>
      </c>
    </row>
    <row r="2140" spans="1:9" ht="15.75" customHeight="1">
      <c r="A2140" s="26"/>
      <c r="B2140" s="2"/>
      <c r="C2140" s="26"/>
      <c r="D2140" s="26"/>
      <c r="F2140" s="85" t="str">
        <f t="shared" si="0"/>
        <v/>
      </c>
      <c r="G2140" s="1" t="e">
        <f>IF(VALUE(F2140) = VALUE(RIGHT(Insights!$C$3, 4)), E2140, "")</f>
        <v>#VALUE!</v>
      </c>
      <c r="H2140" s="26" t="e">
        <f t="shared" si="1"/>
        <v>#VALUE!</v>
      </c>
      <c r="I2140" s="1" t="e">
        <f t="shared" si="2"/>
        <v>#VALUE!</v>
      </c>
    </row>
    <row r="2141" spans="1:9" ht="15.75" customHeight="1">
      <c r="A2141" s="26"/>
      <c r="B2141" s="2"/>
      <c r="C2141" s="26"/>
      <c r="D2141" s="26"/>
      <c r="F2141" s="85" t="str">
        <f t="shared" si="0"/>
        <v/>
      </c>
      <c r="G2141" s="1" t="e">
        <f>IF(VALUE(F2141) = VALUE(RIGHT(Insights!$C$3, 4)), E2141, "")</f>
        <v>#VALUE!</v>
      </c>
      <c r="H2141" s="26" t="e">
        <f t="shared" si="1"/>
        <v>#VALUE!</v>
      </c>
      <c r="I2141" s="1" t="e">
        <f t="shared" si="2"/>
        <v>#VALUE!</v>
      </c>
    </row>
    <row r="2142" spans="1:9" ht="15.75" customHeight="1">
      <c r="A2142" s="26"/>
      <c r="B2142" s="2"/>
      <c r="C2142" s="26"/>
      <c r="D2142" s="26"/>
      <c r="F2142" s="85" t="str">
        <f t="shared" si="0"/>
        <v/>
      </c>
      <c r="G2142" s="1" t="e">
        <f>IF(VALUE(F2142) = VALUE(RIGHT(Insights!$C$3, 4)), E2142, "")</f>
        <v>#VALUE!</v>
      </c>
      <c r="H2142" s="26" t="e">
        <f t="shared" si="1"/>
        <v>#VALUE!</v>
      </c>
      <c r="I2142" s="1" t="e">
        <f t="shared" si="2"/>
        <v>#VALUE!</v>
      </c>
    </row>
    <row r="2143" spans="1:9" ht="15.75" customHeight="1">
      <c r="A2143" s="26"/>
      <c r="B2143" s="2"/>
      <c r="C2143" s="26"/>
      <c r="D2143" s="26"/>
      <c r="F2143" s="85" t="str">
        <f t="shared" si="0"/>
        <v/>
      </c>
      <c r="G2143" s="1" t="e">
        <f>IF(VALUE(F2143) = VALUE(RIGHT(Insights!$C$3, 4)), E2143, "")</f>
        <v>#VALUE!</v>
      </c>
      <c r="H2143" s="26" t="e">
        <f t="shared" si="1"/>
        <v>#VALUE!</v>
      </c>
      <c r="I2143" s="1" t="e">
        <f t="shared" si="2"/>
        <v>#VALUE!</v>
      </c>
    </row>
    <row r="2144" spans="1:9" ht="15.75" customHeight="1">
      <c r="A2144" s="26"/>
      <c r="B2144" s="2"/>
      <c r="C2144" s="26"/>
      <c r="D2144" s="26"/>
      <c r="F2144" s="85" t="str">
        <f t="shared" si="0"/>
        <v/>
      </c>
      <c r="G2144" s="1" t="e">
        <f>IF(VALUE(F2144) = VALUE(RIGHT(Insights!$C$3, 4)), E2144, "")</f>
        <v>#VALUE!</v>
      </c>
      <c r="H2144" s="26" t="e">
        <f t="shared" si="1"/>
        <v>#VALUE!</v>
      </c>
      <c r="I2144" s="1" t="e">
        <f t="shared" si="2"/>
        <v>#VALUE!</v>
      </c>
    </row>
    <row r="2145" spans="1:9" ht="15.75" customHeight="1">
      <c r="A2145" s="26"/>
      <c r="B2145" s="2"/>
      <c r="C2145" s="26"/>
      <c r="D2145" s="26"/>
      <c r="F2145" s="85" t="str">
        <f t="shared" si="0"/>
        <v/>
      </c>
      <c r="G2145" s="1" t="e">
        <f>IF(VALUE(F2145) = VALUE(RIGHT(Insights!$C$3, 4)), E2145, "")</f>
        <v>#VALUE!</v>
      </c>
      <c r="H2145" s="26" t="e">
        <f t="shared" si="1"/>
        <v>#VALUE!</v>
      </c>
      <c r="I2145" s="1" t="e">
        <f t="shared" si="2"/>
        <v>#VALUE!</v>
      </c>
    </row>
    <row r="2146" spans="1:9" ht="15.75" customHeight="1">
      <c r="A2146" s="26"/>
      <c r="B2146" s="2"/>
      <c r="C2146" s="26"/>
      <c r="D2146" s="26"/>
      <c r="F2146" s="85" t="str">
        <f t="shared" si="0"/>
        <v/>
      </c>
      <c r="G2146" s="1" t="e">
        <f>IF(VALUE(F2146) = VALUE(RIGHT(Insights!$C$3, 4)), E2146, "")</f>
        <v>#VALUE!</v>
      </c>
      <c r="H2146" s="26" t="e">
        <f t="shared" si="1"/>
        <v>#VALUE!</v>
      </c>
      <c r="I2146" s="1" t="e">
        <f t="shared" si="2"/>
        <v>#VALUE!</v>
      </c>
    </row>
    <row r="2147" spans="1:9" ht="15.75" customHeight="1">
      <c r="A2147" s="26"/>
      <c r="B2147" s="2"/>
      <c r="C2147" s="26"/>
      <c r="D2147" s="26"/>
      <c r="F2147" s="85" t="str">
        <f t="shared" si="0"/>
        <v/>
      </c>
      <c r="G2147" s="1" t="e">
        <f>IF(VALUE(F2147) = VALUE(RIGHT(Insights!$C$3, 4)), E2147, "")</f>
        <v>#VALUE!</v>
      </c>
      <c r="H2147" s="26" t="e">
        <f t="shared" si="1"/>
        <v>#VALUE!</v>
      </c>
      <c r="I2147" s="1" t="e">
        <f t="shared" si="2"/>
        <v>#VALUE!</v>
      </c>
    </row>
    <row r="2148" spans="1:9" ht="15.75" customHeight="1">
      <c r="A2148" s="26"/>
      <c r="B2148" s="2"/>
      <c r="C2148" s="26"/>
      <c r="D2148" s="26"/>
      <c r="F2148" s="85" t="str">
        <f t="shared" si="0"/>
        <v/>
      </c>
      <c r="G2148" s="1" t="e">
        <f>IF(VALUE(F2148) = VALUE(RIGHT(Insights!$C$3, 4)), E2148, "")</f>
        <v>#VALUE!</v>
      </c>
      <c r="H2148" s="26" t="e">
        <f t="shared" si="1"/>
        <v>#VALUE!</v>
      </c>
      <c r="I2148" s="1" t="e">
        <f t="shared" si="2"/>
        <v>#VALUE!</v>
      </c>
    </row>
    <row r="2149" spans="1:9" ht="15.75" customHeight="1">
      <c r="A2149" s="26"/>
      <c r="B2149" s="2"/>
      <c r="C2149" s="26"/>
      <c r="D2149" s="26"/>
      <c r="F2149" s="85" t="str">
        <f t="shared" si="0"/>
        <v/>
      </c>
      <c r="G2149" s="1" t="e">
        <f>IF(VALUE(F2149) = VALUE(RIGHT(Insights!$C$3, 4)), E2149, "")</f>
        <v>#VALUE!</v>
      </c>
      <c r="H2149" s="26" t="e">
        <f t="shared" si="1"/>
        <v>#VALUE!</v>
      </c>
      <c r="I2149" s="1" t="e">
        <f t="shared" si="2"/>
        <v>#VALUE!</v>
      </c>
    </row>
    <row r="2150" spans="1:9" ht="15.75" customHeight="1">
      <c r="A2150" s="26"/>
      <c r="B2150" s="2"/>
      <c r="C2150" s="26"/>
      <c r="D2150" s="26"/>
      <c r="F2150" s="85" t="str">
        <f t="shared" si="0"/>
        <v/>
      </c>
      <c r="G2150" s="1" t="e">
        <f>IF(VALUE(F2150) = VALUE(RIGHT(Insights!$C$3, 4)), E2150, "")</f>
        <v>#VALUE!</v>
      </c>
      <c r="H2150" s="26" t="e">
        <f t="shared" si="1"/>
        <v>#VALUE!</v>
      </c>
      <c r="I2150" s="1" t="e">
        <f t="shared" si="2"/>
        <v>#VALUE!</v>
      </c>
    </row>
    <row r="2151" spans="1:9" ht="15.75" customHeight="1">
      <c r="A2151" s="26"/>
      <c r="B2151" s="2"/>
      <c r="C2151" s="26"/>
      <c r="D2151" s="26"/>
      <c r="F2151" s="85" t="str">
        <f t="shared" si="0"/>
        <v/>
      </c>
      <c r="G2151" s="1" t="e">
        <f>IF(VALUE(F2151) = VALUE(RIGHT(Insights!$C$3, 4)), E2151, "")</f>
        <v>#VALUE!</v>
      </c>
      <c r="H2151" s="26" t="e">
        <f t="shared" si="1"/>
        <v>#VALUE!</v>
      </c>
      <c r="I2151" s="1" t="e">
        <f t="shared" si="2"/>
        <v>#VALUE!</v>
      </c>
    </row>
    <row r="2152" spans="1:9" ht="15.75" customHeight="1">
      <c r="A2152" s="26"/>
      <c r="B2152" s="2"/>
      <c r="C2152" s="26"/>
      <c r="D2152" s="26"/>
      <c r="F2152" s="85" t="str">
        <f t="shared" si="0"/>
        <v/>
      </c>
      <c r="G2152" s="1" t="e">
        <f>IF(VALUE(F2152) = VALUE(RIGHT(Insights!$C$3, 4)), E2152, "")</f>
        <v>#VALUE!</v>
      </c>
      <c r="H2152" s="26" t="e">
        <f t="shared" si="1"/>
        <v>#VALUE!</v>
      </c>
      <c r="I2152" s="1" t="e">
        <f t="shared" si="2"/>
        <v>#VALUE!</v>
      </c>
    </row>
    <row r="2153" spans="1:9" ht="15.75" customHeight="1">
      <c r="A2153" s="26"/>
      <c r="B2153" s="2"/>
      <c r="C2153" s="26"/>
      <c r="D2153" s="26"/>
      <c r="F2153" s="85" t="str">
        <f t="shared" si="0"/>
        <v/>
      </c>
      <c r="G2153" s="1" t="e">
        <f>IF(VALUE(F2153) = VALUE(RIGHT(Insights!$C$3, 4)), E2153, "")</f>
        <v>#VALUE!</v>
      </c>
      <c r="H2153" s="26" t="e">
        <f t="shared" si="1"/>
        <v>#VALUE!</v>
      </c>
      <c r="I2153" s="1" t="e">
        <f t="shared" si="2"/>
        <v>#VALUE!</v>
      </c>
    </row>
    <row r="2154" spans="1:9" ht="15.75" customHeight="1">
      <c r="A2154" s="26"/>
      <c r="B2154" s="2"/>
      <c r="C2154" s="26"/>
      <c r="D2154" s="26"/>
      <c r="F2154" s="85" t="str">
        <f t="shared" si="0"/>
        <v/>
      </c>
      <c r="G2154" s="1" t="e">
        <f>IF(VALUE(F2154) = VALUE(RIGHT(Insights!$C$3, 4)), E2154, "")</f>
        <v>#VALUE!</v>
      </c>
      <c r="H2154" s="26" t="e">
        <f t="shared" si="1"/>
        <v>#VALUE!</v>
      </c>
      <c r="I2154" s="1" t="e">
        <f t="shared" si="2"/>
        <v>#VALUE!</v>
      </c>
    </row>
    <row r="2155" spans="1:9" ht="15.75" customHeight="1">
      <c r="A2155" s="26"/>
      <c r="B2155" s="2"/>
      <c r="C2155" s="26"/>
      <c r="D2155" s="26"/>
      <c r="F2155" s="85" t="str">
        <f t="shared" si="0"/>
        <v/>
      </c>
      <c r="G2155" s="1" t="e">
        <f>IF(VALUE(F2155) = VALUE(RIGHT(Insights!$C$3, 4)), E2155, "")</f>
        <v>#VALUE!</v>
      </c>
      <c r="H2155" s="26" t="e">
        <f t="shared" si="1"/>
        <v>#VALUE!</v>
      </c>
      <c r="I2155" s="1" t="e">
        <f t="shared" si="2"/>
        <v>#VALUE!</v>
      </c>
    </row>
    <row r="2156" spans="1:9" ht="15.75" customHeight="1">
      <c r="A2156" s="26"/>
      <c r="B2156" s="2"/>
      <c r="C2156" s="26"/>
      <c r="D2156" s="26"/>
      <c r="F2156" s="85" t="str">
        <f t="shared" si="0"/>
        <v/>
      </c>
      <c r="G2156" s="1" t="e">
        <f>IF(VALUE(F2156) = VALUE(RIGHT(Insights!$C$3, 4)), E2156, "")</f>
        <v>#VALUE!</v>
      </c>
      <c r="H2156" s="26" t="e">
        <f t="shared" si="1"/>
        <v>#VALUE!</v>
      </c>
      <c r="I2156" s="1" t="e">
        <f t="shared" si="2"/>
        <v>#VALUE!</v>
      </c>
    </row>
    <row r="2157" spans="1:9" ht="15.75" customHeight="1">
      <c r="A2157" s="26"/>
      <c r="B2157" s="2"/>
      <c r="C2157" s="26"/>
      <c r="D2157" s="26"/>
      <c r="F2157" s="85" t="str">
        <f t="shared" si="0"/>
        <v/>
      </c>
      <c r="G2157" s="1" t="e">
        <f>IF(VALUE(F2157) = VALUE(RIGHT(Insights!$C$3, 4)), E2157, "")</f>
        <v>#VALUE!</v>
      </c>
      <c r="H2157" s="26" t="e">
        <f t="shared" si="1"/>
        <v>#VALUE!</v>
      </c>
      <c r="I2157" s="1" t="e">
        <f t="shared" si="2"/>
        <v>#VALUE!</v>
      </c>
    </row>
    <row r="2158" spans="1:9" ht="15.75" customHeight="1">
      <c r="A2158" s="26"/>
      <c r="B2158" s="2"/>
      <c r="C2158" s="26"/>
      <c r="D2158" s="26"/>
      <c r="F2158" s="85" t="str">
        <f t="shared" si="0"/>
        <v/>
      </c>
      <c r="G2158" s="1" t="e">
        <f>IF(VALUE(F2158) = VALUE(RIGHT(Insights!$C$3, 4)), E2158, "")</f>
        <v>#VALUE!</v>
      </c>
      <c r="H2158" s="26" t="e">
        <f t="shared" si="1"/>
        <v>#VALUE!</v>
      </c>
      <c r="I2158" s="1" t="e">
        <f t="shared" si="2"/>
        <v>#VALUE!</v>
      </c>
    </row>
    <row r="2159" spans="1:9" ht="15.75" customHeight="1">
      <c r="A2159" s="26"/>
      <c r="B2159" s="2"/>
      <c r="C2159" s="26"/>
      <c r="D2159" s="26"/>
      <c r="F2159" s="85" t="str">
        <f t="shared" si="0"/>
        <v/>
      </c>
      <c r="G2159" s="1" t="e">
        <f>IF(VALUE(F2159) = VALUE(RIGHT(Insights!$C$3, 4)), E2159, "")</f>
        <v>#VALUE!</v>
      </c>
      <c r="H2159" s="26" t="e">
        <f t="shared" si="1"/>
        <v>#VALUE!</v>
      </c>
      <c r="I2159" s="1" t="e">
        <f t="shared" si="2"/>
        <v>#VALUE!</v>
      </c>
    </row>
    <row r="2160" spans="1:9" ht="15.75" customHeight="1">
      <c r="A2160" s="26"/>
      <c r="B2160" s="2"/>
      <c r="C2160" s="26"/>
      <c r="D2160" s="26"/>
      <c r="F2160" s="85" t="str">
        <f t="shared" si="0"/>
        <v/>
      </c>
      <c r="G2160" s="1" t="e">
        <f>IF(VALUE(F2160) = VALUE(RIGHT(Insights!$C$3, 4)), E2160, "")</f>
        <v>#VALUE!</v>
      </c>
      <c r="H2160" s="26" t="e">
        <f t="shared" si="1"/>
        <v>#VALUE!</v>
      </c>
      <c r="I2160" s="1" t="e">
        <f t="shared" si="2"/>
        <v>#VALUE!</v>
      </c>
    </row>
    <row r="2161" spans="1:9" ht="15.75" customHeight="1">
      <c r="A2161" s="26"/>
      <c r="B2161" s="2"/>
      <c r="C2161" s="26"/>
      <c r="D2161" s="26"/>
      <c r="F2161" s="85" t="str">
        <f t="shared" si="0"/>
        <v/>
      </c>
      <c r="G2161" s="1" t="e">
        <f>IF(VALUE(F2161) = VALUE(RIGHT(Insights!$C$3, 4)), E2161, "")</f>
        <v>#VALUE!</v>
      </c>
      <c r="H2161" s="26" t="e">
        <f t="shared" si="1"/>
        <v>#VALUE!</v>
      </c>
      <c r="I2161" s="1" t="e">
        <f t="shared" si="2"/>
        <v>#VALUE!</v>
      </c>
    </row>
    <row r="2162" spans="1:9" ht="15.75" customHeight="1">
      <c r="A2162" s="26"/>
      <c r="B2162" s="2"/>
      <c r="C2162" s="26"/>
      <c r="D2162" s="26"/>
      <c r="F2162" s="85" t="str">
        <f t="shared" si="0"/>
        <v/>
      </c>
      <c r="G2162" s="1" t="e">
        <f>IF(VALUE(F2162) = VALUE(RIGHT(Insights!$C$3, 4)), E2162, "")</f>
        <v>#VALUE!</v>
      </c>
      <c r="H2162" s="26" t="e">
        <f t="shared" si="1"/>
        <v>#VALUE!</v>
      </c>
      <c r="I2162" s="1" t="e">
        <f t="shared" si="2"/>
        <v>#VALUE!</v>
      </c>
    </row>
    <row r="2163" spans="1:9" ht="15.75" customHeight="1">
      <c r="A2163" s="26"/>
      <c r="B2163" s="2"/>
      <c r="C2163" s="26"/>
      <c r="D2163" s="26"/>
      <c r="F2163" s="85" t="str">
        <f t="shared" si="0"/>
        <v/>
      </c>
      <c r="G2163" s="1" t="e">
        <f>IF(VALUE(F2163) = VALUE(RIGHT(Insights!$C$3, 4)), E2163, "")</f>
        <v>#VALUE!</v>
      </c>
      <c r="H2163" s="26" t="e">
        <f t="shared" si="1"/>
        <v>#VALUE!</v>
      </c>
      <c r="I2163" s="1" t="e">
        <f t="shared" si="2"/>
        <v>#VALUE!</v>
      </c>
    </row>
    <row r="2164" spans="1:9" ht="15.75" customHeight="1">
      <c r="A2164" s="26"/>
      <c r="B2164" s="2"/>
      <c r="C2164" s="26"/>
      <c r="D2164" s="26"/>
      <c r="F2164" s="85" t="str">
        <f t="shared" si="0"/>
        <v/>
      </c>
      <c r="G2164" s="1" t="e">
        <f>IF(VALUE(F2164) = VALUE(RIGHT(Insights!$C$3, 4)), E2164, "")</f>
        <v>#VALUE!</v>
      </c>
      <c r="H2164" s="26" t="e">
        <f t="shared" si="1"/>
        <v>#VALUE!</v>
      </c>
      <c r="I2164" s="1" t="e">
        <f t="shared" si="2"/>
        <v>#VALUE!</v>
      </c>
    </row>
    <row r="2165" spans="1:9" ht="15.75" customHeight="1">
      <c r="A2165" s="26"/>
      <c r="B2165" s="2"/>
      <c r="C2165" s="26"/>
      <c r="D2165" s="26"/>
      <c r="F2165" s="85" t="str">
        <f t="shared" si="0"/>
        <v/>
      </c>
      <c r="G2165" s="1" t="e">
        <f>IF(VALUE(F2165) = VALUE(RIGHT(Insights!$C$3, 4)), E2165, "")</f>
        <v>#VALUE!</v>
      </c>
      <c r="H2165" s="26" t="e">
        <f t="shared" si="1"/>
        <v>#VALUE!</v>
      </c>
      <c r="I2165" s="1" t="e">
        <f t="shared" si="2"/>
        <v>#VALUE!</v>
      </c>
    </row>
    <row r="2166" spans="1:9" ht="15.75" customHeight="1">
      <c r="A2166" s="26"/>
      <c r="B2166" s="2"/>
      <c r="C2166" s="26"/>
      <c r="D2166" s="26"/>
      <c r="F2166" s="85" t="str">
        <f t="shared" si="0"/>
        <v/>
      </c>
      <c r="G2166" s="1" t="e">
        <f>IF(VALUE(F2166) = VALUE(RIGHT(Insights!$C$3, 4)), E2166, "")</f>
        <v>#VALUE!</v>
      </c>
      <c r="H2166" s="26" t="e">
        <f t="shared" si="1"/>
        <v>#VALUE!</v>
      </c>
      <c r="I2166" s="1" t="e">
        <f t="shared" si="2"/>
        <v>#VALUE!</v>
      </c>
    </row>
    <row r="2167" spans="1:9" ht="15.75" customHeight="1">
      <c r="A2167" s="26"/>
      <c r="B2167" s="2"/>
      <c r="C2167" s="26"/>
      <c r="D2167" s="26"/>
      <c r="F2167" s="85" t="str">
        <f t="shared" si="0"/>
        <v/>
      </c>
      <c r="G2167" s="1" t="e">
        <f>IF(VALUE(F2167) = VALUE(RIGHT(Insights!$C$3, 4)), E2167, "")</f>
        <v>#VALUE!</v>
      </c>
      <c r="H2167" s="26" t="e">
        <f t="shared" si="1"/>
        <v>#VALUE!</v>
      </c>
      <c r="I2167" s="1" t="e">
        <f t="shared" si="2"/>
        <v>#VALUE!</v>
      </c>
    </row>
    <row r="2168" spans="1:9" ht="15.75" customHeight="1">
      <c r="A2168" s="26"/>
      <c r="B2168" s="2"/>
      <c r="C2168" s="26"/>
      <c r="D2168" s="26"/>
      <c r="F2168" s="85" t="str">
        <f t="shared" si="0"/>
        <v/>
      </c>
      <c r="G2168" s="1" t="e">
        <f>IF(VALUE(F2168) = VALUE(RIGHT(Insights!$C$3, 4)), E2168, "")</f>
        <v>#VALUE!</v>
      </c>
      <c r="H2168" s="26" t="e">
        <f t="shared" si="1"/>
        <v>#VALUE!</v>
      </c>
      <c r="I2168" s="1" t="e">
        <f t="shared" si="2"/>
        <v>#VALUE!</v>
      </c>
    </row>
    <row r="2169" spans="1:9" ht="15.75" customHeight="1">
      <c r="A2169" s="26"/>
      <c r="B2169" s="2"/>
      <c r="C2169" s="26"/>
      <c r="D2169" s="26"/>
      <c r="F2169" s="85" t="str">
        <f t="shared" si="0"/>
        <v/>
      </c>
      <c r="G2169" s="1" t="e">
        <f>IF(VALUE(F2169) = VALUE(RIGHT(Insights!$C$3, 4)), E2169, "")</f>
        <v>#VALUE!</v>
      </c>
      <c r="H2169" s="26" t="e">
        <f t="shared" si="1"/>
        <v>#VALUE!</v>
      </c>
      <c r="I2169" s="1" t="e">
        <f t="shared" si="2"/>
        <v>#VALUE!</v>
      </c>
    </row>
    <row r="2170" spans="1:9" ht="15.75" customHeight="1">
      <c r="A2170" s="26"/>
      <c r="B2170" s="2"/>
      <c r="C2170" s="26"/>
      <c r="D2170" s="26"/>
      <c r="F2170" s="85" t="str">
        <f t="shared" si="0"/>
        <v/>
      </c>
      <c r="G2170" s="1" t="e">
        <f>IF(VALUE(F2170) = VALUE(RIGHT(Insights!$C$3, 4)), E2170, "")</f>
        <v>#VALUE!</v>
      </c>
      <c r="H2170" s="26" t="e">
        <f t="shared" si="1"/>
        <v>#VALUE!</v>
      </c>
      <c r="I2170" s="1" t="e">
        <f t="shared" si="2"/>
        <v>#VALUE!</v>
      </c>
    </row>
    <row r="2171" spans="1:9" ht="15.75" customHeight="1">
      <c r="A2171" s="26"/>
      <c r="B2171" s="2"/>
      <c r="C2171" s="26"/>
      <c r="D2171" s="26"/>
      <c r="F2171" s="85" t="str">
        <f t="shared" si="0"/>
        <v/>
      </c>
      <c r="G2171" s="1" t="e">
        <f>IF(VALUE(F2171) = VALUE(RIGHT(Insights!$C$3, 4)), E2171, "")</f>
        <v>#VALUE!</v>
      </c>
      <c r="H2171" s="26" t="e">
        <f t="shared" si="1"/>
        <v>#VALUE!</v>
      </c>
      <c r="I2171" s="1" t="e">
        <f t="shared" si="2"/>
        <v>#VALUE!</v>
      </c>
    </row>
    <row r="2172" spans="1:9" ht="15.75" customHeight="1">
      <c r="A2172" s="26"/>
      <c r="B2172" s="2"/>
      <c r="C2172" s="26"/>
      <c r="D2172" s="26"/>
      <c r="F2172" s="85" t="str">
        <f t="shared" si="0"/>
        <v/>
      </c>
      <c r="G2172" s="1" t="e">
        <f>IF(VALUE(F2172) = VALUE(RIGHT(Insights!$C$3, 4)), E2172, "")</f>
        <v>#VALUE!</v>
      </c>
      <c r="H2172" s="26" t="e">
        <f t="shared" si="1"/>
        <v>#VALUE!</v>
      </c>
      <c r="I2172" s="1" t="e">
        <f t="shared" si="2"/>
        <v>#VALUE!</v>
      </c>
    </row>
    <row r="2173" spans="1:9" ht="15.75" customHeight="1">
      <c r="A2173" s="26"/>
      <c r="B2173" s="2"/>
      <c r="C2173" s="26"/>
      <c r="D2173" s="26"/>
      <c r="F2173" s="85" t="str">
        <f t="shared" si="0"/>
        <v/>
      </c>
      <c r="G2173" s="1" t="e">
        <f>IF(VALUE(F2173) = VALUE(RIGHT(Insights!$C$3, 4)), E2173, "")</f>
        <v>#VALUE!</v>
      </c>
      <c r="H2173" s="26" t="e">
        <f t="shared" si="1"/>
        <v>#VALUE!</v>
      </c>
      <c r="I2173" s="1" t="e">
        <f t="shared" si="2"/>
        <v>#VALUE!</v>
      </c>
    </row>
    <row r="2174" spans="1:9" ht="15.75" customHeight="1">
      <c r="A2174" s="26"/>
      <c r="B2174" s="2"/>
      <c r="C2174" s="26"/>
      <c r="D2174" s="26"/>
      <c r="F2174" s="85" t="str">
        <f t="shared" si="0"/>
        <v/>
      </c>
      <c r="G2174" s="1" t="e">
        <f>IF(VALUE(F2174) = VALUE(RIGHT(Insights!$C$3, 4)), E2174, "")</f>
        <v>#VALUE!</v>
      </c>
      <c r="H2174" s="26" t="e">
        <f t="shared" si="1"/>
        <v>#VALUE!</v>
      </c>
      <c r="I2174" s="1" t="e">
        <f t="shared" si="2"/>
        <v>#VALUE!</v>
      </c>
    </row>
    <row r="2175" spans="1:9" ht="15.75" customHeight="1">
      <c r="A2175" s="26"/>
      <c r="B2175" s="2"/>
      <c r="C2175" s="26"/>
      <c r="D2175" s="26"/>
      <c r="F2175" s="85" t="str">
        <f t="shared" si="0"/>
        <v/>
      </c>
      <c r="G2175" s="1" t="e">
        <f>IF(VALUE(F2175) = VALUE(RIGHT(Insights!$C$3, 4)), E2175, "")</f>
        <v>#VALUE!</v>
      </c>
      <c r="H2175" s="26" t="e">
        <f t="shared" si="1"/>
        <v>#VALUE!</v>
      </c>
      <c r="I2175" s="1" t="e">
        <f t="shared" si="2"/>
        <v>#VALUE!</v>
      </c>
    </row>
    <row r="2176" spans="1:9" ht="15.75" customHeight="1">
      <c r="A2176" s="26"/>
      <c r="B2176" s="2"/>
      <c r="C2176" s="26"/>
      <c r="D2176" s="26"/>
      <c r="F2176" s="85" t="str">
        <f t="shared" si="0"/>
        <v/>
      </c>
      <c r="G2176" s="1" t="e">
        <f>IF(VALUE(F2176) = VALUE(RIGHT(Insights!$C$3, 4)), E2176, "")</f>
        <v>#VALUE!</v>
      </c>
      <c r="H2176" s="26" t="e">
        <f t="shared" si="1"/>
        <v>#VALUE!</v>
      </c>
      <c r="I2176" s="1" t="e">
        <f t="shared" si="2"/>
        <v>#VALUE!</v>
      </c>
    </row>
    <row r="2177" spans="1:9" ht="15.75" customHeight="1">
      <c r="A2177" s="26"/>
      <c r="B2177" s="2"/>
      <c r="C2177" s="26"/>
      <c r="D2177" s="26"/>
      <c r="F2177" s="85" t="str">
        <f t="shared" si="0"/>
        <v/>
      </c>
      <c r="G2177" s="1" t="e">
        <f>IF(VALUE(F2177) = VALUE(RIGHT(Insights!$C$3, 4)), E2177, "")</f>
        <v>#VALUE!</v>
      </c>
      <c r="H2177" s="26" t="e">
        <f t="shared" si="1"/>
        <v>#VALUE!</v>
      </c>
      <c r="I2177" s="1" t="e">
        <f t="shared" si="2"/>
        <v>#VALUE!</v>
      </c>
    </row>
    <row r="2178" spans="1:9" ht="15.75" customHeight="1">
      <c r="A2178" s="26"/>
      <c r="B2178" s="2"/>
      <c r="C2178" s="26"/>
      <c r="D2178" s="26"/>
      <c r="F2178" s="85" t="str">
        <f t="shared" si="0"/>
        <v/>
      </c>
      <c r="G2178" s="1" t="e">
        <f>IF(VALUE(F2178) = VALUE(RIGHT(Insights!$C$3, 4)), E2178, "")</f>
        <v>#VALUE!</v>
      </c>
      <c r="H2178" s="26" t="e">
        <f t="shared" si="1"/>
        <v>#VALUE!</v>
      </c>
      <c r="I2178" s="1" t="e">
        <f t="shared" si="2"/>
        <v>#VALUE!</v>
      </c>
    </row>
    <row r="2179" spans="1:9" ht="15.75" customHeight="1">
      <c r="A2179" s="26"/>
      <c r="B2179" s="2"/>
      <c r="C2179" s="26"/>
      <c r="D2179" s="26"/>
      <c r="F2179" s="85" t="str">
        <f t="shared" si="0"/>
        <v/>
      </c>
      <c r="G2179" s="1" t="e">
        <f>IF(VALUE(F2179) = VALUE(RIGHT(Insights!$C$3, 4)), E2179, "")</f>
        <v>#VALUE!</v>
      </c>
      <c r="H2179" s="26" t="e">
        <f t="shared" si="1"/>
        <v>#VALUE!</v>
      </c>
      <c r="I2179" s="1" t="e">
        <f t="shared" si="2"/>
        <v>#VALUE!</v>
      </c>
    </row>
    <row r="2180" spans="1:9" ht="15.75" customHeight="1">
      <c r="A2180" s="26"/>
      <c r="B2180" s="2"/>
      <c r="C2180" s="26"/>
      <c r="D2180" s="26"/>
      <c r="F2180" s="85" t="str">
        <f t="shared" si="0"/>
        <v/>
      </c>
      <c r="G2180" s="1" t="e">
        <f>IF(VALUE(F2180) = VALUE(RIGHT(Insights!$C$3, 4)), E2180, "")</f>
        <v>#VALUE!</v>
      </c>
      <c r="H2180" s="26" t="e">
        <f t="shared" si="1"/>
        <v>#VALUE!</v>
      </c>
      <c r="I2180" s="1" t="e">
        <f t="shared" si="2"/>
        <v>#VALUE!</v>
      </c>
    </row>
    <row r="2181" spans="1:9" ht="15.75" customHeight="1">
      <c r="A2181" s="26"/>
      <c r="B2181" s="2"/>
      <c r="C2181" s="26"/>
      <c r="D2181" s="26"/>
      <c r="F2181" s="85" t="str">
        <f t="shared" si="0"/>
        <v/>
      </c>
      <c r="G2181" s="1" t="e">
        <f>IF(VALUE(F2181) = VALUE(RIGHT(Insights!$C$3, 4)), E2181, "")</f>
        <v>#VALUE!</v>
      </c>
      <c r="H2181" s="26" t="e">
        <f t="shared" si="1"/>
        <v>#VALUE!</v>
      </c>
      <c r="I2181" s="1" t="e">
        <f t="shared" si="2"/>
        <v>#VALUE!</v>
      </c>
    </row>
    <row r="2182" spans="1:9" ht="15.75" customHeight="1">
      <c r="A2182" s="26"/>
      <c r="B2182" s="2"/>
      <c r="C2182" s="26"/>
      <c r="D2182" s="26"/>
      <c r="F2182" s="85" t="str">
        <f t="shared" si="0"/>
        <v/>
      </c>
      <c r="G2182" s="1" t="e">
        <f>IF(VALUE(F2182) = VALUE(RIGHT(Insights!$C$3, 4)), E2182, "")</f>
        <v>#VALUE!</v>
      </c>
      <c r="H2182" s="26" t="e">
        <f t="shared" si="1"/>
        <v>#VALUE!</v>
      </c>
      <c r="I2182" s="1" t="e">
        <f t="shared" si="2"/>
        <v>#VALUE!</v>
      </c>
    </row>
    <row r="2183" spans="1:9" ht="15.75" customHeight="1">
      <c r="A2183" s="26"/>
      <c r="B2183" s="2"/>
      <c r="C2183" s="26"/>
      <c r="D2183" s="26"/>
      <c r="F2183" s="85" t="str">
        <f t="shared" si="0"/>
        <v/>
      </c>
      <c r="G2183" s="1" t="e">
        <f>IF(VALUE(F2183) = VALUE(RIGHT(Insights!$C$3, 4)), E2183, "")</f>
        <v>#VALUE!</v>
      </c>
      <c r="H2183" s="26" t="e">
        <f t="shared" si="1"/>
        <v>#VALUE!</v>
      </c>
      <c r="I2183" s="1" t="e">
        <f t="shared" si="2"/>
        <v>#VALUE!</v>
      </c>
    </row>
    <row r="2184" spans="1:9" ht="15.75" customHeight="1">
      <c r="A2184" s="26"/>
      <c r="B2184" s="2"/>
      <c r="C2184" s="26"/>
      <c r="D2184" s="26"/>
      <c r="F2184" s="85" t="str">
        <f t="shared" si="0"/>
        <v/>
      </c>
      <c r="G2184" s="1" t="e">
        <f>IF(VALUE(F2184) = VALUE(RIGHT(Insights!$C$3, 4)), E2184, "")</f>
        <v>#VALUE!</v>
      </c>
      <c r="H2184" s="26" t="e">
        <f t="shared" si="1"/>
        <v>#VALUE!</v>
      </c>
      <c r="I2184" s="1" t="e">
        <f t="shared" si="2"/>
        <v>#VALUE!</v>
      </c>
    </row>
    <row r="2185" spans="1:9" ht="15.75" customHeight="1">
      <c r="A2185" s="26"/>
      <c r="B2185" s="2"/>
      <c r="C2185" s="26"/>
      <c r="D2185" s="26"/>
      <c r="F2185" s="85" t="str">
        <f t="shared" si="0"/>
        <v/>
      </c>
      <c r="G2185" s="1" t="e">
        <f>IF(VALUE(F2185) = VALUE(RIGHT(Insights!$C$3, 4)), E2185, "")</f>
        <v>#VALUE!</v>
      </c>
      <c r="H2185" s="26" t="e">
        <f t="shared" si="1"/>
        <v>#VALUE!</v>
      </c>
      <c r="I2185" s="1" t="e">
        <f t="shared" si="2"/>
        <v>#VALUE!</v>
      </c>
    </row>
    <row r="2186" spans="1:9" ht="15.75" customHeight="1">
      <c r="A2186" s="26"/>
      <c r="B2186" s="2"/>
      <c r="C2186" s="26"/>
      <c r="D2186" s="26"/>
      <c r="F2186" s="85" t="str">
        <f t="shared" si="0"/>
        <v/>
      </c>
      <c r="G2186" s="1" t="e">
        <f>IF(VALUE(F2186) = VALUE(RIGHT(Insights!$C$3, 4)), E2186, "")</f>
        <v>#VALUE!</v>
      </c>
      <c r="H2186" s="26" t="e">
        <f t="shared" si="1"/>
        <v>#VALUE!</v>
      </c>
      <c r="I2186" s="1" t="e">
        <f t="shared" si="2"/>
        <v>#VALUE!</v>
      </c>
    </row>
    <row r="2187" spans="1:9" ht="15.75" customHeight="1">
      <c r="A2187" s="26"/>
      <c r="B2187" s="2"/>
      <c r="C2187" s="26"/>
      <c r="D2187" s="26"/>
      <c r="F2187" s="85" t="str">
        <f t="shared" si="0"/>
        <v/>
      </c>
      <c r="G2187" s="1" t="e">
        <f>IF(VALUE(F2187) = VALUE(RIGHT(Insights!$C$3, 4)), E2187, "")</f>
        <v>#VALUE!</v>
      </c>
      <c r="H2187" s="26" t="e">
        <f t="shared" si="1"/>
        <v>#VALUE!</v>
      </c>
      <c r="I2187" s="1" t="e">
        <f t="shared" si="2"/>
        <v>#VALUE!</v>
      </c>
    </row>
    <row r="2188" spans="1:9" ht="15.75" customHeight="1">
      <c r="A2188" s="26"/>
      <c r="B2188" s="2"/>
      <c r="C2188" s="26"/>
      <c r="D2188" s="26"/>
      <c r="F2188" s="85" t="str">
        <f t="shared" si="0"/>
        <v/>
      </c>
      <c r="G2188" s="1" t="e">
        <f>IF(VALUE(F2188) = VALUE(RIGHT(Insights!$C$3, 4)), E2188, "")</f>
        <v>#VALUE!</v>
      </c>
      <c r="H2188" s="26" t="e">
        <f t="shared" si="1"/>
        <v>#VALUE!</v>
      </c>
      <c r="I2188" s="1" t="e">
        <f t="shared" si="2"/>
        <v>#VALUE!</v>
      </c>
    </row>
    <row r="2189" spans="1:9" ht="15.75" customHeight="1">
      <c r="A2189" s="26"/>
      <c r="B2189" s="2"/>
      <c r="C2189" s="26"/>
      <c r="D2189" s="26"/>
      <c r="F2189" s="85" t="str">
        <f t="shared" si="0"/>
        <v/>
      </c>
      <c r="G2189" s="1" t="e">
        <f>IF(VALUE(F2189) = VALUE(RIGHT(Insights!$C$3, 4)), E2189, "")</f>
        <v>#VALUE!</v>
      </c>
      <c r="H2189" s="26" t="e">
        <f t="shared" si="1"/>
        <v>#VALUE!</v>
      </c>
      <c r="I2189" s="1" t="e">
        <f t="shared" si="2"/>
        <v>#VALUE!</v>
      </c>
    </row>
    <row r="2190" spans="1:9" ht="15.75" customHeight="1">
      <c r="A2190" s="26"/>
      <c r="B2190" s="2"/>
      <c r="C2190" s="26"/>
      <c r="D2190" s="26"/>
      <c r="F2190" s="85" t="str">
        <f t="shared" si="0"/>
        <v/>
      </c>
      <c r="G2190" s="1" t="e">
        <f>IF(VALUE(F2190) = VALUE(RIGHT(Insights!$C$3, 4)), E2190, "")</f>
        <v>#VALUE!</v>
      </c>
      <c r="H2190" s="26" t="e">
        <f t="shared" si="1"/>
        <v>#VALUE!</v>
      </c>
      <c r="I2190" s="1" t="e">
        <f t="shared" si="2"/>
        <v>#VALUE!</v>
      </c>
    </row>
    <row r="2191" spans="1:9" ht="15.75" customHeight="1">
      <c r="A2191" s="26"/>
      <c r="B2191" s="2"/>
      <c r="C2191" s="26"/>
      <c r="D2191" s="26"/>
      <c r="F2191" s="85" t="str">
        <f t="shared" si="0"/>
        <v/>
      </c>
      <c r="G2191" s="1" t="e">
        <f>IF(VALUE(F2191) = VALUE(RIGHT(Insights!$C$3, 4)), E2191, "")</f>
        <v>#VALUE!</v>
      </c>
      <c r="H2191" s="26" t="e">
        <f t="shared" si="1"/>
        <v>#VALUE!</v>
      </c>
      <c r="I2191" s="1" t="e">
        <f t="shared" si="2"/>
        <v>#VALUE!</v>
      </c>
    </row>
    <row r="2192" spans="1:9" ht="15.75" customHeight="1">
      <c r="A2192" s="26"/>
      <c r="B2192" s="2"/>
      <c r="C2192" s="26"/>
      <c r="D2192" s="26"/>
      <c r="F2192" s="85" t="str">
        <f t="shared" si="0"/>
        <v/>
      </c>
      <c r="G2192" s="1" t="e">
        <f>IF(VALUE(F2192) = VALUE(RIGHT(Insights!$C$3, 4)), E2192, "")</f>
        <v>#VALUE!</v>
      </c>
      <c r="H2192" s="26" t="e">
        <f t="shared" si="1"/>
        <v>#VALUE!</v>
      </c>
      <c r="I2192" s="1" t="e">
        <f t="shared" si="2"/>
        <v>#VALUE!</v>
      </c>
    </row>
    <row r="2193" spans="1:9" ht="15.75" customHeight="1">
      <c r="A2193" s="26"/>
      <c r="B2193" s="2"/>
      <c r="C2193" s="26"/>
      <c r="D2193" s="26"/>
      <c r="F2193" s="85" t="str">
        <f t="shared" si="0"/>
        <v/>
      </c>
      <c r="G2193" s="1" t="e">
        <f>IF(VALUE(F2193) = VALUE(RIGHT(Insights!$C$3, 4)), E2193, "")</f>
        <v>#VALUE!</v>
      </c>
      <c r="H2193" s="26" t="e">
        <f t="shared" si="1"/>
        <v>#VALUE!</v>
      </c>
      <c r="I2193" s="1" t="e">
        <f t="shared" si="2"/>
        <v>#VALUE!</v>
      </c>
    </row>
    <row r="2194" spans="1:9" ht="15.75" customHeight="1">
      <c r="A2194" s="26"/>
      <c r="B2194" s="2"/>
      <c r="C2194" s="26"/>
      <c r="D2194" s="26"/>
      <c r="F2194" s="85" t="str">
        <f t="shared" si="0"/>
        <v/>
      </c>
      <c r="G2194" s="1" t="e">
        <f>IF(VALUE(F2194) = VALUE(RIGHT(Insights!$C$3, 4)), E2194, "")</f>
        <v>#VALUE!</v>
      </c>
      <c r="H2194" s="26" t="e">
        <f t="shared" si="1"/>
        <v>#VALUE!</v>
      </c>
      <c r="I2194" s="1" t="e">
        <f t="shared" si="2"/>
        <v>#VALUE!</v>
      </c>
    </row>
    <row r="2195" spans="1:9" ht="15.75" customHeight="1">
      <c r="A2195" s="26"/>
      <c r="B2195" s="2"/>
      <c r="C2195" s="26"/>
      <c r="D2195" s="26"/>
      <c r="F2195" s="85" t="str">
        <f t="shared" si="0"/>
        <v/>
      </c>
      <c r="G2195" s="1" t="e">
        <f>IF(VALUE(F2195) = VALUE(RIGHT(Insights!$C$3, 4)), E2195, "")</f>
        <v>#VALUE!</v>
      </c>
      <c r="H2195" s="26" t="e">
        <f t="shared" si="1"/>
        <v>#VALUE!</v>
      </c>
      <c r="I2195" s="1" t="e">
        <f t="shared" si="2"/>
        <v>#VALUE!</v>
      </c>
    </row>
    <row r="2196" spans="1:9" ht="15.75" customHeight="1">
      <c r="A2196" s="26"/>
      <c r="B2196" s="2"/>
      <c r="C2196" s="26"/>
      <c r="D2196" s="26"/>
      <c r="F2196" s="85" t="str">
        <f t="shared" si="0"/>
        <v/>
      </c>
      <c r="G2196" s="1" t="e">
        <f>IF(VALUE(F2196) = VALUE(RIGHT(Insights!$C$3, 4)), E2196, "")</f>
        <v>#VALUE!</v>
      </c>
      <c r="H2196" s="26" t="e">
        <f t="shared" si="1"/>
        <v>#VALUE!</v>
      </c>
      <c r="I2196" s="1" t="e">
        <f t="shared" si="2"/>
        <v>#VALUE!</v>
      </c>
    </row>
    <row r="2197" spans="1:9" ht="15.75" customHeight="1">
      <c r="A2197" s="26"/>
      <c r="B2197" s="2"/>
      <c r="C2197" s="26"/>
      <c r="D2197" s="26"/>
      <c r="F2197" s="85" t="str">
        <f t="shared" si="0"/>
        <v/>
      </c>
      <c r="G2197" s="1" t="e">
        <f>IF(VALUE(F2197) = VALUE(RIGHT(Insights!$C$3, 4)), E2197, "")</f>
        <v>#VALUE!</v>
      </c>
      <c r="H2197" s="26" t="e">
        <f t="shared" si="1"/>
        <v>#VALUE!</v>
      </c>
      <c r="I2197" s="1" t="e">
        <f t="shared" si="2"/>
        <v>#VALUE!</v>
      </c>
    </row>
    <row r="2198" spans="1:9" ht="15.75" customHeight="1">
      <c r="A2198" s="26"/>
      <c r="B2198" s="2"/>
      <c r="C2198" s="26"/>
      <c r="D2198" s="26"/>
      <c r="F2198" s="85" t="str">
        <f t="shared" si="0"/>
        <v/>
      </c>
      <c r="G2198" s="1" t="e">
        <f>IF(VALUE(F2198) = VALUE(RIGHT(Insights!$C$3, 4)), E2198, "")</f>
        <v>#VALUE!</v>
      </c>
      <c r="H2198" s="26" t="e">
        <f t="shared" si="1"/>
        <v>#VALUE!</v>
      </c>
      <c r="I2198" s="1" t="e">
        <f t="shared" si="2"/>
        <v>#VALUE!</v>
      </c>
    </row>
    <row r="2199" spans="1:9" ht="15.75" customHeight="1">
      <c r="A2199" s="26"/>
      <c r="B2199" s="2"/>
      <c r="C2199" s="26"/>
      <c r="D2199" s="26"/>
      <c r="F2199" s="85" t="str">
        <f t="shared" si="0"/>
        <v/>
      </c>
      <c r="G2199" s="1" t="e">
        <f>IF(VALUE(F2199) = VALUE(RIGHT(Insights!$C$3, 4)), E2199, "")</f>
        <v>#VALUE!</v>
      </c>
      <c r="H2199" s="26" t="e">
        <f t="shared" si="1"/>
        <v>#VALUE!</v>
      </c>
      <c r="I2199" s="1" t="e">
        <f t="shared" si="2"/>
        <v>#VALUE!</v>
      </c>
    </row>
    <row r="2200" spans="1:9" ht="15.75" customHeight="1">
      <c r="A2200" s="26"/>
      <c r="B2200" s="2"/>
      <c r="C2200" s="26"/>
      <c r="D2200" s="26"/>
      <c r="F2200" s="85" t="str">
        <f t="shared" si="0"/>
        <v/>
      </c>
      <c r="G2200" s="1" t="e">
        <f>IF(VALUE(F2200) = VALUE(RIGHT(Insights!$C$3, 4)), E2200, "")</f>
        <v>#VALUE!</v>
      </c>
      <c r="H2200" s="26" t="e">
        <f t="shared" si="1"/>
        <v>#VALUE!</v>
      </c>
      <c r="I2200" s="1" t="e">
        <f t="shared" si="2"/>
        <v>#VALUE!</v>
      </c>
    </row>
    <row r="2201" spans="1:9" ht="15.75" customHeight="1">
      <c r="A2201" s="26"/>
      <c r="B2201" s="2"/>
      <c r="C2201" s="26"/>
      <c r="D2201" s="26"/>
      <c r="F2201" s="85" t="str">
        <f t="shared" si="0"/>
        <v/>
      </c>
      <c r="G2201" s="1" t="e">
        <f>IF(VALUE(F2201) = VALUE(RIGHT(Insights!$C$3, 4)), E2201, "")</f>
        <v>#VALUE!</v>
      </c>
      <c r="H2201" s="26" t="e">
        <f t="shared" si="1"/>
        <v>#VALUE!</v>
      </c>
      <c r="I2201" s="1" t="e">
        <f t="shared" si="2"/>
        <v>#VALUE!</v>
      </c>
    </row>
    <row r="2202" spans="1:9" ht="15.75" customHeight="1">
      <c r="A2202" s="26"/>
      <c r="B2202" s="2"/>
      <c r="C2202" s="26"/>
      <c r="D2202" s="26"/>
      <c r="F2202" s="85" t="str">
        <f t="shared" si="0"/>
        <v/>
      </c>
      <c r="G2202" s="1" t="e">
        <f>IF(VALUE(F2202) = VALUE(RIGHT(Insights!$C$3, 4)), E2202, "")</f>
        <v>#VALUE!</v>
      </c>
      <c r="H2202" s="26" t="e">
        <f t="shared" si="1"/>
        <v>#VALUE!</v>
      </c>
      <c r="I2202" s="1" t="e">
        <f t="shared" si="2"/>
        <v>#VALUE!</v>
      </c>
    </row>
    <row r="2203" spans="1:9" ht="15.75" customHeight="1">
      <c r="A2203" s="26"/>
      <c r="B2203" s="2"/>
      <c r="C2203" s="26"/>
      <c r="D2203" s="26"/>
      <c r="F2203" s="85" t="str">
        <f t="shared" si="0"/>
        <v/>
      </c>
      <c r="G2203" s="1" t="e">
        <f>IF(VALUE(F2203) = VALUE(RIGHT(Insights!$C$3, 4)), E2203, "")</f>
        <v>#VALUE!</v>
      </c>
      <c r="H2203" s="26" t="e">
        <f t="shared" si="1"/>
        <v>#VALUE!</v>
      </c>
      <c r="I2203" s="1" t="e">
        <f t="shared" si="2"/>
        <v>#VALUE!</v>
      </c>
    </row>
    <row r="2204" spans="1:9" ht="15.75" customHeight="1">
      <c r="A2204" s="26"/>
      <c r="B2204" s="2"/>
      <c r="C2204" s="26"/>
      <c r="D2204" s="26"/>
      <c r="F2204" s="85" t="str">
        <f t="shared" si="0"/>
        <v/>
      </c>
      <c r="G2204" s="1" t="e">
        <f>IF(VALUE(F2204) = VALUE(RIGHT(Insights!$C$3, 4)), E2204, "")</f>
        <v>#VALUE!</v>
      </c>
      <c r="H2204" s="26" t="e">
        <f t="shared" si="1"/>
        <v>#VALUE!</v>
      </c>
      <c r="I2204" s="1" t="e">
        <f t="shared" si="2"/>
        <v>#VALUE!</v>
      </c>
    </row>
    <row r="2205" spans="1:9" ht="15.75" customHeight="1">
      <c r="A2205" s="26"/>
      <c r="B2205" s="2"/>
      <c r="C2205" s="26"/>
      <c r="D2205" s="26"/>
      <c r="F2205" s="85" t="str">
        <f t="shared" si="0"/>
        <v/>
      </c>
      <c r="G2205" s="1" t="e">
        <f>IF(VALUE(F2205) = VALUE(RIGHT(Insights!$C$3, 4)), E2205, "")</f>
        <v>#VALUE!</v>
      </c>
      <c r="H2205" s="26" t="e">
        <f t="shared" si="1"/>
        <v>#VALUE!</v>
      </c>
      <c r="I2205" s="1" t="e">
        <f t="shared" si="2"/>
        <v>#VALUE!</v>
      </c>
    </row>
    <row r="2206" spans="1:9" ht="15.75" customHeight="1">
      <c r="A2206" s="26"/>
      <c r="B2206" s="2"/>
      <c r="C2206" s="26"/>
      <c r="D2206" s="26"/>
      <c r="F2206" s="85" t="str">
        <f t="shared" si="0"/>
        <v/>
      </c>
      <c r="G2206" s="1" t="e">
        <f>IF(VALUE(F2206) = VALUE(RIGHT(Insights!$C$3, 4)), E2206, "")</f>
        <v>#VALUE!</v>
      </c>
      <c r="H2206" s="26" t="e">
        <f t="shared" si="1"/>
        <v>#VALUE!</v>
      </c>
      <c r="I2206" s="1" t="e">
        <f t="shared" si="2"/>
        <v>#VALUE!</v>
      </c>
    </row>
    <row r="2207" spans="1:9" ht="15.75" customHeight="1">
      <c r="A2207" s="26"/>
      <c r="B2207" s="2"/>
      <c r="C2207" s="26"/>
      <c r="D2207" s="26"/>
      <c r="F2207" s="85" t="str">
        <f t="shared" si="0"/>
        <v/>
      </c>
      <c r="G2207" s="1" t="e">
        <f>IF(VALUE(F2207) = VALUE(RIGHT(Insights!$C$3, 4)), E2207, "")</f>
        <v>#VALUE!</v>
      </c>
      <c r="H2207" s="26" t="e">
        <f t="shared" si="1"/>
        <v>#VALUE!</v>
      </c>
      <c r="I2207" s="1" t="e">
        <f t="shared" si="2"/>
        <v>#VALUE!</v>
      </c>
    </row>
    <row r="2208" spans="1:9" ht="15.75" customHeight="1">
      <c r="A2208" s="26"/>
      <c r="B2208" s="2"/>
      <c r="C2208" s="26"/>
      <c r="D2208" s="26"/>
      <c r="F2208" s="85" t="str">
        <f t="shared" si="0"/>
        <v/>
      </c>
      <c r="G2208" s="1" t="e">
        <f>IF(VALUE(F2208) = VALUE(RIGHT(Insights!$C$3, 4)), E2208, "")</f>
        <v>#VALUE!</v>
      </c>
      <c r="H2208" s="26" t="e">
        <f t="shared" si="1"/>
        <v>#VALUE!</v>
      </c>
      <c r="I2208" s="1" t="e">
        <f t="shared" si="2"/>
        <v>#VALUE!</v>
      </c>
    </row>
    <row r="2209" spans="1:9" ht="15.75" customHeight="1">
      <c r="A2209" s="26"/>
      <c r="B2209" s="2"/>
      <c r="C2209" s="26"/>
      <c r="D2209" s="26"/>
      <c r="F2209" s="85" t="str">
        <f t="shared" si="0"/>
        <v/>
      </c>
      <c r="G2209" s="1" t="e">
        <f>IF(VALUE(F2209) = VALUE(RIGHT(Insights!$C$3, 4)), E2209, "")</f>
        <v>#VALUE!</v>
      </c>
      <c r="H2209" s="26" t="e">
        <f t="shared" si="1"/>
        <v>#VALUE!</v>
      </c>
      <c r="I2209" s="1" t="e">
        <f t="shared" si="2"/>
        <v>#VALUE!</v>
      </c>
    </row>
    <row r="2210" spans="1:9" ht="15.75" customHeight="1">
      <c r="A2210" s="26"/>
      <c r="B2210" s="2"/>
      <c r="C2210" s="26"/>
      <c r="D2210" s="26"/>
      <c r="F2210" s="85" t="str">
        <f t="shared" si="0"/>
        <v/>
      </c>
      <c r="G2210" s="1" t="e">
        <f>IF(VALUE(F2210) = VALUE(RIGHT(Insights!$C$3, 4)), E2210, "")</f>
        <v>#VALUE!</v>
      </c>
      <c r="H2210" s="26" t="e">
        <f t="shared" si="1"/>
        <v>#VALUE!</v>
      </c>
      <c r="I2210" s="1" t="e">
        <f t="shared" si="2"/>
        <v>#VALUE!</v>
      </c>
    </row>
    <row r="2211" spans="1:9" ht="15.75" customHeight="1">
      <c r="A2211" s="26"/>
      <c r="B2211" s="2"/>
      <c r="C2211" s="26"/>
      <c r="D2211" s="26"/>
      <c r="F2211" s="85" t="str">
        <f t="shared" si="0"/>
        <v/>
      </c>
      <c r="G2211" s="1" t="e">
        <f>IF(VALUE(F2211) = VALUE(RIGHT(Insights!$C$3, 4)), E2211, "")</f>
        <v>#VALUE!</v>
      </c>
      <c r="H2211" s="26" t="e">
        <f t="shared" si="1"/>
        <v>#VALUE!</v>
      </c>
      <c r="I2211" s="1" t="e">
        <f t="shared" si="2"/>
        <v>#VALUE!</v>
      </c>
    </row>
    <row r="2212" spans="1:9" ht="15.75" customHeight="1">
      <c r="A2212" s="26"/>
      <c r="B2212" s="2"/>
      <c r="C2212" s="26"/>
      <c r="D2212" s="26"/>
      <c r="F2212" s="85" t="str">
        <f t="shared" si="0"/>
        <v/>
      </c>
      <c r="G2212" s="1" t="e">
        <f>IF(VALUE(F2212) = VALUE(RIGHT(Insights!$C$3, 4)), E2212, "")</f>
        <v>#VALUE!</v>
      </c>
      <c r="H2212" s="26" t="e">
        <f t="shared" si="1"/>
        <v>#VALUE!</v>
      </c>
      <c r="I2212" s="1" t="e">
        <f t="shared" si="2"/>
        <v>#VALUE!</v>
      </c>
    </row>
    <row r="2213" spans="1:9" ht="15.75" customHeight="1">
      <c r="A2213" s="26"/>
      <c r="B2213" s="2"/>
      <c r="C2213" s="26"/>
      <c r="D2213" s="26"/>
      <c r="F2213" s="85" t="str">
        <f t="shared" si="0"/>
        <v/>
      </c>
      <c r="G2213" s="1" t="e">
        <f>IF(VALUE(F2213) = VALUE(RIGHT(Insights!$C$3, 4)), E2213, "")</f>
        <v>#VALUE!</v>
      </c>
      <c r="H2213" s="26" t="e">
        <f t="shared" si="1"/>
        <v>#VALUE!</v>
      </c>
      <c r="I2213" s="1" t="e">
        <f t="shared" si="2"/>
        <v>#VALUE!</v>
      </c>
    </row>
    <row r="2214" spans="1:9" ht="15.75" customHeight="1">
      <c r="A2214" s="26"/>
      <c r="B2214" s="2"/>
      <c r="C2214" s="26"/>
      <c r="D2214" s="26"/>
      <c r="F2214" s="85" t="str">
        <f t="shared" si="0"/>
        <v/>
      </c>
      <c r="G2214" s="1" t="e">
        <f>IF(VALUE(F2214) = VALUE(RIGHT(Insights!$C$3, 4)), E2214, "")</f>
        <v>#VALUE!</v>
      </c>
      <c r="H2214" s="26" t="e">
        <f t="shared" si="1"/>
        <v>#VALUE!</v>
      </c>
      <c r="I2214" s="1" t="e">
        <f t="shared" si="2"/>
        <v>#VALUE!</v>
      </c>
    </row>
    <row r="2215" spans="1:9" ht="15.75" customHeight="1">
      <c r="A2215" s="26"/>
      <c r="B2215" s="2"/>
      <c r="C2215" s="26"/>
      <c r="D2215" s="26"/>
      <c r="F2215" s="85" t="str">
        <f t="shared" si="0"/>
        <v/>
      </c>
      <c r="G2215" s="1" t="e">
        <f>IF(VALUE(F2215) = VALUE(RIGHT(Insights!$C$3, 4)), E2215, "")</f>
        <v>#VALUE!</v>
      </c>
      <c r="H2215" s="26" t="e">
        <f t="shared" si="1"/>
        <v>#VALUE!</v>
      </c>
      <c r="I2215" s="1" t="e">
        <f t="shared" si="2"/>
        <v>#VALUE!</v>
      </c>
    </row>
    <row r="2216" spans="1:9" ht="15.75" customHeight="1">
      <c r="A2216" s="26"/>
      <c r="B2216" s="2"/>
      <c r="C2216" s="26"/>
      <c r="D2216" s="26"/>
      <c r="F2216" s="85" t="str">
        <f t="shared" si="0"/>
        <v/>
      </c>
      <c r="G2216" s="1" t="e">
        <f>IF(VALUE(F2216) = VALUE(RIGHT(Insights!$C$3, 4)), E2216, "")</f>
        <v>#VALUE!</v>
      </c>
      <c r="H2216" s="26" t="e">
        <f t="shared" si="1"/>
        <v>#VALUE!</v>
      </c>
      <c r="I2216" s="1" t="e">
        <f t="shared" si="2"/>
        <v>#VALUE!</v>
      </c>
    </row>
    <row r="2217" spans="1:9" ht="15.75" customHeight="1">
      <c r="A2217" s="26"/>
      <c r="B2217" s="2"/>
      <c r="C2217" s="26"/>
      <c r="D2217" s="26"/>
      <c r="F2217" s="85" t="str">
        <f t="shared" si="0"/>
        <v/>
      </c>
      <c r="G2217" s="1" t="e">
        <f>IF(VALUE(F2217) = VALUE(RIGHT(Insights!$C$3, 4)), E2217, "")</f>
        <v>#VALUE!</v>
      </c>
      <c r="H2217" s="26" t="e">
        <f t="shared" si="1"/>
        <v>#VALUE!</v>
      </c>
      <c r="I2217" s="1" t="e">
        <f t="shared" si="2"/>
        <v>#VALUE!</v>
      </c>
    </row>
    <row r="2218" spans="1:9" ht="15.75" customHeight="1">
      <c r="A2218" s="26"/>
      <c r="B2218" s="2"/>
      <c r="C2218" s="26"/>
      <c r="D2218" s="26"/>
      <c r="F2218" s="85" t="str">
        <f t="shared" si="0"/>
        <v/>
      </c>
      <c r="G2218" s="1" t="e">
        <f>IF(VALUE(F2218) = VALUE(RIGHT(Insights!$C$3, 4)), E2218, "")</f>
        <v>#VALUE!</v>
      </c>
      <c r="H2218" s="26" t="e">
        <f t="shared" si="1"/>
        <v>#VALUE!</v>
      </c>
      <c r="I2218" s="1" t="e">
        <f t="shared" si="2"/>
        <v>#VALUE!</v>
      </c>
    </row>
    <row r="2219" spans="1:9" ht="15.75" customHeight="1">
      <c r="A2219" s="26"/>
      <c r="B2219" s="2"/>
      <c r="C2219" s="26"/>
      <c r="D2219" s="26"/>
      <c r="F2219" s="85" t="str">
        <f t="shared" si="0"/>
        <v/>
      </c>
      <c r="G2219" s="1" t="e">
        <f>IF(VALUE(F2219) = VALUE(RIGHT(Insights!$C$3, 4)), E2219, "")</f>
        <v>#VALUE!</v>
      </c>
      <c r="H2219" s="26" t="e">
        <f t="shared" si="1"/>
        <v>#VALUE!</v>
      </c>
      <c r="I2219" s="1" t="e">
        <f t="shared" si="2"/>
        <v>#VALUE!</v>
      </c>
    </row>
    <row r="2220" spans="1:9" ht="15.75" customHeight="1">
      <c r="A2220" s="26"/>
      <c r="B2220" s="2"/>
      <c r="C2220" s="26"/>
      <c r="D2220" s="26"/>
      <c r="F2220" s="85" t="str">
        <f t="shared" si="0"/>
        <v/>
      </c>
      <c r="G2220" s="1" t="e">
        <f>IF(VALUE(F2220) = VALUE(RIGHT(Insights!$C$3, 4)), E2220, "")</f>
        <v>#VALUE!</v>
      </c>
      <c r="H2220" s="26" t="e">
        <f t="shared" si="1"/>
        <v>#VALUE!</v>
      </c>
      <c r="I2220" s="1" t="e">
        <f t="shared" si="2"/>
        <v>#VALUE!</v>
      </c>
    </row>
    <row r="2221" spans="1:9" ht="15.75" customHeight="1">
      <c r="A2221" s="26"/>
      <c r="B2221" s="2"/>
      <c r="C2221" s="26"/>
      <c r="D2221" s="26"/>
      <c r="F2221" s="85" t="str">
        <f t="shared" si="0"/>
        <v/>
      </c>
      <c r="G2221" s="1" t="e">
        <f>IF(VALUE(F2221) = VALUE(RIGHT(Insights!$C$3, 4)), E2221, "")</f>
        <v>#VALUE!</v>
      </c>
      <c r="H2221" s="26" t="e">
        <f t="shared" si="1"/>
        <v>#VALUE!</v>
      </c>
      <c r="I2221" s="1" t="e">
        <f t="shared" si="2"/>
        <v>#VALUE!</v>
      </c>
    </row>
    <row r="2222" spans="1:9" ht="15.75" customHeight="1">
      <c r="A2222" s="26"/>
      <c r="B2222" s="2"/>
      <c r="C2222" s="26"/>
      <c r="D2222" s="26"/>
      <c r="F2222" s="85" t="str">
        <f t="shared" si="0"/>
        <v/>
      </c>
      <c r="G2222" s="1" t="e">
        <f>IF(VALUE(F2222) = VALUE(RIGHT(Insights!$C$3, 4)), E2222, "")</f>
        <v>#VALUE!</v>
      </c>
      <c r="H2222" s="26" t="e">
        <f t="shared" si="1"/>
        <v>#VALUE!</v>
      </c>
      <c r="I2222" s="1" t="e">
        <f t="shared" si="2"/>
        <v>#VALUE!</v>
      </c>
    </row>
    <row r="2223" spans="1:9" ht="15.75" customHeight="1">
      <c r="A2223" s="26"/>
      <c r="B2223" s="2"/>
      <c r="C2223" s="26"/>
      <c r="D2223" s="26"/>
      <c r="F2223" s="85" t="str">
        <f t="shared" si="0"/>
        <v/>
      </c>
      <c r="G2223" s="1" t="e">
        <f>IF(VALUE(F2223) = VALUE(RIGHT(Insights!$C$3, 4)), E2223, "")</f>
        <v>#VALUE!</v>
      </c>
      <c r="H2223" s="26" t="e">
        <f t="shared" si="1"/>
        <v>#VALUE!</v>
      </c>
      <c r="I2223" s="1" t="e">
        <f t="shared" si="2"/>
        <v>#VALUE!</v>
      </c>
    </row>
    <row r="2224" spans="1:9" ht="15.75" customHeight="1">
      <c r="A2224" s="26"/>
      <c r="B2224" s="2"/>
      <c r="C2224" s="26"/>
      <c r="D2224" s="26"/>
      <c r="F2224" s="85" t="str">
        <f t="shared" si="0"/>
        <v/>
      </c>
      <c r="G2224" s="1" t="e">
        <f>IF(VALUE(F2224) = VALUE(RIGHT(Insights!$C$3, 4)), E2224, "")</f>
        <v>#VALUE!</v>
      </c>
      <c r="H2224" s="26" t="e">
        <f t="shared" si="1"/>
        <v>#VALUE!</v>
      </c>
      <c r="I2224" s="1" t="e">
        <f t="shared" si="2"/>
        <v>#VALUE!</v>
      </c>
    </row>
    <row r="2225" spans="1:9" ht="15.75" customHeight="1">
      <c r="A2225" s="26"/>
      <c r="B2225" s="2"/>
      <c r="C2225" s="26"/>
      <c r="D2225" s="26"/>
      <c r="F2225" s="85" t="str">
        <f t="shared" si="0"/>
        <v/>
      </c>
      <c r="G2225" s="1" t="e">
        <f>IF(VALUE(F2225) = VALUE(RIGHT(Insights!$C$3, 4)), E2225, "")</f>
        <v>#VALUE!</v>
      </c>
      <c r="H2225" s="26" t="e">
        <f t="shared" si="1"/>
        <v>#VALUE!</v>
      </c>
      <c r="I2225" s="1" t="e">
        <f t="shared" si="2"/>
        <v>#VALUE!</v>
      </c>
    </row>
    <row r="2226" spans="1:9" ht="15.75" customHeight="1">
      <c r="A2226" s="26"/>
      <c r="B2226" s="2"/>
      <c r="C2226" s="26"/>
      <c r="D2226" s="26"/>
      <c r="F2226" s="85" t="str">
        <f t="shared" si="0"/>
        <v/>
      </c>
      <c r="G2226" s="1" t="e">
        <f>IF(VALUE(F2226) = VALUE(RIGHT(Insights!$C$3, 4)), E2226, "")</f>
        <v>#VALUE!</v>
      </c>
      <c r="H2226" s="26" t="e">
        <f t="shared" si="1"/>
        <v>#VALUE!</v>
      </c>
      <c r="I2226" s="1" t="e">
        <f t="shared" si="2"/>
        <v>#VALUE!</v>
      </c>
    </row>
    <row r="2227" spans="1:9" ht="15.75" customHeight="1">
      <c r="A2227" s="26"/>
      <c r="B2227" s="2"/>
      <c r="C2227" s="26"/>
      <c r="D2227" s="26"/>
      <c r="F2227" s="85" t="str">
        <f t="shared" si="0"/>
        <v/>
      </c>
      <c r="G2227" s="1" t="e">
        <f>IF(VALUE(F2227) = VALUE(RIGHT(Insights!$C$3, 4)), E2227, "")</f>
        <v>#VALUE!</v>
      </c>
      <c r="H2227" s="26" t="e">
        <f t="shared" si="1"/>
        <v>#VALUE!</v>
      </c>
      <c r="I2227" s="1" t="e">
        <f t="shared" si="2"/>
        <v>#VALUE!</v>
      </c>
    </row>
    <row r="2228" spans="1:9" ht="15.75" customHeight="1">
      <c r="A2228" s="26"/>
      <c r="B2228" s="2"/>
      <c r="C2228" s="26"/>
      <c r="D2228" s="26"/>
      <c r="F2228" s="85" t="str">
        <f t="shared" si="0"/>
        <v/>
      </c>
      <c r="G2228" s="1" t="e">
        <f>IF(VALUE(F2228) = VALUE(RIGHT(Insights!$C$3, 4)), E2228, "")</f>
        <v>#VALUE!</v>
      </c>
      <c r="H2228" s="26" t="e">
        <f t="shared" si="1"/>
        <v>#VALUE!</v>
      </c>
      <c r="I2228" s="1" t="e">
        <f t="shared" si="2"/>
        <v>#VALUE!</v>
      </c>
    </row>
    <row r="2229" spans="1:9" ht="15.75" customHeight="1">
      <c r="A2229" s="26"/>
      <c r="B2229" s="2"/>
      <c r="C2229" s="26"/>
      <c r="D2229" s="26"/>
      <c r="F2229" s="85" t="str">
        <f t="shared" si="0"/>
        <v/>
      </c>
      <c r="G2229" s="1" t="e">
        <f>IF(VALUE(F2229) = VALUE(RIGHT(Insights!$C$3, 4)), E2229, "")</f>
        <v>#VALUE!</v>
      </c>
      <c r="H2229" s="26" t="e">
        <f t="shared" si="1"/>
        <v>#VALUE!</v>
      </c>
      <c r="I2229" s="1" t="e">
        <f t="shared" si="2"/>
        <v>#VALUE!</v>
      </c>
    </row>
    <row r="2230" spans="1:9" ht="15.75" customHeight="1">
      <c r="A2230" s="26"/>
      <c r="B2230" s="2"/>
      <c r="C2230" s="26"/>
      <c r="D2230" s="26"/>
      <c r="F2230" s="85" t="str">
        <f t="shared" si="0"/>
        <v/>
      </c>
      <c r="G2230" s="1" t="e">
        <f>IF(VALUE(F2230) = VALUE(RIGHT(Insights!$C$3, 4)), E2230, "")</f>
        <v>#VALUE!</v>
      </c>
      <c r="H2230" s="26" t="e">
        <f t="shared" si="1"/>
        <v>#VALUE!</v>
      </c>
      <c r="I2230" s="1" t="e">
        <f t="shared" si="2"/>
        <v>#VALUE!</v>
      </c>
    </row>
    <row r="2231" spans="1:9" ht="15.75" customHeight="1">
      <c r="A2231" s="26"/>
      <c r="B2231" s="2"/>
      <c r="C2231" s="26"/>
      <c r="D2231" s="26"/>
      <c r="F2231" s="85" t="str">
        <f t="shared" si="0"/>
        <v/>
      </c>
      <c r="G2231" s="1" t="e">
        <f>IF(VALUE(F2231) = VALUE(RIGHT(Insights!$C$3, 4)), E2231, "")</f>
        <v>#VALUE!</v>
      </c>
      <c r="H2231" s="26" t="e">
        <f t="shared" si="1"/>
        <v>#VALUE!</v>
      </c>
      <c r="I2231" s="1" t="e">
        <f t="shared" si="2"/>
        <v>#VALUE!</v>
      </c>
    </row>
    <row r="2232" spans="1:9" ht="15.75" customHeight="1">
      <c r="A2232" s="26"/>
      <c r="B2232" s="2"/>
      <c r="C2232" s="26"/>
      <c r="D2232" s="26"/>
      <c r="F2232" s="85" t="str">
        <f t="shared" si="0"/>
        <v/>
      </c>
      <c r="G2232" s="1" t="e">
        <f>IF(VALUE(F2232) = VALUE(RIGHT(Insights!$C$3, 4)), E2232, "")</f>
        <v>#VALUE!</v>
      </c>
      <c r="H2232" s="26" t="e">
        <f t="shared" si="1"/>
        <v>#VALUE!</v>
      </c>
      <c r="I2232" s="1" t="e">
        <f t="shared" si="2"/>
        <v>#VALUE!</v>
      </c>
    </row>
    <row r="2233" spans="1:9" ht="15.75" customHeight="1">
      <c r="A2233" s="26"/>
      <c r="B2233" s="2"/>
      <c r="C2233" s="26"/>
      <c r="D2233" s="26"/>
      <c r="F2233" s="85" t="str">
        <f t="shared" si="0"/>
        <v/>
      </c>
      <c r="G2233" s="1" t="e">
        <f>IF(VALUE(F2233) = VALUE(RIGHT(Insights!$C$3, 4)), E2233, "")</f>
        <v>#VALUE!</v>
      </c>
      <c r="H2233" s="26" t="e">
        <f t="shared" si="1"/>
        <v>#VALUE!</v>
      </c>
      <c r="I2233" s="1" t="e">
        <f t="shared" si="2"/>
        <v>#VALUE!</v>
      </c>
    </row>
    <row r="2234" spans="1:9" ht="15.75" customHeight="1">
      <c r="A2234" s="26"/>
      <c r="B2234" s="2"/>
      <c r="C2234" s="26"/>
      <c r="D2234" s="26"/>
      <c r="F2234" s="85" t="str">
        <f t="shared" si="0"/>
        <v/>
      </c>
      <c r="G2234" s="1" t="e">
        <f>IF(VALUE(F2234) = VALUE(RIGHT(Insights!$C$3, 4)), E2234, "")</f>
        <v>#VALUE!</v>
      </c>
      <c r="H2234" s="26" t="e">
        <f t="shared" si="1"/>
        <v>#VALUE!</v>
      </c>
      <c r="I2234" s="1" t="e">
        <f t="shared" si="2"/>
        <v>#VALUE!</v>
      </c>
    </row>
    <row r="2235" spans="1:9" ht="15.75" customHeight="1">
      <c r="A2235" s="26"/>
      <c r="B2235" s="2"/>
      <c r="C2235" s="26"/>
      <c r="D2235" s="26"/>
      <c r="F2235" s="85" t="str">
        <f t="shared" si="0"/>
        <v/>
      </c>
      <c r="G2235" s="1" t="e">
        <f>IF(VALUE(F2235) = VALUE(RIGHT(Insights!$C$3, 4)), E2235, "")</f>
        <v>#VALUE!</v>
      </c>
      <c r="H2235" s="26" t="e">
        <f t="shared" si="1"/>
        <v>#VALUE!</v>
      </c>
      <c r="I2235" s="1" t="e">
        <f t="shared" si="2"/>
        <v>#VALUE!</v>
      </c>
    </row>
    <row r="2236" spans="1:9" ht="15.75" customHeight="1">
      <c r="A2236" s="26"/>
      <c r="B2236" s="2"/>
      <c r="C2236" s="26"/>
      <c r="D2236" s="26"/>
      <c r="F2236" s="85" t="str">
        <f t="shared" si="0"/>
        <v/>
      </c>
      <c r="G2236" s="1" t="e">
        <f>IF(VALUE(F2236) = VALUE(RIGHT(Insights!$C$3, 4)), E2236, "")</f>
        <v>#VALUE!</v>
      </c>
      <c r="H2236" s="26" t="e">
        <f t="shared" si="1"/>
        <v>#VALUE!</v>
      </c>
      <c r="I2236" s="1" t="e">
        <f t="shared" si="2"/>
        <v>#VALUE!</v>
      </c>
    </row>
    <row r="2237" spans="1:9" ht="15.75" customHeight="1">
      <c r="A2237" s="26"/>
      <c r="B2237" s="2"/>
      <c r="C2237" s="26"/>
      <c r="D2237" s="26"/>
      <c r="F2237" s="85" t="str">
        <f t="shared" si="0"/>
        <v/>
      </c>
      <c r="G2237" s="1" t="e">
        <f>IF(VALUE(F2237) = VALUE(RIGHT(Insights!$C$3, 4)), E2237, "")</f>
        <v>#VALUE!</v>
      </c>
      <c r="H2237" s="26" t="e">
        <f t="shared" si="1"/>
        <v>#VALUE!</v>
      </c>
      <c r="I2237" s="1" t="e">
        <f t="shared" si="2"/>
        <v>#VALUE!</v>
      </c>
    </row>
    <row r="2238" spans="1:9" ht="15.75" customHeight="1">
      <c r="A2238" s="26"/>
      <c r="B2238" s="2"/>
      <c r="C2238" s="26"/>
      <c r="D2238" s="26"/>
      <c r="F2238" s="85" t="str">
        <f t="shared" si="0"/>
        <v/>
      </c>
      <c r="G2238" s="1" t="e">
        <f>IF(VALUE(F2238) = VALUE(RIGHT(Insights!$C$3, 4)), E2238, "")</f>
        <v>#VALUE!</v>
      </c>
      <c r="H2238" s="26" t="e">
        <f t="shared" si="1"/>
        <v>#VALUE!</v>
      </c>
      <c r="I2238" s="1" t="e">
        <f t="shared" si="2"/>
        <v>#VALUE!</v>
      </c>
    </row>
    <row r="2239" spans="1:9" ht="15.75" customHeight="1">
      <c r="A2239" s="26"/>
      <c r="B2239" s="2"/>
      <c r="C2239" s="26"/>
      <c r="D2239" s="26"/>
      <c r="F2239" s="85" t="str">
        <f t="shared" si="0"/>
        <v/>
      </c>
      <c r="G2239" s="1" t="e">
        <f>IF(VALUE(F2239) = VALUE(RIGHT(Insights!$C$3, 4)), E2239, "")</f>
        <v>#VALUE!</v>
      </c>
      <c r="H2239" s="26" t="e">
        <f t="shared" si="1"/>
        <v>#VALUE!</v>
      </c>
      <c r="I2239" s="1" t="e">
        <f t="shared" si="2"/>
        <v>#VALUE!</v>
      </c>
    </row>
    <row r="2240" spans="1:9" ht="15.75" customHeight="1">
      <c r="A2240" s="26"/>
      <c r="B2240" s="2"/>
      <c r="C2240" s="26"/>
      <c r="D2240" s="26"/>
      <c r="F2240" s="85" t="str">
        <f t="shared" si="0"/>
        <v/>
      </c>
      <c r="G2240" s="1" t="e">
        <f>IF(VALUE(F2240) = VALUE(RIGHT(Insights!$C$3, 4)), E2240, "")</f>
        <v>#VALUE!</v>
      </c>
      <c r="H2240" s="26" t="e">
        <f t="shared" si="1"/>
        <v>#VALUE!</v>
      </c>
      <c r="I2240" s="1" t="e">
        <f t="shared" si="2"/>
        <v>#VALUE!</v>
      </c>
    </row>
    <row r="2241" spans="1:9" ht="15.75" customHeight="1">
      <c r="A2241" s="26"/>
      <c r="B2241" s="2"/>
      <c r="C2241" s="26"/>
      <c r="D2241" s="26"/>
      <c r="F2241" s="85" t="str">
        <f t="shared" si="0"/>
        <v/>
      </c>
      <c r="G2241" s="1" t="e">
        <f>IF(VALUE(F2241) = VALUE(RIGHT(Insights!$C$3, 4)), E2241, "")</f>
        <v>#VALUE!</v>
      </c>
      <c r="H2241" s="26" t="e">
        <f t="shared" si="1"/>
        <v>#VALUE!</v>
      </c>
      <c r="I2241" s="1" t="e">
        <f t="shared" si="2"/>
        <v>#VALUE!</v>
      </c>
    </row>
    <row r="2242" spans="1:9" ht="15.75" customHeight="1">
      <c r="A2242" s="26"/>
      <c r="B2242" s="2"/>
      <c r="C2242" s="26"/>
      <c r="D2242" s="26"/>
      <c r="F2242" s="85" t="str">
        <f t="shared" si="0"/>
        <v/>
      </c>
      <c r="G2242" s="1" t="e">
        <f>IF(VALUE(F2242) = VALUE(RIGHT(Insights!$C$3, 4)), E2242, "")</f>
        <v>#VALUE!</v>
      </c>
      <c r="H2242" s="26" t="e">
        <f t="shared" si="1"/>
        <v>#VALUE!</v>
      </c>
      <c r="I2242" s="1" t="e">
        <f t="shared" si="2"/>
        <v>#VALUE!</v>
      </c>
    </row>
    <row r="2243" spans="1:9" ht="15.75" customHeight="1">
      <c r="A2243" s="26"/>
      <c r="B2243" s="2"/>
      <c r="C2243" s="26"/>
      <c r="D2243" s="26"/>
      <c r="F2243" s="85" t="str">
        <f t="shared" si="0"/>
        <v/>
      </c>
      <c r="G2243" s="1" t="e">
        <f>IF(VALUE(F2243) = VALUE(RIGHT(Insights!$C$3, 4)), E2243, "")</f>
        <v>#VALUE!</v>
      </c>
      <c r="H2243" s="26" t="e">
        <f t="shared" si="1"/>
        <v>#VALUE!</v>
      </c>
      <c r="I2243" s="1" t="e">
        <f t="shared" si="2"/>
        <v>#VALUE!</v>
      </c>
    </row>
    <row r="2244" spans="1:9" ht="15.75" customHeight="1">
      <c r="A2244" s="26"/>
      <c r="B2244" s="2"/>
      <c r="C2244" s="26"/>
      <c r="D2244" s="26"/>
      <c r="F2244" s="85" t="str">
        <f t="shared" si="0"/>
        <v/>
      </c>
      <c r="G2244" s="1" t="e">
        <f>IF(VALUE(F2244) = VALUE(RIGHT(Insights!$C$3, 4)), E2244, "")</f>
        <v>#VALUE!</v>
      </c>
      <c r="H2244" s="26" t="e">
        <f t="shared" si="1"/>
        <v>#VALUE!</v>
      </c>
      <c r="I2244" s="1" t="e">
        <f t="shared" si="2"/>
        <v>#VALUE!</v>
      </c>
    </row>
    <row r="2245" spans="1:9" ht="15.75" customHeight="1">
      <c r="A2245" s="26"/>
      <c r="B2245" s="2"/>
      <c r="C2245" s="26"/>
      <c r="D2245" s="26"/>
      <c r="F2245" s="85" t="str">
        <f t="shared" si="0"/>
        <v/>
      </c>
      <c r="G2245" s="1" t="e">
        <f>IF(VALUE(F2245) = VALUE(RIGHT(Insights!$C$3, 4)), E2245, "")</f>
        <v>#VALUE!</v>
      </c>
      <c r="H2245" s="26" t="e">
        <f t="shared" si="1"/>
        <v>#VALUE!</v>
      </c>
      <c r="I2245" s="1" t="e">
        <f t="shared" si="2"/>
        <v>#VALUE!</v>
      </c>
    </row>
    <row r="2246" spans="1:9" ht="15.75" customHeight="1">
      <c r="A2246" s="26"/>
      <c r="B2246" s="2"/>
      <c r="C2246" s="26"/>
      <c r="D2246" s="26"/>
      <c r="F2246" s="85" t="str">
        <f t="shared" si="0"/>
        <v/>
      </c>
      <c r="G2246" s="1" t="e">
        <f>IF(VALUE(F2246) = VALUE(RIGHT(Insights!$C$3, 4)), E2246, "")</f>
        <v>#VALUE!</v>
      </c>
      <c r="H2246" s="26" t="e">
        <f t="shared" si="1"/>
        <v>#VALUE!</v>
      </c>
      <c r="I2246" s="1" t="e">
        <f t="shared" si="2"/>
        <v>#VALUE!</v>
      </c>
    </row>
    <row r="2247" spans="1:9" ht="15.75" customHeight="1">
      <c r="A2247" s="26"/>
      <c r="B2247" s="2"/>
      <c r="C2247" s="26"/>
      <c r="D2247" s="26"/>
      <c r="F2247" s="85" t="str">
        <f t="shared" si="0"/>
        <v/>
      </c>
      <c r="G2247" s="1" t="e">
        <f>IF(VALUE(F2247) = VALUE(RIGHT(Insights!$C$3, 4)), E2247, "")</f>
        <v>#VALUE!</v>
      </c>
      <c r="H2247" s="26" t="e">
        <f t="shared" si="1"/>
        <v>#VALUE!</v>
      </c>
      <c r="I2247" s="1" t="e">
        <f t="shared" si="2"/>
        <v>#VALUE!</v>
      </c>
    </row>
    <row r="2248" spans="1:9" ht="15.75" customHeight="1">
      <c r="A2248" s="26"/>
      <c r="B2248" s="2"/>
      <c r="C2248" s="26"/>
      <c r="D2248" s="26"/>
      <c r="F2248" s="85" t="str">
        <f t="shared" si="0"/>
        <v/>
      </c>
      <c r="G2248" s="1" t="e">
        <f>IF(VALUE(F2248) = VALUE(RIGHT(Insights!$C$3, 4)), E2248, "")</f>
        <v>#VALUE!</v>
      </c>
      <c r="H2248" s="26" t="e">
        <f t="shared" si="1"/>
        <v>#VALUE!</v>
      </c>
      <c r="I2248" s="1" t="e">
        <f t="shared" si="2"/>
        <v>#VALUE!</v>
      </c>
    </row>
    <row r="2249" spans="1:9" ht="15.75" customHeight="1">
      <c r="A2249" s="26"/>
      <c r="B2249" s="2"/>
      <c r="C2249" s="26"/>
      <c r="D2249" s="26"/>
      <c r="F2249" s="85" t="str">
        <f t="shared" si="0"/>
        <v/>
      </c>
      <c r="G2249" s="1" t="e">
        <f>IF(VALUE(F2249) = VALUE(RIGHT(Insights!$C$3, 4)), E2249, "")</f>
        <v>#VALUE!</v>
      </c>
      <c r="H2249" s="26" t="e">
        <f t="shared" si="1"/>
        <v>#VALUE!</v>
      </c>
      <c r="I2249" s="1" t="e">
        <f t="shared" si="2"/>
        <v>#VALUE!</v>
      </c>
    </row>
    <row r="2250" spans="1:9" ht="15.75" customHeight="1">
      <c r="A2250" s="26"/>
      <c r="B2250" s="2"/>
      <c r="C2250" s="26"/>
      <c r="D2250" s="26"/>
      <c r="F2250" s="85" t="str">
        <f t="shared" si="0"/>
        <v/>
      </c>
      <c r="G2250" s="1" t="e">
        <f>IF(VALUE(F2250) = VALUE(RIGHT(Insights!$C$3, 4)), E2250, "")</f>
        <v>#VALUE!</v>
      </c>
      <c r="H2250" s="26" t="e">
        <f t="shared" si="1"/>
        <v>#VALUE!</v>
      </c>
      <c r="I2250" s="1" t="e">
        <f t="shared" si="2"/>
        <v>#VALUE!</v>
      </c>
    </row>
    <row r="2251" spans="1:9" ht="15.75" customHeight="1">
      <c r="A2251" s="26"/>
      <c r="B2251" s="2"/>
      <c r="C2251" s="26"/>
      <c r="D2251" s="26"/>
      <c r="F2251" s="85" t="str">
        <f t="shared" si="0"/>
        <v/>
      </c>
      <c r="G2251" s="1" t="e">
        <f>IF(VALUE(F2251) = VALUE(RIGHT(Insights!$C$3, 4)), E2251, "")</f>
        <v>#VALUE!</v>
      </c>
      <c r="H2251" s="26" t="e">
        <f t="shared" si="1"/>
        <v>#VALUE!</v>
      </c>
      <c r="I2251" s="1" t="e">
        <f t="shared" si="2"/>
        <v>#VALUE!</v>
      </c>
    </row>
    <row r="2252" spans="1:9" ht="15.75" customHeight="1">
      <c r="A2252" s="26"/>
      <c r="B2252" s="2"/>
      <c r="C2252" s="26"/>
      <c r="D2252" s="26"/>
      <c r="F2252" s="85" t="str">
        <f t="shared" si="0"/>
        <v/>
      </c>
      <c r="G2252" s="1" t="e">
        <f>IF(VALUE(F2252) = VALUE(RIGHT(Insights!$C$3, 4)), E2252, "")</f>
        <v>#VALUE!</v>
      </c>
      <c r="H2252" s="26" t="e">
        <f t="shared" si="1"/>
        <v>#VALUE!</v>
      </c>
      <c r="I2252" s="1" t="e">
        <f t="shared" si="2"/>
        <v>#VALUE!</v>
      </c>
    </row>
    <row r="2253" spans="1:9" ht="15.75" customHeight="1">
      <c r="A2253" s="26"/>
      <c r="B2253" s="2"/>
      <c r="C2253" s="26"/>
      <c r="D2253" s="26"/>
      <c r="F2253" s="85" t="str">
        <f t="shared" si="0"/>
        <v/>
      </c>
      <c r="G2253" s="1" t="e">
        <f>IF(VALUE(F2253) = VALUE(RIGHT(Insights!$C$3, 4)), E2253, "")</f>
        <v>#VALUE!</v>
      </c>
      <c r="H2253" s="26" t="e">
        <f t="shared" si="1"/>
        <v>#VALUE!</v>
      </c>
      <c r="I2253" s="1" t="e">
        <f t="shared" si="2"/>
        <v>#VALUE!</v>
      </c>
    </row>
    <row r="2254" spans="1:9" ht="15.75" customHeight="1">
      <c r="A2254" s="26"/>
      <c r="B2254" s="2"/>
      <c r="C2254" s="26"/>
      <c r="D2254" s="26"/>
      <c r="F2254" s="85" t="str">
        <f t="shared" si="0"/>
        <v/>
      </c>
      <c r="G2254" s="1" t="e">
        <f>IF(VALUE(F2254) = VALUE(RIGHT(Insights!$C$3, 4)), E2254, "")</f>
        <v>#VALUE!</v>
      </c>
      <c r="H2254" s="26" t="e">
        <f t="shared" si="1"/>
        <v>#VALUE!</v>
      </c>
      <c r="I2254" s="1" t="e">
        <f t="shared" si="2"/>
        <v>#VALUE!</v>
      </c>
    </row>
    <row r="2255" spans="1:9" ht="15.75" customHeight="1">
      <c r="A2255" s="26"/>
      <c r="B2255" s="2"/>
      <c r="C2255" s="26"/>
      <c r="D2255" s="26"/>
      <c r="F2255" s="85" t="str">
        <f t="shared" si="0"/>
        <v/>
      </c>
      <c r="G2255" s="1" t="e">
        <f>IF(VALUE(F2255) = VALUE(RIGHT(Insights!$C$3, 4)), E2255, "")</f>
        <v>#VALUE!</v>
      </c>
      <c r="H2255" s="26" t="e">
        <f t="shared" si="1"/>
        <v>#VALUE!</v>
      </c>
      <c r="I2255" s="1" t="e">
        <f t="shared" si="2"/>
        <v>#VALUE!</v>
      </c>
    </row>
    <row r="2256" spans="1:9" ht="15.75" customHeight="1">
      <c r="A2256" s="26"/>
      <c r="B2256" s="2"/>
      <c r="C2256" s="26"/>
      <c r="D2256" s="26"/>
      <c r="F2256" s="85" t="str">
        <f t="shared" si="0"/>
        <v/>
      </c>
      <c r="G2256" s="1" t="e">
        <f>IF(VALUE(F2256) = VALUE(RIGHT(Insights!$C$3, 4)), E2256, "")</f>
        <v>#VALUE!</v>
      </c>
      <c r="H2256" s="26" t="e">
        <f t="shared" si="1"/>
        <v>#VALUE!</v>
      </c>
      <c r="I2256" s="1" t="e">
        <f t="shared" si="2"/>
        <v>#VALUE!</v>
      </c>
    </row>
    <row r="2257" spans="1:9" ht="15.75" customHeight="1">
      <c r="A2257" s="26"/>
      <c r="B2257" s="2"/>
      <c r="C2257" s="26"/>
      <c r="D2257" s="26"/>
      <c r="F2257" s="85" t="str">
        <f t="shared" si="0"/>
        <v/>
      </c>
      <c r="G2257" s="1" t="e">
        <f>IF(VALUE(F2257) = VALUE(RIGHT(Insights!$C$3, 4)), E2257, "")</f>
        <v>#VALUE!</v>
      </c>
      <c r="H2257" s="26" t="e">
        <f t="shared" si="1"/>
        <v>#VALUE!</v>
      </c>
      <c r="I2257" s="1" t="e">
        <f t="shared" si="2"/>
        <v>#VALUE!</v>
      </c>
    </row>
    <row r="2258" spans="1:9" ht="15.75" customHeight="1">
      <c r="A2258" s="26"/>
      <c r="B2258" s="2"/>
      <c r="C2258" s="26"/>
      <c r="D2258" s="26"/>
      <c r="F2258" s="85" t="str">
        <f t="shared" si="0"/>
        <v/>
      </c>
      <c r="G2258" s="1" t="e">
        <f>IF(VALUE(F2258) = VALUE(RIGHT(Insights!$C$3, 4)), E2258, "")</f>
        <v>#VALUE!</v>
      </c>
      <c r="H2258" s="26" t="e">
        <f t="shared" si="1"/>
        <v>#VALUE!</v>
      </c>
      <c r="I2258" s="1" t="e">
        <f t="shared" si="2"/>
        <v>#VALUE!</v>
      </c>
    </row>
    <row r="2259" spans="1:9" ht="15.75" customHeight="1">
      <c r="A2259" s="26"/>
      <c r="B2259" s="2"/>
      <c r="C2259" s="26"/>
      <c r="D2259" s="26"/>
      <c r="F2259" s="85" t="str">
        <f t="shared" si="0"/>
        <v/>
      </c>
      <c r="G2259" s="1" t="e">
        <f>IF(VALUE(F2259) = VALUE(RIGHT(Insights!$C$3, 4)), E2259, "")</f>
        <v>#VALUE!</v>
      </c>
      <c r="H2259" s="26" t="e">
        <f t="shared" si="1"/>
        <v>#VALUE!</v>
      </c>
      <c r="I2259" s="1" t="e">
        <f t="shared" si="2"/>
        <v>#VALUE!</v>
      </c>
    </row>
    <row r="2260" spans="1:9" ht="15.75" customHeight="1">
      <c r="A2260" s="26"/>
      <c r="B2260" s="2"/>
      <c r="C2260" s="26"/>
      <c r="D2260" s="26"/>
      <c r="F2260" s="85" t="str">
        <f t="shared" si="0"/>
        <v/>
      </c>
      <c r="G2260" s="1" t="e">
        <f>IF(VALUE(F2260) = VALUE(RIGHT(Insights!$C$3, 4)), E2260, "")</f>
        <v>#VALUE!</v>
      </c>
      <c r="H2260" s="26" t="e">
        <f t="shared" si="1"/>
        <v>#VALUE!</v>
      </c>
      <c r="I2260" s="1" t="e">
        <f t="shared" si="2"/>
        <v>#VALUE!</v>
      </c>
    </row>
    <row r="2261" spans="1:9" ht="15.75" customHeight="1">
      <c r="A2261" s="26"/>
      <c r="B2261" s="2"/>
      <c r="C2261" s="26"/>
      <c r="D2261" s="26"/>
      <c r="F2261" s="85" t="str">
        <f t="shared" si="0"/>
        <v/>
      </c>
      <c r="G2261" s="1" t="e">
        <f>IF(VALUE(F2261) = VALUE(RIGHT(Insights!$C$3, 4)), E2261, "")</f>
        <v>#VALUE!</v>
      </c>
      <c r="H2261" s="26" t="e">
        <f t="shared" si="1"/>
        <v>#VALUE!</v>
      </c>
      <c r="I2261" s="1" t="e">
        <f t="shared" si="2"/>
        <v>#VALUE!</v>
      </c>
    </row>
    <row r="2262" spans="1:9" ht="15.75" customHeight="1">
      <c r="A2262" s="26"/>
      <c r="B2262" s="2"/>
      <c r="C2262" s="26"/>
      <c r="D2262" s="26"/>
      <c r="F2262" s="85" t="str">
        <f t="shared" si="0"/>
        <v/>
      </c>
      <c r="G2262" s="1" t="e">
        <f>IF(VALUE(F2262) = VALUE(RIGHT(Insights!$C$3, 4)), E2262, "")</f>
        <v>#VALUE!</v>
      </c>
      <c r="H2262" s="26" t="e">
        <f t="shared" si="1"/>
        <v>#VALUE!</v>
      </c>
      <c r="I2262" s="1" t="e">
        <f t="shared" si="2"/>
        <v>#VALUE!</v>
      </c>
    </row>
    <row r="2263" spans="1:9" ht="15.75" customHeight="1">
      <c r="A2263" s="26"/>
      <c r="B2263" s="2"/>
      <c r="C2263" s="26"/>
      <c r="D2263" s="26"/>
      <c r="F2263" s="85" t="str">
        <f t="shared" si="0"/>
        <v/>
      </c>
      <c r="G2263" s="1" t="e">
        <f>IF(VALUE(F2263) = VALUE(RIGHT(Insights!$C$3, 4)), E2263, "")</f>
        <v>#VALUE!</v>
      </c>
      <c r="H2263" s="26" t="e">
        <f t="shared" si="1"/>
        <v>#VALUE!</v>
      </c>
      <c r="I2263" s="1" t="e">
        <f t="shared" si="2"/>
        <v>#VALUE!</v>
      </c>
    </row>
    <row r="2264" spans="1:9" ht="15.75" customHeight="1">
      <c r="A2264" s="26"/>
      <c r="B2264" s="2"/>
      <c r="C2264" s="26"/>
      <c r="D2264" s="26"/>
      <c r="F2264" s="85" t="str">
        <f t="shared" si="0"/>
        <v/>
      </c>
      <c r="G2264" s="1" t="e">
        <f>IF(VALUE(F2264) = VALUE(RIGHT(Insights!$C$3, 4)), E2264, "")</f>
        <v>#VALUE!</v>
      </c>
      <c r="H2264" s="26" t="e">
        <f t="shared" si="1"/>
        <v>#VALUE!</v>
      </c>
      <c r="I2264" s="1" t="e">
        <f t="shared" si="2"/>
        <v>#VALUE!</v>
      </c>
    </row>
    <row r="2265" spans="1:9" ht="15.75" customHeight="1">
      <c r="A2265" s="26"/>
      <c r="B2265" s="2"/>
      <c r="C2265" s="26"/>
      <c r="D2265" s="26"/>
      <c r="F2265" s="85" t="str">
        <f t="shared" si="0"/>
        <v/>
      </c>
      <c r="G2265" s="1" t="e">
        <f>IF(VALUE(F2265) = VALUE(RIGHT(Insights!$C$3, 4)), E2265, "")</f>
        <v>#VALUE!</v>
      </c>
      <c r="H2265" s="26" t="e">
        <f t="shared" si="1"/>
        <v>#VALUE!</v>
      </c>
      <c r="I2265" s="1" t="e">
        <f t="shared" si="2"/>
        <v>#VALUE!</v>
      </c>
    </row>
    <row r="2266" spans="1:9" ht="15.75" customHeight="1">
      <c r="A2266" s="26"/>
      <c r="B2266" s="2"/>
      <c r="C2266" s="26"/>
      <c r="D2266" s="26"/>
      <c r="F2266" s="85" t="str">
        <f t="shared" si="0"/>
        <v/>
      </c>
      <c r="G2266" s="1" t="e">
        <f>IF(VALUE(F2266) = VALUE(RIGHT(Insights!$C$3, 4)), E2266, "")</f>
        <v>#VALUE!</v>
      </c>
      <c r="H2266" s="26" t="e">
        <f t="shared" si="1"/>
        <v>#VALUE!</v>
      </c>
      <c r="I2266" s="1" t="e">
        <f t="shared" si="2"/>
        <v>#VALUE!</v>
      </c>
    </row>
    <row r="2267" spans="1:9" ht="15.75" customHeight="1">
      <c r="A2267" s="26"/>
      <c r="B2267" s="2"/>
      <c r="C2267" s="26"/>
      <c r="D2267" s="26"/>
      <c r="F2267" s="85" t="str">
        <f t="shared" si="0"/>
        <v/>
      </c>
      <c r="G2267" s="1" t="e">
        <f>IF(VALUE(F2267) = VALUE(RIGHT(Insights!$C$3, 4)), E2267, "")</f>
        <v>#VALUE!</v>
      </c>
      <c r="H2267" s="26" t="e">
        <f t="shared" si="1"/>
        <v>#VALUE!</v>
      </c>
      <c r="I2267" s="1" t="e">
        <f t="shared" si="2"/>
        <v>#VALUE!</v>
      </c>
    </row>
    <row r="2268" spans="1:9" ht="15.75" customHeight="1">
      <c r="A2268" s="26"/>
      <c r="B2268" s="2"/>
      <c r="C2268" s="26"/>
      <c r="D2268" s="26"/>
      <c r="F2268" s="85" t="str">
        <f t="shared" si="0"/>
        <v/>
      </c>
      <c r="G2268" s="1" t="e">
        <f>IF(VALUE(F2268) = VALUE(RIGHT(Insights!$C$3, 4)), E2268, "")</f>
        <v>#VALUE!</v>
      </c>
      <c r="H2268" s="26" t="e">
        <f t="shared" si="1"/>
        <v>#VALUE!</v>
      </c>
      <c r="I2268" s="1" t="e">
        <f t="shared" si="2"/>
        <v>#VALUE!</v>
      </c>
    </row>
    <row r="2269" spans="1:9" ht="15.75" customHeight="1">
      <c r="A2269" s="26"/>
      <c r="B2269" s="2"/>
      <c r="C2269" s="26"/>
      <c r="D2269" s="26"/>
      <c r="F2269" s="85" t="str">
        <f t="shared" si="0"/>
        <v/>
      </c>
      <c r="G2269" s="1" t="e">
        <f>IF(VALUE(F2269) = VALUE(RIGHT(Insights!$C$3, 4)), E2269, "")</f>
        <v>#VALUE!</v>
      </c>
      <c r="H2269" s="26" t="e">
        <f t="shared" si="1"/>
        <v>#VALUE!</v>
      </c>
      <c r="I2269" s="1" t="e">
        <f t="shared" si="2"/>
        <v>#VALUE!</v>
      </c>
    </row>
    <row r="2270" spans="1:9" ht="15.75" customHeight="1">
      <c r="A2270" s="26"/>
      <c r="B2270" s="2"/>
      <c r="C2270" s="26"/>
      <c r="D2270" s="26"/>
      <c r="F2270" s="85" t="str">
        <f t="shared" si="0"/>
        <v/>
      </c>
      <c r="G2270" s="1" t="e">
        <f>IF(VALUE(F2270) = VALUE(RIGHT(Insights!$C$3, 4)), E2270, "")</f>
        <v>#VALUE!</v>
      </c>
      <c r="H2270" s="26" t="e">
        <f t="shared" si="1"/>
        <v>#VALUE!</v>
      </c>
      <c r="I2270" s="1" t="e">
        <f t="shared" si="2"/>
        <v>#VALUE!</v>
      </c>
    </row>
    <row r="2271" spans="1:9" ht="15.75" customHeight="1">
      <c r="A2271" s="26"/>
      <c r="B2271" s="2"/>
      <c r="C2271" s="26"/>
      <c r="D2271" s="26"/>
      <c r="F2271" s="85" t="str">
        <f t="shared" si="0"/>
        <v/>
      </c>
      <c r="G2271" s="1" t="e">
        <f>IF(VALUE(F2271) = VALUE(RIGHT(Insights!$C$3, 4)), E2271, "")</f>
        <v>#VALUE!</v>
      </c>
      <c r="H2271" s="26" t="e">
        <f t="shared" si="1"/>
        <v>#VALUE!</v>
      </c>
      <c r="I2271" s="1" t="e">
        <f t="shared" si="2"/>
        <v>#VALUE!</v>
      </c>
    </row>
    <row r="2272" spans="1:9" ht="15.75" customHeight="1">
      <c r="A2272" s="26"/>
      <c r="B2272" s="2"/>
      <c r="C2272" s="26"/>
      <c r="D2272" s="26"/>
      <c r="F2272" s="85" t="str">
        <f t="shared" si="0"/>
        <v/>
      </c>
      <c r="G2272" s="1" t="e">
        <f>IF(VALUE(F2272) = VALUE(RIGHT(Insights!$C$3, 4)), E2272, "")</f>
        <v>#VALUE!</v>
      </c>
      <c r="H2272" s="26" t="e">
        <f t="shared" si="1"/>
        <v>#VALUE!</v>
      </c>
      <c r="I2272" s="1" t="e">
        <f t="shared" si="2"/>
        <v>#VALUE!</v>
      </c>
    </row>
    <row r="2273" spans="1:9" ht="15.75" customHeight="1">
      <c r="A2273" s="26"/>
      <c r="B2273" s="2"/>
      <c r="C2273" s="26"/>
      <c r="D2273" s="26"/>
      <c r="F2273" s="85" t="str">
        <f t="shared" si="0"/>
        <v/>
      </c>
      <c r="G2273" s="1" t="e">
        <f>IF(VALUE(F2273) = VALUE(RIGHT(Insights!$C$3, 4)), E2273, "")</f>
        <v>#VALUE!</v>
      </c>
      <c r="H2273" s="26" t="e">
        <f t="shared" si="1"/>
        <v>#VALUE!</v>
      </c>
      <c r="I2273" s="1" t="e">
        <f t="shared" si="2"/>
        <v>#VALUE!</v>
      </c>
    </row>
    <row r="2274" spans="1:9" ht="15.75" customHeight="1">
      <c r="A2274" s="26"/>
      <c r="B2274" s="2"/>
      <c r="C2274" s="26"/>
      <c r="D2274" s="26"/>
      <c r="F2274" s="85" t="str">
        <f t="shared" si="0"/>
        <v/>
      </c>
      <c r="G2274" s="1" t="e">
        <f>IF(VALUE(F2274) = VALUE(RIGHT(Insights!$C$3, 4)), E2274, "")</f>
        <v>#VALUE!</v>
      </c>
      <c r="H2274" s="26" t="e">
        <f t="shared" si="1"/>
        <v>#VALUE!</v>
      </c>
      <c r="I2274" s="1" t="e">
        <f t="shared" si="2"/>
        <v>#VALUE!</v>
      </c>
    </row>
    <row r="2275" spans="1:9" ht="15.75" customHeight="1">
      <c r="A2275" s="26"/>
      <c r="B2275" s="2"/>
      <c r="C2275" s="26"/>
      <c r="D2275" s="26"/>
      <c r="F2275" s="85" t="str">
        <f t="shared" si="0"/>
        <v/>
      </c>
      <c r="G2275" s="1" t="e">
        <f>IF(VALUE(F2275) = VALUE(RIGHT(Insights!$C$3, 4)), E2275, "")</f>
        <v>#VALUE!</v>
      </c>
      <c r="H2275" s="26" t="e">
        <f t="shared" si="1"/>
        <v>#VALUE!</v>
      </c>
      <c r="I2275" s="1" t="e">
        <f t="shared" si="2"/>
        <v>#VALUE!</v>
      </c>
    </row>
    <row r="2276" spans="1:9" ht="15.75" customHeight="1">
      <c r="A2276" s="26"/>
      <c r="B2276" s="2"/>
      <c r="C2276" s="26"/>
      <c r="D2276" s="26"/>
      <c r="F2276" s="85" t="str">
        <f t="shared" si="0"/>
        <v/>
      </c>
      <c r="G2276" s="1" t="e">
        <f>IF(VALUE(F2276) = VALUE(RIGHT(Insights!$C$3, 4)), E2276, "")</f>
        <v>#VALUE!</v>
      </c>
      <c r="H2276" s="26" t="e">
        <f t="shared" si="1"/>
        <v>#VALUE!</v>
      </c>
      <c r="I2276" s="1" t="e">
        <f t="shared" si="2"/>
        <v>#VALUE!</v>
      </c>
    </row>
    <row r="2277" spans="1:9" ht="15.75" customHeight="1">
      <c r="A2277" s="26"/>
      <c r="B2277" s="2"/>
      <c r="C2277" s="26"/>
      <c r="D2277" s="26"/>
      <c r="F2277" s="85" t="str">
        <f t="shared" si="0"/>
        <v/>
      </c>
      <c r="G2277" s="1" t="e">
        <f>IF(VALUE(F2277) = VALUE(RIGHT(Insights!$C$3, 4)), E2277, "")</f>
        <v>#VALUE!</v>
      </c>
      <c r="H2277" s="26" t="e">
        <f t="shared" si="1"/>
        <v>#VALUE!</v>
      </c>
      <c r="I2277" s="1" t="e">
        <f t="shared" si="2"/>
        <v>#VALUE!</v>
      </c>
    </row>
    <row r="2278" spans="1:9" ht="15.75" customHeight="1">
      <c r="A2278" s="26"/>
      <c r="B2278" s="2"/>
      <c r="C2278" s="26"/>
      <c r="D2278" s="26"/>
      <c r="F2278" s="85" t="str">
        <f t="shared" si="0"/>
        <v/>
      </c>
      <c r="G2278" s="1" t="e">
        <f>IF(VALUE(F2278) = VALUE(RIGHT(Insights!$C$3, 4)), E2278, "")</f>
        <v>#VALUE!</v>
      </c>
      <c r="H2278" s="26" t="e">
        <f t="shared" si="1"/>
        <v>#VALUE!</v>
      </c>
      <c r="I2278" s="1" t="e">
        <f t="shared" si="2"/>
        <v>#VALUE!</v>
      </c>
    </row>
    <row r="2279" spans="1:9" ht="15.75" customHeight="1">
      <c r="A2279" s="26"/>
      <c r="B2279" s="2"/>
      <c r="C2279" s="26"/>
      <c r="D2279" s="26"/>
      <c r="F2279" s="85" t="str">
        <f t="shared" si="0"/>
        <v/>
      </c>
      <c r="G2279" s="1" t="e">
        <f>IF(VALUE(F2279) = VALUE(RIGHT(Insights!$C$3, 4)), E2279, "")</f>
        <v>#VALUE!</v>
      </c>
      <c r="H2279" s="26" t="e">
        <f t="shared" si="1"/>
        <v>#VALUE!</v>
      </c>
      <c r="I2279" s="1" t="e">
        <f t="shared" si="2"/>
        <v>#VALUE!</v>
      </c>
    </row>
    <row r="2280" spans="1:9" ht="15.75" customHeight="1">
      <c r="A2280" s="26"/>
      <c r="B2280" s="2"/>
      <c r="C2280" s="26"/>
      <c r="D2280" s="26"/>
      <c r="F2280" s="85" t="str">
        <f t="shared" si="0"/>
        <v/>
      </c>
      <c r="G2280" s="1" t="e">
        <f>IF(VALUE(F2280) = VALUE(RIGHT(Insights!$C$3, 4)), E2280, "")</f>
        <v>#VALUE!</v>
      </c>
      <c r="H2280" s="26" t="e">
        <f t="shared" si="1"/>
        <v>#VALUE!</v>
      </c>
      <c r="I2280" s="1" t="e">
        <f t="shared" si="2"/>
        <v>#VALUE!</v>
      </c>
    </row>
    <row r="2281" spans="1:9" ht="15.75" customHeight="1">
      <c r="A2281" s="26"/>
      <c r="B2281" s="2"/>
      <c r="C2281" s="26"/>
      <c r="D2281" s="26"/>
      <c r="F2281" s="85" t="str">
        <f t="shared" si="0"/>
        <v/>
      </c>
      <c r="G2281" s="1" t="e">
        <f>IF(VALUE(F2281) = VALUE(RIGHT(Insights!$C$3, 4)), E2281, "")</f>
        <v>#VALUE!</v>
      </c>
      <c r="H2281" s="26" t="e">
        <f t="shared" si="1"/>
        <v>#VALUE!</v>
      </c>
      <c r="I2281" s="1" t="e">
        <f t="shared" si="2"/>
        <v>#VALUE!</v>
      </c>
    </row>
    <row r="2282" spans="1:9" ht="15.75" customHeight="1">
      <c r="A2282" s="26"/>
      <c r="B2282" s="2"/>
      <c r="C2282" s="26"/>
      <c r="D2282" s="26"/>
      <c r="F2282" s="85" t="str">
        <f t="shared" si="0"/>
        <v/>
      </c>
      <c r="G2282" s="1" t="e">
        <f>IF(VALUE(F2282) = VALUE(RIGHT(Insights!$C$3, 4)), E2282, "")</f>
        <v>#VALUE!</v>
      </c>
      <c r="H2282" s="26" t="e">
        <f t="shared" si="1"/>
        <v>#VALUE!</v>
      </c>
      <c r="I2282" s="1" t="e">
        <f t="shared" si="2"/>
        <v>#VALUE!</v>
      </c>
    </row>
    <row r="2283" spans="1:9" ht="15.75" customHeight="1">
      <c r="A2283" s="26"/>
      <c r="B2283" s="2"/>
      <c r="C2283" s="26"/>
      <c r="D2283" s="26"/>
      <c r="F2283" s="85" t="str">
        <f t="shared" si="0"/>
        <v/>
      </c>
      <c r="G2283" s="1" t="e">
        <f>IF(VALUE(F2283) = VALUE(RIGHT(Insights!$C$3, 4)), E2283, "")</f>
        <v>#VALUE!</v>
      </c>
      <c r="H2283" s="26" t="e">
        <f t="shared" si="1"/>
        <v>#VALUE!</v>
      </c>
      <c r="I2283" s="1" t="e">
        <f t="shared" si="2"/>
        <v>#VALUE!</v>
      </c>
    </row>
    <row r="2284" spans="1:9" ht="15.75" customHeight="1">
      <c r="A2284" s="26"/>
      <c r="B2284" s="2"/>
      <c r="C2284" s="26"/>
      <c r="D2284" s="26"/>
      <c r="F2284" s="85" t="str">
        <f t="shared" si="0"/>
        <v/>
      </c>
      <c r="G2284" s="1" t="e">
        <f>IF(VALUE(F2284) = VALUE(RIGHT(Insights!$C$3, 4)), E2284, "")</f>
        <v>#VALUE!</v>
      </c>
      <c r="H2284" s="26" t="e">
        <f t="shared" si="1"/>
        <v>#VALUE!</v>
      </c>
      <c r="I2284" s="1" t="e">
        <f t="shared" si="2"/>
        <v>#VALUE!</v>
      </c>
    </row>
    <row r="2285" spans="1:9" ht="15.75" customHeight="1">
      <c r="A2285" s="26"/>
      <c r="B2285" s="2"/>
      <c r="C2285" s="26"/>
      <c r="D2285" s="26"/>
      <c r="F2285" s="85" t="str">
        <f t="shared" si="0"/>
        <v/>
      </c>
      <c r="G2285" s="1" t="e">
        <f>IF(VALUE(F2285) = VALUE(RIGHT(Insights!$C$3, 4)), E2285, "")</f>
        <v>#VALUE!</v>
      </c>
      <c r="H2285" s="26" t="e">
        <f t="shared" si="1"/>
        <v>#VALUE!</v>
      </c>
      <c r="I2285" s="1" t="e">
        <f t="shared" si="2"/>
        <v>#VALUE!</v>
      </c>
    </row>
    <row r="2286" spans="1:9" ht="15.75" customHeight="1">
      <c r="A2286" s="26"/>
      <c r="B2286" s="2"/>
      <c r="C2286" s="26"/>
      <c r="D2286" s="26"/>
      <c r="F2286" s="85" t="str">
        <f t="shared" si="0"/>
        <v/>
      </c>
      <c r="G2286" s="1" t="e">
        <f>IF(VALUE(F2286) = VALUE(RIGHT(Insights!$C$3, 4)), E2286, "")</f>
        <v>#VALUE!</v>
      </c>
      <c r="H2286" s="26" t="e">
        <f t="shared" si="1"/>
        <v>#VALUE!</v>
      </c>
      <c r="I2286" s="1" t="e">
        <f t="shared" si="2"/>
        <v>#VALUE!</v>
      </c>
    </row>
    <row r="2287" spans="1:9" ht="15.75" customHeight="1">
      <c r="A2287" s="26"/>
      <c r="B2287" s="2"/>
      <c r="C2287" s="26"/>
      <c r="D2287" s="26"/>
      <c r="F2287" s="85" t="str">
        <f t="shared" si="0"/>
        <v/>
      </c>
      <c r="G2287" s="1" t="e">
        <f>IF(VALUE(F2287) = VALUE(RIGHT(Insights!$C$3, 4)), E2287, "")</f>
        <v>#VALUE!</v>
      </c>
      <c r="H2287" s="26" t="e">
        <f t="shared" si="1"/>
        <v>#VALUE!</v>
      </c>
      <c r="I2287" s="1" t="e">
        <f t="shared" si="2"/>
        <v>#VALUE!</v>
      </c>
    </row>
    <row r="2288" spans="1:9" ht="15.75" customHeight="1">
      <c r="A2288" s="26"/>
      <c r="B2288" s="2"/>
      <c r="C2288" s="26"/>
      <c r="D2288" s="26"/>
      <c r="F2288" s="85" t="str">
        <f t="shared" si="0"/>
        <v/>
      </c>
      <c r="G2288" s="1" t="e">
        <f>IF(VALUE(F2288) = VALUE(RIGHT(Insights!$C$3, 4)), E2288, "")</f>
        <v>#VALUE!</v>
      </c>
      <c r="H2288" s="26" t="e">
        <f t="shared" si="1"/>
        <v>#VALUE!</v>
      </c>
      <c r="I2288" s="1" t="e">
        <f t="shared" si="2"/>
        <v>#VALUE!</v>
      </c>
    </row>
    <row r="2289" spans="1:9" ht="15.75" customHeight="1">
      <c r="A2289" s="26"/>
      <c r="B2289" s="2"/>
      <c r="C2289" s="26"/>
      <c r="D2289" s="26"/>
      <c r="F2289" s="85" t="str">
        <f t="shared" si="0"/>
        <v/>
      </c>
      <c r="G2289" s="1" t="e">
        <f>IF(VALUE(F2289) = VALUE(RIGHT(Insights!$C$3, 4)), E2289, "")</f>
        <v>#VALUE!</v>
      </c>
      <c r="H2289" s="26" t="e">
        <f t="shared" si="1"/>
        <v>#VALUE!</v>
      </c>
      <c r="I2289" s="1" t="e">
        <f t="shared" si="2"/>
        <v>#VALUE!</v>
      </c>
    </row>
    <row r="2290" spans="1:9" ht="15.75" customHeight="1">
      <c r="A2290" s="26"/>
      <c r="B2290" s="2"/>
      <c r="C2290" s="26"/>
      <c r="D2290" s="26"/>
      <c r="F2290" s="85" t="str">
        <f t="shared" si="0"/>
        <v/>
      </c>
      <c r="G2290" s="1" t="e">
        <f>IF(VALUE(F2290) = VALUE(RIGHT(Insights!$C$3, 4)), E2290, "")</f>
        <v>#VALUE!</v>
      </c>
      <c r="H2290" s="26" t="e">
        <f t="shared" si="1"/>
        <v>#VALUE!</v>
      </c>
      <c r="I2290" s="1" t="e">
        <f t="shared" si="2"/>
        <v>#VALUE!</v>
      </c>
    </row>
    <row r="2291" spans="1:9" ht="15.75" customHeight="1">
      <c r="A2291" s="26"/>
      <c r="B2291" s="2"/>
      <c r="C2291" s="26"/>
      <c r="D2291" s="26"/>
      <c r="F2291" s="85" t="str">
        <f t="shared" si="0"/>
        <v/>
      </c>
      <c r="G2291" s="1" t="e">
        <f>IF(VALUE(F2291) = VALUE(RIGHT(Insights!$C$3, 4)), E2291, "")</f>
        <v>#VALUE!</v>
      </c>
      <c r="H2291" s="26" t="e">
        <f t="shared" si="1"/>
        <v>#VALUE!</v>
      </c>
      <c r="I2291" s="1" t="e">
        <f t="shared" si="2"/>
        <v>#VALUE!</v>
      </c>
    </row>
    <row r="2292" spans="1:9" ht="15.75" customHeight="1">
      <c r="A2292" s="26"/>
      <c r="B2292" s="2"/>
      <c r="C2292" s="26"/>
      <c r="D2292" s="26"/>
      <c r="F2292" s="85" t="str">
        <f t="shared" si="0"/>
        <v/>
      </c>
      <c r="G2292" s="1" t="e">
        <f>IF(VALUE(F2292) = VALUE(RIGHT(Insights!$C$3, 4)), E2292, "")</f>
        <v>#VALUE!</v>
      </c>
      <c r="H2292" s="26" t="e">
        <f t="shared" si="1"/>
        <v>#VALUE!</v>
      </c>
      <c r="I2292" s="1" t="e">
        <f t="shared" si="2"/>
        <v>#VALUE!</v>
      </c>
    </row>
    <row r="2293" spans="1:9" ht="15.75" customHeight="1">
      <c r="A2293" s="26"/>
      <c r="B2293" s="2"/>
      <c r="C2293" s="26"/>
      <c r="D2293" s="26"/>
      <c r="F2293" s="85" t="str">
        <f t="shared" si="0"/>
        <v/>
      </c>
      <c r="G2293" s="1" t="e">
        <f>IF(VALUE(F2293) = VALUE(RIGHT(Insights!$C$3, 4)), E2293, "")</f>
        <v>#VALUE!</v>
      </c>
      <c r="H2293" s="26" t="e">
        <f t="shared" si="1"/>
        <v>#VALUE!</v>
      </c>
      <c r="I2293" s="1" t="e">
        <f t="shared" si="2"/>
        <v>#VALUE!</v>
      </c>
    </row>
    <row r="2294" spans="1:9" ht="15.75" customHeight="1">
      <c r="A2294" s="26"/>
      <c r="B2294" s="2"/>
      <c r="C2294" s="26"/>
      <c r="D2294" s="26"/>
      <c r="F2294" s="85" t="str">
        <f t="shared" si="0"/>
        <v/>
      </c>
      <c r="G2294" s="1" t="e">
        <f>IF(VALUE(F2294) = VALUE(RIGHT(Insights!$C$3, 4)), E2294, "")</f>
        <v>#VALUE!</v>
      </c>
      <c r="H2294" s="26" t="e">
        <f t="shared" si="1"/>
        <v>#VALUE!</v>
      </c>
      <c r="I2294" s="1" t="e">
        <f t="shared" si="2"/>
        <v>#VALUE!</v>
      </c>
    </row>
    <row r="2295" spans="1:9" ht="15.75" customHeight="1">
      <c r="A2295" s="26"/>
      <c r="B2295" s="2"/>
      <c r="C2295" s="26"/>
      <c r="D2295" s="26"/>
      <c r="F2295" s="85" t="str">
        <f t="shared" si="0"/>
        <v/>
      </c>
      <c r="G2295" s="1" t="e">
        <f>IF(VALUE(F2295) = VALUE(RIGHT(Insights!$C$3, 4)), E2295, "")</f>
        <v>#VALUE!</v>
      </c>
      <c r="H2295" s="26" t="e">
        <f t="shared" si="1"/>
        <v>#VALUE!</v>
      </c>
      <c r="I2295" s="1" t="e">
        <f t="shared" si="2"/>
        <v>#VALUE!</v>
      </c>
    </row>
    <row r="2296" spans="1:9" ht="15.75" customHeight="1">
      <c r="A2296" s="26"/>
      <c r="B2296" s="2"/>
      <c r="C2296" s="26"/>
      <c r="D2296" s="26"/>
      <c r="F2296" s="85" t="str">
        <f t="shared" si="0"/>
        <v/>
      </c>
      <c r="G2296" s="1" t="e">
        <f>IF(VALUE(F2296) = VALUE(RIGHT(Insights!$C$3, 4)), E2296, "")</f>
        <v>#VALUE!</v>
      </c>
      <c r="H2296" s="26" t="e">
        <f t="shared" si="1"/>
        <v>#VALUE!</v>
      </c>
      <c r="I2296" s="1" t="e">
        <f t="shared" si="2"/>
        <v>#VALUE!</v>
      </c>
    </row>
    <row r="2297" spans="1:9" ht="15.75" customHeight="1">
      <c r="A2297" s="26"/>
      <c r="B2297" s="2"/>
      <c r="C2297" s="26"/>
      <c r="D2297" s="26"/>
      <c r="F2297" s="85" t="str">
        <f t="shared" si="0"/>
        <v/>
      </c>
      <c r="G2297" s="1" t="e">
        <f>IF(VALUE(F2297) = VALUE(RIGHT(Insights!$C$3, 4)), E2297, "")</f>
        <v>#VALUE!</v>
      </c>
      <c r="H2297" s="26" t="e">
        <f t="shared" si="1"/>
        <v>#VALUE!</v>
      </c>
      <c r="I2297" s="1" t="e">
        <f t="shared" si="2"/>
        <v>#VALUE!</v>
      </c>
    </row>
    <row r="2298" spans="1:9" ht="15.75" customHeight="1">
      <c r="A2298" s="26"/>
      <c r="B2298" s="2"/>
      <c r="C2298" s="26"/>
      <c r="D2298" s="26"/>
      <c r="F2298" s="85" t="str">
        <f t="shared" si="0"/>
        <v/>
      </c>
      <c r="G2298" s="1" t="e">
        <f>IF(VALUE(F2298) = VALUE(RIGHT(Insights!$C$3, 4)), E2298, "")</f>
        <v>#VALUE!</v>
      </c>
      <c r="H2298" s="26" t="e">
        <f t="shared" si="1"/>
        <v>#VALUE!</v>
      </c>
      <c r="I2298" s="1" t="e">
        <f t="shared" si="2"/>
        <v>#VALUE!</v>
      </c>
    </row>
    <row r="2299" spans="1:9" ht="15.75" customHeight="1">
      <c r="A2299" s="26"/>
      <c r="B2299" s="2"/>
      <c r="C2299" s="26"/>
      <c r="D2299" s="26"/>
      <c r="F2299" s="85" t="str">
        <f t="shared" si="0"/>
        <v/>
      </c>
      <c r="G2299" s="1" t="e">
        <f>IF(VALUE(F2299) = VALUE(RIGHT(Insights!$C$3, 4)), E2299, "")</f>
        <v>#VALUE!</v>
      </c>
      <c r="H2299" s="26" t="e">
        <f t="shared" si="1"/>
        <v>#VALUE!</v>
      </c>
      <c r="I2299" s="1" t="e">
        <f t="shared" si="2"/>
        <v>#VALUE!</v>
      </c>
    </row>
    <row r="2300" spans="1:9" ht="15.75" customHeight="1">
      <c r="A2300" s="26"/>
      <c r="B2300" s="2"/>
      <c r="C2300" s="26"/>
      <c r="D2300" s="26"/>
      <c r="F2300" s="85" t="str">
        <f t="shared" si="0"/>
        <v/>
      </c>
      <c r="G2300" s="1" t="e">
        <f>IF(VALUE(F2300) = VALUE(RIGHT(Insights!$C$3, 4)), E2300, "")</f>
        <v>#VALUE!</v>
      </c>
      <c r="H2300" s="26" t="e">
        <f t="shared" si="1"/>
        <v>#VALUE!</v>
      </c>
      <c r="I2300" s="1" t="e">
        <f t="shared" si="2"/>
        <v>#VALUE!</v>
      </c>
    </row>
    <row r="2301" spans="1:9" ht="15.75" customHeight="1">
      <c r="A2301" s="26"/>
      <c r="B2301" s="2"/>
      <c r="C2301" s="26"/>
      <c r="D2301" s="26"/>
      <c r="F2301" s="85" t="str">
        <f t="shared" si="0"/>
        <v/>
      </c>
      <c r="G2301" s="1" t="e">
        <f>IF(VALUE(F2301) = VALUE(RIGHT(Insights!$C$3, 4)), E2301, "")</f>
        <v>#VALUE!</v>
      </c>
      <c r="H2301" s="26" t="e">
        <f t="shared" si="1"/>
        <v>#VALUE!</v>
      </c>
      <c r="I2301" s="1" t="e">
        <f t="shared" si="2"/>
        <v>#VALUE!</v>
      </c>
    </row>
    <row r="2302" spans="1:9" ht="15.75" customHeight="1">
      <c r="A2302" s="26"/>
      <c r="B2302" s="2"/>
      <c r="C2302" s="26"/>
      <c r="D2302" s="26"/>
      <c r="F2302" s="85" t="str">
        <f t="shared" si="0"/>
        <v/>
      </c>
      <c r="G2302" s="1" t="e">
        <f>IF(VALUE(F2302) = VALUE(RIGHT(Insights!$C$3, 4)), E2302, "")</f>
        <v>#VALUE!</v>
      </c>
      <c r="H2302" s="26" t="e">
        <f t="shared" si="1"/>
        <v>#VALUE!</v>
      </c>
      <c r="I2302" s="1" t="e">
        <f t="shared" si="2"/>
        <v>#VALUE!</v>
      </c>
    </row>
    <row r="2303" spans="1:9" ht="15.75" customHeight="1">
      <c r="A2303" s="26"/>
      <c r="B2303" s="2"/>
      <c r="C2303" s="26"/>
      <c r="D2303" s="26"/>
      <c r="F2303" s="85" t="str">
        <f t="shared" si="0"/>
        <v/>
      </c>
      <c r="G2303" s="1" t="e">
        <f>IF(VALUE(F2303) = VALUE(RIGHT(Insights!$C$3, 4)), E2303, "")</f>
        <v>#VALUE!</v>
      </c>
      <c r="H2303" s="26" t="e">
        <f t="shared" si="1"/>
        <v>#VALUE!</v>
      </c>
      <c r="I2303" s="1" t="e">
        <f t="shared" si="2"/>
        <v>#VALUE!</v>
      </c>
    </row>
    <row r="2304" spans="1:9" ht="15.75" customHeight="1">
      <c r="A2304" s="26"/>
      <c r="B2304" s="2"/>
      <c r="C2304" s="26"/>
      <c r="D2304" s="26"/>
      <c r="F2304" s="85" t="str">
        <f t="shared" si="0"/>
        <v/>
      </c>
      <c r="G2304" s="1" t="e">
        <f>IF(VALUE(F2304) = VALUE(RIGHT(Insights!$C$3, 4)), E2304, "")</f>
        <v>#VALUE!</v>
      </c>
      <c r="H2304" s="26" t="e">
        <f t="shared" si="1"/>
        <v>#VALUE!</v>
      </c>
      <c r="I2304" s="1" t="e">
        <f t="shared" si="2"/>
        <v>#VALUE!</v>
      </c>
    </row>
    <row r="2305" spans="1:9" ht="15.75" customHeight="1">
      <c r="A2305" s="26"/>
      <c r="B2305" s="2"/>
      <c r="C2305" s="26"/>
      <c r="D2305" s="26"/>
      <c r="F2305" s="85" t="str">
        <f t="shared" si="0"/>
        <v/>
      </c>
      <c r="G2305" s="1" t="e">
        <f>IF(VALUE(F2305) = VALUE(RIGHT(Insights!$C$3, 4)), E2305, "")</f>
        <v>#VALUE!</v>
      </c>
      <c r="H2305" s="26" t="e">
        <f t="shared" si="1"/>
        <v>#VALUE!</v>
      </c>
      <c r="I2305" s="1" t="e">
        <f t="shared" si="2"/>
        <v>#VALUE!</v>
      </c>
    </row>
    <row r="2306" spans="1:9" ht="15.75" customHeight="1">
      <c r="A2306" s="26"/>
      <c r="B2306" s="2"/>
      <c r="C2306" s="26"/>
      <c r="D2306" s="26"/>
      <c r="F2306" s="85" t="str">
        <f t="shared" si="0"/>
        <v/>
      </c>
      <c r="G2306" s="1" t="e">
        <f>IF(VALUE(F2306) = VALUE(RIGHT(Insights!$C$3, 4)), E2306, "")</f>
        <v>#VALUE!</v>
      </c>
      <c r="H2306" s="26" t="e">
        <f t="shared" si="1"/>
        <v>#VALUE!</v>
      </c>
      <c r="I2306" s="1" t="e">
        <f t="shared" si="2"/>
        <v>#VALUE!</v>
      </c>
    </row>
    <row r="2307" spans="1:9" ht="15.75" customHeight="1">
      <c r="A2307" s="26"/>
      <c r="B2307" s="2"/>
      <c r="C2307" s="26"/>
      <c r="D2307" s="26"/>
      <c r="F2307" s="85" t="str">
        <f t="shared" si="0"/>
        <v/>
      </c>
      <c r="G2307" s="1" t="e">
        <f>IF(VALUE(F2307) = VALUE(RIGHT(Insights!$C$3, 4)), E2307, "")</f>
        <v>#VALUE!</v>
      </c>
      <c r="H2307" s="26" t="e">
        <f t="shared" si="1"/>
        <v>#VALUE!</v>
      </c>
      <c r="I2307" s="1" t="e">
        <f t="shared" si="2"/>
        <v>#VALUE!</v>
      </c>
    </row>
    <row r="2308" spans="1:9" ht="15.75" customHeight="1">
      <c r="A2308" s="26"/>
      <c r="B2308" s="2"/>
      <c r="C2308" s="26"/>
      <c r="D2308" s="26"/>
      <c r="F2308" s="85" t="str">
        <f t="shared" si="0"/>
        <v/>
      </c>
      <c r="G2308" s="1" t="e">
        <f>IF(VALUE(F2308) = VALUE(RIGHT(Insights!$C$3, 4)), E2308, "")</f>
        <v>#VALUE!</v>
      </c>
      <c r="H2308" s="26" t="e">
        <f t="shared" si="1"/>
        <v>#VALUE!</v>
      </c>
      <c r="I2308" s="1" t="e">
        <f t="shared" si="2"/>
        <v>#VALUE!</v>
      </c>
    </row>
    <row r="2309" spans="1:9" ht="15.75" customHeight="1">
      <c r="A2309" s="26"/>
      <c r="B2309" s="2"/>
      <c r="C2309" s="26"/>
      <c r="D2309" s="26"/>
      <c r="F2309" s="85" t="str">
        <f t="shared" si="0"/>
        <v/>
      </c>
      <c r="G2309" s="1" t="e">
        <f>IF(VALUE(F2309) = VALUE(RIGHT(Insights!$C$3, 4)), E2309, "")</f>
        <v>#VALUE!</v>
      </c>
      <c r="H2309" s="26" t="e">
        <f t="shared" si="1"/>
        <v>#VALUE!</v>
      </c>
      <c r="I2309" s="1" t="e">
        <f t="shared" si="2"/>
        <v>#VALUE!</v>
      </c>
    </row>
    <row r="2310" spans="1:9" ht="15.75" customHeight="1">
      <c r="A2310" s="26"/>
      <c r="B2310" s="2"/>
      <c r="C2310" s="26"/>
      <c r="D2310" s="26"/>
      <c r="F2310" s="85" t="str">
        <f t="shared" si="0"/>
        <v/>
      </c>
      <c r="G2310" s="1" t="e">
        <f>IF(VALUE(F2310) = VALUE(RIGHT(Insights!$C$3, 4)), E2310, "")</f>
        <v>#VALUE!</v>
      </c>
      <c r="H2310" s="26" t="e">
        <f t="shared" si="1"/>
        <v>#VALUE!</v>
      </c>
      <c r="I2310" s="1" t="e">
        <f t="shared" si="2"/>
        <v>#VALUE!</v>
      </c>
    </row>
    <row r="2311" spans="1:9" ht="15.75" customHeight="1">
      <c r="A2311" s="26"/>
      <c r="B2311" s="2"/>
      <c r="C2311" s="26"/>
      <c r="D2311" s="26"/>
      <c r="F2311" s="85" t="str">
        <f t="shared" si="0"/>
        <v/>
      </c>
      <c r="G2311" s="1" t="e">
        <f>IF(VALUE(F2311) = VALUE(RIGHT(Insights!$C$3, 4)), E2311, "")</f>
        <v>#VALUE!</v>
      </c>
      <c r="H2311" s="26" t="e">
        <f t="shared" si="1"/>
        <v>#VALUE!</v>
      </c>
      <c r="I2311" s="1" t="e">
        <f t="shared" si="2"/>
        <v>#VALUE!</v>
      </c>
    </row>
    <row r="2312" spans="1:9" ht="15.75" customHeight="1">
      <c r="A2312" s="26"/>
      <c r="B2312" s="2"/>
      <c r="C2312" s="26"/>
      <c r="D2312" s="26"/>
      <c r="F2312" s="85" t="str">
        <f t="shared" si="0"/>
        <v/>
      </c>
      <c r="G2312" s="1" t="e">
        <f>IF(VALUE(F2312) = VALUE(RIGHT(Insights!$C$3, 4)), E2312, "")</f>
        <v>#VALUE!</v>
      </c>
      <c r="H2312" s="26" t="e">
        <f t="shared" si="1"/>
        <v>#VALUE!</v>
      </c>
      <c r="I2312" s="1" t="e">
        <f t="shared" si="2"/>
        <v>#VALUE!</v>
      </c>
    </row>
    <row r="2313" spans="1:9" ht="15.75" customHeight="1">
      <c r="A2313" s="26"/>
      <c r="B2313" s="2"/>
      <c r="C2313" s="26"/>
      <c r="D2313" s="26"/>
      <c r="F2313" s="85" t="str">
        <f t="shared" si="0"/>
        <v/>
      </c>
      <c r="G2313" s="1" t="e">
        <f>IF(VALUE(F2313) = VALUE(RIGHT(Insights!$C$3, 4)), E2313, "")</f>
        <v>#VALUE!</v>
      </c>
      <c r="H2313" s="26" t="e">
        <f t="shared" si="1"/>
        <v>#VALUE!</v>
      </c>
      <c r="I2313" s="1" t="e">
        <f t="shared" si="2"/>
        <v>#VALUE!</v>
      </c>
    </row>
    <row r="2314" spans="1:9" ht="15.75" customHeight="1">
      <c r="A2314" s="26"/>
      <c r="B2314" s="2"/>
      <c r="C2314" s="26"/>
      <c r="D2314" s="26"/>
      <c r="F2314" s="85" t="str">
        <f t="shared" si="0"/>
        <v/>
      </c>
      <c r="G2314" s="1" t="e">
        <f>IF(VALUE(F2314) = VALUE(RIGHT(Insights!$C$3, 4)), E2314, "")</f>
        <v>#VALUE!</v>
      </c>
      <c r="H2314" s="26" t="e">
        <f t="shared" si="1"/>
        <v>#VALUE!</v>
      </c>
      <c r="I2314" s="1" t="e">
        <f t="shared" si="2"/>
        <v>#VALUE!</v>
      </c>
    </row>
    <row r="2315" spans="1:9" ht="15.75" customHeight="1">
      <c r="A2315" s="26"/>
      <c r="B2315" s="2"/>
      <c r="C2315" s="26"/>
      <c r="D2315" s="26"/>
      <c r="F2315" s="85" t="str">
        <f t="shared" si="0"/>
        <v/>
      </c>
      <c r="G2315" s="1" t="e">
        <f>IF(VALUE(F2315) = VALUE(RIGHT(Insights!$C$3, 4)), E2315, "")</f>
        <v>#VALUE!</v>
      </c>
      <c r="H2315" s="26" t="e">
        <f t="shared" si="1"/>
        <v>#VALUE!</v>
      </c>
      <c r="I2315" s="1" t="e">
        <f t="shared" si="2"/>
        <v>#VALUE!</v>
      </c>
    </row>
    <row r="2316" spans="1:9" ht="15.75" customHeight="1">
      <c r="A2316" s="26"/>
      <c r="B2316" s="2"/>
      <c r="C2316" s="26"/>
      <c r="D2316" s="26"/>
      <c r="F2316" s="85" t="str">
        <f t="shared" si="0"/>
        <v/>
      </c>
      <c r="G2316" s="1" t="e">
        <f>IF(VALUE(F2316) = VALUE(RIGHT(Insights!$C$3, 4)), E2316, "")</f>
        <v>#VALUE!</v>
      </c>
      <c r="H2316" s="26" t="e">
        <f t="shared" si="1"/>
        <v>#VALUE!</v>
      </c>
      <c r="I2316" s="1" t="e">
        <f t="shared" si="2"/>
        <v>#VALUE!</v>
      </c>
    </row>
    <row r="2317" spans="1:9" ht="15.75" customHeight="1">
      <c r="A2317" s="26"/>
      <c r="B2317" s="2"/>
      <c r="C2317" s="26"/>
      <c r="D2317" s="26"/>
      <c r="F2317" s="85" t="str">
        <f t="shared" si="0"/>
        <v/>
      </c>
      <c r="G2317" s="1" t="e">
        <f>IF(VALUE(F2317) = VALUE(RIGHT(Insights!$C$3, 4)), E2317, "")</f>
        <v>#VALUE!</v>
      </c>
      <c r="H2317" s="26" t="e">
        <f t="shared" si="1"/>
        <v>#VALUE!</v>
      </c>
      <c r="I2317" s="1" t="e">
        <f t="shared" si="2"/>
        <v>#VALUE!</v>
      </c>
    </row>
    <row r="2318" spans="1:9" ht="15.75" customHeight="1">
      <c r="A2318" s="26"/>
      <c r="B2318" s="2"/>
      <c r="C2318" s="26"/>
      <c r="D2318" s="26"/>
      <c r="F2318" s="85" t="str">
        <f t="shared" si="0"/>
        <v/>
      </c>
      <c r="G2318" s="1" t="e">
        <f>IF(VALUE(F2318) = VALUE(RIGHT(Insights!$C$3, 4)), E2318, "")</f>
        <v>#VALUE!</v>
      </c>
      <c r="H2318" s="26" t="e">
        <f t="shared" si="1"/>
        <v>#VALUE!</v>
      </c>
      <c r="I2318" s="1" t="e">
        <f t="shared" si="2"/>
        <v>#VALUE!</v>
      </c>
    </row>
    <row r="2319" spans="1:9" ht="15.75" customHeight="1">
      <c r="A2319" s="26"/>
      <c r="B2319" s="2"/>
      <c r="C2319" s="26"/>
      <c r="D2319" s="26"/>
      <c r="F2319" s="85" t="str">
        <f t="shared" si="0"/>
        <v/>
      </c>
      <c r="G2319" s="1" t="e">
        <f>IF(VALUE(F2319) = VALUE(RIGHT(Insights!$C$3, 4)), E2319, "")</f>
        <v>#VALUE!</v>
      </c>
      <c r="H2319" s="26" t="e">
        <f t="shared" si="1"/>
        <v>#VALUE!</v>
      </c>
      <c r="I2319" s="1" t="e">
        <f t="shared" si="2"/>
        <v>#VALUE!</v>
      </c>
    </row>
    <row r="2320" spans="1:9" ht="15.75" customHeight="1">
      <c r="A2320" s="26"/>
      <c r="B2320" s="2"/>
      <c r="C2320" s="26"/>
      <c r="D2320" s="26"/>
      <c r="F2320" s="85" t="str">
        <f t="shared" si="0"/>
        <v/>
      </c>
      <c r="G2320" s="1" t="e">
        <f>IF(VALUE(F2320) = VALUE(RIGHT(Insights!$C$3, 4)), E2320, "")</f>
        <v>#VALUE!</v>
      </c>
      <c r="H2320" s="26" t="e">
        <f t="shared" si="1"/>
        <v>#VALUE!</v>
      </c>
      <c r="I2320" s="1" t="e">
        <f t="shared" si="2"/>
        <v>#VALUE!</v>
      </c>
    </row>
    <row r="2321" spans="1:9" ht="15.75" customHeight="1">
      <c r="A2321" s="26"/>
      <c r="B2321" s="2"/>
      <c r="C2321" s="26"/>
      <c r="D2321" s="26"/>
      <c r="F2321" s="85" t="str">
        <f t="shared" si="0"/>
        <v/>
      </c>
      <c r="G2321" s="1" t="e">
        <f>IF(VALUE(F2321) = VALUE(RIGHT(Insights!$C$3, 4)), E2321, "")</f>
        <v>#VALUE!</v>
      </c>
      <c r="H2321" s="26" t="e">
        <f t="shared" si="1"/>
        <v>#VALUE!</v>
      </c>
      <c r="I2321" s="1" t="e">
        <f t="shared" si="2"/>
        <v>#VALUE!</v>
      </c>
    </row>
    <row r="2322" spans="1:9" ht="15.75" customHeight="1">
      <c r="A2322" s="26"/>
      <c r="B2322" s="2"/>
      <c r="C2322" s="26"/>
      <c r="D2322" s="26"/>
      <c r="F2322" s="85" t="str">
        <f t="shared" si="0"/>
        <v/>
      </c>
      <c r="G2322" s="1" t="e">
        <f>IF(VALUE(F2322) = VALUE(RIGHT(Insights!$C$3, 4)), E2322, "")</f>
        <v>#VALUE!</v>
      </c>
      <c r="H2322" s="26" t="e">
        <f t="shared" si="1"/>
        <v>#VALUE!</v>
      </c>
      <c r="I2322" s="1" t="e">
        <f t="shared" si="2"/>
        <v>#VALUE!</v>
      </c>
    </row>
    <row r="2323" spans="1:9" ht="15.75" customHeight="1">
      <c r="A2323" s="26"/>
      <c r="B2323" s="2"/>
      <c r="C2323" s="26"/>
      <c r="D2323" s="26"/>
      <c r="F2323" s="85" t="str">
        <f t="shared" si="0"/>
        <v/>
      </c>
      <c r="G2323" s="1" t="e">
        <f>IF(VALUE(F2323) = VALUE(RIGHT(Insights!$C$3, 4)), E2323, "")</f>
        <v>#VALUE!</v>
      </c>
      <c r="H2323" s="26" t="e">
        <f t="shared" si="1"/>
        <v>#VALUE!</v>
      </c>
      <c r="I2323" s="1" t="e">
        <f t="shared" si="2"/>
        <v>#VALUE!</v>
      </c>
    </row>
    <row r="2324" spans="1:9" ht="15.75" customHeight="1">
      <c r="A2324" s="26"/>
      <c r="B2324" s="2"/>
      <c r="C2324" s="26"/>
      <c r="D2324" s="26"/>
      <c r="F2324" s="85" t="str">
        <f t="shared" si="0"/>
        <v/>
      </c>
      <c r="G2324" s="1" t="e">
        <f>IF(VALUE(F2324) = VALUE(RIGHT(Insights!$C$3, 4)), E2324, "")</f>
        <v>#VALUE!</v>
      </c>
      <c r="H2324" s="26" t="e">
        <f t="shared" si="1"/>
        <v>#VALUE!</v>
      </c>
      <c r="I2324" s="1" t="e">
        <f t="shared" si="2"/>
        <v>#VALUE!</v>
      </c>
    </row>
    <row r="2325" spans="1:9" ht="15.75" customHeight="1">
      <c r="A2325" s="26"/>
      <c r="B2325" s="2"/>
      <c r="C2325" s="26"/>
      <c r="D2325" s="26"/>
      <c r="F2325" s="85" t="str">
        <f t="shared" si="0"/>
        <v/>
      </c>
      <c r="G2325" s="1" t="e">
        <f>IF(VALUE(F2325) = VALUE(RIGHT(Insights!$C$3, 4)), E2325, "")</f>
        <v>#VALUE!</v>
      </c>
      <c r="H2325" s="26" t="e">
        <f t="shared" si="1"/>
        <v>#VALUE!</v>
      </c>
      <c r="I2325" s="1" t="e">
        <f t="shared" si="2"/>
        <v>#VALUE!</v>
      </c>
    </row>
    <row r="2326" spans="1:9" ht="15.75" customHeight="1">
      <c r="A2326" s="26"/>
      <c r="B2326" s="2"/>
      <c r="C2326" s="26"/>
      <c r="D2326" s="26"/>
      <c r="F2326" s="85" t="str">
        <f t="shared" si="0"/>
        <v/>
      </c>
      <c r="G2326" s="1" t="e">
        <f>IF(VALUE(F2326) = VALUE(RIGHT(Insights!$C$3, 4)), E2326, "")</f>
        <v>#VALUE!</v>
      </c>
      <c r="H2326" s="26" t="e">
        <f t="shared" si="1"/>
        <v>#VALUE!</v>
      </c>
      <c r="I2326" s="1" t="e">
        <f t="shared" si="2"/>
        <v>#VALUE!</v>
      </c>
    </row>
    <row r="2327" spans="1:9" ht="15.75" customHeight="1">
      <c r="A2327" s="26"/>
      <c r="B2327" s="2"/>
      <c r="C2327" s="26"/>
      <c r="D2327" s="26"/>
      <c r="F2327" s="85" t="str">
        <f t="shared" si="0"/>
        <v/>
      </c>
      <c r="G2327" s="1" t="e">
        <f>IF(VALUE(F2327) = VALUE(RIGHT(Insights!$C$3, 4)), E2327, "")</f>
        <v>#VALUE!</v>
      </c>
      <c r="H2327" s="26" t="e">
        <f t="shared" si="1"/>
        <v>#VALUE!</v>
      </c>
      <c r="I2327" s="1" t="e">
        <f t="shared" si="2"/>
        <v>#VALUE!</v>
      </c>
    </row>
    <row r="2328" spans="1:9" ht="15.75" customHeight="1">
      <c r="A2328" s="26"/>
      <c r="B2328" s="2"/>
      <c r="C2328" s="26"/>
      <c r="D2328" s="26"/>
      <c r="F2328" s="85" t="str">
        <f t="shared" si="0"/>
        <v/>
      </c>
      <c r="G2328" s="1" t="e">
        <f>IF(VALUE(F2328) = VALUE(RIGHT(Insights!$C$3, 4)), E2328, "")</f>
        <v>#VALUE!</v>
      </c>
      <c r="H2328" s="26" t="e">
        <f t="shared" si="1"/>
        <v>#VALUE!</v>
      </c>
      <c r="I2328" s="1" t="e">
        <f t="shared" si="2"/>
        <v>#VALUE!</v>
      </c>
    </row>
    <row r="2329" spans="1:9" ht="15.75" customHeight="1">
      <c r="A2329" s="26"/>
      <c r="B2329" s="2"/>
      <c r="C2329" s="26"/>
      <c r="D2329" s="26"/>
      <c r="F2329" s="85" t="str">
        <f t="shared" si="0"/>
        <v/>
      </c>
      <c r="G2329" s="1" t="e">
        <f>IF(VALUE(F2329) = VALUE(RIGHT(Insights!$C$3, 4)), E2329, "")</f>
        <v>#VALUE!</v>
      </c>
      <c r="H2329" s="26" t="e">
        <f t="shared" si="1"/>
        <v>#VALUE!</v>
      </c>
      <c r="I2329" s="1" t="e">
        <f t="shared" si="2"/>
        <v>#VALUE!</v>
      </c>
    </row>
    <row r="2330" spans="1:9" ht="15.75" customHeight="1">
      <c r="A2330" s="26"/>
      <c r="B2330" s="2"/>
      <c r="C2330" s="26"/>
      <c r="D2330" s="26"/>
      <c r="F2330" s="85" t="str">
        <f t="shared" si="0"/>
        <v/>
      </c>
      <c r="G2330" s="1" t="e">
        <f>IF(VALUE(F2330) = VALUE(RIGHT(Insights!$C$3, 4)), E2330, "")</f>
        <v>#VALUE!</v>
      </c>
      <c r="H2330" s="26" t="e">
        <f t="shared" si="1"/>
        <v>#VALUE!</v>
      </c>
      <c r="I2330" s="1" t="e">
        <f t="shared" si="2"/>
        <v>#VALUE!</v>
      </c>
    </row>
    <row r="2331" spans="1:9" ht="15.75" customHeight="1">
      <c r="A2331" s="26"/>
      <c r="B2331" s="2"/>
      <c r="C2331" s="26"/>
      <c r="D2331" s="26"/>
      <c r="F2331" s="85" t="str">
        <f t="shared" si="0"/>
        <v/>
      </c>
      <c r="G2331" s="1" t="e">
        <f>IF(VALUE(F2331) = VALUE(RIGHT(Insights!$C$3, 4)), E2331, "")</f>
        <v>#VALUE!</v>
      </c>
      <c r="H2331" s="26" t="e">
        <f t="shared" si="1"/>
        <v>#VALUE!</v>
      </c>
      <c r="I2331" s="1" t="e">
        <f t="shared" si="2"/>
        <v>#VALUE!</v>
      </c>
    </row>
    <row r="2332" spans="1:9" ht="15.75" customHeight="1">
      <c r="A2332" s="26"/>
      <c r="B2332" s="2"/>
      <c r="C2332" s="26"/>
      <c r="D2332" s="26"/>
      <c r="F2332" s="85" t="str">
        <f t="shared" si="0"/>
        <v/>
      </c>
      <c r="G2332" s="1" t="e">
        <f>IF(VALUE(F2332) = VALUE(RIGHT(Insights!$C$3, 4)), E2332, "")</f>
        <v>#VALUE!</v>
      </c>
      <c r="H2332" s="26" t="e">
        <f t="shared" si="1"/>
        <v>#VALUE!</v>
      </c>
      <c r="I2332" s="1" t="e">
        <f t="shared" si="2"/>
        <v>#VALUE!</v>
      </c>
    </row>
    <row r="2333" spans="1:9" ht="15.75" customHeight="1">
      <c r="A2333" s="26"/>
      <c r="B2333" s="2"/>
      <c r="C2333" s="26"/>
      <c r="D2333" s="26"/>
      <c r="F2333" s="85" t="str">
        <f t="shared" si="0"/>
        <v/>
      </c>
      <c r="G2333" s="1" t="e">
        <f>IF(VALUE(F2333) = VALUE(RIGHT(Insights!$C$3, 4)), E2333, "")</f>
        <v>#VALUE!</v>
      </c>
      <c r="H2333" s="26" t="e">
        <f t="shared" si="1"/>
        <v>#VALUE!</v>
      </c>
      <c r="I2333" s="1" t="e">
        <f t="shared" si="2"/>
        <v>#VALUE!</v>
      </c>
    </row>
    <row r="2334" spans="1:9" ht="15.75" customHeight="1">
      <c r="A2334" s="26"/>
      <c r="B2334" s="2"/>
      <c r="C2334" s="26"/>
      <c r="D2334" s="26"/>
      <c r="F2334" s="85" t="str">
        <f t="shared" si="0"/>
        <v/>
      </c>
      <c r="G2334" s="1" t="e">
        <f>IF(VALUE(F2334) = VALUE(RIGHT(Insights!$C$3, 4)), E2334, "")</f>
        <v>#VALUE!</v>
      </c>
      <c r="H2334" s="26" t="e">
        <f t="shared" si="1"/>
        <v>#VALUE!</v>
      </c>
      <c r="I2334" s="1" t="e">
        <f t="shared" si="2"/>
        <v>#VALUE!</v>
      </c>
    </row>
    <row r="2335" spans="1:9" ht="15.75" customHeight="1">
      <c r="A2335" s="26"/>
      <c r="B2335" s="2"/>
      <c r="C2335" s="26"/>
      <c r="D2335" s="26"/>
      <c r="F2335" s="85" t="str">
        <f t="shared" si="0"/>
        <v/>
      </c>
      <c r="G2335" s="1" t="e">
        <f>IF(VALUE(F2335) = VALUE(RIGHT(Insights!$C$3, 4)), E2335, "")</f>
        <v>#VALUE!</v>
      </c>
      <c r="H2335" s="26" t="e">
        <f t="shared" si="1"/>
        <v>#VALUE!</v>
      </c>
      <c r="I2335" s="1" t="e">
        <f t="shared" si="2"/>
        <v>#VALUE!</v>
      </c>
    </row>
    <row r="2336" spans="1:9" ht="15.75" customHeight="1">
      <c r="A2336" s="26"/>
      <c r="B2336" s="2"/>
      <c r="C2336" s="26"/>
      <c r="D2336" s="26"/>
      <c r="F2336" s="85" t="str">
        <f t="shared" si="0"/>
        <v/>
      </c>
      <c r="G2336" s="1" t="e">
        <f>IF(VALUE(F2336) = VALUE(RIGHT(Insights!$C$3, 4)), E2336, "")</f>
        <v>#VALUE!</v>
      </c>
      <c r="H2336" s="26" t="e">
        <f t="shared" si="1"/>
        <v>#VALUE!</v>
      </c>
      <c r="I2336" s="1" t="e">
        <f t="shared" si="2"/>
        <v>#VALUE!</v>
      </c>
    </row>
    <row r="2337" spans="1:9" ht="15.75" customHeight="1">
      <c r="A2337" s="26"/>
      <c r="B2337" s="2"/>
      <c r="C2337" s="26"/>
      <c r="D2337" s="26"/>
      <c r="F2337" s="85" t="str">
        <f t="shared" si="0"/>
        <v/>
      </c>
      <c r="G2337" s="1" t="e">
        <f>IF(VALUE(F2337) = VALUE(RIGHT(Insights!$C$3, 4)), E2337, "")</f>
        <v>#VALUE!</v>
      </c>
      <c r="H2337" s="26" t="e">
        <f t="shared" si="1"/>
        <v>#VALUE!</v>
      </c>
      <c r="I2337" s="1" t="e">
        <f t="shared" si="2"/>
        <v>#VALUE!</v>
      </c>
    </row>
    <row r="2338" spans="1:9" ht="15.75" customHeight="1">
      <c r="A2338" s="26"/>
      <c r="B2338" s="2"/>
      <c r="C2338" s="26"/>
      <c r="D2338" s="26"/>
      <c r="F2338" s="85" t="str">
        <f t="shared" si="0"/>
        <v/>
      </c>
      <c r="G2338" s="1" t="e">
        <f>IF(VALUE(F2338) = VALUE(RIGHT(Insights!$C$3, 4)), E2338, "")</f>
        <v>#VALUE!</v>
      </c>
      <c r="H2338" s="26" t="e">
        <f t="shared" si="1"/>
        <v>#VALUE!</v>
      </c>
      <c r="I2338" s="1" t="e">
        <f t="shared" si="2"/>
        <v>#VALUE!</v>
      </c>
    </row>
    <row r="2339" spans="1:9" ht="15.75" customHeight="1">
      <c r="A2339" s="26"/>
      <c r="B2339" s="2"/>
      <c r="C2339" s="26"/>
      <c r="D2339" s="26"/>
      <c r="F2339" s="85" t="str">
        <f t="shared" si="0"/>
        <v/>
      </c>
      <c r="G2339" s="1" t="e">
        <f>IF(VALUE(F2339) = VALUE(RIGHT(Insights!$C$3, 4)), E2339, "")</f>
        <v>#VALUE!</v>
      </c>
      <c r="H2339" s="26" t="e">
        <f t="shared" si="1"/>
        <v>#VALUE!</v>
      </c>
      <c r="I2339" s="1" t="e">
        <f t="shared" si="2"/>
        <v>#VALUE!</v>
      </c>
    </row>
    <row r="2340" spans="1:9" ht="15.75" customHeight="1">
      <c r="A2340" s="26"/>
      <c r="B2340" s="2"/>
      <c r="C2340" s="26"/>
      <c r="D2340" s="26"/>
      <c r="F2340" s="85" t="str">
        <f t="shared" si="0"/>
        <v/>
      </c>
      <c r="G2340" s="1" t="e">
        <f>IF(VALUE(F2340) = VALUE(RIGHT(Insights!$C$3, 4)), E2340, "")</f>
        <v>#VALUE!</v>
      </c>
      <c r="H2340" s="26" t="e">
        <f t="shared" si="1"/>
        <v>#VALUE!</v>
      </c>
      <c r="I2340" s="1" t="e">
        <f t="shared" si="2"/>
        <v>#VALUE!</v>
      </c>
    </row>
    <row r="2341" spans="1:9" ht="15.75" customHeight="1">
      <c r="A2341" s="26"/>
      <c r="B2341" s="2"/>
      <c r="C2341" s="26"/>
      <c r="D2341" s="26"/>
      <c r="F2341" s="85" t="str">
        <f t="shared" si="0"/>
        <v/>
      </c>
      <c r="G2341" s="1" t="e">
        <f>IF(VALUE(F2341) = VALUE(RIGHT(Insights!$C$3, 4)), E2341, "")</f>
        <v>#VALUE!</v>
      </c>
      <c r="H2341" s="26" t="e">
        <f t="shared" si="1"/>
        <v>#VALUE!</v>
      </c>
      <c r="I2341" s="1" t="e">
        <f t="shared" si="2"/>
        <v>#VALUE!</v>
      </c>
    </row>
    <row r="2342" spans="1:9" ht="15.75" customHeight="1">
      <c r="A2342" s="26"/>
      <c r="B2342" s="2"/>
      <c r="C2342" s="26"/>
      <c r="D2342" s="26"/>
      <c r="F2342" s="85" t="str">
        <f t="shared" si="0"/>
        <v/>
      </c>
      <c r="G2342" s="1" t="e">
        <f>IF(VALUE(F2342) = VALUE(RIGHT(Insights!$C$3, 4)), E2342, "")</f>
        <v>#VALUE!</v>
      </c>
      <c r="H2342" s="26" t="e">
        <f t="shared" si="1"/>
        <v>#VALUE!</v>
      </c>
      <c r="I2342" s="1" t="e">
        <f t="shared" si="2"/>
        <v>#VALUE!</v>
      </c>
    </row>
    <row r="2343" spans="1:9" ht="15.75" customHeight="1">
      <c r="A2343" s="26"/>
      <c r="B2343" s="2"/>
      <c r="C2343" s="26"/>
      <c r="D2343" s="26"/>
      <c r="F2343" s="85" t="str">
        <f t="shared" si="0"/>
        <v/>
      </c>
      <c r="G2343" s="1" t="e">
        <f>IF(VALUE(F2343) = VALUE(RIGHT(Insights!$C$3, 4)), E2343, "")</f>
        <v>#VALUE!</v>
      </c>
      <c r="H2343" s="26" t="e">
        <f t="shared" si="1"/>
        <v>#VALUE!</v>
      </c>
      <c r="I2343" s="1" t="e">
        <f t="shared" si="2"/>
        <v>#VALUE!</v>
      </c>
    </row>
    <row r="2344" spans="1:9" ht="15.75" customHeight="1">
      <c r="A2344" s="26"/>
      <c r="B2344" s="2"/>
      <c r="C2344" s="26"/>
      <c r="D2344" s="26"/>
      <c r="F2344" s="85" t="str">
        <f t="shared" si="0"/>
        <v/>
      </c>
      <c r="G2344" s="1" t="e">
        <f>IF(VALUE(F2344) = VALUE(RIGHT(Insights!$C$3, 4)), E2344, "")</f>
        <v>#VALUE!</v>
      </c>
      <c r="H2344" s="26" t="e">
        <f t="shared" si="1"/>
        <v>#VALUE!</v>
      </c>
      <c r="I2344" s="1" t="e">
        <f t="shared" si="2"/>
        <v>#VALUE!</v>
      </c>
    </row>
    <row r="2345" spans="1:9" ht="15.75" customHeight="1">
      <c r="A2345" s="26"/>
      <c r="B2345" s="2"/>
      <c r="C2345" s="26"/>
      <c r="D2345" s="26"/>
      <c r="F2345" s="85" t="str">
        <f t="shared" si="0"/>
        <v/>
      </c>
      <c r="G2345" s="1" t="e">
        <f>IF(VALUE(F2345) = VALUE(RIGHT(Insights!$C$3, 4)), E2345, "")</f>
        <v>#VALUE!</v>
      </c>
      <c r="H2345" s="26" t="e">
        <f t="shared" si="1"/>
        <v>#VALUE!</v>
      </c>
      <c r="I2345" s="1" t="e">
        <f t="shared" si="2"/>
        <v>#VALUE!</v>
      </c>
    </row>
    <row r="2346" spans="1:9" ht="15.75" customHeight="1">
      <c r="A2346" s="26"/>
      <c r="B2346" s="2"/>
      <c r="C2346" s="26"/>
      <c r="D2346" s="26"/>
      <c r="F2346" s="85" t="str">
        <f t="shared" si="0"/>
        <v/>
      </c>
      <c r="G2346" s="1" t="e">
        <f>IF(VALUE(F2346) = VALUE(RIGHT(Insights!$C$3, 4)), E2346, "")</f>
        <v>#VALUE!</v>
      </c>
      <c r="H2346" s="26" t="e">
        <f t="shared" si="1"/>
        <v>#VALUE!</v>
      </c>
      <c r="I2346" s="1" t="e">
        <f t="shared" si="2"/>
        <v>#VALUE!</v>
      </c>
    </row>
    <row r="2347" spans="1:9" ht="15.75" customHeight="1">
      <c r="A2347" s="26"/>
      <c r="B2347" s="2"/>
      <c r="C2347" s="26"/>
      <c r="D2347" s="26"/>
      <c r="F2347" s="85" t="str">
        <f t="shared" si="0"/>
        <v/>
      </c>
      <c r="G2347" s="1" t="e">
        <f>IF(VALUE(F2347) = VALUE(RIGHT(Insights!$C$3, 4)), E2347, "")</f>
        <v>#VALUE!</v>
      </c>
      <c r="H2347" s="26" t="e">
        <f t="shared" si="1"/>
        <v>#VALUE!</v>
      </c>
      <c r="I2347" s="1" t="e">
        <f t="shared" si="2"/>
        <v>#VALUE!</v>
      </c>
    </row>
    <row r="2348" spans="1:9" ht="15.75" customHeight="1">
      <c r="A2348" s="26"/>
      <c r="B2348" s="2"/>
      <c r="C2348" s="26"/>
      <c r="D2348" s="26"/>
      <c r="F2348" s="85" t="str">
        <f t="shared" si="0"/>
        <v/>
      </c>
      <c r="G2348" s="1" t="e">
        <f>IF(VALUE(F2348) = VALUE(RIGHT(Insights!$C$3, 4)), E2348, "")</f>
        <v>#VALUE!</v>
      </c>
      <c r="H2348" s="26" t="e">
        <f t="shared" si="1"/>
        <v>#VALUE!</v>
      </c>
      <c r="I2348" s="1" t="e">
        <f t="shared" si="2"/>
        <v>#VALUE!</v>
      </c>
    </row>
    <row r="2349" spans="1:9" ht="15.75" customHeight="1">
      <c r="A2349" s="26"/>
      <c r="B2349" s="2"/>
      <c r="C2349" s="26"/>
      <c r="D2349" s="26"/>
      <c r="F2349" s="85" t="str">
        <f t="shared" si="0"/>
        <v/>
      </c>
      <c r="G2349" s="1" t="e">
        <f>IF(VALUE(F2349) = VALUE(RIGHT(Insights!$C$3, 4)), E2349, "")</f>
        <v>#VALUE!</v>
      </c>
      <c r="H2349" s="26" t="e">
        <f t="shared" si="1"/>
        <v>#VALUE!</v>
      </c>
      <c r="I2349" s="1" t="e">
        <f t="shared" si="2"/>
        <v>#VALUE!</v>
      </c>
    </row>
    <row r="2350" spans="1:9" ht="15.75" customHeight="1">
      <c r="A2350" s="26"/>
      <c r="B2350" s="2"/>
      <c r="C2350" s="26"/>
      <c r="D2350" s="26"/>
      <c r="F2350" s="85" t="str">
        <f t="shared" si="0"/>
        <v/>
      </c>
      <c r="G2350" s="1" t="e">
        <f>IF(VALUE(F2350) = VALUE(RIGHT(Insights!$C$3, 4)), E2350, "")</f>
        <v>#VALUE!</v>
      </c>
      <c r="H2350" s="26" t="e">
        <f t="shared" si="1"/>
        <v>#VALUE!</v>
      </c>
      <c r="I2350" s="1" t="e">
        <f t="shared" si="2"/>
        <v>#VALUE!</v>
      </c>
    </row>
    <row r="2351" spans="1:9" ht="15.75" customHeight="1">
      <c r="A2351" s="26"/>
      <c r="B2351" s="2"/>
      <c r="C2351" s="26"/>
      <c r="D2351" s="26"/>
      <c r="F2351" s="85" t="str">
        <f t="shared" si="0"/>
        <v/>
      </c>
      <c r="G2351" s="1" t="e">
        <f>IF(VALUE(F2351) = VALUE(RIGHT(Insights!$C$3, 4)), E2351, "")</f>
        <v>#VALUE!</v>
      </c>
      <c r="H2351" s="26" t="e">
        <f t="shared" si="1"/>
        <v>#VALUE!</v>
      </c>
      <c r="I2351" s="1" t="e">
        <f t="shared" si="2"/>
        <v>#VALUE!</v>
      </c>
    </row>
    <row r="2352" spans="1:9" ht="15.75" customHeight="1">
      <c r="A2352" s="26"/>
      <c r="B2352" s="2"/>
      <c r="C2352" s="26"/>
      <c r="D2352" s="26"/>
      <c r="F2352" s="85" t="str">
        <f t="shared" si="0"/>
        <v/>
      </c>
      <c r="G2352" s="1" t="e">
        <f>IF(VALUE(F2352) = VALUE(RIGHT(Insights!$C$3, 4)), E2352, "")</f>
        <v>#VALUE!</v>
      </c>
      <c r="H2352" s="26" t="e">
        <f t="shared" si="1"/>
        <v>#VALUE!</v>
      </c>
      <c r="I2352" s="1" t="e">
        <f t="shared" si="2"/>
        <v>#VALUE!</v>
      </c>
    </row>
    <row r="2353" spans="1:9" ht="15.75" customHeight="1">
      <c r="A2353" s="26"/>
      <c r="B2353" s="2"/>
      <c r="C2353" s="26"/>
      <c r="D2353" s="26"/>
      <c r="F2353" s="85" t="str">
        <f t="shared" si="0"/>
        <v/>
      </c>
      <c r="G2353" s="1" t="e">
        <f>IF(VALUE(F2353) = VALUE(RIGHT(Insights!$C$3, 4)), E2353, "")</f>
        <v>#VALUE!</v>
      </c>
      <c r="H2353" s="26" t="e">
        <f t="shared" si="1"/>
        <v>#VALUE!</v>
      </c>
      <c r="I2353" s="1" t="e">
        <f t="shared" si="2"/>
        <v>#VALUE!</v>
      </c>
    </row>
    <row r="2354" spans="1:9" ht="15.75" customHeight="1">
      <c r="A2354" s="26"/>
      <c r="B2354" s="2"/>
      <c r="C2354" s="26"/>
      <c r="D2354" s="26"/>
      <c r="F2354" s="85" t="str">
        <f t="shared" si="0"/>
        <v/>
      </c>
      <c r="G2354" s="1" t="e">
        <f>IF(VALUE(F2354) = VALUE(RIGHT(Insights!$C$3, 4)), E2354, "")</f>
        <v>#VALUE!</v>
      </c>
      <c r="H2354" s="26" t="e">
        <f t="shared" si="1"/>
        <v>#VALUE!</v>
      </c>
      <c r="I2354" s="1" t="e">
        <f t="shared" si="2"/>
        <v>#VALUE!</v>
      </c>
    </row>
    <row r="2355" spans="1:9" ht="15.75" customHeight="1">
      <c r="A2355" s="26"/>
      <c r="B2355" s="2"/>
      <c r="C2355" s="26"/>
      <c r="D2355" s="26"/>
      <c r="F2355" s="85" t="str">
        <f t="shared" si="0"/>
        <v/>
      </c>
      <c r="G2355" s="1" t="e">
        <f>IF(VALUE(F2355) = VALUE(RIGHT(Insights!$C$3, 4)), E2355, "")</f>
        <v>#VALUE!</v>
      </c>
      <c r="H2355" s="26" t="e">
        <f t="shared" si="1"/>
        <v>#VALUE!</v>
      </c>
      <c r="I2355" s="1" t="e">
        <f t="shared" si="2"/>
        <v>#VALUE!</v>
      </c>
    </row>
    <row r="2356" spans="1:9" ht="15.75" customHeight="1">
      <c r="A2356" s="26"/>
      <c r="B2356" s="2"/>
      <c r="C2356" s="26"/>
      <c r="D2356" s="26"/>
      <c r="F2356" s="85" t="str">
        <f t="shared" si="0"/>
        <v/>
      </c>
      <c r="G2356" s="1" t="e">
        <f>IF(VALUE(F2356) = VALUE(RIGHT(Insights!$C$3, 4)), E2356, "")</f>
        <v>#VALUE!</v>
      </c>
      <c r="H2356" s="26" t="e">
        <f t="shared" si="1"/>
        <v>#VALUE!</v>
      </c>
      <c r="I2356" s="1" t="e">
        <f t="shared" si="2"/>
        <v>#VALUE!</v>
      </c>
    </row>
    <row r="2357" spans="1:9" ht="15.75" customHeight="1">
      <c r="A2357" s="26"/>
      <c r="B2357" s="2"/>
      <c r="C2357" s="26"/>
      <c r="D2357" s="26"/>
      <c r="F2357" s="85" t="str">
        <f t="shared" si="0"/>
        <v/>
      </c>
      <c r="G2357" s="1" t="e">
        <f>IF(VALUE(F2357) = VALUE(RIGHT(Insights!$C$3, 4)), E2357, "")</f>
        <v>#VALUE!</v>
      </c>
      <c r="H2357" s="26" t="e">
        <f t="shared" si="1"/>
        <v>#VALUE!</v>
      </c>
      <c r="I2357" s="1" t="e">
        <f t="shared" si="2"/>
        <v>#VALUE!</v>
      </c>
    </row>
    <row r="2358" spans="1:9" ht="15.75" customHeight="1">
      <c r="A2358" s="26"/>
      <c r="B2358" s="2"/>
      <c r="C2358" s="26"/>
      <c r="D2358" s="26"/>
      <c r="F2358" s="85" t="str">
        <f t="shared" si="0"/>
        <v/>
      </c>
      <c r="G2358" s="1" t="e">
        <f>IF(VALUE(F2358) = VALUE(RIGHT(Insights!$C$3, 4)), E2358, "")</f>
        <v>#VALUE!</v>
      </c>
      <c r="H2358" s="26" t="e">
        <f t="shared" si="1"/>
        <v>#VALUE!</v>
      </c>
      <c r="I2358" s="1" t="e">
        <f t="shared" si="2"/>
        <v>#VALUE!</v>
      </c>
    </row>
    <row r="2359" spans="1:9" ht="15.75" customHeight="1">
      <c r="A2359" s="26"/>
      <c r="B2359" s="2"/>
      <c r="C2359" s="26"/>
      <c r="D2359" s="26"/>
      <c r="F2359" s="85" t="str">
        <f t="shared" si="0"/>
        <v/>
      </c>
      <c r="G2359" s="1" t="e">
        <f>IF(VALUE(F2359) = VALUE(RIGHT(Insights!$C$3, 4)), E2359, "")</f>
        <v>#VALUE!</v>
      </c>
      <c r="H2359" s="26" t="e">
        <f t="shared" si="1"/>
        <v>#VALUE!</v>
      </c>
      <c r="I2359" s="1" t="e">
        <f t="shared" si="2"/>
        <v>#VALUE!</v>
      </c>
    </row>
    <row r="2360" spans="1:9" ht="15.75" customHeight="1">
      <c r="A2360" s="26"/>
      <c r="B2360" s="2"/>
      <c r="C2360" s="26"/>
      <c r="D2360" s="26"/>
      <c r="F2360" s="85" t="str">
        <f t="shared" si="0"/>
        <v/>
      </c>
      <c r="G2360" s="1" t="e">
        <f>IF(VALUE(F2360) = VALUE(RIGHT(Insights!$C$3, 4)), E2360, "")</f>
        <v>#VALUE!</v>
      </c>
      <c r="H2360" s="26" t="e">
        <f t="shared" si="1"/>
        <v>#VALUE!</v>
      </c>
      <c r="I2360" s="1" t="e">
        <f t="shared" si="2"/>
        <v>#VALUE!</v>
      </c>
    </row>
    <row r="2361" spans="1:9" ht="15.75" customHeight="1">
      <c r="A2361" s="26"/>
      <c r="B2361" s="2"/>
      <c r="C2361" s="26"/>
      <c r="D2361" s="26"/>
      <c r="F2361" s="85" t="str">
        <f t="shared" si="0"/>
        <v/>
      </c>
      <c r="G2361" s="1" t="e">
        <f>IF(VALUE(F2361) = VALUE(RIGHT(Insights!$C$3, 4)), E2361, "")</f>
        <v>#VALUE!</v>
      </c>
      <c r="H2361" s="26" t="e">
        <f t="shared" si="1"/>
        <v>#VALUE!</v>
      </c>
      <c r="I2361" s="1" t="e">
        <f t="shared" si="2"/>
        <v>#VALUE!</v>
      </c>
    </row>
    <row r="2362" spans="1:9" ht="15.75" customHeight="1">
      <c r="A2362" s="26"/>
      <c r="B2362" s="2"/>
      <c r="C2362" s="26"/>
      <c r="D2362" s="26"/>
      <c r="F2362" s="85" t="str">
        <f t="shared" si="0"/>
        <v/>
      </c>
      <c r="G2362" s="1" t="e">
        <f>IF(VALUE(F2362) = VALUE(RIGHT(Insights!$C$3, 4)), E2362, "")</f>
        <v>#VALUE!</v>
      </c>
      <c r="H2362" s="26" t="e">
        <f t="shared" si="1"/>
        <v>#VALUE!</v>
      </c>
      <c r="I2362" s="1" t="e">
        <f t="shared" si="2"/>
        <v>#VALUE!</v>
      </c>
    </row>
    <row r="2363" spans="1:9" ht="15.75" customHeight="1">
      <c r="A2363" s="26"/>
      <c r="B2363" s="2"/>
      <c r="C2363" s="26"/>
      <c r="D2363" s="26"/>
      <c r="F2363" s="85" t="str">
        <f t="shared" si="0"/>
        <v/>
      </c>
      <c r="G2363" s="1" t="e">
        <f>IF(VALUE(F2363) = VALUE(RIGHT(Insights!$C$3, 4)), E2363, "")</f>
        <v>#VALUE!</v>
      </c>
      <c r="H2363" s="26" t="e">
        <f t="shared" si="1"/>
        <v>#VALUE!</v>
      </c>
      <c r="I2363" s="1" t="e">
        <f t="shared" si="2"/>
        <v>#VALUE!</v>
      </c>
    </row>
    <row r="2364" spans="1:9" ht="15.75" customHeight="1">
      <c r="A2364" s="26"/>
      <c r="B2364" s="2"/>
      <c r="C2364" s="26"/>
      <c r="D2364" s="26"/>
      <c r="F2364" s="85" t="str">
        <f t="shared" si="0"/>
        <v/>
      </c>
      <c r="G2364" s="1" t="e">
        <f>IF(VALUE(F2364) = VALUE(RIGHT(Insights!$C$3, 4)), E2364, "")</f>
        <v>#VALUE!</v>
      </c>
      <c r="H2364" s="26" t="e">
        <f t="shared" si="1"/>
        <v>#VALUE!</v>
      </c>
      <c r="I2364" s="1" t="e">
        <f t="shared" si="2"/>
        <v>#VALUE!</v>
      </c>
    </row>
    <row r="2365" spans="1:9" ht="15.75" customHeight="1">
      <c r="A2365" s="26"/>
      <c r="B2365" s="2"/>
      <c r="C2365" s="26"/>
      <c r="D2365" s="26"/>
      <c r="F2365" s="85" t="str">
        <f t="shared" si="0"/>
        <v/>
      </c>
      <c r="G2365" s="1" t="e">
        <f>IF(VALUE(F2365) = VALUE(RIGHT(Insights!$C$3, 4)), E2365, "")</f>
        <v>#VALUE!</v>
      </c>
      <c r="H2365" s="26" t="e">
        <f t="shared" si="1"/>
        <v>#VALUE!</v>
      </c>
      <c r="I2365" s="1" t="e">
        <f t="shared" si="2"/>
        <v>#VALUE!</v>
      </c>
    </row>
    <row r="2366" spans="1:9" ht="15.75" customHeight="1">
      <c r="A2366" s="26"/>
      <c r="B2366" s="2"/>
      <c r="C2366" s="26"/>
      <c r="D2366" s="26"/>
      <c r="F2366" s="85" t="str">
        <f t="shared" si="0"/>
        <v/>
      </c>
      <c r="G2366" s="1" t="e">
        <f>IF(VALUE(F2366) = VALUE(RIGHT(Insights!$C$3, 4)), E2366, "")</f>
        <v>#VALUE!</v>
      </c>
      <c r="H2366" s="26" t="e">
        <f t="shared" si="1"/>
        <v>#VALUE!</v>
      </c>
      <c r="I2366" s="1" t="e">
        <f t="shared" si="2"/>
        <v>#VALUE!</v>
      </c>
    </row>
    <row r="2367" spans="1:9" ht="15.75" customHeight="1">
      <c r="A2367" s="26"/>
      <c r="B2367" s="2"/>
      <c r="C2367" s="26"/>
      <c r="D2367" s="26"/>
      <c r="F2367" s="85" t="str">
        <f t="shared" si="0"/>
        <v/>
      </c>
      <c r="G2367" s="1" t="e">
        <f>IF(VALUE(F2367) = VALUE(RIGHT(Insights!$C$3, 4)), E2367, "")</f>
        <v>#VALUE!</v>
      </c>
      <c r="H2367" s="26" t="e">
        <f t="shared" si="1"/>
        <v>#VALUE!</v>
      </c>
      <c r="I2367" s="1" t="e">
        <f t="shared" si="2"/>
        <v>#VALUE!</v>
      </c>
    </row>
    <row r="2368" spans="1:9" ht="15.75" customHeight="1">
      <c r="A2368" s="26"/>
      <c r="B2368" s="2"/>
      <c r="C2368" s="26"/>
      <c r="D2368" s="26"/>
      <c r="F2368" s="85" t="str">
        <f t="shared" si="0"/>
        <v/>
      </c>
      <c r="G2368" s="1" t="e">
        <f>IF(VALUE(F2368) = VALUE(RIGHT(Insights!$C$3, 4)), E2368, "")</f>
        <v>#VALUE!</v>
      </c>
      <c r="H2368" s="26" t="e">
        <f t="shared" si="1"/>
        <v>#VALUE!</v>
      </c>
      <c r="I2368" s="1" t="e">
        <f t="shared" si="2"/>
        <v>#VALUE!</v>
      </c>
    </row>
    <row r="2369" spans="1:9" ht="15.75" customHeight="1">
      <c r="A2369" s="26"/>
      <c r="B2369" s="2"/>
      <c r="C2369" s="26"/>
      <c r="D2369" s="26"/>
      <c r="F2369" s="85" t="str">
        <f t="shared" si="0"/>
        <v/>
      </c>
      <c r="G2369" s="1" t="e">
        <f>IF(VALUE(F2369) = VALUE(RIGHT(Insights!$C$3, 4)), E2369, "")</f>
        <v>#VALUE!</v>
      </c>
      <c r="H2369" s="26" t="e">
        <f t="shared" si="1"/>
        <v>#VALUE!</v>
      </c>
      <c r="I2369" s="1" t="e">
        <f t="shared" si="2"/>
        <v>#VALUE!</v>
      </c>
    </row>
    <row r="2370" spans="1:9" ht="15.75" customHeight="1">
      <c r="A2370" s="26"/>
      <c r="B2370" s="2"/>
      <c r="C2370" s="26"/>
      <c r="D2370" s="26"/>
      <c r="F2370" s="85" t="str">
        <f t="shared" si="0"/>
        <v/>
      </c>
      <c r="G2370" s="1" t="e">
        <f>IF(VALUE(F2370) = VALUE(RIGHT(Insights!$C$3, 4)), E2370, "")</f>
        <v>#VALUE!</v>
      </c>
      <c r="H2370" s="26" t="e">
        <f t="shared" si="1"/>
        <v>#VALUE!</v>
      </c>
      <c r="I2370" s="1" t="e">
        <f t="shared" si="2"/>
        <v>#VALUE!</v>
      </c>
    </row>
    <row r="2371" spans="1:9" ht="15.75" customHeight="1">
      <c r="A2371" s="26"/>
      <c r="B2371" s="2"/>
      <c r="C2371" s="26"/>
      <c r="D2371" s="26"/>
      <c r="F2371" s="85" t="str">
        <f t="shared" si="0"/>
        <v/>
      </c>
      <c r="G2371" s="1" t="e">
        <f>IF(VALUE(F2371) = VALUE(RIGHT(Insights!$C$3, 4)), E2371, "")</f>
        <v>#VALUE!</v>
      </c>
      <c r="H2371" s="26" t="e">
        <f t="shared" si="1"/>
        <v>#VALUE!</v>
      </c>
      <c r="I2371" s="1" t="e">
        <f t="shared" si="2"/>
        <v>#VALUE!</v>
      </c>
    </row>
    <row r="2372" spans="1:9" ht="15.75" customHeight="1">
      <c r="A2372" s="26"/>
      <c r="B2372" s="2"/>
      <c r="C2372" s="26"/>
      <c r="D2372" s="26"/>
      <c r="F2372" s="85" t="str">
        <f t="shared" si="0"/>
        <v/>
      </c>
      <c r="G2372" s="1" t="e">
        <f>IF(VALUE(F2372) = VALUE(RIGHT(Insights!$C$3, 4)), E2372, "")</f>
        <v>#VALUE!</v>
      </c>
      <c r="H2372" s="26" t="e">
        <f t="shared" si="1"/>
        <v>#VALUE!</v>
      </c>
      <c r="I2372" s="1" t="e">
        <f t="shared" si="2"/>
        <v>#VALUE!</v>
      </c>
    </row>
    <row r="2373" spans="1:9" ht="15.75" customHeight="1">
      <c r="A2373" s="26"/>
      <c r="B2373" s="2"/>
      <c r="C2373" s="26"/>
      <c r="D2373" s="26"/>
      <c r="F2373" s="85" t="str">
        <f t="shared" si="0"/>
        <v/>
      </c>
      <c r="G2373" s="1" t="e">
        <f>IF(VALUE(F2373) = VALUE(RIGHT(Insights!$C$3, 4)), E2373, "")</f>
        <v>#VALUE!</v>
      </c>
      <c r="H2373" s="26" t="e">
        <f t="shared" si="1"/>
        <v>#VALUE!</v>
      </c>
      <c r="I2373" s="1" t="e">
        <f t="shared" si="2"/>
        <v>#VALUE!</v>
      </c>
    </row>
    <row r="2374" spans="1:9" ht="15.75" customHeight="1">
      <c r="A2374" s="26"/>
      <c r="B2374" s="2"/>
      <c r="C2374" s="26"/>
      <c r="D2374" s="26"/>
      <c r="F2374" s="85" t="str">
        <f t="shared" si="0"/>
        <v/>
      </c>
      <c r="G2374" s="1" t="e">
        <f>IF(VALUE(F2374) = VALUE(RIGHT(Insights!$C$3, 4)), E2374, "")</f>
        <v>#VALUE!</v>
      </c>
      <c r="H2374" s="26" t="e">
        <f t="shared" si="1"/>
        <v>#VALUE!</v>
      </c>
      <c r="I2374" s="1" t="e">
        <f t="shared" si="2"/>
        <v>#VALUE!</v>
      </c>
    </row>
    <row r="2375" spans="1:9" ht="15.75" customHeight="1">
      <c r="A2375" s="26"/>
      <c r="B2375" s="2"/>
      <c r="C2375" s="26"/>
      <c r="D2375" s="26"/>
      <c r="F2375" s="85" t="str">
        <f t="shared" si="0"/>
        <v/>
      </c>
      <c r="G2375" s="1" t="e">
        <f>IF(VALUE(F2375) = VALUE(RIGHT(Insights!$C$3, 4)), E2375, "")</f>
        <v>#VALUE!</v>
      </c>
      <c r="H2375" s="26" t="e">
        <f t="shared" si="1"/>
        <v>#VALUE!</v>
      </c>
      <c r="I2375" s="1" t="e">
        <f t="shared" si="2"/>
        <v>#VALUE!</v>
      </c>
    </row>
    <row r="2376" spans="1:9" ht="15.75" customHeight="1">
      <c r="A2376" s="26"/>
      <c r="B2376" s="2"/>
      <c r="C2376" s="26"/>
      <c r="D2376" s="26"/>
      <c r="F2376" s="85" t="str">
        <f t="shared" si="0"/>
        <v/>
      </c>
      <c r="G2376" s="1" t="e">
        <f>IF(VALUE(F2376) = VALUE(RIGHT(Insights!$C$3, 4)), E2376, "")</f>
        <v>#VALUE!</v>
      </c>
      <c r="H2376" s="26" t="e">
        <f t="shared" si="1"/>
        <v>#VALUE!</v>
      </c>
      <c r="I2376" s="1" t="e">
        <f t="shared" si="2"/>
        <v>#VALUE!</v>
      </c>
    </row>
    <row r="2377" spans="1:9" ht="15.75" customHeight="1">
      <c r="A2377" s="26"/>
      <c r="B2377" s="2"/>
      <c r="C2377" s="26"/>
      <c r="D2377" s="26"/>
      <c r="F2377" s="85" t="str">
        <f t="shared" si="0"/>
        <v/>
      </c>
      <c r="G2377" s="1" t="e">
        <f>IF(VALUE(F2377) = VALUE(RIGHT(Insights!$C$3, 4)), E2377, "")</f>
        <v>#VALUE!</v>
      </c>
      <c r="H2377" s="26" t="e">
        <f t="shared" si="1"/>
        <v>#VALUE!</v>
      </c>
      <c r="I2377" s="1" t="e">
        <f t="shared" si="2"/>
        <v>#VALUE!</v>
      </c>
    </row>
    <row r="2378" spans="1:9" ht="15.75" customHeight="1">
      <c r="A2378" s="26"/>
      <c r="B2378" s="2"/>
      <c r="C2378" s="26"/>
      <c r="D2378" s="26"/>
      <c r="F2378" s="85" t="str">
        <f t="shared" si="0"/>
        <v/>
      </c>
      <c r="G2378" s="1" t="e">
        <f>IF(VALUE(F2378) = VALUE(RIGHT(Insights!$C$3, 4)), E2378, "")</f>
        <v>#VALUE!</v>
      </c>
      <c r="H2378" s="26" t="e">
        <f t="shared" si="1"/>
        <v>#VALUE!</v>
      </c>
      <c r="I2378" s="1" t="e">
        <f t="shared" si="2"/>
        <v>#VALUE!</v>
      </c>
    </row>
    <row r="2379" spans="1:9" ht="15.75" customHeight="1">
      <c r="A2379" s="26"/>
      <c r="B2379" s="2"/>
      <c r="C2379" s="26"/>
      <c r="D2379" s="26"/>
      <c r="F2379" s="85" t="str">
        <f t="shared" si="0"/>
        <v/>
      </c>
      <c r="G2379" s="1" t="e">
        <f>IF(VALUE(F2379) = VALUE(RIGHT(Insights!$C$3, 4)), E2379, "")</f>
        <v>#VALUE!</v>
      </c>
      <c r="H2379" s="26" t="e">
        <f t="shared" si="1"/>
        <v>#VALUE!</v>
      </c>
      <c r="I2379" s="1" t="e">
        <f t="shared" si="2"/>
        <v>#VALUE!</v>
      </c>
    </row>
    <row r="2380" spans="1:9" ht="15.75" customHeight="1">
      <c r="A2380" s="26"/>
      <c r="B2380" s="2"/>
      <c r="C2380" s="26"/>
      <c r="D2380" s="26"/>
      <c r="F2380" s="85" t="str">
        <f t="shared" si="0"/>
        <v/>
      </c>
      <c r="G2380" s="1" t="e">
        <f>IF(VALUE(F2380) = VALUE(RIGHT(Insights!$C$3, 4)), E2380, "")</f>
        <v>#VALUE!</v>
      </c>
      <c r="H2380" s="26" t="e">
        <f t="shared" si="1"/>
        <v>#VALUE!</v>
      </c>
      <c r="I2380" s="1" t="e">
        <f t="shared" si="2"/>
        <v>#VALUE!</v>
      </c>
    </row>
    <row r="2381" spans="1:9" ht="15.75" customHeight="1">
      <c r="A2381" s="26"/>
      <c r="B2381" s="2"/>
      <c r="C2381" s="26"/>
      <c r="D2381" s="26"/>
      <c r="F2381" s="85" t="str">
        <f t="shared" si="0"/>
        <v/>
      </c>
      <c r="G2381" s="1" t="e">
        <f>IF(VALUE(F2381) = VALUE(RIGHT(Insights!$C$3, 4)), E2381, "")</f>
        <v>#VALUE!</v>
      </c>
      <c r="H2381" s="26" t="e">
        <f t="shared" si="1"/>
        <v>#VALUE!</v>
      </c>
      <c r="I2381" s="1" t="e">
        <f t="shared" si="2"/>
        <v>#VALUE!</v>
      </c>
    </row>
    <row r="2382" spans="1:9" ht="15.75" customHeight="1">
      <c r="A2382" s="26"/>
      <c r="B2382" s="2"/>
      <c r="C2382" s="26"/>
      <c r="D2382" s="26"/>
      <c r="F2382" s="85" t="str">
        <f t="shared" si="0"/>
        <v/>
      </c>
      <c r="G2382" s="1" t="e">
        <f>IF(VALUE(F2382) = VALUE(RIGHT(Insights!$C$3, 4)), E2382, "")</f>
        <v>#VALUE!</v>
      </c>
      <c r="H2382" s="26" t="e">
        <f t="shared" si="1"/>
        <v>#VALUE!</v>
      </c>
      <c r="I2382" s="1" t="e">
        <f t="shared" si="2"/>
        <v>#VALUE!</v>
      </c>
    </row>
    <row r="2383" spans="1:9" ht="15.75" customHeight="1">
      <c r="A2383" s="26"/>
      <c r="B2383" s="2"/>
      <c r="C2383" s="26"/>
      <c r="D2383" s="26"/>
      <c r="F2383" s="85" t="str">
        <f t="shared" si="0"/>
        <v/>
      </c>
      <c r="G2383" s="1" t="e">
        <f>IF(VALUE(F2383) = VALUE(RIGHT(Insights!$C$3, 4)), E2383, "")</f>
        <v>#VALUE!</v>
      </c>
      <c r="H2383" s="26" t="e">
        <f t="shared" si="1"/>
        <v>#VALUE!</v>
      </c>
      <c r="I2383" s="1" t="e">
        <f t="shared" si="2"/>
        <v>#VALUE!</v>
      </c>
    </row>
    <row r="2384" spans="1:9" ht="15.75" customHeight="1">
      <c r="A2384" s="26"/>
      <c r="B2384" s="2"/>
      <c r="C2384" s="26"/>
      <c r="D2384" s="26"/>
      <c r="F2384" s="85" t="str">
        <f t="shared" si="0"/>
        <v/>
      </c>
      <c r="G2384" s="1" t="e">
        <f>IF(VALUE(F2384) = VALUE(RIGHT(Insights!$C$3, 4)), E2384, "")</f>
        <v>#VALUE!</v>
      </c>
      <c r="H2384" s="26" t="e">
        <f t="shared" si="1"/>
        <v>#VALUE!</v>
      </c>
      <c r="I2384" s="1" t="e">
        <f t="shared" si="2"/>
        <v>#VALUE!</v>
      </c>
    </row>
    <row r="2385" spans="1:9" ht="15.75" customHeight="1">
      <c r="A2385" s="26"/>
      <c r="B2385" s="2"/>
      <c r="C2385" s="26"/>
      <c r="D2385" s="26"/>
      <c r="F2385" s="85" t="str">
        <f t="shared" si="0"/>
        <v/>
      </c>
      <c r="G2385" s="1" t="e">
        <f>IF(VALUE(F2385) = VALUE(RIGHT(Insights!$C$3, 4)), E2385, "")</f>
        <v>#VALUE!</v>
      </c>
      <c r="H2385" s="26" t="e">
        <f t="shared" si="1"/>
        <v>#VALUE!</v>
      </c>
      <c r="I2385" s="1" t="e">
        <f t="shared" si="2"/>
        <v>#VALUE!</v>
      </c>
    </row>
    <row r="2386" spans="1:9" ht="15.75" customHeight="1">
      <c r="A2386" s="26"/>
      <c r="B2386" s="2"/>
      <c r="C2386" s="26"/>
      <c r="D2386" s="26"/>
      <c r="F2386" s="85" t="str">
        <f t="shared" si="0"/>
        <v/>
      </c>
      <c r="G2386" s="1" t="e">
        <f>IF(VALUE(F2386) = VALUE(RIGHT(Insights!$C$3, 4)), E2386, "")</f>
        <v>#VALUE!</v>
      </c>
      <c r="H2386" s="26" t="e">
        <f t="shared" si="1"/>
        <v>#VALUE!</v>
      </c>
      <c r="I2386" s="1" t="e">
        <f t="shared" si="2"/>
        <v>#VALUE!</v>
      </c>
    </row>
    <row r="2387" spans="1:9" ht="15.75" customHeight="1">
      <c r="A2387" s="26"/>
      <c r="B2387" s="2"/>
      <c r="C2387" s="26"/>
      <c r="D2387" s="26"/>
      <c r="F2387" s="85" t="str">
        <f t="shared" si="0"/>
        <v/>
      </c>
      <c r="G2387" s="1" t="e">
        <f>IF(VALUE(F2387) = VALUE(RIGHT(Insights!$C$3, 4)), E2387, "")</f>
        <v>#VALUE!</v>
      </c>
      <c r="H2387" s="26" t="e">
        <f t="shared" si="1"/>
        <v>#VALUE!</v>
      </c>
      <c r="I2387" s="1" t="e">
        <f t="shared" si="2"/>
        <v>#VALUE!</v>
      </c>
    </row>
    <row r="2388" spans="1:9" ht="15.75" customHeight="1">
      <c r="A2388" s="26"/>
      <c r="B2388" s="2"/>
      <c r="C2388" s="26"/>
      <c r="D2388" s="26"/>
      <c r="F2388" s="85" t="str">
        <f t="shared" si="0"/>
        <v/>
      </c>
      <c r="G2388" s="1" t="e">
        <f>IF(VALUE(F2388) = VALUE(RIGHT(Insights!$C$3, 4)), E2388, "")</f>
        <v>#VALUE!</v>
      </c>
      <c r="H2388" s="26" t="e">
        <f t="shared" si="1"/>
        <v>#VALUE!</v>
      </c>
      <c r="I2388" s="1" t="e">
        <f t="shared" si="2"/>
        <v>#VALUE!</v>
      </c>
    </row>
    <row r="2389" spans="1:9" ht="15.75" customHeight="1">
      <c r="A2389" s="26"/>
      <c r="B2389" s="2"/>
      <c r="C2389" s="26"/>
      <c r="D2389" s="26"/>
      <c r="F2389" s="85" t="str">
        <f t="shared" si="0"/>
        <v/>
      </c>
      <c r="G2389" s="1" t="e">
        <f>IF(VALUE(F2389) = VALUE(RIGHT(Insights!$C$3, 4)), E2389, "")</f>
        <v>#VALUE!</v>
      </c>
      <c r="H2389" s="26" t="e">
        <f t="shared" si="1"/>
        <v>#VALUE!</v>
      </c>
      <c r="I2389" s="1" t="e">
        <f t="shared" si="2"/>
        <v>#VALUE!</v>
      </c>
    </row>
    <row r="2390" spans="1:9" ht="15.75" customHeight="1">
      <c r="A2390" s="26"/>
      <c r="B2390" s="2"/>
      <c r="C2390" s="26"/>
      <c r="D2390" s="26"/>
      <c r="F2390" s="85" t="str">
        <f t="shared" si="0"/>
        <v/>
      </c>
      <c r="G2390" s="1" t="e">
        <f>IF(VALUE(F2390) = VALUE(RIGHT(Insights!$C$3, 4)), E2390, "")</f>
        <v>#VALUE!</v>
      </c>
      <c r="H2390" s="26" t="e">
        <f t="shared" si="1"/>
        <v>#VALUE!</v>
      </c>
      <c r="I2390" s="1" t="e">
        <f t="shared" si="2"/>
        <v>#VALUE!</v>
      </c>
    </row>
    <row r="2391" spans="1:9" ht="15.75" customHeight="1">
      <c r="A2391" s="26"/>
      <c r="B2391" s="2"/>
      <c r="C2391" s="26"/>
      <c r="D2391" s="26"/>
      <c r="F2391" s="85" t="str">
        <f t="shared" si="0"/>
        <v/>
      </c>
      <c r="G2391" s="1" t="e">
        <f>IF(VALUE(F2391) = VALUE(RIGHT(Insights!$C$3, 4)), E2391, "")</f>
        <v>#VALUE!</v>
      </c>
      <c r="H2391" s="26" t="e">
        <f t="shared" si="1"/>
        <v>#VALUE!</v>
      </c>
      <c r="I2391" s="1" t="e">
        <f t="shared" si="2"/>
        <v>#VALUE!</v>
      </c>
    </row>
    <row r="2392" spans="1:9" ht="15.75" customHeight="1">
      <c r="A2392" s="26"/>
      <c r="B2392" s="2"/>
      <c r="C2392" s="26"/>
      <c r="D2392" s="26"/>
      <c r="F2392" s="85" t="str">
        <f t="shared" si="0"/>
        <v/>
      </c>
      <c r="G2392" s="1" t="e">
        <f>IF(VALUE(F2392) = VALUE(RIGHT(Insights!$C$3, 4)), E2392, "")</f>
        <v>#VALUE!</v>
      </c>
      <c r="H2392" s="26" t="e">
        <f t="shared" si="1"/>
        <v>#VALUE!</v>
      </c>
      <c r="I2392" s="1" t="e">
        <f t="shared" si="2"/>
        <v>#VALUE!</v>
      </c>
    </row>
    <row r="2393" spans="1:9" ht="15.75" customHeight="1">
      <c r="A2393" s="26"/>
      <c r="B2393" s="2"/>
      <c r="C2393" s="26"/>
      <c r="D2393" s="26"/>
      <c r="F2393" s="85" t="str">
        <f t="shared" si="0"/>
        <v/>
      </c>
      <c r="G2393" s="1" t="e">
        <f>IF(VALUE(F2393) = VALUE(RIGHT(Insights!$C$3, 4)), E2393, "")</f>
        <v>#VALUE!</v>
      </c>
      <c r="H2393" s="26" t="e">
        <f t="shared" si="1"/>
        <v>#VALUE!</v>
      </c>
      <c r="I2393" s="1" t="e">
        <f t="shared" si="2"/>
        <v>#VALUE!</v>
      </c>
    </row>
    <row r="2394" spans="1:9" ht="15.75" customHeight="1">
      <c r="A2394" s="26"/>
      <c r="B2394" s="2"/>
      <c r="C2394" s="26"/>
      <c r="D2394" s="26"/>
      <c r="F2394" s="85" t="str">
        <f t="shared" si="0"/>
        <v/>
      </c>
      <c r="G2394" s="1" t="e">
        <f>IF(VALUE(F2394) = VALUE(RIGHT(Insights!$C$3, 4)), E2394, "")</f>
        <v>#VALUE!</v>
      </c>
      <c r="H2394" s="26" t="e">
        <f t="shared" si="1"/>
        <v>#VALUE!</v>
      </c>
      <c r="I2394" s="1" t="e">
        <f t="shared" si="2"/>
        <v>#VALUE!</v>
      </c>
    </row>
    <row r="2395" spans="1:9" ht="15.75" customHeight="1">
      <c r="A2395" s="26"/>
      <c r="B2395" s="2"/>
      <c r="C2395" s="26"/>
      <c r="D2395" s="26"/>
      <c r="F2395" s="85" t="str">
        <f t="shared" si="0"/>
        <v/>
      </c>
      <c r="G2395" s="1" t="e">
        <f>IF(VALUE(F2395) = VALUE(RIGHT(Insights!$C$3, 4)), E2395, "")</f>
        <v>#VALUE!</v>
      </c>
      <c r="H2395" s="26" t="e">
        <f t="shared" si="1"/>
        <v>#VALUE!</v>
      </c>
      <c r="I2395" s="1" t="e">
        <f t="shared" si="2"/>
        <v>#VALUE!</v>
      </c>
    </row>
    <row r="2396" spans="1:9" ht="15.75" customHeight="1">
      <c r="A2396" s="26"/>
      <c r="B2396" s="2"/>
      <c r="C2396" s="26"/>
      <c r="D2396" s="26"/>
      <c r="F2396" s="85" t="str">
        <f t="shared" si="0"/>
        <v/>
      </c>
      <c r="G2396" s="1" t="e">
        <f>IF(VALUE(F2396) = VALUE(RIGHT(Insights!$C$3, 4)), E2396, "")</f>
        <v>#VALUE!</v>
      </c>
      <c r="H2396" s="26" t="e">
        <f t="shared" si="1"/>
        <v>#VALUE!</v>
      </c>
      <c r="I2396" s="1" t="e">
        <f t="shared" si="2"/>
        <v>#VALUE!</v>
      </c>
    </row>
    <row r="2397" spans="1:9" ht="15.75" customHeight="1">
      <c r="A2397" s="26"/>
      <c r="B2397" s="2"/>
      <c r="C2397" s="26"/>
      <c r="D2397" s="26"/>
      <c r="F2397" s="85" t="str">
        <f t="shared" si="0"/>
        <v/>
      </c>
      <c r="G2397" s="1" t="e">
        <f>IF(VALUE(F2397) = VALUE(RIGHT(Insights!$C$3, 4)), E2397, "")</f>
        <v>#VALUE!</v>
      </c>
      <c r="H2397" s="26" t="e">
        <f t="shared" si="1"/>
        <v>#VALUE!</v>
      </c>
      <c r="I2397" s="1" t="e">
        <f t="shared" si="2"/>
        <v>#VALUE!</v>
      </c>
    </row>
    <row r="2398" spans="1:9" ht="15.75" customHeight="1">
      <c r="A2398" s="26"/>
      <c r="B2398" s="2"/>
      <c r="C2398" s="26"/>
      <c r="D2398" s="26"/>
      <c r="F2398" s="85" t="str">
        <f t="shared" si="0"/>
        <v/>
      </c>
      <c r="G2398" s="1" t="e">
        <f>IF(VALUE(F2398) = VALUE(RIGHT(Insights!$C$3, 4)), E2398, "")</f>
        <v>#VALUE!</v>
      </c>
      <c r="H2398" s="26" t="e">
        <f t="shared" si="1"/>
        <v>#VALUE!</v>
      </c>
      <c r="I2398" s="1" t="e">
        <f t="shared" si="2"/>
        <v>#VALUE!</v>
      </c>
    </row>
    <row r="2399" spans="1:9" ht="15.75" customHeight="1">
      <c r="A2399" s="26"/>
      <c r="B2399" s="2"/>
      <c r="C2399" s="26"/>
      <c r="D2399" s="26"/>
      <c r="F2399" s="85" t="str">
        <f t="shared" si="0"/>
        <v/>
      </c>
      <c r="G2399" s="1" t="e">
        <f>IF(VALUE(F2399) = VALUE(RIGHT(Insights!$C$3, 4)), E2399, "")</f>
        <v>#VALUE!</v>
      </c>
      <c r="H2399" s="26" t="e">
        <f t="shared" si="1"/>
        <v>#VALUE!</v>
      </c>
      <c r="I2399" s="1" t="e">
        <f t="shared" si="2"/>
        <v>#VALUE!</v>
      </c>
    </row>
    <row r="2400" spans="1:9" ht="15.75" customHeight="1">
      <c r="A2400" s="26"/>
      <c r="B2400" s="2"/>
      <c r="C2400" s="26"/>
      <c r="D2400" s="26"/>
      <c r="F2400" s="85" t="str">
        <f t="shared" si="0"/>
        <v/>
      </c>
      <c r="G2400" s="1" t="e">
        <f>IF(VALUE(F2400) = VALUE(RIGHT(Insights!$C$3, 4)), E2400, "")</f>
        <v>#VALUE!</v>
      </c>
      <c r="H2400" s="26" t="e">
        <f t="shared" si="1"/>
        <v>#VALUE!</v>
      </c>
      <c r="I2400" s="1" t="e">
        <f t="shared" si="2"/>
        <v>#VALUE!</v>
      </c>
    </row>
    <row r="2401" spans="1:9" ht="15.75" customHeight="1">
      <c r="A2401" s="26"/>
      <c r="B2401" s="2"/>
      <c r="C2401" s="26"/>
      <c r="D2401" s="26"/>
      <c r="F2401" s="85" t="str">
        <f t="shared" si="0"/>
        <v/>
      </c>
      <c r="G2401" s="1" t="e">
        <f>IF(VALUE(F2401) = VALUE(RIGHT(Insights!$C$3, 4)), E2401, "")</f>
        <v>#VALUE!</v>
      </c>
      <c r="H2401" s="26" t="e">
        <f t="shared" si="1"/>
        <v>#VALUE!</v>
      </c>
      <c r="I2401" s="1" t="e">
        <f t="shared" si="2"/>
        <v>#VALUE!</v>
      </c>
    </row>
    <row r="2402" spans="1:9" ht="15.75" customHeight="1">
      <c r="A2402" s="26"/>
      <c r="B2402" s="2"/>
      <c r="C2402" s="26"/>
      <c r="D2402" s="26"/>
      <c r="F2402" s="85" t="str">
        <f t="shared" si="0"/>
        <v/>
      </c>
      <c r="G2402" s="1" t="e">
        <f>IF(VALUE(F2402) = VALUE(RIGHT(Insights!$C$3, 4)), E2402, "")</f>
        <v>#VALUE!</v>
      </c>
      <c r="H2402" s="26" t="e">
        <f t="shared" si="1"/>
        <v>#VALUE!</v>
      </c>
      <c r="I2402" s="1" t="e">
        <f t="shared" si="2"/>
        <v>#VALUE!</v>
      </c>
    </row>
    <row r="2403" spans="1:9" ht="15.75" customHeight="1">
      <c r="A2403" s="26"/>
      <c r="B2403" s="2"/>
      <c r="C2403" s="26"/>
      <c r="D2403" s="26"/>
      <c r="F2403" s="85" t="str">
        <f t="shared" si="0"/>
        <v/>
      </c>
      <c r="G2403" s="1" t="e">
        <f>IF(VALUE(F2403) = VALUE(RIGHT(Insights!$C$3, 4)), E2403, "")</f>
        <v>#VALUE!</v>
      </c>
      <c r="H2403" s="26" t="e">
        <f t="shared" si="1"/>
        <v>#VALUE!</v>
      </c>
      <c r="I2403" s="1" t="e">
        <f t="shared" si="2"/>
        <v>#VALUE!</v>
      </c>
    </row>
    <row r="2404" spans="1:9" ht="15.75" customHeight="1">
      <c r="A2404" s="26"/>
      <c r="B2404" s="2"/>
      <c r="C2404" s="26"/>
      <c r="D2404" s="26"/>
      <c r="F2404" s="85" t="str">
        <f t="shared" si="0"/>
        <v/>
      </c>
      <c r="G2404" s="1" t="e">
        <f>IF(VALUE(F2404) = VALUE(RIGHT(Insights!$C$3, 4)), E2404, "")</f>
        <v>#VALUE!</v>
      </c>
      <c r="H2404" s="26" t="e">
        <f t="shared" si="1"/>
        <v>#VALUE!</v>
      </c>
      <c r="I2404" s="1" t="e">
        <f t="shared" si="2"/>
        <v>#VALUE!</v>
      </c>
    </row>
    <row r="2405" spans="1:9" ht="15.75" customHeight="1">
      <c r="A2405" s="26"/>
      <c r="B2405" s="2"/>
      <c r="C2405" s="26"/>
      <c r="D2405" s="26"/>
      <c r="F2405" s="85" t="str">
        <f t="shared" si="0"/>
        <v/>
      </c>
      <c r="G2405" s="1" t="e">
        <f>IF(VALUE(F2405) = VALUE(RIGHT(Insights!$C$3, 4)), E2405, "")</f>
        <v>#VALUE!</v>
      </c>
      <c r="H2405" s="26" t="e">
        <f t="shared" si="1"/>
        <v>#VALUE!</v>
      </c>
      <c r="I2405" s="1" t="e">
        <f t="shared" si="2"/>
        <v>#VALUE!</v>
      </c>
    </row>
    <row r="2406" spans="1:9" ht="15.75" customHeight="1">
      <c r="A2406" s="26"/>
      <c r="B2406" s="2"/>
      <c r="C2406" s="26"/>
      <c r="D2406" s="26"/>
      <c r="F2406" s="85" t="str">
        <f t="shared" si="0"/>
        <v/>
      </c>
      <c r="G2406" s="1" t="e">
        <f>IF(VALUE(F2406) = VALUE(RIGHT(Insights!$C$3, 4)), E2406, "")</f>
        <v>#VALUE!</v>
      </c>
      <c r="H2406" s="26" t="e">
        <f t="shared" si="1"/>
        <v>#VALUE!</v>
      </c>
      <c r="I2406" s="1" t="e">
        <f t="shared" si="2"/>
        <v>#VALUE!</v>
      </c>
    </row>
    <row r="2407" spans="1:9" ht="15.75" customHeight="1">
      <c r="A2407" s="26"/>
      <c r="B2407" s="2"/>
      <c r="C2407" s="26"/>
      <c r="D2407" s="26"/>
      <c r="F2407" s="85" t="str">
        <f t="shared" si="0"/>
        <v/>
      </c>
      <c r="G2407" s="1" t="e">
        <f>IF(VALUE(F2407) = VALUE(RIGHT(Insights!$C$3, 4)), E2407, "")</f>
        <v>#VALUE!</v>
      </c>
      <c r="H2407" s="26" t="e">
        <f t="shared" si="1"/>
        <v>#VALUE!</v>
      </c>
      <c r="I2407" s="1" t="e">
        <f t="shared" si="2"/>
        <v>#VALUE!</v>
      </c>
    </row>
    <row r="2408" spans="1:9" ht="15.75" customHeight="1">
      <c r="A2408" s="26"/>
      <c r="B2408" s="2"/>
      <c r="C2408" s="26"/>
      <c r="D2408" s="26"/>
      <c r="F2408" s="85" t="str">
        <f t="shared" si="0"/>
        <v/>
      </c>
      <c r="G2408" s="1" t="e">
        <f>IF(VALUE(F2408) = VALUE(RIGHT(Insights!$C$3, 4)), E2408, "")</f>
        <v>#VALUE!</v>
      </c>
      <c r="H2408" s="26" t="e">
        <f t="shared" si="1"/>
        <v>#VALUE!</v>
      </c>
      <c r="I2408" s="1" t="e">
        <f t="shared" si="2"/>
        <v>#VALUE!</v>
      </c>
    </row>
    <row r="2409" spans="1:9" ht="15.75" customHeight="1">
      <c r="A2409" s="26"/>
      <c r="B2409" s="2"/>
      <c r="C2409" s="26"/>
      <c r="D2409" s="26"/>
      <c r="F2409" s="85" t="str">
        <f t="shared" si="0"/>
        <v/>
      </c>
      <c r="G2409" s="1" t="e">
        <f>IF(VALUE(F2409) = VALUE(RIGHT(Insights!$C$3, 4)), E2409, "")</f>
        <v>#VALUE!</v>
      </c>
      <c r="H2409" s="26" t="e">
        <f t="shared" si="1"/>
        <v>#VALUE!</v>
      </c>
      <c r="I2409" s="1" t="e">
        <f t="shared" si="2"/>
        <v>#VALUE!</v>
      </c>
    </row>
    <row r="2410" spans="1:9" ht="15.75" customHeight="1">
      <c r="A2410" s="26"/>
      <c r="B2410" s="2"/>
      <c r="C2410" s="26"/>
      <c r="D2410" s="26"/>
      <c r="F2410" s="85" t="str">
        <f t="shared" si="0"/>
        <v/>
      </c>
      <c r="G2410" s="1" t="e">
        <f>IF(VALUE(F2410) = VALUE(RIGHT(Insights!$C$3, 4)), E2410, "")</f>
        <v>#VALUE!</v>
      </c>
      <c r="H2410" s="26" t="e">
        <f t="shared" si="1"/>
        <v>#VALUE!</v>
      </c>
      <c r="I2410" s="1" t="e">
        <f t="shared" si="2"/>
        <v>#VALUE!</v>
      </c>
    </row>
    <row r="2411" spans="1:9" ht="15.75" customHeight="1">
      <c r="A2411" s="26"/>
      <c r="B2411" s="2"/>
      <c r="C2411" s="26"/>
      <c r="D2411" s="26"/>
      <c r="F2411" s="85" t="str">
        <f t="shared" si="0"/>
        <v/>
      </c>
      <c r="G2411" s="1" t="e">
        <f>IF(VALUE(F2411) = VALUE(RIGHT(Insights!$C$3, 4)), E2411, "")</f>
        <v>#VALUE!</v>
      </c>
      <c r="H2411" s="26" t="e">
        <f t="shared" si="1"/>
        <v>#VALUE!</v>
      </c>
      <c r="I2411" s="1" t="e">
        <f t="shared" si="2"/>
        <v>#VALUE!</v>
      </c>
    </row>
    <row r="2412" spans="1:9" ht="15.75" customHeight="1">
      <c r="A2412" s="26"/>
      <c r="B2412" s="2"/>
      <c r="C2412" s="26"/>
      <c r="D2412" s="26"/>
      <c r="F2412" s="85" t="str">
        <f t="shared" si="0"/>
        <v/>
      </c>
      <c r="G2412" s="1" t="e">
        <f>IF(VALUE(F2412) = VALUE(RIGHT(Insights!$C$3, 4)), E2412, "")</f>
        <v>#VALUE!</v>
      </c>
      <c r="H2412" s="26" t="e">
        <f t="shared" si="1"/>
        <v>#VALUE!</v>
      </c>
      <c r="I2412" s="1" t="e">
        <f t="shared" si="2"/>
        <v>#VALUE!</v>
      </c>
    </row>
    <row r="2413" spans="1:9" ht="15.75" customHeight="1">
      <c r="A2413" s="26"/>
      <c r="B2413" s="2"/>
      <c r="C2413" s="26"/>
      <c r="D2413" s="26"/>
      <c r="F2413" s="85" t="str">
        <f t="shared" si="0"/>
        <v/>
      </c>
      <c r="G2413" s="1" t="e">
        <f>IF(VALUE(F2413) = VALUE(RIGHT(Insights!$C$3, 4)), E2413, "")</f>
        <v>#VALUE!</v>
      </c>
      <c r="H2413" s="26" t="e">
        <f t="shared" si="1"/>
        <v>#VALUE!</v>
      </c>
      <c r="I2413" s="1" t="e">
        <f t="shared" si="2"/>
        <v>#VALUE!</v>
      </c>
    </row>
    <row r="2414" spans="1:9" ht="15.75" customHeight="1">
      <c r="A2414" s="26"/>
      <c r="B2414" s="2"/>
      <c r="C2414" s="26"/>
      <c r="D2414" s="26"/>
      <c r="F2414" s="85" t="str">
        <f t="shared" si="0"/>
        <v/>
      </c>
      <c r="G2414" s="1" t="e">
        <f>IF(VALUE(F2414) = VALUE(RIGHT(Insights!$C$3, 4)), E2414, "")</f>
        <v>#VALUE!</v>
      </c>
      <c r="H2414" s="26" t="e">
        <f t="shared" si="1"/>
        <v>#VALUE!</v>
      </c>
      <c r="I2414" s="1" t="e">
        <f t="shared" si="2"/>
        <v>#VALUE!</v>
      </c>
    </row>
    <row r="2415" spans="1:9" ht="15.75" customHeight="1">
      <c r="A2415" s="26"/>
      <c r="B2415" s="2"/>
      <c r="C2415" s="26"/>
      <c r="D2415" s="26"/>
      <c r="F2415" s="85" t="str">
        <f t="shared" si="0"/>
        <v/>
      </c>
      <c r="G2415" s="1" t="e">
        <f>IF(VALUE(F2415) = VALUE(RIGHT(Insights!$C$3, 4)), E2415, "")</f>
        <v>#VALUE!</v>
      </c>
      <c r="H2415" s="26" t="e">
        <f t="shared" si="1"/>
        <v>#VALUE!</v>
      </c>
      <c r="I2415" s="1" t="e">
        <f t="shared" si="2"/>
        <v>#VALUE!</v>
      </c>
    </row>
    <row r="2416" spans="1:9" ht="15.75" customHeight="1">
      <c r="A2416" s="26"/>
      <c r="B2416" s="2"/>
      <c r="C2416" s="26"/>
      <c r="D2416" s="26"/>
      <c r="F2416" s="85" t="str">
        <f t="shared" si="0"/>
        <v/>
      </c>
      <c r="G2416" s="1" t="e">
        <f>IF(VALUE(F2416) = VALUE(RIGHT(Insights!$C$3, 4)), E2416, "")</f>
        <v>#VALUE!</v>
      </c>
      <c r="H2416" s="26" t="e">
        <f t="shared" si="1"/>
        <v>#VALUE!</v>
      </c>
      <c r="I2416" s="1" t="e">
        <f t="shared" si="2"/>
        <v>#VALUE!</v>
      </c>
    </row>
    <row r="2417" spans="1:9" ht="15.75" customHeight="1">
      <c r="A2417" s="26"/>
      <c r="B2417" s="2"/>
      <c r="C2417" s="26"/>
      <c r="D2417" s="26"/>
      <c r="F2417" s="85" t="str">
        <f t="shared" si="0"/>
        <v/>
      </c>
      <c r="G2417" s="1" t="e">
        <f>IF(VALUE(F2417) = VALUE(RIGHT(Insights!$C$3, 4)), E2417, "")</f>
        <v>#VALUE!</v>
      </c>
      <c r="H2417" s="26" t="e">
        <f t="shared" si="1"/>
        <v>#VALUE!</v>
      </c>
      <c r="I2417" s="1" t="e">
        <f t="shared" si="2"/>
        <v>#VALUE!</v>
      </c>
    </row>
    <row r="2418" spans="1:9" ht="15.75" customHeight="1">
      <c r="A2418" s="26"/>
      <c r="B2418" s="2"/>
      <c r="C2418" s="26"/>
      <c r="D2418" s="26"/>
      <c r="F2418" s="85" t="str">
        <f t="shared" si="0"/>
        <v/>
      </c>
      <c r="G2418" s="1" t="e">
        <f>IF(VALUE(F2418) = VALUE(RIGHT(Insights!$C$3, 4)), E2418, "")</f>
        <v>#VALUE!</v>
      </c>
      <c r="H2418" s="26" t="e">
        <f t="shared" si="1"/>
        <v>#VALUE!</v>
      </c>
      <c r="I2418" s="1" t="e">
        <f t="shared" si="2"/>
        <v>#VALUE!</v>
      </c>
    </row>
    <row r="2419" spans="1:9" ht="15.75" customHeight="1">
      <c r="A2419" s="26"/>
      <c r="B2419" s="2"/>
      <c r="C2419" s="26"/>
      <c r="D2419" s="26"/>
      <c r="F2419" s="85" t="str">
        <f t="shared" si="0"/>
        <v/>
      </c>
      <c r="G2419" s="1" t="e">
        <f>IF(VALUE(F2419) = VALUE(RIGHT(Insights!$C$3, 4)), E2419, "")</f>
        <v>#VALUE!</v>
      </c>
      <c r="H2419" s="26" t="e">
        <f t="shared" si="1"/>
        <v>#VALUE!</v>
      </c>
      <c r="I2419" s="1" t="e">
        <f t="shared" si="2"/>
        <v>#VALUE!</v>
      </c>
    </row>
    <row r="2420" spans="1:9" ht="15.75" customHeight="1">
      <c r="A2420" s="26"/>
      <c r="B2420" s="2"/>
      <c r="C2420" s="26"/>
      <c r="D2420" s="26"/>
      <c r="F2420" s="85" t="str">
        <f t="shared" si="0"/>
        <v/>
      </c>
      <c r="G2420" s="1" t="e">
        <f>IF(VALUE(F2420) = VALUE(RIGHT(Insights!$C$3, 4)), E2420, "")</f>
        <v>#VALUE!</v>
      </c>
      <c r="H2420" s="26" t="e">
        <f t="shared" si="1"/>
        <v>#VALUE!</v>
      </c>
      <c r="I2420" s="1" t="e">
        <f t="shared" si="2"/>
        <v>#VALUE!</v>
      </c>
    </row>
    <row r="2421" spans="1:9" ht="15.75" customHeight="1">
      <c r="A2421" s="26"/>
      <c r="B2421" s="2"/>
      <c r="C2421" s="26"/>
      <c r="D2421" s="26"/>
      <c r="F2421" s="85" t="str">
        <f t="shared" si="0"/>
        <v/>
      </c>
      <c r="G2421" s="1" t="e">
        <f>IF(VALUE(F2421) = VALUE(RIGHT(Insights!$C$3, 4)), E2421, "")</f>
        <v>#VALUE!</v>
      </c>
      <c r="H2421" s="26" t="e">
        <f t="shared" si="1"/>
        <v>#VALUE!</v>
      </c>
      <c r="I2421" s="1" t="e">
        <f t="shared" si="2"/>
        <v>#VALUE!</v>
      </c>
    </row>
    <row r="2422" spans="1:9" ht="15.75" customHeight="1">
      <c r="A2422" s="26"/>
      <c r="B2422" s="2"/>
      <c r="C2422" s="26"/>
      <c r="D2422" s="26"/>
      <c r="F2422" s="85" t="str">
        <f t="shared" si="0"/>
        <v/>
      </c>
      <c r="G2422" s="1" t="e">
        <f>IF(VALUE(F2422) = VALUE(RIGHT(Insights!$C$3, 4)), E2422, "")</f>
        <v>#VALUE!</v>
      </c>
      <c r="H2422" s="26" t="e">
        <f t="shared" si="1"/>
        <v>#VALUE!</v>
      </c>
      <c r="I2422" s="1" t="e">
        <f t="shared" si="2"/>
        <v>#VALUE!</v>
      </c>
    </row>
    <row r="2423" spans="1:9" ht="15.75" customHeight="1">
      <c r="A2423" s="26"/>
      <c r="B2423" s="2"/>
      <c r="C2423" s="26"/>
      <c r="D2423" s="26"/>
      <c r="F2423" s="85" t="str">
        <f t="shared" si="0"/>
        <v/>
      </c>
      <c r="G2423" s="1" t="e">
        <f>IF(VALUE(F2423) = VALUE(RIGHT(Insights!$C$3, 4)), E2423, "")</f>
        <v>#VALUE!</v>
      </c>
      <c r="H2423" s="26" t="e">
        <f t="shared" si="1"/>
        <v>#VALUE!</v>
      </c>
      <c r="I2423" s="1" t="e">
        <f t="shared" si="2"/>
        <v>#VALUE!</v>
      </c>
    </row>
    <row r="2424" spans="1:9" ht="15.75" customHeight="1">
      <c r="A2424" s="26"/>
      <c r="B2424" s="2"/>
      <c r="C2424" s="26"/>
      <c r="D2424" s="26"/>
      <c r="F2424" s="85" t="str">
        <f t="shared" si="0"/>
        <v/>
      </c>
      <c r="G2424" s="1" t="e">
        <f>IF(VALUE(F2424) = VALUE(RIGHT(Insights!$C$3, 4)), E2424, "")</f>
        <v>#VALUE!</v>
      </c>
      <c r="H2424" s="26" t="e">
        <f t="shared" si="1"/>
        <v>#VALUE!</v>
      </c>
      <c r="I2424" s="1" t="e">
        <f t="shared" si="2"/>
        <v>#VALUE!</v>
      </c>
    </row>
    <row r="2425" spans="1:9" ht="15.75" customHeight="1">
      <c r="A2425" s="26"/>
      <c r="B2425" s="2"/>
      <c r="C2425" s="26"/>
      <c r="D2425" s="26"/>
      <c r="F2425" s="85" t="str">
        <f t="shared" si="0"/>
        <v/>
      </c>
      <c r="G2425" s="1" t="e">
        <f>IF(VALUE(F2425) = VALUE(RIGHT(Insights!$C$3, 4)), E2425, "")</f>
        <v>#VALUE!</v>
      </c>
      <c r="H2425" s="26" t="e">
        <f t="shared" si="1"/>
        <v>#VALUE!</v>
      </c>
      <c r="I2425" s="1" t="e">
        <f t="shared" si="2"/>
        <v>#VALUE!</v>
      </c>
    </row>
    <row r="2426" spans="1:9" ht="15.75" customHeight="1">
      <c r="A2426" s="26"/>
      <c r="B2426" s="2"/>
      <c r="C2426" s="26"/>
      <c r="D2426" s="26"/>
      <c r="F2426" s="85" t="str">
        <f t="shared" si="0"/>
        <v/>
      </c>
      <c r="G2426" s="1" t="e">
        <f>IF(VALUE(F2426) = VALUE(RIGHT(Insights!$C$3, 4)), E2426, "")</f>
        <v>#VALUE!</v>
      </c>
      <c r="H2426" s="26" t="e">
        <f t="shared" si="1"/>
        <v>#VALUE!</v>
      </c>
      <c r="I2426" s="1" t="e">
        <f t="shared" si="2"/>
        <v>#VALUE!</v>
      </c>
    </row>
    <row r="2427" spans="1:9" ht="15.75" customHeight="1">
      <c r="A2427" s="26"/>
      <c r="B2427" s="2"/>
      <c r="C2427" s="26"/>
      <c r="D2427" s="26"/>
      <c r="F2427" s="85" t="str">
        <f t="shared" si="0"/>
        <v/>
      </c>
      <c r="G2427" s="1" t="e">
        <f>IF(VALUE(F2427) = VALUE(RIGHT(Insights!$C$3, 4)), E2427, "")</f>
        <v>#VALUE!</v>
      </c>
      <c r="H2427" s="26" t="e">
        <f t="shared" si="1"/>
        <v>#VALUE!</v>
      </c>
      <c r="I2427" s="1" t="e">
        <f t="shared" si="2"/>
        <v>#VALUE!</v>
      </c>
    </row>
    <row r="2428" spans="1:9" ht="15.75" customHeight="1">
      <c r="A2428" s="26"/>
      <c r="B2428" s="2"/>
      <c r="C2428" s="26"/>
      <c r="D2428" s="26"/>
      <c r="F2428" s="85" t="str">
        <f t="shared" si="0"/>
        <v/>
      </c>
      <c r="G2428" s="1" t="e">
        <f>IF(VALUE(F2428) = VALUE(RIGHT(Insights!$C$3, 4)), E2428, "")</f>
        <v>#VALUE!</v>
      </c>
      <c r="H2428" s="26" t="e">
        <f t="shared" si="1"/>
        <v>#VALUE!</v>
      </c>
      <c r="I2428" s="1" t="e">
        <f t="shared" si="2"/>
        <v>#VALUE!</v>
      </c>
    </row>
    <row r="2429" spans="1:9" ht="15.75" customHeight="1">
      <c r="A2429" s="26"/>
      <c r="B2429" s="2"/>
      <c r="C2429" s="26"/>
      <c r="D2429" s="26"/>
      <c r="F2429" s="85" t="str">
        <f t="shared" si="0"/>
        <v/>
      </c>
      <c r="G2429" s="1" t="e">
        <f>IF(VALUE(F2429) = VALUE(RIGHT(Insights!$C$3, 4)), E2429, "")</f>
        <v>#VALUE!</v>
      </c>
      <c r="H2429" s="26" t="e">
        <f t="shared" si="1"/>
        <v>#VALUE!</v>
      </c>
      <c r="I2429" s="1" t="e">
        <f t="shared" si="2"/>
        <v>#VALUE!</v>
      </c>
    </row>
    <row r="2430" spans="1:9" ht="15.75" customHeight="1">
      <c r="A2430" s="26"/>
      <c r="B2430" s="2"/>
      <c r="C2430" s="26"/>
      <c r="D2430" s="26"/>
      <c r="F2430" s="85" t="str">
        <f t="shared" si="0"/>
        <v/>
      </c>
      <c r="G2430" s="1" t="e">
        <f>IF(VALUE(F2430) = VALUE(RIGHT(Insights!$C$3, 4)), E2430, "")</f>
        <v>#VALUE!</v>
      </c>
      <c r="H2430" s="26" t="e">
        <f t="shared" si="1"/>
        <v>#VALUE!</v>
      </c>
      <c r="I2430" s="1" t="e">
        <f t="shared" si="2"/>
        <v>#VALUE!</v>
      </c>
    </row>
    <row r="2431" spans="1:9" ht="15.75" customHeight="1">
      <c r="A2431" s="26"/>
      <c r="B2431" s="2"/>
      <c r="C2431" s="26"/>
      <c r="D2431" s="26"/>
      <c r="F2431" s="85" t="str">
        <f t="shared" si="0"/>
        <v/>
      </c>
      <c r="G2431" s="1" t="e">
        <f>IF(VALUE(F2431) = VALUE(RIGHT(Insights!$C$3, 4)), E2431, "")</f>
        <v>#VALUE!</v>
      </c>
      <c r="H2431" s="26" t="e">
        <f t="shared" si="1"/>
        <v>#VALUE!</v>
      </c>
      <c r="I2431" s="1" t="e">
        <f t="shared" si="2"/>
        <v>#VALUE!</v>
      </c>
    </row>
    <row r="2432" spans="1:9" ht="15.75" customHeight="1">
      <c r="A2432" s="26"/>
      <c r="B2432" s="2"/>
      <c r="C2432" s="26"/>
      <c r="D2432" s="26"/>
      <c r="F2432" s="85" t="str">
        <f t="shared" si="0"/>
        <v/>
      </c>
      <c r="G2432" s="1" t="e">
        <f>IF(VALUE(F2432) = VALUE(RIGHT(Insights!$C$3, 4)), E2432, "")</f>
        <v>#VALUE!</v>
      </c>
      <c r="H2432" s="26" t="e">
        <f t="shared" si="1"/>
        <v>#VALUE!</v>
      </c>
      <c r="I2432" s="1" t="e">
        <f t="shared" si="2"/>
        <v>#VALUE!</v>
      </c>
    </row>
    <row r="2433" spans="1:9" ht="15.75" customHeight="1">
      <c r="A2433" s="26"/>
      <c r="B2433" s="2"/>
      <c r="C2433" s="26"/>
      <c r="D2433" s="26"/>
      <c r="F2433" s="85" t="str">
        <f t="shared" si="0"/>
        <v/>
      </c>
      <c r="G2433" s="1" t="e">
        <f>IF(VALUE(F2433) = VALUE(RIGHT(Insights!$C$3, 4)), E2433, "")</f>
        <v>#VALUE!</v>
      </c>
      <c r="H2433" s="26" t="e">
        <f t="shared" si="1"/>
        <v>#VALUE!</v>
      </c>
      <c r="I2433" s="1" t="e">
        <f t="shared" si="2"/>
        <v>#VALUE!</v>
      </c>
    </row>
    <row r="2434" spans="1:9" ht="15.75" customHeight="1">
      <c r="A2434" s="26"/>
      <c r="B2434" s="2"/>
      <c r="C2434" s="26"/>
      <c r="D2434" s="26"/>
      <c r="F2434" s="85" t="str">
        <f t="shared" si="0"/>
        <v/>
      </c>
      <c r="G2434" s="1" t="e">
        <f>IF(VALUE(F2434) = VALUE(RIGHT(Insights!$C$3, 4)), E2434, "")</f>
        <v>#VALUE!</v>
      </c>
      <c r="H2434" s="26" t="e">
        <f t="shared" si="1"/>
        <v>#VALUE!</v>
      </c>
      <c r="I2434" s="1" t="e">
        <f t="shared" si="2"/>
        <v>#VALUE!</v>
      </c>
    </row>
    <row r="2435" spans="1:9" ht="15.75" customHeight="1">
      <c r="A2435" s="26"/>
      <c r="B2435" s="2"/>
      <c r="C2435" s="26"/>
      <c r="D2435" s="26"/>
      <c r="F2435" s="85" t="str">
        <f t="shared" si="0"/>
        <v/>
      </c>
      <c r="G2435" s="1" t="e">
        <f>IF(VALUE(F2435) = VALUE(RIGHT(Insights!$C$3, 4)), E2435, "")</f>
        <v>#VALUE!</v>
      </c>
      <c r="H2435" s="26" t="e">
        <f t="shared" si="1"/>
        <v>#VALUE!</v>
      </c>
      <c r="I2435" s="1" t="e">
        <f t="shared" si="2"/>
        <v>#VALUE!</v>
      </c>
    </row>
    <row r="2436" spans="1:9" ht="15.75" customHeight="1">
      <c r="A2436" s="26"/>
      <c r="B2436" s="2"/>
      <c r="C2436" s="26"/>
      <c r="D2436" s="26"/>
      <c r="F2436" s="85" t="str">
        <f t="shared" si="0"/>
        <v/>
      </c>
      <c r="G2436" s="1" t="e">
        <f>IF(VALUE(F2436) = VALUE(RIGHT(Insights!$C$3, 4)), E2436, "")</f>
        <v>#VALUE!</v>
      </c>
      <c r="H2436" s="26" t="e">
        <f t="shared" si="1"/>
        <v>#VALUE!</v>
      </c>
      <c r="I2436" s="1" t="e">
        <f t="shared" si="2"/>
        <v>#VALUE!</v>
      </c>
    </row>
    <row r="2437" spans="1:9" ht="15.75" customHeight="1">
      <c r="A2437" s="26"/>
      <c r="B2437" s="2"/>
      <c r="C2437" s="26"/>
      <c r="D2437" s="26"/>
      <c r="F2437" s="85" t="str">
        <f t="shared" si="0"/>
        <v/>
      </c>
      <c r="G2437" s="1" t="e">
        <f>IF(VALUE(F2437) = VALUE(RIGHT(Insights!$C$3, 4)), E2437, "")</f>
        <v>#VALUE!</v>
      </c>
      <c r="H2437" s="26" t="e">
        <f t="shared" si="1"/>
        <v>#VALUE!</v>
      </c>
      <c r="I2437" s="1" t="e">
        <f t="shared" si="2"/>
        <v>#VALUE!</v>
      </c>
    </row>
    <row r="2438" spans="1:9" ht="15.75" customHeight="1">
      <c r="A2438" s="26"/>
      <c r="B2438" s="2"/>
      <c r="C2438" s="26"/>
      <c r="D2438" s="26"/>
      <c r="F2438" s="85" t="str">
        <f t="shared" si="0"/>
        <v/>
      </c>
      <c r="G2438" s="1" t="e">
        <f>IF(VALUE(F2438) = VALUE(RIGHT(Insights!$C$3, 4)), E2438, "")</f>
        <v>#VALUE!</v>
      </c>
      <c r="H2438" s="26" t="e">
        <f t="shared" si="1"/>
        <v>#VALUE!</v>
      </c>
      <c r="I2438" s="1" t="e">
        <f t="shared" si="2"/>
        <v>#VALUE!</v>
      </c>
    </row>
    <row r="2439" spans="1:9" ht="15.75" customHeight="1">
      <c r="A2439" s="26"/>
      <c r="B2439" s="2"/>
      <c r="C2439" s="26"/>
      <c r="D2439" s="26"/>
      <c r="F2439" s="85" t="str">
        <f t="shared" si="0"/>
        <v/>
      </c>
      <c r="G2439" s="1" t="e">
        <f>IF(VALUE(F2439) = VALUE(RIGHT(Insights!$C$3, 4)), E2439, "")</f>
        <v>#VALUE!</v>
      </c>
      <c r="H2439" s="26" t="e">
        <f t="shared" si="1"/>
        <v>#VALUE!</v>
      </c>
      <c r="I2439" s="1" t="e">
        <f t="shared" si="2"/>
        <v>#VALUE!</v>
      </c>
    </row>
    <row r="2440" spans="1:9" ht="15.75" customHeight="1">
      <c r="A2440" s="26"/>
      <c r="B2440" s="2"/>
      <c r="C2440" s="26"/>
      <c r="D2440" s="26"/>
      <c r="F2440" s="85" t="str">
        <f t="shared" si="0"/>
        <v/>
      </c>
      <c r="G2440" s="1" t="e">
        <f>IF(VALUE(F2440) = VALUE(RIGHT(Insights!$C$3, 4)), E2440, "")</f>
        <v>#VALUE!</v>
      </c>
      <c r="H2440" s="26" t="e">
        <f t="shared" si="1"/>
        <v>#VALUE!</v>
      </c>
      <c r="I2440" s="1" t="e">
        <f t="shared" si="2"/>
        <v>#VALUE!</v>
      </c>
    </row>
    <row r="2441" spans="1:9" ht="15.75" customHeight="1">
      <c r="A2441" s="26"/>
      <c r="B2441" s="2"/>
      <c r="C2441" s="26"/>
      <c r="D2441" s="26"/>
      <c r="F2441" s="85" t="str">
        <f t="shared" si="0"/>
        <v/>
      </c>
      <c r="G2441" s="1" t="e">
        <f>IF(VALUE(F2441) = VALUE(RIGHT(Insights!$C$3, 4)), E2441, "")</f>
        <v>#VALUE!</v>
      </c>
      <c r="H2441" s="26" t="e">
        <f t="shared" si="1"/>
        <v>#VALUE!</v>
      </c>
      <c r="I2441" s="1" t="e">
        <f t="shared" si="2"/>
        <v>#VALUE!</v>
      </c>
    </row>
    <row r="2442" spans="1:9" ht="15.75" customHeight="1">
      <c r="A2442" s="26"/>
      <c r="B2442" s="2"/>
      <c r="C2442" s="26"/>
      <c r="D2442" s="26"/>
      <c r="F2442" s="85" t="str">
        <f t="shared" si="0"/>
        <v/>
      </c>
      <c r="G2442" s="1" t="e">
        <f>IF(VALUE(F2442) = VALUE(RIGHT(Insights!$C$3, 4)), E2442, "")</f>
        <v>#VALUE!</v>
      </c>
      <c r="H2442" s="26" t="e">
        <f t="shared" si="1"/>
        <v>#VALUE!</v>
      </c>
      <c r="I2442" s="1" t="e">
        <f t="shared" si="2"/>
        <v>#VALUE!</v>
      </c>
    </row>
    <row r="2443" spans="1:9" ht="15.75" customHeight="1">
      <c r="A2443" s="26"/>
      <c r="B2443" s="2"/>
      <c r="C2443" s="26"/>
      <c r="D2443" s="26"/>
      <c r="F2443" s="85" t="str">
        <f t="shared" si="0"/>
        <v/>
      </c>
      <c r="G2443" s="1" t="e">
        <f>IF(VALUE(F2443) = VALUE(RIGHT(Insights!$C$3, 4)), E2443, "")</f>
        <v>#VALUE!</v>
      </c>
      <c r="H2443" s="26" t="e">
        <f t="shared" si="1"/>
        <v>#VALUE!</v>
      </c>
      <c r="I2443" s="1" t="e">
        <f t="shared" si="2"/>
        <v>#VALUE!</v>
      </c>
    </row>
    <row r="2444" spans="1:9" ht="15.75" customHeight="1">
      <c r="A2444" s="26"/>
      <c r="B2444" s="2"/>
      <c r="C2444" s="26"/>
      <c r="D2444" s="26"/>
      <c r="F2444" s="85" t="str">
        <f t="shared" si="0"/>
        <v/>
      </c>
      <c r="G2444" s="1" t="e">
        <f>IF(VALUE(F2444) = VALUE(RIGHT(Insights!$C$3, 4)), E2444, "")</f>
        <v>#VALUE!</v>
      </c>
      <c r="H2444" s="26" t="e">
        <f t="shared" si="1"/>
        <v>#VALUE!</v>
      </c>
      <c r="I2444" s="1" t="e">
        <f t="shared" si="2"/>
        <v>#VALUE!</v>
      </c>
    </row>
    <row r="2445" spans="1:9" ht="15.75" customHeight="1">
      <c r="A2445" s="26"/>
      <c r="B2445" s="2"/>
      <c r="C2445" s="26"/>
      <c r="D2445" s="26"/>
      <c r="F2445" s="85" t="str">
        <f t="shared" si="0"/>
        <v/>
      </c>
      <c r="G2445" s="1" t="e">
        <f>IF(VALUE(F2445) = VALUE(RIGHT(Insights!$C$3, 4)), E2445, "")</f>
        <v>#VALUE!</v>
      </c>
      <c r="H2445" s="26" t="e">
        <f t="shared" si="1"/>
        <v>#VALUE!</v>
      </c>
      <c r="I2445" s="1" t="e">
        <f t="shared" si="2"/>
        <v>#VALUE!</v>
      </c>
    </row>
    <row r="2446" spans="1:9" ht="15.75" customHeight="1">
      <c r="A2446" s="26"/>
      <c r="B2446" s="2"/>
      <c r="C2446" s="26"/>
      <c r="D2446" s="26"/>
      <c r="F2446" s="85" t="str">
        <f t="shared" si="0"/>
        <v/>
      </c>
      <c r="G2446" s="1" t="e">
        <f>IF(VALUE(F2446) = VALUE(RIGHT(Insights!$C$3, 4)), E2446, "")</f>
        <v>#VALUE!</v>
      </c>
      <c r="H2446" s="26" t="e">
        <f t="shared" si="1"/>
        <v>#VALUE!</v>
      </c>
      <c r="I2446" s="1" t="e">
        <f t="shared" si="2"/>
        <v>#VALUE!</v>
      </c>
    </row>
    <row r="2447" spans="1:9" ht="15.75" customHeight="1">
      <c r="A2447" s="26"/>
      <c r="B2447" s="2"/>
      <c r="C2447" s="26"/>
      <c r="D2447" s="26"/>
      <c r="F2447" s="85" t="str">
        <f t="shared" si="0"/>
        <v/>
      </c>
      <c r="G2447" s="1" t="e">
        <f>IF(VALUE(F2447) = VALUE(RIGHT(Insights!$C$3, 4)), E2447, "")</f>
        <v>#VALUE!</v>
      </c>
      <c r="H2447" s="26" t="e">
        <f t="shared" si="1"/>
        <v>#VALUE!</v>
      </c>
      <c r="I2447" s="1" t="e">
        <f t="shared" si="2"/>
        <v>#VALUE!</v>
      </c>
    </row>
    <row r="2448" spans="1:9" ht="15.75" customHeight="1">
      <c r="A2448" s="26"/>
      <c r="B2448" s="2"/>
      <c r="C2448" s="26"/>
      <c r="D2448" s="26"/>
      <c r="F2448" s="85" t="str">
        <f t="shared" si="0"/>
        <v/>
      </c>
      <c r="G2448" s="1" t="e">
        <f>IF(VALUE(F2448) = VALUE(RIGHT(Insights!$C$3, 4)), E2448, "")</f>
        <v>#VALUE!</v>
      </c>
      <c r="H2448" s="26" t="e">
        <f t="shared" si="1"/>
        <v>#VALUE!</v>
      </c>
      <c r="I2448" s="1" t="e">
        <f t="shared" si="2"/>
        <v>#VALUE!</v>
      </c>
    </row>
    <row r="2449" spans="1:9" ht="15.75" customHeight="1">
      <c r="A2449" s="26"/>
      <c r="B2449" s="2"/>
      <c r="C2449" s="26"/>
      <c r="D2449" s="26"/>
      <c r="F2449" s="85" t="str">
        <f t="shared" si="0"/>
        <v/>
      </c>
      <c r="G2449" s="1" t="e">
        <f>IF(VALUE(F2449) = VALUE(RIGHT(Insights!$C$3, 4)), E2449, "")</f>
        <v>#VALUE!</v>
      </c>
      <c r="H2449" s="26" t="e">
        <f t="shared" si="1"/>
        <v>#VALUE!</v>
      </c>
      <c r="I2449" s="1" t="e">
        <f t="shared" si="2"/>
        <v>#VALUE!</v>
      </c>
    </row>
    <row r="2450" spans="1:9" ht="15.75" customHeight="1">
      <c r="A2450" s="26"/>
      <c r="B2450" s="2"/>
      <c r="C2450" s="26"/>
      <c r="D2450" s="26"/>
      <c r="F2450" s="85" t="str">
        <f t="shared" si="0"/>
        <v/>
      </c>
      <c r="G2450" s="1" t="e">
        <f>IF(VALUE(F2450) = VALUE(RIGHT(Insights!$C$3, 4)), E2450, "")</f>
        <v>#VALUE!</v>
      </c>
      <c r="H2450" s="26" t="e">
        <f t="shared" si="1"/>
        <v>#VALUE!</v>
      </c>
      <c r="I2450" s="1" t="e">
        <f t="shared" si="2"/>
        <v>#VALUE!</v>
      </c>
    </row>
    <row r="2451" spans="1:9" ht="15.75" customHeight="1">
      <c r="A2451" s="26"/>
      <c r="B2451" s="2"/>
      <c r="C2451" s="26"/>
      <c r="D2451" s="26"/>
      <c r="F2451" s="85" t="str">
        <f t="shared" si="0"/>
        <v/>
      </c>
      <c r="G2451" s="1" t="e">
        <f>IF(VALUE(F2451) = VALUE(RIGHT(Insights!$C$3, 4)), E2451, "")</f>
        <v>#VALUE!</v>
      </c>
      <c r="H2451" s="26" t="e">
        <f t="shared" si="1"/>
        <v>#VALUE!</v>
      </c>
      <c r="I2451" s="1" t="e">
        <f t="shared" si="2"/>
        <v>#VALUE!</v>
      </c>
    </row>
    <row r="2452" spans="1:9" ht="15.75" customHeight="1">
      <c r="A2452" s="26"/>
      <c r="B2452" s="2"/>
      <c r="C2452" s="26"/>
      <c r="D2452" s="26"/>
      <c r="F2452" s="85" t="str">
        <f t="shared" si="0"/>
        <v/>
      </c>
      <c r="G2452" s="1" t="e">
        <f>IF(VALUE(F2452) = VALUE(RIGHT(Insights!$C$3, 4)), E2452, "")</f>
        <v>#VALUE!</v>
      </c>
      <c r="H2452" s="26" t="e">
        <f t="shared" si="1"/>
        <v>#VALUE!</v>
      </c>
      <c r="I2452" s="1" t="e">
        <f t="shared" si="2"/>
        <v>#VALUE!</v>
      </c>
    </row>
    <row r="2453" spans="1:9" ht="15.75" customHeight="1">
      <c r="A2453" s="26"/>
      <c r="B2453" s="2"/>
      <c r="C2453" s="26"/>
      <c r="D2453" s="26"/>
      <c r="F2453" s="85" t="str">
        <f t="shared" si="0"/>
        <v/>
      </c>
      <c r="G2453" s="1" t="e">
        <f>IF(VALUE(F2453) = VALUE(RIGHT(Insights!$C$3, 4)), E2453, "")</f>
        <v>#VALUE!</v>
      </c>
      <c r="H2453" s="26" t="e">
        <f t="shared" si="1"/>
        <v>#VALUE!</v>
      </c>
      <c r="I2453" s="1" t="e">
        <f t="shared" si="2"/>
        <v>#VALUE!</v>
      </c>
    </row>
    <row r="2454" spans="1:9" ht="15.75" customHeight="1">
      <c r="A2454" s="26"/>
      <c r="B2454" s="2"/>
      <c r="C2454" s="26"/>
      <c r="D2454" s="26"/>
      <c r="F2454" s="85" t="str">
        <f t="shared" si="0"/>
        <v/>
      </c>
      <c r="G2454" s="1" t="e">
        <f>IF(VALUE(F2454) = VALUE(RIGHT(Insights!$C$3, 4)), E2454, "")</f>
        <v>#VALUE!</v>
      </c>
      <c r="H2454" s="26" t="e">
        <f t="shared" si="1"/>
        <v>#VALUE!</v>
      </c>
      <c r="I2454" s="1" t="e">
        <f t="shared" si="2"/>
        <v>#VALUE!</v>
      </c>
    </row>
    <row r="2455" spans="1:9" ht="15.75" customHeight="1">
      <c r="A2455" s="26"/>
      <c r="B2455" s="2"/>
      <c r="C2455" s="26"/>
      <c r="D2455" s="26"/>
      <c r="F2455" s="85" t="str">
        <f t="shared" si="0"/>
        <v/>
      </c>
      <c r="G2455" s="1" t="e">
        <f>IF(VALUE(F2455) = VALUE(RIGHT(Insights!$C$3, 4)), E2455, "")</f>
        <v>#VALUE!</v>
      </c>
      <c r="H2455" s="26" t="e">
        <f t="shared" si="1"/>
        <v>#VALUE!</v>
      </c>
      <c r="I2455" s="1" t="e">
        <f t="shared" si="2"/>
        <v>#VALUE!</v>
      </c>
    </row>
    <row r="2456" spans="1:9" ht="15.75" customHeight="1">
      <c r="A2456" s="26"/>
      <c r="B2456" s="2"/>
      <c r="C2456" s="26"/>
      <c r="D2456" s="26"/>
      <c r="F2456" s="85" t="str">
        <f t="shared" si="0"/>
        <v/>
      </c>
      <c r="G2456" s="1" t="e">
        <f>IF(VALUE(F2456) = VALUE(RIGHT(Insights!$C$3, 4)), E2456, "")</f>
        <v>#VALUE!</v>
      </c>
      <c r="H2456" s="26" t="e">
        <f t="shared" si="1"/>
        <v>#VALUE!</v>
      </c>
      <c r="I2456" s="1" t="e">
        <f t="shared" si="2"/>
        <v>#VALUE!</v>
      </c>
    </row>
    <row r="2457" spans="1:9" ht="15.75" customHeight="1">
      <c r="A2457" s="26"/>
      <c r="B2457" s="2"/>
      <c r="C2457" s="26"/>
      <c r="D2457" s="26"/>
      <c r="F2457" s="85" t="str">
        <f t="shared" si="0"/>
        <v/>
      </c>
      <c r="G2457" s="1" t="e">
        <f>IF(VALUE(F2457) = VALUE(RIGHT(Insights!$C$3, 4)), E2457, "")</f>
        <v>#VALUE!</v>
      </c>
      <c r="H2457" s="26" t="e">
        <f t="shared" si="1"/>
        <v>#VALUE!</v>
      </c>
      <c r="I2457" s="1" t="e">
        <f t="shared" si="2"/>
        <v>#VALUE!</v>
      </c>
    </row>
    <row r="2458" spans="1:9" ht="15.75" customHeight="1">
      <c r="A2458" s="26"/>
      <c r="B2458" s="2"/>
      <c r="C2458" s="26"/>
      <c r="D2458" s="26"/>
      <c r="F2458" s="85" t="str">
        <f t="shared" si="0"/>
        <v/>
      </c>
      <c r="G2458" s="1" t="e">
        <f>IF(VALUE(F2458) = VALUE(RIGHT(Insights!$C$3, 4)), E2458, "")</f>
        <v>#VALUE!</v>
      </c>
      <c r="H2458" s="26" t="e">
        <f t="shared" si="1"/>
        <v>#VALUE!</v>
      </c>
      <c r="I2458" s="1" t="e">
        <f t="shared" si="2"/>
        <v>#VALUE!</v>
      </c>
    </row>
    <row r="2459" spans="1:9" ht="15.75" customHeight="1">
      <c r="A2459" s="26"/>
      <c r="B2459" s="2"/>
      <c r="C2459" s="26"/>
      <c r="D2459" s="26"/>
      <c r="F2459" s="85" t="str">
        <f t="shared" si="0"/>
        <v/>
      </c>
      <c r="G2459" s="1" t="e">
        <f>IF(VALUE(F2459) = VALUE(RIGHT(Insights!$C$3, 4)), E2459, "")</f>
        <v>#VALUE!</v>
      </c>
      <c r="H2459" s="26" t="e">
        <f t="shared" si="1"/>
        <v>#VALUE!</v>
      </c>
      <c r="I2459" s="1" t="e">
        <f t="shared" si="2"/>
        <v>#VALUE!</v>
      </c>
    </row>
    <row r="2460" spans="1:9" ht="15.75" customHeight="1">
      <c r="A2460" s="26"/>
      <c r="B2460" s="2"/>
      <c r="C2460" s="26"/>
      <c r="D2460" s="26"/>
      <c r="F2460" s="85" t="str">
        <f t="shared" si="0"/>
        <v/>
      </c>
      <c r="G2460" s="1" t="e">
        <f>IF(VALUE(F2460) = VALUE(RIGHT(Insights!$C$3, 4)), E2460, "")</f>
        <v>#VALUE!</v>
      </c>
      <c r="H2460" s="26" t="e">
        <f t="shared" si="1"/>
        <v>#VALUE!</v>
      </c>
      <c r="I2460" s="1" t="e">
        <f t="shared" si="2"/>
        <v>#VALUE!</v>
      </c>
    </row>
    <row r="2461" spans="1:9" ht="15.75" customHeight="1">
      <c r="A2461" s="26"/>
      <c r="B2461" s="2"/>
      <c r="C2461" s="26"/>
      <c r="D2461" s="26"/>
      <c r="F2461" s="85" t="str">
        <f t="shared" si="0"/>
        <v/>
      </c>
      <c r="G2461" s="1" t="e">
        <f>IF(VALUE(F2461) = VALUE(RIGHT(Insights!$C$3, 4)), E2461, "")</f>
        <v>#VALUE!</v>
      </c>
      <c r="H2461" s="26" t="e">
        <f t="shared" si="1"/>
        <v>#VALUE!</v>
      </c>
      <c r="I2461" s="1" t="e">
        <f t="shared" si="2"/>
        <v>#VALUE!</v>
      </c>
    </row>
    <row r="2462" spans="1:9" ht="15.75" customHeight="1">
      <c r="A2462" s="26"/>
      <c r="B2462" s="2"/>
      <c r="C2462" s="26"/>
      <c r="D2462" s="26"/>
      <c r="F2462" s="85" t="str">
        <f t="shared" si="0"/>
        <v/>
      </c>
      <c r="G2462" s="1" t="e">
        <f>IF(VALUE(F2462) = VALUE(RIGHT(Insights!$C$3, 4)), E2462, "")</f>
        <v>#VALUE!</v>
      </c>
      <c r="H2462" s="26" t="e">
        <f t="shared" si="1"/>
        <v>#VALUE!</v>
      </c>
      <c r="I2462" s="1" t="e">
        <f t="shared" si="2"/>
        <v>#VALUE!</v>
      </c>
    </row>
    <row r="2463" spans="1:9" ht="15.75" customHeight="1">
      <c r="A2463" s="26"/>
      <c r="B2463" s="2"/>
      <c r="C2463" s="26"/>
      <c r="D2463" s="26"/>
      <c r="F2463" s="85" t="str">
        <f t="shared" si="0"/>
        <v/>
      </c>
      <c r="G2463" s="1" t="e">
        <f>IF(VALUE(F2463) = VALUE(RIGHT(Insights!$C$3, 4)), E2463, "")</f>
        <v>#VALUE!</v>
      </c>
      <c r="H2463" s="26" t="e">
        <f t="shared" si="1"/>
        <v>#VALUE!</v>
      </c>
      <c r="I2463" s="1" t="e">
        <f t="shared" si="2"/>
        <v>#VALUE!</v>
      </c>
    </row>
    <row r="2464" spans="1:9" ht="15.75" customHeight="1">
      <c r="A2464" s="26"/>
      <c r="B2464" s="2"/>
      <c r="C2464" s="26"/>
      <c r="D2464" s="26"/>
      <c r="F2464" s="85" t="str">
        <f t="shared" si="0"/>
        <v/>
      </c>
      <c r="G2464" s="1" t="e">
        <f>IF(VALUE(F2464) = VALUE(RIGHT(Insights!$C$3, 4)), E2464, "")</f>
        <v>#VALUE!</v>
      </c>
      <c r="H2464" s="26" t="e">
        <f t="shared" si="1"/>
        <v>#VALUE!</v>
      </c>
      <c r="I2464" s="1" t="e">
        <f t="shared" si="2"/>
        <v>#VALUE!</v>
      </c>
    </row>
    <row r="2465" spans="1:9" ht="15.75" customHeight="1">
      <c r="A2465" s="26"/>
      <c r="B2465" s="2"/>
      <c r="C2465" s="26"/>
      <c r="D2465" s="26"/>
      <c r="F2465" s="85" t="str">
        <f t="shared" si="0"/>
        <v/>
      </c>
      <c r="G2465" s="1" t="e">
        <f>IF(VALUE(F2465) = VALUE(RIGHT(Insights!$C$3, 4)), E2465, "")</f>
        <v>#VALUE!</v>
      </c>
      <c r="H2465" s="26" t="e">
        <f t="shared" si="1"/>
        <v>#VALUE!</v>
      </c>
      <c r="I2465" s="1" t="e">
        <f t="shared" si="2"/>
        <v>#VALUE!</v>
      </c>
    </row>
    <row r="2466" spans="1:9" ht="15.75" customHeight="1">
      <c r="A2466" s="26"/>
      <c r="B2466" s="2"/>
      <c r="C2466" s="26"/>
      <c r="D2466" s="26"/>
      <c r="F2466" s="85" t="str">
        <f t="shared" si="0"/>
        <v/>
      </c>
      <c r="G2466" s="1" t="e">
        <f>IF(VALUE(F2466) = VALUE(RIGHT(Insights!$C$3, 4)), E2466, "")</f>
        <v>#VALUE!</v>
      </c>
      <c r="H2466" s="26" t="e">
        <f t="shared" si="1"/>
        <v>#VALUE!</v>
      </c>
      <c r="I2466" s="1" t="e">
        <f t="shared" si="2"/>
        <v>#VALUE!</v>
      </c>
    </row>
    <row r="2467" spans="1:9" ht="15.75" customHeight="1">
      <c r="A2467" s="26"/>
      <c r="B2467" s="2"/>
      <c r="C2467" s="26"/>
      <c r="D2467" s="26"/>
      <c r="F2467" s="85" t="str">
        <f t="shared" si="0"/>
        <v/>
      </c>
      <c r="G2467" s="1" t="e">
        <f>IF(VALUE(F2467) = VALUE(RIGHT(Insights!$C$3, 4)), E2467, "")</f>
        <v>#VALUE!</v>
      </c>
      <c r="H2467" s="26" t="e">
        <f t="shared" si="1"/>
        <v>#VALUE!</v>
      </c>
      <c r="I2467" s="1" t="e">
        <f t="shared" si="2"/>
        <v>#VALUE!</v>
      </c>
    </row>
    <row r="2468" spans="1:9" ht="15.75" customHeight="1">
      <c r="A2468" s="26"/>
      <c r="B2468" s="2"/>
      <c r="C2468" s="26"/>
      <c r="D2468" s="26"/>
      <c r="F2468" s="85" t="str">
        <f t="shared" si="0"/>
        <v/>
      </c>
      <c r="G2468" s="1" t="e">
        <f>IF(VALUE(F2468) = VALUE(RIGHT(Insights!$C$3, 4)), E2468, "")</f>
        <v>#VALUE!</v>
      </c>
      <c r="H2468" s="26" t="e">
        <f t="shared" si="1"/>
        <v>#VALUE!</v>
      </c>
      <c r="I2468" s="1" t="e">
        <f t="shared" si="2"/>
        <v>#VALUE!</v>
      </c>
    </row>
    <row r="2469" spans="1:9" ht="15.75" customHeight="1">
      <c r="A2469" s="26"/>
      <c r="B2469" s="2"/>
      <c r="C2469" s="26"/>
      <c r="D2469" s="26"/>
      <c r="F2469" s="85" t="str">
        <f t="shared" si="0"/>
        <v/>
      </c>
      <c r="G2469" s="1" t="e">
        <f>IF(VALUE(F2469) = VALUE(RIGHT(Insights!$C$3, 4)), E2469, "")</f>
        <v>#VALUE!</v>
      </c>
      <c r="H2469" s="26" t="e">
        <f t="shared" si="1"/>
        <v>#VALUE!</v>
      </c>
      <c r="I2469" s="1" t="e">
        <f t="shared" si="2"/>
        <v>#VALUE!</v>
      </c>
    </row>
    <row r="2470" spans="1:9" ht="15.75" customHeight="1">
      <c r="A2470" s="26"/>
      <c r="B2470" s="2"/>
      <c r="C2470" s="26"/>
      <c r="D2470" s="26"/>
      <c r="F2470" s="85" t="str">
        <f t="shared" si="0"/>
        <v/>
      </c>
      <c r="G2470" s="1" t="e">
        <f>IF(VALUE(F2470) = VALUE(RIGHT(Insights!$C$3, 4)), E2470, "")</f>
        <v>#VALUE!</v>
      </c>
      <c r="H2470" s="26" t="e">
        <f t="shared" si="1"/>
        <v>#VALUE!</v>
      </c>
      <c r="I2470" s="1" t="e">
        <f t="shared" si="2"/>
        <v>#VALUE!</v>
      </c>
    </row>
    <row r="2471" spans="1:9" ht="15.75" customHeight="1">
      <c r="A2471" s="26"/>
      <c r="B2471" s="2"/>
      <c r="C2471" s="26"/>
      <c r="D2471" s="26"/>
      <c r="F2471" s="85" t="str">
        <f t="shared" si="0"/>
        <v/>
      </c>
      <c r="G2471" s="1" t="e">
        <f>IF(VALUE(F2471) = VALUE(RIGHT(Insights!$C$3, 4)), E2471, "")</f>
        <v>#VALUE!</v>
      </c>
      <c r="H2471" s="26" t="e">
        <f t="shared" si="1"/>
        <v>#VALUE!</v>
      </c>
      <c r="I2471" s="1" t="e">
        <f t="shared" si="2"/>
        <v>#VALUE!</v>
      </c>
    </row>
    <row r="2472" spans="1:9" ht="15.75" customHeight="1">
      <c r="A2472" s="26"/>
      <c r="B2472" s="2"/>
      <c r="C2472" s="26"/>
      <c r="D2472" s="26"/>
      <c r="F2472" s="85" t="str">
        <f t="shared" si="0"/>
        <v/>
      </c>
      <c r="G2472" s="1" t="e">
        <f>IF(VALUE(F2472) = VALUE(RIGHT(Insights!$C$3, 4)), E2472, "")</f>
        <v>#VALUE!</v>
      </c>
      <c r="H2472" s="26" t="e">
        <f t="shared" si="1"/>
        <v>#VALUE!</v>
      </c>
      <c r="I2472" s="1" t="e">
        <f t="shared" si="2"/>
        <v>#VALUE!</v>
      </c>
    </row>
    <row r="2473" spans="1:9" ht="15.75" customHeight="1">
      <c r="A2473" s="26"/>
      <c r="B2473" s="2"/>
      <c r="C2473" s="26"/>
      <c r="D2473" s="26"/>
      <c r="F2473" s="85" t="str">
        <f t="shared" si="0"/>
        <v/>
      </c>
      <c r="G2473" s="1" t="e">
        <f>IF(VALUE(F2473) = VALUE(RIGHT(Insights!$C$3, 4)), E2473, "")</f>
        <v>#VALUE!</v>
      </c>
      <c r="H2473" s="26" t="e">
        <f t="shared" si="1"/>
        <v>#VALUE!</v>
      </c>
      <c r="I2473" s="1" t="e">
        <f t="shared" si="2"/>
        <v>#VALUE!</v>
      </c>
    </row>
    <row r="2474" spans="1:9" ht="15.75" customHeight="1">
      <c r="A2474" s="26"/>
      <c r="B2474" s="2"/>
      <c r="C2474" s="26"/>
      <c r="D2474" s="26"/>
      <c r="F2474" s="85" t="str">
        <f t="shared" si="0"/>
        <v/>
      </c>
      <c r="G2474" s="1" t="e">
        <f>IF(VALUE(F2474) = VALUE(RIGHT(Insights!$C$3, 4)), E2474, "")</f>
        <v>#VALUE!</v>
      </c>
      <c r="H2474" s="26" t="e">
        <f t="shared" si="1"/>
        <v>#VALUE!</v>
      </c>
      <c r="I2474" s="1" t="e">
        <f t="shared" si="2"/>
        <v>#VALUE!</v>
      </c>
    </row>
    <row r="2475" spans="1:9" ht="15.75" customHeight="1">
      <c r="A2475" s="26"/>
      <c r="B2475" s="2"/>
      <c r="C2475" s="26"/>
      <c r="D2475" s="26"/>
      <c r="F2475" s="85" t="str">
        <f t="shared" si="0"/>
        <v/>
      </c>
      <c r="G2475" s="1" t="e">
        <f>IF(VALUE(F2475) = VALUE(RIGHT(Insights!$C$3, 4)), E2475, "")</f>
        <v>#VALUE!</v>
      </c>
      <c r="H2475" s="26" t="e">
        <f t="shared" si="1"/>
        <v>#VALUE!</v>
      </c>
      <c r="I2475" s="1" t="e">
        <f t="shared" si="2"/>
        <v>#VALUE!</v>
      </c>
    </row>
    <row r="2476" spans="1:9" ht="15.75" customHeight="1">
      <c r="A2476" s="26"/>
      <c r="B2476" s="2"/>
      <c r="C2476" s="26"/>
      <c r="D2476" s="26"/>
      <c r="F2476" s="85" t="str">
        <f t="shared" si="0"/>
        <v/>
      </c>
      <c r="G2476" s="1" t="e">
        <f>IF(VALUE(F2476) = VALUE(RIGHT(Insights!$C$3, 4)), E2476, "")</f>
        <v>#VALUE!</v>
      </c>
      <c r="H2476" s="26" t="e">
        <f t="shared" si="1"/>
        <v>#VALUE!</v>
      </c>
      <c r="I2476" s="1" t="e">
        <f t="shared" si="2"/>
        <v>#VALUE!</v>
      </c>
    </row>
    <row r="2477" spans="1:9" ht="15.75" customHeight="1">
      <c r="A2477" s="26"/>
      <c r="B2477" s="2"/>
      <c r="C2477" s="26"/>
      <c r="D2477" s="26"/>
      <c r="F2477" s="85" t="str">
        <f t="shared" si="0"/>
        <v/>
      </c>
      <c r="G2477" s="1" t="e">
        <f>IF(VALUE(F2477) = VALUE(RIGHT(Insights!$C$3, 4)), E2477, "")</f>
        <v>#VALUE!</v>
      </c>
      <c r="H2477" s="26" t="e">
        <f t="shared" si="1"/>
        <v>#VALUE!</v>
      </c>
      <c r="I2477" s="1" t="e">
        <f t="shared" si="2"/>
        <v>#VALUE!</v>
      </c>
    </row>
    <row r="2478" spans="1:9" ht="15.75" customHeight="1">
      <c r="A2478" s="26"/>
      <c r="B2478" s="2"/>
      <c r="C2478" s="26"/>
      <c r="D2478" s="26"/>
      <c r="F2478" s="85" t="str">
        <f t="shared" si="0"/>
        <v/>
      </c>
      <c r="G2478" s="1" t="e">
        <f>IF(VALUE(F2478) = VALUE(RIGHT(Insights!$C$3, 4)), E2478, "")</f>
        <v>#VALUE!</v>
      </c>
      <c r="H2478" s="26" t="e">
        <f t="shared" si="1"/>
        <v>#VALUE!</v>
      </c>
      <c r="I2478" s="1" t="e">
        <f t="shared" si="2"/>
        <v>#VALUE!</v>
      </c>
    </row>
    <row r="2479" spans="1:9" ht="15.75" customHeight="1">
      <c r="A2479" s="26"/>
      <c r="B2479" s="2"/>
      <c r="C2479" s="26"/>
      <c r="D2479" s="26"/>
      <c r="F2479" s="85" t="str">
        <f t="shared" si="0"/>
        <v/>
      </c>
      <c r="G2479" s="1" t="e">
        <f>IF(VALUE(F2479) = VALUE(RIGHT(Insights!$C$3, 4)), E2479, "")</f>
        <v>#VALUE!</v>
      </c>
      <c r="H2479" s="26" t="e">
        <f t="shared" si="1"/>
        <v>#VALUE!</v>
      </c>
      <c r="I2479" s="1" t="e">
        <f t="shared" si="2"/>
        <v>#VALUE!</v>
      </c>
    </row>
    <row r="2480" spans="1:9" ht="15.75" customHeight="1">
      <c r="A2480" s="26"/>
      <c r="B2480" s="2"/>
      <c r="C2480" s="26"/>
      <c r="D2480" s="26"/>
      <c r="F2480" s="85" t="str">
        <f t="shared" si="0"/>
        <v/>
      </c>
      <c r="G2480" s="1" t="e">
        <f>IF(VALUE(F2480) = VALUE(RIGHT(Insights!$C$3, 4)), E2480, "")</f>
        <v>#VALUE!</v>
      </c>
      <c r="H2480" s="26" t="e">
        <f t="shared" si="1"/>
        <v>#VALUE!</v>
      </c>
      <c r="I2480" s="1" t="e">
        <f t="shared" si="2"/>
        <v>#VALUE!</v>
      </c>
    </row>
    <row r="2481" spans="1:9" ht="15.75" customHeight="1">
      <c r="A2481" s="26"/>
      <c r="B2481" s="2"/>
      <c r="C2481" s="26"/>
      <c r="D2481" s="26"/>
      <c r="F2481" s="85" t="str">
        <f t="shared" si="0"/>
        <v/>
      </c>
      <c r="G2481" s="1" t="e">
        <f>IF(VALUE(F2481) = VALUE(RIGHT(Insights!$C$3, 4)), E2481, "")</f>
        <v>#VALUE!</v>
      </c>
      <c r="H2481" s="26" t="e">
        <f t="shared" si="1"/>
        <v>#VALUE!</v>
      </c>
      <c r="I2481" s="1" t="e">
        <f t="shared" si="2"/>
        <v>#VALUE!</v>
      </c>
    </row>
    <row r="2482" spans="1:9" ht="15.75" customHeight="1">
      <c r="A2482" s="26"/>
      <c r="B2482" s="2"/>
      <c r="C2482" s="26"/>
      <c r="D2482" s="26"/>
      <c r="F2482" s="85" t="str">
        <f t="shared" si="0"/>
        <v/>
      </c>
      <c r="G2482" s="1" t="e">
        <f>IF(VALUE(F2482) = VALUE(RIGHT(Insights!$C$3, 4)), E2482, "")</f>
        <v>#VALUE!</v>
      </c>
      <c r="H2482" s="26" t="e">
        <f t="shared" si="1"/>
        <v>#VALUE!</v>
      </c>
      <c r="I2482" s="1" t="e">
        <f t="shared" si="2"/>
        <v>#VALUE!</v>
      </c>
    </row>
    <row r="2483" spans="1:9" ht="15.75" customHeight="1">
      <c r="A2483" s="26"/>
      <c r="B2483" s="2"/>
      <c r="C2483" s="26"/>
      <c r="D2483" s="26"/>
      <c r="F2483" s="85" t="str">
        <f t="shared" si="0"/>
        <v/>
      </c>
      <c r="G2483" s="1" t="e">
        <f>IF(VALUE(F2483) = VALUE(RIGHT(Insights!$C$3, 4)), E2483, "")</f>
        <v>#VALUE!</v>
      </c>
      <c r="H2483" s="26" t="e">
        <f t="shared" si="1"/>
        <v>#VALUE!</v>
      </c>
      <c r="I2483" s="1" t="e">
        <f t="shared" si="2"/>
        <v>#VALUE!</v>
      </c>
    </row>
    <row r="2484" spans="1:9" ht="15.75" customHeight="1">
      <c r="A2484" s="26"/>
      <c r="B2484" s="2"/>
      <c r="C2484" s="26"/>
      <c r="D2484" s="26"/>
      <c r="F2484" s="85" t="str">
        <f t="shared" si="0"/>
        <v/>
      </c>
      <c r="G2484" s="1" t="e">
        <f>IF(VALUE(F2484) = VALUE(RIGHT(Insights!$C$3, 4)), E2484, "")</f>
        <v>#VALUE!</v>
      </c>
      <c r="H2484" s="26" t="e">
        <f t="shared" si="1"/>
        <v>#VALUE!</v>
      </c>
      <c r="I2484" s="1" t="e">
        <f t="shared" si="2"/>
        <v>#VALUE!</v>
      </c>
    </row>
    <row r="2485" spans="1:9" ht="15.75" customHeight="1">
      <c r="A2485" s="26"/>
      <c r="B2485" s="2"/>
      <c r="C2485" s="26"/>
      <c r="D2485" s="26"/>
      <c r="F2485" s="85" t="str">
        <f t="shared" si="0"/>
        <v/>
      </c>
      <c r="G2485" s="1" t="e">
        <f>IF(VALUE(F2485) = VALUE(RIGHT(Insights!$C$3, 4)), E2485, "")</f>
        <v>#VALUE!</v>
      </c>
      <c r="H2485" s="26" t="e">
        <f t="shared" si="1"/>
        <v>#VALUE!</v>
      </c>
      <c r="I2485" s="1" t="e">
        <f t="shared" si="2"/>
        <v>#VALUE!</v>
      </c>
    </row>
    <row r="2486" spans="1:9" ht="15.75" customHeight="1">
      <c r="A2486" s="26"/>
      <c r="B2486" s="2"/>
      <c r="C2486" s="26"/>
      <c r="D2486" s="26"/>
      <c r="F2486" s="85" t="str">
        <f t="shared" si="0"/>
        <v/>
      </c>
      <c r="G2486" s="1" t="e">
        <f>IF(VALUE(F2486) = VALUE(RIGHT(Insights!$C$3, 4)), E2486, "")</f>
        <v>#VALUE!</v>
      </c>
      <c r="H2486" s="26" t="e">
        <f t="shared" si="1"/>
        <v>#VALUE!</v>
      </c>
      <c r="I2486" s="1" t="e">
        <f t="shared" si="2"/>
        <v>#VALUE!</v>
      </c>
    </row>
    <row r="2487" spans="1:9" ht="15.75" customHeight="1">
      <c r="A2487" s="26"/>
      <c r="B2487" s="2"/>
      <c r="C2487" s="26"/>
      <c r="D2487" s="26"/>
      <c r="F2487" s="85" t="str">
        <f t="shared" si="0"/>
        <v/>
      </c>
      <c r="G2487" s="1" t="e">
        <f>IF(VALUE(F2487) = VALUE(RIGHT(Insights!$C$3, 4)), E2487, "")</f>
        <v>#VALUE!</v>
      </c>
      <c r="H2487" s="26" t="e">
        <f t="shared" si="1"/>
        <v>#VALUE!</v>
      </c>
      <c r="I2487" s="1" t="e">
        <f t="shared" si="2"/>
        <v>#VALUE!</v>
      </c>
    </row>
    <row r="2488" spans="1:9" ht="15.75" customHeight="1">
      <c r="A2488" s="26"/>
      <c r="B2488" s="2"/>
      <c r="C2488" s="26"/>
      <c r="D2488" s="26"/>
      <c r="F2488" s="85" t="str">
        <f t="shared" si="0"/>
        <v/>
      </c>
      <c r="G2488" s="1" t="e">
        <f>IF(VALUE(F2488) = VALUE(RIGHT(Insights!$C$3, 4)), E2488, "")</f>
        <v>#VALUE!</v>
      </c>
      <c r="H2488" s="26" t="e">
        <f t="shared" si="1"/>
        <v>#VALUE!</v>
      </c>
      <c r="I2488" s="1" t="e">
        <f t="shared" si="2"/>
        <v>#VALUE!</v>
      </c>
    </row>
    <row r="2489" spans="1:9" ht="15.75" customHeight="1">
      <c r="A2489" s="26"/>
      <c r="B2489" s="2"/>
      <c r="C2489" s="26"/>
      <c r="D2489" s="26"/>
      <c r="F2489" s="85" t="str">
        <f t="shared" si="0"/>
        <v/>
      </c>
      <c r="G2489" s="1" t="e">
        <f>IF(VALUE(F2489) = VALUE(RIGHT(Insights!$C$3, 4)), E2489, "")</f>
        <v>#VALUE!</v>
      </c>
      <c r="H2489" s="26" t="e">
        <f t="shared" si="1"/>
        <v>#VALUE!</v>
      </c>
      <c r="I2489" s="1" t="e">
        <f t="shared" si="2"/>
        <v>#VALUE!</v>
      </c>
    </row>
    <row r="2490" spans="1:9" ht="15.75" customHeight="1">
      <c r="A2490" s="26"/>
      <c r="B2490" s="2"/>
      <c r="C2490" s="26"/>
      <c r="D2490" s="26"/>
      <c r="F2490" s="85" t="str">
        <f t="shared" si="0"/>
        <v/>
      </c>
      <c r="G2490" s="1" t="e">
        <f>IF(VALUE(F2490) = VALUE(RIGHT(Insights!$C$3, 4)), E2490, "")</f>
        <v>#VALUE!</v>
      </c>
      <c r="H2490" s="26" t="e">
        <f t="shared" si="1"/>
        <v>#VALUE!</v>
      </c>
      <c r="I2490" s="1" t="e">
        <f t="shared" si="2"/>
        <v>#VALUE!</v>
      </c>
    </row>
    <row r="2491" spans="1:9" ht="15.75" customHeight="1">
      <c r="A2491" s="26"/>
      <c r="B2491" s="2"/>
      <c r="C2491" s="26"/>
      <c r="D2491" s="26"/>
      <c r="F2491" s="85" t="str">
        <f t="shared" si="0"/>
        <v/>
      </c>
      <c r="G2491" s="1" t="e">
        <f>IF(VALUE(F2491) = VALUE(RIGHT(Insights!$C$3, 4)), E2491, "")</f>
        <v>#VALUE!</v>
      </c>
      <c r="H2491" s="26" t="e">
        <f t="shared" si="1"/>
        <v>#VALUE!</v>
      </c>
      <c r="I2491" s="1" t="e">
        <f t="shared" si="2"/>
        <v>#VALUE!</v>
      </c>
    </row>
    <row r="2492" spans="1:9" ht="15.75" customHeight="1">
      <c r="A2492" s="26"/>
      <c r="B2492" s="2"/>
      <c r="C2492" s="26"/>
      <c r="D2492" s="26"/>
      <c r="F2492" s="85" t="str">
        <f t="shared" si="0"/>
        <v/>
      </c>
      <c r="G2492" s="1" t="e">
        <f>IF(VALUE(F2492) = VALUE(RIGHT(Insights!$C$3, 4)), E2492, "")</f>
        <v>#VALUE!</v>
      </c>
      <c r="H2492" s="26" t="e">
        <f t="shared" si="1"/>
        <v>#VALUE!</v>
      </c>
      <c r="I2492" s="1" t="e">
        <f t="shared" si="2"/>
        <v>#VALUE!</v>
      </c>
    </row>
    <row r="2493" spans="1:9" ht="15.75" customHeight="1">
      <c r="A2493" s="26"/>
      <c r="B2493" s="2"/>
      <c r="C2493" s="26"/>
      <c r="D2493" s="26"/>
      <c r="F2493" s="85" t="str">
        <f t="shared" si="0"/>
        <v/>
      </c>
      <c r="G2493" s="1" t="e">
        <f>IF(VALUE(F2493) = VALUE(RIGHT(Insights!$C$3, 4)), E2493, "")</f>
        <v>#VALUE!</v>
      </c>
      <c r="H2493" s="26" t="e">
        <f t="shared" si="1"/>
        <v>#VALUE!</v>
      </c>
      <c r="I2493" s="1" t="e">
        <f t="shared" si="2"/>
        <v>#VALUE!</v>
      </c>
    </row>
    <row r="2494" spans="1:9" ht="15.75" customHeight="1">
      <c r="A2494" s="26"/>
      <c r="B2494" s="2"/>
      <c r="C2494" s="26"/>
      <c r="D2494" s="26"/>
      <c r="F2494" s="85" t="str">
        <f t="shared" si="0"/>
        <v/>
      </c>
      <c r="G2494" s="1" t="e">
        <f>IF(VALUE(F2494) = VALUE(RIGHT(Insights!$C$3, 4)), E2494, "")</f>
        <v>#VALUE!</v>
      </c>
      <c r="H2494" s="26" t="e">
        <f t="shared" si="1"/>
        <v>#VALUE!</v>
      </c>
      <c r="I2494" s="1" t="e">
        <f t="shared" si="2"/>
        <v>#VALUE!</v>
      </c>
    </row>
    <row r="2495" spans="1:9" ht="15.75" customHeight="1">
      <c r="A2495" s="26"/>
      <c r="B2495" s="2"/>
      <c r="C2495" s="26"/>
      <c r="D2495" s="26"/>
      <c r="F2495" s="85" t="str">
        <f t="shared" si="0"/>
        <v/>
      </c>
      <c r="G2495" s="1" t="e">
        <f>IF(VALUE(F2495) = VALUE(RIGHT(Insights!$C$3, 4)), E2495, "")</f>
        <v>#VALUE!</v>
      </c>
      <c r="H2495" s="26" t="e">
        <f t="shared" si="1"/>
        <v>#VALUE!</v>
      </c>
      <c r="I2495" s="1" t="e">
        <f t="shared" si="2"/>
        <v>#VALUE!</v>
      </c>
    </row>
    <row r="2496" spans="1:9" ht="15.75" customHeight="1">
      <c r="A2496" s="26"/>
      <c r="B2496" s="2"/>
      <c r="C2496" s="26"/>
      <c r="D2496" s="26"/>
      <c r="F2496" s="85" t="str">
        <f t="shared" si="0"/>
        <v/>
      </c>
      <c r="G2496" s="1" t="e">
        <f>IF(VALUE(F2496) = VALUE(RIGHT(Insights!$C$3, 4)), E2496, "")</f>
        <v>#VALUE!</v>
      </c>
      <c r="H2496" s="26" t="e">
        <f t="shared" si="1"/>
        <v>#VALUE!</v>
      </c>
      <c r="I2496" s="1" t="e">
        <f t="shared" si="2"/>
        <v>#VALUE!</v>
      </c>
    </row>
    <row r="2497" spans="1:9" ht="15.75" customHeight="1">
      <c r="A2497" s="26"/>
      <c r="B2497" s="2"/>
      <c r="C2497" s="26"/>
      <c r="D2497" s="26"/>
      <c r="F2497" s="85" t="str">
        <f t="shared" si="0"/>
        <v/>
      </c>
      <c r="G2497" s="1" t="e">
        <f>IF(VALUE(F2497) = VALUE(RIGHT(Insights!$C$3, 4)), E2497, "")</f>
        <v>#VALUE!</v>
      </c>
      <c r="H2497" s="26" t="e">
        <f t="shared" si="1"/>
        <v>#VALUE!</v>
      </c>
      <c r="I2497" s="1" t="e">
        <f t="shared" si="2"/>
        <v>#VALUE!</v>
      </c>
    </row>
    <row r="2498" spans="1:9" ht="15.75" customHeight="1">
      <c r="A2498" s="26"/>
      <c r="B2498" s="2"/>
      <c r="C2498" s="26"/>
      <c r="D2498" s="26"/>
      <c r="F2498" s="85" t="str">
        <f t="shared" si="0"/>
        <v/>
      </c>
      <c r="G2498" s="1" t="e">
        <f>IF(VALUE(F2498) = VALUE(RIGHT(Insights!$C$3, 4)), E2498, "")</f>
        <v>#VALUE!</v>
      </c>
      <c r="H2498" s="26" t="e">
        <f t="shared" si="1"/>
        <v>#VALUE!</v>
      </c>
      <c r="I2498" s="1" t="e">
        <f t="shared" si="2"/>
        <v>#VALUE!</v>
      </c>
    </row>
    <row r="2499" spans="1:9" ht="15.75" customHeight="1">
      <c r="A2499" s="26"/>
      <c r="B2499" s="2"/>
      <c r="C2499" s="26"/>
      <c r="D2499" s="26"/>
      <c r="F2499" s="85" t="str">
        <f t="shared" si="0"/>
        <v/>
      </c>
      <c r="G2499" s="1" t="e">
        <f>IF(VALUE(F2499) = VALUE(RIGHT(Insights!$C$3, 4)), E2499, "")</f>
        <v>#VALUE!</v>
      </c>
      <c r="H2499" s="26" t="e">
        <f t="shared" si="1"/>
        <v>#VALUE!</v>
      </c>
      <c r="I2499" s="1" t="e">
        <f t="shared" si="2"/>
        <v>#VALUE!</v>
      </c>
    </row>
    <row r="2500" spans="1:9" ht="15.75" customHeight="1">
      <c r="A2500" s="26"/>
      <c r="B2500" s="2"/>
      <c r="C2500" s="26"/>
      <c r="D2500" s="26"/>
      <c r="F2500" s="85" t="str">
        <f t="shared" si="0"/>
        <v/>
      </c>
      <c r="G2500" s="1" t="e">
        <f>IF(VALUE(F2500) = VALUE(RIGHT(Insights!$C$3, 4)), E2500, "")</f>
        <v>#VALUE!</v>
      </c>
      <c r="H2500" s="26" t="e">
        <f t="shared" si="1"/>
        <v>#VALUE!</v>
      </c>
      <c r="I2500" s="1" t="e">
        <f t="shared" si="2"/>
        <v>#VALUE!</v>
      </c>
    </row>
    <row r="2501" spans="1:9" ht="15.75" customHeight="1">
      <c r="A2501" s="26"/>
      <c r="B2501" s="2"/>
      <c r="C2501" s="26"/>
      <c r="D2501" s="26"/>
      <c r="F2501" s="85" t="str">
        <f t="shared" si="0"/>
        <v/>
      </c>
      <c r="G2501" s="1" t="e">
        <f>IF(VALUE(F2501) = VALUE(RIGHT(Insights!$C$3, 4)), E2501, "")</f>
        <v>#VALUE!</v>
      </c>
      <c r="H2501" s="26" t="e">
        <f t="shared" si="1"/>
        <v>#VALUE!</v>
      </c>
      <c r="I2501" s="1" t="e">
        <f t="shared" si="2"/>
        <v>#VALUE!</v>
      </c>
    </row>
    <row r="2502" spans="1:9" ht="15.75" customHeight="1">
      <c r="A2502" s="26"/>
      <c r="B2502" s="2"/>
      <c r="C2502" s="26"/>
      <c r="D2502" s="26"/>
      <c r="F2502" s="85" t="str">
        <f t="shared" si="0"/>
        <v/>
      </c>
      <c r="G2502" s="1" t="e">
        <f>IF(VALUE(F2502) = VALUE(RIGHT(Insights!$C$3, 4)), E2502, "")</f>
        <v>#VALUE!</v>
      </c>
      <c r="H2502" s="26" t="e">
        <f t="shared" si="1"/>
        <v>#VALUE!</v>
      </c>
      <c r="I2502" s="1" t="e">
        <f t="shared" si="2"/>
        <v>#VALUE!</v>
      </c>
    </row>
    <row r="2503" spans="1:9" ht="15.75" customHeight="1">
      <c r="A2503" s="26"/>
      <c r="B2503" s="2"/>
      <c r="C2503" s="26"/>
      <c r="D2503" s="26"/>
      <c r="F2503" s="85" t="str">
        <f t="shared" si="0"/>
        <v/>
      </c>
      <c r="G2503" s="1" t="e">
        <f>IF(VALUE(F2503) = VALUE(RIGHT(Insights!$C$3, 4)), E2503, "")</f>
        <v>#VALUE!</v>
      </c>
      <c r="H2503" s="26" t="e">
        <f t="shared" si="1"/>
        <v>#VALUE!</v>
      </c>
      <c r="I2503" s="1" t="e">
        <f t="shared" si="2"/>
        <v>#VALUE!</v>
      </c>
    </row>
    <row r="2504" spans="1:9" ht="15.75" customHeight="1">
      <c r="A2504" s="26"/>
      <c r="B2504" s="2"/>
      <c r="C2504" s="26"/>
      <c r="D2504" s="26"/>
      <c r="F2504" s="85" t="str">
        <f t="shared" si="0"/>
        <v/>
      </c>
      <c r="G2504" s="1" t="e">
        <f>IF(VALUE(F2504) = VALUE(RIGHT(Insights!$C$3, 4)), E2504, "")</f>
        <v>#VALUE!</v>
      </c>
      <c r="H2504" s="26" t="e">
        <f t="shared" si="1"/>
        <v>#VALUE!</v>
      </c>
      <c r="I2504" s="1" t="e">
        <f t="shared" si="2"/>
        <v>#VALUE!</v>
      </c>
    </row>
    <row r="2505" spans="1:9" ht="15.75" customHeight="1">
      <c r="A2505" s="26"/>
      <c r="B2505" s="2"/>
      <c r="C2505" s="26"/>
      <c r="D2505" s="26"/>
      <c r="F2505" s="85" t="str">
        <f t="shared" si="0"/>
        <v/>
      </c>
      <c r="G2505" s="1" t="e">
        <f>IF(VALUE(F2505) = VALUE(RIGHT(Insights!$C$3, 4)), E2505, "")</f>
        <v>#VALUE!</v>
      </c>
      <c r="H2505" s="26" t="e">
        <f t="shared" si="1"/>
        <v>#VALUE!</v>
      </c>
      <c r="I2505" s="1" t="e">
        <f t="shared" si="2"/>
        <v>#VALUE!</v>
      </c>
    </row>
    <row r="2506" spans="1:9" ht="15.75" customHeight="1">
      <c r="A2506" s="26"/>
      <c r="B2506" s="2"/>
      <c r="C2506" s="26"/>
      <c r="D2506" s="26"/>
      <c r="F2506" s="85" t="str">
        <f t="shared" si="0"/>
        <v/>
      </c>
      <c r="G2506" s="1" t="e">
        <f>IF(VALUE(F2506) = VALUE(RIGHT(Insights!$C$3, 4)), E2506, "")</f>
        <v>#VALUE!</v>
      </c>
      <c r="H2506" s="26" t="e">
        <f t="shared" si="1"/>
        <v>#VALUE!</v>
      </c>
      <c r="I2506" s="1" t="e">
        <f t="shared" si="2"/>
        <v>#VALUE!</v>
      </c>
    </row>
    <row r="2507" spans="1:9" ht="15.75" customHeight="1">
      <c r="A2507" s="26"/>
      <c r="B2507" s="2"/>
      <c r="C2507" s="26"/>
      <c r="D2507" s="26"/>
      <c r="F2507" s="85" t="str">
        <f t="shared" si="0"/>
        <v/>
      </c>
      <c r="G2507" s="1" t="e">
        <f>IF(VALUE(F2507) = VALUE(RIGHT(Insights!$C$3, 4)), E2507, "")</f>
        <v>#VALUE!</v>
      </c>
      <c r="H2507" s="26" t="e">
        <f t="shared" si="1"/>
        <v>#VALUE!</v>
      </c>
      <c r="I2507" s="1" t="e">
        <f t="shared" si="2"/>
        <v>#VALUE!</v>
      </c>
    </row>
    <row r="2508" spans="1:9" ht="15.75" customHeight="1">
      <c r="A2508" s="26"/>
      <c r="B2508" s="2"/>
      <c r="C2508" s="26"/>
      <c r="D2508" s="26"/>
      <c r="F2508" s="85" t="str">
        <f t="shared" si="0"/>
        <v/>
      </c>
      <c r="G2508" s="1" t="e">
        <f>IF(VALUE(F2508) = VALUE(RIGHT(Insights!$C$3, 4)), E2508, "")</f>
        <v>#VALUE!</v>
      </c>
      <c r="H2508" s="26" t="e">
        <f t="shared" si="1"/>
        <v>#VALUE!</v>
      </c>
      <c r="I2508" s="1" t="e">
        <f t="shared" si="2"/>
        <v>#VALUE!</v>
      </c>
    </row>
    <row r="2509" spans="1:9" ht="15.75" customHeight="1">
      <c r="A2509" s="26"/>
      <c r="B2509" s="2"/>
      <c r="C2509" s="26"/>
      <c r="D2509" s="26"/>
      <c r="F2509" s="85" t="str">
        <f t="shared" si="0"/>
        <v/>
      </c>
      <c r="G2509" s="1" t="e">
        <f>IF(VALUE(F2509) = VALUE(RIGHT(Insights!$C$3, 4)), E2509, "")</f>
        <v>#VALUE!</v>
      </c>
      <c r="H2509" s="26" t="e">
        <f t="shared" si="1"/>
        <v>#VALUE!</v>
      </c>
      <c r="I2509" s="1" t="e">
        <f t="shared" si="2"/>
        <v>#VALUE!</v>
      </c>
    </row>
    <row r="2510" spans="1:9" ht="15.75" customHeight="1">
      <c r="A2510" s="26"/>
      <c r="B2510" s="2"/>
      <c r="C2510" s="26"/>
      <c r="D2510" s="26"/>
      <c r="F2510" s="85" t="str">
        <f t="shared" si="0"/>
        <v/>
      </c>
      <c r="G2510" s="1" t="e">
        <f>IF(VALUE(F2510) = VALUE(RIGHT(Insights!$C$3, 4)), E2510, "")</f>
        <v>#VALUE!</v>
      </c>
      <c r="H2510" s="26" t="e">
        <f t="shared" si="1"/>
        <v>#VALUE!</v>
      </c>
      <c r="I2510" s="1" t="e">
        <f t="shared" si="2"/>
        <v>#VALUE!</v>
      </c>
    </row>
    <row r="2511" spans="1:9" ht="15.75" customHeight="1">
      <c r="A2511" s="26"/>
      <c r="B2511" s="2"/>
      <c r="C2511" s="26"/>
      <c r="D2511" s="26"/>
      <c r="F2511" s="85" t="str">
        <f t="shared" si="0"/>
        <v/>
      </c>
      <c r="G2511" s="1" t="e">
        <f>IF(VALUE(F2511) = VALUE(RIGHT(Insights!$C$3, 4)), E2511, "")</f>
        <v>#VALUE!</v>
      </c>
      <c r="H2511" s="26" t="e">
        <f t="shared" si="1"/>
        <v>#VALUE!</v>
      </c>
      <c r="I2511" s="1" t="e">
        <f t="shared" si="2"/>
        <v>#VALUE!</v>
      </c>
    </row>
    <row r="2512" spans="1:9" ht="15.75" customHeight="1">
      <c r="A2512" s="26"/>
      <c r="B2512" s="2"/>
      <c r="C2512" s="26"/>
      <c r="D2512" s="26"/>
      <c r="F2512" s="85" t="str">
        <f t="shared" si="0"/>
        <v/>
      </c>
      <c r="G2512" s="1" t="e">
        <f>IF(VALUE(F2512) = VALUE(RIGHT(Insights!$C$3, 4)), E2512, "")</f>
        <v>#VALUE!</v>
      </c>
      <c r="H2512" s="26" t="e">
        <f t="shared" si="1"/>
        <v>#VALUE!</v>
      </c>
      <c r="I2512" s="1" t="e">
        <f t="shared" si="2"/>
        <v>#VALUE!</v>
      </c>
    </row>
    <row r="2513" spans="1:9" ht="15.75" customHeight="1">
      <c r="A2513" s="26"/>
      <c r="B2513" s="2"/>
      <c r="C2513" s="26"/>
      <c r="D2513" s="26"/>
      <c r="F2513" s="85" t="str">
        <f t="shared" si="0"/>
        <v/>
      </c>
      <c r="G2513" s="1" t="e">
        <f>IF(VALUE(F2513) = VALUE(RIGHT(Insights!$C$3, 4)), E2513, "")</f>
        <v>#VALUE!</v>
      </c>
      <c r="H2513" s="26" t="e">
        <f t="shared" si="1"/>
        <v>#VALUE!</v>
      </c>
      <c r="I2513" s="1" t="e">
        <f t="shared" si="2"/>
        <v>#VALUE!</v>
      </c>
    </row>
    <row r="2514" spans="1:9" ht="15.75" customHeight="1">
      <c r="A2514" s="26"/>
      <c r="B2514" s="2"/>
      <c r="C2514" s="26"/>
      <c r="D2514" s="26"/>
      <c r="F2514" s="85" t="str">
        <f t="shared" si="0"/>
        <v/>
      </c>
      <c r="G2514" s="1" t="e">
        <f>IF(VALUE(F2514) = VALUE(RIGHT(Insights!$C$3, 4)), E2514, "")</f>
        <v>#VALUE!</v>
      </c>
      <c r="H2514" s="26" t="e">
        <f t="shared" si="1"/>
        <v>#VALUE!</v>
      </c>
      <c r="I2514" s="1" t="e">
        <f t="shared" si="2"/>
        <v>#VALUE!</v>
      </c>
    </row>
    <row r="2515" spans="1:9" ht="15.75" customHeight="1">
      <c r="A2515" s="26"/>
      <c r="B2515" s="2"/>
      <c r="C2515" s="26"/>
      <c r="D2515" s="26"/>
      <c r="F2515" s="85" t="str">
        <f t="shared" si="0"/>
        <v/>
      </c>
      <c r="G2515" s="1" t="e">
        <f>IF(VALUE(F2515) = VALUE(RIGHT(Insights!$C$3, 4)), E2515, "")</f>
        <v>#VALUE!</v>
      </c>
      <c r="H2515" s="26" t="e">
        <f t="shared" si="1"/>
        <v>#VALUE!</v>
      </c>
      <c r="I2515" s="1" t="e">
        <f t="shared" si="2"/>
        <v>#VALUE!</v>
      </c>
    </row>
    <row r="2516" spans="1:9" ht="15.75" customHeight="1">
      <c r="A2516" s="26"/>
      <c r="B2516" s="2"/>
      <c r="C2516" s="26"/>
      <c r="D2516" s="26"/>
      <c r="F2516" s="85" t="str">
        <f t="shared" si="0"/>
        <v/>
      </c>
      <c r="G2516" s="1" t="e">
        <f>IF(VALUE(F2516) = VALUE(RIGHT(Insights!$C$3, 4)), E2516, "")</f>
        <v>#VALUE!</v>
      </c>
      <c r="H2516" s="26" t="e">
        <f t="shared" si="1"/>
        <v>#VALUE!</v>
      </c>
      <c r="I2516" s="1" t="e">
        <f t="shared" si="2"/>
        <v>#VALUE!</v>
      </c>
    </row>
    <row r="2517" spans="1:9" ht="15.75" customHeight="1">
      <c r="A2517" s="26"/>
      <c r="B2517" s="2"/>
      <c r="C2517" s="26"/>
      <c r="D2517" s="26"/>
      <c r="F2517" s="85" t="str">
        <f t="shared" si="0"/>
        <v/>
      </c>
      <c r="G2517" s="1" t="e">
        <f>IF(VALUE(F2517) = VALUE(RIGHT(Insights!$C$3, 4)), E2517, "")</f>
        <v>#VALUE!</v>
      </c>
      <c r="H2517" s="26" t="e">
        <f t="shared" si="1"/>
        <v>#VALUE!</v>
      </c>
      <c r="I2517" s="1" t="e">
        <f t="shared" si="2"/>
        <v>#VALUE!</v>
      </c>
    </row>
    <row r="2518" spans="1:9" ht="15.75" customHeight="1">
      <c r="A2518" s="26"/>
      <c r="B2518" s="2"/>
      <c r="C2518" s="26"/>
      <c r="D2518" s="26"/>
      <c r="F2518" s="85" t="str">
        <f t="shared" si="0"/>
        <v/>
      </c>
      <c r="G2518" s="1" t="e">
        <f>IF(VALUE(F2518) = VALUE(RIGHT(Insights!$C$3, 4)), E2518, "")</f>
        <v>#VALUE!</v>
      </c>
      <c r="H2518" s="26" t="e">
        <f t="shared" si="1"/>
        <v>#VALUE!</v>
      </c>
      <c r="I2518" s="1" t="e">
        <f t="shared" si="2"/>
        <v>#VALUE!</v>
      </c>
    </row>
    <row r="2519" spans="1:9" ht="15.75" customHeight="1">
      <c r="A2519" s="26"/>
      <c r="B2519" s="2"/>
      <c r="C2519" s="26"/>
      <c r="D2519" s="26"/>
      <c r="F2519" s="85" t="str">
        <f t="shared" si="0"/>
        <v/>
      </c>
      <c r="G2519" s="1" t="e">
        <f>IF(VALUE(F2519) = VALUE(RIGHT(Insights!$C$3, 4)), E2519, "")</f>
        <v>#VALUE!</v>
      </c>
      <c r="H2519" s="26" t="e">
        <f t="shared" si="1"/>
        <v>#VALUE!</v>
      </c>
      <c r="I2519" s="1" t="e">
        <f t="shared" si="2"/>
        <v>#VALUE!</v>
      </c>
    </row>
    <row r="2520" spans="1:9" ht="15.75" customHeight="1">
      <c r="A2520" s="26"/>
      <c r="B2520" s="2"/>
      <c r="C2520" s="26"/>
      <c r="D2520" s="26"/>
      <c r="F2520" s="85" t="str">
        <f t="shared" si="0"/>
        <v/>
      </c>
      <c r="G2520" s="1" t="e">
        <f>IF(VALUE(F2520) = VALUE(RIGHT(Insights!$C$3, 4)), E2520, "")</f>
        <v>#VALUE!</v>
      </c>
      <c r="H2520" s="26" t="e">
        <f t="shared" si="1"/>
        <v>#VALUE!</v>
      </c>
      <c r="I2520" s="1" t="e">
        <f t="shared" si="2"/>
        <v>#VALUE!</v>
      </c>
    </row>
    <row r="2521" spans="1:9" ht="15.75" customHeight="1">
      <c r="A2521" s="26"/>
      <c r="B2521" s="2"/>
      <c r="C2521" s="26"/>
      <c r="D2521" s="26"/>
      <c r="F2521" s="85" t="str">
        <f t="shared" si="0"/>
        <v/>
      </c>
      <c r="G2521" s="1" t="e">
        <f>IF(VALUE(F2521) = VALUE(RIGHT(Insights!$C$3, 4)), E2521, "")</f>
        <v>#VALUE!</v>
      </c>
      <c r="H2521" s="26" t="e">
        <f t="shared" si="1"/>
        <v>#VALUE!</v>
      </c>
      <c r="I2521" s="1" t="e">
        <f t="shared" si="2"/>
        <v>#VALUE!</v>
      </c>
    </row>
    <row r="2522" spans="1:9" ht="15.75" customHeight="1">
      <c r="A2522" s="26"/>
      <c r="B2522" s="2"/>
      <c r="C2522" s="26"/>
      <c r="D2522" s="26"/>
      <c r="F2522" s="85" t="str">
        <f t="shared" si="0"/>
        <v/>
      </c>
      <c r="G2522" s="1" t="e">
        <f>IF(VALUE(F2522) = VALUE(RIGHT(Insights!$C$3, 4)), E2522, "")</f>
        <v>#VALUE!</v>
      </c>
      <c r="H2522" s="26" t="e">
        <f t="shared" si="1"/>
        <v>#VALUE!</v>
      </c>
      <c r="I2522" s="1" t="e">
        <f t="shared" si="2"/>
        <v>#VALUE!</v>
      </c>
    </row>
    <row r="2523" spans="1:9" ht="15.75" customHeight="1">
      <c r="A2523" s="26"/>
      <c r="B2523" s="2"/>
      <c r="C2523" s="26"/>
      <c r="D2523" s="26"/>
      <c r="F2523" s="85" t="str">
        <f t="shared" si="0"/>
        <v/>
      </c>
      <c r="G2523" s="1" t="e">
        <f>IF(VALUE(F2523) = VALUE(RIGHT(Insights!$C$3, 4)), E2523, "")</f>
        <v>#VALUE!</v>
      </c>
      <c r="H2523" s="26" t="e">
        <f t="shared" si="1"/>
        <v>#VALUE!</v>
      </c>
      <c r="I2523" s="1" t="e">
        <f t="shared" si="2"/>
        <v>#VALUE!</v>
      </c>
    </row>
    <row r="2524" spans="1:9" ht="15.75" customHeight="1">
      <c r="A2524" s="26"/>
      <c r="B2524" s="2"/>
      <c r="C2524" s="26"/>
      <c r="D2524" s="26"/>
      <c r="F2524" s="85" t="str">
        <f t="shared" si="0"/>
        <v/>
      </c>
      <c r="G2524" s="1" t="e">
        <f>IF(VALUE(F2524) = VALUE(RIGHT(Insights!$C$3, 4)), E2524, "")</f>
        <v>#VALUE!</v>
      </c>
      <c r="H2524" s="26" t="e">
        <f t="shared" si="1"/>
        <v>#VALUE!</v>
      </c>
      <c r="I2524" s="1" t="e">
        <f t="shared" si="2"/>
        <v>#VALUE!</v>
      </c>
    </row>
    <row r="2525" spans="1:9" ht="15.75" customHeight="1">
      <c r="A2525" s="26"/>
      <c r="B2525" s="2"/>
      <c r="C2525" s="26"/>
      <c r="D2525" s="26"/>
      <c r="F2525" s="85" t="str">
        <f t="shared" si="0"/>
        <v/>
      </c>
      <c r="G2525" s="1" t="e">
        <f>IF(VALUE(F2525) = VALUE(RIGHT(Insights!$C$3, 4)), E2525, "")</f>
        <v>#VALUE!</v>
      </c>
      <c r="H2525" s="26" t="e">
        <f t="shared" si="1"/>
        <v>#VALUE!</v>
      </c>
      <c r="I2525" s="1" t="e">
        <f t="shared" si="2"/>
        <v>#VALUE!</v>
      </c>
    </row>
    <row r="2526" spans="1:9" ht="15.75" customHeight="1">
      <c r="A2526" s="26"/>
      <c r="B2526" s="2"/>
      <c r="C2526" s="26"/>
      <c r="D2526" s="26"/>
      <c r="F2526" s="85" t="str">
        <f t="shared" si="0"/>
        <v/>
      </c>
      <c r="G2526" s="1" t="e">
        <f>IF(VALUE(F2526) = VALUE(RIGHT(Insights!$C$3, 4)), E2526, "")</f>
        <v>#VALUE!</v>
      </c>
      <c r="H2526" s="26" t="e">
        <f t="shared" si="1"/>
        <v>#VALUE!</v>
      </c>
      <c r="I2526" s="1" t="e">
        <f t="shared" si="2"/>
        <v>#VALUE!</v>
      </c>
    </row>
    <row r="2527" spans="1:9" ht="15.75" customHeight="1">
      <c r="A2527" s="26"/>
      <c r="B2527" s="2"/>
      <c r="C2527" s="26"/>
      <c r="D2527" s="26"/>
      <c r="F2527" s="85" t="str">
        <f t="shared" si="0"/>
        <v/>
      </c>
      <c r="G2527" s="1" t="e">
        <f>IF(VALUE(F2527) = VALUE(RIGHT(Insights!$C$3, 4)), E2527, "")</f>
        <v>#VALUE!</v>
      </c>
      <c r="H2527" s="26" t="e">
        <f t="shared" si="1"/>
        <v>#VALUE!</v>
      </c>
      <c r="I2527" s="1" t="e">
        <f t="shared" si="2"/>
        <v>#VALUE!</v>
      </c>
    </row>
    <row r="2528" spans="1:9" ht="15.75" customHeight="1">
      <c r="A2528" s="26"/>
      <c r="B2528" s="2"/>
      <c r="C2528" s="26"/>
      <c r="D2528" s="26"/>
      <c r="F2528" s="85" t="str">
        <f t="shared" si="0"/>
        <v/>
      </c>
      <c r="G2528" s="1" t="e">
        <f>IF(VALUE(F2528) = VALUE(RIGHT(Insights!$C$3, 4)), E2528, "")</f>
        <v>#VALUE!</v>
      </c>
      <c r="H2528" s="26" t="e">
        <f t="shared" si="1"/>
        <v>#VALUE!</v>
      </c>
      <c r="I2528" s="1" t="e">
        <f t="shared" si="2"/>
        <v>#VALUE!</v>
      </c>
    </row>
    <row r="2529" spans="1:9" ht="15.75" customHeight="1">
      <c r="A2529" s="26"/>
      <c r="B2529" s="2"/>
      <c r="C2529" s="26"/>
      <c r="D2529" s="26"/>
      <c r="F2529" s="85" t="str">
        <f t="shared" si="0"/>
        <v/>
      </c>
      <c r="G2529" s="1" t="e">
        <f>IF(VALUE(F2529) = VALUE(RIGHT(Insights!$C$3, 4)), E2529, "")</f>
        <v>#VALUE!</v>
      </c>
      <c r="H2529" s="26" t="e">
        <f t="shared" si="1"/>
        <v>#VALUE!</v>
      </c>
      <c r="I2529" s="1" t="e">
        <f t="shared" si="2"/>
        <v>#VALUE!</v>
      </c>
    </row>
    <row r="2530" spans="1:9" ht="15.75" customHeight="1">
      <c r="A2530" s="26"/>
      <c r="B2530" s="2"/>
      <c r="C2530" s="26"/>
      <c r="D2530" s="26"/>
      <c r="F2530" s="85" t="str">
        <f t="shared" si="0"/>
        <v/>
      </c>
      <c r="G2530" s="1" t="e">
        <f>IF(VALUE(F2530) = VALUE(RIGHT(Insights!$C$3, 4)), E2530, "")</f>
        <v>#VALUE!</v>
      </c>
      <c r="H2530" s="26" t="e">
        <f t="shared" si="1"/>
        <v>#VALUE!</v>
      </c>
      <c r="I2530" s="1" t="e">
        <f t="shared" si="2"/>
        <v>#VALUE!</v>
      </c>
    </row>
    <row r="2531" spans="1:9" ht="15.75" customHeight="1">
      <c r="A2531" s="26"/>
      <c r="B2531" s="2"/>
      <c r="C2531" s="26"/>
      <c r="D2531" s="26"/>
      <c r="F2531" s="85" t="str">
        <f t="shared" si="0"/>
        <v/>
      </c>
      <c r="G2531" s="1" t="e">
        <f>IF(VALUE(F2531) = VALUE(RIGHT(Insights!$C$3, 4)), E2531, "")</f>
        <v>#VALUE!</v>
      </c>
      <c r="H2531" s="26" t="e">
        <f t="shared" si="1"/>
        <v>#VALUE!</v>
      </c>
      <c r="I2531" s="1" t="e">
        <f t="shared" si="2"/>
        <v>#VALUE!</v>
      </c>
    </row>
    <row r="2532" spans="1:9" ht="15.75" customHeight="1">
      <c r="A2532" s="26"/>
      <c r="B2532" s="2"/>
      <c r="C2532" s="26"/>
      <c r="D2532" s="26"/>
      <c r="F2532" s="85" t="str">
        <f t="shared" si="0"/>
        <v/>
      </c>
      <c r="G2532" s="1" t="e">
        <f>IF(VALUE(F2532) = VALUE(RIGHT(Insights!$C$3, 4)), E2532, "")</f>
        <v>#VALUE!</v>
      </c>
      <c r="H2532" s="26" t="e">
        <f t="shared" si="1"/>
        <v>#VALUE!</v>
      </c>
      <c r="I2532" s="1" t="e">
        <f t="shared" si="2"/>
        <v>#VALUE!</v>
      </c>
    </row>
    <row r="2533" spans="1:9" ht="15.75" customHeight="1">
      <c r="A2533" s="26"/>
      <c r="B2533" s="2"/>
      <c r="C2533" s="26"/>
      <c r="D2533" s="26"/>
      <c r="F2533" s="85" t="str">
        <f t="shared" si="0"/>
        <v/>
      </c>
      <c r="G2533" s="1" t="e">
        <f>IF(VALUE(F2533) = VALUE(RIGHT(Insights!$C$3, 4)), E2533, "")</f>
        <v>#VALUE!</v>
      </c>
      <c r="H2533" s="26" t="e">
        <f t="shared" si="1"/>
        <v>#VALUE!</v>
      </c>
      <c r="I2533" s="1" t="e">
        <f t="shared" si="2"/>
        <v>#VALUE!</v>
      </c>
    </row>
    <row r="2534" spans="1:9" ht="15.75" customHeight="1">
      <c r="A2534" s="26"/>
      <c r="B2534" s="2"/>
      <c r="C2534" s="26"/>
      <c r="D2534" s="26"/>
      <c r="F2534" s="85" t="str">
        <f t="shared" si="0"/>
        <v/>
      </c>
      <c r="G2534" s="1" t="e">
        <f>IF(VALUE(F2534) = VALUE(RIGHT(Insights!$C$3, 4)), E2534, "")</f>
        <v>#VALUE!</v>
      </c>
      <c r="H2534" s="26" t="e">
        <f t="shared" si="1"/>
        <v>#VALUE!</v>
      </c>
      <c r="I2534" s="1" t="e">
        <f t="shared" si="2"/>
        <v>#VALUE!</v>
      </c>
    </row>
    <row r="2535" spans="1:9" ht="15.75" customHeight="1">
      <c r="A2535" s="26"/>
      <c r="B2535" s="2"/>
      <c r="C2535" s="26"/>
      <c r="D2535" s="26"/>
      <c r="F2535" s="85" t="str">
        <f t="shared" si="0"/>
        <v/>
      </c>
      <c r="G2535" s="1" t="e">
        <f>IF(VALUE(F2535) = VALUE(RIGHT(Insights!$C$3, 4)), E2535, "")</f>
        <v>#VALUE!</v>
      </c>
      <c r="H2535" s="26" t="e">
        <f t="shared" si="1"/>
        <v>#VALUE!</v>
      </c>
      <c r="I2535" s="1" t="e">
        <f t="shared" si="2"/>
        <v>#VALUE!</v>
      </c>
    </row>
    <row r="2536" spans="1:9" ht="15.75" customHeight="1">
      <c r="A2536" s="26"/>
      <c r="B2536" s="2"/>
      <c r="C2536" s="26"/>
      <c r="D2536" s="26"/>
      <c r="F2536" s="85" t="str">
        <f t="shared" si="0"/>
        <v/>
      </c>
      <c r="G2536" s="1" t="e">
        <f>IF(VALUE(F2536) = VALUE(RIGHT(Insights!$C$3, 4)), E2536, "")</f>
        <v>#VALUE!</v>
      </c>
      <c r="H2536" s="26" t="e">
        <f t="shared" si="1"/>
        <v>#VALUE!</v>
      </c>
      <c r="I2536" s="1" t="e">
        <f t="shared" si="2"/>
        <v>#VALUE!</v>
      </c>
    </row>
    <row r="2537" spans="1:9" ht="15.75" customHeight="1">
      <c r="A2537" s="26"/>
      <c r="B2537" s="2"/>
      <c r="C2537" s="26"/>
      <c r="D2537" s="26"/>
      <c r="F2537" s="85" t="str">
        <f t="shared" si="0"/>
        <v/>
      </c>
      <c r="G2537" s="1" t="e">
        <f>IF(VALUE(F2537) = VALUE(RIGHT(Insights!$C$3, 4)), E2537, "")</f>
        <v>#VALUE!</v>
      </c>
      <c r="H2537" s="26" t="e">
        <f t="shared" si="1"/>
        <v>#VALUE!</v>
      </c>
      <c r="I2537" s="1" t="e">
        <f t="shared" si="2"/>
        <v>#VALUE!</v>
      </c>
    </row>
    <row r="2538" spans="1:9" ht="15.75" customHeight="1">
      <c r="A2538" s="26"/>
      <c r="B2538" s="2"/>
      <c r="C2538" s="26"/>
      <c r="D2538" s="26"/>
      <c r="F2538" s="85" t="str">
        <f t="shared" si="0"/>
        <v/>
      </c>
      <c r="G2538" s="1" t="e">
        <f>IF(VALUE(F2538) = VALUE(RIGHT(Insights!$C$3, 4)), E2538, "")</f>
        <v>#VALUE!</v>
      </c>
      <c r="H2538" s="26" t="e">
        <f t="shared" si="1"/>
        <v>#VALUE!</v>
      </c>
      <c r="I2538" s="1" t="e">
        <f t="shared" si="2"/>
        <v>#VALUE!</v>
      </c>
    </row>
    <row r="2539" spans="1:9" ht="15.75" customHeight="1">
      <c r="A2539" s="26"/>
      <c r="B2539" s="2"/>
      <c r="C2539" s="26"/>
      <c r="D2539" s="26"/>
      <c r="F2539" s="85" t="str">
        <f t="shared" si="0"/>
        <v/>
      </c>
      <c r="G2539" s="1" t="e">
        <f>IF(VALUE(F2539) = VALUE(RIGHT(Insights!$C$3, 4)), E2539, "")</f>
        <v>#VALUE!</v>
      </c>
      <c r="H2539" s="26" t="e">
        <f t="shared" si="1"/>
        <v>#VALUE!</v>
      </c>
      <c r="I2539" s="1" t="e">
        <f t="shared" si="2"/>
        <v>#VALUE!</v>
      </c>
    </row>
    <row r="2540" spans="1:9" ht="15.75" customHeight="1">
      <c r="A2540" s="26"/>
      <c r="B2540" s="2"/>
      <c r="C2540" s="26"/>
      <c r="D2540" s="26"/>
      <c r="F2540" s="85" t="str">
        <f t="shared" si="0"/>
        <v/>
      </c>
      <c r="G2540" s="1" t="e">
        <f>IF(VALUE(F2540) = VALUE(RIGHT(Insights!$C$3, 4)), E2540, "")</f>
        <v>#VALUE!</v>
      </c>
      <c r="H2540" s="26" t="e">
        <f t="shared" si="1"/>
        <v>#VALUE!</v>
      </c>
      <c r="I2540" s="1" t="e">
        <f t="shared" si="2"/>
        <v>#VALUE!</v>
      </c>
    </row>
    <row r="2541" spans="1:9" ht="15.75" customHeight="1">
      <c r="A2541" s="26"/>
      <c r="B2541" s="2"/>
      <c r="C2541" s="26"/>
      <c r="D2541" s="26"/>
      <c r="F2541" s="85" t="str">
        <f t="shared" si="0"/>
        <v/>
      </c>
      <c r="G2541" s="1" t="e">
        <f>IF(VALUE(F2541) = VALUE(RIGHT(Insights!$C$3, 4)), E2541, "")</f>
        <v>#VALUE!</v>
      </c>
      <c r="H2541" s="26" t="e">
        <f t="shared" si="1"/>
        <v>#VALUE!</v>
      </c>
      <c r="I2541" s="1" t="e">
        <f t="shared" si="2"/>
        <v>#VALUE!</v>
      </c>
    </row>
    <row r="2542" spans="1:9" ht="15.75" customHeight="1">
      <c r="A2542" s="26"/>
      <c r="B2542" s="2"/>
      <c r="C2542" s="26"/>
      <c r="D2542" s="26"/>
      <c r="F2542" s="85" t="str">
        <f t="shared" si="0"/>
        <v/>
      </c>
      <c r="G2542" s="1" t="e">
        <f>IF(VALUE(F2542) = VALUE(RIGHT(Insights!$C$3, 4)), E2542, "")</f>
        <v>#VALUE!</v>
      </c>
      <c r="H2542" s="26" t="e">
        <f t="shared" si="1"/>
        <v>#VALUE!</v>
      </c>
      <c r="I2542" s="1" t="e">
        <f t="shared" si="2"/>
        <v>#VALUE!</v>
      </c>
    </row>
    <row r="2543" spans="1:9" ht="15.75" customHeight="1">
      <c r="A2543" s="26"/>
      <c r="B2543" s="2"/>
      <c r="C2543" s="26"/>
      <c r="D2543" s="26"/>
      <c r="F2543" s="85" t="str">
        <f t="shared" si="0"/>
        <v/>
      </c>
      <c r="G2543" s="1" t="e">
        <f>IF(VALUE(F2543) = VALUE(RIGHT(Insights!$C$3, 4)), E2543, "")</f>
        <v>#VALUE!</v>
      </c>
      <c r="H2543" s="26" t="e">
        <f t="shared" si="1"/>
        <v>#VALUE!</v>
      </c>
      <c r="I2543" s="1" t="e">
        <f t="shared" si="2"/>
        <v>#VALUE!</v>
      </c>
    </row>
    <row r="2544" spans="1:9" ht="15.75" customHeight="1">
      <c r="A2544" s="26"/>
      <c r="B2544" s="2"/>
      <c r="C2544" s="26"/>
      <c r="D2544" s="26"/>
      <c r="F2544" s="85" t="str">
        <f t="shared" si="0"/>
        <v/>
      </c>
      <c r="G2544" s="1" t="e">
        <f>IF(VALUE(F2544) = VALUE(RIGHT(Insights!$C$3, 4)), E2544, "")</f>
        <v>#VALUE!</v>
      </c>
      <c r="H2544" s="26" t="e">
        <f t="shared" si="1"/>
        <v>#VALUE!</v>
      </c>
      <c r="I2544" s="1" t="e">
        <f t="shared" si="2"/>
        <v>#VALUE!</v>
      </c>
    </row>
    <row r="2545" spans="1:9" ht="15.75" customHeight="1">
      <c r="A2545" s="26"/>
      <c r="B2545" s="2"/>
      <c r="C2545" s="26"/>
      <c r="D2545" s="26"/>
      <c r="F2545" s="85" t="str">
        <f t="shared" si="0"/>
        <v/>
      </c>
      <c r="G2545" s="1" t="e">
        <f>IF(VALUE(F2545) = VALUE(RIGHT(Insights!$C$3, 4)), E2545, "")</f>
        <v>#VALUE!</v>
      </c>
      <c r="H2545" s="26" t="e">
        <f t="shared" si="1"/>
        <v>#VALUE!</v>
      </c>
      <c r="I2545" s="1" t="e">
        <f t="shared" si="2"/>
        <v>#VALUE!</v>
      </c>
    </row>
    <row r="2546" spans="1:9" ht="15.75" customHeight="1">
      <c r="A2546" s="26"/>
      <c r="B2546" s="2"/>
      <c r="C2546" s="26"/>
      <c r="D2546" s="26"/>
      <c r="F2546" s="85" t="str">
        <f t="shared" si="0"/>
        <v/>
      </c>
      <c r="G2546" s="1" t="e">
        <f>IF(VALUE(F2546) = VALUE(RIGHT(Insights!$C$3, 4)), E2546, "")</f>
        <v>#VALUE!</v>
      </c>
      <c r="H2546" s="26" t="e">
        <f t="shared" si="1"/>
        <v>#VALUE!</v>
      </c>
      <c r="I2546" s="1" t="e">
        <f t="shared" si="2"/>
        <v>#VALUE!</v>
      </c>
    </row>
    <row r="2547" spans="1:9" ht="15.75" customHeight="1">
      <c r="A2547" s="26"/>
      <c r="B2547" s="2"/>
      <c r="C2547" s="26"/>
      <c r="D2547" s="26"/>
      <c r="F2547" s="85" t="str">
        <f t="shared" si="0"/>
        <v/>
      </c>
      <c r="G2547" s="1" t="e">
        <f>IF(VALUE(F2547) = VALUE(RIGHT(Insights!$C$3, 4)), E2547, "")</f>
        <v>#VALUE!</v>
      </c>
      <c r="H2547" s="26" t="e">
        <f t="shared" si="1"/>
        <v>#VALUE!</v>
      </c>
      <c r="I2547" s="1" t="e">
        <f t="shared" si="2"/>
        <v>#VALUE!</v>
      </c>
    </row>
    <row r="2548" spans="1:9" ht="15.75" customHeight="1">
      <c r="A2548" s="26"/>
      <c r="B2548" s="2"/>
      <c r="C2548" s="26"/>
      <c r="D2548" s="26"/>
      <c r="F2548" s="85" t="str">
        <f t="shared" si="0"/>
        <v/>
      </c>
      <c r="G2548" s="1" t="e">
        <f>IF(VALUE(F2548) = VALUE(RIGHT(Insights!$C$3, 4)), E2548, "")</f>
        <v>#VALUE!</v>
      </c>
      <c r="H2548" s="26" t="e">
        <f t="shared" si="1"/>
        <v>#VALUE!</v>
      </c>
      <c r="I2548" s="1" t="e">
        <f t="shared" si="2"/>
        <v>#VALUE!</v>
      </c>
    </row>
    <row r="2549" spans="1:9" ht="15.75" customHeight="1">
      <c r="A2549" s="26"/>
      <c r="B2549" s="2"/>
      <c r="C2549" s="26"/>
      <c r="D2549" s="26"/>
      <c r="F2549" s="85" t="str">
        <f t="shared" si="0"/>
        <v/>
      </c>
      <c r="G2549" s="1" t="e">
        <f>IF(VALUE(F2549) = VALUE(RIGHT(Insights!$C$3, 4)), E2549, "")</f>
        <v>#VALUE!</v>
      </c>
      <c r="H2549" s="26" t="e">
        <f t="shared" si="1"/>
        <v>#VALUE!</v>
      </c>
      <c r="I2549" s="1" t="e">
        <f t="shared" si="2"/>
        <v>#VALUE!</v>
      </c>
    </row>
    <row r="2550" spans="1:9" ht="15.75" customHeight="1">
      <c r="A2550" s="26"/>
      <c r="B2550" s="2"/>
      <c r="C2550" s="26"/>
      <c r="D2550" s="26"/>
      <c r="F2550" s="85" t="str">
        <f t="shared" si="0"/>
        <v/>
      </c>
      <c r="G2550" s="1" t="e">
        <f>IF(VALUE(F2550) = VALUE(RIGHT(Insights!$C$3, 4)), E2550, "")</f>
        <v>#VALUE!</v>
      </c>
      <c r="H2550" s="26" t="e">
        <f t="shared" si="1"/>
        <v>#VALUE!</v>
      </c>
      <c r="I2550" s="1" t="e">
        <f t="shared" si="2"/>
        <v>#VALUE!</v>
      </c>
    </row>
    <row r="2551" spans="1:9" ht="15.75" customHeight="1">
      <c r="A2551" s="26"/>
      <c r="B2551" s="2"/>
      <c r="C2551" s="26"/>
      <c r="D2551" s="26"/>
      <c r="F2551" s="85" t="str">
        <f t="shared" si="0"/>
        <v/>
      </c>
      <c r="G2551" s="1" t="e">
        <f>IF(VALUE(F2551) = VALUE(RIGHT(Insights!$C$3, 4)), E2551, "")</f>
        <v>#VALUE!</v>
      </c>
      <c r="H2551" s="26" t="e">
        <f t="shared" si="1"/>
        <v>#VALUE!</v>
      </c>
      <c r="I2551" s="1" t="e">
        <f t="shared" si="2"/>
        <v>#VALUE!</v>
      </c>
    </row>
    <row r="2552" spans="1:9" ht="15.75" customHeight="1">
      <c r="A2552" s="26"/>
      <c r="B2552" s="2"/>
      <c r="C2552" s="26"/>
      <c r="D2552" s="26"/>
      <c r="F2552" s="85" t="str">
        <f t="shared" si="0"/>
        <v/>
      </c>
      <c r="G2552" s="1" t="e">
        <f>IF(VALUE(F2552) = VALUE(RIGHT(Insights!$C$3, 4)), E2552, "")</f>
        <v>#VALUE!</v>
      </c>
      <c r="H2552" s="26" t="e">
        <f t="shared" si="1"/>
        <v>#VALUE!</v>
      </c>
      <c r="I2552" s="1" t="e">
        <f t="shared" si="2"/>
        <v>#VALUE!</v>
      </c>
    </row>
    <row r="2553" spans="1:9" ht="15.75" customHeight="1">
      <c r="A2553" s="26"/>
      <c r="B2553" s="2"/>
      <c r="C2553" s="26"/>
      <c r="D2553" s="26"/>
      <c r="F2553" s="85" t="str">
        <f t="shared" si="0"/>
        <v/>
      </c>
      <c r="G2553" s="1" t="e">
        <f>IF(VALUE(F2553) = VALUE(RIGHT(Insights!$C$3, 4)), E2553, "")</f>
        <v>#VALUE!</v>
      </c>
      <c r="H2553" s="26" t="e">
        <f t="shared" si="1"/>
        <v>#VALUE!</v>
      </c>
      <c r="I2553" s="1" t="e">
        <f t="shared" si="2"/>
        <v>#VALUE!</v>
      </c>
    </row>
    <row r="2554" spans="1:9" ht="15.75" customHeight="1">
      <c r="A2554" s="26"/>
      <c r="B2554" s="2"/>
      <c r="C2554" s="26"/>
      <c r="D2554" s="26"/>
      <c r="F2554" s="85" t="str">
        <f t="shared" si="0"/>
        <v/>
      </c>
      <c r="G2554" s="1" t="e">
        <f>IF(VALUE(F2554) = VALUE(RIGHT(Insights!$C$3, 4)), E2554, "")</f>
        <v>#VALUE!</v>
      </c>
      <c r="H2554" s="26" t="e">
        <f t="shared" si="1"/>
        <v>#VALUE!</v>
      </c>
      <c r="I2554" s="1" t="e">
        <f t="shared" si="2"/>
        <v>#VALUE!</v>
      </c>
    </row>
    <row r="2555" spans="1:9" ht="15.75" customHeight="1">
      <c r="A2555" s="26"/>
      <c r="B2555" s="2"/>
      <c r="C2555" s="26"/>
      <c r="D2555" s="26"/>
      <c r="F2555" s="85" t="str">
        <f t="shared" si="0"/>
        <v/>
      </c>
      <c r="G2555" s="1" t="e">
        <f>IF(VALUE(F2555) = VALUE(RIGHT(Insights!$C$3, 4)), E2555, "")</f>
        <v>#VALUE!</v>
      </c>
      <c r="H2555" s="26" t="e">
        <f t="shared" si="1"/>
        <v>#VALUE!</v>
      </c>
      <c r="I2555" s="1" t="e">
        <f t="shared" si="2"/>
        <v>#VALUE!</v>
      </c>
    </row>
    <row r="2556" spans="1:9" ht="15.75" customHeight="1">
      <c r="A2556" s="26"/>
      <c r="B2556" s="2"/>
      <c r="C2556" s="26"/>
      <c r="D2556" s="26"/>
      <c r="F2556" s="85" t="str">
        <f t="shared" si="0"/>
        <v/>
      </c>
      <c r="G2556" s="1" t="e">
        <f>IF(VALUE(F2556) = VALUE(RIGHT(Insights!$C$3, 4)), E2556, "")</f>
        <v>#VALUE!</v>
      </c>
      <c r="H2556" s="26" t="e">
        <f t="shared" si="1"/>
        <v>#VALUE!</v>
      </c>
      <c r="I2556" s="1" t="e">
        <f t="shared" si="2"/>
        <v>#VALUE!</v>
      </c>
    </row>
    <row r="2557" spans="1:9" ht="15.75" customHeight="1">
      <c r="A2557" s="26"/>
      <c r="B2557" s="2"/>
      <c r="C2557" s="26"/>
      <c r="D2557" s="26"/>
      <c r="F2557" s="85" t="str">
        <f t="shared" si="0"/>
        <v/>
      </c>
      <c r="G2557" s="1" t="e">
        <f>IF(VALUE(F2557) = VALUE(RIGHT(Insights!$C$3, 4)), E2557, "")</f>
        <v>#VALUE!</v>
      </c>
      <c r="H2557" s="26" t="e">
        <f t="shared" si="1"/>
        <v>#VALUE!</v>
      </c>
      <c r="I2557" s="1" t="e">
        <f t="shared" si="2"/>
        <v>#VALUE!</v>
      </c>
    </row>
    <row r="2558" spans="1:9" ht="15.75" customHeight="1">
      <c r="A2558" s="26"/>
      <c r="B2558" s="2"/>
      <c r="C2558" s="26"/>
      <c r="D2558" s="26"/>
      <c r="F2558" s="85" t="str">
        <f t="shared" si="0"/>
        <v/>
      </c>
      <c r="G2558" s="1" t="e">
        <f>IF(VALUE(F2558) = VALUE(RIGHT(Insights!$C$3, 4)), E2558, "")</f>
        <v>#VALUE!</v>
      </c>
      <c r="H2558" s="26" t="e">
        <f t="shared" si="1"/>
        <v>#VALUE!</v>
      </c>
      <c r="I2558" s="1" t="e">
        <f t="shared" si="2"/>
        <v>#VALUE!</v>
      </c>
    </row>
    <row r="2559" spans="1:9" ht="15.75" customHeight="1">
      <c r="A2559" s="26"/>
      <c r="B2559" s="2"/>
      <c r="C2559" s="26"/>
      <c r="D2559" s="26"/>
      <c r="F2559" s="85" t="str">
        <f t="shared" si="0"/>
        <v/>
      </c>
      <c r="G2559" s="1" t="e">
        <f>IF(VALUE(F2559) = VALUE(RIGHT(Insights!$C$3, 4)), E2559, "")</f>
        <v>#VALUE!</v>
      </c>
      <c r="H2559" s="26" t="e">
        <f t="shared" si="1"/>
        <v>#VALUE!</v>
      </c>
      <c r="I2559" s="1" t="e">
        <f t="shared" si="2"/>
        <v>#VALUE!</v>
      </c>
    </row>
    <row r="2560" spans="1:9" ht="15.75" customHeight="1">
      <c r="A2560" s="26"/>
      <c r="B2560" s="2"/>
      <c r="C2560" s="26"/>
      <c r="D2560" s="26"/>
      <c r="F2560" s="85" t="str">
        <f t="shared" si="0"/>
        <v/>
      </c>
      <c r="G2560" s="1" t="e">
        <f>IF(VALUE(F2560) = VALUE(RIGHT(Insights!$C$3, 4)), E2560, "")</f>
        <v>#VALUE!</v>
      </c>
      <c r="H2560" s="26" t="e">
        <f t="shared" si="1"/>
        <v>#VALUE!</v>
      </c>
      <c r="I2560" s="1" t="e">
        <f t="shared" si="2"/>
        <v>#VALUE!</v>
      </c>
    </row>
    <row r="2561" spans="1:9" ht="15.75" customHeight="1">
      <c r="A2561" s="26"/>
      <c r="B2561" s="2"/>
      <c r="C2561" s="26"/>
      <c r="D2561" s="26"/>
      <c r="F2561" s="85" t="str">
        <f t="shared" si="0"/>
        <v/>
      </c>
      <c r="G2561" s="1" t="e">
        <f>IF(VALUE(F2561) = VALUE(RIGHT(Insights!$C$3, 4)), E2561, "")</f>
        <v>#VALUE!</v>
      </c>
      <c r="H2561" s="26" t="e">
        <f t="shared" si="1"/>
        <v>#VALUE!</v>
      </c>
      <c r="I2561" s="1" t="e">
        <f t="shared" si="2"/>
        <v>#VALUE!</v>
      </c>
    </row>
    <row r="2562" spans="1:9" ht="15.75" customHeight="1">
      <c r="A2562" s="26"/>
      <c r="B2562" s="2"/>
      <c r="C2562" s="26"/>
      <c r="D2562" s="26"/>
      <c r="F2562" s="85" t="str">
        <f t="shared" si="0"/>
        <v/>
      </c>
      <c r="G2562" s="1" t="e">
        <f>IF(VALUE(F2562) = VALUE(RIGHT(Insights!$C$3, 4)), E2562, "")</f>
        <v>#VALUE!</v>
      </c>
      <c r="H2562" s="26" t="e">
        <f t="shared" si="1"/>
        <v>#VALUE!</v>
      </c>
      <c r="I2562" s="1" t="e">
        <f t="shared" si="2"/>
        <v>#VALUE!</v>
      </c>
    </row>
    <row r="2563" spans="1:9" ht="15.75" customHeight="1">
      <c r="A2563" s="26"/>
      <c r="B2563" s="2"/>
      <c r="C2563" s="26"/>
      <c r="D2563" s="26"/>
      <c r="F2563" s="85" t="str">
        <f t="shared" si="0"/>
        <v/>
      </c>
      <c r="G2563" s="1" t="e">
        <f>IF(VALUE(F2563) = VALUE(RIGHT(Insights!$C$3, 4)), E2563, "")</f>
        <v>#VALUE!</v>
      </c>
      <c r="H2563" s="26" t="e">
        <f t="shared" si="1"/>
        <v>#VALUE!</v>
      </c>
      <c r="I2563" s="1" t="e">
        <f t="shared" si="2"/>
        <v>#VALUE!</v>
      </c>
    </row>
    <row r="2564" spans="1:9" ht="15.75" customHeight="1">
      <c r="A2564" s="26"/>
      <c r="B2564" s="2"/>
      <c r="C2564" s="26"/>
      <c r="D2564" s="26"/>
      <c r="F2564" s="85" t="str">
        <f t="shared" si="0"/>
        <v/>
      </c>
      <c r="G2564" s="1" t="e">
        <f>IF(VALUE(F2564) = VALUE(RIGHT(Insights!$C$3, 4)), E2564, "")</f>
        <v>#VALUE!</v>
      </c>
      <c r="H2564" s="26" t="e">
        <f t="shared" si="1"/>
        <v>#VALUE!</v>
      </c>
      <c r="I2564" s="1" t="e">
        <f t="shared" si="2"/>
        <v>#VALUE!</v>
      </c>
    </row>
    <row r="2565" spans="1:9" ht="15.75" customHeight="1">
      <c r="A2565" s="26"/>
      <c r="B2565" s="2"/>
      <c r="C2565" s="26"/>
      <c r="D2565" s="26"/>
      <c r="F2565" s="85" t="str">
        <f t="shared" si="0"/>
        <v/>
      </c>
      <c r="G2565" s="1" t="e">
        <f>IF(VALUE(F2565) = VALUE(RIGHT(Insights!$C$3, 4)), E2565, "")</f>
        <v>#VALUE!</v>
      </c>
      <c r="H2565" s="26" t="e">
        <f t="shared" si="1"/>
        <v>#VALUE!</v>
      </c>
      <c r="I2565" s="1" t="e">
        <f t="shared" si="2"/>
        <v>#VALUE!</v>
      </c>
    </row>
    <row r="2566" spans="1:9" ht="15.75" customHeight="1">
      <c r="A2566" s="26"/>
      <c r="B2566" s="2"/>
      <c r="C2566" s="26"/>
      <c r="D2566" s="26"/>
      <c r="F2566" s="85" t="str">
        <f t="shared" si="0"/>
        <v/>
      </c>
      <c r="G2566" s="1" t="e">
        <f>IF(VALUE(F2566) = VALUE(RIGHT(Insights!$C$3, 4)), E2566, "")</f>
        <v>#VALUE!</v>
      </c>
      <c r="H2566" s="26" t="e">
        <f t="shared" si="1"/>
        <v>#VALUE!</v>
      </c>
      <c r="I2566" s="1" t="e">
        <f t="shared" si="2"/>
        <v>#VALUE!</v>
      </c>
    </row>
    <row r="2567" spans="1:9" ht="15.75" customHeight="1">
      <c r="A2567" s="26"/>
      <c r="B2567" s="2"/>
      <c r="C2567" s="26"/>
      <c r="D2567" s="26"/>
      <c r="F2567" s="85" t="str">
        <f t="shared" si="0"/>
        <v/>
      </c>
      <c r="G2567" s="1" t="e">
        <f>IF(VALUE(F2567) = VALUE(RIGHT(Insights!$C$3, 4)), E2567, "")</f>
        <v>#VALUE!</v>
      </c>
      <c r="H2567" s="26" t="e">
        <f t="shared" si="1"/>
        <v>#VALUE!</v>
      </c>
      <c r="I2567" s="1" t="e">
        <f t="shared" si="2"/>
        <v>#VALUE!</v>
      </c>
    </row>
    <row r="2568" spans="1:9" ht="15.75" customHeight="1">
      <c r="A2568" s="26"/>
      <c r="B2568" s="2"/>
      <c r="C2568" s="26"/>
      <c r="D2568" s="26"/>
      <c r="F2568" s="85" t="str">
        <f t="shared" si="0"/>
        <v/>
      </c>
      <c r="G2568" s="1" t="e">
        <f>IF(VALUE(F2568) = VALUE(RIGHT(Insights!$C$3, 4)), E2568, "")</f>
        <v>#VALUE!</v>
      </c>
      <c r="H2568" s="26" t="e">
        <f t="shared" si="1"/>
        <v>#VALUE!</v>
      </c>
      <c r="I2568" s="1" t="e">
        <f t="shared" si="2"/>
        <v>#VALUE!</v>
      </c>
    </row>
    <row r="2569" spans="1:9" ht="15.75" customHeight="1">
      <c r="A2569" s="26"/>
      <c r="B2569" s="2"/>
      <c r="C2569" s="26"/>
      <c r="D2569" s="26"/>
      <c r="F2569" s="85" t="str">
        <f t="shared" si="0"/>
        <v/>
      </c>
      <c r="G2569" s="1" t="e">
        <f>IF(VALUE(F2569) = VALUE(RIGHT(Insights!$C$3, 4)), E2569, "")</f>
        <v>#VALUE!</v>
      </c>
      <c r="H2569" s="26" t="e">
        <f t="shared" si="1"/>
        <v>#VALUE!</v>
      </c>
      <c r="I2569" s="1" t="e">
        <f t="shared" si="2"/>
        <v>#VALUE!</v>
      </c>
    </row>
    <row r="2570" spans="1:9" ht="15.75" customHeight="1">
      <c r="A2570" s="26"/>
      <c r="B2570" s="2"/>
      <c r="C2570" s="26"/>
      <c r="D2570" s="26"/>
      <c r="F2570" s="85" t="str">
        <f t="shared" si="0"/>
        <v/>
      </c>
      <c r="G2570" s="1" t="e">
        <f>IF(VALUE(F2570) = VALUE(RIGHT(Insights!$C$3, 4)), E2570, "")</f>
        <v>#VALUE!</v>
      </c>
      <c r="H2570" s="26" t="e">
        <f t="shared" si="1"/>
        <v>#VALUE!</v>
      </c>
      <c r="I2570" s="1" t="e">
        <f t="shared" si="2"/>
        <v>#VALUE!</v>
      </c>
    </row>
    <row r="2571" spans="1:9" ht="15.75" customHeight="1">
      <c r="A2571" s="26"/>
      <c r="B2571" s="2"/>
      <c r="C2571" s="26"/>
      <c r="D2571" s="26"/>
      <c r="F2571" s="85" t="str">
        <f t="shared" si="0"/>
        <v/>
      </c>
      <c r="G2571" s="1" t="e">
        <f>IF(VALUE(F2571) = VALUE(RIGHT(Insights!$C$3, 4)), E2571, "")</f>
        <v>#VALUE!</v>
      </c>
      <c r="H2571" s="26" t="e">
        <f t="shared" si="1"/>
        <v>#VALUE!</v>
      </c>
      <c r="I2571" s="1" t="e">
        <f t="shared" si="2"/>
        <v>#VALUE!</v>
      </c>
    </row>
    <row r="2572" spans="1:9" ht="15.75" customHeight="1">
      <c r="A2572" s="26"/>
      <c r="B2572" s="2"/>
      <c r="C2572" s="26"/>
      <c r="D2572" s="26"/>
      <c r="F2572" s="85" t="str">
        <f t="shared" si="0"/>
        <v/>
      </c>
      <c r="G2572" s="1" t="e">
        <f>IF(VALUE(F2572) = VALUE(RIGHT(Insights!$C$3, 4)), E2572, "")</f>
        <v>#VALUE!</v>
      </c>
      <c r="H2572" s="26" t="e">
        <f t="shared" si="1"/>
        <v>#VALUE!</v>
      </c>
      <c r="I2572" s="1" t="e">
        <f t="shared" si="2"/>
        <v>#VALUE!</v>
      </c>
    </row>
    <row r="2573" spans="1:9" ht="15.75" customHeight="1">
      <c r="A2573" s="26"/>
      <c r="B2573" s="2"/>
      <c r="C2573" s="26"/>
      <c r="D2573" s="26"/>
      <c r="F2573" s="85" t="str">
        <f t="shared" si="0"/>
        <v/>
      </c>
      <c r="G2573" s="1" t="e">
        <f>IF(VALUE(F2573) = VALUE(RIGHT(Insights!$C$3, 4)), E2573, "")</f>
        <v>#VALUE!</v>
      </c>
      <c r="H2573" s="26" t="e">
        <f t="shared" si="1"/>
        <v>#VALUE!</v>
      </c>
      <c r="I2573" s="1" t="e">
        <f t="shared" si="2"/>
        <v>#VALUE!</v>
      </c>
    </row>
    <row r="2574" spans="1:9" ht="15.75" customHeight="1">
      <c r="A2574" s="26"/>
      <c r="B2574" s="2"/>
      <c r="C2574" s="26"/>
      <c r="D2574" s="26"/>
      <c r="F2574" s="85" t="str">
        <f t="shared" si="0"/>
        <v/>
      </c>
      <c r="G2574" s="1" t="e">
        <f>IF(VALUE(F2574) = VALUE(RIGHT(Insights!$C$3, 4)), E2574, "")</f>
        <v>#VALUE!</v>
      </c>
      <c r="H2574" s="26" t="e">
        <f t="shared" si="1"/>
        <v>#VALUE!</v>
      </c>
      <c r="I2574" s="1" t="e">
        <f t="shared" si="2"/>
        <v>#VALUE!</v>
      </c>
    </row>
    <row r="2575" spans="1:9" ht="15.75" customHeight="1">
      <c r="A2575" s="26"/>
      <c r="B2575" s="2"/>
      <c r="C2575" s="26"/>
      <c r="D2575" s="26"/>
      <c r="F2575" s="85" t="str">
        <f t="shared" si="0"/>
        <v/>
      </c>
      <c r="G2575" s="1" t="e">
        <f>IF(VALUE(F2575) = VALUE(RIGHT(Insights!$C$3, 4)), E2575, "")</f>
        <v>#VALUE!</v>
      </c>
      <c r="H2575" s="26" t="e">
        <f t="shared" si="1"/>
        <v>#VALUE!</v>
      </c>
      <c r="I2575" s="1" t="e">
        <f t="shared" si="2"/>
        <v>#VALUE!</v>
      </c>
    </row>
    <row r="2576" spans="1:9" ht="15.75" customHeight="1">
      <c r="A2576" s="26"/>
      <c r="B2576" s="2"/>
      <c r="C2576" s="26"/>
      <c r="D2576" s="26"/>
      <c r="F2576" s="85" t="str">
        <f t="shared" si="0"/>
        <v/>
      </c>
      <c r="G2576" s="1" t="e">
        <f>IF(VALUE(F2576) = VALUE(RIGHT(Insights!$C$3, 4)), E2576, "")</f>
        <v>#VALUE!</v>
      </c>
      <c r="H2576" s="26" t="e">
        <f t="shared" si="1"/>
        <v>#VALUE!</v>
      </c>
      <c r="I2576" s="1" t="e">
        <f t="shared" si="2"/>
        <v>#VALUE!</v>
      </c>
    </row>
    <row r="2577" spans="1:9" ht="15.75" customHeight="1">
      <c r="A2577" s="26"/>
      <c r="B2577" s="2"/>
      <c r="C2577" s="26"/>
      <c r="D2577" s="26"/>
      <c r="F2577" s="85" t="str">
        <f t="shared" si="0"/>
        <v/>
      </c>
      <c r="G2577" s="1" t="e">
        <f>IF(VALUE(F2577) = VALUE(RIGHT(Insights!$C$3, 4)), E2577, "")</f>
        <v>#VALUE!</v>
      </c>
      <c r="H2577" s="26" t="e">
        <f t="shared" si="1"/>
        <v>#VALUE!</v>
      </c>
      <c r="I2577" s="1" t="e">
        <f t="shared" si="2"/>
        <v>#VALUE!</v>
      </c>
    </row>
    <row r="2578" spans="1:9" ht="15.75" customHeight="1">
      <c r="A2578" s="26"/>
      <c r="B2578" s="2"/>
      <c r="C2578" s="26"/>
      <c r="D2578" s="26"/>
      <c r="F2578" s="85" t="str">
        <f t="shared" si="0"/>
        <v/>
      </c>
      <c r="G2578" s="1" t="e">
        <f>IF(VALUE(F2578) = VALUE(RIGHT(Insights!$C$3, 4)), E2578, "")</f>
        <v>#VALUE!</v>
      </c>
      <c r="H2578" s="26" t="e">
        <f t="shared" si="1"/>
        <v>#VALUE!</v>
      </c>
      <c r="I2578" s="1" t="e">
        <f t="shared" si="2"/>
        <v>#VALUE!</v>
      </c>
    </row>
    <row r="2579" spans="1:9" ht="15.75" customHeight="1">
      <c r="A2579" s="26"/>
      <c r="B2579" s="2"/>
      <c r="C2579" s="26"/>
      <c r="D2579" s="26"/>
      <c r="F2579" s="85" t="str">
        <f t="shared" si="0"/>
        <v/>
      </c>
      <c r="G2579" s="1" t="e">
        <f>IF(VALUE(F2579) = VALUE(RIGHT(Insights!$C$3, 4)), E2579, "")</f>
        <v>#VALUE!</v>
      </c>
      <c r="H2579" s="26" t="e">
        <f t="shared" si="1"/>
        <v>#VALUE!</v>
      </c>
      <c r="I2579" s="1" t="e">
        <f t="shared" si="2"/>
        <v>#VALUE!</v>
      </c>
    </row>
    <row r="2580" spans="1:9" ht="15.75" customHeight="1">
      <c r="A2580" s="26"/>
      <c r="B2580" s="2"/>
      <c r="C2580" s="26"/>
      <c r="D2580" s="26"/>
      <c r="F2580" s="85" t="str">
        <f t="shared" si="0"/>
        <v/>
      </c>
      <c r="G2580" s="1" t="e">
        <f>IF(VALUE(F2580) = VALUE(RIGHT(Insights!$C$3, 4)), E2580, "")</f>
        <v>#VALUE!</v>
      </c>
      <c r="H2580" s="26" t="e">
        <f t="shared" si="1"/>
        <v>#VALUE!</v>
      </c>
      <c r="I2580" s="1" t="e">
        <f t="shared" si="2"/>
        <v>#VALUE!</v>
      </c>
    </row>
    <row r="2581" spans="1:9" ht="15.75" customHeight="1">
      <c r="A2581" s="26"/>
      <c r="B2581" s="2"/>
      <c r="C2581" s="26"/>
      <c r="D2581" s="26"/>
      <c r="F2581" s="85" t="str">
        <f t="shared" si="0"/>
        <v/>
      </c>
      <c r="G2581" s="1" t="e">
        <f>IF(VALUE(F2581) = VALUE(RIGHT(Insights!$C$3, 4)), E2581, "")</f>
        <v>#VALUE!</v>
      </c>
      <c r="H2581" s="26" t="e">
        <f t="shared" si="1"/>
        <v>#VALUE!</v>
      </c>
      <c r="I2581" s="1" t="e">
        <f t="shared" si="2"/>
        <v>#VALUE!</v>
      </c>
    </row>
    <row r="2582" spans="1:9" ht="15.75" customHeight="1">
      <c r="A2582" s="26"/>
      <c r="B2582" s="2"/>
      <c r="C2582" s="26"/>
      <c r="D2582" s="26"/>
      <c r="F2582" s="85" t="str">
        <f t="shared" si="0"/>
        <v/>
      </c>
      <c r="G2582" s="1" t="e">
        <f>IF(VALUE(F2582) = VALUE(RIGHT(Insights!$C$3, 4)), E2582, "")</f>
        <v>#VALUE!</v>
      </c>
      <c r="H2582" s="26" t="e">
        <f t="shared" si="1"/>
        <v>#VALUE!</v>
      </c>
      <c r="I2582" s="1" t="e">
        <f t="shared" si="2"/>
        <v>#VALUE!</v>
      </c>
    </row>
    <row r="2583" spans="1:9" ht="15.75" customHeight="1">
      <c r="A2583" s="26"/>
      <c r="B2583" s="2"/>
      <c r="C2583" s="26"/>
      <c r="D2583" s="26"/>
      <c r="F2583" s="85" t="str">
        <f t="shared" si="0"/>
        <v/>
      </c>
      <c r="G2583" s="1" t="e">
        <f>IF(VALUE(F2583) = VALUE(RIGHT(Insights!$C$3, 4)), E2583, "")</f>
        <v>#VALUE!</v>
      </c>
      <c r="H2583" s="26" t="e">
        <f t="shared" si="1"/>
        <v>#VALUE!</v>
      </c>
      <c r="I2583" s="1" t="e">
        <f t="shared" si="2"/>
        <v>#VALUE!</v>
      </c>
    </row>
    <row r="2584" spans="1:9" ht="15.75" customHeight="1">
      <c r="A2584" s="26"/>
      <c r="B2584" s="2"/>
      <c r="C2584" s="26"/>
      <c r="D2584" s="26"/>
      <c r="F2584" s="85" t="str">
        <f t="shared" si="0"/>
        <v/>
      </c>
      <c r="G2584" s="1" t="e">
        <f>IF(VALUE(F2584) = VALUE(RIGHT(Insights!$C$3, 4)), E2584, "")</f>
        <v>#VALUE!</v>
      </c>
      <c r="H2584" s="26" t="e">
        <f t="shared" si="1"/>
        <v>#VALUE!</v>
      </c>
      <c r="I2584" s="1" t="e">
        <f t="shared" si="2"/>
        <v>#VALUE!</v>
      </c>
    </row>
    <row r="2585" spans="1:9" ht="15.75" customHeight="1">
      <c r="A2585" s="26"/>
      <c r="B2585" s="2"/>
      <c r="C2585" s="26"/>
      <c r="D2585" s="26"/>
      <c r="F2585" s="85" t="str">
        <f t="shared" si="0"/>
        <v/>
      </c>
      <c r="G2585" s="1" t="e">
        <f>IF(VALUE(F2585) = VALUE(RIGHT(Insights!$C$3, 4)), E2585, "")</f>
        <v>#VALUE!</v>
      </c>
      <c r="H2585" s="26" t="e">
        <f t="shared" si="1"/>
        <v>#VALUE!</v>
      </c>
      <c r="I2585" s="1" t="e">
        <f t="shared" si="2"/>
        <v>#VALUE!</v>
      </c>
    </row>
    <row r="2586" spans="1:9" ht="15.75" customHeight="1">
      <c r="A2586" s="26"/>
      <c r="B2586" s="2"/>
      <c r="C2586" s="26"/>
      <c r="D2586" s="26"/>
      <c r="F2586" s="85" t="str">
        <f t="shared" si="0"/>
        <v/>
      </c>
      <c r="G2586" s="1" t="e">
        <f>IF(VALUE(F2586) = VALUE(RIGHT(Insights!$C$3, 4)), E2586, "")</f>
        <v>#VALUE!</v>
      </c>
      <c r="H2586" s="26" t="e">
        <f t="shared" si="1"/>
        <v>#VALUE!</v>
      </c>
      <c r="I2586" s="1" t="e">
        <f t="shared" si="2"/>
        <v>#VALUE!</v>
      </c>
    </row>
    <row r="2587" spans="1:9" ht="15.75" customHeight="1">
      <c r="A2587" s="26"/>
      <c r="B2587" s="2"/>
      <c r="C2587" s="26"/>
      <c r="D2587" s="26"/>
      <c r="F2587" s="85" t="str">
        <f t="shared" si="0"/>
        <v/>
      </c>
      <c r="G2587" s="1" t="e">
        <f>IF(VALUE(F2587) = VALUE(RIGHT(Insights!$C$3, 4)), E2587, "")</f>
        <v>#VALUE!</v>
      </c>
      <c r="H2587" s="26" t="e">
        <f t="shared" si="1"/>
        <v>#VALUE!</v>
      </c>
      <c r="I2587" s="1" t="e">
        <f t="shared" si="2"/>
        <v>#VALUE!</v>
      </c>
    </row>
    <row r="2588" spans="1:9" ht="15.75" customHeight="1">
      <c r="A2588" s="26"/>
      <c r="B2588" s="2"/>
      <c r="C2588" s="26"/>
      <c r="D2588" s="26"/>
      <c r="F2588" s="85" t="str">
        <f t="shared" si="0"/>
        <v/>
      </c>
      <c r="G2588" s="1" t="e">
        <f>IF(VALUE(F2588) = VALUE(RIGHT(Insights!$C$3, 4)), E2588, "")</f>
        <v>#VALUE!</v>
      </c>
      <c r="H2588" s="26" t="e">
        <f t="shared" si="1"/>
        <v>#VALUE!</v>
      </c>
      <c r="I2588" s="1" t="e">
        <f t="shared" si="2"/>
        <v>#VALUE!</v>
      </c>
    </row>
    <row r="2589" spans="1:9" ht="15.75" customHeight="1">
      <c r="A2589" s="26"/>
      <c r="B2589" s="2"/>
      <c r="C2589" s="26"/>
      <c r="D2589" s="26"/>
      <c r="F2589" s="85" t="str">
        <f t="shared" si="0"/>
        <v/>
      </c>
      <c r="G2589" s="1" t="e">
        <f>IF(VALUE(F2589) = VALUE(RIGHT(Insights!$C$3, 4)), E2589, "")</f>
        <v>#VALUE!</v>
      </c>
      <c r="H2589" s="26" t="e">
        <f t="shared" si="1"/>
        <v>#VALUE!</v>
      </c>
      <c r="I2589" s="1" t="e">
        <f t="shared" si="2"/>
        <v>#VALUE!</v>
      </c>
    </row>
    <row r="2590" spans="1:9" ht="15.75" customHeight="1">
      <c r="A2590" s="26"/>
      <c r="B2590" s="2"/>
      <c r="C2590" s="26"/>
      <c r="D2590" s="26"/>
      <c r="F2590" s="85" t="str">
        <f t="shared" si="0"/>
        <v/>
      </c>
      <c r="G2590" s="1" t="e">
        <f>IF(VALUE(F2590) = VALUE(RIGHT(Insights!$C$3, 4)), E2590, "")</f>
        <v>#VALUE!</v>
      </c>
      <c r="H2590" s="26" t="e">
        <f t="shared" si="1"/>
        <v>#VALUE!</v>
      </c>
      <c r="I2590" s="1" t="e">
        <f t="shared" si="2"/>
        <v>#VALUE!</v>
      </c>
    </row>
    <row r="2591" spans="1:9" ht="15.75" customHeight="1">
      <c r="A2591" s="26"/>
      <c r="B2591" s="2"/>
      <c r="C2591" s="26"/>
      <c r="D2591" s="26"/>
      <c r="F2591" s="85" t="str">
        <f t="shared" si="0"/>
        <v/>
      </c>
      <c r="G2591" s="1" t="e">
        <f>IF(VALUE(F2591) = VALUE(RIGHT(Insights!$C$3, 4)), E2591, "")</f>
        <v>#VALUE!</v>
      </c>
      <c r="H2591" s="26" t="e">
        <f t="shared" si="1"/>
        <v>#VALUE!</v>
      </c>
      <c r="I2591" s="1" t="e">
        <f t="shared" si="2"/>
        <v>#VALUE!</v>
      </c>
    </row>
    <row r="2592" spans="1:9" ht="15.75" customHeight="1">
      <c r="A2592" s="26"/>
      <c r="B2592" s="2"/>
      <c r="C2592" s="26"/>
      <c r="D2592" s="26"/>
      <c r="F2592" s="85" t="str">
        <f t="shared" si="0"/>
        <v/>
      </c>
      <c r="G2592" s="1" t="e">
        <f>IF(VALUE(F2592) = VALUE(RIGHT(Insights!$C$3, 4)), E2592, "")</f>
        <v>#VALUE!</v>
      </c>
      <c r="H2592" s="26" t="e">
        <f t="shared" si="1"/>
        <v>#VALUE!</v>
      </c>
      <c r="I2592" s="1" t="e">
        <f t="shared" si="2"/>
        <v>#VALUE!</v>
      </c>
    </row>
    <row r="2593" spans="1:9" ht="15.75" customHeight="1">
      <c r="A2593" s="26"/>
      <c r="B2593" s="2"/>
      <c r="C2593" s="26"/>
      <c r="D2593" s="26"/>
      <c r="F2593" s="85" t="str">
        <f t="shared" si="0"/>
        <v/>
      </c>
      <c r="G2593" s="1" t="e">
        <f>IF(VALUE(F2593) = VALUE(RIGHT(Insights!$C$3, 4)), E2593, "")</f>
        <v>#VALUE!</v>
      </c>
      <c r="H2593" s="26" t="e">
        <f t="shared" si="1"/>
        <v>#VALUE!</v>
      </c>
      <c r="I2593" s="1" t="e">
        <f t="shared" si="2"/>
        <v>#VALUE!</v>
      </c>
    </row>
    <row r="2594" spans="1:9" ht="15.75" customHeight="1">
      <c r="A2594" s="26"/>
      <c r="B2594" s="2"/>
      <c r="C2594" s="26"/>
      <c r="D2594" s="26"/>
      <c r="F2594" s="85" t="str">
        <f t="shared" si="0"/>
        <v/>
      </c>
      <c r="G2594" s="1" t="e">
        <f>IF(VALUE(F2594) = VALUE(RIGHT(Insights!$C$3, 4)), E2594, "")</f>
        <v>#VALUE!</v>
      </c>
      <c r="H2594" s="26" t="e">
        <f t="shared" si="1"/>
        <v>#VALUE!</v>
      </c>
      <c r="I2594" s="1" t="e">
        <f t="shared" si="2"/>
        <v>#VALUE!</v>
      </c>
    </row>
    <row r="2595" spans="1:9" ht="15.75" customHeight="1">
      <c r="A2595" s="26"/>
      <c r="B2595" s="2"/>
      <c r="C2595" s="26"/>
      <c r="D2595" s="26"/>
      <c r="F2595" s="85" t="str">
        <f t="shared" si="0"/>
        <v/>
      </c>
      <c r="G2595" s="1" t="e">
        <f>IF(VALUE(F2595) = VALUE(RIGHT(Insights!$C$3, 4)), E2595, "")</f>
        <v>#VALUE!</v>
      </c>
      <c r="H2595" s="26" t="e">
        <f t="shared" si="1"/>
        <v>#VALUE!</v>
      </c>
      <c r="I2595" s="1" t="e">
        <f t="shared" si="2"/>
        <v>#VALUE!</v>
      </c>
    </row>
    <row r="2596" spans="1:9" ht="15.75" customHeight="1">
      <c r="A2596" s="26"/>
      <c r="B2596" s="2"/>
      <c r="C2596" s="26"/>
      <c r="D2596" s="26"/>
      <c r="F2596" s="85" t="str">
        <f t="shared" si="0"/>
        <v/>
      </c>
      <c r="G2596" s="1" t="e">
        <f>IF(VALUE(F2596) = VALUE(RIGHT(Insights!$C$3, 4)), E2596, "")</f>
        <v>#VALUE!</v>
      </c>
      <c r="H2596" s="26" t="e">
        <f t="shared" si="1"/>
        <v>#VALUE!</v>
      </c>
      <c r="I2596" s="1" t="e">
        <f t="shared" si="2"/>
        <v>#VALUE!</v>
      </c>
    </row>
    <row r="2597" spans="1:9" ht="15.75" customHeight="1">
      <c r="A2597" s="26"/>
      <c r="B2597" s="2"/>
      <c r="C2597" s="26"/>
      <c r="D2597" s="26"/>
      <c r="F2597" s="85" t="str">
        <f t="shared" si="0"/>
        <v/>
      </c>
      <c r="G2597" s="1" t="e">
        <f>IF(VALUE(F2597) = VALUE(RIGHT(Insights!$C$3, 4)), E2597, "")</f>
        <v>#VALUE!</v>
      </c>
      <c r="H2597" s="26" t="e">
        <f t="shared" si="1"/>
        <v>#VALUE!</v>
      </c>
      <c r="I2597" s="1" t="e">
        <f t="shared" si="2"/>
        <v>#VALUE!</v>
      </c>
    </row>
    <row r="2598" spans="1:9" ht="15.75" customHeight="1">
      <c r="A2598" s="26"/>
      <c r="B2598" s="2"/>
      <c r="C2598" s="26"/>
      <c r="D2598" s="26"/>
      <c r="F2598" s="85" t="str">
        <f t="shared" si="0"/>
        <v/>
      </c>
      <c r="G2598" s="1" t="e">
        <f>IF(VALUE(F2598) = VALUE(RIGHT(Insights!$C$3, 4)), E2598, "")</f>
        <v>#VALUE!</v>
      </c>
      <c r="H2598" s="26" t="e">
        <f t="shared" si="1"/>
        <v>#VALUE!</v>
      </c>
      <c r="I2598" s="1" t="e">
        <f t="shared" si="2"/>
        <v>#VALUE!</v>
      </c>
    </row>
    <row r="2599" spans="1:9" ht="15.75" customHeight="1">
      <c r="A2599" s="26"/>
      <c r="B2599" s="2"/>
      <c r="C2599" s="26"/>
      <c r="D2599" s="26"/>
      <c r="F2599" s="85" t="str">
        <f t="shared" si="0"/>
        <v/>
      </c>
      <c r="G2599" s="1" t="e">
        <f>IF(VALUE(F2599) = VALUE(RIGHT(Insights!$C$3, 4)), E2599, "")</f>
        <v>#VALUE!</v>
      </c>
      <c r="H2599" s="26" t="e">
        <f t="shared" si="1"/>
        <v>#VALUE!</v>
      </c>
      <c r="I2599" s="1" t="e">
        <f t="shared" si="2"/>
        <v>#VALUE!</v>
      </c>
    </row>
    <row r="2600" spans="1:9" ht="15.75" customHeight="1">
      <c r="A2600" s="26"/>
      <c r="B2600" s="2"/>
      <c r="C2600" s="26"/>
      <c r="D2600" s="26"/>
      <c r="F2600" s="85" t="str">
        <f t="shared" si="0"/>
        <v/>
      </c>
      <c r="G2600" s="1" t="e">
        <f>IF(VALUE(F2600) = VALUE(RIGHT(Insights!$C$3, 4)), E2600, "")</f>
        <v>#VALUE!</v>
      </c>
      <c r="H2600" s="26" t="e">
        <f t="shared" si="1"/>
        <v>#VALUE!</v>
      </c>
      <c r="I2600" s="1" t="e">
        <f t="shared" si="2"/>
        <v>#VALUE!</v>
      </c>
    </row>
    <row r="2601" spans="1:9" ht="15.75" customHeight="1">
      <c r="A2601" s="26"/>
      <c r="B2601" s="2"/>
      <c r="C2601" s="26"/>
      <c r="D2601" s="26"/>
      <c r="F2601" s="85" t="str">
        <f t="shared" si="0"/>
        <v/>
      </c>
      <c r="G2601" s="1" t="e">
        <f>IF(VALUE(F2601) = VALUE(RIGHT(Insights!$C$3, 4)), E2601, "")</f>
        <v>#VALUE!</v>
      </c>
      <c r="H2601" s="26" t="e">
        <f t="shared" si="1"/>
        <v>#VALUE!</v>
      </c>
      <c r="I2601" s="1" t="e">
        <f t="shared" si="2"/>
        <v>#VALUE!</v>
      </c>
    </row>
    <row r="2602" spans="1:9" ht="15.75" customHeight="1">
      <c r="A2602" s="26"/>
      <c r="B2602" s="2"/>
      <c r="C2602" s="26"/>
      <c r="D2602" s="26"/>
      <c r="F2602" s="85" t="str">
        <f t="shared" si="0"/>
        <v/>
      </c>
      <c r="G2602" s="1" t="e">
        <f>IF(VALUE(F2602) = VALUE(RIGHT(Insights!$C$3, 4)), E2602, "")</f>
        <v>#VALUE!</v>
      </c>
      <c r="H2602" s="26" t="e">
        <f t="shared" si="1"/>
        <v>#VALUE!</v>
      </c>
      <c r="I2602" s="1" t="e">
        <f t="shared" si="2"/>
        <v>#VALUE!</v>
      </c>
    </row>
    <row r="2603" spans="1:9" ht="15.75" customHeight="1">
      <c r="A2603" s="26"/>
      <c r="B2603" s="2"/>
      <c r="C2603" s="26"/>
      <c r="D2603" s="26"/>
      <c r="F2603" s="85" t="str">
        <f t="shared" si="0"/>
        <v/>
      </c>
      <c r="G2603" s="1" t="e">
        <f>IF(VALUE(F2603) = VALUE(RIGHT(Insights!$C$3, 4)), E2603, "")</f>
        <v>#VALUE!</v>
      </c>
      <c r="H2603" s="26" t="e">
        <f t="shared" si="1"/>
        <v>#VALUE!</v>
      </c>
      <c r="I2603" s="1" t="e">
        <f t="shared" si="2"/>
        <v>#VALUE!</v>
      </c>
    </row>
    <row r="2604" spans="1:9" ht="15.75" customHeight="1">
      <c r="A2604" s="26"/>
      <c r="B2604" s="2"/>
      <c r="C2604" s="26"/>
      <c r="D2604" s="26"/>
      <c r="F2604" s="85" t="str">
        <f t="shared" si="0"/>
        <v/>
      </c>
      <c r="G2604" s="1" t="e">
        <f>IF(VALUE(F2604) = VALUE(RIGHT(Insights!$C$3, 4)), E2604, "")</f>
        <v>#VALUE!</v>
      </c>
      <c r="H2604" s="26" t="e">
        <f t="shared" si="1"/>
        <v>#VALUE!</v>
      </c>
      <c r="I2604" s="1" t="e">
        <f t="shared" si="2"/>
        <v>#VALUE!</v>
      </c>
    </row>
    <row r="2605" spans="1:9" ht="15.75" customHeight="1">
      <c r="A2605" s="26"/>
      <c r="B2605" s="2"/>
      <c r="C2605" s="26"/>
      <c r="D2605" s="26"/>
      <c r="F2605" s="85" t="str">
        <f t="shared" si="0"/>
        <v/>
      </c>
      <c r="G2605" s="1" t="e">
        <f>IF(VALUE(F2605) = VALUE(RIGHT(Insights!$C$3, 4)), E2605, "")</f>
        <v>#VALUE!</v>
      </c>
      <c r="H2605" s="26" t="e">
        <f t="shared" si="1"/>
        <v>#VALUE!</v>
      </c>
      <c r="I2605" s="1" t="e">
        <f t="shared" si="2"/>
        <v>#VALUE!</v>
      </c>
    </row>
    <row r="2606" spans="1:9" ht="15.75" customHeight="1">
      <c r="A2606" s="26"/>
      <c r="B2606" s="2"/>
      <c r="C2606" s="26"/>
      <c r="D2606" s="26"/>
      <c r="F2606" s="85" t="str">
        <f t="shared" si="0"/>
        <v/>
      </c>
      <c r="G2606" s="1" t="e">
        <f>IF(VALUE(F2606) = VALUE(RIGHT(Insights!$C$3, 4)), E2606, "")</f>
        <v>#VALUE!</v>
      </c>
      <c r="H2606" s="26" t="e">
        <f t="shared" si="1"/>
        <v>#VALUE!</v>
      </c>
      <c r="I2606" s="1" t="e">
        <f t="shared" si="2"/>
        <v>#VALUE!</v>
      </c>
    </row>
    <row r="2607" spans="1:9" ht="15.75" customHeight="1">
      <c r="A2607" s="26"/>
      <c r="B2607" s="2"/>
      <c r="C2607" s="26"/>
      <c r="D2607" s="26"/>
      <c r="F2607" s="85" t="str">
        <f t="shared" si="0"/>
        <v/>
      </c>
      <c r="G2607" s="1" t="e">
        <f>IF(VALUE(F2607) = VALUE(RIGHT(Insights!$C$3, 4)), E2607, "")</f>
        <v>#VALUE!</v>
      </c>
      <c r="H2607" s="26" t="e">
        <f t="shared" si="1"/>
        <v>#VALUE!</v>
      </c>
      <c r="I2607" s="1" t="e">
        <f t="shared" si="2"/>
        <v>#VALUE!</v>
      </c>
    </row>
    <row r="2608" spans="1:9" ht="15.75" customHeight="1">
      <c r="A2608" s="26"/>
      <c r="B2608" s="2"/>
      <c r="C2608" s="26"/>
      <c r="D2608" s="26"/>
      <c r="F2608" s="85" t="str">
        <f t="shared" si="0"/>
        <v/>
      </c>
      <c r="G2608" s="1" t="e">
        <f>IF(VALUE(F2608) = VALUE(RIGHT(Insights!$C$3, 4)), E2608, "")</f>
        <v>#VALUE!</v>
      </c>
      <c r="H2608" s="26" t="e">
        <f t="shared" si="1"/>
        <v>#VALUE!</v>
      </c>
      <c r="I2608" s="1" t="e">
        <f t="shared" si="2"/>
        <v>#VALUE!</v>
      </c>
    </row>
    <row r="2609" spans="1:9" ht="15.75" customHeight="1">
      <c r="A2609" s="26"/>
      <c r="B2609" s="2"/>
      <c r="C2609" s="26"/>
      <c r="D2609" s="26"/>
      <c r="F2609" s="85" t="str">
        <f t="shared" si="0"/>
        <v/>
      </c>
      <c r="G2609" s="1" t="e">
        <f>IF(VALUE(F2609) = VALUE(RIGHT(Insights!$C$3, 4)), E2609, "")</f>
        <v>#VALUE!</v>
      </c>
      <c r="H2609" s="26" t="e">
        <f t="shared" si="1"/>
        <v>#VALUE!</v>
      </c>
      <c r="I2609" s="1" t="e">
        <f t="shared" si="2"/>
        <v>#VALUE!</v>
      </c>
    </row>
    <row r="2610" spans="1:9" ht="15.75" customHeight="1">
      <c r="A2610" s="26"/>
      <c r="B2610" s="2"/>
      <c r="C2610" s="26"/>
      <c r="D2610" s="26"/>
      <c r="F2610" s="85" t="str">
        <f t="shared" si="0"/>
        <v/>
      </c>
      <c r="G2610" s="1" t="e">
        <f>IF(VALUE(F2610) = VALUE(RIGHT(Insights!$C$3, 4)), E2610, "")</f>
        <v>#VALUE!</v>
      </c>
      <c r="H2610" s="26" t="e">
        <f t="shared" si="1"/>
        <v>#VALUE!</v>
      </c>
      <c r="I2610" s="1" t="e">
        <f t="shared" si="2"/>
        <v>#VALUE!</v>
      </c>
    </row>
    <row r="2611" spans="1:9" ht="15.75" customHeight="1">
      <c r="A2611" s="26"/>
      <c r="B2611" s="2"/>
      <c r="C2611" s="26"/>
      <c r="D2611" s="26"/>
      <c r="F2611" s="85" t="str">
        <f t="shared" si="0"/>
        <v/>
      </c>
      <c r="G2611" s="1" t="e">
        <f>IF(VALUE(F2611) = VALUE(RIGHT(Insights!$C$3, 4)), E2611, "")</f>
        <v>#VALUE!</v>
      </c>
      <c r="H2611" s="26" t="e">
        <f t="shared" si="1"/>
        <v>#VALUE!</v>
      </c>
      <c r="I2611" s="1" t="e">
        <f t="shared" si="2"/>
        <v>#VALUE!</v>
      </c>
    </row>
    <row r="2612" spans="1:9" ht="15.75" customHeight="1">
      <c r="A2612" s="26"/>
      <c r="B2612" s="2"/>
      <c r="C2612" s="26"/>
      <c r="D2612" s="26"/>
      <c r="F2612" s="85" t="str">
        <f t="shared" si="0"/>
        <v/>
      </c>
      <c r="G2612" s="1" t="e">
        <f>IF(VALUE(F2612) = VALUE(RIGHT(Insights!$C$3, 4)), E2612, "")</f>
        <v>#VALUE!</v>
      </c>
      <c r="H2612" s="26" t="e">
        <f t="shared" si="1"/>
        <v>#VALUE!</v>
      </c>
      <c r="I2612" s="1" t="e">
        <f t="shared" si="2"/>
        <v>#VALUE!</v>
      </c>
    </row>
    <row r="2613" spans="1:9" ht="15.75" customHeight="1">
      <c r="A2613" s="26"/>
      <c r="B2613" s="2"/>
      <c r="C2613" s="26"/>
      <c r="D2613" s="26"/>
      <c r="F2613" s="85" t="str">
        <f t="shared" si="0"/>
        <v/>
      </c>
      <c r="G2613" s="1" t="e">
        <f>IF(VALUE(F2613) = VALUE(RIGHT(Insights!$C$3, 4)), E2613, "")</f>
        <v>#VALUE!</v>
      </c>
      <c r="H2613" s="26" t="e">
        <f t="shared" si="1"/>
        <v>#VALUE!</v>
      </c>
      <c r="I2613" s="1" t="e">
        <f t="shared" si="2"/>
        <v>#VALUE!</v>
      </c>
    </row>
    <row r="2614" spans="1:9" ht="15.75" customHeight="1">
      <c r="A2614" s="26"/>
      <c r="B2614" s="2"/>
      <c r="C2614" s="26"/>
      <c r="D2614" s="26"/>
      <c r="F2614" s="85" t="str">
        <f t="shared" si="0"/>
        <v/>
      </c>
      <c r="G2614" s="1" t="e">
        <f>IF(VALUE(F2614) = VALUE(RIGHT(Insights!$C$3, 4)), E2614, "")</f>
        <v>#VALUE!</v>
      </c>
      <c r="H2614" s="26" t="e">
        <f t="shared" si="1"/>
        <v>#VALUE!</v>
      </c>
      <c r="I2614" s="1" t="e">
        <f t="shared" si="2"/>
        <v>#VALUE!</v>
      </c>
    </row>
    <row r="2615" spans="1:9" ht="15.75" customHeight="1">
      <c r="A2615" s="26"/>
      <c r="B2615" s="2"/>
      <c r="C2615" s="26"/>
      <c r="D2615" s="26"/>
      <c r="F2615" s="85" t="str">
        <f t="shared" si="0"/>
        <v/>
      </c>
      <c r="G2615" s="1" t="e">
        <f>IF(VALUE(F2615) = VALUE(RIGHT(Insights!$C$3, 4)), E2615, "")</f>
        <v>#VALUE!</v>
      </c>
      <c r="H2615" s="26" t="e">
        <f t="shared" si="1"/>
        <v>#VALUE!</v>
      </c>
      <c r="I2615" s="1" t="e">
        <f t="shared" si="2"/>
        <v>#VALUE!</v>
      </c>
    </row>
    <row r="2616" spans="1:9" ht="15.75" customHeight="1">
      <c r="A2616" s="26"/>
      <c r="B2616" s="2"/>
      <c r="C2616" s="26"/>
      <c r="D2616" s="26"/>
      <c r="F2616" s="85" t="str">
        <f t="shared" si="0"/>
        <v/>
      </c>
      <c r="G2616" s="1" t="e">
        <f>IF(VALUE(F2616) = VALUE(RIGHT(Insights!$C$3, 4)), E2616, "")</f>
        <v>#VALUE!</v>
      </c>
      <c r="H2616" s="26" t="e">
        <f t="shared" si="1"/>
        <v>#VALUE!</v>
      </c>
      <c r="I2616" s="1" t="e">
        <f t="shared" si="2"/>
        <v>#VALUE!</v>
      </c>
    </row>
    <row r="2617" spans="1:9" ht="15.75" customHeight="1">
      <c r="A2617" s="26"/>
      <c r="B2617" s="2"/>
      <c r="C2617" s="26"/>
      <c r="D2617" s="26"/>
      <c r="F2617" s="85" t="str">
        <f t="shared" si="0"/>
        <v/>
      </c>
      <c r="G2617" s="1" t="e">
        <f>IF(VALUE(F2617) = VALUE(RIGHT(Insights!$C$3, 4)), E2617, "")</f>
        <v>#VALUE!</v>
      </c>
      <c r="H2617" s="26" t="e">
        <f t="shared" si="1"/>
        <v>#VALUE!</v>
      </c>
      <c r="I2617" s="1" t="e">
        <f t="shared" si="2"/>
        <v>#VALUE!</v>
      </c>
    </row>
    <row r="2618" spans="1:9" ht="15.75" customHeight="1">
      <c r="A2618" s="26"/>
      <c r="B2618" s="2"/>
      <c r="C2618" s="26"/>
      <c r="D2618" s="26"/>
      <c r="F2618" s="85" t="str">
        <f t="shared" si="0"/>
        <v/>
      </c>
      <c r="G2618" s="1" t="e">
        <f>IF(VALUE(F2618) = VALUE(RIGHT(Insights!$C$3, 4)), E2618, "")</f>
        <v>#VALUE!</v>
      </c>
      <c r="H2618" s="26" t="e">
        <f t="shared" si="1"/>
        <v>#VALUE!</v>
      </c>
      <c r="I2618" s="1" t="e">
        <f t="shared" si="2"/>
        <v>#VALUE!</v>
      </c>
    </row>
    <row r="2619" spans="1:9" ht="15.75" customHeight="1">
      <c r="A2619" s="26"/>
      <c r="B2619" s="2"/>
      <c r="C2619" s="26"/>
      <c r="D2619" s="26"/>
      <c r="F2619" s="85" t="str">
        <f t="shared" si="0"/>
        <v/>
      </c>
      <c r="G2619" s="1" t="e">
        <f>IF(VALUE(F2619) = VALUE(RIGHT(Insights!$C$3, 4)), E2619, "")</f>
        <v>#VALUE!</v>
      </c>
      <c r="H2619" s="26" t="e">
        <f t="shared" si="1"/>
        <v>#VALUE!</v>
      </c>
      <c r="I2619" s="1" t="e">
        <f t="shared" si="2"/>
        <v>#VALUE!</v>
      </c>
    </row>
    <row r="2620" spans="1:9" ht="15.75" customHeight="1">
      <c r="A2620" s="26"/>
      <c r="B2620" s="2"/>
      <c r="C2620" s="26"/>
      <c r="D2620" s="26"/>
      <c r="F2620" s="85" t="str">
        <f t="shared" si="0"/>
        <v/>
      </c>
      <c r="G2620" s="1" t="e">
        <f>IF(VALUE(F2620) = VALUE(RIGHT(Insights!$C$3, 4)), E2620, "")</f>
        <v>#VALUE!</v>
      </c>
      <c r="H2620" s="26" t="e">
        <f t="shared" si="1"/>
        <v>#VALUE!</v>
      </c>
      <c r="I2620" s="1" t="e">
        <f t="shared" si="2"/>
        <v>#VALUE!</v>
      </c>
    </row>
    <row r="2621" spans="1:9" ht="15.75" customHeight="1">
      <c r="A2621" s="26"/>
      <c r="B2621" s="2"/>
      <c r="C2621" s="26"/>
      <c r="D2621" s="26"/>
      <c r="F2621" s="85" t="str">
        <f t="shared" si="0"/>
        <v/>
      </c>
      <c r="G2621" s="1" t="e">
        <f>IF(VALUE(F2621) = VALUE(RIGHT(Insights!$C$3, 4)), E2621, "")</f>
        <v>#VALUE!</v>
      </c>
      <c r="H2621" s="26" t="e">
        <f t="shared" si="1"/>
        <v>#VALUE!</v>
      </c>
      <c r="I2621" s="1" t="e">
        <f t="shared" si="2"/>
        <v>#VALUE!</v>
      </c>
    </row>
    <row r="2622" spans="1:9" ht="15.75" customHeight="1">
      <c r="A2622" s="26"/>
      <c r="B2622" s="2"/>
      <c r="C2622" s="26"/>
      <c r="D2622" s="26"/>
      <c r="F2622" s="85" t="str">
        <f t="shared" si="0"/>
        <v/>
      </c>
      <c r="G2622" s="1" t="e">
        <f>IF(VALUE(F2622) = VALUE(RIGHT(Insights!$C$3, 4)), E2622, "")</f>
        <v>#VALUE!</v>
      </c>
      <c r="H2622" s="26" t="e">
        <f t="shared" si="1"/>
        <v>#VALUE!</v>
      </c>
      <c r="I2622" s="1" t="e">
        <f t="shared" si="2"/>
        <v>#VALUE!</v>
      </c>
    </row>
    <row r="2623" spans="1:9" ht="15.75" customHeight="1">
      <c r="A2623" s="26"/>
      <c r="B2623" s="2"/>
      <c r="C2623" s="26"/>
      <c r="D2623" s="26"/>
      <c r="F2623" s="85" t="str">
        <f t="shared" si="0"/>
        <v/>
      </c>
      <c r="G2623" s="1" t="e">
        <f>IF(VALUE(F2623) = VALUE(RIGHT(Insights!$C$3, 4)), E2623, "")</f>
        <v>#VALUE!</v>
      </c>
      <c r="H2623" s="26" t="e">
        <f t="shared" si="1"/>
        <v>#VALUE!</v>
      </c>
      <c r="I2623" s="1" t="e">
        <f t="shared" si="2"/>
        <v>#VALUE!</v>
      </c>
    </row>
    <row r="2624" spans="1:9" ht="15.75" customHeight="1">
      <c r="A2624" s="26"/>
      <c r="B2624" s="2"/>
      <c r="C2624" s="26"/>
      <c r="D2624" s="26"/>
      <c r="F2624" s="85" t="str">
        <f t="shared" si="0"/>
        <v/>
      </c>
      <c r="G2624" s="1" t="e">
        <f>IF(VALUE(F2624) = VALUE(RIGHT(Insights!$C$3, 4)), E2624, "")</f>
        <v>#VALUE!</v>
      </c>
      <c r="H2624" s="26" t="e">
        <f t="shared" si="1"/>
        <v>#VALUE!</v>
      </c>
      <c r="I2624" s="1" t="e">
        <f t="shared" si="2"/>
        <v>#VALUE!</v>
      </c>
    </row>
    <row r="2625" spans="1:9" ht="15.75" customHeight="1">
      <c r="A2625" s="26"/>
      <c r="B2625" s="2"/>
      <c r="C2625" s="26"/>
      <c r="D2625" s="26"/>
      <c r="F2625" s="85" t="str">
        <f t="shared" si="0"/>
        <v/>
      </c>
      <c r="G2625" s="1" t="e">
        <f>IF(VALUE(F2625) = VALUE(RIGHT(Insights!$C$3, 4)), E2625, "")</f>
        <v>#VALUE!</v>
      </c>
      <c r="H2625" s="26" t="e">
        <f t="shared" si="1"/>
        <v>#VALUE!</v>
      </c>
      <c r="I2625" s="1" t="e">
        <f t="shared" si="2"/>
        <v>#VALUE!</v>
      </c>
    </row>
    <row r="2626" spans="1:9" ht="15.75" customHeight="1">
      <c r="A2626" s="26"/>
      <c r="B2626" s="2"/>
      <c r="C2626" s="26"/>
      <c r="D2626" s="26"/>
      <c r="F2626" s="85" t="str">
        <f t="shared" si="0"/>
        <v/>
      </c>
      <c r="G2626" s="1" t="e">
        <f>IF(VALUE(F2626) = VALUE(RIGHT(Insights!$C$3, 4)), E2626, "")</f>
        <v>#VALUE!</v>
      </c>
      <c r="H2626" s="26" t="e">
        <f t="shared" si="1"/>
        <v>#VALUE!</v>
      </c>
      <c r="I2626" s="1" t="e">
        <f t="shared" si="2"/>
        <v>#VALUE!</v>
      </c>
    </row>
    <row r="2627" spans="1:9" ht="15.75" customHeight="1">
      <c r="A2627" s="26"/>
      <c r="B2627" s="2"/>
      <c r="C2627" s="26"/>
      <c r="D2627" s="26"/>
      <c r="F2627" s="85" t="str">
        <f t="shared" si="0"/>
        <v/>
      </c>
      <c r="G2627" s="1" t="e">
        <f>IF(VALUE(F2627) = VALUE(RIGHT(Insights!$C$3, 4)), E2627, "")</f>
        <v>#VALUE!</v>
      </c>
      <c r="H2627" s="26" t="e">
        <f t="shared" si="1"/>
        <v>#VALUE!</v>
      </c>
      <c r="I2627" s="1" t="e">
        <f t="shared" si="2"/>
        <v>#VALUE!</v>
      </c>
    </row>
    <row r="2628" spans="1:9" ht="15.75" customHeight="1">
      <c r="A2628" s="26"/>
      <c r="B2628" s="2"/>
      <c r="C2628" s="26"/>
      <c r="D2628" s="26"/>
      <c r="F2628" s="85" t="str">
        <f t="shared" si="0"/>
        <v/>
      </c>
      <c r="G2628" s="1" t="e">
        <f>IF(VALUE(F2628) = VALUE(RIGHT(Insights!$C$3, 4)), E2628, "")</f>
        <v>#VALUE!</v>
      </c>
      <c r="H2628" s="26" t="e">
        <f t="shared" si="1"/>
        <v>#VALUE!</v>
      </c>
      <c r="I2628" s="1" t="e">
        <f t="shared" si="2"/>
        <v>#VALUE!</v>
      </c>
    </row>
    <row r="2629" spans="1:9" ht="15.75" customHeight="1">
      <c r="A2629" s="26"/>
      <c r="B2629" s="2"/>
      <c r="C2629" s="26"/>
      <c r="D2629" s="26"/>
      <c r="F2629" s="85" t="str">
        <f t="shared" si="0"/>
        <v/>
      </c>
      <c r="G2629" s="1" t="e">
        <f>IF(VALUE(F2629) = VALUE(RIGHT(Insights!$C$3, 4)), E2629, "")</f>
        <v>#VALUE!</v>
      </c>
      <c r="H2629" s="26" t="e">
        <f t="shared" si="1"/>
        <v>#VALUE!</v>
      </c>
      <c r="I2629" s="1" t="e">
        <f t="shared" si="2"/>
        <v>#VALUE!</v>
      </c>
    </row>
    <row r="2630" spans="1:9" ht="15.75" customHeight="1">
      <c r="A2630" s="26"/>
      <c r="B2630" s="2"/>
      <c r="C2630" s="26"/>
      <c r="D2630" s="26"/>
      <c r="F2630" s="85" t="str">
        <f t="shared" si="0"/>
        <v/>
      </c>
      <c r="G2630" s="1" t="e">
        <f>IF(VALUE(F2630) = VALUE(RIGHT(Insights!$C$3, 4)), E2630, "")</f>
        <v>#VALUE!</v>
      </c>
      <c r="H2630" s="26" t="e">
        <f t="shared" si="1"/>
        <v>#VALUE!</v>
      </c>
      <c r="I2630" s="1" t="e">
        <f t="shared" si="2"/>
        <v>#VALUE!</v>
      </c>
    </row>
    <row r="2631" spans="1:9" ht="15.75" customHeight="1">
      <c r="A2631" s="26"/>
      <c r="B2631" s="2"/>
      <c r="C2631" s="26"/>
      <c r="D2631" s="26"/>
      <c r="F2631" s="85" t="str">
        <f t="shared" si="0"/>
        <v/>
      </c>
      <c r="G2631" s="1" t="e">
        <f>IF(VALUE(F2631) = VALUE(RIGHT(Insights!$C$3, 4)), E2631, "")</f>
        <v>#VALUE!</v>
      </c>
      <c r="H2631" s="26" t="e">
        <f t="shared" si="1"/>
        <v>#VALUE!</v>
      </c>
      <c r="I2631" s="1" t="e">
        <f t="shared" si="2"/>
        <v>#VALUE!</v>
      </c>
    </row>
    <row r="2632" spans="1:9" ht="15.75" customHeight="1">
      <c r="A2632" s="26"/>
      <c r="B2632" s="2"/>
      <c r="C2632" s="26"/>
      <c r="D2632" s="26"/>
      <c r="F2632" s="85" t="str">
        <f t="shared" si="0"/>
        <v/>
      </c>
      <c r="G2632" s="1" t="e">
        <f>IF(VALUE(F2632) = VALUE(RIGHT(Insights!$C$3, 4)), E2632, "")</f>
        <v>#VALUE!</v>
      </c>
      <c r="H2632" s="26" t="e">
        <f t="shared" si="1"/>
        <v>#VALUE!</v>
      </c>
      <c r="I2632" s="1" t="e">
        <f t="shared" si="2"/>
        <v>#VALUE!</v>
      </c>
    </row>
    <row r="2633" spans="1:9" ht="15.75" customHeight="1">
      <c r="A2633" s="26"/>
      <c r="B2633" s="2"/>
      <c r="C2633" s="26"/>
      <c r="D2633" s="26"/>
      <c r="F2633" s="85" t="str">
        <f t="shared" si="0"/>
        <v/>
      </c>
      <c r="G2633" s="1" t="e">
        <f>IF(VALUE(F2633) = VALUE(RIGHT(Insights!$C$3, 4)), E2633, "")</f>
        <v>#VALUE!</v>
      </c>
      <c r="H2633" s="26" t="e">
        <f t="shared" si="1"/>
        <v>#VALUE!</v>
      </c>
      <c r="I2633" s="1" t="e">
        <f t="shared" si="2"/>
        <v>#VALUE!</v>
      </c>
    </row>
    <row r="2634" spans="1:9" ht="15.75" customHeight="1">
      <c r="A2634" s="26"/>
      <c r="B2634" s="2"/>
      <c r="C2634" s="26"/>
      <c r="D2634" s="26"/>
      <c r="F2634" s="85" t="str">
        <f t="shared" si="0"/>
        <v/>
      </c>
      <c r="G2634" s="1" t="e">
        <f>IF(VALUE(F2634) = VALUE(RIGHT(Insights!$C$3, 4)), E2634, "")</f>
        <v>#VALUE!</v>
      </c>
      <c r="H2634" s="26" t="e">
        <f t="shared" si="1"/>
        <v>#VALUE!</v>
      </c>
      <c r="I2634" s="1" t="e">
        <f t="shared" si="2"/>
        <v>#VALUE!</v>
      </c>
    </row>
    <row r="2635" spans="1:9" ht="15.75" customHeight="1">
      <c r="A2635" s="26"/>
      <c r="B2635" s="2"/>
      <c r="C2635" s="26"/>
      <c r="D2635" s="26"/>
      <c r="F2635" s="85" t="str">
        <f t="shared" si="0"/>
        <v/>
      </c>
      <c r="G2635" s="1" t="e">
        <f>IF(VALUE(F2635) = VALUE(RIGHT(Insights!$C$3, 4)), E2635, "")</f>
        <v>#VALUE!</v>
      </c>
      <c r="H2635" s="26" t="e">
        <f t="shared" si="1"/>
        <v>#VALUE!</v>
      </c>
      <c r="I2635" s="1" t="e">
        <f t="shared" si="2"/>
        <v>#VALUE!</v>
      </c>
    </row>
    <row r="2636" spans="1:9" ht="15.75" customHeight="1">
      <c r="A2636" s="26"/>
      <c r="B2636" s="2"/>
      <c r="C2636" s="26"/>
      <c r="D2636" s="26"/>
      <c r="F2636" s="85" t="str">
        <f t="shared" si="0"/>
        <v/>
      </c>
      <c r="G2636" s="1" t="e">
        <f>IF(VALUE(F2636) = VALUE(RIGHT(Insights!$C$3, 4)), E2636, "")</f>
        <v>#VALUE!</v>
      </c>
      <c r="H2636" s="26" t="e">
        <f t="shared" si="1"/>
        <v>#VALUE!</v>
      </c>
      <c r="I2636" s="1" t="e">
        <f t="shared" si="2"/>
        <v>#VALUE!</v>
      </c>
    </row>
    <row r="2637" spans="1:9" ht="15.75" customHeight="1">
      <c r="A2637" s="26"/>
      <c r="B2637" s="2"/>
      <c r="C2637" s="26"/>
      <c r="D2637" s="26"/>
      <c r="F2637" s="85" t="str">
        <f t="shared" si="0"/>
        <v/>
      </c>
      <c r="G2637" s="1" t="e">
        <f>IF(VALUE(F2637) = VALUE(RIGHT(Insights!$C$3, 4)), E2637, "")</f>
        <v>#VALUE!</v>
      </c>
      <c r="H2637" s="26" t="e">
        <f t="shared" si="1"/>
        <v>#VALUE!</v>
      </c>
      <c r="I2637" s="1" t="e">
        <f t="shared" si="2"/>
        <v>#VALUE!</v>
      </c>
    </row>
    <row r="2638" spans="1:9" ht="15.75" customHeight="1">
      <c r="A2638" s="26"/>
      <c r="B2638" s="2"/>
      <c r="C2638" s="26"/>
      <c r="D2638" s="26"/>
      <c r="F2638" s="85" t="str">
        <f t="shared" si="0"/>
        <v/>
      </c>
      <c r="G2638" s="1" t="e">
        <f>IF(VALUE(F2638) = VALUE(RIGHT(Insights!$C$3, 4)), E2638, "")</f>
        <v>#VALUE!</v>
      </c>
      <c r="H2638" s="26" t="e">
        <f t="shared" si="1"/>
        <v>#VALUE!</v>
      </c>
      <c r="I2638" s="1" t="e">
        <f t="shared" si="2"/>
        <v>#VALUE!</v>
      </c>
    </row>
    <row r="2639" spans="1:9" ht="15.75" customHeight="1">
      <c r="A2639" s="26"/>
      <c r="B2639" s="2"/>
      <c r="C2639" s="26"/>
      <c r="D2639" s="26"/>
      <c r="F2639" s="85" t="str">
        <f t="shared" si="0"/>
        <v/>
      </c>
      <c r="G2639" s="1" t="e">
        <f>IF(VALUE(F2639) = VALUE(RIGHT(Insights!$C$3, 4)), E2639, "")</f>
        <v>#VALUE!</v>
      </c>
      <c r="H2639" s="26" t="e">
        <f t="shared" si="1"/>
        <v>#VALUE!</v>
      </c>
      <c r="I2639" s="1" t="e">
        <f t="shared" si="2"/>
        <v>#VALUE!</v>
      </c>
    </row>
    <row r="2640" spans="1:9" ht="15.75" customHeight="1">
      <c r="A2640" s="26"/>
      <c r="B2640" s="2"/>
      <c r="C2640" s="26"/>
      <c r="D2640" s="26"/>
      <c r="F2640" s="85" t="str">
        <f t="shared" si="0"/>
        <v/>
      </c>
      <c r="G2640" s="1" t="e">
        <f>IF(VALUE(F2640) = VALUE(RIGHT(Insights!$C$3, 4)), E2640, "")</f>
        <v>#VALUE!</v>
      </c>
      <c r="H2640" s="26" t="e">
        <f t="shared" si="1"/>
        <v>#VALUE!</v>
      </c>
      <c r="I2640" s="1" t="e">
        <f t="shared" si="2"/>
        <v>#VALUE!</v>
      </c>
    </row>
    <row r="2641" spans="1:9" ht="15.75" customHeight="1">
      <c r="A2641" s="26"/>
      <c r="B2641" s="2"/>
      <c r="C2641" s="26"/>
      <c r="D2641" s="26"/>
      <c r="F2641" s="85" t="str">
        <f t="shared" si="0"/>
        <v/>
      </c>
      <c r="G2641" s="1" t="e">
        <f>IF(VALUE(F2641) = VALUE(RIGHT(Insights!$C$3, 4)), E2641, "")</f>
        <v>#VALUE!</v>
      </c>
      <c r="H2641" s="26" t="e">
        <f t="shared" si="1"/>
        <v>#VALUE!</v>
      </c>
      <c r="I2641" s="1" t="e">
        <f t="shared" si="2"/>
        <v>#VALUE!</v>
      </c>
    </row>
    <row r="2642" spans="1:9" ht="15.75" customHeight="1">
      <c r="A2642" s="26"/>
      <c r="B2642" s="2"/>
      <c r="C2642" s="26"/>
      <c r="D2642" s="26"/>
      <c r="F2642" s="85" t="str">
        <f t="shared" si="0"/>
        <v/>
      </c>
      <c r="G2642" s="1" t="e">
        <f>IF(VALUE(F2642) = VALUE(RIGHT(Insights!$C$3, 4)), E2642, "")</f>
        <v>#VALUE!</v>
      </c>
      <c r="H2642" s="26" t="e">
        <f t="shared" si="1"/>
        <v>#VALUE!</v>
      </c>
      <c r="I2642" s="1" t="e">
        <f t="shared" si="2"/>
        <v>#VALUE!</v>
      </c>
    </row>
    <row r="2643" spans="1:9" ht="15.75" customHeight="1">
      <c r="A2643" s="26"/>
      <c r="B2643" s="2"/>
      <c r="C2643" s="26"/>
      <c r="D2643" s="26"/>
      <c r="F2643" s="85" t="str">
        <f t="shared" si="0"/>
        <v/>
      </c>
      <c r="G2643" s="1" t="e">
        <f>IF(VALUE(F2643) = VALUE(RIGHT(Insights!$C$3, 4)), E2643, "")</f>
        <v>#VALUE!</v>
      </c>
      <c r="H2643" s="26" t="e">
        <f t="shared" si="1"/>
        <v>#VALUE!</v>
      </c>
      <c r="I2643" s="1" t="e">
        <f t="shared" si="2"/>
        <v>#VALUE!</v>
      </c>
    </row>
    <row r="2644" spans="1:9" ht="15.75" customHeight="1">
      <c r="A2644" s="26"/>
      <c r="B2644" s="2"/>
      <c r="C2644" s="26"/>
      <c r="D2644" s="26"/>
      <c r="F2644" s="85" t="str">
        <f t="shared" si="0"/>
        <v/>
      </c>
      <c r="G2644" s="1" t="e">
        <f>IF(VALUE(F2644) = VALUE(RIGHT(Insights!$C$3, 4)), E2644, "")</f>
        <v>#VALUE!</v>
      </c>
      <c r="H2644" s="26" t="e">
        <f t="shared" si="1"/>
        <v>#VALUE!</v>
      </c>
      <c r="I2644" s="1" t="e">
        <f t="shared" si="2"/>
        <v>#VALUE!</v>
      </c>
    </row>
    <row r="2645" spans="1:9" ht="15.75" customHeight="1">
      <c r="A2645" s="26"/>
      <c r="B2645" s="2"/>
      <c r="C2645" s="26"/>
      <c r="D2645" s="26"/>
      <c r="F2645" s="85" t="str">
        <f t="shared" si="0"/>
        <v/>
      </c>
      <c r="G2645" s="1" t="e">
        <f>IF(VALUE(F2645) = VALUE(RIGHT(Insights!$C$3, 4)), E2645, "")</f>
        <v>#VALUE!</v>
      </c>
      <c r="H2645" s="26" t="e">
        <f t="shared" si="1"/>
        <v>#VALUE!</v>
      </c>
      <c r="I2645" s="1" t="e">
        <f t="shared" si="2"/>
        <v>#VALUE!</v>
      </c>
    </row>
    <row r="2646" spans="1:9" ht="15.75" customHeight="1">
      <c r="A2646" s="26"/>
      <c r="B2646" s="2"/>
      <c r="C2646" s="26"/>
      <c r="D2646" s="26"/>
      <c r="F2646" s="85" t="str">
        <f t="shared" si="0"/>
        <v/>
      </c>
      <c r="G2646" s="1" t="e">
        <f>IF(VALUE(F2646) = VALUE(RIGHT(Insights!$C$3, 4)), E2646, "")</f>
        <v>#VALUE!</v>
      </c>
      <c r="H2646" s="26" t="e">
        <f t="shared" si="1"/>
        <v>#VALUE!</v>
      </c>
      <c r="I2646" s="1" t="e">
        <f t="shared" si="2"/>
        <v>#VALUE!</v>
      </c>
    </row>
    <row r="2647" spans="1:9" ht="15.75" customHeight="1">
      <c r="A2647" s="26"/>
      <c r="B2647" s="2"/>
      <c r="C2647" s="26"/>
      <c r="D2647" s="26"/>
      <c r="F2647" s="85" t="str">
        <f t="shared" si="0"/>
        <v/>
      </c>
      <c r="G2647" s="1" t="e">
        <f>IF(VALUE(F2647) = VALUE(RIGHT(Insights!$C$3, 4)), E2647, "")</f>
        <v>#VALUE!</v>
      </c>
      <c r="H2647" s="26" t="e">
        <f t="shared" si="1"/>
        <v>#VALUE!</v>
      </c>
      <c r="I2647" s="1" t="e">
        <f t="shared" si="2"/>
        <v>#VALUE!</v>
      </c>
    </row>
    <row r="2648" spans="1:9" ht="15.75" customHeight="1">
      <c r="A2648" s="26"/>
      <c r="B2648" s="2"/>
      <c r="C2648" s="26"/>
      <c r="D2648" s="26"/>
      <c r="F2648" s="85" t="str">
        <f t="shared" si="0"/>
        <v/>
      </c>
      <c r="G2648" s="1" t="e">
        <f>IF(VALUE(F2648) = VALUE(RIGHT(Insights!$C$3, 4)), E2648, "")</f>
        <v>#VALUE!</v>
      </c>
      <c r="H2648" s="26" t="e">
        <f t="shared" si="1"/>
        <v>#VALUE!</v>
      </c>
      <c r="I2648" s="1" t="e">
        <f t="shared" si="2"/>
        <v>#VALUE!</v>
      </c>
    </row>
    <row r="2649" spans="1:9" ht="15.75" customHeight="1">
      <c r="A2649" s="26"/>
      <c r="B2649" s="2"/>
      <c r="C2649" s="26"/>
      <c r="D2649" s="26"/>
      <c r="F2649" s="85" t="str">
        <f t="shared" si="0"/>
        <v/>
      </c>
      <c r="G2649" s="1" t="e">
        <f>IF(VALUE(F2649) = VALUE(RIGHT(Insights!$C$3, 4)), E2649, "")</f>
        <v>#VALUE!</v>
      </c>
      <c r="H2649" s="26" t="e">
        <f t="shared" si="1"/>
        <v>#VALUE!</v>
      </c>
      <c r="I2649" s="1" t="e">
        <f t="shared" si="2"/>
        <v>#VALUE!</v>
      </c>
    </row>
    <row r="2650" spans="1:9" ht="15.75" customHeight="1">
      <c r="A2650" s="26"/>
      <c r="B2650" s="2"/>
      <c r="C2650" s="26"/>
      <c r="D2650" s="26"/>
      <c r="F2650" s="85" t="str">
        <f t="shared" si="0"/>
        <v/>
      </c>
      <c r="G2650" s="1" t="e">
        <f>IF(VALUE(F2650) = VALUE(RIGHT(Insights!$C$3, 4)), E2650, "")</f>
        <v>#VALUE!</v>
      </c>
      <c r="H2650" s="26" t="e">
        <f t="shared" si="1"/>
        <v>#VALUE!</v>
      </c>
      <c r="I2650" s="1" t="e">
        <f t="shared" si="2"/>
        <v>#VALUE!</v>
      </c>
    </row>
    <row r="2651" spans="1:9" ht="15.75" customHeight="1">
      <c r="A2651" s="26"/>
      <c r="B2651" s="2"/>
      <c r="C2651" s="26"/>
      <c r="D2651" s="26"/>
      <c r="F2651" s="85" t="str">
        <f t="shared" si="0"/>
        <v/>
      </c>
      <c r="G2651" s="1" t="e">
        <f>IF(VALUE(F2651) = VALUE(RIGHT(Insights!$C$3, 4)), E2651, "")</f>
        <v>#VALUE!</v>
      </c>
      <c r="H2651" s="26" t="e">
        <f t="shared" si="1"/>
        <v>#VALUE!</v>
      </c>
      <c r="I2651" s="1" t="e">
        <f t="shared" si="2"/>
        <v>#VALUE!</v>
      </c>
    </row>
    <row r="2652" spans="1:9" ht="15.75" customHeight="1">
      <c r="A2652" s="26"/>
      <c r="B2652" s="2"/>
      <c r="C2652" s="26"/>
      <c r="D2652" s="26"/>
      <c r="F2652" s="85" t="str">
        <f t="shared" si="0"/>
        <v/>
      </c>
      <c r="G2652" s="1" t="e">
        <f>IF(VALUE(F2652) = VALUE(RIGHT(Insights!$C$3, 4)), E2652, "")</f>
        <v>#VALUE!</v>
      </c>
      <c r="H2652" s="26" t="e">
        <f t="shared" si="1"/>
        <v>#VALUE!</v>
      </c>
      <c r="I2652" s="1" t="e">
        <f t="shared" si="2"/>
        <v>#VALUE!</v>
      </c>
    </row>
    <row r="2653" spans="1:9" ht="15.75" customHeight="1">
      <c r="A2653" s="26"/>
      <c r="B2653" s="2"/>
      <c r="C2653" s="26"/>
      <c r="D2653" s="26"/>
      <c r="F2653" s="85" t="str">
        <f t="shared" si="0"/>
        <v/>
      </c>
      <c r="G2653" s="1" t="e">
        <f>IF(VALUE(F2653) = VALUE(RIGHT(Insights!$C$3, 4)), E2653, "")</f>
        <v>#VALUE!</v>
      </c>
      <c r="H2653" s="26" t="e">
        <f t="shared" si="1"/>
        <v>#VALUE!</v>
      </c>
      <c r="I2653" s="1" t="e">
        <f t="shared" si="2"/>
        <v>#VALUE!</v>
      </c>
    </row>
    <row r="2654" spans="1:9" ht="15.75" customHeight="1">
      <c r="A2654" s="26"/>
      <c r="B2654" s="2"/>
      <c r="C2654" s="26"/>
      <c r="D2654" s="26"/>
      <c r="F2654" s="85" t="str">
        <f t="shared" si="0"/>
        <v/>
      </c>
      <c r="G2654" s="1" t="e">
        <f>IF(VALUE(F2654) = VALUE(RIGHT(Insights!$C$3, 4)), E2654, "")</f>
        <v>#VALUE!</v>
      </c>
      <c r="H2654" s="26" t="e">
        <f t="shared" si="1"/>
        <v>#VALUE!</v>
      </c>
      <c r="I2654" s="1" t="e">
        <f t="shared" si="2"/>
        <v>#VALUE!</v>
      </c>
    </row>
    <row r="2655" spans="1:9" ht="15.75" customHeight="1">
      <c r="A2655" s="26"/>
      <c r="B2655" s="2"/>
      <c r="C2655" s="26"/>
      <c r="D2655" s="26"/>
      <c r="F2655" s="85" t="str">
        <f t="shared" si="0"/>
        <v/>
      </c>
      <c r="G2655" s="1" t="e">
        <f>IF(VALUE(F2655) = VALUE(RIGHT(Insights!$C$3, 4)), E2655, "")</f>
        <v>#VALUE!</v>
      </c>
      <c r="H2655" s="26" t="e">
        <f t="shared" si="1"/>
        <v>#VALUE!</v>
      </c>
      <c r="I2655" s="1" t="e">
        <f t="shared" si="2"/>
        <v>#VALUE!</v>
      </c>
    </row>
    <row r="2656" spans="1:9" ht="15.75" customHeight="1">
      <c r="A2656" s="26"/>
      <c r="B2656" s="2"/>
      <c r="C2656" s="26"/>
      <c r="D2656" s="26"/>
      <c r="F2656" s="85" t="str">
        <f t="shared" si="0"/>
        <v/>
      </c>
      <c r="G2656" s="1" t="e">
        <f>IF(VALUE(F2656) = VALUE(RIGHT(Insights!$C$3, 4)), E2656, "")</f>
        <v>#VALUE!</v>
      </c>
      <c r="H2656" s="26" t="e">
        <f t="shared" si="1"/>
        <v>#VALUE!</v>
      </c>
      <c r="I2656" s="1" t="e">
        <f t="shared" si="2"/>
        <v>#VALUE!</v>
      </c>
    </row>
    <row r="2657" spans="1:9" ht="15.75" customHeight="1">
      <c r="A2657" s="26"/>
      <c r="B2657" s="2"/>
      <c r="C2657" s="26"/>
      <c r="D2657" s="26"/>
      <c r="F2657" s="85" t="str">
        <f t="shared" si="0"/>
        <v/>
      </c>
      <c r="G2657" s="1" t="e">
        <f>IF(VALUE(F2657) = VALUE(RIGHT(Insights!$C$3, 4)), E2657, "")</f>
        <v>#VALUE!</v>
      </c>
      <c r="H2657" s="26" t="e">
        <f t="shared" si="1"/>
        <v>#VALUE!</v>
      </c>
      <c r="I2657" s="1" t="e">
        <f t="shared" si="2"/>
        <v>#VALUE!</v>
      </c>
    </row>
    <row r="2658" spans="1:9" ht="15.75" customHeight="1">
      <c r="A2658" s="26"/>
      <c r="B2658" s="2"/>
      <c r="C2658" s="26"/>
      <c r="D2658" s="26"/>
      <c r="F2658" s="85" t="str">
        <f t="shared" si="0"/>
        <v/>
      </c>
      <c r="G2658" s="1" t="e">
        <f>IF(VALUE(F2658) = VALUE(RIGHT(Insights!$C$3, 4)), E2658, "")</f>
        <v>#VALUE!</v>
      </c>
      <c r="H2658" s="26" t="e">
        <f t="shared" si="1"/>
        <v>#VALUE!</v>
      </c>
      <c r="I2658" s="1" t="e">
        <f t="shared" si="2"/>
        <v>#VALUE!</v>
      </c>
    </row>
    <row r="2659" spans="1:9" ht="15.75" customHeight="1">
      <c r="A2659" s="26"/>
      <c r="B2659" s="2"/>
      <c r="C2659" s="26"/>
      <c r="D2659" s="26"/>
      <c r="F2659" s="85" t="str">
        <f t="shared" si="0"/>
        <v/>
      </c>
      <c r="G2659" s="1" t="e">
        <f>IF(VALUE(F2659) = VALUE(RIGHT(Insights!$C$3, 4)), E2659, "")</f>
        <v>#VALUE!</v>
      </c>
      <c r="H2659" s="26" t="e">
        <f t="shared" si="1"/>
        <v>#VALUE!</v>
      </c>
      <c r="I2659" s="1" t="e">
        <f t="shared" si="2"/>
        <v>#VALUE!</v>
      </c>
    </row>
    <row r="2660" spans="1:9" ht="15.75" customHeight="1">
      <c r="A2660" s="26"/>
      <c r="B2660" s="2"/>
      <c r="C2660" s="26"/>
      <c r="D2660" s="26"/>
      <c r="F2660" s="85" t="str">
        <f t="shared" si="0"/>
        <v/>
      </c>
      <c r="G2660" s="1" t="e">
        <f>IF(VALUE(F2660) = VALUE(RIGHT(Insights!$C$3, 4)), E2660, "")</f>
        <v>#VALUE!</v>
      </c>
      <c r="H2660" s="26" t="e">
        <f t="shared" si="1"/>
        <v>#VALUE!</v>
      </c>
      <c r="I2660" s="1" t="e">
        <f t="shared" si="2"/>
        <v>#VALUE!</v>
      </c>
    </row>
    <row r="2661" spans="1:9" ht="15.75" customHeight="1">
      <c r="A2661" s="26"/>
      <c r="B2661" s="2"/>
      <c r="C2661" s="26"/>
      <c r="D2661" s="26"/>
      <c r="F2661" s="85" t="str">
        <f t="shared" si="0"/>
        <v/>
      </c>
      <c r="G2661" s="1" t="e">
        <f>IF(VALUE(F2661) = VALUE(RIGHT(Insights!$C$3, 4)), E2661, "")</f>
        <v>#VALUE!</v>
      </c>
      <c r="H2661" s="26" t="e">
        <f t="shared" si="1"/>
        <v>#VALUE!</v>
      </c>
      <c r="I2661" s="1" t="e">
        <f t="shared" si="2"/>
        <v>#VALUE!</v>
      </c>
    </row>
    <row r="2662" spans="1:9" ht="15.75" customHeight="1">
      <c r="A2662" s="26"/>
      <c r="B2662" s="2"/>
      <c r="C2662" s="26"/>
      <c r="D2662" s="26"/>
      <c r="F2662" s="85" t="str">
        <f t="shared" si="0"/>
        <v/>
      </c>
      <c r="G2662" s="1" t="e">
        <f>IF(VALUE(F2662) = VALUE(RIGHT(Insights!$C$3, 4)), E2662, "")</f>
        <v>#VALUE!</v>
      </c>
      <c r="H2662" s="26" t="e">
        <f t="shared" si="1"/>
        <v>#VALUE!</v>
      </c>
      <c r="I2662" s="1" t="e">
        <f t="shared" si="2"/>
        <v>#VALUE!</v>
      </c>
    </row>
    <row r="2663" spans="1:9" ht="15.75" customHeight="1">
      <c r="A2663" s="26"/>
      <c r="B2663" s="2"/>
      <c r="C2663" s="26"/>
      <c r="D2663" s="26"/>
      <c r="F2663" s="85" t="str">
        <f t="shared" si="0"/>
        <v/>
      </c>
      <c r="G2663" s="1" t="e">
        <f>IF(VALUE(F2663) = VALUE(RIGHT(Insights!$C$3, 4)), E2663, "")</f>
        <v>#VALUE!</v>
      </c>
      <c r="H2663" s="26" t="e">
        <f t="shared" si="1"/>
        <v>#VALUE!</v>
      </c>
      <c r="I2663" s="1" t="e">
        <f t="shared" si="2"/>
        <v>#VALUE!</v>
      </c>
    </row>
    <row r="2664" spans="1:9" ht="15.75" customHeight="1">
      <c r="A2664" s="26"/>
      <c r="B2664" s="2"/>
      <c r="C2664" s="26"/>
      <c r="D2664" s="26"/>
      <c r="F2664" s="85" t="str">
        <f t="shared" si="0"/>
        <v/>
      </c>
      <c r="G2664" s="1" t="e">
        <f>IF(VALUE(F2664) = VALUE(RIGHT(Insights!$C$3, 4)), E2664, "")</f>
        <v>#VALUE!</v>
      </c>
      <c r="H2664" s="26" t="e">
        <f t="shared" si="1"/>
        <v>#VALUE!</v>
      </c>
      <c r="I2664" s="1" t="e">
        <f t="shared" si="2"/>
        <v>#VALUE!</v>
      </c>
    </row>
    <row r="2665" spans="1:9" ht="15.75" customHeight="1">
      <c r="A2665" s="26"/>
      <c r="B2665" s="2"/>
      <c r="C2665" s="26"/>
      <c r="D2665" s="26"/>
      <c r="F2665" s="85" t="str">
        <f t="shared" si="0"/>
        <v/>
      </c>
      <c r="G2665" s="1" t="e">
        <f>IF(VALUE(F2665) = VALUE(RIGHT(Insights!$C$3, 4)), E2665, "")</f>
        <v>#VALUE!</v>
      </c>
      <c r="H2665" s="26" t="e">
        <f t="shared" si="1"/>
        <v>#VALUE!</v>
      </c>
      <c r="I2665" s="1" t="e">
        <f t="shared" si="2"/>
        <v>#VALUE!</v>
      </c>
    </row>
    <row r="2666" spans="1:9" ht="15.75" customHeight="1">
      <c r="A2666" s="26"/>
      <c r="B2666" s="2"/>
      <c r="C2666" s="26"/>
      <c r="D2666" s="26"/>
      <c r="F2666" s="85" t="str">
        <f t="shared" si="0"/>
        <v/>
      </c>
      <c r="G2666" s="1" t="e">
        <f>IF(VALUE(F2666) = VALUE(RIGHT(Insights!$C$3, 4)), E2666, "")</f>
        <v>#VALUE!</v>
      </c>
      <c r="H2666" s="26" t="e">
        <f t="shared" si="1"/>
        <v>#VALUE!</v>
      </c>
      <c r="I2666" s="1" t="e">
        <f t="shared" si="2"/>
        <v>#VALUE!</v>
      </c>
    </row>
    <row r="2667" spans="1:9" ht="15.75" customHeight="1">
      <c r="A2667" s="26"/>
      <c r="B2667" s="2"/>
      <c r="C2667" s="26"/>
      <c r="D2667" s="26"/>
      <c r="F2667" s="85" t="str">
        <f t="shared" si="0"/>
        <v/>
      </c>
      <c r="G2667" s="1" t="e">
        <f>IF(VALUE(F2667) = VALUE(RIGHT(Insights!$C$3, 4)), E2667, "")</f>
        <v>#VALUE!</v>
      </c>
      <c r="H2667" s="26" t="e">
        <f t="shared" si="1"/>
        <v>#VALUE!</v>
      </c>
      <c r="I2667" s="1" t="e">
        <f t="shared" si="2"/>
        <v>#VALUE!</v>
      </c>
    </row>
    <row r="2668" spans="1:9" ht="15.75" customHeight="1">
      <c r="A2668" s="26"/>
      <c r="B2668" s="2"/>
      <c r="C2668" s="26"/>
      <c r="D2668" s="26"/>
      <c r="F2668" s="85" t="str">
        <f t="shared" si="0"/>
        <v/>
      </c>
      <c r="G2668" s="1" t="e">
        <f>IF(VALUE(F2668) = VALUE(RIGHT(Insights!$C$3, 4)), E2668, "")</f>
        <v>#VALUE!</v>
      </c>
      <c r="H2668" s="26" t="e">
        <f t="shared" si="1"/>
        <v>#VALUE!</v>
      </c>
      <c r="I2668" s="1" t="e">
        <f t="shared" si="2"/>
        <v>#VALUE!</v>
      </c>
    </row>
    <row r="2669" spans="1:9" ht="15.75" customHeight="1">
      <c r="A2669" s="26"/>
      <c r="B2669" s="2"/>
      <c r="C2669" s="26"/>
      <c r="D2669" s="26"/>
      <c r="F2669" s="85" t="str">
        <f t="shared" si="0"/>
        <v/>
      </c>
      <c r="G2669" s="1" t="e">
        <f>IF(VALUE(F2669) = VALUE(RIGHT(Insights!$C$3, 4)), E2669, "")</f>
        <v>#VALUE!</v>
      </c>
      <c r="H2669" s="26" t="e">
        <f t="shared" si="1"/>
        <v>#VALUE!</v>
      </c>
      <c r="I2669" s="1" t="e">
        <f t="shared" si="2"/>
        <v>#VALUE!</v>
      </c>
    </row>
    <row r="2670" spans="1:9" ht="15.75" customHeight="1">
      <c r="A2670" s="26"/>
      <c r="B2670" s="2"/>
      <c r="C2670" s="26"/>
      <c r="D2670" s="26"/>
      <c r="F2670" s="85" t="str">
        <f t="shared" si="0"/>
        <v/>
      </c>
      <c r="G2670" s="1" t="e">
        <f>IF(VALUE(F2670) = VALUE(RIGHT(Insights!$C$3, 4)), E2670, "")</f>
        <v>#VALUE!</v>
      </c>
      <c r="H2670" s="26" t="e">
        <f t="shared" si="1"/>
        <v>#VALUE!</v>
      </c>
      <c r="I2670" s="1" t="e">
        <f t="shared" si="2"/>
        <v>#VALUE!</v>
      </c>
    </row>
    <row r="2671" spans="1:9" ht="15.75" customHeight="1">
      <c r="A2671" s="26"/>
      <c r="B2671" s="2"/>
      <c r="C2671" s="26"/>
      <c r="D2671" s="26"/>
      <c r="F2671" s="85" t="str">
        <f t="shared" si="0"/>
        <v/>
      </c>
      <c r="G2671" s="1" t="e">
        <f>IF(VALUE(F2671) = VALUE(RIGHT(Insights!$C$3, 4)), E2671, "")</f>
        <v>#VALUE!</v>
      </c>
      <c r="H2671" s="26" t="e">
        <f t="shared" si="1"/>
        <v>#VALUE!</v>
      </c>
      <c r="I2671" s="1" t="e">
        <f t="shared" si="2"/>
        <v>#VALUE!</v>
      </c>
    </row>
    <row r="2672" spans="1:9" ht="15.75" customHeight="1">
      <c r="A2672" s="26"/>
      <c r="B2672" s="2"/>
      <c r="C2672" s="26"/>
      <c r="D2672" s="26"/>
      <c r="F2672" s="85" t="str">
        <f t="shared" si="0"/>
        <v/>
      </c>
      <c r="G2672" s="1" t="e">
        <f>IF(VALUE(F2672) = VALUE(RIGHT(Insights!$C$3, 4)), E2672, "")</f>
        <v>#VALUE!</v>
      </c>
      <c r="H2672" s="26" t="e">
        <f t="shared" si="1"/>
        <v>#VALUE!</v>
      </c>
      <c r="I2672" s="1" t="e">
        <f t="shared" si="2"/>
        <v>#VALUE!</v>
      </c>
    </row>
    <row r="2673" spans="1:9" ht="15.75" customHeight="1">
      <c r="A2673" s="26"/>
      <c r="B2673" s="2"/>
      <c r="C2673" s="26"/>
      <c r="D2673" s="26"/>
      <c r="F2673" s="85" t="str">
        <f t="shared" si="0"/>
        <v/>
      </c>
      <c r="G2673" s="1" t="e">
        <f>IF(VALUE(F2673) = VALUE(RIGHT(Insights!$C$3, 4)), E2673, "")</f>
        <v>#VALUE!</v>
      </c>
      <c r="H2673" s="26" t="e">
        <f t="shared" si="1"/>
        <v>#VALUE!</v>
      </c>
      <c r="I2673" s="1" t="e">
        <f t="shared" si="2"/>
        <v>#VALUE!</v>
      </c>
    </row>
    <row r="2674" spans="1:9" ht="15.75" customHeight="1">
      <c r="A2674" s="26"/>
      <c r="B2674" s="2"/>
      <c r="C2674" s="26"/>
      <c r="D2674" s="26"/>
      <c r="F2674" s="85" t="str">
        <f t="shared" si="0"/>
        <v/>
      </c>
      <c r="G2674" s="1" t="e">
        <f>IF(VALUE(F2674) = VALUE(RIGHT(Insights!$C$3, 4)), E2674, "")</f>
        <v>#VALUE!</v>
      </c>
      <c r="H2674" s="26" t="e">
        <f t="shared" si="1"/>
        <v>#VALUE!</v>
      </c>
      <c r="I2674" s="1" t="e">
        <f t="shared" si="2"/>
        <v>#VALUE!</v>
      </c>
    </row>
    <row r="2675" spans="1:9" ht="15.75" customHeight="1">
      <c r="A2675" s="26"/>
      <c r="B2675" s="2"/>
      <c r="C2675" s="26"/>
      <c r="D2675" s="26"/>
      <c r="F2675" s="85" t="str">
        <f t="shared" si="0"/>
        <v/>
      </c>
      <c r="G2675" s="1" t="e">
        <f>IF(VALUE(F2675) = VALUE(RIGHT(Insights!$C$3, 4)), E2675, "")</f>
        <v>#VALUE!</v>
      </c>
      <c r="H2675" s="26" t="e">
        <f t="shared" si="1"/>
        <v>#VALUE!</v>
      </c>
      <c r="I2675" s="1" t="e">
        <f t="shared" si="2"/>
        <v>#VALUE!</v>
      </c>
    </row>
    <row r="2676" spans="1:9" ht="15.75" customHeight="1">
      <c r="A2676" s="26"/>
      <c r="B2676" s="2"/>
      <c r="C2676" s="26"/>
      <c r="D2676" s="26"/>
      <c r="F2676" s="85" t="str">
        <f t="shared" si="0"/>
        <v/>
      </c>
      <c r="G2676" s="1" t="e">
        <f>IF(VALUE(F2676) = VALUE(RIGHT(Insights!$C$3, 4)), E2676, "")</f>
        <v>#VALUE!</v>
      </c>
      <c r="H2676" s="26" t="e">
        <f t="shared" si="1"/>
        <v>#VALUE!</v>
      </c>
      <c r="I2676" s="1" t="e">
        <f t="shared" si="2"/>
        <v>#VALUE!</v>
      </c>
    </row>
    <row r="2677" spans="1:9" ht="15.75" customHeight="1">
      <c r="A2677" s="26"/>
      <c r="B2677" s="2"/>
      <c r="C2677" s="26"/>
      <c r="D2677" s="26"/>
      <c r="F2677" s="85" t="str">
        <f t="shared" si="0"/>
        <v/>
      </c>
      <c r="G2677" s="1" t="e">
        <f>IF(VALUE(F2677) = VALUE(RIGHT(Insights!$C$3, 4)), E2677, "")</f>
        <v>#VALUE!</v>
      </c>
      <c r="H2677" s="26" t="e">
        <f t="shared" si="1"/>
        <v>#VALUE!</v>
      </c>
      <c r="I2677" s="1" t="e">
        <f t="shared" si="2"/>
        <v>#VALUE!</v>
      </c>
    </row>
    <row r="2678" spans="1:9" ht="15.75" customHeight="1">
      <c r="A2678" s="26"/>
      <c r="B2678" s="2"/>
      <c r="C2678" s="26"/>
      <c r="D2678" s="26"/>
      <c r="F2678" s="85" t="str">
        <f t="shared" si="0"/>
        <v/>
      </c>
      <c r="G2678" s="1" t="e">
        <f>IF(VALUE(F2678) = VALUE(RIGHT(Insights!$C$3, 4)), E2678, "")</f>
        <v>#VALUE!</v>
      </c>
      <c r="H2678" s="26" t="e">
        <f t="shared" si="1"/>
        <v>#VALUE!</v>
      </c>
      <c r="I2678" s="1" t="e">
        <f t="shared" si="2"/>
        <v>#VALUE!</v>
      </c>
    </row>
    <row r="2679" spans="1:9" ht="15.75" customHeight="1">
      <c r="A2679" s="26"/>
      <c r="B2679" s="2"/>
      <c r="C2679" s="26"/>
      <c r="D2679" s="26"/>
      <c r="F2679" s="85" t="str">
        <f t="shared" si="0"/>
        <v/>
      </c>
      <c r="G2679" s="1" t="e">
        <f>IF(VALUE(F2679) = VALUE(RIGHT(Insights!$C$3, 4)), E2679, "")</f>
        <v>#VALUE!</v>
      </c>
      <c r="H2679" s="26" t="e">
        <f t="shared" si="1"/>
        <v>#VALUE!</v>
      </c>
      <c r="I2679" s="1" t="e">
        <f t="shared" si="2"/>
        <v>#VALUE!</v>
      </c>
    </row>
    <row r="2680" spans="1:9" ht="15.75" customHeight="1">
      <c r="A2680" s="26"/>
      <c r="B2680" s="2"/>
      <c r="C2680" s="26"/>
      <c r="D2680" s="26"/>
      <c r="F2680" s="85" t="str">
        <f t="shared" si="0"/>
        <v/>
      </c>
      <c r="G2680" s="1" t="e">
        <f>IF(VALUE(F2680) = VALUE(RIGHT(Insights!$C$3, 4)), E2680, "")</f>
        <v>#VALUE!</v>
      </c>
      <c r="H2680" s="26" t="e">
        <f t="shared" si="1"/>
        <v>#VALUE!</v>
      </c>
      <c r="I2680" s="1" t="e">
        <f t="shared" si="2"/>
        <v>#VALUE!</v>
      </c>
    </row>
    <row r="2681" spans="1:9" ht="15.75" customHeight="1">
      <c r="A2681" s="26"/>
      <c r="B2681" s="2"/>
      <c r="C2681" s="26"/>
      <c r="D2681" s="26"/>
      <c r="F2681" s="85" t="str">
        <f t="shared" si="0"/>
        <v/>
      </c>
      <c r="G2681" s="1" t="e">
        <f>IF(VALUE(F2681) = VALUE(RIGHT(Insights!$C$3, 4)), E2681, "")</f>
        <v>#VALUE!</v>
      </c>
      <c r="H2681" s="26" t="e">
        <f t="shared" si="1"/>
        <v>#VALUE!</v>
      </c>
      <c r="I2681" s="1" t="e">
        <f t="shared" si="2"/>
        <v>#VALUE!</v>
      </c>
    </row>
    <row r="2682" spans="1:9" ht="15.75" customHeight="1">
      <c r="A2682" s="26"/>
      <c r="B2682" s="2"/>
      <c r="C2682" s="26"/>
      <c r="D2682" s="26"/>
      <c r="F2682" s="85" t="str">
        <f t="shared" si="0"/>
        <v/>
      </c>
      <c r="G2682" s="1" t="e">
        <f>IF(VALUE(F2682) = VALUE(RIGHT(Insights!$C$3, 4)), E2682, "")</f>
        <v>#VALUE!</v>
      </c>
      <c r="H2682" s="26" t="e">
        <f t="shared" si="1"/>
        <v>#VALUE!</v>
      </c>
      <c r="I2682" s="1" t="e">
        <f t="shared" si="2"/>
        <v>#VALUE!</v>
      </c>
    </row>
    <row r="2683" spans="1:9" ht="15.75" customHeight="1">
      <c r="A2683" s="26"/>
      <c r="B2683" s="2"/>
      <c r="C2683" s="26"/>
      <c r="D2683" s="26"/>
      <c r="F2683" s="85" t="str">
        <f t="shared" si="0"/>
        <v/>
      </c>
      <c r="G2683" s="1" t="e">
        <f>IF(VALUE(F2683) = VALUE(RIGHT(Insights!$C$3, 4)), E2683, "")</f>
        <v>#VALUE!</v>
      </c>
      <c r="H2683" s="26" t="e">
        <f t="shared" si="1"/>
        <v>#VALUE!</v>
      </c>
      <c r="I2683" s="1" t="e">
        <f t="shared" si="2"/>
        <v>#VALUE!</v>
      </c>
    </row>
    <row r="2684" spans="1:9" ht="15.75" customHeight="1">
      <c r="A2684" s="26"/>
      <c r="B2684" s="2"/>
      <c r="C2684" s="26"/>
      <c r="D2684" s="26"/>
      <c r="F2684" s="85" t="str">
        <f t="shared" si="0"/>
        <v/>
      </c>
      <c r="G2684" s="1" t="e">
        <f>IF(VALUE(F2684) = VALUE(RIGHT(Insights!$C$3, 4)), E2684, "")</f>
        <v>#VALUE!</v>
      </c>
      <c r="H2684" s="26" t="e">
        <f t="shared" si="1"/>
        <v>#VALUE!</v>
      </c>
      <c r="I2684" s="1" t="e">
        <f t="shared" si="2"/>
        <v>#VALUE!</v>
      </c>
    </row>
    <row r="2685" spans="1:9" ht="15.75" customHeight="1">
      <c r="A2685" s="26"/>
      <c r="B2685" s="2"/>
      <c r="C2685" s="26"/>
      <c r="D2685" s="26"/>
      <c r="F2685" s="85" t="str">
        <f t="shared" si="0"/>
        <v/>
      </c>
      <c r="G2685" s="1" t="e">
        <f>IF(VALUE(F2685) = VALUE(RIGHT(Insights!$C$3, 4)), E2685, "")</f>
        <v>#VALUE!</v>
      </c>
      <c r="H2685" s="26" t="e">
        <f t="shared" si="1"/>
        <v>#VALUE!</v>
      </c>
      <c r="I2685" s="1" t="e">
        <f t="shared" si="2"/>
        <v>#VALUE!</v>
      </c>
    </row>
    <row r="2686" spans="1:9" ht="15.75" customHeight="1">
      <c r="A2686" s="26"/>
      <c r="B2686" s="2"/>
      <c r="C2686" s="26"/>
      <c r="D2686" s="26"/>
      <c r="F2686" s="85" t="str">
        <f t="shared" si="0"/>
        <v/>
      </c>
      <c r="G2686" s="1" t="e">
        <f>IF(VALUE(F2686) = VALUE(RIGHT(Insights!$C$3, 4)), E2686, "")</f>
        <v>#VALUE!</v>
      </c>
      <c r="H2686" s="26" t="e">
        <f t="shared" si="1"/>
        <v>#VALUE!</v>
      </c>
      <c r="I2686" s="1" t="e">
        <f t="shared" si="2"/>
        <v>#VALUE!</v>
      </c>
    </row>
    <row r="2687" spans="1:9" ht="15.75" customHeight="1">
      <c r="A2687" s="26"/>
      <c r="B2687" s="2"/>
      <c r="C2687" s="26"/>
      <c r="D2687" s="26"/>
      <c r="F2687" s="85" t="str">
        <f t="shared" si="0"/>
        <v/>
      </c>
      <c r="G2687" s="1" t="e">
        <f>IF(VALUE(F2687) = VALUE(RIGHT(Insights!$C$3, 4)), E2687, "")</f>
        <v>#VALUE!</v>
      </c>
      <c r="H2687" s="26" t="e">
        <f t="shared" si="1"/>
        <v>#VALUE!</v>
      </c>
      <c r="I2687" s="1" t="e">
        <f t="shared" si="2"/>
        <v>#VALUE!</v>
      </c>
    </row>
    <row r="2688" spans="1:9" ht="15.75" customHeight="1">
      <c r="A2688" s="26"/>
      <c r="B2688" s="2"/>
      <c r="C2688" s="26"/>
      <c r="D2688" s="26"/>
      <c r="F2688" s="85" t="str">
        <f t="shared" si="0"/>
        <v/>
      </c>
      <c r="G2688" s="1" t="e">
        <f>IF(VALUE(F2688) = VALUE(RIGHT(Insights!$C$3, 4)), E2688, "")</f>
        <v>#VALUE!</v>
      </c>
      <c r="H2688" s="26" t="e">
        <f t="shared" si="1"/>
        <v>#VALUE!</v>
      </c>
      <c r="I2688" s="1" t="e">
        <f t="shared" si="2"/>
        <v>#VALUE!</v>
      </c>
    </row>
    <row r="2689" spans="1:9" ht="15.75" customHeight="1">
      <c r="A2689" s="26"/>
      <c r="B2689" s="2"/>
      <c r="C2689" s="26"/>
      <c r="D2689" s="26"/>
      <c r="F2689" s="85" t="str">
        <f t="shared" si="0"/>
        <v/>
      </c>
      <c r="G2689" s="1" t="e">
        <f>IF(VALUE(F2689) = VALUE(RIGHT(Insights!$C$3, 4)), E2689, "")</f>
        <v>#VALUE!</v>
      </c>
      <c r="H2689" s="26" t="e">
        <f t="shared" si="1"/>
        <v>#VALUE!</v>
      </c>
      <c r="I2689" s="1" t="e">
        <f t="shared" si="2"/>
        <v>#VALUE!</v>
      </c>
    </row>
    <row r="2690" spans="1:9" ht="15.75" customHeight="1">
      <c r="A2690" s="26"/>
      <c r="B2690" s="2"/>
      <c r="C2690" s="26"/>
      <c r="D2690" s="26"/>
      <c r="F2690" s="85" t="str">
        <f t="shared" si="0"/>
        <v/>
      </c>
      <c r="G2690" s="1" t="e">
        <f>IF(VALUE(F2690) = VALUE(RIGHT(Insights!$C$3, 4)), E2690, "")</f>
        <v>#VALUE!</v>
      </c>
      <c r="H2690" s="26" t="e">
        <f t="shared" si="1"/>
        <v>#VALUE!</v>
      </c>
      <c r="I2690" s="1" t="e">
        <f t="shared" si="2"/>
        <v>#VALUE!</v>
      </c>
    </row>
    <row r="2691" spans="1:9" ht="15.75" customHeight="1">
      <c r="A2691" s="26"/>
      <c r="B2691" s="2"/>
      <c r="C2691" s="26"/>
      <c r="D2691" s="26"/>
      <c r="F2691" s="85" t="str">
        <f t="shared" si="0"/>
        <v/>
      </c>
      <c r="G2691" s="1" t="e">
        <f>IF(VALUE(F2691) = VALUE(RIGHT(Insights!$C$3, 4)), E2691, "")</f>
        <v>#VALUE!</v>
      </c>
      <c r="H2691" s="26" t="e">
        <f t="shared" si="1"/>
        <v>#VALUE!</v>
      </c>
      <c r="I2691" s="1" t="e">
        <f t="shared" si="2"/>
        <v>#VALUE!</v>
      </c>
    </row>
    <row r="2692" spans="1:9" ht="15.75" customHeight="1">
      <c r="A2692" s="26"/>
      <c r="B2692" s="2"/>
      <c r="C2692" s="26"/>
      <c r="D2692" s="26"/>
      <c r="F2692" s="85" t="str">
        <f t="shared" si="0"/>
        <v/>
      </c>
      <c r="G2692" s="1" t="e">
        <f>IF(VALUE(F2692) = VALUE(RIGHT(Insights!$C$3, 4)), E2692, "")</f>
        <v>#VALUE!</v>
      </c>
      <c r="H2692" s="26" t="e">
        <f t="shared" si="1"/>
        <v>#VALUE!</v>
      </c>
      <c r="I2692" s="1" t="e">
        <f t="shared" si="2"/>
        <v>#VALUE!</v>
      </c>
    </row>
    <row r="2693" spans="1:9" ht="15.75" customHeight="1">
      <c r="A2693" s="26"/>
      <c r="B2693" s="2"/>
      <c r="C2693" s="26"/>
      <c r="D2693" s="26"/>
      <c r="F2693" s="85" t="str">
        <f t="shared" si="0"/>
        <v/>
      </c>
      <c r="G2693" s="1" t="e">
        <f>IF(VALUE(F2693) = VALUE(RIGHT(Insights!$C$3, 4)), E2693, "")</f>
        <v>#VALUE!</v>
      </c>
      <c r="H2693" s="26" t="e">
        <f t="shared" si="1"/>
        <v>#VALUE!</v>
      </c>
      <c r="I2693" s="1" t="e">
        <f t="shared" si="2"/>
        <v>#VALUE!</v>
      </c>
    </row>
    <row r="2694" spans="1:9" ht="15.75" customHeight="1">
      <c r="A2694" s="26"/>
      <c r="B2694" s="2"/>
      <c r="C2694" s="26"/>
      <c r="D2694" s="26"/>
      <c r="F2694" s="85" t="str">
        <f t="shared" si="0"/>
        <v/>
      </c>
      <c r="G2694" s="1" t="e">
        <f>IF(VALUE(F2694) = VALUE(RIGHT(Insights!$C$3, 4)), E2694, "")</f>
        <v>#VALUE!</v>
      </c>
      <c r="H2694" s="26" t="e">
        <f t="shared" si="1"/>
        <v>#VALUE!</v>
      </c>
      <c r="I2694" s="1" t="e">
        <f t="shared" si="2"/>
        <v>#VALUE!</v>
      </c>
    </row>
    <row r="2695" spans="1:9" ht="15.75" customHeight="1">
      <c r="A2695" s="26"/>
      <c r="B2695" s="2"/>
      <c r="C2695" s="26"/>
      <c r="D2695" s="26"/>
      <c r="F2695" s="85" t="str">
        <f t="shared" si="0"/>
        <v/>
      </c>
      <c r="G2695" s="1" t="e">
        <f>IF(VALUE(F2695) = VALUE(RIGHT(Insights!$C$3, 4)), E2695, "")</f>
        <v>#VALUE!</v>
      </c>
      <c r="H2695" s="26" t="e">
        <f t="shared" si="1"/>
        <v>#VALUE!</v>
      </c>
      <c r="I2695" s="1" t="e">
        <f t="shared" si="2"/>
        <v>#VALUE!</v>
      </c>
    </row>
    <row r="2696" spans="1:9" ht="15.75" customHeight="1">
      <c r="A2696" s="26"/>
      <c r="B2696" s="2"/>
      <c r="C2696" s="26"/>
      <c r="D2696" s="26"/>
      <c r="F2696" s="85" t="str">
        <f t="shared" si="0"/>
        <v/>
      </c>
      <c r="G2696" s="1" t="e">
        <f>IF(VALUE(F2696) = VALUE(RIGHT(Insights!$C$3, 4)), E2696, "")</f>
        <v>#VALUE!</v>
      </c>
      <c r="H2696" s="26" t="e">
        <f t="shared" si="1"/>
        <v>#VALUE!</v>
      </c>
      <c r="I2696" s="1" t="e">
        <f t="shared" si="2"/>
        <v>#VALUE!</v>
      </c>
    </row>
    <row r="2697" spans="1:9" ht="15.75" customHeight="1">
      <c r="A2697" s="26"/>
      <c r="B2697" s="2"/>
      <c r="C2697" s="26"/>
      <c r="D2697" s="26"/>
      <c r="F2697" s="85" t="str">
        <f t="shared" si="0"/>
        <v/>
      </c>
      <c r="G2697" s="1" t="e">
        <f>IF(VALUE(F2697) = VALUE(RIGHT(Insights!$C$3, 4)), E2697, "")</f>
        <v>#VALUE!</v>
      </c>
      <c r="H2697" s="26" t="e">
        <f t="shared" si="1"/>
        <v>#VALUE!</v>
      </c>
      <c r="I2697" s="1" t="e">
        <f t="shared" si="2"/>
        <v>#VALUE!</v>
      </c>
    </row>
    <row r="2698" spans="1:9" ht="15.75" customHeight="1">
      <c r="A2698" s="26"/>
      <c r="B2698" s="2"/>
      <c r="C2698" s="26"/>
      <c r="D2698" s="26"/>
      <c r="F2698" s="85" t="str">
        <f t="shared" si="0"/>
        <v/>
      </c>
      <c r="G2698" s="1" t="e">
        <f>IF(VALUE(F2698) = VALUE(RIGHT(Insights!$C$3, 4)), E2698, "")</f>
        <v>#VALUE!</v>
      </c>
      <c r="H2698" s="26" t="e">
        <f t="shared" si="1"/>
        <v>#VALUE!</v>
      </c>
      <c r="I2698" s="1" t="e">
        <f t="shared" si="2"/>
        <v>#VALUE!</v>
      </c>
    </row>
    <row r="2699" spans="1:9" ht="15.75" customHeight="1">
      <c r="A2699" s="26"/>
      <c r="B2699" s="2"/>
      <c r="C2699" s="26"/>
      <c r="D2699" s="26"/>
      <c r="F2699" s="85" t="str">
        <f t="shared" si="0"/>
        <v/>
      </c>
      <c r="G2699" s="1" t="e">
        <f>IF(VALUE(F2699) = VALUE(RIGHT(Insights!$C$3, 4)), E2699, "")</f>
        <v>#VALUE!</v>
      </c>
      <c r="H2699" s="26" t="e">
        <f t="shared" si="1"/>
        <v>#VALUE!</v>
      </c>
      <c r="I2699" s="1" t="e">
        <f t="shared" si="2"/>
        <v>#VALUE!</v>
      </c>
    </row>
    <row r="2700" spans="1:9" ht="15.75" customHeight="1">
      <c r="A2700" s="26"/>
      <c r="B2700" s="2"/>
      <c r="C2700" s="26"/>
      <c r="D2700" s="26"/>
      <c r="F2700" s="85" t="str">
        <f t="shared" si="0"/>
        <v/>
      </c>
      <c r="G2700" s="1" t="e">
        <f>IF(VALUE(F2700) = VALUE(RIGHT(Insights!$C$3, 4)), E2700, "")</f>
        <v>#VALUE!</v>
      </c>
      <c r="H2700" s="26" t="e">
        <f t="shared" si="1"/>
        <v>#VALUE!</v>
      </c>
      <c r="I2700" s="1" t="e">
        <f t="shared" si="2"/>
        <v>#VALUE!</v>
      </c>
    </row>
    <row r="2701" spans="1:9" ht="15.75" customHeight="1">
      <c r="A2701" s="26"/>
      <c r="B2701" s="2"/>
      <c r="C2701" s="26"/>
      <c r="D2701" s="26"/>
      <c r="F2701" s="85" t="str">
        <f t="shared" si="0"/>
        <v/>
      </c>
      <c r="G2701" s="1" t="e">
        <f>IF(VALUE(F2701) = VALUE(RIGHT(Insights!$C$3, 4)), E2701, "")</f>
        <v>#VALUE!</v>
      </c>
      <c r="H2701" s="26" t="e">
        <f t="shared" si="1"/>
        <v>#VALUE!</v>
      </c>
      <c r="I2701" s="1" t="e">
        <f t="shared" si="2"/>
        <v>#VALUE!</v>
      </c>
    </row>
    <row r="2702" spans="1:9" ht="15.75" customHeight="1">
      <c r="A2702" s="26"/>
      <c r="B2702" s="2"/>
      <c r="C2702" s="26"/>
      <c r="D2702" s="26"/>
      <c r="F2702" s="85" t="str">
        <f t="shared" si="0"/>
        <v/>
      </c>
      <c r="G2702" s="1" t="e">
        <f>IF(VALUE(F2702) = VALUE(RIGHT(Insights!$C$3, 4)), E2702, "")</f>
        <v>#VALUE!</v>
      </c>
      <c r="H2702" s="26" t="e">
        <f t="shared" si="1"/>
        <v>#VALUE!</v>
      </c>
      <c r="I2702" s="1" t="e">
        <f t="shared" si="2"/>
        <v>#VALUE!</v>
      </c>
    </row>
    <row r="2703" spans="1:9" ht="15.75" customHeight="1">
      <c r="A2703" s="26"/>
      <c r="B2703" s="2"/>
      <c r="C2703" s="26"/>
      <c r="D2703" s="26"/>
      <c r="F2703" s="85" t="str">
        <f t="shared" si="0"/>
        <v/>
      </c>
      <c r="G2703" s="1" t="e">
        <f>IF(VALUE(F2703) = VALUE(RIGHT(Insights!$C$3, 4)), E2703, "")</f>
        <v>#VALUE!</v>
      </c>
      <c r="H2703" s="26" t="e">
        <f t="shared" si="1"/>
        <v>#VALUE!</v>
      </c>
      <c r="I2703" s="1" t="e">
        <f t="shared" si="2"/>
        <v>#VALUE!</v>
      </c>
    </row>
    <row r="2704" spans="1:9" ht="15.75" customHeight="1">
      <c r="A2704" s="26"/>
      <c r="B2704" s="2"/>
      <c r="C2704" s="26"/>
      <c r="D2704" s="26"/>
      <c r="F2704" s="85" t="str">
        <f t="shared" si="0"/>
        <v/>
      </c>
      <c r="G2704" s="1" t="e">
        <f>IF(VALUE(F2704) = VALUE(RIGHT(Insights!$C$3, 4)), E2704, "")</f>
        <v>#VALUE!</v>
      </c>
      <c r="H2704" s="26" t="e">
        <f t="shared" si="1"/>
        <v>#VALUE!</v>
      </c>
      <c r="I2704" s="1" t="e">
        <f t="shared" si="2"/>
        <v>#VALUE!</v>
      </c>
    </row>
    <row r="2705" spans="1:9" ht="15.75" customHeight="1">
      <c r="A2705" s="26"/>
      <c r="B2705" s="2"/>
      <c r="C2705" s="26"/>
      <c r="D2705" s="26"/>
      <c r="F2705" s="85" t="str">
        <f t="shared" si="0"/>
        <v/>
      </c>
      <c r="G2705" s="1" t="e">
        <f>IF(VALUE(F2705) = VALUE(RIGHT(Insights!$C$3, 4)), E2705, "")</f>
        <v>#VALUE!</v>
      </c>
      <c r="H2705" s="26" t="e">
        <f t="shared" si="1"/>
        <v>#VALUE!</v>
      </c>
      <c r="I2705" s="1" t="e">
        <f t="shared" si="2"/>
        <v>#VALUE!</v>
      </c>
    </row>
    <row r="2706" spans="1:9" ht="15.75" customHeight="1">
      <c r="A2706" s="26"/>
      <c r="B2706" s="2"/>
      <c r="C2706" s="26"/>
      <c r="D2706" s="26"/>
      <c r="F2706" s="85" t="str">
        <f t="shared" si="0"/>
        <v/>
      </c>
      <c r="G2706" s="1" t="e">
        <f>IF(VALUE(F2706) = VALUE(RIGHT(Insights!$C$3, 4)), E2706, "")</f>
        <v>#VALUE!</v>
      </c>
      <c r="H2706" s="26" t="e">
        <f t="shared" si="1"/>
        <v>#VALUE!</v>
      </c>
      <c r="I2706" s="1" t="e">
        <f t="shared" si="2"/>
        <v>#VALUE!</v>
      </c>
    </row>
    <row r="2707" spans="1:9" ht="15.75" customHeight="1">
      <c r="A2707" s="26"/>
      <c r="B2707" s="2"/>
      <c r="C2707" s="26"/>
      <c r="D2707" s="26"/>
      <c r="F2707" s="85" t="str">
        <f t="shared" si="0"/>
        <v/>
      </c>
      <c r="G2707" s="1" t="e">
        <f>IF(VALUE(F2707) = VALUE(RIGHT(Insights!$C$3, 4)), E2707, "")</f>
        <v>#VALUE!</v>
      </c>
      <c r="H2707" s="26" t="e">
        <f t="shared" si="1"/>
        <v>#VALUE!</v>
      </c>
      <c r="I2707" s="1" t="e">
        <f t="shared" si="2"/>
        <v>#VALUE!</v>
      </c>
    </row>
    <row r="2708" spans="1:9" ht="15.75" customHeight="1">
      <c r="A2708" s="26"/>
      <c r="B2708" s="2"/>
      <c r="C2708" s="26"/>
      <c r="D2708" s="26"/>
      <c r="F2708" s="85" t="str">
        <f t="shared" si="0"/>
        <v/>
      </c>
      <c r="G2708" s="1" t="e">
        <f>IF(VALUE(F2708) = VALUE(RIGHT(Insights!$C$3, 4)), E2708, "")</f>
        <v>#VALUE!</v>
      </c>
      <c r="H2708" s="26" t="e">
        <f t="shared" si="1"/>
        <v>#VALUE!</v>
      </c>
      <c r="I2708" s="1" t="e">
        <f t="shared" si="2"/>
        <v>#VALUE!</v>
      </c>
    </row>
    <row r="2709" spans="1:9" ht="15.75" customHeight="1">
      <c r="A2709" s="26"/>
      <c r="B2709" s="2"/>
      <c r="C2709" s="26"/>
      <c r="D2709" s="26"/>
      <c r="F2709" s="85" t="str">
        <f t="shared" si="0"/>
        <v/>
      </c>
      <c r="G2709" s="1" t="e">
        <f>IF(VALUE(F2709) = VALUE(RIGHT(Insights!$C$3, 4)), E2709, "")</f>
        <v>#VALUE!</v>
      </c>
      <c r="H2709" s="26" t="e">
        <f t="shared" si="1"/>
        <v>#VALUE!</v>
      </c>
      <c r="I2709" s="1" t="e">
        <f t="shared" si="2"/>
        <v>#VALUE!</v>
      </c>
    </row>
    <row r="2710" spans="1:9" ht="15.75" customHeight="1">
      <c r="A2710" s="26"/>
      <c r="B2710" s="2"/>
      <c r="C2710" s="26"/>
      <c r="D2710" s="26"/>
      <c r="F2710" s="85" t="str">
        <f t="shared" si="0"/>
        <v/>
      </c>
      <c r="G2710" s="1" t="e">
        <f>IF(VALUE(F2710) = VALUE(RIGHT(Insights!$C$3, 4)), E2710, "")</f>
        <v>#VALUE!</v>
      </c>
      <c r="H2710" s="26" t="e">
        <f t="shared" si="1"/>
        <v>#VALUE!</v>
      </c>
      <c r="I2710" s="1" t="e">
        <f t="shared" si="2"/>
        <v>#VALUE!</v>
      </c>
    </row>
    <row r="2711" spans="1:9" ht="15.75" customHeight="1">
      <c r="A2711" s="26"/>
      <c r="B2711" s="2"/>
      <c r="C2711" s="26"/>
      <c r="D2711" s="26"/>
      <c r="F2711" s="85" t="str">
        <f t="shared" si="0"/>
        <v/>
      </c>
      <c r="G2711" s="1" t="e">
        <f>IF(VALUE(F2711) = VALUE(RIGHT(Insights!$C$3, 4)), E2711, "")</f>
        <v>#VALUE!</v>
      </c>
      <c r="H2711" s="26" t="e">
        <f t="shared" si="1"/>
        <v>#VALUE!</v>
      </c>
      <c r="I2711" s="1" t="e">
        <f t="shared" si="2"/>
        <v>#VALUE!</v>
      </c>
    </row>
    <row r="2712" spans="1:9" ht="15.75" customHeight="1">
      <c r="A2712" s="26"/>
      <c r="B2712" s="2"/>
      <c r="C2712" s="26"/>
      <c r="D2712" s="26"/>
      <c r="F2712" s="85" t="str">
        <f t="shared" si="0"/>
        <v/>
      </c>
      <c r="G2712" s="1" t="e">
        <f>IF(VALUE(F2712) = VALUE(RIGHT(Insights!$C$3, 4)), E2712, "")</f>
        <v>#VALUE!</v>
      </c>
      <c r="H2712" s="26" t="e">
        <f t="shared" si="1"/>
        <v>#VALUE!</v>
      </c>
      <c r="I2712" s="1" t="e">
        <f t="shared" si="2"/>
        <v>#VALUE!</v>
      </c>
    </row>
    <row r="2713" spans="1:9" ht="15.75" customHeight="1">
      <c r="A2713" s="26"/>
      <c r="B2713" s="2"/>
      <c r="C2713" s="26"/>
      <c r="D2713" s="26"/>
      <c r="F2713" s="85" t="str">
        <f t="shared" si="0"/>
        <v/>
      </c>
      <c r="G2713" s="1" t="e">
        <f>IF(VALUE(F2713) = VALUE(RIGHT(Insights!$C$3, 4)), E2713, "")</f>
        <v>#VALUE!</v>
      </c>
      <c r="H2713" s="26" t="e">
        <f t="shared" si="1"/>
        <v>#VALUE!</v>
      </c>
      <c r="I2713" s="1" t="e">
        <f t="shared" si="2"/>
        <v>#VALUE!</v>
      </c>
    </row>
    <row r="2714" spans="1:9" ht="15.75" customHeight="1">
      <c r="A2714" s="26"/>
      <c r="B2714" s="2"/>
      <c r="C2714" s="26"/>
      <c r="D2714" s="26"/>
      <c r="F2714" s="85" t="str">
        <f t="shared" si="0"/>
        <v/>
      </c>
      <c r="G2714" s="1" t="e">
        <f>IF(VALUE(F2714) = VALUE(RIGHT(Insights!$C$3, 4)), E2714, "")</f>
        <v>#VALUE!</v>
      </c>
      <c r="H2714" s="26" t="e">
        <f t="shared" si="1"/>
        <v>#VALUE!</v>
      </c>
      <c r="I2714" s="1" t="e">
        <f t="shared" si="2"/>
        <v>#VALUE!</v>
      </c>
    </row>
    <row r="2715" spans="1:9" ht="15.75" customHeight="1">
      <c r="A2715" s="26"/>
      <c r="B2715" s="2"/>
      <c r="C2715" s="26"/>
      <c r="D2715" s="26"/>
      <c r="F2715" s="85" t="str">
        <f t="shared" si="0"/>
        <v/>
      </c>
      <c r="G2715" s="1" t="e">
        <f>IF(VALUE(F2715) = VALUE(RIGHT(Insights!$C$3, 4)), E2715, "")</f>
        <v>#VALUE!</v>
      </c>
      <c r="H2715" s="26" t="e">
        <f t="shared" si="1"/>
        <v>#VALUE!</v>
      </c>
      <c r="I2715" s="1" t="e">
        <f t="shared" si="2"/>
        <v>#VALUE!</v>
      </c>
    </row>
    <row r="2716" spans="1:9" ht="15.75" customHeight="1">
      <c r="A2716" s="26"/>
      <c r="B2716" s="2"/>
      <c r="C2716" s="26"/>
      <c r="D2716" s="26"/>
      <c r="F2716" s="85" t="str">
        <f t="shared" si="0"/>
        <v/>
      </c>
      <c r="G2716" s="1" t="e">
        <f>IF(VALUE(F2716) = VALUE(RIGHT(Insights!$C$3, 4)), E2716, "")</f>
        <v>#VALUE!</v>
      </c>
      <c r="H2716" s="26" t="e">
        <f t="shared" si="1"/>
        <v>#VALUE!</v>
      </c>
      <c r="I2716" s="1" t="e">
        <f t="shared" si="2"/>
        <v>#VALUE!</v>
      </c>
    </row>
    <row r="2717" spans="1:9" ht="15.75" customHeight="1">
      <c r="A2717" s="26"/>
      <c r="B2717" s="2"/>
      <c r="C2717" s="26"/>
      <c r="D2717" s="26"/>
      <c r="F2717" s="85" t="str">
        <f t="shared" si="0"/>
        <v/>
      </c>
      <c r="G2717" s="1" t="e">
        <f>IF(VALUE(F2717) = VALUE(RIGHT(Insights!$C$3, 4)), E2717, "")</f>
        <v>#VALUE!</v>
      </c>
      <c r="H2717" s="26" t="e">
        <f t="shared" si="1"/>
        <v>#VALUE!</v>
      </c>
      <c r="I2717" s="1" t="e">
        <f t="shared" si="2"/>
        <v>#VALUE!</v>
      </c>
    </row>
    <row r="2718" spans="1:9" ht="15.75" customHeight="1">
      <c r="A2718" s="26"/>
      <c r="B2718" s="2"/>
      <c r="C2718" s="26"/>
      <c r="D2718" s="26"/>
      <c r="F2718" s="85" t="str">
        <f t="shared" si="0"/>
        <v/>
      </c>
      <c r="G2718" s="1" t="e">
        <f>IF(VALUE(F2718) = VALUE(RIGHT(Insights!$C$3, 4)), E2718, "")</f>
        <v>#VALUE!</v>
      </c>
      <c r="H2718" s="26" t="e">
        <f t="shared" si="1"/>
        <v>#VALUE!</v>
      </c>
      <c r="I2718" s="1" t="e">
        <f t="shared" si="2"/>
        <v>#VALUE!</v>
      </c>
    </row>
    <row r="2719" spans="1:9" ht="15.75" customHeight="1">
      <c r="A2719" s="26"/>
      <c r="B2719" s="2"/>
      <c r="C2719" s="26"/>
      <c r="D2719" s="26"/>
      <c r="F2719" s="85" t="str">
        <f t="shared" si="0"/>
        <v/>
      </c>
      <c r="G2719" s="1" t="e">
        <f>IF(VALUE(F2719) = VALUE(RIGHT(Insights!$C$3, 4)), E2719, "")</f>
        <v>#VALUE!</v>
      </c>
      <c r="H2719" s="26" t="e">
        <f t="shared" si="1"/>
        <v>#VALUE!</v>
      </c>
      <c r="I2719" s="1" t="e">
        <f t="shared" si="2"/>
        <v>#VALUE!</v>
      </c>
    </row>
    <row r="2720" spans="1:9" ht="15.75" customHeight="1">
      <c r="A2720" s="26"/>
      <c r="B2720" s="2"/>
      <c r="C2720" s="26"/>
      <c r="D2720" s="26"/>
      <c r="F2720" s="85" t="str">
        <f t="shared" si="0"/>
        <v/>
      </c>
      <c r="G2720" s="1" t="e">
        <f>IF(VALUE(F2720) = VALUE(RIGHT(Insights!$C$3, 4)), E2720, "")</f>
        <v>#VALUE!</v>
      </c>
      <c r="H2720" s="26" t="e">
        <f t="shared" si="1"/>
        <v>#VALUE!</v>
      </c>
      <c r="I2720" s="1" t="e">
        <f t="shared" si="2"/>
        <v>#VALUE!</v>
      </c>
    </row>
    <row r="2721" spans="1:9" ht="15.75" customHeight="1">
      <c r="A2721" s="26"/>
      <c r="B2721" s="2"/>
      <c r="C2721" s="26"/>
      <c r="D2721" s="26"/>
      <c r="F2721" s="85" t="str">
        <f t="shared" si="0"/>
        <v/>
      </c>
      <c r="G2721" s="1" t="e">
        <f>IF(VALUE(F2721) = VALUE(RIGHT(Insights!$C$3, 4)), E2721, "")</f>
        <v>#VALUE!</v>
      </c>
      <c r="H2721" s="26" t="e">
        <f t="shared" si="1"/>
        <v>#VALUE!</v>
      </c>
      <c r="I2721" s="1" t="e">
        <f t="shared" si="2"/>
        <v>#VALUE!</v>
      </c>
    </row>
    <row r="2722" spans="1:9" ht="15.75" customHeight="1">
      <c r="A2722" s="26"/>
      <c r="B2722" s="2"/>
      <c r="C2722" s="26"/>
      <c r="D2722" s="26"/>
      <c r="F2722" s="85" t="str">
        <f t="shared" si="0"/>
        <v/>
      </c>
      <c r="G2722" s="1" t="e">
        <f>IF(VALUE(F2722) = VALUE(RIGHT(Insights!$C$3, 4)), E2722, "")</f>
        <v>#VALUE!</v>
      </c>
      <c r="H2722" s="26" t="e">
        <f t="shared" si="1"/>
        <v>#VALUE!</v>
      </c>
      <c r="I2722" s="1" t="e">
        <f t="shared" si="2"/>
        <v>#VALUE!</v>
      </c>
    </row>
    <row r="2723" spans="1:9" ht="15.75" customHeight="1">
      <c r="A2723" s="26"/>
      <c r="B2723" s="2"/>
      <c r="C2723" s="26"/>
      <c r="D2723" s="26"/>
      <c r="F2723" s="85" t="str">
        <f t="shared" si="0"/>
        <v/>
      </c>
      <c r="G2723" s="1" t="e">
        <f>IF(VALUE(F2723) = VALUE(RIGHT(Insights!$C$3, 4)), E2723, "")</f>
        <v>#VALUE!</v>
      </c>
      <c r="H2723" s="26" t="e">
        <f t="shared" si="1"/>
        <v>#VALUE!</v>
      </c>
      <c r="I2723" s="1" t="e">
        <f t="shared" si="2"/>
        <v>#VALUE!</v>
      </c>
    </row>
    <row r="2724" spans="1:9" ht="15.75" customHeight="1">
      <c r="A2724" s="26"/>
      <c r="B2724" s="2"/>
      <c r="C2724" s="26"/>
      <c r="D2724" s="26"/>
      <c r="F2724" s="85" t="str">
        <f t="shared" si="0"/>
        <v/>
      </c>
      <c r="G2724" s="1" t="e">
        <f>IF(VALUE(F2724) = VALUE(RIGHT(Insights!$C$3, 4)), E2724, "")</f>
        <v>#VALUE!</v>
      </c>
      <c r="H2724" s="26" t="e">
        <f t="shared" si="1"/>
        <v>#VALUE!</v>
      </c>
      <c r="I2724" s="1" t="e">
        <f t="shared" si="2"/>
        <v>#VALUE!</v>
      </c>
    </row>
    <row r="2725" spans="1:9" ht="15.75" customHeight="1">
      <c r="A2725" s="26"/>
      <c r="B2725" s="2"/>
      <c r="C2725" s="26"/>
      <c r="D2725" s="26"/>
      <c r="F2725" s="85" t="str">
        <f t="shared" si="0"/>
        <v/>
      </c>
      <c r="G2725" s="1" t="e">
        <f>IF(VALUE(F2725) = VALUE(RIGHT(Insights!$C$3, 4)), E2725, "")</f>
        <v>#VALUE!</v>
      </c>
      <c r="H2725" s="26" t="e">
        <f t="shared" si="1"/>
        <v>#VALUE!</v>
      </c>
      <c r="I2725" s="1" t="e">
        <f t="shared" si="2"/>
        <v>#VALUE!</v>
      </c>
    </row>
    <row r="2726" spans="1:9" ht="15.75" customHeight="1">
      <c r="A2726" s="26"/>
      <c r="B2726" s="2"/>
      <c r="C2726" s="26"/>
      <c r="D2726" s="26"/>
      <c r="F2726" s="85" t="str">
        <f t="shared" si="0"/>
        <v/>
      </c>
      <c r="G2726" s="1" t="e">
        <f>IF(VALUE(F2726) = VALUE(RIGHT(Insights!$C$3, 4)), E2726, "")</f>
        <v>#VALUE!</v>
      </c>
      <c r="H2726" s="26" t="e">
        <f t="shared" si="1"/>
        <v>#VALUE!</v>
      </c>
      <c r="I2726" s="1" t="e">
        <f t="shared" si="2"/>
        <v>#VALUE!</v>
      </c>
    </row>
    <row r="2727" spans="1:9" ht="15.75" customHeight="1">
      <c r="A2727" s="26"/>
      <c r="B2727" s="2"/>
      <c r="C2727" s="26"/>
      <c r="D2727" s="26"/>
      <c r="F2727" s="85" t="str">
        <f t="shared" si="0"/>
        <v/>
      </c>
      <c r="G2727" s="1" t="e">
        <f>IF(VALUE(F2727) = VALUE(RIGHT(Insights!$C$3, 4)), E2727, "")</f>
        <v>#VALUE!</v>
      </c>
      <c r="H2727" s="26" t="e">
        <f t="shared" si="1"/>
        <v>#VALUE!</v>
      </c>
      <c r="I2727" s="1" t="e">
        <f t="shared" si="2"/>
        <v>#VALUE!</v>
      </c>
    </row>
    <row r="2728" spans="1:9" ht="15.75" customHeight="1">
      <c r="A2728" s="26"/>
      <c r="B2728" s="2"/>
      <c r="C2728" s="26"/>
      <c r="D2728" s="26"/>
      <c r="F2728" s="85" t="str">
        <f t="shared" si="0"/>
        <v/>
      </c>
      <c r="G2728" s="1" t="e">
        <f>IF(VALUE(F2728) = VALUE(RIGHT(Insights!$C$3, 4)), E2728, "")</f>
        <v>#VALUE!</v>
      </c>
      <c r="H2728" s="26" t="e">
        <f t="shared" si="1"/>
        <v>#VALUE!</v>
      </c>
      <c r="I2728" s="1" t="e">
        <f t="shared" si="2"/>
        <v>#VALUE!</v>
      </c>
    </row>
    <row r="2729" spans="1:9" ht="15.75" customHeight="1">
      <c r="A2729" s="26"/>
      <c r="B2729" s="2"/>
      <c r="C2729" s="26"/>
      <c r="D2729" s="26"/>
      <c r="F2729" s="85" t="str">
        <f t="shared" si="0"/>
        <v/>
      </c>
      <c r="G2729" s="1" t="e">
        <f>IF(VALUE(F2729) = VALUE(RIGHT(Insights!$C$3, 4)), E2729, "")</f>
        <v>#VALUE!</v>
      </c>
      <c r="H2729" s="26" t="e">
        <f t="shared" si="1"/>
        <v>#VALUE!</v>
      </c>
      <c r="I2729" s="1" t="e">
        <f t="shared" si="2"/>
        <v>#VALUE!</v>
      </c>
    </row>
    <row r="2730" spans="1:9" ht="15.75" customHeight="1">
      <c r="A2730" s="26"/>
      <c r="B2730" s="2"/>
      <c r="C2730" s="26"/>
      <c r="D2730" s="26"/>
      <c r="F2730" s="85" t="str">
        <f t="shared" si="0"/>
        <v/>
      </c>
      <c r="G2730" s="1" t="e">
        <f>IF(VALUE(F2730) = VALUE(RIGHT(Insights!$C$3, 4)), E2730, "")</f>
        <v>#VALUE!</v>
      </c>
      <c r="H2730" s="26" t="e">
        <f t="shared" si="1"/>
        <v>#VALUE!</v>
      </c>
      <c r="I2730" s="1" t="e">
        <f t="shared" si="2"/>
        <v>#VALUE!</v>
      </c>
    </row>
    <row r="2731" spans="1:9" ht="15.75" customHeight="1">
      <c r="A2731" s="26"/>
      <c r="B2731" s="2"/>
      <c r="C2731" s="26"/>
      <c r="D2731" s="26"/>
      <c r="F2731" s="85" t="str">
        <f t="shared" si="0"/>
        <v/>
      </c>
      <c r="G2731" s="1" t="e">
        <f>IF(VALUE(F2731) = VALUE(RIGHT(Insights!$C$3, 4)), E2731, "")</f>
        <v>#VALUE!</v>
      </c>
      <c r="H2731" s="26" t="e">
        <f t="shared" si="1"/>
        <v>#VALUE!</v>
      </c>
      <c r="I2731" s="1" t="e">
        <f t="shared" si="2"/>
        <v>#VALUE!</v>
      </c>
    </row>
    <row r="2732" spans="1:9" ht="15.75" customHeight="1">
      <c r="A2732" s="26"/>
      <c r="B2732" s="2"/>
      <c r="C2732" s="26"/>
      <c r="D2732" s="26"/>
      <c r="F2732" s="85" t="str">
        <f t="shared" si="0"/>
        <v/>
      </c>
      <c r="G2732" s="1" t="e">
        <f>IF(VALUE(F2732) = VALUE(RIGHT(Insights!$C$3, 4)), E2732, "")</f>
        <v>#VALUE!</v>
      </c>
      <c r="H2732" s="26" t="e">
        <f t="shared" si="1"/>
        <v>#VALUE!</v>
      </c>
      <c r="I2732" s="1" t="e">
        <f t="shared" si="2"/>
        <v>#VALUE!</v>
      </c>
    </row>
    <row r="2733" spans="1:9" ht="15.75" customHeight="1">
      <c r="A2733" s="26"/>
      <c r="B2733" s="2"/>
      <c r="C2733" s="26"/>
      <c r="D2733" s="26"/>
      <c r="F2733" s="85" t="str">
        <f t="shared" si="0"/>
        <v/>
      </c>
      <c r="G2733" s="1" t="e">
        <f>IF(VALUE(F2733) = VALUE(RIGHT(Insights!$C$3, 4)), E2733, "")</f>
        <v>#VALUE!</v>
      </c>
      <c r="H2733" s="26" t="e">
        <f t="shared" si="1"/>
        <v>#VALUE!</v>
      </c>
      <c r="I2733" s="1" t="e">
        <f t="shared" si="2"/>
        <v>#VALUE!</v>
      </c>
    </row>
    <row r="2734" spans="1:9" ht="15.75" customHeight="1">
      <c r="A2734" s="26"/>
      <c r="B2734" s="2"/>
      <c r="C2734" s="26"/>
      <c r="D2734" s="26"/>
      <c r="F2734" s="85" t="str">
        <f t="shared" si="0"/>
        <v/>
      </c>
      <c r="G2734" s="1" t="e">
        <f>IF(VALUE(F2734) = VALUE(RIGHT(Insights!$C$3, 4)), E2734, "")</f>
        <v>#VALUE!</v>
      </c>
      <c r="H2734" s="26" t="e">
        <f t="shared" si="1"/>
        <v>#VALUE!</v>
      </c>
      <c r="I2734" s="1" t="e">
        <f t="shared" si="2"/>
        <v>#VALUE!</v>
      </c>
    </row>
    <row r="2735" spans="1:9" ht="15.75" customHeight="1">
      <c r="A2735" s="26"/>
      <c r="B2735" s="2"/>
      <c r="C2735" s="26"/>
      <c r="D2735" s="26"/>
      <c r="F2735" s="85" t="str">
        <f t="shared" si="0"/>
        <v/>
      </c>
      <c r="G2735" s="1" t="e">
        <f>IF(VALUE(F2735) = VALUE(RIGHT(Insights!$C$3, 4)), E2735, "")</f>
        <v>#VALUE!</v>
      </c>
      <c r="H2735" s="26" t="e">
        <f t="shared" si="1"/>
        <v>#VALUE!</v>
      </c>
      <c r="I2735" s="1" t="e">
        <f t="shared" si="2"/>
        <v>#VALUE!</v>
      </c>
    </row>
    <row r="2736" spans="1:9" ht="15.75" customHeight="1">
      <c r="A2736" s="26"/>
      <c r="B2736" s="2"/>
      <c r="C2736" s="26"/>
      <c r="D2736" s="26"/>
      <c r="F2736" s="85" t="str">
        <f t="shared" si="0"/>
        <v/>
      </c>
      <c r="G2736" s="1" t="e">
        <f>IF(VALUE(F2736) = VALUE(RIGHT(Insights!$C$3, 4)), E2736, "")</f>
        <v>#VALUE!</v>
      </c>
      <c r="H2736" s="26" t="e">
        <f t="shared" si="1"/>
        <v>#VALUE!</v>
      </c>
      <c r="I2736" s="1" t="e">
        <f t="shared" si="2"/>
        <v>#VALUE!</v>
      </c>
    </row>
    <row r="2737" spans="1:9" ht="15.75" customHeight="1">
      <c r="A2737" s="26"/>
      <c r="B2737" s="2"/>
      <c r="C2737" s="26"/>
      <c r="D2737" s="26"/>
      <c r="F2737" s="85" t="str">
        <f t="shared" si="0"/>
        <v/>
      </c>
      <c r="G2737" s="1" t="e">
        <f>IF(VALUE(F2737) = VALUE(RIGHT(Insights!$C$3, 4)), E2737, "")</f>
        <v>#VALUE!</v>
      </c>
      <c r="H2737" s="26" t="e">
        <f t="shared" si="1"/>
        <v>#VALUE!</v>
      </c>
      <c r="I2737" s="1" t="e">
        <f t="shared" si="2"/>
        <v>#VALUE!</v>
      </c>
    </row>
    <row r="2738" spans="1:9" ht="15.75" customHeight="1">
      <c r="A2738" s="26"/>
      <c r="B2738" s="2"/>
      <c r="C2738" s="26"/>
      <c r="D2738" s="26"/>
      <c r="F2738" s="85" t="str">
        <f t="shared" si="0"/>
        <v/>
      </c>
      <c r="G2738" s="1" t="e">
        <f>IF(VALUE(F2738) = VALUE(RIGHT(Insights!$C$3, 4)), E2738, "")</f>
        <v>#VALUE!</v>
      </c>
      <c r="H2738" s="26" t="e">
        <f t="shared" si="1"/>
        <v>#VALUE!</v>
      </c>
      <c r="I2738" s="1" t="e">
        <f t="shared" si="2"/>
        <v>#VALUE!</v>
      </c>
    </row>
    <row r="2739" spans="1:9" ht="15.75" customHeight="1">
      <c r="A2739" s="26"/>
      <c r="B2739" s="2"/>
      <c r="C2739" s="26"/>
      <c r="D2739" s="26"/>
      <c r="F2739" s="85" t="str">
        <f t="shared" si="0"/>
        <v/>
      </c>
      <c r="G2739" s="1" t="e">
        <f>IF(VALUE(F2739) = VALUE(RIGHT(Insights!$C$3, 4)), E2739, "")</f>
        <v>#VALUE!</v>
      </c>
      <c r="H2739" s="26" t="e">
        <f t="shared" si="1"/>
        <v>#VALUE!</v>
      </c>
      <c r="I2739" s="1" t="e">
        <f t="shared" si="2"/>
        <v>#VALUE!</v>
      </c>
    </row>
    <row r="2740" spans="1:9" ht="15.75" customHeight="1">
      <c r="A2740" s="26"/>
      <c r="B2740" s="2"/>
      <c r="C2740" s="26"/>
      <c r="D2740" s="26"/>
      <c r="F2740" s="85" t="str">
        <f t="shared" si="0"/>
        <v/>
      </c>
      <c r="G2740" s="1" t="e">
        <f>IF(VALUE(F2740) = VALUE(RIGHT(Insights!$C$3, 4)), E2740, "")</f>
        <v>#VALUE!</v>
      </c>
      <c r="H2740" s="26" t="e">
        <f t="shared" si="1"/>
        <v>#VALUE!</v>
      </c>
      <c r="I2740" s="1" t="e">
        <f t="shared" si="2"/>
        <v>#VALUE!</v>
      </c>
    </row>
    <row r="2741" spans="1:9" ht="15.75" customHeight="1">
      <c r="A2741" s="26"/>
      <c r="B2741" s="2"/>
      <c r="C2741" s="26"/>
      <c r="D2741" s="26"/>
      <c r="F2741" s="85" t="str">
        <f t="shared" si="0"/>
        <v/>
      </c>
      <c r="G2741" s="1" t="e">
        <f>IF(VALUE(F2741) = VALUE(RIGHT(Insights!$C$3, 4)), E2741, "")</f>
        <v>#VALUE!</v>
      </c>
      <c r="H2741" s="26" t="e">
        <f t="shared" si="1"/>
        <v>#VALUE!</v>
      </c>
      <c r="I2741" s="1" t="e">
        <f t="shared" si="2"/>
        <v>#VALUE!</v>
      </c>
    </row>
    <row r="2742" spans="1:9" ht="15.75" customHeight="1">
      <c r="A2742" s="26"/>
      <c r="B2742" s="2"/>
      <c r="C2742" s="26"/>
      <c r="D2742" s="26"/>
      <c r="F2742" s="85" t="str">
        <f t="shared" si="0"/>
        <v/>
      </c>
      <c r="G2742" s="1" t="e">
        <f>IF(VALUE(F2742) = VALUE(RIGHT(Insights!$C$3, 4)), E2742, "")</f>
        <v>#VALUE!</v>
      </c>
      <c r="H2742" s="26" t="e">
        <f t="shared" si="1"/>
        <v>#VALUE!</v>
      </c>
      <c r="I2742" s="1" t="e">
        <f t="shared" si="2"/>
        <v>#VALUE!</v>
      </c>
    </row>
    <row r="2743" spans="1:9" ht="15.75" customHeight="1">
      <c r="A2743" s="26"/>
      <c r="B2743" s="2"/>
      <c r="C2743" s="26"/>
      <c r="D2743" s="26"/>
      <c r="F2743" s="85" t="str">
        <f t="shared" si="0"/>
        <v/>
      </c>
      <c r="G2743" s="1" t="e">
        <f>IF(VALUE(F2743) = VALUE(RIGHT(Insights!$C$3, 4)), E2743, "")</f>
        <v>#VALUE!</v>
      </c>
      <c r="H2743" s="26" t="e">
        <f t="shared" si="1"/>
        <v>#VALUE!</v>
      </c>
      <c r="I2743" s="1" t="e">
        <f t="shared" si="2"/>
        <v>#VALUE!</v>
      </c>
    </row>
    <row r="2744" spans="1:9" ht="15.75" customHeight="1">
      <c r="A2744" s="26"/>
      <c r="B2744" s="2"/>
      <c r="C2744" s="26"/>
      <c r="D2744" s="26"/>
      <c r="F2744" s="85" t="str">
        <f t="shared" si="0"/>
        <v/>
      </c>
      <c r="G2744" s="1" t="e">
        <f>IF(VALUE(F2744) = VALUE(RIGHT(Insights!$C$3, 4)), E2744, "")</f>
        <v>#VALUE!</v>
      </c>
      <c r="H2744" s="26" t="e">
        <f t="shared" si="1"/>
        <v>#VALUE!</v>
      </c>
      <c r="I2744" s="1" t="e">
        <f t="shared" si="2"/>
        <v>#VALUE!</v>
      </c>
    </row>
    <row r="2745" spans="1:9" ht="15.75" customHeight="1">
      <c r="A2745" s="26"/>
      <c r="B2745" s="2"/>
      <c r="C2745" s="26"/>
      <c r="D2745" s="26"/>
      <c r="F2745" s="85" t="str">
        <f t="shared" si="0"/>
        <v/>
      </c>
      <c r="G2745" s="1" t="e">
        <f>IF(VALUE(F2745) = VALUE(RIGHT(Insights!$C$3, 4)), E2745, "")</f>
        <v>#VALUE!</v>
      </c>
      <c r="H2745" s="26" t="e">
        <f t="shared" si="1"/>
        <v>#VALUE!</v>
      </c>
      <c r="I2745" s="1" t="e">
        <f t="shared" si="2"/>
        <v>#VALUE!</v>
      </c>
    </row>
    <row r="2746" spans="1:9" ht="15.75" customHeight="1">
      <c r="A2746" s="26"/>
      <c r="B2746" s="2"/>
      <c r="C2746" s="26"/>
      <c r="D2746" s="26"/>
      <c r="F2746" s="85" t="str">
        <f t="shared" si="0"/>
        <v/>
      </c>
      <c r="G2746" s="1" t="e">
        <f>IF(VALUE(F2746) = VALUE(RIGHT(Insights!$C$3, 4)), E2746, "")</f>
        <v>#VALUE!</v>
      </c>
      <c r="H2746" s="26" t="e">
        <f t="shared" si="1"/>
        <v>#VALUE!</v>
      </c>
      <c r="I2746" s="1" t="e">
        <f t="shared" si="2"/>
        <v>#VALUE!</v>
      </c>
    </row>
    <row r="2747" spans="1:9" ht="15.75" customHeight="1">
      <c r="A2747" s="26"/>
      <c r="B2747" s="2"/>
      <c r="C2747" s="26"/>
      <c r="D2747" s="26"/>
      <c r="F2747" s="85" t="str">
        <f t="shared" si="0"/>
        <v/>
      </c>
      <c r="G2747" s="1" t="e">
        <f>IF(VALUE(F2747) = VALUE(RIGHT(Insights!$C$3, 4)), E2747, "")</f>
        <v>#VALUE!</v>
      </c>
      <c r="H2747" s="26" t="e">
        <f t="shared" si="1"/>
        <v>#VALUE!</v>
      </c>
      <c r="I2747" s="1" t="e">
        <f t="shared" si="2"/>
        <v>#VALUE!</v>
      </c>
    </row>
    <row r="2748" spans="1:9" ht="15.75" customHeight="1">
      <c r="A2748" s="26"/>
      <c r="B2748" s="2"/>
      <c r="C2748" s="26"/>
      <c r="D2748" s="26"/>
      <c r="F2748" s="85" t="str">
        <f t="shared" si="0"/>
        <v/>
      </c>
      <c r="G2748" s="1" t="e">
        <f>IF(VALUE(F2748) = VALUE(RIGHT(Insights!$C$3, 4)), E2748, "")</f>
        <v>#VALUE!</v>
      </c>
      <c r="H2748" s="26" t="e">
        <f t="shared" si="1"/>
        <v>#VALUE!</v>
      </c>
      <c r="I2748" s="1" t="e">
        <f t="shared" si="2"/>
        <v>#VALUE!</v>
      </c>
    </row>
    <row r="2749" spans="1:9" ht="15.75" customHeight="1">
      <c r="A2749" s="26"/>
      <c r="B2749" s="2"/>
      <c r="C2749" s="26"/>
      <c r="D2749" s="26"/>
      <c r="F2749" s="85" t="str">
        <f t="shared" si="0"/>
        <v/>
      </c>
      <c r="G2749" s="1" t="e">
        <f>IF(VALUE(F2749) = VALUE(RIGHT(Insights!$C$3, 4)), E2749, "")</f>
        <v>#VALUE!</v>
      </c>
      <c r="H2749" s="26" t="e">
        <f t="shared" si="1"/>
        <v>#VALUE!</v>
      </c>
      <c r="I2749" s="1" t="e">
        <f t="shared" si="2"/>
        <v>#VALUE!</v>
      </c>
    </row>
    <row r="2750" spans="1:9" ht="15.75" customHeight="1">
      <c r="A2750" s="26"/>
      <c r="B2750" s="2"/>
      <c r="C2750" s="26"/>
      <c r="D2750" s="26"/>
      <c r="F2750" s="85" t="str">
        <f t="shared" si="0"/>
        <v/>
      </c>
      <c r="G2750" s="1" t="e">
        <f>IF(VALUE(F2750) = VALUE(RIGHT(Insights!$C$3, 4)), E2750, "")</f>
        <v>#VALUE!</v>
      </c>
      <c r="H2750" s="26" t="e">
        <f t="shared" si="1"/>
        <v>#VALUE!</v>
      </c>
      <c r="I2750" s="1" t="e">
        <f t="shared" si="2"/>
        <v>#VALUE!</v>
      </c>
    </row>
    <row r="2751" spans="1:9" ht="15.75" customHeight="1">
      <c r="A2751" s="26"/>
      <c r="B2751" s="2"/>
      <c r="C2751" s="26"/>
      <c r="D2751" s="26"/>
      <c r="F2751" s="85" t="str">
        <f t="shared" si="0"/>
        <v/>
      </c>
      <c r="G2751" s="1" t="e">
        <f>IF(VALUE(F2751) = VALUE(RIGHT(Insights!$C$3, 4)), E2751, "")</f>
        <v>#VALUE!</v>
      </c>
      <c r="H2751" s="26" t="e">
        <f t="shared" si="1"/>
        <v>#VALUE!</v>
      </c>
      <c r="I2751" s="1" t="e">
        <f t="shared" si="2"/>
        <v>#VALUE!</v>
      </c>
    </row>
    <row r="2752" spans="1:9" ht="15.75" customHeight="1">
      <c r="A2752" s="26"/>
      <c r="B2752" s="2"/>
      <c r="C2752" s="26"/>
      <c r="D2752" s="26"/>
      <c r="F2752" s="85" t="str">
        <f t="shared" si="0"/>
        <v/>
      </c>
      <c r="G2752" s="1" t="e">
        <f>IF(VALUE(F2752) = VALUE(RIGHT(Insights!$C$3, 4)), E2752, "")</f>
        <v>#VALUE!</v>
      </c>
      <c r="H2752" s="26" t="e">
        <f t="shared" si="1"/>
        <v>#VALUE!</v>
      </c>
      <c r="I2752" s="1" t="e">
        <f t="shared" si="2"/>
        <v>#VALUE!</v>
      </c>
    </row>
    <row r="2753" spans="1:9" ht="15.75" customHeight="1">
      <c r="A2753" s="26"/>
      <c r="B2753" s="2"/>
      <c r="C2753" s="26"/>
      <c r="D2753" s="26"/>
      <c r="F2753" s="85" t="str">
        <f t="shared" si="0"/>
        <v/>
      </c>
      <c r="G2753" s="1" t="e">
        <f>IF(VALUE(F2753) = VALUE(RIGHT(Insights!$C$3, 4)), E2753, "")</f>
        <v>#VALUE!</v>
      </c>
      <c r="H2753" s="26" t="e">
        <f t="shared" si="1"/>
        <v>#VALUE!</v>
      </c>
      <c r="I2753" s="1" t="e">
        <f t="shared" si="2"/>
        <v>#VALUE!</v>
      </c>
    </row>
    <row r="2754" spans="1:9" ht="15.75" customHeight="1">
      <c r="A2754" s="26"/>
      <c r="B2754" s="2"/>
      <c r="C2754" s="26"/>
      <c r="D2754" s="26"/>
      <c r="F2754" s="85" t="str">
        <f t="shared" si="0"/>
        <v/>
      </c>
      <c r="G2754" s="1" t="e">
        <f>IF(VALUE(F2754) = VALUE(RIGHT(Insights!$C$3, 4)), E2754, "")</f>
        <v>#VALUE!</v>
      </c>
      <c r="H2754" s="26" t="e">
        <f t="shared" si="1"/>
        <v>#VALUE!</v>
      </c>
      <c r="I2754" s="1" t="e">
        <f t="shared" si="2"/>
        <v>#VALUE!</v>
      </c>
    </row>
    <row r="2755" spans="1:9" ht="15.75" customHeight="1">
      <c r="A2755" s="26"/>
      <c r="B2755" s="2"/>
      <c r="C2755" s="26"/>
      <c r="D2755" s="26"/>
      <c r="F2755" s="85" t="str">
        <f t="shared" si="0"/>
        <v/>
      </c>
      <c r="G2755" s="1" t="e">
        <f>IF(VALUE(F2755) = VALUE(RIGHT(Insights!$C$3, 4)), E2755, "")</f>
        <v>#VALUE!</v>
      </c>
      <c r="H2755" s="26" t="e">
        <f t="shared" si="1"/>
        <v>#VALUE!</v>
      </c>
      <c r="I2755" s="1" t="e">
        <f t="shared" si="2"/>
        <v>#VALUE!</v>
      </c>
    </row>
    <row r="2756" spans="1:9" ht="15.75" customHeight="1">
      <c r="A2756" s="26"/>
      <c r="B2756" s="2"/>
      <c r="C2756" s="26"/>
      <c r="D2756" s="26"/>
      <c r="F2756" s="85" t="str">
        <f t="shared" si="0"/>
        <v/>
      </c>
      <c r="G2756" s="1" t="e">
        <f>IF(VALUE(F2756) = VALUE(RIGHT(Insights!$C$3, 4)), E2756, "")</f>
        <v>#VALUE!</v>
      </c>
      <c r="H2756" s="26" t="e">
        <f t="shared" si="1"/>
        <v>#VALUE!</v>
      </c>
      <c r="I2756" s="1" t="e">
        <f t="shared" si="2"/>
        <v>#VALUE!</v>
      </c>
    </row>
    <row r="2757" spans="1:9" ht="15.75" customHeight="1">
      <c r="A2757" s="26"/>
      <c r="B2757" s="2"/>
      <c r="C2757" s="26"/>
      <c r="D2757" s="26"/>
      <c r="F2757" s="85" t="str">
        <f t="shared" si="0"/>
        <v/>
      </c>
      <c r="G2757" s="1" t="e">
        <f>IF(VALUE(F2757) = VALUE(RIGHT(Insights!$C$3, 4)), E2757, "")</f>
        <v>#VALUE!</v>
      </c>
      <c r="H2757" s="26" t="e">
        <f t="shared" si="1"/>
        <v>#VALUE!</v>
      </c>
      <c r="I2757" s="1" t="e">
        <f t="shared" si="2"/>
        <v>#VALUE!</v>
      </c>
    </row>
    <row r="2758" spans="1:9" ht="15.75" customHeight="1">
      <c r="A2758" s="26"/>
      <c r="B2758" s="2"/>
      <c r="C2758" s="26"/>
      <c r="D2758" s="26"/>
      <c r="F2758" s="85" t="str">
        <f t="shared" si="0"/>
        <v/>
      </c>
      <c r="G2758" s="1" t="e">
        <f>IF(VALUE(F2758) = VALUE(RIGHT(Insights!$C$3, 4)), E2758, "")</f>
        <v>#VALUE!</v>
      </c>
      <c r="H2758" s="26" t="e">
        <f t="shared" si="1"/>
        <v>#VALUE!</v>
      </c>
      <c r="I2758" s="1" t="e">
        <f t="shared" si="2"/>
        <v>#VALUE!</v>
      </c>
    </row>
    <row r="2759" spans="1:9" ht="15.75" customHeight="1">
      <c r="A2759" s="26"/>
      <c r="B2759" s="2"/>
      <c r="C2759" s="26"/>
      <c r="D2759" s="26"/>
      <c r="F2759" s="85" t="str">
        <f t="shared" si="0"/>
        <v/>
      </c>
      <c r="G2759" s="1" t="e">
        <f>IF(VALUE(F2759) = VALUE(RIGHT(Insights!$C$3, 4)), E2759, "")</f>
        <v>#VALUE!</v>
      </c>
      <c r="H2759" s="26" t="e">
        <f t="shared" si="1"/>
        <v>#VALUE!</v>
      </c>
      <c r="I2759" s="1" t="e">
        <f t="shared" si="2"/>
        <v>#VALUE!</v>
      </c>
    </row>
    <row r="2760" spans="1:9" ht="15.75" customHeight="1">
      <c r="A2760" s="26"/>
      <c r="B2760" s="2"/>
      <c r="C2760" s="26"/>
      <c r="D2760" s="26"/>
      <c r="F2760" s="85" t="str">
        <f t="shared" si="0"/>
        <v/>
      </c>
      <c r="G2760" s="1" t="e">
        <f>IF(VALUE(F2760) = VALUE(RIGHT(Insights!$C$3, 4)), E2760, "")</f>
        <v>#VALUE!</v>
      </c>
      <c r="H2760" s="26" t="e">
        <f t="shared" si="1"/>
        <v>#VALUE!</v>
      </c>
      <c r="I2760" s="1" t="e">
        <f t="shared" si="2"/>
        <v>#VALUE!</v>
      </c>
    </row>
    <row r="2761" spans="1:9" ht="15.75" customHeight="1">
      <c r="A2761" s="26"/>
      <c r="B2761" s="2"/>
      <c r="C2761" s="26"/>
      <c r="D2761" s="26"/>
      <c r="F2761" s="85" t="str">
        <f t="shared" si="0"/>
        <v/>
      </c>
      <c r="G2761" s="1" t="e">
        <f>IF(VALUE(F2761) = VALUE(RIGHT(Insights!$C$3, 4)), E2761, "")</f>
        <v>#VALUE!</v>
      </c>
      <c r="H2761" s="26" t="e">
        <f t="shared" si="1"/>
        <v>#VALUE!</v>
      </c>
      <c r="I2761" s="1" t="e">
        <f t="shared" si="2"/>
        <v>#VALUE!</v>
      </c>
    </row>
    <row r="2762" spans="1:9" ht="15.75" customHeight="1">
      <c r="A2762" s="26"/>
      <c r="B2762" s="2"/>
      <c r="C2762" s="26"/>
      <c r="D2762" s="26"/>
      <c r="F2762" s="85" t="str">
        <f t="shared" si="0"/>
        <v/>
      </c>
      <c r="G2762" s="1" t="e">
        <f>IF(VALUE(F2762) = VALUE(RIGHT(Insights!$C$3, 4)), E2762, "")</f>
        <v>#VALUE!</v>
      </c>
      <c r="H2762" s="26" t="e">
        <f t="shared" si="1"/>
        <v>#VALUE!</v>
      </c>
      <c r="I2762" s="1" t="e">
        <f t="shared" si="2"/>
        <v>#VALUE!</v>
      </c>
    </row>
    <row r="2763" spans="1:9" ht="15.75" customHeight="1">
      <c r="A2763" s="26"/>
      <c r="B2763" s="2"/>
      <c r="C2763" s="26"/>
      <c r="D2763" s="26"/>
      <c r="F2763" s="85" t="str">
        <f t="shared" si="0"/>
        <v/>
      </c>
      <c r="G2763" s="1" t="e">
        <f>IF(VALUE(F2763) = VALUE(RIGHT(Insights!$C$3, 4)), E2763, "")</f>
        <v>#VALUE!</v>
      </c>
      <c r="H2763" s="26" t="e">
        <f t="shared" si="1"/>
        <v>#VALUE!</v>
      </c>
      <c r="I2763" s="1" t="e">
        <f t="shared" si="2"/>
        <v>#VALUE!</v>
      </c>
    </row>
    <row r="2764" spans="1:9" ht="15.75" customHeight="1">
      <c r="A2764" s="26"/>
      <c r="B2764" s="2"/>
      <c r="C2764" s="26"/>
      <c r="D2764" s="26"/>
      <c r="F2764" s="85" t="str">
        <f t="shared" si="0"/>
        <v/>
      </c>
      <c r="G2764" s="1" t="e">
        <f>IF(VALUE(F2764) = VALUE(RIGHT(Insights!$C$3, 4)), E2764, "")</f>
        <v>#VALUE!</v>
      </c>
      <c r="H2764" s="26" t="e">
        <f t="shared" si="1"/>
        <v>#VALUE!</v>
      </c>
      <c r="I2764" s="1" t="e">
        <f t="shared" si="2"/>
        <v>#VALUE!</v>
      </c>
    </row>
    <row r="2765" spans="1:9" ht="15.75" customHeight="1">
      <c r="A2765" s="26"/>
      <c r="B2765" s="2"/>
      <c r="C2765" s="26"/>
      <c r="D2765" s="26"/>
      <c r="F2765" s="85" t="str">
        <f t="shared" si="0"/>
        <v/>
      </c>
      <c r="G2765" s="1" t="e">
        <f>IF(VALUE(F2765) = VALUE(RIGHT(Insights!$C$3, 4)), E2765, "")</f>
        <v>#VALUE!</v>
      </c>
      <c r="H2765" s="26" t="e">
        <f t="shared" si="1"/>
        <v>#VALUE!</v>
      </c>
      <c r="I2765" s="1" t="e">
        <f t="shared" si="2"/>
        <v>#VALUE!</v>
      </c>
    </row>
    <row r="2766" spans="1:9" ht="15.75" customHeight="1">
      <c r="A2766" s="26"/>
      <c r="B2766" s="2"/>
      <c r="C2766" s="26"/>
      <c r="D2766" s="26"/>
      <c r="F2766" s="85" t="str">
        <f t="shared" si="0"/>
        <v/>
      </c>
      <c r="G2766" s="1" t="e">
        <f>IF(VALUE(F2766) = VALUE(RIGHT(Insights!$C$3, 4)), E2766, "")</f>
        <v>#VALUE!</v>
      </c>
      <c r="H2766" s="26" t="e">
        <f t="shared" si="1"/>
        <v>#VALUE!</v>
      </c>
      <c r="I2766" s="1" t="e">
        <f t="shared" si="2"/>
        <v>#VALUE!</v>
      </c>
    </row>
    <row r="2767" spans="1:9" ht="15.75" customHeight="1">
      <c r="A2767" s="26"/>
      <c r="B2767" s="2"/>
      <c r="C2767" s="26"/>
      <c r="D2767" s="26"/>
      <c r="F2767" s="85" t="str">
        <f t="shared" si="0"/>
        <v/>
      </c>
      <c r="G2767" s="1" t="e">
        <f>IF(VALUE(F2767) = VALUE(RIGHT(Insights!$C$3, 4)), E2767, "")</f>
        <v>#VALUE!</v>
      </c>
      <c r="H2767" s="26" t="e">
        <f t="shared" si="1"/>
        <v>#VALUE!</v>
      </c>
      <c r="I2767" s="1" t="e">
        <f t="shared" si="2"/>
        <v>#VALUE!</v>
      </c>
    </row>
    <row r="2768" spans="1:9" ht="15.75" customHeight="1">
      <c r="A2768" s="26"/>
      <c r="B2768" s="2"/>
      <c r="C2768" s="26"/>
      <c r="D2768" s="26"/>
      <c r="F2768" s="85" t="str">
        <f t="shared" si="0"/>
        <v/>
      </c>
      <c r="G2768" s="1" t="e">
        <f>IF(VALUE(F2768) = VALUE(RIGHT(Insights!$C$3, 4)), E2768, "")</f>
        <v>#VALUE!</v>
      </c>
      <c r="H2768" s="26" t="e">
        <f t="shared" si="1"/>
        <v>#VALUE!</v>
      </c>
      <c r="I2768" s="1" t="e">
        <f t="shared" si="2"/>
        <v>#VALUE!</v>
      </c>
    </row>
    <row r="2769" spans="1:9" ht="15.75" customHeight="1">
      <c r="A2769" s="26"/>
      <c r="B2769" s="2"/>
      <c r="C2769" s="26"/>
      <c r="D2769" s="26"/>
      <c r="F2769" s="85" t="str">
        <f t="shared" si="0"/>
        <v/>
      </c>
      <c r="G2769" s="1" t="e">
        <f>IF(VALUE(F2769) = VALUE(RIGHT(Insights!$C$3, 4)), E2769, "")</f>
        <v>#VALUE!</v>
      </c>
      <c r="H2769" s="26" t="e">
        <f t="shared" si="1"/>
        <v>#VALUE!</v>
      </c>
      <c r="I2769" s="1" t="e">
        <f t="shared" si="2"/>
        <v>#VALUE!</v>
      </c>
    </row>
    <row r="2770" spans="1:9" ht="15.75" customHeight="1">
      <c r="A2770" s="26"/>
      <c r="B2770" s="2"/>
      <c r="C2770" s="26"/>
      <c r="D2770" s="26"/>
      <c r="F2770" s="85" t="str">
        <f t="shared" si="0"/>
        <v/>
      </c>
      <c r="G2770" s="1" t="e">
        <f>IF(VALUE(F2770) = VALUE(RIGHT(Insights!$C$3, 4)), E2770, "")</f>
        <v>#VALUE!</v>
      </c>
      <c r="H2770" s="26" t="e">
        <f t="shared" si="1"/>
        <v>#VALUE!</v>
      </c>
      <c r="I2770" s="1" t="e">
        <f t="shared" si="2"/>
        <v>#VALUE!</v>
      </c>
    </row>
    <row r="2771" spans="1:9" ht="15.75" customHeight="1">
      <c r="A2771" s="26"/>
      <c r="B2771" s="2"/>
      <c r="C2771" s="26"/>
      <c r="D2771" s="26"/>
      <c r="F2771" s="85" t="str">
        <f t="shared" si="0"/>
        <v/>
      </c>
      <c r="G2771" s="1" t="e">
        <f>IF(VALUE(F2771) = VALUE(RIGHT(Insights!$C$3, 4)), E2771, "")</f>
        <v>#VALUE!</v>
      </c>
      <c r="H2771" s="26" t="e">
        <f t="shared" si="1"/>
        <v>#VALUE!</v>
      </c>
      <c r="I2771" s="1" t="e">
        <f t="shared" si="2"/>
        <v>#VALUE!</v>
      </c>
    </row>
    <row r="2772" spans="1:9" ht="15.75" customHeight="1">
      <c r="A2772" s="26"/>
      <c r="B2772" s="2"/>
      <c r="C2772" s="26"/>
      <c r="D2772" s="26"/>
      <c r="F2772" s="85" t="str">
        <f t="shared" si="0"/>
        <v/>
      </c>
      <c r="G2772" s="1" t="e">
        <f>IF(VALUE(F2772) = VALUE(RIGHT(Insights!$C$3, 4)), E2772, "")</f>
        <v>#VALUE!</v>
      </c>
      <c r="H2772" s="26" t="e">
        <f t="shared" si="1"/>
        <v>#VALUE!</v>
      </c>
      <c r="I2772" s="1" t="e">
        <f t="shared" si="2"/>
        <v>#VALUE!</v>
      </c>
    </row>
    <row r="2773" spans="1:9" ht="15.75" customHeight="1">
      <c r="A2773" s="26"/>
      <c r="B2773" s="2"/>
      <c r="C2773" s="26"/>
      <c r="D2773" s="26"/>
      <c r="F2773" s="85" t="str">
        <f t="shared" si="0"/>
        <v/>
      </c>
      <c r="G2773" s="1" t="e">
        <f>IF(VALUE(F2773) = VALUE(RIGHT(Insights!$C$3, 4)), E2773, "")</f>
        <v>#VALUE!</v>
      </c>
      <c r="H2773" s="26" t="e">
        <f t="shared" si="1"/>
        <v>#VALUE!</v>
      </c>
      <c r="I2773" s="1" t="e">
        <f t="shared" si="2"/>
        <v>#VALUE!</v>
      </c>
    </row>
    <row r="2774" spans="1:9" ht="15.75" customHeight="1">
      <c r="A2774" s="26"/>
      <c r="B2774" s="2"/>
      <c r="C2774" s="26"/>
      <c r="D2774" s="26"/>
      <c r="F2774" s="85" t="str">
        <f t="shared" si="0"/>
        <v/>
      </c>
      <c r="G2774" s="1" t="e">
        <f>IF(VALUE(F2774) = VALUE(RIGHT(Insights!$C$3, 4)), E2774, "")</f>
        <v>#VALUE!</v>
      </c>
      <c r="H2774" s="26" t="e">
        <f t="shared" si="1"/>
        <v>#VALUE!</v>
      </c>
      <c r="I2774" s="1" t="e">
        <f t="shared" si="2"/>
        <v>#VALUE!</v>
      </c>
    </row>
    <row r="2775" spans="1:9" ht="15.75" customHeight="1">
      <c r="A2775" s="26"/>
      <c r="B2775" s="2"/>
      <c r="C2775" s="26"/>
      <c r="D2775" s="26"/>
      <c r="F2775" s="85" t="str">
        <f t="shared" si="0"/>
        <v/>
      </c>
      <c r="G2775" s="1" t="e">
        <f>IF(VALUE(F2775) = VALUE(RIGHT(Insights!$C$3, 4)), E2775, "")</f>
        <v>#VALUE!</v>
      </c>
      <c r="H2775" s="26" t="e">
        <f t="shared" si="1"/>
        <v>#VALUE!</v>
      </c>
      <c r="I2775" s="1" t="e">
        <f t="shared" si="2"/>
        <v>#VALUE!</v>
      </c>
    </row>
    <row r="2776" spans="1:9" ht="15.75" customHeight="1">
      <c r="A2776" s="26"/>
      <c r="B2776" s="2"/>
      <c r="C2776" s="26"/>
      <c r="D2776" s="26"/>
      <c r="F2776" s="85" t="str">
        <f t="shared" si="0"/>
        <v/>
      </c>
      <c r="G2776" s="1" t="e">
        <f>IF(VALUE(F2776) = VALUE(RIGHT(Insights!$C$3, 4)), E2776, "")</f>
        <v>#VALUE!</v>
      </c>
      <c r="H2776" s="26" t="e">
        <f t="shared" si="1"/>
        <v>#VALUE!</v>
      </c>
      <c r="I2776" s="1" t="e">
        <f t="shared" si="2"/>
        <v>#VALUE!</v>
      </c>
    </row>
    <row r="2777" spans="1:9" ht="15.75" customHeight="1">
      <c r="A2777" s="26"/>
      <c r="B2777" s="2"/>
      <c r="C2777" s="26"/>
      <c r="D2777" s="26"/>
      <c r="F2777" s="85" t="str">
        <f t="shared" si="0"/>
        <v/>
      </c>
      <c r="G2777" s="1" t="e">
        <f>IF(VALUE(F2777) = VALUE(RIGHT(Insights!$C$3, 4)), E2777, "")</f>
        <v>#VALUE!</v>
      </c>
      <c r="H2777" s="26" t="e">
        <f t="shared" si="1"/>
        <v>#VALUE!</v>
      </c>
      <c r="I2777" s="1" t="e">
        <f t="shared" si="2"/>
        <v>#VALUE!</v>
      </c>
    </row>
    <row r="2778" spans="1:9" ht="15.75" customHeight="1">
      <c r="A2778" s="26"/>
      <c r="B2778" s="2"/>
      <c r="C2778" s="26"/>
      <c r="D2778" s="26"/>
      <c r="F2778" s="85" t="str">
        <f t="shared" si="0"/>
        <v/>
      </c>
      <c r="G2778" s="1" t="e">
        <f>IF(VALUE(F2778) = VALUE(RIGHT(Insights!$C$3, 4)), E2778, "")</f>
        <v>#VALUE!</v>
      </c>
      <c r="H2778" s="26" t="e">
        <f t="shared" si="1"/>
        <v>#VALUE!</v>
      </c>
      <c r="I2778" s="1" t="e">
        <f t="shared" si="2"/>
        <v>#VALUE!</v>
      </c>
    </row>
    <row r="2779" spans="1:9" ht="15.75" customHeight="1">
      <c r="A2779" s="26"/>
      <c r="B2779" s="2"/>
      <c r="C2779" s="26"/>
      <c r="D2779" s="26"/>
      <c r="F2779" s="85" t="str">
        <f t="shared" si="0"/>
        <v/>
      </c>
      <c r="G2779" s="1" t="e">
        <f>IF(VALUE(F2779) = VALUE(RIGHT(Insights!$C$3, 4)), E2779, "")</f>
        <v>#VALUE!</v>
      </c>
      <c r="H2779" s="26" t="e">
        <f t="shared" si="1"/>
        <v>#VALUE!</v>
      </c>
      <c r="I2779" s="1" t="e">
        <f t="shared" si="2"/>
        <v>#VALUE!</v>
      </c>
    </row>
    <row r="2780" spans="1:9" ht="15.75" customHeight="1">
      <c r="A2780" s="26"/>
      <c r="B2780" s="2"/>
      <c r="C2780" s="26"/>
      <c r="D2780" s="26"/>
      <c r="F2780" s="85" t="str">
        <f t="shared" si="0"/>
        <v/>
      </c>
      <c r="G2780" s="1" t="e">
        <f>IF(VALUE(F2780) = VALUE(RIGHT(Insights!$C$3, 4)), E2780, "")</f>
        <v>#VALUE!</v>
      </c>
      <c r="H2780" s="26" t="e">
        <f t="shared" si="1"/>
        <v>#VALUE!</v>
      </c>
      <c r="I2780" s="1" t="e">
        <f t="shared" si="2"/>
        <v>#VALUE!</v>
      </c>
    </row>
    <row r="2781" spans="1:9" ht="15.75" customHeight="1">
      <c r="A2781" s="26"/>
      <c r="B2781" s="2"/>
      <c r="C2781" s="26"/>
      <c r="D2781" s="26"/>
      <c r="F2781" s="85" t="str">
        <f t="shared" si="0"/>
        <v/>
      </c>
      <c r="G2781" s="1" t="e">
        <f>IF(VALUE(F2781) = VALUE(RIGHT(Insights!$C$3, 4)), E2781, "")</f>
        <v>#VALUE!</v>
      </c>
      <c r="H2781" s="26" t="e">
        <f t="shared" si="1"/>
        <v>#VALUE!</v>
      </c>
      <c r="I2781" s="1" t="e">
        <f t="shared" si="2"/>
        <v>#VALUE!</v>
      </c>
    </row>
    <row r="2782" spans="1:9" ht="15.75" customHeight="1">
      <c r="A2782" s="26"/>
      <c r="B2782" s="2"/>
      <c r="C2782" s="26"/>
      <c r="D2782" s="26"/>
      <c r="F2782" s="85" t="str">
        <f t="shared" si="0"/>
        <v/>
      </c>
      <c r="G2782" s="1" t="e">
        <f>IF(VALUE(F2782) = VALUE(RIGHT(Insights!$C$3, 4)), E2782, "")</f>
        <v>#VALUE!</v>
      </c>
      <c r="H2782" s="26" t="e">
        <f t="shared" si="1"/>
        <v>#VALUE!</v>
      </c>
      <c r="I2782" s="1" t="e">
        <f t="shared" si="2"/>
        <v>#VALUE!</v>
      </c>
    </row>
    <row r="2783" spans="1:9" ht="15.75" customHeight="1">
      <c r="A2783" s="26"/>
      <c r="B2783" s="2"/>
      <c r="C2783" s="26"/>
      <c r="D2783" s="26"/>
      <c r="F2783" s="85" t="str">
        <f t="shared" si="0"/>
        <v/>
      </c>
      <c r="G2783" s="1" t="e">
        <f>IF(VALUE(F2783) = VALUE(RIGHT(Insights!$C$3, 4)), E2783, "")</f>
        <v>#VALUE!</v>
      </c>
      <c r="H2783" s="26" t="e">
        <f t="shared" si="1"/>
        <v>#VALUE!</v>
      </c>
      <c r="I2783" s="1" t="e">
        <f t="shared" si="2"/>
        <v>#VALUE!</v>
      </c>
    </row>
    <row r="2784" spans="1:9" ht="15.75" customHeight="1">
      <c r="A2784" s="26"/>
      <c r="B2784" s="2"/>
      <c r="C2784" s="26"/>
      <c r="D2784" s="26"/>
      <c r="F2784" s="85" t="str">
        <f t="shared" si="0"/>
        <v/>
      </c>
      <c r="G2784" s="1" t="e">
        <f>IF(VALUE(F2784) = VALUE(RIGHT(Insights!$C$3, 4)), E2784, "")</f>
        <v>#VALUE!</v>
      </c>
      <c r="H2784" s="26" t="e">
        <f t="shared" si="1"/>
        <v>#VALUE!</v>
      </c>
      <c r="I2784" s="1" t="e">
        <f t="shared" si="2"/>
        <v>#VALUE!</v>
      </c>
    </row>
    <row r="2785" spans="1:9" ht="15.75" customHeight="1">
      <c r="A2785" s="26"/>
      <c r="B2785" s="2"/>
      <c r="C2785" s="26"/>
      <c r="D2785" s="26"/>
      <c r="F2785" s="85" t="str">
        <f t="shared" si="0"/>
        <v/>
      </c>
      <c r="G2785" s="1" t="e">
        <f>IF(VALUE(F2785) = VALUE(RIGHT(Insights!$C$3, 4)), E2785, "")</f>
        <v>#VALUE!</v>
      </c>
      <c r="H2785" s="26" t="e">
        <f t="shared" si="1"/>
        <v>#VALUE!</v>
      </c>
      <c r="I2785" s="1" t="e">
        <f t="shared" si="2"/>
        <v>#VALUE!</v>
      </c>
    </row>
    <row r="2786" spans="1:9" ht="15.75" customHeight="1">
      <c r="A2786" s="26"/>
      <c r="B2786" s="2"/>
      <c r="C2786" s="26"/>
      <c r="D2786" s="26"/>
      <c r="F2786" s="85" t="str">
        <f t="shared" si="0"/>
        <v/>
      </c>
      <c r="G2786" s="1" t="e">
        <f>IF(VALUE(F2786) = VALUE(RIGHT(Insights!$C$3, 4)), E2786, "")</f>
        <v>#VALUE!</v>
      </c>
      <c r="H2786" s="26" t="e">
        <f t="shared" si="1"/>
        <v>#VALUE!</v>
      </c>
      <c r="I2786" s="1" t="e">
        <f t="shared" si="2"/>
        <v>#VALUE!</v>
      </c>
    </row>
    <row r="2787" spans="1:9" ht="15.75" customHeight="1">
      <c r="A2787" s="26"/>
      <c r="B2787" s="2"/>
      <c r="C2787" s="26"/>
      <c r="D2787" s="26"/>
      <c r="F2787" s="85" t="str">
        <f t="shared" si="0"/>
        <v/>
      </c>
      <c r="G2787" s="1" t="e">
        <f>IF(VALUE(F2787) = VALUE(RIGHT(Insights!$C$3, 4)), E2787, "")</f>
        <v>#VALUE!</v>
      </c>
      <c r="H2787" s="26" t="e">
        <f t="shared" si="1"/>
        <v>#VALUE!</v>
      </c>
      <c r="I2787" s="1" t="e">
        <f t="shared" si="2"/>
        <v>#VALUE!</v>
      </c>
    </row>
    <row r="2788" spans="1:9" ht="15.75" customHeight="1">
      <c r="A2788" s="26"/>
      <c r="B2788" s="2"/>
      <c r="C2788" s="26"/>
      <c r="D2788" s="26"/>
      <c r="F2788" s="85" t="str">
        <f t="shared" si="0"/>
        <v/>
      </c>
      <c r="G2788" s="1" t="e">
        <f>IF(VALUE(F2788) = VALUE(RIGHT(Insights!$C$3, 4)), E2788, "")</f>
        <v>#VALUE!</v>
      </c>
      <c r="H2788" s="26" t="e">
        <f t="shared" si="1"/>
        <v>#VALUE!</v>
      </c>
      <c r="I2788" s="1" t="e">
        <f t="shared" si="2"/>
        <v>#VALUE!</v>
      </c>
    </row>
    <row r="2789" spans="1:9" ht="15.75" customHeight="1">
      <c r="A2789" s="26"/>
      <c r="B2789" s="2"/>
      <c r="C2789" s="26"/>
      <c r="D2789" s="26"/>
      <c r="F2789" s="85" t="str">
        <f t="shared" si="0"/>
        <v/>
      </c>
      <c r="G2789" s="1" t="e">
        <f>IF(VALUE(F2789) = VALUE(RIGHT(Insights!$C$3, 4)), E2789, "")</f>
        <v>#VALUE!</v>
      </c>
      <c r="H2789" s="26" t="e">
        <f t="shared" si="1"/>
        <v>#VALUE!</v>
      </c>
      <c r="I2789" s="1" t="e">
        <f t="shared" si="2"/>
        <v>#VALUE!</v>
      </c>
    </row>
    <row r="2790" spans="1:9" ht="15.75" customHeight="1">
      <c r="A2790" s="26"/>
      <c r="B2790" s="2"/>
      <c r="C2790" s="26"/>
      <c r="D2790" s="26"/>
      <c r="F2790" s="85" t="str">
        <f t="shared" si="0"/>
        <v/>
      </c>
      <c r="G2790" s="1" t="e">
        <f>IF(VALUE(F2790) = VALUE(RIGHT(Insights!$C$3, 4)), E2790, "")</f>
        <v>#VALUE!</v>
      </c>
      <c r="H2790" s="26" t="e">
        <f t="shared" si="1"/>
        <v>#VALUE!</v>
      </c>
      <c r="I2790" s="1" t="e">
        <f t="shared" si="2"/>
        <v>#VALUE!</v>
      </c>
    </row>
    <row r="2791" spans="1:9" ht="15.75" customHeight="1">
      <c r="A2791" s="26"/>
      <c r="B2791" s="2"/>
      <c r="C2791" s="26"/>
      <c r="D2791" s="26"/>
      <c r="F2791" s="85" t="str">
        <f t="shared" si="0"/>
        <v/>
      </c>
      <c r="G2791" s="1" t="e">
        <f>IF(VALUE(F2791) = VALUE(RIGHT(Insights!$C$3, 4)), E2791, "")</f>
        <v>#VALUE!</v>
      </c>
      <c r="H2791" s="26" t="e">
        <f t="shared" si="1"/>
        <v>#VALUE!</v>
      </c>
      <c r="I2791" s="1" t="e">
        <f t="shared" si="2"/>
        <v>#VALUE!</v>
      </c>
    </row>
    <row r="2792" spans="1:9" ht="15.75" customHeight="1">
      <c r="A2792" s="26"/>
      <c r="B2792" s="2"/>
      <c r="C2792" s="26"/>
      <c r="D2792" s="26"/>
      <c r="F2792" s="85" t="str">
        <f t="shared" si="0"/>
        <v/>
      </c>
      <c r="G2792" s="1" t="e">
        <f>IF(VALUE(F2792) = VALUE(RIGHT(Insights!$C$3, 4)), E2792, "")</f>
        <v>#VALUE!</v>
      </c>
      <c r="H2792" s="26" t="e">
        <f t="shared" si="1"/>
        <v>#VALUE!</v>
      </c>
      <c r="I2792" s="1" t="e">
        <f t="shared" si="2"/>
        <v>#VALUE!</v>
      </c>
    </row>
    <row r="2793" spans="1:9" ht="15.75" customHeight="1">
      <c r="A2793" s="26"/>
      <c r="B2793" s="2"/>
      <c r="C2793" s="26"/>
      <c r="D2793" s="26"/>
      <c r="F2793" s="85" t="str">
        <f t="shared" si="0"/>
        <v/>
      </c>
      <c r="G2793" s="1" t="e">
        <f>IF(VALUE(F2793) = VALUE(RIGHT(Insights!$C$3, 4)), E2793, "")</f>
        <v>#VALUE!</v>
      </c>
      <c r="H2793" s="26" t="e">
        <f t="shared" si="1"/>
        <v>#VALUE!</v>
      </c>
      <c r="I2793" s="1" t="e">
        <f t="shared" si="2"/>
        <v>#VALUE!</v>
      </c>
    </row>
    <row r="2794" spans="1:9" ht="15.75" customHeight="1">
      <c r="A2794" s="26"/>
      <c r="B2794" s="2"/>
      <c r="C2794" s="26"/>
      <c r="D2794" s="26"/>
      <c r="F2794" s="85" t="str">
        <f t="shared" si="0"/>
        <v/>
      </c>
      <c r="G2794" s="1" t="e">
        <f>IF(VALUE(F2794) = VALUE(RIGHT(Insights!$C$3, 4)), E2794, "")</f>
        <v>#VALUE!</v>
      </c>
      <c r="H2794" s="26" t="e">
        <f t="shared" si="1"/>
        <v>#VALUE!</v>
      </c>
      <c r="I2794" s="1" t="e">
        <f t="shared" si="2"/>
        <v>#VALUE!</v>
      </c>
    </row>
    <row r="2795" spans="1:9" ht="15.75" customHeight="1">
      <c r="A2795" s="26"/>
      <c r="B2795" s="2"/>
      <c r="C2795" s="26"/>
      <c r="D2795" s="26"/>
      <c r="F2795" s="85" t="str">
        <f t="shared" si="0"/>
        <v/>
      </c>
      <c r="G2795" s="1" t="e">
        <f>IF(VALUE(F2795) = VALUE(RIGHT(Insights!$C$3, 4)), E2795, "")</f>
        <v>#VALUE!</v>
      </c>
      <c r="H2795" s="26" t="e">
        <f t="shared" si="1"/>
        <v>#VALUE!</v>
      </c>
      <c r="I2795" s="1" t="e">
        <f t="shared" si="2"/>
        <v>#VALUE!</v>
      </c>
    </row>
    <row r="2796" spans="1:9" ht="15.75" customHeight="1">
      <c r="A2796" s="26"/>
      <c r="B2796" s="2"/>
      <c r="C2796" s="26"/>
      <c r="D2796" s="26"/>
      <c r="F2796" s="85" t="str">
        <f t="shared" si="0"/>
        <v/>
      </c>
      <c r="G2796" s="1" t="e">
        <f>IF(VALUE(F2796) = VALUE(RIGHT(Insights!$C$3, 4)), E2796, "")</f>
        <v>#VALUE!</v>
      </c>
      <c r="H2796" s="26" t="e">
        <f t="shared" si="1"/>
        <v>#VALUE!</v>
      </c>
      <c r="I2796" s="1" t="e">
        <f t="shared" si="2"/>
        <v>#VALUE!</v>
      </c>
    </row>
    <row r="2797" spans="1:9" ht="15.75" customHeight="1">
      <c r="A2797" s="26"/>
      <c r="B2797" s="2"/>
      <c r="C2797" s="26"/>
      <c r="D2797" s="26"/>
      <c r="F2797" s="85" t="str">
        <f t="shared" si="0"/>
        <v/>
      </c>
      <c r="G2797" s="1" t="e">
        <f>IF(VALUE(F2797) = VALUE(RIGHT(Insights!$C$3, 4)), E2797, "")</f>
        <v>#VALUE!</v>
      </c>
      <c r="H2797" s="26" t="e">
        <f t="shared" si="1"/>
        <v>#VALUE!</v>
      </c>
      <c r="I2797" s="1" t="e">
        <f t="shared" si="2"/>
        <v>#VALUE!</v>
      </c>
    </row>
    <row r="2798" spans="1:9" ht="15.75" customHeight="1">
      <c r="A2798" s="26"/>
      <c r="B2798" s="2"/>
      <c r="C2798" s="26"/>
      <c r="D2798" s="26"/>
      <c r="F2798" s="85" t="str">
        <f t="shared" si="0"/>
        <v/>
      </c>
      <c r="G2798" s="1" t="e">
        <f>IF(VALUE(F2798) = VALUE(RIGHT(Insights!$C$3, 4)), E2798, "")</f>
        <v>#VALUE!</v>
      </c>
      <c r="H2798" s="26" t="e">
        <f t="shared" si="1"/>
        <v>#VALUE!</v>
      </c>
      <c r="I2798" s="1" t="e">
        <f t="shared" si="2"/>
        <v>#VALUE!</v>
      </c>
    </row>
    <row r="2799" spans="1:9" ht="15.75" customHeight="1">
      <c r="A2799" s="26"/>
      <c r="B2799" s="2"/>
      <c r="C2799" s="26"/>
      <c r="D2799" s="26"/>
      <c r="F2799" s="85" t="str">
        <f t="shared" si="0"/>
        <v/>
      </c>
      <c r="G2799" s="1" t="e">
        <f>IF(VALUE(F2799) = VALUE(RIGHT(Insights!$C$3, 4)), E2799, "")</f>
        <v>#VALUE!</v>
      </c>
      <c r="H2799" s="26" t="e">
        <f t="shared" si="1"/>
        <v>#VALUE!</v>
      </c>
      <c r="I2799" s="1" t="e">
        <f t="shared" si="2"/>
        <v>#VALUE!</v>
      </c>
    </row>
    <row r="2800" spans="1:9" ht="15.75" customHeight="1">
      <c r="A2800" s="26"/>
      <c r="B2800" s="2"/>
      <c r="C2800" s="26"/>
      <c r="D2800" s="26"/>
      <c r="F2800" s="85" t="str">
        <f t="shared" si="0"/>
        <v/>
      </c>
      <c r="G2800" s="1" t="e">
        <f>IF(VALUE(F2800) = VALUE(RIGHT(Insights!$C$3, 4)), E2800, "")</f>
        <v>#VALUE!</v>
      </c>
      <c r="H2800" s="26" t="e">
        <f t="shared" si="1"/>
        <v>#VALUE!</v>
      </c>
      <c r="I2800" s="1" t="e">
        <f t="shared" si="2"/>
        <v>#VALUE!</v>
      </c>
    </row>
    <row r="2801" spans="1:9" ht="15.75" customHeight="1">
      <c r="A2801" s="26"/>
      <c r="B2801" s="2"/>
      <c r="C2801" s="26"/>
      <c r="D2801" s="26"/>
      <c r="F2801" s="85" t="str">
        <f t="shared" si="0"/>
        <v/>
      </c>
      <c r="G2801" s="1" t="e">
        <f>IF(VALUE(F2801) = VALUE(RIGHT(Insights!$C$3, 4)), E2801, "")</f>
        <v>#VALUE!</v>
      </c>
      <c r="H2801" s="26" t="e">
        <f t="shared" si="1"/>
        <v>#VALUE!</v>
      </c>
      <c r="I2801" s="1" t="e">
        <f t="shared" si="2"/>
        <v>#VALUE!</v>
      </c>
    </row>
    <row r="2802" spans="1:9" ht="15.75" customHeight="1">
      <c r="A2802" s="26"/>
      <c r="B2802" s="2"/>
      <c r="C2802" s="26"/>
      <c r="D2802" s="26"/>
      <c r="F2802" s="85" t="str">
        <f t="shared" si="0"/>
        <v/>
      </c>
      <c r="G2802" s="1" t="e">
        <f>IF(VALUE(F2802) = VALUE(RIGHT(Insights!$C$3, 4)), E2802, "")</f>
        <v>#VALUE!</v>
      </c>
      <c r="H2802" s="26" t="e">
        <f t="shared" si="1"/>
        <v>#VALUE!</v>
      </c>
      <c r="I2802" s="1" t="e">
        <f t="shared" si="2"/>
        <v>#VALUE!</v>
      </c>
    </row>
    <row r="2803" spans="1:9" ht="15.75" customHeight="1">
      <c r="A2803" s="26"/>
      <c r="B2803" s="2"/>
      <c r="C2803" s="26"/>
      <c r="D2803" s="26"/>
      <c r="F2803" s="85" t="str">
        <f t="shared" si="0"/>
        <v/>
      </c>
      <c r="G2803" s="1" t="e">
        <f>IF(VALUE(F2803) = VALUE(RIGHT(Insights!$C$3, 4)), E2803, "")</f>
        <v>#VALUE!</v>
      </c>
      <c r="H2803" s="26" t="e">
        <f t="shared" si="1"/>
        <v>#VALUE!</v>
      </c>
      <c r="I2803" s="1" t="e">
        <f t="shared" si="2"/>
        <v>#VALUE!</v>
      </c>
    </row>
    <row r="2804" spans="1:9" ht="15.75" customHeight="1">
      <c r="A2804" s="26"/>
      <c r="B2804" s="2"/>
      <c r="C2804" s="26"/>
      <c r="D2804" s="26"/>
      <c r="F2804" s="85" t="str">
        <f t="shared" si="0"/>
        <v/>
      </c>
      <c r="G2804" s="1" t="e">
        <f>IF(VALUE(F2804) = VALUE(RIGHT(Insights!$C$3, 4)), E2804, "")</f>
        <v>#VALUE!</v>
      </c>
      <c r="H2804" s="26" t="e">
        <f t="shared" si="1"/>
        <v>#VALUE!</v>
      </c>
      <c r="I2804" s="1" t="e">
        <f t="shared" si="2"/>
        <v>#VALUE!</v>
      </c>
    </row>
    <row r="2805" spans="1:9" ht="15.75" customHeight="1">
      <c r="A2805" s="26"/>
      <c r="B2805" s="2"/>
      <c r="C2805" s="26"/>
      <c r="D2805" s="26"/>
      <c r="F2805" s="85" t="str">
        <f t="shared" si="0"/>
        <v/>
      </c>
      <c r="G2805" s="1" t="e">
        <f>IF(VALUE(F2805) = VALUE(RIGHT(Insights!$C$3, 4)), E2805, "")</f>
        <v>#VALUE!</v>
      </c>
      <c r="H2805" s="26" t="e">
        <f t="shared" si="1"/>
        <v>#VALUE!</v>
      </c>
      <c r="I2805" s="1" t="e">
        <f t="shared" si="2"/>
        <v>#VALUE!</v>
      </c>
    </row>
    <row r="2806" spans="1:9" ht="15.75" customHeight="1">
      <c r="A2806" s="26"/>
      <c r="B2806" s="2"/>
      <c r="C2806" s="26"/>
      <c r="D2806" s="26"/>
      <c r="F2806" s="85" t="str">
        <f t="shared" si="0"/>
        <v/>
      </c>
      <c r="G2806" s="1" t="e">
        <f>IF(VALUE(F2806) = VALUE(RIGHT(Insights!$C$3, 4)), E2806, "")</f>
        <v>#VALUE!</v>
      </c>
      <c r="H2806" s="26" t="e">
        <f t="shared" si="1"/>
        <v>#VALUE!</v>
      </c>
      <c r="I2806" s="1" t="e">
        <f t="shared" si="2"/>
        <v>#VALUE!</v>
      </c>
    </row>
    <row r="2807" spans="1:9" ht="15.75" customHeight="1">
      <c r="A2807" s="26"/>
      <c r="B2807" s="2"/>
      <c r="C2807" s="26"/>
      <c r="D2807" s="26"/>
      <c r="F2807" s="85" t="str">
        <f t="shared" si="0"/>
        <v/>
      </c>
      <c r="G2807" s="1" t="e">
        <f>IF(VALUE(F2807) = VALUE(RIGHT(Insights!$C$3, 4)), E2807, "")</f>
        <v>#VALUE!</v>
      </c>
      <c r="H2807" s="26" t="e">
        <f t="shared" si="1"/>
        <v>#VALUE!</v>
      </c>
      <c r="I2807" s="1" t="e">
        <f t="shared" si="2"/>
        <v>#VALUE!</v>
      </c>
    </row>
    <row r="2808" spans="1:9" ht="15.75" customHeight="1">
      <c r="A2808" s="26"/>
      <c r="B2808" s="2"/>
      <c r="C2808" s="26"/>
      <c r="D2808" s="26"/>
      <c r="F2808" s="85" t="str">
        <f t="shared" si="0"/>
        <v/>
      </c>
      <c r="G2808" s="1" t="e">
        <f>IF(VALUE(F2808) = VALUE(RIGHT(Insights!$C$3, 4)), E2808, "")</f>
        <v>#VALUE!</v>
      </c>
      <c r="H2808" s="26" t="e">
        <f t="shared" si="1"/>
        <v>#VALUE!</v>
      </c>
      <c r="I2808" s="1" t="e">
        <f t="shared" si="2"/>
        <v>#VALUE!</v>
      </c>
    </row>
    <row r="2809" spans="1:9" ht="15.75" customHeight="1">
      <c r="A2809" s="26"/>
      <c r="B2809" s="2"/>
      <c r="C2809" s="26"/>
      <c r="D2809" s="26"/>
      <c r="F2809" s="85" t="str">
        <f t="shared" si="0"/>
        <v/>
      </c>
      <c r="G2809" s="1" t="e">
        <f>IF(VALUE(F2809) = VALUE(RIGHT(Insights!$C$3, 4)), E2809, "")</f>
        <v>#VALUE!</v>
      </c>
      <c r="H2809" s="26" t="e">
        <f t="shared" si="1"/>
        <v>#VALUE!</v>
      </c>
      <c r="I2809" s="1" t="e">
        <f t="shared" si="2"/>
        <v>#VALUE!</v>
      </c>
    </row>
    <row r="2810" spans="1:9" ht="15.75" customHeight="1">
      <c r="A2810" s="26"/>
      <c r="B2810" s="2"/>
      <c r="C2810" s="26"/>
      <c r="D2810" s="26"/>
      <c r="F2810" s="85" t="str">
        <f t="shared" si="0"/>
        <v/>
      </c>
      <c r="G2810" s="1" t="e">
        <f>IF(VALUE(F2810) = VALUE(RIGHT(Insights!$C$3, 4)), E2810, "")</f>
        <v>#VALUE!</v>
      </c>
      <c r="H2810" s="26" t="e">
        <f t="shared" si="1"/>
        <v>#VALUE!</v>
      </c>
      <c r="I2810" s="1" t="e">
        <f t="shared" si="2"/>
        <v>#VALUE!</v>
      </c>
    </row>
    <row r="2811" spans="1:9" ht="15.75" customHeight="1">
      <c r="A2811" s="26"/>
      <c r="B2811" s="2"/>
      <c r="C2811" s="26"/>
      <c r="D2811" s="26"/>
      <c r="F2811" s="85" t="str">
        <f t="shared" si="0"/>
        <v/>
      </c>
      <c r="G2811" s="1" t="e">
        <f>IF(VALUE(F2811) = VALUE(RIGHT(Insights!$C$3, 4)), E2811, "")</f>
        <v>#VALUE!</v>
      </c>
      <c r="H2811" s="26" t="e">
        <f t="shared" si="1"/>
        <v>#VALUE!</v>
      </c>
      <c r="I2811" s="1" t="e">
        <f t="shared" si="2"/>
        <v>#VALUE!</v>
      </c>
    </row>
    <row r="2812" spans="1:9" ht="15.75" customHeight="1">
      <c r="A2812" s="26"/>
      <c r="B2812" s="2"/>
      <c r="C2812" s="26"/>
      <c r="D2812" s="26"/>
      <c r="F2812" s="85" t="str">
        <f t="shared" si="0"/>
        <v/>
      </c>
      <c r="G2812" s="1" t="e">
        <f>IF(VALUE(F2812) = VALUE(RIGHT(Insights!$C$3, 4)), E2812, "")</f>
        <v>#VALUE!</v>
      </c>
      <c r="H2812" s="26" t="e">
        <f t="shared" si="1"/>
        <v>#VALUE!</v>
      </c>
      <c r="I2812" s="1" t="e">
        <f t="shared" si="2"/>
        <v>#VALUE!</v>
      </c>
    </row>
    <row r="2813" spans="1:9" ht="15.75" customHeight="1">
      <c r="A2813" s="26"/>
      <c r="B2813" s="2"/>
      <c r="C2813" s="26"/>
      <c r="D2813" s="26"/>
      <c r="F2813" s="85" t="str">
        <f t="shared" si="0"/>
        <v/>
      </c>
      <c r="G2813" s="1" t="e">
        <f>IF(VALUE(F2813) = VALUE(RIGHT(Insights!$C$3, 4)), E2813, "")</f>
        <v>#VALUE!</v>
      </c>
      <c r="H2813" s="26" t="e">
        <f t="shared" si="1"/>
        <v>#VALUE!</v>
      </c>
      <c r="I2813" s="1" t="e">
        <f t="shared" si="2"/>
        <v>#VALUE!</v>
      </c>
    </row>
    <row r="2814" spans="1:9" ht="15.75" customHeight="1">
      <c r="A2814" s="26"/>
      <c r="B2814" s="2"/>
      <c r="C2814" s="26"/>
      <c r="D2814" s="26"/>
      <c r="F2814" s="85" t="str">
        <f t="shared" si="0"/>
        <v/>
      </c>
      <c r="G2814" s="1" t="e">
        <f>IF(VALUE(F2814) = VALUE(RIGHT(Insights!$C$3, 4)), E2814, "")</f>
        <v>#VALUE!</v>
      </c>
      <c r="H2814" s="26" t="e">
        <f t="shared" si="1"/>
        <v>#VALUE!</v>
      </c>
      <c r="I2814" s="1" t="e">
        <f t="shared" si="2"/>
        <v>#VALUE!</v>
      </c>
    </row>
    <row r="2815" spans="1:9" ht="15.75" customHeight="1">
      <c r="A2815" s="26"/>
      <c r="B2815" s="2"/>
      <c r="C2815" s="26"/>
      <c r="D2815" s="26"/>
      <c r="F2815" s="85" t="str">
        <f t="shared" si="0"/>
        <v/>
      </c>
      <c r="G2815" s="1" t="e">
        <f>IF(VALUE(F2815) = VALUE(RIGHT(Insights!$C$3, 4)), E2815, "")</f>
        <v>#VALUE!</v>
      </c>
      <c r="H2815" s="26" t="e">
        <f t="shared" si="1"/>
        <v>#VALUE!</v>
      </c>
      <c r="I2815" s="1" t="e">
        <f t="shared" si="2"/>
        <v>#VALUE!</v>
      </c>
    </row>
    <row r="2816" spans="1:9" ht="15.75" customHeight="1">
      <c r="A2816" s="26"/>
      <c r="B2816" s="2"/>
      <c r="C2816" s="26"/>
      <c r="D2816" s="26"/>
      <c r="F2816" s="85" t="str">
        <f t="shared" si="0"/>
        <v/>
      </c>
      <c r="G2816" s="1" t="e">
        <f>IF(VALUE(F2816) = VALUE(RIGHT(Insights!$C$3, 4)), E2816, "")</f>
        <v>#VALUE!</v>
      </c>
      <c r="H2816" s="26" t="e">
        <f t="shared" si="1"/>
        <v>#VALUE!</v>
      </c>
      <c r="I2816" s="1" t="e">
        <f t="shared" si="2"/>
        <v>#VALUE!</v>
      </c>
    </row>
    <row r="2817" spans="1:9" ht="15.75" customHeight="1">
      <c r="A2817" s="26"/>
      <c r="B2817" s="2"/>
      <c r="C2817" s="26"/>
      <c r="D2817" s="26"/>
      <c r="F2817" s="85" t="str">
        <f t="shared" si="0"/>
        <v/>
      </c>
      <c r="G2817" s="1" t="e">
        <f>IF(VALUE(F2817) = VALUE(RIGHT(Insights!$C$3, 4)), E2817, "")</f>
        <v>#VALUE!</v>
      </c>
      <c r="H2817" s="26" t="e">
        <f t="shared" si="1"/>
        <v>#VALUE!</v>
      </c>
      <c r="I2817" s="1" t="e">
        <f t="shared" si="2"/>
        <v>#VALUE!</v>
      </c>
    </row>
    <row r="2818" spans="1:9" ht="15.75" customHeight="1">
      <c r="A2818" s="26"/>
      <c r="B2818" s="2"/>
      <c r="C2818" s="26"/>
      <c r="D2818" s="26"/>
      <c r="F2818" s="85" t="str">
        <f t="shared" si="0"/>
        <v/>
      </c>
      <c r="G2818" s="1" t="e">
        <f>IF(VALUE(F2818) = VALUE(RIGHT(Insights!$C$3, 4)), E2818, "")</f>
        <v>#VALUE!</v>
      </c>
      <c r="H2818" s="26" t="e">
        <f t="shared" si="1"/>
        <v>#VALUE!</v>
      </c>
      <c r="I2818" s="1" t="e">
        <f t="shared" si="2"/>
        <v>#VALUE!</v>
      </c>
    </row>
    <row r="2819" spans="1:9" ht="15.75" customHeight="1">
      <c r="A2819" s="26"/>
      <c r="B2819" s="2"/>
      <c r="C2819" s="26"/>
      <c r="D2819" s="26"/>
      <c r="F2819" s="85" t="str">
        <f t="shared" si="0"/>
        <v/>
      </c>
      <c r="G2819" s="1" t="e">
        <f>IF(VALUE(F2819) = VALUE(RIGHT(Insights!$C$3, 4)), E2819, "")</f>
        <v>#VALUE!</v>
      </c>
      <c r="H2819" s="26" t="e">
        <f t="shared" si="1"/>
        <v>#VALUE!</v>
      </c>
      <c r="I2819" s="1" t="e">
        <f t="shared" si="2"/>
        <v>#VALUE!</v>
      </c>
    </row>
    <row r="2820" spans="1:9" ht="15.75" customHeight="1">
      <c r="A2820" s="26"/>
      <c r="B2820" s="2"/>
      <c r="C2820" s="26"/>
      <c r="D2820" s="26"/>
      <c r="F2820" s="85" t="str">
        <f t="shared" si="0"/>
        <v/>
      </c>
      <c r="G2820" s="1" t="e">
        <f>IF(VALUE(F2820) = VALUE(RIGHT(Insights!$C$3, 4)), E2820, "")</f>
        <v>#VALUE!</v>
      </c>
      <c r="H2820" s="26" t="e">
        <f t="shared" si="1"/>
        <v>#VALUE!</v>
      </c>
      <c r="I2820" s="1" t="e">
        <f t="shared" si="2"/>
        <v>#VALUE!</v>
      </c>
    </row>
    <row r="2821" spans="1:9" ht="15.75" customHeight="1">
      <c r="A2821" s="26"/>
      <c r="B2821" s="2"/>
      <c r="C2821" s="26"/>
      <c r="D2821" s="26"/>
      <c r="F2821" s="85" t="str">
        <f t="shared" si="0"/>
        <v/>
      </c>
      <c r="G2821" s="1" t="e">
        <f>IF(VALUE(F2821) = VALUE(RIGHT(Insights!$C$3, 4)), E2821, "")</f>
        <v>#VALUE!</v>
      </c>
      <c r="H2821" s="26" t="e">
        <f t="shared" si="1"/>
        <v>#VALUE!</v>
      </c>
      <c r="I2821" s="1" t="e">
        <f t="shared" si="2"/>
        <v>#VALUE!</v>
      </c>
    </row>
    <row r="2822" spans="1:9" ht="15.75" customHeight="1">
      <c r="A2822" s="26"/>
      <c r="B2822" s="2"/>
      <c r="C2822" s="26"/>
      <c r="D2822" s="26"/>
      <c r="F2822" s="85" t="str">
        <f t="shared" si="0"/>
        <v/>
      </c>
      <c r="G2822" s="1" t="e">
        <f>IF(VALUE(F2822) = VALUE(RIGHT(Insights!$C$3, 4)), E2822, "")</f>
        <v>#VALUE!</v>
      </c>
      <c r="H2822" s="26" t="e">
        <f t="shared" si="1"/>
        <v>#VALUE!</v>
      </c>
      <c r="I2822" s="1" t="e">
        <f t="shared" si="2"/>
        <v>#VALUE!</v>
      </c>
    </row>
    <row r="2823" spans="1:9" ht="15.75" customHeight="1">
      <c r="A2823" s="26"/>
      <c r="B2823" s="2"/>
      <c r="C2823" s="26"/>
      <c r="D2823" s="26"/>
      <c r="F2823" s="85" t="str">
        <f t="shared" si="0"/>
        <v/>
      </c>
      <c r="G2823" s="1" t="e">
        <f>IF(VALUE(F2823) = VALUE(RIGHT(Insights!$C$3, 4)), E2823, "")</f>
        <v>#VALUE!</v>
      </c>
      <c r="H2823" s="26" t="e">
        <f t="shared" si="1"/>
        <v>#VALUE!</v>
      </c>
      <c r="I2823" s="1" t="e">
        <f t="shared" si="2"/>
        <v>#VALUE!</v>
      </c>
    </row>
    <row r="2824" spans="1:9" ht="15.75" customHeight="1">
      <c r="A2824" s="26"/>
      <c r="B2824" s="2"/>
      <c r="C2824" s="26"/>
      <c r="D2824" s="26"/>
      <c r="F2824" s="85" t="str">
        <f t="shared" si="0"/>
        <v/>
      </c>
      <c r="G2824" s="1" t="e">
        <f>IF(VALUE(F2824) = VALUE(RIGHT(Insights!$C$3, 4)), E2824, "")</f>
        <v>#VALUE!</v>
      </c>
      <c r="H2824" s="26" t="e">
        <f t="shared" si="1"/>
        <v>#VALUE!</v>
      </c>
      <c r="I2824" s="1" t="e">
        <f t="shared" si="2"/>
        <v>#VALUE!</v>
      </c>
    </row>
    <row r="2825" spans="1:9" ht="15.75" customHeight="1">
      <c r="A2825" s="26"/>
      <c r="B2825" s="2"/>
      <c r="C2825" s="26"/>
      <c r="D2825" s="26"/>
      <c r="F2825" s="85" t="str">
        <f t="shared" si="0"/>
        <v/>
      </c>
      <c r="G2825" s="1" t="e">
        <f>IF(VALUE(F2825) = VALUE(RIGHT(Insights!$C$3, 4)), E2825, "")</f>
        <v>#VALUE!</v>
      </c>
      <c r="H2825" s="26" t="e">
        <f t="shared" si="1"/>
        <v>#VALUE!</v>
      </c>
      <c r="I2825" s="1" t="e">
        <f t="shared" si="2"/>
        <v>#VALUE!</v>
      </c>
    </row>
    <row r="2826" spans="1:9" ht="15.75" customHeight="1">
      <c r="A2826" s="26"/>
      <c r="B2826" s="2"/>
      <c r="C2826" s="26"/>
      <c r="D2826" s="26"/>
      <c r="F2826" s="85" t="str">
        <f t="shared" si="0"/>
        <v/>
      </c>
      <c r="G2826" s="1" t="e">
        <f>IF(VALUE(F2826) = VALUE(RIGHT(Insights!$C$3, 4)), E2826, "")</f>
        <v>#VALUE!</v>
      </c>
      <c r="H2826" s="26" t="e">
        <f t="shared" si="1"/>
        <v>#VALUE!</v>
      </c>
      <c r="I2826" s="1" t="e">
        <f t="shared" si="2"/>
        <v>#VALUE!</v>
      </c>
    </row>
    <row r="2827" spans="1:9" ht="15.75" customHeight="1">
      <c r="A2827" s="26"/>
      <c r="B2827" s="2"/>
      <c r="C2827" s="26"/>
      <c r="D2827" s="26"/>
      <c r="F2827" s="85" t="str">
        <f t="shared" si="0"/>
        <v/>
      </c>
      <c r="G2827" s="1" t="e">
        <f>IF(VALUE(F2827) = VALUE(RIGHT(Insights!$C$3, 4)), E2827, "")</f>
        <v>#VALUE!</v>
      </c>
      <c r="H2827" s="26" t="e">
        <f t="shared" si="1"/>
        <v>#VALUE!</v>
      </c>
      <c r="I2827" s="1" t="e">
        <f t="shared" si="2"/>
        <v>#VALUE!</v>
      </c>
    </row>
    <row r="2828" spans="1:9" ht="15.75" customHeight="1">
      <c r="A2828" s="26"/>
      <c r="B2828" s="2"/>
      <c r="C2828" s="26"/>
      <c r="D2828" s="26"/>
      <c r="F2828" s="85" t="str">
        <f t="shared" si="0"/>
        <v/>
      </c>
      <c r="G2828" s="1" t="e">
        <f>IF(VALUE(F2828) = VALUE(RIGHT(Insights!$C$3, 4)), E2828, "")</f>
        <v>#VALUE!</v>
      </c>
      <c r="H2828" s="26" t="e">
        <f t="shared" si="1"/>
        <v>#VALUE!</v>
      </c>
      <c r="I2828" s="1" t="e">
        <f t="shared" si="2"/>
        <v>#VALUE!</v>
      </c>
    </row>
    <row r="2829" spans="1:9" ht="15.75" customHeight="1">
      <c r="A2829" s="26"/>
      <c r="B2829" s="2"/>
      <c r="C2829" s="26"/>
      <c r="D2829" s="26"/>
      <c r="F2829" s="85" t="str">
        <f t="shared" si="0"/>
        <v/>
      </c>
      <c r="G2829" s="1" t="e">
        <f>IF(VALUE(F2829) = VALUE(RIGHT(Insights!$C$3, 4)), E2829, "")</f>
        <v>#VALUE!</v>
      </c>
      <c r="H2829" s="26" t="e">
        <f t="shared" si="1"/>
        <v>#VALUE!</v>
      </c>
      <c r="I2829" s="1" t="e">
        <f t="shared" si="2"/>
        <v>#VALUE!</v>
      </c>
    </row>
    <row r="2830" spans="1:9" ht="15.75" customHeight="1">
      <c r="A2830" s="26"/>
      <c r="B2830" s="2"/>
      <c r="C2830" s="26"/>
      <c r="D2830" s="26"/>
      <c r="F2830" s="85" t="str">
        <f t="shared" si="0"/>
        <v/>
      </c>
      <c r="G2830" s="1" t="e">
        <f>IF(VALUE(F2830) = VALUE(RIGHT(Insights!$C$3, 4)), E2830, "")</f>
        <v>#VALUE!</v>
      </c>
      <c r="H2830" s="26" t="e">
        <f t="shared" si="1"/>
        <v>#VALUE!</v>
      </c>
      <c r="I2830" s="1" t="e">
        <f t="shared" si="2"/>
        <v>#VALUE!</v>
      </c>
    </row>
    <row r="2831" spans="1:9" ht="15.75" customHeight="1">
      <c r="A2831" s="26"/>
      <c r="B2831" s="2"/>
      <c r="C2831" s="26"/>
      <c r="D2831" s="26"/>
      <c r="F2831" s="85" t="str">
        <f t="shared" si="0"/>
        <v/>
      </c>
      <c r="G2831" s="1" t="e">
        <f>IF(VALUE(F2831) = VALUE(RIGHT(Insights!$C$3, 4)), E2831, "")</f>
        <v>#VALUE!</v>
      </c>
      <c r="H2831" s="26" t="e">
        <f t="shared" si="1"/>
        <v>#VALUE!</v>
      </c>
      <c r="I2831" s="1" t="e">
        <f t="shared" si="2"/>
        <v>#VALUE!</v>
      </c>
    </row>
    <row r="2832" spans="1:9" ht="15.75" customHeight="1">
      <c r="A2832" s="26"/>
      <c r="B2832" s="2"/>
      <c r="C2832" s="26"/>
      <c r="D2832" s="26"/>
      <c r="F2832" s="85" t="str">
        <f t="shared" si="0"/>
        <v/>
      </c>
      <c r="G2832" s="1" t="e">
        <f>IF(VALUE(F2832) = VALUE(RIGHT(Insights!$C$3, 4)), E2832, "")</f>
        <v>#VALUE!</v>
      </c>
      <c r="H2832" s="26" t="e">
        <f t="shared" si="1"/>
        <v>#VALUE!</v>
      </c>
      <c r="I2832" s="1" t="e">
        <f t="shared" si="2"/>
        <v>#VALUE!</v>
      </c>
    </row>
    <row r="2833" spans="1:9" ht="15.75" customHeight="1">
      <c r="A2833" s="26"/>
      <c r="B2833" s="2"/>
      <c r="C2833" s="26"/>
      <c r="D2833" s="26"/>
      <c r="F2833" s="85" t="str">
        <f t="shared" si="0"/>
        <v/>
      </c>
      <c r="G2833" s="1" t="e">
        <f>IF(VALUE(F2833) = VALUE(RIGHT(Insights!$C$3, 4)), E2833, "")</f>
        <v>#VALUE!</v>
      </c>
      <c r="H2833" s="26" t="e">
        <f t="shared" si="1"/>
        <v>#VALUE!</v>
      </c>
      <c r="I2833" s="1" t="e">
        <f t="shared" si="2"/>
        <v>#VALUE!</v>
      </c>
    </row>
    <row r="2834" spans="1:9" ht="15.75" customHeight="1">
      <c r="A2834" s="26"/>
      <c r="B2834" s="2"/>
      <c r="C2834" s="26"/>
      <c r="D2834" s="26"/>
      <c r="F2834" s="85" t="str">
        <f t="shared" si="0"/>
        <v/>
      </c>
      <c r="G2834" s="1" t="e">
        <f>IF(VALUE(F2834) = VALUE(RIGHT(Insights!$C$3, 4)), E2834, "")</f>
        <v>#VALUE!</v>
      </c>
      <c r="H2834" s="26" t="e">
        <f t="shared" si="1"/>
        <v>#VALUE!</v>
      </c>
      <c r="I2834" s="1" t="e">
        <f t="shared" si="2"/>
        <v>#VALUE!</v>
      </c>
    </row>
    <row r="2835" spans="1:9" ht="15.75" customHeight="1">
      <c r="A2835" s="26"/>
      <c r="B2835" s="2"/>
      <c r="C2835" s="26"/>
      <c r="D2835" s="26"/>
      <c r="F2835" s="85" t="str">
        <f t="shared" si="0"/>
        <v/>
      </c>
      <c r="G2835" s="1" t="e">
        <f>IF(VALUE(F2835) = VALUE(RIGHT(Insights!$C$3, 4)), E2835, "")</f>
        <v>#VALUE!</v>
      </c>
      <c r="H2835" s="26" t="e">
        <f t="shared" si="1"/>
        <v>#VALUE!</v>
      </c>
      <c r="I2835" s="1" t="e">
        <f t="shared" si="2"/>
        <v>#VALUE!</v>
      </c>
    </row>
    <row r="2836" spans="1:9" ht="15.75" customHeight="1">
      <c r="A2836" s="26"/>
      <c r="B2836" s="2"/>
      <c r="C2836" s="26"/>
      <c r="D2836" s="26"/>
      <c r="F2836" s="85" t="str">
        <f t="shared" si="0"/>
        <v/>
      </c>
      <c r="G2836" s="1" t="e">
        <f>IF(VALUE(F2836) = VALUE(RIGHT(Insights!$C$3, 4)), E2836, "")</f>
        <v>#VALUE!</v>
      </c>
      <c r="H2836" s="26" t="e">
        <f t="shared" si="1"/>
        <v>#VALUE!</v>
      </c>
      <c r="I2836" s="1" t="e">
        <f t="shared" si="2"/>
        <v>#VALUE!</v>
      </c>
    </row>
    <row r="2837" spans="1:9" ht="15.75" customHeight="1">
      <c r="A2837" s="26"/>
      <c r="B2837" s="2"/>
      <c r="C2837" s="26"/>
      <c r="D2837" s="26"/>
      <c r="F2837" s="85" t="str">
        <f t="shared" si="0"/>
        <v/>
      </c>
      <c r="G2837" s="1" t="e">
        <f>IF(VALUE(F2837) = VALUE(RIGHT(Insights!$C$3, 4)), E2837, "")</f>
        <v>#VALUE!</v>
      </c>
      <c r="H2837" s="26" t="e">
        <f t="shared" si="1"/>
        <v>#VALUE!</v>
      </c>
      <c r="I2837" s="1" t="e">
        <f t="shared" si="2"/>
        <v>#VALUE!</v>
      </c>
    </row>
    <row r="2838" spans="1:9" ht="15.75" customHeight="1">
      <c r="A2838" s="26"/>
      <c r="B2838" s="2"/>
      <c r="C2838" s="26"/>
      <c r="D2838" s="26"/>
      <c r="F2838" s="85" t="str">
        <f t="shared" si="0"/>
        <v/>
      </c>
      <c r="G2838" s="1" t="e">
        <f>IF(VALUE(F2838) = VALUE(RIGHT(Insights!$C$3, 4)), E2838, "")</f>
        <v>#VALUE!</v>
      </c>
      <c r="H2838" s="26" t="e">
        <f t="shared" si="1"/>
        <v>#VALUE!</v>
      </c>
      <c r="I2838" s="1" t="e">
        <f t="shared" si="2"/>
        <v>#VALUE!</v>
      </c>
    </row>
    <row r="2839" spans="1:9" ht="15.75" customHeight="1">
      <c r="A2839" s="26"/>
      <c r="B2839" s="2"/>
      <c r="C2839" s="26"/>
      <c r="D2839" s="26"/>
      <c r="F2839" s="85" t="str">
        <f t="shared" si="0"/>
        <v/>
      </c>
      <c r="G2839" s="1" t="e">
        <f>IF(VALUE(F2839) = VALUE(RIGHT(Insights!$C$3, 4)), E2839, "")</f>
        <v>#VALUE!</v>
      </c>
      <c r="H2839" s="26" t="e">
        <f t="shared" si="1"/>
        <v>#VALUE!</v>
      </c>
      <c r="I2839" s="1" t="e">
        <f t="shared" si="2"/>
        <v>#VALUE!</v>
      </c>
    </row>
    <row r="2840" spans="1:9" ht="15.75" customHeight="1">
      <c r="A2840" s="26"/>
      <c r="B2840" s="2"/>
      <c r="C2840" s="26"/>
      <c r="D2840" s="26"/>
      <c r="F2840" s="85" t="str">
        <f t="shared" si="0"/>
        <v/>
      </c>
      <c r="G2840" s="1" t="e">
        <f>IF(VALUE(F2840) = VALUE(RIGHT(Insights!$C$3, 4)), E2840, "")</f>
        <v>#VALUE!</v>
      </c>
      <c r="H2840" s="26" t="e">
        <f t="shared" si="1"/>
        <v>#VALUE!</v>
      </c>
      <c r="I2840" s="1" t="e">
        <f t="shared" si="2"/>
        <v>#VALUE!</v>
      </c>
    </row>
    <row r="2841" spans="1:9" ht="15.75" customHeight="1">
      <c r="A2841" s="26"/>
      <c r="B2841" s="2"/>
      <c r="C2841" s="26"/>
      <c r="D2841" s="26"/>
      <c r="F2841" s="85" t="str">
        <f t="shared" si="0"/>
        <v/>
      </c>
      <c r="G2841" s="1" t="e">
        <f>IF(VALUE(F2841) = VALUE(RIGHT(Insights!$C$3, 4)), E2841, "")</f>
        <v>#VALUE!</v>
      </c>
      <c r="H2841" s="26" t="e">
        <f t="shared" si="1"/>
        <v>#VALUE!</v>
      </c>
      <c r="I2841" s="1" t="e">
        <f t="shared" si="2"/>
        <v>#VALUE!</v>
      </c>
    </row>
    <row r="2842" spans="1:9" ht="15.75" customHeight="1">
      <c r="A2842" s="26"/>
      <c r="B2842" s="2"/>
      <c r="C2842" s="26"/>
      <c r="D2842" s="26"/>
      <c r="F2842" s="85" t="str">
        <f t="shared" si="0"/>
        <v/>
      </c>
      <c r="G2842" s="1" t="e">
        <f>IF(VALUE(F2842) = VALUE(RIGHT(Insights!$C$3, 4)), E2842, "")</f>
        <v>#VALUE!</v>
      </c>
      <c r="H2842" s="26" t="e">
        <f t="shared" si="1"/>
        <v>#VALUE!</v>
      </c>
      <c r="I2842" s="1" t="e">
        <f t="shared" si="2"/>
        <v>#VALUE!</v>
      </c>
    </row>
    <row r="2843" spans="1:9" ht="15.75" customHeight="1">
      <c r="A2843" s="26"/>
      <c r="B2843" s="2"/>
      <c r="C2843" s="26"/>
      <c r="D2843" s="26"/>
      <c r="F2843" s="85" t="str">
        <f t="shared" si="0"/>
        <v/>
      </c>
      <c r="G2843" s="1" t="e">
        <f>IF(VALUE(F2843) = VALUE(RIGHT(Insights!$C$3, 4)), E2843, "")</f>
        <v>#VALUE!</v>
      </c>
      <c r="H2843" s="26" t="e">
        <f t="shared" si="1"/>
        <v>#VALUE!</v>
      </c>
      <c r="I2843" s="1" t="e">
        <f t="shared" si="2"/>
        <v>#VALUE!</v>
      </c>
    </row>
    <row r="2844" spans="1:9" ht="15.75" customHeight="1">
      <c r="A2844" s="26"/>
      <c r="B2844" s="2"/>
      <c r="C2844" s="26"/>
      <c r="D2844" s="26"/>
      <c r="F2844" s="85" t="str">
        <f t="shared" si="0"/>
        <v/>
      </c>
      <c r="G2844" s="1" t="e">
        <f>IF(VALUE(F2844) = VALUE(RIGHT(Insights!$C$3, 4)), E2844, "")</f>
        <v>#VALUE!</v>
      </c>
      <c r="H2844" s="26" t="e">
        <f t="shared" si="1"/>
        <v>#VALUE!</v>
      </c>
      <c r="I2844" s="1" t="e">
        <f t="shared" si="2"/>
        <v>#VALUE!</v>
      </c>
    </row>
    <row r="2845" spans="1:9" ht="15.75" customHeight="1">
      <c r="A2845" s="26"/>
      <c r="B2845" s="2"/>
      <c r="C2845" s="26"/>
      <c r="D2845" s="26"/>
      <c r="F2845" s="85" t="str">
        <f t="shared" si="0"/>
        <v/>
      </c>
      <c r="G2845" s="1" t="e">
        <f>IF(VALUE(F2845) = VALUE(RIGHT(Insights!$C$3, 4)), E2845, "")</f>
        <v>#VALUE!</v>
      </c>
      <c r="H2845" s="26" t="e">
        <f t="shared" si="1"/>
        <v>#VALUE!</v>
      </c>
      <c r="I2845" s="1" t="e">
        <f t="shared" si="2"/>
        <v>#VALUE!</v>
      </c>
    </row>
    <row r="2846" spans="1:9" ht="15.75" customHeight="1">
      <c r="A2846" s="26"/>
      <c r="B2846" s="2"/>
      <c r="C2846" s="26"/>
      <c r="D2846" s="26"/>
      <c r="F2846" s="85" t="str">
        <f t="shared" si="0"/>
        <v/>
      </c>
      <c r="G2846" s="1" t="e">
        <f>IF(VALUE(F2846) = VALUE(RIGHT(Insights!$C$3, 4)), E2846, "")</f>
        <v>#VALUE!</v>
      </c>
      <c r="H2846" s="26" t="e">
        <f t="shared" si="1"/>
        <v>#VALUE!</v>
      </c>
      <c r="I2846" s="1" t="e">
        <f t="shared" si="2"/>
        <v>#VALUE!</v>
      </c>
    </row>
    <row r="2847" spans="1:9" ht="15.75" customHeight="1">
      <c r="A2847" s="26"/>
      <c r="B2847" s="2"/>
      <c r="C2847" s="26"/>
      <c r="D2847" s="26"/>
      <c r="F2847" s="85" t="str">
        <f t="shared" si="0"/>
        <v/>
      </c>
      <c r="G2847" s="1" t="e">
        <f>IF(VALUE(F2847) = VALUE(RIGHT(Insights!$C$3, 4)), E2847, "")</f>
        <v>#VALUE!</v>
      </c>
      <c r="H2847" s="26" t="e">
        <f t="shared" si="1"/>
        <v>#VALUE!</v>
      </c>
      <c r="I2847" s="1" t="e">
        <f t="shared" si="2"/>
        <v>#VALUE!</v>
      </c>
    </row>
    <row r="2848" spans="1:9" ht="15.75" customHeight="1">
      <c r="A2848" s="26"/>
      <c r="B2848" s="2"/>
      <c r="C2848" s="26"/>
      <c r="D2848" s="26"/>
      <c r="F2848" s="85" t="str">
        <f t="shared" si="0"/>
        <v/>
      </c>
      <c r="G2848" s="1" t="e">
        <f>IF(VALUE(F2848) = VALUE(RIGHT(Insights!$C$3, 4)), E2848, "")</f>
        <v>#VALUE!</v>
      </c>
      <c r="H2848" s="26" t="e">
        <f t="shared" si="1"/>
        <v>#VALUE!</v>
      </c>
      <c r="I2848" s="1" t="e">
        <f t="shared" si="2"/>
        <v>#VALUE!</v>
      </c>
    </row>
    <row r="2849" spans="1:9" ht="15.75" customHeight="1">
      <c r="A2849" s="26"/>
      <c r="B2849" s="2"/>
      <c r="C2849" s="26"/>
      <c r="D2849" s="26"/>
      <c r="F2849" s="85" t="str">
        <f t="shared" si="0"/>
        <v/>
      </c>
      <c r="G2849" s="1" t="e">
        <f>IF(VALUE(F2849) = VALUE(RIGHT(Insights!$C$3, 4)), E2849, "")</f>
        <v>#VALUE!</v>
      </c>
      <c r="H2849" s="26" t="e">
        <f t="shared" si="1"/>
        <v>#VALUE!</v>
      </c>
      <c r="I2849" s="1" t="e">
        <f t="shared" si="2"/>
        <v>#VALUE!</v>
      </c>
    </row>
    <row r="2850" spans="1:9" ht="15.75" customHeight="1">
      <c r="A2850" s="26"/>
      <c r="B2850" s="2"/>
      <c r="C2850" s="26"/>
      <c r="D2850" s="26"/>
      <c r="F2850" s="85" t="str">
        <f t="shared" si="0"/>
        <v/>
      </c>
      <c r="G2850" s="1" t="e">
        <f>IF(VALUE(F2850) = VALUE(RIGHT(Insights!$C$3, 4)), E2850, "")</f>
        <v>#VALUE!</v>
      </c>
      <c r="H2850" s="26" t="e">
        <f t="shared" si="1"/>
        <v>#VALUE!</v>
      </c>
      <c r="I2850" s="1" t="e">
        <f t="shared" si="2"/>
        <v>#VALUE!</v>
      </c>
    </row>
    <row r="2851" spans="1:9" ht="15.75" customHeight="1">
      <c r="A2851" s="26"/>
      <c r="B2851" s="2"/>
      <c r="C2851" s="26"/>
      <c r="D2851" s="26"/>
      <c r="F2851" s="85" t="str">
        <f t="shared" si="0"/>
        <v/>
      </c>
      <c r="G2851" s="1" t="e">
        <f>IF(VALUE(F2851) = VALUE(RIGHT(Insights!$C$3, 4)), E2851, "")</f>
        <v>#VALUE!</v>
      </c>
      <c r="H2851" s="26" t="e">
        <f t="shared" si="1"/>
        <v>#VALUE!</v>
      </c>
      <c r="I2851" s="1" t="e">
        <f t="shared" si="2"/>
        <v>#VALUE!</v>
      </c>
    </row>
    <row r="2852" spans="1:9" ht="15.75" customHeight="1">
      <c r="A2852" s="26"/>
      <c r="B2852" s="2"/>
      <c r="C2852" s="26"/>
      <c r="D2852" s="26"/>
      <c r="F2852" s="85" t="str">
        <f t="shared" si="0"/>
        <v/>
      </c>
      <c r="G2852" s="1" t="e">
        <f>IF(VALUE(F2852) = VALUE(RIGHT(Insights!$C$3, 4)), E2852, "")</f>
        <v>#VALUE!</v>
      </c>
      <c r="H2852" s="26" t="e">
        <f t="shared" si="1"/>
        <v>#VALUE!</v>
      </c>
      <c r="I2852" s="1" t="e">
        <f t="shared" si="2"/>
        <v>#VALUE!</v>
      </c>
    </row>
    <row r="2853" spans="1:9" ht="15.75" customHeight="1">
      <c r="A2853" s="26"/>
      <c r="B2853" s="2"/>
      <c r="C2853" s="26"/>
      <c r="D2853" s="26"/>
      <c r="F2853" s="85" t="str">
        <f t="shared" si="0"/>
        <v/>
      </c>
      <c r="G2853" s="1" t="e">
        <f>IF(VALUE(F2853) = VALUE(RIGHT(Insights!$C$3, 4)), E2853, "")</f>
        <v>#VALUE!</v>
      </c>
      <c r="H2853" s="26" t="e">
        <f t="shared" si="1"/>
        <v>#VALUE!</v>
      </c>
      <c r="I2853" s="1" t="e">
        <f t="shared" si="2"/>
        <v>#VALUE!</v>
      </c>
    </row>
    <row r="2854" spans="1:9" ht="15.75" customHeight="1">
      <c r="A2854" s="26"/>
      <c r="B2854" s="2"/>
      <c r="C2854" s="26"/>
      <c r="D2854" s="26"/>
      <c r="F2854" s="85" t="str">
        <f t="shared" si="0"/>
        <v/>
      </c>
      <c r="G2854" s="1" t="e">
        <f>IF(VALUE(F2854) = VALUE(RIGHT(Insights!$C$3, 4)), E2854, "")</f>
        <v>#VALUE!</v>
      </c>
      <c r="H2854" s="26" t="e">
        <f t="shared" si="1"/>
        <v>#VALUE!</v>
      </c>
      <c r="I2854" s="1" t="e">
        <f t="shared" si="2"/>
        <v>#VALUE!</v>
      </c>
    </row>
    <row r="2855" spans="1:9" ht="15.75" customHeight="1">
      <c r="A2855" s="26"/>
      <c r="B2855" s="2"/>
      <c r="C2855" s="26"/>
      <c r="D2855" s="26"/>
      <c r="F2855" s="85" t="str">
        <f t="shared" si="0"/>
        <v/>
      </c>
      <c r="G2855" s="1" t="e">
        <f>IF(VALUE(F2855) = VALUE(RIGHT(Insights!$C$3, 4)), E2855, "")</f>
        <v>#VALUE!</v>
      </c>
      <c r="H2855" s="26" t="e">
        <f t="shared" si="1"/>
        <v>#VALUE!</v>
      </c>
      <c r="I2855" s="1" t="e">
        <f t="shared" si="2"/>
        <v>#VALUE!</v>
      </c>
    </row>
    <row r="2856" spans="1:9" ht="15.75" customHeight="1">
      <c r="A2856" s="26"/>
      <c r="B2856" s="2"/>
      <c r="C2856" s="26"/>
      <c r="D2856" s="26"/>
      <c r="F2856" s="85" t="str">
        <f t="shared" si="0"/>
        <v/>
      </c>
      <c r="G2856" s="1" t="e">
        <f>IF(VALUE(F2856) = VALUE(RIGHT(Insights!$C$3, 4)), E2856, "")</f>
        <v>#VALUE!</v>
      </c>
      <c r="H2856" s="26" t="e">
        <f t="shared" si="1"/>
        <v>#VALUE!</v>
      </c>
      <c r="I2856" s="1" t="e">
        <f t="shared" si="2"/>
        <v>#VALUE!</v>
      </c>
    </row>
    <row r="2857" spans="1:9" ht="15.75" customHeight="1">
      <c r="A2857" s="26"/>
      <c r="B2857" s="2"/>
      <c r="C2857" s="26"/>
      <c r="D2857" s="26"/>
      <c r="F2857" s="85" t="str">
        <f t="shared" si="0"/>
        <v/>
      </c>
      <c r="G2857" s="1" t="e">
        <f>IF(VALUE(F2857) = VALUE(RIGHT(Insights!$C$3, 4)), E2857, "")</f>
        <v>#VALUE!</v>
      </c>
      <c r="H2857" s="26" t="e">
        <f t="shared" si="1"/>
        <v>#VALUE!</v>
      </c>
      <c r="I2857" s="1" t="e">
        <f t="shared" si="2"/>
        <v>#VALUE!</v>
      </c>
    </row>
    <row r="2858" spans="1:9" ht="15.75" customHeight="1">
      <c r="A2858" s="26"/>
      <c r="B2858" s="2"/>
      <c r="C2858" s="26"/>
      <c r="D2858" s="26"/>
      <c r="F2858" s="85" t="str">
        <f t="shared" si="0"/>
        <v/>
      </c>
      <c r="G2858" s="1" t="e">
        <f>IF(VALUE(F2858) = VALUE(RIGHT(Insights!$C$3, 4)), E2858, "")</f>
        <v>#VALUE!</v>
      </c>
      <c r="H2858" s="26" t="e">
        <f t="shared" si="1"/>
        <v>#VALUE!</v>
      </c>
      <c r="I2858" s="1" t="e">
        <f t="shared" si="2"/>
        <v>#VALUE!</v>
      </c>
    </row>
    <row r="2859" spans="1:9" ht="15.75" customHeight="1">
      <c r="A2859" s="26"/>
      <c r="B2859" s="2"/>
      <c r="C2859" s="26"/>
      <c r="D2859" s="26"/>
      <c r="F2859" s="85" t="str">
        <f t="shared" si="0"/>
        <v/>
      </c>
      <c r="G2859" s="1" t="e">
        <f>IF(VALUE(F2859) = VALUE(RIGHT(Insights!$C$3, 4)), E2859, "")</f>
        <v>#VALUE!</v>
      </c>
      <c r="H2859" s="26" t="e">
        <f t="shared" si="1"/>
        <v>#VALUE!</v>
      </c>
      <c r="I2859" s="1" t="e">
        <f t="shared" si="2"/>
        <v>#VALUE!</v>
      </c>
    </row>
    <row r="2860" spans="1:9" ht="15.75" customHeight="1">
      <c r="A2860" s="26"/>
      <c r="B2860" s="2"/>
      <c r="C2860" s="26"/>
      <c r="D2860" s="26"/>
      <c r="F2860" s="85" t="str">
        <f t="shared" si="0"/>
        <v/>
      </c>
      <c r="G2860" s="1" t="e">
        <f>IF(VALUE(F2860) = VALUE(RIGHT(Insights!$C$3, 4)), E2860, "")</f>
        <v>#VALUE!</v>
      </c>
      <c r="H2860" s="26" t="e">
        <f t="shared" si="1"/>
        <v>#VALUE!</v>
      </c>
      <c r="I2860" s="1" t="e">
        <f t="shared" si="2"/>
        <v>#VALUE!</v>
      </c>
    </row>
    <row r="2861" spans="1:9" ht="15.75" customHeight="1">
      <c r="A2861" s="26"/>
      <c r="B2861" s="2"/>
      <c r="C2861" s="26"/>
      <c r="D2861" s="26"/>
      <c r="F2861" s="85" t="str">
        <f t="shared" si="0"/>
        <v/>
      </c>
      <c r="G2861" s="1" t="e">
        <f>IF(VALUE(F2861) = VALUE(RIGHT(Insights!$C$3, 4)), E2861, "")</f>
        <v>#VALUE!</v>
      </c>
      <c r="H2861" s="26" t="e">
        <f t="shared" si="1"/>
        <v>#VALUE!</v>
      </c>
      <c r="I2861" s="1" t="e">
        <f t="shared" si="2"/>
        <v>#VALUE!</v>
      </c>
    </row>
    <row r="2862" spans="1:9" ht="15.75" customHeight="1">
      <c r="A2862" s="26"/>
      <c r="B2862" s="2"/>
      <c r="C2862" s="26"/>
      <c r="D2862" s="26"/>
      <c r="F2862" s="85" t="str">
        <f t="shared" si="0"/>
        <v/>
      </c>
      <c r="G2862" s="1" t="e">
        <f>IF(VALUE(F2862) = VALUE(RIGHT(Insights!$C$3, 4)), E2862, "")</f>
        <v>#VALUE!</v>
      </c>
      <c r="H2862" s="26" t="e">
        <f t="shared" si="1"/>
        <v>#VALUE!</v>
      </c>
      <c r="I2862" s="1" t="e">
        <f t="shared" si="2"/>
        <v>#VALUE!</v>
      </c>
    </row>
    <row r="2863" spans="1:9" ht="15.75" customHeight="1">
      <c r="A2863" s="26"/>
      <c r="B2863" s="2"/>
      <c r="C2863" s="26"/>
      <c r="D2863" s="26"/>
      <c r="F2863" s="85" t="str">
        <f t="shared" si="0"/>
        <v/>
      </c>
      <c r="G2863" s="1" t="e">
        <f>IF(VALUE(F2863) = VALUE(RIGHT(Insights!$C$3, 4)), E2863, "")</f>
        <v>#VALUE!</v>
      </c>
      <c r="H2863" s="26" t="e">
        <f t="shared" si="1"/>
        <v>#VALUE!</v>
      </c>
      <c r="I2863" s="1" t="e">
        <f t="shared" si="2"/>
        <v>#VALUE!</v>
      </c>
    </row>
    <row r="2864" spans="1:9" ht="15.75" customHeight="1">
      <c r="A2864" s="26"/>
      <c r="B2864" s="2"/>
      <c r="C2864" s="26"/>
      <c r="D2864" s="26"/>
      <c r="F2864" s="85" t="str">
        <f t="shared" si="0"/>
        <v/>
      </c>
      <c r="G2864" s="1" t="e">
        <f>IF(VALUE(F2864) = VALUE(RIGHT(Insights!$C$3, 4)), E2864, "")</f>
        <v>#VALUE!</v>
      </c>
      <c r="H2864" s="26" t="e">
        <f t="shared" si="1"/>
        <v>#VALUE!</v>
      </c>
      <c r="I2864" s="1" t="e">
        <f t="shared" si="2"/>
        <v>#VALUE!</v>
      </c>
    </row>
    <row r="2865" spans="1:9" ht="15.75" customHeight="1">
      <c r="A2865" s="26"/>
      <c r="B2865" s="2"/>
      <c r="C2865" s="26"/>
      <c r="D2865" s="26"/>
      <c r="F2865" s="85" t="str">
        <f t="shared" si="0"/>
        <v/>
      </c>
      <c r="G2865" s="1" t="e">
        <f>IF(VALUE(F2865) = VALUE(RIGHT(Insights!$C$3, 4)), E2865, "")</f>
        <v>#VALUE!</v>
      </c>
      <c r="H2865" s="26" t="e">
        <f t="shared" si="1"/>
        <v>#VALUE!</v>
      </c>
      <c r="I2865" s="1" t="e">
        <f t="shared" si="2"/>
        <v>#VALUE!</v>
      </c>
    </row>
    <row r="2866" spans="1:9" ht="15.75" customHeight="1">
      <c r="A2866" s="26"/>
      <c r="B2866" s="2"/>
      <c r="C2866" s="26"/>
      <c r="D2866" s="26"/>
      <c r="F2866" s="85" t="str">
        <f t="shared" si="0"/>
        <v/>
      </c>
      <c r="G2866" s="1" t="e">
        <f>IF(VALUE(F2866) = VALUE(RIGHT(Insights!$C$3, 4)), E2866, "")</f>
        <v>#VALUE!</v>
      </c>
      <c r="H2866" s="26" t="e">
        <f t="shared" si="1"/>
        <v>#VALUE!</v>
      </c>
      <c r="I2866" s="1" t="e">
        <f t="shared" si="2"/>
        <v>#VALUE!</v>
      </c>
    </row>
    <row r="2867" spans="1:9" ht="15.75" customHeight="1">
      <c r="A2867" s="26"/>
      <c r="B2867" s="2"/>
      <c r="C2867" s="26"/>
      <c r="D2867" s="26"/>
      <c r="F2867" s="85" t="str">
        <f t="shared" si="0"/>
        <v/>
      </c>
      <c r="G2867" s="1" t="e">
        <f>IF(VALUE(F2867) = VALUE(RIGHT(Insights!$C$3, 4)), E2867, "")</f>
        <v>#VALUE!</v>
      </c>
      <c r="H2867" s="26" t="e">
        <f t="shared" si="1"/>
        <v>#VALUE!</v>
      </c>
      <c r="I2867" s="1" t="e">
        <f t="shared" si="2"/>
        <v>#VALUE!</v>
      </c>
    </row>
    <row r="2868" spans="1:9" ht="15.75" customHeight="1">
      <c r="A2868" s="26"/>
      <c r="B2868" s="2"/>
      <c r="C2868" s="26"/>
      <c r="D2868" s="26"/>
      <c r="F2868" s="85" t="str">
        <f t="shared" si="0"/>
        <v/>
      </c>
      <c r="G2868" s="1" t="e">
        <f>IF(VALUE(F2868) = VALUE(RIGHT(Insights!$C$3, 4)), E2868, "")</f>
        <v>#VALUE!</v>
      </c>
      <c r="H2868" s="26" t="e">
        <f t="shared" si="1"/>
        <v>#VALUE!</v>
      </c>
      <c r="I2868" s="1" t="e">
        <f t="shared" si="2"/>
        <v>#VALUE!</v>
      </c>
    </row>
    <row r="2869" spans="1:9" ht="15.75" customHeight="1">
      <c r="A2869" s="26"/>
      <c r="B2869" s="2"/>
      <c r="C2869" s="26"/>
      <c r="D2869" s="26"/>
      <c r="F2869" s="85" t="str">
        <f t="shared" si="0"/>
        <v/>
      </c>
      <c r="G2869" s="1" t="e">
        <f>IF(VALUE(F2869) = VALUE(RIGHT(Insights!$C$3, 4)), E2869, "")</f>
        <v>#VALUE!</v>
      </c>
      <c r="H2869" s="26" t="e">
        <f t="shared" si="1"/>
        <v>#VALUE!</v>
      </c>
      <c r="I2869" s="1" t="e">
        <f t="shared" si="2"/>
        <v>#VALUE!</v>
      </c>
    </row>
    <row r="2870" spans="1:9" ht="15.75" customHeight="1">
      <c r="A2870" s="26"/>
      <c r="B2870" s="2"/>
      <c r="C2870" s="26"/>
      <c r="D2870" s="26"/>
      <c r="F2870" s="85" t="str">
        <f t="shared" si="0"/>
        <v/>
      </c>
      <c r="G2870" s="1" t="e">
        <f>IF(VALUE(F2870) = VALUE(RIGHT(Insights!$C$3, 4)), E2870, "")</f>
        <v>#VALUE!</v>
      </c>
      <c r="H2870" s="26" t="e">
        <f t="shared" si="1"/>
        <v>#VALUE!</v>
      </c>
      <c r="I2870" s="1" t="e">
        <f t="shared" si="2"/>
        <v>#VALUE!</v>
      </c>
    </row>
    <row r="2871" spans="1:9" ht="15.75" customHeight="1">
      <c r="A2871" s="26"/>
      <c r="B2871" s="2"/>
      <c r="C2871" s="26"/>
      <c r="D2871" s="26"/>
      <c r="F2871" s="85" t="str">
        <f t="shared" si="0"/>
        <v/>
      </c>
      <c r="G2871" s="1" t="e">
        <f>IF(VALUE(F2871) = VALUE(RIGHT(Insights!$C$3, 4)), E2871, "")</f>
        <v>#VALUE!</v>
      </c>
      <c r="H2871" s="26" t="e">
        <f t="shared" si="1"/>
        <v>#VALUE!</v>
      </c>
      <c r="I2871" s="1" t="e">
        <f t="shared" si="2"/>
        <v>#VALUE!</v>
      </c>
    </row>
    <row r="2872" spans="1:9" ht="15.75" customHeight="1">
      <c r="A2872" s="26"/>
      <c r="B2872" s="2"/>
      <c r="C2872" s="26"/>
      <c r="D2872" s="26"/>
      <c r="F2872" s="85" t="str">
        <f t="shared" si="0"/>
        <v/>
      </c>
      <c r="G2872" s="1" t="e">
        <f>IF(VALUE(F2872) = VALUE(RIGHT(Insights!$C$3, 4)), E2872, "")</f>
        <v>#VALUE!</v>
      </c>
      <c r="H2872" s="26" t="e">
        <f t="shared" si="1"/>
        <v>#VALUE!</v>
      </c>
      <c r="I2872" s="1" t="e">
        <f t="shared" si="2"/>
        <v>#VALUE!</v>
      </c>
    </row>
    <row r="2873" spans="1:9" ht="15.75" customHeight="1">
      <c r="A2873" s="26"/>
      <c r="B2873" s="2"/>
      <c r="C2873" s="26"/>
      <c r="D2873" s="26"/>
      <c r="F2873" s="85" t="str">
        <f t="shared" si="0"/>
        <v/>
      </c>
      <c r="G2873" s="1" t="e">
        <f>IF(VALUE(F2873) = VALUE(RIGHT(Insights!$C$3, 4)), E2873, "")</f>
        <v>#VALUE!</v>
      </c>
      <c r="H2873" s="26" t="e">
        <f t="shared" si="1"/>
        <v>#VALUE!</v>
      </c>
      <c r="I2873" s="1" t="e">
        <f t="shared" si="2"/>
        <v>#VALUE!</v>
      </c>
    </row>
    <row r="2874" spans="1:9" ht="15.75" customHeight="1">
      <c r="A2874" s="26"/>
      <c r="B2874" s="2"/>
      <c r="C2874" s="26"/>
      <c r="D2874" s="26"/>
      <c r="F2874" s="85" t="str">
        <f t="shared" si="0"/>
        <v/>
      </c>
      <c r="G2874" s="1" t="e">
        <f>IF(VALUE(F2874) = VALUE(RIGHT(Insights!$C$3, 4)), E2874, "")</f>
        <v>#VALUE!</v>
      </c>
      <c r="H2874" s="26" t="e">
        <f t="shared" si="1"/>
        <v>#VALUE!</v>
      </c>
      <c r="I2874" s="1" t="e">
        <f t="shared" si="2"/>
        <v>#VALUE!</v>
      </c>
    </row>
    <row r="2875" spans="1:9" ht="15.75" customHeight="1">
      <c r="A2875" s="26"/>
      <c r="B2875" s="2"/>
      <c r="C2875" s="26"/>
      <c r="D2875" s="26"/>
      <c r="F2875" s="85" t="str">
        <f t="shared" si="0"/>
        <v/>
      </c>
      <c r="G2875" s="1" t="e">
        <f>IF(VALUE(F2875) = VALUE(RIGHT(Insights!$C$3, 4)), E2875, "")</f>
        <v>#VALUE!</v>
      </c>
      <c r="H2875" s="26" t="e">
        <f t="shared" si="1"/>
        <v>#VALUE!</v>
      </c>
      <c r="I2875" s="1" t="e">
        <f t="shared" si="2"/>
        <v>#VALUE!</v>
      </c>
    </row>
    <row r="2876" spans="1:9" ht="15.75" customHeight="1">
      <c r="A2876" s="26"/>
      <c r="B2876" s="2"/>
      <c r="C2876" s="26"/>
      <c r="D2876" s="26"/>
      <c r="F2876" s="85" t="str">
        <f t="shared" si="0"/>
        <v/>
      </c>
      <c r="G2876" s="1" t="e">
        <f>IF(VALUE(F2876) = VALUE(RIGHT(Insights!$C$3, 4)), E2876, "")</f>
        <v>#VALUE!</v>
      </c>
      <c r="H2876" s="26" t="e">
        <f t="shared" si="1"/>
        <v>#VALUE!</v>
      </c>
      <c r="I2876" s="1" t="e">
        <f t="shared" si="2"/>
        <v>#VALUE!</v>
      </c>
    </row>
    <row r="2877" spans="1:9" ht="15.75" customHeight="1">
      <c r="A2877" s="26"/>
      <c r="B2877" s="2"/>
      <c r="C2877" s="26"/>
      <c r="D2877" s="26"/>
      <c r="F2877" s="85" t="str">
        <f t="shared" si="0"/>
        <v/>
      </c>
      <c r="G2877" s="1" t="e">
        <f>IF(VALUE(F2877) = VALUE(RIGHT(Insights!$C$3, 4)), E2877, "")</f>
        <v>#VALUE!</v>
      </c>
      <c r="H2877" s="26" t="e">
        <f t="shared" si="1"/>
        <v>#VALUE!</v>
      </c>
      <c r="I2877" s="1" t="e">
        <f t="shared" si="2"/>
        <v>#VALUE!</v>
      </c>
    </row>
    <row r="2878" spans="1:9" ht="15.75" customHeight="1">
      <c r="A2878" s="26"/>
      <c r="B2878" s="2"/>
      <c r="C2878" s="26"/>
      <c r="D2878" s="26"/>
      <c r="F2878" s="85" t="str">
        <f t="shared" si="0"/>
        <v/>
      </c>
      <c r="G2878" s="1" t="e">
        <f>IF(VALUE(F2878) = VALUE(RIGHT(Insights!$C$3, 4)), E2878, "")</f>
        <v>#VALUE!</v>
      </c>
      <c r="H2878" s="26" t="e">
        <f t="shared" si="1"/>
        <v>#VALUE!</v>
      </c>
      <c r="I2878" s="1" t="e">
        <f t="shared" si="2"/>
        <v>#VALUE!</v>
      </c>
    </row>
    <row r="2879" spans="1:9" ht="15.75" customHeight="1">
      <c r="A2879" s="26"/>
      <c r="B2879" s="2"/>
      <c r="C2879" s="26"/>
      <c r="D2879" s="26"/>
      <c r="F2879" s="85" t="str">
        <f t="shared" si="0"/>
        <v/>
      </c>
      <c r="G2879" s="1" t="e">
        <f>IF(VALUE(F2879) = VALUE(RIGHT(Insights!$C$3, 4)), E2879, "")</f>
        <v>#VALUE!</v>
      </c>
      <c r="H2879" s="26" t="e">
        <f t="shared" si="1"/>
        <v>#VALUE!</v>
      </c>
      <c r="I2879" s="1" t="e">
        <f t="shared" si="2"/>
        <v>#VALUE!</v>
      </c>
    </row>
    <row r="2880" spans="1:9" ht="15.75" customHeight="1">
      <c r="A2880" s="26"/>
      <c r="B2880" s="2"/>
      <c r="C2880" s="26"/>
      <c r="D2880" s="26"/>
      <c r="F2880" s="85" t="str">
        <f t="shared" si="0"/>
        <v/>
      </c>
      <c r="G2880" s="1" t="e">
        <f>IF(VALUE(F2880) = VALUE(RIGHT(Insights!$C$3, 4)), E2880, "")</f>
        <v>#VALUE!</v>
      </c>
      <c r="H2880" s="26" t="e">
        <f t="shared" si="1"/>
        <v>#VALUE!</v>
      </c>
      <c r="I2880" s="1" t="e">
        <f t="shared" si="2"/>
        <v>#VALUE!</v>
      </c>
    </row>
    <row r="2881" spans="1:9" ht="15.75" customHeight="1">
      <c r="A2881" s="26"/>
      <c r="B2881" s="2"/>
      <c r="C2881" s="26"/>
      <c r="D2881" s="26"/>
      <c r="F2881" s="85" t="str">
        <f t="shared" si="0"/>
        <v/>
      </c>
      <c r="G2881" s="1" t="e">
        <f>IF(VALUE(F2881) = VALUE(RIGHT(Insights!$C$3, 4)), E2881, "")</f>
        <v>#VALUE!</v>
      </c>
      <c r="H2881" s="26" t="e">
        <f t="shared" si="1"/>
        <v>#VALUE!</v>
      </c>
      <c r="I2881" s="1" t="e">
        <f t="shared" si="2"/>
        <v>#VALUE!</v>
      </c>
    </row>
    <row r="2882" spans="1:9" ht="15.75" customHeight="1">
      <c r="A2882" s="26"/>
      <c r="B2882" s="2"/>
      <c r="C2882" s="26"/>
      <c r="D2882" s="26"/>
      <c r="F2882" s="85" t="str">
        <f t="shared" si="0"/>
        <v/>
      </c>
      <c r="G2882" s="1" t="e">
        <f>IF(VALUE(F2882) = VALUE(RIGHT(Insights!$C$3, 4)), E2882, "")</f>
        <v>#VALUE!</v>
      </c>
      <c r="H2882" s="26" t="e">
        <f t="shared" si="1"/>
        <v>#VALUE!</v>
      </c>
      <c r="I2882" s="1" t="e">
        <f t="shared" si="2"/>
        <v>#VALUE!</v>
      </c>
    </row>
    <row r="2883" spans="1:9" ht="15.75" customHeight="1">
      <c r="A2883" s="26"/>
      <c r="B2883" s="2"/>
      <c r="C2883" s="26"/>
      <c r="D2883" s="26"/>
      <c r="F2883" s="85" t="str">
        <f t="shared" si="0"/>
        <v/>
      </c>
      <c r="G2883" s="1" t="e">
        <f>IF(VALUE(F2883) = VALUE(RIGHT(Insights!$C$3, 4)), E2883, "")</f>
        <v>#VALUE!</v>
      </c>
      <c r="H2883" s="26" t="e">
        <f t="shared" si="1"/>
        <v>#VALUE!</v>
      </c>
      <c r="I2883" s="1" t="e">
        <f t="shared" si="2"/>
        <v>#VALUE!</v>
      </c>
    </row>
    <row r="2884" spans="1:9" ht="15.75" customHeight="1">
      <c r="A2884" s="26"/>
      <c r="B2884" s="2"/>
      <c r="C2884" s="26"/>
      <c r="D2884" s="26"/>
      <c r="F2884" s="85" t="str">
        <f t="shared" si="0"/>
        <v/>
      </c>
      <c r="G2884" s="1" t="e">
        <f>IF(VALUE(F2884) = VALUE(RIGHT(Insights!$C$3, 4)), E2884, "")</f>
        <v>#VALUE!</v>
      </c>
      <c r="H2884" s="26" t="e">
        <f t="shared" si="1"/>
        <v>#VALUE!</v>
      </c>
      <c r="I2884" s="1" t="e">
        <f t="shared" si="2"/>
        <v>#VALUE!</v>
      </c>
    </row>
    <row r="2885" spans="1:9" ht="15.75" customHeight="1">
      <c r="A2885" s="26"/>
      <c r="B2885" s="2"/>
      <c r="C2885" s="26"/>
      <c r="D2885" s="26"/>
      <c r="F2885" s="85" t="str">
        <f t="shared" si="0"/>
        <v/>
      </c>
      <c r="G2885" s="1" t="e">
        <f>IF(VALUE(F2885) = VALUE(RIGHT(Insights!$C$3, 4)), E2885, "")</f>
        <v>#VALUE!</v>
      </c>
      <c r="H2885" s="26" t="e">
        <f t="shared" si="1"/>
        <v>#VALUE!</v>
      </c>
      <c r="I2885" s="1" t="e">
        <f t="shared" si="2"/>
        <v>#VALUE!</v>
      </c>
    </row>
    <row r="2886" spans="1:9" ht="15.75" customHeight="1">
      <c r="A2886" s="26"/>
      <c r="B2886" s="2"/>
      <c r="C2886" s="26"/>
      <c r="D2886" s="26"/>
      <c r="F2886" s="85" t="str">
        <f t="shared" si="0"/>
        <v/>
      </c>
      <c r="G2886" s="1" t="e">
        <f>IF(VALUE(F2886) = VALUE(RIGHT(Insights!$C$3, 4)), E2886, "")</f>
        <v>#VALUE!</v>
      </c>
      <c r="H2886" s="26" t="e">
        <f t="shared" si="1"/>
        <v>#VALUE!</v>
      </c>
      <c r="I2886" s="1" t="e">
        <f t="shared" si="2"/>
        <v>#VALUE!</v>
      </c>
    </row>
    <row r="2887" spans="1:9" ht="15.75" customHeight="1">
      <c r="A2887" s="26"/>
      <c r="B2887" s="2"/>
      <c r="C2887" s="26"/>
      <c r="D2887" s="26"/>
      <c r="F2887" s="85" t="str">
        <f t="shared" si="0"/>
        <v/>
      </c>
      <c r="G2887" s="1" t="e">
        <f>IF(VALUE(F2887) = VALUE(RIGHT(Insights!$C$3, 4)), E2887, "")</f>
        <v>#VALUE!</v>
      </c>
      <c r="H2887" s="26" t="e">
        <f t="shared" si="1"/>
        <v>#VALUE!</v>
      </c>
      <c r="I2887" s="1" t="e">
        <f t="shared" si="2"/>
        <v>#VALUE!</v>
      </c>
    </row>
    <row r="2888" spans="1:9" ht="15.75" customHeight="1">
      <c r="A2888" s="26"/>
      <c r="B2888" s="2"/>
      <c r="C2888" s="26"/>
      <c r="D2888" s="26"/>
      <c r="F2888" s="85" t="str">
        <f t="shared" si="0"/>
        <v/>
      </c>
      <c r="G2888" s="1" t="e">
        <f>IF(VALUE(F2888) = VALUE(RIGHT(Insights!$C$3, 4)), E2888, "")</f>
        <v>#VALUE!</v>
      </c>
      <c r="H2888" s="26" t="e">
        <f t="shared" si="1"/>
        <v>#VALUE!</v>
      </c>
      <c r="I2888" s="1" t="e">
        <f t="shared" si="2"/>
        <v>#VALUE!</v>
      </c>
    </row>
    <row r="2889" spans="1:9" ht="15.75" customHeight="1">
      <c r="A2889" s="26"/>
      <c r="B2889" s="2"/>
      <c r="C2889" s="26"/>
      <c r="D2889" s="26"/>
      <c r="F2889" s="85" t="str">
        <f t="shared" si="0"/>
        <v/>
      </c>
      <c r="G2889" s="1" t="e">
        <f>IF(VALUE(F2889) = VALUE(RIGHT(Insights!$C$3, 4)), E2889, "")</f>
        <v>#VALUE!</v>
      </c>
      <c r="H2889" s="26" t="e">
        <f t="shared" si="1"/>
        <v>#VALUE!</v>
      </c>
      <c r="I2889" s="1" t="e">
        <f t="shared" si="2"/>
        <v>#VALUE!</v>
      </c>
    </row>
    <row r="2890" spans="1:9" ht="15.75" customHeight="1">
      <c r="A2890" s="26"/>
      <c r="B2890" s="2"/>
      <c r="C2890" s="26"/>
      <c r="D2890" s="26"/>
      <c r="F2890" s="85" t="str">
        <f t="shared" si="0"/>
        <v/>
      </c>
      <c r="G2890" s="1" t="e">
        <f>IF(VALUE(F2890) = VALUE(RIGHT(Insights!$C$3, 4)), E2890, "")</f>
        <v>#VALUE!</v>
      </c>
      <c r="H2890" s="26" t="e">
        <f t="shared" si="1"/>
        <v>#VALUE!</v>
      </c>
      <c r="I2890" s="1" t="e">
        <f t="shared" si="2"/>
        <v>#VALUE!</v>
      </c>
    </row>
    <row r="2891" spans="1:9" ht="15.75" customHeight="1">
      <c r="A2891" s="26"/>
      <c r="B2891" s="2"/>
      <c r="C2891" s="26"/>
      <c r="D2891" s="26"/>
      <c r="F2891" s="85" t="str">
        <f t="shared" si="0"/>
        <v/>
      </c>
      <c r="G2891" s="1" t="e">
        <f>IF(VALUE(F2891) = VALUE(RIGHT(Insights!$C$3, 4)), E2891, "")</f>
        <v>#VALUE!</v>
      </c>
      <c r="H2891" s="26" t="e">
        <f t="shared" si="1"/>
        <v>#VALUE!</v>
      </c>
      <c r="I2891" s="1" t="e">
        <f t="shared" si="2"/>
        <v>#VALUE!</v>
      </c>
    </row>
    <row r="2892" spans="1:9" ht="15.75" customHeight="1">
      <c r="A2892" s="26"/>
      <c r="B2892" s="2"/>
      <c r="C2892" s="26"/>
      <c r="D2892" s="26"/>
      <c r="F2892" s="85" t="str">
        <f t="shared" si="0"/>
        <v/>
      </c>
      <c r="G2892" s="1" t="e">
        <f>IF(VALUE(F2892) = VALUE(RIGHT(Insights!$C$3, 4)), E2892, "")</f>
        <v>#VALUE!</v>
      </c>
      <c r="H2892" s="26" t="e">
        <f t="shared" si="1"/>
        <v>#VALUE!</v>
      </c>
      <c r="I2892" s="1" t="e">
        <f t="shared" si="2"/>
        <v>#VALUE!</v>
      </c>
    </row>
    <row r="2893" spans="1:9" ht="15.75" customHeight="1">
      <c r="A2893" s="26"/>
      <c r="B2893" s="2"/>
      <c r="C2893" s="26"/>
      <c r="D2893" s="26"/>
      <c r="F2893" s="85" t="str">
        <f t="shared" si="0"/>
        <v/>
      </c>
      <c r="G2893" s="1" t="e">
        <f>IF(VALUE(F2893) = VALUE(RIGHT(Insights!$C$3, 4)), E2893, "")</f>
        <v>#VALUE!</v>
      </c>
      <c r="H2893" s="26" t="e">
        <f t="shared" si="1"/>
        <v>#VALUE!</v>
      </c>
      <c r="I2893" s="1" t="e">
        <f t="shared" si="2"/>
        <v>#VALUE!</v>
      </c>
    </row>
    <row r="2894" spans="1:9" ht="15.75" customHeight="1">
      <c r="A2894" s="26"/>
      <c r="B2894" s="2"/>
      <c r="C2894" s="26"/>
      <c r="D2894" s="26"/>
      <c r="F2894" s="85" t="str">
        <f t="shared" si="0"/>
        <v/>
      </c>
      <c r="G2894" s="1" t="e">
        <f>IF(VALUE(F2894) = VALUE(RIGHT(Insights!$C$3, 4)), E2894, "")</f>
        <v>#VALUE!</v>
      </c>
      <c r="H2894" s="26" t="e">
        <f t="shared" si="1"/>
        <v>#VALUE!</v>
      </c>
      <c r="I2894" s="1" t="e">
        <f t="shared" si="2"/>
        <v>#VALUE!</v>
      </c>
    </row>
    <row r="2895" spans="1:9" ht="15.75" customHeight="1">
      <c r="A2895" s="26"/>
      <c r="B2895" s="2"/>
      <c r="C2895" s="26"/>
      <c r="D2895" s="26"/>
      <c r="F2895" s="85" t="str">
        <f t="shared" si="0"/>
        <v/>
      </c>
      <c r="G2895" s="1" t="e">
        <f>IF(VALUE(F2895) = VALUE(RIGHT(Insights!$C$3, 4)), E2895, "")</f>
        <v>#VALUE!</v>
      </c>
      <c r="H2895" s="26" t="e">
        <f t="shared" si="1"/>
        <v>#VALUE!</v>
      </c>
      <c r="I2895" s="1" t="e">
        <f t="shared" si="2"/>
        <v>#VALUE!</v>
      </c>
    </row>
    <row r="2896" spans="1:9" ht="15.75" customHeight="1">
      <c r="A2896" s="26"/>
      <c r="B2896" s="2"/>
      <c r="C2896" s="26"/>
      <c r="D2896" s="26"/>
      <c r="F2896" s="85" t="str">
        <f t="shared" si="0"/>
        <v/>
      </c>
      <c r="G2896" s="1" t="e">
        <f>IF(VALUE(F2896) = VALUE(RIGHT(Insights!$C$3, 4)), E2896, "")</f>
        <v>#VALUE!</v>
      </c>
      <c r="H2896" s="26" t="e">
        <f t="shared" si="1"/>
        <v>#VALUE!</v>
      </c>
      <c r="I2896" s="1" t="e">
        <f t="shared" si="2"/>
        <v>#VALUE!</v>
      </c>
    </row>
    <row r="2897" spans="1:9" ht="15.75" customHeight="1">
      <c r="A2897" s="26"/>
      <c r="B2897" s="2"/>
      <c r="C2897" s="26"/>
      <c r="D2897" s="26"/>
      <c r="F2897" s="85" t="str">
        <f t="shared" si="0"/>
        <v/>
      </c>
      <c r="G2897" s="1" t="e">
        <f>IF(VALUE(F2897) = VALUE(RIGHT(Insights!$C$3, 4)), E2897, "")</f>
        <v>#VALUE!</v>
      </c>
      <c r="H2897" s="26" t="e">
        <f t="shared" si="1"/>
        <v>#VALUE!</v>
      </c>
      <c r="I2897" s="1" t="e">
        <f t="shared" si="2"/>
        <v>#VALUE!</v>
      </c>
    </row>
    <row r="2898" spans="1:9" ht="15.75" customHeight="1">
      <c r="A2898" s="26"/>
      <c r="B2898" s="2"/>
      <c r="C2898" s="26"/>
      <c r="D2898" s="26"/>
      <c r="F2898" s="85" t="str">
        <f t="shared" si="0"/>
        <v/>
      </c>
      <c r="G2898" s="1" t="e">
        <f>IF(VALUE(F2898) = VALUE(RIGHT(Insights!$C$3, 4)), E2898, "")</f>
        <v>#VALUE!</v>
      </c>
      <c r="H2898" s="26" t="e">
        <f t="shared" si="1"/>
        <v>#VALUE!</v>
      </c>
      <c r="I2898" s="1" t="e">
        <f t="shared" si="2"/>
        <v>#VALUE!</v>
      </c>
    </row>
    <row r="2899" spans="1:9" ht="15.75" customHeight="1">
      <c r="A2899" s="26"/>
      <c r="B2899" s="2"/>
      <c r="C2899" s="26"/>
      <c r="D2899" s="26"/>
      <c r="F2899" s="85" t="str">
        <f t="shared" si="0"/>
        <v/>
      </c>
      <c r="G2899" s="1" t="e">
        <f>IF(VALUE(F2899) = VALUE(RIGHT(Insights!$C$3, 4)), E2899, "")</f>
        <v>#VALUE!</v>
      </c>
      <c r="H2899" s="26" t="e">
        <f t="shared" si="1"/>
        <v>#VALUE!</v>
      </c>
      <c r="I2899" s="1" t="e">
        <f t="shared" si="2"/>
        <v>#VALUE!</v>
      </c>
    </row>
    <row r="2900" spans="1:9" ht="15.75" customHeight="1">
      <c r="A2900" s="26"/>
      <c r="B2900" s="2"/>
      <c r="C2900" s="26"/>
      <c r="D2900" s="26"/>
      <c r="F2900" s="85" t="str">
        <f t="shared" si="0"/>
        <v/>
      </c>
      <c r="G2900" s="1" t="e">
        <f>IF(VALUE(F2900) = VALUE(RIGHT(Insights!$C$3, 4)), E2900, "")</f>
        <v>#VALUE!</v>
      </c>
      <c r="H2900" s="26" t="e">
        <f t="shared" si="1"/>
        <v>#VALUE!</v>
      </c>
      <c r="I2900" s="1" t="e">
        <f t="shared" si="2"/>
        <v>#VALUE!</v>
      </c>
    </row>
    <row r="2901" spans="1:9" ht="15.75" customHeight="1">
      <c r="A2901" s="26"/>
      <c r="B2901" s="2"/>
      <c r="C2901" s="26"/>
      <c r="D2901" s="26"/>
      <c r="F2901" s="85" t="str">
        <f t="shared" si="0"/>
        <v/>
      </c>
      <c r="G2901" s="1" t="e">
        <f>IF(VALUE(F2901) = VALUE(RIGHT(Insights!$C$3, 4)), E2901, "")</f>
        <v>#VALUE!</v>
      </c>
      <c r="H2901" s="26" t="e">
        <f t="shared" si="1"/>
        <v>#VALUE!</v>
      </c>
      <c r="I2901" s="1" t="e">
        <f t="shared" si="2"/>
        <v>#VALUE!</v>
      </c>
    </row>
    <row r="2902" spans="1:9" ht="15.75" customHeight="1">
      <c r="A2902" s="26"/>
      <c r="B2902" s="2"/>
      <c r="C2902" s="26"/>
      <c r="D2902" s="26"/>
      <c r="F2902" s="85" t="str">
        <f t="shared" si="0"/>
        <v/>
      </c>
      <c r="G2902" s="1" t="e">
        <f>IF(VALUE(F2902) = VALUE(RIGHT(Insights!$C$3, 4)), E2902, "")</f>
        <v>#VALUE!</v>
      </c>
      <c r="H2902" s="26" t="e">
        <f t="shared" si="1"/>
        <v>#VALUE!</v>
      </c>
      <c r="I2902" s="1" t="e">
        <f t="shared" si="2"/>
        <v>#VALUE!</v>
      </c>
    </row>
    <row r="2903" spans="1:9" ht="15.75" customHeight="1">
      <c r="A2903" s="26"/>
      <c r="B2903" s="2"/>
      <c r="C2903" s="26"/>
      <c r="D2903" s="26"/>
      <c r="F2903" s="85" t="str">
        <f t="shared" si="0"/>
        <v/>
      </c>
      <c r="G2903" s="1" t="e">
        <f>IF(VALUE(F2903) = VALUE(RIGHT(Insights!$C$3, 4)), E2903, "")</f>
        <v>#VALUE!</v>
      </c>
      <c r="H2903" s="26" t="e">
        <f t="shared" si="1"/>
        <v>#VALUE!</v>
      </c>
      <c r="I2903" s="1" t="e">
        <f t="shared" si="2"/>
        <v>#VALUE!</v>
      </c>
    </row>
    <row r="2904" spans="1:9" ht="15.75" customHeight="1">
      <c r="A2904" s="26"/>
      <c r="B2904" s="2"/>
      <c r="C2904" s="26"/>
      <c r="D2904" s="26"/>
      <c r="F2904" s="85" t="str">
        <f t="shared" si="0"/>
        <v/>
      </c>
      <c r="G2904" s="1" t="e">
        <f>IF(VALUE(F2904) = VALUE(RIGHT(Insights!$C$3, 4)), E2904, "")</f>
        <v>#VALUE!</v>
      </c>
      <c r="H2904" s="26" t="e">
        <f t="shared" si="1"/>
        <v>#VALUE!</v>
      </c>
      <c r="I2904" s="1" t="e">
        <f t="shared" si="2"/>
        <v>#VALUE!</v>
      </c>
    </row>
    <row r="2905" spans="1:9" ht="15.75" customHeight="1">
      <c r="A2905" s="26"/>
      <c r="B2905" s="2"/>
      <c r="C2905" s="26"/>
      <c r="D2905" s="26"/>
      <c r="F2905" s="85" t="str">
        <f t="shared" si="0"/>
        <v/>
      </c>
      <c r="G2905" s="1" t="e">
        <f>IF(VALUE(F2905) = VALUE(RIGHT(Insights!$C$3, 4)), E2905, "")</f>
        <v>#VALUE!</v>
      </c>
      <c r="H2905" s="26" t="e">
        <f t="shared" si="1"/>
        <v>#VALUE!</v>
      </c>
      <c r="I2905" s="1" t="e">
        <f t="shared" si="2"/>
        <v>#VALUE!</v>
      </c>
    </row>
    <row r="2906" spans="1:9" ht="15.75" customHeight="1">
      <c r="A2906" s="26"/>
      <c r="B2906" s="2"/>
      <c r="C2906" s="26"/>
      <c r="D2906" s="26"/>
      <c r="F2906" s="85" t="str">
        <f t="shared" si="0"/>
        <v/>
      </c>
      <c r="G2906" s="1" t="e">
        <f>IF(VALUE(F2906) = VALUE(RIGHT(Insights!$C$3, 4)), E2906, "")</f>
        <v>#VALUE!</v>
      </c>
      <c r="H2906" s="26" t="e">
        <f t="shared" si="1"/>
        <v>#VALUE!</v>
      </c>
      <c r="I2906" s="1" t="e">
        <f t="shared" si="2"/>
        <v>#VALUE!</v>
      </c>
    </row>
    <row r="2907" spans="1:9" ht="15.75" customHeight="1">
      <c r="A2907" s="26"/>
      <c r="B2907" s="2"/>
      <c r="C2907" s="26"/>
      <c r="D2907" s="26"/>
      <c r="F2907" s="85" t="str">
        <f t="shared" si="0"/>
        <v/>
      </c>
      <c r="G2907" s="1" t="e">
        <f>IF(VALUE(F2907) = VALUE(RIGHT(Insights!$C$3, 4)), E2907, "")</f>
        <v>#VALUE!</v>
      </c>
      <c r="H2907" s="26" t="e">
        <f t="shared" si="1"/>
        <v>#VALUE!</v>
      </c>
      <c r="I2907" s="1" t="e">
        <f t="shared" si="2"/>
        <v>#VALUE!</v>
      </c>
    </row>
    <row r="2908" spans="1:9" ht="15.75" customHeight="1">
      <c r="A2908" s="26"/>
      <c r="B2908" s="2"/>
      <c r="C2908" s="26"/>
      <c r="D2908" s="26"/>
      <c r="F2908" s="85" t="str">
        <f t="shared" si="0"/>
        <v/>
      </c>
      <c r="G2908" s="1" t="e">
        <f>IF(VALUE(F2908) = VALUE(RIGHT(Insights!$C$3, 4)), E2908, "")</f>
        <v>#VALUE!</v>
      </c>
      <c r="H2908" s="26" t="e">
        <f t="shared" si="1"/>
        <v>#VALUE!</v>
      </c>
      <c r="I2908" s="1" t="e">
        <f t="shared" si="2"/>
        <v>#VALUE!</v>
      </c>
    </row>
    <row r="2909" spans="1:9" ht="15.75" customHeight="1">
      <c r="A2909" s="26"/>
      <c r="B2909" s="2"/>
      <c r="C2909" s="26"/>
      <c r="D2909" s="26"/>
      <c r="F2909" s="85" t="str">
        <f t="shared" si="0"/>
        <v/>
      </c>
      <c r="G2909" s="1" t="e">
        <f>IF(VALUE(F2909) = VALUE(RIGHT(Insights!$C$3, 4)), E2909, "")</f>
        <v>#VALUE!</v>
      </c>
      <c r="H2909" s="26" t="e">
        <f t="shared" si="1"/>
        <v>#VALUE!</v>
      </c>
      <c r="I2909" s="1" t="e">
        <f t="shared" si="2"/>
        <v>#VALUE!</v>
      </c>
    </row>
    <row r="2910" spans="1:9" ht="15.75" customHeight="1">
      <c r="A2910" s="26"/>
      <c r="B2910" s="2"/>
      <c r="C2910" s="26"/>
      <c r="D2910" s="26"/>
      <c r="F2910" s="85" t="str">
        <f t="shared" si="0"/>
        <v/>
      </c>
      <c r="G2910" s="1" t="e">
        <f>IF(VALUE(F2910) = VALUE(RIGHT(Insights!$C$3, 4)), E2910, "")</f>
        <v>#VALUE!</v>
      </c>
      <c r="H2910" s="26" t="e">
        <f t="shared" si="1"/>
        <v>#VALUE!</v>
      </c>
      <c r="I2910" s="1" t="e">
        <f t="shared" si="2"/>
        <v>#VALUE!</v>
      </c>
    </row>
    <row r="2911" spans="1:9" ht="15.75" customHeight="1">
      <c r="A2911" s="26"/>
      <c r="B2911" s="2"/>
      <c r="C2911" s="26"/>
      <c r="D2911" s="26"/>
      <c r="F2911" s="85" t="str">
        <f t="shared" si="0"/>
        <v/>
      </c>
      <c r="G2911" s="1" t="e">
        <f>IF(VALUE(F2911) = VALUE(RIGHT(Insights!$C$3, 4)), E2911, "")</f>
        <v>#VALUE!</v>
      </c>
      <c r="H2911" s="26" t="e">
        <f t="shared" si="1"/>
        <v>#VALUE!</v>
      </c>
      <c r="I2911" s="1" t="e">
        <f t="shared" si="2"/>
        <v>#VALUE!</v>
      </c>
    </row>
    <row r="2912" spans="1:9" ht="15.75" customHeight="1">
      <c r="A2912" s="26"/>
      <c r="B2912" s="2"/>
      <c r="C2912" s="26"/>
      <c r="D2912" s="26"/>
      <c r="F2912" s="85" t="str">
        <f t="shared" si="0"/>
        <v/>
      </c>
      <c r="G2912" s="1" t="e">
        <f>IF(VALUE(F2912) = VALUE(RIGHT(Insights!$C$3, 4)), E2912, "")</f>
        <v>#VALUE!</v>
      </c>
      <c r="H2912" s="26" t="e">
        <f t="shared" si="1"/>
        <v>#VALUE!</v>
      </c>
      <c r="I2912" s="1" t="e">
        <f t="shared" si="2"/>
        <v>#VALUE!</v>
      </c>
    </row>
    <row r="2913" spans="1:9" ht="15.75" customHeight="1">
      <c r="A2913" s="26"/>
      <c r="B2913" s="2"/>
      <c r="C2913" s="26"/>
      <c r="D2913" s="26"/>
      <c r="F2913" s="85" t="str">
        <f t="shared" si="0"/>
        <v/>
      </c>
      <c r="G2913" s="1" t="e">
        <f>IF(VALUE(F2913) = VALUE(RIGHT(Insights!$C$3, 4)), E2913, "")</f>
        <v>#VALUE!</v>
      </c>
      <c r="H2913" s="26" t="e">
        <f t="shared" si="1"/>
        <v>#VALUE!</v>
      </c>
      <c r="I2913" s="1" t="e">
        <f t="shared" si="2"/>
        <v>#VALUE!</v>
      </c>
    </row>
    <row r="2914" spans="1:9" ht="15.75" customHeight="1">
      <c r="A2914" s="26"/>
      <c r="B2914" s="2"/>
      <c r="C2914" s="26"/>
      <c r="D2914" s="26"/>
      <c r="F2914" s="85" t="str">
        <f t="shared" si="0"/>
        <v/>
      </c>
      <c r="G2914" s="1" t="e">
        <f>IF(VALUE(F2914) = VALUE(RIGHT(Insights!$C$3, 4)), E2914, "")</f>
        <v>#VALUE!</v>
      </c>
      <c r="H2914" s="26" t="e">
        <f t="shared" si="1"/>
        <v>#VALUE!</v>
      </c>
      <c r="I2914" s="1" t="e">
        <f t="shared" si="2"/>
        <v>#VALUE!</v>
      </c>
    </row>
    <row r="2915" spans="1:9" ht="15.75" customHeight="1">
      <c r="A2915" s="26"/>
      <c r="B2915" s="2"/>
      <c r="C2915" s="26"/>
      <c r="D2915" s="26"/>
      <c r="F2915" s="85" t="str">
        <f t="shared" si="0"/>
        <v/>
      </c>
      <c r="G2915" s="1" t="e">
        <f>IF(VALUE(F2915) = VALUE(RIGHT(Insights!$C$3, 4)), E2915, "")</f>
        <v>#VALUE!</v>
      </c>
      <c r="H2915" s="26" t="e">
        <f t="shared" si="1"/>
        <v>#VALUE!</v>
      </c>
      <c r="I2915" s="1" t="e">
        <f t="shared" si="2"/>
        <v>#VALUE!</v>
      </c>
    </row>
    <row r="2916" spans="1:9" ht="15.75" customHeight="1">
      <c r="A2916" s="26"/>
      <c r="B2916" s="2"/>
      <c r="C2916" s="26"/>
      <c r="D2916" s="26"/>
      <c r="F2916" s="85" t="str">
        <f t="shared" si="0"/>
        <v/>
      </c>
      <c r="G2916" s="1" t="e">
        <f>IF(VALUE(F2916) = VALUE(RIGHT(Insights!$C$3, 4)), E2916, "")</f>
        <v>#VALUE!</v>
      </c>
      <c r="H2916" s="26" t="e">
        <f t="shared" si="1"/>
        <v>#VALUE!</v>
      </c>
      <c r="I2916" s="1" t="e">
        <f t="shared" si="2"/>
        <v>#VALUE!</v>
      </c>
    </row>
    <row r="2917" spans="1:9" ht="15.75" customHeight="1">
      <c r="A2917" s="26"/>
      <c r="B2917" s="2"/>
      <c r="C2917" s="26"/>
      <c r="D2917" s="26"/>
      <c r="F2917" s="85" t="str">
        <f t="shared" si="0"/>
        <v/>
      </c>
      <c r="G2917" s="1" t="e">
        <f>IF(VALUE(F2917) = VALUE(RIGHT(Insights!$C$3, 4)), E2917, "")</f>
        <v>#VALUE!</v>
      </c>
      <c r="H2917" s="26" t="e">
        <f t="shared" si="1"/>
        <v>#VALUE!</v>
      </c>
      <c r="I2917" s="1" t="e">
        <f t="shared" si="2"/>
        <v>#VALUE!</v>
      </c>
    </row>
    <row r="2918" spans="1:9" ht="15.75" customHeight="1">
      <c r="A2918" s="26"/>
      <c r="B2918" s="2"/>
      <c r="C2918" s="26"/>
      <c r="D2918" s="26"/>
      <c r="F2918" s="85" t="str">
        <f t="shared" si="0"/>
        <v/>
      </c>
      <c r="G2918" s="1" t="e">
        <f>IF(VALUE(F2918) = VALUE(RIGHT(Insights!$C$3, 4)), E2918, "")</f>
        <v>#VALUE!</v>
      </c>
      <c r="H2918" s="26" t="e">
        <f t="shared" si="1"/>
        <v>#VALUE!</v>
      </c>
      <c r="I2918" s="1" t="e">
        <f t="shared" si="2"/>
        <v>#VALUE!</v>
      </c>
    </row>
    <row r="2919" spans="1:9" ht="15.75" customHeight="1">
      <c r="A2919" s="26"/>
      <c r="B2919" s="2"/>
      <c r="C2919" s="26"/>
      <c r="D2919" s="26"/>
      <c r="F2919" s="85" t="str">
        <f t="shared" si="0"/>
        <v/>
      </c>
      <c r="G2919" s="1" t="e">
        <f>IF(VALUE(F2919) = VALUE(RIGHT(Insights!$C$3, 4)), E2919, "")</f>
        <v>#VALUE!</v>
      </c>
      <c r="H2919" s="26" t="e">
        <f t="shared" si="1"/>
        <v>#VALUE!</v>
      </c>
      <c r="I2919" s="1" t="e">
        <f t="shared" si="2"/>
        <v>#VALUE!</v>
      </c>
    </row>
    <row r="2920" spans="1:9" ht="15.75" customHeight="1">
      <c r="A2920" s="26"/>
      <c r="B2920" s="2"/>
      <c r="C2920" s="26"/>
      <c r="D2920" s="26"/>
      <c r="F2920" s="85" t="str">
        <f t="shared" si="0"/>
        <v/>
      </c>
      <c r="G2920" s="1" t="e">
        <f>IF(VALUE(F2920) = VALUE(RIGHT(Insights!$C$3, 4)), E2920, "")</f>
        <v>#VALUE!</v>
      </c>
      <c r="H2920" s="26" t="e">
        <f t="shared" si="1"/>
        <v>#VALUE!</v>
      </c>
      <c r="I2920" s="1" t="e">
        <f t="shared" si="2"/>
        <v>#VALUE!</v>
      </c>
    </row>
    <row r="2921" spans="1:9" ht="15.75" customHeight="1">
      <c r="A2921" s="26"/>
      <c r="B2921" s="2"/>
      <c r="C2921" s="26"/>
      <c r="D2921" s="26"/>
      <c r="F2921" s="85" t="str">
        <f t="shared" si="0"/>
        <v/>
      </c>
      <c r="G2921" s="1" t="e">
        <f>IF(VALUE(F2921) = VALUE(RIGHT(Insights!$C$3, 4)), E2921, "")</f>
        <v>#VALUE!</v>
      </c>
      <c r="H2921" s="26" t="e">
        <f t="shared" si="1"/>
        <v>#VALUE!</v>
      </c>
      <c r="I2921" s="1" t="e">
        <f t="shared" si="2"/>
        <v>#VALUE!</v>
      </c>
    </row>
    <row r="2922" spans="1:9" ht="15.75" customHeight="1">
      <c r="A2922" s="26"/>
      <c r="B2922" s="2"/>
      <c r="C2922" s="26"/>
      <c r="D2922" s="26"/>
      <c r="F2922" s="85" t="str">
        <f t="shared" si="0"/>
        <v/>
      </c>
      <c r="G2922" s="1" t="e">
        <f>IF(VALUE(F2922) = VALUE(RIGHT(Insights!$C$3, 4)), E2922, "")</f>
        <v>#VALUE!</v>
      </c>
      <c r="H2922" s="26" t="e">
        <f t="shared" si="1"/>
        <v>#VALUE!</v>
      </c>
      <c r="I2922" s="1" t="e">
        <f t="shared" si="2"/>
        <v>#VALUE!</v>
      </c>
    </row>
    <row r="2923" spans="1:9" ht="15.75" customHeight="1">
      <c r="A2923" s="26"/>
      <c r="B2923" s="2"/>
      <c r="C2923" s="26"/>
      <c r="D2923" s="26"/>
      <c r="F2923" s="85" t="str">
        <f t="shared" si="0"/>
        <v/>
      </c>
      <c r="G2923" s="1" t="e">
        <f>IF(VALUE(F2923) = VALUE(RIGHT(Insights!$C$3, 4)), E2923, "")</f>
        <v>#VALUE!</v>
      </c>
      <c r="H2923" s="26" t="e">
        <f t="shared" si="1"/>
        <v>#VALUE!</v>
      </c>
      <c r="I2923" s="1" t="e">
        <f t="shared" si="2"/>
        <v>#VALUE!</v>
      </c>
    </row>
    <row r="2924" spans="1:9" ht="15.75" customHeight="1">
      <c r="A2924" s="26"/>
      <c r="B2924" s="2"/>
      <c r="C2924" s="26"/>
      <c r="D2924" s="26"/>
      <c r="F2924" s="85" t="str">
        <f t="shared" si="0"/>
        <v/>
      </c>
      <c r="G2924" s="1" t="e">
        <f>IF(VALUE(F2924) = VALUE(RIGHT(Insights!$C$3, 4)), E2924, "")</f>
        <v>#VALUE!</v>
      </c>
      <c r="H2924" s="26" t="e">
        <f t="shared" si="1"/>
        <v>#VALUE!</v>
      </c>
      <c r="I2924" s="1" t="e">
        <f t="shared" si="2"/>
        <v>#VALUE!</v>
      </c>
    </row>
    <row r="2925" spans="1:9" ht="15.75" customHeight="1">
      <c r="A2925" s="26"/>
      <c r="B2925" s="2"/>
      <c r="C2925" s="26"/>
      <c r="D2925" s="26"/>
      <c r="F2925" s="85" t="str">
        <f t="shared" si="0"/>
        <v/>
      </c>
      <c r="G2925" s="1" t="e">
        <f>IF(VALUE(F2925) = VALUE(RIGHT(Insights!$C$3, 4)), E2925, "")</f>
        <v>#VALUE!</v>
      </c>
      <c r="H2925" s="26" t="e">
        <f t="shared" si="1"/>
        <v>#VALUE!</v>
      </c>
      <c r="I2925" s="1" t="e">
        <f t="shared" si="2"/>
        <v>#VALUE!</v>
      </c>
    </row>
    <row r="2926" spans="1:9" ht="15.75" customHeight="1">
      <c r="A2926" s="26"/>
      <c r="B2926" s="2"/>
      <c r="C2926" s="26"/>
      <c r="D2926" s="26"/>
      <c r="F2926" s="85" t="str">
        <f t="shared" si="0"/>
        <v/>
      </c>
      <c r="G2926" s="1" t="e">
        <f>IF(VALUE(F2926) = VALUE(RIGHT(Insights!$C$3, 4)), E2926, "")</f>
        <v>#VALUE!</v>
      </c>
      <c r="H2926" s="26" t="e">
        <f t="shared" si="1"/>
        <v>#VALUE!</v>
      </c>
      <c r="I2926" s="1" t="e">
        <f t="shared" si="2"/>
        <v>#VALUE!</v>
      </c>
    </row>
    <row r="2927" spans="1:9" ht="15.75" customHeight="1">
      <c r="A2927" s="26"/>
      <c r="B2927" s="2"/>
      <c r="C2927" s="26"/>
      <c r="D2927" s="26"/>
      <c r="F2927" s="85" t="str">
        <f t="shared" si="0"/>
        <v/>
      </c>
      <c r="G2927" s="1" t="e">
        <f>IF(VALUE(F2927) = VALUE(RIGHT(Insights!$C$3, 4)), E2927, "")</f>
        <v>#VALUE!</v>
      </c>
      <c r="H2927" s="26" t="e">
        <f t="shared" si="1"/>
        <v>#VALUE!</v>
      </c>
      <c r="I2927" s="1" t="e">
        <f t="shared" si="2"/>
        <v>#VALUE!</v>
      </c>
    </row>
    <row r="2928" spans="1:9" ht="15.75" customHeight="1">
      <c r="A2928" s="26"/>
      <c r="B2928" s="2"/>
      <c r="C2928" s="26"/>
      <c r="D2928" s="26"/>
      <c r="F2928" s="85" t="str">
        <f t="shared" si="0"/>
        <v/>
      </c>
      <c r="G2928" s="1" t="e">
        <f>IF(VALUE(F2928) = VALUE(RIGHT(Insights!$C$3, 4)), E2928, "")</f>
        <v>#VALUE!</v>
      </c>
      <c r="H2928" s="26" t="e">
        <f t="shared" si="1"/>
        <v>#VALUE!</v>
      </c>
      <c r="I2928" s="1" t="e">
        <f t="shared" si="2"/>
        <v>#VALUE!</v>
      </c>
    </row>
    <row r="2929" spans="1:9" ht="15.75" customHeight="1">
      <c r="A2929" s="26"/>
      <c r="B2929" s="2"/>
      <c r="C2929" s="26"/>
      <c r="D2929" s="26"/>
      <c r="F2929" s="85" t="str">
        <f t="shared" si="0"/>
        <v/>
      </c>
      <c r="G2929" s="1" t="e">
        <f>IF(VALUE(F2929) = VALUE(RIGHT(Insights!$C$3, 4)), E2929, "")</f>
        <v>#VALUE!</v>
      </c>
      <c r="H2929" s="26" t="e">
        <f t="shared" si="1"/>
        <v>#VALUE!</v>
      </c>
      <c r="I2929" s="1" t="e">
        <f t="shared" si="2"/>
        <v>#VALUE!</v>
      </c>
    </row>
    <row r="2930" spans="1:9" ht="15.75" customHeight="1">
      <c r="A2930" s="26"/>
      <c r="B2930" s="2"/>
      <c r="C2930" s="26"/>
      <c r="D2930" s="26"/>
      <c r="F2930" s="85" t="str">
        <f t="shared" si="0"/>
        <v/>
      </c>
      <c r="G2930" s="1" t="e">
        <f>IF(VALUE(F2930) = VALUE(RIGHT(Insights!$C$3, 4)), E2930, "")</f>
        <v>#VALUE!</v>
      </c>
      <c r="H2930" s="26" t="e">
        <f t="shared" si="1"/>
        <v>#VALUE!</v>
      </c>
      <c r="I2930" s="1" t="e">
        <f t="shared" si="2"/>
        <v>#VALUE!</v>
      </c>
    </row>
    <row r="2931" spans="1:9" ht="15.75" customHeight="1">
      <c r="A2931" s="26"/>
      <c r="B2931" s="2"/>
      <c r="C2931" s="26"/>
      <c r="D2931" s="26"/>
      <c r="F2931" s="85" t="str">
        <f t="shared" si="0"/>
        <v/>
      </c>
      <c r="G2931" s="1" t="e">
        <f>IF(VALUE(F2931) = VALUE(RIGHT(Insights!$C$3, 4)), E2931, "")</f>
        <v>#VALUE!</v>
      </c>
      <c r="H2931" s="26" t="e">
        <f t="shared" si="1"/>
        <v>#VALUE!</v>
      </c>
      <c r="I2931" s="1" t="e">
        <f t="shared" si="2"/>
        <v>#VALUE!</v>
      </c>
    </row>
    <row r="2932" spans="1:9" ht="15.75" customHeight="1">
      <c r="A2932" s="26"/>
      <c r="B2932" s="2"/>
      <c r="C2932" s="26"/>
      <c r="D2932" s="26"/>
      <c r="F2932" s="85" t="str">
        <f t="shared" si="0"/>
        <v/>
      </c>
      <c r="G2932" s="1" t="e">
        <f>IF(VALUE(F2932) = VALUE(RIGHT(Insights!$C$3, 4)), E2932, "")</f>
        <v>#VALUE!</v>
      </c>
      <c r="H2932" s="26" t="e">
        <f t="shared" si="1"/>
        <v>#VALUE!</v>
      </c>
      <c r="I2932" s="1" t="e">
        <f t="shared" si="2"/>
        <v>#VALUE!</v>
      </c>
    </row>
    <row r="2933" spans="1:9" ht="15.75" customHeight="1">
      <c r="A2933" s="26"/>
      <c r="B2933" s="2"/>
      <c r="C2933" s="26"/>
      <c r="D2933" s="26"/>
      <c r="F2933" s="85" t="str">
        <f t="shared" si="0"/>
        <v/>
      </c>
      <c r="G2933" s="1" t="e">
        <f>IF(VALUE(F2933) = VALUE(RIGHT(Insights!$C$3, 4)), E2933, "")</f>
        <v>#VALUE!</v>
      </c>
      <c r="H2933" s="26" t="e">
        <f t="shared" si="1"/>
        <v>#VALUE!</v>
      </c>
      <c r="I2933" s="1" t="e">
        <f t="shared" si="2"/>
        <v>#VALUE!</v>
      </c>
    </row>
    <row r="2934" spans="1:9" ht="15.75" customHeight="1">
      <c r="A2934" s="26"/>
      <c r="B2934" s="2"/>
      <c r="C2934" s="26"/>
      <c r="D2934" s="26"/>
      <c r="F2934" s="85" t="str">
        <f t="shared" si="0"/>
        <v/>
      </c>
      <c r="G2934" s="1" t="e">
        <f>IF(VALUE(F2934) = VALUE(RIGHT(Insights!$C$3, 4)), E2934, "")</f>
        <v>#VALUE!</v>
      </c>
      <c r="H2934" s="26" t="e">
        <f t="shared" si="1"/>
        <v>#VALUE!</v>
      </c>
      <c r="I2934" s="1" t="e">
        <f t="shared" si="2"/>
        <v>#VALUE!</v>
      </c>
    </row>
    <row r="2935" spans="1:9" ht="15.75" customHeight="1">
      <c r="A2935" s="26"/>
      <c r="B2935" s="2"/>
      <c r="C2935" s="26"/>
      <c r="D2935" s="26"/>
      <c r="F2935" s="85" t="str">
        <f t="shared" si="0"/>
        <v/>
      </c>
      <c r="G2935" s="1" t="e">
        <f>IF(VALUE(F2935) = VALUE(RIGHT(Insights!$C$3, 4)), E2935, "")</f>
        <v>#VALUE!</v>
      </c>
      <c r="H2935" s="26" t="e">
        <f t="shared" si="1"/>
        <v>#VALUE!</v>
      </c>
      <c r="I2935" s="1" t="e">
        <f t="shared" si="2"/>
        <v>#VALUE!</v>
      </c>
    </row>
    <row r="2936" spans="1:9" ht="15.75" customHeight="1">
      <c r="A2936" s="26"/>
      <c r="B2936" s="2"/>
      <c r="C2936" s="26"/>
      <c r="D2936" s="26"/>
      <c r="F2936" s="85" t="str">
        <f t="shared" si="0"/>
        <v/>
      </c>
      <c r="G2936" s="1" t="e">
        <f>IF(VALUE(F2936) = VALUE(RIGHT(Insights!$C$3, 4)), E2936, "")</f>
        <v>#VALUE!</v>
      </c>
      <c r="H2936" s="26" t="e">
        <f t="shared" si="1"/>
        <v>#VALUE!</v>
      </c>
      <c r="I2936" s="1" t="e">
        <f t="shared" si="2"/>
        <v>#VALUE!</v>
      </c>
    </row>
    <row r="2937" spans="1:9" ht="15.75" customHeight="1">
      <c r="A2937" s="26"/>
      <c r="B2937" s="2"/>
      <c r="C2937" s="26"/>
      <c r="D2937" s="26"/>
      <c r="F2937" s="85" t="str">
        <f t="shared" si="0"/>
        <v/>
      </c>
      <c r="G2937" s="1" t="e">
        <f>IF(VALUE(F2937) = VALUE(RIGHT(Insights!$C$3, 4)), E2937, "")</f>
        <v>#VALUE!</v>
      </c>
      <c r="H2937" s="26" t="e">
        <f t="shared" si="1"/>
        <v>#VALUE!</v>
      </c>
      <c r="I2937" s="1" t="e">
        <f t="shared" si="2"/>
        <v>#VALUE!</v>
      </c>
    </row>
    <row r="2938" spans="1:9" ht="15.75" customHeight="1">
      <c r="A2938" s="26"/>
      <c r="B2938" s="2"/>
      <c r="C2938" s="26"/>
      <c r="D2938" s="26"/>
      <c r="F2938" s="85" t="str">
        <f t="shared" si="0"/>
        <v/>
      </c>
      <c r="G2938" s="1" t="e">
        <f>IF(VALUE(F2938) = VALUE(RIGHT(Insights!$C$3, 4)), E2938, "")</f>
        <v>#VALUE!</v>
      </c>
      <c r="H2938" s="26" t="e">
        <f t="shared" si="1"/>
        <v>#VALUE!</v>
      </c>
      <c r="I2938" s="1" t="e">
        <f t="shared" si="2"/>
        <v>#VALUE!</v>
      </c>
    </row>
    <row r="2939" spans="1:9" ht="15.75" customHeight="1">
      <c r="A2939" s="26"/>
      <c r="B2939" s="2"/>
      <c r="C2939" s="26"/>
      <c r="D2939" s="26"/>
      <c r="F2939" s="85" t="str">
        <f t="shared" si="0"/>
        <v/>
      </c>
      <c r="G2939" s="1" t="e">
        <f>IF(VALUE(F2939) = VALUE(RIGHT(Insights!$C$3, 4)), E2939, "")</f>
        <v>#VALUE!</v>
      </c>
      <c r="H2939" s="26" t="e">
        <f t="shared" si="1"/>
        <v>#VALUE!</v>
      </c>
      <c r="I2939" s="1" t="e">
        <f t="shared" si="2"/>
        <v>#VALUE!</v>
      </c>
    </row>
    <row r="2940" spans="1:9" ht="15.75" customHeight="1">
      <c r="A2940" s="26"/>
      <c r="B2940" s="2"/>
      <c r="C2940" s="26"/>
      <c r="D2940" s="26"/>
      <c r="F2940" s="85" t="str">
        <f t="shared" si="0"/>
        <v/>
      </c>
      <c r="G2940" s="1" t="e">
        <f>IF(VALUE(F2940) = VALUE(RIGHT(Insights!$C$3, 4)), E2940, "")</f>
        <v>#VALUE!</v>
      </c>
      <c r="H2940" s="26" t="e">
        <f t="shared" si="1"/>
        <v>#VALUE!</v>
      </c>
      <c r="I2940" s="1" t="e">
        <f t="shared" si="2"/>
        <v>#VALUE!</v>
      </c>
    </row>
    <row r="2941" spans="1:9" ht="15.75" customHeight="1">
      <c r="A2941" s="26"/>
      <c r="B2941" s="2"/>
      <c r="C2941" s="26"/>
      <c r="D2941" s="26"/>
      <c r="F2941" s="85" t="str">
        <f t="shared" si="0"/>
        <v/>
      </c>
      <c r="G2941" s="1" t="e">
        <f>IF(VALUE(F2941) = VALUE(RIGHT(Insights!$C$3, 4)), E2941, "")</f>
        <v>#VALUE!</v>
      </c>
      <c r="H2941" s="26" t="e">
        <f t="shared" si="1"/>
        <v>#VALUE!</v>
      </c>
      <c r="I2941" s="1" t="e">
        <f t="shared" si="2"/>
        <v>#VALUE!</v>
      </c>
    </row>
    <row r="2942" spans="1:9" ht="15.75" customHeight="1">
      <c r="A2942" s="26"/>
      <c r="B2942" s="2"/>
      <c r="C2942" s="26"/>
      <c r="D2942" s="26"/>
      <c r="F2942" s="85" t="str">
        <f t="shared" si="0"/>
        <v/>
      </c>
      <c r="G2942" s="1" t="e">
        <f>IF(VALUE(F2942) = VALUE(RIGHT(Insights!$C$3, 4)), E2942, "")</f>
        <v>#VALUE!</v>
      </c>
      <c r="H2942" s="26" t="e">
        <f t="shared" si="1"/>
        <v>#VALUE!</v>
      </c>
      <c r="I2942" s="1" t="e">
        <f t="shared" si="2"/>
        <v>#VALUE!</v>
      </c>
    </row>
    <row r="2943" spans="1:9" ht="15.75" customHeight="1">
      <c r="A2943" s="26"/>
      <c r="B2943" s="2"/>
      <c r="C2943" s="26"/>
      <c r="D2943" s="26"/>
      <c r="F2943" s="85" t="str">
        <f t="shared" si="0"/>
        <v/>
      </c>
      <c r="G2943" s="1" t="e">
        <f>IF(VALUE(F2943) = VALUE(RIGHT(Insights!$C$3, 4)), E2943, "")</f>
        <v>#VALUE!</v>
      </c>
      <c r="H2943" s="26" t="e">
        <f t="shared" si="1"/>
        <v>#VALUE!</v>
      </c>
      <c r="I2943" s="1" t="e">
        <f t="shared" si="2"/>
        <v>#VALUE!</v>
      </c>
    </row>
    <row r="2944" spans="1:9" ht="15.75" customHeight="1">
      <c r="A2944" s="26"/>
      <c r="B2944" s="2"/>
      <c r="C2944" s="26"/>
      <c r="D2944" s="26"/>
      <c r="F2944" s="85" t="str">
        <f t="shared" si="0"/>
        <v/>
      </c>
      <c r="G2944" s="1" t="e">
        <f>IF(VALUE(F2944) = VALUE(RIGHT(Insights!$C$3, 4)), E2944, "")</f>
        <v>#VALUE!</v>
      </c>
      <c r="H2944" s="26" t="e">
        <f t="shared" si="1"/>
        <v>#VALUE!</v>
      </c>
      <c r="I2944" s="1" t="e">
        <f t="shared" si="2"/>
        <v>#VALUE!</v>
      </c>
    </row>
    <row r="2945" spans="1:9" ht="15.75" customHeight="1">
      <c r="A2945" s="26"/>
      <c r="B2945" s="2"/>
      <c r="C2945" s="26"/>
      <c r="D2945" s="26"/>
      <c r="F2945" s="85" t="str">
        <f t="shared" si="0"/>
        <v/>
      </c>
      <c r="G2945" s="1" t="e">
        <f>IF(VALUE(F2945) = VALUE(RIGHT(Insights!$C$3, 4)), E2945, "")</f>
        <v>#VALUE!</v>
      </c>
      <c r="H2945" s="26" t="e">
        <f t="shared" si="1"/>
        <v>#VALUE!</v>
      </c>
      <c r="I2945" s="1" t="e">
        <f t="shared" si="2"/>
        <v>#VALUE!</v>
      </c>
    </row>
    <row r="2946" spans="1:9" ht="15.75" customHeight="1">
      <c r="A2946" s="26"/>
      <c r="B2946" s="2"/>
      <c r="C2946" s="26"/>
      <c r="D2946" s="26"/>
      <c r="F2946" s="85" t="str">
        <f t="shared" si="0"/>
        <v/>
      </c>
      <c r="G2946" s="1" t="e">
        <f>IF(VALUE(F2946) = VALUE(RIGHT(Insights!$C$3, 4)), E2946, "")</f>
        <v>#VALUE!</v>
      </c>
      <c r="H2946" s="26" t="e">
        <f t="shared" si="1"/>
        <v>#VALUE!</v>
      </c>
      <c r="I2946" s="1" t="e">
        <f t="shared" si="2"/>
        <v>#VALUE!</v>
      </c>
    </row>
    <row r="2947" spans="1:9" ht="15.75" customHeight="1">
      <c r="A2947" s="26"/>
      <c r="B2947" s="2"/>
      <c r="C2947" s="26"/>
      <c r="D2947" s="26"/>
      <c r="F2947" s="85" t="str">
        <f t="shared" si="0"/>
        <v/>
      </c>
      <c r="G2947" s="1" t="e">
        <f>IF(VALUE(F2947) = VALUE(RIGHT(Insights!$C$3, 4)), E2947, "")</f>
        <v>#VALUE!</v>
      </c>
      <c r="H2947" s="26" t="e">
        <f t="shared" si="1"/>
        <v>#VALUE!</v>
      </c>
      <c r="I2947" s="1" t="e">
        <f t="shared" si="2"/>
        <v>#VALUE!</v>
      </c>
    </row>
    <row r="2948" spans="1:9" ht="15.75" customHeight="1">
      <c r="A2948" s="26"/>
      <c r="B2948" s="2"/>
      <c r="C2948" s="26"/>
      <c r="D2948" s="26"/>
      <c r="F2948" s="85" t="str">
        <f t="shared" si="0"/>
        <v/>
      </c>
      <c r="G2948" s="1" t="e">
        <f>IF(VALUE(F2948) = VALUE(RIGHT(Insights!$C$3, 4)), E2948, "")</f>
        <v>#VALUE!</v>
      </c>
      <c r="H2948" s="26" t="e">
        <f t="shared" si="1"/>
        <v>#VALUE!</v>
      </c>
      <c r="I2948" s="1" t="e">
        <f t="shared" si="2"/>
        <v>#VALUE!</v>
      </c>
    </row>
    <row r="2949" spans="1:9" ht="15.75" customHeight="1">
      <c r="A2949" s="26"/>
      <c r="B2949" s="2"/>
      <c r="C2949" s="26"/>
      <c r="D2949" s="26"/>
      <c r="F2949" s="85" t="str">
        <f t="shared" si="0"/>
        <v/>
      </c>
      <c r="G2949" s="1" t="e">
        <f>IF(VALUE(F2949) = VALUE(RIGHT(Insights!$C$3, 4)), E2949, "")</f>
        <v>#VALUE!</v>
      </c>
      <c r="H2949" s="26" t="e">
        <f t="shared" si="1"/>
        <v>#VALUE!</v>
      </c>
      <c r="I2949" s="1" t="e">
        <f t="shared" si="2"/>
        <v>#VALUE!</v>
      </c>
    </row>
    <row r="2950" spans="1:9" ht="15.75" customHeight="1">
      <c r="A2950" s="26"/>
      <c r="B2950" s="2"/>
      <c r="C2950" s="26"/>
      <c r="D2950" s="26"/>
      <c r="F2950" s="85" t="str">
        <f t="shared" si="0"/>
        <v/>
      </c>
      <c r="G2950" s="1" t="e">
        <f>IF(VALUE(F2950) = VALUE(RIGHT(Insights!$C$3, 4)), E2950, "")</f>
        <v>#VALUE!</v>
      </c>
      <c r="H2950" s="26" t="e">
        <f t="shared" si="1"/>
        <v>#VALUE!</v>
      </c>
      <c r="I2950" s="1" t="e">
        <f t="shared" si="2"/>
        <v>#VALUE!</v>
      </c>
    </row>
    <row r="2951" spans="1:9" ht="15.75" customHeight="1">
      <c r="A2951" s="26"/>
      <c r="B2951" s="2"/>
      <c r="C2951" s="26"/>
      <c r="D2951" s="26"/>
      <c r="F2951" s="85" t="str">
        <f t="shared" si="0"/>
        <v/>
      </c>
      <c r="G2951" s="1" t="e">
        <f>IF(VALUE(F2951) = VALUE(RIGHT(Insights!$C$3, 4)), E2951, "")</f>
        <v>#VALUE!</v>
      </c>
      <c r="H2951" s="26" t="e">
        <f t="shared" si="1"/>
        <v>#VALUE!</v>
      </c>
      <c r="I2951" s="1" t="e">
        <f t="shared" si="2"/>
        <v>#VALUE!</v>
      </c>
    </row>
    <row r="2952" spans="1:9" ht="15.75" customHeight="1">
      <c r="A2952" s="26"/>
      <c r="B2952" s="2"/>
      <c r="C2952" s="26"/>
      <c r="D2952" s="26"/>
      <c r="F2952" s="85" t="str">
        <f t="shared" si="0"/>
        <v/>
      </c>
      <c r="G2952" s="1" t="e">
        <f>IF(VALUE(F2952) = VALUE(RIGHT(Insights!$C$3, 4)), E2952, "")</f>
        <v>#VALUE!</v>
      </c>
      <c r="H2952" s="26" t="e">
        <f t="shared" si="1"/>
        <v>#VALUE!</v>
      </c>
      <c r="I2952" s="1" t="e">
        <f t="shared" si="2"/>
        <v>#VALUE!</v>
      </c>
    </row>
    <row r="2953" spans="1:9" ht="15.75" customHeight="1">
      <c r="A2953" s="26"/>
      <c r="B2953" s="2"/>
      <c r="C2953" s="26"/>
      <c r="D2953" s="26"/>
      <c r="F2953" s="85" t="str">
        <f t="shared" si="0"/>
        <v/>
      </c>
      <c r="G2953" s="1" t="e">
        <f>IF(VALUE(F2953) = VALUE(RIGHT(Insights!$C$3, 4)), E2953, "")</f>
        <v>#VALUE!</v>
      </c>
      <c r="H2953" s="26" t="e">
        <f t="shared" si="1"/>
        <v>#VALUE!</v>
      </c>
      <c r="I2953" s="1" t="e">
        <f t="shared" si="2"/>
        <v>#VALUE!</v>
      </c>
    </row>
    <row r="2954" spans="1:9" ht="15.75" customHeight="1">
      <c r="A2954" s="26"/>
      <c r="B2954" s="2"/>
      <c r="C2954" s="26"/>
      <c r="D2954" s="26"/>
      <c r="F2954" s="85" t="str">
        <f t="shared" si="0"/>
        <v/>
      </c>
      <c r="G2954" s="1" t="e">
        <f>IF(VALUE(F2954) = VALUE(RIGHT(Insights!$C$3, 4)), E2954, "")</f>
        <v>#VALUE!</v>
      </c>
      <c r="H2954" s="26" t="e">
        <f t="shared" si="1"/>
        <v>#VALUE!</v>
      </c>
      <c r="I2954" s="1" t="e">
        <f t="shared" si="2"/>
        <v>#VALUE!</v>
      </c>
    </row>
    <row r="2955" spans="1:9" ht="15.75" customHeight="1">
      <c r="A2955" s="26"/>
      <c r="B2955" s="2"/>
      <c r="C2955" s="26"/>
      <c r="D2955" s="26"/>
      <c r="F2955" s="85" t="str">
        <f t="shared" si="0"/>
        <v/>
      </c>
      <c r="G2955" s="1" t="e">
        <f>IF(VALUE(F2955) = VALUE(RIGHT(Insights!$C$3, 4)), E2955, "")</f>
        <v>#VALUE!</v>
      </c>
      <c r="H2955" s="26" t="e">
        <f t="shared" si="1"/>
        <v>#VALUE!</v>
      </c>
      <c r="I2955" s="1" t="e">
        <f t="shared" si="2"/>
        <v>#VALUE!</v>
      </c>
    </row>
    <row r="2956" spans="1:9" ht="15.75" customHeight="1">
      <c r="A2956" s="26"/>
      <c r="B2956" s="2"/>
      <c r="C2956" s="26"/>
      <c r="D2956" s="26"/>
      <c r="F2956" s="85" t="str">
        <f t="shared" si="0"/>
        <v/>
      </c>
      <c r="G2956" s="1" t="e">
        <f>IF(VALUE(F2956) = VALUE(RIGHT(Insights!$C$3, 4)), E2956, "")</f>
        <v>#VALUE!</v>
      </c>
      <c r="H2956" s="26" t="e">
        <f t="shared" si="1"/>
        <v>#VALUE!</v>
      </c>
      <c r="I2956" s="1" t="e">
        <f t="shared" si="2"/>
        <v>#VALUE!</v>
      </c>
    </row>
    <row r="2957" spans="1:9" ht="15.75" customHeight="1">
      <c r="A2957" s="26"/>
      <c r="B2957" s="2"/>
      <c r="C2957" s="26"/>
      <c r="D2957" s="26"/>
      <c r="F2957" s="85" t="str">
        <f t="shared" si="0"/>
        <v/>
      </c>
      <c r="G2957" s="1" t="e">
        <f>IF(VALUE(F2957) = VALUE(RIGHT(Insights!$C$3, 4)), E2957, "")</f>
        <v>#VALUE!</v>
      </c>
      <c r="H2957" s="26" t="e">
        <f t="shared" si="1"/>
        <v>#VALUE!</v>
      </c>
      <c r="I2957" s="1" t="e">
        <f t="shared" si="2"/>
        <v>#VALUE!</v>
      </c>
    </row>
    <row r="2958" spans="1:9" ht="15.75" customHeight="1">
      <c r="A2958" s="26"/>
      <c r="B2958" s="2"/>
      <c r="C2958" s="26"/>
      <c r="D2958" s="26"/>
      <c r="F2958" s="85" t="str">
        <f t="shared" si="0"/>
        <v/>
      </c>
      <c r="G2958" s="1" t="e">
        <f>IF(VALUE(F2958) = VALUE(RIGHT(Insights!$C$3, 4)), E2958, "")</f>
        <v>#VALUE!</v>
      </c>
      <c r="H2958" s="26" t="e">
        <f t="shared" si="1"/>
        <v>#VALUE!</v>
      </c>
      <c r="I2958" s="1" t="e">
        <f t="shared" si="2"/>
        <v>#VALUE!</v>
      </c>
    </row>
    <row r="2959" spans="1:9" ht="15.75" customHeight="1">
      <c r="A2959" s="26"/>
      <c r="B2959" s="2"/>
      <c r="C2959" s="26"/>
      <c r="D2959" s="26"/>
      <c r="F2959" s="85" t="str">
        <f t="shared" si="0"/>
        <v/>
      </c>
      <c r="G2959" s="1" t="e">
        <f>IF(VALUE(F2959) = VALUE(RIGHT(Insights!$C$3, 4)), E2959, "")</f>
        <v>#VALUE!</v>
      </c>
      <c r="H2959" s="26" t="e">
        <f t="shared" si="1"/>
        <v>#VALUE!</v>
      </c>
      <c r="I2959" s="1" t="e">
        <f t="shared" si="2"/>
        <v>#VALUE!</v>
      </c>
    </row>
    <row r="2960" spans="1:9" ht="15.75" customHeight="1">
      <c r="A2960" s="26"/>
      <c r="B2960" s="2"/>
      <c r="C2960" s="26"/>
      <c r="D2960" s="26"/>
      <c r="F2960" s="85" t="str">
        <f t="shared" si="0"/>
        <v/>
      </c>
      <c r="G2960" s="1" t="e">
        <f>IF(VALUE(F2960) = VALUE(RIGHT(Insights!$C$3, 4)), E2960, "")</f>
        <v>#VALUE!</v>
      </c>
      <c r="H2960" s="26" t="e">
        <f t="shared" si="1"/>
        <v>#VALUE!</v>
      </c>
      <c r="I2960" s="1" t="e">
        <f t="shared" si="2"/>
        <v>#VALUE!</v>
      </c>
    </row>
    <row r="2961" spans="1:9" ht="15.75" customHeight="1">
      <c r="A2961" s="26"/>
      <c r="B2961" s="2"/>
      <c r="C2961" s="26"/>
      <c r="D2961" s="26"/>
      <c r="F2961" s="85" t="str">
        <f t="shared" si="0"/>
        <v/>
      </c>
      <c r="G2961" s="1" t="e">
        <f>IF(VALUE(F2961) = VALUE(RIGHT(Insights!$C$3, 4)), E2961, "")</f>
        <v>#VALUE!</v>
      </c>
      <c r="H2961" s="26" t="e">
        <f t="shared" si="1"/>
        <v>#VALUE!</v>
      </c>
      <c r="I2961" s="1" t="e">
        <f t="shared" si="2"/>
        <v>#VALUE!</v>
      </c>
    </row>
    <row r="2962" spans="1:9" ht="15.75" customHeight="1">
      <c r="A2962" s="26"/>
      <c r="B2962" s="2"/>
      <c r="C2962" s="26"/>
      <c r="D2962" s="26"/>
      <c r="F2962" s="85" t="str">
        <f t="shared" si="0"/>
        <v/>
      </c>
      <c r="G2962" s="1" t="e">
        <f>IF(VALUE(F2962) = VALUE(RIGHT(Insights!$C$3, 4)), E2962, "")</f>
        <v>#VALUE!</v>
      </c>
      <c r="H2962" s="26" t="e">
        <f t="shared" si="1"/>
        <v>#VALUE!</v>
      </c>
      <c r="I2962" s="1" t="e">
        <f t="shared" si="2"/>
        <v>#VALUE!</v>
      </c>
    </row>
    <row r="2963" spans="1:9" ht="15.75" customHeight="1">
      <c r="A2963" s="26"/>
      <c r="B2963" s="2"/>
      <c r="C2963" s="26"/>
      <c r="D2963" s="26"/>
      <c r="F2963" s="85" t="str">
        <f t="shared" si="0"/>
        <v/>
      </c>
      <c r="G2963" s="1" t="e">
        <f>IF(VALUE(F2963) = VALUE(RIGHT(Insights!$C$3, 4)), E2963, "")</f>
        <v>#VALUE!</v>
      </c>
      <c r="H2963" s="26" t="e">
        <f t="shared" si="1"/>
        <v>#VALUE!</v>
      </c>
      <c r="I2963" s="1" t="e">
        <f t="shared" si="2"/>
        <v>#VALUE!</v>
      </c>
    </row>
    <row r="2964" spans="1:9" ht="15.75" customHeight="1">
      <c r="A2964" s="26"/>
      <c r="B2964" s="2"/>
      <c r="C2964" s="26"/>
      <c r="D2964" s="26"/>
      <c r="F2964" s="85" t="str">
        <f t="shared" si="0"/>
        <v/>
      </c>
      <c r="G2964" s="1" t="e">
        <f>IF(VALUE(F2964) = VALUE(RIGHT(Insights!$C$3, 4)), E2964, "")</f>
        <v>#VALUE!</v>
      </c>
      <c r="H2964" s="26" t="e">
        <f t="shared" si="1"/>
        <v>#VALUE!</v>
      </c>
      <c r="I2964" s="1" t="e">
        <f t="shared" si="2"/>
        <v>#VALUE!</v>
      </c>
    </row>
    <row r="2965" spans="1:9" ht="15.75" customHeight="1">
      <c r="A2965" s="26"/>
      <c r="B2965" s="2"/>
      <c r="C2965" s="26"/>
      <c r="D2965" s="26"/>
      <c r="F2965" s="85" t="str">
        <f t="shared" si="0"/>
        <v/>
      </c>
      <c r="G2965" s="1" t="e">
        <f>IF(VALUE(F2965) = VALUE(RIGHT(Insights!$C$3, 4)), E2965, "")</f>
        <v>#VALUE!</v>
      </c>
      <c r="H2965" s="26" t="e">
        <f t="shared" si="1"/>
        <v>#VALUE!</v>
      </c>
      <c r="I2965" s="1" t="e">
        <f t="shared" si="2"/>
        <v>#VALUE!</v>
      </c>
    </row>
    <row r="2966" spans="1:9" ht="15.75" customHeight="1">
      <c r="A2966" s="26"/>
      <c r="B2966" s="2"/>
      <c r="C2966" s="26"/>
      <c r="D2966" s="26"/>
      <c r="F2966" s="85" t="str">
        <f t="shared" si="0"/>
        <v/>
      </c>
      <c r="G2966" s="1" t="e">
        <f>IF(VALUE(F2966) = VALUE(RIGHT(Insights!$C$3, 4)), E2966, "")</f>
        <v>#VALUE!</v>
      </c>
      <c r="H2966" s="26" t="e">
        <f t="shared" si="1"/>
        <v>#VALUE!</v>
      </c>
      <c r="I2966" s="1" t="e">
        <f t="shared" si="2"/>
        <v>#VALUE!</v>
      </c>
    </row>
    <row r="2967" spans="1:9" ht="15.75" customHeight="1">
      <c r="A2967" s="26"/>
      <c r="B2967" s="2"/>
      <c r="C2967" s="26"/>
      <c r="D2967" s="26"/>
      <c r="F2967" s="85" t="str">
        <f t="shared" si="0"/>
        <v/>
      </c>
      <c r="G2967" s="1" t="e">
        <f>IF(VALUE(F2967) = VALUE(RIGHT(Insights!$C$3, 4)), E2967, "")</f>
        <v>#VALUE!</v>
      </c>
      <c r="H2967" s="26" t="e">
        <f t="shared" si="1"/>
        <v>#VALUE!</v>
      </c>
      <c r="I2967" s="1" t="e">
        <f t="shared" si="2"/>
        <v>#VALUE!</v>
      </c>
    </row>
    <row r="2968" spans="1:9" ht="15.75" customHeight="1">
      <c r="A2968" s="26"/>
      <c r="B2968" s="2"/>
      <c r="C2968" s="26"/>
      <c r="D2968" s="26"/>
      <c r="F2968" s="85" t="str">
        <f t="shared" si="0"/>
        <v/>
      </c>
      <c r="G2968" s="1" t="e">
        <f>IF(VALUE(F2968) = VALUE(RIGHT(Insights!$C$3, 4)), E2968, "")</f>
        <v>#VALUE!</v>
      </c>
      <c r="H2968" s="26" t="e">
        <f t="shared" si="1"/>
        <v>#VALUE!</v>
      </c>
      <c r="I2968" s="1" t="e">
        <f t="shared" si="2"/>
        <v>#VALUE!</v>
      </c>
    </row>
    <row r="2969" spans="1:9" ht="15.75" customHeight="1">
      <c r="A2969" s="26"/>
      <c r="B2969" s="2"/>
      <c r="C2969" s="26"/>
      <c r="D2969" s="26"/>
      <c r="F2969" s="85" t="str">
        <f t="shared" si="0"/>
        <v/>
      </c>
      <c r="G2969" s="1" t="e">
        <f>IF(VALUE(F2969) = VALUE(RIGHT(Insights!$C$3, 4)), E2969, "")</f>
        <v>#VALUE!</v>
      </c>
      <c r="H2969" s="26" t="e">
        <f t="shared" si="1"/>
        <v>#VALUE!</v>
      </c>
      <c r="I2969" s="1" t="e">
        <f t="shared" si="2"/>
        <v>#VALUE!</v>
      </c>
    </row>
    <row r="2970" spans="1:9" ht="15.75" customHeight="1">
      <c r="A2970" s="26"/>
      <c r="B2970" s="2"/>
      <c r="C2970" s="26"/>
      <c r="D2970" s="26"/>
      <c r="F2970" s="85" t="str">
        <f t="shared" si="0"/>
        <v/>
      </c>
      <c r="G2970" s="1" t="e">
        <f>IF(VALUE(F2970) = VALUE(RIGHT(Insights!$C$3, 4)), E2970, "")</f>
        <v>#VALUE!</v>
      </c>
      <c r="H2970" s="26" t="e">
        <f t="shared" si="1"/>
        <v>#VALUE!</v>
      </c>
      <c r="I2970" s="1" t="e">
        <f t="shared" si="2"/>
        <v>#VALUE!</v>
      </c>
    </row>
    <row r="2971" spans="1:9" ht="15.75" customHeight="1">
      <c r="A2971" s="26"/>
      <c r="B2971" s="2"/>
      <c r="C2971" s="26"/>
      <c r="D2971" s="26"/>
      <c r="F2971" s="85" t="str">
        <f t="shared" si="0"/>
        <v/>
      </c>
      <c r="G2971" s="1" t="e">
        <f>IF(VALUE(F2971) = VALUE(RIGHT(Insights!$C$3, 4)), E2971, "")</f>
        <v>#VALUE!</v>
      </c>
      <c r="H2971" s="26" t="e">
        <f t="shared" si="1"/>
        <v>#VALUE!</v>
      </c>
      <c r="I2971" s="1" t="e">
        <f t="shared" si="2"/>
        <v>#VALUE!</v>
      </c>
    </row>
    <row r="2972" spans="1:9" ht="15.75" customHeight="1">
      <c r="A2972" s="26"/>
      <c r="B2972" s="2"/>
      <c r="C2972" s="26"/>
      <c r="D2972" s="26"/>
      <c r="F2972" s="85" t="str">
        <f t="shared" si="0"/>
        <v/>
      </c>
      <c r="G2972" s="1" t="e">
        <f>IF(VALUE(F2972) = VALUE(RIGHT(Insights!$C$3, 4)), E2972, "")</f>
        <v>#VALUE!</v>
      </c>
      <c r="H2972" s="26" t="e">
        <f t="shared" si="1"/>
        <v>#VALUE!</v>
      </c>
      <c r="I2972" s="1" t="e">
        <f t="shared" si="2"/>
        <v>#VALUE!</v>
      </c>
    </row>
    <row r="2973" spans="1:9" ht="15.75" customHeight="1">
      <c r="A2973" s="26"/>
      <c r="B2973" s="2"/>
      <c r="C2973" s="26"/>
      <c r="D2973" s="26"/>
      <c r="F2973" s="85" t="str">
        <f t="shared" si="0"/>
        <v/>
      </c>
      <c r="G2973" s="1" t="e">
        <f>IF(VALUE(F2973) = VALUE(RIGHT(Insights!$C$3, 4)), E2973, "")</f>
        <v>#VALUE!</v>
      </c>
      <c r="H2973" s="26" t="e">
        <f t="shared" si="1"/>
        <v>#VALUE!</v>
      </c>
      <c r="I2973" s="1" t="e">
        <f t="shared" si="2"/>
        <v>#VALUE!</v>
      </c>
    </row>
    <row r="2974" spans="1:9" ht="15.75" customHeight="1">
      <c r="A2974" s="26"/>
      <c r="B2974" s="2"/>
      <c r="C2974" s="26"/>
      <c r="D2974" s="26"/>
      <c r="F2974" s="85" t="str">
        <f t="shared" si="0"/>
        <v/>
      </c>
      <c r="G2974" s="1" t="e">
        <f>IF(VALUE(F2974) = VALUE(RIGHT(Insights!$C$3, 4)), E2974, "")</f>
        <v>#VALUE!</v>
      </c>
      <c r="H2974" s="26" t="e">
        <f t="shared" si="1"/>
        <v>#VALUE!</v>
      </c>
      <c r="I2974" s="1" t="e">
        <f t="shared" si="2"/>
        <v>#VALUE!</v>
      </c>
    </row>
    <row r="2975" spans="1:9" ht="15.75" customHeight="1">
      <c r="A2975" s="26"/>
      <c r="B2975" s="2"/>
      <c r="C2975" s="26"/>
      <c r="D2975" s="26"/>
      <c r="F2975" s="85" t="str">
        <f t="shared" si="0"/>
        <v/>
      </c>
      <c r="G2975" s="1" t="e">
        <f>IF(VALUE(F2975) = VALUE(RIGHT(Insights!$C$3, 4)), E2975, "")</f>
        <v>#VALUE!</v>
      </c>
      <c r="H2975" s="26" t="e">
        <f t="shared" si="1"/>
        <v>#VALUE!</v>
      </c>
      <c r="I2975" s="1" t="e">
        <f t="shared" si="2"/>
        <v>#VALUE!</v>
      </c>
    </row>
    <row r="2976" spans="1:9" ht="15.75" customHeight="1">
      <c r="A2976" s="26"/>
      <c r="B2976" s="2"/>
      <c r="C2976" s="26"/>
      <c r="D2976" s="26"/>
      <c r="F2976" s="85" t="str">
        <f t="shared" si="0"/>
        <v/>
      </c>
      <c r="G2976" s="1" t="e">
        <f>IF(VALUE(F2976) = VALUE(RIGHT(Insights!$C$3, 4)), E2976, "")</f>
        <v>#VALUE!</v>
      </c>
      <c r="H2976" s="26" t="e">
        <f t="shared" si="1"/>
        <v>#VALUE!</v>
      </c>
      <c r="I2976" s="1" t="e">
        <f t="shared" si="2"/>
        <v>#VALUE!</v>
      </c>
    </row>
    <row r="2977" spans="1:9" ht="15.75" customHeight="1">
      <c r="A2977" s="26"/>
      <c r="B2977" s="2"/>
      <c r="C2977" s="26"/>
      <c r="D2977" s="26"/>
      <c r="F2977" s="85" t="str">
        <f t="shared" si="0"/>
        <v/>
      </c>
      <c r="G2977" s="1" t="e">
        <f>IF(VALUE(F2977) = VALUE(RIGHT(Insights!$C$3, 4)), E2977, "")</f>
        <v>#VALUE!</v>
      </c>
      <c r="H2977" s="26" t="e">
        <f t="shared" si="1"/>
        <v>#VALUE!</v>
      </c>
      <c r="I2977" s="1" t="e">
        <f t="shared" si="2"/>
        <v>#VALUE!</v>
      </c>
    </row>
    <row r="2978" spans="1:9" ht="15.75" customHeight="1">
      <c r="A2978" s="26"/>
      <c r="B2978" s="2"/>
      <c r="C2978" s="26"/>
      <c r="D2978" s="26"/>
      <c r="F2978" s="85" t="str">
        <f t="shared" si="0"/>
        <v/>
      </c>
      <c r="G2978" s="1" t="e">
        <f>IF(VALUE(F2978) = VALUE(RIGHT(Insights!$C$3, 4)), E2978, "")</f>
        <v>#VALUE!</v>
      </c>
      <c r="H2978" s="26" t="e">
        <f t="shared" si="1"/>
        <v>#VALUE!</v>
      </c>
      <c r="I2978" s="1" t="e">
        <f t="shared" si="2"/>
        <v>#VALUE!</v>
      </c>
    </row>
    <row r="2979" spans="1:9" ht="15.75" customHeight="1">
      <c r="A2979" s="26"/>
      <c r="B2979" s="2"/>
      <c r="C2979" s="26"/>
      <c r="D2979" s="26"/>
      <c r="F2979" s="85" t="str">
        <f t="shared" si="0"/>
        <v/>
      </c>
      <c r="G2979" s="1" t="e">
        <f>IF(VALUE(F2979) = VALUE(RIGHT(Insights!$C$3, 4)), E2979, "")</f>
        <v>#VALUE!</v>
      </c>
      <c r="H2979" s="26" t="e">
        <f t="shared" si="1"/>
        <v>#VALUE!</v>
      </c>
      <c r="I2979" s="1" t="e">
        <f t="shared" si="2"/>
        <v>#VALUE!</v>
      </c>
    </row>
    <row r="2980" spans="1:9" ht="15.75" customHeight="1">
      <c r="A2980" s="26"/>
      <c r="B2980" s="2"/>
      <c r="C2980" s="26"/>
      <c r="D2980" s="26"/>
      <c r="F2980" s="85" t="str">
        <f t="shared" si="0"/>
        <v/>
      </c>
      <c r="G2980" s="1" t="e">
        <f>IF(VALUE(F2980) = VALUE(RIGHT(Insights!$C$3, 4)), E2980, "")</f>
        <v>#VALUE!</v>
      </c>
      <c r="H2980" s="26" t="e">
        <f t="shared" si="1"/>
        <v>#VALUE!</v>
      </c>
      <c r="I2980" s="1" t="e">
        <f t="shared" si="2"/>
        <v>#VALUE!</v>
      </c>
    </row>
    <row r="2981" spans="1:9" ht="15.75" customHeight="1">
      <c r="A2981" s="26"/>
      <c r="B2981" s="2"/>
      <c r="C2981" s="26"/>
      <c r="D2981" s="26"/>
      <c r="F2981" s="85" t="str">
        <f t="shared" si="0"/>
        <v/>
      </c>
      <c r="G2981" s="1" t="e">
        <f>IF(VALUE(F2981) = VALUE(RIGHT(Insights!$C$3, 4)), E2981, "")</f>
        <v>#VALUE!</v>
      </c>
      <c r="H2981" s="26" t="e">
        <f t="shared" si="1"/>
        <v>#VALUE!</v>
      </c>
      <c r="I2981" s="1" t="e">
        <f t="shared" si="2"/>
        <v>#VALUE!</v>
      </c>
    </row>
    <row r="2982" spans="1:9" ht="15.75" customHeight="1">
      <c r="A2982" s="26"/>
      <c r="B2982" s="2"/>
      <c r="C2982" s="26"/>
      <c r="D2982" s="26"/>
      <c r="F2982" s="85" t="str">
        <f t="shared" si="0"/>
        <v/>
      </c>
      <c r="G2982" s="1" t="e">
        <f>IF(VALUE(F2982) = VALUE(RIGHT(Insights!$C$3, 4)), E2982, "")</f>
        <v>#VALUE!</v>
      </c>
      <c r="H2982" s="26" t="e">
        <f t="shared" si="1"/>
        <v>#VALUE!</v>
      </c>
      <c r="I2982" s="1" t="e">
        <f t="shared" si="2"/>
        <v>#VALUE!</v>
      </c>
    </row>
    <row r="2983" spans="1:9" ht="15.75" customHeight="1">
      <c r="A2983" s="26"/>
      <c r="B2983" s="2"/>
      <c r="C2983" s="26"/>
      <c r="D2983" s="26"/>
      <c r="F2983" s="85" t="str">
        <f t="shared" si="0"/>
        <v/>
      </c>
      <c r="G2983" s="1" t="e">
        <f>IF(VALUE(F2983) = VALUE(RIGHT(Insights!$C$3, 4)), E2983, "")</f>
        <v>#VALUE!</v>
      </c>
      <c r="H2983" s="26" t="e">
        <f t="shared" si="1"/>
        <v>#VALUE!</v>
      </c>
      <c r="I2983" s="1" t="e">
        <f t="shared" si="2"/>
        <v>#VALUE!</v>
      </c>
    </row>
    <row r="2984" spans="1:9" ht="15.75" customHeight="1">
      <c r="A2984" s="26"/>
      <c r="B2984" s="2"/>
      <c r="C2984" s="26"/>
      <c r="D2984" s="26"/>
      <c r="F2984" s="85" t="str">
        <f t="shared" si="0"/>
        <v/>
      </c>
      <c r="G2984" s="1" t="e">
        <f>IF(VALUE(F2984) = VALUE(RIGHT(Insights!$C$3, 4)), E2984, "")</f>
        <v>#VALUE!</v>
      </c>
      <c r="H2984" s="26" t="e">
        <f t="shared" si="1"/>
        <v>#VALUE!</v>
      </c>
      <c r="I2984" s="1" t="e">
        <f t="shared" si="2"/>
        <v>#VALUE!</v>
      </c>
    </row>
    <row r="2985" spans="1:9" ht="15.75" customHeight="1">
      <c r="A2985" s="26"/>
      <c r="B2985" s="2"/>
      <c r="C2985" s="26"/>
      <c r="D2985" s="26"/>
      <c r="F2985" s="85" t="str">
        <f t="shared" si="0"/>
        <v/>
      </c>
      <c r="G2985" s="1" t="e">
        <f>IF(VALUE(F2985) = VALUE(RIGHT(Insights!$C$3, 4)), E2985, "")</f>
        <v>#VALUE!</v>
      </c>
      <c r="H2985" s="26" t="e">
        <f t="shared" si="1"/>
        <v>#VALUE!</v>
      </c>
      <c r="I2985" s="1" t="e">
        <f t="shared" si="2"/>
        <v>#VALUE!</v>
      </c>
    </row>
    <row r="2986" spans="1:9" ht="15.75" customHeight="1">
      <c r="A2986" s="26"/>
      <c r="B2986" s="2"/>
      <c r="C2986" s="26"/>
      <c r="D2986" s="26"/>
      <c r="F2986" s="85" t="str">
        <f t="shared" si="0"/>
        <v/>
      </c>
      <c r="G2986" s="1" t="e">
        <f>IF(VALUE(F2986) = VALUE(RIGHT(Insights!$C$3, 4)), E2986, "")</f>
        <v>#VALUE!</v>
      </c>
      <c r="H2986" s="26" t="e">
        <f t="shared" si="1"/>
        <v>#VALUE!</v>
      </c>
      <c r="I2986" s="1" t="e">
        <f t="shared" si="2"/>
        <v>#VALUE!</v>
      </c>
    </row>
    <row r="2987" spans="1:9" ht="15.75" customHeight="1">
      <c r="A2987" s="26"/>
      <c r="B2987" s="2"/>
      <c r="C2987" s="26"/>
      <c r="D2987" s="26"/>
      <c r="F2987" s="85" t="str">
        <f t="shared" si="0"/>
        <v/>
      </c>
      <c r="G2987" s="1" t="e">
        <f>IF(VALUE(F2987) = VALUE(RIGHT(Insights!$C$3, 4)), E2987, "")</f>
        <v>#VALUE!</v>
      </c>
      <c r="H2987" s="26" t="e">
        <f t="shared" si="1"/>
        <v>#VALUE!</v>
      </c>
      <c r="I2987" s="1" t="e">
        <f t="shared" si="2"/>
        <v>#VALUE!</v>
      </c>
    </row>
    <row r="2988" spans="1:9" ht="15.75" customHeight="1">
      <c r="A2988" s="26"/>
      <c r="B2988" s="2"/>
      <c r="C2988" s="26"/>
      <c r="D2988" s="26"/>
      <c r="F2988" s="85" t="str">
        <f t="shared" si="0"/>
        <v/>
      </c>
      <c r="G2988" s="1" t="e">
        <f>IF(VALUE(F2988) = VALUE(RIGHT(Insights!$C$3, 4)), E2988, "")</f>
        <v>#VALUE!</v>
      </c>
      <c r="H2988" s="26" t="e">
        <f t="shared" si="1"/>
        <v>#VALUE!</v>
      </c>
      <c r="I2988" s="1" t="e">
        <f t="shared" si="2"/>
        <v>#VALUE!</v>
      </c>
    </row>
    <row r="2989" spans="1:9" ht="15.75" customHeight="1">
      <c r="A2989" s="26"/>
      <c r="B2989" s="2"/>
      <c r="C2989" s="26"/>
      <c r="D2989" s="26"/>
      <c r="F2989" s="85" t="str">
        <f t="shared" si="0"/>
        <v/>
      </c>
      <c r="G2989" s="1" t="e">
        <f>IF(VALUE(F2989) = VALUE(RIGHT(Insights!$C$3, 4)), E2989, "")</f>
        <v>#VALUE!</v>
      </c>
      <c r="H2989" s="26" t="e">
        <f t="shared" si="1"/>
        <v>#VALUE!</v>
      </c>
      <c r="I2989" s="1" t="e">
        <f t="shared" si="2"/>
        <v>#VALUE!</v>
      </c>
    </row>
    <row r="2990" spans="1:9" ht="15.75" customHeight="1">
      <c r="A2990" s="26"/>
      <c r="B2990" s="2"/>
      <c r="C2990" s="26"/>
      <c r="D2990" s="26"/>
      <c r="F2990" s="85" t="str">
        <f t="shared" si="0"/>
        <v/>
      </c>
      <c r="G2990" s="1" t="e">
        <f>IF(VALUE(F2990) = VALUE(RIGHT(Insights!$C$3, 4)), E2990, "")</f>
        <v>#VALUE!</v>
      </c>
      <c r="H2990" s="26" t="e">
        <f t="shared" si="1"/>
        <v>#VALUE!</v>
      </c>
      <c r="I2990" s="1" t="e">
        <f t="shared" si="2"/>
        <v>#VALUE!</v>
      </c>
    </row>
    <row r="2991" spans="1:9" ht="15.75" customHeight="1">
      <c r="A2991" s="26"/>
      <c r="B2991" s="2"/>
      <c r="C2991" s="26"/>
      <c r="D2991" s="26"/>
      <c r="F2991" s="85" t="str">
        <f t="shared" si="0"/>
        <v/>
      </c>
      <c r="G2991" s="1" t="e">
        <f>IF(VALUE(F2991) = VALUE(RIGHT(Insights!$C$3, 4)), E2991, "")</f>
        <v>#VALUE!</v>
      </c>
      <c r="H2991" s="26" t="e">
        <f t="shared" si="1"/>
        <v>#VALUE!</v>
      </c>
      <c r="I2991" s="1" t="e">
        <f t="shared" si="2"/>
        <v>#VALUE!</v>
      </c>
    </row>
    <row r="2992" spans="1:9" ht="15.75" customHeight="1">
      <c r="A2992" s="26"/>
      <c r="B2992" s="2"/>
      <c r="C2992" s="26"/>
      <c r="D2992" s="26"/>
      <c r="F2992" s="85" t="str">
        <f t="shared" si="0"/>
        <v/>
      </c>
      <c r="G2992" s="1" t="e">
        <f>IF(VALUE(F2992) = VALUE(RIGHT(Insights!$C$3, 4)), E2992, "")</f>
        <v>#VALUE!</v>
      </c>
      <c r="H2992" s="26" t="e">
        <f t="shared" si="1"/>
        <v>#VALUE!</v>
      </c>
      <c r="I2992" s="1" t="e">
        <f t="shared" si="2"/>
        <v>#VALUE!</v>
      </c>
    </row>
    <row r="2993" spans="1:9" ht="15.75" customHeight="1">
      <c r="A2993" s="26"/>
      <c r="B2993" s="2"/>
      <c r="C2993" s="26"/>
      <c r="D2993" s="26"/>
      <c r="F2993" s="85" t="str">
        <f t="shared" si="0"/>
        <v/>
      </c>
      <c r="G2993" s="1" t="e">
        <f>IF(VALUE(F2993) = VALUE(RIGHT(Insights!$C$3, 4)), E2993, "")</f>
        <v>#VALUE!</v>
      </c>
      <c r="H2993" s="26" t="e">
        <f t="shared" si="1"/>
        <v>#VALUE!</v>
      </c>
      <c r="I2993" s="1" t="e">
        <f t="shared" si="2"/>
        <v>#VALUE!</v>
      </c>
    </row>
    <row r="2994" spans="1:9" ht="15.75" customHeight="1">
      <c r="A2994" s="26"/>
      <c r="B2994" s="2"/>
      <c r="C2994" s="26"/>
      <c r="D2994" s="26"/>
      <c r="F2994" s="85" t="str">
        <f t="shared" si="0"/>
        <v/>
      </c>
      <c r="G2994" s="1" t="e">
        <f>IF(VALUE(F2994) = VALUE(RIGHT(Insights!$C$3, 4)), E2994, "")</f>
        <v>#VALUE!</v>
      </c>
      <c r="H2994" s="26" t="e">
        <f t="shared" si="1"/>
        <v>#VALUE!</v>
      </c>
      <c r="I2994" s="1" t="e">
        <f t="shared" si="2"/>
        <v>#VALUE!</v>
      </c>
    </row>
    <row r="2995" spans="1:9" ht="15.75" customHeight="1">
      <c r="A2995" s="26"/>
      <c r="B2995" s="2"/>
      <c r="C2995" s="26"/>
      <c r="D2995" s="26"/>
      <c r="F2995" s="85" t="str">
        <f t="shared" si="0"/>
        <v/>
      </c>
      <c r="G2995" s="1" t="e">
        <f>IF(VALUE(F2995) = VALUE(RIGHT(Insights!$C$3, 4)), E2995, "")</f>
        <v>#VALUE!</v>
      </c>
      <c r="H2995" s="26" t="e">
        <f t="shared" si="1"/>
        <v>#VALUE!</v>
      </c>
      <c r="I2995" s="1" t="e">
        <f t="shared" si="2"/>
        <v>#VALUE!</v>
      </c>
    </row>
    <row r="2996" spans="1:9" ht="15.75" customHeight="1">
      <c r="A2996" s="26"/>
      <c r="B2996" s="2"/>
      <c r="C2996" s="26"/>
      <c r="D2996" s="26"/>
      <c r="F2996" s="85" t="str">
        <f t="shared" si="0"/>
        <v/>
      </c>
      <c r="G2996" s="1" t="e">
        <f>IF(VALUE(F2996) = VALUE(RIGHT(Insights!$C$3, 4)), E2996, "")</f>
        <v>#VALUE!</v>
      </c>
      <c r="H2996" s="26" t="e">
        <f t="shared" si="1"/>
        <v>#VALUE!</v>
      </c>
      <c r="I2996" s="1" t="e">
        <f t="shared" si="2"/>
        <v>#VALUE!</v>
      </c>
    </row>
    <row r="2997" spans="1:9" ht="15.75" customHeight="1">
      <c r="A2997" s="26"/>
      <c r="B2997" s="2"/>
      <c r="C2997" s="26"/>
      <c r="D2997" s="26"/>
      <c r="F2997" s="85" t="str">
        <f t="shared" si="0"/>
        <v/>
      </c>
      <c r="G2997" s="1" t="e">
        <f>IF(VALUE(F2997) = VALUE(RIGHT(Insights!$C$3, 4)), E2997, "")</f>
        <v>#VALUE!</v>
      </c>
      <c r="H2997" s="26" t="e">
        <f t="shared" si="1"/>
        <v>#VALUE!</v>
      </c>
      <c r="I2997" s="1" t="e">
        <f t="shared" si="2"/>
        <v>#VALUE!</v>
      </c>
    </row>
    <row r="2998" spans="1:9" ht="15.75" customHeight="1">
      <c r="A2998" s="26"/>
      <c r="B2998" s="2"/>
      <c r="C2998" s="26"/>
      <c r="D2998" s="26"/>
      <c r="F2998" s="85" t="str">
        <f t="shared" si="0"/>
        <v/>
      </c>
      <c r="G2998" s="1" t="e">
        <f>IF(VALUE(F2998) = VALUE(RIGHT(Insights!$C$3, 4)), E2998, "")</f>
        <v>#VALUE!</v>
      </c>
      <c r="H2998" s="26" t="e">
        <f t="shared" si="1"/>
        <v>#VALUE!</v>
      </c>
      <c r="I2998" s="1" t="e">
        <f t="shared" si="2"/>
        <v>#VALUE!</v>
      </c>
    </row>
    <row r="2999" spans="1:9" ht="15.75" customHeight="1">
      <c r="A2999" s="26"/>
      <c r="B2999" s="2"/>
      <c r="C2999" s="26"/>
      <c r="D2999" s="26"/>
      <c r="F2999" s="85" t="str">
        <f t="shared" si="0"/>
        <v/>
      </c>
      <c r="G2999" s="1" t="e">
        <f>IF(VALUE(F2999) = VALUE(RIGHT(Insights!$C$3, 4)), E2999, "")</f>
        <v>#VALUE!</v>
      </c>
      <c r="H2999" s="26" t="e">
        <f t="shared" si="1"/>
        <v>#VALUE!</v>
      </c>
      <c r="I2999" s="1" t="e">
        <f t="shared" si="2"/>
        <v>#VALUE!</v>
      </c>
    </row>
    <row r="3000" spans="1:9" ht="15.75" customHeight="1">
      <c r="A3000" s="26"/>
      <c r="B3000" s="2"/>
      <c r="C3000" s="26"/>
      <c r="D3000" s="26"/>
      <c r="F3000" s="85" t="str">
        <f t="shared" si="0"/>
        <v/>
      </c>
      <c r="G3000" s="1" t="e">
        <f>IF(VALUE(F3000) = VALUE(RIGHT(Insights!$C$3, 4)), E3000, "")</f>
        <v>#VALUE!</v>
      </c>
      <c r="H3000" s="26" t="e">
        <f t="shared" si="1"/>
        <v>#VALUE!</v>
      </c>
      <c r="I3000" s="1" t="e">
        <f t="shared" si="2"/>
        <v>#VALUE!</v>
      </c>
    </row>
    <row r="3001" spans="1:9" ht="15.75" customHeight="1">
      <c r="A3001" s="26"/>
      <c r="B3001" s="2"/>
      <c r="C3001" s="26"/>
      <c r="D3001" s="26"/>
      <c r="F3001" s="85" t="str">
        <f t="shared" si="0"/>
        <v/>
      </c>
      <c r="G3001" s="1" t="e">
        <f>IF(VALUE(F3001) = VALUE(RIGHT(Insights!$C$3, 4)), E3001, "")</f>
        <v>#VALUE!</v>
      </c>
      <c r="H3001" s="26" t="e">
        <f t="shared" si="1"/>
        <v>#VALUE!</v>
      </c>
      <c r="I3001" s="1" t="e">
        <f t="shared" si="2"/>
        <v>#VALUE!</v>
      </c>
    </row>
    <row r="3002" spans="1:9" ht="15.75" customHeight="1">
      <c r="A3002" s="26"/>
      <c r="B3002" s="2"/>
      <c r="C3002" s="26"/>
      <c r="D3002" s="26"/>
      <c r="F3002" s="85" t="str">
        <f t="shared" si="0"/>
        <v/>
      </c>
      <c r="G3002" s="1" t="e">
        <f>IF(VALUE(F3002) = VALUE(RIGHT(Insights!$C$3, 4)), E3002, "")</f>
        <v>#VALUE!</v>
      </c>
      <c r="H3002" s="26" t="e">
        <f t="shared" si="1"/>
        <v>#VALUE!</v>
      </c>
      <c r="I3002" s="1" t="e">
        <f t="shared" si="2"/>
        <v>#VALUE!</v>
      </c>
    </row>
    <row r="3003" spans="1:9" ht="15.75" customHeight="1">
      <c r="A3003" s="26"/>
      <c r="B3003" s="2"/>
      <c r="C3003" s="26"/>
      <c r="D3003" s="26"/>
      <c r="F3003" s="85" t="str">
        <f t="shared" si="0"/>
        <v/>
      </c>
      <c r="G3003" s="1" t="e">
        <f>IF(VALUE(F3003) = VALUE(RIGHT(Insights!$C$3, 4)), E3003, "")</f>
        <v>#VALUE!</v>
      </c>
      <c r="H3003" s="26" t="e">
        <f t="shared" si="1"/>
        <v>#VALUE!</v>
      </c>
      <c r="I3003" s="1" t="e">
        <f t="shared" si="2"/>
        <v>#VALUE!</v>
      </c>
    </row>
    <row r="3004" spans="1:9" ht="15.75" customHeight="1">
      <c r="A3004" s="26"/>
      <c r="B3004" s="2"/>
      <c r="C3004" s="26"/>
      <c r="D3004" s="26"/>
      <c r="F3004" s="85" t="str">
        <f t="shared" si="0"/>
        <v/>
      </c>
      <c r="G3004" s="1" t="e">
        <f>IF(VALUE(F3004) = VALUE(RIGHT(Insights!$C$3, 4)), E3004, "")</f>
        <v>#VALUE!</v>
      </c>
      <c r="H3004" s="26" t="e">
        <f t="shared" si="1"/>
        <v>#VALUE!</v>
      </c>
      <c r="I3004" s="1" t="e">
        <f t="shared" si="2"/>
        <v>#VALUE!</v>
      </c>
    </row>
    <row r="3005" spans="1:9" ht="15.75" customHeight="1">
      <c r="A3005" s="26"/>
      <c r="B3005" s="2"/>
      <c r="C3005" s="26"/>
      <c r="D3005" s="26"/>
      <c r="F3005" s="85" t="str">
        <f t="shared" si="0"/>
        <v/>
      </c>
      <c r="G3005" s="1" t="e">
        <f>IF(VALUE(F3005) = VALUE(RIGHT(Insights!$C$3, 4)), E3005, "")</f>
        <v>#VALUE!</v>
      </c>
      <c r="H3005" s="26" t="e">
        <f t="shared" si="1"/>
        <v>#VALUE!</v>
      </c>
      <c r="I3005" s="1" t="e">
        <f t="shared" si="2"/>
        <v>#VALUE!</v>
      </c>
    </row>
    <row r="3006" spans="1:9" ht="15.75" customHeight="1">
      <c r="A3006" s="26"/>
      <c r="B3006" s="2"/>
      <c r="C3006" s="26"/>
      <c r="D3006" s="26"/>
      <c r="F3006" s="85" t="str">
        <f t="shared" si="0"/>
        <v/>
      </c>
      <c r="G3006" s="1" t="e">
        <f>IF(VALUE(F3006) = VALUE(RIGHT(Insights!$C$3, 4)), E3006, "")</f>
        <v>#VALUE!</v>
      </c>
      <c r="H3006" s="26" t="e">
        <f t="shared" si="1"/>
        <v>#VALUE!</v>
      </c>
      <c r="I3006" s="1" t="e">
        <f t="shared" si="2"/>
        <v>#VALUE!</v>
      </c>
    </row>
    <row r="3007" spans="1:9" ht="15.75" customHeight="1">
      <c r="A3007" s="26"/>
      <c r="B3007" s="2"/>
      <c r="C3007" s="26"/>
      <c r="D3007" s="26"/>
      <c r="F3007" s="85" t="str">
        <f t="shared" si="0"/>
        <v/>
      </c>
      <c r="G3007" s="1" t="e">
        <f>IF(VALUE(F3007) = VALUE(RIGHT(Insights!$C$3, 4)), E3007, "")</f>
        <v>#VALUE!</v>
      </c>
      <c r="H3007" s="26" t="e">
        <f t="shared" si="1"/>
        <v>#VALUE!</v>
      </c>
      <c r="I3007" s="1" t="e">
        <f t="shared" si="2"/>
        <v>#VALUE!</v>
      </c>
    </row>
    <row r="3008" spans="1:9" ht="15.75" customHeight="1">
      <c r="A3008" s="26"/>
      <c r="B3008" s="2"/>
      <c r="C3008" s="26"/>
      <c r="D3008" s="26"/>
      <c r="F3008" s="85" t="str">
        <f t="shared" si="0"/>
        <v/>
      </c>
      <c r="G3008" s="1" t="e">
        <f>IF(VALUE(F3008) = VALUE(RIGHT(Insights!$C$3, 4)), E3008, "")</f>
        <v>#VALUE!</v>
      </c>
      <c r="H3008" s="26" t="e">
        <f t="shared" si="1"/>
        <v>#VALUE!</v>
      </c>
      <c r="I3008" s="1" t="e">
        <f t="shared" si="2"/>
        <v>#VALUE!</v>
      </c>
    </row>
    <row r="3009" spans="1:9" ht="15.75" customHeight="1">
      <c r="A3009" s="26"/>
      <c r="B3009" s="2"/>
      <c r="C3009" s="26"/>
      <c r="D3009" s="26"/>
      <c r="F3009" s="85" t="str">
        <f t="shared" si="0"/>
        <v/>
      </c>
      <c r="G3009" s="1" t="e">
        <f>IF(VALUE(F3009) = VALUE(RIGHT(Insights!$C$3, 4)), E3009, "")</f>
        <v>#VALUE!</v>
      </c>
      <c r="H3009" s="26" t="e">
        <f t="shared" si="1"/>
        <v>#VALUE!</v>
      </c>
      <c r="I3009" s="1" t="e">
        <f t="shared" si="2"/>
        <v>#VALUE!</v>
      </c>
    </row>
    <row r="3010" spans="1:9" ht="15.75" customHeight="1">
      <c r="A3010" s="26"/>
      <c r="B3010" s="2"/>
      <c r="C3010" s="26"/>
      <c r="D3010" s="26"/>
      <c r="F3010" s="85" t="str">
        <f t="shared" si="0"/>
        <v/>
      </c>
      <c r="G3010" s="1" t="e">
        <f>IF(VALUE(F3010) = VALUE(RIGHT(Insights!$C$3, 4)), E3010, "")</f>
        <v>#VALUE!</v>
      </c>
      <c r="H3010" s="26" t="e">
        <f t="shared" si="1"/>
        <v>#VALUE!</v>
      </c>
      <c r="I3010" s="1" t="e">
        <f t="shared" si="2"/>
        <v>#VALUE!</v>
      </c>
    </row>
    <row r="3011" spans="1:9" ht="15.75" customHeight="1">
      <c r="A3011" s="26"/>
      <c r="B3011" s="2"/>
      <c r="C3011" s="26"/>
      <c r="D3011" s="26"/>
      <c r="F3011" s="85" t="str">
        <f t="shared" si="0"/>
        <v/>
      </c>
      <c r="G3011" s="1" t="e">
        <f>IF(VALUE(F3011) = VALUE(RIGHT(Insights!$C$3, 4)), E3011, "")</f>
        <v>#VALUE!</v>
      </c>
      <c r="H3011" s="26" t="e">
        <f t="shared" si="1"/>
        <v>#VALUE!</v>
      </c>
      <c r="I3011" s="1" t="e">
        <f t="shared" si="2"/>
        <v>#VALUE!</v>
      </c>
    </row>
    <row r="3012" spans="1:9" ht="15.75" customHeight="1">
      <c r="A3012" s="26"/>
      <c r="B3012" s="2"/>
      <c r="C3012" s="26"/>
      <c r="D3012" s="26"/>
      <c r="F3012" s="85" t="str">
        <f t="shared" si="0"/>
        <v/>
      </c>
      <c r="G3012" s="1" t="e">
        <f>IF(VALUE(F3012) = VALUE(RIGHT(Insights!$C$3, 4)), E3012, "")</f>
        <v>#VALUE!</v>
      </c>
      <c r="H3012" s="26" t="e">
        <f t="shared" si="1"/>
        <v>#VALUE!</v>
      </c>
      <c r="I3012" s="1" t="e">
        <f t="shared" si="2"/>
        <v>#VALUE!</v>
      </c>
    </row>
    <row r="3013" spans="1:9" ht="15.75" customHeight="1">
      <c r="A3013" s="26"/>
      <c r="B3013" s="2"/>
      <c r="C3013" s="26"/>
      <c r="D3013" s="26"/>
      <c r="F3013" s="85" t="str">
        <f t="shared" si="0"/>
        <v/>
      </c>
      <c r="G3013" s="1" t="e">
        <f>IF(VALUE(F3013) = VALUE(RIGHT(Insights!$C$3, 4)), E3013, "")</f>
        <v>#VALUE!</v>
      </c>
      <c r="H3013" s="26" t="e">
        <f t="shared" si="1"/>
        <v>#VALUE!</v>
      </c>
      <c r="I3013" s="1" t="e">
        <f t="shared" si="2"/>
        <v>#VALUE!</v>
      </c>
    </row>
    <row r="3014" spans="1:9" ht="15.75" customHeight="1">
      <c r="A3014" s="26"/>
      <c r="B3014" s="2"/>
      <c r="C3014" s="26"/>
      <c r="D3014" s="26"/>
      <c r="F3014" s="85" t="str">
        <f t="shared" si="0"/>
        <v/>
      </c>
      <c r="G3014" s="1" t="e">
        <f>IF(VALUE(F3014) = VALUE(RIGHT(Insights!$C$3, 4)), E3014, "")</f>
        <v>#VALUE!</v>
      </c>
      <c r="H3014" s="26" t="e">
        <f t="shared" si="1"/>
        <v>#VALUE!</v>
      </c>
      <c r="I3014" s="1" t="e">
        <f t="shared" si="2"/>
        <v>#VALUE!</v>
      </c>
    </row>
    <row r="3015" spans="1:9" ht="15.75" customHeight="1">
      <c r="A3015" s="26"/>
      <c r="B3015" s="2"/>
      <c r="C3015" s="26"/>
      <c r="D3015" s="26"/>
      <c r="F3015" s="85" t="str">
        <f t="shared" si="0"/>
        <v/>
      </c>
      <c r="G3015" s="1" t="e">
        <f>IF(VALUE(F3015) = VALUE(RIGHT(Insights!$C$3, 4)), E3015, "")</f>
        <v>#VALUE!</v>
      </c>
      <c r="H3015" s="26" t="e">
        <f t="shared" si="1"/>
        <v>#VALUE!</v>
      </c>
      <c r="I3015" s="1" t="e">
        <f t="shared" si="2"/>
        <v>#VALUE!</v>
      </c>
    </row>
    <row r="3016" spans="1:9" ht="15.75" customHeight="1">
      <c r="A3016" s="26"/>
      <c r="B3016" s="2"/>
      <c r="C3016" s="26"/>
      <c r="D3016" s="26"/>
      <c r="F3016" s="85" t="str">
        <f t="shared" si="0"/>
        <v/>
      </c>
      <c r="G3016" s="1" t="e">
        <f>IF(VALUE(F3016) = VALUE(RIGHT(Insights!$C$3, 4)), E3016, "")</f>
        <v>#VALUE!</v>
      </c>
      <c r="H3016" s="26" t="e">
        <f t="shared" si="1"/>
        <v>#VALUE!</v>
      </c>
      <c r="I3016" s="1" t="e">
        <f t="shared" si="2"/>
        <v>#VALUE!</v>
      </c>
    </row>
    <row r="3017" spans="1:9" ht="15.75" customHeight="1">
      <c r="A3017" s="26"/>
      <c r="B3017" s="2"/>
      <c r="C3017" s="26"/>
      <c r="D3017" s="26"/>
      <c r="F3017" s="85" t="str">
        <f t="shared" si="0"/>
        <v/>
      </c>
      <c r="G3017" s="1" t="e">
        <f>IF(VALUE(F3017) = VALUE(RIGHT(Insights!$C$3, 4)), E3017, "")</f>
        <v>#VALUE!</v>
      </c>
      <c r="H3017" s="26" t="e">
        <f t="shared" si="1"/>
        <v>#VALUE!</v>
      </c>
      <c r="I3017" s="1" t="e">
        <f t="shared" si="2"/>
        <v>#VALUE!</v>
      </c>
    </row>
    <row r="3018" spans="1:9" ht="15.75" customHeight="1">
      <c r="A3018" s="26"/>
      <c r="B3018" s="2"/>
      <c r="C3018" s="26"/>
      <c r="D3018" s="26"/>
      <c r="F3018" s="85" t="str">
        <f t="shared" si="0"/>
        <v/>
      </c>
      <c r="G3018" s="1" t="e">
        <f>IF(VALUE(F3018) = VALUE(RIGHT(Insights!$C$3, 4)), E3018, "")</f>
        <v>#VALUE!</v>
      </c>
      <c r="H3018" s="26" t="e">
        <f t="shared" si="1"/>
        <v>#VALUE!</v>
      </c>
      <c r="I3018" s="1" t="e">
        <f t="shared" si="2"/>
        <v>#VALUE!</v>
      </c>
    </row>
    <row r="3019" spans="1:9" ht="15.75" customHeight="1">
      <c r="A3019" s="26"/>
      <c r="B3019" s="2"/>
      <c r="C3019" s="26"/>
      <c r="D3019" s="26"/>
      <c r="F3019" s="85" t="str">
        <f t="shared" si="0"/>
        <v/>
      </c>
      <c r="G3019" s="1" t="e">
        <f>IF(VALUE(F3019) = VALUE(RIGHT(Insights!$C$3, 4)), E3019, "")</f>
        <v>#VALUE!</v>
      </c>
      <c r="H3019" s="26" t="e">
        <f t="shared" si="1"/>
        <v>#VALUE!</v>
      </c>
      <c r="I3019" s="1" t="e">
        <f t="shared" si="2"/>
        <v>#VALUE!</v>
      </c>
    </row>
    <row r="3020" spans="1:9" ht="15.75" customHeight="1">
      <c r="A3020" s="26"/>
      <c r="B3020" s="2"/>
      <c r="C3020" s="26"/>
      <c r="D3020" s="26"/>
      <c r="F3020" s="85" t="str">
        <f t="shared" si="0"/>
        <v/>
      </c>
      <c r="G3020" s="1" t="e">
        <f>IF(VALUE(F3020) = VALUE(RIGHT(Insights!$C$3, 4)), E3020, "")</f>
        <v>#VALUE!</v>
      </c>
      <c r="H3020" s="26" t="e">
        <f t="shared" si="1"/>
        <v>#VALUE!</v>
      </c>
      <c r="I3020" s="1" t="e">
        <f t="shared" si="2"/>
        <v>#VALUE!</v>
      </c>
    </row>
    <row r="3021" spans="1:9" ht="15.75" customHeight="1">
      <c r="A3021" s="26"/>
      <c r="B3021" s="2"/>
      <c r="C3021" s="26"/>
      <c r="D3021" s="26"/>
      <c r="F3021" s="85" t="str">
        <f t="shared" si="0"/>
        <v/>
      </c>
      <c r="G3021" s="1" t="e">
        <f>IF(VALUE(F3021) = VALUE(RIGHT(Insights!$C$3, 4)), E3021, "")</f>
        <v>#VALUE!</v>
      </c>
      <c r="H3021" s="26" t="e">
        <f t="shared" si="1"/>
        <v>#VALUE!</v>
      </c>
      <c r="I3021" s="1" t="e">
        <f t="shared" si="2"/>
        <v>#VALUE!</v>
      </c>
    </row>
    <row r="3022" spans="1:9" ht="15.75" customHeight="1">
      <c r="A3022" s="26"/>
      <c r="B3022" s="2"/>
      <c r="C3022" s="26"/>
      <c r="D3022" s="26"/>
      <c r="F3022" s="85" t="str">
        <f t="shared" si="0"/>
        <v/>
      </c>
      <c r="G3022" s="1" t="e">
        <f>IF(VALUE(F3022) = VALUE(RIGHT(Insights!$C$3, 4)), E3022, "")</f>
        <v>#VALUE!</v>
      </c>
      <c r="H3022" s="26" t="e">
        <f t="shared" si="1"/>
        <v>#VALUE!</v>
      </c>
      <c r="I3022" s="1" t="e">
        <f t="shared" si="2"/>
        <v>#VALUE!</v>
      </c>
    </row>
    <row r="3023" spans="1:9" ht="15.75" customHeight="1">
      <c r="A3023" s="26"/>
      <c r="B3023" s="2"/>
      <c r="C3023" s="26"/>
      <c r="D3023" s="26"/>
      <c r="F3023" s="85" t="str">
        <f t="shared" si="0"/>
        <v/>
      </c>
      <c r="G3023" s="1" t="e">
        <f>IF(VALUE(F3023) = VALUE(RIGHT(Insights!$C$3, 4)), E3023, "")</f>
        <v>#VALUE!</v>
      </c>
      <c r="H3023" s="26" t="e">
        <f t="shared" si="1"/>
        <v>#VALUE!</v>
      </c>
      <c r="I3023" s="1" t="e">
        <f t="shared" si="2"/>
        <v>#VALUE!</v>
      </c>
    </row>
    <row r="3024" spans="1:9" ht="15.75" customHeight="1">
      <c r="A3024" s="26"/>
      <c r="B3024" s="2"/>
      <c r="C3024" s="26"/>
      <c r="D3024" s="26"/>
      <c r="F3024" s="85" t="str">
        <f t="shared" si="0"/>
        <v/>
      </c>
      <c r="G3024" s="1" t="e">
        <f>IF(VALUE(F3024) = VALUE(RIGHT(Insights!$C$3, 4)), E3024, "")</f>
        <v>#VALUE!</v>
      </c>
      <c r="H3024" s="26" t="e">
        <f t="shared" si="1"/>
        <v>#VALUE!</v>
      </c>
      <c r="I3024" s="1" t="e">
        <f t="shared" si="2"/>
        <v>#VALUE!</v>
      </c>
    </row>
    <row r="3025" spans="1:9" ht="15.75" customHeight="1">
      <c r="A3025" s="26"/>
      <c r="B3025" s="2"/>
      <c r="C3025" s="26"/>
      <c r="D3025" s="26"/>
      <c r="F3025" s="85" t="str">
        <f t="shared" si="0"/>
        <v/>
      </c>
      <c r="G3025" s="1" t="e">
        <f>IF(VALUE(F3025) = VALUE(RIGHT(Insights!$C$3, 4)), E3025, "")</f>
        <v>#VALUE!</v>
      </c>
      <c r="H3025" s="26" t="e">
        <f t="shared" si="1"/>
        <v>#VALUE!</v>
      </c>
      <c r="I3025" s="1" t="e">
        <f t="shared" si="2"/>
        <v>#VALUE!</v>
      </c>
    </row>
    <row r="3026" spans="1:9" ht="15.75" customHeight="1">
      <c r="A3026" s="26"/>
      <c r="B3026" s="2"/>
      <c r="C3026" s="26"/>
      <c r="D3026" s="26"/>
      <c r="F3026" s="85" t="str">
        <f t="shared" si="0"/>
        <v/>
      </c>
      <c r="G3026" s="1" t="e">
        <f>IF(VALUE(F3026) = VALUE(RIGHT(Insights!$C$3, 4)), E3026, "")</f>
        <v>#VALUE!</v>
      </c>
      <c r="H3026" s="26" t="e">
        <f t="shared" si="1"/>
        <v>#VALUE!</v>
      </c>
      <c r="I3026" s="1" t="e">
        <f t="shared" si="2"/>
        <v>#VALUE!</v>
      </c>
    </row>
    <row r="3027" spans="1:9" ht="15.75" customHeight="1">
      <c r="A3027" s="26"/>
      <c r="B3027" s="2"/>
      <c r="C3027" s="26"/>
      <c r="D3027" s="26"/>
      <c r="F3027" s="85" t="str">
        <f t="shared" si="0"/>
        <v/>
      </c>
      <c r="G3027" s="1" t="e">
        <f>IF(VALUE(F3027) = VALUE(RIGHT(Insights!$C$3, 4)), E3027, "")</f>
        <v>#VALUE!</v>
      </c>
      <c r="H3027" s="26" t="e">
        <f t="shared" si="1"/>
        <v>#VALUE!</v>
      </c>
      <c r="I3027" s="1" t="e">
        <f t="shared" si="2"/>
        <v>#VALUE!</v>
      </c>
    </row>
    <row r="3028" spans="1:9" ht="15.75" customHeight="1">
      <c r="A3028" s="26"/>
      <c r="B3028" s="2"/>
      <c r="C3028" s="26"/>
      <c r="D3028" s="26"/>
      <c r="F3028" s="85" t="str">
        <f t="shared" si="0"/>
        <v/>
      </c>
      <c r="G3028" s="1" t="e">
        <f>IF(VALUE(F3028) = VALUE(RIGHT(Insights!$C$3, 4)), E3028, "")</f>
        <v>#VALUE!</v>
      </c>
      <c r="H3028" s="26" t="e">
        <f t="shared" si="1"/>
        <v>#VALUE!</v>
      </c>
      <c r="I3028" s="1" t="e">
        <f t="shared" si="2"/>
        <v>#VALUE!</v>
      </c>
    </row>
    <row r="3029" spans="1:9" ht="15.75" customHeight="1">
      <c r="A3029" s="26"/>
      <c r="B3029" s="2"/>
      <c r="C3029" s="26"/>
      <c r="D3029" s="26"/>
      <c r="F3029" s="85" t="str">
        <f t="shared" si="0"/>
        <v/>
      </c>
      <c r="G3029" s="1" t="e">
        <f>IF(VALUE(F3029) = VALUE(RIGHT(Insights!$C$3, 4)), E3029, "")</f>
        <v>#VALUE!</v>
      </c>
      <c r="H3029" s="26" t="e">
        <f t="shared" si="1"/>
        <v>#VALUE!</v>
      </c>
      <c r="I3029" s="1" t="e">
        <f t="shared" si="2"/>
        <v>#VALUE!</v>
      </c>
    </row>
    <row r="3030" spans="1:9" ht="15.75" customHeight="1">
      <c r="A3030" s="26"/>
      <c r="B3030" s="2"/>
      <c r="C3030" s="26"/>
      <c r="D3030" s="26"/>
      <c r="F3030" s="85" t="str">
        <f t="shared" si="0"/>
        <v/>
      </c>
      <c r="G3030" s="1" t="e">
        <f>IF(VALUE(F3030) = VALUE(RIGHT(Insights!$C$3, 4)), E3030, "")</f>
        <v>#VALUE!</v>
      </c>
      <c r="H3030" s="26" t="e">
        <f t="shared" si="1"/>
        <v>#VALUE!</v>
      </c>
      <c r="I3030" s="1" t="e">
        <f t="shared" si="2"/>
        <v>#VALUE!</v>
      </c>
    </row>
    <row r="3031" spans="1:9" ht="15.75" customHeight="1">
      <c r="A3031" s="26"/>
      <c r="B3031" s="2"/>
      <c r="C3031" s="26"/>
      <c r="D3031" s="26"/>
      <c r="F3031" s="85" t="str">
        <f t="shared" si="0"/>
        <v/>
      </c>
      <c r="G3031" s="1" t="e">
        <f>IF(VALUE(F3031) = VALUE(RIGHT(Insights!$C$3, 4)), E3031, "")</f>
        <v>#VALUE!</v>
      </c>
      <c r="H3031" s="26" t="e">
        <f t="shared" si="1"/>
        <v>#VALUE!</v>
      </c>
      <c r="I3031" s="1" t="e">
        <f t="shared" si="2"/>
        <v>#VALUE!</v>
      </c>
    </row>
    <row r="3032" spans="1:9" ht="15.75" customHeight="1">
      <c r="A3032" s="26"/>
      <c r="B3032" s="2"/>
      <c r="C3032" s="26"/>
      <c r="D3032" s="26"/>
      <c r="F3032" s="85" t="str">
        <f t="shared" si="0"/>
        <v/>
      </c>
      <c r="G3032" s="1" t="e">
        <f>IF(VALUE(F3032) = VALUE(RIGHT(Insights!$C$3, 4)), E3032, "")</f>
        <v>#VALUE!</v>
      </c>
      <c r="H3032" s="26" t="e">
        <f t="shared" si="1"/>
        <v>#VALUE!</v>
      </c>
      <c r="I3032" s="1" t="e">
        <f t="shared" si="2"/>
        <v>#VALUE!</v>
      </c>
    </row>
    <row r="3033" spans="1:9" ht="15.75" customHeight="1">
      <c r="A3033" s="26"/>
      <c r="B3033" s="2"/>
      <c r="C3033" s="26"/>
      <c r="D3033" s="26"/>
      <c r="F3033" s="85" t="str">
        <f t="shared" si="0"/>
        <v/>
      </c>
      <c r="G3033" s="1" t="e">
        <f>IF(VALUE(F3033) = VALUE(RIGHT(Insights!$C$3, 4)), E3033, "")</f>
        <v>#VALUE!</v>
      </c>
      <c r="H3033" s="26" t="e">
        <f t="shared" si="1"/>
        <v>#VALUE!</v>
      </c>
      <c r="I3033" s="1" t="e">
        <f t="shared" si="2"/>
        <v>#VALUE!</v>
      </c>
    </row>
    <row r="3034" spans="1:9" ht="15.75" customHeight="1">
      <c r="A3034" s="26"/>
      <c r="B3034" s="2"/>
      <c r="C3034" s="26"/>
      <c r="D3034" s="26"/>
      <c r="F3034" s="85" t="str">
        <f t="shared" si="0"/>
        <v/>
      </c>
      <c r="G3034" s="1" t="e">
        <f>IF(VALUE(F3034) = VALUE(RIGHT(Insights!$C$3, 4)), E3034, "")</f>
        <v>#VALUE!</v>
      </c>
      <c r="H3034" s="26" t="e">
        <f t="shared" si="1"/>
        <v>#VALUE!</v>
      </c>
      <c r="I3034" s="1" t="e">
        <f t="shared" si="2"/>
        <v>#VALUE!</v>
      </c>
    </row>
    <row r="3035" spans="1:9" ht="15.75" customHeight="1">
      <c r="A3035" s="26"/>
      <c r="B3035" s="2"/>
      <c r="C3035" s="26"/>
      <c r="D3035" s="26"/>
      <c r="F3035" s="85" t="str">
        <f t="shared" si="0"/>
        <v/>
      </c>
      <c r="G3035" s="1" t="e">
        <f>IF(VALUE(F3035) = VALUE(RIGHT(Insights!$C$3, 4)), E3035, "")</f>
        <v>#VALUE!</v>
      </c>
      <c r="H3035" s="26" t="e">
        <f t="shared" si="1"/>
        <v>#VALUE!</v>
      </c>
      <c r="I3035" s="1" t="e">
        <f t="shared" si="2"/>
        <v>#VALUE!</v>
      </c>
    </row>
    <row r="3036" spans="1:9" ht="15.75" customHeight="1">
      <c r="A3036" s="26"/>
      <c r="B3036" s="2"/>
      <c r="C3036" s="26"/>
      <c r="D3036" s="26"/>
      <c r="F3036" s="85" t="str">
        <f t="shared" si="0"/>
        <v/>
      </c>
      <c r="G3036" s="1" t="e">
        <f>IF(VALUE(F3036) = VALUE(RIGHT(Insights!$C$3, 4)), E3036, "")</f>
        <v>#VALUE!</v>
      </c>
      <c r="H3036" s="26" t="e">
        <f t="shared" si="1"/>
        <v>#VALUE!</v>
      </c>
      <c r="I3036" s="1" t="e">
        <f t="shared" si="2"/>
        <v>#VALUE!</v>
      </c>
    </row>
    <row r="3037" spans="1:9" ht="15.75" customHeight="1">
      <c r="A3037" s="26"/>
      <c r="B3037" s="2"/>
      <c r="C3037" s="26"/>
      <c r="D3037" s="26"/>
      <c r="F3037" s="85" t="str">
        <f t="shared" si="0"/>
        <v/>
      </c>
      <c r="G3037" s="1" t="e">
        <f>IF(VALUE(F3037) = VALUE(RIGHT(Insights!$C$3, 4)), E3037, "")</f>
        <v>#VALUE!</v>
      </c>
      <c r="H3037" s="26" t="e">
        <f t="shared" si="1"/>
        <v>#VALUE!</v>
      </c>
      <c r="I3037" s="1" t="e">
        <f t="shared" si="2"/>
        <v>#VALUE!</v>
      </c>
    </row>
    <row r="3038" spans="1:9" ht="15.75" customHeight="1">
      <c r="A3038" s="26"/>
      <c r="B3038" s="2"/>
      <c r="C3038" s="26"/>
      <c r="D3038" s="26"/>
      <c r="F3038" s="85" t="str">
        <f t="shared" si="0"/>
        <v/>
      </c>
      <c r="G3038" s="1" t="e">
        <f>IF(VALUE(F3038) = VALUE(RIGHT(Insights!$C$3, 4)), E3038, "")</f>
        <v>#VALUE!</v>
      </c>
      <c r="H3038" s="26" t="e">
        <f t="shared" si="1"/>
        <v>#VALUE!</v>
      </c>
      <c r="I3038" s="1" t="e">
        <f t="shared" si="2"/>
        <v>#VALUE!</v>
      </c>
    </row>
    <row r="3039" spans="1:9" ht="15.75" customHeight="1">
      <c r="A3039" s="26"/>
      <c r="B3039" s="2"/>
      <c r="C3039" s="26"/>
      <c r="D3039" s="26"/>
      <c r="F3039" s="85" t="str">
        <f t="shared" si="0"/>
        <v/>
      </c>
      <c r="G3039" s="1" t="e">
        <f>IF(VALUE(F3039) = VALUE(RIGHT(Insights!$C$3, 4)), E3039, "")</f>
        <v>#VALUE!</v>
      </c>
      <c r="H3039" s="26" t="e">
        <f t="shared" si="1"/>
        <v>#VALUE!</v>
      </c>
      <c r="I3039" s="1" t="e">
        <f t="shared" si="2"/>
        <v>#VALUE!</v>
      </c>
    </row>
    <row r="3040" spans="1:9" ht="15.75" customHeight="1">
      <c r="A3040" s="26"/>
      <c r="B3040" s="2"/>
      <c r="C3040" s="26"/>
      <c r="D3040" s="26"/>
      <c r="F3040" s="85" t="str">
        <f t="shared" si="0"/>
        <v/>
      </c>
      <c r="G3040" s="1" t="e">
        <f>IF(VALUE(F3040) = VALUE(RIGHT(Insights!$C$3, 4)), E3040, "")</f>
        <v>#VALUE!</v>
      </c>
      <c r="H3040" s="26" t="e">
        <f t="shared" si="1"/>
        <v>#VALUE!</v>
      </c>
      <c r="I3040" s="1" t="e">
        <f t="shared" si="2"/>
        <v>#VALUE!</v>
      </c>
    </row>
    <row r="3041" spans="1:9" ht="15.75" customHeight="1">
      <c r="A3041" s="26"/>
      <c r="B3041" s="2"/>
      <c r="C3041" s="26"/>
      <c r="D3041" s="26"/>
      <c r="F3041" s="85" t="str">
        <f t="shared" si="0"/>
        <v/>
      </c>
      <c r="G3041" s="1" t="e">
        <f>IF(VALUE(F3041) = VALUE(RIGHT(Insights!$C$3, 4)), E3041, "")</f>
        <v>#VALUE!</v>
      </c>
      <c r="H3041" s="26" t="e">
        <f t="shared" si="1"/>
        <v>#VALUE!</v>
      </c>
      <c r="I3041" s="1" t="e">
        <f t="shared" si="2"/>
        <v>#VALUE!</v>
      </c>
    </row>
    <row r="3042" spans="1:9" ht="15.75" customHeight="1">
      <c r="A3042" s="26"/>
      <c r="B3042" s="2"/>
      <c r="C3042" s="26"/>
      <c r="D3042" s="26"/>
      <c r="F3042" s="85" t="str">
        <f t="shared" si="0"/>
        <v/>
      </c>
      <c r="G3042" s="1" t="e">
        <f>IF(VALUE(F3042) = VALUE(RIGHT(Insights!$C$3, 4)), E3042, "")</f>
        <v>#VALUE!</v>
      </c>
      <c r="H3042" s="26" t="e">
        <f t="shared" si="1"/>
        <v>#VALUE!</v>
      </c>
      <c r="I3042" s="1" t="e">
        <f t="shared" si="2"/>
        <v>#VALUE!</v>
      </c>
    </row>
    <row r="3043" spans="1:9" ht="15.75" customHeight="1">
      <c r="A3043" s="26"/>
      <c r="B3043" s="2"/>
      <c r="C3043" s="26"/>
      <c r="D3043" s="26"/>
      <c r="F3043" s="85" t="str">
        <f t="shared" si="0"/>
        <v/>
      </c>
      <c r="G3043" s="1" t="e">
        <f>IF(VALUE(F3043) = VALUE(RIGHT(Insights!$C$3, 4)), E3043, "")</f>
        <v>#VALUE!</v>
      </c>
      <c r="H3043" s="26" t="e">
        <f t="shared" si="1"/>
        <v>#VALUE!</v>
      </c>
      <c r="I3043" s="1" t="e">
        <f t="shared" si="2"/>
        <v>#VALUE!</v>
      </c>
    </row>
    <row r="3044" spans="1:9" ht="15.75" customHeight="1">
      <c r="A3044" s="26"/>
      <c r="B3044" s="2"/>
      <c r="C3044" s="26"/>
      <c r="D3044" s="26"/>
      <c r="F3044" s="85" t="str">
        <f t="shared" si="0"/>
        <v/>
      </c>
      <c r="G3044" s="1" t="e">
        <f>IF(VALUE(F3044) = VALUE(RIGHT(Insights!$C$3, 4)), E3044, "")</f>
        <v>#VALUE!</v>
      </c>
      <c r="H3044" s="26" t="e">
        <f t="shared" si="1"/>
        <v>#VALUE!</v>
      </c>
      <c r="I3044" s="1" t="e">
        <f t="shared" si="2"/>
        <v>#VALUE!</v>
      </c>
    </row>
    <row r="3045" spans="1:9" ht="15.75" customHeight="1">
      <c r="A3045" s="26"/>
      <c r="B3045" s="2"/>
      <c r="C3045" s="26"/>
      <c r="D3045" s="26"/>
      <c r="F3045" s="85" t="str">
        <f t="shared" si="0"/>
        <v/>
      </c>
      <c r="G3045" s="1" t="e">
        <f>IF(VALUE(F3045) = VALUE(RIGHT(Insights!$C$3, 4)), E3045, "")</f>
        <v>#VALUE!</v>
      </c>
      <c r="H3045" s="26" t="e">
        <f t="shared" si="1"/>
        <v>#VALUE!</v>
      </c>
      <c r="I3045" s="1" t="e">
        <f t="shared" si="2"/>
        <v>#VALUE!</v>
      </c>
    </row>
    <row r="3046" spans="1:9" ht="15.75" customHeight="1">
      <c r="A3046" s="26"/>
      <c r="B3046" s="2"/>
      <c r="C3046" s="26"/>
      <c r="D3046" s="26"/>
      <c r="F3046" s="85" t="str">
        <f t="shared" si="0"/>
        <v/>
      </c>
      <c r="G3046" s="1" t="e">
        <f>IF(VALUE(F3046) = VALUE(RIGHT(Insights!$C$3, 4)), E3046, "")</f>
        <v>#VALUE!</v>
      </c>
      <c r="H3046" s="26" t="e">
        <f t="shared" si="1"/>
        <v>#VALUE!</v>
      </c>
      <c r="I3046" s="1" t="e">
        <f t="shared" si="2"/>
        <v>#VALUE!</v>
      </c>
    </row>
    <row r="3047" spans="1:9" ht="15.75" customHeight="1">
      <c r="A3047" s="26"/>
      <c r="B3047" s="2"/>
      <c r="C3047" s="26"/>
      <c r="D3047" s="26"/>
      <c r="F3047" s="85" t="str">
        <f t="shared" si="0"/>
        <v/>
      </c>
      <c r="G3047" s="1" t="e">
        <f>IF(VALUE(F3047) = VALUE(RIGHT(Insights!$C$3, 4)), E3047, "")</f>
        <v>#VALUE!</v>
      </c>
      <c r="H3047" s="26" t="e">
        <f t="shared" si="1"/>
        <v>#VALUE!</v>
      </c>
      <c r="I3047" s="1" t="e">
        <f t="shared" si="2"/>
        <v>#VALUE!</v>
      </c>
    </row>
    <row r="3048" spans="1:9" ht="15.75" customHeight="1">
      <c r="A3048" s="26"/>
      <c r="B3048" s="2"/>
      <c r="C3048" s="26"/>
      <c r="D3048" s="26"/>
      <c r="F3048" s="85" t="str">
        <f t="shared" si="0"/>
        <v/>
      </c>
      <c r="G3048" s="1" t="e">
        <f>IF(VALUE(F3048) = VALUE(RIGHT(Insights!$C$3, 4)), E3048, "")</f>
        <v>#VALUE!</v>
      </c>
      <c r="H3048" s="26" t="e">
        <f t="shared" si="1"/>
        <v>#VALUE!</v>
      </c>
      <c r="I3048" s="1" t="e">
        <f t="shared" si="2"/>
        <v>#VALUE!</v>
      </c>
    </row>
    <row r="3049" spans="1:9" ht="15.75" customHeight="1">
      <c r="A3049" s="26"/>
      <c r="B3049" s="2"/>
      <c r="C3049" s="26"/>
      <c r="D3049" s="26"/>
      <c r="F3049" s="85" t="str">
        <f t="shared" si="0"/>
        <v/>
      </c>
      <c r="G3049" s="1" t="e">
        <f>IF(VALUE(F3049) = VALUE(RIGHT(Insights!$C$3, 4)), E3049, "")</f>
        <v>#VALUE!</v>
      </c>
      <c r="H3049" s="26" t="e">
        <f t="shared" si="1"/>
        <v>#VALUE!</v>
      </c>
      <c r="I3049" s="1" t="e">
        <f t="shared" si="2"/>
        <v>#VALUE!</v>
      </c>
    </row>
    <row r="3050" spans="1:9" ht="15.75" customHeight="1">
      <c r="A3050" s="26"/>
      <c r="B3050" s="2"/>
      <c r="C3050" s="26"/>
      <c r="D3050" s="26"/>
      <c r="F3050" s="85" t="str">
        <f t="shared" si="0"/>
        <v/>
      </c>
      <c r="G3050" s="1" t="e">
        <f>IF(VALUE(F3050) = VALUE(RIGHT(Insights!$C$3, 4)), E3050, "")</f>
        <v>#VALUE!</v>
      </c>
      <c r="H3050" s="26" t="e">
        <f t="shared" si="1"/>
        <v>#VALUE!</v>
      </c>
      <c r="I3050" s="1" t="e">
        <f t="shared" si="2"/>
        <v>#VALUE!</v>
      </c>
    </row>
    <row r="3051" spans="1:9" ht="15.75" customHeight="1">
      <c r="A3051" s="26"/>
      <c r="B3051" s="2"/>
      <c r="C3051" s="26"/>
      <c r="D3051" s="26"/>
      <c r="F3051" s="85" t="str">
        <f t="shared" si="0"/>
        <v/>
      </c>
      <c r="G3051" s="1" t="e">
        <f>IF(VALUE(F3051) = VALUE(RIGHT(Insights!$C$3, 4)), E3051, "")</f>
        <v>#VALUE!</v>
      </c>
      <c r="H3051" s="26" t="e">
        <f t="shared" si="1"/>
        <v>#VALUE!</v>
      </c>
      <c r="I3051" s="1" t="e">
        <f t="shared" si="2"/>
        <v>#VALUE!</v>
      </c>
    </row>
    <row r="3052" spans="1:9" ht="15.75" customHeight="1">
      <c r="A3052" s="26"/>
      <c r="B3052" s="2"/>
      <c r="C3052" s="26"/>
      <c r="D3052" s="26"/>
      <c r="F3052" s="85" t="str">
        <f t="shared" si="0"/>
        <v/>
      </c>
      <c r="G3052" s="1" t="e">
        <f>IF(VALUE(F3052) = VALUE(RIGHT(Insights!$C$3, 4)), E3052, "")</f>
        <v>#VALUE!</v>
      </c>
      <c r="H3052" s="26" t="e">
        <f t="shared" si="1"/>
        <v>#VALUE!</v>
      </c>
      <c r="I3052" s="1" t="e">
        <f t="shared" si="2"/>
        <v>#VALUE!</v>
      </c>
    </row>
    <row r="3053" spans="1:9" ht="15.75" customHeight="1">
      <c r="A3053" s="26"/>
      <c r="B3053" s="2"/>
      <c r="C3053" s="26"/>
      <c r="D3053" s="26"/>
      <c r="F3053" s="85" t="str">
        <f t="shared" si="0"/>
        <v/>
      </c>
      <c r="G3053" s="1" t="e">
        <f>IF(VALUE(F3053) = VALUE(RIGHT(Insights!$C$3, 4)), E3053, "")</f>
        <v>#VALUE!</v>
      </c>
      <c r="H3053" s="26" t="e">
        <f t="shared" si="1"/>
        <v>#VALUE!</v>
      </c>
      <c r="I3053" s="1" t="e">
        <f t="shared" si="2"/>
        <v>#VALUE!</v>
      </c>
    </row>
    <row r="3054" spans="1:9" ht="15.75" customHeight="1">
      <c r="A3054" s="26"/>
      <c r="B3054" s="2"/>
      <c r="C3054" s="26"/>
      <c r="D3054" s="26"/>
      <c r="F3054" s="85" t="str">
        <f t="shared" si="0"/>
        <v/>
      </c>
      <c r="G3054" s="1" t="e">
        <f>IF(VALUE(F3054) = VALUE(RIGHT(Insights!$C$3, 4)), E3054, "")</f>
        <v>#VALUE!</v>
      </c>
      <c r="H3054" s="26" t="e">
        <f t="shared" si="1"/>
        <v>#VALUE!</v>
      </c>
      <c r="I3054" s="1" t="e">
        <f t="shared" si="2"/>
        <v>#VALUE!</v>
      </c>
    </row>
    <row r="3055" spans="1:9" ht="15.75" customHeight="1">
      <c r="A3055" s="26"/>
      <c r="B3055" s="2"/>
      <c r="C3055" s="26"/>
      <c r="D3055" s="26"/>
      <c r="F3055" s="85" t="str">
        <f t="shared" si="0"/>
        <v/>
      </c>
      <c r="G3055" s="1" t="e">
        <f>IF(VALUE(F3055) = VALUE(RIGHT(Insights!$C$3, 4)), E3055, "")</f>
        <v>#VALUE!</v>
      </c>
      <c r="H3055" s="26" t="e">
        <f t="shared" si="1"/>
        <v>#VALUE!</v>
      </c>
      <c r="I3055" s="1" t="e">
        <f t="shared" si="2"/>
        <v>#VALUE!</v>
      </c>
    </row>
    <row r="3056" spans="1:9" ht="15.75" customHeight="1">
      <c r="A3056" s="26"/>
      <c r="B3056" s="2"/>
      <c r="C3056" s="26"/>
      <c r="D3056" s="26"/>
      <c r="F3056" s="85" t="str">
        <f t="shared" si="0"/>
        <v/>
      </c>
      <c r="G3056" s="1" t="e">
        <f>IF(VALUE(F3056) = VALUE(RIGHT(Insights!$C$3, 4)), E3056, "")</f>
        <v>#VALUE!</v>
      </c>
      <c r="H3056" s="26" t="e">
        <f t="shared" si="1"/>
        <v>#VALUE!</v>
      </c>
      <c r="I3056" s="1" t="e">
        <f t="shared" si="2"/>
        <v>#VALUE!</v>
      </c>
    </row>
    <row r="3057" spans="1:9" ht="15.75" customHeight="1">
      <c r="A3057" s="26"/>
      <c r="B3057" s="2"/>
      <c r="C3057" s="26"/>
      <c r="D3057" s="26"/>
      <c r="F3057" s="85" t="str">
        <f t="shared" si="0"/>
        <v/>
      </c>
      <c r="G3057" s="1" t="e">
        <f>IF(VALUE(F3057) = VALUE(RIGHT(Insights!$C$3, 4)), E3057, "")</f>
        <v>#VALUE!</v>
      </c>
      <c r="H3057" s="26" t="e">
        <f t="shared" si="1"/>
        <v>#VALUE!</v>
      </c>
      <c r="I3057" s="1" t="e">
        <f t="shared" si="2"/>
        <v>#VALUE!</v>
      </c>
    </row>
    <row r="3058" spans="1:9" ht="15.75" customHeight="1">
      <c r="A3058" s="26"/>
      <c r="B3058" s="2"/>
      <c r="C3058" s="26"/>
      <c r="D3058" s="26"/>
      <c r="F3058" s="85" t="str">
        <f t="shared" si="0"/>
        <v/>
      </c>
      <c r="G3058" s="1" t="e">
        <f>IF(VALUE(F3058) = VALUE(RIGHT(Insights!$C$3, 4)), E3058, "")</f>
        <v>#VALUE!</v>
      </c>
      <c r="H3058" s="26" t="e">
        <f t="shared" si="1"/>
        <v>#VALUE!</v>
      </c>
      <c r="I3058" s="1" t="e">
        <f t="shared" si="2"/>
        <v>#VALUE!</v>
      </c>
    </row>
    <row r="3059" spans="1:9" ht="15.75" customHeight="1">
      <c r="A3059" s="26"/>
      <c r="B3059" s="2"/>
      <c r="C3059" s="26"/>
      <c r="D3059" s="26"/>
      <c r="F3059" s="85" t="str">
        <f t="shared" si="0"/>
        <v/>
      </c>
      <c r="G3059" s="1" t="e">
        <f>IF(VALUE(F3059) = VALUE(RIGHT(Insights!$C$3, 4)), E3059, "")</f>
        <v>#VALUE!</v>
      </c>
      <c r="H3059" s="26" t="e">
        <f t="shared" si="1"/>
        <v>#VALUE!</v>
      </c>
      <c r="I3059" s="1" t="e">
        <f t="shared" si="2"/>
        <v>#VALUE!</v>
      </c>
    </row>
    <row r="3060" spans="1:9" ht="15.75" customHeight="1">
      <c r="A3060" s="26"/>
      <c r="B3060" s="2"/>
      <c r="C3060" s="26"/>
      <c r="D3060" s="26"/>
      <c r="F3060" s="85" t="str">
        <f t="shared" si="0"/>
        <v/>
      </c>
      <c r="G3060" s="1" t="e">
        <f>IF(VALUE(F3060) = VALUE(RIGHT(Insights!$C$3, 4)), E3060, "")</f>
        <v>#VALUE!</v>
      </c>
      <c r="H3060" s="26" t="e">
        <f t="shared" si="1"/>
        <v>#VALUE!</v>
      </c>
      <c r="I3060" s="1" t="e">
        <f t="shared" si="2"/>
        <v>#VALUE!</v>
      </c>
    </row>
    <row r="3061" spans="1:9" ht="15.75" customHeight="1">
      <c r="A3061" s="26"/>
      <c r="B3061" s="2"/>
      <c r="C3061" s="26"/>
      <c r="D3061" s="26"/>
      <c r="F3061" s="85" t="str">
        <f t="shared" si="0"/>
        <v/>
      </c>
      <c r="G3061" s="1" t="e">
        <f>IF(VALUE(F3061) = VALUE(RIGHT(Insights!$C$3, 4)), E3061, "")</f>
        <v>#VALUE!</v>
      </c>
      <c r="H3061" s="26" t="e">
        <f t="shared" si="1"/>
        <v>#VALUE!</v>
      </c>
      <c r="I3061" s="1" t="e">
        <f t="shared" si="2"/>
        <v>#VALUE!</v>
      </c>
    </row>
    <row r="3062" spans="1:9" ht="15.75" customHeight="1">
      <c r="A3062" s="26"/>
      <c r="B3062" s="2"/>
      <c r="C3062" s="26"/>
      <c r="D3062" s="26"/>
      <c r="F3062" s="85" t="str">
        <f t="shared" si="0"/>
        <v/>
      </c>
      <c r="G3062" s="1" t="e">
        <f>IF(VALUE(F3062) = VALUE(RIGHT(Insights!$C$3, 4)), E3062, "")</f>
        <v>#VALUE!</v>
      </c>
      <c r="H3062" s="26" t="e">
        <f t="shared" si="1"/>
        <v>#VALUE!</v>
      </c>
      <c r="I3062" s="1" t="e">
        <f t="shared" si="2"/>
        <v>#VALUE!</v>
      </c>
    </row>
    <row r="3063" spans="1:9" ht="15.75" customHeight="1">
      <c r="A3063" s="26"/>
      <c r="B3063" s="2"/>
      <c r="C3063" s="26"/>
      <c r="D3063" s="26"/>
      <c r="F3063" s="85" t="str">
        <f t="shared" si="0"/>
        <v/>
      </c>
      <c r="G3063" s="1" t="e">
        <f>IF(VALUE(F3063) = VALUE(RIGHT(Insights!$C$3, 4)), E3063, "")</f>
        <v>#VALUE!</v>
      </c>
      <c r="H3063" s="26" t="e">
        <f t="shared" si="1"/>
        <v>#VALUE!</v>
      </c>
      <c r="I3063" s="1" t="e">
        <f t="shared" si="2"/>
        <v>#VALUE!</v>
      </c>
    </row>
    <row r="3064" spans="1:9" ht="15.75" customHeight="1">
      <c r="A3064" s="26"/>
      <c r="B3064" s="2"/>
      <c r="C3064" s="26"/>
      <c r="D3064" s="26"/>
      <c r="F3064" s="85" t="str">
        <f t="shared" si="0"/>
        <v/>
      </c>
      <c r="G3064" s="1" t="e">
        <f>IF(VALUE(F3064) = VALUE(RIGHT(Insights!$C$3, 4)), E3064, "")</f>
        <v>#VALUE!</v>
      </c>
      <c r="H3064" s="26" t="e">
        <f t="shared" si="1"/>
        <v>#VALUE!</v>
      </c>
      <c r="I3064" s="1" t="e">
        <f t="shared" si="2"/>
        <v>#VALUE!</v>
      </c>
    </row>
    <row r="3065" spans="1:9" ht="15.75" customHeight="1">
      <c r="A3065" s="26"/>
      <c r="B3065" s="2"/>
      <c r="C3065" s="26"/>
      <c r="D3065" s="26"/>
      <c r="F3065" s="85" t="str">
        <f t="shared" si="0"/>
        <v/>
      </c>
      <c r="G3065" s="1" t="e">
        <f>IF(VALUE(F3065) = VALUE(RIGHT(Insights!$C$3, 4)), E3065, "")</f>
        <v>#VALUE!</v>
      </c>
      <c r="H3065" s="26" t="e">
        <f t="shared" si="1"/>
        <v>#VALUE!</v>
      </c>
      <c r="I3065" s="1" t="e">
        <f t="shared" si="2"/>
        <v>#VALUE!</v>
      </c>
    </row>
    <row r="3066" spans="1:9" ht="15.75" customHeight="1">
      <c r="A3066" s="26"/>
      <c r="B3066" s="2"/>
      <c r="C3066" s="26"/>
      <c r="D3066" s="26"/>
      <c r="F3066" s="85" t="str">
        <f t="shared" si="0"/>
        <v/>
      </c>
      <c r="G3066" s="1" t="e">
        <f>IF(VALUE(F3066) = VALUE(RIGHT(Insights!$C$3, 4)), E3066, "")</f>
        <v>#VALUE!</v>
      </c>
      <c r="H3066" s="26" t="e">
        <f t="shared" si="1"/>
        <v>#VALUE!</v>
      </c>
      <c r="I3066" s="1" t="e">
        <f t="shared" si="2"/>
        <v>#VALUE!</v>
      </c>
    </row>
    <row r="3067" spans="1:9" ht="15.75" customHeight="1">
      <c r="A3067" s="26"/>
      <c r="B3067" s="2"/>
      <c r="C3067" s="26"/>
      <c r="D3067" s="26"/>
      <c r="F3067" s="85" t="str">
        <f t="shared" si="0"/>
        <v/>
      </c>
      <c r="G3067" s="1" t="e">
        <f>IF(VALUE(F3067) = VALUE(RIGHT(Insights!$C$3, 4)), E3067, "")</f>
        <v>#VALUE!</v>
      </c>
      <c r="H3067" s="26" t="e">
        <f t="shared" si="1"/>
        <v>#VALUE!</v>
      </c>
      <c r="I3067" s="1" t="e">
        <f t="shared" si="2"/>
        <v>#VALUE!</v>
      </c>
    </row>
    <row r="3068" spans="1:9" ht="15.75" customHeight="1">
      <c r="A3068" s="26"/>
      <c r="B3068" s="2"/>
      <c r="C3068" s="26"/>
      <c r="D3068" s="26"/>
      <c r="F3068" s="85" t="str">
        <f t="shared" si="0"/>
        <v/>
      </c>
      <c r="G3068" s="1" t="e">
        <f>IF(VALUE(F3068) = VALUE(RIGHT(Insights!$C$3, 4)), E3068, "")</f>
        <v>#VALUE!</v>
      </c>
      <c r="H3068" s="26" t="e">
        <f t="shared" si="1"/>
        <v>#VALUE!</v>
      </c>
      <c r="I3068" s="1" t="e">
        <f t="shared" si="2"/>
        <v>#VALUE!</v>
      </c>
    </row>
    <row r="3069" spans="1:9" ht="15.75" customHeight="1">
      <c r="A3069" s="26"/>
      <c r="B3069" s="2"/>
      <c r="C3069" s="26"/>
      <c r="D3069" s="26"/>
      <c r="F3069" s="85" t="str">
        <f t="shared" si="0"/>
        <v/>
      </c>
      <c r="G3069" s="1" t="e">
        <f>IF(VALUE(F3069) = VALUE(RIGHT(Insights!$C$3, 4)), E3069, "")</f>
        <v>#VALUE!</v>
      </c>
      <c r="H3069" s="26" t="e">
        <f t="shared" si="1"/>
        <v>#VALUE!</v>
      </c>
      <c r="I3069" s="1" t="e">
        <f t="shared" si="2"/>
        <v>#VALUE!</v>
      </c>
    </row>
    <row r="3070" spans="1:9" ht="15.75" customHeight="1">
      <c r="A3070" s="26"/>
      <c r="B3070" s="2"/>
      <c r="C3070" s="26"/>
      <c r="D3070" s="26"/>
      <c r="F3070" s="85" t="str">
        <f t="shared" si="0"/>
        <v/>
      </c>
      <c r="G3070" s="1" t="e">
        <f>IF(VALUE(F3070) = VALUE(RIGHT(Insights!$C$3, 4)), E3070, "")</f>
        <v>#VALUE!</v>
      </c>
      <c r="H3070" s="26" t="e">
        <f t="shared" si="1"/>
        <v>#VALUE!</v>
      </c>
      <c r="I3070" s="1" t="e">
        <f t="shared" si="2"/>
        <v>#VALUE!</v>
      </c>
    </row>
    <row r="3071" spans="1:9" ht="15.75" customHeight="1">
      <c r="A3071" s="26"/>
      <c r="B3071" s="2"/>
      <c r="C3071" s="26"/>
      <c r="D3071" s="26"/>
      <c r="F3071" s="85" t="str">
        <f t="shared" si="0"/>
        <v/>
      </c>
      <c r="G3071" s="1" t="e">
        <f>IF(VALUE(F3071) = VALUE(RIGHT(Insights!$C$3, 4)), E3071, "")</f>
        <v>#VALUE!</v>
      </c>
      <c r="H3071" s="26" t="e">
        <f t="shared" si="1"/>
        <v>#VALUE!</v>
      </c>
      <c r="I3071" s="1" t="e">
        <f t="shared" si="2"/>
        <v>#VALUE!</v>
      </c>
    </row>
    <row r="3072" spans="1:9" ht="15.75" customHeight="1">
      <c r="A3072" s="26"/>
      <c r="B3072" s="2"/>
      <c r="C3072" s="26"/>
      <c r="D3072" s="26"/>
      <c r="F3072" s="85" t="str">
        <f t="shared" si="0"/>
        <v/>
      </c>
      <c r="G3072" s="1" t="e">
        <f>IF(VALUE(F3072) = VALUE(RIGHT(Insights!$C$3, 4)), E3072, "")</f>
        <v>#VALUE!</v>
      </c>
      <c r="H3072" s="26" t="e">
        <f t="shared" si="1"/>
        <v>#VALUE!</v>
      </c>
      <c r="I3072" s="1" t="e">
        <f t="shared" si="2"/>
        <v>#VALUE!</v>
      </c>
    </row>
    <row r="3073" spans="1:9" ht="15.75" customHeight="1">
      <c r="A3073" s="26"/>
      <c r="B3073" s="2"/>
      <c r="C3073" s="26"/>
      <c r="D3073" s="26"/>
      <c r="F3073" s="85" t="str">
        <f t="shared" si="0"/>
        <v/>
      </c>
      <c r="G3073" s="1" t="e">
        <f>IF(VALUE(F3073) = VALUE(RIGHT(Insights!$C$3, 4)), E3073, "")</f>
        <v>#VALUE!</v>
      </c>
      <c r="H3073" s="26" t="e">
        <f t="shared" si="1"/>
        <v>#VALUE!</v>
      </c>
      <c r="I3073" s="1" t="e">
        <f t="shared" si="2"/>
        <v>#VALUE!</v>
      </c>
    </row>
    <row r="3074" spans="1:9" ht="15.75" customHeight="1">
      <c r="A3074" s="26"/>
      <c r="B3074" s="2"/>
      <c r="C3074" s="26"/>
      <c r="D3074" s="26"/>
      <c r="F3074" s="85" t="str">
        <f t="shared" si="0"/>
        <v/>
      </c>
      <c r="G3074" s="1" t="e">
        <f>IF(VALUE(F3074) = VALUE(RIGHT(Insights!$C$3, 4)), E3074, "")</f>
        <v>#VALUE!</v>
      </c>
      <c r="H3074" s="26" t="e">
        <f t="shared" si="1"/>
        <v>#VALUE!</v>
      </c>
      <c r="I3074" s="1" t="e">
        <f t="shared" si="2"/>
        <v>#VALUE!</v>
      </c>
    </row>
    <row r="3075" spans="1:9" ht="15.75" customHeight="1">
      <c r="A3075" s="26"/>
      <c r="B3075" s="2"/>
      <c r="C3075" s="26"/>
      <c r="D3075" s="26"/>
      <c r="F3075" s="85" t="str">
        <f t="shared" si="0"/>
        <v/>
      </c>
      <c r="G3075" s="1" t="e">
        <f>IF(VALUE(F3075) = VALUE(RIGHT(Insights!$C$3, 4)), E3075, "")</f>
        <v>#VALUE!</v>
      </c>
      <c r="H3075" s="26" t="e">
        <f t="shared" si="1"/>
        <v>#VALUE!</v>
      </c>
      <c r="I3075" s="1" t="e">
        <f t="shared" si="2"/>
        <v>#VALUE!</v>
      </c>
    </row>
    <row r="3076" spans="1:9" ht="15.75" customHeight="1">
      <c r="A3076" s="26"/>
      <c r="B3076" s="2"/>
      <c r="C3076" s="26"/>
      <c r="D3076" s="26"/>
      <c r="F3076" s="85" t="str">
        <f t="shared" si="0"/>
        <v/>
      </c>
      <c r="G3076" s="1" t="e">
        <f>IF(VALUE(F3076) = VALUE(RIGHT(Insights!$C$3, 4)), E3076, "")</f>
        <v>#VALUE!</v>
      </c>
      <c r="H3076" s="26" t="e">
        <f t="shared" si="1"/>
        <v>#VALUE!</v>
      </c>
      <c r="I3076" s="1" t="e">
        <f t="shared" si="2"/>
        <v>#VALUE!</v>
      </c>
    </row>
    <row r="3077" spans="1:9" ht="15.75" customHeight="1">
      <c r="A3077" s="26"/>
      <c r="B3077" s="2"/>
      <c r="C3077" s="26"/>
      <c r="D3077" s="26"/>
      <c r="F3077" s="85" t="str">
        <f t="shared" si="0"/>
        <v/>
      </c>
      <c r="G3077" s="1" t="e">
        <f>IF(VALUE(F3077) = VALUE(RIGHT(Insights!$C$3, 4)), E3077, "")</f>
        <v>#VALUE!</v>
      </c>
      <c r="H3077" s="26" t="e">
        <f t="shared" si="1"/>
        <v>#VALUE!</v>
      </c>
      <c r="I3077" s="1" t="e">
        <f t="shared" si="2"/>
        <v>#VALUE!</v>
      </c>
    </row>
    <row r="3078" spans="1:9" ht="15.75" customHeight="1">
      <c r="A3078" s="26"/>
      <c r="B3078" s="2"/>
      <c r="C3078" s="26"/>
      <c r="D3078" s="26"/>
      <c r="F3078" s="85" t="str">
        <f t="shared" si="0"/>
        <v/>
      </c>
      <c r="G3078" s="1" t="e">
        <f>IF(VALUE(F3078) = VALUE(RIGHT(Insights!$C$3, 4)), E3078, "")</f>
        <v>#VALUE!</v>
      </c>
      <c r="H3078" s="26" t="e">
        <f t="shared" si="1"/>
        <v>#VALUE!</v>
      </c>
      <c r="I3078" s="1" t="e">
        <f t="shared" si="2"/>
        <v>#VALUE!</v>
      </c>
    </row>
    <row r="3079" spans="1:9" ht="15.75" customHeight="1">
      <c r="A3079" s="26"/>
      <c r="B3079" s="2"/>
      <c r="C3079" s="26"/>
      <c r="D3079" s="26"/>
      <c r="F3079" s="85" t="str">
        <f t="shared" si="0"/>
        <v/>
      </c>
      <c r="G3079" s="1" t="e">
        <f>IF(VALUE(F3079) = VALUE(RIGHT(Insights!$C$3, 4)), E3079, "")</f>
        <v>#VALUE!</v>
      </c>
      <c r="H3079" s="26" t="e">
        <f t="shared" si="1"/>
        <v>#VALUE!</v>
      </c>
      <c r="I3079" s="1" t="e">
        <f t="shared" si="2"/>
        <v>#VALUE!</v>
      </c>
    </row>
    <row r="3080" spans="1:9" ht="15.75" customHeight="1">
      <c r="A3080" s="26"/>
      <c r="B3080" s="2"/>
      <c r="C3080" s="26"/>
      <c r="D3080" s="26"/>
      <c r="F3080" s="85" t="str">
        <f t="shared" si="0"/>
        <v/>
      </c>
      <c r="G3080" s="1" t="e">
        <f>IF(VALUE(F3080) = VALUE(RIGHT(Insights!$C$3, 4)), E3080, "")</f>
        <v>#VALUE!</v>
      </c>
      <c r="H3080" s="26" t="e">
        <f t="shared" si="1"/>
        <v>#VALUE!</v>
      </c>
      <c r="I3080" s="1" t="e">
        <f t="shared" si="2"/>
        <v>#VALUE!</v>
      </c>
    </row>
    <row r="3081" spans="1:9" ht="15.75" customHeight="1">
      <c r="A3081" s="26"/>
      <c r="B3081" s="2"/>
      <c r="C3081" s="26"/>
      <c r="D3081" s="26"/>
      <c r="F3081" s="85" t="str">
        <f t="shared" si="0"/>
        <v/>
      </c>
      <c r="G3081" s="1" t="e">
        <f>IF(VALUE(F3081) = VALUE(RIGHT(Insights!$C$3, 4)), E3081, "")</f>
        <v>#VALUE!</v>
      </c>
      <c r="H3081" s="26" t="e">
        <f t="shared" si="1"/>
        <v>#VALUE!</v>
      </c>
      <c r="I3081" s="1" t="e">
        <f t="shared" si="2"/>
        <v>#VALUE!</v>
      </c>
    </row>
    <row r="3082" spans="1:9" ht="15.75" customHeight="1">
      <c r="A3082" s="26"/>
      <c r="B3082" s="2"/>
      <c r="C3082" s="26"/>
      <c r="D3082" s="26"/>
      <c r="F3082" s="85" t="str">
        <f t="shared" si="0"/>
        <v/>
      </c>
      <c r="G3082" s="1" t="e">
        <f>IF(VALUE(F3082) = VALUE(RIGHT(Insights!$C$3, 4)), E3082, "")</f>
        <v>#VALUE!</v>
      </c>
      <c r="H3082" s="26" t="e">
        <f t="shared" si="1"/>
        <v>#VALUE!</v>
      </c>
      <c r="I3082" s="1" t="e">
        <f t="shared" si="2"/>
        <v>#VALUE!</v>
      </c>
    </row>
    <row r="3083" spans="1:9" ht="15.75" customHeight="1">
      <c r="A3083" s="26"/>
      <c r="B3083" s="2"/>
      <c r="C3083" s="26"/>
      <c r="D3083" s="26"/>
      <c r="F3083" s="85" t="str">
        <f t="shared" si="0"/>
        <v/>
      </c>
      <c r="G3083" s="1" t="e">
        <f>IF(VALUE(F3083) = VALUE(RIGHT(Insights!$C$3, 4)), E3083, "")</f>
        <v>#VALUE!</v>
      </c>
      <c r="H3083" s="26" t="e">
        <f t="shared" si="1"/>
        <v>#VALUE!</v>
      </c>
      <c r="I3083" s="1" t="e">
        <f t="shared" si="2"/>
        <v>#VALUE!</v>
      </c>
    </row>
    <row r="3084" spans="1:9" ht="15.75" customHeight="1">
      <c r="A3084" s="26"/>
      <c r="B3084" s="2"/>
      <c r="C3084" s="26"/>
      <c r="D3084" s="26"/>
      <c r="F3084" s="85" t="str">
        <f t="shared" si="0"/>
        <v/>
      </c>
      <c r="G3084" s="1" t="e">
        <f>IF(VALUE(F3084) = VALUE(RIGHT(Insights!$C$3, 4)), E3084, "")</f>
        <v>#VALUE!</v>
      </c>
      <c r="H3084" s="26" t="e">
        <f t="shared" si="1"/>
        <v>#VALUE!</v>
      </c>
      <c r="I3084" s="1" t="e">
        <f t="shared" si="2"/>
        <v>#VALUE!</v>
      </c>
    </row>
    <row r="3085" spans="1:9" ht="15.75" customHeight="1">
      <c r="A3085" s="26"/>
      <c r="B3085" s="2"/>
      <c r="C3085" s="26"/>
      <c r="D3085" s="26"/>
      <c r="F3085" s="85" t="str">
        <f t="shared" si="0"/>
        <v/>
      </c>
      <c r="G3085" s="1" t="e">
        <f>IF(VALUE(F3085) = VALUE(RIGHT(Insights!$C$3, 4)), E3085, "")</f>
        <v>#VALUE!</v>
      </c>
      <c r="H3085" s="26" t="e">
        <f t="shared" si="1"/>
        <v>#VALUE!</v>
      </c>
      <c r="I3085" s="1" t="e">
        <f t="shared" si="2"/>
        <v>#VALUE!</v>
      </c>
    </row>
    <row r="3086" spans="1:9" ht="15.75" customHeight="1">
      <c r="A3086" s="26"/>
      <c r="B3086" s="2"/>
      <c r="C3086" s="26"/>
      <c r="D3086" s="26"/>
      <c r="F3086" s="85" t="str">
        <f t="shared" si="0"/>
        <v/>
      </c>
      <c r="G3086" s="1" t="e">
        <f>IF(VALUE(F3086) = VALUE(RIGHT(Insights!$C$3, 4)), E3086, "")</f>
        <v>#VALUE!</v>
      </c>
      <c r="H3086" s="26" t="e">
        <f t="shared" si="1"/>
        <v>#VALUE!</v>
      </c>
      <c r="I3086" s="1" t="e">
        <f t="shared" si="2"/>
        <v>#VALUE!</v>
      </c>
    </row>
    <row r="3087" spans="1:9" ht="15.75" customHeight="1">
      <c r="A3087" s="26"/>
      <c r="B3087" s="2"/>
      <c r="C3087" s="26"/>
      <c r="D3087" s="26"/>
      <c r="F3087" s="85" t="str">
        <f t="shared" si="0"/>
        <v/>
      </c>
      <c r="G3087" s="1" t="e">
        <f>IF(VALUE(F3087) = VALUE(RIGHT(Insights!$C$3, 4)), E3087, "")</f>
        <v>#VALUE!</v>
      </c>
      <c r="H3087" s="26" t="e">
        <f t="shared" si="1"/>
        <v>#VALUE!</v>
      </c>
      <c r="I3087" s="1" t="e">
        <f t="shared" si="2"/>
        <v>#VALUE!</v>
      </c>
    </row>
    <row r="3088" spans="1:9" ht="15.75" customHeight="1">
      <c r="A3088" s="26"/>
      <c r="B3088" s="2"/>
      <c r="C3088" s="26"/>
      <c r="D3088" s="26"/>
      <c r="F3088" s="85" t="str">
        <f t="shared" si="0"/>
        <v/>
      </c>
      <c r="G3088" s="1" t="e">
        <f>IF(VALUE(F3088) = VALUE(RIGHT(Insights!$C$3, 4)), E3088, "")</f>
        <v>#VALUE!</v>
      </c>
      <c r="H3088" s="26" t="e">
        <f t="shared" si="1"/>
        <v>#VALUE!</v>
      </c>
      <c r="I3088" s="1" t="e">
        <f t="shared" si="2"/>
        <v>#VALUE!</v>
      </c>
    </row>
    <row r="3089" spans="1:9" ht="15.75" customHeight="1">
      <c r="A3089" s="26"/>
      <c r="B3089" s="2"/>
      <c r="C3089" s="26"/>
      <c r="D3089" s="26"/>
      <c r="F3089" s="85" t="str">
        <f t="shared" si="0"/>
        <v/>
      </c>
      <c r="G3089" s="1" t="e">
        <f>IF(VALUE(F3089) = VALUE(RIGHT(Insights!$C$3, 4)), E3089, "")</f>
        <v>#VALUE!</v>
      </c>
      <c r="H3089" s="26" t="e">
        <f t="shared" si="1"/>
        <v>#VALUE!</v>
      </c>
      <c r="I3089" s="1" t="e">
        <f t="shared" si="2"/>
        <v>#VALUE!</v>
      </c>
    </row>
    <row r="3090" spans="1:9" ht="15.75" customHeight="1">
      <c r="A3090" s="26"/>
      <c r="B3090" s="2"/>
      <c r="C3090" s="26"/>
      <c r="D3090" s="26"/>
      <c r="F3090" s="85" t="str">
        <f t="shared" si="0"/>
        <v/>
      </c>
      <c r="G3090" s="1" t="e">
        <f>IF(VALUE(F3090) = VALUE(RIGHT(Insights!$C$3, 4)), E3090, "")</f>
        <v>#VALUE!</v>
      </c>
      <c r="H3090" s="26" t="e">
        <f t="shared" si="1"/>
        <v>#VALUE!</v>
      </c>
      <c r="I3090" s="1" t="e">
        <f t="shared" si="2"/>
        <v>#VALUE!</v>
      </c>
    </row>
    <row r="3091" spans="1:9" ht="15.75" customHeight="1">
      <c r="A3091" s="26"/>
      <c r="B3091" s="2"/>
      <c r="C3091" s="26"/>
      <c r="D3091" s="26"/>
      <c r="F3091" s="85" t="str">
        <f t="shared" si="0"/>
        <v/>
      </c>
      <c r="G3091" s="1" t="e">
        <f>IF(VALUE(F3091) = VALUE(RIGHT(Insights!$C$3, 4)), E3091, "")</f>
        <v>#VALUE!</v>
      </c>
      <c r="H3091" s="26" t="e">
        <f t="shared" si="1"/>
        <v>#VALUE!</v>
      </c>
      <c r="I3091" s="1" t="e">
        <f t="shared" si="2"/>
        <v>#VALUE!</v>
      </c>
    </row>
    <row r="3092" spans="1:9" ht="15.75" customHeight="1">
      <c r="A3092" s="26"/>
      <c r="B3092" s="2"/>
      <c r="C3092" s="26"/>
      <c r="D3092" s="26"/>
      <c r="F3092" s="85" t="str">
        <f t="shared" si="0"/>
        <v/>
      </c>
      <c r="G3092" s="1" t="e">
        <f>IF(VALUE(F3092) = VALUE(RIGHT(Insights!$C$3, 4)), E3092, "")</f>
        <v>#VALUE!</v>
      </c>
      <c r="H3092" s="26" t="e">
        <f t="shared" si="1"/>
        <v>#VALUE!</v>
      </c>
      <c r="I3092" s="1" t="e">
        <f t="shared" si="2"/>
        <v>#VALUE!</v>
      </c>
    </row>
    <row r="3093" spans="1:9" ht="15.75" customHeight="1">
      <c r="A3093" s="26"/>
      <c r="B3093" s="2"/>
      <c r="C3093" s="26"/>
      <c r="D3093" s="26"/>
      <c r="F3093" s="85" t="str">
        <f t="shared" si="0"/>
        <v/>
      </c>
      <c r="G3093" s="1" t="e">
        <f>IF(VALUE(F3093) = VALUE(RIGHT(Insights!$C$3, 4)), E3093, "")</f>
        <v>#VALUE!</v>
      </c>
      <c r="H3093" s="26" t="e">
        <f t="shared" si="1"/>
        <v>#VALUE!</v>
      </c>
      <c r="I3093" s="1" t="e">
        <f t="shared" si="2"/>
        <v>#VALUE!</v>
      </c>
    </row>
    <row r="3094" spans="1:9" ht="15.75" customHeight="1">
      <c r="A3094" s="26"/>
      <c r="B3094" s="2"/>
      <c r="C3094" s="26"/>
      <c r="D3094" s="26"/>
      <c r="F3094" s="85" t="str">
        <f t="shared" si="0"/>
        <v/>
      </c>
      <c r="G3094" s="1" t="e">
        <f>IF(VALUE(F3094) = VALUE(RIGHT(Insights!$C$3, 4)), E3094, "")</f>
        <v>#VALUE!</v>
      </c>
      <c r="H3094" s="26" t="e">
        <f t="shared" si="1"/>
        <v>#VALUE!</v>
      </c>
      <c r="I3094" s="1" t="e">
        <f t="shared" si="2"/>
        <v>#VALUE!</v>
      </c>
    </row>
    <row r="3095" spans="1:9" ht="15.75" customHeight="1">
      <c r="A3095" s="26"/>
      <c r="B3095" s="2"/>
      <c r="C3095" s="26"/>
      <c r="D3095" s="26"/>
      <c r="F3095" s="85" t="str">
        <f t="shared" si="0"/>
        <v/>
      </c>
      <c r="G3095" s="1" t="e">
        <f>IF(VALUE(F3095) = VALUE(RIGHT(Insights!$C$3, 4)), E3095, "")</f>
        <v>#VALUE!</v>
      </c>
      <c r="H3095" s="26" t="e">
        <f t="shared" si="1"/>
        <v>#VALUE!</v>
      </c>
      <c r="I3095" s="1" t="e">
        <f t="shared" si="2"/>
        <v>#VALUE!</v>
      </c>
    </row>
    <row r="3096" spans="1:9" ht="15.75" customHeight="1">
      <c r="A3096" s="26"/>
      <c r="B3096" s="2"/>
      <c r="C3096" s="26"/>
      <c r="D3096" s="26"/>
      <c r="F3096" s="85" t="str">
        <f t="shared" si="0"/>
        <v/>
      </c>
      <c r="G3096" s="1" t="e">
        <f>IF(VALUE(F3096) = VALUE(RIGHT(Insights!$C$3, 4)), E3096, "")</f>
        <v>#VALUE!</v>
      </c>
      <c r="H3096" s="26" t="e">
        <f t="shared" si="1"/>
        <v>#VALUE!</v>
      </c>
      <c r="I3096" s="1" t="e">
        <f t="shared" si="2"/>
        <v>#VALUE!</v>
      </c>
    </row>
    <row r="3097" spans="1:9" ht="15.75" customHeight="1">
      <c r="A3097" s="26"/>
      <c r="B3097" s="2"/>
      <c r="C3097" s="26"/>
      <c r="D3097" s="26"/>
      <c r="F3097" s="85" t="str">
        <f t="shared" si="0"/>
        <v/>
      </c>
      <c r="G3097" s="1" t="e">
        <f>IF(VALUE(F3097) = VALUE(RIGHT(Insights!$C$3, 4)), E3097, "")</f>
        <v>#VALUE!</v>
      </c>
      <c r="H3097" s="26" t="e">
        <f t="shared" si="1"/>
        <v>#VALUE!</v>
      </c>
      <c r="I3097" s="1" t="e">
        <f t="shared" si="2"/>
        <v>#VALUE!</v>
      </c>
    </row>
    <row r="3098" spans="1:9" ht="15.75" customHeight="1">
      <c r="A3098" s="26"/>
      <c r="B3098" s="2"/>
      <c r="C3098" s="26"/>
      <c r="D3098" s="26"/>
      <c r="F3098" s="85" t="str">
        <f t="shared" si="0"/>
        <v/>
      </c>
      <c r="G3098" s="1" t="e">
        <f>IF(VALUE(F3098) = VALUE(RIGHT(Insights!$C$3, 4)), E3098, "")</f>
        <v>#VALUE!</v>
      </c>
      <c r="H3098" s="26" t="e">
        <f t="shared" si="1"/>
        <v>#VALUE!</v>
      </c>
      <c r="I3098" s="1" t="e">
        <f t="shared" si="2"/>
        <v>#VALUE!</v>
      </c>
    </row>
    <row r="3099" spans="1:9" ht="15.75" customHeight="1">
      <c r="A3099" s="26"/>
      <c r="B3099" s="2"/>
      <c r="C3099" s="26"/>
      <c r="D3099" s="26"/>
      <c r="F3099" s="85" t="str">
        <f t="shared" si="0"/>
        <v/>
      </c>
      <c r="G3099" s="1" t="e">
        <f>IF(VALUE(F3099) = VALUE(RIGHT(Insights!$C$3, 4)), E3099, "")</f>
        <v>#VALUE!</v>
      </c>
      <c r="H3099" s="26" t="e">
        <f t="shared" si="1"/>
        <v>#VALUE!</v>
      </c>
      <c r="I3099" s="1" t="e">
        <f t="shared" si="2"/>
        <v>#VALUE!</v>
      </c>
    </row>
    <row r="3100" spans="1:9" ht="15.75" customHeight="1">
      <c r="A3100" s="26"/>
      <c r="B3100" s="2"/>
      <c r="C3100" s="26"/>
      <c r="D3100" s="26"/>
      <c r="F3100" s="85" t="str">
        <f t="shared" si="0"/>
        <v/>
      </c>
      <c r="G3100" s="1" t="e">
        <f>IF(VALUE(F3100) = VALUE(RIGHT(Insights!$C$3, 4)), E3100, "")</f>
        <v>#VALUE!</v>
      </c>
      <c r="H3100" s="26" t="e">
        <f t="shared" si="1"/>
        <v>#VALUE!</v>
      </c>
      <c r="I3100" s="1" t="e">
        <f t="shared" si="2"/>
        <v>#VALUE!</v>
      </c>
    </row>
    <row r="3101" spans="1:9" ht="15.75" customHeight="1">
      <c r="A3101" s="26"/>
      <c r="B3101" s="2"/>
      <c r="C3101" s="26"/>
      <c r="D3101" s="26"/>
      <c r="F3101" s="85" t="str">
        <f t="shared" si="0"/>
        <v/>
      </c>
      <c r="G3101" s="1" t="e">
        <f>IF(VALUE(F3101) = VALUE(RIGHT(Insights!$C$3, 4)), E3101, "")</f>
        <v>#VALUE!</v>
      </c>
      <c r="H3101" s="26" t="e">
        <f t="shared" si="1"/>
        <v>#VALUE!</v>
      </c>
      <c r="I3101" s="1" t="e">
        <f t="shared" si="2"/>
        <v>#VALUE!</v>
      </c>
    </row>
    <row r="3102" spans="1:9" ht="15.75" customHeight="1">
      <c r="A3102" s="26"/>
      <c r="B3102" s="2"/>
      <c r="C3102" s="26"/>
      <c r="D3102" s="26"/>
      <c r="F3102" s="85" t="str">
        <f t="shared" si="0"/>
        <v/>
      </c>
      <c r="G3102" s="1" t="e">
        <f>IF(VALUE(F3102) = VALUE(RIGHT(Insights!$C$3, 4)), E3102, "")</f>
        <v>#VALUE!</v>
      </c>
      <c r="H3102" s="26" t="e">
        <f t="shared" si="1"/>
        <v>#VALUE!</v>
      </c>
      <c r="I3102" s="1" t="e">
        <f t="shared" si="2"/>
        <v>#VALUE!</v>
      </c>
    </row>
    <row r="3103" spans="1:9" ht="15.75" customHeight="1">
      <c r="A3103" s="26"/>
      <c r="B3103" s="2"/>
      <c r="C3103" s="26"/>
      <c r="D3103" s="26"/>
      <c r="F3103" s="85" t="str">
        <f t="shared" si="0"/>
        <v/>
      </c>
      <c r="G3103" s="1" t="e">
        <f>IF(VALUE(F3103) = VALUE(RIGHT(Insights!$C$3, 4)), E3103, "")</f>
        <v>#VALUE!</v>
      </c>
      <c r="H3103" s="26" t="e">
        <f t="shared" si="1"/>
        <v>#VALUE!</v>
      </c>
      <c r="I3103" s="1" t="e">
        <f t="shared" si="2"/>
        <v>#VALUE!</v>
      </c>
    </row>
    <row r="3104" spans="1:9" ht="15.75" customHeight="1">
      <c r="A3104" s="26"/>
      <c r="B3104" s="2"/>
      <c r="C3104" s="26"/>
      <c r="D3104" s="26"/>
      <c r="F3104" s="85" t="str">
        <f t="shared" si="0"/>
        <v/>
      </c>
      <c r="G3104" s="1" t="e">
        <f>IF(VALUE(F3104) = VALUE(RIGHT(Insights!$C$3, 4)), E3104, "")</f>
        <v>#VALUE!</v>
      </c>
      <c r="H3104" s="26" t="e">
        <f t="shared" si="1"/>
        <v>#VALUE!</v>
      </c>
      <c r="I3104" s="1" t="e">
        <f t="shared" si="2"/>
        <v>#VALUE!</v>
      </c>
    </row>
    <row r="3105" spans="1:9" ht="15.75" customHeight="1">
      <c r="A3105" s="26"/>
      <c r="B3105" s="2"/>
      <c r="C3105" s="26"/>
      <c r="D3105" s="26"/>
      <c r="F3105" s="85" t="str">
        <f t="shared" si="0"/>
        <v/>
      </c>
      <c r="G3105" s="1" t="e">
        <f>IF(VALUE(F3105) = VALUE(RIGHT(Insights!$C$3, 4)), E3105, "")</f>
        <v>#VALUE!</v>
      </c>
      <c r="H3105" s="26" t="e">
        <f t="shared" si="1"/>
        <v>#VALUE!</v>
      </c>
      <c r="I3105" s="1" t="e">
        <f t="shared" si="2"/>
        <v>#VALUE!</v>
      </c>
    </row>
    <row r="3106" spans="1:9" ht="15.75" customHeight="1">
      <c r="A3106" s="26"/>
      <c r="B3106" s="2"/>
      <c r="C3106" s="26"/>
      <c r="D3106" s="26"/>
      <c r="F3106" s="85" t="str">
        <f t="shared" si="0"/>
        <v/>
      </c>
      <c r="G3106" s="1" t="e">
        <f>IF(VALUE(F3106) = VALUE(RIGHT(Insights!$C$3, 4)), E3106, "")</f>
        <v>#VALUE!</v>
      </c>
      <c r="H3106" s="26" t="e">
        <f t="shared" si="1"/>
        <v>#VALUE!</v>
      </c>
      <c r="I3106" s="1" t="e">
        <f t="shared" si="2"/>
        <v>#VALUE!</v>
      </c>
    </row>
    <row r="3107" spans="1:9" ht="15.75" customHeight="1">
      <c r="A3107" s="26"/>
      <c r="B3107" s="2"/>
      <c r="C3107" s="26"/>
      <c r="D3107" s="26"/>
      <c r="F3107" s="85" t="str">
        <f t="shared" si="0"/>
        <v/>
      </c>
      <c r="G3107" s="1" t="e">
        <f>IF(VALUE(F3107) = VALUE(RIGHT(Insights!$C$3, 4)), E3107, "")</f>
        <v>#VALUE!</v>
      </c>
      <c r="H3107" s="26" t="e">
        <f t="shared" si="1"/>
        <v>#VALUE!</v>
      </c>
      <c r="I3107" s="1" t="e">
        <f t="shared" si="2"/>
        <v>#VALUE!</v>
      </c>
    </row>
    <row r="3108" spans="1:9" ht="15.75" customHeight="1">
      <c r="A3108" s="26"/>
      <c r="B3108" s="2"/>
      <c r="C3108" s="26"/>
      <c r="D3108" s="26"/>
      <c r="F3108" s="85" t="str">
        <f t="shared" si="0"/>
        <v/>
      </c>
      <c r="G3108" s="1" t="e">
        <f>IF(VALUE(F3108) = VALUE(RIGHT(Insights!$C$3, 4)), E3108, "")</f>
        <v>#VALUE!</v>
      </c>
      <c r="H3108" s="26" t="e">
        <f t="shared" si="1"/>
        <v>#VALUE!</v>
      </c>
      <c r="I3108" s="1" t="e">
        <f t="shared" si="2"/>
        <v>#VALUE!</v>
      </c>
    </row>
    <row r="3109" spans="1:9" ht="15.75" customHeight="1">
      <c r="A3109" s="26"/>
      <c r="B3109" s="2"/>
      <c r="C3109" s="26"/>
      <c r="D3109" s="26"/>
      <c r="F3109" s="85" t="str">
        <f t="shared" si="0"/>
        <v/>
      </c>
      <c r="G3109" s="1" t="e">
        <f>IF(VALUE(F3109) = VALUE(RIGHT(Insights!$C$3, 4)), E3109, "")</f>
        <v>#VALUE!</v>
      </c>
      <c r="H3109" s="26" t="e">
        <f t="shared" si="1"/>
        <v>#VALUE!</v>
      </c>
      <c r="I3109" s="1" t="e">
        <f t="shared" si="2"/>
        <v>#VALUE!</v>
      </c>
    </row>
    <row r="3110" spans="1:9" ht="15.75" customHeight="1">
      <c r="A3110" s="26"/>
      <c r="B3110" s="2"/>
      <c r="C3110" s="26"/>
      <c r="D3110" s="26"/>
      <c r="F3110" s="85" t="str">
        <f t="shared" si="0"/>
        <v/>
      </c>
      <c r="G3110" s="1" t="e">
        <f>IF(VALUE(F3110) = VALUE(RIGHT(Insights!$C$3, 4)), E3110, "")</f>
        <v>#VALUE!</v>
      </c>
      <c r="H3110" s="26" t="e">
        <f t="shared" si="1"/>
        <v>#VALUE!</v>
      </c>
      <c r="I3110" s="1" t="e">
        <f t="shared" si="2"/>
        <v>#VALUE!</v>
      </c>
    </row>
    <row r="3111" spans="1:9" ht="15.75" customHeight="1">
      <c r="A3111" s="26"/>
      <c r="B3111" s="2"/>
      <c r="C3111" s="26"/>
      <c r="D3111" s="26"/>
      <c r="F3111" s="85" t="str">
        <f t="shared" si="0"/>
        <v/>
      </c>
      <c r="G3111" s="1" t="e">
        <f>IF(VALUE(F3111) = VALUE(RIGHT(Insights!$C$3, 4)), E3111, "")</f>
        <v>#VALUE!</v>
      </c>
      <c r="H3111" s="26" t="e">
        <f t="shared" si="1"/>
        <v>#VALUE!</v>
      </c>
      <c r="I3111" s="1" t="e">
        <f t="shared" si="2"/>
        <v>#VALUE!</v>
      </c>
    </row>
    <row r="3112" spans="1:9" ht="15.75" customHeight="1">
      <c r="A3112" s="26"/>
      <c r="B3112" s="2"/>
      <c r="C3112" s="26"/>
      <c r="D3112" s="26"/>
      <c r="F3112" s="85" t="str">
        <f t="shared" si="0"/>
        <v/>
      </c>
      <c r="G3112" s="1" t="e">
        <f>IF(VALUE(F3112) = VALUE(RIGHT(Insights!$C$3, 4)), E3112, "")</f>
        <v>#VALUE!</v>
      </c>
      <c r="H3112" s="26" t="e">
        <f t="shared" si="1"/>
        <v>#VALUE!</v>
      </c>
      <c r="I3112" s="1" t="e">
        <f t="shared" si="2"/>
        <v>#VALUE!</v>
      </c>
    </row>
    <row r="3113" spans="1:9" ht="15.75" customHeight="1">
      <c r="A3113" s="26"/>
      <c r="B3113" s="2"/>
      <c r="C3113" s="26"/>
      <c r="D3113" s="26"/>
      <c r="F3113" s="85" t="str">
        <f t="shared" si="0"/>
        <v/>
      </c>
      <c r="G3113" s="1" t="e">
        <f>IF(VALUE(F3113) = VALUE(RIGHT(Insights!$C$3, 4)), E3113, "")</f>
        <v>#VALUE!</v>
      </c>
      <c r="H3113" s="26" t="e">
        <f t="shared" si="1"/>
        <v>#VALUE!</v>
      </c>
      <c r="I3113" s="1" t="e">
        <f t="shared" si="2"/>
        <v>#VALUE!</v>
      </c>
    </row>
    <row r="3114" spans="1:9" ht="15.75" customHeight="1">
      <c r="A3114" s="26"/>
      <c r="B3114" s="2"/>
      <c r="C3114" s="26"/>
      <c r="D3114" s="26"/>
      <c r="F3114" s="85" t="str">
        <f t="shared" si="0"/>
        <v/>
      </c>
      <c r="G3114" s="1" t="e">
        <f>IF(VALUE(F3114) = VALUE(RIGHT(Insights!$C$3, 4)), E3114, "")</f>
        <v>#VALUE!</v>
      </c>
      <c r="H3114" s="26" t="e">
        <f t="shared" si="1"/>
        <v>#VALUE!</v>
      </c>
      <c r="I3114" s="1" t="e">
        <f t="shared" si="2"/>
        <v>#VALUE!</v>
      </c>
    </row>
    <row r="3115" spans="1:9" ht="15.75" customHeight="1">
      <c r="A3115" s="26"/>
      <c r="B3115" s="2"/>
      <c r="C3115" s="26"/>
      <c r="D3115" s="26"/>
      <c r="F3115" s="85" t="str">
        <f t="shared" si="0"/>
        <v/>
      </c>
      <c r="G3115" s="1" t="e">
        <f>IF(VALUE(F3115) = VALUE(RIGHT(Insights!$C$3, 4)), E3115, "")</f>
        <v>#VALUE!</v>
      </c>
      <c r="H3115" s="26" t="e">
        <f t="shared" si="1"/>
        <v>#VALUE!</v>
      </c>
      <c r="I3115" s="1" t="e">
        <f t="shared" si="2"/>
        <v>#VALUE!</v>
      </c>
    </row>
    <row r="3116" spans="1:9" ht="15.75" customHeight="1">
      <c r="A3116" s="26"/>
      <c r="B3116" s="2"/>
      <c r="C3116" s="26"/>
      <c r="D3116" s="26"/>
      <c r="F3116" s="85" t="str">
        <f t="shared" si="0"/>
        <v/>
      </c>
      <c r="G3116" s="1" t="e">
        <f>IF(VALUE(F3116) = VALUE(RIGHT(Insights!$C$3, 4)), E3116, "")</f>
        <v>#VALUE!</v>
      </c>
      <c r="H3116" s="26" t="e">
        <f t="shared" si="1"/>
        <v>#VALUE!</v>
      </c>
      <c r="I3116" s="1" t="e">
        <f t="shared" si="2"/>
        <v>#VALUE!</v>
      </c>
    </row>
    <row r="3117" spans="1:9" ht="15.75" customHeight="1">
      <c r="A3117" s="26"/>
      <c r="B3117" s="2"/>
      <c r="C3117" s="26"/>
      <c r="D3117" s="26"/>
      <c r="F3117" s="85" t="str">
        <f t="shared" si="0"/>
        <v/>
      </c>
      <c r="G3117" s="1" t="e">
        <f>IF(VALUE(F3117) = VALUE(RIGHT(Insights!$C$3, 4)), E3117, "")</f>
        <v>#VALUE!</v>
      </c>
      <c r="H3117" s="26" t="e">
        <f t="shared" si="1"/>
        <v>#VALUE!</v>
      </c>
      <c r="I3117" s="1" t="e">
        <f t="shared" si="2"/>
        <v>#VALUE!</v>
      </c>
    </row>
    <row r="3118" spans="1:9" ht="15.75" customHeight="1">
      <c r="A3118" s="26"/>
      <c r="B3118" s="2"/>
      <c r="C3118" s="26"/>
      <c r="D3118" s="26"/>
      <c r="F3118" s="85" t="str">
        <f t="shared" si="0"/>
        <v/>
      </c>
      <c r="G3118" s="1" t="e">
        <f>IF(VALUE(F3118) = VALUE(RIGHT(Insights!$C$3, 4)), E3118, "")</f>
        <v>#VALUE!</v>
      </c>
      <c r="H3118" s="26" t="e">
        <f t="shared" si="1"/>
        <v>#VALUE!</v>
      </c>
      <c r="I3118" s="1" t="e">
        <f t="shared" si="2"/>
        <v>#VALUE!</v>
      </c>
    </row>
    <row r="3119" spans="1:9" ht="15.75" customHeight="1">
      <c r="A3119" s="26"/>
      <c r="B3119" s="2"/>
      <c r="C3119" s="26"/>
      <c r="D3119" s="26"/>
      <c r="F3119" s="85" t="str">
        <f t="shared" si="0"/>
        <v/>
      </c>
      <c r="G3119" s="1" t="e">
        <f>IF(VALUE(F3119) = VALUE(RIGHT(Insights!$C$3, 4)), E3119, "")</f>
        <v>#VALUE!</v>
      </c>
      <c r="H3119" s="26" t="e">
        <f t="shared" si="1"/>
        <v>#VALUE!</v>
      </c>
      <c r="I3119" s="1" t="e">
        <f t="shared" si="2"/>
        <v>#VALUE!</v>
      </c>
    </row>
    <row r="3120" spans="1:9" ht="15.75" customHeight="1">
      <c r="A3120" s="26"/>
      <c r="B3120" s="2"/>
      <c r="C3120" s="26"/>
      <c r="D3120" s="26"/>
      <c r="F3120" s="85" t="str">
        <f t="shared" si="0"/>
        <v/>
      </c>
      <c r="G3120" s="1" t="e">
        <f>IF(VALUE(F3120) = VALUE(RIGHT(Insights!$C$3, 4)), E3120, "")</f>
        <v>#VALUE!</v>
      </c>
      <c r="H3120" s="26" t="e">
        <f t="shared" si="1"/>
        <v>#VALUE!</v>
      </c>
      <c r="I3120" s="1" t="e">
        <f t="shared" si="2"/>
        <v>#VALUE!</v>
      </c>
    </row>
    <row r="3121" spans="1:9" ht="15.75" customHeight="1">
      <c r="A3121" s="26"/>
      <c r="B3121" s="2"/>
      <c r="C3121" s="26"/>
      <c r="D3121" s="26"/>
      <c r="F3121" s="85" t="str">
        <f t="shared" si="0"/>
        <v/>
      </c>
      <c r="G3121" s="1" t="e">
        <f>IF(VALUE(F3121) = VALUE(RIGHT(Insights!$C$3, 4)), E3121, "")</f>
        <v>#VALUE!</v>
      </c>
      <c r="H3121" s="26" t="e">
        <f t="shared" si="1"/>
        <v>#VALUE!</v>
      </c>
      <c r="I3121" s="1" t="e">
        <f t="shared" si="2"/>
        <v>#VALUE!</v>
      </c>
    </row>
    <row r="3122" spans="1:9" ht="15.75" customHeight="1">
      <c r="A3122" s="26"/>
      <c r="B3122" s="2"/>
      <c r="C3122" s="26"/>
      <c r="D3122" s="26"/>
      <c r="F3122" s="85" t="str">
        <f t="shared" si="0"/>
        <v/>
      </c>
      <c r="G3122" s="1" t="e">
        <f>IF(VALUE(F3122) = VALUE(RIGHT(Insights!$C$3, 4)), E3122, "")</f>
        <v>#VALUE!</v>
      </c>
      <c r="H3122" s="26" t="e">
        <f t="shared" si="1"/>
        <v>#VALUE!</v>
      </c>
      <c r="I3122" s="1" t="e">
        <f t="shared" si="2"/>
        <v>#VALUE!</v>
      </c>
    </row>
    <row r="3123" spans="1:9" ht="15.75" customHeight="1">
      <c r="A3123" s="26"/>
      <c r="B3123" s="2"/>
      <c r="C3123" s="26"/>
      <c r="D3123" s="26"/>
      <c r="F3123" s="85" t="str">
        <f t="shared" si="0"/>
        <v/>
      </c>
      <c r="G3123" s="1" t="e">
        <f>IF(VALUE(F3123) = VALUE(RIGHT(Insights!$C$3, 4)), E3123, "")</f>
        <v>#VALUE!</v>
      </c>
      <c r="H3123" s="26" t="e">
        <f t="shared" si="1"/>
        <v>#VALUE!</v>
      </c>
      <c r="I3123" s="1" t="e">
        <f t="shared" si="2"/>
        <v>#VALUE!</v>
      </c>
    </row>
    <row r="3124" spans="1:9" ht="15.75" customHeight="1">
      <c r="A3124" s="26"/>
      <c r="B3124" s="2"/>
      <c r="C3124" s="26"/>
      <c r="D3124" s="26"/>
      <c r="F3124" s="85" t="str">
        <f t="shared" si="0"/>
        <v/>
      </c>
      <c r="G3124" s="1" t="e">
        <f>IF(VALUE(F3124) = VALUE(RIGHT(Insights!$C$3, 4)), E3124, "")</f>
        <v>#VALUE!</v>
      </c>
      <c r="H3124" s="26" t="e">
        <f t="shared" si="1"/>
        <v>#VALUE!</v>
      </c>
      <c r="I3124" s="1" t="e">
        <f t="shared" si="2"/>
        <v>#VALUE!</v>
      </c>
    </row>
    <row r="3125" spans="1:9" ht="15.75" customHeight="1">
      <c r="A3125" s="26"/>
      <c r="B3125" s="2"/>
      <c r="C3125" s="26"/>
      <c r="D3125" s="26"/>
      <c r="F3125" s="85" t="str">
        <f t="shared" si="0"/>
        <v/>
      </c>
      <c r="G3125" s="1" t="e">
        <f>IF(VALUE(F3125) = VALUE(RIGHT(Insights!$C$3, 4)), E3125, "")</f>
        <v>#VALUE!</v>
      </c>
      <c r="H3125" s="26" t="e">
        <f t="shared" si="1"/>
        <v>#VALUE!</v>
      </c>
      <c r="I3125" s="1" t="e">
        <f t="shared" si="2"/>
        <v>#VALUE!</v>
      </c>
    </row>
    <row r="3126" spans="1:9" ht="15.75" customHeight="1">
      <c r="A3126" s="26"/>
      <c r="B3126" s="2"/>
      <c r="C3126" s="26"/>
      <c r="D3126" s="26"/>
      <c r="F3126" s="85" t="str">
        <f t="shared" si="0"/>
        <v/>
      </c>
      <c r="G3126" s="1" t="e">
        <f>IF(VALUE(F3126) = VALUE(RIGHT(Insights!$C$3, 4)), E3126, "")</f>
        <v>#VALUE!</v>
      </c>
      <c r="H3126" s="26" t="e">
        <f t="shared" si="1"/>
        <v>#VALUE!</v>
      </c>
      <c r="I3126" s="1" t="e">
        <f t="shared" si="2"/>
        <v>#VALUE!</v>
      </c>
    </row>
    <row r="3127" spans="1:9" ht="15.75" customHeight="1">
      <c r="A3127" s="26"/>
      <c r="B3127" s="2"/>
      <c r="C3127" s="26"/>
      <c r="D3127" s="26"/>
      <c r="F3127" s="85" t="str">
        <f t="shared" si="0"/>
        <v/>
      </c>
      <c r="G3127" s="1" t="e">
        <f>IF(VALUE(F3127) = VALUE(RIGHT(Insights!$C$3, 4)), E3127, "")</f>
        <v>#VALUE!</v>
      </c>
      <c r="H3127" s="26" t="e">
        <f t="shared" si="1"/>
        <v>#VALUE!</v>
      </c>
      <c r="I3127" s="1" t="e">
        <f t="shared" si="2"/>
        <v>#VALUE!</v>
      </c>
    </row>
    <row r="3128" spans="1:9" ht="15.75" customHeight="1">
      <c r="A3128" s="26"/>
      <c r="B3128" s="2"/>
      <c r="C3128" s="26"/>
      <c r="D3128" s="26"/>
      <c r="F3128" s="85" t="str">
        <f t="shared" si="0"/>
        <v/>
      </c>
      <c r="G3128" s="1" t="e">
        <f>IF(VALUE(F3128) = VALUE(RIGHT(Insights!$C$3, 4)), E3128, "")</f>
        <v>#VALUE!</v>
      </c>
      <c r="H3128" s="26" t="e">
        <f t="shared" si="1"/>
        <v>#VALUE!</v>
      </c>
      <c r="I3128" s="1" t="e">
        <f t="shared" si="2"/>
        <v>#VALUE!</v>
      </c>
    </row>
    <row r="3129" spans="1:9" ht="15.75" customHeight="1">
      <c r="A3129" s="26"/>
      <c r="B3129" s="2"/>
      <c r="C3129" s="26"/>
      <c r="D3129" s="26"/>
      <c r="F3129" s="85" t="str">
        <f t="shared" si="0"/>
        <v/>
      </c>
      <c r="G3129" s="1" t="e">
        <f>IF(VALUE(F3129) = VALUE(RIGHT(Insights!$C$3, 4)), E3129, "")</f>
        <v>#VALUE!</v>
      </c>
      <c r="H3129" s="26" t="e">
        <f t="shared" si="1"/>
        <v>#VALUE!</v>
      </c>
      <c r="I3129" s="1" t="e">
        <f t="shared" si="2"/>
        <v>#VALUE!</v>
      </c>
    </row>
    <row r="3130" spans="1:9" ht="15.75" customHeight="1">
      <c r="A3130" s="26"/>
      <c r="B3130" s="2"/>
      <c r="C3130" s="26"/>
      <c r="D3130" s="26"/>
      <c r="F3130" s="85" t="str">
        <f t="shared" si="0"/>
        <v/>
      </c>
      <c r="G3130" s="1" t="e">
        <f>IF(VALUE(F3130) = VALUE(RIGHT(Insights!$C$3, 4)), E3130, "")</f>
        <v>#VALUE!</v>
      </c>
      <c r="H3130" s="26" t="e">
        <f t="shared" si="1"/>
        <v>#VALUE!</v>
      </c>
      <c r="I3130" s="1" t="e">
        <f t="shared" si="2"/>
        <v>#VALUE!</v>
      </c>
    </row>
    <row r="3131" spans="1:9" ht="15.75" customHeight="1">
      <c r="A3131" s="26"/>
      <c r="B3131" s="2"/>
      <c r="C3131" s="26"/>
      <c r="D3131" s="26"/>
      <c r="F3131" s="85" t="str">
        <f t="shared" si="0"/>
        <v/>
      </c>
      <c r="G3131" s="1" t="e">
        <f>IF(VALUE(F3131) = VALUE(RIGHT(Insights!$C$3, 4)), E3131, "")</f>
        <v>#VALUE!</v>
      </c>
      <c r="H3131" s="26" t="e">
        <f t="shared" si="1"/>
        <v>#VALUE!</v>
      </c>
      <c r="I3131" s="1" t="e">
        <f t="shared" si="2"/>
        <v>#VALUE!</v>
      </c>
    </row>
    <row r="3132" spans="1:9" ht="15.75" customHeight="1">
      <c r="A3132" s="26"/>
      <c r="B3132" s="2"/>
      <c r="C3132" s="26"/>
      <c r="D3132" s="26"/>
      <c r="F3132" s="85" t="str">
        <f t="shared" si="0"/>
        <v/>
      </c>
      <c r="G3132" s="1" t="e">
        <f>IF(VALUE(F3132) = VALUE(RIGHT(Insights!$C$3, 4)), E3132, "")</f>
        <v>#VALUE!</v>
      </c>
      <c r="H3132" s="26" t="e">
        <f t="shared" si="1"/>
        <v>#VALUE!</v>
      </c>
      <c r="I3132" s="1" t="e">
        <f t="shared" si="2"/>
        <v>#VALUE!</v>
      </c>
    </row>
    <row r="3133" spans="1:9" ht="15.75" customHeight="1">
      <c r="A3133" s="26"/>
      <c r="B3133" s="2"/>
      <c r="C3133" s="26"/>
      <c r="D3133" s="26"/>
      <c r="F3133" s="85" t="str">
        <f t="shared" si="0"/>
        <v/>
      </c>
      <c r="G3133" s="1" t="e">
        <f>IF(VALUE(F3133) = VALUE(RIGHT(Insights!$C$3, 4)), E3133, "")</f>
        <v>#VALUE!</v>
      </c>
      <c r="H3133" s="26" t="e">
        <f t="shared" si="1"/>
        <v>#VALUE!</v>
      </c>
      <c r="I3133" s="1" t="e">
        <f t="shared" si="2"/>
        <v>#VALUE!</v>
      </c>
    </row>
    <row r="3134" spans="1:9" ht="15.75" customHeight="1">
      <c r="A3134" s="26"/>
      <c r="B3134" s="2"/>
      <c r="C3134" s="26"/>
      <c r="D3134" s="26"/>
      <c r="F3134" s="85" t="str">
        <f t="shared" si="0"/>
        <v/>
      </c>
      <c r="G3134" s="1" t="e">
        <f>IF(VALUE(F3134) = VALUE(RIGHT(Insights!$C$3, 4)), E3134, "")</f>
        <v>#VALUE!</v>
      </c>
      <c r="H3134" s="26" t="e">
        <f t="shared" si="1"/>
        <v>#VALUE!</v>
      </c>
      <c r="I3134" s="1" t="e">
        <f t="shared" si="2"/>
        <v>#VALUE!</v>
      </c>
    </row>
    <row r="3135" spans="1:9" ht="15.75" customHeight="1">
      <c r="A3135" s="26"/>
      <c r="B3135" s="2"/>
      <c r="C3135" s="26"/>
      <c r="D3135" s="26"/>
      <c r="F3135" s="85" t="str">
        <f t="shared" si="0"/>
        <v/>
      </c>
      <c r="G3135" s="1" t="e">
        <f>IF(VALUE(F3135) = VALUE(RIGHT(Insights!$C$3, 4)), E3135, "")</f>
        <v>#VALUE!</v>
      </c>
      <c r="H3135" s="26" t="e">
        <f t="shared" si="1"/>
        <v>#VALUE!</v>
      </c>
      <c r="I3135" s="1" t="e">
        <f t="shared" si="2"/>
        <v>#VALUE!</v>
      </c>
    </row>
    <row r="3136" spans="1:9" ht="15.75" customHeight="1">
      <c r="A3136" s="26"/>
      <c r="B3136" s="2"/>
      <c r="C3136" s="26"/>
      <c r="D3136" s="26"/>
      <c r="F3136" s="85" t="str">
        <f t="shared" si="0"/>
        <v/>
      </c>
      <c r="G3136" s="1" t="e">
        <f>IF(VALUE(F3136) = VALUE(RIGHT(Insights!$C$3, 4)), E3136, "")</f>
        <v>#VALUE!</v>
      </c>
      <c r="H3136" s="26" t="e">
        <f t="shared" si="1"/>
        <v>#VALUE!</v>
      </c>
      <c r="I3136" s="1" t="e">
        <f t="shared" si="2"/>
        <v>#VALUE!</v>
      </c>
    </row>
    <row r="3137" spans="1:9" ht="15.75" customHeight="1">
      <c r="A3137" s="26"/>
      <c r="B3137" s="2"/>
      <c r="C3137" s="26"/>
      <c r="D3137" s="26"/>
      <c r="F3137" s="85" t="str">
        <f t="shared" si="0"/>
        <v/>
      </c>
      <c r="G3137" s="1" t="e">
        <f>IF(VALUE(F3137) = VALUE(RIGHT(Insights!$C$3, 4)), E3137, "")</f>
        <v>#VALUE!</v>
      </c>
      <c r="H3137" s="26" t="e">
        <f t="shared" si="1"/>
        <v>#VALUE!</v>
      </c>
      <c r="I3137" s="1" t="e">
        <f t="shared" si="2"/>
        <v>#VALUE!</v>
      </c>
    </row>
    <row r="3138" spans="1:9" ht="15.75" customHeight="1">
      <c r="A3138" s="26"/>
      <c r="B3138" s="2"/>
      <c r="C3138" s="26"/>
      <c r="D3138" s="26"/>
      <c r="F3138" s="85" t="str">
        <f t="shared" si="0"/>
        <v/>
      </c>
      <c r="G3138" s="1" t="e">
        <f>IF(VALUE(F3138) = VALUE(RIGHT(Insights!$C$3, 4)), E3138, "")</f>
        <v>#VALUE!</v>
      </c>
      <c r="H3138" s="26" t="e">
        <f t="shared" si="1"/>
        <v>#VALUE!</v>
      </c>
      <c r="I3138" s="1" t="e">
        <f t="shared" si="2"/>
        <v>#VALUE!</v>
      </c>
    </row>
    <row r="3139" spans="1:9" ht="15.75" customHeight="1">
      <c r="A3139" s="26"/>
      <c r="B3139" s="2"/>
      <c r="C3139" s="26"/>
      <c r="D3139" s="26"/>
      <c r="F3139" s="85" t="str">
        <f t="shared" si="0"/>
        <v/>
      </c>
      <c r="G3139" s="1" t="e">
        <f>IF(VALUE(F3139) = VALUE(RIGHT(Insights!$C$3, 4)), E3139, "")</f>
        <v>#VALUE!</v>
      </c>
      <c r="H3139" s="26" t="e">
        <f t="shared" si="1"/>
        <v>#VALUE!</v>
      </c>
      <c r="I3139" s="1" t="e">
        <f t="shared" si="2"/>
        <v>#VALUE!</v>
      </c>
    </row>
    <row r="3140" spans="1:9" ht="15.75" customHeight="1">
      <c r="A3140" s="26"/>
      <c r="B3140" s="2"/>
      <c r="C3140" s="26"/>
      <c r="D3140" s="26"/>
      <c r="F3140" s="85" t="str">
        <f t="shared" si="0"/>
        <v/>
      </c>
      <c r="G3140" s="1" t="e">
        <f>IF(VALUE(F3140) = VALUE(RIGHT(Insights!$C$3, 4)), E3140, "")</f>
        <v>#VALUE!</v>
      </c>
      <c r="H3140" s="26" t="e">
        <f t="shared" si="1"/>
        <v>#VALUE!</v>
      </c>
      <c r="I3140" s="1" t="e">
        <f t="shared" si="2"/>
        <v>#VALUE!</v>
      </c>
    </row>
    <row r="3141" spans="1:9" ht="15.75" customHeight="1">
      <c r="A3141" s="26"/>
      <c r="B3141" s="2"/>
      <c r="C3141" s="26"/>
      <c r="D3141" s="26"/>
      <c r="F3141" s="85" t="str">
        <f t="shared" si="0"/>
        <v/>
      </c>
      <c r="G3141" s="1" t="e">
        <f>IF(VALUE(F3141) = VALUE(RIGHT(Insights!$C$3, 4)), E3141, "")</f>
        <v>#VALUE!</v>
      </c>
      <c r="H3141" s="26" t="e">
        <f t="shared" si="1"/>
        <v>#VALUE!</v>
      </c>
      <c r="I3141" s="1" t="e">
        <f t="shared" si="2"/>
        <v>#VALUE!</v>
      </c>
    </row>
    <row r="3142" spans="1:9" ht="15.75" customHeight="1">
      <c r="A3142" s="26"/>
      <c r="B3142" s="2"/>
      <c r="C3142" s="26"/>
      <c r="D3142" s="26"/>
      <c r="F3142" s="85" t="str">
        <f t="shared" si="0"/>
        <v/>
      </c>
      <c r="G3142" s="1" t="e">
        <f>IF(VALUE(F3142) = VALUE(RIGHT(Insights!$C$3, 4)), E3142, "")</f>
        <v>#VALUE!</v>
      </c>
      <c r="H3142" s="26" t="e">
        <f t="shared" si="1"/>
        <v>#VALUE!</v>
      </c>
      <c r="I3142" s="1" t="e">
        <f t="shared" si="2"/>
        <v>#VALUE!</v>
      </c>
    </row>
    <row r="3143" spans="1:9" ht="15.75" customHeight="1">
      <c r="A3143" s="26"/>
      <c r="B3143" s="2"/>
      <c r="C3143" s="26"/>
      <c r="D3143" s="26"/>
      <c r="F3143" s="85" t="str">
        <f t="shared" si="0"/>
        <v/>
      </c>
      <c r="G3143" s="1" t="e">
        <f>IF(VALUE(F3143) = VALUE(RIGHT(Insights!$C$3, 4)), E3143, "")</f>
        <v>#VALUE!</v>
      </c>
      <c r="H3143" s="26" t="e">
        <f t="shared" si="1"/>
        <v>#VALUE!</v>
      </c>
      <c r="I3143" s="1" t="e">
        <f t="shared" si="2"/>
        <v>#VALUE!</v>
      </c>
    </row>
    <row r="3144" spans="1:9" ht="15.75" customHeight="1">
      <c r="A3144" s="26"/>
      <c r="B3144" s="2"/>
      <c r="C3144" s="26"/>
      <c r="D3144" s="26"/>
      <c r="F3144" s="85" t="str">
        <f t="shared" si="0"/>
        <v/>
      </c>
      <c r="G3144" s="1" t="e">
        <f>IF(VALUE(F3144) = VALUE(RIGHT(Insights!$C$3, 4)), E3144, "")</f>
        <v>#VALUE!</v>
      </c>
      <c r="H3144" s="26" t="e">
        <f t="shared" si="1"/>
        <v>#VALUE!</v>
      </c>
      <c r="I3144" s="1" t="e">
        <f t="shared" si="2"/>
        <v>#VALUE!</v>
      </c>
    </row>
    <row r="3145" spans="1:9" ht="15.75" customHeight="1">
      <c r="A3145" s="26"/>
      <c r="B3145" s="2"/>
      <c r="C3145" s="26"/>
      <c r="D3145" s="26"/>
      <c r="F3145" s="85" t="str">
        <f t="shared" si="0"/>
        <v/>
      </c>
      <c r="G3145" s="1" t="e">
        <f>IF(VALUE(F3145) = VALUE(RIGHT(Insights!$C$3, 4)), E3145, "")</f>
        <v>#VALUE!</v>
      </c>
      <c r="H3145" s="26" t="e">
        <f t="shared" si="1"/>
        <v>#VALUE!</v>
      </c>
      <c r="I3145" s="1" t="e">
        <f t="shared" si="2"/>
        <v>#VALUE!</v>
      </c>
    </row>
    <row r="3146" spans="1:9" ht="15.75" customHeight="1">
      <c r="A3146" s="26"/>
      <c r="B3146" s="2"/>
      <c r="C3146" s="26"/>
      <c r="D3146" s="26"/>
      <c r="F3146" s="85" t="str">
        <f t="shared" si="0"/>
        <v/>
      </c>
      <c r="G3146" s="1" t="e">
        <f>IF(VALUE(F3146) = VALUE(RIGHT(Insights!$C$3, 4)), E3146, "")</f>
        <v>#VALUE!</v>
      </c>
      <c r="H3146" s="26" t="e">
        <f t="shared" si="1"/>
        <v>#VALUE!</v>
      </c>
      <c r="I3146" s="1" t="e">
        <f t="shared" si="2"/>
        <v>#VALUE!</v>
      </c>
    </row>
    <row r="3147" spans="1:9" ht="15.75" customHeight="1">
      <c r="A3147" s="26"/>
      <c r="B3147" s="2"/>
      <c r="C3147" s="26"/>
      <c r="D3147" s="26"/>
      <c r="F3147" s="85" t="str">
        <f t="shared" si="0"/>
        <v/>
      </c>
      <c r="G3147" s="1" t="e">
        <f>IF(VALUE(F3147) = VALUE(RIGHT(Insights!$C$3, 4)), E3147, "")</f>
        <v>#VALUE!</v>
      </c>
      <c r="H3147" s="26" t="e">
        <f t="shared" si="1"/>
        <v>#VALUE!</v>
      </c>
      <c r="I3147" s="1" t="e">
        <f t="shared" si="2"/>
        <v>#VALUE!</v>
      </c>
    </row>
    <row r="3148" spans="1:9" ht="15.75" customHeight="1">
      <c r="A3148" s="26"/>
      <c r="B3148" s="2"/>
      <c r="C3148" s="26"/>
      <c r="D3148" s="26"/>
      <c r="F3148" s="85" t="str">
        <f t="shared" si="0"/>
        <v/>
      </c>
      <c r="G3148" s="1" t="e">
        <f>IF(VALUE(F3148) = VALUE(RIGHT(Insights!$C$3, 4)), E3148, "")</f>
        <v>#VALUE!</v>
      </c>
      <c r="H3148" s="26" t="e">
        <f t="shared" si="1"/>
        <v>#VALUE!</v>
      </c>
      <c r="I3148" s="1" t="e">
        <f t="shared" si="2"/>
        <v>#VALUE!</v>
      </c>
    </row>
    <row r="3149" spans="1:9" ht="15.75" customHeight="1">
      <c r="A3149" s="26"/>
      <c r="B3149" s="2"/>
      <c r="C3149" s="26"/>
      <c r="D3149" s="26"/>
      <c r="F3149" s="85" t="str">
        <f t="shared" si="0"/>
        <v/>
      </c>
      <c r="G3149" s="1" t="e">
        <f>IF(VALUE(F3149) = VALUE(RIGHT(Insights!$C$3, 4)), E3149, "")</f>
        <v>#VALUE!</v>
      </c>
      <c r="H3149" s="26" t="e">
        <f t="shared" si="1"/>
        <v>#VALUE!</v>
      </c>
      <c r="I3149" s="1" t="e">
        <f t="shared" si="2"/>
        <v>#VALUE!</v>
      </c>
    </row>
    <row r="3150" spans="1:9" ht="15.75" customHeight="1">
      <c r="A3150" s="26"/>
      <c r="B3150" s="2"/>
      <c r="C3150" s="26"/>
      <c r="D3150" s="26"/>
      <c r="F3150" s="85" t="str">
        <f t="shared" si="0"/>
        <v/>
      </c>
      <c r="G3150" s="1" t="e">
        <f>IF(VALUE(F3150) = VALUE(RIGHT(Insights!$C$3, 4)), E3150, "")</f>
        <v>#VALUE!</v>
      </c>
      <c r="H3150" s="26" t="e">
        <f t="shared" si="1"/>
        <v>#VALUE!</v>
      </c>
      <c r="I3150" s="1" t="e">
        <f t="shared" si="2"/>
        <v>#VALUE!</v>
      </c>
    </row>
    <row r="3151" spans="1:9" ht="15.75" customHeight="1">
      <c r="A3151" s="26"/>
      <c r="B3151" s="2"/>
      <c r="C3151" s="26"/>
      <c r="D3151" s="26"/>
      <c r="F3151" s="85" t="str">
        <f t="shared" si="0"/>
        <v/>
      </c>
      <c r="G3151" s="1" t="e">
        <f>IF(VALUE(F3151) = VALUE(RIGHT(Insights!$C$3, 4)), E3151, "")</f>
        <v>#VALUE!</v>
      </c>
      <c r="H3151" s="26" t="e">
        <f t="shared" si="1"/>
        <v>#VALUE!</v>
      </c>
      <c r="I3151" s="1" t="e">
        <f t="shared" si="2"/>
        <v>#VALUE!</v>
      </c>
    </row>
    <row r="3152" spans="1:9" ht="15.75" customHeight="1">
      <c r="A3152" s="26"/>
      <c r="B3152" s="2"/>
      <c r="C3152" s="26"/>
      <c r="D3152" s="26"/>
      <c r="F3152" s="85" t="str">
        <f t="shared" si="0"/>
        <v/>
      </c>
      <c r="G3152" s="1" t="e">
        <f>IF(VALUE(F3152) = VALUE(RIGHT(Insights!$C$3, 4)), E3152, "")</f>
        <v>#VALUE!</v>
      </c>
      <c r="H3152" s="26" t="e">
        <f t="shared" si="1"/>
        <v>#VALUE!</v>
      </c>
      <c r="I3152" s="1" t="e">
        <f t="shared" si="2"/>
        <v>#VALUE!</v>
      </c>
    </row>
    <row r="3153" spans="1:9" ht="15.75" customHeight="1">
      <c r="A3153" s="26"/>
      <c r="B3153" s="2"/>
      <c r="C3153" s="26"/>
      <c r="D3153" s="26"/>
      <c r="F3153" s="85" t="str">
        <f t="shared" si="0"/>
        <v/>
      </c>
      <c r="G3153" s="1" t="e">
        <f>IF(VALUE(F3153) = VALUE(RIGHT(Insights!$C$3, 4)), E3153, "")</f>
        <v>#VALUE!</v>
      </c>
      <c r="H3153" s="26" t="e">
        <f t="shared" si="1"/>
        <v>#VALUE!</v>
      </c>
      <c r="I3153" s="1" t="e">
        <f t="shared" si="2"/>
        <v>#VALUE!</v>
      </c>
    </row>
    <row r="3154" spans="1:9" ht="15.75" customHeight="1">
      <c r="A3154" s="26"/>
      <c r="B3154" s="2"/>
      <c r="C3154" s="26"/>
      <c r="D3154" s="26"/>
      <c r="F3154" s="85" t="str">
        <f t="shared" si="0"/>
        <v/>
      </c>
      <c r="G3154" s="1" t="e">
        <f>IF(VALUE(F3154) = VALUE(RIGHT(Insights!$C$3, 4)), E3154, "")</f>
        <v>#VALUE!</v>
      </c>
      <c r="H3154" s="26" t="e">
        <f t="shared" si="1"/>
        <v>#VALUE!</v>
      </c>
      <c r="I3154" s="1" t="e">
        <f t="shared" si="2"/>
        <v>#VALUE!</v>
      </c>
    </row>
    <row r="3155" spans="1:9" ht="15.75" customHeight="1">
      <c r="A3155" s="26"/>
      <c r="B3155" s="2"/>
      <c r="C3155" s="26"/>
      <c r="D3155" s="26"/>
      <c r="F3155" s="85" t="str">
        <f t="shared" si="0"/>
        <v/>
      </c>
      <c r="G3155" s="1" t="e">
        <f>IF(VALUE(F3155) = VALUE(RIGHT(Insights!$C$3, 4)), E3155, "")</f>
        <v>#VALUE!</v>
      </c>
      <c r="H3155" s="26" t="e">
        <f t="shared" si="1"/>
        <v>#VALUE!</v>
      </c>
      <c r="I3155" s="1" t="e">
        <f t="shared" si="2"/>
        <v>#VALUE!</v>
      </c>
    </row>
    <row r="3156" spans="1:9" ht="15.75" customHeight="1">
      <c r="A3156" s="26"/>
      <c r="B3156" s="2"/>
      <c r="C3156" s="26"/>
      <c r="D3156" s="26"/>
      <c r="F3156" s="85" t="str">
        <f t="shared" si="0"/>
        <v/>
      </c>
      <c r="G3156" s="1" t="e">
        <f>IF(VALUE(F3156) = VALUE(RIGHT(Insights!$C$3, 4)), E3156, "")</f>
        <v>#VALUE!</v>
      </c>
      <c r="H3156" s="26" t="e">
        <f t="shared" si="1"/>
        <v>#VALUE!</v>
      </c>
      <c r="I3156" s="1" t="e">
        <f t="shared" si="2"/>
        <v>#VALUE!</v>
      </c>
    </row>
    <row r="3157" spans="1:9" ht="15.75" customHeight="1">
      <c r="A3157" s="26"/>
      <c r="B3157" s="2"/>
      <c r="C3157" s="26"/>
      <c r="D3157" s="26"/>
      <c r="F3157" s="85" t="str">
        <f t="shared" si="0"/>
        <v/>
      </c>
      <c r="G3157" s="1" t="e">
        <f>IF(VALUE(F3157) = VALUE(RIGHT(Insights!$C$3, 4)), E3157, "")</f>
        <v>#VALUE!</v>
      </c>
      <c r="H3157" s="26" t="e">
        <f t="shared" si="1"/>
        <v>#VALUE!</v>
      </c>
      <c r="I3157" s="1" t="e">
        <f t="shared" si="2"/>
        <v>#VALUE!</v>
      </c>
    </row>
    <row r="3158" spans="1:9" ht="15.75" customHeight="1">
      <c r="A3158" s="26"/>
      <c r="B3158" s="2"/>
      <c r="C3158" s="26"/>
      <c r="D3158" s="26"/>
      <c r="F3158" s="85" t="str">
        <f t="shared" si="0"/>
        <v/>
      </c>
      <c r="G3158" s="1" t="e">
        <f>IF(VALUE(F3158) = VALUE(RIGHT(Insights!$C$3, 4)), E3158, "")</f>
        <v>#VALUE!</v>
      </c>
      <c r="H3158" s="26" t="e">
        <f t="shared" si="1"/>
        <v>#VALUE!</v>
      </c>
      <c r="I3158" s="1" t="e">
        <f t="shared" si="2"/>
        <v>#VALUE!</v>
      </c>
    </row>
    <row r="3159" spans="1:9" ht="15.75" customHeight="1">
      <c r="A3159" s="26"/>
      <c r="B3159" s="2"/>
      <c r="C3159" s="26"/>
      <c r="D3159" s="26"/>
      <c r="F3159" s="85" t="str">
        <f t="shared" si="0"/>
        <v/>
      </c>
      <c r="G3159" s="1" t="e">
        <f>IF(VALUE(F3159) = VALUE(RIGHT(Insights!$C$3, 4)), E3159, "")</f>
        <v>#VALUE!</v>
      </c>
      <c r="H3159" s="26" t="e">
        <f t="shared" si="1"/>
        <v>#VALUE!</v>
      </c>
      <c r="I3159" s="1" t="e">
        <f t="shared" si="2"/>
        <v>#VALUE!</v>
      </c>
    </row>
    <row r="3160" spans="1:9" ht="15.75" customHeight="1">
      <c r="A3160" s="26"/>
      <c r="B3160" s="2"/>
      <c r="C3160" s="26"/>
      <c r="D3160" s="26"/>
      <c r="F3160" s="85" t="str">
        <f t="shared" si="0"/>
        <v/>
      </c>
      <c r="G3160" s="1" t="e">
        <f>IF(VALUE(F3160) = VALUE(RIGHT(Insights!$C$3, 4)), E3160, "")</f>
        <v>#VALUE!</v>
      </c>
      <c r="H3160" s="26" t="e">
        <f t="shared" si="1"/>
        <v>#VALUE!</v>
      </c>
      <c r="I3160" s="1" t="e">
        <f t="shared" si="2"/>
        <v>#VALUE!</v>
      </c>
    </row>
    <row r="3161" spans="1:9" ht="15.75" customHeight="1">
      <c r="A3161" s="26"/>
      <c r="B3161" s="2"/>
      <c r="C3161" s="26"/>
      <c r="D3161" s="26"/>
      <c r="F3161" s="85" t="str">
        <f t="shared" si="0"/>
        <v/>
      </c>
      <c r="G3161" s="1" t="e">
        <f>IF(VALUE(F3161) = VALUE(RIGHT(Insights!$C$3, 4)), E3161, "")</f>
        <v>#VALUE!</v>
      </c>
      <c r="H3161" s="26" t="e">
        <f t="shared" si="1"/>
        <v>#VALUE!</v>
      </c>
      <c r="I3161" s="1" t="e">
        <f t="shared" si="2"/>
        <v>#VALUE!</v>
      </c>
    </row>
    <row r="3162" spans="1:9" ht="15.75" customHeight="1">
      <c r="A3162" s="26"/>
      <c r="B3162" s="2"/>
      <c r="C3162" s="26"/>
      <c r="D3162" s="26"/>
      <c r="F3162" s="85" t="str">
        <f t="shared" si="0"/>
        <v/>
      </c>
      <c r="G3162" s="1" t="e">
        <f>IF(VALUE(F3162) = VALUE(RIGHT(Insights!$C$3, 4)), E3162, "")</f>
        <v>#VALUE!</v>
      </c>
      <c r="H3162" s="26" t="e">
        <f t="shared" si="1"/>
        <v>#VALUE!</v>
      </c>
      <c r="I3162" s="1" t="e">
        <f t="shared" si="2"/>
        <v>#VALUE!</v>
      </c>
    </row>
    <row r="3163" spans="1:9" ht="15.75" customHeight="1">
      <c r="A3163" s="26"/>
      <c r="B3163" s="2"/>
      <c r="C3163" s="26"/>
      <c r="D3163" s="26"/>
      <c r="F3163" s="85" t="str">
        <f t="shared" si="0"/>
        <v/>
      </c>
      <c r="G3163" s="1" t="e">
        <f>IF(VALUE(F3163) = VALUE(RIGHT(Insights!$C$3, 4)), E3163, "")</f>
        <v>#VALUE!</v>
      </c>
      <c r="H3163" s="26" t="e">
        <f t="shared" si="1"/>
        <v>#VALUE!</v>
      </c>
      <c r="I3163" s="1" t="e">
        <f t="shared" si="2"/>
        <v>#VALUE!</v>
      </c>
    </row>
    <row r="3164" spans="1:9" ht="15.75" customHeight="1">
      <c r="A3164" s="26"/>
      <c r="B3164" s="2"/>
      <c r="C3164" s="26"/>
      <c r="D3164" s="26"/>
      <c r="F3164" s="85" t="str">
        <f t="shared" si="0"/>
        <v/>
      </c>
      <c r="G3164" s="1" t="e">
        <f>IF(VALUE(F3164) = VALUE(RIGHT(Insights!$C$3, 4)), E3164, "")</f>
        <v>#VALUE!</v>
      </c>
      <c r="H3164" s="26" t="e">
        <f t="shared" si="1"/>
        <v>#VALUE!</v>
      </c>
      <c r="I3164" s="1" t="e">
        <f t="shared" si="2"/>
        <v>#VALUE!</v>
      </c>
    </row>
    <row r="3165" spans="1:9" ht="15.75" customHeight="1">
      <c r="A3165" s="26"/>
      <c r="B3165" s="2"/>
      <c r="C3165" s="26"/>
      <c r="D3165" s="26"/>
      <c r="F3165" s="85" t="str">
        <f t="shared" si="0"/>
        <v/>
      </c>
      <c r="G3165" s="1" t="e">
        <f>IF(VALUE(F3165) = VALUE(RIGHT(Insights!$C$3, 4)), E3165, "")</f>
        <v>#VALUE!</v>
      </c>
      <c r="H3165" s="26" t="e">
        <f t="shared" si="1"/>
        <v>#VALUE!</v>
      </c>
      <c r="I3165" s="1" t="e">
        <f t="shared" si="2"/>
        <v>#VALUE!</v>
      </c>
    </row>
    <row r="3166" spans="1:9" ht="15.75" customHeight="1">
      <c r="A3166" s="26"/>
      <c r="B3166" s="2"/>
      <c r="C3166" s="26"/>
      <c r="D3166" s="26"/>
      <c r="F3166" s="85" t="str">
        <f t="shared" si="0"/>
        <v/>
      </c>
      <c r="G3166" s="1" t="e">
        <f>IF(VALUE(F3166) = VALUE(RIGHT(Insights!$C$3, 4)), E3166, "")</f>
        <v>#VALUE!</v>
      </c>
      <c r="H3166" s="26" t="e">
        <f t="shared" si="1"/>
        <v>#VALUE!</v>
      </c>
      <c r="I3166" s="1" t="e">
        <f t="shared" si="2"/>
        <v>#VALUE!</v>
      </c>
    </row>
    <row r="3167" spans="1:9" ht="15.75" customHeight="1">
      <c r="A3167" s="26"/>
      <c r="B3167" s="2"/>
      <c r="C3167" s="26"/>
      <c r="D3167" s="26"/>
      <c r="F3167" s="85" t="str">
        <f t="shared" si="0"/>
        <v/>
      </c>
      <c r="G3167" s="1" t="e">
        <f>IF(VALUE(F3167) = VALUE(RIGHT(Insights!$C$3, 4)), E3167, "")</f>
        <v>#VALUE!</v>
      </c>
      <c r="H3167" s="26" t="e">
        <f t="shared" si="1"/>
        <v>#VALUE!</v>
      </c>
      <c r="I3167" s="1" t="e">
        <f t="shared" si="2"/>
        <v>#VALUE!</v>
      </c>
    </row>
    <row r="3168" spans="1:9" ht="15.75" customHeight="1">
      <c r="A3168" s="26"/>
      <c r="B3168" s="2"/>
      <c r="C3168" s="26"/>
      <c r="D3168" s="26"/>
      <c r="F3168" s="85" t="str">
        <f t="shared" si="0"/>
        <v/>
      </c>
      <c r="G3168" s="1" t="e">
        <f>IF(VALUE(F3168) = VALUE(RIGHT(Insights!$C$3, 4)), E3168, "")</f>
        <v>#VALUE!</v>
      </c>
      <c r="H3168" s="26" t="e">
        <f t="shared" si="1"/>
        <v>#VALUE!</v>
      </c>
      <c r="I3168" s="1" t="e">
        <f t="shared" si="2"/>
        <v>#VALUE!</v>
      </c>
    </row>
    <row r="3169" spans="1:9" ht="15.75" customHeight="1">
      <c r="A3169" s="26"/>
      <c r="B3169" s="2"/>
      <c r="C3169" s="26"/>
      <c r="D3169" s="26"/>
      <c r="F3169" s="85" t="str">
        <f t="shared" si="0"/>
        <v/>
      </c>
      <c r="G3169" s="1" t="e">
        <f>IF(VALUE(F3169) = VALUE(RIGHT(Insights!$C$3, 4)), E3169, "")</f>
        <v>#VALUE!</v>
      </c>
      <c r="H3169" s="26" t="e">
        <f t="shared" si="1"/>
        <v>#VALUE!</v>
      </c>
      <c r="I3169" s="1" t="e">
        <f t="shared" si="2"/>
        <v>#VALUE!</v>
      </c>
    </row>
    <row r="3170" spans="1:9" ht="15.75" customHeight="1">
      <c r="A3170" s="26"/>
      <c r="B3170" s="2"/>
      <c r="C3170" s="26"/>
      <c r="D3170" s="26"/>
      <c r="F3170" s="85" t="str">
        <f t="shared" si="0"/>
        <v/>
      </c>
      <c r="G3170" s="1" t="e">
        <f>IF(VALUE(F3170) = VALUE(RIGHT(Insights!$C$3, 4)), E3170, "")</f>
        <v>#VALUE!</v>
      </c>
      <c r="H3170" s="26" t="e">
        <f t="shared" si="1"/>
        <v>#VALUE!</v>
      </c>
      <c r="I3170" s="1" t="e">
        <f t="shared" si="2"/>
        <v>#VALUE!</v>
      </c>
    </row>
    <row r="3171" spans="1:9" ht="15.75" customHeight="1">
      <c r="A3171" s="26"/>
      <c r="B3171" s="2"/>
      <c r="C3171" s="26"/>
      <c r="D3171" s="26"/>
      <c r="F3171" s="85" t="str">
        <f t="shared" si="0"/>
        <v/>
      </c>
      <c r="G3171" s="1" t="e">
        <f>IF(VALUE(F3171) = VALUE(RIGHT(Insights!$C$3, 4)), E3171, "")</f>
        <v>#VALUE!</v>
      </c>
      <c r="H3171" s="26" t="e">
        <f t="shared" si="1"/>
        <v>#VALUE!</v>
      </c>
      <c r="I3171" s="1" t="e">
        <f t="shared" si="2"/>
        <v>#VALUE!</v>
      </c>
    </row>
    <row r="3172" spans="1:9" ht="15.75" customHeight="1">
      <c r="A3172" s="26"/>
      <c r="B3172" s="2"/>
      <c r="C3172" s="26"/>
      <c r="D3172" s="26"/>
      <c r="F3172" s="85" t="str">
        <f t="shared" si="0"/>
        <v/>
      </c>
      <c r="G3172" s="1" t="e">
        <f>IF(VALUE(F3172) = VALUE(RIGHT(Insights!$C$3, 4)), E3172, "")</f>
        <v>#VALUE!</v>
      </c>
      <c r="H3172" s="26" t="e">
        <f t="shared" si="1"/>
        <v>#VALUE!</v>
      </c>
      <c r="I3172" s="1" t="e">
        <f t="shared" si="2"/>
        <v>#VALUE!</v>
      </c>
    </row>
    <row r="3173" spans="1:9" ht="15.75" customHeight="1">
      <c r="A3173" s="26"/>
      <c r="B3173" s="2"/>
      <c r="C3173" s="26"/>
      <c r="D3173" s="26"/>
      <c r="F3173" s="85" t="str">
        <f t="shared" si="0"/>
        <v/>
      </c>
      <c r="G3173" s="1" t="e">
        <f>IF(VALUE(F3173) = VALUE(RIGHT(Insights!$C$3, 4)), E3173, "")</f>
        <v>#VALUE!</v>
      </c>
      <c r="H3173" s="26" t="e">
        <f t="shared" si="1"/>
        <v>#VALUE!</v>
      </c>
      <c r="I3173" s="1" t="e">
        <f t="shared" si="2"/>
        <v>#VALUE!</v>
      </c>
    </row>
    <row r="3174" spans="1:9" ht="15.75" customHeight="1">
      <c r="A3174" s="26"/>
      <c r="B3174" s="2"/>
      <c r="C3174" s="26"/>
      <c r="D3174" s="26"/>
      <c r="F3174" s="85" t="str">
        <f t="shared" si="0"/>
        <v/>
      </c>
      <c r="G3174" s="1" t="e">
        <f>IF(VALUE(F3174) = VALUE(RIGHT(Insights!$C$3, 4)), E3174, "")</f>
        <v>#VALUE!</v>
      </c>
      <c r="H3174" s="26" t="e">
        <f t="shared" si="1"/>
        <v>#VALUE!</v>
      </c>
      <c r="I3174" s="1" t="e">
        <f t="shared" si="2"/>
        <v>#VALUE!</v>
      </c>
    </row>
    <row r="3175" spans="1:9" ht="15.75" customHeight="1">
      <c r="A3175" s="26"/>
      <c r="B3175" s="2"/>
      <c r="C3175" s="26"/>
      <c r="D3175" s="26"/>
      <c r="F3175" s="85" t="str">
        <f t="shared" si="0"/>
        <v/>
      </c>
      <c r="G3175" s="1" t="e">
        <f>IF(VALUE(F3175) = VALUE(RIGHT(Insights!$C$3, 4)), E3175, "")</f>
        <v>#VALUE!</v>
      </c>
      <c r="H3175" s="26" t="e">
        <f t="shared" si="1"/>
        <v>#VALUE!</v>
      </c>
      <c r="I3175" s="1" t="e">
        <f t="shared" si="2"/>
        <v>#VALUE!</v>
      </c>
    </row>
    <row r="3176" spans="1:9" ht="15.75" customHeight="1">
      <c r="A3176" s="26"/>
      <c r="B3176" s="2"/>
      <c r="C3176" s="26"/>
      <c r="D3176" s="26"/>
      <c r="F3176" s="85" t="str">
        <f t="shared" si="0"/>
        <v/>
      </c>
      <c r="G3176" s="1" t="e">
        <f>IF(VALUE(F3176) = VALUE(RIGHT(Insights!$C$3, 4)), E3176, "")</f>
        <v>#VALUE!</v>
      </c>
      <c r="H3176" s="26" t="e">
        <f t="shared" si="1"/>
        <v>#VALUE!</v>
      </c>
      <c r="I3176" s="1" t="e">
        <f t="shared" si="2"/>
        <v>#VALUE!</v>
      </c>
    </row>
    <row r="3177" spans="1:9" ht="15.75" customHeight="1">
      <c r="A3177" s="26"/>
      <c r="B3177" s="2"/>
      <c r="C3177" s="26"/>
      <c r="D3177" s="26"/>
      <c r="F3177" s="85" t="str">
        <f t="shared" si="0"/>
        <v/>
      </c>
      <c r="G3177" s="1" t="e">
        <f>IF(VALUE(F3177) = VALUE(RIGHT(Insights!$C$3, 4)), E3177, "")</f>
        <v>#VALUE!</v>
      </c>
      <c r="H3177" s="26" t="e">
        <f t="shared" si="1"/>
        <v>#VALUE!</v>
      </c>
      <c r="I3177" s="1" t="e">
        <f t="shared" si="2"/>
        <v>#VALUE!</v>
      </c>
    </row>
    <row r="3178" spans="1:9" ht="15.75" customHeight="1">
      <c r="A3178" s="26"/>
      <c r="B3178" s="2"/>
      <c r="C3178" s="26"/>
      <c r="D3178" s="26"/>
      <c r="F3178" s="85" t="str">
        <f t="shared" si="0"/>
        <v/>
      </c>
      <c r="G3178" s="1" t="e">
        <f>IF(VALUE(F3178) = VALUE(RIGHT(Insights!$C$3, 4)), E3178, "")</f>
        <v>#VALUE!</v>
      </c>
      <c r="H3178" s="26" t="e">
        <f t="shared" si="1"/>
        <v>#VALUE!</v>
      </c>
      <c r="I3178" s="1" t="e">
        <f t="shared" si="2"/>
        <v>#VALUE!</v>
      </c>
    </row>
    <row r="3179" spans="1:9" ht="15.75" customHeight="1">
      <c r="A3179" s="26"/>
      <c r="B3179" s="2"/>
      <c r="C3179" s="26"/>
      <c r="D3179" s="26"/>
      <c r="F3179" s="85" t="str">
        <f t="shared" si="0"/>
        <v/>
      </c>
      <c r="G3179" s="1" t="e">
        <f>IF(VALUE(F3179) = VALUE(RIGHT(Insights!$C$3, 4)), E3179, "")</f>
        <v>#VALUE!</v>
      </c>
      <c r="H3179" s="26" t="e">
        <f t="shared" si="1"/>
        <v>#VALUE!</v>
      </c>
      <c r="I3179" s="1" t="e">
        <f t="shared" si="2"/>
        <v>#VALUE!</v>
      </c>
    </row>
    <row r="3180" spans="1:9" ht="15.75" customHeight="1">
      <c r="A3180" s="26"/>
      <c r="B3180" s="2"/>
      <c r="C3180" s="26"/>
      <c r="D3180" s="26"/>
      <c r="F3180" s="85" t="str">
        <f t="shared" si="0"/>
        <v/>
      </c>
      <c r="G3180" s="1" t="e">
        <f>IF(VALUE(F3180) = VALUE(RIGHT(Insights!$C$3, 4)), E3180, "")</f>
        <v>#VALUE!</v>
      </c>
      <c r="H3180" s="26" t="e">
        <f t="shared" si="1"/>
        <v>#VALUE!</v>
      </c>
      <c r="I3180" s="1" t="e">
        <f t="shared" si="2"/>
        <v>#VALUE!</v>
      </c>
    </row>
    <row r="3181" spans="1:9" ht="15.75" customHeight="1">
      <c r="A3181" s="26"/>
      <c r="B3181" s="2"/>
      <c r="C3181" s="26"/>
      <c r="D3181" s="26"/>
      <c r="F3181" s="85" t="str">
        <f t="shared" si="0"/>
        <v/>
      </c>
      <c r="G3181" s="1" t="e">
        <f>IF(VALUE(F3181) = VALUE(RIGHT(Insights!$C$3, 4)), E3181, "")</f>
        <v>#VALUE!</v>
      </c>
      <c r="H3181" s="26" t="e">
        <f t="shared" si="1"/>
        <v>#VALUE!</v>
      </c>
      <c r="I3181" s="1" t="e">
        <f t="shared" si="2"/>
        <v>#VALUE!</v>
      </c>
    </row>
    <row r="3182" spans="1:9" ht="15.75" customHeight="1">
      <c r="A3182" s="26"/>
      <c r="B3182" s="2"/>
      <c r="C3182" s="26"/>
      <c r="D3182" s="26"/>
      <c r="F3182" s="85" t="str">
        <f t="shared" si="0"/>
        <v/>
      </c>
      <c r="G3182" s="1" t="e">
        <f>IF(VALUE(F3182) = VALUE(RIGHT(Insights!$C$3, 4)), E3182, "")</f>
        <v>#VALUE!</v>
      </c>
      <c r="H3182" s="26" t="e">
        <f t="shared" si="1"/>
        <v>#VALUE!</v>
      </c>
      <c r="I3182" s="1" t="e">
        <f t="shared" si="2"/>
        <v>#VALUE!</v>
      </c>
    </row>
    <row r="3183" spans="1:9" ht="15.75" customHeight="1">
      <c r="A3183" s="26"/>
      <c r="B3183" s="2"/>
      <c r="C3183" s="26"/>
      <c r="D3183" s="26"/>
      <c r="F3183" s="85" t="str">
        <f t="shared" si="0"/>
        <v/>
      </c>
      <c r="G3183" s="1" t="e">
        <f>IF(VALUE(F3183) = VALUE(RIGHT(Insights!$C$3, 4)), E3183, "")</f>
        <v>#VALUE!</v>
      </c>
      <c r="H3183" s="26" t="e">
        <f t="shared" si="1"/>
        <v>#VALUE!</v>
      </c>
      <c r="I3183" s="1" t="e">
        <f t="shared" si="2"/>
        <v>#VALUE!</v>
      </c>
    </row>
    <row r="3184" spans="1:9" ht="15.75" customHeight="1">
      <c r="A3184" s="26"/>
      <c r="B3184" s="2"/>
      <c r="C3184" s="26"/>
      <c r="D3184" s="26"/>
      <c r="F3184" s="85" t="str">
        <f t="shared" si="0"/>
        <v/>
      </c>
      <c r="G3184" s="1" t="e">
        <f>IF(VALUE(F3184) = VALUE(RIGHT(Insights!$C$3, 4)), E3184, "")</f>
        <v>#VALUE!</v>
      </c>
      <c r="H3184" s="26" t="e">
        <f t="shared" si="1"/>
        <v>#VALUE!</v>
      </c>
      <c r="I3184" s="1" t="e">
        <f t="shared" si="2"/>
        <v>#VALUE!</v>
      </c>
    </row>
    <row r="3185" spans="1:9" ht="15.75" customHeight="1">
      <c r="A3185" s="26"/>
      <c r="B3185" s="2"/>
      <c r="C3185" s="26"/>
      <c r="D3185" s="26"/>
      <c r="F3185" s="85" t="str">
        <f t="shared" si="0"/>
        <v/>
      </c>
      <c r="G3185" s="1" t="e">
        <f>IF(VALUE(F3185) = VALUE(RIGHT(Insights!$C$3, 4)), E3185, "")</f>
        <v>#VALUE!</v>
      </c>
      <c r="H3185" s="26" t="e">
        <f t="shared" si="1"/>
        <v>#VALUE!</v>
      </c>
      <c r="I3185" s="1" t="e">
        <f t="shared" si="2"/>
        <v>#VALUE!</v>
      </c>
    </row>
    <row r="3186" spans="1:9" ht="15.75" customHeight="1">
      <c r="A3186" s="26"/>
      <c r="B3186" s="2"/>
      <c r="C3186" s="26"/>
      <c r="D3186" s="26"/>
      <c r="F3186" s="85" t="str">
        <f t="shared" si="0"/>
        <v/>
      </c>
      <c r="G3186" s="1" t="e">
        <f>IF(VALUE(F3186) = VALUE(RIGHT(Insights!$C$3, 4)), E3186, "")</f>
        <v>#VALUE!</v>
      </c>
      <c r="H3186" s="26" t="e">
        <f t="shared" si="1"/>
        <v>#VALUE!</v>
      </c>
      <c r="I3186" s="1" t="e">
        <f t="shared" si="2"/>
        <v>#VALUE!</v>
      </c>
    </row>
    <row r="3187" spans="1:9" ht="15.75" customHeight="1">
      <c r="A3187" s="26"/>
      <c r="B3187" s="2"/>
      <c r="C3187" s="26"/>
      <c r="D3187" s="26"/>
      <c r="F3187" s="85" t="str">
        <f t="shared" si="0"/>
        <v/>
      </c>
      <c r="G3187" s="1" t="e">
        <f>IF(VALUE(F3187) = VALUE(RIGHT(Insights!$C$3, 4)), E3187, "")</f>
        <v>#VALUE!</v>
      </c>
      <c r="H3187" s="26" t="e">
        <f t="shared" si="1"/>
        <v>#VALUE!</v>
      </c>
      <c r="I3187" s="1" t="e">
        <f t="shared" si="2"/>
        <v>#VALUE!</v>
      </c>
    </row>
    <row r="3188" spans="1:9" ht="15.75" customHeight="1">
      <c r="A3188" s="26"/>
      <c r="B3188" s="2"/>
      <c r="C3188" s="26"/>
      <c r="D3188" s="26"/>
      <c r="F3188" s="85" t="str">
        <f t="shared" si="0"/>
        <v/>
      </c>
      <c r="G3188" s="1" t="e">
        <f>IF(VALUE(F3188) = VALUE(RIGHT(Insights!$C$3, 4)), E3188, "")</f>
        <v>#VALUE!</v>
      </c>
      <c r="H3188" s="26" t="e">
        <f t="shared" si="1"/>
        <v>#VALUE!</v>
      </c>
      <c r="I3188" s="1" t="e">
        <f t="shared" si="2"/>
        <v>#VALUE!</v>
      </c>
    </row>
    <row r="3189" spans="1:9" ht="15.75" customHeight="1">
      <c r="A3189" s="26"/>
      <c r="B3189" s="2"/>
      <c r="C3189" s="26"/>
      <c r="D3189" s="26"/>
      <c r="F3189" s="85" t="str">
        <f t="shared" si="0"/>
        <v/>
      </c>
      <c r="G3189" s="1" t="e">
        <f>IF(VALUE(F3189) = VALUE(RIGHT(Insights!$C$3, 4)), E3189, "")</f>
        <v>#VALUE!</v>
      </c>
      <c r="H3189" s="26" t="e">
        <f t="shared" si="1"/>
        <v>#VALUE!</v>
      </c>
      <c r="I3189" s="1" t="e">
        <f t="shared" si="2"/>
        <v>#VALUE!</v>
      </c>
    </row>
    <row r="3190" spans="1:9" ht="15.75" customHeight="1">
      <c r="A3190" s="26"/>
      <c r="B3190" s="2"/>
      <c r="C3190" s="26"/>
      <c r="D3190" s="26"/>
      <c r="F3190" s="85" t="str">
        <f t="shared" si="0"/>
        <v/>
      </c>
      <c r="G3190" s="1" t="e">
        <f>IF(VALUE(F3190) = VALUE(RIGHT(Insights!$C$3, 4)), E3190, "")</f>
        <v>#VALUE!</v>
      </c>
      <c r="H3190" s="26" t="e">
        <f t="shared" si="1"/>
        <v>#VALUE!</v>
      </c>
      <c r="I3190" s="1" t="e">
        <f t="shared" si="2"/>
        <v>#VALUE!</v>
      </c>
    </row>
    <row r="3191" spans="1:9" ht="15.75" customHeight="1">
      <c r="A3191" s="26"/>
      <c r="B3191" s="2"/>
      <c r="C3191" s="26"/>
      <c r="D3191" s="26"/>
      <c r="F3191" s="85" t="str">
        <f t="shared" si="0"/>
        <v/>
      </c>
      <c r="G3191" s="1" t="e">
        <f>IF(VALUE(F3191) = VALUE(RIGHT(Insights!$C$3, 4)), E3191, "")</f>
        <v>#VALUE!</v>
      </c>
      <c r="H3191" s="26" t="e">
        <f t="shared" si="1"/>
        <v>#VALUE!</v>
      </c>
      <c r="I3191" s="1" t="e">
        <f t="shared" si="2"/>
        <v>#VALUE!</v>
      </c>
    </row>
    <row r="3192" spans="1:9" ht="15.75" customHeight="1">
      <c r="A3192" s="26"/>
      <c r="B3192" s="2"/>
      <c r="C3192" s="26"/>
      <c r="D3192" s="26"/>
      <c r="F3192" s="85" t="str">
        <f t="shared" si="0"/>
        <v/>
      </c>
      <c r="G3192" s="1" t="e">
        <f>IF(VALUE(F3192) = VALUE(RIGHT(Insights!$C$3, 4)), E3192, "")</f>
        <v>#VALUE!</v>
      </c>
      <c r="H3192" s="26" t="e">
        <f t="shared" si="1"/>
        <v>#VALUE!</v>
      </c>
      <c r="I3192" s="1" t="e">
        <f t="shared" si="2"/>
        <v>#VALUE!</v>
      </c>
    </row>
    <row r="3193" spans="1:9" ht="15.75" customHeight="1">
      <c r="A3193" s="26"/>
      <c r="B3193" s="2"/>
      <c r="C3193" s="26"/>
      <c r="D3193" s="26"/>
      <c r="F3193" s="85" t="str">
        <f t="shared" si="0"/>
        <v/>
      </c>
      <c r="G3193" s="1" t="e">
        <f>IF(VALUE(F3193) = VALUE(RIGHT(Insights!$C$3, 4)), E3193, "")</f>
        <v>#VALUE!</v>
      </c>
      <c r="H3193" s="26" t="e">
        <f t="shared" si="1"/>
        <v>#VALUE!</v>
      </c>
      <c r="I3193" s="1" t="e">
        <f t="shared" si="2"/>
        <v>#VALUE!</v>
      </c>
    </row>
    <row r="3194" spans="1:9" ht="15.75" customHeight="1">
      <c r="A3194" s="26"/>
      <c r="B3194" s="2"/>
      <c r="C3194" s="26"/>
      <c r="D3194" s="26"/>
      <c r="F3194" s="85" t="str">
        <f t="shared" si="0"/>
        <v/>
      </c>
      <c r="G3194" s="1" t="e">
        <f>IF(VALUE(F3194) = VALUE(RIGHT(Insights!$C$3, 4)), E3194, "")</f>
        <v>#VALUE!</v>
      </c>
      <c r="H3194" s="26" t="e">
        <f t="shared" si="1"/>
        <v>#VALUE!</v>
      </c>
      <c r="I3194" s="1" t="e">
        <f t="shared" si="2"/>
        <v>#VALUE!</v>
      </c>
    </row>
    <row r="3195" spans="1:9" ht="15.75" customHeight="1">
      <c r="A3195" s="26"/>
      <c r="B3195" s="2"/>
      <c r="C3195" s="26"/>
      <c r="D3195" s="26"/>
      <c r="F3195" s="85" t="str">
        <f t="shared" si="0"/>
        <v/>
      </c>
      <c r="G3195" s="1" t="e">
        <f>IF(VALUE(F3195) = VALUE(RIGHT(Insights!$C$3, 4)), E3195, "")</f>
        <v>#VALUE!</v>
      </c>
      <c r="H3195" s="26" t="e">
        <f t="shared" si="1"/>
        <v>#VALUE!</v>
      </c>
      <c r="I3195" s="1" t="e">
        <f t="shared" si="2"/>
        <v>#VALUE!</v>
      </c>
    </row>
    <row r="3196" spans="1:9" ht="15.75" customHeight="1">
      <c r="A3196" s="26"/>
      <c r="B3196" s="2"/>
      <c r="C3196" s="26"/>
      <c r="D3196" s="26"/>
      <c r="F3196" s="85" t="str">
        <f t="shared" si="0"/>
        <v/>
      </c>
      <c r="G3196" s="1" t="e">
        <f>IF(VALUE(F3196) = VALUE(RIGHT(Insights!$C$3, 4)), E3196, "")</f>
        <v>#VALUE!</v>
      </c>
      <c r="H3196" s="26" t="e">
        <f t="shared" si="1"/>
        <v>#VALUE!</v>
      </c>
      <c r="I3196" s="1" t="e">
        <f t="shared" si="2"/>
        <v>#VALUE!</v>
      </c>
    </row>
    <row r="3197" spans="1:9" ht="15.75" customHeight="1">
      <c r="A3197" s="26"/>
      <c r="B3197" s="2"/>
      <c r="C3197" s="26"/>
      <c r="D3197" s="26"/>
      <c r="F3197" s="85" t="str">
        <f t="shared" si="0"/>
        <v/>
      </c>
      <c r="G3197" s="1" t="e">
        <f>IF(VALUE(F3197) = VALUE(RIGHT(Insights!$C$3, 4)), E3197, "")</f>
        <v>#VALUE!</v>
      </c>
      <c r="H3197" s="26" t="e">
        <f t="shared" si="1"/>
        <v>#VALUE!</v>
      </c>
      <c r="I3197" s="1" t="e">
        <f t="shared" si="2"/>
        <v>#VALUE!</v>
      </c>
    </row>
    <row r="3198" spans="1:9" ht="15.75" customHeight="1">
      <c r="A3198" s="26"/>
      <c r="B3198" s="2"/>
      <c r="C3198" s="26"/>
      <c r="D3198" s="26"/>
      <c r="F3198" s="85" t="str">
        <f t="shared" si="0"/>
        <v/>
      </c>
      <c r="G3198" s="1" t="e">
        <f>IF(VALUE(F3198) = VALUE(RIGHT(Insights!$C$3, 4)), E3198, "")</f>
        <v>#VALUE!</v>
      </c>
      <c r="H3198" s="26" t="e">
        <f t="shared" si="1"/>
        <v>#VALUE!</v>
      </c>
      <c r="I3198" s="1" t="e">
        <f t="shared" si="2"/>
        <v>#VALUE!</v>
      </c>
    </row>
    <row r="3199" spans="1:9" ht="15.75" customHeight="1">
      <c r="A3199" s="26"/>
      <c r="B3199" s="2"/>
      <c r="C3199" s="26"/>
      <c r="D3199" s="26"/>
      <c r="F3199" s="85" t="str">
        <f t="shared" si="0"/>
        <v/>
      </c>
      <c r="G3199" s="1" t="e">
        <f>IF(VALUE(F3199) = VALUE(RIGHT(Insights!$C$3, 4)), E3199, "")</f>
        <v>#VALUE!</v>
      </c>
      <c r="H3199" s="26" t="e">
        <f t="shared" si="1"/>
        <v>#VALUE!</v>
      </c>
      <c r="I3199" s="1" t="e">
        <f t="shared" si="2"/>
        <v>#VALUE!</v>
      </c>
    </row>
    <row r="3200" spans="1:9" ht="15.75" customHeight="1">
      <c r="A3200" s="26"/>
      <c r="B3200" s="2"/>
      <c r="C3200" s="26"/>
      <c r="D3200" s="26"/>
      <c r="F3200" s="85" t="str">
        <f t="shared" si="0"/>
        <v/>
      </c>
      <c r="G3200" s="1" t="e">
        <f>IF(VALUE(F3200) = VALUE(RIGHT(Insights!$C$3, 4)), E3200, "")</f>
        <v>#VALUE!</v>
      </c>
      <c r="H3200" s="26" t="e">
        <f t="shared" si="1"/>
        <v>#VALUE!</v>
      </c>
      <c r="I3200" s="1" t="e">
        <f t="shared" si="2"/>
        <v>#VALUE!</v>
      </c>
    </row>
    <row r="3201" spans="1:9" ht="15.75" customHeight="1">
      <c r="A3201" s="26"/>
      <c r="B3201" s="2"/>
      <c r="C3201" s="26"/>
      <c r="D3201" s="26"/>
      <c r="F3201" s="85" t="str">
        <f t="shared" si="0"/>
        <v/>
      </c>
      <c r="G3201" s="1" t="e">
        <f>IF(VALUE(F3201) = VALUE(RIGHT(Insights!$C$3, 4)), E3201, "")</f>
        <v>#VALUE!</v>
      </c>
      <c r="H3201" s="26" t="e">
        <f t="shared" si="1"/>
        <v>#VALUE!</v>
      </c>
      <c r="I3201" s="1" t="e">
        <f t="shared" si="2"/>
        <v>#VALUE!</v>
      </c>
    </row>
    <row r="3202" spans="1:9" ht="15.75" customHeight="1">
      <c r="A3202" s="26"/>
      <c r="B3202" s="2"/>
      <c r="C3202" s="26"/>
      <c r="D3202" s="26"/>
      <c r="F3202" s="85" t="str">
        <f t="shared" si="0"/>
        <v/>
      </c>
      <c r="G3202" s="1" t="e">
        <f>IF(VALUE(F3202) = VALUE(RIGHT(Insights!$C$3, 4)), E3202, "")</f>
        <v>#VALUE!</v>
      </c>
      <c r="H3202" s="26" t="e">
        <f t="shared" si="1"/>
        <v>#VALUE!</v>
      </c>
      <c r="I3202" s="1" t="e">
        <f t="shared" si="2"/>
        <v>#VALUE!</v>
      </c>
    </row>
    <row r="3203" spans="1:9" ht="15.75" customHeight="1">
      <c r="A3203" s="26"/>
      <c r="B3203" s="2"/>
      <c r="C3203" s="26"/>
      <c r="D3203" s="26"/>
      <c r="F3203" s="85" t="str">
        <f t="shared" si="0"/>
        <v/>
      </c>
      <c r="G3203" s="1" t="e">
        <f>IF(VALUE(F3203) = VALUE(RIGHT(Insights!$C$3, 4)), E3203, "")</f>
        <v>#VALUE!</v>
      </c>
      <c r="H3203" s="26" t="e">
        <f t="shared" si="1"/>
        <v>#VALUE!</v>
      </c>
      <c r="I3203" s="1" t="e">
        <f t="shared" si="2"/>
        <v>#VALUE!</v>
      </c>
    </row>
    <row r="3204" spans="1:9" ht="15.75" customHeight="1">
      <c r="A3204" s="26"/>
      <c r="B3204" s="2"/>
      <c r="C3204" s="26"/>
      <c r="D3204" s="26"/>
      <c r="F3204" s="85" t="str">
        <f t="shared" si="0"/>
        <v/>
      </c>
      <c r="G3204" s="1" t="e">
        <f>IF(VALUE(F3204) = VALUE(RIGHT(Insights!$C$3, 4)), E3204, "")</f>
        <v>#VALUE!</v>
      </c>
      <c r="H3204" s="26" t="e">
        <f t="shared" si="1"/>
        <v>#VALUE!</v>
      </c>
      <c r="I3204" s="1" t="e">
        <f t="shared" si="2"/>
        <v>#VALUE!</v>
      </c>
    </row>
    <row r="3205" spans="1:9" ht="15.75" customHeight="1">
      <c r="A3205" s="26"/>
      <c r="B3205" s="2"/>
      <c r="C3205" s="26"/>
      <c r="D3205" s="26"/>
      <c r="F3205" s="85" t="str">
        <f t="shared" si="0"/>
        <v/>
      </c>
      <c r="G3205" s="1" t="e">
        <f>IF(VALUE(F3205) = VALUE(RIGHT(Insights!$C$3, 4)), E3205, "")</f>
        <v>#VALUE!</v>
      </c>
      <c r="H3205" s="26" t="e">
        <f t="shared" si="1"/>
        <v>#VALUE!</v>
      </c>
      <c r="I3205" s="1" t="e">
        <f t="shared" si="2"/>
        <v>#VALUE!</v>
      </c>
    </row>
    <row r="3206" spans="1:9" ht="15.75" customHeight="1">
      <c r="A3206" s="26"/>
      <c r="B3206" s="2"/>
      <c r="C3206" s="26"/>
      <c r="D3206" s="26"/>
      <c r="F3206" s="85" t="str">
        <f t="shared" si="0"/>
        <v/>
      </c>
      <c r="G3206" s="1" t="e">
        <f>IF(VALUE(F3206) = VALUE(RIGHT(Insights!$C$3, 4)), E3206, "")</f>
        <v>#VALUE!</v>
      </c>
      <c r="H3206" s="26" t="e">
        <f t="shared" si="1"/>
        <v>#VALUE!</v>
      </c>
      <c r="I3206" s="1" t="e">
        <f t="shared" si="2"/>
        <v>#VALUE!</v>
      </c>
    </row>
    <row r="3207" spans="1:9" ht="15.75" customHeight="1">
      <c r="A3207" s="26"/>
      <c r="B3207" s="2"/>
      <c r="C3207" s="26"/>
      <c r="D3207" s="26"/>
      <c r="F3207" s="85" t="str">
        <f t="shared" si="0"/>
        <v/>
      </c>
      <c r="G3207" s="1" t="e">
        <f>IF(VALUE(F3207) = VALUE(RIGHT(Insights!$C$3, 4)), E3207, "")</f>
        <v>#VALUE!</v>
      </c>
      <c r="H3207" s="26" t="e">
        <f t="shared" si="1"/>
        <v>#VALUE!</v>
      </c>
      <c r="I3207" s="1" t="e">
        <f t="shared" si="2"/>
        <v>#VALUE!</v>
      </c>
    </row>
    <row r="3208" spans="1:9" ht="15.75" customHeight="1">
      <c r="A3208" s="26"/>
      <c r="B3208" s="2"/>
      <c r="C3208" s="26"/>
      <c r="D3208" s="26"/>
      <c r="F3208" s="85" t="str">
        <f t="shared" si="0"/>
        <v/>
      </c>
      <c r="G3208" s="1" t="e">
        <f>IF(VALUE(F3208) = VALUE(RIGHT(Insights!$C$3, 4)), E3208, "")</f>
        <v>#VALUE!</v>
      </c>
      <c r="H3208" s="26" t="e">
        <f t="shared" si="1"/>
        <v>#VALUE!</v>
      </c>
      <c r="I3208" s="1" t="e">
        <f t="shared" si="2"/>
        <v>#VALUE!</v>
      </c>
    </row>
    <row r="3209" spans="1:9" ht="15.75" customHeight="1">
      <c r="A3209" s="26"/>
      <c r="B3209" s="2"/>
      <c r="C3209" s="26"/>
      <c r="D3209" s="26"/>
      <c r="F3209" s="85" t="str">
        <f t="shared" si="0"/>
        <v/>
      </c>
      <c r="G3209" s="1" t="e">
        <f>IF(VALUE(F3209) = VALUE(RIGHT(Insights!$C$3, 4)), E3209, "")</f>
        <v>#VALUE!</v>
      </c>
      <c r="H3209" s="26" t="e">
        <f t="shared" si="1"/>
        <v>#VALUE!</v>
      </c>
      <c r="I3209" s="1" t="e">
        <f t="shared" si="2"/>
        <v>#VALUE!</v>
      </c>
    </row>
    <row r="3210" spans="1:9" ht="15.75" customHeight="1">
      <c r="A3210" s="26"/>
      <c r="B3210" s="2"/>
      <c r="C3210" s="26"/>
      <c r="D3210" s="26"/>
      <c r="F3210" s="85" t="str">
        <f t="shared" si="0"/>
        <v/>
      </c>
      <c r="G3210" s="1" t="e">
        <f>IF(VALUE(F3210) = VALUE(RIGHT(Insights!$C$3, 4)), E3210, "")</f>
        <v>#VALUE!</v>
      </c>
      <c r="H3210" s="26" t="e">
        <f t="shared" si="1"/>
        <v>#VALUE!</v>
      </c>
      <c r="I3210" s="1" t="e">
        <f t="shared" si="2"/>
        <v>#VALUE!</v>
      </c>
    </row>
    <row r="3211" spans="1:9" ht="15.75" customHeight="1">
      <c r="A3211" s="26"/>
      <c r="B3211" s="2"/>
      <c r="C3211" s="26"/>
      <c r="D3211" s="26"/>
      <c r="F3211" s="85" t="str">
        <f t="shared" si="0"/>
        <v/>
      </c>
      <c r="G3211" s="1" t="e">
        <f>IF(VALUE(F3211) = VALUE(RIGHT(Insights!$C$3, 4)), E3211, "")</f>
        <v>#VALUE!</v>
      </c>
      <c r="H3211" s="26" t="e">
        <f t="shared" si="1"/>
        <v>#VALUE!</v>
      </c>
      <c r="I3211" s="1" t="e">
        <f t="shared" si="2"/>
        <v>#VALUE!</v>
      </c>
    </row>
    <row r="3212" spans="1:9" ht="15.75" customHeight="1">
      <c r="A3212" s="26"/>
      <c r="B3212" s="2"/>
      <c r="C3212" s="26"/>
      <c r="D3212" s="26"/>
      <c r="F3212" s="85" t="str">
        <f t="shared" si="0"/>
        <v/>
      </c>
      <c r="G3212" s="1" t="e">
        <f>IF(VALUE(F3212) = VALUE(RIGHT(Insights!$C$3, 4)), E3212, "")</f>
        <v>#VALUE!</v>
      </c>
      <c r="H3212" s="26" t="e">
        <f t="shared" si="1"/>
        <v>#VALUE!</v>
      </c>
      <c r="I3212" s="1" t="e">
        <f t="shared" si="2"/>
        <v>#VALUE!</v>
      </c>
    </row>
    <row r="3213" spans="1:9" ht="15.75" customHeight="1">
      <c r="A3213" s="26"/>
      <c r="B3213" s="2"/>
      <c r="C3213" s="26"/>
      <c r="D3213" s="26"/>
      <c r="F3213" s="85" t="str">
        <f t="shared" si="0"/>
        <v/>
      </c>
      <c r="G3213" s="1" t="e">
        <f>IF(VALUE(F3213) = VALUE(RIGHT(Insights!$C$3, 4)), E3213, "")</f>
        <v>#VALUE!</v>
      </c>
      <c r="H3213" s="26" t="e">
        <f t="shared" si="1"/>
        <v>#VALUE!</v>
      </c>
      <c r="I3213" s="1" t="e">
        <f t="shared" si="2"/>
        <v>#VALUE!</v>
      </c>
    </row>
    <row r="3214" spans="1:9" ht="15.75" customHeight="1">
      <c r="A3214" s="26"/>
      <c r="B3214" s="2"/>
      <c r="C3214" s="26"/>
      <c r="D3214" s="26"/>
      <c r="F3214" s="85" t="str">
        <f t="shared" si="0"/>
        <v/>
      </c>
      <c r="G3214" s="1" t="e">
        <f>IF(VALUE(F3214) = VALUE(RIGHT(Insights!$C$3, 4)), E3214, "")</f>
        <v>#VALUE!</v>
      </c>
      <c r="H3214" s="26" t="e">
        <f t="shared" si="1"/>
        <v>#VALUE!</v>
      </c>
      <c r="I3214" s="1" t="e">
        <f t="shared" si="2"/>
        <v>#VALUE!</v>
      </c>
    </row>
    <row r="3215" spans="1:9" ht="15.75" customHeight="1">
      <c r="A3215" s="26"/>
      <c r="B3215" s="2"/>
      <c r="C3215" s="26"/>
      <c r="D3215" s="26"/>
      <c r="F3215" s="85" t="str">
        <f t="shared" si="0"/>
        <v/>
      </c>
      <c r="G3215" s="1" t="e">
        <f>IF(VALUE(F3215) = VALUE(RIGHT(Insights!$C$3, 4)), E3215, "")</f>
        <v>#VALUE!</v>
      </c>
      <c r="H3215" s="26" t="e">
        <f t="shared" si="1"/>
        <v>#VALUE!</v>
      </c>
      <c r="I3215" s="1" t="e">
        <f t="shared" si="2"/>
        <v>#VALUE!</v>
      </c>
    </row>
    <row r="3216" spans="1:9" ht="15.75" customHeight="1">
      <c r="A3216" s="26"/>
      <c r="B3216" s="2"/>
      <c r="C3216" s="26"/>
      <c r="D3216" s="26"/>
      <c r="F3216" s="85" t="str">
        <f t="shared" si="0"/>
        <v/>
      </c>
      <c r="G3216" s="1" t="e">
        <f>IF(VALUE(F3216) = VALUE(RIGHT(Insights!$C$3, 4)), E3216, "")</f>
        <v>#VALUE!</v>
      </c>
      <c r="H3216" s="26" t="e">
        <f t="shared" si="1"/>
        <v>#VALUE!</v>
      </c>
      <c r="I3216" s="1" t="e">
        <f t="shared" si="2"/>
        <v>#VALUE!</v>
      </c>
    </row>
    <row r="3217" spans="1:9" ht="15.75" customHeight="1">
      <c r="A3217" s="26"/>
      <c r="B3217" s="2"/>
      <c r="C3217" s="26"/>
      <c r="D3217" s="26"/>
      <c r="F3217" s="85" t="str">
        <f t="shared" si="0"/>
        <v/>
      </c>
      <c r="G3217" s="1" t="e">
        <f>IF(VALUE(F3217) = VALUE(RIGHT(Insights!$C$3, 4)), E3217, "")</f>
        <v>#VALUE!</v>
      </c>
      <c r="H3217" s="26" t="e">
        <f t="shared" si="1"/>
        <v>#VALUE!</v>
      </c>
      <c r="I3217" s="1" t="e">
        <f t="shared" si="2"/>
        <v>#VALUE!</v>
      </c>
    </row>
    <row r="3218" spans="1:9" ht="15.75" customHeight="1">
      <c r="A3218" s="26"/>
      <c r="B3218" s="2"/>
      <c r="C3218" s="26"/>
      <c r="D3218" s="26"/>
      <c r="F3218" s="85" t="str">
        <f t="shared" si="0"/>
        <v/>
      </c>
      <c r="G3218" s="1" t="e">
        <f>IF(VALUE(F3218) = VALUE(RIGHT(Insights!$C$3, 4)), E3218, "")</f>
        <v>#VALUE!</v>
      </c>
      <c r="H3218" s="26" t="e">
        <f t="shared" si="1"/>
        <v>#VALUE!</v>
      </c>
      <c r="I3218" s="1" t="e">
        <f t="shared" si="2"/>
        <v>#VALUE!</v>
      </c>
    </row>
    <row r="3219" spans="1:9" ht="15.75" customHeight="1">
      <c r="A3219" s="26"/>
      <c r="B3219" s="2"/>
      <c r="C3219" s="26"/>
      <c r="D3219" s="26"/>
      <c r="F3219" s="85" t="str">
        <f t="shared" si="0"/>
        <v/>
      </c>
      <c r="G3219" s="1" t="e">
        <f>IF(VALUE(F3219) = VALUE(RIGHT(Insights!$C$3, 4)), E3219, "")</f>
        <v>#VALUE!</v>
      </c>
      <c r="H3219" s="26" t="e">
        <f t="shared" si="1"/>
        <v>#VALUE!</v>
      </c>
      <c r="I3219" s="1" t="e">
        <f t="shared" si="2"/>
        <v>#VALUE!</v>
      </c>
    </row>
    <row r="3220" spans="1:9" ht="15.75" customHeight="1">
      <c r="A3220" s="26"/>
      <c r="B3220" s="2"/>
      <c r="C3220" s="26"/>
      <c r="D3220" s="26"/>
      <c r="F3220" s="85" t="str">
        <f t="shared" si="0"/>
        <v/>
      </c>
      <c r="G3220" s="1" t="e">
        <f>IF(VALUE(F3220) = VALUE(RIGHT(Insights!$C$3, 4)), E3220, "")</f>
        <v>#VALUE!</v>
      </c>
      <c r="H3220" s="26" t="e">
        <f t="shared" si="1"/>
        <v>#VALUE!</v>
      </c>
      <c r="I3220" s="1" t="e">
        <f t="shared" si="2"/>
        <v>#VALUE!</v>
      </c>
    </row>
    <row r="3221" spans="1:9" ht="15.75" customHeight="1">
      <c r="A3221" s="26"/>
      <c r="B3221" s="2"/>
      <c r="C3221" s="26"/>
      <c r="D3221" s="26"/>
      <c r="F3221" s="85" t="str">
        <f t="shared" si="0"/>
        <v/>
      </c>
      <c r="G3221" s="1" t="e">
        <f>IF(VALUE(F3221) = VALUE(RIGHT(Insights!$C$3, 4)), E3221, "")</f>
        <v>#VALUE!</v>
      </c>
      <c r="H3221" s="26" t="e">
        <f t="shared" si="1"/>
        <v>#VALUE!</v>
      </c>
      <c r="I3221" s="1" t="e">
        <f t="shared" si="2"/>
        <v>#VALUE!</v>
      </c>
    </row>
    <row r="3222" spans="1:9" ht="15.75" customHeight="1">
      <c r="A3222" s="26"/>
      <c r="B3222" s="2"/>
      <c r="C3222" s="26"/>
      <c r="D3222" s="26"/>
      <c r="F3222" s="85" t="str">
        <f t="shared" si="0"/>
        <v/>
      </c>
      <c r="G3222" s="1" t="e">
        <f>IF(VALUE(F3222) = VALUE(RIGHT(Insights!$C$3, 4)), E3222, "")</f>
        <v>#VALUE!</v>
      </c>
      <c r="H3222" s="26" t="e">
        <f t="shared" si="1"/>
        <v>#VALUE!</v>
      </c>
      <c r="I3222" s="1" t="e">
        <f t="shared" si="2"/>
        <v>#VALUE!</v>
      </c>
    </row>
    <row r="3223" spans="1:9" ht="15.75" customHeight="1">
      <c r="A3223" s="26"/>
      <c r="B3223" s="2"/>
      <c r="C3223" s="26"/>
      <c r="D3223" s="26"/>
      <c r="F3223" s="85" t="str">
        <f t="shared" si="0"/>
        <v/>
      </c>
      <c r="G3223" s="1" t="e">
        <f>IF(VALUE(F3223) = VALUE(RIGHT(Insights!$C$3, 4)), E3223, "")</f>
        <v>#VALUE!</v>
      </c>
      <c r="H3223" s="26" t="e">
        <f t="shared" si="1"/>
        <v>#VALUE!</v>
      </c>
      <c r="I3223" s="1" t="e">
        <f t="shared" si="2"/>
        <v>#VALUE!</v>
      </c>
    </row>
    <row r="3224" spans="1:9" ht="15.75" customHeight="1">
      <c r="A3224" s="26"/>
      <c r="B3224" s="2"/>
      <c r="C3224" s="26"/>
      <c r="D3224" s="26"/>
      <c r="F3224" s="85" t="str">
        <f t="shared" si="0"/>
        <v/>
      </c>
      <c r="G3224" s="1" t="e">
        <f>IF(VALUE(F3224) = VALUE(RIGHT(Insights!$C$3, 4)), E3224, "")</f>
        <v>#VALUE!</v>
      </c>
      <c r="H3224" s="26" t="e">
        <f t="shared" si="1"/>
        <v>#VALUE!</v>
      </c>
      <c r="I3224" s="1" t="e">
        <f t="shared" si="2"/>
        <v>#VALUE!</v>
      </c>
    </row>
    <row r="3225" spans="1:9" ht="15.75" customHeight="1">
      <c r="A3225" s="26"/>
      <c r="B3225" s="2"/>
      <c r="C3225" s="26"/>
      <c r="D3225" s="26"/>
      <c r="F3225" s="85" t="str">
        <f t="shared" si="0"/>
        <v/>
      </c>
      <c r="G3225" s="1" t="e">
        <f>IF(VALUE(F3225) = VALUE(RIGHT(Insights!$C$3, 4)), E3225, "")</f>
        <v>#VALUE!</v>
      </c>
      <c r="H3225" s="26" t="e">
        <f t="shared" si="1"/>
        <v>#VALUE!</v>
      </c>
      <c r="I3225" s="1" t="e">
        <f t="shared" si="2"/>
        <v>#VALUE!</v>
      </c>
    </row>
    <row r="3226" spans="1:9" ht="15.75" customHeight="1">
      <c r="A3226" s="26"/>
      <c r="B3226" s="2"/>
      <c r="C3226" s="26"/>
      <c r="D3226" s="26"/>
      <c r="F3226" s="85" t="str">
        <f t="shared" si="0"/>
        <v/>
      </c>
      <c r="G3226" s="1" t="e">
        <f>IF(VALUE(F3226) = VALUE(RIGHT(Insights!$C$3, 4)), E3226, "")</f>
        <v>#VALUE!</v>
      </c>
      <c r="H3226" s="26" t="e">
        <f t="shared" si="1"/>
        <v>#VALUE!</v>
      </c>
      <c r="I3226" s="1" t="e">
        <f t="shared" si="2"/>
        <v>#VALUE!</v>
      </c>
    </row>
    <row r="3227" spans="1:9" ht="15.75" customHeight="1">
      <c r="A3227" s="26"/>
      <c r="B3227" s="2"/>
      <c r="C3227" s="26"/>
      <c r="D3227" s="26"/>
      <c r="F3227" s="85" t="str">
        <f t="shared" si="0"/>
        <v/>
      </c>
      <c r="G3227" s="1" t="e">
        <f>IF(VALUE(F3227) = VALUE(RIGHT(Insights!$C$3, 4)), E3227, "")</f>
        <v>#VALUE!</v>
      </c>
      <c r="H3227" s="26" t="e">
        <f t="shared" si="1"/>
        <v>#VALUE!</v>
      </c>
      <c r="I3227" s="1" t="e">
        <f t="shared" si="2"/>
        <v>#VALUE!</v>
      </c>
    </row>
    <row r="3228" spans="1:9" ht="15.75" customHeight="1">
      <c r="A3228" s="26"/>
      <c r="B3228" s="2"/>
      <c r="C3228" s="26"/>
      <c r="D3228" s="26"/>
      <c r="F3228" s="85" t="str">
        <f t="shared" si="0"/>
        <v/>
      </c>
      <c r="G3228" s="1" t="e">
        <f>IF(VALUE(F3228) = VALUE(RIGHT(Insights!$C$3, 4)), E3228, "")</f>
        <v>#VALUE!</v>
      </c>
      <c r="H3228" s="26" t="e">
        <f t="shared" si="1"/>
        <v>#VALUE!</v>
      </c>
      <c r="I3228" s="1" t="e">
        <f t="shared" si="2"/>
        <v>#VALUE!</v>
      </c>
    </row>
    <row r="3229" spans="1:9" ht="15.75" customHeight="1">
      <c r="A3229" s="26"/>
      <c r="B3229" s="2"/>
      <c r="C3229" s="26"/>
      <c r="D3229" s="26"/>
      <c r="F3229" s="85" t="str">
        <f t="shared" si="0"/>
        <v/>
      </c>
      <c r="G3229" s="1" t="e">
        <f>IF(VALUE(F3229) = VALUE(RIGHT(Insights!$C$3, 4)), E3229, "")</f>
        <v>#VALUE!</v>
      </c>
      <c r="H3229" s="26" t="e">
        <f t="shared" si="1"/>
        <v>#VALUE!</v>
      </c>
      <c r="I3229" s="1" t="e">
        <f t="shared" si="2"/>
        <v>#VALUE!</v>
      </c>
    </row>
    <row r="3230" spans="1:9" ht="15.75" customHeight="1">
      <c r="A3230" s="26"/>
      <c r="B3230" s="2"/>
      <c r="C3230" s="26"/>
      <c r="D3230" s="26"/>
      <c r="F3230" s="85" t="str">
        <f t="shared" si="0"/>
        <v/>
      </c>
      <c r="G3230" s="1" t="e">
        <f>IF(VALUE(F3230) = VALUE(RIGHT(Insights!$C$3, 4)), E3230, "")</f>
        <v>#VALUE!</v>
      </c>
      <c r="H3230" s="26" t="e">
        <f t="shared" si="1"/>
        <v>#VALUE!</v>
      </c>
      <c r="I3230" s="1" t="e">
        <f t="shared" si="2"/>
        <v>#VALUE!</v>
      </c>
    </row>
    <row r="3231" spans="1:9" ht="15.75" customHeight="1">
      <c r="A3231" s="26"/>
      <c r="B3231" s="2"/>
      <c r="C3231" s="26"/>
      <c r="D3231" s="26"/>
      <c r="F3231" s="85" t="str">
        <f t="shared" si="0"/>
        <v/>
      </c>
      <c r="G3231" s="1" t="e">
        <f>IF(VALUE(F3231) = VALUE(RIGHT(Insights!$C$3, 4)), E3231, "")</f>
        <v>#VALUE!</v>
      </c>
      <c r="H3231" s="26" t="e">
        <f t="shared" si="1"/>
        <v>#VALUE!</v>
      </c>
      <c r="I3231" s="1" t="e">
        <f t="shared" si="2"/>
        <v>#VALUE!</v>
      </c>
    </row>
    <row r="3232" spans="1:9" ht="15.75" customHeight="1">
      <c r="A3232" s="26"/>
      <c r="B3232" s="2"/>
      <c r="C3232" s="26"/>
      <c r="D3232" s="26"/>
      <c r="F3232" s="85" t="str">
        <f t="shared" si="0"/>
        <v/>
      </c>
      <c r="G3232" s="1" t="e">
        <f>IF(VALUE(F3232) = VALUE(RIGHT(Insights!$C$3, 4)), E3232, "")</f>
        <v>#VALUE!</v>
      </c>
      <c r="H3232" s="26" t="e">
        <f t="shared" si="1"/>
        <v>#VALUE!</v>
      </c>
      <c r="I3232" s="1" t="e">
        <f t="shared" si="2"/>
        <v>#VALUE!</v>
      </c>
    </row>
    <row r="3233" spans="1:9" ht="15.75" customHeight="1">
      <c r="A3233" s="26"/>
      <c r="B3233" s="2"/>
      <c r="C3233" s="26"/>
      <c r="D3233" s="26"/>
      <c r="F3233" s="85" t="str">
        <f t="shared" si="0"/>
        <v/>
      </c>
      <c r="G3233" s="1" t="e">
        <f>IF(VALUE(F3233) = VALUE(RIGHT(Insights!$C$3, 4)), E3233, "")</f>
        <v>#VALUE!</v>
      </c>
      <c r="H3233" s="26" t="e">
        <f t="shared" si="1"/>
        <v>#VALUE!</v>
      </c>
      <c r="I3233" s="1" t="e">
        <f t="shared" si="2"/>
        <v>#VALUE!</v>
      </c>
    </row>
    <row r="3234" spans="1:9" ht="15.75" customHeight="1">
      <c r="A3234" s="26"/>
      <c r="B3234" s="2"/>
      <c r="C3234" s="26"/>
      <c r="D3234" s="26"/>
      <c r="F3234" s="85" t="str">
        <f t="shared" si="0"/>
        <v/>
      </c>
      <c r="G3234" s="1" t="e">
        <f>IF(VALUE(F3234) = VALUE(RIGHT(Insights!$C$3, 4)), E3234, "")</f>
        <v>#VALUE!</v>
      </c>
      <c r="H3234" s="26" t="e">
        <f t="shared" si="1"/>
        <v>#VALUE!</v>
      </c>
      <c r="I3234" s="1" t="e">
        <f t="shared" si="2"/>
        <v>#VALUE!</v>
      </c>
    </row>
    <row r="3235" spans="1:9" ht="15.75" customHeight="1">
      <c r="A3235" s="26"/>
      <c r="B3235" s="2"/>
      <c r="C3235" s="26"/>
      <c r="D3235" s="26"/>
      <c r="F3235" s="85" t="str">
        <f t="shared" si="0"/>
        <v/>
      </c>
      <c r="G3235" s="1" t="e">
        <f>IF(VALUE(F3235) = VALUE(RIGHT(Insights!$C$3, 4)), E3235, "")</f>
        <v>#VALUE!</v>
      </c>
      <c r="H3235" s="26" t="e">
        <f t="shared" si="1"/>
        <v>#VALUE!</v>
      </c>
      <c r="I3235" s="1" t="e">
        <f t="shared" si="2"/>
        <v>#VALUE!</v>
      </c>
    </row>
    <row r="3236" spans="1:9" ht="15.75" customHeight="1">
      <c r="A3236" s="26"/>
      <c r="B3236" s="2"/>
      <c r="C3236" s="26"/>
      <c r="D3236" s="26"/>
      <c r="F3236" s="85" t="str">
        <f t="shared" si="0"/>
        <v/>
      </c>
      <c r="G3236" s="1" t="e">
        <f>IF(VALUE(F3236) = VALUE(RIGHT(Insights!$C$3, 4)), E3236, "")</f>
        <v>#VALUE!</v>
      </c>
      <c r="H3236" s="26" t="e">
        <f t="shared" si="1"/>
        <v>#VALUE!</v>
      </c>
      <c r="I3236" s="1" t="e">
        <f t="shared" si="2"/>
        <v>#VALUE!</v>
      </c>
    </row>
    <row r="3237" spans="1:9" ht="15.75" customHeight="1">
      <c r="A3237" s="26"/>
      <c r="B3237" s="2"/>
      <c r="C3237" s="26"/>
      <c r="D3237" s="26"/>
      <c r="F3237" s="85" t="str">
        <f t="shared" si="0"/>
        <v/>
      </c>
      <c r="G3237" s="1" t="e">
        <f>IF(VALUE(F3237) = VALUE(RIGHT(Insights!$C$3, 4)), E3237, "")</f>
        <v>#VALUE!</v>
      </c>
      <c r="H3237" s="26" t="e">
        <f t="shared" si="1"/>
        <v>#VALUE!</v>
      </c>
      <c r="I3237" s="1" t="e">
        <f t="shared" si="2"/>
        <v>#VALUE!</v>
      </c>
    </row>
    <row r="3238" spans="1:9" ht="15.75" customHeight="1">
      <c r="A3238" s="26"/>
      <c r="B3238" s="2"/>
      <c r="C3238" s="26"/>
      <c r="D3238" s="26"/>
      <c r="F3238" s="85" t="str">
        <f t="shared" si="0"/>
        <v/>
      </c>
      <c r="G3238" s="1" t="e">
        <f>IF(VALUE(F3238) = VALUE(RIGHT(Insights!$C$3, 4)), E3238, "")</f>
        <v>#VALUE!</v>
      </c>
      <c r="H3238" s="26" t="e">
        <f t="shared" si="1"/>
        <v>#VALUE!</v>
      </c>
      <c r="I3238" s="1" t="e">
        <f t="shared" si="2"/>
        <v>#VALUE!</v>
      </c>
    </row>
    <row r="3239" spans="1:9" ht="15.75" customHeight="1">
      <c r="A3239" s="26"/>
      <c r="B3239" s="2"/>
      <c r="C3239" s="26"/>
      <c r="D3239" s="26"/>
      <c r="F3239" s="85" t="str">
        <f t="shared" si="0"/>
        <v/>
      </c>
      <c r="G3239" s="1" t="e">
        <f>IF(VALUE(F3239) = VALUE(RIGHT(Insights!$C$3, 4)), E3239, "")</f>
        <v>#VALUE!</v>
      </c>
      <c r="H3239" s="26" t="e">
        <f t="shared" si="1"/>
        <v>#VALUE!</v>
      </c>
      <c r="I3239" s="1" t="e">
        <f t="shared" si="2"/>
        <v>#VALUE!</v>
      </c>
    </row>
    <row r="3240" spans="1:9" ht="15.75" customHeight="1">
      <c r="A3240" s="26"/>
      <c r="B3240" s="2"/>
      <c r="C3240" s="26"/>
      <c r="D3240" s="26"/>
      <c r="F3240" s="85" t="str">
        <f t="shared" si="0"/>
        <v/>
      </c>
      <c r="G3240" s="1" t="e">
        <f>IF(VALUE(F3240) = VALUE(RIGHT(Insights!$C$3, 4)), E3240, "")</f>
        <v>#VALUE!</v>
      </c>
      <c r="H3240" s="26" t="e">
        <f t="shared" si="1"/>
        <v>#VALUE!</v>
      </c>
      <c r="I3240" s="1" t="e">
        <f t="shared" si="2"/>
        <v>#VALUE!</v>
      </c>
    </row>
    <row r="3241" spans="1:9" ht="15.75" customHeight="1">
      <c r="A3241" s="26"/>
      <c r="B3241" s="2"/>
      <c r="C3241" s="26"/>
      <c r="D3241" s="26"/>
      <c r="F3241" s="85" t="str">
        <f t="shared" si="0"/>
        <v/>
      </c>
      <c r="G3241" s="1" t="e">
        <f>IF(VALUE(F3241) = VALUE(RIGHT(Insights!$C$3, 4)), E3241, "")</f>
        <v>#VALUE!</v>
      </c>
      <c r="H3241" s="26" t="e">
        <f t="shared" si="1"/>
        <v>#VALUE!</v>
      </c>
      <c r="I3241" s="1" t="e">
        <f t="shared" si="2"/>
        <v>#VALUE!</v>
      </c>
    </row>
    <row r="3242" spans="1:9" ht="15.75" customHeight="1">
      <c r="A3242" s="26"/>
      <c r="B3242" s="2"/>
      <c r="C3242" s="26"/>
      <c r="D3242" s="26"/>
      <c r="F3242" s="85" t="str">
        <f t="shared" si="0"/>
        <v/>
      </c>
      <c r="G3242" s="1" t="e">
        <f>IF(VALUE(F3242) = VALUE(RIGHT(Insights!$C$3, 4)), E3242, "")</f>
        <v>#VALUE!</v>
      </c>
      <c r="H3242" s="26" t="e">
        <f t="shared" si="1"/>
        <v>#VALUE!</v>
      </c>
      <c r="I3242" s="1" t="e">
        <f t="shared" si="2"/>
        <v>#VALUE!</v>
      </c>
    </row>
    <row r="3243" spans="1:9" ht="15.75" customHeight="1">
      <c r="A3243" s="26"/>
      <c r="B3243" s="2"/>
      <c r="C3243" s="26"/>
      <c r="D3243" s="26"/>
      <c r="F3243" s="85" t="str">
        <f t="shared" si="0"/>
        <v/>
      </c>
      <c r="G3243" s="1" t="e">
        <f>IF(VALUE(F3243) = VALUE(RIGHT(Insights!$C$3, 4)), E3243, "")</f>
        <v>#VALUE!</v>
      </c>
      <c r="H3243" s="26" t="e">
        <f t="shared" si="1"/>
        <v>#VALUE!</v>
      </c>
      <c r="I3243" s="1" t="e">
        <f t="shared" si="2"/>
        <v>#VALUE!</v>
      </c>
    </row>
    <row r="3244" spans="1:9" ht="15.75" customHeight="1">
      <c r="A3244" s="26"/>
      <c r="B3244" s="2"/>
      <c r="C3244" s="26"/>
      <c r="D3244" s="26"/>
      <c r="F3244" s="85" t="str">
        <f t="shared" si="0"/>
        <v/>
      </c>
      <c r="G3244" s="1" t="e">
        <f>IF(VALUE(F3244) = VALUE(RIGHT(Insights!$C$3, 4)), E3244, "")</f>
        <v>#VALUE!</v>
      </c>
      <c r="H3244" s="26" t="e">
        <f t="shared" si="1"/>
        <v>#VALUE!</v>
      </c>
      <c r="I3244" s="1" t="e">
        <f t="shared" si="2"/>
        <v>#VALUE!</v>
      </c>
    </row>
    <row r="3245" spans="1:9" ht="15.75" customHeight="1">
      <c r="A3245" s="26"/>
      <c r="B3245" s="2"/>
      <c r="C3245" s="26"/>
      <c r="D3245" s="26"/>
      <c r="F3245" s="85" t="str">
        <f t="shared" si="0"/>
        <v/>
      </c>
      <c r="G3245" s="1" t="e">
        <f>IF(VALUE(F3245) = VALUE(RIGHT(Insights!$C$3, 4)), E3245, "")</f>
        <v>#VALUE!</v>
      </c>
      <c r="H3245" s="26" t="e">
        <f t="shared" si="1"/>
        <v>#VALUE!</v>
      </c>
      <c r="I3245" s="1" t="e">
        <f t="shared" si="2"/>
        <v>#VALUE!</v>
      </c>
    </row>
    <row r="3246" spans="1:9" ht="15.75" customHeight="1">
      <c r="A3246" s="26"/>
      <c r="B3246" s="2"/>
      <c r="C3246" s="26"/>
      <c r="D3246" s="26"/>
      <c r="F3246" s="85" t="str">
        <f t="shared" si="0"/>
        <v/>
      </c>
      <c r="G3246" s="1" t="e">
        <f>IF(VALUE(F3246) = VALUE(RIGHT(Insights!$C$3, 4)), E3246, "")</f>
        <v>#VALUE!</v>
      </c>
      <c r="H3246" s="26" t="e">
        <f t="shared" si="1"/>
        <v>#VALUE!</v>
      </c>
      <c r="I3246" s="1" t="e">
        <f t="shared" si="2"/>
        <v>#VALUE!</v>
      </c>
    </row>
    <row r="3247" spans="1:9" ht="15.75" customHeight="1">
      <c r="A3247" s="26"/>
      <c r="B3247" s="2"/>
      <c r="C3247" s="26"/>
      <c r="D3247" s="26"/>
      <c r="F3247" s="85" t="str">
        <f t="shared" si="0"/>
        <v/>
      </c>
      <c r="G3247" s="1" t="e">
        <f>IF(VALUE(F3247) = VALUE(RIGHT(Insights!$C$3, 4)), E3247, "")</f>
        <v>#VALUE!</v>
      </c>
      <c r="H3247" s="26" t="e">
        <f t="shared" si="1"/>
        <v>#VALUE!</v>
      </c>
      <c r="I3247" s="1" t="e">
        <f t="shared" si="2"/>
        <v>#VALUE!</v>
      </c>
    </row>
    <row r="3248" spans="1:9" ht="15.75" customHeight="1">
      <c r="A3248" s="26"/>
      <c r="B3248" s="2"/>
      <c r="C3248" s="26"/>
      <c r="D3248" s="26"/>
      <c r="F3248" s="85" t="str">
        <f t="shared" si="0"/>
        <v/>
      </c>
      <c r="G3248" s="1" t="e">
        <f>IF(VALUE(F3248) = VALUE(RIGHT(Insights!$C$3, 4)), E3248, "")</f>
        <v>#VALUE!</v>
      </c>
      <c r="H3248" s="26" t="e">
        <f t="shared" si="1"/>
        <v>#VALUE!</v>
      </c>
      <c r="I3248" s="1" t="e">
        <f t="shared" si="2"/>
        <v>#VALUE!</v>
      </c>
    </row>
    <row r="3249" spans="1:9" ht="15.75" customHeight="1">
      <c r="A3249" s="26"/>
      <c r="B3249" s="2"/>
      <c r="C3249" s="26"/>
      <c r="D3249" s="26"/>
      <c r="F3249" s="85" t="str">
        <f t="shared" si="0"/>
        <v/>
      </c>
      <c r="G3249" s="1" t="e">
        <f>IF(VALUE(F3249) = VALUE(RIGHT(Insights!$C$3, 4)), E3249, "")</f>
        <v>#VALUE!</v>
      </c>
      <c r="H3249" s="26" t="e">
        <f t="shared" si="1"/>
        <v>#VALUE!</v>
      </c>
      <c r="I3249" s="1" t="e">
        <f t="shared" si="2"/>
        <v>#VALUE!</v>
      </c>
    </row>
    <row r="3250" spans="1:9" ht="15.75" customHeight="1">
      <c r="A3250" s="26"/>
      <c r="B3250" s="2"/>
      <c r="C3250" s="26"/>
      <c r="D3250" s="26"/>
      <c r="F3250" s="85" t="str">
        <f t="shared" si="0"/>
        <v/>
      </c>
      <c r="G3250" s="1" t="e">
        <f>IF(VALUE(F3250) = VALUE(RIGHT(Insights!$C$3, 4)), E3250, "")</f>
        <v>#VALUE!</v>
      </c>
      <c r="H3250" s="26" t="e">
        <f t="shared" si="1"/>
        <v>#VALUE!</v>
      </c>
      <c r="I3250" s="1" t="e">
        <f t="shared" si="2"/>
        <v>#VALUE!</v>
      </c>
    </row>
    <row r="3251" spans="1:9" ht="15.75" customHeight="1">
      <c r="A3251" s="26"/>
      <c r="B3251" s="2"/>
      <c r="C3251" s="26"/>
      <c r="D3251" s="26"/>
      <c r="F3251" s="85" t="str">
        <f t="shared" si="0"/>
        <v/>
      </c>
      <c r="G3251" s="1" t="e">
        <f>IF(VALUE(F3251) = VALUE(RIGHT(Insights!$C$3, 4)), E3251, "")</f>
        <v>#VALUE!</v>
      </c>
      <c r="H3251" s="26" t="e">
        <f t="shared" si="1"/>
        <v>#VALUE!</v>
      </c>
      <c r="I3251" s="1" t="e">
        <f t="shared" si="2"/>
        <v>#VALUE!</v>
      </c>
    </row>
    <row r="3252" spans="1:9" ht="15.75" customHeight="1">
      <c r="A3252" s="26"/>
      <c r="B3252" s="2"/>
      <c r="C3252" s="26"/>
      <c r="D3252" s="26"/>
      <c r="F3252" s="85" t="str">
        <f t="shared" si="0"/>
        <v/>
      </c>
      <c r="G3252" s="1" t="e">
        <f>IF(VALUE(F3252) = VALUE(RIGHT(Insights!$C$3, 4)), E3252, "")</f>
        <v>#VALUE!</v>
      </c>
      <c r="H3252" s="26" t="e">
        <f t="shared" si="1"/>
        <v>#VALUE!</v>
      </c>
      <c r="I3252" s="1" t="e">
        <f t="shared" si="2"/>
        <v>#VALUE!</v>
      </c>
    </row>
    <row r="3253" spans="1:9" ht="15.75" customHeight="1">
      <c r="A3253" s="26"/>
      <c r="B3253" s="2"/>
      <c r="C3253" s="26"/>
      <c r="D3253" s="26"/>
      <c r="F3253" s="85" t="str">
        <f t="shared" si="0"/>
        <v/>
      </c>
      <c r="G3253" s="1" t="e">
        <f>IF(VALUE(F3253) = VALUE(RIGHT(Insights!$C$3, 4)), E3253, "")</f>
        <v>#VALUE!</v>
      </c>
      <c r="H3253" s="26" t="e">
        <f t="shared" si="1"/>
        <v>#VALUE!</v>
      </c>
      <c r="I3253" s="1" t="e">
        <f t="shared" si="2"/>
        <v>#VALUE!</v>
      </c>
    </row>
    <row r="3254" spans="1:9" ht="15.75" customHeight="1">
      <c r="A3254" s="26"/>
      <c r="B3254" s="2"/>
      <c r="C3254" s="26"/>
      <c r="D3254" s="26"/>
      <c r="F3254" s="85" t="str">
        <f t="shared" si="0"/>
        <v/>
      </c>
      <c r="G3254" s="1" t="e">
        <f>IF(VALUE(F3254) = VALUE(RIGHT(Insights!$C$3, 4)), E3254, "")</f>
        <v>#VALUE!</v>
      </c>
      <c r="H3254" s="26" t="e">
        <f t="shared" si="1"/>
        <v>#VALUE!</v>
      </c>
      <c r="I3254" s="1" t="e">
        <f t="shared" si="2"/>
        <v>#VALUE!</v>
      </c>
    </row>
    <row r="3255" spans="1:9" ht="15.75" customHeight="1">
      <c r="A3255" s="26"/>
      <c r="B3255" s="2"/>
      <c r="C3255" s="26"/>
      <c r="D3255" s="26"/>
      <c r="F3255" s="85" t="str">
        <f t="shared" si="0"/>
        <v/>
      </c>
      <c r="G3255" s="1" t="e">
        <f>IF(VALUE(F3255) = VALUE(RIGHT(Insights!$C$3, 4)), E3255, "")</f>
        <v>#VALUE!</v>
      </c>
      <c r="H3255" s="26" t="e">
        <f t="shared" si="1"/>
        <v>#VALUE!</v>
      </c>
      <c r="I3255" s="1" t="e">
        <f t="shared" si="2"/>
        <v>#VALUE!</v>
      </c>
    </row>
    <row r="3256" spans="1:9" ht="15.75" customHeight="1">
      <c r="A3256" s="26"/>
      <c r="B3256" s="2"/>
      <c r="C3256" s="26"/>
      <c r="D3256" s="26"/>
      <c r="F3256" s="85" t="str">
        <f t="shared" si="0"/>
        <v/>
      </c>
      <c r="G3256" s="1" t="e">
        <f>IF(VALUE(F3256) = VALUE(RIGHT(Insights!$C$3, 4)), E3256, "")</f>
        <v>#VALUE!</v>
      </c>
      <c r="H3256" s="26" t="e">
        <f t="shared" si="1"/>
        <v>#VALUE!</v>
      </c>
      <c r="I3256" s="1" t="e">
        <f t="shared" si="2"/>
        <v>#VALUE!</v>
      </c>
    </row>
    <row r="3257" spans="1:9" ht="15.75" customHeight="1">
      <c r="A3257" s="26"/>
      <c r="B3257" s="2"/>
      <c r="C3257" s="26"/>
      <c r="D3257" s="26"/>
      <c r="F3257" s="85" t="str">
        <f t="shared" si="0"/>
        <v/>
      </c>
      <c r="G3257" s="1" t="e">
        <f>IF(VALUE(F3257) = VALUE(RIGHT(Insights!$C$3, 4)), E3257, "")</f>
        <v>#VALUE!</v>
      </c>
      <c r="H3257" s="26" t="e">
        <f t="shared" si="1"/>
        <v>#VALUE!</v>
      </c>
      <c r="I3257" s="1" t="e">
        <f t="shared" si="2"/>
        <v>#VALUE!</v>
      </c>
    </row>
    <row r="3258" spans="1:9" ht="15.75" customHeight="1">
      <c r="A3258" s="26"/>
      <c r="B3258" s="2"/>
      <c r="C3258" s="26"/>
      <c r="D3258" s="26"/>
      <c r="F3258" s="85" t="str">
        <f t="shared" si="0"/>
        <v/>
      </c>
      <c r="G3258" s="1" t="e">
        <f>IF(VALUE(F3258) = VALUE(RIGHT(Insights!$C$3, 4)), E3258, "")</f>
        <v>#VALUE!</v>
      </c>
      <c r="H3258" s="26" t="e">
        <f t="shared" si="1"/>
        <v>#VALUE!</v>
      </c>
      <c r="I3258" s="1" t="e">
        <f t="shared" si="2"/>
        <v>#VALUE!</v>
      </c>
    </row>
    <row r="3259" spans="1:9" ht="15.75" customHeight="1">
      <c r="A3259" s="26"/>
      <c r="B3259" s="2"/>
      <c r="C3259" s="26"/>
      <c r="D3259" s="26"/>
      <c r="F3259" s="85" t="str">
        <f t="shared" si="0"/>
        <v/>
      </c>
      <c r="G3259" s="1" t="e">
        <f>IF(VALUE(F3259) = VALUE(RIGHT(Insights!$C$3, 4)), E3259, "")</f>
        <v>#VALUE!</v>
      </c>
      <c r="H3259" s="26" t="e">
        <f t="shared" si="1"/>
        <v>#VALUE!</v>
      </c>
      <c r="I3259" s="1" t="e">
        <f t="shared" si="2"/>
        <v>#VALUE!</v>
      </c>
    </row>
    <row r="3260" spans="1:9" ht="15.75" customHeight="1">
      <c r="A3260" s="26"/>
      <c r="B3260" s="2"/>
      <c r="C3260" s="26"/>
      <c r="D3260" s="26"/>
      <c r="F3260" s="85" t="str">
        <f t="shared" si="0"/>
        <v/>
      </c>
      <c r="G3260" s="1" t="e">
        <f>IF(VALUE(F3260) = VALUE(RIGHT(Insights!$C$3, 4)), E3260, "")</f>
        <v>#VALUE!</v>
      </c>
      <c r="H3260" s="26" t="e">
        <f t="shared" si="1"/>
        <v>#VALUE!</v>
      </c>
      <c r="I3260" s="1" t="e">
        <f t="shared" si="2"/>
        <v>#VALUE!</v>
      </c>
    </row>
    <row r="3261" spans="1:9" ht="15.75" customHeight="1">
      <c r="A3261" s="26"/>
      <c r="B3261" s="2"/>
      <c r="C3261" s="26"/>
      <c r="D3261" s="26"/>
      <c r="F3261" s="85" t="str">
        <f t="shared" si="0"/>
        <v/>
      </c>
      <c r="G3261" s="1" t="e">
        <f>IF(VALUE(F3261) = VALUE(RIGHT(Insights!$C$3, 4)), E3261, "")</f>
        <v>#VALUE!</v>
      </c>
      <c r="H3261" s="26" t="e">
        <f t="shared" si="1"/>
        <v>#VALUE!</v>
      </c>
      <c r="I3261" s="1" t="e">
        <f t="shared" si="2"/>
        <v>#VALUE!</v>
      </c>
    </row>
    <row r="3262" spans="1:9" ht="15.75" customHeight="1">
      <c r="A3262" s="26"/>
      <c r="B3262" s="2"/>
      <c r="C3262" s="26"/>
      <c r="D3262" s="26"/>
      <c r="F3262" s="85" t="str">
        <f t="shared" si="0"/>
        <v/>
      </c>
      <c r="G3262" s="1" t="e">
        <f>IF(VALUE(F3262) = VALUE(RIGHT(Insights!$C$3, 4)), E3262, "")</f>
        <v>#VALUE!</v>
      </c>
      <c r="H3262" s="26" t="e">
        <f t="shared" si="1"/>
        <v>#VALUE!</v>
      </c>
      <c r="I3262" s="1" t="e">
        <f t="shared" si="2"/>
        <v>#VALUE!</v>
      </c>
    </row>
    <row r="3263" spans="1:9" ht="15.75" customHeight="1">
      <c r="A3263" s="26"/>
      <c r="B3263" s="2"/>
      <c r="C3263" s="26"/>
      <c r="D3263" s="26"/>
      <c r="F3263" s="85" t="str">
        <f t="shared" si="0"/>
        <v/>
      </c>
      <c r="G3263" s="1" t="e">
        <f>IF(VALUE(F3263) = VALUE(RIGHT(Insights!$C$3, 4)), E3263, "")</f>
        <v>#VALUE!</v>
      </c>
      <c r="H3263" s="26" t="e">
        <f t="shared" si="1"/>
        <v>#VALUE!</v>
      </c>
      <c r="I3263" s="1" t="e">
        <f t="shared" si="2"/>
        <v>#VALUE!</v>
      </c>
    </row>
    <row r="3264" spans="1:9" ht="15.75" customHeight="1">
      <c r="A3264" s="26"/>
      <c r="B3264" s="2"/>
      <c r="C3264" s="26"/>
      <c r="D3264" s="26"/>
      <c r="F3264" s="85" t="str">
        <f t="shared" si="0"/>
        <v/>
      </c>
      <c r="G3264" s="1" t="e">
        <f>IF(VALUE(F3264) = VALUE(RIGHT(Insights!$C$3, 4)), E3264, "")</f>
        <v>#VALUE!</v>
      </c>
      <c r="H3264" s="26" t="e">
        <f t="shared" si="1"/>
        <v>#VALUE!</v>
      </c>
      <c r="I3264" s="1" t="e">
        <f t="shared" si="2"/>
        <v>#VALUE!</v>
      </c>
    </row>
    <row r="3265" spans="1:9" ht="15.75" customHeight="1">
      <c r="A3265" s="26"/>
      <c r="B3265" s="2"/>
      <c r="C3265" s="26"/>
      <c r="D3265" s="26"/>
      <c r="F3265" s="85" t="str">
        <f t="shared" si="0"/>
        <v/>
      </c>
      <c r="G3265" s="1" t="e">
        <f>IF(VALUE(F3265) = VALUE(RIGHT(Insights!$C$3, 4)), E3265, "")</f>
        <v>#VALUE!</v>
      </c>
      <c r="H3265" s="26" t="e">
        <f t="shared" si="1"/>
        <v>#VALUE!</v>
      </c>
      <c r="I3265" s="1" t="e">
        <f t="shared" si="2"/>
        <v>#VALUE!</v>
      </c>
    </row>
    <row r="3266" spans="1:9" ht="15.75" customHeight="1">
      <c r="A3266" s="26"/>
      <c r="B3266" s="2"/>
      <c r="C3266" s="26"/>
      <c r="D3266" s="26"/>
      <c r="F3266" s="85" t="str">
        <f t="shared" si="0"/>
        <v/>
      </c>
      <c r="G3266" s="1" t="e">
        <f>IF(VALUE(F3266) = VALUE(RIGHT(Insights!$C$3, 4)), E3266, "")</f>
        <v>#VALUE!</v>
      </c>
      <c r="H3266" s="26" t="e">
        <f t="shared" si="1"/>
        <v>#VALUE!</v>
      </c>
      <c r="I3266" s="1" t="e">
        <f t="shared" si="2"/>
        <v>#VALUE!</v>
      </c>
    </row>
    <row r="3267" spans="1:9" ht="15.75" customHeight="1">
      <c r="A3267" s="26"/>
      <c r="B3267" s="2"/>
      <c r="C3267" s="26"/>
      <c r="D3267" s="26"/>
      <c r="F3267" s="85" t="str">
        <f t="shared" si="0"/>
        <v/>
      </c>
      <c r="G3267" s="1" t="e">
        <f>IF(VALUE(F3267) = VALUE(RIGHT(Insights!$C$3, 4)), E3267, "")</f>
        <v>#VALUE!</v>
      </c>
      <c r="H3267" s="26" t="e">
        <f t="shared" si="1"/>
        <v>#VALUE!</v>
      </c>
      <c r="I3267" s="1" t="e">
        <f t="shared" si="2"/>
        <v>#VALUE!</v>
      </c>
    </row>
    <row r="3268" spans="1:9" ht="15.75" customHeight="1">
      <c r="A3268" s="26"/>
      <c r="B3268" s="2"/>
      <c r="C3268" s="26"/>
      <c r="D3268" s="26"/>
      <c r="F3268" s="85" t="str">
        <f t="shared" si="0"/>
        <v/>
      </c>
      <c r="G3268" s="1" t="e">
        <f>IF(VALUE(F3268) = VALUE(RIGHT(Insights!$C$3, 4)), E3268, "")</f>
        <v>#VALUE!</v>
      </c>
      <c r="H3268" s="26" t="e">
        <f t="shared" si="1"/>
        <v>#VALUE!</v>
      </c>
      <c r="I3268" s="1" t="e">
        <f t="shared" si="2"/>
        <v>#VALUE!</v>
      </c>
    </row>
    <row r="3269" spans="1:9" ht="15.75" customHeight="1">
      <c r="A3269" s="26"/>
      <c r="B3269" s="2"/>
      <c r="C3269" s="26"/>
      <c r="D3269" s="26"/>
      <c r="F3269" s="85" t="str">
        <f t="shared" si="0"/>
        <v/>
      </c>
      <c r="G3269" s="1" t="e">
        <f>IF(VALUE(F3269) = VALUE(RIGHT(Insights!$C$3, 4)), E3269, "")</f>
        <v>#VALUE!</v>
      </c>
      <c r="H3269" s="26" t="e">
        <f t="shared" si="1"/>
        <v>#VALUE!</v>
      </c>
      <c r="I3269" s="1" t="e">
        <f t="shared" si="2"/>
        <v>#VALUE!</v>
      </c>
    </row>
    <row r="3270" spans="1:9" ht="15.75" customHeight="1">
      <c r="A3270" s="26"/>
      <c r="B3270" s="2"/>
      <c r="C3270" s="26"/>
      <c r="D3270" s="26"/>
      <c r="F3270" s="85" t="str">
        <f t="shared" si="0"/>
        <v/>
      </c>
      <c r="G3270" s="1" t="e">
        <f>IF(VALUE(F3270) = VALUE(RIGHT(Insights!$C$3, 4)), E3270, "")</f>
        <v>#VALUE!</v>
      </c>
      <c r="H3270" s="26" t="e">
        <f t="shared" si="1"/>
        <v>#VALUE!</v>
      </c>
      <c r="I3270" s="1" t="e">
        <f t="shared" si="2"/>
        <v>#VALUE!</v>
      </c>
    </row>
    <row r="3271" spans="1:9" ht="15.75" customHeight="1">
      <c r="A3271" s="26"/>
      <c r="B3271" s="2"/>
      <c r="C3271" s="26"/>
      <c r="D3271" s="26"/>
      <c r="F3271" s="85" t="str">
        <f t="shared" si="0"/>
        <v/>
      </c>
      <c r="G3271" s="1" t="e">
        <f>IF(VALUE(F3271) = VALUE(RIGHT(Insights!$C$3, 4)), E3271, "")</f>
        <v>#VALUE!</v>
      </c>
      <c r="H3271" s="26" t="e">
        <f t="shared" si="1"/>
        <v>#VALUE!</v>
      </c>
      <c r="I3271" s="1" t="e">
        <f t="shared" si="2"/>
        <v>#VALUE!</v>
      </c>
    </row>
    <row r="3272" spans="1:9" ht="15.75" customHeight="1">
      <c r="A3272" s="26"/>
      <c r="B3272" s="2"/>
      <c r="C3272" s="26"/>
      <c r="D3272" s="26"/>
      <c r="F3272" s="85" t="str">
        <f t="shared" si="0"/>
        <v/>
      </c>
      <c r="G3272" s="1" t="e">
        <f>IF(VALUE(F3272) = VALUE(RIGHT(Insights!$C$3, 4)), E3272, "")</f>
        <v>#VALUE!</v>
      </c>
      <c r="H3272" s="26" t="e">
        <f t="shared" si="1"/>
        <v>#VALUE!</v>
      </c>
      <c r="I3272" s="1" t="e">
        <f t="shared" si="2"/>
        <v>#VALUE!</v>
      </c>
    </row>
    <row r="3273" spans="1:9" ht="15.75" customHeight="1">
      <c r="A3273" s="26"/>
      <c r="B3273" s="2"/>
      <c r="C3273" s="26"/>
      <c r="D3273" s="26"/>
      <c r="F3273" s="85" t="str">
        <f t="shared" si="0"/>
        <v/>
      </c>
      <c r="G3273" s="1" t="e">
        <f>IF(VALUE(F3273) = VALUE(RIGHT(Insights!$C$3, 4)), E3273, "")</f>
        <v>#VALUE!</v>
      </c>
      <c r="H3273" s="26" t="e">
        <f t="shared" si="1"/>
        <v>#VALUE!</v>
      </c>
      <c r="I3273" s="1" t="e">
        <f t="shared" si="2"/>
        <v>#VALUE!</v>
      </c>
    </row>
    <row r="3274" spans="1:9" ht="15.75" customHeight="1">
      <c r="A3274" s="26"/>
      <c r="B3274" s="2"/>
      <c r="C3274" s="26"/>
      <c r="D3274" s="26"/>
      <c r="F3274" s="85" t="str">
        <f t="shared" si="0"/>
        <v/>
      </c>
      <c r="G3274" s="1" t="e">
        <f>IF(VALUE(F3274) = VALUE(RIGHT(Insights!$C$3, 4)), E3274, "")</f>
        <v>#VALUE!</v>
      </c>
      <c r="H3274" s="26" t="e">
        <f t="shared" si="1"/>
        <v>#VALUE!</v>
      </c>
      <c r="I3274" s="1" t="e">
        <f t="shared" si="2"/>
        <v>#VALUE!</v>
      </c>
    </row>
    <row r="3275" spans="1:9" ht="15.75" customHeight="1">
      <c r="A3275" s="26"/>
      <c r="B3275" s="2"/>
      <c r="C3275" s="26"/>
      <c r="D3275" s="26"/>
      <c r="F3275" s="85" t="str">
        <f t="shared" si="0"/>
        <v/>
      </c>
      <c r="G3275" s="1" t="e">
        <f>IF(VALUE(F3275) = VALUE(RIGHT(Insights!$C$3, 4)), E3275, "")</f>
        <v>#VALUE!</v>
      </c>
      <c r="H3275" s="26" t="e">
        <f t="shared" si="1"/>
        <v>#VALUE!</v>
      </c>
      <c r="I3275" s="1" t="e">
        <f t="shared" si="2"/>
        <v>#VALUE!</v>
      </c>
    </row>
    <row r="3276" spans="1:9" ht="15.75" customHeight="1">
      <c r="A3276" s="26"/>
      <c r="B3276" s="2"/>
      <c r="C3276" s="26"/>
      <c r="D3276" s="26"/>
      <c r="F3276" s="85" t="str">
        <f t="shared" si="0"/>
        <v/>
      </c>
      <c r="G3276" s="1" t="e">
        <f>IF(VALUE(F3276) = VALUE(RIGHT(Insights!$C$3, 4)), E3276, "")</f>
        <v>#VALUE!</v>
      </c>
      <c r="H3276" s="26" t="e">
        <f t="shared" si="1"/>
        <v>#VALUE!</v>
      </c>
      <c r="I3276" s="1" t="e">
        <f t="shared" si="2"/>
        <v>#VALUE!</v>
      </c>
    </row>
    <row r="3277" spans="1:9" ht="15.75" customHeight="1">
      <c r="A3277" s="26"/>
      <c r="B3277" s="2"/>
      <c r="C3277" s="26"/>
      <c r="D3277" s="26"/>
      <c r="F3277" s="85" t="str">
        <f t="shared" si="0"/>
        <v/>
      </c>
      <c r="G3277" s="1" t="e">
        <f>IF(VALUE(F3277) = VALUE(RIGHT(Insights!$C$3, 4)), E3277, "")</f>
        <v>#VALUE!</v>
      </c>
      <c r="H3277" s="26" t="e">
        <f t="shared" si="1"/>
        <v>#VALUE!</v>
      </c>
      <c r="I3277" s="1" t="e">
        <f t="shared" si="2"/>
        <v>#VALUE!</v>
      </c>
    </row>
    <row r="3278" spans="1:9" ht="15.75" customHeight="1">
      <c r="A3278" s="26"/>
      <c r="B3278" s="2"/>
      <c r="C3278" s="26"/>
      <c r="D3278" s="26"/>
      <c r="F3278" s="85" t="str">
        <f t="shared" si="0"/>
        <v/>
      </c>
      <c r="G3278" s="1" t="e">
        <f>IF(VALUE(F3278) = VALUE(RIGHT(Insights!$C$3, 4)), E3278, "")</f>
        <v>#VALUE!</v>
      </c>
      <c r="H3278" s="26" t="e">
        <f t="shared" si="1"/>
        <v>#VALUE!</v>
      </c>
      <c r="I3278" s="1" t="e">
        <f t="shared" si="2"/>
        <v>#VALUE!</v>
      </c>
    </row>
    <row r="3279" spans="1:9" ht="15.75" customHeight="1">
      <c r="A3279" s="26"/>
      <c r="B3279" s="2"/>
      <c r="C3279" s="26"/>
      <c r="D3279" s="26"/>
      <c r="F3279" s="85" t="str">
        <f t="shared" si="0"/>
        <v/>
      </c>
      <c r="G3279" s="1" t="e">
        <f>IF(VALUE(F3279) = VALUE(RIGHT(Insights!$C$3, 4)), E3279, "")</f>
        <v>#VALUE!</v>
      </c>
      <c r="H3279" s="26" t="e">
        <f t="shared" si="1"/>
        <v>#VALUE!</v>
      </c>
      <c r="I3279" s="1" t="e">
        <f t="shared" si="2"/>
        <v>#VALUE!</v>
      </c>
    </row>
    <row r="3280" spans="1:9" ht="15.75" customHeight="1">
      <c r="A3280" s="26"/>
      <c r="B3280" s="2"/>
      <c r="C3280" s="26"/>
      <c r="D3280" s="26"/>
      <c r="F3280" s="85" t="str">
        <f t="shared" si="0"/>
        <v/>
      </c>
      <c r="G3280" s="1" t="e">
        <f>IF(VALUE(F3280) = VALUE(RIGHT(Insights!$C$3, 4)), E3280, "")</f>
        <v>#VALUE!</v>
      </c>
      <c r="H3280" s="26" t="e">
        <f t="shared" si="1"/>
        <v>#VALUE!</v>
      </c>
      <c r="I3280" s="1" t="e">
        <f t="shared" si="2"/>
        <v>#VALUE!</v>
      </c>
    </row>
    <row r="3281" spans="1:9" ht="15.75" customHeight="1">
      <c r="A3281" s="26"/>
      <c r="B3281" s="2"/>
      <c r="C3281" s="26"/>
      <c r="D3281" s="26"/>
      <c r="F3281" s="85" t="str">
        <f t="shared" si="0"/>
        <v/>
      </c>
      <c r="G3281" s="1" t="e">
        <f>IF(VALUE(F3281) = VALUE(RIGHT(Insights!$C$3, 4)), E3281, "")</f>
        <v>#VALUE!</v>
      </c>
      <c r="H3281" s="26" t="e">
        <f t="shared" si="1"/>
        <v>#VALUE!</v>
      </c>
      <c r="I3281" s="1" t="e">
        <f t="shared" si="2"/>
        <v>#VALUE!</v>
      </c>
    </row>
    <row r="3282" spans="1:9" ht="15.75" customHeight="1">
      <c r="A3282" s="26"/>
      <c r="B3282" s="2"/>
      <c r="C3282" s="26"/>
      <c r="D3282" s="26"/>
      <c r="F3282" s="85" t="str">
        <f t="shared" si="0"/>
        <v/>
      </c>
      <c r="G3282" s="1" t="e">
        <f>IF(VALUE(F3282) = VALUE(RIGHT(Insights!$C$3, 4)), E3282, "")</f>
        <v>#VALUE!</v>
      </c>
      <c r="H3282" s="26" t="e">
        <f t="shared" si="1"/>
        <v>#VALUE!</v>
      </c>
      <c r="I3282" s="1" t="e">
        <f t="shared" si="2"/>
        <v>#VALUE!</v>
      </c>
    </row>
    <row r="3283" spans="1:9" ht="15.75" customHeight="1">
      <c r="A3283" s="26"/>
      <c r="B3283" s="2"/>
      <c r="C3283" s="26"/>
      <c r="D3283" s="26"/>
      <c r="F3283" s="85" t="str">
        <f t="shared" si="0"/>
        <v/>
      </c>
      <c r="G3283" s="1" t="e">
        <f>IF(VALUE(F3283) = VALUE(RIGHT(Insights!$C$3, 4)), E3283, "")</f>
        <v>#VALUE!</v>
      </c>
      <c r="H3283" s="26" t="e">
        <f t="shared" si="1"/>
        <v>#VALUE!</v>
      </c>
      <c r="I3283" s="1" t="e">
        <f t="shared" si="2"/>
        <v>#VALUE!</v>
      </c>
    </row>
    <row r="3284" spans="1:9" ht="15.75" customHeight="1">
      <c r="A3284" s="26"/>
      <c r="B3284" s="2"/>
      <c r="C3284" s="26"/>
      <c r="D3284" s="26"/>
      <c r="F3284" s="85" t="str">
        <f t="shared" si="0"/>
        <v/>
      </c>
      <c r="G3284" s="1" t="e">
        <f>IF(VALUE(F3284) = VALUE(RIGHT(Insights!$C$3, 4)), E3284, "")</f>
        <v>#VALUE!</v>
      </c>
      <c r="H3284" s="26" t="e">
        <f t="shared" si="1"/>
        <v>#VALUE!</v>
      </c>
      <c r="I3284" s="1" t="e">
        <f t="shared" si="2"/>
        <v>#VALUE!</v>
      </c>
    </row>
    <row r="3285" spans="1:9" ht="15.75" customHeight="1">
      <c r="A3285" s="26"/>
      <c r="B3285" s="2"/>
      <c r="C3285" s="26"/>
      <c r="D3285" s="26"/>
      <c r="F3285" s="85" t="str">
        <f t="shared" si="0"/>
        <v/>
      </c>
      <c r="G3285" s="1" t="e">
        <f>IF(VALUE(F3285) = VALUE(RIGHT(Insights!$C$3, 4)), E3285, "")</f>
        <v>#VALUE!</v>
      </c>
      <c r="H3285" s="26" t="e">
        <f t="shared" si="1"/>
        <v>#VALUE!</v>
      </c>
      <c r="I3285" s="1" t="e">
        <f t="shared" si="2"/>
        <v>#VALUE!</v>
      </c>
    </row>
    <row r="3286" spans="1:9" ht="15.75" customHeight="1">
      <c r="A3286" s="26"/>
      <c r="B3286" s="2"/>
      <c r="C3286" s="26"/>
      <c r="D3286" s="26"/>
      <c r="F3286" s="85" t="str">
        <f t="shared" si="0"/>
        <v/>
      </c>
      <c r="G3286" s="1" t="e">
        <f>IF(VALUE(F3286) = VALUE(RIGHT(Insights!$C$3, 4)), E3286, "")</f>
        <v>#VALUE!</v>
      </c>
      <c r="H3286" s="26" t="e">
        <f t="shared" si="1"/>
        <v>#VALUE!</v>
      </c>
      <c r="I3286" s="1" t="e">
        <f t="shared" si="2"/>
        <v>#VALUE!</v>
      </c>
    </row>
    <row r="3287" spans="1:9" ht="15.75" customHeight="1">
      <c r="A3287" s="26"/>
      <c r="B3287" s="2"/>
      <c r="C3287" s="26"/>
      <c r="D3287" s="26"/>
      <c r="F3287" s="85" t="str">
        <f t="shared" si="0"/>
        <v/>
      </c>
      <c r="G3287" s="1" t="e">
        <f>IF(VALUE(F3287) = VALUE(RIGHT(Insights!$C$3, 4)), E3287, "")</f>
        <v>#VALUE!</v>
      </c>
      <c r="H3287" s="26" t="e">
        <f t="shared" si="1"/>
        <v>#VALUE!</v>
      </c>
      <c r="I3287" s="1" t="e">
        <f t="shared" si="2"/>
        <v>#VALUE!</v>
      </c>
    </row>
    <row r="3288" spans="1:9" ht="15.75" customHeight="1">
      <c r="A3288" s="26"/>
      <c r="B3288" s="2"/>
      <c r="C3288" s="26"/>
      <c r="D3288" s="26"/>
      <c r="F3288" s="85" t="str">
        <f t="shared" si="0"/>
        <v/>
      </c>
      <c r="G3288" s="1" t="e">
        <f>IF(VALUE(F3288) = VALUE(RIGHT(Insights!$C$3, 4)), E3288, "")</f>
        <v>#VALUE!</v>
      </c>
      <c r="H3288" s="26" t="e">
        <f t="shared" si="1"/>
        <v>#VALUE!</v>
      </c>
      <c r="I3288" s="1" t="e">
        <f t="shared" si="2"/>
        <v>#VALUE!</v>
      </c>
    </row>
    <row r="3289" spans="1:9" ht="15.75" customHeight="1">
      <c r="A3289" s="26"/>
      <c r="B3289" s="2"/>
      <c r="C3289" s="26"/>
      <c r="D3289" s="26"/>
      <c r="F3289" s="85" t="str">
        <f t="shared" si="0"/>
        <v/>
      </c>
      <c r="G3289" s="1" t="e">
        <f>IF(VALUE(F3289) = VALUE(RIGHT(Insights!$C$3, 4)), E3289, "")</f>
        <v>#VALUE!</v>
      </c>
      <c r="H3289" s="26" t="e">
        <f t="shared" si="1"/>
        <v>#VALUE!</v>
      </c>
      <c r="I3289" s="1" t="e">
        <f t="shared" si="2"/>
        <v>#VALUE!</v>
      </c>
    </row>
    <row r="3290" spans="1:9" ht="15.75" customHeight="1">
      <c r="A3290" s="26"/>
      <c r="B3290" s="2"/>
      <c r="C3290" s="26"/>
      <c r="D3290" s="26"/>
      <c r="F3290" s="85" t="str">
        <f t="shared" si="0"/>
        <v/>
      </c>
      <c r="G3290" s="1" t="e">
        <f>IF(VALUE(F3290) = VALUE(RIGHT(Insights!$C$3, 4)), E3290, "")</f>
        <v>#VALUE!</v>
      </c>
      <c r="H3290" s="26" t="e">
        <f t="shared" si="1"/>
        <v>#VALUE!</v>
      </c>
      <c r="I3290" s="1" t="e">
        <f t="shared" si="2"/>
        <v>#VALUE!</v>
      </c>
    </row>
    <row r="3291" spans="1:9" ht="15.75" customHeight="1">
      <c r="A3291" s="26"/>
      <c r="B3291" s="2"/>
      <c r="C3291" s="26"/>
      <c r="D3291" s="26"/>
      <c r="F3291" s="85" t="str">
        <f t="shared" si="0"/>
        <v/>
      </c>
      <c r="G3291" s="1" t="e">
        <f>IF(VALUE(F3291) = VALUE(RIGHT(Insights!$C$3, 4)), E3291, "")</f>
        <v>#VALUE!</v>
      </c>
      <c r="H3291" s="26" t="e">
        <f t="shared" si="1"/>
        <v>#VALUE!</v>
      </c>
      <c r="I3291" s="1" t="e">
        <f t="shared" si="2"/>
        <v>#VALUE!</v>
      </c>
    </row>
    <row r="3292" spans="1:9" ht="15.75" customHeight="1">
      <c r="A3292" s="26"/>
      <c r="B3292" s="2"/>
      <c r="C3292" s="26"/>
      <c r="D3292" s="26"/>
      <c r="F3292" s="85" t="str">
        <f t="shared" si="0"/>
        <v/>
      </c>
      <c r="G3292" s="1" t="e">
        <f>IF(VALUE(F3292) = VALUE(RIGHT(Insights!$C$3, 4)), E3292, "")</f>
        <v>#VALUE!</v>
      </c>
      <c r="H3292" s="26" t="e">
        <f t="shared" si="1"/>
        <v>#VALUE!</v>
      </c>
      <c r="I3292" s="1" t="e">
        <f t="shared" si="2"/>
        <v>#VALUE!</v>
      </c>
    </row>
    <row r="3293" spans="1:9" ht="15.75" customHeight="1">
      <c r="A3293" s="26"/>
      <c r="B3293" s="2"/>
      <c r="C3293" s="26"/>
      <c r="D3293" s="26"/>
      <c r="F3293" s="85" t="str">
        <f t="shared" si="0"/>
        <v/>
      </c>
      <c r="G3293" s="1" t="e">
        <f>IF(VALUE(F3293) = VALUE(RIGHT(Insights!$C$3, 4)), E3293, "")</f>
        <v>#VALUE!</v>
      </c>
      <c r="H3293" s="26" t="e">
        <f t="shared" si="1"/>
        <v>#VALUE!</v>
      </c>
      <c r="I3293" s="1" t="e">
        <f t="shared" si="2"/>
        <v>#VALUE!</v>
      </c>
    </row>
    <row r="3294" spans="1:9" ht="15.75" customHeight="1">
      <c r="A3294" s="26"/>
      <c r="B3294" s="2"/>
      <c r="C3294" s="26"/>
      <c r="D3294" s="26"/>
      <c r="F3294" s="85" t="str">
        <f t="shared" si="0"/>
        <v/>
      </c>
      <c r="G3294" s="1" t="e">
        <f>IF(VALUE(F3294) = VALUE(RIGHT(Insights!$C$3, 4)), E3294, "")</f>
        <v>#VALUE!</v>
      </c>
      <c r="H3294" s="26" t="e">
        <f t="shared" si="1"/>
        <v>#VALUE!</v>
      </c>
      <c r="I3294" s="1" t="e">
        <f t="shared" si="2"/>
        <v>#VALUE!</v>
      </c>
    </row>
    <row r="3295" spans="1:9" ht="15.75" customHeight="1">
      <c r="A3295" s="26"/>
      <c r="B3295" s="2"/>
      <c r="C3295" s="26"/>
      <c r="D3295" s="26"/>
      <c r="F3295" s="85" t="str">
        <f t="shared" si="0"/>
        <v/>
      </c>
      <c r="G3295" s="1" t="e">
        <f>IF(VALUE(F3295) = VALUE(RIGHT(Insights!$C$3, 4)), E3295, "")</f>
        <v>#VALUE!</v>
      </c>
      <c r="H3295" s="26" t="e">
        <f t="shared" si="1"/>
        <v>#VALUE!</v>
      </c>
      <c r="I3295" s="1" t="e">
        <f t="shared" si="2"/>
        <v>#VALUE!</v>
      </c>
    </row>
    <row r="3296" spans="1:9" ht="15.75" customHeight="1">
      <c r="A3296" s="26"/>
      <c r="B3296" s="2"/>
      <c r="C3296" s="26"/>
      <c r="D3296" s="26"/>
      <c r="F3296" s="85" t="str">
        <f t="shared" si="0"/>
        <v/>
      </c>
      <c r="G3296" s="1" t="e">
        <f>IF(VALUE(F3296) = VALUE(RIGHT(Insights!$C$3, 4)), E3296, "")</f>
        <v>#VALUE!</v>
      </c>
      <c r="H3296" s="26" t="e">
        <f t="shared" si="1"/>
        <v>#VALUE!</v>
      </c>
      <c r="I3296" s="1" t="e">
        <f t="shared" si="2"/>
        <v>#VALUE!</v>
      </c>
    </row>
    <row r="3297" spans="1:9" ht="15.75" customHeight="1">
      <c r="A3297" s="26"/>
      <c r="B3297" s="2"/>
      <c r="C3297" s="26"/>
      <c r="D3297" s="26"/>
      <c r="F3297" s="85" t="str">
        <f t="shared" si="0"/>
        <v/>
      </c>
      <c r="G3297" s="1" t="e">
        <f>IF(VALUE(F3297) = VALUE(RIGHT(Insights!$C$3, 4)), E3297, "")</f>
        <v>#VALUE!</v>
      </c>
      <c r="H3297" s="26" t="e">
        <f t="shared" si="1"/>
        <v>#VALUE!</v>
      </c>
      <c r="I3297" s="1" t="e">
        <f t="shared" si="2"/>
        <v>#VALUE!</v>
      </c>
    </row>
    <row r="3298" spans="1:9" ht="15.75" customHeight="1">
      <c r="A3298" s="26"/>
      <c r="B3298" s="2"/>
      <c r="C3298" s="26"/>
      <c r="D3298" s="26"/>
      <c r="F3298" s="85" t="str">
        <f t="shared" si="0"/>
        <v/>
      </c>
      <c r="G3298" s="1" t="e">
        <f>IF(VALUE(F3298) = VALUE(RIGHT(Insights!$C$3, 4)), E3298, "")</f>
        <v>#VALUE!</v>
      </c>
      <c r="H3298" s="26" t="e">
        <f t="shared" si="1"/>
        <v>#VALUE!</v>
      </c>
      <c r="I3298" s="1" t="e">
        <f t="shared" si="2"/>
        <v>#VALUE!</v>
      </c>
    </row>
    <row r="3299" spans="1:9" ht="15.75" customHeight="1">
      <c r="A3299" s="26"/>
      <c r="B3299" s="2"/>
      <c r="C3299" s="26"/>
      <c r="D3299" s="26"/>
      <c r="F3299" s="85" t="str">
        <f t="shared" si="0"/>
        <v/>
      </c>
      <c r="G3299" s="1" t="e">
        <f>IF(VALUE(F3299) = VALUE(RIGHT(Insights!$C$3, 4)), E3299, "")</f>
        <v>#VALUE!</v>
      </c>
      <c r="H3299" s="26" t="e">
        <f t="shared" si="1"/>
        <v>#VALUE!</v>
      </c>
      <c r="I3299" s="1" t="e">
        <f t="shared" si="2"/>
        <v>#VALUE!</v>
      </c>
    </row>
    <row r="3300" spans="1:9" ht="15.75" customHeight="1">
      <c r="A3300" s="26"/>
      <c r="B3300" s="2"/>
      <c r="C3300" s="26"/>
      <c r="D3300" s="26"/>
      <c r="F3300" s="85" t="str">
        <f t="shared" si="0"/>
        <v/>
      </c>
      <c r="G3300" s="1" t="e">
        <f>IF(VALUE(F3300) = VALUE(RIGHT(Insights!$C$3, 4)), E3300, "")</f>
        <v>#VALUE!</v>
      </c>
      <c r="H3300" s="26" t="e">
        <f t="shared" si="1"/>
        <v>#VALUE!</v>
      </c>
      <c r="I3300" s="1" t="e">
        <f t="shared" si="2"/>
        <v>#VALUE!</v>
      </c>
    </row>
    <row r="3301" spans="1:9" ht="15.75" customHeight="1">
      <c r="A3301" s="26"/>
      <c r="B3301" s="2"/>
      <c r="C3301" s="26"/>
      <c r="D3301" s="26"/>
      <c r="F3301" s="85" t="str">
        <f t="shared" si="0"/>
        <v/>
      </c>
      <c r="G3301" s="1" t="e">
        <f>IF(VALUE(F3301) = VALUE(RIGHT(Insights!$C$3, 4)), E3301, "")</f>
        <v>#VALUE!</v>
      </c>
      <c r="H3301" s="26" t="e">
        <f t="shared" si="1"/>
        <v>#VALUE!</v>
      </c>
      <c r="I3301" s="1" t="e">
        <f t="shared" si="2"/>
        <v>#VALUE!</v>
      </c>
    </row>
    <row r="3302" spans="1:9" ht="15.75" customHeight="1">
      <c r="A3302" s="26"/>
      <c r="B3302" s="2"/>
      <c r="C3302" s="26"/>
      <c r="D3302" s="26"/>
      <c r="F3302" s="85" t="str">
        <f t="shared" si="0"/>
        <v/>
      </c>
      <c r="G3302" s="1" t="e">
        <f>IF(VALUE(F3302) = VALUE(RIGHT(Insights!$C$3, 4)), E3302, "")</f>
        <v>#VALUE!</v>
      </c>
      <c r="H3302" s="26" t="e">
        <f t="shared" si="1"/>
        <v>#VALUE!</v>
      </c>
      <c r="I3302" s="1" t="e">
        <f t="shared" si="2"/>
        <v>#VALUE!</v>
      </c>
    </row>
    <row r="3303" spans="1:9" ht="15.75" customHeight="1">
      <c r="A3303" s="26"/>
      <c r="B3303" s="2"/>
      <c r="C3303" s="26"/>
      <c r="D3303" s="26"/>
      <c r="F3303" s="85" t="str">
        <f t="shared" si="0"/>
        <v/>
      </c>
      <c r="G3303" s="1" t="e">
        <f>IF(VALUE(F3303) = VALUE(RIGHT(Insights!$C$3, 4)), E3303, "")</f>
        <v>#VALUE!</v>
      </c>
      <c r="H3303" s="26" t="e">
        <f t="shared" si="1"/>
        <v>#VALUE!</v>
      </c>
      <c r="I3303" s="1" t="e">
        <f t="shared" si="2"/>
        <v>#VALUE!</v>
      </c>
    </row>
    <row r="3304" spans="1:9" ht="15.75" customHeight="1">
      <c r="A3304" s="26"/>
      <c r="B3304" s="2"/>
      <c r="C3304" s="26"/>
      <c r="D3304" s="26"/>
      <c r="F3304" s="85" t="str">
        <f t="shared" si="0"/>
        <v/>
      </c>
      <c r="G3304" s="1" t="e">
        <f>IF(VALUE(F3304) = VALUE(RIGHT(Insights!$C$3, 4)), E3304, "")</f>
        <v>#VALUE!</v>
      </c>
      <c r="H3304" s="26" t="e">
        <f t="shared" si="1"/>
        <v>#VALUE!</v>
      </c>
      <c r="I3304" s="1" t="e">
        <f t="shared" si="2"/>
        <v>#VALUE!</v>
      </c>
    </row>
    <row r="3305" spans="1:9" ht="15.75" customHeight="1">
      <c r="A3305" s="26"/>
      <c r="B3305" s="2"/>
      <c r="C3305" s="26"/>
      <c r="D3305" s="26"/>
      <c r="F3305" s="85" t="str">
        <f t="shared" si="0"/>
        <v/>
      </c>
      <c r="G3305" s="1" t="e">
        <f>IF(VALUE(F3305) = VALUE(RIGHT(Insights!$C$3, 4)), E3305, "")</f>
        <v>#VALUE!</v>
      </c>
      <c r="H3305" s="26" t="e">
        <f t="shared" si="1"/>
        <v>#VALUE!</v>
      </c>
      <c r="I3305" s="1" t="e">
        <f t="shared" si="2"/>
        <v>#VALUE!</v>
      </c>
    </row>
    <row r="3306" spans="1:9" ht="15.75" customHeight="1">
      <c r="A3306" s="26"/>
      <c r="B3306" s="2"/>
      <c r="C3306" s="26"/>
      <c r="D3306" s="26"/>
      <c r="F3306" s="85" t="str">
        <f t="shared" si="0"/>
        <v/>
      </c>
      <c r="G3306" s="1" t="e">
        <f>IF(VALUE(F3306) = VALUE(RIGHT(Insights!$C$3, 4)), E3306, "")</f>
        <v>#VALUE!</v>
      </c>
      <c r="H3306" s="26" t="e">
        <f t="shared" si="1"/>
        <v>#VALUE!</v>
      </c>
      <c r="I3306" s="1" t="e">
        <f t="shared" si="2"/>
        <v>#VALUE!</v>
      </c>
    </row>
    <row r="3307" spans="1:9" ht="15.75" customHeight="1">
      <c r="A3307" s="26"/>
      <c r="B3307" s="2"/>
      <c r="C3307" s="26"/>
      <c r="D3307" s="26"/>
      <c r="F3307" s="85" t="str">
        <f t="shared" si="0"/>
        <v/>
      </c>
      <c r="G3307" s="1" t="e">
        <f>IF(VALUE(F3307) = VALUE(RIGHT(Insights!$C$3, 4)), E3307, "")</f>
        <v>#VALUE!</v>
      </c>
      <c r="H3307" s="26" t="e">
        <f t="shared" si="1"/>
        <v>#VALUE!</v>
      </c>
      <c r="I3307" s="1" t="e">
        <f t="shared" si="2"/>
        <v>#VALUE!</v>
      </c>
    </row>
    <row r="3308" spans="1:9" ht="15.75" customHeight="1">
      <c r="A3308" s="26"/>
      <c r="B3308" s="2"/>
      <c r="C3308" s="26"/>
      <c r="D3308" s="26"/>
      <c r="F3308" s="85" t="str">
        <f t="shared" si="0"/>
        <v/>
      </c>
      <c r="G3308" s="1" t="e">
        <f>IF(VALUE(F3308) = VALUE(RIGHT(Insights!$C$3, 4)), E3308, "")</f>
        <v>#VALUE!</v>
      </c>
      <c r="H3308" s="26" t="e">
        <f t="shared" si="1"/>
        <v>#VALUE!</v>
      </c>
      <c r="I3308" s="1" t="e">
        <f t="shared" si="2"/>
        <v>#VALUE!</v>
      </c>
    </row>
    <row r="3309" spans="1:9" ht="15.75" customHeight="1">
      <c r="A3309" s="26"/>
      <c r="B3309" s="2"/>
      <c r="C3309" s="26"/>
      <c r="D3309" s="26"/>
      <c r="F3309" s="85" t="str">
        <f t="shared" si="0"/>
        <v/>
      </c>
      <c r="G3309" s="1" t="e">
        <f>IF(VALUE(F3309) = VALUE(RIGHT(Insights!$C$3, 4)), E3309, "")</f>
        <v>#VALUE!</v>
      </c>
      <c r="H3309" s="26" t="e">
        <f t="shared" si="1"/>
        <v>#VALUE!</v>
      </c>
      <c r="I3309" s="1" t="e">
        <f t="shared" si="2"/>
        <v>#VALUE!</v>
      </c>
    </row>
    <row r="3310" spans="1:9" ht="15.75" customHeight="1">
      <c r="A3310" s="26"/>
      <c r="B3310" s="2"/>
      <c r="C3310" s="26"/>
      <c r="D3310" s="26"/>
      <c r="F3310" s="85" t="str">
        <f t="shared" si="0"/>
        <v/>
      </c>
      <c r="G3310" s="1" t="e">
        <f>IF(VALUE(F3310) = VALUE(RIGHT(Insights!$C$3, 4)), E3310, "")</f>
        <v>#VALUE!</v>
      </c>
      <c r="H3310" s="26" t="e">
        <f t="shared" si="1"/>
        <v>#VALUE!</v>
      </c>
      <c r="I3310" s="1" t="e">
        <f t="shared" si="2"/>
        <v>#VALUE!</v>
      </c>
    </row>
    <row r="3311" spans="1:9" ht="15.75" customHeight="1">
      <c r="A3311" s="26"/>
      <c r="B3311" s="2"/>
      <c r="C3311" s="26"/>
      <c r="D3311" s="26"/>
      <c r="F3311" s="85" t="str">
        <f t="shared" si="0"/>
        <v/>
      </c>
      <c r="G3311" s="1" t="e">
        <f>IF(VALUE(F3311) = VALUE(RIGHT(Insights!$C$3, 4)), E3311, "")</f>
        <v>#VALUE!</v>
      </c>
      <c r="H3311" s="26" t="e">
        <f t="shared" si="1"/>
        <v>#VALUE!</v>
      </c>
      <c r="I3311" s="1" t="e">
        <f t="shared" si="2"/>
        <v>#VALUE!</v>
      </c>
    </row>
    <row r="3312" spans="1:9" ht="15.75" customHeight="1">
      <c r="A3312" s="26"/>
      <c r="B3312" s="2"/>
      <c r="C3312" s="26"/>
      <c r="D3312" s="26"/>
      <c r="F3312" s="85" t="str">
        <f t="shared" si="0"/>
        <v/>
      </c>
      <c r="G3312" s="1" t="e">
        <f>IF(VALUE(F3312) = VALUE(RIGHT(Insights!$C$3, 4)), E3312, "")</f>
        <v>#VALUE!</v>
      </c>
      <c r="H3312" s="26" t="e">
        <f t="shared" si="1"/>
        <v>#VALUE!</v>
      </c>
      <c r="I3312" s="1" t="e">
        <f t="shared" si="2"/>
        <v>#VALUE!</v>
      </c>
    </row>
    <row r="3313" spans="1:9" ht="15.75" customHeight="1">
      <c r="A3313" s="26"/>
      <c r="B3313" s="2"/>
      <c r="C3313" s="26"/>
      <c r="D3313" s="26"/>
      <c r="F3313" s="85" t="str">
        <f t="shared" si="0"/>
        <v/>
      </c>
      <c r="G3313" s="1" t="e">
        <f>IF(VALUE(F3313) = VALUE(RIGHT(Insights!$C$3, 4)), E3313, "")</f>
        <v>#VALUE!</v>
      </c>
      <c r="H3313" s="26" t="e">
        <f t="shared" si="1"/>
        <v>#VALUE!</v>
      </c>
      <c r="I3313" s="1" t="e">
        <f t="shared" si="2"/>
        <v>#VALUE!</v>
      </c>
    </row>
    <row r="3314" spans="1:9" ht="15.75" customHeight="1">
      <c r="A3314" s="26"/>
      <c r="B3314" s="2"/>
      <c r="C3314" s="26"/>
      <c r="D3314" s="26"/>
      <c r="F3314" s="85" t="str">
        <f t="shared" si="0"/>
        <v/>
      </c>
      <c r="G3314" s="1" t="e">
        <f>IF(VALUE(F3314) = VALUE(RIGHT(Insights!$C$3, 4)), E3314, "")</f>
        <v>#VALUE!</v>
      </c>
      <c r="H3314" s="26" t="e">
        <f t="shared" si="1"/>
        <v>#VALUE!</v>
      </c>
      <c r="I3314" s="1" t="e">
        <f t="shared" si="2"/>
        <v>#VALUE!</v>
      </c>
    </row>
    <row r="3315" spans="1:9" ht="15.75" customHeight="1">
      <c r="A3315" s="26"/>
      <c r="B3315" s="2"/>
      <c r="C3315" s="26"/>
      <c r="D3315" s="26"/>
      <c r="F3315" s="85" t="str">
        <f t="shared" si="0"/>
        <v/>
      </c>
      <c r="G3315" s="1" t="e">
        <f>IF(VALUE(F3315) = VALUE(RIGHT(Insights!$C$3, 4)), E3315, "")</f>
        <v>#VALUE!</v>
      </c>
      <c r="H3315" s="26" t="e">
        <f t="shared" si="1"/>
        <v>#VALUE!</v>
      </c>
      <c r="I3315" s="1" t="e">
        <f t="shared" si="2"/>
        <v>#VALUE!</v>
      </c>
    </row>
    <row r="3316" spans="1:9" ht="15.75" customHeight="1">
      <c r="A3316" s="26"/>
      <c r="B3316" s="2"/>
      <c r="C3316" s="26"/>
      <c r="D3316" s="26"/>
      <c r="F3316" s="85" t="str">
        <f t="shared" si="0"/>
        <v/>
      </c>
      <c r="G3316" s="1" t="e">
        <f>IF(VALUE(F3316) = VALUE(RIGHT(Insights!$C$3, 4)), E3316, "")</f>
        <v>#VALUE!</v>
      </c>
      <c r="H3316" s="26" t="e">
        <f t="shared" si="1"/>
        <v>#VALUE!</v>
      </c>
      <c r="I3316" s="1" t="e">
        <f t="shared" si="2"/>
        <v>#VALUE!</v>
      </c>
    </row>
    <row r="3317" spans="1:9" ht="15.75" customHeight="1">
      <c r="A3317" s="26"/>
      <c r="B3317" s="2"/>
      <c r="C3317" s="26"/>
      <c r="D3317" s="26"/>
      <c r="F3317" s="85" t="str">
        <f t="shared" si="0"/>
        <v/>
      </c>
      <c r="G3317" s="1" t="e">
        <f>IF(VALUE(F3317) = VALUE(RIGHT(Insights!$C$3, 4)), E3317, "")</f>
        <v>#VALUE!</v>
      </c>
      <c r="H3317" s="26" t="e">
        <f t="shared" si="1"/>
        <v>#VALUE!</v>
      </c>
      <c r="I3317" s="1" t="e">
        <f t="shared" si="2"/>
        <v>#VALUE!</v>
      </c>
    </row>
    <row r="3318" spans="1:9" ht="15.75" customHeight="1">
      <c r="A3318" s="26"/>
      <c r="B3318" s="2"/>
      <c r="C3318" s="26"/>
      <c r="D3318" s="26"/>
      <c r="F3318" s="85" t="str">
        <f t="shared" si="0"/>
        <v/>
      </c>
      <c r="G3318" s="1" t="e">
        <f>IF(VALUE(F3318) = VALUE(RIGHT(Insights!$C$3, 4)), E3318, "")</f>
        <v>#VALUE!</v>
      </c>
      <c r="H3318" s="26" t="e">
        <f t="shared" si="1"/>
        <v>#VALUE!</v>
      </c>
      <c r="I3318" s="1" t="e">
        <f t="shared" si="2"/>
        <v>#VALUE!</v>
      </c>
    </row>
    <row r="3319" spans="1:9" ht="15.75" customHeight="1">
      <c r="A3319" s="26"/>
      <c r="B3319" s="2"/>
      <c r="C3319" s="26"/>
      <c r="D3319" s="26"/>
      <c r="F3319" s="85" t="str">
        <f t="shared" si="0"/>
        <v/>
      </c>
      <c r="G3319" s="1" t="e">
        <f>IF(VALUE(F3319) = VALUE(RIGHT(Insights!$C$3, 4)), E3319, "")</f>
        <v>#VALUE!</v>
      </c>
      <c r="H3319" s="26" t="e">
        <f t="shared" si="1"/>
        <v>#VALUE!</v>
      </c>
      <c r="I3319" s="1" t="e">
        <f t="shared" si="2"/>
        <v>#VALUE!</v>
      </c>
    </row>
    <row r="3320" spans="1:9" ht="15.75" customHeight="1">
      <c r="A3320" s="26"/>
      <c r="B3320" s="2"/>
      <c r="C3320" s="26"/>
      <c r="D3320" s="26"/>
      <c r="F3320" s="85" t="str">
        <f t="shared" si="0"/>
        <v/>
      </c>
      <c r="G3320" s="1" t="e">
        <f>IF(VALUE(F3320) = VALUE(RIGHT(Insights!$C$3, 4)), E3320, "")</f>
        <v>#VALUE!</v>
      </c>
      <c r="H3320" s="26" t="e">
        <f t="shared" si="1"/>
        <v>#VALUE!</v>
      </c>
      <c r="I3320" s="1" t="e">
        <f t="shared" si="2"/>
        <v>#VALUE!</v>
      </c>
    </row>
    <row r="3321" spans="1:9" ht="15.75" customHeight="1">
      <c r="A3321" s="26"/>
      <c r="B3321" s="2"/>
      <c r="C3321" s="26"/>
      <c r="D3321" s="26"/>
      <c r="F3321" s="85" t="str">
        <f t="shared" si="0"/>
        <v/>
      </c>
      <c r="G3321" s="1" t="e">
        <f>IF(VALUE(F3321) = VALUE(RIGHT(Insights!$C$3, 4)), E3321, "")</f>
        <v>#VALUE!</v>
      </c>
      <c r="H3321" s="26" t="e">
        <f t="shared" si="1"/>
        <v>#VALUE!</v>
      </c>
      <c r="I3321" s="1" t="e">
        <f t="shared" si="2"/>
        <v>#VALUE!</v>
      </c>
    </row>
    <row r="3322" spans="1:9" ht="15.75" customHeight="1">
      <c r="A3322" s="26"/>
      <c r="B3322" s="2"/>
      <c r="C3322" s="26"/>
      <c r="D3322" s="26"/>
      <c r="F3322" s="85" t="str">
        <f t="shared" si="0"/>
        <v/>
      </c>
      <c r="G3322" s="1" t="e">
        <f>IF(VALUE(F3322) = VALUE(RIGHT(Insights!$C$3, 4)), E3322, "")</f>
        <v>#VALUE!</v>
      </c>
      <c r="H3322" s="26" t="e">
        <f t="shared" si="1"/>
        <v>#VALUE!</v>
      </c>
      <c r="I3322" s="1" t="e">
        <f t="shared" si="2"/>
        <v>#VALUE!</v>
      </c>
    </row>
    <row r="3323" spans="1:9" ht="15.75" customHeight="1">
      <c r="A3323" s="26"/>
      <c r="B3323" s="2"/>
      <c r="C3323" s="26"/>
      <c r="D3323" s="26"/>
      <c r="F3323" s="85" t="str">
        <f t="shared" si="0"/>
        <v/>
      </c>
      <c r="G3323" s="1" t="e">
        <f>IF(VALUE(F3323) = VALUE(RIGHT(Insights!$C$3, 4)), E3323, "")</f>
        <v>#VALUE!</v>
      </c>
      <c r="H3323" s="26" t="e">
        <f t="shared" si="1"/>
        <v>#VALUE!</v>
      </c>
      <c r="I3323" s="1" t="e">
        <f t="shared" si="2"/>
        <v>#VALUE!</v>
      </c>
    </row>
    <row r="3324" spans="1:9" ht="15.75" customHeight="1">
      <c r="A3324" s="26"/>
      <c r="B3324" s="2"/>
      <c r="C3324" s="26"/>
      <c r="D3324" s="26"/>
      <c r="F3324" s="85" t="str">
        <f t="shared" si="0"/>
        <v/>
      </c>
      <c r="G3324" s="1" t="e">
        <f>IF(VALUE(F3324) = VALUE(RIGHT(Insights!$C$3, 4)), E3324, "")</f>
        <v>#VALUE!</v>
      </c>
      <c r="H3324" s="26" t="e">
        <f t="shared" si="1"/>
        <v>#VALUE!</v>
      </c>
      <c r="I3324" s="1" t="e">
        <f t="shared" si="2"/>
        <v>#VALUE!</v>
      </c>
    </row>
    <row r="3325" spans="1:9" ht="15.75" customHeight="1">
      <c r="A3325" s="26"/>
      <c r="B3325" s="2"/>
      <c r="C3325" s="26"/>
      <c r="D3325" s="26"/>
      <c r="F3325" s="85" t="str">
        <f t="shared" si="0"/>
        <v/>
      </c>
      <c r="G3325" s="1" t="e">
        <f>IF(VALUE(F3325) = VALUE(RIGHT(Insights!$C$3, 4)), E3325, "")</f>
        <v>#VALUE!</v>
      </c>
      <c r="H3325" s="26" t="e">
        <f t="shared" si="1"/>
        <v>#VALUE!</v>
      </c>
      <c r="I3325" s="1" t="e">
        <f t="shared" si="2"/>
        <v>#VALUE!</v>
      </c>
    </row>
    <row r="3326" spans="1:9" ht="15.75" customHeight="1">
      <c r="A3326" s="26"/>
      <c r="B3326" s="2"/>
      <c r="C3326" s="26"/>
      <c r="D3326" s="26"/>
      <c r="F3326" s="85" t="str">
        <f t="shared" si="0"/>
        <v/>
      </c>
      <c r="G3326" s="1" t="e">
        <f>IF(VALUE(F3326) = VALUE(RIGHT(Insights!$C$3, 4)), E3326, "")</f>
        <v>#VALUE!</v>
      </c>
      <c r="H3326" s="26" t="e">
        <f t="shared" si="1"/>
        <v>#VALUE!</v>
      </c>
      <c r="I3326" s="1" t="e">
        <f t="shared" si="2"/>
        <v>#VALUE!</v>
      </c>
    </row>
    <row r="3327" spans="1:9" ht="15.75" customHeight="1">
      <c r="A3327" s="26"/>
      <c r="B3327" s="2"/>
      <c r="C3327" s="26"/>
      <c r="D3327" s="26"/>
      <c r="F3327" s="85" t="str">
        <f t="shared" si="0"/>
        <v/>
      </c>
      <c r="G3327" s="1" t="e">
        <f>IF(VALUE(F3327) = VALUE(RIGHT(Insights!$C$3, 4)), E3327, "")</f>
        <v>#VALUE!</v>
      </c>
      <c r="H3327" s="26" t="e">
        <f t="shared" si="1"/>
        <v>#VALUE!</v>
      </c>
      <c r="I3327" s="1" t="e">
        <f t="shared" si="2"/>
        <v>#VALUE!</v>
      </c>
    </row>
    <row r="3328" spans="1:9" ht="15.75" customHeight="1">
      <c r="A3328" s="26"/>
      <c r="B3328" s="2"/>
      <c r="C3328" s="26"/>
      <c r="D3328" s="26"/>
      <c r="F3328" s="85" t="str">
        <f t="shared" si="0"/>
        <v/>
      </c>
      <c r="G3328" s="1" t="e">
        <f>IF(VALUE(F3328) = VALUE(RIGHT(Insights!$C$3, 4)), E3328, "")</f>
        <v>#VALUE!</v>
      </c>
      <c r="H3328" s="26" t="e">
        <f t="shared" si="1"/>
        <v>#VALUE!</v>
      </c>
      <c r="I3328" s="1" t="e">
        <f t="shared" si="2"/>
        <v>#VALUE!</v>
      </c>
    </row>
    <row r="3329" spans="1:9" ht="15.75" customHeight="1">
      <c r="A3329" s="26"/>
      <c r="B3329" s="2"/>
      <c r="C3329" s="26"/>
      <c r="D3329" s="26"/>
      <c r="F3329" s="85" t="str">
        <f t="shared" si="0"/>
        <v/>
      </c>
      <c r="G3329" s="1" t="e">
        <f>IF(VALUE(F3329) = VALUE(RIGHT(Insights!$C$3, 4)), E3329, "")</f>
        <v>#VALUE!</v>
      </c>
      <c r="H3329" s="26" t="e">
        <f t="shared" si="1"/>
        <v>#VALUE!</v>
      </c>
      <c r="I3329" s="1" t="e">
        <f t="shared" si="2"/>
        <v>#VALUE!</v>
      </c>
    </row>
    <row r="3330" spans="1:9" ht="15.75" customHeight="1">
      <c r="A3330" s="26"/>
      <c r="B3330" s="2"/>
      <c r="C3330" s="26"/>
      <c r="D3330" s="26"/>
      <c r="F3330" s="85" t="str">
        <f t="shared" si="0"/>
        <v/>
      </c>
      <c r="G3330" s="1" t="e">
        <f>IF(VALUE(F3330) = VALUE(RIGHT(Insights!$C$3, 4)), E3330, "")</f>
        <v>#VALUE!</v>
      </c>
      <c r="H3330" s="26" t="e">
        <f t="shared" si="1"/>
        <v>#VALUE!</v>
      </c>
      <c r="I3330" s="1" t="e">
        <f t="shared" si="2"/>
        <v>#VALUE!</v>
      </c>
    </row>
    <row r="3331" spans="1:9" ht="15.75" customHeight="1">
      <c r="A3331" s="26"/>
      <c r="B3331" s="2"/>
      <c r="C3331" s="26"/>
      <c r="D3331" s="26"/>
      <c r="F3331" s="85" t="str">
        <f t="shared" si="0"/>
        <v/>
      </c>
      <c r="G3331" s="1" t="e">
        <f>IF(VALUE(F3331) = VALUE(RIGHT(Insights!$C$3, 4)), E3331, "")</f>
        <v>#VALUE!</v>
      </c>
      <c r="H3331" s="26" t="e">
        <f t="shared" si="1"/>
        <v>#VALUE!</v>
      </c>
      <c r="I3331" s="1" t="e">
        <f t="shared" si="2"/>
        <v>#VALUE!</v>
      </c>
    </row>
    <row r="3332" spans="1:9" ht="15.75" customHeight="1">
      <c r="A3332" s="26"/>
      <c r="B3332" s="2"/>
      <c r="C3332" s="26"/>
      <c r="D3332" s="26"/>
      <c r="F3332" s="85" t="str">
        <f t="shared" si="0"/>
        <v/>
      </c>
      <c r="G3332" s="1" t="e">
        <f>IF(VALUE(F3332) = VALUE(RIGHT(Insights!$C$3, 4)), E3332, "")</f>
        <v>#VALUE!</v>
      </c>
      <c r="H3332" s="26" t="e">
        <f t="shared" si="1"/>
        <v>#VALUE!</v>
      </c>
      <c r="I3332" s="1" t="e">
        <f t="shared" si="2"/>
        <v>#VALUE!</v>
      </c>
    </row>
    <row r="3333" spans="1:9" ht="15.75" customHeight="1">
      <c r="A3333" s="26"/>
      <c r="B3333" s="2"/>
      <c r="C3333" s="26"/>
      <c r="D3333" s="26"/>
      <c r="F3333" s="85" t="str">
        <f t="shared" si="0"/>
        <v/>
      </c>
      <c r="G3333" s="1" t="e">
        <f>IF(VALUE(F3333) = VALUE(RIGHT(Insights!$C$3, 4)), E3333, "")</f>
        <v>#VALUE!</v>
      </c>
      <c r="H3333" s="26" t="e">
        <f t="shared" si="1"/>
        <v>#VALUE!</v>
      </c>
      <c r="I3333" s="1" t="e">
        <f t="shared" si="2"/>
        <v>#VALUE!</v>
      </c>
    </row>
    <row r="3334" spans="1:9" ht="15.75" customHeight="1">
      <c r="A3334" s="26"/>
      <c r="B3334" s="2"/>
      <c r="C3334" s="26"/>
      <c r="D3334" s="26"/>
      <c r="F3334" s="85" t="str">
        <f t="shared" si="0"/>
        <v/>
      </c>
      <c r="G3334" s="1" t="e">
        <f>IF(VALUE(F3334) = VALUE(RIGHT(Insights!$C$3, 4)), E3334, "")</f>
        <v>#VALUE!</v>
      </c>
      <c r="H3334" s="26" t="e">
        <f t="shared" si="1"/>
        <v>#VALUE!</v>
      </c>
      <c r="I3334" s="1" t="e">
        <f t="shared" si="2"/>
        <v>#VALUE!</v>
      </c>
    </row>
    <row r="3335" spans="1:9" ht="15.75" customHeight="1">
      <c r="A3335" s="26"/>
      <c r="B3335" s="2"/>
      <c r="C3335" s="26"/>
      <c r="D3335" s="26"/>
      <c r="F3335" s="85" t="str">
        <f t="shared" si="0"/>
        <v/>
      </c>
      <c r="G3335" s="1" t="e">
        <f>IF(VALUE(F3335) = VALUE(RIGHT(Insights!$C$3, 4)), E3335, "")</f>
        <v>#VALUE!</v>
      </c>
      <c r="H3335" s="26" t="e">
        <f t="shared" si="1"/>
        <v>#VALUE!</v>
      </c>
      <c r="I3335" s="1" t="e">
        <f t="shared" si="2"/>
        <v>#VALUE!</v>
      </c>
    </row>
    <row r="3336" spans="1:9" ht="15.75" customHeight="1">
      <c r="A3336" s="26"/>
      <c r="B3336" s="2"/>
      <c r="C3336" s="26"/>
      <c r="D3336" s="26"/>
      <c r="F3336" s="85" t="str">
        <f t="shared" si="0"/>
        <v/>
      </c>
      <c r="G3336" s="1" t="e">
        <f>IF(VALUE(F3336) = VALUE(RIGHT(Insights!$C$3, 4)), E3336, "")</f>
        <v>#VALUE!</v>
      </c>
      <c r="H3336" s="26" t="e">
        <f t="shared" si="1"/>
        <v>#VALUE!</v>
      </c>
      <c r="I3336" s="1" t="e">
        <f t="shared" si="2"/>
        <v>#VALUE!</v>
      </c>
    </row>
    <row r="3337" spans="1:9" ht="15.75" customHeight="1">
      <c r="A3337" s="26"/>
      <c r="B3337" s="2"/>
      <c r="C3337" s="26"/>
      <c r="D3337" s="26"/>
      <c r="F3337" s="85" t="str">
        <f t="shared" si="0"/>
        <v/>
      </c>
      <c r="G3337" s="1" t="e">
        <f>IF(VALUE(F3337) = VALUE(RIGHT(Insights!$C$3, 4)), E3337, "")</f>
        <v>#VALUE!</v>
      </c>
      <c r="H3337" s="26" t="e">
        <f t="shared" si="1"/>
        <v>#VALUE!</v>
      </c>
      <c r="I3337" s="1" t="e">
        <f t="shared" si="2"/>
        <v>#VALUE!</v>
      </c>
    </row>
    <row r="3338" spans="1:9" ht="15.75" customHeight="1">
      <c r="A3338" s="26"/>
      <c r="B3338" s="2"/>
      <c r="C3338" s="26"/>
      <c r="D3338" s="26"/>
      <c r="F3338" s="85" t="str">
        <f t="shared" si="0"/>
        <v/>
      </c>
      <c r="G3338" s="1" t="e">
        <f>IF(VALUE(F3338) = VALUE(RIGHT(Insights!$C$3, 4)), E3338, "")</f>
        <v>#VALUE!</v>
      </c>
      <c r="H3338" s="26" t="e">
        <f t="shared" si="1"/>
        <v>#VALUE!</v>
      </c>
      <c r="I3338" s="1" t="e">
        <f t="shared" si="2"/>
        <v>#VALUE!</v>
      </c>
    </row>
    <row r="3339" spans="1:9" ht="15.75" customHeight="1">
      <c r="A3339" s="26"/>
      <c r="B3339" s="2"/>
      <c r="C3339" s="26"/>
      <c r="D3339" s="26"/>
      <c r="F3339" s="85" t="str">
        <f t="shared" si="0"/>
        <v/>
      </c>
      <c r="G3339" s="1" t="e">
        <f>IF(VALUE(F3339) = VALUE(RIGHT(Insights!$C$3, 4)), E3339, "")</f>
        <v>#VALUE!</v>
      </c>
      <c r="H3339" s="26" t="e">
        <f t="shared" si="1"/>
        <v>#VALUE!</v>
      </c>
      <c r="I3339" s="1" t="e">
        <f t="shared" si="2"/>
        <v>#VALUE!</v>
      </c>
    </row>
    <row r="3340" spans="1:9" ht="15.75" customHeight="1">
      <c r="A3340" s="26"/>
      <c r="B3340" s="2"/>
      <c r="C3340" s="26"/>
      <c r="D3340" s="26"/>
      <c r="F3340" s="85" t="str">
        <f t="shared" si="0"/>
        <v/>
      </c>
      <c r="G3340" s="1" t="e">
        <f>IF(VALUE(F3340) = VALUE(RIGHT(Insights!$C$3, 4)), E3340, "")</f>
        <v>#VALUE!</v>
      </c>
      <c r="H3340" s="26" t="e">
        <f t="shared" si="1"/>
        <v>#VALUE!</v>
      </c>
      <c r="I3340" s="1" t="e">
        <f t="shared" si="2"/>
        <v>#VALUE!</v>
      </c>
    </row>
    <row r="3341" spans="1:9" ht="15.75" customHeight="1">
      <c r="A3341" s="26"/>
      <c r="B3341" s="2"/>
      <c r="C3341" s="26"/>
      <c r="D3341" s="26"/>
      <c r="F3341" s="85" t="str">
        <f t="shared" si="0"/>
        <v/>
      </c>
      <c r="G3341" s="1" t="e">
        <f>IF(VALUE(F3341) = VALUE(RIGHT(Insights!$C$3, 4)), E3341, "")</f>
        <v>#VALUE!</v>
      </c>
      <c r="H3341" s="26" t="e">
        <f t="shared" si="1"/>
        <v>#VALUE!</v>
      </c>
      <c r="I3341" s="1" t="e">
        <f t="shared" si="2"/>
        <v>#VALUE!</v>
      </c>
    </row>
    <row r="3342" spans="1:9" ht="15.75" customHeight="1">
      <c r="A3342" s="26"/>
      <c r="B3342" s="2"/>
      <c r="C3342" s="26"/>
      <c r="D3342" s="26"/>
      <c r="F3342" s="85" t="str">
        <f t="shared" si="0"/>
        <v/>
      </c>
      <c r="G3342" s="1" t="e">
        <f>IF(VALUE(F3342) = VALUE(RIGHT(Insights!$C$3, 4)), E3342, "")</f>
        <v>#VALUE!</v>
      </c>
      <c r="H3342" s="26" t="e">
        <f t="shared" si="1"/>
        <v>#VALUE!</v>
      </c>
      <c r="I3342" s="1" t="e">
        <f t="shared" si="2"/>
        <v>#VALUE!</v>
      </c>
    </row>
    <row r="3343" spans="1:9" ht="15.75" customHeight="1">
      <c r="A3343" s="26"/>
      <c r="B3343" s="2"/>
      <c r="C3343" s="26"/>
      <c r="D3343" s="26"/>
      <c r="F3343" s="85" t="str">
        <f t="shared" si="0"/>
        <v/>
      </c>
      <c r="G3343" s="1" t="e">
        <f>IF(VALUE(F3343) = VALUE(RIGHT(Insights!$C$3, 4)), E3343, "")</f>
        <v>#VALUE!</v>
      </c>
      <c r="H3343" s="26" t="e">
        <f t="shared" si="1"/>
        <v>#VALUE!</v>
      </c>
      <c r="I3343" s="1" t="e">
        <f t="shared" si="2"/>
        <v>#VALUE!</v>
      </c>
    </row>
    <row r="3344" spans="1:9" ht="15.75" customHeight="1">
      <c r="A3344" s="26"/>
      <c r="B3344" s="2"/>
      <c r="C3344" s="26"/>
      <c r="D3344" s="26"/>
      <c r="F3344" s="85" t="str">
        <f t="shared" si="0"/>
        <v/>
      </c>
      <c r="G3344" s="1" t="e">
        <f>IF(VALUE(F3344) = VALUE(RIGHT(Insights!$C$3, 4)), E3344, "")</f>
        <v>#VALUE!</v>
      </c>
      <c r="H3344" s="26" t="e">
        <f t="shared" si="1"/>
        <v>#VALUE!</v>
      </c>
      <c r="I3344" s="1" t="e">
        <f t="shared" si="2"/>
        <v>#VALUE!</v>
      </c>
    </row>
    <row r="3345" spans="1:9" ht="15.75" customHeight="1">
      <c r="A3345" s="26"/>
      <c r="B3345" s="2"/>
      <c r="C3345" s="26"/>
      <c r="D3345" s="26"/>
      <c r="F3345" s="85" t="str">
        <f t="shared" si="0"/>
        <v/>
      </c>
      <c r="G3345" s="1" t="e">
        <f>IF(VALUE(F3345) = VALUE(RIGHT(Insights!$C$3, 4)), E3345, "")</f>
        <v>#VALUE!</v>
      </c>
      <c r="H3345" s="26" t="e">
        <f t="shared" si="1"/>
        <v>#VALUE!</v>
      </c>
      <c r="I3345" s="1" t="e">
        <f t="shared" si="2"/>
        <v>#VALUE!</v>
      </c>
    </row>
    <row r="3346" spans="1:9" ht="15.75" customHeight="1">
      <c r="A3346" s="26"/>
      <c r="B3346" s="2"/>
      <c r="C3346" s="26"/>
      <c r="D3346" s="26"/>
      <c r="F3346" s="85" t="str">
        <f t="shared" si="0"/>
        <v/>
      </c>
      <c r="G3346" s="1" t="e">
        <f>IF(VALUE(F3346) = VALUE(RIGHT(Insights!$C$3, 4)), E3346, "")</f>
        <v>#VALUE!</v>
      </c>
      <c r="H3346" s="26" t="e">
        <f t="shared" si="1"/>
        <v>#VALUE!</v>
      </c>
      <c r="I3346" s="1" t="e">
        <f t="shared" si="2"/>
        <v>#VALUE!</v>
      </c>
    </row>
    <row r="3347" spans="1:9" ht="15.75" customHeight="1">
      <c r="A3347" s="26"/>
      <c r="B3347" s="2"/>
      <c r="C3347" s="26"/>
      <c r="D3347" s="26"/>
      <c r="F3347" s="85" t="str">
        <f t="shared" si="0"/>
        <v/>
      </c>
      <c r="G3347" s="1" t="e">
        <f>IF(VALUE(F3347) = VALUE(RIGHT(Insights!$C$3, 4)), E3347, "")</f>
        <v>#VALUE!</v>
      </c>
      <c r="H3347" s="26" t="e">
        <f t="shared" si="1"/>
        <v>#VALUE!</v>
      </c>
      <c r="I3347" s="1" t="e">
        <f t="shared" si="2"/>
        <v>#VALUE!</v>
      </c>
    </row>
    <row r="3348" spans="1:9" ht="15.75" customHeight="1">
      <c r="A3348" s="26"/>
      <c r="B3348" s="2"/>
      <c r="C3348" s="26"/>
      <c r="D3348" s="26"/>
      <c r="F3348" s="85" t="str">
        <f t="shared" si="0"/>
        <v/>
      </c>
      <c r="G3348" s="1" t="e">
        <f>IF(VALUE(F3348) = VALUE(RIGHT(Insights!$C$3, 4)), E3348, "")</f>
        <v>#VALUE!</v>
      </c>
      <c r="H3348" s="26" t="e">
        <f t="shared" si="1"/>
        <v>#VALUE!</v>
      </c>
      <c r="I3348" s="1" t="e">
        <f t="shared" si="2"/>
        <v>#VALUE!</v>
      </c>
    </row>
    <row r="3349" spans="1:9" ht="15.75" customHeight="1">
      <c r="A3349" s="26"/>
      <c r="B3349" s="2"/>
      <c r="C3349" s="26"/>
      <c r="D3349" s="26"/>
      <c r="F3349" s="85" t="str">
        <f t="shared" si="0"/>
        <v/>
      </c>
      <c r="G3349" s="1" t="e">
        <f>IF(VALUE(F3349) = VALUE(RIGHT(Insights!$C$3, 4)), E3349, "")</f>
        <v>#VALUE!</v>
      </c>
      <c r="H3349" s="26" t="e">
        <f t="shared" si="1"/>
        <v>#VALUE!</v>
      </c>
      <c r="I3349" s="1" t="e">
        <f t="shared" si="2"/>
        <v>#VALUE!</v>
      </c>
    </row>
    <row r="3350" spans="1:9" ht="15.75" customHeight="1">
      <c r="A3350" s="26"/>
      <c r="B3350" s="2"/>
      <c r="C3350" s="26"/>
      <c r="D3350" s="26"/>
      <c r="F3350" s="85" t="str">
        <f t="shared" si="0"/>
        <v/>
      </c>
      <c r="G3350" s="1" t="e">
        <f>IF(VALUE(F3350) = VALUE(RIGHT(Insights!$C$3, 4)), E3350, "")</f>
        <v>#VALUE!</v>
      </c>
      <c r="H3350" s="26" t="e">
        <f t="shared" si="1"/>
        <v>#VALUE!</v>
      </c>
      <c r="I3350" s="1" t="e">
        <f t="shared" si="2"/>
        <v>#VALUE!</v>
      </c>
    </row>
    <row r="3351" spans="1:9" ht="15.75" customHeight="1">
      <c r="A3351" s="26"/>
      <c r="B3351" s="2"/>
      <c r="C3351" s="26"/>
      <c r="D3351" s="26"/>
      <c r="F3351" s="85" t="str">
        <f t="shared" si="0"/>
        <v/>
      </c>
      <c r="G3351" s="1" t="e">
        <f>IF(VALUE(F3351) = VALUE(RIGHT(Insights!$C$3, 4)), E3351, "")</f>
        <v>#VALUE!</v>
      </c>
      <c r="H3351" s="26" t="e">
        <f t="shared" si="1"/>
        <v>#VALUE!</v>
      </c>
      <c r="I3351" s="1" t="e">
        <f t="shared" si="2"/>
        <v>#VALUE!</v>
      </c>
    </row>
    <row r="3352" spans="1:9" ht="15.75" customHeight="1">
      <c r="A3352" s="26"/>
      <c r="B3352" s="2"/>
      <c r="C3352" s="26"/>
      <c r="D3352" s="26"/>
      <c r="F3352" s="85" t="str">
        <f t="shared" si="0"/>
        <v/>
      </c>
      <c r="G3352" s="1" t="e">
        <f>IF(VALUE(F3352) = VALUE(RIGHT(Insights!$C$3, 4)), E3352, "")</f>
        <v>#VALUE!</v>
      </c>
      <c r="H3352" s="26" t="e">
        <f t="shared" si="1"/>
        <v>#VALUE!</v>
      </c>
      <c r="I3352" s="1" t="e">
        <f t="shared" si="2"/>
        <v>#VALUE!</v>
      </c>
    </row>
    <row r="3353" spans="1:9" ht="15.75" customHeight="1">
      <c r="A3353" s="26"/>
      <c r="B3353" s="2"/>
      <c r="C3353" s="26"/>
      <c r="D3353" s="26"/>
      <c r="F3353" s="85" t="str">
        <f t="shared" si="0"/>
        <v/>
      </c>
      <c r="G3353" s="1" t="e">
        <f>IF(VALUE(F3353) = VALUE(RIGHT(Insights!$C$3, 4)), E3353, "")</f>
        <v>#VALUE!</v>
      </c>
      <c r="H3353" s="26" t="e">
        <f t="shared" si="1"/>
        <v>#VALUE!</v>
      </c>
      <c r="I3353" s="1" t="e">
        <f t="shared" si="2"/>
        <v>#VALUE!</v>
      </c>
    </row>
    <row r="3354" spans="1:9" ht="15.75" customHeight="1">
      <c r="A3354" s="26"/>
      <c r="B3354" s="2"/>
      <c r="C3354" s="26"/>
      <c r="D3354" s="26"/>
      <c r="F3354" s="85" t="str">
        <f t="shared" si="0"/>
        <v/>
      </c>
      <c r="G3354" s="1" t="e">
        <f>IF(VALUE(F3354) = VALUE(RIGHT(Insights!$C$3, 4)), E3354, "")</f>
        <v>#VALUE!</v>
      </c>
      <c r="H3354" s="26" t="e">
        <f t="shared" si="1"/>
        <v>#VALUE!</v>
      </c>
      <c r="I3354" s="1" t="e">
        <f t="shared" si="2"/>
        <v>#VALUE!</v>
      </c>
    </row>
    <row r="3355" spans="1:9" ht="15.75" customHeight="1">
      <c r="A3355" s="26"/>
      <c r="B3355" s="2"/>
      <c r="C3355" s="26"/>
      <c r="D3355" s="26"/>
      <c r="F3355" s="85" t="str">
        <f t="shared" si="0"/>
        <v/>
      </c>
      <c r="G3355" s="1" t="e">
        <f>IF(VALUE(F3355) = VALUE(RIGHT(Insights!$C$3, 4)), E3355, "")</f>
        <v>#VALUE!</v>
      </c>
      <c r="H3355" s="26" t="e">
        <f t="shared" si="1"/>
        <v>#VALUE!</v>
      </c>
      <c r="I3355" s="1" t="e">
        <f t="shared" si="2"/>
        <v>#VALUE!</v>
      </c>
    </row>
    <row r="3356" spans="1:9" ht="15.75" customHeight="1">
      <c r="A3356" s="26"/>
      <c r="B3356" s="2"/>
      <c r="C3356" s="26"/>
      <c r="D3356" s="26"/>
      <c r="F3356" s="85" t="str">
        <f t="shared" si="0"/>
        <v/>
      </c>
      <c r="G3356" s="1" t="e">
        <f>IF(VALUE(F3356) = VALUE(RIGHT(Insights!$C$3, 4)), E3356, "")</f>
        <v>#VALUE!</v>
      </c>
      <c r="H3356" s="26" t="e">
        <f t="shared" si="1"/>
        <v>#VALUE!</v>
      </c>
      <c r="I3356" s="1" t="e">
        <f t="shared" si="2"/>
        <v>#VALUE!</v>
      </c>
    </row>
    <row r="3357" spans="1:9" ht="15.75" customHeight="1">
      <c r="A3357" s="26"/>
      <c r="B3357" s="2"/>
      <c r="C3357" s="26"/>
      <c r="D3357" s="26"/>
      <c r="F3357" s="85" t="str">
        <f t="shared" si="0"/>
        <v/>
      </c>
      <c r="G3357" s="1" t="e">
        <f>IF(VALUE(F3357) = VALUE(RIGHT(Insights!$C$3, 4)), E3357, "")</f>
        <v>#VALUE!</v>
      </c>
      <c r="H3357" s="26" t="e">
        <f t="shared" si="1"/>
        <v>#VALUE!</v>
      </c>
      <c r="I3357" s="1" t="e">
        <f t="shared" si="2"/>
        <v>#VALUE!</v>
      </c>
    </row>
    <row r="3358" spans="1:9" ht="15.75" customHeight="1">
      <c r="A3358" s="26"/>
      <c r="B3358" s="2"/>
      <c r="C3358" s="26"/>
      <c r="D3358" s="26"/>
      <c r="F3358" s="85" t="str">
        <f t="shared" si="0"/>
        <v/>
      </c>
      <c r="G3358" s="1" t="e">
        <f>IF(VALUE(F3358) = VALUE(RIGHT(Insights!$C$3, 4)), E3358, "")</f>
        <v>#VALUE!</v>
      </c>
      <c r="H3358" s="26" t="e">
        <f t="shared" si="1"/>
        <v>#VALUE!</v>
      </c>
      <c r="I3358" s="1" t="e">
        <f t="shared" si="2"/>
        <v>#VALUE!</v>
      </c>
    </row>
    <row r="3359" spans="1:9" ht="15.75" customHeight="1">
      <c r="A3359" s="26"/>
      <c r="B3359" s="2"/>
      <c r="C3359" s="26"/>
      <c r="D3359" s="26"/>
      <c r="F3359" s="85" t="str">
        <f t="shared" si="0"/>
        <v/>
      </c>
      <c r="G3359" s="1" t="e">
        <f>IF(VALUE(F3359) = VALUE(RIGHT(Insights!$C$3, 4)), E3359, "")</f>
        <v>#VALUE!</v>
      </c>
      <c r="H3359" s="26" t="e">
        <f t="shared" si="1"/>
        <v>#VALUE!</v>
      </c>
      <c r="I3359" s="1" t="e">
        <f t="shared" si="2"/>
        <v>#VALUE!</v>
      </c>
    </row>
    <row r="3360" spans="1:9" ht="15.75" customHeight="1">
      <c r="A3360" s="26"/>
      <c r="B3360" s="2"/>
      <c r="C3360" s="26"/>
      <c r="D3360" s="26"/>
      <c r="F3360" s="85" t="str">
        <f t="shared" si="0"/>
        <v/>
      </c>
      <c r="G3360" s="1" t="e">
        <f>IF(VALUE(F3360) = VALUE(RIGHT(Insights!$C$3, 4)), E3360, "")</f>
        <v>#VALUE!</v>
      </c>
      <c r="H3360" s="26" t="e">
        <f t="shared" si="1"/>
        <v>#VALUE!</v>
      </c>
      <c r="I3360" s="1" t="e">
        <f t="shared" si="2"/>
        <v>#VALUE!</v>
      </c>
    </row>
    <row r="3361" spans="1:9" ht="15.75" customHeight="1">
      <c r="A3361" s="26"/>
      <c r="B3361" s="2"/>
      <c r="C3361" s="26"/>
      <c r="D3361" s="26"/>
      <c r="F3361" s="85" t="str">
        <f t="shared" si="0"/>
        <v/>
      </c>
      <c r="G3361" s="1" t="e">
        <f>IF(VALUE(F3361) = VALUE(RIGHT(Insights!$C$3, 4)), E3361, "")</f>
        <v>#VALUE!</v>
      </c>
      <c r="H3361" s="26" t="e">
        <f t="shared" si="1"/>
        <v>#VALUE!</v>
      </c>
      <c r="I3361" s="1" t="e">
        <f t="shared" si="2"/>
        <v>#VALUE!</v>
      </c>
    </row>
    <row r="3362" spans="1:9" ht="15.75" customHeight="1">
      <c r="A3362" s="26"/>
      <c r="B3362" s="2"/>
      <c r="C3362" s="26"/>
      <c r="D3362" s="26"/>
      <c r="F3362" s="85" t="str">
        <f t="shared" si="0"/>
        <v/>
      </c>
      <c r="G3362" s="1" t="e">
        <f>IF(VALUE(F3362) = VALUE(RIGHT(Insights!$C$3, 4)), E3362, "")</f>
        <v>#VALUE!</v>
      </c>
      <c r="H3362" s="26" t="e">
        <f t="shared" si="1"/>
        <v>#VALUE!</v>
      </c>
      <c r="I3362" s="1" t="e">
        <f t="shared" si="2"/>
        <v>#VALUE!</v>
      </c>
    </row>
    <row r="3363" spans="1:9" ht="15.75" customHeight="1">
      <c r="A3363" s="26"/>
      <c r="B3363" s="2"/>
      <c r="C3363" s="26"/>
      <c r="D3363" s="26"/>
      <c r="F3363" s="85" t="str">
        <f t="shared" si="0"/>
        <v/>
      </c>
      <c r="G3363" s="1" t="e">
        <f>IF(VALUE(F3363) = VALUE(RIGHT(Insights!$C$3, 4)), E3363, "")</f>
        <v>#VALUE!</v>
      </c>
      <c r="H3363" s="26" t="e">
        <f t="shared" si="1"/>
        <v>#VALUE!</v>
      </c>
      <c r="I3363" s="1" t="e">
        <f t="shared" si="2"/>
        <v>#VALUE!</v>
      </c>
    </row>
    <row r="3364" spans="1:9" ht="15.75" customHeight="1">
      <c r="A3364" s="26"/>
      <c r="B3364" s="2"/>
      <c r="C3364" s="26"/>
      <c r="D3364" s="26"/>
      <c r="F3364" s="85" t="str">
        <f t="shared" si="0"/>
        <v/>
      </c>
      <c r="G3364" s="1" t="e">
        <f>IF(VALUE(F3364) = VALUE(RIGHT(Insights!$C$3, 4)), E3364, "")</f>
        <v>#VALUE!</v>
      </c>
      <c r="H3364" s="26" t="e">
        <f t="shared" si="1"/>
        <v>#VALUE!</v>
      </c>
      <c r="I3364" s="1" t="e">
        <f t="shared" si="2"/>
        <v>#VALUE!</v>
      </c>
    </row>
    <row r="3365" spans="1:9" ht="15.75" customHeight="1">
      <c r="A3365" s="26"/>
      <c r="B3365" s="2"/>
      <c r="C3365" s="26"/>
      <c r="D3365" s="26"/>
      <c r="F3365" s="85" t="str">
        <f t="shared" si="0"/>
        <v/>
      </c>
      <c r="G3365" s="1" t="e">
        <f>IF(VALUE(F3365) = VALUE(RIGHT(Insights!$C$3, 4)), E3365, "")</f>
        <v>#VALUE!</v>
      </c>
      <c r="H3365" s="26" t="e">
        <f t="shared" si="1"/>
        <v>#VALUE!</v>
      </c>
      <c r="I3365" s="1" t="e">
        <f t="shared" si="2"/>
        <v>#VALUE!</v>
      </c>
    </row>
    <row r="3366" spans="1:9" ht="15.75" customHeight="1">
      <c r="A3366" s="26"/>
      <c r="B3366" s="2"/>
      <c r="C3366" s="26"/>
      <c r="D3366" s="26"/>
      <c r="F3366" s="85" t="str">
        <f t="shared" si="0"/>
        <v/>
      </c>
      <c r="G3366" s="1" t="e">
        <f>IF(VALUE(F3366) = VALUE(RIGHT(Insights!$C$3, 4)), E3366, "")</f>
        <v>#VALUE!</v>
      </c>
      <c r="H3366" s="26" t="e">
        <f t="shared" si="1"/>
        <v>#VALUE!</v>
      </c>
      <c r="I3366" s="1" t="e">
        <f t="shared" si="2"/>
        <v>#VALUE!</v>
      </c>
    </row>
    <row r="3367" spans="1:9" ht="15.75" customHeight="1">
      <c r="A3367" s="26"/>
      <c r="B3367" s="2"/>
      <c r="C3367" s="26"/>
      <c r="D3367" s="26"/>
      <c r="F3367" s="85" t="str">
        <f t="shared" si="0"/>
        <v/>
      </c>
      <c r="G3367" s="1" t="e">
        <f>IF(VALUE(F3367) = VALUE(RIGHT(Insights!$C$3, 4)), E3367, "")</f>
        <v>#VALUE!</v>
      </c>
      <c r="H3367" s="26" t="e">
        <f t="shared" si="1"/>
        <v>#VALUE!</v>
      </c>
      <c r="I3367" s="1" t="e">
        <f t="shared" si="2"/>
        <v>#VALUE!</v>
      </c>
    </row>
    <row r="3368" spans="1:9" ht="15.75" customHeight="1">
      <c r="A3368" s="26"/>
      <c r="B3368" s="2"/>
      <c r="C3368" s="26"/>
      <c r="D3368" s="26"/>
      <c r="F3368" s="85" t="str">
        <f t="shared" si="0"/>
        <v/>
      </c>
      <c r="G3368" s="1" t="e">
        <f>IF(VALUE(F3368) = VALUE(RIGHT(Insights!$C$3, 4)), E3368, "")</f>
        <v>#VALUE!</v>
      </c>
      <c r="H3368" s="26" t="e">
        <f t="shared" si="1"/>
        <v>#VALUE!</v>
      </c>
      <c r="I3368" s="1" t="e">
        <f t="shared" si="2"/>
        <v>#VALUE!</v>
      </c>
    </row>
    <row r="3369" spans="1:9" ht="15.75" customHeight="1">
      <c r="A3369" s="26"/>
      <c r="B3369" s="2"/>
      <c r="C3369" s="26"/>
      <c r="D3369" s="26"/>
      <c r="F3369" s="85" t="str">
        <f t="shared" si="0"/>
        <v/>
      </c>
      <c r="G3369" s="1" t="e">
        <f>IF(VALUE(F3369) = VALUE(RIGHT(Insights!$C$3, 4)), E3369, "")</f>
        <v>#VALUE!</v>
      </c>
      <c r="H3369" s="26" t="e">
        <f t="shared" si="1"/>
        <v>#VALUE!</v>
      </c>
      <c r="I3369" s="1" t="e">
        <f t="shared" si="2"/>
        <v>#VALUE!</v>
      </c>
    </row>
    <row r="3370" spans="1:9" ht="15.75" customHeight="1">
      <c r="A3370" s="26"/>
      <c r="B3370" s="2"/>
      <c r="C3370" s="26"/>
      <c r="D3370" s="26"/>
      <c r="F3370" s="85" t="str">
        <f t="shared" si="0"/>
        <v/>
      </c>
      <c r="G3370" s="1" t="e">
        <f>IF(VALUE(F3370) = VALUE(RIGHT(Insights!$C$3, 4)), E3370, "")</f>
        <v>#VALUE!</v>
      </c>
      <c r="H3370" s="26" t="e">
        <f t="shared" si="1"/>
        <v>#VALUE!</v>
      </c>
      <c r="I3370" s="1" t="e">
        <f t="shared" si="2"/>
        <v>#VALUE!</v>
      </c>
    </row>
    <row r="3371" spans="1:9" ht="15.75" customHeight="1">
      <c r="A3371" s="26"/>
      <c r="B3371" s="2"/>
      <c r="C3371" s="26"/>
      <c r="D3371" s="26"/>
      <c r="F3371" s="85" t="str">
        <f t="shared" si="0"/>
        <v/>
      </c>
      <c r="G3371" s="1" t="e">
        <f>IF(VALUE(F3371) = VALUE(RIGHT(Insights!$C$3, 4)), E3371, "")</f>
        <v>#VALUE!</v>
      </c>
      <c r="H3371" s="26" t="e">
        <f t="shared" si="1"/>
        <v>#VALUE!</v>
      </c>
      <c r="I3371" s="1" t="e">
        <f t="shared" si="2"/>
        <v>#VALUE!</v>
      </c>
    </row>
    <row r="3372" spans="1:9" ht="15.75" customHeight="1">
      <c r="A3372" s="26"/>
      <c r="B3372" s="2"/>
      <c r="C3372" s="26"/>
      <c r="D3372" s="26"/>
      <c r="F3372" s="85" t="str">
        <f t="shared" si="0"/>
        <v/>
      </c>
      <c r="G3372" s="1" t="e">
        <f>IF(VALUE(F3372) = VALUE(RIGHT(Insights!$C$3, 4)), E3372, "")</f>
        <v>#VALUE!</v>
      </c>
      <c r="H3372" s="26" t="e">
        <f t="shared" si="1"/>
        <v>#VALUE!</v>
      </c>
      <c r="I3372" s="1" t="e">
        <f t="shared" si="2"/>
        <v>#VALUE!</v>
      </c>
    </row>
    <row r="3373" spans="1:9" ht="15.75" customHeight="1">
      <c r="A3373" s="26"/>
      <c r="B3373" s="2"/>
      <c r="C3373" s="26"/>
      <c r="D3373" s="26"/>
      <c r="F3373" s="85" t="str">
        <f t="shared" si="0"/>
        <v/>
      </c>
      <c r="G3373" s="1" t="e">
        <f>IF(VALUE(F3373) = VALUE(RIGHT(Insights!$C$3, 4)), E3373, "")</f>
        <v>#VALUE!</v>
      </c>
      <c r="H3373" s="26" t="e">
        <f t="shared" si="1"/>
        <v>#VALUE!</v>
      </c>
      <c r="I3373" s="1" t="e">
        <f t="shared" si="2"/>
        <v>#VALUE!</v>
      </c>
    </row>
    <row r="3374" spans="1:9" ht="15.75" customHeight="1">
      <c r="A3374" s="26"/>
      <c r="B3374" s="2"/>
      <c r="C3374" s="26"/>
      <c r="D3374" s="26"/>
      <c r="F3374" s="85" t="str">
        <f t="shared" si="0"/>
        <v/>
      </c>
      <c r="G3374" s="1" t="e">
        <f>IF(VALUE(F3374) = VALUE(RIGHT(Insights!$C$3, 4)), E3374, "")</f>
        <v>#VALUE!</v>
      </c>
      <c r="H3374" s="26" t="e">
        <f t="shared" si="1"/>
        <v>#VALUE!</v>
      </c>
      <c r="I3374" s="1" t="e">
        <f t="shared" si="2"/>
        <v>#VALUE!</v>
      </c>
    </row>
    <row r="3375" spans="1:9" ht="15.75" customHeight="1">
      <c r="A3375" s="26"/>
      <c r="B3375" s="2"/>
      <c r="C3375" s="26"/>
      <c r="D3375" s="26"/>
      <c r="F3375" s="85" t="str">
        <f t="shared" si="0"/>
        <v/>
      </c>
      <c r="G3375" s="1" t="e">
        <f>IF(VALUE(F3375) = VALUE(RIGHT(Insights!$C$3, 4)), E3375, "")</f>
        <v>#VALUE!</v>
      </c>
      <c r="H3375" s="26" t="e">
        <f t="shared" si="1"/>
        <v>#VALUE!</v>
      </c>
      <c r="I3375" s="1" t="e">
        <f t="shared" si="2"/>
        <v>#VALUE!</v>
      </c>
    </row>
    <row r="3376" spans="1:9" ht="15.75" customHeight="1">
      <c r="A3376" s="26"/>
      <c r="B3376" s="2"/>
      <c r="C3376" s="26"/>
      <c r="D3376" s="26"/>
      <c r="F3376" s="85" t="str">
        <f t="shared" si="0"/>
        <v/>
      </c>
      <c r="G3376" s="1" t="e">
        <f>IF(VALUE(F3376) = VALUE(RIGHT(Insights!$C$3, 4)), E3376, "")</f>
        <v>#VALUE!</v>
      </c>
      <c r="H3376" s="26" t="e">
        <f t="shared" si="1"/>
        <v>#VALUE!</v>
      </c>
      <c r="I3376" s="1" t="e">
        <f t="shared" si="2"/>
        <v>#VALUE!</v>
      </c>
    </row>
    <row r="3377" spans="1:9" ht="15.75" customHeight="1">
      <c r="A3377" s="26"/>
      <c r="B3377" s="2"/>
      <c r="C3377" s="26"/>
      <c r="D3377" s="26"/>
      <c r="F3377" s="85" t="str">
        <f t="shared" si="0"/>
        <v/>
      </c>
      <c r="G3377" s="1" t="e">
        <f>IF(VALUE(F3377) = VALUE(RIGHT(Insights!$C$3, 4)), E3377, "")</f>
        <v>#VALUE!</v>
      </c>
      <c r="H3377" s="26" t="e">
        <f t="shared" si="1"/>
        <v>#VALUE!</v>
      </c>
      <c r="I3377" s="1" t="e">
        <f t="shared" si="2"/>
        <v>#VALUE!</v>
      </c>
    </row>
    <row r="3378" spans="1:9" ht="15.75" customHeight="1">
      <c r="A3378" s="26"/>
      <c r="B3378" s="2"/>
      <c r="C3378" s="26"/>
      <c r="D3378" s="26"/>
      <c r="F3378" s="85" t="str">
        <f t="shared" si="0"/>
        <v/>
      </c>
      <c r="G3378" s="1" t="e">
        <f>IF(VALUE(F3378) = VALUE(RIGHT(Insights!$C$3, 4)), E3378, "")</f>
        <v>#VALUE!</v>
      </c>
      <c r="H3378" s="26" t="e">
        <f t="shared" si="1"/>
        <v>#VALUE!</v>
      </c>
      <c r="I3378" s="1" t="e">
        <f t="shared" si="2"/>
        <v>#VALUE!</v>
      </c>
    </row>
    <row r="3379" spans="1:9" ht="15.75" customHeight="1">
      <c r="A3379" s="26"/>
      <c r="B3379" s="2"/>
      <c r="C3379" s="26"/>
      <c r="D3379" s="26"/>
      <c r="F3379" s="85" t="str">
        <f t="shared" si="0"/>
        <v/>
      </c>
      <c r="G3379" s="1" t="e">
        <f>IF(VALUE(F3379) = VALUE(RIGHT(Insights!$C$3, 4)), E3379, "")</f>
        <v>#VALUE!</v>
      </c>
      <c r="H3379" s="26" t="e">
        <f t="shared" si="1"/>
        <v>#VALUE!</v>
      </c>
      <c r="I3379" s="1" t="e">
        <f t="shared" si="2"/>
        <v>#VALUE!</v>
      </c>
    </row>
    <row r="3380" spans="1:9" ht="15.75" customHeight="1">
      <c r="A3380" s="26"/>
      <c r="B3380" s="2"/>
      <c r="C3380" s="26"/>
      <c r="D3380" s="26"/>
      <c r="F3380" s="85" t="str">
        <f t="shared" si="0"/>
        <v/>
      </c>
      <c r="G3380" s="1" t="e">
        <f>IF(VALUE(F3380) = VALUE(RIGHT(Insights!$C$3, 4)), E3380, "")</f>
        <v>#VALUE!</v>
      </c>
      <c r="H3380" s="26" t="e">
        <f t="shared" si="1"/>
        <v>#VALUE!</v>
      </c>
      <c r="I3380" s="1" t="e">
        <f t="shared" si="2"/>
        <v>#VALUE!</v>
      </c>
    </row>
    <row r="3381" spans="1:9" ht="15.75" customHeight="1">
      <c r="A3381" s="26"/>
      <c r="B3381" s="2"/>
      <c r="C3381" s="26"/>
      <c r="D3381" s="26"/>
      <c r="F3381" s="85" t="str">
        <f t="shared" si="0"/>
        <v/>
      </c>
      <c r="G3381" s="1" t="e">
        <f>IF(VALUE(F3381) = VALUE(RIGHT(Insights!$C$3, 4)), E3381, "")</f>
        <v>#VALUE!</v>
      </c>
      <c r="H3381" s="26" t="e">
        <f t="shared" si="1"/>
        <v>#VALUE!</v>
      </c>
      <c r="I3381" s="1" t="e">
        <f t="shared" si="2"/>
        <v>#VALUE!</v>
      </c>
    </row>
    <row r="3382" spans="1:9" ht="15.75" customHeight="1">
      <c r="A3382" s="26"/>
      <c r="B3382" s="2"/>
      <c r="C3382" s="26"/>
      <c r="D3382" s="26"/>
      <c r="F3382" s="85" t="str">
        <f t="shared" si="0"/>
        <v/>
      </c>
      <c r="G3382" s="1" t="e">
        <f>IF(VALUE(F3382) = VALUE(RIGHT(Insights!$C$3, 4)), E3382, "")</f>
        <v>#VALUE!</v>
      </c>
      <c r="H3382" s="26" t="e">
        <f t="shared" si="1"/>
        <v>#VALUE!</v>
      </c>
      <c r="I3382" s="1" t="e">
        <f t="shared" si="2"/>
        <v>#VALUE!</v>
      </c>
    </row>
    <row r="3383" spans="1:9" ht="15.75" customHeight="1">
      <c r="A3383" s="26"/>
      <c r="B3383" s="2"/>
      <c r="C3383" s="26"/>
      <c r="D3383" s="26"/>
      <c r="F3383" s="85" t="str">
        <f t="shared" si="0"/>
        <v/>
      </c>
      <c r="G3383" s="1" t="e">
        <f>IF(VALUE(F3383) = VALUE(RIGHT(Insights!$C$3, 4)), E3383, "")</f>
        <v>#VALUE!</v>
      </c>
      <c r="H3383" s="26" t="e">
        <f t="shared" si="1"/>
        <v>#VALUE!</v>
      </c>
      <c r="I3383" s="1" t="e">
        <f t="shared" si="2"/>
        <v>#VALUE!</v>
      </c>
    </row>
    <row r="3384" spans="1:9" ht="15.75" customHeight="1">
      <c r="A3384" s="26"/>
      <c r="B3384" s="2"/>
      <c r="C3384" s="26"/>
      <c r="D3384" s="26"/>
      <c r="F3384" s="85" t="str">
        <f t="shared" si="0"/>
        <v/>
      </c>
      <c r="G3384" s="1" t="e">
        <f>IF(VALUE(F3384) = VALUE(RIGHT(Insights!$C$3, 4)), E3384, "")</f>
        <v>#VALUE!</v>
      </c>
      <c r="H3384" s="26" t="e">
        <f t="shared" si="1"/>
        <v>#VALUE!</v>
      </c>
      <c r="I3384" s="1" t="e">
        <f t="shared" si="2"/>
        <v>#VALUE!</v>
      </c>
    </row>
    <row r="3385" spans="1:9" ht="15.75" customHeight="1">
      <c r="A3385" s="26"/>
      <c r="B3385" s="2"/>
      <c r="C3385" s="26"/>
      <c r="D3385" s="26"/>
      <c r="F3385" s="85" t="str">
        <f t="shared" si="0"/>
        <v/>
      </c>
      <c r="G3385" s="1" t="e">
        <f>IF(VALUE(F3385) = VALUE(RIGHT(Insights!$C$3, 4)), E3385, "")</f>
        <v>#VALUE!</v>
      </c>
      <c r="H3385" s="26" t="e">
        <f t="shared" si="1"/>
        <v>#VALUE!</v>
      </c>
      <c r="I3385" s="1" t="e">
        <f t="shared" si="2"/>
        <v>#VALUE!</v>
      </c>
    </row>
    <row r="3386" spans="1:9" ht="15.75" customHeight="1">
      <c r="A3386" s="26"/>
      <c r="B3386" s="2"/>
      <c r="C3386" s="26"/>
      <c r="D3386" s="26"/>
      <c r="F3386" s="85" t="str">
        <f t="shared" si="0"/>
        <v/>
      </c>
      <c r="G3386" s="1" t="e">
        <f>IF(VALUE(F3386) = VALUE(RIGHT(Insights!$C$3, 4)), E3386, "")</f>
        <v>#VALUE!</v>
      </c>
      <c r="H3386" s="26" t="e">
        <f t="shared" si="1"/>
        <v>#VALUE!</v>
      </c>
      <c r="I3386" s="1" t="e">
        <f t="shared" si="2"/>
        <v>#VALUE!</v>
      </c>
    </row>
    <row r="3387" spans="1:9" ht="15.75" customHeight="1">
      <c r="A3387" s="26"/>
      <c r="B3387" s="2"/>
      <c r="C3387" s="26"/>
      <c r="D3387" s="26"/>
      <c r="F3387" s="85" t="str">
        <f t="shared" si="0"/>
        <v/>
      </c>
      <c r="G3387" s="1" t="e">
        <f>IF(VALUE(F3387) = VALUE(RIGHT(Insights!$C$3, 4)), E3387, "")</f>
        <v>#VALUE!</v>
      </c>
      <c r="H3387" s="26" t="e">
        <f t="shared" si="1"/>
        <v>#VALUE!</v>
      </c>
      <c r="I3387" s="1" t="e">
        <f t="shared" si="2"/>
        <v>#VALUE!</v>
      </c>
    </row>
    <row r="3388" spans="1:9" ht="15.75" customHeight="1">
      <c r="A3388" s="26"/>
      <c r="B3388" s="2"/>
      <c r="C3388" s="26"/>
      <c r="D3388" s="26"/>
      <c r="F3388" s="85" t="str">
        <f t="shared" si="0"/>
        <v/>
      </c>
      <c r="G3388" s="1" t="e">
        <f>IF(VALUE(F3388) = VALUE(RIGHT(Insights!$C$3, 4)), E3388, "")</f>
        <v>#VALUE!</v>
      </c>
      <c r="H3388" s="26" t="e">
        <f t="shared" si="1"/>
        <v>#VALUE!</v>
      </c>
      <c r="I3388" s="1" t="e">
        <f t="shared" si="2"/>
        <v>#VALUE!</v>
      </c>
    </row>
    <row r="3389" spans="1:9" ht="15.75" customHeight="1">
      <c r="A3389" s="26"/>
      <c r="B3389" s="2"/>
      <c r="C3389" s="26"/>
      <c r="D3389" s="26"/>
      <c r="F3389" s="85" t="str">
        <f t="shared" si="0"/>
        <v/>
      </c>
      <c r="G3389" s="1" t="e">
        <f>IF(VALUE(F3389) = VALUE(RIGHT(Insights!$C$3, 4)), E3389, "")</f>
        <v>#VALUE!</v>
      </c>
      <c r="H3389" s="26" t="e">
        <f t="shared" si="1"/>
        <v>#VALUE!</v>
      </c>
      <c r="I3389" s="1" t="e">
        <f t="shared" si="2"/>
        <v>#VALUE!</v>
      </c>
    </row>
    <row r="3390" spans="1:9" ht="15.75" customHeight="1">
      <c r="A3390" s="26"/>
      <c r="B3390" s="2"/>
      <c r="C3390" s="26"/>
      <c r="D3390" s="26"/>
      <c r="F3390" s="85" t="str">
        <f t="shared" si="0"/>
        <v/>
      </c>
      <c r="G3390" s="1" t="e">
        <f>IF(VALUE(F3390) = VALUE(RIGHT(Insights!$C$3, 4)), E3390, "")</f>
        <v>#VALUE!</v>
      </c>
      <c r="H3390" s="26" t="e">
        <f t="shared" si="1"/>
        <v>#VALUE!</v>
      </c>
      <c r="I3390" s="1" t="e">
        <f t="shared" si="2"/>
        <v>#VALUE!</v>
      </c>
    </row>
    <row r="3391" spans="1:9" ht="15.75" customHeight="1">
      <c r="A3391" s="26"/>
      <c r="B3391" s="2"/>
      <c r="C3391" s="26"/>
      <c r="D3391" s="26"/>
      <c r="F3391" s="85" t="str">
        <f t="shared" si="0"/>
        <v/>
      </c>
      <c r="G3391" s="1" t="e">
        <f>IF(VALUE(F3391) = VALUE(RIGHT(Insights!$C$3, 4)), E3391, "")</f>
        <v>#VALUE!</v>
      </c>
      <c r="H3391" s="26" t="e">
        <f t="shared" si="1"/>
        <v>#VALUE!</v>
      </c>
      <c r="I3391" s="1" t="e">
        <f t="shared" si="2"/>
        <v>#VALUE!</v>
      </c>
    </row>
    <row r="3392" spans="1:9" ht="15.75" customHeight="1">
      <c r="A3392" s="26"/>
      <c r="B3392" s="2"/>
      <c r="C3392" s="26"/>
      <c r="D3392" s="26"/>
      <c r="F3392" s="85" t="str">
        <f t="shared" si="0"/>
        <v/>
      </c>
      <c r="G3392" s="1" t="e">
        <f>IF(VALUE(F3392) = VALUE(RIGHT(Insights!$C$3, 4)), E3392, "")</f>
        <v>#VALUE!</v>
      </c>
      <c r="H3392" s="26" t="e">
        <f t="shared" si="1"/>
        <v>#VALUE!</v>
      </c>
      <c r="I3392" s="1" t="e">
        <f t="shared" si="2"/>
        <v>#VALUE!</v>
      </c>
    </row>
    <row r="3393" spans="1:9" ht="15.75" customHeight="1">
      <c r="A3393" s="26"/>
      <c r="B3393" s="2"/>
      <c r="C3393" s="26"/>
      <c r="D3393" s="26"/>
      <c r="F3393" s="85" t="str">
        <f t="shared" si="0"/>
        <v/>
      </c>
      <c r="G3393" s="1" t="e">
        <f>IF(VALUE(F3393) = VALUE(RIGHT(Insights!$C$3, 4)), E3393, "")</f>
        <v>#VALUE!</v>
      </c>
      <c r="H3393" s="26" t="e">
        <f t="shared" si="1"/>
        <v>#VALUE!</v>
      </c>
      <c r="I3393" s="1" t="e">
        <f t="shared" si="2"/>
        <v>#VALUE!</v>
      </c>
    </row>
    <row r="3394" spans="1:9" ht="15.75" customHeight="1">
      <c r="A3394" s="26"/>
      <c r="B3394" s="2"/>
      <c r="C3394" s="26"/>
      <c r="D3394" s="26"/>
      <c r="F3394" s="85" t="str">
        <f t="shared" si="0"/>
        <v/>
      </c>
      <c r="G3394" s="1" t="e">
        <f>IF(VALUE(F3394) = VALUE(RIGHT(Insights!$C$3, 4)), E3394, "")</f>
        <v>#VALUE!</v>
      </c>
      <c r="H3394" s="26" t="e">
        <f t="shared" si="1"/>
        <v>#VALUE!</v>
      </c>
      <c r="I3394" s="1" t="e">
        <f t="shared" si="2"/>
        <v>#VALUE!</v>
      </c>
    </row>
    <row r="3395" spans="1:9" ht="15.75" customHeight="1">
      <c r="A3395" s="26"/>
      <c r="B3395" s="2"/>
      <c r="C3395" s="26"/>
      <c r="D3395" s="26"/>
      <c r="F3395" s="85" t="str">
        <f t="shared" si="0"/>
        <v/>
      </c>
      <c r="G3395" s="1" t="e">
        <f>IF(VALUE(F3395) = VALUE(RIGHT(Insights!$C$3, 4)), E3395, "")</f>
        <v>#VALUE!</v>
      </c>
      <c r="H3395" s="26" t="e">
        <f t="shared" si="1"/>
        <v>#VALUE!</v>
      </c>
      <c r="I3395" s="1" t="e">
        <f t="shared" si="2"/>
        <v>#VALUE!</v>
      </c>
    </row>
    <row r="3396" spans="1:9" ht="15.75" customHeight="1">
      <c r="A3396" s="26"/>
      <c r="B3396" s="2"/>
      <c r="C3396" s="26"/>
      <c r="D3396" s="26"/>
      <c r="F3396" s="85" t="str">
        <f t="shared" si="0"/>
        <v/>
      </c>
      <c r="G3396" s="1" t="e">
        <f>IF(VALUE(F3396) = VALUE(RIGHT(Insights!$C$3, 4)), E3396, "")</f>
        <v>#VALUE!</v>
      </c>
      <c r="H3396" s="26" t="e">
        <f t="shared" si="1"/>
        <v>#VALUE!</v>
      </c>
      <c r="I3396" s="1" t="e">
        <f t="shared" si="2"/>
        <v>#VALUE!</v>
      </c>
    </row>
    <row r="3397" spans="1:9" ht="15.75" customHeight="1">
      <c r="A3397" s="26"/>
      <c r="B3397" s="2"/>
      <c r="C3397" s="26"/>
      <c r="D3397" s="26"/>
      <c r="F3397" s="85" t="str">
        <f t="shared" si="0"/>
        <v/>
      </c>
      <c r="G3397" s="1" t="e">
        <f>IF(VALUE(F3397) = VALUE(RIGHT(Insights!$C$3, 4)), E3397, "")</f>
        <v>#VALUE!</v>
      </c>
      <c r="H3397" s="26" t="e">
        <f t="shared" si="1"/>
        <v>#VALUE!</v>
      </c>
      <c r="I3397" s="1" t="e">
        <f t="shared" si="2"/>
        <v>#VALUE!</v>
      </c>
    </row>
    <row r="3398" spans="1:9" ht="15.75" customHeight="1">
      <c r="A3398" s="26"/>
      <c r="B3398" s="2"/>
      <c r="C3398" s="26"/>
      <c r="D3398" s="26"/>
      <c r="F3398" s="85" t="str">
        <f t="shared" si="0"/>
        <v/>
      </c>
      <c r="G3398" s="1" t="e">
        <f>IF(VALUE(F3398) = VALUE(RIGHT(Insights!$C$3, 4)), E3398, "")</f>
        <v>#VALUE!</v>
      </c>
      <c r="H3398" s="26" t="e">
        <f t="shared" si="1"/>
        <v>#VALUE!</v>
      </c>
      <c r="I3398" s="1" t="e">
        <f t="shared" si="2"/>
        <v>#VALUE!</v>
      </c>
    </row>
    <row r="3399" spans="1:9" ht="15.75" customHeight="1">
      <c r="A3399" s="26"/>
      <c r="B3399" s="2"/>
      <c r="C3399" s="26"/>
      <c r="D3399" s="26"/>
      <c r="F3399" s="85" t="str">
        <f t="shared" si="0"/>
        <v/>
      </c>
      <c r="G3399" s="1" t="e">
        <f>IF(VALUE(F3399) = VALUE(RIGHT(Insights!$C$3, 4)), E3399, "")</f>
        <v>#VALUE!</v>
      </c>
      <c r="H3399" s="26" t="e">
        <f t="shared" si="1"/>
        <v>#VALUE!</v>
      </c>
      <c r="I3399" s="1" t="e">
        <f t="shared" si="2"/>
        <v>#VALUE!</v>
      </c>
    </row>
    <row r="3400" spans="1:9" ht="15.75" customHeight="1">
      <c r="A3400" s="26"/>
      <c r="B3400" s="2"/>
      <c r="C3400" s="26"/>
      <c r="D3400" s="26"/>
      <c r="F3400" s="85" t="str">
        <f t="shared" si="0"/>
        <v/>
      </c>
      <c r="G3400" s="1" t="e">
        <f>IF(VALUE(F3400) = VALUE(RIGHT(Insights!$C$3, 4)), E3400, "")</f>
        <v>#VALUE!</v>
      </c>
      <c r="H3400" s="26" t="e">
        <f t="shared" si="1"/>
        <v>#VALUE!</v>
      </c>
      <c r="I3400" s="1" t="e">
        <f t="shared" si="2"/>
        <v>#VALUE!</v>
      </c>
    </row>
    <row r="3401" spans="1:9" ht="15.75" customHeight="1">
      <c r="A3401" s="26"/>
      <c r="B3401" s="2"/>
      <c r="C3401" s="26"/>
      <c r="D3401" s="26"/>
      <c r="F3401" s="85" t="str">
        <f t="shared" si="0"/>
        <v/>
      </c>
      <c r="G3401" s="1" t="e">
        <f>IF(VALUE(F3401) = VALUE(RIGHT(Insights!$C$3, 4)), E3401, "")</f>
        <v>#VALUE!</v>
      </c>
      <c r="H3401" s="26" t="e">
        <f t="shared" si="1"/>
        <v>#VALUE!</v>
      </c>
      <c r="I3401" s="1" t="e">
        <f t="shared" si="2"/>
        <v>#VALUE!</v>
      </c>
    </row>
    <row r="3402" spans="1:9" ht="15.75" customHeight="1">
      <c r="A3402" s="26"/>
      <c r="B3402" s="2"/>
      <c r="C3402" s="26"/>
      <c r="D3402" s="26"/>
      <c r="F3402" s="85" t="str">
        <f t="shared" si="0"/>
        <v/>
      </c>
      <c r="G3402" s="1" t="e">
        <f>IF(VALUE(F3402) = VALUE(RIGHT(Insights!$C$3, 4)), E3402, "")</f>
        <v>#VALUE!</v>
      </c>
      <c r="H3402" s="26" t="e">
        <f t="shared" si="1"/>
        <v>#VALUE!</v>
      </c>
      <c r="I3402" s="1" t="e">
        <f t="shared" si="2"/>
        <v>#VALUE!</v>
      </c>
    </row>
    <row r="3403" spans="1:9" ht="15.75" customHeight="1">
      <c r="A3403" s="26"/>
      <c r="B3403" s="2"/>
      <c r="C3403" s="26"/>
      <c r="D3403" s="26"/>
      <c r="F3403" s="85" t="str">
        <f t="shared" si="0"/>
        <v/>
      </c>
      <c r="G3403" s="1" t="e">
        <f>IF(VALUE(F3403) = VALUE(RIGHT(Insights!$C$3, 4)), E3403, "")</f>
        <v>#VALUE!</v>
      </c>
      <c r="H3403" s="26" t="e">
        <f t="shared" si="1"/>
        <v>#VALUE!</v>
      </c>
      <c r="I3403" s="1" t="e">
        <f t="shared" si="2"/>
        <v>#VALUE!</v>
      </c>
    </row>
    <row r="3404" spans="1:9" ht="15.75" customHeight="1">
      <c r="A3404" s="26"/>
      <c r="B3404" s="2"/>
      <c r="C3404" s="26"/>
      <c r="D3404" s="26"/>
      <c r="F3404" s="85" t="str">
        <f t="shared" si="0"/>
        <v/>
      </c>
      <c r="G3404" s="1" t="e">
        <f>IF(VALUE(F3404) = VALUE(RIGHT(Insights!$C$3, 4)), E3404, "")</f>
        <v>#VALUE!</v>
      </c>
      <c r="H3404" s="26" t="e">
        <f t="shared" si="1"/>
        <v>#VALUE!</v>
      </c>
      <c r="I3404" s="1" t="e">
        <f t="shared" si="2"/>
        <v>#VALUE!</v>
      </c>
    </row>
    <row r="3405" spans="1:9" ht="15.75" customHeight="1">
      <c r="A3405" s="26"/>
      <c r="B3405" s="2"/>
      <c r="C3405" s="26"/>
      <c r="D3405" s="26"/>
      <c r="F3405" s="85" t="str">
        <f t="shared" si="0"/>
        <v/>
      </c>
      <c r="G3405" s="1" t="e">
        <f>IF(VALUE(F3405) = VALUE(RIGHT(Insights!$C$3, 4)), E3405, "")</f>
        <v>#VALUE!</v>
      </c>
      <c r="H3405" s="26" t="e">
        <f t="shared" si="1"/>
        <v>#VALUE!</v>
      </c>
      <c r="I3405" s="1" t="e">
        <f t="shared" si="2"/>
        <v>#VALUE!</v>
      </c>
    </row>
    <row r="3406" spans="1:9" ht="15.75" customHeight="1">
      <c r="A3406" s="26"/>
      <c r="B3406" s="2"/>
      <c r="C3406" s="26"/>
      <c r="D3406" s="26"/>
      <c r="F3406" s="85" t="str">
        <f t="shared" si="0"/>
        <v/>
      </c>
      <c r="G3406" s="1" t="e">
        <f>IF(VALUE(F3406) = VALUE(RIGHT(Insights!$C$3, 4)), E3406, "")</f>
        <v>#VALUE!</v>
      </c>
      <c r="H3406" s="26" t="e">
        <f t="shared" si="1"/>
        <v>#VALUE!</v>
      </c>
      <c r="I3406" s="1" t="e">
        <f t="shared" si="2"/>
        <v>#VALUE!</v>
      </c>
    </row>
    <row r="3407" spans="1:9" ht="15.75" customHeight="1">
      <c r="A3407" s="26"/>
      <c r="B3407" s="2"/>
      <c r="C3407" s="26"/>
      <c r="D3407" s="26"/>
      <c r="F3407" s="85" t="str">
        <f t="shared" si="0"/>
        <v/>
      </c>
      <c r="G3407" s="1" t="e">
        <f>IF(VALUE(F3407) = VALUE(RIGHT(Insights!$C$3, 4)), E3407, "")</f>
        <v>#VALUE!</v>
      </c>
      <c r="H3407" s="26" t="e">
        <f t="shared" si="1"/>
        <v>#VALUE!</v>
      </c>
      <c r="I3407" s="1" t="e">
        <f t="shared" si="2"/>
        <v>#VALUE!</v>
      </c>
    </row>
    <row r="3408" spans="1:9" ht="15.75" customHeight="1">
      <c r="A3408" s="26"/>
      <c r="B3408" s="2"/>
      <c r="C3408" s="26"/>
      <c r="D3408" s="26"/>
      <c r="F3408" s="85" t="str">
        <f t="shared" si="0"/>
        <v/>
      </c>
      <c r="G3408" s="1" t="e">
        <f>IF(VALUE(F3408) = VALUE(RIGHT(Insights!$C$3, 4)), E3408, "")</f>
        <v>#VALUE!</v>
      </c>
      <c r="H3408" s="26" t="e">
        <f t="shared" si="1"/>
        <v>#VALUE!</v>
      </c>
      <c r="I3408" s="1" t="e">
        <f t="shared" si="2"/>
        <v>#VALUE!</v>
      </c>
    </row>
    <row r="3409" spans="1:9" ht="15.75" customHeight="1">
      <c r="A3409" s="26"/>
      <c r="B3409" s="2"/>
      <c r="C3409" s="26"/>
      <c r="D3409" s="26"/>
      <c r="F3409" s="85" t="str">
        <f t="shared" si="0"/>
        <v/>
      </c>
      <c r="G3409" s="1" t="e">
        <f>IF(VALUE(F3409) = VALUE(RIGHT(Insights!$C$3, 4)), E3409, "")</f>
        <v>#VALUE!</v>
      </c>
      <c r="H3409" s="26" t="e">
        <f t="shared" si="1"/>
        <v>#VALUE!</v>
      </c>
      <c r="I3409" s="1" t="e">
        <f t="shared" si="2"/>
        <v>#VALUE!</v>
      </c>
    </row>
    <row r="3410" spans="1:9" ht="15.75" customHeight="1">
      <c r="A3410" s="26"/>
      <c r="B3410" s="2"/>
      <c r="C3410" s="26"/>
      <c r="D3410" s="26"/>
      <c r="F3410" s="85" t="str">
        <f t="shared" si="0"/>
        <v/>
      </c>
      <c r="G3410" s="1" t="e">
        <f>IF(VALUE(F3410) = VALUE(RIGHT(Insights!$C$3, 4)), E3410, "")</f>
        <v>#VALUE!</v>
      </c>
      <c r="H3410" s="26" t="e">
        <f t="shared" si="1"/>
        <v>#VALUE!</v>
      </c>
      <c r="I3410" s="1" t="e">
        <f t="shared" si="2"/>
        <v>#VALUE!</v>
      </c>
    </row>
    <row r="3411" spans="1:9" ht="15.75" customHeight="1">
      <c r="A3411" s="26"/>
      <c r="B3411" s="2"/>
      <c r="C3411" s="26"/>
      <c r="D3411" s="26"/>
      <c r="F3411" s="85" t="str">
        <f t="shared" si="0"/>
        <v/>
      </c>
      <c r="G3411" s="1" t="e">
        <f>IF(VALUE(F3411) = VALUE(RIGHT(Insights!$C$3, 4)), E3411, "")</f>
        <v>#VALUE!</v>
      </c>
      <c r="H3411" s="26" t="e">
        <f t="shared" si="1"/>
        <v>#VALUE!</v>
      </c>
      <c r="I3411" s="1" t="e">
        <f t="shared" si="2"/>
        <v>#VALUE!</v>
      </c>
    </row>
    <row r="3412" spans="1:9" ht="15.75" customHeight="1">
      <c r="A3412" s="26"/>
      <c r="B3412" s="2"/>
      <c r="C3412" s="26"/>
      <c r="D3412" s="26"/>
      <c r="F3412" s="85" t="str">
        <f t="shared" si="0"/>
        <v/>
      </c>
      <c r="G3412" s="1" t="e">
        <f>IF(VALUE(F3412) = VALUE(RIGHT(Insights!$C$3, 4)), E3412, "")</f>
        <v>#VALUE!</v>
      </c>
      <c r="H3412" s="26" t="e">
        <f t="shared" si="1"/>
        <v>#VALUE!</v>
      </c>
      <c r="I3412" s="1" t="e">
        <f t="shared" si="2"/>
        <v>#VALUE!</v>
      </c>
    </row>
    <row r="3413" spans="1:9" ht="15.75" customHeight="1">
      <c r="A3413" s="26"/>
      <c r="B3413" s="2"/>
      <c r="C3413" s="26"/>
      <c r="D3413" s="26"/>
      <c r="F3413" s="85" t="str">
        <f t="shared" si="0"/>
        <v/>
      </c>
      <c r="G3413" s="1" t="e">
        <f>IF(VALUE(F3413) = VALUE(RIGHT(Insights!$C$3, 4)), E3413, "")</f>
        <v>#VALUE!</v>
      </c>
      <c r="H3413" s="26" t="e">
        <f t="shared" si="1"/>
        <v>#VALUE!</v>
      </c>
      <c r="I3413" s="1" t="e">
        <f t="shared" si="2"/>
        <v>#VALUE!</v>
      </c>
    </row>
    <row r="3414" spans="1:9" ht="15.75" customHeight="1">
      <c r="A3414" s="26"/>
      <c r="B3414" s="2"/>
      <c r="C3414" s="26"/>
      <c r="D3414" s="26"/>
      <c r="F3414" s="85" t="str">
        <f t="shared" si="0"/>
        <v/>
      </c>
      <c r="G3414" s="1" t="e">
        <f>IF(VALUE(F3414) = VALUE(RIGHT(Insights!$C$3, 4)), E3414, "")</f>
        <v>#VALUE!</v>
      </c>
      <c r="H3414" s="26" t="e">
        <f t="shared" si="1"/>
        <v>#VALUE!</v>
      </c>
      <c r="I3414" s="1" t="e">
        <f t="shared" si="2"/>
        <v>#VALUE!</v>
      </c>
    </row>
    <row r="3415" spans="1:9" ht="15.75" customHeight="1">
      <c r="A3415" s="26"/>
      <c r="B3415" s="2"/>
      <c r="C3415" s="26"/>
      <c r="D3415" s="26"/>
      <c r="F3415" s="85" t="str">
        <f t="shared" si="0"/>
        <v/>
      </c>
      <c r="G3415" s="1" t="e">
        <f>IF(VALUE(F3415) = VALUE(RIGHT(Insights!$C$3, 4)), E3415, "")</f>
        <v>#VALUE!</v>
      </c>
      <c r="H3415" s="26" t="e">
        <f t="shared" si="1"/>
        <v>#VALUE!</v>
      </c>
      <c r="I3415" s="1" t="e">
        <f t="shared" si="2"/>
        <v>#VALUE!</v>
      </c>
    </row>
    <row r="3416" spans="1:9" ht="15.75" customHeight="1">
      <c r="A3416" s="26"/>
      <c r="B3416" s="2"/>
      <c r="C3416" s="26"/>
      <c r="D3416" s="26"/>
      <c r="F3416" s="85" t="str">
        <f t="shared" si="0"/>
        <v/>
      </c>
      <c r="G3416" s="1" t="e">
        <f>IF(VALUE(F3416) = VALUE(RIGHT(Insights!$C$3, 4)), E3416, "")</f>
        <v>#VALUE!</v>
      </c>
      <c r="H3416" s="26" t="e">
        <f t="shared" si="1"/>
        <v>#VALUE!</v>
      </c>
      <c r="I3416" s="1" t="e">
        <f t="shared" si="2"/>
        <v>#VALUE!</v>
      </c>
    </row>
    <row r="3417" spans="1:9" ht="15.75" customHeight="1">
      <c r="A3417" s="26"/>
      <c r="B3417" s="2"/>
      <c r="C3417" s="26"/>
      <c r="D3417" s="26"/>
      <c r="F3417" s="85" t="str">
        <f t="shared" si="0"/>
        <v/>
      </c>
      <c r="G3417" s="1" t="e">
        <f>IF(VALUE(F3417) = VALUE(RIGHT(Insights!$C$3, 4)), E3417, "")</f>
        <v>#VALUE!</v>
      </c>
      <c r="H3417" s="26" t="e">
        <f t="shared" si="1"/>
        <v>#VALUE!</v>
      </c>
      <c r="I3417" s="1" t="e">
        <f t="shared" si="2"/>
        <v>#VALUE!</v>
      </c>
    </row>
    <row r="3418" spans="1:9" ht="15.75" customHeight="1">
      <c r="A3418" s="26"/>
      <c r="B3418" s="2"/>
      <c r="C3418" s="26"/>
      <c r="D3418" s="26"/>
      <c r="F3418" s="85" t="str">
        <f t="shared" si="0"/>
        <v/>
      </c>
      <c r="G3418" s="1" t="e">
        <f>IF(VALUE(F3418) = VALUE(RIGHT(Insights!$C$3, 4)), E3418, "")</f>
        <v>#VALUE!</v>
      </c>
      <c r="H3418" s="26" t="e">
        <f t="shared" si="1"/>
        <v>#VALUE!</v>
      </c>
      <c r="I3418" s="1" t="e">
        <f t="shared" si="2"/>
        <v>#VALUE!</v>
      </c>
    </row>
    <row r="3419" spans="1:9" ht="15.75" customHeight="1">
      <c r="A3419" s="26"/>
      <c r="B3419" s="2"/>
      <c r="C3419" s="26"/>
      <c r="D3419" s="26"/>
      <c r="F3419" s="85" t="str">
        <f t="shared" si="0"/>
        <v/>
      </c>
      <c r="G3419" s="1" t="e">
        <f>IF(VALUE(F3419) = VALUE(RIGHT(Insights!$C$3, 4)), E3419, "")</f>
        <v>#VALUE!</v>
      </c>
      <c r="H3419" s="26" t="e">
        <f t="shared" si="1"/>
        <v>#VALUE!</v>
      </c>
      <c r="I3419" s="1" t="e">
        <f t="shared" si="2"/>
        <v>#VALUE!</v>
      </c>
    </row>
    <row r="3420" spans="1:9" ht="15.75" customHeight="1">
      <c r="A3420" s="26"/>
      <c r="B3420" s="2"/>
      <c r="C3420" s="26"/>
      <c r="D3420" s="26"/>
      <c r="F3420" s="85" t="str">
        <f t="shared" si="0"/>
        <v/>
      </c>
      <c r="G3420" s="1" t="e">
        <f>IF(VALUE(F3420) = VALUE(RIGHT(Insights!$C$3, 4)), E3420, "")</f>
        <v>#VALUE!</v>
      </c>
      <c r="H3420" s="26" t="e">
        <f t="shared" si="1"/>
        <v>#VALUE!</v>
      </c>
      <c r="I3420" s="1" t="e">
        <f t="shared" si="2"/>
        <v>#VALUE!</v>
      </c>
    </row>
    <row r="3421" spans="1:9" ht="15.75" customHeight="1">
      <c r="A3421" s="26"/>
      <c r="B3421" s="2"/>
      <c r="C3421" s="26"/>
      <c r="D3421" s="26"/>
      <c r="F3421" s="85" t="str">
        <f t="shared" si="0"/>
        <v/>
      </c>
      <c r="G3421" s="1" t="e">
        <f>IF(VALUE(F3421) = VALUE(RIGHT(Insights!$C$3, 4)), E3421, "")</f>
        <v>#VALUE!</v>
      </c>
      <c r="H3421" s="26" t="e">
        <f t="shared" si="1"/>
        <v>#VALUE!</v>
      </c>
      <c r="I3421" s="1" t="e">
        <f t="shared" si="2"/>
        <v>#VALUE!</v>
      </c>
    </row>
    <row r="3422" spans="1:9" ht="15.75" customHeight="1">
      <c r="A3422" s="26"/>
      <c r="B3422" s="2"/>
      <c r="C3422" s="26"/>
      <c r="D3422" s="26"/>
      <c r="F3422" s="85" t="str">
        <f t="shared" si="0"/>
        <v/>
      </c>
      <c r="G3422" s="1" t="e">
        <f>IF(VALUE(F3422) = VALUE(RIGHT(Insights!$C$3, 4)), E3422, "")</f>
        <v>#VALUE!</v>
      </c>
      <c r="H3422" s="26" t="e">
        <f t="shared" si="1"/>
        <v>#VALUE!</v>
      </c>
      <c r="I3422" s="1" t="e">
        <f t="shared" si="2"/>
        <v>#VALUE!</v>
      </c>
    </row>
    <row r="3423" spans="1:9" ht="15.75" customHeight="1">
      <c r="A3423" s="26"/>
      <c r="B3423" s="2"/>
      <c r="C3423" s="26"/>
      <c r="D3423" s="26"/>
      <c r="F3423" s="85" t="str">
        <f t="shared" si="0"/>
        <v/>
      </c>
      <c r="G3423" s="1" t="e">
        <f>IF(VALUE(F3423) = VALUE(RIGHT(Insights!$C$3, 4)), E3423, "")</f>
        <v>#VALUE!</v>
      </c>
      <c r="H3423" s="26" t="e">
        <f t="shared" si="1"/>
        <v>#VALUE!</v>
      </c>
      <c r="I3423" s="1" t="e">
        <f t="shared" si="2"/>
        <v>#VALUE!</v>
      </c>
    </row>
    <row r="3424" spans="1:9" ht="15.75" customHeight="1">
      <c r="A3424" s="26"/>
      <c r="B3424" s="2"/>
      <c r="C3424" s="26"/>
      <c r="D3424" s="26"/>
      <c r="F3424" s="85" t="str">
        <f t="shared" si="0"/>
        <v/>
      </c>
      <c r="G3424" s="1" t="e">
        <f>IF(VALUE(F3424) = VALUE(RIGHT(Insights!$C$3, 4)), E3424, "")</f>
        <v>#VALUE!</v>
      </c>
      <c r="H3424" s="26" t="e">
        <f t="shared" si="1"/>
        <v>#VALUE!</v>
      </c>
      <c r="I3424" s="1" t="e">
        <f t="shared" si="2"/>
        <v>#VALUE!</v>
      </c>
    </row>
    <row r="3425" spans="1:9" ht="15.75" customHeight="1">
      <c r="A3425" s="26"/>
      <c r="B3425" s="2"/>
      <c r="C3425" s="26"/>
      <c r="D3425" s="26"/>
      <c r="F3425" s="85" t="str">
        <f t="shared" si="0"/>
        <v/>
      </c>
      <c r="G3425" s="1" t="e">
        <f>IF(VALUE(F3425) = VALUE(RIGHT(Insights!$C$3, 4)), E3425, "")</f>
        <v>#VALUE!</v>
      </c>
      <c r="H3425" s="26" t="e">
        <f t="shared" si="1"/>
        <v>#VALUE!</v>
      </c>
      <c r="I3425" s="1" t="e">
        <f t="shared" si="2"/>
        <v>#VALUE!</v>
      </c>
    </row>
    <row r="3426" spans="1:9" ht="15.75" customHeight="1">
      <c r="A3426" s="26"/>
      <c r="B3426" s="2"/>
      <c r="C3426" s="26"/>
      <c r="D3426" s="26"/>
      <c r="F3426" s="85" t="str">
        <f t="shared" si="0"/>
        <v/>
      </c>
      <c r="G3426" s="1" t="e">
        <f>IF(VALUE(F3426) = VALUE(RIGHT(Insights!$C$3, 4)), E3426, "")</f>
        <v>#VALUE!</v>
      </c>
      <c r="H3426" s="26" t="e">
        <f t="shared" si="1"/>
        <v>#VALUE!</v>
      </c>
      <c r="I3426" s="1" t="e">
        <f t="shared" si="2"/>
        <v>#VALUE!</v>
      </c>
    </row>
    <row r="3427" spans="1:9" ht="15.75" customHeight="1">
      <c r="A3427" s="26"/>
      <c r="B3427" s="2"/>
      <c r="C3427" s="26"/>
      <c r="D3427" s="26"/>
      <c r="F3427" s="85" t="str">
        <f t="shared" si="0"/>
        <v/>
      </c>
      <c r="G3427" s="1" t="e">
        <f>IF(VALUE(F3427) = VALUE(RIGHT(Insights!$C$3, 4)), E3427, "")</f>
        <v>#VALUE!</v>
      </c>
      <c r="H3427" s="26" t="e">
        <f t="shared" si="1"/>
        <v>#VALUE!</v>
      </c>
      <c r="I3427" s="1" t="e">
        <f t="shared" si="2"/>
        <v>#VALUE!</v>
      </c>
    </row>
    <row r="3428" spans="1:9" ht="15.75" customHeight="1">
      <c r="A3428" s="26"/>
      <c r="B3428" s="2"/>
      <c r="C3428" s="26"/>
      <c r="D3428" s="26"/>
      <c r="F3428" s="85" t="str">
        <f t="shared" si="0"/>
        <v/>
      </c>
      <c r="G3428" s="1" t="e">
        <f>IF(VALUE(F3428) = VALUE(RIGHT(Insights!$C$3, 4)), E3428, "")</f>
        <v>#VALUE!</v>
      </c>
      <c r="H3428" s="26" t="e">
        <f t="shared" si="1"/>
        <v>#VALUE!</v>
      </c>
      <c r="I3428" s="1" t="e">
        <f t="shared" si="2"/>
        <v>#VALUE!</v>
      </c>
    </row>
    <row r="3429" spans="1:9" ht="15.75" customHeight="1">
      <c r="A3429" s="26"/>
      <c r="B3429" s="2"/>
      <c r="C3429" s="26"/>
      <c r="D3429" s="26"/>
      <c r="F3429" s="85" t="str">
        <f t="shared" si="0"/>
        <v/>
      </c>
      <c r="G3429" s="1" t="e">
        <f>IF(VALUE(F3429) = VALUE(RIGHT(Insights!$C$3, 4)), E3429, "")</f>
        <v>#VALUE!</v>
      </c>
      <c r="H3429" s="26" t="e">
        <f t="shared" si="1"/>
        <v>#VALUE!</v>
      </c>
      <c r="I3429" s="1" t="e">
        <f t="shared" si="2"/>
        <v>#VALUE!</v>
      </c>
    </row>
    <row r="3430" spans="1:9" ht="15.75" customHeight="1">
      <c r="A3430" s="26"/>
      <c r="B3430" s="2"/>
      <c r="C3430" s="26"/>
      <c r="D3430" s="26"/>
      <c r="F3430" s="85" t="str">
        <f t="shared" si="0"/>
        <v/>
      </c>
      <c r="G3430" s="1" t="e">
        <f>IF(VALUE(F3430) = VALUE(RIGHT(Insights!$C$3, 4)), E3430, "")</f>
        <v>#VALUE!</v>
      </c>
      <c r="H3430" s="26" t="e">
        <f t="shared" si="1"/>
        <v>#VALUE!</v>
      </c>
      <c r="I3430" s="1" t="e">
        <f t="shared" si="2"/>
        <v>#VALUE!</v>
      </c>
    </row>
    <row r="3431" spans="1:9" ht="15.75" customHeight="1">
      <c r="A3431" s="26"/>
      <c r="B3431" s="2"/>
      <c r="C3431" s="26"/>
      <c r="D3431" s="26"/>
      <c r="F3431" s="85" t="str">
        <f t="shared" si="0"/>
        <v/>
      </c>
      <c r="G3431" s="1" t="e">
        <f>IF(VALUE(F3431) = VALUE(RIGHT(Insights!$C$3, 4)), E3431, "")</f>
        <v>#VALUE!</v>
      </c>
      <c r="H3431" s="26" t="e">
        <f t="shared" si="1"/>
        <v>#VALUE!</v>
      </c>
      <c r="I3431" s="1" t="e">
        <f t="shared" si="2"/>
        <v>#VALUE!</v>
      </c>
    </row>
    <row r="3432" spans="1:9" ht="15.75" customHeight="1">
      <c r="A3432" s="26"/>
      <c r="B3432" s="2"/>
      <c r="C3432" s="26"/>
      <c r="D3432" s="26"/>
      <c r="F3432" s="85" t="str">
        <f t="shared" si="0"/>
        <v/>
      </c>
      <c r="G3432" s="1" t="e">
        <f>IF(VALUE(F3432) = VALUE(RIGHT(Insights!$C$3, 4)), E3432, "")</f>
        <v>#VALUE!</v>
      </c>
      <c r="H3432" s="26" t="e">
        <f t="shared" si="1"/>
        <v>#VALUE!</v>
      </c>
      <c r="I3432" s="1" t="e">
        <f t="shared" si="2"/>
        <v>#VALUE!</v>
      </c>
    </row>
    <row r="3433" spans="1:9" ht="15.75" customHeight="1">
      <c r="A3433" s="26"/>
      <c r="B3433" s="2"/>
      <c r="C3433" s="26"/>
      <c r="D3433" s="26"/>
      <c r="F3433" s="85" t="str">
        <f t="shared" si="0"/>
        <v/>
      </c>
      <c r="G3433" s="1" t="e">
        <f>IF(VALUE(F3433) = VALUE(RIGHT(Insights!$C$3, 4)), E3433, "")</f>
        <v>#VALUE!</v>
      </c>
      <c r="H3433" s="26" t="e">
        <f t="shared" si="1"/>
        <v>#VALUE!</v>
      </c>
      <c r="I3433" s="1" t="e">
        <f t="shared" si="2"/>
        <v>#VALUE!</v>
      </c>
    </row>
    <row r="3434" spans="1:9" ht="15.75" customHeight="1">
      <c r="A3434" s="26"/>
      <c r="B3434" s="2"/>
      <c r="C3434" s="26"/>
      <c r="D3434" s="26"/>
      <c r="F3434" s="85" t="str">
        <f t="shared" si="0"/>
        <v/>
      </c>
      <c r="G3434" s="1" t="e">
        <f>IF(VALUE(F3434) = VALUE(RIGHT(Insights!$C$3, 4)), E3434, "")</f>
        <v>#VALUE!</v>
      </c>
      <c r="H3434" s="26" t="e">
        <f t="shared" si="1"/>
        <v>#VALUE!</v>
      </c>
      <c r="I3434" s="1" t="e">
        <f t="shared" si="2"/>
        <v>#VALUE!</v>
      </c>
    </row>
    <row r="3435" spans="1:9" ht="15.75" customHeight="1">
      <c r="A3435" s="26"/>
      <c r="B3435" s="2"/>
      <c r="C3435" s="26"/>
      <c r="D3435" s="26"/>
      <c r="F3435" s="85" t="str">
        <f t="shared" si="0"/>
        <v/>
      </c>
      <c r="G3435" s="1" t="e">
        <f>IF(VALUE(F3435) = VALUE(RIGHT(Insights!$C$3, 4)), E3435, "")</f>
        <v>#VALUE!</v>
      </c>
      <c r="H3435" s="26" t="e">
        <f t="shared" si="1"/>
        <v>#VALUE!</v>
      </c>
      <c r="I3435" s="1" t="e">
        <f t="shared" si="2"/>
        <v>#VALUE!</v>
      </c>
    </row>
    <row r="3436" spans="1:9" ht="15.75" customHeight="1">
      <c r="A3436" s="26"/>
      <c r="B3436" s="2"/>
      <c r="C3436" s="26"/>
      <c r="D3436" s="26"/>
      <c r="F3436" s="85" t="str">
        <f t="shared" si="0"/>
        <v/>
      </c>
      <c r="G3436" s="1" t="e">
        <f>IF(VALUE(F3436) = VALUE(RIGHT(Insights!$C$3, 4)), E3436, "")</f>
        <v>#VALUE!</v>
      </c>
      <c r="H3436" s="26" t="e">
        <f t="shared" si="1"/>
        <v>#VALUE!</v>
      </c>
      <c r="I3436" s="1" t="e">
        <f t="shared" si="2"/>
        <v>#VALUE!</v>
      </c>
    </row>
    <row r="3437" spans="1:9" ht="15.75" customHeight="1">
      <c r="A3437" s="26"/>
      <c r="B3437" s="2"/>
      <c r="C3437" s="26"/>
      <c r="D3437" s="26"/>
      <c r="F3437" s="85" t="str">
        <f t="shared" si="0"/>
        <v/>
      </c>
      <c r="G3437" s="1" t="e">
        <f>IF(VALUE(F3437) = VALUE(RIGHT(Insights!$C$3, 4)), E3437, "")</f>
        <v>#VALUE!</v>
      </c>
      <c r="H3437" s="26" t="e">
        <f t="shared" si="1"/>
        <v>#VALUE!</v>
      </c>
      <c r="I3437" s="1" t="e">
        <f t="shared" si="2"/>
        <v>#VALUE!</v>
      </c>
    </row>
    <row r="3438" spans="1:9" ht="15.75" customHeight="1">
      <c r="A3438" s="26"/>
      <c r="B3438" s="2"/>
      <c r="C3438" s="26"/>
      <c r="D3438" s="26"/>
      <c r="F3438" s="85" t="str">
        <f t="shared" si="0"/>
        <v/>
      </c>
      <c r="G3438" s="1" t="e">
        <f>IF(VALUE(F3438) = VALUE(RIGHT(Insights!$C$3, 4)), E3438, "")</f>
        <v>#VALUE!</v>
      </c>
      <c r="H3438" s="26" t="e">
        <f t="shared" si="1"/>
        <v>#VALUE!</v>
      </c>
      <c r="I3438" s="1" t="e">
        <f t="shared" si="2"/>
        <v>#VALUE!</v>
      </c>
    </row>
    <row r="3439" spans="1:9" ht="15.75" customHeight="1">
      <c r="A3439" s="26"/>
      <c r="B3439" s="2"/>
      <c r="C3439" s="26"/>
      <c r="D3439" s="26"/>
      <c r="F3439" s="85" t="str">
        <f t="shared" si="0"/>
        <v/>
      </c>
      <c r="G3439" s="1" t="e">
        <f>IF(VALUE(F3439) = VALUE(RIGHT(Insights!$C$3, 4)), E3439, "")</f>
        <v>#VALUE!</v>
      </c>
      <c r="H3439" s="26" t="e">
        <f t="shared" si="1"/>
        <v>#VALUE!</v>
      </c>
      <c r="I3439" s="1" t="e">
        <f t="shared" si="2"/>
        <v>#VALUE!</v>
      </c>
    </row>
    <row r="3440" spans="1:9" ht="15.75" customHeight="1">
      <c r="A3440" s="26"/>
      <c r="B3440" s="2"/>
      <c r="C3440" s="26"/>
      <c r="D3440" s="26"/>
      <c r="F3440" s="85" t="str">
        <f t="shared" si="0"/>
        <v/>
      </c>
      <c r="G3440" s="1" t="e">
        <f>IF(VALUE(F3440) = VALUE(RIGHT(Insights!$C$3, 4)), E3440, "")</f>
        <v>#VALUE!</v>
      </c>
      <c r="H3440" s="26" t="e">
        <f t="shared" si="1"/>
        <v>#VALUE!</v>
      </c>
      <c r="I3440" s="1" t="e">
        <f t="shared" si="2"/>
        <v>#VALUE!</v>
      </c>
    </row>
    <row r="3441" spans="1:9" ht="15.75" customHeight="1">
      <c r="A3441" s="26"/>
      <c r="B3441" s="2"/>
      <c r="C3441" s="26"/>
      <c r="D3441" s="26"/>
      <c r="F3441" s="85" t="str">
        <f t="shared" si="0"/>
        <v/>
      </c>
      <c r="G3441" s="1" t="e">
        <f>IF(VALUE(F3441) = VALUE(RIGHT(Insights!$C$3, 4)), E3441, "")</f>
        <v>#VALUE!</v>
      </c>
      <c r="H3441" s="26" t="e">
        <f t="shared" si="1"/>
        <v>#VALUE!</v>
      </c>
      <c r="I3441" s="1" t="e">
        <f t="shared" si="2"/>
        <v>#VALUE!</v>
      </c>
    </row>
    <row r="3442" spans="1:9" ht="15.75" customHeight="1">
      <c r="A3442" s="26"/>
      <c r="B3442" s="2"/>
      <c r="C3442" s="26"/>
      <c r="D3442" s="26"/>
      <c r="F3442" s="85" t="str">
        <f t="shared" si="0"/>
        <v/>
      </c>
      <c r="G3442" s="1" t="e">
        <f>IF(VALUE(F3442) = VALUE(RIGHT(Insights!$C$3, 4)), E3442, "")</f>
        <v>#VALUE!</v>
      </c>
      <c r="H3442" s="26" t="e">
        <f t="shared" si="1"/>
        <v>#VALUE!</v>
      </c>
      <c r="I3442" s="1" t="e">
        <f t="shared" si="2"/>
        <v>#VALUE!</v>
      </c>
    </row>
    <row r="3443" spans="1:9" ht="15.75" customHeight="1">
      <c r="A3443" s="26"/>
      <c r="B3443" s="2"/>
      <c r="C3443" s="26"/>
      <c r="D3443" s="26"/>
      <c r="F3443" s="85" t="str">
        <f t="shared" si="0"/>
        <v/>
      </c>
      <c r="G3443" s="1" t="e">
        <f>IF(VALUE(F3443) = VALUE(RIGHT(Insights!$C$3, 4)), E3443, "")</f>
        <v>#VALUE!</v>
      </c>
      <c r="H3443" s="26" t="e">
        <f t="shared" si="1"/>
        <v>#VALUE!</v>
      </c>
      <c r="I3443" s="1" t="e">
        <f t="shared" si="2"/>
        <v>#VALUE!</v>
      </c>
    </row>
    <row r="3444" spans="1:9" ht="15.75" customHeight="1">
      <c r="A3444" s="26"/>
      <c r="B3444" s="2"/>
      <c r="C3444" s="26"/>
      <c r="D3444" s="26"/>
      <c r="F3444" s="85" t="str">
        <f t="shared" si="0"/>
        <v/>
      </c>
      <c r="G3444" s="1" t="e">
        <f>IF(VALUE(F3444) = VALUE(RIGHT(Insights!$C$3, 4)), E3444, "")</f>
        <v>#VALUE!</v>
      </c>
      <c r="H3444" s="26" t="e">
        <f t="shared" si="1"/>
        <v>#VALUE!</v>
      </c>
      <c r="I3444" s="1" t="e">
        <f t="shared" si="2"/>
        <v>#VALUE!</v>
      </c>
    </row>
    <row r="3445" spans="1:9" ht="15.75" customHeight="1">
      <c r="A3445" s="26"/>
      <c r="B3445" s="2"/>
      <c r="C3445" s="26"/>
      <c r="D3445" s="26"/>
      <c r="F3445" s="85" t="str">
        <f t="shared" si="0"/>
        <v/>
      </c>
      <c r="G3445" s="1" t="e">
        <f>IF(VALUE(F3445) = VALUE(RIGHT(Insights!$C$3, 4)), E3445, "")</f>
        <v>#VALUE!</v>
      </c>
      <c r="H3445" s="26" t="e">
        <f t="shared" si="1"/>
        <v>#VALUE!</v>
      </c>
      <c r="I3445" s="1" t="e">
        <f t="shared" si="2"/>
        <v>#VALUE!</v>
      </c>
    </row>
    <row r="3446" spans="1:9" ht="15.75" customHeight="1">
      <c r="A3446" s="26"/>
      <c r="B3446" s="2"/>
      <c r="C3446" s="26"/>
      <c r="D3446" s="26"/>
      <c r="F3446" s="85" t="str">
        <f t="shared" si="0"/>
        <v/>
      </c>
      <c r="G3446" s="1" t="e">
        <f>IF(VALUE(F3446) = VALUE(RIGHT(Insights!$C$3, 4)), E3446, "")</f>
        <v>#VALUE!</v>
      </c>
      <c r="H3446" s="26" t="e">
        <f t="shared" si="1"/>
        <v>#VALUE!</v>
      </c>
      <c r="I3446" s="1" t="e">
        <f t="shared" si="2"/>
        <v>#VALUE!</v>
      </c>
    </row>
    <row r="3447" spans="1:9" ht="15.75" customHeight="1">
      <c r="A3447" s="26"/>
      <c r="B3447" s="2"/>
      <c r="C3447" s="26"/>
      <c r="D3447" s="26"/>
      <c r="F3447" s="85" t="str">
        <f t="shared" si="0"/>
        <v/>
      </c>
      <c r="G3447" s="1" t="e">
        <f>IF(VALUE(F3447) = VALUE(RIGHT(Insights!$C$3, 4)), E3447, "")</f>
        <v>#VALUE!</v>
      </c>
      <c r="H3447" s="26" t="e">
        <f t="shared" si="1"/>
        <v>#VALUE!</v>
      </c>
      <c r="I3447" s="1" t="e">
        <f t="shared" si="2"/>
        <v>#VALUE!</v>
      </c>
    </row>
    <row r="3448" spans="1:9" ht="15.75" customHeight="1">
      <c r="A3448" s="26"/>
      <c r="B3448" s="2"/>
      <c r="C3448" s="26"/>
      <c r="D3448" s="26"/>
      <c r="F3448" s="85" t="str">
        <f t="shared" si="0"/>
        <v/>
      </c>
      <c r="G3448" s="1" t="e">
        <f>IF(VALUE(F3448) = VALUE(RIGHT(Insights!$C$3, 4)), E3448, "")</f>
        <v>#VALUE!</v>
      </c>
      <c r="H3448" s="26" t="e">
        <f t="shared" si="1"/>
        <v>#VALUE!</v>
      </c>
      <c r="I3448" s="1" t="e">
        <f t="shared" si="2"/>
        <v>#VALUE!</v>
      </c>
    </row>
    <row r="3449" spans="1:9" ht="15.75" customHeight="1">
      <c r="A3449" s="26"/>
      <c r="B3449" s="2"/>
      <c r="C3449" s="26"/>
      <c r="D3449" s="26"/>
      <c r="F3449" s="85" t="str">
        <f t="shared" si="0"/>
        <v/>
      </c>
      <c r="G3449" s="1" t="e">
        <f>IF(VALUE(F3449) = VALUE(RIGHT(Insights!$C$3, 4)), E3449, "")</f>
        <v>#VALUE!</v>
      </c>
      <c r="H3449" s="26" t="e">
        <f t="shared" si="1"/>
        <v>#VALUE!</v>
      </c>
      <c r="I3449" s="1" t="e">
        <f t="shared" si="2"/>
        <v>#VALUE!</v>
      </c>
    </row>
    <row r="3450" spans="1:9" ht="15.75" customHeight="1">
      <c r="A3450" s="26"/>
      <c r="B3450" s="2"/>
      <c r="C3450" s="26"/>
      <c r="D3450" s="26"/>
      <c r="F3450" s="85" t="str">
        <f t="shared" si="0"/>
        <v/>
      </c>
      <c r="G3450" s="1" t="e">
        <f>IF(VALUE(F3450) = VALUE(RIGHT(Insights!$C$3, 4)), E3450, "")</f>
        <v>#VALUE!</v>
      </c>
      <c r="H3450" s="26" t="e">
        <f t="shared" si="1"/>
        <v>#VALUE!</v>
      </c>
      <c r="I3450" s="1" t="e">
        <f t="shared" si="2"/>
        <v>#VALUE!</v>
      </c>
    </row>
    <row r="3451" spans="1:9" ht="15.75" customHeight="1">
      <c r="A3451" s="26"/>
      <c r="B3451" s="2"/>
      <c r="C3451" s="26"/>
      <c r="D3451" s="26"/>
      <c r="F3451" s="85" t="str">
        <f t="shared" si="0"/>
        <v/>
      </c>
      <c r="G3451" s="1" t="e">
        <f>IF(VALUE(F3451) = VALUE(RIGHT(Insights!$C$3, 4)), E3451, "")</f>
        <v>#VALUE!</v>
      </c>
      <c r="H3451" s="26" t="e">
        <f t="shared" si="1"/>
        <v>#VALUE!</v>
      </c>
      <c r="I3451" s="1" t="e">
        <f t="shared" si="2"/>
        <v>#VALUE!</v>
      </c>
    </row>
    <row r="3452" spans="1:9" ht="15.75" customHeight="1">
      <c r="A3452" s="26"/>
      <c r="B3452" s="2"/>
      <c r="C3452" s="26"/>
      <c r="D3452" s="26"/>
      <c r="F3452" s="85" t="str">
        <f t="shared" si="0"/>
        <v/>
      </c>
      <c r="G3452" s="1" t="e">
        <f>IF(VALUE(F3452) = VALUE(RIGHT(Insights!$C$3, 4)), E3452, "")</f>
        <v>#VALUE!</v>
      </c>
      <c r="H3452" s="26" t="e">
        <f t="shared" si="1"/>
        <v>#VALUE!</v>
      </c>
      <c r="I3452" s="1" t="e">
        <f t="shared" si="2"/>
        <v>#VALUE!</v>
      </c>
    </row>
    <row r="3453" spans="1:9" ht="15.75" customHeight="1">
      <c r="A3453" s="26"/>
      <c r="B3453" s="2"/>
      <c r="C3453" s="26"/>
      <c r="D3453" s="26"/>
      <c r="F3453" s="85" t="str">
        <f t="shared" si="0"/>
        <v/>
      </c>
      <c r="G3453" s="1" t="e">
        <f>IF(VALUE(F3453) = VALUE(RIGHT(Insights!$C$3, 4)), E3453, "")</f>
        <v>#VALUE!</v>
      </c>
      <c r="H3453" s="26" t="e">
        <f t="shared" si="1"/>
        <v>#VALUE!</v>
      </c>
      <c r="I3453" s="1" t="e">
        <f t="shared" si="2"/>
        <v>#VALUE!</v>
      </c>
    </row>
    <row r="3454" spans="1:9" ht="15.75" customHeight="1">
      <c r="A3454" s="26"/>
      <c r="B3454" s="2"/>
      <c r="C3454" s="26"/>
      <c r="D3454" s="26"/>
      <c r="F3454" s="85" t="str">
        <f t="shared" si="0"/>
        <v/>
      </c>
      <c r="G3454" s="1" t="e">
        <f>IF(VALUE(F3454) = VALUE(RIGHT(Insights!$C$3, 4)), E3454, "")</f>
        <v>#VALUE!</v>
      </c>
      <c r="H3454" s="26" t="e">
        <f t="shared" si="1"/>
        <v>#VALUE!</v>
      </c>
      <c r="I3454" s="1" t="e">
        <f t="shared" si="2"/>
        <v>#VALUE!</v>
      </c>
    </row>
    <row r="3455" spans="1:9" ht="15.75" customHeight="1">
      <c r="A3455" s="26"/>
      <c r="B3455" s="2"/>
      <c r="C3455" s="26"/>
      <c r="D3455" s="26"/>
      <c r="F3455" s="85" t="str">
        <f t="shared" si="0"/>
        <v/>
      </c>
      <c r="G3455" s="1" t="e">
        <f>IF(VALUE(F3455) = VALUE(RIGHT(Insights!$C$3, 4)), E3455, "")</f>
        <v>#VALUE!</v>
      </c>
      <c r="H3455" s="26" t="e">
        <f t="shared" si="1"/>
        <v>#VALUE!</v>
      </c>
      <c r="I3455" s="1" t="e">
        <f t="shared" si="2"/>
        <v>#VALUE!</v>
      </c>
    </row>
    <row r="3456" spans="1:9" ht="15.75" customHeight="1">
      <c r="A3456" s="26"/>
      <c r="B3456" s="2"/>
      <c r="C3456" s="26"/>
      <c r="D3456" s="26"/>
      <c r="F3456" s="85" t="str">
        <f t="shared" si="0"/>
        <v/>
      </c>
      <c r="G3456" s="1" t="e">
        <f>IF(VALUE(F3456) = VALUE(RIGHT(Insights!$C$3, 4)), E3456, "")</f>
        <v>#VALUE!</v>
      </c>
      <c r="H3456" s="26" t="e">
        <f t="shared" si="1"/>
        <v>#VALUE!</v>
      </c>
      <c r="I3456" s="1" t="e">
        <f t="shared" si="2"/>
        <v>#VALUE!</v>
      </c>
    </row>
    <row r="3457" spans="1:9" ht="15.75" customHeight="1">
      <c r="A3457" s="26"/>
      <c r="B3457" s="2"/>
      <c r="C3457" s="26"/>
      <c r="D3457" s="26"/>
      <c r="F3457" s="85" t="str">
        <f t="shared" si="0"/>
        <v/>
      </c>
      <c r="G3457" s="1" t="e">
        <f>IF(VALUE(F3457) = VALUE(RIGHT(Insights!$C$3, 4)), E3457, "")</f>
        <v>#VALUE!</v>
      </c>
      <c r="H3457" s="26" t="e">
        <f t="shared" si="1"/>
        <v>#VALUE!</v>
      </c>
      <c r="I3457" s="1" t="e">
        <f t="shared" si="2"/>
        <v>#VALUE!</v>
      </c>
    </row>
    <row r="3458" spans="1:9" ht="15.75" customHeight="1">
      <c r="A3458" s="26"/>
      <c r="B3458" s="2"/>
      <c r="C3458" s="26"/>
      <c r="D3458" s="26"/>
      <c r="F3458" s="85" t="str">
        <f t="shared" si="0"/>
        <v/>
      </c>
      <c r="G3458" s="1" t="e">
        <f>IF(VALUE(F3458) = VALUE(RIGHT(Insights!$C$3, 4)), E3458, "")</f>
        <v>#VALUE!</v>
      </c>
      <c r="H3458" s="26" t="e">
        <f t="shared" si="1"/>
        <v>#VALUE!</v>
      </c>
      <c r="I3458" s="1" t="e">
        <f t="shared" si="2"/>
        <v>#VALUE!</v>
      </c>
    </row>
    <row r="3459" spans="1:9" ht="15.75" customHeight="1">
      <c r="A3459" s="26"/>
      <c r="B3459" s="2"/>
      <c r="C3459" s="26"/>
      <c r="D3459" s="26"/>
      <c r="F3459" s="85" t="str">
        <f t="shared" si="0"/>
        <v/>
      </c>
      <c r="G3459" s="1" t="e">
        <f>IF(VALUE(F3459) = VALUE(RIGHT(Insights!$C$3, 4)), E3459, "")</f>
        <v>#VALUE!</v>
      </c>
      <c r="H3459" s="26" t="e">
        <f t="shared" si="1"/>
        <v>#VALUE!</v>
      </c>
      <c r="I3459" s="1" t="e">
        <f t="shared" si="2"/>
        <v>#VALUE!</v>
      </c>
    </row>
    <row r="3460" spans="1:9" ht="15.75" customHeight="1">
      <c r="A3460" s="26"/>
      <c r="B3460" s="2"/>
      <c r="C3460" s="26"/>
      <c r="D3460" s="26"/>
      <c r="F3460" s="85" t="str">
        <f t="shared" si="0"/>
        <v/>
      </c>
      <c r="G3460" s="1" t="e">
        <f>IF(VALUE(F3460) = VALUE(RIGHT(Insights!$C$3, 4)), E3460, "")</f>
        <v>#VALUE!</v>
      </c>
      <c r="H3460" s="26" t="e">
        <f t="shared" si="1"/>
        <v>#VALUE!</v>
      </c>
      <c r="I3460" s="1" t="e">
        <f t="shared" si="2"/>
        <v>#VALUE!</v>
      </c>
    </row>
    <row r="3461" spans="1:9" ht="15.75" customHeight="1">
      <c r="A3461" s="26"/>
      <c r="B3461" s="2"/>
      <c r="C3461" s="26"/>
      <c r="D3461" s="26"/>
      <c r="F3461" s="85" t="str">
        <f t="shared" si="0"/>
        <v/>
      </c>
      <c r="G3461" s="1" t="e">
        <f>IF(VALUE(F3461) = VALUE(RIGHT(Insights!$C$3, 4)), E3461, "")</f>
        <v>#VALUE!</v>
      </c>
      <c r="H3461" s="26" t="e">
        <f t="shared" si="1"/>
        <v>#VALUE!</v>
      </c>
      <c r="I3461" s="1" t="e">
        <f t="shared" si="2"/>
        <v>#VALUE!</v>
      </c>
    </row>
    <row r="3462" spans="1:9" ht="15.75" customHeight="1">
      <c r="A3462" s="26"/>
      <c r="B3462" s="2"/>
      <c r="C3462" s="26"/>
      <c r="D3462" s="26"/>
      <c r="F3462" s="85" t="str">
        <f t="shared" si="0"/>
        <v/>
      </c>
      <c r="G3462" s="1" t="e">
        <f>IF(VALUE(F3462) = VALUE(RIGHT(Insights!$C$3, 4)), E3462, "")</f>
        <v>#VALUE!</v>
      </c>
      <c r="H3462" s="26" t="e">
        <f t="shared" si="1"/>
        <v>#VALUE!</v>
      </c>
      <c r="I3462" s="1" t="e">
        <f t="shared" si="2"/>
        <v>#VALUE!</v>
      </c>
    </row>
    <row r="3463" spans="1:9" ht="15.75" customHeight="1">
      <c r="A3463" s="26"/>
      <c r="B3463" s="2"/>
      <c r="C3463" s="26"/>
      <c r="D3463" s="26"/>
      <c r="F3463" s="85" t="str">
        <f t="shared" si="0"/>
        <v/>
      </c>
      <c r="G3463" s="1" t="e">
        <f>IF(VALUE(F3463) = VALUE(RIGHT(Insights!$C$3, 4)), E3463, "")</f>
        <v>#VALUE!</v>
      </c>
      <c r="H3463" s="26" t="e">
        <f t="shared" si="1"/>
        <v>#VALUE!</v>
      </c>
      <c r="I3463" s="1" t="e">
        <f t="shared" si="2"/>
        <v>#VALUE!</v>
      </c>
    </row>
    <row r="3464" spans="1:9" ht="15.75" customHeight="1">
      <c r="A3464" s="26"/>
      <c r="B3464" s="2"/>
      <c r="C3464" s="26"/>
      <c r="D3464" s="26"/>
      <c r="F3464" s="85" t="str">
        <f t="shared" si="0"/>
        <v/>
      </c>
      <c r="G3464" s="1" t="e">
        <f>IF(VALUE(F3464) = VALUE(RIGHT(Insights!$C$3, 4)), E3464, "")</f>
        <v>#VALUE!</v>
      </c>
      <c r="H3464" s="26" t="e">
        <f t="shared" si="1"/>
        <v>#VALUE!</v>
      </c>
      <c r="I3464" s="1" t="e">
        <f t="shared" si="2"/>
        <v>#VALUE!</v>
      </c>
    </row>
    <row r="3465" spans="1:9" ht="15.75" customHeight="1">
      <c r="A3465" s="26"/>
      <c r="B3465" s="2"/>
      <c r="C3465" s="26"/>
      <c r="D3465" s="26"/>
      <c r="F3465" s="85" t="str">
        <f t="shared" si="0"/>
        <v/>
      </c>
      <c r="G3465" s="1" t="e">
        <f>IF(VALUE(F3465) = VALUE(RIGHT(Insights!$C$3, 4)), E3465, "")</f>
        <v>#VALUE!</v>
      </c>
      <c r="H3465" s="26" t="e">
        <f t="shared" si="1"/>
        <v>#VALUE!</v>
      </c>
      <c r="I3465" s="1" t="e">
        <f t="shared" si="2"/>
        <v>#VALUE!</v>
      </c>
    </row>
    <row r="3466" spans="1:9" ht="15.75" customHeight="1">
      <c r="A3466" s="26"/>
      <c r="B3466" s="2"/>
      <c r="C3466" s="26"/>
      <c r="D3466" s="26"/>
      <c r="F3466" s="85" t="str">
        <f t="shared" si="0"/>
        <v/>
      </c>
      <c r="G3466" s="1" t="e">
        <f>IF(VALUE(F3466) = VALUE(RIGHT(Insights!$C$3, 4)), E3466, "")</f>
        <v>#VALUE!</v>
      </c>
      <c r="H3466" s="26" t="e">
        <f t="shared" si="1"/>
        <v>#VALUE!</v>
      </c>
      <c r="I3466" s="1" t="e">
        <f t="shared" si="2"/>
        <v>#VALUE!</v>
      </c>
    </row>
    <row r="3467" spans="1:9" ht="15.75" customHeight="1">
      <c r="A3467" s="26"/>
      <c r="B3467" s="2"/>
      <c r="C3467" s="26"/>
      <c r="D3467" s="26"/>
      <c r="F3467" s="85" t="str">
        <f t="shared" si="0"/>
        <v/>
      </c>
      <c r="G3467" s="1" t="e">
        <f>IF(VALUE(F3467) = VALUE(RIGHT(Insights!$C$3, 4)), E3467, "")</f>
        <v>#VALUE!</v>
      </c>
      <c r="H3467" s="26" t="e">
        <f t="shared" si="1"/>
        <v>#VALUE!</v>
      </c>
      <c r="I3467" s="1" t="e">
        <f t="shared" si="2"/>
        <v>#VALUE!</v>
      </c>
    </row>
    <row r="3468" spans="1:9" ht="15.75" customHeight="1">
      <c r="A3468" s="26"/>
      <c r="B3468" s="2"/>
      <c r="C3468" s="26"/>
      <c r="D3468" s="26"/>
      <c r="F3468" s="85" t="str">
        <f t="shared" si="0"/>
        <v/>
      </c>
      <c r="G3468" s="1" t="e">
        <f>IF(VALUE(F3468) = VALUE(RIGHT(Insights!$C$3, 4)), E3468, "")</f>
        <v>#VALUE!</v>
      </c>
      <c r="H3468" s="26" t="e">
        <f t="shared" si="1"/>
        <v>#VALUE!</v>
      </c>
      <c r="I3468" s="1" t="e">
        <f t="shared" si="2"/>
        <v>#VALUE!</v>
      </c>
    </row>
    <row r="3469" spans="1:9" ht="15.75" customHeight="1">
      <c r="A3469" s="26"/>
      <c r="B3469" s="2"/>
      <c r="C3469" s="26"/>
      <c r="D3469" s="26"/>
      <c r="F3469" s="85" t="str">
        <f t="shared" si="0"/>
        <v/>
      </c>
      <c r="G3469" s="1" t="e">
        <f>IF(VALUE(F3469) = VALUE(RIGHT(Insights!$C$3, 4)), E3469, "")</f>
        <v>#VALUE!</v>
      </c>
      <c r="H3469" s="26" t="e">
        <f t="shared" si="1"/>
        <v>#VALUE!</v>
      </c>
      <c r="I3469" s="1" t="e">
        <f t="shared" si="2"/>
        <v>#VALUE!</v>
      </c>
    </row>
    <row r="3470" spans="1:9" ht="15.75" customHeight="1">
      <c r="A3470" s="26"/>
      <c r="B3470" s="2"/>
      <c r="C3470" s="26"/>
      <c r="D3470" s="26"/>
      <c r="F3470" s="85" t="str">
        <f t="shared" si="0"/>
        <v/>
      </c>
      <c r="G3470" s="1" t="e">
        <f>IF(VALUE(F3470) = VALUE(RIGHT(Insights!$C$3, 4)), E3470, "")</f>
        <v>#VALUE!</v>
      </c>
      <c r="H3470" s="26" t="e">
        <f t="shared" si="1"/>
        <v>#VALUE!</v>
      </c>
      <c r="I3470" s="1" t="e">
        <f t="shared" si="2"/>
        <v>#VALUE!</v>
      </c>
    </row>
    <row r="3471" spans="1:9" ht="15.75" customHeight="1">
      <c r="A3471" s="26"/>
      <c r="B3471" s="2"/>
      <c r="C3471" s="26"/>
      <c r="D3471" s="26"/>
      <c r="F3471" s="85" t="str">
        <f t="shared" si="0"/>
        <v/>
      </c>
      <c r="G3471" s="1" t="e">
        <f>IF(VALUE(F3471) = VALUE(RIGHT(Insights!$C$3, 4)), E3471, "")</f>
        <v>#VALUE!</v>
      </c>
      <c r="H3471" s="26" t="e">
        <f t="shared" si="1"/>
        <v>#VALUE!</v>
      </c>
      <c r="I3471" s="1" t="e">
        <f t="shared" si="2"/>
        <v>#VALUE!</v>
      </c>
    </row>
    <row r="3472" spans="1:9" ht="15.75" customHeight="1">
      <c r="A3472" s="26"/>
      <c r="B3472" s="2"/>
      <c r="C3472" s="26"/>
      <c r="D3472" s="26"/>
      <c r="F3472" s="85" t="str">
        <f t="shared" si="0"/>
        <v/>
      </c>
      <c r="G3472" s="1" t="e">
        <f>IF(VALUE(F3472) = VALUE(RIGHT(Insights!$C$3, 4)), E3472, "")</f>
        <v>#VALUE!</v>
      </c>
      <c r="H3472" s="26" t="e">
        <f t="shared" si="1"/>
        <v>#VALUE!</v>
      </c>
      <c r="I3472" s="1" t="e">
        <f t="shared" si="2"/>
        <v>#VALUE!</v>
      </c>
    </row>
    <row r="3473" spans="1:9" ht="15.75" customHeight="1">
      <c r="A3473" s="26"/>
      <c r="B3473" s="2"/>
      <c r="C3473" s="26"/>
      <c r="D3473" s="26"/>
      <c r="F3473" s="85" t="str">
        <f t="shared" si="0"/>
        <v/>
      </c>
      <c r="G3473" s="1" t="e">
        <f>IF(VALUE(F3473) = VALUE(RIGHT(Insights!$C$3, 4)), E3473, "")</f>
        <v>#VALUE!</v>
      </c>
      <c r="H3473" s="26" t="e">
        <f t="shared" si="1"/>
        <v>#VALUE!</v>
      </c>
      <c r="I3473" s="1" t="e">
        <f t="shared" si="2"/>
        <v>#VALUE!</v>
      </c>
    </row>
    <row r="3474" spans="1:9" ht="15.75" customHeight="1">
      <c r="A3474" s="26"/>
      <c r="B3474" s="2"/>
      <c r="C3474" s="26"/>
      <c r="D3474" s="26"/>
      <c r="F3474" s="85" t="str">
        <f t="shared" si="0"/>
        <v/>
      </c>
      <c r="G3474" s="1" t="e">
        <f>IF(VALUE(F3474) = VALUE(RIGHT(Insights!$C$3, 4)), E3474, "")</f>
        <v>#VALUE!</v>
      </c>
      <c r="H3474" s="26" t="e">
        <f t="shared" si="1"/>
        <v>#VALUE!</v>
      </c>
      <c r="I3474" s="1" t="e">
        <f t="shared" si="2"/>
        <v>#VALUE!</v>
      </c>
    </row>
    <row r="3475" spans="1:9" ht="15.75" customHeight="1">
      <c r="A3475" s="26"/>
      <c r="B3475" s="2"/>
      <c r="C3475" s="26"/>
      <c r="D3475" s="26"/>
      <c r="F3475" s="85" t="str">
        <f t="shared" si="0"/>
        <v/>
      </c>
      <c r="G3475" s="1" t="e">
        <f>IF(VALUE(F3475) = VALUE(RIGHT(Insights!$C$3, 4)), E3475, "")</f>
        <v>#VALUE!</v>
      </c>
      <c r="H3475" s="26" t="e">
        <f t="shared" si="1"/>
        <v>#VALUE!</v>
      </c>
      <c r="I3475" s="1" t="e">
        <f t="shared" si="2"/>
        <v>#VALUE!</v>
      </c>
    </row>
    <row r="3476" spans="1:9" ht="15.75" customHeight="1">
      <c r="A3476" s="26"/>
      <c r="B3476" s="2"/>
      <c r="C3476" s="26"/>
      <c r="D3476" s="26"/>
      <c r="F3476" s="85" t="str">
        <f t="shared" si="0"/>
        <v/>
      </c>
      <c r="G3476" s="1" t="e">
        <f>IF(VALUE(F3476) = VALUE(RIGHT(Insights!$C$3, 4)), E3476, "")</f>
        <v>#VALUE!</v>
      </c>
      <c r="H3476" s="26" t="e">
        <f t="shared" si="1"/>
        <v>#VALUE!</v>
      </c>
      <c r="I3476" s="1" t="e">
        <f t="shared" si="2"/>
        <v>#VALUE!</v>
      </c>
    </row>
    <row r="3477" spans="1:9" ht="15.75" customHeight="1">
      <c r="A3477" s="26"/>
      <c r="B3477" s="2"/>
      <c r="C3477" s="26"/>
      <c r="D3477" s="26"/>
      <c r="F3477" s="85" t="str">
        <f t="shared" si="0"/>
        <v/>
      </c>
      <c r="G3477" s="1" t="e">
        <f>IF(VALUE(F3477) = VALUE(RIGHT(Insights!$C$3, 4)), E3477, "")</f>
        <v>#VALUE!</v>
      </c>
      <c r="H3477" s="26" t="e">
        <f t="shared" si="1"/>
        <v>#VALUE!</v>
      </c>
      <c r="I3477" s="1" t="e">
        <f t="shared" si="2"/>
        <v>#VALUE!</v>
      </c>
    </row>
    <row r="3478" spans="1:9" ht="15.75" customHeight="1">
      <c r="A3478" s="26"/>
      <c r="B3478" s="2"/>
      <c r="C3478" s="26"/>
      <c r="D3478" s="26"/>
      <c r="F3478" s="85" t="str">
        <f t="shared" si="0"/>
        <v/>
      </c>
      <c r="G3478" s="1" t="e">
        <f>IF(VALUE(F3478) = VALUE(RIGHT(Insights!$C$3, 4)), E3478, "")</f>
        <v>#VALUE!</v>
      </c>
      <c r="H3478" s="26" t="e">
        <f t="shared" si="1"/>
        <v>#VALUE!</v>
      </c>
      <c r="I3478" s="1" t="e">
        <f t="shared" si="2"/>
        <v>#VALUE!</v>
      </c>
    </row>
    <row r="3479" spans="1:9" ht="15.75" customHeight="1">
      <c r="A3479" s="26"/>
      <c r="B3479" s="2"/>
      <c r="C3479" s="26"/>
      <c r="D3479" s="26"/>
      <c r="F3479" s="85" t="str">
        <f t="shared" si="0"/>
        <v/>
      </c>
      <c r="G3479" s="1" t="e">
        <f>IF(VALUE(F3479) = VALUE(RIGHT(Insights!$C$3, 4)), E3479, "")</f>
        <v>#VALUE!</v>
      </c>
      <c r="H3479" s="26" t="e">
        <f t="shared" si="1"/>
        <v>#VALUE!</v>
      </c>
      <c r="I3479" s="1" t="e">
        <f t="shared" si="2"/>
        <v>#VALUE!</v>
      </c>
    </row>
    <row r="3480" spans="1:9" ht="15.75" customHeight="1">
      <c r="A3480" s="26"/>
      <c r="B3480" s="2"/>
      <c r="C3480" s="26"/>
      <c r="D3480" s="26"/>
      <c r="F3480" s="85" t="str">
        <f t="shared" si="0"/>
        <v/>
      </c>
      <c r="G3480" s="1" t="e">
        <f>IF(VALUE(F3480) = VALUE(RIGHT(Insights!$C$3, 4)), E3480, "")</f>
        <v>#VALUE!</v>
      </c>
      <c r="H3480" s="26" t="e">
        <f t="shared" si="1"/>
        <v>#VALUE!</v>
      </c>
      <c r="I3480" s="1" t="e">
        <f t="shared" si="2"/>
        <v>#VALUE!</v>
      </c>
    </row>
    <row r="3481" spans="1:9" ht="15.75" customHeight="1">
      <c r="A3481" s="26"/>
      <c r="B3481" s="2"/>
      <c r="C3481" s="26"/>
      <c r="D3481" s="26"/>
      <c r="F3481" s="85" t="str">
        <f t="shared" si="0"/>
        <v/>
      </c>
      <c r="G3481" s="1" t="e">
        <f>IF(VALUE(F3481) = VALUE(RIGHT(Insights!$C$3, 4)), E3481, "")</f>
        <v>#VALUE!</v>
      </c>
      <c r="H3481" s="26" t="e">
        <f t="shared" si="1"/>
        <v>#VALUE!</v>
      </c>
      <c r="I3481" s="1" t="e">
        <f t="shared" si="2"/>
        <v>#VALUE!</v>
      </c>
    </row>
    <row r="3482" spans="1:9" ht="15.75" customHeight="1">
      <c r="A3482" s="26"/>
      <c r="B3482" s="2"/>
      <c r="C3482" s="26"/>
      <c r="D3482" s="26"/>
      <c r="F3482" s="85" t="str">
        <f t="shared" si="0"/>
        <v/>
      </c>
      <c r="G3482" s="1" t="e">
        <f>IF(VALUE(F3482) = VALUE(RIGHT(Insights!$C$3, 4)), E3482, "")</f>
        <v>#VALUE!</v>
      </c>
      <c r="H3482" s="26" t="e">
        <f t="shared" si="1"/>
        <v>#VALUE!</v>
      </c>
      <c r="I3482" s="1" t="e">
        <f t="shared" si="2"/>
        <v>#VALUE!</v>
      </c>
    </row>
    <row r="3483" spans="1:9" ht="15.75" customHeight="1">
      <c r="A3483" s="26"/>
      <c r="B3483" s="2"/>
      <c r="C3483" s="26"/>
      <c r="D3483" s="26"/>
      <c r="F3483" s="85" t="str">
        <f t="shared" si="0"/>
        <v/>
      </c>
      <c r="G3483" s="1" t="e">
        <f>IF(VALUE(F3483) = VALUE(RIGHT(Insights!$C$3, 4)), E3483, "")</f>
        <v>#VALUE!</v>
      </c>
      <c r="H3483" s="26" t="e">
        <f t="shared" si="1"/>
        <v>#VALUE!</v>
      </c>
      <c r="I3483" s="1" t="e">
        <f t="shared" si="2"/>
        <v>#VALUE!</v>
      </c>
    </row>
    <row r="3484" spans="1:9" ht="15.75" customHeight="1">
      <c r="A3484" s="26"/>
      <c r="B3484" s="2"/>
      <c r="C3484" s="26"/>
      <c r="D3484" s="26"/>
      <c r="F3484" s="85" t="str">
        <f t="shared" si="0"/>
        <v/>
      </c>
      <c r="G3484" s="1" t="e">
        <f>IF(VALUE(F3484) = VALUE(RIGHT(Insights!$C$3, 4)), E3484, "")</f>
        <v>#VALUE!</v>
      </c>
      <c r="H3484" s="26" t="e">
        <f t="shared" si="1"/>
        <v>#VALUE!</v>
      </c>
      <c r="I3484" s="1" t="e">
        <f t="shared" si="2"/>
        <v>#VALUE!</v>
      </c>
    </row>
    <row r="3485" spans="1:9" ht="15.75" customHeight="1">
      <c r="A3485" s="26"/>
      <c r="B3485" s="2"/>
      <c r="C3485" s="26"/>
      <c r="D3485" s="26"/>
      <c r="F3485" s="85" t="str">
        <f t="shared" si="0"/>
        <v/>
      </c>
      <c r="G3485" s="1" t="e">
        <f>IF(VALUE(F3485) = VALUE(RIGHT(Insights!$C$3, 4)), E3485, "")</f>
        <v>#VALUE!</v>
      </c>
      <c r="H3485" s="26" t="e">
        <f t="shared" si="1"/>
        <v>#VALUE!</v>
      </c>
      <c r="I3485" s="1" t="e">
        <f t="shared" si="2"/>
        <v>#VALUE!</v>
      </c>
    </row>
    <row r="3486" spans="1:9" ht="15.75" customHeight="1">
      <c r="A3486" s="26"/>
      <c r="B3486" s="2"/>
      <c r="C3486" s="26"/>
      <c r="D3486" s="26"/>
      <c r="F3486" s="85" t="str">
        <f t="shared" si="0"/>
        <v/>
      </c>
      <c r="G3486" s="1" t="e">
        <f>IF(VALUE(F3486) = VALUE(RIGHT(Insights!$C$3, 4)), E3486, "")</f>
        <v>#VALUE!</v>
      </c>
      <c r="H3486" s="26" t="e">
        <f t="shared" si="1"/>
        <v>#VALUE!</v>
      </c>
      <c r="I3486" s="1" t="e">
        <f t="shared" si="2"/>
        <v>#VALUE!</v>
      </c>
    </row>
    <row r="3487" spans="1:9" ht="15.75" customHeight="1">
      <c r="A3487" s="26"/>
      <c r="B3487" s="2"/>
      <c r="C3487" s="26"/>
      <c r="D3487" s="26"/>
      <c r="F3487" s="85" t="str">
        <f t="shared" si="0"/>
        <v/>
      </c>
      <c r="G3487" s="1" t="e">
        <f>IF(VALUE(F3487) = VALUE(RIGHT(Insights!$C$3, 4)), E3487, "")</f>
        <v>#VALUE!</v>
      </c>
      <c r="H3487" s="26" t="e">
        <f t="shared" si="1"/>
        <v>#VALUE!</v>
      </c>
      <c r="I3487" s="1" t="e">
        <f t="shared" si="2"/>
        <v>#VALUE!</v>
      </c>
    </row>
    <row r="3488" spans="1:9" ht="15.75" customHeight="1">
      <c r="A3488" s="26"/>
      <c r="B3488" s="2"/>
      <c r="C3488" s="26"/>
      <c r="D3488" s="26"/>
      <c r="F3488" s="85" t="str">
        <f t="shared" si="0"/>
        <v/>
      </c>
      <c r="G3488" s="1" t="e">
        <f>IF(VALUE(F3488) = VALUE(RIGHT(Insights!$C$3, 4)), E3488, "")</f>
        <v>#VALUE!</v>
      </c>
      <c r="H3488" s="26" t="e">
        <f t="shared" si="1"/>
        <v>#VALUE!</v>
      </c>
      <c r="I3488" s="1" t="e">
        <f t="shared" si="2"/>
        <v>#VALUE!</v>
      </c>
    </row>
    <row r="3489" spans="1:9" ht="15.75" customHeight="1">
      <c r="A3489" s="26"/>
      <c r="B3489" s="2"/>
      <c r="C3489" s="26"/>
      <c r="D3489" s="26"/>
      <c r="F3489" s="85" t="str">
        <f t="shared" si="0"/>
        <v/>
      </c>
      <c r="G3489" s="1" t="e">
        <f>IF(VALUE(F3489) = VALUE(RIGHT(Insights!$C$3, 4)), E3489, "")</f>
        <v>#VALUE!</v>
      </c>
      <c r="H3489" s="26" t="e">
        <f t="shared" si="1"/>
        <v>#VALUE!</v>
      </c>
      <c r="I3489" s="1" t="e">
        <f t="shared" si="2"/>
        <v>#VALUE!</v>
      </c>
    </row>
    <row r="3490" spans="1:9" ht="15.75" customHeight="1">
      <c r="A3490" s="26"/>
      <c r="B3490" s="2"/>
      <c r="C3490" s="26"/>
      <c r="D3490" s="26"/>
      <c r="F3490" s="85" t="str">
        <f t="shared" si="0"/>
        <v/>
      </c>
      <c r="G3490" s="1" t="e">
        <f>IF(VALUE(F3490) = VALUE(RIGHT(Insights!$C$3, 4)), E3490, "")</f>
        <v>#VALUE!</v>
      </c>
      <c r="H3490" s="26" t="e">
        <f t="shared" si="1"/>
        <v>#VALUE!</v>
      </c>
      <c r="I3490" s="1" t="e">
        <f t="shared" si="2"/>
        <v>#VALUE!</v>
      </c>
    </row>
    <row r="3491" spans="1:9" ht="15.75" customHeight="1">
      <c r="A3491" s="26"/>
      <c r="B3491" s="2"/>
      <c r="C3491" s="26"/>
      <c r="D3491" s="26"/>
      <c r="F3491" s="85" t="str">
        <f t="shared" si="0"/>
        <v/>
      </c>
      <c r="G3491" s="1" t="e">
        <f>IF(VALUE(F3491) = VALUE(RIGHT(Insights!$C$3, 4)), E3491, "")</f>
        <v>#VALUE!</v>
      </c>
      <c r="H3491" s="26" t="e">
        <f t="shared" si="1"/>
        <v>#VALUE!</v>
      </c>
      <c r="I3491" s="1" t="e">
        <f t="shared" si="2"/>
        <v>#VALUE!</v>
      </c>
    </row>
    <row r="3492" spans="1:9" ht="15.75" customHeight="1">
      <c r="A3492" s="26"/>
      <c r="B3492" s="2"/>
      <c r="C3492" s="26"/>
      <c r="D3492" s="26"/>
      <c r="F3492" s="85" t="str">
        <f t="shared" si="0"/>
        <v/>
      </c>
      <c r="G3492" s="1" t="e">
        <f>IF(VALUE(F3492) = VALUE(RIGHT(Insights!$C$3, 4)), E3492, "")</f>
        <v>#VALUE!</v>
      </c>
      <c r="H3492" s="26" t="e">
        <f t="shared" si="1"/>
        <v>#VALUE!</v>
      </c>
      <c r="I3492" s="1" t="e">
        <f t="shared" si="2"/>
        <v>#VALUE!</v>
      </c>
    </row>
    <row r="3493" spans="1:9" ht="15.75" customHeight="1">
      <c r="A3493" s="26"/>
      <c r="B3493" s="2"/>
      <c r="C3493" s="26"/>
      <c r="D3493" s="26"/>
      <c r="F3493" s="85" t="str">
        <f t="shared" si="0"/>
        <v/>
      </c>
      <c r="G3493" s="1" t="e">
        <f>IF(VALUE(F3493) = VALUE(RIGHT(Insights!$C$3, 4)), E3493, "")</f>
        <v>#VALUE!</v>
      </c>
      <c r="H3493" s="26" t="e">
        <f t="shared" si="1"/>
        <v>#VALUE!</v>
      </c>
      <c r="I3493" s="1" t="e">
        <f t="shared" si="2"/>
        <v>#VALUE!</v>
      </c>
    </row>
    <row r="3494" spans="1:9" ht="15.75" customHeight="1">
      <c r="A3494" s="26"/>
      <c r="B3494" s="2"/>
      <c r="C3494" s="26"/>
      <c r="D3494" s="26"/>
      <c r="F3494" s="85" t="str">
        <f t="shared" si="0"/>
        <v/>
      </c>
      <c r="G3494" s="1" t="e">
        <f>IF(VALUE(F3494) = VALUE(RIGHT(Insights!$C$3, 4)), E3494, "")</f>
        <v>#VALUE!</v>
      </c>
      <c r="H3494" s="26" t="e">
        <f t="shared" si="1"/>
        <v>#VALUE!</v>
      </c>
      <c r="I3494" s="1" t="e">
        <f t="shared" si="2"/>
        <v>#VALUE!</v>
      </c>
    </row>
    <row r="3495" spans="1:9" ht="15.75" customHeight="1">
      <c r="A3495" s="26"/>
      <c r="B3495" s="2"/>
      <c r="C3495" s="26"/>
      <c r="D3495" s="26"/>
      <c r="F3495" s="85" t="str">
        <f t="shared" si="0"/>
        <v/>
      </c>
      <c r="G3495" s="1" t="e">
        <f>IF(VALUE(F3495) = VALUE(RIGHT(Insights!$C$3, 4)), E3495, "")</f>
        <v>#VALUE!</v>
      </c>
      <c r="H3495" s="26" t="e">
        <f t="shared" si="1"/>
        <v>#VALUE!</v>
      </c>
      <c r="I3495" s="1" t="e">
        <f t="shared" si="2"/>
        <v>#VALUE!</v>
      </c>
    </row>
    <row r="3496" spans="1:9" ht="15.75" customHeight="1">
      <c r="A3496" s="26"/>
      <c r="B3496" s="2"/>
      <c r="C3496" s="26"/>
      <c r="D3496" s="26"/>
      <c r="F3496" s="85" t="str">
        <f t="shared" si="0"/>
        <v/>
      </c>
      <c r="G3496" s="1" t="e">
        <f>IF(VALUE(F3496) = VALUE(RIGHT(Insights!$C$3, 4)), E3496, "")</f>
        <v>#VALUE!</v>
      </c>
      <c r="H3496" s="26" t="e">
        <f t="shared" si="1"/>
        <v>#VALUE!</v>
      </c>
      <c r="I3496" s="1" t="e">
        <f t="shared" si="2"/>
        <v>#VALUE!</v>
      </c>
    </row>
    <row r="3497" spans="1:9" ht="15.75" customHeight="1">
      <c r="A3497" s="26"/>
      <c r="B3497" s="2"/>
      <c r="C3497" s="26"/>
      <c r="D3497" s="26"/>
      <c r="F3497" s="85" t="str">
        <f t="shared" si="0"/>
        <v/>
      </c>
      <c r="G3497" s="1" t="e">
        <f>IF(VALUE(F3497) = VALUE(RIGHT(Insights!$C$3, 4)), E3497, "")</f>
        <v>#VALUE!</v>
      </c>
      <c r="H3497" s="26" t="e">
        <f t="shared" si="1"/>
        <v>#VALUE!</v>
      </c>
      <c r="I3497" s="1" t="e">
        <f t="shared" si="2"/>
        <v>#VALUE!</v>
      </c>
    </row>
    <row r="3498" spans="1:9" ht="15.75" customHeight="1">
      <c r="A3498" s="26"/>
      <c r="B3498" s="2"/>
      <c r="C3498" s="26"/>
      <c r="D3498" s="26"/>
      <c r="F3498" s="85" t="str">
        <f t="shared" si="0"/>
        <v/>
      </c>
      <c r="G3498" s="1" t="e">
        <f>IF(VALUE(F3498) = VALUE(RIGHT(Insights!$C$3, 4)), E3498, "")</f>
        <v>#VALUE!</v>
      </c>
      <c r="H3498" s="26" t="e">
        <f t="shared" si="1"/>
        <v>#VALUE!</v>
      </c>
      <c r="I3498" s="1" t="e">
        <f t="shared" si="2"/>
        <v>#VALUE!</v>
      </c>
    </row>
    <row r="3499" spans="1:9" ht="15.75" customHeight="1">
      <c r="A3499" s="26"/>
      <c r="B3499" s="2"/>
      <c r="C3499" s="26"/>
      <c r="D3499" s="26"/>
      <c r="F3499" s="85" t="str">
        <f t="shared" si="0"/>
        <v/>
      </c>
      <c r="G3499" s="1" t="e">
        <f>IF(VALUE(F3499) = VALUE(RIGHT(Insights!$C$3, 4)), E3499, "")</f>
        <v>#VALUE!</v>
      </c>
      <c r="H3499" s="26" t="e">
        <f t="shared" si="1"/>
        <v>#VALUE!</v>
      </c>
      <c r="I3499" s="1" t="e">
        <f t="shared" si="2"/>
        <v>#VALUE!</v>
      </c>
    </row>
    <row r="3500" spans="1:9" ht="15.75" customHeight="1">
      <c r="A3500" s="26"/>
      <c r="B3500" s="2"/>
      <c r="C3500" s="26"/>
      <c r="D3500" s="26"/>
      <c r="F3500" s="85" t="str">
        <f t="shared" si="0"/>
        <v/>
      </c>
      <c r="G3500" s="1" t="e">
        <f>IF(VALUE(F3500) = VALUE(RIGHT(Insights!$C$3, 4)), E3500, "")</f>
        <v>#VALUE!</v>
      </c>
      <c r="H3500" s="26" t="e">
        <f t="shared" si="1"/>
        <v>#VALUE!</v>
      </c>
      <c r="I3500" s="1" t="e">
        <f t="shared" si="2"/>
        <v>#VALUE!</v>
      </c>
    </row>
    <row r="3501" spans="1:9" ht="15.75" customHeight="1">
      <c r="A3501" s="26"/>
      <c r="B3501" s="2"/>
      <c r="C3501" s="26"/>
      <c r="D3501" s="26"/>
      <c r="F3501" s="85" t="str">
        <f t="shared" si="0"/>
        <v/>
      </c>
      <c r="G3501" s="1" t="e">
        <f>IF(VALUE(F3501) = VALUE(RIGHT(Insights!$C$3, 4)), E3501, "")</f>
        <v>#VALUE!</v>
      </c>
      <c r="H3501" s="26" t="e">
        <f t="shared" si="1"/>
        <v>#VALUE!</v>
      </c>
      <c r="I3501" s="1" t="e">
        <f t="shared" si="2"/>
        <v>#VALUE!</v>
      </c>
    </row>
    <row r="3502" spans="1:9" ht="15.75" customHeight="1">
      <c r="A3502" s="26"/>
      <c r="B3502" s="2"/>
      <c r="C3502" s="26"/>
      <c r="D3502" s="26"/>
      <c r="F3502" s="85" t="str">
        <f t="shared" si="0"/>
        <v/>
      </c>
      <c r="G3502" s="1" t="e">
        <f>IF(VALUE(F3502) = VALUE(RIGHT(Insights!$C$3, 4)), E3502, "")</f>
        <v>#VALUE!</v>
      </c>
      <c r="H3502" s="26" t="e">
        <f t="shared" si="1"/>
        <v>#VALUE!</v>
      </c>
      <c r="I3502" s="1" t="e">
        <f t="shared" si="2"/>
        <v>#VALUE!</v>
      </c>
    </row>
    <row r="3503" spans="1:9" ht="15.75" customHeight="1">
      <c r="A3503" s="26"/>
      <c r="B3503" s="2"/>
      <c r="C3503" s="26"/>
      <c r="D3503" s="26"/>
      <c r="F3503" s="85" t="str">
        <f t="shared" si="0"/>
        <v/>
      </c>
      <c r="G3503" s="1" t="e">
        <f>IF(VALUE(F3503) = VALUE(RIGHT(Insights!$C$3, 4)), E3503, "")</f>
        <v>#VALUE!</v>
      </c>
      <c r="H3503" s="26" t="e">
        <f t="shared" si="1"/>
        <v>#VALUE!</v>
      </c>
      <c r="I3503" s="1" t="e">
        <f t="shared" si="2"/>
        <v>#VALUE!</v>
      </c>
    </row>
    <row r="3504" spans="1:9" ht="15.75" customHeight="1">
      <c r="A3504" s="26"/>
      <c r="B3504" s="2"/>
      <c r="C3504" s="26"/>
      <c r="D3504" s="26"/>
      <c r="F3504" s="85" t="str">
        <f t="shared" si="0"/>
        <v/>
      </c>
      <c r="G3504" s="1" t="e">
        <f>IF(VALUE(F3504) = VALUE(RIGHT(Insights!$C$3, 4)), E3504, "")</f>
        <v>#VALUE!</v>
      </c>
      <c r="H3504" s="26" t="e">
        <f t="shared" si="1"/>
        <v>#VALUE!</v>
      </c>
      <c r="I3504" s="1" t="e">
        <f t="shared" si="2"/>
        <v>#VALUE!</v>
      </c>
    </row>
    <row r="3505" spans="1:9" ht="15.75" customHeight="1">
      <c r="A3505" s="26"/>
      <c r="B3505" s="2"/>
      <c r="C3505" s="26"/>
      <c r="D3505" s="26"/>
      <c r="F3505" s="85" t="str">
        <f t="shared" si="0"/>
        <v/>
      </c>
      <c r="G3505" s="1" t="e">
        <f>IF(VALUE(F3505) = VALUE(RIGHT(Insights!$C$3, 4)), E3505, "")</f>
        <v>#VALUE!</v>
      </c>
      <c r="H3505" s="26" t="e">
        <f t="shared" si="1"/>
        <v>#VALUE!</v>
      </c>
      <c r="I3505" s="1" t="e">
        <f t="shared" si="2"/>
        <v>#VALUE!</v>
      </c>
    </row>
    <row r="3506" spans="1:9" ht="15.75" customHeight="1">
      <c r="A3506" s="26"/>
      <c r="B3506" s="2"/>
      <c r="C3506" s="26"/>
      <c r="D3506" s="26"/>
      <c r="F3506" s="85" t="str">
        <f t="shared" si="0"/>
        <v/>
      </c>
      <c r="G3506" s="1" t="e">
        <f>IF(VALUE(F3506) = VALUE(RIGHT(Insights!$C$3, 4)), E3506, "")</f>
        <v>#VALUE!</v>
      </c>
      <c r="H3506" s="26" t="e">
        <f t="shared" si="1"/>
        <v>#VALUE!</v>
      </c>
      <c r="I3506" s="1" t="e">
        <f t="shared" si="2"/>
        <v>#VALUE!</v>
      </c>
    </row>
    <row r="3507" spans="1:9" ht="15.75" customHeight="1">
      <c r="A3507" s="26"/>
      <c r="B3507" s="2"/>
      <c r="C3507" s="26"/>
      <c r="D3507" s="26"/>
      <c r="F3507" s="85" t="str">
        <f t="shared" si="0"/>
        <v/>
      </c>
      <c r="G3507" s="1" t="e">
        <f>IF(VALUE(F3507) = VALUE(RIGHT(Insights!$C$3, 4)), E3507, "")</f>
        <v>#VALUE!</v>
      </c>
      <c r="H3507" s="26" t="e">
        <f t="shared" si="1"/>
        <v>#VALUE!</v>
      </c>
      <c r="I3507" s="1" t="e">
        <f t="shared" si="2"/>
        <v>#VALUE!</v>
      </c>
    </row>
    <row r="3508" spans="1:9" ht="15.75" customHeight="1">
      <c r="A3508" s="26"/>
      <c r="B3508" s="2"/>
      <c r="C3508" s="26"/>
      <c r="D3508" s="26"/>
      <c r="F3508" s="85" t="str">
        <f t="shared" si="0"/>
        <v/>
      </c>
      <c r="G3508" s="1" t="e">
        <f>IF(VALUE(F3508) = VALUE(RIGHT(Insights!$C$3, 4)), E3508, "")</f>
        <v>#VALUE!</v>
      </c>
      <c r="H3508" s="26" t="e">
        <f t="shared" si="1"/>
        <v>#VALUE!</v>
      </c>
      <c r="I3508" s="1" t="e">
        <f t="shared" si="2"/>
        <v>#VALUE!</v>
      </c>
    </row>
    <row r="3509" spans="1:9" ht="15.75" customHeight="1">
      <c r="A3509" s="26"/>
      <c r="B3509" s="2"/>
      <c r="C3509" s="26"/>
      <c r="D3509" s="26"/>
      <c r="F3509" s="85" t="str">
        <f t="shared" si="0"/>
        <v/>
      </c>
      <c r="G3509" s="1" t="e">
        <f>IF(VALUE(F3509) = VALUE(RIGHT(Insights!$C$3, 4)), E3509, "")</f>
        <v>#VALUE!</v>
      </c>
      <c r="H3509" s="26" t="e">
        <f t="shared" si="1"/>
        <v>#VALUE!</v>
      </c>
      <c r="I3509" s="1" t="e">
        <f t="shared" si="2"/>
        <v>#VALUE!</v>
      </c>
    </row>
    <row r="3510" spans="1:9" ht="15.75" customHeight="1">
      <c r="A3510" s="26"/>
      <c r="B3510" s="2"/>
      <c r="C3510" s="26"/>
      <c r="D3510" s="26"/>
      <c r="F3510" s="85" t="str">
        <f t="shared" si="0"/>
        <v/>
      </c>
      <c r="G3510" s="1" t="e">
        <f>IF(VALUE(F3510) = VALUE(RIGHT(Insights!$C$3, 4)), E3510, "")</f>
        <v>#VALUE!</v>
      </c>
      <c r="H3510" s="26" t="e">
        <f t="shared" si="1"/>
        <v>#VALUE!</v>
      </c>
      <c r="I3510" s="1" t="e">
        <f t="shared" si="2"/>
        <v>#VALUE!</v>
      </c>
    </row>
    <row r="3511" spans="1:9" ht="15.75" customHeight="1">
      <c r="A3511" s="26"/>
      <c r="B3511" s="2"/>
      <c r="C3511" s="26"/>
      <c r="D3511" s="26"/>
      <c r="F3511" s="85" t="str">
        <f t="shared" si="0"/>
        <v/>
      </c>
      <c r="G3511" s="1" t="e">
        <f>IF(VALUE(F3511) = VALUE(RIGHT(Insights!$C$3, 4)), E3511, "")</f>
        <v>#VALUE!</v>
      </c>
      <c r="H3511" s="26" t="e">
        <f t="shared" si="1"/>
        <v>#VALUE!</v>
      </c>
      <c r="I3511" s="1" t="e">
        <f t="shared" si="2"/>
        <v>#VALUE!</v>
      </c>
    </row>
    <row r="3512" spans="1:9" ht="15.75" customHeight="1">
      <c r="A3512" s="26"/>
      <c r="B3512" s="2"/>
      <c r="C3512" s="26"/>
      <c r="D3512" s="26"/>
      <c r="F3512" s="85" t="str">
        <f t="shared" si="0"/>
        <v/>
      </c>
      <c r="G3512" s="1" t="e">
        <f>IF(VALUE(F3512) = VALUE(RIGHT(Insights!$C$3, 4)), E3512, "")</f>
        <v>#VALUE!</v>
      </c>
      <c r="H3512" s="26" t="e">
        <f t="shared" si="1"/>
        <v>#VALUE!</v>
      </c>
      <c r="I3512" s="1" t="e">
        <f t="shared" si="2"/>
        <v>#VALUE!</v>
      </c>
    </row>
    <row r="3513" spans="1:9" ht="15.75" customHeight="1">
      <c r="A3513" s="26"/>
      <c r="B3513" s="2"/>
      <c r="C3513" s="26"/>
      <c r="D3513" s="26"/>
      <c r="F3513" s="85" t="str">
        <f t="shared" si="0"/>
        <v/>
      </c>
      <c r="G3513" s="1" t="e">
        <f>IF(VALUE(F3513) = VALUE(RIGHT(Insights!$C$3, 4)), E3513, "")</f>
        <v>#VALUE!</v>
      </c>
      <c r="H3513" s="26" t="e">
        <f t="shared" si="1"/>
        <v>#VALUE!</v>
      </c>
      <c r="I3513" s="1" t="e">
        <f t="shared" si="2"/>
        <v>#VALUE!</v>
      </c>
    </row>
    <row r="3514" spans="1:9" ht="15.75" customHeight="1">
      <c r="A3514" s="26"/>
      <c r="B3514" s="2"/>
      <c r="C3514" s="26"/>
      <c r="D3514" s="26"/>
      <c r="F3514" s="85" t="str">
        <f t="shared" si="0"/>
        <v/>
      </c>
      <c r="G3514" s="1" t="e">
        <f>IF(VALUE(F3514) = VALUE(RIGHT(Insights!$C$3, 4)), E3514, "")</f>
        <v>#VALUE!</v>
      </c>
      <c r="H3514" s="26" t="e">
        <f t="shared" si="1"/>
        <v>#VALUE!</v>
      </c>
      <c r="I3514" s="1" t="e">
        <f t="shared" si="2"/>
        <v>#VALUE!</v>
      </c>
    </row>
    <row r="3515" spans="1:9" ht="15.75" customHeight="1">
      <c r="A3515" s="26"/>
      <c r="B3515" s="2"/>
      <c r="C3515" s="26"/>
      <c r="D3515" s="26"/>
      <c r="F3515" s="85" t="str">
        <f t="shared" si="0"/>
        <v/>
      </c>
      <c r="G3515" s="1" t="e">
        <f>IF(VALUE(F3515) = VALUE(RIGHT(Insights!$C$3, 4)), E3515, "")</f>
        <v>#VALUE!</v>
      </c>
      <c r="H3515" s="26" t="e">
        <f t="shared" si="1"/>
        <v>#VALUE!</v>
      </c>
      <c r="I3515" s="1" t="e">
        <f t="shared" si="2"/>
        <v>#VALUE!</v>
      </c>
    </row>
    <row r="3516" spans="1:9" ht="15.75" customHeight="1">
      <c r="A3516" s="26"/>
      <c r="B3516" s="2"/>
      <c r="C3516" s="26"/>
      <c r="D3516" s="26"/>
      <c r="F3516" s="85" t="str">
        <f t="shared" si="0"/>
        <v/>
      </c>
      <c r="G3516" s="1" t="e">
        <f>IF(VALUE(F3516) = VALUE(RIGHT(Insights!$C$3, 4)), E3516, "")</f>
        <v>#VALUE!</v>
      </c>
      <c r="H3516" s="26" t="e">
        <f t="shared" si="1"/>
        <v>#VALUE!</v>
      </c>
      <c r="I3516" s="1" t="e">
        <f t="shared" si="2"/>
        <v>#VALUE!</v>
      </c>
    </row>
    <row r="3517" spans="1:9" ht="15.75" customHeight="1">
      <c r="A3517" s="26"/>
      <c r="B3517" s="2"/>
      <c r="C3517" s="26"/>
      <c r="D3517" s="26"/>
      <c r="F3517" s="85" t="str">
        <f t="shared" si="0"/>
        <v/>
      </c>
      <c r="G3517" s="1" t="e">
        <f>IF(VALUE(F3517) = VALUE(RIGHT(Insights!$C$3, 4)), E3517, "")</f>
        <v>#VALUE!</v>
      </c>
      <c r="H3517" s="26" t="e">
        <f t="shared" si="1"/>
        <v>#VALUE!</v>
      </c>
      <c r="I3517" s="1" t="e">
        <f t="shared" si="2"/>
        <v>#VALUE!</v>
      </c>
    </row>
    <row r="3518" spans="1:9" ht="15.75" customHeight="1">
      <c r="A3518" s="26"/>
      <c r="B3518" s="2"/>
      <c r="C3518" s="26"/>
      <c r="D3518" s="26"/>
      <c r="F3518" s="85" t="str">
        <f t="shared" si="0"/>
        <v/>
      </c>
      <c r="G3518" s="1" t="e">
        <f>IF(VALUE(F3518) = VALUE(RIGHT(Insights!$C$3, 4)), E3518, "")</f>
        <v>#VALUE!</v>
      </c>
      <c r="H3518" s="26" t="e">
        <f t="shared" si="1"/>
        <v>#VALUE!</v>
      </c>
      <c r="I3518" s="1" t="e">
        <f t="shared" si="2"/>
        <v>#VALUE!</v>
      </c>
    </row>
    <row r="3519" spans="1:9" ht="15.75" customHeight="1">
      <c r="A3519" s="26"/>
      <c r="B3519" s="2"/>
      <c r="C3519" s="26"/>
      <c r="D3519" s="26"/>
      <c r="F3519" s="85" t="str">
        <f t="shared" si="0"/>
        <v/>
      </c>
      <c r="G3519" s="1" t="e">
        <f>IF(VALUE(F3519) = VALUE(RIGHT(Insights!$C$3, 4)), E3519, "")</f>
        <v>#VALUE!</v>
      </c>
      <c r="H3519" s="26" t="e">
        <f t="shared" si="1"/>
        <v>#VALUE!</v>
      </c>
      <c r="I3519" s="1" t="e">
        <f t="shared" si="2"/>
        <v>#VALUE!</v>
      </c>
    </row>
    <row r="3520" spans="1:9" ht="15.75" customHeight="1">
      <c r="A3520" s="26"/>
      <c r="B3520" s="2"/>
      <c r="C3520" s="26"/>
      <c r="D3520" s="26"/>
      <c r="F3520" s="85" t="str">
        <f t="shared" si="0"/>
        <v/>
      </c>
      <c r="G3520" s="1" t="e">
        <f>IF(VALUE(F3520) = VALUE(RIGHT(Insights!$C$3, 4)), E3520, "")</f>
        <v>#VALUE!</v>
      </c>
      <c r="H3520" s="26" t="e">
        <f t="shared" si="1"/>
        <v>#VALUE!</v>
      </c>
      <c r="I3520" s="1" t="e">
        <f t="shared" si="2"/>
        <v>#VALUE!</v>
      </c>
    </row>
    <row r="3521" spans="1:9" ht="15.75" customHeight="1">
      <c r="A3521" s="26"/>
      <c r="B3521" s="2"/>
      <c r="C3521" s="26"/>
      <c r="D3521" s="26"/>
      <c r="F3521" s="85" t="str">
        <f t="shared" si="0"/>
        <v/>
      </c>
      <c r="G3521" s="1" t="e">
        <f>IF(VALUE(F3521) = VALUE(RIGHT(Insights!$C$3, 4)), E3521, "")</f>
        <v>#VALUE!</v>
      </c>
      <c r="H3521" s="26" t="e">
        <f t="shared" si="1"/>
        <v>#VALUE!</v>
      </c>
      <c r="I3521" s="1" t="e">
        <f t="shared" si="2"/>
        <v>#VALUE!</v>
      </c>
    </row>
    <row r="3522" spans="1:9" ht="15.75" customHeight="1">
      <c r="A3522" s="26"/>
      <c r="B3522" s="2"/>
      <c r="C3522" s="26"/>
      <c r="D3522" s="26"/>
      <c r="F3522" s="85" t="str">
        <f t="shared" si="0"/>
        <v/>
      </c>
      <c r="G3522" s="1" t="e">
        <f>IF(VALUE(F3522) = VALUE(RIGHT(Insights!$C$3, 4)), E3522, "")</f>
        <v>#VALUE!</v>
      </c>
      <c r="H3522" s="26" t="e">
        <f t="shared" si="1"/>
        <v>#VALUE!</v>
      </c>
      <c r="I3522" s="1" t="e">
        <f t="shared" si="2"/>
        <v>#VALUE!</v>
      </c>
    </row>
    <row r="3523" spans="1:9" ht="15.75" customHeight="1">
      <c r="A3523" s="26"/>
      <c r="B3523" s="2"/>
      <c r="C3523" s="26"/>
      <c r="D3523" s="26"/>
      <c r="F3523" s="85" t="str">
        <f t="shared" si="0"/>
        <v/>
      </c>
      <c r="G3523" s="1" t="e">
        <f>IF(VALUE(F3523) = VALUE(RIGHT(Insights!$C$3, 4)), E3523, "")</f>
        <v>#VALUE!</v>
      </c>
      <c r="H3523" s="26" t="e">
        <f t="shared" si="1"/>
        <v>#VALUE!</v>
      </c>
      <c r="I3523" s="1" t="e">
        <f t="shared" si="2"/>
        <v>#VALUE!</v>
      </c>
    </row>
    <row r="3524" spans="1:9" ht="15.75" customHeight="1">
      <c r="A3524" s="26"/>
      <c r="B3524" s="2"/>
      <c r="C3524" s="26"/>
      <c r="D3524" s="26"/>
      <c r="F3524" s="85" t="str">
        <f t="shared" si="0"/>
        <v/>
      </c>
      <c r="G3524" s="1" t="e">
        <f>IF(VALUE(F3524) = VALUE(RIGHT(Insights!$C$3, 4)), E3524, "")</f>
        <v>#VALUE!</v>
      </c>
      <c r="H3524" s="26" t="e">
        <f t="shared" si="1"/>
        <v>#VALUE!</v>
      </c>
      <c r="I3524" s="1" t="e">
        <f t="shared" si="2"/>
        <v>#VALUE!</v>
      </c>
    </row>
    <row r="3525" spans="1:9" ht="15.75" customHeight="1">
      <c r="A3525" s="26"/>
      <c r="B3525" s="2"/>
      <c r="C3525" s="26"/>
      <c r="D3525" s="26"/>
      <c r="F3525" s="85" t="str">
        <f t="shared" si="0"/>
        <v/>
      </c>
      <c r="G3525" s="1" t="e">
        <f>IF(VALUE(F3525) = VALUE(RIGHT(Insights!$C$3, 4)), E3525, "")</f>
        <v>#VALUE!</v>
      </c>
      <c r="H3525" s="26" t="e">
        <f t="shared" si="1"/>
        <v>#VALUE!</v>
      </c>
      <c r="I3525" s="1" t="e">
        <f t="shared" si="2"/>
        <v>#VALUE!</v>
      </c>
    </row>
    <row r="3526" spans="1:9" ht="15.75" customHeight="1">
      <c r="A3526" s="26"/>
      <c r="B3526" s="2"/>
      <c r="C3526" s="26"/>
      <c r="D3526" s="26"/>
      <c r="F3526" s="85" t="str">
        <f t="shared" si="0"/>
        <v/>
      </c>
      <c r="G3526" s="1" t="e">
        <f>IF(VALUE(F3526) = VALUE(RIGHT(Insights!$C$3, 4)), E3526, "")</f>
        <v>#VALUE!</v>
      </c>
      <c r="H3526" s="26" t="e">
        <f t="shared" si="1"/>
        <v>#VALUE!</v>
      </c>
      <c r="I3526" s="1" t="e">
        <f t="shared" si="2"/>
        <v>#VALUE!</v>
      </c>
    </row>
    <row r="3527" spans="1:9" ht="15.75" customHeight="1">
      <c r="A3527" s="26"/>
      <c r="B3527" s="2"/>
      <c r="C3527" s="26"/>
      <c r="D3527" s="26"/>
      <c r="F3527" s="85" t="str">
        <f t="shared" si="0"/>
        <v/>
      </c>
      <c r="G3527" s="1" t="e">
        <f>IF(VALUE(F3527) = VALUE(RIGHT(Insights!$C$3, 4)), E3527, "")</f>
        <v>#VALUE!</v>
      </c>
      <c r="H3527" s="26" t="e">
        <f t="shared" si="1"/>
        <v>#VALUE!</v>
      </c>
      <c r="I3527" s="1" t="e">
        <f t="shared" si="2"/>
        <v>#VALUE!</v>
      </c>
    </row>
    <row r="3528" spans="1:9" ht="15.75" customHeight="1">
      <c r="A3528" s="26"/>
      <c r="B3528" s="2"/>
      <c r="C3528" s="26"/>
      <c r="D3528" s="26"/>
      <c r="F3528" s="85" t="str">
        <f t="shared" si="0"/>
        <v/>
      </c>
      <c r="G3528" s="1" t="e">
        <f>IF(VALUE(F3528) = VALUE(RIGHT(Insights!$C$3, 4)), E3528, "")</f>
        <v>#VALUE!</v>
      </c>
      <c r="H3528" s="26" t="e">
        <f t="shared" si="1"/>
        <v>#VALUE!</v>
      </c>
      <c r="I3528" s="1" t="e">
        <f t="shared" si="2"/>
        <v>#VALUE!</v>
      </c>
    </row>
    <row r="3529" spans="1:9" ht="15.75" customHeight="1">
      <c r="A3529" s="26"/>
      <c r="B3529" s="2"/>
      <c r="C3529" s="26"/>
      <c r="D3529" s="26"/>
      <c r="F3529" s="85" t="str">
        <f t="shared" si="0"/>
        <v/>
      </c>
      <c r="G3529" s="1" t="e">
        <f>IF(VALUE(F3529) = VALUE(RIGHT(Insights!$C$3, 4)), E3529, "")</f>
        <v>#VALUE!</v>
      </c>
      <c r="H3529" s="26" t="e">
        <f t="shared" si="1"/>
        <v>#VALUE!</v>
      </c>
      <c r="I3529" s="1" t="e">
        <f t="shared" si="2"/>
        <v>#VALUE!</v>
      </c>
    </row>
    <row r="3530" spans="1:9" ht="15.75" customHeight="1">
      <c r="A3530" s="26"/>
      <c r="B3530" s="2"/>
      <c r="C3530" s="26"/>
      <c r="D3530" s="26"/>
      <c r="F3530" s="85" t="str">
        <f t="shared" si="0"/>
        <v/>
      </c>
      <c r="G3530" s="1" t="e">
        <f>IF(VALUE(F3530) = VALUE(RIGHT(Insights!$C$3, 4)), E3530, "")</f>
        <v>#VALUE!</v>
      </c>
      <c r="H3530" s="26" t="e">
        <f t="shared" si="1"/>
        <v>#VALUE!</v>
      </c>
      <c r="I3530" s="1" t="e">
        <f t="shared" si="2"/>
        <v>#VALUE!</v>
      </c>
    </row>
    <row r="3531" spans="1:9" ht="15.75" customHeight="1">
      <c r="A3531" s="26"/>
      <c r="B3531" s="2"/>
      <c r="C3531" s="26"/>
      <c r="D3531" s="26"/>
      <c r="F3531" s="85" t="str">
        <f t="shared" si="0"/>
        <v/>
      </c>
      <c r="G3531" s="1" t="e">
        <f>IF(VALUE(F3531) = VALUE(RIGHT(Insights!$C$3, 4)), E3531, "")</f>
        <v>#VALUE!</v>
      </c>
      <c r="H3531" s="26" t="e">
        <f t="shared" si="1"/>
        <v>#VALUE!</v>
      </c>
      <c r="I3531" s="1" t="e">
        <f t="shared" si="2"/>
        <v>#VALUE!</v>
      </c>
    </row>
    <row r="3532" spans="1:9" ht="15.75" customHeight="1">
      <c r="A3532" s="26"/>
      <c r="B3532" s="2"/>
      <c r="C3532" s="26"/>
      <c r="D3532" s="26"/>
      <c r="F3532" s="85" t="str">
        <f t="shared" si="0"/>
        <v/>
      </c>
      <c r="G3532" s="1" t="e">
        <f>IF(VALUE(F3532) = VALUE(RIGHT(Insights!$C$3, 4)), E3532, "")</f>
        <v>#VALUE!</v>
      </c>
      <c r="H3532" s="26" t="e">
        <f t="shared" si="1"/>
        <v>#VALUE!</v>
      </c>
      <c r="I3532" s="1" t="e">
        <f t="shared" si="2"/>
        <v>#VALUE!</v>
      </c>
    </row>
    <row r="3533" spans="1:9" ht="15.75" customHeight="1">
      <c r="A3533" s="26"/>
      <c r="B3533" s="2"/>
      <c r="C3533" s="26"/>
      <c r="D3533" s="26"/>
      <c r="F3533" s="85" t="str">
        <f t="shared" si="0"/>
        <v/>
      </c>
      <c r="G3533" s="1" t="e">
        <f>IF(VALUE(F3533) = VALUE(RIGHT(Insights!$C$3, 4)), E3533, "")</f>
        <v>#VALUE!</v>
      </c>
      <c r="H3533" s="26" t="e">
        <f t="shared" si="1"/>
        <v>#VALUE!</v>
      </c>
      <c r="I3533" s="1" t="e">
        <f t="shared" si="2"/>
        <v>#VALUE!</v>
      </c>
    </row>
    <row r="3534" spans="1:9" ht="15.75" customHeight="1">
      <c r="A3534" s="26"/>
      <c r="B3534" s="2"/>
      <c r="C3534" s="26"/>
      <c r="D3534" s="26"/>
      <c r="F3534" s="85" t="str">
        <f t="shared" si="0"/>
        <v/>
      </c>
      <c r="G3534" s="1" t="e">
        <f>IF(VALUE(F3534) = VALUE(RIGHT(Insights!$C$3, 4)), E3534, "")</f>
        <v>#VALUE!</v>
      </c>
      <c r="H3534" s="26" t="e">
        <f t="shared" si="1"/>
        <v>#VALUE!</v>
      </c>
      <c r="I3534" s="1" t="e">
        <f t="shared" si="2"/>
        <v>#VALUE!</v>
      </c>
    </row>
    <row r="3535" spans="1:9" ht="15.75" customHeight="1">
      <c r="A3535" s="26"/>
      <c r="B3535" s="2"/>
      <c r="C3535" s="26"/>
      <c r="D3535" s="26"/>
      <c r="F3535" s="85" t="str">
        <f t="shared" si="0"/>
        <v/>
      </c>
      <c r="G3535" s="1" t="e">
        <f>IF(VALUE(F3535) = VALUE(RIGHT(Insights!$C$3, 4)), E3535, "")</f>
        <v>#VALUE!</v>
      </c>
      <c r="H3535" s="26" t="e">
        <f t="shared" si="1"/>
        <v>#VALUE!</v>
      </c>
      <c r="I3535" s="1" t="e">
        <f t="shared" si="2"/>
        <v>#VALUE!</v>
      </c>
    </row>
    <row r="3536" spans="1:9" ht="15.75" customHeight="1">
      <c r="A3536" s="26"/>
      <c r="B3536" s="2"/>
      <c r="C3536" s="26"/>
      <c r="D3536" s="26"/>
      <c r="F3536" s="85" t="str">
        <f t="shared" si="0"/>
        <v/>
      </c>
      <c r="G3536" s="1" t="e">
        <f>IF(VALUE(F3536) = VALUE(RIGHT(Insights!$C$3, 4)), E3536, "")</f>
        <v>#VALUE!</v>
      </c>
      <c r="H3536" s="26" t="e">
        <f t="shared" si="1"/>
        <v>#VALUE!</v>
      </c>
      <c r="I3536" s="1" t="e">
        <f t="shared" si="2"/>
        <v>#VALUE!</v>
      </c>
    </row>
    <row r="3537" spans="1:9" ht="15.75" customHeight="1">
      <c r="A3537" s="26"/>
      <c r="B3537" s="2"/>
      <c r="C3537" s="26"/>
      <c r="D3537" s="26"/>
      <c r="F3537" s="85" t="str">
        <f t="shared" si="0"/>
        <v/>
      </c>
      <c r="G3537" s="1" t="e">
        <f>IF(VALUE(F3537) = VALUE(RIGHT(Insights!$C$3, 4)), E3537, "")</f>
        <v>#VALUE!</v>
      </c>
      <c r="H3537" s="26" t="e">
        <f t="shared" si="1"/>
        <v>#VALUE!</v>
      </c>
      <c r="I3537" s="1" t="e">
        <f t="shared" si="2"/>
        <v>#VALUE!</v>
      </c>
    </row>
    <row r="3538" spans="1:9" ht="15.75" customHeight="1">
      <c r="A3538" s="26"/>
      <c r="B3538" s="2"/>
      <c r="C3538" s="26"/>
      <c r="D3538" s="26"/>
      <c r="F3538" s="85" t="str">
        <f t="shared" si="0"/>
        <v/>
      </c>
      <c r="G3538" s="1" t="e">
        <f>IF(VALUE(F3538) = VALUE(RIGHT(Insights!$C$3, 4)), E3538, "")</f>
        <v>#VALUE!</v>
      </c>
      <c r="H3538" s="26" t="e">
        <f t="shared" si="1"/>
        <v>#VALUE!</v>
      </c>
      <c r="I3538" s="1" t="e">
        <f t="shared" si="2"/>
        <v>#VALUE!</v>
      </c>
    </row>
    <row r="3539" spans="1:9" ht="15.75" customHeight="1">
      <c r="A3539" s="26"/>
      <c r="B3539" s="2"/>
      <c r="C3539" s="26"/>
      <c r="D3539" s="26"/>
      <c r="F3539" s="85" t="str">
        <f t="shared" si="0"/>
        <v/>
      </c>
      <c r="G3539" s="1" t="e">
        <f>IF(VALUE(F3539) = VALUE(RIGHT(Insights!$C$3, 4)), E3539, "")</f>
        <v>#VALUE!</v>
      </c>
      <c r="H3539" s="26" t="e">
        <f t="shared" si="1"/>
        <v>#VALUE!</v>
      </c>
      <c r="I3539" s="1" t="e">
        <f t="shared" si="2"/>
        <v>#VALUE!</v>
      </c>
    </row>
    <row r="3540" spans="1:9" ht="15.75" customHeight="1">
      <c r="A3540" s="26"/>
      <c r="B3540" s="2"/>
      <c r="C3540" s="26"/>
      <c r="D3540" s="26"/>
      <c r="F3540" s="85" t="str">
        <f t="shared" si="0"/>
        <v/>
      </c>
      <c r="G3540" s="1" t="e">
        <f>IF(VALUE(F3540) = VALUE(RIGHT(Insights!$C$3, 4)), E3540, "")</f>
        <v>#VALUE!</v>
      </c>
      <c r="H3540" s="26" t="e">
        <f t="shared" si="1"/>
        <v>#VALUE!</v>
      </c>
      <c r="I3540" s="1" t="e">
        <f t="shared" si="2"/>
        <v>#VALUE!</v>
      </c>
    </row>
    <row r="3541" spans="1:9" ht="15.75" customHeight="1">
      <c r="A3541" s="26"/>
      <c r="B3541" s="2"/>
      <c r="C3541" s="26"/>
      <c r="D3541" s="26"/>
      <c r="F3541" s="85" t="str">
        <f t="shared" si="0"/>
        <v/>
      </c>
      <c r="G3541" s="1" t="e">
        <f>IF(VALUE(F3541) = VALUE(RIGHT(Insights!$C$3, 4)), E3541, "")</f>
        <v>#VALUE!</v>
      </c>
      <c r="H3541" s="26" t="e">
        <f t="shared" si="1"/>
        <v>#VALUE!</v>
      </c>
      <c r="I3541" s="1" t="e">
        <f t="shared" si="2"/>
        <v>#VALUE!</v>
      </c>
    </row>
    <row r="3542" spans="1:9" ht="15.75" customHeight="1">
      <c r="A3542" s="26"/>
      <c r="B3542" s="2"/>
      <c r="C3542" s="26"/>
      <c r="D3542" s="26"/>
      <c r="F3542" s="85" t="str">
        <f t="shared" si="0"/>
        <v/>
      </c>
      <c r="G3542" s="1" t="e">
        <f>IF(VALUE(F3542) = VALUE(RIGHT(Insights!$C$3, 4)), E3542, "")</f>
        <v>#VALUE!</v>
      </c>
      <c r="H3542" s="26" t="e">
        <f t="shared" si="1"/>
        <v>#VALUE!</v>
      </c>
      <c r="I3542" s="1" t="e">
        <f t="shared" si="2"/>
        <v>#VALUE!</v>
      </c>
    </row>
    <row r="3543" spans="1:9" ht="15.75" customHeight="1">
      <c r="A3543" s="26"/>
      <c r="B3543" s="2"/>
      <c r="C3543" s="26"/>
      <c r="D3543" s="26"/>
      <c r="F3543" s="85" t="str">
        <f t="shared" si="0"/>
        <v/>
      </c>
      <c r="G3543" s="1" t="e">
        <f>IF(VALUE(F3543) = VALUE(RIGHT(Insights!$C$3, 4)), E3543, "")</f>
        <v>#VALUE!</v>
      </c>
      <c r="H3543" s="26" t="e">
        <f t="shared" si="1"/>
        <v>#VALUE!</v>
      </c>
      <c r="I3543" s="1" t="e">
        <f t="shared" si="2"/>
        <v>#VALUE!</v>
      </c>
    </row>
    <row r="3544" spans="1:9" ht="15.75" customHeight="1">
      <c r="A3544" s="26"/>
      <c r="B3544" s="2"/>
      <c r="C3544" s="26"/>
      <c r="D3544" s="26"/>
      <c r="F3544" s="85" t="str">
        <f t="shared" si="0"/>
        <v/>
      </c>
      <c r="G3544" s="1" t="e">
        <f>IF(VALUE(F3544) = VALUE(RIGHT(Insights!$C$3, 4)), E3544, "")</f>
        <v>#VALUE!</v>
      </c>
      <c r="H3544" s="26" t="e">
        <f t="shared" si="1"/>
        <v>#VALUE!</v>
      </c>
      <c r="I3544" s="1" t="e">
        <f t="shared" si="2"/>
        <v>#VALUE!</v>
      </c>
    </row>
    <row r="3545" spans="1:9" ht="15.75" customHeight="1">
      <c r="A3545" s="26"/>
      <c r="B3545" s="2"/>
      <c r="C3545" s="26"/>
      <c r="D3545" s="26"/>
      <c r="F3545" s="85" t="str">
        <f t="shared" si="0"/>
        <v/>
      </c>
      <c r="G3545" s="1" t="e">
        <f>IF(VALUE(F3545) = VALUE(RIGHT(Insights!$C$3, 4)), E3545, "")</f>
        <v>#VALUE!</v>
      </c>
      <c r="H3545" s="26" t="e">
        <f t="shared" si="1"/>
        <v>#VALUE!</v>
      </c>
      <c r="I3545" s="1" t="e">
        <f t="shared" si="2"/>
        <v>#VALUE!</v>
      </c>
    </row>
    <row r="3546" spans="1:9" ht="15.75" customHeight="1">
      <c r="A3546" s="26"/>
      <c r="B3546" s="2"/>
      <c r="C3546" s="26"/>
      <c r="D3546" s="26"/>
      <c r="F3546" s="85" t="str">
        <f t="shared" si="0"/>
        <v/>
      </c>
      <c r="G3546" s="1" t="e">
        <f>IF(VALUE(F3546) = VALUE(RIGHT(Insights!$C$3, 4)), E3546, "")</f>
        <v>#VALUE!</v>
      </c>
      <c r="H3546" s="26" t="e">
        <f t="shared" si="1"/>
        <v>#VALUE!</v>
      </c>
      <c r="I3546" s="1" t="e">
        <f t="shared" si="2"/>
        <v>#VALUE!</v>
      </c>
    </row>
    <row r="3547" spans="1:9" ht="15.75" customHeight="1">
      <c r="A3547" s="26"/>
      <c r="B3547" s="2"/>
      <c r="C3547" s="26"/>
      <c r="D3547" s="26"/>
      <c r="F3547" s="85" t="str">
        <f t="shared" si="0"/>
        <v/>
      </c>
      <c r="G3547" s="1" t="e">
        <f>IF(VALUE(F3547) = VALUE(RIGHT(Insights!$C$3, 4)), E3547, "")</f>
        <v>#VALUE!</v>
      </c>
      <c r="H3547" s="26" t="e">
        <f t="shared" si="1"/>
        <v>#VALUE!</v>
      </c>
      <c r="I3547" s="1" t="e">
        <f t="shared" si="2"/>
        <v>#VALUE!</v>
      </c>
    </row>
    <row r="3548" spans="1:9" ht="15.75" customHeight="1">
      <c r="A3548" s="26"/>
      <c r="B3548" s="2"/>
      <c r="C3548" s="26"/>
      <c r="D3548" s="26"/>
      <c r="F3548" s="85" t="str">
        <f t="shared" si="0"/>
        <v/>
      </c>
      <c r="G3548" s="1" t="e">
        <f>IF(VALUE(F3548) = VALUE(RIGHT(Insights!$C$3, 4)), E3548, "")</f>
        <v>#VALUE!</v>
      </c>
      <c r="H3548" s="26" t="e">
        <f t="shared" si="1"/>
        <v>#VALUE!</v>
      </c>
      <c r="I3548" s="1" t="e">
        <f t="shared" si="2"/>
        <v>#VALUE!</v>
      </c>
    </row>
    <row r="3549" spans="1:9" ht="15.75" customHeight="1">
      <c r="A3549" s="26"/>
      <c r="B3549" s="2"/>
      <c r="C3549" s="26"/>
      <c r="D3549" s="26"/>
      <c r="F3549" s="85" t="str">
        <f t="shared" si="0"/>
        <v/>
      </c>
      <c r="G3549" s="1" t="e">
        <f>IF(VALUE(F3549) = VALUE(RIGHT(Insights!$C$3, 4)), E3549, "")</f>
        <v>#VALUE!</v>
      </c>
      <c r="H3549" s="26" t="e">
        <f t="shared" si="1"/>
        <v>#VALUE!</v>
      </c>
      <c r="I3549" s="1" t="e">
        <f t="shared" si="2"/>
        <v>#VALUE!</v>
      </c>
    </row>
    <row r="3550" spans="1:9" ht="15.75" customHeight="1">
      <c r="A3550" s="26"/>
      <c r="B3550" s="2"/>
      <c r="C3550" s="26"/>
      <c r="D3550" s="26"/>
      <c r="F3550" s="85" t="str">
        <f t="shared" si="0"/>
        <v/>
      </c>
      <c r="G3550" s="1" t="e">
        <f>IF(VALUE(F3550) = VALUE(RIGHT(Insights!$C$3, 4)), E3550, "")</f>
        <v>#VALUE!</v>
      </c>
      <c r="H3550" s="26" t="e">
        <f t="shared" si="1"/>
        <v>#VALUE!</v>
      </c>
      <c r="I3550" s="1" t="e">
        <f t="shared" si="2"/>
        <v>#VALUE!</v>
      </c>
    </row>
    <row r="3551" spans="1:9" ht="15.75" customHeight="1">
      <c r="A3551" s="26"/>
      <c r="B3551" s="2"/>
      <c r="C3551" s="26"/>
      <c r="D3551" s="26"/>
      <c r="F3551" s="85" t="str">
        <f t="shared" si="0"/>
        <v/>
      </c>
      <c r="G3551" s="1" t="e">
        <f>IF(VALUE(F3551) = VALUE(RIGHT(Insights!$C$3, 4)), E3551, "")</f>
        <v>#VALUE!</v>
      </c>
      <c r="H3551" s="26" t="e">
        <f t="shared" si="1"/>
        <v>#VALUE!</v>
      </c>
      <c r="I3551" s="1" t="e">
        <f t="shared" si="2"/>
        <v>#VALUE!</v>
      </c>
    </row>
    <row r="3552" spans="1:9" ht="15.75" customHeight="1">
      <c r="A3552" s="26"/>
      <c r="B3552" s="2"/>
      <c r="C3552" s="26"/>
      <c r="D3552" s="26"/>
      <c r="F3552" s="85" t="str">
        <f t="shared" si="0"/>
        <v/>
      </c>
      <c r="G3552" s="1" t="e">
        <f>IF(VALUE(F3552) = VALUE(RIGHT(Insights!$C$3, 4)), E3552, "")</f>
        <v>#VALUE!</v>
      </c>
      <c r="H3552" s="26" t="e">
        <f t="shared" si="1"/>
        <v>#VALUE!</v>
      </c>
      <c r="I3552" s="1" t="e">
        <f t="shared" si="2"/>
        <v>#VALUE!</v>
      </c>
    </row>
    <row r="3553" spans="1:9" ht="15.75" customHeight="1">
      <c r="A3553" s="26"/>
      <c r="B3553" s="2"/>
      <c r="C3553" s="26"/>
      <c r="D3553" s="26"/>
      <c r="F3553" s="85" t="str">
        <f t="shared" si="0"/>
        <v/>
      </c>
      <c r="G3553" s="1" t="e">
        <f>IF(VALUE(F3553) = VALUE(RIGHT(Insights!$C$3, 4)), E3553, "")</f>
        <v>#VALUE!</v>
      </c>
      <c r="H3553" s="26" t="e">
        <f t="shared" si="1"/>
        <v>#VALUE!</v>
      </c>
      <c r="I3553" s="1" t="e">
        <f t="shared" si="2"/>
        <v>#VALUE!</v>
      </c>
    </row>
    <row r="3554" spans="1:9" ht="15.75" customHeight="1">
      <c r="A3554" s="26"/>
      <c r="B3554" s="2"/>
      <c r="C3554" s="26"/>
      <c r="D3554" s="26"/>
      <c r="F3554" s="85" t="str">
        <f t="shared" si="0"/>
        <v/>
      </c>
      <c r="G3554" s="1" t="e">
        <f>IF(VALUE(F3554) = VALUE(RIGHT(Insights!$C$3, 4)), E3554, "")</f>
        <v>#VALUE!</v>
      </c>
      <c r="H3554" s="26" t="e">
        <f t="shared" si="1"/>
        <v>#VALUE!</v>
      </c>
      <c r="I3554" s="1" t="e">
        <f t="shared" si="2"/>
        <v>#VALUE!</v>
      </c>
    </row>
    <row r="3555" spans="1:9" ht="15.75" customHeight="1">
      <c r="A3555" s="26"/>
      <c r="B3555" s="2"/>
      <c r="C3555" s="26"/>
      <c r="D3555" s="26"/>
      <c r="F3555" s="85" t="str">
        <f t="shared" si="0"/>
        <v/>
      </c>
      <c r="G3555" s="1" t="e">
        <f>IF(VALUE(F3555) = VALUE(RIGHT(Insights!$C$3, 4)), E3555, "")</f>
        <v>#VALUE!</v>
      </c>
      <c r="H3555" s="26" t="e">
        <f t="shared" si="1"/>
        <v>#VALUE!</v>
      </c>
      <c r="I3555" s="1" t="e">
        <f t="shared" si="2"/>
        <v>#VALUE!</v>
      </c>
    </row>
    <row r="3556" spans="1:9" ht="15.75" customHeight="1">
      <c r="A3556" s="26"/>
      <c r="B3556" s="2"/>
      <c r="C3556" s="26"/>
      <c r="D3556" s="26"/>
      <c r="F3556" s="85" t="str">
        <f t="shared" si="0"/>
        <v/>
      </c>
      <c r="G3556" s="1" t="e">
        <f>IF(VALUE(F3556) = VALUE(RIGHT(Insights!$C$3, 4)), E3556, "")</f>
        <v>#VALUE!</v>
      </c>
      <c r="H3556" s="26" t="e">
        <f t="shared" si="1"/>
        <v>#VALUE!</v>
      </c>
      <c r="I3556" s="1" t="e">
        <f t="shared" si="2"/>
        <v>#VALUE!</v>
      </c>
    </row>
    <row r="3557" spans="1:9" ht="15.75" customHeight="1">
      <c r="A3557" s="26"/>
      <c r="B3557" s="2"/>
      <c r="C3557" s="26"/>
      <c r="D3557" s="26"/>
      <c r="F3557" s="85" t="str">
        <f t="shared" si="0"/>
        <v/>
      </c>
      <c r="G3557" s="1" t="e">
        <f>IF(VALUE(F3557) = VALUE(RIGHT(Insights!$C$3, 4)), E3557, "")</f>
        <v>#VALUE!</v>
      </c>
      <c r="H3557" s="26" t="e">
        <f t="shared" si="1"/>
        <v>#VALUE!</v>
      </c>
      <c r="I3557" s="1" t="e">
        <f t="shared" si="2"/>
        <v>#VALUE!</v>
      </c>
    </row>
    <row r="3558" spans="1:9" ht="15.75" customHeight="1">
      <c r="A3558" s="26"/>
      <c r="B3558" s="2"/>
      <c r="C3558" s="26"/>
      <c r="D3558" s="26"/>
      <c r="F3558" s="85" t="str">
        <f t="shared" si="0"/>
        <v/>
      </c>
      <c r="G3558" s="1" t="e">
        <f>IF(VALUE(F3558) = VALUE(RIGHT(Insights!$C$3, 4)), E3558, "")</f>
        <v>#VALUE!</v>
      </c>
      <c r="H3558" s="26" t="e">
        <f t="shared" si="1"/>
        <v>#VALUE!</v>
      </c>
      <c r="I3558" s="1" t="e">
        <f t="shared" si="2"/>
        <v>#VALUE!</v>
      </c>
    </row>
    <row r="3559" spans="1:9" ht="15.75" customHeight="1">
      <c r="A3559" s="26"/>
      <c r="B3559" s="2"/>
      <c r="C3559" s="26"/>
      <c r="D3559" s="26"/>
      <c r="F3559" s="85" t="str">
        <f t="shared" si="0"/>
        <v/>
      </c>
      <c r="G3559" s="1" t="e">
        <f>IF(VALUE(F3559) = VALUE(RIGHT(Insights!$C$3, 4)), E3559, "")</f>
        <v>#VALUE!</v>
      </c>
      <c r="H3559" s="26" t="e">
        <f t="shared" si="1"/>
        <v>#VALUE!</v>
      </c>
      <c r="I3559" s="1" t="e">
        <f t="shared" si="2"/>
        <v>#VALUE!</v>
      </c>
    </row>
    <row r="3560" spans="1:9" ht="15.75" customHeight="1">
      <c r="A3560" s="26"/>
      <c r="B3560" s="2"/>
      <c r="C3560" s="26"/>
      <c r="D3560" s="26"/>
      <c r="F3560" s="85" t="str">
        <f t="shared" si="0"/>
        <v/>
      </c>
      <c r="G3560" s="1" t="e">
        <f>IF(VALUE(F3560) = VALUE(RIGHT(Insights!$C$3, 4)), E3560, "")</f>
        <v>#VALUE!</v>
      </c>
      <c r="H3560" s="26" t="e">
        <f t="shared" si="1"/>
        <v>#VALUE!</v>
      </c>
      <c r="I3560" s="1" t="e">
        <f t="shared" si="2"/>
        <v>#VALUE!</v>
      </c>
    </row>
    <row r="3561" spans="1:9" ht="15.75" customHeight="1">
      <c r="A3561" s="26"/>
      <c r="B3561" s="2"/>
      <c r="C3561" s="26"/>
      <c r="D3561" s="26"/>
      <c r="F3561" s="85" t="str">
        <f t="shared" si="0"/>
        <v/>
      </c>
      <c r="G3561" s="1" t="e">
        <f>IF(VALUE(F3561) = VALUE(RIGHT(Insights!$C$3, 4)), E3561, "")</f>
        <v>#VALUE!</v>
      </c>
      <c r="H3561" s="26" t="e">
        <f t="shared" si="1"/>
        <v>#VALUE!</v>
      </c>
      <c r="I3561" s="1" t="e">
        <f t="shared" si="2"/>
        <v>#VALUE!</v>
      </c>
    </row>
    <row r="3562" spans="1:9" ht="15.75" customHeight="1">
      <c r="A3562" s="26"/>
      <c r="B3562" s="2"/>
      <c r="C3562" s="26"/>
      <c r="D3562" s="26"/>
      <c r="F3562" s="85" t="str">
        <f t="shared" si="0"/>
        <v/>
      </c>
      <c r="G3562" s="1" t="e">
        <f>IF(VALUE(F3562) = VALUE(RIGHT(Insights!$C$3, 4)), E3562, "")</f>
        <v>#VALUE!</v>
      </c>
      <c r="H3562" s="26" t="e">
        <f t="shared" si="1"/>
        <v>#VALUE!</v>
      </c>
      <c r="I3562" s="1" t="e">
        <f t="shared" si="2"/>
        <v>#VALUE!</v>
      </c>
    </row>
    <row r="3563" spans="1:9" ht="15.75" customHeight="1">
      <c r="A3563" s="26"/>
      <c r="B3563" s="2"/>
      <c r="C3563" s="26"/>
      <c r="D3563" s="26"/>
      <c r="F3563" s="85" t="str">
        <f t="shared" si="0"/>
        <v/>
      </c>
      <c r="G3563" s="1" t="e">
        <f>IF(VALUE(F3563) = VALUE(RIGHT(Insights!$C$3, 4)), E3563, "")</f>
        <v>#VALUE!</v>
      </c>
      <c r="H3563" s="26" t="e">
        <f t="shared" si="1"/>
        <v>#VALUE!</v>
      </c>
      <c r="I3563" s="1" t="e">
        <f t="shared" si="2"/>
        <v>#VALUE!</v>
      </c>
    </row>
    <row r="3564" spans="1:9" ht="15.75" customHeight="1">
      <c r="A3564" s="26"/>
      <c r="B3564" s="2"/>
      <c r="C3564" s="26"/>
      <c r="D3564" s="26"/>
      <c r="F3564" s="85" t="str">
        <f t="shared" si="0"/>
        <v/>
      </c>
      <c r="G3564" s="1" t="e">
        <f>IF(VALUE(F3564) = VALUE(RIGHT(Insights!$C$3, 4)), E3564, "")</f>
        <v>#VALUE!</v>
      </c>
      <c r="H3564" s="26" t="e">
        <f t="shared" si="1"/>
        <v>#VALUE!</v>
      </c>
      <c r="I3564" s="1" t="e">
        <f t="shared" si="2"/>
        <v>#VALUE!</v>
      </c>
    </row>
    <row r="3565" spans="1:9" ht="15.75" customHeight="1">
      <c r="A3565" s="26"/>
      <c r="B3565" s="2"/>
      <c r="C3565" s="26"/>
      <c r="D3565" s="26"/>
      <c r="F3565" s="85" t="str">
        <f t="shared" si="0"/>
        <v/>
      </c>
      <c r="G3565" s="1" t="e">
        <f>IF(VALUE(F3565) = VALUE(RIGHT(Insights!$C$3, 4)), E3565, "")</f>
        <v>#VALUE!</v>
      </c>
      <c r="H3565" s="26" t="e">
        <f t="shared" si="1"/>
        <v>#VALUE!</v>
      </c>
      <c r="I3565" s="1" t="e">
        <f t="shared" si="2"/>
        <v>#VALUE!</v>
      </c>
    </row>
    <row r="3566" spans="1:9" ht="15.75" customHeight="1">
      <c r="A3566" s="26"/>
      <c r="B3566" s="2"/>
      <c r="C3566" s="26"/>
      <c r="D3566" s="26"/>
      <c r="F3566" s="85" t="str">
        <f t="shared" si="0"/>
        <v/>
      </c>
      <c r="G3566" s="1" t="e">
        <f>IF(VALUE(F3566) = VALUE(RIGHT(Insights!$C$3, 4)), E3566, "")</f>
        <v>#VALUE!</v>
      </c>
      <c r="H3566" s="26" t="e">
        <f t="shared" si="1"/>
        <v>#VALUE!</v>
      </c>
      <c r="I3566" s="1" t="e">
        <f t="shared" si="2"/>
        <v>#VALUE!</v>
      </c>
    </row>
    <row r="3567" spans="1:9" ht="15.75" customHeight="1">
      <c r="A3567" s="26"/>
      <c r="B3567" s="2"/>
      <c r="C3567" s="26"/>
      <c r="D3567" s="26"/>
      <c r="F3567" s="85" t="str">
        <f t="shared" si="0"/>
        <v/>
      </c>
      <c r="G3567" s="1" t="e">
        <f>IF(VALUE(F3567) = VALUE(RIGHT(Insights!$C$3, 4)), E3567, "")</f>
        <v>#VALUE!</v>
      </c>
      <c r="H3567" s="26" t="e">
        <f t="shared" si="1"/>
        <v>#VALUE!</v>
      </c>
      <c r="I3567" s="1" t="e">
        <f t="shared" si="2"/>
        <v>#VALUE!</v>
      </c>
    </row>
    <row r="3568" spans="1:9" ht="15.75" customHeight="1">
      <c r="A3568" s="26"/>
      <c r="B3568" s="2"/>
      <c r="C3568" s="26"/>
      <c r="D3568" s="26"/>
      <c r="F3568" s="85" t="str">
        <f t="shared" si="0"/>
        <v/>
      </c>
      <c r="G3568" s="1" t="e">
        <f>IF(VALUE(F3568) = VALUE(RIGHT(Insights!$C$3, 4)), E3568, "")</f>
        <v>#VALUE!</v>
      </c>
      <c r="H3568" s="26" t="e">
        <f t="shared" si="1"/>
        <v>#VALUE!</v>
      </c>
      <c r="I3568" s="1" t="e">
        <f t="shared" si="2"/>
        <v>#VALUE!</v>
      </c>
    </row>
    <row r="3569" spans="1:9" ht="15.75" customHeight="1">
      <c r="A3569" s="26"/>
      <c r="B3569" s="2"/>
      <c r="C3569" s="26"/>
      <c r="D3569" s="26"/>
      <c r="F3569" s="85" t="str">
        <f t="shared" si="0"/>
        <v/>
      </c>
      <c r="G3569" s="1" t="e">
        <f>IF(VALUE(F3569) = VALUE(RIGHT(Insights!$C$3, 4)), E3569, "")</f>
        <v>#VALUE!</v>
      </c>
      <c r="H3569" s="26" t="e">
        <f t="shared" si="1"/>
        <v>#VALUE!</v>
      </c>
      <c r="I3569" s="1" t="e">
        <f t="shared" si="2"/>
        <v>#VALUE!</v>
      </c>
    </row>
    <row r="3570" spans="1:9" ht="15.75" customHeight="1">
      <c r="A3570" s="26"/>
      <c r="B3570" s="2"/>
      <c r="C3570" s="26"/>
      <c r="D3570" s="26"/>
      <c r="F3570" s="85" t="str">
        <f t="shared" si="0"/>
        <v/>
      </c>
      <c r="G3570" s="1" t="e">
        <f>IF(VALUE(F3570) = VALUE(RIGHT(Insights!$C$3, 4)), E3570, "")</f>
        <v>#VALUE!</v>
      </c>
      <c r="H3570" s="26" t="e">
        <f t="shared" si="1"/>
        <v>#VALUE!</v>
      </c>
      <c r="I3570" s="1" t="e">
        <f t="shared" si="2"/>
        <v>#VALUE!</v>
      </c>
    </row>
    <row r="3571" spans="1:9" ht="15.75" customHeight="1">
      <c r="A3571" s="26"/>
      <c r="B3571" s="2"/>
      <c r="C3571" s="26"/>
      <c r="D3571" s="26"/>
      <c r="F3571" s="85" t="str">
        <f t="shared" si="0"/>
        <v/>
      </c>
      <c r="G3571" s="1" t="e">
        <f>IF(VALUE(F3571) = VALUE(RIGHT(Insights!$C$3, 4)), E3571, "")</f>
        <v>#VALUE!</v>
      </c>
      <c r="H3571" s="26" t="e">
        <f t="shared" si="1"/>
        <v>#VALUE!</v>
      </c>
      <c r="I3571" s="1" t="e">
        <f t="shared" si="2"/>
        <v>#VALUE!</v>
      </c>
    </row>
    <row r="3572" spans="1:9" ht="15.75" customHeight="1">
      <c r="A3572" s="26"/>
      <c r="B3572" s="2"/>
      <c r="C3572" s="26"/>
      <c r="D3572" s="26"/>
      <c r="F3572" s="85" t="str">
        <f t="shared" si="0"/>
        <v/>
      </c>
      <c r="G3572" s="1" t="e">
        <f>IF(VALUE(F3572) = VALUE(RIGHT(Insights!$C$3, 4)), E3572, "")</f>
        <v>#VALUE!</v>
      </c>
      <c r="H3572" s="26" t="e">
        <f t="shared" si="1"/>
        <v>#VALUE!</v>
      </c>
      <c r="I3572" s="1" t="e">
        <f t="shared" si="2"/>
        <v>#VALUE!</v>
      </c>
    </row>
    <row r="3573" spans="1:9" ht="15.75" customHeight="1">
      <c r="A3573" s="26"/>
      <c r="B3573" s="2"/>
      <c r="C3573" s="26"/>
      <c r="D3573" s="26"/>
      <c r="F3573" s="85" t="str">
        <f t="shared" si="0"/>
        <v/>
      </c>
      <c r="G3573" s="1" t="e">
        <f>IF(VALUE(F3573) = VALUE(RIGHT(Insights!$C$3, 4)), E3573, "")</f>
        <v>#VALUE!</v>
      </c>
      <c r="H3573" s="26" t="e">
        <f t="shared" si="1"/>
        <v>#VALUE!</v>
      </c>
      <c r="I3573" s="1" t="e">
        <f t="shared" si="2"/>
        <v>#VALUE!</v>
      </c>
    </row>
    <row r="3574" spans="1:9" ht="15.75" customHeight="1">
      <c r="A3574" s="26"/>
      <c r="B3574" s="2"/>
      <c r="C3574" s="26"/>
      <c r="D3574" s="26"/>
      <c r="F3574" s="85" t="str">
        <f t="shared" si="0"/>
        <v/>
      </c>
      <c r="G3574" s="1" t="e">
        <f>IF(VALUE(F3574) = VALUE(RIGHT(Insights!$C$3, 4)), E3574, "")</f>
        <v>#VALUE!</v>
      </c>
      <c r="H3574" s="26" t="e">
        <f t="shared" si="1"/>
        <v>#VALUE!</v>
      </c>
      <c r="I3574" s="1" t="e">
        <f t="shared" si="2"/>
        <v>#VALUE!</v>
      </c>
    </row>
    <row r="3575" spans="1:9" ht="15.75" customHeight="1">
      <c r="A3575" s="26"/>
      <c r="B3575" s="2"/>
      <c r="C3575" s="26"/>
      <c r="D3575" s="26"/>
      <c r="F3575" s="85" t="str">
        <f t="shared" si="0"/>
        <v/>
      </c>
      <c r="G3575" s="1" t="e">
        <f>IF(VALUE(F3575) = VALUE(RIGHT(Insights!$C$3, 4)), E3575, "")</f>
        <v>#VALUE!</v>
      </c>
      <c r="H3575" s="26" t="e">
        <f t="shared" si="1"/>
        <v>#VALUE!</v>
      </c>
      <c r="I3575" s="1" t="e">
        <f t="shared" si="2"/>
        <v>#VALUE!</v>
      </c>
    </row>
    <row r="3576" spans="1:9" ht="15.75" customHeight="1">
      <c r="A3576" s="26"/>
      <c r="B3576" s="2"/>
      <c r="C3576" s="26"/>
      <c r="D3576" s="26"/>
      <c r="F3576" s="85" t="str">
        <f t="shared" si="0"/>
        <v/>
      </c>
      <c r="G3576" s="1" t="e">
        <f>IF(VALUE(F3576) = VALUE(RIGHT(Insights!$C$3, 4)), E3576, "")</f>
        <v>#VALUE!</v>
      </c>
      <c r="H3576" s="26" t="e">
        <f t="shared" si="1"/>
        <v>#VALUE!</v>
      </c>
      <c r="I3576" s="1" t="e">
        <f t="shared" si="2"/>
        <v>#VALUE!</v>
      </c>
    </row>
    <row r="3577" spans="1:9" ht="15.75" customHeight="1">
      <c r="A3577" s="26"/>
      <c r="B3577" s="2"/>
      <c r="C3577" s="26"/>
      <c r="D3577" s="26"/>
      <c r="F3577" s="85" t="str">
        <f t="shared" si="0"/>
        <v/>
      </c>
      <c r="G3577" s="1" t="e">
        <f>IF(VALUE(F3577) = VALUE(RIGHT(Insights!$C$3, 4)), E3577, "")</f>
        <v>#VALUE!</v>
      </c>
      <c r="H3577" s="26" t="e">
        <f t="shared" si="1"/>
        <v>#VALUE!</v>
      </c>
      <c r="I3577" s="1" t="e">
        <f t="shared" si="2"/>
        <v>#VALUE!</v>
      </c>
    </row>
    <row r="3578" spans="1:9" ht="15.75" customHeight="1">
      <c r="A3578" s="26"/>
      <c r="B3578" s="2"/>
      <c r="C3578" s="26"/>
      <c r="D3578" s="26"/>
      <c r="F3578" s="85" t="str">
        <f t="shared" si="0"/>
        <v/>
      </c>
      <c r="G3578" s="1" t="e">
        <f>IF(VALUE(F3578) = VALUE(RIGHT(Insights!$C$3, 4)), E3578, "")</f>
        <v>#VALUE!</v>
      </c>
      <c r="H3578" s="26" t="e">
        <f t="shared" si="1"/>
        <v>#VALUE!</v>
      </c>
      <c r="I3578" s="1" t="e">
        <f t="shared" si="2"/>
        <v>#VALUE!</v>
      </c>
    </row>
    <row r="3579" spans="1:9" ht="15.75" customHeight="1">
      <c r="A3579" s="26"/>
      <c r="B3579" s="2"/>
      <c r="C3579" s="26"/>
      <c r="D3579" s="26"/>
      <c r="F3579" s="85" t="str">
        <f t="shared" si="0"/>
        <v/>
      </c>
      <c r="G3579" s="1" t="e">
        <f>IF(VALUE(F3579) = VALUE(RIGHT(Insights!$C$3, 4)), E3579, "")</f>
        <v>#VALUE!</v>
      </c>
      <c r="H3579" s="26" t="e">
        <f t="shared" si="1"/>
        <v>#VALUE!</v>
      </c>
      <c r="I3579" s="1" t="e">
        <f t="shared" si="2"/>
        <v>#VALUE!</v>
      </c>
    </row>
    <row r="3580" spans="1:9" ht="15.75" customHeight="1">
      <c r="A3580" s="26"/>
      <c r="B3580" s="2"/>
      <c r="C3580" s="26"/>
      <c r="D3580" s="26"/>
      <c r="F3580" s="85" t="str">
        <f t="shared" si="0"/>
        <v/>
      </c>
      <c r="G3580" s="1" t="e">
        <f>IF(VALUE(F3580) = VALUE(RIGHT(Insights!$C$3, 4)), E3580, "")</f>
        <v>#VALUE!</v>
      </c>
      <c r="H3580" s="26" t="e">
        <f t="shared" si="1"/>
        <v>#VALUE!</v>
      </c>
      <c r="I3580" s="1" t="e">
        <f t="shared" si="2"/>
        <v>#VALUE!</v>
      </c>
    </row>
    <row r="3581" spans="1:9" ht="15.75" customHeight="1">
      <c r="A3581" s="26"/>
      <c r="B3581" s="2"/>
      <c r="C3581" s="26"/>
      <c r="D3581" s="26"/>
      <c r="F3581" s="85" t="str">
        <f t="shared" si="0"/>
        <v/>
      </c>
      <c r="G3581" s="1" t="e">
        <f>IF(VALUE(F3581) = VALUE(RIGHT(Insights!$C$3, 4)), E3581, "")</f>
        <v>#VALUE!</v>
      </c>
      <c r="H3581" s="26" t="e">
        <f t="shared" si="1"/>
        <v>#VALUE!</v>
      </c>
      <c r="I3581" s="1" t="e">
        <f t="shared" si="2"/>
        <v>#VALUE!</v>
      </c>
    </row>
    <row r="3582" spans="1:9" ht="15.75" customHeight="1">
      <c r="A3582" s="26"/>
      <c r="B3582" s="2"/>
      <c r="C3582" s="26"/>
      <c r="D3582" s="26"/>
      <c r="F3582" s="85" t="str">
        <f t="shared" si="0"/>
        <v/>
      </c>
      <c r="G3582" s="1" t="e">
        <f>IF(VALUE(F3582) = VALUE(RIGHT(Insights!$C$3, 4)), E3582, "")</f>
        <v>#VALUE!</v>
      </c>
      <c r="H3582" s="26" t="e">
        <f t="shared" si="1"/>
        <v>#VALUE!</v>
      </c>
      <c r="I3582" s="1" t="e">
        <f t="shared" si="2"/>
        <v>#VALUE!</v>
      </c>
    </row>
    <row r="3583" spans="1:9" ht="15.75" customHeight="1">
      <c r="A3583" s="26"/>
      <c r="B3583" s="2"/>
      <c r="C3583" s="26"/>
      <c r="D3583" s="26"/>
      <c r="F3583" s="85" t="str">
        <f t="shared" si="0"/>
        <v/>
      </c>
      <c r="G3583" s="1" t="e">
        <f>IF(VALUE(F3583) = VALUE(RIGHT(Insights!$C$3, 4)), E3583, "")</f>
        <v>#VALUE!</v>
      </c>
      <c r="H3583" s="26" t="e">
        <f t="shared" si="1"/>
        <v>#VALUE!</v>
      </c>
      <c r="I3583" s="1" t="e">
        <f t="shared" si="2"/>
        <v>#VALUE!</v>
      </c>
    </row>
    <row r="3584" spans="1:9" ht="15.75" customHeight="1">
      <c r="A3584" s="26"/>
      <c r="B3584" s="2"/>
      <c r="C3584" s="26"/>
      <c r="D3584" s="26"/>
      <c r="F3584" s="85" t="str">
        <f t="shared" si="0"/>
        <v/>
      </c>
      <c r="G3584" s="1" t="e">
        <f>IF(VALUE(F3584) = VALUE(RIGHT(Insights!$C$3, 4)), E3584, "")</f>
        <v>#VALUE!</v>
      </c>
      <c r="H3584" s="26" t="e">
        <f t="shared" si="1"/>
        <v>#VALUE!</v>
      </c>
      <c r="I3584" s="1" t="e">
        <f t="shared" si="2"/>
        <v>#VALUE!</v>
      </c>
    </row>
    <row r="3585" spans="1:9" ht="15.75" customHeight="1">
      <c r="A3585" s="26"/>
      <c r="B3585" s="2"/>
      <c r="C3585" s="26"/>
      <c r="D3585" s="26"/>
      <c r="F3585" s="85" t="str">
        <f t="shared" si="0"/>
        <v/>
      </c>
      <c r="G3585" s="1" t="e">
        <f>IF(VALUE(F3585) = VALUE(RIGHT(Insights!$C$3, 4)), E3585, "")</f>
        <v>#VALUE!</v>
      </c>
      <c r="H3585" s="26" t="e">
        <f t="shared" si="1"/>
        <v>#VALUE!</v>
      </c>
      <c r="I3585" s="1" t="e">
        <f t="shared" si="2"/>
        <v>#VALUE!</v>
      </c>
    </row>
    <row r="3586" spans="1:9" ht="15.75" customHeight="1">
      <c r="A3586" s="26"/>
      <c r="B3586" s="2"/>
      <c r="C3586" s="26"/>
      <c r="D3586" s="26"/>
      <c r="F3586" s="85" t="str">
        <f t="shared" si="0"/>
        <v/>
      </c>
      <c r="G3586" s="1" t="e">
        <f>IF(VALUE(F3586) = VALUE(RIGHT(Insights!$C$3, 4)), E3586, "")</f>
        <v>#VALUE!</v>
      </c>
      <c r="H3586" s="26" t="e">
        <f t="shared" si="1"/>
        <v>#VALUE!</v>
      </c>
      <c r="I3586" s="1" t="e">
        <f t="shared" si="2"/>
        <v>#VALUE!</v>
      </c>
    </row>
    <row r="3587" spans="1:9" ht="15.75" customHeight="1">
      <c r="A3587" s="26"/>
      <c r="B3587" s="2"/>
      <c r="C3587" s="26"/>
      <c r="D3587" s="26"/>
      <c r="F3587" s="85" t="str">
        <f t="shared" si="0"/>
        <v/>
      </c>
      <c r="G3587" s="1" t="e">
        <f>IF(VALUE(F3587) = VALUE(RIGHT(Insights!$C$3, 4)), E3587, "")</f>
        <v>#VALUE!</v>
      </c>
      <c r="H3587" s="26" t="e">
        <f t="shared" si="1"/>
        <v>#VALUE!</v>
      </c>
      <c r="I3587" s="1" t="e">
        <f t="shared" si="2"/>
        <v>#VALUE!</v>
      </c>
    </row>
    <row r="3588" spans="1:9" ht="15.75" customHeight="1">
      <c r="A3588" s="26"/>
      <c r="B3588" s="2"/>
      <c r="C3588" s="26"/>
      <c r="D3588" s="26"/>
      <c r="F3588" s="85" t="str">
        <f t="shared" si="0"/>
        <v/>
      </c>
      <c r="G3588" s="1" t="e">
        <f>IF(VALUE(F3588) = VALUE(RIGHT(Insights!$C$3, 4)), E3588, "")</f>
        <v>#VALUE!</v>
      </c>
      <c r="H3588" s="26" t="e">
        <f t="shared" si="1"/>
        <v>#VALUE!</v>
      </c>
      <c r="I3588" s="1" t="e">
        <f t="shared" si="2"/>
        <v>#VALUE!</v>
      </c>
    </row>
    <row r="3589" spans="1:9" ht="15.75" customHeight="1">
      <c r="A3589" s="26"/>
      <c r="B3589" s="2"/>
      <c r="C3589" s="26"/>
      <c r="D3589" s="26"/>
      <c r="F3589" s="85" t="str">
        <f t="shared" si="0"/>
        <v/>
      </c>
      <c r="G3589" s="1" t="e">
        <f>IF(VALUE(F3589) = VALUE(RIGHT(Insights!$C$3, 4)), E3589, "")</f>
        <v>#VALUE!</v>
      </c>
      <c r="H3589" s="26" t="e">
        <f t="shared" si="1"/>
        <v>#VALUE!</v>
      </c>
      <c r="I3589" s="1" t="e">
        <f t="shared" si="2"/>
        <v>#VALUE!</v>
      </c>
    </row>
    <row r="3590" spans="1:9" ht="15.75" customHeight="1">
      <c r="A3590" s="26"/>
      <c r="B3590" s="2"/>
      <c r="C3590" s="26"/>
      <c r="D3590" s="26"/>
      <c r="F3590" s="85" t="str">
        <f t="shared" si="0"/>
        <v/>
      </c>
      <c r="G3590" s="1" t="e">
        <f>IF(VALUE(F3590) = VALUE(RIGHT(Insights!$C$3, 4)), E3590, "")</f>
        <v>#VALUE!</v>
      </c>
      <c r="H3590" s="26" t="e">
        <f t="shared" si="1"/>
        <v>#VALUE!</v>
      </c>
      <c r="I3590" s="1" t="e">
        <f t="shared" si="2"/>
        <v>#VALUE!</v>
      </c>
    </row>
    <row r="3591" spans="1:9" ht="15.75" customHeight="1">
      <c r="A3591" s="26"/>
      <c r="B3591" s="2"/>
      <c r="C3591" s="26"/>
      <c r="D3591" s="26"/>
      <c r="F3591" s="85" t="str">
        <f t="shared" si="0"/>
        <v/>
      </c>
      <c r="G3591" s="1" t="e">
        <f>IF(VALUE(F3591) = VALUE(RIGHT(Insights!$C$3, 4)), E3591, "")</f>
        <v>#VALUE!</v>
      </c>
      <c r="H3591" s="26" t="e">
        <f t="shared" si="1"/>
        <v>#VALUE!</v>
      </c>
      <c r="I3591" s="1" t="e">
        <f t="shared" si="2"/>
        <v>#VALUE!</v>
      </c>
    </row>
    <row r="3592" spans="1:9" ht="15.75" customHeight="1">
      <c r="A3592" s="26"/>
      <c r="B3592" s="2"/>
      <c r="C3592" s="26"/>
      <c r="D3592" s="26"/>
      <c r="F3592" s="85" t="str">
        <f t="shared" si="0"/>
        <v/>
      </c>
      <c r="G3592" s="1" t="e">
        <f>IF(VALUE(F3592) = VALUE(RIGHT(Insights!$C$3, 4)), E3592, "")</f>
        <v>#VALUE!</v>
      </c>
      <c r="H3592" s="26" t="e">
        <f t="shared" si="1"/>
        <v>#VALUE!</v>
      </c>
      <c r="I3592" s="1" t="e">
        <f t="shared" si="2"/>
        <v>#VALUE!</v>
      </c>
    </row>
    <row r="3593" spans="1:9" ht="15.75" customHeight="1">
      <c r="A3593" s="26"/>
      <c r="B3593" s="2"/>
      <c r="C3593" s="26"/>
      <c r="D3593" s="26"/>
      <c r="F3593" s="85" t="str">
        <f t="shared" si="0"/>
        <v/>
      </c>
      <c r="G3593" s="1" t="e">
        <f>IF(VALUE(F3593) = VALUE(RIGHT(Insights!$C$3, 4)), E3593, "")</f>
        <v>#VALUE!</v>
      </c>
      <c r="H3593" s="26" t="e">
        <f t="shared" si="1"/>
        <v>#VALUE!</v>
      </c>
      <c r="I3593" s="1" t="e">
        <f t="shared" si="2"/>
        <v>#VALUE!</v>
      </c>
    </row>
    <row r="3594" spans="1:9" ht="15.75" customHeight="1">
      <c r="A3594" s="26"/>
      <c r="B3594" s="2"/>
      <c r="C3594" s="26"/>
      <c r="D3594" s="26"/>
      <c r="F3594" s="85" t="str">
        <f t="shared" si="0"/>
        <v/>
      </c>
      <c r="G3594" s="1" t="e">
        <f>IF(VALUE(F3594) = VALUE(RIGHT(Insights!$C$3, 4)), E3594, "")</f>
        <v>#VALUE!</v>
      </c>
      <c r="H3594" s="26" t="e">
        <f t="shared" si="1"/>
        <v>#VALUE!</v>
      </c>
      <c r="I3594" s="1" t="e">
        <f t="shared" si="2"/>
        <v>#VALUE!</v>
      </c>
    </row>
    <row r="3595" spans="1:9" ht="15.75" customHeight="1">
      <c r="A3595" s="26"/>
      <c r="B3595" s="2"/>
      <c r="C3595" s="26"/>
      <c r="D3595" s="26"/>
      <c r="F3595" s="85" t="str">
        <f t="shared" si="0"/>
        <v/>
      </c>
      <c r="G3595" s="1" t="e">
        <f>IF(VALUE(F3595) = VALUE(RIGHT(Insights!$C$3, 4)), E3595, "")</f>
        <v>#VALUE!</v>
      </c>
      <c r="H3595" s="26" t="e">
        <f t="shared" si="1"/>
        <v>#VALUE!</v>
      </c>
      <c r="I3595" s="1" t="e">
        <f t="shared" si="2"/>
        <v>#VALUE!</v>
      </c>
    </row>
    <row r="3596" spans="1:9" ht="15.75" customHeight="1">
      <c r="A3596" s="26"/>
      <c r="B3596" s="2"/>
      <c r="C3596" s="26"/>
      <c r="D3596" s="26"/>
      <c r="F3596" s="85" t="str">
        <f t="shared" si="0"/>
        <v/>
      </c>
      <c r="G3596" s="1" t="e">
        <f>IF(VALUE(F3596) = VALUE(RIGHT(Insights!$C$3, 4)), E3596, "")</f>
        <v>#VALUE!</v>
      </c>
      <c r="H3596" s="26" t="e">
        <f t="shared" si="1"/>
        <v>#VALUE!</v>
      </c>
      <c r="I3596" s="1" t="e">
        <f t="shared" si="2"/>
        <v>#VALUE!</v>
      </c>
    </row>
    <row r="3597" spans="1:9" ht="15.75" customHeight="1">
      <c r="A3597" s="26"/>
      <c r="B3597" s="2"/>
      <c r="C3597" s="26"/>
      <c r="D3597" s="26"/>
      <c r="F3597" s="85" t="str">
        <f t="shared" si="0"/>
        <v/>
      </c>
      <c r="G3597" s="1" t="e">
        <f>IF(VALUE(F3597) = VALUE(RIGHT(Insights!$C$3, 4)), E3597, "")</f>
        <v>#VALUE!</v>
      </c>
      <c r="H3597" s="26" t="e">
        <f t="shared" si="1"/>
        <v>#VALUE!</v>
      </c>
      <c r="I3597" s="1" t="e">
        <f t="shared" si="2"/>
        <v>#VALUE!</v>
      </c>
    </row>
    <row r="3598" spans="1:9" ht="15.75" customHeight="1">
      <c r="A3598" s="26"/>
      <c r="B3598" s="2"/>
      <c r="C3598" s="26"/>
      <c r="D3598" s="26"/>
      <c r="F3598" s="85" t="str">
        <f t="shared" si="0"/>
        <v/>
      </c>
      <c r="G3598" s="1" t="e">
        <f>IF(VALUE(F3598) = VALUE(RIGHT(Insights!$C$3, 4)), E3598, "")</f>
        <v>#VALUE!</v>
      </c>
      <c r="H3598" s="26" t="e">
        <f t="shared" si="1"/>
        <v>#VALUE!</v>
      </c>
      <c r="I3598" s="1" t="e">
        <f t="shared" si="2"/>
        <v>#VALUE!</v>
      </c>
    </row>
    <row r="3599" spans="1:9" ht="15.75" customHeight="1">
      <c r="A3599" s="26"/>
      <c r="B3599" s="2"/>
      <c r="C3599" s="26"/>
      <c r="D3599" s="26"/>
      <c r="F3599" s="85" t="str">
        <f t="shared" si="0"/>
        <v/>
      </c>
      <c r="G3599" s="1" t="e">
        <f>IF(VALUE(F3599) = VALUE(RIGHT(Insights!$C$3, 4)), E3599, "")</f>
        <v>#VALUE!</v>
      </c>
      <c r="H3599" s="26" t="e">
        <f t="shared" si="1"/>
        <v>#VALUE!</v>
      </c>
      <c r="I3599" s="1" t="e">
        <f t="shared" si="2"/>
        <v>#VALUE!</v>
      </c>
    </row>
    <row r="3600" spans="1:9" ht="15.75" customHeight="1">
      <c r="A3600" s="26"/>
      <c r="B3600" s="2"/>
      <c r="C3600" s="26"/>
      <c r="D3600" s="26"/>
      <c r="F3600" s="85" t="str">
        <f t="shared" si="0"/>
        <v/>
      </c>
      <c r="G3600" s="1" t="e">
        <f>IF(VALUE(F3600) = VALUE(RIGHT(Insights!$C$3, 4)), E3600, "")</f>
        <v>#VALUE!</v>
      </c>
      <c r="H3600" s="26" t="e">
        <f t="shared" si="1"/>
        <v>#VALUE!</v>
      </c>
      <c r="I3600" s="1" t="e">
        <f t="shared" si="2"/>
        <v>#VALUE!</v>
      </c>
    </row>
    <row r="3601" spans="1:9" ht="15.75" customHeight="1">
      <c r="A3601" s="26"/>
      <c r="B3601" s="2"/>
      <c r="C3601" s="26"/>
      <c r="D3601" s="26"/>
      <c r="F3601" s="85" t="str">
        <f t="shared" si="0"/>
        <v/>
      </c>
      <c r="G3601" s="1" t="e">
        <f>IF(VALUE(F3601) = VALUE(RIGHT(Insights!$C$3, 4)), E3601, "")</f>
        <v>#VALUE!</v>
      </c>
      <c r="H3601" s="26" t="e">
        <f t="shared" si="1"/>
        <v>#VALUE!</v>
      </c>
      <c r="I3601" s="1" t="e">
        <f t="shared" si="2"/>
        <v>#VALUE!</v>
      </c>
    </row>
    <row r="3602" spans="1:9" ht="15.75" customHeight="1">
      <c r="A3602" s="26"/>
      <c r="B3602" s="2"/>
      <c r="C3602" s="26"/>
      <c r="D3602" s="26"/>
      <c r="F3602" s="85" t="str">
        <f t="shared" si="0"/>
        <v/>
      </c>
      <c r="G3602" s="1" t="e">
        <f>IF(VALUE(F3602) = VALUE(RIGHT(Insights!$C$3, 4)), E3602, "")</f>
        <v>#VALUE!</v>
      </c>
      <c r="H3602" s="26" t="e">
        <f t="shared" si="1"/>
        <v>#VALUE!</v>
      </c>
      <c r="I3602" s="1" t="e">
        <f t="shared" si="2"/>
        <v>#VALUE!</v>
      </c>
    </row>
    <row r="3603" spans="1:9" ht="15.75" customHeight="1">
      <c r="A3603" s="26"/>
      <c r="B3603" s="2"/>
      <c r="C3603" s="26"/>
      <c r="D3603" s="26"/>
      <c r="F3603" s="85" t="str">
        <f t="shared" si="0"/>
        <v/>
      </c>
      <c r="G3603" s="1" t="e">
        <f>IF(VALUE(F3603) = VALUE(RIGHT(Insights!$C$3, 4)), E3603, "")</f>
        <v>#VALUE!</v>
      </c>
      <c r="H3603" s="26" t="e">
        <f t="shared" si="1"/>
        <v>#VALUE!</v>
      </c>
      <c r="I3603" s="1" t="e">
        <f t="shared" si="2"/>
        <v>#VALUE!</v>
      </c>
    </row>
    <row r="3604" spans="1:9" ht="15.75" customHeight="1">
      <c r="A3604" s="26"/>
      <c r="B3604" s="2"/>
      <c r="C3604" s="26"/>
      <c r="D3604" s="26"/>
      <c r="F3604" s="85" t="str">
        <f t="shared" si="0"/>
        <v/>
      </c>
      <c r="G3604" s="1" t="e">
        <f>IF(VALUE(F3604) = VALUE(RIGHT(Insights!$C$3, 4)), E3604, "")</f>
        <v>#VALUE!</v>
      </c>
      <c r="H3604" s="26" t="e">
        <f t="shared" si="1"/>
        <v>#VALUE!</v>
      </c>
      <c r="I3604" s="1" t="e">
        <f t="shared" si="2"/>
        <v>#VALUE!</v>
      </c>
    </row>
    <row r="3605" spans="1:9" ht="15.75" customHeight="1">
      <c r="A3605" s="26"/>
      <c r="B3605" s="2"/>
      <c r="C3605" s="26"/>
      <c r="D3605" s="26"/>
      <c r="F3605" s="85" t="str">
        <f t="shared" si="0"/>
        <v/>
      </c>
      <c r="G3605" s="1" t="e">
        <f>IF(VALUE(F3605) = VALUE(RIGHT(Insights!$C$3, 4)), E3605, "")</f>
        <v>#VALUE!</v>
      </c>
      <c r="H3605" s="26" t="e">
        <f t="shared" si="1"/>
        <v>#VALUE!</v>
      </c>
      <c r="I3605" s="1" t="e">
        <f t="shared" si="2"/>
        <v>#VALUE!</v>
      </c>
    </row>
    <row r="3606" spans="1:9" ht="15.75" customHeight="1">
      <c r="A3606" s="26"/>
      <c r="B3606" s="2"/>
      <c r="C3606" s="26"/>
      <c r="D3606" s="26"/>
      <c r="F3606" s="85" t="str">
        <f t="shared" si="0"/>
        <v/>
      </c>
      <c r="G3606" s="1" t="e">
        <f>IF(VALUE(F3606) = VALUE(RIGHT(Insights!$C$3, 4)), E3606, "")</f>
        <v>#VALUE!</v>
      </c>
      <c r="H3606" s="26" t="e">
        <f t="shared" si="1"/>
        <v>#VALUE!</v>
      </c>
      <c r="I3606" s="1" t="e">
        <f t="shared" si="2"/>
        <v>#VALUE!</v>
      </c>
    </row>
    <row r="3607" spans="1:9" ht="15.75" customHeight="1">
      <c r="A3607" s="26"/>
      <c r="B3607" s="2"/>
      <c r="C3607" s="26"/>
      <c r="D3607" s="26"/>
      <c r="F3607" s="85" t="str">
        <f t="shared" si="0"/>
        <v/>
      </c>
      <c r="G3607" s="1" t="e">
        <f>IF(VALUE(F3607) = VALUE(RIGHT(Insights!$C$3, 4)), E3607, "")</f>
        <v>#VALUE!</v>
      </c>
      <c r="H3607" s="26" t="e">
        <f t="shared" si="1"/>
        <v>#VALUE!</v>
      </c>
      <c r="I3607" s="1" t="e">
        <f t="shared" si="2"/>
        <v>#VALUE!</v>
      </c>
    </row>
    <row r="3608" spans="1:9" ht="15.75" customHeight="1">
      <c r="A3608" s="26"/>
      <c r="B3608" s="2"/>
      <c r="C3608" s="26"/>
      <c r="D3608" s="26"/>
      <c r="F3608" s="85" t="str">
        <f t="shared" si="0"/>
        <v/>
      </c>
      <c r="G3608" s="1" t="e">
        <f>IF(VALUE(F3608) = VALUE(RIGHT(Insights!$C$3, 4)), E3608, "")</f>
        <v>#VALUE!</v>
      </c>
      <c r="H3608" s="26" t="e">
        <f t="shared" si="1"/>
        <v>#VALUE!</v>
      </c>
      <c r="I3608" s="1" t="e">
        <f t="shared" si="2"/>
        <v>#VALUE!</v>
      </c>
    </row>
    <row r="3609" spans="1:9" ht="15.75" customHeight="1">
      <c r="A3609" s="26"/>
      <c r="B3609" s="2"/>
      <c r="C3609" s="26"/>
      <c r="D3609" s="26"/>
      <c r="F3609" s="85" t="str">
        <f t="shared" si="0"/>
        <v/>
      </c>
      <c r="G3609" s="1" t="e">
        <f>IF(VALUE(F3609) = VALUE(RIGHT(Insights!$C$3, 4)), E3609, "")</f>
        <v>#VALUE!</v>
      </c>
      <c r="H3609" s="26" t="e">
        <f t="shared" si="1"/>
        <v>#VALUE!</v>
      </c>
      <c r="I3609" s="1" t="e">
        <f t="shared" si="2"/>
        <v>#VALUE!</v>
      </c>
    </row>
    <row r="3610" spans="1:9" ht="15.75" customHeight="1">
      <c r="A3610" s="26"/>
      <c r="B3610" s="2"/>
      <c r="C3610" s="26"/>
      <c r="D3610" s="26"/>
      <c r="F3610" s="85" t="str">
        <f t="shared" si="0"/>
        <v/>
      </c>
      <c r="G3610" s="1" t="e">
        <f>IF(VALUE(F3610) = VALUE(RIGHT(Insights!$C$3, 4)), E3610, "")</f>
        <v>#VALUE!</v>
      </c>
      <c r="H3610" s="26" t="e">
        <f t="shared" si="1"/>
        <v>#VALUE!</v>
      </c>
      <c r="I3610" s="1" t="e">
        <f t="shared" si="2"/>
        <v>#VALUE!</v>
      </c>
    </row>
    <row r="3611" spans="1:9" ht="15.75" customHeight="1">
      <c r="A3611" s="26"/>
      <c r="B3611" s="2"/>
      <c r="C3611" s="26"/>
      <c r="D3611" s="26"/>
      <c r="F3611" s="85" t="str">
        <f t="shared" si="0"/>
        <v/>
      </c>
      <c r="G3611" s="1" t="e">
        <f>IF(VALUE(F3611) = VALUE(RIGHT(Insights!$C$3, 4)), E3611, "")</f>
        <v>#VALUE!</v>
      </c>
      <c r="H3611" s="26" t="e">
        <f t="shared" si="1"/>
        <v>#VALUE!</v>
      </c>
      <c r="I3611" s="1" t="e">
        <f t="shared" si="2"/>
        <v>#VALUE!</v>
      </c>
    </row>
    <row r="3612" spans="1:9" ht="15.75" customHeight="1">
      <c r="A3612" s="26"/>
      <c r="B3612" s="2"/>
      <c r="C3612" s="26"/>
      <c r="D3612" s="26"/>
      <c r="F3612" s="85" t="str">
        <f t="shared" si="0"/>
        <v/>
      </c>
      <c r="G3612" s="1" t="e">
        <f>IF(VALUE(F3612) = VALUE(RIGHT(Insights!$C$3, 4)), E3612, "")</f>
        <v>#VALUE!</v>
      </c>
      <c r="H3612" s="26" t="e">
        <f t="shared" si="1"/>
        <v>#VALUE!</v>
      </c>
      <c r="I3612" s="1" t="e">
        <f t="shared" si="2"/>
        <v>#VALUE!</v>
      </c>
    </row>
    <row r="3613" spans="1:9" ht="15.75" customHeight="1">
      <c r="A3613" s="26"/>
      <c r="B3613" s="2"/>
      <c r="C3613" s="26"/>
      <c r="D3613" s="26"/>
      <c r="F3613" s="85" t="str">
        <f t="shared" si="0"/>
        <v/>
      </c>
      <c r="G3613" s="1" t="e">
        <f>IF(VALUE(F3613) = VALUE(RIGHT(Insights!$C$3, 4)), E3613, "")</f>
        <v>#VALUE!</v>
      </c>
      <c r="H3613" s="26" t="e">
        <f t="shared" si="1"/>
        <v>#VALUE!</v>
      </c>
      <c r="I3613" s="1" t="e">
        <f t="shared" si="2"/>
        <v>#VALUE!</v>
      </c>
    </row>
    <row r="3614" spans="1:9" ht="15.75" customHeight="1">
      <c r="A3614" s="26"/>
      <c r="B3614" s="2"/>
      <c r="C3614" s="26"/>
      <c r="D3614" s="26"/>
      <c r="F3614" s="85" t="str">
        <f t="shared" si="0"/>
        <v/>
      </c>
      <c r="G3614" s="1" t="e">
        <f>IF(VALUE(F3614) = VALUE(RIGHT(Insights!$C$3, 4)), E3614, "")</f>
        <v>#VALUE!</v>
      </c>
      <c r="H3614" s="26" t="e">
        <f t="shared" si="1"/>
        <v>#VALUE!</v>
      </c>
      <c r="I3614" s="1" t="e">
        <f t="shared" si="2"/>
        <v>#VALUE!</v>
      </c>
    </row>
    <row r="3615" spans="1:9" ht="15.75" customHeight="1">
      <c r="A3615" s="26"/>
      <c r="B3615" s="2"/>
      <c r="C3615" s="26"/>
      <c r="D3615" s="26"/>
      <c r="F3615" s="85" t="str">
        <f t="shared" si="0"/>
        <v/>
      </c>
      <c r="G3615" s="1" t="e">
        <f>IF(VALUE(F3615) = VALUE(RIGHT(Insights!$C$3, 4)), E3615, "")</f>
        <v>#VALUE!</v>
      </c>
      <c r="H3615" s="26" t="e">
        <f t="shared" si="1"/>
        <v>#VALUE!</v>
      </c>
      <c r="I3615" s="1" t="e">
        <f t="shared" si="2"/>
        <v>#VALUE!</v>
      </c>
    </row>
    <row r="3616" spans="1:9" ht="15.75" customHeight="1">
      <c r="A3616" s="26"/>
      <c r="B3616" s="2"/>
      <c r="C3616" s="26"/>
      <c r="D3616" s="26"/>
      <c r="F3616" s="85" t="str">
        <f t="shared" si="0"/>
        <v/>
      </c>
      <c r="G3616" s="1" t="e">
        <f>IF(VALUE(F3616) = VALUE(RIGHT(Insights!$C$3, 4)), E3616, "")</f>
        <v>#VALUE!</v>
      </c>
      <c r="H3616" s="26" t="e">
        <f t="shared" si="1"/>
        <v>#VALUE!</v>
      </c>
      <c r="I3616" s="1" t="e">
        <f t="shared" si="2"/>
        <v>#VALUE!</v>
      </c>
    </row>
    <row r="3617" spans="1:9" ht="15.75" customHeight="1">
      <c r="A3617" s="26"/>
      <c r="B3617" s="2"/>
      <c r="C3617" s="26"/>
      <c r="D3617" s="26"/>
      <c r="F3617" s="85" t="str">
        <f t="shared" si="0"/>
        <v/>
      </c>
      <c r="G3617" s="1" t="e">
        <f>IF(VALUE(F3617) = VALUE(RIGHT(Insights!$C$3, 4)), E3617, "")</f>
        <v>#VALUE!</v>
      </c>
      <c r="H3617" s="26" t="e">
        <f t="shared" si="1"/>
        <v>#VALUE!</v>
      </c>
      <c r="I3617" s="1" t="e">
        <f t="shared" si="2"/>
        <v>#VALUE!</v>
      </c>
    </row>
    <row r="3618" spans="1:9" ht="15.75" customHeight="1">
      <c r="A3618" s="26"/>
      <c r="B3618" s="2"/>
      <c r="C3618" s="26"/>
      <c r="D3618" s="26"/>
      <c r="F3618" s="85" t="str">
        <f t="shared" si="0"/>
        <v/>
      </c>
      <c r="G3618" s="1" t="e">
        <f>IF(VALUE(F3618) = VALUE(RIGHT(Insights!$C$3, 4)), E3618, "")</f>
        <v>#VALUE!</v>
      </c>
      <c r="H3618" s="26" t="e">
        <f t="shared" si="1"/>
        <v>#VALUE!</v>
      </c>
      <c r="I3618" s="1" t="e">
        <f t="shared" si="2"/>
        <v>#VALUE!</v>
      </c>
    </row>
    <row r="3619" spans="1:9" ht="15.75" customHeight="1">
      <c r="A3619" s="26"/>
      <c r="B3619" s="2"/>
      <c r="C3619" s="26"/>
      <c r="D3619" s="26"/>
      <c r="F3619" s="85" t="str">
        <f t="shared" si="0"/>
        <v/>
      </c>
      <c r="G3619" s="1" t="e">
        <f>IF(VALUE(F3619) = VALUE(RIGHT(Insights!$C$3, 4)), E3619, "")</f>
        <v>#VALUE!</v>
      </c>
      <c r="H3619" s="26" t="e">
        <f t="shared" si="1"/>
        <v>#VALUE!</v>
      </c>
      <c r="I3619" s="1" t="e">
        <f t="shared" si="2"/>
        <v>#VALUE!</v>
      </c>
    </row>
    <row r="3620" spans="1:9" ht="15.75" customHeight="1">
      <c r="A3620" s="26"/>
      <c r="B3620" s="2"/>
      <c r="C3620" s="26"/>
      <c r="D3620" s="26"/>
      <c r="F3620" s="85" t="str">
        <f t="shared" si="0"/>
        <v/>
      </c>
      <c r="G3620" s="1" t="e">
        <f>IF(VALUE(F3620) = VALUE(RIGHT(Insights!$C$3, 4)), E3620, "")</f>
        <v>#VALUE!</v>
      </c>
      <c r="H3620" s="26" t="e">
        <f t="shared" si="1"/>
        <v>#VALUE!</v>
      </c>
      <c r="I3620" s="1" t="e">
        <f t="shared" si="2"/>
        <v>#VALUE!</v>
      </c>
    </row>
    <row r="3621" spans="1:9" ht="15.75" customHeight="1">
      <c r="A3621" s="26"/>
      <c r="B3621" s="2"/>
      <c r="C3621" s="26"/>
      <c r="D3621" s="26"/>
      <c r="F3621" s="85" t="str">
        <f t="shared" si="0"/>
        <v/>
      </c>
      <c r="G3621" s="1" t="e">
        <f>IF(VALUE(F3621) = VALUE(RIGHT(Insights!$C$3, 4)), E3621, "")</f>
        <v>#VALUE!</v>
      </c>
      <c r="H3621" s="26" t="e">
        <f t="shared" si="1"/>
        <v>#VALUE!</v>
      </c>
      <c r="I3621" s="1" t="e">
        <f t="shared" si="2"/>
        <v>#VALUE!</v>
      </c>
    </row>
    <row r="3622" spans="1:9" ht="15.75" customHeight="1">
      <c r="A3622" s="26"/>
      <c r="B3622" s="2"/>
      <c r="C3622" s="26"/>
      <c r="D3622" s="26"/>
      <c r="F3622" s="85" t="str">
        <f t="shared" si="0"/>
        <v/>
      </c>
      <c r="G3622" s="1" t="e">
        <f>IF(VALUE(F3622) = VALUE(RIGHT(Insights!$C$3, 4)), E3622, "")</f>
        <v>#VALUE!</v>
      </c>
      <c r="H3622" s="26" t="e">
        <f t="shared" si="1"/>
        <v>#VALUE!</v>
      </c>
      <c r="I3622" s="1" t="e">
        <f t="shared" si="2"/>
        <v>#VALUE!</v>
      </c>
    </row>
    <row r="3623" spans="1:9" ht="15.75" customHeight="1">
      <c r="A3623" s="26"/>
      <c r="B3623" s="2"/>
      <c r="C3623" s="26"/>
      <c r="D3623" s="26"/>
      <c r="F3623" s="85" t="str">
        <f t="shared" si="0"/>
        <v/>
      </c>
      <c r="G3623" s="1" t="e">
        <f>IF(VALUE(F3623) = VALUE(RIGHT(Insights!$C$3, 4)), E3623, "")</f>
        <v>#VALUE!</v>
      </c>
      <c r="H3623" s="26" t="e">
        <f t="shared" si="1"/>
        <v>#VALUE!</v>
      </c>
      <c r="I3623" s="1" t="e">
        <f t="shared" si="2"/>
        <v>#VALUE!</v>
      </c>
    </row>
    <row r="3624" spans="1:9" ht="15.75" customHeight="1">
      <c r="A3624" s="26"/>
      <c r="B3624" s="2"/>
      <c r="C3624" s="26"/>
      <c r="D3624" s="26"/>
      <c r="F3624" s="85" t="str">
        <f t="shared" si="0"/>
        <v/>
      </c>
      <c r="G3624" s="1" t="e">
        <f>IF(VALUE(F3624) = VALUE(RIGHT(Insights!$C$3, 4)), E3624, "")</f>
        <v>#VALUE!</v>
      </c>
      <c r="H3624" s="26" t="e">
        <f t="shared" si="1"/>
        <v>#VALUE!</v>
      </c>
      <c r="I3624" s="1" t="e">
        <f t="shared" si="2"/>
        <v>#VALUE!</v>
      </c>
    </row>
    <row r="3625" spans="1:9" ht="15.75" customHeight="1">
      <c r="A3625" s="26"/>
      <c r="B3625" s="2"/>
      <c r="C3625" s="26"/>
      <c r="D3625" s="26"/>
      <c r="F3625" s="85" t="str">
        <f t="shared" si="0"/>
        <v/>
      </c>
      <c r="G3625" s="1" t="e">
        <f>IF(VALUE(F3625) = VALUE(RIGHT(Insights!$C$3, 4)), E3625, "")</f>
        <v>#VALUE!</v>
      </c>
      <c r="H3625" s="26" t="e">
        <f t="shared" si="1"/>
        <v>#VALUE!</v>
      </c>
      <c r="I3625" s="1" t="e">
        <f t="shared" si="2"/>
        <v>#VALUE!</v>
      </c>
    </row>
    <row r="3626" spans="1:9" ht="15.75" customHeight="1">
      <c r="A3626" s="26"/>
      <c r="B3626" s="2"/>
      <c r="C3626" s="26"/>
      <c r="D3626" s="26"/>
      <c r="F3626" s="85" t="str">
        <f t="shared" si="0"/>
        <v/>
      </c>
      <c r="G3626" s="1" t="e">
        <f>IF(VALUE(F3626) = VALUE(RIGHT(Insights!$C$3, 4)), E3626, "")</f>
        <v>#VALUE!</v>
      </c>
      <c r="H3626" s="26" t="e">
        <f t="shared" si="1"/>
        <v>#VALUE!</v>
      </c>
      <c r="I3626" s="1" t="e">
        <f t="shared" si="2"/>
        <v>#VALUE!</v>
      </c>
    </row>
    <row r="3627" spans="1:9" ht="15.75" customHeight="1">
      <c r="A3627" s="26"/>
      <c r="B3627" s="2"/>
      <c r="C3627" s="26"/>
      <c r="D3627" s="26"/>
      <c r="F3627" s="85" t="str">
        <f t="shared" si="0"/>
        <v/>
      </c>
      <c r="G3627" s="1" t="e">
        <f>IF(VALUE(F3627) = VALUE(RIGHT(Insights!$C$3, 4)), E3627, "")</f>
        <v>#VALUE!</v>
      </c>
      <c r="H3627" s="26" t="e">
        <f t="shared" si="1"/>
        <v>#VALUE!</v>
      </c>
      <c r="I3627" s="1" t="e">
        <f t="shared" si="2"/>
        <v>#VALUE!</v>
      </c>
    </row>
    <row r="3628" spans="1:9" ht="15.75" customHeight="1">
      <c r="A3628" s="26"/>
      <c r="B3628" s="2"/>
      <c r="C3628" s="26"/>
      <c r="D3628" s="26"/>
      <c r="F3628" s="85" t="str">
        <f t="shared" si="0"/>
        <v/>
      </c>
      <c r="G3628" s="1" t="e">
        <f>IF(VALUE(F3628) = VALUE(RIGHT(Insights!$C$3, 4)), E3628, "")</f>
        <v>#VALUE!</v>
      </c>
      <c r="H3628" s="26" t="e">
        <f t="shared" si="1"/>
        <v>#VALUE!</v>
      </c>
      <c r="I3628" s="1" t="e">
        <f t="shared" si="2"/>
        <v>#VALUE!</v>
      </c>
    </row>
    <row r="3629" spans="1:9" ht="15.75" customHeight="1">
      <c r="A3629" s="26"/>
      <c r="B3629" s="2"/>
      <c r="C3629" s="26"/>
      <c r="D3629" s="26"/>
      <c r="F3629" s="85" t="str">
        <f t="shared" si="0"/>
        <v/>
      </c>
      <c r="G3629" s="1" t="e">
        <f>IF(VALUE(F3629) = VALUE(RIGHT(Insights!$C$3, 4)), E3629, "")</f>
        <v>#VALUE!</v>
      </c>
      <c r="H3629" s="26" t="e">
        <f t="shared" si="1"/>
        <v>#VALUE!</v>
      </c>
      <c r="I3629" s="1" t="e">
        <f t="shared" si="2"/>
        <v>#VALUE!</v>
      </c>
    </row>
    <row r="3630" spans="1:9" ht="15.75" customHeight="1">
      <c r="A3630" s="26"/>
      <c r="B3630" s="2"/>
      <c r="C3630" s="26"/>
      <c r="D3630" s="26"/>
      <c r="F3630" s="85" t="str">
        <f t="shared" si="0"/>
        <v/>
      </c>
      <c r="G3630" s="1" t="e">
        <f>IF(VALUE(F3630) = VALUE(RIGHT(Insights!$C$3, 4)), E3630, "")</f>
        <v>#VALUE!</v>
      </c>
      <c r="H3630" s="26" t="e">
        <f t="shared" si="1"/>
        <v>#VALUE!</v>
      </c>
      <c r="I3630" s="1" t="e">
        <f t="shared" si="2"/>
        <v>#VALUE!</v>
      </c>
    </row>
    <row r="3631" spans="1:9" ht="15.75" customHeight="1">
      <c r="A3631" s="26"/>
      <c r="B3631" s="2"/>
      <c r="C3631" s="26"/>
      <c r="D3631" s="26"/>
      <c r="F3631" s="85" t="str">
        <f t="shared" si="0"/>
        <v/>
      </c>
      <c r="G3631" s="1" t="e">
        <f>IF(VALUE(F3631) = VALUE(RIGHT(Insights!$C$3, 4)), E3631, "")</f>
        <v>#VALUE!</v>
      </c>
      <c r="H3631" s="26" t="e">
        <f t="shared" si="1"/>
        <v>#VALUE!</v>
      </c>
      <c r="I3631" s="1" t="e">
        <f t="shared" si="2"/>
        <v>#VALUE!</v>
      </c>
    </row>
    <row r="3632" spans="1:9" ht="15.75" customHeight="1">
      <c r="A3632" s="26"/>
      <c r="B3632" s="2"/>
      <c r="C3632" s="26"/>
      <c r="D3632" s="26"/>
      <c r="F3632" s="85" t="str">
        <f t="shared" si="0"/>
        <v/>
      </c>
      <c r="G3632" s="1" t="e">
        <f>IF(VALUE(F3632) = VALUE(RIGHT(Insights!$C$3, 4)), E3632, "")</f>
        <v>#VALUE!</v>
      </c>
      <c r="H3632" s="26" t="e">
        <f t="shared" si="1"/>
        <v>#VALUE!</v>
      </c>
      <c r="I3632" s="1" t="e">
        <f t="shared" si="2"/>
        <v>#VALUE!</v>
      </c>
    </row>
    <row r="3633" spans="1:9" ht="15.75" customHeight="1">
      <c r="A3633" s="26"/>
      <c r="B3633" s="2"/>
      <c r="C3633" s="26"/>
      <c r="D3633" s="26"/>
      <c r="F3633" s="85" t="str">
        <f t="shared" si="0"/>
        <v/>
      </c>
      <c r="G3633" s="1" t="e">
        <f>IF(VALUE(F3633) = VALUE(RIGHT(Insights!$C$3, 4)), E3633, "")</f>
        <v>#VALUE!</v>
      </c>
      <c r="H3633" s="26" t="e">
        <f t="shared" si="1"/>
        <v>#VALUE!</v>
      </c>
      <c r="I3633" s="1" t="e">
        <f t="shared" si="2"/>
        <v>#VALUE!</v>
      </c>
    </row>
    <row r="3634" spans="1:9" ht="15.75" customHeight="1">
      <c r="A3634" s="26"/>
      <c r="B3634" s="2"/>
      <c r="C3634" s="26"/>
      <c r="D3634" s="26"/>
      <c r="F3634" s="85" t="str">
        <f t="shared" si="0"/>
        <v/>
      </c>
      <c r="G3634" s="1" t="e">
        <f>IF(VALUE(F3634) = VALUE(RIGHT(Insights!$C$3, 4)), E3634, "")</f>
        <v>#VALUE!</v>
      </c>
      <c r="H3634" s="26" t="e">
        <f t="shared" si="1"/>
        <v>#VALUE!</v>
      </c>
      <c r="I3634" s="1" t="e">
        <f t="shared" si="2"/>
        <v>#VALUE!</v>
      </c>
    </row>
    <row r="3635" spans="1:9" ht="15.75" customHeight="1">
      <c r="A3635" s="26"/>
      <c r="B3635" s="2"/>
      <c r="C3635" s="26"/>
      <c r="D3635" s="26"/>
      <c r="F3635" s="85" t="str">
        <f t="shared" si="0"/>
        <v/>
      </c>
      <c r="G3635" s="1" t="e">
        <f>IF(VALUE(F3635) = VALUE(RIGHT(Insights!$C$3, 4)), E3635, "")</f>
        <v>#VALUE!</v>
      </c>
      <c r="H3635" s="26" t="e">
        <f t="shared" si="1"/>
        <v>#VALUE!</v>
      </c>
      <c r="I3635" s="1" t="e">
        <f t="shared" si="2"/>
        <v>#VALUE!</v>
      </c>
    </row>
    <row r="3636" spans="1:9" ht="15.75" customHeight="1">
      <c r="A3636" s="26"/>
      <c r="B3636" s="2"/>
      <c r="C3636" s="26"/>
      <c r="D3636" s="26"/>
      <c r="F3636" s="85" t="str">
        <f t="shared" si="0"/>
        <v/>
      </c>
      <c r="G3636" s="1" t="e">
        <f>IF(VALUE(F3636) = VALUE(RIGHT(Insights!$C$3, 4)), E3636, "")</f>
        <v>#VALUE!</v>
      </c>
      <c r="H3636" s="26" t="e">
        <f t="shared" si="1"/>
        <v>#VALUE!</v>
      </c>
      <c r="I3636" s="1" t="e">
        <f t="shared" si="2"/>
        <v>#VALUE!</v>
      </c>
    </row>
    <row r="3637" spans="1:9" ht="15.75" customHeight="1">
      <c r="A3637" s="26"/>
      <c r="B3637" s="2"/>
      <c r="C3637" s="26"/>
      <c r="D3637" s="26"/>
      <c r="F3637" s="85" t="str">
        <f t="shared" si="0"/>
        <v/>
      </c>
      <c r="G3637" s="1" t="e">
        <f>IF(VALUE(F3637) = VALUE(RIGHT(Insights!$C$3, 4)), E3637, "")</f>
        <v>#VALUE!</v>
      </c>
      <c r="H3637" s="26" t="e">
        <f t="shared" si="1"/>
        <v>#VALUE!</v>
      </c>
      <c r="I3637" s="1" t="e">
        <f t="shared" si="2"/>
        <v>#VALUE!</v>
      </c>
    </row>
    <row r="3638" spans="1:9" ht="15.75" customHeight="1">
      <c r="A3638" s="26"/>
      <c r="B3638" s="2"/>
      <c r="C3638" s="26"/>
      <c r="D3638" s="26"/>
      <c r="F3638" s="85" t="str">
        <f t="shared" si="0"/>
        <v/>
      </c>
      <c r="G3638" s="1" t="e">
        <f>IF(VALUE(F3638) = VALUE(RIGHT(Insights!$C$3, 4)), E3638, "")</f>
        <v>#VALUE!</v>
      </c>
      <c r="H3638" s="26" t="e">
        <f t="shared" si="1"/>
        <v>#VALUE!</v>
      </c>
      <c r="I3638" s="1" t="e">
        <f t="shared" si="2"/>
        <v>#VALUE!</v>
      </c>
    </row>
    <row r="3639" spans="1:9" ht="15.75" customHeight="1">
      <c r="A3639" s="26"/>
      <c r="B3639" s="2"/>
      <c r="C3639" s="26"/>
      <c r="D3639" s="26"/>
      <c r="F3639" s="85" t="str">
        <f t="shared" si="0"/>
        <v/>
      </c>
      <c r="G3639" s="1" t="e">
        <f>IF(VALUE(F3639) = VALUE(RIGHT(Insights!$C$3, 4)), E3639, "")</f>
        <v>#VALUE!</v>
      </c>
      <c r="H3639" s="26" t="e">
        <f t="shared" si="1"/>
        <v>#VALUE!</v>
      </c>
      <c r="I3639" s="1" t="e">
        <f t="shared" si="2"/>
        <v>#VALUE!</v>
      </c>
    </row>
    <row r="3640" spans="1:9" ht="15.75" customHeight="1">
      <c r="A3640" s="26"/>
      <c r="B3640" s="2"/>
      <c r="C3640" s="26"/>
      <c r="D3640" s="26"/>
      <c r="F3640" s="85" t="str">
        <f t="shared" si="0"/>
        <v/>
      </c>
      <c r="G3640" s="1" t="e">
        <f>IF(VALUE(F3640) = VALUE(RIGHT(Insights!$C$3, 4)), E3640, "")</f>
        <v>#VALUE!</v>
      </c>
      <c r="H3640" s="26" t="e">
        <f t="shared" si="1"/>
        <v>#VALUE!</v>
      </c>
      <c r="I3640" s="1" t="e">
        <f t="shared" si="2"/>
        <v>#VALUE!</v>
      </c>
    </row>
    <row r="3641" spans="1:9" ht="15.75" customHeight="1">
      <c r="A3641" s="26"/>
      <c r="B3641" s="2"/>
      <c r="C3641" s="26"/>
      <c r="D3641" s="26"/>
      <c r="F3641" s="85" t="str">
        <f t="shared" si="0"/>
        <v/>
      </c>
      <c r="G3641" s="1" t="e">
        <f>IF(VALUE(F3641) = VALUE(RIGHT(Insights!$C$3, 4)), E3641, "")</f>
        <v>#VALUE!</v>
      </c>
      <c r="H3641" s="26" t="e">
        <f t="shared" si="1"/>
        <v>#VALUE!</v>
      </c>
      <c r="I3641" s="1" t="e">
        <f t="shared" si="2"/>
        <v>#VALUE!</v>
      </c>
    </row>
    <row r="3642" spans="1:9" ht="15.75" customHeight="1">
      <c r="A3642" s="26"/>
      <c r="B3642" s="2"/>
      <c r="C3642" s="26"/>
      <c r="D3642" s="26"/>
      <c r="F3642" s="85" t="str">
        <f t="shared" si="0"/>
        <v/>
      </c>
      <c r="G3642" s="1" t="e">
        <f>IF(VALUE(F3642) = VALUE(RIGHT(Insights!$C$3, 4)), E3642, "")</f>
        <v>#VALUE!</v>
      </c>
      <c r="H3642" s="26" t="e">
        <f t="shared" si="1"/>
        <v>#VALUE!</v>
      </c>
      <c r="I3642" s="1" t="e">
        <f t="shared" si="2"/>
        <v>#VALUE!</v>
      </c>
    </row>
    <row r="3643" spans="1:9" ht="15.75" customHeight="1">
      <c r="A3643" s="26"/>
      <c r="B3643" s="2"/>
      <c r="C3643" s="26"/>
      <c r="D3643" s="26"/>
      <c r="F3643" s="85" t="str">
        <f t="shared" si="0"/>
        <v/>
      </c>
      <c r="G3643" s="1" t="e">
        <f>IF(VALUE(F3643) = VALUE(RIGHT(Insights!$C$3, 4)), E3643, "")</f>
        <v>#VALUE!</v>
      </c>
      <c r="H3643" s="26" t="e">
        <f t="shared" si="1"/>
        <v>#VALUE!</v>
      </c>
      <c r="I3643" s="1" t="e">
        <f t="shared" si="2"/>
        <v>#VALUE!</v>
      </c>
    </row>
    <row r="3644" spans="1:9" ht="15.75" customHeight="1">
      <c r="A3644" s="26"/>
      <c r="B3644" s="2"/>
      <c r="C3644" s="26"/>
      <c r="D3644" s="26"/>
      <c r="F3644" s="85" t="str">
        <f t="shared" si="0"/>
        <v/>
      </c>
      <c r="G3644" s="1" t="e">
        <f>IF(VALUE(F3644) = VALUE(RIGHT(Insights!$C$3, 4)), E3644, "")</f>
        <v>#VALUE!</v>
      </c>
      <c r="H3644" s="26" t="e">
        <f t="shared" si="1"/>
        <v>#VALUE!</v>
      </c>
      <c r="I3644" s="1" t="e">
        <f t="shared" si="2"/>
        <v>#VALUE!</v>
      </c>
    </row>
    <row r="3645" spans="1:9" ht="15.75" customHeight="1">
      <c r="A3645" s="26"/>
      <c r="B3645" s="2"/>
      <c r="C3645" s="26"/>
      <c r="D3645" s="26"/>
      <c r="F3645" s="85" t="str">
        <f t="shared" si="0"/>
        <v/>
      </c>
      <c r="G3645" s="1" t="e">
        <f>IF(VALUE(F3645) = VALUE(RIGHT(Insights!$C$3, 4)), E3645, "")</f>
        <v>#VALUE!</v>
      </c>
      <c r="H3645" s="26" t="e">
        <f t="shared" si="1"/>
        <v>#VALUE!</v>
      </c>
      <c r="I3645" s="1" t="e">
        <f t="shared" si="2"/>
        <v>#VALUE!</v>
      </c>
    </row>
    <row r="3646" spans="1:9" ht="15.75" customHeight="1">
      <c r="A3646" s="26"/>
      <c r="B3646" s="2"/>
      <c r="C3646" s="26"/>
      <c r="D3646" s="26"/>
      <c r="F3646" s="85" t="str">
        <f t="shared" si="0"/>
        <v/>
      </c>
      <c r="G3646" s="1" t="e">
        <f>IF(VALUE(F3646) = VALUE(RIGHT(Insights!$C$3, 4)), E3646, "")</f>
        <v>#VALUE!</v>
      </c>
      <c r="H3646" s="26" t="e">
        <f t="shared" si="1"/>
        <v>#VALUE!</v>
      </c>
      <c r="I3646" s="1" t="e">
        <f t="shared" si="2"/>
        <v>#VALUE!</v>
      </c>
    </row>
    <row r="3647" spans="1:9" ht="15.75" customHeight="1">
      <c r="A3647" s="26"/>
      <c r="B3647" s="2"/>
      <c r="C3647" s="26"/>
      <c r="D3647" s="26"/>
      <c r="F3647" s="85" t="str">
        <f t="shared" si="0"/>
        <v/>
      </c>
      <c r="G3647" s="1" t="e">
        <f>IF(VALUE(F3647) = VALUE(RIGHT(Insights!$C$3, 4)), E3647, "")</f>
        <v>#VALUE!</v>
      </c>
      <c r="H3647" s="26" t="e">
        <f t="shared" si="1"/>
        <v>#VALUE!</v>
      </c>
      <c r="I3647" s="1" t="e">
        <f t="shared" si="2"/>
        <v>#VALUE!</v>
      </c>
    </row>
    <row r="3648" spans="1:9" ht="15.75" customHeight="1">
      <c r="A3648" s="26"/>
      <c r="B3648" s="2"/>
      <c r="C3648" s="26"/>
      <c r="D3648" s="26"/>
      <c r="F3648" s="85" t="str">
        <f t="shared" si="0"/>
        <v/>
      </c>
      <c r="G3648" s="1" t="e">
        <f>IF(VALUE(F3648) = VALUE(RIGHT(Insights!$C$3, 4)), E3648, "")</f>
        <v>#VALUE!</v>
      </c>
      <c r="H3648" s="26" t="e">
        <f t="shared" si="1"/>
        <v>#VALUE!</v>
      </c>
      <c r="I3648" s="1" t="e">
        <f t="shared" si="2"/>
        <v>#VALUE!</v>
      </c>
    </row>
    <row r="3649" spans="1:9" ht="15.75" customHeight="1">
      <c r="A3649" s="26"/>
      <c r="B3649" s="2"/>
      <c r="C3649" s="26"/>
      <c r="D3649" s="26"/>
      <c r="F3649" s="85" t="str">
        <f t="shared" si="0"/>
        <v/>
      </c>
      <c r="G3649" s="1" t="e">
        <f>IF(VALUE(F3649) = VALUE(RIGHT(Insights!$C$3, 4)), E3649, "")</f>
        <v>#VALUE!</v>
      </c>
      <c r="H3649" s="26" t="e">
        <f t="shared" si="1"/>
        <v>#VALUE!</v>
      </c>
      <c r="I3649" s="1" t="e">
        <f t="shared" si="2"/>
        <v>#VALUE!</v>
      </c>
    </row>
    <row r="3650" spans="1:9" ht="15.75" customHeight="1">
      <c r="A3650" s="26"/>
      <c r="B3650" s="2"/>
      <c r="C3650" s="26"/>
      <c r="D3650" s="26"/>
      <c r="F3650" s="85" t="str">
        <f t="shared" si="0"/>
        <v/>
      </c>
      <c r="G3650" s="1" t="e">
        <f>IF(VALUE(F3650) = VALUE(RIGHT(Insights!$C$3, 4)), E3650, "")</f>
        <v>#VALUE!</v>
      </c>
      <c r="H3650" s="26" t="e">
        <f t="shared" si="1"/>
        <v>#VALUE!</v>
      </c>
      <c r="I3650" s="1" t="e">
        <f t="shared" si="2"/>
        <v>#VALUE!</v>
      </c>
    </row>
    <row r="3651" spans="1:9" ht="15.75" customHeight="1">
      <c r="A3651" s="26"/>
      <c r="B3651" s="2"/>
      <c r="C3651" s="26"/>
      <c r="D3651" s="26"/>
      <c r="F3651" s="85" t="str">
        <f t="shared" si="0"/>
        <v/>
      </c>
      <c r="G3651" s="1" t="e">
        <f>IF(VALUE(F3651) = VALUE(RIGHT(Insights!$C$3, 4)), E3651, "")</f>
        <v>#VALUE!</v>
      </c>
      <c r="H3651" s="26" t="e">
        <f t="shared" si="1"/>
        <v>#VALUE!</v>
      </c>
      <c r="I3651" s="1" t="e">
        <f t="shared" si="2"/>
        <v>#VALUE!</v>
      </c>
    </row>
    <row r="3652" spans="1:9" ht="15.75" customHeight="1">
      <c r="A3652" s="26"/>
      <c r="B3652" s="2"/>
      <c r="C3652" s="26"/>
      <c r="D3652" s="26"/>
      <c r="F3652" s="85" t="str">
        <f t="shared" si="0"/>
        <v/>
      </c>
      <c r="G3652" s="1" t="e">
        <f>IF(VALUE(F3652) = VALUE(RIGHT(Insights!$C$3, 4)), E3652, "")</f>
        <v>#VALUE!</v>
      </c>
      <c r="H3652" s="26" t="e">
        <f t="shared" si="1"/>
        <v>#VALUE!</v>
      </c>
      <c r="I3652" s="1" t="e">
        <f t="shared" si="2"/>
        <v>#VALUE!</v>
      </c>
    </row>
    <row r="3653" spans="1:9" ht="15.75" customHeight="1">
      <c r="A3653" s="26"/>
      <c r="B3653" s="2"/>
      <c r="C3653" s="26"/>
      <c r="D3653" s="26"/>
      <c r="F3653" s="85" t="str">
        <f t="shared" si="0"/>
        <v/>
      </c>
      <c r="G3653" s="1" t="e">
        <f>IF(VALUE(F3653) = VALUE(RIGHT(Insights!$C$3, 4)), E3653, "")</f>
        <v>#VALUE!</v>
      </c>
      <c r="H3653" s="26" t="e">
        <f t="shared" si="1"/>
        <v>#VALUE!</v>
      </c>
      <c r="I3653" s="1" t="e">
        <f t="shared" si="2"/>
        <v>#VALUE!</v>
      </c>
    </row>
    <row r="3654" spans="1:9" ht="15.75" customHeight="1">
      <c r="A3654" s="26"/>
      <c r="B3654" s="2"/>
      <c r="C3654" s="26"/>
      <c r="D3654" s="26"/>
      <c r="F3654" s="85" t="str">
        <f t="shared" si="0"/>
        <v/>
      </c>
      <c r="G3654" s="1" t="e">
        <f>IF(VALUE(F3654) = VALUE(RIGHT(Insights!$C$3, 4)), E3654, "")</f>
        <v>#VALUE!</v>
      </c>
      <c r="H3654" s="26" t="e">
        <f t="shared" si="1"/>
        <v>#VALUE!</v>
      </c>
      <c r="I3654" s="1" t="e">
        <f t="shared" si="2"/>
        <v>#VALUE!</v>
      </c>
    </row>
    <row r="3655" spans="1:9" ht="15.75" customHeight="1">
      <c r="A3655" s="26"/>
      <c r="B3655" s="2"/>
      <c r="C3655" s="26"/>
      <c r="D3655" s="26"/>
      <c r="F3655" s="85" t="str">
        <f t="shared" si="0"/>
        <v/>
      </c>
      <c r="G3655" s="1" t="e">
        <f>IF(VALUE(F3655) = VALUE(RIGHT(Insights!$C$3, 4)), E3655, "")</f>
        <v>#VALUE!</v>
      </c>
      <c r="H3655" s="26" t="e">
        <f t="shared" si="1"/>
        <v>#VALUE!</v>
      </c>
      <c r="I3655" s="1" t="e">
        <f t="shared" si="2"/>
        <v>#VALUE!</v>
      </c>
    </row>
    <row r="3656" spans="1:9" ht="15.75" customHeight="1">
      <c r="A3656" s="26"/>
      <c r="B3656" s="2"/>
      <c r="C3656" s="26"/>
      <c r="D3656" s="26"/>
      <c r="F3656" s="85" t="str">
        <f t="shared" si="0"/>
        <v/>
      </c>
      <c r="G3656" s="1" t="e">
        <f>IF(VALUE(F3656) = VALUE(RIGHT(Insights!$C$3, 4)), E3656, "")</f>
        <v>#VALUE!</v>
      </c>
      <c r="H3656" s="26" t="e">
        <f t="shared" si="1"/>
        <v>#VALUE!</v>
      </c>
      <c r="I3656" s="1" t="e">
        <f t="shared" si="2"/>
        <v>#VALUE!</v>
      </c>
    </row>
    <row r="3657" spans="1:9" ht="15.75" customHeight="1">
      <c r="A3657" s="26"/>
      <c r="B3657" s="2"/>
      <c r="C3657" s="26"/>
      <c r="D3657" s="26"/>
      <c r="F3657" s="85" t="str">
        <f t="shared" si="0"/>
        <v/>
      </c>
      <c r="G3657" s="1" t="e">
        <f>IF(VALUE(F3657) = VALUE(RIGHT(Insights!$C$3, 4)), E3657, "")</f>
        <v>#VALUE!</v>
      </c>
      <c r="H3657" s="26" t="e">
        <f t="shared" si="1"/>
        <v>#VALUE!</v>
      </c>
      <c r="I3657" s="1" t="e">
        <f t="shared" si="2"/>
        <v>#VALUE!</v>
      </c>
    </row>
    <row r="3658" spans="1:9" ht="15.75" customHeight="1">
      <c r="A3658" s="26"/>
      <c r="B3658" s="2"/>
      <c r="C3658" s="26"/>
      <c r="D3658" s="26"/>
      <c r="F3658" s="85" t="str">
        <f t="shared" si="0"/>
        <v/>
      </c>
      <c r="G3658" s="1" t="e">
        <f>IF(VALUE(F3658) = VALUE(RIGHT(Insights!$C$3, 4)), E3658, "")</f>
        <v>#VALUE!</v>
      </c>
      <c r="H3658" s="26" t="e">
        <f t="shared" si="1"/>
        <v>#VALUE!</v>
      </c>
      <c r="I3658" s="1" t="e">
        <f t="shared" si="2"/>
        <v>#VALUE!</v>
      </c>
    </row>
    <row r="3659" spans="1:9" ht="15.75" customHeight="1">
      <c r="A3659" s="26"/>
      <c r="B3659" s="2"/>
      <c r="C3659" s="26"/>
      <c r="D3659" s="26"/>
      <c r="F3659" s="85" t="str">
        <f t="shared" si="0"/>
        <v/>
      </c>
      <c r="G3659" s="1" t="e">
        <f>IF(VALUE(F3659) = VALUE(RIGHT(Insights!$C$3, 4)), E3659, "")</f>
        <v>#VALUE!</v>
      </c>
      <c r="H3659" s="26" t="e">
        <f t="shared" si="1"/>
        <v>#VALUE!</v>
      </c>
      <c r="I3659" s="1" t="e">
        <f t="shared" si="2"/>
        <v>#VALUE!</v>
      </c>
    </row>
    <row r="3660" spans="1:9" ht="15.75" customHeight="1">
      <c r="A3660" s="26"/>
      <c r="B3660" s="2"/>
      <c r="C3660" s="26"/>
      <c r="D3660" s="26"/>
      <c r="F3660" s="85" t="str">
        <f t="shared" si="0"/>
        <v/>
      </c>
      <c r="G3660" s="1" t="e">
        <f>IF(VALUE(F3660) = VALUE(RIGHT(Insights!$C$3, 4)), E3660, "")</f>
        <v>#VALUE!</v>
      </c>
      <c r="H3660" s="26" t="e">
        <f t="shared" si="1"/>
        <v>#VALUE!</v>
      </c>
      <c r="I3660" s="1" t="e">
        <f t="shared" si="2"/>
        <v>#VALUE!</v>
      </c>
    </row>
    <row r="3661" spans="1:9" ht="15.75" customHeight="1">
      <c r="A3661" s="26"/>
      <c r="B3661" s="2"/>
      <c r="C3661" s="26"/>
      <c r="D3661" s="26"/>
      <c r="F3661" s="85" t="str">
        <f t="shared" si="0"/>
        <v/>
      </c>
      <c r="G3661" s="1" t="e">
        <f>IF(VALUE(F3661) = VALUE(RIGHT(Insights!$C$3, 4)), E3661, "")</f>
        <v>#VALUE!</v>
      </c>
      <c r="H3661" s="26" t="e">
        <f t="shared" si="1"/>
        <v>#VALUE!</v>
      </c>
      <c r="I3661" s="1" t="e">
        <f t="shared" si="2"/>
        <v>#VALUE!</v>
      </c>
    </row>
    <row r="3662" spans="1:9" ht="15.75" customHeight="1">
      <c r="A3662" s="26"/>
      <c r="B3662" s="2"/>
      <c r="C3662" s="26"/>
      <c r="D3662" s="26"/>
      <c r="F3662" s="85" t="str">
        <f t="shared" si="0"/>
        <v/>
      </c>
      <c r="G3662" s="1" t="e">
        <f>IF(VALUE(F3662) = VALUE(RIGHT(Insights!$C$3, 4)), E3662, "")</f>
        <v>#VALUE!</v>
      </c>
      <c r="H3662" s="26" t="e">
        <f t="shared" si="1"/>
        <v>#VALUE!</v>
      </c>
      <c r="I3662" s="1" t="e">
        <f t="shared" si="2"/>
        <v>#VALUE!</v>
      </c>
    </row>
    <row r="3663" spans="1:9" ht="15.75" customHeight="1">
      <c r="A3663" s="26"/>
      <c r="B3663" s="2"/>
      <c r="C3663" s="26"/>
      <c r="D3663" s="26"/>
      <c r="F3663" s="85" t="str">
        <f t="shared" si="0"/>
        <v/>
      </c>
      <c r="G3663" s="1" t="e">
        <f>IF(VALUE(F3663) = VALUE(RIGHT(Insights!$C$3, 4)), E3663, "")</f>
        <v>#VALUE!</v>
      </c>
      <c r="H3663" s="26" t="e">
        <f t="shared" si="1"/>
        <v>#VALUE!</v>
      </c>
      <c r="I3663" s="1" t="e">
        <f t="shared" si="2"/>
        <v>#VALUE!</v>
      </c>
    </row>
    <row r="3664" spans="1:9" ht="15.75" customHeight="1">
      <c r="A3664" s="26"/>
      <c r="B3664" s="2"/>
      <c r="C3664" s="26"/>
      <c r="D3664" s="26"/>
      <c r="F3664" s="85" t="str">
        <f t="shared" si="0"/>
        <v/>
      </c>
      <c r="G3664" s="1" t="e">
        <f>IF(VALUE(F3664) = VALUE(RIGHT(Insights!$C$3, 4)), E3664, "")</f>
        <v>#VALUE!</v>
      </c>
      <c r="H3664" s="26" t="e">
        <f t="shared" si="1"/>
        <v>#VALUE!</v>
      </c>
      <c r="I3664" s="1" t="e">
        <f t="shared" si="2"/>
        <v>#VALUE!</v>
      </c>
    </row>
    <row r="3665" spans="1:9" ht="15.75" customHeight="1">
      <c r="A3665" s="26"/>
      <c r="B3665" s="2"/>
      <c r="C3665" s="26"/>
      <c r="D3665" s="26"/>
      <c r="F3665" s="85" t="str">
        <f t="shared" si="0"/>
        <v/>
      </c>
      <c r="G3665" s="1" t="e">
        <f>IF(VALUE(F3665) = VALUE(RIGHT(Insights!$C$3, 4)), E3665, "")</f>
        <v>#VALUE!</v>
      </c>
      <c r="H3665" s="26" t="e">
        <f t="shared" si="1"/>
        <v>#VALUE!</v>
      </c>
      <c r="I3665" s="1" t="e">
        <f t="shared" si="2"/>
        <v>#VALUE!</v>
      </c>
    </row>
    <row r="3666" spans="1:9" ht="15.75" customHeight="1">
      <c r="A3666" s="26"/>
      <c r="B3666" s="2"/>
      <c r="C3666" s="26"/>
      <c r="D3666" s="26"/>
      <c r="F3666" s="85" t="str">
        <f t="shared" si="0"/>
        <v/>
      </c>
      <c r="G3666" s="1" t="e">
        <f>IF(VALUE(F3666) = VALUE(RIGHT(Insights!$C$3, 4)), E3666, "")</f>
        <v>#VALUE!</v>
      </c>
      <c r="H3666" s="26" t="e">
        <f t="shared" si="1"/>
        <v>#VALUE!</v>
      </c>
      <c r="I3666" s="1" t="e">
        <f t="shared" si="2"/>
        <v>#VALUE!</v>
      </c>
    </row>
    <row r="3667" spans="1:9" ht="15.75" customHeight="1">
      <c r="A3667" s="26"/>
      <c r="B3667" s="2"/>
      <c r="C3667" s="26"/>
      <c r="D3667" s="26"/>
      <c r="F3667" s="85" t="str">
        <f t="shared" si="0"/>
        <v/>
      </c>
      <c r="G3667" s="1" t="e">
        <f>IF(VALUE(F3667) = VALUE(RIGHT(Insights!$C$3, 4)), E3667, "")</f>
        <v>#VALUE!</v>
      </c>
      <c r="H3667" s="26" t="e">
        <f t="shared" si="1"/>
        <v>#VALUE!</v>
      </c>
      <c r="I3667" s="1" t="e">
        <f t="shared" si="2"/>
        <v>#VALUE!</v>
      </c>
    </row>
    <row r="3668" spans="1:9" ht="15.75" customHeight="1">
      <c r="A3668" s="26"/>
      <c r="B3668" s="2"/>
      <c r="C3668" s="26"/>
      <c r="D3668" s="26"/>
      <c r="F3668" s="85" t="str">
        <f t="shared" si="0"/>
        <v/>
      </c>
      <c r="G3668" s="1" t="e">
        <f>IF(VALUE(F3668) = VALUE(RIGHT(Insights!$C$3, 4)), E3668, "")</f>
        <v>#VALUE!</v>
      </c>
      <c r="H3668" s="26" t="e">
        <f t="shared" si="1"/>
        <v>#VALUE!</v>
      </c>
      <c r="I3668" s="1" t="e">
        <f t="shared" si="2"/>
        <v>#VALUE!</v>
      </c>
    </row>
    <row r="3669" spans="1:9" ht="15.75" customHeight="1">
      <c r="A3669" s="26"/>
      <c r="B3669" s="2"/>
      <c r="C3669" s="26"/>
      <c r="D3669" s="26"/>
      <c r="F3669" s="85" t="str">
        <f t="shared" si="0"/>
        <v/>
      </c>
      <c r="G3669" s="1" t="e">
        <f>IF(VALUE(F3669) = VALUE(RIGHT(Insights!$C$3, 4)), E3669, "")</f>
        <v>#VALUE!</v>
      </c>
      <c r="H3669" s="26" t="e">
        <f t="shared" si="1"/>
        <v>#VALUE!</v>
      </c>
      <c r="I3669" s="1" t="e">
        <f t="shared" si="2"/>
        <v>#VALUE!</v>
      </c>
    </row>
    <row r="3670" spans="1:9" ht="15.75" customHeight="1">
      <c r="A3670" s="26"/>
      <c r="B3670" s="2"/>
      <c r="C3670" s="26"/>
      <c r="D3670" s="26"/>
      <c r="F3670" s="85" t="str">
        <f t="shared" si="0"/>
        <v/>
      </c>
      <c r="G3670" s="1" t="e">
        <f>IF(VALUE(F3670) = VALUE(RIGHT(Insights!$C$3, 4)), E3670, "")</f>
        <v>#VALUE!</v>
      </c>
      <c r="H3670" s="26" t="e">
        <f t="shared" si="1"/>
        <v>#VALUE!</v>
      </c>
      <c r="I3670" s="1" t="e">
        <f t="shared" si="2"/>
        <v>#VALUE!</v>
      </c>
    </row>
    <row r="3671" spans="1:9" ht="15.75" customHeight="1">
      <c r="A3671" s="26"/>
      <c r="B3671" s="2"/>
      <c r="C3671" s="26"/>
      <c r="D3671" s="26"/>
      <c r="F3671" s="85" t="str">
        <f t="shared" si="0"/>
        <v/>
      </c>
      <c r="G3671" s="1" t="e">
        <f>IF(VALUE(F3671) = VALUE(RIGHT(Insights!$C$3, 4)), E3671, "")</f>
        <v>#VALUE!</v>
      </c>
      <c r="H3671" s="26" t="e">
        <f t="shared" si="1"/>
        <v>#VALUE!</v>
      </c>
      <c r="I3671" s="1" t="e">
        <f t="shared" si="2"/>
        <v>#VALUE!</v>
      </c>
    </row>
    <row r="3672" spans="1:9" ht="15.75" customHeight="1">
      <c r="A3672" s="26"/>
      <c r="B3672" s="2"/>
      <c r="C3672" s="26"/>
      <c r="D3672" s="26"/>
      <c r="F3672" s="85" t="str">
        <f t="shared" si="0"/>
        <v/>
      </c>
      <c r="G3672" s="1" t="e">
        <f>IF(VALUE(F3672) = VALUE(RIGHT(Insights!$C$3, 4)), E3672, "")</f>
        <v>#VALUE!</v>
      </c>
      <c r="H3672" s="26" t="e">
        <f t="shared" si="1"/>
        <v>#VALUE!</v>
      </c>
      <c r="I3672" s="1" t="e">
        <f t="shared" si="2"/>
        <v>#VALUE!</v>
      </c>
    </row>
    <row r="3673" spans="1:9" ht="15.75" customHeight="1">
      <c r="A3673" s="26"/>
      <c r="B3673" s="2"/>
      <c r="C3673" s="26"/>
      <c r="D3673" s="26"/>
      <c r="F3673" s="85" t="str">
        <f t="shared" si="0"/>
        <v/>
      </c>
      <c r="G3673" s="1" t="e">
        <f>IF(VALUE(F3673) = VALUE(RIGHT(Insights!$C$3, 4)), E3673, "")</f>
        <v>#VALUE!</v>
      </c>
      <c r="H3673" s="26" t="e">
        <f t="shared" si="1"/>
        <v>#VALUE!</v>
      </c>
      <c r="I3673" s="1" t="e">
        <f t="shared" si="2"/>
        <v>#VALUE!</v>
      </c>
    </row>
    <row r="3674" spans="1:9" ht="15.75" customHeight="1">
      <c r="A3674" s="26"/>
      <c r="B3674" s="2"/>
      <c r="C3674" s="26"/>
      <c r="D3674" s="26"/>
      <c r="F3674" s="85" t="str">
        <f t="shared" si="0"/>
        <v/>
      </c>
      <c r="G3674" s="1" t="e">
        <f>IF(VALUE(F3674) = VALUE(RIGHT(Insights!$C$3, 4)), E3674, "")</f>
        <v>#VALUE!</v>
      </c>
      <c r="H3674" s="26" t="e">
        <f t="shared" si="1"/>
        <v>#VALUE!</v>
      </c>
      <c r="I3674" s="1" t="e">
        <f t="shared" si="2"/>
        <v>#VALUE!</v>
      </c>
    </row>
    <row r="3675" spans="1:9" ht="15.75" customHeight="1">
      <c r="A3675" s="26"/>
      <c r="B3675" s="2"/>
      <c r="C3675" s="26"/>
      <c r="D3675" s="26"/>
      <c r="F3675" s="85" t="str">
        <f t="shared" si="0"/>
        <v/>
      </c>
      <c r="G3675" s="1" t="e">
        <f>IF(VALUE(F3675) = VALUE(RIGHT(Insights!$C$3, 4)), E3675, "")</f>
        <v>#VALUE!</v>
      </c>
      <c r="H3675" s="26" t="e">
        <f t="shared" si="1"/>
        <v>#VALUE!</v>
      </c>
      <c r="I3675" s="1" t="e">
        <f t="shared" si="2"/>
        <v>#VALUE!</v>
      </c>
    </row>
    <row r="3676" spans="1:9" ht="15.75" customHeight="1">
      <c r="A3676" s="26"/>
      <c r="B3676" s="2"/>
      <c r="C3676" s="26"/>
      <c r="D3676" s="26"/>
      <c r="F3676" s="85" t="str">
        <f t="shared" si="0"/>
        <v/>
      </c>
      <c r="G3676" s="1" t="e">
        <f>IF(VALUE(F3676) = VALUE(RIGHT(Insights!$C$3, 4)), E3676, "")</f>
        <v>#VALUE!</v>
      </c>
      <c r="H3676" s="26" t="e">
        <f t="shared" si="1"/>
        <v>#VALUE!</v>
      </c>
      <c r="I3676" s="1" t="e">
        <f t="shared" si="2"/>
        <v>#VALUE!</v>
      </c>
    </row>
    <row r="3677" spans="1:9" ht="15.75" customHeight="1">
      <c r="A3677" s="26"/>
      <c r="B3677" s="2"/>
      <c r="C3677" s="26"/>
      <c r="D3677" s="26"/>
      <c r="F3677" s="85" t="str">
        <f t="shared" si="0"/>
        <v/>
      </c>
      <c r="G3677" s="1" t="e">
        <f>IF(VALUE(F3677) = VALUE(RIGHT(Insights!$C$3, 4)), E3677, "")</f>
        <v>#VALUE!</v>
      </c>
      <c r="H3677" s="26" t="e">
        <f t="shared" si="1"/>
        <v>#VALUE!</v>
      </c>
      <c r="I3677" s="1" t="e">
        <f t="shared" si="2"/>
        <v>#VALUE!</v>
      </c>
    </row>
    <row r="3678" spans="1:9" ht="15.75" customHeight="1">
      <c r="A3678" s="26"/>
      <c r="B3678" s="2"/>
      <c r="C3678" s="26"/>
      <c r="D3678" s="26"/>
      <c r="F3678" s="85" t="str">
        <f t="shared" si="0"/>
        <v/>
      </c>
      <c r="G3678" s="1" t="e">
        <f>IF(VALUE(F3678) = VALUE(RIGHT(Insights!$C$3, 4)), E3678, "")</f>
        <v>#VALUE!</v>
      </c>
      <c r="H3678" s="26" t="e">
        <f t="shared" si="1"/>
        <v>#VALUE!</v>
      </c>
      <c r="I3678" s="1" t="e">
        <f t="shared" si="2"/>
        <v>#VALUE!</v>
      </c>
    </row>
    <row r="3679" spans="1:9" ht="15.75" customHeight="1">
      <c r="A3679" s="26"/>
      <c r="B3679" s="2"/>
      <c r="C3679" s="26"/>
      <c r="D3679" s="26"/>
      <c r="F3679" s="85" t="str">
        <f t="shared" si="0"/>
        <v/>
      </c>
      <c r="G3679" s="1" t="e">
        <f>IF(VALUE(F3679) = VALUE(RIGHT(Insights!$C$3, 4)), E3679, "")</f>
        <v>#VALUE!</v>
      </c>
      <c r="H3679" s="26" t="e">
        <f t="shared" si="1"/>
        <v>#VALUE!</v>
      </c>
      <c r="I3679" s="1" t="e">
        <f t="shared" si="2"/>
        <v>#VALUE!</v>
      </c>
    </row>
    <row r="3680" spans="1:9" ht="15.75" customHeight="1">
      <c r="A3680" s="26"/>
      <c r="B3680" s="2"/>
      <c r="C3680" s="26"/>
      <c r="D3680" s="26"/>
      <c r="F3680" s="85" t="str">
        <f t="shared" si="0"/>
        <v/>
      </c>
      <c r="G3680" s="1" t="e">
        <f>IF(VALUE(F3680) = VALUE(RIGHT(Insights!$C$3, 4)), E3680, "")</f>
        <v>#VALUE!</v>
      </c>
      <c r="H3680" s="26" t="e">
        <f t="shared" si="1"/>
        <v>#VALUE!</v>
      </c>
      <c r="I3680" s="1" t="e">
        <f t="shared" si="2"/>
        <v>#VALUE!</v>
      </c>
    </row>
    <row r="3681" spans="1:9" ht="15.75" customHeight="1">
      <c r="A3681" s="26"/>
      <c r="B3681" s="2"/>
      <c r="C3681" s="26"/>
      <c r="D3681" s="26"/>
      <c r="F3681" s="85" t="str">
        <f t="shared" si="0"/>
        <v/>
      </c>
      <c r="G3681" s="1" t="e">
        <f>IF(VALUE(F3681) = VALUE(RIGHT(Insights!$C$3, 4)), E3681, "")</f>
        <v>#VALUE!</v>
      </c>
      <c r="H3681" s="26" t="e">
        <f t="shared" si="1"/>
        <v>#VALUE!</v>
      </c>
      <c r="I3681" s="1" t="e">
        <f t="shared" si="2"/>
        <v>#VALUE!</v>
      </c>
    </row>
    <row r="3682" spans="1:9" ht="15.75" customHeight="1">
      <c r="A3682" s="26"/>
      <c r="B3682" s="2"/>
      <c r="C3682" s="26"/>
      <c r="D3682" s="26"/>
      <c r="F3682" s="85" t="str">
        <f t="shared" si="0"/>
        <v/>
      </c>
      <c r="G3682" s="1" t="e">
        <f>IF(VALUE(F3682) = VALUE(RIGHT(Insights!$C$3, 4)), E3682, "")</f>
        <v>#VALUE!</v>
      </c>
      <c r="H3682" s="26" t="e">
        <f t="shared" si="1"/>
        <v>#VALUE!</v>
      </c>
      <c r="I3682" s="1" t="e">
        <f t="shared" si="2"/>
        <v>#VALUE!</v>
      </c>
    </row>
    <row r="3683" spans="1:9" ht="15.75" customHeight="1">
      <c r="A3683" s="26"/>
      <c r="B3683" s="2"/>
      <c r="C3683" s="26"/>
      <c r="D3683" s="26"/>
      <c r="F3683" s="85" t="str">
        <f t="shared" si="0"/>
        <v/>
      </c>
      <c r="G3683" s="1" t="e">
        <f>IF(VALUE(F3683) = VALUE(RIGHT(Insights!$C$3, 4)), E3683, "")</f>
        <v>#VALUE!</v>
      </c>
      <c r="H3683" s="26" t="e">
        <f t="shared" si="1"/>
        <v>#VALUE!</v>
      </c>
      <c r="I3683" s="1" t="e">
        <f t="shared" si="2"/>
        <v>#VALUE!</v>
      </c>
    </row>
    <row r="3684" spans="1:9" ht="15.75" customHeight="1">
      <c r="A3684" s="26"/>
      <c r="B3684" s="2"/>
      <c r="C3684" s="26"/>
      <c r="D3684" s="26"/>
      <c r="F3684" s="85" t="str">
        <f t="shared" si="0"/>
        <v/>
      </c>
      <c r="G3684" s="1" t="e">
        <f>IF(VALUE(F3684) = VALUE(RIGHT(Insights!$C$3, 4)), E3684, "")</f>
        <v>#VALUE!</v>
      </c>
      <c r="H3684" s="26" t="e">
        <f t="shared" si="1"/>
        <v>#VALUE!</v>
      </c>
      <c r="I3684" s="1" t="e">
        <f t="shared" si="2"/>
        <v>#VALUE!</v>
      </c>
    </row>
    <row r="3685" spans="1:9" ht="15.75" customHeight="1">
      <c r="A3685" s="26"/>
      <c r="B3685" s="2"/>
      <c r="C3685" s="26"/>
      <c r="D3685" s="26"/>
      <c r="F3685" s="85" t="str">
        <f t="shared" si="0"/>
        <v/>
      </c>
      <c r="G3685" s="1" t="e">
        <f>IF(VALUE(F3685) = VALUE(RIGHT(Insights!$C$3, 4)), E3685, "")</f>
        <v>#VALUE!</v>
      </c>
      <c r="H3685" s="26" t="e">
        <f t="shared" si="1"/>
        <v>#VALUE!</v>
      </c>
      <c r="I3685" s="1" t="e">
        <f t="shared" si="2"/>
        <v>#VALUE!</v>
      </c>
    </row>
    <row r="3686" spans="1:9" ht="15.75" customHeight="1">
      <c r="A3686" s="26"/>
      <c r="B3686" s="2"/>
      <c r="C3686" s="26"/>
      <c r="D3686" s="26"/>
      <c r="F3686" s="85" t="str">
        <f t="shared" si="0"/>
        <v/>
      </c>
      <c r="G3686" s="1" t="e">
        <f>IF(VALUE(F3686) = VALUE(RIGHT(Insights!$C$3, 4)), E3686, "")</f>
        <v>#VALUE!</v>
      </c>
      <c r="H3686" s="26" t="e">
        <f t="shared" si="1"/>
        <v>#VALUE!</v>
      </c>
      <c r="I3686" s="1" t="e">
        <f t="shared" si="2"/>
        <v>#VALUE!</v>
      </c>
    </row>
    <row r="3687" spans="1:9" ht="15.75" customHeight="1">
      <c r="A3687" s="26"/>
      <c r="B3687" s="2"/>
      <c r="C3687" s="26"/>
      <c r="D3687" s="26"/>
      <c r="F3687" s="85" t="str">
        <f t="shared" si="0"/>
        <v/>
      </c>
      <c r="G3687" s="1" t="e">
        <f>IF(VALUE(F3687) = VALUE(RIGHT(Insights!$C$3, 4)), E3687, "")</f>
        <v>#VALUE!</v>
      </c>
      <c r="H3687" s="26" t="e">
        <f t="shared" si="1"/>
        <v>#VALUE!</v>
      </c>
      <c r="I3687" s="1" t="e">
        <f t="shared" si="2"/>
        <v>#VALUE!</v>
      </c>
    </row>
    <row r="3688" spans="1:9" ht="15.75" customHeight="1">
      <c r="A3688" s="26"/>
      <c r="B3688" s="2"/>
      <c r="C3688" s="26"/>
      <c r="D3688" s="26"/>
      <c r="F3688" s="85" t="str">
        <f t="shared" si="0"/>
        <v/>
      </c>
      <c r="G3688" s="1" t="e">
        <f>IF(VALUE(F3688) = VALUE(RIGHT(Insights!$C$3, 4)), E3688, "")</f>
        <v>#VALUE!</v>
      </c>
      <c r="H3688" s="26" t="e">
        <f t="shared" si="1"/>
        <v>#VALUE!</v>
      </c>
      <c r="I3688" s="1" t="e">
        <f t="shared" si="2"/>
        <v>#VALUE!</v>
      </c>
    </row>
    <row r="3689" spans="1:9" ht="15.75" customHeight="1">
      <c r="A3689" s="26"/>
      <c r="B3689" s="2"/>
      <c r="C3689" s="26"/>
      <c r="D3689" s="26"/>
      <c r="F3689" s="85" t="str">
        <f t="shared" si="0"/>
        <v/>
      </c>
      <c r="G3689" s="1" t="e">
        <f>IF(VALUE(F3689) = VALUE(RIGHT(Insights!$C$3, 4)), E3689, "")</f>
        <v>#VALUE!</v>
      </c>
      <c r="H3689" s="26" t="e">
        <f t="shared" si="1"/>
        <v>#VALUE!</v>
      </c>
      <c r="I3689" s="1" t="e">
        <f t="shared" si="2"/>
        <v>#VALUE!</v>
      </c>
    </row>
    <row r="3690" spans="1:9" ht="15.75" customHeight="1">
      <c r="A3690" s="26"/>
      <c r="B3690" s="2"/>
      <c r="C3690" s="26"/>
      <c r="D3690" s="26"/>
      <c r="F3690" s="85" t="str">
        <f t="shared" si="0"/>
        <v/>
      </c>
      <c r="G3690" s="1" t="e">
        <f>IF(VALUE(F3690) = VALUE(RIGHT(Insights!$C$3, 4)), E3690, "")</f>
        <v>#VALUE!</v>
      </c>
      <c r="H3690" s="26" t="e">
        <f t="shared" si="1"/>
        <v>#VALUE!</v>
      </c>
      <c r="I3690" s="1" t="e">
        <f t="shared" si="2"/>
        <v>#VALUE!</v>
      </c>
    </row>
    <row r="3691" spans="1:9" ht="15.75" customHeight="1">
      <c r="A3691" s="26"/>
      <c r="B3691" s="2"/>
      <c r="C3691" s="26"/>
      <c r="D3691" s="26"/>
      <c r="F3691" s="85" t="str">
        <f t="shared" si="0"/>
        <v/>
      </c>
      <c r="G3691" s="1" t="e">
        <f>IF(VALUE(F3691) = VALUE(RIGHT(Insights!$C$3, 4)), E3691, "")</f>
        <v>#VALUE!</v>
      </c>
      <c r="H3691" s="26" t="e">
        <f t="shared" si="1"/>
        <v>#VALUE!</v>
      </c>
      <c r="I3691" s="1" t="e">
        <f t="shared" si="2"/>
        <v>#VALUE!</v>
      </c>
    </row>
    <row r="3692" spans="1:9" ht="15.75" customHeight="1">
      <c r="A3692" s="26"/>
      <c r="B3692" s="2"/>
      <c r="C3692" s="26"/>
      <c r="D3692" s="26"/>
      <c r="F3692" s="85" t="str">
        <f t="shared" si="0"/>
        <v/>
      </c>
      <c r="G3692" s="1" t="e">
        <f>IF(VALUE(F3692) = VALUE(RIGHT(Insights!$C$3, 4)), E3692, "")</f>
        <v>#VALUE!</v>
      </c>
      <c r="H3692" s="26" t="e">
        <f t="shared" si="1"/>
        <v>#VALUE!</v>
      </c>
      <c r="I3692" s="1" t="e">
        <f t="shared" si="2"/>
        <v>#VALUE!</v>
      </c>
    </row>
    <row r="3693" spans="1:9" ht="15.75" customHeight="1">
      <c r="A3693" s="26"/>
      <c r="B3693" s="2"/>
      <c r="C3693" s="26"/>
      <c r="D3693" s="26"/>
      <c r="F3693" s="85" t="str">
        <f t="shared" si="0"/>
        <v/>
      </c>
      <c r="G3693" s="1" t="e">
        <f>IF(VALUE(F3693) = VALUE(RIGHT(Insights!$C$3, 4)), E3693, "")</f>
        <v>#VALUE!</v>
      </c>
      <c r="H3693" s="26" t="e">
        <f t="shared" si="1"/>
        <v>#VALUE!</v>
      </c>
      <c r="I3693" s="1" t="e">
        <f t="shared" si="2"/>
        <v>#VALUE!</v>
      </c>
    </row>
    <row r="3694" spans="1:9" ht="15.75" customHeight="1">
      <c r="A3694" s="26"/>
      <c r="B3694" s="2"/>
      <c r="C3694" s="26"/>
      <c r="D3694" s="26"/>
      <c r="F3694" s="85" t="str">
        <f t="shared" si="0"/>
        <v/>
      </c>
      <c r="G3694" s="1" t="e">
        <f>IF(VALUE(F3694) = VALUE(RIGHT(Insights!$C$3, 4)), E3694, "")</f>
        <v>#VALUE!</v>
      </c>
      <c r="H3694" s="26" t="e">
        <f t="shared" si="1"/>
        <v>#VALUE!</v>
      </c>
      <c r="I3694" s="1" t="e">
        <f t="shared" si="2"/>
        <v>#VALUE!</v>
      </c>
    </row>
    <row r="3695" spans="1:9" ht="15.75" customHeight="1">
      <c r="A3695" s="26"/>
      <c r="B3695" s="2"/>
      <c r="C3695" s="26"/>
      <c r="D3695" s="26"/>
      <c r="F3695" s="85" t="str">
        <f t="shared" si="0"/>
        <v/>
      </c>
      <c r="G3695" s="1" t="e">
        <f>IF(VALUE(F3695) = VALUE(RIGHT(Insights!$C$3, 4)), E3695, "")</f>
        <v>#VALUE!</v>
      </c>
      <c r="H3695" s="26" t="e">
        <f t="shared" si="1"/>
        <v>#VALUE!</v>
      </c>
      <c r="I3695" s="1" t="e">
        <f t="shared" si="2"/>
        <v>#VALUE!</v>
      </c>
    </row>
    <row r="3696" spans="1:9" ht="15.75" customHeight="1">
      <c r="A3696" s="26"/>
      <c r="B3696" s="2"/>
      <c r="C3696" s="26"/>
      <c r="D3696" s="26"/>
      <c r="F3696" s="85" t="str">
        <f t="shared" si="0"/>
        <v/>
      </c>
      <c r="G3696" s="1" t="e">
        <f>IF(VALUE(F3696) = VALUE(RIGHT(Insights!$C$3, 4)), E3696, "")</f>
        <v>#VALUE!</v>
      </c>
      <c r="H3696" s="26" t="e">
        <f t="shared" si="1"/>
        <v>#VALUE!</v>
      </c>
      <c r="I3696" s="1" t="e">
        <f t="shared" si="2"/>
        <v>#VALUE!</v>
      </c>
    </row>
    <row r="3697" spans="1:9" ht="15.75" customHeight="1">
      <c r="A3697" s="26"/>
      <c r="B3697" s="2"/>
      <c r="C3697" s="26"/>
      <c r="D3697" s="26"/>
      <c r="F3697" s="85" t="str">
        <f t="shared" si="0"/>
        <v/>
      </c>
      <c r="G3697" s="1" t="e">
        <f>IF(VALUE(F3697) = VALUE(RIGHT(Insights!$C$3, 4)), E3697, "")</f>
        <v>#VALUE!</v>
      </c>
      <c r="H3697" s="26" t="e">
        <f t="shared" si="1"/>
        <v>#VALUE!</v>
      </c>
      <c r="I3697" s="1" t="e">
        <f t="shared" si="2"/>
        <v>#VALUE!</v>
      </c>
    </row>
    <row r="3698" spans="1:9" ht="15.75" customHeight="1">
      <c r="A3698" s="26"/>
      <c r="B3698" s="2"/>
      <c r="C3698" s="26"/>
      <c r="D3698" s="26"/>
      <c r="F3698" s="85" t="str">
        <f t="shared" si="0"/>
        <v/>
      </c>
      <c r="G3698" s="1" t="e">
        <f>IF(VALUE(F3698) = VALUE(RIGHT(Insights!$C$3, 4)), E3698, "")</f>
        <v>#VALUE!</v>
      </c>
      <c r="H3698" s="26" t="e">
        <f t="shared" si="1"/>
        <v>#VALUE!</v>
      </c>
      <c r="I3698" s="1" t="e">
        <f t="shared" si="2"/>
        <v>#VALUE!</v>
      </c>
    </row>
    <row r="3699" spans="1:9" ht="15.75" customHeight="1">
      <c r="A3699" s="26"/>
      <c r="B3699" s="2"/>
      <c r="C3699" s="26"/>
      <c r="D3699" s="26"/>
      <c r="F3699" s="85" t="str">
        <f t="shared" si="0"/>
        <v/>
      </c>
      <c r="G3699" s="1" t="e">
        <f>IF(VALUE(F3699) = VALUE(RIGHT(Insights!$C$3, 4)), E3699, "")</f>
        <v>#VALUE!</v>
      </c>
      <c r="H3699" s="26" t="e">
        <f t="shared" si="1"/>
        <v>#VALUE!</v>
      </c>
      <c r="I3699" s="1" t="e">
        <f t="shared" si="2"/>
        <v>#VALUE!</v>
      </c>
    </row>
    <row r="3700" spans="1:9" ht="15.75" customHeight="1">
      <c r="A3700" s="26"/>
      <c r="B3700" s="2"/>
      <c r="C3700" s="26"/>
      <c r="D3700" s="26"/>
      <c r="F3700" s="85" t="str">
        <f t="shared" si="0"/>
        <v/>
      </c>
      <c r="G3700" s="1" t="e">
        <f>IF(VALUE(F3700) = VALUE(RIGHT(Insights!$C$3, 4)), E3700, "")</f>
        <v>#VALUE!</v>
      </c>
      <c r="H3700" s="26" t="e">
        <f t="shared" si="1"/>
        <v>#VALUE!</v>
      </c>
      <c r="I3700" s="1" t="e">
        <f t="shared" si="2"/>
        <v>#VALUE!</v>
      </c>
    </row>
    <row r="3701" spans="1:9" ht="15.75" customHeight="1">
      <c r="A3701" s="26"/>
      <c r="B3701" s="2"/>
      <c r="C3701" s="26"/>
      <c r="D3701" s="26"/>
      <c r="F3701" s="85" t="str">
        <f t="shared" si="0"/>
        <v/>
      </c>
      <c r="G3701" s="1" t="e">
        <f>IF(VALUE(F3701) = VALUE(RIGHT(Insights!$C$3, 4)), E3701, "")</f>
        <v>#VALUE!</v>
      </c>
      <c r="H3701" s="26" t="e">
        <f t="shared" si="1"/>
        <v>#VALUE!</v>
      </c>
      <c r="I3701" s="1" t="e">
        <f t="shared" si="2"/>
        <v>#VALUE!</v>
      </c>
    </row>
    <row r="3702" spans="1:9" ht="15.75" customHeight="1">
      <c r="A3702" s="26"/>
      <c r="B3702" s="2"/>
      <c r="C3702" s="26"/>
      <c r="D3702" s="26"/>
      <c r="F3702" s="85" t="str">
        <f t="shared" si="0"/>
        <v/>
      </c>
      <c r="G3702" s="1" t="e">
        <f>IF(VALUE(F3702) = VALUE(RIGHT(Insights!$C$3, 4)), E3702, "")</f>
        <v>#VALUE!</v>
      </c>
      <c r="H3702" s="26" t="e">
        <f t="shared" si="1"/>
        <v>#VALUE!</v>
      </c>
      <c r="I3702" s="1" t="e">
        <f t="shared" si="2"/>
        <v>#VALUE!</v>
      </c>
    </row>
    <row r="3703" spans="1:9" ht="15.75" customHeight="1">
      <c r="A3703" s="26"/>
      <c r="B3703" s="2"/>
      <c r="C3703" s="26"/>
      <c r="D3703" s="26"/>
      <c r="F3703" s="85" t="str">
        <f t="shared" si="0"/>
        <v/>
      </c>
      <c r="G3703" s="1" t="e">
        <f>IF(VALUE(F3703) = VALUE(RIGHT(Insights!$C$3, 4)), E3703, "")</f>
        <v>#VALUE!</v>
      </c>
      <c r="H3703" s="26" t="e">
        <f t="shared" si="1"/>
        <v>#VALUE!</v>
      </c>
      <c r="I3703" s="1" t="e">
        <f t="shared" si="2"/>
        <v>#VALUE!</v>
      </c>
    </row>
    <row r="3704" spans="1:9" ht="15.75" customHeight="1">
      <c r="A3704" s="26"/>
      <c r="B3704" s="2"/>
      <c r="C3704" s="26"/>
      <c r="D3704" s="26"/>
      <c r="F3704" s="85" t="str">
        <f t="shared" si="0"/>
        <v/>
      </c>
      <c r="G3704" s="1" t="e">
        <f>IF(VALUE(F3704) = VALUE(RIGHT(Insights!$C$3, 4)), E3704, "")</f>
        <v>#VALUE!</v>
      </c>
      <c r="H3704" s="26" t="e">
        <f t="shared" si="1"/>
        <v>#VALUE!</v>
      </c>
      <c r="I3704" s="1" t="e">
        <f t="shared" si="2"/>
        <v>#VALUE!</v>
      </c>
    </row>
    <row r="3705" spans="1:9" ht="15.75" customHeight="1">
      <c r="A3705" s="26"/>
      <c r="B3705" s="2"/>
      <c r="C3705" s="26"/>
      <c r="D3705" s="26"/>
      <c r="F3705" s="85" t="str">
        <f t="shared" si="0"/>
        <v/>
      </c>
      <c r="G3705" s="1" t="e">
        <f>IF(VALUE(F3705) = VALUE(RIGHT(Insights!$C$3, 4)), E3705, "")</f>
        <v>#VALUE!</v>
      </c>
      <c r="H3705" s="26" t="e">
        <f t="shared" si="1"/>
        <v>#VALUE!</v>
      </c>
      <c r="I3705" s="1" t="e">
        <f t="shared" si="2"/>
        <v>#VALUE!</v>
      </c>
    </row>
    <row r="3706" spans="1:9" ht="15.75" customHeight="1">
      <c r="A3706" s="26"/>
      <c r="B3706" s="2"/>
      <c r="C3706" s="26"/>
      <c r="D3706" s="26"/>
      <c r="F3706" s="85" t="str">
        <f t="shared" si="0"/>
        <v/>
      </c>
      <c r="G3706" s="1" t="e">
        <f>IF(VALUE(F3706) = VALUE(RIGHT(Insights!$C$3, 4)), E3706, "")</f>
        <v>#VALUE!</v>
      </c>
      <c r="H3706" s="26" t="e">
        <f t="shared" si="1"/>
        <v>#VALUE!</v>
      </c>
      <c r="I3706" s="1" t="e">
        <f t="shared" si="2"/>
        <v>#VALUE!</v>
      </c>
    </row>
    <row r="3707" spans="1:9" ht="15.75" customHeight="1">
      <c r="A3707" s="26"/>
      <c r="B3707" s="2"/>
      <c r="C3707" s="26"/>
      <c r="D3707" s="26"/>
      <c r="F3707" s="85" t="str">
        <f t="shared" si="0"/>
        <v/>
      </c>
      <c r="G3707" s="1" t="e">
        <f>IF(VALUE(F3707) = VALUE(RIGHT(Insights!$C$3, 4)), E3707, "")</f>
        <v>#VALUE!</v>
      </c>
      <c r="H3707" s="26" t="e">
        <f t="shared" si="1"/>
        <v>#VALUE!</v>
      </c>
      <c r="I3707" s="1" t="e">
        <f t="shared" si="2"/>
        <v>#VALUE!</v>
      </c>
    </row>
    <row r="3708" spans="1:9" ht="15.75" customHeight="1">
      <c r="A3708" s="26"/>
      <c r="B3708" s="2"/>
      <c r="C3708" s="26"/>
      <c r="D3708" s="26"/>
      <c r="F3708" s="85" t="str">
        <f t="shared" si="0"/>
        <v/>
      </c>
      <c r="G3708" s="1" t="e">
        <f>IF(VALUE(F3708) = VALUE(RIGHT(Insights!$C$3, 4)), E3708, "")</f>
        <v>#VALUE!</v>
      </c>
      <c r="H3708" s="26" t="e">
        <f t="shared" si="1"/>
        <v>#VALUE!</v>
      </c>
      <c r="I3708" s="1" t="e">
        <f t="shared" si="2"/>
        <v>#VALUE!</v>
      </c>
    </row>
    <row r="3709" spans="1:9" ht="15.75" customHeight="1">
      <c r="A3709" s="26"/>
      <c r="B3709" s="2"/>
      <c r="C3709" s="26"/>
      <c r="D3709" s="26"/>
      <c r="F3709" s="85" t="str">
        <f t="shared" si="0"/>
        <v/>
      </c>
      <c r="G3709" s="1" t="e">
        <f>IF(VALUE(F3709) = VALUE(RIGHT(Insights!$C$3, 4)), E3709, "")</f>
        <v>#VALUE!</v>
      </c>
      <c r="H3709" s="26" t="e">
        <f t="shared" si="1"/>
        <v>#VALUE!</v>
      </c>
      <c r="I3709" s="1" t="e">
        <f t="shared" si="2"/>
        <v>#VALUE!</v>
      </c>
    </row>
    <row r="3710" spans="1:9" ht="15.75" customHeight="1">
      <c r="A3710" s="26"/>
      <c r="B3710" s="2"/>
      <c r="C3710" s="26"/>
      <c r="D3710" s="26"/>
      <c r="F3710" s="85" t="str">
        <f t="shared" si="0"/>
        <v/>
      </c>
      <c r="G3710" s="1" t="e">
        <f>IF(VALUE(F3710) = VALUE(RIGHT(Insights!$C$3, 4)), E3710, "")</f>
        <v>#VALUE!</v>
      </c>
      <c r="H3710" s="26" t="e">
        <f t="shared" si="1"/>
        <v>#VALUE!</v>
      </c>
      <c r="I3710" s="1" t="e">
        <f t="shared" si="2"/>
        <v>#VALUE!</v>
      </c>
    </row>
    <row r="3711" spans="1:9" ht="15.75" customHeight="1">
      <c r="A3711" s="26"/>
      <c r="B3711" s="2"/>
      <c r="C3711" s="26"/>
      <c r="D3711" s="26"/>
      <c r="F3711" s="85" t="str">
        <f t="shared" si="0"/>
        <v/>
      </c>
      <c r="G3711" s="1" t="e">
        <f>IF(VALUE(F3711) = VALUE(RIGHT(Insights!$C$3, 4)), E3711, "")</f>
        <v>#VALUE!</v>
      </c>
      <c r="H3711" s="26" t="e">
        <f t="shared" si="1"/>
        <v>#VALUE!</v>
      </c>
      <c r="I3711" s="1" t="e">
        <f t="shared" si="2"/>
        <v>#VALUE!</v>
      </c>
    </row>
    <row r="3712" spans="1:9" ht="15.75" customHeight="1">
      <c r="A3712" s="26"/>
      <c r="B3712" s="2"/>
      <c r="C3712" s="26"/>
      <c r="D3712" s="26"/>
      <c r="F3712" s="85" t="str">
        <f t="shared" si="0"/>
        <v/>
      </c>
      <c r="G3712" s="1" t="e">
        <f>IF(VALUE(F3712) = VALUE(RIGHT(Insights!$C$3, 4)), E3712, "")</f>
        <v>#VALUE!</v>
      </c>
      <c r="H3712" s="26" t="e">
        <f t="shared" si="1"/>
        <v>#VALUE!</v>
      </c>
      <c r="I3712" s="1" t="e">
        <f t="shared" si="2"/>
        <v>#VALUE!</v>
      </c>
    </row>
    <row r="3713" spans="1:9" ht="15.75" customHeight="1">
      <c r="A3713" s="26"/>
      <c r="B3713" s="2"/>
      <c r="C3713" s="26"/>
      <c r="D3713" s="26"/>
      <c r="F3713" s="85" t="str">
        <f t="shared" si="0"/>
        <v/>
      </c>
      <c r="G3713" s="1" t="e">
        <f>IF(VALUE(F3713) = VALUE(RIGHT(Insights!$C$3, 4)), E3713, "")</f>
        <v>#VALUE!</v>
      </c>
      <c r="H3713" s="26" t="e">
        <f t="shared" si="1"/>
        <v>#VALUE!</v>
      </c>
      <c r="I3713" s="1" t="e">
        <f t="shared" si="2"/>
        <v>#VALUE!</v>
      </c>
    </row>
    <row r="3714" spans="1:9" ht="15.75" customHeight="1">
      <c r="A3714" s="26"/>
      <c r="B3714" s="2"/>
      <c r="C3714" s="26"/>
      <c r="D3714" s="26"/>
      <c r="F3714" s="85" t="str">
        <f t="shared" si="0"/>
        <v/>
      </c>
      <c r="G3714" s="1" t="e">
        <f>IF(VALUE(F3714) = VALUE(RIGHT(Insights!$C$3, 4)), E3714, "")</f>
        <v>#VALUE!</v>
      </c>
      <c r="H3714" s="26" t="e">
        <f t="shared" si="1"/>
        <v>#VALUE!</v>
      </c>
      <c r="I3714" s="1" t="e">
        <f t="shared" si="2"/>
        <v>#VALUE!</v>
      </c>
    </row>
    <row r="3715" spans="1:9" ht="15.75" customHeight="1">
      <c r="A3715" s="26"/>
      <c r="B3715" s="2"/>
      <c r="C3715" s="26"/>
      <c r="D3715" s="26"/>
      <c r="F3715" s="85" t="str">
        <f t="shared" si="0"/>
        <v/>
      </c>
      <c r="G3715" s="1" t="e">
        <f>IF(VALUE(F3715) = VALUE(RIGHT(Insights!$C$3, 4)), E3715, "")</f>
        <v>#VALUE!</v>
      </c>
      <c r="H3715" s="26" t="e">
        <f t="shared" si="1"/>
        <v>#VALUE!</v>
      </c>
      <c r="I3715" s="1" t="e">
        <f t="shared" si="2"/>
        <v>#VALUE!</v>
      </c>
    </row>
    <row r="3716" spans="1:9" ht="15.75" customHeight="1">
      <c r="A3716" s="26"/>
      <c r="B3716" s="2"/>
      <c r="C3716" s="26"/>
      <c r="D3716" s="26"/>
      <c r="F3716" s="85" t="str">
        <f t="shared" si="0"/>
        <v/>
      </c>
      <c r="G3716" s="1" t="e">
        <f>IF(VALUE(F3716) = VALUE(RIGHT(Insights!$C$3, 4)), E3716, "")</f>
        <v>#VALUE!</v>
      </c>
      <c r="H3716" s="26" t="e">
        <f t="shared" si="1"/>
        <v>#VALUE!</v>
      </c>
      <c r="I3716" s="1" t="e">
        <f t="shared" si="2"/>
        <v>#VALUE!</v>
      </c>
    </row>
    <row r="3717" spans="1:9" ht="15.75" customHeight="1">
      <c r="A3717" s="26"/>
      <c r="B3717" s="2"/>
      <c r="C3717" s="26"/>
      <c r="D3717" s="26"/>
      <c r="F3717" s="85" t="str">
        <f t="shared" si="0"/>
        <v/>
      </c>
      <c r="G3717" s="1" t="e">
        <f>IF(VALUE(F3717) = VALUE(RIGHT(Insights!$C$3, 4)), E3717, "")</f>
        <v>#VALUE!</v>
      </c>
      <c r="H3717" s="26" t="e">
        <f t="shared" si="1"/>
        <v>#VALUE!</v>
      </c>
      <c r="I3717" s="1" t="e">
        <f t="shared" si="2"/>
        <v>#VALUE!</v>
      </c>
    </row>
    <row r="3718" spans="1:9" ht="15.75" customHeight="1">
      <c r="A3718" s="26"/>
      <c r="B3718" s="2"/>
      <c r="C3718" s="26"/>
      <c r="D3718" s="26"/>
      <c r="F3718" s="85" t="str">
        <f t="shared" si="0"/>
        <v/>
      </c>
      <c r="G3718" s="1" t="e">
        <f>IF(VALUE(F3718) = VALUE(RIGHT(Insights!$C$3, 4)), E3718, "")</f>
        <v>#VALUE!</v>
      </c>
      <c r="H3718" s="26" t="e">
        <f t="shared" si="1"/>
        <v>#VALUE!</v>
      </c>
      <c r="I3718" s="1" t="e">
        <f t="shared" si="2"/>
        <v>#VALUE!</v>
      </c>
    </row>
    <row r="3719" spans="1:9" ht="15.75" customHeight="1">
      <c r="A3719" s="26"/>
      <c r="B3719" s="2"/>
      <c r="C3719" s="26"/>
      <c r="D3719" s="26"/>
      <c r="F3719" s="85" t="str">
        <f t="shared" si="0"/>
        <v/>
      </c>
      <c r="G3719" s="1" t="e">
        <f>IF(VALUE(F3719) = VALUE(RIGHT(Insights!$C$3, 4)), E3719, "")</f>
        <v>#VALUE!</v>
      </c>
      <c r="H3719" s="26" t="e">
        <f t="shared" si="1"/>
        <v>#VALUE!</v>
      </c>
      <c r="I3719" s="1" t="e">
        <f t="shared" si="2"/>
        <v>#VALUE!</v>
      </c>
    </row>
    <row r="3720" spans="1:9" ht="15.75" customHeight="1">
      <c r="A3720" s="26"/>
      <c r="B3720" s="2"/>
      <c r="C3720" s="26"/>
      <c r="D3720" s="26"/>
      <c r="F3720" s="85" t="str">
        <f t="shared" si="0"/>
        <v/>
      </c>
      <c r="G3720" s="1" t="e">
        <f>IF(VALUE(F3720) = VALUE(RIGHT(Insights!$C$3, 4)), E3720, "")</f>
        <v>#VALUE!</v>
      </c>
      <c r="H3720" s="26" t="e">
        <f t="shared" si="1"/>
        <v>#VALUE!</v>
      </c>
      <c r="I3720" s="1" t="e">
        <f t="shared" si="2"/>
        <v>#VALUE!</v>
      </c>
    </row>
    <row r="3721" spans="1:9" ht="15.75" customHeight="1">
      <c r="A3721" s="26"/>
      <c r="B3721" s="2"/>
      <c r="C3721" s="26"/>
      <c r="D3721" s="26"/>
      <c r="F3721" s="85" t="str">
        <f t="shared" si="0"/>
        <v/>
      </c>
      <c r="G3721" s="1" t="e">
        <f>IF(VALUE(F3721) = VALUE(RIGHT(Insights!$C$3, 4)), E3721, "")</f>
        <v>#VALUE!</v>
      </c>
      <c r="H3721" s="26" t="e">
        <f t="shared" si="1"/>
        <v>#VALUE!</v>
      </c>
      <c r="I3721" s="1" t="e">
        <f t="shared" si="2"/>
        <v>#VALUE!</v>
      </c>
    </row>
    <row r="3722" spans="1:9" ht="15.75" customHeight="1">
      <c r="A3722" s="26"/>
      <c r="B3722" s="2"/>
      <c r="C3722" s="26"/>
      <c r="D3722" s="26"/>
      <c r="F3722" s="85" t="str">
        <f t="shared" si="0"/>
        <v/>
      </c>
      <c r="G3722" s="1" t="e">
        <f>IF(VALUE(F3722) = VALUE(RIGHT(Insights!$C$3, 4)), E3722, "")</f>
        <v>#VALUE!</v>
      </c>
      <c r="H3722" s="26" t="e">
        <f t="shared" si="1"/>
        <v>#VALUE!</v>
      </c>
      <c r="I3722" s="1" t="e">
        <f t="shared" si="2"/>
        <v>#VALUE!</v>
      </c>
    </row>
    <row r="3723" spans="1:9" ht="15.75" customHeight="1">
      <c r="A3723" s="26"/>
      <c r="B3723" s="2"/>
      <c r="C3723" s="26"/>
      <c r="D3723" s="26"/>
      <c r="F3723" s="85" t="str">
        <f t="shared" si="0"/>
        <v/>
      </c>
      <c r="G3723" s="1" t="e">
        <f>IF(VALUE(F3723) = VALUE(RIGHT(Insights!$C$3, 4)), E3723, "")</f>
        <v>#VALUE!</v>
      </c>
      <c r="H3723" s="26" t="e">
        <f t="shared" si="1"/>
        <v>#VALUE!</v>
      </c>
      <c r="I3723" s="1" t="e">
        <f t="shared" si="2"/>
        <v>#VALUE!</v>
      </c>
    </row>
    <row r="3724" spans="1:9" ht="15.75" customHeight="1">
      <c r="A3724" s="26"/>
      <c r="B3724" s="2"/>
      <c r="C3724" s="26"/>
      <c r="D3724" s="26"/>
      <c r="F3724" s="85" t="str">
        <f t="shared" si="0"/>
        <v/>
      </c>
      <c r="G3724" s="1" t="e">
        <f>IF(VALUE(F3724) = VALUE(RIGHT(Insights!$C$3, 4)), E3724, "")</f>
        <v>#VALUE!</v>
      </c>
      <c r="H3724" s="26" t="e">
        <f t="shared" si="1"/>
        <v>#VALUE!</v>
      </c>
      <c r="I3724" s="1" t="e">
        <f t="shared" si="2"/>
        <v>#VALUE!</v>
      </c>
    </row>
    <row r="3725" spans="1:9" ht="15.75" customHeight="1">
      <c r="A3725" s="26"/>
      <c r="B3725" s="2"/>
      <c r="C3725" s="26"/>
      <c r="D3725" s="26"/>
      <c r="F3725" s="85" t="str">
        <f t="shared" si="0"/>
        <v/>
      </c>
      <c r="G3725" s="1" t="e">
        <f>IF(VALUE(F3725) = VALUE(RIGHT(Insights!$C$3, 4)), E3725, "")</f>
        <v>#VALUE!</v>
      </c>
      <c r="H3725" s="26" t="e">
        <f t="shared" si="1"/>
        <v>#VALUE!</v>
      </c>
      <c r="I3725" s="1" t="e">
        <f t="shared" si="2"/>
        <v>#VALUE!</v>
      </c>
    </row>
    <row r="3726" spans="1:9" ht="15.75" customHeight="1">
      <c r="A3726" s="26"/>
      <c r="B3726" s="2"/>
      <c r="C3726" s="26"/>
      <c r="D3726" s="26"/>
      <c r="F3726" s="85" t="str">
        <f t="shared" si="0"/>
        <v/>
      </c>
      <c r="G3726" s="1" t="e">
        <f>IF(VALUE(F3726) = VALUE(RIGHT(Insights!$C$3, 4)), E3726, "")</f>
        <v>#VALUE!</v>
      </c>
      <c r="H3726" s="26" t="e">
        <f t="shared" si="1"/>
        <v>#VALUE!</v>
      </c>
      <c r="I3726" s="1" t="e">
        <f t="shared" si="2"/>
        <v>#VALUE!</v>
      </c>
    </row>
    <row r="3727" spans="1:9" ht="15.75" customHeight="1">
      <c r="A3727" s="26"/>
      <c r="B3727" s="2"/>
      <c r="C3727" s="26"/>
      <c r="D3727" s="26"/>
      <c r="F3727" s="85" t="str">
        <f t="shared" si="0"/>
        <v/>
      </c>
      <c r="G3727" s="1" t="e">
        <f>IF(VALUE(F3727) = VALUE(RIGHT(Insights!$C$3, 4)), E3727, "")</f>
        <v>#VALUE!</v>
      </c>
      <c r="H3727" s="26" t="e">
        <f t="shared" si="1"/>
        <v>#VALUE!</v>
      </c>
      <c r="I3727" s="1" t="e">
        <f t="shared" si="2"/>
        <v>#VALUE!</v>
      </c>
    </row>
    <row r="3728" spans="1:9" ht="15.75" customHeight="1">
      <c r="A3728" s="26"/>
      <c r="B3728" s="2"/>
      <c r="C3728" s="26"/>
      <c r="D3728" s="26"/>
      <c r="F3728" s="85" t="str">
        <f t="shared" si="0"/>
        <v/>
      </c>
      <c r="G3728" s="1" t="e">
        <f>IF(VALUE(F3728) = VALUE(RIGHT(Insights!$C$3, 4)), E3728, "")</f>
        <v>#VALUE!</v>
      </c>
      <c r="H3728" s="26" t="e">
        <f t="shared" si="1"/>
        <v>#VALUE!</v>
      </c>
      <c r="I3728" s="1" t="e">
        <f t="shared" si="2"/>
        <v>#VALUE!</v>
      </c>
    </row>
    <row r="3729" spans="1:9" ht="15.75" customHeight="1">
      <c r="A3729" s="26"/>
      <c r="B3729" s="2"/>
      <c r="C3729" s="26"/>
      <c r="D3729" s="26"/>
      <c r="F3729" s="85" t="str">
        <f t="shared" si="0"/>
        <v/>
      </c>
      <c r="G3729" s="1" t="e">
        <f>IF(VALUE(F3729) = VALUE(RIGHT(Insights!$C$3, 4)), E3729, "")</f>
        <v>#VALUE!</v>
      </c>
      <c r="H3729" s="26" t="e">
        <f t="shared" si="1"/>
        <v>#VALUE!</v>
      </c>
      <c r="I3729" s="1" t="e">
        <f t="shared" si="2"/>
        <v>#VALUE!</v>
      </c>
    </row>
    <row r="3730" spans="1:9" ht="15.75" customHeight="1">
      <c r="A3730" s="26"/>
      <c r="B3730" s="2"/>
      <c r="C3730" s="26"/>
      <c r="D3730" s="26"/>
      <c r="F3730" s="85" t="str">
        <f t="shared" si="0"/>
        <v/>
      </c>
      <c r="G3730" s="1" t="e">
        <f>IF(VALUE(F3730) = VALUE(RIGHT(Insights!$C$3, 4)), E3730, "")</f>
        <v>#VALUE!</v>
      </c>
      <c r="H3730" s="26" t="e">
        <f t="shared" si="1"/>
        <v>#VALUE!</v>
      </c>
      <c r="I3730" s="1" t="e">
        <f t="shared" si="2"/>
        <v>#VALUE!</v>
      </c>
    </row>
    <row r="3731" spans="1:9" ht="15.75" customHeight="1">
      <c r="A3731" s="26"/>
      <c r="B3731" s="2"/>
      <c r="C3731" s="26"/>
      <c r="D3731" s="26"/>
      <c r="F3731" s="85" t="str">
        <f t="shared" si="0"/>
        <v/>
      </c>
      <c r="G3731" s="1" t="e">
        <f>IF(VALUE(F3731) = VALUE(RIGHT(Insights!$C$3, 4)), E3731, "")</f>
        <v>#VALUE!</v>
      </c>
      <c r="H3731" s="26" t="e">
        <f t="shared" si="1"/>
        <v>#VALUE!</v>
      </c>
      <c r="I3731" s="1" t="e">
        <f t="shared" si="2"/>
        <v>#VALUE!</v>
      </c>
    </row>
    <row r="3732" spans="1:9" ht="15.75" customHeight="1">
      <c r="A3732" s="26"/>
      <c r="B3732" s="2"/>
      <c r="C3732" s="26"/>
      <c r="D3732" s="26"/>
      <c r="F3732" s="85" t="str">
        <f t="shared" si="0"/>
        <v/>
      </c>
      <c r="G3732" s="1" t="e">
        <f>IF(VALUE(F3732) = VALUE(RIGHT(Insights!$C$3, 4)), E3732, "")</f>
        <v>#VALUE!</v>
      </c>
      <c r="H3732" s="26" t="e">
        <f t="shared" si="1"/>
        <v>#VALUE!</v>
      </c>
      <c r="I3732" s="1" t="e">
        <f t="shared" si="2"/>
        <v>#VALUE!</v>
      </c>
    </row>
    <row r="3733" spans="1:9" ht="15.75" customHeight="1">
      <c r="A3733" s="26"/>
      <c r="B3733" s="2"/>
      <c r="C3733" s="26"/>
      <c r="D3733" s="26"/>
      <c r="F3733" s="85" t="str">
        <f t="shared" si="0"/>
        <v/>
      </c>
      <c r="G3733" s="1" t="e">
        <f>IF(VALUE(F3733) = VALUE(RIGHT(Insights!$C$3, 4)), E3733, "")</f>
        <v>#VALUE!</v>
      </c>
      <c r="H3733" s="26" t="e">
        <f t="shared" si="1"/>
        <v>#VALUE!</v>
      </c>
      <c r="I3733" s="1" t="e">
        <f t="shared" si="2"/>
        <v>#VALUE!</v>
      </c>
    </row>
    <row r="3734" spans="1:9" ht="15.75" customHeight="1">
      <c r="A3734" s="26"/>
      <c r="B3734" s="2"/>
      <c r="C3734" s="26"/>
      <c r="D3734" s="26"/>
      <c r="F3734" s="85" t="str">
        <f t="shared" si="0"/>
        <v/>
      </c>
      <c r="G3734" s="1" t="e">
        <f>IF(VALUE(F3734) = VALUE(RIGHT(Insights!$C$3, 4)), E3734, "")</f>
        <v>#VALUE!</v>
      </c>
      <c r="H3734" s="26" t="e">
        <f t="shared" si="1"/>
        <v>#VALUE!</v>
      </c>
      <c r="I3734" s="1" t="e">
        <f t="shared" si="2"/>
        <v>#VALUE!</v>
      </c>
    </row>
    <row r="3735" spans="1:9" ht="15.75" customHeight="1">
      <c r="A3735" s="26"/>
      <c r="B3735" s="2"/>
      <c r="C3735" s="26"/>
      <c r="D3735" s="26"/>
      <c r="F3735" s="85" t="str">
        <f t="shared" si="0"/>
        <v/>
      </c>
      <c r="G3735" s="1" t="e">
        <f>IF(VALUE(F3735) = VALUE(RIGHT(Insights!$C$3, 4)), E3735, "")</f>
        <v>#VALUE!</v>
      </c>
      <c r="H3735" s="26" t="e">
        <f t="shared" si="1"/>
        <v>#VALUE!</v>
      </c>
      <c r="I3735" s="1" t="e">
        <f t="shared" si="2"/>
        <v>#VALUE!</v>
      </c>
    </row>
    <row r="3736" spans="1:9" ht="15.75" customHeight="1">
      <c r="A3736" s="26"/>
      <c r="B3736" s="2"/>
      <c r="C3736" s="26"/>
      <c r="D3736" s="26"/>
      <c r="F3736" s="85" t="str">
        <f t="shared" si="0"/>
        <v/>
      </c>
      <c r="G3736" s="1" t="e">
        <f>IF(VALUE(F3736) = VALUE(RIGHT(Insights!$C$3, 4)), E3736, "")</f>
        <v>#VALUE!</v>
      </c>
      <c r="H3736" s="26" t="e">
        <f t="shared" si="1"/>
        <v>#VALUE!</v>
      </c>
      <c r="I3736" s="1" t="e">
        <f t="shared" si="2"/>
        <v>#VALUE!</v>
      </c>
    </row>
    <row r="3737" spans="1:9" ht="15.75" customHeight="1">
      <c r="A3737" s="26"/>
      <c r="B3737" s="2"/>
      <c r="C3737" s="26"/>
      <c r="D3737" s="26"/>
      <c r="F3737" s="85" t="str">
        <f t="shared" si="0"/>
        <v/>
      </c>
      <c r="G3737" s="1" t="e">
        <f>IF(VALUE(F3737) = VALUE(RIGHT(Insights!$C$3, 4)), E3737, "")</f>
        <v>#VALUE!</v>
      </c>
      <c r="H3737" s="26" t="e">
        <f t="shared" si="1"/>
        <v>#VALUE!</v>
      </c>
      <c r="I3737" s="1" t="e">
        <f t="shared" si="2"/>
        <v>#VALUE!</v>
      </c>
    </row>
    <row r="3738" spans="1:9" ht="15.75" customHeight="1">
      <c r="A3738" s="26"/>
      <c r="B3738" s="2"/>
      <c r="C3738" s="26"/>
      <c r="D3738" s="26"/>
      <c r="F3738" s="85" t="str">
        <f t="shared" si="0"/>
        <v/>
      </c>
      <c r="G3738" s="1" t="e">
        <f>IF(VALUE(F3738) = VALUE(RIGHT(Insights!$C$3, 4)), E3738, "")</f>
        <v>#VALUE!</v>
      </c>
      <c r="H3738" s="26" t="e">
        <f t="shared" si="1"/>
        <v>#VALUE!</v>
      </c>
      <c r="I3738" s="1" t="e">
        <f t="shared" si="2"/>
        <v>#VALUE!</v>
      </c>
    </row>
    <row r="3739" spans="1:9" ht="15.75" customHeight="1">
      <c r="A3739" s="26"/>
      <c r="B3739" s="2"/>
      <c r="C3739" s="26"/>
      <c r="D3739" s="26"/>
      <c r="F3739" s="85" t="str">
        <f t="shared" si="0"/>
        <v/>
      </c>
      <c r="G3739" s="1" t="e">
        <f>IF(VALUE(F3739) = VALUE(RIGHT(Insights!$C$3, 4)), E3739, "")</f>
        <v>#VALUE!</v>
      </c>
      <c r="H3739" s="26" t="e">
        <f t="shared" si="1"/>
        <v>#VALUE!</v>
      </c>
      <c r="I3739" s="1" t="e">
        <f t="shared" si="2"/>
        <v>#VALUE!</v>
      </c>
    </row>
    <row r="3740" spans="1:9" ht="15.75" customHeight="1">
      <c r="A3740" s="26"/>
      <c r="B3740" s="2"/>
      <c r="C3740" s="26"/>
      <c r="D3740" s="26"/>
      <c r="F3740" s="85" t="str">
        <f t="shared" si="0"/>
        <v/>
      </c>
      <c r="G3740" s="1" t="e">
        <f>IF(VALUE(F3740) = VALUE(RIGHT(Insights!$C$3, 4)), E3740, "")</f>
        <v>#VALUE!</v>
      </c>
      <c r="H3740" s="26" t="e">
        <f t="shared" si="1"/>
        <v>#VALUE!</v>
      </c>
      <c r="I3740" s="1" t="e">
        <f t="shared" si="2"/>
        <v>#VALUE!</v>
      </c>
    </row>
    <row r="3741" spans="1:9" ht="15.75" customHeight="1">
      <c r="A3741" s="26"/>
      <c r="B3741" s="2"/>
      <c r="C3741" s="26"/>
      <c r="D3741" s="26"/>
      <c r="F3741" s="85" t="str">
        <f t="shared" si="0"/>
        <v/>
      </c>
      <c r="G3741" s="1" t="e">
        <f>IF(VALUE(F3741) = VALUE(RIGHT(Insights!$C$3, 4)), E3741, "")</f>
        <v>#VALUE!</v>
      </c>
      <c r="H3741" s="26" t="e">
        <f t="shared" si="1"/>
        <v>#VALUE!</v>
      </c>
      <c r="I3741" s="1" t="e">
        <f t="shared" si="2"/>
        <v>#VALUE!</v>
      </c>
    </row>
    <row r="3742" spans="1:9" ht="15.75" customHeight="1">
      <c r="A3742" s="26"/>
      <c r="B3742" s="2"/>
      <c r="C3742" s="26"/>
      <c r="D3742" s="26"/>
      <c r="F3742" s="85" t="str">
        <f t="shared" si="0"/>
        <v/>
      </c>
      <c r="G3742" s="1" t="e">
        <f>IF(VALUE(F3742) = VALUE(RIGHT(Insights!$C$3, 4)), E3742, "")</f>
        <v>#VALUE!</v>
      </c>
      <c r="H3742" s="26" t="e">
        <f t="shared" si="1"/>
        <v>#VALUE!</v>
      </c>
      <c r="I3742" s="1" t="e">
        <f t="shared" si="2"/>
        <v>#VALUE!</v>
      </c>
    </row>
    <row r="3743" spans="1:9" ht="15.75" customHeight="1">
      <c r="A3743" s="26"/>
      <c r="B3743" s="2"/>
      <c r="C3743" s="26"/>
      <c r="D3743" s="26"/>
      <c r="F3743" s="85" t="str">
        <f t="shared" si="0"/>
        <v/>
      </c>
      <c r="G3743" s="1" t="e">
        <f>IF(VALUE(F3743) = VALUE(RIGHT(Insights!$C$3, 4)), E3743, "")</f>
        <v>#VALUE!</v>
      </c>
      <c r="H3743" s="26" t="e">
        <f t="shared" si="1"/>
        <v>#VALUE!</v>
      </c>
      <c r="I3743" s="1" t="e">
        <f t="shared" si="2"/>
        <v>#VALUE!</v>
      </c>
    </row>
    <row r="3744" spans="1:9" ht="15.75" customHeight="1">
      <c r="A3744" s="26"/>
      <c r="B3744" s="2"/>
      <c r="C3744" s="26"/>
      <c r="D3744" s="26"/>
      <c r="F3744" s="85" t="str">
        <f t="shared" si="0"/>
        <v/>
      </c>
      <c r="G3744" s="1" t="e">
        <f>IF(VALUE(F3744) = VALUE(RIGHT(Insights!$C$3, 4)), E3744, "")</f>
        <v>#VALUE!</v>
      </c>
      <c r="H3744" s="26" t="e">
        <f t="shared" si="1"/>
        <v>#VALUE!</v>
      </c>
      <c r="I3744" s="1" t="e">
        <f t="shared" si="2"/>
        <v>#VALUE!</v>
      </c>
    </row>
    <row r="3745" spans="1:9" ht="15.75" customHeight="1">
      <c r="A3745" s="26"/>
      <c r="B3745" s="2"/>
      <c r="C3745" s="26"/>
      <c r="D3745" s="26"/>
      <c r="F3745" s="85" t="str">
        <f t="shared" si="0"/>
        <v/>
      </c>
      <c r="G3745" s="1" t="e">
        <f>IF(VALUE(F3745) = VALUE(RIGHT(Insights!$C$3, 4)), E3745, "")</f>
        <v>#VALUE!</v>
      </c>
      <c r="H3745" s="26" t="e">
        <f t="shared" si="1"/>
        <v>#VALUE!</v>
      </c>
      <c r="I3745" s="1" t="e">
        <f t="shared" si="2"/>
        <v>#VALUE!</v>
      </c>
    </row>
    <row r="3746" spans="1:9" ht="15.75" customHeight="1">
      <c r="A3746" s="26"/>
      <c r="B3746" s="2"/>
      <c r="C3746" s="26"/>
      <c r="D3746" s="26"/>
      <c r="F3746" s="85" t="str">
        <f t="shared" si="0"/>
        <v/>
      </c>
      <c r="G3746" s="1" t="e">
        <f>IF(VALUE(F3746) = VALUE(RIGHT(Insights!$C$3, 4)), E3746, "")</f>
        <v>#VALUE!</v>
      </c>
      <c r="H3746" s="26" t="e">
        <f t="shared" si="1"/>
        <v>#VALUE!</v>
      </c>
      <c r="I3746" s="1" t="e">
        <f t="shared" si="2"/>
        <v>#VALUE!</v>
      </c>
    </row>
    <row r="3747" spans="1:9" ht="15.75" customHeight="1">
      <c r="A3747" s="26"/>
      <c r="B3747" s="2"/>
      <c r="C3747" s="26"/>
      <c r="D3747" s="26"/>
      <c r="F3747" s="85" t="str">
        <f t="shared" si="0"/>
        <v/>
      </c>
      <c r="G3747" s="1" t="e">
        <f>IF(VALUE(F3747) = VALUE(RIGHT(Insights!$C$3, 4)), E3747, "")</f>
        <v>#VALUE!</v>
      </c>
      <c r="H3747" s="26" t="e">
        <f t="shared" si="1"/>
        <v>#VALUE!</v>
      </c>
      <c r="I3747" s="1" t="e">
        <f t="shared" si="2"/>
        <v>#VALUE!</v>
      </c>
    </row>
    <row r="3748" spans="1:9" ht="15.75" customHeight="1">
      <c r="A3748" s="26"/>
      <c r="B3748" s="2"/>
      <c r="C3748" s="26"/>
      <c r="D3748" s="26"/>
      <c r="F3748" s="85" t="str">
        <f t="shared" si="0"/>
        <v/>
      </c>
      <c r="G3748" s="1" t="e">
        <f>IF(VALUE(F3748) = VALUE(RIGHT(Insights!$C$3, 4)), E3748, "")</f>
        <v>#VALUE!</v>
      </c>
      <c r="H3748" s="26" t="e">
        <f t="shared" si="1"/>
        <v>#VALUE!</v>
      </c>
      <c r="I3748" s="1" t="e">
        <f t="shared" si="2"/>
        <v>#VALUE!</v>
      </c>
    </row>
    <row r="3749" spans="1:9" ht="15.75" customHeight="1">
      <c r="A3749" s="26"/>
      <c r="B3749" s="2"/>
      <c r="C3749" s="26"/>
      <c r="D3749" s="26"/>
      <c r="F3749" s="85" t="str">
        <f t="shared" si="0"/>
        <v/>
      </c>
      <c r="G3749" s="1" t="e">
        <f>IF(VALUE(F3749) = VALUE(RIGHT(Insights!$C$3, 4)), E3749, "")</f>
        <v>#VALUE!</v>
      </c>
      <c r="H3749" s="26" t="e">
        <f t="shared" si="1"/>
        <v>#VALUE!</v>
      </c>
      <c r="I3749" s="1" t="e">
        <f t="shared" si="2"/>
        <v>#VALUE!</v>
      </c>
    </row>
    <row r="3750" spans="1:9" ht="15.75" customHeight="1">
      <c r="A3750" s="26"/>
      <c r="B3750" s="2"/>
      <c r="C3750" s="26"/>
      <c r="D3750" s="26"/>
      <c r="F3750" s="85" t="str">
        <f t="shared" si="0"/>
        <v/>
      </c>
      <c r="G3750" s="1" t="e">
        <f>IF(VALUE(F3750) = VALUE(RIGHT(Insights!$C$3, 4)), E3750, "")</f>
        <v>#VALUE!</v>
      </c>
      <c r="H3750" s="26" t="e">
        <f t="shared" si="1"/>
        <v>#VALUE!</v>
      </c>
      <c r="I3750" s="1" t="e">
        <f t="shared" si="2"/>
        <v>#VALUE!</v>
      </c>
    </row>
    <row r="3751" spans="1:9" ht="15.75" customHeight="1">
      <c r="A3751" s="26"/>
      <c r="B3751" s="2"/>
      <c r="C3751" s="26"/>
      <c r="D3751" s="26"/>
      <c r="F3751" s="85" t="str">
        <f t="shared" si="0"/>
        <v/>
      </c>
      <c r="G3751" s="1" t="e">
        <f>IF(VALUE(F3751) = VALUE(RIGHT(Insights!$C$3, 4)), E3751, "")</f>
        <v>#VALUE!</v>
      </c>
      <c r="H3751" s="26" t="e">
        <f t="shared" si="1"/>
        <v>#VALUE!</v>
      </c>
      <c r="I3751" s="1" t="e">
        <f t="shared" si="2"/>
        <v>#VALUE!</v>
      </c>
    </row>
    <row r="3752" spans="1:9" ht="15.75" customHeight="1">
      <c r="A3752" s="26"/>
      <c r="B3752" s="2"/>
      <c r="C3752" s="26"/>
      <c r="D3752" s="26"/>
      <c r="F3752" s="85" t="str">
        <f t="shared" si="0"/>
        <v/>
      </c>
      <c r="G3752" s="1" t="e">
        <f>IF(VALUE(F3752) = VALUE(RIGHT(Insights!$C$3, 4)), E3752, "")</f>
        <v>#VALUE!</v>
      </c>
      <c r="H3752" s="26" t="e">
        <f t="shared" si="1"/>
        <v>#VALUE!</v>
      </c>
      <c r="I3752" s="1" t="e">
        <f t="shared" si="2"/>
        <v>#VALUE!</v>
      </c>
    </row>
    <row r="3753" spans="1:9" ht="15.75" customHeight="1">
      <c r="A3753" s="26"/>
      <c r="B3753" s="2"/>
      <c r="C3753" s="26"/>
      <c r="D3753" s="26"/>
      <c r="F3753" s="85" t="str">
        <f t="shared" si="0"/>
        <v/>
      </c>
      <c r="G3753" s="1" t="e">
        <f>IF(VALUE(F3753) = VALUE(RIGHT(Insights!$C$3, 4)), E3753, "")</f>
        <v>#VALUE!</v>
      </c>
      <c r="H3753" s="26" t="e">
        <f t="shared" si="1"/>
        <v>#VALUE!</v>
      </c>
      <c r="I3753" s="1" t="e">
        <f t="shared" si="2"/>
        <v>#VALUE!</v>
      </c>
    </row>
    <row r="3754" spans="1:9" ht="15.75" customHeight="1">
      <c r="A3754" s="26"/>
      <c r="B3754" s="2"/>
      <c r="C3754" s="26"/>
      <c r="D3754" s="26"/>
      <c r="F3754" s="85" t="str">
        <f t="shared" si="0"/>
        <v/>
      </c>
      <c r="G3754" s="1" t="e">
        <f>IF(VALUE(F3754) = VALUE(RIGHT(Insights!$C$3, 4)), E3754, "")</f>
        <v>#VALUE!</v>
      </c>
      <c r="H3754" s="26" t="e">
        <f t="shared" si="1"/>
        <v>#VALUE!</v>
      </c>
      <c r="I3754" s="1" t="e">
        <f t="shared" si="2"/>
        <v>#VALUE!</v>
      </c>
    </row>
    <row r="3755" spans="1:9" ht="15.75" customHeight="1">
      <c r="A3755" s="26"/>
      <c r="B3755" s="2"/>
      <c r="C3755" s="26"/>
      <c r="D3755" s="26"/>
      <c r="F3755" s="85" t="str">
        <f t="shared" si="0"/>
        <v/>
      </c>
      <c r="G3755" s="1" t="e">
        <f>IF(VALUE(F3755) = VALUE(RIGHT(Insights!$C$3, 4)), E3755, "")</f>
        <v>#VALUE!</v>
      </c>
      <c r="H3755" s="26" t="e">
        <f t="shared" si="1"/>
        <v>#VALUE!</v>
      </c>
      <c r="I3755" s="1" t="e">
        <f t="shared" si="2"/>
        <v>#VALUE!</v>
      </c>
    </row>
    <row r="3756" spans="1:9" ht="15.75" customHeight="1">
      <c r="A3756" s="26"/>
      <c r="B3756" s="2"/>
      <c r="C3756" s="26"/>
      <c r="D3756" s="26"/>
      <c r="F3756" s="85" t="str">
        <f t="shared" si="0"/>
        <v/>
      </c>
      <c r="G3756" s="1" t="e">
        <f>IF(VALUE(F3756) = VALUE(RIGHT(Insights!$C$3, 4)), E3756, "")</f>
        <v>#VALUE!</v>
      </c>
      <c r="H3756" s="26" t="e">
        <f t="shared" si="1"/>
        <v>#VALUE!</v>
      </c>
      <c r="I3756" s="1" t="e">
        <f t="shared" si="2"/>
        <v>#VALUE!</v>
      </c>
    </row>
    <row r="3757" spans="1:9" ht="15.75" customHeight="1">
      <c r="A3757" s="26"/>
      <c r="B3757" s="2"/>
      <c r="C3757" s="26"/>
      <c r="D3757" s="26"/>
      <c r="F3757" s="85" t="str">
        <f t="shared" si="0"/>
        <v/>
      </c>
      <c r="G3757" s="1" t="e">
        <f>IF(VALUE(F3757) = VALUE(RIGHT(Insights!$C$3, 4)), E3757, "")</f>
        <v>#VALUE!</v>
      </c>
      <c r="H3757" s="26" t="e">
        <f t="shared" si="1"/>
        <v>#VALUE!</v>
      </c>
      <c r="I3757" s="1" t="e">
        <f t="shared" si="2"/>
        <v>#VALUE!</v>
      </c>
    </row>
    <row r="3758" spans="1:9" ht="15.75" customHeight="1">
      <c r="A3758" s="26"/>
      <c r="B3758" s="2"/>
      <c r="C3758" s="26"/>
      <c r="D3758" s="26"/>
      <c r="F3758" s="85" t="str">
        <f t="shared" si="0"/>
        <v/>
      </c>
      <c r="G3758" s="1" t="e">
        <f>IF(VALUE(F3758) = VALUE(RIGHT(Insights!$C$3, 4)), E3758, "")</f>
        <v>#VALUE!</v>
      </c>
      <c r="H3758" s="26" t="e">
        <f t="shared" si="1"/>
        <v>#VALUE!</v>
      </c>
      <c r="I3758" s="1" t="e">
        <f t="shared" si="2"/>
        <v>#VALUE!</v>
      </c>
    </row>
    <row r="3759" spans="1:9" ht="15.75" customHeight="1">
      <c r="A3759" s="26"/>
      <c r="B3759" s="2"/>
      <c r="C3759" s="26"/>
      <c r="D3759" s="26"/>
      <c r="F3759" s="85" t="str">
        <f t="shared" si="0"/>
        <v/>
      </c>
      <c r="G3759" s="1" t="e">
        <f>IF(VALUE(F3759) = VALUE(RIGHT(Insights!$C$3, 4)), E3759, "")</f>
        <v>#VALUE!</v>
      </c>
      <c r="H3759" s="26" t="e">
        <f t="shared" si="1"/>
        <v>#VALUE!</v>
      </c>
      <c r="I3759" s="1" t="e">
        <f t="shared" si="2"/>
        <v>#VALUE!</v>
      </c>
    </row>
    <row r="3760" spans="1:9" ht="15.75" customHeight="1">
      <c r="A3760" s="26"/>
      <c r="B3760" s="2"/>
      <c r="C3760" s="26"/>
      <c r="D3760" s="26"/>
      <c r="F3760" s="85" t="str">
        <f t="shared" si="0"/>
        <v/>
      </c>
      <c r="G3760" s="1" t="e">
        <f>IF(VALUE(F3760) = VALUE(RIGHT(Insights!$C$3, 4)), E3760, "")</f>
        <v>#VALUE!</v>
      </c>
      <c r="H3760" s="26" t="e">
        <f t="shared" si="1"/>
        <v>#VALUE!</v>
      </c>
      <c r="I3760" s="1" t="e">
        <f t="shared" si="2"/>
        <v>#VALUE!</v>
      </c>
    </row>
    <row r="3761" spans="1:9" ht="15.75" customHeight="1">
      <c r="A3761" s="26"/>
      <c r="B3761" s="2"/>
      <c r="C3761" s="26"/>
      <c r="D3761" s="26"/>
      <c r="F3761" s="85" t="str">
        <f t="shared" si="0"/>
        <v/>
      </c>
      <c r="G3761" s="1" t="e">
        <f>IF(VALUE(F3761) = VALUE(RIGHT(Insights!$C$3, 4)), E3761, "")</f>
        <v>#VALUE!</v>
      </c>
      <c r="H3761" s="26" t="e">
        <f t="shared" si="1"/>
        <v>#VALUE!</v>
      </c>
      <c r="I3761" s="1" t="e">
        <f t="shared" si="2"/>
        <v>#VALUE!</v>
      </c>
    </row>
    <row r="3762" spans="1:9" ht="15.75" customHeight="1">
      <c r="A3762" s="26"/>
      <c r="B3762" s="2"/>
      <c r="C3762" s="26"/>
      <c r="D3762" s="26"/>
      <c r="F3762" s="85" t="str">
        <f t="shared" si="0"/>
        <v/>
      </c>
      <c r="G3762" s="1" t="e">
        <f>IF(VALUE(F3762) = VALUE(RIGHT(Insights!$C$3, 4)), E3762, "")</f>
        <v>#VALUE!</v>
      </c>
      <c r="H3762" s="26" t="e">
        <f t="shared" si="1"/>
        <v>#VALUE!</v>
      </c>
      <c r="I3762" s="1" t="e">
        <f t="shared" si="2"/>
        <v>#VALUE!</v>
      </c>
    </row>
    <row r="3763" spans="1:9" ht="15.75" customHeight="1">
      <c r="A3763" s="26"/>
      <c r="B3763" s="2"/>
      <c r="C3763" s="26"/>
      <c r="D3763" s="26"/>
      <c r="F3763" s="85" t="str">
        <f t="shared" si="0"/>
        <v/>
      </c>
      <c r="G3763" s="1" t="e">
        <f>IF(VALUE(F3763) = VALUE(RIGHT(Insights!$C$3, 4)), E3763, "")</f>
        <v>#VALUE!</v>
      </c>
      <c r="H3763" s="26" t="e">
        <f t="shared" si="1"/>
        <v>#VALUE!</v>
      </c>
      <c r="I3763" s="1" t="e">
        <f t="shared" si="2"/>
        <v>#VALUE!</v>
      </c>
    </row>
    <row r="3764" spans="1:9" ht="15.75" customHeight="1">
      <c r="A3764" s="26"/>
      <c r="B3764" s="2"/>
      <c r="C3764" s="26"/>
      <c r="D3764" s="26"/>
      <c r="F3764" s="85" t="str">
        <f t="shared" si="0"/>
        <v/>
      </c>
      <c r="G3764" s="1" t="e">
        <f>IF(VALUE(F3764) = VALUE(RIGHT(Insights!$C$3, 4)), E3764, "")</f>
        <v>#VALUE!</v>
      </c>
      <c r="H3764" s="26" t="e">
        <f t="shared" si="1"/>
        <v>#VALUE!</v>
      </c>
      <c r="I3764" s="1" t="e">
        <f t="shared" si="2"/>
        <v>#VALUE!</v>
      </c>
    </row>
    <row r="3765" spans="1:9" ht="15.75" customHeight="1">
      <c r="A3765" s="26"/>
      <c r="B3765" s="2"/>
      <c r="C3765" s="26"/>
      <c r="D3765" s="26"/>
      <c r="F3765" s="85" t="str">
        <f t="shared" si="0"/>
        <v/>
      </c>
      <c r="G3765" s="1" t="e">
        <f>IF(VALUE(F3765) = VALUE(RIGHT(Insights!$C$3, 4)), E3765, "")</f>
        <v>#VALUE!</v>
      </c>
      <c r="H3765" s="26" t="e">
        <f t="shared" si="1"/>
        <v>#VALUE!</v>
      </c>
      <c r="I3765" s="1" t="e">
        <f t="shared" si="2"/>
        <v>#VALUE!</v>
      </c>
    </row>
    <row r="3766" spans="1:9" ht="15.75" customHeight="1">
      <c r="A3766" s="26"/>
      <c r="B3766" s="2"/>
      <c r="C3766" s="26"/>
      <c r="D3766" s="26"/>
      <c r="F3766" s="85" t="str">
        <f t="shared" si="0"/>
        <v/>
      </c>
      <c r="G3766" s="1" t="e">
        <f>IF(VALUE(F3766) = VALUE(RIGHT(Insights!$C$3, 4)), E3766, "")</f>
        <v>#VALUE!</v>
      </c>
      <c r="H3766" s="26" t="e">
        <f t="shared" si="1"/>
        <v>#VALUE!</v>
      </c>
      <c r="I3766" s="1" t="e">
        <f t="shared" si="2"/>
        <v>#VALUE!</v>
      </c>
    </row>
    <row r="3767" spans="1:9" ht="15.75" customHeight="1">
      <c r="A3767" s="26"/>
      <c r="B3767" s="2"/>
      <c r="C3767" s="26"/>
      <c r="D3767" s="26"/>
      <c r="F3767" s="85" t="str">
        <f t="shared" si="0"/>
        <v/>
      </c>
      <c r="G3767" s="1" t="e">
        <f>IF(VALUE(F3767) = VALUE(RIGHT(Insights!$C$3, 4)), E3767, "")</f>
        <v>#VALUE!</v>
      </c>
      <c r="H3767" s="26" t="e">
        <f t="shared" si="1"/>
        <v>#VALUE!</v>
      </c>
      <c r="I3767" s="1" t="e">
        <f t="shared" si="2"/>
        <v>#VALUE!</v>
      </c>
    </row>
    <row r="3768" spans="1:9" ht="15.75" customHeight="1">
      <c r="A3768" s="26"/>
      <c r="B3768" s="2"/>
      <c r="C3768" s="26"/>
      <c r="D3768" s="26"/>
      <c r="F3768" s="85" t="str">
        <f t="shared" si="0"/>
        <v/>
      </c>
      <c r="G3768" s="1" t="e">
        <f>IF(VALUE(F3768) = VALUE(RIGHT(Insights!$C$3, 4)), E3768, "")</f>
        <v>#VALUE!</v>
      </c>
      <c r="H3768" s="26" t="e">
        <f t="shared" si="1"/>
        <v>#VALUE!</v>
      </c>
      <c r="I3768" s="1" t="e">
        <f t="shared" si="2"/>
        <v>#VALUE!</v>
      </c>
    </row>
    <row r="3769" spans="1:9" ht="15.75" customHeight="1">
      <c r="A3769" s="26"/>
      <c r="B3769" s="2"/>
      <c r="C3769" s="26"/>
      <c r="D3769" s="26"/>
      <c r="F3769" s="85" t="str">
        <f t="shared" si="0"/>
        <v/>
      </c>
      <c r="G3769" s="1" t="e">
        <f>IF(VALUE(F3769) = VALUE(RIGHT(Insights!$C$3, 4)), E3769, "")</f>
        <v>#VALUE!</v>
      </c>
      <c r="H3769" s="26" t="e">
        <f t="shared" si="1"/>
        <v>#VALUE!</v>
      </c>
      <c r="I3769" s="1" t="e">
        <f t="shared" si="2"/>
        <v>#VALUE!</v>
      </c>
    </row>
    <row r="3770" spans="1:9" ht="15.75" customHeight="1">
      <c r="A3770" s="26"/>
      <c r="B3770" s="2"/>
      <c r="C3770" s="26"/>
      <c r="D3770" s="26"/>
      <c r="F3770" s="85" t="str">
        <f t="shared" si="0"/>
        <v/>
      </c>
      <c r="G3770" s="1" t="e">
        <f>IF(VALUE(F3770) = VALUE(RIGHT(Insights!$C$3, 4)), E3770, "")</f>
        <v>#VALUE!</v>
      </c>
      <c r="H3770" s="26" t="e">
        <f t="shared" si="1"/>
        <v>#VALUE!</v>
      </c>
      <c r="I3770" s="1" t="e">
        <f t="shared" si="2"/>
        <v>#VALUE!</v>
      </c>
    </row>
    <row r="3771" spans="1:9" ht="15.75" customHeight="1">
      <c r="A3771" s="26"/>
      <c r="B3771" s="2"/>
      <c r="C3771" s="26"/>
      <c r="D3771" s="26"/>
      <c r="F3771" s="85" t="str">
        <f t="shared" si="0"/>
        <v/>
      </c>
      <c r="G3771" s="1" t="e">
        <f>IF(VALUE(F3771) = VALUE(RIGHT(Insights!$C$3, 4)), E3771, "")</f>
        <v>#VALUE!</v>
      </c>
      <c r="H3771" s="26" t="e">
        <f t="shared" si="1"/>
        <v>#VALUE!</v>
      </c>
      <c r="I3771" s="1" t="e">
        <f t="shared" si="2"/>
        <v>#VALUE!</v>
      </c>
    </row>
    <row r="3772" spans="1:9" ht="15.75" customHeight="1">
      <c r="A3772" s="26"/>
      <c r="B3772" s="2"/>
      <c r="C3772" s="26"/>
      <c r="D3772" s="26"/>
      <c r="F3772" s="85" t="str">
        <f t="shared" si="0"/>
        <v/>
      </c>
      <c r="G3772" s="1" t="e">
        <f>IF(VALUE(F3772) = VALUE(RIGHT(Insights!$C$3, 4)), E3772, "")</f>
        <v>#VALUE!</v>
      </c>
      <c r="H3772" s="26" t="e">
        <f t="shared" si="1"/>
        <v>#VALUE!</v>
      </c>
      <c r="I3772" s="1" t="e">
        <f t="shared" si="2"/>
        <v>#VALUE!</v>
      </c>
    </row>
    <row r="3773" spans="1:9" ht="15.75" customHeight="1">
      <c r="A3773" s="26"/>
      <c r="B3773" s="2"/>
      <c r="C3773" s="26"/>
      <c r="D3773" s="26"/>
      <c r="F3773" s="85" t="str">
        <f t="shared" si="0"/>
        <v/>
      </c>
      <c r="G3773" s="1" t="e">
        <f>IF(VALUE(F3773) = VALUE(RIGHT(Insights!$C$3, 4)), E3773, "")</f>
        <v>#VALUE!</v>
      </c>
      <c r="H3773" s="26" t="e">
        <f t="shared" si="1"/>
        <v>#VALUE!</v>
      </c>
      <c r="I3773" s="1" t="e">
        <f t="shared" si="2"/>
        <v>#VALUE!</v>
      </c>
    </row>
    <row r="3774" spans="1:9" ht="15.75" customHeight="1">
      <c r="A3774" s="26"/>
      <c r="B3774" s="2"/>
      <c r="C3774" s="26"/>
      <c r="D3774" s="26"/>
      <c r="F3774" s="85" t="str">
        <f t="shared" si="0"/>
        <v/>
      </c>
      <c r="G3774" s="1" t="e">
        <f>IF(VALUE(F3774) = VALUE(RIGHT(Insights!$C$3, 4)), E3774, "")</f>
        <v>#VALUE!</v>
      </c>
      <c r="H3774" s="26" t="e">
        <f t="shared" si="1"/>
        <v>#VALUE!</v>
      </c>
      <c r="I3774" s="1" t="e">
        <f t="shared" si="2"/>
        <v>#VALUE!</v>
      </c>
    </row>
    <row r="3775" spans="1:9" ht="15.75" customHeight="1">
      <c r="A3775" s="26"/>
      <c r="B3775" s="2"/>
      <c r="C3775" s="26"/>
      <c r="D3775" s="26"/>
      <c r="F3775" s="85" t="str">
        <f t="shared" si="0"/>
        <v/>
      </c>
      <c r="G3775" s="1" t="e">
        <f>IF(VALUE(F3775) = VALUE(RIGHT(Insights!$C$3, 4)), E3775, "")</f>
        <v>#VALUE!</v>
      </c>
      <c r="H3775" s="26" t="e">
        <f t="shared" si="1"/>
        <v>#VALUE!</v>
      </c>
      <c r="I3775" s="1" t="e">
        <f t="shared" si="2"/>
        <v>#VALUE!</v>
      </c>
    </row>
    <row r="3776" spans="1:9" ht="15.75" customHeight="1">
      <c r="A3776" s="26"/>
      <c r="B3776" s="2"/>
      <c r="C3776" s="26"/>
      <c r="D3776" s="26"/>
      <c r="F3776" s="85" t="str">
        <f t="shared" si="0"/>
        <v/>
      </c>
      <c r="G3776" s="1" t="e">
        <f>IF(VALUE(F3776) = VALUE(RIGHT(Insights!$C$3, 4)), E3776, "")</f>
        <v>#VALUE!</v>
      </c>
      <c r="H3776" s="26" t="e">
        <f t="shared" si="1"/>
        <v>#VALUE!</v>
      </c>
      <c r="I3776" s="1" t="e">
        <f t="shared" si="2"/>
        <v>#VALUE!</v>
      </c>
    </row>
    <row r="3777" spans="1:9" ht="15.75" customHeight="1">
      <c r="A3777" s="26"/>
      <c r="B3777" s="2"/>
      <c r="C3777" s="26"/>
      <c r="D3777" s="26"/>
      <c r="F3777" s="85" t="str">
        <f t="shared" si="0"/>
        <v/>
      </c>
      <c r="G3777" s="1" t="e">
        <f>IF(VALUE(F3777) = VALUE(RIGHT(Insights!$C$3, 4)), E3777, "")</f>
        <v>#VALUE!</v>
      </c>
      <c r="H3777" s="26" t="e">
        <f t="shared" si="1"/>
        <v>#VALUE!</v>
      </c>
      <c r="I3777" s="1" t="e">
        <f t="shared" si="2"/>
        <v>#VALUE!</v>
      </c>
    </row>
    <row r="3778" spans="1:9" ht="15.75" customHeight="1">
      <c r="A3778" s="26"/>
      <c r="B3778" s="2"/>
      <c r="C3778" s="26"/>
      <c r="D3778" s="26"/>
      <c r="F3778" s="85" t="str">
        <f t="shared" si="0"/>
        <v/>
      </c>
      <c r="G3778" s="1" t="e">
        <f>IF(VALUE(F3778) = VALUE(RIGHT(Insights!$C$3, 4)), E3778, "")</f>
        <v>#VALUE!</v>
      </c>
      <c r="H3778" s="26" t="e">
        <f t="shared" si="1"/>
        <v>#VALUE!</v>
      </c>
      <c r="I3778" s="1" t="e">
        <f t="shared" si="2"/>
        <v>#VALUE!</v>
      </c>
    </row>
    <row r="3779" spans="1:9" ht="15.75" customHeight="1">
      <c r="A3779" s="26"/>
      <c r="B3779" s="2"/>
      <c r="C3779" s="26"/>
      <c r="D3779" s="26"/>
      <c r="F3779" s="85" t="str">
        <f t="shared" si="0"/>
        <v/>
      </c>
      <c r="G3779" s="1" t="e">
        <f>IF(VALUE(F3779) = VALUE(RIGHT(Insights!$C$3, 4)), E3779, "")</f>
        <v>#VALUE!</v>
      </c>
      <c r="H3779" s="26" t="e">
        <f t="shared" si="1"/>
        <v>#VALUE!</v>
      </c>
      <c r="I3779" s="1" t="e">
        <f t="shared" si="2"/>
        <v>#VALUE!</v>
      </c>
    </row>
    <row r="3780" spans="1:9" ht="15.75" customHeight="1">
      <c r="A3780" s="26"/>
      <c r="B3780" s="2"/>
      <c r="C3780" s="26"/>
      <c r="D3780" s="26"/>
      <c r="F3780" s="85" t="str">
        <f t="shared" si="0"/>
        <v/>
      </c>
      <c r="G3780" s="1" t="e">
        <f>IF(VALUE(F3780) = VALUE(RIGHT(Insights!$C$3, 4)), E3780, "")</f>
        <v>#VALUE!</v>
      </c>
      <c r="H3780" s="26" t="e">
        <f t="shared" si="1"/>
        <v>#VALUE!</v>
      </c>
      <c r="I3780" s="1" t="e">
        <f t="shared" si="2"/>
        <v>#VALUE!</v>
      </c>
    </row>
    <row r="3781" spans="1:9" ht="15.75" customHeight="1">
      <c r="A3781" s="26"/>
      <c r="B3781" s="2"/>
      <c r="C3781" s="26"/>
      <c r="D3781" s="26"/>
      <c r="F3781" s="85" t="str">
        <f t="shared" si="0"/>
        <v/>
      </c>
      <c r="G3781" s="1" t="e">
        <f>IF(VALUE(F3781) = VALUE(RIGHT(Insights!$C$3, 4)), E3781, "")</f>
        <v>#VALUE!</v>
      </c>
      <c r="H3781" s="26" t="e">
        <f t="shared" si="1"/>
        <v>#VALUE!</v>
      </c>
      <c r="I3781" s="1" t="e">
        <f t="shared" si="2"/>
        <v>#VALUE!</v>
      </c>
    </row>
    <row r="3782" spans="1:9" ht="15.75" customHeight="1">
      <c r="A3782" s="26"/>
      <c r="B3782" s="2"/>
      <c r="C3782" s="26"/>
      <c r="D3782" s="26"/>
      <c r="F3782" s="85" t="str">
        <f t="shared" si="0"/>
        <v/>
      </c>
      <c r="G3782" s="1" t="e">
        <f>IF(VALUE(F3782) = VALUE(RIGHT(Insights!$C$3, 4)), E3782, "")</f>
        <v>#VALUE!</v>
      </c>
      <c r="H3782" s="26" t="e">
        <f t="shared" si="1"/>
        <v>#VALUE!</v>
      </c>
      <c r="I3782" s="1" t="e">
        <f t="shared" si="2"/>
        <v>#VALUE!</v>
      </c>
    </row>
    <row r="3783" spans="1:9" ht="15.75" customHeight="1">
      <c r="A3783" s="26"/>
      <c r="B3783" s="2"/>
      <c r="C3783" s="26"/>
      <c r="D3783" s="26"/>
      <c r="F3783" s="85" t="str">
        <f t="shared" si="0"/>
        <v/>
      </c>
      <c r="G3783" s="1" t="e">
        <f>IF(VALUE(F3783) = VALUE(RIGHT(Insights!$C$3, 4)), E3783, "")</f>
        <v>#VALUE!</v>
      </c>
      <c r="H3783" s="26" t="e">
        <f t="shared" si="1"/>
        <v>#VALUE!</v>
      </c>
      <c r="I3783" s="1" t="e">
        <f t="shared" si="2"/>
        <v>#VALUE!</v>
      </c>
    </row>
    <row r="3784" spans="1:9" ht="15.75" customHeight="1">
      <c r="A3784" s="26"/>
      <c r="B3784" s="2"/>
      <c r="C3784" s="26"/>
      <c r="D3784" s="26"/>
      <c r="F3784" s="85" t="str">
        <f t="shared" si="0"/>
        <v/>
      </c>
      <c r="G3784" s="1" t="e">
        <f>IF(VALUE(F3784) = VALUE(RIGHT(Insights!$C$3, 4)), E3784, "")</f>
        <v>#VALUE!</v>
      </c>
      <c r="H3784" s="26" t="e">
        <f t="shared" si="1"/>
        <v>#VALUE!</v>
      </c>
      <c r="I3784" s="1" t="e">
        <f t="shared" si="2"/>
        <v>#VALUE!</v>
      </c>
    </row>
    <row r="3785" spans="1:9" ht="15.75" customHeight="1">
      <c r="A3785" s="26"/>
      <c r="B3785" s="2"/>
      <c r="C3785" s="26"/>
      <c r="D3785" s="26"/>
      <c r="F3785" s="85" t="str">
        <f t="shared" si="0"/>
        <v/>
      </c>
      <c r="G3785" s="1" t="e">
        <f>IF(VALUE(F3785) = VALUE(RIGHT(Insights!$C$3, 4)), E3785, "")</f>
        <v>#VALUE!</v>
      </c>
      <c r="H3785" s="26" t="e">
        <f t="shared" si="1"/>
        <v>#VALUE!</v>
      </c>
      <c r="I3785" s="1" t="e">
        <f t="shared" si="2"/>
        <v>#VALUE!</v>
      </c>
    </row>
    <row r="3786" spans="1:9" ht="15.75" customHeight="1">
      <c r="A3786" s="26"/>
      <c r="B3786" s="2"/>
      <c r="C3786" s="26"/>
      <c r="D3786" s="26"/>
      <c r="F3786" s="85" t="str">
        <f t="shared" si="0"/>
        <v/>
      </c>
      <c r="G3786" s="1" t="e">
        <f>IF(VALUE(F3786) = VALUE(RIGHT(Insights!$C$3, 4)), E3786, "")</f>
        <v>#VALUE!</v>
      </c>
      <c r="H3786" s="26" t="e">
        <f t="shared" si="1"/>
        <v>#VALUE!</v>
      </c>
      <c r="I3786" s="1" t="e">
        <f t="shared" si="2"/>
        <v>#VALUE!</v>
      </c>
    </row>
    <row r="3787" spans="1:9" ht="15.75" customHeight="1">
      <c r="A3787" s="26"/>
      <c r="B3787" s="2"/>
      <c r="C3787" s="26"/>
      <c r="D3787" s="26"/>
      <c r="F3787" s="85" t="str">
        <f t="shared" si="0"/>
        <v/>
      </c>
      <c r="G3787" s="1" t="e">
        <f>IF(VALUE(F3787) = VALUE(RIGHT(Insights!$C$3, 4)), E3787, "")</f>
        <v>#VALUE!</v>
      </c>
      <c r="H3787" s="26" t="e">
        <f t="shared" si="1"/>
        <v>#VALUE!</v>
      </c>
      <c r="I3787" s="1" t="e">
        <f t="shared" si="2"/>
        <v>#VALUE!</v>
      </c>
    </row>
    <row r="3788" spans="1:9" ht="15.75" customHeight="1">
      <c r="A3788" s="26"/>
      <c r="B3788" s="2"/>
      <c r="C3788" s="26"/>
      <c r="D3788" s="26"/>
      <c r="F3788" s="85" t="str">
        <f t="shared" si="0"/>
        <v/>
      </c>
      <c r="G3788" s="1" t="e">
        <f>IF(VALUE(F3788) = VALUE(RIGHT(Insights!$C$3, 4)), E3788, "")</f>
        <v>#VALUE!</v>
      </c>
      <c r="H3788" s="26" t="e">
        <f t="shared" si="1"/>
        <v>#VALUE!</v>
      </c>
      <c r="I3788" s="1" t="e">
        <f t="shared" si="2"/>
        <v>#VALUE!</v>
      </c>
    </row>
    <row r="3789" spans="1:9" ht="15.75" customHeight="1">
      <c r="A3789" s="26"/>
      <c r="B3789" s="2"/>
      <c r="C3789" s="26"/>
      <c r="D3789" s="26"/>
      <c r="F3789" s="85" t="str">
        <f t="shared" si="0"/>
        <v/>
      </c>
      <c r="G3789" s="1" t="e">
        <f>IF(VALUE(F3789) = VALUE(RIGHT(Insights!$C$3, 4)), E3789, "")</f>
        <v>#VALUE!</v>
      </c>
      <c r="H3789" s="26" t="e">
        <f t="shared" si="1"/>
        <v>#VALUE!</v>
      </c>
      <c r="I3789" s="1" t="e">
        <f t="shared" si="2"/>
        <v>#VALUE!</v>
      </c>
    </row>
    <row r="3790" spans="1:9" ht="15.75" customHeight="1">
      <c r="A3790" s="26"/>
      <c r="B3790" s="2"/>
      <c r="C3790" s="26"/>
      <c r="D3790" s="26"/>
      <c r="F3790" s="85" t="str">
        <f t="shared" si="0"/>
        <v/>
      </c>
      <c r="G3790" s="1" t="e">
        <f>IF(VALUE(F3790) = VALUE(RIGHT(Insights!$C$3, 4)), E3790, "")</f>
        <v>#VALUE!</v>
      </c>
      <c r="H3790" s="26" t="e">
        <f t="shared" si="1"/>
        <v>#VALUE!</v>
      </c>
      <c r="I3790" s="1" t="e">
        <f t="shared" si="2"/>
        <v>#VALUE!</v>
      </c>
    </row>
    <row r="3791" spans="1:9" ht="15.75" customHeight="1">
      <c r="A3791" s="26"/>
      <c r="B3791" s="2"/>
      <c r="C3791" s="26"/>
      <c r="D3791" s="26"/>
      <c r="F3791" s="85" t="str">
        <f t="shared" si="0"/>
        <v/>
      </c>
      <c r="G3791" s="1" t="e">
        <f>IF(VALUE(F3791) = VALUE(RIGHT(Insights!$C$3, 4)), E3791, "")</f>
        <v>#VALUE!</v>
      </c>
      <c r="H3791" s="26" t="e">
        <f t="shared" si="1"/>
        <v>#VALUE!</v>
      </c>
      <c r="I3791" s="1" t="e">
        <f t="shared" si="2"/>
        <v>#VALUE!</v>
      </c>
    </row>
    <row r="3792" spans="1:9" ht="15.75" customHeight="1">
      <c r="A3792" s="26"/>
      <c r="B3792" s="2"/>
      <c r="C3792" s="26"/>
      <c r="D3792" s="26"/>
      <c r="F3792" s="85" t="str">
        <f t="shared" si="0"/>
        <v/>
      </c>
      <c r="G3792" s="1" t="e">
        <f>IF(VALUE(F3792) = VALUE(RIGHT(Insights!$C$3, 4)), E3792, "")</f>
        <v>#VALUE!</v>
      </c>
      <c r="H3792" s="26" t="e">
        <f t="shared" si="1"/>
        <v>#VALUE!</v>
      </c>
      <c r="I3792" s="1" t="e">
        <f t="shared" si="2"/>
        <v>#VALUE!</v>
      </c>
    </row>
    <row r="3793" spans="1:9" ht="15.75" customHeight="1">
      <c r="A3793" s="26"/>
      <c r="B3793" s="2"/>
      <c r="C3793" s="26"/>
      <c r="D3793" s="26"/>
      <c r="F3793" s="85" t="str">
        <f t="shared" si="0"/>
        <v/>
      </c>
      <c r="G3793" s="1" t="e">
        <f>IF(VALUE(F3793) = VALUE(RIGHT(Insights!$C$3, 4)), E3793, "")</f>
        <v>#VALUE!</v>
      </c>
      <c r="H3793" s="26" t="e">
        <f t="shared" si="1"/>
        <v>#VALUE!</v>
      </c>
      <c r="I3793" s="1" t="e">
        <f t="shared" si="2"/>
        <v>#VALUE!</v>
      </c>
    </row>
    <row r="3794" spans="1:9" ht="15.75" customHeight="1">
      <c r="A3794" s="26"/>
      <c r="B3794" s="2"/>
      <c r="C3794" s="26"/>
      <c r="D3794" s="26"/>
      <c r="F3794" s="85" t="str">
        <f t="shared" si="0"/>
        <v/>
      </c>
      <c r="G3794" s="1" t="e">
        <f>IF(VALUE(F3794) = VALUE(RIGHT(Insights!$C$3, 4)), E3794, "")</f>
        <v>#VALUE!</v>
      </c>
      <c r="H3794" s="26" t="e">
        <f t="shared" si="1"/>
        <v>#VALUE!</v>
      </c>
      <c r="I3794" s="1" t="e">
        <f t="shared" si="2"/>
        <v>#VALUE!</v>
      </c>
    </row>
    <row r="3795" spans="1:9" ht="15.75" customHeight="1">
      <c r="A3795" s="26"/>
      <c r="B3795" s="2"/>
      <c r="C3795" s="26"/>
      <c r="D3795" s="26"/>
      <c r="F3795" s="85" t="str">
        <f t="shared" si="0"/>
        <v/>
      </c>
      <c r="G3795" s="1" t="e">
        <f>IF(VALUE(F3795) = VALUE(RIGHT(Insights!$C$3, 4)), E3795, "")</f>
        <v>#VALUE!</v>
      </c>
      <c r="H3795" s="26" t="e">
        <f t="shared" si="1"/>
        <v>#VALUE!</v>
      </c>
      <c r="I3795" s="1" t="e">
        <f t="shared" si="2"/>
        <v>#VALUE!</v>
      </c>
    </row>
    <row r="3796" spans="1:9" ht="15.75" customHeight="1">
      <c r="A3796" s="26"/>
      <c r="B3796" s="2"/>
      <c r="C3796" s="26"/>
      <c r="D3796" s="26"/>
      <c r="F3796" s="85" t="str">
        <f t="shared" si="0"/>
        <v/>
      </c>
      <c r="G3796" s="1" t="e">
        <f>IF(VALUE(F3796) = VALUE(RIGHT(Insights!$C$3, 4)), E3796, "")</f>
        <v>#VALUE!</v>
      </c>
      <c r="H3796" s="26" t="e">
        <f t="shared" si="1"/>
        <v>#VALUE!</v>
      </c>
      <c r="I3796" s="1" t="e">
        <f t="shared" si="2"/>
        <v>#VALUE!</v>
      </c>
    </row>
    <row r="3797" spans="1:9" ht="15.75" customHeight="1">
      <c r="A3797" s="26"/>
      <c r="B3797" s="2"/>
      <c r="C3797" s="26"/>
      <c r="D3797" s="26"/>
      <c r="F3797" s="85" t="str">
        <f t="shared" si="0"/>
        <v/>
      </c>
      <c r="G3797" s="1" t="e">
        <f>IF(VALUE(F3797) = VALUE(RIGHT(Insights!$C$3, 4)), E3797, "")</f>
        <v>#VALUE!</v>
      </c>
      <c r="H3797" s="26" t="e">
        <f t="shared" si="1"/>
        <v>#VALUE!</v>
      </c>
      <c r="I3797" s="1" t="e">
        <f t="shared" si="2"/>
        <v>#VALUE!</v>
      </c>
    </row>
    <row r="3798" spans="1:9" ht="15.75" customHeight="1">
      <c r="A3798" s="26"/>
      <c r="B3798" s="2"/>
      <c r="C3798" s="26"/>
      <c r="D3798" s="26"/>
      <c r="F3798" s="85" t="str">
        <f t="shared" si="0"/>
        <v/>
      </c>
      <c r="G3798" s="1" t="e">
        <f>IF(VALUE(F3798) = VALUE(RIGHT(Insights!$C$3, 4)), E3798, "")</f>
        <v>#VALUE!</v>
      </c>
      <c r="H3798" s="26" t="e">
        <f t="shared" si="1"/>
        <v>#VALUE!</v>
      </c>
      <c r="I3798" s="1" t="e">
        <f t="shared" si="2"/>
        <v>#VALUE!</v>
      </c>
    </row>
    <row r="3799" spans="1:9" ht="15.75" customHeight="1">
      <c r="A3799" s="26"/>
      <c r="B3799" s="2"/>
      <c r="C3799" s="26"/>
      <c r="D3799" s="26"/>
      <c r="F3799" s="85" t="str">
        <f t="shared" si="0"/>
        <v/>
      </c>
      <c r="G3799" s="1" t="e">
        <f>IF(VALUE(F3799) = VALUE(RIGHT(Insights!$C$3, 4)), E3799, "")</f>
        <v>#VALUE!</v>
      </c>
      <c r="H3799" s="26" t="e">
        <f t="shared" si="1"/>
        <v>#VALUE!</v>
      </c>
      <c r="I3799" s="1" t="e">
        <f t="shared" si="2"/>
        <v>#VALUE!</v>
      </c>
    </row>
    <row r="3800" spans="1:9" ht="15.75" customHeight="1">
      <c r="A3800" s="26"/>
      <c r="B3800" s="2"/>
      <c r="C3800" s="26"/>
      <c r="D3800" s="26"/>
      <c r="F3800" s="85" t="str">
        <f t="shared" si="0"/>
        <v/>
      </c>
      <c r="G3800" s="1" t="e">
        <f>IF(VALUE(F3800) = VALUE(RIGHT(Insights!$C$3, 4)), E3800, "")</f>
        <v>#VALUE!</v>
      </c>
      <c r="H3800" s="26" t="e">
        <f t="shared" si="1"/>
        <v>#VALUE!</v>
      </c>
      <c r="I3800" s="1" t="e">
        <f t="shared" si="2"/>
        <v>#VALUE!</v>
      </c>
    </row>
    <row r="3801" spans="1:9" ht="15.75" customHeight="1">
      <c r="A3801" s="26"/>
      <c r="B3801" s="2"/>
      <c r="C3801" s="26"/>
      <c r="D3801" s="26"/>
      <c r="F3801" s="85" t="str">
        <f t="shared" si="0"/>
        <v/>
      </c>
      <c r="G3801" s="1" t="e">
        <f>IF(VALUE(F3801) = VALUE(RIGHT(Insights!$C$3, 4)), E3801, "")</f>
        <v>#VALUE!</v>
      </c>
      <c r="H3801" s="26" t="e">
        <f t="shared" si="1"/>
        <v>#VALUE!</v>
      </c>
      <c r="I3801" s="1" t="e">
        <f t="shared" si="2"/>
        <v>#VALUE!</v>
      </c>
    </row>
    <row r="3802" spans="1:9" ht="15.75" customHeight="1">
      <c r="A3802" s="26"/>
      <c r="B3802" s="2"/>
      <c r="C3802" s="26"/>
      <c r="D3802" s="26"/>
      <c r="F3802" s="85" t="str">
        <f t="shared" si="0"/>
        <v/>
      </c>
      <c r="G3802" s="1" t="e">
        <f>IF(VALUE(F3802) = VALUE(RIGHT(Insights!$C$3, 4)), E3802, "")</f>
        <v>#VALUE!</v>
      </c>
      <c r="H3802" s="26" t="e">
        <f t="shared" si="1"/>
        <v>#VALUE!</v>
      </c>
      <c r="I3802" s="1" t="e">
        <f t="shared" si="2"/>
        <v>#VALUE!</v>
      </c>
    </row>
    <row r="3803" spans="1:9" ht="15.75" customHeight="1">
      <c r="A3803" s="26"/>
      <c r="B3803" s="2"/>
      <c r="C3803" s="26"/>
      <c r="D3803" s="26"/>
      <c r="F3803" s="85" t="str">
        <f t="shared" si="0"/>
        <v/>
      </c>
      <c r="G3803" s="1" t="e">
        <f>IF(VALUE(F3803) = VALUE(RIGHT(Insights!$C$3, 4)), E3803, "")</f>
        <v>#VALUE!</v>
      </c>
      <c r="H3803" s="26" t="e">
        <f t="shared" si="1"/>
        <v>#VALUE!</v>
      </c>
      <c r="I3803" s="1" t="e">
        <f t="shared" si="2"/>
        <v>#VALUE!</v>
      </c>
    </row>
    <row r="3804" spans="1:9" ht="15.75" customHeight="1">
      <c r="A3804" s="26"/>
      <c r="B3804" s="2"/>
      <c r="C3804" s="26"/>
      <c r="D3804" s="26"/>
      <c r="F3804" s="85" t="str">
        <f t="shared" si="0"/>
        <v/>
      </c>
      <c r="G3804" s="1" t="e">
        <f>IF(VALUE(F3804) = VALUE(RIGHT(Insights!$C$3, 4)), E3804, "")</f>
        <v>#VALUE!</v>
      </c>
      <c r="H3804" s="26" t="e">
        <f t="shared" si="1"/>
        <v>#VALUE!</v>
      </c>
      <c r="I3804" s="1" t="e">
        <f t="shared" si="2"/>
        <v>#VALUE!</v>
      </c>
    </row>
    <row r="3805" spans="1:9" ht="15.75" customHeight="1">
      <c r="A3805" s="26"/>
      <c r="B3805" s="2"/>
      <c r="C3805" s="26"/>
      <c r="D3805" s="26"/>
      <c r="F3805" s="85" t="str">
        <f t="shared" si="0"/>
        <v/>
      </c>
      <c r="G3805" s="1" t="e">
        <f>IF(VALUE(F3805) = VALUE(RIGHT(Insights!$C$3, 4)), E3805, "")</f>
        <v>#VALUE!</v>
      </c>
      <c r="H3805" s="26" t="e">
        <f t="shared" si="1"/>
        <v>#VALUE!</v>
      </c>
      <c r="I3805" s="1" t="e">
        <f t="shared" si="2"/>
        <v>#VALUE!</v>
      </c>
    </row>
    <row r="3806" spans="1:9" ht="15.75" customHeight="1">
      <c r="A3806" s="26"/>
      <c r="B3806" s="2"/>
      <c r="C3806" s="26"/>
      <c r="D3806" s="26"/>
      <c r="F3806" s="85" t="str">
        <f t="shared" si="0"/>
        <v/>
      </c>
      <c r="G3806" s="1" t="e">
        <f>IF(VALUE(F3806) = VALUE(RIGHT(Insights!$C$3, 4)), E3806, "")</f>
        <v>#VALUE!</v>
      </c>
      <c r="H3806" s="26" t="e">
        <f t="shared" si="1"/>
        <v>#VALUE!</v>
      </c>
      <c r="I3806" s="1" t="e">
        <f t="shared" si="2"/>
        <v>#VALUE!</v>
      </c>
    </row>
    <row r="3807" spans="1:9" ht="15.75" customHeight="1">
      <c r="A3807" s="26"/>
      <c r="B3807" s="2"/>
      <c r="C3807" s="26"/>
      <c r="D3807" s="26"/>
      <c r="F3807" s="85" t="str">
        <f t="shared" si="0"/>
        <v/>
      </c>
      <c r="G3807" s="1" t="e">
        <f>IF(VALUE(F3807) = VALUE(RIGHT(Insights!$C$3, 4)), E3807, "")</f>
        <v>#VALUE!</v>
      </c>
      <c r="H3807" s="26" t="e">
        <f t="shared" si="1"/>
        <v>#VALUE!</v>
      </c>
      <c r="I3807" s="1" t="e">
        <f t="shared" si="2"/>
        <v>#VALUE!</v>
      </c>
    </row>
    <row r="3808" spans="1:9" ht="15.75" customHeight="1">
      <c r="A3808" s="26"/>
      <c r="B3808" s="2"/>
      <c r="C3808" s="26"/>
      <c r="D3808" s="26"/>
      <c r="F3808" s="85" t="str">
        <f t="shared" si="0"/>
        <v/>
      </c>
      <c r="G3808" s="1" t="e">
        <f>IF(VALUE(F3808) = VALUE(RIGHT(Insights!$C$3, 4)), E3808, "")</f>
        <v>#VALUE!</v>
      </c>
      <c r="H3808" s="26" t="e">
        <f t="shared" si="1"/>
        <v>#VALUE!</v>
      </c>
      <c r="I3808" s="1" t="e">
        <f t="shared" si="2"/>
        <v>#VALUE!</v>
      </c>
    </row>
    <row r="3809" spans="1:9" ht="15.75" customHeight="1">
      <c r="A3809" s="26"/>
      <c r="B3809" s="2"/>
      <c r="C3809" s="26"/>
      <c r="D3809" s="26"/>
      <c r="F3809" s="85" t="str">
        <f t="shared" si="0"/>
        <v/>
      </c>
      <c r="G3809" s="1" t="e">
        <f>IF(VALUE(F3809) = VALUE(RIGHT(Insights!$C$3, 4)), E3809, "")</f>
        <v>#VALUE!</v>
      </c>
      <c r="H3809" s="26" t="e">
        <f t="shared" si="1"/>
        <v>#VALUE!</v>
      </c>
      <c r="I3809" s="1" t="e">
        <f t="shared" si="2"/>
        <v>#VALUE!</v>
      </c>
    </row>
    <row r="3810" spans="1:9" ht="15.75" customHeight="1">
      <c r="A3810" s="26"/>
      <c r="B3810" s="2"/>
      <c r="C3810" s="26"/>
      <c r="D3810" s="26"/>
      <c r="F3810" s="85" t="str">
        <f t="shared" si="0"/>
        <v/>
      </c>
      <c r="G3810" s="1" t="e">
        <f>IF(VALUE(F3810) = VALUE(RIGHT(Insights!$C$3, 4)), E3810, "")</f>
        <v>#VALUE!</v>
      </c>
      <c r="H3810" s="26" t="e">
        <f t="shared" si="1"/>
        <v>#VALUE!</v>
      </c>
      <c r="I3810" s="1" t="e">
        <f t="shared" si="2"/>
        <v>#VALUE!</v>
      </c>
    </row>
    <row r="3811" spans="1:9" ht="15.75" customHeight="1">
      <c r="A3811" s="26"/>
      <c r="B3811" s="2"/>
      <c r="C3811" s="26"/>
      <c r="D3811" s="26"/>
      <c r="F3811" s="85" t="str">
        <f t="shared" si="0"/>
        <v/>
      </c>
      <c r="G3811" s="1" t="e">
        <f>IF(VALUE(F3811) = VALUE(RIGHT(Insights!$C$3, 4)), E3811, "")</f>
        <v>#VALUE!</v>
      </c>
      <c r="H3811" s="26" t="e">
        <f t="shared" si="1"/>
        <v>#VALUE!</v>
      </c>
      <c r="I3811" s="1" t="e">
        <f t="shared" si="2"/>
        <v>#VALUE!</v>
      </c>
    </row>
    <row r="3812" spans="1:9" ht="15.75" customHeight="1">
      <c r="A3812" s="26"/>
      <c r="B3812" s="2"/>
      <c r="C3812" s="26"/>
      <c r="D3812" s="26"/>
      <c r="F3812" s="85" t="str">
        <f t="shared" si="0"/>
        <v/>
      </c>
      <c r="G3812" s="1" t="e">
        <f>IF(VALUE(F3812) = VALUE(RIGHT(Insights!$C$3, 4)), E3812, "")</f>
        <v>#VALUE!</v>
      </c>
      <c r="H3812" s="26" t="e">
        <f t="shared" si="1"/>
        <v>#VALUE!</v>
      </c>
      <c r="I3812" s="1" t="e">
        <f t="shared" si="2"/>
        <v>#VALUE!</v>
      </c>
    </row>
    <row r="3813" spans="1:9" ht="15.75" customHeight="1">
      <c r="A3813" s="26"/>
      <c r="B3813" s="2"/>
      <c r="C3813" s="26"/>
      <c r="D3813" s="26"/>
      <c r="F3813" s="85" t="str">
        <f t="shared" si="0"/>
        <v/>
      </c>
      <c r="G3813" s="1" t="e">
        <f>IF(VALUE(F3813) = VALUE(RIGHT(Insights!$C$3, 4)), E3813, "")</f>
        <v>#VALUE!</v>
      </c>
      <c r="H3813" s="26" t="e">
        <f t="shared" si="1"/>
        <v>#VALUE!</v>
      </c>
      <c r="I3813" s="1" t="e">
        <f t="shared" si="2"/>
        <v>#VALUE!</v>
      </c>
    </row>
    <row r="3814" spans="1:9" ht="15.75" customHeight="1">
      <c r="A3814" s="26"/>
      <c r="B3814" s="2"/>
      <c r="C3814" s="26"/>
      <c r="D3814" s="26"/>
      <c r="F3814" s="85" t="str">
        <f t="shared" si="0"/>
        <v/>
      </c>
      <c r="G3814" s="1" t="e">
        <f>IF(VALUE(F3814) = VALUE(RIGHT(Insights!$C$3, 4)), E3814, "")</f>
        <v>#VALUE!</v>
      </c>
      <c r="H3814" s="26" t="e">
        <f t="shared" si="1"/>
        <v>#VALUE!</v>
      </c>
      <c r="I3814" s="1" t="e">
        <f t="shared" si="2"/>
        <v>#VALUE!</v>
      </c>
    </row>
    <row r="3815" spans="1:9" ht="15.75" customHeight="1">
      <c r="A3815" s="26"/>
      <c r="B3815" s="2"/>
      <c r="C3815" s="26"/>
      <c r="D3815" s="26"/>
      <c r="F3815" s="85" t="str">
        <f t="shared" si="0"/>
        <v/>
      </c>
      <c r="G3815" s="1" t="e">
        <f>IF(VALUE(F3815) = VALUE(RIGHT(Insights!$C$3, 4)), E3815, "")</f>
        <v>#VALUE!</v>
      </c>
      <c r="H3815" s="26" t="e">
        <f t="shared" si="1"/>
        <v>#VALUE!</v>
      </c>
      <c r="I3815" s="1" t="e">
        <f t="shared" si="2"/>
        <v>#VALUE!</v>
      </c>
    </row>
    <row r="3816" spans="1:9" ht="15.75" customHeight="1">
      <c r="A3816" s="26"/>
      <c r="B3816" s="2"/>
      <c r="C3816" s="26"/>
      <c r="D3816" s="26"/>
      <c r="F3816" s="85" t="str">
        <f t="shared" si="0"/>
        <v/>
      </c>
      <c r="G3816" s="1" t="e">
        <f>IF(VALUE(F3816) = VALUE(RIGHT(Insights!$C$3, 4)), E3816, "")</f>
        <v>#VALUE!</v>
      </c>
      <c r="H3816" s="26" t="e">
        <f t="shared" si="1"/>
        <v>#VALUE!</v>
      </c>
      <c r="I3816" s="1" t="e">
        <f t="shared" si="2"/>
        <v>#VALUE!</v>
      </c>
    </row>
    <row r="3817" spans="1:9" ht="15.75" customHeight="1">
      <c r="A3817" s="26"/>
      <c r="B3817" s="2"/>
      <c r="C3817" s="26"/>
      <c r="D3817" s="26"/>
      <c r="F3817" s="85" t="str">
        <f t="shared" si="0"/>
        <v/>
      </c>
      <c r="G3817" s="1" t="e">
        <f>IF(VALUE(F3817) = VALUE(RIGHT(Insights!$C$3, 4)), E3817, "")</f>
        <v>#VALUE!</v>
      </c>
      <c r="H3817" s="26" t="e">
        <f t="shared" si="1"/>
        <v>#VALUE!</v>
      </c>
      <c r="I3817" s="1" t="e">
        <f t="shared" si="2"/>
        <v>#VALUE!</v>
      </c>
    </row>
    <row r="3818" spans="1:9" ht="15.75" customHeight="1">
      <c r="A3818" s="26"/>
      <c r="B3818" s="2"/>
      <c r="C3818" s="26"/>
      <c r="D3818" s="26"/>
      <c r="F3818" s="85" t="str">
        <f t="shared" si="0"/>
        <v/>
      </c>
      <c r="G3818" s="1" t="e">
        <f>IF(VALUE(F3818) = VALUE(RIGHT(Insights!$C$3, 4)), E3818, "")</f>
        <v>#VALUE!</v>
      </c>
      <c r="H3818" s="26" t="e">
        <f t="shared" si="1"/>
        <v>#VALUE!</v>
      </c>
      <c r="I3818" s="1" t="e">
        <f t="shared" si="2"/>
        <v>#VALUE!</v>
      </c>
    </row>
    <row r="3819" spans="1:9" ht="15.75" customHeight="1">
      <c r="A3819" s="26"/>
      <c r="B3819" s="2"/>
      <c r="C3819" s="26"/>
      <c r="D3819" s="26"/>
      <c r="F3819" s="85" t="str">
        <f t="shared" si="0"/>
        <v/>
      </c>
      <c r="G3819" s="1" t="e">
        <f>IF(VALUE(F3819) = VALUE(RIGHT(Insights!$C$3, 4)), E3819, "")</f>
        <v>#VALUE!</v>
      </c>
      <c r="H3819" s="26" t="e">
        <f t="shared" si="1"/>
        <v>#VALUE!</v>
      </c>
      <c r="I3819" s="1" t="e">
        <f t="shared" si="2"/>
        <v>#VALUE!</v>
      </c>
    </row>
    <row r="3820" spans="1:9" ht="15.75" customHeight="1">
      <c r="A3820" s="26"/>
      <c r="B3820" s="2"/>
      <c r="C3820" s="26"/>
      <c r="D3820" s="26"/>
      <c r="F3820" s="85" t="str">
        <f t="shared" si="0"/>
        <v/>
      </c>
      <c r="G3820" s="1" t="e">
        <f>IF(VALUE(F3820) = VALUE(RIGHT(Insights!$C$3, 4)), E3820, "")</f>
        <v>#VALUE!</v>
      </c>
      <c r="H3820" s="26" t="e">
        <f t="shared" si="1"/>
        <v>#VALUE!</v>
      </c>
      <c r="I3820" s="1" t="e">
        <f t="shared" si="2"/>
        <v>#VALUE!</v>
      </c>
    </row>
    <row r="3821" spans="1:9" ht="15.75" customHeight="1">
      <c r="A3821" s="26"/>
      <c r="B3821" s="2"/>
      <c r="C3821" s="26"/>
      <c r="D3821" s="26"/>
      <c r="F3821" s="85" t="str">
        <f t="shared" si="0"/>
        <v/>
      </c>
      <c r="G3821" s="1" t="e">
        <f>IF(VALUE(F3821) = VALUE(RIGHT(Insights!$C$3, 4)), E3821, "")</f>
        <v>#VALUE!</v>
      </c>
      <c r="H3821" s="26" t="e">
        <f t="shared" si="1"/>
        <v>#VALUE!</v>
      </c>
      <c r="I3821" s="1" t="e">
        <f t="shared" si="2"/>
        <v>#VALUE!</v>
      </c>
    </row>
    <row r="3822" spans="1:9" ht="15.75" customHeight="1">
      <c r="A3822" s="26"/>
      <c r="B3822" s="2"/>
      <c r="C3822" s="26"/>
      <c r="D3822" s="26"/>
      <c r="F3822" s="85" t="str">
        <f t="shared" si="0"/>
        <v/>
      </c>
      <c r="G3822" s="1" t="e">
        <f>IF(VALUE(F3822) = VALUE(RIGHT(Insights!$C$3, 4)), E3822, "")</f>
        <v>#VALUE!</v>
      </c>
      <c r="H3822" s="26" t="e">
        <f t="shared" si="1"/>
        <v>#VALUE!</v>
      </c>
      <c r="I3822" s="1" t="e">
        <f t="shared" si="2"/>
        <v>#VALUE!</v>
      </c>
    </row>
    <row r="3823" spans="1:9" ht="15.75" customHeight="1">
      <c r="A3823" s="26"/>
      <c r="B3823" s="2"/>
      <c r="C3823" s="26"/>
      <c r="D3823" s="26"/>
      <c r="F3823" s="85" t="str">
        <f t="shared" si="0"/>
        <v/>
      </c>
      <c r="G3823" s="1" t="e">
        <f>IF(VALUE(F3823) = VALUE(RIGHT(Insights!$C$3, 4)), E3823, "")</f>
        <v>#VALUE!</v>
      </c>
      <c r="H3823" s="26" t="e">
        <f t="shared" si="1"/>
        <v>#VALUE!</v>
      </c>
      <c r="I3823" s="1" t="e">
        <f t="shared" si="2"/>
        <v>#VALUE!</v>
      </c>
    </row>
    <row r="3824" spans="1:9" ht="15.75" customHeight="1">
      <c r="A3824" s="26"/>
      <c r="B3824" s="2"/>
      <c r="C3824" s="26"/>
      <c r="D3824" s="26"/>
      <c r="F3824" s="85" t="str">
        <f t="shared" si="0"/>
        <v/>
      </c>
      <c r="G3824" s="1" t="e">
        <f>IF(VALUE(F3824) = VALUE(RIGHT(Insights!$C$3, 4)), E3824, "")</f>
        <v>#VALUE!</v>
      </c>
      <c r="H3824" s="26" t="e">
        <f t="shared" si="1"/>
        <v>#VALUE!</v>
      </c>
      <c r="I3824" s="1" t="e">
        <f t="shared" si="2"/>
        <v>#VALUE!</v>
      </c>
    </row>
    <row r="3825" spans="1:9" ht="15.75" customHeight="1">
      <c r="A3825" s="26"/>
      <c r="B3825" s="2"/>
      <c r="C3825" s="26"/>
      <c r="D3825" s="26"/>
      <c r="F3825" s="85" t="str">
        <f t="shared" si="0"/>
        <v/>
      </c>
      <c r="G3825" s="1" t="e">
        <f>IF(VALUE(F3825) = VALUE(RIGHT(Insights!$C$3, 4)), E3825, "")</f>
        <v>#VALUE!</v>
      </c>
      <c r="H3825" s="26" t="e">
        <f t="shared" si="1"/>
        <v>#VALUE!</v>
      </c>
      <c r="I3825" s="1" t="e">
        <f t="shared" si="2"/>
        <v>#VALUE!</v>
      </c>
    </row>
    <row r="3826" spans="1:9" ht="15.75" customHeight="1">
      <c r="A3826" s="26"/>
      <c r="B3826" s="2"/>
      <c r="C3826" s="26"/>
      <c r="D3826" s="26"/>
      <c r="F3826" s="85" t="str">
        <f t="shared" si="0"/>
        <v/>
      </c>
      <c r="G3826" s="1" t="e">
        <f>IF(VALUE(F3826) = VALUE(RIGHT(Insights!$C$3, 4)), E3826, "")</f>
        <v>#VALUE!</v>
      </c>
      <c r="H3826" s="26" t="e">
        <f t="shared" si="1"/>
        <v>#VALUE!</v>
      </c>
      <c r="I3826" s="1" t="e">
        <f t="shared" si="2"/>
        <v>#VALUE!</v>
      </c>
    </row>
    <row r="3827" spans="1:9" ht="15.75" customHeight="1">
      <c r="A3827" s="26"/>
      <c r="B3827" s="2"/>
      <c r="C3827" s="26"/>
      <c r="D3827" s="26"/>
      <c r="F3827" s="85" t="str">
        <f t="shared" si="0"/>
        <v/>
      </c>
      <c r="G3827" s="1" t="e">
        <f>IF(VALUE(F3827) = VALUE(RIGHT(Insights!$C$3, 4)), E3827, "")</f>
        <v>#VALUE!</v>
      </c>
      <c r="H3827" s="26" t="e">
        <f t="shared" si="1"/>
        <v>#VALUE!</v>
      </c>
      <c r="I3827" s="1" t="e">
        <f t="shared" si="2"/>
        <v>#VALUE!</v>
      </c>
    </row>
    <row r="3828" spans="1:9" ht="15.75" customHeight="1">
      <c r="A3828" s="26"/>
      <c r="B3828" s="2"/>
      <c r="C3828" s="26"/>
      <c r="D3828" s="26"/>
      <c r="F3828" s="85" t="str">
        <f t="shared" si="0"/>
        <v/>
      </c>
      <c r="G3828" s="1" t="e">
        <f>IF(VALUE(F3828) = VALUE(RIGHT(Insights!$C$3, 4)), E3828, "")</f>
        <v>#VALUE!</v>
      </c>
      <c r="H3828" s="26" t="e">
        <f t="shared" si="1"/>
        <v>#VALUE!</v>
      </c>
      <c r="I3828" s="1" t="e">
        <f t="shared" si="2"/>
        <v>#VALUE!</v>
      </c>
    </row>
    <row r="3829" spans="1:9" ht="15.75" customHeight="1">
      <c r="A3829" s="26"/>
      <c r="B3829" s="2"/>
      <c r="C3829" s="26"/>
      <c r="D3829" s="26"/>
      <c r="F3829" s="85" t="str">
        <f t="shared" si="0"/>
        <v/>
      </c>
      <c r="G3829" s="1" t="e">
        <f>IF(VALUE(F3829) = VALUE(RIGHT(Insights!$C$3, 4)), E3829, "")</f>
        <v>#VALUE!</v>
      </c>
      <c r="H3829" s="26" t="e">
        <f t="shared" si="1"/>
        <v>#VALUE!</v>
      </c>
      <c r="I3829" s="1" t="e">
        <f t="shared" si="2"/>
        <v>#VALUE!</v>
      </c>
    </row>
    <row r="3830" spans="1:9" ht="15.75" customHeight="1">
      <c r="A3830" s="26"/>
      <c r="B3830" s="2"/>
      <c r="C3830" s="26"/>
      <c r="D3830" s="26"/>
      <c r="F3830" s="85" t="str">
        <f t="shared" si="0"/>
        <v/>
      </c>
      <c r="G3830" s="1" t="e">
        <f>IF(VALUE(F3830) = VALUE(RIGHT(Insights!$C$3, 4)), E3830, "")</f>
        <v>#VALUE!</v>
      </c>
      <c r="H3830" s="26" t="e">
        <f t="shared" si="1"/>
        <v>#VALUE!</v>
      </c>
      <c r="I3830" s="1" t="e">
        <f t="shared" si="2"/>
        <v>#VALUE!</v>
      </c>
    </row>
    <row r="3831" spans="1:9" ht="15.75" customHeight="1">
      <c r="A3831" s="26"/>
      <c r="B3831" s="2"/>
      <c r="C3831" s="26"/>
      <c r="D3831" s="26"/>
      <c r="F3831" s="85" t="str">
        <f t="shared" si="0"/>
        <v/>
      </c>
      <c r="G3831" s="1" t="e">
        <f>IF(VALUE(F3831) = VALUE(RIGHT(Insights!$C$3, 4)), E3831, "")</f>
        <v>#VALUE!</v>
      </c>
      <c r="H3831" s="26" t="e">
        <f t="shared" si="1"/>
        <v>#VALUE!</v>
      </c>
      <c r="I3831" s="1" t="e">
        <f t="shared" si="2"/>
        <v>#VALUE!</v>
      </c>
    </row>
    <row r="3832" spans="1:9" ht="15.75" customHeight="1">
      <c r="A3832" s="26"/>
      <c r="B3832" s="2"/>
      <c r="C3832" s="26"/>
      <c r="D3832" s="26"/>
      <c r="F3832" s="85" t="str">
        <f t="shared" si="0"/>
        <v/>
      </c>
      <c r="G3832" s="1" t="e">
        <f>IF(VALUE(F3832) = VALUE(RIGHT(Insights!$C$3, 4)), E3832, "")</f>
        <v>#VALUE!</v>
      </c>
      <c r="H3832" s="26" t="e">
        <f t="shared" si="1"/>
        <v>#VALUE!</v>
      </c>
      <c r="I3832" s="1" t="e">
        <f t="shared" si="2"/>
        <v>#VALUE!</v>
      </c>
    </row>
    <row r="3833" spans="1:9" ht="15.75" customHeight="1">
      <c r="A3833" s="26"/>
      <c r="B3833" s="2"/>
      <c r="C3833" s="26"/>
      <c r="D3833" s="26"/>
      <c r="F3833" s="85" t="str">
        <f t="shared" si="0"/>
        <v/>
      </c>
      <c r="G3833" s="1" t="e">
        <f>IF(VALUE(F3833) = VALUE(RIGHT(Insights!$C$3, 4)), E3833, "")</f>
        <v>#VALUE!</v>
      </c>
      <c r="H3833" s="26" t="e">
        <f t="shared" si="1"/>
        <v>#VALUE!</v>
      </c>
      <c r="I3833" s="1" t="e">
        <f t="shared" si="2"/>
        <v>#VALUE!</v>
      </c>
    </row>
    <row r="3834" spans="1:9" ht="15.75" customHeight="1">
      <c r="A3834" s="26"/>
      <c r="B3834" s="2"/>
      <c r="C3834" s="26"/>
      <c r="D3834" s="26"/>
      <c r="F3834" s="85" t="str">
        <f t="shared" si="0"/>
        <v/>
      </c>
      <c r="G3834" s="1" t="e">
        <f>IF(VALUE(F3834) = VALUE(RIGHT(Insights!$C$3, 4)), E3834, "")</f>
        <v>#VALUE!</v>
      </c>
      <c r="H3834" s="26" t="e">
        <f t="shared" si="1"/>
        <v>#VALUE!</v>
      </c>
      <c r="I3834" s="1" t="e">
        <f t="shared" si="2"/>
        <v>#VALUE!</v>
      </c>
    </row>
    <row r="3835" spans="1:9" ht="15.75" customHeight="1">
      <c r="A3835" s="26"/>
      <c r="B3835" s="2"/>
      <c r="C3835" s="26"/>
      <c r="D3835" s="26"/>
      <c r="F3835" s="85" t="str">
        <f t="shared" si="0"/>
        <v/>
      </c>
      <c r="G3835" s="1" t="e">
        <f>IF(VALUE(F3835) = VALUE(RIGHT(Insights!$C$3, 4)), E3835, "")</f>
        <v>#VALUE!</v>
      </c>
      <c r="H3835" s="26" t="e">
        <f t="shared" si="1"/>
        <v>#VALUE!</v>
      </c>
      <c r="I3835" s="1" t="e">
        <f t="shared" si="2"/>
        <v>#VALUE!</v>
      </c>
    </row>
    <row r="3836" spans="1:9" ht="15.75" customHeight="1">
      <c r="A3836" s="26"/>
      <c r="B3836" s="2"/>
      <c r="C3836" s="26"/>
      <c r="D3836" s="26"/>
      <c r="F3836" s="85" t="str">
        <f t="shared" si="0"/>
        <v/>
      </c>
      <c r="G3836" s="1" t="e">
        <f>IF(VALUE(F3836) = VALUE(RIGHT(Insights!$C$3, 4)), E3836, "")</f>
        <v>#VALUE!</v>
      </c>
      <c r="H3836" s="26" t="e">
        <f t="shared" si="1"/>
        <v>#VALUE!</v>
      </c>
      <c r="I3836" s="1" t="e">
        <f t="shared" si="2"/>
        <v>#VALUE!</v>
      </c>
    </row>
    <row r="3837" spans="1:9" ht="15.75" customHeight="1">
      <c r="A3837" s="26"/>
      <c r="B3837" s="2"/>
      <c r="C3837" s="26"/>
      <c r="D3837" s="26"/>
      <c r="F3837" s="85" t="str">
        <f t="shared" si="0"/>
        <v/>
      </c>
      <c r="G3837" s="1" t="e">
        <f>IF(VALUE(F3837) = VALUE(RIGHT(Insights!$C$3, 4)), E3837, "")</f>
        <v>#VALUE!</v>
      </c>
      <c r="H3837" s="26" t="e">
        <f t="shared" si="1"/>
        <v>#VALUE!</v>
      </c>
      <c r="I3837" s="1" t="e">
        <f t="shared" si="2"/>
        <v>#VALUE!</v>
      </c>
    </row>
    <row r="3838" spans="1:9" ht="15.75" customHeight="1">
      <c r="A3838" s="26"/>
      <c r="B3838" s="2"/>
      <c r="C3838" s="26"/>
      <c r="D3838" s="26"/>
      <c r="F3838" s="85" t="str">
        <f t="shared" si="0"/>
        <v/>
      </c>
      <c r="G3838" s="1" t="e">
        <f>IF(VALUE(F3838) = VALUE(RIGHT(Insights!$C$3, 4)), E3838, "")</f>
        <v>#VALUE!</v>
      </c>
      <c r="H3838" s="26" t="e">
        <f t="shared" si="1"/>
        <v>#VALUE!</v>
      </c>
      <c r="I3838" s="1" t="e">
        <f t="shared" si="2"/>
        <v>#VALUE!</v>
      </c>
    </row>
    <row r="3839" spans="1:9" ht="15.75" customHeight="1">
      <c r="A3839" s="26"/>
      <c r="B3839" s="2"/>
      <c r="C3839" s="26"/>
      <c r="D3839" s="26"/>
      <c r="F3839" s="85" t="str">
        <f t="shared" si="0"/>
        <v/>
      </c>
      <c r="G3839" s="1" t="e">
        <f>IF(VALUE(F3839) = VALUE(RIGHT(Insights!$C$3, 4)), E3839, "")</f>
        <v>#VALUE!</v>
      </c>
      <c r="H3839" s="26" t="e">
        <f t="shared" si="1"/>
        <v>#VALUE!</v>
      </c>
      <c r="I3839" s="1" t="e">
        <f t="shared" si="2"/>
        <v>#VALUE!</v>
      </c>
    </row>
    <row r="3840" spans="1:9" ht="15.75" customHeight="1">
      <c r="A3840" s="26"/>
      <c r="B3840" s="2"/>
      <c r="C3840" s="26"/>
      <c r="D3840" s="26"/>
      <c r="F3840" s="85" t="str">
        <f t="shared" si="0"/>
        <v/>
      </c>
      <c r="G3840" s="1" t="e">
        <f>IF(VALUE(F3840) = VALUE(RIGHT(Insights!$C$3, 4)), E3840, "")</f>
        <v>#VALUE!</v>
      </c>
      <c r="H3840" s="26" t="e">
        <f t="shared" si="1"/>
        <v>#VALUE!</v>
      </c>
      <c r="I3840" s="1" t="e">
        <f t="shared" si="2"/>
        <v>#VALUE!</v>
      </c>
    </row>
    <row r="3841" spans="1:9" ht="15.75" customHeight="1">
      <c r="A3841" s="26"/>
      <c r="B3841" s="2"/>
      <c r="C3841" s="26"/>
      <c r="D3841" s="26"/>
      <c r="F3841" s="85" t="str">
        <f t="shared" si="0"/>
        <v/>
      </c>
      <c r="G3841" s="1" t="e">
        <f>IF(VALUE(F3841) = VALUE(RIGHT(Insights!$C$3, 4)), E3841, "")</f>
        <v>#VALUE!</v>
      </c>
      <c r="H3841" s="26" t="e">
        <f t="shared" si="1"/>
        <v>#VALUE!</v>
      </c>
      <c r="I3841" s="1" t="e">
        <f t="shared" si="2"/>
        <v>#VALUE!</v>
      </c>
    </row>
    <row r="3842" spans="1:9" ht="15.75" customHeight="1">
      <c r="A3842" s="26"/>
      <c r="B3842" s="2"/>
      <c r="C3842" s="26"/>
      <c r="D3842" s="26"/>
      <c r="F3842" s="85" t="str">
        <f t="shared" si="0"/>
        <v/>
      </c>
      <c r="G3842" s="1" t="e">
        <f>IF(VALUE(F3842) = VALUE(RIGHT(Insights!$C$3, 4)), E3842, "")</f>
        <v>#VALUE!</v>
      </c>
      <c r="H3842" s="26" t="e">
        <f t="shared" si="1"/>
        <v>#VALUE!</v>
      </c>
      <c r="I3842" s="1" t="e">
        <f t="shared" si="2"/>
        <v>#VALUE!</v>
      </c>
    </row>
    <row r="3843" spans="1:9" ht="15.75" customHeight="1">
      <c r="A3843" s="26"/>
      <c r="B3843" s="2"/>
      <c r="C3843" s="26"/>
      <c r="D3843" s="26"/>
      <c r="F3843" s="85" t="str">
        <f t="shared" si="0"/>
        <v/>
      </c>
      <c r="G3843" s="1" t="e">
        <f>IF(VALUE(F3843) = VALUE(RIGHT(Insights!$C$3, 4)), E3843, "")</f>
        <v>#VALUE!</v>
      </c>
      <c r="H3843" s="26" t="e">
        <f t="shared" si="1"/>
        <v>#VALUE!</v>
      </c>
      <c r="I3843" s="1" t="e">
        <f t="shared" si="2"/>
        <v>#VALUE!</v>
      </c>
    </row>
    <row r="3844" spans="1:9" ht="15.75" customHeight="1">
      <c r="A3844" s="26"/>
      <c r="B3844" s="2"/>
      <c r="C3844" s="26"/>
      <c r="D3844" s="26"/>
      <c r="F3844" s="85" t="str">
        <f t="shared" si="0"/>
        <v/>
      </c>
      <c r="G3844" s="1" t="e">
        <f>IF(VALUE(F3844) = VALUE(RIGHT(Insights!$C$3, 4)), E3844, "")</f>
        <v>#VALUE!</v>
      </c>
      <c r="H3844" s="26" t="e">
        <f t="shared" si="1"/>
        <v>#VALUE!</v>
      </c>
      <c r="I3844" s="1" t="e">
        <f t="shared" si="2"/>
        <v>#VALUE!</v>
      </c>
    </row>
    <row r="3845" spans="1:9" ht="15.75" customHeight="1">
      <c r="A3845" s="26"/>
      <c r="B3845" s="2"/>
      <c r="C3845" s="26"/>
      <c r="D3845" s="26"/>
      <c r="F3845" s="85" t="str">
        <f t="shared" si="0"/>
        <v/>
      </c>
      <c r="G3845" s="1" t="e">
        <f>IF(VALUE(F3845) = VALUE(RIGHT(Insights!$C$3, 4)), E3845, "")</f>
        <v>#VALUE!</v>
      </c>
      <c r="H3845" s="26" t="e">
        <f t="shared" si="1"/>
        <v>#VALUE!</v>
      </c>
      <c r="I3845" s="1" t="e">
        <f t="shared" si="2"/>
        <v>#VALUE!</v>
      </c>
    </row>
    <row r="3846" spans="1:9" ht="15.75" customHeight="1">
      <c r="A3846" s="26"/>
      <c r="B3846" s="2"/>
      <c r="C3846" s="26"/>
      <c r="D3846" s="26"/>
      <c r="F3846" s="85" t="str">
        <f t="shared" si="0"/>
        <v/>
      </c>
      <c r="G3846" s="1" t="e">
        <f>IF(VALUE(F3846) = VALUE(RIGHT(Insights!$C$3, 4)), E3846, "")</f>
        <v>#VALUE!</v>
      </c>
      <c r="H3846" s="26" t="e">
        <f t="shared" si="1"/>
        <v>#VALUE!</v>
      </c>
      <c r="I3846" s="1" t="e">
        <f t="shared" si="2"/>
        <v>#VALUE!</v>
      </c>
    </row>
    <row r="3847" spans="1:9" ht="15.75" customHeight="1">
      <c r="A3847" s="26"/>
      <c r="B3847" s="2"/>
      <c r="C3847" s="26"/>
      <c r="D3847" s="26"/>
      <c r="F3847" s="85" t="str">
        <f t="shared" si="0"/>
        <v/>
      </c>
      <c r="G3847" s="1" t="e">
        <f>IF(VALUE(F3847) = VALUE(RIGHT(Insights!$C$3, 4)), E3847, "")</f>
        <v>#VALUE!</v>
      </c>
      <c r="H3847" s="26" t="e">
        <f t="shared" si="1"/>
        <v>#VALUE!</v>
      </c>
      <c r="I3847" s="1" t="e">
        <f t="shared" si="2"/>
        <v>#VALUE!</v>
      </c>
    </row>
    <row r="3848" spans="1:9" ht="15.75" customHeight="1">
      <c r="A3848" s="26"/>
      <c r="B3848" s="2"/>
      <c r="C3848" s="26"/>
      <c r="D3848" s="26"/>
      <c r="F3848" s="85" t="str">
        <f t="shared" si="0"/>
        <v/>
      </c>
      <c r="G3848" s="1" t="e">
        <f>IF(VALUE(F3848) = VALUE(RIGHT(Insights!$C$3, 4)), E3848, "")</f>
        <v>#VALUE!</v>
      </c>
      <c r="H3848" s="26" t="e">
        <f t="shared" si="1"/>
        <v>#VALUE!</v>
      </c>
      <c r="I3848" s="1" t="e">
        <f t="shared" si="2"/>
        <v>#VALUE!</v>
      </c>
    </row>
    <row r="3849" spans="1:9" ht="15.75" customHeight="1">
      <c r="A3849" s="26"/>
      <c r="B3849" s="2"/>
      <c r="C3849" s="26"/>
      <c r="D3849" s="26"/>
      <c r="F3849" s="85" t="str">
        <f t="shared" si="0"/>
        <v/>
      </c>
      <c r="G3849" s="1" t="e">
        <f>IF(VALUE(F3849) = VALUE(RIGHT(Insights!$C$3, 4)), E3849, "")</f>
        <v>#VALUE!</v>
      </c>
      <c r="H3849" s="26" t="e">
        <f t="shared" si="1"/>
        <v>#VALUE!</v>
      </c>
      <c r="I3849" s="1" t="e">
        <f t="shared" si="2"/>
        <v>#VALUE!</v>
      </c>
    </row>
    <row r="3850" spans="1:9" ht="15.75" customHeight="1">
      <c r="A3850" s="26"/>
      <c r="B3850" s="2"/>
      <c r="C3850" s="26"/>
      <c r="D3850" s="26"/>
      <c r="F3850" s="85" t="str">
        <f t="shared" si="0"/>
        <v/>
      </c>
      <c r="G3850" s="1" t="e">
        <f>IF(VALUE(F3850) = VALUE(RIGHT(Insights!$C$3, 4)), E3850, "")</f>
        <v>#VALUE!</v>
      </c>
      <c r="H3850" s="26" t="e">
        <f t="shared" si="1"/>
        <v>#VALUE!</v>
      </c>
      <c r="I3850" s="1" t="e">
        <f t="shared" si="2"/>
        <v>#VALUE!</v>
      </c>
    </row>
    <row r="3851" spans="1:9" ht="15.75" customHeight="1">
      <c r="A3851" s="26"/>
      <c r="B3851" s="2"/>
      <c r="C3851" s="26"/>
      <c r="D3851" s="26"/>
      <c r="F3851" s="85" t="str">
        <f t="shared" si="0"/>
        <v/>
      </c>
      <c r="G3851" s="1" t="e">
        <f>IF(VALUE(F3851) = VALUE(RIGHT(Insights!$C$3, 4)), E3851, "")</f>
        <v>#VALUE!</v>
      </c>
      <c r="H3851" s="26" t="e">
        <f t="shared" si="1"/>
        <v>#VALUE!</v>
      </c>
      <c r="I3851" s="1" t="e">
        <f t="shared" si="2"/>
        <v>#VALUE!</v>
      </c>
    </row>
    <row r="3852" spans="1:9" ht="15.75" customHeight="1">
      <c r="A3852" s="26"/>
      <c r="B3852" s="2"/>
      <c r="C3852" s="26"/>
      <c r="D3852" s="26"/>
      <c r="F3852" s="85" t="str">
        <f t="shared" si="0"/>
        <v/>
      </c>
      <c r="G3852" s="1" t="e">
        <f>IF(VALUE(F3852) = VALUE(RIGHT(Insights!$C$3, 4)), E3852, "")</f>
        <v>#VALUE!</v>
      </c>
      <c r="H3852" s="26" t="e">
        <f t="shared" si="1"/>
        <v>#VALUE!</v>
      </c>
      <c r="I3852" s="1" t="e">
        <f t="shared" si="2"/>
        <v>#VALUE!</v>
      </c>
    </row>
    <row r="3853" spans="1:9" ht="15.75" customHeight="1">
      <c r="A3853" s="26"/>
      <c r="B3853" s="2"/>
      <c r="C3853" s="26"/>
      <c r="D3853" s="26"/>
      <c r="F3853" s="85" t="str">
        <f t="shared" si="0"/>
        <v/>
      </c>
      <c r="G3853" s="1" t="e">
        <f>IF(VALUE(F3853) = VALUE(RIGHT(Insights!$C$3, 4)), E3853, "")</f>
        <v>#VALUE!</v>
      </c>
      <c r="H3853" s="26" t="e">
        <f t="shared" si="1"/>
        <v>#VALUE!</v>
      </c>
      <c r="I3853" s="1" t="e">
        <f t="shared" si="2"/>
        <v>#VALUE!</v>
      </c>
    </row>
    <row r="3854" spans="1:9" ht="15.75" customHeight="1">
      <c r="A3854" s="26"/>
      <c r="B3854" s="2"/>
      <c r="C3854" s="26"/>
      <c r="D3854" s="26"/>
      <c r="F3854" s="85" t="str">
        <f t="shared" si="0"/>
        <v/>
      </c>
      <c r="G3854" s="1" t="e">
        <f>IF(VALUE(F3854) = VALUE(RIGHT(Insights!$C$3, 4)), E3854, "")</f>
        <v>#VALUE!</v>
      </c>
      <c r="H3854" s="26" t="e">
        <f t="shared" si="1"/>
        <v>#VALUE!</v>
      </c>
      <c r="I3854" s="1" t="e">
        <f t="shared" si="2"/>
        <v>#VALUE!</v>
      </c>
    </row>
    <row r="3855" spans="1:9" ht="15.75" customHeight="1">
      <c r="A3855" s="26"/>
      <c r="B3855" s="2"/>
      <c r="C3855" s="26"/>
      <c r="D3855" s="26"/>
      <c r="F3855" s="85" t="str">
        <f t="shared" si="0"/>
        <v/>
      </c>
      <c r="G3855" s="1" t="e">
        <f>IF(VALUE(F3855) = VALUE(RIGHT(Insights!$C$3, 4)), E3855, "")</f>
        <v>#VALUE!</v>
      </c>
      <c r="H3855" s="26" t="e">
        <f t="shared" si="1"/>
        <v>#VALUE!</v>
      </c>
      <c r="I3855" s="1" t="e">
        <f t="shared" si="2"/>
        <v>#VALUE!</v>
      </c>
    </row>
    <row r="3856" spans="1:9" ht="15.75" customHeight="1">
      <c r="A3856" s="26"/>
      <c r="B3856" s="2"/>
      <c r="C3856" s="26"/>
      <c r="D3856" s="26"/>
      <c r="F3856" s="85" t="str">
        <f t="shared" si="0"/>
        <v/>
      </c>
      <c r="G3856" s="1" t="e">
        <f>IF(VALUE(F3856) = VALUE(RIGHT(Insights!$C$3, 4)), E3856, "")</f>
        <v>#VALUE!</v>
      </c>
      <c r="H3856" s="26" t="e">
        <f t="shared" si="1"/>
        <v>#VALUE!</v>
      </c>
      <c r="I3856" s="1" t="e">
        <f t="shared" si="2"/>
        <v>#VALUE!</v>
      </c>
    </row>
    <row r="3857" spans="1:9" ht="15.75" customHeight="1">
      <c r="A3857" s="26"/>
      <c r="B3857" s="2"/>
      <c r="C3857" s="26"/>
      <c r="D3857" s="26"/>
      <c r="F3857" s="85" t="str">
        <f t="shared" si="0"/>
        <v/>
      </c>
      <c r="G3857" s="1" t="e">
        <f>IF(VALUE(F3857) = VALUE(RIGHT(Insights!$C$3, 4)), E3857, "")</f>
        <v>#VALUE!</v>
      </c>
      <c r="H3857" s="26" t="e">
        <f t="shared" si="1"/>
        <v>#VALUE!</v>
      </c>
      <c r="I3857" s="1" t="e">
        <f t="shared" si="2"/>
        <v>#VALUE!</v>
      </c>
    </row>
    <row r="3858" spans="1:9" ht="15.75" customHeight="1">
      <c r="A3858" s="26"/>
      <c r="B3858" s="2"/>
      <c r="C3858" s="26"/>
      <c r="D3858" s="26"/>
      <c r="F3858" s="85" t="str">
        <f t="shared" si="0"/>
        <v/>
      </c>
      <c r="G3858" s="1" t="e">
        <f>IF(VALUE(F3858) = VALUE(RIGHT(Insights!$C$3, 4)), E3858, "")</f>
        <v>#VALUE!</v>
      </c>
      <c r="H3858" s="26" t="e">
        <f t="shared" si="1"/>
        <v>#VALUE!</v>
      </c>
      <c r="I3858" s="1" t="e">
        <f t="shared" si="2"/>
        <v>#VALUE!</v>
      </c>
    </row>
    <row r="3859" spans="1:9" ht="15.75" customHeight="1">
      <c r="A3859" s="26"/>
      <c r="B3859" s="2"/>
      <c r="C3859" s="26"/>
      <c r="D3859" s="26"/>
      <c r="F3859" s="85" t="str">
        <f t="shared" si="0"/>
        <v/>
      </c>
      <c r="G3859" s="1" t="e">
        <f>IF(VALUE(F3859) = VALUE(RIGHT(Insights!$C$3, 4)), E3859, "")</f>
        <v>#VALUE!</v>
      </c>
      <c r="H3859" s="26" t="e">
        <f t="shared" si="1"/>
        <v>#VALUE!</v>
      </c>
      <c r="I3859" s="1" t="e">
        <f t="shared" si="2"/>
        <v>#VALUE!</v>
      </c>
    </row>
    <row r="3860" spans="1:9" ht="15.75" customHeight="1">
      <c r="A3860" s="26"/>
      <c r="B3860" s="2"/>
      <c r="C3860" s="26"/>
      <c r="D3860" s="26"/>
      <c r="F3860" s="85" t="str">
        <f t="shared" si="0"/>
        <v/>
      </c>
      <c r="G3860" s="1" t="e">
        <f>IF(VALUE(F3860) = VALUE(RIGHT(Insights!$C$3, 4)), E3860, "")</f>
        <v>#VALUE!</v>
      </c>
      <c r="H3860" s="26" t="e">
        <f t="shared" si="1"/>
        <v>#VALUE!</v>
      </c>
      <c r="I3860" s="1" t="e">
        <f t="shared" si="2"/>
        <v>#VALUE!</v>
      </c>
    </row>
    <row r="3861" spans="1:9" ht="15.75" customHeight="1">
      <c r="A3861" s="26"/>
      <c r="B3861" s="2"/>
      <c r="C3861" s="26"/>
      <c r="D3861" s="26"/>
      <c r="F3861" s="85" t="str">
        <f t="shared" si="0"/>
        <v/>
      </c>
      <c r="G3861" s="1" t="e">
        <f>IF(VALUE(F3861) = VALUE(RIGHT(Insights!$C$3, 4)), E3861, "")</f>
        <v>#VALUE!</v>
      </c>
      <c r="H3861" s="26" t="e">
        <f t="shared" si="1"/>
        <v>#VALUE!</v>
      </c>
      <c r="I3861" s="1" t="e">
        <f t="shared" si="2"/>
        <v>#VALUE!</v>
      </c>
    </row>
    <row r="3862" spans="1:9" ht="15.75" customHeight="1">
      <c r="A3862" s="26"/>
      <c r="B3862" s="2"/>
      <c r="C3862" s="26"/>
      <c r="D3862" s="26"/>
      <c r="F3862" s="85" t="str">
        <f t="shared" si="0"/>
        <v/>
      </c>
      <c r="G3862" s="1" t="e">
        <f>IF(VALUE(F3862) = VALUE(RIGHT(Insights!$C$3, 4)), E3862, "")</f>
        <v>#VALUE!</v>
      </c>
      <c r="H3862" s="26" t="e">
        <f t="shared" si="1"/>
        <v>#VALUE!</v>
      </c>
      <c r="I3862" s="1" t="e">
        <f t="shared" si="2"/>
        <v>#VALUE!</v>
      </c>
    </row>
    <row r="3863" spans="1:9" ht="15.75" customHeight="1">
      <c r="A3863" s="26"/>
      <c r="B3863" s="2"/>
      <c r="C3863" s="26"/>
      <c r="D3863" s="26"/>
      <c r="F3863" s="85" t="str">
        <f t="shared" si="0"/>
        <v/>
      </c>
      <c r="G3863" s="1" t="e">
        <f>IF(VALUE(F3863) = VALUE(RIGHT(Insights!$C$3, 4)), E3863, "")</f>
        <v>#VALUE!</v>
      </c>
      <c r="H3863" s="26" t="e">
        <f t="shared" si="1"/>
        <v>#VALUE!</v>
      </c>
      <c r="I3863" s="1" t="e">
        <f t="shared" si="2"/>
        <v>#VALUE!</v>
      </c>
    </row>
    <row r="3864" spans="1:9" ht="15.75" customHeight="1">
      <c r="A3864" s="26"/>
      <c r="B3864" s="2"/>
      <c r="C3864" s="26"/>
      <c r="D3864" s="26"/>
      <c r="F3864" s="85" t="str">
        <f t="shared" si="0"/>
        <v/>
      </c>
      <c r="G3864" s="1" t="e">
        <f>IF(VALUE(F3864) = VALUE(RIGHT(Insights!$C$3, 4)), E3864, "")</f>
        <v>#VALUE!</v>
      </c>
      <c r="H3864" s="26" t="e">
        <f t="shared" si="1"/>
        <v>#VALUE!</v>
      </c>
      <c r="I3864" s="1" t="e">
        <f t="shared" si="2"/>
        <v>#VALUE!</v>
      </c>
    </row>
    <row r="3865" spans="1:9" ht="15.75" customHeight="1">
      <c r="A3865" s="26"/>
      <c r="B3865" s="2"/>
      <c r="C3865" s="26"/>
      <c r="D3865" s="26"/>
      <c r="F3865" s="85" t="str">
        <f t="shared" si="0"/>
        <v/>
      </c>
      <c r="G3865" s="1" t="e">
        <f>IF(VALUE(F3865) = VALUE(RIGHT(Insights!$C$3, 4)), E3865, "")</f>
        <v>#VALUE!</v>
      </c>
      <c r="H3865" s="26" t="e">
        <f t="shared" si="1"/>
        <v>#VALUE!</v>
      </c>
      <c r="I3865" s="1" t="e">
        <f t="shared" si="2"/>
        <v>#VALUE!</v>
      </c>
    </row>
    <row r="3866" spans="1:9" ht="15.75" customHeight="1">
      <c r="A3866" s="26"/>
      <c r="B3866" s="2"/>
      <c r="C3866" s="26"/>
      <c r="D3866" s="26"/>
      <c r="F3866" s="85" t="str">
        <f t="shared" si="0"/>
        <v/>
      </c>
      <c r="G3866" s="1" t="e">
        <f>IF(VALUE(F3866) = VALUE(RIGHT(Insights!$C$3, 4)), E3866, "")</f>
        <v>#VALUE!</v>
      </c>
      <c r="H3866" s="26" t="e">
        <f t="shared" si="1"/>
        <v>#VALUE!</v>
      </c>
      <c r="I3866" s="1" t="e">
        <f t="shared" si="2"/>
        <v>#VALUE!</v>
      </c>
    </row>
    <row r="3867" spans="1:9" ht="15.75" customHeight="1">
      <c r="A3867" s="26"/>
      <c r="B3867" s="2"/>
      <c r="C3867" s="26"/>
      <c r="D3867" s="26"/>
      <c r="F3867" s="85" t="str">
        <f t="shared" si="0"/>
        <v/>
      </c>
      <c r="G3867" s="1" t="e">
        <f>IF(VALUE(F3867) = VALUE(RIGHT(Insights!$C$3, 4)), E3867, "")</f>
        <v>#VALUE!</v>
      </c>
      <c r="H3867" s="26" t="e">
        <f t="shared" si="1"/>
        <v>#VALUE!</v>
      </c>
      <c r="I3867" s="1" t="e">
        <f t="shared" si="2"/>
        <v>#VALUE!</v>
      </c>
    </row>
    <row r="3868" spans="1:9" ht="15.75" customHeight="1">
      <c r="A3868" s="26"/>
      <c r="B3868" s="2"/>
      <c r="C3868" s="26"/>
      <c r="D3868" s="26"/>
      <c r="F3868" s="85" t="str">
        <f t="shared" si="0"/>
        <v/>
      </c>
      <c r="G3868" s="1" t="e">
        <f>IF(VALUE(F3868) = VALUE(RIGHT(Insights!$C$3, 4)), E3868, "")</f>
        <v>#VALUE!</v>
      </c>
      <c r="H3868" s="26" t="e">
        <f t="shared" si="1"/>
        <v>#VALUE!</v>
      </c>
      <c r="I3868" s="1" t="e">
        <f t="shared" si="2"/>
        <v>#VALUE!</v>
      </c>
    </row>
    <row r="3869" spans="1:9" ht="15.75" customHeight="1">
      <c r="A3869" s="26"/>
      <c r="B3869" s="2"/>
      <c r="C3869" s="26"/>
      <c r="D3869" s="26"/>
      <c r="F3869" s="85" t="str">
        <f t="shared" si="0"/>
        <v/>
      </c>
      <c r="G3869" s="1" t="e">
        <f>IF(VALUE(F3869) = VALUE(RIGHT(Insights!$C$3, 4)), E3869, "")</f>
        <v>#VALUE!</v>
      </c>
      <c r="H3869" s="26" t="e">
        <f t="shared" si="1"/>
        <v>#VALUE!</v>
      </c>
      <c r="I3869" s="1" t="e">
        <f t="shared" si="2"/>
        <v>#VALUE!</v>
      </c>
    </row>
    <row r="3870" spans="1:9" ht="15.75" customHeight="1">
      <c r="A3870" s="26"/>
      <c r="B3870" s="2"/>
      <c r="C3870" s="26"/>
      <c r="D3870" s="26"/>
      <c r="F3870" s="85" t="str">
        <f t="shared" si="0"/>
        <v/>
      </c>
      <c r="G3870" s="1" t="e">
        <f>IF(VALUE(F3870) = VALUE(RIGHT(Insights!$C$3, 4)), E3870, "")</f>
        <v>#VALUE!</v>
      </c>
      <c r="H3870" s="26" t="e">
        <f t="shared" si="1"/>
        <v>#VALUE!</v>
      </c>
      <c r="I3870" s="1" t="e">
        <f t="shared" si="2"/>
        <v>#VALUE!</v>
      </c>
    </row>
    <row r="3871" spans="1:9" ht="15.75" customHeight="1">
      <c r="A3871" s="26"/>
      <c r="B3871" s="2"/>
      <c r="C3871" s="26"/>
      <c r="D3871" s="26"/>
      <c r="F3871" s="85" t="str">
        <f t="shared" si="0"/>
        <v/>
      </c>
      <c r="G3871" s="1" t="e">
        <f>IF(VALUE(F3871) = VALUE(RIGHT(Insights!$C$3, 4)), E3871, "")</f>
        <v>#VALUE!</v>
      </c>
      <c r="H3871" s="26" t="e">
        <f t="shared" si="1"/>
        <v>#VALUE!</v>
      </c>
      <c r="I3871" s="1" t="e">
        <f t="shared" si="2"/>
        <v>#VALUE!</v>
      </c>
    </row>
    <row r="3872" spans="1:9" ht="15.75" customHeight="1">
      <c r="A3872" s="26"/>
      <c r="B3872" s="2"/>
      <c r="C3872" s="26"/>
      <c r="D3872" s="26"/>
      <c r="F3872" s="85" t="str">
        <f t="shared" si="0"/>
        <v/>
      </c>
      <c r="G3872" s="1" t="e">
        <f>IF(VALUE(F3872) = VALUE(RIGHT(Insights!$C$3, 4)), E3872, "")</f>
        <v>#VALUE!</v>
      </c>
      <c r="H3872" s="26" t="e">
        <f t="shared" si="1"/>
        <v>#VALUE!</v>
      </c>
      <c r="I3872" s="1" t="e">
        <f t="shared" si="2"/>
        <v>#VALUE!</v>
      </c>
    </row>
    <row r="3873" spans="1:9" ht="15.75" customHeight="1">
      <c r="A3873" s="26"/>
      <c r="B3873" s="2"/>
      <c r="C3873" s="26"/>
      <c r="D3873" s="26"/>
      <c r="F3873" s="85" t="str">
        <f t="shared" si="0"/>
        <v/>
      </c>
      <c r="G3873" s="1" t="e">
        <f>IF(VALUE(F3873) = VALUE(RIGHT(Insights!$C$3, 4)), E3873, "")</f>
        <v>#VALUE!</v>
      </c>
      <c r="H3873" s="26" t="e">
        <f t="shared" si="1"/>
        <v>#VALUE!</v>
      </c>
      <c r="I3873" s="1" t="e">
        <f t="shared" si="2"/>
        <v>#VALUE!</v>
      </c>
    </row>
    <row r="3874" spans="1:9" ht="15.75" customHeight="1">
      <c r="A3874" s="26"/>
      <c r="B3874" s="2"/>
      <c r="C3874" s="26"/>
      <c r="D3874" s="26"/>
      <c r="F3874" s="85" t="str">
        <f t="shared" si="0"/>
        <v/>
      </c>
      <c r="G3874" s="1" t="e">
        <f>IF(VALUE(F3874) = VALUE(RIGHT(Insights!$C$3, 4)), E3874, "")</f>
        <v>#VALUE!</v>
      </c>
      <c r="H3874" s="26" t="e">
        <f t="shared" si="1"/>
        <v>#VALUE!</v>
      </c>
      <c r="I3874" s="1" t="e">
        <f t="shared" si="2"/>
        <v>#VALUE!</v>
      </c>
    </row>
    <row r="3875" spans="1:9" ht="15.75" customHeight="1">
      <c r="A3875" s="26"/>
      <c r="B3875" s="2"/>
      <c r="C3875" s="26"/>
      <c r="D3875" s="26"/>
      <c r="F3875" s="85" t="str">
        <f t="shared" si="0"/>
        <v/>
      </c>
      <c r="G3875" s="1" t="e">
        <f>IF(VALUE(F3875) = VALUE(RIGHT(Insights!$C$3, 4)), E3875, "")</f>
        <v>#VALUE!</v>
      </c>
      <c r="H3875" s="26" t="e">
        <f t="shared" si="1"/>
        <v>#VALUE!</v>
      </c>
      <c r="I3875" s="1" t="e">
        <f t="shared" si="2"/>
        <v>#VALUE!</v>
      </c>
    </row>
    <row r="3876" spans="1:9" ht="15.75" customHeight="1">
      <c r="A3876" s="26"/>
      <c r="B3876" s="2"/>
      <c r="C3876" s="26"/>
      <c r="D3876" s="26"/>
      <c r="F3876" s="85" t="str">
        <f t="shared" si="0"/>
        <v/>
      </c>
      <c r="G3876" s="1" t="e">
        <f>IF(VALUE(F3876) = VALUE(RIGHT(Insights!$C$3, 4)), E3876, "")</f>
        <v>#VALUE!</v>
      </c>
      <c r="H3876" s="26" t="e">
        <f t="shared" si="1"/>
        <v>#VALUE!</v>
      </c>
      <c r="I3876" s="1" t="e">
        <f t="shared" si="2"/>
        <v>#VALUE!</v>
      </c>
    </row>
    <row r="3877" spans="1:9" ht="15.75" customHeight="1">
      <c r="A3877" s="26"/>
      <c r="B3877" s="2"/>
      <c r="C3877" s="26"/>
      <c r="D3877" s="26"/>
      <c r="F3877" s="85" t="str">
        <f t="shared" si="0"/>
        <v/>
      </c>
      <c r="G3877" s="1" t="e">
        <f>IF(VALUE(F3877) = VALUE(RIGHT(Insights!$C$3, 4)), E3877, "")</f>
        <v>#VALUE!</v>
      </c>
      <c r="H3877" s="26" t="e">
        <f t="shared" si="1"/>
        <v>#VALUE!</v>
      </c>
      <c r="I3877" s="1" t="e">
        <f t="shared" si="2"/>
        <v>#VALUE!</v>
      </c>
    </row>
    <row r="3878" spans="1:9" ht="15.75" customHeight="1">
      <c r="A3878" s="26"/>
      <c r="B3878" s="2"/>
      <c r="C3878" s="26"/>
      <c r="D3878" s="26"/>
      <c r="F3878" s="85" t="str">
        <f t="shared" si="0"/>
        <v/>
      </c>
      <c r="G3878" s="1" t="e">
        <f>IF(VALUE(F3878) = VALUE(RIGHT(Insights!$C$3, 4)), E3878, "")</f>
        <v>#VALUE!</v>
      </c>
      <c r="H3878" s="26" t="e">
        <f t="shared" si="1"/>
        <v>#VALUE!</v>
      </c>
      <c r="I3878" s="1" t="e">
        <f t="shared" si="2"/>
        <v>#VALUE!</v>
      </c>
    </row>
    <row r="3879" spans="1:9" ht="15.75" customHeight="1">
      <c r="A3879" s="26"/>
      <c r="B3879" s="2"/>
      <c r="C3879" s="26"/>
      <c r="D3879" s="26"/>
      <c r="F3879" s="85" t="str">
        <f t="shared" si="0"/>
        <v/>
      </c>
      <c r="G3879" s="1" t="e">
        <f>IF(VALUE(F3879) = VALUE(RIGHT(Insights!$C$3, 4)), E3879, "")</f>
        <v>#VALUE!</v>
      </c>
      <c r="H3879" s="26" t="e">
        <f t="shared" si="1"/>
        <v>#VALUE!</v>
      </c>
      <c r="I3879" s="1" t="e">
        <f t="shared" si="2"/>
        <v>#VALUE!</v>
      </c>
    </row>
    <row r="3880" spans="1:9" ht="15.75" customHeight="1">
      <c r="A3880" s="26"/>
      <c r="B3880" s="2"/>
      <c r="C3880" s="26"/>
      <c r="D3880" s="26"/>
      <c r="F3880" s="85" t="str">
        <f t="shared" si="0"/>
        <v/>
      </c>
      <c r="G3880" s="1" t="e">
        <f>IF(VALUE(F3880) = VALUE(RIGHT(Insights!$C$3, 4)), E3880, "")</f>
        <v>#VALUE!</v>
      </c>
      <c r="H3880" s="26" t="e">
        <f t="shared" si="1"/>
        <v>#VALUE!</v>
      </c>
      <c r="I3880" s="1" t="e">
        <f t="shared" si="2"/>
        <v>#VALUE!</v>
      </c>
    </row>
    <row r="3881" spans="1:9" ht="15.75" customHeight="1">
      <c r="A3881" s="26"/>
      <c r="B3881" s="2"/>
      <c r="C3881" s="26"/>
      <c r="D3881" s="26"/>
      <c r="F3881" s="85" t="str">
        <f t="shared" si="0"/>
        <v/>
      </c>
      <c r="G3881" s="1" t="e">
        <f>IF(VALUE(F3881) = VALUE(RIGHT(Insights!$C$3, 4)), E3881, "")</f>
        <v>#VALUE!</v>
      </c>
      <c r="H3881" s="26" t="e">
        <f t="shared" si="1"/>
        <v>#VALUE!</v>
      </c>
      <c r="I3881" s="1" t="e">
        <f t="shared" si="2"/>
        <v>#VALUE!</v>
      </c>
    </row>
    <row r="3882" spans="1:9" ht="15.75" customHeight="1">
      <c r="A3882" s="26"/>
      <c r="B3882" s="2"/>
      <c r="C3882" s="26"/>
      <c r="D3882" s="26"/>
      <c r="F3882" s="85" t="str">
        <f t="shared" si="0"/>
        <v/>
      </c>
      <c r="G3882" s="1" t="e">
        <f>IF(VALUE(F3882) = VALUE(RIGHT(Insights!$C$3, 4)), E3882, "")</f>
        <v>#VALUE!</v>
      </c>
      <c r="H3882" s="26" t="e">
        <f t="shared" si="1"/>
        <v>#VALUE!</v>
      </c>
      <c r="I3882" s="1" t="e">
        <f t="shared" si="2"/>
        <v>#VALUE!</v>
      </c>
    </row>
    <row r="3883" spans="1:9" ht="15.75" customHeight="1">
      <c r="A3883" s="26"/>
      <c r="B3883" s="2"/>
      <c r="C3883" s="26"/>
      <c r="D3883" s="26"/>
      <c r="F3883" s="85" t="str">
        <f t="shared" si="0"/>
        <v/>
      </c>
      <c r="G3883" s="1" t="e">
        <f>IF(VALUE(F3883) = VALUE(RIGHT(Insights!$C$3, 4)), E3883, "")</f>
        <v>#VALUE!</v>
      </c>
      <c r="H3883" s="26" t="e">
        <f t="shared" si="1"/>
        <v>#VALUE!</v>
      </c>
      <c r="I3883" s="1" t="e">
        <f t="shared" si="2"/>
        <v>#VALUE!</v>
      </c>
    </row>
    <row r="3884" spans="1:9" ht="15.75" customHeight="1">
      <c r="A3884" s="26"/>
      <c r="B3884" s="2"/>
      <c r="C3884" s="26"/>
      <c r="D3884" s="26"/>
      <c r="F3884" s="85" t="str">
        <f t="shared" si="0"/>
        <v/>
      </c>
      <c r="G3884" s="1" t="e">
        <f>IF(VALUE(F3884) = VALUE(RIGHT(Insights!$C$3, 4)), E3884, "")</f>
        <v>#VALUE!</v>
      </c>
      <c r="H3884" s="26" t="e">
        <f t="shared" si="1"/>
        <v>#VALUE!</v>
      </c>
      <c r="I3884" s="1" t="e">
        <f t="shared" si="2"/>
        <v>#VALUE!</v>
      </c>
    </row>
    <row r="3885" spans="1:9" ht="15.75" customHeight="1">
      <c r="A3885" s="26"/>
      <c r="B3885" s="2"/>
      <c r="C3885" s="26"/>
      <c r="D3885" s="26"/>
      <c r="F3885" s="85" t="str">
        <f t="shared" si="0"/>
        <v/>
      </c>
      <c r="G3885" s="1" t="e">
        <f>IF(VALUE(F3885) = VALUE(RIGHT(Insights!$C$3, 4)), E3885, "")</f>
        <v>#VALUE!</v>
      </c>
      <c r="H3885" s="26" t="e">
        <f t="shared" si="1"/>
        <v>#VALUE!</v>
      </c>
      <c r="I3885" s="1" t="e">
        <f t="shared" si="2"/>
        <v>#VALUE!</v>
      </c>
    </row>
    <row r="3886" spans="1:9" ht="15.75" customHeight="1">
      <c r="A3886" s="26"/>
      <c r="B3886" s="2"/>
      <c r="C3886" s="26"/>
      <c r="D3886" s="26"/>
      <c r="F3886" s="85" t="str">
        <f t="shared" si="0"/>
        <v/>
      </c>
      <c r="G3886" s="1" t="e">
        <f>IF(VALUE(F3886) = VALUE(RIGHT(Insights!$C$3, 4)), E3886, "")</f>
        <v>#VALUE!</v>
      </c>
      <c r="H3886" s="26" t="e">
        <f t="shared" si="1"/>
        <v>#VALUE!</v>
      </c>
      <c r="I3886" s="1" t="e">
        <f t="shared" si="2"/>
        <v>#VALUE!</v>
      </c>
    </row>
    <row r="3887" spans="1:9" ht="15.75" customHeight="1">
      <c r="A3887" s="26"/>
      <c r="B3887" s="2"/>
      <c r="C3887" s="26"/>
      <c r="D3887" s="26"/>
      <c r="F3887" s="85" t="str">
        <f t="shared" si="0"/>
        <v/>
      </c>
      <c r="G3887" s="1" t="e">
        <f>IF(VALUE(F3887) = VALUE(RIGHT(Insights!$C$3, 4)), E3887, "")</f>
        <v>#VALUE!</v>
      </c>
      <c r="H3887" s="26" t="e">
        <f t="shared" si="1"/>
        <v>#VALUE!</v>
      </c>
      <c r="I3887" s="1" t="e">
        <f t="shared" si="2"/>
        <v>#VALUE!</v>
      </c>
    </row>
    <row r="3888" spans="1:9" ht="15.75" customHeight="1">
      <c r="A3888" s="26"/>
      <c r="B3888" s="2"/>
      <c r="C3888" s="26"/>
      <c r="D3888" s="26"/>
      <c r="F3888" s="85" t="str">
        <f t="shared" si="0"/>
        <v/>
      </c>
      <c r="G3888" s="1" t="e">
        <f>IF(VALUE(F3888) = VALUE(RIGHT(Insights!$C$3, 4)), E3888, "")</f>
        <v>#VALUE!</v>
      </c>
      <c r="H3888" s="26" t="e">
        <f t="shared" si="1"/>
        <v>#VALUE!</v>
      </c>
      <c r="I3888" s="1" t="e">
        <f t="shared" si="2"/>
        <v>#VALUE!</v>
      </c>
    </row>
    <row r="3889" spans="1:9" ht="15.75" customHeight="1">
      <c r="A3889" s="26"/>
      <c r="B3889" s="2"/>
      <c r="C3889" s="26"/>
      <c r="D3889" s="26"/>
      <c r="F3889" s="85" t="str">
        <f t="shared" si="0"/>
        <v/>
      </c>
      <c r="G3889" s="1" t="e">
        <f>IF(VALUE(F3889) = VALUE(RIGHT(Insights!$C$3, 4)), E3889, "")</f>
        <v>#VALUE!</v>
      </c>
      <c r="H3889" s="26" t="e">
        <f t="shared" si="1"/>
        <v>#VALUE!</v>
      </c>
      <c r="I3889" s="1" t="e">
        <f t="shared" si="2"/>
        <v>#VALUE!</v>
      </c>
    </row>
    <row r="3890" spans="1:9" ht="15.75" customHeight="1">
      <c r="A3890" s="26"/>
      <c r="B3890" s="2"/>
      <c r="C3890" s="26"/>
      <c r="D3890" s="26"/>
      <c r="F3890" s="85" t="str">
        <f t="shared" si="0"/>
        <v/>
      </c>
      <c r="G3890" s="1" t="e">
        <f>IF(VALUE(F3890) = VALUE(RIGHT(Insights!$C$3, 4)), E3890, "")</f>
        <v>#VALUE!</v>
      </c>
      <c r="H3890" s="26" t="e">
        <f t="shared" si="1"/>
        <v>#VALUE!</v>
      </c>
      <c r="I3890" s="1" t="e">
        <f t="shared" si="2"/>
        <v>#VALUE!</v>
      </c>
    </row>
    <row r="3891" spans="1:9" ht="15.75" customHeight="1">
      <c r="A3891" s="26"/>
      <c r="B3891" s="2"/>
      <c r="C3891" s="26"/>
      <c r="D3891" s="26"/>
      <c r="F3891" s="85" t="str">
        <f t="shared" si="0"/>
        <v/>
      </c>
      <c r="G3891" s="1" t="e">
        <f>IF(VALUE(F3891) = VALUE(RIGHT(Insights!$C$3, 4)), E3891, "")</f>
        <v>#VALUE!</v>
      </c>
      <c r="H3891" s="26" t="e">
        <f t="shared" si="1"/>
        <v>#VALUE!</v>
      </c>
      <c r="I3891" s="1" t="e">
        <f t="shared" si="2"/>
        <v>#VALUE!</v>
      </c>
    </row>
    <row r="3892" spans="1:9" ht="15.75" customHeight="1">
      <c r="A3892" s="26"/>
      <c r="B3892" s="2"/>
      <c r="C3892" s="26"/>
      <c r="D3892" s="26"/>
      <c r="F3892" s="85" t="str">
        <f t="shared" si="0"/>
        <v/>
      </c>
      <c r="G3892" s="1" t="e">
        <f>IF(VALUE(F3892) = VALUE(RIGHT(Insights!$C$3, 4)), E3892, "")</f>
        <v>#VALUE!</v>
      </c>
      <c r="H3892" s="26" t="e">
        <f t="shared" si="1"/>
        <v>#VALUE!</v>
      </c>
      <c r="I3892" s="1" t="e">
        <f t="shared" si="2"/>
        <v>#VALUE!</v>
      </c>
    </row>
    <row r="3893" spans="1:9" ht="15.75" customHeight="1">
      <c r="A3893" s="26"/>
      <c r="B3893" s="2"/>
      <c r="C3893" s="26"/>
      <c r="D3893" s="26"/>
      <c r="F3893" s="85" t="str">
        <f t="shared" si="0"/>
        <v/>
      </c>
      <c r="G3893" s="1" t="e">
        <f>IF(VALUE(F3893) = VALUE(RIGHT(Insights!$C$3, 4)), E3893, "")</f>
        <v>#VALUE!</v>
      </c>
      <c r="H3893" s="26" t="e">
        <f t="shared" si="1"/>
        <v>#VALUE!</v>
      </c>
      <c r="I3893" s="1" t="e">
        <f t="shared" si="2"/>
        <v>#VALUE!</v>
      </c>
    </row>
    <row r="3894" spans="1:9" ht="15.75" customHeight="1">
      <c r="A3894" s="26"/>
      <c r="B3894" s="2"/>
      <c r="C3894" s="26"/>
      <c r="D3894" s="26"/>
      <c r="F3894" s="85" t="str">
        <f t="shared" si="0"/>
        <v/>
      </c>
      <c r="G3894" s="1" t="e">
        <f>IF(VALUE(F3894) = VALUE(RIGHT(Insights!$C$3, 4)), E3894, "")</f>
        <v>#VALUE!</v>
      </c>
      <c r="H3894" s="26" t="e">
        <f t="shared" si="1"/>
        <v>#VALUE!</v>
      </c>
      <c r="I3894" s="1" t="e">
        <f t="shared" si="2"/>
        <v>#VALUE!</v>
      </c>
    </row>
    <row r="3895" spans="1:9" ht="15.75" customHeight="1">
      <c r="A3895" s="26"/>
      <c r="B3895" s="2"/>
      <c r="C3895" s="26"/>
      <c r="D3895" s="26"/>
      <c r="F3895" s="85" t="str">
        <f t="shared" si="0"/>
        <v/>
      </c>
      <c r="G3895" s="1" t="e">
        <f>IF(VALUE(F3895) = VALUE(RIGHT(Insights!$C$3, 4)), E3895, "")</f>
        <v>#VALUE!</v>
      </c>
      <c r="H3895" s="26" t="e">
        <f t="shared" si="1"/>
        <v>#VALUE!</v>
      </c>
      <c r="I3895" s="1" t="e">
        <f t="shared" si="2"/>
        <v>#VALUE!</v>
      </c>
    </row>
    <row r="3896" spans="1:9" ht="15.75" customHeight="1">
      <c r="A3896" s="26"/>
      <c r="B3896" s="2"/>
      <c r="C3896" s="26"/>
      <c r="D3896" s="26"/>
      <c r="F3896" s="85" t="str">
        <f t="shared" si="0"/>
        <v/>
      </c>
      <c r="G3896" s="1" t="e">
        <f>IF(VALUE(F3896) = VALUE(RIGHT(Insights!$C$3, 4)), E3896, "")</f>
        <v>#VALUE!</v>
      </c>
      <c r="H3896" s="26" t="e">
        <f t="shared" si="1"/>
        <v>#VALUE!</v>
      </c>
      <c r="I3896" s="1" t="e">
        <f t="shared" si="2"/>
        <v>#VALUE!</v>
      </c>
    </row>
    <row r="3897" spans="1:9" ht="15.75" customHeight="1">
      <c r="A3897" s="26"/>
      <c r="B3897" s="2"/>
      <c r="C3897" s="26"/>
      <c r="D3897" s="26"/>
      <c r="F3897" s="85" t="str">
        <f t="shared" si="0"/>
        <v/>
      </c>
      <c r="G3897" s="1" t="e">
        <f>IF(VALUE(F3897) = VALUE(RIGHT(Insights!$C$3, 4)), E3897, "")</f>
        <v>#VALUE!</v>
      </c>
      <c r="H3897" s="26" t="e">
        <f t="shared" si="1"/>
        <v>#VALUE!</v>
      </c>
      <c r="I3897" s="1" t="e">
        <f t="shared" si="2"/>
        <v>#VALUE!</v>
      </c>
    </row>
    <row r="3898" spans="1:9" ht="15.75" customHeight="1">
      <c r="A3898" s="26"/>
      <c r="B3898" s="2"/>
      <c r="C3898" s="26"/>
      <c r="D3898" s="26"/>
      <c r="F3898" s="85" t="str">
        <f t="shared" si="0"/>
        <v/>
      </c>
      <c r="G3898" s="1" t="e">
        <f>IF(VALUE(F3898) = VALUE(RIGHT(Insights!$C$3, 4)), E3898, "")</f>
        <v>#VALUE!</v>
      </c>
      <c r="H3898" s="26" t="e">
        <f t="shared" si="1"/>
        <v>#VALUE!</v>
      </c>
      <c r="I3898" s="1" t="e">
        <f t="shared" si="2"/>
        <v>#VALUE!</v>
      </c>
    </row>
    <row r="3899" spans="1:9" ht="15.75" customHeight="1">
      <c r="A3899" s="26"/>
      <c r="B3899" s="2"/>
      <c r="C3899" s="26"/>
      <c r="D3899" s="26"/>
      <c r="F3899" s="85" t="str">
        <f t="shared" si="0"/>
        <v/>
      </c>
      <c r="G3899" s="1" t="e">
        <f>IF(VALUE(F3899) = VALUE(RIGHT(Insights!$C$3, 4)), E3899, "")</f>
        <v>#VALUE!</v>
      </c>
      <c r="H3899" s="26" t="e">
        <f t="shared" si="1"/>
        <v>#VALUE!</v>
      </c>
      <c r="I3899" s="1" t="e">
        <f t="shared" si="2"/>
        <v>#VALUE!</v>
      </c>
    </row>
    <row r="3900" spans="1:9" ht="15.75" customHeight="1">
      <c r="A3900" s="26"/>
      <c r="B3900" s="2"/>
      <c r="C3900" s="26"/>
      <c r="D3900" s="26"/>
      <c r="F3900" s="85" t="str">
        <f t="shared" si="0"/>
        <v/>
      </c>
      <c r="G3900" s="1" t="e">
        <f>IF(VALUE(F3900) = VALUE(RIGHT(Insights!$C$3, 4)), E3900, "")</f>
        <v>#VALUE!</v>
      </c>
      <c r="H3900" s="26" t="e">
        <f t="shared" si="1"/>
        <v>#VALUE!</v>
      </c>
      <c r="I3900" s="1" t="e">
        <f t="shared" si="2"/>
        <v>#VALUE!</v>
      </c>
    </row>
    <row r="3901" spans="1:9" ht="15.75" customHeight="1">
      <c r="A3901" s="26"/>
      <c r="B3901" s="2"/>
      <c r="C3901" s="26"/>
      <c r="D3901" s="26"/>
      <c r="F3901" s="85" t="str">
        <f t="shared" si="0"/>
        <v/>
      </c>
      <c r="G3901" s="1" t="e">
        <f>IF(VALUE(F3901) = VALUE(RIGHT(Insights!$C$3, 4)), E3901, "")</f>
        <v>#VALUE!</v>
      </c>
      <c r="H3901" s="26" t="e">
        <f t="shared" si="1"/>
        <v>#VALUE!</v>
      </c>
      <c r="I3901" s="1" t="e">
        <f t="shared" si="2"/>
        <v>#VALUE!</v>
      </c>
    </row>
    <row r="3902" spans="1:9" ht="15.75" customHeight="1">
      <c r="A3902" s="26"/>
      <c r="B3902" s="2"/>
      <c r="C3902" s="26"/>
      <c r="D3902" s="26"/>
      <c r="F3902" s="85" t="str">
        <f t="shared" si="0"/>
        <v/>
      </c>
      <c r="G3902" s="1" t="e">
        <f>IF(VALUE(F3902) = VALUE(RIGHT(Insights!$C$3, 4)), E3902, "")</f>
        <v>#VALUE!</v>
      </c>
      <c r="H3902" s="26" t="e">
        <f t="shared" si="1"/>
        <v>#VALUE!</v>
      </c>
      <c r="I3902" s="1" t="e">
        <f t="shared" si="2"/>
        <v>#VALUE!</v>
      </c>
    </row>
    <row r="3903" spans="1:9" ht="15.75" customHeight="1">
      <c r="A3903" s="26"/>
      <c r="B3903" s="2"/>
      <c r="C3903" s="26"/>
      <c r="D3903" s="26"/>
      <c r="F3903" s="85" t="str">
        <f t="shared" si="0"/>
        <v/>
      </c>
      <c r="G3903" s="1" t="e">
        <f>IF(VALUE(F3903) = VALUE(RIGHT(Insights!$C$3, 4)), E3903, "")</f>
        <v>#VALUE!</v>
      </c>
      <c r="H3903" s="26" t="e">
        <f t="shared" si="1"/>
        <v>#VALUE!</v>
      </c>
      <c r="I3903" s="1" t="e">
        <f t="shared" si="2"/>
        <v>#VALUE!</v>
      </c>
    </row>
    <row r="3904" spans="1:9" ht="15.75" customHeight="1">
      <c r="A3904" s="26"/>
      <c r="B3904" s="2"/>
      <c r="C3904" s="26"/>
      <c r="D3904" s="26"/>
      <c r="F3904" s="85" t="str">
        <f t="shared" si="0"/>
        <v/>
      </c>
      <c r="G3904" s="1" t="e">
        <f>IF(VALUE(F3904) = VALUE(RIGHT(Insights!$C$3, 4)), E3904, "")</f>
        <v>#VALUE!</v>
      </c>
      <c r="H3904" s="26" t="e">
        <f t="shared" si="1"/>
        <v>#VALUE!</v>
      </c>
      <c r="I3904" s="1" t="e">
        <f t="shared" si="2"/>
        <v>#VALUE!</v>
      </c>
    </row>
    <row r="3905" spans="1:9" ht="15.75" customHeight="1">
      <c r="A3905" s="26"/>
      <c r="B3905" s="2"/>
      <c r="C3905" s="26"/>
      <c r="D3905" s="26"/>
      <c r="F3905" s="85" t="str">
        <f t="shared" si="0"/>
        <v/>
      </c>
      <c r="G3905" s="1" t="e">
        <f>IF(VALUE(F3905) = VALUE(RIGHT(Insights!$C$3, 4)), E3905, "")</f>
        <v>#VALUE!</v>
      </c>
      <c r="H3905" s="26" t="e">
        <f t="shared" si="1"/>
        <v>#VALUE!</v>
      </c>
      <c r="I3905" s="1" t="e">
        <f t="shared" si="2"/>
        <v>#VALUE!</v>
      </c>
    </row>
    <row r="3906" spans="1:9" ht="15.75" customHeight="1">
      <c r="A3906" s="26"/>
      <c r="B3906" s="2"/>
      <c r="C3906" s="26"/>
      <c r="D3906" s="26"/>
      <c r="F3906" s="85" t="str">
        <f t="shared" si="0"/>
        <v/>
      </c>
      <c r="G3906" s="1" t="e">
        <f>IF(VALUE(F3906) = VALUE(RIGHT(Insights!$C$3, 4)), E3906, "")</f>
        <v>#VALUE!</v>
      </c>
      <c r="H3906" s="26" t="e">
        <f t="shared" si="1"/>
        <v>#VALUE!</v>
      </c>
      <c r="I3906" s="1" t="e">
        <f t="shared" si="2"/>
        <v>#VALUE!</v>
      </c>
    </row>
    <row r="3907" spans="1:9" ht="15.75" customHeight="1">
      <c r="A3907" s="26"/>
      <c r="B3907" s="2"/>
      <c r="C3907" s="26"/>
      <c r="D3907" s="26"/>
      <c r="F3907" s="85" t="str">
        <f t="shared" si="0"/>
        <v/>
      </c>
      <c r="G3907" s="1" t="e">
        <f>IF(VALUE(F3907) = VALUE(RIGHT(Insights!$C$3, 4)), E3907, "")</f>
        <v>#VALUE!</v>
      </c>
      <c r="H3907" s="26" t="e">
        <f t="shared" si="1"/>
        <v>#VALUE!</v>
      </c>
      <c r="I3907" s="1" t="e">
        <f t="shared" si="2"/>
        <v>#VALUE!</v>
      </c>
    </row>
    <row r="3908" spans="1:9" ht="15.75" customHeight="1">
      <c r="A3908" s="26"/>
      <c r="B3908" s="2"/>
      <c r="C3908" s="26"/>
      <c r="D3908" s="26"/>
      <c r="F3908" s="85" t="str">
        <f t="shared" si="0"/>
        <v/>
      </c>
      <c r="G3908" s="1" t="e">
        <f>IF(VALUE(F3908) = VALUE(RIGHT(Insights!$C$3, 4)), E3908, "")</f>
        <v>#VALUE!</v>
      </c>
      <c r="H3908" s="26" t="e">
        <f t="shared" si="1"/>
        <v>#VALUE!</v>
      </c>
      <c r="I3908" s="1" t="e">
        <f t="shared" si="2"/>
        <v>#VALUE!</v>
      </c>
    </row>
    <row r="3909" spans="1:9" ht="15.75" customHeight="1">
      <c r="A3909" s="26"/>
      <c r="B3909" s="2"/>
      <c r="C3909" s="26"/>
      <c r="D3909" s="26"/>
      <c r="F3909" s="85" t="str">
        <f t="shared" si="0"/>
        <v/>
      </c>
      <c r="G3909" s="1" t="e">
        <f>IF(VALUE(F3909) = VALUE(RIGHT(Insights!$C$3, 4)), E3909, "")</f>
        <v>#VALUE!</v>
      </c>
      <c r="H3909" s="26" t="e">
        <f t="shared" si="1"/>
        <v>#VALUE!</v>
      </c>
      <c r="I3909" s="1" t="e">
        <f t="shared" si="2"/>
        <v>#VALUE!</v>
      </c>
    </row>
    <row r="3910" spans="1:9" ht="15.75" customHeight="1">
      <c r="A3910" s="26"/>
      <c r="B3910" s="2"/>
      <c r="C3910" s="26"/>
      <c r="D3910" s="26"/>
      <c r="F3910" s="85" t="str">
        <f t="shared" si="0"/>
        <v/>
      </c>
      <c r="G3910" s="1" t="e">
        <f>IF(VALUE(F3910) = VALUE(RIGHT(Insights!$C$3, 4)), E3910, "")</f>
        <v>#VALUE!</v>
      </c>
      <c r="H3910" s="26" t="e">
        <f t="shared" si="1"/>
        <v>#VALUE!</v>
      </c>
      <c r="I3910" s="1" t="e">
        <f t="shared" si="2"/>
        <v>#VALUE!</v>
      </c>
    </row>
    <row r="3911" spans="1:9" ht="15.75" customHeight="1">
      <c r="A3911" s="26"/>
      <c r="B3911" s="2"/>
      <c r="C3911" s="26"/>
      <c r="D3911" s="26"/>
      <c r="F3911" s="85" t="str">
        <f t="shared" si="0"/>
        <v/>
      </c>
      <c r="G3911" s="1" t="e">
        <f>IF(VALUE(F3911) = VALUE(RIGHT(Insights!$C$3, 4)), E3911, "")</f>
        <v>#VALUE!</v>
      </c>
      <c r="H3911" s="26" t="e">
        <f t="shared" si="1"/>
        <v>#VALUE!</v>
      </c>
      <c r="I3911" s="1" t="e">
        <f t="shared" si="2"/>
        <v>#VALUE!</v>
      </c>
    </row>
    <row r="3912" spans="1:9" ht="15.75" customHeight="1">
      <c r="A3912" s="26"/>
      <c r="B3912" s="2"/>
      <c r="C3912" s="26"/>
      <c r="D3912" s="26"/>
      <c r="F3912" s="85" t="str">
        <f t="shared" si="0"/>
        <v/>
      </c>
      <c r="G3912" s="1" t="e">
        <f>IF(VALUE(F3912) = VALUE(RIGHT(Insights!$C$3, 4)), E3912, "")</f>
        <v>#VALUE!</v>
      </c>
      <c r="H3912" s="26" t="e">
        <f t="shared" si="1"/>
        <v>#VALUE!</v>
      </c>
      <c r="I3912" s="1" t="e">
        <f t="shared" si="2"/>
        <v>#VALUE!</v>
      </c>
    </row>
    <row r="3913" spans="1:9" ht="15.75" customHeight="1">
      <c r="A3913" s="26"/>
      <c r="B3913" s="2"/>
      <c r="C3913" s="26"/>
      <c r="D3913" s="26"/>
      <c r="F3913" s="85" t="str">
        <f t="shared" si="0"/>
        <v/>
      </c>
      <c r="G3913" s="1" t="e">
        <f>IF(VALUE(F3913) = VALUE(RIGHT(Insights!$C$3, 4)), E3913, "")</f>
        <v>#VALUE!</v>
      </c>
      <c r="H3913" s="26" t="e">
        <f t="shared" si="1"/>
        <v>#VALUE!</v>
      </c>
      <c r="I3913" s="1" t="e">
        <f t="shared" si="2"/>
        <v>#VALUE!</v>
      </c>
    </row>
    <row r="3914" spans="1:9" ht="15.75" customHeight="1">
      <c r="A3914" s="26"/>
      <c r="B3914" s="2"/>
      <c r="C3914" s="26"/>
      <c r="D3914" s="26"/>
      <c r="F3914" s="85" t="str">
        <f t="shared" si="0"/>
        <v/>
      </c>
      <c r="G3914" s="1" t="e">
        <f>IF(VALUE(F3914) = VALUE(RIGHT(Insights!$C$3, 4)), E3914, "")</f>
        <v>#VALUE!</v>
      </c>
      <c r="H3914" s="26" t="e">
        <f t="shared" si="1"/>
        <v>#VALUE!</v>
      </c>
      <c r="I3914" s="1" t="e">
        <f t="shared" si="2"/>
        <v>#VALUE!</v>
      </c>
    </row>
    <row r="3915" spans="1:9" ht="15.75" customHeight="1">
      <c r="A3915" s="26"/>
      <c r="B3915" s="2"/>
      <c r="C3915" s="26"/>
      <c r="D3915" s="26"/>
      <c r="F3915" s="85" t="str">
        <f t="shared" si="0"/>
        <v/>
      </c>
      <c r="G3915" s="1" t="e">
        <f>IF(VALUE(F3915) = VALUE(RIGHT(Insights!$C$3, 4)), E3915, "")</f>
        <v>#VALUE!</v>
      </c>
      <c r="H3915" s="26" t="e">
        <f t="shared" si="1"/>
        <v>#VALUE!</v>
      </c>
      <c r="I3915" s="1" t="e">
        <f t="shared" si="2"/>
        <v>#VALUE!</v>
      </c>
    </row>
    <row r="3916" spans="1:9" ht="15.75" customHeight="1">
      <c r="A3916" s="26"/>
      <c r="B3916" s="2"/>
      <c r="C3916" s="26"/>
      <c r="D3916" s="26"/>
      <c r="F3916" s="85" t="str">
        <f t="shared" si="0"/>
        <v/>
      </c>
      <c r="G3916" s="1" t="e">
        <f>IF(VALUE(F3916) = VALUE(RIGHT(Insights!$C$3, 4)), E3916, "")</f>
        <v>#VALUE!</v>
      </c>
      <c r="H3916" s="26" t="e">
        <f t="shared" si="1"/>
        <v>#VALUE!</v>
      </c>
      <c r="I3916" s="1" t="e">
        <f t="shared" si="2"/>
        <v>#VALUE!</v>
      </c>
    </row>
    <row r="3917" spans="1:9" ht="15.75" customHeight="1">
      <c r="A3917" s="26"/>
      <c r="B3917" s="2"/>
      <c r="C3917" s="26"/>
      <c r="D3917" s="26"/>
      <c r="F3917" s="85" t="str">
        <f t="shared" si="0"/>
        <v/>
      </c>
      <c r="G3917" s="1" t="e">
        <f>IF(VALUE(F3917) = VALUE(RIGHT(Insights!$C$3, 4)), E3917, "")</f>
        <v>#VALUE!</v>
      </c>
      <c r="H3917" s="26" t="e">
        <f t="shared" si="1"/>
        <v>#VALUE!</v>
      </c>
      <c r="I3917" s="1" t="e">
        <f t="shared" si="2"/>
        <v>#VALUE!</v>
      </c>
    </row>
    <row r="3918" spans="1:9" ht="15.75" customHeight="1">
      <c r="A3918" s="26"/>
      <c r="B3918" s="2"/>
      <c r="C3918" s="26"/>
      <c r="D3918" s="26"/>
      <c r="F3918" s="85" t="str">
        <f t="shared" si="0"/>
        <v/>
      </c>
      <c r="G3918" s="1" t="e">
        <f>IF(VALUE(F3918) = VALUE(RIGHT(Insights!$C$3, 4)), E3918, "")</f>
        <v>#VALUE!</v>
      </c>
      <c r="H3918" s="26" t="e">
        <f t="shared" si="1"/>
        <v>#VALUE!</v>
      </c>
      <c r="I3918" s="1" t="e">
        <f t="shared" si="2"/>
        <v>#VALUE!</v>
      </c>
    </row>
    <row r="3919" spans="1:9" ht="15.75" customHeight="1">
      <c r="A3919" s="26"/>
      <c r="B3919" s="2"/>
      <c r="C3919" s="26"/>
      <c r="D3919" s="26"/>
      <c r="F3919" s="85" t="str">
        <f t="shared" si="0"/>
        <v/>
      </c>
      <c r="G3919" s="1" t="e">
        <f>IF(VALUE(F3919) = VALUE(RIGHT(Insights!$C$3, 4)), E3919, "")</f>
        <v>#VALUE!</v>
      </c>
      <c r="H3919" s="26" t="e">
        <f t="shared" si="1"/>
        <v>#VALUE!</v>
      </c>
      <c r="I3919" s="1" t="e">
        <f t="shared" si="2"/>
        <v>#VALUE!</v>
      </c>
    </row>
    <row r="3920" spans="1:9" ht="15.75" customHeight="1">
      <c r="A3920" s="26"/>
      <c r="B3920" s="2"/>
      <c r="C3920" s="26"/>
      <c r="D3920" s="26"/>
      <c r="F3920" s="85" t="str">
        <f t="shared" si="0"/>
        <v/>
      </c>
      <c r="G3920" s="1" t="e">
        <f>IF(VALUE(F3920) = VALUE(RIGHT(Insights!$C$3, 4)), E3920, "")</f>
        <v>#VALUE!</v>
      </c>
      <c r="H3920" s="26" t="e">
        <f t="shared" si="1"/>
        <v>#VALUE!</v>
      </c>
      <c r="I3920" s="1" t="e">
        <f t="shared" si="2"/>
        <v>#VALUE!</v>
      </c>
    </row>
    <row r="3921" spans="1:9" ht="15.75" customHeight="1">
      <c r="A3921" s="26"/>
      <c r="B3921" s="2"/>
      <c r="C3921" s="26"/>
      <c r="D3921" s="26"/>
      <c r="F3921" s="85" t="str">
        <f t="shared" si="0"/>
        <v/>
      </c>
      <c r="G3921" s="1" t="e">
        <f>IF(VALUE(F3921) = VALUE(RIGHT(Insights!$C$3, 4)), E3921, "")</f>
        <v>#VALUE!</v>
      </c>
      <c r="H3921" s="26" t="e">
        <f t="shared" si="1"/>
        <v>#VALUE!</v>
      </c>
      <c r="I3921" s="1" t="e">
        <f t="shared" si="2"/>
        <v>#VALUE!</v>
      </c>
    </row>
    <row r="3922" spans="1:9" ht="15.75" customHeight="1">
      <c r="A3922" s="26"/>
      <c r="B3922" s="2"/>
      <c r="C3922" s="26"/>
      <c r="D3922" s="26"/>
      <c r="F3922" s="85" t="str">
        <f t="shared" si="0"/>
        <v/>
      </c>
      <c r="G3922" s="1" t="e">
        <f>IF(VALUE(F3922) = VALUE(RIGHT(Insights!$C$3, 4)), E3922, "")</f>
        <v>#VALUE!</v>
      </c>
      <c r="H3922" s="26" t="e">
        <f t="shared" si="1"/>
        <v>#VALUE!</v>
      </c>
      <c r="I3922" s="1" t="e">
        <f t="shared" si="2"/>
        <v>#VALUE!</v>
      </c>
    </row>
    <row r="3923" spans="1:9" ht="15.75" customHeight="1">
      <c r="A3923" s="26"/>
      <c r="B3923" s="2"/>
      <c r="C3923" s="26"/>
      <c r="D3923" s="26"/>
      <c r="F3923" s="85" t="str">
        <f t="shared" si="0"/>
        <v/>
      </c>
      <c r="G3923" s="1" t="e">
        <f>IF(VALUE(F3923) = VALUE(RIGHT(Insights!$C$3, 4)), E3923, "")</f>
        <v>#VALUE!</v>
      </c>
      <c r="H3923" s="26" t="e">
        <f t="shared" si="1"/>
        <v>#VALUE!</v>
      </c>
      <c r="I3923" s="1" t="e">
        <f t="shared" si="2"/>
        <v>#VALUE!</v>
      </c>
    </row>
    <row r="3924" spans="1:9" ht="15.75" customHeight="1">
      <c r="A3924" s="26"/>
      <c r="B3924" s="2"/>
      <c r="C3924" s="26"/>
      <c r="D3924" s="26"/>
      <c r="F3924" s="85" t="str">
        <f t="shared" si="0"/>
        <v/>
      </c>
      <c r="G3924" s="1" t="e">
        <f>IF(VALUE(F3924) = VALUE(RIGHT(Insights!$C$3, 4)), E3924, "")</f>
        <v>#VALUE!</v>
      </c>
      <c r="H3924" s="26" t="e">
        <f t="shared" si="1"/>
        <v>#VALUE!</v>
      </c>
      <c r="I3924" s="1" t="e">
        <f t="shared" si="2"/>
        <v>#VALUE!</v>
      </c>
    </row>
    <row r="3925" spans="1:9" ht="15.75" customHeight="1">
      <c r="A3925" s="26"/>
      <c r="B3925" s="2"/>
      <c r="C3925" s="26"/>
      <c r="D3925" s="26"/>
      <c r="F3925" s="85" t="str">
        <f t="shared" si="0"/>
        <v/>
      </c>
      <c r="G3925" s="1" t="e">
        <f>IF(VALUE(F3925) = VALUE(RIGHT(Insights!$C$3, 4)), E3925, "")</f>
        <v>#VALUE!</v>
      </c>
      <c r="H3925" s="26" t="e">
        <f t="shared" si="1"/>
        <v>#VALUE!</v>
      </c>
      <c r="I3925" s="1" t="e">
        <f t="shared" si="2"/>
        <v>#VALUE!</v>
      </c>
    </row>
    <row r="3926" spans="1:9" ht="15.75" customHeight="1">
      <c r="A3926" s="26"/>
      <c r="B3926" s="2"/>
      <c r="C3926" s="26"/>
      <c r="D3926" s="26"/>
      <c r="F3926" s="85" t="str">
        <f t="shared" si="0"/>
        <v/>
      </c>
      <c r="G3926" s="1" t="e">
        <f>IF(VALUE(F3926) = VALUE(RIGHT(Insights!$C$3, 4)), E3926, "")</f>
        <v>#VALUE!</v>
      </c>
      <c r="H3926" s="26" t="e">
        <f t="shared" si="1"/>
        <v>#VALUE!</v>
      </c>
      <c r="I3926" s="1" t="e">
        <f t="shared" si="2"/>
        <v>#VALUE!</v>
      </c>
    </row>
    <row r="3927" spans="1:9" ht="15.75" customHeight="1">
      <c r="A3927" s="26"/>
      <c r="B3927" s="2"/>
      <c r="C3927" s="26"/>
      <c r="D3927" s="26"/>
      <c r="F3927" s="85" t="str">
        <f t="shared" si="0"/>
        <v/>
      </c>
      <c r="G3927" s="1" t="e">
        <f>IF(VALUE(F3927) = VALUE(RIGHT(Insights!$C$3, 4)), E3927, "")</f>
        <v>#VALUE!</v>
      </c>
      <c r="H3927" s="26" t="e">
        <f t="shared" si="1"/>
        <v>#VALUE!</v>
      </c>
      <c r="I3927" s="1" t="e">
        <f t="shared" si="2"/>
        <v>#VALUE!</v>
      </c>
    </row>
    <row r="3928" spans="1:9" ht="15.75" customHeight="1">
      <c r="A3928" s="26"/>
      <c r="B3928" s="2"/>
      <c r="C3928" s="26"/>
      <c r="D3928" s="26"/>
      <c r="F3928" s="85" t="str">
        <f t="shared" si="0"/>
        <v/>
      </c>
      <c r="G3928" s="1" t="e">
        <f>IF(VALUE(F3928) = VALUE(RIGHT(Insights!$C$3, 4)), E3928, "")</f>
        <v>#VALUE!</v>
      </c>
      <c r="H3928" s="26" t="e">
        <f t="shared" si="1"/>
        <v>#VALUE!</v>
      </c>
      <c r="I3928" s="1" t="e">
        <f t="shared" si="2"/>
        <v>#VALUE!</v>
      </c>
    </row>
    <row r="3929" spans="1:9" ht="15.75" customHeight="1">
      <c r="A3929" s="26"/>
      <c r="B3929" s="2"/>
      <c r="C3929" s="26"/>
      <c r="D3929" s="26"/>
      <c r="F3929" s="85" t="str">
        <f t="shared" si="0"/>
        <v/>
      </c>
      <c r="G3929" s="1" t="e">
        <f>IF(VALUE(F3929) = VALUE(RIGHT(Insights!$C$3, 4)), E3929, "")</f>
        <v>#VALUE!</v>
      </c>
      <c r="H3929" s="26" t="e">
        <f t="shared" si="1"/>
        <v>#VALUE!</v>
      </c>
      <c r="I3929" s="1" t="e">
        <f t="shared" si="2"/>
        <v>#VALUE!</v>
      </c>
    </row>
    <row r="3930" spans="1:9" ht="15.75" customHeight="1">
      <c r="A3930" s="26"/>
      <c r="B3930" s="2"/>
      <c r="C3930" s="26"/>
      <c r="D3930" s="26"/>
      <c r="F3930" s="85" t="str">
        <f t="shared" si="0"/>
        <v/>
      </c>
      <c r="G3930" s="1" t="e">
        <f>IF(VALUE(F3930) = VALUE(RIGHT(Insights!$C$3, 4)), E3930, "")</f>
        <v>#VALUE!</v>
      </c>
      <c r="H3930" s="26" t="e">
        <f t="shared" si="1"/>
        <v>#VALUE!</v>
      </c>
      <c r="I3930" s="1" t="e">
        <f t="shared" si="2"/>
        <v>#VALUE!</v>
      </c>
    </row>
    <row r="3931" spans="1:9" ht="15.75" customHeight="1">
      <c r="A3931" s="26"/>
      <c r="B3931" s="2"/>
      <c r="C3931" s="26"/>
      <c r="D3931" s="26"/>
      <c r="F3931" s="85" t="str">
        <f t="shared" si="0"/>
        <v/>
      </c>
      <c r="G3931" s="1" t="e">
        <f>IF(VALUE(F3931) = VALUE(RIGHT(Insights!$C$3, 4)), E3931, "")</f>
        <v>#VALUE!</v>
      </c>
      <c r="H3931" s="26" t="e">
        <f t="shared" si="1"/>
        <v>#VALUE!</v>
      </c>
      <c r="I3931" s="1" t="e">
        <f t="shared" si="2"/>
        <v>#VALUE!</v>
      </c>
    </row>
    <row r="3932" spans="1:9" ht="15.75" customHeight="1">
      <c r="A3932" s="26"/>
      <c r="B3932" s="2"/>
      <c r="C3932" s="26"/>
      <c r="D3932" s="26"/>
      <c r="F3932" s="85" t="str">
        <f t="shared" si="0"/>
        <v/>
      </c>
      <c r="G3932" s="1" t="e">
        <f>IF(VALUE(F3932) = VALUE(RIGHT(Insights!$C$3, 4)), E3932, "")</f>
        <v>#VALUE!</v>
      </c>
      <c r="H3932" s="26" t="e">
        <f t="shared" si="1"/>
        <v>#VALUE!</v>
      </c>
      <c r="I3932" s="1" t="e">
        <f t="shared" si="2"/>
        <v>#VALUE!</v>
      </c>
    </row>
    <row r="3933" spans="1:9" ht="15.75" customHeight="1">
      <c r="A3933" s="26"/>
      <c r="B3933" s="2"/>
      <c r="C3933" s="26"/>
      <c r="D3933" s="26"/>
      <c r="F3933" s="85" t="str">
        <f t="shared" si="0"/>
        <v/>
      </c>
      <c r="G3933" s="1" t="e">
        <f>IF(VALUE(F3933) = VALUE(RIGHT(Insights!$C$3, 4)), E3933, "")</f>
        <v>#VALUE!</v>
      </c>
      <c r="H3933" s="26" t="e">
        <f t="shared" si="1"/>
        <v>#VALUE!</v>
      </c>
      <c r="I3933" s="1" t="e">
        <f t="shared" si="2"/>
        <v>#VALUE!</v>
      </c>
    </row>
    <row r="3934" spans="1:9" ht="15.75" customHeight="1">
      <c r="A3934" s="26"/>
      <c r="B3934" s="2"/>
      <c r="C3934" s="26"/>
      <c r="D3934" s="26"/>
      <c r="F3934" s="85" t="str">
        <f t="shared" si="0"/>
        <v/>
      </c>
      <c r="G3934" s="1" t="e">
        <f>IF(VALUE(F3934) = VALUE(RIGHT(Insights!$C$3, 4)), E3934, "")</f>
        <v>#VALUE!</v>
      </c>
      <c r="H3934" s="26" t="e">
        <f t="shared" si="1"/>
        <v>#VALUE!</v>
      </c>
      <c r="I3934" s="1" t="e">
        <f t="shared" si="2"/>
        <v>#VALUE!</v>
      </c>
    </row>
    <row r="3935" spans="1:9" ht="15.75" customHeight="1">
      <c r="A3935" s="26"/>
      <c r="B3935" s="2"/>
      <c r="C3935" s="26"/>
      <c r="D3935" s="26"/>
      <c r="F3935" s="85" t="str">
        <f t="shared" si="0"/>
        <v/>
      </c>
      <c r="G3935" s="1" t="e">
        <f>IF(VALUE(F3935) = VALUE(RIGHT(Insights!$C$3, 4)), E3935, "")</f>
        <v>#VALUE!</v>
      </c>
      <c r="H3935" s="26" t="e">
        <f t="shared" si="1"/>
        <v>#VALUE!</v>
      </c>
      <c r="I3935" s="1" t="e">
        <f t="shared" si="2"/>
        <v>#VALUE!</v>
      </c>
    </row>
    <row r="3936" spans="1:9" ht="15.75" customHeight="1">
      <c r="A3936" s="26"/>
      <c r="B3936" s="2"/>
      <c r="C3936" s="26"/>
      <c r="D3936" s="26"/>
      <c r="F3936" s="85" t="str">
        <f t="shared" si="0"/>
        <v/>
      </c>
      <c r="G3936" s="1" t="e">
        <f>IF(VALUE(F3936) = VALUE(RIGHT(Insights!$C$3, 4)), E3936, "")</f>
        <v>#VALUE!</v>
      </c>
      <c r="H3936" s="26" t="e">
        <f t="shared" si="1"/>
        <v>#VALUE!</v>
      </c>
      <c r="I3936" s="1" t="e">
        <f t="shared" si="2"/>
        <v>#VALUE!</v>
      </c>
    </row>
    <row r="3937" spans="1:9" ht="15.75" customHeight="1">
      <c r="A3937" s="26"/>
      <c r="B3937" s="2"/>
      <c r="C3937" s="26"/>
      <c r="D3937" s="26"/>
      <c r="F3937" s="85" t="str">
        <f t="shared" si="0"/>
        <v/>
      </c>
      <c r="G3937" s="1" t="e">
        <f>IF(VALUE(F3937) = VALUE(RIGHT(Insights!$C$3, 4)), E3937, "")</f>
        <v>#VALUE!</v>
      </c>
      <c r="H3937" s="26" t="e">
        <f t="shared" si="1"/>
        <v>#VALUE!</v>
      </c>
      <c r="I3937" s="1" t="e">
        <f t="shared" si="2"/>
        <v>#VALUE!</v>
      </c>
    </row>
    <row r="3938" spans="1:9" ht="15.75" customHeight="1">
      <c r="A3938" s="26"/>
      <c r="B3938" s="2"/>
      <c r="C3938" s="26"/>
      <c r="D3938" s="26"/>
      <c r="F3938" s="85" t="str">
        <f t="shared" si="0"/>
        <v/>
      </c>
      <c r="G3938" s="1" t="e">
        <f>IF(VALUE(F3938) = VALUE(RIGHT(Insights!$C$3, 4)), E3938, "")</f>
        <v>#VALUE!</v>
      </c>
      <c r="H3938" s="26" t="e">
        <f t="shared" si="1"/>
        <v>#VALUE!</v>
      </c>
      <c r="I3938" s="1" t="e">
        <f t="shared" si="2"/>
        <v>#VALUE!</v>
      </c>
    </row>
    <row r="3939" spans="1:9" ht="15.75" customHeight="1">
      <c r="A3939" s="26"/>
      <c r="B3939" s="2"/>
      <c r="C3939" s="26"/>
      <c r="D3939" s="26"/>
      <c r="F3939" s="85" t="str">
        <f t="shared" si="0"/>
        <v/>
      </c>
      <c r="G3939" s="1" t="e">
        <f>IF(VALUE(F3939) = VALUE(RIGHT(Insights!$C$3, 4)), E3939, "")</f>
        <v>#VALUE!</v>
      </c>
      <c r="H3939" s="26" t="e">
        <f t="shared" si="1"/>
        <v>#VALUE!</v>
      </c>
      <c r="I3939" s="1" t="e">
        <f t="shared" si="2"/>
        <v>#VALUE!</v>
      </c>
    </row>
    <row r="3940" spans="1:9" ht="15.75" customHeight="1">
      <c r="A3940" s="26"/>
      <c r="B3940" s="2"/>
      <c r="C3940" s="26"/>
      <c r="D3940" s="26"/>
      <c r="F3940" s="85" t="str">
        <f t="shared" si="0"/>
        <v/>
      </c>
      <c r="G3940" s="1" t="e">
        <f>IF(VALUE(F3940) = VALUE(RIGHT(Insights!$C$3, 4)), E3940, "")</f>
        <v>#VALUE!</v>
      </c>
      <c r="H3940" s="26" t="e">
        <f t="shared" si="1"/>
        <v>#VALUE!</v>
      </c>
      <c r="I3940" s="1" t="e">
        <f t="shared" si="2"/>
        <v>#VALUE!</v>
      </c>
    </row>
    <row r="3941" spans="1:9" ht="15.75" customHeight="1">
      <c r="A3941" s="26"/>
      <c r="B3941" s="2"/>
      <c r="C3941" s="26"/>
      <c r="D3941" s="26"/>
      <c r="F3941" s="85" t="str">
        <f t="shared" si="0"/>
        <v/>
      </c>
      <c r="G3941" s="1" t="e">
        <f>IF(VALUE(F3941) = VALUE(RIGHT(Insights!$C$3, 4)), E3941, "")</f>
        <v>#VALUE!</v>
      </c>
      <c r="H3941" s="26" t="e">
        <f t="shared" si="1"/>
        <v>#VALUE!</v>
      </c>
      <c r="I3941" s="1" t="e">
        <f t="shared" si="2"/>
        <v>#VALUE!</v>
      </c>
    </row>
    <row r="3942" spans="1:9" ht="15.75" customHeight="1">
      <c r="A3942" s="26"/>
      <c r="B3942" s="2"/>
      <c r="C3942" s="26"/>
      <c r="D3942" s="26"/>
      <c r="F3942" s="85" t="str">
        <f t="shared" si="0"/>
        <v/>
      </c>
      <c r="G3942" s="1" t="e">
        <f>IF(VALUE(F3942) = VALUE(RIGHT(Insights!$C$3, 4)), E3942, "")</f>
        <v>#VALUE!</v>
      </c>
      <c r="H3942" s="26" t="e">
        <f t="shared" si="1"/>
        <v>#VALUE!</v>
      </c>
      <c r="I3942" s="1" t="e">
        <f t="shared" si="2"/>
        <v>#VALUE!</v>
      </c>
    </row>
    <row r="3943" spans="1:9" ht="15.75" customHeight="1">
      <c r="A3943" s="26"/>
      <c r="B3943" s="2"/>
      <c r="C3943" s="26"/>
      <c r="D3943" s="26"/>
      <c r="F3943" s="85" t="str">
        <f t="shared" si="0"/>
        <v/>
      </c>
      <c r="G3943" s="1" t="e">
        <f>IF(VALUE(F3943) = VALUE(RIGHT(Insights!$C$3, 4)), E3943, "")</f>
        <v>#VALUE!</v>
      </c>
      <c r="H3943" s="26" t="e">
        <f t="shared" si="1"/>
        <v>#VALUE!</v>
      </c>
      <c r="I3943" s="1" t="e">
        <f t="shared" si="2"/>
        <v>#VALUE!</v>
      </c>
    </row>
    <row r="3944" spans="1:9" ht="15.75" customHeight="1">
      <c r="A3944" s="26"/>
      <c r="B3944" s="2"/>
      <c r="C3944" s="26"/>
      <c r="D3944" s="26"/>
      <c r="F3944" s="85" t="str">
        <f t="shared" si="0"/>
        <v/>
      </c>
      <c r="G3944" s="1" t="e">
        <f>IF(VALUE(F3944) = VALUE(RIGHT(Insights!$C$3, 4)), E3944, "")</f>
        <v>#VALUE!</v>
      </c>
      <c r="H3944" s="26" t="e">
        <f t="shared" si="1"/>
        <v>#VALUE!</v>
      </c>
      <c r="I3944" s="1" t="e">
        <f t="shared" si="2"/>
        <v>#VALUE!</v>
      </c>
    </row>
    <row r="3945" spans="1:9" ht="15.75" customHeight="1">
      <c r="A3945" s="26"/>
      <c r="B3945" s="2"/>
      <c r="C3945" s="26"/>
      <c r="D3945" s="26"/>
      <c r="F3945" s="85" t="str">
        <f t="shared" si="0"/>
        <v/>
      </c>
      <c r="G3945" s="1" t="e">
        <f>IF(VALUE(F3945) = VALUE(RIGHT(Insights!$C$3, 4)), E3945, "")</f>
        <v>#VALUE!</v>
      </c>
      <c r="H3945" s="26" t="e">
        <f t="shared" si="1"/>
        <v>#VALUE!</v>
      </c>
      <c r="I3945" s="1" t="e">
        <f t="shared" si="2"/>
        <v>#VALUE!</v>
      </c>
    </row>
    <row r="3946" spans="1:9" ht="15.75" customHeight="1">
      <c r="A3946" s="26"/>
      <c r="B3946" s="2"/>
      <c r="C3946" s="26"/>
      <c r="D3946" s="26"/>
      <c r="F3946" s="85" t="str">
        <f t="shared" si="0"/>
        <v/>
      </c>
      <c r="G3946" s="1" t="e">
        <f>IF(VALUE(F3946) = VALUE(RIGHT(Insights!$C$3, 4)), E3946, "")</f>
        <v>#VALUE!</v>
      </c>
      <c r="H3946" s="26" t="e">
        <f t="shared" si="1"/>
        <v>#VALUE!</v>
      </c>
      <c r="I3946" s="1" t="e">
        <f t="shared" si="2"/>
        <v>#VALUE!</v>
      </c>
    </row>
    <row r="3947" spans="1:9" ht="15.75" customHeight="1">
      <c r="A3947" s="26"/>
      <c r="B3947" s="2"/>
      <c r="C3947" s="26"/>
      <c r="D3947" s="26"/>
      <c r="F3947" s="85" t="str">
        <f t="shared" si="0"/>
        <v/>
      </c>
      <c r="G3947" s="1" t="e">
        <f>IF(VALUE(F3947) = VALUE(RIGHT(Insights!$C$3, 4)), E3947, "")</f>
        <v>#VALUE!</v>
      </c>
      <c r="H3947" s="26" t="e">
        <f t="shared" si="1"/>
        <v>#VALUE!</v>
      </c>
      <c r="I3947" s="1" t="e">
        <f t="shared" si="2"/>
        <v>#VALUE!</v>
      </c>
    </row>
    <row r="3948" spans="1:9" ht="15.75" customHeight="1">
      <c r="A3948" s="26"/>
      <c r="B3948" s="2"/>
      <c r="C3948" s="26"/>
      <c r="D3948" s="26"/>
      <c r="F3948" s="85" t="str">
        <f t="shared" si="0"/>
        <v/>
      </c>
      <c r="G3948" s="1" t="e">
        <f>IF(VALUE(F3948) = VALUE(RIGHT(Insights!$C$3, 4)), E3948, "")</f>
        <v>#VALUE!</v>
      </c>
      <c r="H3948" s="26" t="e">
        <f t="shared" si="1"/>
        <v>#VALUE!</v>
      </c>
      <c r="I3948" s="1" t="e">
        <f t="shared" si="2"/>
        <v>#VALUE!</v>
      </c>
    </row>
    <row r="3949" spans="1:9" ht="15.75" customHeight="1">
      <c r="A3949" s="26"/>
      <c r="B3949" s="2"/>
      <c r="C3949" s="26"/>
      <c r="D3949" s="26"/>
      <c r="F3949" s="85" t="str">
        <f t="shared" si="0"/>
        <v/>
      </c>
      <c r="G3949" s="1" t="e">
        <f>IF(VALUE(F3949) = VALUE(RIGHT(Insights!$C$3, 4)), E3949, "")</f>
        <v>#VALUE!</v>
      </c>
      <c r="H3949" s="26" t="e">
        <f t="shared" si="1"/>
        <v>#VALUE!</v>
      </c>
      <c r="I3949" s="1" t="e">
        <f t="shared" si="2"/>
        <v>#VALUE!</v>
      </c>
    </row>
    <row r="3950" spans="1:9" ht="15.75" customHeight="1">
      <c r="A3950" s="26"/>
      <c r="B3950" s="2"/>
      <c r="C3950" s="26"/>
      <c r="D3950" s="26"/>
      <c r="F3950" s="85" t="str">
        <f t="shared" si="0"/>
        <v/>
      </c>
      <c r="G3950" s="1" t="e">
        <f>IF(VALUE(F3950) = VALUE(RIGHT(Insights!$C$3, 4)), E3950, "")</f>
        <v>#VALUE!</v>
      </c>
      <c r="H3950" s="26" t="e">
        <f t="shared" si="1"/>
        <v>#VALUE!</v>
      </c>
      <c r="I3950" s="1" t="e">
        <f t="shared" si="2"/>
        <v>#VALUE!</v>
      </c>
    </row>
    <row r="3951" spans="1:9" ht="15.75" customHeight="1">
      <c r="A3951" s="26"/>
      <c r="B3951" s="2"/>
      <c r="C3951" s="26"/>
      <c r="D3951" s="26"/>
      <c r="F3951" s="85" t="str">
        <f t="shared" si="0"/>
        <v/>
      </c>
      <c r="G3951" s="1" t="e">
        <f>IF(VALUE(F3951) = VALUE(RIGHT(Insights!$C$3, 4)), E3951, "")</f>
        <v>#VALUE!</v>
      </c>
      <c r="H3951" s="26" t="e">
        <f t="shared" si="1"/>
        <v>#VALUE!</v>
      </c>
      <c r="I3951" s="1" t="e">
        <f t="shared" si="2"/>
        <v>#VALUE!</v>
      </c>
    </row>
    <row r="3952" spans="1:9" ht="15.75" customHeight="1">
      <c r="A3952" s="26"/>
      <c r="B3952" s="2"/>
      <c r="C3952" s="26"/>
      <c r="D3952" s="26"/>
      <c r="F3952" s="85" t="str">
        <f t="shared" si="0"/>
        <v/>
      </c>
      <c r="G3952" s="1" t="e">
        <f>IF(VALUE(F3952) = VALUE(RIGHT(Insights!$C$3, 4)), E3952, "")</f>
        <v>#VALUE!</v>
      </c>
      <c r="H3952" s="26" t="e">
        <f t="shared" si="1"/>
        <v>#VALUE!</v>
      </c>
      <c r="I3952" s="1" t="e">
        <f t="shared" si="2"/>
        <v>#VALUE!</v>
      </c>
    </row>
    <row r="3953" spans="1:9" ht="15.75" customHeight="1">
      <c r="A3953" s="26"/>
      <c r="B3953" s="2"/>
      <c r="C3953" s="26"/>
      <c r="D3953" s="26"/>
      <c r="F3953" s="85" t="str">
        <f t="shared" si="0"/>
        <v/>
      </c>
      <c r="G3953" s="1" t="e">
        <f>IF(VALUE(F3953) = VALUE(RIGHT(Insights!$C$3, 4)), E3953, "")</f>
        <v>#VALUE!</v>
      </c>
      <c r="H3953" s="26" t="e">
        <f t="shared" si="1"/>
        <v>#VALUE!</v>
      </c>
      <c r="I3953" s="1" t="e">
        <f t="shared" si="2"/>
        <v>#VALUE!</v>
      </c>
    </row>
    <row r="3954" spans="1:9" ht="15.75" customHeight="1">
      <c r="A3954" s="26"/>
      <c r="B3954" s="2"/>
      <c r="C3954" s="26"/>
      <c r="D3954" s="26"/>
      <c r="F3954" s="85" t="str">
        <f t="shared" si="0"/>
        <v/>
      </c>
      <c r="G3954" s="1" t="e">
        <f>IF(VALUE(F3954) = VALUE(RIGHT(Insights!$C$3, 4)), E3954, "")</f>
        <v>#VALUE!</v>
      </c>
      <c r="H3954" s="26" t="e">
        <f t="shared" si="1"/>
        <v>#VALUE!</v>
      </c>
      <c r="I3954" s="1" t="e">
        <f t="shared" si="2"/>
        <v>#VALUE!</v>
      </c>
    </row>
    <row r="3955" spans="1:9" ht="15.75" customHeight="1">
      <c r="A3955" s="26"/>
      <c r="B3955" s="2"/>
      <c r="C3955" s="26"/>
      <c r="D3955" s="26"/>
      <c r="F3955" s="85" t="str">
        <f t="shared" si="0"/>
        <v/>
      </c>
      <c r="G3955" s="1" t="e">
        <f>IF(VALUE(F3955) = VALUE(RIGHT(Insights!$C$3, 4)), E3955, "")</f>
        <v>#VALUE!</v>
      </c>
      <c r="H3955" s="26" t="e">
        <f t="shared" si="1"/>
        <v>#VALUE!</v>
      </c>
      <c r="I3955" s="1" t="e">
        <f t="shared" si="2"/>
        <v>#VALUE!</v>
      </c>
    </row>
    <row r="3956" spans="1:9" ht="15.75" customHeight="1">
      <c r="A3956" s="26"/>
      <c r="B3956" s="2"/>
      <c r="C3956" s="26"/>
      <c r="D3956" s="26"/>
      <c r="F3956" s="85" t="str">
        <f t="shared" si="0"/>
        <v/>
      </c>
      <c r="G3956" s="1" t="e">
        <f>IF(VALUE(F3956) = VALUE(RIGHT(Insights!$C$3, 4)), E3956, "")</f>
        <v>#VALUE!</v>
      </c>
      <c r="H3956" s="26" t="e">
        <f t="shared" si="1"/>
        <v>#VALUE!</v>
      </c>
      <c r="I3956" s="1" t="e">
        <f t="shared" si="2"/>
        <v>#VALUE!</v>
      </c>
    </row>
    <row r="3957" spans="1:9" ht="15.75" customHeight="1">
      <c r="A3957" s="26"/>
      <c r="B3957" s="2"/>
      <c r="C3957" s="26"/>
      <c r="D3957" s="26"/>
      <c r="F3957" s="85" t="str">
        <f t="shared" si="0"/>
        <v/>
      </c>
      <c r="G3957" s="1" t="e">
        <f>IF(VALUE(F3957) = VALUE(RIGHT(Insights!$C$3, 4)), E3957, "")</f>
        <v>#VALUE!</v>
      </c>
      <c r="H3957" s="26" t="e">
        <f t="shared" si="1"/>
        <v>#VALUE!</v>
      </c>
      <c r="I3957" s="1" t="e">
        <f t="shared" si="2"/>
        <v>#VALUE!</v>
      </c>
    </row>
    <row r="3958" spans="1:9" ht="15.75" customHeight="1">
      <c r="A3958" s="26"/>
      <c r="B3958" s="2"/>
      <c r="C3958" s="26"/>
      <c r="D3958" s="26"/>
      <c r="F3958" s="85" t="str">
        <f t="shared" si="0"/>
        <v/>
      </c>
      <c r="G3958" s="1" t="e">
        <f>IF(VALUE(F3958) = VALUE(RIGHT(Insights!$C$3, 4)), E3958, "")</f>
        <v>#VALUE!</v>
      </c>
      <c r="H3958" s="26" t="e">
        <f t="shared" si="1"/>
        <v>#VALUE!</v>
      </c>
      <c r="I3958" s="1" t="e">
        <f t="shared" si="2"/>
        <v>#VALUE!</v>
      </c>
    </row>
    <row r="3959" spans="1:9" ht="15.75" customHeight="1">
      <c r="A3959" s="26"/>
      <c r="B3959" s="2"/>
      <c r="C3959" s="26"/>
      <c r="D3959" s="26"/>
      <c r="F3959" s="85" t="str">
        <f t="shared" si="0"/>
        <v/>
      </c>
      <c r="G3959" s="1" t="e">
        <f>IF(VALUE(F3959) = VALUE(RIGHT(Insights!$C$3, 4)), E3959, "")</f>
        <v>#VALUE!</v>
      </c>
      <c r="H3959" s="26" t="e">
        <f t="shared" si="1"/>
        <v>#VALUE!</v>
      </c>
      <c r="I3959" s="1" t="e">
        <f t="shared" si="2"/>
        <v>#VALUE!</v>
      </c>
    </row>
    <row r="3960" spans="1:9" ht="15.75" customHeight="1">
      <c r="A3960" s="26"/>
      <c r="B3960" s="2"/>
      <c r="C3960" s="26"/>
      <c r="D3960" s="26"/>
      <c r="F3960" s="85" t="str">
        <f t="shared" si="0"/>
        <v/>
      </c>
      <c r="G3960" s="1" t="e">
        <f>IF(VALUE(F3960) = VALUE(RIGHT(Insights!$C$3, 4)), E3960, "")</f>
        <v>#VALUE!</v>
      </c>
      <c r="H3960" s="26" t="e">
        <f t="shared" si="1"/>
        <v>#VALUE!</v>
      </c>
      <c r="I3960" s="1" t="e">
        <f t="shared" si="2"/>
        <v>#VALUE!</v>
      </c>
    </row>
    <row r="3961" spans="1:9" ht="15.75" customHeight="1">
      <c r="A3961" s="26"/>
      <c r="B3961" s="2"/>
      <c r="C3961" s="26"/>
      <c r="D3961" s="26"/>
      <c r="F3961" s="85" t="str">
        <f t="shared" si="0"/>
        <v/>
      </c>
      <c r="G3961" s="1" t="e">
        <f>IF(VALUE(F3961) = VALUE(RIGHT(Insights!$C$3, 4)), E3961, "")</f>
        <v>#VALUE!</v>
      </c>
      <c r="H3961" s="26" t="e">
        <f t="shared" si="1"/>
        <v>#VALUE!</v>
      </c>
      <c r="I3961" s="1" t="e">
        <f t="shared" si="2"/>
        <v>#VALUE!</v>
      </c>
    </row>
    <row r="3962" spans="1:9" ht="15.75" customHeight="1">
      <c r="A3962" s="26"/>
      <c r="B3962" s="2"/>
      <c r="C3962" s="26"/>
      <c r="D3962" s="26"/>
      <c r="F3962" s="85" t="str">
        <f t="shared" si="0"/>
        <v/>
      </c>
      <c r="G3962" s="1" t="e">
        <f>IF(VALUE(F3962) = VALUE(RIGHT(Insights!$C$3, 4)), E3962, "")</f>
        <v>#VALUE!</v>
      </c>
      <c r="H3962" s="26" t="e">
        <f t="shared" si="1"/>
        <v>#VALUE!</v>
      </c>
      <c r="I3962" s="1" t="e">
        <f t="shared" si="2"/>
        <v>#VALUE!</v>
      </c>
    </row>
    <row r="3963" spans="1:9" ht="15.75" customHeight="1">
      <c r="A3963" s="26"/>
      <c r="B3963" s="2"/>
      <c r="C3963" s="26"/>
      <c r="D3963" s="26"/>
      <c r="F3963" s="85" t="str">
        <f t="shared" si="0"/>
        <v/>
      </c>
      <c r="G3963" s="1" t="e">
        <f>IF(VALUE(F3963) = VALUE(RIGHT(Insights!$C$3, 4)), E3963, "")</f>
        <v>#VALUE!</v>
      </c>
      <c r="H3963" s="26" t="e">
        <f t="shared" si="1"/>
        <v>#VALUE!</v>
      </c>
      <c r="I3963" s="1" t="e">
        <f t="shared" si="2"/>
        <v>#VALUE!</v>
      </c>
    </row>
    <row r="3964" spans="1:9" ht="15.75" customHeight="1">
      <c r="A3964" s="26"/>
      <c r="B3964" s="2"/>
      <c r="C3964" s="26"/>
      <c r="D3964" s="26"/>
      <c r="F3964" s="85" t="str">
        <f t="shared" si="0"/>
        <v/>
      </c>
      <c r="G3964" s="1" t="e">
        <f>IF(VALUE(F3964) = VALUE(RIGHT(Insights!$C$3, 4)), E3964, "")</f>
        <v>#VALUE!</v>
      </c>
      <c r="H3964" s="26" t="e">
        <f t="shared" si="1"/>
        <v>#VALUE!</v>
      </c>
      <c r="I3964" s="1" t="e">
        <f t="shared" si="2"/>
        <v>#VALUE!</v>
      </c>
    </row>
    <row r="3965" spans="1:9" ht="15.75" customHeight="1">
      <c r="A3965" s="26"/>
      <c r="B3965" s="2"/>
      <c r="C3965" s="26"/>
      <c r="D3965" s="26"/>
      <c r="F3965" s="85" t="str">
        <f t="shared" si="0"/>
        <v/>
      </c>
      <c r="G3965" s="1" t="e">
        <f>IF(VALUE(F3965) = VALUE(RIGHT(Insights!$C$3, 4)), E3965, "")</f>
        <v>#VALUE!</v>
      </c>
      <c r="H3965" s="26" t="e">
        <f t="shared" si="1"/>
        <v>#VALUE!</v>
      </c>
      <c r="I3965" s="1" t="e">
        <f t="shared" si="2"/>
        <v>#VALUE!</v>
      </c>
    </row>
    <row r="3966" spans="1:9" ht="15.75" customHeight="1">
      <c r="A3966" s="26"/>
      <c r="B3966" s="2"/>
      <c r="C3966" s="26"/>
      <c r="D3966" s="26"/>
      <c r="F3966" s="85" t="str">
        <f t="shared" si="0"/>
        <v/>
      </c>
      <c r="G3966" s="1" t="e">
        <f>IF(VALUE(F3966) = VALUE(RIGHT(Insights!$C$3, 4)), E3966, "")</f>
        <v>#VALUE!</v>
      </c>
      <c r="H3966" s="26" t="e">
        <f t="shared" si="1"/>
        <v>#VALUE!</v>
      </c>
      <c r="I3966" s="1" t="e">
        <f t="shared" si="2"/>
        <v>#VALUE!</v>
      </c>
    </row>
    <row r="3967" spans="1:9" ht="15.75" customHeight="1">
      <c r="A3967" s="26"/>
      <c r="B3967" s="2"/>
      <c r="C3967" s="26"/>
      <c r="D3967" s="26"/>
      <c r="F3967" s="85" t="str">
        <f t="shared" si="0"/>
        <v/>
      </c>
      <c r="G3967" s="1" t="e">
        <f>IF(VALUE(F3967) = VALUE(RIGHT(Insights!$C$3, 4)), E3967, "")</f>
        <v>#VALUE!</v>
      </c>
      <c r="H3967" s="26" t="e">
        <f t="shared" si="1"/>
        <v>#VALUE!</v>
      </c>
      <c r="I3967" s="1" t="e">
        <f t="shared" si="2"/>
        <v>#VALUE!</v>
      </c>
    </row>
    <row r="3968" spans="1:9" ht="15.75" customHeight="1">
      <c r="A3968" s="26"/>
      <c r="B3968" s="2"/>
      <c r="C3968" s="26"/>
      <c r="D3968" s="26"/>
      <c r="F3968" s="85" t="str">
        <f t="shared" si="0"/>
        <v/>
      </c>
      <c r="G3968" s="1" t="e">
        <f>IF(VALUE(F3968) = VALUE(RIGHT(Insights!$C$3, 4)), E3968, "")</f>
        <v>#VALUE!</v>
      </c>
      <c r="H3968" s="26" t="e">
        <f t="shared" si="1"/>
        <v>#VALUE!</v>
      </c>
      <c r="I3968" s="1" t="e">
        <f t="shared" si="2"/>
        <v>#VALUE!</v>
      </c>
    </row>
    <row r="3969" spans="1:9" ht="15.75" customHeight="1">
      <c r="A3969" s="26"/>
      <c r="B3969" s="2"/>
      <c r="C3969" s="26"/>
      <c r="D3969" s="26"/>
      <c r="F3969" s="85" t="str">
        <f t="shared" si="0"/>
        <v/>
      </c>
      <c r="G3969" s="1" t="e">
        <f>IF(VALUE(F3969) = VALUE(RIGHT(Insights!$C$3, 4)), E3969, "")</f>
        <v>#VALUE!</v>
      </c>
      <c r="H3969" s="26" t="e">
        <f t="shared" si="1"/>
        <v>#VALUE!</v>
      </c>
      <c r="I3969" s="1" t="e">
        <f t="shared" si="2"/>
        <v>#VALUE!</v>
      </c>
    </row>
    <row r="3970" spans="1:9" ht="15.75" customHeight="1">
      <c r="A3970" s="26"/>
      <c r="B3970" s="2"/>
      <c r="C3970" s="26"/>
      <c r="D3970" s="26"/>
      <c r="F3970" s="85" t="str">
        <f t="shared" si="0"/>
        <v/>
      </c>
      <c r="G3970" s="1" t="e">
        <f>IF(VALUE(F3970) = VALUE(RIGHT(Insights!$C$3, 4)), E3970, "")</f>
        <v>#VALUE!</v>
      </c>
      <c r="H3970" s="26" t="e">
        <f t="shared" si="1"/>
        <v>#VALUE!</v>
      </c>
      <c r="I3970" s="1" t="e">
        <f t="shared" si="2"/>
        <v>#VALUE!</v>
      </c>
    </row>
    <row r="3971" spans="1:9" ht="15.75" customHeight="1">
      <c r="A3971" s="26"/>
      <c r="B3971" s="2"/>
      <c r="C3971" s="26"/>
      <c r="D3971" s="26"/>
      <c r="F3971" s="85" t="str">
        <f t="shared" si="0"/>
        <v/>
      </c>
      <c r="G3971" s="1" t="e">
        <f>IF(VALUE(F3971) = VALUE(RIGHT(Insights!$C$3, 4)), E3971, "")</f>
        <v>#VALUE!</v>
      </c>
      <c r="H3971" s="26" t="e">
        <f t="shared" si="1"/>
        <v>#VALUE!</v>
      </c>
      <c r="I3971" s="1" t="e">
        <f t="shared" si="2"/>
        <v>#VALUE!</v>
      </c>
    </row>
    <row r="3972" spans="1:9" ht="15.75" customHeight="1">
      <c r="A3972" s="26"/>
      <c r="B3972" s="2"/>
      <c r="C3972" s="26"/>
      <c r="D3972" s="26"/>
      <c r="F3972" s="85" t="str">
        <f t="shared" si="0"/>
        <v/>
      </c>
      <c r="G3972" s="1" t="e">
        <f>IF(VALUE(F3972) = VALUE(RIGHT(Insights!$C$3, 4)), E3972, "")</f>
        <v>#VALUE!</v>
      </c>
      <c r="H3972" s="26" t="e">
        <f t="shared" si="1"/>
        <v>#VALUE!</v>
      </c>
      <c r="I3972" s="1" t="e">
        <f t="shared" si="2"/>
        <v>#VALUE!</v>
      </c>
    </row>
    <row r="3973" spans="1:9" ht="15.75" customHeight="1">
      <c r="A3973" s="26"/>
      <c r="B3973" s="2"/>
      <c r="C3973" s="26"/>
      <c r="D3973" s="26"/>
      <c r="F3973" s="85" t="str">
        <f t="shared" si="0"/>
        <v/>
      </c>
      <c r="G3973" s="1" t="e">
        <f>IF(VALUE(F3973) = VALUE(RIGHT(Insights!$C$3, 4)), E3973, "")</f>
        <v>#VALUE!</v>
      </c>
      <c r="H3973" s="26" t="e">
        <f t="shared" si="1"/>
        <v>#VALUE!</v>
      </c>
      <c r="I3973" s="1" t="e">
        <f t="shared" si="2"/>
        <v>#VALUE!</v>
      </c>
    </row>
    <row r="3974" spans="1:9" ht="15.75" customHeight="1">
      <c r="A3974" s="26"/>
      <c r="B3974" s="2"/>
      <c r="C3974" s="26"/>
      <c r="D3974" s="26"/>
      <c r="F3974" s="85" t="str">
        <f t="shared" si="0"/>
        <v/>
      </c>
      <c r="G3974" s="1" t="e">
        <f>IF(VALUE(F3974) = VALUE(RIGHT(Insights!$C$3, 4)), E3974, "")</f>
        <v>#VALUE!</v>
      </c>
      <c r="H3974" s="26" t="e">
        <f t="shared" si="1"/>
        <v>#VALUE!</v>
      </c>
      <c r="I3974" s="1" t="e">
        <f t="shared" si="2"/>
        <v>#VALUE!</v>
      </c>
    </row>
    <row r="3975" spans="1:9" ht="15.75" customHeight="1">
      <c r="A3975" s="26"/>
      <c r="B3975" s="2"/>
      <c r="C3975" s="26"/>
      <c r="D3975" s="26"/>
      <c r="F3975" s="85" t="str">
        <f t="shared" si="0"/>
        <v/>
      </c>
      <c r="G3975" s="1" t="e">
        <f>IF(VALUE(F3975) = VALUE(RIGHT(Insights!$C$3, 4)), E3975, "")</f>
        <v>#VALUE!</v>
      </c>
      <c r="H3975" s="26" t="e">
        <f t="shared" si="1"/>
        <v>#VALUE!</v>
      </c>
      <c r="I3975" s="1" t="e">
        <f t="shared" si="2"/>
        <v>#VALUE!</v>
      </c>
    </row>
    <row r="3976" spans="1:9" ht="15.75" customHeight="1">
      <c r="A3976" s="26"/>
      <c r="B3976" s="2"/>
      <c r="C3976" s="26"/>
      <c r="D3976" s="26"/>
      <c r="F3976" s="85" t="str">
        <f t="shared" si="0"/>
        <v/>
      </c>
      <c r="G3976" s="1" t="e">
        <f>IF(VALUE(F3976) = VALUE(RIGHT(Insights!$C$3, 4)), E3976, "")</f>
        <v>#VALUE!</v>
      </c>
      <c r="H3976" s="26" t="e">
        <f t="shared" si="1"/>
        <v>#VALUE!</v>
      </c>
      <c r="I3976" s="1" t="e">
        <f t="shared" si="2"/>
        <v>#VALUE!</v>
      </c>
    </row>
    <row r="3977" spans="1:9" ht="15.75" customHeight="1">
      <c r="A3977" s="26"/>
      <c r="B3977" s="2"/>
      <c r="C3977" s="26"/>
      <c r="D3977" s="26"/>
      <c r="F3977" s="85" t="str">
        <f t="shared" si="0"/>
        <v/>
      </c>
      <c r="G3977" s="1" t="e">
        <f>IF(VALUE(F3977) = VALUE(RIGHT(Insights!$C$3, 4)), E3977, "")</f>
        <v>#VALUE!</v>
      </c>
      <c r="H3977" s="26" t="e">
        <f t="shared" si="1"/>
        <v>#VALUE!</v>
      </c>
      <c r="I3977" s="1" t="e">
        <f t="shared" si="2"/>
        <v>#VALUE!</v>
      </c>
    </row>
    <row r="3978" spans="1:9" ht="15.75" customHeight="1">
      <c r="A3978" s="26"/>
      <c r="B3978" s="2"/>
      <c r="C3978" s="26"/>
      <c r="D3978" s="26"/>
      <c r="F3978" s="85" t="str">
        <f t="shared" si="0"/>
        <v/>
      </c>
      <c r="G3978" s="1" t="e">
        <f>IF(VALUE(F3978) = VALUE(RIGHT(Insights!$C$3, 4)), E3978, "")</f>
        <v>#VALUE!</v>
      </c>
      <c r="H3978" s="26" t="e">
        <f t="shared" si="1"/>
        <v>#VALUE!</v>
      </c>
      <c r="I3978" s="1" t="e">
        <f t="shared" si="2"/>
        <v>#VALUE!</v>
      </c>
    </row>
    <row r="3979" spans="1:9" ht="15.75" customHeight="1">
      <c r="A3979" s="26"/>
      <c r="B3979" s="2"/>
      <c r="C3979" s="26"/>
      <c r="D3979" s="26"/>
      <c r="F3979" s="85" t="str">
        <f t="shared" si="0"/>
        <v/>
      </c>
      <c r="G3979" s="1" t="e">
        <f>IF(VALUE(F3979) = VALUE(RIGHT(Insights!$C$3, 4)), E3979, "")</f>
        <v>#VALUE!</v>
      </c>
      <c r="H3979" s="26" t="e">
        <f t="shared" si="1"/>
        <v>#VALUE!</v>
      </c>
      <c r="I3979" s="1" t="e">
        <f t="shared" si="2"/>
        <v>#VALUE!</v>
      </c>
    </row>
    <row r="3980" spans="1:9" ht="15.75" customHeight="1">
      <c r="A3980" s="26"/>
      <c r="B3980" s="2"/>
      <c r="C3980" s="26"/>
      <c r="D3980" s="26"/>
      <c r="F3980" s="85" t="str">
        <f t="shared" si="0"/>
        <v/>
      </c>
      <c r="G3980" s="1" t="e">
        <f>IF(VALUE(F3980) = VALUE(RIGHT(Insights!$C$3, 4)), E3980, "")</f>
        <v>#VALUE!</v>
      </c>
      <c r="H3980" s="26" t="e">
        <f t="shared" si="1"/>
        <v>#VALUE!</v>
      </c>
      <c r="I3980" s="1" t="e">
        <f t="shared" si="2"/>
        <v>#VALUE!</v>
      </c>
    </row>
    <row r="3981" spans="1:9" ht="15.75" customHeight="1">
      <c r="A3981" s="26"/>
      <c r="B3981" s="2"/>
      <c r="C3981" s="26"/>
      <c r="D3981" s="26"/>
      <c r="F3981" s="85" t="str">
        <f t="shared" si="0"/>
        <v/>
      </c>
      <c r="G3981" s="1" t="e">
        <f>IF(VALUE(F3981) = VALUE(RIGHT(Insights!$C$3, 4)), E3981, "")</f>
        <v>#VALUE!</v>
      </c>
      <c r="H3981" s="26" t="e">
        <f t="shared" si="1"/>
        <v>#VALUE!</v>
      </c>
      <c r="I3981" s="1" t="e">
        <f t="shared" si="2"/>
        <v>#VALUE!</v>
      </c>
    </row>
    <row r="3982" spans="1:9" ht="15.75" customHeight="1">
      <c r="A3982" s="26"/>
      <c r="B3982" s="2"/>
      <c r="C3982" s="26"/>
      <c r="D3982" s="26"/>
      <c r="F3982" s="85" t="str">
        <f t="shared" si="0"/>
        <v/>
      </c>
      <c r="G3982" s="1" t="e">
        <f>IF(VALUE(F3982) = VALUE(RIGHT(Insights!$C$3, 4)), E3982, "")</f>
        <v>#VALUE!</v>
      </c>
      <c r="H3982" s="26" t="e">
        <f t="shared" si="1"/>
        <v>#VALUE!</v>
      </c>
      <c r="I3982" s="1" t="e">
        <f t="shared" si="2"/>
        <v>#VALUE!</v>
      </c>
    </row>
    <row r="3983" spans="1:9" ht="15.75" customHeight="1">
      <c r="A3983" s="26"/>
      <c r="B3983" s="2"/>
      <c r="C3983" s="26"/>
      <c r="D3983" s="26"/>
      <c r="F3983" s="85" t="str">
        <f t="shared" si="0"/>
        <v/>
      </c>
      <c r="G3983" s="1" t="e">
        <f>IF(VALUE(F3983) = VALUE(RIGHT(Insights!$C$3, 4)), E3983, "")</f>
        <v>#VALUE!</v>
      </c>
      <c r="H3983" s="26" t="e">
        <f t="shared" si="1"/>
        <v>#VALUE!</v>
      </c>
      <c r="I3983" s="1" t="e">
        <f t="shared" si="2"/>
        <v>#VALUE!</v>
      </c>
    </row>
    <row r="3984" spans="1:9" ht="15.75" customHeight="1">
      <c r="A3984" s="26"/>
      <c r="B3984" s="2"/>
      <c r="C3984" s="26"/>
      <c r="D3984" s="26"/>
      <c r="F3984" s="85" t="str">
        <f t="shared" si="0"/>
        <v/>
      </c>
      <c r="G3984" s="1" t="e">
        <f>IF(VALUE(F3984) = VALUE(RIGHT(Insights!$C$3, 4)), E3984, "")</f>
        <v>#VALUE!</v>
      </c>
      <c r="H3984" s="26" t="e">
        <f t="shared" si="1"/>
        <v>#VALUE!</v>
      </c>
      <c r="I3984" s="1" t="e">
        <f t="shared" si="2"/>
        <v>#VALUE!</v>
      </c>
    </row>
    <row r="3985" spans="1:9" ht="15.75" customHeight="1">
      <c r="A3985" s="26"/>
      <c r="B3985" s="2"/>
      <c r="C3985" s="26"/>
      <c r="D3985" s="26"/>
      <c r="F3985" s="85" t="str">
        <f t="shared" si="0"/>
        <v/>
      </c>
      <c r="G3985" s="1" t="e">
        <f>IF(VALUE(F3985) = VALUE(RIGHT(Insights!$C$3, 4)), E3985, "")</f>
        <v>#VALUE!</v>
      </c>
      <c r="H3985" s="26" t="e">
        <f t="shared" si="1"/>
        <v>#VALUE!</v>
      </c>
      <c r="I3985" s="1" t="e">
        <f t="shared" si="2"/>
        <v>#VALUE!</v>
      </c>
    </row>
    <row r="3986" spans="1:9" ht="15.75" customHeight="1">
      <c r="A3986" s="26"/>
      <c r="B3986" s="2"/>
      <c r="C3986" s="26"/>
      <c r="D3986" s="26"/>
      <c r="F3986" s="85" t="str">
        <f t="shared" si="0"/>
        <v/>
      </c>
      <c r="G3986" s="1" t="e">
        <f>IF(VALUE(F3986) = VALUE(RIGHT(Insights!$C$3, 4)), E3986, "")</f>
        <v>#VALUE!</v>
      </c>
      <c r="H3986" s="26" t="e">
        <f t="shared" si="1"/>
        <v>#VALUE!</v>
      </c>
      <c r="I3986" s="1" t="e">
        <f t="shared" si="2"/>
        <v>#VALUE!</v>
      </c>
    </row>
    <row r="3987" spans="1:9" ht="15.75" customHeight="1">
      <c r="A3987" s="26"/>
      <c r="B3987" s="2"/>
      <c r="C3987" s="26"/>
      <c r="D3987" s="26"/>
      <c r="F3987" s="85" t="str">
        <f t="shared" si="0"/>
        <v/>
      </c>
      <c r="G3987" s="1" t="e">
        <f>IF(VALUE(F3987) = VALUE(RIGHT(Insights!$C$3, 4)), E3987, "")</f>
        <v>#VALUE!</v>
      </c>
      <c r="H3987" s="26" t="e">
        <f t="shared" si="1"/>
        <v>#VALUE!</v>
      </c>
      <c r="I3987" s="1" t="e">
        <f t="shared" si="2"/>
        <v>#VALUE!</v>
      </c>
    </row>
    <row r="3988" spans="1:9" ht="15.75" customHeight="1">
      <c r="A3988" s="26"/>
      <c r="B3988" s="2"/>
      <c r="C3988" s="26"/>
      <c r="D3988" s="26"/>
      <c r="F3988" s="85" t="str">
        <f t="shared" si="0"/>
        <v/>
      </c>
      <c r="G3988" s="1" t="e">
        <f>IF(VALUE(F3988) = VALUE(RIGHT(Insights!$C$3, 4)), E3988, "")</f>
        <v>#VALUE!</v>
      </c>
      <c r="H3988" s="26" t="e">
        <f t="shared" si="1"/>
        <v>#VALUE!</v>
      </c>
      <c r="I3988" s="1" t="e">
        <f t="shared" si="2"/>
        <v>#VALUE!</v>
      </c>
    </row>
    <row r="3989" spans="1:9" ht="15.75" customHeight="1">
      <c r="A3989" s="26"/>
      <c r="B3989" s="2"/>
      <c r="C3989" s="26"/>
      <c r="D3989" s="26"/>
      <c r="F3989" s="85" t="str">
        <f t="shared" si="0"/>
        <v/>
      </c>
      <c r="G3989" s="1" t="e">
        <f>IF(VALUE(F3989) = VALUE(RIGHT(Insights!$C$3, 4)), E3989, "")</f>
        <v>#VALUE!</v>
      </c>
      <c r="H3989" s="26" t="e">
        <f t="shared" si="1"/>
        <v>#VALUE!</v>
      </c>
      <c r="I3989" s="1" t="e">
        <f t="shared" si="2"/>
        <v>#VALUE!</v>
      </c>
    </row>
    <row r="3990" spans="1:9" ht="15.75" customHeight="1">
      <c r="A3990" s="26"/>
      <c r="B3990" s="2"/>
      <c r="C3990" s="26"/>
      <c r="D3990" s="26"/>
      <c r="F3990" s="85" t="str">
        <f t="shared" si="0"/>
        <v/>
      </c>
      <c r="G3990" s="1" t="e">
        <f>IF(VALUE(F3990) = VALUE(RIGHT(Insights!$C$3, 4)), E3990, "")</f>
        <v>#VALUE!</v>
      </c>
      <c r="H3990" s="26" t="e">
        <f t="shared" si="1"/>
        <v>#VALUE!</v>
      </c>
      <c r="I3990" s="1" t="e">
        <f t="shared" si="2"/>
        <v>#VALUE!</v>
      </c>
    </row>
    <row r="3991" spans="1:9" ht="15.75" customHeight="1">
      <c r="A3991" s="26"/>
      <c r="B3991" s="2"/>
      <c r="C3991" s="26"/>
      <c r="D3991" s="26"/>
      <c r="F3991" s="85" t="str">
        <f t="shared" si="0"/>
        <v/>
      </c>
      <c r="G3991" s="1" t="e">
        <f>IF(VALUE(F3991) = VALUE(RIGHT(Insights!$C$3, 4)), E3991, "")</f>
        <v>#VALUE!</v>
      </c>
      <c r="H3991" s="26" t="e">
        <f t="shared" si="1"/>
        <v>#VALUE!</v>
      </c>
      <c r="I3991" s="1" t="e">
        <f t="shared" si="2"/>
        <v>#VALUE!</v>
      </c>
    </row>
    <row r="3992" spans="1:9" ht="15.75" customHeight="1">
      <c r="A3992" s="26"/>
      <c r="B3992" s="2"/>
      <c r="C3992" s="26"/>
      <c r="D3992" s="26"/>
      <c r="F3992" s="85" t="str">
        <f t="shared" si="0"/>
        <v/>
      </c>
      <c r="G3992" s="1" t="e">
        <f>IF(VALUE(F3992) = VALUE(RIGHT(Insights!$C$3, 4)), E3992, "")</f>
        <v>#VALUE!</v>
      </c>
      <c r="H3992" s="26" t="e">
        <f t="shared" si="1"/>
        <v>#VALUE!</v>
      </c>
      <c r="I3992" s="1" t="e">
        <f t="shared" si="2"/>
        <v>#VALUE!</v>
      </c>
    </row>
    <row r="3993" spans="1:9" ht="15.75" customHeight="1">
      <c r="A3993" s="26"/>
      <c r="B3993" s="2"/>
      <c r="C3993" s="26"/>
      <c r="D3993" s="26"/>
      <c r="F3993" s="85" t="str">
        <f t="shared" si="0"/>
        <v/>
      </c>
      <c r="G3993" s="1" t="e">
        <f>IF(VALUE(F3993) = VALUE(RIGHT(Insights!$C$3, 4)), E3993, "")</f>
        <v>#VALUE!</v>
      </c>
      <c r="H3993" s="26" t="e">
        <f t="shared" si="1"/>
        <v>#VALUE!</v>
      </c>
      <c r="I3993" s="1" t="e">
        <f t="shared" si="2"/>
        <v>#VALUE!</v>
      </c>
    </row>
    <row r="3994" spans="1:9" ht="15.75" customHeight="1">
      <c r="A3994" s="26"/>
      <c r="B3994" s="2"/>
      <c r="C3994" s="26"/>
      <c r="D3994" s="26"/>
      <c r="F3994" s="85" t="str">
        <f t="shared" si="0"/>
        <v/>
      </c>
      <c r="G3994" s="1" t="e">
        <f>IF(VALUE(F3994) = VALUE(RIGHT(Insights!$C$3, 4)), E3994, "")</f>
        <v>#VALUE!</v>
      </c>
      <c r="H3994" s="26" t="e">
        <f t="shared" si="1"/>
        <v>#VALUE!</v>
      </c>
      <c r="I3994" s="1" t="e">
        <f t="shared" si="2"/>
        <v>#VALUE!</v>
      </c>
    </row>
    <row r="3995" spans="1:9" ht="15.75" customHeight="1">
      <c r="A3995" s="26"/>
      <c r="B3995" s="2"/>
      <c r="C3995" s="26"/>
      <c r="D3995" s="26"/>
      <c r="F3995" s="85" t="str">
        <f t="shared" si="0"/>
        <v/>
      </c>
      <c r="G3995" s="1" t="e">
        <f>IF(VALUE(F3995) = VALUE(RIGHT(Insights!$C$3, 4)), E3995, "")</f>
        <v>#VALUE!</v>
      </c>
      <c r="H3995" s="26" t="e">
        <f t="shared" si="1"/>
        <v>#VALUE!</v>
      </c>
      <c r="I3995" s="1" t="e">
        <f t="shared" si="2"/>
        <v>#VALUE!</v>
      </c>
    </row>
    <row r="3996" spans="1:9" ht="15.75" customHeight="1">
      <c r="A3996" s="26"/>
      <c r="B3996" s="2"/>
      <c r="C3996" s="26"/>
      <c r="D3996" s="26"/>
      <c r="F3996" s="85" t="str">
        <f t="shared" si="0"/>
        <v/>
      </c>
      <c r="G3996" s="1" t="e">
        <f>IF(VALUE(F3996) = VALUE(RIGHT(Insights!$C$3, 4)), E3996, "")</f>
        <v>#VALUE!</v>
      </c>
      <c r="H3996" s="26" t="e">
        <f t="shared" si="1"/>
        <v>#VALUE!</v>
      </c>
      <c r="I3996" s="1" t="e">
        <f t="shared" si="2"/>
        <v>#VALUE!</v>
      </c>
    </row>
    <row r="3997" spans="1:9" ht="15.75" customHeight="1">
      <c r="A3997" s="26"/>
      <c r="B3997" s="2"/>
      <c r="C3997" s="26"/>
      <c r="D3997" s="26"/>
      <c r="F3997" s="85" t="str">
        <f t="shared" si="0"/>
        <v/>
      </c>
      <c r="G3997" s="1" t="e">
        <f>IF(VALUE(F3997) = VALUE(RIGHT(Insights!$C$3, 4)), E3997, "")</f>
        <v>#VALUE!</v>
      </c>
      <c r="H3997" s="26" t="e">
        <f t="shared" si="1"/>
        <v>#VALUE!</v>
      </c>
      <c r="I3997" s="1" t="e">
        <f t="shared" si="2"/>
        <v>#VALUE!</v>
      </c>
    </row>
    <row r="3998" spans="1:9" ht="15.75" customHeight="1">
      <c r="A3998" s="26"/>
      <c r="B3998" s="2"/>
      <c r="C3998" s="26"/>
      <c r="D3998" s="26"/>
      <c r="F3998" s="85" t="str">
        <f t="shared" si="0"/>
        <v/>
      </c>
      <c r="G3998" s="1" t="e">
        <f>IF(VALUE(F3998) = VALUE(RIGHT(Insights!$C$3, 4)), E3998, "")</f>
        <v>#VALUE!</v>
      </c>
      <c r="H3998" s="26" t="e">
        <f t="shared" si="1"/>
        <v>#VALUE!</v>
      </c>
      <c r="I3998" s="1" t="e">
        <f t="shared" si="2"/>
        <v>#VALUE!</v>
      </c>
    </row>
    <row r="3999" spans="1:9" ht="15.75" customHeight="1">
      <c r="A3999" s="26"/>
      <c r="B3999" s="2"/>
      <c r="C3999" s="26"/>
      <c r="D3999" s="26"/>
      <c r="F3999" s="85" t="str">
        <f t="shared" si="0"/>
        <v/>
      </c>
      <c r="G3999" s="1" t="e">
        <f>IF(VALUE(F3999) = VALUE(RIGHT(Insights!$C$3, 4)), E3999, "")</f>
        <v>#VALUE!</v>
      </c>
      <c r="H3999" s="26" t="e">
        <f t="shared" si="1"/>
        <v>#VALUE!</v>
      </c>
      <c r="I3999" s="1" t="e">
        <f t="shared" si="2"/>
        <v>#VALUE!</v>
      </c>
    </row>
    <row r="4000" spans="1:9" ht="15.75" customHeight="1">
      <c r="A4000" s="26"/>
      <c r="B4000" s="2"/>
      <c r="C4000" s="26"/>
      <c r="D4000" s="26"/>
      <c r="F4000" s="85" t="str">
        <f t="shared" si="0"/>
        <v/>
      </c>
      <c r="G4000" s="1" t="e">
        <f>IF(VALUE(F4000) = VALUE(RIGHT(Insights!$C$3, 4)), E4000, "")</f>
        <v>#VALUE!</v>
      </c>
      <c r="H4000" s="26" t="e">
        <f t="shared" si="1"/>
        <v>#VALUE!</v>
      </c>
      <c r="I4000" s="1" t="e">
        <f t="shared" si="2"/>
        <v>#VALUE!</v>
      </c>
    </row>
    <row r="4001" spans="1:9" ht="15.75" customHeight="1">
      <c r="A4001" s="26"/>
      <c r="B4001" s="2"/>
      <c r="C4001" s="26"/>
      <c r="D4001" s="26"/>
      <c r="F4001" s="85" t="str">
        <f t="shared" si="0"/>
        <v/>
      </c>
      <c r="G4001" s="1" t="e">
        <f>IF(VALUE(F4001) = VALUE(RIGHT(Insights!$C$3, 4)), E4001, "")</f>
        <v>#VALUE!</v>
      </c>
      <c r="H4001" s="26" t="e">
        <f t="shared" si="1"/>
        <v>#VALUE!</v>
      </c>
      <c r="I4001" s="1" t="e">
        <f t="shared" si="2"/>
        <v>#VALUE!</v>
      </c>
    </row>
    <row r="4002" spans="1:9" ht="15.75" customHeight="1">
      <c r="A4002" s="26"/>
      <c r="B4002" s="2"/>
      <c r="C4002" s="26"/>
      <c r="D4002" s="26"/>
      <c r="F4002" s="85" t="str">
        <f t="shared" si="0"/>
        <v/>
      </c>
      <c r="G4002" s="1" t="e">
        <f>IF(VALUE(F4002) = VALUE(RIGHT(Insights!$C$3, 4)), E4002, "")</f>
        <v>#VALUE!</v>
      </c>
      <c r="H4002" s="26" t="e">
        <f t="shared" si="1"/>
        <v>#VALUE!</v>
      </c>
      <c r="I4002" s="1" t="e">
        <f t="shared" si="2"/>
        <v>#VALUE!</v>
      </c>
    </row>
    <row r="4003" spans="1:9" ht="15.75" customHeight="1">
      <c r="A4003" s="26"/>
      <c r="B4003" s="2"/>
      <c r="C4003" s="26"/>
      <c r="D4003" s="26"/>
      <c r="F4003" s="85" t="str">
        <f t="shared" si="0"/>
        <v/>
      </c>
      <c r="G4003" s="1" t="e">
        <f>IF(VALUE(F4003) = VALUE(RIGHT(Insights!$C$3, 4)), E4003, "")</f>
        <v>#VALUE!</v>
      </c>
      <c r="H4003" s="26" t="e">
        <f t="shared" si="1"/>
        <v>#VALUE!</v>
      </c>
      <c r="I4003" s="1" t="e">
        <f t="shared" si="2"/>
        <v>#VALUE!</v>
      </c>
    </row>
    <row r="4004" spans="1:9" ht="15.75" customHeight="1">
      <c r="A4004" s="26"/>
      <c r="B4004" s="2"/>
      <c r="C4004" s="26"/>
      <c r="D4004" s="26"/>
      <c r="F4004" s="85" t="str">
        <f t="shared" si="0"/>
        <v/>
      </c>
      <c r="G4004" s="1" t="e">
        <f>IF(VALUE(F4004) = VALUE(RIGHT(Insights!$C$3, 4)), E4004, "")</f>
        <v>#VALUE!</v>
      </c>
      <c r="H4004" s="26" t="e">
        <f t="shared" si="1"/>
        <v>#VALUE!</v>
      </c>
      <c r="I4004" s="1" t="e">
        <f t="shared" si="2"/>
        <v>#VALUE!</v>
      </c>
    </row>
    <row r="4005" spans="1:9" ht="15.75" customHeight="1">
      <c r="A4005" s="26"/>
      <c r="B4005" s="2"/>
      <c r="C4005" s="26"/>
      <c r="D4005" s="26"/>
      <c r="F4005" s="85" t="str">
        <f t="shared" si="0"/>
        <v/>
      </c>
      <c r="G4005" s="1" t="e">
        <f>IF(VALUE(F4005) = VALUE(RIGHT(Insights!$C$3, 4)), E4005, "")</f>
        <v>#VALUE!</v>
      </c>
      <c r="H4005" s="26" t="e">
        <f t="shared" si="1"/>
        <v>#VALUE!</v>
      </c>
      <c r="I4005" s="1" t="e">
        <f t="shared" si="2"/>
        <v>#VALUE!</v>
      </c>
    </row>
    <row r="4006" spans="1:9" ht="15.75" customHeight="1">
      <c r="A4006" s="26"/>
      <c r="B4006" s="2"/>
      <c r="C4006" s="26"/>
      <c r="D4006" s="26"/>
      <c r="F4006" s="85" t="str">
        <f t="shared" si="0"/>
        <v/>
      </c>
      <c r="G4006" s="1" t="e">
        <f>IF(VALUE(F4006) = VALUE(RIGHT(Insights!$C$3, 4)), E4006, "")</f>
        <v>#VALUE!</v>
      </c>
      <c r="H4006" s="26" t="e">
        <f t="shared" si="1"/>
        <v>#VALUE!</v>
      </c>
      <c r="I4006" s="1" t="e">
        <f t="shared" si="2"/>
        <v>#VALUE!</v>
      </c>
    </row>
    <row r="4007" spans="1:9" ht="15.75" customHeight="1">
      <c r="A4007" s="26"/>
      <c r="B4007" s="2"/>
      <c r="C4007" s="26"/>
      <c r="D4007" s="26"/>
      <c r="F4007" s="85" t="str">
        <f t="shared" si="0"/>
        <v/>
      </c>
      <c r="G4007" s="1" t="e">
        <f>IF(VALUE(F4007) = VALUE(RIGHT(Insights!$C$3, 4)), E4007, "")</f>
        <v>#VALUE!</v>
      </c>
      <c r="H4007" s="26" t="e">
        <f t="shared" si="1"/>
        <v>#VALUE!</v>
      </c>
      <c r="I4007" s="1" t="e">
        <f t="shared" si="2"/>
        <v>#VALUE!</v>
      </c>
    </row>
    <row r="4008" spans="1:9" ht="15.75" customHeight="1">
      <c r="A4008" s="26"/>
      <c r="B4008" s="2"/>
      <c r="C4008" s="26"/>
      <c r="D4008" s="26"/>
      <c r="F4008" s="85" t="str">
        <f t="shared" si="0"/>
        <v/>
      </c>
      <c r="G4008" s="1" t="e">
        <f>IF(VALUE(F4008) = VALUE(RIGHT(Insights!$C$3, 4)), E4008, "")</f>
        <v>#VALUE!</v>
      </c>
      <c r="H4008" s="26" t="e">
        <f t="shared" si="1"/>
        <v>#VALUE!</v>
      </c>
      <c r="I4008" s="1" t="e">
        <f t="shared" si="2"/>
        <v>#VALUE!</v>
      </c>
    </row>
    <row r="4009" spans="1:9" ht="15.75" customHeight="1">
      <c r="A4009" s="26"/>
      <c r="B4009" s="2"/>
      <c r="C4009" s="26"/>
      <c r="D4009" s="26"/>
      <c r="F4009" s="85" t="str">
        <f t="shared" si="0"/>
        <v/>
      </c>
      <c r="G4009" s="1" t="e">
        <f>IF(VALUE(F4009) = VALUE(RIGHT(Insights!$C$3, 4)), E4009, "")</f>
        <v>#VALUE!</v>
      </c>
      <c r="H4009" s="26" t="e">
        <f t="shared" si="1"/>
        <v>#VALUE!</v>
      </c>
      <c r="I4009" s="1" t="e">
        <f t="shared" si="2"/>
        <v>#VALUE!</v>
      </c>
    </row>
    <row r="4010" spans="1:9" ht="15.75" customHeight="1">
      <c r="A4010" s="26"/>
      <c r="B4010" s="2"/>
      <c r="C4010" s="26"/>
      <c r="D4010" s="26"/>
      <c r="F4010" s="85" t="str">
        <f t="shared" si="0"/>
        <v/>
      </c>
      <c r="G4010" s="1" t="e">
        <f>IF(VALUE(F4010) = VALUE(RIGHT(Insights!$C$3, 4)), E4010, "")</f>
        <v>#VALUE!</v>
      </c>
      <c r="H4010" s="26" t="e">
        <f t="shared" si="1"/>
        <v>#VALUE!</v>
      </c>
      <c r="I4010" s="1" t="e">
        <f t="shared" si="2"/>
        <v>#VALUE!</v>
      </c>
    </row>
    <row r="4011" spans="1:9" ht="15.75" customHeight="1">
      <c r="A4011" s="26"/>
      <c r="B4011" s="2"/>
      <c r="C4011" s="26"/>
      <c r="D4011" s="26"/>
      <c r="F4011" s="85" t="str">
        <f t="shared" si="0"/>
        <v/>
      </c>
      <c r="G4011" s="1" t="e">
        <f>IF(VALUE(F4011) = VALUE(RIGHT(Insights!$C$3, 4)), E4011, "")</f>
        <v>#VALUE!</v>
      </c>
      <c r="H4011" s="26" t="e">
        <f t="shared" si="1"/>
        <v>#VALUE!</v>
      </c>
      <c r="I4011" s="1" t="e">
        <f t="shared" si="2"/>
        <v>#VALUE!</v>
      </c>
    </row>
    <row r="4012" spans="1:9" ht="15.75" customHeight="1">
      <c r="A4012" s="26"/>
      <c r="B4012" s="2"/>
      <c r="C4012" s="26"/>
      <c r="D4012" s="26"/>
      <c r="F4012" s="85" t="str">
        <f t="shared" si="0"/>
        <v/>
      </c>
      <c r="G4012" s="1" t="e">
        <f>IF(VALUE(F4012) = VALUE(RIGHT(Insights!$C$3, 4)), E4012, "")</f>
        <v>#VALUE!</v>
      </c>
      <c r="H4012" s="26" t="e">
        <f t="shared" si="1"/>
        <v>#VALUE!</v>
      </c>
      <c r="I4012" s="1" t="e">
        <f t="shared" si="2"/>
        <v>#VALUE!</v>
      </c>
    </row>
    <row r="4013" spans="1:9" ht="15.75" customHeight="1">
      <c r="A4013" s="26"/>
      <c r="B4013" s="2"/>
      <c r="C4013" s="26"/>
      <c r="D4013" s="26"/>
      <c r="F4013" s="85" t="str">
        <f t="shared" si="0"/>
        <v/>
      </c>
      <c r="G4013" s="1" t="e">
        <f>IF(VALUE(F4013) = VALUE(RIGHT(Insights!$C$3, 4)), E4013, "")</f>
        <v>#VALUE!</v>
      </c>
      <c r="H4013" s="26" t="e">
        <f t="shared" si="1"/>
        <v>#VALUE!</v>
      </c>
      <c r="I4013" s="1" t="e">
        <f t="shared" si="2"/>
        <v>#VALUE!</v>
      </c>
    </row>
    <row r="4014" spans="1:9" ht="15.75" customHeight="1">
      <c r="A4014" s="26"/>
      <c r="B4014" s="2"/>
      <c r="C4014" s="26"/>
      <c r="D4014" s="26"/>
      <c r="F4014" s="85" t="str">
        <f t="shared" si="0"/>
        <v/>
      </c>
      <c r="G4014" s="1" t="e">
        <f>IF(VALUE(F4014) = VALUE(RIGHT(Insights!$C$3, 4)), E4014, "")</f>
        <v>#VALUE!</v>
      </c>
      <c r="H4014" s="26" t="e">
        <f t="shared" si="1"/>
        <v>#VALUE!</v>
      </c>
      <c r="I4014" s="1" t="e">
        <f t="shared" si="2"/>
        <v>#VALUE!</v>
      </c>
    </row>
    <row r="4015" spans="1:9" ht="15.75" customHeight="1">
      <c r="A4015" s="26"/>
      <c r="B4015" s="2"/>
      <c r="C4015" s="26"/>
      <c r="D4015" s="26"/>
      <c r="F4015" s="85" t="str">
        <f t="shared" si="0"/>
        <v/>
      </c>
      <c r="G4015" s="1" t="e">
        <f>IF(VALUE(F4015) = VALUE(RIGHT(Insights!$C$3, 4)), E4015, "")</f>
        <v>#VALUE!</v>
      </c>
      <c r="H4015" s="26" t="e">
        <f t="shared" si="1"/>
        <v>#VALUE!</v>
      </c>
      <c r="I4015" s="1" t="e">
        <f t="shared" si="2"/>
        <v>#VALUE!</v>
      </c>
    </row>
    <row r="4016" spans="1:9" ht="15.75" customHeight="1">
      <c r="A4016" s="26"/>
      <c r="B4016" s="2"/>
      <c r="C4016" s="26"/>
      <c r="D4016" s="26"/>
      <c r="F4016" s="85" t="str">
        <f t="shared" si="0"/>
        <v/>
      </c>
      <c r="G4016" s="1" t="e">
        <f>IF(VALUE(F4016) = VALUE(RIGHT(Insights!$C$3, 4)), E4016, "")</f>
        <v>#VALUE!</v>
      </c>
      <c r="H4016" s="26" t="e">
        <f t="shared" si="1"/>
        <v>#VALUE!</v>
      </c>
      <c r="I4016" s="1" t="e">
        <f t="shared" si="2"/>
        <v>#VALUE!</v>
      </c>
    </row>
    <row r="4017" spans="1:9" ht="15.75" customHeight="1">
      <c r="A4017" s="26"/>
      <c r="B4017" s="2"/>
      <c r="C4017" s="26"/>
      <c r="D4017" s="26"/>
      <c r="F4017" s="85" t="str">
        <f t="shared" si="0"/>
        <v/>
      </c>
      <c r="G4017" s="1" t="e">
        <f>IF(VALUE(F4017) = VALUE(RIGHT(Insights!$C$3, 4)), E4017, "")</f>
        <v>#VALUE!</v>
      </c>
      <c r="H4017" s="26" t="e">
        <f t="shared" si="1"/>
        <v>#VALUE!</v>
      </c>
      <c r="I4017" s="1" t="e">
        <f t="shared" si="2"/>
        <v>#VALUE!</v>
      </c>
    </row>
    <row r="4018" spans="1:9" ht="15.75" customHeight="1">
      <c r="A4018" s="26"/>
      <c r="B4018" s="2"/>
      <c r="C4018" s="26"/>
      <c r="D4018" s="26"/>
      <c r="F4018" s="85" t="str">
        <f t="shared" si="0"/>
        <v/>
      </c>
      <c r="G4018" s="1" t="e">
        <f>IF(VALUE(F4018) = VALUE(RIGHT(Insights!$C$3, 4)), E4018, "")</f>
        <v>#VALUE!</v>
      </c>
      <c r="H4018" s="26" t="e">
        <f t="shared" si="1"/>
        <v>#VALUE!</v>
      </c>
      <c r="I4018" s="1" t="e">
        <f t="shared" si="2"/>
        <v>#VALUE!</v>
      </c>
    </row>
    <row r="4019" spans="1:9" ht="15.75" customHeight="1">
      <c r="A4019" s="26"/>
      <c r="B4019" s="2"/>
      <c r="C4019" s="26"/>
      <c r="D4019" s="26"/>
      <c r="F4019" s="85" t="str">
        <f t="shared" si="0"/>
        <v/>
      </c>
      <c r="G4019" s="1" t="e">
        <f>IF(VALUE(F4019) = VALUE(RIGHT(Insights!$C$3, 4)), E4019, "")</f>
        <v>#VALUE!</v>
      </c>
      <c r="H4019" s="26" t="e">
        <f t="shared" si="1"/>
        <v>#VALUE!</v>
      </c>
      <c r="I4019" s="1" t="e">
        <f t="shared" si="2"/>
        <v>#VALUE!</v>
      </c>
    </row>
    <row r="4020" spans="1:9" ht="15.75" customHeight="1">
      <c r="A4020" s="26"/>
      <c r="B4020" s="2"/>
      <c r="C4020" s="26"/>
      <c r="D4020" s="26"/>
      <c r="F4020" s="85" t="str">
        <f t="shared" si="0"/>
        <v/>
      </c>
      <c r="G4020" s="1" t="e">
        <f>IF(VALUE(F4020) = VALUE(RIGHT(Insights!$C$3, 4)), E4020, "")</f>
        <v>#VALUE!</v>
      </c>
      <c r="H4020" s="26" t="e">
        <f t="shared" si="1"/>
        <v>#VALUE!</v>
      </c>
      <c r="I4020" s="1" t="e">
        <f t="shared" si="2"/>
        <v>#VALUE!</v>
      </c>
    </row>
    <row r="4021" spans="1:9" ht="15.75" customHeight="1">
      <c r="A4021" s="26"/>
      <c r="B4021" s="2"/>
      <c r="C4021" s="26"/>
      <c r="D4021" s="26"/>
      <c r="F4021" s="85" t="str">
        <f t="shared" si="0"/>
        <v/>
      </c>
      <c r="G4021" s="1" t="e">
        <f>IF(VALUE(F4021) = VALUE(RIGHT(Insights!$C$3, 4)), E4021, "")</f>
        <v>#VALUE!</v>
      </c>
      <c r="H4021" s="26" t="e">
        <f t="shared" si="1"/>
        <v>#VALUE!</v>
      </c>
      <c r="I4021" s="1" t="e">
        <f t="shared" si="2"/>
        <v>#VALUE!</v>
      </c>
    </row>
    <row r="4022" spans="1:9" ht="15.75" customHeight="1">
      <c r="A4022" s="26"/>
      <c r="B4022" s="2"/>
      <c r="C4022" s="26"/>
      <c r="D4022" s="26"/>
      <c r="F4022" s="85" t="str">
        <f t="shared" si="0"/>
        <v/>
      </c>
      <c r="G4022" s="1" t="e">
        <f>IF(VALUE(F4022) = VALUE(RIGHT(Insights!$C$3, 4)), E4022, "")</f>
        <v>#VALUE!</v>
      </c>
      <c r="H4022" s="26" t="e">
        <f t="shared" si="1"/>
        <v>#VALUE!</v>
      </c>
      <c r="I4022" s="1" t="e">
        <f t="shared" si="2"/>
        <v>#VALUE!</v>
      </c>
    </row>
    <row r="4023" spans="1:9" ht="15.75" customHeight="1">
      <c r="A4023" s="26"/>
      <c r="B4023" s="2"/>
      <c r="C4023" s="26"/>
      <c r="D4023" s="26"/>
      <c r="F4023" s="85" t="str">
        <f t="shared" si="0"/>
        <v/>
      </c>
      <c r="G4023" s="1" t="e">
        <f>IF(VALUE(F4023) = VALUE(RIGHT(Insights!$C$3, 4)), E4023, "")</f>
        <v>#VALUE!</v>
      </c>
      <c r="H4023" s="26" t="e">
        <f t="shared" si="1"/>
        <v>#VALUE!</v>
      </c>
      <c r="I4023" s="1" t="e">
        <f t="shared" si="2"/>
        <v>#VALUE!</v>
      </c>
    </row>
    <row r="4024" spans="1:9" ht="15.75" customHeight="1">
      <c r="A4024" s="26"/>
      <c r="B4024" s="2"/>
      <c r="C4024" s="26"/>
      <c r="D4024" s="26"/>
      <c r="F4024" s="85" t="str">
        <f t="shared" si="0"/>
        <v/>
      </c>
      <c r="G4024" s="1" t="e">
        <f>IF(VALUE(F4024) = VALUE(RIGHT(Insights!$C$3, 4)), E4024, "")</f>
        <v>#VALUE!</v>
      </c>
      <c r="H4024" s="26" t="e">
        <f t="shared" si="1"/>
        <v>#VALUE!</v>
      </c>
      <c r="I4024" s="1" t="e">
        <f t="shared" si="2"/>
        <v>#VALUE!</v>
      </c>
    </row>
    <row r="4025" spans="1:9" ht="15.75" customHeight="1">
      <c r="A4025" s="26"/>
      <c r="B4025" s="2"/>
      <c r="C4025" s="26"/>
      <c r="D4025" s="26"/>
      <c r="F4025" s="85" t="str">
        <f t="shared" si="0"/>
        <v/>
      </c>
      <c r="G4025" s="1" t="e">
        <f>IF(VALUE(F4025) = VALUE(RIGHT(Insights!$C$3, 4)), E4025, "")</f>
        <v>#VALUE!</v>
      </c>
      <c r="H4025" s="26" t="e">
        <f t="shared" si="1"/>
        <v>#VALUE!</v>
      </c>
      <c r="I4025" s="1" t="e">
        <f t="shared" si="2"/>
        <v>#VALUE!</v>
      </c>
    </row>
    <row r="4026" spans="1:9" ht="15.75" customHeight="1">
      <c r="A4026" s="26"/>
      <c r="B4026" s="2"/>
      <c r="C4026" s="26"/>
      <c r="D4026" s="26"/>
      <c r="F4026" s="85" t="str">
        <f t="shared" si="0"/>
        <v/>
      </c>
      <c r="G4026" s="1" t="e">
        <f>IF(VALUE(F4026) = VALUE(RIGHT(Insights!$C$3, 4)), E4026, "")</f>
        <v>#VALUE!</v>
      </c>
      <c r="H4026" s="26" t="e">
        <f t="shared" si="1"/>
        <v>#VALUE!</v>
      </c>
      <c r="I4026" s="1" t="e">
        <f t="shared" si="2"/>
        <v>#VALUE!</v>
      </c>
    </row>
    <row r="4027" spans="1:9" ht="15.75" customHeight="1">
      <c r="A4027" s="26"/>
      <c r="B4027" s="2"/>
      <c r="C4027" s="26"/>
      <c r="D4027" s="26"/>
      <c r="F4027" s="85" t="str">
        <f t="shared" si="0"/>
        <v/>
      </c>
      <c r="G4027" s="1" t="e">
        <f>IF(VALUE(F4027) = VALUE(RIGHT(Insights!$C$3, 4)), E4027, "")</f>
        <v>#VALUE!</v>
      </c>
      <c r="H4027" s="26" t="e">
        <f t="shared" si="1"/>
        <v>#VALUE!</v>
      </c>
      <c r="I4027" s="1" t="e">
        <f t="shared" si="2"/>
        <v>#VALUE!</v>
      </c>
    </row>
    <row r="4028" spans="1:9" ht="15.75" customHeight="1">
      <c r="A4028" s="26"/>
      <c r="B4028" s="2"/>
      <c r="C4028" s="26"/>
      <c r="D4028" s="26"/>
      <c r="F4028" s="85" t="str">
        <f t="shared" si="0"/>
        <v/>
      </c>
      <c r="G4028" s="1" t="e">
        <f>IF(VALUE(F4028) = VALUE(RIGHT(Insights!$C$3, 4)), E4028, "")</f>
        <v>#VALUE!</v>
      </c>
      <c r="H4028" s="26" t="e">
        <f t="shared" si="1"/>
        <v>#VALUE!</v>
      </c>
      <c r="I4028" s="1" t="e">
        <f t="shared" si="2"/>
        <v>#VALUE!</v>
      </c>
    </row>
    <row r="4029" spans="1:9" ht="15.75" customHeight="1">
      <c r="A4029" s="26"/>
      <c r="B4029" s="2"/>
      <c r="C4029" s="26"/>
      <c r="D4029" s="26"/>
      <c r="F4029" s="85" t="str">
        <f t="shared" si="0"/>
        <v/>
      </c>
      <c r="G4029" s="1" t="e">
        <f>IF(VALUE(F4029) = VALUE(RIGHT(Insights!$C$3, 4)), E4029, "")</f>
        <v>#VALUE!</v>
      </c>
      <c r="H4029" s="26" t="e">
        <f t="shared" si="1"/>
        <v>#VALUE!</v>
      </c>
      <c r="I4029" s="1" t="e">
        <f t="shared" si="2"/>
        <v>#VALUE!</v>
      </c>
    </row>
    <row r="4030" spans="1:9" ht="15.75" customHeight="1">
      <c r="A4030" s="26"/>
      <c r="B4030" s="2"/>
      <c r="C4030" s="26"/>
      <c r="D4030" s="26"/>
      <c r="F4030" s="85" t="str">
        <f t="shared" si="0"/>
        <v/>
      </c>
      <c r="G4030" s="1" t="e">
        <f>IF(VALUE(F4030) = VALUE(RIGHT(Insights!$C$3, 4)), E4030, "")</f>
        <v>#VALUE!</v>
      </c>
      <c r="H4030" s="26" t="e">
        <f t="shared" si="1"/>
        <v>#VALUE!</v>
      </c>
      <c r="I4030" s="1" t="e">
        <f t="shared" si="2"/>
        <v>#VALUE!</v>
      </c>
    </row>
    <row r="4031" spans="1:9" ht="15.75" customHeight="1">
      <c r="A4031" s="26"/>
      <c r="B4031" s="2"/>
      <c r="C4031" s="26"/>
      <c r="D4031" s="26"/>
      <c r="F4031" s="85" t="str">
        <f t="shared" si="0"/>
        <v/>
      </c>
      <c r="G4031" s="1" t="e">
        <f>IF(VALUE(F4031) = VALUE(RIGHT(Insights!$C$3, 4)), E4031, "")</f>
        <v>#VALUE!</v>
      </c>
      <c r="H4031" s="26" t="e">
        <f t="shared" si="1"/>
        <v>#VALUE!</v>
      </c>
      <c r="I4031" s="1" t="e">
        <f t="shared" si="2"/>
        <v>#VALUE!</v>
      </c>
    </row>
    <row r="4032" spans="1:9" ht="15.75" customHeight="1">
      <c r="A4032" s="26"/>
      <c r="B4032" s="2"/>
      <c r="C4032" s="26"/>
      <c r="D4032" s="26"/>
      <c r="F4032" s="85" t="str">
        <f t="shared" si="0"/>
        <v/>
      </c>
      <c r="G4032" s="1" t="e">
        <f>IF(VALUE(F4032) = VALUE(RIGHT(Insights!$C$3, 4)), E4032, "")</f>
        <v>#VALUE!</v>
      </c>
      <c r="H4032" s="26" t="e">
        <f t="shared" si="1"/>
        <v>#VALUE!</v>
      </c>
      <c r="I4032" s="1" t="e">
        <f t="shared" si="2"/>
        <v>#VALUE!</v>
      </c>
    </row>
    <row r="4033" spans="1:9" ht="15.75" customHeight="1">
      <c r="A4033" s="26"/>
      <c r="B4033" s="2"/>
      <c r="C4033" s="26"/>
      <c r="D4033" s="26"/>
      <c r="F4033" s="85" t="str">
        <f t="shared" si="0"/>
        <v/>
      </c>
      <c r="G4033" s="1" t="e">
        <f>IF(VALUE(F4033) = VALUE(RIGHT(Insights!$C$3, 4)), E4033, "")</f>
        <v>#VALUE!</v>
      </c>
      <c r="H4033" s="26" t="e">
        <f t="shared" si="1"/>
        <v>#VALUE!</v>
      </c>
      <c r="I4033" s="1" t="e">
        <f t="shared" si="2"/>
        <v>#VALUE!</v>
      </c>
    </row>
    <row r="4034" spans="1:9" ht="15.75" customHeight="1">
      <c r="A4034" s="26"/>
      <c r="B4034" s="2"/>
      <c r="C4034" s="26"/>
      <c r="D4034" s="26"/>
      <c r="F4034" s="85" t="str">
        <f t="shared" si="0"/>
        <v/>
      </c>
      <c r="G4034" s="1" t="e">
        <f>IF(VALUE(F4034) = VALUE(RIGHT(Insights!$C$3, 4)), E4034, "")</f>
        <v>#VALUE!</v>
      </c>
      <c r="H4034" s="26" t="e">
        <f t="shared" si="1"/>
        <v>#VALUE!</v>
      </c>
      <c r="I4034" s="1" t="e">
        <f t="shared" si="2"/>
        <v>#VALUE!</v>
      </c>
    </row>
    <row r="4035" spans="1:9" ht="15.75" customHeight="1">
      <c r="A4035" s="26"/>
      <c r="B4035" s="2"/>
      <c r="C4035" s="26"/>
      <c r="D4035" s="26"/>
      <c r="F4035" s="85" t="str">
        <f t="shared" si="0"/>
        <v/>
      </c>
      <c r="G4035" s="1" t="e">
        <f>IF(VALUE(F4035) = VALUE(RIGHT(Insights!$C$3, 4)), E4035, "")</f>
        <v>#VALUE!</v>
      </c>
      <c r="H4035" s="26" t="e">
        <f t="shared" si="1"/>
        <v>#VALUE!</v>
      </c>
      <c r="I4035" s="1" t="e">
        <f t="shared" si="2"/>
        <v>#VALUE!</v>
      </c>
    </row>
    <row r="4036" spans="1:9" ht="15.75" customHeight="1">
      <c r="A4036" s="26"/>
      <c r="B4036" s="2"/>
      <c r="C4036" s="26"/>
      <c r="D4036" s="26"/>
      <c r="F4036" s="85" t="str">
        <f t="shared" si="0"/>
        <v/>
      </c>
      <c r="G4036" s="1" t="e">
        <f>IF(VALUE(F4036) = VALUE(RIGHT(Insights!$C$3, 4)), E4036, "")</f>
        <v>#VALUE!</v>
      </c>
      <c r="H4036" s="26" t="e">
        <f t="shared" si="1"/>
        <v>#VALUE!</v>
      </c>
      <c r="I4036" s="1" t="e">
        <f t="shared" si="2"/>
        <v>#VALUE!</v>
      </c>
    </row>
    <row r="4037" spans="1:9" ht="15.75" customHeight="1">
      <c r="A4037" s="26"/>
      <c r="B4037" s="2"/>
      <c r="C4037" s="26"/>
      <c r="D4037" s="26"/>
      <c r="F4037" s="85" t="str">
        <f t="shared" si="0"/>
        <v/>
      </c>
      <c r="G4037" s="1" t="e">
        <f>IF(VALUE(F4037) = VALUE(RIGHT(Insights!$C$3, 4)), E4037, "")</f>
        <v>#VALUE!</v>
      </c>
      <c r="H4037" s="26" t="e">
        <f t="shared" si="1"/>
        <v>#VALUE!</v>
      </c>
      <c r="I4037" s="1" t="e">
        <f t="shared" si="2"/>
        <v>#VALUE!</v>
      </c>
    </row>
    <row r="4038" spans="1:9" ht="15.75" customHeight="1">
      <c r="A4038" s="26"/>
      <c r="B4038" s="2"/>
      <c r="C4038" s="26"/>
      <c r="D4038" s="26"/>
      <c r="F4038" s="85" t="str">
        <f t="shared" si="0"/>
        <v/>
      </c>
      <c r="G4038" s="1" t="e">
        <f>IF(VALUE(F4038) = VALUE(RIGHT(Insights!$C$3, 4)), E4038, "")</f>
        <v>#VALUE!</v>
      </c>
      <c r="H4038" s="26" t="e">
        <f t="shared" si="1"/>
        <v>#VALUE!</v>
      </c>
      <c r="I4038" s="1" t="e">
        <f t="shared" si="2"/>
        <v>#VALUE!</v>
      </c>
    </row>
    <row r="4039" spans="1:9" ht="15.75" customHeight="1">
      <c r="A4039" s="26"/>
      <c r="B4039" s="2"/>
      <c r="C4039" s="26"/>
      <c r="D4039" s="26"/>
      <c r="F4039" s="85" t="str">
        <f t="shared" si="0"/>
        <v/>
      </c>
      <c r="G4039" s="1" t="e">
        <f>IF(VALUE(F4039) = VALUE(RIGHT(Insights!$C$3, 4)), E4039, "")</f>
        <v>#VALUE!</v>
      </c>
      <c r="H4039" s="26" t="e">
        <f t="shared" si="1"/>
        <v>#VALUE!</v>
      </c>
      <c r="I4039" s="1" t="e">
        <f t="shared" si="2"/>
        <v>#VALUE!</v>
      </c>
    </row>
    <row r="4040" spans="1:9" ht="15.75" customHeight="1">
      <c r="A4040" s="26"/>
      <c r="B4040" s="2"/>
      <c r="C4040" s="26"/>
      <c r="D4040" s="26"/>
      <c r="F4040" s="85" t="str">
        <f t="shared" si="0"/>
        <v/>
      </c>
      <c r="G4040" s="1" t="e">
        <f>IF(VALUE(F4040) = VALUE(RIGHT(Insights!$C$3, 4)), E4040, "")</f>
        <v>#VALUE!</v>
      </c>
      <c r="H4040" s="26" t="e">
        <f t="shared" si="1"/>
        <v>#VALUE!</v>
      </c>
      <c r="I4040" s="1" t="e">
        <f t="shared" si="2"/>
        <v>#VALUE!</v>
      </c>
    </row>
    <row r="4041" spans="1:9" ht="15.75" customHeight="1">
      <c r="A4041" s="26"/>
      <c r="B4041" s="2"/>
      <c r="C4041" s="26"/>
      <c r="D4041" s="26"/>
      <c r="F4041" s="85" t="str">
        <f t="shared" si="0"/>
        <v/>
      </c>
      <c r="G4041" s="1" t="e">
        <f>IF(VALUE(F4041) = VALUE(RIGHT(Insights!$C$3, 4)), E4041, "")</f>
        <v>#VALUE!</v>
      </c>
      <c r="H4041" s="26" t="e">
        <f t="shared" si="1"/>
        <v>#VALUE!</v>
      </c>
      <c r="I4041" s="1" t="e">
        <f t="shared" si="2"/>
        <v>#VALUE!</v>
      </c>
    </row>
    <row r="4042" spans="1:9" ht="15.75" customHeight="1">
      <c r="A4042" s="26"/>
      <c r="B4042" s="2"/>
      <c r="C4042" s="26"/>
      <c r="D4042" s="26"/>
      <c r="F4042" s="85" t="str">
        <f t="shared" si="0"/>
        <v/>
      </c>
      <c r="G4042" s="1" t="e">
        <f>IF(VALUE(F4042) = VALUE(RIGHT(Insights!$C$3, 4)), E4042, "")</f>
        <v>#VALUE!</v>
      </c>
      <c r="H4042" s="26" t="e">
        <f t="shared" si="1"/>
        <v>#VALUE!</v>
      </c>
      <c r="I4042" s="1" t="e">
        <f t="shared" si="2"/>
        <v>#VALUE!</v>
      </c>
    </row>
    <row r="4043" spans="1:9" ht="15.75" customHeight="1">
      <c r="A4043" s="26"/>
      <c r="B4043" s="2"/>
      <c r="C4043" s="26"/>
      <c r="D4043" s="26"/>
      <c r="F4043" s="85" t="str">
        <f t="shared" si="0"/>
        <v/>
      </c>
      <c r="G4043" s="1" t="e">
        <f>IF(VALUE(F4043) = VALUE(RIGHT(Insights!$C$3, 4)), E4043, "")</f>
        <v>#VALUE!</v>
      </c>
      <c r="H4043" s="26" t="e">
        <f t="shared" si="1"/>
        <v>#VALUE!</v>
      </c>
      <c r="I4043" s="1" t="e">
        <f t="shared" si="2"/>
        <v>#VALUE!</v>
      </c>
    </row>
    <row r="4044" spans="1:9" ht="15.75" customHeight="1">
      <c r="A4044" s="26"/>
      <c r="B4044" s="2"/>
      <c r="C4044" s="26"/>
      <c r="D4044" s="26"/>
      <c r="F4044" s="85" t="str">
        <f t="shared" si="0"/>
        <v/>
      </c>
      <c r="G4044" s="1" t="e">
        <f>IF(VALUE(F4044) = VALUE(RIGHT(Insights!$C$3, 4)), E4044, "")</f>
        <v>#VALUE!</v>
      </c>
      <c r="H4044" s="26" t="e">
        <f t="shared" si="1"/>
        <v>#VALUE!</v>
      </c>
      <c r="I4044" s="1" t="e">
        <f t="shared" si="2"/>
        <v>#VALUE!</v>
      </c>
    </row>
    <row r="4045" spans="1:9" ht="15.75" customHeight="1">
      <c r="A4045" s="26"/>
      <c r="B4045" s="2"/>
      <c r="C4045" s="26"/>
      <c r="D4045" s="26"/>
      <c r="F4045" s="85" t="str">
        <f t="shared" si="0"/>
        <v/>
      </c>
      <c r="G4045" s="1" t="e">
        <f>IF(VALUE(F4045) = VALUE(RIGHT(Insights!$C$3, 4)), E4045, "")</f>
        <v>#VALUE!</v>
      </c>
      <c r="H4045" s="26" t="e">
        <f t="shared" si="1"/>
        <v>#VALUE!</v>
      </c>
      <c r="I4045" s="1" t="e">
        <f t="shared" si="2"/>
        <v>#VALUE!</v>
      </c>
    </row>
    <row r="4046" spans="1:9" ht="15.75" customHeight="1">
      <c r="A4046" s="26"/>
      <c r="B4046" s="2"/>
      <c r="C4046" s="26"/>
      <c r="D4046" s="26"/>
      <c r="F4046" s="85" t="str">
        <f t="shared" si="0"/>
        <v/>
      </c>
      <c r="G4046" s="1" t="e">
        <f>IF(VALUE(F4046) = VALUE(RIGHT(Insights!$C$3, 4)), E4046, "")</f>
        <v>#VALUE!</v>
      </c>
      <c r="H4046" s="26" t="e">
        <f t="shared" si="1"/>
        <v>#VALUE!</v>
      </c>
      <c r="I4046" s="1" t="e">
        <f t="shared" si="2"/>
        <v>#VALUE!</v>
      </c>
    </row>
    <row r="4047" spans="1:9" ht="15.75" customHeight="1">
      <c r="A4047" s="26"/>
      <c r="B4047" s="2"/>
      <c r="C4047" s="26"/>
      <c r="D4047" s="26"/>
      <c r="F4047" s="85" t="str">
        <f t="shared" si="0"/>
        <v/>
      </c>
      <c r="G4047" s="1" t="e">
        <f>IF(VALUE(F4047) = VALUE(RIGHT(Insights!$C$3, 4)), E4047, "")</f>
        <v>#VALUE!</v>
      </c>
      <c r="H4047" s="26" t="e">
        <f t="shared" si="1"/>
        <v>#VALUE!</v>
      </c>
      <c r="I4047" s="1" t="e">
        <f t="shared" si="2"/>
        <v>#VALUE!</v>
      </c>
    </row>
    <row r="4048" spans="1:9" ht="15.75" customHeight="1">
      <c r="A4048" s="26"/>
      <c r="B4048" s="2"/>
      <c r="C4048" s="26"/>
      <c r="D4048" s="26"/>
      <c r="F4048" s="85" t="str">
        <f t="shared" si="0"/>
        <v/>
      </c>
      <c r="G4048" s="1" t="e">
        <f>IF(VALUE(F4048) = VALUE(RIGHT(Insights!$C$3, 4)), E4048, "")</f>
        <v>#VALUE!</v>
      </c>
      <c r="H4048" s="26" t="e">
        <f t="shared" si="1"/>
        <v>#VALUE!</v>
      </c>
      <c r="I4048" s="1" t="e">
        <f t="shared" si="2"/>
        <v>#VALUE!</v>
      </c>
    </row>
    <row r="4049" spans="1:9" ht="15.75" customHeight="1">
      <c r="A4049" s="26"/>
      <c r="B4049" s="2"/>
      <c r="C4049" s="26"/>
      <c r="D4049" s="26"/>
      <c r="F4049" s="85" t="str">
        <f t="shared" si="0"/>
        <v/>
      </c>
      <c r="G4049" s="1" t="e">
        <f>IF(VALUE(F4049) = VALUE(RIGHT(Insights!$C$3, 4)), E4049, "")</f>
        <v>#VALUE!</v>
      </c>
      <c r="H4049" s="26" t="e">
        <f t="shared" si="1"/>
        <v>#VALUE!</v>
      </c>
      <c r="I4049" s="1" t="e">
        <f t="shared" si="2"/>
        <v>#VALUE!</v>
      </c>
    </row>
    <row r="4050" spans="1:9" ht="15.75" customHeight="1">
      <c r="A4050" s="26"/>
      <c r="B4050" s="2"/>
      <c r="C4050" s="26"/>
      <c r="D4050" s="26"/>
      <c r="F4050" s="85" t="str">
        <f t="shared" si="0"/>
        <v/>
      </c>
      <c r="G4050" s="1" t="e">
        <f>IF(VALUE(F4050) = VALUE(RIGHT(Insights!$C$3, 4)), E4050, "")</f>
        <v>#VALUE!</v>
      </c>
      <c r="H4050" s="26" t="e">
        <f t="shared" si="1"/>
        <v>#VALUE!</v>
      </c>
      <c r="I4050" s="1" t="e">
        <f t="shared" si="2"/>
        <v>#VALUE!</v>
      </c>
    </row>
    <row r="4051" spans="1:9" ht="15.75" customHeight="1">
      <c r="A4051" s="26"/>
      <c r="B4051" s="2"/>
      <c r="C4051" s="26"/>
      <c r="D4051" s="26"/>
      <c r="F4051" s="85" t="str">
        <f t="shared" si="0"/>
        <v/>
      </c>
      <c r="G4051" s="1" t="e">
        <f>IF(VALUE(F4051) = VALUE(RIGHT(Insights!$C$3, 4)), E4051, "")</f>
        <v>#VALUE!</v>
      </c>
      <c r="H4051" s="26" t="e">
        <f t="shared" si="1"/>
        <v>#VALUE!</v>
      </c>
      <c r="I4051" s="1" t="e">
        <f t="shared" si="2"/>
        <v>#VALUE!</v>
      </c>
    </row>
    <row r="4052" spans="1:9" ht="15.75" customHeight="1">
      <c r="A4052" s="26"/>
      <c r="B4052" s="2"/>
      <c r="C4052" s="26"/>
      <c r="D4052" s="26"/>
      <c r="F4052" s="85" t="str">
        <f t="shared" si="0"/>
        <v/>
      </c>
      <c r="G4052" s="1" t="e">
        <f>IF(VALUE(F4052) = VALUE(RIGHT(Insights!$C$3, 4)), E4052, "")</f>
        <v>#VALUE!</v>
      </c>
      <c r="H4052" s="26" t="e">
        <f t="shared" si="1"/>
        <v>#VALUE!</v>
      </c>
      <c r="I4052" s="1" t="e">
        <f t="shared" si="2"/>
        <v>#VALUE!</v>
      </c>
    </row>
    <row r="4053" spans="1:9" ht="15.75" customHeight="1">
      <c r="A4053" s="26"/>
      <c r="B4053" s="2"/>
      <c r="C4053" s="26"/>
      <c r="D4053" s="26"/>
      <c r="F4053" s="85" t="str">
        <f t="shared" si="0"/>
        <v/>
      </c>
      <c r="G4053" s="1" t="e">
        <f>IF(VALUE(F4053) = VALUE(RIGHT(Insights!$C$3, 4)), E4053, "")</f>
        <v>#VALUE!</v>
      </c>
      <c r="H4053" s="26" t="e">
        <f t="shared" si="1"/>
        <v>#VALUE!</v>
      </c>
      <c r="I4053" s="1" t="e">
        <f t="shared" si="2"/>
        <v>#VALUE!</v>
      </c>
    </row>
    <row r="4054" spans="1:9" ht="15.75" customHeight="1">
      <c r="A4054" s="26"/>
      <c r="B4054" s="2"/>
      <c r="C4054" s="26"/>
      <c r="D4054" s="26"/>
      <c r="F4054" s="85" t="str">
        <f t="shared" si="0"/>
        <v/>
      </c>
      <c r="G4054" s="1" t="e">
        <f>IF(VALUE(F4054) = VALUE(RIGHT(Insights!$C$3, 4)), E4054, "")</f>
        <v>#VALUE!</v>
      </c>
      <c r="H4054" s="26" t="e">
        <f t="shared" si="1"/>
        <v>#VALUE!</v>
      </c>
      <c r="I4054" s="1" t="e">
        <f t="shared" si="2"/>
        <v>#VALUE!</v>
      </c>
    </row>
    <row r="4055" spans="1:9" ht="15.75" customHeight="1">
      <c r="A4055" s="26"/>
      <c r="B4055" s="2"/>
      <c r="C4055" s="26"/>
      <c r="D4055" s="26"/>
      <c r="F4055" s="85" t="str">
        <f t="shared" si="0"/>
        <v/>
      </c>
      <c r="G4055" s="1" t="e">
        <f>IF(VALUE(F4055) = VALUE(RIGHT(Insights!$C$3, 4)), E4055, "")</f>
        <v>#VALUE!</v>
      </c>
      <c r="H4055" s="26" t="e">
        <f t="shared" si="1"/>
        <v>#VALUE!</v>
      </c>
      <c r="I4055" s="1" t="e">
        <f t="shared" si="2"/>
        <v>#VALUE!</v>
      </c>
    </row>
    <row r="4056" spans="1:9" ht="15.75" customHeight="1">
      <c r="A4056" s="26"/>
      <c r="B4056" s="2"/>
      <c r="C4056" s="26"/>
      <c r="D4056" s="26"/>
      <c r="F4056" s="85" t="str">
        <f t="shared" si="0"/>
        <v/>
      </c>
      <c r="G4056" s="1" t="e">
        <f>IF(VALUE(F4056) = VALUE(RIGHT(Insights!$C$3, 4)), E4056, "")</f>
        <v>#VALUE!</v>
      </c>
      <c r="H4056" s="26" t="e">
        <f t="shared" si="1"/>
        <v>#VALUE!</v>
      </c>
      <c r="I4056" s="1" t="e">
        <f t="shared" si="2"/>
        <v>#VALUE!</v>
      </c>
    </row>
    <row r="4057" spans="1:9" ht="15.75" customHeight="1">
      <c r="A4057" s="26"/>
      <c r="B4057" s="2"/>
      <c r="C4057" s="26"/>
      <c r="D4057" s="26"/>
      <c r="F4057" s="85" t="str">
        <f t="shared" si="0"/>
        <v/>
      </c>
      <c r="G4057" s="1" t="e">
        <f>IF(VALUE(F4057) = VALUE(RIGHT(Insights!$C$3, 4)), E4057, "")</f>
        <v>#VALUE!</v>
      </c>
      <c r="H4057" s="26" t="e">
        <f t="shared" si="1"/>
        <v>#VALUE!</v>
      </c>
      <c r="I4057" s="1" t="e">
        <f t="shared" si="2"/>
        <v>#VALUE!</v>
      </c>
    </row>
    <row r="4058" spans="1:9" ht="15.75" customHeight="1">
      <c r="A4058" s="26"/>
      <c r="B4058" s="2"/>
      <c r="C4058" s="26"/>
      <c r="D4058" s="26"/>
      <c r="F4058" s="85" t="str">
        <f t="shared" si="0"/>
        <v/>
      </c>
      <c r="G4058" s="1" t="e">
        <f>IF(VALUE(F4058) = VALUE(RIGHT(Insights!$C$3, 4)), E4058, "")</f>
        <v>#VALUE!</v>
      </c>
      <c r="H4058" s="26" t="e">
        <f t="shared" si="1"/>
        <v>#VALUE!</v>
      </c>
      <c r="I4058" s="1" t="e">
        <f t="shared" si="2"/>
        <v>#VALUE!</v>
      </c>
    </row>
    <row r="4059" spans="1:9" ht="15.75" customHeight="1">
      <c r="A4059" s="26"/>
      <c r="B4059" s="2"/>
      <c r="C4059" s="26"/>
      <c r="D4059" s="26"/>
      <c r="F4059" s="85" t="str">
        <f t="shared" si="0"/>
        <v/>
      </c>
      <c r="G4059" s="1" t="e">
        <f>IF(VALUE(F4059) = VALUE(RIGHT(Insights!$C$3, 4)), E4059, "")</f>
        <v>#VALUE!</v>
      </c>
      <c r="H4059" s="26" t="e">
        <f t="shared" si="1"/>
        <v>#VALUE!</v>
      </c>
      <c r="I4059" s="1" t="e">
        <f t="shared" si="2"/>
        <v>#VALUE!</v>
      </c>
    </row>
    <row r="4060" spans="1:9" ht="15.75" customHeight="1">
      <c r="A4060" s="26"/>
      <c r="B4060" s="2"/>
      <c r="C4060" s="26"/>
      <c r="D4060" s="26"/>
      <c r="F4060" s="85" t="str">
        <f t="shared" si="0"/>
        <v/>
      </c>
      <c r="G4060" s="1" t="e">
        <f>IF(VALUE(F4060) = VALUE(RIGHT(Insights!$C$3, 4)), E4060, "")</f>
        <v>#VALUE!</v>
      </c>
      <c r="H4060" s="26" t="e">
        <f t="shared" si="1"/>
        <v>#VALUE!</v>
      </c>
      <c r="I4060" s="1" t="e">
        <f t="shared" si="2"/>
        <v>#VALUE!</v>
      </c>
    </row>
    <row r="4061" spans="1:9" ht="15.75" customHeight="1">
      <c r="A4061" s="26"/>
      <c r="B4061" s="2"/>
      <c r="C4061" s="26"/>
      <c r="D4061" s="26"/>
      <c r="F4061" s="85" t="str">
        <f t="shared" si="0"/>
        <v/>
      </c>
      <c r="G4061" s="1" t="e">
        <f>IF(VALUE(F4061) = VALUE(RIGHT(Insights!$C$3, 4)), E4061, "")</f>
        <v>#VALUE!</v>
      </c>
      <c r="H4061" s="26" t="e">
        <f t="shared" si="1"/>
        <v>#VALUE!</v>
      </c>
      <c r="I4061" s="1" t="e">
        <f t="shared" si="2"/>
        <v>#VALUE!</v>
      </c>
    </row>
    <row r="4062" spans="1:9" ht="15.75" customHeight="1">
      <c r="A4062" s="26"/>
      <c r="B4062" s="2"/>
      <c r="C4062" s="26"/>
      <c r="D4062" s="26"/>
      <c r="F4062" s="85" t="str">
        <f t="shared" si="0"/>
        <v/>
      </c>
      <c r="G4062" s="1" t="e">
        <f>IF(VALUE(F4062) = VALUE(RIGHT(Insights!$C$3, 4)), E4062, "")</f>
        <v>#VALUE!</v>
      </c>
      <c r="H4062" s="26" t="e">
        <f t="shared" si="1"/>
        <v>#VALUE!</v>
      </c>
      <c r="I4062" s="1" t="e">
        <f t="shared" si="2"/>
        <v>#VALUE!</v>
      </c>
    </row>
    <row r="4063" spans="1:9" ht="15.75" customHeight="1">
      <c r="A4063" s="26"/>
      <c r="B4063" s="2"/>
      <c r="C4063" s="26"/>
      <c r="D4063" s="26"/>
      <c r="F4063" s="85" t="str">
        <f t="shared" si="0"/>
        <v/>
      </c>
      <c r="G4063" s="1" t="e">
        <f>IF(VALUE(F4063) = VALUE(RIGHT(Insights!$C$3, 4)), E4063, "")</f>
        <v>#VALUE!</v>
      </c>
      <c r="H4063" s="26" t="e">
        <f t="shared" si="1"/>
        <v>#VALUE!</v>
      </c>
      <c r="I4063" s="1" t="e">
        <f t="shared" si="2"/>
        <v>#VALUE!</v>
      </c>
    </row>
    <row r="4064" spans="1:9" ht="15.75" customHeight="1">
      <c r="A4064" s="26"/>
      <c r="B4064" s="2"/>
      <c r="C4064" s="26"/>
      <c r="D4064" s="26"/>
      <c r="F4064" s="85" t="str">
        <f t="shared" si="0"/>
        <v/>
      </c>
      <c r="G4064" s="1" t="e">
        <f>IF(VALUE(F4064) = VALUE(RIGHT(Insights!$C$3, 4)), E4064, "")</f>
        <v>#VALUE!</v>
      </c>
      <c r="H4064" s="26" t="e">
        <f t="shared" si="1"/>
        <v>#VALUE!</v>
      </c>
      <c r="I4064" s="1" t="e">
        <f t="shared" si="2"/>
        <v>#VALUE!</v>
      </c>
    </row>
    <row r="4065" spans="1:9" ht="15.75" customHeight="1">
      <c r="A4065" s="26"/>
      <c r="B4065" s="2"/>
      <c r="C4065" s="26"/>
      <c r="D4065" s="26"/>
      <c r="F4065" s="85" t="str">
        <f t="shared" si="0"/>
        <v/>
      </c>
      <c r="G4065" s="1" t="e">
        <f>IF(VALUE(F4065) = VALUE(RIGHT(Insights!$C$3, 4)), E4065, "")</f>
        <v>#VALUE!</v>
      </c>
      <c r="H4065" s="26" t="e">
        <f t="shared" si="1"/>
        <v>#VALUE!</v>
      </c>
      <c r="I4065" s="1" t="e">
        <f t="shared" si="2"/>
        <v>#VALUE!</v>
      </c>
    </row>
    <row r="4066" spans="1:9" ht="15.75" customHeight="1">
      <c r="A4066" s="26"/>
      <c r="B4066" s="2"/>
      <c r="C4066" s="26"/>
      <c r="D4066" s="26"/>
      <c r="F4066" s="85" t="str">
        <f t="shared" si="0"/>
        <v/>
      </c>
      <c r="G4066" s="1" t="e">
        <f>IF(VALUE(F4066) = VALUE(RIGHT(Insights!$C$3, 4)), E4066, "")</f>
        <v>#VALUE!</v>
      </c>
      <c r="H4066" s="26" t="e">
        <f t="shared" si="1"/>
        <v>#VALUE!</v>
      </c>
      <c r="I4066" s="1" t="e">
        <f t="shared" si="2"/>
        <v>#VALUE!</v>
      </c>
    </row>
    <row r="4067" spans="1:9" ht="15.75" customHeight="1">
      <c r="A4067" s="26"/>
      <c r="B4067" s="2"/>
      <c r="C4067" s="26"/>
      <c r="D4067" s="26"/>
      <c r="F4067" s="85" t="str">
        <f t="shared" si="0"/>
        <v/>
      </c>
      <c r="G4067" s="1" t="e">
        <f>IF(VALUE(F4067) = VALUE(RIGHT(Insights!$C$3, 4)), E4067, "")</f>
        <v>#VALUE!</v>
      </c>
      <c r="H4067" s="26" t="e">
        <f t="shared" si="1"/>
        <v>#VALUE!</v>
      </c>
      <c r="I4067" s="1" t="e">
        <f t="shared" si="2"/>
        <v>#VALUE!</v>
      </c>
    </row>
    <row r="4068" spans="1:9" ht="15.75" customHeight="1">
      <c r="A4068" s="26"/>
      <c r="B4068" s="2"/>
      <c r="C4068" s="26"/>
      <c r="D4068" s="26"/>
      <c r="F4068" s="85" t="str">
        <f t="shared" si="0"/>
        <v/>
      </c>
      <c r="G4068" s="1" t="e">
        <f>IF(VALUE(F4068) = VALUE(RIGHT(Insights!$C$3, 4)), E4068, "")</f>
        <v>#VALUE!</v>
      </c>
      <c r="H4068" s="26" t="e">
        <f t="shared" si="1"/>
        <v>#VALUE!</v>
      </c>
      <c r="I4068" s="1" t="e">
        <f t="shared" si="2"/>
        <v>#VALUE!</v>
      </c>
    </row>
    <row r="4069" spans="1:9" ht="15.75" customHeight="1">
      <c r="A4069" s="26"/>
      <c r="B4069" s="2"/>
      <c r="C4069" s="26"/>
      <c r="D4069" s="26"/>
      <c r="F4069" s="85" t="str">
        <f t="shared" si="0"/>
        <v/>
      </c>
      <c r="G4069" s="1" t="e">
        <f>IF(VALUE(F4069) = VALUE(RIGHT(Insights!$C$3, 4)), E4069, "")</f>
        <v>#VALUE!</v>
      </c>
      <c r="H4069" s="26" t="e">
        <f t="shared" si="1"/>
        <v>#VALUE!</v>
      </c>
      <c r="I4069" s="1" t="e">
        <f t="shared" si="2"/>
        <v>#VALUE!</v>
      </c>
    </row>
    <row r="4070" spans="1:9" ht="15.75" customHeight="1">
      <c r="A4070" s="26"/>
      <c r="B4070" s="2"/>
      <c r="C4070" s="26"/>
      <c r="D4070" s="26"/>
      <c r="F4070" s="85" t="str">
        <f t="shared" si="0"/>
        <v/>
      </c>
      <c r="G4070" s="1" t="e">
        <f>IF(VALUE(F4070) = VALUE(RIGHT(Insights!$C$3, 4)), E4070, "")</f>
        <v>#VALUE!</v>
      </c>
      <c r="H4070" s="26" t="e">
        <f t="shared" si="1"/>
        <v>#VALUE!</v>
      </c>
      <c r="I4070" s="1" t="e">
        <f t="shared" si="2"/>
        <v>#VALUE!</v>
      </c>
    </row>
    <row r="4071" spans="1:9" ht="15.75" customHeight="1">
      <c r="A4071" s="26"/>
      <c r="B4071" s="2"/>
      <c r="C4071" s="26"/>
      <c r="D4071" s="26"/>
      <c r="F4071" s="85" t="str">
        <f t="shared" si="0"/>
        <v/>
      </c>
      <c r="G4071" s="1" t="e">
        <f>IF(VALUE(F4071) = VALUE(RIGHT(Insights!$C$3, 4)), E4071, "")</f>
        <v>#VALUE!</v>
      </c>
      <c r="H4071" s="26" t="e">
        <f t="shared" si="1"/>
        <v>#VALUE!</v>
      </c>
      <c r="I4071" s="1" t="e">
        <f t="shared" si="2"/>
        <v>#VALUE!</v>
      </c>
    </row>
    <row r="4072" spans="1:9" ht="15.75" customHeight="1">
      <c r="A4072" s="26"/>
      <c r="B4072" s="2"/>
      <c r="C4072" s="26"/>
      <c r="D4072" s="26"/>
      <c r="F4072" s="85" t="str">
        <f t="shared" si="0"/>
        <v/>
      </c>
      <c r="G4072" s="1" t="e">
        <f>IF(VALUE(F4072) = VALUE(RIGHT(Insights!$C$3, 4)), E4072, "")</f>
        <v>#VALUE!</v>
      </c>
      <c r="H4072" s="26" t="e">
        <f t="shared" si="1"/>
        <v>#VALUE!</v>
      </c>
      <c r="I4072" s="1" t="e">
        <f t="shared" si="2"/>
        <v>#VALUE!</v>
      </c>
    </row>
    <row r="4073" spans="1:9" ht="15.75" customHeight="1">
      <c r="A4073" s="26"/>
      <c r="B4073" s="2"/>
      <c r="C4073" s="26"/>
      <c r="D4073" s="26"/>
      <c r="F4073" s="85" t="str">
        <f t="shared" si="0"/>
        <v/>
      </c>
      <c r="G4073" s="1" t="e">
        <f>IF(VALUE(F4073) = VALUE(RIGHT(Insights!$C$3, 4)), E4073, "")</f>
        <v>#VALUE!</v>
      </c>
      <c r="H4073" s="26" t="e">
        <f t="shared" si="1"/>
        <v>#VALUE!</v>
      </c>
      <c r="I4073" s="1" t="e">
        <f t="shared" si="2"/>
        <v>#VALUE!</v>
      </c>
    </row>
    <row r="4074" spans="1:9" ht="15.75" customHeight="1">
      <c r="A4074" s="26"/>
      <c r="B4074" s="2"/>
      <c r="C4074" s="26"/>
      <c r="D4074" s="26"/>
      <c r="F4074" s="85" t="str">
        <f t="shared" si="0"/>
        <v/>
      </c>
      <c r="G4074" s="1" t="e">
        <f>IF(VALUE(F4074) = VALUE(RIGHT(Insights!$C$3, 4)), E4074, "")</f>
        <v>#VALUE!</v>
      </c>
      <c r="H4074" s="26" t="e">
        <f t="shared" si="1"/>
        <v>#VALUE!</v>
      </c>
      <c r="I4074" s="1" t="e">
        <f t="shared" si="2"/>
        <v>#VALUE!</v>
      </c>
    </row>
    <row r="4075" spans="1:9" ht="15.75" customHeight="1">
      <c r="A4075" s="26"/>
      <c r="B4075" s="2"/>
      <c r="C4075" s="26"/>
      <c r="D4075" s="26"/>
      <c r="F4075" s="85" t="str">
        <f t="shared" si="0"/>
        <v/>
      </c>
      <c r="G4075" s="1" t="e">
        <f>IF(VALUE(F4075) = VALUE(RIGHT(Insights!$C$3, 4)), E4075, "")</f>
        <v>#VALUE!</v>
      </c>
      <c r="H4075" s="26" t="e">
        <f t="shared" si="1"/>
        <v>#VALUE!</v>
      </c>
      <c r="I4075" s="1" t="e">
        <f t="shared" si="2"/>
        <v>#VALUE!</v>
      </c>
    </row>
    <row r="4076" spans="1:9" ht="15.75" customHeight="1">
      <c r="A4076" s="26"/>
      <c r="B4076" s="2"/>
      <c r="C4076" s="26"/>
      <c r="D4076" s="26"/>
      <c r="F4076" s="85" t="str">
        <f t="shared" si="0"/>
        <v/>
      </c>
      <c r="G4076" s="1" t="e">
        <f>IF(VALUE(F4076) = VALUE(RIGHT(Insights!$C$3, 4)), E4076, "")</f>
        <v>#VALUE!</v>
      </c>
      <c r="H4076" s="26" t="e">
        <f t="shared" si="1"/>
        <v>#VALUE!</v>
      </c>
      <c r="I4076" s="1" t="e">
        <f t="shared" si="2"/>
        <v>#VALUE!</v>
      </c>
    </row>
    <row r="4077" spans="1:9" ht="15.75" customHeight="1">
      <c r="A4077" s="26"/>
      <c r="B4077" s="2"/>
      <c r="C4077" s="26"/>
      <c r="D4077" s="26"/>
      <c r="F4077" s="85" t="str">
        <f t="shared" si="0"/>
        <v/>
      </c>
      <c r="G4077" s="1" t="e">
        <f>IF(VALUE(F4077) = VALUE(RIGHT(Insights!$C$3, 4)), E4077, "")</f>
        <v>#VALUE!</v>
      </c>
      <c r="H4077" s="26" t="e">
        <f t="shared" si="1"/>
        <v>#VALUE!</v>
      </c>
      <c r="I4077" s="1" t="e">
        <f t="shared" si="2"/>
        <v>#VALUE!</v>
      </c>
    </row>
    <row r="4078" spans="1:9" ht="15.75" customHeight="1">
      <c r="A4078" s="26"/>
      <c r="B4078" s="2"/>
      <c r="C4078" s="26"/>
      <c r="D4078" s="26"/>
      <c r="F4078" s="85" t="str">
        <f t="shared" si="0"/>
        <v/>
      </c>
      <c r="G4078" s="1" t="e">
        <f>IF(VALUE(F4078) = VALUE(RIGHT(Insights!$C$3, 4)), E4078, "")</f>
        <v>#VALUE!</v>
      </c>
      <c r="H4078" s="26" t="e">
        <f t="shared" si="1"/>
        <v>#VALUE!</v>
      </c>
      <c r="I4078" s="1" t="e">
        <f t="shared" si="2"/>
        <v>#VALUE!</v>
      </c>
    </row>
    <row r="4079" spans="1:9" ht="15.75" customHeight="1">
      <c r="A4079" s="26"/>
      <c r="B4079" s="2"/>
      <c r="C4079" s="26"/>
      <c r="D4079" s="26"/>
      <c r="F4079" s="85" t="str">
        <f t="shared" si="0"/>
        <v/>
      </c>
      <c r="G4079" s="1" t="e">
        <f>IF(VALUE(F4079) = VALUE(RIGHT(Insights!$C$3, 4)), E4079, "")</f>
        <v>#VALUE!</v>
      </c>
      <c r="H4079" s="26" t="e">
        <f t="shared" si="1"/>
        <v>#VALUE!</v>
      </c>
      <c r="I4079" s="1" t="e">
        <f t="shared" si="2"/>
        <v>#VALUE!</v>
      </c>
    </row>
    <row r="4080" spans="1:9" ht="15.75" customHeight="1">
      <c r="A4080" s="26"/>
      <c r="B4080" s="2"/>
      <c r="C4080" s="26"/>
      <c r="D4080" s="26"/>
      <c r="F4080" s="85" t="str">
        <f t="shared" si="0"/>
        <v/>
      </c>
      <c r="G4080" s="1" t="e">
        <f>IF(VALUE(F4080) = VALUE(RIGHT(Insights!$C$3, 4)), E4080, "")</f>
        <v>#VALUE!</v>
      </c>
      <c r="H4080" s="26" t="e">
        <f t="shared" si="1"/>
        <v>#VALUE!</v>
      </c>
      <c r="I4080" s="1" t="e">
        <f t="shared" si="2"/>
        <v>#VALUE!</v>
      </c>
    </row>
    <row r="4081" spans="1:9" ht="15.75" customHeight="1">
      <c r="A4081" s="26"/>
      <c r="B4081" s="2"/>
      <c r="C4081" s="26"/>
      <c r="D4081" s="26"/>
      <c r="F4081" s="85" t="str">
        <f t="shared" si="0"/>
        <v/>
      </c>
      <c r="G4081" s="1" t="e">
        <f>IF(VALUE(F4081) = VALUE(RIGHT(Insights!$C$3, 4)), E4081, "")</f>
        <v>#VALUE!</v>
      </c>
      <c r="H4081" s="26" t="e">
        <f t="shared" si="1"/>
        <v>#VALUE!</v>
      </c>
      <c r="I4081" s="1" t="e">
        <f t="shared" si="2"/>
        <v>#VALUE!</v>
      </c>
    </row>
    <row r="4082" spans="1:9" ht="15.75" customHeight="1">
      <c r="A4082" s="26"/>
      <c r="B4082" s="2"/>
      <c r="C4082" s="26"/>
      <c r="D4082" s="26"/>
      <c r="F4082" s="85" t="str">
        <f t="shared" si="0"/>
        <v/>
      </c>
      <c r="G4082" s="1" t="e">
        <f>IF(VALUE(F4082) = VALUE(RIGHT(Insights!$C$3, 4)), E4082, "")</f>
        <v>#VALUE!</v>
      </c>
      <c r="H4082" s="26" t="e">
        <f t="shared" si="1"/>
        <v>#VALUE!</v>
      </c>
      <c r="I4082" s="1" t="e">
        <f t="shared" si="2"/>
        <v>#VALUE!</v>
      </c>
    </row>
    <row r="4083" spans="1:9" ht="15.75" customHeight="1">
      <c r="A4083" s="26"/>
      <c r="B4083" s="2"/>
      <c r="C4083" s="26"/>
      <c r="D4083" s="26"/>
      <c r="F4083" s="85" t="str">
        <f t="shared" si="0"/>
        <v/>
      </c>
      <c r="G4083" s="1" t="e">
        <f>IF(VALUE(F4083) = VALUE(RIGHT(Insights!$C$3, 4)), E4083, "")</f>
        <v>#VALUE!</v>
      </c>
      <c r="H4083" s="26" t="e">
        <f t="shared" si="1"/>
        <v>#VALUE!</v>
      </c>
      <c r="I4083" s="1" t="e">
        <f t="shared" si="2"/>
        <v>#VALUE!</v>
      </c>
    </row>
    <row r="4084" spans="1:9" ht="15.75" customHeight="1">
      <c r="A4084" s="26"/>
      <c r="B4084" s="2"/>
      <c r="C4084" s="26"/>
      <c r="D4084" s="26"/>
      <c r="F4084" s="85" t="str">
        <f t="shared" si="0"/>
        <v/>
      </c>
      <c r="G4084" s="1" t="e">
        <f>IF(VALUE(F4084) = VALUE(RIGHT(Insights!$C$3, 4)), E4084, "")</f>
        <v>#VALUE!</v>
      </c>
      <c r="H4084" s="26" t="e">
        <f t="shared" si="1"/>
        <v>#VALUE!</v>
      </c>
      <c r="I4084" s="1" t="e">
        <f t="shared" si="2"/>
        <v>#VALUE!</v>
      </c>
    </row>
    <row r="4085" spans="1:9" ht="15.75" customHeight="1">
      <c r="A4085" s="26"/>
      <c r="B4085" s="2"/>
      <c r="C4085" s="26"/>
      <c r="D4085" s="26"/>
      <c r="F4085" s="85" t="str">
        <f t="shared" si="0"/>
        <v/>
      </c>
      <c r="G4085" s="1" t="e">
        <f>IF(VALUE(F4085) = VALUE(RIGHT(Insights!$C$3, 4)), E4085, "")</f>
        <v>#VALUE!</v>
      </c>
      <c r="H4085" s="26" t="e">
        <f t="shared" si="1"/>
        <v>#VALUE!</v>
      </c>
      <c r="I4085" s="1" t="e">
        <f t="shared" si="2"/>
        <v>#VALUE!</v>
      </c>
    </row>
    <row r="4086" spans="1:9" ht="15.75" customHeight="1">
      <c r="A4086" s="26"/>
      <c r="B4086" s="2"/>
      <c r="C4086" s="26"/>
      <c r="D4086" s="26"/>
      <c r="F4086" s="85" t="str">
        <f t="shared" si="0"/>
        <v/>
      </c>
      <c r="G4086" s="1" t="e">
        <f>IF(VALUE(F4086) = VALUE(RIGHT(Insights!$C$3, 4)), E4086, "")</f>
        <v>#VALUE!</v>
      </c>
      <c r="H4086" s="26" t="e">
        <f t="shared" si="1"/>
        <v>#VALUE!</v>
      </c>
      <c r="I4086" s="1" t="e">
        <f t="shared" si="2"/>
        <v>#VALUE!</v>
      </c>
    </row>
    <row r="4087" spans="1:9" ht="15.75" customHeight="1">
      <c r="A4087" s="26"/>
      <c r="B4087" s="2"/>
      <c r="C4087" s="26"/>
      <c r="D4087" s="26"/>
      <c r="F4087" s="85" t="str">
        <f t="shared" si="0"/>
        <v/>
      </c>
      <c r="G4087" s="1" t="e">
        <f>IF(VALUE(F4087) = VALUE(RIGHT(Insights!$C$3, 4)), E4087, "")</f>
        <v>#VALUE!</v>
      </c>
      <c r="H4087" s="26" t="e">
        <f t="shared" si="1"/>
        <v>#VALUE!</v>
      </c>
      <c r="I4087" s="1" t="e">
        <f t="shared" si="2"/>
        <v>#VALUE!</v>
      </c>
    </row>
    <row r="4088" spans="1:9" ht="15.75" customHeight="1">
      <c r="A4088" s="26"/>
      <c r="B4088" s="2"/>
      <c r="C4088" s="26"/>
      <c r="D4088" s="26"/>
      <c r="F4088" s="85" t="str">
        <f t="shared" si="0"/>
        <v/>
      </c>
      <c r="G4088" s="1" t="e">
        <f>IF(VALUE(F4088) = VALUE(RIGHT(Insights!$C$3, 4)), E4088, "")</f>
        <v>#VALUE!</v>
      </c>
      <c r="H4088" s="26" t="e">
        <f t="shared" si="1"/>
        <v>#VALUE!</v>
      </c>
      <c r="I4088" s="1" t="e">
        <f t="shared" si="2"/>
        <v>#VALUE!</v>
      </c>
    </row>
    <row r="4089" spans="1:9" ht="15.75" customHeight="1">
      <c r="A4089" s="26"/>
      <c r="B4089" s="2"/>
      <c r="C4089" s="26"/>
      <c r="D4089" s="26"/>
      <c r="F4089" s="85" t="str">
        <f t="shared" si="0"/>
        <v/>
      </c>
      <c r="G4089" s="1" t="e">
        <f>IF(VALUE(F4089) = VALUE(RIGHT(Insights!$C$3, 4)), E4089, "")</f>
        <v>#VALUE!</v>
      </c>
      <c r="H4089" s="26" t="e">
        <f t="shared" si="1"/>
        <v>#VALUE!</v>
      </c>
      <c r="I4089" s="1" t="e">
        <f t="shared" si="2"/>
        <v>#VALUE!</v>
      </c>
    </row>
    <row r="4090" spans="1:9" ht="15.75" customHeight="1">
      <c r="A4090" s="26"/>
      <c r="B4090" s="2"/>
      <c r="C4090" s="26"/>
      <c r="D4090" s="26"/>
      <c r="F4090" s="85" t="str">
        <f t="shared" si="0"/>
        <v/>
      </c>
      <c r="G4090" s="1" t="e">
        <f>IF(VALUE(F4090) = VALUE(RIGHT(Insights!$C$3, 4)), E4090, "")</f>
        <v>#VALUE!</v>
      </c>
      <c r="H4090" s="26" t="e">
        <f t="shared" si="1"/>
        <v>#VALUE!</v>
      </c>
      <c r="I4090" s="1" t="e">
        <f t="shared" si="2"/>
        <v>#VALUE!</v>
      </c>
    </row>
    <row r="4091" spans="1:9" ht="15.75" customHeight="1">
      <c r="A4091" s="26"/>
      <c r="B4091" s="2"/>
      <c r="C4091" s="26"/>
      <c r="D4091" s="26"/>
      <c r="F4091" s="85" t="str">
        <f t="shared" si="0"/>
        <v/>
      </c>
      <c r="G4091" s="1" t="e">
        <f>IF(VALUE(F4091) = VALUE(RIGHT(Insights!$C$3, 4)), E4091, "")</f>
        <v>#VALUE!</v>
      </c>
      <c r="H4091" s="26" t="e">
        <f t="shared" si="1"/>
        <v>#VALUE!</v>
      </c>
      <c r="I4091" s="1" t="e">
        <f t="shared" si="2"/>
        <v>#VALUE!</v>
      </c>
    </row>
    <row r="4092" spans="1:9" ht="15.75" customHeight="1">
      <c r="A4092" s="26"/>
      <c r="B4092" s="2"/>
      <c r="C4092" s="26"/>
      <c r="D4092" s="26"/>
      <c r="F4092" s="85" t="str">
        <f t="shared" si="0"/>
        <v/>
      </c>
      <c r="G4092" s="1" t="e">
        <f>IF(VALUE(F4092) = VALUE(RIGHT(Insights!$C$3, 4)), E4092, "")</f>
        <v>#VALUE!</v>
      </c>
      <c r="H4092" s="26" t="e">
        <f t="shared" si="1"/>
        <v>#VALUE!</v>
      </c>
      <c r="I4092" s="1" t="e">
        <f t="shared" si="2"/>
        <v>#VALUE!</v>
      </c>
    </row>
    <row r="4093" spans="1:9" ht="15.75" customHeight="1">
      <c r="A4093" s="26"/>
      <c r="B4093" s="2"/>
      <c r="C4093" s="26"/>
      <c r="D4093" s="26"/>
      <c r="F4093" s="85" t="str">
        <f t="shared" si="0"/>
        <v/>
      </c>
      <c r="G4093" s="1" t="e">
        <f>IF(VALUE(F4093) = VALUE(RIGHT(Insights!$C$3, 4)), E4093, "")</f>
        <v>#VALUE!</v>
      </c>
      <c r="H4093" s="26" t="e">
        <f t="shared" si="1"/>
        <v>#VALUE!</v>
      </c>
      <c r="I4093" s="1" t="e">
        <f t="shared" si="2"/>
        <v>#VALUE!</v>
      </c>
    </row>
    <row r="4094" spans="1:9" ht="15.75" customHeight="1">
      <c r="A4094" s="26"/>
      <c r="B4094" s="2"/>
      <c r="C4094" s="26"/>
      <c r="D4094" s="26"/>
      <c r="F4094" s="85" t="str">
        <f t="shared" si="0"/>
        <v/>
      </c>
      <c r="G4094" s="1" t="e">
        <f>IF(VALUE(F4094) = VALUE(RIGHT(Insights!$C$3, 4)), E4094, "")</f>
        <v>#VALUE!</v>
      </c>
      <c r="H4094" s="26" t="e">
        <f t="shared" si="1"/>
        <v>#VALUE!</v>
      </c>
      <c r="I4094" s="1" t="e">
        <f t="shared" si="2"/>
        <v>#VALUE!</v>
      </c>
    </row>
    <row r="4095" spans="1:9" ht="15.75" customHeight="1">
      <c r="A4095" s="26"/>
      <c r="B4095" s="2"/>
      <c r="C4095" s="26"/>
      <c r="D4095" s="26"/>
      <c r="F4095" s="85" t="str">
        <f t="shared" si="0"/>
        <v/>
      </c>
      <c r="G4095" s="1" t="e">
        <f>IF(VALUE(F4095) = VALUE(RIGHT(Insights!$C$3, 4)), E4095, "")</f>
        <v>#VALUE!</v>
      </c>
      <c r="H4095" s="26" t="e">
        <f t="shared" si="1"/>
        <v>#VALUE!</v>
      </c>
      <c r="I4095" s="1" t="e">
        <f t="shared" si="2"/>
        <v>#VALUE!</v>
      </c>
    </row>
    <row r="4096" spans="1:9" ht="15.75" customHeight="1">
      <c r="A4096" s="26"/>
      <c r="B4096" s="2"/>
      <c r="C4096" s="26"/>
      <c r="D4096" s="26"/>
      <c r="F4096" s="85" t="str">
        <f t="shared" si="0"/>
        <v/>
      </c>
      <c r="G4096" s="1" t="e">
        <f>IF(VALUE(F4096) = VALUE(RIGHT(Insights!$C$3, 4)), E4096, "")</f>
        <v>#VALUE!</v>
      </c>
      <c r="H4096" s="26" t="e">
        <f t="shared" si="1"/>
        <v>#VALUE!</v>
      </c>
      <c r="I4096" s="1" t="e">
        <f t="shared" si="2"/>
        <v>#VALUE!</v>
      </c>
    </row>
    <row r="4097" spans="1:9" ht="15.75" customHeight="1">
      <c r="A4097" s="26"/>
      <c r="B4097" s="2"/>
      <c r="C4097" s="26"/>
      <c r="D4097" s="26"/>
      <c r="F4097" s="85" t="str">
        <f t="shared" si="0"/>
        <v/>
      </c>
      <c r="G4097" s="1" t="e">
        <f>IF(VALUE(F4097) = VALUE(RIGHT(Insights!$C$3, 4)), E4097, "")</f>
        <v>#VALUE!</v>
      </c>
      <c r="H4097" s="26" t="e">
        <f t="shared" si="1"/>
        <v>#VALUE!</v>
      </c>
      <c r="I4097" s="1" t="e">
        <f t="shared" si="2"/>
        <v>#VALUE!</v>
      </c>
    </row>
    <row r="4098" spans="1:9" ht="15.75" customHeight="1">
      <c r="A4098" s="26"/>
      <c r="B4098" s="2"/>
      <c r="C4098" s="26"/>
      <c r="D4098" s="26"/>
      <c r="F4098" s="85" t="str">
        <f t="shared" si="0"/>
        <v/>
      </c>
      <c r="G4098" s="1" t="e">
        <f>IF(VALUE(F4098) = VALUE(RIGHT(Insights!$C$3, 4)), E4098, "")</f>
        <v>#VALUE!</v>
      </c>
      <c r="H4098" s="26" t="e">
        <f t="shared" si="1"/>
        <v>#VALUE!</v>
      </c>
      <c r="I4098" s="1" t="e">
        <f t="shared" si="2"/>
        <v>#VALUE!</v>
      </c>
    </row>
    <row r="4099" spans="1:9" ht="15.75" customHeight="1">
      <c r="A4099" s="26"/>
      <c r="B4099" s="2"/>
      <c r="C4099" s="26"/>
      <c r="D4099" s="26"/>
      <c r="F4099" s="85" t="str">
        <f t="shared" si="0"/>
        <v/>
      </c>
      <c r="G4099" s="1" t="e">
        <f>IF(VALUE(F4099) = VALUE(RIGHT(Insights!$C$3, 4)), E4099, "")</f>
        <v>#VALUE!</v>
      </c>
      <c r="H4099" s="26" t="e">
        <f t="shared" si="1"/>
        <v>#VALUE!</v>
      </c>
      <c r="I4099" s="1" t="e">
        <f t="shared" si="2"/>
        <v>#VALUE!</v>
      </c>
    </row>
    <row r="4100" spans="1:9" ht="15.75" customHeight="1">
      <c r="A4100" s="26"/>
      <c r="B4100" s="2"/>
      <c r="C4100" s="26"/>
      <c r="D4100" s="26"/>
      <c r="F4100" s="85" t="str">
        <f t="shared" si="0"/>
        <v/>
      </c>
      <c r="G4100" s="1" t="e">
        <f>IF(VALUE(F4100) = VALUE(RIGHT(Insights!$C$3, 4)), E4100, "")</f>
        <v>#VALUE!</v>
      </c>
      <c r="H4100" s="26" t="e">
        <f t="shared" si="1"/>
        <v>#VALUE!</v>
      </c>
      <c r="I4100" s="1" t="e">
        <f t="shared" si="2"/>
        <v>#VALUE!</v>
      </c>
    </row>
    <row r="4101" spans="1:9" ht="15.75" customHeight="1">
      <c r="A4101" s="26"/>
      <c r="B4101" s="2"/>
      <c r="C4101" s="26"/>
      <c r="D4101" s="26"/>
      <c r="F4101" s="85" t="str">
        <f t="shared" si="0"/>
        <v/>
      </c>
      <c r="G4101" s="1" t="e">
        <f>IF(VALUE(F4101) = VALUE(RIGHT(Insights!$C$3, 4)), E4101, "")</f>
        <v>#VALUE!</v>
      </c>
      <c r="H4101" s="26" t="e">
        <f t="shared" si="1"/>
        <v>#VALUE!</v>
      </c>
      <c r="I4101" s="1" t="e">
        <f t="shared" si="2"/>
        <v>#VALUE!</v>
      </c>
    </row>
    <row r="4102" spans="1:9" ht="15.75" customHeight="1">
      <c r="A4102" s="26"/>
      <c r="B4102" s="2"/>
      <c r="C4102" s="26"/>
      <c r="D4102" s="26"/>
      <c r="F4102" s="85" t="str">
        <f t="shared" si="0"/>
        <v/>
      </c>
      <c r="G4102" s="1" t="e">
        <f>IF(VALUE(F4102) = VALUE(RIGHT(Insights!$C$3, 4)), E4102, "")</f>
        <v>#VALUE!</v>
      </c>
      <c r="H4102" s="26" t="e">
        <f t="shared" si="1"/>
        <v>#VALUE!</v>
      </c>
      <c r="I4102" s="1" t="e">
        <f t="shared" si="2"/>
        <v>#VALUE!</v>
      </c>
    </row>
    <row r="4103" spans="1:9" ht="15.75" customHeight="1">
      <c r="A4103" s="26"/>
      <c r="B4103" s="2"/>
      <c r="C4103" s="26"/>
      <c r="D4103" s="26"/>
      <c r="F4103" s="85" t="str">
        <f t="shared" si="0"/>
        <v/>
      </c>
      <c r="G4103" s="1" t="e">
        <f>IF(VALUE(F4103) = VALUE(RIGHT(Insights!$C$3, 4)), E4103, "")</f>
        <v>#VALUE!</v>
      </c>
      <c r="H4103" s="26" t="e">
        <f t="shared" si="1"/>
        <v>#VALUE!</v>
      </c>
      <c r="I4103" s="1" t="e">
        <f t="shared" si="2"/>
        <v>#VALUE!</v>
      </c>
    </row>
    <row r="4104" spans="1:9" ht="15.75" customHeight="1">
      <c r="A4104" s="26"/>
      <c r="B4104" s="2"/>
      <c r="C4104" s="26"/>
      <c r="D4104" s="26"/>
      <c r="F4104" s="85" t="str">
        <f t="shared" si="0"/>
        <v/>
      </c>
      <c r="G4104" s="1" t="e">
        <f>IF(VALUE(F4104) = VALUE(RIGHT(Insights!$C$3, 4)), E4104, "")</f>
        <v>#VALUE!</v>
      </c>
      <c r="H4104" s="26" t="e">
        <f t="shared" si="1"/>
        <v>#VALUE!</v>
      </c>
      <c r="I4104" s="1" t="e">
        <f t="shared" si="2"/>
        <v>#VALUE!</v>
      </c>
    </row>
    <row r="4105" spans="1:9" ht="15.75" customHeight="1">
      <c r="A4105" s="26"/>
      <c r="B4105" s="2"/>
      <c r="C4105" s="26"/>
      <c r="D4105" s="26"/>
      <c r="F4105" s="85" t="str">
        <f t="shared" si="0"/>
        <v/>
      </c>
      <c r="G4105" s="1" t="e">
        <f>IF(VALUE(F4105) = VALUE(RIGHT(Insights!$C$3, 4)), E4105, "")</f>
        <v>#VALUE!</v>
      </c>
      <c r="H4105" s="26" t="e">
        <f t="shared" si="1"/>
        <v>#VALUE!</v>
      </c>
      <c r="I4105" s="1" t="e">
        <f t="shared" si="2"/>
        <v>#VALUE!</v>
      </c>
    </row>
    <row r="4106" spans="1:9" ht="15.75" customHeight="1">
      <c r="A4106" s="26"/>
      <c r="B4106" s="2"/>
      <c r="C4106" s="26"/>
      <c r="D4106" s="26"/>
      <c r="F4106" s="85" t="str">
        <f t="shared" si="0"/>
        <v/>
      </c>
      <c r="G4106" s="1" t="e">
        <f>IF(VALUE(F4106) = VALUE(RIGHT(Insights!$C$3, 4)), E4106, "")</f>
        <v>#VALUE!</v>
      </c>
      <c r="H4106" s="26" t="e">
        <f t="shared" si="1"/>
        <v>#VALUE!</v>
      </c>
      <c r="I4106" s="1" t="e">
        <f t="shared" si="2"/>
        <v>#VALUE!</v>
      </c>
    </row>
    <row r="4107" spans="1:9" ht="15.75" customHeight="1">
      <c r="A4107" s="26"/>
      <c r="B4107" s="2"/>
      <c r="C4107" s="26"/>
      <c r="D4107" s="26"/>
      <c r="F4107" s="85" t="str">
        <f t="shared" si="0"/>
        <v/>
      </c>
      <c r="G4107" s="1" t="e">
        <f>IF(VALUE(F4107) = VALUE(RIGHT(Insights!$C$3, 4)), E4107, "")</f>
        <v>#VALUE!</v>
      </c>
      <c r="H4107" s="26" t="e">
        <f t="shared" si="1"/>
        <v>#VALUE!</v>
      </c>
      <c r="I4107" s="1" t="e">
        <f t="shared" si="2"/>
        <v>#VALUE!</v>
      </c>
    </row>
    <row r="4108" spans="1:9" ht="15.75" customHeight="1">
      <c r="A4108" s="26"/>
      <c r="B4108" s="2"/>
      <c r="C4108" s="26"/>
      <c r="D4108" s="26"/>
      <c r="F4108" s="85" t="str">
        <f t="shared" si="0"/>
        <v/>
      </c>
      <c r="G4108" s="1" t="e">
        <f>IF(VALUE(F4108) = VALUE(RIGHT(Insights!$C$3, 4)), E4108, "")</f>
        <v>#VALUE!</v>
      </c>
      <c r="H4108" s="26" t="e">
        <f t="shared" si="1"/>
        <v>#VALUE!</v>
      </c>
      <c r="I4108" s="1" t="e">
        <f t="shared" si="2"/>
        <v>#VALUE!</v>
      </c>
    </row>
    <row r="4109" spans="1:9" ht="15.75" customHeight="1">
      <c r="A4109" s="26"/>
      <c r="B4109" s="2"/>
      <c r="C4109" s="26"/>
      <c r="D4109" s="26"/>
      <c r="F4109" s="85" t="str">
        <f t="shared" si="0"/>
        <v/>
      </c>
      <c r="G4109" s="1" t="e">
        <f>IF(VALUE(F4109) = VALUE(RIGHT(Insights!$C$3, 4)), E4109, "")</f>
        <v>#VALUE!</v>
      </c>
      <c r="H4109" s="26" t="e">
        <f t="shared" si="1"/>
        <v>#VALUE!</v>
      </c>
      <c r="I4109" s="1" t="e">
        <f t="shared" si="2"/>
        <v>#VALUE!</v>
      </c>
    </row>
    <row r="4110" spans="1:9" ht="15.75" customHeight="1">
      <c r="A4110" s="26"/>
      <c r="B4110" s="2"/>
      <c r="C4110" s="26"/>
      <c r="D4110" s="26"/>
      <c r="F4110" s="85" t="str">
        <f t="shared" si="0"/>
        <v/>
      </c>
      <c r="G4110" s="1" t="e">
        <f>IF(VALUE(F4110) = VALUE(RIGHT(Insights!$C$3, 4)), E4110, "")</f>
        <v>#VALUE!</v>
      </c>
      <c r="H4110" s="26" t="e">
        <f t="shared" si="1"/>
        <v>#VALUE!</v>
      </c>
      <c r="I4110" s="1" t="e">
        <f t="shared" si="2"/>
        <v>#VALUE!</v>
      </c>
    </row>
    <row r="4111" spans="1:9" ht="15.75" customHeight="1">
      <c r="A4111" s="26"/>
      <c r="B4111" s="2"/>
      <c r="C4111" s="26"/>
      <c r="D4111" s="26"/>
      <c r="F4111" s="85" t="str">
        <f t="shared" si="0"/>
        <v/>
      </c>
      <c r="G4111" s="1" t="e">
        <f>IF(VALUE(F4111) = VALUE(RIGHT(Insights!$C$3, 4)), E4111, "")</f>
        <v>#VALUE!</v>
      </c>
      <c r="H4111" s="26" t="e">
        <f t="shared" si="1"/>
        <v>#VALUE!</v>
      </c>
      <c r="I4111" s="1" t="e">
        <f t="shared" si="2"/>
        <v>#VALUE!</v>
      </c>
    </row>
    <row r="4112" spans="1:9" ht="15.75" customHeight="1">
      <c r="A4112" s="26"/>
      <c r="B4112" s="2"/>
      <c r="C4112" s="26"/>
      <c r="D4112" s="26"/>
      <c r="F4112" s="85" t="str">
        <f t="shared" si="0"/>
        <v/>
      </c>
      <c r="G4112" s="1" t="e">
        <f>IF(VALUE(F4112) = VALUE(RIGHT(Insights!$C$3, 4)), E4112, "")</f>
        <v>#VALUE!</v>
      </c>
      <c r="H4112" s="26" t="e">
        <f t="shared" si="1"/>
        <v>#VALUE!</v>
      </c>
      <c r="I4112" s="1" t="e">
        <f t="shared" si="2"/>
        <v>#VALUE!</v>
      </c>
    </row>
    <row r="4113" spans="1:9" ht="15.75" customHeight="1">
      <c r="A4113" s="26"/>
      <c r="B4113" s="2"/>
      <c r="C4113" s="26"/>
      <c r="D4113" s="26"/>
      <c r="F4113" s="85" t="str">
        <f t="shared" si="0"/>
        <v/>
      </c>
      <c r="G4113" s="1" t="e">
        <f>IF(VALUE(F4113) = VALUE(RIGHT(Insights!$C$3, 4)), E4113, "")</f>
        <v>#VALUE!</v>
      </c>
      <c r="H4113" s="26" t="e">
        <f t="shared" si="1"/>
        <v>#VALUE!</v>
      </c>
      <c r="I4113" s="1" t="e">
        <f t="shared" si="2"/>
        <v>#VALUE!</v>
      </c>
    </row>
    <row r="4114" spans="1:9" ht="15.75" customHeight="1">
      <c r="A4114" s="26"/>
      <c r="B4114" s="2"/>
      <c r="C4114" s="26"/>
      <c r="D4114" s="26"/>
      <c r="F4114" s="85" t="str">
        <f t="shared" si="0"/>
        <v/>
      </c>
      <c r="G4114" s="1" t="e">
        <f>IF(VALUE(F4114) = VALUE(RIGHT(Insights!$C$3, 4)), E4114, "")</f>
        <v>#VALUE!</v>
      </c>
      <c r="H4114" s="26" t="e">
        <f t="shared" si="1"/>
        <v>#VALUE!</v>
      </c>
      <c r="I4114" s="1" t="e">
        <f t="shared" si="2"/>
        <v>#VALUE!</v>
      </c>
    </row>
    <row r="4115" spans="1:9" ht="15.75" customHeight="1">
      <c r="A4115" s="26"/>
      <c r="B4115" s="2"/>
      <c r="C4115" s="26"/>
      <c r="D4115" s="26"/>
      <c r="F4115" s="85" t="str">
        <f t="shared" si="0"/>
        <v/>
      </c>
      <c r="G4115" s="1" t="e">
        <f>IF(VALUE(F4115) = VALUE(RIGHT(Insights!$C$3, 4)), E4115, "")</f>
        <v>#VALUE!</v>
      </c>
      <c r="H4115" s="26" t="e">
        <f t="shared" si="1"/>
        <v>#VALUE!</v>
      </c>
      <c r="I4115" s="1" t="e">
        <f t="shared" si="2"/>
        <v>#VALUE!</v>
      </c>
    </row>
    <row r="4116" spans="1:9" ht="15.75" customHeight="1">
      <c r="A4116" s="26"/>
      <c r="B4116" s="2"/>
      <c r="C4116" s="26"/>
      <c r="D4116" s="26"/>
      <c r="F4116" s="85" t="str">
        <f t="shared" si="0"/>
        <v/>
      </c>
      <c r="G4116" s="1" t="e">
        <f>IF(VALUE(F4116) = VALUE(RIGHT(Insights!$C$3, 4)), E4116, "")</f>
        <v>#VALUE!</v>
      </c>
      <c r="H4116" s="26" t="e">
        <f t="shared" si="1"/>
        <v>#VALUE!</v>
      </c>
      <c r="I4116" s="1" t="e">
        <f t="shared" si="2"/>
        <v>#VALUE!</v>
      </c>
    </row>
    <row r="4117" spans="1:9" ht="15.75" customHeight="1">
      <c r="A4117" s="26"/>
      <c r="B4117" s="2"/>
      <c r="C4117" s="26"/>
      <c r="D4117" s="26"/>
      <c r="F4117" s="85" t="str">
        <f t="shared" si="0"/>
        <v/>
      </c>
      <c r="G4117" s="1" t="e">
        <f>IF(VALUE(F4117) = VALUE(RIGHT(Insights!$C$3, 4)), E4117, "")</f>
        <v>#VALUE!</v>
      </c>
      <c r="H4117" s="26" t="e">
        <f t="shared" si="1"/>
        <v>#VALUE!</v>
      </c>
      <c r="I4117" s="1" t="e">
        <f t="shared" si="2"/>
        <v>#VALUE!</v>
      </c>
    </row>
    <row r="4118" spans="1:9" ht="15.75" customHeight="1">
      <c r="A4118" s="26"/>
      <c r="B4118" s="2"/>
      <c r="C4118" s="26"/>
      <c r="D4118" s="26"/>
      <c r="F4118" s="85" t="str">
        <f t="shared" si="0"/>
        <v/>
      </c>
      <c r="G4118" s="1" t="e">
        <f>IF(VALUE(F4118) = VALUE(RIGHT(Insights!$C$3, 4)), E4118, "")</f>
        <v>#VALUE!</v>
      </c>
      <c r="H4118" s="26" t="e">
        <f t="shared" si="1"/>
        <v>#VALUE!</v>
      </c>
      <c r="I4118" s="1" t="e">
        <f t="shared" si="2"/>
        <v>#VALUE!</v>
      </c>
    </row>
    <row r="4119" spans="1:9" ht="15.75" customHeight="1">
      <c r="A4119" s="26"/>
      <c r="B4119" s="2"/>
      <c r="C4119" s="26"/>
      <c r="D4119" s="26"/>
      <c r="F4119" s="85" t="str">
        <f t="shared" si="0"/>
        <v/>
      </c>
      <c r="G4119" s="1" t="e">
        <f>IF(VALUE(F4119) = VALUE(RIGHT(Insights!$C$3, 4)), E4119, "")</f>
        <v>#VALUE!</v>
      </c>
      <c r="H4119" s="26" t="e">
        <f t="shared" si="1"/>
        <v>#VALUE!</v>
      </c>
      <c r="I4119" s="1" t="e">
        <f t="shared" si="2"/>
        <v>#VALUE!</v>
      </c>
    </row>
    <row r="4120" spans="1:9" ht="15.75" customHeight="1">
      <c r="A4120" s="26"/>
      <c r="B4120" s="2"/>
      <c r="C4120" s="26"/>
      <c r="D4120" s="26"/>
      <c r="F4120" s="85" t="str">
        <f t="shared" si="0"/>
        <v/>
      </c>
      <c r="G4120" s="1" t="e">
        <f>IF(VALUE(F4120) = VALUE(RIGHT(Insights!$C$3, 4)), E4120, "")</f>
        <v>#VALUE!</v>
      </c>
      <c r="H4120" s="26" t="e">
        <f t="shared" si="1"/>
        <v>#VALUE!</v>
      </c>
      <c r="I4120" s="1" t="e">
        <f t="shared" si="2"/>
        <v>#VALUE!</v>
      </c>
    </row>
    <row r="4121" spans="1:9" ht="15.75" customHeight="1">
      <c r="A4121" s="26"/>
      <c r="B4121" s="2"/>
      <c r="C4121" s="26"/>
      <c r="D4121" s="26"/>
      <c r="F4121" s="85" t="str">
        <f t="shared" si="0"/>
        <v/>
      </c>
      <c r="G4121" s="1" t="e">
        <f>IF(VALUE(F4121) = VALUE(RIGHT(Insights!$C$3, 4)), E4121, "")</f>
        <v>#VALUE!</v>
      </c>
      <c r="H4121" s="26" t="e">
        <f t="shared" si="1"/>
        <v>#VALUE!</v>
      </c>
      <c r="I4121" s="1" t="e">
        <f t="shared" si="2"/>
        <v>#VALUE!</v>
      </c>
    </row>
    <row r="4122" spans="1:9" ht="15.75" customHeight="1">
      <c r="A4122" s="26"/>
      <c r="B4122" s="2"/>
      <c r="C4122" s="26"/>
      <c r="D4122" s="26"/>
      <c r="F4122" s="85" t="str">
        <f t="shared" si="0"/>
        <v/>
      </c>
      <c r="G4122" s="1" t="e">
        <f>IF(VALUE(F4122) = VALUE(RIGHT(Insights!$C$3, 4)), E4122, "")</f>
        <v>#VALUE!</v>
      </c>
      <c r="H4122" s="26" t="e">
        <f t="shared" si="1"/>
        <v>#VALUE!</v>
      </c>
      <c r="I4122" s="1" t="e">
        <f t="shared" si="2"/>
        <v>#VALUE!</v>
      </c>
    </row>
    <row r="4123" spans="1:9" ht="15.75" customHeight="1">
      <c r="A4123" s="26"/>
      <c r="B4123" s="2"/>
      <c r="C4123" s="26"/>
      <c r="D4123" s="26"/>
      <c r="F4123" s="85" t="str">
        <f t="shared" si="0"/>
        <v/>
      </c>
      <c r="G4123" s="1" t="e">
        <f>IF(VALUE(F4123) = VALUE(RIGHT(Insights!$C$3, 4)), E4123, "")</f>
        <v>#VALUE!</v>
      </c>
      <c r="H4123" s="26" t="e">
        <f t="shared" si="1"/>
        <v>#VALUE!</v>
      </c>
      <c r="I4123" s="1" t="e">
        <f t="shared" si="2"/>
        <v>#VALUE!</v>
      </c>
    </row>
    <row r="4124" spans="1:9" ht="15.75" customHeight="1">
      <c r="A4124" s="26"/>
      <c r="B4124" s="2"/>
      <c r="C4124" s="26"/>
      <c r="D4124" s="26"/>
      <c r="F4124" s="85" t="str">
        <f t="shared" si="0"/>
        <v/>
      </c>
      <c r="G4124" s="1" t="e">
        <f>IF(VALUE(F4124) = VALUE(RIGHT(Insights!$C$3, 4)), E4124, "")</f>
        <v>#VALUE!</v>
      </c>
      <c r="H4124" s="26" t="e">
        <f t="shared" si="1"/>
        <v>#VALUE!</v>
      </c>
      <c r="I4124" s="1" t="e">
        <f t="shared" si="2"/>
        <v>#VALUE!</v>
      </c>
    </row>
    <row r="4125" spans="1:9" ht="15.75" customHeight="1">
      <c r="A4125" s="26"/>
      <c r="B4125" s="2"/>
      <c r="C4125" s="26"/>
      <c r="D4125" s="26"/>
      <c r="F4125" s="85" t="str">
        <f t="shared" si="0"/>
        <v/>
      </c>
      <c r="G4125" s="1" t="e">
        <f>IF(VALUE(F4125) = VALUE(RIGHT(Insights!$C$3, 4)), E4125, "")</f>
        <v>#VALUE!</v>
      </c>
      <c r="H4125" s="26" t="e">
        <f t="shared" si="1"/>
        <v>#VALUE!</v>
      </c>
      <c r="I4125" s="1" t="e">
        <f t="shared" si="2"/>
        <v>#VALUE!</v>
      </c>
    </row>
    <row r="4126" spans="1:9" ht="15.75" customHeight="1">
      <c r="A4126" s="26"/>
      <c r="B4126" s="2"/>
      <c r="C4126" s="26"/>
      <c r="D4126" s="26"/>
      <c r="F4126" s="85" t="str">
        <f t="shared" si="0"/>
        <v/>
      </c>
      <c r="G4126" s="1" t="e">
        <f>IF(VALUE(F4126) = VALUE(RIGHT(Insights!$C$3, 4)), E4126, "")</f>
        <v>#VALUE!</v>
      </c>
      <c r="H4126" s="26" t="e">
        <f t="shared" si="1"/>
        <v>#VALUE!</v>
      </c>
      <c r="I4126" s="1" t="e">
        <f t="shared" si="2"/>
        <v>#VALUE!</v>
      </c>
    </row>
    <row r="4127" spans="1:9" ht="15.75" customHeight="1">
      <c r="A4127" s="26"/>
      <c r="B4127" s="2"/>
      <c r="C4127" s="26"/>
      <c r="D4127" s="26"/>
      <c r="F4127" s="85" t="str">
        <f t="shared" si="0"/>
        <v/>
      </c>
      <c r="G4127" s="1" t="e">
        <f>IF(VALUE(F4127) = VALUE(RIGHT(Insights!$C$3, 4)), E4127, "")</f>
        <v>#VALUE!</v>
      </c>
      <c r="H4127" s="26" t="e">
        <f t="shared" si="1"/>
        <v>#VALUE!</v>
      </c>
      <c r="I4127" s="1" t="e">
        <f t="shared" si="2"/>
        <v>#VALUE!</v>
      </c>
    </row>
    <row r="4128" spans="1:9" ht="15.75" customHeight="1">
      <c r="A4128" s="26"/>
      <c r="B4128" s="2"/>
      <c r="C4128" s="26"/>
      <c r="D4128" s="26"/>
      <c r="F4128" s="85" t="str">
        <f t="shared" si="0"/>
        <v/>
      </c>
      <c r="G4128" s="1" t="e">
        <f>IF(VALUE(F4128) = VALUE(RIGHT(Insights!$C$3, 4)), E4128, "")</f>
        <v>#VALUE!</v>
      </c>
      <c r="H4128" s="26" t="e">
        <f t="shared" si="1"/>
        <v>#VALUE!</v>
      </c>
      <c r="I4128" s="1" t="e">
        <f t="shared" si="2"/>
        <v>#VALUE!</v>
      </c>
    </row>
    <row r="4129" spans="1:9" ht="15.75" customHeight="1">
      <c r="A4129" s="26"/>
      <c r="B4129" s="2"/>
      <c r="C4129" s="26"/>
      <c r="D4129" s="26"/>
      <c r="F4129" s="85" t="str">
        <f t="shared" si="0"/>
        <v/>
      </c>
      <c r="G4129" s="1" t="e">
        <f>IF(VALUE(F4129) = VALUE(RIGHT(Insights!$C$3, 4)), E4129, "")</f>
        <v>#VALUE!</v>
      </c>
      <c r="H4129" s="26" t="e">
        <f t="shared" si="1"/>
        <v>#VALUE!</v>
      </c>
      <c r="I4129" s="1" t="e">
        <f t="shared" si="2"/>
        <v>#VALUE!</v>
      </c>
    </row>
    <row r="4130" spans="1:9" ht="15.75" customHeight="1">
      <c r="A4130" s="26"/>
      <c r="B4130" s="2"/>
      <c r="C4130" s="26"/>
      <c r="D4130" s="26"/>
      <c r="F4130" s="85" t="str">
        <f t="shared" si="0"/>
        <v/>
      </c>
      <c r="G4130" s="1" t="e">
        <f>IF(VALUE(F4130) = VALUE(RIGHT(Insights!$C$3, 4)), E4130, "")</f>
        <v>#VALUE!</v>
      </c>
      <c r="H4130" s="26" t="e">
        <f t="shared" si="1"/>
        <v>#VALUE!</v>
      </c>
      <c r="I4130" s="1" t="e">
        <f t="shared" si="2"/>
        <v>#VALUE!</v>
      </c>
    </row>
    <row r="4131" spans="1:9" ht="15.75" customHeight="1">
      <c r="A4131" s="26"/>
      <c r="B4131" s="2"/>
      <c r="C4131" s="26"/>
      <c r="D4131" s="26"/>
      <c r="F4131" s="85" t="str">
        <f t="shared" si="0"/>
        <v/>
      </c>
      <c r="G4131" s="1" t="e">
        <f>IF(VALUE(F4131) = VALUE(RIGHT(Insights!$C$3, 4)), E4131, "")</f>
        <v>#VALUE!</v>
      </c>
      <c r="H4131" s="26" t="e">
        <f t="shared" si="1"/>
        <v>#VALUE!</v>
      </c>
      <c r="I4131" s="1" t="e">
        <f t="shared" si="2"/>
        <v>#VALUE!</v>
      </c>
    </row>
    <row r="4132" spans="1:9" ht="15.75" customHeight="1">
      <c r="A4132" s="26"/>
      <c r="B4132" s="2"/>
      <c r="C4132" s="26"/>
      <c r="D4132" s="26"/>
      <c r="F4132" s="85" t="str">
        <f t="shared" si="0"/>
        <v/>
      </c>
      <c r="G4132" s="1" t="e">
        <f>IF(VALUE(F4132) = VALUE(RIGHT(Insights!$C$3, 4)), E4132, "")</f>
        <v>#VALUE!</v>
      </c>
      <c r="H4132" s="26" t="e">
        <f t="shared" si="1"/>
        <v>#VALUE!</v>
      </c>
      <c r="I4132" s="1" t="e">
        <f t="shared" si="2"/>
        <v>#VALUE!</v>
      </c>
    </row>
    <row r="4133" spans="1:9" ht="15.75" customHeight="1">
      <c r="A4133" s="26"/>
      <c r="B4133" s="2"/>
      <c r="C4133" s="26"/>
      <c r="D4133" s="26"/>
      <c r="F4133" s="85" t="str">
        <f t="shared" si="0"/>
        <v/>
      </c>
      <c r="G4133" s="1" t="e">
        <f>IF(VALUE(F4133) = VALUE(RIGHT(Insights!$C$3, 4)), E4133, "")</f>
        <v>#VALUE!</v>
      </c>
      <c r="H4133" s="26" t="e">
        <f t="shared" si="1"/>
        <v>#VALUE!</v>
      </c>
      <c r="I4133" s="1" t="e">
        <f t="shared" si="2"/>
        <v>#VALUE!</v>
      </c>
    </row>
    <row r="4134" spans="1:9" ht="15.75" customHeight="1">
      <c r="A4134" s="26"/>
      <c r="B4134" s="2"/>
      <c r="C4134" s="26"/>
      <c r="D4134" s="26"/>
      <c r="F4134" s="85" t="str">
        <f t="shared" si="0"/>
        <v/>
      </c>
      <c r="G4134" s="1" t="e">
        <f>IF(VALUE(F4134) = VALUE(RIGHT(Insights!$C$3, 4)), E4134, "")</f>
        <v>#VALUE!</v>
      </c>
      <c r="H4134" s="26" t="e">
        <f t="shared" si="1"/>
        <v>#VALUE!</v>
      </c>
      <c r="I4134" s="1" t="e">
        <f t="shared" si="2"/>
        <v>#VALUE!</v>
      </c>
    </row>
    <row r="4135" spans="1:9" ht="15.75" customHeight="1">
      <c r="A4135" s="26"/>
      <c r="B4135" s="2"/>
      <c r="C4135" s="26"/>
      <c r="D4135" s="26"/>
      <c r="F4135" s="85" t="str">
        <f t="shared" si="0"/>
        <v/>
      </c>
      <c r="G4135" s="1" t="e">
        <f>IF(VALUE(F4135) = VALUE(RIGHT(Insights!$C$3, 4)), E4135, "")</f>
        <v>#VALUE!</v>
      </c>
      <c r="H4135" s="26" t="e">
        <f t="shared" si="1"/>
        <v>#VALUE!</v>
      </c>
      <c r="I4135" s="1" t="e">
        <f t="shared" si="2"/>
        <v>#VALUE!</v>
      </c>
    </row>
    <row r="4136" spans="1:9" ht="15.75" customHeight="1">
      <c r="A4136" s="26"/>
      <c r="B4136" s="2"/>
      <c r="C4136" s="26"/>
      <c r="D4136" s="26"/>
      <c r="F4136" s="85" t="str">
        <f t="shared" si="0"/>
        <v/>
      </c>
      <c r="G4136" s="1" t="e">
        <f>IF(VALUE(F4136) = VALUE(RIGHT(Insights!$C$3, 4)), E4136, "")</f>
        <v>#VALUE!</v>
      </c>
      <c r="H4136" s="26" t="e">
        <f t="shared" si="1"/>
        <v>#VALUE!</v>
      </c>
      <c r="I4136" s="1" t="e">
        <f t="shared" si="2"/>
        <v>#VALUE!</v>
      </c>
    </row>
    <row r="4137" spans="1:9" ht="15.75" customHeight="1">
      <c r="A4137" s="26"/>
      <c r="B4137" s="2"/>
      <c r="C4137" s="26"/>
      <c r="D4137" s="26"/>
      <c r="F4137" s="85" t="str">
        <f t="shared" si="0"/>
        <v/>
      </c>
      <c r="G4137" s="1" t="e">
        <f>IF(VALUE(F4137) = VALUE(RIGHT(Insights!$C$3, 4)), E4137, "")</f>
        <v>#VALUE!</v>
      </c>
      <c r="H4137" s="26" t="e">
        <f t="shared" si="1"/>
        <v>#VALUE!</v>
      </c>
      <c r="I4137" s="1" t="e">
        <f t="shared" si="2"/>
        <v>#VALUE!</v>
      </c>
    </row>
    <row r="4138" spans="1:9" ht="15.75" customHeight="1">
      <c r="A4138" s="26"/>
      <c r="B4138" s="2"/>
      <c r="C4138" s="26"/>
      <c r="D4138" s="26"/>
      <c r="F4138" s="85" t="str">
        <f t="shared" si="0"/>
        <v/>
      </c>
      <c r="G4138" s="1" t="e">
        <f>IF(VALUE(F4138) = VALUE(RIGHT(Insights!$C$3, 4)), E4138, "")</f>
        <v>#VALUE!</v>
      </c>
      <c r="H4138" s="26" t="e">
        <f t="shared" si="1"/>
        <v>#VALUE!</v>
      </c>
      <c r="I4138" s="1" t="e">
        <f t="shared" si="2"/>
        <v>#VALUE!</v>
      </c>
    </row>
    <row r="4139" spans="1:9" ht="15.75" customHeight="1">
      <c r="A4139" s="26"/>
      <c r="B4139" s="2"/>
      <c r="C4139" s="26"/>
      <c r="D4139" s="26"/>
      <c r="F4139" s="85" t="str">
        <f t="shared" si="0"/>
        <v/>
      </c>
      <c r="G4139" s="1" t="e">
        <f>IF(VALUE(F4139) = VALUE(RIGHT(Insights!$C$3, 4)), E4139, "")</f>
        <v>#VALUE!</v>
      </c>
      <c r="H4139" s="26" t="e">
        <f t="shared" si="1"/>
        <v>#VALUE!</v>
      </c>
      <c r="I4139" s="1" t="e">
        <f t="shared" si="2"/>
        <v>#VALUE!</v>
      </c>
    </row>
    <row r="4140" spans="1:9" ht="15.75" customHeight="1">
      <c r="A4140" s="26"/>
      <c r="B4140" s="2"/>
      <c r="C4140" s="26"/>
      <c r="D4140" s="26"/>
      <c r="F4140" s="85" t="str">
        <f t="shared" si="0"/>
        <v/>
      </c>
      <c r="G4140" s="1" t="e">
        <f>IF(VALUE(F4140) = VALUE(RIGHT(Insights!$C$3, 4)), E4140, "")</f>
        <v>#VALUE!</v>
      </c>
      <c r="H4140" s="26" t="e">
        <f t="shared" si="1"/>
        <v>#VALUE!</v>
      </c>
      <c r="I4140" s="1" t="e">
        <f t="shared" si="2"/>
        <v>#VALUE!</v>
      </c>
    </row>
    <row r="4141" spans="1:9" ht="15.75" customHeight="1">
      <c r="A4141" s="26"/>
      <c r="B4141" s="2"/>
      <c r="C4141" s="26"/>
      <c r="D4141" s="26"/>
      <c r="F4141" s="85" t="str">
        <f t="shared" si="0"/>
        <v/>
      </c>
      <c r="G4141" s="1" t="e">
        <f>IF(VALUE(F4141) = VALUE(RIGHT(Insights!$C$3, 4)), E4141, "")</f>
        <v>#VALUE!</v>
      </c>
      <c r="H4141" s="26" t="e">
        <f t="shared" si="1"/>
        <v>#VALUE!</v>
      </c>
      <c r="I4141" s="1" t="e">
        <f t="shared" si="2"/>
        <v>#VALUE!</v>
      </c>
    </row>
    <row r="4142" spans="1:9" ht="15.75" customHeight="1">
      <c r="A4142" s="26"/>
      <c r="B4142" s="2"/>
      <c r="C4142" s="26"/>
      <c r="D4142" s="26"/>
      <c r="F4142" s="85" t="str">
        <f t="shared" si="0"/>
        <v/>
      </c>
      <c r="G4142" s="1" t="e">
        <f>IF(VALUE(F4142) = VALUE(RIGHT(Insights!$C$3, 4)), E4142, "")</f>
        <v>#VALUE!</v>
      </c>
      <c r="H4142" s="26" t="e">
        <f t="shared" si="1"/>
        <v>#VALUE!</v>
      </c>
      <c r="I4142" s="1" t="e">
        <f t="shared" si="2"/>
        <v>#VALUE!</v>
      </c>
    </row>
    <row r="4143" spans="1:9" ht="15.75" customHeight="1">
      <c r="A4143" s="26"/>
      <c r="B4143" s="2"/>
      <c r="C4143" s="26"/>
      <c r="D4143" s="26"/>
      <c r="F4143" s="85" t="str">
        <f t="shared" si="0"/>
        <v/>
      </c>
      <c r="G4143" s="1" t="e">
        <f>IF(VALUE(F4143) = VALUE(RIGHT(Insights!$C$3, 4)), E4143, "")</f>
        <v>#VALUE!</v>
      </c>
      <c r="H4143" s="26" t="e">
        <f t="shared" si="1"/>
        <v>#VALUE!</v>
      </c>
      <c r="I4143" s="1" t="e">
        <f t="shared" si="2"/>
        <v>#VALUE!</v>
      </c>
    </row>
    <row r="4144" spans="1:9" ht="15.75" customHeight="1">
      <c r="A4144" s="26"/>
      <c r="B4144" s="2"/>
      <c r="C4144" s="26"/>
      <c r="D4144" s="26"/>
      <c r="F4144" s="85" t="str">
        <f t="shared" si="0"/>
        <v/>
      </c>
      <c r="G4144" s="1" t="e">
        <f>IF(VALUE(F4144) = VALUE(RIGHT(Insights!$C$3, 4)), E4144, "")</f>
        <v>#VALUE!</v>
      </c>
      <c r="H4144" s="26" t="e">
        <f t="shared" si="1"/>
        <v>#VALUE!</v>
      </c>
      <c r="I4144" s="1" t="e">
        <f t="shared" si="2"/>
        <v>#VALUE!</v>
      </c>
    </row>
    <row r="4145" spans="1:9" ht="15.75" customHeight="1">
      <c r="A4145" s="26"/>
      <c r="B4145" s="2"/>
      <c r="C4145" s="26"/>
      <c r="D4145" s="26"/>
      <c r="F4145" s="85" t="str">
        <f t="shared" si="0"/>
        <v/>
      </c>
      <c r="G4145" s="1" t="e">
        <f>IF(VALUE(F4145) = VALUE(RIGHT(Insights!$C$3, 4)), E4145, "")</f>
        <v>#VALUE!</v>
      </c>
      <c r="H4145" s="26" t="e">
        <f t="shared" si="1"/>
        <v>#VALUE!</v>
      </c>
      <c r="I4145" s="1" t="e">
        <f t="shared" si="2"/>
        <v>#VALUE!</v>
      </c>
    </row>
    <row r="4146" spans="1:9" ht="15.75" customHeight="1">
      <c r="A4146" s="26"/>
      <c r="B4146" s="2"/>
      <c r="C4146" s="26"/>
      <c r="D4146" s="26"/>
      <c r="F4146" s="85" t="str">
        <f t="shared" si="0"/>
        <v/>
      </c>
      <c r="G4146" s="1" t="e">
        <f>IF(VALUE(F4146) = VALUE(RIGHT(Insights!$C$3, 4)), E4146, "")</f>
        <v>#VALUE!</v>
      </c>
      <c r="H4146" s="26" t="e">
        <f t="shared" si="1"/>
        <v>#VALUE!</v>
      </c>
      <c r="I4146" s="1" t="e">
        <f t="shared" si="2"/>
        <v>#VALUE!</v>
      </c>
    </row>
    <row r="4147" spans="1:9" ht="15.75" customHeight="1">
      <c r="A4147" s="26"/>
      <c r="B4147" s="2"/>
      <c r="C4147" s="26"/>
      <c r="D4147" s="26"/>
      <c r="F4147" s="85" t="str">
        <f t="shared" si="0"/>
        <v/>
      </c>
      <c r="G4147" s="1" t="e">
        <f>IF(VALUE(F4147) = VALUE(RIGHT(Insights!$C$3, 4)), E4147, "")</f>
        <v>#VALUE!</v>
      </c>
      <c r="H4147" s="26" t="e">
        <f t="shared" si="1"/>
        <v>#VALUE!</v>
      </c>
      <c r="I4147" s="1" t="e">
        <f t="shared" si="2"/>
        <v>#VALUE!</v>
      </c>
    </row>
    <row r="4148" spans="1:9" ht="15.75" customHeight="1">
      <c r="A4148" s="26"/>
      <c r="B4148" s="2"/>
      <c r="C4148" s="26"/>
      <c r="D4148" s="26"/>
      <c r="F4148" s="85" t="str">
        <f t="shared" si="0"/>
        <v/>
      </c>
      <c r="G4148" s="1" t="e">
        <f>IF(VALUE(F4148) = VALUE(RIGHT(Insights!$C$3, 4)), E4148, "")</f>
        <v>#VALUE!</v>
      </c>
      <c r="H4148" s="26" t="e">
        <f t="shared" si="1"/>
        <v>#VALUE!</v>
      </c>
      <c r="I4148" s="1" t="e">
        <f t="shared" si="2"/>
        <v>#VALUE!</v>
      </c>
    </row>
    <row r="4149" spans="1:9" ht="15.75" customHeight="1">
      <c r="A4149" s="26"/>
      <c r="B4149" s="2"/>
      <c r="C4149" s="26"/>
      <c r="D4149" s="26"/>
      <c r="F4149" s="85" t="str">
        <f t="shared" si="0"/>
        <v/>
      </c>
      <c r="G4149" s="1" t="e">
        <f>IF(VALUE(F4149) = VALUE(RIGHT(Insights!$C$3, 4)), E4149, "")</f>
        <v>#VALUE!</v>
      </c>
      <c r="H4149" s="26" t="e">
        <f t="shared" si="1"/>
        <v>#VALUE!</v>
      </c>
      <c r="I4149" s="1" t="e">
        <f t="shared" si="2"/>
        <v>#VALUE!</v>
      </c>
    </row>
    <row r="4150" spans="1:9" ht="15.75" customHeight="1">
      <c r="A4150" s="26"/>
      <c r="B4150" s="2"/>
      <c r="C4150" s="26"/>
      <c r="D4150" s="26"/>
      <c r="F4150" s="85" t="str">
        <f t="shared" si="0"/>
        <v/>
      </c>
      <c r="G4150" s="1" t="e">
        <f>IF(VALUE(F4150) = VALUE(RIGHT(Insights!$C$3, 4)), E4150, "")</f>
        <v>#VALUE!</v>
      </c>
      <c r="H4150" s="26" t="e">
        <f t="shared" si="1"/>
        <v>#VALUE!</v>
      </c>
      <c r="I4150" s="1" t="e">
        <f t="shared" si="2"/>
        <v>#VALUE!</v>
      </c>
    </row>
    <row r="4151" spans="1:9" ht="15.75" customHeight="1">
      <c r="A4151" s="26"/>
      <c r="B4151" s="2"/>
      <c r="C4151" s="26"/>
      <c r="D4151" s="26"/>
      <c r="F4151" s="85" t="str">
        <f t="shared" si="0"/>
        <v/>
      </c>
      <c r="G4151" s="1" t="e">
        <f>IF(VALUE(F4151) = VALUE(RIGHT(Insights!$C$3, 4)), E4151, "")</f>
        <v>#VALUE!</v>
      </c>
      <c r="H4151" s="26" t="e">
        <f t="shared" si="1"/>
        <v>#VALUE!</v>
      </c>
      <c r="I4151" s="1" t="e">
        <f t="shared" si="2"/>
        <v>#VALUE!</v>
      </c>
    </row>
    <row r="4152" spans="1:9" ht="15.75" customHeight="1">
      <c r="A4152" s="26"/>
      <c r="B4152" s="2"/>
      <c r="C4152" s="26"/>
      <c r="D4152" s="26"/>
      <c r="F4152" s="85" t="str">
        <f t="shared" si="0"/>
        <v/>
      </c>
      <c r="G4152" s="1" t="e">
        <f>IF(VALUE(F4152) = VALUE(RIGHT(Insights!$C$3, 4)), E4152, "")</f>
        <v>#VALUE!</v>
      </c>
      <c r="H4152" s="26" t="e">
        <f t="shared" si="1"/>
        <v>#VALUE!</v>
      </c>
      <c r="I4152" s="1" t="e">
        <f t="shared" si="2"/>
        <v>#VALUE!</v>
      </c>
    </row>
    <row r="4153" spans="1:9" ht="15.75" customHeight="1">
      <c r="A4153" s="26"/>
      <c r="B4153" s="2"/>
      <c r="C4153" s="26"/>
      <c r="D4153" s="26"/>
      <c r="F4153" s="85" t="str">
        <f t="shared" si="0"/>
        <v/>
      </c>
      <c r="G4153" s="1" t="e">
        <f>IF(VALUE(F4153) = VALUE(RIGHT(Insights!$C$3, 4)), E4153, "")</f>
        <v>#VALUE!</v>
      </c>
      <c r="H4153" s="26" t="e">
        <f t="shared" si="1"/>
        <v>#VALUE!</v>
      </c>
      <c r="I4153" s="1" t="e">
        <f t="shared" si="2"/>
        <v>#VALUE!</v>
      </c>
    </row>
    <row r="4154" spans="1:9" ht="15.75" customHeight="1">
      <c r="A4154" s="26"/>
      <c r="B4154" s="2"/>
      <c r="C4154" s="26"/>
      <c r="D4154" s="26"/>
      <c r="F4154" s="85" t="str">
        <f t="shared" si="0"/>
        <v/>
      </c>
      <c r="G4154" s="1" t="e">
        <f>IF(VALUE(F4154) = VALUE(RIGHT(Insights!$C$3, 4)), E4154, "")</f>
        <v>#VALUE!</v>
      </c>
      <c r="H4154" s="26" t="e">
        <f t="shared" si="1"/>
        <v>#VALUE!</v>
      </c>
      <c r="I4154" s="1" t="e">
        <f t="shared" si="2"/>
        <v>#VALUE!</v>
      </c>
    </row>
    <row r="4155" spans="1:9" ht="15.75" customHeight="1">
      <c r="A4155" s="26"/>
      <c r="B4155" s="2"/>
      <c r="C4155" s="26"/>
      <c r="D4155" s="26"/>
      <c r="F4155" s="85" t="str">
        <f t="shared" si="0"/>
        <v/>
      </c>
      <c r="G4155" s="1" t="e">
        <f>IF(VALUE(F4155) = VALUE(RIGHT(Insights!$C$3, 4)), E4155, "")</f>
        <v>#VALUE!</v>
      </c>
      <c r="H4155" s="26" t="e">
        <f t="shared" si="1"/>
        <v>#VALUE!</v>
      </c>
      <c r="I4155" s="1" t="e">
        <f t="shared" si="2"/>
        <v>#VALUE!</v>
      </c>
    </row>
    <row r="4156" spans="1:9" ht="15.75" customHeight="1">
      <c r="A4156" s="26"/>
      <c r="B4156" s="2"/>
      <c r="C4156" s="26"/>
      <c r="D4156" s="26"/>
      <c r="F4156" s="85" t="str">
        <f t="shared" si="0"/>
        <v/>
      </c>
      <c r="G4156" s="1" t="e">
        <f>IF(VALUE(F4156) = VALUE(RIGHT(Insights!$C$3, 4)), E4156, "")</f>
        <v>#VALUE!</v>
      </c>
      <c r="H4156" s="26" t="e">
        <f t="shared" si="1"/>
        <v>#VALUE!</v>
      </c>
      <c r="I4156" s="1" t="e">
        <f t="shared" si="2"/>
        <v>#VALUE!</v>
      </c>
    </row>
    <row r="4157" spans="1:9" ht="15.75" customHeight="1">
      <c r="A4157" s="26"/>
      <c r="B4157" s="2"/>
      <c r="C4157" s="26"/>
      <c r="D4157" s="26"/>
      <c r="F4157" s="85" t="str">
        <f t="shared" si="0"/>
        <v/>
      </c>
      <c r="G4157" s="1" t="e">
        <f>IF(VALUE(F4157) = VALUE(RIGHT(Insights!$C$3, 4)), E4157, "")</f>
        <v>#VALUE!</v>
      </c>
      <c r="H4157" s="26" t="e">
        <f t="shared" si="1"/>
        <v>#VALUE!</v>
      </c>
      <c r="I4157" s="1" t="e">
        <f t="shared" si="2"/>
        <v>#VALUE!</v>
      </c>
    </row>
    <row r="4158" spans="1:9" ht="15.75" customHeight="1">
      <c r="A4158" s="26"/>
      <c r="B4158" s="2"/>
      <c r="C4158" s="26"/>
      <c r="D4158" s="26"/>
      <c r="F4158" s="85" t="str">
        <f t="shared" si="0"/>
        <v/>
      </c>
      <c r="G4158" s="1" t="e">
        <f>IF(VALUE(F4158) = VALUE(RIGHT(Insights!$C$3, 4)), E4158, "")</f>
        <v>#VALUE!</v>
      </c>
      <c r="H4158" s="26" t="e">
        <f t="shared" si="1"/>
        <v>#VALUE!</v>
      </c>
      <c r="I4158" s="1" t="e">
        <f t="shared" si="2"/>
        <v>#VALUE!</v>
      </c>
    </row>
    <row r="4159" spans="1:9" ht="15.75" customHeight="1">
      <c r="A4159" s="26"/>
      <c r="B4159" s="2"/>
      <c r="C4159" s="26"/>
      <c r="D4159" s="26"/>
      <c r="F4159" s="85" t="str">
        <f t="shared" si="0"/>
        <v/>
      </c>
      <c r="G4159" s="1" t="e">
        <f>IF(VALUE(F4159) = VALUE(RIGHT(Insights!$C$3, 4)), E4159, "")</f>
        <v>#VALUE!</v>
      </c>
      <c r="H4159" s="26" t="e">
        <f t="shared" si="1"/>
        <v>#VALUE!</v>
      </c>
      <c r="I4159" s="1" t="e">
        <f t="shared" si="2"/>
        <v>#VALUE!</v>
      </c>
    </row>
    <row r="4160" spans="1:9" ht="15.75" customHeight="1">
      <c r="A4160" s="26"/>
      <c r="B4160" s="2"/>
      <c r="C4160" s="26"/>
      <c r="D4160" s="26"/>
      <c r="F4160" s="85" t="str">
        <f t="shared" si="0"/>
        <v/>
      </c>
      <c r="G4160" s="1" t="e">
        <f>IF(VALUE(F4160) = VALUE(RIGHT(Insights!$C$3, 4)), E4160, "")</f>
        <v>#VALUE!</v>
      </c>
      <c r="H4160" s="26" t="e">
        <f t="shared" si="1"/>
        <v>#VALUE!</v>
      </c>
      <c r="I4160" s="1" t="e">
        <f t="shared" si="2"/>
        <v>#VALUE!</v>
      </c>
    </row>
    <row r="4161" spans="1:9" ht="15.75" customHeight="1">
      <c r="A4161" s="26"/>
      <c r="B4161" s="2"/>
      <c r="C4161" s="26"/>
      <c r="D4161" s="26"/>
      <c r="F4161" s="85" t="str">
        <f t="shared" si="0"/>
        <v/>
      </c>
      <c r="G4161" s="1" t="e">
        <f>IF(VALUE(F4161) = VALUE(RIGHT(Insights!$C$3, 4)), E4161, "")</f>
        <v>#VALUE!</v>
      </c>
      <c r="H4161" s="26" t="e">
        <f t="shared" si="1"/>
        <v>#VALUE!</v>
      </c>
      <c r="I4161" s="1" t="e">
        <f t="shared" si="2"/>
        <v>#VALUE!</v>
      </c>
    </row>
    <row r="4162" spans="1:9" ht="15.75" customHeight="1">
      <c r="A4162" s="26"/>
      <c r="B4162" s="2"/>
      <c r="C4162" s="26"/>
      <c r="D4162" s="26"/>
      <c r="F4162" s="85" t="str">
        <f t="shared" si="0"/>
        <v/>
      </c>
      <c r="G4162" s="1" t="e">
        <f>IF(VALUE(F4162) = VALUE(RIGHT(Insights!$C$3, 4)), E4162, "")</f>
        <v>#VALUE!</v>
      </c>
      <c r="H4162" s="26" t="e">
        <f t="shared" si="1"/>
        <v>#VALUE!</v>
      </c>
      <c r="I4162" s="1" t="e">
        <f t="shared" si="2"/>
        <v>#VALUE!</v>
      </c>
    </row>
    <row r="4163" spans="1:9" ht="15.75" customHeight="1">
      <c r="A4163" s="26"/>
      <c r="B4163" s="2"/>
      <c r="C4163" s="26"/>
      <c r="D4163" s="26"/>
      <c r="F4163" s="85" t="str">
        <f t="shared" si="0"/>
        <v/>
      </c>
      <c r="G4163" s="1" t="e">
        <f>IF(VALUE(F4163) = VALUE(RIGHT(Insights!$C$3, 4)), E4163, "")</f>
        <v>#VALUE!</v>
      </c>
      <c r="H4163" s="26" t="e">
        <f t="shared" si="1"/>
        <v>#VALUE!</v>
      </c>
      <c r="I4163" s="1" t="e">
        <f t="shared" si="2"/>
        <v>#VALUE!</v>
      </c>
    </row>
    <row r="4164" spans="1:9" ht="15.75" customHeight="1">
      <c r="A4164" s="26"/>
      <c r="B4164" s="2"/>
      <c r="C4164" s="26"/>
      <c r="D4164" s="26"/>
      <c r="F4164" s="85" t="str">
        <f t="shared" si="0"/>
        <v/>
      </c>
      <c r="G4164" s="1" t="e">
        <f>IF(VALUE(F4164) = VALUE(RIGHT(Insights!$C$3, 4)), E4164, "")</f>
        <v>#VALUE!</v>
      </c>
      <c r="H4164" s="26" t="e">
        <f t="shared" si="1"/>
        <v>#VALUE!</v>
      </c>
      <c r="I4164" s="1" t="e">
        <f t="shared" si="2"/>
        <v>#VALUE!</v>
      </c>
    </row>
    <row r="4165" spans="1:9" ht="15.75" customHeight="1">
      <c r="A4165" s="26"/>
      <c r="B4165" s="2"/>
      <c r="C4165" s="26"/>
      <c r="D4165" s="26"/>
      <c r="F4165" s="85" t="str">
        <f t="shared" si="0"/>
        <v/>
      </c>
      <c r="G4165" s="1" t="e">
        <f>IF(VALUE(F4165) = VALUE(RIGHT(Insights!$C$3, 4)), E4165, "")</f>
        <v>#VALUE!</v>
      </c>
      <c r="H4165" s="26" t="e">
        <f t="shared" si="1"/>
        <v>#VALUE!</v>
      </c>
      <c r="I4165" s="1" t="e">
        <f t="shared" si="2"/>
        <v>#VALUE!</v>
      </c>
    </row>
    <row r="4166" spans="1:9" ht="15.75" customHeight="1">
      <c r="A4166" s="26"/>
      <c r="B4166" s="2"/>
      <c r="C4166" s="26"/>
      <c r="D4166" s="26"/>
      <c r="F4166" s="85" t="str">
        <f t="shared" si="0"/>
        <v/>
      </c>
      <c r="G4166" s="1" t="e">
        <f>IF(VALUE(F4166) = VALUE(RIGHT(Insights!$C$3, 4)), E4166, "")</f>
        <v>#VALUE!</v>
      </c>
      <c r="H4166" s="26" t="e">
        <f t="shared" si="1"/>
        <v>#VALUE!</v>
      </c>
      <c r="I4166" s="1" t="e">
        <f t="shared" si="2"/>
        <v>#VALUE!</v>
      </c>
    </row>
    <row r="4167" spans="1:9" ht="15.75" customHeight="1">
      <c r="A4167" s="26"/>
      <c r="B4167" s="2"/>
      <c r="C4167" s="26"/>
      <c r="D4167" s="26"/>
      <c r="F4167" s="85" t="str">
        <f t="shared" si="0"/>
        <v/>
      </c>
      <c r="G4167" s="1" t="e">
        <f>IF(VALUE(F4167) = VALUE(RIGHT(Insights!$C$3, 4)), E4167, "")</f>
        <v>#VALUE!</v>
      </c>
      <c r="H4167" s="26" t="e">
        <f t="shared" si="1"/>
        <v>#VALUE!</v>
      </c>
      <c r="I4167" s="1" t="e">
        <f t="shared" si="2"/>
        <v>#VALUE!</v>
      </c>
    </row>
    <row r="4168" spans="1:9" ht="15.75" customHeight="1">
      <c r="A4168" s="26"/>
      <c r="B4168" s="2"/>
      <c r="C4168" s="26"/>
      <c r="D4168" s="26"/>
      <c r="F4168" s="85" t="str">
        <f t="shared" si="0"/>
        <v/>
      </c>
      <c r="G4168" s="1" t="e">
        <f>IF(VALUE(F4168) = VALUE(RIGHT(Insights!$C$3, 4)), E4168, "")</f>
        <v>#VALUE!</v>
      </c>
      <c r="H4168" s="26" t="e">
        <f t="shared" si="1"/>
        <v>#VALUE!</v>
      </c>
      <c r="I4168" s="1" t="e">
        <f t="shared" si="2"/>
        <v>#VALUE!</v>
      </c>
    </row>
    <row r="4169" spans="1:9" ht="15.75" customHeight="1">
      <c r="A4169" s="26"/>
      <c r="B4169" s="2"/>
      <c r="C4169" s="26"/>
      <c r="D4169" s="26"/>
      <c r="F4169" s="85" t="str">
        <f t="shared" si="0"/>
        <v/>
      </c>
      <c r="G4169" s="1" t="e">
        <f>IF(VALUE(F4169) = VALUE(RIGHT(Insights!$C$3, 4)), E4169, "")</f>
        <v>#VALUE!</v>
      </c>
      <c r="H4169" s="26" t="e">
        <f t="shared" si="1"/>
        <v>#VALUE!</v>
      </c>
      <c r="I4169" s="1" t="e">
        <f t="shared" si="2"/>
        <v>#VALUE!</v>
      </c>
    </row>
    <row r="4170" spans="1:9" ht="15.75" customHeight="1">
      <c r="A4170" s="26"/>
      <c r="B4170" s="2"/>
      <c r="C4170" s="26"/>
      <c r="D4170" s="26"/>
      <c r="F4170" s="85" t="str">
        <f t="shared" si="0"/>
        <v/>
      </c>
      <c r="G4170" s="1" t="e">
        <f>IF(VALUE(F4170) = VALUE(RIGHT(Insights!$C$3, 4)), E4170, "")</f>
        <v>#VALUE!</v>
      </c>
      <c r="H4170" s="26" t="e">
        <f t="shared" si="1"/>
        <v>#VALUE!</v>
      </c>
      <c r="I4170" s="1" t="e">
        <f t="shared" si="2"/>
        <v>#VALUE!</v>
      </c>
    </row>
    <row r="4171" spans="1:9" ht="15.75" customHeight="1">
      <c r="A4171" s="26"/>
      <c r="B4171" s="2"/>
      <c r="C4171" s="26"/>
      <c r="D4171" s="26"/>
      <c r="F4171" s="85" t="str">
        <f t="shared" si="0"/>
        <v/>
      </c>
      <c r="G4171" s="1" t="e">
        <f>IF(VALUE(F4171) = VALUE(RIGHT(Insights!$C$3, 4)), E4171, "")</f>
        <v>#VALUE!</v>
      </c>
      <c r="H4171" s="26" t="e">
        <f t="shared" si="1"/>
        <v>#VALUE!</v>
      </c>
      <c r="I4171" s="1" t="e">
        <f t="shared" si="2"/>
        <v>#VALUE!</v>
      </c>
    </row>
    <row r="4172" spans="1:9" ht="15.75" customHeight="1">
      <c r="A4172" s="26"/>
      <c r="B4172" s="2"/>
      <c r="C4172" s="26"/>
      <c r="D4172" s="26"/>
      <c r="F4172" s="85" t="str">
        <f t="shared" si="0"/>
        <v/>
      </c>
      <c r="G4172" s="1" t="e">
        <f>IF(VALUE(F4172) = VALUE(RIGHT(Insights!$C$3, 4)), E4172, "")</f>
        <v>#VALUE!</v>
      </c>
      <c r="H4172" s="26" t="e">
        <f t="shared" si="1"/>
        <v>#VALUE!</v>
      </c>
      <c r="I4172" s="1" t="e">
        <f t="shared" si="2"/>
        <v>#VALUE!</v>
      </c>
    </row>
    <row r="4173" spans="1:9" ht="15.75" customHeight="1">
      <c r="A4173" s="26"/>
      <c r="B4173" s="2"/>
      <c r="C4173" s="26"/>
      <c r="D4173" s="26"/>
      <c r="F4173" s="85" t="str">
        <f t="shared" si="0"/>
        <v/>
      </c>
      <c r="G4173" s="1" t="e">
        <f>IF(VALUE(F4173) = VALUE(RIGHT(Insights!$C$3, 4)), E4173, "")</f>
        <v>#VALUE!</v>
      </c>
      <c r="H4173" s="26" t="e">
        <f t="shared" si="1"/>
        <v>#VALUE!</v>
      </c>
      <c r="I4173" s="1" t="e">
        <f t="shared" si="2"/>
        <v>#VALUE!</v>
      </c>
    </row>
    <row r="4174" spans="1:9" ht="15.75" customHeight="1">
      <c r="A4174" s="26"/>
      <c r="B4174" s="2"/>
      <c r="C4174" s="26"/>
      <c r="D4174" s="26"/>
      <c r="F4174" s="85" t="str">
        <f t="shared" si="0"/>
        <v/>
      </c>
      <c r="G4174" s="1" t="e">
        <f>IF(VALUE(F4174) = VALUE(RIGHT(Insights!$C$3, 4)), E4174, "")</f>
        <v>#VALUE!</v>
      </c>
      <c r="H4174" s="26" t="e">
        <f t="shared" si="1"/>
        <v>#VALUE!</v>
      </c>
      <c r="I4174" s="1" t="e">
        <f t="shared" si="2"/>
        <v>#VALUE!</v>
      </c>
    </row>
    <row r="4175" spans="1:9" ht="15.75" customHeight="1">
      <c r="A4175" s="26"/>
      <c r="B4175" s="2"/>
      <c r="C4175" s="26"/>
      <c r="D4175" s="26"/>
      <c r="F4175" s="85" t="str">
        <f t="shared" si="0"/>
        <v/>
      </c>
      <c r="G4175" s="1" t="e">
        <f>IF(VALUE(F4175) = VALUE(RIGHT(Insights!$C$3, 4)), E4175, "")</f>
        <v>#VALUE!</v>
      </c>
      <c r="H4175" s="26" t="e">
        <f t="shared" si="1"/>
        <v>#VALUE!</v>
      </c>
      <c r="I4175" s="1" t="e">
        <f t="shared" si="2"/>
        <v>#VALUE!</v>
      </c>
    </row>
    <row r="4176" spans="1:9" ht="15.75" customHeight="1">
      <c r="A4176" s="26"/>
      <c r="B4176" s="2"/>
      <c r="C4176" s="26"/>
      <c r="D4176" s="26"/>
      <c r="F4176" s="85" t="str">
        <f t="shared" si="0"/>
        <v/>
      </c>
      <c r="G4176" s="1" t="e">
        <f>IF(VALUE(F4176) = VALUE(RIGHT(Insights!$C$3, 4)), E4176, "")</f>
        <v>#VALUE!</v>
      </c>
      <c r="H4176" s="26" t="e">
        <f t="shared" si="1"/>
        <v>#VALUE!</v>
      </c>
      <c r="I4176" s="1" t="e">
        <f t="shared" si="2"/>
        <v>#VALUE!</v>
      </c>
    </row>
    <row r="4177" spans="1:9" ht="15.75" customHeight="1">
      <c r="A4177" s="26"/>
      <c r="B4177" s="2"/>
      <c r="C4177" s="26"/>
      <c r="D4177" s="26"/>
      <c r="F4177" s="85" t="str">
        <f t="shared" si="0"/>
        <v/>
      </c>
      <c r="G4177" s="1" t="e">
        <f>IF(VALUE(F4177) = VALUE(RIGHT(Insights!$C$3, 4)), E4177, "")</f>
        <v>#VALUE!</v>
      </c>
      <c r="H4177" s="26" t="e">
        <f t="shared" si="1"/>
        <v>#VALUE!</v>
      </c>
      <c r="I4177" s="1" t="e">
        <f t="shared" si="2"/>
        <v>#VALUE!</v>
      </c>
    </row>
    <row r="4178" spans="1:9" ht="15.75" customHeight="1">
      <c r="A4178" s="26"/>
      <c r="B4178" s="2"/>
      <c r="C4178" s="26"/>
      <c r="D4178" s="26"/>
      <c r="F4178" s="85" t="str">
        <f t="shared" si="0"/>
        <v/>
      </c>
      <c r="G4178" s="1" t="e">
        <f>IF(VALUE(F4178) = VALUE(RIGHT(Insights!$C$3, 4)), E4178, "")</f>
        <v>#VALUE!</v>
      </c>
      <c r="H4178" s="26" t="e">
        <f t="shared" si="1"/>
        <v>#VALUE!</v>
      </c>
      <c r="I4178" s="1" t="e">
        <f t="shared" si="2"/>
        <v>#VALUE!</v>
      </c>
    </row>
    <row r="4179" spans="1:9" ht="15.75" customHeight="1">
      <c r="A4179" s="26"/>
      <c r="B4179" s="2"/>
      <c r="C4179" s="26"/>
      <c r="D4179" s="26"/>
      <c r="F4179" s="85" t="str">
        <f t="shared" si="0"/>
        <v/>
      </c>
      <c r="G4179" s="1" t="e">
        <f>IF(VALUE(F4179) = VALUE(RIGHT(Insights!$C$3, 4)), E4179, "")</f>
        <v>#VALUE!</v>
      </c>
      <c r="H4179" s="26" t="e">
        <f t="shared" si="1"/>
        <v>#VALUE!</v>
      </c>
      <c r="I4179" s="1" t="e">
        <f t="shared" si="2"/>
        <v>#VALUE!</v>
      </c>
    </row>
    <row r="4180" spans="1:9" ht="15.75" customHeight="1">
      <c r="A4180" s="26"/>
      <c r="B4180" s="2"/>
      <c r="C4180" s="26"/>
      <c r="D4180" s="26"/>
      <c r="F4180" s="85" t="str">
        <f t="shared" si="0"/>
        <v/>
      </c>
      <c r="G4180" s="1" t="e">
        <f>IF(VALUE(F4180) = VALUE(RIGHT(Insights!$C$3, 4)), E4180, "")</f>
        <v>#VALUE!</v>
      </c>
      <c r="H4180" s="26" t="e">
        <f t="shared" si="1"/>
        <v>#VALUE!</v>
      </c>
      <c r="I4180" s="1" t="e">
        <f t="shared" si="2"/>
        <v>#VALUE!</v>
      </c>
    </row>
    <row r="4181" spans="1:9" ht="15.75" customHeight="1">
      <c r="A4181" s="26"/>
      <c r="B4181" s="2"/>
      <c r="C4181" s="26"/>
      <c r="D4181" s="26"/>
      <c r="F4181" s="85" t="str">
        <f t="shared" si="0"/>
        <v/>
      </c>
      <c r="G4181" s="1" t="e">
        <f>IF(VALUE(F4181) = VALUE(RIGHT(Insights!$C$3, 4)), E4181, "")</f>
        <v>#VALUE!</v>
      </c>
      <c r="H4181" s="26" t="e">
        <f t="shared" si="1"/>
        <v>#VALUE!</v>
      </c>
      <c r="I4181" s="1" t="e">
        <f t="shared" si="2"/>
        <v>#VALUE!</v>
      </c>
    </row>
    <row r="4182" spans="1:9" ht="15.75" customHeight="1">
      <c r="A4182" s="26"/>
      <c r="B4182" s="2"/>
      <c r="C4182" s="26"/>
      <c r="D4182" s="26"/>
      <c r="F4182" s="85" t="str">
        <f t="shared" si="0"/>
        <v/>
      </c>
      <c r="G4182" s="1" t="e">
        <f>IF(VALUE(F4182) = VALUE(RIGHT(Insights!$C$3, 4)), E4182, "")</f>
        <v>#VALUE!</v>
      </c>
      <c r="H4182" s="26" t="e">
        <f t="shared" si="1"/>
        <v>#VALUE!</v>
      </c>
      <c r="I4182" s="1" t="e">
        <f t="shared" si="2"/>
        <v>#VALUE!</v>
      </c>
    </row>
    <row r="4183" spans="1:9" ht="15.75" customHeight="1">
      <c r="A4183" s="26"/>
      <c r="B4183" s="2"/>
      <c r="C4183" s="26"/>
      <c r="D4183" s="26"/>
      <c r="F4183" s="85" t="str">
        <f t="shared" si="0"/>
        <v/>
      </c>
      <c r="G4183" s="1" t="e">
        <f>IF(VALUE(F4183) = VALUE(RIGHT(Insights!$C$3, 4)), E4183, "")</f>
        <v>#VALUE!</v>
      </c>
      <c r="H4183" s="26" t="e">
        <f t="shared" si="1"/>
        <v>#VALUE!</v>
      </c>
      <c r="I4183" s="1" t="e">
        <f t="shared" si="2"/>
        <v>#VALUE!</v>
      </c>
    </row>
    <row r="4184" spans="1:9" ht="15.75" customHeight="1">
      <c r="A4184" s="26"/>
      <c r="B4184" s="2"/>
      <c r="C4184" s="26"/>
      <c r="D4184" s="26"/>
      <c r="F4184" s="85" t="str">
        <f t="shared" si="0"/>
        <v/>
      </c>
      <c r="G4184" s="1" t="e">
        <f>IF(VALUE(F4184) = VALUE(RIGHT(Insights!$C$3, 4)), E4184, "")</f>
        <v>#VALUE!</v>
      </c>
      <c r="H4184" s="26" t="e">
        <f t="shared" si="1"/>
        <v>#VALUE!</v>
      </c>
      <c r="I4184" s="1" t="e">
        <f t="shared" si="2"/>
        <v>#VALUE!</v>
      </c>
    </row>
    <row r="4185" spans="1:9" ht="15.75" customHeight="1">
      <c r="A4185" s="26"/>
      <c r="B4185" s="2"/>
      <c r="C4185" s="26"/>
      <c r="D4185" s="26"/>
      <c r="F4185" s="85" t="str">
        <f t="shared" si="0"/>
        <v/>
      </c>
      <c r="G4185" s="1" t="e">
        <f>IF(VALUE(F4185) = VALUE(RIGHT(Insights!$C$3, 4)), E4185, "")</f>
        <v>#VALUE!</v>
      </c>
      <c r="H4185" s="26" t="e">
        <f t="shared" si="1"/>
        <v>#VALUE!</v>
      </c>
      <c r="I4185" s="1" t="e">
        <f t="shared" si="2"/>
        <v>#VALUE!</v>
      </c>
    </row>
    <row r="4186" spans="1:9" ht="15.75" customHeight="1">
      <c r="A4186" s="26"/>
      <c r="B4186" s="2"/>
      <c r="C4186" s="26"/>
      <c r="D4186" s="26"/>
      <c r="F4186" s="85" t="str">
        <f t="shared" si="0"/>
        <v/>
      </c>
      <c r="G4186" s="1" t="e">
        <f>IF(VALUE(F4186) = VALUE(RIGHT(Insights!$C$3, 4)), E4186, "")</f>
        <v>#VALUE!</v>
      </c>
      <c r="H4186" s="26" t="e">
        <f t="shared" si="1"/>
        <v>#VALUE!</v>
      </c>
      <c r="I4186" s="1" t="e">
        <f t="shared" si="2"/>
        <v>#VALUE!</v>
      </c>
    </row>
    <row r="4187" spans="1:9" ht="15.75" customHeight="1">
      <c r="A4187" s="26"/>
      <c r="B4187" s="2"/>
      <c r="C4187" s="26"/>
      <c r="D4187" s="26"/>
      <c r="F4187" s="85" t="str">
        <f t="shared" si="0"/>
        <v/>
      </c>
      <c r="G4187" s="1" t="e">
        <f>IF(VALUE(F4187) = VALUE(RIGHT(Insights!$C$3, 4)), E4187, "")</f>
        <v>#VALUE!</v>
      </c>
      <c r="H4187" s="26" t="e">
        <f t="shared" si="1"/>
        <v>#VALUE!</v>
      </c>
      <c r="I4187" s="1" t="e">
        <f t="shared" si="2"/>
        <v>#VALUE!</v>
      </c>
    </row>
    <row r="4188" spans="1:9" ht="15.75" customHeight="1">
      <c r="A4188" s="26"/>
      <c r="B4188" s="2"/>
      <c r="C4188" s="26"/>
      <c r="D4188" s="26"/>
      <c r="F4188" s="85" t="str">
        <f t="shared" si="0"/>
        <v/>
      </c>
      <c r="G4188" s="1" t="e">
        <f>IF(VALUE(F4188) = VALUE(RIGHT(Insights!$C$3, 4)), E4188, "")</f>
        <v>#VALUE!</v>
      </c>
      <c r="H4188" s="26" t="e">
        <f t="shared" si="1"/>
        <v>#VALUE!</v>
      </c>
      <c r="I4188" s="1" t="e">
        <f t="shared" si="2"/>
        <v>#VALUE!</v>
      </c>
    </row>
    <row r="4189" spans="1:9" ht="15.75" customHeight="1">
      <c r="A4189" s="26"/>
      <c r="B4189" s="2"/>
      <c r="C4189" s="26"/>
      <c r="D4189" s="26"/>
      <c r="F4189" s="85" t="str">
        <f t="shared" si="0"/>
        <v/>
      </c>
      <c r="G4189" s="1" t="e">
        <f>IF(VALUE(F4189) = VALUE(RIGHT(Insights!$C$3, 4)), E4189, "")</f>
        <v>#VALUE!</v>
      </c>
      <c r="H4189" s="26" t="e">
        <f t="shared" si="1"/>
        <v>#VALUE!</v>
      </c>
      <c r="I4189" s="1" t="e">
        <f t="shared" si="2"/>
        <v>#VALUE!</v>
      </c>
    </row>
    <row r="4190" spans="1:9" ht="15.75" customHeight="1">
      <c r="A4190" s="26"/>
      <c r="B4190" s="2"/>
      <c r="C4190" s="26"/>
      <c r="D4190" s="26"/>
      <c r="F4190" s="85" t="str">
        <f t="shared" si="0"/>
        <v/>
      </c>
      <c r="G4190" s="1" t="e">
        <f>IF(VALUE(F4190) = VALUE(RIGHT(Insights!$C$3, 4)), E4190, "")</f>
        <v>#VALUE!</v>
      </c>
      <c r="H4190" s="26" t="e">
        <f t="shared" si="1"/>
        <v>#VALUE!</v>
      </c>
      <c r="I4190" s="1" t="e">
        <f t="shared" si="2"/>
        <v>#VALUE!</v>
      </c>
    </row>
    <row r="4191" spans="1:9" ht="15.75" customHeight="1">
      <c r="A4191" s="26"/>
      <c r="B4191" s="2"/>
      <c r="C4191" s="26"/>
      <c r="D4191" s="26"/>
      <c r="F4191" s="85" t="str">
        <f t="shared" si="0"/>
        <v/>
      </c>
      <c r="G4191" s="1" t="e">
        <f>IF(VALUE(F4191) = VALUE(RIGHT(Insights!$C$3, 4)), E4191, "")</f>
        <v>#VALUE!</v>
      </c>
      <c r="H4191" s="26" t="e">
        <f t="shared" si="1"/>
        <v>#VALUE!</v>
      </c>
      <c r="I4191" s="1" t="e">
        <f t="shared" si="2"/>
        <v>#VALUE!</v>
      </c>
    </row>
    <row r="4192" spans="1:9" ht="15.75" customHeight="1">
      <c r="A4192" s="26"/>
      <c r="B4192" s="2"/>
      <c r="C4192" s="26"/>
      <c r="D4192" s="26"/>
      <c r="F4192" s="85" t="str">
        <f t="shared" si="0"/>
        <v/>
      </c>
      <c r="G4192" s="1" t="e">
        <f>IF(VALUE(F4192) = VALUE(RIGHT(Insights!$C$3, 4)), E4192, "")</f>
        <v>#VALUE!</v>
      </c>
      <c r="H4192" s="26" t="e">
        <f t="shared" si="1"/>
        <v>#VALUE!</v>
      </c>
      <c r="I4192" s="1" t="e">
        <f t="shared" si="2"/>
        <v>#VALUE!</v>
      </c>
    </row>
    <row r="4193" spans="1:9" ht="15.75" customHeight="1">
      <c r="A4193" s="26"/>
      <c r="B4193" s="2"/>
      <c r="C4193" s="26"/>
      <c r="D4193" s="26"/>
      <c r="F4193" s="85" t="str">
        <f t="shared" si="0"/>
        <v/>
      </c>
      <c r="G4193" s="1" t="e">
        <f>IF(VALUE(F4193) = VALUE(RIGHT(Insights!$C$3, 4)), E4193, "")</f>
        <v>#VALUE!</v>
      </c>
      <c r="H4193" s="26" t="e">
        <f t="shared" si="1"/>
        <v>#VALUE!</v>
      </c>
      <c r="I4193" s="1" t="e">
        <f t="shared" si="2"/>
        <v>#VALUE!</v>
      </c>
    </row>
    <row r="4194" spans="1:9" ht="15.75" customHeight="1">
      <c r="A4194" s="26"/>
      <c r="B4194" s="2"/>
      <c r="C4194" s="26"/>
      <c r="D4194" s="26"/>
      <c r="F4194" s="85" t="str">
        <f t="shared" si="0"/>
        <v/>
      </c>
      <c r="G4194" s="1" t="e">
        <f>IF(VALUE(F4194) = VALUE(RIGHT(Insights!$C$3, 4)), E4194, "")</f>
        <v>#VALUE!</v>
      </c>
      <c r="H4194" s="26" t="e">
        <f t="shared" si="1"/>
        <v>#VALUE!</v>
      </c>
      <c r="I4194" s="1" t="e">
        <f t="shared" si="2"/>
        <v>#VALUE!</v>
      </c>
    </row>
    <row r="4195" spans="1:9" ht="15.75" customHeight="1">
      <c r="A4195" s="26"/>
      <c r="B4195" s="2"/>
      <c r="C4195" s="26"/>
      <c r="D4195" s="26"/>
      <c r="F4195" s="85" t="str">
        <f t="shared" si="0"/>
        <v/>
      </c>
      <c r="G4195" s="1" t="e">
        <f>IF(VALUE(F4195) = VALUE(RIGHT(Insights!$C$3, 4)), E4195, "")</f>
        <v>#VALUE!</v>
      </c>
      <c r="H4195" s="26" t="e">
        <f t="shared" si="1"/>
        <v>#VALUE!</v>
      </c>
      <c r="I4195" s="1" t="e">
        <f t="shared" si="2"/>
        <v>#VALUE!</v>
      </c>
    </row>
    <row r="4196" spans="1:9" ht="15.75" customHeight="1">
      <c r="A4196" s="26"/>
      <c r="B4196" s="2"/>
      <c r="C4196" s="26"/>
      <c r="D4196" s="26"/>
      <c r="F4196" s="85" t="str">
        <f t="shared" si="0"/>
        <v/>
      </c>
      <c r="G4196" s="1" t="e">
        <f>IF(VALUE(F4196) = VALUE(RIGHT(Insights!$C$3, 4)), E4196, "")</f>
        <v>#VALUE!</v>
      </c>
      <c r="H4196" s="26" t="e">
        <f t="shared" si="1"/>
        <v>#VALUE!</v>
      </c>
      <c r="I4196" s="1" t="e">
        <f t="shared" si="2"/>
        <v>#VALUE!</v>
      </c>
    </row>
    <row r="4197" spans="1:9" ht="15.75" customHeight="1">
      <c r="A4197" s="26"/>
      <c r="B4197" s="2"/>
      <c r="C4197" s="26"/>
      <c r="D4197" s="26"/>
      <c r="F4197" s="85" t="str">
        <f t="shared" si="0"/>
        <v/>
      </c>
      <c r="G4197" s="1" t="e">
        <f>IF(VALUE(F4197) = VALUE(RIGHT(Insights!$C$3, 4)), E4197, "")</f>
        <v>#VALUE!</v>
      </c>
      <c r="H4197" s="26" t="e">
        <f t="shared" si="1"/>
        <v>#VALUE!</v>
      </c>
      <c r="I4197" s="1" t="e">
        <f t="shared" si="2"/>
        <v>#VALUE!</v>
      </c>
    </row>
    <row r="4198" spans="1:9" ht="15.75" customHeight="1">
      <c r="A4198" s="26"/>
      <c r="B4198" s="2"/>
      <c r="C4198" s="26"/>
      <c r="D4198" s="26"/>
      <c r="F4198" s="85" t="str">
        <f t="shared" si="0"/>
        <v/>
      </c>
      <c r="G4198" s="1" t="e">
        <f>IF(VALUE(F4198) = VALUE(RIGHT(Insights!$C$3, 4)), E4198, "")</f>
        <v>#VALUE!</v>
      </c>
      <c r="H4198" s="26" t="e">
        <f t="shared" si="1"/>
        <v>#VALUE!</v>
      </c>
      <c r="I4198" s="1" t="e">
        <f t="shared" si="2"/>
        <v>#VALUE!</v>
      </c>
    </row>
    <row r="4199" spans="1:9" ht="15.75" customHeight="1">
      <c r="A4199" s="26"/>
      <c r="B4199" s="2"/>
      <c r="C4199" s="26"/>
      <c r="D4199" s="26"/>
      <c r="F4199" s="85" t="str">
        <f t="shared" si="0"/>
        <v/>
      </c>
      <c r="G4199" s="1" t="e">
        <f>IF(VALUE(F4199) = VALUE(RIGHT(Insights!$C$3, 4)), E4199, "")</f>
        <v>#VALUE!</v>
      </c>
      <c r="H4199" s="26" t="e">
        <f t="shared" si="1"/>
        <v>#VALUE!</v>
      </c>
      <c r="I4199" s="1" t="e">
        <f t="shared" si="2"/>
        <v>#VALUE!</v>
      </c>
    </row>
    <row r="4200" spans="1:9" ht="15.75" customHeight="1">
      <c r="A4200" s="26"/>
      <c r="B4200" s="2"/>
      <c r="C4200" s="26"/>
      <c r="D4200" s="26"/>
      <c r="F4200" s="85" t="str">
        <f t="shared" si="0"/>
        <v/>
      </c>
      <c r="G4200" s="1" t="e">
        <f>IF(VALUE(F4200) = VALUE(RIGHT(Insights!$C$3, 4)), E4200, "")</f>
        <v>#VALUE!</v>
      </c>
      <c r="H4200" s="26" t="e">
        <f t="shared" si="1"/>
        <v>#VALUE!</v>
      </c>
      <c r="I4200" s="1" t="e">
        <f t="shared" si="2"/>
        <v>#VALUE!</v>
      </c>
    </row>
    <row r="4201" spans="1:9" ht="15.75" customHeight="1">
      <c r="A4201" s="26"/>
      <c r="B4201" s="2"/>
      <c r="C4201" s="26"/>
      <c r="D4201" s="26"/>
      <c r="F4201" s="85" t="str">
        <f t="shared" si="0"/>
        <v/>
      </c>
      <c r="G4201" s="1" t="e">
        <f>IF(VALUE(F4201) = VALUE(RIGHT(Insights!$C$3, 4)), E4201, "")</f>
        <v>#VALUE!</v>
      </c>
      <c r="H4201" s="26" t="e">
        <f t="shared" si="1"/>
        <v>#VALUE!</v>
      </c>
      <c r="I4201" s="1" t="e">
        <f t="shared" si="2"/>
        <v>#VALUE!</v>
      </c>
    </row>
    <row r="4202" spans="1:9" ht="15.75" customHeight="1">
      <c r="A4202" s="26"/>
      <c r="B4202" s="2"/>
      <c r="C4202" s="26"/>
      <c r="D4202" s="26"/>
      <c r="F4202" s="85" t="str">
        <f t="shared" si="0"/>
        <v/>
      </c>
      <c r="G4202" s="1" t="e">
        <f>IF(VALUE(F4202) = VALUE(RIGHT(Insights!$C$3, 4)), E4202, "")</f>
        <v>#VALUE!</v>
      </c>
      <c r="H4202" s="26" t="e">
        <f t="shared" si="1"/>
        <v>#VALUE!</v>
      </c>
      <c r="I4202" s="1" t="e">
        <f t="shared" si="2"/>
        <v>#VALUE!</v>
      </c>
    </row>
    <row r="4203" spans="1:9" ht="15.75" customHeight="1">
      <c r="A4203" s="26"/>
      <c r="B4203" s="2"/>
      <c r="C4203" s="26"/>
      <c r="D4203" s="26"/>
      <c r="F4203" s="85" t="str">
        <f t="shared" si="0"/>
        <v/>
      </c>
      <c r="G4203" s="1" t="e">
        <f>IF(VALUE(F4203) = VALUE(RIGHT(Insights!$C$3, 4)), E4203, "")</f>
        <v>#VALUE!</v>
      </c>
      <c r="H4203" s="26" t="e">
        <f t="shared" si="1"/>
        <v>#VALUE!</v>
      </c>
      <c r="I4203" s="1" t="e">
        <f t="shared" si="2"/>
        <v>#VALUE!</v>
      </c>
    </row>
    <row r="4204" spans="1:9" ht="15.75" customHeight="1">
      <c r="A4204" s="26"/>
      <c r="B4204" s="2"/>
      <c r="C4204" s="26"/>
      <c r="D4204" s="26"/>
      <c r="F4204" s="85" t="str">
        <f t="shared" si="0"/>
        <v/>
      </c>
      <c r="G4204" s="1" t="e">
        <f>IF(VALUE(F4204) = VALUE(RIGHT(Insights!$C$3, 4)), E4204, "")</f>
        <v>#VALUE!</v>
      </c>
      <c r="H4204" s="26" t="e">
        <f t="shared" si="1"/>
        <v>#VALUE!</v>
      </c>
      <c r="I4204" s="1" t="e">
        <f t="shared" si="2"/>
        <v>#VALUE!</v>
      </c>
    </row>
    <row r="4205" spans="1:9" ht="15.75" customHeight="1">
      <c r="A4205" s="26"/>
      <c r="B4205" s="2"/>
      <c r="C4205" s="26"/>
      <c r="D4205" s="26"/>
      <c r="F4205" s="85" t="str">
        <f t="shared" si="0"/>
        <v/>
      </c>
      <c r="G4205" s="1" t="e">
        <f>IF(VALUE(F4205) = VALUE(RIGHT(Insights!$C$3, 4)), E4205, "")</f>
        <v>#VALUE!</v>
      </c>
      <c r="H4205" s="26" t="e">
        <f t="shared" si="1"/>
        <v>#VALUE!</v>
      </c>
      <c r="I4205" s="1" t="e">
        <f t="shared" si="2"/>
        <v>#VALUE!</v>
      </c>
    </row>
    <row r="4206" spans="1:9" ht="15.75" customHeight="1">
      <c r="A4206" s="26"/>
      <c r="B4206" s="2"/>
      <c r="C4206" s="26"/>
      <c r="D4206" s="26"/>
      <c r="F4206" s="85" t="str">
        <f t="shared" si="0"/>
        <v/>
      </c>
      <c r="G4206" s="1" t="e">
        <f>IF(VALUE(F4206) = VALUE(RIGHT(Insights!$C$3, 4)), E4206, "")</f>
        <v>#VALUE!</v>
      </c>
      <c r="H4206" s="26" t="e">
        <f t="shared" si="1"/>
        <v>#VALUE!</v>
      </c>
      <c r="I4206" s="1" t="e">
        <f t="shared" si="2"/>
        <v>#VALUE!</v>
      </c>
    </row>
    <row r="4207" spans="1:9" ht="15.75" customHeight="1">
      <c r="A4207" s="26"/>
      <c r="B4207" s="2"/>
      <c r="C4207" s="26"/>
      <c r="D4207" s="26"/>
      <c r="F4207" s="85" t="str">
        <f t="shared" si="0"/>
        <v/>
      </c>
      <c r="G4207" s="1" t="e">
        <f>IF(VALUE(F4207) = VALUE(RIGHT(Insights!$C$3, 4)), E4207, "")</f>
        <v>#VALUE!</v>
      </c>
      <c r="H4207" s="26" t="e">
        <f t="shared" si="1"/>
        <v>#VALUE!</v>
      </c>
      <c r="I4207" s="1" t="e">
        <f t="shared" si="2"/>
        <v>#VALUE!</v>
      </c>
    </row>
    <row r="4208" spans="1:9" ht="15.75" customHeight="1">
      <c r="A4208" s="26"/>
      <c r="B4208" s="2"/>
      <c r="C4208" s="26"/>
      <c r="D4208" s="26"/>
      <c r="F4208" s="85" t="str">
        <f t="shared" si="0"/>
        <v/>
      </c>
      <c r="G4208" s="1" t="e">
        <f>IF(VALUE(F4208) = VALUE(RIGHT(Insights!$C$3, 4)), E4208, "")</f>
        <v>#VALUE!</v>
      </c>
      <c r="H4208" s="26" t="e">
        <f t="shared" si="1"/>
        <v>#VALUE!</v>
      </c>
      <c r="I4208" s="1" t="e">
        <f t="shared" si="2"/>
        <v>#VALUE!</v>
      </c>
    </row>
    <row r="4209" spans="1:9" ht="15.75" customHeight="1">
      <c r="A4209" s="26"/>
      <c r="B4209" s="2"/>
      <c r="C4209" s="26"/>
      <c r="D4209" s="26"/>
      <c r="F4209" s="85" t="str">
        <f t="shared" si="0"/>
        <v/>
      </c>
      <c r="G4209" s="1" t="e">
        <f>IF(VALUE(F4209) = VALUE(RIGHT(Insights!$C$3, 4)), E4209, "")</f>
        <v>#VALUE!</v>
      </c>
      <c r="H4209" s="26" t="e">
        <f t="shared" si="1"/>
        <v>#VALUE!</v>
      </c>
      <c r="I4209" s="1" t="e">
        <f t="shared" si="2"/>
        <v>#VALUE!</v>
      </c>
    </row>
    <row r="4210" spans="1:9" ht="15.75" customHeight="1">
      <c r="A4210" s="26"/>
      <c r="B4210" s="2"/>
      <c r="C4210" s="26"/>
      <c r="D4210" s="26"/>
      <c r="F4210" s="85" t="str">
        <f t="shared" si="0"/>
        <v/>
      </c>
      <c r="G4210" s="1" t="e">
        <f>IF(VALUE(F4210) = VALUE(RIGHT(Insights!$C$3, 4)), E4210, "")</f>
        <v>#VALUE!</v>
      </c>
      <c r="H4210" s="26" t="e">
        <f t="shared" si="1"/>
        <v>#VALUE!</v>
      </c>
      <c r="I4210" s="1" t="e">
        <f t="shared" si="2"/>
        <v>#VALUE!</v>
      </c>
    </row>
    <row r="4211" spans="1:9" ht="15.75" customHeight="1">
      <c r="A4211" s="26"/>
      <c r="B4211" s="2"/>
      <c r="C4211" s="26"/>
      <c r="D4211" s="26"/>
      <c r="F4211" s="85" t="str">
        <f t="shared" si="0"/>
        <v/>
      </c>
      <c r="G4211" s="1" t="e">
        <f>IF(VALUE(F4211) = VALUE(RIGHT(Insights!$C$3, 4)), E4211, "")</f>
        <v>#VALUE!</v>
      </c>
      <c r="H4211" s="26" t="e">
        <f t="shared" si="1"/>
        <v>#VALUE!</v>
      </c>
      <c r="I4211" s="1" t="e">
        <f t="shared" si="2"/>
        <v>#VALUE!</v>
      </c>
    </row>
    <row r="4212" spans="1:9" ht="15.75" customHeight="1">
      <c r="A4212" s="26"/>
      <c r="B4212" s="2"/>
      <c r="C4212" s="26"/>
      <c r="D4212" s="26"/>
      <c r="F4212" s="85" t="str">
        <f t="shared" si="0"/>
        <v/>
      </c>
      <c r="G4212" s="1" t="e">
        <f>IF(VALUE(F4212) = VALUE(RIGHT(Insights!$C$3, 4)), E4212, "")</f>
        <v>#VALUE!</v>
      </c>
      <c r="H4212" s="26" t="e">
        <f t="shared" si="1"/>
        <v>#VALUE!</v>
      </c>
      <c r="I4212" s="1" t="e">
        <f t="shared" si="2"/>
        <v>#VALUE!</v>
      </c>
    </row>
    <row r="4213" spans="1:9" ht="15.75" customHeight="1">
      <c r="A4213" s="26"/>
      <c r="B4213" s="2"/>
      <c r="C4213" s="26"/>
      <c r="D4213" s="26"/>
      <c r="F4213" s="85" t="str">
        <f t="shared" si="0"/>
        <v/>
      </c>
      <c r="G4213" s="1" t="e">
        <f>IF(VALUE(F4213) = VALUE(RIGHT(Insights!$C$3, 4)), E4213, "")</f>
        <v>#VALUE!</v>
      </c>
      <c r="H4213" s="26" t="e">
        <f t="shared" si="1"/>
        <v>#VALUE!</v>
      </c>
      <c r="I4213" s="1" t="e">
        <f t="shared" si="2"/>
        <v>#VALUE!</v>
      </c>
    </row>
    <row r="4214" spans="1:9" ht="15.75" customHeight="1">
      <c r="A4214" s="26"/>
      <c r="B4214" s="2"/>
      <c r="C4214" s="26"/>
      <c r="D4214" s="26"/>
      <c r="F4214" s="85" t="str">
        <f t="shared" si="0"/>
        <v/>
      </c>
      <c r="G4214" s="1" t="e">
        <f>IF(VALUE(F4214) = VALUE(RIGHT(Insights!$C$3, 4)), E4214, "")</f>
        <v>#VALUE!</v>
      </c>
      <c r="H4214" s="26" t="e">
        <f t="shared" si="1"/>
        <v>#VALUE!</v>
      </c>
      <c r="I4214" s="1" t="e">
        <f t="shared" si="2"/>
        <v>#VALUE!</v>
      </c>
    </row>
    <row r="4215" spans="1:9" ht="15.75" customHeight="1">
      <c r="A4215" s="26"/>
      <c r="B4215" s="2"/>
      <c r="C4215" s="26"/>
      <c r="D4215" s="26"/>
      <c r="F4215" s="85" t="str">
        <f t="shared" si="0"/>
        <v/>
      </c>
      <c r="G4215" s="1" t="e">
        <f>IF(VALUE(F4215) = VALUE(RIGHT(Insights!$C$3, 4)), E4215, "")</f>
        <v>#VALUE!</v>
      </c>
      <c r="H4215" s="26" t="e">
        <f t="shared" si="1"/>
        <v>#VALUE!</v>
      </c>
      <c r="I4215" s="1" t="e">
        <f t="shared" si="2"/>
        <v>#VALUE!</v>
      </c>
    </row>
    <row r="4216" spans="1:9" ht="15.75" customHeight="1">
      <c r="A4216" s="26"/>
      <c r="B4216" s="2"/>
      <c r="C4216" s="26"/>
      <c r="D4216" s="26"/>
      <c r="F4216" s="85" t="str">
        <f t="shared" si="0"/>
        <v/>
      </c>
      <c r="G4216" s="1" t="e">
        <f>IF(VALUE(F4216) = VALUE(RIGHT(Insights!$C$3, 4)), E4216, "")</f>
        <v>#VALUE!</v>
      </c>
      <c r="H4216" s="26" t="e">
        <f t="shared" si="1"/>
        <v>#VALUE!</v>
      </c>
      <c r="I4216" s="1" t="e">
        <f t="shared" si="2"/>
        <v>#VALUE!</v>
      </c>
    </row>
    <row r="4217" spans="1:9" ht="15.75" customHeight="1">
      <c r="A4217" s="26"/>
      <c r="B4217" s="2"/>
      <c r="C4217" s="26"/>
      <c r="D4217" s="26"/>
      <c r="F4217" s="85" t="str">
        <f t="shared" si="0"/>
        <v/>
      </c>
      <c r="G4217" s="1" t="e">
        <f>IF(VALUE(F4217) = VALUE(RIGHT(Insights!$C$3, 4)), E4217, "")</f>
        <v>#VALUE!</v>
      </c>
      <c r="H4217" s="26" t="e">
        <f t="shared" si="1"/>
        <v>#VALUE!</v>
      </c>
      <c r="I4217" s="1" t="e">
        <f t="shared" si="2"/>
        <v>#VALUE!</v>
      </c>
    </row>
    <row r="4218" spans="1:9" ht="15.75" customHeight="1">
      <c r="A4218" s="26"/>
      <c r="B4218" s="2"/>
      <c r="C4218" s="26"/>
      <c r="D4218" s="26"/>
      <c r="F4218" s="85" t="str">
        <f t="shared" si="0"/>
        <v/>
      </c>
      <c r="G4218" s="1" t="e">
        <f>IF(VALUE(F4218) = VALUE(RIGHT(Insights!$C$3, 4)), E4218, "")</f>
        <v>#VALUE!</v>
      </c>
      <c r="H4218" s="26" t="e">
        <f t="shared" si="1"/>
        <v>#VALUE!</v>
      </c>
      <c r="I4218" s="1" t="e">
        <f t="shared" si="2"/>
        <v>#VALUE!</v>
      </c>
    </row>
    <row r="4219" spans="1:9" ht="15.75" customHeight="1">
      <c r="A4219" s="26"/>
      <c r="B4219" s="2"/>
      <c r="C4219" s="26"/>
      <c r="D4219" s="26"/>
      <c r="F4219" s="85" t="str">
        <f t="shared" si="0"/>
        <v/>
      </c>
      <c r="G4219" s="1" t="e">
        <f>IF(VALUE(F4219) = VALUE(RIGHT(Insights!$C$3, 4)), E4219, "")</f>
        <v>#VALUE!</v>
      </c>
      <c r="H4219" s="26" t="e">
        <f t="shared" si="1"/>
        <v>#VALUE!</v>
      </c>
      <c r="I4219" s="1" t="e">
        <f t="shared" si="2"/>
        <v>#VALUE!</v>
      </c>
    </row>
    <row r="4220" spans="1:9" ht="15.75" customHeight="1">
      <c r="A4220" s="26"/>
      <c r="B4220" s="2"/>
      <c r="C4220" s="26"/>
      <c r="D4220" s="26"/>
      <c r="F4220" s="85" t="str">
        <f t="shared" si="0"/>
        <v/>
      </c>
      <c r="G4220" s="1" t="e">
        <f>IF(VALUE(F4220) = VALUE(RIGHT(Insights!$C$3, 4)), E4220, "")</f>
        <v>#VALUE!</v>
      </c>
      <c r="H4220" s="26" t="e">
        <f t="shared" si="1"/>
        <v>#VALUE!</v>
      </c>
      <c r="I4220" s="1" t="e">
        <f t="shared" si="2"/>
        <v>#VALUE!</v>
      </c>
    </row>
    <row r="4221" spans="1:9" ht="15.75" customHeight="1">
      <c r="A4221" s="26"/>
      <c r="B4221" s="2"/>
      <c r="C4221" s="26"/>
      <c r="D4221" s="26"/>
      <c r="F4221" s="85" t="str">
        <f t="shared" si="0"/>
        <v/>
      </c>
      <c r="G4221" s="1" t="e">
        <f>IF(VALUE(F4221) = VALUE(RIGHT(Insights!$C$3, 4)), E4221, "")</f>
        <v>#VALUE!</v>
      </c>
      <c r="H4221" s="26" t="e">
        <f t="shared" si="1"/>
        <v>#VALUE!</v>
      </c>
      <c r="I4221" s="1" t="e">
        <f t="shared" si="2"/>
        <v>#VALUE!</v>
      </c>
    </row>
    <row r="4222" spans="1:9" ht="15.75" customHeight="1">
      <c r="A4222" s="26"/>
      <c r="B4222" s="2"/>
      <c r="C4222" s="26"/>
      <c r="D4222" s="26"/>
      <c r="F4222" s="85" t="str">
        <f t="shared" si="0"/>
        <v/>
      </c>
      <c r="G4222" s="1" t="e">
        <f>IF(VALUE(F4222) = VALUE(RIGHT(Insights!$C$3, 4)), E4222, "")</f>
        <v>#VALUE!</v>
      </c>
      <c r="H4222" s="26" t="e">
        <f t="shared" si="1"/>
        <v>#VALUE!</v>
      </c>
      <c r="I4222" s="1" t="e">
        <f t="shared" si="2"/>
        <v>#VALUE!</v>
      </c>
    </row>
    <row r="4223" spans="1:9" ht="15.75" customHeight="1">
      <c r="A4223" s="26"/>
      <c r="B4223" s="2"/>
      <c r="C4223" s="26"/>
      <c r="D4223" s="26"/>
      <c r="F4223" s="85" t="str">
        <f t="shared" si="0"/>
        <v/>
      </c>
      <c r="G4223" s="1" t="e">
        <f>IF(VALUE(F4223) = VALUE(RIGHT(Insights!$C$3, 4)), E4223, "")</f>
        <v>#VALUE!</v>
      </c>
      <c r="H4223" s="26" t="e">
        <f t="shared" si="1"/>
        <v>#VALUE!</v>
      </c>
      <c r="I4223" s="1" t="e">
        <f t="shared" si="2"/>
        <v>#VALUE!</v>
      </c>
    </row>
    <row r="4224" spans="1:9" ht="15.75" customHeight="1">
      <c r="A4224" s="26"/>
      <c r="B4224" s="2"/>
      <c r="C4224" s="26"/>
      <c r="D4224" s="26"/>
      <c r="F4224" s="85" t="str">
        <f t="shared" si="0"/>
        <v/>
      </c>
      <c r="G4224" s="1" t="e">
        <f>IF(VALUE(F4224) = VALUE(RIGHT(Insights!$C$3, 4)), E4224, "")</f>
        <v>#VALUE!</v>
      </c>
      <c r="H4224" s="26" t="e">
        <f t="shared" si="1"/>
        <v>#VALUE!</v>
      </c>
      <c r="I4224" s="1" t="e">
        <f t="shared" si="2"/>
        <v>#VALUE!</v>
      </c>
    </row>
    <row r="4225" spans="1:9" ht="15.75" customHeight="1">
      <c r="A4225" s="26"/>
      <c r="B4225" s="2"/>
      <c r="C4225" s="26"/>
      <c r="D4225" s="26"/>
      <c r="F4225" s="85" t="str">
        <f t="shared" si="0"/>
        <v/>
      </c>
      <c r="G4225" s="1" t="e">
        <f>IF(VALUE(F4225) = VALUE(RIGHT(Insights!$C$3, 4)), E4225, "")</f>
        <v>#VALUE!</v>
      </c>
      <c r="H4225" s="26" t="e">
        <f t="shared" si="1"/>
        <v>#VALUE!</v>
      </c>
      <c r="I4225" s="1" t="e">
        <f t="shared" si="2"/>
        <v>#VALUE!</v>
      </c>
    </row>
    <row r="4226" spans="1:9" ht="15.75" customHeight="1">
      <c r="A4226" s="26"/>
      <c r="B4226" s="2"/>
      <c r="C4226" s="26"/>
      <c r="D4226" s="26"/>
      <c r="F4226" s="85" t="str">
        <f t="shared" si="0"/>
        <v/>
      </c>
      <c r="G4226" s="1" t="e">
        <f>IF(VALUE(F4226) = VALUE(RIGHT(Insights!$C$3, 4)), E4226, "")</f>
        <v>#VALUE!</v>
      </c>
      <c r="H4226" s="26" t="e">
        <f t="shared" si="1"/>
        <v>#VALUE!</v>
      </c>
      <c r="I4226" s="1" t="e">
        <f t="shared" si="2"/>
        <v>#VALUE!</v>
      </c>
    </row>
    <row r="4227" spans="1:9" ht="15.75" customHeight="1">
      <c r="A4227" s="26"/>
      <c r="B4227" s="2"/>
      <c r="C4227" s="26"/>
      <c r="D4227" s="26"/>
      <c r="F4227" s="85" t="str">
        <f t="shared" si="0"/>
        <v/>
      </c>
      <c r="G4227" s="1" t="e">
        <f>IF(VALUE(F4227) = VALUE(RIGHT(Insights!$C$3, 4)), E4227, "")</f>
        <v>#VALUE!</v>
      </c>
      <c r="H4227" s="26" t="e">
        <f t="shared" si="1"/>
        <v>#VALUE!</v>
      </c>
      <c r="I4227" s="1" t="e">
        <f t="shared" si="2"/>
        <v>#VALUE!</v>
      </c>
    </row>
    <row r="4228" spans="1:9" ht="15.75" customHeight="1">
      <c r="A4228" s="26"/>
      <c r="B4228" s="2"/>
      <c r="C4228" s="26"/>
      <c r="D4228" s="26"/>
      <c r="F4228" s="85" t="str">
        <f t="shared" si="0"/>
        <v/>
      </c>
      <c r="G4228" s="1" t="e">
        <f>IF(VALUE(F4228) = VALUE(RIGHT(Insights!$C$3, 4)), E4228, "")</f>
        <v>#VALUE!</v>
      </c>
      <c r="H4228" s="26" t="e">
        <f t="shared" si="1"/>
        <v>#VALUE!</v>
      </c>
      <c r="I4228" s="1" t="e">
        <f t="shared" si="2"/>
        <v>#VALUE!</v>
      </c>
    </row>
    <row r="4229" spans="1:9" ht="15.75" customHeight="1">
      <c r="A4229" s="26"/>
      <c r="B4229" s="2"/>
      <c r="C4229" s="26"/>
      <c r="D4229" s="26"/>
      <c r="F4229" s="85" t="str">
        <f t="shared" si="0"/>
        <v/>
      </c>
      <c r="G4229" s="1" t="e">
        <f>IF(VALUE(F4229) = VALUE(RIGHT(Insights!$C$3, 4)), E4229, "")</f>
        <v>#VALUE!</v>
      </c>
      <c r="H4229" s="26" t="e">
        <f t="shared" si="1"/>
        <v>#VALUE!</v>
      </c>
      <c r="I4229" s="1" t="e">
        <f t="shared" si="2"/>
        <v>#VALUE!</v>
      </c>
    </row>
    <row r="4230" spans="1:9" ht="15.75" customHeight="1">
      <c r="A4230" s="26"/>
      <c r="B4230" s="2"/>
      <c r="C4230" s="26"/>
      <c r="D4230" s="26"/>
      <c r="F4230" s="85" t="str">
        <f t="shared" si="0"/>
        <v/>
      </c>
      <c r="G4230" s="1" t="e">
        <f>IF(VALUE(F4230) = VALUE(RIGHT(Insights!$C$3, 4)), E4230, "")</f>
        <v>#VALUE!</v>
      </c>
      <c r="H4230" s="26" t="e">
        <f t="shared" si="1"/>
        <v>#VALUE!</v>
      </c>
      <c r="I4230" s="1" t="e">
        <f t="shared" si="2"/>
        <v>#VALUE!</v>
      </c>
    </row>
    <row r="4231" spans="1:9" ht="15.75" customHeight="1">
      <c r="A4231" s="26"/>
      <c r="B4231" s="2"/>
      <c r="C4231" s="26"/>
      <c r="D4231" s="26"/>
      <c r="F4231" s="85" t="str">
        <f t="shared" si="0"/>
        <v/>
      </c>
      <c r="G4231" s="1" t="e">
        <f>IF(VALUE(F4231) = VALUE(RIGHT(Insights!$C$3, 4)), E4231, "")</f>
        <v>#VALUE!</v>
      </c>
      <c r="H4231" s="26" t="e">
        <f t="shared" si="1"/>
        <v>#VALUE!</v>
      </c>
      <c r="I4231" s="1" t="e">
        <f t="shared" si="2"/>
        <v>#VALUE!</v>
      </c>
    </row>
    <row r="4232" spans="1:9" ht="15.75" customHeight="1">
      <c r="A4232" s="26"/>
      <c r="B4232" s="2"/>
      <c r="C4232" s="26"/>
      <c r="D4232" s="26"/>
      <c r="F4232" s="85" t="str">
        <f t="shared" si="0"/>
        <v/>
      </c>
      <c r="G4232" s="1" t="e">
        <f>IF(VALUE(F4232) = VALUE(RIGHT(Insights!$C$3, 4)), E4232, "")</f>
        <v>#VALUE!</v>
      </c>
      <c r="H4232" s="26" t="e">
        <f t="shared" si="1"/>
        <v>#VALUE!</v>
      </c>
      <c r="I4232" s="1" t="e">
        <f t="shared" si="2"/>
        <v>#VALUE!</v>
      </c>
    </row>
    <row r="4233" spans="1:9" ht="15.75" customHeight="1">
      <c r="A4233" s="26"/>
      <c r="B4233" s="2"/>
      <c r="C4233" s="26"/>
      <c r="D4233" s="26"/>
      <c r="F4233" s="85" t="str">
        <f t="shared" si="0"/>
        <v/>
      </c>
      <c r="G4233" s="1" t="e">
        <f>IF(VALUE(F4233) = VALUE(RIGHT(Insights!$C$3, 4)), E4233, "")</f>
        <v>#VALUE!</v>
      </c>
      <c r="H4233" s="26" t="e">
        <f t="shared" si="1"/>
        <v>#VALUE!</v>
      </c>
      <c r="I4233" s="1" t="e">
        <f t="shared" si="2"/>
        <v>#VALUE!</v>
      </c>
    </row>
    <row r="4234" spans="1:9" ht="15.75" customHeight="1">
      <c r="A4234" s="26"/>
      <c r="B4234" s="2"/>
      <c r="C4234" s="26"/>
      <c r="D4234" s="26"/>
      <c r="F4234" s="85" t="str">
        <f t="shared" si="0"/>
        <v/>
      </c>
      <c r="G4234" s="1" t="e">
        <f>IF(VALUE(F4234) = VALUE(RIGHT(Insights!$C$3, 4)), E4234, "")</f>
        <v>#VALUE!</v>
      </c>
      <c r="H4234" s="26" t="e">
        <f t="shared" si="1"/>
        <v>#VALUE!</v>
      </c>
      <c r="I4234" s="1" t="e">
        <f t="shared" si="2"/>
        <v>#VALUE!</v>
      </c>
    </row>
    <row r="4235" spans="1:9" ht="15.75" customHeight="1">
      <c r="A4235" s="26"/>
      <c r="B4235" s="2"/>
      <c r="C4235" s="26"/>
      <c r="D4235" s="26"/>
      <c r="F4235" s="85" t="str">
        <f t="shared" si="0"/>
        <v/>
      </c>
      <c r="G4235" s="1" t="e">
        <f>IF(VALUE(F4235) = VALUE(RIGHT(Insights!$C$3, 4)), E4235, "")</f>
        <v>#VALUE!</v>
      </c>
      <c r="H4235" s="26" t="e">
        <f t="shared" si="1"/>
        <v>#VALUE!</v>
      </c>
      <c r="I4235" s="1" t="e">
        <f t="shared" si="2"/>
        <v>#VALUE!</v>
      </c>
    </row>
    <row r="4236" spans="1:9" ht="15.75" customHeight="1">
      <c r="A4236" s="26"/>
      <c r="B4236" s="2"/>
      <c r="C4236" s="26"/>
      <c r="D4236" s="26"/>
      <c r="F4236" s="85" t="str">
        <f t="shared" si="0"/>
        <v/>
      </c>
      <c r="G4236" s="1" t="e">
        <f>IF(VALUE(F4236) = VALUE(RIGHT(Insights!$C$3, 4)), E4236, "")</f>
        <v>#VALUE!</v>
      </c>
      <c r="H4236" s="26" t="e">
        <f t="shared" si="1"/>
        <v>#VALUE!</v>
      </c>
      <c r="I4236" s="1" t="e">
        <f t="shared" si="2"/>
        <v>#VALUE!</v>
      </c>
    </row>
    <row r="4237" spans="1:9" ht="15.75" customHeight="1">
      <c r="A4237" s="26"/>
      <c r="B4237" s="2"/>
      <c r="C4237" s="26"/>
      <c r="D4237" s="26"/>
      <c r="F4237" s="85" t="str">
        <f t="shared" si="0"/>
        <v/>
      </c>
      <c r="G4237" s="1" t="e">
        <f>IF(VALUE(F4237) = VALUE(RIGHT(Insights!$C$3, 4)), E4237, "")</f>
        <v>#VALUE!</v>
      </c>
      <c r="H4237" s="26" t="e">
        <f t="shared" si="1"/>
        <v>#VALUE!</v>
      </c>
      <c r="I4237" s="1" t="e">
        <f t="shared" si="2"/>
        <v>#VALUE!</v>
      </c>
    </row>
    <row r="4238" spans="1:9" ht="15.75" customHeight="1">
      <c r="A4238" s="26"/>
      <c r="B4238" s="2"/>
      <c r="C4238" s="26"/>
      <c r="D4238" s="26"/>
      <c r="F4238" s="85" t="str">
        <f t="shared" si="0"/>
        <v/>
      </c>
      <c r="G4238" s="1" t="e">
        <f>IF(VALUE(F4238) = VALUE(RIGHT(Insights!$C$3, 4)), E4238, "")</f>
        <v>#VALUE!</v>
      </c>
      <c r="H4238" s="26" t="e">
        <f t="shared" si="1"/>
        <v>#VALUE!</v>
      </c>
      <c r="I4238" s="1" t="e">
        <f t="shared" si="2"/>
        <v>#VALUE!</v>
      </c>
    </row>
    <row r="4239" spans="1:9" ht="15.75" customHeight="1">
      <c r="A4239" s="26"/>
      <c r="B4239" s="2"/>
      <c r="C4239" s="26"/>
      <c r="D4239" s="26"/>
      <c r="F4239" s="85" t="str">
        <f t="shared" si="0"/>
        <v/>
      </c>
      <c r="G4239" s="1" t="e">
        <f>IF(VALUE(F4239) = VALUE(RIGHT(Insights!$C$3, 4)), E4239, "")</f>
        <v>#VALUE!</v>
      </c>
      <c r="H4239" s="26" t="e">
        <f t="shared" si="1"/>
        <v>#VALUE!</v>
      </c>
      <c r="I4239" s="1" t="e">
        <f t="shared" si="2"/>
        <v>#VALUE!</v>
      </c>
    </row>
    <row r="4240" spans="1:9" ht="15.75" customHeight="1">
      <c r="A4240" s="26"/>
      <c r="B4240" s="2"/>
      <c r="C4240" s="26"/>
      <c r="D4240" s="26"/>
      <c r="F4240" s="85" t="str">
        <f t="shared" si="0"/>
        <v/>
      </c>
      <c r="G4240" s="1" t="e">
        <f>IF(VALUE(F4240) = VALUE(RIGHT(Insights!$C$3, 4)), E4240, "")</f>
        <v>#VALUE!</v>
      </c>
      <c r="H4240" s="26" t="e">
        <f t="shared" si="1"/>
        <v>#VALUE!</v>
      </c>
      <c r="I4240" s="1" t="e">
        <f t="shared" si="2"/>
        <v>#VALUE!</v>
      </c>
    </row>
    <row r="4241" spans="1:9" ht="15.75" customHeight="1">
      <c r="A4241" s="26"/>
      <c r="B4241" s="2"/>
      <c r="C4241" s="26"/>
      <c r="D4241" s="26"/>
      <c r="F4241" s="85" t="str">
        <f t="shared" si="0"/>
        <v/>
      </c>
      <c r="G4241" s="1" t="e">
        <f>IF(VALUE(F4241) = VALUE(RIGHT(Insights!$C$3, 4)), E4241, "")</f>
        <v>#VALUE!</v>
      </c>
      <c r="H4241" s="26" t="e">
        <f t="shared" si="1"/>
        <v>#VALUE!</v>
      </c>
      <c r="I4241" s="1" t="e">
        <f t="shared" si="2"/>
        <v>#VALUE!</v>
      </c>
    </row>
    <row r="4242" spans="1:9" ht="15.75" customHeight="1">
      <c r="A4242" s="26"/>
      <c r="B4242" s="2"/>
      <c r="C4242" s="26"/>
      <c r="D4242" s="26"/>
      <c r="F4242" s="85" t="str">
        <f t="shared" si="0"/>
        <v/>
      </c>
      <c r="G4242" s="1" t="e">
        <f>IF(VALUE(F4242) = VALUE(RIGHT(Insights!$C$3, 4)), E4242, "")</f>
        <v>#VALUE!</v>
      </c>
      <c r="H4242" s="26" t="e">
        <f t="shared" si="1"/>
        <v>#VALUE!</v>
      </c>
      <c r="I4242" s="1" t="e">
        <f t="shared" si="2"/>
        <v>#VALUE!</v>
      </c>
    </row>
    <row r="4243" spans="1:9" ht="15.75" customHeight="1">
      <c r="A4243" s="26"/>
      <c r="B4243" s="2"/>
      <c r="C4243" s="26"/>
      <c r="D4243" s="26"/>
      <c r="F4243" s="85" t="str">
        <f t="shared" si="0"/>
        <v/>
      </c>
      <c r="G4243" s="1" t="e">
        <f>IF(VALUE(F4243) = VALUE(RIGHT(Insights!$C$3, 4)), E4243, "")</f>
        <v>#VALUE!</v>
      </c>
      <c r="H4243" s="26" t="e">
        <f t="shared" si="1"/>
        <v>#VALUE!</v>
      </c>
      <c r="I4243" s="1" t="e">
        <f t="shared" si="2"/>
        <v>#VALUE!</v>
      </c>
    </row>
    <row r="4244" spans="1:9" ht="15.75" customHeight="1">
      <c r="A4244" s="26"/>
      <c r="B4244" s="2"/>
      <c r="C4244" s="26"/>
      <c r="D4244" s="26"/>
      <c r="F4244" s="85" t="str">
        <f t="shared" si="0"/>
        <v/>
      </c>
      <c r="G4244" s="1" t="e">
        <f>IF(VALUE(F4244) = VALUE(RIGHT(Insights!$C$3, 4)), E4244, "")</f>
        <v>#VALUE!</v>
      </c>
      <c r="H4244" s="26" t="e">
        <f t="shared" si="1"/>
        <v>#VALUE!</v>
      </c>
      <c r="I4244" s="1" t="e">
        <f t="shared" si="2"/>
        <v>#VALUE!</v>
      </c>
    </row>
    <row r="4245" spans="1:9" ht="15.75" customHeight="1">
      <c r="A4245" s="26"/>
      <c r="B4245" s="2"/>
      <c r="C4245" s="26"/>
      <c r="D4245" s="26"/>
      <c r="F4245" s="85" t="str">
        <f t="shared" si="0"/>
        <v/>
      </c>
      <c r="G4245" s="1" t="e">
        <f>IF(VALUE(F4245) = VALUE(RIGHT(Insights!$C$3, 4)), E4245, "")</f>
        <v>#VALUE!</v>
      </c>
      <c r="H4245" s="26" t="e">
        <f t="shared" si="1"/>
        <v>#VALUE!</v>
      </c>
      <c r="I4245" s="1" t="e">
        <f t="shared" si="2"/>
        <v>#VALUE!</v>
      </c>
    </row>
    <row r="4246" spans="1:9" ht="15.75" customHeight="1">
      <c r="A4246" s="26"/>
      <c r="B4246" s="2"/>
      <c r="C4246" s="26"/>
      <c r="D4246" s="26"/>
      <c r="F4246" s="85" t="str">
        <f t="shared" si="0"/>
        <v/>
      </c>
      <c r="G4246" s="1" t="e">
        <f>IF(VALUE(F4246) = VALUE(RIGHT(Insights!$C$3, 4)), E4246, "")</f>
        <v>#VALUE!</v>
      </c>
      <c r="H4246" s="26" t="e">
        <f t="shared" si="1"/>
        <v>#VALUE!</v>
      </c>
      <c r="I4246" s="1" t="e">
        <f t="shared" si="2"/>
        <v>#VALUE!</v>
      </c>
    </row>
    <row r="4247" spans="1:9" ht="15.75" customHeight="1">
      <c r="A4247" s="26"/>
      <c r="B4247" s="2"/>
      <c r="C4247" s="26"/>
      <c r="D4247" s="26"/>
      <c r="F4247" s="85" t="str">
        <f t="shared" si="0"/>
        <v/>
      </c>
      <c r="G4247" s="1" t="e">
        <f>IF(VALUE(F4247) = VALUE(RIGHT(Insights!$C$3, 4)), E4247, "")</f>
        <v>#VALUE!</v>
      </c>
      <c r="H4247" s="26" t="e">
        <f t="shared" si="1"/>
        <v>#VALUE!</v>
      </c>
      <c r="I4247" s="1" t="e">
        <f t="shared" si="2"/>
        <v>#VALUE!</v>
      </c>
    </row>
    <row r="4248" spans="1:9" ht="15.75" customHeight="1">
      <c r="A4248" s="26"/>
      <c r="B4248" s="2"/>
      <c r="C4248" s="26"/>
      <c r="D4248" s="26"/>
      <c r="F4248" s="85" t="str">
        <f t="shared" si="0"/>
        <v/>
      </c>
      <c r="G4248" s="1" t="e">
        <f>IF(VALUE(F4248) = VALUE(RIGHT(Insights!$C$3, 4)), E4248, "")</f>
        <v>#VALUE!</v>
      </c>
      <c r="H4248" s="26" t="e">
        <f t="shared" si="1"/>
        <v>#VALUE!</v>
      </c>
      <c r="I4248" s="1" t="e">
        <f t="shared" si="2"/>
        <v>#VALUE!</v>
      </c>
    </row>
    <row r="4249" spans="1:9" ht="15.75" customHeight="1">
      <c r="A4249" s="26"/>
      <c r="B4249" s="2"/>
      <c r="C4249" s="26"/>
      <c r="D4249" s="26"/>
      <c r="F4249" s="85" t="str">
        <f t="shared" si="0"/>
        <v/>
      </c>
      <c r="G4249" s="1" t="e">
        <f>IF(VALUE(F4249) = VALUE(RIGHT(Insights!$C$3, 4)), E4249, "")</f>
        <v>#VALUE!</v>
      </c>
      <c r="H4249" s="26" t="e">
        <f t="shared" si="1"/>
        <v>#VALUE!</v>
      </c>
      <c r="I4249" s="1" t="e">
        <f t="shared" si="2"/>
        <v>#VALUE!</v>
      </c>
    </row>
    <row r="4250" spans="1:9" ht="15.75" customHeight="1">
      <c r="A4250" s="26"/>
      <c r="B4250" s="2"/>
      <c r="C4250" s="26"/>
      <c r="D4250" s="26"/>
      <c r="F4250" s="85" t="str">
        <f t="shared" si="0"/>
        <v/>
      </c>
      <c r="G4250" s="1" t="e">
        <f>IF(VALUE(F4250) = VALUE(RIGHT(Insights!$C$3, 4)), E4250, "")</f>
        <v>#VALUE!</v>
      </c>
      <c r="H4250" s="26" t="e">
        <f t="shared" si="1"/>
        <v>#VALUE!</v>
      </c>
      <c r="I4250" s="1" t="e">
        <f t="shared" si="2"/>
        <v>#VALUE!</v>
      </c>
    </row>
    <row r="4251" spans="1:9" ht="15.75" customHeight="1">
      <c r="A4251" s="26"/>
      <c r="B4251" s="2"/>
      <c r="C4251" s="26"/>
      <c r="D4251" s="26"/>
      <c r="F4251" s="85" t="str">
        <f t="shared" si="0"/>
        <v/>
      </c>
      <c r="G4251" s="1" t="e">
        <f>IF(VALUE(F4251) = VALUE(RIGHT(Insights!$C$3, 4)), E4251, "")</f>
        <v>#VALUE!</v>
      </c>
      <c r="H4251" s="26" t="e">
        <f t="shared" si="1"/>
        <v>#VALUE!</v>
      </c>
      <c r="I4251" s="1" t="e">
        <f t="shared" si="2"/>
        <v>#VALUE!</v>
      </c>
    </row>
    <row r="4252" spans="1:9" ht="15.75" customHeight="1">
      <c r="A4252" s="26"/>
      <c r="B4252" s="2"/>
      <c r="C4252" s="26"/>
      <c r="D4252" s="26"/>
      <c r="F4252" s="85" t="str">
        <f t="shared" si="0"/>
        <v/>
      </c>
      <c r="G4252" s="1" t="e">
        <f>IF(VALUE(F4252) = VALUE(RIGHT(Insights!$C$3, 4)), E4252, "")</f>
        <v>#VALUE!</v>
      </c>
      <c r="H4252" s="26" t="e">
        <f t="shared" si="1"/>
        <v>#VALUE!</v>
      </c>
      <c r="I4252" s="1" t="e">
        <f t="shared" si="2"/>
        <v>#VALUE!</v>
      </c>
    </row>
    <row r="4253" spans="1:9" ht="15.75" customHeight="1">
      <c r="A4253" s="26"/>
      <c r="B4253" s="2"/>
      <c r="C4253" s="26"/>
      <c r="D4253" s="26"/>
      <c r="F4253" s="85" t="str">
        <f t="shared" si="0"/>
        <v/>
      </c>
      <c r="G4253" s="1" t="e">
        <f>IF(VALUE(F4253) = VALUE(RIGHT(Insights!$C$3, 4)), E4253, "")</f>
        <v>#VALUE!</v>
      </c>
      <c r="H4253" s="26" t="e">
        <f t="shared" si="1"/>
        <v>#VALUE!</v>
      </c>
      <c r="I4253" s="1" t="e">
        <f t="shared" si="2"/>
        <v>#VALUE!</v>
      </c>
    </row>
    <row r="4254" spans="1:9" ht="15.75" customHeight="1">
      <c r="A4254" s="26"/>
      <c r="B4254" s="2"/>
      <c r="C4254" s="26"/>
      <c r="D4254" s="26"/>
      <c r="F4254" s="85" t="str">
        <f t="shared" si="0"/>
        <v/>
      </c>
      <c r="G4254" s="1" t="e">
        <f>IF(VALUE(F4254) = VALUE(RIGHT(Insights!$C$3, 4)), E4254, "")</f>
        <v>#VALUE!</v>
      </c>
      <c r="H4254" s="26" t="e">
        <f t="shared" si="1"/>
        <v>#VALUE!</v>
      </c>
      <c r="I4254" s="1" t="e">
        <f t="shared" si="2"/>
        <v>#VALUE!</v>
      </c>
    </row>
    <row r="4255" spans="1:9" ht="15.75" customHeight="1">
      <c r="A4255" s="26"/>
      <c r="B4255" s="2"/>
      <c r="C4255" s="26"/>
      <c r="D4255" s="26"/>
      <c r="F4255" s="85" t="str">
        <f t="shared" si="0"/>
        <v/>
      </c>
      <c r="G4255" s="1" t="e">
        <f>IF(VALUE(F4255) = VALUE(RIGHT(Insights!$C$3, 4)), E4255, "")</f>
        <v>#VALUE!</v>
      </c>
      <c r="H4255" s="26" t="e">
        <f t="shared" si="1"/>
        <v>#VALUE!</v>
      </c>
      <c r="I4255" s="1" t="e">
        <f t="shared" si="2"/>
        <v>#VALUE!</v>
      </c>
    </row>
    <row r="4256" spans="1:9" ht="15.75" customHeight="1">
      <c r="A4256" s="26"/>
      <c r="B4256" s="2"/>
      <c r="C4256" s="26"/>
      <c r="D4256" s="26"/>
      <c r="F4256" s="85" t="str">
        <f t="shared" si="0"/>
        <v/>
      </c>
      <c r="G4256" s="1" t="e">
        <f>IF(VALUE(F4256) = VALUE(RIGHT(Insights!$C$3, 4)), E4256, "")</f>
        <v>#VALUE!</v>
      </c>
      <c r="H4256" s="26" t="e">
        <f t="shared" si="1"/>
        <v>#VALUE!</v>
      </c>
      <c r="I4256" s="1" t="e">
        <f t="shared" si="2"/>
        <v>#VALUE!</v>
      </c>
    </row>
    <row r="4257" spans="1:9" ht="15.75" customHeight="1">
      <c r="A4257" s="26"/>
      <c r="B4257" s="2"/>
      <c r="C4257" s="26"/>
      <c r="D4257" s="26"/>
      <c r="F4257" s="85" t="str">
        <f t="shared" si="0"/>
        <v/>
      </c>
      <c r="G4257" s="1" t="e">
        <f>IF(VALUE(F4257) = VALUE(RIGHT(Insights!$C$3, 4)), E4257, "")</f>
        <v>#VALUE!</v>
      </c>
      <c r="H4257" s="26" t="e">
        <f t="shared" si="1"/>
        <v>#VALUE!</v>
      </c>
      <c r="I4257" s="1" t="e">
        <f t="shared" si="2"/>
        <v>#VALUE!</v>
      </c>
    </row>
    <row r="4258" spans="1:9" ht="15.75" customHeight="1">
      <c r="A4258" s="26"/>
      <c r="B4258" s="2"/>
      <c r="C4258" s="26"/>
      <c r="D4258" s="26"/>
      <c r="F4258" s="85" t="str">
        <f t="shared" si="0"/>
        <v/>
      </c>
      <c r="G4258" s="1" t="e">
        <f>IF(VALUE(F4258) = VALUE(RIGHT(Insights!$C$3, 4)), E4258, "")</f>
        <v>#VALUE!</v>
      </c>
      <c r="H4258" s="26" t="e">
        <f t="shared" si="1"/>
        <v>#VALUE!</v>
      </c>
      <c r="I4258" s="1" t="e">
        <f t="shared" si="2"/>
        <v>#VALUE!</v>
      </c>
    </row>
    <row r="4259" spans="1:9" ht="15.75" customHeight="1">
      <c r="A4259" s="26"/>
      <c r="B4259" s="2"/>
      <c r="C4259" s="26"/>
      <c r="D4259" s="26"/>
      <c r="F4259" s="85" t="str">
        <f t="shared" si="0"/>
        <v/>
      </c>
      <c r="G4259" s="1" t="e">
        <f>IF(VALUE(F4259) = VALUE(RIGHT(Insights!$C$3, 4)), E4259, "")</f>
        <v>#VALUE!</v>
      </c>
      <c r="H4259" s="26" t="e">
        <f t="shared" si="1"/>
        <v>#VALUE!</v>
      </c>
      <c r="I4259" s="1" t="e">
        <f t="shared" si="2"/>
        <v>#VALUE!</v>
      </c>
    </row>
    <row r="4260" spans="1:9" ht="15.75" customHeight="1">
      <c r="A4260" s="26"/>
      <c r="B4260" s="2"/>
      <c r="C4260" s="26"/>
      <c r="D4260" s="26"/>
      <c r="F4260" s="85" t="str">
        <f t="shared" si="0"/>
        <v/>
      </c>
      <c r="G4260" s="1" t="e">
        <f>IF(VALUE(F4260) = VALUE(RIGHT(Insights!$C$3, 4)), E4260, "")</f>
        <v>#VALUE!</v>
      </c>
      <c r="H4260" s="26" t="e">
        <f t="shared" si="1"/>
        <v>#VALUE!</v>
      </c>
      <c r="I4260" s="1" t="e">
        <f t="shared" si="2"/>
        <v>#VALUE!</v>
      </c>
    </row>
    <row r="4261" spans="1:9" ht="15.75" customHeight="1">
      <c r="A4261" s="26"/>
      <c r="B4261" s="2"/>
      <c r="C4261" s="26"/>
      <c r="D4261" s="26"/>
      <c r="F4261" s="85" t="str">
        <f t="shared" si="0"/>
        <v/>
      </c>
      <c r="G4261" s="1" t="e">
        <f>IF(VALUE(F4261) = VALUE(RIGHT(Insights!$C$3, 4)), E4261, "")</f>
        <v>#VALUE!</v>
      </c>
      <c r="H4261" s="26" t="e">
        <f t="shared" si="1"/>
        <v>#VALUE!</v>
      </c>
      <c r="I4261" s="1" t="e">
        <f t="shared" si="2"/>
        <v>#VALUE!</v>
      </c>
    </row>
    <row r="4262" spans="1:9" ht="15.75" customHeight="1">
      <c r="A4262" s="26"/>
      <c r="B4262" s="2"/>
      <c r="C4262" s="26"/>
      <c r="D4262" s="26"/>
      <c r="F4262" s="85" t="str">
        <f t="shared" si="0"/>
        <v/>
      </c>
      <c r="G4262" s="1" t="e">
        <f>IF(VALUE(F4262) = VALUE(RIGHT(Insights!$C$3, 4)), E4262, "")</f>
        <v>#VALUE!</v>
      </c>
      <c r="H4262" s="26" t="e">
        <f t="shared" si="1"/>
        <v>#VALUE!</v>
      </c>
      <c r="I4262" s="1" t="e">
        <f t="shared" si="2"/>
        <v>#VALUE!</v>
      </c>
    </row>
    <row r="4263" spans="1:9" ht="15.75" customHeight="1">
      <c r="A4263" s="26"/>
      <c r="B4263" s="2"/>
      <c r="C4263" s="26"/>
      <c r="D4263" s="26"/>
      <c r="F4263" s="85" t="str">
        <f t="shared" si="0"/>
        <v/>
      </c>
      <c r="G4263" s="1" t="e">
        <f>IF(VALUE(F4263) = VALUE(RIGHT(Insights!$C$3, 4)), E4263, "")</f>
        <v>#VALUE!</v>
      </c>
      <c r="H4263" s="26" t="e">
        <f t="shared" si="1"/>
        <v>#VALUE!</v>
      </c>
      <c r="I4263" s="1" t="e">
        <f t="shared" si="2"/>
        <v>#VALUE!</v>
      </c>
    </row>
    <row r="4264" spans="1:9" ht="15.75" customHeight="1">
      <c r="A4264" s="26"/>
      <c r="B4264" s="2"/>
      <c r="C4264" s="26"/>
      <c r="D4264" s="26"/>
      <c r="F4264" s="85" t="str">
        <f t="shared" si="0"/>
        <v/>
      </c>
      <c r="G4264" s="1" t="e">
        <f>IF(VALUE(F4264) = VALUE(RIGHT(Insights!$C$3, 4)), E4264, "")</f>
        <v>#VALUE!</v>
      </c>
      <c r="H4264" s="26" t="e">
        <f t="shared" si="1"/>
        <v>#VALUE!</v>
      </c>
      <c r="I4264" s="1" t="e">
        <f t="shared" si="2"/>
        <v>#VALUE!</v>
      </c>
    </row>
    <row r="4265" spans="1:9" ht="15.75" customHeight="1">
      <c r="A4265" s="26"/>
      <c r="B4265" s="2"/>
      <c r="C4265" s="26"/>
      <c r="D4265" s="26"/>
      <c r="F4265" s="85" t="str">
        <f t="shared" si="0"/>
        <v/>
      </c>
      <c r="G4265" s="1" t="e">
        <f>IF(VALUE(F4265) = VALUE(RIGHT(Insights!$C$3, 4)), E4265, "")</f>
        <v>#VALUE!</v>
      </c>
      <c r="H4265" s="26" t="e">
        <f t="shared" si="1"/>
        <v>#VALUE!</v>
      </c>
      <c r="I4265" s="1" t="e">
        <f t="shared" si="2"/>
        <v>#VALUE!</v>
      </c>
    </row>
    <row r="4266" spans="1:9" ht="15.75" customHeight="1">
      <c r="A4266" s="26"/>
      <c r="B4266" s="2"/>
      <c r="C4266" s="26"/>
      <c r="D4266" s="26"/>
      <c r="F4266" s="85" t="str">
        <f t="shared" si="0"/>
        <v/>
      </c>
      <c r="G4266" s="1" t="e">
        <f>IF(VALUE(F4266) = VALUE(RIGHT(Insights!$C$3, 4)), E4266, "")</f>
        <v>#VALUE!</v>
      </c>
      <c r="H4266" s="26" t="e">
        <f t="shared" si="1"/>
        <v>#VALUE!</v>
      </c>
      <c r="I4266" s="1" t="e">
        <f t="shared" si="2"/>
        <v>#VALUE!</v>
      </c>
    </row>
    <row r="4267" spans="1:9" ht="15.75" customHeight="1">
      <c r="A4267" s="26"/>
      <c r="B4267" s="2"/>
      <c r="C4267" s="26"/>
      <c r="D4267" s="26"/>
      <c r="F4267" s="85" t="str">
        <f t="shared" si="0"/>
        <v/>
      </c>
      <c r="G4267" s="1" t="e">
        <f>IF(VALUE(F4267) = VALUE(RIGHT(Insights!$C$3, 4)), E4267, "")</f>
        <v>#VALUE!</v>
      </c>
      <c r="H4267" s="26" t="e">
        <f t="shared" si="1"/>
        <v>#VALUE!</v>
      </c>
      <c r="I4267" s="1" t="e">
        <f t="shared" si="2"/>
        <v>#VALUE!</v>
      </c>
    </row>
    <row r="4268" spans="1:9" ht="15.75" customHeight="1">
      <c r="A4268" s="26"/>
      <c r="B4268" s="2"/>
      <c r="C4268" s="26"/>
      <c r="D4268" s="26"/>
      <c r="F4268" s="85" t="str">
        <f t="shared" si="0"/>
        <v/>
      </c>
      <c r="G4268" s="1" t="e">
        <f>IF(VALUE(F4268) = VALUE(RIGHT(Insights!$C$3, 4)), E4268, "")</f>
        <v>#VALUE!</v>
      </c>
      <c r="H4268" s="26" t="e">
        <f t="shared" si="1"/>
        <v>#VALUE!</v>
      </c>
      <c r="I4268" s="1" t="e">
        <f t="shared" si="2"/>
        <v>#VALUE!</v>
      </c>
    </row>
    <row r="4269" spans="1:9" ht="15.75" customHeight="1">
      <c r="A4269" s="26"/>
      <c r="B4269" s="2"/>
      <c r="C4269" s="26"/>
      <c r="D4269" s="26"/>
      <c r="F4269" s="85" t="str">
        <f t="shared" si="0"/>
        <v/>
      </c>
      <c r="G4269" s="1" t="e">
        <f>IF(VALUE(F4269) = VALUE(RIGHT(Insights!$C$3, 4)), E4269, "")</f>
        <v>#VALUE!</v>
      </c>
      <c r="H4269" s="26" t="e">
        <f t="shared" si="1"/>
        <v>#VALUE!</v>
      </c>
      <c r="I4269" s="1" t="e">
        <f t="shared" si="2"/>
        <v>#VALUE!</v>
      </c>
    </row>
    <row r="4270" spans="1:9" ht="15.75" customHeight="1">
      <c r="A4270" s="26"/>
      <c r="B4270" s="2"/>
      <c r="C4270" s="26"/>
      <c r="D4270" s="26"/>
      <c r="F4270" s="85" t="str">
        <f t="shared" si="0"/>
        <v/>
      </c>
      <c r="G4270" s="1" t="e">
        <f>IF(VALUE(F4270) = VALUE(RIGHT(Insights!$C$3, 4)), E4270, "")</f>
        <v>#VALUE!</v>
      </c>
      <c r="H4270" s="26" t="e">
        <f t="shared" si="1"/>
        <v>#VALUE!</v>
      </c>
      <c r="I4270" s="1" t="e">
        <f t="shared" si="2"/>
        <v>#VALUE!</v>
      </c>
    </row>
    <row r="4271" spans="1:9" ht="15.75" customHeight="1">
      <c r="A4271" s="26"/>
      <c r="B4271" s="2"/>
      <c r="C4271" s="26"/>
      <c r="D4271" s="26"/>
      <c r="F4271" s="85" t="str">
        <f t="shared" si="0"/>
        <v/>
      </c>
      <c r="G4271" s="1" t="e">
        <f>IF(VALUE(F4271) = VALUE(RIGHT(Insights!$C$3, 4)), E4271, "")</f>
        <v>#VALUE!</v>
      </c>
      <c r="H4271" s="26" t="e">
        <f t="shared" si="1"/>
        <v>#VALUE!</v>
      </c>
      <c r="I4271" s="1" t="e">
        <f t="shared" si="2"/>
        <v>#VALUE!</v>
      </c>
    </row>
    <row r="4272" spans="1:9" ht="15.75" customHeight="1">
      <c r="A4272" s="26"/>
      <c r="B4272" s="2"/>
      <c r="C4272" s="26"/>
      <c r="D4272" s="26"/>
      <c r="F4272" s="85" t="str">
        <f t="shared" si="0"/>
        <v/>
      </c>
      <c r="G4272" s="1" t="e">
        <f>IF(VALUE(F4272) = VALUE(RIGHT(Insights!$C$3, 4)), E4272, "")</f>
        <v>#VALUE!</v>
      </c>
      <c r="H4272" s="26" t="e">
        <f t="shared" si="1"/>
        <v>#VALUE!</v>
      </c>
      <c r="I4272" s="1" t="e">
        <f t="shared" si="2"/>
        <v>#VALUE!</v>
      </c>
    </row>
    <row r="4273" spans="1:9" ht="15.75" customHeight="1">
      <c r="A4273" s="26"/>
      <c r="B4273" s="2"/>
      <c r="C4273" s="26"/>
      <c r="D4273" s="26"/>
      <c r="F4273" s="85" t="str">
        <f t="shared" si="0"/>
        <v/>
      </c>
      <c r="G4273" s="1" t="e">
        <f>IF(VALUE(F4273) = VALUE(RIGHT(Insights!$C$3, 4)), E4273, "")</f>
        <v>#VALUE!</v>
      </c>
      <c r="H4273" s="26" t="e">
        <f t="shared" si="1"/>
        <v>#VALUE!</v>
      </c>
      <c r="I4273" s="1" t="e">
        <f t="shared" si="2"/>
        <v>#VALUE!</v>
      </c>
    </row>
    <row r="4274" spans="1:9" ht="15.75" customHeight="1">
      <c r="A4274" s="26"/>
      <c r="B4274" s="2"/>
      <c r="C4274" s="26"/>
      <c r="D4274" s="26"/>
      <c r="F4274" s="85" t="str">
        <f t="shared" si="0"/>
        <v/>
      </c>
      <c r="G4274" s="1" t="e">
        <f>IF(VALUE(F4274) = VALUE(RIGHT(Insights!$C$3, 4)), E4274, "")</f>
        <v>#VALUE!</v>
      </c>
      <c r="H4274" s="26" t="e">
        <f t="shared" si="1"/>
        <v>#VALUE!</v>
      </c>
      <c r="I4274" s="1" t="e">
        <f t="shared" si="2"/>
        <v>#VALUE!</v>
      </c>
    </row>
    <row r="4275" spans="1:9" ht="15.75" customHeight="1">
      <c r="A4275" s="26"/>
      <c r="B4275" s="2"/>
      <c r="C4275" s="26"/>
      <c r="D4275" s="26"/>
      <c r="F4275" s="85" t="str">
        <f t="shared" si="0"/>
        <v/>
      </c>
      <c r="G4275" s="1" t="e">
        <f>IF(VALUE(F4275) = VALUE(RIGHT(Insights!$C$3, 4)), E4275, "")</f>
        <v>#VALUE!</v>
      </c>
      <c r="H4275" s="26" t="e">
        <f t="shared" si="1"/>
        <v>#VALUE!</v>
      </c>
      <c r="I4275" s="1" t="e">
        <f t="shared" si="2"/>
        <v>#VALUE!</v>
      </c>
    </row>
    <row r="4276" spans="1:9" ht="15.75" customHeight="1">
      <c r="A4276" s="26"/>
      <c r="B4276" s="2"/>
      <c r="C4276" s="26"/>
      <c r="D4276" s="26"/>
      <c r="F4276" s="85" t="str">
        <f t="shared" si="0"/>
        <v/>
      </c>
      <c r="G4276" s="1" t="e">
        <f>IF(VALUE(F4276) = VALUE(RIGHT(Insights!$C$3, 4)), E4276, "")</f>
        <v>#VALUE!</v>
      </c>
      <c r="H4276" s="26" t="e">
        <f t="shared" si="1"/>
        <v>#VALUE!</v>
      </c>
      <c r="I4276" s="1" t="e">
        <f t="shared" si="2"/>
        <v>#VALUE!</v>
      </c>
    </row>
    <row r="4277" spans="1:9" ht="15.75" customHeight="1">
      <c r="A4277" s="26"/>
      <c r="B4277" s="2"/>
      <c r="C4277" s="26"/>
      <c r="D4277" s="26"/>
      <c r="F4277" s="85" t="str">
        <f t="shared" si="0"/>
        <v/>
      </c>
      <c r="G4277" s="1" t="e">
        <f>IF(VALUE(F4277) = VALUE(RIGHT(Insights!$C$3, 4)), E4277, "")</f>
        <v>#VALUE!</v>
      </c>
      <c r="H4277" s="26" t="e">
        <f t="shared" si="1"/>
        <v>#VALUE!</v>
      </c>
      <c r="I4277" s="1" t="e">
        <f t="shared" si="2"/>
        <v>#VALUE!</v>
      </c>
    </row>
    <row r="4278" spans="1:9" ht="15.75" customHeight="1">
      <c r="A4278" s="26"/>
      <c r="B4278" s="2"/>
      <c r="C4278" s="26"/>
      <c r="D4278" s="26"/>
      <c r="F4278" s="85" t="str">
        <f t="shared" si="0"/>
        <v/>
      </c>
      <c r="G4278" s="1" t="e">
        <f>IF(VALUE(F4278) = VALUE(RIGHT(Insights!$C$3, 4)), E4278, "")</f>
        <v>#VALUE!</v>
      </c>
      <c r="H4278" s="26" t="e">
        <f t="shared" si="1"/>
        <v>#VALUE!</v>
      </c>
      <c r="I4278" s="1" t="e">
        <f t="shared" si="2"/>
        <v>#VALUE!</v>
      </c>
    </row>
    <row r="4279" spans="1:9" ht="15.75" customHeight="1">
      <c r="A4279" s="26"/>
      <c r="B4279" s="2"/>
      <c r="C4279" s="26"/>
      <c r="D4279" s="26"/>
      <c r="F4279" s="85" t="str">
        <f t="shared" si="0"/>
        <v/>
      </c>
      <c r="G4279" s="1" t="e">
        <f>IF(VALUE(F4279) = VALUE(RIGHT(Insights!$C$3, 4)), E4279, "")</f>
        <v>#VALUE!</v>
      </c>
      <c r="H4279" s="26" t="e">
        <f t="shared" si="1"/>
        <v>#VALUE!</v>
      </c>
      <c r="I4279" s="1" t="e">
        <f t="shared" si="2"/>
        <v>#VALUE!</v>
      </c>
    </row>
    <row r="4280" spans="1:9" ht="15.75" customHeight="1">
      <c r="A4280" s="26"/>
      <c r="B4280" s="2"/>
      <c r="C4280" s="26"/>
      <c r="D4280" s="26"/>
      <c r="F4280" s="85" t="str">
        <f t="shared" si="0"/>
        <v/>
      </c>
      <c r="G4280" s="1" t="e">
        <f>IF(VALUE(F4280) = VALUE(RIGHT(Insights!$C$3, 4)), E4280, "")</f>
        <v>#VALUE!</v>
      </c>
      <c r="H4280" s="26" t="e">
        <f t="shared" si="1"/>
        <v>#VALUE!</v>
      </c>
      <c r="I4280" s="1" t="e">
        <f t="shared" si="2"/>
        <v>#VALUE!</v>
      </c>
    </row>
    <row r="4281" spans="1:9" ht="15.75" customHeight="1">
      <c r="A4281" s="26"/>
      <c r="B4281" s="2"/>
      <c r="C4281" s="26"/>
      <c r="D4281" s="26"/>
      <c r="F4281" s="85" t="str">
        <f t="shared" si="0"/>
        <v/>
      </c>
      <c r="G4281" s="1" t="e">
        <f>IF(VALUE(F4281) = VALUE(RIGHT(Insights!$C$3, 4)), E4281, "")</f>
        <v>#VALUE!</v>
      </c>
      <c r="H4281" s="26" t="e">
        <f t="shared" si="1"/>
        <v>#VALUE!</v>
      </c>
      <c r="I4281" s="1" t="e">
        <f t="shared" si="2"/>
        <v>#VALUE!</v>
      </c>
    </row>
    <row r="4282" spans="1:9" ht="15.75" customHeight="1">
      <c r="A4282" s="26"/>
      <c r="B4282" s="2"/>
      <c r="C4282" s="26"/>
      <c r="D4282" s="26"/>
      <c r="F4282" s="85" t="str">
        <f t="shared" si="0"/>
        <v/>
      </c>
      <c r="G4282" s="1" t="e">
        <f>IF(VALUE(F4282) = VALUE(RIGHT(Insights!$C$3, 4)), E4282, "")</f>
        <v>#VALUE!</v>
      </c>
      <c r="H4282" s="26" t="e">
        <f t="shared" si="1"/>
        <v>#VALUE!</v>
      </c>
      <c r="I4282" s="1" t="e">
        <f t="shared" si="2"/>
        <v>#VALUE!</v>
      </c>
    </row>
    <row r="4283" spans="1:9" ht="15.75" customHeight="1">
      <c r="A4283" s="26"/>
      <c r="B4283" s="2"/>
      <c r="C4283" s="26"/>
      <c r="D4283" s="26"/>
      <c r="F4283" s="85" t="str">
        <f t="shared" si="0"/>
        <v/>
      </c>
      <c r="G4283" s="1" t="e">
        <f>IF(VALUE(F4283) = VALUE(RIGHT(Insights!$C$3, 4)), E4283, "")</f>
        <v>#VALUE!</v>
      </c>
      <c r="H4283" s="26" t="e">
        <f t="shared" si="1"/>
        <v>#VALUE!</v>
      </c>
      <c r="I4283" s="1" t="e">
        <f t="shared" si="2"/>
        <v>#VALUE!</v>
      </c>
    </row>
    <row r="4284" spans="1:9" ht="15.75" customHeight="1">
      <c r="A4284" s="26"/>
      <c r="B4284" s="2"/>
      <c r="C4284" s="26"/>
      <c r="D4284" s="26"/>
      <c r="F4284" s="85" t="str">
        <f t="shared" si="0"/>
        <v/>
      </c>
      <c r="G4284" s="1" t="e">
        <f>IF(VALUE(F4284) = VALUE(RIGHT(Insights!$C$3, 4)), E4284, "")</f>
        <v>#VALUE!</v>
      </c>
      <c r="H4284" s="26" t="e">
        <f t="shared" si="1"/>
        <v>#VALUE!</v>
      </c>
      <c r="I4284" s="1" t="e">
        <f t="shared" si="2"/>
        <v>#VALUE!</v>
      </c>
    </row>
    <row r="4285" spans="1:9" ht="15.75" customHeight="1">
      <c r="A4285" s="26"/>
      <c r="B4285" s="2"/>
      <c r="C4285" s="26"/>
      <c r="D4285" s="26"/>
      <c r="F4285" s="85" t="str">
        <f t="shared" si="0"/>
        <v/>
      </c>
      <c r="G4285" s="1" t="e">
        <f>IF(VALUE(F4285) = VALUE(RIGHT(Insights!$C$3, 4)), E4285, "")</f>
        <v>#VALUE!</v>
      </c>
      <c r="H4285" s="26" t="e">
        <f t="shared" si="1"/>
        <v>#VALUE!</v>
      </c>
      <c r="I4285" s="1" t="e">
        <f t="shared" si="2"/>
        <v>#VALUE!</v>
      </c>
    </row>
    <row r="4286" spans="1:9" ht="15.75" customHeight="1">
      <c r="A4286" s="26"/>
      <c r="B4286" s="2"/>
      <c r="C4286" s="26"/>
      <c r="D4286" s="26"/>
      <c r="F4286" s="85" t="str">
        <f t="shared" si="0"/>
        <v/>
      </c>
      <c r="G4286" s="1" t="e">
        <f>IF(VALUE(F4286) = VALUE(RIGHT(Insights!$C$3, 4)), E4286, "")</f>
        <v>#VALUE!</v>
      </c>
      <c r="H4286" s="26" t="e">
        <f t="shared" si="1"/>
        <v>#VALUE!</v>
      </c>
      <c r="I4286" s="1" t="e">
        <f t="shared" si="2"/>
        <v>#VALUE!</v>
      </c>
    </row>
    <row r="4287" spans="1:9" ht="15.75" customHeight="1">
      <c r="A4287" s="26"/>
      <c r="B4287" s="2"/>
      <c r="C4287" s="26"/>
      <c r="D4287" s="26"/>
      <c r="F4287" s="85" t="str">
        <f t="shared" si="0"/>
        <v/>
      </c>
      <c r="G4287" s="1" t="e">
        <f>IF(VALUE(F4287) = VALUE(RIGHT(Insights!$C$3, 4)), E4287, "")</f>
        <v>#VALUE!</v>
      </c>
      <c r="H4287" s="26" t="e">
        <f t="shared" si="1"/>
        <v>#VALUE!</v>
      </c>
      <c r="I4287" s="1" t="e">
        <f t="shared" si="2"/>
        <v>#VALUE!</v>
      </c>
    </row>
    <row r="4288" spans="1:9" ht="15.75" customHeight="1">
      <c r="A4288" s="26"/>
      <c r="B4288" s="2"/>
      <c r="C4288" s="26"/>
      <c r="D4288" s="26"/>
      <c r="F4288" s="85" t="str">
        <f t="shared" si="0"/>
        <v/>
      </c>
      <c r="G4288" s="1" t="e">
        <f>IF(VALUE(F4288) = VALUE(RIGHT(Insights!$C$3, 4)), E4288, "")</f>
        <v>#VALUE!</v>
      </c>
      <c r="H4288" s="26" t="e">
        <f t="shared" si="1"/>
        <v>#VALUE!</v>
      </c>
      <c r="I4288" s="1" t="e">
        <f t="shared" si="2"/>
        <v>#VALUE!</v>
      </c>
    </row>
    <row r="4289" spans="1:9" ht="15.75" customHeight="1">
      <c r="A4289" s="26"/>
      <c r="B4289" s="2"/>
      <c r="C4289" s="26"/>
      <c r="D4289" s="26"/>
      <c r="F4289" s="85" t="str">
        <f t="shared" si="0"/>
        <v/>
      </c>
      <c r="G4289" s="1" t="e">
        <f>IF(VALUE(F4289) = VALUE(RIGHT(Insights!$C$3, 4)), E4289, "")</f>
        <v>#VALUE!</v>
      </c>
      <c r="H4289" s="26" t="e">
        <f t="shared" si="1"/>
        <v>#VALUE!</v>
      </c>
      <c r="I4289" s="1" t="e">
        <f t="shared" si="2"/>
        <v>#VALUE!</v>
      </c>
    </row>
    <row r="4290" spans="1:9" ht="15.75" customHeight="1">
      <c r="A4290" s="26"/>
      <c r="B4290" s="2"/>
      <c r="C4290" s="26"/>
      <c r="D4290" s="26"/>
      <c r="F4290" s="85" t="str">
        <f t="shared" si="0"/>
        <v/>
      </c>
      <c r="G4290" s="1" t="e">
        <f>IF(VALUE(F4290) = VALUE(RIGHT(Insights!$C$3, 4)), E4290, "")</f>
        <v>#VALUE!</v>
      </c>
      <c r="H4290" s="26" t="e">
        <f t="shared" si="1"/>
        <v>#VALUE!</v>
      </c>
      <c r="I4290" s="1" t="e">
        <f t="shared" si="2"/>
        <v>#VALUE!</v>
      </c>
    </row>
    <row r="4291" spans="1:9" ht="15.75" customHeight="1">
      <c r="A4291" s="26"/>
      <c r="B4291" s="2"/>
      <c r="C4291" s="26"/>
      <c r="D4291" s="26"/>
      <c r="F4291" s="85" t="str">
        <f t="shared" si="0"/>
        <v/>
      </c>
      <c r="G4291" s="1" t="e">
        <f>IF(VALUE(F4291) = VALUE(RIGHT(Insights!$C$3, 4)), E4291, "")</f>
        <v>#VALUE!</v>
      </c>
      <c r="H4291" s="26" t="e">
        <f t="shared" si="1"/>
        <v>#VALUE!</v>
      </c>
      <c r="I4291" s="1" t="e">
        <f t="shared" si="2"/>
        <v>#VALUE!</v>
      </c>
    </row>
    <row r="4292" spans="1:9" ht="15.75" customHeight="1">
      <c r="A4292" s="26"/>
      <c r="B4292" s="2"/>
      <c r="C4292" s="26"/>
      <c r="D4292" s="26"/>
      <c r="F4292" s="85" t="str">
        <f t="shared" si="0"/>
        <v/>
      </c>
      <c r="G4292" s="1" t="e">
        <f>IF(VALUE(F4292) = VALUE(RIGHT(Insights!$C$3, 4)), E4292, "")</f>
        <v>#VALUE!</v>
      </c>
      <c r="H4292" s="26" t="e">
        <f t="shared" si="1"/>
        <v>#VALUE!</v>
      </c>
      <c r="I4292" s="1" t="e">
        <f t="shared" si="2"/>
        <v>#VALUE!</v>
      </c>
    </row>
    <row r="4293" spans="1:9" ht="15.75" customHeight="1">
      <c r="A4293" s="26"/>
      <c r="B4293" s="2"/>
      <c r="C4293" s="26"/>
      <c r="D4293" s="26"/>
      <c r="F4293" s="85" t="str">
        <f t="shared" si="0"/>
        <v/>
      </c>
      <c r="G4293" s="1" t="e">
        <f>IF(VALUE(F4293) = VALUE(RIGHT(Insights!$C$3, 4)), E4293, "")</f>
        <v>#VALUE!</v>
      </c>
      <c r="H4293" s="26" t="e">
        <f t="shared" si="1"/>
        <v>#VALUE!</v>
      </c>
      <c r="I4293" s="1" t="e">
        <f t="shared" si="2"/>
        <v>#VALUE!</v>
      </c>
    </row>
    <row r="4294" spans="1:9" ht="15.75" customHeight="1">
      <c r="A4294" s="26"/>
      <c r="B4294" s="2"/>
      <c r="C4294" s="26"/>
      <c r="D4294" s="26"/>
      <c r="F4294" s="85" t="str">
        <f t="shared" si="0"/>
        <v/>
      </c>
      <c r="G4294" s="1" t="e">
        <f>IF(VALUE(F4294) = VALUE(RIGHT(Insights!$C$3, 4)), E4294, "")</f>
        <v>#VALUE!</v>
      </c>
      <c r="H4294" s="26" t="e">
        <f t="shared" si="1"/>
        <v>#VALUE!</v>
      </c>
      <c r="I4294" s="1" t="e">
        <f t="shared" si="2"/>
        <v>#VALUE!</v>
      </c>
    </row>
    <row r="4295" spans="1:9" ht="15.75" customHeight="1">
      <c r="A4295" s="26"/>
      <c r="B4295" s="2"/>
      <c r="C4295" s="26"/>
      <c r="D4295" s="26"/>
      <c r="F4295" s="85" t="str">
        <f t="shared" si="0"/>
        <v/>
      </c>
      <c r="G4295" s="1" t="e">
        <f>IF(VALUE(F4295) = VALUE(RIGHT(Insights!$C$3, 4)), E4295, "")</f>
        <v>#VALUE!</v>
      </c>
      <c r="H4295" s="26" t="e">
        <f t="shared" si="1"/>
        <v>#VALUE!</v>
      </c>
      <c r="I4295" s="1" t="e">
        <f t="shared" si="2"/>
        <v>#VALUE!</v>
      </c>
    </row>
    <row r="4296" spans="1:9" ht="15.75" customHeight="1">
      <c r="A4296" s="26"/>
      <c r="B4296" s="2"/>
      <c r="C4296" s="26"/>
      <c r="D4296" s="26"/>
      <c r="F4296" s="85" t="str">
        <f t="shared" si="0"/>
        <v/>
      </c>
      <c r="G4296" s="1" t="e">
        <f>IF(VALUE(F4296) = VALUE(RIGHT(Insights!$C$3, 4)), E4296, "")</f>
        <v>#VALUE!</v>
      </c>
      <c r="H4296" s="26" t="e">
        <f t="shared" si="1"/>
        <v>#VALUE!</v>
      </c>
      <c r="I4296" s="1" t="e">
        <f t="shared" si="2"/>
        <v>#VALUE!</v>
      </c>
    </row>
    <row r="4297" spans="1:9" ht="15.75" customHeight="1">
      <c r="A4297" s="26"/>
      <c r="B4297" s="2"/>
      <c r="C4297" s="26"/>
      <c r="D4297" s="26"/>
      <c r="F4297" s="85" t="str">
        <f t="shared" si="0"/>
        <v/>
      </c>
      <c r="G4297" s="1" t="e">
        <f>IF(VALUE(F4297) = VALUE(RIGHT(Insights!$C$3, 4)), E4297, "")</f>
        <v>#VALUE!</v>
      </c>
      <c r="H4297" s="26" t="e">
        <f t="shared" si="1"/>
        <v>#VALUE!</v>
      </c>
      <c r="I4297" s="1" t="e">
        <f t="shared" si="2"/>
        <v>#VALUE!</v>
      </c>
    </row>
    <row r="4298" spans="1:9" ht="15.75" customHeight="1">
      <c r="A4298" s="26"/>
      <c r="B4298" s="2"/>
      <c r="C4298" s="26"/>
      <c r="D4298" s="26"/>
      <c r="F4298" s="85" t="str">
        <f t="shared" si="0"/>
        <v/>
      </c>
      <c r="G4298" s="1" t="e">
        <f>IF(VALUE(F4298) = VALUE(RIGHT(Insights!$C$3, 4)), E4298, "")</f>
        <v>#VALUE!</v>
      </c>
      <c r="H4298" s="26" t="e">
        <f t="shared" si="1"/>
        <v>#VALUE!</v>
      </c>
      <c r="I4298" s="1" t="e">
        <f t="shared" si="2"/>
        <v>#VALUE!</v>
      </c>
    </row>
    <row r="4299" spans="1:9" ht="15.75" customHeight="1">
      <c r="A4299" s="26"/>
      <c r="B4299" s="2"/>
      <c r="C4299" s="26"/>
      <c r="D4299" s="26"/>
      <c r="F4299" s="85" t="str">
        <f t="shared" si="0"/>
        <v/>
      </c>
      <c r="G4299" s="1" t="e">
        <f>IF(VALUE(F4299) = VALUE(RIGHT(Insights!$C$3, 4)), E4299, "")</f>
        <v>#VALUE!</v>
      </c>
      <c r="H4299" s="26" t="e">
        <f t="shared" si="1"/>
        <v>#VALUE!</v>
      </c>
      <c r="I4299" s="1" t="e">
        <f t="shared" si="2"/>
        <v>#VALUE!</v>
      </c>
    </row>
    <row r="4300" spans="1:9" ht="15.75" customHeight="1">
      <c r="A4300" s="26"/>
      <c r="B4300" s="2"/>
      <c r="C4300" s="26"/>
      <c r="D4300" s="26"/>
      <c r="F4300" s="85" t="str">
        <f t="shared" si="0"/>
        <v/>
      </c>
      <c r="G4300" s="1" t="e">
        <f>IF(VALUE(F4300) = VALUE(RIGHT(Insights!$C$3, 4)), E4300, "")</f>
        <v>#VALUE!</v>
      </c>
      <c r="H4300" s="26" t="e">
        <f t="shared" si="1"/>
        <v>#VALUE!</v>
      </c>
      <c r="I4300" s="1" t="e">
        <f t="shared" si="2"/>
        <v>#VALUE!</v>
      </c>
    </row>
    <row r="4301" spans="1:9" ht="15.75" customHeight="1">
      <c r="A4301" s="26"/>
      <c r="B4301" s="2"/>
      <c r="C4301" s="26"/>
      <c r="D4301" s="26"/>
      <c r="F4301" s="85" t="str">
        <f t="shared" si="0"/>
        <v/>
      </c>
      <c r="G4301" s="1" t="e">
        <f>IF(VALUE(F4301) = VALUE(RIGHT(Insights!$C$3, 4)), E4301, "")</f>
        <v>#VALUE!</v>
      </c>
      <c r="H4301" s="26" t="e">
        <f t="shared" si="1"/>
        <v>#VALUE!</v>
      </c>
      <c r="I4301" s="1" t="e">
        <f t="shared" si="2"/>
        <v>#VALUE!</v>
      </c>
    </row>
    <row r="4302" spans="1:9" ht="15.75" customHeight="1">
      <c r="A4302" s="26"/>
      <c r="B4302" s="2"/>
      <c r="C4302" s="26"/>
      <c r="D4302" s="26"/>
      <c r="F4302" s="85" t="str">
        <f t="shared" si="0"/>
        <v/>
      </c>
      <c r="G4302" s="1" t="e">
        <f>IF(VALUE(F4302) = VALUE(RIGHT(Insights!$C$3, 4)), E4302, "")</f>
        <v>#VALUE!</v>
      </c>
      <c r="H4302" s="26" t="e">
        <f t="shared" si="1"/>
        <v>#VALUE!</v>
      </c>
      <c r="I4302" s="1" t="e">
        <f t="shared" si="2"/>
        <v>#VALUE!</v>
      </c>
    </row>
    <row r="4303" spans="1:9" ht="15.75" customHeight="1">
      <c r="A4303" s="26"/>
      <c r="B4303" s="2"/>
      <c r="C4303" s="26"/>
      <c r="D4303" s="26"/>
      <c r="F4303" s="85" t="str">
        <f t="shared" si="0"/>
        <v/>
      </c>
      <c r="G4303" s="1" t="e">
        <f>IF(VALUE(F4303) = VALUE(RIGHT(Insights!$C$3, 4)), E4303, "")</f>
        <v>#VALUE!</v>
      </c>
      <c r="H4303" s="26" t="e">
        <f t="shared" si="1"/>
        <v>#VALUE!</v>
      </c>
      <c r="I4303" s="1" t="e">
        <f t="shared" si="2"/>
        <v>#VALUE!</v>
      </c>
    </row>
    <row r="4304" spans="1:9" ht="15.75" customHeight="1">
      <c r="A4304" s="26"/>
      <c r="B4304" s="2"/>
      <c r="C4304" s="26"/>
      <c r="D4304" s="26"/>
      <c r="F4304" s="85" t="str">
        <f t="shared" si="0"/>
        <v/>
      </c>
      <c r="G4304" s="1" t="e">
        <f>IF(VALUE(F4304) = VALUE(RIGHT(Insights!$C$3, 4)), E4304, "")</f>
        <v>#VALUE!</v>
      </c>
      <c r="H4304" s="26" t="e">
        <f t="shared" si="1"/>
        <v>#VALUE!</v>
      </c>
      <c r="I4304" s="1" t="e">
        <f t="shared" si="2"/>
        <v>#VALUE!</v>
      </c>
    </row>
    <row r="4305" spans="1:9" ht="15.75" customHeight="1">
      <c r="A4305" s="26"/>
      <c r="B4305" s="2"/>
      <c r="C4305" s="26"/>
      <c r="D4305" s="26"/>
      <c r="F4305" s="85" t="str">
        <f t="shared" si="0"/>
        <v/>
      </c>
      <c r="G4305" s="1" t="e">
        <f>IF(VALUE(F4305) = VALUE(RIGHT(Insights!$C$3, 4)), E4305, "")</f>
        <v>#VALUE!</v>
      </c>
      <c r="H4305" s="26" t="e">
        <f t="shared" si="1"/>
        <v>#VALUE!</v>
      </c>
      <c r="I4305" s="1" t="e">
        <f t="shared" si="2"/>
        <v>#VALUE!</v>
      </c>
    </row>
    <row r="4306" spans="1:9" ht="15.75" customHeight="1">
      <c r="A4306" s="26"/>
      <c r="B4306" s="2"/>
      <c r="C4306" s="26"/>
      <c r="D4306" s="26"/>
      <c r="F4306" s="85" t="str">
        <f t="shared" si="0"/>
        <v/>
      </c>
      <c r="G4306" s="1" t="e">
        <f>IF(VALUE(F4306) = VALUE(RIGHT(Insights!$C$3, 4)), E4306, "")</f>
        <v>#VALUE!</v>
      </c>
      <c r="H4306" s="26" t="e">
        <f t="shared" si="1"/>
        <v>#VALUE!</v>
      </c>
      <c r="I4306" s="1" t="e">
        <f t="shared" si="2"/>
        <v>#VALUE!</v>
      </c>
    </row>
    <row r="4307" spans="1:9" ht="15.75" customHeight="1">
      <c r="A4307" s="26"/>
      <c r="B4307" s="2"/>
      <c r="C4307" s="26"/>
      <c r="D4307" s="26"/>
      <c r="F4307" s="85" t="str">
        <f t="shared" si="0"/>
        <v/>
      </c>
      <c r="G4307" s="1" t="e">
        <f>IF(VALUE(F4307) = VALUE(RIGHT(Insights!$C$3, 4)), E4307, "")</f>
        <v>#VALUE!</v>
      </c>
      <c r="H4307" s="26" t="e">
        <f t="shared" si="1"/>
        <v>#VALUE!</v>
      </c>
      <c r="I4307" s="1" t="e">
        <f t="shared" si="2"/>
        <v>#VALUE!</v>
      </c>
    </row>
    <row r="4308" spans="1:9" ht="15.75" customHeight="1">
      <c r="A4308" s="26"/>
      <c r="B4308" s="2"/>
      <c r="C4308" s="26"/>
      <c r="D4308" s="26"/>
      <c r="F4308" s="85" t="str">
        <f t="shared" si="0"/>
        <v/>
      </c>
      <c r="G4308" s="1" t="e">
        <f>IF(VALUE(F4308) = VALUE(RIGHT(Insights!$C$3, 4)), E4308, "")</f>
        <v>#VALUE!</v>
      </c>
      <c r="H4308" s="26" t="e">
        <f t="shared" si="1"/>
        <v>#VALUE!</v>
      </c>
      <c r="I4308" s="1" t="e">
        <f t="shared" si="2"/>
        <v>#VALUE!</v>
      </c>
    </row>
    <row r="4309" spans="1:9" ht="15.75" customHeight="1">
      <c r="A4309" s="26"/>
      <c r="B4309" s="2"/>
      <c r="C4309" s="26"/>
      <c r="D4309" s="26"/>
      <c r="F4309" s="85" t="str">
        <f t="shared" si="0"/>
        <v/>
      </c>
      <c r="G4309" s="1" t="e">
        <f>IF(VALUE(F4309) = VALUE(RIGHT(Insights!$C$3, 4)), E4309, "")</f>
        <v>#VALUE!</v>
      </c>
      <c r="H4309" s="26" t="e">
        <f t="shared" si="1"/>
        <v>#VALUE!</v>
      </c>
      <c r="I4309" s="1" t="e">
        <f t="shared" si="2"/>
        <v>#VALUE!</v>
      </c>
    </row>
    <row r="4310" spans="1:9" ht="15.75" customHeight="1">
      <c r="A4310" s="26"/>
      <c r="B4310" s="2"/>
      <c r="C4310" s="26"/>
      <c r="D4310" s="26"/>
      <c r="F4310" s="85" t="str">
        <f t="shared" si="0"/>
        <v/>
      </c>
      <c r="G4310" s="1" t="e">
        <f>IF(VALUE(F4310) = VALUE(RIGHT(Insights!$C$3, 4)), E4310, "")</f>
        <v>#VALUE!</v>
      </c>
      <c r="H4310" s="26" t="e">
        <f t="shared" si="1"/>
        <v>#VALUE!</v>
      </c>
      <c r="I4310" s="1" t="e">
        <f t="shared" si="2"/>
        <v>#VALUE!</v>
      </c>
    </row>
    <row r="4311" spans="1:9" ht="15.75" customHeight="1">
      <c r="A4311" s="26"/>
      <c r="B4311" s="2"/>
      <c r="C4311" s="26"/>
      <c r="D4311" s="26"/>
      <c r="F4311" s="85" t="str">
        <f t="shared" si="0"/>
        <v/>
      </c>
      <c r="G4311" s="1" t="e">
        <f>IF(VALUE(F4311) = VALUE(RIGHT(Insights!$C$3, 4)), E4311, "")</f>
        <v>#VALUE!</v>
      </c>
      <c r="H4311" s="26" t="e">
        <f t="shared" si="1"/>
        <v>#VALUE!</v>
      </c>
      <c r="I4311" s="1" t="e">
        <f t="shared" si="2"/>
        <v>#VALUE!</v>
      </c>
    </row>
    <row r="4312" spans="1:9" ht="15.75" customHeight="1">
      <c r="A4312" s="26"/>
      <c r="B4312" s="2"/>
      <c r="C4312" s="26"/>
      <c r="D4312" s="26"/>
      <c r="F4312" s="85" t="str">
        <f t="shared" si="0"/>
        <v/>
      </c>
      <c r="G4312" s="1" t="e">
        <f>IF(VALUE(F4312) = VALUE(RIGHT(Insights!$C$3, 4)), E4312, "")</f>
        <v>#VALUE!</v>
      </c>
      <c r="H4312" s="26" t="e">
        <f t="shared" si="1"/>
        <v>#VALUE!</v>
      </c>
      <c r="I4312" s="1" t="e">
        <f t="shared" si="2"/>
        <v>#VALUE!</v>
      </c>
    </row>
    <row r="4313" spans="1:9" ht="15.75" customHeight="1">
      <c r="A4313" s="26"/>
      <c r="B4313" s="2"/>
      <c r="C4313" s="26"/>
      <c r="D4313" s="26"/>
      <c r="F4313" s="85" t="str">
        <f t="shared" si="0"/>
        <v/>
      </c>
      <c r="G4313" s="1" t="e">
        <f>IF(VALUE(F4313) = VALUE(RIGHT(Insights!$C$3, 4)), E4313, "")</f>
        <v>#VALUE!</v>
      </c>
      <c r="H4313" s="26" t="e">
        <f t="shared" si="1"/>
        <v>#VALUE!</v>
      </c>
      <c r="I4313" s="1" t="e">
        <f t="shared" si="2"/>
        <v>#VALUE!</v>
      </c>
    </row>
    <row r="4314" spans="1:9" ht="15.75" customHeight="1">
      <c r="A4314" s="26"/>
      <c r="B4314" s="2"/>
      <c r="C4314" s="26"/>
      <c r="D4314" s="26"/>
      <c r="F4314" s="85" t="str">
        <f t="shared" si="0"/>
        <v/>
      </c>
      <c r="G4314" s="1" t="e">
        <f>IF(VALUE(F4314) = VALUE(RIGHT(Insights!$C$3, 4)), E4314, "")</f>
        <v>#VALUE!</v>
      </c>
      <c r="H4314" s="26" t="e">
        <f t="shared" si="1"/>
        <v>#VALUE!</v>
      </c>
      <c r="I4314" s="1" t="e">
        <f t="shared" si="2"/>
        <v>#VALUE!</v>
      </c>
    </row>
    <row r="4315" spans="1:9" ht="15.75" customHeight="1">
      <c r="A4315" s="26"/>
      <c r="B4315" s="2"/>
      <c r="C4315" s="26"/>
      <c r="D4315" s="26"/>
      <c r="F4315" s="85" t="str">
        <f t="shared" si="0"/>
        <v/>
      </c>
      <c r="G4315" s="1" t="e">
        <f>IF(VALUE(F4315) = VALUE(RIGHT(Insights!$C$3, 4)), E4315, "")</f>
        <v>#VALUE!</v>
      </c>
      <c r="H4315" s="26" t="e">
        <f t="shared" si="1"/>
        <v>#VALUE!</v>
      </c>
      <c r="I4315" s="1" t="e">
        <f t="shared" si="2"/>
        <v>#VALUE!</v>
      </c>
    </row>
    <row r="4316" spans="1:9" ht="15.75" customHeight="1">
      <c r="A4316" s="26"/>
      <c r="B4316" s="2"/>
      <c r="C4316" s="26"/>
      <c r="D4316" s="26"/>
      <c r="F4316" s="85" t="str">
        <f t="shared" si="0"/>
        <v/>
      </c>
      <c r="G4316" s="1" t="e">
        <f>IF(VALUE(F4316) = VALUE(RIGHT(Insights!$C$3, 4)), E4316, "")</f>
        <v>#VALUE!</v>
      </c>
      <c r="H4316" s="26" t="e">
        <f t="shared" si="1"/>
        <v>#VALUE!</v>
      </c>
      <c r="I4316" s="1" t="e">
        <f t="shared" si="2"/>
        <v>#VALUE!</v>
      </c>
    </row>
    <row r="4317" spans="1:9" ht="15.75" customHeight="1">
      <c r="A4317" s="26"/>
      <c r="B4317" s="2"/>
      <c r="C4317" s="26"/>
      <c r="D4317" s="26"/>
      <c r="F4317" s="85" t="str">
        <f t="shared" si="0"/>
        <v/>
      </c>
      <c r="G4317" s="1" t="e">
        <f>IF(VALUE(F4317) = VALUE(RIGHT(Insights!$C$3, 4)), E4317, "")</f>
        <v>#VALUE!</v>
      </c>
      <c r="H4317" s="26" t="e">
        <f t="shared" si="1"/>
        <v>#VALUE!</v>
      </c>
      <c r="I4317" s="1" t="e">
        <f t="shared" si="2"/>
        <v>#VALUE!</v>
      </c>
    </row>
    <row r="4318" spans="1:9" ht="15.75" customHeight="1">
      <c r="A4318" s="26"/>
      <c r="B4318" s="2"/>
      <c r="C4318" s="26"/>
      <c r="D4318" s="26"/>
      <c r="F4318" s="85" t="str">
        <f t="shared" si="0"/>
        <v/>
      </c>
      <c r="G4318" s="1" t="e">
        <f>IF(VALUE(F4318) = VALUE(RIGHT(Insights!$C$3, 4)), E4318, "")</f>
        <v>#VALUE!</v>
      </c>
      <c r="H4318" s="26" t="e">
        <f t="shared" si="1"/>
        <v>#VALUE!</v>
      </c>
      <c r="I4318" s="1" t="e">
        <f t="shared" si="2"/>
        <v>#VALUE!</v>
      </c>
    </row>
    <row r="4319" spans="1:9" ht="15.75" customHeight="1">
      <c r="A4319" s="26"/>
      <c r="B4319" s="2"/>
      <c r="C4319" s="26"/>
      <c r="D4319" s="26"/>
      <c r="F4319" s="85" t="str">
        <f t="shared" si="0"/>
        <v/>
      </c>
      <c r="G4319" s="1" t="e">
        <f>IF(VALUE(F4319) = VALUE(RIGHT(Insights!$C$3, 4)), E4319, "")</f>
        <v>#VALUE!</v>
      </c>
      <c r="H4319" s="26" t="e">
        <f t="shared" si="1"/>
        <v>#VALUE!</v>
      </c>
      <c r="I4319" s="1" t="e">
        <f t="shared" si="2"/>
        <v>#VALUE!</v>
      </c>
    </row>
    <row r="4320" spans="1:9" ht="15.75" customHeight="1">
      <c r="A4320" s="26"/>
      <c r="B4320" s="2"/>
      <c r="C4320" s="26"/>
      <c r="D4320" s="26"/>
      <c r="F4320" s="85" t="str">
        <f t="shared" si="0"/>
        <v/>
      </c>
      <c r="G4320" s="1" t="e">
        <f>IF(VALUE(F4320) = VALUE(RIGHT(Insights!$C$3, 4)), E4320, "")</f>
        <v>#VALUE!</v>
      </c>
      <c r="H4320" s="26" t="e">
        <f t="shared" si="1"/>
        <v>#VALUE!</v>
      </c>
      <c r="I4320" s="1" t="e">
        <f t="shared" si="2"/>
        <v>#VALUE!</v>
      </c>
    </row>
    <row r="4321" spans="1:9" ht="15.75" customHeight="1">
      <c r="A4321" s="26"/>
      <c r="B4321" s="2"/>
      <c r="C4321" s="26"/>
      <c r="D4321" s="26"/>
      <c r="F4321" s="85" t="str">
        <f t="shared" si="0"/>
        <v/>
      </c>
      <c r="G4321" s="1" t="e">
        <f>IF(VALUE(F4321) = VALUE(RIGHT(Insights!$C$3, 4)), E4321, "")</f>
        <v>#VALUE!</v>
      </c>
      <c r="H4321" s="26" t="e">
        <f t="shared" si="1"/>
        <v>#VALUE!</v>
      </c>
      <c r="I4321" s="1" t="e">
        <f t="shared" si="2"/>
        <v>#VALUE!</v>
      </c>
    </row>
    <row r="4322" spans="1:9" ht="15.75" customHeight="1">
      <c r="A4322" s="26"/>
      <c r="B4322" s="2"/>
      <c r="C4322" s="26"/>
      <c r="D4322" s="26"/>
      <c r="F4322" s="85" t="str">
        <f t="shared" si="0"/>
        <v/>
      </c>
      <c r="G4322" s="1" t="e">
        <f>IF(VALUE(F4322) = VALUE(RIGHT(Insights!$C$3, 4)), E4322, "")</f>
        <v>#VALUE!</v>
      </c>
      <c r="H4322" s="26" t="e">
        <f t="shared" si="1"/>
        <v>#VALUE!</v>
      </c>
      <c r="I4322" s="1" t="e">
        <f t="shared" si="2"/>
        <v>#VALUE!</v>
      </c>
    </row>
    <row r="4323" spans="1:9" ht="15.75" customHeight="1">
      <c r="A4323" s="26"/>
      <c r="B4323" s="2"/>
      <c r="C4323" s="26"/>
      <c r="D4323" s="26"/>
      <c r="F4323" s="85" t="str">
        <f t="shared" si="0"/>
        <v/>
      </c>
      <c r="G4323" s="1" t="e">
        <f>IF(VALUE(F4323) = VALUE(RIGHT(Insights!$C$3, 4)), E4323, "")</f>
        <v>#VALUE!</v>
      </c>
      <c r="H4323" s="26" t="e">
        <f t="shared" si="1"/>
        <v>#VALUE!</v>
      </c>
      <c r="I4323" s="1" t="e">
        <f t="shared" si="2"/>
        <v>#VALUE!</v>
      </c>
    </row>
    <row r="4324" spans="1:9" ht="15.75" customHeight="1">
      <c r="A4324" s="26"/>
      <c r="B4324" s="2"/>
      <c r="C4324" s="26"/>
      <c r="D4324" s="26"/>
      <c r="F4324" s="85" t="str">
        <f t="shared" si="0"/>
        <v/>
      </c>
      <c r="G4324" s="1" t="e">
        <f>IF(VALUE(F4324) = VALUE(RIGHT(Insights!$C$3, 4)), E4324, "")</f>
        <v>#VALUE!</v>
      </c>
      <c r="H4324" s="26" t="e">
        <f t="shared" si="1"/>
        <v>#VALUE!</v>
      </c>
      <c r="I4324" s="1" t="e">
        <f t="shared" si="2"/>
        <v>#VALUE!</v>
      </c>
    </row>
    <row r="4325" spans="1:9" ht="15.75" customHeight="1">
      <c r="A4325" s="26"/>
      <c r="B4325" s="2"/>
      <c r="C4325" s="26"/>
      <c r="D4325" s="26"/>
      <c r="F4325" s="85" t="str">
        <f t="shared" si="0"/>
        <v/>
      </c>
      <c r="G4325" s="1" t="e">
        <f>IF(VALUE(F4325) = VALUE(RIGHT(Insights!$C$3, 4)), E4325, "")</f>
        <v>#VALUE!</v>
      </c>
      <c r="H4325" s="26" t="e">
        <f t="shared" si="1"/>
        <v>#VALUE!</v>
      </c>
      <c r="I4325" s="1" t="e">
        <f t="shared" si="2"/>
        <v>#VALUE!</v>
      </c>
    </row>
    <row r="4326" spans="1:9" ht="15.75" customHeight="1">
      <c r="A4326" s="26"/>
      <c r="B4326" s="2"/>
      <c r="C4326" s="26"/>
      <c r="D4326" s="26"/>
      <c r="F4326" s="85" t="str">
        <f t="shared" si="0"/>
        <v/>
      </c>
      <c r="G4326" s="1" t="e">
        <f>IF(VALUE(F4326) = VALUE(RIGHT(Insights!$C$3, 4)), E4326, "")</f>
        <v>#VALUE!</v>
      </c>
      <c r="H4326" s="26" t="e">
        <f t="shared" si="1"/>
        <v>#VALUE!</v>
      </c>
      <c r="I4326" s="1" t="e">
        <f t="shared" si="2"/>
        <v>#VALUE!</v>
      </c>
    </row>
    <row r="4327" spans="1:9" ht="15.75" customHeight="1">
      <c r="A4327" s="26"/>
      <c r="B4327" s="2"/>
      <c r="C4327" s="26"/>
      <c r="D4327" s="26"/>
      <c r="F4327" s="85" t="str">
        <f t="shared" si="0"/>
        <v/>
      </c>
      <c r="G4327" s="1" t="e">
        <f>IF(VALUE(F4327) = VALUE(RIGHT(Insights!$C$3, 4)), E4327, "")</f>
        <v>#VALUE!</v>
      </c>
      <c r="H4327" s="26" t="e">
        <f t="shared" si="1"/>
        <v>#VALUE!</v>
      </c>
      <c r="I4327" s="1" t="e">
        <f t="shared" si="2"/>
        <v>#VALUE!</v>
      </c>
    </row>
    <row r="4328" spans="1:9" ht="15.75" customHeight="1">
      <c r="A4328" s="26"/>
      <c r="B4328" s="2"/>
      <c r="C4328" s="26"/>
      <c r="D4328" s="26"/>
      <c r="F4328" s="85" t="str">
        <f t="shared" si="0"/>
        <v/>
      </c>
      <c r="G4328" s="1" t="e">
        <f>IF(VALUE(F4328) = VALUE(RIGHT(Insights!$C$3, 4)), E4328, "")</f>
        <v>#VALUE!</v>
      </c>
      <c r="H4328" s="26" t="e">
        <f t="shared" si="1"/>
        <v>#VALUE!</v>
      </c>
      <c r="I4328" s="1" t="e">
        <f t="shared" si="2"/>
        <v>#VALUE!</v>
      </c>
    </row>
    <row r="4329" spans="1:9" ht="15.75" customHeight="1">
      <c r="A4329" s="26"/>
      <c r="B4329" s="2"/>
      <c r="C4329" s="26"/>
      <c r="D4329" s="26"/>
      <c r="F4329" s="85" t="str">
        <f t="shared" si="0"/>
        <v/>
      </c>
      <c r="G4329" s="1" t="e">
        <f>IF(VALUE(F4329) = VALUE(RIGHT(Insights!$C$3, 4)), E4329, "")</f>
        <v>#VALUE!</v>
      </c>
      <c r="H4329" s="26" t="e">
        <f t="shared" si="1"/>
        <v>#VALUE!</v>
      </c>
      <c r="I4329" s="1" t="e">
        <f t="shared" si="2"/>
        <v>#VALUE!</v>
      </c>
    </row>
    <row r="4330" spans="1:9" ht="15.75" customHeight="1">
      <c r="A4330" s="26"/>
      <c r="B4330" s="2"/>
      <c r="C4330" s="26"/>
      <c r="D4330" s="26"/>
      <c r="F4330" s="85" t="str">
        <f t="shared" si="0"/>
        <v/>
      </c>
      <c r="G4330" s="1" t="e">
        <f>IF(VALUE(F4330) = VALUE(RIGHT(Insights!$C$3, 4)), E4330, "")</f>
        <v>#VALUE!</v>
      </c>
      <c r="H4330" s="26" t="e">
        <f t="shared" si="1"/>
        <v>#VALUE!</v>
      </c>
      <c r="I4330" s="1" t="e">
        <f t="shared" si="2"/>
        <v>#VALUE!</v>
      </c>
    </row>
    <row r="4331" spans="1:9" ht="15.75" customHeight="1">
      <c r="A4331" s="26"/>
      <c r="B4331" s="2"/>
      <c r="C4331" s="26"/>
      <c r="D4331" s="26"/>
      <c r="F4331" s="85" t="str">
        <f t="shared" si="0"/>
        <v/>
      </c>
      <c r="G4331" s="1" t="e">
        <f>IF(VALUE(F4331) = VALUE(RIGHT(Insights!$C$3, 4)), E4331, "")</f>
        <v>#VALUE!</v>
      </c>
      <c r="H4331" s="26" t="e">
        <f t="shared" si="1"/>
        <v>#VALUE!</v>
      </c>
      <c r="I4331" s="1" t="e">
        <f t="shared" si="2"/>
        <v>#VALUE!</v>
      </c>
    </row>
    <row r="4332" spans="1:9" ht="15.75" customHeight="1">
      <c r="A4332" s="26"/>
      <c r="B4332" s="2"/>
      <c r="C4332" s="26"/>
      <c r="D4332" s="26"/>
      <c r="F4332" s="85" t="str">
        <f t="shared" si="0"/>
        <v/>
      </c>
      <c r="G4332" s="1" t="e">
        <f>IF(VALUE(F4332) = VALUE(RIGHT(Insights!$C$3, 4)), E4332, "")</f>
        <v>#VALUE!</v>
      </c>
      <c r="H4332" s="26" t="e">
        <f t="shared" si="1"/>
        <v>#VALUE!</v>
      </c>
      <c r="I4332" s="1" t="e">
        <f t="shared" si="2"/>
        <v>#VALUE!</v>
      </c>
    </row>
    <row r="4333" spans="1:9" ht="15.75" customHeight="1">
      <c r="A4333" s="26"/>
      <c r="B4333" s="2"/>
      <c r="C4333" s="26"/>
      <c r="D4333" s="26"/>
      <c r="F4333" s="85" t="str">
        <f t="shared" si="0"/>
        <v/>
      </c>
      <c r="G4333" s="1" t="e">
        <f>IF(VALUE(F4333) = VALUE(RIGHT(Insights!$C$3, 4)), E4333, "")</f>
        <v>#VALUE!</v>
      </c>
      <c r="H4333" s="26" t="e">
        <f t="shared" si="1"/>
        <v>#VALUE!</v>
      </c>
      <c r="I4333" s="1" t="e">
        <f t="shared" si="2"/>
        <v>#VALUE!</v>
      </c>
    </row>
    <row r="4334" spans="1:9" ht="15.75" customHeight="1">
      <c r="A4334" s="26"/>
      <c r="B4334" s="2"/>
      <c r="C4334" s="26"/>
      <c r="D4334" s="26"/>
      <c r="F4334" s="85" t="str">
        <f t="shared" si="0"/>
        <v/>
      </c>
      <c r="G4334" s="1" t="e">
        <f>IF(VALUE(F4334) = VALUE(RIGHT(Insights!$C$3, 4)), E4334, "")</f>
        <v>#VALUE!</v>
      </c>
      <c r="H4334" s="26" t="e">
        <f t="shared" si="1"/>
        <v>#VALUE!</v>
      </c>
      <c r="I4334" s="1" t="e">
        <f t="shared" si="2"/>
        <v>#VALUE!</v>
      </c>
    </row>
    <row r="4335" spans="1:9" ht="15.75" customHeight="1">
      <c r="A4335" s="26"/>
      <c r="B4335" s="2"/>
      <c r="C4335" s="26"/>
      <c r="D4335" s="26"/>
      <c r="F4335" s="85" t="str">
        <f t="shared" si="0"/>
        <v/>
      </c>
      <c r="G4335" s="1" t="e">
        <f>IF(VALUE(F4335) = VALUE(RIGHT(Insights!$C$3, 4)), E4335, "")</f>
        <v>#VALUE!</v>
      </c>
      <c r="H4335" s="26" t="e">
        <f t="shared" si="1"/>
        <v>#VALUE!</v>
      </c>
      <c r="I4335" s="1" t="e">
        <f t="shared" si="2"/>
        <v>#VALUE!</v>
      </c>
    </row>
    <row r="4336" spans="1:9" ht="15.75" customHeight="1">
      <c r="A4336" s="26"/>
      <c r="B4336" s="2"/>
      <c r="C4336" s="26"/>
      <c r="D4336" s="26"/>
      <c r="F4336" s="85" t="str">
        <f t="shared" si="0"/>
        <v/>
      </c>
      <c r="G4336" s="1" t="e">
        <f>IF(VALUE(F4336) = VALUE(RIGHT(Insights!$C$3, 4)), E4336, "")</f>
        <v>#VALUE!</v>
      </c>
      <c r="H4336" s="26" t="e">
        <f t="shared" si="1"/>
        <v>#VALUE!</v>
      </c>
      <c r="I4336" s="1" t="e">
        <f t="shared" si="2"/>
        <v>#VALUE!</v>
      </c>
    </row>
    <row r="4337" spans="1:9" ht="15.75" customHeight="1">
      <c r="A4337" s="26"/>
      <c r="B4337" s="2"/>
      <c r="C4337" s="26"/>
      <c r="D4337" s="26"/>
      <c r="F4337" s="85" t="str">
        <f t="shared" si="0"/>
        <v/>
      </c>
      <c r="G4337" s="1" t="e">
        <f>IF(VALUE(F4337) = VALUE(RIGHT(Insights!$C$3, 4)), E4337, "")</f>
        <v>#VALUE!</v>
      </c>
      <c r="H4337" s="26" t="e">
        <f t="shared" si="1"/>
        <v>#VALUE!</v>
      </c>
      <c r="I4337" s="1" t="e">
        <f t="shared" si="2"/>
        <v>#VALUE!</v>
      </c>
    </row>
    <row r="4338" spans="1:9" ht="15.75" customHeight="1">
      <c r="A4338" s="26"/>
      <c r="B4338" s="2"/>
      <c r="C4338" s="26"/>
      <c r="D4338" s="26"/>
      <c r="F4338" s="85" t="str">
        <f t="shared" si="0"/>
        <v/>
      </c>
      <c r="G4338" s="1" t="e">
        <f>IF(VALUE(F4338) = VALUE(RIGHT(Insights!$C$3, 4)), E4338, "")</f>
        <v>#VALUE!</v>
      </c>
      <c r="H4338" s="26" t="e">
        <f t="shared" si="1"/>
        <v>#VALUE!</v>
      </c>
      <c r="I4338" s="1" t="e">
        <f t="shared" si="2"/>
        <v>#VALUE!</v>
      </c>
    </row>
    <row r="4339" spans="1:9" ht="15.75" customHeight="1">
      <c r="A4339" s="26"/>
      <c r="B4339" s="2"/>
      <c r="C4339" s="26"/>
      <c r="D4339" s="26"/>
      <c r="F4339" s="85" t="str">
        <f t="shared" si="0"/>
        <v/>
      </c>
      <c r="G4339" s="1" t="e">
        <f>IF(VALUE(F4339) = VALUE(RIGHT(Insights!$C$3, 4)), E4339, "")</f>
        <v>#VALUE!</v>
      </c>
      <c r="H4339" s="26" t="e">
        <f t="shared" si="1"/>
        <v>#VALUE!</v>
      </c>
      <c r="I4339" s="1" t="e">
        <f t="shared" si="2"/>
        <v>#VALUE!</v>
      </c>
    </row>
    <row r="4340" spans="1:9" ht="15.75" customHeight="1">
      <c r="A4340" s="26"/>
      <c r="B4340" s="2"/>
      <c r="C4340" s="26"/>
      <c r="D4340" s="26"/>
      <c r="F4340" s="85" t="str">
        <f t="shared" si="0"/>
        <v/>
      </c>
      <c r="G4340" s="1" t="e">
        <f>IF(VALUE(F4340) = VALUE(RIGHT(Insights!$C$3, 4)), E4340, "")</f>
        <v>#VALUE!</v>
      </c>
      <c r="H4340" s="26" t="e">
        <f t="shared" si="1"/>
        <v>#VALUE!</v>
      </c>
      <c r="I4340" s="1" t="e">
        <f t="shared" si="2"/>
        <v>#VALUE!</v>
      </c>
    </row>
    <row r="4341" spans="1:9" ht="15.75" customHeight="1">
      <c r="A4341" s="26"/>
      <c r="B4341" s="2"/>
      <c r="C4341" s="26"/>
      <c r="D4341" s="26"/>
      <c r="F4341" s="85" t="str">
        <f t="shared" si="0"/>
        <v/>
      </c>
      <c r="G4341" s="1" t="e">
        <f>IF(VALUE(F4341) = VALUE(RIGHT(Insights!$C$3, 4)), E4341, "")</f>
        <v>#VALUE!</v>
      </c>
      <c r="H4341" s="26" t="e">
        <f t="shared" si="1"/>
        <v>#VALUE!</v>
      </c>
      <c r="I4341" s="1" t="e">
        <f t="shared" si="2"/>
        <v>#VALUE!</v>
      </c>
    </row>
    <row r="4342" spans="1:9" ht="15.75" customHeight="1">
      <c r="A4342" s="26"/>
      <c r="B4342" s="2"/>
      <c r="C4342" s="26"/>
      <c r="D4342" s="26"/>
      <c r="F4342" s="85" t="str">
        <f t="shared" si="0"/>
        <v/>
      </c>
      <c r="G4342" s="1" t="e">
        <f>IF(VALUE(F4342) = VALUE(RIGHT(Insights!$C$3, 4)), E4342, "")</f>
        <v>#VALUE!</v>
      </c>
      <c r="H4342" s="26" t="e">
        <f t="shared" si="1"/>
        <v>#VALUE!</v>
      </c>
      <c r="I4342" s="1" t="e">
        <f t="shared" si="2"/>
        <v>#VALUE!</v>
      </c>
    </row>
    <row r="4343" spans="1:9" ht="15.75" customHeight="1">
      <c r="A4343" s="26"/>
      <c r="B4343" s="2"/>
      <c r="C4343" s="26"/>
      <c r="D4343" s="26"/>
      <c r="F4343" s="85" t="str">
        <f t="shared" si="0"/>
        <v/>
      </c>
      <c r="G4343" s="1" t="e">
        <f>IF(VALUE(F4343) = VALUE(RIGHT(Insights!$C$3, 4)), E4343, "")</f>
        <v>#VALUE!</v>
      </c>
      <c r="H4343" s="26" t="e">
        <f t="shared" si="1"/>
        <v>#VALUE!</v>
      </c>
      <c r="I4343" s="1" t="e">
        <f t="shared" si="2"/>
        <v>#VALUE!</v>
      </c>
    </row>
    <row r="4344" spans="1:9" ht="15.75" customHeight="1">
      <c r="A4344" s="26"/>
      <c r="B4344" s="2"/>
      <c r="C4344" s="26"/>
      <c r="D4344" s="26"/>
      <c r="F4344" s="85" t="str">
        <f t="shared" si="0"/>
        <v/>
      </c>
      <c r="G4344" s="1" t="e">
        <f>IF(VALUE(F4344) = VALUE(RIGHT(Insights!$C$3, 4)), E4344, "")</f>
        <v>#VALUE!</v>
      </c>
      <c r="H4344" s="26" t="e">
        <f t="shared" si="1"/>
        <v>#VALUE!</v>
      </c>
      <c r="I4344" s="1" t="e">
        <f t="shared" si="2"/>
        <v>#VALUE!</v>
      </c>
    </row>
    <row r="4345" spans="1:9" ht="15.75" customHeight="1">
      <c r="A4345" s="26"/>
      <c r="B4345" s="2"/>
      <c r="C4345" s="26"/>
      <c r="D4345" s="26"/>
      <c r="F4345" s="85" t="str">
        <f t="shared" si="0"/>
        <v/>
      </c>
      <c r="G4345" s="1" t="e">
        <f>IF(VALUE(F4345) = VALUE(RIGHT(Insights!$C$3, 4)), E4345, "")</f>
        <v>#VALUE!</v>
      </c>
      <c r="H4345" s="26" t="e">
        <f t="shared" si="1"/>
        <v>#VALUE!</v>
      </c>
      <c r="I4345" s="1" t="e">
        <f t="shared" si="2"/>
        <v>#VALUE!</v>
      </c>
    </row>
    <row r="4346" spans="1:9" ht="15.75" customHeight="1">
      <c r="A4346" s="26"/>
      <c r="B4346" s="2"/>
      <c r="C4346" s="26"/>
      <c r="D4346" s="26"/>
      <c r="F4346" s="85" t="str">
        <f t="shared" si="0"/>
        <v/>
      </c>
      <c r="G4346" s="1" t="e">
        <f>IF(VALUE(F4346) = VALUE(RIGHT(Insights!$C$3, 4)), E4346, "")</f>
        <v>#VALUE!</v>
      </c>
      <c r="H4346" s="26" t="e">
        <f t="shared" si="1"/>
        <v>#VALUE!</v>
      </c>
      <c r="I4346" s="1" t="e">
        <f t="shared" si="2"/>
        <v>#VALUE!</v>
      </c>
    </row>
    <row r="4347" spans="1:9" ht="15.75" customHeight="1">
      <c r="A4347" s="26"/>
      <c r="B4347" s="2"/>
      <c r="C4347" s="26"/>
      <c r="D4347" s="26"/>
      <c r="F4347" s="85" t="str">
        <f t="shared" si="0"/>
        <v/>
      </c>
      <c r="G4347" s="1" t="e">
        <f>IF(VALUE(F4347) = VALUE(RIGHT(Insights!$C$3, 4)), E4347, "")</f>
        <v>#VALUE!</v>
      </c>
      <c r="H4347" s="26" t="e">
        <f t="shared" si="1"/>
        <v>#VALUE!</v>
      </c>
      <c r="I4347" s="1" t="e">
        <f t="shared" si="2"/>
        <v>#VALUE!</v>
      </c>
    </row>
    <row r="4348" spans="1:9" ht="15.75" customHeight="1">
      <c r="A4348" s="26"/>
      <c r="B4348" s="2"/>
      <c r="C4348" s="26"/>
      <c r="D4348" s="26"/>
      <c r="F4348" s="85" t="str">
        <f t="shared" si="0"/>
        <v/>
      </c>
      <c r="G4348" s="1" t="e">
        <f>IF(VALUE(F4348) = VALUE(RIGHT(Insights!$C$3, 4)), E4348, "")</f>
        <v>#VALUE!</v>
      </c>
      <c r="H4348" s="26" t="e">
        <f t="shared" si="1"/>
        <v>#VALUE!</v>
      </c>
      <c r="I4348" s="1" t="e">
        <f t="shared" si="2"/>
        <v>#VALUE!</v>
      </c>
    </row>
    <row r="4349" spans="1:9" ht="15.75" customHeight="1">
      <c r="A4349" s="26"/>
      <c r="B4349" s="2"/>
      <c r="C4349" s="26"/>
      <c r="D4349" s="26"/>
      <c r="F4349" s="85" t="str">
        <f t="shared" si="0"/>
        <v/>
      </c>
      <c r="G4349" s="1" t="e">
        <f>IF(VALUE(F4349) = VALUE(RIGHT(Insights!$C$3, 4)), E4349, "")</f>
        <v>#VALUE!</v>
      </c>
      <c r="H4349" s="26" t="e">
        <f t="shared" si="1"/>
        <v>#VALUE!</v>
      </c>
      <c r="I4349" s="1" t="e">
        <f t="shared" si="2"/>
        <v>#VALUE!</v>
      </c>
    </row>
    <row r="4350" spans="1:9" ht="15.75" customHeight="1">
      <c r="A4350" s="26"/>
      <c r="B4350" s="2"/>
      <c r="C4350" s="26"/>
      <c r="D4350" s="26"/>
      <c r="F4350" s="85" t="str">
        <f t="shared" si="0"/>
        <v/>
      </c>
      <c r="G4350" s="1" t="e">
        <f>IF(VALUE(F4350) = VALUE(RIGHT(Insights!$C$3, 4)), E4350, "")</f>
        <v>#VALUE!</v>
      </c>
      <c r="H4350" s="26" t="e">
        <f t="shared" si="1"/>
        <v>#VALUE!</v>
      </c>
      <c r="I4350" s="1" t="e">
        <f t="shared" si="2"/>
        <v>#VALUE!</v>
      </c>
    </row>
    <row r="4351" spans="1:9" ht="15.75" customHeight="1">
      <c r="A4351" s="26"/>
      <c r="B4351" s="2"/>
      <c r="C4351" s="26"/>
      <c r="D4351" s="26"/>
      <c r="F4351" s="85" t="str">
        <f t="shared" si="0"/>
        <v/>
      </c>
      <c r="G4351" s="1" t="e">
        <f>IF(VALUE(F4351) = VALUE(RIGHT(Insights!$C$3, 4)), E4351, "")</f>
        <v>#VALUE!</v>
      </c>
      <c r="H4351" s="26" t="e">
        <f t="shared" si="1"/>
        <v>#VALUE!</v>
      </c>
      <c r="I4351" s="1" t="e">
        <f t="shared" si="2"/>
        <v>#VALUE!</v>
      </c>
    </row>
    <row r="4352" spans="1:9" ht="15.75" customHeight="1">
      <c r="A4352" s="26"/>
      <c r="B4352" s="2"/>
      <c r="C4352" s="26"/>
      <c r="D4352" s="26"/>
      <c r="F4352" s="85" t="str">
        <f t="shared" si="0"/>
        <v/>
      </c>
      <c r="G4352" s="1" t="e">
        <f>IF(VALUE(F4352) = VALUE(RIGHT(Insights!$C$3, 4)), E4352, "")</f>
        <v>#VALUE!</v>
      </c>
      <c r="H4352" s="26" t="e">
        <f t="shared" si="1"/>
        <v>#VALUE!</v>
      </c>
      <c r="I4352" s="1" t="e">
        <f t="shared" si="2"/>
        <v>#VALUE!</v>
      </c>
    </row>
    <row r="4353" spans="1:9" ht="15.75" customHeight="1">
      <c r="A4353" s="26"/>
      <c r="B4353" s="2"/>
      <c r="C4353" s="26"/>
      <c r="D4353" s="26"/>
      <c r="F4353" s="85" t="str">
        <f t="shared" si="0"/>
        <v/>
      </c>
      <c r="G4353" s="1" t="e">
        <f>IF(VALUE(F4353) = VALUE(RIGHT(Insights!$C$3, 4)), E4353, "")</f>
        <v>#VALUE!</v>
      </c>
      <c r="H4353" s="26" t="e">
        <f t="shared" si="1"/>
        <v>#VALUE!</v>
      </c>
      <c r="I4353" s="1" t="e">
        <f t="shared" si="2"/>
        <v>#VALUE!</v>
      </c>
    </row>
    <row r="4354" spans="1:9" ht="15.75" customHeight="1">
      <c r="A4354" s="26"/>
      <c r="B4354" s="2"/>
      <c r="C4354" s="26"/>
      <c r="D4354" s="26"/>
      <c r="F4354" s="85" t="str">
        <f t="shared" si="0"/>
        <v/>
      </c>
      <c r="G4354" s="1" t="e">
        <f>IF(VALUE(F4354) = VALUE(RIGHT(Insights!$C$3, 4)), E4354, "")</f>
        <v>#VALUE!</v>
      </c>
      <c r="H4354" s="26" t="e">
        <f t="shared" si="1"/>
        <v>#VALUE!</v>
      </c>
      <c r="I4354" s="1" t="e">
        <f t="shared" si="2"/>
        <v>#VALUE!</v>
      </c>
    </row>
    <row r="4355" spans="1:9" ht="15.75" customHeight="1">
      <c r="A4355" s="26"/>
      <c r="B4355" s="2"/>
      <c r="C4355" s="26"/>
      <c r="D4355" s="26"/>
      <c r="F4355" s="85" t="str">
        <f t="shared" si="0"/>
        <v/>
      </c>
      <c r="G4355" s="1" t="e">
        <f>IF(VALUE(F4355) = VALUE(RIGHT(Insights!$C$3, 4)), E4355, "")</f>
        <v>#VALUE!</v>
      </c>
      <c r="H4355" s="26" t="e">
        <f t="shared" si="1"/>
        <v>#VALUE!</v>
      </c>
      <c r="I4355" s="1" t="e">
        <f t="shared" si="2"/>
        <v>#VALUE!</v>
      </c>
    </row>
    <row r="4356" spans="1:9" ht="15.75" customHeight="1">
      <c r="A4356" s="26"/>
      <c r="B4356" s="2"/>
      <c r="C4356" s="26"/>
      <c r="D4356" s="26"/>
      <c r="F4356" s="85" t="str">
        <f t="shared" si="0"/>
        <v/>
      </c>
      <c r="G4356" s="1" t="e">
        <f>IF(VALUE(F4356) = VALUE(RIGHT(Insights!$C$3, 4)), E4356, "")</f>
        <v>#VALUE!</v>
      </c>
      <c r="H4356" s="26" t="e">
        <f t="shared" si="1"/>
        <v>#VALUE!</v>
      </c>
      <c r="I4356" s="1" t="e">
        <f t="shared" si="2"/>
        <v>#VALUE!</v>
      </c>
    </row>
    <row r="4357" spans="1:9" ht="15.75" customHeight="1">
      <c r="A4357" s="26"/>
      <c r="B4357" s="2"/>
      <c r="C4357" s="26"/>
      <c r="D4357" s="26"/>
      <c r="F4357" s="85" t="str">
        <f t="shared" si="0"/>
        <v/>
      </c>
      <c r="G4357" s="1" t="e">
        <f>IF(VALUE(F4357) = VALUE(RIGHT(Insights!$C$3, 4)), E4357, "")</f>
        <v>#VALUE!</v>
      </c>
      <c r="H4357" s="26" t="e">
        <f t="shared" si="1"/>
        <v>#VALUE!</v>
      </c>
      <c r="I4357" s="1" t="e">
        <f t="shared" si="2"/>
        <v>#VALUE!</v>
      </c>
    </row>
    <row r="4358" spans="1:9" ht="15.75" customHeight="1">
      <c r="A4358" s="26"/>
      <c r="B4358" s="2"/>
      <c r="C4358" s="26"/>
      <c r="D4358" s="26"/>
      <c r="F4358" s="85" t="str">
        <f t="shared" si="0"/>
        <v/>
      </c>
      <c r="G4358" s="1" t="e">
        <f>IF(VALUE(F4358) = VALUE(RIGHT(Insights!$C$3, 4)), E4358, "")</f>
        <v>#VALUE!</v>
      </c>
      <c r="H4358" s="26" t="e">
        <f t="shared" si="1"/>
        <v>#VALUE!</v>
      </c>
      <c r="I4358" s="1" t="e">
        <f t="shared" si="2"/>
        <v>#VALUE!</v>
      </c>
    </row>
    <row r="4359" spans="1:9" ht="15.75" customHeight="1">
      <c r="A4359" s="26"/>
      <c r="B4359" s="2"/>
      <c r="C4359" s="26"/>
      <c r="D4359" s="26"/>
      <c r="F4359" s="85" t="str">
        <f t="shared" si="0"/>
        <v/>
      </c>
      <c r="G4359" s="1" t="e">
        <f>IF(VALUE(F4359) = VALUE(RIGHT(Insights!$C$3, 4)), E4359, "")</f>
        <v>#VALUE!</v>
      </c>
      <c r="H4359" s="26" t="e">
        <f t="shared" si="1"/>
        <v>#VALUE!</v>
      </c>
      <c r="I4359" s="1" t="e">
        <f t="shared" si="2"/>
        <v>#VALUE!</v>
      </c>
    </row>
    <row r="4360" spans="1:9" ht="15.75" customHeight="1">
      <c r="A4360" s="26"/>
      <c r="B4360" s="2"/>
      <c r="C4360" s="26"/>
      <c r="D4360" s="26"/>
      <c r="F4360" s="85" t="str">
        <f t="shared" si="0"/>
        <v/>
      </c>
      <c r="G4360" s="1" t="e">
        <f>IF(VALUE(F4360) = VALUE(RIGHT(Insights!$C$3, 4)), E4360, "")</f>
        <v>#VALUE!</v>
      </c>
      <c r="H4360" s="26" t="e">
        <f t="shared" si="1"/>
        <v>#VALUE!</v>
      </c>
      <c r="I4360" s="1" t="e">
        <f t="shared" si="2"/>
        <v>#VALUE!</v>
      </c>
    </row>
    <row r="4361" spans="1:9" ht="15.75" customHeight="1">
      <c r="A4361" s="26"/>
      <c r="B4361" s="2"/>
      <c r="C4361" s="26"/>
      <c r="D4361" s="26"/>
      <c r="F4361" s="85" t="str">
        <f t="shared" si="0"/>
        <v/>
      </c>
      <c r="G4361" s="1" t="e">
        <f>IF(VALUE(F4361) = VALUE(RIGHT(Insights!$C$3, 4)), E4361, "")</f>
        <v>#VALUE!</v>
      </c>
      <c r="H4361" s="26" t="e">
        <f t="shared" si="1"/>
        <v>#VALUE!</v>
      </c>
      <c r="I4361" s="1" t="e">
        <f t="shared" si="2"/>
        <v>#VALUE!</v>
      </c>
    </row>
    <row r="4362" spans="1:9" ht="15.75" customHeight="1">
      <c r="A4362" s="26"/>
      <c r="B4362" s="2"/>
      <c r="C4362" s="26"/>
      <c r="D4362" s="26"/>
      <c r="F4362" s="85" t="str">
        <f t="shared" si="0"/>
        <v/>
      </c>
      <c r="G4362" s="1" t="e">
        <f>IF(VALUE(F4362) = VALUE(RIGHT(Insights!$C$3, 4)), E4362, "")</f>
        <v>#VALUE!</v>
      </c>
      <c r="H4362" s="26" t="e">
        <f t="shared" si="1"/>
        <v>#VALUE!</v>
      </c>
      <c r="I4362" s="1" t="e">
        <f t="shared" si="2"/>
        <v>#VALUE!</v>
      </c>
    </row>
    <row r="4363" spans="1:9" ht="15.75" customHeight="1">
      <c r="A4363" s="26"/>
      <c r="B4363" s="2"/>
      <c r="C4363" s="26"/>
      <c r="D4363" s="26"/>
      <c r="F4363" s="85" t="str">
        <f t="shared" si="0"/>
        <v/>
      </c>
      <c r="G4363" s="1" t="e">
        <f>IF(VALUE(F4363) = VALUE(RIGHT(Insights!$C$3, 4)), E4363, "")</f>
        <v>#VALUE!</v>
      </c>
      <c r="H4363" s="26" t="e">
        <f t="shared" si="1"/>
        <v>#VALUE!</v>
      </c>
      <c r="I4363" s="1" t="e">
        <f t="shared" si="2"/>
        <v>#VALUE!</v>
      </c>
    </row>
    <row r="4364" spans="1:9" ht="15.75" customHeight="1">
      <c r="A4364" s="26"/>
      <c r="B4364" s="2"/>
      <c r="C4364" s="26"/>
      <c r="D4364" s="26"/>
      <c r="F4364" s="85" t="str">
        <f t="shared" si="0"/>
        <v/>
      </c>
      <c r="G4364" s="1" t="e">
        <f>IF(VALUE(F4364) = VALUE(RIGHT(Insights!$C$3, 4)), E4364, "")</f>
        <v>#VALUE!</v>
      </c>
      <c r="H4364" s="26" t="e">
        <f t="shared" si="1"/>
        <v>#VALUE!</v>
      </c>
      <c r="I4364" s="1" t="e">
        <f t="shared" si="2"/>
        <v>#VALUE!</v>
      </c>
    </row>
    <row r="4365" spans="1:9" ht="15.75" customHeight="1">
      <c r="A4365" s="26"/>
      <c r="B4365" s="2"/>
      <c r="C4365" s="26"/>
      <c r="D4365" s="26"/>
      <c r="F4365" s="85" t="str">
        <f t="shared" si="0"/>
        <v/>
      </c>
      <c r="G4365" s="1" t="e">
        <f>IF(VALUE(F4365) = VALUE(RIGHT(Insights!$C$3, 4)), E4365, "")</f>
        <v>#VALUE!</v>
      </c>
      <c r="H4365" s="26" t="e">
        <f t="shared" si="1"/>
        <v>#VALUE!</v>
      </c>
      <c r="I4365" s="1" t="e">
        <f t="shared" si="2"/>
        <v>#VALUE!</v>
      </c>
    </row>
    <row r="4366" spans="1:9" ht="15.75" customHeight="1">
      <c r="A4366" s="26"/>
      <c r="B4366" s="2"/>
      <c r="C4366" s="26"/>
      <c r="D4366" s="26"/>
      <c r="F4366" s="85" t="str">
        <f t="shared" si="0"/>
        <v/>
      </c>
      <c r="G4366" s="1" t="e">
        <f>IF(VALUE(F4366) = VALUE(RIGHT(Insights!$C$3, 4)), E4366, "")</f>
        <v>#VALUE!</v>
      </c>
      <c r="H4366" s="26" t="e">
        <f t="shared" si="1"/>
        <v>#VALUE!</v>
      </c>
      <c r="I4366" s="1" t="e">
        <f t="shared" si="2"/>
        <v>#VALUE!</v>
      </c>
    </row>
    <row r="4367" spans="1:9" ht="15.75" customHeight="1">
      <c r="A4367" s="26"/>
      <c r="B4367" s="2"/>
      <c r="C4367" s="26"/>
      <c r="D4367" s="26"/>
      <c r="F4367" s="85" t="str">
        <f t="shared" si="0"/>
        <v/>
      </c>
      <c r="G4367" s="1" t="e">
        <f>IF(VALUE(F4367) = VALUE(RIGHT(Insights!$C$3, 4)), E4367, "")</f>
        <v>#VALUE!</v>
      </c>
      <c r="H4367" s="26" t="e">
        <f t="shared" si="1"/>
        <v>#VALUE!</v>
      </c>
      <c r="I4367" s="1" t="e">
        <f t="shared" si="2"/>
        <v>#VALUE!</v>
      </c>
    </row>
    <row r="4368" spans="1:9" ht="15.75" customHeight="1">
      <c r="A4368" s="26"/>
      <c r="B4368" s="2"/>
      <c r="C4368" s="26"/>
      <c r="D4368" s="26"/>
      <c r="F4368" s="85" t="str">
        <f t="shared" si="0"/>
        <v/>
      </c>
      <c r="G4368" s="1" t="e">
        <f>IF(VALUE(F4368) = VALUE(RIGHT(Insights!$C$3, 4)), E4368, "")</f>
        <v>#VALUE!</v>
      </c>
      <c r="H4368" s="26" t="e">
        <f t="shared" si="1"/>
        <v>#VALUE!</v>
      </c>
      <c r="I4368" s="1" t="e">
        <f t="shared" si="2"/>
        <v>#VALUE!</v>
      </c>
    </row>
    <row r="4369" spans="1:9" ht="15.75" customHeight="1">
      <c r="A4369" s="26"/>
      <c r="B4369" s="2"/>
      <c r="C4369" s="26"/>
      <c r="D4369" s="26"/>
      <c r="F4369" s="85" t="str">
        <f t="shared" si="0"/>
        <v/>
      </c>
      <c r="G4369" s="1" t="e">
        <f>IF(VALUE(F4369) = VALUE(RIGHT(Insights!$C$3, 4)), E4369, "")</f>
        <v>#VALUE!</v>
      </c>
      <c r="H4369" s="26" t="e">
        <f t="shared" si="1"/>
        <v>#VALUE!</v>
      </c>
      <c r="I4369" s="1" t="e">
        <f t="shared" si="2"/>
        <v>#VALUE!</v>
      </c>
    </row>
    <row r="4370" spans="1:9" ht="15.75" customHeight="1">
      <c r="A4370" s="26"/>
      <c r="B4370" s="2"/>
      <c r="C4370" s="26"/>
      <c r="D4370" s="26"/>
      <c r="F4370" s="85" t="str">
        <f t="shared" si="0"/>
        <v/>
      </c>
      <c r="G4370" s="1" t="e">
        <f>IF(VALUE(F4370) = VALUE(RIGHT(Insights!$C$3, 4)), E4370, "")</f>
        <v>#VALUE!</v>
      </c>
      <c r="H4370" s="26" t="e">
        <f t="shared" si="1"/>
        <v>#VALUE!</v>
      </c>
      <c r="I4370" s="1" t="e">
        <f t="shared" si="2"/>
        <v>#VALUE!</v>
      </c>
    </row>
    <row r="4371" spans="1:9" ht="15.75" customHeight="1">
      <c r="A4371" s="26"/>
      <c r="B4371" s="2"/>
      <c r="C4371" s="26"/>
      <c r="D4371" s="26"/>
      <c r="F4371" s="85" t="str">
        <f t="shared" si="0"/>
        <v/>
      </c>
      <c r="G4371" s="1" t="e">
        <f>IF(VALUE(F4371) = VALUE(RIGHT(Insights!$C$3, 4)), E4371, "")</f>
        <v>#VALUE!</v>
      </c>
      <c r="H4371" s="26" t="e">
        <f t="shared" si="1"/>
        <v>#VALUE!</v>
      </c>
      <c r="I4371" s="1" t="e">
        <f t="shared" si="2"/>
        <v>#VALUE!</v>
      </c>
    </row>
    <row r="4372" spans="1:9" ht="15.75" customHeight="1">
      <c r="A4372" s="26"/>
      <c r="B4372" s="2"/>
      <c r="C4372" s="26"/>
      <c r="D4372" s="26"/>
      <c r="F4372" s="85" t="str">
        <f t="shared" si="0"/>
        <v/>
      </c>
      <c r="G4372" s="1" t="e">
        <f>IF(VALUE(F4372) = VALUE(RIGHT(Insights!$C$3, 4)), E4372, "")</f>
        <v>#VALUE!</v>
      </c>
      <c r="H4372" s="26" t="e">
        <f t="shared" si="1"/>
        <v>#VALUE!</v>
      </c>
      <c r="I4372" s="1" t="e">
        <f t="shared" si="2"/>
        <v>#VALUE!</v>
      </c>
    </row>
    <row r="4373" spans="1:9" ht="15.75" customHeight="1">
      <c r="A4373" s="26"/>
      <c r="B4373" s="2"/>
      <c r="C4373" s="26"/>
      <c r="D4373" s="26"/>
      <c r="F4373" s="85" t="str">
        <f t="shared" si="0"/>
        <v/>
      </c>
      <c r="G4373" s="1" t="e">
        <f>IF(VALUE(F4373) = VALUE(RIGHT(Insights!$C$3, 4)), E4373, "")</f>
        <v>#VALUE!</v>
      </c>
      <c r="H4373" s="26" t="e">
        <f t="shared" si="1"/>
        <v>#VALUE!</v>
      </c>
      <c r="I4373" s="1" t="e">
        <f t="shared" si="2"/>
        <v>#VALUE!</v>
      </c>
    </row>
    <row r="4374" spans="1:9" ht="15.75" customHeight="1">
      <c r="A4374" s="26"/>
      <c r="B4374" s="2"/>
      <c r="C4374" s="26"/>
      <c r="D4374" s="26"/>
      <c r="F4374" s="85" t="str">
        <f t="shared" si="0"/>
        <v/>
      </c>
      <c r="G4374" s="1" t="e">
        <f>IF(VALUE(F4374) = VALUE(RIGHT(Insights!$C$3, 4)), E4374, "")</f>
        <v>#VALUE!</v>
      </c>
      <c r="H4374" s="26" t="e">
        <f t="shared" si="1"/>
        <v>#VALUE!</v>
      </c>
      <c r="I4374" s="1" t="e">
        <f t="shared" si="2"/>
        <v>#VALUE!</v>
      </c>
    </row>
    <row r="4375" spans="1:9" ht="15.75" customHeight="1">
      <c r="A4375" s="26"/>
      <c r="B4375" s="2"/>
      <c r="C4375" s="26"/>
      <c r="D4375" s="26"/>
      <c r="F4375" s="85" t="str">
        <f t="shared" si="0"/>
        <v/>
      </c>
      <c r="G4375" s="1" t="e">
        <f>IF(VALUE(F4375) = VALUE(RIGHT(Insights!$C$3, 4)), E4375, "")</f>
        <v>#VALUE!</v>
      </c>
      <c r="H4375" s="26" t="e">
        <f t="shared" si="1"/>
        <v>#VALUE!</v>
      </c>
      <c r="I4375" s="1" t="e">
        <f t="shared" si="2"/>
        <v>#VALUE!</v>
      </c>
    </row>
    <row r="4376" spans="1:9" ht="15.75" customHeight="1">
      <c r="A4376" s="26"/>
      <c r="B4376" s="2"/>
      <c r="C4376" s="26"/>
      <c r="D4376" s="26"/>
      <c r="F4376" s="85" t="str">
        <f t="shared" si="0"/>
        <v/>
      </c>
      <c r="G4376" s="1" t="e">
        <f>IF(VALUE(F4376) = VALUE(RIGHT(Insights!$C$3, 4)), E4376, "")</f>
        <v>#VALUE!</v>
      </c>
      <c r="H4376" s="26" t="e">
        <f t="shared" si="1"/>
        <v>#VALUE!</v>
      </c>
      <c r="I4376" s="1" t="e">
        <f t="shared" si="2"/>
        <v>#VALUE!</v>
      </c>
    </row>
    <row r="4377" spans="1:9" ht="15.75" customHeight="1">
      <c r="A4377" s="26"/>
      <c r="B4377" s="2"/>
      <c r="C4377" s="26"/>
      <c r="D4377" s="26"/>
      <c r="F4377" s="85" t="str">
        <f t="shared" si="0"/>
        <v/>
      </c>
      <c r="G4377" s="1" t="e">
        <f>IF(VALUE(F4377) = VALUE(RIGHT(Insights!$C$3, 4)), E4377, "")</f>
        <v>#VALUE!</v>
      </c>
      <c r="H4377" s="26" t="e">
        <f t="shared" si="1"/>
        <v>#VALUE!</v>
      </c>
      <c r="I4377" s="1" t="e">
        <f t="shared" si="2"/>
        <v>#VALUE!</v>
      </c>
    </row>
    <row r="4378" spans="1:9" ht="15.75" customHeight="1">
      <c r="A4378" s="26"/>
      <c r="B4378" s="2"/>
      <c r="C4378" s="26"/>
      <c r="D4378" s="26"/>
      <c r="F4378" s="85" t="str">
        <f t="shared" si="0"/>
        <v/>
      </c>
      <c r="G4378" s="1" t="e">
        <f>IF(VALUE(F4378) = VALUE(RIGHT(Insights!$C$3, 4)), E4378, "")</f>
        <v>#VALUE!</v>
      </c>
      <c r="H4378" s="26" t="e">
        <f t="shared" si="1"/>
        <v>#VALUE!</v>
      </c>
      <c r="I4378" s="1" t="e">
        <f t="shared" si="2"/>
        <v>#VALUE!</v>
      </c>
    </row>
    <row r="4379" spans="1:9" ht="15.75" customHeight="1">
      <c r="A4379" s="26"/>
      <c r="B4379" s="2"/>
      <c r="C4379" s="26"/>
      <c r="D4379" s="26"/>
      <c r="F4379" s="85" t="str">
        <f t="shared" si="0"/>
        <v/>
      </c>
      <c r="G4379" s="1" t="e">
        <f>IF(VALUE(F4379) = VALUE(RIGHT(Insights!$C$3, 4)), E4379, "")</f>
        <v>#VALUE!</v>
      </c>
      <c r="H4379" s="26" t="e">
        <f t="shared" si="1"/>
        <v>#VALUE!</v>
      </c>
      <c r="I4379" s="1" t="e">
        <f t="shared" si="2"/>
        <v>#VALUE!</v>
      </c>
    </row>
    <row r="4380" spans="1:9" ht="15.75" customHeight="1">
      <c r="A4380" s="26"/>
      <c r="B4380" s="2"/>
      <c r="C4380" s="26"/>
      <c r="D4380" s="26"/>
      <c r="F4380" s="85" t="str">
        <f t="shared" si="0"/>
        <v/>
      </c>
      <c r="G4380" s="1" t="e">
        <f>IF(VALUE(F4380) = VALUE(RIGHT(Insights!$C$3, 4)), E4380, "")</f>
        <v>#VALUE!</v>
      </c>
      <c r="H4380" s="26" t="e">
        <f t="shared" si="1"/>
        <v>#VALUE!</v>
      </c>
      <c r="I4380" s="1" t="e">
        <f t="shared" si="2"/>
        <v>#VALUE!</v>
      </c>
    </row>
    <row r="4381" spans="1:9" ht="15.75" customHeight="1">
      <c r="A4381" s="26"/>
      <c r="B4381" s="2"/>
      <c r="C4381" s="26"/>
      <c r="D4381" s="26"/>
      <c r="F4381" s="85" t="str">
        <f t="shared" si="0"/>
        <v/>
      </c>
      <c r="G4381" s="1" t="e">
        <f>IF(VALUE(F4381) = VALUE(RIGHT(Insights!$C$3, 4)), E4381, "")</f>
        <v>#VALUE!</v>
      </c>
      <c r="H4381" s="26" t="e">
        <f t="shared" si="1"/>
        <v>#VALUE!</v>
      </c>
      <c r="I4381" s="1" t="e">
        <f t="shared" si="2"/>
        <v>#VALUE!</v>
      </c>
    </row>
    <row r="4382" spans="1:9" ht="15.75" customHeight="1">
      <c r="A4382" s="26"/>
      <c r="B4382" s="2"/>
      <c r="C4382" s="26"/>
      <c r="D4382" s="26"/>
      <c r="F4382" s="85" t="str">
        <f t="shared" si="0"/>
        <v/>
      </c>
      <c r="G4382" s="1" t="e">
        <f>IF(VALUE(F4382) = VALUE(RIGHT(Insights!$C$3, 4)), E4382, "")</f>
        <v>#VALUE!</v>
      </c>
      <c r="H4382" s="26" t="e">
        <f t="shared" si="1"/>
        <v>#VALUE!</v>
      </c>
      <c r="I4382" s="1" t="e">
        <f t="shared" si="2"/>
        <v>#VALUE!</v>
      </c>
    </row>
    <row r="4383" spans="1:9" ht="15.75" customHeight="1">
      <c r="A4383" s="26"/>
      <c r="B4383" s="2"/>
      <c r="C4383" s="26"/>
      <c r="D4383" s="26"/>
      <c r="F4383" s="85" t="str">
        <f t="shared" si="0"/>
        <v/>
      </c>
      <c r="G4383" s="1" t="e">
        <f>IF(VALUE(F4383) = VALUE(RIGHT(Insights!$C$3, 4)), E4383, "")</f>
        <v>#VALUE!</v>
      </c>
      <c r="H4383" s="26" t="e">
        <f t="shared" si="1"/>
        <v>#VALUE!</v>
      </c>
      <c r="I4383" s="1" t="e">
        <f t="shared" si="2"/>
        <v>#VALUE!</v>
      </c>
    </row>
    <row r="4384" spans="1:9" ht="15.75" customHeight="1">
      <c r="A4384" s="26"/>
      <c r="B4384" s="2"/>
      <c r="C4384" s="26"/>
      <c r="D4384" s="26"/>
      <c r="F4384" s="85" t="str">
        <f t="shared" si="0"/>
        <v/>
      </c>
      <c r="G4384" s="1" t="e">
        <f>IF(VALUE(F4384) = VALUE(RIGHT(Insights!$C$3, 4)), E4384, "")</f>
        <v>#VALUE!</v>
      </c>
      <c r="H4384" s="26" t="e">
        <f t="shared" si="1"/>
        <v>#VALUE!</v>
      </c>
      <c r="I4384" s="1" t="e">
        <f t="shared" si="2"/>
        <v>#VALUE!</v>
      </c>
    </row>
    <row r="4385" spans="1:9" ht="15.75" customHeight="1">
      <c r="A4385" s="26"/>
      <c r="B4385" s="2"/>
      <c r="C4385" s="26"/>
      <c r="D4385" s="26"/>
      <c r="F4385" s="85" t="str">
        <f t="shared" si="0"/>
        <v/>
      </c>
      <c r="G4385" s="1" t="e">
        <f>IF(VALUE(F4385) = VALUE(RIGHT(Insights!$C$3, 4)), E4385, "")</f>
        <v>#VALUE!</v>
      </c>
      <c r="H4385" s="26" t="e">
        <f t="shared" si="1"/>
        <v>#VALUE!</v>
      </c>
      <c r="I4385" s="1" t="e">
        <f t="shared" si="2"/>
        <v>#VALUE!</v>
      </c>
    </row>
    <row r="4386" spans="1:9" ht="15.75" customHeight="1">
      <c r="A4386" s="26"/>
      <c r="B4386" s="2"/>
      <c r="C4386" s="26"/>
      <c r="D4386" s="26"/>
      <c r="F4386" s="85" t="str">
        <f t="shared" si="0"/>
        <v/>
      </c>
      <c r="G4386" s="1" t="e">
        <f>IF(VALUE(F4386) = VALUE(RIGHT(Insights!$C$3, 4)), E4386, "")</f>
        <v>#VALUE!</v>
      </c>
      <c r="H4386" s="26" t="e">
        <f t="shared" si="1"/>
        <v>#VALUE!</v>
      </c>
      <c r="I4386" s="1" t="e">
        <f t="shared" si="2"/>
        <v>#VALUE!</v>
      </c>
    </row>
    <row r="4387" spans="1:9" ht="15.75" customHeight="1">
      <c r="A4387" s="26"/>
      <c r="B4387" s="2"/>
      <c r="C4387" s="26"/>
      <c r="D4387" s="26"/>
      <c r="F4387" s="85" t="str">
        <f t="shared" si="0"/>
        <v/>
      </c>
      <c r="G4387" s="1" t="e">
        <f>IF(VALUE(F4387) = VALUE(RIGHT(Insights!$C$3, 4)), E4387, "")</f>
        <v>#VALUE!</v>
      </c>
      <c r="H4387" s="26" t="e">
        <f t="shared" si="1"/>
        <v>#VALUE!</v>
      </c>
      <c r="I4387" s="1" t="e">
        <f t="shared" si="2"/>
        <v>#VALUE!</v>
      </c>
    </row>
    <row r="4388" spans="1:9" ht="15.75" customHeight="1">
      <c r="A4388" s="26"/>
      <c r="B4388" s="2"/>
      <c r="C4388" s="26"/>
      <c r="D4388" s="26"/>
      <c r="F4388" s="85" t="str">
        <f t="shared" si="0"/>
        <v/>
      </c>
      <c r="G4388" s="1" t="e">
        <f>IF(VALUE(F4388) = VALUE(RIGHT(Insights!$C$3, 4)), E4388, "")</f>
        <v>#VALUE!</v>
      </c>
      <c r="H4388" s="26" t="e">
        <f t="shared" si="1"/>
        <v>#VALUE!</v>
      </c>
      <c r="I4388" s="1" t="e">
        <f t="shared" si="2"/>
        <v>#VALUE!</v>
      </c>
    </row>
    <row r="4389" spans="1:9" ht="15.75" customHeight="1">
      <c r="A4389" s="26"/>
      <c r="B4389" s="2"/>
      <c r="C4389" s="26"/>
      <c r="D4389" s="26"/>
      <c r="F4389" s="85" t="str">
        <f t="shared" si="0"/>
        <v/>
      </c>
      <c r="G4389" s="1" t="e">
        <f>IF(VALUE(F4389) = VALUE(RIGHT(Insights!$C$3, 4)), E4389, "")</f>
        <v>#VALUE!</v>
      </c>
      <c r="H4389" s="26" t="e">
        <f t="shared" si="1"/>
        <v>#VALUE!</v>
      </c>
      <c r="I4389" s="1" t="e">
        <f t="shared" si="2"/>
        <v>#VALUE!</v>
      </c>
    </row>
    <row r="4390" spans="1:9" ht="15.75" customHeight="1">
      <c r="A4390" s="26"/>
      <c r="B4390" s="2"/>
      <c r="C4390" s="26"/>
      <c r="D4390" s="26"/>
      <c r="F4390" s="85" t="str">
        <f t="shared" si="0"/>
        <v/>
      </c>
      <c r="G4390" s="1" t="e">
        <f>IF(VALUE(F4390) = VALUE(RIGHT(Insights!$C$3, 4)), E4390, "")</f>
        <v>#VALUE!</v>
      </c>
      <c r="H4390" s="26" t="e">
        <f t="shared" si="1"/>
        <v>#VALUE!</v>
      </c>
      <c r="I4390" s="1" t="e">
        <f t="shared" si="2"/>
        <v>#VALUE!</v>
      </c>
    </row>
    <row r="4391" spans="1:9" ht="15.75" customHeight="1">
      <c r="A4391" s="26"/>
      <c r="B4391" s="2"/>
      <c r="C4391" s="26"/>
      <c r="D4391" s="26"/>
      <c r="F4391" s="85" t="str">
        <f t="shared" si="0"/>
        <v/>
      </c>
      <c r="G4391" s="1" t="e">
        <f>IF(VALUE(F4391) = VALUE(RIGHT(Insights!$C$3, 4)), E4391, "")</f>
        <v>#VALUE!</v>
      </c>
      <c r="H4391" s="26" t="e">
        <f t="shared" si="1"/>
        <v>#VALUE!</v>
      </c>
      <c r="I4391" s="1" t="e">
        <f t="shared" si="2"/>
        <v>#VALUE!</v>
      </c>
    </row>
    <row r="4392" spans="1:9" ht="15.75" customHeight="1">
      <c r="A4392" s="26"/>
      <c r="B4392" s="2"/>
      <c r="C4392" s="26"/>
      <c r="D4392" s="26"/>
      <c r="F4392" s="85" t="str">
        <f t="shared" si="0"/>
        <v/>
      </c>
      <c r="G4392" s="1" t="e">
        <f>IF(VALUE(F4392) = VALUE(RIGHT(Insights!$C$3, 4)), E4392, "")</f>
        <v>#VALUE!</v>
      </c>
      <c r="H4392" s="26" t="e">
        <f t="shared" si="1"/>
        <v>#VALUE!</v>
      </c>
      <c r="I4392" s="1" t="e">
        <f t="shared" si="2"/>
        <v>#VALUE!</v>
      </c>
    </row>
    <row r="4393" spans="1:9" ht="15.75" customHeight="1">
      <c r="A4393" s="26"/>
      <c r="B4393" s="2"/>
      <c r="C4393" s="26"/>
      <c r="D4393" s="26"/>
      <c r="F4393" s="85" t="str">
        <f t="shared" si="0"/>
        <v/>
      </c>
      <c r="G4393" s="1" t="e">
        <f>IF(VALUE(F4393) = VALUE(RIGHT(Insights!$C$3, 4)), E4393, "")</f>
        <v>#VALUE!</v>
      </c>
      <c r="H4393" s="26" t="e">
        <f t="shared" si="1"/>
        <v>#VALUE!</v>
      </c>
      <c r="I4393" s="1" t="e">
        <f t="shared" si="2"/>
        <v>#VALUE!</v>
      </c>
    </row>
    <row r="4394" spans="1:9" ht="15.75" customHeight="1">
      <c r="A4394" s="26"/>
      <c r="B4394" s="2"/>
      <c r="C4394" s="26"/>
      <c r="D4394" s="26"/>
      <c r="F4394" s="85" t="str">
        <f t="shared" si="0"/>
        <v/>
      </c>
      <c r="G4394" s="1" t="e">
        <f>IF(VALUE(F4394) = VALUE(RIGHT(Insights!$C$3, 4)), E4394, "")</f>
        <v>#VALUE!</v>
      </c>
      <c r="H4394" s="26" t="e">
        <f t="shared" si="1"/>
        <v>#VALUE!</v>
      </c>
      <c r="I4394" s="1" t="e">
        <f t="shared" si="2"/>
        <v>#VALUE!</v>
      </c>
    </row>
    <row r="4395" spans="1:9" ht="15.75" customHeight="1">
      <c r="A4395" s="26"/>
      <c r="B4395" s="2"/>
      <c r="C4395" s="26"/>
      <c r="D4395" s="26"/>
      <c r="F4395" s="85" t="str">
        <f t="shared" si="0"/>
        <v/>
      </c>
      <c r="G4395" s="1" t="e">
        <f>IF(VALUE(F4395) = VALUE(RIGHT(Insights!$C$3, 4)), E4395, "")</f>
        <v>#VALUE!</v>
      </c>
      <c r="H4395" s="26" t="e">
        <f t="shared" si="1"/>
        <v>#VALUE!</v>
      </c>
      <c r="I4395" s="1" t="e">
        <f t="shared" si="2"/>
        <v>#VALUE!</v>
      </c>
    </row>
    <row r="4396" spans="1:9" ht="15.75" customHeight="1">
      <c r="A4396" s="26"/>
      <c r="B4396" s="2"/>
      <c r="C4396" s="26"/>
      <c r="D4396" s="26"/>
      <c r="F4396" s="85" t="str">
        <f t="shared" si="0"/>
        <v/>
      </c>
      <c r="G4396" s="1" t="e">
        <f>IF(VALUE(F4396) = VALUE(RIGHT(Insights!$C$3, 4)), E4396, "")</f>
        <v>#VALUE!</v>
      </c>
      <c r="H4396" s="26" t="e">
        <f t="shared" si="1"/>
        <v>#VALUE!</v>
      </c>
      <c r="I4396" s="1" t="e">
        <f t="shared" si="2"/>
        <v>#VALUE!</v>
      </c>
    </row>
    <row r="4397" spans="1:9" ht="15.75" customHeight="1">
      <c r="A4397" s="26"/>
      <c r="B4397" s="2"/>
      <c r="C4397" s="26"/>
      <c r="D4397" s="26"/>
      <c r="F4397" s="85" t="str">
        <f t="shared" si="0"/>
        <v/>
      </c>
      <c r="G4397" s="1" t="e">
        <f>IF(VALUE(F4397) = VALUE(RIGHT(Insights!$C$3, 4)), E4397, "")</f>
        <v>#VALUE!</v>
      </c>
      <c r="H4397" s="26" t="e">
        <f t="shared" si="1"/>
        <v>#VALUE!</v>
      </c>
      <c r="I4397" s="1" t="e">
        <f t="shared" si="2"/>
        <v>#VALUE!</v>
      </c>
    </row>
    <row r="4398" spans="1:9" ht="15.75" customHeight="1">
      <c r="A4398" s="26"/>
      <c r="B4398" s="2"/>
      <c r="C4398" s="26"/>
      <c r="D4398" s="26"/>
      <c r="F4398" s="85" t="str">
        <f t="shared" si="0"/>
        <v/>
      </c>
      <c r="G4398" s="1" t="e">
        <f>IF(VALUE(F4398) = VALUE(RIGHT(Insights!$C$3, 4)), E4398, "")</f>
        <v>#VALUE!</v>
      </c>
      <c r="H4398" s="26" t="e">
        <f t="shared" si="1"/>
        <v>#VALUE!</v>
      </c>
      <c r="I4398" s="1" t="e">
        <f t="shared" si="2"/>
        <v>#VALUE!</v>
      </c>
    </row>
    <row r="4399" spans="1:9" ht="15.75" customHeight="1">
      <c r="A4399" s="26"/>
      <c r="B4399" s="2"/>
      <c r="C4399" s="26"/>
      <c r="D4399" s="26"/>
      <c r="F4399" s="85" t="str">
        <f t="shared" si="0"/>
        <v/>
      </c>
      <c r="G4399" s="1" t="e">
        <f>IF(VALUE(F4399) = VALUE(RIGHT(Insights!$C$3, 4)), E4399, "")</f>
        <v>#VALUE!</v>
      </c>
      <c r="H4399" s="26" t="e">
        <f t="shared" si="1"/>
        <v>#VALUE!</v>
      </c>
      <c r="I4399" s="1" t="e">
        <f t="shared" si="2"/>
        <v>#VALUE!</v>
      </c>
    </row>
    <row r="4400" spans="1:9" ht="15.75" customHeight="1">
      <c r="A4400" s="26"/>
      <c r="B4400" s="2"/>
      <c r="C4400" s="26"/>
      <c r="D4400" s="26"/>
      <c r="F4400" s="85" t="str">
        <f t="shared" si="0"/>
        <v/>
      </c>
      <c r="G4400" s="1" t="e">
        <f>IF(VALUE(F4400) = VALUE(RIGHT(Insights!$C$3, 4)), E4400, "")</f>
        <v>#VALUE!</v>
      </c>
      <c r="H4400" s="26" t="e">
        <f t="shared" si="1"/>
        <v>#VALUE!</v>
      </c>
      <c r="I4400" s="1" t="e">
        <f t="shared" si="2"/>
        <v>#VALUE!</v>
      </c>
    </row>
    <row r="4401" spans="1:9" ht="15.75" customHeight="1">
      <c r="A4401" s="26"/>
      <c r="B4401" s="2"/>
      <c r="C4401" s="26"/>
      <c r="D4401" s="26"/>
      <c r="F4401" s="85" t="str">
        <f t="shared" si="0"/>
        <v/>
      </c>
      <c r="G4401" s="1" t="e">
        <f>IF(VALUE(F4401) = VALUE(RIGHT(Insights!$C$3, 4)), E4401, "")</f>
        <v>#VALUE!</v>
      </c>
      <c r="H4401" s="26" t="e">
        <f t="shared" si="1"/>
        <v>#VALUE!</v>
      </c>
      <c r="I4401" s="1" t="e">
        <f t="shared" si="2"/>
        <v>#VALUE!</v>
      </c>
    </row>
    <row r="4402" spans="1:9" ht="15.75" customHeight="1">
      <c r="A4402" s="26"/>
      <c r="B4402" s="2"/>
      <c r="C4402" s="26"/>
      <c r="D4402" s="26"/>
      <c r="F4402" s="85" t="str">
        <f t="shared" si="0"/>
        <v/>
      </c>
      <c r="G4402" s="1" t="e">
        <f>IF(VALUE(F4402) = VALUE(RIGHT(Insights!$C$3, 4)), E4402, "")</f>
        <v>#VALUE!</v>
      </c>
      <c r="H4402" s="26" t="e">
        <f t="shared" si="1"/>
        <v>#VALUE!</v>
      </c>
      <c r="I4402" s="1" t="e">
        <f t="shared" si="2"/>
        <v>#VALUE!</v>
      </c>
    </row>
    <row r="4403" spans="1:9" ht="15.75" customHeight="1">
      <c r="A4403" s="26"/>
      <c r="B4403" s="2"/>
      <c r="C4403" s="26"/>
      <c r="D4403" s="26"/>
      <c r="F4403" s="85" t="str">
        <f t="shared" si="0"/>
        <v/>
      </c>
      <c r="G4403" s="1" t="e">
        <f>IF(VALUE(F4403) = VALUE(RIGHT(Insights!$C$3, 4)), E4403, "")</f>
        <v>#VALUE!</v>
      </c>
      <c r="H4403" s="26" t="e">
        <f t="shared" si="1"/>
        <v>#VALUE!</v>
      </c>
      <c r="I4403" s="1" t="e">
        <f t="shared" si="2"/>
        <v>#VALUE!</v>
      </c>
    </row>
    <row r="4404" spans="1:9" ht="15.75" customHeight="1">
      <c r="A4404" s="26"/>
      <c r="B4404" s="2"/>
      <c r="C4404" s="26"/>
      <c r="D4404" s="26"/>
      <c r="F4404" s="85" t="str">
        <f t="shared" si="0"/>
        <v/>
      </c>
      <c r="G4404" s="1" t="e">
        <f>IF(VALUE(F4404) = VALUE(RIGHT(Insights!$C$3, 4)), E4404, "")</f>
        <v>#VALUE!</v>
      </c>
      <c r="H4404" s="26" t="e">
        <f t="shared" si="1"/>
        <v>#VALUE!</v>
      </c>
      <c r="I4404" s="1" t="e">
        <f t="shared" si="2"/>
        <v>#VALUE!</v>
      </c>
    </row>
    <row r="4405" spans="1:9" ht="15.75" customHeight="1">
      <c r="A4405" s="26"/>
      <c r="B4405" s="2"/>
      <c r="C4405" s="26"/>
      <c r="D4405" s="26"/>
      <c r="F4405" s="85" t="str">
        <f t="shared" si="0"/>
        <v/>
      </c>
      <c r="G4405" s="1" t="e">
        <f>IF(VALUE(F4405) = VALUE(RIGHT(Insights!$C$3, 4)), E4405, "")</f>
        <v>#VALUE!</v>
      </c>
      <c r="H4405" s="26" t="e">
        <f t="shared" si="1"/>
        <v>#VALUE!</v>
      </c>
      <c r="I4405" s="1" t="e">
        <f t="shared" si="2"/>
        <v>#VALUE!</v>
      </c>
    </row>
    <row r="4406" spans="1:9" ht="15.75" customHeight="1">
      <c r="A4406" s="26"/>
      <c r="B4406" s="2"/>
      <c r="C4406" s="26"/>
      <c r="D4406" s="26"/>
      <c r="F4406" s="85" t="str">
        <f t="shared" si="0"/>
        <v/>
      </c>
      <c r="G4406" s="1" t="e">
        <f>IF(VALUE(F4406) = VALUE(RIGHT(Insights!$C$3, 4)), E4406, "")</f>
        <v>#VALUE!</v>
      </c>
      <c r="H4406" s="26" t="e">
        <f t="shared" si="1"/>
        <v>#VALUE!</v>
      </c>
      <c r="I4406" s="1" t="e">
        <f t="shared" si="2"/>
        <v>#VALUE!</v>
      </c>
    </row>
    <row r="4407" spans="1:9" ht="15.75" customHeight="1">
      <c r="A4407" s="26"/>
      <c r="B4407" s="2"/>
      <c r="C4407" s="26"/>
      <c r="D4407" s="26"/>
      <c r="F4407" s="85" t="str">
        <f t="shared" si="0"/>
        <v/>
      </c>
      <c r="G4407" s="1" t="e">
        <f>IF(VALUE(F4407) = VALUE(RIGHT(Insights!$C$3, 4)), E4407, "")</f>
        <v>#VALUE!</v>
      </c>
      <c r="H4407" s="26" t="e">
        <f t="shared" si="1"/>
        <v>#VALUE!</v>
      </c>
      <c r="I4407" s="1" t="e">
        <f t="shared" si="2"/>
        <v>#VALUE!</v>
      </c>
    </row>
    <row r="4408" spans="1:9" ht="15.75" customHeight="1">
      <c r="A4408" s="26"/>
      <c r="B4408" s="2"/>
      <c r="C4408" s="26"/>
      <c r="D4408" s="26"/>
      <c r="F4408" s="85" t="str">
        <f t="shared" si="0"/>
        <v/>
      </c>
      <c r="G4408" s="1" t="e">
        <f>IF(VALUE(F4408) = VALUE(RIGHT(Insights!$C$3, 4)), E4408, "")</f>
        <v>#VALUE!</v>
      </c>
      <c r="H4408" s="26" t="e">
        <f t="shared" si="1"/>
        <v>#VALUE!</v>
      </c>
      <c r="I4408" s="1" t="e">
        <f t="shared" si="2"/>
        <v>#VALUE!</v>
      </c>
    </row>
    <row r="4409" spans="1:9" ht="15.75" customHeight="1">
      <c r="A4409" s="26"/>
      <c r="B4409" s="2"/>
      <c r="C4409" s="26"/>
      <c r="D4409" s="26"/>
      <c r="F4409" s="85" t="str">
        <f t="shared" si="0"/>
        <v/>
      </c>
      <c r="G4409" s="1" t="e">
        <f>IF(VALUE(F4409) = VALUE(RIGHT(Insights!$C$3, 4)), E4409, "")</f>
        <v>#VALUE!</v>
      </c>
      <c r="H4409" s="26" t="e">
        <f t="shared" si="1"/>
        <v>#VALUE!</v>
      </c>
      <c r="I4409" s="1" t="e">
        <f t="shared" si="2"/>
        <v>#VALUE!</v>
      </c>
    </row>
    <row r="4410" spans="1:9" ht="15.75" customHeight="1">
      <c r="A4410" s="26"/>
      <c r="B4410" s="2"/>
      <c r="C4410" s="26"/>
      <c r="D4410" s="26"/>
      <c r="F4410" s="85" t="str">
        <f t="shared" si="0"/>
        <v/>
      </c>
      <c r="G4410" s="1" t="e">
        <f>IF(VALUE(F4410) = VALUE(RIGHT(Insights!$C$3, 4)), E4410, "")</f>
        <v>#VALUE!</v>
      </c>
      <c r="H4410" s="26" t="e">
        <f t="shared" si="1"/>
        <v>#VALUE!</v>
      </c>
      <c r="I4410" s="1" t="e">
        <f t="shared" si="2"/>
        <v>#VALUE!</v>
      </c>
    </row>
    <row r="4411" spans="1:9" ht="15.75" customHeight="1">
      <c r="A4411" s="26"/>
      <c r="B4411" s="2"/>
      <c r="C4411" s="26"/>
      <c r="D4411" s="26"/>
      <c r="F4411" s="85" t="str">
        <f t="shared" si="0"/>
        <v/>
      </c>
      <c r="G4411" s="1" t="e">
        <f>IF(VALUE(F4411) = VALUE(RIGHT(Insights!$C$3, 4)), E4411, "")</f>
        <v>#VALUE!</v>
      </c>
      <c r="H4411" s="26" t="e">
        <f t="shared" si="1"/>
        <v>#VALUE!</v>
      </c>
      <c r="I4411" s="1" t="e">
        <f t="shared" si="2"/>
        <v>#VALUE!</v>
      </c>
    </row>
    <row r="4412" spans="1:9" ht="15.75" customHeight="1">
      <c r="A4412" s="26"/>
      <c r="B4412" s="2"/>
      <c r="C4412" s="26"/>
      <c r="D4412" s="26"/>
      <c r="F4412" s="85" t="str">
        <f t="shared" si="0"/>
        <v/>
      </c>
      <c r="G4412" s="1" t="e">
        <f>IF(VALUE(F4412) = VALUE(RIGHT(Insights!$C$3, 4)), E4412, "")</f>
        <v>#VALUE!</v>
      </c>
      <c r="H4412" s="26" t="e">
        <f t="shared" si="1"/>
        <v>#VALUE!</v>
      </c>
      <c r="I4412" s="1" t="e">
        <f t="shared" si="2"/>
        <v>#VALUE!</v>
      </c>
    </row>
    <row r="4413" spans="1:9" ht="15.75" customHeight="1">
      <c r="A4413" s="26"/>
      <c r="B4413" s="2"/>
      <c r="C4413" s="26"/>
      <c r="D4413" s="26"/>
      <c r="F4413" s="85" t="str">
        <f t="shared" si="0"/>
        <v/>
      </c>
      <c r="G4413" s="1" t="e">
        <f>IF(VALUE(F4413) = VALUE(RIGHT(Insights!$C$3, 4)), E4413, "")</f>
        <v>#VALUE!</v>
      </c>
      <c r="H4413" s="26" t="e">
        <f t="shared" si="1"/>
        <v>#VALUE!</v>
      </c>
      <c r="I4413" s="1" t="e">
        <f t="shared" si="2"/>
        <v>#VALUE!</v>
      </c>
    </row>
    <row r="4414" spans="1:9" ht="15.75" customHeight="1">
      <c r="A4414" s="26"/>
      <c r="B4414" s="2"/>
      <c r="C4414" s="26"/>
      <c r="D4414" s="26"/>
      <c r="F4414" s="85" t="str">
        <f t="shared" si="0"/>
        <v/>
      </c>
      <c r="G4414" s="1" t="e">
        <f>IF(VALUE(F4414) = VALUE(RIGHT(Insights!$C$3, 4)), E4414, "")</f>
        <v>#VALUE!</v>
      </c>
      <c r="H4414" s="26" t="e">
        <f t="shared" si="1"/>
        <v>#VALUE!</v>
      </c>
      <c r="I4414" s="1" t="e">
        <f t="shared" si="2"/>
        <v>#VALUE!</v>
      </c>
    </row>
    <row r="4415" spans="1:9" ht="15.75" customHeight="1">
      <c r="A4415" s="26"/>
      <c r="B4415" s="2"/>
      <c r="C4415" s="26"/>
      <c r="D4415" s="26"/>
      <c r="F4415" s="85" t="str">
        <f t="shared" si="0"/>
        <v/>
      </c>
      <c r="G4415" s="1" t="e">
        <f>IF(VALUE(F4415) = VALUE(RIGHT(Insights!$C$3, 4)), E4415, "")</f>
        <v>#VALUE!</v>
      </c>
      <c r="H4415" s="26" t="e">
        <f t="shared" si="1"/>
        <v>#VALUE!</v>
      </c>
      <c r="I4415" s="1" t="e">
        <f t="shared" si="2"/>
        <v>#VALUE!</v>
      </c>
    </row>
    <row r="4416" spans="1:9" ht="15.75" customHeight="1">
      <c r="A4416" s="26"/>
      <c r="B4416" s="2"/>
      <c r="C4416" s="26"/>
      <c r="D4416" s="26"/>
      <c r="F4416" s="85" t="str">
        <f t="shared" si="0"/>
        <v/>
      </c>
      <c r="G4416" s="1" t="e">
        <f>IF(VALUE(F4416) = VALUE(RIGHT(Insights!$C$3, 4)), E4416, "")</f>
        <v>#VALUE!</v>
      </c>
      <c r="H4416" s="26" t="e">
        <f t="shared" si="1"/>
        <v>#VALUE!</v>
      </c>
      <c r="I4416" s="1" t="e">
        <f t="shared" si="2"/>
        <v>#VALUE!</v>
      </c>
    </row>
    <row r="4417" spans="1:9" ht="15.75" customHeight="1">
      <c r="A4417" s="26"/>
      <c r="B4417" s="2"/>
      <c r="C4417" s="26"/>
      <c r="D4417" s="26"/>
      <c r="F4417" s="85" t="str">
        <f t="shared" si="0"/>
        <v/>
      </c>
      <c r="G4417" s="1" t="e">
        <f>IF(VALUE(F4417) = VALUE(RIGHT(Insights!$C$3, 4)), E4417, "")</f>
        <v>#VALUE!</v>
      </c>
      <c r="H4417" s="26" t="e">
        <f t="shared" si="1"/>
        <v>#VALUE!</v>
      </c>
      <c r="I4417" s="1" t="e">
        <f t="shared" si="2"/>
        <v>#VALUE!</v>
      </c>
    </row>
    <row r="4418" spans="1:9" ht="15.75" customHeight="1">
      <c r="A4418" s="26"/>
      <c r="B4418" s="2"/>
      <c r="C4418" s="26"/>
      <c r="D4418" s="26"/>
      <c r="F4418" s="85" t="str">
        <f t="shared" si="0"/>
        <v/>
      </c>
      <c r="G4418" s="1" t="e">
        <f>IF(VALUE(F4418) = VALUE(RIGHT(Insights!$C$3, 4)), E4418, "")</f>
        <v>#VALUE!</v>
      </c>
      <c r="H4418" s="26" t="e">
        <f t="shared" si="1"/>
        <v>#VALUE!</v>
      </c>
      <c r="I4418" s="1" t="e">
        <f t="shared" si="2"/>
        <v>#VALUE!</v>
      </c>
    </row>
    <row r="4419" spans="1:9" ht="15.75" customHeight="1">
      <c r="A4419" s="26"/>
      <c r="B4419" s="2"/>
      <c r="C4419" s="26"/>
      <c r="D4419" s="26"/>
      <c r="F4419" s="85" t="str">
        <f t="shared" si="0"/>
        <v/>
      </c>
      <c r="G4419" s="1" t="e">
        <f>IF(VALUE(F4419) = VALUE(RIGHT(Insights!$C$3, 4)), E4419, "")</f>
        <v>#VALUE!</v>
      </c>
      <c r="H4419" s="26" t="e">
        <f t="shared" si="1"/>
        <v>#VALUE!</v>
      </c>
      <c r="I4419" s="1" t="e">
        <f t="shared" si="2"/>
        <v>#VALUE!</v>
      </c>
    </row>
    <row r="4420" spans="1:9" ht="15.75" customHeight="1">
      <c r="A4420" s="26"/>
      <c r="B4420" s="2"/>
      <c r="C4420" s="26"/>
      <c r="D4420" s="26"/>
      <c r="F4420" s="85" t="str">
        <f t="shared" si="0"/>
        <v/>
      </c>
      <c r="G4420" s="1" t="e">
        <f>IF(VALUE(F4420) = VALUE(RIGHT(Insights!$C$3, 4)), E4420, "")</f>
        <v>#VALUE!</v>
      </c>
      <c r="H4420" s="26" t="e">
        <f t="shared" si="1"/>
        <v>#VALUE!</v>
      </c>
      <c r="I4420" s="1" t="e">
        <f t="shared" si="2"/>
        <v>#VALUE!</v>
      </c>
    </row>
    <row r="4421" spans="1:9" ht="15.75" customHeight="1">
      <c r="A4421" s="26"/>
      <c r="B4421" s="2"/>
      <c r="C4421" s="26"/>
      <c r="D4421" s="26"/>
      <c r="F4421" s="85" t="str">
        <f t="shared" si="0"/>
        <v/>
      </c>
      <c r="G4421" s="1" t="e">
        <f>IF(VALUE(F4421) = VALUE(RIGHT(Insights!$C$3, 4)), E4421, "")</f>
        <v>#VALUE!</v>
      </c>
      <c r="H4421" s="26" t="e">
        <f t="shared" si="1"/>
        <v>#VALUE!</v>
      </c>
      <c r="I4421" s="1" t="e">
        <f t="shared" si="2"/>
        <v>#VALUE!</v>
      </c>
    </row>
    <row r="4422" spans="1:9" ht="15.75" customHeight="1">
      <c r="A4422" s="26"/>
      <c r="B4422" s="2"/>
      <c r="C4422" s="26"/>
      <c r="D4422" s="26"/>
      <c r="F4422" s="85" t="str">
        <f t="shared" si="0"/>
        <v/>
      </c>
      <c r="G4422" s="1" t="e">
        <f>IF(VALUE(F4422) = VALUE(RIGHT(Insights!$C$3, 4)), E4422, "")</f>
        <v>#VALUE!</v>
      </c>
      <c r="H4422" s="26" t="e">
        <f t="shared" si="1"/>
        <v>#VALUE!</v>
      </c>
      <c r="I4422" s="1" t="e">
        <f t="shared" si="2"/>
        <v>#VALUE!</v>
      </c>
    </row>
    <row r="4423" spans="1:9" ht="15.75" customHeight="1">
      <c r="A4423" s="26"/>
      <c r="B4423" s="2"/>
      <c r="C4423" s="26"/>
      <c r="D4423" s="26"/>
      <c r="F4423" s="85" t="str">
        <f t="shared" si="0"/>
        <v/>
      </c>
      <c r="G4423" s="1" t="e">
        <f>IF(VALUE(F4423) = VALUE(RIGHT(Insights!$C$3, 4)), E4423, "")</f>
        <v>#VALUE!</v>
      </c>
      <c r="H4423" s="26" t="e">
        <f t="shared" si="1"/>
        <v>#VALUE!</v>
      </c>
      <c r="I4423" s="1" t="e">
        <f t="shared" si="2"/>
        <v>#VALUE!</v>
      </c>
    </row>
    <row r="4424" spans="1:9" ht="15.75" customHeight="1">
      <c r="A4424" s="26"/>
      <c r="B4424" s="2"/>
      <c r="C4424" s="26"/>
      <c r="D4424" s="26"/>
      <c r="F4424" s="85" t="str">
        <f t="shared" si="0"/>
        <v/>
      </c>
      <c r="G4424" s="1" t="e">
        <f>IF(VALUE(F4424) = VALUE(RIGHT(Insights!$C$3, 4)), E4424, "")</f>
        <v>#VALUE!</v>
      </c>
      <c r="H4424" s="26" t="e">
        <f t="shared" si="1"/>
        <v>#VALUE!</v>
      </c>
      <c r="I4424" s="1" t="e">
        <f t="shared" si="2"/>
        <v>#VALUE!</v>
      </c>
    </row>
    <row r="4425" spans="1:9" ht="15.75" customHeight="1">
      <c r="A4425" s="26"/>
      <c r="B4425" s="2"/>
      <c r="C4425" s="26"/>
      <c r="D4425" s="26"/>
      <c r="F4425" s="85" t="str">
        <f t="shared" si="0"/>
        <v/>
      </c>
      <c r="G4425" s="1" t="e">
        <f>IF(VALUE(F4425) = VALUE(RIGHT(Insights!$C$3, 4)), E4425, "")</f>
        <v>#VALUE!</v>
      </c>
      <c r="H4425" s="26" t="e">
        <f t="shared" si="1"/>
        <v>#VALUE!</v>
      </c>
      <c r="I4425" s="1" t="e">
        <f t="shared" si="2"/>
        <v>#VALUE!</v>
      </c>
    </row>
    <row r="4426" spans="1:9" ht="15.75" customHeight="1">
      <c r="A4426" s="26"/>
      <c r="B4426" s="2"/>
      <c r="C4426" s="26"/>
      <c r="D4426" s="26"/>
      <c r="F4426" s="85" t="str">
        <f t="shared" si="0"/>
        <v/>
      </c>
      <c r="G4426" s="1" t="e">
        <f>IF(VALUE(F4426) = VALUE(RIGHT(Insights!$C$3, 4)), E4426, "")</f>
        <v>#VALUE!</v>
      </c>
      <c r="H4426" s="26" t="e">
        <f t="shared" si="1"/>
        <v>#VALUE!</v>
      </c>
      <c r="I4426" s="1" t="e">
        <f t="shared" si="2"/>
        <v>#VALUE!</v>
      </c>
    </row>
    <row r="4427" spans="1:9" ht="15.75" customHeight="1">
      <c r="A4427" s="26"/>
      <c r="B4427" s="2"/>
      <c r="C4427" s="26"/>
      <c r="D4427" s="26"/>
      <c r="F4427" s="85" t="str">
        <f t="shared" si="0"/>
        <v/>
      </c>
      <c r="G4427" s="1" t="e">
        <f>IF(VALUE(F4427) = VALUE(RIGHT(Insights!$C$3, 4)), E4427, "")</f>
        <v>#VALUE!</v>
      </c>
      <c r="H4427" s="26" t="e">
        <f t="shared" si="1"/>
        <v>#VALUE!</v>
      </c>
      <c r="I4427" s="1" t="e">
        <f t="shared" si="2"/>
        <v>#VALUE!</v>
      </c>
    </row>
    <row r="4428" spans="1:9" ht="15.75" customHeight="1">
      <c r="A4428" s="26"/>
      <c r="B4428" s="2"/>
      <c r="C4428" s="26"/>
      <c r="D4428" s="26"/>
      <c r="F4428" s="85" t="str">
        <f t="shared" si="0"/>
        <v/>
      </c>
      <c r="G4428" s="1" t="e">
        <f>IF(VALUE(F4428) = VALUE(RIGHT(Insights!$C$3, 4)), E4428, "")</f>
        <v>#VALUE!</v>
      </c>
      <c r="H4428" s="26" t="e">
        <f t="shared" si="1"/>
        <v>#VALUE!</v>
      </c>
      <c r="I4428" s="1" t="e">
        <f t="shared" si="2"/>
        <v>#VALUE!</v>
      </c>
    </row>
    <row r="4429" spans="1:9" ht="15.75" customHeight="1">
      <c r="A4429" s="26"/>
      <c r="B4429" s="2"/>
      <c r="C4429" s="26"/>
      <c r="D4429" s="26"/>
      <c r="F4429" s="85" t="str">
        <f t="shared" si="0"/>
        <v/>
      </c>
      <c r="G4429" s="1" t="e">
        <f>IF(VALUE(F4429) = VALUE(RIGHT(Insights!$C$3, 4)), E4429, "")</f>
        <v>#VALUE!</v>
      </c>
      <c r="H4429" s="26" t="e">
        <f t="shared" si="1"/>
        <v>#VALUE!</v>
      </c>
      <c r="I4429" s="1" t="e">
        <f t="shared" si="2"/>
        <v>#VALUE!</v>
      </c>
    </row>
    <row r="4430" spans="1:9" ht="15.75" customHeight="1">
      <c r="A4430" s="26"/>
      <c r="B4430" s="2"/>
      <c r="C4430" s="26"/>
      <c r="D4430" s="26"/>
      <c r="F4430" s="85" t="str">
        <f t="shared" si="0"/>
        <v/>
      </c>
      <c r="G4430" s="1" t="e">
        <f>IF(VALUE(F4430) = VALUE(RIGHT(Insights!$C$3, 4)), E4430, "")</f>
        <v>#VALUE!</v>
      </c>
      <c r="H4430" s="26" t="e">
        <f t="shared" si="1"/>
        <v>#VALUE!</v>
      </c>
      <c r="I4430" s="1" t="e">
        <f t="shared" si="2"/>
        <v>#VALUE!</v>
      </c>
    </row>
    <row r="4431" spans="1:9" ht="15.75" customHeight="1">
      <c r="A4431" s="26"/>
      <c r="B4431" s="2"/>
      <c r="C4431" s="26"/>
      <c r="D4431" s="26"/>
      <c r="F4431" s="85" t="str">
        <f t="shared" si="0"/>
        <v/>
      </c>
      <c r="G4431" s="1" t="e">
        <f>IF(VALUE(F4431) = VALUE(RIGHT(Insights!$C$3, 4)), E4431, "")</f>
        <v>#VALUE!</v>
      </c>
      <c r="H4431" s="26" t="e">
        <f t="shared" si="1"/>
        <v>#VALUE!</v>
      </c>
      <c r="I4431" s="1" t="e">
        <f t="shared" si="2"/>
        <v>#VALUE!</v>
      </c>
    </row>
    <row r="4432" spans="1:9" ht="15.75" customHeight="1">
      <c r="A4432" s="26"/>
      <c r="B4432" s="2"/>
      <c r="C4432" s="26"/>
      <c r="D4432" s="26"/>
      <c r="F4432" s="85" t="str">
        <f t="shared" si="0"/>
        <v/>
      </c>
      <c r="G4432" s="1" t="e">
        <f>IF(VALUE(F4432) = VALUE(RIGHT(Insights!$C$3, 4)), E4432, "")</f>
        <v>#VALUE!</v>
      </c>
      <c r="H4432" s="26" t="e">
        <f t="shared" si="1"/>
        <v>#VALUE!</v>
      </c>
      <c r="I4432" s="1" t="e">
        <f t="shared" si="2"/>
        <v>#VALUE!</v>
      </c>
    </row>
    <row r="4433" spans="1:9" ht="15.75" customHeight="1">
      <c r="A4433" s="26"/>
      <c r="B4433" s="2"/>
      <c r="C4433" s="26"/>
      <c r="D4433" s="26"/>
      <c r="F4433" s="85" t="str">
        <f t="shared" si="0"/>
        <v/>
      </c>
      <c r="G4433" s="1" t="e">
        <f>IF(VALUE(F4433) = VALUE(RIGHT(Insights!$C$3, 4)), E4433, "")</f>
        <v>#VALUE!</v>
      </c>
      <c r="H4433" s="26" t="e">
        <f t="shared" si="1"/>
        <v>#VALUE!</v>
      </c>
      <c r="I4433" s="1" t="e">
        <f t="shared" si="2"/>
        <v>#VALUE!</v>
      </c>
    </row>
    <row r="4434" spans="1:9" ht="15.75" customHeight="1">
      <c r="A4434" s="26"/>
      <c r="B4434" s="2"/>
      <c r="C4434" s="26"/>
      <c r="D4434" s="26"/>
      <c r="F4434" s="85" t="str">
        <f t="shared" si="0"/>
        <v/>
      </c>
      <c r="G4434" s="1" t="e">
        <f>IF(VALUE(F4434) = VALUE(RIGHT(Insights!$C$3, 4)), E4434, "")</f>
        <v>#VALUE!</v>
      </c>
      <c r="H4434" s="26" t="e">
        <f t="shared" si="1"/>
        <v>#VALUE!</v>
      </c>
      <c r="I4434" s="1" t="e">
        <f t="shared" si="2"/>
        <v>#VALUE!</v>
      </c>
    </row>
    <row r="4435" spans="1:9" ht="15.75" customHeight="1">
      <c r="A4435" s="26"/>
      <c r="B4435" s="2"/>
      <c r="C4435" s="26"/>
      <c r="D4435" s="26"/>
      <c r="F4435" s="85" t="str">
        <f t="shared" si="0"/>
        <v/>
      </c>
      <c r="G4435" s="1" t="e">
        <f>IF(VALUE(F4435) = VALUE(RIGHT(Insights!$C$3, 4)), E4435, "")</f>
        <v>#VALUE!</v>
      </c>
      <c r="H4435" s="26" t="e">
        <f t="shared" si="1"/>
        <v>#VALUE!</v>
      </c>
      <c r="I4435" s="1" t="e">
        <f t="shared" si="2"/>
        <v>#VALUE!</v>
      </c>
    </row>
    <row r="4436" spans="1:9" ht="15.75" customHeight="1">
      <c r="A4436" s="26"/>
      <c r="B4436" s="2"/>
      <c r="C4436" s="26"/>
      <c r="D4436" s="26"/>
      <c r="F4436" s="85" t="str">
        <f t="shared" si="0"/>
        <v/>
      </c>
      <c r="G4436" s="1" t="e">
        <f>IF(VALUE(F4436) = VALUE(RIGHT(Insights!$C$3, 4)), E4436, "")</f>
        <v>#VALUE!</v>
      </c>
      <c r="H4436" s="26" t="e">
        <f t="shared" si="1"/>
        <v>#VALUE!</v>
      </c>
      <c r="I4436" s="1" t="e">
        <f t="shared" si="2"/>
        <v>#VALUE!</v>
      </c>
    </row>
    <row r="4437" spans="1:9" ht="15.75" customHeight="1">
      <c r="A4437" s="26"/>
      <c r="B4437" s="2"/>
      <c r="C4437" s="26"/>
      <c r="D4437" s="26"/>
      <c r="F4437" s="85" t="str">
        <f t="shared" si="0"/>
        <v/>
      </c>
      <c r="G4437" s="1" t="e">
        <f>IF(VALUE(F4437) = VALUE(RIGHT(Insights!$C$3, 4)), E4437, "")</f>
        <v>#VALUE!</v>
      </c>
      <c r="H4437" s="26" t="e">
        <f t="shared" si="1"/>
        <v>#VALUE!</v>
      </c>
      <c r="I4437" s="1" t="e">
        <f t="shared" si="2"/>
        <v>#VALUE!</v>
      </c>
    </row>
    <row r="4438" spans="1:9" ht="15.75" customHeight="1">
      <c r="A4438" s="26"/>
      <c r="B4438" s="2"/>
      <c r="C4438" s="26"/>
      <c r="D4438" s="26"/>
      <c r="F4438" s="85" t="str">
        <f t="shared" si="0"/>
        <v/>
      </c>
      <c r="G4438" s="1" t="e">
        <f>IF(VALUE(F4438) = VALUE(RIGHT(Insights!$C$3, 4)), E4438, "")</f>
        <v>#VALUE!</v>
      </c>
      <c r="H4438" s="26" t="e">
        <f t="shared" si="1"/>
        <v>#VALUE!</v>
      </c>
      <c r="I4438" s="1" t="e">
        <f t="shared" si="2"/>
        <v>#VALUE!</v>
      </c>
    </row>
    <row r="4439" spans="1:9" ht="15.75" customHeight="1">
      <c r="A4439" s="26"/>
      <c r="B4439" s="2"/>
      <c r="C4439" s="26"/>
      <c r="D4439" s="26"/>
      <c r="F4439" s="85" t="str">
        <f t="shared" si="0"/>
        <v/>
      </c>
      <c r="G4439" s="1" t="e">
        <f>IF(VALUE(F4439) = VALUE(RIGHT(Insights!$C$3, 4)), E4439, "")</f>
        <v>#VALUE!</v>
      </c>
      <c r="H4439" s="26" t="e">
        <f t="shared" si="1"/>
        <v>#VALUE!</v>
      </c>
      <c r="I4439" s="1" t="e">
        <f t="shared" si="2"/>
        <v>#VALUE!</v>
      </c>
    </row>
    <row r="4440" spans="1:9" ht="15.75" customHeight="1">
      <c r="A4440" s="26"/>
      <c r="B4440" s="2"/>
      <c r="C4440" s="26"/>
      <c r="D4440" s="26"/>
      <c r="F4440" s="85" t="str">
        <f t="shared" si="0"/>
        <v/>
      </c>
      <c r="G4440" s="1" t="e">
        <f>IF(VALUE(F4440) = VALUE(RIGHT(Insights!$C$3, 4)), E4440, "")</f>
        <v>#VALUE!</v>
      </c>
      <c r="H4440" s="26" t="e">
        <f t="shared" si="1"/>
        <v>#VALUE!</v>
      </c>
      <c r="I4440" s="1" t="e">
        <f t="shared" si="2"/>
        <v>#VALUE!</v>
      </c>
    </row>
    <row r="4441" spans="1:9" ht="15.75" customHeight="1">
      <c r="A4441" s="26"/>
      <c r="B4441" s="2"/>
      <c r="C4441" s="26"/>
      <c r="D4441" s="26"/>
      <c r="F4441" s="85" t="str">
        <f t="shared" si="0"/>
        <v/>
      </c>
      <c r="G4441" s="1" t="e">
        <f>IF(VALUE(F4441) = VALUE(RIGHT(Insights!$C$3, 4)), E4441, "")</f>
        <v>#VALUE!</v>
      </c>
      <c r="H4441" s="26" t="e">
        <f t="shared" si="1"/>
        <v>#VALUE!</v>
      </c>
      <c r="I4441" s="1" t="e">
        <f t="shared" si="2"/>
        <v>#VALUE!</v>
      </c>
    </row>
    <row r="4442" spans="1:9" ht="15.75" customHeight="1">
      <c r="A4442" s="26"/>
      <c r="B4442" s="2"/>
      <c r="C4442" s="26"/>
      <c r="D4442" s="26"/>
      <c r="F4442" s="85" t="str">
        <f t="shared" si="0"/>
        <v/>
      </c>
      <c r="G4442" s="1" t="e">
        <f>IF(VALUE(F4442) = VALUE(RIGHT(Insights!$C$3, 4)), E4442, "")</f>
        <v>#VALUE!</v>
      </c>
      <c r="H4442" s="26" t="e">
        <f t="shared" si="1"/>
        <v>#VALUE!</v>
      </c>
      <c r="I4442" s="1" t="e">
        <f t="shared" si="2"/>
        <v>#VALUE!</v>
      </c>
    </row>
    <row r="4443" spans="1:9" ht="15.75" customHeight="1">
      <c r="A4443" s="26"/>
      <c r="B4443" s="2"/>
      <c r="C4443" s="26"/>
      <c r="D4443" s="26"/>
      <c r="F4443" s="85" t="str">
        <f t="shared" si="0"/>
        <v/>
      </c>
      <c r="G4443" s="1" t="e">
        <f>IF(VALUE(F4443) = VALUE(RIGHT(Insights!$C$3, 4)), E4443, "")</f>
        <v>#VALUE!</v>
      </c>
      <c r="H4443" s="26" t="e">
        <f t="shared" si="1"/>
        <v>#VALUE!</v>
      </c>
      <c r="I4443" s="1" t="e">
        <f t="shared" si="2"/>
        <v>#VALUE!</v>
      </c>
    </row>
    <row r="4444" spans="1:9" ht="15.75" customHeight="1">
      <c r="A4444" s="26"/>
      <c r="B4444" s="2"/>
      <c r="C4444" s="26"/>
      <c r="D4444" s="26"/>
      <c r="F4444" s="85" t="str">
        <f t="shared" si="0"/>
        <v/>
      </c>
      <c r="G4444" s="1" t="e">
        <f>IF(VALUE(F4444) = VALUE(RIGHT(Insights!$C$3, 4)), E4444, "")</f>
        <v>#VALUE!</v>
      </c>
      <c r="H4444" s="26" t="e">
        <f t="shared" si="1"/>
        <v>#VALUE!</v>
      </c>
      <c r="I4444" s="1" t="e">
        <f t="shared" si="2"/>
        <v>#VALUE!</v>
      </c>
    </row>
    <row r="4445" spans="1:9" ht="15.75" customHeight="1">
      <c r="A4445" s="26"/>
      <c r="B4445" s="2"/>
      <c r="C4445" s="26"/>
      <c r="D4445" s="26"/>
      <c r="F4445" s="85" t="str">
        <f t="shared" si="0"/>
        <v/>
      </c>
      <c r="G4445" s="1" t="e">
        <f>IF(VALUE(F4445) = VALUE(RIGHT(Insights!$C$3, 4)), E4445, "")</f>
        <v>#VALUE!</v>
      </c>
      <c r="H4445" s="26" t="e">
        <f t="shared" si="1"/>
        <v>#VALUE!</v>
      </c>
      <c r="I4445" s="1" t="e">
        <f t="shared" si="2"/>
        <v>#VALUE!</v>
      </c>
    </row>
    <row r="4446" spans="1:9" ht="15.75" customHeight="1">
      <c r="A4446" s="26"/>
      <c r="B4446" s="2"/>
      <c r="C4446" s="26"/>
      <c r="D4446" s="26"/>
      <c r="F4446" s="85" t="str">
        <f t="shared" si="0"/>
        <v/>
      </c>
      <c r="G4446" s="1" t="e">
        <f>IF(VALUE(F4446) = VALUE(RIGHT(Insights!$C$3, 4)), E4446, "")</f>
        <v>#VALUE!</v>
      </c>
      <c r="H4446" s="26" t="e">
        <f t="shared" si="1"/>
        <v>#VALUE!</v>
      </c>
      <c r="I4446" s="1" t="e">
        <f t="shared" si="2"/>
        <v>#VALUE!</v>
      </c>
    </row>
    <row r="4447" spans="1:9" ht="15.75" customHeight="1">
      <c r="A4447" s="26"/>
      <c r="B4447" s="2"/>
      <c r="C4447" s="26"/>
      <c r="D4447" s="26"/>
      <c r="F4447" s="85" t="str">
        <f t="shared" si="0"/>
        <v/>
      </c>
      <c r="G4447" s="1" t="e">
        <f>IF(VALUE(F4447) = VALUE(RIGHT(Insights!$C$3, 4)), E4447, "")</f>
        <v>#VALUE!</v>
      </c>
      <c r="H4447" s="26" t="e">
        <f t="shared" si="1"/>
        <v>#VALUE!</v>
      </c>
      <c r="I4447" s="1" t="e">
        <f t="shared" si="2"/>
        <v>#VALUE!</v>
      </c>
    </row>
    <row r="4448" spans="1:9" ht="15.75" customHeight="1">
      <c r="A4448" s="26"/>
      <c r="B4448" s="2"/>
      <c r="C4448" s="26"/>
      <c r="D4448" s="26"/>
      <c r="F4448" s="85" t="str">
        <f t="shared" si="0"/>
        <v/>
      </c>
      <c r="G4448" s="1" t="e">
        <f>IF(VALUE(F4448) = VALUE(RIGHT(Insights!$C$3, 4)), E4448, "")</f>
        <v>#VALUE!</v>
      </c>
      <c r="H4448" s="26" t="e">
        <f t="shared" si="1"/>
        <v>#VALUE!</v>
      </c>
      <c r="I4448" s="1" t="e">
        <f t="shared" si="2"/>
        <v>#VALUE!</v>
      </c>
    </row>
    <row r="4449" spans="1:9" ht="15.75" customHeight="1">
      <c r="A4449" s="26"/>
      <c r="B4449" s="2"/>
      <c r="C4449" s="26"/>
      <c r="D4449" s="26"/>
      <c r="F4449" s="85" t="str">
        <f t="shared" si="0"/>
        <v/>
      </c>
      <c r="G4449" s="1" t="e">
        <f>IF(VALUE(F4449) = VALUE(RIGHT(Insights!$C$3, 4)), E4449, "")</f>
        <v>#VALUE!</v>
      </c>
      <c r="H4449" s="26" t="e">
        <f t="shared" si="1"/>
        <v>#VALUE!</v>
      </c>
      <c r="I4449" s="1" t="e">
        <f t="shared" si="2"/>
        <v>#VALUE!</v>
      </c>
    </row>
    <row r="4450" spans="1:9" ht="15.75" customHeight="1">
      <c r="A4450" s="26"/>
      <c r="B4450" s="2"/>
      <c r="C4450" s="26"/>
      <c r="D4450" s="26"/>
      <c r="F4450" s="85" t="str">
        <f t="shared" si="0"/>
        <v/>
      </c>
      <c r="G4450" s="1" t="e">
        <f>IF(VALUE(F4450) = VALUE(RIGHT(Insights!$C$3, 4)), E4450, "")</f>
        <v>#VALUE!</v>
      </c>
      <c r="H4450" s="26" t="e">
        <f t="shared" si="1"/>
        <v>#VALUE!</v>
      </c>
      <c r="I4450" s="1" t="e">
        <f t="shared" si="2"/>
        <v>#VALUE!</v>
      </c>
    </row>
    <row r="4451" spans="1:9" ht="15.75" customHeight="1">
      <c r="A4451" s="26"/>
      <c r="B4451" s="2"/>
      <c r="C4451" s="26"/>
      <c r="D4451" s="26"/>
      <c r="F4451" s="85" t="str">
        <f t="shared" si="0"/>
        <v/>
      </c>
      <c r="G4451" s="1" t="e">
        <f>IF(VALUE(F4451) = VALUE(RIGHT(Insights!$C$3, 4)), E4451, "")</f>
        <v>#VALUE!</v>
      </c>
      <c r="H4451" s="26" t="e">
        <f t="shared" si="1"/>
        <v>#VALUE!</v>
      </c>
      <c r="I4451" s="1" t="e">
        <f t="shared" si="2"/>
        <v>#VALUE!</v>
      </c>
    </row>
    <row r="4452" spans="1:9" ht="15.75" customHeight="1">
      <c r="A4452" s="26"/>
      <c r="B4452" s="2"/>
      <c r="C4452" s="26"/>
      <c r="D4452" s="26"/>
      <c r="F4452" s="85" t="str">
        <f t="shared" si="0"/>
        <v/>
      </c>
      <c r="G4452" s="1" t="e">
        <f>IF(VALUE(F4452) = VALUE(RIGHT(Insights!$C$3, 4)), E4452, "")</f>
        <v>#VALUE!</v>
      </c>
      <c r="H4452" s="26" t="e">
        <f t="shared" si="1"/>
        <v>#VALUE!</v>
      </c>
      <c r="I4452" s="1" t="e">
        <f t="shared" si="2"/>
        <v>#VALUE!</v>
      </c>
    </row>
    <row r="4453" spans="1:9" ht="15.75" customHeight="1">
      <c r="A4453" s="26"/>
      <c r="B4453" s="2"/>
      <c r="C4453" s="26"/>
      <c r="D4453" s="26"/>
      <c r="F4453" s="85" t="str">
        <f t="shared" si="0"/>
        <v/>
      </c>
      <c r="G4453" s="1" t="e">
        <f>IF(VALUE(F4453) = VALUE(RIGHT(Insights!$C$3, 4)), E4453, "")</f>
        <v>#VALUE!</v>
      </c>
      <c r="H4453" s="26" t="e">
        <f t="shared" si="1"/>
        <v>#VALUE!</v>
      </c>
      <c r="I4453" s="1" t="e">
        <f t="shared" si="2"/>
        <v>#VALUE!</v>
      </c>
    </row>
    <row r="4454" spans="1:9" ht="15.75" customHeight="1">
      <c r="A4454" s="26"/>
      <c r="B4454" s="2"/>
      <c r="C4454" s="26"/>
      <c r="D4454" s="26"/>
      <c r="F4454" s="85" t="str">
        <f t="shared" si="0"/>
        <v/>
      </c>
      <c r="G4454" s="1" t="e">
        <f>IF(VALUE(F4454) = VALUE(RIGHT(Insights!$C$3, 4)), E4454, "")</f>
        <v>#VALUE!</v>
      </c>
      <c r="H4454" s="26" t="e">
        <f t="shared" si="1"/>
        <v>#VALUE!</v>
      </c>
      <c r="I4454" s="1" t="e">
        <f t="shared" si="2"/>
        <v>#VALUE!</v>
      </c>
    </row>
    <row r="4455" spans="1:9" ht="15.75" customHeight="1">
      <c r="A4455" s="26"/>
      <c r="B4455" s="2"/>
      <c r="C4455" s="26"/>
      <c r="D4455" s="26"/>
      <c r="F4455" s="85" t="str">
        <f t="shared" si="0"/>
        <v/>
      </c>
      <c r="G4455" s="1" t="e">
        <f>IF(VALUE(F4455) = VALUE(RIGHT(Insights!$C$3, 4)), E4455, "")</f>
        <v>#VALUE!</v>
      </c>
      <c r="H4455" s="26" t="e">
        <f t="shared" si="1"/>
        <v>#VALUE!</v>
      </c>
      <c r="I4455" s="1" t="e">
        <f t="shared" si="2"/>
        <v>#VALUE!</v>
      </c>
    </row>
    <row r="4456" spans="1:9" ht="15.75" customHeight="1">
      <c r="A4456" s="26"/>
      <c r="B4456" s="2"/>
      <c r="C4456" s="26"/>
      <c r="D4456" s="26"/>
      <c r="F4456" s="85" t="str">
        <f t="shared" si="0"/>
        <v/>
      </c>
      <c r="G4456" s="1" t="e">
        <f>IF(VALUE(F4456) = VALUE(RIGHT(Insights!$C$3, 4)), E4456, "")</f>
        <v>#VALUE!</v>
      </c>
      <c r="H4456" s="26" t="e">
        <f t="shared" si="1"/>
        <v>#VALUE!</v>
      </c>
      <c r="I4456" s="1" t="e">
        <f t="shared" si="2"/>
        <v>#VALUE!</v>
      </c>
    </row>
    <row r="4457" spans="1:9" ht="15.75" customHeight="1">
      <c r="A4457" s="26"/>
      <c r="B4457" s="2"/>
      <c r="C4457" s="26"/>
      <c r="D4457" s="26"/>
      <c r="F4457" s="85" t="str">
        <f t="shared" si="0"/>
        <v/>
      </c>
      <c r="G4457" s="1" t="e">
        <f>IF(VALUE(F4457) = VALUE(RIGHT(Insights!$C$3, 4)), E4457, "")</f>
        <v>#VALUE!</v>
      </c>
      <c r="H4457" s="26" t="e">
        <f t="shared" si="1"/>
        <v>#VALUE!</v>
      </c>
      <c r="I4457" s="1" t="e">
        <f t="shared" si="2"/>
        <v>#VALUE!</v>
      </c>
    </row>
    <row r="4458" spans="1:9" ht="15.75" customHeight="1">
      <c r="A4458" s="26"/>
      <c r="B4458" s="2"/>
      <c r="C4458" s="26"/>
      <c r="D4458" s="26"/>
      <c r="F4458" s="85" t="str">
        <f t="shared" si="0"/>
        <v/>
      </c>
      <c r="G4458" s="1" t="e">
        <f>IF(VALUE(F4458) = VALUE(RIGHT(Insights!$C$3, 4)), E4458, "")</f>
        <v>#VALUE!</v>
      </c>
      <c r="H4458" s="26" t="e">
        <f t="shared" si="1"/>
        <v>#VALUE!</v>
      </c>
      <c r="I4458" s="1" t="e">
        <f t="shared" si="2"/>
        <v>#VALUE!</v>
      </c>
    </row>
    <row r="4459" spans="1:9" ht="15.75" customHeight="1">
      <c r="A4459" s="26"/>
      <c r="B4459" s="2"/>
      <c r="C4459" s="26"/>
      <c r="D4459" s="26"/>
      <c r="F4459" s="85" t="str">
        <f t="shared" si="0"/>
        <v/>
      </c>
      <c r="G4459" s="1" t="e">
        <f>IF(VALUE(F4459) = VALUE(RIGHT(Insights!$C$3, 4)), E4459, "")</f>
        <v>#VALUE!</v>
      </c>
      <c r="H4459" s="26" t="e">
        <f t="shared" si="1"/>
        <v>#VALUE!</v>
      </c>
      <c r="I4459" s="1" t="e">
        <f t="shared" si="2"/>
        <v>#VALUE!</v>
      </c>
    </row>
    <row r="4460" spans="1:9" ht="15.75" customHeight="1">
      <c r="A4460" s="26"/>
      <c r="B4460" s="2"/>
      <c r="C4460" s="26"/>
      <c r="D4460" s="26"/>
      <c r="F4460" s="85" t="str">
        <f t="shared" si="0"/>
        <v/>
      </c>
      <c r="G4460" s="1" t="e">
        <f>IF(VALUE(F4460) = VALUE(RIGHT(Insights!$C$3, 4)), E4460, "")</f>
        <v>#VALUE!</v>
      </c>
      <c r="H4460" s="26" t="e">
        <f t="shared" si="1"/>
        <v>#VALUE!</v>
      </c>
      <c r="I4460" s="1" t="e">
        <f t="shared" si="2"/>
        <v>#VALUE!</v>
      </c>
    </row>
    <row r="4461" spans="1:9" ht="15.75" customHeight="1">
      <c r="A4461" s="26"/>
      <c r="B4461" s="2"/>
      <c r="C4461" s="26"/>
      <c r="D4461" s="26"/>
      <c r="F4461" s="85" t="str">
        <f t="shared" si="0"/>
        <v/>
      </c>
      <c r="G4461" s="1" t="e">
        <f>IF(VALUE(F4461) = VALUE(RIGHT(Insights!$C$3, 4)), E4461, "")</f>
        <v>#VALUE!</v>
      </c>
      <c r="H4461" s="26" t="e">
        <f t="shared" si="1"/>
        <v>#VALUE!</v>
      </c>
      <c r="I4461" s="1" t="e">
        <f t="shared" si="2"/>
        <v>#VALUE!</v>
      </c>
    </row>
    <row r="4462" spans="1:9" ht="15.75" customHeight="1">
      <c r="A4462" s="26"/>
      <c r="B4462" s="2"/>
      <c r="C4462" s="26"/>
      <c r="D4462" s="26"/>
      <c r="F4462" s="85" t="str">
        <f t="shared" si="0"/>
        <v/>
      </c>
      <c r="G4462" s="1" t="e">
        <f>IF(VALUE(F4462) = VALUE(RIGHT(Insights!$C$3, 4)), E4462, "")</f>
        <v>#VALUE!</v>
      </c>
      <c r="H4462" s="26" t="e">
        <f t="shared" si="1"/>
        <v>#VALUE!</v>
      </c>
      <c r="I4462" s="1" t="e">
        <f t="shared" si="2"/>
        <v>#VALUE!</v>
      </c>
    </row>
    <row r="4463" spans="1:9" ht="15.75" customHeight="1">
      <c r="A4463" s="26"/>
      <c r="B4463" s="2"/>
      <c r="C4463" s="26"/>
      <c r="D4463" s="26"/>
      <c r="F4463" s="85" t="str">
        <f t="shared" si="0"/>
        <v/>
      </c>
      <c r="G4463" s="1" t="e">
        <f>IF(VALUE(F4463) = VALUE(RIGHT(Insights!$C$3, 4)), E4463, "")</f>
        <v>#VALUE!</v>
      </c>
      <c r="H4463" s="26" t="e">
        <f t="shared" si="1"/>
        <v>#VALUE!</v>
      </c>
      <c r="I4463" s="1" t="e">
        <f t="shared" si="2"/>
        <v>#VALUE!</v>
      </c>
    </row>
    <row r="4464" spans="1:9" ht="15.75" customHeight="1">
      <c r="A4464" s="26"/>
      <c r="B4464" s="2"/>
      <c r="C4464" s="26"/>
      <c r="D4464" s="26"/>
      <c r="F4464" s="85" t="str">
        <f t="shared" si="0"/>
        <v/>
      </c>
      <c r="G4464" s="1" t="e">
        <f>IF(VALUE(F4464) = VALUE(RIGHT(Insights!$C$3, 4)), E4464, "")</f>
        <v>#VALUE!</v>
      </c>
      <c r="H4464" s="26" t="e">
        <f t="shared" si="1"/>
        <v>#VALUE!</v>
      </c>
      <c r="I4464" s="1" t="e">
        <f t="shared" si="2"/>
        <v>#VALUE!</v>
      </c>
    </row>
    <row r="4465" spans="1:9" ht="15.75" customHeight="1">
      <c r="A4465" s="26"/>
      <c r="B4465" s="2"/>
      <c r="C4465" s="26"/>
      <c r="D4465" s="26"/>
      <c r="F4465" s="85" t="str">
        <f t="shared" si="0"/>
        <v/>
      </c>
      <c r="G4465" s="1" t="e">
        <f>IF(VALUE(F4465) = VALUE(RIGHT(Insights!$C$3, 4)), E4465, "")</f>
        <v>#VALUE!</v>
      </c>
      <c r="H4465" s="26" t="e">
        <f t="shared" si="1"/>
        <v>#VALUE!</v>
      </c>
      <c r="I4465" s="1" t="e">
        <f t="shared" si="2"/>
        <v>#VALUE!</v>
      </c>
    </row>
    <row r="4466" spans="1:9" ht="15.75" customHeight="1">
      <c r="A4466" s="26"/>
      <c r="B4466" s="2"/>
      <c r="C4466" s="26"/>
      <c r="D4466" s="26"/>
      <c r="F4466" s="85" t="str">
        <f t="shared" si="0"/>
        <v/>
      </c>
      <c r="G4466" s="1" t="e">
        <f>IF(VALUE(F4466) = VALUE(RIGHT(Insights!$C$3, 4)), E4466, "")</f>
        <v>#VALUE!</v>
      </c>
      <c r="H4466" s="26" t="e">
        <f t="shared" si="1"/>
        <v>#VALUE!</v>
      </c>
      <c r="I4466" s="1" t="e">
        <f t="shared" si="2"/>
        <v>#VALUE!</v>
      </c>
    </row>
    <row r="4467" spans="1:9" ht="15.75" customHeight="1">
      <c r="A4467" s="26"/>
      <c r="B4467" s="2"/>
      <c r="C4467" s="26"/>
      <c r="D4467" s="26"/>
      <c r="F4467" s="85" t="str">
        <f t="shared" si="0"/>
        <v/>
      </c>
      <c r="G4467" s="1" t="e">
        <f>IF(VALUE(F4467) = VALUE(RIGHT(Insights!$C$3, 4)), E4467, "")</f>
        <v>#VALUE!</v>
      </c>
      <c r="H4467" s="26" t="e">
        <f t="shared" si="1"/>
        <v>#VALUE!</v>
      </c>
      <c r="I4467" s="1" t="e">
        <f t="shared" si="2"/>
        <v>#VALUE!</v>
      </c>
    </row>
    <row r="4468" spans="1:9" ht="15.75" customHeight="1">
      <c r="A4468" s="26"/>
      <c r="B4468" s="2"/>
      <c r="C4468" s="26"/>
      <c r="D4468" s="26"/>
      <c r="F4468" s="85" t="str">
        <f t="shared" si="0"/>
        <v/>
      </c>
      <c r="G4468" s="1" t="e">
        <f>IF(VALUE(F4468) = VALUE(RIGHT(Insights!$C$3, 4)), E4468, "")</f>
        <v>#VALUE!</v>
      </c>
      <c r="H4468" s="26" t="e">
        <f t="shared" si="1"/>
        <v>#VALUE!</v>
      </c>
      <c r="I4468" s="1" t="e">
        <f t="shared" si="2"/>
        <v>#VALUE!</v>
      </c>
    </row>
    <row r="4469" spans="1:9" ht="15.75" customHeight="1">
      <c r="A4469" s="26"/>
      <c r="B4469" s="2"/>
      <c r="C4469" s="26"/>
      <c r="D4469" s="26"/>
      <c r="F4469" s="85" t="str">
        <f t="shared" si="0"/>
        <v/>
      </c>
      <c r="G4469" s="1" t="e">
        <f>IF(VALUE(F4469) = VALUE(RIGHT(Insights!$C$3, 4)), E4469, "")</f>
        <v>#VALUE!</v>
      </c>
      <c r="H4469" s="26" t="e">
        <f t="shared" si="1"/>
        <v>#VALUE!</v>
      </c>
      <c r="I4469" s="1" t="e">
        <f t="shared" si="2"/>
        <v>#VALUE!</v>
      </c>
    </row>
    <row r="4470" spans="1:9" ht="15.75" customHeight="1">
      <c r="A4470" s="26"/>
      <c r="B4470" s="2"/>
      <c r="C4470" s="26"/>
      <c r="D4470" s="26"/>
      <c r="F4470" s="85" t="str">
        <f t="shared" si="0"/>
        <v/>
      </c>
      <c r="G4470" s="1" t="e">
        <f>IF(VALUE(F4470) = VALUE(RIGHT(Insights!$C$3, 4)), E4470, "")</f>
        <v>#VALUE!</v>
      </c>
      <c r="H4470" s="26" t="e">
        <f t="shared" si="1"/>
        <v>#VALUE!</v>
      </c>
      <c r="I4470" s="1" t="e">
        <f t="shared" si="2"/>
        <v>#VALUE!</v>
      </c>
    </row>
    <row r="4471" spans="1:9" ht="15.75" customHeight="1">
      <c r="A4471" s="26"/>
      <c r="B4471" s="2"/>
      <c r="C4471" s="26"/>
      <c r="D4471" s="26"/>
      <c r="F4471" s="85" t="str">
        <f t="shared" si="0"/>
        <v/>
      </c>
      <c r="G4471" s="1" t="e">
        <f>IF(VALUE(F4471) = VALUE(RIGHT(Insights!$C$3, 4)), E4471, "")</f>
        <v>#VALUE!</v>
      </c>
      <c r="H4471" s="26" t="e">
        <f t="shared" si="1"/>
        <v>#VALUE!</v>
      </c>
      <c r="I4471" s="1" t="e">
        <f t="shared" si="2"/>
        <v>#VALUE!</v>
      </c>
    </row>
    <row r="4472" spans="1:9" ht="15.75" customHeight="1">
      <c r="A4472" s="26"/>
      <c r="B4472" s="2"/>
      <c r="C4472" s="26"/>
      <c r="D4472" s="26"/>
      <c r="F4472" s="85" t="str">
        <f t="shared" si="0"/>
        <v/>
      </c>
      <c r="G4472" s="1" t="e">
        <f>IF(VALUE(F4472) = VALUE(RIGHT(Insights!$C$3, 4)), E4472, "")</f>
        <v>#VALUE!</v>
      </c>
      <c r="H4472" s="26" t="e">
        <f t="shared" si="1"/>
        <v>#VALUE!</v>
      </c>
      <c r="I4472" s="1" t="e">
        <f t="shared" si="2"/>
        <v>#VALUE!</v>
      </c>
    </row>
    <row r="4473" spans="1:9" ht="15.75" customHeight="1">
      <c r="A4473" s="26"/>
      <c r="B4473" s="2"/>
      <c r="C4473" s="26"/>
      <c r="D4473" s="26"/>
      <c r="F4473" s="85" t="str">
        <f t="shared" si="0"/>
        <v/>
      </c>
      <c r="G4473" s="1" t="e">
        <f>IF(VALUE(F4473) = VALUE(RIGHT(Insights!$C$3, 4)), E4473, "")</f>
        <v>#VALUE!</v>
      </c>
      <c r="H4473" s="26" t="e">
        <f t="shared" si="1"/>
        <v>#VALUE!</v>
      </c>
      <c r="I4473" s="1" t="e">
        <f t="shared" si="2"/>
        <v>#VALUE!</v>
      </c>
    </row>
    <row r="4474" spans="1:9" ht="15.75" customHeight="1">
      <c r="A4474" s="26"/>
      <c r="B4474" s="2"/>
      <c r="C4474" s="26"/>
      <c r="D4474" s="26"/>
      <c r="F4474" s="85" t="str">
        <f t="shared" si="0"/>
        <v/>
      </c>
      <c r="G4474" s="1" t="e">
        <f>IF(VALUE(F4474) = VALUE(RIGHT(Insights!$C$3, 4)), E4474, "")</f>
        <v>#VALUE!</v>
      </c>
      <c r="H4474" s="26" t="e">
        <f t="shared" si="1"/>
        <v>#VALUE!</v>
      </c>
      <c r="I4474" s="1" t="e">
        <f t="shared" si="2"/>
        <v>#VALUE!</v>
      </c>
    </row>
    <row r="4475" spans="1:9" ht="15.75" customHeight="1">
      <c r="A4475" s="26"/>
      <c r="B4475" s="2"/>
      <c r="C4475" s="26"/>
      <c r="D4475" s="26"/>
      <c r="F4475" s="85" t="str">
        <f t="shared" si="0"/>
        <v/>
      </c>
      <c r="G4475" s="1" t="e">
        <f>IF(VALUE(F4475) = VALUE(RIGHT(Insights!$C$3, 4)), E4475, "")</f>
        <v>#VALUE!</v>
      </c>
      <c r="H4475" s="26" t="e">
        <f t="shared" si="1"/>
        <v>#VALUE!</v>
      </c>
      <c r="I4475" s="1" t="e">
        <f t="shared" si="2"/>
        <v>#VALUE!</v>
      </c>
    </row>
    <row r="4476" spans="1:9" ht="15.75" customHeight="1">
      <c r="A4476" s="26"/>
      <c r="B4476" s="2"/>
      <c r="C4476" s="26"/>
      <c r="D4476" s="26"/>
      <c r="F4476" s="85" t="str">
        <f t="shared" si="0"/>
        <v/>
      </c>
      <c r="G4476" s="1" t="e">
        <f>IF(VALUE(F4476) = VALUE(RIGHT(Insights!$C$3, 4)), E4476, "")</f>
        <v>#VALUE!</v>
      </c>
      <c r="H4476" s="26" t="e">
        <f t="shared" si="1"/>
        <v>#VALUE!</v>
      </c>
      <c r="I4476" s="1" t="e">
        <f t="shared" si="2"/>
        <v>#VALUE!</v>
      </c>
    </row>
    <row r="4477" spans="1:9" ht="15.75" customHeight="1">
      <c r="A4477" s="26"/>
      <c r="B4477" s="2"/>
      <c r="C4477" s="26"/>
      <c r="D4477" s="26"/>
      <c r="F4477" s="85" t="str">
        <f t="shared" si="0"/>
        <v/>
      </c>
      <c r="G4477" s="1" t="e">
        <f>IF(VALUE(F4477) = VALUE(RIGHT(Insights!$C$3, 4)), E4477, "")</f>
        <v>#VALUE!</v>
      </c>
      <c r="H4477" s="26" t="e">
        <f t="shared" si="1"/>
        <v>#VALUE!</v>
      </c>
      <c r="I4477" s="1" t="e">
        <f t="shared" si="2"/>
        <v>#VALUE!</v>
      </c>
    </row>
    <row r="4478" spans="1:9" ht="15.75" customHeight="1">
      <c r="A4478" s="26"/>
      <c r="B4478" s="2"/>
      <c r="C4478" s="26"/>
      <c r="D4478" s="26"/>
      <c r="F4478" s="85" t="str">
        <f t="shared" si="0"/>
        <v/>
      </c>
      <c r="G4478" s="1" t="e">
        <f>IF(VALUE(F4478) = VALUE(RIGHT(Insights!$C$3, 4)), E4478, "")</f>
        <v>#VALUE!</v>
      </c>
      <c r="H4478" s="26" t="e">
        <f t="shared" si="1"/>
        <v>#VALUE!</v>
      </c>
      <c r="I4478" s="1" t="e">
        <f t="shared" si="2"/>
        <v>#VALUE!</v>
      </c>
    </row>
    <row r="4479" spans="1:9" ht="15.75" customHeight="1">
      <c r="A4479" s="26"/>
      <c r="B4479" s="2"/>
      <c r="C4479" s="26"/>
      <c r="D4479" s="26"/>
      <c r="F4479" s="85" t="str">
        <f t="shared" si="0"/>
        <v/>
      </c>
      <c r="G4479" s="1" t="e">
        <f>IF(VALUE(F4479) = VALUE(RIGHT(Insights!$C$3, 4)), E4479, "")</f>
        <v>#VALUE!</v>
      </c>
      <c r="H4479" s="26" t="e">
        <f t="shared" si="1"/>
        <v>#VALUE!</v>
      </c>
      <c r="I4479" s="1" t="e">
        <f t="shared" si="2"/>
        <v>#VALUE!</v>
      </c>
    </row>
    <row r="4480" spans="1:9" ht="15.75" customHeight="1">
      <c r="A4480" s="26"/>
      <c r="B4480" s="2"/>
      <c r="C4480" s="26"/>
      <c r="D4480" s="26"/>
      <c r="F4480" s="85" t="str">
        <f t="shared" si="0"/>
        <v/>
      </c>
      <c r="G4480" s="1" t="e">
        <f>IF(VALUE(F4480) = VALUE(RIGHT(Insights!$C$3, 4)), E4480, "")</f>
        <v>#VALUE!</v>
      </c>
      <c r="H4480" s="26" t="e">
        <f t="shared" si="1"/>
        <v>#VALUE!</v>
      </c>
      <c r="I4480" s="1" t="e">
        <f t="shared" si="2"/>
        <v>#VALUE!</v>
      </c>
    </row>
    <row r="4481" spans="1:9" ht="15.75" customHeight="1">
      <c r="A4481" s="26"/>
      <c r="B4481" s="2"/>
      <c r="C4481" s="26"/>
      <c r="D4481" s="26"/>
      <c r="F4481" s="85" t="str">
        <f t="shared" si="0"/>
        <v/>
      </c>
      <c r="G4481" s="1" t="e">
        <f>IF(VALUE(F4481) = VALUE(RIGHT(Insights!$C$3, 4)), E4481, "")</f>
        <v>#VALUE!</v>
      </c>
      <c r="H4481" s="26" t="e">
        <f t="shared" si="1"/>
        <v>#VALUE!</v>
      </c>
      <c r="I4481" s="1" t="e">
        <f t="shared" si="2"/>
        <v>#VALUE!</v>
      </c>
    </row>
    <row r="4482" spans="1:9" ht="15.75" customHeight="1">
      <c r="A4482" s="26"/>
      <c r="B4482" s="2"/>
      <c r="C4482" s="26"/>
      <c r="D4482" s="26"/>
      <c r="F4482" s="85" t="str">
        <f t="shared" si="0"/>
        <v/>
      </c>
      <c r="G4482" s="1" t="e">
        <f>IF(VALUE(F4482) = VALUE(RIGHT(Insights!$C$3, 4)), E4482, "")</f>
        <v>#VALUE!</v>
      </c>
      <c r="H4482" s="26" t="e">
        <f t="shared" si="1"/>
        <v>#VALUE!</v>
      </c>
      <c r="I4482" s="1" t="e">
        <f t="shared" si="2"/>
        <v>#VALUE!</v>
      </c>
    </row>
    <row r="4483" spans="1:9" ht="15.75" customHeight="1">
      <c r="A4483" s="26"/>
      <c r="B4483" s="2"/>
      <c r="C4483" s="26"/>
      <c r="D4483" s="26"/>
      <c r="F4483" s="85" t="str">
        <f t="shared" si="0"/>
        <v/>
      </c>
      <c r="G4483" s="1" t="e">
        <f>IF(VALUE(F4483) = VALUE(RIGHT(Insights!$C$3, 4)), E4483, "")</f>
        <v>#VALUE!</v>
      </c>
      <c r="H4483" s="26" t="e">
        <f t="shared" si="1"/>
        <v>#VALUE!</v>
      </c>
      <c r="I4483" s="1" t="e">
        <f t="shared" si="2"/>
        <v>#VALUE!</v>
      </c>
    </row>
    <row r="4484" spans="1:9" ht="15.75" customHeight="1">
      <c r="A4484" s="26"/>
      <c r="B4484" s="2"/>
      <c r="C4484" s="26"/>
      <c r="D4484" s="26"/>
      <c r="F4484" s="85" t="str">
        <f t="shared" si="0"/>
        <v/>
      </c>
      <c r="G4484" s="1" t="e">
        <f>IF(VALUE(F4484) = VALUE(RIGHT(Insights!$C$3, 4)), E4484, "")</f>
        <v>#VALUE!</v>
      </c>
      <c r="H4484" s="26" t="e">
        <f t="shared" si="1"/>
        <v>#VALUE!</v>
      </c>
      <c r="I4484" s="1" t="e">
        <f t="shared" si="2"/>
        <v>#VALUE!</v>
      </c>
    </row>
    <row r="4485" spans="1:9" ht="15.75" customHeight="1">
      <c r="A4485" s="26"/>
      <c r="B4485" s="2"/>
      <c r="C4485" s="26"/>
      <c r="D4485" s="26"/>
      <c r="F4485" s="85" t="str">
        <f t="shared" si="0"/>
        <v/>
      </c>
      <c r="G4485" s="1" t="e">
        <f>IF(VALUE(F4485) = VALUE(RIGHT(Insights!$C$3, 4)), E4485, "")</f>
        <v>#VALUE!</v>
      </c>
      <c r="H4485" s="26" t="e">
        <f t="shared" si="1"/>
        <v>#VALUE!</v>
      </c>
      <c r="I4485" s="1" t="e">
        <f t="shared" si="2"/>
        <v>#VALUE!</v>
      </c>
    </row>
    <row r="4486" spans="1:9" ht="15.75" customHeight="1">
      <c r="A4486" s="26"/>
      <c r="B4486" s="2"/>
      <c r="C4486" s="26"/>
      <c r="D4486" s="26"/>
      <c r="F4486" s="85" t="str">
        <f t="shared" si="0"/>
        <v/>
      </c>
      <c r="G4486" s="1" t="e">
        <f>IF(VALUE(F4486) = VALUE(RIGHT(Insights!$C$3, 4)), E4486, "")</f>
        <v>#VALUE!</v>
      </c>
      <c r="H4486" s="26" t="e">
        <f t="shared" si="1"/>
        <v>#VALUE!</v>
      </c>
      <c r="I4486" s="1" t="e">
        <f t="shared" si="2"/>
        <v>#VALUE!</v>
      </c>
    </row>
    <row r="4487" spans="1:9" ht="15.75" customHeight="1">
      <c r="A4487" s="26"/>
      <c r="B4487" s="2"/>
      <c r="C4487" s="26"/>
      <c r="D4487" s="26"/>
      <c r="F4487" s="85" t="str">
        <f t="shared" si="0"/>
        <v/>
      </c>
      <c r="G4487" s="1" t="e">
        <f>IF(VALUE(F4487) = VALUE(RIGHT(Insights!$C$3, 4)), E4487, "")</f>
        <v>#VALUE!</v>
      </c>
      <c r="H4487" s="26" t="e">
        <f t="shared" si="1"/>
        <v>#VALUE!</v>
      </c>
      <c r="I4487" s="1" t="e">
        <f t="shared" si="2"/>
        <v>#VALUE!</v>
      </c>
    </row>
    <row r="4488" spans="1:9" ht="15.75" customHeight="1">
      <c r="A4488" s="26"/>
      <c r="B4488" s="2"/>
      <c r="C4488" s="26"/>
      <c r="D4488" s="26"/>
      <c r="F4488" s="85" t="str">
        <f t="shared" si="0"/>
        <v/>
      </c>
      <c r="G4488" s="1" t="e">
        <f>IF(VALUE(F4488) = VALUE(RIGHT(Insights!$C$3, 4)), E4488, "")</f>
        <v>#VALUE!</v>
      </c>
      <c r="H4488" s="26" t="e">
        <f t="shared" si="1"/>
        <v>#VALUE!</v>
      </c>
      <c r="I4488" s="1" t="e">
        <f t="shared" si="2"/>
        <v>#VALUE!</v>
      </c>
    </row>
    <row r="4489" spans="1:9" ht="15.75" customHeight="1">
      <c r="A4489" s="26"/>
      <c r="B4489" s="2"/>
      <c r="C4489" s="26"/>
      <c r="D4489" s="26"/>
      <c r="F4489" s="85" t="str">
        <f t="shared" si="0"/>
        <v/>
      </c>
      <c r="G4489" s="1" t="e">
        <f>IF(VALUE(F4489) = VALUE(RIGHT(Insights!$C$3, 4)), E4489, "")</f>
        <v>#VALUE!</v>
      </c>
      <c r="H4489" s="26" t="e">
        <f t="shared" si="1"/>
        <v>#VALUE!</v>
      </c>
      <c r="I4489" s="1" t="e">
        <f t="shared" si="2"/>
        <v>#VALUE!</v>
      </c>
    </row>
    <row r="4490" spans="1:9" ht="15.75" customHeight="1">
      <c r="A4490" s="26"/>
      <c r="B4490" s="2"/>
      <c r="C4490" s="26"/>
      <c r="D4490" s="26"/>
      <c r="F4490" s="85" t="str">
        <f t="shared" si="0"/>
        <v/>
      </c>
      <c r="G4490" s="1" t="e">
        <f>IF(VALUE(F4490) = VALUE(RIGHT(Insights!$C$3, 4)), E4490, "")</f>
        <v>#VALUE!</v>
      </c>
      <c r="H4490" s="26" t="e">
        <f t="shared" si="1"/>
        <v>#VALUE!</v>
      </c>
      <c r="I4490" s="1" t="e">
        <f t="shared" si="2"/>
        <v>#VALUE!</v>
      </c>
    </row>
    <row r="4491" spans="1:9" ht="15.75" customHeight="1">
      <c r="A4491" s="26"/>
      <c r="B4491" s="2"/>
      <c r="C4491" s="26"/>
      <c r="D4491" s="26"/>
      <c r="F4491" s="85" t="str">
        <f t="shared" si="0"/>
        <v/>
      </c>
      <c r="G4491" s="1" t="e">
        <f>IF(VALUE(F4491) = VALUE(RIGHT(Insights!$C$3, 4)), E4491, "")</f>
        <v>#VALUE!</v>
      </c>
      <c r="H4491" s="26" t="e">
        <f t="shared" si="1"/>
        <v>#VALUE!</v>
      </c>
      <c r="I4491" s="1" t="e">
        <f t="shared" si="2"/>
        <v>#VALUE!</v>
      </c>
    </row>
    <row r="4492" spans="1:9" ht="15.75" customHeight="1">
      <c r="A4492" s="26"/>
      <c r="B4492" s="2"/>
      <c r="C4492" s="26"/>
      <c r="D4492" s="26"/>
      <c r="F4492" s="85" t="str">
        <f t="shared" si="0"/>
        <v/>
      </c>
      <c r="G4492" s="1" t="e">
        <f>IF(VALUE(F4492) = VALUE(RIGHT(Insights!$C$3, 4)), E4492, "")</f>
        <v>#VALUE!</v>
      </c>
      <c r="H4492" s="26" t="e">
        <f t="shared" si="1"/>
        <v>#VALUE!</v>
      </c>
      <c r="I4492" s="1" t="e">
        <f t="shared" si="2"/>
        <v>#VALUE!</v>
      </c>
    </row>
    <row r="4493" spans="1:9" ht="15.75" customHeight="1">
      <c r="A4493" s="26"/>
      <c r="B4493" s="2"/>
      <c r="C4493" s="26"/>
      <c r="D4493" s="26"/>
      <c r="F4493" s="85" t="str">
        <f t="shared" si="0"/>
        <v/>
      </c>
      <c r="G4493" s="1" t="e">
        <f>IF(VALUE(F4493) = VALUE(RIGHT(Insights!$C$3, 4)), E4493, "")</f>
        <v>#VALUE!</v>
      </c>
      <c r="H4493" s="26" t="e">
        <f t="shared" si="1"/>
        <v>#VALUE!</v>
      </c>
      <c r="I4493" s="1" t="e">
        <f t="shared" si="2"/>
        <v>#VALUE!</v>
      </c>
    </row>
    <row r="4494" spans="1:9" ht="15.75" customHeight="1">
      <c r="A4494" s="26"/>
      <c r="B4494" s="2"/>
      <c r="C4494" s="26"/>
      <c r="D4494" s="26"/>
      <c r="F4494" s="85" t="str">
        <f t="shared" si="0"/>
        <v/>
      </c>
      <c r="G4494" s="1" t="e">
        <f>IF(VALUE(F4494) = VALUE(RIGHT(Insights!$C$3, 4)), E4494, "")</f>
        <v>#VALUE!</v>
      </c>
      <c r="H4494" s="26" t="e">
        <f t="shared" si="1"/>
        <v>#VALUE!</v>
      </c>
      <c r="I4494" s="1" t="e">
        <f t="shared" si="2"/>
        <v>#VALUE!</v>
      </c>
    </row>
    <row r="4495" spans="1:9" ht="15.75" customHeight="1">
      <c r="A4495" s="26"/>
      <c r="B4495" s="2"/>
      <c r="C4495" s="26"/>
      <c r="D4495" s="26"/>
      <c r="F4495" s="85" t="str">
        <f t="shared" si="0"/>
        <v/>
      </c>
      <c r="G4495" s="1" t="e">
        <f>IF(VALUE(F4495) = VALUE(RIGHT(Insights!$C$3, 4)), E4495, "")</f>
        <v>#VALUE!</v>
      </c>
      <c r="H4495" s="26" t="e">
        <f t="shared" si="1"/>
        <v>#VALUE!</v>
      </c>
      <c r="I4495" s="1" t="e">
        <f t="shared" si="2"/>
        <v>#VALUE!</v>
      </c>
    </row>
    <row r="4496" spans="1:9" ht="15.75" customHeight="1">
      <c r="A4496" s="26"/>
      <c r="B4496" s="2"/>
      <c r="C4496" s="26"/>
      <c r="D4496" s="26"/>
      <c r="F4496" s="85" t="str">
        <f t="shared" si="0"/>
        <v/>
      </c>
      <c r="G4496" s="1" t="e">
        <f>IF(VALUE(F4496) = VALUE(RIGHT(Insights!$C$3, 4)), E4496, "")</f>
        <v>#VALUE!</v>
      </c>
      <c r="H4496" s="26" t="e">
        <f t="shared" si="1"/>
        <v>#VALUE!</v>
      </c>
      <c r="I4496" s="1" t="e">
        <f t="shared" si="2"/>
        <v>#VALUE!</v>
      </c>
    </row>
    <row r="4497" spans="1:9" ht="15.75" customHeight="1">
      <c r="A4497" s="26"/>
      <c r="B4497" s="2"/>
      <c r="C4497" s="26"/>
      <c r="D4497" s="26"/>
      <c r="F4497" s="85" t="str">
        <f t="shared" si="0"/>
        <v/>
      </c>
      <c r="G4497" s="1" t="e">
        <f>IF(VALUE(F4497) = VALUE(RIGHT(Insights!$C$3, 4)), E4497, "")</f>
        <v>#VALUE!</v>
      </c>
      <c r="H4497" s="26" t="e">
        <f t="shared" si="1"/>
        <v>#VALUE!</v>
      </c>
      <c r="I4497" s="1" t="e">
        <f t="shared" si="2"/>
        <v>#VALUE!</v>
      </c>
    </row>
    <row r="4498" spans="1:9" ht="15.75" customHeight="1">
      <c r="A4498" s="26"/>
      <c r="B4498" s="2"/>
      <c r="C4498" s="26"/>
      <c r="D4498" s="26"/>
      <c r="F4498" s="85" t="str">
        <f t="shared" si="0"/>
        <v/>
      </c>
      <c r="G4498" s="1" t="e">
        <f>IF(VALUE(F4498) = VALUE(RIGHT(Insights!$C$3, 4)), E4498, "")</f>
        <v>#VALUE!</v>
      </c>
      <c r="H4498" s="26" t="e">
        <f t="shared" si="1"/>
        <v>#VALUE!</v>
      </c>
      <c r="I4498" s="1" t="e">
        <f t="shared" si="2"/>
        <v>#VALUE!</v>
      </c>
    </row>
    <row r="4499" spans="1:9" ht="15.75" customHeight="1">
      <c r="A4499" s="26"/>
      <c r="B4499" s="2"/>
      <c r="C4499" s="26"/>
      <c r="D4499" s="26"/>
      <c r="F4499" s="85" t="str">
        <f t="shared" si="0"/>
        <v/>
      </c>
      <c r="G4499" s="1" t="e">
        <f>IF(VALUE(F4499) = VALUE(RIGHT(Insights!$C$3, 4)), E4499, "")</f>
        <v>#VALUE!</v>
      </c>
      <c r="H4499" s="26" t="e">
        <f t="shared" si="1"/>
        <v>#VALUE!</v>
      </c>
      <c r="I4499" s="1" t="e">
        <f t="shared" si="2"/>
        <v>#VALUE!</v>
      </c>
    </row>
    <row r="4500" spans="1:9" ht="15.75" customHeight="1">
      <c r="A4500" s="26"/>
      <c r="B4500" s="2"/>
      <c r="C4500" s="26"/>
      <c r="D4500" s="26"/>
      <c r="F4500" s="85" t="str">
        <f t="shared" si="0"/>
        <v/>
      </c>
      <c r="G4500" s="1" t="e">
        <f>IF(VALUE(F4500) = VALUE(RIGHT(Insights!$C$3, 4)), E4500, "")</f>
        <v>#VALUE!</v>
      </c>
      <c r="H4500" s="26" t="e">
        <f t="shared" si="1"/>
        <v>#VALUE!</v>
      </c>
      <c r="I4500" s="1" t="e">
        <f t="shared" si="2"/>
        <v>#VALUE!</v>
      </c>
    </row>
    <row r="4501" spans="1:9" ht="15.75" customHeight="1">
      <c r="A4501" s="26"/>
      <c r="B4501" s="2"/>
      <c r="C4501" s="26"/>
      <c r="D4501" s="26"/>
      <c r="F4501" s="85" t="str">
        <f t="shared" si="0"/>
        <v/>
      </c>
      <c r="G4501" s="1" t="e">
        <f>IF(VALUE(F4501) = VALUE(RIGHT(Insights!$C$3, 4)), E4501, "")</f>
        <v>#VALUE!</v>
      </c>
      <c r="H4501" s="26" t="e">
        <f t="shared" si="1"/>
        <v>#VALUE!</v>
      </c>
      <c r="I4501" s="1" t="e">
        <f t="shared" si="2"/>
        <v>#VALUE!</v>
      </c>
    </row>
    <row r="4502" spans="1:9" ht="15.75" customHeight="1">
      <c r="A4502" s="26"/>
      <c r="B4502" s="2"/>
      <c r="C4502" s="26"/>
      <c r="D4502" s="26"/>
      <c r="F4502" s="85" t="str">
        <f t="shared" si="0"/>
        <v/>
      </c>
      <c r="G4502" s="1" t="e">
        <f>IF(VALUE(F4502) = VALUE(RIGHT(Insights!$C$3, 4)), E4502, "")</f>
        <v>#VALUE!</v>
      </c>
      <c r="H4502" s="26" t="e">
        <f t="shared" si="1"/>
        <v>#VALUE!</v>
      </c>
      <c r="I4502" s="1" t="e">
        <f t="shared" si="2"/>
        <v>#VALUE!</v>
      </c>
    </row>
    <row r="4503" spans="1:9" ht="15.75" customHeight="1">
      <c r="A4503" s="26"/>
      <c r="B4503" s="2"/>
      <c r="C4503" s="26"/>
      <c r="D4503" s="26"/>
      <c r="F4503" s="85" t="str">
        <f t="shared" si="0"/>
        <v/>
      </c>
      <c r="G4503" s="1" t="e">
        <f>IF(VALUE(F4503) = VALUE(RIGHT(Insights!$C$3, 4)), E4503, "")</f>
        <v>#VALUE!</v>
      </c>
      <c r="H4503" s="26" t="e">
        <f t="shared" si="1"/>
        <v>#VALUE!</v>
      </c>
      <c r="I4503" s="1" t="e">
        <f t="shared" si="2"/>
        <v>#VALUE!</v>
      </c>
    </row>
    <row r="4504" spans="1:9" ht="15.75" customHeight="1">
      <c r="A4504" s="26"/>
      <c r="B4504" s="2"/>
      <c r="C4504" s="26"/>
      <c r="D4504" s="26"/>
      <c r="F4504" s="85" t="str">
        <f t="shared" si="0"/>
        <v/>
      </c>
      <c r="G4504" s="1" t="e">
        <f>IF(VALUE(F4504) = VALUE(RIGHT(Insights!$C$3, 4)), E4504, "")</f>
        <v>#VALUE!</v>
      </c>
      <c r="H4504" s="26" t="e">
        <f t="shared" si="1"/>
        <v>#VALUE!</v>
      </c>
      <c r="I4504" s="1" t="e">
        <f t="shared" si="2"/>
        <v>#VALUE!</v>
      </c>
    </row>
    <row r="4505" spans="1:9" ht="15.75" customHeight="1">
      <c r="A4505" s="26"/>
      <c r="B4505" s="2"/>
      <c r="C4505" s="26"/>
      <c r="D4505" s="26"/>
      <c r="F4505" s="85" t="str">
        <f t="shared" si="0"/>
        <v/>
      </c>
      <c r="G4505" s="1" t="e">
        <f>IF(VALUE(F4505) = VALUE(RIGHT(Insights!$C$3, 4)), E4505, "")</f>
        <v>#VALUE!</v>
      </c>
      <c r="H4505" s="26" t="e">
        <f t="shared" si="1"/>
        <v>#VALUE!</v>
      </c>
      <c r="I4505" s="1" t="e">
        <f t="shared" si="2"/>
        <v>#VALUE!</v>
      </c>
    </row>
    <row r="4506" spans="1:9" ht="15.75" customHeight="1">
      <c r="A4506" s="26"/>
      <c r="B4506" s="2"/>
      <c r="C4506" s="26"/>
      <c r="D4506" s="26"/>
      <c r="F4506" s="85" t="str">
        <f t="shared" si="0"/>
        <v/>
      </c>
      <c r="G4506" s="1" t="e">
        <f>IF(VALUE(F4506) = VALUE(RIGHT(Insights!$C$3, 4)), E4506, "")</f>
        <v>#VALUE!</v>
      </c>
      <c r="H4506" s="26" t="e">
        <f t="shared" si="1"/>
        <v>#VALUE!</v>
      </c>
      <c r="I4506" s="1" t="e">
        <f t="shared" si="2"/>
        <v>#VALUE!</v>
      </c>
    </row>
    <row r="4507" spans="1:9" ht="15.75" customHeight="1">
      <c r="A4507" s="26"/>
      <c r="B4507" s="2"/>
      <c r="C4507" s="26"/>
      <c r="D4507" s="26"/>
      <c r="F4507" s="85" t="str">
        <f t="shared" si="0"/>
        <v/>
      </c>
      <c r="G4507" s="1" t="e">
        <f>IF(VALUE(F4507) = VALUE(RIGHT(Insights!$C$3, 4)), E4507, "")</f>
        <v>#VALUE!</v>
      </c>
      <c r="H4507" s="26" t="e">
        <f t="shared" si="1"/>
        <v>#VALUE!</v>
      </c>
      <c r="I4507" s="1" t="e">
        <f t="shared" si="2"/>
        <v>#VALUE!</v>
      </c>
    </row>
    <row r="4508" spans="1:9" ht="15.75" customHeight="1">
      <c r="A4508" s="26"/>
      <c r="B4508" s="2"/>
      <c r="C4508" s="26"/>
      <c r="D4508" s="26"/>
      <c r="F4508" s="85" t="str">
        <f t="shared" si="0"/>
        <v/>
      </c>
      <c r="G4508" s="1" t="e">
        <f>IF(VALUE(F4508) = VALUE(RIGHT(Insights!$C$3, 4)), E4508, "")</f>
        <v>#VALUE!</v>
      </c>
      <c r="H4508" s="26" t="e">
        <f t="shared" si="1"/>
        <v>#VALUE!</v>
      </c>
      <c r="I4508" s="1" t="e">
        <f t="shared" si="2"/>
        <v>#VALUE!</v>
      </c>
    </row>
    <row r="4509" spans="1:9" ht="15.75" customHeight="1">
      <c r="A4509" s="26"/>
      <c r="B4509" s="2"/>
      <c r="C4509" s="26"/>
      <c r="D4509" s="26"/>
      <c r="F4509" s="85" t="str">
        <f t="shared" si="0"/>
        <v/>
      </c>
      <c r="G4509" s="1" t="e">
        <f>IF(VALUE(F4509) = VALUE(RIGHT(Insights!$C$3, 4)), E4509, "")</f>
        <v>#VALUE!</v>
      </c>
      <c r="H4509" s="26" t="e">
        <f t="shared" si="1"/>
        <v>#VALUE!</v>
      </c>
      <c r="I4509" s="1" t="e">
        <f t="shared" si="2"/>
        <v>#VALUE!</v>
      </c>
    </row>
    <row r="4510" spans="1:9" ht="15.75" customHeight="1">
      <c r="A4510" s="26"/>
      <c r="B4510" s="2"/>
      <c r="C4510" s="26"/>
      <c r="D4510" s="26"/>
      <c r="F4510" s="85" t="str">
        <f t="shared" si="0"/>
        <v/>
      </c>
      <c r="G4510" s="1" t="e">
        <f>IF(VALUE(F4510) = VALUE(RIGHT(Insights!$C$3, 4)), E4510, "")</f>
        <v>#VALUE!</v>
      </c>
      <c r="H4510" s="26" t="e">
        <f t="shared" si="1"/>
        <v>#VALUE!</v>
      </c>
      <c r="I4510" s="1" t="e">
        <f t="shared" si="2"/>
        <v>#VALUE!</v>
      </c>
    </row>
    <row r="4511" spans="1:9" ht="15.75" customHeight="1">
      <c r="A4511" s="26"/>
      <c r="B4511" s="2"/>
      <c r="C4511" s="26"/>
      <c r="D4511" s="26"/>
      <c r="F4511" s="85" t="str">
        <f t="shared" si="0"/>
        <v/>
      </c>
      <c r="G4511" s="1" t="e">
        <f>IF(VALUE(F4511) = VALUE(RIGHT(Insights!$C$3, 4)), E4511, "")</f>
        <v>#VALUE!</v>
      </c>
      <c r="H4511" s="26" t="e">
        <f t="shared" si="1"/>
        <v>#VALUE!</v>
      </c>
      <c r="I4511" s="1" t="e">
        <f t="shared" si="2"/>
        <v>#VALUE!</v>
      </c>
    </row>
    <row r="4512" spans="1:9" ht="15.75" customHeight="1">
      <c r="A4512" s="26"/>
      <c r="B4512" s="2"/>
      <c r="C4512" s="26"/>
      <c r="D4512" s="26"/>
      <c r="F4512" s="85" t="str">
        <f t="shared" si="0"/>
        <v/>
      </c>
      <c r="G4512" s="1" t="e">
        <f>IF(VALUE(F4512) = VALUE(RIGHT(Insights!$C$3, 4)), E4512, "")</f>
        <v>#VALUE!</v>
      </c>
      <c r="H4512" s="26" t="e">
        <f t="shared" si="1"/>
        <v>#VALUE!</v>
      </c>
      <c r="I4512" s="1" t="e">
        <f t="shared" si="2"/>
        <v>#VALUE!</v>
      </c>
    </row>
    <row r="4513" spans="1:9" ht="15.75" customHeight="1">
      <c r="A4513" s="26"/>
      <c r="B4513" s="2"/>
      <c r="C4513" s="26"/>
      <c r="D4513" s="26"/>
      <c r="F4513" s="85" t="str">
        <f t="shared" si="0"/>
        <v/>
      </c>
      <c r="G4513" s="1" t="e">
        <f>IF(VALUE(F4513) = VALUE(RIGHT(Insights!$C$3, 4)), E4513, "")</f>
        <v>#VALUE!</v>
      </c>
      <c r="H4513" s="26" t="e">
        <f t="shared" si="1"/>
        <v>#VALUE!</v>
      </c>
      <c r="I4513" s="1" t="e">
        <f t="shared" si="2"/>
        <v>#VALUE!</v>
      </c>
    </row>
    <row r="4514" spans="1:9" ht="15.75" customHeight="1">
      <c r="A4514" s="26"/>
      <c r="B4514" s="2"/>
      <c r="C4514" s="26"/>
      <c r="D4514" s="26"/>
      <c r="F4514" s="85" t="str">
        <f t="shared" si="0"/>
        <v/>
      </c>
      <c r="G4514" s="1" t="e">
        <f>IF(VALUE(F4514) = VALUE(RIGHT(Insights!$C$3, 4)), E4514, "")</f>
        <v>#VALUE!</v>
      </c>
      <c r="H4514" s="26" t="e">
        <f t="shared" si="1"/>
        <v>#VALUE!</v>
      </c>
      <c r="I4514" s="1" t="e">
        <f t="shared" si="2"/>
        <v>#VALUE!</v>
      </c>
    </row>
    <row r="4515" spans="1:9" ht="15.75" customHeight="1">
      <c r="A4515" s="26"/>
      <c r="B4515" s="2"/>
      <c r="C4515" s="26"/>
      <c r="D4515" s="26"/>
      <c r="F4515" s="85" t="str">
        <f t="shared" si="0"/>
        <v/>
      </c>
      <c r="G4515" s="1" t="e">
        <f>IF(VALUE(F4515) = VALUE(RIGHT(Insights!$C$3, 4)), E4515, "")</f>
        <v>#VALUE!</v>
      </c>
      <c r="H4515" s="26" t="e">
        <f t="shared" si="1"/>
        <v>#VALUE!</v>
      </c>
      <c r="I4515" s="1" t="e">
        <f t="shared" si="2"/>
        <v>#VALUE!</v>
      </c>
    </row>
    <row r="4516" spans="1:9" ht="15.75" customHeight="1">
      <c r="A4516" s="26"/>
      <c r="B4516" s="2"/>
      <c r="C4516" s="26"/>
      <c r="D4516" s="26"/>
      <c r="F4516" s="85" t="str">
        <f t="shared" si="0"/>
        <v/>
      </c>
      <c r="G4516" s="1" t="e">
        <f>IF(VALUE(F4516) = VALUE(RIGHT(Insights!$C$3, 4)), E4516, "")</f>
        <v>#VALUE!</v>
      </c>
      <c r="H4516" s="26" t="e">
        <f t="shared" si="1"/>
        <v>#VALUE!</v>
      </c>
      <c r="I4516" s="1" t="e">
        <f t="shared" si="2"/>
        <v>#VALUE!</v>
      </c>
    </row>
    <row r="4517" spans="1:9" ht="15.75" customHeight="1">
      <c r="A4517" s="26"/>
      <c r="B4517" s="2"/>
      <c r="C4517" s="26"/>
      <c r="D4517" s="26"/>
      <c r="F4517" s="85" t="str">
        <f t="shared" si="0"/>
        <v/>
      </c>
      <c r="G4517" s="1" t="e">
        <f>IF(VALUE(F4517) = VALUE(RIGHT(Insights!$C$3, 4)), E4517, "")</f>
        <v>#VALUE!</v>
      </c>
      <c r="H4517" s="26" t="e">
        <f t="shared" si="1"/>
        <v>#VALUE!</v>
      </c>
      <c r="I4517" s="1" t="e">
        <f t="shared" si="2"/>
        <v>#VALUE!</v>
      </c>
    </row>
    <row r="4518" spans="1:9" ht="15.75" customHeight="1">
      <c r="A4518" s="26"/>
      <c r="B4518" s="2"/>
      <c r="C4518" s="26"/>
      <c r="D4518" s="26"/>
      <c r="F4518" s="85" t="str">
        <f t="shared" si="0"/>
        <v/>
      </c>
      <c r="G4518" s="1" t="e">
        <f>IF(VALUE(F4518) = VALUE(RIGHT(Insights!$C$3, 4)), E4518, "")</f>
        <v>#VALUE!</v>
      </c>
      <c r="H4518" s="26" t="e">
        <f t="shared" si="1"/>
        <v>#VALUE!</v>
      </c>
      <c r="I4518" s="1" t="e">
        <f t="shared" si="2"/>
        <v>#VALUE!</v>
      </c>
    </row>
    <row r="4519" spans="1:9" ht="15.75" customHeight="1">
      <c r="A4519" s="26"/>
      <c r="B4519" s="2"/>
      <c r="C4519" s="26"/>
      <c r="D4519" s="26"/>
      <c r="F4519" s="85" t="str">
        <f t="shared" si="0"/>
        <v/>
      </c>
      <c r="G4519" s="1" t="e">
        <f>IF(VALUE(F4519) = VALUE(RIGHT(Insights!$C$3, 4)), E4519, "")</f>
        <v>#VALUE!</v>
      </c>
      <c r="H4519" s="26" t="e">
        <f t="shared" si="1"/>
        <v>#VALUE!</v>
      </c>
      <c r="I4519" s="1" t="e">
        <f t="shared" si="2"/>
        <v>#VALUE!</v>
      </c>
    </row>
    <row r="4520" spans="1:9" ht="15.75" customHeight="1">
      <c r="A4520" s="26"/>
      <c r="B4520" s="2"/>
      <c r="C4520" s="26"/>
      <c r="D4520" s="26"/>
      <c r="F4520" s="85" t="str">
        <f t="shared" si="0"/>
        <v/>
      </c>
      <c r="G4520" s="1" t="e">
        <f>IF(VALUE(F4520) = VALUE(RIGHT(Insights!$C$3, 4)), E4520, "")</f>
        <v>#VALUE!</v>
      </c>
      <c r="H4520" s="26" t="e">
        <f t="shared" si="1"/>
        <v>#VALUE!</v>
      </c>
      <c r="I4520" s="1" t="e">
        <f t="shared" si="2"/>
        <v>#VALUE!</v>
      </c>
    </row>
    <row r="4521" spans="1:9" ht="15.75" customHeight="1">
      <c r="A4521" s="26"/>
      <c r="B4521" s="2"/>
      <c r="C4521" s="26"/>
      <c r="D4521" s="26"/>
      <c r="F4521" s="85" t="str">
        <f t="shared" si="0"/>
        <v/>
      </c>
      <c r="G4521" s="1" t="e">
        <f>IF(VALUE(F4521) = VALUE(RIGHT(Insights!$C$3, 4)), E4521, "")</f>
        <v>#VALUE!</v>
      </c>
      <c r="H4521" s="26" t="e">
        <f t="shared" si="1"/>
        <v>#VALUE!</v>
      </c>
      <c r="I4521" s="1" t="e">
        <f t="shared" si="2"/>
        <v>#VALUE!</v>
      </c>
    </row>
    <row r="4522" spans="1:9" ht="15.75" customHeight="1">
      <c r="A4522" s="26"/>
      <c r="B4522" s="2"/>
      <c r="C4522" s="26"/>
      <c r="D4522" s="26"/>
      <c r="F4522" s="85" t="str">
        <f t="shared" si="0"/>
        <v/>
      </c>
      <c r="G4522" s="1" t="e">
        <f>IF(VALUE(F4522) = VALUE(RIGHT(Insights!$C$3, 4)), E4522, "")</f>
        <v>#VALUE!</v>
      </c>
      <c r="H4522" s="26" t="e">
        <f t="shared" si="1"/>
        <v>#VALUE!</v>
      </c>
      <c r="I4522" s="1" t="e">
        <f t="shared" si="2"/>
        <v>#VALUE!</v>
      </c>
    </row>
    <row r="4523" spans="1:9" ht="15.75" customHeight="1">
      <c r="A4523" s="26"/>
      <c r="B4523" s="2"/>
      <c r="C4523" s="26"/>
      <c r="D4523" s="26"/>
      <c r="F4523" s="85" t="str">
        <f t="shared" si="0"/>
        <v/>
      </c>
      <c r="G4523" s="1" t="e">
        <f>IF(VALUE(F4523) = VALUE(RIGHT(Insights!$C$3, 4)), E4523, "")</f>
        <v>#VALUE!</v>
      </c>
      <c r="H4523" s="26" t="e">
        <f t="shared" si="1"/>
        <v>#VALUE!</v>
      </c>
      <c r="I4523" s="1" t="e">
        <f t="shared" si="2"/>
        <v>#VALUE!</v>
      </c>
    </row>
    <row r="4524" spans="1:9" ht="15.75" customHeight="1">
      <c r="A4524" s="26"/>
      <c r="B4524" s="2"/>
      <c r="C4524" s="26"/>
      <c r="D4524" s="26"/>
      <c r="F4524" s="85" t="str">
        <f t="shared" si="0"/>
        <v/>
      </c>
      <c r="G4524" s="1" t="e">
        <f>IF(VALUE(F4524) = VALUE(RIGHT(Insights!$C$3, 4)), E4524, "")</f>
        <v>#VALUE!</v>
      </c>
      <c r="H4524" s="26" t="e">
        <f t="shared" si="1"/>
        <v>#VALUE!</v>
      </c>
      <c r="I4524" s="1" t="e">
        <f t="shared" si="2"/>
        <v>#VALUE!</v>
      </c>
    </row>
    <row r="4525" spans="1:9" ht="15.75" customHeight="1">
      <c r="A4525" s="26"/>
      <c r="B4525" s="2"/>
      <c r="C4525" s="26"/>
      <c r="D4525" s="26"/>
      <c r="F4525" s="85" t="str">
        <f t="shared" si="0"/>
        <v/>
      </c>
      <c r="G4525" s="1" t="e">
        <f>IF(VALUE(F4525) = VALUE(RIGHT(Insights!$C$3, 4)), E4525, "")</f>
        <v>#VALUE!</v>
      </c>
      <c r="H4525" s="26" t="e">
        <f t="shared" si="1"/>
        <v>#VALUE!</v>
      </c>
      <c r="I4525" s="1" t="e">
        <f t="shared" si="2"/>
        <v>#VALUE!</v>
      </c>
    </row>
    <row r="4526" spans="1:9" ht="15.75" customHeight="1">
      <c r="A4526" s="26"/>
      <c r="B4526" s="2"/>
      <c r="C4526" s="26"/>
      <c r="D4526" s="26"/>
      <c r="F4526" s="85" t="str">
        <f t="shared" si="0"/>
        <v/>
      </c>
      <c r="G4526" s="1" t="e">
        <f>IF(VALUE(F4526) = VALUE(RIGHT(Insights!$C$3, 4)), E4526, "")</f>
        <v>#VALUE!</v>
      </c>
      <c r="H4526" s="26" t="e">
        <f t="shared" si="1"/>
        <v>#VALUE!</v>
      </c>
      <c r="I4526" s="1" t="e">
        <f t="shared" si="2"/>
        <v>#VALUE!</v>
      </c>
    </row>
    <row r="4527" spans="1:9" ht="15.75" customHeight="1">
      <c r="A4527" s="26"/>
      <c r="B4527" s="2"/>
      <c r="C4527" s="26"/>
      <c r="D4527" s="26"/>
      <c r="F4527" s="85" t="str">
        <f t="shared" si="0"/>
        <v/>
      </c>
      <c r="G4527" s="1" t="e">
        <f>IF(VALUE(F4527) = VALUE(RIGHT(Insights!$C$3, 4)), E4527, "")</f>
        <v>#VALUE!</v>
      </c>
      <c r="H4527" s="26" t="e">
        <f t="shared" si="1"/>
        <v>#VALUE!</v>
      </c>
      <c r="I4527" s="1" t="e">
        <f t="shared" si="2"/>
        <v>#VALUE!</v>
      </c>
    </row>
    <row r="4528" spans="1:9" ht="15.75" customHeight="1">
      <c r="A4528" s="26"/>
      <c r="B4528" s="2"/>
      <c r="C4528" s="26"/>
      <c r="D4528" s="26"/>
      <c r="F4528" s="85" t="str">
        <f t="shared" si="0"/>
        <v/>
      </c>
      <c r="G4528" s="1" t="e">
        <f>IF(VALUE(F4528) = VALUE(RIGHT(Insights!$C$3, 4)), E4528, "")</f>
        <v>#VALUE!</v>
      </c>
      <c r="H4528" s="26" t="e">
        <f t="shared" si="1"/>
        <v>#VALUE!</v>
      </c>
      <c r="I4528" s="1" t="e">
        <f t="shared" si="2"/>
        <v>#VALUE!</v>
      </c>
    </row>
    <row r="4529" spans="1:9" ht="15.75" customHeight="1">
      <c r="A4529" s="26"/>
      <c r="B4529" s="2"/>
      <c r="C4529" s="26"/>
      <c r="D4529" s="26"/>
      <c r="F4529" s="85" t="str">
        <f t="shared" si="0"/>
        <v/>
      </c>
      <c r="G4529" s="1" t="e">
        <f>IF(VALUE(F4529) = VALUE(RIGHT(Insights!$C$3, 4)), E4529, "")</f>
        <v>#VALUE!</v>
      </c>
      <c r="H4529" s="26" t="e">
        <f t="shared" si="1"/>
        <v>#VALUE!</v>
      </c>
      <c r="I4529" s="1" t="e">
        <f t="shared" si="2"/>
        <v>#VALUE!</v>
      </c>
    </row>
    <row r="4530" spans="1:9" ht="15.75" customHeight="1">
      <c r="A4530" s="26"/>
      <c r="B4530" s="2"/>
      <c r="C4530" s="26"/>
      <c r="D4530" s="26"/>
      <c r="F4530" s="85" t="str">
        <f t="shared" si="0"/>
        <v/>
      </c>
      <c r="G4530" s="1" t="e">
        <f>IF(VALUE(F4530) = VALUE(RIGHT(Insights!$C$3, 4)), E4530, "")</f>
        <v>#VALUE!</v>
      </c>
      <c r="H4530" s="26" t="e">
        <f t="shared" si="1"/>
        <v>#VALUE!</v>
      </c>
      <c r="I4530" s="1" t="e">
        <f t="shared" si="2"/>
        <v>#VALUE!</v>
      </c>
    </row>
    <row r="4531" spans="1:9" ht="15.75" customHeight="1">
      <c r="A4531" s="26"/>
      <c r="B4531" s="2"/>
      <c r="C4531" s="26"/>
      <c r="D4531" s="26"/>
      <c r="F4531" s="85" t="str">
        <f t="shared" si="0"/>
        <v/>
      </c>
      <c r="G4531" s="1" t="e">
        <f>IF(VALUE(F4531) = VALUE(RIGHT(Insights!$C$3, 4)), E4531, "")</f>
        <v>#VALUE!</v>
      </c>
      <c r="H4531" s="26" t="e">
        <f t="shared" si="1"/>
        <v>#VALUE!</v>
      </c>
      <c r="I4531" s="1" t="e">
        <f t="shared" si="2"/>
        <v>#VALUE!</v>
      </c>
    </row>
    <row r="4532" spans="1:9" ht="15.75" customHeight="1">
      <c r="A4532" s="26"/>
      <c r="B4532" s="2"/>
      <c r="C4532" s="26"/>
      <c r="D4532" s="26"/>
      <c r="F4532" s="85" t="str">
        <f t="shared" si="0"/>
        <v/>
      </c>
      <c r="G4532" s="1" t="e">
        <f>IF(VALUE(F4532) = VALUE(RIGHT(Insights!$C$3, 4)), E4532, "")</f>
        <v>#VALUE!</v>
      </c>
      <c r="H4532" s="26" t="e">
        <f t="shared" si="1"/>
        <v>#VALUE!</v>
      </c>
      <c r="I4532" s="1" t="e">
        <f t="shared" si="2"/>
        <v>#VALUE!</v>
      </c>
    </row>
    <row r="4533" spans="1:9" ht="15.75" customHeight="1">
      <c r="A4533" s="26"/>
      <c r="B4533" s="2"/>
      <c r="C4533" s="26"/>
      <c r="D4533" s="26"/>
      <c r="F4533" s="85" t="str">
        <f t="shared" si="0"/>
        <v/>
      </c>
      <c r="G4533" s="1" t="e">
        <f>IF(VALUE(F4533) = VALUE(RIGHT(Insights!$C$3, 4)), E4533, "")</f>
        <v>#VALUE!</v>
      </c>
      <c r="H4533" s="26" t="e">
        <f t="shared" si="1"/>
        <v>#VALUE!</v>
      </c>
      <c r="I4533" s="1" t="e">
        <f t="shared" si="2"/>
        <v>#VALUE!</v>
      </c>
    </row>
    <row r="4534" spans="1:9" ht="15.75" customHeight="1">
      <c r="A4534" s="26"/>
      <c r="B4534" s="2"/>
      <c r="C4534" s="26"/>
      <c r="D4534" s="26"/>
      <c r="F4534" s="85" t="str">
        <f t="shared" si="0"/>
        <v/>
      </c>
      <c r="G4534" s="1" t="e">
        <f>IF(VALUE(F4534) = VALUE(RIGHT(Insights!$C$3, 4)), E4534, "")</f>
        <v>#VALUE!</v>
      </c>
      <c r="H4534" s="26" t="e">
        <f t="shared" si="1"/>
        <v>#VALUE!</v>
      </c>
      <c r="I4534" s="1" t="e">
        <f t="shared" si="2"/>
        <v>#VALUE!</v>
      </c>
    </row>
    <row r="4535" spans="1:9" ht="15.75" customHeight="1">
      <c r="A4535" s="26"/>
      <c r="B4535" s="2"/>
      <c r="C4535" s="26"/>
      <c r="D4535" s="26"/>
      <c r="F4535" s="85" t="str">
        <f t="shared" si="0"/>
        <v/>
      </c>
      <c r="G4535" s="1" t="e">
        <f>IF(VALUE(F4535) = VALUE(RIGHT(Insights!$C$3, 4)), E4535, "")</f>
        <v>#VALUE!</v>
      </c>
      <c r="H4535" s="26" t="e">
        <f t="shared" si="1"/>
        <v>#VALUE!</v>
      </c>
      <c r="I4535" s="1" t="e">
        <f t="shared" si="2"/>
        <v>#VALUE!</v>
      </c>
    </row>
    <row r="4536" spans="1:9" ht="15.75" customHeight="1">
      <c r="A4536" s="26"/>
      <c r="B4536" s="2"/>
      <c r="C4536" s="26"/>
      <c r="D4536" s="26"/>
      <c r="F4536" s="85" t="str">
        <f t="shared" si="0"/>
        <v/>
      </c>
      <c r="G4536" s="1" t="e">
        <f>IF(VALUE(F4536) = VALUE(RIGHT(Insights!$C$3, 4)), E4536, "")</f>
        <v>#VALUE!</v>
      </c>
      <c r="H4536" s="26" t="e">
        <f t="shared" si="1"/>
        <v>#VALUE!</v>
      </c>
      <c r="I4536" s="1" t="e">
        <f t="shared" si="2"/>
        <v>#VALUE!</v>
      </c>
    </row>
    <row r="4537" spans="1:9" ht="15.75" customHeight="1">
      <c r="A4537" s="26"/>
      <c r="B4537" s="2"/>
      <c r="C4537" s="26"/>
      <c r="D4537" s="26"/>
      <c r="F4537" s="85" t="str">
        <f t="shared" si="0"/>
        <v/>
      </c>
      <c r="G4537" s="1" t="e">
        <f>IF(VALUE(F4537) = VALUE(RIGHT(Insights!$C$3, 4)), E4537, "")</f>
        <v>#VALUE!</v>
      </c>
      <c r="H4537" s="26" t="e">
        <f t="shared" si="1"/>
        <v>#VALUE!</v>
      </c>
      <c r="I4537" s="1" t="e">
        <f t="shared" si="2"/>
        <v>#VALUE!</v>
      </c>
    </row>
    <row r="4538" spans="1:9" ht="15.75" customHeight="1">
      <c r="A4538" s="26"/>
      <c r="B4538" s="2"/>
      <c r="C4538" s="26"/>
      <c r="D4538" s="26"/>
      <c r="F4538" s="85" t="str">
        <f t="shared" si="0"/>
        <v/>
      </c>
      <c r="G4538" s="1" t="e">
        <f>IF(VALUE(F4538) = VALUE(RIGHT(Insights!$C$3, 4)), E4538, "")</f>
        <v>#VALUE!</v>
      </c>
      <c r="H4538" s="26" t="e">
        <f t="shared" si="1"/>
        <v>#VALUE!</v>
      </c>
      <c r="I4538" s="1" t="e">
        <f t="shared" si="2"/>
        <v>#VALUE!</v>
      </c>
    </row>
    <row r="4539" spans="1:9" ht="15.75" customHeight="1">
      <c r="A4539" s="26"/>
      <c r="B4539" s="2"/>
      <c r="C4539" s="26"/>
      <c r="D4539" s="26"/>
      <c r="F4539" s="85" t="str">
        <f t="shared" si="0"/>
        <v/>
      </c>
      <c r="G4539" s="1" t="e">
        <f>IF(VALUE(F4539) = VALUE(RIGHT(Insights!$C$3, 4)), E4539, "")</f>
        <v>#VALUE!</v>
      </c>
      <c r="H4539" s="26" t="e">
        <f t="shared" si="1"/>
        <v>#VALUE!</v>
      </c>
      <c r="I4539" s="1" t="e">
        <f t="shared" si="2"/>
        <v>#VALUE!</v>
      </c>
    </row>
    <row r="4540" spans="1:9" ht="15.75" customHeight="1">
      <c r="A4540" s="26"/>
      <c r="B4540" s="2"/>
      <c r="C4540" s="26"/>
      <c r="D4540" s="26"/>
      <c r="F4540" s="85" t="str">
        <f t="shared" si="0"/>
        <v/>
      </c>
      <c r="G4540" s="1" t="e">
        <f>IF(VALUE(F4540) = VALUE(RIGHT(Insights!$C$3, 4)), E4540, "")</f>
        <v>#VALUE!</v>
      </c>
      <c r="H4540" s="26" t="e">
        <f t="shared" si="1"/>
        <v>#VALUE!</v>
      </c>
      <c r="I4540" s="1" t="e">
        <f t="shared" si="2"/>
        <v>#VALUE!</v>
      </c>
    </row>
    <row r="4541" spans="1:9" ht="15.75" customHeight="1">
      <c r="A4541" s="26"/>
      <c r="B4541" s="2"/>
      <c r="C4541" s="26"/>
      <c r="D4541" s="26"/>
      <c r="F4541" s="85" t="str">
        <f t="shared" si="0"/>
        <v/>
      </c>
      <c r="G4541" s="1" t="e">
        <f>IF(VALUE(F4541) = VALUE(RIGHT(Insights!$C$3, 4)), E4541, "")</f>
        <v>#VALUE!</v>
      </c>
      <c r="H4541" s="26" t="e">
        <f t="shared" si="1"/>
        <v>#VALUE!</v>
      </c>
      <c r="I4541" s="1" t="e">
        <f t="shared" si="2"/>
        <v>#VALUE!</v>
      </c>
    </row>
    <row r="4542" spans="1:9" ht="15.75" customHeight="1">
      <c r="A4542" s="26"/>
      <c r="B4542" s="2"/>
      <c r="C4542" s="26"/>
      <c r="D4542" s="26"/>
      <c r="F4542" s="85" t="str">
        <f t="shared" si="0"/>
        <v/>
      </c>
      <c r="G4542" s="1" t="e">
        <f>IF(VALUE(F4542) = VALUE(RIGHT(Insights!$C$3, 4)), E4542, "")</f>
        <v>#VALUE!</v>
      </c>
      <c r="H4542" s="26" t="e">
        <f t="shared" si="1"/>
        <v>#VALUE!</v>
      </c>
      <c r="I4542" s="1" t="e">
        <f t="shared" si="2"/>
        <v>#VALUE!</v>
      </c>
    </row>
    <row r="4543" spans="1:9" ht="15.75" customHeight="1">
      <c r="A4543" s="26"/>
      <c r="B4543" s="2"/>
      <c r="C4543" s="26"/>
      <c r="D4543" s="26"/>
      <c r="F4543" s="85" t="str">
        <f t="shared" si="0"/>
        <v/>
      </c>
      <c r="G4543" s="1" t="e">
        <f>IF(VALUE(F4543) = VALUE(RIGHT(Insights!$C$3, 4)), E4543, "")</f>
        <v>#VALUE!</v>
      </c>
      <c r="H4543" s="26" t="e">
        <f t="shared" si="1"/>
        <v>#VALUE!</v>
      </c>
      <c r="I4543" s="1" t="e">
        <f t="shared" si="2"/>
        <v>#VALUE!</v>
      </c>
    </row>
    <row r="4544" spans="1:9" ht="15.75" customHeight="1">
      <c r="A4544" s="26"/>
      <c r="B4544" s="2"/>
      <c r="C4544" s="26"/>
      <c r="D4544" s="26"/>
      <c r="F4544" s="85" t="str">
        <f t="shared" si="0"/>
        <v/>
      </c>
      <c r="G4544" s="1" t="e">
        <f>IF(VALUE(F4544) = VALUE(RIGHT(Insights!$C$3, 4)), E4544, "")</f>
        <v>#VALUE!</v>
      </c>
      <c r="H4544" s="26" t="e">
        <f t="shared" si="1"/>
        <v>#VALUE!</v>
      </c>
      <c r="I4544" s="1" t="e">
        <f t="shared" si="2"/>
        <v>#VALUE!</v>
      </c>
    </row>
    <row r="4545" spans="1:9" ht="15.75" customHeight="1">
      <c r="A4545" s="26"/>
      <c r="B4545" s="2"/>
      <c r="C4545" s="26"/>
      <c r="D4545" s="26"/>
      <c r="F4545" s="85" t="str">
        <f t="shared" si="0"/>
        <v/>
      </c>
      <c r="G4545" s="1" t="e">
        <f>IF(VALUE(F4545) = VALUE(RIGHT(Insights!$C$3, 4)), E4545, "")</f>
        <v>#VALUE!</v>
      </c>
      <c r="H4545" s="26" t="e">
        <f t="shared" si="1"/>
        <v>#VALUE!</v>
      </c>
      <c r="I4545" s="1" t="e">
        <f t="shared" si="2"/>
        <v>#VALUE!</v>
      </c>
    </row>
    <row r="4546" spans="1:9" ht="15.75" customHeight="1">
      <c r="A4546" s="26"/>
      <c r="B4546" s="2"/>
      <c r="C4546" s="26"/>
      <c r="D4546" s="26"/>
      <c r="F4546" s="85" t="str">
        <f t="shared" si="0"/>
        <v/>
      </c>
      <c r="G4546" s="1" t="e">
        <f>IF(VALUE(F4546) = VALUE(RIGHT(Insights!$C$3, 4)), E4546, "")</f>
        <v>#VALUE!</v>
      </c>
      <c r="H4546" s="26" t="e">
        <f t="shared" si="1"/>
        <v>#VALUE!</v>
      </c>
      <c r="I4546" s="1" t="e">
        <f t="shared" si="2"/>
        <v>#VALUE!</v>
      </c>
    </row>
    <row r="4547" spans="1:9" ht="15.75" customHeight="1">
      <c r="A4547" s="26"/>
      <c r="B4547" s="2"/>
      <c r="C4547" s="26"/>
      <c r="D4547" s="26"/>
      <c r="F4547" s="85" t="str">
        <f t="shared" si="0"/>
        <v/>
      </c>
      <c r="G4547" s="1" t="e">
        <f>IF(VALUE(F4547) = VALUE(RIGHT(Insights!$C$3, 4)), E4547, "")</f>
        <v>#VALUE!</v>
      </c>
      <c r="H4547" s="26" t="e">
        <f t="shared" si="1"/>
        <v>#VALUE!</v>
      </c>
      <c r="I4547" s="1" t="e">
        <f t="shared" si="2"/>
        <v>#VALUE!</v>
      </c>
    </row>
    <row r="4548" spans="1:9" ht="15.75" customHeight="1">
      <c r="A4548" s="26"/>
      <c r="B4548" s="2"/>
      <c r="C4548" s="26"/>
      <c r="D4548" s="26"/>
      <c r="F4548" s="85" t="str">
        <f t="shared" si="0"/>
        <v/>
      </c>
      <c r="G4548" s="1" t="e">
        <f>IF(VALUE(F4548) = VALUE(RIGHT(Insights!$C$3, 4)), E4548, "")</f>
        <v>#VALUE!</v>
      </c>
      <c r="H4548" s="26" t="e">
        <f t="shared" si="1"/>
        <v>#VALUE!</v>
      </c>
      <c r="I4548" s="1" t="e">
        <f t="shared" si="2"/>
        <v>#VALUE!</v>
      </c>
    </row>
    <row r="4549" spans="1:9" ht="15.75" customHeight="1">
      <c r="A4549" s="26"/>
      <c r="B4549" s="2"/>
      <c r="C4549" s="26"/>
      <c r="D4549" s="26"/>
      <c r="F4549" s="85" t="str">
        <f t="shared" si="0"/>
        <v/>
      </c>
      <c r="G4549" s="1" t="e">
        <f>IF(VALUE(F4549) = VALUE(RIGHT(Insights!$C$3, 4)), E4549, "")</f>
        <v>#VALUE!</v>
      </c>
      <c r="H4549" s="26" t="e">
        <f t="shared" si="1"/>
        <v>#VALUE!</v>
      </c>
      <c r="I4549" s="1" t="e">
        <f t="shared" si="2"/>
        <v>#VALUE!</v>
      </c>
    </row>
    <row r="4550" spans="1:9" ht="15.75" customHeight="1">
      <c r="A4550" s="26"/>
      <c r="B4550" s="2"/>
      <c r="C4550" s="26"/>
      <c r="D4550" s="26"/>
      <c r="F4550" s="85" t="str">
        <f t="shared" si="0"/>
        <v/>
      </c>
      <c r="G4550" s="1" t="e">
        <f>IF(VALUE(F4550) = VALUE(RIGHT(Insights!$C$3, 4)), E4550, "")</f>
        <v>#VALUE!</v>
      </c>
      <c r="H4550" s="26" t="e">
        <f t="shared" si="1"/>
        <v>#VALUE!</v>
      </c>
      <c r="I4550" s="1" t="e">
        <f t="shared" si="2"/>
        <v>#VALUE!</v>
      </c>
    </row>
    <row r="4551" spans="1:9" ht="15.75" customHeight="1">
      <c r="A4551" s="26"/>
      <c r="B4551" s="2"/>
      <c r="C4551" s="26"/>
      <c r="D4551" s="26"/>
      <c r="F4551" s="85" t="str">
        <f t="shared" si="0"/>
        <v/>
      </c>
      <c r="G4551" s="1" t="e">
        <f>IF(VALUE(F4551) = VALUE(RIGHT(Insights!$C$3, 4)), E4551, "")</f>
        <v>#VALUE!</v>
      </c>
      <c r="H4551" s="26" t="e">
        <f t="shared" si="1"/>
        <v>#VALUE!</v>
      </c>
      <c r="I4551" s="1" t="e">
        <f t="shared" si="2"/>
        <v>#VALUE!</v>
      </c>
    </row>
    <row r="4552" spans="1:9" ht="15.75" customHeight="1">
      <c r="A4552" s="26"/>
      <c r="B4552" s="2"/>
      <c r="C4552" s="26"/>
      <c r="D4552" s="26"/>
      <c r="F4552" s="85" t="str">
        <f t="shared" si="0"/>
        <v/>
      </c>
      <c r="G4552" s="1" t="e">
        <f>IF(VALUE(F4552) = VALUE(RIGHT(Insights!$C$3, 4)), E4552, "")</f>
        <v>#VALUE!</v>
      </c>
      <c r="H4552" s="26" t="e">
        <f t="shared" si="1"/>
        <v>#VALUE!</v>
      </c>
      <c r="I4552" s="1" t="e">
        <f t="shared" si="2"/>
        <v>#VALUE!</v>
      </c>
    </row>
    <row r="4553" spans="1:9" ht="15.75" customHeight="1">
      <c r="A4553" s="26"/>
      <c r="B4553" s="2"/>
      <c r="C4553" s="26"/>
      <c r="D4553" s="26"/>
      <c r="F4553" s="85" t="str">
        <f t="shared" si="0"/>
        <v/>
      </c>
      <c r="G4553" s="1" t="e">
        <f>IF(VALUE(F4553) = VALUE(RIGHT(Insights!$C$3, 4)), E4553, "")</f>
        <v>#VALUE!</v>
      </c>
      <c r="H4553" s="26" t="e">
        <f t="shared" si="1"/>
        <v>#VALUE!</v>
      </c>
      <c r="I4553" s="1" t="e">
        <f t="shared" si="2"/>
        <v>#VALUE!</v>
      </c>
    </row>
    <row r="4554" spans="1:9" ht="15.75" customHeight="1">
      <c r="A4554" s="26"/>
      <c r="B4554" s="2"/>
      <c r="C4554" s="26"/>
      <c r="D4554" s="26"/>
      <c r="F4554" s="85" t="str">
        <f t="shared" si="0"/>
        <v/>
      </c>
      <c r="G4554" s="1" t="e">
        <f>IF(VALUE(F4554) = VALUE(RIGHT(Insights!$C$3, 4)), E4554, "")</f>
        <v>#VALUE!</v>
      </c>
      <c r="H4554" s="26" t="e">
        <f t="shared" si="1"/>
        <v>#VALUE!</v>
      </c>
      <c r="I4554" s="1" t="e">
        <f t="shared" si="2"/>
        <v>#VALUE!</v>
      </c>
    </row>
    <row r="4555" spans="1:9" ht="15.75" customHeight="1">
      <c r="A4555" s="26"/>
      <c r="B4555" s="2"/>
      <c r="C4555" s="26"/>
      <c r="D4555" s="26"/>
      <c r="F4555" s="85" t="str">
        <f t="shared" si="0"/>
        <v/>
      </c>
      <c r="G4555" s="1" t="e">
        <f>IF(VALUE(F4555) = VALUE(RIGHT(Insights!$C$3, 4)), E4555, "")</f>
        <v>#VALUE!</v>
      </c>
      <c r="H4555" s="26" t="e">
        <f t="shared" si="1"/>
        <v>#VALUE!</v>
      </c>
      <c r="I4555" s="1" t="e">
        <f t="shared" si="2"/>
        <v>#VALUE!</v>
      </c>
    </row>
    <row r="4556" spans="1:9" ht="15.75" customHeight="1">
      <c r="A4556" s="26"/>
      <c r="B4556" s="2"/>
      <c r="C4556" s="26"/>
      <c r="D4556" s="26"/>
      <c r="F4556" s="85" t="str">
        <f t="shared" si="0"/>
        <v/>
      </c>
      <c r="G4556" s="1" t="e">
        <f>IF(VALUE(F4556) = VALUE(RIGHT(Insights!$C$3, 4)), E4556, "")</f>
        <v>#VALUE!</v>
      </c>
      <c r="H4556" s="26" t="e">
        <f t="shared" si="1"/>
        <v>#VALUE!</v>
      </c>
      <c r="I4556" s="1" t="e">
        <f t="shared" si="2"/>
        <v>#VALUE!</v>
      </c>
    </row>
    <row r="4557" spans="1:9" ht="15.75" customHeight="1">
      <c r="A4557" s="26"/>
      <c r="B4557" s="2"/>
      <c r="C4557" s="26"/>
      <c r="D4557" s="26"/>
      <c r="F4557" s="85" t="str">
        <f t="shared" si="0"/>
        <v/>
      </c>
      <c r="G4557" s="1" t="e">
        <f>IF(VALUE(F4557) = VALUE(RIGHT(Insights!$C$3, 4)), E4557, "")</f>
        <v>#VALUE!</v>
      </c>
      <c r="H4557" s="26" t="e">
        <f t="shared" si="1"/>
        <v>#VALUE!</v>
      </c>
      <c r="I4557" s="1" t="e">
        <f t="shared" si="2"/>
        <v>#VALUE!</v>
      </c>
    </row>
    <row r="4558" spans="1:9" ht="15.75" customHeight="1">
      <c r="A4558" s="26"/>
      <c r="B4558" s="2"/>
      <c r="C4558" s="26"/>
      <c r="D4558" s="26"/>
      <c r="F4558" s="85" t="str">
        <f t="shared" si="0"/>
        <v/>
      </c>
      <c r="G4558" s="1" t="e">
        <f>IF(VALUE(F4558) = VALUE(RIGHT(Insights!$C$3, 4)), E4558, "")</f>
        <v>#VALUE!</v>
      </c>
      <c r="H4558" s="26" t="e">
        <f t="shared" si="1"/>
        <v>#VALUE!</v>
      </c>
      <c r="I4558" s="1" t="e">
        <f t="shared" si="2"/>
        <v>#VALUE!</v>
      </c>
    </row>
    <row r="4559" spans="1:9" ht="15.75" customHeight="1">
      <c r="A4559" s="26"/>
      <c r="B4559" s="2"/>
      <c r="C4559" s="26"/>
      <c r="D4559" s="26"/>
      <c r="F4559" s="85" t="str">
        <f t="shared" si="0"/>
        <v/>
      </c>
      <c r="G4559" s="1" t="e">
        <f>IF(VALUE(F4559) = VALUE(RIGHT(Insights!$C$3, 4)), E4559, "")</f>
        <v>#VALUE!</v>
      </c>
      <c r="H4559" s="26" t="e">
        <f t="shared" si="1"/>
        <v>#VALUE!</v>
      </c>
      <c r="I4559" s="1" t="e">
        <f t="shared" si="2"/>
        <v>#VALUE!</v>
      </c>
    </row>
    <row r="4560" spans="1:9" ht="15.75" customHeight="1">
      <c r="A4560" s="26"/>
      <c r="B4560" s="2"/>
      <c r="C4560" s="26"/>
      <c r="D4560" s="26"/>
      <c r="F4560" s="85" t="str">
        <f t="shared" si="0"/>
        <v/>
      </c>
      <c r="G4560" s="1" t="e">
        <f>IF(VALUE(F4560) = VALUE(RIGHT(Insights!$C$3, 4)), E4560, "")</f>
        <v>#VALUE!</v>
      </c>
      <c r="H4560" s="26" t="e">
        <f t="shared" si="1"/>
        <v>#VALUE!</v>
      </c>
      <c r="I4560" s="1" t="e">
        <f t="shared" si="2"/>
        <v>#VALUE!</v>
      </c>
    </row>
    <row r="4561" spans="1:9" ht="15.75" customHeight="1">
      <c r="A4561" s="26"/>
      <c r="B4561" s="2"/>
      <c r="C4561" s="26"/>
      <c r="D4561" s="26"/>
      <c r="F4561" s="85" t="str">
        <f t="shared" si="0"/>
        <v/>
      </c>
      <c r="G4561" s="1" t="e">
        <f>IF(VALUE(F4561) = VALUE(RIGHT(Insights!$C$3, 4)), E4561, "")</f>
        <v>#VALUE!</v>
      </c>
      <c r="H4561" s="26" t="e">
        <f t="shared" si="1"/>
        <v>#VALUE!</v>
      </c>
      <c r="I4561" s="1" t="e">
        <f t="shared" si="2"/>
        <v>#VALUE!</v>
      </c>
    </row>
    <row r="4562" spans="1:9" ht="15.75" customHeight="1">
      <c r="A4562" s="26"/>
      <c r="B4562" s="2"/>
      <c r="C4562" s="26"/>
      <c r="D4562" s="26"/>
      <c r="F4562" s="85" t="str">
        <f t="shared" si="0"/>
        <v/>
      </c>
      <c r="G4562" s="1" t="e">
        <f>IF(VALUE(F4562) = VALUE(RIGHT(Insights!$C$3, 4)), E4562, "")</f>
        <v>#VALUE!</v>
      </c>
      <c r="H4562" s="26" t="e">
        <f t="shared" si="1"/>
        <v>#VALUE!</v>
      </c>
      <c r="I4562" s="1" t="e">
        <f t="shared" si="2"/>
        <v>#VALUE!</v>
      </c>
    </row>
    <row r="4563" spans="1:9" ht="15.75" customHeight="1">
      <c r="A4563" s="26"/>
      <c r="B4563" s="2"/>
      <c r="C4563" s="26"/>
      <c r="D4563" s="26"/>
      <c r="F4563" s="85" t="str">
        <f t="shared" si="0"/>
        <v/>
      </c>
      <c r="G4563" s="1" t="e">
        <f>IF(VALUE(F4563) = VALUE(RIGHT(Insights!$C$3, 4)), E4563, "")</f>
        <v>#VALUE!</v>
      </c>
      <c r="H4563" s="26" t="e">
        <f t="shared" si="1"/>
        <v>#VALUE!</v>
      </c>
      <c r="I4563" s="1" t="e">
        <f t="shared" si="2"/>
        <v>#VALUE!</v>
      </c>
    </row>
    <row r="4564" spans="1:9" ht="15.75" customHeight="1">
      <c r="A4564" s="26"/>
      <c r="B4564" s="2"/>
      <c r="C4564" s="26"/>
      <c r="D4564" s="26"/>
      <c r="F4564" s="85" t="str">
        <f t="shared" si="0"/>
        <v/>
      </c>
      <c r="G4564" s="1" t="e">
        <f>IF(VALUE(F4564) = VALUE(RIGHT(Insights!$C$3, 4)), E4564, "")</f>
        <v>#VALUE!</v>
      </c>
      <c r="H4564" s="26" t="e">
        <f t="shared" si="1"/>
        <v>#VALUE!</v>
      </c>
      <c r="I4564" s="1" t="e">
        <f t="shared" si="2"/>
        <v>#VALUE!</v>
      </c>
    </row>
    <row r="4565" spans="1:9" ht="15.75" customHeight="1">
      <c r="A4565" s="26"/>
      <c r="B4565" s="2"/>
      <c r="C4565" s="26"/>
      <c r="D4565" s="26"/>
      <c r="F4565" s="85" t="str">
        <f t="shared" si="0"/>
        <v/>
      </c>
      <c r="G4565" s="1" t="e">
        <f>IF(VALUE(F4565) = VALUE(RIGHT(Insights!$C$3, 4)), E4565, "")</f>
        <v>#VALUE!</v>
      </c>
      <c r="H4565" s="26" t="e">
        <f t="shared" si="1"/>
        <v>#VALUE!</v>
      </c>
      <c r="I4565" s="1" t="e">
        <f t="shared" si="2"/>
        <v>#VALUE!</v>
      </c>
    </row>
    <row r="4566" spans="1:9" ht="15.75" customHeight="1">
      <c r="A4566" s="26"/>
      <c r="B4566" s="2"/>
      <c r="C4566" s="26"/>
      <c r="D4566" s="26"/>
      <c r="F4566" s="85" t="str">
        <f t="shared" si="0"/>
        <v/>
      </c>
      <c r="G4566" s="1" t="e">
        <f>IF(VALUE(F4566) = VALUE(RIGHT(Insights!$C$3, 4)), E4566, "")</f>
        <v>#VALUE!</v>
      </c>
      <c r="H4566" s="26" t="e">
        <f t="shared" si="1"/>
        <v>#VALUE!</v>
      </c>
      <c r="I4566" s="1" t="e">
        <f t="shared" si="2"/>
        <v>#VALUE!</v>
      </c>
    </row>
    <row r="4567" spans="1:9" ht="15.75" customHeight="1">
      <c r="A4567" s="26"/>
      <c r="B4567" s="2"/>
      <c r="C4567" s="26"/>
      <c r="D4567" s="26"/>
      <c r="F4567" s="85" t="str">
        <f t="shared" si="0"/>
        <v/>
      </c>
      <c r="G4567" s="1" t="e">
        <f>IF(VALUE(F4567) = VALUE(RIGHT(Insights!$C$3, 4)), E4567, "")</f>
        <v>#VALUE!</v>
      </c>
      <c r="H4567" s="26" t="e">
        <f t="shared" si="1"/>
        <v>#VALUE!</v>
      </c>
      <c r="I4567" s="1" t="e">
        <f t="shared" si="2"/>
        <v>#VALUE!</v>
      </c>
    </row>
    <row r="4568" spans="1:9" ht="15.75" customHeight="1">
      <c r="A4568" s="26"/>
      <c r="B4568" s="2"/>
      <c r="C4568" s="26"/>
      <c r="D4568" s="26"/>
      <c r="F4568" s="85" t="str">
        <f t="shared" si="0"/>
        <v/>
      </c>
      <c r="G4568" s="1" t="e">
        <f>IF(VALUE(F4568) = VALUE(RIGHT(Insights!$C$3, 4)), E4568, "")</f>
        <v>#VALUE!</v>
      </c>
      <c r="H4568" s="26" t="e">
        <f t="shared" si="1"/>
        <v>#VALUE!</v>
      </c>
      <c r="I4568" s="1" t="e">
        <f t="shared" si="2"/>
        <v>#VALUE!</v>
      </c>
    </row>
    <row r="4569" spans="1:9" ht="15.75" customHeight="1">
      <c r="A4569" s="26"/>
      <c r="B4569" s="2"/>
      <c r="C4569" s="26"/>
      <c r="D4569" s="26"/>
      <c r="F4569" s="85" t="str">
        <f t="shared" si="0"/>
        <v/>
      </c>
      <c r="G4569" s="1" t="e">
        <f>IF(VALUE(F4569) = VALUE(RIGHT(Insights!$C$3, 4)), E4569, "")</f>
        <v>#VALUE!</v>
      </c>
      <c r="H4569" s="26" t="e">
        <f t="shared" si="1"/>
        <v>#VALUE!</v>
      </c>
      <c r="I4569" s="1" t="e">
        <f t="shared" si="2"/>
        <v>#VALUE!</v>
      </c>
    </row>
    <row r="4570" spans="1:9" ht="15.75" customHeight="1">
      <c r="A4570" s="26"/>
      <c r="B4570" s="2"/>
      <c r="C4570" s="26"/>
      <c r="D4570" s="26"/>
      <c r="F4570" s="85" t="str">
        <f t="shared" si="0"/>
        <v/>
      </c>
      <c r="G4570" s="1" t="e">
        <f>IF(VALUE(F4570) = VALUE(RIGHT(Insights!$C$3, 4)), E4570, "")</f>
        <v>#VALUE!</v>
      </c>
      <c r="H4570" s="26" t="e">
        <f t="shared" si="1"/>
        <v>#VALUE!</v>
      </c>
      <c r="I4570" s="1" t="e">
        <f t="shared" si="2"/>
        <v>#VALUE!</v>
      </c>
    </row>
    <row r="4571" spans="1:9" ht="15.75" customHeight="1">
      <c r="A4571" s="26"/>
      <c r="B4571" s="2"/>
      <c r="C4571" s="26"/>
      <c r="D4571" s="26"/>
      <c r="F4571" s="85" t="str">
        <f t="shared" si="0"/>
        <v/>
      </c>
      <c r="G4571" s="1" t="e">
        <f>IF(VALUE(F4571) = VALUE(RIGHT(Insights!$C$3, 4)), E4571, "")</f>
        <v>#VALUE!</v>
      </c>
      <c r="H4571" s="26" t="e">
        <f t="shared" si="1"/>
        <v>#VALUE!</v>
      </c>
      <c r="I4571" s="1" t="e">
        <f t="shared" si="2"/>
        <v>#VALUE!</v>
      </c>
    </row>
    <row r="4572" spans="1:9" ht="15.75" customHeight="1">
      <c r="A4572" s="26"/>
      <c r="B4572" s="2"/>
      <c r="C4572" s="26"/>
      <c r="D4572" s="26"/>
      <c r="F4572" s="85" t="str">
        <f t="shared" si="0"/>
        <v/>
      </c>
      <c r="G4572" s="1" t="e">
        <f>IF(VALUE(F4572) = VALUE(RIGHT(Insights!$C$3, 4)), E4572, "")</f>
        <v>#VALUE!</v>
      </c>
      <c r="H4572" s="26" t="e">
        <f t="shared" si="1"/>
        <v>#VALUE!</v>
      </c>
      <c r="I4572" s="1" t="e">
        <f t="shared" si="2"/>
        <v>#VALUE!</v>
      </c>
    </row>
    <row r="4573" spans="1:9" ht="15.75" customHeight="1">
      <c r="A4573" s="26"/>
      <c r="B4573" s="2"/>
      <c r="C4573" s="26"/>
      <c r="D4573" s="26"/>
      <c r="F4573" s="85" t="str">
        <f t="shared" si="0"/>
        <v/>
      </c>
      <c r="G4573" s="1" t="e">
        <f>IF(VALUE(F4573) = VALUE(RIGHT(Insights!$C$3, 4)), E4573, "")</f>
        <v>#VALUE!</v>
      </c>
      <c r="H4573" s="26" t="e">
        <f t="shared" si="1"/>
        <v>#VALUE!</v>
      </c>
      <c r="I4573" s="1" t="e">
        <f t="shared" si="2"/>
        <v>#VALUE!</v>
      </c>
    </row>
    <row r="4574" spans="1:9" ht="15.75" customHeight="1">
      <c r="A4574" s="26"/>
      <c r="B4574" s="2"/>
      <c r="C4574" s="26"/>
      <c r="D4574" s="26"/>
      <c r="F4574" s="85" t="str">
        <f t="shared" si="0"/>
        <v/>
      </c>
      <c r="G4574" s="1" t="e">
        <f>IF(VALUE(F4574) = VALUE(RIGHT(Insights!$C$3, 4)), E4574, "")</f>
        <v>#VALUE!</v>
      </c>
      <c r="H4574" s="26" t="e">
        <f t="shared" si="1"/>
        <v>#VALUE!</v>
      </c>
      <c r="I4574" s="1" t="e">
        <f t="shared" si="2"/>
        <v>#VALUE!</v>
      </c>
    </row>
    <row r="4575" spans="1:9" ht="15.75" customHeight="1">
      <c r="A4575" s="26"/>
      <c r="B4575" s="2"/>
      <c r="C4575" s="26"/>
      <c r="D4575" s="26"/>
      <c r="F4575" s="85" t="str">
        <f t="shared" si="0"/>
        <v/>
      </c>
      <c r="G4575" s="1" t="e">
        <f>IF(VALUE(F4575) = VALUE(RIGHT(Insights!$C$3, 4)), E4575, "")</f>
        <v>#VALUE!</v>
      </c>
      <c r="H4575" s="26" t="e">
        <f t="shared" si="1"/>
        <v>#VALUE!</v>
      </c>
      <c r="I4575" s="1" t="e">
        <f t="shared" si="2"/>
        <v>#VALUE!</v>
      </c>
    </row>
    <row r="4576" spans="1:9" ht="15.75" customHeight="1">
      <c r="A4576" s="26"/>
      <c r="B4576" s="2"/>
      <c r="C4576" s="26"/>
      <c r="D4576" s="26"/>
      <c r="F4576" s="85" t="str">
        <f t="shared" si="0"/>
        <v/>
      </c>
      <c r="G4576" s="1" t="e">
        <f>IF(VALUE(F4576) = VALUE(RIGHT(Insights!$C$3, 4)), E4576, "")</f>
        <v>#VALUE!</v>
      </c>
      <c r="H4576" s="26" t="e">
        <f t="shared" si="1"/>
        <v>#VALUE!</v>
      </c>
      <c r="I4576" s="1" t="e">
        <f t="shared" si="2"/>
        <v>#VALUE!</v>
      </c>
    </row>
    <row r="4577" spans="1:9" ht="15.75" customHeight="1">
      <c r="A4577" s="26"/>
      <c r="B4577" s="2"/>
      <c r="C4577" s="26"/>
      <c r="D4577" s="26"/>
      <c r="F4577" s="85" t="str">
        <f t="shared" si="0"/>
        <v/>
      </c>
      <c r="G4577" s="1" t="e">
        <f>IF(VALUE(F4577) = VALUE(RIGHT(Insights!$C$3, 4)), E4577, "")</f>
        <v>#VALUE!</v>
      </c>
      <c r="H4577" s="26" t="e">
        <f t="shared" si="1"/>
        <v>#VALUE!</v>
      </c>
      <c r="I4577" s="1" t="e">
        <f t="shared" si="2"/>
        <v>#VALUE!</v>
      </c>
    </row>
    <row r="4578" spans="1:9" ht="15.75" customHeight="1">
      <c r="A4578" s="26"/>
      <c r="B4578" s="2"/>
      <c r="C4578" s="26"/>
      <c r="D4578" s="26"/>
      <c r="F4578" s="85" t="str">
        <f t="shared" si="0"/>
        <v/>
      </c>
      <c r="G4578" s="1" t="e">
        <f>IF(VALUE(F4578) = VALUE(RIGHT(Insights!$C$3, 4)), E4578, "")</f>
        <v>#VALUE!</v>
      </c>
      <c r="H4578" s="26" t="e">
        <f t="shared" si="1"/>
        <v>#VALUE!</v>
      </c>
      <c r="I4578" s="1" t="e">
        <f t="shared" si="2"/>
        <v>#VALUE!</v>
      </c>
    </row>
    <row r="4579" spans="1:9" ht="15.75" customHeight="1">
      <c r="A4579" s="26"/>
      <c r="B4579" s="2"/>
      <c r="C4579" s="26"/>
      <c r="D4579" s="26"/>
      <c r="F4579" s="85" t="str">
        <f t="shared" si="0"/>
        <v/>
      </c>
      <c r="G4579" s="1" t="e">
        <f>IF(VALUE(F4579) = VALUE(RIGHT(Insights!$C$3, 4)), E4579, "")</f>
        <v>#VALUE!</v>
      </c>
      <c r="H4579" s="26" t="e">
        <f t="shared" si="1"/>
        <v>#VALUE!</v>
      </c>
      <c r="I4579" s="1" t="e">
        <f t="shared" si="2"/>
        <v>#VALUE!</v>
      </c>
    </row>
    <row r="4580" spans="1:9" ht="15.75" customHeight="1">
      <c r="A4580" s="26"/>
      <c r="B4580" s="2"/>
      <c r="C4580" s="26"/>
      <c r="D4580" s="26"/>
      <c r="F4580" s="85" t="str">
        <f t="shared" si="0"/>
        <v/>
      </c>
      <c r="G4580" s="1" t="e">
        <f>IF(VALUE(F4580) = VALUE(RIGHT(Insights!$C$3, 4)), E4580, "")</f>
        <v>#VALUE!</v>
      </c>
      <c r="H4580" s="26" t="e">
        <f t="shared" si="1"/>
        <v>#VALUE!</v>
      </c>
      <c r="I4580" s="1" t="e">
        <f t="shared" si="2"/>
        <v>#VALUE!</v>
      </c>
    </row>
    <row r="4581" spans="1:9" ht="15.75" customHeight="1">
      <c r="A4581" s="26"/>
      <c r="B4581" s="2"/>
      <c r="C4581" s="26"/>
      <c r="D4581" s="26"/>
      <c r="F4581" s="85" t="str">
        <f t="shared" si="0"/>
        <v/>
      </c>
      <c r="G4581" s="1" t="e">
        <f>IF(VALUE(F4581) = VALUE(RIGHT(Insights!$C$3, 4)), E4581, "")</f>
        <v>#VALUE!</v>
      </c>
      <c r="H4581" s="26" t="e">
        <f t="shared" si="1"/>
        <v>#VALUE!</v>
      </c>
      <c r="I4581" s="1" t="e">
        <f t="shared" si="2"/>
        <v>#VALUE!</v>
      </c>
    </row>
    <row r="4582" spans="1:9" ht="15.75" customHeight="1">
      <c r="A4582" s="26"/>
      <c r="B4582" s="2"/>
      <c r="C4582" s="26"/>
      <c r="D4582" s="26"/>
      <c r="F4582" s="85" t="str">
        <f t="shared" si="0"/>
        <v/>
      </c>
      <c r="G4582" s="1" t="e">
        <f>IF(VALUE(F4582) = VALUE(RIGHT(Insights!$C$3, 4)), E4582, "")</f>
        <v>#VALUE!</v>
      </c>
      <c r="H4582" s="26" t="e">
        <f t="shared" si="1"/>
        <v>#VALUE!</v>
      </c>
      <c r="I4582" s="1" t="e">
        <f t="shared" si="2"/>
        <v>#VALUE!</v>
      </c>
    </row>
    <row r="4583" spans="1:9" ht="15.75" customHeight="1">
      <c r="A4583" s="26"/>
      <c r="B4583" s="2"/>
      <c r="C4583" s="26"/>
      <c r="D4583" s="26"/>
      <c r="F4583" s="85" t="str">
        <f t="shared" si="0"/>
        <v/>
      </c>
      <c r="G4583" s="1" t="e">
        <f>IF(VALUE(F4583) = VALUE(RIGHT(Insights!$C$3, 4)), E4583, "")</f>
        <v>#VALUE!</v>
      </c>
      <c r="H4583" s="26" t="e">
        <f t="shared" si="1"/>
        <v>#VALUE!</v>
      </c>
      <c r="I4583" s="1" t="e">
        <f t="shared" si="2"/>
        <v>#VALUE!</v>
      </c>
    </row>
    <row r="4584" spans="1:9" ht="15.75" customHeight="1">
      <c r="A4584" s="26"/>
      <c r="B4584" s="2"/>
      <c r="C4584" s="26"/>
      <c r="D4584" s="26"/>
      <c r="F4584" s="85" t="str">
        <f t="shared" si="0"/>
        <v/>
      </c>
      <c r="G4584" s="1" t="e">
        <f>IF(VALUE(F4584) = VALUE(RIGHT(Insights!$C$3, 4)), E4584, "")</f>
        <v>#VALUE!</v>
      </c>
      <c r="H4584" s="26" t="e">
        <f t="shared" si="1"/>
        <v>#VALUE!</v>
      </c>
      <c r="I4584" s="1" t="e">
        <f t="shared" si="2"/>
        <v>#VALUE!</v>
      </c>
    </row>
    <row r="4585" spans="1:9" ht="15.75" customHeight="1">
      <c r="A4585" s="26"/>
      <c r="B4585" s="2"/>
      <c r="C4585" s="26"/>
      <c r="D4585" s="26"/>
      <c r="F4585" s="85" t="str">
        <f t="shared" si="0"/>
        <v/>
      </c>
      <c r="G4585" s="1" t="e">
        <f>IF(VALUE(F4585) = VALUE(RIGHT(Insights!$C$3, 4)), E4585, "")</f>
        <v>#VALUE!</v>
      </c>
      <c r="H4585" s="26" t="e">
        <f t="shared" si="1"/>
        <v>#VALUE!</v>
      </c>
      <c r="I4585" s="1" t="e">
        <f t="shared" si="2"/>
        <v>#VALUE!</v>
      </c>
    </row>
    <row r="4586" spans="1:9" ht="15.75" customHeight="1">
      <c r="A4586" s="26"/>
      <c r="B4586" s="2"/>
      <c r="C4586" s="26"/>
      <c r="D4586" s="26"/>
      <c r="F4586" s="85" t="str">
        <f t="shared" si="0"/>
        <v/>
      </c>
      <c r="G4586" s="1" t="e">
        <f>IF(VALUE(F4586) = VALUE(RIGHT(Insights!$C$3, 4)), E4586, "")</f>
        <v>#VALUE!</v>
      </c>
      <c r="H4586" s="26" t="e">
        <f t="shared" si="1"/>
        <v>#VALUE!</v>
      </c>
      <c r="I4586" s="1" t="e">
        <f t="shared" si="2"/>
        <v>#VALUE!</v>
      </c>
    </row>
    <row r="4587" spans="1:9" ht="15.75" customHeight="1">
      <c r="A4587" s="26"/>
      <c r="B4587" s="2"/>
      <c r="C4587" s="26"/>
      <c r="D4587" s="26"/>
      <c r="F4587" s="85" t="str">
        <f t="shared" si="0"/>
        <v/>
      </c>
      <c r="G4587" s="1" t="e">
        <f>IF(VALUE(F4587) = VALUE(RIGHT(Insights!$C$3, 4)), E4587, "")</f>
        <v>#VALUE!</v>
      </c>
      <c r="H4587" s="26" t="e">
        <f t="shared" si="1"/>
        <v>#VALUE!</v>
      </c>
      <c r="I4587" s="1" t="e">
        <f t="shared" si="2"/>
        <v>#VALUE!</v>
      </c>
    </row>
    <row r="4588" spans="1:9" ht="15.75" customHeight="1">
      <c r="A4588" s="26"/>
      <c r="B4588" s="2"/>
      <c r="C4588" s="26"/>
      <c r="D4588" s="26"/>
      <c r="F4588" s="85" t="str">
        <f t="shared" si="0"/>
        <v/>
      </c>
      <c r="G4588" s="1" t="e">
        <f>IF(VALUE(F4588) = VALUE(RIGHT(Insights!$C$3, 4)), E4588, "")</f>
        <v>#VALUE!</v>
      </c>
      <c r="H4588" s="26" t="e">
        <f t="shared" si="1"/>
        <v>#VALUE!</v>
      </c>
      <c r="I4588" s="1" t="e">
        <f t="shared" si="2"/>
        <v>#VALUE!</v>
      </c>
    </row>
    <row r="4589" spans="1:9" ht="15.75" customHeight="1">
      <c r="A4589" s="26"/>
      <c r="B4589" s="2"/>
      <c r="C4589" s="26"/>
      <c r="D4589" s="26"/>
      <c r="F4589" s="85" t="str">
        <f t="shared" si="0"/>
        <v/>
      </c>
      <c r="G4589" s="1" t="e">
        <f>IF(VALUE(F4589) = VALUE(RIGHT(Insights!$C$3, 4)), E4589, "")</f>
        <v>#VALUE!</v>
      </c>
      <c r="H4589" s="26" t="e">
        <f t="shared" si="1"/>
        <v>#VALUE!</v>
      </c>
      <c r="I4589" s="1" t="e">
        <f t="shared" si="2"/>
        <v>#VALUE!</v>
      </c>
    </row>
    <row r="4590" spans="1:9" ht="15.75" customHeight="1">
      <c r="A4590" s="26"/>
      <c r="B4590" s="2"/>
      <c r="C4590" s="26"/>
      <c r="D4590" s="26"/>
      <c r="F4590" s="85" t="str">
        <f t="shared" si="0"/>
        <v/>
      </c>
      <c r="G4590" s="1" t="e">
        <f>IF(VALUE(F4590) = VALUE(RIGHT(Insights!$C$3, 4)), E4590, "")</f>
        <v>#VALUE!</v>
      </c>
      <c r="H4590" s="26" t="e">
        <f t="shared" si="1"/>
        <v>#VALUE!</v>
      </c>
      <c r="I4590" s="1" t="e">
        <f t="shared" si="2"/>
        <v>#VALUE!</v>
      </c>
    </row>
    <row r="4591" spans="1:9" ht="15.75" customHeight="1">
      <c r="A4591" s="26"/>
      <c r="B4591" s="2"/>
      <c r="C4591" s="26"/>
      <c r="D4591" s="26"/>
      <c r="F4591" s="85" t="str">
        <f t="shared" si="0"/>
        <v/>
      </c>
      <c r="G4591" s="1" t="e">
        <f>IF(VALUE(F4591) = VALUE(RIGHT(Insights!$C$3, 4)), E4591, "")</f>
        <v>#VALUE!</v>
      </c>
      <c r="H4591" s="26" t="e">
        <f t="shared" si="1"/>
        <v>#VALUE!</v>
      </c>
      <c r="I4591" s="1" t="e">
        <f t="shared" si="2"/>
        <v>#VALUE!</v>
      </c>
    </row>
    <row r="4592" spans="1:9" ht="15.75" customHeight="1">
      <c r="A4592" s="26"/>
      <c r="B4592" s="2"/>
      <c r="C4592" s="26"/>
      <c r="D4592" s="26"/>
      <c r="F4592" s="85" t="str">
        <f t="shared" si="0"/>
        <v/>
      </c>
      <c r="G4592" s="1" t="e">
        <f>IF(VALUE(F4592) = VALUE(RIGHT(Insights!$C$3, 4)), E4592, "")</f>
        <v>#VALUE!</v>
      </c>
      <c r="H4592" s="26" t="e">
        <f t="shared" si="1"/>
        <v>#VALUE!</v>
      </c>
      <c r="I4592" s="1" t="e">
        <f t="shared" si="2"/>
        <v>#VALUE!</v>
      </c>
    </row>
    <row r="4593" spans="1:9" ht="15.75" customHeight="1">
      <c r="A4593" s="26"/>
      <c r="B4593" s="2"/>
      <c r="C4593" s="26"/>
      <c r="D4593" s="26"/>
      <c r="F4593" s="85" t="str">
        <f t="shared" si="0"/>
        <v/>
      </c>
      <c r="G4593" s="1" t="e">
        <f>IF(VALUE(F4593) = VALUE(RIGHT(Insights!$C$3, 4)), E4593, "")</f>
        <v>#VALUE!</v>
      </c>
      <c r="H4593" s="26" t="e">
        <f t="shared" si="1"/>
        <v>#VALUE!</v>
      </c>
      <c r="I4593" s="1" t="e">
        <f t="shared" si="2"/>
        <v>#VALUE!</v>
      </c>
    </row>
    <row r="4594" spans="1:9" ht="15.75" customHeight="1">
      <c r="A4594" s="26"/>
      <c r="B4594" s="2"/>
      <c r="C4594" s="26"/>
      <c r="D4594" s="26"/>
      <c r="F4594" s="85" t="str">
        <f t="shared" si="0"/>
        <v/>
      </c>
      <c r="G4594" s="1" t="e">
        <f>IF(VALUE(F4594) = VALUE(RIGHT(Insights!$C$3, 4)), E4594, "")</f>
        <v>#VALUE!</v>
      </c>
      <c r="H4594" s="26" t="e">
        <f t="shared" si="1"/>
        <v>#VALUE!</v>
      </c>
      <c r="I4594" s="1" t="e">
        <f t="shared" si="2"/>
        <v>#VALUE!</v>
      </c>
    </row>
    <row r="4595" spans="1:9" ht="15.75" customHeight="1">
      <c r="A4595" s="26"/>
      <c r="B4595" s="2"/>
      <c r="C4595" s="26"/>
      <c r="D4595" s="26"/>
      <c r="F4595" s="85" t="str">
        <f t="shared" si="0"/>
        <v/>
      </c>
      <c r="G4595" s="1" t="e">
        <f>IF(VALUE(F4595) = VALUE(RIGHT(Insights!$C$3, 4)), E4595, "")</f>
        <v>#VALUE!</v>
      </c>
      <c r="H4595" s="26" t="e">
        <f t="shared" si="1"/>
        <v>#VALUE!</v>
      </c>
      <c r="I4595" s="1" t="e">
        <f t="shared" si="2"/>
        <v>#VALUE!</v>
      </c>
    </row>
    <row r="4596" spans="1:9" ht="15.75" customHeight="1">
      <c r="A4596" s="26"/>
      <c r="B4596" s="2"/>
      <c r="C4596" s="26"/>
      <c r="D4596" s="26"/>
      <c r="F4596" s="85" t="str">
        <f t="shared" si="0"/>
        <v/>
      </c>
      <c r="G4596" s="1" t="e">
        <f>IF(VALUE(F4596) = VALUE(RIGHT(Insights!$C$3, 4)), E4596, "")</f>
        <v>#VALUE!</v>
      </c>
      <c r="H4596" s="26" t="e">
        <f t="shared" si="1"/>
        <v>#VALUE!</v>
      </c>
      <c r="I4596" s="1" t="e">
        <f t="shared" si="2"/>
        <v>#VALUE!</v>
      </c>
    </row>
    <row r="4597" spans="1:9" ht="15.75" customHeight="1">
      <c r="A4597" s="26"/>
      <c r="B4597" s="2"/>
      <c r="C4597" s="26"/>
      <c r="D4597" s="26"/>
      <c r="F4597" s="85" t="str">
        <f t="shared" si="0"/>
        <v/>
      </c>
      <c r="G4597" s="1" t="e">
        <f>IF(VALUE(F4597) = VALUE(RIGHT(Insights!$C$3, 4)), E4597, "")</f>
        <v>#VALUE!</v>
      </c>
      <c r="H4597" s="26" t="e">
        <f t="shared" si="1"/>
        <v>#VALUE!</v>
      </c>
      <c r="I4597" s="1" t="e">
        <f t="shared" si="2"/>
        <v>#VALUE!</v>
      </c>
    </row>
    <row r="4598" spans="1:9" ht="15.75" customHeight="1">
      <c r="A4598" s="26"/>
      <c r="B4598" s="2"/>
      <c r="C4598" s="26"/>
      <c r="D4598" s="26"/>
      <c r="F4598" s="85" t="str">
        <f t="shared" si="0"/>
        <v/>
      </c>
      <c r="G4598" s="1" t="e">
        <f>IF(VALUE(F4598) = VALUE(RIGHT(Insights!$C$3, 4)), E4598, "")</f>
        <v>#VALUE!</v>
      </c>
      <c r="H4598" s="26" t="e">
        <f t="shared" si="1"/>
        <v>#VALUE!</v>
      </c>
      <c r="I4598" s="1" t="e">
        <f t="shared" si="2"/>
        <v>#VALUE!</v>
      </c>
    </row>
    <row r="4599" spans="1:9" ht="15.75" customHeight="1">
      <c r="A4599" s="26"/>
      <c r="B4599" s="2"/>
      <c r="C4599" s="26"/>
      <c r="D4599" s="26"/>
      <c r="F4599" s="85" t="str">
        <f t="shared" si="0"/>
        <v/>
      </c>
      <c r="G4599" s="1" t="e">
        <f>IF(VALUE(F4599) = VALUE(RIGHT(Insights!$C$3, 4)), E4599, "")</f>
        <v>#VALUE!</v>
      </c>
      <c r="H4599" s="26" t="e">
        <f t="shared" si="1"/>
        <v>#VALUE!</v>
      </c>
      <c r="I4599" s="1" t="e">
        <f t="shared" si="2"/>
        <v>#VALUE!</v>
      </c>
    </row>
    <row r="4600" spans="1:9" ht="15.75" customHeight="1">
      <c r="A4600" s="26"/>
      <c r="B4600" s="2"/>
      <c r="C4600" s="26"/>
      <c r="D4600" s="26"/>
      <c r="F4600" s="85" t="str">
        <f t="shared" si="0"/>
        <v/>
      </c>
      <c r="G4600" s="1" t="e">
        <f>IF(VALUE(F4600) = VALUE(RIGHT(Insights!$C$3, 4)), E4600, "")</f>
        <v>#VALUE!</v>
      </c>
      <c r="H4600" s="26" t="e">
        <f t="shared" si="1"/>
        <v>#VALUE!</v>
      </c>
      <c r="I4600" s="1" t="e">
        <f t="shared" si="2"/>
        <v>#VALUE!</v>
      </c>
    </row>
    <row r="4601" spans="1:9" ht="15.75" customHeight="1">
      <c r="A4601" s="26"/>
      <c r="B4601" s="2"/>
      <c r="C4601" s="26"/>
      <c r="D4601" s="26"/>
      <c r="F4601" s="85" t="str">
        <f t="shared" si="0"/>
        <v/>
      </c>
      <c r="G4601" s="1" t="e">
        <f>IF(VALUE(F4601) = VALUE(RIGHT(Insights!$C$3, 4)), E4601, "")</f>
        <v>#VALUE!</v>
      </c>
      <c r="H4601" s="26" t="e">
        <f t="shared" si="1"/>
        <v>#VALUE!</v>
      </c>
      <c r="I4601" s="1" t="e">
        <f t="shared" si="2"/>
        <v>#VALUE!</v>
      </c>
    </row>
    <row r="4602" spans="1:9" ht="15.75" customHeight="1">
      <c r="A4602" s="26"/>
      <c r="B4602" s="2"/>
      <c r="C4602" s="26"/>
      <c r="D4602" s="26"/>
      <c r="F4602" s="85" t="str">
        <f t="shared" si="0"/>
        <v/>
      </c>
      <c r="G4602" s="1" t="e">
        <f>IF(VALUE(F4602) = VALUE(RIGHT(Insights!$C$3, 4)), E4602, "")</f>
        <v>#VALUE!</v>
      </c>
      <c r="H4602" s="26" t="e">
        <f t="shared" si="1"/>
        <v>#VALUE!</v>
      </c>
      <c r="I4602" s="1" t="e">
        <f t="shared" si="2"/>
        <v>#VALUE!</v>
      </c>
    </row>
    <row r="4603" spans="1:9" ht="15.75" customHeight="1">
      <c r="A4603" s="26"/>
      <c r="B4603" s="2"/>
      <c r="C4603" s="26"/>
      <c r="D4603" s="26"/>
      <c r="F4603" s="85" t="str">
        <f t="shared" si="0"/>
        <v/>
      </c>
      <c r="G4603" s="1" t="e">
        <f>IF(VALUE(F4603) = VALUE(RIGHT(Insights!$C$3, 4)), E4603, "")</f>
        <v>#VALUE!</v>
      </c>
      <c r="H4603" s="26" t="e">
        <f t="shared" si="1"/>
        <v>#VALUE!</v>
      </c>
      <c r="I4603" s="1" t="e">
        <f t="shared" si="2"/>
        <v>#VALUE!</v>
      </c>
    </row>
    <row r="4604" spans="1:9" ht="15.75" customHeight="1">
      <c r="A4604" s="26"/>
      <c r="B4604" s="2"/>
      <c r="C4604" s="26"/>
      <c r="D4604" s="26"/>
      <c r="F4604" s="85" t="str">
        <f t="shared" si="0"/>
        <v/>
      </c>
      <c r="G4604" s="1" t="e">
        <f>IF(VALUE(F4604) = VALUE(RIGHT(Insights!$C$3, 4)), E4604, "")</f>
        <v>#VALUE!</v>
      </c>
      <c r="H4604" s="26" t="e">
        <f t="shared" si="1"/>
        <v>#VALUE!</v>
      </c>
      <c r="I4604" s="1" t="e">
        <f t="shared" si="2"/>
        <v>#VALUE!</v>
      </c>
    </row>
    <row r="4605" spans="1:9" ht="15.75" customHeight="1">
      <c r="A4605" s="26"/>
      <c r="B4605" s="2"/>
      <c r="C4605" s="26"/>
      <c r="D4605" s="26"/>
      <c r="F4605" s="85" t="str">
        <f t="shared" si="0"/>
        <v/>
      </c>
      <c r="G4605" s="1" t="e">
        <f>IF(VALUE(F4605) = VALUE(RIGHT(Insights!$C$3, 4)), E4605, "")</f>
        <v>#VALUE!</v>
      </c>
      <c r="H4605" s="26" t="e">
        <f t="shared" si="1"/>
        <v>#VALUE!</v>
      </c>
      <c r="I4605" s="1" t="e">
        <f t="shared" si="2"/>
        <v>#VALUE!</v>
      </c>
    </row>
    <row r="4606" spans="1:9" ht="15.75" customHeight="1">
      <c r="A4606" s="26"/>
      <c r="B4606" s="2"/>
      <c r="C4606" s="26"/>
      <c r="D4606" s="26"/>
      <c r="F4606" s="85" t="str">
        <f t="shared" si="0"/>
        <v/>
      </c>
      <c r="G4606" s="1" t="e">
        <f>IF(VALUE(F4606) = VALUE(RIGHT(Insights!$C$3, 4)), E4606, "")</f>
        <v>#VALUE!</v>
      </c>
      <c r="H4606" s="26" t="e">
        <f t="shared" si="1"/>
        <v>#VALUE!</v>
      </c>
      <c r="I4606" s="1" t="e">
        <f t="shared" si="2"/>
        <v>#VALUE!</v>
      </c>
    </row>
    <row r="4607" spans="1:9" ht="15.75" customHeight="1">
      <c r="A4607" s="26"/>
      <c r="B4607" s="2"/>
      <c r="C4607" s="26"/>
      <c r="D4607" s="26"/>
      <c r="F4607" s="85" t="str">
        <f t="shared" si="0"/>
        <v/>
      </c>
      <c r="G4607" s="1" t="e">
        <f>IF(VALUE(F4607) = VALUE(RIGHT(Insights!$C$3, 4)), E4607, "")</f>
        <v>#VALUE!</v>
      </c>
      <c r="H4607" s="26" t="e">
        <f t="shared" si="1"/>
        <v>#VALUE!</v>
      </c>
      <c r="I4607" s="1" t="e">
        <f t="shared" si="2"/>
        <v>#VALUE!</v>
      </c>
    </row>
    <row r="4608" spans="1:9" ht="15.75" customHeight="1">
      <c r="A4608" s="26"/>
      <c r="B4608" s="2"/>
      <c r="C4608" s="26"/>
      <c r="D4608" s="26"/>
      <c r="F4608" s="85" t="str">
        <f t="shared" si="0"/>
        <v/>
      </c>
      <c r="G4608" s="1" t="e">
        <f>IF(VALUE(F4608) = VALUE(RIGHT(Insights!$C$3, 4)), E4608, "")</f>
        <v>#VALUE!</v>
      </c>
      <c r="H4608" s="26" t="e">
        <f t="shared" si="1"/>
        <v>#VALUE!</v>
      </c>
      <c r="I4608" s="1" t="e">
        <f t="shared" si="2"/>
        <v>#VALUE!</v>
      </c>
    </row>
    <row r="4609" spans="1:9" ht="15.75" customHeight="1">
      <c r="A4609" s="26"/>
      <c r="B4609" s="2"/>
      <c r="C4609" s="26"/>
      <c r="D4609" s="26"/>
      <c r="F4609" s="85" t="str">
        <f t="shared" si="0"/>
        <v/>
      </c>
      <c r="G4609" s="1" t="e">
        <f>IF(VALUE(F4609) = VALUE(RIGHT(Insights!$C$3, 4)), E4609, "")</f>
        <v>#VALUE!</v>
      </c>
      <c r="H4609" s="26" t="e">
        <f t="shared" si="1"/>
        <v>#VALUE!</v>
      </c>
      <c r="I4609" s="1" t="e">
        <f t="shared" si="2"/>
        <v>#VALUE!</v>
      </c>
    </row>
    <row r="4610" spans="1:9" ht="15.75" customHeight="1">
      <c r="A4610" s="26"/>
      <c r="B4610" s="2"/>
      <c r="C4610" s="26"/>
      <c r="D4610" s="26"/>
      <c r="F4610" s="85" t="str">
        <f t="shared" si="0"/>
        <v/>
      </c>
      <c r="G4610" s="1" t="e">
        <f>IF(VALUE(F4610) = VALUE(RIGHT(Insights!$C$3, 4)), E4610, "")</f>
        <v>#VALUE!</v>
      </c>
      <c r="H4610" s="26" t="e">
        <f t="shared" si="1"/>
        <v>#VALUE!</v>
      </c>
      <c r="I4610" s="1" t="e">
        <f t="shared" si="2"/>
        <v>#VALUE!</v>
      </c>
    </row>
    <row r="4611" spans="1:9" ht="15.75" customHeight="1">
      <c r="A4611" s="26"/>
      <c r="B4611" s="2"/>
      <c r="C4611" s="26"/>
      <c r="D4611" s="26"/>
      <c r="F4611" s="85" t="str">
        <f t="shared" si="0"/>
        <v/>
      </c>
      <c r="G4611" s="1" t="e">
        <f>IF(VALUE(F4611) = VALUE(RIGHT(Insights!$C$3, 4)), E4611, "")</f>
        <v>#VALUE!</v>
      </c>
      <c r="H4611" s="26" t="e">
        <f t="shared" si="1"/>
        <v>#VALUE!</v>
      </c>
      <c r="I4611" s="1" t="e">
        <f t="shared" si="2"/>
        <v>#VALUE!</v>
      </c>
    </row>
    <row r="4612" spans="1:9" ht="15.75" customHeight="1">
      <c r="A4612" s="26"/>
      <c r="B4612" s="2"/>
      <c r="C4612" s="26"/>
      <c r="D4612" s="26"/>
      <c r="F4612" s="85" t="str">
        <f t="shared" si="0"/>
        <v/>
      </c>
      <c r="G4612" s="1" t="e">
        <f>IF(VALUE(F4612) = VALUE(RIGHT(Insights!$C$3, 4)), E4612, "")</f>
        <v>#VALUE!</v>
      </c>
      <c r="H4612" s="26" t="e">
        <f t="shared" si="1"/>
        <v>#VALUE!</v>
      </c>
      <c r="I4612" s="1" t="e">
        <f t="shared" si="2"/>
        <v>#VALUE!</v>
      </c>
    </row>
    <row r="4613" spans="1:9" ht="15.75" customHeight="1">
      <c r="A4613" s="26"/>
      <c r="B4613" s="2"/>
      <c r="C4613" s="26"/>
      <c r="D4613" s="26"/>
      <c r="F4613" s="85" t="str">
        <f t="shared" si="0"/>
        <v/>
      </c>
      <c r="G4613" s="1" t="e">
        <f>IF(VALUE(F4613) = VALUE(RIGHT(Insights!$C$3, 4)), E4613, "")</f>
        <v>#VALUE!</v>
      </c>
      <c r="H4613" s="26" t="e">
        <f t="shared" si="1"/>
        <v>#VALUE!</v>
      </c>
      <c r="I4613" s="1" t="e">
        <f t="shared" si="2"/>
        <v>#VALUE!</v>
      </c>
    </row>
    <row r="4614" spans="1:9" ht="15.75" customHeight="1">
      <c r="A4614" s="26"/>
      <c r="B4614" s="2"/>
      <c r="C4614" s="26"/>
      <c r="D4614" s="26"/>
      <c r="F4614" s="85" t="str">
        <f t="shared" si="0"/>
        <v/>
      </c>
      <c r="G4614" s="1" t="e">
        <f>IF(VALUE(F4614) = VALUE(RIGHT(Insights!$C$3, 4)), E4614, "")</f>
        <v>#VALUE!</v>
      </c>
      <c r="H4614" s="26" t="e">
        <f t="shared" si="1"/>
        <v>#VALUE!</v>
      </c>
      <c r="I4614" s="1" t="e">
        <f t="shared" si="2"/>
        <v>#VALUE!</v>
      </c>
    </row>
    <row r="4615" spans="1:9" ht="15.75" customHeight="1">
      <c r="A4615" s="26"/>
      <c r="B4615" s="2"/>
      <c r="C4615" s="26"/>
      <c r="D4615" s="26"/>
      <c r="F4615" s="85" t="str">
        <f t="shared" si="0"/>
        <v/>
      </c>
      <c r="G4615" s="1" t="e">
        <f>IF(VALUE(F4615) = VALUE(RIGHT(Insights!$C$3, 4)), E4615, "")</f>
        <v>#VALUE!</v>
      </c>
      <c r="H4615" s="26" t="e">
        <f t="shared" si="1"/>
        <v>#VALUE!</v>
      </c>
      <c r="I4615" s="1" t="e">
        <f t="shared" si="2"/>
        <v>#VALUE!</v>
      </c>
    </row>
    <row r="4616" spans="1:9" ht="15.75" customHeight="1">
      <c r="A4616" s="26"/>
      <c r="B4616" s="2"/>
      <c r="C4616" s="26"/>
      <c r="D4616" s="26"/>
      <c r="F4616" s="85" t="str">
        <f t="shared" si="0"/>
        <v/>
      </c>
      <c r="G4616" s="1" t="e">
        <f>IF(VALUE(F4616) = VALUE(RIGHT(Insights!$C$3, 4)), E4616, "")</f>
        <v>#VALUE!</v>
      </c>
      <c r="H4616" s="26" t="e">
        <f t="shared" si="1"/>
        <v>#VALUE!</v>
      </c>
      <c r="I4616" s="1" t="e">
        <f t="shared" si="2"/>
        <v>#VALUE!</v>
      </c>
    </row>
    <row r="4617" spans="1:9" ht="15.75" customHeight="1">
      <c r="A4617" s="26"/>
      <c r="B4617" s="2"/>
      <c r="C4617" s="26"/>
      <c r="D4617" s="26"/>
      <c r="F4617" s="85" t="str">
        <f t="shared" si="0"/>
        <v/>
      </c>
      <c r="G4617" s="1" t="e">
        <f>IF(VALUE(F4617) = VALUE(RIGHT(Insights!$C$3, 4)), E4617, "")</f>
        <v>#VALUE!</v>
      </c>
      <c r="H4617" s="26" t="e">
        <f t="shared" si="1"/>
        <v>#VALUE!</v>
      </c>
      <c r="I4617" s="1" t="e">
        <f t="shared" si="2"/>
        <v>#VALUE!</v>
      </c>
    </row>
    <row r="4618" spans="1:9" ht="15.75" customHeight="1">
      <c r="A4618" s="26"/>
      <c r="B4618" s="2"/>
      <c r="C4618" s="26"/>
      <c r="D4618" s="26"/>
      <c r="F4618" s="85" t="str">
        <f t="shared" si="0"/>
        <v/>
      </c>
      <c r="G4618" s="1" t="e">
        <f>IF(VALUE(F4618) = VALUE(RIGHT(Insights!$C$3, 4)), E4618, "")</f>
        <v>#VALUE!</v>
      </c>
      <c r="H4618" s="26" t="e">
        <f t="shared" si="1"/>
        <v>#VALUE!</v>
      </c>
      <c r="I4618" s="1" t="e">
        <f t="shared" si="2"/>
        <v>#VALUE!</v>
      </c>
    </row>
    <row r="4619" spans="1:9" ht="15.75" customHeight="1">
      <c r="A4619" s="26"/>
      <c r="B4619" s="2"/>
      <c r="C4619" s="26"/>
      <c r="D4619" s="26"/>
      <c r="F4619" s="85" t="str">
        <f t="shared" si="0"/>
        <v/>
      </c>
      <c r="G4619" s="1" t="e">
        <f>IF(VALUE(F4619) = VALUE(RIGHT(Insights!$C$3, 4)), E4619, "")</f>
        <v>#VALUE!</v>
      </c>
      <c r="H4619" s="26" t="e">
        <f t="shared" si="1"/>
        <v>#VALUE!</v>
      </c>
      <c r="I4619" s="1" t="e">
        <f t="shared" si="2"/>
        <v>#VALUE!</v>
      </c>
    </row>
    <row r="4620" spans="1:9" ht="15.75" customHeight="1">
      <c r="A4620" s="26"/>
      <c r="B4620" s="2"/>
      <c r="C4620" s="26"/>
      <c r="D4620" s="26"/>
      <c r="F4620" s="85" t="str">
        <f t="shared" si="0"/>
        <v/>
      </c>
      <c r="G4620" s="1" t="e">
        <f>IF(VALUE(F4620) = VALUE(RIGHT(Insights!$C$3, 4)), E4620, "")</f>
        <v>#VALUE!</v>
      </c>
      <c r="H4620" s="26" t="e">
        <f t="shared" si="1"/>
        <v>#VALUE!</v>
      </c>
      <c r="I4620" s="1" t="e">
        <f t="shared" si="2"/>
        <v>#VALUE!</v>
      </c>
    </row>
    <row r="4621" spans="1:9" ht="15.75" customHeight="1">
      <c r="A4621" s="26"/>
      <c r="B4621" s="2"/>
      <c r="C4621" s="26"/>
      <c r="D4621" s="26"/>
      <c r="F4621" s="85" t="str">
        <f t="shared" si="0"/>
        <v/>
      </c>
      <c r="G4621" s="1" t="e">
        <f>IF(VALUE(F4621) = VALUE(RIGHT(Insights!$C$3, 4)), E4621, "")</f>
        <v>#VALUE!</v>
      </c>
      <c r="H4621" s="26" t="e">
        <f t="shared" si="1"/>
        <v>#VALUE!</v>
      </c>
      <c r="I4621" s="1" t="e">
        <f t="shared" si="2"/>
        <v>#VALUE!</v>
      </c>
    </row>
    <row r="4622" spans="1:9" ht="15.75" customHeight="1">
      <c r="A4622" s="26"/>
      <c r="B4622" s="2"/>
      <c r="C4622" s="26"/>
      <c r="D4622" s="26"/>
      <c r="F4622" s="85" t="str">
        <f t="shared" si="0"/>
        <v/>
      </c>
      <c r="G4622" s="1" t="e">
        <f>IF(VALUE(F4622) = VALUE(RIGHT(Insights!$C$3, 4)), E4622, "")</f>
        <v>#VALUE!</v>
      </c>
      <c r="H4622" s="26" t="e">
        <f t="shared" si="1"/>
        <v>#VALUE!</v>
      </c>
      <c r="I4622" s="1" t="e">
        <f t="shared" si="2"/>
        <v>#VALUE!</v>
      </c>
    </row>
    <row r="4623" spans="1:9" ht="15.75" customHeight="1">
      <c r="A4623" s="26"/>
      <c r="B4623" s="2"/>
      <c r="C4623" s="26"/>
      <c r="D4623" s="26"/>
      <c r="F4623" s="85" t="str">
        <f t="shared" si="0"/>
        <v/>
      </c>
      <c r="G4623" s="1" t="e">
        <f>IF(VALUE(F4623) = VALUE(RIGHT(Insights!$C$3, 4)), E4623, "")</f>
        <v>#VALUE!</v>
      </c>
      <c r="H4623" s="26" t="e">
        <f t="shared" si="1"/>
        <v>#VALUE!</v>
      </c>
      <c r="I4623" s="1" t="e">
        <f t="shared" si="2"/>
        <v>#VALUE!</v>
      </c>
    </row>
    <row r="4624" spans="1:9" ht="15.75" customHeight="1">
      <c r="A4624" s="26"/>
      <c r="B4624" s="2"/>
      <c r="C4624" s="26"/>
      <c r="D4624" s="26"/>
      <c r="F4624" s="85" t="str">
        <f t="shared" si="0"/>
        <v/>
      </c>
      <c r="G4624" s="1" t="e">
        <f>IF(VALUE(F4624) = VALUE(RIGHT(Insights!$C$3, 4)), E4624, "")</f>
        <v>#VALUE!</v>
      </c>
      <c r="H4624" s="26" t="e">
        <f t="shared" si="1"/>
        <v>#VALUE!</v>
      </c>
      <c r="I4624" s="1" t="e">
        <f t="shared" si="2"/>
        <v>#VALUE!</v>
      </c>
    </row>
    <row r="4625" spans="1:9" ht="15.75" customHeight="1">
      <c r="A4625" s="26"/>
      <c r="B4625" s="2"/>
      <c r="C4625" s="26"/>
      <c r="D4625" s="26"/>
      <c r="F4625" s="85" t="str">
        <f t="shared" si="0"/>
        <v/>
      </c>
      <c r="G4625" s="1" t="e">
        <f>IF(VALUE(F4625) = VALUE(RIGHT(Insights!$C$3, 4)), E4625, "")</f>
        <v>#VALUE!</v>
      </c>
      <c r="H4625" s="26" t="e">
        <f t="shared" si="1"/>
        <v>#VALUE!</v>
      </c>
      <c r="I4625" s="1" t="e">
        <f t="shared" si="2"/>
        <v>#VALUE!</v>
      </c>
    </row>
    <row r="4626" spans="1:9" ht="15.75" customHeight="1">
      <c r="A4626" s="26"/>
      <c r="B4626" s="2"/>
      <c r="C4626" s="26"/>
      <c r="D4626" s="26"/>
      <c r="F4626" s="85" t="str">
        <f t="shared" si="0"/>
        <v/>
      </c>
      <c r="G4626" s="1" t="e">
        <f>IF(VALUE(F4626) = VALUE(RIGHT(Insights!$C$3, 4)), E4626, "")</f>
        <v>#VALUE!</v>
      </c>
      <c r="H4626" s="26" t="e">
        <f t="shared" si="1"/>
        <v>#VALUE!</v>
      </c>
      <c r="I4626" s="1" t="e">
        <f t="shared" si="2"/>
        <v>#VALUE!</v>
      </c>
    </row>
    <row r="4627" spans="1:9" ht="15.75" customHeight="1">
      <c r="A4627" s="26"/>
      <c r="B4627" s="2"/>
      <c r="C4627" s="26"/>
      <c r="D4627" s="26"/>
      <c r="F4627" s="85" t="str">
        <f t="shared" si="0"/>
        <v/>
      </c>
      <c r="G4627" s="1" t="e">
        <f>IF(VALUE(F4627) = VALUE(RIGHT(Insights!$C$3, 4)), E4627, "")</f>
        <v>#VALUE!</v>
      </c>
      <c r="H4627" s="26" t="e">
        <f t="shared" si="1"/>
        <v>#VALUE!</v>
      </c>
      <c r="I4627" s="1" t="e">
        <f t="shared" si="2"/>
        <v>#VALUE!</v>
      </c>
    </row>
    <row r="4628" spans="1:9" ht="15.75" customHeight="1">
      <c r="A4628" s="26"/>
      <c r="B4628" s="2"/>
      <c r="C4628" s="26"/>
      <c r="D4628" s="26"/>
      <c r="F4628" s="85" t="str">
        <f t="shared" si="0"/>
        <v/>
      </c>
      <c r="G4628" s="1" t="e">
        <f>IF(VALUE(F4628) = VALUE(RIGHT(Insights!$C$3, 4)), E4628, "")</f>
        <v>#VALUE!</v>
      </c>
      <c r="H4628" s="26" t="e">
        <f t="shared" si="1"/>
        <v>#VALUE!</v>
      </c>
      <c r="I4628" s="1" t="e">
        <f t="shared" si="2"/>
        <v>#VALUE!</v>
      </c>
    </row>
    <row r="4629" spans="1:9" ht="15.75" customHeight="1">
      <c r="A4629" s="26"/>
      <c r="B4629" s="2"/>
      <c r="C4629" s="26"/>
      <c r="D4629" s="26"/>
      <c r="F4629" s="85" t="str">
        <f t="shared" si="0"/>
        <v/>
      </c>
      <c r="G4629" s="1" t="e">
        <f>IF(VALUE(F4629) = VALUE(RIGHT(Insights!$C$3, 4)), E4629, "")</f>
        <v>#VALUE!</v>
      </c>
      <c r="H4629" s="26" t="e">
        <f t="shared" si="1"/>
        <v>#VALUE!</v>
      </c>
      <c r="I4629" s="1" t="e">
        <f t="shared" si="2"/>
        <v>#VALUE!</v>
      </c>
    </row>
    <row r="4630" spans="1:9" ht="15.75" customHeight="1">
      <c r="A4630" s="26"/>
      <c r="B4630" s="2"/>
      <c r="C4630" s="26"/>
      <c r="D4630" s="26"/>
      <c r="F4630" s="85" t="str">
        <f t="shared" si="0"/>
        <v/>
      </c>
      <c r="G4630" s="1" t="e">
        <f>IF(VALUE(F4630) = VALUE(RIGHT(Insights!$C$3, 4)), E4630, "")</f>
        <v>#VALUE!</v>
      </c>
      <c r="H4630" s="26" t="e">
        <f t="shared" si="1"/>
        <v>#VALUE!</v>
      </c>
      <c r="I4630" s="1" t="e">
        <f t="shared" si="2"/>
        <v>#VALUE!</v>
      </c>
    </row>
    <row r="4631" spans="1:9" ht="15.75" customHeight="1">
      <c r="A4631" s="26"/>
      <c r="B4631" s="2"/>
      <c r="C4631" s="26"/>
      <c r="D4631" s="26"/>
      <c r="F4631" s="85" t="str">
        <f t="shared" si="0"/>
        <v/>
      </c>
      <c r="G4631" s="1" t="e">
        <f>IF(VALUE(F4631) = VALUE(RIGHT(Insights!$C$3, 4)), E4631, "")</f>
        <v>#VALUE!</v>
      </c>
      <c r="H4631" s="26" t="e">
        <f t="shared" si="1"/>
        <v>#VALUE!</v>
      </c>
      <c r="I4631" s="1" t="e">
        <f t="shared" si="2"/>
        <v>#VALUE!</v>
      </c>
    </row>
    <row r="4632" spans="1:9" ht="15.75" customHeight="1">
      <c r="A4632" s="26"/>
      <c r="B4632" s="2"/>
      <c r="C4632" s="26"/>
      <c r="D4632" s="26"/>
      <c r="F4632" s="85" t="str">
        <f t="shared" si="0"/>
        <v/>
      </c>
      <c r="G4632" s="1" t="e">
        <f>IF(VALUE(F4632) = VALUE(RIGHT(Insights!$C$3, 4)), E4632, "")</f>
        <v>#VALUE!</v>
      </c>
      <c r="H4632" s="26" t="e">
        <f t="shared" si="1"/>
        <v>#VALUE!</v>
      </c>
      <c r="I4632" s="1" t="e">
        <f t="shared" si="2"/>
        <v>#VALUE!</v>
      </c>
    </row>
    <row r="4633" spans="1:9" ht="15.75" customHeight="1">
      <c r="A4633" s="26"/>
      <c r="B4633" s="2"/>
      <c r="C4633" s="26"/>
      <c r="D4633" s="26"/>
      <c r="F4633" s="85" t="str">
        <f t="shared" si="0"/>
        <v/>
      </c>
      <c r="G4633" s="1" t="e">
        <f>IF(VALUE(F4633) = VALUE(RIGHT(Insights!$C$3, 4)), E4633, "")</f>
        <v>#VALUE!</v>
      </c>
      <c r="H4633" s="26" t="e">
        <f t="shared" si="1"/>
        <v>#VALUE!</v>
      </c>
      <c r="I4633" s="1" t="e">
        <f t="shared" si="2"/>
        <v>#VALUE!</v>
      </c>
    </row>
    <row r="4634" spans="1:9" ht="15.75" customHeight="1">
      <c r="A4634" s="26"/>
      <c r="B4634" s="2"/>
      <c r="C4634" s="26"/>
      <c r="D4634" s="26"/>
      <c r="F4634" s="85" t="str">
        <f t="shared" si="0"/>
        <v/>
      </c>
      <c r="G4634" s="1" t="e">
        <f>IF(VALUE(F4634) = VALUE(RIGHT(Insights!$C$3, 4)), E4634, "")</f>
        <v>#VALUE!</v>
      </c>
      <c r="H4634" s="26" t="e">
        <f t="shared" si="1"/>
        <v>#VALUE!</v>
      </c>
      <c r="I4634" s="1" t="e">
        <f t="shared" si="2"/>
        <v>#VALUE!</v>
      </c>
    </row>
    <row r="4635" spans="1:9" ht="15.75" customHeight="1">
      <c r="A4635" s="26"/>
      <c r="B4635" s="2"/>
      <c r="C4635" s="26"/>
      <c r="D4635" s="26"/>
      <c r="F4635" s="85" t="str">
        <f t="shared" si="0"/>
        <v/>
      </c>
      <c r="G4635" s="1" t="e">
        <f>IF(VALUE(F4635) = VALUE(RIGHT(Insights!$C$3, 4)), E4635, "")</f>
        <v>#VALUE!</v>
      </c>
      <c r="H4635" s="26" t="e">
        <f t="shared" si="1"/>
        <v>#VALUE!</v>
      </c>
      <c r="I4635" s="1" t="e">
        <f t="shared" si="2"/>
        <v>#VALUE!</v>
      </c>
    </row>
    <row r="4636" spans="1:9" ht="15.75" customHeight="1">
      <c r="A4636" s="26"/>
      <c r="B4636" s="2"/>
      <c r="C4636" s="26"/>
      <c r="D4636" s="26"/>
      <c r="F4636" s="85" t="str">
        <f t="shared" si="0"/>
        <v/>
      </c>
      <c r="G4636" s="1" t="e">
        <f>IF(VALUE(F4636) = VALUE(RIGHT(Insights!$C$3, 4)), E4636, "")</f>
        <v>#VALUE!</v>
      </c>
      <c r="H4636" s="26" t="e">
        <f t="shared" si="1"/>
        <v>#VALUE!</v>
      </c>
      <c r="I4636" s="1" t="e">
        <f t="shared" si="2"/>
        <v>#VALUE!</v>
      </c>
    </row>
    <row r="4637" spans="1:9" ht="15.75" customHeight="1">
      <c r="A4637" s="26"/>
      <c r="B4637" s="2"/>
      <c r="C4637" s="26"/>
      <c r="D4637" s="26"/>
      <c r="F4637" s="85" t="str">
        <f t="shared" si="0"/>
        <v/>
      </c>
      <c r="G4637" s="1" t="e">
        <f>IF(VALUE(F4637) = VALUE(RIGHT(Insights!$C$3, 4)), E4637, "")</f>
        <v>#VALUE!</v>
      </c>
      <c r="H4637" s="26" t="e">
        <f t="shared" si="1"/>
        <v>#VALUE!</v>
      </c>
      <c r="I4637" s="1" t="e">
        <f t="shared" si="2"/>
        <v>#VALUE!</v>
      </c>
    </row>
    <row r="4638" spans="1:9" ht="15.75" customHeight="1">
      <c r="A4638" s="26"/>
      <c r="B4638" s="2"/>
      <c r="C4638" s="26"/>
      <c r="D4638" s="26"/>
      <c r="F4638" s="85" t="str">
        <f t="shared" si="0"/>
        <v/>
      </c>
      <c r="G4638" s="1" t="e">
        <f>IF(VALUE(F4638) = VALUE(RIGHT(Insights!$C$3, 4)), E4638, "")</f>
        <v>#VALUE!</v>
      </c>
      <c r="H4638" s="26" t="e">
        <f t="shared" si="1"/>
        <v>#VALUE!</v>
      </c>
      <c r="I4638" s="1" t="e">
        <f t="shared" si="2"/>
        <v>#VALUE!</v>
      </c>
    </row>
    <row r="4639" spans="1:9" ht="15.75" customHeight="1">
      <c r="A4639" s="26"/>
      <c r="B4639" s="2"/>
      <c r="C4639" s="26"/>
      <c r="D4639" s="26"/>
      <c r="F4639" s="85" t="str">
        <f t="shared" si="0"/>
        <v/>
      </c>
      <c r="G4639" s="1" t="e">
        <f>IF(VALUE(F4639) = VALUE(RIGHT(Insights!$C$3, 4)), E4639, "")</f>
        <v>#VALUE!</v>
      </c>
      <c r="H4639" s="26" t="e">
        <f t="shared" si="1"/>
        <v>#VALUE!</v>
      </c>
      <c r="I4639" s="1" t="e">
        <f t="shared" si="2"/>
        <v>#VALUE!</v>
      </c>
    </row>
    <row r="4640" spans="1:9" ht="15.75" customHeight="1">
      <c r="A4640" s="26"/>
      <c r="B4640" s="2"/>
      <c r="C4640" s="26"/>
      <c r="D4640" s="26"/>
      <c r="F4640" s="85" t="str">
        <f t="shared" si="0"/>
        <v/>
      </c>
      <c r="G4640" s="1" t="e">
        <f>IF(VALUE(F4640) = VALUE(RIGHT(Insights!$C$3, 4)), E4640, "")</f>
        <v>#VALUE!</v>
      </c>
      <c r="H4640" s="26" t="e">
        <f t="shared" si="1"/>
        <v>#VALUE!</v>
      </c>
      <c r="I4640" s="1" t="e">
        <f t="shared" si="2"/>
        <v>#VALUE!</v>
      </c>
    </row>
    <row r="4641" spans="1:9" ht="15.75" customHeight="1">
      <c r="A4641" s="26"/>
      <c r="B4641" s="2"/>
      <c r="C4641" s="26"/>
      <c r="D4641" s="26"/>
      <c r="F4641" s="85" t="str">
        <f t="shared" si="0"/>
        <v/>
      </c>
      <c r="G4641" s="1" t="e">
        <f>IF(VALUE(F4641) = VALUE(RIGHT(Insights!$C$3, 4)), E4641, "")</f>
        <v>#VALUE!</v>
      </c>
      <c r="H4641" s="26" t="e">
        <f t="shared" si="1"/>
        <v>#VALUE!</v>
      </c>
      <c r="I4641" s="1" t="e">
        <f t="shared" si="2"/>
        <v>#VALUE!</v>
      </c>
    </row>
    <row r="4642" spans="1:9" ht="15.75" customHeight="1">
      <c r="A4642" s="26"/>
      <c r="B4642" s="2"/>
      <c r="C4642" s="26"/>
      <c r="D4642" s="26"/>
      <c r="F4642" s="85" t="str">
        <f t="shared" si="0"/>
        <v/>
      </c>
      <c r="G4642" s="1" t="e">
        <f>IF(VALUE(F4642) = VALUE(RIGHT(Insights!$C$3, 4)), E4642, "")</f>
        <v>#VALUE!</v>
      </c>
      <c r="H4642" s="26" t="e">
        <f t="shared" si="1"/>
        <v>#VALUE!</v>
      </c>
      <c r="I4642" s="1" t="e">
        <f t="shared" si="2"/>
        <v>#VALUE!</v>
      </c>
    </row>
    <row r="4643" spans="1:9" ht="15.75" customHeight="1">
      <c r="A4643" s="26"/>
      <c r="B4643" s="2"/>
      <c r="C4643" s="26"/>
      <c r="D4643" s="26"/>
      <c r="F4643" s="85" t="str">
        <f t="shared" si="0"/>
        <v/>
      </c>
      <c r="G4643" s="1" t="e">
        <f>IF(VALUE(F4643) = VALUE(RIGHT(Insights!$C$3, 4)), E4643, "")</f>
        <v>#VALUE!</v>
      </c>
      <c r="H4643" s="26" t="e">
        <f t="shared" si="1"/>
        <v>#VALUE!</v>
      </c>
      <c r="I4643" s="1" t="e">
        <f t="shared" si="2"/>
        <v>#VALUE!</v>
      </c>
    </row>
    <row r="4644" spans="1:9" ht="15.75" customHeight="1">
      <c r="A4644" s="26"/>
      <c r="B4644" s="2"/>
      <c r="C4644" s="26"/>
      <c r="D4644" s="26"/>
      <c r="F4644" s="85" t="str">
        <f t="shared" si="0"/>
        <v/>
      </c>
      <c r="G4644" s="1" t="e">
        <f>IF(VALUE(F4644) = VALUE(RIGHT(Insights!$C$3, 4)), E4644, "")</f>
        <v>#VALUE!</v>
      </c>
      <c r="H4644" s="26" t="e">
        <f t="shared" si="1"/>
        <v>#VALUE!</v>
      </c>
      <c r="I4644" s="1" t="e">
        <f t="shared" si="2"/>
        <v>#VALUE!</v>
      </c>
    </row>
    <row r="4645" spans="1:9" ht="15.75" customHeight="1">
      <c r="A4645" s="26"/>
      <c r="B4645" s="2"/>
      <c r="C4645" s="26"/>
      <c r="D4645" s="26"/>
      <c r="F4645" s="85" t="str">
        <f t="shared" si="0"/>
        <v/>
      </c>
      <c r="G4645" s="1" t="e">
        <f>IF(VALUE(F4645) = VALUE(RIGHT(Insights!$C$3, 4)), E4645, "")</f>
        <v>#VALUE!</v>
      </c>
      <c r="H4645" s="26" t="e">
        <f t="shared" si="1"/>
        <v>#VALUE!</v>
      </c>
      <c r="I4645" s="1" t="e">
        <f t="shared" si="2"/>
        <v>#VALUE!</v>
      </c>
    </row>
    <row r="4646" spans="1:9" ht="15.75" customHeight="1">
      <c r="A4646" s="26"/>
      <c r="B4646" s="2"/>
      <c r="C4646" s="26"/>
      <c r="D4646" s="26"/>
      <c r="F4646" s="85" t="str">
        <f t="shared" si="0"/>
        <v/>
      </c>
      <c r="G4646" s="1" t="e">
        <f>IF(VALUE(F4646) = VALUE(RIGHT(Insights!$C$3, 4)), E4646, "")</f>
        <v>#VALUE!</v>
      </c>
      <c r="H4646" s="26" t="e">
        <f t="shared" si="1"/>
        <v>#VALUE!</v>
      </c>
      <c r="I4646" s="1" t="e">
        <f t="shared" si="2"/>
        <v>#VALUE!</v>
      </c>
    </row>
    <row r="4647" spans="1:9" ht="15.75" customHeight="1">
      <c r="A4647" s="26"/>
      <c r="B4647" s="2"/>
      <c r="C4647" s="26"/>
      <c r="D4647" s="26"/>
      <c r="F4647" s="85" t="str">
        <f t="shared" si="0"/>
        <v/>
      </c>
      <c r="G4647" s="1" t="e">
        <f>IF(VALUE(F4647) = VALUE(RIGHT(Insights!$C$3, 4)), E4647, "")</f>
        <v>#VALUE!</v>
      </c>
      <c r="H4647" s="26" t="e">
        <f t="shared" si="1"/>
        <v>#VALUE!</v>
      </c>
      <c r="I4647" s="1" t="e">
        <f t="shared" si="2"/>
        <v>#VALUE!</v>
      </c>
    </row>
    <row r="4648" spans="1:9" ht="15.75" customHeight="1">
      <c r="A4648" s="26"/>
      <c r="B4648" s="2"/>
      <c r="C4648" s="26"/>
      <c r="D4648" s="26"/>
      <c r="F4648" s="85" t="str">
        <f t="shared" si="0"/>
        <v/>
      </c>
      <c r="G4648" s="1" t="e">
        <f>IF(VALUE(F4648) = VALUE(RIGHT(Insights!$C$3, 4)), E4648, "")</f>
        <v>#VALUE!</v>
      </c>
      <c r="H4648" s="26" t="e">
        <f t="shared" si="1"/>
        <v>#VALUE!</v>
      </c>
      <c r="I4648" s="1" t="e">
        <f t="shared" si="2"/>
        <v>#VALUE!</v>
      </c>
    </row>
    <row r="4649" spans="1:9" ht="15.75" customHeight="1">
      <c r="A4649" s="26"/>
      <c r="B4649" s="2"/>
      <c r="C4649" s="26"/>
      <c r="D4649" s="26"/>
      <c r="F4649" s="85" t="str">
        <f t="shared" si="0"/>
        <v/>
      </c>
      <c r="G4649" s="1" t="e">
        <f>IF(VALUE(F4649) = VALUE(RIGHT(Insights!$C$3, 4)), E4649, "")</f>
        <v>#VALUE!</v>
      </c>
      <c r="H4649" s="26" t="e">
        <f t="shared" si="1"/>
        <v>#VALUE!</v>
      </c>
      <c r="I4649" s="1" t="e">
        <f t="shared" si="2"/>
        <v>#VALUE!</v>
      </c>
    </row>
    <row r="4650" spans="1:9" ht="15.75" customHeight="1">
      <c r="A4650" s="26"/>
      <c r="B4650" s="2"/>
      <c r="C4650" s="26"/>
      <c r="D4650" s="26"/>
      <c r="F4650" s="85" t="str">
        <f t="shared" si="0"/>
        <v/>
      </c>
      <c r="G4650" s="1" t="e">
        <f>IF(VALUE(F4650) = VALUE(RIGHT(Insights!$C$3, 4)), E4650, "")</f>
        <v>#VALUE!</v>
      </c>
      <c r="H4650" s="26" t="e">
        <f t="shared" si="1"/>
        <v>#VALUE!</v>
      </c>
      <c r="I4650" s="1" t="e">
        <f t="shared" si="2"/>
        <v>#VALUE!</v>
      </c>
    </row>
    <row r="4651" spans="1:9" ht="15.75" customHeight="1">
      <c r="A4651" s="26"/>
      <c r="B4651" s="2"/>
      <c r="C4651" s="26"/>
      <c r="D4651" s="26"/>
      <c r="F4651" s="85" t="str">
        <f t="shared" si="0"/>
        <v/>
      </c>
      <c r="G4651" s="1" t="e">
        <f>IF(VALUE(F4651) = VALUE(RIGHT(Insights!$C$3, 4)), E4651, "")</f>
        <v>#VALUE!</v>
      </c>
      <c r="H4651" s="26" t="e">
        <f t="shared" si="1"/>
        <v>#VALUE!</v>
      </c>
      <c r="I4651" s="1" t="e">
        <f t="shared" si="2"/>
        <v>#VALUE!</v>
      </c>
    </row>
    <row r="4652" spans="1:9" ht="15.75" customHeight="1">
      <c r="A4652" s="26"/>
      <c r="B4652" s="2"/>
      <c r="C4652" s="26"/>
      <c r="D4652" s="26"/>
      <c r="F4652" s="85" t="str">
        <f t="shared" si="0"/>
        <v/>
      </c>
      <c r="G4652" s="1" t="e">
        <f>IF(VALUE(F4652) = VALUE(RIGHT(Insights!$C$3, 4)), E4652, "")</f>
        <v>#VALUE!</v>
      </c>
      <c r="H4652" s="26" t="e">
        <f t="shared" si="1"/>
        <v>#VALUE!</v>
      </c>
      <c r="I4652" s="1" t="e">
        <f t="shared" si="2"/>
        <v>#VALUE!</v>
      </c>
    </row>
    <row r="4653" spans="1:9" ht="15.75" customHeight="1">
      <c r="A4653" s="26"/>
      <c r="B4653" s="2"/>
      <c r="C4653" s="26"/>
      <c r="D4653" s="26"/>
      <c r="F4653" s="85" t="str">
        <f t="shared" si="0"/>
        <v/>
      </c>
      <c r="G4653" s="1" t="e">
        <f>IF(VALUE(F4653) = VALUE(RIGHT(Insights!$C$3, 4)), E4653, "")</f>
        <v>#VALUE!</v>
      </c>
      <c r="H4653" s="26" t="e">
        <f t="shared" si="1"/>
        <v>#VALUE!</v>
      </c>
      <c r="I4653" s="1" t="e">
        <f t="shared" si="2"/>
        <v>#VALUE!</v>
      </c>
    </row>
    <row r="4654" spans="1:9" ht="15.75" customHeight="1">
      <c r="A4654" s="26"/>
      <c r="B4654" s="2"/>
      <c r="C4654" s="26"/>
      <c r="D4654" s="26"/>
      <c r="F4654" s="85" t="str">
        <f t="shared" si="0"/>
        <v/>
      </c>
      <c r="G4654" s="1" t="e">
        <f>IF(VALUE(F4654) = VALUE(RIGHT(Insights!$C$3, 4)), E4654, "")</f>
        <v>#VALUE!</v>
      </c>
      <c r="H4654" s="26" t="e">
        <f t="shared" si="1"/>
        <v>#VALUE!</v>
      </c>
      <c r="I4654" s="1" t="e">
        <f t="shared" si="2"/>
        <v>#VALUE!</v>
      </c>
    </row>
    <row r="4655" spans="1:9" ht="15.75" customHeight="1">
      <c r="A4655" s="26"/>
      <c r="B4655" s="2"/>
      <c r="C4655" s="26"/>
      <c r="D4655" s="26"/>
      <c r="F4655" s="85" t="str">
        <f t="shared" si="0"/>
        <v/>
      </c>
      <c r="G4655" s="1" t="e">
        <f>IF(VALUE(F4655) = VALUE(RIGHT(Insights!$C$3, 4)), E4655, "")</f>
        <v>#VALUE!</v>
      </c>
      <c r="H4655" s="26" t="e">
        <f t="shared" si="1"/>
        <v>#VALUE!</v>
      </c>
      <c r="I4655" s="1" t="e">
        <f t="shared" si="2"/>
        <v>#VALUE!</v>
      </c>
    </row>
    <row r="4656" spans="1:9" ht="15.75" customHeight="1">
      <c r="A4656" s="26"/>
      <c r="B4656" s="2"/>
      <c r="C4656" s="26"/>
      <c r="D4656" s="26"/>
      <c r="F4656" s="85" t="str">
        <f t="shared" si="0"/>
        <v/>
      </c>
      <c r="G4656" s="1" t="e">
        <f>IF(VALUE(F4656) = VALUE(RIGHT(Insights!$C$3, 4)), E4656, "")</f>
        <v>#VALUE!</v>
      </c>
      <c r="H4656" s="26" t="e">
        <f t="shared" si="1"/>
        <v>#VALUE!</v>
      </c>
      <c r="I4656" s="1" t="e">
        <f t="shared" si="2"/>
        <v>#VALUE!</v>
      </c>
    </row>
    <row r="4657" spans="1:9" ht="15.75" customHeight="1">
      <c r="A4657" s="26"/>
      <c r="B4657" s="2"/>
      <c r="C4657" s="26"/>
      <c r="D4657" s="26"/>
      <c r="F4657" s="85" t="str">
        <f t="shared" si="0"/>
        <v/>
      </c>
      <c r="G4657" s="1" t="e">
        <f>IF(VALUE(F4657) = VALUE(RIGHT(Insights!$C$3, 4)), E4657, "")</f>
        <v>#VALUE!</v>
      </c>
      <c r="H4657" s="26" t="e">
        <f t="shared" si="1"/>
        <v>#VALUE!</v>
      </c>
      <c r="I4657" s="1" t="e">
        <f t="shared" si="2"/>
        <v>#VALUE!</v>
      </c>
    </row>
    <row r="4658" spans="1:9" ht="15.75" customHeight="1">
      <c r="A4658" s="26"/>
      <c r="B4658" s="2"/>
      <c r="C4658" s="26"/>
      <c r="D4658" s="26"/>
      <c r="F4658" s="85" t="str">
        <f t="shared" si="0"/>
        <v/>
      </c>
      <c r="G4658" s="1" t="e">
        <f>IF(VALUE(F4658) = VALUE(RIGHT(Insights!$C$3, 4)), E4658, "")</f>
        <v>#VALUE!</v>
      </c>
      <c r="H4658" s="26" t="e">
        <f t="shared" si="1"/>
        <v>#VALUE!</v>
      </c>
      <c r="I4658" s="1" t="e">
        <f t="shared" si="2"/>
        <v>#VALUE!</v>
      </c>
    </row>
    <row r="4659" spans="1:9" ht="15.75" customHeight="1">
      <c r="A4659" s="26"/>
      <c r="B4659" s="2"/>
      <c r="C4659" s="26"/>
      <c r="D4659" s="26"/>
      <c r="F4659" s="85" t="str">
        <f t="shared" si="0"/>
        <v/>
      </c>
      <c r="G4659" s="1" t="e">
        <f>IF(VALUE(F4659) = VALUE(RIGHT(Insights!$C$3, 4)), E4659, "")</f>
        <v>#VALUE!</v>
      </c>
      <c r="H4659" s="26" t="e">
        <f t="shared" si="1"/>
        <v>#VALUE!</v>
      </c>
      <c r="I4659" s="1" t="e">
        <f t="shared" si="2"/>
        <v>#VALUE!</v>
      </c>
    </row>
    <row r="4660" spans="1:9" ht="15.75" customHeight="1">
      <c r="A4660" s="26"/>
      <c r="B4660" s="2"/>
      <c r="C4660" s="26"/>
      <c r="D4660" s="26"/>
      <c r="F4660" s="85" t="str">
        <f t="shared" si="0"/>
        <v/>
      </c>
      <c r="G4660" s="1" t="e">
        <f>IF(VALUE(F4660) = VALUE(RIGHT(Insights!$C$3, 4)), E4660, "")</f>
        <v>#VALUE!</v>
      </c>
      <c r="H4660" s="26" t="e">
        <f t="shared" si="1"/>
        <v>#VALUE!</v>
      </c>
      <c r="I4660" s="1" t="e">
        <f t="shared" si="2"/>
        <v>#VALUE!</v>
      </c>
    </row>
    <row r="4661" spans="1:9" ht="15.75" customHeight="1">
      <c r="A4661" s="26"/>
      <c r="B4661" s="2"/>
      <c r="C4661" s="26"/>
      <c r="D4661" s="26"/>
      <c r="F4661" s="85" t="str">
        <f t="shared" si="0"/>
        <v/>
      </c>
      <c r="G4661" s="1" t="e">
        <f>IF(VALUE(F4661) = VALUE(RIGHT(Insights!$C$3, 4)), E4661, "")</f>
        <v>#VALUE!</v>
      </c>
      <c r="H4661" s="26" t="e">
        <f t="shared" si="1"/>
        <v>#VALUE!</v>
      </c>
      <c r="I4661" s="1" t="e">
        <f t="shared" si="2"/>
        <v>#VALUE!</v>
      </c>
    </row>
    <row r="4662" spans="1:9" ht="15.75" customHeight="1">
      <c r="A4662" s="26"/>
      <c r="B4662" s="2"/>
      <c r="C4662" s="26"/>
      <c r="D4662" s="26"/>
      <c r="F4662" s="85" t="str">
        <f t="shared" si="0"/>
        <v/>
      </c>
      <c r="G4662" s="1" t="e">
        <f>IF(VALUE(F4662) = VALUE(RIGHT(Insights!$C$3, 4)), E4662, "")</f>
        <v>#VALUE!</v>
      </c>
      <c r="H4662" s="26" t="e">
        <f t="shared" si="1"/>
        <v>#VALUE!</v>
      </c>
      <c r="I4662" s="1" t="e">
        <f t="shared" si="2"/>
        <v>#VALUE!</v>
      </c>
    </row>
    <row r="4663" spans="1:9" ht="15.75" customHeight="1">
      <c r="A4663" s="26"/>
      <c r="B4663" s="2"/>
      <c r="C4663" s="26"/>
      <c r="D4663" s="26"/>
      <c r="F4663" s="85" t="str">
        <f t="shared" si="0"/>
        <v/>
      </c>
      <c r="G4663" s="1" t="e">
        <f>IF(VALUE(F4663) = VALUE(RIGHT(Insights!$C$3, 4)), E4663, "")</f>
        <v>#VALUE!</v>
      </c>
      <c r="H4663" s="26" t="e">
        <f t="shared" si="1"/>
        <v>#VALUE!</v>
      </c>
      <c r="I4663" s="1" t="e">
        <f t="shared" si="2"/>
        <v>#VALUE!</v>
      </c>
    </row>
    <row r="4664" spans="1:9" ht="15.75" customHeight="1">
      <c r="A4664" s="26"/>
      <c r="B4664" s="2"/>
      <c r="C4664" s="26"/>
      <c r="D4664" s="26"/>
      <c r="F4664" s="85" t="str">
        <f t="shared" si="0"/>
        <v/>
      </c>
      <c r="G4664" s="1" t="e">
        <f>IF(VALUE(F4664) = VALUE(RIGHT(Insights!$C$3, 4)), E4664, "")</f>
        <v>#VALUE!</v>
      </c>
      <c r="H4664" s="26" t="e">
        <f t="shared" si="1"/>
        <v>#VALUE!</v>
      </c>
      <c r="I4664" s="1" t="e">
        <f t="shared" si="2"/>
        <v>#VALUE!</v>
      </c>
    </row>
    <row r="4665" spans="1:9" ht="15.75" customHeight="1">
      <c r="A4665" s="26"/>
      <c r="B4665" s="2"/>
      <c r="C4665" s="26"/>
      <c r="D4665" s="26"/>
      <c r="F4665" s="85" t="str">
        <f t="shared" si="0"/>
        <v/>
      </c>
      <c r="G4665" s="1" t="e">
        <f>IF(VALUE(F4665) = VALUE(RIGHT(Insights!$C$3, 4)), E4665, "")</f>
        <v>#VALUE!</v>
      </c>
      <c r="H4665" s="26" t="e">
        <f t="shared" si="1"/>
        <v>#VALUE!</v>
      </c>
      <c r="I4665" s="1" t="e">
        <f t="shared" si="2"/>
        <v>#VALUE!</v>
      </c>
    </row>
    <row r="4666" spans="1:9" ht="15.75" customHeight="1">
      <c r="A4666" s="26"/>
      <c r="B4666" s="2"/>
      <c r="C4666" s="26"/>
      <c r="D4666" s="26"/>
      <c r="F4666" s="85" t="str">
        <f t="shared" si="0"/>
        <v/>
      </c>
      <c r="G4666" s="1" t="e">
        <f>IF(VALUE(F4666) = VALUE(RIGHT(Insights!$C$3, 4)), E4666, "")</f>
        <v>#VALUE!</v>
      </c>
      <c r="H4666" s="26" t="e">
        <f t="shared" si="1"/>
        <v>#VALUE!</v>
      </c>
      <c r="I4666" s="1" t="e">
        <f t="shared" si="2"/>
        <v>#VALUE!</v>
      </c>
    </row>
    <row r="4667" spans="1:9" ht="15.75" customHeight="1">
      <c r="A4667" s="26"/>
      <c r="B4667" s="2"/>
      <c r="C4667" s="26"/>
      <c r="D4667" s="26"/>
      <c r="F4667" s="85" t="str">
        <f t="shared" si="0"/>
        <v/>
      </c>
      <c r="G4667" s="1" t="e">
        <f>IF(VALUE(F4667) = VALUE(RIGHT(Insights!$C$3, 4)), E4667, "")</f>
        <v>#VALUE!</v>
      </c>
      <c r="H4667" s="26" t="e">
        <f t="shared" si="1"/>
        <v>#VALUE!</v>
      </c>
      <c r="I4667" s="1" t="e">
        <f t="shared" si="2"/>
        <v>#VALUE!</v>
      </c>
    </row>
    <row r="4668" spans="1:9" ht="15.75" customHeight="1">
      <c r="A4668" s="26"/>
      <c r="B4668" s="2"/>
      <c r="C4668" s="26"/>
      <c r="D4668" s="26"/>
      <c r="F4668" s="85" t="str">
        <f t="shared" si="0"/>
        <v/>
      </c>
      <c r="G4668" s="1" t="e">
        <f>IF(VALUE(F4668) = VALUE(RIGHT(Insights!$C$3, 4)), E4668, "")</f>
        <v>#VALUE!</v>
      </c>
      <c r="H4668" s="26" t="e">
        <f t="shared" si="1"/>
        <v>#VALUE!</v>
      </c>
      <c r="I4668" s="1" t="e">
        <f t="shared" si="2"/>
        <v>#VALUE!</v>
      </c>
    </row>
    <row r="4669" spans="1:9" ht="15.75" customHeight="1">
      <c r="A4669" s="26"/>
      <c r="B4669" s="2"/>
      <c r="C4669" s="26"/>
      <c r="D4669" s="26"/>
      <c r="F4669" s="85" t="str">
        <f t="shared" si="0"/>
        <v/>
      </c>
      <c r="G4669" s="1" t="e">
        <f>IF(VALUE(F4669) = VALUE(RIGHT(Insights!$C$3, 4)), E4669, "")</f>
        <v>#VALUE!</v>
      </c>
      <c r="H4669" s="26" t="e">
        <f t="shared" si="1"/>
        <v>#VALUE!</v>
      </c>
      <c r="I4669" s="1" t="e">
        <f t="shared" si="2"/>
        <v>#VALUE!</v>
      </c>
    </row>
    <row r="4670" spans="1:9" ht="15.75" customHeight="1">
      <c r="A4670" s="26"/>
      <c r="B4670" s="2"/>
      <c r="C4670" s="26"/>
      <c r="D4670" s="26"/>
      <c r="F4670" s="85" t="str">
        <f t="shared" si="0"/>
        <v/>
      </c>
      <c r="G4670" s="1" t="e">
        <f>IF(VALUE(F4670) = VALUE(RIGHT(Insights!$C$3, 4)), E4670, "")</f>
        <v>#VALUE!</v>
      </c>
      <c r="H4670" s="26" t="e">
        <f t="shared" si="1"/>
        <v>#VALUE!</v>
      </c>
      <c r="I4670" s="1" t="e">
        <f t="shared" si="2"/>
        <v>#VALUE!</v>
      </c>
    </row>
    <row r="4671" spans="1:9" ht="15.75" customHeight="1">
      <c r="A4671" s="26"/>
      <c r="B4671" s="2"/>
      <c r="C4671" s="26"/>
      <c r="D4671" s="26"/>
      <c r="F4671" s="85" t="str">
        <f t="shared" si="0"/>
        <v/>
      </c>
      <c r="G4671" s="1" t="e">
        <f>IF(VALUE(F4671) = VALUE(RIGHT(Insights!$C$3, 4)), E4671, "")</f>
        <v>#VALUE!</v>
      </c>
      <c r="H4671" s="26" t="e">
        <f t="shared" si="1"/>
        <v>#VALUE!</v>
      </c>
      <c r="I4671" s="1" t="e">
        <f t="shared" si="2"/>
        <v>#VALUE!</v>
      </c>
    </row>
    <row r="4672" spans="1:9" ht="15.75" customHeight="1">
      <c r="A4672" s="26"/>
      <c r="B4672" s="2"/>
      <c r="C4672" s="26"/>
      <c r="D4672" s="26"/>
      <c r="F4672" s="85" t="str">
        <f t="shared" si="0"/>
        <v/>
      </c>
      <c r="G4672" s="1" t="e">
        <f>IF(VALUE(F4672) = VALUE(RIGHT(Insights!$C$3, 4)), E4672, "")</f>
        <v>#VALUE!</v>
      </c>
      <c r="H4672" s="26" t="e">
        <f t="shared" si="1"/>
        <v>#VALUE!</v>
      </c>
      <c r="I4672" s="1" t="e">
        <f t="shared" si="2"/>
        <v>#VALUE!</v>
      </c>
    </row>
    <row r="4673" spans="1:9" ht="15.75" customHeight="1">
      <c r="A4673" s="26"/>
      <c r="B4673" s="2"/>
      <c r="C4673" s="26"/>
      <c r="D4673" s="26"/>
      <c r="F4673" s="85" t="str">
        <f t="shared" si="0"/>
        <v/>
      </c>
      <c r="G4673" s="1" t="e">
        <f>IF(VALUE(F4673) = VALUE(RIGHT(Insights!$C$3, 4)), E4673, "")</f>
        <v>#VALUE!</v>
      </c>
      <c r="H4673" s="26" t="e">
        <f t="shared" si="1"/>
        <v>#VALUE!</v>
      </c>
      <c r="I4673" s="1" t="e">
        <f t="shared" si="2"/>
        <v>#VALUE!</v>
      </c>
    </row>
    <row r="4674" spans="1:9" ht="15.75" customHeight="1">
      <c r="A4674" s="26"/>
      <c r="B4674" s="2"/>
      <c r="C4674" s="26"/>
      <c r="D4674" s="26"/>
      <c r="F4674" s="85" t="str">
        <f t="shared" si="0"/>
        <v/>
      </c>
      <c r="G4674" s="1" t="e">
        <f>IF(VALUE(F4674) = VALUE(RIGHT(Insights!$C$3, 4)), E4674, "")</f>
        <v>#VALUE!</v>
      </c>
      <c r="H4674" s="26" t="e">
        <f t="shared" si="1"/>
        <v>#VALUE!</v>
      </c>
      <c r="I4674" s="1" t="e">
        <f t="shared" si="2"/>
        <v>#VALUE!</v>
      </c>
    </row>
    <row r="4675" spans="1:9" ht="15.75" customHeight="1">
      <c r="A4675" s="26"/>
      <c r="B4675" s="2"/>
      <c r="C4675" s="26"/>
      <c r="D4675" s="26"/>
      <c r="F4675" s="85" t="str">
        <f t="shared" si="0"/>
        <v/>
      </c>
      <c r="G4675" s="1" t="e">
        <f>IF(VALUE(F4675) = VALUE(RIGHT(Insights!$C$3, 4)), E4675, "")</f>
        <v>#VALUE!</v>
      </c>
      <c r="H4675" s="26" t="e">
        <f t="shared" si="1"/>
        <v>#VALUE!</v>
      </c>
      <c r="I4675" s="1" t="e">
        <f t="shared" si="2"/>
        <v>#VALUE!</v>
      </c>
    </row>
    <row r="4676" spans="1:9" ht="15.75" customHeight="1">
      <c r="A4676" s="26"/>
      <c r="B4676" s="2"/>
      <c r="C4676" s="26"/>
      <c r="D4676" s="26"/>
      <c r="F4676" s="85" t="str">
        <f t="shared" si="0"/>
        <v/>
      </c>
      <c r="G4676" s="1" t="e">
        <f>IF(VALUE(F4676) = VALUE(RIGHT(Insights!$C$3, 4)), E4676, "")</f>
        <v>#VALUE!</v>
      </c>
      <c r="H4676" s="26" t="e">
        <f t="shared" si="1"/>
        <v>#VALUE!</v>
      </c>
      <c r="I4676" s="1" t="e">
        <f t="shared" si="2"/>
        <v>#VALUE!</v>
      </c>
    </row>
    <row r="4677" spans="1:9" ht="15.75" customHeight="1">
      <c r="A4677" s="26"/>
      <c r="B4677" s="2"/>
      <c r="C4677" s="26"/>
      <c r="D4677" s="26"/>
      <c r="F4677" s="85" t="str">
        <f t="shared" si="0"/>
        <v/>
      </c>
      <c r="G4677" s="1" t="e">
        <f>IF(VALUE(F4677) = VALUE(RIGHT(Insights!$C$3, 4)), E4677, "")</f>
        <v>#VALUE!</v>
      </c>
      <c r="H4677" s="26" t="e">
        <f t="shared" si="1"/>
        <v>#VALUE!</v>
      </c>
      <c r="I4677" s="1" t="e">
        <f t="shared" si="2"/>
        <v>#VALUE!</v>
      </c>
    </row>
    <row r="4678" spans="1:9" ht="15.75" customHeight="1">
      <c r="A4678" s="26"/>
      <c r="B4678" s="2"/>
      <c r="C4678" s="26"/>
      <c r="D4678" s="26"/>
      <c r="F4678" s="85" t="str">
        <f t="shared" si="0"/>
        <v/>
      </c>
      <c r="G4678" s="1" t="e">
        <f>IF(VALUE(F4678) = VALUE(RIGHT(Insights!$C$3, 4)), E4678, "")</f>
        <v>#VALUE!</v>
      </c>
      <c r="H4678" s="26" t="e">
        <f t="shared" si="1"/>
        <v>#VALUE!</v>
      </c>
      <c r="I4678" s="1" t="e">
        <f t="shared" si="2"/>
        <v>#VALUE!</v>
      </c>
    </row>
    <row r="4679" spans="1:9" ht="15.75" customHeight="1">
      <c r="A4679" s="26"/>
      <c r="B4679" s="2"/>
      <c r="C4679" s="26"/>
      <c r="D4679" s="26"/>
      <c r="F4679" s="85" t="str">
        <f t="shared" si="0"/>
        <v/>
      </c>
      <c r="G4679" s="1" t="e">
        <f>IF(VALUE(F4679) = VALUE(RIGHT(Insights!$C$3, 4)), E4679, "")</f>
        <v>#VALUE!</v>
      </c>
      <c r="H4679" s="26" t="e">
        <f t="shared" si="1"/>
        <v>#VALUE!</v>
      </c>
      <c r="I4679" s="1" t="e">
        <f t="shared" si="2"/>
        <v>#VALUE!</v>
      </c>
    </row>
    <row r="4680" spans="1:9" ht="15.75" customHeight="1">
      <c r="A4680" s="26"/>
      <c r="B4680" s="2"/>
      <c r="C4680" s="26"/>
      <c r="D4680" s="26"/>
      <c r="F4680" s="85" t="str">
        <f t="shared" si="0"/>
        <v/>
      </c>
      <c r="G4680" s="1" t="e">
        <f>IF(VALUE(F4680) = VALUE(RIGHT(Insights!$C$3, 4)), E4680, "")</f>
        <v>#VALUE!</v>
      </c>
      <c r="H4680" s="26" t="e">
        <f t="shared" si="1"/>
        <v>#VALUE!</v>
      </c>
      <c r="I4680" s="1" t="e">
        <f t="shared" si="2"/>
        <v>#VALUE!</v>
      </c>
    </row>
    <row r="4681" spans="1:9" ht="15.75" customHeight="1">
      <c r="A4681" s="26"/>
      <c r="B4681" s="2"/>
      <c r="C4681" s="26"/>
      <c r="D4681" s="26"/>
      <c r="F4681" s="85" t="str">
        <f t="shared" si="0"/>
        <v/>
      </c>
      <c r="G4681" s="1" t="e">
        <f>IF(VALUE(F4681) = VALUE(RIGHT(Insights!$C$3, 4)), E4681, "")</f>
        <v>#VALUE!</v>
      </c>
      <c r="H4681" s="26" t="e">
        <f t="shared" si="1"/>
        <v>#VALUE!</v>
      </c>
      <c r="I4681" s="1" t="e">
        <f t="shared" si="2"/>
        <v>#VALUE!</v>
      </c>
    </row>
    <row r="4682" spans="1:9" ht="15.75" customHeight="1">
      <c r="A4682" s="26"/>
      <c r="B4682" s="2"/>
      <c r="C4682" s="26"/>
      <c r="D4682" s="26"/>
      <c r="F4682" s="85" t="str">
        <f t="shared" si="0"/>
        <v/>
      </c>
      <c r="G4682" s="1" t="e">
        <f>IF(VALUE(F4682) = VALUE(RIGHT(Insights!$C$3, 4)), E4682, "")</f>
        <v>#VALUE!</v>
      </c>
      <c r="H4682" s="26" t="e">
        <f t="shared" si="1"/>
        <v>#VALUE!</v>
      </c>
      <c r="I4682" s="1" t="e">
        <f t="shared" si="2"/>
        <v>#VALUE!</v>
      </c>
    </row>
    <row r="4683" spans="1:9" ht="15.75" customHeight="1">
      <c r="A4683" s="26"/>
      <c r="B4683" s="2"/>
      <c r="C4683" s="26"/>
      <c r="D4683" s="26"/>
      <c r="F4683" s="85" t="str">
        <f t="shared" si="0"/>
        <v/>
      </c>
      <c r="G4683" s="1" t="e">
        <f>IF(VALUE(F4683) = VALUE(RIGHT(Insights!$C$3, 4)), E4683, "")</f>
        <v>#VALUE!</v>
      </c>
      <c r="H4683" s="26" t="e">
        <f t="shared" si="1"/>
        <v>#VALUE!</v>
      </c>
      <c r="I4683" s="1" t="e">
        <f t="shared" si="2"/>
        <v>#VALUE!</v>
      </c>
    </row>
    <row r="4684" spans="1:9" ht="15.75" customHeight="1">
      <c r="A4684" s="26"/>
      <c r="B4684" s="2"/>
      <c r="C4684" s="26"/>
      <c r="D4684" s="26"/>
      <c r="F4684" s="85" t="str">
        <f t="shared" si="0"/>
        <v/>
      </c>
      <c r="G4684" s="1" t="e">
        <f>IF(VALUE(F4684) = VALUE(RIGHT(Insights!$C$3, 4)), E4684, "")</f>
        <v>#VALUE!</v>
      </c>
      <c r="H4684" s="26" t="e">
        <f t="shared" si="1"/>
        <v>#VALUE!</v>
      </c>
      <c r="I4684" s="1" t="e">
        <f t="shared" si="2"/>
        <v>#VALUE!</v>
      </c>
    </row>
    <row r="4685" spans="1:9" ht="15.75" customHeight="1">
      <c r="A4685" s="26"/>
      <c r="B4685" s="2"/>
      <c r="C4685" s="26"/>
      <c r="D4685" s="26"/>
      <c r="F4685" s="85" t="str">
        <f t="shared" si="0"/>
        <v/>
      </c>
      <c r="G4685" s="1" t="e">
        <f>IF(VALUE(F4685) = VALUE(RIGHT(Insights!$C$3, 4)), E4685, "")</f>
        <v>#VALUE!</v>
      </c>
      <c r="H4685" s="26" t="e">
        <f t="shared" si="1"/>
        <v>#VALUE!</v>
      </c>
      <c r="I4685" s="1" t="e">
        <f t="shared" si="2"/>
        <v>#VALUE!</v>
      </c>
    </row>
    <row r="4686" spans="1:9" ht="15.75" customHeight="1">
      <c r="A4686" s="26"/>
      <c r="B4686" s="2"/>
      <c r="C4686" s="26"/>
      <c r="D4686" s="26"/>
      <c r="F4686" s="85" t="str">
        <f t="shared" si="0"/>
        <v/>
      </c>
      <c r="G4686" s="1" t="e">
        <f>IF(VALUE(F4686) = VALUE(RIGHT(Insights!$C$3, 4)), E4686, "")</f>
        <v>#VALUE!</v>
      </c>
      <c r="H4686" s="26" t="e">
        <f t="shared" si="1"/>
        <v>#VALUE!</v>
      </c>
      <c r="I4686" s="1" t="e">
        <f t="shared" si="2"/>
        <v>#VALUE!</v>
      </c>
    </row>
    <row r="4687" spans="1:9" ht="15.75" customHeight="1">
      <c r="A4687" s="26"/>
      <c r="B4687" s="2"/>
      <c r="C4687" s="26"/>
      <c r="D4687" s="26"/>
      <c r="F4687" s="85" t="str">
        <f t="shared" si="0"/>
        <v/>
      </c>
      <c r="G4687" s="1" t="e">
        <f>IF(VALUE(F4687) = VALUE(RIGHT(Insights!$C$3, 4)), E4687, "")</f>
        <v>#VALUE!</v>
      </c>
      <c r="H4687" s="26" t="e">
        <f t="shared" si="1"/>
        <v>#VALUE!</v>
      </c>
      <c r="I4687" s="1" t="e">
        <f t="shared" si="2"/>
        <v>#VALUE!</v>
      </c>
    </row>
    <row r="4688" spans="1:9" ht="15.75" customHeight="1">
      <c r="A4688" s="26"/>
      <c r="B4688" s="2"/>
      <c r="C4688" s="26"/>
      <c r="D4688" s="26"/>
      <c r="F4688" s="85" t="str">
        <f t="shared" si="0"/>
        <v/>
      </c>
      <c r="G4688" s="1" t="e">
        <f>IF(VALUE(F4688) = VALUE(RIGHT(Insights!$C$3, 4)), E4688, "")</f>
        <v>#VALUE!</v>
      </c>
      <c r="H4688" s="26" t="e">
        <f t="shared" si="1"/>
        <v>#VALUE!</v>
      </c>
      <c r="I4688" s="1" t="e">
        <f t="shared" si="2"/>
        <v>#VALUE!</v>
      </c>
    </row>
    <row r="4689" spans="1:9" ht="15.75" customHeight="1">
      <c r="A4689" s="26"/>
      <c r="B4689" s="2"/>
      <c r="C4689" s="26"/>
      <c r="D4689" s="26"/>
      <c r="F4689" s="85" t="str">
        <f t="shared" si="0"/>
        <v/>
      </c>
      <c r="G4689" s="1" t="e">
        <f>IF(VALUE(F4689) = VALUE(RIGHT(Insights!$C$3, 4)), E4689, "")</f>
        <v>#VALUE!</v>
      </c>
      <c r="H4689" s="26" t="e">
        <f t="shared" si="1"/>
        <v>#VALUE!</v>
      </c>
      <c r="I4689" s="1" t="e">
        <f t="shared" si="2"/>
        <v>#VALUE!</v>
      </c>
    </row>
    <row r="4690" spans="1:9" ht="15.75" customHeight="1">
      <c r="A4690" s="26"/>
      <c r="B4690" s="2"/>
      <c r="C4690" s="26"/>
      <c r="D4690" s="26"/>
      <c r="F4690" s="85" t="str">
        <f t="shared" si="0"/>
        <v/>
      </c>
      <c r="G4690" s="1" t="e">
        <f>IF(VALUE(F4690) = VALUE(RIGHT(Insights!$C$3, 4)), E4690, "")</f>
        <v>#VALUE!</v>
      </c>
      <c r="H4690" s="26" t="e">
        <f t="shared" si="1"/>
        <v>#VALUE!</v>
      </c>
      <c r="I4690" s="1" t="e">
        <f t="shared" si="2"/>
        <v>#VALUE!</v>
      </c>
    </row>
    <row r="4691" spans="1:9" ht="15.75" customHeight="1">
      <c r="A4691" s="26"/>
      <c r="B4691" s="2"/>
      <c r="C4691" s="26"/>
      <c r="D4691" s="26"/>
      <c r="F4691" s="85" t="str">
        <f t="shared" si="0"/>
        <v/>
      </c>
      <c r="G4691" s="1" t="e">
        <f>IF(VALUE(F4691) = VALUE(RIGHT(Insights!$C$3, 4)), E4691, "")</f>
        <v>#VALUE!</v>
      </c>
      <c r="H4691" s="26" t="e">
        <f t="shared" si="1"/>
        <v>#VALUE!</v>
      </c>
      <c r="I4691" s="1" t="e">
        <f t="shared" si="2"/>
        <v>#VALUE!</v>
      </c>
    </row>
    <row r="4692" spans="1:9" ht="15.75" customHeight="1">
      <c r="A4692" s="26"/>
      <c r="B4692" s="2"/>
      <c r="C4692" s="26"/>
      <c r="D4692" s="26"/>
      <c r="F4692" s="85" t="str">
        <f t="shared" si="0"/>
        <v/>
      </c>
      <c r="G4692" s="1" t="e">
        <f>IF(VALUE(F4692) = VALUE(RIGHT(Insights!$C$3, 4)), E4692, "")</f>
        <v>#VALUE!</v>
      </c>
      <c r="H4692" s="26" t="e">
        <f t="shared" si="1"/>
        <v>#VALUE!</v>
      </c>
      <c r="I4692" s="1" t="e">
        <f t="shared" si="2"/>
        <v>#VALUE!</v>
      </c>
    </row>
    <row r="4693" spans="1:9" ht="15.75" customHeight="1">
      <c r="A4693" s="26"/>
      <c r="B4693" s="2"/>
      <c r="C4693" s="26"/>
      <c r="D4693" s="26"/>
      <c r="F4693" s="85" t="str">
        <f t="shared" si="0"/>
        <v/>
      </c>
      <c r="G4693" s="1" t="e">
        <f>IF(VALUE(F4693) = VALUE(RIGHT(Insights!$C$3, 4)), E4693, "")</f>
        <v>#VALUE!</v>
      </c>
      <c r="H4693" s="26" t="e">
        <f t="shared" si="1"/>
        <v>#VALUE!</v>
      </c>
      <c r="I4693" s="1" t="e">
        <f t="shared" si="2"/>
        <v>#VALUE!</v>
      </c>
    </row>
    <row r="4694" spans="1:9" ht="15.75" customHeight="1">
      <c r="A4694" s="26"/>
      <c r="B4694" s="2"/>
      <c r="C4694" s="26"/>
      <c r="D4694" s="26"/>
      <c r="F4694" s="85" t="str">
        <f t="shared" si="0"/>
        <v/>
      </c>
      <c r="G4694" s="1" t="e">
        <f>IF(VALUE(F4694) = VALUE(RIGHT(Insights!$C$3, 4)), E4694, "")</f>
        <v>#VALUE!</v>
      </c>
      <c r="H4694" s="26" t="e">
        <f t="shared" si="1"/>
        <v>#VALUE!</v>
      </c>
      <c r="I4694" s="1" t="e">
        <f t="shared" si="2"/>
        <v>#VALUE!</v>
      </c>
    </row>
    <row r="4695" spans="1:9" ht="15.75" customHeight="1">
      <c r="A4695" s="26"/>
      <c r="B4695" s="2"/>
      <c r="C4695" s="26"/>
      <c r="D4695" s="26"/>
      <c r="F4695" s="85" t="str">
        <f t="shared" si="0"/>
        <v/>
      </c>
      <c r="G4695" s="1" t="e">
        <f>IF(VALUE(F4695) = VALUE(RIGHT(Insights!$C$3, 4)), E4695, "")</f>
        <v>#VALUE!</v>
      </c>
      <c r="H4695" s="26" t="e">
        <f t="shared" si="1"/>
        <v>#VALUE!</v>
      </c>
      <c r="I4695" s="1" t="e">
        <f t="shared" si="2"/>
        <v>#VALUE!</v>
      </c>
    </row>
    <row r="4696" spans="1:9" ht="15.75" customHeight="1">
      <c r="A4696" s="26"/>
      <c r="B4696" s="2"/>
      <c r="C4696" s="26"/>
      <c r="D4696" s="26"/>
      <c r="F4696" s="85" t="str">
        <f t="shared" si="0"/>
        <v/>
      </c>
      <c r="G4696" s="1" t="e">
        <f>IF(VALUE(F4696) = VALUE(RIGHT(Insights!$C$3, 4)), E4696, "")</f>
        <v>#VALUE!</v>
      </c>
      <c r="H4696" s="26" t="e">
        <f t="shared" si="1"/>
        <v>#VALUE!</v>
      </c>
      <c r="I4696" s="1" t="e">
        <f t="shared" si="2"/>
        <v>#VALUE!</v>
      </c>
    </row>
    <row r="4697" spans="1:9" ht="15.75" customHeight="1">
      <c r="A4697" s="26"/>
      <c r="B4697" s="2"/>
      <c r="C4697" s="26"/>
      <c r="D4697" s="26"/>
      <c r="F4697" s="85" t="str">
        <f t="shared" si="0"/>
        <v/>
      </c>
      <c r="G4697" s="1" t="e">
        <f>IF(VALUE(F4697) = VALUE(RIGHT(Insights!$C$3, 4)), E4697, "")</f>
        <v>#VALUE!</v>
      </c>
      <c r="H4697" s="26" t="e">
        <f t="shared" si="1"/>
        <v>#VALUE!</v>
      </c>
      <c r="I4697" s="1" t="e">
        <f t="shared" si="2"/>
        <v>#VALUE!</v>
      </c>
    </row>
    <row r="4698" spans="1:9" ht="15.75" customHeight="1">
      <c r="A4698" s="26"/>
      <c r="B4698" s="2"/>
      <c r="C4698" s="26"/>
      <c r="D4698" s="26"/>
      <c r="F4698" s="85" t="str">
        <f t="shared" si="0"/>
        <v/>
      </c>
      <c r="G4698" s="1" t="e">
        <f>IF(VALUE(F4698) = VALUE(RIGHT(Insights!$C$3, 4)), E4698, "")</f>
        <v>#VALUE!</v>
      </c>
      <c r="H4698" s="26" t="e">
        <f t="shared" si="1"/>
        <v>#VALUE!</v>
      </c>
      <c r="I4698" s="1" t="e">
        <f t="shared" si="2"/>
        <v>#VALUE!</v>
      </c>
    </row>
    <row r="4699" spans="1:9" ht="15.75" customHeight="1">
      <c r="A4699" s="26"/>
      <c r="B4699" s="2"/>
      <c r="C4699" s="26"/>
      <c r="D4699" s="26"/>
      <c r="F4699" s="85" t="str">
        <f t="shared" si="0"/>
        <v/>
      </c>
      <c r="G4699" s="1" t="e">
        <f>IF(VALUE(F4699) = VALUE(RIGHT(Insights!$C$3, 4)), E4699, "")</f>
        <v>#VALUE!</v>
      </c>
      <c r="H4699" s="26" t="e">
        <f t="shared" si="1"/>
        <v>#VALUE!</v>
      </c>
      <c r="I4699" s="1" t="e">
        <f t="shared" si="2"/>
        <v>#VALUE!</v>
      </c>
    </row>
    <row r="4700" spans="1:9" ht="15.75" customHeight="1">
      <c r="A4700" s="26"/>
      <c r="B4700" s="2"/>
      <c r="C4700" s="26"/>
      <c r="D4700" s="26"/>
      <c r="F4700" s="85" t="str">
        <f t="shared" si="0"/>
        <v/>
      </c>
      <c r="G4700" s="1" t="e">
        <f>IF(VALUE(F4700) = VALUE(RIGHT(Insights!$C$3, 4)), E4700, "")</f>
        <v>#VALUE!</v>
      </c>
      <c r="H4700" s="26" t="e">
        <f t="shared" si="1"/>
        <v>#VALUE!</v>
      </c>
      <c r="I4700" s="1" t="e">
        <f t="shared" si="2"/>
        <v>#VALUE!</v>
      </c>
    </row>
    <row r="4701" spans="1:9" ht="15.75" customHeight="1">
      <c r="A4701" s="26"/>
      <c r="B4701" s="2"/>
      <c r="C4701" s="26"/>
      <c r="D4701" s="26"/>
      <c r="F4701" s="85" t="str">
        <f t="shared" si="0"/>
        <v/>
      </c>
      <c r="G4701" s="1" t="e">
        <f>IF(VALUE(F4701) = VALUE(RIGHT(Insights!$C$3, 4)), E4701, "")</f>
        <v>#VALUE!</v>
      </c>
      <c r="H4701" s="26" t="e">
        <f t="shared" si="1"/>
        <v>#VALUE!</v>
      </c>
      <c r="I4701" s="1" t="e">
        <f t="shared" si="2"/>
        <v>#VALUE!</v>
      </c>
    </row>
    <row r="4702" spans="1:9" ht="15.75" customHeight="1">
      <c r="A4702" s="26"/>
      <c r="B4702" s="2"/>
      <c r="C4702" s="26"/>
      <c r="D4702" s="26"/>
      <c r="F4702" s="85" t="str">
        <f t="shared" si="0"/>
        <v/>
      </c>
      <c r="G4702" s="1" t="e">
        <f>IF(VALUE(F4702) = VALUE(RIGHT(Insights!$C$3, 4)), E4702, "")</f>
        <v>#VALUE!</v>
      </c>
      <c r="H4702" s="26" t="e">
        <f t="shared" si="1"/>
        <v>#VALUE!</v>
      </c>
      <c r="I4702" s="1" t="e">
        <f t="shared" si="2"/>
        <v>#VALUE!</v>
      </c>
    </row>
    <row r="4703" spans="1:9" ht="15.75" customHeight="1">
      <c r="A4703" s="26"/>
      <c r="B4703" s="2"/>
      <c r="C4703" s="26"/>
      <c r="D4703" s="26"/>
      <c r="F4703" s="85" t="str">
        <f t="shared" si="0"/>
        <v/>
      </c>
      <c r="G4703" s="1" t="e">
        <f>IF(VALUE(F4703) = VALUE(RIGHT(Insights!$C$3, 4)), E4703, "")</f>
        <v>#VALUE!</v>
      </c>
      <c r="H4703" s="26" t="e">
        <f t="shared" si="1"/>
        <v>#VALUE!</v>
      </c>
      <c r="I4703" s="1" t="e">
        <f t="shared" si="2"/>
        <v>#VALUE!</v>
      </c>
    </row>
    <row r="4704" spans="1:9" ht="15.75" customHeight="1">
      <c r="A4704" s="26"/>
      <c r="B4704" s="2"/>
      <c r="C4704" s="26"/>
      <c r="D4704" s="26"/>
      <c r="F4704" s="85" t="str">
        <f t="shared" si="0"/>
        <v/>
      </c>
      <c r="G4704" s="1" t="e">
        <f>IF(VALUE(F4704) = VALUE(RIGHT(Insights!$C$3, 4)), E4704, "")</f>
        <v>#VALUE!</v>
      </c>
      <c r="H4704" s="26" t="e">
        <f t="shared" si="1"/>
        <v>#VALUE!</v>
      </c>
      <c r="I4704" s="1" t="e">
        <f t="shared" si="2"/>
        <v>#VALUE!</v>
      </c>
    </row>
    <row r="4705" spans="1:9" ht="15.75" customHeight="1">
      <c r="A4705" s="26"/>
      <c r="B4705" s="2"/>
      <c r="C4705" s="26"/>
      <c r="D4705" s="26"/>
      <c r="F4705" s="85" t="str">
        <f t="shared" si="0"/>
        <v/>
      </c>
      <c r="G4705" s="1" t="e">
        <f>IF(VALUE(F4705) = VALUE(RIGHT(Insights!$C$3, 4)), E4705, "")</f>
        <v>#VALUE!</v>
      </c>
      <c r="H4705" s="26" t="e">
        <f t="shared" si="1"/>
        <v>#VALUE!</v>
      </c>
      <c r="I4705" s="1" t="e">
        <f t="shared" si="2"/>
        <v>#VALUE!</v>
      </c>
    </row>
    <row r="4706" spans="1:9" ht="15.75" customHeight="1">
      <c r="A4706" s="26"/>
      <c r="B4706" s="2"/>
      <c r="C4706" s="26"/>
      <c r="D4706" s="26"/>
      <c r="F4706" s="85" t="str">
        <f t="shared" si="0"/>
        <v/>
      </c>
      <c r="G4706" s="1" t="e">
        <f>IF(VALUE(F4706) = VALUE(RIGHT(Insights!$C$3, 4)), E4706, "")</f>
        <v>#VALUE!</v>
      </c>
      <c r="H4706" s="26" t="e">
        <f t="shared" si="1"/>
        <v>#VALUE!</v>
      </c>
      <c r="I4706" s="1" t="e">
        <f t="shared" si="2"/>
        <v>#VALUE!</v>
      </c>
    </row>
    <row r="4707" spans="1:9" ht="15.75" customHeight="1">
      <c r="A4707" s="26"/>
      <c r="B4707" s="2"/>
      <c r="C4707" s="26"/>
      <c r="D4707" s="26"/>
      <c r="F4707" s="85" t="str">
        <f t="shared" si="0"/>
        <v/>
      </c>
      <c r="G4707" s="1" t="e">
        <f>IF(VALUE(F4707) = VALUE(RIGHT(Insights!$C$3, 4)), E4707, "")</f>
        <v>#VALUE!</v>
      </c>
      <c r="H4707" s="26" t="e">
        <f t="shared" si="1"/>
        <v>#VALUE!</v>
      </c>
      <c r="I4707" s="1" t="e">
        <f t="shared" si="2"/>
        <v>#VALUE!</v>
      </c>
    </row>
    <row r="4708" spans="1:9" ht="15.75" customHeight="1">
      <c r="A4708" s="26"/>
      <c r="B4708" s="2"/>
      <c r="C4708" s="26"/>
      <c r="D4708" s="26"/>
      <c r="F4708" s="85" t="str">
        <f t="shared" si="0"/>
        <v/>
      </c>
      <c r="G4708" s="1" t="e">
        <f>IF(VALUE(F4708) = VALUE(RIGHT(Insights!$C$3, 4)), E4708, "")</f>
        <v>#VALUE!</v>
      </c>
      <c r="H4708" s="26" t="e">
        <f t="shared" si="1"/>
        <v>#VALUE!</v>
      </c>
      <c r="I4708" s="1" t="e">
        <f t="shared" si="2"/>
        <v>#VALUE!</v>
      </c>
    </row>
    <row r="4709" spans="1:9" ht="15.75" customHeight="1">
      <c r="A4709" s="26"/>
      <c r="B4709" s="2"/>
      <c r="C4709" s="26"/>
      <c r="D4709" s="26"/>
      <c r="F4709" s="85" t="str">
        <f t="shared" si="0"/>
        <v/>
      </c>
      <c r="G4709" s="1" t="e">
        <f>IF(VALUE(F4709) = VALUE(RIGHT(Insights!$C$3, 4)), E4709, "")</f>
        <v>#VALUE!</v>
      </c>
      <c r="H4709" s="26" t="e">
        <f t="shared" si="1"/>
        <v>#VALUE!</v>
      </c>
      <c r="I4709" s="1" t="e">
        <f t="shared" si="2"/>
        <v>#VALUE!</v>
      </c>
    </row>
    <row r="4710" spans="1:9" ht="15.75" customHeight="1">
      <c r="A4710" s="26"/>
      <c r="B4710" s="2"/>
      <c r="C4710" s="26"/>
      <c r="D4710" s="26"/>
      <c r="F4710" s="85" t="str">
        <f t="shared" si="0"/>
        <v/>
      </c>
      <c r="G4710" s="1" t="e">
        <f>IF(VALUE(F4710) = VALUE(RIGHT(Insights!$C$3, 4)), E4710, "")</f>
        <v>#VALUE!</v>
      </c>
      <c r="H4710" s="26" t="e">
        <f t="shared" si="1"/>
        <v>#VALUE!</v>
      </c>
      <c r="I4710" s="1" t="e">
        <f t="shared" si="2"/>
        <v>#VALUE!</v>
      </c>
    </row>
    <row r="4711" spans="1:9" ht="15.75" customHeight="1">
      <c r="A4711" s="26"/>
      <c r="B4711" s="2"/>
      <c r="C4711" s="26"/>
      <c r="D4711" s="26"/>
      <c r="F4711" s="85" t="str">
        <f t="shared" si="0"/>
        <v/>
      </c>
      <c r="G4711" s="1" t="e">
        <f>IF(VALUE(F4711) = VALUE(RIGHT(Insights!$C$3, 4)), E4711, "")</f>
        <v>#VALUE!</v>
      </c>
      <c r="H4711" s="26" t="e">
        <f t="shared" si="1"/>
        <v>#VALUE!</v>
      </c>
      <c r="I4711" s="1" t="e">
        <f t="shared" si="2"/>
        <v>#VALUE!</v>
      </c>
    </row>
    <row r="4712" spans="1:9" ht="15.75" customHeight="1">
      <c r="A4712" s="26"/>
      <c r="B4712" s="2"/>
      <c r="C4712" s="26"/>
      <c r="D4712" s="26"/>
      <c r="F4712" s="85" t="str">
        <f t="shared" si="0"/>
        <v/>
      </c>
      <c r="G4712" s="1" t="e">
        <f>IF(VALUE(F4712) = VALUE(RIGHT(Insights!$C$3, 4)), E4712, "")</f>
        <v>#VALUE!</v>
      </c>
      <c r="H4712" s="26" t="e">
        <f t="shared" si="1"/>
        <v>#VALUE!</v>
      </c>
      <c r="I4712" s="1" t="e">
        <f t="shared" si="2"/>
        <v>#VALUE!</v>
      </c>
    </row>
    <row r="4713" spans="1:9" ht="15.75" customHeight="1">
      <c r="A4713" s="26"/>
      <c r="B4713" s="2"/>
      <c r="C4713" s="26"/>
      <c r="D4713" s="26"/>
      <c r="F4713" s="85" t="str">
        <f t="shared" si="0"/>
        <v/>
      </c>
      <c r="G4713" s="1" t="e">
        <f>IF(VALUE(F4713) = VALUE(RIGHT(Insights!$C$3, 4)), E4713, "")</f>
        <v>#VALUE!</v>
      </c>
      <c r="H4713" s="26" t="e">
        <f t="shared" si="1"/>
        <v>#VALUE!</v>
      </c>
      <c r="I4713" s="1" t="e">
        <f t="shared" si="2"/>
        <v>#VALUE!</v>
      </c>
    </row>
    <row r="4714" spans="1:9" ht="15.75" customHeight="1">
      <c r="A4714" s="26"/>
      <c r="B4714" s="2"/>
      <c r="C4714" s="26"/>
      <c r="D4714" s="26"/>
      <c r="F4714" s="85" t="str">
        <f t="shared" si="0"/>
        <v/>
      </c>
      <c r="G4714" s="1" t="e">
        <f>IF(VALUE(F4714) = VALUE(RIGHT(Insights!$C$3, 4)), E4714, "")</f>
        <v>#VALUE!</v>
      </c>
      <c r="H4714" s="26" t="e">
        <f t="shared" si="1"/>
        <v>#VALUE!</v>
      </c>
      <c r="I4714" s="1" t="e">
        <f t="shared" si="2"/>
        <v>#VALUE!</v>
      </c>
    </row>
    <row r="4715" spans="1:9" ht="15.75" customHeight="1">
      <c r="A4715" s="26"/>
      <c r="B4715" s="2"/>
      <c r="C4715" s="26"/>
      <c r="D4715" s="26"/>
      <c r="F4715" s="85" t="str">
        <f t="shared" si="0"/>
        <v/>
      </c>
      <c r="G4715" s="1" t="e">
        <f>IF(VALUE(F4715) = VALUE(RIGHT(Insights!$C$3, 4)), E4715, "")</f>
        <v>#VALUE!</v>
      </c>
      <c r="H4715" s="26" t="e">
        <f t="shared" si="1"/>
        <v>#VALUE!</v>
      </c>
      <c r="I4715" s="1" t="e">
        <f t="shared" si="2"/>
        <v>#VALUE!</v>
      </c>
    </row>
    <row r="4716" spans="1:9" ht="15.75" customHeight="1">
      <c r="A4716" s="26"/>
      <c r="B4716" s="2"/>
      <c r="C4716" s="26"/>
      <c r="D4716" s="26"/>
      <c r="F4716" s="85" t="str">
        <f t="shared" si="0"/>
        <v/>
      </c>
      <c r="G4716" s="1" t="e">
        <f>IF(VALUE(F4716) = VALUE(RIGHT(Insights!$C$3, 4)), E4716, "")</f>
        <v>#VALUE!</v>
      </c>
      <c r="H4716" s="26" t="e">
        <f t="shared" si="1"/>
        <v>#VALUE!</v>
      </c>
      <c r="I4716" s="1" t="e">
        <f t="shared" si="2"/>
        <v>#VALUE!</v>
      </c>
    </row>
    <row r="4717" spans="1:9" ht="15.75" customHeight="1">
      <c r="A4717" s="26"/>
      <c r="B4717" s="2"/>
      <c r="C4717" s="26"/>
      <c r="D4717" s="26"/>
      <c r="F4717" s="85" t="str">
        <f t="shared" si="0"/>
        <v/>
      </c>
      <c r="G4717" s="1" t="e">
        <f>IF(VALUE(F4717) = VALUE(RIGHT(Insights!$C$3, 4)), E4717, "")</f>
        <v>#VALUE!</v>
      </c>
      <c r="H4717" s="26" t="e">
        <f t="shared" si="1"/>
        <v>#VALUE!</v>
      </c>
      <c r="I4717" s="1" t="e">
        <f t="shared" si="2"/>
        <v>#VALUE!</v>
      </c>
    </row>
    <row r="4718" spans="1:9" ht="15.75" customHeight="1">
      <c r="A4718" s="26"/>
      <c r="B4718" s="2"/>
      <c r="C4718" s="26"/>
      <c r="D4718" s="26"/>
      <c r="F4718" s="85" t="str">
        <f t="shared" si="0"/>
        <v/>
      </c>
      <c r="G4718" s="1" t="e">
        <f>IF(VALUE(F4718) = VALUE(RIGHT(Insights!$C$3, 4)), E4718, "")</f>
        <v>#VALUE!</v>
      </c>
      <c r="H4718" s="26" t="e">
        <f t="shared" si="1"/>
        <v>#VALUE!</v>
      </c>
      <c r="I4718" s="1" t="e">
        <f t="shared" si="2"/>
        <v>#VALUE!</v>
      </c>
    </row>
    <row r="4719" spans="1:9" ht="15.75" customHeight="1">
      <c r="A4719" s="26"/>
      <c r="B4719" s="2"/>
      <c r="C4719" s="26"/>
      <c r="D4719" s="26"/>
      <c r="F4719" s="85" t="str">
        <f t="shared" si="0"/>
        <v/>
      </c>
      <c r="G4719" s="1" t="e">
        <f>IF(VALUE(F4719) = VALUE(RIGHT(Insights!$C$3, 4)), E4719, "")</f>
        <v>#VALUE!</v>
      </c>
      <c r="H4719" s="26" t="e">
        <f t="shared" si="1"/>
        <v>#VALUE!</v>
      </c>
      <c r="I4719" s="1" t="e">
        <f t="shared" si="2"/>
        <v>#VALUE!</v>
      </c>
    </row>
    <row r="4720" spans="1:9" ht="15.75" customHeight="1">
      <c r="A4720" s="26"/>
      <c r="B4720" s="2"/>
      <c r="C4720" s="26"/>
      <c r="D4720" s="26"/>
      <c r="F4720" s="85" t="str">
        <f t="shared" si="0"/>
        <v/>
      </c>
      <c r="G4720" s="1" t="e">
        <f>IF(VALUE(F4720) = VALUE(RIGHT(Insights!$C$3, 4)), E4720, "")</f>
        <v>#VALUE!</v>
      </c>
      <c r="H4720" s="26" t="e">
        <f t="shared" si="1"/>
        <v>#VALUE!</v>
      </c>
      <c r="I4720" s="1" t="e">
        <f t="shared" si="2"/>
        <v>#VALUE!</v>
      </c>
    </row>
    <row r="4721" spans="1:9" ht="15.75" customHeight="1">
      <c r="A4721" s="26"/>
      <c r="B4721" s="2"/>
      <c r="C4721" s="26"/>
      <c r="D4721" s="26"/>
      <c r="F4721" s="85" t="str">
        <f t="shared" si="0"/>
        <v/>
      </c>
      <c r="G4721" s="1" t="e">
        <f>IF(VALUE(F4721) = VALUE(RIGHT(Insights!$C$3, 4)), E4721, "")</f>
        <v>#VALUE!</v>
      </c>
      <c r="H4721" s="26" t="e">
        <f t="shared" si="1"/>
        <v>#VALUE!</v>
      </c>
      <c r="I4721" s="1" t="e">
        <f t="shared" si="2"/>
        <v>#VALUE!</v>
      </c>
    </row>
    <row r="4722" spans="1:9" ht="15.75" customHeight="1">
      <c r="A4722" s="26"/>
      <c r="B4722" s="2"/>
      <c r="C4722" s="26"/>
      <c r="D4722" s="26"/>
      <c r="F4722" s="85" t="str">
        <f t="shared" si="0"/>
        <v/>
      </c>
      <c r="G4722" s="1" t="e">
        <f>IF(VALUE(F4722) = VALUE(RIGHT(Insights!$C$3, 4)), E4722, "")</f>
        <v>#VALUE!</v>
      </c>
      <c r="H4722" s="26" t="e">
        <f t="shared" si="1"/>
        <v>#VALUE!</v>
      </c>
      <c r="I4722" s="1" t="e">
        <f t="shared" si="2"/>
        <v>#VALUE!</v>
      </c>
    </row>
    <row r="4723" spans="1:9" ht="15.75" customHeight="1">
      <c r="A4723" s="26"/>
      <c r="B4723" s="2"/>
      <c r="C4723" s="26"/>
      <c r="D4723" s="26"/>
      <c r="F4723" s="85" t="str">
        <f t="shared" si="0"/>
        <v/>
      </c>
      <c r="G4723" s="1" t="e">
        <f>IF(VALUE(F4723) = VALUE(RIGHT(Insights!$C$3, 4)), E4723, "")</f>
        <v>#VALUE!</v>
      </c>
      <c r="H4723" s="26" t="e">
        <f t="shared" si="1"/>
        <v>#VALUE!</v>
      </c>
      <c r="I4723" s="1" t="e">
        <f t="shared" si="2"/>
        <v>#VALUE!</v>
      </c>
    </row>
    <row r="4724" spans="1:9" ht="15.75" customHeight="1">
      <c r="A4724" s="26"/>
      <c r="B4724" s="2"/>
      <c r="C4724" s="26"/>
      <c r="D4724" s="26"/>
      <c r="F4724" s="85" t="str">
        <f t="shared" si="0"/>
        <v/>
      </c>
      <c r="G4724" s="1" t="e">
        <f>IF(VALUE(F4724) = VALUE(RIGHT(Insights!$C$3, 4)), E4724, "")</f>
        <v>#VALUE!</v>
      </c>
      <c r="H4724" s="26" t="e">
        <f t="shared" si="1"/>
        <v>#VALUE!</v>
      </c>
      <c r="I4724" s="1" t="e">
        <f t="shared" si="2"/>
        <v>#VALUE!</v>
      </c>
    </row>
    <row r="4725" spans="1:9" ht="15.75" customHeight="1">
      <c r="A4725" s="26"/>
      <c r="B4725" s="2"/>
      <c r="C4725" s="26"/>
      <c r="D4725" s="26"/>
      <c r="F4725" s="85" t="str">
        <f t="shared" si="0"/>
        <v/>
      </c>
      <c r="G4725" s="1" t="e">
        <f>IF(VALUE(F4725) = VALUE(RIGHT(Insights!$C$3, 4)), E4725, "")</f>
        <v>#VALUE!</v>
      </c>
      <c r="H4725" s="26" t="e">
        <f t="shared" si="1"/>
        <v>#VALUE!</v>
      </c>
      <c r="I4725" s="1" t="e">
        <f t="shared" si="2"/>
        <v>#VALUE!</v>
      </c>
    </row>
    <row r="4726" spans="1:9" ht="15.75" customHeight="1">
      <c r="A4726" s="26"/>
      <c r="B4726" s="2"/>
      <c r="C4726" s="26"/>
      <c r="D4726" s="26"/>
      <c r="F4726" s="85" t="str">
        <f t="shared" si="0"/>
        <v/>
      </c>
      <c r="G4726" s="1" t="e">
        <f>IF(VALUE(F4726) = VALUE(RIGHT(Insights!$C$3, 4)), E4726, "")</f>
        <v>#VALUE!</v>
      </c>
      <c r="H4726" s="26" t="e">
        <f t="shared" si="1"/>
        <v>#VALUE!</v>
      </c>
      <c r="I4726" s="1" t="e">
        <f t="shared" si="2"/>
        <v>#VALUE!</v>
      </c>
    </row>
    <row r="4727" spans="1:9" ht="15.75" customHeight="1">
      <c r="A4727" s="26"/>
      <c r="B4727" s="2"/>
      <c r="C4727" s="26"/>
      <c r="D4727" s="26"/>
      <c r="F4727" s="85" t="str">
        <f t="shared" si="0"/>
        <v/>
      </c>
      <c r="G4727" s="1" t="e">
        <f>IF(VALUE(F4727) = VALUE(RIGHT(Insights!$C$3, 4)), E4727, "")</f>
        <v>#VALUE!</v>
      </c>
      <c r="H4727" s="26" t="e">
        <f t="shared" si="1"/>
        <v>#VALUE!</v>
      </c>
      <c r="I4727" s="1" t="e">
        <f t="shared" si="2"/>
        <v>#VALUE!</v>
      </c>
    </row>
    <row r="4728" spans="1:9" ht="15.75" customHeight="1">
      <c r="A4728" s="26"/>
      <c r="B4728" s="2"/>
      <c r="C4728" s="26"/>
      <c r="D4728" s="26"/>
      <c r="F4728" s="85" t="str">
        <f t="shared" si="0"/>
        <v/>
      </c>
      <c r="G4728" s="1" t="e">
        <f>IF(VALUE(F4728) = VALUE(RIGHT(Insights!$C$3, 4)), E4728, "")</f>
        <v>#VALUE!</v>
      </c>
      <c r="H4728" s="26" t="e">
        <f t="shared" si="1"/>
        <v>#VALUE!</v>
      </c>
      <c r="I4728" s="1" t="e">
        <f t="shared" si="2"/>
        <v>#VALUE!</v>
      </c>
    </row>
    <row r="4729" spans="1:9" ht="15.75" customHeight="1">
      <c r="A4729" s="26"/>
      <c r="B4729" s="2"/>
      <c r="C4729" s="26"/>
      <c r="D4729" s="26"/>
      <c r="F4729" s="85" t="str">
        <f t="shared" si="0"/>
        <v/>
      </c>
      <c r="G4729" s="1" t="e">
        <f>IF(VALUE(F4729) = VALUE(RIGHT(Insights!$C$3, 4)), E4729, "")</f>
        <v>#VALUE!</v>
      </c>
      <c r="H4729" s="26" t="e">
        <f t="shared" si="1"/>
        <v>#VALUE!</v>
      </c>
      <c r="I4729" s="1" t="e">
        <f t="shared" si="2"/>
        <v>#VALUE!</v>
      </c>
    </row>
    <row r="4730" spans="1:9" ht="15.75" customHeight="1">
      <c r="A4730" s="26"/>
      <c r="B4730" s="2"/>
      <c r="C4730" s="26"/>
      <c r="D4730" s="26"/>
      <c r="F4730" s="85" t="str">
        <f t="shared" si="0"/>
        <v/>
      </c>
      <c r="G4730" s="1" t="e">
        <f>IF(VALUE(F4730) = VALUE(RIGHT(Insights!$C$3, 4)), E4730, "")</f>
        <v>#VALUE!</v>
      </c>
      <c r="H4730" s="26" t="e">
        <f t="shared" si="1"/>
        <v>#VALUE!</v>
      </c>
      <c r="I4730" s="1" t="e">
        <f t="shared" si="2"/>
        <v>#VALUE!</v>
      </c>
    </row>
    <row r="4731" spans="1:9" ht="15.75" customHeight="1">
      <c r="A4731" s="26"/>
      <c r="B4731" s="2"/>
      <c r="C4731" s="26"/>
      <c r="D4731" s="26"/>
      <c r="F4731" s="85" t="str">
        <f t="shared" si="0"/>
        <v/>
      </c>
      <c r="G4731" s="1" t="e">
        <f>IF(VALUE(F4731) = VALUE(RIGHT(Insights!$C$3, 4)), E4731, "")</f>
        <v>#VALUE!</v>
      </c>
      <c r="H4731" s="26" t="e">
        <f t="shared" si="1"/>
        <v>#VALUE!</v>
      </c>
      <c r="I4731" s="1" t="e">
        <f t="shared" si="2"/>
        <v>#VALUE!</v>
      </c>
    </row>
    <row r="4732" spans="1:9" ht="15.75" customHeight="1">
      <c r="A4732" s="26"/>
      <c r="B4732" s="2"/>
      <c r="C4732" s="26"/>
      <c r="D4732" s="26"/>
      <c r="F4732" s="85" t="str">
        <f t="shared" si="0"/>
        <v/>
      </c>
      <c r="G4732" s="1" t="e">
        <f>IF(VALUE(F4732) = VALUE(RIGHT(Insights!$C$3, 4)), E4732, "")</f>
        <v>#VALUE!</v>
      </c>
      <c r="H4732" s="26" t="e">
        <f t="shared" si="1"/>
        <v>#VALUE!</v>
      </c>
      <c r="I4732" s="1" t="e">
        <f t="shared" si="2"/>
        <v>#VALUE!</v>
      </c>
    </row>
    <row r="4733" spans="1:9" ht="15.75" customHeight="1">
      <c r="A4733" s="26"/>
      <c r="B4733" s="2"/>
      <c r="C4733" s="26"/>
      <c r="D4733" s="26"/>
      <c r="F4733" s="85" t="str">
        <f t="shared" si="0"/>
        <v/>
      </c>
      <c r="G4733" s="1" t="e">
        <f>IF(VALUE(F4733) = VALUE(RIGHT(Insights!$C$3, 4)), E4733, "")</f>
        <v>#VALUE!</v>
      </c>
      <c r="H4733" s="26" t="e">
        <f t="shared" si="1"/>
        <v>#VALUE!</v>
      </c>
      <c r="I4733" s="1" t="e">
        <f t="shared" si="2"/>
        <v>#VALUE!</v>
      </c>
    </row>
    <row r="4734" spans="1:9" ht="15.75" customHeight="1">
      <c r="A4734" s="26"/>
      <c r="B4734" s="2"/>
      <c r="C4734" s="26"/>
      <c r="D4734" s="26"/>
      <c r="F4734" s="85" t="str">
        <f t="shared" si="0"/>
        <v/>
      </c>
      <c r="G4734" s="1" t="e">
        <f>IF(VALUE(F4734) = VALUE(RIGHT(Insights!$C$3, 4)), E4734, "")</f>
        <v>#VALUE!</v>
      </c>
      <c r="H4734" s="26" t="e">
        <f t="shared" si="1"/>
        <v>#VALUE!</v>
      </c>
      <c r="I4734" s="1" t="e">
        <f t="shared" si="2"/>
        <v>#VALUE!</v>
      </c>
    </row>
    <row r="4735" spans="1:9" ht="15.75" customHeight="1">
      <c r="A4735" s="26"/>
      <c r="B4735" s="2"/>
      <c r="C4735" s="26"/>
      <c r="D4735" s="26"/>
      <c r="F4735" s="85" t="str">
        <f t="shared" si="0"/>
        <v/>
      </c>
      <c r="G4735" s="1" t="e">
        <f>IF(VALUE(F4735) = VALUE(RIGHT(Insights!$C$3, 4)), E4735, "")</f>
        <v>#VALUE!</v>
      </c>
      <c r="H4735" s="26" t="e">
        <f t="shared" si="1"/>
        <v>#VALUE!</v>
      </c>
      <c r="I4735" s="1" t="e">
        <f t="shared" si="2"/>
        <v>#VALUE!</v>
      </c>
    </row>
    <row r="4736" spans="1:9" ht="15.75" customHeight="1">
      <c r="A4736" s="26"/>
      <c r="B4736" s="2"/>
      <c r="C4736" s="26"/>
      <c r="D4736" s="26"/>
      <c r="F4736" s="85" t="str">
        <f t="shared" si="0"/>
        <v/>
      </c>
      <c r="G4736" s="1" t="e">
        <f>IF(VALUE(F4736) = VALUE(RIGHT(Insights!$C$3, 4)), E4736, "")</f>
        <v>#VALUE!</v>
      </c>
      <c r="H4736" s="26" t="e">
        <f t="shared" si="1"/>
        <v>#VALUE!</v>
      </c>
      <c r="I4736" s="1" t="e">
        <f t="shared" si="2"/>
        <v>#VALUE!</v>
      </c>
    </row>
    <row r="4737" spans="1:9" ht="15.75" customHeight="1">
      <c r="A4737" s="26"/>
      <c r="B4737" s="2"/>
      <c r="C4737" s="26"/>
      <c r="D4737" s="26"/>
      <c r="F4737" s="85" t="str">
        <f t="shared" si="0"/>
        <v/>
      </c>
      <c r="G4737" s="1" t="e">
        <f>IF(VALUE(F4737) = VALUE(RIGHT(Insights!$C$3, 4)), E4737, "")</f>
        <v>#VALUE!</v>
      </c>
      <c r="H4737" s="26" t="e">
        <f t="shared" si="1"/>
        <v>#VALUE!</v>
      </c>
      <c r="I4737" s="1" t="e">
        <f t="shared" si="2"/>
        <v>#VALUE!</v>
      </c>
    </row>
    <row r="4738" spans="1:9" ht="15.75" customHeight="1">
      <c r="A4738" s="26"/>
      <c r="B4738" s="2"/>
      <c r="C4738" s="26"/>
      <c r="D4738" s="26"/>
      <c r="F4738" s="85" t="str">
        <f t="shared" si="0"/>
        <v/>
      </c>
      <c r="G4738" s="1" t="e">
        <f>IF(VALUE(F4738) = VALUE(RIGHT(Insights!$C$3, 4)), E4738, "")</f>
        <v>#VALUE!</v>
      </c>
      <c r="H4738" s="26" t="e">
        <f t="shared" si="1"/>
        <v>#VALUE!</v>
      </c>
      <c r="I4738" s="1" t="e">
        <f t="shared" si="2"/>
        <v>#VALUE!</v>
      </c>
    </row>
    <row r="4739" spans="1:9" ht="15.75" customHeight="1">
      <c r="A4739" s="26"/>
      <c r="B4739" s="2"/>
      <c r="C4739" s="26"/>
      <c r="D4739" s="26"/>
      <c r="F4739" s="85" t="str">
        <f t="shared" si="0"/>
        <v/>
      </c>
      <c r="G4739" s="1" t="e">
        <f>IF(VALUE(F4739) = VALUE(RIGHT(Insights!$C$3, 4)), E4739, "")</f>
        <v>#VALUE!</v>
      </c>
      <c r="H4739" s="26" t="e">
        <f t="shared" si="1"/>
        <v>#VALUE!</v>
      </c>
      <c r="I4739" s="1" t="e">
        <f t="shared" si="2"/>
        <v>#VALUE!</v>
      </c>
    </row>
    <row r="4740" spans="1:9" ht="15.75" customHeight="1">
      <c r="A4740" s="26"/>
      <c r="B4740" s="2"/>
      <c r="C4740" s="26"/>
      <c r="D4740" s="26"/>
      <c r="F4740" s="85" t="str">
        <f t="shared" si="0"/>
        <v/>
      </c>
      <c r="G4740" s="1" t="e">
        <f>IF(VALUE(F4740) = VALUE(RIGHT(Insights!$C$3, 4)), E4740, "")</f>
        <v>#VALUE!</v>
      </c>
      <c r="H4740" s="26" t="e">
        <f t="shared" si="1"/>
        <v>#VALUE!</v>
      </c>
      <c r="I4740" s="1" t="e">
        <f t="shared" si="2"/>
        <v>#VALUE!</v>
      </c>
    </row>
    <row r="4741" spans="1:9" ht="15.75" customHeight="1">
      <c r="A4741" s="26"/>
      <c r="B4741" s="2"/>
      <c r="C4741" s="26"/>
      <c r="D4741" s="26"/>
      <c r="F4741" s="85" t="str">
        <f t="shared" si="0"/>
        <v/>
      </c>
      <c r="G4741" s="1" t="e">
        <f>IF(VALUE(F4741) = VALUE(RIGHT(Insights!$C$3, 4)), E4741, "")</f>
        <v>#VALUE!</v>
      </c>
      <c r="H4741" s="26" t="e">
        <f t="shared" si="1"/>
        <v>#VALUE!</v>
      </c>
      <c r="I4741" s="1" t="e">
        <f t="shared" si="2"/>
        <v>#VALUE!</v>
      </c>
    </row>
    <row r="4742" spans="1:9" ht="15.75" customHeight="1">
      <c r="A4742" s="26"/>
      <c r="B4742" s="2"/>
      <c r="C4742" s="26"/>
      <c r="D4742" s="26"/>
      <c r="F4742" s="85" t="str">
        <f t="shared" si="0"/>
        <v/>
      </c>
      <c r="G4742" s="1" t="e">
        <f>IF(VALUE(F4742) = VALUE(RIGHT(Insights!$C$3, 4)), E4742, "")</f>
        <v>#VALUE!</v>
      </c>
      <c r="H4742" s="26" t="e">
        <f t="shared" si="1"/>
        <v>#VALUE!</v>
      </c>
      <c r="I4742" s="1" t="e">
        <f t="shared" si="2"/>
        <v>#VALUE!</v>
      </c>
    </row>
    <row r="4743" spans="1:9" ht="15.75" customHeight="1">
      <c r="A4743" s="26"/>
      <c r="B4743" s="2"/>
      <c r="C4743" s="26"/>
      <c r="D4743" s="26"/>
      <c r="F4743" s="85" t="str">
        <f t="shared" si="0"/>
        <v/>
      </c>
      <c r="G4743" s="1" t="e">
        <f>IF(VALUE(F4743) = VALUE(RIGHT(Insights!$C$3, 4)), E4743, "")</f>
        <v>#VALUE!</v>
      </c>
      <c r="H4743" s="26" t="e">
        <f t="shared" si="1"/>
        <v>#VALUE!</v>
      </c>
      <c r="I4743" s="1" t="e">
        <f t="shared" si="2"/>
        <v>#VALUE!</v>
      </c>
    </row>
    <row r="4744" spans="1:9" ht="15.75" customHeight="1">
      <c r="A4744" s="26"/>
      <c r="B4744" s="2"/>
      <c r="C4744" s="26"/>
      <c r="D4744" s="26"/>
      <c r="F4744" s="85" t="str">
        <f t="shared" si="0"/>
        <v/>
      </c>
      <c r="G4744" s="1" t="e">
        <f>IF(VALUE(F4744) = VALUE(RIGHT(Insights!$C$3, 4)), E4744, "")</f>
        <v>#VALUE!</v>
      </c>
      <c r="H4744" s="26" t="e">
        <f t="shared" si="1"/>
        <v>#VALUE!</v>
      </c>
      <c r="I4744" s="1" t="e">
        <f t="shared" si="2"/>
        <v>#VALUE!</v>
      </c>
    </row>
    <row r="4745" spans="1:9" ht="15.75" customHeight="1">
      <c r="A4745" s="26"/>
      <c r="B4745" s="2"/>
      <c r="C4745" s="26"/>
      <c r="D4745" s="26"/>
      <c r="F4745" s="85" t="str">
        <f t="shared" si="0"/>
        <v/>
      </c>
      <c r="G4745" s="1" t="e">
        <f>IF(VALUE(F4745) = VALUE(RIGHT(Insights!$C$3, 4)), E4745, "")</f>
        <v>#VALUE!</v>
      </c>
      <c r="H4745" s="26" t="e">
        <f t="shared" si="1"/>
        <v>#VALUE!</v>
      </c>
      <c r="I4745" s="1" t="e">
        <f t="shared" si="2"/>
        <v>#VALUE!</v>
      </c>
    </row>
    <row r="4746" spans="1:9" ht="15.75" customHeight="1">
      <c r="A4746" s="26"/>
      <c r="B4746" s="2"/>
      <c r="C4746" s="26"/>
      <c r="D4746" s="26"/>
      <c r="F4746" s="85" t="str">
        <f t="shared" si="0"/>
        <v/>
      </c>
      <c r="G4746" s="1" t="e">
        <f>IF(VALUE(F4746) = VALUE(RIGHT(Insights!$C$3, 4)), E4746, "")</f>
        <v>#VALUE!</v>
      </c>
      <c r="H4746" s="26" t="e">
        <f t="shared" si="1"/>
        <v>#VALUE!</v>
      </c>
      <c r="I4746" s="1" t="e">
        <f t="shared" si="2"/>
        <v>#VALUE!</v>
      </c>
    </row>
    <row r="4747" spans="1:9" ht="15.75" customHeight="1">
      <c r="A4747" s="26"/>
      <c r="B4747" s="2"/>
      <c r="C4747" s="26"/>
      <c r="D4747" s="26"/>
      <c r="F4747" s="85" t="str">
        <f t="shared" si="0"/>
        <v/>
      </c>
      <c r="G4747" s="1" t="e">
        <f>IF(VALUE(F4747) = VALUE(RIGHT(Insights!$C$3, 4)), E4747, "")</f>
        <v>#VALUE!</v>
      </c>
      <c r="H4747" s="26" t="e">
        <f t="shared" si="1"/>
        <v>#VALUE!</v>
      </c>
      <c r="I4747" s="1" t="e">
        <f t="shared" si="2"/>
        <v>#VALUE!</v>
      </c>
    </row>
    <row r="4748" spans="1:9" ht="15.75" customHeight="1">
      <c r="A4748" s="26"/>
      <c r="B4748" s="2"/>
      <c r="C4748" s="26"/>
      <c r="D4748" s="26"/>
      <c r="F4748" s="85" t="str">
        <f t="shared" si="0"/>
        <v/>
      </c>
      <c r="G4748" s="1" t="e">
        <f>IF(VALUE(F4748) = VALUE(RIGHT(Insights!$C$3, 4)), E4748, "")</f>
        <v>#VALUE!</v>
      </c>
      <c r="H4748" s="26" t="e">
        <f t="shared" si="1"/>
        <v>#VALUE!</v>
      </c>
      <c r="I4748" s="1" t="e">
        <f t="shared" si="2"/>
        <v>#VALUE!</v>
      </c>
    </row>
    <row r="4749" spans="1:9" ht="15.75" customHeight="1">
      <c r="A4749" s="26"/>
      <c r="B4749" s="2"/>
      <c r="C4749" s="26"/>
      <c r="D4749" s="26"/>
      <c r="F4749" s="85" t="str">
        <f t="shared" si="0"/>
        <v/>
      </c>
      <c r="G4749" s="1" t="e">
        <f>IF(VALUE(F4749) = VALUE(RIGHT(Insights!$C$3, 4)), E4749, "")</f>
        <v>#VALUE!</v>
      </c>
      <c r="H4749" s="26" t="e">
        <f t="shared" si="1"/>
        <v>#VALUE!</v>
      </c>
      <c r="I4749" s="1" t="e">
        <f t="shared" si="2"/>
        <v>#VALUE!</v>
      </c>
    </row>
    <row r="4750" spans="1:9" ht="15.75" customHeight="1">
      <c r="A4750" s="26"/>
      <c r="B4750" s="2"/>
      <c r="C4750" s="26"/>
      <c r="D4750" s="26"/>
      <c r="F4750" s="85" t="str">
        <f t="shared" si="0"/>
        <v/>
      </c>
      <c r="G4750" s="1" t="e">
        <f>IF(VALUE(F4750) = VALUE(RIGHT(Insights!$C$3, 4)), E4750, "")</f>
        <v>#VALUE!</v>
      </c>
      <c r="H4750" s="26" t="e">
        <f t="shared" si="1"/>
        <v>#VALUE!</v>
      </c>
      <c r="I4750" s="1" t="e">
        <f t="shared" si="2"/>
        <v>#VALUE!</v>
      </c>
    </row>
    <row r="4751" spans="1:9" ht="15.75" customHeight="1">
      <c r="A4751" s="26"/>
      <c r="B4751" s="2"/>
      <c r="C4751" s="26"/>
      <c r="D4751" s="26"/>
      <c r="F4751" s="85" t="str">
        <f t="shared" si="0"/>
        <v/>
      </c>
      <c r="G4751" s="1" t="e">
        <f>IF(VALUE(F4751) = VALUE(RIGHT(Insights!$C$3, 4)), E4751, "")</f>
        <v>#VALUE!</v>
      </c>
      <c r="H4751" s="26" t="e">
        <f t="shared" si="1"/>
        <v>#VALUE!</v>
      </c>
      <c r="I4751" s="1" t="e">
        <f t="shared" si="2"/>
        <v>#VALUE!</v>
      </c>
    </row>
    <row r="4752" spans="1:9" ht="15.75" customHeight="1">
      <c r="A4752" s="26"/>
      <c r="B4752" s="2"/>
      <c r="C4752" s="26"/>
      <c r="D4752" s="26"/>
      <c r="F4752" s="85" t="str">
        <f t="shared" si="0"/>
        <v/>
      </c>
      <c r="G4752" s="1" t="e">
        <f>IF(VALUE(F4752) = VALUE(RIGHT(Insights!$C$3, 4)), E4752, "")</f>
        <v>#VALUE!</v>
      </c>
      <c r="H4752" s="26" t="e">
        <f t="shared" si="1"/>
        <v>#VALUE!</v>
      </c>
      <c r="I4752" s="1" t="e">
        <f t="shared" si="2"/>
        <v>#VALUE!</v>
      </c>
    </row>
    <row r="4753" spans="1:9" ht="15.75" customHeight="1">
      <c r="A4753" s="26"/>
      <c r="B4753" s="2"/>
      <c r="C4753" s="26"/>
      <c r="D4753" s="26"/>
      <c r="F4753" s="85" t="str">
        <f t="shared" si="0"/>
        <v/>
      </c>
      <c r="G4753" s="1" t="e">
        <f>IF(VALUE(F4753) = VALUE(RIGHT(Insights!$C$3, 4)), E4753, "")</f>
        <v>#VALUE!</v>
      </c>
      <c r="H4753" s="26" t="e">
        <f t="shared" si="1"/>
        <v>#VALUE!</v>
      </c>
      <c r="I4753" s="1" t="e">
        <f t="shared" si="2"/>
        <v>#VALUE!</v>
      </c>
    </row>
    <row r="4754" spans="1:9" ht="15.75" customHeight="1">
      <c r="A4754" s="26"/>
      <c r="B4754" s="2"/>
      <c r="C4754" s="26"/>
      <c r="D4754" s="26"/>
      <c r="F4754" s="85" t="str">
        <f t="shared" si="0"/>
        <v/>
      </c>
      <c r="G4754" s="1" t="e">
        <f>IF(VALUE(F4754) = VALUE(RIGHT(Insights!$C$3, 4)), E4754, "")</f>
        <v>#VALUE!</v>
      </c>
      <c r="H4754" s="26" t="e">
        <f t="shared" si="1"/>
        <v>#VALUE!</v>
      </c>
      <c r="I4754" s="1" t="e">
        <f t="shared" si="2"/>
        <v>#VALUE!</v>
      </c>
    </row>
    <row r="4755" spans="1:9" ht="15.75" customHeight="1">
      <c r="A4755" s="26"/>
      <c r="B4755" s="2"/>
      <c r="C4755" s="26"/>
      <c r="D4755" s="26"/>
      <c r="F4755" s="85" t="str">
        <f t="shared" si="0"/>
        <v/>
      </c>
      <c r="G4755" s="1" t="e">
        <f>IF(VALUE(F4755) = VALUE(RIGHT(Insights!$C$3, 4)), E4755, "")</f>
        <v>#VALUE!</v>
      </c>
      <c r="H4755" s="26" t="e">
        <f t="shared" si="1"/>
        <v>#VALUE!</v>
      </c>
      <c r="I4755" s="1" t="e">
        <f t="shared" si="2"/>
        <v>#VALUE!</v>
      </c>
    </row>
    <row r="4756" spans="1:9" ht="15.75" customHeight="1">
      <c r="A4756" s="26"/>
      <c r="B4756" s="2"/>
      <c r="C4756" s="26"/>
      <c r="D4756" s="26"/>
      <c r="F4756" s="85" t="str">
        <f t="shared" si="0"/>
        <v/>
      </c>
      <c r="G4756" s="1" t="e">
        <f>IF(VALUE(F4756) = VALUE(RIGHT(Insights!$C$3, 4)), E4756, "")</f>
        <v>#VALUE!</v>
      </c>
      <c r="H4756" s="26" t="e">
        <f t="shared" si="1"/>
        <v>#VALUE!</v>
      </c>
      <c r="I4756" s="1" t="e">
        <f t="shared" si="2"/>
        <v>#VALUE!</v>
      </c>
    </row>
    <row r="4757" spans="1:9" ht="15.75" customHeight="1">
      <c r="A4757" s="26"/>
      <c r="B4757" s="2"/>
      <c r="C4757" s="26"/>
      <c r="D4757" s="26"/>
      <c r="F4757" s="85" t="str">
        <f t="shared" si="0"/>
        <v/>
      </c>
      <c r="G4757" s="1" t="e">
        <f>IF(VALUE(F4757) = VALUE(RIGHT(Insights!$C$3, 4)), E4757, "")</f>
        <v>#VALUE!</v>
      </c>
      <c r="H4757" s="26" t="e">
        <f t="shared" si="1"/>
        <v>#VALUE!</v>
      </c>
      <c r="I4757" s="1" t="e">
        <f t="shared" si="2"/>
        <v>#VALUE!</v>
      </c>
    </row>
    <row r="4758" spans="1:9" ht="15.75" customHeight="1">
      <c r="A4758" s="26"/>
      <c r="B4758" s="2"/>
      <c r="C4758" s="26"/>
      <c r="D4758" s="26"/>
      <c r="F4758" s="85" t="str">
        <f t="shared" si="0"/>
        <v/>
      </c>
      <c r="G4758" s="1" t="e">
        <f>IF(VALUE(F4758) = VALUE(RIGHT(Insights!$C$3, 4)), E4758, "")</f>
        <v>#VALUE!</v>
      </c>
      <c r="H4758" s="26" t="e">
        <f t="shared" si="1"/>
        <v>#VALUE!</v>
      </c>
      <c r="I4758" s="1" t="e">
        <f t="shared" si="2"/>
        <v>#VALUE!</v>
      </c>
    </row>
    <row r="4759" spans="1:9" ht="15.75" customHeight="1">
      <c r="A4759" s="26"/>
      <c r="B4759" s="2"/>
      <c r="C4759" s="26"/>
      <c r="D4759" s="26"/>
      <c r="F4759" s="85" t="str">
        <f t="shared" si="0"/>
        <v/>
      </c>
      <c r="G4759" s="1" t="e">
        <f>IF(VALUE(F4759) = VALUE(RIGHT(Insights!$C$3, 4)), E4759, "")</f>
        <v>#VALUE!</v>
      </c>
      <c r="H4759" s="26" t="e">
        <f t="shared" si="1"/>
        <v>#VALUE!</v>
      </c>
      <c r="I4759" s="1" t="e">
        <f t="shared" si="2"/>
        <v>#VALUE!</v>
      </c>
    </row>
    <row r="4760" spans="1:9" ht="15.75" customHeight="1">
      <c r="A4760" s="26"/>
      <c r="B4760" s="2"/>
      <c r="C4760" s="26"/>
      <c r="D4760" s="26"/>
      <c r="F4760" s="85" t="str">
        <f t="shared" si="0"/>
        <v/>
      </c>
      <c r="G4760" s="1" t="e">
        <f>IF(VALUE(F4760) = VALUE(RIGHT(Insights!$C$3, 4)), E4760, "")</f>
        <v>#VALUE!</v>
      </c>
      <c r="H4760" s="26" t="e">
        <f t="shared" si="1"/>
        <v>#VALUE!</v>
      </c>
      <c r="I4760" s="1" t="e">
        <f t="shared" si="2"/>
        <v>#VALUE!</v>
      </c>
    </row>
    <row r="4761" spans="1:9" ht="15.75" customHeight="1">
      <c r="A4761" s="26"/>
      <c r="B4761" s="2"/>
      <c r="C4761" s="26"/>
      <c r="D4761" s="26"/>
      <c r="F4761" s="85" t="str">
        <f t="shared" si="0"/>
        <v/>
      </c>
      <c r="G4761" s="1" t="e">
        <f>IF(VALUE(F4761) = VALUE(RIGHT(Insights!$C$3, 4)), E4761, "")</f>
        <v>#VALUE!</v>
      </c>
      <c r="H4761" s="26" t="e">
        <f t="shared" si="1"/>
        <v>#VALUE!</v>
      </c>
      <c r="I4761" s="1" t="e">
        <f t="shared" si="2"/>
        <v>#VALUE!</v>
      </c>
    </row>
    <row r="4762" spans="1:9" ht="15.75" customHeight="1">
      <c r="A4762" s="26"/>
      <c r="B4762" s="2"/>
      <c r="C4762" s="26"/>
      <c r="D4762" s="26"/>
      <c r="F4762" s="85" t="str">
        <f t="shared" si="0"/>
        <v/>
      </c>
      <c r="G4762" s="1" t="e">
        <f>IF(VALUE(F4762) = VALUE(RIGHT(Insights!$C$3, 4)), E4762, "")</f>
        <v>#VALUE!</v>
      </c>
      <c r="H4762" s="26" t="e">
        <f t="shared" si="1"/>
        <v>#VALUE!</v>
      </c>
      <c r="I4762" s="1" t="e">
        <f t="shared" si="2"/>
        <v>#VALUE!</v>
      </c>
    </row>
    <row r="4763" spans="1:9" ht="15.75" customHeight="1">
      <c r="A4763" s="26"/>
      <c r="B4763" s="2"/>
      <c r="C4763" s="26"/>
      <c r="D4763" s="26"/>
      <c r="F4763" s="85" t="str">
        <f t="shared" si="0"/>
        <v/>
      </c>
      <c r="G4763" s="1" t="e">
        <f>IF(VALUE(F4763) = VALUE(RIGHT(Insights!$C$3, 4)), E4763, "")</f>
        <v>#VALUE!</v>
      </c>
      <c r="H4763" s="26" t="e">
        <f t="shared" si="1"/>
        <v>#VALUE!</v>
      </c>
      <c r="I4763" s="1" t="e">
        <f t="shared" si="2"/>
        <v>#VALUE!</v>
      </c>
    </row>
    <row r="4764" spans="1:9" ht="15.75" customHeight="1">
      <c r="A4764" s="26"/>
      <c r="B4764" s="2"/>
      <c r="C4764" s="26"/>
      <c r="D4764" s="26"/>
      <c r="F4764" s="85" t="str">
        <f t="shared" si="0"/>
        <v/>
      </c>
      <c r="G4764" s="1" t="e">
        <f>IF(VALUE(F4764) = VALUE(RIGHT(Insights!$C$3, 4)), E4764, "")</f>
        <v>#VALUE!</v>
      </c>
      <c r="H4764" s="26" t="e">
        <f t="shared" si="1"/>
        <v>#VALUE!</v>
      </c>
      <c r="I4764" s="1" t="e">
        <f t="shared" si="2"/>
        <v>#VALUE!</v>
      </c>
    </row>
    <row r="4765" spans="1:9" ht="15.75" customHeight="1">
      <c r="A4765" s="26"/>
      <c r="B4765" s="2"/>
      <c r="C4765" s="26"/>
      <c r="D4765" s="26"/>
      <c r="F4765" s="85" t="str">
        <f t="shared" si="0"/>
        <v/>
      </c>
      <c r="G4765" s="1" t="e">
        <f>IF(VALUE(F4765) = VALUE(RIGHT(Insights!$C$3, 4)), E4765, "")</f>
        <v>#VALUE!</v>
      </c>
      <c r="H4765" s="26" t="e">
        <f t="shared" si="1"/>
        <v>#VALUE!</v>
      </c>
      <c r="I4765" s="1" t="e">
        <f t="shared" si="2"/>
        <v>#VALUE!</v>
      </c>
    </row>
    <row r="4766" spans="1:9" ht="15.75" customHeight="1">
      <c r="A4766" s="26"/>
      <c r="B4766" s="2"/>
      <c r="C4766" s="26"/>
      <c r="D4766" s="26"/>
      <c r="F4766" s="85" t="str">
        <f t="shared" si="0"/>
        <v/>
      </c>
      <c r="G4766" s="1" t="e">
        <f>IF(VALUE(F4766) = VALUE(RIGHT(Insights!$C$3, 4)), E4766, "")</f>
        <v>#VALUE!</v>
      </c>
      <c r="H4766" s="26" t="e">
        <f t="shared" si="1"/>
        <v>#VALUE!</v>
      </c>
      <c r="I4766" s="1" t="e">
        <f t="shared" si="2"/>
        <v>#VALUE!</v>
      </c>
    </row>
    <row r="4767" spans="1:9" ht="15.75" customHeight="1">
      <c r="A4767" s="26"/>
      <c r="B4767" s="2"/>
      <c r="C4767" s="26"/>
      <c r="D4767" s="26"/>
      <c r="F4767" s="85" t="str">
        <f t="shared" si="0"/>
        <v/>
      </c>
      <c r="G4767" s="1" t="e">
        <f>IF(VALUE(F4767) = VALUE(RIGHT(Insights!$C$3, 4)), E4767, "")</f>
        <v>#VALUE!</v>
      </c>
      <c r="H4767" s="26" t="e">
        <f t="shared" si="1"/>
        <v>#VALUE!</v>
      </c>
      <c r="I4767" s="1" t="e">
        <f t="shared" si="2"/>
        <v>#VALUE!</v>
      </c>
    </row>
    <row r="4768" spans="1:9" ht="15.75" customHeight="1">
      <c r="A4768" s="26"/>
      <c r="B4768" s="2"/>
      <c r="C4768" s="26"/>
      <c r="D4768" s="26"/>
      <c r="F4768" s="85" t="str">
        <f t="shared" si="0"/>
        <v/>
      </c>
      <c r="G4768" s="1" t="e">
        <f>IF(VALUE(F4768) = VALUE(RIGHT(Insights!$C$3, 4)), E4768, "")</f>
        <v>#VALUE!</v>
      </c>
      <c r="H4768" s="26" t="e">
        <f t="shared" si="1"/>
        <v>#VALUE!</v>
      </c>
      <c r="I4768" s="1" t="e">
        <f t="shared" si="2"/>
        <v>#VALUE!</v>
      </c>
    </row>
    <row r="4769" spans="1:9" ht="15.75" customHeight="1">
      <c r="A4769" s="26"/>
      <c r="B4769" s="2"/>
      <c r="C4769" s="26"/>
      <c r="D4769" s="26"/>
      <c r="F4769" s="85" t="str">
        <f t="shared" si="0"/>
        <v/>
      </c>
      <c r="G4769" s="1" t="e">
        <f>IF(VALUE(F4769) = VALUE(RIGHT(Insights!$C$3, 4)), E4769, "")</f>
        <v>#VALUE!</v>
      </c>
      <c r="H4769" s="26" t="e">
        <f t="shared" si="1"/>
        <v>#VALUE!</v>
      </c>
      <c r="I4769" s="1" t="e">
        <f t="shared" si="2"/>
        <v>#VALUE!</v>
      </c>
    </row>
    <row r="4770" spans="1:9" ht="15.75" customHeight="1">
      <c r="A4770" s="26"/>
      <c r="B4770" s="2"/>
      <c r="C4770" s="26"/>
      <c r="D4770" s="26"/>
      <c r="F4770" s="85" t="str">
        <f t="shared" si="0"/>
        <v/>
      </c>
      <c r="G4770" s="1" t="e">
        <f>IF(VALUE(F4770) = VALUE(RIGHT(Insights!$C$3, 4)), E4770, "")</f>
        <v>#VALUE!</v>
      </c>
      <c r="H4770" s="26" t="e">
        <f t="shared" si="1"/>
        <v>#VALUE!</v>
      </c>
      <c r="I4770" s="1" t="e">
        <f t="shared" si="2"/>
        <v>#VALUE!</v>
      </c>
    </row>
    <row r="4771" spans="1:9" ht="15.75" customHeight="1">
      <c r="A4771" s="26"/>
      <c r="B4771" s="2"/>
      <c r="C4771" s="26"/>
      <c r="D4771" s="26"/>
      <c r="F4771" s="85" t="str">
        <f t="shared" si="0"/>
        <v/>
      </c>
      <c r="G4771" s="1" t="e">
        <f>IF(VALUE(F4771) = VALUE(RIGHT(Insights!$C$3, 4)), E4771, "")</f>
        <v>#VALUE!</v>
      </c>
      <c r="H4771" s="26" t="e">
        <f t="shared" si="1"/>
        <v>#VALUE!</v>
      </c>
      <c r="I4771" s="1" t="e">
        <f t="shared" si="2"/>
        <v>#VALUE!</v>
      </c>
    </row>
    <row r="4772" spans="1:9" ht="15.75" customHeight="1">
      <c r="A4772" s="26"/>
      <c r="B4772" s="2"/>
      <c r="C4772" s="26"/>
      <c r="D4772" s="26"/>
      <c r="F4772" s="85" t="str">
        <f t="shared" si="0"/>
        <v/>
      </c>
      <c r="G4772" s="1" t="e">
        <f>IF(VALUE(F4772) = VALUE(RIGHT(Insights!$C$3, 4)), E4772, "")</f>
        <v>#VALUE!</v>
      </c>
      <c r="H4772" s="26" t="e">
        <f t="shared" si="1"/>
        <v>#VALUE!</v>
      </c>
      <c r="I4772" s="1" t="e">
        <f t="shared" si="2"/>
        <v>#VALUE!</v>
      </c>
    </row>
    <row r="4773" spans="1:9" ht="15.75" customHeight="1">
      <c r="A4773" s="26"/>
      <c r="B4773" s="2"/>
      <c r="C4773" s="26"/>
      <c r="D4773" s="26"/>
      <c r="F4773" s="85" t="str">
        <f t="shared" si="0"/>
        <v/>
      </c>
      <c r="G4773" s="1" t="e">
        <f>IF(VALUE(F4773) = VALUE(RIGHT(Insights!$C$3, 4)), E4773, "")</f>
        <v>#VALUE!</v>
      </c>
      <c r="H4773" s="26" t="e">
        <f t="shared" si="1"/>
        <v>#VALUE!</v>
      </c>
      <c r="I4773" s="1" t="e">
        <f t="shared" si="2"/>
        <v>#VALUE!</v>
      </c>
    </row>
    <row r="4774" spans="1:9" ht="15.75" customHeight="1">
      <c r="A4774" s="26"/>
      <c r="B4774" s="2"/>
      <c r="C4774" s="26"/>
      <c r="D4774" s="26"/>
      <c r="F4774" s="85" t="str">
        <f t="shared" si="0"/>
        <v/>
      </c>
      <c r="G4774" s="1" t="e">
        <f>IF(VALUE(F4774) = VALUE(RIGHT(Insights!$C$3, 4)), E4774, "")</f>
        <v>#VALUE!</v>
      </c>
      <c r="H4774" s="26" t="e">
        <f t="shared" si="1"/>
        <v>#VALUE!</v>
      </c>
      <c r="I4774" s="1" t="e">
        <f t="shared" si="2"/>
        <v>#VALUE!</v>
      </c>
    </row>
    <row r="4775" spans="1:9" ht="15.75" customHeight="1">
      <c r="A4775" s="26"/>
      <c r="B4775" s="2"/>
      <c r="C4775" s="26"/>
      <c r="D4775" s="26"/>
      <c r="F4775" s="85" t="str">
        <f t="shared" si="0"/>
        <v/>
      </c>
      <c r="G4775" s="1" t="e">
        <f>IF(VALUE(F4775) = VALUE(RIGHT(Insights!$C$3, 4)), E4775, "")</f>
        <v>#VALUE!</v>
      </c>
      <c r="H4775" s="26" t="e">
        <f t="shared" si="1"/>
        <v>#VALUE!</v>
      </c>
      <c r="I4775" s="1" t="e">
        <f t="shared" si="2"/>
        <v>#VALUE!</v>
      </c>
    </row>
    <row r="4776" spans="1:9" ht="15.75" customHeight="1">
      <c r="A4776" s="26"/>
      <c r="B4776" s="2"/>
      <c r="C4776" s="26"/>
      <c r="D4776" s="26"/>
      <c r="F4776" s="85" t="str">
        <f t="shared" si="0"/>
        <v/>
      </c>
      <c r="G4776" s="1" t="e">
        <f>IF(VALUE(F4776) = VALUE(RIGHT(Insights!$C$3, 4)), E4776, "")</f>
        <v>#VALUE!</v>
      </c>
      <c r="H4776" s="26" t="e">
        <f t="shared" si="1"/>
        <v>#VALUE!</v>
      </c>
      <c r="I4776" s="1" t="e">
        <f t="shared" si="2"/>
        <v>#VALUE!</v>
      </c>
    </row>
    <row r="4777" spans="1:9" ht="15.75" customHeight="1">
      <c r="A4777" s="26"/>
      <c r="B4777" s="2"/>
      <c r="C4777" s="26"/>
      <c r="D4777" s="26"/>
      <c r="F4777" s="85" t="str">
        <f t="shared" si="0"/>
        <v/>
      </c>
      <c r="G4777" s="1" t="e">
        <f>IF(VALUE(F4777) = VALUE(RIGHT(Insights!$C$3, 4)), E4777, "")</f>
        <v>#VALUE!</v>
      </c>
      <c r="H4777" s="26" t="e">
        <f t="shared" si="1"/>
        <v>#VALUE!</v>
      </c>
      <c r="I4777" s="1" t="e">
        <f t="shared" si="2"/>
        <v>#VALUE!</v>
      </c>
    </row>
    <row r="4778" spans="1:9" ht="15.75" customHeight="1">
      <c r="A4778" s="26"/>
      <c r="B4778" s="2"/>
      <c r="C4778" s="26"/>
      <c r="D4778" s="26"/>
      <c r="F4778" s="85" t="str">
        <f t="shared" si="0"/>
        <v/>
      </c>
      <c r="G4778" s="1" t="e">
        <f>IF(VALUE(F4778) = VALUE(RIGHT(Insights!$C$3, 4)), E4778, "")</f>
        <v>#VALUE!</v>
      </c>
      <c r="H4778" s="26" t="e">
        <f t="shared" si="1"/>
        <v>#VALUE!</v>
      </c>
      <c r="I4778" s="1" t="e">
        <f t="shared" si="2"/>
        <v>#VALUE!</v>
      </c>
    </row>
    <row r="4779" spans="1:9" ht="15.75" customHeight="1">
      <c r="A4779" s="26"/>
      <c r="B4779" s="2"/>
      <c r="C4779" s="26"/>
      <c r="D4779" s="26"/>
      <c r="F4779" s="85" t="str">
        <f t="shared" si="0"/>
        <v/>
      </c>
      <c r="G4779" s="1" t="e">
        <f>IF(VALUE(F4779) = VALUE(RIGHT(Insights!$C$3, 4)), E4779, "")</f>
        <v>#VALUE!</v>
      </c>
      <c r="H4779" s="26" t="e">
        <f t="shared" si="1"/>
        <v>#VALUE!</v>
      </c>
      <c r="I4779" s="1" t="e">
        <f t="shared" si="2"/>
        <v>#VALUE!</v>
      </c>
    </row>
    <row r="4780" spans="1:9" ht="15.75" customHeight="1">
      <c r="A4780" s="26"/>
      <c r="B4780" s="2"/>
      <c r="C4780" s="26"/>
      <c r="D4780" s="26"/>
      <c r="F4780" s="85" t="str">
        <f t="shared" si="0"/>
        <v/>
      </c>
      <c r="G4780" s="1" t="e">
        <f>IF(VALUE(F4780) = VALUE(RIGHT(Insights!$C$3, 4)), E4780, "")</f>
        <v>#VALUE!</v>
      </c>
      <c r="H4780" s="26" t="e">
        <f t="shared" si="1"/>
        <v>#VALUE!</v>
      </c>
      <c r="I4780" s="1" t="e">
        <f t="shared" si="2"/>
        <v>#VALUE!</v>
      </c>
    </row>
    <row r="4781" spans="1:9" ht="15.75" customHeight="1">
      <c r="A4781" s="26"/>
      <c r="B4781" s="2"/>
      <c r="C4781" s="26"/>
      <c r="D4781" s="26"/>
      <c r="F4781" s="85" t="str">
        <f t="shared" si="0"/>
        <v/>
      </c>
      <c r="G4781" s="1" t="e">
        <f>IF(VALUE(F4781) = VALUE(RIGHT(Insights!$C$3, 4)), E4781, "")</f>
        <v>#VALUE!</v>
      </c>
      <c r="H4781" s="26" t="e">
        <f t="shared" si="1"/>
        <v>#VALUE!</v>
      </c>
      <c r="I4781" s="1" t="e">
        <f t="shared" si="2"/>
        <v>#VALUE!</v>
      </c>
    </row>
    <row r="4782" spans="1:9" ht="15.75" customHeight="1">
      <c r="A4782" s="26"/>
      <c r="B4782" s="2"/>
      <c r="C4782" s="26"/>
      <c r="D4782" s="26"/>
      <c r="F4782" s="85" t="str">
        <f t="shared" si="0"/>
        <v/>
      </c>
      <c r="G4782" s="1" t="e">
        <f>IF(VALUE(F4782) = VALUE(RIGHT(Insights!$C$3, 4)), E4782, "")</f>
        <v>#VALUE!</v>
      </c>
      <c r="H4782" s="26" t="e">
        <f t="shared" si="1"/>
        <v>#VALUE!</v>
      </c>
      <c r="I4782" s="1" t="e">
        <f t="shared" si="2"/>
        <v>#VALUE!</v>
      </c>
    </row>
    <row r="4783" spans="1:9" ht="15.75" customHeight="1">
      <c r="A4783" s="26"/>
      <c r="B4783" s="2"/>
      <c r="C4783" s="26"/>
      <c r="D4783" s="26"/>
      <c r="F4783" s="85" t="str">
        <f t="shared" si="0"/>
        <v/>
      </c>
      <c r="G4783" s="1" t="e">
        <f>IF(VALUE(F4783) = VALUE(RIGHT(Insights!$C$3, 4)), E4783, "")</f>
        <v>#VALUE!</v>
      </c>
      <c r="H4783" s="26" t="e">
        <f t="shared" si="1"/>
        <v>#VALUE!</v>
      </c>
      <c r="I4783" s="1" t="e">
        <f t="shared" si="2"/>
        <v>#VALUE!</v>
      </c>
    </row>
    <row r="4784" spans="1:9" ht="15.75" customHeight="1">
      <c r="A4784" s="26"/>
      <c r="B4784" s="2"/>
      <c r="C4784" s="26"/>
      <c r="D4784" s="26"/>
      <c r="F4784" s="85" t="str">
        <f t="shared" si="0"/>
        <v/>
      </c>
      <c r="G4784" s="1" t="e">
        <f>IF(VALUE(F4784) = VALUE(RIGHT(Insights!$C$3, 4)), E4784, "")</f>
        <v>#VALUE!</v>
      </c>
      <c r="H4784" s="26" t="e">
        <f t="shared" si="1"/>
        <v>#VALUE!</v>
      </c>
      <c r="I4784" s="1" t="e">
        <f t="shared" si="2"/>
        <v>#VALUE!</v>
      </c>
    </row>
    <row r="4785" spans="1:9" ht="15.75" customHeight="1">
      <c r="A4785" s="26"/>
      <c r="B4785" s="2"/>
      <c r="C4785" s="26"/>
      <c r="D4785" s="26"/>
      <c r="F4785" s="85" t="str">
        <f t="shared" si="0"/>
        <v/>
      </c>
      <c r="G4785" s="1" t="e">
        <f>IF(VALUE(F4785) = VALUE(RIGHT(Insights!$C$3, 4)), E4785, "")</f>
        <v>#VALUE!</v>
      </c>
      <c r="H4785" s="26" t="e">
        <f t="shared" si="1"/>
        <v>#VALUE!</v>
      </c>
      <c r="I4785" s="1" t="e">
        <f t="shared" si="2"/>
        <v>#VALUE!</v>
      </c>
    </row>
    <row r="4786" spans="1:9" ht="15.75" customHeight="1">
      <c r="A4786" s="26"/>
      <c r="B4786" s="2"/>
      <c r="C4786" s="26"/>
      <c r="D4786" s="26"/>
      <c r="F4786" s="85" t="str">
        <f t="shared" si="0"/>
        <v/>
      </c>
      <c r="G4786" s="1" t="e">
        <f>IF(VALUE(F4786) = VALUE(RIGHT(Insights!$C$3, 4)), E4786, "")</f>
        <v>#VALUE!</v>
      </c>
      <c r="H4786" s="26" t="e">
        <f t="shared" si="1"/>
        <v>#VALUE!</v>
      </c>
      <c r="I4786" s="1" t="e">
        <f t="shared" si="2"/>
        <v>#VALUE!</v>
      </c>
    </row>
    <row r="4787" spans="1:9" ht="15.75" customHeight="1">
      <c r="A4787" s="26"/>
      <c r="B4787" s="2"/>
      <c r="C4787" s="26"/>
      <c r="D4787" s="26"/>
      <c r="F4787" s="85" t="str">
        <f t="shared" si="0"/>
        <v/>
      </c>
      <c r="G4787" s="1" t="e">
        <f>IF(VALUE(F4787) = VALUE(RIGHT(Insights!$C$3, 4)), E4787, "")</f>
        <v>#VALUE!</v>
      </c>
      <c r="H4787" s="26" t="e">
        <f t="shared" si="1"/>
        <v>#VALUE!</v>
      </c>
      <c r="I4787" s="1" t="e">
        <f t="shared" si="2"/>
        <v>#VALUE!</v>
      </c>
    </row>
    <row r="4788" spans="1:9" ht="15.75" customHeight="1">
      <c r="A4788" s="26"/>
      <c r="B4788" s="2"/>
      <c r="C4788" s="26"/>
      <c r="D4788" s="26"/>
      <c r="F4788" s="85" t="str">
        <f t="shared" si="0"/>
        <v/>
      </c>
      <c r="G4788" s="1" t="e">
        <f>IF(VALUE(F4788) = VALUE(RIGHT(Insights!$C$3, 4)), E4788, "")</f>
        <v>#VALUE!</v>
      </c>
      <c r="H4788" s="26" t="e">
        <f t="shared" si="1"/>
        <v>#VALUE!</v>
      </c>
      <c r="I4788" s="1" t="e">
        <f t="shared" si="2"/>
        <v>#VALUE!</v>
      </c>
    </row>
    <row r="4789" spans="1:9" ht="15.75" customHeight="1">
      <c r="A4789" s="26"/>
      <c r="B4789" s="2"/>
      <c r="C4789" s="26"/>
      <c r="D4789" s="26"/>
      <c r="F4789" s="85" t="str">
        <f t="shared" si="0"/>
        <v/>
      </c>
      <c r="G4789" s="1" t="e">
        <f>IF(VALUE(F4789) = VALUE(RIGHT(Insights!$C$3, 4)), E4789, "")</f>
        <v>#VALUE!</v>
      </c>
      <c r="H4789" s="26" t="e">
        <f t="shared" si="1"/>
        <v>#VALUE!</v>
      </c>
      <c r="I4789" s="1" t="e">
        <f t="shared" si="2"/>
        <v>#VALUE!</v>
      </c>
    </row>
    <row r="4790" spans="1:9" ht="15.75" customHeight="1">
      <c r="A4790" s="26"/>
      <c r="B4790" s="2"/>
      <c r="C4790" s="26"/>
      <c r="D4790" s="26"/>
      <c r="F4790" s="85" t="str">
        <f t="shared" si="0"/>
        <v/>
      </c>
      <c r="G4790" s="1" t="e">
        <f>IF(VALUE(F4790) = VALUE(RIGHT(Insights!$C$3, 4)), E4790, "")</f>
        <v>#VALUE!</v>
      </c>
      <c r="H4790" s="26" t="e">
        <f t="shared" si="1"/>
        <v>#VALUE!</v>
      </c>
      <c r="I4790" s="1" t="e">
        <f t="shared" si="2"/>
        <v>#VALUE!</v>
      </c>
    </row>
    <row r="4791" spans="1:9" ht="15.75" customHeight="1">
      <c r="A4791" s="26"/>
      <c r="B4791" s="2"/>
      <c r="C4791" s="26"/>
      <c r="D4791" s="26"/>
      <c r="F4791" s="85" t="str">
        <f t="shared" si="0"/>
        <v/>
      </c>
      <c r="G4791" s="1" t="e">
        <f>IF(VALUE(F4791) = VALUE(RIGHT(Insights!$C$3, 4)), E4791, "")</f>
        <v>#VALUE!</v>
      </c>
      <c r="H4791" s="26" t="e">
        <f t="shared" si="1"/>
        <v>#VALUE!</v>
      </c>
      <c r="I4791" s="1" t="e">
        <f t="shared" si="2"/>
        <v>#VALUE!</v>
      </c>
    </row>
    <row r="4792" spans="1:9" ht="15.75" customHeight="1">
      <c r="A4792" s="26"/>
      <c r="B4792" s="2"/>
      <c r="C4792" s="26"/>
      <c r="D4792" s="26"/>
      <c r="F4792" s="85" t="str">
        <f t="shared" si="0"/>
        <v/>
      </c>
      <c r="G4792" s="1" t="e">
        <f>IF(VALUE(F4792) = VALUE(RIGHT(Insights!$C$3, 4)), E4792, "")</f>
        <v>#VALUE!</v>
      </c>
      <c r="H4792" s="26" t="e">
        <f t="shared" si="1"/>
        <v>#VALUE!</v>
      </c>
      <c r="I4792" s="1" t="e">
        <f t="shared" si="2"/>
        <v>#VALUE!</v>
      </c>
    </row>
    <row r="4793" spans="1:9" ht="15.75" customHeight="1">
      <c r="A4793" s="26"/>
      <c r="B4793" s="2"/>
      <c r="C4793" s="26"/>
      <c r="D4793" s="26"/>
      <c r="F4793" s="85" t="str">
        <f t="shared" si="0"/>
        <v/>
      </c>
      <c r="G4793" s="1" t="e">
        <f>IF(VALUE(F4793) = VALUE(RIGHT(Insights!$C$3, 4)), E4793, "")</f>
        <v>#VALUE!</v>
      </c>
      <c r="H4793" s="26" t="e">
        <f t="shared" si="1"/>
        <v>#VALUE!</v>
      </c>
      <c r="I4793" s="1" t="e">
        <f t="shared" si="2"/>
        <v>#VALUE!</v>
      </c>
    </row>
    <row r="4794" spans="1:9" ht="15.75" customHeight="1">
      <c r="A4794" s="26"/>
      <c r="B4794" s="2"/>
      <c r="C4794" s="26"/>
      <c r="D4794" s="26"/>
      <c r="F4794" s="85" t="str">
        <f t="shared" si="0"/>
        <v/>
      </c>
      <c r="G4794" s="1" t="e">
        <f>IF(VALUE(F4794) = VALUE(RIGHT(Insights!$C$3, 4)), E4794, "")</f>
        <v>#VALUE!</v>
      </c>
      <c r="H4794" s="26" t="e">
        <f t="shared" si="1"/>
        <v>#VALUE!</v>
      </c>
      <c r="I4794" s="1" t="e">
        <f t="shared" si="2"/>
        <v>#VALUE!</v>
      </c>
    </row>
    <row r="4795" spans="1:9" ht="15.75" customHeight="1">
      <c r="A4795" s="26"/>
      <c r="B4795" s="2"/>
      <c r="C4795" s="26"/>
      <c r="D4795" s="26"/>
      <c r="F4795" s="85" t="str">
        <f t="shared" si="0"/>
        <v/>
      </c>
      <c r="G4795" s="1" t="e">
        <f>IF(VALUE(F4795) = VALUE(RIGHT(Insights!$C$3, 4)), E4795, "")</f>
        <v>#VALUE!</v>
      </c>
      <c r="H4795" s="26" t="e">
        <f t="shared" si="1"/>
        <v>#VALUE!</v>
      </c>
      <c r="I4795" s="1" t="e">
        <f t="shared" si="2"/>
        <v>#VALUE!</v>
      </c>
    </row>
    <row r="4796" spans="1:9" ht="15.75" customHeight="1">
      <c r="A4796" s="26"/>
      <c r="B4796" s="2"/>
      <c r="C4796" s="26"/>
      <c r="D4796" s="26"/>
      <c r="F4796" s="85" t="str">
        <f t="shared" si="0"/>
        <v/>
      </c>
      <c r="G4796" s="1" t="e">
        <f>IF(VALUE(F4796) = VALUE(RIGHT(Insights!$C$3, 4)), E4796, "")</f>
        <v>#VALUE!</v>
      </c>
      <c r="H4796" s="26" t="e">
        <f t="shared" si="1"/>
        <v>#VALUE!</v>
      </c>
      <c r="I4796" s="1" t="e">
        <f t="shared" si="2"/>
        <v>#VALUE!</v>
      </c>
    </row>
    <row r="4797" spans="1:9" ht="15.75" customHeight="1">
      <c r="A4797" s="26"/>
      <c r="B4797" s="2"/>
      <c r="C4797" s="26"/>
      <c r="D4797" s="26"/>
      <c r="F4797" s="85" t="str">
        <f t="shared" si="0"/>
        <v/>
      </c>
      <c r="G4797" s="1" t="e">
        <f>IF(VALUE(F4797) = VALUE(RIGHT(Insights!$C$3, 4)), E4797, "")</f>
        <v>#VALUE!</v>
      </c>
      <c r="H4797" s="26" t="e">
        <f t="shared" si="1"/>
        <v>#VALUE!</v>
      </c>
      <c r="I4797" s="1" t="e">
        <f t="shared" si="2"/>
        <v>#VALUE!</v>
      </c>
    </row>
    <row r="4798" spans="1:9" ht="15.75" customHeight="1">
      <c r="A4798" s="26"/>
      <c r="B4798" s="2"/>
      <c r="C4798" s="26"/>
      <c r="D4798" s="26"/>
      <c r="F4798" s="85" t="str">
        <f t="shared" si="0"/>
        <v/>
      </c>
      <c r="G4798" s="1" t="e">
        <f>IF(VALUE(F4798) = VALUE(RIGHT(Insights!$C$3, 4)), E4798, "")</f>
        <v>#VALUE!</v>
      </c>
      <c r="H4798" s="26" t="e">
        <f t="shared" si="1"/>
        <v>#VALUE!</v>
      </c>
      <c r="I4798" s="1" t="e">
        <f t="shared" si="2"/>
        <v>#VALUE!</v>
      </c>
    </row>
    <row r="4799" spans="1:9" ht="15.75" customHeight="1">
      <c r="A4799" s="26"/>
      <c r="B4799" s="2"/>
      <c r="C4799" s="26"/>
      <c r="D4799" s="26"/>
      <c r="F4799" s="85" t="str">
        <f t="shared" si="0"/>
        <v/>
      </c>
      <c r="G4799" s="1" t="e">
        <f>IF(VALUE(F4799) = VALUE(RIGHT(Insights!$C$3, 4)), E4799, "")</f>
        <v>#VALUE!</v>
      </c>
      <c r="H4799" s="26" t="e">
        <f t="shared" si="1"/>
        <v>#VALUE!</v>
      </c>
      <c r="I4799" s="1" t="e">
        <f t="shared" si="2"/>
        <v>#VALUE!</v>
      </c>
    </row>
    <row r="4800" spans="1:9" ht="15.75" customHeight="1">
      <c r="A4800" s="26"/>
      <c r="B4800" s="2"/>
      <c r="C4800" s="26"/>
      <c r="D4800" s="26"/>
      <c r="F4800" s="85" t="str">
        <f t="shared" si="0"/>
        <v/>
      </c>
      <c r="G4800" s="1" t="e">
        <f>IF(VALUE(F4800) = VALUE(RIGHT(Insights!$C$3, 4)), E4800, "")</f>
        <v>#VALUE!</v>
      </c>
      <c r="H4800" s="26" t="e">
        <f t="shared" si="1"/>
        <v>#VALUE!</v>
      </c>
      <c r="I4800" s="1" t="e">
        <f t="shared" si="2"/>
        <v>#VALUE!</v>
      </c>
    </row>
    <row r="4801" spans="1:9" ht="15.75" customHeight="1">
      <c r="A4801" s="26"/>
      <c r="B4801" s="2"/>
      <c r="C4801" s="26"/>
      <c r="D4801" s="26"/>
      <c r="F4801" s="85" t="str">
        <f t="shared" si="0"/>
        <v/>
      </c>
      <c r="G4801" s="1" t="e">
        <f>IF(VALUE(F4801) = VALUE(RIGHT(Insights!$C$3, 4)), E4801, "")</f>
        <v>#VALUE!</v>
      </c>
      <c r="H4801" s="26" t="e">
        <f t="shared" si="1"/>
        <v>#VALUE!</v>
      </c>
      <c r="I4801" s="1" t="e">
        <f t="shared" si="2"/>
        <v>#VALUE!</v>
      </c>
    </row>
    <row r="4802" spans="1:9" ht="15.75" customHeight="1">
      <c r="A4802" s="26"/>
      <c r="B4802" s="2"/>
      <c r="C4802" s="26"/>
      <c r="D4802" s="26"/>
      <c r="F4802" s="85" t="str">
        <f t="shared" si="0"/>
        <v/>
      </c>
      <c r="G4802" s="1" t="e">
        <f>IF(VALUE(F4802) = VALUE(RIGHT(Insights!$C$3, 4)), E4802, "")</f>
        <v>#VALUE!</v>
      </c>
      <c r="H4802" s="26" t="e">
        <f t="shared" si="1"/>
        <v>#VALUE!</v>
      </c>
      <c r="I4802" s="1" t="e">
        <f t="shared" si="2"/>
        <v>#VALUE!</v>
      </c>
    </row>
    <row r="4803" spans="1:9" ht="15.75" customHeight="1">
      <c r="A4803" s="26"/>
      <c r="B4803" s="2"/>
      <c r="C4803" s="26"/>
      <c r="D4803" s="26"/>
      <c r="F4803" s="85" t="str">
        <f t="shared" si="0"/>
        <v/>
      </c>
      <c r="G4803" s="1" t="e">
        <f>IF(VALUE(F4803) = VALUE(RIGHT(Insights!$C$3, 4)), E4803, "")</f>
        <v>#VALUE!</v>
      </c>
      <c r="H4803" s="26" t="e">
        <f t="shared" si="1"/>
        <v>#VALUE!</v>
      </c>
      <c r="I4803" s="1" t="e">
        <f t="shared" si="2"/>
        <v>#VALUE!</v>
      </c>
    </row>
    <row r="4804" spans="1:9" ht="15.75" customHeight="1">
      <c r="A4804" s="26"/>
      <c r="B4804" s="2"/>
      <c r="C4804" s="26"/>
      <c r="D4804" s="26"/>
      <c r="F4804" s="85" t="str">
        <f t="shared" si="0"/>
        <v/>
      </c>
      <c r="G4804" s="1" t="e">
        <f>IF(VALUE(F4804) = VALUE(RIGHT(Insights!$C$3, 4)), E4804, "")</f>
        <v>#VALUE!</v>
      </c>
      <c r="H4804" s="26" t="e">
        <f t="shared" si="1"/>
        <v>#VALUE!</v>
      </c>
      <c r="I4804" s="1" t="e">
        <f t="shared" si="2"/>
        <v>#VALUE!</v>
      </c>
    </row>
    <row r="4805" spans="1:9" ht="15.75" customHeight="1">
      <c r="A4805" s="26"/>
      <c r="B4805" s="2"/>
      <c r="C4805" s="26"/>
      <c r="D4805" s="26"/>
      <c r="F4805" s="85" t="str">
        <f t="shared" si="0"/>
        <v/>
      </c>
      <c r="G4805" s="1" t="e">
        <f>IF(VALUE(F4805) = VALUE(RIGHT(Insights!$C$3, 4)), E4805, "")</f>
        <v>#VALUE!</v>
      </c>
      <c r="H4805" s="26" t="e">
        <f t="shared" si="1"/>
        <v>#VALUE!</v>
      </c>
      <c r="I4805" s="1" t="e">
        <f t="shared" si="2"/>
        <v>#VALUE!</v>
      </c>
    </row>
    <row r="4806" spans="1:9" ht="15.75" customHeight="1">
      <c r="A4806" s="26"/>
      <c r="B4806" s="2"/>
      <c r="C4806" s="26"/>
      <c r="D4806" s="26"/>
      <c r="F4806" s="85" t="str">
        <f t="shared" si="0"/>
        <v/>
      </c>
      <c r="G4806" s="1" t="e">
        <f>IF(VALUE(F4806) = VALUE(RIGHT(Insights!$C$3, 4)), E4806, "")</f>
        <v>#VALUE!</v>
      </c>
      <c r="H4806" s="26" t="e">
        <f t="shared" si="1"/>
        <v>#VALUE!</v>
      </c>
      <c r="I4806" s="1" t="e">
        <f t="shared" si="2"/>
        <v>#VALUE!</v>
      </c>
    </row>
    <row r="4807" spans="1:9" ht="15.75" customHeight="1">
      <c r="A4807" s="26"/>
      <c r="B4807" s="2"/>
      <c r="C4807" s="26"/>
      <c r="D4807" s="26"/>
      <c r="F4807" s="85" t="str">
        <f t="shared" si="0"/>
        <v/>
      </c>
      <c r="G4807" s="1" t="e">
        <f>IF(VALUE(F4807) = VALUE(RIGHT(Insights!$C$3, 4)), E4807, "")</f>
        <v>#VALUE!</v>
      </c>
      <c r="H4807" s="26" t="e">
        <f t="shared" si="1"/>
        <v>#VALUE!</v>
      </c>
      <c r="I4807" s="1" t="e">
        <f t="shared" si="2"/>
        <v>#VALUE!</v>
      </c>
    </row>
    <row r="4808" spans="1:9" ht="15.75" customHeight="1">
      <c r="A4808" s="26"/>
      <c r="B4808" s="2"/>
      <c r="C4808" s="26"/>
      <c r="D4808" s="26"/>
      <c r="F4808" s="85" t="str">
        <f t="shared" si="0"/>
        <v/>
      </c>
      <c r="G4808" s="1" t="e">
        <f>IF(VALUE(F4808) = VALUE(RIGHT(Insights!$C$3, 4)), E4808, "")</f>
        <v>#VALUE!</v>
      </c>
      <c r="H4808" s="26" t="e">
        <f t="shared" si="1"/>
        <v>#VALUE!</v>
      </c>
      <c r="I4808" s="1" t="e">
        <f t="shared" si="2"/>
        <v>#VALUE!</v>
      </c>
    </row>
    <row r="4809" spans="1:9" ht="15.75" customHeight="1">
      <c r="A4809" s="26"/>
      <c r="B4809" s="2"/>
      <c r="C4809" s="26"/>
      <c r="D4809" s="26"/>
      <c r="F4809" s="85" t="str">
        <f t="shared" si="0"/>
        <v/>
      </c>
      <c r="G4809" s="1" t="e">
        <f>IF(VALUE(F4809) = VALUE(RIGHT(Insights!$C$3, 4)), E4809, "")</f>
        <v>#VALUE!</v>
      </c>
      <c r="H4809" s="26" t="e">
        <f t="shared" si="1"/>
        <v>#VALUE!</v>
      </c>
      <c r="I4809" s="1" t="e">
        <f t="shared" si="2"/>
        <v>#VALUE!</v>
      </c>
    </row>
    <row r="4810" spans="1:9" ht="15.75" customHeight="1">
      <c r="A4810" s="26"/>
      <c r="B4810" s="2"/>
      <c r="C4810" s="26"/>
      <c r="D4810" s="26"/>
      <c r="F4810" s="85" t="str">
        <f t="shared" si="0"/>
        <v/>
      </c>
      <c r="G4810" s="1" t="e">
        <f>IF(VALUE(F4810) = VALUE(RIGHT(Insights!$C$3, 4)), E4810, "")</f>
        <v>#VALUE!</v>
      </c>
      <c r="H4810" s="26" t="e">
        <f t="shared" si="1"/>
        <v>#VALUE!</v>
      </c>
      <c r="I4810" s="1" t="e">
        <f t="shared" si="2"/>
        <v>#VALUE!</v>
      </c>
    </row>
    <row r="4811" spans="1:9" ht="15.75" customHeight="1">
      <c r="A4811" s="26"/>
      <c r="B4811" s="2"/>
      <c r="C4811" s="26"/>
      <c r="D4811" s="26"/>
      <c r="F4811" s="85" t="str">
        <f t="shared" si="0"/>
        <v/>
      </c>
      <c r="G4811" s="1" t="e">
        <f>IF(VALUE(F4811) = VALUE(RIGHT(Insights!$C$3, 4)), E4811, "")</f>
        <v>#VALUE!</v>
      </c>
      <c r="H4811" s="26" t="e">
        <f t="shared" si="1"/>
        <v>#VALUE!</v>
      </c>
      <c r="I4811" s="1" t="e">
        <f t="shared" si="2"/>
        <v>#VALUE!</v>
      </c>
    </row>
    <row r="4812" spans="1:9" ht="15.75" customHeight="1">
      <c r="A4812" s="26"/>
      <c r="B4812" s="2"/>
      <c r="C4812" s="26"/>
      <c r="D4812" s="26"/>
      <c r="F4812" s="85" t="str">
        <f t="shared" si="0"/>
        <v/>
      </c>
      <c r="G4812" s="1" t="e">
        <f>IF(VALUE(F4812) = VALUE(RIGHT(Insights!$C$3, 4)), E4812, "")</f>
        <v>#VALUE!</v>
      </c>
      <c r="H4812" s="26" t="e">
        <f t="shared" si="1"/>
        <v>#VALUE!</v>
      </c>
      <c r="I4812" s="1" t="e">
        <f t="shared" si="2"/>
        <v>#VALUE!</v>
      </c>
    </row>
    <row r="4813" spans="1:9" ht="15.75" customHeight="1">
      <c r="A4813" s="26"/>
      <c r="B4813" s="2"/>
      <c r="C4813" s="26"/>
      <c r="D4813" s="26"/>
      <c r="F4813" s="85" t="str">
        <f t="shared" si="0"/>
        <v/>
      </c>
      <c r="G4813" s="1" t="e">
        <f>IF(VALUE(F4813) = VALUE(RIGHT(Insights!$C$3, 4)), E4813, "")</f>
        <v>#VALUE!</v>
      </c>
      <c r="H4813" s="26" t="e">
        <f t="shared" si="1"/>
        <v>#VALUE!</v>
      </c>
      <c r="I4813" s="1" t="e">
        <f t="shared" si="2"/>
        <v>#VALUE!</v>
      </c>
    </row>
    <row r="4814" spans="1:9" ht="15.75" customHeight="1">
      <c r="A4814" s="26"/>
      <c r="B4814" s="2"/>
      <c r="C4814" s="26"/>
      <c r="D4814" s="26"/>
      <c r="F4814" s="85" t="str">
        <f t="shared" si="0"/>
        <v/>
      </c>
      <c r="G4814" s="1" t="e">
        <f>IF(VALUE(F4814) = VALUE(RIGHT(Insights!$C$3, 4)), E4814, "")</f>
        <v>#VALUE!</v>
      </c>
      <c r="H4814" s="26" t="e">
        <f t="shared" si="1"/>
        <v>#VALUE!</v>
      </c>
      <c r="I4814" s="1" t="e">
        <f t="shared" si="2"/>
        <v>#VALUE!</v>
      </c>
    </row>
    <row r="4815" spans="1:9" ht="15.75" customHeight="1">
      <c r="A4815" s="26"/>
      <c r="B4815" s="2"/>
      <c r="C4815" s="26"/>
      <c r="D4815" s="26"/>
      <c r="F4815" s="85" t="str">
        <f t="shared" si="0"/>
        <v/>
      </c>
      <c r="G4815" s="1" t="e">
        <f>IF(VALUE(F4815) = VALUE(RIGHT(Insights!$C$3, 4)), E4815, "")</f>
        <v>#VALUE!</v>
      </c>
      <c r="H4815" s="26" t="e">
        <f t="shared" si="1"/>
        <v>#VALUE!</v>
      </c>
      <c r="I4815" s="1" t="e">
        <f t="shared" si="2"/>
        <v>#VALUE!</v>
      </c>
    </row>
    <row r="4816" spans="1:9" ht="15.75" customHeight="1">
      <c r="A4816" s="26"/>
      <c r="B4816" s="2"/>
      <c r="C4816" s="26"/>
      <c r="D4816" s="26"/>
      <c r="F4816" s="85" t="str">
        <f t="shared" si="0"/>
        <v/>
      </c>
      <c r="G4816" s="1" t="e">
        <f>IF(VALUE(F4816) = VALUE(RIGHT(Insights!$C$3, 4)), E4816, "")</f>
        <v>#VALUE!</v>
      </c>
      <c r="H4816" s="26" t="e">
        <f t="shared" si="1"/>
        <v>#VALUE!</v>
      </c>
      <c r="I4816" s="1" t="e">
        <f t="shared" si="2"/>
        <v>#VALUE!</v>
      </c>
    </row>
    <row r="4817" spans="1:9" ht="15.75" customHeight="1">
      <c r="A4817" s="26"/>
      <c r="B4817" s="2"/>
      <c r="C4817" s="26"/>
      <c r="D4817" s="26"/>
      <c r="F4817" s="85" t="str">
        <f t="shared" si="0"/>
        <v/>
      </c>
      <c r="G4817" s="1" t="e">
        <f>IF(VALUE(F4817) = VALUE(RIGHT(Insights!$C$3, 4)), E4817, "")</f>
        <v>#VALUE!</v>
      </c>
      <c r="H4817" s="26" t="e">
        <f t="shared" si="1"/>
        <v>#VALUE!</v>
      </c>
      <c r="I4817" s="1" t="e">
        <f t="shared" si="2"/>
        <v>#VALUE!</v>
      </c>
    </row>
    <row r="4818" spans="1:9" ht="15.75" customHeight="1">
      <c r="A4818" s="26"/>
      <c r="B4818" s="2"/>
      <c r="C4818" s="26"/>
      <c r="D4818" s="26"/>
      <c r="F4818" s="85" t="str">
        <f t="shared" si="0"/>
        <v/>
      </c>
      <c r="G4818" s="1" t="e">
        <f>IF(VALUE(F4818) = VALUE(RIGHT(Insights!$C$3, 4)), E4818, "")</f>
        <v>#VALUE!</v>
      </c>
      <c r="H4818" s="26" t="e">
        <f t="shared" si="1"/>
        <v>#VALUE!</v>
      </c>
      <c r="I4818" s="1" t="e">
        <f t="shared" si="2"/>
        <v>#VALUE!</v>
      </c>
    </row>
    <row r="4819" spans="1:9" ht="15.75" customHeight="1">
      <c r="A4819" s="26"/>
      <c r="B4819" s="2"/>
      <c r="C4819" s="26"/>
      <c r="D4819" s="26"/>
      <c r="F4819" s="85" t="str">
        <f t="shared" si="0"/>
        <v/>
      </c>
      <c r="G4819" s="1" t="e">
        <f>IF(VALUE(F4819) = VALUE(RIGHT(Insights!$C$3, 4)), E4819, "")</f>
        <v>#VALUE!</v>
      </c>
      <c r="H4819" s="26" t="e">
        <f t="shared" si="1"/>
        <v>#VALUE!</v>
      </c>
      <c r="I4819" s="1" t="e">
        <f t="shared" si="2"/>
        <v>#VALUE!</v>
      </c>
    </row>
    <row r="4820" spans="1:9" ht="15.75" customHeight="1">
      <c r="A4820" s="26"/>
      <c r="B4820" s="2"/>
      <c r="C4820" s="26"/>
      <c r="D4820" s="26"/>
      <c r="F4820" s="85" t="str">
        <f t="shared" si="0"/>
        <v/>
      </c>
      <c r="G4820" s="1" t="e">
        <f>IF(VALUE(F4820) = VALUE(RIGHT(Insights!$C$3, 4)), E4820, "")</f>
        <v>#VALUE!</v>
      </c>
      <c r="H4820" s="26" t="e">
        <f t="shared" si="1"/>
        <v>#VALUE!</v>
      </c>
      <c r="I4820" s="1" t="e">
        <f t="shared" si="2"/>
        <v>#VALUE!</v>
      </c>
    </row>
    <row r="4821" spans="1:9" ht="15.75" customHeight="1">
      <c r="A4821" s="26"/>
      <c r="B4821" s="2"/>
      <c r="C4821" s="26"/>
      <c r="D4821" s="26"/>
      <c r="F4821" s="85" t="str">
        <f t="shared" si="0"/>
        <v/>
      </c>
      <c r="G4821" s="1" t="e">
        <f>IF(VALUE(F4821) = VALUE(RIGHT(Insights!$C$3, 4)), E4821, "")</f>
        <v>#VALUE!</v>
      </c>
      <c r="H4821" s="26" t="e">
        <f t="shared" si="1"/>
        <v>#VALUE!</v>
      </c>
      <c r="I4821" s="1" t="e">
        <f t="shared" si="2"/>
        <v>#VALUE!</v>
      </c>
    </row>
    <row r="4822" spans="1:9" ht="15.75" customHeight="1">
      <c r="A4822" s="26"/>
      <c r="B4822" s="2"/>
      <c r="C4822" s="26"/>
      <c r="D4822" s="26"/>
      <c r="F4822" s="85" t="str">
        <f t="shared" si="0"/>
        <v/>
      </c>
      <c r="G4822" s="1" t="e">
        <f>IF(VALUE(F4822) = VALUE(RIGHT(Insights!$C$3, 4)), E4822, "")</f>
        <v>#VALUE!</v>
      </c>
      <c r="H4822" s="26" t="e">
        <f t="shared" si="1"/>
        <v>#VALUE!</v>
      </c>
      <c r="I4822" s="1" t="e">
        <f t="shared" si="2"/>
        <v>#VALUE!</v>
      </c>
    </row>
    <row r="4823" spans="1:9" ht="15.75" customHeight="1">
      <c r="A4823" s="26"/>
      <c r="B4823" s="2"/>
      <c r="C4823" s="26"/>
      <c r="D4823" s="26"/>
      <c r="F4823" s="85" t="str">
        <f t="shared" si="0"/>
        <v/>
      </c>
      <c r="G4823" s="1" t="e">
        <f>IF(VALUE(F4823) = VALUE(RIGHT(Insights!$C$3, 4)), E4823, "")</f>
        <v>#VALUE!</v>
      </c>
      <c r="H4823" s="26" t="e">
        <f t="shared" si="1"/>
        <v>#VALUE!</v>
      </c>
      <c r="I4823" s="1" t="e">
        <f t="shared" si="2"/>
        <v>#VALUE!</v>
      </c>
    </row>
    <row r="4824" spans="1:9" ht="15.75" customHeight="1">
      <c r="A4824" s="26"/>
      <c r="B4824" s="2"/>
      <c r="C4824" s="26"/>
      <c r="D4824" s="26"/>
      <c r="F4824" s="85" t="str">
        <f t="shared" si="0"/>
        <v/>
      </c>
      <c r="G4824" s="1" t="e">
        <f>IF(VALUE(F4824) = VALUE(RIGHT(Insights!$C$3, 4)), E4824, "")</f>
        <v>#VALUE!</v>
      </c>
      <c r="H4824" s="26" t="e">
        <f t="shared" si="1"/>
        <v>#VALUE!</v>
      </c>
      <c r="I4824" s="1" t="e">
        <f t="shared" si="2"/>
        <v>#VALUE!</v>
      </c>
    </row>
    <row r="4825" spans="1:9" ht="15.75" customHeight="1">
      <c r="A4825" s="26"/>
      <c r="B4825" s="2"/>
      <c r="C4825" s="26"/>
      <c r="D4825" s="26"/>
      <c r="F4825" s="85" t="str">
        <f t="shared" si="0"/>
        <v/>
      </c>
      <c r="G4825" s="1" t="e">
        <f>IF(VALUE(F4825) = VALUE(RIGHT(Insights!$C$3, 4)), E4825, "")</f>
        <v>#VALUE!</v>
      </c>
      <c r="H4825" s="26" t="e">
        <f t="shared" si="1"/>
        <v>#VALUE!</v>
      </c>
      <c r="I4825" s="1" t="e">
        <f t="shared" si="2"/>
        <v>#VALUE!</v>
      </c>
    </row>
    <row r="4826" spans="1:9" ht="15.75" customHeight="1">
      <c r="A4826" s="26"/>
      <c r="B4826" s="2"/>
      <c r="C4826" s="26"/>
      <c r="D4826" s="26"/>
      <c r="F4826" s="85" t="str">
        <f t="shared" si="0"/>
        <v/>
      </c>
      <c r="G4826" s="1" t="e">
        <f>IF(VALUE(F4826) = VALUE(RIGHT(Insights!$C$3, 4)), E4826, "")</f>
        <v>#VALUE!</v>
      </c>
      <c r="H4826" s="26" t="e">
        <f t="shared" si="1"/>
        <v>#VALUE!</v>
      </c>
      <c r="I4826" s="1" t="e">
        <f t="shared" si="2"/>
        <v>#VALUE!</v>
      </c>
    </row>
    <row r="4827" spans="1:9" ht="15.75" customHeight="1">
      <c r="A4827" s="26"/>
      <c r="B4827" s="2"/>
      <c r="C4827" s="26"/>
      <c r="D4827" s="26"/>
      <c r="F4827" s="85" t="str">
        <f t="shared" si="0"/>
        <v/>
      </c>
      <c r="G4827" s="1" t="e">
        <f>IF(VALUE(F4827) = VALUE(RIGHT(Insights!$C$3, 4)), E4827, "")</f>
        <v>#VALUE!</v>
      </c>
      <c r="H4827" s="26" t="e">
        <f t="shared" si="1"/>
        <v>#VALUE!</v>
      </c>
      <c r="I4827" s="1" t="e">
        <f t="shared" si="2"/>
        <v>#VALUE!</v>
      </c>
    </row>
    <row r="4828" spans="1:9" ht="15.75" customHeight="1">
      <c r="A4828" s="26"/>
      <c r="B4828" s="2"/>
      <c r="C4828" s="26"/>
      <c r="D4828" s="26"/>
      <c r="F4828" s="85" t="str">
        <f t="shared" si="0"/>
        <v/>
      </c>
      <c r="G4828" s="1" t="e">
        <f>IF(VALUE(F4828) = VALUE(RIGHT(Insights!$C$3, 4)), E4828, "")</f>
        <v>#VALUE!</v>
      </c>
      <c r="H4828" s="26" t="e">
        <f t="shared" si="1"/>
        <v>#VALUE!</v>
      </c>
      <c r="I4828" s="1" t="e">
        <f t="shared" si="2"/>
        <v>#VALUE!</v>
      </c>
    </row>
    <row r="4829" spans="1:9" ht="15.75" customHeight="1">
      <c r="A4829" s="26"/>
      <c r="B4829" s="2"/>
      <c r="C4829" s="26"/>
      <c r="D4829" s="26"/>
      <c r="F4829" s="85" t="str">
        <f t="shared" si="0"/>
        <v/>
      </c>
      <c r="G4829" s="1" t="e">
        <f>IF(VALUE(F4829) = VALUE(RIGHT(Insights!$C$3, 4)), E4829, "")</f>
        <v>#VALUE!</v>
      </c>
      <c r="H4829" s="26" t="e">
        <f t="shared" si="1"/>
        <v>#VALUE!</v>
      </c>
      <c r="I4829" s="1" t="e">
        <f t="shared" si="2"/>
        <v>#VALUE!</v>
      </c>
    </row>
    <row r="4830" spans="1:9" ht="15.75" customHeight="1">
      <c r="A4830" s="26"/>
      <c r="B4830" s="2"/>
      <c r="C4830" s="26"/>
      <c r="D4830" s="26"/>
      <c r="F4830" s="85" t="str">
        <f t="shared" si="0"/>
        <v/>
      </c>
      <c r="G4830" s="1" t="e">
        <f>IF(VALUE(F4830) = VALUE(RIGHT(Insights!$C$3, 4)), E4830, "")</f>
        <v>#VALUE!</v>
      </c>
      <c r="H4830" s="26" t="e">
        <f t="shared" si="1"/>
        <v>#VALUE!</v>
      </c>
      <c r="I4830" s="1" t="e">
        <f t="shared" si="2"/>
        <v>#VALUE!</v>
      </c>
    </row>
    <row r="4831" spans="1:9" ht="15.75" customHeight="1">
      <c r="A4831" s="26"/>
      <c r="B4831" s="2"/>
      <c r="C4831" s="26"/>
      <c r="D4831" s="26"/>
      <c r="F4831" s="85" t="str">
        <f t="shared" si="0"/>
        <v/>
      </c>
      <c r="G4831" s="1" t="e">
        <f>IF(VALUE(F4831) = VALUE(RIGHT(Insights!$C$3, 4)), E4831, "")</f>
        <v>#VALUE!</v>
      </c>
      <c r="H4831" s="26" t="e">
        <f t="shared" si="1"/>
        <v>#VALUE!</v>
      </c>
      <c r="I4831" s="1" t="e">
        <f t="shared" si="2"/>
        <v>#VALUE!</v>
      </c>
    </row>
    <row r="4832" spans="1:9" ht="15.75" customHeight="1">
      <c r="A4832" s="26"/>
      <c r="B4832" s="2"/>
      <c r="C4832" s="26"/>
      <c r="D4832" s="26"/>
      <c r="F4832" s="85" t="str">
        <f t="shared" si="0"/>
        <v/>
      </c>
      <c r="G4832" s="1" t="e">
        <f>IF(VALUE(F4832) = VALUE(RIGHT(Insights!$C$3, 4)), E4832, "")</f>
        <v>#VALUE!</v>
      </c>
      <c r="H4832" s="26" t="e">
        <f t="shared" si="1"/>
        <v>#VALUE!</v>
      </c>
      <c r="I4832" s="1" t="e">
        <f t="shared" si="2"/>
        <v>#VALUE!</v>
      </c>
    </row>
    <row r="4833" spans="1:9" ht="15.75" customHeight="1">
      <c r="A4833" s="26"/>
      <c r="B4833" s="2"/>
      <c r="C4833" s="26"/>
      <c r="D4833" s="26"/>
      <c r="F4833" s="85" t="str">
        <f t="shared" si="0"/>
        <v/>
      </c>
      <c r="G4833" s="1" t="e">
        <f>IF(VALUE(F4833) = VALUE(RIGHT(Insights!$C$3, 4)), E4833, "")</f>
        <v>#VALUE!</v>
      </c>
      <c r="H4833" s="26" t="e">
        <f t="shared" si="1"/>
        <v>#VALUE!</v>
      </c>
      <c r="I4833" s="1" t="e">
        <f t="shared" si="2"/>
        <v>#VALUE!</v>
      </c>
    </row>
    <row r="4834" spans="1:9" ht="15.75" customHeight="1">
      <c r="A4834" s="26"/>
      <c r="B4834" s="2"/>
      <c r="C4834" s="26"/>
      <c r="D4834" s="26"/>
      <c r="F4834" s="85" t="str">
        <f t="shared" si="0"/>
        <v/>
      </c>
      <c r="G4834" s="1" t="e">
        <f>IF(VALUE(F4834) = VALUE(RIGHT(Insights!$C$3, 4)), E4834, "")</f>
        <v>#VALUE!</v>
      </c>
      <c r="H4834" s="26" t="e">
        <f t="shared" si="1"/>
        <v>#VALUE!</v>
      </c>
      <c r="I4834" s="1" t="e">
        <f t="shared" si="2"/>
        <v>#VALUE!</v>
      </c>
    </row>
    <row r="4835" spans="1:9" ht="15.75" customHeight="1">
      <c r="A4835" s="26"/>
      <c r="B4835" s="2"/>
      <c r="C4835" s="26"/>
      <c r="D4835" s="26"/>
      <c r="F4835" s="85" t="str">
        <f t="shared" si="0"/>
        <v/>
      </c>
      <c r="G4835" s="1" t="e">
        <f>IF(VALUE(F4835) = VALUE(RIGHT(Insights!$C$3, 4)), E4835, "")</f>
        <v>#VALUE!</v>
      </c>
      <c r="H4835" s="26" t="e">
        <f t="shared" si="1"/>
        <v>#VALUE!</v>
      </c>
      <c r="I4835" s="1" t="e">
        <f t="shared" si="2"/>
        <v>#VALUE!</v>
      </c>
    </row>
    <row r="4836" spans="1:9" ht="15.75" customHeight="1">
      <c r="A4836" s="26"/>
      <c r="B4836" s="2"/>
      <c r="C4836" s="26"/>
      <c r="D4836" s="26"/>
      <c r="F4836" s="85" t="str">
        <f t="shared" si="0"/>
        <v/>
      </c>
      <c r="G4836" s="1" t="e">
        <f>IF(VALUE(F4836) = VALUE(RIGHT(Insights!$C$3, 4)), E4836, "")</f>
        <v>#VALUE!</v>
      </c>
      <c r="H4836" s="26" t="e">
        <f t="shared" si="1"/>
        <v>#VALUE!</v>
      </c>
      <c r="I4836" s="1" t="e">
        <f t="shared" si="2"/>
        <v>#VALUE!</v>
      </c>
    </row>
    <row r="4837" spans="1:9" ht="15.75" customHeight="1">
      <c r="A4837" s="26"/>
      <c r="B4837" s="2"/>
      <c r="C4837" s="26"/>
      <c r="D4837" s="26"/>
      <c r="F4837" s="85" t="str">
        <f t="shared" si="0"/>
        <v/>
      </c>
      <c r="G4837" s="1" t="e">
        <f>IF(VALUE(F4837) = VALUE(RIGHT(Insights!$C$3, 4)), E4837, "")</f>
        <v>#VALUE!</v>
      </c>
      <c r="H4837" s="26" t="e">
        <f t="shared" si="1"/>
        <v>#VALUE!</v>
      </c>
      <c r="I4837" s="1" t="e">
        <f t="shared" si="2"/>
        <v>#VALUE!</v>
      </c>
    </row>
    <row r="4838" spans="1:9" ht="15.75" customHeight="1">
      <c r="A4838" s="26"/>
      <c r="B4838" s="2"/>
      <c r="C4838" s="26"/>
      <c r="D4838" s="26"/>
      <c r="F4838" s="85" t="str">
        <f t="shared" si="0"/>
        <v/>
      </c>
      <c r="G4838" s="1" t="e">
        <f>IF(VALUE(F4838) = VALUE(RIGHT(Insights!$C$3, 4)), E4838, "")</f>
        <v>#VALUE!</v>
      </c>
      <c r="H4838" s="26" t="e">
        <f t="shared" si="1"/>
        <v>#VALUE!</v>
      </c>
      <c r="I4838" s="1" t="e">
        <f t="shared" si="2"/>
        <v>#VALUE!</v>
      </c>
    </row>
    <row r="4839" spans="1:9" ht="15.75" customHeight="1">
      <c r="A4839" s="26"/>
      <c r="B4839" s="2"/>
      <c r="C4839" s="26"/>
      <c r="D4839" s="26"/>
      <c r="F4839" s="85" t="str">
        <f t="shared" si="0"/>
        <v/>
      </c>
      <c r="G4839" s="1" t="e">
        <f>IF(VALUE(F4839) = VALUE(RIGHT(Insights!$C$3, 4)), E4839, "")</f>
        <v>#VALUE!</v>
      </c>
      <c r="H4839" s="26" t="e">
        <f t="shared" si="1"/>
        <v>#VALUE!</v>
      </c>
      <c r="I4839" s="1" t="e">
        <f t="shared" si="2"/>
        <v>#VALUE!</v>
      </c>
    </row>
    <row r="4840" spans="1:9" ht="15.75" customHeight="1">
      <c r="A4840" s="26"/>
      <c r="B4840" s="2"/>
      <c r="C4840" s="26"/>
      <c r="D4840" s="26"/>
      <c r="F4840" s="85" t="str">
        <f t="shared" si="0"/>
        <v/>
      </c>
      <c r="G4840" s="1" t="e">
        <f>IF(VALUE(F4840) = VALUE(RIGHT(Insights!$C$3, 4)), E4840, "")</f>
        <v>#VALUE!</v>
      </c>
      <c r="H4840" s="26" t="e">
        <f t="shared" si="1"/>
        <v>#VALUE!</v>
      </c>
      <c r="I4840" s="1" t="e">
        <f t="shared" si="2"/>
        <v>#VALUE!</v>
      </c>
    </row>
    <row r="4841" spans="1:9" ht="15.75" customHeight="1">
      <c r="A4841" s="26"/>
      <c r="B4841" s="2"/>
      <c r="C4841" s="26"/>
      <c r="D4841" s="26"/>
      <c r="F4841" s="85" t="str">
        <f t="shared" si="0"/>
        <v/>
      </c>
      <c r="G4841" s="1" t="e">
        <f>IF(VALUE(F4841) = VALUE(RIGHT(Insights!$C$3, 4)), E4841, "")</f>
        <v>#VALUE!</v>
      </c>
      <c r="H4841" s="26" t="e">
        <f t="shared" si="1"/>
        <v>#VALUE!</v>
      </c>
      <c r="I4841" s="1" t="e">
        <f t="shared" si="2"/>
        <v>#VALUE!</v>
      </c>
    </row>
    <row r="4842" spans="1:9" ht="15.75" customHeight="1">
      <c r="A4842" s="26"/>
      <c r="B4842" s="2"/>
      <c r="C4842" s="26"/>
      <c r="D4842" s="26"/>
      <c r="F4842" s="85" t="str">
        <f t="shared" si="0"/>
        <v/>
      </c>
      <c r="G4842" s="1" t="e">
        <f>IF(VALUE(F4842) = VALUE(RIGHT(Insights!$C$3, 4)), E4842, "")</f>
        <v>#VALUE!</v>
      </c>
      <c r="H4842" s="26" t="e">
        <f t="shared" si="1"/>
        <v>#VALUE!</v>
      </c>
      <c r="I4842" s="1" t="e">
        <f t="shared" si="2"/>
        <v>#VALUE!</v>
      </c>
    </row>
    <row r="4843" spans="1:9" ht="15.75" customHeight="1">
      <c r="A4843" s="26"/>
      <c r="B4843" s="2"/>
      <c r="C4843" s="26"/>
      <c r="D4843" s="26"/>
      <c r="F4843" s="85" t="str">
        <f t="shared" si="0"/>
        <v/>
      </c>
      <c r="G4843" s="1" t="e">
        <f>IF(VALUE(F4843) = VALUE(RIGHT(Insights!$C$3, 4)), E4843, "")</f>
        <v>#VALUE!</v>
      </c>
      <c r="H4843" s="26" t="e">
        <f t="shared" si="1"/>
        <v>#VALUE!</v>
      </c>
      <c r="I4843" s="1" t="e">
        <f t="shared" si="2"/>
        <v>#VALUE!</v>
      </c>
    </row>
    <row r="4844" spans="1:9" ht="15.75" customHeight="1">
      <c r="A4844" s="26"/>
      <c r="B4844" s="2"/>
      <c r="C4844" s="26"/>
      <c r="D4844" s="26"/>
      <c r="F4844" s="85" t="str">
        <f t="shared" si="0"/>
        <v/>
      </c>
      <c r="G4844" s="1" t="e">
        <f>IF(VALUE(F4844) = VALUE(RIGHT(Insights!$C$3, 4)), E4844, "")</f>
        <v>#VALUE!</v>
      </c>
      <c r="H4844" s="26" t="e">
        <f t="shared" si="1"/>
        <v>#VALUE!</v>
      </c>
      <c r="I4844" s="1" t="e">
        <f t="shared" si="2"/>
        <v>#VALUE!</v>
      </c>
    </row>
    <row r="4845" spans="1:9" ht="15.75" customHeight="1">
      <c r="A4845" s="26"/>
      <c r="B4845" s="2"/>
      <c r="C4845" s="26"/>
      <c r="D4845" s="26"/>
      <c r="F4845" s="85" t="str">
        <f t="shared" si="0"/>
        <v/>
      </c>
      <c r="G4845" s="1" t="e">
        <f>IF(VALUE(F4845) = VALUE(RIGHT(Insights!$C$3, 4)), E4845, "")</f>
        <v>#VALUE!</v>
      </c>
      <c r="H4845" s="26" t="e">
        <f t="shared" si="1"/>
        <v>#VALUE!</v>
      </c>
      <c r="I4845" s="1" t="e">
        <f t="shared" si="2"/>
        <v>#VALUE!</v>
      </c>
    </row>
    <row r="4846" spans="1:9" ht="15.75" customHeight="1">
      <c r="A4846" s="26"/>
      <c r="B4846" s="2"/>
      <c r="C4846" s="26"/>
      <c r="D4846" s="26"/>
      <c r="F4846" s="85" t="str">
        <f t="shared" si="0"/>
        <v/>
      </c>
      <c r="G4846" s="1" t="e">
        <f>IF(VALUE(F4846) = VALUE(RIGHT(Insights!$C$3, 4)), E4846, "")</f>
        <v>#VALUE!</v>
      </c>
      <c r="H4846" s="26" t="e">
        <f t="shared" si="1"/>
        <v>#VALUE!</v>
      </c>
      <c r="I4846" s="1" t="e">
        <f t="shared" si="2"/>
        <v>#VALUE!</v>
      </c>
    </row>
    <row r="4847" spans="1:9" ht="15.75" customHeight="1">
      <c r="A4847" s="26"/>
      <c r="B4847" s="2"/>
      <c r="C4847" s="26"/>
      <c r="D4847" s="26"/>
      <c r="F4847" s="85" t="str">
        <f t="shared" si="0"/>
        <v/>
      </c>
      <c r="G4847" s="1" t="e">
        <f>IF(VALUE(F4847) = VALUE(RIGHT(Insights!$C$3, 4)), E4847, "")</f>
        <v>#VALUE!</v>
      </c>
      <c r="H4847" s="26" t="e">
        <f t="shared" si="1"/>
        <v>#VALUE!</v>
      </c>
      <c r="I4847" s="1" t="e">
        <f t="shared" si="2"/>
        <v>#VALUE!</v>
      </c>
    </row>
    <row r="4848" spans="1:9" ht="15.75" customHeight="1">
      <c r="A4848" s="26"/>
      <c r="B4848" s="2"/>
      <c r="C4848" s="26"/>
      <c r="D4848" s="26"/>
      <c r="F4848" s="85" t="str">
        <f t="shared" si="0"/>
        <v/>
      </c>
      <c r="G4848" s="1" t="e">
        <f>IF(VALUE(F4848) = VALUE(RIGHT(Insights!$C$3, 4)), E4848, "")</f>
        <v>#VALUE!</v>
      </c>
      <c r="H4848" s="26" t="e">
        <f t="shared" si="1"/>
        <v>#VALUE!</v>
      </c>
      <c r="I4848" s="1" t="e">
        <f t="shared" si="2"/>
        <v>#VALUE!</v>
      </c>
    </row>
    <row r="4849" spans="1:9" ht="15.75" customHeight="1">
      <c r="A4849" s="26"/>
      <c r="B4849" s="2"/>
      <c r="C4849" s="26"/>
      <c r="D4849" s="26"/>
      <c r="F4849" s="85" t="str">
        <f t="shared" si="0"/>
        <v/>
      </c>
      <c r="G4849" s="1" t="e">
        <f>IF(VALUE(F4849) = VALUE(RIGHT(Insights!$C$3, 4)), E4849, "")</f>
        <v>#VALUE!</v>
      </c>
      <c r="H4849" s="26" t="e">
        <f t="shared" si="1"/>
        <v>#VALUE!</v>
      </c>
      <c r="I4849" s="1" t="e">
        <f t="shared" si="2"/>
        <v>#VALUE!</v>
      </c>
    </row>
    <row r="4850" spans="1:9" ht="15.75" customHeight="1">
      <c r="A4850" s="26"/>
      <c r="B4850" s="2"/>
      <c r="C4850" s="26"/>
      <c r="D4850" s="26"/>
      <c r="F4850" s="85" t="str">
        <f t="shared" si="0"/>
        <v/>
      </c>
      <c r="G4850" s="1" t="e">
        <f>IF(VALUE(F4850) = VALUE(RIGHT(Insights!$C$3, 4)), E4850, "")</f>
        <v>#VALUE!</v>
      </c>
      <c r="H4850" s="26" t="e">
        <f t="shared" si="1"/>
        <v>#VALUE!</v>
      </c>
      <c r="I4850" s="1" t="e">
        <f t="shared" si="2"/>
        <v>#VALUE!</v>
      </c>
    </row>
    <row r="4851" spans="1:9" ht="15.75" customHeight="1">
      <c r="A4851" s="26"/>
      <c r="B4851" s="2"/>
      <c r="C4851" s="26"/>
      <c r="D4851" s="26"/>
      <c r="F4851" s="85" t="str">
        <f t="shared" si="0"/>
        <v/>
      </c>
      <c r="G4851" s="1" t="e">
        <f>IF(VALUE(F4851) = VALUE(RIGHT(Insights!$C$3, 4)), E4851, "")</f>
        <v>#VALUE!</v>
      </c>
      <c r="H4851" s="26" t="e">
        <f t="shared" si="1"/>
        <v>#VALUE!</v>
      </c>
      <c r="I4851" s="1" t="e">
        <f t="shared" si="2"/>
        <v>#VALUE!</v>
      </c>
    </row>
    <row r="4852" spans="1:9" ht="15.75" customHeight="1">
      <c r="A4852" s="26"/>
      <c r="B4852" s="2"/>
      <c r="C4852" s="26"/>
      <c r="D4852" s="26"/>
      <c r="F4852" s="85" t="str">
        <f t="shared" si="0"/>
        <v/>
      </c>
      <c r="G4852" s="1" t="e">
        <f>IF(VALUE(F4852) = VALUE(RIGHT(Insights!$C$3, 4)), E4852, "")</f>
        <v>#VALUE!</v>
      </c>
      <c r="H4852" s="26" t="e">
        <f t="shared" si="1"/>
        <v>#VALUE!</v>
      </c>
      <c r="I4852" s="1" t="e">
        <f t="shared" si="2"/>
        <v>#VALUE!</v>
      </c>
    </row>
    <row r="4853" spans="1:9" ht="15.75" customHeight="1">
      <c r="A4853" s="26"/>
      <c r="B4853" s="2"/>
      <c r="C4853" s="26"/>
      <c r="D4853" s="26"/>
      <c r="F4853" s="85" t="str">
        <f t="shared" si="0"/>
        <v/>
      </c>
      <c r="G4853" s="1" t="e">
        <f>IF(VALUE(F4853) = VALUE(RIGHT(Insights!$C$3, 4)), E4853, "")</f>
        <v>#VALUE!</v>
      </c>
      <c r="H4853" s="26" t="e">
        <f t="shared" si="1"/>
        <v>#VALUE!</v>
      </c>
      <c r="I4853" s="1" t="e">
        <f t="shared" si="2"/>
        <v>#VALUE!</v>
      </c>
    </row>
    <row r="4854" spans="1:9" ht="15.75" customHeight="1">
      <c r="A4854" s="26"/>
      <c r="B4854" s="2"/>
      <c r="C4854" s="26"/>
      <c r="D4854" s="26"/>
      <c r="F4854" s="85" t="str">
        <f t="shared" si="0"/>
        <v/>
      </c>
      <c r="G4854" s="1" t="e">
        <f>IF(VALUE(F4854) = VALUE(RIGHT(Insights!$C$3, 4)), E4854, "")</f>
        <v>#VALUE!</v>
      </c>
      <c r="H4854" s="26" t="e">
        <f t="shared" si="1"/>
        <v>#VALUE!</v>
      </c>
      <c r="I4854" s="1" t="e">
        <f t="shared" si="2"/>
        <v>#VALUE!</v>
      </c>
    </row>
    <row r="4855" spans="1:9" ht="15.75" customHeight="1">
      <c r="A4855" s="26"/>
      <c r="B4855" s="2"/>
      <c r="C4855" s="26"/>
      <c r="D4855" s="26"/>
      <c r="F4855" s="85" t="str">
        <f t="shared" si="0"/>
        <v/>
      </c>
      <c r="G4855" s="1" t="e">
        <f>IF(VALUE(F4855) = VALUE(RIGHT(Insights!$C$3, 4)), E4855, "")</f>
        <v>#VALUE!</v>
      </c>
      <c r="H4855" s="26" t="e">
        <f t="shared" si="1"/>
        <v>#VALUE!</v>
      </c>
      <c r="I4855" s="1" t="e">
        <f t="shared" si="2"/>
        <v>#VALUE!</v>
      </c>
    </row>
    <row r="4856" spans="1:9" ht="15.75" customHeight="1">
      <c r="A4856" s="26"/>
      <c r="B4856" s="2"/>
      <c r="C4856" s="26"/>
      <c r="D4856" s="26"/>
      <c r="F4856" s="85" t="str">
        <f t="shared" si="0"/>
        <v/>
      </c>
      <c r="G4856" s="1" t="e">
        <f>IF(VALUE(F4856) = VALUE(RIGHT(Insights!$C$3, 4)), E4856, "")</f>
        <v>#VALUE!</v>
      </c>
      <c r="H4856" s="26" t="e">
        <f t="shared" si="1"/>
        <v>#VALUE!</v>
      </c>
      <c r="I4856" s="1" t="e">
        <f t="shared" si="2"/>
        <v>#VALUE!</v>
      </c>
    </row>
    <row r="4857" spans="1:9" ht="15.75" customHeight="1">
      <c r="A4857" s="26"/>
      <c r="B4857" s="2"/>
      <c r="C4857" s="26"/>
      <c r="D4857" s="26"/>
      <c r="F4857" s="85" t="str">
        <f t="shared" si="0"/>
        <v/>
      </c>
      <c r="G4857" s="1" t="e">
        <f>IF(VALUE(F4857) = VALUE(RIGHT(Insights!$C$3, 4)), E4857, "")</f>
        <v>#VALUE!</v>
      </c>
      <c r="H4857" s="26" t="e">
        <f t="shared" si="1"/>
        <v>#VALUE!</v>
      </c>
      <c r="I4857" s="1" t="e">
        <f t="shared" si="2"/>
        <v>#VALUE!</v>
      </c>
    </row>
    <row r="4858" spans="1:9" ht="15.75" customHeight="1">
      <c r="A4858" s="26"/>
      <c r="B4858" s="2"/>
      <c r="C4858" s="26"/>
      <c r="D4858" s="26"/>
      <c r="F4858" s="85" t="str">
        <f t="shared" si="0"/>
        <v/>
      </c>
      <c r="G4858" s="1" t="e">
        <f>IF(VALUE(F4858) = VALUE(RIGHT(Insights!$C$3, 4)), E4858, "")</f>
        <v>#VALUE!</v>
      </c>
      <c r="H4858" s="26" t="e">
        <f t="shared" si="1"/>
        <v>#VALUE!</v>
      </c>
      <c r="I4858" s="1" t="e">
        <f t="shared" si="2"/>
        <v>#VALUE!</v>
      </c>
    </row>
    <row r="4859" spans="1:9" ht="15.75" customHeight="1">
      <c r="A4859" s="26"/>
      <c r="B4859" s="2"/>
      <c r="C4859" s="26"/>
      <c r="D4859" s="26"/>
      <c r="F4859" s="85" t="str">
        <f t="shared" si="0"/>
        <v/>
      </c>
      <c r="G4859" s="1" t="e">
        <f>IF(VALUE(F4859) = VALUE(RIGHT(Insights!$C$3, 4)), E4859, "")</f>
        <v>#VALUE!</v>
      </c>
      <c r="H4859" s="26" t="e">
        <f t="shared" si="1"/>
        <v>#VALUE!</v>
      </c>
      <c r="I4859" s="1" t="e">
        <f t="shared" si="2"/>
        <v>#VALUE!</v>
      </c>
    </row>
    <row r="4860" spans="1:9" ht="15.75" customHeight="1">
      <c r="A4860" s="26"/>
      <c r="B4860" s="2"/>
      <c r="C4860" s="26"/>
      <c r="D4860" s="26"/>
      <c r="F4860" s="85" t="str">
        <f t="shared" si="0"/>
        <v/>
      </c>
      <c r="G4860" s="1" t="e">
        <f>IF(VALUE(F4860) = VALUE(RIGHT(Insights!$C$3, 4)), E4860, "")</f>
        <v>#VALUE!</v>
      </c>
      <c r="H4860" s="26" t="e">
        <f t="shared" si="1"/>
        <v>#VALUE!</v>
      </c>
      <c r="I4860" s="1" t="e">
        <f t="shared" si="2"/>
        <v>#VALUE!</v>
      </c>
    </row>
    <row r="4861" spans="1:9" ht="15.75" customHeight="1">
      <c r="A4861" s="26"/>
      <c r="B4861" s="2"/>
      <c r="C4861" s="26"/>
      <c r="D4861" s="26"/>
      <c r="F4861" s="85" t="str">
        <f t="shared" si="0"/>
        <v/>
      </c>
      <c r="G4861" s="1" t="e">
        <f>IF(VALUE(F4861) = VALUE(RIGHT(Insights!$C$3, 4)), E4861, "")</f>
        <v>#VALUE!</v>
      </c>
      <c r="H4861" s="26" t="e">
        <f t="shared" si="1"/>
        <v>#VALUE!</v>
      </c>
      <c r="I4861" s="1" t="e">
        <f t="shared" si="2"/>
        <v>#VALUE!</v>
      </c>
    </row>
    <row r="4862" spans="1:9" ht="15.75" customHeight="1">
      <c r="A4862" s="26"/>
      <c r="B4862" s="2"/>
      <c r="C4862" s="26"/>
      <c r="D4862" s="26"/>
      <c r="F4862" s="85" t="str">
        <f t="shared" si="0"/>
        <v/>
      </c>
      <c r="G4862" s="1" t="e">
        <f>IF(VALUE(F4862) = VALUE(RIGHT(Insights!$C$3, 4)), E4862, "")</f>
        <v>#VALUE!</v>
      </c>
      <c r="H4862" s="26" t="e">
        <f t="shared" si="1"/>
        <v>#VALUE!</v>
      </c>
      <c r="I4862" s="1" t="e">
        <f t="shared" si="2"/>
        <v>#VALUE!</v>
      </c>
    </row>
    <row r="4863" spans="1:9" ht="15.75" customHeight="1">
      <c r="A4863" s="26"/>
      <c r="B4863" s="2"/>
      <c r="C4863" s="26"/>
      <c r="D4863" s="26"/>
      <c r="F4863" s="85" t="str">
        <f t="shared" si="0"/>
        <v/>
      </c>
      <c r="G4863" s="1" t="e">
        <f>IF(VALUE(F4863) = VALUE(RIGHT(Insights!$C$3, 4)), E4863, "")</f>
        <v>#VALUE!</v>
      </c>
      <c r="H4863" s="26" t="e">
        <f t="shared" si="1"/>
        <v>#VALUE!</v>
      </c>
      <c r="I4863" s="1" t="e">
        <f t="shared" si="2"/>
        <v>#VALUE!</v>
      </c>
    </row>
    <row r="4864" spans="1:9" ht="15.75" customHeight="1">
      <c r="A4864" s="26"/>
      <c r="B4864" s="2"/>
      <c r="C4864" s="26"/>
      <c r="D4864" s="26"/>
      <c r="F4864" s="85" t="str">
        <f t="shared" si="0"/>
        <v/>
      </c>
      <c r="G4864" s="1" t="e">
        <f>IF(VALUE(F4864) = VALUE(RIGHT(Insights!$C$3, 4)), E4864, "")</f>
        <v>#VALUE!</v>
      </c>
      <c r="H4864" s="26" t="e">
        <f t="shared" si="1"/>
        <v>#VALUE!</v>
      </c>
      <c r="I4864" s="1" t="e">
        <f t="shared" si="2"/>
        <v>#VALUE!</v>
      </c>
    </row>
    <row r="4865" spans="1:9" ht="15.75" customHeight="1">
      <c r="A4865" s="26"/>
      <c r="B4865" s="2"/>
      <c r="C4865" s="26"/>
      <c r="D4865" s="26"/>
      <c r="F4865" s="85" t="str">
        <f t="shared" si="0"/>
        <v/>
      </c>
      <c r="G4865" s="1" t="e">
        <f>IF(VALUE(F4865) = VALUE(RIGHT(Insights!$C$3, 4)), E4865, "")</f>
        <v>#VALUE!</v>
      </c>
      <c r="H4865" s="26" t="e">
        <f t="shared" si="1"/>
        <v>#VALUE!</v>
      </c>
      <c r="I4865" s="1" t="e">
        <f t="shared" si="2"/>
        <v>#VALUE!</v>
      </c>
    </row>
    <row r="4866" spans="1:9" ht="15.75" customHeight="1">
      <c r="A4866" s="26"/>
      <c r="B4866" s="2"/>
      <c r="C4866" s="26"/>
      <c r="D4866" s="26"/>
      <c r="F4866" s="85" t="str">
        <f t="shared" si="0"/>
        <v/>
      </c>
      <c r="G4866" s="1" t="e">
        <f>IF(VALUE(F4866) = VALUE(RIGHT(Insights!$C$3, 4)), E4866, "")</f>
        <v>#VALUE!</v>
      </c>
      <c r="H4866" s="26" t="e">
        <f t="shared" si="1"/>
        <v>#VALUE!</v>
      </c>
      <c r="I4866" s="1" t="e">
        <f t="shared" si="2"/>
        <v>#VALUE!</v>
      </c>
    </row>
    <row r="4867" spans="1:9" ht="15.75" customHeight="1">
      <c r="A4867" s="26"/>
      <c r="B4867" s="2"/>
      <c r="C4867" s="26"/>
      <c r="D4867" s="26"/>
      <c r="F4867" s="85" t="str">
        <f t="shared" si="0"/>
        <v/>
      </c>
      <c r="G4867" s="1" t="e">
        <f>IF(VALUE(F4867) = VALUE(RIGHT(Insights!$C$3, 4)), E4867, "")</f>
        <v>#VALUE!</v>
      </c>
      <c r="H4867" s="26" t="e">
        <f t="shared" si="1"/>
        <v>#VALUE!</v>
      </c>
      <c r="I4867" s="1" t="e">
        <f t="shared" si="2"/>
        <v>#VALUE!</v>
      </c>
    </row>
    <row r="4868" spans="1:9" ht="15.75" customHeight="1">
      <c r="A4868" s="26"/>
      <c r="B4868" s="2"/>
      <c r="C4868" s="26"/>
      <c r="D4868" s="26"/>
      <c r="F4868" s="85" t="str">
        <f t="shared" si="0"/>
        <v/>
      </c>
      <c r="G4868" s="1" t="e">
        <f>IF(VALUE(F4868) = VALUE(RIGHT(Insights!$C$3, 4)), E4868, "")</f>
        <v>#VALUE!</v>
      </c>
      <c r="H4868" s="26" t="e">
        <f t="shared" si="1"/>
        <v>#VALUE!</v>
      </c>
      <c r="I4868" s="1" t="e">
        <f t="shared" si="2"/>
        <v>#VALUE!</v>
      </c>
    </row>
    <row r="4869" spans="1:9" ht="15.75" customHeight="1">
      <c r="A4869" s="26"/>
      <c r="B4869" s="2"/>
      <c r="C4869" s="26"/>
      <c r="D4869" s="26"/>
      <c r="F4869" s="85" t="str">
        <f t="shared" si="0"/>
        <v/>
      </c>
      <c r="G4869" s="1" t="e">
        <f>IF(VALUE(F4869) = VALUE(RIGHT(Insights!$C$3, 4)), E4869, "")</f>
        <v>#VALUE!</v>
      </c>
      <c r="H4869" s="26" t="e">
        <f t="shared" si="1"/>
        <v>#VALUE!</v>
      </c>
      <c r="I4869" s="1" t="e">
        <f t="shared" si="2"/>
        <v>#VALUE!</v>
      </c>
    </row>
    <row r="4870" spans="1:9" ht="15.75" customHeight="1">
      <c r="A4870" s="26"/>
      <c r="B4870" s="2"/>
      <c r="C4870" s="26"/>
      <c r="D4870" s="26"/>
      <c r="F4870" s="85" t="str">
        <f t="shared" si="0"/>
        <v/>
      </c>
      <c r="G4870" s="1" t="e">
        <f>IF(VALUE(F4870) = VALUE(RIGHT(Insights!$C$3, 4)), E4870, "")</f>
        <v>#VALUE!</v>
      </c>
      <c r="H4870" s="26" t="e">
        <f t="shared" si="1"/>
        <v>#VALUE!</v>
      </c>
      <c r="I4870" s="1" t="e">
        <f t="shared" si="2"/>
        <v>#VALUE!</v>
      </c>
    </row>
    <row r="4871" spans="1:9" ht="15.75" customHeight="1">
      <c r="A4871" s="26"/>
      <c r="B4871" s="2"/>
      <c r="C4871" s="26"/>
      <c r="D4871" s="26"/>
      <c r="F4871" s="85" t="str">
        <f t="shared" si="0"/>
        <v/>
      </c>
      <c r="G4871" s="1" t="e">
        <f>IF(VALUE(F4871) = VALUE(RIGHT(Insights!$C$3, 4)), E4871, "")</f>
        <v>#VALUE!</v>
      </c>
      <c r="H4871" s="26" t="e">
        <f t="shared" si="1"/>
        <v>#VALUE!</v>
      </c>
      <c r="I4871" s="1" t="e">
        <f t="shared" si="2"/>
        <v>#VALUE!</v>
      </c>
    </row>
    <row r="4872" spans="1:9" ht="15.75" customHeight="1">
      <c r="A4872" s="26"/>
      <c r="B4872" s="2"/>
      <c r="C4872" s="26"/>
      <c r="D4872" s="26"/>
      <c r="F4872" s="85" t="str">
        <f t="shared" si="0"/>
        <v/>
      </c>
      <c r="G4872" s="1" t="e">
        <f>IF(VALUE(F4872) = VALUE(RIGHT(Insights!$C$3, 4)), E4872, "")</f>
        <v>#VALUE!</v>
      </c>
      <c r="H4872" s="26" t="e">
        <f t="shared" si="1"/>
        <v>#VALUE!</v>
      </c>
      <c r="I4872" s="1" t="e">
        <f t="shared" si="2"/>
        <v>#VALUE!</v>
      </c>
    </row>
    <row r="4873" spans="1:9" ht="15.75" customHeight="1">
      <c r="A4873" s="26"/>
      <c r="B4873" s="2"/>
      <c r="C4873" s="26"/>
      <c r="D4873" s="26"/>
      <c r="F4873" s="85" t="str">
        <f t="shared" si="0"/>
        <v/>
      </c>
      <c r="G4873" s="1" t="e">
        <f>IF(VALUE(F4873) = VALUE(RIGHT(Insights!$C$3, 4)), E4873, "")</f>
        <v>#VALUE!</v>
      </c>
      <c r="H4873" s="26" t="e">
        <f t="shared" si="1"/>
        <v>#VALUE!</v>
      </c>
      <c r="I4873" s="1" t="e">
        <f t="shared" si="2"/>
        <v>#VALUE!</v>
      </c>
    </row>
    <row r="4874" spans="1:9" ht="15.75" customHeight="1">
      <c r="A4874" s="26"/>
      <c r="B4874" s="2"/>
      <c r="C4874" s="26"/>
      <c r="D4874" s="26"/>
      <c r="F4874" s="85" t="str">
        <f t="shared" si="0"/>
        <v/>
      </c>
      <c r="G4874" s="1" t="e">
        <f>IF(VALUE(F4874) = VALUE(RIGHT(Insights!$C$3, 4)), E4874, "")</f>
        <v>#VALUE!</v>
      </c>
      <c r="H4874" s="26" t="e">
        <f t="shared" si="1"/>
        <v>#VALUE!</v>
      </c>
      <c r="I4874" s="1" t="e">
        <f t="shared" si="2"/>
        <v>#VALUE!</v>
      </c>
    </row>
    <row r="4875" spans="1:9" ht="15.75" customHeight="1">
      <c r="A4875" s="26"/>
      <c r="B4875" s="2"/>
      <c r="C4875" s="26"/>
      <c r="D4875" s="26"/>
      <c r="F4875" s="85" t="str">
        <f t="shared" si="0"/>
        <v/>
      </c>
      <c r="G4875" s="1" t="e">
        <f>IF(VALUE(F4875) = VALUE(RIGHT(Insights!$C$3, 4)), E4875, "")</f>
        <v>#VALUE!</v>
      </c>
      <c r="H4875" s="26" t="e">
        <f t="shared" si="1"/>
        <v>#VALUE!</v>
      </c>
      <c r="I4875" s="1" t="e">
        <f t="shared" si="2"/>
        <v>#VALUE!</v>
      </c>
    </row>
    <row r="4876" spans="1:9" ht="15.75" customHeight="1">
      <c r="A4876" s="26"/>
      <c r="B4876" s="2"/>
      <c r="C4876" s="26"/>
      <c r="D4876" s="26"/>
      <c r="F4876" s="85" t="str">
        <f t="shared" si="0"/>
        <v/>
      </c>
      <c r="G4876" s="1" t="e">
        <f>IF(VALUE(F4876) = VALUE(RIGHT(Insights!$C$3, 4)), E4876, "")</f>
        <v>#VALUE!</v>
      </c>
      <c r="H4876" s="26" t="e">
        <f t="shared" si="1"/>
        <v>#VALUE!</v>
      </c>
      <c r="I4876" s="1" t="e">
        <f t="shared" si="2"/>
        <v>#VALUE!</v>
      </c>
    </row>
    <row r="4877" spans="1:9" ht="15.75" customHeight="1">
      <c r="A4877" s="26"/>
      <c r="B4877" s="2"/>
      <c r="C4877" s="26"/>
      <c r="D4877" s="26"/>
      <c r="F4877" s="85" t="str">
        <f t="shared" si="0"/>
        <v/>
      </c>
      <c r="G4877" s="1" t="e">
        <f>IF(VALUE(F4877) = VALUE(RIGHT(Insights!$C$3, 4)), E4877, "")</f>
        <v>#VALUE!</v>
      </c>
      <c r="H4877" s="26" t="e">
        <f t="shared" si="1"/>
        <v>#VALUE!</v>
      </c>
      <c r="I4877" s="1" t="e">
        <f t="shared" si="2"/>
        <v>#VALUE!</v>
      </c>
    </row>
    <row r="4878" spans="1:9" ht="15.75" customHeight="1">
      <c r="A4878" s="26"/>
      <c r="B4878" s="2"/>
      <c r="C4878" s="26"/>
      <c r="D4878" s="26"/>
      <c r="F4878" s="85" t="str">
        <f t="shared" si="0"/>
        <v/>
      </c>
      <c r="G4878" s="1" t="e">
        <f>IF(VALUE(F4878) = VALUE(RIGHT(Insights!$C$3, 4)), E4878, "")</f>
        <v>#VALUE!</v>
      </c>
      <c r="H4878" s="26" t="e">
        <f t="shared" si="1"/>
        <v>#VALUE!</v>
      </c>
      <c r="I4878" s="1" t="e">
        <f t="shared" si="2"/>
        <v>#VALUE!</v>
      </c>
    </row>
    <row r="4879" spans="1:9" ht="15.75" customHeight="1">
      <c r="A4879" s="26"/>
      <c r="B4879" s="2"/>
      <c r="C4879" s="26"/>
      <c r="D4879" s="26"/>
      <c r="F4879" s="85" t="str">
        <f t="shared" si="0"/>
        <v/>
      </c>
      <c r="G4879" s="1" t="e">
        <f>IF(VALUE(F4879) = VALUE(RIGHT(Insights!$C$3, 4)), E4879, "")</f>
        <v>#VALUE!</v>
      </c>
      <c r="H4879" s="26" t="e">
        <f t="shared" si="1"/>
        <v>#VALUE!</v>
      </c>
      <c r="I4879" s="1" t="e">
        <f t="shared" si="2"/>
        <v>#VALUE!</v>
      </c>
    </row>
    <row r="4880" spans="1:9" ht="15.75" customHeight="1">
      <c r="A4880" s="26"/>
      <c r="B4880" s="2"/>
      <c r="C4880" s="26"/>
      <c r="D4880" s="26"/>
      <c r="F4880" s="85" t="str">
        <f t="shared" si="0"/>
        <v/>
      </c>
      <c r="G4880" s="1" t="e">
        <f>IF(VALUE(F4880) = VALUE(RIGHT(Insights!$C$3, 4)), E4880, "")</f>
        <v>#VALUE!</v>
      </c>
      <c r="H4880" s="26" t="e">
        <f t="shared" si="1"/>
        <v>#VALUE!</v>
      </c>
      <c r="I4880" s="1" t="e">
        <f t="shared" si="2"/>
        <v>#VALUE!</v>
      </c>
    </row>
    <row r="4881" spans="1:9" ht="15.75" customHeight="1">
      <c r="A4881" s="26"/>
      <c r="B4881" s="2"/>
      <c r="C4881" s="26"/>
      <c r="D4881" s="26"/>
      <c r="F4881" s="85" t="str">
        <f t="shared" si="0"/>
        <v/>
      </c>
      <c r="G4881" s="1" t="e">
        <f>IF(VALUE(F4881) = VALUE(RIGHT(Insights!$C$3, 4)), E4881, "")</f>
        <v>#VALUE!</v>
      </c>
      <c r="H4881" s="26" t="e">
        <f t="shared" si="1"/>
        <v>#VALUE!</v>
      </c>
      <c r="I4881" s="1" t="e">
        <f t="shared" si="2"/>
        <v>#VALUE!</v>
      </c>
    </row>
    <row r="4882" spans="1:9" ht="15.75" customHeight="1">
      <c r="A4882" s="26"/>
      <c r="B4882" s="2"/>
      <c r="C4882" s="26"/>
      <c r="D4882" s="26"/>
      <c r="F4882" s="85" t="str">
        <f t="shared" si="0"/>
        <v/>
      </c>
      <c r="G4882" s="1" t="e">
        <f>IF(VALUE(F4882) = VALUE(RIGHT(Insights!$C$3, 4)), E4882, "")</f>
        <v>#VALUE!</v>
      </c>
      <c r="H4882" s="26" t="e">
        <f t="shared" si="1"/>
        <v>#VALUE!</v>
      </c>
      <c r="I4882" s="1" t="e">
        <f t="shared" si="2"/>
        <v>#VALUE!</v>
      </c>
    </row>
    <row r="4883" spans="1:9" ht="15.75" customHeight="1">
      <c r="A4883" s="26"/>
      <c r="B4883" s="2"/>
      <c r="C4883" s="26"/>
      <c r="D4883" s="26"/>
      <c r="F4883" s="85" t="str">
        <f t="shared" si="0"/>
        <v/>
      </c>
      <c r="G4883" s="1" t="e">
        <f>IF(VALUE(F4883) = VALUE(RIGHT(Insights!$C$3, 4)), E4883, "")</f>
        <v>#VALUE!</v>
      </c>
      <c r="H4883" s="26" t="e">
        <f t="shared" si="1"/>
        <v>#VALUE!</v>
      </c>
      <c r="I4883" s="1" t="e">
        <f t="shared" si="2"/>
        <v>#VALUE!</v>
      </c>
    </row>
    <row r="4884" spans="1:9" ht="15.75" customHeight="1">
      <c r="A4884" s="26"/>
      <c r="B4884" s="2"/>
      <c r="C4884" s="26"/>
      <c r="D4884" s="26"/>
      <c r="F4884" s="85" t="str">
        <f t="shared" si="0"/>
        <v/>
      </c>
      <c r="G4884" s="1" t="e">
        <f>IF(VALUE(F4884) = VALUE(RIGHT(Insights!$C$3, 4)), E4884, "")</f>
        <v>#VALUE!</v>
      </c>
      <c r="H4884" s="26" t="e">
        <f t="shared" si="1"/>
        <v>#VALUE!</v>
      </c>
      <c r="I4884" s="1" t="e">
        <f t="shared" si="2"/>
        <v>#VALUE!</v>
      </c>
    </row>
    <row r="4885" spans="1:9" ht="15.75" customHeight="1">
      <c r="A4885" s="26"/>
      <c r="B4885" s="2"/>
      <c r="C4885" s="26"/>
      <c r="D4885" s="26"/>
      <c r="F4885" s="85" t="str">
        <f t="shared" si="0"/>
        <v/>
      </c>
      <c r="G4885" s="1" t="e">
        <f>IF(VALUE(F4885) = VALUE(RIGHT(Insights!$C$3, 4)), E4885, "")</f>
        <v>#VALUE!</v>
      </c>
      <c r="H4885" s="26" t="e">
        <f t="shared" si="1"/>
        <v>#VALUE!</v>
      </c>
      <c r="I4885" s="1" t="e">
        <f t="shared" si="2"/>
        <v>#VALUE!</v>
      </c>
    </row>
    <row r="4886" spans="1:9" ht="15.75" customHeight="1">
      <c r="A4886" s="26"/>
      <c r="B4886" s="2"/>
      <c r="C4886" s="26"/>
      <c r="D4886" s="26"/>
      <c r="F4886" s="85" t="str">
        <f t="shared" si="0"/>
        <v/>
      </c>
      <c r="G4886" s="1" t="e">
        <f>IF(VALUE(F4886) = VALUE(RIGHT(Insights!$C$3, 4)), E4886, "")</f>
        <v>#VALUE!</v>
      </c>
      <c r="H4886" s="26" t="e">
        <f t="shared" si="1"/>
        <v>#VALUE!</v>
      </c>
      <c r="I4886" s="1" t="e">
        <f t="shared" si="2"/>
        <v>#VALUE!</v>
      </c>
    </row>
    <row r="4887" spans="1:9" ht="15.75" customHeight="1">
      <c r="A4887" s="26"/>
      <c r="B4887" s="2"/>
      <c r="C4887" s="26"/>
      <c r="D4887" s="26"/>
      <c r="F4887" s="85" t="str">
        <f t="shared" si="0"/>
        <v/>
      </c>
      <c r="G4887" s="1" t="e">
        <f>IF(VALUE(F4887) = VALUE(RIGHT(Insights!$C$3, 4)), E4887, "")</f>
        <v>#VALUE!</v>
      </c>
      <c r="H4887" s="26" t="e">
        <f t="shared" si="1"/>
        <v>#VALUE!</v>
      </c>
      <c r="I4887" s="1" t="e">
        <f t="shared" si="2"/>
        <v>#VALUE!</v>
      </c>
    </row>
    <row r="4888" spans="1:9" ht="15.75" customHeight="1">
      <c r="A4888" s="26"/>
      <c r="B4888" s="2"/>
      <c r="C4888" s="26"/>
      <c r="D4888" s="26"/>
      <c r="F4888" s="85" t="str">
        <f t="shared" si="0"/>
        <v/>
      </c>
      <c r="G4888" s="1" t="e">
        <f>IF(VALUE(F4888) = VALUE(RIGHT(Insights!$C$3, 4)), E4888, "")</f>
        <v>#VALUE!</v>
      </c>
      <c r="H4888" s="26" t="e">
        <f t="shared" si="1"/>
        <v>#VALUE!</v>
      </c>
      <c r="I4888" s="1" t="e">
        <f t="shared" si="2"/>
        <v>#VALUE!</v>
      </c>
    </row>
    <row r="4889" spans="1:9" ht="15.75" customHeight="1">
      <c r="A4889" s="26"/>
      <c r="B4889" s="2"/>
      <c r="C4889" s="26"/>
      <c r="D4889" s="26"/>
      <c r="F4889" s="85" t="str">
        <f t="shared" si="0"/>
        <v/>
      </c>
      <c r="G4889" s="1" t="e">
        <f>IF(VALUE(F4889) = VALUE(RIGHT(Insights!$C$3, 4)), E4889, "")</f>
        <v>#VALUE!</v>
      </c>
      <c r="H4889" s="26" t="e">
        <f t="shared" si="1"/>
        <v>#VALUE!</v>
      </c>
      <c r="I4889" s="1" t="e">
        <f t="shared" si="2"/>
        <v>#VALUE!</v>
      </c>
    </row>
    <row r="4890" spans="1:9" ht="15.75" customHeight="1">
      <c r="A4890" s="26"/>
      <c r="B4890" s="2"/>
      <c r="C4890" s="26"/>
      <c r="D4890" s="26"/>
      <c r="F4890" s="85" t="str">
        <f t="shared" si="0"/>
        <v/>
      </c>
      <c r="G4890" s="1" t="e">
        <f>IF(VALUE(F4890) = VALUE(RIGHT(Insights!$C$3, 4)), E4890, "")</f>
        <v>#VALUE!</v>
      </c>
      <c r="H4890" s="26" t="e">
        <f t="shared" si="1"/>
        <v>#VALUE!</v>
      </c>
      <c r="I4890" s="1" t="e">
        <f t="shared" si="2"/>
        <v>#VALUE!</v>
      </c>
    </row>
    <row r="4891" spans="1:9" ht="15.75" customHeight="1">
      <c r="A4891" s="26"/>
      <c r="B4891" s="2"/>
      <c r="C4891" s="26"/>
      <c r="D4891" s="26"/>
      <c r="F4891" s="85" t="str">
        <f t="shared" si="0"/>
        <v/>
      </c>
      <c r="G4891" s="1" t="e">
        <f>IF(VALUE(F4891) = VALUE(RIGHT(Insights!$C$3, 4)), E4891, "")</f>
        <v>#VALUE!</v>
      </c>
      <c r="H4891" s="26" t="e">
        <f t="shared" si="1"/>
        <v>#VALUE!</v>
      </c>
      <c r="I4891" s="1" t="e">
        <f t="shared" si="2"/>
        <v>#VALUE!</v>
      </c>
    </row>
    <row r="4892" spans="1:9" ht="15.75" customHeight="1">
      <c r="A4892" s="26"/>
      <c r="B4892" s="2"/>
      <c r="C4892" s="26"/>
      <c r="D4892" s="26"/>
      <c r="F4892" s="85" t="str">
        <f t="shared" si="0"/>
        <v/>
      </c>
      <c r="G4892" s="1" t="e">
        <f>IF(VALUE(F4892) = VALUE(RIGHT(Insights!$C$3, 4)), E4892, "")</f>
        <v>#VALUE!</v>
      </c>
      <c r="H4892" s="26" t="e">
        <f t="shared" si="1"/>
        <v>#VALUE!</v>
      </c>
      <c r="I4892" s="1" t="e">
        <f t="shared" si="2"/>
        <v>#VALUE!</v>
      </c>
    </row>
    <row r="4893" spans="1:9" ht="15.75" customHeight="1">
      <c r="A4893" s="26"/>
      <c r="B4893" s="2"/>
      <c r="C4893" s="26"/>
      <c r="D4893" s="26"/>
      <c r="F4893" s="85" t="str">
        <f t="shared" si="0"/>
        <v/>
      </c>
      <c r="G4893" s="1" t="e">
        <f>IF(VALUE(F4893) = VALUE(RIGHT(Insights!$C$3, 4)), E4893, "")</f>
        <v>#VALUE!</v>
      </c>
      <c r="H4893" s="26" t="e">
        <f t="shared" si="1"/>
        <v>#VALUE!</v>
      </c>
      <c r="I4893" s="1" t="e">
        <f t="shared" si="2"/>
        <v>#VALUE!</v>
      </c>
    </row>
    <row r="4894" spans="1:9" ht="15.75" customHeight="1">
      <c r="A4894" s="26"/>
      <c r="B4894" s="2"/>
      <c r="C4894" s="26"/>
      <c r="D4894" s="26"/>
      <c r="F4894" s="85" t="str">
        <f t="shared" si="0"/>
        <v/>
      </c>
      <c r="G4894" s="1" t="e">
        <f>IF(VALUE(F4894) = VALUE(RIGHT(Insights!$C$3, 4)), E4894, "")</f>
        <v>#VALUE!</v>
      </c>
      <c r="H4894" s="26" t="e">
        <f t="shared" si="1"/>
        <v>#VALUE!</v>
      </c>
      <c r="I4894" s="1" t="e">
        <f t="shared" si="2"/>
        <v>#VALUE!</v>
      </c>
    </row>
    <row r="4895" spans="1:9" ht="15.75" customHeight="1">
      <c r="A4895" s="26"/>
      <c r="B4895" s="2"/>
      <c r="C4895" s="26"/>
      <c r="D4895" s="26"/>
      <c r="F4895" s="85" t="str">
        <f t="shared" si="0"/>
        <v/>
      </c>
      <c r="G4895" s="1" t="e">
        <f>IF(VALUE(F4895) = VALUE(RIGHT(Insights!$C$3, 4)), E4895, "")</f>
        <v>#VALUE!</v>
      </c>
      <c r="H4895" s="26" t="e">
        <f t="shared" si="1"/>
        <v>#VALUE!</v>
      </c>
      <c r="I4895" s="1" t="e">
        <f t="shared" si="2"/>
        <v>#VALUE!</v>
      </c>
    </row>
    <row r="4896" spans="1:9" ht="15.75" customHeight="1">
      <c r="A4896" s="26"/>
      <c r="B4896" s="2"/>
      <c r="C4896" s="26"/>
      <c r="D4896" s="26"/>
      <c r="F4896" s="85" t="str">
        <f t="shared" si="0"/>
        <v/>
      </c>
      <c r="G4896" s="1" t="e">
        <f>IF(VALUE(F4896) = VALUE(RIGHT(Insights!$C$3, 4)), E4896, "")</f>
        <v>#VALUE!</v>
      </c>
      <c r="H4896" s="26" t="e">
        <f t="shared" si="1"/>
        <v>#VALUE!</v>
      </c>
      <c r="I4896" s="1" t="e">
        <f t="shared" si="2"/>
        <v>#VALUE!</v>
      </c>
    </row>
    <row r="4897" spans="1:9" ht="15.75" customHeight="1">
      <c r="A4897" s="26"/>
      <c r="B4897" s="2"/>
      <c r="C4897" s="26"/>
      <c r="D4897" s="26"/>
      <c r="F4897" s="85" t="str">
        <f t="shared" si="0"/>
        <v/>
      </c>
      <c r="G4897" s="1" t="e">
        <f>IF(VALUE(F4897) = VALUE(RIGHT(Insights!$C$3, 4)), E4897, "")</f>
        <v>#VALUE!</v>
      </c>
      <c r="H4897" s="26" t="e">
        <f t="shared" si="1"/>
        <v>#VALUE!</v>
      </c>
      <c r="I4897" s="1" t="e">
        <f t="shared" si="2"/>
        <v>#VALUE!</v>
      </c>
    </row>
    <row r="4898" spans="1:9" ht="15.75" customHeight="1">
      <c r="A4898" s="26"/>
      <c r="B4898" s="2"/>
      <c r="C4898" s="26"/>
      <c r="D4898" s="26"/>
      <c r="F4898" s="85" t="str">
        <f t="shared" si="0"/>
        <v/>
      </c>
      <c r="G4898" s="1" t="e">
        <f>IF(VALUE(F4898) = VALUE(RIGHT(Insights!$C$3, 4)), E4898, "")</f>
        <v>#VALUE!</v>
      </c>
      <c r="H4898" s="26" t="e">
        <f t="shared" si="1"/>
        <v>#VALUE!</v>
      </c>
      <c r="I4898" s="1" t="e">
        <f t="shared" si="2"/>
        <v>#VALUE!</v>
      </c>
    </row>
    <row r="4899" spans="1:9" ht="15.75" customHeight="1">
      <c r="A4899" s="26"/>
      <c r="B4899" s="2"/>
      <c r="C4899" s="26"/>
      <c r="D4899" s="26"/>
      <c r="F4899" s="85" t="str">
        <f t="shared" si="0"/>
        <v/>
      </c>
      <c r="G4899" s="1" t="e">
        <f>IF(VALUE(F4899) = VALUE(RIGHT(Insights!$C$3, 4)), E4899, "")</f>
        <v>#VALUE!</v>
      </c>
      <c r="H4899" s="26" t="e">
        <f t="shared" si="1"/>
        <v>#VALUE!</v>
      </c>
      <c r="I4899" s="1" t="e">
        <f t="shared" si="2"/>
        <v>#VALUE!</v>
      </c>
    </row>
    <row r="4900" spans="1:9" ht="15.75" customHeight="1">
      <c r="A4900" s="26"/>
      <c r="B4900" s="2"/>
      <c r="C4900" s="26"/>
      <c r="D4900" s="26"/>
      <c r="F4900" s="85" t="str">
        <f t="shared" si="0"/>
        <v/>
      </c>
      <c r="G4900" s="1" t="e">
        <f>IF(VALUE(F4900) = VALUE(RIGHT(Insights!$C$3, 4)), E4900, "")</f>
        <v>#VALUE!</v>
      </c>
      <c r="H4900" s="26" t="e">
        <f t="shared" si="1"/>
        <v>#VALUE!</v>
      </c>
      <c r="I4900" s="1" t="e">
        <f t="shared" si="2"/>
        <v>#VALUE!</v>
      </c>
    </row>
    <row r="4901" spans="1:9" ht="15.75" customHeight="1">
      <c r="A4901" s="26"/>
      <c r="B4901" s="2"/>
      <c r="C4901" s="26"/>
      <c r="D4901" s="26"/>
      <c r="F4901" s="85" t="str">
        <f t="shared" si="0"/>
        <v/>
      </c>
      <c r="G4901" s="1" t="e">
        <f>IF(VALUE(F4901) = VALUE(RIGHT(Insights!$C$3, 4)), E4901, "")</f>
        <v>#VALUE!</v>
      </c>
      <c r="H4901" s="26" t="e">
        <f t="shared" si="1"/>
        <v>#VALUE!</v>
      </c>
      <c r="I4901" s="1" t="e">
        <f t="shared" si="2"/>
        <v>#VALUE!</v>
      </c>
    </row>
    <row r="4902" spans="1:9" ht="15.75" customHeight="1">
      <c r="A4902" s="26"/>
      <c r="B4902" s="2"/>
      <c r="C4902" s="26"/>
      <c r="D4902" s="26"/>
      <c r="F4902" s="85" t="str">
        <f t="shared" si="0"/>
        <v/>
      </c>
      <c r="G4902" s="1" t="e">
        <f>IF(VALUE(F4902) = VALUE(RIGHT(Insights!$C$3, 4)), E4902, "")</f>
        <v>#VALUE!</v>
      </c>
      <c r="H4902" s="26" t="e">
        <f t="shared" si="1"/>
        <v>#VALUE!</v>
      </c>
      <c r="I4902" s="1" t="e">
        <f t="shared" si="2"/>
        <v>#VALUE!</v>
      </c>
    </row>
    <row r="4903" spans="1:9" ht="15.75" customHeight="1">
      <c r="A4903" s="26"/>
      <c r="B4903" s="2"/>
      <c r="C4903" s="26"/>
      <c r="D4903" s="26"/>
      <c r="F4903" s="85" t="str">
        <f t="shared" si="0"/>
        <v/>
      </c>
      <c r="G4903" s="1" t="e">
        <f>IF(VALUE(F4903) = VALUE(RIGHT(Insights!$C$3, 4)), E4903, "")</f>
        <v>#VALUE!</v>
      </c>
      <c r="H4903" s="26" t="e">
        <f t="shared" si="1"/>
        <v>#VALUE!</v>
      </c>
      <c r="I4903" s="1" t="e">
        <f t="shared" si="2"/>
        <v>#VALUE!</v>
      </c>
    </row>
    <row r="4904" spans="1:9" ht="15.75" customHeight="1">
      <c r="A4904" s="26"/>
      <c r="B4904" s="2"/>
      <c r="C4904" s="26"/>
      <c r="D4904" s="26"/>
      <c r="F4904" s="85" t="str">
        <f t="shared" si="0"/>
        <v/>
      </c>
      <c r="G4904" s="1" t="e">
        <f>IF(VALUE(F4904) = VALUE(RIGHT(Insights!$C$3, 4)), E4904, "")</f>
        <v>#VALUE!</v>
      </c>
      <c r="H4904" s="26" t="e">
        <f t="shared" si="1"/>
        <v>#VALUE!</v>
      </c>
      <c r="I4904" s="1" t="e">
        <f t="shared" si="2"/>
        <v>#VALUE!</v>
      </c>
    </row>
    <row r="4905" spans="1:9" ht="15.75" customHeight="1">
      <c r="A4905" s="26"/>
      <c r="B4905" s="2"/>
      <c r="C4905" s="26"/>
      <c r="D4905" s="26"/>
      <c r="F4905" s="85" t="str">
        <f t="shared" si="0"/>
        <v/>
      </c>
      <c r="G4905" s="1" t="e">
        <f>IF(VALUE(F4905) = VALUE(RIGHT(Insights!$C$3, 4)), E4905, "")</f>
        <v>#VALUE!</v>
      </c>
      <c r="H4905" s="26" t="e">
        <f t="shared" si="1"/>
        <v>#VALUE!</v>
      </c>
      <c r="I4905" s="1" t="e">
        <f t="shared" si="2"/>
        <v>#VALUE!</v>
      </c>
    </row>
    <row r="4906" spans="1:9" ht="15.75" customHeight="1">
      <c r="A4906" s="26"/>
      <c r="B4906" s="2"/>
      <c r="C4906" s="26"/>
      <c r="D4906" s="26"/>
      <c r="F4906" s="85" t="str">
        <f t="shared" si="0"/>
        <v/>
      </c>
      <c r="G4906" s="1" t="e">
        <f>IF(VALUE(F4906) = VALUE(RIGHT(Insights!$C$3, 4)), E4906, "")</f>
        <v>#VALUE!</v>
      </c>
      <c r="H4906" s="26" t="e">
        <f t="shared" si="1"/>
        <v>#VALUE!</v>
      </c>
      <c r="I4906" s="1" t="e">
        <f t="shared" si="2"/>
        <v>#VALUE!</v>
      </c>
    </row>
    <row r="4907" spans="1:9" ht="15.75" customHeight="1">
      <c r="A4907" s="26"/>
      <c r="B4907" s="2"/>
      <c r="C4907" s="26"/>
      <c r="D4907" s="26"/>
      <c r="F4907" s="85" t="str">
        <f t="shared" si="0"/>
        <v/>
      </c>
      <c r="G4907" s="1" t="e">
        <f>IF(VALUE(F4907) = VALUE(RIGHT(Insights!$C$3, 4)), E4907, "")</f>
        <v>#VALUE!</v>
      </c>
      <c r="H4907" s="26" t="e">
        <f t="shared" si="1"/>
        <v>#VALUE!</v>
      </c>
      <c r="I4907" s="1" t="e">
        <f t="shared" si="2"/>
        <v>#VALUE!</v>
      </c>
    </row>
    <row r="4908" spans="1:9" ht="15.75" customHeight="1">
      <c r="A4908" s="26"/>
      <c r="B4908" s="2"/>
      <c r="C4908" s="26"/>
      <c r="D4908" s="26"/>
      <c r="F4908" s="85" t="str">
        <f t="shared" si="0"/>
        <v/>
      </c>
      <c r="G4908" s="1" t="e">
        <f>IF(VALUE(F4908) = VALUE(RIGHT(Insights!$C$3, 4)), E4908, "")</f>
        <v>#VALUE!</v>
      </c>
      <c r="H4908" s="26" t="e">
        <f t="shared" si="1"/>
        <v>#VALUE!</v>
      </c>
      <c r="I4908" s="1" t="e">
        <f t="shared" si="2"/>
        <v>#VALUE!</v>
      </c>
    </row>
    <row r="4909" spans="1:9" ht="15.75" customHeight="1">
      <c r="A4909" s="26"/>
      <c r="B4909" s="2"/>
      <c r="C4909" s="26"/>
      <c r="D4909" s="26"/>
      <c r="F4909" s="85" t="str">
        <f t="shared" si="0"/>
        <v/>
      </c>
      <c r="G4909" s="1" t="e">
        <f>IF(VALUE(F4909) = VALUE(RIGHT(Insights!$C$3, 4)), E4909, "")</f>
        <v>#VALUE!</v>
      </c>
      <c r="H4909" s="26" t="e">
        <f t="shared" si="1"/>
        <v>#VALUE!</v>
      </c>
      <c r="I4909" s="1" t="e">
        <f t="shared" si="2"/>
        <v>#VALUE!</v>
      </c>
    </row>
    <row r="4910" spans="1:9" ht="15.75" customHeight="1">
      <c r="A4910" s="26"/>
      <c r="B4910" s="2"/>
      <c r="C4910" s="26"/>
      <c r="D4910" s="26"/>
      <c r="F4910" s="85" t="str">
        <f t="shared" si="0"/>
        <v/>
      </c>
      <c r="G4910" s="1" t="e">
        <f>IF(VALUE(F4910) = VALUE(RIGHT(Insights!$C$3, 4)), E4910, "")</f>
        <v>#VALUE!</v>
      </c>
      <c r="H4910" s="26" t="e">
        <f t="shared" si="1"/>
        <v>#VALUE!</v>
      </c>
      <c r="I4910" s="1" t="e">
        <f t="shared" si="2"/>
        <v>#VALUE!</v>
      </c>
    </row>
    <row r="4911" spans="1:9" ht="15.75" customHeight="1">
      <c r="A4911" s="26"/>
      <c r="B4911" s="2"/>
      <c r="C4911" s="26"/>
      <c r="D4911" s="26"/>
      <c r="F4911" s="85" t="str">
        <f t="shared" si="0"/>
        <v/>
      </c>
      <c r="G4911" s="1" t="e">
        <f>IF(VALUE(F4911) = VALUE(RIGHT(Insights!$C$3, 4)), E4911, "")</f>
        <v>#VALUE!</v>
      </c>
      <c r="H4911" s="26" t="e">
        <f t="shared" si="1"/>
        <v>#VALUE!</v>
      </c>
      <c r="I4911" s="1" t="e">
        <f t="shared" si="2"/>
        <v>#VALUE!</v>
      </c>
    </row>
    <row r="4912" spans="1:9" ht="15.75" customHeight="1">
      <c r="A4912" s="26"/>
      <c r="B4912" s="2"/>
      <c r="C4912" s="26"/>
      <c r="D4912" s="26"/>
      <c r="F4912" s="85" t="str">
        <f t="shared" si="0"/>
        <v/>
      </c>
      <c r="G4912" s="1" t="e">
        <f>IF(VALUE(F4912) = VALUE(RIGHT(Insights!$C$3, 4)), E4912, "")</f>
        <v>#VALUE!</v>
      </c>
      <c r="H4912" s="26" t="e">
        <f t="shared" si="1"/>
        <v>#VALUE!</v>
      </c>
      <c r="I4912" s="1" t="e">
        <f t="shared" si="2"/>
        <v>#VALUE!</v>
      </c>
    </row>
    <row r="4913" spans="1:9" ht="15.75" customHeight="1">
      <c r="A4913" s="26"/>
      <c r="B4913" s="2"/>
      <c r="C4913" s="26"/>
      <c r="D4913" s="26"/>
      <c r="F4913" s="85" t="str">
        <f t="shared" si="0"/>
        <v/>
      </c>
      <c r="G4913" s="1" t="e">
        <f>IF(VALUE(F4913) = VALUE(RIGHT(Insights!$C$3, 4)), E4913, "")</f>
        <v>#VALUE!</v>
      </c>
      <c r="H4913" s="26" t="e">
        <f t="shared" si="1"/>
        <v>#VALUE!</v>
      </c>
      <c r="I4913" s="1" t="e">
        <f t="shared" si="2"/>
        <v>#VALUE!</v>
      </c>
    </row>
    <row r="4914" spans="1:9" ht="15.75" customHeight="1">
      <c r="A4914" s="26"/>
      <c r="B4914" s="2"/>
      <c r="C4914" s="26"/>
      <c r="D4914" s="26"/>
      <c r="F4914" s="85" t="str">
        <f t="shared" si="0"/>
        <v/>
      </c>
      <c r="G4914" s="1" t="e">
        <f>IF(VALUE(F4914) = VALUE(RIGHT(Insights!$C$3, 4)), E4914, "")</f>
        <v>#VALUE!</v>
      </c>
      <c r="H4914" s="26" t="e">
        <f t="shared" si="1"/>
        <v>#VALUE!</v>
      </c>
      <c r="I4914" s="1" t="e">
        <f t="shared" si="2"/>
        <v>#VALUE!</v>
      </c>
    </row>
    <row r="4915" spans="1:9" ht="15.75" customHeight="1">
      <c r="A4915" s="26"/>
      <c r="B4915" s="2"/>
      <c r="C4915" s="26"/>
      <c r="D4915" s="26"/>
      <c r="F4915" s="85" t="str">
        <f t="shared" si="0"/>
        <v/>
      </c>
      <c r="G4915" s="1" t="e">
        <f>IF(VALUE(F4915) = VALUE(RIGHT(Insights!$C$3, 4)), E4915, "")</f>
        <v>#VALUE!</v>
      </c>
      <c r="H4915" s="26" t="e">
        <f t="shared" si="1"/>
        <v>#VALUE!</v>
      </c>
      <c r="I4915" s="1" t="e">
        <f t="shared" si="2"/>
        <v>#VALUE!</v>
      </c>
    </row>
    <row r="4916" spans="1:9" ht="15.75" customHeight="1">
      <c r="A4916" s="26"/>
      <c r="B4916" s="2"/>
      <c r="C4916" s="26"/>
      <c r="D4916" s="26"/>
      <c r="F4916" s="85" t="str">
        <f t="shared" si="0"/>
        <v/>
      </c>
      <c r="G4916" s="1" t="e">
        <f>IF(VALUE(F4916) = VALUE(RIGHT(Insights!$C$3, 4)), E4916, "")</f>
        <v>#VALUE!</v>
      </c>
      <c r="H4916" s="26" t="e">
        <f t="shared" si="1"/>
        <v>#VALUE!</v>
      </c>
      <c r="I4916" s="1" t="e">
        <f t="shared" si="2"/>
        <v>#VALUE!</v>
      </c>
    </row>
    <row r="4917" spans="1:9" ht="15.75" customHeight="1">
      <c r="A4917" s="26"/>
      <c r="B4917" s="2"/>
      <c r="C4917" s="26"/>
      <c r="D4917" s="26"/>
      <c r="F4917" s="85" t="str">
        <f t="shared" si="0"/>
        <v/>
      </c>
      <c r="G4917" s="1" t="e">
        <f>IF(VALUE(F4917) = VALUE(RIGHT(Insights!$C$3, 4)), E4917, "")</f>
        <v>#VALUE!</v>
      </c>
      <c r="H4917" s="26" t="e">
        <f t="shared" si="1"/>
        <v>#VALUE!</v>
      </c>
      <c r="I4917" s="1" t="e">
        <f t="shared" si="2"/>
        <v>#VALUE!</v>
      </c>
    </row>
    <row r="4918" spans="1:9" ht="15.75" customHeight="1">
      <c r="A4918" s="26"/>
      <c r="B4918" s="2"/>
      <c r="C4918" s="26"/>
      <c r="D4918" s="26"/>
      <c r="F4918" s="85" t="str">
        <f t="shared" si="0"/>
        <v/>
      </c>
      <c r="G4918" s="1" t="e">
        <f>IF(VALUE(F4918) = VALUE(RIGHT(Insights!$C$3, 4)), E4918, "")</f>
        <v>#VALUE!</v>
      </c>
      <c r="H4918" s="26" t="e">
        <f t="shared" si="1"/>
        <v>#VALUE!</v>
      </c>
      <c r="I4918" s="1" t="e">
        <f t="shared" si="2"/>
        <v>#VALUE!</v>
      </c>
    </row>
    <row r="4919" spans="1:9" ht="15.75" customHeight="1">
      <c r="A4919" s="26"/>
      <c r="B4919" s="2"/>
      <c r="C4919" s="26"/>
      <c r="D4919" s="26"/>
      <c r="F4919" s="85" t="str">
        <f t="shared" si="0"/>
        <v/>
      </c>
      <c r="G4919" s="1" t="e">
        <f>IF(VALUE(F4919) = VALUE(RIGHT(Insights!$C$3, 4)), E4919, "")</f>
        <v>#VALUE!</v>
      </c>
      <c r="H4919" s="26" t="e">
        <f t="shared" si="1"/>
        <v>#VALUE!</v>
      </c>
      <c r="I4919" s="1" t="e">
        <f t="shared" si="2"/>
        <v>#VALUE!</v>
      </c>
    </row>
    <row r="4920" spans="1:9" ht="15.75" customHeight="1">
      <c r="A4920" s="26"/>
      <c r="B4920" s="2"/>
      <c r="C4920" s="26"/>
      <c r="D4920" s="26"/>
      <c r="F4920" s="85" t="str">
        <f t="shared" si="0"/>
        <v/>
      </c>
      <c r="G4920" s="1" t="e">
        <f>IF(VALUE(F4920) = VALUE(RIGHT(Insights!$C$3, 4)), E4920, "")</f>
        <v>#VALUE!</v>
      </c>
      <c r="H4920" s="26" t="e">
        <f t="shared" si="1"/>
        <v>#VALUE!</v>
      </c>
      <c r="I4920" s="1" t="e">
        <f t="shared" si="2"/>
        <v>#VALUE!</v>
      </c>
    </row>
    <row r="4921" spans="1:9" ht="15.75" customHeight="1">
      <c r="A4921" s="26"/>
      <c r="B4921" s="2"/>
      <c r="C4921" s="26"/>
      <c r="D4921" s="26"/>
      <c r="F4921" s="85" t="str">
        <f t="shared" si="0"/>
        <v/>
      </c>
      <c r="G4921" s="1" t="e">
        <f>IF(VALUE(F4921) = VALUE(RIGHT(Insights!$C$3, 4)), E4921, "")</f>
        <v>#VALUE!</v>
      </c>
      <c r="H4921" s="26" t="e">
        <f t="shared" si="1"/>
        <v>#VALUE!</v>
      </c>
      <c r="I4921" s="1" t="e">
        <f t="shared" si="2"/>
        <v>#VALUE!</v>
      </c>
    </row>
    <row r="4922" spans="1:9" ht="15.75" customHeight="1">
      <c r="A4922" s="26"/>
      <c r="B4922" s="2"/>
      <c r="C4922" s="26"/>
      <c r="D4922" s="26"/>
      <c r="F4922" s="85" t="str">
        <f t="shared" si="0"/>
        <v/>
      </c>
      <c r="G4922" s="1" t="e">
        <f>IF(VALUE(F4922) = VALUE(RIGHT(Insights!$C$3, 4)), E4922, "")</f>
        <v>#VALUE!</v>
      </c>
      <c r="H4922" s="26" t="e">
        <f t="shared" si="1"/>
        <v>#VALUE!</v>
      </c>
      <c r="I4922" s="1" t="e">
        <f t="shared" si="2"/>
        <v>#VALUE!</v>
      </c>
    </row>
    <row r="4923" spans="1:9" ht="15.75" customHeight="1">
      <c r="A4923" s="26"/>
      <c r="B4923" s="2"/>
      <c r="C4923" s="26"/>
      <c r="D4923" s="26"/>
      <c r="F4923" s="85" t="str">
        <f t="shared" si="0"/>
        <v/>
      </c>
      <c r="G4923" s="1" t="e">
        <f>IF(VALUE(F4923) = VALUE(RIGHT(Insights!$C$3, 4)), E4923, "")</f>
        <v>#VALUE!</v>
      </c>
      <c r="H4923" s="26" t="e">
        <f t="shared" si="1"/>
        <v>#VALUE!</v>
      </c>
      <c r="I4923" s="1" t="e">
        <f t="shared" si="2"/>
        <v>#VALUE!</v>
      </c>
    </row>
    <row r="4924" spans="1:9" ht="15.75" customHeight="1">
      <c r="A4924" s="26"/>
      <c r="B4924" s="2"/>
      <c r="C4924" s="26"/>
      <c r="D4924" s="26"/>
      <c r="F4924" s="85" t="str">
        <f t="shared" si="0"/>
        <v/>
      </c>
      <c r="G4924" s="1" t="e">
        <f>IF(VALUE(F4924) = VALUE(RIGHT(Insights!$C$3, 4)), E4924, "")</f>
        <v>#VALUE!</v>
      </c>
      <c r="H4924" s="26" t="e">
        <f t="shared" si="1"/>
        <v>#VALUE!</v>
      </c>
      <c r="I4924" s="1" t="e">
        <f t="shared" si="2"/>
        <v>#VALUE!</v>
      </c>
    </row>
    <row r="4925" spans="1:9" ht="15.75" customHeight="1">
      <c r="A4925" s="26"/>
      <c r="B4925" s="2"/>
      <c r="C4925" s="26"/>
      <c r="D4925" s="26"/>
      <c r="F4925" s="85" t="str">
        <f t="shared" si="0"/>
        <v/>
      </c>
      <c r="G4925" s="1" t="e">
        <f>IF(VALUE(F4925) = VALUE(RIGHT(Insights!$C$3, 4)), E4925, "")</f>
        <v>#VALUE!</v>
      </c>
      <c r="H4925" s="26" t="e">
        <f t="shared" si="1"/>
        <v>#VALUE!</v>
      </c>
      <c r="I4925" s="1" t="e">
        <f t="shared" si="2"/>
        <v>#VALUE!</v>
      </c>
    </row>
    <row r="4926" spans="1:9" ht="15.75" customHeight="1">
      <c r="A4926" s="26"/>
      <c r="B4926" s="2"/>
      <c r="C4926" s="26"/>
      <c r="D4926" s="26"/>
      <c r="F4926" s="85" t="str">
        <f t="shared" si="0"/>
        <v/>
      </c>
      <c r="G4926" s="1" t="e">
        <f>IF(VALUE(F4926) = VALUE(RIGHT(Insights!$C$3, 4)), E4926, "")</f>
        <v>#VALUE!</v>
      </c>
      <c r="H4926" s="26" t="e">
        <f t="shared" si="1"/>
        <v>#VALUE!</v>
      </c>
      <c r="I4926" s="1" t="e">
        <f t="shared" si="2"/>
        <v>#VALUE!</v>
      </c>
    </row>
    <row r="4927" spans="1:9" ht="15.75" customHeight="1">
      <c r="A4927" s="26"/>
      <c r="B4927" s="2"/>
      <c r="C4927" s="26"/>
      <c r="D4927" s="26"/>
      <c r="F4927" s="85" t="str">
        <f t="shared" si="0"/>
        <v/>
      </c>
      <c r="G4927" s="1" t="e">
        <f>IF(VALUE(F4927) = VALUE(RIGHT(Insights!$C$3, 4)), E4927, "")</f>
        <v>#VALUE!</v>
      </c>
      <c r="H4927" s="26" t="e">
        <f t="shared" si="1"/>
        <v>#VALUE!</v>
      </c>
      <c r="I4927" s="1" t="e">
        <f t="shared" si="2"/>
        <v>#VALUE!</v>
      </c>
    </row>
    <row r="4928" spans="1:9" ht="15.75" customHeight="1">
      <c r="A4928" s="26"/>
      <c r="B4928" s="2"/>
      <c r="C4928" s="26"/>
      <c r="D4928" s="26"/>
      <c r="F4928" s="85" t="str">
        <f t="shared" si="0"/>
        <v/>
      </c>
      <c r="G4928" s="1" t="e">
        <f>IF(VALUE(F4928) = VALUE(RIGHT(Insights!$C$3, 4)), E4928, "")</f>
        <v>#VALUE!</v>
      </c>
      <c r="H4928" s="26" t="e">
        <f t="shared" si="1"/>
        <v>#VALUE!</v>
      </c>
      <c r="I4928" s="1" t="e">
        <f t="shared" si="2"/>
        <v>#VALUE!</v>
      </c>
    </row>
    <row r="4929" spans="1:9" ht="15.75" customHeight="1">
      <c r="A4929" s="26"/>
      <c r="B4929" s="2"/>
      <c r="C4929" s="26"/>
      <c r="D4929" s="26"/>
      <c r="F4929" s="85" t="str">
        <f t="shared" si="0"/>
        <v/>
      </c>
      <c r="G4929" s="1" t="e">
        <f>IF(VALUE(F4929) = VALUE(RIGHT(Insights!$C$3, 4)), E4929, "")</f>
        <v>#VALUE!</v>
      </c>
      <c r="H4929" s="26" t="e">
        <f t="shared" si="1"/>
        <v>#VALUE!</v>
      </c>
      <c r="I4929" s="1" t="e">
        <f t="shared" si="2"/>
        <v>#VALUE!</v>
      </c>
    </row>
    <row r="4930" spans="1:9" ht="15.75" customHeight="1">
      <c r="A4930" s="26"/>
      <c r="B4930" s="2"/>
      <c r="C4930" s="26"/>
      <c r="D4930" s="26"/>
      <c r="F4930" s="85" t="str">
        <f t="shared" si="0"/>
        <v/>
      </c>
      <c r="G4930" s="1" t="e">
        <f>IF(VALUE(F4930) = VALUE(RIGHT(Insights!$C$3, 4)), E4930, "")</f>
        <v>#VALUE!</v>
      </c>
      <c r="H4930" s="26" t="e">
        <f t="shared" si="1"/>
        <v>#VALUE!</v>
      </c>
      <c r="I4930" s="1" t="e">
        <f t="shared" si="2"/>
        <v>#VALUE!</v>
      </c>
    </row>
    <row r="4931" spans="1:9" ht="15.75" customHeight="1">
      <c r="A4931" s="26"/>
      <c r="B4931" s="2"/>
      <c r="C4931" s="26"/>
      <c r="D4931" s="26"/>
      <c r="F4931" s="85" t="str">
        <f t="shared" si="0"/>
        <v/>
      </c>
      <c r="G4931" s="1" t="e">
        <f>IF(VALUE(F4931) = VALUE(RIGHT(Insights!$C$3, 4)), E4931, "")</f>
        <v>#VALUE!</v>
      </c>
      <c r="H4931" s="26" t="e">
        <f t="shared" si="1"/>
        <v>#VALUE!</v>
      </c>
      <c r="I4931" s="1" t="e">
        <f t="shared" si="2"/>
        <v>#VALUE!</v>
      </c>
    </row>
    <row r="4932" spans="1:9" ht="15.75" customHeight="1">
      <c r="A4932" s="26"/>
      <c r="B4932" s="2"/>
      <c r="C4932" s="26"/>
      <c r="D4932" s="26"/>
      <c r="F4932" s="85" t="str">
        <f t="shared" si="0"/>
        <v/>
      </c>
      <c r="G4932" s="1" t="e">
        <f>IF(VALUE(F4932) = VALUE(RIGHT(Insights!$C$3, 4)), E4932, "")</f>
        <v>#VALUE!</v>
      </c>
      <c r="H4932" s="26" t="e">
        <f t="shared" si="1"/>
        <v>#VALUE!</v>
      </c>
      <c r="I4932" s="1" t="e">
        <f t="shared" si="2"/>
        <v>#VALUE!</v>
      </c>
    </row>
    <row r="4933" spans="1:9" ht="15.75" customHeight="1">
      <c r="A4933" s="26"/>
      <c r="B4933" s="2"/>
      <c r="C4933" s="26"/>
      <c r="D4933" s="26"/>
      <c r="F4933" s="85" t="str">
        <f t="shared" si="0"/>
        <v/>
      </c>
      <c r="G4933" s="1" t="e">
        <f>IF(VALUE(F4933) = VALUE(RIGHT(Insights!$C$3, 4)), E4933, "")</f>
        <v>#VALUE!</v>
      </c>
      <c r="H4933" s="26" t="e">
        <f t="shared" si="1"/>
        <v>#VALUE!</v>
      </c>
      <c r="I4933" s="1" t="e">
        <f t="shared" si="2"/>
        <v>#VALUE!</v>
      </c>
    </row>
    <row r="4934" spans="1:9" ht="15.75" customHeight="1">
      <c r="A4934" s="26"/>
      <c r="B4934" s="2"/>
      <c r="C4934" s="26"/>
      <c r="D4934" s="26"/>
      <c r="F4934" s="85" t="str">
        <f t="shared" si="0"/>
        <v/>
      </c>
      <c r="G4934" s="1" t="e">
        <f>IF(VALUE(F4934) = VALUE(RIGHT(Insights!$C$3, 4)), E4934, "")</f>
        <v>#VALUE!</v>
      </c>
      <c r="H4934" s="26" t="e">
        <f t="shared" si="1"/>
        <v>#VALUE!</v>
      </c>
      <c r="I4934" s="1" t="e">
        <f t="shared" si="2"/>
        <v>#VALUE!</v>
      </c>
    </row>
    <row r="4935" spans="1:9" ht="15.75" customHeight="1">
      <c r="A4935" s="26"/>
      <c r="B4935" s="2"/>
      <c r="C4935" s="26"/>
      <c r="D4935" s="26"/>
      <c r="F4935" s="85" t="str">
        <f t="shared" si="0"/>
        <v/>
      </c>
      <c r="G4935" s="1" t="e">
        <f>IF(VALUE(F4935) = VALUE(RIGHT(Insights!$C$3, 4)), E4935, "")</f>
        <v>#VALUE!</v>
      </c>
      <c r="H4935" s="26" t="e">
        <f t="shared" si="1"/>
        <v>#VALUE!</v>
      </c>
      <c r="I4935" s="1" t="e">
        <f t="shared" si="2"/>
        <v>#VALUE!</v>
      </c>
    </row>
    <row r="4936" spans="1:9" ht="15.75" customHeight="1">
      <c r="A4936" s="26"/>
      <c r="B4936" s="2"/>
      <c r="C4936" s="26"/>
      <c r="D4936" s="26"/>
      <c r="F4936" s="85" t="str">
        <f t="shared" si="0"/>
        <v/>
      </c>
      <c r="G4936" s="1" t="e">
        <f>IF(VALUE(F4936) = VALUE(RIGHT(Insights!$C$3, 4)), E4936, "")</f>
        <v>#VALUE!</v>
      </c>
      <c r="H4936" s="26" t="e">
        <f t="shared" si="1"/>
        <v>#VALUE!</v>
      </c>
      <c r="I4936" s="1" t="e">
        <f t="shared" si="2"/>
        <v>#VALUE!</v>
      </c>
    </row>
    <row r="4937" spans="1:9" ht="15.75" customHeight="1">
      <c r="A4937" s="26"/>
      <c r="B4937" s="2"/>
      <c r="C4937" s="26"/>
      <c r="D4937" s="26"/>
      <c r="F4937" s="85" t="str">
        <f t="shared" si="0"/>
        <v/>
      </c>
      <c r="G4937" s="1" t="e">
        <f>IF(VALUE(F4937) = VALUE(RIGHT(Insights!$C$3, 4)), E4937, "")</f>
        <v>#VALUE!</v>
      </c>
      <c r="H4937" s="26" t="e">
        <f t="shared" si="1"/>
        <v>#VALUE!</v>
      </c>
      <c r="I4937" s="1" t="e">
        <f t="shared" si="2"/>
        <v>#VALUE!</v>
      </c>
    </row>
    <row r="4938" spans="1:9" ht="15.75" customHeight="1">
      <c r="A4938" s="26"/>
      <c r="B4938" s="2"/>
      <c r="C4938" s="26"/>
      <c r="D4938" s="26"/>
      <c r="F4938" s="85" t="str">
        <f t="shared" si="0"/>
        <v/>
      </c>
      <c r="G4938" s="1" t="e">
        <f>IF(VALUE(F4938) = VALUE(RIGHT(Insights!$C$3, 4)), E4938, "")</f>
        <v>#VALUE!</v>
      </c>
      <c r="H4938" s="26" t="e">
        <f t="shared" si="1"/>
        <v>#VALUE!</v>
      </c>
      <c r="I4938" s="1" t="e">
        <f t="shared" si="2"/>
        <v>#VALUE!</v>
      </c>
    </row>
    <row r="4939" spans="1:9" ht="15.75" customHeight="1">
      <c r="A4939" s="26"/>
      <c r="B4939" s="2"/>
      <c r="C4939" s="26"/>
      <c r="D4939" s="26"/>
      <c r="F4939" s="85" t="str">
        <f t="shared" si="0"/>
        <v/>
      </c>
      <c r="G4939" s="1" t="e">
        <f>IF(VALUE(F4939) = VALUE(RIGHT(Insights!$C$3, 4)), E4939, "")</f>
        <v>#VALUE!</v>
      </c>
      <c r="H4939" s="26" t="e">
        <f t="shared" si="1"/>
        <v>#VALUE!</v>
      </c>
      <c r="I4939" s="1" t="e">
        <f t="shared" si="2"/>
        <v>#VALUE!</v>
      </c>
    </row>
    <row r="4940" spans="1:9" ht="15.75" customHeight="1">
      <c r="A4940" s="26"/>
      <c r="B4940" s="2"/>
      <c r="C4940" s="26"/>
      <c r="D4940" s="26"/>
      <c r="F4940" s="85" t="str">
        <f t="shared" si="0"/>
        <v/>
      </c>
      <c r="G4940" s="1" t="e">
        <f>IF(VALUE(F4940) = VALUE(RIGHT(Insights!$C$3, 4)), E4940, "")</f>
        <v>#VALUE!</v>
      </c>
      <c r="H4940" s="26" t="e">
        <f t="shared" si="1"/>
        <v>#VALUE!</v>
      </c>
      <c r="I4940" s="1" t="e">
        <f t="shared" si="2"/>
        <v>#VALUE!</v>
      </c>
    </row>
    <row r="4941" spans="1:9" ht="15.75" customHeight="1">
      <c r="A4941" s="26"/>
      <c r="B4941" s="2"/>
      <c r="C4941" s="26"/>
      <c r="D4941" s="26"/>
      <c r="F4941" s="85" t="str">
        <f t="shared" si="0"/>
        <v/>
      </c>
      <c r="G4941" s="1" t="e">
        <f>IF(VALUE(F4941) = VALUE(RIGHT(Insights!$C$3, 4)), E4941, "")</f>
        <v>#VALUE!</v>
      </c>
      <c r="H4941" s="26" t="e">
        <f t="shared" si="1"/>
        <v>#VALUE!</v>
      </c>
      <c r="I4941" s="1" t="e">
        <f t="shared" si="2"/>
        <v>#VALUE!</v>
      </c>
    </row>
    <row r="4942" spans="1:9" ht="15.75" customHeight="1">
      <c r="A4942" s="26"/>
      <c r="B4942" s="2"/>
      <c r="C4942" s="26"/>
      <c r="D4942" s="26"/>
      <c r="F4942" s="85" t="str">
        <f t="shared" si="0"/>
        <v/>
      </c>
      <c r="G4942" s="1" t="e">
        <f>IF(VALUE(F4942) = VALUE(RIGHT(Insights!$C$3, 4)), E4942, "")</f>
        <v>#VALUE!</v>
      </c>
      <c r="H4942" s="26" t="e">
        <f t="shared" si="1"/>
        <v>#VALUE!</v>
      </c>
      <c r="I4942" s="1" t="e">
        <f t="shared" si="2"/>
        <v>#VALUE!</v>
      </c>
    </row>
    <row r="4943" spans="1:9" ht="15.75" customHeight="1">
      <c r="A4943" s="26"/>
      <c r="B4943" s="2"/>
      <c r="C4943" s="26"/>
      <c r="D4943" s="26"/>
      <c r="F4943" s="85" t="str">
        <f t="shared" si="0"/>
        <v/>
      </c>
      <c r="G4943" s="1" t="e">
        <f>IF(VALUE(F4943) = VALUE(RIGHT(Insights!$C$3, 4)), E4943, "")</f>
        <v>#VALUE!</v>
      </c>
      <c r="H4943" s="26" t="e">
        <f t="shared" si="1"/>
        <v>#VALUE!</v>
      </c>
      <c r="I4943" s="1" t="e">
        <f t="shared" si="2"/>
        <v>#VALUE!</v>
      </c>
    </row>
    <row r="4944" spans="1:9" ht="15.75" customHeight="1">
      <c r="A4944" s="26"/>
      <c r="B4944" s="2"/>
      <c r="C4944" s="26"/>
      <c r="D4944" s="26"/>
      <c r="F4944" s="85" t="str">
        <f t="shared" si="0"/>
        <v/>
      </c>
      <c r="G4944" s="1" t="e">
        <f>IF(VALUE(F4944) = VALUE(RIGHT(Insights!$C$3, 4)), E4944, "")</f>
        <v>#VALUE!</v>
      </c>
      <c r="H4944" s="26" t="e">
        <f t="shared" si="1"/>
        <v>#VALUE!</v>
      </c>
      <c r="I4944" s="1" t="e">
        <f t="shared" si="2"/>
        <v>#VALUE!</v>
      </c>
    </row>
    <row r="4945" spans="1:9" ht="15.75" customHeight="1">
      <c r="A4945" s="26"/>
      <c r="B4945" s="2"/>
      <c r="C4945" s="26"/>
      <c r="D4945" s="26"/>
      <c r="F4945" s="85" t="str">
        <f t="shared" si="0"/>
        <v/>
      </c>
      <c r="G4945" s="1" t="e">
        <f>IF(VALUE(F4945) = VALUE(RIGHT(Insights!$C$3, 4)), E4945, "")</f>
        <v>#VALUE!</v>
      </c>
      <c r="H4945" s="26" t="e">
        <f t="shared" si="1"/>
        <v>#VALUE!</v>
      </c>
      <c r="I4945" s="1" t="e">
        <f t="shared" si="2"/>
        <v>#VALUE!</v>
      </c>
    </row>
    <row r="4946" spans="1:9" ht="15.75" customHeight="1">
      <c r="A4946" s="26"/>
      <c r="B4946" s="2"/>
      <c r="C4946" s="26"/>
      <c r="D4946" s="26"/>
      <c r="F4946" s="85" t="str">
        <f t="shared" si="0"/>
        <v/>
      </c>
      <c r="G4946" s="1" t="e">
        <f>IF(VALUE(F4946) = VALUE(RIGHT(Insights!$C$3, 4)), E4946, "")</f>
        <v>#VALUE!</v>
      </c>
      <c r="H4946" s="26" t="e">
        <f t="shared" si="1"/>
        <v>#VALUE!</v>
      </c>
      <c r="I4946" s="1" t="e">
        <f t="shared" si="2"/>
        <v>#VALUE!</v>
      </c>
    </row>
    <row r="4947" spans="1:9" ht="15.75" customHeight="1">
      <c r="A4947" s="26"/>
      <c r="B4947" s="2"/>
      <c r="C4947" s="26"/>
      <c r="D4947" s="26"/>
      <c r="F4947" s="85" t="str">
        <f t="shared" si="0"/>
        <v/>
      </c>
      <c r="G4947" s="1" t="e">
        <f>IF(VALUE(F4947) = VALUE(RIGHT(Insights!$C$3, 4)), E4947, "")</f>
        <v>#VALUE!</v>
      </c>
      <c r="H4947" s="26" t="e">
        <f t="shared" si="1"/>
        <v>#VALUE!</v>
      </c>
      <c r="I4947" s="1" t="e">
        <f t="shared" si="2"/>
        <v>#VALUE!</v>
      </c>
    </row>
    <row r="4948" spans="1:9" ht="15.75" customHeight="1">
      <c r="A4948" s="26"/>
      <c r="B4948" s="2"/>
      <c r="C4948" s="26"/>
      <c r="D4948" s="26"/>
      <c r="F4948" s="85" t="str">
        <f t="shared" si="0"/>
        <v/>
      </c>
      <c r="G4948" s="1" t="e">
        <f>IF(VALUE(F4948) = VALUE(RIGHT(Insights!$C$3, 4)), E4948, "")</f>
        <v>#VALUE!</v>
      </c>
      <c r="H4948" s="26" t="e">
        <f t="shared" si="1"/>
        <v>#VALUE!</v>
      </c>
      <c r="I4948" s="1" t="e">
        <f t="shared" si="2"/>
        <v>#VALUE!</v>
      </c>
    </row>
    <row r="4949" spans="1:9" ht="15.75" customHeight="1">
      <c r="A4949" s="26"/>
      <c r="B4949" s="2"/>
      <c r="C4949" s="26"/>
      <c r="D4949" s="26"/>
      <c r="F4949" s="85" t="str">
        <f t="shared" si="0"/>
        <v/>
      </c>
      <c r="G4949" s="1" t="e">
        <f>IF(VALUE(F4949) = VALUE(RIGHT(Insights!$C$3, 4)), E4949, "")</f>
        <v>#VALUE!</v>
      </c>
      <c r="H4949" s="26" t="e">
        <f t="shared" si="1"/>
        <v>#VALUE!</v>
      </c>
      <c r="I4949" s="1" t="e">
        <f t="shared" si="2"/>
        <v>#VALUE!</v>
      </c>
    </row>
    <row r="4950" spans="1:9" ht="15.75" customHeight="1">
      <c r="A4950" s="26"/>
      <c r="B4950" s="2"/>
      <c r="C4950" s="26"/>
      <c r="D4950" s="26"/>
      <c r="F4950" s="85" t="str">
        <f t="shared" si="0"/>
        <v/>
      </c>
      <c r="G4950" s="1" t="e">
        <f>IF(VALUE(F4950) = VALUE(RIGHT(Insights!$C$3, 4)), E4950, "")</f>
        <v>#VALUE!</v>
      </c>
      <c r="H4950" s="26" t="e">
        <f t="shared" si="1"/>
        <v>#VALUE!</v>
      </c>
      <c r="I4950" s="1" t="e">
        <f t="shared" si="2"/>
        <v>#VALUE!</v>
      </c>
    </row>
    <row r="4951" spans="1:9" ht="15.75" customHeight="1">
      <c r="A4951" s="26"/>
      <c r="B4951" s="2"/>
      <c r="C4951" s="26"/>
      <c r="D4951" s="26"/>
      <c r="F4951" s="85" t="str">
        <f t="shared" si="0"/>
        <v/>
      </c>
      <c r="G4951" s="1" t="e">
        <f>IF(VALUE(F4951) = VALUE(RIGHT(Insights!$C$3, 4)), E4951, "")</f>
        <v>#VALUE!</v>
      </c>
      <c r="H4951" s="26" t="e">
        <f t="shared" si="1"/>
        <v>#VALUE!</v>
      </c>
      <c r="I4951" s="1" t="e">
        <f t="shared" si="2"/>
        <v>#VALUE!</v>
      </c>
    </row>
    <row r="4952" spans="1:9" ht="15.75" customHeight="1">
      <c r="A4952" s="26"/>
      <c r="B4952" s="2"/>
      <c r="C4952" s="26"/>
      <c r="D4952" s="26"/>
      <c r="F4952" s="85" t="str">
        <f t="shared" si="0"/>
        <v/>
      </c>
      <c r="G4952" s="1" t="e">
        <f>IF(VALUE(F4952) = VALUE(RIGHT(Insights!$C$3, 4)), E4952, "")</f>
        <v>#VALUE!</v>
      </c>
      <c r="H4952" s="26" t="e">
        <f t="shared" si="1"/>
        <v>#VALUE!</v>
      </c>
      <c r="I4952" s="1" t="e">
        <f t="shared" si="2"/>
        <v>#VALUE!</v>
      </c>
    </row>
    <row r="4953" spans="1:9" ht="15.75" customHeight="1">
      <c r="A4953" s="26"/>
      <c r="B4953" s="2"/>
      <c r="C4953" s="26"/>
      <c r="D4953" s="26"/>
      <c r="F4953" s="85" t="str">
        <f t="shared" si="0"/>
        <v/>
      </c>
      <c r="G4953" s="1" t="e">
        <f>IF(VALUE(F4953) = VALUE(RIGHT(Insights!$C$3, 4)), E4953, "")</f>
        <v>#VALUE!</v>
      </c>
      <c r="H4953" s="26" t="e">
        <f t="shared" si="1"/>
        <v>#VALUE!</v>
      </c>
      <c r="I4953" s="1" t="e">
        <f t="shared" si="2"/>
        <v>#VALUE!</v>
      </c>
    </row>
    <row r="4954" spans="1:9" ht="15.75" customHeight="1">
      <c r="A4954" s="26"/>
      <c r="B4954" s="2"/>
      <c r="C4954" s="26"/>
      <c r="D4954" s="26"/>
      <c r="F4954" s="85" t="str">
        <f t="shared" si="0"/>
        <v/>
      </c>
      <c r="G4954" s="1" t="e">
        <f>IF(VALUE(F4954) = VALUE(RIGHT(Insights!$C$3, 4)), E4954, "")</f>
        <v>#VALUE!</v>
      </c>
      <c r="H4954" s="26" t="e">
        <f t="shared" si="1"/>
        <v>#VALUE!</v>
      </c>
      <c r="I4954" s="1" t="e">
        <f t="shared" si="2"/>
        <v>#VALUE!</v>
      </c>
    </row>
    <row r="4955" spans="1:9" ht="15.75" customHeight="1">
      <c r="A4955" s="26"/>
      <c r="B4955" s="2"/>
      <c r="C4955" s="26"/>
      <c r="D4955" s="26"/>
      <c r="F4955" s="85" t="str">
        <f t="shared" si="0"/>
        <v/>
      </c>
      <c r="G4955" s="1" t="e">
        <f>IF(VALUE(F4955) = VALUE(RIGHT(Insights!$C$3, 4)), E4955, "")</f>
        <v>#VALUE!</v>
      </c>
      <c r="H4955" s="26" t="e">
        <f t="shared" si="1"/>
        <v>#VALUE!</v>
      </c>
      <c r="I4955" s="1" t="e">
        <f t="shared" si="2"/>
        <v>#VALUE!</v>
      </c>
    </row>
    <row r="4956" spans="1:9" ht="15.75" customHeight="1">
      <c r="A4956" s="26"/>
      <c r="B4956" s="2"/>
      <c r="C4956" s="26"/>
      <c r="D4956" s="26"/>
      <c r="F4956" s="85" t="str">
        <f t="shared" si="0"/>
        <v/>
      </c>
      <c r="G4956" s="1" t="e">
        <f>IF(VALUE(F4956) = VALUE(RIGHT(Insights!$C$3, 4)), E4956, "")</f>
        <v>#VALUE!</v>
      </c>
      <c r="H4956" s="26" t="e">
        <f t="shared" si="1"/>
        <v>#VALUE!</v>
      </c>
      <c r="I4956" s="1" t="e">
        <f t="shared" si="2"/>
        <v>#VALUE!</v>
      </c>
    </row>
    <row r="4957" spans="1:9" ht="15.75" customHeight="1">
      <c r="A4957" s="26"/>
      <c r="B4957" s="2"/>
      <c r="C4957" s="26"/>
      <c r="D4957" s="26"/>
      <c r="F4957" s="85" t="str">
        <f t="shared" si="0"/>
        <v/>
      </c>
      <c r="G4957" s="1" t="e">
        <f>IF(VALUE(F4957) = VALUE(RIGHT(Insights!$C$3, 4)), E4957, "")</f>
        <v>#VALUE!</v>
      </c>
      <c r="H4957" s="26" t="e">
        <f t="shared" si="1"/>
        <v>#VALUE!</v>
      </c>
      <c r="I4957" s="1" t="e">
        <f t="shared" si="2"/>
        <v>#VALUE!</v>
      </c>
    </row>
    <row r="4958" spans="1:9" ht="15.75" customHeight="1">
      <c r="A4958" s="26"/>
      <c r="B4958" s="2"/>
      <c r="C4958" s="26"/>
      <c r="D4958" s="26"/>
      <c r="F4958" s="85" t="str">
        <f t="shared" si="0"/>
        <v/>
      </c>
      <c r="G4958" s="1" t="e">
        <f>IF(VALUE(F4958) = VALUE(RIGHT(Insights!$C$3, 4)), E4958, "")</f>
        <v>#VALUE!</v>
      </c>
      <c r="H4958" s="26" t="e">
        <f t="shared" si="1"/>
        <v>#VALUE!</v>
      </c>
      <c r="I4958" s="1" t="e">
        <f t="shared" si="2"/>
        <v>#VALUE!</v>
      </c>
    </row>
    <row r="4959" spans="1:9" ht="15.75" customHeight="1">
      <c r="A4959" s="26"/>
      <c r="B4959" s="2"/>
      <c r="C4959" s="26"/>
      <c r="D4959" s="26"/>
      <c r="F4959" s="85" t="str">
        <f t="shared" si="0"/>
        <v/>
      </c>
      <c r="G4959" s="1" t="e">
        <f>IF(VALUE(F4959) = VALUE(RIGHT(Insights!$C$3, 4)), E4959, "")</f>
        <v>#VALUE!</v>
      </c>
      <c r="H4959" s="26" t="e">
        <f t="shared" si="1"/>
        <v>#VALUE!</v>
      </c>
      <c r="I4959" s="1" t="e">
        <f t="shared" si="2"/>
        <v>#VALUE!</v>
      </c>
    </row>
    <row r="4960" spans="1:9" ht="15.75" customHeight="1">
      <c r="A4960" s="26"/>
      <c r="B4960" s="2"/>
      <c r="C4960" s="26"/>
      <c r="D4960" s="26"/>
      <c r="F4960" s="85" t="str">
        <f t="shared" si="0"/>
        <v/>
      </c>
      <c r="G4960" s="1" t="e">
        <f>IF(VALUE(F4960) = VALUE(RIGHT(Insights!$C$3, 4)), E4960, "")</f>
        <v>#VALUE!</v>
      </c>
      <c r="H4960" s="26" t="e">
        <f t="shared" si="1"/>
        <v>#VALUE!</v>
      </c>
      <c r="I4960" s="1" t="e">
        <f t="shared" si="2"/>
        <v>#VALUE!</v>
      </c>
    </row>
    <row r="4961" spans="1:9" ht="15.75" customHeight="1">
      <c r="A4961" s="26"/>
      <c r="B4961" s="2"/>
      <c r="C4961" s="26"/>
      <c r="D4961" s="26"/>
      <c r="F4961" s="85" t="str">
        <f t="shared" si="0"/>
        <v/>
      </c>
      <c r="G4961" s="1" t="e">
        <f>IF(VALUE(F4961) = VALUE(RIGHT(Insights!$C$3, 4)), E4961, "")</f>
        <v>#VALUE!</v>
      </c>
      <c r="H4961" s="26" t="e">
        <f t="shared" si="1"/>
        <v>#VALUE!</v>
      </c>
      <c r="I4961" s="1" t="e">
        <f t="shared" si="2"/>
        <v>#VALUE!</v>
      </c>
    </row>
    <row r="4962" spans="1:9" ht="15.75" customHeight="1">
      <c r="A4962" s="26"/>
      <c r="B4962" s="2"/>
      <c r="C4962" s="26"/>
      <c r="D4962" s="26"/>
      <c r="F4962" s="85" t="str">
        <f t="shared" si="0"/>
        <v/>
      </c>
      <c r="G4962" s="1" t="e">
        <f>IF(VALUE(F4962) = VALUE(RIGHT(Insights!$C$3, 4)), E4962, "")</f>
        <v>#VALUE!</v>
      </c>
      <c r="H4962" s="26" t="e">
        <f t="shared" si="1"/>
        <v>#VALUE!</v>
      </c>
      <c r="I4962" s="1" t="e">
        <f t="shared" si="2"/>
        <v>#VALUE!</v>
      </c>
    </row>
    <row r="4963" spans="1:9" ht="15.75" customHeight="1">
      <c r="A4963" s="26"/>
      <c r="B4963" s="2"/>
      <c r="C4963" s="26"/>
      <c r="D4963" s="26"/>
      <c r="F4963" s="85" t="str">
        <f t="shared" si="0"/>
        <v/>
      </c>
      <c r="G4963" s="1" t="e">
        <f>IF(VALUE(F4963) = VALUE(RIGHT(Insights!$C$3, 4)), E4963, "")</f>
        <v>#VALUE!</v>
      </c>
      <c r="H4963" s="26" t="e">
        <f t="shared" si="1"/>
        <v>#VALUE!</v>
      </c>
      <c r="I4963" s="1" t="e">
        <f t="shared" si="2"/>
        <v>#VALUE!</v>
      </c>
    </row>
    <row r="4964" spans="1:9" ht="15.75" customHeight="1">
      <c r="A4964" s="26"/>
      <c r="B4964" s="2"/>
      <c r="C4964" s="26"/>
      <c r="D4964" s="26"/>
      <c r="F4964" s="85" t="str">
        <f t="shared" si="0"/>
        <v/>
      </c>
      <c r="G4964" s="1" t="e">
        <f>IF(VALUE(F4964) = VALUE(RIGHT(Insights!$C$3, 4)), E4964, "")</f>
        <v>#VALUE!</v>
      </c>
      <c r="H4964" s="26" t="e">
        <f t="shared" si="1"/>
        <v>#VALUE!</v>
      </c>
      <c r="I4964" s="1" t="e">
        <f t="shared" si="2"/>
        <v>#VALUE!</v>
      </c>
    </row>
    <row r="4965" spans="1:9" ht="15.75" customHeight="1">
      <c r="A4965" s="26"/>
      <c r="B4965" s="2"/>
      <c r="C4965" s="26"/>
      <c r="D4965" s="26"/>
      <c r="F4965" s="85" t="str">
        <f t="shared" si="0"/>
        <v/>
      </c>
      <c r="G4965" s="1" t="e">
        <f>IF(VALUE(F4965) = VALUE(RIGHT(Insights!$C$3, 4)), E4965, "")</f>
        <v>#VALUE!</v>
      </c>
      <c r="H4965" s="26" t="e">
        <f t="shared" si="1"/>
        <v>#VALUE!</v>
      </c>
      <c r="I4965" s="1" t="e">
        <f t="shared" si="2"/>
        <v>#VALUE!</v>
      </c>
    </row>
    <row r="4966" spans="1:9" ht="15.75" customHeight="1">
      <c r="A4966" s="26"/>
      <c r="B4966" s="2"/>
      <c r="C4966" s="26"/>
      <c r="D4966" s="26"/>
      <c r="F4966" s="85" t="str">
        <f t="shared" si="0"/>
        <v/>
      </c>
      <c r="G4966" s="1" t="e">
        <f>IF(VALUE(F4966) = VALUE(RIGHT(Insights!$C$3, 4)), E4966, "")</f>
        <v>#VALUE!</v>
      </c>
      <c r="H4966" s="26" t="e">
        <f t="shared" si="1"/>
        <v>#VALUE!</v>
      </c>
      <c r="I4966" s="1" t="e">
        <f t="shared" si="2"/>
        <v>#VALUE!</v>
      </c>
    </row>
    <row r="4967" spans="1:9" ht="15.75" customHeight="1">
      <c r="A4967" s="26"/>
      <c r="B4967" s="2"/>
      <c r="C4967" s="26"/>
      <c r="D4967" s="26"/>
      <c r="F4967" s="85" t="str">
        <f t="shared" si="0"/>
        <v/>
      </c>
      <c r="G4967" s="1" t="e">
        <f>IF(VALUE(F4967) = VALUE(RIGHT(Insights!$C$3, 4)), E4967, "")</f>
        <v>#VALUE!</v>
      </c>
      <c r="H4967" s="26" t="e">
        <f t="shared" si="1"/>
        <v>#VALUE!</v>
      </c>
      <c r="I4967" s="1" t="e">
        <f t="shared" si="2"/>
        <v>#VALUE!</v>
      </c>
    </row>
    <row r="4968" spans="1:9" ht="15.75" customHeight="1">
      <c r="A4968" s="26"/>
      <c r="B4968" s="2"/>
      <c r="C4968" s="26"/>
      <c r="D4968" s="26"/>
      <c r="F4968" s="85" t="str">
        <f t="shared" si="0"/>
        <v/>
      </c>
      <c r="G4968" s="1" t="e">
        <f>IF(VALUE(F4968) = VALUE(RIGHT(Insights!$C$3, 4)), E4968, "")</f>
        <v>#VALUE!</v>
      </c>
      <c r="H4968" s="26" t="e">
        <f t="shared" si="1"/>
        <v>#VALUE!</v>
      </c>
      <c r="I4968" s="1" t="e">
        <f t="shared" si="2"/>
        <v>#VALUE!</v>
      </c>
    </row>
    <row r="4969" spans="1:9" ht="15.75" customHeight="1">
      <c r="A4969" s="26"/>
      <c r="B4969" s="2"/>
      <c r="C4969" s="26"/>
      <c r="D4969" s="26"/>
      <c r="F4969" s="85" t="str">
        <f t="shared" si="0"/>
        <v/>
      </c>
      <c r="G4969" s="1" t="e">
        <f>IF(VALUE(F4969) = VALUE(RIGHT(Insights!$C$3, 4)), E4969, "")</f>
        <v>#VALUE!</v>
      </c>
      <c r="H4969" s="26" t="e">
        <f t="shared" si="1"/>
        <v>#VALUE!</v>
      </c>
      <c r="I4969" s="1" t="e">
        <f t="shared" si="2"/>
        <v>#VALUE!</v>
      </c>
    </row>
    <row r="4970" spans="1:9" ht="15.75" customHeight="1">
      <c r="A4970" s="26"/>
      <c r="B4970" s="2"/>
      <c r="C4970" s="26"/>
      <c r="D4970" s="26"/>
      <c r="F4970" s="85" t="str">
        <f t="shared" si="0"/>
        <v/>
      </c>
      <c r="G4970" s="1" t="e">
        <f>IF(VALUE(F4970) = VALUE(RIGHT(Insights!$C$3, 4)), E4970, "")</f>
        <v>#VALUE!</v>
      </c>
      <c r="H4970" s="26" t="e">
        <f t="shared" si="1"/>
        <v>#VALUE!</v>
      </c>
      <c r="I4970" s="1" t="e">
        <f t="shared" si="2"/>
        <v>#VALUE!</v>
      </c>
    </row>
    <row r="4971" spans="1:9" ht="15.75" customHeight="1">
      <c r="A4971" s="26"/>
      <c r="B4971" s="2"/>
      <c r="C4971" s="26"/>
      <c r="D4971" s="26"/>
      <c r="F4971" s="85" t="str">
        <f t="shared" si="0"/>
        <v/>
      </c>
      <c r="G4971" s="1" t="e">
        <f>IF(VALUE(F4971) = VALUE(RIGHT(Insights!$C$3, 4)), E4971, "")</f>
        <v>#VALUE!</v>
      </c>
      <c r="H4971" s="26" t="e">
        <f t="shared" si="1"/>
        <v>#VALUE!</v>
      </c>
      <c r="I4971" s="1" t="e">
        <f t="shared" si="2"/>
        <v>#VALUE!</v>
      </c>
    </row>
    <row r="4972" spans="1:9" ht="15.75" customHeight="1">
      <c r="A4972" s="26"/>
      <c r="B4972" s="2"/>
      <c r="C4972" s="26"/>
      <c r="D4972" s="26"/>
      <c r="F4972" s="85" t="str">
        <f t="shared" si="0"/>
        <v/>
      </c>
      <c r="G4972" s="1" t="e">
        <f>IF(VALUE(F4972) = VALUE(RIGHT(Insights!$C$3, 4)), E4972, "")</f>
        <v>#VALUE!</v>
      </c>
      <c r="H4972" s="26" t="e">
        <f t="shared" si="1"/>
        <v>#VALUE!</v>
      </c>
      <c r="I4972" s="1" t="e">
        <f t="shared" si="2"/>
        <v>#VALUE!</v>
      </c>
    </row>
    <row r="4973" spans="1:9" ht="15.75" customHeight="1">
      <c r="A4973" s="26"/>
      <c r="B4973" s="2"/>
      <c r="C4973" s="26"/>
      <c r="D4973" s="26"/>
      <c r="F4973" s="85" t="str">
        <f t="shared" si="0"/>
        <v/>
      </c>
      <c r="G4973" s="1" t="e">
        <f>IF(VALUE(F4973) = VALUE(RIGHT(Insights!$C$3, 4)), E4973, "")</f>
        <v>#VALUE!</v>
      </c>
      <c r="H4973" s="26" t="e">
        <f t="shared" si="1"/>
        <v>#VALUE!</v>
      </c>
      <c r="I4973" s="1" t="e">
        <f t="shared" si="2"/>
        <v>#VALUE!</v>
      </c>
    </row>
    <row r="4974" spans="1:9" ht="15.75" customHeight="1">
      <c r="A4974" s="26"/>
      <c r="B4974" s="2"/>
      <c r="C4974" s="26"/>
      <c r="D4974" s="26"/>
      <c r="F4974" s="85" t="str">
        <f t="shared" si="0"/>
        <v/>
      </c>
      <c r="G4974" s="1" t="e">
        <f>IF(VALUE(F4974) = VALUE(RIGHT(Insights!$C$3, 4)), E4974, "")</f>
        <v>#VALUE!</v>
      </c>
      <c r="H4974" s="26" t="e">
        <f t="shared" si="1"/>
        <v>#VALUE!</v>
      </c>
      <c r="I4974" s="1" t="e">
        <f t="shared" si="2"/>
        <v>#VALUE!</v>
      </c>
    </row>
    <row r="4975" spans="1:9" ht="15.75" customHeight="1">
      <c r="A4975" s="26"/>
      <c r="B4975" s="2"/>
      <c r="C4975" s="26"/>
      <c r="D4975" s="26"/>
      <c r="F4975" s="85" t="str">
        <f t="shared" si="0"/>
        <v/>
      </c>
      <c r="G4975" s="1" t="e">
        <f>IF(VALUE(F4975) = VALUE(RIGHT(Insights!$C$3, 4)), E4975, "")</f>
        <v>#VALUE!</v>
      </c>
      <c r="H4975" s="26" t="e">
        <f t="shared" si="1"/>
        <v>#VALUE!</v>
      </c>
      <c r="I4975" s="1" t="e">
        <f t="shared" si="2"/>
        <v>#VALUE!</v>
      </c>
    </row>
    <row r="4976" spans="1:9" ht="15.75" customHeight="1">
      <c r="A4976" s="26"/>
      <c r="B4976" s="2"/>
      <c r="C4976" s="26"/>
      <c r="D4976" s="26"/>
      <c r="F4976" s="85" t="str">
        <f t="shared" si="0"/>
        <v/>
      </c>
      <c r="G4976" s="1" t="e">
        <f>IF(VALUE(F4976) = VALUE(RIGHT(Insights!$C$3, 4)), E4976, "")</f>
        <v>#VALUE!</v>
      </c>
      <c r="H4976" s="26" t="e">
        <f t="shared" si="1"/>
        <v>#VALUE!</v>
      </c>
      <c r="I4976" s="1" t="e">
        <f t="shared" si="2"/>
        <v>#VALUE!</v>
      </c>
    </row>
    <row r="4977" spans="1:9" ht="15.75" customHeight="1">
      <c r="A4977" s="26"/>
      <c r="B4977" s="2"/>
      <c r="C4977" s="26"/>
      <c r="D4977" s="26"/>
      <c r="F4977" s="85" t="str">
        <f t="shared" si="0"/>
        <v/>
      </c>
      <c r="G4977" s="1" t="e">
        <f>IF(VALUE(F4977) = VALUE(RIGHT(Insights!$C$3, 4)), E4977, "")</f>
        <v>#VALUE!</v>
      </c>
      <c r="H4977" s="26" t="e">
        <f t="shared" si="1"/>
        <v>#VALUE!</v>
      </c>
      <c r="I4977" s="1" t="e">
        <f t="shared" si="2"/>
        <v>#VALUE!</v>
      </c>
    </row>
    <row r="4978" spans="1:9" ht="15.75" customHeight="1">
      <c r="A4978" s="26"/>
      <c r="B4978" s="2"/>
      <c r="C4978" s="26"/>
      <c r="D4978" s="26"/>
      <c r="F4978" s="85" t="str">
        <f t="shared" si="0"/>
        <v/>
      </c>
      <c r="G4978" s="1" t="e">
        <f>IF(VALUE(F4978) = VALUE(RIGHT(Insights!$C$3, 4)), E4978, "")</f>
        <v>#VALUE!</v>
      </c>
      <c r="H4978" s="26" t="e">
        <f t="shared" si="1"/>
        <v>#VALUE!</v>
      </c>
      <c r="I4978" s="1" t="e">
        <f t="shared" si="2"/>
        <v>#VALUE!</v>
      </c>
    </row>
    <row r="4979" spans="1:9" ht="15.75" customHeight="1">
      <c r="A4979" s="26"/>
      <c r="B4979" s="2"/>
      <c r="C4979" s="26"/>
      <c r="D4979" s="26"/>
      <c r="F4979" s="85" t="str">
        <f t="shared" si="0"/>
        <v/>
      </c>
      <c r="G4979" s="1" t="e">
        <f>IF(VALUE(F4979) = VALUE(RIGHT(Insights!$C$3, 4)), E4979, "")</f>
        <v>#VALUE!</v>
      </c>
      <c r="H4979" s="26" t="e">
        <f t="shared" si="1"/>
        <v>#VALUE!</v>
      </c>
      <c r="I4979" s="1" t="e">
        <f t="shared" si="2"/>
        <v>#VALUE!</v>
      </c>
    </row>
    <row r="4980" spans="1:9" ht="15.75" customHeight="1">
      <c r="A4980" s="26"/>
      <c r="B4980" s="2"/>
      <c r="C4980" s="26"/>
      <c r="D4980" s="26"/>
      <c r="F4980" s="85" t="str">
        <f t="shared" si="0"/>
        <v/>
      </c>
      <c r="G4980" s="1" t="e">
        <f>IF(VALUE(F4980) = VALUE(RIGHT(Insights!$C$3, 4)), E4980, "")</f>
        <v>#VALUE!</v>
      </c>
      <c r="H4980" s="26" t="e">
        <f t="shared" si="1"/>
        <v>#VALUE!</v>
      </c>
      <c r="I4980" s="1" t="e">
        <f t="shared" si="2"/>
        <v>#VALUE!</v>
      </c>
    </row>
    <row r="4981" spans="1:9" ht="15.75" customHeight="1">
      <c r="A4981" s="26"/>
      <c r="B4981" s="2"/>
      <c r="C4981" s="26"/>
      <c r="D4981" s="26"/>
      <c r="F4981" s="85" t="str">
        <f t="shared" si="0"/>
        <v/>
      </c>
      <c r="G4981" s="1" t="e">
        <f>IF(VALUE(F4981) = VALUE(RIGHT(Insights!$C$3, 4)), E4981, "")</f>
        <v>#VALUE!</v>
      </c>
      <c r="H4981" s="26" t="e">
        <f t="shared" si="1"/>
        <v>#VALUE!</v>
      </c>
      <c r="I4981" s="1" t="e">
        <f t="shared" si="2"/>
        <v>#VALUE!</v>
      </c>
    </row>
    <row r="4982" spans="1:9" ht="15.75" customHeight="1">
      <c r="A4982" s="26"/>
      <c r="B4982" s="2"/>
      <c r="C4982" s="26"/>
      <c r="D4982" s="26"/>
      <c r="F4982" s="85" t="str">
        <f t="shared" si="0"/>
        <v/>
      </c>
      <c r="G4982" s="1" t="e">
        <f>IF(VALUE(F4982) = VALUE(RIGHT(Insights!$C$3, 4)), E4982, "")</f>
        <v>#VALUE!</v>
      </c>
      <c r="H4982" s="26" t="e">
        <f t="shared" si="1"/>
        <v>#VALUE!</v>
      </c>
      <c r="I4982" s="1" t="e">
        <f t="shared" si="2"/>
        <v>#VALUE!</v>
      </c>
    </row>
    <row r="4983" spans="1:9" ht="15.75" customHeight="1">
      <c r="A4983" s="26"/>
      <c r="B4983" s="2"/>
      <c r="C4983" s="26"/>
      <c r="D4983" s="26"/>
      <c r="F4983" s="85" t="str">
        <f t="shared" si="0"/>
        <v/>
      </c>
      <c r="G4983" s="1" t="e">
        <f>IF(VALUE(F4983) = VALUE(RIGHT(Insights!$C$3, 4)), E4983, "")</f>
        <v>#VALUE!</v>
      </c>
      <c r="H4983" s="26" t="e">
        <f t="shared" si="1"/>
        <v>#VALUE!</v>
      </c>
      <c r="I4983" s="1" t="e">
        <f t="shared" si="2"/>
        <v>#VALUE!</v>
      </c>
    </row>
    <row r="4984" spans="1:9" ht="15.75" customHeight="1">
      <c r="A4984" s="26"/>
      <c r="B4984" s="2"/>
      <c r="C4984" s="26"/>
      <c r="D4984" s="26"/>
      <c r="F4984" s="85" t="str">
        <f t="shared" si="0"/>
        <v/>
      </c>
      <c r="G4984" s="1" t="e">
        <f>IF(VALUE(F4984) = VALUE(RIGHT(Insights!$C$3, 4)), E4984, "")</f>
        <v>#VALUE!</v>
      </c>
      <c r="H4984" s="26" t="e">
        <f t="shared" si="1"/>
        <v>#VALUE!</v>
      </c>
      <c r="I4984" s="1" t="e">
        <f t="shared" si="2"/>
        <v>#VALUE!</v>
      </c>
    </row>
    <row r="4985" spans="1:9" ht="15.75" customHeight="1">
      <c r="A4985" s="26"/>
      <c r="B4985" s="2"/>
      <c r="C4985" s="26"/>
      <c r="D4985" s="26"/>
      <c r="F4985" s="85" t="str">
        <f t="shared" si="0"/>
        <v/>
      </c>
      <c r="G4985" s="1" t="e">
        <f>IF(VALUE(F4985) = VALUE(RIGHT(Insights!$C$3, 4)), E4985, "")</f>
        <v>#VALUE!</v>
      </c>
      <c r="H4985" s="26" t="e">
        <f t="shared" si="1"/>
        <v>#VALUE!</v>
      </c>
      <c r="I4985" s="1" t="e">
        <f t="shared" si="2"/>
        <v>#VALUE!</v>
      </c>
    </row>
    <row r="4986" spans="1:9" ht="15.75" customHeight="1">
      <c r="A4986" s="26"/>
      <c r="B4986" s="2"/>
      <c r="C4986" s="26"/>
      <c r="D4986" s="26"/>
      <c r="F4986" s="85" t="str">
        <f t="shared" si="0"/>
        <v/>
      </c>
      <c r="G4986" s="1" t="e">
        <f>IF(VALUE(F4986) = VALUE(RIGHT(Insights!$C$3, 4)), E4986, "")</f>
        <v>#VALUE!</v>
      </c>
      <c r="H4986" s="26" t="e">
        <f t="shared" si="1"/>
        <v>#VALUE!</v>
      </c>
      <c r="I4986" s="1" t="e">
        <f t="shared" si="2"/>
        <v>#VALUE!</v>
      </c>
    </row>
    <row r="4987" spans="1:9" ht="15.75" customHeight="1">
      <c r="A4987" s="26"/>
      <c r="B4987" s="2"/>
      <c r="C4987" s="26"/>
      <c r="D4987" s="26"/>
      <c r="F4987" s="85" t="str">
        <f t="shared" si="0"/>
        <v/>
      </c>
      <c r="G4987" s="1" t="e">
        <f>IF(VALUE(F4987) = VALUE(RIGHT(Insights!$C$3, 4)), E4987, "")</f>
        <v>#VALUE!</v>
      </c>
      <c r="H4987" s="26" t="e">
        <f t="shared" si="1"/>
        <v>#VALUE!</v>
      </c>
      <c r="I4987" s="1" t="e">
        <f t="shared" si="2"/>
        <v>#VALUE!</v>
      </c>
    </row>
    <row r="4988" spans="1:9" ht="15.75" customHeight="1">
      <c r="A4988" s="26"/>
      <c r="B4988" s="2"/>
      <c r="C4988" s="26"/>
      <c r="D4988" s="26"/>
      <c r="F4988" s="85" t="str">
        <f t="shared" si="0"/>
        <v/>
      </c>
      <c r="G4988" s="1" t="e">
        <f>IF(VALUE(F4988) = VALUE(RIGHT(Insights!$C$3, 4)), E4988, "")</f>
        <v>#VALUE!</v>
      </c>
      <c r="H4988" s="26" t="e">
        <f t="shared" si="1"/>
        <v>#VALUE!</v>
      </c>
      <c r="I4988" s="1" t="e">
        <f t="shared" si="2"/>
        <v>#VALUE!</v>
      </c>
    </row>
    <row r="4989" spans="1:9" ht="15.75" customHeight="1">
      <c r="A4989" s="26"/>
      <c r="B4989" s="2"/>
      <c r="C4989" s="26"/>
      <c r="D4989" s="26"/>
      <c r="F4989" s="85" t="str">
        <f t="shared" si="0"/>
        <v/>
      </c>
      <c r="G4989" s="1" t="e">
        <f>IF(VALUE(F4989) = VALUE(RIGHT(Insights!$C$3, 4)), E4989, "")</f>
        <v>#VALUE!</v>
      </c>
      <c r="H4989" s="26" t="e">
        <f t="shared" si="1"/>
        <v>#VALUE!</v>
      </c>
      <c r="I4989" s="1" t="e">
        <f t="shared" si="2"/>
        <v>#VALUE!</v>
      </c>
    </row>
    <row r="4990" spans="1:9" ht="15.75" customHeight="1">
      <c r="A4990" s="26"/>
      <c r="B4990" s="2"/>
      <c r="C4990" s="26"/>
      <c r="D4990" s="26"/>
      <c r="F4990" s="85" t="str">
        <f t="shared" si="0"/>
        <v/>
      </c>
      <c r="G4990" s="1" t="e">
        <f>IF(VALUE(F4990) = VALUE(RIGHT(Insights!$C$3, 4)), E4990, "")</f>
        <v>#VALUE!</v>
      </c>
      <c r="H4990" s="26" t="e">
        <f t="shared" si="1"/>
        <v>#VALUE!</v>
      </c>
      <c r="I4990" s="1" t="e">
        <f t="shared" si="2"/>
        <v>#VALUE!</v>
      </c>
    </row>
    <row r="4991" spans="1:9" ht="15.75" customHeight="1">
      <c r="A4991" s="26"/>
      <c r="B4991" s="2"/>
      <c r="C4991" s="26"/>
      <c r="D4991" s="26"/>
      <c r="F4991" s="85" t="str">
        <f t="shared" si="0"/>
        <v/>
      </c>
      <c r="G4991" s="1" t="e">
        <f>IF(VALUE(F4991) = VALUE(RIGHT(Insights!$C$3, 4)), E4991, "")</f>
        <v>#VALUE!</v>
      </c>
      <c r="H4991" s="26" t="e">
        <f t="shared" si="1"/>
        <v>#VALUE!</v>
      </c>
      <c r="I4991" s="1" t="e">
        <f t="shared" si="2"/>
        <v>#VALUE!</v>
      </c>
    </row>
    <row r="4992" spans="1:9" ht="15.75" customHeight="1">
      <c r="A4992" s="26"/>
      <c r="B4992" s="2"/>
      <c r="C4992" s="26"/>
      <c r="D4992" s="26"/>
      <c r="F4992" s="85" t="str">
        <f t="shared" si="0"/>
        <v/>
      </c>
      <c r="G4992" s="1" t="e">
        <f>IF(VALUE(F4992) = VALUE(RIGHT(Insights!$C$3, 4)), E4992, "")</f>
        <v>#VALUE!</v>
      </c>
      <c r="H4992" s="26" t="e">
        <f t="shared" si="1"/>
        <v>#VALUE!</v>
      </c>
      <c r="I4992" s="1" t="e">
        <f t="shared" si="2"/>
        <v>#VALUE!</v>
      </c>
    </row>
    <row r="4993" spans="1:9" ht="15.75" customHeight="1">
      <c r="A4993" s="26"/>
      <c r="B4993" s="2"/>
      <c r="C4993" s="26"/>
      <c r="D4993" s="26"/>
      <c r="F4993" s="85" t="str">
        <f t="shared" si="0"/>
        <v/>
      </c>
      <c r="G4993" s="1" t="e">
        <f>IF(VALUE(F4993) = VALUE(RIGHT(Insights!$C$3, 4)), E4993, "")</f>
        <v>#VALUE!</v>
      </c>
      <c r="H4993" s="26" t="e">
        <f t="shared" si="1"/>
        <v>#VALUE!</v>
      </c>
      <c r="I4993" s="1" t="e">
        <f t="shared" si="2"/>
        <v>#VALUE!</v>
      </c>
    </row>
    <row r="4994" spans="1:9" ht="15.75" customHeight="1">
      <c r="A4994" s="26"/>
      <c r="B4994" s="2"/>
      <c r="C4994" s="26"/>
      <c r="D4994" s="26"/>
      <c r="F4994" s="85" t="str">
        <f t="shared" si="0"/>
        <v/>
      </c>
      <c r="G4994" s="1" t="e">
        <f>IF(VALUE(F4994) = VALUE(RIGHT(Insights!$C$3, 4)), E4994, "")</f>
        <v>#VALUE!</v>
      </c>
      <c r="H4994" s="26" t="e">
        <f t="shared" si="1"/>
        <v>#VALUE!</v>
      </c>
      <c r="I4994" s="1" t="e">
        <f t="shared" si="2"/>
        <v>#VALUE!</v>
      </c>
    </row>
    <row r="4995" spans="1:9" ht="15.75" customHeight="1">
      <c r="A4995" s="26"/>
      <c r="B4995" s="2"/>
      <c r="C4995" s="26"/>
      <c r="D4995" s="26"/>
      <c r="F4995" s="85" t="str">
        <f t="shared" si="0"/>
        <v/>
      </c>
      <c r="G4995" s="1" t="e">
        <f>IF(VALUE(F4995) = VALUE(RIGHT(Insights!$C$3, 4)), E4995, "")</f>
        <v>#VALUE!</v>
      </c>
      <c r="H4995" s="26" t="e">
        <f t="shared" si="1"/>
        <v>#VALUE!</v>
      </c>
      <c r="I4995" s="1" t="e">
        <f t="shared" si="2"/>
        <v>#VALUE!</v>
      </c>
    </row>
    <row r="4996" spans="1:9" ht="15.75" customHeight="1">
      <c r="A4996" s="26"/>
      <c r="B4996" s="2"/>
      <c r="C4996" s="26"/>
      <c r="D4996" s="26"/>
      <c r="F4996" s="85" t="str">
        <f t="shared" si="0"/>
        <v/>
      </c>
      <c r="G4996" s="1" t="e">
        <f>IF(VALUE(F4996) = VALUE(RIGHT(Insights!$C$3, 4)), E4996, "")</f>
        <v>#VALUE!</v>
      </c>
      <c r="H4996" s="26" t="e">
        <f t="shared" si="1"/>
        <v>#VALUE!</v>
      </c>
      <c r="I4996" s="1" t="e">
        <f t="shared" si="2"/>
        <v>#VALUE!</v>
      </c>
    </row>
    <row r="4997" spans="1:9" ht="15.75" customHeight="1">
      <c r="A4997" s="26"/>
      <c r="B4997" s="2"/>
      <c r="C4997" s="26"/>
      <c r="D4997" s="26"/>
      <c r="F4997" s="85" t="str">
        <f t="shared" si="0"/>
        <v/>
      </c>
      <c r="G4997" s="1" t="e">
        <f>IF(VALUE(F4997) = VALUE(RIGHT(Insights!$C$3, 4)), E4997, "")</f>
        <v>#VALUE!</v>
      </c>
      <c r="H4997" s="26" t="e">
        <f t="shared" si="1"/>
        <v>#VALUE!</v>
      </c>
      <c r="I4997" s="1" t="e">
        <f t="shared" si="2"/>
        <v>#VALUE!</v>
      </c>
    </row>
    <row r="4998" spans="1:9" ht="15.75" customHeight="1">
      <c r="A4998" s="26"/>
      <c r="B4998" s="2"/>
      <c r="C4998" s="26"/>
      <c r="D4998" s="26"/>
      <c r="F4998" s="85" t="str">
        <f t="shared" si="0"/>
        <v/>
      </c>
      <c r="G4998" s="1" t="e">
        <f>IF(VALUE(F4998) = VALUE(RIGHT(Insights!$C$3, 4)), E4998, "")</f>
        <v>#VALUE!</v>
      </c>
      <c r="H4998" s="26" t="e">
        <f t="shared" si="1"/>
        <v>#VALUE!</v>
      </c>
      <c r="I4998" s="1" t="e">
        <f t="shared" si="2"/>
        <v>#VALUE!</v>
      </c>
    </row>
    <row r="4999" spans="1:9" ht="15.75" customHeight="1">
      <c r="A4999" s="26"/>
      <c r="B4999" s="2"/>
      <c r="C4999" s="26"/>
      <c r="D4999" s="26"/>
      <c r="F4999" s="85" t="str">
        <f t="shared" si="0"/>
        <v/>
      </c>
      <c r="G4999" s="1" t="e">
        <f>IF(VALUE(F4999) = VALUE(RIGHT(Insights!$C$3, 4)), E4999, "")</f>
        <v>#VALUE!</v>
      </c>
      <c r="H4999" s="26" t="e">
        <f t="shared" si="1"/>
        <v>#VALUE!</v>
      </c>
      <c r="I4999" s="1" t="e">
        <f t="shared" si="2"/>
        <v>#VALUE!</v>
      </c>
    </row>
    <row r="5000" spans="1:9" ht="15.75" customHeight="1">
      <c r="A5000" s="26"/>
      <c r="B5000" s="2"/>
      <c r="C5000" s="26"/>
      <c r="D5000" s="26"/>
      <c r="F5000" s="85" t="str">
        <f t="shared" si="0"/>
        <v/>
      </c>
      <c r="G5000" s="1" t="e">
        <f>IF(VALUE(F5000) = VALUE(RIGHT(Insights!$C$3, 4)), E5000, "")</f>
        <v>#VALUE!</v>
      </c>
      <c r="H5000" s="26" t="e">
        <f t="shared" si="1"/>
        <v>#VALUE!</v>
      </c>
      <c r="I5000" s="1" t="e">
        <f t="shared" si="2"/>
        <v>#VALUE!</v>
      </c>
    </row>
    <row r="5001" spans="1:9" ht="15.75" customHeight="1">
      <c r="A5001" s="26"/>
      <c r="B5001" s="2"/>
      <c r="C5001" s="26"/>
      <c r="D5001" s="26"/>
      <c r="F5001" s="85" t="str">
        <f t="shared" si="0"/>
        <v/>
      </c>
      <c r="G5001" s="1" t="e">
        <f>IF(VALUE(F5001) = VALUE(RIGHT(Insights!$C$3, 4)), E5001, "")</f>
        <v>#VALUE!</v>
      </c>
      <c r="H5001" s="26" t="e">
        <f t="shared" si="1"/>
        <v>#VALUE!</v>
      </c>
      <c r="I5001" s="1" t="e">
        <f t="shared" si="2"/>
        <v>#VALUE!</v>
      </c>
    </row>
    <row r="5002" spans="1:9" ht="15.75" customHeight="1">
      <c r="A5002" s="26"/>
      <c r="B5002" s="2"/>
      <c r="C5002" s="26"/>
      <c r="D5002" s="26"/>
      <c r="F5002" s="85" t="str">
        <f t="shared" si="0"/>
        <v/>
      </c>
      <c r="G5002" s="1" t="e">
        <f>IF(VALUE(F5002) = VALUE(RIGHT(Insights!$C$3, 4)), E5002, "")</f>
        <v>#VALUE!</v>
      </c>
      <c r="H5002" s="26" t="e">
        <f t="shared" si="1"/>
        <v>#VALUE!</v>
      </c>
      <c r="I5002" s="1" t="e">
        <f t="shared" si="2"/>
        <v>#VALUE!</v>
      </c>
    </row>
    <row r="5003" spans="1:9" ht="15.75" customHeight="1">
      <c r="A5003" s="26"/>
      <c r="B5003" s="2"/>
      <c r="C5003" s="26"/>
      <c r="D5003" s="26"/>
      <c r="F5003" s="85" t="str">
        <f t="shared" si="0"/>
        <v/>
      </c>
      <c r="G5003" s="1" t="e">
        <f>IF(VALUE(F5003) = VALUE(RIGHT(Insights!$C$3, 4)), E5003, "")</f>
        <v>#VALUE!</v>
      </c>
      <c r="H5003" s="26" t="e">
        <f t="shared" si="1"/>
        <v>#VALUE!</v>
      </c>
      <c r="I5003" s="1" t="e">
        <f t="shared" si="2"/>
        <v>#VALUE!</v>
      </c>
    </row>
    <row r="5004" spans="1:9" ht="15.75" customHeight="1">
      <c r="A5004" s="26"/>
      <c r="B5004" s="2"/>
      <c r="C5004" s="26"/>
      <c r="D5004" s="26"/>
      <c r="F5004" s="85" t="str">
        <f t="shared" si="0"/>
        <v/>
      </c>
      <c r="G5004" s="1" t="e">
        <f>IF(VALUE(F5004) = VALUE(RIGHT(Insights!$C$3, 4)), E5004, "")</f>
        <v>#VALUE!</v>
      </c>
      <c r="H5004" s="26" t="e">
        <f t="shared" si="1"/>
        <v>#VALUE!</v>
      </c>
      <c r="I5004" s="1" t="e">
        <f t="shared" si="2"/>
        <v>#VALUE!</v>
      </c>
    </row>
    <row r="5005" spans="1:9" ht="15.75" customHeight="1">
      <c r="A5005" s="26"/>
      <c r="B5005" s="2"/>
      <c r="C5005" s="26"/>
      <c r="D5005" s="26"/>
      <c r="F5005" s="85" t="str">
        <f t="shared" si="0"/>
        <v/>
      </c>
      <c r="G5005" s="1" t="e">
        <f>IF(VALUE(F5005) = VALUE(RIGHT(Insights!$C$3, 4)), E5005, "")</f>
        <v>#VALUE!</v>
      </c>
      <c r="H5005" s="26" t="e">
        <f t="shared" si="1"/>
        <v>#VALUE!</v>
      </c>
      <c r="I5005" s="1" t="e">
        <f t="shared" si="2"/>
        <v>#VALUE!</v>
      </c>
    </row>
    <row r="5006" spans="1:9" ht="15.75" customHeight="1">
      <c r="A5006" s="26"/>
      <c r="B5006" s="2"/>
      <c r="C5006" s="26"/>
      <c r="D5006" s="26"/>
      <c r="F5006" s="85" t="str">
        <f t="shared" si="0"/>
        <v/>
      </c>
      <c r="G5006" s="1" t="e">
        <f>IF(VALUE(F5006) = VALUE(RIGHT(Insights!$C$3, 4)), E5006, "")</f>
        <v>#VALUE!</v>
      </c>
      <c r="H5006" s="26" t="e">
        <f t="shared" si="1"/>
        <v>#VALUE!</v>
      </c>
      <c r="I5006" s="1" t="e">
        <f t="shared" si="2"/>
        <v>#VALUE!</v>
      </c>
    </row>
    <row r="5007" spans="1:9" ht="15.75" customHeight="1">
      <c r="A5007" s="26"/>
      <c r="B5007" s="2"/>
      <c r="C5007" s="26"/>
      <c r="D5007" s="26"/>
      <c r="F5007" s="85" t="str">
        <f t="shared" si="0"/>
        <v/>
      </c>
      <c r="G5007" s="1" t="e">
        <f>IF(VALUE(F5007) = VALUE(RIGHT(Insights!$C$3, 4)), E5007, "")</f>
        <v>#VALUE!</v>
      </c>
      <c r="H5007" s="26" t="e">
        <f t="shared" si="1"/>
        <v>#VALUE!</v>
      </c>
      <c r="I5007" s="1" t="e">
        <f t="shared" si="2"/>
        <v>#VALUE!</v>
      </c>
    </row>
    <row r="5008" spans="1:9" ht="15.75" customHeight="1">
      <c r="A5008" s="26"/>
      <c r="B5008" s="2"/>
      <c r="C5008" s="26"/>
      <c r="D5008" s="26"/>
      <c r="F5008" s="85" t="str">
        <f t="shared" si="0"/>
        <v/>
      </c>
      <c r="G5008" s="1" t="e">
        <f>IF(VALUE(F5008) = VALUE(RIGHT(Insights!$C$3, 4)), E5008, "")</f>
        <v>#VALUE!</v>
      </c>
      <c r="H5008" s="26" t="e">
        <f t="shared" si="1"/>
        <v>#VALUE!</v>
      </c>
      <c r="I5008" s="1" t="e">
        <f t="shared" si="2"/>
        <v>#VALUE!</v>
      </c>
    </row>
    <row r="5009" spans="1:9" ht="15.75" customHeight="1">
      <c r="A5009" s="26"/>
      <c r="B5009" s="2"/>
      <c r="C5009" s="26"/>
      <c r="D5009" s="26"/>
      <c r="F5009" s="85" t="str">
        <f t="shared" si="0"/>
        <v/>
      </c>
      <c r="G5009" s="1" t="e">
        <f>IF(VALUE(F5009) = VALUE(RIGHT(Insights!$C$3, 4)), E5009, "")</f>
        <v>#VALUE!</v>
      </c>
      <c r="H5009" s="26" t="e">
        <f t="shared" si="1"/>
        <v>#VALUE!</v>
      </c>
      <c r="I5009" s="1" t="e">
        <f t="shared" si="2"/>
        <v>#VALUE!</v>
      </c>
    </row>
    <row r="5010" spans="1:9" ht="15.75" customHeight="1">
      <c r="A5010" s="26"/>
      <c r="B5010" s="2"/>
      <c r="C5010" s="26"/>
      <c r="D5010" s="26"/>
      <c r="F5010" s="85" t="str">
        <f t="shared" si="0"/>
        <v/>
      </c>
      <c r="G5010" s="1" t="e">
        <f>IF(VALUE(F5010) = VALUE(RIGHT(Insights!$C$3, 4)), E5010, "")</f>
        <v>#VALUE!</v>
      </c>
      <c r="H5010" s="26" t="e">
        <f t="shared" si="1"/>
        <v>#VALUE!</v>
      </c>
      <c r="I5010" s="1" t="e">
        <f t="shared" si="2"/>
        <v>#VALUE!</v>
      </c>
    </row>
    <row r="5011" spans="1:9" ht="15.75" customHeight="1">
      <c r="A5011" s="26"/>
      <c r="B5011" s="2"/>
      <c r="C5011" s="26"/>
      <c r="D5011" s="26"/>
      <c r="F5011" s="85" t="str">
        <f t="shared" si="0"/>
        <v/>
      </c>
      <c r="G5011" s="1" t="e">
        <f>IF(VALUE(F5011) = VALUE(RIGHT(Insights!$C$3, 4)), E5011, "")</f>
        <v>#VALUE!</v>
      </c>
      <c r="H5011" s="26" t="e">
        <f t="shared" si="1"/>
        <v>#VALUE!</v>
      </c>
      <c r="I5011" s="1" t="e">
        <f t="shared" si="2"/>
        <v>#VALUE!</v>
      </c>
    </row>
    <row r="5012" spans="1:9" ht="15.75" customHeight="1">
      <c r="A5012" s="26"/>
      <c r="B5012" s="2"/>
      <c r="C5012" s="26"/>
      <c r="D5012" s="26"/>
      <c r="F5012" s="85" t="str">
        <f t="shared" si="0"/>
        <v/>
      </c>
      <c r="G5012" s="1" t="e">
        <f>IF(VALUE(F5012) = VALUE(RIGHT(Insights!$C$3, 4)), E5012, "")</f>
        <v>#VALUE!</v>
      </c>
      <c r="H5012" s="26" t="e">
        <f t="shared" si="1"/>
        <v>#VALUE!</v>
      </c>
      <c r="I5012" s="1" t="e">
        <f t="shared" si="2"/>
        <v>#VALUE!</v>
      </c>
    </row>
    <row r="5013" spans="1:9" ht="15.75" customHeight="1">
      <c r="A5013" s="26"/>
      <c r="B5013" s="2"/>
      <c r="C5013" s="26"/>
      <c r="D5013" s="26"/>
      <c r="F5013" s="85" t="str">
        <f t="shared" si="0"/>
        <v/>
      </c>
      <c r="G5013" s="1" t="e">
        <f>IF(VALUE(F5013) = VALUE(RIGHT(Insights!$C$3, 4)), E5013, "")</f>
        <v>#VALUE!</v>
      </c>
      <c r="H5013" s="26" t="e">
        <f t="shared" si="1"/>
        <v>#VALUE!</v>
      </c>
      <c r="I5013" s="1" t="e">
        <f t="shared" si="2"/>
        <v>#VALUE!</v>
      </c>
    </row>
    <row r="5014" spans="1:9" ht="15.75" customHeight="1">
      <c r="A5014" s="26"/>
      <c r="B5014" s="2"/>
      <c r="C5014" s="26"/>
      <c r="D5014" s="26"/>
      <c r="F5014" s="85" t="str">
        <f t="shared" si="0"/>
        <v/>
      </c>
      <c r="G5014" s="1" t="e">
        <f>IF(VALUE(F5014) = VALUE(RIGHT(Insights!$C$3, 4)), E5014, "")</f>
        <v>#VALUE!</v>
      </c>
      <c r="H5014" s="26" t="e">
        <f t="shared" si="1"/>
        <v>#VALUE!</v>
      </c>
      <c r="I5014" s="1" t="e">
        <f t="shared" si="2"/>
        <v>#VALUE!</v>
      </c>
    </row>
    <row r="5015" spans="1:9" ht="15.75" customHeight="1">
      <c r="A5015" s="26"/>
      <c r="B5015" s="2"/>
      <c r="C5015" s="26"/>
      <c r="D5015" s="26"/>
      <c r="F5015" s="85" t="str">
        <f t="shared" si="0"/>
        <v/>
      </c>
      <c r="G5015" s="1" t="e">
        <f>IF(VALUE(F5015) = VALUE(RIGHT(Insights!$C$3, 4)), E5015, "")</f>
        <v>#VALUE!</v>
      </c>
      <c r="H5015" s="26" t="e">
        <f t="shared" si="1"/>
        <v>#VALUE!</v>
      </c>
      <c r="I5015" s="1" t="e">
        <f t="shared" si="2"/>
        <v>#VALUE!</v>
      </c>
    </row>
    <row r="5016" spans="1:9" ht="15.75" customHeight="1">
      <c r="A5016" s="26"/>
      <c r="B5016" s="2"/>
      <c r="C5016" s="26"/>
      <c r="D5016" s="26"/>
      <c r="F5016" s="85" t="str">
        <f t="shared" si="0"/>
        <v/>
      </c>
      <c r="G5016" s="1" t="e">
        <f>IF(VALUE(F5016) = VALUE(RIGHT(Insights!$C$3, 4)), E5016, "")</f>
        <v>#VALUE!</v>
      </c>
      <c r="H5016" s="26" t="e">
        <f t="shared" si="1"/>
        <v>#VALUE!</v>
      </c>
      <c r="I5016" s="1" t="e">
        <f t="shared" si="2"/>
        <v>#VALUE!</v>
      </c>
    </row>
    <row r="5017" spans="1:9" ht="15.75" customHeight="1">
      <c r="A5017" s="26"/>
      <c r="B5017" s="2"/>
      <c r="C5017" s="26"/>
      <c r="D5017" s="26"/>
      <c r="F5017" s="85" t="str">
        <f t="shared" si="0"/>
        <v/>
      </c>
      <c r="G5017" s="1" t="e">
        <f>IF(VALUE(F5017) = VALUE(RIGHT(Insights!$C$3, 4)), E5017, "")</f>
        <v>#VALUE!</v>
      </c>
      <c r="H5017" s="26" t="e">
        <f t="shared" si="1"/>
        <v>#VALUE!</v>
      </c>
      <c r="I5017" s="1" t="e">
        <f t="shared" si="2"/>
        <v>#VALUE!</v>
      </c>
    </row>
    <row r="5018" spans="1:9" ht="15.75" customHeight="1">
      <c r="A5018" s="26"/>
      <c r="B5018" s="2"/>
      <c r="C5018" s="26"/>
      <c r="D5018" s="26"/>
      <c r="F5018" s="85" t="str">
        <f t="shared" si="0"/>
        <v/>
      </c>
      <c r="G5018" s="1" t="e">
        <f>IF(VALUE(F5018) = VALUE(RIGHT(Insights!$C$3, 4)), E5018, "")</f>
        <v>#VALUE!</v>
      </c>
      <c r="H5018" s="26" t="e">
        <f t="shared" si="1"/>
        <v>#VALUE!</v>
      </c>
      <c r="I5018" s="1" t="e">
        <f t="shared" si="2"/>
        <v>#VALUE!</v>
      </c>
    </row>
    <row r="5019" spans="1:9" ht="15.75" customHeight="1">
      <c r="A5019" s="26"/>
      <c r="B5019" s="2"/>
      <c r="C5019" s="26"/>
      <c r="D5019" s="26"/>
      <c r="F5019" s="85" t="str">
        <f t="shared" si="0"/>
        <v/>
      </c>
      <c r="G5019" s="1" t="e">
        <f>IF(VALUE(F5019) = VALUE(RIGHT(Insights!$C$3, 4)), E5019, "")</f>
        <v>#VALUE!</v>
      </c>
      <c r="H5019" s="26" t="e">
        <f t="shared" si="1"/>
        <v>#VALUE!</v>
      </c>
      <c r="I5019" s="1" t="e">
        <f t="shared" si="2"/>
        <v>#VALUE!</v>
      </c>
    </row>
    <row r="5020" spans="1:9" ht="15.75" customHeight="1">
      <c r="A5020" s="26"/>
      <c r="B5020" s="2"/>
      <c r="C5020" s="26"/>
      <c r="D5020" s="26"/>
      <c r="F5020" s="85" t="str">
        <f t="shared" si="0"/>
        <v/>
      </c>
      <c r="G5020" s="1" t="e">
        <f>IF(VALUE(F5020) = VALUE(RIGHT(Insights!$C$3, 4)), E5020, "")</f>
        <v>#VALUE!</v>
      </c>
      <c r="H5020" s="26" t="e">
        <f t="shared" si="1"/>
        <v>#VALUE!</v>
      </c>
      <c r="I5020" s="1" t="e">
        <f t="shared" si="2"/>
        <v>#VALUE!</v>
      </c>
    </row>
    <row r="5021" spans="1:9" ht="15.75" customHeight="1">
      <c r="A5021" s="26"/>
      <c r="B5021" s="2"/>
      <c r="C5021" s="26"/>
      <c r="D5021" s="26"/>
      <c r="F5021" s="85" t="str">
        <f t="shared" si="0"/>
        <v/>
      </c>
      <c r="G5021" s="1" t="e">
        <f>IF(VALUE(F5021) = VALUE(RIGHT(Insights!$C$3, 4)), E5021, "")</f>
        <v>#VALUE!</v>
      </c>
      <c r="H5021" s="26" t="e">
        <f t="shared" si="1"/>
        <v>#VALUE!</v>
      </c>
      <c r="I5021" s="1" t="e">
        <f t="shared" si="2"/>
        <v>#VALUE!</v>
      </c>
    </row>
    <row r="5022" spans="1:9" ht="15.75" customHeight="1">
      <c r="A5022" s="26"/>
      <c r="B5022" s="2"/>
      <c r="C5022" s="26"/>
      <c r="D5022" s="26"/>
      <c r="F5022" s="85" t="str">
        <f t="shared" si="0"/>
        <v/>
      </c>
      <c r="G5022" s="1" t="e">
        <f>IF(VALUE(F5022) = VALUE(RIGHT(Insights!$C$3, 4)), E5022, "")</f>
        <v>#VALUE!</v>
      </c>
      <c r="H5022" s="26" t="e">
        <f t="shared" si="1"/>
        <v>#VALUE!</v>
      </c>
      <c r="I5022" s="1" t="e">
        <f t="shared" si="2"/>
        <v>#VALUE!</v>
      </c>
    </row>
    <row r="5023" spans="1:9" ht="15.75" customHeight="1">
      <c r="A5023" s="26"/>
      <c r="B5023" s="2"/>
      <c r="C5023" s="26"/>
      <c r="D5023" s="26"/>
      <c r="F5023" s="85" t="str">
        <f t="shared" si="0"/>
        <v/>
      </c>
      <c r="G5023" s="1" t="e">
        <f>IF(VALUE(F5023) = VALUE(RIGHT(Insights!$C$3, 4)), E5023, "")</f>
        <v>#VALUE!</v>
      </c>
      <c r="H5023" s="26" t="e">
        <f t="shared" si="1"/>
        <v>#VALUE!</v>
      </c>
      <c r="I5023" s="1" t="e">
        <f t="shared" si="2"/>
        <v>#VALUE!</v>
      </c>
    </row>
    <row r="5024" spans="1:9" ht="15.75" customHeight="1">
      <c r="A5024" s="26"/>
      <c r="B5024" s="2"/>
      <c r="C5024" s="26"/>
      <c r="D5024" s="26"/>
      <c r="F5024" s="85" t="str">
        <f t="shared" si="0"/>
        <v/>
      </c>
      <c r="G5024" s="1" t="e">
        <f>IF(VALUE(F5024) = VALUE(RIGHT(Insights!$C$3, 4)), E5024, "")</f>
        <v>#VALUE!</v>
      </c>
      <c r="H5024" s="26" t="e">
        <f t="shared" si="1"/>
        <v>#VALUE!</v>
      </c>
      <c r="I5024" s="1" t="e">
        <f t="shared" si="2"/>
        <v>#VALUE!</v>
      </c>
    </row>
    <row r="5025" spans="1:9" ht="15.75" customHeight="1">
      <c r="A5025" s="26"/>
      <c r="B5025" s="2"/>
      <c r="C5025" s="26"/>
      <c r="D5025" s="26"/>
      <c r="F5025" s="85" t="str">
        <f t="shared" si="0"/>
        <v/>
      </c>
      <c r="G5025" s="1" t="e">
        <f>IF(VALUE(F5025) = VALUE(RIGHT(Insights!$C$3, 4)), E5025, "")</f>
        <v>#VALUE!</v>
      </c>
      <c r="H5025" s="26" t="e">
        <f t="shared" si="1"/>
        <v>#VALUE!</v>
      </c>
      <c r="I5025" s="1" t="e">
        <f t="shared" si="2"/>
        <v>#VALUE!</v>
      </c>
    </row>
    <row r="5026" spans="1:9" ht="15.75" customHeight="1">
      <c r="A5026" s="26"/>
      <c r="B5026" s="2"/>
      <c r="C5026" s="26"/>
      <c r="D5026" s="26"/>
      <c r="F5026" s="85" t="str">
        <f t="shared" si="0"/>
        <v/>
      </c>
      <c r="G5026" s="1" t="e">
        <f>IF(VALUE(F5026) = VALUE(RIGHT(Insights!$C$3, 4)), E5026, "")</f>
        <v>#VALUE!</v>
      </c>
      <c r="H5026" s="26" t="e">
        <f t="shared" si="1"/>
        <v>#VALUE!</v>
      </c>
      <c r="I5026" s="1" t="e">
        <f t="shared" si="2"/>
        <v>#VALUE!</v>
      </c>
    </row>
    <row r="5027" spans="1:9" ht="15.75" customHeight="1">
      <c r="A5027" s="26"/>
      <c r="B5027" s="2"/>
      <c r="C5027" s="26"/>
      <c r="D5027" s="26"/>
      <c r="F5027" s="85" t="str">
        <f t="shared" si="0"/>
        <v/>
      </c>
      <c r="G5027" s="1" t="e">
        <f>IF(VALUE(F5027) = VALUE(RIGHT(Insights!$C$3, 4)), E5027, "")</f>
        <v>#VALUE!</v>
      </c>
      <c r="H5027" s="26" t="e">
        <f t="shared" si="1"/>
        <v>#VALUE!</v>
      </c>
      <c r="I5027" s="1" t="e">
        <f t="shared" si="2"/>
        <v>#VALUE!</v>
      </c>
    </row>
    <row r="5028" spans="1:9" ht="15.75" customHeight="1">
      <c r="A5028" s="26"/>
      <c r="B5028" s="2"/>
      <c r="C5028" s="26"/>
      <c r="D5028" s="26"/>
      <c r="F5028" s="85" t="str">
        <f t="shared" si="0"/>
        <v/>
      </c>
      <c r="G5028" s="1" t="e">
        <f>IF(VALUE(F5028) = VALUE(RIGHT(Insights!$C$3, 4)), E5028, "")</f>
        <v>#VALUE!</v>
      </c>
      <c r="H5028" s="26" t="e">
        <f t="shared" si="1"/>
        <v>#VALUE!</v>
      </c>
      <c r="I5028" s="1" t="e">
        <f t="shared" si="2"/>
        <v>#VALUE!</v>
      </c>
    </row>
    <row r="5029" spans="1:9" ht="15.75" customHeight="1">
      <c r="A5029" s="26"/>
      <c r="B5029" s="2"/>
      <c r="C5029" s="26"/>
      <c r="D5029" s="26"/>
      <c r="F5029" s="85" t="str">
        <f t="shared" si="0"/>
        <v/>
      </c>
      <c r="G5029" s="1" t="e">
        <f>IF(VALUE(F5029) = VALUE(RIGHT(Insights!$C$3, 4)), E5029, "")</f>
        <v>#VALUE!</v>
      </c>
      <c r="H5029" s="26" t="e">
        <f t="shared" si="1"/>
        <v>#VALUE!</v>
      </c>
      <c r="I5029" s="1" t="e">
        <f t="shared" si="2"/>
        <v>#VALUE!</v>
      </c>
    </row>
    <row r="5030" spans="1:9" ht="15.75" customHeight="1">
      <c r="A5030" s="26"/>
      <c r="B5030" s="2"/>
      <c r="C5030" s="26"/>
      <c r="D5030" s="26"/>
      <c r="F5030" s="85" t="str">
        <f t="shared" si="0"/>
        <v/>
      </c>
      <c r="G5030" s="1" t="e">
        <f>IF(VALUE(F5030) = VALUE(RIGHT(Insights!$C$3, 4)), E5030, "")</f>
        <v>#VALUE!</v>
      </c>
      <c r="H5030" s="26" t="e">
        <f t="shared" si="1"/>
        <v>#VALUE!</v>
      </c>
      <c r="I5030" s="1" t="e">
        <f t="shared" si="2"/>
        <v>#VALUE!</v>
      </c>
    </row>
    <row r="5031" spans="1:9" ht="15.75" customHeight="1">
      <c r="A5031" s="26"/>
      <c r="B5031" s="2"/>
      <c r="C5031" s="26"/>
      <c r="D5031" s="26"/>
      <c r="F5031" s="85" t="str">
        <f t="shared" si="0"/>
        <v/>
      </c>
      <c r="G5031" s="1" t="e">
        <f>IF(VALUE(F5031) = VALUE(RIGHT(Insights!$C$3, 4)), E5031, "")</f>
        <v>#VALUE!</v>
      </c>
      <c r="H5031" s="26" t="e">
        <f t="shared" si="1"/>
        <v>#VALUE!</v>
      </c>
      <c r="I5031" s="1" t="e">
        <f t="shared" si="2"/>
        <v>#VALUE!</v>
      </c>
    </row>
    <row r="5032" spans="1:9" ht="15.75" customHeight="1">
      <c r="A5032" s="26"/>
      <c r="B5032" s="2"/>
      <c r="C5032" s="26"/>
      <c r="D5032" s="26"/>
      <c r="F5032" s="85" t="str">
        <f t="shared" si="0"/>
        <v/>
      </c>
      <c r="G5032" s="1" t="e">
        <f>IF(VALUE(F5032) = VALUE(RIGHT(Insights!$C$3, 4)), E5032, "")</f>
        <v>#VALUE!</v>
      </c>
      <c r="H5032" s="26" t="e">
        <f t="shared" si="1"/>
        <v>#VALUE!</v>
      </c>
      <c r="I5032" s="1" t="e">
        <f t="shared" si="2"/>
        <v>#VALUE!</v>
      </c>
    </row>
    <row r="5033" spans="1:9" ht="15.75" customHeight="1">
      <c r="A5033" s="26"/>
      <c r="B5033" s="2"/>
      <c r="C5033" s="26"/>
      <c r="D5033" s="26"/>
      <c r="F5033" s="85" t="str">
        <f t="shared" si="0"/>
        <v/>
      </c>
      <c r="G5033" s="1" t="e">
        <f>IF(VALUE(F5033) = VALUE(RIGHT(Insights!$C$3, 4)), E5033, "")</f>
        <v>#VALUE!</v>
      </c>
      <c r="H5033" s="26" t="e">
        <f t="shared" si="1"/>
        <v>#VALUE!</v>
      </c>
      <c r="I5033" s="1" t="e">
        <f t="shared" si="2"/>
        <v>#VALUE!</v>
      </c>
    </row>
    <row r="5034" spans="1:9" ht="15.75" customHeight="1">
      <c r="A5034" s="26"/>
      <c r="B5034" s="2"/>
      <c r="C5034" s="26"/>
      <c r="D5034" s="26"/>
      <c r="F5034" s="85" t="str">
        <f t="shared" si="0"/>
        <v/>
      </c>
      <c r="G5034" s="1" t="e">
        <f>IF(VALUE(F5034) = VALUE(RIGHT(Insights!$C$3, 4)), E5034, "")</f>
        <v>#VALUE!</v>
      </c>
      <c r="H5034" s="26" t="e">
        <f t="shared" si="1"/>
        <v>#VALUE!</v>
      </c>
      <c r="I5034" s="1" t="e">
        <f t="shared" si="2"/>
        <v>#VALUE!</v>
      </c>
    </row>
    <row r="5035" spans="1:9" ht="15.75" customHeight="1">
      <c r="A5035" s="26"/>
      <c r="B5035" s="2"/>
      <c r="C5035" s="26"/>
      <c r="D5035" s="26"/>
      <c r="F5035" s="85" t="str">
        <f t="shared" si="0"/>
        <v/>
      </c>
      <c r="G5035" s="1" t="e">
        <f>IF(VALUE(F5035) = VALUE(RIGHT(Insights!$C$3, 4)), E5035, "")</f>
        <v>#VALUE!</v>
      </c>
      <c r="H5035" s="26" t="e">
        <f t="shared" si="1"/>
        <v>#VALUE!</v>
      </c>
      <c r="I5035" s="1" t="e">
        <f t="shared" si="2"/>
        <v>#VALUE!</v>
      </c>
    </row>
    <row r="5036" spans="1:9" ht="15.75" customHeight="1">
      <c r="A5036" s="26"/>
      <c r="B5036" s="2"/>
      <c r="C5036" s="26"/>
      <c r="D5036" s="26"/>
      <c r="F5036" s="85" t="str">
        <f t="shared" si="0"/>
        <v/>
      </c>
      <c r="G5036" s="1" t="e">
        <f>IF(VALUE(F5036) = VALUE(RIGHT(Insights!$C$3, 4)), E5036, "")</f>
        <v>#VALUE!</v>
      </c>
      <c r="H5036" s="26" t="e">
        <f t="shared" si="1"/>
        <v>#VALUE!</v>
      </c>
      <c r="I5036" s="1" t="e">
        <f t="shared" si="2"/>
        <v>#VALUE!</v>
      </c>
    </row>
    <row r="5037" spans="1:9" ht="15.75" customHeight="1">
      <c r="A5037" s="26"/>
      <c r="B5037" s="2"/>
      <c r="C5037" s="26"/>
      <c r="D5037" s="26"/>
      <c r="F5037" s="85" t="str">
        <f t="shared" si="0"/>
        <v/>
      </c>
      <c r="G5037" s="1" t="e">
        <f>IF(VALUE(F5037) = VALUE(RIGHT(Insights!$C$3, 4)), E5037, "")</f>
        <v>#VALUE!</v>
      </c>
      <c r="H5037" s="26" t="e">
        <f t="shared" si="1"/>
        <v>#VALUE!</v>
      </c>
      <c r="I5037" s="1" t="e">
        <f t="shared" si="2"/>
        <v>#VALUE!</v>
      </c>
    </row>
    <row r="5038" spans="1:9" ht="15.75" customHeight="1">
      <c r="A5038" s="26"/>
      <c r="B5038" s="2"/>
      <c r="C5038" s="26"/>
      <c r="D5038" s="26"/>
      <c r="F5038" s="85" t="str">
        <f t="shared" si="0"/>
        <v/>
      </c>
      <c r="G5038" s="1" t="e">
        <f>IF(VALUE(F5038) = VALUE(RIGHT(Insights!$C$3, 4)), E5038, "")</f>
        <v>#VALUE!</v>
      </c>
      <c r="H5038" s="26" t="e">
        <f t="shared" si="1"/>
        <v>#VALUE!</v>
      </c>
      <c r="I5038" s="1" t="e">
        <f t="shared" si="2"/>
        <v>#VALUE!</v>
      </c>
    </row>
    <row r="5039" spans="1:9" ht="15.75" customHeight="1">
      <c r="A5039" s="26"/>
      <c r="B5039" s="2"/>
      <c r="C5039" s="26"/>
      <c r="D5039" s="26"/>
      <c r="F5039" s="85" t="str">
        <f t="shared" si="0"/>
        <v/>
      </c>
      <c r="G5039" s="1" t="e">
        <f>IF(VALUE(F5039) = VALUE(RIGHT(Insights!$C$3, 4)), E5039, "")</f>
        <v>#VALUE!</v>
      </c>
      <c r="H5039" s="26" t="e">
        <f t="shared" si="1"/>
        <v>#VALUE!</v>
      </c>
      <c r="I5039" s="1" t="e">
        <f t="shared" si="2"/>
        <v>#VALUE!</v>
      </c>
    </row>
    <row r="5040" spans="1:9" ht="15.75" customHeight="1">
      <c r="A5040" s="26"/>
      <c r="B5040" s="2"/>
      <c r="C5040" s="26"/>
      <c r="D5040" s="26"/>
      <c r="F5040" s="85" t="str">
        <f t="shared" si="0"/>
        <v/>
      </c>
      <c r="G5040" s="1" t="e">
        <f>IF(VALUE(F5040) = VALUE(RIGHT(Insights!$C$3, 4)), E5040, "")</f>
        <v>#VALUE!</v>
      </c>
      <c r="H5040" s="26" t="e">
        <f t="shared" si="1"/>
        <v>#VALUE!</v>
      </c>
      <c r="I5040" s="1" t="e">
        <f t="shared" si="2"/>
        <v>#VALUE!</v>
      </c>
    </row>
    <row r="5041" spans="1:9" ht="15.75" customHeight="1">
      <c r="A5041" s="26"/>
      <c r="B5041" s="2"/>
      <c r="C5041" s="26"/>
      <c r="D5041" s="26"/>
      <c r="F5041" s="85" t="str">
        <f t="shared" si="0"/>
        <v/>
      </c>
      <c r="G5041" s="1" t="e">
        <f>IF(VALUE(F5041) = VALUE(RIGHT(Insights!$C$3, 4)), E5041, "")</f>
        <v>#VALUE!</v>
      </c>
      <c r="H5041" s="26" t="e">
        <f t="shared" si="1"/>
        <v>#VALUE!</v>
      </c>
      <c r="I5041" s="1" t="e">
        <f t="shared" si="2"/>
        <v>#VALUE!</v>
      </c>
    </row>
    <row r="5042" spans="1:9" ht="15.75" customHeight="1">
      <c r="A5042" s="26"/>
      <c r="B5042" s="2"/>
      <c r="C5042" s="26"/>
      <c r="D5042" s="26"/>
      <c r="F5042" s="85" t="str">
        <f t="shared" si="0"/>
        <v/>
      </c>
      <c r="G5042" s="1" t="e">
        <f>IF(VALUE(F5042) = VALUE(RIGHT(Insights!$C$3, 4)), E5042, "")</f>
        <v>#VALUE!</v>
      </c>
      <c r="H5042" s="26" t="e">
        <f t="shared" si="1"/>
        <v>#VALUE!</v>
      </c>
      <c r="I5042" s="1" t="e">
        <f t="shared" si="2"/>
        <v>#VALUE!</v>
      </c>
    </row>
    <row r="5043" spans="1:9" ht="15.75" customHeight="1">
      <c r="A5043" s="26"/>
      <c r="B5043" s="2"/>
      <c r="C5043" s="26"/>
      <c r="D5043" s="26"/>
      <c r="F5043" s="85" t="str">
        <f t="shared" si="0"/>
        <v/>
      </c>
      <c r="G5043" s="1" t="e">
        <f>IF(VALUE(F5043) = VALUE(RIGHT(Insights!$C$3, 4)), E5043, "")</f>
        <v>#VALUE!</v>
      </c>
      <c r="H5043" s="26" t="e">
        <f t="shared" si="1"/>
        <v>#VALUE!</v>
      </c>
      <c r="I5043" s="1" t="e">
        <f t="shared" si="2"/>
        <v>#VALUE!</v>
      </c>
    </row>
    <row r="5044" spans="1:9" ht="15.75" customHeight="1">
      <c r="A5044" s="26"/>
      <c r="B5044" s="2"/>
      <c r="C5044" s="26"/>
      <c r="D5044" s="26"/>
      <c r="F5044" s="85" t="str">
        <f t="shared" si="0"/>
        <v/>
      </c>
      <c r="G5044" s="1" t="e">
        <f>IF(VALUE(F5044) = VALUE(RIGHT(Insights!$C$3, 4)), E5044, "")</f>
        <v>#VALUE!</v>
      </c>
      <c r="H5044" s="26" t="e">
        <f t="shared" si="1"/>
        <v>#VALUE!</v>
      </c>
      <c r="I5044" s="1" t="e">
        <f t="shared" si="2"/>
        <v>#VALUE!</v>
      </c>
    </row>
    <row r="5045" spans="1:9" ht="15.75" customHeight="1">
      <c r="A5045" s="26"/>
      <c r="B5045" s="2"/>
      <c r="C5045" s="26"/>
      <c r="D5045" s="26"/>
      <c r="F5045" s="85" t="str">
        <f t="shared" si="0"/>
        <v/>
      </c>
      <c r="G5045" s="1" t="e">
        <f>IF(VALUE(F5045) = VALUE(RIGHT(Insights!$C$3, 4)), E5045, "")</f>
        <v>#VALUE!</v>
      </c>
      <c r="H5045" s="26" t="e">
        <f t="shared" si="1"/>
        <v>#VALUE!</v>
      </c>
      <c r="I5045" s="1" t="e">
        <f t="shared" si="2"/>
        <v>#VALUE!</v>
      </c>
    </row>
    <row r="5046" spans="1:9" ht="15.75" customHeight="1">
      <c r="A5046" s="26"/>
      <c r="B5046" s="2"/>
      <c r="C5046" s="26"/>
      <c r="D5046" s="26"/>
      <c r="F5046" s="85" t="str">
        <f t="shared" si="0"/>
        <v/>
      </c>
      <c r="G5046" s="1" t="e">
        <f>IF(VALUE(F5046) = VALUE(RIGHT(Insights!$C$3, 4)), E5046, "")</f>
        <v>#VALUE!</v>
      </c>
      <c r="H5046" s="26" t="e">
        <f t="shared" si="1"/>
        <v>#VALUE!</v>
      </c>
      <c r="I5046" s="1" t="e">
        <f t="shared" si="2"/>
        <v>#VALUE!</v>
      </c>
    </row>
    <row r="5047" spans="1:9" ht="15.75" customHeight="1">
      <c r="A5047" s="26"/>
      <c r="B5047" s="2"/>
      <c r="C5047" s="26"/>
      <c r="D5047" s="26"/>
      <c r="F5047" s="85" t="str">
        <f t="shared" si="0"/>
        <v/>
      </c>
      <c r="G5047" s="1" t="e">
        <f>IF(VALUE(F5047) = VALUE(RIGHT(Insights!$C$3, 4)), E5047, "")</f>
        <v>#VALUE!</v>
      </c>
      <c r="H5047" s="26" t="e">
        <f t="shared" si="1"/>
        <v>#VALUE!</v>
      </c>
      <c r="I5047" s="1" t="e">
        <f t="shared" si="2"/>
        <v>#VALUE!</v>
      </c>
    </row>
    <row r="5048" spans="1:9" ht="15.75" customHeight="1">
      <c r="A5048" s="26"/>
      <c r="B5048" s="2"/>
      <c r="C5048" s="26"/>
      <c r="D5048" s="26"/>
      <c r="F5048" s="85" t="str">
        <f t="shared" si="0"/>
        <v/>
      </c>
      <c r="G5048" s="1" t="e">
        <f>IF(VALUE(F5048) = VALUE(RIGHT(Insights!$C$3, 4)), E5048, "")</f>
        <v>#VALUE!</v>
      </c>
      <c r="H5048" s="26" t="e">
        <f t="shared" si="1"/>
        <v>#VALUE!</v>
      </c>
      <c r="I5048" s="1" t="e">
        <f t="shared" si="2"/>
        <v>#VALUE!</v>
      </c>
    </row>
    <row r="5049" spans="1:9" ht="15.75" customHeight="1">
      <c r="A5049" s="26"/>
      <c r="B5049" s="2"/>
      <c r="C5049" s="26"/>
      <c r="D5049" s="26"/>
      <c r="F5049" s="85" t="str">
        <f t="shared" si="0"/>
        <v/>
      </c>
      <c r="G5049" s="1" t="e">
        <f>IF(VALUE(F5049) = VALUE(RIGHT(Insights!$C$3, 4)), E5049, "")</f>
        <v>#VALUE!</v>
      </c>
      <c r="H5049" s="26" t="e">
        <f t="shared" si="1"/>
        <v>#VALUE!</v>
      </c>
      <c r="I5049" s="1" t="e">
        <f t="shared" si="2"/>
        <v>#VALUE!</v>
      </c>
    </row>
    <row r="5050" spans="1:9" ht="15.75" customHeight="1">
      <c r="A5050" s="26"/>
      <c r="B5050" s="2"/>
      <c r="C5050" s="26"/>
      <c r="D5050" s="26"/>
      <c r="F5050" s="85" t="str">
        <f t="shared" si="0"/>
        <v/>
      </c>
      <c r="G5050" s="1" t="e">
        <f>IF(VALUE(F5050) = VALUE(RIGHT(Insights!$C$3, 4)), E5050, "")</f>
        <v>#VALUE!</v>
      </c>
      <c r="H5050" s="26" t="e">
        <f t="shared" si="1"/>
        <v>#VALUE!</v>
      </c>
      <c r="I5050" s="1" t="e">
        <f t="shared" si="2"/>
        <v>#VALUE!</v>
      </c>
    </row>
    <row r="5051" spans="1:9" ht="15.75" customHeight="1">
      <c r="A5051" s="26"/>
      <c r="B5051" s="2"/>
      <c r="C5051" s="26"/>
      <c r="D5051" s="26"/>
      <c r="F5051" s="85" t="str">
        <f t="shared" si="0"/>
        <v/>
      </c>
      <c r="G5051" s="1" t="e">
        <f>IF(VALUE(F5051) = VALUE(RIGHT(Insights!$C$3, 4)), E5051, "")</f>
        <v>#VALUE!</v>
      </c>
      <c r="H5051" s="26" t="e">
        <f t="shared" si="1"/>
        <v>#VALUE!</v>
      </c>
      <c r="I5051" s="1" t="e">
        <f t="shared" si="2"/>
        <v>#VALUE!</v>
      </c>
    </row>
    <row r="5052" spans="1:9" ht="15.75" customHeight="1">
      <c r="A5052" s="26"/>
      <c r="B5052" s="2"/>
      <c r="C5052" s="26"/>
      <c r="D5052" s="26"/>
      <c r="F5052" s="85" t="str">
        <f t="shared" si="0"/>
        <v/>
      </c>
      <c r="G5052" s="1" t="e">
        <f>IF(VALUE(F5052) = VALUE(RIGHT(Insights!$C$3, 4)), E5052, "")</f>
        <v>#VALUE!</v>
      </c>
      <c r="H5052" s="26" t="e">
        <f t="shared" si="1"/>
        <v>#VALUE!</v>
      </c>
      <c r="I5052" s="1" t="e">
        <f t="shared" si="2"/>
        <v>#VALUE!</v>
      </c>
    </row>
    <row r="5053" spans="1:9" ht="15.75" customHeight="1">
      <c r="A5053" s="26"/>
      <c r="B5053" s="2"/>
      <c r="C5053" s="26"/>
      <c r="D5053" s="26"/>
      <c r="F5053" s="85" t="str">
        <f t="shared" si="0"/>
        <v/>
      </c>
      <c r="G5053" s="1" t="e">
        <f>IF(VALUE(F5053) = VALUE(RIGHT(Insights!$C$3, 4)), E5053, "")</f>
        <v>#VALUE!</v>
      </c>
      <c r="H5053" s="26" t="e">
        <f t="shared" si="1"/>
        <v>#VALUE!</v>
      </c>
      <c r="I5053" s="1" t="e">
        <f t="shared" si="2"/>
        <v>#VALUE!</v>
      </c>
    </row>
    <row r="5054" spans="1:9" ht="15.75" customHeight="1">
      <c r="A5054" s="26"/>
      <c r="B5054" s="2"/>
      <c r="C5054" s="26"/>
      <c r="D5054" s="26"/>
      <c r="F5054" s="85" t="str">
        <f t="shared" si="0"/>
        <v/>
      </c>
      <c r="G5054" s="1" t="e">
        <f>IF(VALUE(F5054) = VALUE(RIGHT(Insights!$C$3, 4)), E5054, "")</f>
        <v>#VALUE!</v>
      </c>
      <c r="H5054" s="26" t="e">
        <f t="shared" si="1"/>
        <v>#VALUE!</v>
      </c>
      <c r="I5054" s="1" t="e">
        <f t="shared" si="2"/>
        <v>#VALUE!</v>
      </c>
    </row>
    <row r="5055" spans="1:9" ht="15.75" customHeight="1">
      <c r="A5055" s="26"/>
      <c r="B5055" s="2"/>
      <c r="C5055" s="26"/>
      <c r="D5055" s="26"/>
      <c r="F5055" s="85" t="str">
        <f t="shared" si="0"/>
        <v/>
      </c>
      <c r="G5055" s="1" t="e">
        <f>IF(VALUE(F5055) = VALUE(RIGHT(Insights!$C$3, 4)), E5055, "")</f>
        <v>#VALUE!</v>
      </c>
      <c r="H5055" s="26" t="e">
        <f t="shared" si="1"/>
        <v>#VALUE!</v>
      </c>
      <c r="I5055" s="1" t="e">
        <f t="shared" si="2"/>
        <v>#VALUE!</v>
      </c>
    </row>
    <row r="5056" spans="1:9" ht="15.75" customHeight="1">
      <c r="A5056" s="26"/>
      <c r="B5056" s="2"/>
      <c r="C5056" s="26"/>
      <c r="D5056" s="26"/>
      <c r="F5056" s="85" t="str">
        <f t="shared" si="0"/>
        <v/>
      </c>
      <c r="G5056" s="1" t="e">
        <f>IF(VALUE(F5056) = VALUE(RIGHT(Insights!$C$3, 4)), E5056, "")</f>
        <v>#VALUE!</v>
      </c>
      <c r="H5056" s="26" t="e">
        <f t="shared" si="1"/>
        <v>#VALUE!</v>
      </c>
      <c r="I5056" s="1" t="e">
        <f t="shared" si="2"/>
        <v>#VALUE!</v>
      </c>
    </row>
    <row r="5057" spans="1:9" ht="15.75" customHeight="1">
      <c r="A5057" s="26"/>
      <c r="B5057" s="2"/>
      <c r="C5057" s="26"/>
      <c r="D5057" s="26"/>
      <c r="F5057" s="85" t="str">
        <f t="shared" si="0"/>
        <v/>
      </c>
      <c r="G5057" s="1" t="e">
        <f>IF(VALUE(F5057) = VALUE(RIGHT(Insights!$C$3, 4)), E5057, "")</f>
        <v>#VALUE!</v>
      </c>
      <c r="H5057" s="26" t="e">
        <f t="shared" si="1"/>
        <v>#VALUE!</v>
      </c>
      <c r="I5057" s="1" t="e">
        <f t="shared" si="2"/>
        <v>#VALUE!</v>
      </c>
    </row>
    <row r="5058" spans="1:9" ht="15.75" customHeight="1">
      <c r="A5058" s="26"/>
      <c r="B5058" s="2"/>
      <c r="C5058" s="26"/>
      <c r="D5058" s="26"/>
      <c r="F5058" s="85" t="str">
        <f t="shared" si="0"/>
        <v/>
      </c>
      <c r="G5058" s="1" t="e">
        <f>IF(VALUE(F5058) = VALUE(RIGHT(Insights!$C$3, 4)), E5058, "")</f>
        <v>#VALUE!</v>
      </c>
      <c r="H5058" s="26" t="e">
        <f t="shared" si="1"/>
        <v>#VALUE!</v>
      </c>
      <c r="I5058" s="1" t="e">
        <f t="shared" si="2"/>
        <v>#VALUE!</v>
      </c>
    </row>
    <row r="5059" spans="1:9" ht="15.75" customHeight="1">
      <c r="A5059" s="26"/>
      <c r="B5059" s="2"/>
      <c r="C5059" s="26"/>
      <c r="D5059" s="26"/>
      <c r="F5059" s="85" t="str">
        <f t="shared" si="0"/>
        <v/>
      </c>
      <c r="G5059" s="1" t="e">
        <f>IF(VALUE(F5059) = VALUE(RIGHT(Insights!$C$3, 4)), E5059, "")</f>
        <v>#VALUE!</v>
      </c>
      <c r="H5059" s="26" t="e">
        <f t="shared" si="1"/>
        <v>#VALUE!</v>
      </c>
      <c r="I5059" s="1" t="e">
        <f t="shared" si="2"/>
        <v>#VALUE!</v>
      </c>
    </row>
    <row r="5060" spans="1:9" ht="15.75" customHeight="1">
      <c r="A5060" s="26"/>
      <c r="B5060" s="2"/>
      <c r="C5060" s="26"/>
      <c r="D5060" s="26"/>
      <c r="F5060" s="85" t="str">
        <f t="shared" si="0"/>
        <v/>
      </c>
      <c r="G5060" s="1" t="e">
        <f>IF(VALUE(F5060) = VALUE(RIGHT(Insights!$C$3, 4)), E5060, "")</f>
        <v>#VALUE!</v>
      </c>
      <c r="H5060" s="26" t="e">
        <f t="shared" si="1"/>
        <v>#VALUE!</v>
      </c>
      <c r="I5060" s="1" t="e">
        <f t="shared" si="2"/>
        <v>#VALUE!</v>
      </c>
    </row>
    <row r="5061" spans="1:9" ht="15.75" customHeight="1">
      <c r="A5061" s="26"/>
      <c r="B5061" s="2"/>
      <c r="C5061" s="26"/>
      <c r="D5061" s="26"/>
      <c r="F5061" s="85" t="str">
        <f t="shared" si="0"/>
        <v/>
      </c>
      <c r="G5061" s="1" t="e">
        <f>IF(VALUE(F5061) = VALUE(RIGHT(Insights!$C$3, 4)), E5061, "")</f>
        <v>#VALUE!</v>
      </c>
      <c r="H5061" s="26" t="e">
        <f t="shared" si="1"/>
        <v>#VALUE!</v>
      </c>
      <c r="I5061" s="1" t="e">
        <f t="shared" si="2"/>
        <v>#VALUE!</v>
      </c>
    </row>
    <row r="5062" spans="1:9" ht="15.75" customHeight="1">
      <c r="A5062" s="26"/>
      <c r="B5062" s="2"/>
      <c r="C5062" s="26"/>
      <c r="D5062" s="26"/>
      <c r="F5062" s="85" t="str">
        <f t="shared" si="0"/>
        <v/>
      </c>
      <c r="G5062" s="1" t="e">
        <f>IF(VALUE(F5062) = VALUE(RIGHT(Insights!$C$3, 4)), E5062, "")</f>
        <v>#VALUE!</v>
      </c>
      <c r="H5062" s="26" t="e">
        <f t="shared" si="1"/>
        <v>#VALUE!</v>
      </c>
      <c r="I5062" s="1" t="e">
        <f t="shared" si="2"/>
        <v>#VALUE!</v>
      </c>
    </row>
    <row r="5063" spans="1:9" ht="15.75" customHeight="1">
      <c r="A5063" s="26"/>
      <c r="B5063" s="2"/>
      <c r="C5063" s="26"/>
      <c r="D5063" s="26"/>
      <c r="F5063" s="85" t="str">
        <f t="shared" si="0"/>
        <v/>
      </c>
      <c r="G5063" s="1" t="e">
        <f>IF(VALUE(F5063) = VALUE(RIGHT(Insights!$C$3, 4)), E5063, "")</f>
        <v>#VALUE!</v>
      </c>
      <c r="H5063" s="26" t="e">
        <f t="shared" si="1"/>
        <v>#VALUE!</v>
      </c>
      <c r="I5063" s="1" t="e">
        <f t="shared" si="2"/>
        <v>#VALUE!</v>
      </c>
    </row>
    <row r="5064" spans="1:9" ht="15.75" customHeight="1">
      <c r="A5064" s="26"/>
      <c r="B5064" s="2"/>
      <c r="C5064" s="26"/>
      <c r="D5064" s="26"/>
      <c r="F5064" s="85" t="str">
        <f t="shared" si="0"/>
        <v/>
      </c>
      <c r="G5064" s="1" t="e">
        <f>IF(VALUE(F5064) = VALUE(RIGHT(Insights!$C$3, 4)), E5064, "")</f>
        <v>#VALUE!</v>
      </c>
      <c r="H5064" s="26" t="e">
        <f t="shared" si="1"/>
        <v>#VALUE!</v>
      </c>
      <c r="I5064" s="1" t="e">
        <f t="shared" si="2"/>
        <v>#VALUE!</v>
      </c>
    </row>
    <row r="5065" spans="1:9" ht="15.75" customHeight="1">
      <c r="A5065" s="26"/>
      <c r="B5065" s="2"/>
      <c r="C5065" s="26"/>
      <c r="D5065" s="26"/>
      <c r="F5065" s="85" t="str">
        <f t="shared" si="0"/>
        <v/>
      </c>
      <c r="G5065" s="1" t="e">
        <f>IF(VALUE(F5065) = VALUE(RIGHT(Insights!$C$3, 4)), E5065, "")</f>
        <v>#VALUE!</v>
      </c>
      <c r="H5065" s="26" t="e">
        <f t="shared" si="1"/>
        <v>#VALUE!</v>
      </c>
      <c r="I5065" s="1" t="e">
        <f t="shared" si="2"/>
        <v>#VALUE!</v>
      </c>
    </row>
    <row r="5066" spans="1:9" ht="15.75" customHeight="1">
      <c r="A5066" s="26"/>
      <c r="B5066" s="2"/>
      <c r="C5066" s="26"/>
      <c r="D5066" s="26"/>
      <c r="F5066" s="85" t="str">
        <f t="shared" si="0"/>
        <v/>
      </c>
      <c r="G5066" s="1" t="e">
        <f>IF(VALUE(F5066) = VALUE(RIGHT(Insights!$C$3, 4)), E5066, "")</f>
        <v>#VALUE!</v>
      </c>
      <c r="H5066" s="26" t="e">
        <f t="shared" si="1"/>
        <v>#VALUE!</v>
      </c>
      <c r="I5066" s="1" t="e">
        <f t="shared" si="2"/>
        <v>#VALUE!</v>
      </c>
    </row>
    <row r="5067" spans="1:9" ht="15.75" customHeight="1">
      <c r="A5067" s="26"/>
      <c r="B5067" s="2"/>
      <c r="C5067" s="26"/>
      <c r="D5067" s="26"/>
      <c r="F5067" s="85" t="str">
        <f t="shared" si="0"/>
        <v/>
      </c>
      <c r="G5067" s="1" t="e">
        <f>IF(VALUE(F5067) = VALUE(RIGHT(Insights!$C$3, 4)), E5067, "")</f>
        <v>#VALUE!</v>
      </c>
      <c r="H5067" s="26" t="e">
        <f t="shared" si="1"/>
        <v>#VALUE!</v>
      </c>
      <c r="I5067" s="1" t="e">
        <f t="shared" si="2"/>
        <v>#VALUE!</v>
      </c>
    </row>
    <row r="5068" spans="1:9" ht="15.75" customHeight="1">
      <c r="A5068" s="26"/>
      <c r="B5068" s="2"/>
      <c r="C5068" s="26"/>
      <c r="D5068" s="26"/>
      <c r="F5068" s="85" t="str">
        <f t="shared" si="0"/>
        <v/>
      </c>
      <c r="G5068" s="1" t="e">
        <f>IF(VALUE(F5068) = VALUE(RIGHT(Insights!$C$3, 4)), E5068, "")</f>
        <v>#VALUE!</v>
      </c>
      <c r="H5068" s="26" t="e">
        <f t="shared" si="1"/>
        <v>#VALUE!</v>
      </c>
      <c r="I5068" s="1" t="e">
        <f t="shared" si="2"/>
        <v>#VALUE!</v>
      </c>
    </row>
    <row r="5069" spans="1:9" ht="15.75" customHeight="1">
      <c r="A5069" s="26"/>
      <c r="B5069" s="2"/>
      <c r="C5069" s="26"/>
      <c r="D5069" s="26"/>
      <c r="F5069" s="85" t="str">
        <f t="shared" si="0"/>
        <v/>
      </c>
      <c r="G5069" s="1" t="e">
        <f>IF(VALUE(F5069) = VALUE(RIGHT(Insights!$C$3, 4)), E5069, "")</f>
        <v>#VALUE!</v>
      </c>
      <c r="H5069" s="26" t="e">
        <f t="shared" si="1"/>
        <v>#VALUE!</v>
      </c>
      <c r="I5069" s="1" t="e">
        <f t="shared" si="2"/>
        <v>#VALUE!</v>
      </c>
    </row>
    <row r="5070" spans="1:9" ht="15.75" customHeight="1">
      <c r="A5070" s="26"/>
      <c r="B5070" s="2"/>
      <c r="C5070" s="26"/>
      <c r="D5070" s="26"/>
      <c r="F5070" s="85" t="str">
        <f t="shared" si="0"/>
        <v/>
      </c>
      <c r="G5070" s="1" t="e">
        <f>IF(VALUE(F5070) = VALUE(RIGHT(Insights!$C$3, 4)), E5070, "")</f>
        <v>#VALUE!</v>
      </c>
      <c r="H5070" s="26" t="e">
        <f t="shared" si="1"/>
        <v>#VALUE!</v>
      </c>
      <c r="I5070" s="1" t="e">
        <f t="shared" si="2"/>
        <v>#VALUE!</v>
      </c>
    </row>
    <row r="5071" spans="1:9" ht="15.75" customHeight="1">
      <c r="A5071" s="26"/>
      <c r="B5071" s="2"/>
      <c r="C5071" s="26"/>
      <c r="D5071" s="26"/>
      <c r="F5071" s="85" t="str">
        <f t="shared" si="0"/>
        <v/>
      </c>
      <c r="G5071" s="1" t="e">
        <f>IF(VALUE(F5071) = VALUE(RIGHT(Insights!$C$3, 4)), E5071, "")</f>
        <v>#VALUE!</v>
      </c>
      <c r="H5071" s="26" t="e">
        <f t="shared" si="1"/>
        <v>#VALUE!</v>
      </c>
      <c r="I5071" s="1" t="e">
        <f t="shared" si="2"/>
        <v>#VALUE!</v>
      </c>
    </row>
    <row r="5072" spans="1:9" ht="15.75" customHeight="1">
      <c r="A5072" s="26"/>
      <c r="B5072" s="2"/>
      <c r="C5072" s="26"/>
      <c r="D5072" s="26"/>
      <c r="F5072" s="85" t="str">
        <f t="shared" si="0"/>
        <v/>
      </c>
      <c r="G5072" s="1" t="e">
        <f>IF(VALUE(F5072) = VALUE(RIGHT(Insights!$C$3, 4)), E5072, "")</f>
        <v>#VALUE!</v>
      </c>
      <c r="H5072" s="26" t="e">
        <f t="shared" si="1"/>
        <v>#VALUE!</v>
      </c>
      <c r="I5072" s="1" t="e">
        <f t="shared" si="2"/>
        <v>#VALUE!</v>
      </c>
    </row>
    <row r="5073" spans="1:9" ht="15.75" customHeight="1">
      <c r="A5073" s="26"/>
      <c r="B5073" s="2"/>
      <c r="C5073" s="26"/>
      <c r="D5073" s="26"/>
      <c r="F5073" s="85" t="str">
        <f t="shared" si="0"/>
        <v/>
      </c>
      <c r="G5073" s="1" t="e">
        <f>IF(VALUE(F5073) = VALUE(RIGHT(Insights!$C$3, 4)), E5073, "")</f>
        <v>#VALUE!</v>
      </c>
      <c r="H5073" s="26" t="e">
        <f t="shared" si="1"/>
        <v>#VALUE!</v>
      </c>
      <c r="I5073" s="1" t="e">
        <f t="shared" si="2"/>
        <v>#VALUE!</v>
      </c>
    </row>
    <row r="5074" spans="1:9" ht="15.75" customHeight="1">
      <c r="A5074" s="26"/>
      <c r="B5074" s="2"/>
      <c r="C5074" s="26"/>
      <c r="D5074" s="26"/>
      <c r="F5074" s="85" t="str">
        <f t="shared" si="0"/>
        <v/>
      </c>
      <c r="G5074" s="1" t="e">
        <f>IF(VALUE(F5074) = VALUE(RIGHT(Insights!$C$3, 4)), E5074, "")</f>
        <v>#VALUE!</v>
      </c>
      <c r="H5074" s="26" t="e">
        <f t="shared" si="1"/>
        <v>#VALUE!</v>
      </c>
      <c r="I5074" s="1" t="e">
        <f t="shared" si="2"/>
        <v>#VALUE!</v>
      </c>
    </row>
    <row r="5075" spans="1:9" ht="15.75" customHeight="1">
      <c r="A5075" s="26"/>
      <c r="B5075" s="2"/>
      <c r="C5075" s="26"/>
      <c r="D5075" s="26"/>
      <c r="F5075" s="85" t="str">
        <f t="shared" si="0"/>
        <v/>
      </c>
      <c r="G5075" s="1" t="e">
        <f>IF(VALUE(F5075) = VALUE(RIGHT(Insights!$C$3, 4)), E5075, "")</f>
        <v>#VALUE!</v>
      </c>
      <c r="H5075" s="26" t="e">
        <f t="shared" si="1"/>
        <v>#VALUE!</v>
      </c>
      <c r="I5075" s="1" t="e">
        <f t="shared" si="2"/>
        <v>#VALUE!</v>
      </c>
    </row>
    <row r="5076" spans="1:9" ht="15.75" customHeight="1">
      <c r="A5076" s="26"/>
      <c r="B5076" s="2"/>
      <c r="C5076" s="26"/>
      <c r="D5076" s="26"/>
      <c r="F5076" s="85" t="str">
        <f t="shared" si="0"/>
        <v/>
      </c>
      <c r="G5076" s="1" t="e">
        <f>IF(VALUE(F5076) = VALUE(RIGHT(Insights!$C$3, 4)), E5076, "")</f>
        <v>#VALUE!</v>
      </c>
      <c r="H5076" s="26" t="e">
        <f t="shared" si="1"/>
        <v>#VALUE!</v>
      </c>
      <c r="I5076" s="1" t="e">
        <f t="shared" si="2"/>
        <v>#VALUE!</v>
      </c>
    </row>
    <row r="5077" spans="1:9" ht="15.75" customHeight="1">
      <c r="A5077" s="26"/>
      <c r="B5077" s="2"/>
      <c r="C5077" s="26"/>
      <c r="D5077" s="26"/>
      <c r="F5077" s="85" t="str">
        <f t="shared" si="0"/>
        <v/>
      </c>
      <c r="G5077" s="1" t="e">
        <f>IF(VALUE(F5077) = VALUE(RIGHT(Insights!$C$3, 4)), E5077, "")</f>
        <v>#VALUE!</v>
      </c>
      <c r="H5077" s="26" t="e">
        <f t="shared" si="1"/>
        <v>#VALUE!</v>
      </c>
      <c r="I5077" s="1" t="e">
        <f t="shared" si="2"/>
        <v>#VALUE!</v>
      </c>
    </row>
    <row r="5078" spans="1:9" ht="15.75" customHeight="1">
      <c r="A5078" s="26"/>
      <c r="B5078" s="2"/>
      <c r="C5078" s="26"/>
      <c r="D5078" s="26"/>
      <c r="F5078" s="85" t="str">
        <f t="shared" si="0"/>
        <v/>
      </c>
      <c r="G5078" s="1" t="e">
        <f>IF(VALUE(F5078) = VALUE(RIGHT(Insights!$C$3, 4)), E5078, "")</f>
        <v>#VALUE!</v>
      </c>
      <c r="H5078" s="26" t="e">
        <f t="shared" si="1"/>
        <v>#VALUE!</v>
      </c>
      <c r="I5078" s="1" t="e">
        <f t="shared" si="2"/>
        <v>#VALUE!</v>
      </c>
    </row>
    <row r="5079" spans="1:9" ht="15.75" customHeight="1">
      <c r="A5079" s="26"/>
      <c r="B5079" s="2"/>
      <c r="C5079" s="26"/>
      <c r="D5079" s="26"/>
      <c r="F5079" s="85" t="str">
        <f t="shared" si="0"/>
        <v/>
      </c>
      <c r="G5079" s="1" t="e">
        <f>IF(VALUE(F5079) = VALUE(RIGHT(Insights!$C$3, 4)), E5079, "")</f>
        <v>#VALUE!</v>
      </c>
      <c r="H5079" s="26" t="e">
        <f t="shared" si="1"/>
        <v>#VALUE!</v>
      </c>
      <c r="I5079" s="1" t="e">
        <f t="shared" si="2"/>
        <v>#VALUE!</v>
      </c>
    </row>
    <row r="5080" spans="1:9" ht="15.75" customHeight="1">
      <c r="A5080" s="26"/>
      <c r="B5080" s="2"/>
      <c r="C5080" s="26"/>
      <c r="D5080" s="26"/>
      <c r="F5080" s="85" t="str">
        <f t="shared" si="0"/>
        <v/>
      </c>
      <c r="G5080" s="1" t="e">
        <f>IF(VALUE(F5080) = VALUE(RIGHT(Insights!$C$3, 4)), E5080, "")</f>
        <v>#VALUE!</v>
      </c>
      <c r="H5080" s="26" t="e">
        <f t="shared" si="1"/>
        <v>#VALUE!</v>
      </c>
      <c r="I5080" s="1" t="e">
        <f t="shared" si="2"/>
        <v>#VALUE!</v>
      </c>
    </row>
    <row r="5081" spans="1:9" ht="15.75" customHeight="1">
      <c r="A5081" s="26"/>
      <c r="B5081" s="2"/>
      <c r="C5081" s="26"/>
      <c r="D5081" s="26"/>
      <c r="F5081" s="85" t="str">
        <f t="shared" si="0"/>
        <v/>
      </c>
      <c r="G5081" s="1" t="e">
        <f>IF(VALUE(F5081) = VALUE(RIGHT(Insights!$C$3, 4)), E5081, "")</f>
        <v>#VALUE!</v>
      </c>
      <c r="H5081" s="26" t="e">
        <f t="shared" si="1"/>
        <v>#VALUE!</v>
      </c>
      <c r="I5081" s="1" t="e">
        <f t="shared" si="2"/>
        <v>#VALUE!</v>
      </c>
    </row>
    <row r="5082" spans="1:9" ht="15.75" customHeight="1">
      <c r="A5082" s="26"/>
      <c r="B5082" s="2"/>
      <c r="C5082" s="26"/>
      <c r="D5082" s="26"/>
      <c r="F5082" s="85" t="str">
        <f t="shared" si="0"/>
        <v/>
      </c>
      <c r="G5082" s="1" t="e">
        <f>IF(VALUE(F5082) = VALUE(RIGHT(Insights!$C$3, 4)), E5082, "")</f>
        <v>#VALUE!</v>
      </c>
      <c r="H5082" s="26" t="e">
        <f t="shared" si="1"/>
        <v>#VALUE!</v>
      </c>
      <c r="I5082" s="1" t="e">
        <f t="shared" si="2"/>
        <v>#VALUE!</v>
      </c>
    </row>
    <row r="5083" spans="1:9" ht="15.75" customHeight="1">
      <c r="A5083" s="26"/>
      <c r="B5083" s="2"/>
      <c r="C5083" s="26"/>
      <c r="D5083" s="26"/>
      <c r="F5083" s="85" t="str">
        <f t="shared" si="0"/>
        <v/>
      </c>
      <c r="G5083" s="1" t="e">
        <f>IF(VALUE(F5083) = VALUE(RIGHT(Insights!$C$3, 4)), E5083, "")</f>
        <v>#VALUE!</v>
      </c>
      <c r="H5083" s="26" t="e">
        <f t="shared" si="1"/>
        <v>#VALUE!</v>
      </c>
      <c r="I5083" s="1" t="e">
        <f t="shared" si="2"/>
        <v>#VALUE!</v>
      </c>
    </row>
    <row r="5084" spans="1:9" ht="15.75" customHeight="1">
      <c r="A5084" s="26"/>
      <c r="B5084" s="2"/>
      <c r="C5084" s="26"/>
      <c r="D5084" s="26"/>
      <c r="F5084" s="85" t="str">
        <f t="shared" si="0"/>
        <v/>
      </c>
      <c r="G5084" s="1" t="e">
        <f>IF(VALUE(F5084) = VALUE(RIGHT(Insights!$C$3, 4)), E5084, "")</f>
        <v>#VALUE!</v>
      </c>
      <c r="H5084" s="26" t="e">
        <f t="shared" si="1"/>
        <v>#VALUE!</v>
      </c>
      <c r="I5084" s="1" t="e">
        <f t="shared" si="2"/>
        <v>#VALUE!</v>
      </c>
    </row>
    <row r="5085" spans="1:9" ht="15.75" customHeight="1">
      <c r="A5085" s="26"/>
      <c r="B5085" s="2"/>
      <c r="C5085" s="26"/>
      <c r="D5085" s="26"/>
      <c r="F5085" s="85" t="str">
        <f t="shared" si="0"/>
        <v/>
      </c>
      <c r="G5085" s="1" t="e">
        <f>IF(VALUE(F5085) = VALUE(RIGHT(Insights!$C$3, 4)), E5085, "")</f>
        <v>#VALUE!</v>
      </c>
      <c r="H5085" s="26" t="e">
        <f t="shared" si="1"/>
        <v>#VALUE!</v>
      </c>
      <c r="I5085" s="1" t="e">
        <f t="shared" si="2"/>
        <v>#VALUE!</v>
      </c>
    </row>
    <row r="5086" spans="1:9" ht="15.75" customHeight="1">
      <c r="A5086" s="26"/>
      <c r="B5086" s="2"/>
      <c r="C5086" s="26"/>
      <c r="D5086" s="26"/>
      <c r="F5086" s="85" t="str">
        <f t="shared" si="0"/>
        <v/>
      </c>
      <c r="G5086" s="1" t="e">
        <f>IF(VALUE(F5086) = VALUE(RIGHT(Insights!$C$3, 4)), E5086, "")</f>
        <v>#VALUE!</v>
      </c>
      <c r="H5086" s="26" t="e">
        <f t="shared" si="1"/>
        <v>#VALUE!</v>
      </c>
      <c r="I5086" s="1" t="e">
        <f t="shared" si="2"/>
        <v>#VALUE!</v>
      </c>
    </row>
    <row r="5087" spans="1:9" ht="15.75" customHeight="1">
      <c r="A5087" s="26"/>
      <c r="B5087" s="2"/>
      <c r="C5087" s="26"/>
      <c r="D5087" s="26"/>
      <c r="F5087" s="85" t="str">
        <f t="shared" si="0"/>
        <v/>
      </c>
      <c r="G5087" s="1" t="e">
        <f>IF(VALUE(F5087) = VALUE(RIGHT(Insights!$C$3, 4)), E5087, "")</f>
        <v>#VALUE!</v>
      </c>
      <c r="H5087" s="26" t="e">
        <f t="shared" si="1"/>
        <v>#VALUE!</v>
      </c>
      <c r="I5087" s="1" t="e">
        <f t="shared" si="2"/>
        <v>#VALUE!</v>
      </c>
    </row>
    <row r="5088" spans="1:9" ht="15.75" customHeight="1">
      <c r="A5088" s="26"/>
      <c r="B5088" s="2"/>
      <c r="C5088" s="26"/>
      <c r="D5088" s="26"/>
      <c r="F5088" s="85" t="str">
        <f t="shared" si="0"/>
        <v/>
      </c>
      <c r="G5088" s="1" t="e">
        <f>IF(VALUE(F5088) = VALUE(RIGHT(Insights!$C$3, 4)), E5088, "")</f>
        <v>#VALUE!</v>
      </c>
      <c r="H5088" s="26" t="e">
        <f t="shared" si="1"/>
        <v>#VALUE!</v>
      </c>
      <c r="I5088" s="1" t="e">
        <f t="shared" si="2"/>
        <v>#VALUE!</v>
      </c>
    </row>
    <row r="5089" spans="1:9" ht="15.75" customHeight="1">
      <c r="A5089" s="26"/>
      <c r="B5089" s="2"/>
      <c r="C5089" s="26"/>
      <c r="D5089" s="26"/>
      <c r="F5089" s="85" t="str">
        <f t="shared" si="0"/>
        <v/>
      </c>
      <c r="G5089" s="1" t="e">
        <f>IF(VALUE(F5089) = VALUE(RIGHT(Insights!$C$3, 4)), E5089, "")</f>
        <v>#VALUE!</v>
      </c>
      <c r="H5089" s="26" t="e">
        <f t="shared" si="1"/>
        <v>#VALUE!</v>
      </c>
      <c r="I5089" s="1" t="e">
        <f t="shared" si="2"/>
        <v>#VALUE!</v>
      </c>
    </row>
    <row r="5090" spans="1:9" ht="15.75" customHeight="1">
      <c r="A5090" s="26"/>
      <c r="B5090" s="2"/>
      <c r="C5090" s="26"/>
      <c r="D5090" s="26"/>
      <c r="F5090" s="85" t="str">
        <f t="shared" si="0"/>
        <v/>
      </c>
      <c r="G5090" s="1" t="e">
        <f>IF(VALUE(F5090) = VALUE(RIGHT(Insights!$C$3, 4)), E5090, "")</f>
        <v>#VALUE!</v>
      </c>
      <c r="H5090" s="26" t="e">
        <f t="shared" si="1"/>
        <v>#VALUE!</v>
      </c>
      <c r="I5090" s="1" t="e">
        <f t="shared" si="2"/>
        <v>#VALUE!</v>
      </c>
    </row>
    <row r="5091" spans="1:9" ht="15.75" customHeight="1">
      <c r="A5091" s="26"/>
      <c r="B5091" s="2"/>
      <c r="C5091" s="26"/>
      <c r="D5091" s="26"/>
      <c r="F5091" s="85" t="str">
        <f t="shared" si="0"/>
        <v/>
      </c>
      <c r="G5091" s="1" t="e">
        <f>IF(VALUE(F5091) = VALUE(RIGHT(Insights!$C$3, 4)), E5091, "")</f>
        <v>#VALUE!</v>
      </c>
      <c r="H5091" s="26" t="e">
        <f t="shared" si="1"/>
        <v>#VALUE!</v>
      </c>
      <c r="I5091" s="1" t="e">
        <f t="shared" si="2"/>
        <v>#VALUE!</v>
      </c>
    </row>
    <row r="5092" spans="1:9" ht="15.75" customHeight="1">
      <c r="A5092" s="26"/>
      <c r="B5092" s="2"/>
      <c r="C5092" s="26"/>
      <c r="D5092" s="26"/>
      <c r="F5092" s="85" t="str">
        <f t="shared" si="0"/>
        <v/>
      </c>
      <c r="G5092" s="1" t="e">
        <f>IF(VALUE(F5092) = VALUE(RIGHT(Insights!$C$3, 4)), E5092, "")</f>
        <v>#VALUE!</v>
      </c>
      <c r="H5092" s="26" t="e">
        <f t="shared" si="1"/>
        <v>#VALUE!</v>
      </c>
      <c r="I5092" s="1" t="e">
        <f t="shared" si="2"/>
        <v>#VALUE!</v>
      </c>
    </row>
    <row r="5093" spans="1:9" ht="15.75" customHeight="1">
      <c r="A5093" s="26"/>
      <c r="B5093" s="2"/>
      <c r="C5093" s="26"/>
      <c r="D5093" s="26"/>
      <c r="F5093" s="85" t="str">
        <f t="shared" si="0"/>
        <v/>
      </c>
      <c r="G5093" s="1" t="e">
        <f>IF(VALUE(F5093) = VALUE(RIGHT(Insights!$C$3, 4)), E5093, "")</f>
        <v>#VALUE!</v>
      </c>
      <c r="H5093" s="26" t="e">
        <f t="shared" si="1"/>
        <v>#VALUE!</v>
      </c>
      <c r="I5093" s="1" t="e">
        <f t="shared" si="2"/>
        <v>#VALUE!</v>
      </c>
    </row>
    <row r="5094" spans="1:9" ht="15.75" customHeight="1">
      <c r="A5094" s="26"/>
      <c r="B5094" s="2"/>
      <c r="C5094" s="26"/>
      <c r="D5094" s="26"/>
      <c r="F5094" s="85" t="str">
        <f t="shared" si="0"/>
        <v/>
      </c>
      <c r="G5094" s="1" t="e">
        <f>IF(VALUE(F5094) = VALUE(RIGHT(Insights!$C$3, 4)), E5094, "")</f>
        <v>#VALUE!</v>
      </c>
      <c r="H5094" s="26" t="e">
        <f t="shared" si="1"/>
        <v>#VALUE!</v>
      </c>
      <c r="I5094" s="1" t="e">
        <f t="shared" si="2"/>
        <v>#VALUE!</v>
      </c>
    </row>
    <row r="5095" spans="1:9" ht="15.75" customHeight="1">
      <c r="A5095" s="26"/>
      <c r="B5095" s="2"/>
      <c r="C5095" s="26"/>
      <c r="D5095" s="26"/>
      <c r="F5095" s="85" t="str">
        <f t="shared" si="0"/>
        <v/>
      </c>
      <c r="G5095" s="1" t="e">
        <f>IF(VALUE(F5095) = VALUE(RIGHT(Insights!$C$3, 4)), E5095, "")</f>
        <v>#VALUE!</v>
      </c>
      <c r="H5095" s="26" t="e">
        <f t="shared" si="1"/>
        <v>#VALUE!</v>
      </c>
      <c r="I5095" s="1" t="e">
        <f t="shared" si="2"/>
        <v>#VALUE!</v>
      </c>
    </row>
    <row r="5096" spans="1:9" ht="15.75" customHeight="1">
      <c r="A5096" s="26"/>
      <c r="B5096" s="2"/>
      <c r="C5096" s="26"/>
      <c r="D5096" s="26"/>
      <c r="F5096" s="85" t="str">
        <f t="shared" si="0"/>
        <v/>
      </c>
      <c r="G5096" s="1" t="e">
        <f>IF(VALUE(F5096) = VALUE(RIGHT(Insights!$C$3, 4)), E5096, "")</f>
        <v>#VALUE!</v>
      </c>
      <c r="H5096" s="26" t="e">
        <f t="shared" si="1"/>
        <v>#VALUE!</v>
      </c>
      <c r="I5096" s="1" t="e">
        <f t="shared" si="2"/>
        <v>#VALUE!</v>
      </c>
    </row>
    <row r="5097" spans="1:9" ht="15.75" customHeight="1">
      <c r="A5097" s="26"/>
      <c r="B5097" s="2"/>
      <c r="C5097" s="26"/>
      <c r="D5097" s="26"/>
      <c r="F5097" s="85" t="str">
        <f t="shared" si="0"/>
        <v/>
      </c>
      <c r="G5097" s="1" t="e">
        <f>IF(VALUE(F5097) = VALUE(RIGHT(Insights!$C$3, 4)), E5097, "")</f>
        <v>#VALUE!</v>
      </c>
      <c r="H5097" s="26" t="e">
        <f t="shared" si="1"/>
        <v>#VALUE!</v>
      </c>
      <c r="I5097" s="1" t="e">
        <f t="shared" si="2"/>
        <v>#VALUE!</v>
      </c>
    </row>
    <row r="5098" spans="1:9" ht="15.75" customHeight="1">
      <c r="A5098" s="26"/>
      <c r="B5098" s="2"/>
      <c r="C5098" s="26"/>
      <c r="D5098" s="26"/>
      <c r="F5098" s="85" t="str">
        <f t="shared" si="0"/>
        <v/>
      </c>
      <c r="G5098" s="1" t="e">
        <f>IF(VALUE(F5098) = VALUE(RIGHT(Insights!$C$3, 4)), E5098, "")</f>
        <v>#VALUE!</v>
      </c>
      <c r="H5098" s="26" t="e">
        <f t="shared" si="1"/>
        <v>#VALUE!</v>
      </c>
      <c r="I5098" s="1" t="e">
        <f t="shared" si="2"/>
        <v>#VALUE!</v>
      </c>
    </row>
    <row r="5099" spans="1:9" ht="15.75" customHeight="1">
      <c r="A5099" s="26"/>
      <c r="B5099" s="2"/>
      <c r="C5099" s="26"/>
      <c r="D5099" s="26"/>
      <c r="F5099" s="85" t="str">
        <f t="shared" si="0"/>
        <v/>
      </c>
      <c r="G5099" s="1" t="e">
        <f>IF(VALUE(F5099) = VALUE(RIGHT(Insights!$C$3, 4)), E5099, "")</f>
        <v>#VALUE!</v>
      </c>
      <c r="H5099" s="26" t="e">
        <f t="shared" si="1"/>
        <v>#VALUE!</v>
      </c>
      <c r="I5099" s="1" t="e">
        <f t="shared" si="2"/>
        <v>#VALUE!</v>
      </c>
    </row>
    <row r="5100" spans="1:9" ht="15.75" customHeight="1">
      <c r="A5100" s="26"/>
      <c r="B5100" s="2"/>
      <c r="C5100" s="26"/>
      <c r="D5100" s="26"/>
      <c r="F5100" s="85" t="str">
        <f t="shared" si="0"/>
        <v/>
      </c>
      <c r="G5100" s="1" t="e">
        <f>IF(VALUE(F5100) = VALUE(RIGHT(Insights!$C$3, 4)), E5100, "")</f>
        <v>#VALUE!</v>
      </c>
      <c r="H5100" s="26" t="e">
        <f t="shared" si="1"/>
        <v>#VALUE!</v>
      </c>
      <c r="I5100" s="1" t="e">
        <f t="shared" si="2"/>
        <v>#VALUE!</v>
      </c>
    </row>
    <row r="5101" spans="1:9" ht="15.75" customHeight="1">
      <c r="A5101" s="26"/>
      <c r="B5101" s="2"/>
      <c r="C5101" s="26"/>
      <c r="D5101" s="26"/>
      <c r="F5101" s="85" t="str">
        <f t="shared" si="0"/>
        <v/>
      </c>
      <c r="G5101" s="1" t="e">
        <f>IF(VALUE(F5101) = VALUE(RIGHT(Insights!$C$3, 4)), E5101, "")</f>
        <v>#VALUE!</v>
      </c>
      <c r="H5101" s="26" t="e">
        <f t="shared" si="1"/>
        <v>#VALUE!</v>
      </c>
      <c r="I5101" s="1" t="e">
        <f t="shared" si="2"/>
        <v>#VALUE!</v>
      </c>
    </row>
    <row r="5102" spans="1:9" ht="15.75" customHeight="1">
      <c r="A5102" s="26"/>
      <c r="B5102" s="2"/>
      <c r="C5102" s="26"/>
      <c r="D5102" s="26"/>
      <c r="F5102" s="85" t="str">
        <f t="shared" si="0"/>
        <v/>
      </c>
      <c r="G5102" s="1" t="e">
        <f>IF(VALUE(F5102) = VALUE(RIGHT(Insights!$C$3, 4)), E5102, "")</f>
        <v>#VALUE!</v>
      </c>
      <c r="H5102" s="26" t="e">
        <f t="shared" si="1"/>
        <v>#VALUE!</v>
      </c>
      <c r="I5102" s="1" t="e">
        <f t="shared" si="2"/>
        <v>#VALUE!</v>
      </c>
    </row>
    <row r="5103" spans="1:9" ht="15.75" customHeight="1">
      <c r="A5103" s="26"/>
      <c r="B5103" s="2"/>
      <c r="C5103" s="26"/>
      <c r="D5103" s="26"/>
      <c r="F5103" s="85" t="str">
        <f t="shared" si="0"/>
        <v/>
      </c>
      <c r="G5103" s="1" t="e">
        <f>IF(VALUE(F5103) = VALUE(RIGHT(Insights!$C$3, 4)), E5103, "")</f>
        <v>#VALUE!</v>
      </c>
      <c r="H5103" s="26" t="e">
        <f t="shared" si="1"/>
        <v>#VALUE!</v>
      </c>
      <c r="I5103" s="1" t="e">
        <f t="shared" si="2"/>
        <v>#VALUE!</v>
      </c>
    </row>
    <row r="5104" spans="1:9" ht="15.75" customHeight="1">
      <c r="A5104" s="26"/>
      <c r="B5104" s="2"/>
      <c r="C5104" s="26"/>
      <c r="D5104" s="26"/>
      <c r="F5104" s="85" t="str">
        <f t="shared" si="0"/>
        <v/>
      </c>
      <c r="G5104" s="1" t="e">
        <f>IF(VALUE(F5104) = VALUE(RIGHT(Insights!$C$3, 4)), E5104, "")</f>
        <v>#VALUE!</v>
      </c>
      <c r="H5104" s="26" t="e">
        <f t="shared" si="1"/>
        <v>#VALUE!</v>
      </c>
      <c r="I5104" s="1" t="e">
        <f t="shared" si="2"/>
        <v>#VALUE!</v>
      </c>
    </row>
    <row r="5105" spans="1:9" ht="15.75" customHeight="1">
      <c r="A5105" s="26"/>
      <c r="B5105" s="2"/>
      <c r="C5105" s="26"/>
      <c r="D5105" s="26"/>
      <c r="F5105" s="85" t="str">
        <f t="shared" si="0"/>
        <v/>
      </c>
      <c r="G5105" s="1" t="e">
        <f>IF(VALUE(F5105) = VALUE(RIGHT(Insights!$C$3, 4)), E5105, "")</f>
        <v>#VALUE!</v>
      </c>
      <c r="H5105" s="26" t="e">
        <f t="shared" si="1"/>
        <v>#VALUE!</v>
      </c>
      <c r="I5105" s="1" t="e">
        <f t="shared" si="2"/>
        <v>#VALUE!</v>
      </c>
    </row>
    <row r="5106" spans="1:9" ht="15.75" customHeight="1">
      <c r="A5106" s="26"/>
      <c r="B5106" s="2"/>
      <c r="C5106" s="26"/>
      <c r="D5106" s="26"/>
      <c r="F5106" s="85" t="str">
        <f t="shared" si="0"/>
        <v/>
      </c>
      <c r="G5106" s="1" t="e">
        <f>IF(VALUE(F5106) = VALUE(RIGHT(Insights!$C$3, 4)), E5106, "")</f>
        <v>#VALUE!</v>
      </c>
      <c r="H5106" s="26" t="e">
        <f t="shared" si="1"/>
        <v>#VALUE!</v>
      </c>
      <c r="I5106" s="1" t="e">
        <f t="shared" si="2"/>
        <v>#VALUE!</v>
      </c>
    </row>
    <row r="5107" spans="1:9" ht="15.75" customHeight="1">
      <c r="A5107" s="26"/>
      <c r="B5107" s="2"/>
      <c r="C5107" s="26"/>
      <c r="D5107" s="26"/>
      <c r="F5107" s="85" t="str">
        <f t="shared" si="0"/>
        <v/>
      </c>
      <c r="G5107" s="1" t="e">
        <f>IF(VALUE(F5107) = VALUE(RIGHT(Insights!$C$3, 4)), E5107, "")</f>
        <v>#VALUE!</v>
      </c>
      <c r="H5107" s="26" t="e">
        <f t="shared" si="1"/>
        <v>#VALUE!</v>
      </c>
      <c r="I5107" s="1" t="e">
        <f t="shared" si="2"/>
        <v>#VALUE!</v>
      </c>
    </row>
    <row r="5108" spans="1:9" ht="15.75" customHeight="1">
      <c r="A5108" s="26"/>
      <c r="B5108" s="2"/>
      <c r="C5108" s="26"/>
      <c r="D5108" s="26"/>
      <c r="F5108" s="85" t="str">
        <f t="shared" si="0"/>
        <v/>
      </c>
      <c r="G5108" s="1" t="e">
        <f>IF(VALUE(F5108) = VALUE(RIGHT(Insights!$C$3, 4)), E5108, "")</f>
        <v>#VALUE!</v>
      </c>
      <c r="H5108" s="26" t="e">
        <f t="shared" si="1"/>
        <v>#VALUE!</v>
      </c>
      <c r="I5108" s="1" t="e">
        <f t="shared" si="2"/>
        <v>#VALUE!</v>
      </c>
    </row>
    <row r="5109" spans="1:9" ht="15.75" customHeight="1">
      <c r="A5109" s="26"/>
      <c r="B5109" s="2"/>
      <c r="C5109" s="26"/>
      <c r="D5109" s="26"/>
      <c r="F5109" s="85" t="str">
        <f t="shared" si="0"/>
        <v/>
      </c>
      <c r="G5109" s="1" t="e">
        <f>IF(VALUE(F5109) = VALUE(RIGHT(Insights!$C$3, 4)), E5109, "")</f>
        <v>#VALUE!</v>
      </c>
      <c r="H5109" s="26" t="e">
        <f t="shared" si="1"/>
        <v>#VALUE!</v>
      </c>
      <c r="I5109" s="1" t="e">
        <f t="shared" si="2"/>
        <v>#VALUE!</v>
      </c>
    </row>
    <row r="5110" spans="1:9" ht="15.75" customHeight="1">
      <c r="A5110" s="26"/>
      <c r="B5110" s="2"/>
      <c r="C5110" s="26"/>
      <c r="D5110" s="26"/>
      <c r="F5110" s="85" t="str">
        <f t="shared" si="0"/>
        <v/>
      </c>
      <c r="G5110" s="1" t="e">
        <f>IF(VALUE(F5110) = VALUE(RIGHT(Insights!$C$3, 4)), E5110, "")</f>
        <v>#VALUE!</v>
      </c>
      <c r="H5110" s="26" t="e">
        <f t="shared" si="1"/>
        <v>#VALUE!</v>
      </c>
      <c r="I5110" s="1" t="e">
        <f t="shared" si="2"/>
        <v>#VALUE!</v>
      </c>
    </row>
    <row r="5111" spans="1:9" ht="15.75" customHeight="1">
      <c r="A5111" s="26"/>
      <c r="B5111" s="2"/>
      <c r="C5111" s="26"/>
      <c r="D5111" s="26"/>
      <c r="F5111" s="85" t="str">
        <f t="shared" si="0"/>
        <v/>
      </c>
      <c r="G5111" s="1" t="e">
        <f>IF(VALUE(F5111) = VALUE(RIGHT(Insights!$C$3, 4)), E5111, "")</f>
        <v>#VALUE!</v>
      </c>
      <c r="H5111" s="26" t="e">
        <f t="shared" si="1"/>
        <v>#VALUE!</v>
      </c>
      <c r="I5111" s="1" t="e">
        <f t="shared" si="2"/>
        <v>#VALUE!</v>
      </c>
    </row>
    <row r="5112" spans="1:9" ht="15.75" customHeight="1">
      <c r="A5112" s="26"/>
      <c r="B5112" s="2"/>
      <c r="C5112" s="26"/>
      <c r="D5112" s="26"/>
      <c r="F5112" s="85" t="str">
        <f t="shared" si="0"/>
        <v/>
      </c>
      <c r="G5112" s="1" t="e">
        <f>IF(VALUE(F5112) = VALUE(RIGHT(Insights!$C$3, 4)), E5112, "")</f>
        <v>#VALUE!</v>
      </c>
      <c r="H5112" s="26" t="e">
        <f t="shared" si="1"/>
        <v>#VALUE!</v>
      </c>
      <c r="I5112" s="1" t="e">
        <f t="shared" si="2"/>
        <v>#VALUE!</v>
      </c>
    </row>
    <row r="5113" spans="1:9" ht="15.75" customHeight="1">
      <c r="A5113" s="26"/>
      <c r="B5113" s="2"/>
      <c r="C5113" s="26"/>
      <c r="D5113" s="26"/>
      <c r="F5113" s="85" t="str">
        <f t="shared" si="0"/>
        <v/>
      </c>
      <c r="G5113" s="1" t="e">
        <f>IF(VALUE(F5113) = VALUE(RIGHT(Insights!$C$3, 4)), E5113, "")</f>
        <v>#VALUE!</v>
      </c>
      <c r="H5113" s="26" t="e">
        <f t="shared" si="1"/>
        <v>#VALUE!</v>
      </c>
      <c r="I5113" s="1" t="e">
        <f t="shared" si="2"/>
        <v>#VALUE!</v>
      </c>
    </row>
    <row r="5114" spans="1:9" ht="15.75" customHeight="1">
      <c r="A5114" s="26"/>
      <c r="B5114" s="2"/>
      <c r="C5114" s="26"/>
      <c r="D5114" s="26"/>
      <c r="F5114" s="85" t="str">
        <f t="shared" si="0"/>
        <v/>
      </c>
      <c r="G5114" s="1" t="e">
        <f>IF(VALUE(F5114) = VALUE(RIGHT(Insights!$C$3, 4)), E5114, "")</f>
        <v>#VALUE!</v>
      </c>
      <c r="H5114" s="26" t="e">
        <f t="shared" si="1"/>
        <v>#VALUE!</v>
      </c>
      <c r="I5114" s="1" t="e">
        <f t="shared" si="2"/>
        <v>#VALUE!</v>
      </c>
    </row>
    <row r="5115" spans="1:9" ht="15.75" customHeight="1">
      <c r="A5115" s="26"/>
      <c r="B5115" s="2"/>
      <c r="C5115" s="26"/>
      <c r="D5115" s="26"/>
      <c r="F5115" s="85" t="str">
        <f t="shared" si="0"/>
        <v/>
      </c>
      <c r="G5115" s="1" t="e">
        <f>IF(VALUE(F5115) = VALUE(RIGHT(Insights!$C$3, 4)), E5115, "")</f>
        <v>#VALUE!</v>
      </c>
      <c r="H5115" s="26" t="e">
        <f t="shared" si="1"/>
        <v>#VALUE!</v>
      </c>
      <c r="I5115" s="1" t="e">
        <f t="shared" si="2"/>
        <v>#VALUE!</v>
      </c>
    </row>
    <row r="5116" spans="1:9" ht="15.75" customHeight="1">
      <c r="A5116" s="26"/>
      <c r="B5116" s="2"/>
      <c r="C5116" s="26"/>
      <c r="D5116" s="26"/>
      <c r="F5116" s="85" t="str">
        <f t="shared" si="0"/>
        <v/>
      </c>
      <c r="G5116" s="1" t="e">
        <f>IF(VALUE(F5116) = VALUE(RIGHT(Insights!$C$3, 4)), E5116, "")</f>
        <v>#VALUE!</v>
      </c>
      <c r="H5116" s="26" t="e">
        <f t="shared" si="1"/>
        <v>#VALUE!</v>
      </c>
      <c r="I5116" s="1" t="e">
        <f t="shared" si="2"/>
        <v>#VALUE!</v>
      </c>
    </row>
    <row r="5117" spans="1:9" ht="15.75" customHeight="1">
      <c r="A5117" s="26"/>
      <c r="B5117" s="2"/>
      <c r="C5117" s="26"/>
      <c r="D5117" s="26"/>
      <c r="F5117" s="85" t="str">
        <f t="shared" si="0"/>
        <v/>
      </c>
      <c r="G5117" s="1" t="e">
        <f>IF(VALUE(F5117) = VALUE(RIGHT(Insights!$C$3, 4)), E5117, "")</f>
        <v>#VALUE!</v>
      </c>
      <c r="H5117" s="26" t="e">
        <f t="shared" si="1"/>
        <v>#VALUE!</v>
      </c>
      <c r="I5117" s="1" t="e">
        <f t="shared" si="2"/>
        <v>#VALUE!</v>
      </c>
    </row>
    <row r="5118" spans="1:9" ht="15.75" customHeight="1">
      <c r="A5118" s="26"/>
      <c r="B5118" s="2"/>
      <c r="C5118" s="26"/>
      <c r="D5118" s="26"/>
      <c r="F5118" s="85" t="str">
        <f t="shared" si="0"/>
        <v/>
      </c>
      <c r="G5118" s="1" t="e">
        <f>IF(VALUE(F5118) = VALUE(RIGHT(Insights!$C$3, 4)), E5118, "")</f>
        <v>#VALUE!</v>
      </c>
      <c r="H5118" s="26" t="e">
        <f t="shared" si="1"/>
        <v>#VALUE!</v>
      </c>
      <c r="I5118" s="1" t="e">
        <f t="shared" si="2"/>
        <v>#VALUE!</v>
      </c>
    </row>
    <row r="5119" spans="1:9" ht="15.75" customHeight="1">
      <c r="A5119" s="26"/>
      <c r="B5119" s="2"/>
      <c r="C5119" s="26"/>
      <c r="D5119" s="26"/>
      <c r="F5119" s="85" t="str">
        <f t="shared" si="0"/>
        <v/>
      </c>
      <c r="G5119" s="1" t="e">
        <f>IF(VALUE(F5119) = VALUE(RIGHT(Insights!$C$3, 4)), E5119, "")</f>
        <v>#VALUE!</v>
      </c>
      <c r="H5119" s="26" t="e">
        <f t="shared" si="1"/>
        <v>#VALUE!</v>
      </c>
      <c r="I5119" s="1" t="e">
        <f t="shared" si="2"/>
        <v>#VALUE!</v>
      </c>
    </row>
    <row r="5120" spans="1:9" ht="15.75" customHeight="1">
      <c r="A5120" s="26"/>
      <c r="B5120" s="2"/>
      <c r="C5120" s="26"/>
      <c r="D5120" s="26"/>
      <c r="F5120" s="85" t="str">
        <f t="shared" si="0"/>
        <v/>
      </c>
      <c r="G5120" s="1" t="e">
        <f>IF(VALUE(F5120) = VALUE(RIGHT(Insights!$C$3, 4)), E5120, "")</f>
        <v>#VALUE!</v>
      </c>
      <c r="H5120" s="26" t="e">
        <f t="shared" si="1"/>
        <v>#VALUE!</v>
      </c>
      <c r="I5120" s="1" t="e">
        <f t="shared" si="2"/>
        <v>#VALUE!</v>
      </c>
    </row>
    <row r="5121" spans="1:9" ht="15.75" customHeight="1">
      <c r="A5121" s="26"/>
      <c r="B5121" s="2"/>
      <c r="C5121" s="26"/>
      <c r="D5121" s="26"/>
      <c r="F5121" s="85" t="str">
        <f t="shared" si="0"/>
        <v/>
      </c>
      <c r="G5121" s="1" t="e">
        <f>IF(VALUE(F5121) = VALUE(RIGHT(Insights!$C$3, 4)), E5121, "")</f>
        <v>#VALUE!</v>
      </c>
      <c r="H5121" s="26" t="e">
        <f t="shared" si="1"/>
        <v>#VALUE!</v>
      </c>
      <c r="I5121" s="1" t="e">
        <f t="shared" si="2"/>
        <v>#VALUE!</v>
      </c>
    </row>
    <row r="5122" spans="1:9" ht="15.75" customHeight="1">
      <c r="A5122" s="26"/>
      <c r="B5122" s="2"/>
      <c r="C5122" s="26"/>
      <c r="D5122" s="26"/>
      <c r="F5122" s="85" t="str">
        <f t="shared" si="0"/>
        <v/>
      </c>
      <c r="G5122" s="1" t="e">
        <f>IF(VALUE(F5122) = VALUE(RIGHT(Insights!$C$3, 4)), E5122, "")</f>
        <v>#VALUE!</v>
      </c>
      <c r="H5122" s="26" t="e">
        <f t="shared" si="1"/>
        <v>#VALUE!</v>
      </c>
      <c r="I5122" s="1" t="e">
        <f t="shared" si="2"/>
        <v>#VALUE!</v>
      </c>
    </row>
    <row r="5123" spans="1:9" ht="15.75" customHeight="1">
      <c r="A5123" s="26"/>
      <c r="B5123" s="2"/>
      <c r="C5123" s="26"/>
      <c r="D5123" s="26"/>
      <c r="F5123" s="85" t="str">
        <f t="shared" si="0"/>
        <v/>
      </c>
      <c r="G5123" s="1" t="e">
        <f>IF(VALUE(F5123) = VALUE(RIGHT(Insights!$C$3, 4)), E5123, "")</f>
        <v>#VALUE!</v>
      </c>
      <c r="H5123" s="26" t="e">
        <f t="shared" si="1"/>
        <v>#VALUE!</v>
      </c>
      <c r="I5123" s="1" t="e">
        <f t="shared" si="2"/>
        <v>#VALUE!</v>
      </c>
    </row>
    <row r="5124" spans="1:9" ht="15.75" customHeight="1">
      <c r="A5124" s="26"/>
      <c r="B5124" s="2"/>
      <c r="C5124" s="26"/>
      <c r="D5124" s="26"/>
      <c r="F5124" s="85" t="str">
        <f t="shared" si="0"/>
        <v/>
      </c>
      <c r="G5124" s="1" t="e">
        <f>IF(VALUE(F5124) = VALUE(RIGHT(Insights!$C$3, 4)), E5124, "")</f>
        <v>#VALUE!</v>
      </c>
      <c r="H5124" s="26" t="e">
        <f t="shared" si="1"/>
        <v>#VALUE!</v>
      </c>
      <c r="I5124" s="1" t="e">
        <f t="shared" si="2"/>
        <v>#VALUE!</v>
      </c>
    </row>
    <row r="5125" spans="1:9" ht="15.75" customHeight="1">
      <c r="A5125" s="26"/>
      <c r="B5125" s="2"/>
      <c r="C5125" s="26"/>
      <c r="D5125" s="26"/>
      <c r="F5125" s="85" t="str">
        <f t="shared" si="0"/>
        <v/>
      </c>
      <c r="G5125" s="1" t="e">
        <f>IF(VALUE(F5125) = VALUE(RIGHT(Insights!$C$3, 4)), E5125, "")</f>
        <v>#VALUE!</v>
      </c>
      <c r="H5125" s="26" t="e">
        <f t="shared" si="1"/>
        <v>#VALUE!</v>
      </c>
      <c r="I5125" s="1" t="e">
        <f t="shared" si="2"/>
        <v>#VALUE!</v>
      </c>
    </row>
    <row r="5126" spans="1:9" ht="15.75" customHeight="1">
      <c r="A5126" s="26"/>
      <c r="B5126" s="2"/>
      <c r="C5126" s="26"/>
      <c r="D5126" s="26"/>
      <c r="F5126" s="85" t="str">
        <f t="shared" si="0"/>
        <v/>
      </c>
      <c r="G5126" s="1" t="e">
        <f>IF(VALUE(F5126) = VALUE(RIGHT(Insights!$C$3, 4)), E5126, "")</f>
        <v>#VALUE!</v>
      </c>
      <c r="H5126" s="26" t="e">
        <f t="shared" si="1"/>
        <v>#VALUE!</v>
      </c>
      <c r="I5126" s="1" t="e">
        <f t="shared" si="2"/>
        <v>#VALUE!</v>
      </c>
    </row>
    <row r="5127" spans="1:9" ht="15.75" customHeight="1">
      <c r="A5127" s="26"/>
      <c r="B5127" s="2"/>
      <c r="C5127" s="26"/>
      <c r="D5127" s="26"/>
      <c r="F5127" s="85" t="str">
        <f t="shared" si="0"/>
        <v/>
      </c>
      <c r="G5127" s="1" t="e">
        <f>IF(VALUE(F5127) = VALUE(RIGHT(Insights!$C$3, 4)), E5127, "")</f>
        <v>#VALUE!</v>
      </c>
      <c r="H5127" s="26" t="e">
        <f t="shared" si="1"/>
        <v>#VALUE!</v>
      </c>
      <c r="I5127" s="1" t="e">
        <f t="shared" si="2"/>
        <v>#VALUE!</v>
      </c>
    </row>
    <row r="5128" spans="1:9" ht="15.75" customHeight="1">
      <c r="A5128" s="26"/>
      <c r="B5128" s="2"/>
      <c r="C5128" s="26"/>
      <c r="D5128" s="26"/>
      <c r="F5128" s="85" t="str">
        <f t="shared" si="0"/>
        <v/>
      </c>
      <c r="G5128" s="1" t="e">
        <f>IF(VALUE(F5128) = VALUE(RIGHT(Insights!$C$3, 4)), E5128, "")</f>
        <v>#VALUE!</v>
      </c>
      <c r="H5128" s="26" t="e">
        <f t="shared" si="1"/>
        <v>#VALUE!</v>
      </c>
      <c r="I5128" s="1" t="e">
        <f t="shared" si="2"/>
        <v>#VALUE!</v>
      </c>
    </row>
    <row r="5129" spans="1:9" ht="15.75" customHeight="1">
      <c r="A5129" s="26"/>
      <c r="B5129" s="2"/>
      <c r="C5129" s="26"/>
      <c r="D5129" s="26"/>
      <c r="F5129" s="85" t="str">
        <f t="shared" si="0"/>
        <v/>
      </c>
      <c r="G5129" s="1" t="e">
        <f>IF(VALUE(F5129) = VALUE(RIGHT(Insights!$C$3, 4)), E5129, "")</f>
        <v>#VALUE!</v>
      </c>
      <c r="H5129" s="26" t="e">
        <f t="shared" si="1"/>
        <v>#VALUE!</v>
      </c>
      <c r="I5129" s="1" t="e">
        <f t="shared" si="2"/>
        <v>#VALUE!</v>
      </c>
    </row>
    <row r="5130" spans="1:9" ht="15.75" customHeight="1">
      <c r="A5130" s="26"/>
      <c r="B5130" s="2"/>
      <c r="C5130" s="26"/>
      <c r="D5130" s="26"/>
      <c r="F5130" s="85" t="str">
        <f t="shared" si="0"/>
        <v/>
      </c>
      <c r="G5130" s="1" t="e">
        <f>IF(VALUE(F5130) = VALUE(RIGHT(Insights!$C$3, 4)), E5130, "")</f>
        <v>#VALUE!</v>
      </c>
      <c r="H5130" s="26" t="e">
        <f t="shared" si="1"/>
        <v>#VALUE!</v>
      </c>
      <c r="I5130" s="1" t="e">
        <f t="shared" si="2"/>
        <v>#VALUE!</v>
      </c>
    </row>
    <row r="5131" spans="1:9" ht="15.75" customHeight="1">
      <c r="A5131" s="26"/>
      <c r="B5131" s="2"/>
      <c r="C5131" s="26"/>
      <c r="D5131" s="26"/>
      <c r="F5131" s="85" t="str">
        <f t="shared" si="0"/>
        <v/>
      </c>
      <c r="G5131" s="1" t="e">
        <f>IF(VALUE(F5131) = VALUE(RIGHT(Insights!$C$3, 4)), E5131, "")</f>
        <v>#VALUE!</v>
      </c>
      <c r="H5131" s="26" t="e">
        <f t="shared" si="1"/>
        <v>#VALUE!</v>
      </c>
      <c r="I5131" s="1" t="e">
        <f t="shared" si="2"/>
        <v>#VALUE!</v>
      </c>
    </row>
    <row r="5132" spans="1:9" ht="15.75" customHeight="1">
      <c r="A5132" s="26"/>
      <c r="B5132" s="2"/>
      <c r="C5132" s="26"/>
      <c r="D5132" s="26"/>
      <c r="F5132" s="85" t="str">
        <f t="shared" si="0"/>
        <v/>
      </c>
      <c r="G5132" s="1" t="e">
        <f>IF(VALUE(F5132) = VALUE(RIGHT(Insights!$C$3, 4)), E5132, "")</f>
        <v>#VALUE!</v>
      </c>
      <c r="H5132" s="26" t="e">
        <f t="shared" si="1"/>
        <v>#VALUE!</v>
      </c>
      <c r="I5132" s="1" t="e">
        <f t="shared" si="2"/>
        <v>#VALUE!</v>
      </c>
    </row>
    <row r="5133" spans="1:9" ht="15.75" customHeight="1">
      <c r="A5133" s="26"/>
      <c r="B5133" s="2"/>
      <c r="C5133" s="26"/>
      <c r="D5133" s="26"/>
      <c r="F5133" s="85" t="str">
        <f t="shared" si="0"/>
        <v/>
      </c>
      <c r="G5133" s="1" t="e">
        <f>IF(VALUE(F5133) = VALUE(RIGHT(Insights!$C$3, 4)), E5133, "")</f>
        <v>#VALUE!</v>
      </c>
      <c r="H5133" s="26" t="e">
        <f t="shared" si="1"/>
        <v>#VALUE!</v>
      </c>
      <c r="I5133" s="1" t="e">
        <f t="shared" si="2"/>
        <v>#VALUE!</v>
      </c>
    </row>
    <row r="5134" spans="1:9" ht="15.75" customHeight="1">
      <c r="A5134" s="26"/>
      <c r="B5134" s="2"/>
      <c r="C5134" s="26"/>
      <c r="D5134" s="26"/>
      <c r="F5134" s="85" t="str">
        <f t="shared" si="0"/>
        <v/>
      </c>
      <c r="G5134" s="1" t="e">
        <f>IF(VALUE(F5134) = VALUE(RIGHT(Insights!$C$3, 4)), E5134, "")</f>
        <v>#VALUE!</v>
      </c>
      <c r="H5134" s="26" t="e">
        <f t="shared" si="1"/>
        <v>#VALUE!</v>
      </c>
      <c r="I5134" s="1" t="e">
        <f t="shared" si="2"/>
        <v>#VALUE!</v>
      </c>
    </row>
    <row r="5135" spans="1:9" ht="15.75" customHeight="1">
      <c r="A5135" s="26"/>
      <c r="B5135" s="2"/>
      <c r="C5135" s="26"/>
      <c r="D5135" s="26"/>
      <c r="F5135" s="85" t="str">
        <f t="shared" si="0"/>
        <v/>
      </c>
      <c r="G5135" s="1" t="e">
        <f>IF(VALUE(F5135) = VALUE(RIGHT(Insights!$C$3, 4)), E5135, "")</f>
        <v>#VALUE!</v>
      </c>
      <c r="H5135" s="26" t="e">
        <f t="shared" si="1"/>
        <v>#VALUE!</v>
      </c>
      <c r="I5135" s="1" t="e">
        <f t="shared" si="2"/>
        <v>#VALUE!</v>
      </c>
    </row>
    <row r="5136" spans="1:9" ht="15.75" customHeight="1">
      <c r="A5136" s="26"/>
      <c r="B5136" s="2"/>
      <c r="C5136" s="26"/>
      <c r="D5136" s="26"/>
      <c r="F5136" s="85" t="str">
        <f t="shared" si="0"/>
        <v/>
      </c>
      <c r="G5136" s="1" t="e">
        <f>IF(VALUE(F5136) = VALUE(RIGHT(Insights!$C$3, 4)), E5136, "")</f>
        <v>#VALUE!</v>
      </c>
      <c r="H5136" s="26" t="e">
        <f t="shared" si="1"/>
        <v>#VALUE!</v>
      </c>
      <c r="I5136" s="1" t="e">
        <f t="shared" si="2"/>
        <v>#VALUE!</v>
      </c>
    </row>
    <row r="5137" spans="1:9" ht="15.75" customHeight="1">
      <c r="A5137" s="26"/>
      <c r="B5137" s="2"/>
      <c r="C5137" s="26"/>
      <c r="D5137" s="26"/>
      <c r="F5137" s="85" t="str">
        <f t="shared" si="0"/>
        <v/>
      </c>
      <c r="G5137" s="1" t="e">
        <f>IF(VALUE(F5137) = VALUE(RIGHT(Insights!$C$3, 4)), E5137, "")</f>
        <v>#VALUE!</v>
      </c>
      <c r="H5137" s="26" t="e">
        <f t="shared" si="1"/>
        <v>#VALUE!</v>
      </c>
      <c r="I5137" s="1" t="e">
        <f t="shared" si="2"/>
        <v>#VALUE!</v>
      </c>
    </row>
    <row r="5138" spans="1:9" ht="15.75" customHeight="1">
      <c r="A5138" s="26"/>
      <c r="B5138" s="2"/>
      <c r="C5138" s="26"/>
      <c r="D5138" s="26"/>
      <c r="F5138" s="85" t="str">
        <f t="shared" si="0"/>
        <v/>
      </c>
      <c r="G5138" s="1" t="e">
        <f>IF(VALUE(F5138) = VALUE(RIGHT(Insights!$C$3, 4)), E5138, "")</f>
        <v>#VALUE!</v>
      </c>
      <c r="H5138" s="26" t="e">
        <f t="shared" si="1"/>
        <v>#VALUE!</v>
      </c>
      <c r="I5138" s="1" t="e">
        <f t="shared" si="2"/>
        <v>#VALUE!</v>
      </c>
    </row>
    <row r="5139" spans="1:9" ht="15.75" customHeight="1">
      <c r="A5139" s="26"/>
      <c r="B5139" s="2"/>
      <c r="C5139" s="26"/>
      <c r="D5139" s="26"/>
      <c r="F5139" s="85" t="str">
        <f t="shared" si="0"/>
        <v/>
      </c>
      <c r="G5139" s="1" t="e">
        <f>IF(VALUE(F5139) = VALUE(RIGHT(Insights!$C$3, 4)), E5139, "")</f>
        <v>#VALUE!</v>
      </c>
      <c r="H5139" s="26" t="e">
        <f t="shared" si="1"/>
        <v>#VALUE!</v>
      </c>
      <c r="I5139" s="1" t="e">
        <f t="shared" si="2"/>
        <v>#VALUE!</v>
      </c>
    </row>
    <row r="5140" spans="1:9" ht="15.75" customHeight="1">
      <c r="A5140" s="26"/>
      <c r="B5140" s="2"/>
      <c r="C5140" s="26"/>
      <c r="D5140" s="26"/>
      <c r="F5140" s="85" t="str">
        <f t="shared" si="0"/>
        <v/>
      </c>
      <c r="G5140" s="1" t="e">
        <f>IF(VALUE(F5140) = VALUE(RIGHT(Insights!$C$3, 4)), E5140, "")</f>
        <v>#VALUE!</v>
      </c>
      <c r="H5140" s="26" t="e">
        <f t="shared" si="1"/>
        <v>#VALUE!</v>
      </c>
      <c r="I5140" s="1" t="e">
        <f t="shared" si="2"/>
        <v>#VALUE!</v>
      </c>
    </row>
    <row r="5141" spans="1:9" ht="15.75" customHeight="1">
      <c r="A5141" s="26"/>
      <c r="B5141" s="2"/>
      <c r="C5141" s="26"/>
      <c r="D5141" s="26"/>
      <c r="F5141" s="85" t="str">
        <f t="shared" si="0"/>
        <v/>
      </c>
      <c r="G5141" s="1" t="e">
        <f>IF(VALUE(F5141) = VALUE(RIGHT(Insights!$C$3, 4)), E5141, "")</f>
        <v>#VALUE!</v>
      </c>
      <c r="H5141" s="26" t="e">
        <f t="shared" si="1"/>
        <v>#VALUE!</v>
      </c>
      <c r="I5141" s="1" t="e">
        <f t="shared" si="2"/>
        <v>#VALUE!</v>
      </c>
    </row>
    <row r="5142" spans="1:9" ht="15.75" customHeight="1">
      <c r="A5142" s="26"/>
      <c r="B5142" s="2"/>
      <c r="C5142" s="26"/>
      <c r="D5142" s="26"/>
      <c r="F5142" s="85" t="str">
        <f t="shared" si="0"/>
        <v/>
      </c>
      <c r="G5142" s="1" t="e">
        <f>IF(VALUE(F5142) = VALUE(RIGHT(Insights!$C$3, 4)), E5142, "")</f>
        <v>#VALUE!</v>
      </c>
      <c r="H5142" s="26" t="e">
        <f t="shared" si="1"/>
        <v>#VALUE!</v>
      </c>
      <c r="I5142" s="1" t="e">
        <f t="shared" si="2"/>
        <v>#VALUE!</v>
      </c>
    </row>
    <row r="5143" spans="1:9" ht="15.75" customHeight="1">
      <c r="A5143" s="26"/>
      <c r="B5143" s="2"/>
      <c r="C5143" s="26"/>
      <c r="D5143" s="26"/>
      <c r="F5143" s="85" t="str">
        <f t="shared" si="0"/>
        <v/>
      </c>
      <c r="G5143" s="1" t="e">
        <f>IF(VALUE(F5143) = VALUE(RIGHT(Insights!$C$3, 4)), E5143, "")</f>
        <v>#VALUE!</v>
      </c>
      <c r="H5143" s="26" t="e">
        <f t="shared" si="1"/>
        <v>#VALUE!</v>
      </c>
      <c r="I5143" s="1" t="e">
        <f t="shared" si="2"/>
        <v>#VALUE!</v>
      </c>
    </row>
    <row r="5144" spans="1:9" ht="15.75" customHeight="1">
      <c r="A5144" s="26"/>
      <c r="B5144" s="2"/>
      <c r="C5144" s="26"/>
      <c r="D5144" s="26"/>
      <c r="F5144" s="85" t="str">
        <f t="shared" si="0"/>
        <v/>
      </c>
      <c r="G5144" s="1" t="e">
        <f>IF(VALUE(F5144) = VALUE(RIGHT(Insights!$C$3, 4)), E5144, "")</f>
        <v>#VALUE!</v>
      </c>
      <c r="H5144" s="26" t="e">
        <f t="shared" si="1"/>
        <v>#VALUE!</v>
      </c>
      <c r="I5144" s="1" t="e">
        <f t="shared" si="2"/>
        <v>#VALUE!</v>
      </c>
    </row>
    <row r="5145" spans="1:9" ht="15.75" customHeight="1">
      <c r="A5145" s="26"/>
      <c r="B5145" s="2"/>
      <c r="C5145" s="26"/>
      <c r="D5145" s="26"/>
      <c r="F5145" s="85" t="str">
        <f t="shared" si="0"/>
        <v/>
      </c>
      <c r="G5145" s="1" t="e">
        <f>IF(VALUE(F5145) = VALUE(RIGHT(Insights!$C$3, 4)), E5145, "")</f>
        <v>#VALUE!</v>
      </c>
      <c r="H5145" s="26" t="e">
        <f t="shared" si="1"/>
        <v>#VALUE!</v>
      </c>
      <c r="I5145" s="1" t="e">
        <f t="shared" si="2"/>
        <v>#VALUE!</v>
      </c>
    </row>
    <row r="5146" spans="1:9" ht="15.75" customHeight="1">
      <c r="A5146" s="26"/>
      <c r="B5146" s="2"/>
      <c r="C5146" s="26"/>
      <c r="D5146" s="26"/>
      <c r="F5146" s="85" t="str">
        <f t="shared" si="0"/>
        <v/>
      </c>
      <c r="G5146" s="1" t="e">
        <f>IF(VALUE(F5146) = VALUE(RIGHT(Insights!$C$3, 4)), E5146, "")</f>
        <v>#VALUE!</v>
      </c>
      <c r="H5146" s="26" t="e">
        <f t="shared" si="1"/>
        <v>#VALUE!</v>
      </c>
      <c r="I5146" s="1" t="e">
        <f t="shared" si="2"/>
        <v>#VALUE!</v>
      </c>
    </row>
    <row r="5147" spans="1:9" ht="15.75" customHeight="1">
      <c r="A5147" s="26"/>
      <c r="B5147" s="2"/>
      <c r="C5147" s="26"/>
      <c r="D5147" s="26"/>
      <c r="F5147" s="85" t="str">
        <f t="shared" si="0"/>
        <v/>
      </c>
      <c r="G5147" s="1" t="e">
        <f>IF(VALUE(F5147) = VALUE(RIGHT(Insights!$C$3, 4)), E5147, "")</f>
        <v>#VALUE!</v>
      </c>
      <c r="H5147" s="26" t="e">
        <f t="shared" si="1"/>
        <v>#VALUE!</v>
      </c>
      <c r="I5147" s="1" t="e">
        <f t="shared" si="2"/>
        <v>#VALUE!</v>
      </c>
    </row>
    <row r="5148" spans="1:9" ht="15.75" customHeight="1">
      <c r="A5148" s="26"/>
      <c r="B5148" s="2"/>
      <c r="C5148" s="26"/>
      <c r="D5148" s="26"/>
      <c r="F5148" s="85" t="str">
        <f t="shared" si="0"/>
        <v/>
      </c>
      <c r="G5148" s="1" t="e">
        <f>IF(VALUE(F5148) = VALUE(RIGHT(Insights!$C$3, 4)), E5148, "")</f>
        <v>#VALUE!</v>
      </c>
      <c r="H5148" s="26" t="e">
        <f t="shared" si="1"/>
        <v>#VALUE!</v>
      </c>
      <c r="I5148" s="1" t="e">
        <f t="shared" si="2"/>
        <v>#VALUE!</v>
      </c>
    </row>
    <row r="5149" spans="1:9" ht="15.75" customHeight="1">
      <c r="A5149" s="26"/>
      <c r="B5149" s="2"/>
      <c r="C5149" s="26"/>
      <c r="D5149" s="26"/>
      <c r="F5149" s="85" t="str">
        <f t="shared" si="0"/>
        <v/>
      </c>
      <c r="G5149" s="1" t="e">
        <f>IF(VALUE(F5149) = VALUE(RIGHT(Insights!$C$3, 4)), E5149, "")</f>
        <v>#VALUE!</v>
      </c>
      <c r="H5149" s="26" t="e">
        <f t="shared" si="1"/>
        <v>#VALUE!</v>
      </c>
      <c r="I5149" s="1" t="e">
        <f t="shared" si="2"/>
        <v>#VALUE!</v>
      </c>
    </row>
    <row r="5150" spans="1:9" ht="15.75" customHeight="1">
      <c r="A5150" s="26"/>
      <c r="B5150" s="2"/>
      <c r="C5150" s="26"/>
      <c r="D5150" s="26"/>
      <c r="F5150" s="85" t="str">
        <f t="shared" si="0"/>
        <v/>
      </c>
      <c r="G5150" s="1" t="e">
        <f>IF(VALUE(F5150) = VALUE(RIGHT(Insights!$C$3, 4)), E5150, "")</f>
        <v>#VALUE!</v>
      </c>
      <c r="H5150" s="26" t="e">
        <f t="shared" si="1"/>
        <v>#VALUE!</v>
      </c>
      <c r="I5150" s="1" t="e">
        <f t="shared" si="2"/>
        <v>#VALUE!</v>
      </c>
    </row>
    <row r="5151" spans="1:9" ht="15.75" customHeight="1">
      <c r="A5151" s="26"/>
      <c r="B5151" s="2"/>
      <c r="C5151" s="26"/>
      <c r="D5151" s="26"/>
      <c r="F5151" s="85" t="str">
        <f t="shared" si="0"/>
        <v/>
      </c>
      <c r="G5151" s="1" t="e">
        <f>IF(VALUE(F5151) = VALUE(RIGHT(Insights!$C$3, 4)), E5151, "")</f>
        <v>#VALUE!</v>
      </c>
      <c r="H5151" s="26" t="e">
        <f t="shared" si="1"/>
        <v>#VALUE!</v>
      </c>
      <c r="I5151" s="1" t="e">
        <f t="shared" si="2"/>
        <v>#VALUE!</v>
      </c>
    </row>
    <row r="5152" spans="1:9" ht="15.75" customHeight="1">
      <c r="A5152" s="26"/>
      <c r="B5152" s="2"/>
      <c r="C5152" s="26"/>
      <c r="D5152" s="26"/>
      <c r="F5152" s="85" t="str">
        <f t="shared" si="0"/>
        <v/>
      </c>
      <c r="G5152" s="1" t="e">
        <f>IF(VALUE(F5152) = VALUE(RIGHT(Insights!$C$3, 4)), E5152, "")</f>
        <v>#VALUE!</v>
      </c>
      <c r="H5152" s="26" t="e">
        <f t="shared" si="1"/>
        <v>#VALUE!</v>
      </c>
      <c r="I5152" s="1" t="e">
        <f t="shared" si="2"/>
        <v>#VALUE!</v>
      </c>
    </row>
    <row r="5153" spans="1:9" ht="15.75" customHeight="1">
      <c r="A5153" s="26"/>
      <c r="B5153" s="2"/>
      <c r="C5153" s="26"/>
      <c r="D5153" s="26"/>
      <c r="F5153" s="85" t="str">
        <f t="shared" si="0"/>
        <v/>
      </c>
      <c r="G5153" s="1" t="e">
        <f>IF(VALUE(F5153) = VALUE(RIGHT(Insights!$C$3, 4)), E5153, "")</f>
        <v>#VALUE!</v>
      </c>
      <c r="H5153" s="26" t="e">
        <f t="shared" si="1"/>
        <v>#VALUE!</v>
      </c>
      <c r="I5153" s="1" t="e">
        <f t="shared" si="2"/>
        <v>#VALUE!</v>
      </c>
    </row>
    <row r="5154" spans="1:9" ht="15.75" customHeight="1">
      <c r="A5154" s="26"/>
      <c r="B5154" s="2"/>
      <c r="C5154" s="26"/>
      <c r="D5154" s="26"/>
      <c r="F5154" s="85" t="str">
        <f t="shared" si="0"/>
        <v/>
      </c>
      <c r="G5154" s="1" t="e">
        <f>IF(VALUE(F5154) = VALUE(RIGHT(Insights!$C$3, 4)), E5154, "")</f>
        <v>#VALUE!</v>
      </c>
      <c r="H5154" s="26" t="e">
        <f t="shared" si="1"/>
        <v>#VALUE!</v>
      </c>
      <c r="I5154" s="1" t="e">
        <f t="shared" si="2"/>
        <v>#VALUE!</v>
      </c>
    </row>
    <row r="5155" spans="1:9" ht="15.75" customHeight="1">
      <c r="A5155" s="26"/>
      <c r="B5155" s="2"/>
      <c r="C5155" s="26"/>
      <c r="D5155" s="26"/>
      <c r="F5155" s="85" t="str">
        <f t="shared" si="0"/>
        <v/>
      </c>
      <c r="G5155" s="1" t="e">
        <f>IF(VALUE(F5155) = VALUE(RIGHT(Insights!$C$3, 4)), E5155, "")</f>
        <v>#VALUE!</v>
      </c>
      <c r="H5155" s="26" t="e">
        <f t="shared" si="1"/>
        <v>#VALUE!</v>
      </c>
      <c r="I5155" s="1" t="e">
        <f t="shared" si="2"/>
        <v>#VALUE!</v>
      </c>
    </row>
    <row r="5156" spans="1:9" ht="15.75" customHeight="1">
      <c r="A5156" s="26"/>
      <c r="B5156" s="2"/>
      <c r="C5156" s="26"/>
      <c r="D5156" s="26"/>
      <c r="F5156" s="85" t="str">
        <f t="shared" si="0"/>
        <v/>
      </c>
      <c r="G5156" s="1" t="e">
        <f>IF(VALUE(F5156) = VALUE(RIGHT(Insights!$C$3, 4)), E5156, "")</f>
        <v>#VALUE!</v>
      </c>
      <c r="H5156" s="26" t="e">
        <f t="shared" si="1"/>
        <v>#VALUE!</v>
      </c>
      <c r="I5156" s="1" t="e">
        <f t="shared" si="2"/>
        <v>#VALUE!</v>
      </c>
    </row>
    <row r="5157" spans="1:9" ht="15.75" customHeight="1">
      <c r="A5157" s="26"/>
      <c r="B5157" s="2"/>
      <c r="C5157" s="26"/>
      <c r="D5157" s="26"/>
      <c r="F5157" s="85" t="str">
        <f t="shared" si="0"/>
        <v/>
      </c>
      <c r="G5157" s="1" t="e">
        <f>IF(VALUE(F5157) = VALUE(RIGHT(Insights!$C$3, 4)), E5157, "")</f>
        <v>#VALUE!</v>
      </c>
      <c r="H5157" s="26" t="e">
        <f t="shared" si="1"/>
        <v>#VALUE!</v>
      </c>
      <c r="I5157" s="1" t="e">
        <f t="shared" si="2"/>
        <v>#VALUE!</v>
      </c>
    </row>
    <row r="5158" spans="1:9" ht="15.75" customHeight="1">
      <c r="A5158" s="26"/>
      <c r="B5158" s="2"/>
      <c r="C5158" s="26"/>
      <c r="D5158" s="26"/>
      <c r="F5158" s="85" t="str">
        <f t="shared" si="0"/>
        <v/>
      </c>
      <c r="G5158" s="1" t="e">
        <f>IF(VALUE(F5158) = VALUE(RIGHT(Insights!$C$3, 4)), E5158, "")</f>
        <v>#VALUE!</v>
      </c>
      <c r="H5158" s="26" t="e">
        <f t="shared" si="1"/>
        <v>#VALUE!</v>
      </c>
      <c r="I5158" s="1" t="e">
        <f t="shared" si="2"/>
        <v>#VALUE!</v>
      </c>
    </row>
    <row r="5159" spans="1:9" ht="15.75" customHeight="1">
      <c r="A5159" s="26"/>
      <c r="B5159" s="2"/>
      <c r="C5159" s="26"/>
      <c r="D5159" s="26"/>
      <c r="F5159" s="85" t="str">
        <f t="shared" si="0"/>
        <v/>
      </c>
      <c r="G5159" s="1" t="e">
        <f>IF(VALUE(F5159) = VALUE(RIGHT(Insights!$C$3, 4)), E5159, "")</f>
        <v>#VALUE!</v>
      </c>
      <c r="H5159" s="26" t="e">
        <f t="shared" si="1"/>
        <v>#VALUE!</v>
      </c>
      <c r="I5159" s="1" t="e">
        <f t="shared" si="2"/>
        <v>#VALUE!</v>
      </c>
    </row>
    <row r="5160" spans="1:9" ht="15.75" customHeight="1">
      <c r="A5160" s="26"/>
      <c r="B5160" s="2"/>
      <c r="C5160" s="26"/>
      <c r="D5160" s="26"/>
      <c r="F5160" s="85" t="str">
        <f t="shared" si="0"/>
        <v/>
      </c>
      <c r="G5160" s="1" t="e">
        <f>IF(VALUE(F5160) = VALUE(RIGHT(Insights!$C$3, 4)), E5160, "")</f>
        <v>#VALUE!</v>
      </c>
      <c r="H5160" s="26" t="e">
        <f t="shared" si="1"/>
        <v>#VALUE!</v>
      </c>
      <c r="I5160" s="1" t="e">
        <f t="shared" si="2"/>
        <v>#VALUE!</v>
      </c>
    </row>
    <row r="5161" spans="1:9" ht="15.75" customHeight="1">
      <c r="A5161" s="26"/>
      <c r="B5161" s="2"/>
      <c r="C5161" s="26"/>
      <c r="D5161" s="26"/>
      <c r="F5161" s="85" t="str">
        <f t="shared" si="0"/>
        <v/>
      </c>
      <c r="G5161" s="1" t="e">
        <f>IF(VALUE(F5161) = VALUE(RIGHT(Insights!$C$3, 4)), E5161, "")</f>
        <v>#VALUE!</v>
      </c>
      <c r="H5161" s="26" t="e">
        <f t="shared" si="1"/>
        <v>#VALUE!</v>
      </c>
      <c r="I5161" s="1" t="e">
        <f t="shared" si="2"/>
        <v>#VALUE!</v>
      </c>
    </row>
    <row r="5162" spans="1:9" ht="15.75" customHeight="1">
      <c r="A5162" s="26"/>
      <c r="B5162" s="2"/>
      <c r="C5162" s="26"/>
      <c r="D5162" s="26"/>
      <c r="F5162" s="85" t="str">
        <f t="shared" si="0"/>
        <v/>
      </c>
      <c r="G5162" s="1" t="e">
        <f>IF(VALUE(F5162) = VALUE(RIGHT(Insights!$C$3, 4)), E5162, "")</f>
        <v>#VALUE!</v>
      </c>
      <c r="H5162" s="26" t="e">
        <f t="shared" si="1"/>
        <v>#VALUE!</v>
      </c>
      <c r="I5162" s="1" t="e">
        <f t="shared" si="2"/>
        <v>#VALUE!</v>
      </c>
    </row>
    <row r="5163" spans="1:9" ht="15.75" customHeight="1">
      <c r="A5163" s="26"/>
      <c r="B5163" s="2"/>
      <c r="C5163" s="26"/>
      <c r="D5163" s="26"/>
      <c r="F5163" s="85" t="str">
        <f t="shared" si="0"/>
        <v/>
      </c>
      <c r="G5163" s="1" t="e">
        <f>IF(VALUE(F5163) = VALUE(RIGHT(Insights!$C$3, 4)), E5163, "")</f>
        <v>#VALUE!</v>
      </c>
      <c r="H5163" s="26" t="e">
        <f t="shared" si="1"/>
        <v>#VALUE!</v>
      </c>
      <c r="I5163" s="1" t="e">
        <f t="shared" si="2"/>
        <v>#VALUE!</v>
      </c>
    </row>
    <row r="5164" spans="1:9" ht="15.75" customHeight="1">
      <c r="A5164" s="26"/>
      <c r="B5164" s="2"/>
      <c r="C5164" s="26"/>
      <c r="D5164" s="26"/>
      <c r="F5164" s="85" t="str">
        <f t="shared" si="0"/>
        <v/>
      </c>
      <c r="G5164" s="1" t="e">
        <f>IF(VALUE(F5164) = VALUE(RIGHT(Insights!$C$3, 4)), E5164, "")</f>
        <v>#VALUE!</v>
      </c>
      <c r="H5164" s="26" t="e">
        <f t="shared" si="1"/>
        <v>#VALUE!</v>
      </c>
      <c r="I5164" s="1" t="e">
        <f t="shared" si="2"/>
        <v>#VALUE!</v>
      </c>
    </row>
    <row r="5165" spans="1:9" ht="15.75" customHeight="1">
      <c r="A5165" s="26"/>
      <c r="B5165" s="2"/>
      <c r="C5165" s="26"/>
      <c r="D5165" s="26"/>
      <c r="F5165" s="85" t="str">
        <f t="shared" si="0"/>
        <v/>
      </c>
      <c r="G5165" s="1" t="e">
        <f>IF(VALUE(F5165) = VALUE(RIGHT(Insights!$C$3, 4)), E5165, "")</f>
        <v>#VALUE!</v>
      </c>
      <c r="H5165" s="26" t="e">
        <f t="shared" si="1"/>
        <v>#VALUE!</v>
      </c>
      <c r="I5165" s="1" t="e">
        <f t="shared" si="2"/>
        <v>#VALUE!</v>
      </c>
    </row>
    <row r="5166" spans="1:9" ht="15.75" customHeight="1">
      <c r="A5166" s="26"/>
      <c r="B5166" s="2"/>
      <c r="C5166" s="26"/>
      <c r="D5166" s="26"/>
      <c r="F5166" s="85" t="str">
        <f t="shared" si="0"/>
        <v/>
      </c>
      <c r="G5166" s="1" t="e">
        <f>IF(VALUE(F5166) = VALUE(RIGHT(Insights!$C$3, 4)), E5166, "")</f>
        <v>#VALUE!</v>
      </c>
      <c r="H5166" s="26" t="e">
        <f t="shared" si="1"/>
        <v>#VALUE!</v>
      </c>
      <c r="I5166" s="1" t="e">
        <f t="shared" si="2"/>
        <v>#VALUE!</v>
      </c>
    </row>
    <row r="5167" spans="1:9" ht="15.75" customHeight="1">
      <c r="A5167" s="26"/>
      <c r="B5167" s="2"/>
      <c r="C5167" s="26"/>
      <c r="D5167" s="26"/>
      <c r="F5167" s="85" t="str">
        <f t="shared" si="0"/>
        <v/>
      </c>
      <c r="G5167" s="1" t="e">
        <f>IF(VALUE(F5167) = VALUE(RIGHT(Insights!$C$3, 4)), E5167, "")</f>
        <v>#VALUE!</v>
      </c>
      <c r="H5167" s="26" t="e">
        <f t="shared" si="1"/>
        <v>#VALUE!</v>
      </c>
      <c r="I5167" s="1" t="e">
        <f t="shared" si="2"/>
        <v>#VALUE!</v>
      </c>
    </row>
    <row r="5168" spans="1:9" ht="15.75" customHeight="1">
      <c r="A5168" s="26"/>
      <c r="B5168" s="2"/>
      <c r="C5168" s="26"/>
      <c r="D5168" s="26"/>
      <c r="F5168" s="85" t="str">
        <f t="shared" si="0"/>
        <v/>
      </c>
      <c r="G5168" s="1" t="e">
        <f>IF(VALUE(F5168) = VALUE(RIGHT(Insights!$C$3, 4)), E5168, "")</f>
        <v>#VALUE!</v>
      </c>
      <c r="H5168" s="26" t="e">
        <f t="shared" si="1"/>
        <v>#VALUE!</v>
      </c>
      <c r="I5168" s="1" t="e">
        <f t="shared" si="2"/>
        <v>#VALUE!</v>
      </c>
    </row>
    <row r="5169" spans="1:9" ht="15.75" customHeight="1">
      <c r="A5169" s="26"/>
      <c r="B5169" s="2"/>
      <c r="C5169" s="26"/>
      <c r="D5169" s="26"/>
      <c r="F5169" s="85" t="str">
        <f t="shared" si="0"/>
        <v/>
      </c>
      <c r="G5169" s="1" t="e">
        <f>IF(VALUE(F5169) = VALUE(RIGHT(Insights!$C$3, 4)), E5169, "")</f>
        <v>#VALUE!</v>
      </c>
      <c r="H5169" s="26" t="e">
        <f t="shared" si="1"/>
        <v>#VALUE!</v>
      </c>
      <c r="I5169" s="1" t="e">
        <f t="shared" si="2"/>
        <v>#VALUE!</v>
      </c>
    </row>
    <row r="5170" spans="1:9" ht="15.75" customHeight="1">
      <c r="A5170" s="26"/>
      <c r="B5170" s="2"/>
      <c r="C5170" s="26"/>
      <c r="D5170" s="26"/>
      <c r="F5170" s="85" t="str">
        <f t="shared" si="0"/>
        <v/>
      </c>
      <c r="G5170" s="1" t="e">
        <f>IF(VALUE(F5170) = VALUE(RIGHT(Insights!$C$3, 4)), E5170, "")</f>
        <v>#VALUE!</v>
      </c>
      <c r="H5170" s="26" t="e">
        <f t="shared" si="1"/>
        <v>#VALUE!</v>
      </c>
      <c r="I5170" s="1" t="e">
        <f t="shared" si="2"/>
        <v>#VALUE!</v>
      </c>
    </row>
    <row r="5171" spans="1:9" ht="15.75" customHeight="1">
      <c r="A5171" s="26"/>
      <c r="B5171" s="2"/>
      <c r="C5171" s="26"/>
      <c r="D5171" s="26"/>
      <c r="F5171" s="85" t="str">
        <f t="shared" si="0"/>
        <v/>
      </c>
      <c r="G5171" s="1" t="e">
        <f>IF(VALUE(F5171) = VALUE(RIGHT(Insights!$C$3, 4)), E5171, "")</f>
        <v>#VALUE!</v>
      </c>
      <c r="H5171" s="26" t="e">
        <f t="shared" si="1"/>
        <v>#VALUE!</v>
      </c>
      <c r="I5171" s="1" t="e">
        <f t="shared" si="2"/>
        <v>#VALUE!</v>
      </c>
    </row>
    <row r="5172" spans="1:9" ht="15.75" customHeight="1">
      <c r="A5172" s="26"/>
      <c r="B5172" s="2"/>
      <c r="C5172" s="26"/>
      <c r="D5172" s="26"/>
      <c r="F5172" s="85" t="str">
        <f t="shared" si="0"/>
        <v/>
      </c>
      <c r="G5172" s="1" t="e">
        <f>IF(VALUE(F5172) = VALUE(RIGHT(Insights!$C$3, 4)), E5172, "")</f>
        <v>#VALUE!</v>
      </c>
      <c r="H5172" s="26" t="e">
        <f t="shared" si="1"/>
        <v>#VALUE!</v>
      </c>
      <c r="I5172" s="1" t="e">
        <f t="shared" si="2"/>
        <v>#VALUE!</v>
      </c>
    </row>
    <row r="5173" spans="1:9" ht="15.75" customHeight="1">
      <c r="A5173" s="26"/>
      <c r="B5173" s="2"/>
      <c r="C5173" s="26"/>
      <c r="D5173" s="26"/>
      <c r="F5173" s="85" t="str">
        <f t="shared" si="0"/>
        <v/>
      </c>
      <c r="G5173" s="1" t="e">
        <f>IF(VALUE(F5173) = VALUE(RIGHT(Insights!$C$3, 4)), E5173, "")</f>
        <v>#VALUE!</v>
      </c>
      <c r="H5173" s="26" t="e">
        <f t="shared" si="1"/>
        <v>#VALUE!</v>
      </c>
      <c r="I5173" s="1" t="e">
        <f t="shared" si="2"/>
        <v>#VALUE!</v>
      </c>
    </row>
    <row r="5174" spans="1:9" ht="15.75" customHeight="1">
      <c r="A5174" s="26"/>
      <c r="B5174" s="2"/>
      <c r="C5174" s="26"/>
      <c r="D5174" s="26"/>
      <c r="F5174" s="85" t="str">
        <f t="shared" si="0"/>
        <v/>
      </c>
      <c r="G5174" s="1" t="e">
        <f>IF(VALUE(F5174) = VALUE(RIGHT(Insights!$C$3, 4)), E5174, "")</f>
        <v>#VALUE!</v>
      </c>
      <c r="H5174" s="26" t="e">
        <f t="shared" si="1"/>
        <v>#VALUE!</v>
      </c>
      <c r="I5174" s="1" t="e">
        <f t="shared" si="2"/>
        <v>#VALUE!</v>
      </c>
    </row>
    <row r="5175" spans="1:9" ht="15.75" customHeight="1">
      <c r="A5175" s="26"/>
      <c r="B5175" s="2"/>
      <c r="C5175" s="26"/>
      <c r="D5175" s="26"/>
      <c r="F5175" s="85" t="str">
        <f t="shared" si="0"/>
        <v/>
      </c>
      <c r="G5175" s="1" t="e">
        <f>IF(VALUE(F5175) = VALUE(RIGHT(Insights!$C$3, 4)), E5175, "")</f>
        <v>#VALUE!</v>
      </c>
      <c r="H5175" s="26" t="e">
        <f t="shared" si="1"/>
        <v>#VALUE!</v>
      </c>
      <c r="I5175" s="1" t="e">
        <f t="shared" si="2"/>
        <v>#VALUE!</v>
      </c>
    </row>
    <row r="5176" spans="1:9" ht="15.75" customHeight="1">
      <c r="A5176" s="26"/>
      <c r="B5176" s="2"/>
      <c r="C5176" s="26"/>
      <c r="D5176" s="26"/>
      <c r="F5176" s="85" t="str">
        <f t="shared" si="0"/>
        <v/>
      </c>
      <c r="G5176" s="1" t="e">
        <f>IF(VALUE(F5176) = VALUE(RIGHT(Insights!$C$3, 4)), E5176, "")</f>
        <v>#VALUE!</v>
      </c>
      <c r="H5176" s="26" t="e">
        <f t="shared" si="1"/>
        <v>#VALUE!</v>
      </c>
      <c r="I5176" s="1" t="e">
        <f t="shared" si="2"/>
        <v>#VALUE!</v>
      </c>
    </row>
    <row r="5177" spans="1:9" ht="15.75" customHeight="1">
      <c r="A5177" s="26"/>
      <c r="B5177" s="2"/>
      <c r="C5177" s="26"/>
      <c r="D5177" s="26"/>
      <c r="F5177" s="85" t="str">
        <f t="shared" si="0"/>
        <v/>
      </c>
      <c r="G5177" s="1" t="e">
        <f>IF(VALUE(F5177) = VALUE(RIGHT(Insights!$C$3, 4)), E5177, "")</f>
        <v>#VALUE!</v>
      </c>
      <c r="H5177" s="26" t="e">
        <f t="shared" si="1"/>
        <v>#VALUE!</v>
      </c>
      <c r="I5177" s="1" t="e">
        <f t="shared" si="2"/>
        <v>#VALUE!</v>
      </c>
    </row>
    <row r="5178" spans="1:9" ht="15.75" customHeight="1">
      <c r="A5178" s="26"/>
      <c r="B5178" s="2"/>
      <c r="C5178" s="26"/>
      <c r="D5178" s="26"/>
      <c r="F5178" s="85" t="str">
        <f t="shared" si="0"/>
        <v/>
      </c>
      <c r="G5178" s="1" t="e">
        <f>IF(VALUE(F5178) = VALUE(RIGHT(Insights!$C$3, 4)), E5178, "")</f>
        <v>#VALUE!</v>
      </c>
      <c r="H5178" s="26" t="e">
        <f t="shared" si="1"/>
        <v>#VALUE!</v>
      </c>
      <c r="I5178" s="1" t="e">
        <f t="shared" si="2"/>
        <v>#VALUE!</v>
      </c>
    </row>
    <row r="5179" spans="1:9" ht="15.75" customHeight="1">
      <c r="A5179" s="26"/>
      <c r="B5179" s="2"/>
      <c r="C5179" s="26"/>
      <c r="D5179" s="26"/>
      <c r="F5179" s="85" t="str">
        <f t="shared" si="0"/>
        <v/>
      </c>
      <c r="G5179" s="1" t="e">
        <f>IF(VALUE(F5179) = VALUE(RIGHT(Insights!$C$3, 4)), E5179, "")</f>
        <v>#VALUE!</v>
      </c>
      <c r="H5179" s="26" t="e">
        <f t="shared" si="1"/>
        <v>#VALUE!</v>
      </c>
      <c r="I5179" s="1" t="e">
        <f t="shared" si="2"/>
        <v>#VALUE!</v>
      </c>
    </row>
    <row r="5180" spans="1:9" ht="15.75" customHeight="1">
      <c r="A5180" s="26"/>
      <c r="B5180" s="2"/>
      <c r="C5180" s="26"/>
      <c r="D5180" s="26"/>
      <c r="F5180" s="85" t="str">
        <f t="shared" si="0"/>
        <v/>
      </c>
      <c r="G5180" s="1" t="e">
        <f>IF(VALUE(F5180) = VALUE(RIGHT(Insights!$C$3, 4)), E5180, "")</f>
        <v>#VALUE!</v>
      </c>
      <c r="H5180" s="26" t="e">
        <f t="shared" si="1"/>
        <v>#VALUE!</v>
      </c>
      <c r="I5180" s="1" t="e">
        <f t="shared" si="2"/>
        <v>#VALUE!</v>
      </c>
    </row>
    <row r="5181" spans="1:9" ht="15.75" customHeight="1">
      <c r="A5181" s="26"/>
      <c r="B5181" s="2"/>
      <c r="C5181" s="26"/>
      <c r="D5181" s="26"/>
      <c r="F5181" s="85" t="str">
        <f t="shared" si="0"/>
        <v/>
      </c>
      <c r="G5181" s="1" t="e">
        <f>IF(VALUE(F5181) = VALUE(RIGHT(Insights!$C$3, 4)), E5181, "")</f>
        <v>#VALUE!</v>
      </c>
      <c r="H5181" s="26" t="e">
        <f t="shared" si="1"/>
        <v>#VALUE!</v>
      </c>
      <c r="I5181" s="1" t="e">
        <f t="shared" si="2"/>
        <v>#VALUE!</v>
      </c>
    </row>
    <row r="5182" spans="1:9" ht="15.75" customHeight="1">
      <c r="A5182" s="26"/>
      <c r="B5182" s="2"/>
      <c r="C5182" s="26"/>
      <c r="D5182" s="26"/>
      <c r="F5182" s="85" t="str">
        <f t="shared" si="0"/>
        <v/>
      </c>
      <c r="G5182" s="1" t="e">
        <f>IF(VALUE(F5182) = VALUE(RIGHT(Insights!$C$3, 4)), E5182, "")</f>
        <v>#VALUE!</v>
      </c>
      <c r="H5182" s="26" t="e">
        <f t="shared" si="1"/>
        <v>#VALUE!</v>
      </c>
      <c r="I5182" s="1" t="e">
        <f t="shared" si="2"/>
        <v>#VALUE!</v>
      </c>
    </row>
    <row r="5183" spans="1:9" ht="15.75" customHeight="1">
      <c r="A5183" s="26"/>
      <c r="B5183" s="2"/>
      <c r="C5183" s="26"/>
      <c r="D5183" s="26"/>
      <c r="F5183" s="85" t="str">
        <f t="shared" si="0"/>
        <v/>
      </c>
      <c r="G5183" s="1" t="e">
        <f>IF(VALUE(F5183) = VALUE(RIGHT(Insights!$C$3, 4)), E5183, "")</f>
        <v>#VALUE!</v>
      </c>
      <c r="H5183" s="26" t="e">
        <f t="shared" si="1"/>
        <v>#VALUE!</v>
      </c>
      <c r="I5183" s="1" t="e">
        <f t="shared" si="2"/>
        <v>#VALUE!</v>
      </c>
    </row>
    <row r="5184" spans="1:9" ht="15.75" customHeight="1">
      <c r="A5184" s="26"/>
      <c r="B5184" s="2"/>
      <c r="C5184" s="26"/>
      <c r="D5184" s="26"/>
      <c r="F5184" s="85" t="str">
        <f t="shared" si="0"/>
        <v/>
      </c>
      <c r="G5184" s="1" t="e">
        <f>IF(VALUE(F5184) = VALUE(RIGHT(Insights!$C$3, 4)), E5184, "")</f>
        <v>#VALUE!</v>
      </c>
      <c r="H5184" s="26" t="e">
        <f t="shared" si="1"/>
        <v>#VALUE!</v>
      </c>
      <c r="I5184" s="1" t="e">
        <f t="shared" si="2"/>
        <v>#VALUE!</v>
      </c>
    </row>
    <row r="5185" spans="1:9" ht="15.75" customHeight="1">
      <c r="A5185" s="26"/>
      <c r="B5185" s="2"/>
      <c r="C5185" s="26"/>
      <c r="D5185" s="26"/>
      <c r="F5185" s="85" t="str">
        <f t="shared" si="0"/>
        <v/>
      </c>
      <c r="G5185" s="1" t="e">
        <f>IF(VALUE(F5185) = VALUE(RIGHT(Insights!$C$3, 4)), E5185, "")</f>
        <v>#VALUE!</v>
      </c>
      <c r="H5185" s="26" t="e">
        <f t="shared" si="1"/>
        <v>#VALUE!</v>
      </c>
      <c r="I5185" s="1" t="e">
        <f t="shared" si="2"/>
        <v>#VALUE!</v>
      </c>
    </row>
    <row r="5186" spans="1:9" ht="15.75" customHeight="1">
      <c r="A5186" s="26"/>
      <c r="B5186" s="2"/>
      <c r="C5186" s="26"/>
      <c r="D5186" s="26"/>
      <c r="F5186" s="85" t="str">
        <f t="shared" si="0"/>
        <v/>
      </c>
      <c r="G5186" s="1" t="e">
        <f>IF(VALUE(F5186) = VALUE(RIGHT(Insights!$C$3, 4)), E5186, "")</f>
        <v>#VALUE!</v>
      </c>
      <c r="H5186" s="26" t="e">
        <f t="shared" si="1"/>
        <v>#VALUE!</v>
      </c>
      <c r="I5186" s="1" t="e">
        <f t="shared" si="2"/>
        <v>#VALUE!</v>
      </c>
    </row>
    <row r="5187" spans="1:9" ht="15.75" customHeight="1">
      <c r="A5187" s="26"/>
      <c r="B5187" s="2"/>
      <c r="C5187" s="26"/>
      <c r="D5187" s="26"/>
      <c r="F5187" s="85" t="str">
        <f t="shared" si="0"/>
        <v/>
      </c>
      <c r="G5187" s="1" t="e">
        <f>IF(VALUE(F5187) = VALUE(RIGHT(Insights!$C$3, 4)), E5187, "")</f>
        <v>#VALUE!</v>
      </c>
      <c r="H5187" s="26" t="e">
        <f t="shared" si="1"/>
        <v>#VALUE!</v>
      </c>
      <c r="I5187" s="1" t="e">
        <f t="shared" si="2"/>
        <v>#VALUE!</v>
      </c>
    </row>
    <row r="5188" spans="1:9" ht="15.75" customHeight="1">
      <c r="A5188" s="26"/>
      <c r="B5188" s="2"/>
      <c r="C5188" s="26"/>
      <c r="D5188" s="26"/>
      <c r="F5188" s="85" t="str">
        <f t="shared" si="0"/>
        <v/>
      </c>
      <c r="G5188" s="1" t="e">
        <f>IF(VALUE(F5188) = VALUE(RIGHT(Insights!$C$3, 4)), E5188, "")</f>
        <v>#VALUE!</v>
      </c>
      <c r="H5188" s="26" t="e">
        <f t="shared" si="1"/>
        <v>#VALUE!</v>
      </c>
      <c r="I5188" s="1" t="e">
        <f t="shared" si="2"/>
        <v>#VALUE!</v>
      </c>
    </row>
    <row r="5189" spans="1:9" ht="15.75" customHeight="1">
      <c r="A5189" s="26"/>
      <c r="B5189" s="2"/>
      <c r="C5189" s="26"/>
      <c r="D5189" s="26"/>
      <c r="F5189" s="85" t="str">
        <f t="shared" si="0"/>
        <v/>
      </c>
      <c r="G5189" s="1" t="e">
        <f>IF(VALUE(F5189) = VALUE(RIGHT(Insights!$C$3, 4)), E5189, "")</f>
        <v>#VALUE!</v>
      </c>
      <c r="H5189" s="26" t="e">
        <f t="shared" si="1"/>
        <v>#VALUE!</v>
      </c>
      <c r="I5189" s="1" t="e">
        <f t="shared" si="2"/>
        <v>#VALUE!</v>
      </c>
    </row>
    <row r="5190" spans="1:9" ht="15.75" customHeight="1">
      <c r="A5190" s="26"/>
      <c r="B5190" s="2"/>
      <c r="C5190" s="26"/>
      <c r="D5190" s="26"/>
      <c r="F5190" s="85" t="str">
        <f t="shared" si="0"/>
        <v/>
      </c>
      <c r="G5190" s="1" t="e">
        <f>IF(VALUE(F5190) = VALUE(RIGHT(Insights!$C$3, 4)), E5190, "")</f>
        <v>#VALUE!</v>
      </c>
      <c r="H5190" s="26" t="e">
        <f t="shared" si="1"/>
        <v>#VALUE!</v>
      </c>
      <c r="I5190" s="1" t="e">
        <f t="shared" si="2"/>
        <v>#VALUE!</v>
      </c>
    </row>
    <row r="5191" spans="1:9" ht="15.75" customHeight="1">
      <c r="A5191" s="26"/>
      <c r="B5191" s="2"/>
      <c r="C5191" s="26"/>
      <c r="D5191" s="26"/>
      <c r="F5191" s="85" t="str">
        <f t="shared" si="0"/>
        <v/>
      </c>
      <c r="G5191" s="1" t="e">
        <f>IF(VALUE(F5191) = VALUE(RIGHT(Insights!$C$3, 4)), E5191, "")</f>
        <v>#VALUE!</v>
      </c>
      <c r="H5191" s="26" t="e">
        <f t="shared" si="1"/>
        <v>#VALUE!</v>
      </c>
      <c r="I5191" s="1" t="e">
        <f t="shared" si="2"/>
        <v>#VALUE!</v>
      </c>
    </row>
    <row r="5192" spans="1:9" ht="15.75" customHeight="1">
      <c r="A5192" s="26"/>
      <c r="B5192" s="2"/>
      <c r="C5192" s="26"/>
      <c r="D5192" s="26"/>
      <c r="F5192" s="85" t="str">
        <f t="shared" si="0"/>
        <v/>
      </c>
      <c r="G5192" s="1" t="e">
        <f>IF(VALUE(F5192) = VALUE(RIGHT(Insights!$C$3, 4)), E5192, "")</f>
        <v>#VALUE!</v>
      </c>
      <c r="H5192" s="26" t="e">
        <f t="shared" si="1"/>
        <v>#VALUE!</v>
      </c>
      <c r="I5192" s="1" t="e">
        <f t="shared" si="2"/>
        <v>#VALUE!</v>
      </c>
    </row>
    <row r="5193" spans="1:9" ht="15.75" customHeight="1">
      <c r="A5193" s="26"/>
      <c r="B5193" s="2"/>
      <c r="C5193" s="26"/>
      <c r="D5193" s="26"/>
      <c r="F5193" s="85" t="str">
        <f t="shared" si="0"/>
        <v/>
      </c>
      <c r="G5193" s="1" t="e">
        <f>IF(VALUE(F5193) = VALUE(RIGHT(Insights!$C$3, 4)), E5193, "")</f>
        <v>#VALUE!</v>
      </c>
      <c r="H5193" s="26" t="e">
        <f t="shared" si="1"/>
        <v>#VALUE!</v>
      </c>
      <c r="I5193" s="1" t="e">
        <f t="shared" si="2"/>
        <v>#VALUE!</v>
      </c>
    </row>
    <row r="5194" spans="1:9" ht="15.75" customHeight="1">
      <c r="A5194" s="26"/>
      <c r="B5194" s="2"/>
      <c r="C5194" s="26"/>
      <c r="D5194" s="26"/>
      <c r="F5194" s="85" t="str">
        <f t="shared" si="0"/>
        <v/>
      </c>
      <c r="G5194" s="1" t="e">
        <f>IF(VALUE(F5194) = VALUE(RIGHT(Insights!$C$3, 4)), E5194, "")</f>
        <v>#VALUE!</v>
      </c>
      <c r="H5194" s="26" t="e">
        <f t="shared" si="1"/>
        <v>#VALUE!</v>
      </c>
      <c r="I5194" s="1" t="e">
        <f t="shared" si="2"/>
        <v>#VALUE!</v>
      </c>
    </row>
    <row r="5195" spans="1:9" ht="15.75" customHeight="1">
      <c r="A5195" s="26"/>
      <c r="B5195" s="2"/>
      <c r="C5195" s="26"/>
      <c r="D5195" s="26"/>
      <c r="F5195" s="85" t="str">
        <f t="shared" si="0"/>
        <v/>
      </c>
      <c r="G5195" s="1" t="e">
        <f>IF(VALUE(F5195) = VALUE(RIGHT(Insights!$C$3, 4)), E5195, "")</f>
        <v>#VALUE!</v>
      </c>
      <c r="H5195" s="26" t="e">
        <f t="shared" si="1"/>
        <v>#VALUE!</v>
      </c>
      <c r="I5195" s="1" t="e">
        <f t="shared" si="2"/>
        <v>#VALUE!</v>
      </c>
    </row>
    <row r="5196" spans="1:9" ht="15.75" customHeight="1">
      <c r="A5196" s="26"/>
      <c r="B5196" s="2"/>
      <c r="C5196" s="26"/>
      <c r="D5196" s="26"/>
      <c r="F5196" s="85" t="str">
        <f t="shared" si="0"/>
        <v/>
      </c>
      <c r="G5196" s="1" t="e">
        <f>IF(VALUE(F5196) = VALUE(RIGHT(Insights!$C$3, 4)), E5196, "")</f>
        <v>#VALUE!</v>
      </c>
      <c r="H5196" s="26" t="e">
        <f t="shared" si="1"/>
        <v>#VALUE!</v>
      </c>
      <c r="I5196" s="1" t="e">
        <f t="shared" si="2"/>
        <v>#VALUE!</v>
      </c>
    </row>
    <row r="5197" spans="1:9" ht="15.75" customHeight="1">
      <c r="A5197" s="26"/>
      <c r="B5197" s="2"/>
      <c r="C5197" s="26"/>
      <c r="D5197" s="26"/>
      <c r="F5197" s="85" t="str">
        <f t="shared" si="0"/>
        <v/>
      </c>
      <c r="G5197" s="1" t="e">
        <f>IF(VALUE(F5197) = VALUE(RIGHT(Insights!$C$3, 4)), E5197, "")</f>
        <v>#VALUE!</v>
      </c>
      <c r="H5197" s="26" t="e">
        <f t="shared" si="1"/>
        <v>#VALUE!</v>
      </c>
      <c r="I5197" s="1" t="e">
        <f t="shared" si="2"/>
        <v>#VALUE!</v>
      </c>
    </row>
    <row r="5198" spans="1:9" ht="15.75" customHeight="1">
      <c r="A5198" s="26"/>
      <c r="B5198" s="2"/>
      <c r="C5198" s="26"/>
      <c r="D5198" s="26"/>
      <c r="F5198" s="85" t="str">
        <f t="shared" si="0"/>
        <v/>
      </c>
      <c r="G5198" s="1" t="e">
        <f>IF(VALUE(F5198) = VALUE(RIGHT(Insights!$C$3, 4)), E5198, "")</f>
        <v>#VALUE!</v>
      </c>
      <c r="H5198" s="26" t="e">
        <f t="shared" si="1"/>
        <v>#VALUE!</v>
      </c>
      <c r="I5198" s="1" t="e">
        <f t="shared" si="2"/>
        <v>#VALUE!</v>
      </c>
    </row>
    <row r="5199" spans="1:9" ht="15.75" customHeight="1">
      <c r="A5199" s="26"/>
      <c r="B5199" s="2"/>
      <c r="C5199" s="26"/>
      <c r="D5199" s="26"/>
      <c r="F5199" s="85" t="str">
        <f t="shared" si="0"/>
        <v/>
      </c>
      <c r="G5199" s="1" t="e">
        <f>IF(VALUE(F5199) = VALUE(RIGHT(Insights!$C$3, 4)), E5199, "")</f>
        <v>#VALUE!</v>
      </c>
      <c r="H5199" s="26" t="e">
        <f t="shared" si="1"/>
        <v>#VALUE!</v>
      </c>
      <c r="I5199" s="1" t="e">
        <f t="shared" si="2"/>
        <v>#VALUE!</v>
      </c>
    </row>
    <row r="5200" spans="1:9" ht="15.75" customHeight="1">
      <c r="A5200" s="26"/>
      <c r="B5200" s="2"/>
      <c r="C5200" s="26"/>
      <c r="D5200" s="26"/>
      <c r="F5200" s="85" t="str">
        <f t="shared" si="0"/>
        <v/>
      </c>
      <c r="G5200" s="1" t="e">
        <f>IF(VALUE(F5200) = VALUE(RIGHT(Insights!$C$3, 4)), E5200, "")</f>
        <v>#VALUE!</v>
      </c>
      <c r="H5200" s="26" t="e">
        <f t="shared" si="1"/>
        <v>#VALUE!</v>
      </c>
      <c r="I5200" s="1" t="e">
        <f t="shared" si="2"/>
        <v>#VALUE!</v>
      </c>
    </row>
    <row r="5201" spans="1:9" ht="15.75" customHeight="1">
      <c r="A5201" s="26"/>
      <c r="B5201" s="2"/>
      <c r="C5201" s="26"/>
      <c r="D5201" s="26"/>
      <c r="F5201" s="85" t="str">
        <f t="shared" si="0"/>
        <v/>
      </c>
      <c r="G5201" s="1" t="e">
        <f>IF(VALUE(F5201) = VALUE(RIGHT(Insights!$C$3, 4)), E5201, "")</f>
        <v>#VALUE!</v>
      </c>
      <c r="H5201" s="26" t="e">
        <f t="shared" si="1"/>
        <v>#VALUE!</v>
      </c>
      <c r="I5201" s="1" t="e">
        <f t="shared" si="2"/>
        <v>#VALUE!</v>
      </c>
    </row>
    <row r="5202" spans="1:9" ht="15.75" customHeight="1">
      <c r="A5202" s="26"/>
      <c r="B5202" s="2"/>
      <c r="C5202" s="26"/>
      <c r="D5202" s="26"/>
      <c r="F5202" s="85" t="str">
        <f t="shared" si="0"/>
        <v/>
      </c>
      <c r="G5202" s="1" t="e">
        <f>IF(VALUE(F5202) = VALUE(RIGHT(Insights!$C$3, 4)), E5202, "")</f>
        <v>#VALUE!</v>
      </c>
      <c r="H5202" s="26" t="e">
        <f t="shared" si="1"/>
        <v>#VALUE!</v>
      </c>
      <c r="I5202" s="1" t="e">
        <f t="shared" si="2"/>
        <v>#VALUE!</v>
      </c>
    </row>
    <row r="5203" spans="1:9" ht="15.75" customHeight="1">
      <c r="A5203" s="26"/>
      <c r="B5203" s="2"/>
      <c r="C5203" s="26"/>
      <c r="D5203" s="26"/>
      <c r="F5203" s="85" t="str">
        <f t="shared" si="0"/>
        <v/>
      </c>
      <c r="G5203" s="1" t="e">
        <f>IF(VALUE(F5203) = VALUE(RIGHT(Insights!$C$3, 4)), E5203, "")</f>
        <v>#VALUE!</v>
      </c>
      <c r="H5203" s="26" t="e">
        <f t="shared" si="1"/>
        <v>#VALUE!</v>
      </c>
      <c r="I5203" s="1" t="e">
        <f t="shared" si="2"/>
        <v>#VALUE!</v>
      </c>
    </row>
    <row r="5204" spans="1:9" ht="15.75" customHeight="1">
      <c r="A5204" s="26"/>
      <c r="B5204" s="2"/>
      <c r="C5204" s="26"/>
      <c r="D5204" s="26"/>
      <c r="F5204" s="85" t="str">
        <f t="shared" si="0"/>
        <v/>
      </c>
      <c r="G5204" s="1" t="e">
        <f>IF(VALUE(F5204) = VALUE(RIGHT(Insights!$C$3, 4)), E5204, "")</f>
        <v>#VALUE!</v>
      </c>
      <c r="H5204" s="26" t="e">
        <f t="shared" si="1"/>
        <v>#VALUE!</v>
      </c>
      <c r="I5204" s="1" t="e">
        <f t="shared" si="2"/>
        <v>#VALUE!</v>
      </c>
    </row>
    <row r="5205" spans="1:9" ht="15.75" customHeight="1">
      <c r="A5205" s="26"/>
      <c r="B5205" s="2"/>
      <c r="C5205" s="26"/>
      <c r="D5205" s="26"/>
      <c r="F5205" s="85" t="str">
        <f t="shared" si="0"/>
        <v/>
      </c>
      <c r="G5205" s="1" t="e">
        <f>IF(VALUE(F5205) = VALUE(RIGHT(Insights!$C$3, 4)), E5205, "")</f>
        <v>#VALUE!</v>
      </c>
      <c r="H5205" s="26" t="e">
        <f t="shared" si="1"/>
        <v>#VALUE!</v>
      </c>
      <c r="I5205" s="1" t="e">
        <f t="shared" si="2"/>
        <v>#VALUE!</v>
      </c>
    </row>
    <row r="5206" spans="1:9" ht="15.75" customHeight="1">
      <c r="A5206" s="26"/>
      <c r="B5206" s="2"/>
      <c r="C5206" s="26"/>
      <c r="D5206" s="26"/>
      <c r="F5206" s="85" t="str">
        <f t="shared" si="0"/>
        <v/>
      </c>
      <c r="G5206" s="1" t="e">
        <f>IF(VALUE(F5206) = VALUE(RIGHT(Insights!$C$3, 4)), E5206, "")</f>
        <v>#VALUE!</v>
      </c>
      <c r="H5206" s="26" t="e">
        <f t="shared" si="1"/>
        <v>#VALUE!</v>
      </c>
      <c r="I5206" s="1" t="e">
        <f t="shared" si="2"/>
        <v>#VALUE!</v>
      </c>
    </row>
    <row r="5207" spans="1:9" ht="15.75" customHeight="1">
      <c r="A5207" s="26"/>
      <c r="B5207" s="2"/>
      <c r="C5207" s="26"/>
      <c r="D5207" s="26"/>
      <c r="F5207" s="85" t="str">
        <f t="shared" si="0"/>
        <v/>
      </c>
      <c r="G5207" s="1" t="e">
        <f>IF(VALUE(F5207) = VALUE(RIGHT(Insights!$C$3, 4)), E5207, "")</f>
        <v>#VALUE!</v>
      </c>
      <c r="H5207" s="26" t="e">
        <f t="shared" si="1"/>
        <v>#VALUE!</v>
      </c>
      <c r="I5207" s="1" t="e">
        <f t="shared" si="2"/>
        <v>#VALUE!</v>
      </c>
    </row>
    <row r="5208" spans="1:9" ht="15.75" customHeight="1">
      <c r="A5208" s="26"/>
      <c r="B5208" s="2"/>
      <c r="C5208" s="26"/>
      <c r="D5208" s="26"/>
      <c r="F5208" s="85" t="str">
        <f t="shared" si="0"/>
        <v/>
      </c>
      <c r="G5208" s="1" t="e">
        <f>IF(VALUE(F5208) = VALUE(RIGHT(Insights!$C$3, 4)), E5208, "")</f>
        <v>#VALUE!</v>
      </c>
      <c r="H5208" s="26" t="e">
        <f t="shared" si="1"/>
        <v>#VALUE!</v>
      </c>
      <c r="I5208" s="1" t="e">
        <f t="shared" si="2"/>
        <v>#VALUE!</v>
      </c>
    </row>
    <row r="5209" spans="1:9" ht="15.75" customHeight="1">
      <c r="A5209" s="26"/>
      <c r="B5209" s="2"/>
      <c r="C5209" s="26"/>
      <c r="D5209" s="26"/>
      <c r="F5209" s="85" t="str">
        <f t="shared" si="0"/>
        <v/>
      </c>
      <c r="G5209" s="1" t="e">
        <f>IF(VALUE(F5209) = VALUE(RIGHT(Insights!$C$3, 4)), E5209, "")</f>
        <v>#VALUE!</v>
      </c>
      <c r="H5209" s="26" t="e">
        <f t="shared" si="1"/>
        <v>#VALUE!</v>
      </c>
      <c r="I5209" s="1" t="e">
        <f t="shared" si="2"/>
        <v>#VALUE!</v>
      </c>
    </row>
    <row r="5210" spans="1:9" ht="15.75" customHeight="1">
      <c r="A5210" s="26"/>
      <c r="B5210" s="2"/>
      <c r="C5210" s="26"/>
      <c r="D5210" s="26"/>
      <c r="F5210" s="85" t="str">
        <f t="shared" si="0"/>
        <v/>
      </c>
      <c r="G5210" s="1" t="e">
        <f>IF(VALUE(F5210) = VALUE(RIGHT(Insights!$C$3, 4)), E5210, "")</f>
        <v>#VALUE!</v>
      </c>
      <c r="H5210" s="26" t="e">
        <f t="shared" si="1"/>
        <v>#VALUE!</v>
      </c>
      <c r="I5210" s="1" t="e">
        <f t="shared" si="2"/>
        <v>#VALUE!</v>
      </c>
    </row>
    <row r="5211" spans="1:9" ht="15.75" customHeight="1">
      <c r="A5211" s="26"/>
      <c r="B5211" s="2"/>
      <c r="C5211" s="26"/>
      <c r="D5211" s="26"/>
      <c r="F5211" s="85" t="str">
        <f t="shared" si="0"/>
        <v/>
      </c>
      <c r="G5211" s="1" t="e">
        <f>IF(VALUE(F5211) = VALUE(RIGHT(Insights!$C$3, 4)), E5211, "")</f>
        <v>#VALUE!</v>
      </c>
      <c r="H5211" s="26" t="e">
        <f t="shared" si="1"/>
        <v>#VALUE!</v>
      </c>
      <c r="I5211" s="1" t="e">
        <f t="shared" si="2"/>
        <v>#VALUE!</v>
      </c>
    </row>
    <row r="5212" spans="1:9" ht="15.75" customHeight="1">
      <c r="A5212" s="26"/>
      <c r="B5212" s="2"/>
      <c r="C5212" s="26"/>
      <c r="D5212" s="26"/>
      <c r="F5212" s="85" t="str">
        <f t="shared" si="0"/>
        <v/>
      </c>
      <c r="G5212" s="1" t="e">
        <f>IF(VALUE(F5212) = VALUE(RIGHT(Insights!$C$3, 4)), E5212, "")</f>
        <v>#VALUE!</v>
      </c>
      <c r="H5212" s="26" t="e">
        <f t="shared" si="1"/>
        <v>#VALUE!</v>
      </c>
      <c r="I5212" s="1" t="e">
        <f t="shared" si="2"/>
        <v>#VALUE!</v>
      </c>
    </row>
    <row r="5213" spans="1:9" ht="15.75" customHeight="1">
      <c r="A5213" s="26"/>
      <c r="B5213" s="2"/>
      <c r="C5213" s="26"/>
      <c r="D5213" s="26"/>
      <c r="F5213" s="85" t="str">
        <f t="shared" si="0"/>
        <v/>
      </c>
      <c r="G5213" s="1" t="e">
        <f>IF(VALUE(F5213) = VALUE(RIGHT(Insights!$C$3, 4)), E5213, "")</f>
        <v>#VALUE!</v>
      </c>
      <c r="H5213" s="26" t="e">
        <f t="shared" si="1"/>
        <v>#VALUE!</v>
      </c>
      <c r="I5213" s="1" t="e">
        <f t="shared" si="2"/>
        <v>#VALUE!</v>
      </c>
    </row>
    <row r="5214" spans="1:9" ht="15.75" customHeight="1">
      <c r="A5214" s="26"/>
      <c r="B5214" s="2"/>
      <c r="C5214" s="26"/>
      <c r="D5214" s="26"/>
      <c r="F5214" s="85" t="str">
        <f t="shared" si="0"/>
        <v/>
      </c>
      <c r="G5214" s="1" t="e">
        <f>IF(VALUE(F5214) = VALUE(RIGHT(Insights!$C$3, 4)), E5214, "")</f>
        <v>#VALUE!</v>
      </c>
      <c r="H5214" s="26" t="e">
        <f t="shared" si="1"/>
        <v>#VALUE!</v>
      </c>
      <c r="I5214" s="1" t="e">
        <f t="shared" si="2"/>
        <v>#VALUE!</v>
      </c>
    </row>
    <row r="5215" spans="1:9" ht="15.75" customHeight="1">
      <c r="A5215" s="26"/>
      <c r="B5215" s="2"/>
      <c r="C5215" s="26"/>
      <c r="D5215" s="26"/>
      <c r="F5215" s="85" t="str">
        <f t="shared" si="0"/>
        <v/>
      </c>
      <c r="G5215" s="1" t="e">
        <f>IF(VALUE(F5215) = VALUE(RIGHT(Insights!$C$3, 4)), E5215, "")</f>
        <v>#VALUE!</v>
      </c>
      <c r="H5215" s="26" t="e">
        <f t="shared" si="1"/>
        <v>#VALUE!</v>
      </c>
      <c r="I5215" s="1" t="e">
        <f t="shared" si="2"/>
        <v>#VALUE!</v>
      </c>
    </row>
    <row r="5216" spans="1:9" ht="15.75" customHeight="1">
      <c r="A5216" s="26"/>
      <c r="B5216" s="2"/>
      <c r="C5216" s="26"/>
      <c r="D5216" s="26"/>
      <c r="F5216" s="85" t="str">
        <f t="shared" si="0"/>
        <v/>
      </c>
      <c r="G5216" s="1" t="e">
        <f>IF(VALUE(F5216) = VALUE(RIGHT(Insights!$C$3, 4)), E5216, "")</f>
        <v>#VALUE!</v>
      </c>
      <c r="H5216" s="26" t="e">
        <f t="shared" si="1"/>
        <v>#VALUE!</v>
      </c>
      <c r="I5216" s="1" t="e">
        <f t="shared" si="2"/>
        <v>#VALUE!</v>
      </c>
    </row>
    <row r="5217" spans="1:9" ht="15.75" customHeight="1">
      <c r="A5217" s="26"/>
      <c r="B5217" s="2"/>
      <c r="C5217" s="26"/>
      <c r="D5217" s="26"/>
      <c r="F5217" s="85" t="str">
        <f t="shared" si="0"/>
        <v/>
      </c>
      <c r="G5217" s="1" t="e">
        <f>IF(VALUE(F5217) = VALUE(RIGHT(Insights!$C$3, 4)), E5217, "")</f>
        <v>#VALUE!</v>
      </c>
      <c r="H5217" s="26" t="e">
        <f t="shared" si="1"/>
        <v>#VALUE!</v>
      </c>
      <c r="I5217" s="1" t="e">
        <f t="shared" si="2"/>
        <v>#VALUE!</v>
      </c>
    </row>
    <row r="5218" spans="1:9" ht="15.75" customHeight="1">
      <c r="A5218" s="26"/>
      <c r="B5218" s="2"/>
      <c r="C5218" s="26"/>
      <c r="D5218" s="26"/>
      <c r="F5218" s="85" t="str">
        <f t="shared" si="0"/>
        <v/>
      </c>
      <c r="G5218" s="1" t="e">
        <f>IF(VALUE(F5218) = VALUE(RIGHT(Insights!$C$3, 4)), E5218, "")</f>
        <v>#VALUE!</v>
      </c>
      <c r="H5218" s="26" t="e">
        <f t="shared" si="1"/>
        <v>#VALUE!</v>
      </c>
      <c r="I5218" s="1" t="e">
        <f t="shared" si="2"/>
        <v>#VALUE!</v>
      </c>
    </row>
    <row r="5219" spans="1:9" ht="15.75" customHeight="1">
      <c r="A5219" s="26"/>
      <c r="B5219" s="2"/>
      <c r="C5219" s="26"/>
      <c r="D5219" s="26"/>
      <c r="F5219" s="85" t="str">
        <f t="shared" si="0"/>
        <v/>
      </c>
      <c r="G5219" s="1" t="e">
        <f>IF(VALUE(F5219) = VALUE(RIGHT(Insights!$C$3, 4)), E5219, "")</f>
        <v>#VALUE!</v>
      </c>
      <c r="H5219" s="26" t="e">
        <f t="shared" si="1"/>
        <v>#VALUE!</v>
      </c>
      <c r="I5219" s="1" t="e">
        <f t="shared" si="2"/>
        <v>#VALUE!</v>
      </c>
    </row>
    <row r="5220" spans="1:9" ht="15.75" customHeight="1">
      <c r="A5220" s="26"/>
      <c r="B5220" s="2"/>
      <c r="C5220" s="26"/>
      <c r="D5220" s="26"/>
      <c r="F5220" s="85" t="str">
        <f t="shared" si="0"/>
        <v/>
      </c>
      <c r="G5220" s="1" t="e">
        <f>IF(VALUE(F5220) = VALUE(RIGHT(Insights!$C$3, 4)), E5220, "")</f>
        <v>#VALUE!</v>
      </c>
      <c r="H5220" s="26" t="e">
        <f t="shared" si="1"/>
        <v>#VALUE!</v>
      </c>
      <c r="I5220" s="1" t="e">
        <f t="shared" si="2"/>
        <v>#VALUE!</v>
      </c>
    </row>
    <row r="5221" spans="1:9" ht="15.75" customHeight="1">
      <c r="A5221" s="26"/>
      <c r="B5221" s="2"/>
      <c r="C5221" s="26"/>
      <c r="D5221" s="26"/>
      <c r="F5221" s="85" t="str">
        <f t="shared" si="0"/>
        <v/>
      </c>
      <c r="G5221" s="1" t="e">
        <f>IF(VALUE(F5221) = VALUE(RIGHT(Insights!$C$3, 4)), E5221, "")</f>
        <v>#VALUE!</v>
      </c>
      <c r="H5221" s="26" t="e">
        <f t="shared" si="1"/>
        <v>#VALUE!</v>
      </c>
      <c r="I5221" s="1" t="e">
        <f t="shared" si="2"/>
        <v>#VALUE!</v>
      </c>
    </row>
    <row r="5222" spans="1:9" ht="15.75" customHeight="1">
      <c r="A5222" s="26"/>
      <c r="B5222" s="2"/>
      <c r="C5222" s="26"/>
      <c r="D5222" s="26"/>
      <c r="F5222" s="85" t="str">
        <f t="shared" si="0"/>
        <v/>
      </c>
      <c r="G5222" s="1" t="e">
        <f>IF(VALUE(F5222) = VALUE(RIGHT(Insights!$C$3, 4)), E5222, "")</f>
        <v>#VALUE!</v>
      </c>
      <c r="H5222" s="26" t="e">
        <f t="shared" si="1"/>
        <v>#VALUE!</v>
      </c>
      <c r="I5222" s="1" t="e">
        <f t="shared" si="2"/>
        <v>#VALUE!</v>
      </c>
    </row>
    <row r="5223" spans="1:9" ht="15.75" customHeight="1">
      <c r="A5223" s="26"/>
      <c r="B5223" s="2"/>
      <c r="C5223" s="26"/>
      <c r="D5223" s="26"/>
      <c r="F5223" s="85" t="str">
        <f t="shared" si="0"/>
        <v/>
      </c>
      <c r="G5223" s="1" t="e">
        <f>IF(VALUE(F5223) = VALUE(RIGHT(Insights!$C$3, 4)), E5223, "")</f>
        <v>#VALUE!</v>
      </c>
      <c r="H5223" s="26" t="e">
        <f t="shared" si="1"/>
        <v>#VALUE!</v>
      </c>
      <c r="I5223" s="1" t="e">
        <f t="shared" si="2"/>
        <v>#VALUE!</v>
      </c>
    </row>
    <row r="5224" spans="1:9" ht="15.75" customHeight="1">
      <c r="A5224" s="26"/>
      <c r="B5224" s="2"/>
      <c r="C5224" s="26"/>
      <c r="D5224" s="26"/>
      <c r="F5224" s="85" t="str">
        <f t="shared" si="0"/>
        <v/>
      </c>
      <c r="G5224" s="1" t="e">
        <f>IF(VALUE(F5224) = VALUE(RIGHT(Insights!$C$3, 4)), E5224, "")</f>
        <v>#VALUE!</v>
      </c>
      <c r="H5224" s="26" t="e">
        <f t="shared" si="1"/>
        <v>#VALUE!</v>
      </c>
      <c r="I5224" s="1" t="e">
        <f t="shared" si="2"/>
        <v>#VALUE!</v>
      </c>
    </row>
    <row r="5225" spans="1:9" ht="15.75" customHeight="1">
      <c r="A5225" s="26"/>
      <c r="B5225" s="2"/>
      <c r="C5225" s="26"/>
      <c r="D5225" s="26"/>
      <c r="F5225" s="85" t="str">
        <f t="shared" si="0"/>
        <v/>
      </c>
      <c r="G5225" s="1" t="e">
        <f>IF(VALUE(F5225) = VALUE(RIGHT(Insights!$C$3, 4)), E5225, "")</f>
        <v>#VALUE!</v>
      </c>
      <c r="H5225" s="26" t="e">
        <f t="shared" si="1"/>
        <v>#VALUE!</v>
      </c>
      <c r="I5225" s="1" t="e">
        <f t="shared" si="2"/>
        <v>#VALUE!</v>
      </c>
    </row>
    <row r="5226" spans="1:9" ht="15.75" customHeight="1">
      <c r="A5226" s="26"/>
      <c r="B5226" s="2"/>
      <c r="C5226" s="26"/>
      <c r="D5226" s="26"/>
      <c r="F5226" s="85" t="str">
        <f t="shared" si="0"/>
        <v/>
      </c>
      <c r="G5226" s="1" t="e">
        <f>IF(VALUE(F5226) = VALUE(RIGHT(Insights!$C$3, 4)), E5226, "")</f>
        <v>#VALUE!</v>
      </c>
      <c r="H5226" s="26" t="e">
        <f t="shared" si="1"/>
        <v>#VALUE!</v>
      </c>
      <c r="I5226" s="1" t="e">
        <f t="shared" si="2"/>
        <v>#VALUE!</v>
      </c>
    </row>
    <row r="5227" spans="1:9" ht="15.75" customHeight="1">
      <c r="A5227" s="26"/>
      <c r="B5227" s="2"/>
      <c r="C5227" s="26"/>
      <c r="D5227" s="26"/>
      <c r="F5227" s="85" t="str">
        <f t="shared" si="0"/>
        <v/>
      </c>
      <c r="G5227" s="1" t="e">
        <f>IF(VALUE(F5227) = VALUE(RIGHT(Insights!$C$3, 4)), E5227, "")</f>
        <v>#VALUE!</v>
      </c>
      <c r="H5227" s="26" t="e">
        <f t="shared" si="1"/>
        <v>#VALUE!</v>
      </c>
      <c r="I5227" s="1" t="e">
        <f t="shared" si="2"/>
        <v>#VALUE!</v>
      </c>
    </row>
    <row r="5228" spans="1:9" ht="15.75" customHeight="1">
      <c r="A5228" s="26"/>
      <c r="B5228" s="2"/>
      <c r="C5228" s="26"/>
      <c r="D5228" s="26"/>
      <c r="F5228" s="85" t="str">
        <f t="shared" si="0"/>
        <v/>
      </c>
      <c r="G5228" s="1" t="e">
        <f>IF(VALUE(F5228) = VALUE(RIGHT(Insights!$C$3, 4)), E5228, "")</f>
        <v>#VALUE!</v>
      </c>
      <c r="H5228" s="26" t="e">
        <f t="shared" si="1"/>
        <v>#VALUE!</v>
      </c>
      <c r="I5228" s="1" t="e">
        <f t="shared" si="2"/>
        <v>#VALUE!</v>
      </c>
    </row>
    <row r="5229" spans="1:9" ht="15.75" customHeight="1">
      <c r="A5229" s="26"/>
      <c r="B5229" s="2"/>
      <c r="C5229" s="26"/>
      <c r="D5229" s="26"/>
      <c r="F5229" s="85" t="str">
        <f t="shared" si="0"/>
        <v/>
      </c>
      <c r="G5229" s="1" t="e">
        <f>IF(VALUE(F5229) = VALUE(RIGHT(Insights!$C$3, 4)), E5229, "")</f>
        <v>#VALUE!</v>
      </c>
      <c r="H5229" s="26" t="e">
        <f t="shared" si="1"/>
        <v>#VALUE!</v>
      </c>
      <c r="I5229" s="1" t="e">
        <f t="shared" si="2"/>
        <v>#VALUE!</v>
      </c>
    </row>
    <row r="5230" spans="1:9" ht="15.75" customHeight="1">
      <c r="A5230" s="26"/>
      <c r="B5230" s="2"/>
      <c r="C5230" s="26"/>
      <c r="D5230" s="26"/>
      <c r="F5230" s="85" t="str">
        <f t="shared" si="0"/>
        <v/>
      </c>
      <c r="G5230" s="1" t="e">
        <f>IF(VALUE(F5230) = VALUE(RIGHT(Insights!$C$3, 4)), E5230, "")</f>
        <v>#VALUE!</v>
      </c>
      <c r="H5230" s="26" t="e">
        <f t="shared" si="1"/>
        <v>#VALUE!</v>
      </c>
      <c r="I5230" s="1" t="e">
        <f t="shared" si="2"/>
        <v>#VALUE!</v>
      </c>
    </row>
    <row r="5231" spans="1:9" ht="15.75" customHeight="1">
      <c r="A5231" s="26"/>
      <c r="B5231" s="2"/>
      <c r="C5231" s="26"/>
      <c r="D5231" s="26"/>
      <c r="F5231" s="85" t="str">
        <f t="shared" si="0"/>
        <v/>
      </c>
      <c r="G5231" s="1" t="e">
        <f>IF(VALUE(F5231) = VALUE(RIGHT(Insights!$C$3, 4)), E5231, "")</f>
        <v>#VALUE!</v>
      </c>
      <c r="H5231" s="26" t="e">
        <f t="shared" si="1"/>
        <v>#VALUE!</v>
      </c>
      <c r="I5231" s="1" t="e">
        <f t="shared" si="2"/>
        <v>#VALUE!</v>
      </c>
    </row>
    <row r="5232" spans="1:9" ht="15.75" customHeight="1">
      <c r="A5232" s="26"/>
      <c r="B5232" s="2"/>
      <c r="C5232" s="26"/>
      <c r="D5232" s="26"/>
      <c r="F5232" s="85" t="str">
        <f t="shared" si="0"/>
        <v/>
      </c>
      <c r="G5232" s="1" t="e">
        <f>IF(VALUE(F5232) = VALUE(RIGHT(Insights!$C$3, 4)), E5232, "")</f>
        <v>#VALUE!</v>
      </c>
      <c r="H5232" s="26" t="e">
        <f t="shared" si="1"/>
        <v>#VALUE!</v>
      </c>
      <c r="I5232" s="1" t="e">
        <f t="shared" si="2"/>
        <v>#VALUE!</v>
      </c>
    </row>
    <row r="5233" spans="1:9" ht="15.75" customHeight="1">
      <c r="A5233" s="26"/>
      <c r="B5233" s="2"/>
      <c r="C5233" s="26"/>
      <c r="D5233" s="26"/>
      <c r="F5233" s="85" t="str">
        <f t="shared" si="0"/>
        <v/>
      </c>
      <c r="G5233" s="1" t="e">
        <f>IF(VALUE(F5233) = VALUE(RIGHT(Insights!$C$3, 4)), E5233, "")</f>
        <v>#VALUE!</v>
      </c>
      <c r="H5233" s="26" t="e">
        <f t="shared" si="1"/>
        <v>#VALUE!</v>
      </c>
      <c r="I5233" s="1" t="e">
        <f t="shared" si="2"/>
        <v>#VALUE!</v>
      </c>
    </row>
    <row r="5234" spans="1:9" ht="15.75" customHeight="1">
      <c r="A5234" s="26"/>
      <c r="B5234" s="2"/>
      <c r="C5234" s="26"/>
      <c r="D5234" s="26"/>
      <c r="F5234" s="85" t="str">
        <f t="shared" si="0"/>
        <v/>
      </c>
      <c r="G5234" s="1" t="e">
        <f>IF(VALUE(F5234) = VALUE(RIGHT(Insights!$C$3, 4)), E5234, "")</f>
        <v>#VALUE!</v>
      </c>
      <c r="H5234" s="26" t="e">
        <f t="shared" si="1"/>
        <v>#VALUE!</v>
      </c>
      <c r="I5234" s="1" t="e">
        <f t="shared" si="2"/>
        <v>#VALUE!</v>
      </c>
    </row>
    <row r="5235" spans="1:9" ht="15.75" customHeight="1">
      <c r="A5235" s="26"/>
      <c r="B5235" s="2"/>
      <c r="C5235" s="26"/>
      <c r="D5235" s="26"/>
      <c r="F5235" s="85" t="str">
        <f t="shared" si="0"/>
        <v/>
      </c>
      <c r="G5235" s="1" t="e">
        <f>IF(VALUE(F5235) = VALUE(RIGHT(Insights!$C$3, 4)), E5235, "")</f>
        <v>#VALUE!</v>
      </c>
      <c r="H5235" s="26" t="e">
        <f t="shared" si="1"/>
        <v>#VALUE!</v>
      </c>
      <c r="I5235" s="1" t="e">
        <f t="shared" si="2"/>
        <v>#VALUE!</v>
      </c>
    </row>
    <row r="5236" spans="1:9" ht="15.75" customHeight="1">
      <c r="A5236" s="26"/>
      <c r="B5236" s="2"/>
      <c r="C5236" s="26"/>
      <c r="D5236" s="26"/>
      <c r="F5236" s="85" t="str">
        <f t="shared" si="0"/>
        <v/>
      </c>
      <c r="G5236" s="1" t="e">
        <f>IF(VALUE(F5236) = VALUE(RIGHT(Insights!$C$3, 4)), E5236, "")</f>
        <v>#VALUE!</v>
      </c>
      <c r="H5236" s="26" t="e">
        <f t="shared" si="1"/>
        <v>#VALUE!</v>
      </c>
      <c r="I5236" s="1" t="e">
        <f t="shared" si="2"/>
        <v>#VALUE!</v>
      </c>
    </row>
    <row r="5237" spans="1:9" ht="15.75" customHeight="1">
      <c r="A5237" s="26"/>
      <c r="B5237" s="2"/>
      <c r="C5237" s="26"/>
      <c r="D5237" s="26"/>
      <c r="F5237" s="85" t="str">
        <f t="shared" si="0"/>
        <v/>
      </c>
      <c r="G5237" s="1" t="e">
        <f>IF(VALUE(F5237) = VALUE(RIGHT(Insights!$C$3, 4)), E5237, "")</f>
        <v>#VALUE!</v>
      </c>
      <c r="H5237" s="26" t="e">
        <f t="shared" si="1"/>
        <v>#VALUE!</v>
      </c>
      <c r="I5237" s="1" t="e">
        <f t="shared" si="2"/>
        <v>#VALUE!</v>
      </c>
    </row>
    <row r="5238" spans="1:9" ht="15.75" customHeight="1">
      <c r="A5238" s="26"/>
      <c r="B5238" s="2"/>
      <c r="C5238" s="26"/>
      <c r="D5238" s="26"/>
      <c r="F5238" s="85" t="str">
        <f t="shared" si="0"/>
        <v/>
      </c>
      <c r="G5238" s="1" t="e">
        <f>IF(VALUE(F5238) = VALUE(RIGHT(Insights!$C$3, 4)), E5238, "")</f>
        <v>#VALUE!</v>
      </c>
      <c r="H5238" s="26" t="e">
        <f t="shared" si="1"/>
        <v>#VALUE!</v>
      </c>
      <c r="I5238" s="1" t="e">
        <f t="shared" si="2"/>
        <v>#VALUE!</v>
      </c>
    </row>
    <row r="5239" spans="1:9" ht="15.75" customHeight="1">
      <c r="A5239" s="26"/>
      <c r="B5239" s="2"/>
      <c r="C5239" s="26"/>
      <c r="D5239" s="26"/>
      <c r="F5239" s="85" t="str">
        <f t="shared" si="0"/>
        <v/>
      </c>
      <c r="G5239" s="1" t="e">
        <f>IF(VALUE(F5239) = VALUE(RIGHT(Insights!$C$3, 4)), E5239, "")</f>
        <v>#VALUE!</v>
      </c>
      <c r="H5239" s="26" t="e">
        <f t="shared" si="1"/>
        <v>#VALUE!</v>
      </c>
      <c r="I5239" s="1" t="e">
        <f t="shared" si="2"/>
        <v>#VALUE!</v>
      </c>
    </row>
    <row r="5240" spans="1:9" ht="15.75" customHeight="1">
      <c r="A5240" s="26"/>
      <c r="B5240" s="2"/>
      <c r="C5240" s="26"/>
      <c r="D5240" s="26"/>
      <c r="F5240" s="85" t="str">
        <f t="shared" si="0"/>
        <v/>
      </c>
      <c r="G5240" s="1" t="e">
        <f>IF(VALUE(F5240) = VALUE(RIGHT(Insights!$C$3, 4)), E5240, "")</f>
        <v>#VALUE!</v>
      </c>
      <c r="H5240" s="26" t="e">
        <f t="shared" si="1"/>
        <v>#VALUE!</v>
      </c>
      <c r="I5240" s="1" t="e">
        <f t="shared" si="2"/>
        <v>#VALUE!</v>
      </c>
    </row>
    <row r="5241" spans="1:9" ht="15.75" customHeight="1">
      <c r="A5241" s="26"/>
      <c r="B5241" s="2"/>
      <c r="C5241" s="26"/>
      <c r="D5241" s="26"/>
      <c r="F5241" s="85" t="str">
        <f t="shared" si="0"/>
        <v/>
      </c>
      <c r="G5241" s="1" t="e">
        <f>IF(VALUE(F5241) = VALUE(RIGHT(Insights!$C$3, 4)), E5241, "")</f>
        <v>#VALUE!</v>
      </c>
      <c r="H5241" s="26" t="e">
        <f t="shared" si="1"/>
        <v>#VALUE!</v>
      </c>
      <c r="I5241" s="1" t="e">
        <f t="shared" si="2"/>
        <v>#VALUE!</v>
      </c>
    </row>
    <row r="5242" spans="1:9" ht="15.75" customHeight="1">
      <c r="A5242" s="26"/>
      <c r="B5242" s="2"/>
      <c r="C5242" s="26"/>
      <c r="D5242" s="26"/>
      <c r="F5242" s="85" t="str">
        <f t="shared" si="0"/>
        <v/>
      </c>
      <c r="G5242" s="1" t="e">
        <f>IF(VALUE(F5242) = VALUE(RIGHT(Insights!$C$3, 4)), E5242, "")</f>
        <v>#VALUE!</v>
      </c>
      <c r="H5242" s="26" t="e">
        <f t="shared" si="1"/>
        <v>#VALUE!</v>
      </c>
      <c r="I5242" s="1" t="e">
        <f t="shared" si="2"/>
        <v>#VALUE!</v>
      </c>
    </row>
    <row r="5243" spans="1:9" ht="15.75" customHeight="1">
      <c r="A5243" s="26"/>
      <c r="B5243" s="2"/>
      <c r="C5243" s="26"/>
      <c r="D5243" s="26"/>
      <c r="F5243" s="85" t="str">
        <f t="shared" si="0"/>
        <v/>
      </c>
      <c r="G5243" s="1" t="e">
        <f>IF(VALUE(F5243) = VALUE(RIGHT(Insights!$C$3, 4)), E5243, "")</f>
        <v>#VALUE!</v>
      </c>
      <c r="H5243" s="26" t="e">
        <f t="shared" si="1"/>
        <v>#VALUE!</v>
      </c>
      <c r="I5243" s="1" t="e">
        <f t="shared" si="2"/>
        <v>#VALUE!</v>
      </c>
    </row>
    <row r="5244" spans="1:9" ht="15.75" customHeight="1">
      <c r="A5244" s="26"/>
      <c r="B5244" s="2"/>
      <c r="C5244" s="26"/>
      <c r="D5244" s="26"/>
      <c r="F5244" s="85" t="str">
        <f t="shared" si="0"/>
        <v/>
      </c>
      <c r="G5244" s="1" t="e">
        <f>IF(VALUE(F5244) = VALUE(RIGHT(Insights!$C$3, 4)), E5244, "")</f>
        <v>#VALUE!</v>
      </c>
      <c r="H5244" s="26" t="e">
        <f t="shared" si="1"/>
        <v>#VALUE!</v>
      </c>
      <c r="I5244" s="1" t="e">
        <f t="shared" si="2"/>
        <v>#VALUE!</v>
      </c>
    </row>
    <row r="5245" spans="1:9" ht="15.75" customHeight="1">
      <c r="A5245" s="26"/>
      <c r="B5245" s="2"/>
      <c r="C5245" s="26"/>
      <c r="D5245" s="26"/>
      <c r="F5245" s="85" t="str">
        <f t="shared" si="0"/>
        <v/>
      </c>
      <c r="G5245" s="1" t="e">
        <f>IF(VALUE(F5245) = VALUE(RIGHT(Insights!$C$3, 4)), E5245, "")</f>
        <v>#VALUE!</v>
      </c>
      <c r="H5245" s="26" t="e">
        <f t="shared" si="1"/>
        <v>#VALUE!</v>
      </c>
      <c r="I5245" s="1" t="e">
        <f t="shared" si="2"/>
        <v>#VALUE!</v>
      </c>
    </row>
    <row r="5246" spans="1:9" ht="15.75" customHeight="1">
      <c r="A5246" s="26"/>
      <c r="B5246" s="2"/>
      <c r="C5246" s="26"/>
      <c r="D5246" s="26"/>
      <c r="F5246" s="85" t="str">
        <f t="shared" si="0"/>
        <v/>
      </c>
      <c r="G5246" s="1" t="e">
        <f>IF(VALUE(F5246) = VALUE(RIGHT(Insights!$C$3, 4)), E5246, "")</f>
        <v>#VALUE!</v>
      </c>
      <c r="H5246" s="26" t="e">
        <f t="shared" si="1"/>
        <v>#VALUE!</v>
      </c>
      <c r="I5246" s="1" t="e">
        <f t="shared" si="2"/>
        <v>#VALUE!</v>
      </c>
    </row>
    <row r="5247" spans="1:9" ht="15.75" customHeight="1">
      <c r="A5247" s="26"/>
      <c r="B5247" s="2"/>
      <c r="C5247" s="26"/>
      <c r="D5247" s="26"/>
      <c r="F5247" s="85" t="str">
        <f t="shared" si="0"/>
        <v/>
      </c>
      <c r="G5247" s="1" t="e">
        <f>IF(VALUE(F5247) = VALUE(RIGHT(Insights!$C$3, 4)), E5247, "")</f>
        <v>#VALUE!</v>
      </c>
      <c r="H5247" s="26" t="e">
        <f t="shared" si="1"/>
        <v>#VALUE!</v>
      </c>
      <c r="I5247" s="1" t="e">
        <f t="shared" si="2"/>
        <v>#VALUE!</v>
      </c>
    </row>
    <row r="5248" spans="1:9" ht="15.75" customHeight="1">
      <c r="A5248" s="26"/>
      <c r="B5248" s="2"/>
      <c r="C5248" s="26"/>
      <c r="D5248" s="26"/>
      <c r="F5248" s="85" t="str">
        <f t="shared" si="0"/>
        <v/>
      </c>
      <c r="G5248" s="1" t="e">
        <f>IF(VALUE(F5248) = VALUE(RIGHT(Insights!$C$3, 4)), E5248, "")</f>
        <v>#VALUE!</v>
      </c>
      <c r="H5248" s="26" t="e">
        <f t="shared" si="1"/>
        <v>#VALUE!</v>
      </c>
      <c r="I5248" s="1" t="e">
        <f t="shared" si="2"/>
        <v>#VALUE!</v>
      </c>
    </row>
    <row r="5249" spans="1:9" ht="15.75" customHeight="1">
      <c r="A5249" s="26"/>
      <c r="B5249" s="2"/>
      <c r="C5249" s="26"/>
      <c r="D5249" s="26"/>
      <c r="F5249" s="85" t="str">
        <f t="shared" si="0"/>
        <v/>
      </c>
      <c r="G5249" s="1" t="e">
        <f>IF(VALUE(F5249) = VALUE(RIGHT(Insights!$C$3, 4)), E5249, "")</f>
        <v>#VALUE!</v>
      </c>
      <c r="H5249" s="26" t="e">
        <f t="shared" si="1"/>
        <v>#VALUE!</v>
      </c>
      <c r="I5249" s="1" t="e">
        <f t="shared" si="2"/>
        <v>#VALUE!</v>
      </c>
    </row>
    <row r="5250" spans="1:9" ht="15.75" customHeight="1">
      <c r="A5250" s="26"/>
      <c r="B5250" s="2"/>
      <c r="C5250" s="26"/>
      <c r="D5250" s="26"/>
      <c r="F5250" s="85" t="str">
        <f t="shared" si="0"/>
        <v/>
      </c>
      <c r="G5250" s="1" t="e">
        <f>IF(VALUE(F5250) = VALUE(RIGHT(Insights!$C$3, 4)), E5250, "")</f>
        <v>#VALUE!</v>
      </c>
      <c r="H5250" s="26" t="e">
        <f t="shared" si="1"/>
        <v>#VALUE!</v>
      </c>
      <c r="I5250" s="1" t="e">
        <f t="shared" si="2"/>
        <v>#VALUE!</v>
      </c>
    </row>
    <row r="5251" spans="1:9" ht="15.75" customHeight="1">
      <c r="A5251" s="26"/>
      <c r="B5251" s="2"/>
      <c r="C5251" s="26"/>
      <c r="D5251" s="26"/>
      <c r="F5251" s="85" t="str">
        <f t="shared" si="0"/>
        <v/>
      </c>
      <c r="G5251" s="1" t="e">
        <f>IF(VALUE(F5251) = VALUE(RIGHT(Insights!$C$3, 4)), E5251, "")</f>
        <v>#VALUE!</v>
      </c>
      <c r="H5251" s="26" t="e">
        <f t="shared" si="1"/>
        <v>#VALUE!</v>
      </c>
      <c r="I5251" s="1" t="e">
        <f t="shared" si="2"/>
        <v>#VALUE!</v>
      </c>
    </row>
    <row r="5252" spans="1:9" ht="15.75" customHeight="1">
      <c r="A5252" s="26"/>
      <c r="B5252" s="2"/>
      <c r="C5252" s="26"/>
      <c r="D5252" s="26"/>
      <c r="F5252" s="85" t="str">
        <f t="shared" si="0"/>
        <v/>
      </c>
      <c r="G5252" s="1" t="e">
        <f>IF(VALUE(F5252) = VALUE(RIGHT(Insights!$C$3, 4)), E5252, "")</f>
        <v>#VALUE!</v>
      </c>
      <c r="H5252" s="26" t="e">
        <f t="shared" si="1"/>
        <v>#VALUE!</v>
      </c>
      <c r="I5252" s="1" t="e">
        <f t="shared" si="2"/>
        <v>#VALUE!</v>
      </c>
    </row>
    <row r="5253" spans="1:9" ht="15.75" customHeight="1">
      <c r="A5253" s="26"/>
      <c r="B5253" s="2"/>
      <c r="C5253" s="26"/>
      <c r="D5253" s="26"/>
      <c r="F5253" s="85" t="str">
        <f t="shared" si="0"/>
        <v/>
      </c>
      <c r="G5253" s="1" t="e">
        <f>IF(VALUE(F5253) = VALUE(RIGHT(Insights!$C$3, 4)), E5253, "")</f>
        <v>#VALUE!</v>
      </c>
      <c r="H5253" s="26" t="e">
        <f t="shared" si="1"/>
        <v>#VALUE!</v>
      </c>
      <c r="I5253" s="1" t="e">
        <f t="shared" si="2"/>
        <v>#VALUE!</v>
      </c>
    </row>
    <row r="5254" spans="1:9" ht="15.75" customHeight="1">
      <c r="A5254" s="26"/>
      <c r="B5254" s="2"/>
      <c r="C5254" s="26"/>
      <c r="D5254" s="26"/>
      <c r="F5254" s="85" t="str">
        <f t="shared" si="0"/>
        <v/>
      </c>
      <c r="G5254" s="1" t="e">
        <f>IF(VALUE(F5254) = VALUE(RIGHT(Insights!$C$3, 4)), E5254, "")</f>
        <v>#VALUE!</v>
      </c>
      <c r="H5254" s="26" t="e">
        <f t="shared" si="1"/>
        <v>#VALUE!</v>
      </c>
      <c r="I5254" s="1" t="e">
        <f t="shared" si="2"/>
        <v>#VALUE!</v>
      </c>
    </row>
    <row r="5255" spans="1:9" ht="15.75" customHeight="1">
      <c r="A5255" s="26"/>
      <c r="B5255" s="2"/>
      <c r="C5255" s="26"/>
      <c r="D5255" s="26"/>
      <c r="F5255" s="85" t="str">
        <f t="shared" si="0"/>
        <v/>
      </c>
      <c r="G5255" s="1" t="e">
        <f>IF(VALUE(F5255) = VALUE(RIGHT(Insights!$C$3, 4)), E5255, "")</f>
        <v>#VALUE!</v>
      </c>
      <c r="H5255" s="26" t="e">
        <f t="shared" si="1"/>
        <v>#VALUE!</v>
      </c>
      <c r="I5255" s="1" t="e">
        <f t="shared" si="2"/>
        <v>#VALUE!</v>
      </c>
    </row>
    <row r="5256" spans="1:9" ht="15.75" customHeight="1">
      <c r="A5256" s="26"/>
      <c r="B5256" s="2"/>
      <c r="C5256" s="26"/>
      <c r="D5256" s="26"/>
      <c r="F5256" s="85" t="str">
        <f t="shared" si="0"/>
        <v/>
      </c>
      <c r="G5256" s="1" t="e">
        <f>IF(VALUE(F5256) = VALUE(RIGHT(Insights!$C$3, 4)), E5256, "")</f>
        <v>#VALUE!</v>
      </c>
      <c r="H5256" s="26" t="e">
        <f t="shared" si="1"/>
        <v>#VALUE!</v>
      </c>
      <c r="I5256" s="1" t="e">
        <f t="shared" si="2"/>
        <v>#VALUE!</v>
      </c>
    </row>
    <row r="5257" spans="1:9" ht="15.75" customHeight="1">
      <c r="A5257" s="26"/>
      <c r="B5257" s="2"/>
      <c r="C5257" s="26"/>
      <c r="D5257" s="26"/>
      <c r="F5257" s="85" t="str">
        <f t="shared" si="0"/>
        <v/>
      </c>
      <c r="G5257" s="1" t="e">
        <f>IF(VALUE(F5257) = VALUE(RIGHT(Insights!$C$3, 4)), E5257, "")</f>
        <v>#VALUE!</v>
      </c>
      <c r="H5257" s="26" t="e">
        <f t="shared" si="1"/>
        <v>#VALUE!</v>
      </c>
      <c r="I5257" s="1" t="e">
        <f t="shared" si="2"/>
        <v>#VALUE!</v>
      </c>
    </row>
    <row r="5258" spans="1:9" ht="15.75" customHeight="1">
      <c r="A5258" s="26"/>
      <c r="B5258" s="2"/>
      <c r="C5258" s="26"/>
      <c r="D5258" s="26"/>
      <c r="F5258" s="85" t="str">
        <f t="shared" si="0"/>
        <v/>
      </c>
      <c r="G5258" s="1" t="e">
        <f>IF(VALUE(F5258) = VALUE(RIGHT(Insights!$C$3, 4)), E5258, "")</f>
        <v>#VALUE!</v>
      </c>
      <c r="H5258" s="26" t="e">
        <f t="shared" si="1"/>
        <v>#VALUE!</v>
      </c>
      <c r="I5258" s="1" t="e">
        <f t="shared" si="2"/>
        <v>#VALUE!</v>
      </c>
    </row>
    <row r="5259" spans="1:9" ht="15.75" customHeight="1">
      <c r="A5259" s="26"/>
      <c r="B5259" s="2"/>
      <c r="C5259" s="26"/>
      <c r="D5259" s="26"/>
      <c r="F5259" s="85" t="str">
        <f t="shared" si="0"/>
        <v/>
      </c>
      <c r="G5259" s="1" t="e">
        <f>IF(VALUE(F5259) = VALUE(RIGHT(Insights!$C$3, 4)), E5259, "")</f>
        <v>#VALUE!</v>
      </c>
      <c r="H5259" s="26" t="e">
        <f t="shared" si="1"/>
        <v>#VALUE!</v>
      </c>
      <c r="I5259" s="1" t="e">
        <f t="shared" si="2"/>
        <v>#VALUE!</v>
      </c>
    </row>
    <row r="5260" spans="1:9" ht="15.75" customHeight="1">
      <c r="A5260" s="26"/>
      <c r="B5260" s="2"/>
      <c r="C5260" s="26"/>
      <c r="D5260" s="26"/>
      <c r="F5260" s="85" t="str">
        <f t="shared" si="0"/>
        <v/>
      </c>
      <c r="G5260" s="1" t="e">
        <f>IF(VALUE(F5260) = VALUE(RIGHT(Insights!$C$3, 4)), E5260, "")</f>
        <v>#VALUE!</v>
      </c>
      <c r="H5260" s="26" t="e">
        <f t="shared" si="1"/>
        <v>#VALUE!</v>
      </c>
      <c r="I5260" s="1" t="e">
        <f t="shared" si="2"/>
        <v>#VALUE!</v>
      </c>
    </row>
    <row r="5261" spans="1:9" ht="15.75" customHeight="1">
      <c r="A5261" s="26"/>
      <c r="B5261" s="2"/>
      <c r="C5261" s="26"/>
      <c r="D5261" s="26"/>
      <c r="F5261" s="85" t="str">
        <f t="shared" si="0"/>
        <v/>
      </c>
      <c r="G5261" s="1" t="e">
        <f>IF(VALUE(F5261) = VALUE(RIGHT(Insights!$C$3, 4)), E5261, "")</f>
        <v>#VALUE!</v>
      </c>
      <c r="H5261" s="26" t="e">
        <f t="shared" si="1"/>
        <v>#VALUE!</v>
      </c>
      <c r="I5261" s="1" t="e">
        <f t="shared" si="2"/>
        <v>#VALUE!</v>
      </c>
    </row>
    <row r="5262" spans="1:9" ht="15.75" customHeight="1">
      <c r="A5262" s="26"/>
      <c r="B5262" s="2"/>
      <c r="C5262" s="26"/>
      <c r="D5262" s="26"/>
      <c r="F5262" s="85" t="str">
        <f t="shared" si="0"/>
        <v/>
      </c>
      <c r="G5262" s="1" t="e">
        <f>IF(VALUE(F5262) = VALUE(RIGHT(Insights!$C$3, 4)), E5262, "")</f>
        <v>#VALUE!</v>
      </c>
      <c r="H5262" s="26" t="e">
        <f t="shared" si="1"/>
        <v>#VALUE!</v>
      </c>
      <c r="I5262" s="1" t="e">
        <f t="shared" si="2"/>
        <v>#VALUE!</v>
      </c>
    </row>
    <row r="5263" spans="1:9" ht="15.75" customHeight="1">
      <c r="A5263" s="26"/>
      <c r="B5263" s="2"/>
      <c r="C5263" s="26"/>
      <c r="D5263" s="26"/>
      <c r="F5263" s="85" t="str">
        <f t="shared" si="0"/>
        <v/>
      </c>
      <c r="G5263" s="1" t="e">
        <f>IF(VALUE(F5263) = VALUE(RIGHT(Insights!$C$3, 4)), E5263, "")</f>
        <v>#VALUE!</v>
      </c>
      <c r="H5263" s="26" t="e">
        <f t="shared" si="1"/>
        <v>#VALUE!</v>
      </c>
      <c r="I5263" s="1" t="e">
        <f t="shared" si="2"/>
        <v>#VALUE!</v>
      </c>
    </row>
    <row r="5264" spans="1:9" ht="15.75" customHeight="1">
      <c r="A5264" s="26"/>
      <c r="B5264" s="2"/>
      <c r="C5264" s="26"/>
      <c r="D5264" s="26"/>
      <c r="F5264" s="85" t="str">
        <f t="shared" si="0"/>
        <v/>
      </c>
      <c r="G5264" s="1" t="e">
        <f>IF(VALUE(F5264) = VALUE(RIGHT(Insights!$C$3, 4)), E5264, "")</f>
        <v>#VALUE!</v>
      </c>
      <c r="H5264" s="26" t="e">
        <f t="shared" si="1"/>
        <v>#VALUE!</v>
      </c>
      <c r="I5264" s="1" t="e">
        <f t="shared" si="2"/>
        <v>#VALUE!</v>
      </c>
    </row>
    <row r="5265" spans="1:9" ht="15.75" customHeight="1">
      <c r="A5265" s="26"/>
      <c r="B5265" s="2"/>
      <c r="C5265" s="26"/>
      <c r="D5265" s="26"/>
      <c r="F5265" s="85" t="str">
        <f t="shared" si="0"/>
        <v/>
      </c>
      <c r="G5265" s="1" t="e">
        <f>IF(VALUE(F5265) = VALUE(RIGHT(Insights!$C$3, 4)), E5265, "")</f>
        <v>#VALUE!</v>
      </c>
      <c r="H5265" s="26" t="e">
        <f t="shared" si="1"/>
        <v>#VALUE!</v>
      </c>
      <c r="I5265" s="1" t="e">
        <f t="shared" si="2"/>
        <v>#VALUE!</v>
      </c>
    </row>
    <row r="5266" spans="1:9" ht="15.75" customHeight="1">
      <c r="A5266" s="26"/>
      <c r="B5266" s="2"/>
      <c r="C5266" s="26"/>
      <c r="D5266" s="26"/>
      <c r="F5266" s="85" t="str">
        <f t="shared" si="0"/>
        <v/>
      </c>
      <c r="G5266" s="1" t="e">
        <f>IF(VALUE(F5266) = VALUE(RIGHT(Insights!$C$3, 4)), E5266, "")</f>
        <v>#VALUE!</v>
      </c>
      <c r="H5266" s="26" t="e">
        <f t="shared" si="1"/>
        <v>#VALUE!</v>
      </c>
      <c r="I5266" s="1" t="e">
        <f t="shared" si="2"/>
        <v>#VALUE!</v>
      </c>
    </row>
    <row r="5267" spans="1:9" ht="15.75" customHeight="1">
      <c r="A5267" s="26"/>
      <c r="B5267" s="2"/>
      <c r="C5267" s="26"/>
      <c r="D5267" s="26"/>
      <c r="F5267" s="85" t="str">
        <f t="shared" si="0"/>
        <v/>
      </c>
      <c r="G5267" s="1" t="e">
        <f>IF(VALUE(F5267) = VALUE(RIGHT(Insights!$C$3, 4)), E5267, "")</f>
        <v>#VALUE!</v>
      </c>
      <c r="H5267" s="26" t="e">
        <f t="shared" si="1"/>
        <v>#VALUE!</v>
      </c>
      <c r="I5267" s="1" t="e">
        <f t="shared" si="2"/>
        <v>#VALUE!</v>
      </c>
    </row>
    <row r="5268" spans="1:9" ht="15.75" customHeight="1">
      <c r="A5268" s="26"/>
      <c r="B5268" s="2"/>
      <c r="C5268" s="26"/>
      <c r="D5268" s="26"/>
      <c r="F5268" s="85" t="str">
        <f t="shared" si="0"/>
        <v/>
      </c>
      <c r="G5268" s="1" t="e">
        <f>IF(VALUE(F5268) = VALUE(RIGHT(Insights!$C$3, 4)), E5268, "")</f>
        <v>#VALUE!</v>
      </c>
      <c r="H5268" s="26" t="e">
        <f t="shared" si="1"/>
        <v>#VALUE!</v>
      </c>
      <c r="I5268" s="1" t="e">
        <f t="shared" si="2"/>
        <v>#VALUE!</v>
      </c>
    </row>
    <row r="5269" spans="1:9" ht="15.75" customHeight="1">
      <c r="A5269" s="26"/>
      <c r="B5269" s="2"/>
      <c r="C5269" s="26"/>
      <c r="D5269" s="26"/>
      <c r="F5269" s="85" t="str">
        <f t="shared" si="0"/>
        <v/>
      </c>
      <c r="G5269" s="1" t="e">
        <f>IF(VALUE(F5269) = VALUE(RIGHT(Insights!$C$3, 4)), E5269, "")</f>
        <v>#VALUE!</v>
      </c>
      <c r="H5269" s="26" t="e">
        <f t="shared" si="1"/>
        <v>#VALUE!</v>
      </c>
      <c r="I5269" s="1" t="e">
        <f t="shared" si="2"/>
        <v>#VALUE!</v>
      </c>
    </row>
    <row r="5270" spans="1:9" ht="15.75" customHeight="1">
      <c r="A5270" s="26"/>
      <c r="B5270" s="2"/>
      <c r="C5270" s="26"/>
      <c r="D5270" s="26"/>
      <c r="F5270" s="85" t="str">
        <f t="shared" si="0"/>
        <v/>
      </c>
      <c r="G5270" s="1" t="e">
        <f>IF(VALUE(F5270) = VALUE(RIGHT(Insights!$C$3, 4)), E5270, "")</f>
        <v>#VALUE!</v>
      </c>
      <c r="H5270" s="26" t="e">
        <f t="shared" si="1"/>
        <v>#VALUE!</v>
      </c>
      <c r="I5270" s="1" t="e">
        <f t="shared" si="2"/>
        <v>#VALUE!</v>
      </c>
    </row>
    <row r="5271" spans="1:9" ht="15.75" customHeight="1">
      <c r="A5271" s="26"/>
      <c r="B5271" s="2"/>
      <c r="C5271" s="26"/>
      <c r="D5271" s="26"/>
      <c r="F5271" s="85" t="str">
        <f t="shared" si="0"/>
        <v/>
      </c>
      <c r="G5271" s="1" t="e">
        <f>IF(VALUE(F5271) = VALUE(RIGHT(Insights!$C$3, 4)), E5271, "")</f>
        <v>#VALUE!</v>
      </c>
      <c r="H5271" s="26" t="e">
        <f t="shared" si="1"/>
        <v>#VALUE!</v>
      </c>
      <c r="I5271" s="1" t="e">
        <f t="shared" si="2"/>
        <v>#VALUE!</v>
      </c>
    </row>
    <row r="5272" spans="1:9" ht="15.75" customHeight="1">
      <c r="A5272" s="26"/>
      <c r="B5272" s="2"/>
      <c r="C5272" s="26"/>
      <c r="D5272" s="26"/>
      <c r="F5272" s="85" t="str">
        <f t="shared" si="0"/>
        <v/>
      </c>
      <c r="G5272" s="1" t="e">
        <f>IF(VALUE(F5272) = VALUE(RIGHT(Insights!$C$3, 4)), E5272, "")</f>
        <v>#VALUE!</v>
      </c>
      <c r="H5272" s="26" t="e">
        <f t="shared" si="1"/>
        <v>#VALUE!</v>
      </c>
      <c r="I5272" s="1" t="e">
        <f t="shared" si="2"/>
        <v>#VALUE!</v>
      </c>
    </row>
    <row r="5273" spans="1:9" ht="15.75" customHeight="1">
      <c r="A5273" s="26"/>
      <c r="B5273" s="2"/>
      <c r="C5273" s="26"/>
      <c r="D5273" s="26"/>
      <c r="F5273" s="85" t="str">
        <f t="shared" si="0"/>
        <v/>
      </c>
      <c r="G5273" s="1" t="e">
        <f>IF(VALUE(F5273) = VALUE(RIGHT(Insights!$C$3, 4)), E5273, "")</f>
        <v>#VALUE!</v>
      </c>
      <c r="H5273" s="26" t="e">
        <f t="shared" si="1"/>
        <v>#VALUE!</v>
      </c>
      <c r="I5273" s="1" t="e">
        <f t="shared" si="2"/>
        <v>#VALUE!</v>
      </c>
    </row>
    <row r="5274" spans="1:9" ht="15.75" customHeight="1">
      <c r="A5274" s="26"/>
      <c r="B5274" s="2"/>
      <c r="C5274" s="26"/>
      <c r="D5274" s="26"/>
      <c r="F5274" s="85" t="str">
        <f t="shared" si="0"/>
        <v/>
      </c>
      <c r="G5274" s="1" t="e">
        <f>IF(VALUE(F5274) = VALUE(RIGHT(Insights!$C$3, 4)), E5274, "")</f>
        <v>#VALUE!</v>
      </c>
      <c r="H5274" s="26" t="e">
        <f t="shared" si="1"/>
        <v>#VALUE!</v>
      </c>
      <c r="I5274" s="1" t="e">
        <f t="shared" si="2"/>
        <v>#VALUE!</v>
      </c>
    </row>
    <row r="5275" spans="1:9" ht="15.75" customHeight="1">
      <c r="A5275" s="26"/>
      <c r="B5275" s="2"/>
      <c r="C5275" s="26"/>
      <c r="D5275" s="26"/>
      <c r="F5275" s="85" t="str">
        <f t="shared" si="0"/>
        <v/>
      </c>
      <c r="G5275" s="1" t="e">
        <f>IF(VALUE(F5275) = VALUE(RIGHT(Insights!$C$3, 4)), E5275, "")</f>
        <v>#VALUE!</v>
      </c>
      <c r="H5275" s="26" t="e">
        <f t="shared" si="1"/>
        <v>#VALUE!</v>
      </c>
      <c r="I5275" s="1" t="e">
        <f t="shared" si="2"/>
        <v>#VALUE!</v>
      </c>
    </row>
    <row r="5276" spans="1:9" ht="15.75" customHeight="1">
      <c r="A5276" s="26"/>
      <c r="B5276" s="2"/>
      <c r="C5276" s="26"/>
      <c r="D5276" s="26"/>
      <c r="F5276" s="85" t="str">
        <f t="shared" si="0"/>
        <v/>
      </c>
      <c r="G5276" s="1" t="e">
        <f>IF(VALUE(F5276) = VALUE(RIGHT(Insights!$C$3, 4)), E5276, "")</f>
        <v>#VALUE!</v>
      </c>
      <c r="H5276" s="26" t="e">
        <f t="shared" si="1"/>
        <v>#VALUE!</v>
      </c>
      <c r="I5276" s="1" t="e">
        <f t="shared" si="2"/>
        <v>#VALUE!</v>
      </c>
    </row>
    <row r="5277" spans="1:9" ht="15.75" customHeight="1">
      <c r="A5277" s="26"/>
      <c r="B5277" s="2"/>
      <c r="C5277" s="26"/>
      <c r="D5277" s="26"/>
      <c r="F5277" s="85" t="str">
        <f t="shared" si="0"/>
        <v/>
      </c>
      <c r="G5277" s="1" t="e">
        <f>IF(VALUE(F5277) = VALUE(RIGHT(Insights!$C$3, 4)), E5277, "")</f>
        <v>#VALUE!</v>
      </c>
      <c r="H5277" s="26" t="e">
        <f t="shared" si="1"/>
        <v>#VALUE!</v>
      </c>
      <c r="I5277" s="1" t="e">
        <f t="shared" si="2"/>
        <v>#VALUE!</v>
      </c>
    </row>
    <row r="5278" spans="1:9" ht="15.75" customHeight="1">
      <c r="A5278" s="26"/>
      <c r="B5278" s="2"/>
      <c r="C5278" s="26"/>
      <c r="D5278" s="26"/>
      <c r="F5278" s="85" t="str">
        <f t="shared" si="0"/>
        <v/>
      </c>
      <c r="G5278" s="1" t="e">
        <f>IF(VALUE(F5278) = VALUE(RIGHT(Insights!$C$3, 4)), E5278, "")</f>
        <v>#VALUE!</v>
      </c>
      <c r="H5278" s="26" t="e">
        <f t="shared" si="1"/>
        <v>#VALUE!</v>
      </c>
      <c r="I5278" s="1" t="e">
        <f t="shared" si="2"/>
        <v>#VALUE!</v>
      </c>
    </row>
    <row r="5279" spans="1:9" ht="15.75" customHeight="1">
      <c r="A5279" s="26"/>
      <c r="B5279" s="2"/>
      <c r="C5279" s="26"/>
      <c r="D5279" s="26"/>
      <c r="F5279" s="85" t="str">
        <f t="shared" si="0"/>
        <v/>
      </c>
      <c r="G5279" s="1" t="e">
        <f>IF(VALUE(F5279) = VALUE(RIGHT(Insights!$C$3, 4)), E5279, "")</f>
        <v>#VALUE!</v>
      </c>
      <c r="H5279" s="26" t="e">
        <f t="shared" si="1"/>
        <v>#VALUE!</v>
      </c>
      <c r="I5279" s="1" t="e">
        <f t="shared" si="2"/>
        <v>#VALUE!</v>
      </c>
    </row>
    <row r="5280" spans="1:9" ht="15.75" customHeight="1">
      <c r="A5280" s="26"/>
      <c r="B5280" s="2"/>
      <c r="C5280" s="26"/>
      <c r="D5280" s="26"/>
      <c r="F5280" s="85" t="str">
        <f t="shared" si="0"/>
        <v/>
      </c>
      <c r="G5280" s="1" t="e">
        <f>IF(VALUE(F5280) = VALUE(RIGHT(Insights!$C$3, 4)), E5280, "")</f>
        <v>#VALUE!</v>
      </c>
      <c r="H5280" s="26" t="e">
        <f t="shared" si="1"/>
        <v>#VALUE!</v>
      </c>
      <c r="I5280" s="1" t="e">
        <f t="shared" si="2"/>
        <v>#VALUE!</v>
      </c>
    </row>
    <row r="5281" spans="1:9" ht="15.75" customHeight="1">
      <c r="A5281" s="26"/>
      <c r="B5281" s="2"/>
      <c r="C5281" s="26"/>
      <c r="D5281" s="26"/>
      <c r="F5281" s="85" t="str">
        <f t="shared" si="0"/>
        <v/>
      </c>
      <c r="G5281" s="1" t="e">
        <f>IF(VALUE(F5281) = VALUE(RIGHT(Insights!$C$3, 4)), E5281, "")</f>
        <v>#VALUE!</v>
      </c>
      <c r="H5281" s="26" t="e">
        <f t="shared" si="1"/>
        <v>#VALUE!</v>
      </c>
      <c r="I5281" s="1" t="e">
        <f t="shared" si="2"/>
        <v>#VALUE!</v>
      </c>
    </row>
    <row r="5282" spans="1:9" ht="15.75" customHeight="1">
      <c r="A5282" s="26"/>
      <c r="B5282" s="2"/>
      <c r="C5282" s="26"/>
      <c r="D5282" s="26"/>
      <c r="F5282" s="85" t="str">
        <f t="shared" si="0"/>
        <v/>
      </c>
      <c r="G5282" s="1" t="e">
        <f>IF(VALUE(F5282) = VALUE(RIGHT(Insights!$C$3, 4)), E5282, "")</f>
        <v>#VALUE!</v>
      </c>
      <c r="H5282" s="26" t="e">
        <f t="shared" si="1"/>
        <v>#VALUE!</v>
      </c>
      <c r="I5282" s="1" t="e">
        <f t="shared" si="2"/>
        <v>#VALUE!</v>
      </c>
    </row>
    <row r="5283" spans="1:9" ht="15.75" customHeight="1">
      <c r="A5283" s="26"/>
      <c r="B5283" s="2"/>
      <c r="C5283" s="26"/>
      <c r="D5283" s="26"/>
      <c r="F5283" s="85" t="str">
        <f t="shared" si="0"/>
        <v/>
      </c>
      <c r="G5283" s="1" t="e">
        <f>IF(VALUE(F5283) = VALUE(RIGHT(Insights!$C$3, 4)), E5283, "")</f>
        <v>#VALUE!</v>
      </c>
      <c r="H5283" s="26" t="e">
        <f t="shared" si="1"/>
        <v>#VALUE!</v>
      </c>
      <c r="I5283" s="1" t="e">
        <f t="shared" si="2"/>
        <v>#VALUE!</v>
      </c>
    </row>
    <row r="5284" spans="1:9" ht="15.75" customHeight="1">
      <c r="A5284" s="26"/>
      <c r="B5284" s="2"/>
      <c r="C5284" s="26"/>
      <c r="D5284" s="26"/>
      <c r="F5284" s="85" t="str">
        <f t="shared" si="0"/>
        <v/>
      </c>
      <c r="G5284" s="1" t="e">
        <f>IF(VALUE(F5284) = VALUE(RIGHT(Insights!$C$3, 4)), E5284, "")</f>
        <v>#VALUE!</v>
      </c>
      <c r="H5284" s="26" t="e">
        <f t="shared" si="1"/>
        <v>#VALUE!</v>
      </c>
      <c r="I5284" s="1" t="e">
        <f t="shared" si="2"/>
        <v>#VALUE!</v>
      </c>
    </row>
    <row r="5285" spans="1:9" ht="15.75" customHeight="1">
      <c r="A5285" s="26"/>
      <c r="B5285" s="2"/>
      <c r="C5285" s="26"/>
      <c r="D5285" s="26"/>
      <c r="F5285" s="85" t="str">
        <f t="shared" si="0"/>
        <v/>
      </c>
      <c r="G5285" s="1" t="e">
        <f>IF(VALUE(F5285) = VALUE(RIGHT(Insights!$C$3, 4)), E5285, "")</f>
        <v>#VALUE!</v>
      </c>
      <c r="H5285" s="26" t="e">
        <f t="shared" si="1"/>
        <v>#VALUE!</v>
      </c>
      <c r="I5285" s="1" t="e">
        <f t="shared" si="2"/>
        <v>#VALUE!</v>
      </c>
    </row>
    <row r="5286" spans="1:9" ht="15.75" customHeight="1">
      <c r="A5286" s="26"/>
      <c r="B5286" s="2"/>
      <c r="C5286" s="26"/>
      <c r="D5286" s="26"/>
      <c r="F5286" s="85" t="str">
        <f t="shared" si="0"/>
        <v/>
      </c>
      <c r="G5286" s="1" t="e">
        <f>IF(VALUE(F5286) = VALUE(RIGHT(Insights!$C$3, 4)), E5286, "")</f>
        <v>#VALUE!</v>
      </c>
      <c r="H5286" s="26" t="e">
        <f t="shared" si="1"/>
        <v>#VALUE!</v>
      </c>
      <c r="I5286" s="1" t="e">
        <f t="shared" si="2"/>
        <v>#VALUE!</v>
      </c>
    </row>
    <row r="5287" spans="1:9" ht="15.75" customHeight="1">
      <c r="A5287" s="26"/>
      <c r="B5287" s="2"/>
      <c r="C5287" s="26"/>
      <c r="D5287" s="26"/>
      <c r="F5287" s="85" t="str">
        <f t="shared" si="0"/>
        <v/>
      </c>
      <c r="G5287" s="1" t="e">
        <f>IF(VALUE(F5287) = VALUE(RIGHT(Insights!$C$3, 4)), E5287, "")</f>
        <v>#VALUE!</v>
      </c>
      <c r="H5287" s="26" t="e">
        <f t="shared" si="1"/>
        <v>#VALUE!</v>
      </c>
      <c r="I5287" s="1" t="e">
        <f t="shared" si="2"/>
        <v>#VALUE!</v>
      </c>
    </row>
    <row r="5288" spans="1:9" ht="15.75" customHeight="1">
      <c r="A5288" s="26"/>
      <c r="B5288" s="2"/>
      <c r="C5288" s="26"/>
      <c r="D5288" s="26"/>
      <c r="F5288" s="85" t="str">
        <f t="shared" si="0"/>
        <v/>
      </c>
      <c r="G5288" s="1" t="e">
        <f>IF(VALUE(F5288) = VALUE(RIGHT(Insights!$C$3, 4)), E5288, "")</f>
        <v>#VALUE!</v>
      </c>
      <c r="H5288" s="26" t="e">
        <f t="shared" si="1"/>
        <v>#VALUE!</v>
      </c>
      <c r="I5288" s="1" t="e">
        <f t="shared" si="2"/>
        <v>#VALUE!</v>
      </c>
    </row>
    <row r="5289" spans="1:9" ht="15.75" customHeight="1">
      <c r="A5289" s="26"/>
      <c r="B5289" s="2"/>
      <c r="C5289" s="26"/>
      <c r="D5289" s="26"/>
      <c r="F5289" s="85" t="str">
        <f t="shared" si="0"/>
        <v/>
      </c>
      <c r="G5289" s="1" t="e">
        <f>IF(VALUE(F5289) = VALUE(RIGHT(Insights!$C$3, 4)), E5289, "")</f>
        <v>#VALUE!</v>
      </c>
      <c r="H5289" s="26" t="e">
        <f t="shared" si="1"/>
        <v>#VALUE!</v>
      </c>
      <c r="I5289" s="1" t="e">
        <f t="shared" si="2"/>
        <v>#VALUE!</v>
      </c>
    </row>
    <row r="5290" spans="1:9" ht="15.75" customHeight="1">
      <c r="A5290" s="26"/>
      <c r="B5290" s="2"/>
      <c r="C5290" s="26"/>
      <c r="D5290" s="26"/>
      <c r="F5290" s="85" t="str">
        <f t="shared" si="0"/>
        <v/>
      </c>
      <c r="G5290" s="1" t="e">
        <f>IF(VALUE(F5290) = VALUE(RIGHT(Insights!$C$3, 4)), E5290, "")</f>
        <v>#VALUE!</v>
      </c>
      <c r="H5290" s="26" t="e">
        <f t="shared" si="1"/>
        <v>#VALUE!</v>
      </c>
      <c r="I5290" s="1" t="e">
        <f t="shared" si="2"/>
        <v>#VALUE!</v>
      </c>
    </row>
    <row r="5291" spans="1:9" ht="15.75" customHeight="1">
      <c r="A5291" s="26"/>
      <c r="B5291" s="2"/>
      <c r="C5291" s="26"/>
      <c r="D5291" s="26"/>
      <c r="F5291" s="85" t="str">
        <f t="shared" si="0"/>
        <v/>
      </c>
      <c r="G5291" s="1" t="e">
        <f>IF(VALUE(F5291) = VALUE(RIGHT(Insights!$C$3, 4)), E5291, "")</f>
        <v>#VALUE!</v>
      </c>
      <c r="H5291" s="26" t="e">
        <f t="shared" si="1"/>
        <v>#VALUE!</v>
      </c>
      <c r="I5291" s="1" t="e">
        <f t="shared" si="2"/>
        <v>#VALUE!</v>
      </c>
    </row>
    <row r="5292" spans="1:9" ht="15.75" customHeight="1">
      <c r="A5292" s="26"/>
      <c r="B5292" s="2"/>
      <c r="C5292" s="26"/>
      <c r="D5292" s="26"/>
      <c r="F5292" s="85" t="str">
        <f t="shared" si="0"/>
        <v/>
      </c>
      <c r="G5292" s="1" t="e">
        <f>IF(VALUE(F5292) = VALUE(RIGHT(Insights!$C$3, 4)), E5292, "")</f>
        <v>#VALUE!</v>
      </c>
      <c r="H5292" s="26" t="e">
        <f t="shared" si="1"/>
        <v>#VALUE!</v>
      </c>
      <c r="I5292" s="1" t="e">
        <f t="shared" si="2"/>
        <v>#VALUE!</v>
      </c>
    </row>
    <row r="5293" spans="1:9" ht="15.75" customHeight="1">
      <c r="A5293" s="26"/>
      <c r="B5293" s="2"/>
      <c r="C5293" s="26"/>
      <c r="D5293" s="26"/>
      <c r="F5293" s="85" t="str">
        <f t="shared" si="0"/>
        <v/>
      </c>
      <c r="G5293" s="1" t="e">
        <f>IF(VALUE(F5293) = VALUE(RIGHT(Insights!$C$3, 4)), E5293, "")</f>
        <v>#VALUE!</v>
      </c>
      <c r="H5293" s="26" t="e">
        <f t="shared" si="1"/>
        <v>#VALUE!</v>
      </c>
      <c r="I5293" s="1" t="e">
        <f t="shared" si="2"/>
        <v>#VALUE!</v>
      </c>
    </row>
    <row r="5294" spans="1:9" ht="15.75" customHeight="1">
      <c r="A5294" s="26"/>
      <c r="B5294" s="2"/>
      <c r="C5294" s="26"/>
      <c r="D5294" s="26"/>
      <c r="F5294" s="85" t="str">
        <f t="shared" si="0"/>
        <v/>
      </c>
      <c r="G5294" s="1" t="e">
        <f>IF(VALUE(F5294) = VALUE(RIGHT(Insights!$C$3, 4)), E5294, "")</f>
        <v>#VALUE!</v>
      </c>
      <c r="H5294" s="26" t="e">
        <f t="shared" si="1"/>
        <v>#VALUE!</v>
      </c>
      <c r="I5294" s="1" t="e">
        <f t="shared" si="2"/>
        <v>#VALUE!</v>
      </c>
    </row>
    <row r="5295" spans="1:9" ht="15.75" customHeight="1">
      <c r="A5295" s="26"/>
      <c r="B5295" s="2"/>
      <c r="C5295" s="26"/>
      <c r="D5295" s="26"/>
      <c r="F5295" s="85" t="str">
        <f t="shared" si="0"/>
        <v/>
      </c>
      <c r="G5295" s="1" t="e">
        <f>IF(VALUE(F5295) = VALUE(RIGHT(Insights!$C$3, 4)), E5295, "")</f>
        <v>#VALUE!</v>
      </c>
      <c r="H5295" s="26" t="e">
        <f t="shared" si="1"/>
        <v>#VALUE!</v>
      </c>
      <c r="I5295" s="1" t="e">
        <f t="shared" si="2"/>
        <v>#VALUE!</v>
      </c>
    </row>
    <row r="5296" spans="1:9" ht="15.75" customHeight="1">
      <c r="A5296" s="26"/>
      <c r="B5296" s="2"/>
      <c r="C5296" s="26"/>
      <c r="D5296" s="26"/>
      <c r="F5296" s="85" t="str">
        <f t="shared" si="0"/>
        <v/>
      </c>
      <c r="G5296" s="1" t="e">
        <f>IF(VALUE(F5296) = VALUE(RIGHT(Insights!$C$3, 4)), E5296, "")</f>
        <v>#VALUE!</v>
      </c>
      <c r="H5296" s="26" t="e">
        <f t="shared" si="1"/>
        <v>#VALUE!</v>
      </c>
      <c r="I5296" s="1" t="e">
        <f t="shared" si="2"/>
        <v>#VALUE!</v>
      </c>
    </row>
    <row r="5297" spans="1:9" ht="15.75" customHeight="1">
      <c r="A5297" s="26"/>
      <c r="B5297" s="2"/>
      <c r="C5297" s="26"/>
      <c r="D5297" s="26"/>
      <c r="F5297" s="85" t="str">
        <f t="shared" si="0"/>
        <v/>
      </c>
      <c r="G5297" s="1" t="e">
        <f>IF(VALUE(F5297) = VALUE(RIGHT(Insights!$C$3, 4)), E5297, "")</f>
        <v>#VALUE!</v>
      </c>
      <c r="H5297" s="26" t="e">
        <f t="shared" si="1"/>
        <v>#VALUE!</v>
      </c>
      <c r="I5297" s="1" t="e">
        <f t="shared" si="2"/>
        <v>#VALUE!</v>
      </c>
    </row>
    <row r="5298" spans="1:9" ht="15.75" customHeight="1">
      <c r="A5298" s="26"/>
      <c r="B5298" s="2"/>
      <c r="C5298" s="26"/>
      <c r="D5298" s="26"/>
      <c r="F5298" s="85" t="str">
        <f t="shared" si="0"/>
        <v/>
      </c>
      <c r="G5298" s="1" t="e">
        <f>IF(VALUE(F5298) = VALUE(RIGHT(Insights!$C$3, 4)), E5298, "")</f>
        <v>#VALUE!</v>
      </c>
      <c r="H5298" s="26" t="e">
        <f t="shared" si="1"/>
        <v>#VALUE!</v>
      </c>
      <c r="I5298" s="1" t="e">
        <f t="shared" si="2"/>
        <v>#VALUE!</v>
      </c>
    </row>
    <row r="5299" spans="1:9" ht="15.75" customHeight="1">
      <c r="A5299" s="26"/>
      <c r="B5299" s="2"/>
      <c r="C5299" s="26"/>
      <c r="D5299" s="26"/>
      <c r="F5299" s="85" t="str">
        <f t="shared" si="0"/>
        <v/>
      </c>
      <c r="G5299" s="1" t="e">
        <f>IF(VALUE(F5299) = VALUE(RIGHT(Insights!$C$3, 4)), E5299, "")</f>
        <v>#VALUE!</v>
      </c>
      <c r="H5299" s="26" t="e">
        <f t="shared" si="1"/>
        <v>#VALUE!</v>
      </c>
      <c r="I5299" s="1" t="e">
        <f t="shared" si="2"/>
        <v>#VALUE!</v>
      </c>
    </row>
    <row r="5300" spans="1:9" ht="15.75" customHeight="1">
      <c r="A5300" s="26"/>
      <c r="B5300" s="2"/>
      <c r="C5300" s="26"/>
      <c r="D5300" s="26"/>
      <c r="F5300" s="85" t="str">
        <f t="shared" si="0"/>
        <v/>
      </c>
      <c r="G5300" s="1" t="e">
        <f>IF(VALUE(F5300) = VALUE(RIGHT(Insights!$C$3, 4)), E5300, "")</f>
        <v>#VALUE!</v>
      </c>
      <c r="H5300" s="26" t="e">
        <f t="shared" si="1"/>
        <v>#VALUE!</v>
      </c>
      <c r="I5300" s="1" t="e">
        <f t="shared" si="2"/>
        <v>#VALUE!</v>
      </c>
    </row>
    <row r="5301" spans="1:9" ht="15.75" customHeight="1">
      <c r="A5301" s="26"/>
      <c r="B5301" s="2"/>
      <c r="C5301" s="26"/>
      <c r="D5301" s="26"/>
      <c r="F5301" s="85" t="str">
        <f t="shared" si="0"/>
        <v/>
      </c>
      <c r="G5301" s="1" t="e">
        <f>IF(VALUE(F5301) = VALUE(RIGHT(Insights!$C$3, 4)), E5301, "")</f>
        <v>#VALUE!</v>
      </c>
      <c r="H5301" s="26" t="e">
        <f t="shared" si="1"/>
        <v>#VALUE!</v>
      </c>
      <c r="I5301" s="1" t="e">
        <f t="shared" si="2"/>
        <v>#VALUE!</v>
      </c>
    </row>
    <row r="5302" spans="1:9" ht="15.75" customHeight="1">
      <c r="A5302" s="26"/>
      <c r="B5302" s="2"/>
      <c r="C5302" s="26"/>
      <c r="D5302" s="26"/>
      <c r="F5302" s="85" t="str">
        <f t="shared" si="0"/>
        <v/>
      </c>
      <c r="G5302" s="1" t="e">
        <f>IF(VALUE(F5302) = VALUE(RIGHT(Insights!$C$3, 4)), E5302, "")</f>
        <v>#VALUE!</v>
      </c>
      <c r="H5302" s="26" t="e">
        <f t="shared" si="1"/>
        <v>#VALUE!</v>
      </c>
      <c r="I5302" s="1" t="e">
        <f t="shared" si="2"/>
        <v>#VALUE!</v>
      </c>
    </row>
    <row r="5303" spans="1:9" ht="15.75" customHeight="1">
      <c r="A5303" s="26"/>
      <c r="B5303" s="2"/>
      <c r="C5303" s="26"/>
      <c r="D5303" s="26"/>
      <c r="F5303" s="85" t="str">
        <f t="shared" si="0"/>
        <v/>
      </c>
      <c r="G5303" s="1" t="e">
        <f>IF(VALUE(F5303) = VALUE(RIGHT(Insights!$C$3, 4)), E5303, "")</f>
        <v>#VALUE!</v>
      </c>
      <c r="H5303" s="26" t="e">
        <f t="shared" si="1"/>
        <v>#VALUE!</v>
      </c>
      <c r="I5303" s="1" t="e">
        <f t="shared" si="2"/>
        <v>#VALUE!</v>
      </c>
    </row>
    <row r="5304" spans="1:9" ht="15.75" customHeight="1">
      <c r="A5304" s="26"/>
      <c r="B5304" s="2"/>
      <c r="C5304" s="26"/>
      <c r="D5304" s="26"/>
      <c r="F5304" s="85" t="str">
        <f t="shared" si="0"/>
        <v/>
      </c>
      <c r="G5304" s="1" t="e">
        <f>IF(VALUE(F5304) = VALUE(RIGHT(Insights!$C$3, 4)), E5304, "")</f>
        <v>#VALUE!</v>
      </c>
      <c r="H5304" s="26" t="e">
        <f t="shared" si="1"/>
        <v>#VALUE!</v>
      </c>
      <c r="I5304" s="1" t="e">
        <f t="shared" si="2"/>
        <v>#VALUE!</v>
      </c>
    </row>
    <row r="5305" spans="1:9" ht="15.75" customHeight="1">
      <c r="A5305" s="26"/>
      <c r="B5305" s="2"/>
      <c r="C5305" s="26"/>
      <c r="D5305" s="26"/>
      <c r="F5305" s="85" t="str">
        <f t="shared" si="0"/>
        <v/>
      </c>
      <c r="G5305" s="1" t="e">
        <f>IF(VALUE(F5305) = VALUE(RIGHT(Insights!$C$3, 4)), E5305, "")</f>
        <v>#VALUE!</v>
      </c>
      <c r="H5305" s="26" t="e">
        <f t="shared" si="1"/>
        <v>#VALUE!</v>
      </c>
      <c r="I5305" s="1" t="e">
        <f t="shared" si="2"/>
        <v>#VALUE!</v>
      </c>
    </row>
    <row r="5306" spans="1:9" ht="15.75" customHeight="1">
      <c r="A5306" s="26"/>
      <c r="B5306" s="2"/>
      <c r="C5306" s="26"/>
      <c r="D5306" s="26"/>
      <c r="F5306" s="85" t="str">
        <f t="shared" si="0"/>
        <v/>
      </c>
      <c r="G5306" s="1" t="e">
        <f>IF(VALUE(F5306) = VALUE(RIGHT(Insights!$C$3, 4)), E5306, "")</f>
        <v>#VALUE!</v>
      </c>
      <c r="H5306" s="26" t="e">
        <f t="shared" si="1"/>
        <v>#VALUE!</v>
      </c>
      <c r="I5306" s="1" t="e">
        <f t="shared" si="2"/>
        <v>#VALUE!</v>
      </c>
    </row>
    <row r="5307" spans="1:9" ht="15.75" customHeight="1">
      <c r="A5307" s="26"/>
      <c r="B5307" s="2"/>
      <c r="C5307" s="26"/>
      <c r="D5307" s="26"/>
      <c r="F5307" s="85" t="str">
        <f t="shared" si="0"/>
        <v/>
      </c>
      <c r="G5307" s="1" t="e">
        <f>IF(VALUE(F5307) = VALUE(RIGHT(Insights!$C$3, 4)), E5307, "")</f>
        <v>#VALUE!</v>
      </c>
      <c r="H5307" s="26" t="e">
        <f t="shared" si="1"/>
        <v>#VALUE!</v>
      </c>
      <c r="I5307" s="1" t="e">
        <f t="shared" si="2"/>
        <v>#VALUE!</v>
      </c>
    </row>
    <row r="5308" spans="1:9" ht="15.75" customHeight="1">
      <c r="A5308" s="26"/>
      <c r="B5308" s="2"/>
      <c r="C5308" s="26"/>
      <c r="D5308" s="26"/>
      <c r="F5308" s="85" t="str">
        <f t="shared" si="0"/>
        <v/>
      </c>
      <c r="G5308" s="1" t="e">
        <f>IF(VALUE(F5308) = VALUE(RIGHT(Insights!$C$3, 4)), E5308, "")</f>
        <v>#VALUE!</v>
      </c>
      <c r="H5308" s="26" t="e">
        <f t="shared" si="1"/>
        <v>#VALUE!</v>
      </c>
      <c r="I5308" s="1" t="e">
        <f t="shared" si="2"/>
        <v>#VALUE!</v>
      </c>
    </row>
    <row r="5309" spans="1:9" ht="15.75" customHeight="1">
      <c r="A5309" s="26"/>
      <c r="B5309" s="2"/>
      <c r="C5309" s="26"/>
      <c r="D5309" s="26"/>
      <c r="F5309" s="85" t="str">
        <f t="shared" si="0"/>
        <v/>
      </c>
      <c r="G5309" s="1" t="e">
        <f>IF(VALUE(F5309) = VALUE(RIGHT(Insights!$C$3, 4)), E5309, "")</f>
        <v>#VALUE!</v>
      </c>
      <c r="H5309" s="26" t="e">
        <f t="shared" si="1"/>
        <v>#VALUE!</v>
      </c>
      <c r="I5309" s="1" t="e">
        <f t="shared" si="2"/>
        <v>#VALUE!</v>
      </c>
    </row>
    <row r="5310" spans="1:9" ht="15.75" customHeight="1">
      <c r="A5310" s="26"/>
      <c r="B5310" s="2"/>
      <c r="C5310" s="26"/>
      <c r="D5310" s="26"/>
      <c r="F5310" s="85" t="str">
        <f t="shared" si="0"/>
        <v/>
      </c>
      <c r="G5310" s="1" t="e">
        <f>IF(VALUE(F5310) = VALUE(RIGHT(Insights!$C$3, 4)), E5310, "")</f>
        <v>#VALUE!</v>
      </c>
      <c r="H5310" s="26" t="e">
        <f t="shared" si="1"/>
        <v>#VALUE!</v>
      </c>
      <c r="I5310" s="1" t="e">
        <f t="shared" si="2"/>
        <v>#VALUE!</v>
      </c>
    </row>
    <row r="5311" spans="1:9" ht="15.75" customHeight="1">
      <c r="A5311" s="26"/>
      <c r="B5311" s="2"/>
      <c r="C5311" s="26"/>
      <c r="D5311" s="26"/>
      <c r="F5311" s="85" t="str">
        <f t="shared" si="0"/>
        <v/>
      </c>
      <c r="G5311" s="1" t="e">
        <f>IF(VALUE(F5311) = VALUE(RIGHT(Insights!$C$3, 4)), E5311, "")</f>
        <v>#VALUE!</v>
      </c>
      <c r="H5311" s="26" t="e">
        <f t="shared" si="1"/>
        <v>#VALUE!</v>
      </c>
      <c r="I5311" s="1" t="e">
        <f t="shared" si="2"/>
        <v>#VALUE!</v>
      </c>
    </row>
    <row r="5312" spans="1:9" ht="15.75" customHeight="1">
      <c r="A5312" s="26"/>
      <c r="B5312" s="2"/>
      <c r="C5312" s="26"/>
      <c r="D5312" s="26"/>
      <c r="F5312" s="85" t="str">
        <f t="shared" si="0"/>
        <v/>
      </c>
      <c r="G5312" s="1" t="e">
        <f>IF(VALUE(F5312) = VALUE(RIGHT(Insights!$C$3, 4)), E5312, "")</f>
        <v>#VALUE!</v>
      </c>
      <c r="H5312" s="26" t="e">
        <f t="shared" si="1"/>
        <v>#VALUE!</v>
      </c>
      <c r="I5312" s="1" t="e">
        <f t="shared" si="2"/>
        <v>#VALUE!</v>
      </c>
    </row>
    <row r="5313" spans="1:9" ht="15.75" customHeight="1">
      <c r="A5313" s="26"/>
      <c r="B5313" s="2"/>
      <c r="C5313" s="26"/>
      <c r="D5313" s="26"/>
      <c r="F5313" s="85" t="str">
        <f t="shared" si="0"/>
        <v/>
      </c>
      <c r="G5313" s="1" t="e">
        <f>IF(VALUE(F5313) = VALUE(RIGHT(Insights!$C$3, 4)), E5313, "")</f>
        <v>#VALUE!</v>
      </c>
      <c r="H5313" s="26" t="e">
        <f t="shared" si="1"/>
        <v>#VALUE!</v>
      </c>
      <c r="I5313" s="1" t="e">
        <f t="shared" si="2"/>
        <v>#VALUE!</v>
      </c>
    </row>
    <row r="5314" spans="1:9" ht="15.75" customHeight="1">
      <c r="A5314" s="26"/>
      <c r="B5314" s="2"/>
      <c r="C5314" s="26"/>
      <c r="D5314" s="26"/>
      <c r="F5314" s="85" t="str">
        <f t="shared" si="0"/>
        <v/>
      </c>
      <c r="G5314" s="1" t="e">
        <f>IF(VALUE(F5314) = VALUE(RIGHT(Insights!$C$3, 4)), E5314, "")</f>
        <v>#VALUE!</v>
      </c>
      <c r="H5314" s="26" t="e">
        <f t="shared" si="1"/>
        <v>#VALUE!</v>
      </c>
      <c r="I5314" s="1" t="e">
        <f t="shared" si="2"/>
        <v>#VALUE!</v>
      </c>
    </row>
    <row r="5315" spans="1:9" ht="15.75" customHeight="1">
      <c r="A5315" s="26"/>
      <c r="B5315" s="2"/>
      <c r="C5315" s="26"/>
      <c r="D5315" s="26"/>
      <c r="F5315" s="85" t="str">
        <f t="shared" si="0"/>
        <v/>
      </c>
      <c r="G5315" s="1" t="e">
        <f>IF(VALUE(F5315) = VALUE(RIGHT(Insights!$C$3, 4)), E5315, "")</f>
        <v>#VALUE!</v>
      </c>
      <c r="H5315" s="26" t="e">
        <f t="shared" si="1"/>
        <v>#VALUE!</v>
      </c>
      <c r="I5315" s="1" t="e">
        <f t="shared" si="2"/>
        <v>#VALUE!</v>
      </c>
    </row>
    <row r="5316" spans="1:9" ht="15.75" customHeight="1">
      <c r="A5316" s="26"/>
      <c r="B5316" s="2"/>
      <c r="C5316" s="26"/>
      <c r="D5316" s="26"/>
      <c r="F5316" s="85" t="str">
        <f t="shared" si="0"/>
        <v/>
      </c>
      <c r="G5316" s="1" t="e">
        <f>IF(VALUE(F5316) = VALUE(RIGHT(Insights!$C$3, 4)), E5316, "")</f>
        <v>#VALUE!</v>
      </c>
      <c r="H5316" s="26" t="e">
        <f t="shared" si="1"/>
        <v>#VALUE!</v>
      </c>
      <c r="I5316" s="1" t="e">
        <f t="shared" si="2"/>
        <v>#VALUE!</v>
      </c>
    </row>
    <row r="5317" spans="1:9" ht="15.75" customHeight="1">
      <c r="A5317" s="26"/>
      <c r="B5317" s="2"/>
      <c r="C5317" s="26"/>
      <c r="D5317" s="26"/>
      <c r="F5317" s="85" t="str">
        <f t="shared" si="0"/>
        <v/>
      </c>
      <c r="G5317" s="1" t="e">
        <f>IF(VALUE(F5317) = VALUE(RIGHT(Insights!$C$3, 4)), E5317, "")</f>
        <v>#VALUE!</v>
      </c>
      <c r="H5317" s="26" t="e">
        <f t="shared" si="1"/>
        <v>#VALUE!</v>
      </c>
      <c r="I5317" s="1" t="e">
        <f t="shared" si="2"/>
        <v>#VALUE!</v>
      </c>
    </row>
    <row r="5318" spans="1:9" ht="15.75" customHeight="1">
      <c r="A5318" s="26"/>
      <c r="B5318" s="2"/>
      <c r="C5318" s="26"/>
      <c r="D5318" s="26"/>
      <c r="F5318" s="85" t="str">
        <f t="shared" si="0"/>
        <v/>
      </c>
      <c r="G5318" s="1" t="e">
        <f>IF(VALUE(F5318) = VALUE(RIGHT(Insights!$C$3, 4)), E5318, "")</f>
        <v>#VALUE!</v>
      </c>
      <c r="H5318" s="26" t="e">
        <f t="shared" si="1"/>
        <v>#VALUE!</v>
      </c>
      <c r="I5318" s="1" t="e">
        <f t="shared" si="2"/>
        <v>#VALUE!</v>
      </c>
    </row>
    <row r="5319" spans="1:9" ht="15.75" customHeight="1">
      <c r="A5319" s="26"/>
      <c r="B5319" s="2"/>
      <c r="C5319" s="26"/>
      <c r="D5319" s="26"/>
      <c r="F5319" s="85" t="str">
        <f t="shared" si="0"/>
        <v/>
      </c>
      <c r="G5319" s="1" t="e">
        <f>IF(VALUE(F5319) = VALUE(RIGHT(Insights!$C$3, 4)), E5319, "")</f>
        <v>#VALUE!</v>
      </c>
      <c r="H5319" s="26" t="e">
        <f t="shared" si="1"/>
        <v>#VALUE!</v>
      </c>
      <c r="I5319" s="1" t="e">
        <f t="shared" si="2"/>
        <v>#VALUE!</v>
      </c>
    </row>
    <row r="5320" spans="1:9" ht="15.75" customHeight="1">
      <c r="A5320" s="26"/>
      <c r="B5320" s="2"/>
      <c r="C5320" s="26"/>
      <c r="D5320" s="26"/>
      <c r="F5320" s="85" t="str">
        <f t="shared" si="0"/>
        <v/>
      </c>
      <c r="G5320" s="1" t="e">
        <f>IF(VALUE(F5320) = VALUE(RIGHT(Insights!$C$3, 4)), E5320, "")</f>
        <v>#VALUE!</v>
      </c>
      <c r="H5320" s="26" t="e">
        <f t="shared" si="1"/>
        <v>#VALUE!</v>
      </c>
      <c r="I5320" s="1" t="e">
        <f t="shared" si="2"/>
        <v>#VALUE!</v>
      </c>
    </row>
    <row r="5321" spans="1:9" ht="15.75" customHeight="1">
      <c r="A5321" s="26"/>
      <c r="B5321" s="2"/>
      <c r="C5321" s="26"/>
      <c r="D5321" s="26"/>
      <c r="F5321" s="85" t="str">
        <f t="shared" si="0"/>
        <v/>
      </c>
      <c r="G5321" s="1" t="e">
        <f>IF(VALUE(F5321) = VALUE(RIGHT(Insights!$C$3, 4)), E5321, "")</f>
        <v>#VALUE!</v>
      </c>
      <c r="H5321" s="26" t="e">
        <f t="shared" si="1"/>
        <v>#VALUE!</v>
      </c>
      <c r="I5321" s="1" t="e">
        <f t="shared" si="2"/>
        <v>#VALUE!</v>
      </c>
    </row>
    <row r="5322" spans="1:9" ht="15.75" customHeight="1">
      <c r="A5322" s="26"/>
      <c r="B5322" s="2"/>
      <c r="C5322" s="26"/>
      <c r="D5322" s="26"/>
      <c r="F5322" s="85" t="str">
        <f t="shared" si="0"/>
        <v/>
      </c>
      <c r="G5322" s="1" t="e">
        <f>IF(VALUE(F5322) = VALUE(RIGHT(Insights!$C$3, 4)), E5322, "")</f>
        <v>#VALUE!</v>
      </c>
      <c r="H5322" s="26" t="e">
        <f t="shared" si="1"/>
        <v>#VALUE!</v>
      </c>
      <c r="I5322" s="1" t="e">
        <f t="shared" si="2"/>
        <v>#VALUE!</v>
      </c>
    </row>
    <row r="5323" spans="1:9" ht="15.75" customHeight="1">
      <c r="A5323" s="26"/>
      <c r="B5323" s="2"/>
      <c r="C5323" s="26"/>
      <c r="D5323" s="26"/>
      <c r="F5323" s="85" t="str">
        <f t="shared" si="0"/>
        <v/>
      </c>
      <c r="G5323" s="1" t="e">
        <f>IF(VALUE(F5323) = VALUE(RIGHT(Insights!$C$3, 4)), E5323, "")</f>
        <v>#VALUE!</v>
      </c>
      <c r="H5323" s="26" t="e">
        <f t="shared" si="1"/>
        <v>#VALUE!</v>
      </c>
      <c r="I5323" s="1" t="e">
        <f t="shared" si="2"/>
        <v>#VALUE!</v>
      </c>
    </row>
    <row r="5324" spans="1:9" ht="15.75" customHeight="1">
      <c r="A5324" s="26"/>
      <c r="B5324" s="2"/>
      <c r="C5324" s="26"/>
      <c r="D5324" s="26"/>
      <c r="F5324" s="85" t="str">
        <f t="shared" si="0"/>
        <v/>
      </c>
      <c r="G5324" s="1" t="e">
        <f>IF(VALUE(F5324) = VALUE(RIGHT(Insights!$C$3, 4)), E5324, "")</f>
        <v>#VALUE!</v>
      </c>
      <c r="H5324" s="26" t="e">
        <f t="shared" si="1"/>
        <v>#VALUE!</v>
      </c>
      <c r="I5324" s="1" t="e">
        <f t="shared" si="2"/>
        <v>#VALUE!</v>
      </c>
    </row>
    <row r="5325" spans="1:9" ht="15.75" customHeight="1">
      <c r="A5325" s="26"/>
      <c r="B5325" s="2"/>
      <c r="C5325" s="26"/>
      <c r="D5325" s="26"/>
      <c r="F5325" s="85" t="str">
        <f t="shared" si="0"/>
        <v/>
      </c>
      <c r="G5325" s="1" t="e">
        <f>IF(VALUE(F5325) = VALUE(RIGHT(Insights!$C$3, 4)), E5325, "")</f>
        <v>#VALUE!</v>
      </c>
      <c r="H5325" s="26" t="e">
        <f t="shared" si="1"/>
        <v>#VALUE!</v>
      </c>
      <c r="I5325" s="1" t="e">
        <f t="shared" si="2"/>
        <v>#VALUE!</v>
      </c>
    </row>
    <row r="5326" spans="1:9" ht="15.75" customHeight="1">
      <c r="A5326" s="26"/>
      <c r="B5326" s="2"/>
      <c r="C5326" s="26"/>
      <c r="D5326" s="26"/>
      <c r="F5326" s="85" t="str">
        <f t="shared" si="0"/>
        <v/>
      </c>
      <c r="G5326" s="1" t="e">
        <f>IF(VALUE(F5326) = VALUE(RIGHT(Insights!$C$3, 4)), E5326, "")</f>
        <v>#VALUE!</v>
      </c>
      <c r="H5326" s="26" t="e">
        <f t="shared" si="1"/>
        <v>#VALUE!</v>
      </c>
      <c r="I5326" s="1" t="e">
        <f t="shared" si="2"/>
        <v>#VALUE!</v>
      </c>
    </row>
    <row r="5327" spans="1:9" ht="15.75" customHeight="1">
      <c r="A5327" s="26"/>
      <c r="B5327" s="2"/>
      <c r="C5327" s="26"/>
      <c r="D5327" s="26"/>
      <c r="F5327" s="85" t="str">
        <f t="shared" si="0"/>
        <v/>
      </c>
      <c r="G5327" s="1" t="e">
        <f>IF(VALUE(F5327) = VALUE(RIGHT(Insights!$C$3, 4)), E5327, "")</f>
        <v>#VALUE!</v>
      </c>
      <c r="H5327" s="26" t="e">
        <f t="shared" si="1"/>
        <v>#VALUE!</v>
      </c>
      <c r="I5327" s="1" t="e">
        <f t="shared" si="2"/>
        <v>#VALUE!</v>
      </c>
    </row>
    <row r="5328" spans="1:9" ht="15.75" customHeight="1">
      <c r="A5328" s="26"/>
      <c r="B5328" s="2"/>
      <c r="C5328" s="26"/>
      <c r="D5328" s="26"/>
      <c r="F5328" s="85" t="str">
        <f t="shared" si="0"/>
        <v/>
      </c>
      <c r="G5328" s="1" t="e">
        <f>IF(VALUE(F5328) = VALUE(RIGHT(Insights!$C$3, 4)), E5328, "")</f>
        <v>#VALUE!</v>
      </c>
      <c r="H5328" s="26" t="e">
        <f t="shared" si="1"/>
        <v>#VALUE!</v>
      </c>
      <c r="I5328" s="1" t="e">
        <f t="shared" si="2"/>
        <v>#VALUE!</v>
      </c>
    </row>
    <row r="5329" spans="1:9" ht="15.75" customHeight="1">
      <c r="A5329" s="26"/>
      <c r="B5329" s="2"/>
      <c r="C5329" s="26"/>
      <c r="D5329" s="26"/>
      <c r="F5329" s="85" t="str">
        <f t="shared" si="0"/>
        <v/>
      </c>
      <c r="G5329" s="1" t="e">
        <f>IF(VALUE(F5329) = VALUE(RIGHT(Insights!$C$3, 4)), E5329, "")</f>
        <v>#VALUE!</v>
      </c>
      <c r="H5329" s="26" t="e">
        <f t="shared" si="1"/>
        <v>#VALUE!</v>
      </c>
      <c r="I5329" s="1" t="e">
        <f t="shared" si="2"/>
        <v>#VALUE!</v>
      </c>
    </row>
    <row r="5330" spans="1:9" ht="15.75" customHeight="1">
      <c r="A5330" s="26"/>
      <c r="B5330" s="2"/>
      <c r="C5330" s="26"/>
      <c r="D5330" s="26"/>
      <c r="F5330" s="85" t="str">
        <f t="shared" si="0"/>
        <v/>
      </c>
      <c r="G5330" s="1" t="e">
        <f>IF(VALUE(F5330) = VALUE(RIGHT(Insights!$C$3, 4)), E5330, "")</f>
        <v>#VALUE!</v>
      </c>
      <c r="H5330" s="26" t="e">
        <f t="shared" si="1"/>
        <v>#VALUE!</v>
      </c>
      <c r="I5330" s="1" t="e">
        <f t="shared" si="2"/>
        <v>#VALUE!</v>
      </c>
    </row>
    <row r="5331" spans="1:9" ht="15.75" customHeight="1">
      <c r="A5331" s="26"/>
      <c r="B5331" s="2"/>
      <c r="C5331" s="26"/>
      <c r="D5331" s="26"/>
      <c r="F5331" s="85" t="str">
        <f t="shared" si="0"/>
        <v/>
      </c>
      <c r="G5331" s="1" t="e">
        <f>IF(VALUE(F5331) = VALUE(RIGHT(Insights!$C$3, 4)), E5331, "")</f>
        <v>#VALUE!</v>
      </c>
      <c r="H5331" s="26" t="e">
        <f t="shared" si="1"/>
        <v>#VALUE!</v>
      </c>
      <c r="I5331" s="1" t="e">
        <f t="shared" si="2"/>
        <v>#VALUE!</v>
      </c>
    </row>
    <row r="5332" spans="1:9" ht="15.75" customHeight="1">
      <c r="A5332" s="26"/>
      <c r="B5332" s="2"/>
      <c r="C5332" s="26"/>
      <c r="D5332" s="26"/>
      <c r="F5332" s="85" t="str">
        <f t="shared" si="0"/>
        <v/>
      </c>
      <c r="G5332" s="1" t="e">
        <f>IF(VALUE(F5332) = VALUE(RIGHT(Insights!$C$3, 4)), E5332, "")</f>
        <v>#VALUE!</v>
      </c>
      <c r="H5332" s="26" t="e">
        <f t="shared" si="1"/>
        <v>#VALUE!</v>
      </c>
      <c r="I5332" s="1" t="e">
        <f t="shared" si="2"/>
        <v>#VALUE!</v>
      </c>
    </row>
    <row r="5333" spans="1:9" ht="15.75" customHeight="1">
      <c r="A5333" s="26"/>
      <c r="B5333" s="2"/>
      <c r="C5333" s="26"/>
      <c r="D5333" s="26"/>
      <c r="F5333" s="85" t="str">
        <f t="shared" si="0"/>
        <v/>
      </c>
      <c r="G5333" s="1" t="e">
        <f>IF(VALUE(F5333) = VALUE(RIGHT(Insights!$C$3, 4)), E5333, "")</f>
        <v>#VALUE!</v>
      </c>
      <c r="H5333" s="26" t="e">
        <f t="shared" si="1"/>
        <v>#VALUE!</v>
      </c>
      <c r="I5333" s="1" t="e">
        <f t="shared" si="2"/>
        <v>#VALUE!</v>
      </c>
    </row>
    <row r="5334" spans="1:9" ht="15.75" customHeight="1">
      <c r="A5334" s="26"/>
      <c r="B5334" s="2"/>
      <c r="C5334" s="26"/>
      <c r="D5334" s="26"/>
      <c r="F5334" s="85" t="str">
        <f t="shared" si="0"/>
        <v/>
      </c>
      <c r="G5334" s="1" t="e">
        <f>IF(VALUE(F5334) = VALUE(RIGHT(Insights!$C$3, 4)), E5334, "")</f>
        <v>#VALUE!</v>
      </c>
      <c r="H5334" s="26" t="e">
        <f t="shared" si="1"/>
        <v>#VALUE!</v>
      </c>
      <c r="I5334" s="1" t="e">
        <f t="shared" si="2"/>
        <v>#VALUE!</v>
      </c>
    </row>
    <row r="5335" spans="1:9" ht="15.75" customHeight="1">
      <c r="A5335" s="26"/>
      <c r="B5335" s="2"/>
      <c r="C5335" s="26"/>
      <c r="D5335" s="26"/>
      <c r="F5335" s="85" t="str">
        <f t="shared" si="0"/>
        <v/>
      </c>
      <c r="G5335" s="1" t="e">
        <f>IF(VALUE(F5335) = VALUE(RIGHT(Insights!$C$3, 4)), E5335, "")</f>
        <v>#VALUE!</v>
      </c>
      <c r="H5335" s="26" t="e">
        <f t="shared" si="1"/>
        <v>#VALUE!</v>
      </c>
      <c r="I5335" s="1" t="e">
        <f t="shared" si="2"/>
        <v>#VALUE!</v>
      </c>
    </row>
    <row r="5336" spans="1:9" ht="15.75" customHeight="1">
      <c r="A5336" s="26"/>
      <c r="B5336" s="2"/>
      <c r="C5336" s="26"/>
      <c r="D5336" s="26"/>
      <c r="F5336" s="85" t="str">
        <f t="shared" si="0"/>
        <v/>
      </c>
      <c r="G5336" s="1" t="e">
        <f>IF(VALUE(F5336) = VALUE(RIGHT(Insights!$C$3, 4)), E5336, "")</f>
        <v>#VALUE!</v>
      </c>
      <c r="H5336" s="26" t="e">
        <f t="shared" si="1"/>
        <v>#VALUE!</v>
      </c>
      <c r="I5336" s="1" t="e">
        <f t="shared" si="2"/>
        <v>#VALUE!</v>
      </c>
    </row>
    <row r="5337" spans="1:9" ht="15.75" customHeight="1">
      <c r="A5337" s="26"/>
      <c r="B5337" s="2"/>
      <c r="C5337" s="26"/>
      <c r="D5337" s="26"/>
      <c r="F5337" s="85" t="str">
        <f t="shared" si="0"/>
        <v/>
      </c>
      <c r="G5337" s="1" t="e">
        <f>IF(VALUE(F5337) = VALUE(RIGHT(Insights!$C$3, 4)), E5337, "")</f>
        <v>#VALUE!</v>
      </c>
      <c r="H5337" s="26" t="e">
        <f t="shared" si="1"/>
        <v>#VALUE!</v>
      </c>
      <c r="I5337" s="1" t="e">
        <f t="shared" si="2"/>
        <v>#VALUE!</v>
      </c>
    </row>
    <row r="5338" spans="1:9" ht="15.75" customHeight="1">
      <c r="A5338" s="26"/>
      <c r="B5338" s="2"/>
      <c r="C5338" s="26"/>
      <c r="D5338" s="26"/>
      <c r="F5338" s="85" t="str">
        <f t="shared" si="0"/>
        <v/>
      </c>
      <c r="G5338" s="1" t="e">
        <f>IF(VALUE(F5338) = VALUE(RIGHT(Insights!$C$3, 4)), E5338, "")</f>
        <v>#VALUE!</v>
      </c>
      <c r="H5338" s="26" t="e">
        <f t="shared" si="1"/>
        <v>#VALUE!</v>
      </c>
      <c r="I5338" s="1" t="e">
        <f t="shared" si="2"/>
        <v>#VALUE!</v>
      </c>
    </row>
    <row r="5339" spans="1:9" ht="15.75" customHeight="1">
      <c r="A5339" s="26"/>
      <c r="B5339" s="2"/>
      <c r="C5339" s="26"/>
      <c r="D5339" s="26"/>
      <c r="F5339" s="85" t="str">
        <f t="shared" si="0"/>
        <v/>
      </c>
      <c r="G5339" s="1" t="e">
        <f>IF(VALUE(F5339) = VALUE(RIGHT(Insights!$C$3, 4)), E5339, "")</f>
        <v>#VALUE!</v>
      </c>
      <c r="H5339" s="26" t="e">
        <f t="shared" si="1"/>
        <v>#VALUE!</v>
      </c>
      <c r="I5339" s="1" t="e">
        <f t="shared" si="2"/>
        <v>#VALUE!</v>
      </c>
    </row>
    <row r="5340" spans="1:9" ht="15.75" customHeight="1">
      <c r="A5340" s="26"/>
      <c r="B5340" s="2"/>
      <c r="C5340" s="26"/>
      <c r="D5340" s="26"/>
      <c r="F5340" s="85" t="str">
        <f t="shared" si="0"/>
        <v/>
      </c>
      <c r="G5340" s="1" t="e">
        <f>IF(VALUE(F5340) = VALUE(RIGHT(Insights!$C$3, 4)), E5340, "")</f>
        <v>#VALUE!</v>
      </c>
      <c r="H5340" s="26" t="e">
        <f t="shared" si="1"/>
        <v>#VALUE!</v>
      </c>
      <c r="I5340" s="1" t="e">
        <f t="shared" si="2"/>
        <v>#VALUE!</v>
      </c>
    </row>
    <row r="5341" spans="1:9" ht="15.75" customHeight="1">
      <c r="A5341" s="26"/>
      <c r="B5341" s="2"/>
      <c r="C5341" s="26"/>
      <c r="D5341" s="26"/>
      <c r="F5341" s="85" t="str">
        <f t="shared" si="0"/>
        <v/>
      </c>
      <c r="G5341" s="1" t="e">
        <f>IF(VALUE(F5341) = VALUE(RIGHT(Insights!$C$3, 4)), E5341, "")</f>
        <v>#VALUE!</v>
      </c>
      <c r="H5341" s="26" t="e">
        <f t="shared" si="1"/>
        <v>#VALUE!</v>
      </c>
      <c r="I5341" s="1" t="e">
        <f t="shared" si="2"/>
        <v>#VALUE!</v>
      </c>
    </row>
    <row r="5342" spans="1:9" ht="15.75" customHeight="1">
      <c r="A5342" s="26"/>
      <c r="B5342" s="2"/>
      <c r="C5342" s="26"/>
      <c r="D5342" s="26"/>
      <c r="F5342" s="85" t="str">
        <f t="shared" si="0"/>
        <v/>
      </c>
      <c r="G5342" s="1" t="e">
        <f>IF(VALUE(F5342) = VALUE(RIGHT(Insights!$C$3, 4)), E5342, "")</f>
        <v>#VALUE!</v>
      </c>
      <c r="H5342" s="26" t="e">
        <f t="shared" si="1"/>
        <v>#VALUE!</v>
      </c>
      <c r="I5342" s="1" t="e">
        <f t="shared" si="2"/>
        <v>#VALUE!</v>
      </c>
    </row>
    <row r="5343" spans="1:9" ht="15.75" customHeight="1">
      <c r="A5343" s="26"/>
      <c r="B5343" s="2"/>
      <c r="C5343" s="26"/>
      <c r="D5343" s="26"/>
      <c r="F5343" s="85" t="str">
        <f t="shared" si="0"/>
        <v/>
      </c>
      <c r="G5343" s="1" t="e">
        <f>IF(VALUE(F5343) = VALUE(RIGHT(Insights!$C$3, 4)), E5343, "")</f>
        <v>#VALUE!</v>
      </c>
      <c r="H5343" s="26" t="e">
        <f t="shared" si="1"/>
        <v>#VALUE!</v>
      </c>
      <c r="I5343" s="1" t="e">
        <f t="shared" si="2"/>
        <v>#VALUE!</v>
      </c>
    </row>
    <row r="5344" spans="1:9" ht="15.75" customHeight="1">
      <c r="A5344" s="26"/>
      <c r="B5344" s="2"/>
      <c r="C5344" s="26"/>
      <c r="D5344" s="26"/>
      <c r="F5344" s="85" t="str">
        <f t="shared" si="0"/>
        <v/>
      </c>
      <c r="G5344" s="1" t="e">
        <f>IF(VALUE(F5344) = VALUE(RIGHT(Insights!$C$3, 4)), E5344, "")</f>
        <v>#VALUE!</v>
      </c>
      <c r="H5344" s="26" t="e">
        <f t="shared" si="1"/>
        <v>#VALUE!</v>
      </c>
      <c r="I5344" s="1" t="e">
        <f t="shared" si="2"/>
        <v>#VALUE!</v>
      </c>
    </row>
    <row r="5345" spans="1:9" ht="15.75" customHeight="1">
      <c r="A5345" s="26"/>
      <c r="B5345" s="2"/>
      <c r="C5345" s="26"/>
      <c r="D5345" s="26"/>
      <c r="F5345" s="85" t="str">
        <f t="shared" si="0"/>
        <v/>
      </c>
      <c r="G5345" s="1" t="e">
        <f>IF(VALUE(F5345) = VALUE(RIGHT(Insights!$C$3, 4)), E5345, "")</f>
        <v>#VALUE!</v>
      </c>
      <c r="H5345" s="26" t="e">
        <f t="shared" si="1"/>
        <v>#VALUE!</v>
      </c>
      <c r="I5345" s="1" t="e">
        <f t="shared" si="2"/>
        <v>#VALUE!</v>
      </c>
    </row>
    <row r="5346" spans="1:9" ht="15.75" customHeight="1">
      <c r="A5346" s="26"/>
      <c r="B5346" s="2"/>
      <c r="C5346" s="26"/>
      <c r="D5346" s="26"/>
      <c r="F5346" s="85" t="str">
        <f t="shared" si="0"/>
        <v/>
      </c>
      <c r="G5346" s="1" t="e">
        <f>IF(VALUE(F5346) = VALUE(RIGHT(Insights!$C$3, 4)), E5346, "")</f>
        <v>#VALUE!</v>
      </c>
      <c r="H5346" s="26" t="e">
        <f t="shared" si="1"/>
        <v>#VALUE!</v>
      </c>
      <c r="I5346" s="1" t="e">
        <f t="shared" si="2"/>
        <v>#VALUE!</v>
      </c>
    </row>
    <row r="5347" spans="1:9" ht="15.75" customHeight="1">
      <c r="A5347" s="26"/>
      <c r="B5347" s="2"/>
      <c r="C5347" s="26"/>
      <c r="D5347" s="26"/>
      <c r="F5347" s="85" t="str">
        <f t="shared" si="0"/>
        <v/>
      </c>
      <c r="G5347" s="1" t="e">
        <f>IF(VALUE(F5347) = VALUE(RIGHT(Insights!$C$3, 4)), E5347, "")</f>
        <v>#VALUE!</v>
      </c>
      <c r="H5347" s="26" t="e">
        <f t="shared" si="1"/>
        <v>#VALUE!</v>
      </c>
      <c r="I5347" s="1" t="e">
        <f t="shared" si="2"/>
        <v>#VALUE!</v>
      </c>
    </row>
    <row r="5348" spans="1:9" ht="15.75" customHeight="1">
      <c r="A5348" s="26"/>
      <c r="B5348" s="2"/>
      <c r="C5348" s="26"/>
      <c r="D5348" s="26"/>
      <c r="F5348" s="85" t="str">
        <f t="shared" si="0"/>
        <v/>
      </c>
      <c r="G5348" s="1" t="e">
        <f>IF(VALUE(F5348) = VALUE(RIGHT(Insights!$C$3, 4)), E5348, "")</f>
        <v>#VALUE!</v>
      </c>
      <c r="H5348" s="26" t="e">
        <f t="shared" si="1"/>
        <v>#VALUE!</v>
      </c>
      <c r="I5348" s="1" t="e">
        <f t="shared" si="2"/>
        <v>#VALUE!</v>
      </c>
    </row>
    <row r="5349" spans="1:9" ht="15.75" customHeight="1">
      <c r="A5349" s="26"/>
      <c r="B5349" s="2"/>
      <c r="C5349" s="26"/>
      <c r="D5349" s="26"/>
      <c r="F5349" s="85" t="str">
        <f t="shared" si="0"/>
        <v/>
      </c>
      <c r="G5349" s="1" t="e">
        <f>IF(VALUE(F5349) = VALUE(RIGHT(Insights!$C$3, 4)), E5349, "")</f>
        <v>#VALUE!</v>
      </c>
      <c r="H5349" s="26" t="e">
        <f t="shared" si="1"/>
        <v>#VALUE!</v>
      </c>
      <c r="I5349" s="1" t="e">
        <f t="shared" si="2"/>
        <v>#VALUE!</v>
      </c>
    </row>
    <row r="5350" spans="1:9" ht="15.75" customHeight="1">
      <c r="A5350" s="26"/>
      <c r="B5350" s="2"/>
      <c r="C5350" s="26"/>
      <c r="D5350" s="26"/>
      <c r="F5350" s="85" t="str">
        <f t="shared" si="0"/>
        <v/>
      </c>
      <c r="G5350" s="1" t="e">
        <f>IF(VALUE(F5350) = VALUE(RIGHT(Insights!$C$3, 4)), E5350, "")</f>
        <v>#VALUE!</v>
      </c>
      <c r="H5350" s="26" t="e">
        <f t="shared" si="1"/>
        <v>#VALUE!</v>
      </c>
      <c r="I5350" s="1" t="e">
        <f t="shared" si="2"/>
        <v>#VALUE!</v>
      </c>
    </row>
    <row r="5351" spans="1:9" ht="15.75" customHeight="1">
      <c r="A5351" s="26"/>
      <c r="B5351" s="2"/>
      <c r="C5351" s="26"/>
      <c r="D5351" s="26"/>
      <c r="F5351" s="85" t="str">
        <f t="shared" si="0"/>
        <v/>
      </c>
      <c r="G5351" s="1" t="e">
        <f>IF(VALUE(F5351) = VALUE(RIGHT(Insights!$C$3, 4)), E5351, "")</f>
        <v>#VALUE!</v>
      </c>
      <c r="H5351" s="26" t="e">
        <f t="shared" si="1"/>
        <v>#VALUE!</v>
      </c>
      <c r="I5351" s="1" t="e">
        <f t="shared" si="2"/>
        <v>#VALUE!</v>
      </c>
    </row>
    <row r="5352" spans="1:9" ht="15.75" customHeight="1">
      <c r="A5352" s="26"/>
      <c r="B5352" s="2"/>
      <c r="C5352" s="26"/>
      <c r="D5352" s="26"/>
      <c r="F5352" s="85" t="str">
        <f t="shared" si="0"/>
        <v/>
      </c>
      <c r="G5352" s="1" t="e">
        <f>IF(VALUE(F5352) = VALUE(RIGHT(Insights!$C$3, 4)), E5352, "")</f>
        <v>#VALUE!</v>
      </c>
      <c r="H5352" s="26" t="e">
        <f t="shared" si="1"/>
        <v>#VALUE!</v>
      </c>
      <c r="I5352" s="1" t="e">
        <f t="shared" si="2"/>
        <v>#VALUE!</v>
      </c>
    </row>
    <row r="5353" spans="1:9" ht="15.75" customHeight="1">
      <c r="A5353" s="26"/>
      <c r="B5353" s="2"/>
      <c r="C5353" s="26"/>
      <c r="D5353" s="26"/>
      <c r="F5353" s="85" t="str">
        <f t="shared" si="0"/>
        <v/>
      </c>
      <c r="G5353" s="1" t="e">
        <f>IF(VALUE(F5353) = VALUE(RIGHT(Insights!$C$3, 4)), E5353, "")</f>
        <v>#VALUE!</v>
      </c>
      <c r="H5353" s="26" t="e">
        <f t="shared" si="1"/>
        <v>#VALUE!</v>
      </c>
      <c r="I5353" s="1" t="e">
        <f t="shared" si="2"/>
        <v>#VALUE!</v>
      </c>
    </row>
    <row r="5354" spans="1:9" ht="15.75" customHeight="1">
      <c r="A5354" s="26"/>
      <c r="B5354" s="2"/>
      <c r="C5354" s="26"/>
      <c r="D5354" s="26"/>
      <c r="F5354" s="85" t="str">
        <f t="shared" si="0"/>
        <v/>
      </c>
      <c r="G5354" s="1" t="e">
        <f>IF(VALUE(F5354) = VALUE(RIGHT(Insights!$C$3, 4)), E5354, "")</f>
        <v>#VALUE!</v>
      </c>
      <c r="H5354" s="26" t="e">
        <f t="shared" si="1"/>
        <v>#VALUE!</v>
      </c>
      <c r="I5354" s="1" t="e">
        <f t="shared" si="2"/>
        <v>#VALUE!</v>
      </c>
    </row>
    <row r="5355" spans="1:9" ht="15.75" customHeight="1">
      <c r="A5355" s="26"/>
      <c r="B5355" s="2"/>
      <c r="C5355" s="26"/>
      <c r="D5355" s="26"/>
      <c r="F5355" s="85" t="str">
        <f t="shared" si="0"/>
        <v/>
      </c>
      <c r="G5355" s="1" t="e">
        <f>IF(VALUE(F5355) = VALUE(RIGHT(Insights!$C$3, 4)), E5355, "")</f>
        <v>#VALUE!</v>
      </c>
      <c r="H5355" s="26" t="e">
        <f t="shared" si="1"/>
        <v>#VALUE!</v>
      </c>
      <c r="I5355" s="1" t="e">
        <f t="shared" si="2"/>
        <v>#VALUE!</v>
      </c>
    </row>
    <row r="5356" spans="1:9" ht="15.75" customHeight="1">
      <c r="A5356" s="26"/>
      <c r="B5356" s="2"/>
      <c r="C5356" s="26"/>
      <c r="D5356" s="26"/>
      <c r="F5356" s="85" t="str">
        <f t="shared" si="0"/>
        <v/>
      </c>
      <c r="G5356" s="1" t="e">
        <f>IF(VALUE(F5356) = VALUE(RIGHT(Insights!$C$3, 4)), E5356, "")</f>
        <v>#VALUE!</v>
      </c>
      <c r="H5356" s="26" t="e">
        <f t="shared" si="1"/>
        <v>#VALUE!</v>
      </c>
      <c r="I5356" s="1" t="e">
        <f t="shared" si="2"/>
        <v>#VALUE!</v>
      </c>
    </row>
    <row r="5357" spans="1:9" ht="15.75" customHeight="1">
      <c r="A5357" s="26"/>
      <c r="B5357" s="2"/>
      <c r="C5357" s="26"/>
      <c r="D5357" s="26"/>
      <c r="F5357" s="85" t="str">
        <f t="shared" si="0"/>
        <v/>
      </c>
      <c r="G5357" s="1" t="e">
        <f>IF(VALUE(F5357) = VALUE(RIGHT(Insights!$C$3, 4)), E5357, "")</f>
        <v>#VALUE!</v>
      </c>
      <c r="H5357" s="26" t="e">
        <f t="shared" si="1"/>
        <v>#VALUE!</v>
      </c>
      <c r="I5357" s="1" t="e">
        <f t="shared" si="2"/>
        <v>#VALUE!</v>
      </c>
    </row>
    <row r="5358" spans="1:9" ht="15.75" customHeight="1">
      <c r="A5358" s="26"/>
      <c r="B5358" s="2"/>
      <c r="C5358" s="26"/>
      <c r="D5358" s="26"/>
      <c r="F5358" s="85" t="str">
        <f t="shared" si="0"/>
        <v/>
      </c>
      <c r="G5358" s="1" t="e">
        <f>IF(VALUE(F5358) = VALUE(RIGHT(Insights!$C$3, 4)), E5358, "")</f>
        <v>#VALUE!</v>
      </c>
      <c r="H5358" s="26" t="e">
        <f t="shared" si="1"/>
        <v>#VALUE!</v>
      </c>
      <c r="I5358" s="1" t="e">
        <f t="shared" si="2"/>
        <v>#VALUE!</v>
      </c>
    </row>
    <row r="5359" spans="1:9" ht="15.75" customHeight="1">
      <c r="A5359" s="26"/>
      <c r="B5359" s="2"/>
      <c r="C5359" s="26"/>
      <c r="D5359" s="26"/>
      <c r="F5359" s="85" t="str">
        <f t="shared" si="0"/>
        <v/>
      </c>
      <c r="G5359" s="1" t="e">
        <f>IF(VALUE(F5359) = VALUE(RIGHT(Insights!$C$3, 4)), E5359, "")</f>
        <v>#VALUE!</v>
      </c>
      <c r="H5359" s="26" t="e">
        <f t="shared" si="1"/>
        <v>#VALUE!</v>
      </c>
      <c r="I5359" s="1" t="e">
        <f t="shared" si="2"/>
        <v>#VALUE!</v>
      </c>
    </row>
    <row r="5360" spans="1:9" ht="15.75" customHeight="1">
      <c r="A5360" s="26"/>
      <c r="B5360" s="2"/>
      <c r="C5360" s="26"/>
      <c r="D5360" s="26"/>
      <c r="F5360" s="85" t="str">
        <f t="shared" si="0"/>
        <v/>
      </c>
      <c r="G5360" s="1" t="e">
        <f>IF(VALUE(F5360) = VALUE(RIGHT(Insights!$C$3, 4)), E5360, "")</f>
        <v>#VALUE!</v>
      </c>
      <c r="H5360" s="26" t="e">
        <f t="shared" si="1"/>
        <v>#VALUE!</v>
      </c>
      <c r="I5360" s="1" t="e">
        <f t="shared" si="2"/>
        <v>#VALUE!</v>
      </c>
    </row>
    <row r="5361" spans="1:9" ht="15.75" customHeight="1">
      <c r="A5361" s="26"/>
      <c r="B5361" s="2"/>
      <c r="C5361" s="26"/>
      <c r="D5361" s="26"/>
      <c r="F5361" s="85" t="str">
        <f t="shared" si="0"/>
        <v/>
      </c>
      <c r="G5361" s="1" t="e">
        <f>IF(VALUE(F5361) = VALUE(RIGHT(Insights!$C$3, 4)), E5361, "")</f>
        <v>#VALUE!</v>
      </c>
      <c r="H5361" s="26" t="e">
        <f t="shared" si="1"/>
        <v>#VALUE!</v>
      </c>
      <c r="I5361" s="1" t="e">
        <f t="shared" si="2"/>
        <v>#VALUE!</v>
      </c>
    </row>
    <row r="5362" spans="1:9" ht="15.75" customHeight="1">
      <c r="A5362" s="26"/>
      <c r="B5362" s="2"/>
      <c r="C5362" s="26"/>
      <c r="D5362" s="26"/>
      <c r="F5362" s="85" t="str">
        <f t="shared" si="0"/>
        <v/>
      </c>
      <c r="G5362" s="1" t="e">
        <f>IF(VALUE(F5362) = VALUE(RIGHT(Insights!$C$3, 4)), E5362, "")</f>
        <v>#VALUE!</v>
      </c>
      <c r="H5362" s="26" t="e">
        <f t="shared" si="1"/>
        <v>#VALUE!</v>
      </c>
      <c r="I5362" s="1" t="e">
        <f t="shared" si="2"/>
        <v>#VALUE!</v>
      </c>
    </row>
    <row r="5363" spans="1:9" ht="15.75" customHeight="1">
      <c r="A5363" s="26"/>
      <c r="B5363" s="2"/>
      <c r="C5363" s="26"/>
      <c r="D5363" s="26"/>
      <c r="F5363" s="85" t="str">
        <f t="shared" si="0"/>
        <v/>
      </c>
      <c r="G5363" s="1" t="e">
        <f>IF(VALUE(F5363) = VALUE(RIGHT(Insights!$C$3, 4)), E5363, "")</f>
        <v>#VALUE!</v>
      </c>
      <c r="H5363" s="26" t="e">
        <f t="shared" si="1"/>
        <v>#VALUE!</v>
      </c>
      <c r="I5363" s="1" t="e">
        <f t="shared" si="2"/>
        <v>#VALUE!</v>
      </c>
    </row>
    <row r="5364" spans="1:9" ht="15.75" customHeight="1">
      <c r="A5364" s="26"/>
      <c r="B5364" s="2"/>
      <c r="C5364" s="26"/>
      <c r="D5364" s="26"/>
      <c r="F5364" s="85" t="str">
        <f t="shared" si="0"/>
        <v/>
      </c>
      <c r="G5364" s="1" t="e">
        <f>IF(VALUE(F5364) = VALUE(RIGHT(Insights!$C$3, 4)), E5364, "")</f>
        <v>#VALUE!</v>
      </c>
      <c r="H5364" s="26" t="e">
        <f t="shared" si="1"/>
        <v>#VALUE!</v>
      </c>
      <c r="I5364" s="1" t="e">
        <f t="shared" si="2"/>
        <v>#VALUE!</v>
      </c>
    </row>
    <row r="5365" spans="1:9" ht="15.75" customHeight="1">
      <c r="A5365" s="26"/>
      <c r="B5365" s="2"/>
      <c r="C5365" s="26"/>
      <c r="D5365" s="26"/>
      <c r="F5365" s="85" t="str">
        <f t="shared" si="0"/>
        <v/>
      </c>
      <c r="G5365" s="1" t="e">
        <f>IF(VALUE(F5365) = VALUE(RIGHT(Insights!$C$3, 4)), E5365, "")</f>
        <v>#VALUE!</v>
      </c>
      <c r="H5365" s="26" t="e">
        <f t="shared" si="1"/>
        <v>#VALUE!</v>
      </c>
      <c r="I5365" s="1" t="e">
        <f t="shared" si="2"/>
        <v>#VALUE!</v>
      </c>
    </row>
    <row r="5366" spans="1:9" ht="15.75" customHeight="1">
      <c r="A5366" s="26"/>
      <c r="B5366" s="2"/>
      <c r="C5366" s="26"/>
      <c r="D5366" s="26"/>
      <c r="F5366" s="85" t="str">
        <f t="shared" si="0"/>
        <v/>
      </c>
      <c r="G5366" s="1" t="e">
        <f>IF(VALUE(F5366) = VALUE(RIGHT(Insights!$C$3, 4)), E5366, "")</f>
        <v>#VALUE!</v>
      </c>
      <c r="H5366" s="26" t="e">
        <f t="shared" si="1"/>
        <v>#VALUE!</v>
      </c>
      <c r="I5366" s="1" t="e">
        <f t="shared" si="2"/>
        <v>#VALUE!</v>
      </c>
    </row>
    <row r="5367" spans="1:9" ht="15.75" customHeight="1">
      <c r="A5367" s="26"/>
      <c r="B5367" s="2"/>
      <c r="C5367" s="26"/>
      <c r="D5367" s="26"/>
      <c r="F5367" s="85" t="str">
        <f t="shared" si="0"/>
        <v/>
      </c>
      <c r="G5367" s="1" t="e">
        <f>IF(VALUE(F5367) = VALUE(RIGHT(Insights!$C$3, 4)), E5367, "")</f>
        <v>#VALUE!</v>
      </c>
      <c r="H5367" s="26" t="e">
        <f t="shared" si="1"/>
        <v>#VALUE!</v>
      </c>
      <c r="I5367" s="1" t="e">
        <f t="shared" si="2"/>
        <v>#VALUE!</v>
      </c>
    </row>
    <row r="5368" spans="1:9" ht="15.75" customHeight="1">
      <c r="A5368" s="26"/>
      <c r="B5368" s="2"/>
      <c r="C5368" s="26"/>
      <c r="D5368" s="26"/>
      <c r="F5368" s="85" t="str">
        <f t="shared" si="0"/>
        <v/>
      </c>
      <c r="G5368" s="1" t="e">
        <f>IF(VALUE(F5368) = VALUE(RIGHT(Insights!$C$3, 4)), E5368, "")</f>
        <v>#VALUE!</v>
      </c>
      <c r="H5368" s="26" t="e">
        <f t="shared" si="1"/>
        <v>#VALUE!</v>
      </c>
      <c r="I5368" s="1" t="e">
        <f t="shared" si="2"/>
        <v>#VALUE!</v>
      </c>
    </row>
    <row r="5369" spans="1:9" ht="15.75" customHeight="1">
      <c r="A5369" s="26"/>
      <c r="B5369" s="2"/>
      <c r="C5369" s="26"/>
      <c r="D5369" s="26"/>
      <c r="F5369" s="85" t="str">
        <f t="shared" si="0"/>
        <v/>
      </c>
      <c r="G5369" s="1" t="e">
        <f>IF(VALUE(F5369) = VALUE(RIGHT(Insights!$C$3, 4)), E5369, "")</f>
        <v>#VALUE!</v>
      </c>
      <c r="H5369" s="26" t="e">
        <f t="shared" si="1"/>
        <v>#VALUE!</v>
      </c>
      <c r="I5369" s="1" t="e">
        <f t="shared" si="2"/>
        <v>#VALUE!</v>
      </c>
    </row>
    <row r="5370" spans="1:9" ht="15.75" customHeight="1">
      <c r="A5370" s="26"/>
      <c r="B5370" s="2"/>
      <c r="C5370" s="26"/>
      <c r="D5370" s="26"/>
      <c r="F5370" s="85" t="str">
        <f t="shared" si="0"/>
        <v/>
      </c>
      <c r="G5370" s="1" t="e">
        <f>IF(VALUE(F5370) = VALUE(RIGHT(Insights!$C$3, 4)), E5370, "")</f>
        <v>#VALUE!</v>
      </c>
      <c r="H5370" s="26" t="e">
        <f t="shared" si="1"/>
        <v>#VALUE!</v>
      </c>
      <c r="I5370" s="1" t="e">
        <f t="shared" si="2"/>
        <v>#VALUE!</v>
      </c>
    </row>
    <row r="5371" spans="1:9" ht="15.75" customHeight="1">
      <c r="A5371" s="26"/>
      <c r="B5371" s="2"/>
      <c r="C5371" s="26"/>
      <c r="D5371" s="26"/>
      <c r="F5371" s="85" t="str">
        <f t="shared" si="0"/>
        <v/>
      </c>
      <c r="G5371" s="1" t="e">
        <f>IF(VALUE(F5371) = VALUE(RIGHT(Insights!$C$3, 4)), E5371, "")</f>
        <v>#VALUE!</v>
      </c>
      <c r="H5371" s="26" t="e">
        <f t="shared" si="1"/>
        <v>#VALUE!</v>
      </c>
      <c r="I5371" s="1" t="e">
        <f t="shared" si="2"/>
        <v>#VALUE!</v>
      </c>
    </row>
    <row r="5372" spans="1:9" ht="15.75" customHeight="1">
      <c r="A5372" s="26"/>
      <c r="B5372" s="2"/>
      <c r="C5372" s="26"/>
      <c r="D5372" s="26"/>
      <c r="F5372" s="85" t="str">
        <f t="shared" si="0"/>
        <v/>
      </c>
      <c r="G5372" s="1" t="e">
        <f>IF(VALUE(F5372) = VALUE(RIGHT(Insights!$C$3, 4)), E5372, "")</f>
        <v>#VALUE!</v>
      </c>
      <c r="H5372" s="26" t="e">
        <f t="shared" si="1"/>
        <v>#VALUE!</v>
      </c>
      <c r="I5372" s="1" t="e">
        <f t="shared" si="2"/>
        <v>#VALUE!</v>
      </c>
    </row>
    <row r="5373" spans="1:9" ht="15.75" customHeight="1">
      <c r="A5373" s="26"/>
      <c r="B5373" s="2"/>
      <c r="C5373" s="26"/>
      <c r="D5373" s="26"/>
      <c r="F5373" s="85" t="str">
        <f t="shared" si="0"/>
        <v/>
      </c>
      <c r="G5373" s="1" t="e">
        <f>IF(VALUE(F5373) = VALUE(RIGHT(Insights!$C$3, 4)), E5373, "")</f>
        <v>#VALUE!</v>
      </c>
      <c r="H5373" s="26" t="e">
        <f t="shared" si="1"/>
        <v>#VALUE!</v>
      </c>
      <c r="I5373" s="1" t="e">
        <f t="shared" si="2"/>
        <v>#VALUE!</v>
      </c>
    </row>
    <row r="5374" spans="1:9" ht="15.75" customHeight="1">
      <c r="A5374" s="26"/>
      <c r="B5374" s="2"/>
      <c r="C5374" s="26"/>
      <c r="D5374" s="26"/>
      <c r="F5374" s="85" t="str">
        <f t="shared" si="0"/>
        <v/>
      </c>
      <c r="G5374" s="1" t="e">
        <f>IF(VALUE(F5374) = VALUE(RIGHT(Insights!$C$3, 4)), E5374, "")</f>
        <v>#VALUE!</v>
      </c>
      <c r="H5374" s="26" t="e">
        <f t="shared" si="1"/>
        <v>#VALUE!</v>
      </c>
      <c r="I5374" s="1" t="e">
        <f t="shared" si="2"/>
        <v>#VALUE!</v>
      </c>
    </row>
    <row r="5375" spans="1:9" ht="15.75" customHeight="1">
      <c r="A5375" s="26"/>
      <c r="B5375" s="2"/>
      <c r="C5375" s="26"/>
      <c r="D5375" s="26"/>
      <c r="F5375" s="85" t="str">
        <f t="shared" si="0"/>
        <v/>
      </c>
      <c r="G5375" s="1" t="e">
        <f>IF(VALUE(F5375) = VALUE(RIGHT(Insights!$C$3, 4)), E5375, "")</f>
        <v>#VALUE!</v>
      </c>
      <c r="H5375" s="26" t="e">
        <f t="shared" si="1"/>
        <v>#VALUE!</v>
      </c>
      <c r="I5375" s="1" t="e">
        <f t="shared" si="2"/>
        <v>#VALUE!</v>
      </c>
    </row>
    <row r="5376" spans="1:9" ht="15.75" customHeight="1">
      <c r="A5376" s="26"/>
      <c r="B5376" s="2"/>
      <c r="C5376" s="26"/>
      <c r="D5376" s="26"/>
      <c r="F5376" s="85" t="str">
        <f t="shared" si="0"/>
        <v/>
      </c>
      <c r="G5376" s="1" t="e">
        <f>IF(VALUE(F5376) = VALUE(RIGHT(Insights!$C$3, 4)), E5376, "")</f>
        <v>#VALUE!</v>
      </c>
      <c r="H5376" s="26" t="e">
        <f t="shared" si="1"/>
        <v>#VALUE!</v>
      </c>
      <c r="I5376" s="1" t="e">
        <f t="shared" si="2"/>
        <v>#VALUE!</v>
      </c>
    </row>
    <row r="5377" spans="1:9" ht="15.75" customHeight="1">
      <c r="A5377" s="26"/>
      <c r="B5377" s="2"/>
      <c r="C5377" s="26"/>
      <c r="D5377" s="26"/>
      <c r="F5377" s="85" t="str">
        <f t="shared" si="0"/>
        <v/>
      </c>
      <c r="G5377" s="1" t="e">
        <f>IF(VALUE(F5377) = VALUE(RIGHT(Insights!$C$3, 4)), E5377, "")</f>
        <v>#VALUE!</v>
      </c>
      <c r="H5377" s="26" t="e">
        <f t="shared" si="1"/>
        <v>#VALUE!</v>
      </c>
      <c r="I5377" s="1" t="e">
        <f t="shared" si="2"/>
        <v>#VALUE!</v>
      </c>
    </row>
    <row r="5378" spans="1:9" ht="15.75" customHeight="1">
      <c r="A5378" s="26"/>
      <c r="B5378" s="2"/>
      <c r="C5378" s="26"/>
      <c r="D5378" s="26"/>
      <c r="F5378" s="85" t="str">
        <f t="shared" si="0"/>
        <v/>
      </c>
      <c r="G5378" s="1" t="e">
        <f>IF(VALUE(F5378) = VALUE(RIGHT(Insights!$C$3, 4)), E5378, "")</f>
        <v>#VALUE!</v>
      </c>
      <c r="H5378" s="26" t="e">
        <f t="shared" si="1"/>
        <v>#VALUE!</v>
      </c>
      <c r="I5378" s="1" t="e">
        <f t="shared" si="2"/>
        <v>#VALUE!</v>
      </c>
    </row>
    <row r="5379" spans="1:9" ht="15.75" customHeight="1">
      <c r="A5379" s="26"/>
      <c r="B5379" s="2"/>
      <c r="C5379" s="26"/>
      <c r="D5379" s="26"/>
      <c r="F5379" s="85" t="str">
        <f t="shared" si="0"/>
        <v/>
      </c>
      <c r="G5379" s="1" t="e">
        <f>IF(VALUE(F5379) = VALUE(RIGHT(Insights!$C$3, 4)), E5379, "")</f>
        <v>#VALUE!</v>
      </c>
      <c r="H5379" s="26" t="e">
        <f t="shared" si="1"/>
        <v>#VALUE!</v>
      </c>
      <c r="I5379" s="1" t="e">
        <f t="shared" si="2"/>
        <v>#VALUE!</v>
      </c>
    </row>
    <row r="5380" spans="1:9" ht="15.75" customHeight="1">
      <c r="A5380" s="26"/>
      <c r="B5380" s="2"/>
      <c r="C5380" s="26"/>
      <c r="D5380" s="26"/>
      <c r="F5380" s="85" t="str">
        <f t="shared" si="0"/>
        <v/>
      </c>
      <c r="G5380" s="1" t="e">
        <f>IF(VALUE(F5380) = VALUE(RIGHT(Insights!$C$3, 4)), E5380, "")</f>
        <v>#VALUE!</v>
      </c>
      <c r="H5380" s="26" t="e">
        <f t="shared" si="1"/>
        <v>#VALUE!</v>
      </c>
      <c r="I5380" s="1" t="e">
        <f t="shared" si="2"/>
        <v>#VALUE!</v>
      </c>
    </row>
    <row r="5381" spans="1:9" ht="15.75" customHeight="1">
      <c r="A5381" s="26"/>
      <c r="B5381" s="2"/>
      <c r="C5381" s="26"/>
      <c r="D5381" s="26"/>
      <c r="F5381" s="85" t="str">
        <f t="shared" si="0"/>
        <v/>
      </c>
      <c r="G5381" s="1" t="e">
        <f>IF(VALUE(F5381) = VALUE(RIGHT(Insights!$C$3, 4)), E5381, "")</f>
        <v>#VALUE!</v>
      </c>
      <c r="H5381" s="26" t="e">
        <f t="shared" si="1"/>
        <v>#VALUE!</v>
      </c>
      <c r="I5381" s="1" t="e">
        <f t="shared" si="2"/>
        <v>#VALUE!</v>
      </c>
    </row>
    <row r="5382" spans="1:9" ht="15.75" customHeight="1">
      <c r="A5382" s="26"/>
      <c r="B5382" s="2"/>
      <c r="C5382" s="26"/>
      <c r="D5382" s="26"/>
      <c r="F5382" s="85" t="str">
        <f t="shared" si="0"/>
        <v/>
      </c>
      <c r="G5382" s="1" t="e">
        <f>IF(VALUE(F5382) = VALUE(RIGHT(Insights!$C$3, 4)), E5382, "")</f>
        <v>#VALUE!</v>
      </c>
      <c r="H5382" s="26" t="e">
        <f t="shared" si="1"/>
        <v>#VALUE!</v>
      </c>
      <c r="I5382" s="1" t="e">
        <f t="shared" si="2"/>
        <v>#VALUE!</v>
      </c>
    </row>
    <row r="5383" spans="1:9" ht="15.75" customHeight="1">
      <c r="A5383" s="26"/>
      <c r="B5383" s="2"/>
      <c r="C5383" s="26"/>
      <c r="D5383" s="26"/>
      <c r="F5383" s="85" t="str">
        <f t="shared" si="0"/>
        <v/>
      </c>
      <c r="G5383" s="1" t="e">
        <f>IF(VALUE(F5383) = VALUE(RIGHT(Insights!$C$3, 4)), E5383, "")</f>
        <v>#VALUE!</v>
      </c>
      <c r="H5383" s="26" t="e">
        <f t="shared" si="1"/>
        <v>#VALUE!</v>
      </c>
      <c r="I5383" s="1" t="e">
        <f t="shared" si="2"/>
        <v>#VALUE!</v>
      </c>
    </row>
    <row r="5384" spans="1:9" ht="15.75" customHeight="1">
      <c r="A5384" s="26"/>
      <c r="B5384" s="2"/>
      <c r="C5384" s="26"/>
      <c r="D5384" s="26"/>
      <c r="F5384" s="85" t="str">
        <f t="shared" si="0"/>
        <v/>
      </c>
      <c r="G5384" s="1" t="e">
        <f>IF(VALUE(F5384) = VALUE(RIGHT(Insights!$C$3, 4)), E5384, "")</f>
        <v>#VALUE!</v>
      </c>
      <c r="H5384" s="26" t="e">
        <f t="shared" si="1"/>
        <v>#VALUE!</v>
      </c>
      <c r="I5384" s="1" t="e">
        <f t="shared" si="2"/>
        <v>#VALUE!</v>
      </c>
    </row>
    <row r="5385" spans="1:9" ht="15.75" customHeight="1">
      <c r="A5385" s="26"/>
      <c r="B5385" s="2"/>
      <c r="C5385" s="26"/>
      <c r="D5385" s="26"/>
      <c r="F5385" s="85" t="str">
        <f t="shared" si="0"/>
        <v/>
      </c>
      <c r="G5385" s="1" t="e">
        <f>IF(VALUE(F5385) = VALUE(RIGHT(Insights!$C$3, 4)), E5385, "")</f>
        <v>#VALUE!</v>
      </c>
      <c r="H5385" s="26" t="e">
        <f t="shared" si="1"/>
        <v>#VALUE!</v>
      </c>
      <c r="I5385" s="1" t="e">
        <f t="shared" si="2"/>
        <v>#VALUE!</v>
      </c>
    </row>
    <row r="5386" spans="1:9" ht="15.75" customHeight="1">
      <c r="A5386" s="26"/>
      <c r="B5386" s="2"/>
      <c r="C5386" s="26"/>
      <c r="D5386" s="26"/>
      <c r="F5386" s="85" t="str">
        <f t="shared" si="0"/>
        <v/>
      </c>
      <c r="G5386" s="1" t="e">
        <f>IF(VALUE(F5386) = VALUE(RIGHT(Insights!$C$3, 4)), E5386, "")</f>
        <v>#VALUE!</v>
      </c>
      <c r="H5386" s="26" t="e">
        <f t="shared" si="1"/>
        <v>#VALUE!</v>
      </c>
      <c r="I5386" s="1" t="e">
        <f t="shared" si="2"/>
        <v>#VALUE!</v>
      </c>
    </row>
    <row r="5387" spans="1:9" ht="15.75" customHeight="1">
      <c r="A5387" s="26"/>
      <c r="B5387" s="2"/>
      <c r="C5387" s="26"/>
      <c r="D5387" s="26"/>
      <c r="F5387" s="85" t="str">
        <f t="shared" si="0"/>
        <v/>
      </c>
      <c r="G5387" s="1" t="e">
        <f>IF(VALUE(F5387) = VALUE(RIGHT(Insights!$C$3, 4)), E5387, "")</f>
        <v>#VALUE!</v>
      </c>
      <c r="H5387" s="26" t="e">
        <f t="shared" si="1"/>
        <v>#VALUE!</v>
      </c>
      <c r="I5387" s="1" t="e">
        <f t="shared" si="2"/>
        <v>#VALUE!</v>
      </c>
    </row>
    <row r="5388" spans="1:9" ht="15.75" customHeight="1">
      <c r="A5388" s="26"/>
      <c r="B5388" s="2"/>
      <c r="C5388" s="26"/>
      <c r="D5388" s="26"/>
      <c r="F5388" s="85" t="str">
        <f t="shared" si="0"/>
        <v/>
      </c>
      <c r="G5388" s="1" t="e">
        <f>IF(VALUE(F5388) = VALUE(RIGHT(Insights!$C$3, 4)), E5388, "")</f>
        <v>#VALUE!</v>
      </c>
      <c r="H5388" s="26" t="e">
        <f t="shared" si="1"/>
        <v>#VALUE!</v>
      </c>
      <c r="I5388" s="1" t="e">
        <f t="shared" si="2"/>
        <v>#VALUE!</v>
      </c>
    </row>
    <row r="5389" spans="1:9" ht="15.75" customHeight="1">
      <c r="A5389" s="26"/>
      <c r="B5389" s="2"/>
      <c r="C5389" s="26"/>
      <c r="D5389" s="26"/>
      <c r="F5389" s="85" t="str">
        <f t="shared" si="0"/>
        <v/>
      </c>
      <c r="G5389" s="1" t="e">
        <f>IF(VALUE(F5389) = VALUE(RIGHT(Insights!$C$3, 4)), E5389, "")</f>
        <v>#VALUE!</v>
      </c>
      <c r="H5389" s="26" t="e">
        <f t="shared" si="1"/>
        <v>#VALUE!</v>
      </c>
      <c r="I5389" s="1" t="e">
        <f t="shared" si="2"/>
        <v>#VALUE!</v>
      </c>
    </row>
    <row r="5390" spans="1:9" ht="15.75" customHeight="1">
      <c r="A5390" s="26"/>
      <c r="B5390" s="2"/>
      <c r="C5390" s="26"/>
      <c r="D5390" s="26"/>
      <c r="F5390" s="85" t="str">
        <f t="shared" si="0"/>
        <v/>
      </c>
      <c r="G5390" s="1" t="e">
        <f>IF(VALUE(F5390) = VALUE(RIGHT(Insights!$C$3, 4)), E5390, "")</f>
        <v>#VALUE!</v>
      </c>
      <c r="H5390" s="26" t="e">
        <f t="shared" si="1"/>
        <v>#VALUE!</v>
      </c>
      <c r="I5390" s="1" t="e">
        <f t="shared" si="2"/>
        <v>#VALUE!</v>
      </c>
    </row>
    <row r="5391" spans="1:9" ht="15.75" customHeight="1">
      <c r="A5391" s="26"/>
      <c r="B5391" s="2"/>
      <c r="C5391" s="26"/>
      <c r="D5391" s="26"/>
      <c r="F5391" s="85" t="str">
        <f t="shared" si="0"/>
        <v/>
      </c>
      <c r="G5391" s="1" t="e">
        <f>IF(VALUE(F5391) = VALUE(RIGHT(Insights!$C$3, 4)), E5391, "")</f>
        <v>#VALUE!</v>
      </c>
      <c r="H5391" s="26" t="e">
        <f t="shared" si="1"/>
        <v>#VALUE!</v>
      </c>
      <c r="I5391" s="1" t="e">
        <f t="shared" si="2"/>
        <v>#VALUE!</v>
      </c>
    </row>
    <row r="5392" spans="1:9" ht="15.75" customHeight="1">
      <c r="A5392" s="26"/>
      <c r="B5392" s="2"/>
      <c r="C5392" s="26"/>
      <c r="D5392" s="26"/>
      <c r="F5392" s="85" t="str">
        <f t="shared" si="0"/>
        <v/>
      </c>
      <c r="G5392" s="1" t="e">
        <f>IF(VALUE(F5392) = VALUE(RIGHT(Insights!$C$3, 4)), E5392, "")</f>
        <v>#VALUE!</v>
      </c>
      <c r="H5392" s="26" t="e">
        <f t="shared" si="1"/>
        <v>#VALUE!</v>
      </c>
      <c r="I5392" s="1" t="e">
        <f t="shared" si="2"/>
        <v>#VALUE!</v>
      </c>
    </row>
    <row r="5393" spans="1:9" ht="15.75" customHeight="1">
      <c r="A5393" s="26"/>
      <c r="B5393" s="2"/>
      <c r="C5393" s="26"/>
      <c r="D5393" s="26"/>
      <c r="F5393" s="85" t="str">
        <f t="shared" si="0"/>
        <v/>
      </c>
      <c r="G5393" s="1" t="e">
        <f>IF(VALUE(F5393) = VALUE(RIGHT(Insights!$C$3, 4)), E5393, "")</f>
        <v>#VALUE!</v>
      </c>
      <c r="H5393" s="26" t="e">
        <f t="shared" si="1"/>
        <v>#VALUE!</v>
      </c>
      <c r="I5393" s="1" t="e">
        <f t="shared" si="2"/>
        <v>#VALUE!</v>
      </c>
    </row>
    <row r="5394" spans="1:9" ht="15.75" customHeight="1">
      <c r="A5394" s="26"/>
      <c r="B5394" s="2"/>
      <c r="C5394" s="26"/>
      <c r="D5394" s="26"/>
      <c r="F5394" s="85" t="str">
        <f t="shared" si="0"/>
        <v/>
      </c>
      <c r="G5394" s="1" t="e">
        <f>IF(VALUE(F5394) = VALUE(RIGHT(Insights!$C$3, 4)), E5394, "")</f>
        <v>#VALUE!</v>
      </c>
      <c r="H5394" s="26" t="e">
        <f t="shared" si="1"/>
        <v>#VALUE!</v>
      </c>
      <c r="I5394" s="1" t="e">
        <f t="shared" si="2"/>
        <v>#VALUE!</v>
      </c>
    </row>
    <row r="5395" spans="1:9" ht="15.75" customHeight="1">
      <c r="A5395" s="26"/>
      <c r="B5395" s="2"/>
      <c r="C5395" s="26"/>
      <c r="D5395" s="26"/>
      <c r="F5395" s="85" t="str">
        <f t="shared" si="0"/>
        <v/>
      </c>
      <c r="G5395" s="1" t="e">
        <f>IF(VALUE(F5395) = VALUE(RIGHT(Insights!$C$3, 4)), E5395, "")</f>
        <v>#VALUE!</v>
      </c>
      <c r="H5395" s="26" t="e">
        <f t="shared" si="1"/>
        <v>#VALUE!</v>
      </c>
      <c r="I5395" s="1" t="e">
        <f t="shared" si="2"/>
        <v>#VALUE!</v>
      </c>
    </row>
    <row r="5396" spans="1:9" ht="15.75" customHeight="1">
      <c r="A5396" s="26"/>
      <c r="B5396" s="2"/>
      <c r="C5396" s="26"/>
      <c r="D5396" s="26"/>
      <c r="F5396" s="85" t="str">
        <f t="shared" si="0"/>
        <v/>
      </c>
      <c r="G5396" s="1" t="e">
        <f>IF(VALUE(F5396) = VALUE(RIGHT(Insights!$C$3, 4)), E5396, "")</f>
        <v>#VALUE!</v>
      </c>
      <c r="H5396" s="26" t="e">
        <f t="shared" si="1"/>
        <v>#VALUE!</v>
      </c>
      <c r="I5396" s="1" t="e">
        <f t="shared" si="2"/>
        <v>#VALUE!</v>
      </c>
    </row>
    <row r="5397" spans="1:9" ht="15.75" customHeight="1">
      <c r="A5397" s="26"/>
      <c r="B5397" s="2"/>
      <c r="C5397" s="26"/>
      <c r="D5397" s="26"/>
      <c r="F5397" s="85" t="str">
        <f t="shared" si="0"/>
        <v/>
      </c>
      <c r="G5397" s="1" t="e">
        <f>IF(VALUE(F5397) = VALUE(RIGHT(Insights!$C$3, 4)), E5397, "")</f>
        <v>#VALUE!</v>
      </c>
      <c r="H5397" s="26" t="e">
        <f t="shared" si="1"/>
        <v>#VALUE!</v>
      </c>
      <c r="I5397" s="1" t="e">
        <f t="shared" si="2"/>
        <v>#VALUE!</v>
      </c>
    </row>
    <row r="5398" spans="1:9" ht="15.75" customHeight="1">
      <c r="A5398" s="26"/>
      <c r="B5398" s="2"/>
      <c r="C5398" s="26"/>
      <c r="D5398" s="26"/>
      <c r="F5398" s="85" t="str">
        <f t="shared" si="0"/>
        <v/>
      </c>
      <c r="G5398" s="1" t="e">
        <f>IF(VALUE(F5398) = VALUE(RIGHT(Insights!$C$3, 4)), E5398, "")</f>
        <v>#VALUE!</v>
      </c>
      <c r="H5398" s="26" t="e">
        <f t="shared" si="1"/>
        <v>#VALUE!</v>
      </c>
      <c r="I5398" s="1" t="e">
        <f t="shared" si="2"/>
        <v>#VALUE!</v>
      </c>
    </row>
    <row r="5399" spans="1:9" ht="15.75" customHeight="1">
      <c r="A5399" s="26"/>
      <c r="B5399" s="2"/>
      <c r="C5399" s="26"/>
      <c r="D5399" s="26"/>
      <c r="F5399" s="85" t="str">
        <f t="shared" si="0"/>
        <v/>
      </c>
      <c r="G5399" s="1" t="e">
        <f>IF(VALUE(F5399) = VALUE(RIGHT(Insights!$C$3, 4)), E5399, "")</f>
        <v>#VALUE!</v>
      </c>
      <c r="H5399" s="26" t="e">
        <f t="shared" si="1"/>
        <v>#VALUE!</v>
      </c>
      <c r="I5399" s="1" t="e">
        <f t="shared" si="2"/>
        <v>#VALUE!</v>
      </c>
    </row>
    <row r="5400" spans="1:9" ht="15.75" customHeight="1">
      <c r="A5400" s="26"/>
      <c r="B5400" s="2"/>
      <c r="C5400" s="26"/>
      <c r="D5400" s="26"/>
      <c r="F5400" s="85" t="str">
        <f t="shared" si="0"/>
        <v/>
      </c>
      <c r="G5400" s="1" t="e">
        <f>IF(VALUE(F5400) = VALUE(RIGHT(Insights!$C$3, 4)), E5400, "")</f>
        <v>#VALUE!</v>
      </c>
      <c r="H5400" s="26" t="e">
        <f t="shared" si="1"/>
        <v>#VALUE!</v>
      </c>
      <c r="I5400" s="1" t="e">
        <f t="shared" si="2"/>
        <v>#VALUE!</v>
      </c>
    </row>
    <row r="5401" spans="1:9" ht="15.75" customHeight="1">
      <c r="A5401" s="26"/>
      <c r="B5401" s="2"/>
      <c r="C5401" s="26"/>
      <c r="D5401" s="26"/>
      <c r="F5401" s="85" t="str">
        <f t="shared" si="0"/>
        <v/>
      </c>
      <c r="G5401" s="1" t="e">
        <f>IF(VALUE(F5401) = VALUE(RIGHT(Insights!$C$3, 4)), E5401, "")</f>
        <v>#VALUE!</v>
      </c>
      <c r="H5401" s="26" t="e">
        <f t="shared" si="1"/>
        <v>#VALUE!</v>
      </c>
      <c r="I5401" s="1" t="e">
        <f t="shared" si="2"/>
        <v>#VALUE!</v>
      </c>
    </row>
    <row r="5402" spans="1:9" ht="15.75" customHeight="1">
      <c r="A5402" s="26"/>
      <c r="B5402" s="2"/>
      <c r="C5402" s="26"/>
      <c r="D5402" s="26"/>
      <c r="F5402" s="85" t="str">
        <f t="shared" si="0"/>
        <v/>
      </c>
      <c r="G5402" s="1" t="e">
        <f>IF(VALUE(F5402) = VALUE(RIGHT(Insights!$C$3, 4)), E5402, "")</f>
        <v>#VALUE!</v>
      </c>
      <c r="H5402" s="26" t="e">
        <f t="shared" si="1"/>
        <v>#VALUE!</v>
      </c>
      <c r="I5402" s="1" t="e">
        <f t="shared" si="2"/>
        <v>#VALUE!</v>
      </c>
    </row>
    <row r="5403" spans="1:9" ht="15.75" customHeight="1">
      <c r="A5403" s="26"/>
      <c r="B5403" s="2"/>
      <c r="C5403" s="26"/>
      <c r="D5403" s="26"/>
      <c r="F5403" s="85" t="str">
        <f t="shared" si="0"/>
        <v/>
      </c>
      <c r="G5403" s="1" t="e">
        <f>IF(VALUE(F5403) = VALUE(RIGHT(Insights!$C$3, 4)), E5403, "")</f>
        <v>#VALUE!</v>
      </c>
      <c r="H5403" s="26" t="e">
        <f t="shared" si="1"/>
        <v>#VALUE!</v>
      </c>
      <c r="I5403" s="1" t="e">
        <f t="shared" si="2"/>
        <v>#VALUE!</v>
      </c>
    </row>
    <row r="5404" spans="1:9" ht="15.75" customHeight="1">
      <c r="A5404" s="26"/>
      <c r="B5404" s="2"/>
      <c r="C5404" s="26"/>
      <c r="D5404" s="26"/>
      <c r="F5404" s="85" t="str">
        <f t="shared" si="0"/>
        <v/>
      </c>
      <c r="G5404" s="1" t="e">
        <f>IF(VALUE(F5404) = VALUE(RIGHT(Insights!$C$3, 4)), E5404, "")</f>
        <v>#VALUE!</v>
      </c>
      <c r="H5404" s="26" t="e">
        <f t="shared" si="1"/>
        <v>#VALUE!</v>
      </c>
      <c r="I5404" s="1" t="e">
        <f t="shared" si="2"/>
        <v>#VALUE!</v>
      </c>
    </row>
    <row r="5405" spans="1:9" ht="15.75" customHeight="1">
      <c r="A5405" s="26"/>
      <c r="B5405" s="2"/>
      <c r="C5405" s="26"/>
      <c r="D5405" s="26"/>
      <c r="F5405" s="85" t="str">
        <f t="shared" si="0"/>
        <v/>
      </c>
      <c r="G5405" s="1" t="e">
        <f>IF(VALUE(F5405) = VALUE(RIGHT(Insights!$C$3, 4)), E5405, "")</f>
        <v>#VALUE!</v>
      </c>
      <c r="H5405" s="26" t="e">
        <f t="shared" si="1"/>
        <v>#VALUE!</v>
      </c>
      <c r="I5405" s="1" t="e">
        <f t="shared" si="2"/>
        <v>#VALUE!</v>
      </c>
    </row>
    <row r="5406" spans="1:9" ht="15.75" customHeight="1">
      <c r="A5406" s="26"/>
      <c r="B5406" s="2"/>
      <c r="C5406" s="26"/>
      <c r="D5406" s="26"/>
      <c r="F5406" s="85" t="str">
        <f t="shared" si="0"/>
        <v/>
      </c>
      <c r="G5406" s="1" t="e">
        <f>IF(VALUE(F5406) = VALUE(RIGHT(Insights!$C$3, 4)), E5406, "")</f>
        <v>#VALUE!</v>
      </c>
      <c r="H5406" s="26" t="e">
        <f t="shared" si="1"/>
        <v>#VALUE!</v>
      </c>
      <c r="I5406" s="1" t="e">
        <f t="shared" si="2"/>
        <v>#VALUE!</v>
      </c>
    </row>
    <row r="5407" spans="1:9" ht="15.75" customHeight="1">
      <c r="A5407" s="26"/>
      <c r="B5407" s="2"/>
      <c r="C5407" s="26"/>
      <c r="D5407" s="26"/>
      <c r="F5407" s="85" t="str">
        <f t="shared" si="0"/>
        <v/>
      </c>
      <c r="G5407" s="1" t="e">
        <f>IF(VALUE(F5407) = VALUE(RIGHT(Insights!$C$3, 4)), E5407, "")</f>
        <v>#VALUE!</v>
      </c>
      <c r="H5407" s="26" t="e">
        <f t="shared" si="1"/>
        <v>#VALUE!</v>
      </c>
      <c r="I5407" s="1" t="e">
        <f t="shared" si="2"/>
        <v>#VALUE!</v>
      </c>
    </row>
    <row r="5408" spans="1:9" ht="15.75" customHeight="1">
      <c r="A5408" s="26"/>
      <c r="B5408" s="2"/>
      <c r="C5408" s="26"/>
      <c r="D5408" s="26"/>
      <c r="F5408" s="85" t="str">
        <f t="shared" si="0"/>
        <v/>
      </c>
      <c r="G5408" s="1" t="e">
        <f>IF(VALUE(F5408) = VALUE(RIGHT(Insights!$C$3, 4)), E5408, "")</f>
        <v>#VALUE!</v>
      </c>
      <c r="H5408" s="26" t="e">
        <f t="shared" si="1"/>
        <v>#VALUE!</v>
      </c>
      <c r="I5408" s="1" t="e">
        <f t="shared" si="2"/>
        <v>#VALUE!</v>
      </c>
    </row>
    <row r="5409" spans="1:9" ht="15.75" customHeight="1">
      <c r="A5409" s="26"/>
      <c r="B5409" s="2"/>
      <c r="C5409" s="26"/>
      <c r="D5409" s="26"/>
      <c r="F5409" s="85" t="str">
        <f t="shared" si="0"/>
        <v/>
      </c>
      <c r="G5409" s="1" t="e">
        <f>IF(VALUE(F5409) = VALUE(RIGHT(Insights!$C$3, 4)), E5409, "")</f>
        <v>#VALUE!</v>
      </c>
      <c r="H5409" s="26" t="e">
        <f t="shared" si="1"/>
        <v>#VALUE!</v>
      </c>
      <c r="I5409" s="1" t="e">
        <f t="shared" si="2"/>
        <v>#VALUE!</v>
      </c>
    </row>
    <row r="5410" spans="1:9" ht="15.75" customHeight="1">
      <c r="A5410" s="26"/>
      <c r="B5410" s="2"/>
      <c r="C5410" s="26"/>
      <c r="D5410" s="26"/>
      <c r="F5410" s="85" t="str">
        <f t="shared" si="0"/>
        <v/>
      </c>
      <c r="G5410" s="1" t="e">
        <f>IF(VALUE(F5410) = VALUE(RIGHT(Insights!$C$3, 4)), E5410, "")</f>
        <v>#VALUE!</v>
      </c>
      <c r="H5410" s="26" t="e">
        <f t="shared" si="1"/>
        <v>#VALUE!</v>
      </c>
      <c r="I5410" s="1" t="e">
        <f t="shared" si="2"/>
        <v>#VALUE!</v>
      </c>
    </row>
    <row r="5411" spans="1:9" ht="15.75" customHeight="1">
      <c r="A5411" s="26"/>
      <c r="B5411" s="2"/>
      <c r="C5411" s="26"/>
      <c r="D5411" s="26"/>
      <c r="F5411" s="85" t="str">
        <f t="shared" si="0"/>
        <v/>
      </c>
      <c r="G5411" s="1" t="e">
        <f>IF(VALUE(F5411) = VALUE(RIGHT(Insights!$C$3, 4)), E5411, "")</f>
        <v>#VALUE!</v>
      </c>
      <c r="H5411" s="26" t="e">
        <f t="shared" si="1"/>
        <v>#VALUE!</v>
      </c>
      <c r="I5411" s="1" t="e">
        <f t="shared" si="2"/>
        <v>#VALUE!</v>
      </c>
    </row>
    <row r="5412" spans="1:9" ht="15.75" customHeight="1">
      <c r="A5412" s="26"/>
      <c r="B5412" s="2"/>
      <c r="C5412" s="26"/>
      <c r="D5412" s="26"/>
      <c r="F5412" s="85" t="str">
        <f t="shared" si="0"/>
        <v/>
      </c>
      <c r="G5412" s="1" t="e">
        <f>IF(VALUE(F5412) = VALUE(RIGHT(Insights!$C$3, 4)), E5412, "")</f>
        <v>#VALUE!</v>
      </c>
      <c r="H5412" s="26" t="e">
        <f t="shared" si="1"/>
        <v>#VALUE!</v>
      </c>
      <c r="I5412" s="1" t="e">
        <f t="shared" si="2"/>
        <v>#VALUE!</v>
      </c>
    </row>
    <row r="5413" spans="1:9" ht="15.75" customHeight="1">
      <c r="A5413" s="26"/>
      <c r="B5413" s="2"/>
      <c r="C5413" s="26"/>
      <c r="D5413" s="26"/>
      <c r="F5413" s="85" t="str">
        <f t="shared" si="0"/>
        <v/>
      </c>
      <c r="G5413" s="1" t="e">
        <f>IF(VALUE(F5413) = VALUE(RIGHT(Insights!$C$3, 4)), E5413, "")</f>
        <v>#VALUE!</v>
      </c>
      <c r="H5413" s="26" t="e">
        <f t="shared" si="1"/>
        <v>#VALUE!</v>
      </c>
      <c r="I5413" s="1" t="e">
        <f t="shared" si="2"/>
        <v>#VALUE!</v>
      </c>
    </row>
    <row r="5414" spans="1:9" ht="15.75" customHeight="1">
      <c r="A5414" s="26"/>
      <c r="B5414" s="2"/>
      <c r="C5414" s="26"/>
      <c r="D5414" s="26"/>
      <c r="F5414" s="85" t="str">
        <f t="shared" si="0"/>
        <v/>
      </c>
      <c r="G5414" s="1" t="e">
        <f>IF(VALUE(F5414) = VALUE(RIGHT(Insights!$C$3, 4)), E5414, "")</f>
        <v>#VALUE!</v>
      </c>
      <c r="H5414" s="26" t="e">
        <f t="shared" si="1"/>
        <v>#VALUE!</v>
      </c>
      <c r="I5414" s="1" t="e">
        <f t="shared" si="2"/>
        <v>#VALUE!</v>
      </c>
    </row>
    <row r="5415" spans="1:9" ht="15.75" customHeight="1">
      <c r="A5415" s="26"/>
      <c r="B5415" s="2"/>
      <c r="C5415" s="26"/>
      <c r="D5415" s="26"/>
      <c r="F5415" s="85" t="str">
        <f t="shared" si="0"/>
        <v/>
      </c>
      <c r="G5415" s="1" t="e">
        <f>IF(VALUE(F5415) = VALUE(RIGHT(Insights!$C$3, 4)), E5415, "")</f>
        <v>#VALUE!</v>
      </c>
      <c r="H5415" s="26" t="e">
        <f t="shared" si="1"/>
        <v>#VALUE!</v>
      </c>
      <c r="I5415" s="1" t="e">
        <f t="shared" si="2"/>
        <v>#VALUE!</v>
      </c>
    </row>
    <row r="5416" spans="1:9" ht="15.75" customHeight="1">
      <c r="A5416" s="26"/>
      <c r="B5416" s="2"/>
      <c r="C5416" s="26"/>
      <c r="D5416" s="26"/>
      <c r="F5416" s="85" t="str">
        <f t="shared" si="0"/>
        <v/>
      </c>
      <c r="G5416" s="1" t="e">
        <f>IF(VALUE(F5416) = VALUE(RIGHT(Insights!$C$3, 4)), E5416, "")</f>
        <v>#VALUE!</v>
      </c>
      <c r="H5416" s="26" t="e">
        <f t="shared" si="1"/>
        <v>#VALUE!</v>
      </c>
      <c r="I5416" s="1" t="e">
        <f t="shared" si="2"/>
        <v>#VALUE!</v>
      </c>
    </row>
    <row r="5417" spans="1:9" ht="15.75" customHeight="1">
      <c r="A5417" s="26"/>
      <c r="B5417" s="2"/>
      <c r="C5417" s="26"/>
      <c r="D5417" s="26"/>
      <c r="F5417" s="85" t="str">
        <f t="shared" si="0"/>
        <v/>
      </c>
      <c r="G5417" s="1" t="e">
        <f>IF(VALUE(F5417) = VALUE(RIGHT(Insights!$C$3, 4)), E5417, "")</f>
        <v>#VALUE!</v>
      </c>
      <c r="H5417" s="26" t="e">
        <f t="shared" si="1"/>
        <v>#VALUE!</v>
      </c>
      <c r="I5417" s="1" t="e">
        <f t="shared" si="2"/>
        <v>#VALUE!</v>
      </c>
    </row>
    <row r="5418" spans="1:9" ht="15.75" customHeight="1">
      <c r="A5418" s="26"/>
      <c r="B5418" s="2"/>
      <c r="C5418" s="26"/>
      <c r="D5418" s="26"/>
      <c r="F5418" s="85" t="str">
        <f t="shared" si="0"/>
        <v/>
      </c>
      <c r="G5418" s="1" t="e">
        <f>IF(VALUE(F5418) = VALUE(RIGHT(Insights!$C$3, 4)), E5418, "")</f>
        <v>#VALUE!</v>
      </c>
      <c r="H5418" s="26" t="e">
        <f t="shared" si="1"/>
        <v>#VALUE!</v>
      </c>
      <c r="I5418" s="1" t="e">
        <f t="shared" si="2"/>
        <v>#VALUE!</v>
      </c>
    </row>
    <row r="5419" spans="1:9" ht="15.75" customHeight="1">
      <c r="A5419" s="26"/>
      <c r="B5419" s="2"/>
      <c r="C5419" s="26"/>
      <c r="D5419" s="26"/>
      <c r="F5419" s="85" t="str">
        <f t="shared" si="0"/>
        <v/>
      </c>
      <c r="G5419" s="1" t="e">
        <f>IF(VALUE(F5419) = VALUE(RIGHT(Insights!$C$3, 4)), E5419, "")</f>
        <v>#VALUE!</v>
      </c>
      <c r="H5419" s="26" t="e">
        <f t="shared" si="1"/>
        <v>#VALUE!</v>
      </c>
      <c r="I5419" s="1" t="e">
        <f t="shared" si="2"/>
        <v>#VALUE!</v>
      </c>
    </row>
    <row r="5420" spans="1:9" ht="15.75" customHeight="1">
      <c r="A5420" s="26"/>
      <c r="B5420" s="2"/>
      <c r="C5420" s="26"/>
      <c r="D5420" s="26"/>
      <c r="F5420" s="85" t="str">
        <f t="shared" si="0"/>
        <v/>
      </c>
      <c r="G5420" s="1" t="e">
        <f>IF(VALUE(F5420) = VALUE(RIGHT(Insights!$C$3, 4)), E5420, "")</f>
        <v>#VALUE!</v>
      </c>
      <c r="H5420" s="26" t="e">
        <f t="shared" si="1"/>
        <v>#VALUE!</v>
      </c>
      <c r="I5420" s="1" t="e">
        <f t="shared" si="2"/>
        <v>#VALUE!</v>
      </c>
    </row>
    <row r="5421" spans="1:9" ht="15.75" customHeight="1">
      <c r="A5421" s="26"/>
      <c r="B5421" s="2"/>
      <c r="C5421" s="26"/>
      <c r="D5421" s="26"/>
      <c r="F5421" s="85" t="str">
        <f t="shared" si="0"/>
        <v/>
      </c>
      <c r="G5421" s="1" t="e">
        <f>IF(VALUE(F5421) = VALUE(RIGHT(Insights!$C$3, 4)), E5421, "")</f>
        <v>#VALUE!</v>
      </c>
      <c r="H5421" s="26" t="e">
        <f t="shared" si="1"/>
        <v>#VALUE!</v>
      </c>
      <c r="I5421" s="1" t="e">
        <f t="shared" si="2"/>
        <v>#VALUE!</v>
      </c>
    </row>
    <row r="5422" spans="1:9" ht="15.75" customHeight="1">
      <c r="A5422" s="26"/>
      <c r="B5422" s="2"/>
      <c r="C5422" s="26"/>
      <c r="D5422" s="26"/>
      <c r="F5422" s="85" t="str">
        <f t="shared" si="0"/>
        <v/>
      </c>
      <c r="G5422" s="1" t="e">
        <f>IF(VALUE(F5422) = VALUE(RIGHT(Insights!$C$3, 4)), E5422, "")</f>
        <v>#VALUE!</v>
      </c>
      <c r="H5422" s="26" t="e">
        <f t="shared" si="1"/>
        <v>#VALUE!</v>
      </c>
      <c r="I5422" s="1" t="e">
        <f t="shared" si="2"/>
        <v>#VALUE!</v>
      </c>
    </row>
    <row r="5423" spans="1:9" ht="15.75" customHeight="1">
      <c r="A5423" s="26"/>
      <c r="B5423" s="2"/>
      <c r="C5423" s="26"/>
      <c r="D5423" s="26"/>
      <c r="F5423" s="85" t="str">
        <f t="shared" si="0"/>
        <v/>
      </c>
      <c r="G5423" s="1" t="e">
        <f>IF(VALUE(F5423) = VALUE(RIGHT(Insights!$C$3, 4)), E5423, "")</f>
        <v>#VALUE!</v>
      </c>
      <c r="H5423" s="26" t="e">
        <f t="shared" si="1"/>
        <v>#VALUE!</v>
      </c>
      <c r="I5423" s="1" t="e">
        <f t="shared" si="2"/>
        <v>#VALUE!</v>
      </c>
    </row>
    <row r="5424" spans="1:9" ht="15.75" customHeight="1">
      <c r="A5424" s="26"/>
      <c r="B5424" s="2"/>
      <c r="C5424" s="26"/>
      <c r="D5424" s="26"/>
      <c r="F5424" s="85" t="str">
        <f t="shared" si="0"/>
        <v/>
      </c>
      <c r="G5424" s="1" t="e">
        <f>IF(VALUE(F5424) = VALUE(RIGHT(Insights!$C$3, 4)), E5424, "")</f>
        <v>#VALUE!</v>
      </c>
      <c r="H5424" s="26" t="e">
        <f t="shared" si="1"/>
        <v>#VALUE!</v>
      </c>
      <c r="I5424" s="1" t="e">
        <f t="shared" si="2"/>
        <v>#VALUE!</v>
      </c>
    </row>
    <row r="5425" spans="1:9" ht="15.75" customHeight="1">
      <c r="A5425" s="26"/>
      <c r="B5425" s="2"/>
      <c r="C5425" s="26"/>
      <c r="D5425" s="26"/>
      <c r="F5425" s="85" t="str">
        <f t="shared" si="0"/>
        <v/>
      </c>
      <c r="G5425" s="1" t="e">
        <f>IF(VALUE(F5425) = VALUE(RIGHT(Insights!$C$3, 4)), E5425, "")</f>
        <v>#VALUE!</v>
      </c>
      <c r="H5425" s="26" t="e">
        <f t="shared" si="1"/>
        <v>#VALUE!</v>
      </c>
      <c r="I5425" s="1" t="e">
        <f t="shared" si="2"/>
        <v>#VALUE!</v>
      </c>
    </row>
    <row r="5426" spans="1:9" ht="15.75" customHeight="1">
      <c r="A5426" s="26"/>
      <c r="B5426" s="2"/>
      <c r="C5426" s="26"/>
      <c r="D5426" s="26"/>
      <c r="F5426" s="85" t="str">
        <f t="shared" si="0"/>
        <v/>
      </c>
      <c r="G5426" s="1" t="e">
        <f>IF(VALUE(F5426) = VALUE(RIGHT(Insights!$C$3, 4)), E5426, "")</f>
        <v>#VALUE!</v>
      </c>
      <c r="H5426" s="26" t="e">
        <f t="shared" si="1"/>
        <v>#VALUE!</v>
      </c>
      <c r="I5426" s="1" t="e">
        <f t="shared" si="2"/>
        <v>#VALUE!</v>
      </c>
    </row>
    <row r="5427" spans="1:9" ht="15.75" customHeight="1">
      <c r="A5427" s="26"/>
      <c r="B5427" s="2"/>
      <c r="C5427" s="26"/>
      <c r="D5427" s="26"/>
      <c r="F5427" s="85" t="str">
        <f t="shared" si="0"/>
        <v/>
      </c>
      <c r="G5427" s="1" t="e">
        <f>IF(VALUE(F5427) = VALUE(RIGHT(Insights!$C$3, 4)), E5427, "")</f>
        <v>#VALUE!</v>
      </c>
      <c r="H5427" s="26" t="e">
        <f t="shared" si="1"/>
        <v>#VALUE!</v>
      </c>
      <c r="I5427" s="1" t="e">
        <f t="shared" si="2"/>
        <v>#VALUE!</v>
      </c>
    </row>
    <row r="5428" spans="1:9" ht="15.75" customHeight="1">
      <c r="A5428" s="26"/>
      <c r="B5428" s="2"/>
      <c r="C5428" s="26"/>
      <c r="D5428" s="26"/>
      <c r="F5428" s="85" t="str">
        <f t="shared" si="0"/>
        <v/>
      </c>
      <c r="G5428" s="1" t="e">
        <f>IF(VALUE(F5428) = VALUE(RIGHT(Insights!$C$3, 4)), E5428, "")</f>
        <v>#VALUE!</v>
      </c>
      <c r="H5428" s="26" t="e">
        <f t="shared" si="1"/>
        <v>#VALUE!</v>
      </c>
      <c r="I5428" s="1" t="e">
        <f t="shared" si="2"/>
        <v>#VALUE!</v>
      </c>
    </row>
    <row r="5429" spans="1:9" ht="15.75" customHeight="1">
      <c r="A5429" s="26"/>
      <c r="B5429" s="2"/>
      <c r="C5429" s="26"/>
      <c r="D5429" s="26"/>
      <c r="F5429" s="85" t="str">
        <f t="shared" si="0"/>
        <v/>
      </c>
      <c r="G5429" s="1" t="e">
        <f>IF(VALUE(F5429) = VALUE(RIGHT(Insights!$C$3, 4)), E5429, "")</f>
        <v>#VALUE!</v>
      </c>
      <c r="H5429" s="26" t="e">
        <f t="shared" si="1"/>
        <v>#VALUE!</v>
      </c>
      <c r="I5429" s="1" t="e">
        <f t="shared" si="2"/>
        <v>#VALUE!</v>
      </c>
    </row>
    <row r="5430" spans="1:9" ht="15.75" customHeight="1">
      <c r="A5430" s="26"/>
      <c r="B5430" s="2"/>
      <c r="C5430" s="26"/>
      <c r="D5430" s="26"/>
      <c r="F5430" s="85" t="str">
        <f t="shared" si="0"/>
        <v/>
      </c>
      <c r="G5430" s="1" t="e">
        <f>IF(VALUE(F5430) = VALUE(RIGHT(Insights!$C$3, 4)), E5430, "")</f>
        <v>#VALUE!</v>
      </c>
      <c r="H5430" s="26" t="e">
        <f t="shared" si="1"/>
        <v>#VALUE!</v>
      </c>
      <c r="I5430" s="1" t="e">
        <f t="shared" si="2"/>
        <v>#VALUE!</v>
      </c>
    </row>
    <row r="5431" spans="1:9" ht="15.75" customHeight="1">
      <c r="A5431" s="26"/>
      <c r="B5431" s="2"/>
      <c r="C5431" s="26"/>
      <c r="D5431" s="26"/>
      <c r="F5431" s="85" t="str">
        <f t="shared" si="0"/>
        <v/>
      </c>
      <c r="G5431" s="1" t="e">
        <f>IF(VALUE(F5431) = VALUE(RIGHT(Insights!$C$3, 4)), E5431, "")</f>
        <v>#VALUE!</v>
      </c>
      <c r="H5431" s="26" t="e">
        <f t="shared" si="1"/>
        <v>#VALUE!</v>
      </c>
      <c r="I5431" s="1" t="e">
        <f t="shared" si="2"/>
        <v>#VALUE!</v>
      </c>
    </row>
    <row r="5432" spans="1:9" ht="15.75" customHeight="1">
      <c r="A5432" s="26"/>
      <c r="B5432" s="2"/>
      <c r="C5432" s="26"/>
      <c r="D5432" s="26"/>
      <c r="F5432" s="85" t="str">
        <f t="shared" si="0"/>
        <v/>
      </c>
      <c r="G5432" s="1" t="e">
        <f>IF(VALUE(F5432) = VALUE(RIGHT(Insights!$C$3, 4)), E5432, "")</f>
        <v>#VALUE!</v>
      </c>
      <c r="H5432" s="26" t="e">
        <f t="shared" si="1"/>
        <v>#VALUE!</v>
      </c>
      <c r="I5432" s="1" t="e">
        <f t="shared" si="2"/>
        <v>#VALUE!</v>
      </c>
    </row>
    <row r="5433" spans="1:9" ht="15.75" customHeight="1">
      <c r="A5433" s="26"/>
      <c r="B5433" s="2"/>
      <c r="C5433" s="26"/>
      <c r="D5433" s="26"/>
      <c r="F5433" s="85" t="str">
        <f t="shared" si="0"/>
        <v/>
      </c>
      <c r="G5433" s="1" t="e">
        <f>IF(VALUE(F5433) = VALUE(RIGHT(Insights!$C$3, 4)), E5433, "")</f>
        <v>#VALUE!</v>
      </c>
      <c r="H5433" s="26" t="e">
        <f t="shared" si="1"/>
        <v>#VALUE!</v>
      </c>
      <c r="I5433" s="1" t="e">
        <f t="shared" si="2"/>
        <v>#VALUE!</v>
      </c>
    </row>
    <row r="5434" spans="1:9" ht="15.75" customHeight="1">
      <c r="A5434" s="26"/>
      <c r="B5434" s="2"/>
      <c r="C5434" s="26"/>
      <c r="D5434" s="26"/>
      <c r="F5434" s="85" t="str">
        <f t="shared" si="0"/>
        <v/>
      </c>
      <c r="G5434" s="1" t="e">
        <f>IF(VALUE(F5434) = VALUE(RIGHT(Insights!$C$3, 4)), E5434, "")</f>
        <v>#VALUE!</v>
      </c>
      <c r="H5434" s="26" t="e">
        <f t="shared" si="1"/>
        <v>#VALUE!</v>
      </c>
      <c r="I5434" s="1" t="e">
        <f t="shared" si="2"/>
        <v>#VALUE!</v>
      </c>
    </row>
    <row r="5435" spans="1:9" ht="15.75" customHeight="1">
      <c r="A5435" s="26"/>
      <c r="B5435" s="2"/>
      <c r="C5435" s="26"/>
      <c r="D5435" s="26"/>
      <c r="F5435" s="85" t="str">
        <f t="shared" si="0"/>
        <v/>
      </c>
      <c r="G5435" s="1" t="e">
        <f>IF(VALUE(F5435) = VALUE(RIGHT(Insights!$C$3, 4)), E5435, "")</f>
        <v>#VALUE!</v>
      </c>
      <c r="H5435" s="26" t="e">
        <f t="shared" si="1"/>
        <v>#VALUE!</v>
      </c>
      <c r="I5435" s="1" t="e">
        <f t="shared" si="2"/>
        <v>#VALUE!</v>
      </c>
    </row>
    <row r="5436" spans="1:9" ht="15.75" customHeight="1">
      <c r="A5436" s="26"/>
      <c r="B5436" s="2"/>
      <c r="C5436" s="26"/>
      <c r="D5436" s="26"/>
      <c r="F5436" s="85" t="str">
        <f t="shared" si="0"/>
        <v/>
      </c>
      <c r="G5436" s="1" t="e">
        <f>IF(VALUE(F5436) = VALUE(RIGHT(Insights!$C$3, 4)), E5436, "")</f>
        <v>#VALUE!</v>
      </c>
      <c r="H5436" s="26" t="e">
        <f t="shared" si="1"/>
        <v>#VALUE!</v>
      </c>
      <c r="I5436" s="1" t="e">
        <f t="shared" si="2"/>
        <v>#VALUE!</v>
      </c>
    </row>
    <row r="5437" spans="1:9" ht="15.75" customHeight="1">
      <c r="A5437" s="26"/>
      <c r="B5437" s="2"/>
      <c r="C5437" s="26"/>
      <c r="D5437" s="26"/>
      <c r="F5437" s="85" t="str">
        <f t="shared" si="0"/>
        <v/>
      </c>
      <c r="G5437" s="1" t="e">
        <f>IF(VALUE(F5437) = VALUE(RIGHT(Insights!$C$3, 4)), E5437, "")</f>
        <v>#VALUE!</v>
      </c>
      <c r="H5437" s="26" t="e">
        <f t="shared" si="1"/>
        <v>#VALUE!</v>
      </c>
      <c r="I5437" s="1" t="e">
        <f t="shared" si="2"/>
        <v>#VALUE!</v>
      </c>
    </row>
    <row r="5438" spans="1:9" ht="15.75" customHeight="1">
      <c r="A5438" s="26"/>
      <c r="B5438" s="2"/>
      <c r="C5438" s="26"/>
      <c r="D5438" s="26"/>
      <c r="F5438" s="85" t="str">
        <f t="shared" si="0"/>
        <v/>
      </c>
      <c r="G5438" s="1" t="e">
        <f>IF(VALUE(F5438) = VALUE(RIGHT(Insights!$C$3, 4)), E5438, "")</f>
        <v>#VALUE!</v>
      </c>
      <c r="H5438" s="26" t="e">
        <f t="shared" si="1"/>
        <v>#VALUE!</v>
      </c>
      <c r="I5438" s="1" t="e">
        <f t="shared" si="2"/>
        <v>#VALUE!</v>
      </c>
    </row>
    <row r="5439" spans="1:9" ht="15.75" customHeight="1">
      <c r="A5439" s="26"/>
      <c r="B5439" s="2"/>
      <c r="C5439" s="26"/>
      <c r="D5439" s="26"/>
      <c r="F5439" s="85" t="str">
        <f t="shared" si="0"/>
        <v/>
      </c>
      <c r="G5439" s="1" t="e">
        <f>IF(VALUE(F5439) = VALUE(RIGHT(Insights!$C$3, 4)), E5439, "")</f>
        <v>#VALUE!</v>
      </c>
      <c r="H5439" s="26" t="e">
        <f t="shared" si="1"/>
        <v>#VALUE!</v>
      </c>
      <c r="I5439" s="1" t="e">
        <f t="shared" si="2"/>
        <v>#VALUE!</v>
      </c>
    </row>
    <row r="5440" spans="1:9" ht="15.75" customHeight="1">
      <c r="A5440" s="26"/>
      <c r="B5440" s="2"/>
      <c r="C5440" s="26"/>
      <c r="D5440" s="26"/>
      <c r="F5440" s="85" t="str">
        <f t="shared" si="0"/>
        <v/>
      </c>
      <c r="G5440" s="1" t="e">
        <f>IF(VALUE(F5440) = VALUE(RIGHT(Insights!$C$3, 4)), E5440, "")</f>
        <v>#VALUE!</v>
      </c>
      <c r="H5440" s="26" t="e">
        <f t="shared" si="1"/>
        <v>#VALUE!</v>
      </c>
      <c r="I5440" s="1" t="e">
        <f t="shared" si="2"/>
        <v>#VALUE!</v>
      </c>
    </row>
    <row r="5441" spans="1:9" ht="15.75" customHeight="1">
      <c r="A5441" s="26"/>
      <c r="B5441" s="2"/>
      <c r="C5441" s="26"/>
      <c r="D5441" s="26"/>
      <c r="F5441" s="85" t="str">
        <f t="shared" si="0"/>
        <v/>
      </c>
      <c r="G5441" s="1" t="e">
        <f>IF(VALUE(F5441) = VALUE(RIGHT(Insights!$C$3, 4)), E5441, "")</f>
        <v>#VALUE!</v>
      </c>
      <c r="H5441" s="26" t="e">
        <f t="shared" si="1"/>
        <v>#VALUE!</v>
      </c>
      <c r="I5441" s="1" t="e">
        <f t="shared" si="2"/>
        <v>#VALUE!</v>
      </c>
    </row>
    <row r="5442" spans="1:9" ht="15.75" customHeight="1">
      <c r="A5442" s="26"/>
      <c r="B5442" s="2"/>
      <c r="C5442" s="26"/>
      <c r="D5442" s="26"/>
      <c r="F5442" s="85" t="str">
        <f t="shared" si="0"/>
        <v/>
      </c>
      <c r="G5442" s="1" t="e">
        <f>IF(VALUE(F5442) = VALUE(RIGHT(Insights!$C$3, 4)), E5442, "")</f>
        <v>#VALUE!</v>
      </c>
      <c r="H5442" s="26" t="e">
        <f t="shared" si="1"/>
        <v>#VALUE!</v>
      </c>
      <c r="I5442" s="1" t="e">
        <f t="shared" si="2"/>
        <v>#VALUE!</v>
      </c>
    </row>
    <row r="5443" spans="1:9" ht="15.75" customHeight="1">
      <c r="A5443" s="26"/>
      <c r="B5443" s="2"/>
      <c r="C5443" s="26"/>
      <c r="D5443" s="26"/>
      <c r="F5443" s="85" t="str">
        <f t="shared" si="0"/>
        <v/>
      </c>
      <c r="G5443" s="1" t="e">
        <f>IF(VALUE(F5443) = VALUE(RIGHT(Insights!$C$3, 4)), E5443, "")</f>
        <v>#VALUE!</v>
      </c>
      <c r="H5443" s="26" t="e">
        <f t="shared" si="1"/>
        <v>#VALUE!</v>
      </c>
      <c r="I5443" s="1" t="e">
        <f t="shared" si="2"/>
        <v>#VALUE!</v>
      </c>
    </row>
    <row r="5444" spans="1:9" ht="15.75" customHeight="1">
      <c r="A5444" s="26"/>
      <c r="B5444" s="2"/>
      <c r="C5444" s="26"/>
      <c r="D5444" s="26"/>
      <c r="F5444" s="85" t="str">
        <f t="shared" si="0"/>
        <v/>
      </c>
      <c r="G5444" s="1" t="e">
        <f>IF(VALUE(F5444) = VALUE(RIGHT(Insights!$C$3, 4)), E5444, "")</f>
        <v>#VALUE!</v>
      </c>
      <c r="H5444" s="26" t="e">
        <f t="shared" si="1"/>
        <v>#VALUE!</v>
      </c>
      <c r="I5444" s="1" t="e">
        <f t="shared" si="2"/>
        <v>#VALUE!</v>
      </c>
    </row>
    <row r="5445" spans="1:9" ht="15.75" customHeight="1">
      <c r="A5445" s="26"/>
      <c r="B5445" s="2"/>
      <c r="C5445" s="26"/>
      <c r="D5445" s="26"/>
      <c r="F5445" s="85" t="str">
        <f t="shared" si="0"/>
        <v/>
      </c>
      <c r="G5445" s="1" t="e">
        <f>IF(VALUE(F5445) = VALUE(RIGHT(Insights!$C$3, 4)), E5445, "")</f>
        <v>#VALUE!</v>
      </c>
      <c r="H5445" s="26" t="e">
        <f t="shared" si="1"/>
        <v>#VALUE!</v>
      </c>
      <c r="I5445" s="1" t="e">
        <f t="shared" si="2"/>
        <v>#VALUE!</v>
      </c>
    </row>
    <row r="5446" spans="1:9" ht="15.75" customHeight="1">
      <c r="A5446" s="26"/>
      <c r="B5446" s="2"/>
      <c r="C5446" s="26"/>
      <c r="D5446" s="26"/>
      <c r="F5446" s="85" t="str">
        <f t="shared" si="0"/>
        <v/>
      </c>
      <c r="G5446" s="1" t="e">
        <f>IF(VALUE(F5446) = VALUE(RIGHT(Insights!$C$3, 4)), E5446, "")</f>
        <v>#VALUE!</v>
      </c>
      <c r="H5446" s="26" t="e">
        <f t="shared" si="1"/>
        <v>#VALUE!</v>
      </c>
      <c r="I5446" s="1" t="e">
        <f t="shared" si="2"/>
        <v>#VALUE!</v>
      </c>
    </row>
    <row r="5447" spans="1:9" ht="15.75" customHeight="1">
      <c r="A5447" s="26"/>
      <c r="B5447" s="2"/>
      <c r="C5447" s="26"/>
      <c r="D5447" s="26"/>
      <c r="F5447" s="85" t="str">
        <f t="shared" si="0"/>
        <v/>
      </c>
      <c r="G5447" s="1" t="e">
        <f>IF(VALUE(F5447) = VALUE(RIGHT(Insights!$C$3, 4)), E5447, "")</f>
        <v>#VALUE!</v>
      </c>
      <c r="H5447" s="26" t="e">
        <f t="shared" si="1"/>
        <v>#VALUE!</v>
      </c>
      <c r="I5447" s="1" t="e">
        <f t="shared" si="2"/>
        <v>#VALUE!</v>
      </c>
    </row>
    <row r="5448" spans="1:9" ht="15.75" customHeight="1">
      <c r="A5448" s="26"/>
      <c r="B5448" s="2"/>
      <c r="C5448" s="26"/>
      <c r="D5448" s="26"/>
      <c r="F5448" s="85" t="str">
        <f t="shared" si="0"/>
        <v/>
      </c>
      <c r="G5448" s="1" t="e">
        <f>IF(VALUE(F5448) = VALUE(RIGHT(Insights!$C$3, 4)), E5448, "")</f>
        <v>#VALUE!</v>
      </c>
      <c r="H5448" s="26" t="e">
        <f t="shared" si="1"/>
        <v>#VALUE!</v>
      </c>
      <c r="I5448" s="1" t="e">
        <f t="shared" si="2"/>
        <v>#VALUE!</v>
      </c>
    </row>
    <row r="5449" spans="1:9" ht="15.75" customHeight="1">
      <c r="A5449" s="26"/>
      <c r="B5449" s="2"/>
      <c r="C5449" s="26"/>
      <c r="D5449" s="26"/>
      <c r="F5449" s="85" t="str">
        <f t="shared" si="0"/>
        <v/>
      </c>
      <c r="G5449" s="1" t="e">
        <f>IF(VALUE(F5449) = VALUE(RIGHT(Insights!$C$3, 4)), E5449, "")</f>
        <v>#VALUE!</v>
      </c>
      <c r="H5449" s="26" t="e">
        <f t="shared" si="1"/>
        <v>#VALUE!</v>
      </c>
      <c r="I5449" s="1" t="e">
        <f t="shared" si="2"/>
        <v>#VALUE!</v>
      </c>
    </row>
    <row r="5450" spans="1:9" ht="15.75" customHeight="1">
      <c r="A5450" s="26"/>
      <c r="B5450" s="2"/>
      <c r="C5450" s="26"/>
      <c r="D5450" s="26"/>
      <c r="F5450" s="85" t="str">
        <f t="shared" si="0"/>
        <v/>
      </c>
      <c r="G5450" s="1" t="e">
        <f>IF(VALUE(F5450) = VALUE(RIGHT(Insights!$C$3, 4)), E5450, "")</f>
        <v>#VALUE!</v>
      </c>
      <c r="H5450" s="26" t="e">
        <f t="shared" si="1"/>
        <v>#VALUE!</v>
      </c>
      <c r="I5450" s="1" t="e">
        <f t="shared" si="2"/>
        <v>#VALUE!</v>
      </c>
    </row>
    <row r="5451" spans="1:9" ht="15.75" customHeight="1">
      <c r="A5451" s="26"/>
      <c r="B5451" s="2"/>
      <c r="C5451" s="26"/>
      <c r="D5451" s="26"/>
      <c r="F5451" s="85" t="str">
        <f t="shared" si="0"/>
        <v/>
      </c>
      <c r="G5451" s="1" t="e">
        <f>IF(VALUE(F5451) = VALUE(RIGHT(Insights!$C$3, 4)), E5451, "")</f>
        <v>#VALUE!</v>
      </c>
      <c r="H5451" s="26" t="e">
        <f t="shared" si="1"/>
        <v>#VALUE!</v>
      </c>
      <c r="I5451" s="1" t="e">
        <f t="shared" si="2"/>
        <v>#VALUE!</v>
      </c>
    </row>
    <row r="5452" spans="1:9" ht="15.75" customHeight="1">
      <c r="A5452" s="26"/>
      <c r="B5452" s="2"/>
      <c r="C5452" s="26"/>
      <c r="D5452" s="26"/>
      <c r="F5452" s="85" t="str">
        <f t="shared" si="0"/>
        <v/>
      </c>
      <c r="G5452" s="1" t="e">
        <f>IF(VALUE(F5452) = VALUE(RIGHT(Insights!$C$3, 4)), E5452, "")</f>
        <v>#VALUE!</v>
      </c>
      <c r="H5452" s="26" t="e">
        <f t="shared" si="1"/>
        <v>#VALUE!</v>
      </c>
      <c r="I5452" s="1" t="e">
        <f t="shared" si="2"/>
        <v>#VALUE!</v>
      </c>
    </row>
    <row r="5453" spans="1:9" ht="15.75" customHeight="1">
      <c r="A5453" s="26"/>
      <c r="B5453" s="2"/>
      <c r="C5453" s="26"/>
      <c r="D5453" s="26"/>
      <c r="F5453" s="85" t="str">
        <f t="shared" si="0"/>
        <v/>
      </c>
      <c r="G5453" s="1" t="e">
        <f>IF(VALUE(F5453) = VALUE(RIGHT(Insights!$C$3, 4)), E5453, "")</f>
        <v>#VALUE!</v>
      </c>
      <c r="H5453" s="26" t="e">
        <f t="shared" si="1"/>
        <v>#VALUE!</v>
      </c>
      <c r="I5453" s="1" t="e">
        <f t="shared" si="2"/>
        <v>#VALUE!</v>
      </c>
    </row>
    <row r="5454" spans="1:9" ht="15.75" customHeight="1">
      <c r="A5454" s="26"/>
      <c r="B5454" s="2"/>
      <c r="C5454" s="26"/>
      <c r="D5454" s="26"/>
      <c r="F5454" s="85" t="str">
        <f t="shared" si="0"/>
        <v/>
      </c>
      <c r="G5454" s="1" t="e">
        <f>IF(VALUE(F5454) = VALUE(RIGHT(Insights!$C$3, 4)), E5454, "")</f>
        <v>#VALUE!</v>
      </c>
      <c r="H5454" s="26" t="e">
        <f t="shared" si="1"/>
        <v>#VALUE!</v>
      </c>
      <c r="I5454" s="1" t="e">
        <f t="shared" si="2"/>
        <v>#VALUE!</v>
      </c>
    </row>
    <row r="5455" spans="1:9" ht="15.75" customHeight="1">
      <c r="A5455" s="26"/>
      <c r="B5455" s="2"/>
      <c r="C5455" s="26"/>
      <c r="D5455" s="26"/>
      <c r="F5455" s="85" t="str">
        <f t="shared" si="0"/>
        <v/>
      </c>
      <c r="G5455" s="1" t="e">
        <f>IF(VALUE(F5455) = VALUE(RIGHT(Insights!$C$3, 4)), E5455, "")</f>
        <v>#VALUE!</v>
      </c>
      <c r="H5455" s="26" t="e">
        <f t="shared" si="1"/>
        <v>#VALUE!</v>
      </c>
      <c r="I5455" s="1" t="e">
        <f t="shared" si="2"/>
        <v>#VALUE!</v>
      </c>
    </row>
    <row r="5456" spans="1:9" ht="15.75" customHeight="1">
      <c r="A5456" s="26"/>
      <c r="B5456" s="2"/>
      <c r="C5456" s="26"/>
      <c r="D5456" s="26"/>
      <c r="F5456" s="85" t="str">
        <f t="shared" si="0"/>
        <v/>
      </c>
      <c r="G5456" s="1" t="e">
        <f>IF(VALUE(F5456) = VALUE(RIGHT(Insights!$C$3, 4)), E5456, "")</f>
        <v>#VALUE!</v>
      </c>
      <c r="H5456" s="26" t="e">
        <f t="shared" si="1"/>
        <v>#VALUE!</v>
      </c>
      <c r="I5456" s="1" t="e">
        <f t="shared" si="2"/>
        <v>#VALUE!</v>
      </c>
    </row>
    <row r="5457" spans="1:9" ht="15.75" customHeight="1">
      <c r="A5457" s="26"/>
      <c r="B5457" s="2"/>
      <c r="C5457" s="26"/>
      <c r="D5457" s="26"/>
      <c r="F5457" s="85" t="str">
        <f t="shared" si="0"/>
        <v/>
      </c>
      <c r="G5457" s="1" t="e">
        <f>IF(VALUE(F5457) = VALUE(RIGHT(Insights!$C$3, 4)), E5457, "")</f>
        <v>#VALUE!</v>
      </c>
      <c r="H5457" s="26" t="e">
        <f t="shared" si="1"/>
        <v>#VALUE!</v>
      </c>
      <c r="I5457" s="1" t="e">
        <f t="shared" si="2"/>
        <v>#VALUE!</v>
      </c>
    </row>
    <row r="5458" spans="1:9" ht="15.75" customHeight="1">
      <c r="A5458" s="26"/>
      <c r="B5458" s="2"/>
      <c r="C5458" s="26"/>
      <c r="D5458" s="26"/>
      <c r="F5458" s="85" t="str">
        <f t="shared" si="0"/>
        <v/>
      </c>
      <c r="G5458" s="1" t="e">
        <f>IF(VALUE(F5458) = VALUE(RIGHT(Insights!$C$3, 4)), E5458, "")</f>
        <v>#VALUE!</v>
      </c>
      <c r="H5458" s="26" t="e">
        <f t="shared" si="1"/>
        <v>#VALUE!</v>
      </c>
      <c r="I5458" s="1" t="e">
        <f t="shared" si="2"/>
        <v>#VALUE!</v>
      </c>
    </row>
    <row r="5459" spans="1:9" ht="15.75" customHeight="1">
      <c r="A5459" s="26"/>
      <c r="B5459" s="2"/>
      <c r="C5459" s="26"/>
      <c r="D5459" s="26"/>
      <c r="F5459" s="85" t="str">
        <f t="shared" si="0"/>
        <v/>
      </c>
      <c r="G5459" s="1" t="e">
        <f>IF(VALUE(F5459) = VALUE(RIGHT(Insights!$C$3, 4)), E5459, "")</f>
        <v>#VALUE!</v>
      </c>
      <c r="H5459" s="26" t="e">
        <f t="shared" si="1"/>
        <v>#VALUE!</v>
      </c>
      <c r="I5459" s="1" t="e">
        <f t="shared" si="2"/>
        <v>#VALUE!</v>
      </c>
    </row>
    <row r="5460" spans="1:9" ht="15.75" customHeight="1">
      <c r="A5460" s="26"/>
      <c r="B5460" s="2"/>
      <c r="C5460" s="26"/>
      <c r="D5460" s="26"/>
      <c r="F5460" s="85" t="str">
        <f t="shared" si="0"/>
        <v/>
      </c>
      <c r="G5460" s="1" t="e">
        <f>IF(VALUE(F5460) = VALUE(RIGHT(Insights!$C$3, 4)), E5460, "")</f>
        <v>#VALUE!</v>
      </c>
      <c r="H5460" s="26" t="e">
        <f t="shared" si="1"/>
        <v>#VALUE!</v>
      </c>
      <c r="I5460" s="1" t="e">
        <f t="shared" si="2"/>
        <v>#VALUE!</v>
      </c>
    </row>
    <row r="5461" spans="1:9" ht="15.75" customHeight="1">
      <c r="A5461" s="26"/>
      <c r="B5461" s="2"/>
      <c r="C5461" s="26"/>
      <c r="D5461" s="26"/>
      <c r="F5461" s="85" t="str">
        <f t="shared" si="0"/>
        <v/>
      </c>
      <c r="G5461" s="1" t="e">
        <f>IF(VALUE(F5461) = VALUE(RIGHT(Insights!$C$3, 4)), E5461, "")</f>
        <v>#VALUE!</v>
      </c>
      <c r="H5461" s="26" t="e">
        <f t="shared" si="1"/>
        <v>#VALUE!</v>
      </c>
      <c r="I5461" s="1" t="e">
        <f t="shared" si="2"/>
        <v>#VALUE!</v>
      </c>
    </row>
    <row r="5462" spans="1:9" ht="15.75" customHeight="1">
      <c r="A5462" s="26"/>
      <c r="B5462" s="2"/>
      <c r="C5462" s="26"/>
      <c r="D5462" s="26"/>
      <c r="F5462" s="85" t="str">
        <f t="shared" si="0"/>
        <v/>
      </c>
      <c r="G5462" s="1" t="e">
        <f>IF(VALUE(F5462) = VALUE(RIGHT(Insights!$C$3, 4)), E5462, "")</f>
        <v>#VALUE!</v>
      </c>
      <c r="H5462" s="26" t="e">
        <f t="shared" si="1"/>
        <v>#VALUE!</v>
      </c>
      <c r="I5462" s="1" t="e">
        <f t="shared" si="2"/>
        <v>#VALUE!</v>
      </c>
    </row>
    <row r="5463" spans="1:9" ht="15.75" customHeight="1">
      <c r="A5463" s="26"/>
      <c r="B5463" s="2"/>
      <c r="C5463" s="26"/>
      <c r="D5463" s="26"/>
      <c r="F5463" s="85" t="str">
        <f t="shared" si="0"/>
        <v/>
      </c>
      <c r="G5463" s="1" t="e">
        <f>IF(VALUE(F5463) = VALUE(RIGHT(Insights!$C$3, 4)), E5463, "")</f>
        <v>#VALUE!</v>
      </c>
      <c r="H5463" s="26" t="e">
        <f t="shared" si="1"/>
        <v>#VALUE!</v>
      </c>
      <c r="I5463" s="1" t="e">
        <f t="shared" si="2"/>
        <v>#VALUE!</v>
      </c>
    </row>
    <row r="5464" spans="1:9" ht="15.75" customHeight="1">
      <c r="A5464" s="26"/>
      <c r="B5464" s="2"/>
      <c r="C5464" s="26"/>
      <c r="D5464" s="26"/>
      <c r="F5464" s="85" t="str">
        <f t="shared" si="0"/>
        <v/>
      </c>
      <c r="G5464" s="1" t="e">
        <f>IF(VALUE(F5464) = VALUE(RIGHT(Insights!$C$3, 4)), E5464, "")</f>
        <v>#VALUE!</v>
      </c>
      <c r="H5464" s="26" t="e">
        <f t="shared" si="1"/>
        <v>#VALUE!</v>
      </c>
      <c r="I5464" s="1" t="e">
        <f t="shared" si="2"/>
        <v>#VALUE!</v>
      </c>
    </row>
    <row r="5465" spans="1:9" ht="15.75" customHeight="1">
      <c r="A5465" s="26"/>
      <c r="B5465" s="2"/>
      <c r="C5465" s="26"/>
      <c r="D5465" s="26"/>
      <c r="F5465" s="85" t="str">
        <f t="shared" si="0"/>
        <v/>
      </c>
      <c r="G5465" s="1" t="e">
        <f>IF(VALUE(F5465) = VALUE(RIGHT(Insights!$C$3, 4)), E5465, "")</f>
        <v>#VALUE!</v>
      </c>
      <c r="H5465" s="26" t="e">
        <f t="shared" si="1"/>
        <v>#VALUE!</v>
      </c>
      <c r="I5465" s="1" t="e">
        <f t="shared" si="2"/>
        <v>#VALUE!</v>
      </c>
    </row>
    <row r="5466" spans="1:9" ht="15.75" customHeight="1">
      <c r="A5466" s="26"/>
      <c r="B5466" s="2"/>
      <c r="C5466" s="26"/>
      <c r="D5466" s="26"/>
      <c r="F5466" s="85" t="str">
        <f t="shared" si="0"/>
        <v/>
      </c>
      <c r="G5466" s="1" t="e">
        <f>IF(VALUE(F5466) = VALUE(RIGHT(Insights!$C$3, 4)), E5466, "")</f>
        <v>#VALUE!</v>
      </c>
      <c r="H5466" s="26" t="e">
        <f t="shared" si="1"/>
        <v>#VALUE!</v>
      </c>
      <c r="I5466" s="1" t="e">
        <f t="shared" si="2"/>
        <v>#VALUE!</v>
      </c>
    </row>
    <row r="5467" spans="1:9" ht="15.75" customHeight="1">
      <c r="A5467" s="26"/>
      <c r="B5467" s="2"/>
      <c r="C5467" s="26"/>
      <c r="D5467" s="26"/>
      <c r="F5467" s="85" t="str">
        <f t="shared" si="0"/>
        <v/>
      </c>
      <c r="G5467" s="1" t="e">
        <f>IF(VALUE(F5467) = VALUE(RIGHT(Insights!$C$3, 4)), E5467, "")</f>
        <v>#VALUE!</v>
      </c>
      <c r="H5467" s="26" t="e">
        <f t="shared" si="1"/>
        <v>#VALUE!</v>
      </c>
      <c r="I5467" s="1" t="e">
        <f t="shared" si="2"/>
        <v>#VALUE!</v>
      </c>
    </row>
    <row r="5468" spans="1:9" ht="15.75" customHeight="1">
      <c r="A5468" s="26"/>
      <c r="B5468" s="2"/>
      <c r="C5468" s="26"/>
      <c r="D5468" s="26"/>
      <c r="F5468" s="85" t="str">
        <f t="shared" si="0"/>
        <v/>
      </c>
      <c r="G5468" s="1" t="e">
        <f>IF(VALUE(F5468) = VALUE(RIGHT(Insights!$C$3, 4)), E5468, "")</f>
        <v>#VALUE!</v>
      </c>
      <c r="H5468" s="26" t="e">
        <f t="shared" si="1"/>
        <v>#VALUE!</v>
      </c>
      <c r="I5468" s="1" t="e">
        <f t="shared" si="2"/>
        <v>#VALUE!</v>
      </c>
    </row>
    <row r="5469" spans="1:9" ht="15.75" customHeight="1">
      <c r="A5469" s="26"/>
      <c r="B5469" s="2"/>
      <c r="C5469" s="26"/>
      <c r="D5469" s="26"/>
      <c r="F5469" s="85" t="str">
        <f t="shared" si="0"/>
        <v/>
      </c>
      <c r="G5469" s="1" t="e">
        <f>IF(VALUE(F5469) = VALUE(RIGHT(Insights!$C$3, 4)), E5469, "")</f>
        <v>#VALUE!</v>
      </c>
      <c r="H5469" s="26" t="e">
        <f t="shared" si="1"/>
        <v>#VALUE!</v>
      </c>
      <c r="I5469" s="1" t="e">
        <f t="shared" si="2"/>
        <v>#VALUE!</v>
      </c>
    </row>
    <row r="5470" spans="1:9" ht="15.75" customHeight="1">
      <c r="A5470" s="26"/>
      <c r="B5470" s="2"/>
      <c r="C5470" s="26"/>
      <c r="D5470" s="26"/>
      <c r="F5470" s="85" t="str">
        <f t="shared" si="0"/>
        <v/>
      </c>
      <c r="G5470" s="1" t="e">
        <f>IF(VALUE(F5470) = VALUE(RIGHT(Insights!$C$3, 4)), E5470, "")</f>
        <v>#VALUE!</v>
      </c>
      <c r="H5470" s="26" t="e">
        <f t="shared" si="1"/>
        <v>#VALUE!</v>
      </c>
      <c r="I5470" s="1" t="e">
        <f t="shared" si="2"/>
        <v>#VALUE!</v>
      </c>
    </row>
    <row r="5471" spans="1:9" ht="15.75" customHeight="1">
      <c r="A5471" s="26"/>
      <c r="B5471" s="2"/>
      <c r="C5471" s="26"/>
      <c r="D5471" s="26"/>
      <c r="F5471" s="85" t="str">
        <f t="shared" si="0"/>
        <v/>
      </c>
      <c r="G5471" s="1" t="e">
        <f>IF(VALUE(F5471) = VALUE(RIGHT(Insights!$C$3, 4)), E5471, "")</f>
        <v>#VALUE!</v>
      </c>
      <c r="H5471" s="26" t="e">
        <f t="shared" si="1"/>
        <v>#VALUE!</v>
      </c>
      <c r="I5471" s="1" t="e">
        <f t="shared" si="2"/>
        <v>#VALUE!</v>
      </c>
    </row>
    <row r="5472" spans="1:9" ht="15.75" customHeight="1">
      <c r="A5472" s="26"/>
      <c r="B5472" s="2"/>
      <c r="C5472" s="26"/>
      <c r="D5472" s="26"/>
      <c r="F5472" s="85" t="str">
        <f t="shared" si="0"/>
        <v/>
      </c>
      <c r="G5472" s="1" t="e">
        <f>IF(VALUE(F5472) = VALUE(RIGHT(Insights!$C$3, 4)), E5472, "")</f>
        <v>#VALUE!</v>
      </c>
      <c r="H5472" s="26" t="e">
        <f t="shared" si="1"/>
        <v>#VALUE!</v>
      </c>
      <c r="I5472" s="1" t="e">
        <f t="shared" si="2"/>
        <v>#VALUE!</v>
      </c>
    </row>
    <row r="5473" spans="1:9" ht="15.75" customHeight="1">
      <c r="A5473" s="26"/>
      <c r="B5473" s="2"/>
      <c r="C5473" s="26"/>
      <c r="D5473" s="26"/>
      <c r="F5473" s="85" t="str">
        <f t="shared" si="0"/>
        <v/>
      </c>
      <c r="G5473" s="1" t="e">
        <f>IF(VALUE(F5473) = VALUE(RIGHT(Insights!$C$3, 4)), E5473, "")</f>
        <v>#VALUE!</v>
      </c>
      <c r="H5473" s="26" t="e">
        <f t="shared" si="1"/>
        <v>#VALUE!</v>
      </c>
      <c r="I5473" s="1" t="e">
        <f t="shared" si="2"/>
        <v>#VALUE!</v>
      </c>
    </row>
    <row r="5474" spans="1:9" ht="15.75" customHeight="1">
      <c r="A5474" s="26"/>
      <c r="B5474" s="2"/>
      <c r="C5474" s="26"/>
      <c r="D5474" s="26"/>
      <c r="F5474" s="85" t="str">
        <f t="shared" si="0"/>
        <v/>
      </c>
      <c r="G5474" s="1" t="e">
        <f>IF(VALUE(F5474) = VALUE(RIGHT(Insights!$C$3, 4)), E5474, "")</f>
        <v>#VALUE!</v>
      </c>
      <c r="H5474" s="26" t="e">
        <f t="shared" si="1"/>
        <v>#VALUE!</v>
      </c>
      <c r="I5474" s="1" t="e">
        <f t="shared" si="2"/>
        <v>#VALUE!</v>
      </c>
    </row>
    <row r="5475" spans="1:9" ht="15.75" customHeight="1">
      <c r="A5475" s="26"/>
      <c r="B5475" s="2"/>
      <c r="C5475" s="26"/>
      <c r="D5475" s="26"/>
      <c r="F5475" s="85" t="str">
        <f t="shared" si="0"/>
        <v/>
      </c>
      <c r="G5475" s="1" t="e">
        <f>IF(VALUE(F5475) = VALUE(RIGHT(Insights!$C$3, 4)), E5475, "")</f>
        <v>#VALUE!</v>
      </c>
      <c r="H5475" s="26" t="e">
        <f t="shared" si="1"/>
        <v>#VALUE!</v>
      </c>
      <c r="I5475" s="1" t="e">
        <f t="shared" si="2"/>
        <v>#VALUE!</v>
      </c>
    </row>
    <row r="5476" spans="1:9" ht="15.75" customHeight="1">
      <c r="A5476" s="26"/>
      <c r="B5476" s="2"/>
      <c r="C5476" s="26"/>
      <c r="D5476" s="26"/>
      <c r="F5476" s="85" t="str">
        <f t="shared" si="0"/>
        <v/>
      </c>
      <c r="G5476" s="1" t="e">
        <f>IF(VALUE(F5476) = VALUE(RIGHT(Insights!$C$3, 4)), E5476, "")</f>
        <v>#VALUE!</v>
      </c>
      <c r="H5476" s="26" t="e">
        <f t="shared" si="1"/>
        <v>#VALUE!</v>
      </c>
      <c r="I5476" s="1" t="e">
        <f t="shared" si="2"/>
        <v>#VALUE!</v>
      </c>
    </row>
    <row r="5477" spans="1:9" ht="15.75" customHeight="1">
      <c r="A5477" s="26"/>
      <c r="B5477" s="2"/>
      <c r="C5477" s="26"/>
      <c r="D5477" s="26"/>
      <c r="F5477" s="85" t="str">
        <f t="shared" si="0"/>
        <v/>
      </c>
      <c r="G5477" s="1" t="e">
        <f>IF(VALUE(F5477) = VALUE(RIGHT(Insights!$C$3, 4)), E5477, "")</f>
        <v>#VALUE!</v>
      </c>
      <c r="H5477" s="26" t="e">
        <f t="shared" si="1"/>
        <v>#VALUE!</v>
      </c>
      <c r="I5477" s="1" t="e">
        <f t="shared" si="2"/>
        <v>#VALUE!</v>
      </c>
    </row>
    <row r="5478" spans="1:9" ht="15.75" customHeight="1">
      <c r="A5478" s="26"/>
      <c r="B5478" s="2"/>
      <c r="C5478" s="26"/>
      <c r="D5478" s="26"/>
      <c r="F5478" s="85" t="str">
        <f t="shared" si="0"/>
        <v/>
      </c>
      <c r="G5478" s="1" t="e">
        <f>IF(VALUE(F5478) = VALUE(RIGHT(Insights!$C$3, 4)), E5478, "")</f>
        <v>#VALUE!</v>
      </c>
      <c r="H5478" s="26" t="e">
        <f t="shared" si="1"/>
        <v>#VALUE!</v>
      </c>
      <c r="I5478" s="1" t="e">
        <f t="shared" si="2"/>
        <v>#VALUE!</v>
      </c>
    </row>
    <row r="5479" spans="1:9" ht="15.75" customHeight="1">
      <c r="A5479" s="26"/>
      <c r="B5479" s="2"/>
      <c r="C5479" s="26"/>
      <c r="D5479" s="26"/>
      <c r="F5479" s="85" t="str">
        <f t="shared" si="0"/>
        <v/>
      </c>
      <c r="G5479" s="1" t="e">
        <f>IF(VALUE(F5479) = VALUE(RIGHT(Insights!$C$3, 4)), E5479, "")</f>
        <v>#VALUE!</v>
      </c>
      <c r="H5479" s="26" t="e">
        <f t="shared" si="1"/>
        <v>#VALUE!</v>
      </c>
      <c r="I5479" s="1" t="e">
        <f t="shared" si="2"/>
        <v>#VALUE!</v>
      </c>
    </row>
    <row r="5480" spans="1:9" ht="15.75" customHeight="1">
      <c r="A5480" s="26"/>
      <c r="B5480" s="2"/>
      <c r="C5480" s="26"/>
      <c r="D5480" s="26"/>
      <c r="F5480" s="85" t="str">
        <f t="shared" si="0"/>
        <v/>
      </c>
      <c r="G5480" s="1" t="e">
        <f>IF(VALUE(F5480) = VALUE(RIGHT(Insights!$C$3, 4)), E5480, "")</f>
        <v>#VALUE!</v>
      </c>
      <c r="H5480" s="26" t="e">
        <f t="shared" si="1"/>
        <v>#VALUE!</v>
      </c>
      <c r="I5480" s="1" t="e">
        <f t="shared" si="2"/>
        <v>#VALUE!</v>
      </c>
    </row>
    <row r="5481" spans="1:9" ht="15.75" customHeight="1">
      <c r="A5481" s="26"/>
      <c r="B5481" s="2"/>
      <c r="C5481" s="26"/>
      <c r="D5481" s="26"/>
      <c r="F5481" s="85" t="str">
        <f t="shared" si="0"/>
        <v/>
      </c>
      <c r="G5481" s="1" t="e">
        <f>IF(VALUE(F5481) = VALUE(RIGHT(Insights!$C$3, 4)), E5481, "")</f>
        <v>#VALUE!</v>
      </c>
      <c r="H5481" s="26" t="e">
        <f t="shared" si="1"/>
        <v>#VALUE!</v>
      </c>
      <c r="I5481" s="1" t="e">
        <f t="shared" si="2"/>
        <v>#VALUE!</v>
      </c>
    </row>
    <row r="5482" spans="1:9" ht="15.75" customHeight="1">
      <c r="A5482" s="26"/>
      <c r="B5482" s="2"/>
      <c r="C5482" s="26"/>
      <c r="D5482" s="26"/>
      <c r="F5482" s="85" t="str">
        <f t="shared" si="0"/>
        <v/>
      </c>
      <c r="G5482" s="1" t="e">
        <f>IF(VALUE(F5482) = VALUE(RIGHT(Insights!$C$3, 4)), E5482, "")</f>
        <v>#VALUE!</v>
      </c>
      <c r="H5482" s="26" t="e">
        <f t="shared" si="1"/>
        <v>#VALUE!</v>
      </c>
      <c r="I5482" s="1" t="e">
        <f t="shared" si="2"/>
        <v>#VALUE!</v>
      </c>
    </row>
    <row r="5483" spans="1:9" ht="15.75" customHeight="1">
      <c r="A5483" s="26"/>
      <c r="B5483" s="2"/>
      <c r="C5483" s="26"/>
      <c r="D5483" s="26"/>
      <c r="F5483" s="85" t="str">
        <f t="shared" si="0"/>
        <v/>
      </c>
      <c r="G5483" s="1" t="e">
        <f>IF(VALUE(F5483) = VALUE(RIGHT(Insights!$C$3, 4)), E5483, "")</f>
        <v>#VALUE!</v>
      </c>
      <c r="H5483" s="26" t="e">
        <f t="shared" si="1"/>
        <v>#VALUE!</v>
      </c>
      <c r="I5483" s="1" t="e">
        <f t="shared" si="2"/>
        <v>#VALUE!</v>
      </c>
    </row>
    <row r="5484" spans="1:9" ht="15.75" customHeight="1">
      <c r="A5484" s="26"/>
      <c r="B5484" s="2"/>
      <c r="C5484" s="26"/>
      <c r="D5484" s="26"/>
      <c r="F5484" s="85" t="str">
        <f t="shared" si="0"/>
        <v/>
      </c>
      <c r="G5484" s="1" t="e">
        <f>IF(VALUE(F5484) = VALUE(RIGHT(Insights!$C$3, 4)), E5484, "")</f>
        <v>#VALUE!</v>
      </c>
      <c r="H5484" s="26" t="e">
        <f t="shared" si="1"/>
        <v>#VALUE!</v>
      </c>
      <c r="I5484" s="1" t="e">
        <f t="shared" si="2"/>
        <v>#VALUE!</v>
      </c>
    </row>
    <row r="5485" spans="1:9" ht="15.75" customHeight="1">
      <c r="A5485" s="26"/>
      <c r="B5485" s="2"/>
      <c r="C5485" s="26"/>
      <c r="D5485" s="26"/>
      <c r="F5485" s="85" t="str">
        <f t="shared" si="0"/>
        <v/>
      </c>
      <c r="G5485" s="1" t="e">
        <f>IF(VALUE(F5485) = VALUE(RIGHT(Insights!$C$3, 4)), E5485, "")</f>
        <v>#VALUE!</v>
      </c>
      <c r="H5485" s="26" t="e">
        <f t="shared" si="1"/>
        <v>#VALUE!</v>
      </c>
      <c r="I5485" s="1" t="e">
        <f t="shared" si="2"/>
        <v>#VALUE!</v>
      </c>
    </row>
    <row r="5486" spans="1:9" ht="15.75" customHeight="1">
      <c r="A5486" s="26"/>
      <c r="B5486" s="2"/>
      <c r="C5486" s="26"/>
      <c r="D5486" s="26"/>
      <c r="F5486" s="85" t="str">
        <f t="shared" si="0"/>
        <v/>
      </c>
      <c r="G5486" s="1" t="e">
        <f>IF(VALUE(F5486) = VALUE(RIGHT(Insights!$C$3, 4)), E5486, "")</f>
        <v>#VALUE!</v>
      </c>
      <c r="H5486" s="26" t="e">
        <f t="shared" si="1"/>
        <v>#VALUE!</v>
      </c>
      <c r="I5486" s="1" t="e">
        <f t="shared" si="2"/>
        <v>#VALUE!</v>
      </c>
    </row>
    <row r="5487" spans="1:9" ht="15.75" customHeight="1">
      <c r="A5487" s="26"/>
      <c r="B5487" s="2"/>
      <c r="C5487" s="26"/>
      <c r="D5487" s="26"/>
      <c r="F5487" s="85" t="str">
        <f t="shared" si="0"/>
        <v/>
      </c>
      <c r="G5487" s="1" t="e">
        <f>IF(VALUE(F5487) = VALUE(RIGHT(Insights!$C$3, 4)), E5487, "")</f>
        <v>#VALUE!</v>
      </c>
      <c r="H5487" s="26" t="e">
        <f t="shared" si="1"/>
        <v>#VALUE!</v>
      </c>
      <c r="I5487" s="1" t="e">
        <f t="shared" si="2"/>
        <v>#VALUE!</v>
      </c>
    </row>
    <row r="5488" spans="1:9" ht="15.75" customHeight="1">
      <c r="A5488" s="26"/>
      <c r="B5488" s="2"/>
      <c r="C5488" s="26"/>
      <c r="D5488" s="26"/>
      <c r="F5488" s="85" t="str">
        <f t="shared" si="0"/>
        <v/>
      </c>
      <c r="G5488" s="1" t="e">
        <f>IF(VALUE(F5488) = VALUE(RIGHT(Insights!$C$3, 4)), E5488, "")</f>
        <v>#VALUE!</v>
      </c>
      <c r="H5488" s="26" t="e">
        <f t="shared" si="1"/>
        <v>#VALUE!</v>
      </c>
      <c r="I5488" s="1" t="e">
        <f t="shared" si="2"/>
        <v>#VALUE!</v>
      </c>
    </row>
    <row r="5489" spans="1:9" ht="15.75" customHeight="1">
      <c r="A5489" s="26"/>
      <c r="B5489" s="2"/>
      <c r="C5489" s="26"/>
      <c r="D5489" s="26"/>
      <c r="F5489" s="85" t="str">
        <f t="shared" si="0"/>
        <v/>
      </c>
      <c r="G5489" s="1" t="e">
        <f>IF(VALUE(F5489) = VALUE(RIGHT(Insights!$C$3, 4)), E5489, "")</f>
        <v>#VALUE!</v>
      </c>
      <c r="H5489" s="26" t="e">
        <f t="shared" si="1"/>
        <v>#VALUE!</v>
      </c>
      <c r="I5489" s="1" t="e">
        <f t="shared" si="2"/>
        <v>#VALUE!</v>
      </c>
    </row>
    <row r="5490" spans="1:9" ht="15.75" customHeight="1">
      <c r="A5490" s="26"/>
      <c r="B5490" s="2"/>
      <c r="C5490" s="26"/>
      <c r="D5490" s="26"/>
      <c r="F5490" s="85" t="str">
        <f t="shared" si="0"/>
        <v/>
      </c>
      <c r="G5490" s="1" t="e">
        <f>IF(VALUE(F5490) = VALUE(RIGHT(Insights!$C$3, 4)), E5490, "")</f>
        <v>#VALUE!</v>
      </c>
      <c r="H5490" s="26" t="e">
        <f t="shared" si="1"/>
        <v>#VALUE!</v>
      </c>
      <c r="I5490" s="1" t="e">
        <f t="shared" si="2"/>
        <v>#VALUE!</v>
      </c>
    </row>
    <row r="5491" spans="1:9" ht="15.75" customHeight="1">
      <c r="A5491" s="26"/>
      <c r="B5491" s="2"/>
      <c r="C5491" s="26"/>
      <c r="D5491" s="26"/>
      <c r="F5491" s="85" t="str">
        <f t="shared" si="0"/>
        <v/>
      </c>
      <c r="G5491" s="1" t="e">
        <f>IF(VALUE(F5491) = VALUE(RIGHT(Insights!$C$3, 4)), E5491, "")</f>
        <v>#VALUE!</v>
      </c>
      <c r="H5491" s="26" t="e">
        <f t="shared" si="1"/>
        <v>#VALUE!</v>
      </c>
      <c r="I5491" s="1" t="e">
        <f t="shared" si="2"/>
        <v>#VALUE!</v>
      </c>
    </row>
    <row r="5492" spans="1:9" ht="15.75" customHeight="1">
      <c r="A5492" s="26"/>
      <c r="B5492" s="2"/>
      <c r="C5492" s="26"/>
      <c r="D5492" s="26"/>
      <c r="F5492" s="85" t="str">
        <f t="shared" si="0"/>
        <v/>
      </c>
      <c r="G5492" s="1" t="e">
        <f>IF(VALUE(F5492) = VALUE(RIGHT(Insights!$C$3, 4)), E5492, "")</f>
        <v>#VALUE!</v>
      </c>
      <c r="H5492" s="26" t="e">
        <f t="shared" si="1"/>
        <v>#VALUE!</v>
      </c>
      <c r="I5492" s="1" t="e">
        <f t="shared" si="2"/>
        <v>#VALUE!</v>
      </c>
    </row>
    <row r="5493" spans="1:9" ht="15.75" customHeight="1">
      <c r="A5493" s="26"/>
      <c r="B5493" s="2"/>
      <c r="C5493" s="26"/>
      <c r="D5493" s="26"/>
      <c r="F5493" s="85" t="str">
        <f t="shared" si="0"/>
        <v/>
      </c>
      <c r="G5493" s="1" t="e">
        <f>IF(VALUE(F5493) = VALUE(RIGHT(Insights!$C$3, 4)), E5493, "")</f>
        <v>#VALUE!</v>
      </c>
      <c r="H5493" s="26" t="e">
        <f t="shared" si="1"/>
        <v>#VALUE!</v>
      </c>
      <c r="I5493" s="1" t="e">
        <f t="shared" si="2"/>
        <v>#VALUE!</v>
      </c>
    </row>
    <row r="5494" spans="1:9" ht="15.75" customHeight="1">
      <c r="A5494" s="26"/>
      <c r="B5494" s="2"/>
      <c r="C5494" s="26"/>
      <c r="D5494" s="26"/>
      <c r="F5494" s="85" t="str">
        <f t="shared" si="0"/>
        <v/>
      </c>
      <c r="G5494" s="1" t="e">
        <f>IF(VALUE(F5494) = VALUE(RIGHT(Insights!$C$3, 4)), E5494, "")</f>
        <v>#VALUE!</v>
      </c>
      <c r="H5494" s="26" t="e">
        <f t="shared" si="1"/>
        <v>#VALUE!</v>
      </c>
      <c r="I5494" s="1" t="e">
        <f t="shared" si="2"/>
        <v>#VALUE!</v>
      </c>
    </row>
    <row r="5495" spans="1:9" ht="15.75" customHeight="1">
      <c r="A5495" s="26"/>
      <c r="B5495" s="2"/>
      <c r="C5495" s="26"/>
      <c r="D5495" s="26"/>
      <c r="F5495" s="85" t="str">
        <f t="shared" si="0"/>
        <v/>
      </c>
      <c r="G5495" s="1" t="e">
        <f>IF(VALUE(F5495) = VALUE(RIGHT(Insights!$C$3, 4)), E5495, "")</f>
        <v>#VALUE!</v>
      </c>
      <c r="H5495" s="26" t="e">
        <f t="shared" si="1"/>
        <v>#VALUE!</v>
      </c>
      <c r="I5495" s="1" t="e">
        <f t="shared" si="2"/>
        <v>#VALUE!</v>
      </c>
    </row>
    <row r="5496" spans="1:9" ht="15.75" customHeight="1">
      <c r="A5496" s="26"/>
      <c r="B5496" s="2"/>
      <c r="C5496" s="26"/>
      <c r="D5496" s="26"/>
      <c r="F5496" s="85" t="str">
        <f t="shared" si="0"/>
        <v/>
      </c>
      <c r="G5496" s="1" t="e">
        <f>IF(VALUE(F5496) = VALUE(RIGHT(Insights!$C$3, 4)), E5496, "")</f>
        <v>#VALUE!</v>
      </c>
      <c r="H5496" s="26" t="e">
        <f t="shared" si="1"/>
        <v>#VALUE!</v>
      </c>
      <c r="I5496" s="1" t="e">
        <f t="shared" si="2"/>
        <v>#VALUE!</v>
      </c>
    </row>
    <row r="5497" spans="1:9" ht="15.75" customHeight="1">
      <c r="A5497" s="26"/>
      <c r="B5497" s="2"/>
      <c r="C5497" s="26"/>
      <c r="D5497" s="26"/>
      <c r="F5497" s="85" t="str">
        <f t="shared" si="0"/>
        <v/>
      </c>
      <c r="G5497" s="1" t="e">
        <f>IF(VALUE(F5497) = VALUE(RIGHT(Insights!$C$3, 4)), E5497, "")</f>
        <v>#VALUE!</v>
      </c>
      <c r="H5497" s="26" t="e">
        <f t="shared" si="1"/>
        <v>#VALUE!</v>
      </c>
      <c r="I5497" s="1" t="e">
        <f t="shared" si="2"/>
        <v>#VALUE!</v>
      </c>
    </row>
    <row r="5498" spans="1:9" ht="15.75" customHeight="1">
      <c r="A5498" s="26"/>
      <c r="B5498" s="2"/>
      <c r="C5498" s="26"/>
      <c r="D5498" s="26"/>
      <c r="F5498" s="85" t="str">
        <f t="shared" si="0"/>
        <v/>
      </c>
      <c r="G5498" s="1" t="e">
        <f>IF(VALUE(F5498) = VALUE(RIGHT(Insights!$C$3, 4)), E5498, "")</f>
        <v>#VALUE!</v>
      </c>
      <c r="H5498" s="26" t="e">
        <f t="shared" si="1"/>
        <v>#VALUE!</v>
      </c>
      <c r="I5498" s="1" t="e">
        <f t="shared" si="2"/>
        <v>#VALUE!</v>
      </c>
    </row>
    <row r="5499" spans="1:9" ht="15.75" customHeight="1">
      <c r="A5499" s="26"/>
      <c r="B5499" s="2"/>
      <c r="C5499" s="26"/>
      <c r="D5499" s="26"/>
      <c r="F5499" s="85" t="str">
        <f t="shared" si="0"/>
        <v/>
      </c>
      <c r="G5499" s="1" t="e">
        <f>IF(VALUE(F5499) = VALUE(RIGHT(Insights!$C$3, 4)), E5499, "")</f>
        <v>#VALUE!</v>
      </c>
      <c r="H5499" s="26" t="e">
        <f t="shared" si="1"/>
        <v>#VALUE!</v>
      </c>
      <c r="I5499" s="1" t="e">
        <f t="shared" si="2"/>
        <v>#VALUE!</v>
      </c>
    </row>
    <row r="5500" spans="1:9" ht="15.75" customHeight="1">
      <c r="A5500" s="26"/>
      <c r="B5500" s="2"/>
      <c r="C5500" s="26"/>
      <c r="D5500" s="26"/>
      <c r="F5500" s="85" t="str">
        <f t="shared" si="0"/>
        <v/>
      </c>
      <c r="G5500" s="1" t="e">
        <f>IF(VALUE(F5500) = VALUE(RIGHT(Insights!$C$3, 4)), E5500, "")</f>
        <v>#VALUE!</v>
      </c>
      <c r="H5500" s="26" t="e">
        <f t="shared" si="1"/>
        <v>#VALUE!</v>
      </c>
      <c r="I5500" s="1" t="e">
        <f t="shared" si="2"/>
        <v>#VALUE!</v>
      </c>
    </row>
    <row r="5501" spans="1:9" ht="15.75" customHeight="1">
      <c r="A5501" s="26"/>
      <c r="B5501" s="2"/>
      <c r="C5501" s="26"/>
      <c r="D5501" s="26"/>
      <c r="F5501" s="85" t="str">
        <f t="shared" si="0"/>
        <v/>
      </c>
      <c r="G5501" s="1" t="e">
        <f>IF(VALUE(F5501) = VALUE(RIGHT(Insights!$C$3, 4)), E5501, "")</f>
        <v>#VALUE!</v>
      </c>
      <c r="H5501" s="26" t="e">
        <f t="shared" si="1"/>
        <v>#VALUE!</v>
      </c>
      <c r="I5501" s="1" t="e">
        <f t="shared" si="2"/>
        <v>#VALUE!</v>
      </c>
    </row>
    <row r="5502" spans="1:9" ht="15.75" customHeight="1">
      <c r="A5502" s="26"/>
      <c r="B5502" s="2"/>
      <c r="C5502" s="26"/>
      <c r="D5502" s="26"/>
      <c r="F5502" s="85" t="str">
        <f t="shared" si="0"/>
        <v/>
      </c>
      <c r="G5502" s="1" t="e">
        <f>IF(VALUE(F5502) = VALUE(RIGHT(Insights!$C$3, 4)), E5502, "")</f>
        <v>#VALUE!</v>
      </c>
      <c r="H5502" s="26" t="e">
        <f t="shared" si="1"/>
        <v>#VALUE!</v>
      </c>
      <c r="I5502" s="1" t="e">
        <f t="shared" si="2"/>
        <v>#VALUE!</v>
      </c>
    </row>
    <row r="5503" spans="1:9" ht="15.75" customHeight="1">
      <c r="A5503" s="26"/>
      <c r="B5503" s="2"/>
      <c r="C5503" s="26"/>
      <c r="D5503" s="26"/>
      <c r="F5503" s="85" t="str">
        <f t="shared" si="0"/>
        <v/>
      </c>
      <c r="G5503" s="1" t="e">
        <f>IF(VALUE(F5503) = VALUE(RIGHT(Insights!$C$3, 4)), E5503, "")</f>
        <v>#VALUE!</v>
      </c>
      <c r="H5503" s="26" t="e">
        <f t="shared" si="1"/>
        <v>#VALUE!</v>
      </c>
      <c r="I5503" s="1" t="e">
        <f t="shared" si="2"/>
        <v>#VALUE!</v>
      </c>
    </row>
    <row r="5504" spans="1:9" ht="15.75" customHeight="1">
      <c r="A5504" s="26"/>
      <c r="B5504" s="2"/>
      <c r="C5504" s="26"/>
      <c r="D5504" s="26"/>
      <c r="F5504" s="85" t="str">
        <f t="shared" si="0"/>
        <v/>
      </c>
      <c r="G5504" s="1" t="e">
        <f>IF(VALUE(F5504) = VALUE(RIGHT(Insights!$C$3, 4)), E5504, "")</f>
        <v>#VALUE!</v>
      </c>
      <c r="H5504" s="26" t="e">
        <f t="shared" si="1"/>
        <v>#VALUE!</v>
      </c>
      <c r="I5504" s="1" t="e">
        <f t="shared" si="2"/>
        <v>#VALUE!</v>
      </c>
    </row>
    <row r="5505" spans="1:9" ht="15.75" customHeight="1">
      <c r="A5505" s="26"/>
      <c r="B5505" s="2"/>
      <c r="C5505" s="26"/>
      <c r="D5505" s="26"/>
      <c r="F5505" s="85" t="str">
        <f t="shared" si="0"/>
        <v/>
      </c>
      <c r="G5505" s="1" t="e">
        <f>IF(VALUE(F5505) = VALUE(RIGHT(Insights!$C$3, 4)), E5505, "")</f>
        <v>#VALUE!</v>
      </c>
      <c r="H5505" s="26" t="e">
        <f t="shared" si="1"/>
        <v>#VALUE!</v>
      </c>
      <c r="I5505" s="1" t="e">
        <f t="shared" si="2"/>
        <v>#VALUE!</v>
      </c>
    </row>
    <row r="5506" spans="1:9" ht="15.75" customHeight="1">
      <c r="A5506" s="26"/>
      <c r="B5506" s="2"/>
      <c r="C5506" s="26"/>
      <c r="D5506" s="26"/>
      <c r="F5506" s="85" t="str">
        <f t="shared" si="0"/>
        <v/>
      </c>
      <c r="G5506" s="1" t="e">
        <f>IF(VALUE(F5506) = VALUE(RIGHT(Insights!$C$3, 4)), E5506, "")</f>
        <v>#VALUE!</v>
      </c>
      <c r="H5506" s="26" t="e">
        <f t="shared" si="1"/>
        <v>#VALUE!</v>
      </c>
      <c r="I5506" s="1" t="e">
        <f t="shared" si="2"/>
        <v>#VALUE!</v>
      </c>
    </row>
    <row r="5507" spans="1:9" ht="15.75" customHeight="1">
      <c r="A5507" s="26"/>
      <c r="B5507" s="2"/>
      <c r="C5507" s="26"/>
      <c r="D5507" s="26"/>
      <c r="F5507" s="85" t="str">
        <f t="shared" si="0"/>
        <v/>
      </c>
      <c r="G5507" s="1" t="e">
        <f>IF(VALUE(F5507) = VALUE(RIGHT(Insights!$C$3, 4)), E5507, "")</f>
        <v>#VALUE!</v>
      </c>
      <c r="H5507" s="26" t="e">
        <f t="shared" si="1"/>
        <v>#VALUE!</v>
      </c>
      <c r="I5507" s="1" t="e">
        <f t="shared" si="2"/>
        <v>#VALUE!</v>
      </c>
    </row>
    <row r="5508" spans="1:9" ht="15.75" customHeight="1">
      <c r="A5508" s="26"/>
      <c r="B5508" s="2"/>
      <c r="C5508" s="26"/>
      <c r="D5508" s="26"/>
      <c r="F5508" s="85" t="str">
        <f t="shared" si="0"/>
        <v/>
      </c>
      <c r="G5508" s="1" t="e">
        <f>IF(VALUE(F5508) = VALUE(RIGHT(Insights!$C$3, 4)), E5508, "")</f>
        <v>#VALUE!</v>
      </c>
      <c r="H5508" s="26" t="e">
        <f t="shared" si="1"/>
        <v>#VALUE!</v>
      </c>
      <c r="I5508" s="1" t="e">
        <f t="shared" si="2"/>
        <v>#VALUE!</v>
      </c>
    </row>
    <row r="5509" spans="1:9" ht="15.75" customHeight="1">
      <c r="A5509" s="26"/>
      <c r="B5509" s="2"/>
      <c r="C5509" s="26"/>
      <c r="D5509" s="26"/>
      <c r="F5509" s="85" t="str">
        <f t="shared" si="0"/>
        <v/>
      </c>
      <c r="G5509" s="1" t="e">
        <f>IF(VALUE(F5509) = VALUE(RIGHT(Insights!$C$3, 4)), E5509, "")</f>
        <v>#VALUE!</v>
      </c>
      <c r="H5509" s="26" t="e">
        <f t="shared" si="1"/>
        <v>#VALUE!</v>
      </c>
      <c r="I5509" s="1" t="e">
        <f t="shared" si="2"/>
        <v>#VALUE!</v>
      </c>
    </row>
    <row r="5510" spans="1:9" ht="15.75" customHeight="1">
      <c r="A5510" s="26"/>
      <c r="B5510" s="2"/>
      <c r="C5510" s="26"/>
      <c r="D5510" s="26"/>
      <c r="F5510" s="85" t="str">
        <f t="shared" si="0"/>
        <v/>
      </c>
      <c r="G5510" s="1" t="e">
        <f>IF(VALUE(F5510) = VALUE(RIGHT(Insights!$C$3, 4)), E5510, "")</f>
        <v>#VALUE!</v>
      </c>
      <c r="H5510" s="26" t="e">
        <f t="shared" si="1"/>
        <v>#VALUE!</v>
      </c>
      <c r="I5510" s="1" t="e">
        <f t="shared" si="2"/>
        <v>#VALUE!</v>
      </c>
    </row>
    <row r="5511" spans="1:9" ht="15.75" customHeight="1">
      <c r="A5511" s="26"/>
      <c r="B5511" s="2"/>
      <c r="C5511" s="26"/>
      <c r="D5511" s="26"/>
      <c r="F5511" s="85" t="str">
        <f t="shared" si="0"/>
        <v/>
      </c>
      <c r="G5511" s="1" t="e">
        <f>IF(VALUE(F5511) = VALUE(RIGHT(Insights!$C$3, 4)), E5511, "")</f>
        <v>#VALUE!</v>
      </c>
      <c r="H5511" s="26" t="e">
        <f t="shared" si="1"/>
        <v>#VALUE!</v>
      </c>
      <c r="I5511" s="1" t="e">
        <f t="shared" si="2"/>
        <v>#VALUE!</v>
      </c>
    </row>
    <row r="5512" spans="1:9" ht="15.75" customHeight="1">
      <c r="A5512" s="26"/>
      <c r="B5512" s="2"/>
      <c r="C5512" s="26"/>
      <c r="D5512" s="26"/>
      <c r="F5512" s="85" t="str">
        <f t="shared" si="0"/>
        <v/>
      </c>
      <c r="G5512" s="1" t="e">
        <f>IF(VALUE(F5512) = VALUE(RIGHT(Insights!$C$3, 4)), E5512, "")</f>
        <v>#VALUE!</v>
      </c>
      <c r="H5512" s="26" t="e">
        <f t="shared" si="1"/>
        <v>#VALUE!</v>
      </c>
      <c r="I5512" s="1" t="e">
        <f t="shared" si="2"/>
        <v>#VALUE!</v>
      </c>
    </row>
    <row r="5513" spans="1:9" ht="15.75" customHeight="1">
      <c r="A5513" s="26"/>
      <c r="B5513" s="2"/>
      <c r="C5513" s="26"/>
      <c r="D5513" s="26"/>
      <c r="F5513" s="85" t="str">
        <f t="shared" si="0"/>
        <v/>
      </c>
      <c r="G5513" s="1" t="e">
        <f>IF(VALUE(F5513) = VALUE(RIGHT(Insights!$C$3, 4)), E5513, "")</f>
        <v>#VALUE!</v>
      </c>
      <c r="H5513" s="26" t="e">
        <f t="shared" si="1"/>
        <v>#VALUE!</v>
      </c>
      <c r="I5513" s="1" t="e">
        <f t="shared" si="2"/>
        <v>#VALUE!</v>
      </c>
    </row>
    <row r="5514" spans="1:9" ht="15.75" customHeight="1">
      <c r="A5514" s="26"/>
      <c r="B5514" s="2"/>
      <c r="C5514" s="26"/>
      <c r="D5514" s="26"/>
      <c r="F5514" s="85" t="str">
        <f t="shared" si="0"/>
        <v/>
      </c>
      <c r="G5514" s="1" t="e">
        <f>IF(VALUE(F5514) = VALUE(RIGHT(Insights!$C$3, 4)), E5514, "")</f>
        <v>#VALUE!</v>
      </c>
      <c r="H5514" s="26" t="e">
        <f t="shared" si="1"/>
        <v>#VALUE!</v>
      </c>
      <c r="I5514" s="1" t="e">
        <f t="shared" si="2"/>
        <v>#VALUE!</v>
      </c>
    </row>
    <row r="5515" spans="1:9" ht="15.75" customHeight="1">
      <c r="A5515" s="26"/>
      <c r="B5515" s="2"/>
      <c r="C5515" s="26"/>
      <c r="D5515" s="26"/>
      <c r="F5515" s="85" t="str">
        <f t="shared" si="0"/>
        <v/>
      </c>
      <c r="G5515" s="1" t="e">
        <f>IF(VALUE(F5515) = VALUE(RIGHT(Insights!$C$3, 4)), E5515, "")</f>
        <v>#VALUE!</v>
      </c>
      <c r="H5515" s="26" t="e">
        <f t="shared" si="1"/>
        <v>#VALUE!</v>
      </c>
      <c r="I5515" s="1" t="e">
        <f t="shared" si="2"/>
        <v>#VALUE!</v>
      </c>
    </row>
    <row r="5516" spans="1:9" ht="15.75" customHeight="1">
      <c r="A5516" s="26"/>
      <c r="B5516" s="2"/>
      <c r="C5516" s="26"/>
      <c r="D5516" s="26"/>
      <c r="F5516" s="85" t="str">
        <f t="shared" si="0"/>
        <v/>
      </c>
      <c r="G5516" s="1" t="e">
        <f>IF(VALUE(F5516) = VALUE(RIGHT(Insights!$C$3, 4)), E5516, "")</f>
        <v>#VALUE!</v>
      </c>
      <c r="H5516" s="26" t="e">
        <f t="shared" si="1"/>
        <v>#VALUE!</v>
      </c>
      <c r="I5516" s="1" t="e">
        <f t="shared" si="2"/>
        <v>#VALUE!</v>
      </c>
    </row>
    <row r="5517" spans="1:9" ht="15.75" customHeight="1">
      <c r="A5517" s="26"/>
      <c r="B5517" s="2"/>
      <c r="C5517" s="26"/>
      <c r="D5517" s="26"/>
      <c r="F5517" s="85" t="str">
        <f t="shared" si="0"/>
        <v/>
      </c>
      <c r="G5517" s="1" t="e">
        <f>IF(VALUE(F5517) = VALUE(RIGHT(Insights!$C$3, 4)), E5517, "")</f>
        <v>#VALUE!</v>
      </c>
      <c r="H5517" s="26" t="e">
        <f t="shared" si="1"/>
        <v>#VALUE!</v>
      </c>
      <c r="I5517" s="1" t="e">
        <f t="shared" si="2"/>
        <v>#VALUE!</v>
      </c>
    </row>
    <row r="5518" spans="1:9" ht="15.75" customHeight="1">
      <c r="A5518" s="26"/>
      <c r="B5518" s="2"/>
      <c r="C5518" s="26"/>
      <c r="D5518" s="26"/>
      <c r="F5518" s="85" t="str">
        <f t="shared" si="0"/>
        <v/>
      </c>
      <c r="G5518" s="1" t="e">
        <f>IF(VALUE(F5518) = VALUE(RIGHT(Insights!$C$3, 4)), E5518, "")</f>
        <v>#VALUE!</v>
      </c>
      <c r="H5518" s="26" t="e">
        <f t="shared" si="1"/>
        <v>#VALUE!</v>
      </c>
      <c r="I5518" s="1" t="e">
        <f t="shared" si="2"/>
        <v>#VALUE!</v>
      </c>
    </row>
    <row r="5519" spans="1:9" ht="15.75" customHeight="1">
      <c r="A5519" s="26"/>
      <c r="B5519" s="2"/>
      <c r="C5519" s="26"/>
      <c r="D5519" s="26"/>
      <c r="F5519" s="85" t="str">
        <f t="shared" si="0"/>
        <v/>
      </c>
      <c r="G5519" s="1" t="e">
        <f>IF(VALUE(F5519) = VALUE(RIGHT(Insights!$C$3, 4)), E5519, "")</f>
        <v>#VALUE!</v>
      </c>
      <c r="H5519" s="26" t="e">
        <f t="shared" si="1"/>
        <v>#VALUE!</v>
      </c>
      <c r="I5519" s="1" t="e">
        <f t="shared" si="2"/>
        <v>#VALUE!</v>
      </c>
    </row>
    <row r="5520" spans="1:9" ht="15.75" customHeight="1">
      <c r="A5520" s="26"/>
      <c r="B5520" s="2"/>
      <c r="C5520" s="26"/>
      <c r="D5520" s="26"/>
      <c r="F5520" s="85" t="str">
        <f t="shared" si="0"/>
        <v/>
      </c>
      <c r="G5520" s="1" t="e">
        <f>IF(VALUE(F5520) = VALUE(RIGHT(Insights!$C$3, 4)), E5520, "")</f>
        <v>#VALUE!</v>
      </c>
      <c r="H5520" s="26" t="e">
        <f t="shared" si="1"/>
        <v>#VALUE!</v>
      </c>
      <c r="I5520" s="1" t="e">
        <f t="shared" si="2"/>
        <v>#VALUE!</v>
      </c>
    </row>
    <row r="5521" spans="1:9" ht="15.75" customHeight="1">
      <c r="A5521" s="26"/>
      <c r="B5521" s="2"/>
      <c r="C5521" s="26"/>
      <c r="D5521" s="26"/>
      <c r="F5521" s="85" t="str">
        <f t="shared" si="0"/>
        <v/>
      </c>
      <c r="G5521" s="1" t="e">
        <f>IF(VALUE(F5521) = VALUE(RIGHT(Insights!$C$3, 4)), E5521, "")</f>
        <v>#VALUE!</v>
      </c>
      <c r="H5521" s="26" t="e">
        <f t="shared" si="1"/>
        <v>#VALUE!</v>
      </c>
      <c r="I5521" s="1" t="e">
        <f t="shared" si="2"/>
        <v>#VALUE!</v>
      </c>
    </row>
    <row r="5522" spans="1:9" ht="15.75" customHeight="1">
      <c r="A5522" s="26"/>
      <c r="B5522" s="2"/>
      <c r="C5522" s="26"/>
      <c r="D5522" s="26"/>
      <c r="F5522" s="85" t="str">
        <f t="shared" si="0"/>
        <v/>
      </c>
      <c r="G5522" s="1" t="e">
        <f>IF(VALUE(F5522) = VALUE(RIGHT(Insights!$C$3, 4)), E5522, "")</f>
        <v>#VALUE!</v>
      </c>
      <c r="H5522" s="26" t="e">
        <f t="shared" si="1"/>
        <v>#VALUE!</v>
      </c>
      <c r="I5522" s="1" t="e">
        <f t="shared" si="2"/>
        <v>#VALUE!</v>
      </c>
    </row>
    <row r="5523" spans="1:9" ht="15.75" customHeight="1">
      <c r="A5523" s="26"/>
      <c r="B5523" s="2"/>
      <c r="C5523" s="26"/>
      <c r="D5523" s="26"/>
      <c r="F5523" s="85" t="str">
        <f t="shared" si="0"/>
        <v/>
      </c>
      <c r="G5523" s="1" t="e">
        <f>IF(VALUE(F5523) = VALUE(RIGHT(Insights!$C$3, 4)), E5523, "")</f>
        <v>#VALUE!</v>
      </c>
      <c r="H5523" s="26" t="e">
        <f t="shared" si="1"/>
        <v>#VALUE!</v>
      </c>
      <c r="I5523" s="1" t="e">
        <f t="shared" si="2"/>
        <v>#VALUE!</v>
      </c>
    </row>
    <row r="5524" spans="1:9" ht="15.75" customHeight="1">
      <c r="A5524" s="26"/>
      <c r="B5524" s="2"/>
      <c r="C5524" s="26"/>
      <c r="D5524" s="26"/>
      <c r="F5524" s="85" t="str">
        <f t="shared" si="0"/>
        <v/>
      </c>
      <c r="G5524" s="1" t="e">
        <f>IF(VALUE(F5524) = VALUE(RIGHT(Insights!$C$3, 4)), E5524, "")</f>
        <v>#VALUE!</v>
      </c>
      <c r="H5524" s="26" t="e">
        <f t="shared" si="1"/>
        <v>#VALUE!</v>
      </c>
      <c r="I5524" s="1" t="e">
        <f t="shared" si="2"/>
        <v>#VALUE!</v>
      </c>
    </row>
    <row r="5525" spans="1:9" ht="15.75" customHeight="1">
      <c r="A5525" s="26"/>
      <c r="B5525" s="2"/>
      <c r="C5525" s="26"/>
      <c r="D5525" s="26"/>
      <c r="F5525" s="85" t="str">
        <f t="shared" si="0"/>
        <v/>
      </c>
      <c r="G5525" s="1" t="e">
        <f>IF(VALUE(F5525) = VALUE(RIGHT(Insights!$C$3, 4)), E5525, "")</f>
        <v>#VALUE!</v>
      </c>
      <c r="H5525" s="26" t="e">
        <f t="shared" si="1"/>
        <v>#VALUE!</v>
      </c>
      <c r="I5525" s="1" t="e">
        <f t="shared" si="2"/>
        <v>#VALUE!</v>
      </c>
    </row>
    <row r="5526" spans="1:9" ht="15.75" customHeight="1">
      <c r="A5526" s="26"/>
      <c r="B5526" s="2"/>
      <c r="C5526" s="26"/>
      <c r="D5526" s="26"/>
      <c r="F5526" s="85" t="str">
        <f t="shared" si="0"/>
        <v/>
      </c>
      <c r="G5526" s="1" t="e">
        <f>IF(VALUE(F5526) = VALUE(RIGHT(Insights!$C$3, 4)), E5526, "")</f>
        <v>#VALUE!</v>
      </c>
      <c r="H5526" s="26" t="e">
        <f t="shared" si="1"/>
        <v>#VALUE!</v>
      </c>
      <c r="I5526" s="1" t="e">
        <f t="shared" si="2"/>
        <v>#VALUE!</v>
      </c>
    </row>
    <row r="5527" spans="1:9" ht="15.75" customHeight="1">
      <c r="A5527" s="26"/>
      <c r="B5527" s="2"/>
      <c r="C5527" s="26"/>
      <c r="D5527" s="26"/>
      <c r="F5527" s="85" t="str">
        <f t="shared" si="0"/>
        <v/>
      </c>
      <c r="G5527" s="1" t="e">
        <f>IF(VALUE(F5527) = VALUE(RIGHT(Insights!$C$3, 4)), E5527, "")</f>
        <v>#VALUE!</v>
      </c>
      <c r="H5527" s="26" t="e">
        <f t="shared" si="1"/>
        <v>#VALUE!</v>
      </c>
      <c r="I5527" s="1" t="e">
        <f t="shared" si="2"/>
        <v>#VALUE!</v>
      </c>
    </row>
    <row r="5528" spans="1:9" ht="15.75" customHeight="1">
      <c r="A5528" s="26"/>
      <c r="B5528" s="2"/>
      <c r="C5528" s="26"/>
      <c r="D5528" s="26"/>
      <c r="F5528" s="85" t="str">
        <f t="shared" si="0"/>
        <v/>
      </c>
      <c r="G5528" s="1" t="e">
        <f>IF(VALUE(F5528) = VALUE(RIGHT(Insights!$C$3, 4)), E5528, "")</f>
        <v>#VALUE!</v>
      </c>
      <c r="H5528" s="26" t="e">
        <f t="shared" si="1"/>
        <v>#VALUE!</v>
      </c>
      <c r="I5528" s="1" t="e">
        <f t="shared" si="2"/>
        <v>#VALUE!</v>
      </c>
    </row>
    <row r="5529" spans="1:9" ht="15.75" customHeight="1">
      <c r="A5529" s="26"/>
      <c r="B5529" s="2"/>
      <c r="C5529" s="26"/>
      <c r="D5529" s="26"/>
      <c r="F5529" s="85" t="str">
        <f t="shared" si="0"/>
        <v/>
      </c>
      <c r="G5529" s="1" t="e">
        <f>IF(VALUE(F5529) = VALUE(RIGHT(Insights!$C$3, 4)), E5529, "")</f>
        <v>#VALUE!</v>
      </c>
      <c r="H5529" s="26" t="e">
        <f t="shared" si="1"/>
        <v>#VALUE!</v>
      </c>
      <c r="I5529" s="1" t="e">
        <f t="shared" si="2"/>
        <v>#VALUE!</v>
      </c>
    </row>
    <row r="5530" spans="1:9" ht="15.75" customHeight="1">
      <c r="A5530" s="26"/>
      <c r="B5530" s="2"/>
      <c r="C5530" s="26"/>
      <c r="D5530" s="26"/>
      <c r="F5530" s="85" t="str">
        <f t="shared" si="0"/>
        <v/>
      </c>
      <c r="G5530" s="1" t="e">
        <f>IF(VALUE(F5530) = VALUE(RIGHT(Insights!$C$3, 4)), E5530, "")</f>
        <v>#VALUE!</v>
      </c>
      <c r="H5530" s="26" t="e">
        <f t="shared" si="1"/>
        <v>#VALUE!</v>
      </c>
      <c r="I5530" s="1" t="e">
        <f t="shared" si="2"/>
        <v>#VALUE!</v>
      </c>
    </row>
    <row r="5531" spans="1:9" ht="15.75" customHeight="1">
      <c r="A5531" s="26"/>
      <c r="B5531" s="2"/>
      <c r="C5531" s="26"/>
      <c r="D5531" s="26"/>
      <c r="F5531" s="85" t="str">
        <f t="shared" si="0"/>
        <v/>
      </c>
      <c r="G5531" s="1" t="e">
        <f>IF(VALUE(F5531) = VALUE(RIGHT(Insights!$C$3, 4)), E5531, "")</f>
        <v>#VALUE!</v>
      </c>
      <c r="H5531" s="26" t="e">
        <f t="shared" si="1"/>
        <v>#VALUE!</v>
      </c>
      <c r="I5531" s="1" t="e">
        <f t="shared" si="2"/>
        <v>#VALUE!</v>
      </c>
    </row>
    <row r="5532" spans="1:9" ht="15.75" customHeight="1">
      <c r="A5532" s="26"/>
      <c r="B5532" s="2"/>
      <c r="C5532" s="26"/>
      <c r="D5532" s="26"/>
      <c r="F5532" s="85" t="str">
        <f t="shared" si="0"/>
        <v/>
      </c>
      <c r="G5532" s="1" t="e">
        <f>IF(VALUE(F5532) = VALUE(RIGHT(Insights!$C$3, 4)), E5532, "")</f>
        <v>#VALUE!</v>
      </c>
      <c r="H5532" s="26" t="e">
        <f t="shared" si="1"/>
        <v>#VALUE!</v>
      </c>
      <c r="I5532" s="1" t="e">
        <f t="shared" si="2"/>
        <v>#VALUE!</v>
      </c>
    </row>
    <row r="5533" spans="1:9" ht="15.75" customHeight="1">
      <c r="A5533" s="26"/>
      <c r="B5533" s="2"/>
      <c r="C5533" s="26"/>
      <c r="D5533" s="26"/>
      <c r="F5533" s="85" t="str">
        <f t="shared" si="0"/>
        <v/>
      </c>
      <c r="G5533" s="1" t="e">
        <f>IF(VALUE(F5533) = VALUE(RIGHT(Insights!$C$3, 4)), E5533, "")</f>
        <v>#VALUE!</v>
      </c>
      <c r="H5533" s="26" t="e">
        <f t="shared" si="1"/>
        <v>#VALUE!</v>
      </c>
      <c r="I5533" s="1" t="e">
        <f t="shared" si="2"/>
        <v>#VALUE!</v>
      </c>
    </row>
    <row r="5534" spans="1:9" ht="15.75" customHeight="1">
      <c r="A5534" s="26"/>
      <c r="B5534" s="2"/>
      <c r="C5534" s="26"/>
      <c r="D5534" s="26"/>
      <c r="F5534" s="85" t="str">
        <f t="shared" si="0"/>
        <v/>
      </c>
      <c r="G5534" s="1" t="e">
        <f>IF(VALUE(F5534) = VALUE(RIGHT(Insights!$C$3, 4)), E5534, "")</f>
        <v>#VALUE!</v>
      </c>
      <c r="H5534" s="26" t="e">
        <f t="shared" si="1"/>
        <v>#VALUE!</v>
      </c>
      <c r="I5534" s="1" t="e">
        <f t="shared" si="2"/>
        <v>#VALUE!</v>
      </c>
    </row>
    <row r="5535" spans="1:9" ht="15.75" customHeight="1">
      <c r="A5535" s="26"/>
      <c r="B5535" s="2"/>
      <c r="C5535" s="26"/>
      <c r="D5535" s="26"/>
      <c r="F5535" s="85" t="str">
        <f t="shared" si="0"/>
        <v/>
      </c>
      <c r="G5535" s="1" t="e">
        <f>IF(VALUE(F5535) = VALUE(RIGHT(Insights!$C$3, 4)), E5535, "")</f>
        <v>#VALUE!</v>
      </c>
      <c r="H5535" s="26" t="e">
        <f t="shared" si="1"/>
        <v>#VALUE!</v>
      </c>
      <c r="I5535" s="1" t="e">
        <f t="shared" si="2"/>
        <v>#VALUE!</v>
      </c>
    </row>
    <row r="5536" spans="1:9" ht="15.75" customHeight="1">
      <c r="A5536" s="26"/>
      <c r="B5536" s="2"/>
      <c r="C5536" s="26"/>
      <c r="D5536" s="26"/>
      <c r="F5536" s="85" t="str">
        <f t="shared" si="0"/>
        <v/>
      </c>
      <c r="G5536" s="1" t="e">
        <f>IF(VALUE(F5536) = VALUE(RIGHT(Insights!$C$3, 4)), E5536, "")</f>
        <v>#VALUE!</v>
      </c>
      <c r="H5536" s="26" t="e">
        <f t="shared" si="1"/>
        <v>#VALUE!</v>
      </c>
      <c r="I5536" s="1" t="e">
        <f t="shared" si="2"/>
        <v>#VALUE!</v>
      </c>
    </row>
    <row r="5537" spans="1:9" ht="15.75" customHeight="1">
      <c r="A5537" s="26"/>
      <c r="B5537" s="2"/>
      <c r="C5537" s="26"/>
      <c r="D5537" s="26"/>
      <c r="F5537" s="85" t="str">
        <f t="shared" si="0"/>
        <v/>
      </c>
      <c r="G5537" s="1" t="e">
        <f>IF(VALUE(F5537) = VALUE(RIGHT(Insights!$C$3, 4)), E5537, "")</f>
        <v>#VALUE!</v>
      </c>
      <c r="H5537" s="26" t="e">
        <f t="shared" si="1"/>
        <v>#VALUE!</v>
      </c>
      <c r="I5537" s="1" t="e">
        <f t="shared" si="2"/>
        <v>#VALUE!</v>
      </c>
    </row>
    <row r="5538" spans="1:9" ht="15.75" customHeight="1">
      <c r="A5538" s="26"/>
      <c r="B5538" s="2"/>
      <c r="C5538" s="26"/>
      <c r="D5538" s="26"/>
      <c r="F5538" s="85" t="str">
        <f t="shared" si="0"/>
        <v/>
      </c>
      <c r="G5538" s="1" t="e">
        <f>IF(VALUE(F5538) = VALUE(RIGHT(Insights!$C$3, 4)), E5538, "")</f>
        <v>#VALUE!</v>
      </c>
      <c r="H5538" s="26" t="e">
        <f t="shared" si="1"/>
        <v>#VALUE!</v>
      </c>
      <c r="I5538" s="1" t="e">
        <f t="shared" si="2"/>
        <v>#VALUE!</v>
      </c>
    </row>
    <row r="5539" spans="1:9" ht="15.75" customHeight="1">
      <c r="A5539" s="26"/>
      <c r="B5539" s="2"/>
      <c r="C5539" s="26"/>
      <c r="D5539" s="26"/>
      <c r="F5539" s="85" t="str">
        <f t="shared" si="0"/>
        <v/>
      </c>
      <c r="G5539" s="1" t="e">
        <f>IF(VALUE(F5539) = VALUE(RIGHT(Insights!$C$3, 4)), E5539, "")</f>
        <v>#VALUE!</v>
      </c>
      <c r="H5539" s="26" t="e">
        <f t="shared" si="1"/>
        <v>#VALUE!</v>
      </c>
      <c r="I5539" s="1" t="e">
        <f t="shared" si="2"/>
        <v>#VALUE!</v>
      </c>
    </row>
    <row r="5540" spans="1:9" ht="15.75" customHeight="1">
      <c r="A5540" s="26"/>
      <c r="B5540" s="2"/>
      <c r="C5540" s="26"/>
      <c r="D5540" s="26"/>
      <c r="F5540" s="85" t="str">
        <f t="shared" si="0"/>
        <v/>
      </c>
      <c r="G5540" s="1" t="e">
        <f>IF(VALUE(F5540) = VALUE(RIGHT(Insights!$C$3, 4)), E5540, "")</f>
        <v>#VALUE!</v>
      </c>
      <c r="H5540" s="26" t="e">
        <f t="shared" si="1"/>
        <v>#VALUE!</v>
      </c>
      <c r="I5540" s="1" t="e">
        <f t="shared" si="2"/>
        <v>#VALUE!</v>
      </c>
    </row>
    <row r="5541" spans="1:9" ht="15.75" customHeight="1">
      <c r="A5541" s="26"/>
      <c r="B5541" s="2"/>
      <c r="C5541" s="26"/>
      <c r="D5541" s="26"/>
      <c r="F5541" s="85" t="str">
        <f t="shared" si="0"/>
        <v/>
      </c>
      <c r="G5541" s="1" t="e">
        <f>IF(VALUE(F5541) = VALUE(RIGHT(Insights!$C$3, 4)), E5541, "")</f>
        <v>#VALUE!</v>
      </c>
      <c r="H5541" s="26" t="e">
        <f t="shared" si="1"/>
        <v>#VALUE!</v>
      </c>
      <c r="I5541" s="1" t="e">
        <f t="shared" si="2"/>
        <v>#VALUE!</v>
      </c>
    </row>
    <row r="5542" spans="1:9" ht="15.75" customHeight="1">
      <c r="A5542" s="26"/>
      <c r="B5542" s="2"/>
      <c r="C5542" s="26"/>
      <c r="D5542" s="26"/>
      <c r="F5542" s="85" t="str">
        <f t="shared" si="0"/>
        <v/>
      </c>
      <c r="G5542" s="1" t="e">
        <f>IF(VALUE(F5542) = VALUE(RIGHT(Insights!$C$3, 4)), E5542, "")</f>
        <v>#VALUE!</v>
      </c>
      <c r="H5542" s="26" t="e">
        <f t="shared" si="1"/>
        <v>#VALUE!</v>
      </c>
      <c r="I5542" s="1" t="e">
        <f t="shared" si="2"/>
        <v>#VALUE!</v>
      </c>
    </row>
    <row r="5543" spans="1:9" ht="15.75" customHeight="1">
      <c r="A5543" s="26"/>
      <c r="B5543" s="2"/>
      <c r="C5543" s="26"/>
      <c r="D5543" s="26"/>
      <c r="F5543" s="85" t="str">
        <f t="shared" si="0"/>
        <v/>
      </c>
      <c r="G5543" s="1" t="e">
        <f>IF(VALUE(F5543) = VALUE(RIGHT(Insights!$C$3, 4)), E5543, "")</f>
        <v>#VALUE!</v>
      </c>
      <c r="H5543" s="26" t="e">
        <f t="shared" si="1"/>
        <v>#VALUE!</v>
      </c>
      <c r="I5543" s="1" t="e">
        <f t="shared" si="2"/>
        <v>#VALUE!</v>
      </c>
    </row>
    <row r="5544" spans="1:9" ht="15.75" customHeight="1">
      <c r="A5544" s="26"/>
      <c r="B5544" s="2"/>
      <c r="C5544" s="26"/>
      <c r="D5544" s="26"/>
      <c r="F5544" s="85" t="str">
        <f t="shared" si="0"/>
        <v/>
      </c>
      <c r="G5544" s="1" t="e">
        <f>IF(VALUE(F5544) = VALUE(RIGHT(Insights!$C$3, 4)), E5544, "")</f>
        <v>#VALUE!</v>
      </c>
      <c r="H5544" s="26" t="e">
        <f t="shared" si="1"/>
        <v>#VALUE!</v>
      </c>
      <c r="I5544" s="1" t="e">
        <f t="shared" si="2"/>
        <v>#VALUE!</v>
      </c>
    </row>
    <row r="5545" spans="1:9" ht="15.75" customHeight="1">
      <c r="A5545" s="26"/>
      <c r="B5545" s="2"/>
      <c r="C5545" s="26"/>
      <c r="D5545" s="26"/>
      <c r="F5545" s="85" t="str">
        <f t="shared" si="0"/>
        <v/>
      </c>
      <c r="G5545" s="1" t="e">
        <f>IF(VALUE(F5545) = VALUE(RIGHT(Insights!$C$3, 4)), E5545, "")</f>
        <v>#VALUE!</v>
      </c>
      <c r="H5545" s="26" t="e">
        <f t="shared" si="1"/>
        <v>#VALUE!</v>
      </c>
      <c r="I5545" s="1" t="e">
        <f t="shared" si="2"/>
        <v>#VALUE!</v>
      </c>
    </row>
    <row r="5546" spans="1:9" ht="15.75" customHeight="1">
      <c r="A5546" s="26"/>
      <c r="B5546" s="2"/>
      <c r="C5546" s="26"/>
      <c r="D5546" s="26"/>
      <c r="F5546" s="85" t="str">
        <f t="shared" si="0"/>
        <v/>
      </c>
      <c r="G5546" s="1" t="e">
        <f>IF(VALUE(F5546) = VALUE(RIGHT(Insights!$C$3, 4)), E5546, "")</f>
        <v>#VALUE!</v>
      </c>
      <c r="H5546" s="26" t="e">
        <f t="shared" si="1"/>
        <v>#VALUE!</v>
      </c>
      <c r="I5546" s="1" t="e">
        <f t="shared" si="2"/>
        <v>#VALUE!</v>
      </c>
    </row>
    <row r="5547" spans="1:9" ht="15.75" customHeight="1">
      <c r="A5547" s="26"/>
      <c r="B5547" s="2"/>
      <c r="C5547" s="26"/>
      <c r="D5547" s="26"/>
      <c r="F5547" s="85" t="str">
        <f t="shared" si="0"/>
        <v/>
      </c>
      <c r="G5547" s="1" t="e">
        <f>IF(VALUE(F5547) = VALUE(RIGHT(Insights!$C$3, 4)), E5547, "")</f>
        <v>#VALUE!</v>
      </c>
      <c r="H5547" s="26" t="e">
        <f t="shared" si="1"/>
        <v>#VALUE!</v>
      </c>
      <c r="I5547" s="1" t="e">
        <f t="shared" si="2"/>
        <v>#VALUE!</v>
      </c>
    </row>
    <row r="5548" spans="1:9" ht="15.75" customHeight="1">
      <c r="A5548" s="26"/>
      <c r="B5548" s="2"/>
      <c r="C5548" s="26"/>
      <c r="D5548" s="26"/>
      <c r="F5548" s="85" t="str">
        <f t="shared" si="0"/>
        <v/>
      </c>
      <c r="G5548" s="1" t="e">
        <f>IF(VALUE(F5548) = VALUE(RIGHT(Insights!$C$3, 4)), E5548, "")</f>
        <v>#VALUE!</v>
      </c>
      <c r="H5548" s="26" t="e">
        <f t="shared" si="1"/>
        <v>#VALUE!</v>
      </c>
      <c r="I5548" s="1" t="e">
        <f t="shared" si="2"/>
        <v>#VALUE!</v>
      </c>
    </row>
    <row r="5549" spans="1:9" ht="15.75" customHeight="1">
      <c r="A5549" s="26"/>
      <c r="B5549" s="2"/>
      <c r="C5549" s="26"/>
      <c r="D5549" s="26"/>
      <c r="F5549" s="85" t="str">
        <f t="shared" si="0"/>
        <v/>
      </c>
      <c r="G5549" s="1" t="e">
        <f>IF(VALUE(F5549) = VALUE(RIGHT(Insights!$C$3, 4)), E5549, "")</f>
        <v>#VALUE!</v>
      </c>
      <c r="H5549" s="26" t="e">
        <f t="shared" si="1"/>
        <v>#VALUE!</v>
      </c>
      <c r="I5549" s="1" t="e">
        <f t="shared" si="2"/>
        <v>#VALUE!</v>
      </c>
    </row>
    <row r="5550" spans="1:9" ht="15.75" customHeight="1">
      <c r="A5550" s="26"/>
      <c r="B5550" s="2"/>
      <c r="C5550" s="26"/>
      <c r="D5550" s="26"/>
      <c r="F5550" s="85" t="str">
        <f t="shared" si="0"/>
        <v/>
      </c>
      <c r="G5550" s="1" t="e">
        <f>IF(VALUE(F5550) = VALUE(RIGHT(Insights!$C$3, 4)), E5550, "")</f>
        <v>#VALUE!</v>
      </c>
      <c r="H5550" s="26" t="e">
        <f t="shared" si="1"/>
        <v>#VALUE!</v>
      </c>
      <c r="I5550" s="1" t="e">
        <f t="shared" si="2"/>
        <v>#VALUE!</v>
      </c>
    </row>
    <row r="5551" spans="1:9" ht="15.75" customHeight="1">
      <c r="A5551" s="26"/>
      <c r="B5551" s="2"/>
      <c r="C5551" s="26"/>
      <c r="D5551" s="26"/>
      <c r="F5551" s="85" t="str">
        <f t="shared" si="0"/>
        <v/>
      </c>
      <c r="G5551" s="1" t="e">
        <f>IF(VALUE(F5551) = VALUE(RIGHT(Insights!$C$3, 4)), E5551, "")</f>
        <v>#VALUE!</v>
      </c>
      <c r="H5551" s="26" t="e">
        <f t="shared" si="1"/>
        <v>#VALUE!</v>
      </c>
      <c r="I5551" s="1" t="e">
        <f t="shared" si="2"/>
        <v>#VALUE!</v>
      </c>
    </row>
    <row r="5552" spans="1:9" ht="15.75" customHeight="1">
      <c r="A5552" s="26"/>
      <c r="B5552" s="2"/>
      <c r="C5552" s="26"/>
      <c r="D5552" s="26"/>
      <c r="F5552" s="85" t="str">
        <f t="shared" si="0"/>
        <v/>
      </c>
      <c r="G5552" s="1" t="e">
        <f>IF(VALUE(F5552) = VALUE(RIGHT(Insights!$C$3, 4)), E5552, "")</f>
        <v>#VALUE!</v>
      </c>
      <c r="H5552" s="26" t="e">
        <f t="shared" si="1"/>
        <v>#VALUE!</v>
      </c>
      <c r="I5552" s="1" t="e">
        <f t="shared" si="2"/>
        <v>#VALUE!</v>
      </c>
    </row>
    <row r="5553" spans="1:9" ht="15.75" customHeight="1">
      <c r="A5553" s="26"/>
      <c r="B5553" s="2"/>
      <c r="C5553" s="26"/>
      <c r="D5553" s="26"/>
      <c r="F5553" s="85" t="str">
        <f t="shared" si="0"/>
        <v/>
      </c>
      <c r="G5553" s="1" t="e">
        <f>IF(VALUE(F5553) = VALUE(RIGHT(Insights!$C$3, 4)), E5553, "")</f>
        <v>#VALUE!</v>
      </c>
      <c r="H5553" s="26" t="e">
        <f t="shared" si="1"/>
        <v>#VALUE!</v>
      </c>
      <c r="I5553" s="1" t="e">
        <f t="shared" si="2"/>
        <v>#VALUE!</v>
      </c>
    </row>
    <row r="5554" spans="1:9" ht="15.75" customHeight="1">
      <c r="A5554" s="26"/>
      <c r="B5554" s="2"/>
      <c r="C5554" s="26"/>
      <c r="D5554" s="26"/>
      <c r="F5554" s="85" t="str">
        <f t="shared" si="0"/>
        <v/>
      </c>
      <c r="G5554" s="1" t="e">
        <f>IF(VALUE(F5554) = VALUE(RIGHT(Insights!$C$3, 4)), E5554, "")</f>
        <v>#VALUE!</v>
      </c>
      <c r="H5554" s="26" t="e">
        <f t="shared" si="1"/>
        <v>#VALUE!</v>
      </c>
      <c r="I5554" s="1" t="e">
        <f t="shared" si="2"/>
        <v>#VALUE!</v>
      </c>
    </row>
    <row r="5555" spans="1:9" ht="15.75" customHeight="1">
      <c r="A5555" s="26"/>
      <c r="B5555" s="2"/>
      <c r="C5555" s="26"/>
      <c r="D5555" s="26"/>
      <c r="F5555" s="85" t="str">
        <f t="shared" si="0"/>
        <v/>
      </c>
      <c r="G5555" s="1" t="e">
        <f>IF(VALUE(F5555) = VALUE(RIGHT(Insights!$C$3, 4)), E5555, "")</f>
        <v>#VALUE!</v>
      </c>
      <c r="H5555" s="26" t="e">
        <f t="shared" si="1"/>
        <v>#VALUE!</v>
      </c>
      <c r="I5555" s="1" t="e">
        <f t="shared" si="2"/>
        <v>#VALUE!</v>
      </c>
    </row>
    <row r="5556" spans="1:9" ht="15.75" customHeight="1">
      <c r="A5556" s="26"/>
      <c r="B5556" s="2"/>
      <c r="C5556" s="26"/>
      <c r="D5556" s="26"/>
      <c r="F5556" s="85" t="str">
        <f t="shared" si="0"/>
        <v/>
      </c>
      <c r="G5556" s="1" t="e">
        <f>IF(VALUE(F5556) = VALUE(RIGHT(Insights!$C$3, 4)), E5556, "")</f>
        <v>#VALUE!</v>
      </c>
      <c r="H5556" s="26" t="e">
        <f t="shared" si="1"/>
        <v>#VALUE!</v>
      </c>
      <c r="I5556" s="1" t="e">
        <f t="shared" si="2"/>
        <v>#VALUE!</v>
      </c>
    </row>
    <row r="5557" spans="1:9" ht="15.75" customHeight="1">
      <c r="A5557" s="26"/>
      <c r="B5557" s="2"/>
      <c r="C5557" s="26"/>
      <c r="D5557" s="26"/>
      <c r="F5557" s="85" t="str">
        <f t="shared" si="0"/>
        <v/>
      </c>
      <c r="G5557" s="1" t="e">
        <f>IF(VALUE(F5557) = VALUE(RIGHT(Insights!$C$3, 4)), E5557, "")</f>
        <v>#VALUE!</v>
      </c>
      <c r="H5557" s="26" t="e">
        <f t="shared" si="1"/>
        <v>#VALUE!</v>
      </c>
      <c r="I5557" s="1" t="e">
        <f t="shared" si="2"/>
        <v>#VALUE!</v>
      </c>
    </row>
    <row r="5558" spans="1:9" ht="15.75" customHeight="1">
      <c r="A5558" s="26"/>
      <c r="B5558" s="2"/>
      <c r="C5558" s="26"/>
      <c r="D5558" s="26"/>
      <c r="F5558" s="85" t="str">
        <f t="shared" si="0"/>
        <v/>
      </c>
      <c r="G5558" s="1" t="e">
        <f>IF(VALUE(F5558) = VALUE(RIGHT(Insights!$C$3, 4)), E5558, "")</f>
        <v>#VALUE!</v>
      </c>
      <c r="H5558" s="26" t="e">
        <f t="shared" si="1"/>
        <v>#VALUE!</v>
      </c>
      <c r="I5558" s="1" t="e">
        <f t="shared" si="2"/>
        <v>#VALUE!</v>
      </c>
    </row>
    <row r="5559" spans="1:9" ht="15.75" customHeight="1">
      <c r="A5559" s="26"/>
      <c r="B5559" s="2"/>
      <c r="C5559" s="26"/>
      <c r="D5559" s="26"/>
      <c r="F5559" s="85" t="str">
        <f t="shared" si="0"/>
        <v/>
      </c>
      <c r="G5559" s="1" t="e">
        <f>IF(VALUE(F5559) = VALUE(RIGHT(Insights!$C$3, 4)), E5559, "")</f>
        <v>#VALUE!</v>
      </c>
      <c r="H5559" s="26" t="e">
        <f t="shared" si="1"/>
        <v>#VALUE!</v>
      </c>
      <c r="I5559" s="1" t="e">
        <f t="shared" si="2"/>
        <v>#VALUE!</v>
      </c>
    </row>
    <row r="5560" spans="1:9" ht="15.75" customHeight="1">
      <c r="A5560" s="26"/>
      <c r="B5560" s="2"/>
      <c r="C5560" s="26"/>
      <c r="D5560" s="26"/>
      <c r="F5560" s="85" t="str">
        <f t="shared" si="0"/>
        <v/>
      </c>
      <c r="G5560" s="1" t="e">
        <f>IF(VALUE(F5560) = VALUE(RIGHT(Insights!$C$3, 4)), E5560, "")</f>
        <v>#VALUE!</v>
      </c>
      <c r="H5560" s="26" t="e">
        <f t="shared" si="1"/>
        <v>#VALUE!</v>
      </c>
      <c r="I5560" s="1" t="e">
        <f t="shared" si="2"/>
        <v>#VALUE!</v>
      </c>
    </row>
    <row r="5561" spans="1:9" ht="15.75" customHeight="1">
      <c r="A5561" s="26"/>
      <c r="B5561" s="2"/>
      <c r="C5561" s="26"/>
      <c r="D5561" s="26"/>
      <c r="F5561" s="85" t="str">
        <f t="shared" si="0"/>
        <v/>
      </c>
      <c r="G5561" s="1" t="e">
        <f>IF(VALUE(F5561) = VALUE(RIGHT(Insights!$C$3, 4)), E5561, "")</f>
        <v>#VALUE!</v>
      </c>
      <c r="H5561" s="26" t="e">
        <f t="shared" si="1"/>
        <v>#VALUE!</v>
      </c>
      <c r="I5561" s="1" t="e">
        <f t="shared" si="2"/>
        <v>#VALUE!</v>
      </c>
    </row>
    <row r="5562" spans="1:9" ht="15.75" customHeight="1">
      <c r="A5562" s="26"/>
      <c r="B5562" s="2"/>
      <c r="C5562" s="26"/>
      <c r="D5562" s="26"/>
      <c r="F5562" s="85" t="str">
        <f t="shared" si="0"/>
        <v/>
      </c>
      <c r="G5562" s="1" t="e">
        <f>IF(VALUE(F5562) = VALUE(RIGHT(Insights!$C$3, 4)), E5562, "")</f>
        <v>#VALUE!</v>
      </c>
      <c r="H5562" s="26" t="e">
        <f t="shared" si="1"/>
        <v>#VALUE!</v>
      </c>
      <c r="I5562" s="1" t="e">
        <f t="shared" si="2"/>
        <v>#VALUE!</v>
      </c>
    </row>
    <row r="5563" spans="1:9" ht="15.75" customHeight="1">
      <c r="A5563" s="26"/>
      <c r="B5563" s="2"/>
      <c r="C5563" s="26"/>
      <c r="D5563" s="26"/>
      <c r="F5563" s="85" t="str">
        <f t="shared" si="0"/>
        <v/>
      </c>
      <c r="G5563" s="1" t="e">
        <f>IF(VALUE(F5563) = VALUE(RIGHT(Insights!$C$3, 4)), E5563, "")</f>
        <v>#VALUE!</v>
      </c>
      <c r="H5563" s="26" t="e">
        <f t="shared" si="1"/>
        <v>#VALUE!</v>
      </c>
      <c r="I5563" s="1" t="e">
        <f t="shared" si="2"/>
        <v>#VALUE!</v>
      </c>
    </row>
    <row r="5564" spans="1:9" ht="15.75" customHeight="1">
      <c r="A5564" s="26"/>
      <c r="B5564" s="2"/>
      <c r="C5564" s="26"/>
      <c r="D5564" s="26"/>
      <c r="F5564" s="85" t="str">
        <f t="shared" si="0"/>
        <v/>
      </c>
      <c r="G5564" s="1" t="e">
        <f>IF(VALUE(F5564) = VALUE(RIGHT(Insights!$C$3, 4)), E5564, "")</f>
        <v>#VALUE!</v>
      </c>
      <c r="H5564" s="26" t="e">
        <f t="shared" si="1"/>
        <v>#VALUE!</v>
      </c>
      <c r="I5564" s="1" t="e">
        <f t="shared" si="2"/>
        <v>#VALUE!</v>
      </c>
    </row>
    <row r="5565" spans="1:9" ht="15.75" customHeight="1">
      <c r="A5565" s="26"/>
      <c r="B5565" s="2"/>
      <c r="C5565" s="26"/>
      <c r="D5565" s="26"/>
      <c r="F5565" s="85" t="str">
        <f t="shared" si="0"/>
        <v/>
      </c>
      <c r="G5565" s="1" t="e">
        <f>IF(VALUE(F5565) = VALUE(RIGHT(Insights!$C$3, 4)), E5565, "")</f>
        <v>#VALUE!</v>
      </c>
      <c r="H5565" s="26" t="e">
        <f t="shared" si="1"/>
        <v>#VALUE!</v>
      </c>
      <c r="I5565" s="1" t="e">
        <f t="shared" si="2"/>
        <v>#VALUE!</v>
      </c>
    </row>
    <row r="5566" spans="1:9" ht="15.75" customHeight="1">
      <c r="A5566" s="26"/>
      <c r="B5566" s="2"/>
      <c r="C5566" s="26"/>
      <c r="D5566" s="26"/>
      <c r="F5566" s="85" t="str">
        <f t="shared" si="0"/>
        <v/>
      </c>
      <c r="G5566" s="1" t="e">
        <f>IF(VALUE(F5566) = VALUE(RIGHT(Insights!$C$3, 4)), E5566, "")</f>
        <v>#VALUE!</v>
      </c>
      <c r="H5566" s="26" t="e">
        <f t="shared" si="1"/>
        <v>#VALUE!</v>
      </c>
      <c r="I5566" s="1" t="e">
        <f t="shared" si="2"/>
        <v>#VALUE!</v>
      </c>
    </row>
    <row r="5567" spans="1:9" ht="15.75" customHeight="1">
      <c r="A5567" s="26"/>
      <c r="B5567" s="2"/>
      <c r="C5567" s="26"/>
      <c r="D5567" s="26"/>
      <c r="F5567" s="85" t="str">
        <f t="shared" si="0"/>
        <v/>
      </c>
      <c r="G5567" s="1" t="e">
        <f>IF(VALUE(F5567) = VALUE(RIGHT(Insights!$C$3, 4)), E5567, "")</f>
        <v>#VALUE!</v>
      </c>
      <c r="H5567" s="26" t="e">
        <f t="shared" si="1"/>
        <v>#VALUE!</v>
      </c>
      <c r="I5567" s="1" t="e">
        <f t="shared" si="2"/>
        <v>#VALUE!</v>
      </c>
    </row>
    <row r="5568" spans="1:9" ht="15.75" customHeight="1">
      <c r="A5568" s="26"/>
      <c r="B5568" s="2"/>
      <c r="C5568" s="26"/>
      <c r="D5568" s="26"/>
      <c r="F5568" s="85" t="str">
        <f t="shared" si="0"/>
        <v/>
      </c>
      <c r="G5568" s="1" t="e">
        <f>IF(VALUE(F5568) = VALUE(RIGHT(Insights!$C$3, 4)), E5568, "")</f>
        <v>#VALUE!</v>
      </c>
      <c r="H5568" s="26" t="e">
        <f t="shared" si="1"/>
        <v>#VALUE!</v>
      </c>
      <c r="I5568" s="1" t="e">
        <f t="shared" si="2"/>
        <v>#VALUE!</v>
      </c>
    </row>
    <row r="5569" spans="1:9" ht="15.75" customHeight="1">
      <c r="A5569" s="26"/>
      <c r="B5569" s="2"/>
      <c r="C5569" s="26"/>
      <c r="D5569" s="26"/>
      <c r="F5569" s="85" t="str">
        <f t="shared" si="0"/>
        <v/>
      </c>
      <c r="G5569" s="1" t="e">
        <f>IF(VALUE(F5569) = VALUE(RIGHT(Insights!$C$3, 4)), E5569, "")</f>
        <v>#VALUE!</v>
      </c>
      <c r="H5569" s="26" t="e">
        <f t="shared" si="1"/>
        <v>#VALUE!</v>
      </c>
      <c r="I5569" s="1" t="e">
        <f t="shared" si="2"/>
        <v>#VALUE!</v>
      </c>
    </row>
    <row r="5570" spans="1:9" ht="15.75" customHeight="1">
      <c r="A5570" s="26"/>
      <c r="B5570" s="2"/>
      <c r="C5570" s="26"/>
      <c r="D5570" s="26"/>
      <c r="F5570" s="85" t="str">
        <f t="shared" si="0"/>
        <v/>
      </c>
      <c r="G5570" s="1" t="e">
        <f>IF(VALUE(F5570) = VALUE(RIGHT(Insights!$C$3, 4)), E5570, "")</f>
        <v>#VALUE!</v>
      </c>
      <c r="H5570" s="26" t="e">
        <f t="shared" si="1"/>
        <v>#VALUE!</v>
      </c>
      <c r="I5570" s="1" t="e">
        <f t="shared" si="2"/>
        <v>#VALUE!</v>
      </c>
    </row>
    <row r="5571" spans="1:9" ht="15.75" customHeight="1">
      <c r="A5571" s="26"/>
      <c r="B5571" s="2"/>
      <c r="C5571" s="26"/>
      <c r="D5571" s="26"/>
      <c r="F5571" s="85" t="str">
        <f t="shared" si="0"/>
        <v/>
      </c>
      <c r="G5571" s="1" t="e">
        <f>IF(VALUE(F5571) = VALUE(RIGHT(Insights!$C$3, 4)), E5571, "")</f>
        <v>#VALUE!</v>
      </c>
      <c r="H5571" s="26" t="e">
        <f t="shared" si="1"/>
        <v>#VALUE!</v>
      </c>
      <c r="I5571" s="1" t="e">
        <f t="shared" si="2"/>
        <v>#VALUE!</v>
      </c>
    </row>
    <row r="5572" spans="1:9" ht="15.75" customHeight="1">
      <c r="A5572" s="26"/>
      <c r="B5572" s="2"/>
      <c r="C5572" s="26"/>
      <c r="D5572" s="26"/>
      <c r="F5572" s="85" t="str">
        <f t="shared" si="0"/>
        <v/>
      </c>
      <c r="G5572" s="1" t="e">
        <f>IF(VALUE(F5572) = VALUE(RIGHT(Insights!$C$3, 4)), E5572, "")</f>
        <v>#VALUE!</v>
      </c>
      <c r="H5572" s="26" t="e">
        <f t="shared" si="1"/>
        <v>#VALUE!</v>
      </c>
      <c r="I5572" s="1" t="e">
        <f t="shared" si="2"/>
        <v>#VALUE!</v>
      </c>
    </row>
    <row r="5573" spans="1:9" ht="15.75" customHeight="1">
      <c r="A5573" s="26"/>
      <c r="B5573" s="2"/>
      <c r="C5573" s="26"/>
      <c r="D5573" s="26"/>
      <c r="F5573" s="85" t="str">
        <f t="shared" si="0"/>
        <v/>
      </c>
      <c r="G5573" s="1" t="e">
        <f>IF(VALUE(F5573) = VALUE(RIGHT(Insights!$C$3, 4)), E5573, "")</f>
        <v>#VALUE!</v>
      </c>
      <c r="H5573" s="26" t="e">
        <f t="shared" si="1"/>
        <v>#VALUE!</v>
      </c>
      <c r="I5573" s="1" t="e">
        <f t="shared" si="2"/>
        <v>#VALUE!</v>
      </c>
    </row>
    <row r="5574" spans="1:9" ht="15.75" customHeight="1">
      <c r="A5574" s="26"/>
      <c r="B5574" s="2"/>
      <c r="C5574" s="26"/>
      <c r="D5574" s="26"/>
      <c r="F5574" s="85" t="str">
        <f t="shared" si="0"/>
        <v/>
      </c>
      <c r="G5574" s="1" t="e">
        <f>IF(VALUE(F5574) = VALUE(RIGHT(Insights!$C$3, 4)), E5574, "")</f>
        <v>#VALUE!</v>
      </c>
      <c r="H5574" s="26" t="e">
        <f t="shared" si="1"/>
        <v>#VALUE!</v>
      </c>
      <c r="I5574" s="1" t="e">
        <f t="shared" si="2"/>
        <v>#VALUE!</v>
      </c>
    </row>
    <row r="5575" spans="1:9" ht="15.75" customHeight="1">
      <c r="A5575" s="26"/>
      <c r="B5575" s="2"/>
      <c r="C5575" s="26"/>
      <c r="D5575" s="26"/>
      <c r="F5575" s="85" t="str">
        <f t="shared" si="0"/>
        <v/>
      </c>
      <c r="G5575" s="1" t="e">
        <f>IF(VALUE(F5575) = VALUE(RIGHT(Insights!$C$3, 4)), E5575, "")</f>
        <v>#VALUE!</v>
      </c>
      <c r="H5575" s="26" t="e">
        <f t="shared" si="1"/>
        <v>#VALUE!</v>
      </c>
      <c r="I5575" s="1" t="e">
        <f t="shared" si="2"/>
        <v>#VALUE!</v>
      </c>
    </row>
    <row r="5576" spans="1:9" ht="15.75" customHeight="1">
      <c r="A5576" s="26"/>
      <c r="B5576" s="2"/>
      <c r="C5576" s="26"/>
      <c r="D5576" s="26"/>
      <c r="F5576" s="85" t="str">
        <f t="shared" si="0"/>
        <v/>
      </c>
      <c r="G5576" s="1" t="e">
        <f>IF(VALUE(F5576) = VALUE(RIGHT(Insights!$C$3, 4)), E5576, "")</f>
        <v>#VALUE!</v>
      </c>
      <c r="H5576" s="26" t="e">
        <f t="shared" si="1"/>
        <v>#VALUE!</v>
      </c>
      <c r="I5576" s="1" t="e">
        <f t="shared" si="2"/>
        <v>#VALUE!</v>
      </c>
    </row>
    <row r="5577" spans="1:9" ht="15.75" customHeight="1">
      <c r="A5577" s="26"/>
      <c r="B5577" s="2"/>
      <c r="C5577" s="26"/>
      <c r="D5577" s="26"/>
      <c r="F5577" s="85" t="str">
        <f t="shared" si="0"/>
        <v/>
      </c>
      <c r="G5577" s="1" t="e">
        <f>IF(VALUE(F5577) = VALUE(RIGHT(Insights!$C$3, 4)), E5577, "")</f>
        <v>#VALUE!</v>
      </c>
      <c r="H5577" s="26" t="e">
        <f t="shared" si="1"/>
        <v>#VALUE!</v>
      </c>
      <c r="I5577" s="1" t="e">
        <f t="shared" si="2"/>
        <v>#VALUE!</v>
      </c>
    </row>
    <row r="5578" spans="1:9" ht="15.75" customHeight="1">
      <c r="A5578" s="26"/>
      <c r="B5578" s="2"/>
      <c r="C5578" s="26"/>
      <c r="D5578" s="26"/>
      <c r="F5578" s="85" t="str">
        <f t="shared" si="0"/>
        <v/>
      </c>
      <c r="G5578" s="1" t="e">
        <f>IF(VALUE(F5578) = VALUE(RIGHT(Insights!$C$3, 4)), E5578, "")</f>
        <v>#VALUE!</v>
      </c>
      <c r="H5578" s="26" t="e">
        <f t="shared" si="1"/>
        <v>#VALUE!</v>
      </c>
      <c r="I5578" s="1" t="e">
        <f t="shared" si="2"/>
        <v>#VALUE!</v>
      </c>
    </row>
    <row r="5579" spans="1:9" ht="15.75" customHeight="1">
      <c r="A5579" s="26"/>
      <c r="B5579" s="2"/>
      <c r="C5579" s="26"/>
      <c r="D5579" s="26"/>
      <c r="F5579" s="85" t="str">
        <f t="shared" si="0"/>
        <v/>
      </c>
      <c r="G5579" s="1" t="e">
        <f>IF(VALUE(F5579) = VALUE(RIGHT(Insights!$C$3, 4)), E5579, "")</f>
        <v>#VALUE!</v>
      </c>
      <c r="H5579" s="26" t="e">
        <f t="shared" si="1"/>
        <v>#VALUE!</v>
      </c>
      <c r="I5579" s="1" t="e">
        <f t="shared" si="2"/>
        <v>#VALUE!</v>
      </c>
    </row>
    <row r="5580" spans="1:9" ht="15.75" customHeight="1">
      <c r="A5580" s="26"/>
      <c r="B5580" s="2"/>
      <c r="C5580" s="26"/>
      <c r="D5580" s="26"/>
      <c r="F5580" s="85" t="str">
        <f t="shared" si="0"/>
        <v/>
      </c>
      <c r="G5580" s="1" t="e">
        <f>IF(VALUE(F5580) = VALUE(RIGHT(Insights!$C$3, 4)), E5580, "")</f>
        <v>#VALUE!</v>
      </c>
      <c r="H5580" s="26" t="e">
        <f t="shared" si="1"/>
        <v>#VALUE!</v>
      </c>
      <c r="I5580" s="1" t="e">
        <f t="shared" si="2"/>
        <v>#VALUE!</v>
      </c>
    </row>
    <row r="5581" spans="1:9" ht="15.75" customHeight="1">
      <c r="A5581" s="26"/>
      <c r="B5581" s="2"/>
      <c r="C5581" s="26"/>
      <c r="D5581" s="26"/>
      <c r="F5581" s="85" t="str">
        <f t="shared" si="0"/>
        <v/>
      </c>
      <c r="G5581" s="1" t="e">
        <f>IF(VALUE(F5581) = VALUE(RIGHT(Insights!$C$3, 4)), E5581, "")</f>
        <v>#VALUE!</v>
      </c>
      <c r="H5581" s="26" t="e">
        <f t="shared" si="1"/>
        <v>#VALUE!</v>
      </c>
      <c r="I5581" s="1" t="e">
        <f t="shared" si="2"/>
        <v>#VALUE!</v>
      </c>
    </row>
    <row r="5582" spans="1:9" ht="15.75" customHeight="1">
      <c r="A5582" s="26"/>
      <c r="B5582" s="2"/>
      <c r="C5582" s="26"/>
      <c r="D5582" s="26"/>
      <c r="F5582" s="85" t="str">
        <f t="shared" si="0"/>
        <v/>
      </c>
      <c r="G5582" s="1" t="e">
        <f>IF(VALUE(F5582) = VALUE(RIGHT(Insights!$C$3, 4)), E5582, "")</f>
        <v>#VALUE!</v>
      </c>
      <c r="H5582" s="26" t="e">
        <f t="shared" si="1"/>
        <v>#VALUE!</v>
      </c>
      <c r="I5582" s="1" t="e">
        <f t="shared" si="2"/>
        <v>#VALUE!</v>
      </c>
    </row>
    <row r="5583" spans="1:9" ht="15.75" customHeight="1">
      <c r="A5583" s="26"/>
      <c r="B5583" s="2"/>
      <c r="C5583" s="26"/>
      <c r="D5583" s="26"/>
      <c r="F5583" s="85" t="str">
        <f t="shared" si="0"/>
        <v/>
      </c>
      <c r="G5583" s="1" t="e">
        <f>IF(VALUE(F5583) = VALUE(RIGHT(Insights!$C$3, 4)), E5583, "")</f>
        <v>#VALUE!</v>
      </c>
      <c r="H5583" s="26" t="e">
        <f t="shared" si="1"/>
        <v>#VALUE!</v>
      </c>
      <c r="I5583" s="1" t="e">
        <f t="shared" si="2"/>
        <v>#VALUE!</v>
      </c>
    </row>
    <row r="5584" spans="1:9" ht="15.75" customHeight="1">
      <c r="A5584" s="26"/>
      <c r="B5584" s="2"/>
      <c r="C5584" s="26"/>
      <c r="D5584" s="26"/>
      <c r="F5584" s="85" t="str">
        <f t="shared" si="0"/>
        <v/>
      </c>
      <c r="G5584" s="1" t="e">
        <f>IF(VALUE(F5584) = VALUE(RIGHT(Insights!$C$3, 4)), E5584, "")</f>
        <v>#VALUE!</v>
      </c>
      <c r="H5584" s="26" t="e">
        <f t="shared" si="1"/>
        <v>#VALUE!</v>
      </c>
      <c r="I5584" s="1" t="e">
        <f t="shared" si="2"/>
        <v>#VALUE!</v>
      </c>
    </row>
    <row r="5585" spans="1:9" ht="15.75" customHeight="1">
      <c r="A5585" s="26"/>
      <c r="B5585" s="2"/>
      <c r="C5585" s="26"/>
      <c r="D5585" s="26"/>
      <c r="F5585" s="85" t="str">
        <f t="shared" si="0"/>
        <v/>
      </c>
      <c r="G5585" s="1" t="e">
        <f>IF(VALUE(F5585) = VALUE(RIGHT(Insights!$C$3, 4)), E5585, "")</f>
        <v>#VALUE!</v>
      </c>
      <c r="H5585" s="26" t="e">
        <f t="shared" si="1"/>
        <v>#VALUE!</v>
      </c>
      <c r="I5585" s="1" t="e">
        <f t="shared" si="2"/>
        <v>#VALUE!</v>
      </c>
    </row>
    <row r="5586" spans="1:9" ht="15.75" customHeight="1">
      <c r="A5586" s="26"/>
      <c r="B5586" s="2"/>
      <c r="C5586" s="26"/>
      <c r="D5586" s="26"/>
      <c r="F5586" s="85" t="str">
        <f t="shared" si="0"/>
        <v/>
      </c>
      <c r="G5586" s="1" t="e">
        <f>IF(VALUE(F5586) = VALUE(RIGHT(Insights!$C$3, 4)), E5586, "")</f>
        <v>#VALUE!</v>
      </c>
      <c r="H5586" s="26" t="e">
        <f t="shared" si="1"/>
        <v>#VALUE!</v>
      </c>
      <c r="I5586" s="1" t="e">
        <f t="shared" si="2"/>
        <v>#VALUE!</v>
      </c>
    </row>
    <row r="5587" spans="1:9" ht="15.75" customHeight="1">
      <c r="A5587" s="26"/>
      <c r="B5587" s="2"/>
      <c r="C5587" s="26"/>
      <c r="D5587" s="26"/>
      <c r="F5587" s="85" t="str">
        <f t="shared" si="0"/>
        <v/>
      </c>
      <c r="G5587" s="1" t="e">
        <f>IF(VALUE(F5587) = VALUE(RIGHT(Insights!$C$3, 4)), E5587, "")</f>
        <v>#VALUE!</v>
      </c>
      <c r="H5587" s="26" t="e">
        <f t="shared" si="1"/>
        <v>#VALUE!</v>
      </c>
      <c r="I5587" s="1" t="e">
        <f t="shared" si="2"/>
        <v>#VALUE!</v>
      </c>
    </row>
    <row r="5588" spans="1:9" ht="15.75" customHeight="1">
      <c r="A5588" s="26"/>
      <c r="B5588" s="2"/>
      <c r="C5588" s="26"/>
      <c r="D5588" s="26"/>
      <c r="F5588" s="85" t="str">
        <f t="shared" si="0"/>
        <v/>
      </c>
      <c r="G5588" s="1" t="e">
        <f>IF(VALUE(F5588) = VALUE(RIGHT(Insights!$C$3, 4)), E5588, "")</f>
        <v>#VALUE!</v>
      </c>
      <c r="H5588" s="26" t="e">
        <f t="shared" si="1"/>
        <v>#VALUE!</v>
      </c>
      <c r="I5588" s="1" t="e">
        <f t="shared" si="2"/>
        <v>#VALUE!</v>
      </c>
    </row>
    <row r="5589" spans="1:9" ht="15.75" customHeight="1">
      <c r="A5589" s="26"/>
      <c r="B5589" s="2"/>
      <c r="C5589" s="26"/>
      <c r="D5589" s="26"/>
      <c r="F5589" s="85" t="str">
        <f t="shared" si="0"/>
        <v/>
      </c>
      <c r="G5589" s="1" t="e">
        <f>IF(VALUE(F5589) = VALUE(RIGHT(Insights!$C$3, 4)), E5589, "")</f>
        <v>#VALUE!</v>
      </c>
      <c r="H5589" s="26" t="e">
        <f t="shared" si="1"/>
        <v>#VALUE!</v>
      </c>
      <c r="I5589" s="1" t="e">
        <f t="shared" si="2"/>
        <v>#VALUE!</v>
      </c>
    </row>
    <row r="5590" spans="1:9" ht="15.75" customHeight="1">
      <c r="A5590" s="26"/>
      <c r="B5590" s="2"/>
      <c r="C5590" s="26"/>
      <c r="D5590" s="26"/>
      <c r="F5590" s="85" t="str">
        <f t="shared" si="0"/>
        <v/>
      </c>
      <c r="G5590" s="1" t="e">
        <f>IF(VALUE(F5590) = VALUE(RIGHT(Insights!$C$3, 4)), E5590, "")</f>
        <v>#VALUE!</v>
      </c>
      <c r="H5590" s="26" t="e">
        <f t="shared" si="1"/>
        <v>#VALUE!</v>
      </c>
      <c r="I5590" s="1" t="e">
        <f t="shared" si="2"/>
        <v>#VALUE!</v>
      </c>
    </row>
    <row r="5591" spans="1:9" ht="15.75" customHeight="1">
      <c r="A5591" s="26"/>
      <c r="B5591" s="2"/>
      <c r="C5591" s="26"/>
      <c r="D5591" s="26"/>
      <c r="F5591" s="85" t="str">
        <f t="shared" si="0"/>
        <v/>
      </c>
      <c r="G5591" s="1" t="e">
        <f>IF(VALUE(F5591) = VALUE(RIGHT(Insights!$C$3, 4)), E5591, "")</f>
        <v>#VALUE!</v>
      </c>
      <c r="H5591" s="26" t="e">
        <f t="shared" si="1"/>
        <v>#VALUE!</v>
      </c>
      <c r="I5591" s="1" t="e">
        <f t="shared" si="2"/>
        <v>#VALUE!</v>
      </c>
    </row>
    <row r="5592" spans="1:9" ht="15.75" customHeight="1">
      <c r="A5592" s="26"/>
      <c r="B5592" s="2"/>
      <c r="C5592" s="26"/>
      <c r="D5592" s="26"/>
      <c r="F5592" s="85" t="str">
        <f t="shared" si="0"/>
        <v/>
      </c>
      <c r="G5592" s="1" t="e">
        <f>IF(VALUE(F5592) = VALUE(RIGHT(Insights!$C$3, 4)), E5592, "")</f>
        <v>#VALUE!</v>
      </c>
      <c r="H5592" s="26" t="e">
        <f t="shared" si="1"/>
        <v>#VALUE!</v>
      </c>
      <c r="I5592" s="1" t="e">
        <f t="shared" si="2"/>
        <v>#VALUE!</v>
      </c>
    </row>
    <row r="5593" spans="1:9" ht="15.75" customHeight="1">
      <c r="A5593" s="26"/>
      <c r="B5593" s="2"/>
      <c r="C5593" s="26"/>
      <c r="D5593" s="26"/>
      <c r="F5593" s="85" t="str">
        <f t="shared" si="0"/>
        <v/>
      </c>
      <c r="G5593" s="1" t="e">
        <f>IF(VALUE(F5593) = VALUE(RIGHT(Insights!$C$3, 4)), E5593, "")</f>
        <v>#VALUE!</v>
      </c>
      <c r="H5593" s="26" t="e">
        <f t="shared" si="1"/>
        <v>#VALUE!</v>
      </c>
      <c r="I5593" s="1" t="e">
        <f t="shared" si="2"/>
        <v>#VALUE!</v>
      </c>
    </row>
    <row r="5594" spans="1:9" ht="15.75" customHeight="1">
      <c r="A5594" s="26"/>
      <c r="B5594" s="2"/>
      <c r="C5594" s="26"/>
      <c r="D5594" s="26"/>
      <c r="F5594" s="85" t="str">
        <f t="shared" si="0"/>
        <v/>
      </c>
      <c r="G5594" s="1" t="e">
        <f>IF(VALUE(F5594) = VALUE(RIGHT(Insights!$C$3, 4)), E5594, "")</f>
        <v>#VALUE!</v>
      </c>
      <c r="H5594" s="26" t="e">
        <f t="shared" si="1"/>
        <v>#VALUE!</v>
      </c>
      <c r="I5594" s="1" t="e">
        <f t="shared" si="2"/>
        <v>#VALUE!</v>
      </c>
    </row>
    <row r="5595" spans="1:9" ht="15.75" customHeight="1">
      <c r="A5595" s="26"/>
      <c r="B5595" s="2"/>
      <c r="C5595" s="26"/>
      <c r="D5595" s="26"/>
      <c r="F5595" s="85" t="str">
        <f t="shared" si="0"/>
        <v/>
      </c>
      <c r="G5595" s="1" t="e">
        <f>IF(VALUE(F5595) = VALUE(RIGHT(Insights!$C$3, 4)), E5595, "")</f>
        <v>#VALUE!</v>
      </c>
      <c r="H5595" s="26" t="e">
        <f t="shared" si="1"/>
        <v>#VALUE!</v>
      </c>
      <c r="I5595" s="1" t="e">
        <f t="shared" si="2"/>
        <v>#VALUE!</v>
      </c>
    </row>
    <row r="5596" spans="1:9" ht="15.75" customHeight="1">
      <c r="A5596" s="26"/>
      <c r="B5596" s="2"/>
      <c r="C5596" s="26"/>
      <c r="D5596" s="26"/>
      <c r="F5596" s="85" t="str">
        <f t="shared" si="0"/>
        <v/>
      </c>
      <c r="G5596" s="1" t="e">
        <f>IF(VALUE(F5596) = VALUE(RIGHT(Insights!$C$3, 4)), E5596, "")</f>
        <v>#VALUE!</v>
      </c>
      <c r="H5596" s="26" t="e">
        <f t="shared" si="1"/>
        <v>#VALUE!</v>
      </c>
      <c r="I5596" s="1" t="e">
        <f t="shared" si="2"/>
        <v>#VALUE!</v>
      </c>
    </row>
    <row r="5597" spans="1:9" ht="15.75" customHeight="1">
      <c r="A5597" s="26"/>
      <c r="B5597" s="2"/>
      <c r="C5597" s="26"/>
      <c r="D5597" s="26"/>
      <c r="F5597" s="85" t="str">
        <f t="shared" si="0"/>
        <v/>
      </c>
      <c r="G5597" s="1" t="e">
        <f>IF(VALUE(F5597) = VALUE(RIGHT(Insights!$C$3, 4)), E5597, "")</f>
        <v>#VALUE!</v>
      </c>
      <c r="H5597" s="26" t="e">
        <f t="shared" si="1"/>
        <v>#VALUE!</v>
      </c>
      <c r="I5597" s="1" t="e">
        <f t="shared" si="2"/>
        <v>#VALUE!</v>
      </c>
    </row>
    <row r="5598" spans="1:9" ht="15.75" customHeight="1">
      <c r="A5598" s="26"/>
      <c r="B5598" s="2"/>
      <c r="C5598" s="26"/>
      <c r="D5598" s="26"/>
      <c r="F5598" s="85" t="str">
        <f t="shared" si="0"/>
        <v/>
      </c>
      <c r="G5598" s="1" t="e">
        <f>IF(VALUE(F5598) = VALUE(RIGHT(Insights!$C$3, 4)), E5598, "")</f>
        <v>#VALUE!</v>
      </c>
      <c r="H5598" s="26" t="e">
        <f t="shared" si="1"/>
        <v>#VALUE!</v>
      </c>
      <c r="I5598" s="1" t="e">
        <f t="shared" si="2"/>
        <v>#VALUE!</v>
      </c>
    </row>
    <row r="5599" spans="1:9" ht="15.75" customHeight="1">
      <c r="A5599" s="26"/>
      <c r="B5599" s="2"/>
      <c r="C5599" s="26"/>
      <c r="D5599" s="26"/>
      <c r="F5599" s="85" t="str">
        <f t="shared" si="0"/>
        <v/>
      </c>
      <c r="G5599" s="1" t="e">
        <f>IF(VALUE(F5599) = VALUE(RIGHT(Insights!$C$3, 4)), E5599, "")</f>
        <v>#VALUE!</v>
      </c>
      <c r="H5599" s="26" t="e">
        <f t="shared" si="1"/>
        <v>#VALUE!</v>
      </c>
      <c r="I5599" s="1" t="e">
        <f t="shared" si="2"/>
        <v>#VALUE!</v>
      </c>
    </row>
    <row r="5600" spans="1:9" ht="15.75" customHeight="1">
      <c r="A5600" s="26"/>
      <c r="B5600" s="2"/>
      <c r="C5600" s="26"/>
      <c r="D5600" s="26"/>
      <c r="F5600" s="85" t="str">
        <f t="shared" si="0"/>
        <v/>
      </c>
      <c r="G5600" s="1" t="e">
        <f>IF(VALUE(F5600) = VALUE(RIGHT(Insights!$C$3, 4)), E5600, "")</f>
        <v>#VALUE!</v>
      </c>
      <c r="H5600" s="26" t="e">
        <f t="shared" si="1"/>
        <v>#VALUE!</v>
      </c>
      <c r="I5600" s="1" t="e">
        <f t="shared" si="2"/>
        <v>#VALUE!</v>
      </c>
    </row>
    <row r="5601" spans="1:9" ht="15.75" customHeight="1">
      <c r="A5601" s="26"/>
      <c r="B5601" s="2"/>
      <c r="C5601" s="26"/>
      <c r="D5601" s="26"/>
      <c r="F5601" s="85" t="str">
        <f t="shared" si="0"/>
        <v/>
      </c>
      <c r="G5601" s="1" t="e">
        <f>IF(VALUE(F5601) = VALUE(RIGHT(Insights!$C$3, 4)), E5601, "")</f>
        <v>#VALUE!</v>
      </c>
      <c r="H5601" s="26" t="e">
        <f t="shared" si="1"/>
        <v>#VALUE!</v>
      </c>
      <c r="I5601" s="1" t="e">
        <f t="shared" si="2"/>
        <v>#VALUE!</v>
      </c>
    </row>
    <row r="5602" spans="1:9" ht="15.75" customHeight="1">
      <c r="A5602" s="26"/>
      <c r="B5602" s="2"/>
      <c r="C5602" s="26"/>
      <c r="D5602" s="26"/>
      <c r="F5602" s="85" t="str">
        <f t="shared" si="0"/>
        <v/>
      </c>
      <c r="G5602" s="1" t="e">
        <f>IF(VALUE(F5602) = VALUE(RIGHT(Insights!$C$3, 4)), E5602, "")</f>
        <v>#VALUE!</v>
      </c>
      <c r="H5602" s="26" t="e">
        <f t="shared" si="1"/>
        <v>#VALUE!</v>
      </c>
      <c r="I5602" s="1" t="e">
        <f t="shared" si="2"/>
        <v>#VALUE!</v>
      </c>
    </row>
    <row r="5603" spans="1:9" ht="15.75" customHeight="1">
      <c r="A5603" s="26"/>
      <c r="B5603" s="2"/>
      <c r="C5603" s="26"/>
      <c r="D5603" s="26"/>
      <c r="F5603" s="85" t="str">
        <f t="shared" si="0"/>
        <v/>
      </c>
      <c r="G5603" s="1" t="e">
        <f>IF(VALUE(F5603) = VALUE(RIGHT(Insights!$C$3, 4)), E5603, "")</f>
        <v>#VALUE!</v>
      </c>
      <c r="H5603" s="26" t="e">
        <f t="shared" si="1"/>
        <v>#VALUE!</v>
      </c>
      <c r="I5603" s="1" t="e">
        <f t="shared" si="2"/>
        <v>#VALUE!</v>
      </c>
    </row>
    <row r="5604" spans="1:9" ht="15.75" customHeight="1">
      <c r="A5604" s="26"/>
      <c r="B5604" s="2"/>
      <c r="C5604" s="26"/>
      <c r="D5604" s="26"/>
      <c r="F5604" s="85" t="str">
        <f t="shared" si="0"/>
        <v/>
      </c>
      <c r="G5604" s="1" t="e">
        <f>IF(VALUE(F5604) = VALUE(RIGHT(Insights!$C$3, 4)), E5604, "")</f>
        <v>#VALUE!</v>
      </c>
      <c r="H5604" s="26" t="e">
        <f t="shared" si="1"/>
        <v>#VALUE!</v>
      </c>
      <c r="I5604" s="1" t="e">
        <f t="shared" si="2"/>
        <v>#VALUE!</v>
      </c>
    </row>
    <row r="5605" spans="1:9" ht="15.75" customHeight="1">
      <c r="A5605" s="26"/>
      <c r="B5605" s="2"/>
      <c r="C5605" s="26"/>
      <c r="D5605" s="26"/>
      <c r="F5605" s="85" t="str">
        <f t="shared" si="0"/>
        <v/>
      </c>
      <c r="G5605" s="1" t="e">
        <f>IF(VALUE(F5605) = VALUE(RIGHT(Insights!$C$3, 4)), E5605, "")</f>
        <v>#VALUE!</v>
      </c>
      <c r="H5605" s="26" t="e">
        <f t="shared" si="1"/>
        <v>#VALUE!</v>
      </c>
      <c r="I5605" s="1" t="e">
        <f t="shared" si="2"/>
        <v>#VALUE!</v>
      </c>
    </row>
    <row r="5606" spans="1:9" ht="15.75" customHeight="1">
      <c r="A5606" s="26"/>
      <c r="B5606" s="2"/>
      <c r="C5606" s="26"/>
      <c r="D5606" s="26"/>
      <c r="F5606" s="85" t="str">
        <f t="shared" si="0"/>
        <v/>
      </c>
      <c r="G5606" s="1" t="e">
        <f>IF(VALUE(F5606) = VALUE(RIGHT(Insights!$C$3, 4)), E5606, "")</f>
        <v>#VALUE!</v>
      </c>
      <c r="H5606" s="26" t="e">
        <f t="shared" si="1"/>
        <v>#VALUE!</v>
      </c>
      <c r="I5606" s="1" t="e">
        <f t="shared" si="2"/>
        <v>#VALUE!</v>
      </c>
    </row>
    <row r="5607" spans="1:9" ht="15.75" customHeight="1">
      <c r="A5607" s="26"/>
      <c r="B5607" s="2"/>
      <c r="C5607" s="26"/>
      <c r="D5607" s="26"/>
      <c r="F5607" s="85" t="str">
        <f t="shared" si="0"/>
        <v/>
      </c>
      <c r="G5607" s="1" t="e">
        <f>IF(VALUE(F5607) = VALUE(RIGHT(Insights!$C$3, 4)), E5607, "")</f>
        <v>#VALUE!</v>
      </c>
      <c r="H5607" s="26" t="e">
        <f t="shared" si="1"/>
        <v>#VALUE!</v>
      </c>
      <c r="I5607" s="1" t="e">
        <f t="shared" si="2"/>
        <v>#VALUE!</v>
      </c>
    </row>
    <row r="5608" spans="1:9" ht="15.75" customHeight="1">
      <c r="A5608" s="26"/>
      <c r="B5608" s="2"/>
      <c r="C5608" s="26"/>
      <c r="D5608" s="26"/>
      <c r="F5608" s="85" t="str">
        <f t="shared" si="0"/>
        <v/>
      </c>
      <c r="G5608" s="1" t="e">
        <f>IF(VALUE(F5608) = VALUE(RIGHT(Insights!$C$3, 4)), E5608, "")</f>
        <v>#VALUE!</v>
      </c>
      <c r="H5608" s="26" t="e">
        <f t="shared" si="1"/>
        <v>#VALUE!</v>
      </c>
      <c r="I5608" s="1" t="e">
        <f t="shared" si="2"/>
        <v>#VALUE!</v>
      </c>
    </row>
    <row r="5609" spans="1:9" ht="15.75" customHeight="1">
      <c r="A5609" s="26"/>
      <c r="B5609" s="2"/>
      <c r="C5609" s="26"/>
      <c r="D5609" s="26"/>
      <c r="F5609" s="85" t="str">
        <f t="shared" si="0"/>
        <v/>
      </c>
      <c r="G5609" s="1" t="e">
        <f>IF(VALUE(F5609) = VALUE(RIGHT(Insights!$C$3, 4)), E5609, "")</f>
        <v>#VALUE!</v>
      </c>
      <c r="H5609" s="26" t="e">
        <f t="shared" si="1"/>
        <v>#VALUE!</v>
      </c>
      <c r="I5609" s="1" t="e">
        <f t="shared" si="2"/>
        <v>#VALUE!</v>
      </c>
    </row>
    <row r="5610" spans="1:9" ht="15.75" customHeight="1">
      <c r="A5610" s="26"/>
      <c r="B5610" s="2"/>
      <c r="C5610" s="26"/>
      <c r="D5610" s="26"/>
      <c r="F5610" s="85" t="str">
        <f t="shared" si="0"/>
        <v/>
      </c>
      <c r="G5610" s="1" t="e">
        <f>IF(VALUE(F5610) = VALUE(RIGHT(Insights!$C$3, 4)), E5610, "")</f>
        <v>#VALUE!</v>
      </c>
      <c r="H5610" s="26" t="e">
        <f t="shared" si="1"/>
        <v>#VALUE!</v>
      </c>
      <c r="I5610" s="1" t="e">
        <f t="shared" si="2"/>
        <v>#VALUE!</v>
      </c>
    </row>
    <row r="5611" spans="1:9" ht="15.75" customHeight="1">
      <c r="A5611" s="26"/>
      <c r="B5611" s="2"/>
      <c r="C5611" s="26"/>
      <c r="D5611" s="26"/>
      <c r="F5611" s="85" t="str">
        <f t="shared" si="0"/>
        <v/>
      </c>
      <c r="G5611" s="1" t="e">
        <f>IF(VALUE(F5611) = VALUE(RIGHT(Insights!$C$3, 4)), E5611, "")</f>
        <v>#VALUE!</v>
      </c>
      <c r="H5611" s="26" t="e">
        <f t="shared" si="1"/>
        <v>#VALUE!</v>
      </c>
      <c r="I5611" s="1" t="e">
        <f t="shared" si="2"/>
        <v>#VALUE!</v>
      </c>
    </row>
    <row r="5612" spans="1:9" ht="15.75" customHeight="1">
      <c r="A5612" s="26"/>
      <c r="B5612" s="2"/>
      <c r="C5612" s="26"/>
      <c r="D5612" s="26"/>
      <c r="F5612" s="85" t="str">
        <f t="shared" si="0"/>
        <v/>
      </c>
      <c r="G5612" s="1" t="e">
        <f>IF(VALUE(F5612) = VALUE(RIGHT(Insights!$C$3, 4)), E5612, "")</f>
        <v>#VALUE!</v>
      </c>
      <c r="H5612" s="26" t="e">
        <f t="shared" si="1"/>
        <v>#VALUE!</v>
      </c>
      <c r="I5612" s="1" t="e">
        <f t="shared" si="2"/>
        <v>#VALUE!</v>
      </c>
    </row>
    <row r="5613" spans="1:9" ht="15.75" customHeight="1">
      <c r="A5613" s="26"/>
      <c r="B5613" s="2"/>
      <c r="C5613" s="26"/>
      <c r="D5613" s="26"/>
      <c r="F5613" s="85" t="str">
        <f t="shared" si="0"/>
        <v/>
      </c>
      <c r="G5613" s="1" t="e">
        <f>IF(VALUE(F5613) = VALUE(RIGHT(Insights!$C$3, 4)), E5613, "")</f>
        <v>#VALUE!</v>
      </c>
      <c r="H5613" s="26" t="e">
        <f t="shared" si="1"/>
        <v>#VALUE!</v>
      </c>
      <c r="I5613" s="1" t="e">
        <f t="shared" si="2"/>
        <v>#VALUE!</v>
      </c>
    </row>
    <row r="5614" spans="1:9" ht="15.75" customHeight="1">
      <c r="A5614" s="26"/>
      <c r="B5614" s="2"/>
      <c r="C5614" s="26"/>
      <c r="D5614" s="26"/>
      <c r="F5614" s="85" t="str">
        <f t="shared" si="0"/>
        <v/>
      </c>
      <c r="G5614" s="1" t="e">
        <f>IF(VALUE(F5614) = VALUE(RIGHT(Insights!$C$3, 4)), E5614, "")</f>
        <v>#VALUE!</v>
      </c>
      <c r="H5614" s="26" t="e">
        <f t="shared" si="1"/>
        <v>#VALUE!</v>
      </c>
      <c r="I5614" s="1" t="e">
        <f t="shared" si="2"/>
        <v>#VALUE!</v>
      </c>
    </row>
    <row r="5615" spans="1:9" ht="15.75" customHeight="1">
      <c r="A5615" s="26"/>
      <c r="B5615" s="2"/>
      <c r="C5615" s="26"/>
      <c r="D5615" s="26"/>
      <c r="F5615" s="85" t="str">
        <f t="shared" si="0"/>
        <v/>
      </c>
      <c r="G5615" s="1" t="e">
        <f>IF(VALUE(F5615) = VALUE(RIGHT(Insights!$C$3, 4)), E5615, "")</f>
        <v>#VALUE!</v>
      </c>
      <c r="H5615" s="26" t="e">
        <f t="shared" si="1"/>
        <v>#VALUE!</v>
      </c>
      <c r="I5615" s="1" t="e">
        <f t="shared" si="2"/>
        <v>#VALUE!</v>
      </c>
    </row>
    <row r="5616" spans="1:9" ht="15.75" customHeight="1">
      <c r="A5616" s="26"/>
      <c r="B5616" s="2"/>
      <c r="C5616" s="26"/>
      <c r="D5616" s="26"/>
      <c r="F5616" s="85" t="str">
        <f t="shared" si="0"/>
        <v/>
      </c>
      <c r="G5616" s="1" t="e">
        <f>IF(VALUE(F5616) = VALUE(RIGHT(Insights!$C$3, 4)), E5616, "")</f>
        <v>#VALUE!</v>
      </c>
      <c r="H5616" s="26" t="e">
        <f t="shared" si="1"/>
        <v>#VALUE!</v>
      </c>
      <c r="I5616" s="1" t="e">
        <f t="shared" si="2"/>
        <v>#VALUE!</v>
      </c>
    </row>
    <row r="5617" spans="1:9" ht="15.75" customHeight="1">
      <c r="A5617" s="26"/>
      <c r="B5617" s="2"/>
      <c r="C5617" s="26"/>
      <c r="D5617" s="26"/>
      <c r="F5617" s="85" t="str">
        <f t="shared" si="0"/>
        <v/>
      </c>
      <c r="G5617" s="1" t="e">
        <f>IF(VALUE(F5617) = VALUE(RIGHT(Insights!$C$3, 4)), E5617, "")</f>
        <v>#VALUE!</v>
      </c>
      <c r="H5617" s="26" t="e">
        <f t="shared" si="1"/>
        <v>#VALUE!</v>
      </c>
      <c r="I5617" s="1" t="e">
        <f t="shared" si="2"/>
        <v>#VALUE!</v>
      </c>
    </row>
    <row r="5618" spans="1:9" ht="15.75" customHeight="1">
      <c r="A5618" s="26"/>
      <c r="B5618" s="2"/>
      <c r="C5618" s="26"/>
      <c r="D5618" s="26"/>
      <c r="F5618" s="85" t="str">
        <f t="shared" si="0"/>
        <v/>
      </c>
      <c r="G5618" s="1" t="e">
        <f>IF(VALUE(F5618) = VALUE(RIGHT(Insights!$C$3, 4)), E5618, "")</f>
        <v>#VALUE!</v>
      </c>
      <c r="H5618" s="26" t="e">
        <f t="shared" si="1"/>
        <v>#VALUE!</v>
      </c>
      <c r="I5618" s="1" t="e">
        <f t="shared" si="2"/>
        <v>#VALUE!</v>
      </c>
    </row>
    <row r="5619" spans="1:9" ht="15.75" customHeight="1">
      <c r="A5619" s="26"/>
      <c r="B5619" s="2"/>
      <c r="C5619" s="26"/>
      <c r="D5619" s="26"/>
      <c r="F5619" s="85" t="str">
        <f t="shared" si="0"/>
        <v/>
      </c>
      <c r="G5619" s="1" t="e">
        <f>IF(VALUE(F5619) = VALUE(RIGHT(Insights!$C$3, 4)), E5619, "")</f>
        <v>#VALUE!</v>
      </c>
      <c r="H5619" s="26" t="e">
        <f t="shared" si="1"/>
        <v>#VALUE!</v>
      </c>
      <c r="I5619" s="1" t="e">
        <f t="shared" si="2"/>
        <v>#VALUE!</v>
      </c>
    </row>
    <row r="5620" spans="1:9" ht="15.75" customHeight="1">
      <c r="A5620" s="26"/>
      <c r="B5620" s="2"/>
      <c r="C5620" s="26"/>
      <c r="D5620" s="26"/>
      <c r="F5620" s="85" t="str">
        <f t="shared" si="0"/>
        <v/>
      </c>
      <c r="G5620" s="1" t="e">
        <f>IF(VALUE(F5620) = VALUE(RIGHT(Insights!$C$3, 4)), E5620, "")</f>
        <v>#VALUE!</v>
      </c>
      <c r="H5620" s="26" t="e">
        <f t="shared" si="1"/>
        <v>#VALUE!</v>
      </c>
      <c r="I5620" s="1" t="e">
        <f t="shared" si="2"/>
        <v>#VALUE!</v>
      </c>
    </row>
    <row r="5621" spans="1:9" ht="15.75" customHeight="1">
      <c r="A5621" s="26"/>
      <c r="B5621" s="2"/>
      <c r="C5621" s="26"/>
      <c r="D5621" s="26"/>
      <c r="F5621" s="85" t="str">
        <f t="shared" si="0"/>
        <v/>
      </c>
      <c r="G5621" s="1" t="e">
        <f>IF(VALUE(F5621) = VALUE(RIGHT(Insights!$C$3, 4)), E5621, "")</f>
        <v>#VALUE!</v>
      </c>
      <c r="H5621" s="26" t="e">
        <f t="shared" si="1"/>
        <v>#VALUE!</v>
      </c>
      <c r="I5621" s="1" t="e">
        <f t="shared" si="2"/>
        <v>#VALUE!</v>
      </c>
    </row>
    <row r="5622" spans="1:9" ht="15.75" customHeight="1">
      <c r="A5622" s="26"/>
      <c r="B5622" s="2"/>
      <c r="C5622" s="26"/>
      <c r="D5622" s="26"/>
      <c r="F5622" s="85" t="str">
        <f t="shared" si="0"/>
        <v/>
      </c>
      <c r="G5622" s="1" t="e">
        <f>IF(VALUE(F5622) = VALUE(RIGHT(Insights!$C$3, 4)), E5622, "")</f>
        <v>#VALUE!</v>
      </c>
      <c r="H5622" s="26" t="e">
        <f t="shared" si="1"/>
        <v>#VALUE!</v>
      </c>
      <c r="I5622" s="1" t="e">
        <f t="shared" si="2"/>
        <v>#VALUE!</v>
      </c>
    </row>
    <row r="5623" spans="1:9" ht="15.75" customHeight="1">
      <c r="A5623" s="26"/>
      <c r="B5623" s="2"/>
      <c r="C5623" s="26"/>
      <c r="D5623" s="26"/>
      <c r="F5623" s="85" t="str">
        <f t="shared" si="0"/>
        <v/>
      </c>
      <c r="G5623" s="1" t="e">
        <f>IF(VALUE(F5623) = VALUE(RIGHT(Insights!$C$3, 4)), E5623, "")</f>
        <v>#VALUE!</v>
      </c>
      <c r="H5623" s="26" t="e">
        <f t="shared" si="1"/>
        <v>#VALUE!</v>
      </c>
      <c r="I5623" s="1" t="e">
        <f t="shared" si="2"/>
        <v>#VALUE!</v>
      </c>
    </row>
    <row r="5624" spans="1:9" ht="15.75" customHeight="1">
      <c r="A5624" s="26"/>
      <c r="B5624" s="2"/>
      <c r="C5624" s="26"/>
      <c r="D5624" s="26"/>
      <c r="F5624" s="85" t="str">
        <f t="shared" si="0"/>
        <v/>
      </c>
      <c r="G5624" s="1" t="e">
        <f>IF(VALUE(F5624) = VALUE(RIGHT(Insights!$C$3, 4)), E5624, "")</f>
        <v>#VALUE!</v>
      </c>
      <c r="H5624" s="26" t="e">
        <f t="shared" si="1"/>
        <v>#VALUE!</v>
      </c>
      <c r="I5624" s="1" t="e">
        <f t="shared" si="2"/>
        <v>#VALUE!</v>
      </c>
    </row>
    <row r="5625" spans="1:9" ht="15.75" customHeight="1">
      <c r="A5625" s="26"/>
      <c r="B5625" s="2"/>
      <c r="C5625" s="26"/>
      <c r="D5625" s="26"/>
      <c r="F5625" s="85" t="str">
        <f t="shared" si="0"/>
        <v/>
      </c>
      <c r="G5625" s="1" t="e">
        <f>IF(VALUE(F5625) = VALUE(RIGHT(Insights!$C$3, 4)), E5625, "")</f>
        <v>#VALUE!</v>
      </c>
      <c r="H5625" s="26" t="e">
        <f t="shared" si="1"/>
        <v>#VALUE!</v>
      </c>
      <c r="I5625" s="1" t="e">
        <f t="shared" si="2"/>
        <v>#VALUE!</v>
      </c>
    </row>
    <row r="5626" spans="1:9" ht="15.75" customHeight="1">
      <c r="A5626" s="26"/>
      <c r="B5626" s="2"/>
      <c r="C5626" s="26"/>
      <c r="D5626" s="26"/>
      <c r="F5626" s="85" t="str">
        <f t="shared" si="0"/>
        <v/>
      </c>
      <c r="G5626" s="1" t="e">
        <f>IF(VALUE(F5626) = VALUE(RIGHT(Insights!$C$3, 4)), E5626, "")</f>
        <v>#VALUE!</v>
      </c>
      <c r="H5626" s="26" t="e">
        <f t="shared" si="1"/>
        <v>#VALUE!</v>
      </c>
      <c r="I5626" s="1" t="e">
        <f t="shared" si="2"/>
        <v>#VALUE!</v>
      </c>
    </row>
    <row r="5627" spans="1:9" ht="15.75" customHeight="1">
      <c r="A5627" s="26"/>
      <c r="B5627" s="2"/>
      <c r="C5627" s="26"/>
      <c r="D5627" s="26"/>
      <c r="F5627" s="85" t="str">
        <f t="shared" si="0"/>
        <v/>
      </c>
      <c r="G5627" s="1" t="e">
        <f>IF(VALUE(F5627) = VALUE(RIGHT(Insights!$C$3, 4)), E5627, "")</f>
        <v>#VALUE!</v>
      </c>
      <c r="H5627" s="26" t="e">
        <f t="shared" si="1"/>
        <v>#VALUE!</v>
      </c>
      <c r="I5627" s="1" t="e">
        <f t="shared" si="2"/>
        <v>#VALUE!</v>
      </c>
    </row>
    <row r="5628" spans="1:9" ht="15.75" customHeight="1">
      <c r="A5628" s="26"/>
      <c r="B5628" s="2"/>
      <c r="C5628" s="26"/>
      <c r="D5628" s="26"/>
      <c r="F5628" s="85" t="str">
        <f t="shared" si="0"/>
        <v/>
      </c>
      <c r="G5628" s="1" t="e">
        <f>IF(VALUE(F5628) = VALUE(RIGHT(Insights!$C$3, 4)), E5628, "")</f>
        <v>#VALUE!</v>
      </c>
      <c r="H5628" s="26" t="e">
        <f t="shared" si="1"/>
        <v>#VALUE!</v>
      </c>
      <c r="I5628" s="1" t="e">
        <f t="shared" si="2"/>
        <v>#VALUE!</v>
      </c>
    </row>
    <row r="5629" spans="1:9" ht="15.75" customHeight="1">
      <c r="A5629" s="26"/>
      <c r="B5629" s="2"/>
      <c r="C5629" s="26"/>
      <c r="D5629" s="26"/>
      <c r="F5629" s="85" t="str">
        <f t="shared" si="0"/>
        <v/>
      </c>
      <c r="G5629" s="1" t="e">
        <f>IF(VALUE(F5629) = VALUE(RIGHT(Insights!$C$3, 4)), E5629, "")</f>
        <v>#VALUE!</v>
      </c>
      <c r="H5629" s="26" t="e">
        <f t="shared" si="1"/>
        <v>#VALUE!</v>
      </c>
      <c r="I5629" s="1" t="e">
        <f t="shared" si="2"/>
        <v>#VALUE!</v>
      </c>
    </row>
    <row r="5630" spans="1:9" ht="15.75" customHeight="1">
      <c r="A5630" s="26"/>
      <c r="B5630" s="2"/>
      <c r="C5630" s="26"/>
      <c r="D5630" s="26"/>
      <c r="F5630" s="85" t="str">
        <f t="shared" si="0"/>
        <v/>
      </c>
      <c r="G5630" s="1" t="e">
        <f>IF(VALUE(F5630) = VALUE(RIGHT(Insights!$C$3, 4)), E5630, "")</f>
        <v>#VALUE!</v>
      </c>
      <c r="H5630" s="26" t="e">
        <f t="shared" si="1"/>
        <v>#VALUE!</v>
      </c>
      <c r="I5630" s="1" t="e">
        <f t="shared" si="2"/>
        <v>#VALUE!</v>
      </c>
    </row>
    <row r="5631" spans="1:9" ht="15.75" customHeight="1">
      <c r="A5631" s="26"/>
      <c r="B5631" s="2"/>
      <c r="C5631" s="26"/>
      <c r="D5631" s="26"/>
      <c r="F5631" s="85" t="str">
        <f t="shared" si="0"/>
        <v/>
      </c>
      <c r="G5631" s="1" t="e">
        <f>IF(VALUE(F5631) = VALUE(RIGHT(Insights!$C$3, 4)), E5631, "")</f>
        <v>#VALUE!</v>
      </c>
      <c r="H5631" s="26" t="e">
        <f t="shared" si="1"/>
        <v>#VALUE!</v>
      </c>
      <c r="I5631" s="1" t="e">
        <f t="shared" si="2"/>
        <v>#VALUE!</v>
      </c>
    </row>
    <row r="5632" spans="1:9" ht="15.75" customHeight="1">
      <c r="A5632" s="26"/>
      <c r="B5632" s="2"/>
      <c r="C5632" s="26"/>
      <c r="D5632" s="26"/>
      <c r="F5632" s="85" t="str">
        <f t="shared" si="0"/>
        <v/>
      </c>
      <c r="G5632" s="1" t="e">
        <f>IF(VALUE(F5632) = VALUE(RIGHT(Insights!$C$3, 4)), E5632, "")</f>
        <v>#VALUE!</v>
      </c>
      <c r="H5632" s="26" t="e">
        <f t="shared" si="1"/>
        <v>#VALUE!</v>
      </c>
      <c r="I5632" s="1" t="e">
        <f t="shared" si="2"/>
        <v>#VALUE!</v>
      </c>
    </row>
    <row r="5633" spans="1:9" ht="15.75" customHeight="1">
      <c r="A5633" s="26"/>
      <c r="B5633" s="2"/>
      <c r="C5633" s="26"/>
      <c r="D5633" s="26"/>
      <c r="F5633" s="85" t="str">
        <f t="shared" si="0"/>
        <v/>
      </c>
      <c r="G5633" s="1" t="e">
        <f>IF(VALUE(F5633) = VALUE(RIGHT(Insights!$C$3, 4)), E5633, "")</f>
        <v>#VALUE!</v>
      </c>
      <c r="H5633" s="26" t="e">
        <f t="shared" si="1"/>
        <v>#VALUE!</v>
      </c>
      <c r="I5633" s="1" t="e">
        <f t="shared" si="2"/>
        <v>#VALUE!</v>
      </c>
    </row>
    <row r="5634" spans="1:9" ht="15.75" customHeight="1">
      <c r="A5634" s="26"/>
      <c r="B5634" s="2"/>
      <c r="C5634" s="26"/>
      <c r="D5634" s="26"/>
      <c r="F5634" s="85" t="str">
        <f t="shared" si="0"/>
        <v/>
      </c>
      <c r="G5634" s="1" t="e">
        <f>IF(VALUE(F5634) = VALUE(RIGHT(Insights!$C$3, 4)), E5634, "")</f>
        <v>#VALUE!</v>
      </c>
      <c r="H5634" s="26" t="e">
        <f t="shared" si="1"/>
        <v>#VALUE!</v>
      </c>
      <c r="I5634" s="1" t="e">
        <f t="shared" si="2"/>
        <v>#VALUE!</v>
      </c>
    </row>
    <row r="5635" spans="1:9" ht="15.75" customHeight="1">
      <c r="A5635" s="26"/>
      <c r="B5635" s="2"/>
      <c r="C5635" s="26"/>
      <c r="D5635" s="26"/>
      <c r="F5635" s="85" t="str">
        <f t="shared" si="0"/>
        <v/>
      </c>
      <c r="G5635" s="1" t="e">
        <f>IF(VALUE(F5635) = VALUE(RIGHT(Insights!$C$3, 4)), E5635, "")</f>
        <v>#VALUE!</v>
      </c>
      <c r="H5635" s="26" t="e">
        <f t="shared" si="1"/>
        <v>#VALUE!</v>
      </c>
      <c r="I5635" s="1" t="e">
        <f t="shared" si="2"/>
        <v>#VALUE!</v>
      </c>
    </row>
    <row r="5636" spans="1:9" ht="15.75" customHeight="1">
      <c r="A5636" s="26"/>
      <c r="B5636" s="2"/>
      <c r="C5636" s="26"/>
      <c r="D5636" s="26"/>
      <c r="F5636" s="85" t="str">
        <f t="shared" si="0"/>
        <v/>
      </c>
      <c r="G5636" s="1" t="e">
        <f>IF(VALUE(F5636) = VALUE(RIGHT(Insights!$C$3, 4)), E5636, "")</f>
        <v>#VALUE!</v>
      </c>
      <c r="H5636" s="26" t="e">
        <f t="shared" si="1"/>
        <v>#VALUE!</v>
      </c>
      <c r="I5636" s="1" t="e">
        <f t="shared" si="2"/>
        <v>#VALUE!</v>
      </c>
    </row>
    <row r="5637" spans="1:9" ht="15.75" customHeight="1">
      <c r="A5637" s="26"/>
      <c r="B5637" s="2"/>
      <c r="C5637" s="26"/>
      <c r="D5637" s="26"/>
      <c r="F5637" s="85" t="str">
        <f t="shared" si="0"/>
        <v/>
      </c>
      <c r="G5637" s="1" t="e">
        <f>IF(VALUE(F5637) = VALUE(RIGHT(Insights!$C$3, 4)), E5637, "")</f>
        <v>#VALUE!</v>
      </c>
      <c r="H5637" s="26" t="e">
        <f t="shared" si="1"/>
        <v>#VALUE!</v>
      </c>
      <c r="I5637" s="1" t="e">
        <f t="shared" si="2"/>
        <v>#VALUE!</v>
      </c>
    </row>
    <row r="5638" spans="1:9" ht="15.75" customHeight="1">
      <c r="A5638" s="26"/>
      <c r="B5638" s="2"/>
      <c r="C5638" s="26"/>
      <c r="D5638" s="26"/>
      <c r="F5638" s="85" t="str">
        <f t="shared" si="0"/>
        <v/>
      </c>
      <c r="G5638" s="1" t="e">
        <f>IF(VALUE(F5638) = VALUE(RIGHT(Insights!$C$3, 4)), E5638, "")</f>
        <v>#VALUE!</v>
      </c>
      <c r="H5638" s="26" t="e">
        <f t="shared" si="1"/>
        <v>#VALUE!</v>
      </c>
      <c r="I5638" s="1" t="e">
        <f t="shared" si="2"/>
        <v>#VALUE!</v>
      </c>
    </row>
    <row r="5639" spans="1:9" ht="15.75" customHeight="1">
      <c r="A5639" s="26"/>
      <c r="B5639" s="2"/>
      <c r="C5639" s="26"/>
      <c r="D5639" s="26"/>
      <c r="F5639" s="85" t="str">
        <f t="shared" si="0"/>
        <v/>
      </c>
      <c r="G5639" s="1" t="e">
        <f>IF(VALUE(F5639) = VALUE(RIGHT(Insights!$C$3, 4)), E5639, "")</f>
        <v>#VALUE!</v>
      </c>
      <c r="H5639" s="26" t="e">
        <f t="shared" si="1"/>
        <v>#VALUE!</v>
      </c>
      <c r="I5639" s="1" t="e">
        <f t="shared" si="2"/>
        <v>#VALUE!</v>
      </c>
    </row>
    <row r="5640" spans="1:9" ht="15.75" customHeight="1">
      <c r="A5640" s="26"/>
      <c r="B5640" s="2"/>
      <c r="C5640" s="26"/>
      <c r="D5640" s="26"/>
      <c r="F5640" s="85" t="str">
        <f t="shared" si="0"/>
        <v/>
      </c>
      <c r="G5640" s="1" t="e">
        <f>IF(VALUE(F5640) = VALUE(RIGHT(Insights!$C$3, 4)), E5640, "")</f>
        <v>#VALUE!</v>
      </c>
      <c r="H5640" s="26" t="e">
        <f t="shared" si="1"/>
        <v>#VALUE!</v>
      </c>
      <c r="I5640" s="1" t="e">
        <f t="shared" si="2"/>
        <v>#VALUE!</v>
      </c>
    </row>
    <row r="5641" spans="1:9" ht="15.75" customHeight="1">
      <c r="A5641" s="26"/>
      <c r="B5641" s="2"/>
      <c r="C5641" s="26"/>
      <c r="D5641" s="26"/>
      <c r="F5641" s="85" t="str">
        <f t="shared" si="0"/>
        <v/>
      </c>
      <c r="G5641" s="1" t="e">
        <f>IF(VALUE(F5641) = VALUE(RIGHT(Insights!$C$3, 4)), E5641, "")</f>
        <v>#VALUE!</v>
      </c>
      <c r="H5641" s="26" t="e">
        <f t="shared" si="1"/>
        <v>#VALUE!</v>
      </c>
      <c r="I5641" s="1" t="e">
        <f t="shared" si="2"/>
        <v>#VALUE!</v>
      </c>
    </row>
    <row r="5642" spans="1:9" ht="15.75" customHeight="1">
      <c r="A5642" s="26"/>
      <c r="B5642" s="2"/>
      <c r="C5642" s="26"/>
      <c r="D5642" s="26"/>
      <c r="F5642" s="85" t="str">
        <f t="shared" si="0"/>
        <v/>
      </c>
      <c r="G5642" s="1" t="e">
        <f>IF(VALUE(F5642) = VALUE(RIGHT(Insights!$C$3, 4)), E5642, "")</f>
        <v>#VALUE!</v>
      </c>
      <c r="H5642" s="26" t="e">
        <f t="shared" si="1"/>
        <v>#VALUE!</v>
      </c>
      <c r="I5642" s="1" t="e">
        <f t="shared" si="2"/>
        <v>#VALUE!</v>
      </c>
    </row>
    <row r="5643" spans="1:9" ht="15.75" customHeight="1">
      <c r="A5643" s="26"/>
      <c r="B5643" s="2"/>
      <c r="C5643" s="26"/>
      <c r="D5643" s="26"/>
      <c r="F5643" s="85" t="str">
        <f t="shared" si="0"/>
        <v/>
      </c>
      <c r="G5643" s="1" t="e">
        <f>IF(VALUE(F5643) = VALUE(RIGHT(Insights!$C$3, 4)), E5643, "")</f>
        <v>#VALUE!</v>
      </c>
      <c r="H5643" s="26" t="e">
        <f t="shared" si="1"/>
        <v>#VALUE!</v>
      </c>
      <c r="I5643" s="1" t="e">
        <f t="shared" si="2"/>
        <v>#VALUE!</v>
      </c>
    </row>
    <row r="5644" spans="1:9" ht="15.75" customHeight="1">
      <c r="A5644" s="26"/>
      <c r="B5644" s="2"/>
      <c r="C5644" s="26"/>
      <c r="D5644" s="26"/>
      <c r="F5644" s="85" t="str">
        <f t="shared" si="0"/>
        <v/>
      </c>
      <c r="G5644" s="1" t="e">
        <f>IF(VALUE(F5644) = VALUE(RIGHT(Insights!$C$3, 4)), E5644, "")</f>
        <v>#VALUE!</v>
      </c>
      <c r="H5644" s="26" t="e">
        <f t="shared" si="1"/>
        <v>#VALUE!</v>
      </c>
      <c r="I5644" s="1" t="e">
        <f t="shared" si="2"/>
        <v>#VALUE!</v>
      </c>
    </row>
    <row r="5645" spans="1:9" ht="15.75" customHeight="1">
      <c r="A5645" s="26"/>
      <c r="B5645" s="2"/>
      <c r="C5645" s="26"/>
      <c r="D5645" s="26"/>
      <c r="F5645" s="85" t="str">
        <f t="shared" si="0"/>
        <v/>
      </c>
      <c r="G5645" s="1" t="e">
        <f>IF(VALUE(F5645) = VALUE(RIGHT(Insights!$C$3, 4)), E5645, "")</f>
        <v>#VALUE!</v>
      </c>
      <c r="H5645" s="26" t="e">
        <f t="shared" si="1"/>
        <v>#VALUE!</v>
      </c>
      <c r="I5645" s="1" t="e">
        <f t="shared" si="2"/>
        <v>#VALUE!</v>
      </c>
    </row>
    <row r="5646" spans="1:9" ht="15.75" customHeight="1">
      <c r="A5646" s="26"/>
      <c r="B5646" s="2"/>
      <c r="C5646" s="26"/>
      <c r="D5646" s="26"/>
      <c r="F5646" s="85" t="str">
        <f t="shared" si="0"/>
        <v/>
      </c>
      <c r="G5646" s="1" t="e">
        <f>IF(VALUE(F5646) = VALUE(RIGHT(Insights!$C$3, 4)), E5646, "")</f>
        <v>#VALUE!</v>
      </c>
      <c r="H5646" s="26" t="e">
        <f t="shared" si="1"/>
        <v>#VALUE!</v>
      </c>
      <c r="I5646" s="1" t="e">
        <f t="shared" si="2"/>
        <v>#VALUE!</v>
      </c>
    </row>
    <row r="5647" spans="1:9" ht="15.75" customHeight="1">
      <c r="A5647" s="26"/>
      <c r="B5647" s="2"/>
      <c r="C5647" s="26"/>
      <c r="D5647" s="26"/>
      <c r="F5647" s="85" t="str">
        <f t="shared" si="0"/>
        <v/>
      </c>
      <c r="G5647" s="1" t="e">
        <f>IF(VALUE(F5647) = VALUE(RIGHT(Insights!$C$3, 4)), E5647, "")</f>
        <v>#VALUE!</v>
      </c>
      <c r="H5647" s="26" t="e">
        <f t="shared" si="1"/>
        <v>#VALUE!</v>
      </c>
      <c r="I5647" s="1" t="e">
        <f t="shared" si="2"/>
        <v>#VALUE!</v>
      </c>
    </row>
    <row r="5648" spans="1:9" ht="15.75" customHeight="1">
      <c r="A5648" s="26"/>
      <c r="B5648" s="2"/>
      <c r="C5648" s="26"/>
      <c r="D5648" s="26"/>
      <c r="F5648" s="85" t="str">
        <f t="shared" si="0"/>
        <v/>
      </c>
      <c r="G5648" s="1" t="e">
        <f>IF(VALUE(F5648) = VALUE(RIGHT(Insights!$C$3, 4)), E5648, "")</f>
        <v>#VALUE!</v>
      </c>
      <c r="H5648" s="26" t="e">
        <f t="shared" si="1"/>
        <v>#VALUE!</v>
      </c>
      <c r="I5648" s="1" t="e">
        <f t="shared" si="2"/>
        <v>#VALUE!</v>
      </c>
    </row>
    <row r="5649" spans="1:9" ht="15.75" customHeight="1">
      <c r="A5649" s="26"/>
      <c r="B5649" s="2"/>
      <c r="C5649" s="26"/>
      <c r="D5649" s="26"/>
      <c r="F5649" s="85" t="str">
        <f t="shared" si="0"/>
        <v/>
      </c>
      <c r="G5649" s="1" t="e">
        <f>IF(VALUE(F5649) = VALUE(RIGHT(Insights!$C$3, 4)), E5649, "")</f>
        <v>#VALUE!</v>
      </c>
      <c r="H5649" s="26" t="e">
        <f t="shared" si="1"/>
        <v>#VALUE!</v>
      </c>
      <c r="I5649" s="1" t="e">
        <f t="shared" si="2"/>
        <v>#VALUE!</v>
      </c>
    </row>
    <row r="5650" spans="1:9" ht="15.75" customHeight="1">
      <c r="A5650" s="26"/>
      <c r="B5650" s="2"/>
      <c r="C5650" s="26"/>
      <c r="D5650" s="26"/>
      <c r="F5650" s="85" t="str">
        <f t="shared" si="0"/>
        <v/>
      </c>
      <c r="G5650" s="1" t="e">
        <f>IF(VALUE(F5650) = VALUE(RIGHT(Insights!$C$3, 4)), E5650, "")</f>
        <v>#VALUE!</v>
      </c>
      <c r="H5650" s="26" t="e">
        <f t="shared" si="1"/>
        <v>#VALUE!</v>
      </c>
      <c r="I5650" s="1" t="e">
        <f t="shared" si="2"/>
        <v>#VALUE!</v>
      </c>
    </row>
    <row r="5651" spans="1:9" ht="15.75" customHeight="1">
      <c r="A5651" s="26"/>
      <c r="B5651" s="2"/>
      <c r="C5651" s="26"/>
      <c r="D5651" s="26"/>
      <c r="F5651" s="85" t="str">
        <f t="shared" si="0"/>
        <v/>
      </c>
      <c r="G5651" s="1" t="e">
        <f>IF(VALUE(F5651) = VALUE(RIGHT(Insights!$C$3, 4)), E5651, "")</f>
        <v>#VALUE!</v>
      </c>
      <c r="H5651" s="26" t="e">
        <f t="shared" si="1"/>
        <v>#VALUE!</v>
      </c>
      <c r="I5651" s="1" t="e">
        <f t="shared" si="2"/>
        <v>#VALUE!</v>
      </c>
    </row>
    <row r="5652" spans="1:9" ht="15.75" customHeight="1">
      <c r="A5652" s="26"/>
      <c r="B5652" s="2"/>
      <c r="C5652" s="26"/>
      <c r="D5652" s="26"/>
      <c r="F5652" s="85" t="str">
        <f t="shared" si="0"/>
        <v/>
      </c>
      <c r="G5652" s="1" t="e">
        <f>IF(VALUE(F5652) = VALUE(RIGHT(Insights!$C$3, 4)), E5652, "")</f>
        <v>#VALUE!</v>
      </c>
      <c r="H5652" s="26" t="e">
        <f t="shared" si="1"/>
        <v>#VALUE!</v>
      </c>
      <c r="I5652" s="1" t="e">
        <f t="shared" si="2"/>
        <v>#VALUE!</v>
      </c>
    </row>
    <row r="5653" spans="1:9" ht="15.75" customHeight="1">
      <c r="A5653" s="26"/>
      <c r="B5653" s="2"/>
      <c r="C5653" s="26"/>
      <c r="D5653" s="26"/>
      <c r="F5653" s="85" t="str">
        <f t="shared" si="0"/>
        <v/>
      </c>
      <c r="G5653" s="1" t="e">
        <f>IF(VALUE(F5653) = VALUE(RIGHT(Insights!$C$3, 4)), E5653, "")</f>
        <v>#VALUE!</v>
      </c>
      <c r="H5653" s="26" t="e">
        <f t="shared" si="1"/>
        <v>#VALUE!</v>
      </c>
      <c r="I5653" s="1" t="e">
        <f t="shared" si="2"/>
        <v>#VALUE!</v>
      </c>
    </row>
    <row r="5654" spans="1:9" ht="15.75" customHeight="1">
      <c r="A5654" s="26"/>
      <c r="B5654" s="2"/>
      <c r="C5654" s="26"/>
      <c r="D5654" s="26"/>
      <c r="F5654" s="85" t="str">
        <f t="shared" si="0"/>
        <v/>
      </c>
      <c r="G5654" s="1" t="e">
        <f>IF(VALUE(F5654) = VALUE(RIGHT(Insights!$C$3, 4)), E5654, "")</f>
        <v>#VALUE!</v>
      </c>
      <c r="H5654" s="26" t="e">
        <f t="shared" si="1"/>
        <v>#VALUE!</v>
      </c>
      <c r="I5654" s="1" t="e">
        <f t="shared" si="2"/>
        <v>#VALUE!</v>
      </c>
    </row>
    <row r="5655" spans="1:9" ht="15.75" customHeight="1">
      <c r="A5655" s="26"/>
      <c r="B5655" s="2"/>
      <c r="C5655" s="26"/>
      <c r="D5655" s="26"/>
      <c r="F5655" s="85" t="str">
        <f t="shared" si="0"/>
        <v/>
      </c>
      <c r="G5655" s="1" t="e">
        <f>IF(VALUE(F5655) = VALUE(RIGHT(Insights!$C$3, 4)), E5655, "")</f>
        <v>#VALUE!</v>
      </c>
      <c r="H5655" s="26" t="e">
        <f t="shared" si="1"/>
        <v>#VALUE!</v>
      </c>
      <c r="I5655" s="1" t="e">
        <f t="shared" si="2"/>
        <v>#VALUE!</v>
      </c>
    </row>
    <row r="5656" spans="1:9" ht="15.75" customHeight="1">
      <c r="A5656" s="26"/>
      <c r="B5656" s="2"/>
      <c r="C5656" s="26"/>
      <c r="D5656" s="26"/>
      <c r="F5656" s="85" t="str">
        <f t="shared" si="0"/>
        <v/>
      </c>
      <c r="G5656" s="1" t="e">
        <f>IF(VALUE(F5656) = VALUE(RIGHT(Insights!$C$3, 4)), E5656, "")</f>
        <v>#VALUE!</v>
      </c>
      <c r="H5656" s="26" t="e">
        <f t="shared" si="1"/>
        <v>#VALUE!</v>
      </c>
      <c r="I5656" s="1" t="e">
        <f t="shared" si="2"/>
        <v>#VALUE!</v>
      </c>
    </row>
    <row r="5657" spans="1:9" ht="15.75" customHeight="1">
      <c r="A5657" s="26"/>
      <c r="B5657" s="2"/>
      <c r="C5657" s="26"/>
      <c r="D5657" s="26"/>
      <c r="F5657" s="85" t="str">
        <f t="shared" si="0"/>
        <v/>
      </c>
      <c r="G5657" s="1" t="e">
        <f>IF(VALUE(F5657) = VALUE(RIGHT(Insights!$C$3, 4)), E5657, "")</f>
        <v>#VALUE!</v>
      </c>
      <c r="H5657" s="26" t="e">
        <f t="shared" si="1"/>
        <v>#VALUE!</v>
      </c>
      <c r="I5657" s="1" t="e">
        <f t="shared" si="2"/>
        <v>#VALUE!</v>
      </c>
    </row>
    <row r="5658" spans="1:9" ht="15.75" customHeight="1">
      <c r="A5658" s="26"/>
      <c r="B5658" s="2"/>
      <c r="C5658" s="26"/>
      <c r="D5658" s="26"/>
      <c r="F5658" s="85" t="str">
        <f t="shared" si="0"/>
        <v/>
      </c>
      <c r="G5658" s="1" t="e">
        <f>IF(VALUE(F5658) = VALUE(RIGHT(Insights!$C$3, 4)), E5658, "")</f>
        <v>#VALUE!</v>
      </c>
      <c r="H5658" s="26" t="e">
        <f t="shared" si="1"/>
        <v>#VALUE!</v>
      </c>
      <c r="I5658" s="1" t="e">
        <f t="shared" si="2"/>
        <v>#VALUE!</v>
      </c>
    </row>
    <row r="5659" spans="1:9" ht="15.75" customHeight="1">
      <c r="A5659" s="26"/>
      <c r="B5659" s="2"/>
      <c r="C5659" s="26"/>
      <c r="D5659" s="26"/>
      <c r="F5659" s="85" t="str">
        <f t="shared" si="0"/>
        <v/>
      </c>
      <c r="G5659" s="1" t="e">
        <f>IF(VALUE(F5659) = VALUE(RIGHT(Insights!$C$3, 4)), E5659, "")</f>
        <v>#VALUE!</v>
      </c>
      <c r="H5659" s="26" t="e">
        <f t="shared" si="1"/>
        <v>#VALUE!</v>
      </c>
      <c r="I5659" s="1" t="e">
        <f t="shared" si="2"/>
        <v>#VALUE!</v>
      </c>
    </row>
    <row r="5660" spans="1:9" ht="15.75" customHeight="1">
      <c r="A5660" s="26"/>
      <c r="B5660" s="2"/>
      <c r="C5660" s="26"/>
      <c r="D5660" s="26"/>
      <c r="F5660" s="85" t="str">
        <f t="shared" si="0"/>
        <v/>
      </c>
      <c r="G5660" s="1" t="e">
        <f>IF(VALUE(F5660) = VALUE(RIGHT(Insights!$C$3, 4)), E5660, "")</f>
        <v>#VALUE!</v>
      </c>
      <c r="H5660" s="26" t="e">
        <f t="shared" si="1"/>
        <v>#VALUE!</v>
      </c>
      <c r="I5660" s="1" t="e">
        <f t="shared" si="2"/>
        <v>#VALUE!</v>
      </c>
    </row>
    <row r="5661" spans="1:9" ht="15.75" customHeight="1">
      <c r="A5661" s="26"/>
      <c r="B5661" s="2"/>
      <c r="C5661" s="26"/>
      <c r="D5661" s="26"/>
      <c r="F5661" s="85" t="str">
        <f t="shared" si="0"/>
        <v/>
      </c>
      <c r="G5661" s="1" t="e">
        <f>IF(VALUE(F5661) = VALUE(RIGHT(Insights!$C$3, 4)), E5661, "")</f>
        <v>#VALUE!</v>
      </c>
      <c r="H5661" s="26" t="e">
        <f t="shared" si="1"/>
        <v>#VALUE!</v>
      </c>
      <c r="I5661" s="1" t="e">
        <f t="shared" si="2"/>
        <v>#VALUE!</v>
      </c>
    </row>
    <row r="5662" spans="1:9" ht="15.75" customHeight="1">
      <c r="A5662" s="26"/>
      <c r="B5662" s="2"/>
      <c r="C5662" s="26"/>
      <c r="D5662" s="26"/>
      <c r="F5662" s="85" t="str">
        <f t="shared" si="0"/>
        <v/>
      </c>
      <c r="G5662" s="1" t="e">
        <f>IF(VALUE(F5662) = VALUE(RIGHT(Insights!$C$3, 4)), E5662, "")</f>
        <v>#VALUE!</v>
      </c>
      <c r="H5662" s="26" t="e">
        <f t="shared" si="1"/>
        <v>#VALUE!</v>
      </c>
      <c r="I5662" s="1" t="e">
        <f t="shared" si="2"/>
        <v>#VALUE!</v>
      </c>
    </row>
    <row r="5663" spans="1:9" ht="15.75" customHeight="1">
      <c r="A5663" s="26"/>
      <c r="B5663" s="2"/>
      <c r="C5663" s="26"/>
      <c r="D5663" s="26"/>
      <c r="F5663" s="85" t="str">
        <f t="shared" si="0"/>
        <v/>
      </c>
      <c r="G5663" s="1" t="e">
        <f>IF(VALUE(F5663) = VALUE(RIGHT(Insights!$C$3, 4)), E5663, "")</f>
        <v>#VALUE!</v>
      </c>
      <c r="H5663" s="26" t="e">
        <f t="shared" si="1"/>
        <v>#VALUE!</v>
      </c>
      <c r="I5663" s="1" t="e">
        <f t="shared" si="2"/>
        <v>#VALUE!</v>
      </c>
    </row>
    <row r="5664" spans="1:9" ht="15.75" customHeight="1">
      <c r="A5664" s="26"/>
      <c r="B5664" s="2"/>
      <c r="C5664" s="26"/>
      <c r="D5664" s="26"/>
      <c r="F5664" s="85" t="str">
        <f t="shared" si="0"/>
        <v/>
      </c>
      <c r="G5664" s="1" t="e">
        <f>IF(VALUE(F5664) = VALUE(RIGHT(Insights!$C$3, 4)), E5664, "")</f>
        <v>#VALUE!</v>
      </c>
      <c r="H5664" s="26" t="e">
        <f t="shared" si="1"/>
        <v>#VALUE!</v>
      </c>
      <c r="I5664" s="1" t="e">
        <f t="shared" si="2"/>
        <v>#VALUE!</v>
      </c>
    </row>
    <row r="5665" spans="1:9" ht="15.75" customHeight="1">
      <c r="A5665" s="26"/>
      <c r="B5665" s="2"/>
      <c r="C5665" s="26"/>
      <c r="D5665" s="26"/>
      <c r="F5665" s="85" t="str">
        <f t="shared" si="0"/>
        <v/>
      </c>
      <c r="G5665" s="1" t="e">
        <f>IF(VALUE(F5665) = VALUE(RIGHT(Insights!$C$3, 4)), E5665, "")</f>
        <v>#VALUE!</v>
      </c>
      <c r="H5665" s="26" t="e">
        <f t="shared" si="1"/>
        <v>#VALUE!</v>
      </c>
      <c r="I5665" s="1" t="e">
        <f t="shared" si="2"/>
        <v>#VALUE!</v>
      </c>
    </row>
    <row r="5666" spans="1:9" ht="15.75" customHeight="1">
      <c r="A5666" s="26"/>
      <c r="B5666" s="2"/>
      <c r="C5666" s="26"/>
      <c r="D5666" s="26"/>
      <c r="F5666" s="85" t="str">
        <f t="shared" si="0"/>
        <v/>
      </c>
      <c r="G5666" s="1" t="e">
        <f>IF(VALUE(F5666) = VALUE(RIGHT(Insights!$C$3, 4)), E5666, "")</f>
        <v>#VALUE!</v>
      </c>
      <c r="H5666" s="26" t="e">
        <f t="shared" si="1"/>
        <v>#VALUE!</v>
      </c>
      <c r="I5666" s="1" t="e">
        <f t="shared" si="2"/>
        <v>#VALUE!</v>
      </c>
    </row>
    <row r="5667" spans="1:9" ht="15.75" customHeight="1">
      <c r="A5667" s="26"/>
      <c r="B5667" s="2"/>
      <c r="C5667" s="26"/>
      <c r="D5667" s="26"/>
      <c r="F5667" s="85" t="str">
        <f t="shared" si="0"/>
        <v/>
      </c>
      <c r="G5667" s="1" t="e">
        <f>IF(VALUE(F5667) = VALUE(RIGHT(Insights!$C$3, 4)), E5667, "")</f>
        <v>#VALUE!</v>
      </c>
      <c r="H5667" s="26" t="e">
        <f t="shared" si="1"/>
        <v>#VALUE!</v>
      </c>
      <c r="I5667" s="1" t="e">
        <f t="shared" si="2"/>
        <v>#VALUE!</v>
      </c>
    </row>
    <row r="5668" spans="1:9" ht="15.75" customHeight="1">
      <c r="A5668" s="26"/>
      <c r="B5668" s="2"/>
      <c r="C5668" s="26"/>
      <c r="D5668" s="26"/>
      <c r="F5668" s="85" t="str">
        <f t="shared" si="0"/>
        <v/>
      </c>
      <c r="G5668" s="1" t="e">
        <f>IF(VALUE(F5668) = VALUE(RIGHT(Insights!$C$3, 4)), E5668, "")</f>
        <v>#VALUE!</v>
      </c>
      <c r="H5668" s="26" t="e">
        <f t="shared" si="1"/>
        <v>#VALUE!</v>
      </c>
      <c r="I5668" s="1" t="e">
        <f t="shared" si="2"/>
        <v>#VALUE!</v>
      </c>
    </row>
    <row r="5669" spans="1:9" ht="15.75" customHeight="1">
      <c r="A5669" s="26"/>
      <c r="B5669" s="2"/>
      <c r="C5669" s="26"/>
      <c r="D5669" s="26"/>
      <c r="F5669" s="85" t="str">
        <f t="shared" si="0"/>
        <v/>
      </c>
      <c r="G5669" s="1" t="e">
        <f>IF(VALUE(F5669) = VALUE(RIGHT(Insights!$C$3, 4)), E5669, "")</f>
        <v>#VALUE!</v>
      </c>
      <c r="H5669" s="26" t="e">
        <f t="shared" si="1"/>
        <v>#VALUE!</v>
      </c>
      <c r="I5669" s="1" t="e">
        <f t="shared" si="2"/>
        <v>#VALUE!</v>
      </c>
    </row>
    <row r="5670" spans="1:9" ht="15.75" customHeight="1">
      <c r="A5670" s="26"/>
      <c r="B5670" s="2"/>
      <c r="C5670" s="26"/>
      <c r="D5670" s="26"/>
      <c r="F5670" s="85" t="str">
        <f t="shared" si="0"/>
        <v/>
      </c>
      <c r="G5670" s="1" t="e">
        <f>IF(VALUE(F5670) = VALUE(RIGHT(Insights!$C$3, 4)), E5670, "")</f>
        <v>#VALUE!</v>
      </c>
      <c r="H5670" s="26" t="e">
        <f t="shared" si="1"/>
        <v>#VALUE!</v>
      </c>
      <c r="I5670" s="1" t="e">
        <f t="shared" si="2"/>
        <v>#VALUE!</v>
      </c>
    </row>
    <row r="5671" spans="1:9" ht="15.75" customHeight="1">
      <c r="A5671" s="26"/>
      <c r="B5671" s="2"/>
      <c r="C5671" s="26"/>
      <c r="D5671" s="26"/>
      <c r="F5671" s="85" t="str">
        <f t="shared" si="0"/>
        <v/>
      </c>
      <c r="G5671" s="1" t="e">
        <f>IF(VALUE(F5671) = VALUE(RIGHT(Insights!$C$3, 4)), E5671, "")</f>
        <v>#VALUE!</v>
      </c>
      <c r="H5671" s="26" t="e">
        <f t="shared" si="1"/>
        <v>#VALUE!</v>
      </c>
      <c r="I5671" s="1" t="e">
        <f t="shared" si="2"/>
        <v>#VALUE!</v>
      </c>
    </row>
    <row r="5672" spans="1:9" ht="15.75" customHeight="1">
      <c r="A5672" s="26"/>
      <c r="B5672" s="2"/>
      <c r="C5672" s="26"/>
      <c r="D5672" s="26"/>
      <c r="F5672" s="85" t="str">
        <f t="shared" si="0"/>
        <v/>
      </c>
      <c r="G5672" s="1" t="e">
        <f>IF(VALUE(F5672) = VALUE(RIGHT(Insights!$C$3, 4)), E5672, "")</f>
        <v>#VALUE!</v>
      </c>
      <c r="H5672" s="26" t="e">
        <f t="shared" si="1"/>
        <v>#VALUE!</v>
      </c>
      <c r="I5672" s="1" t="e">
        <f t="shared" si="2"/>
        <v>#VALUE!</v>
      </c>
    </row>
    <row r="5673" spans="1:9" ht="15.75" customHeight="1">
      <c r="A5673" s="26"/>
      <c r="B5673" s="2"/>
      <c r="C5673" s="26"/>
      <c r="D5673" s="26"/>
      <c r="F5673" s="85" t="str">
        <f t="shared" si="0"/>
        <v/>
      </c>
      <c r="G5673" s="1" t="e">
        <f>IF(VALUE(F5673) = VALUE(RIGHT(Insights!$C$3, 4)), E5673, "")</f>
        <v>#VALUE!</v>
      </c>
      <c r="H5673" s="26" t="e">
        <f t="shared" si="1"/>
        <v>#VALUE!</v>
      </c>
      <c r="I5673" s="1" t="e">
        <f t="shared" si="2"/>
        <v>#VALUE!</v>
      </c>
    </row>
    <row r="5674" spans="1:9" ht="15.75" customHeight="1">
      <c r="A5674" s="26"/>
      <c r="B5674" s="2"/>
      <c r="C5674" s="26"/>
      <c r="D5674" s="26"/>
      <c r="F5674" s="85" t="str">
        <f t="shared" si="0"/>
        <v/>
      </c>
      <c r="G5674" s="1" t="e">
        <f>IF(VALUE(F5674) = VALUE(RIGHT(Insights!$C$3, 4)), E5674, "")</f>
        <v>#VALUE!</v>
      </c>
      <c r="H5674" s="26" t="e">
        <f t="shared" si="1"/>
        <v>#VALUE!</v>
      </c>
      <c r="I5674" s="1" t="e">
        <f t="shared" si="2"/>
        <v>#VALUE!</v>
      </c>
    </row>
    <row r="5675" spans="1:9" ht="15.75" customHeight="1">
      <c r="A5675" s="26"/>
      <c r="B5675" s="2"/>
      <c r="C5675" s="26"/>
      <c r="D5675" s="26"/>
      <c r="F5675" s="85" t="str">
        <f t="shared" si="0"/>
        <v/>
      </c>
      <c r="G5675" s="1" t="e">
        <f>IF(VALUE(F5675) = VALUE(RIGHT(Insights!$C$3, 4)), E5675, "")</f>
        <v>#VALUE!</v>
      </c>
      <c r="H5675" s="26" t="e">
        <f t="shared" si="1"/>
        <v>#VALUE!</v>
      </c>
      <c r="I5675" s="1" t="e">
        <f t="shared" si="2"/>
        <v>#VALUE!</v>
      </c>
    </row>
    <row r="5676" spans="1:9" ht="15.75" customHeight="1">
      <c r="A5676" s="26"/>
      <c r="B5676" s="2"/>
      <c r="C5676" s="26"/>
      <c r="D5676" s="26"/>
      <c r="F5676" s="85" t="str">
        <f t="shared" si="0"/>
        <v/>
      </c>
      <c r="G5676" s="1" t="e">
        <f>IF(VALUE(F5676) = VALUE(RIGHT(Insights!$C$3, 4)), E5676, "")</f>
        <v>#VALUE!</v>
      </c>
      <c r="H5676" s="26" t="e">
        <f t="shared" si="1"/>
        <v>#VALUE!</v>
      </c>
      <c r="I5676" s="1" t="e">
        <f t="shared" si="2"/>
        <v>#VALUE!</v>
      </c>
    </row>
    <row r="5677" spans="1:9" ht="15.75" customHeight="1">
      <c r="A5677" s="26"/>
      <c r="B5677" s="2"/>
      <c r="C5677" s="26"/>
      <c r="D5677" s="26"/>
      <c r="F5677" s="85" t="str">
        <f t="shared" si="0"/>
        <v/>
      </c>
      <c r="G5677" s="1" t="e">
        <f>IF(VALUE(F5677) = VALUE(RIGHT(Insights!$C$3, 4)), E5677, "")</f>
        <v>#VALUE!</v>
      </c>
      <c r="H5677" s="26" t="e">
        <f t="shared" si="1"/>
        <v>#VALUE!</v>
      </c>
      <c r="I5677" s="1" t="e">
        <f t="shared" si="2"/>
        <v>#VALUE!</v>
      </c>
    </row>
    <row r="5678" spans="1:9" ht="15.75" customHeight="1">
      <c r="A5678" s="26"/>
      <c r="B5678" s="2"/>
      <c r="C5678" s="26"/>
      <c r="D5678" s="26"/>
      <c r="F5678" s="85" t="str">
        <f t="shared" si="0"/>
        <v/>
      </c>
      <c r="G5678" s="1" t="e">
        <f>IF(VALUE(F5678) = VALUE(RIGHT(Insights!$C$3, 4)), E5678, "")</f>
        <v>#VALUE!</v>
      </c>
      <c r="H5678" s="26" t="e">
        <f t="shared" si="1"/>
        <v>#VALUE!</v>
      </c>
      <c r="I5678" s="1" t="e">
        <f t="shared" si="2"/>
        <v>#VALUE!</v>
      </c>
    </row>
    <row r="5679" spans="1:9" ht="15.75" customHeight="1">
      <c r="A5679" s="26"/>
      <c r="B5679" s="2"/>
      <c r="C5679" s="26"/>
      <c r="D5679" s="26"/>
      <c r="F5679" s="85" t="str">
        <f t="shared" si="0"/>
        <v/>
      </c>
      <c r="G5679" s="1" t="e">
        <f>IF(VALUE(F5679) = VALUE(RIGHT(Insights!$C$3, 4)), E5679, "")</f>
        <v>#VALUE!</v>
      </c>
      <c r="H5679" s="26" t="e">
        <f t="shared" si="1"/>
        <v>#VALUE!</v>
      </c>
      <c r="I5679" s="1" t="e">
        <f t="shared" si="2"/>
        <v>#VALUE!</v>
      </c>
    </row>
    <row r="5680" spans="1:9" ht="15.75" customHeight="1">
      <c r="A5680" s="26"/>
      <c r="B5680" s="2"/>
      <c r="C5680" s="26"/>
      <c r="D5680" s="26"/>
      <c r="F5680" s="85" t="str">
        <f t="shared" si="0"/>
        <v/>
      </c>
      <c r="G5680" s="1" t="e">
        <f>IF(VALUE(F5680) = VALUE(RIGHT(Insights!$C$3, 4)), E5680, "")</f>
        <v>#VALUE!</v>
      </c>
      <c r="H5680" s="26" t="e">
        <f t="shared" si="1"/>
        <v>#VALUE!</v>
      </c>
      <c r="I5680" s="1" t="e">
        <f t="shared" si="2"/>
        <v>#VALUE!</v>
      </c>
    </row>
    <row r="5681" spans="1:9" ht="15.75" customHeight="1">
      <c r="A5681" s="26"/>
      <c r="B5681" s="2"/>
      <c r="C5681" s="26"/>
      <c r="D5681" s="26"/>
      <c r="F5681" s="85" t="str">
        <f t="shared" si="0"/>
        <v/>
      </c>
      <c r="G5681" s="1" t="e">
        <f>IF(VALUE(F5681) = VALUE(RIGHT(Insights!$C$3, 4)), E5681, "")</f>
        <v>#VALUE!</v>
      </c>
      <c r="H5681" s="26" t="e">
        <f t="shared" si="1"/>
        <v>#VALUE!</v>
      </c>
      <c r="I5681" s="1" t="e">
        <f t="shared" si="2"/>
        <v>#VALUE!</v>
      </c>
    </row>
    <row r="5682" spans="1:9" ht="15.75" customHeight="1">
      <c r="A5682" s="26"/>
      <c r="B5682" s="2"/>
      <c r="C5682" s="26"/>
      <c r="D5682" s="26"/>
      <c r="F5682" s="85" t="str">
        <f t="shared" si="0"/>
        <v/>
      </c>
      <c r="G5682" s="1" t="e">
        <f>IF(VALUE(F5682) = VALUE(RIGHT(Insights!$C$3, 4)), E5682, "")</f>
        <v>#VALUE!</v>
      </c>
      <c r="H5682" s="26" t="e">
        <f t="shared" si="1"/>
        <v>#VALUE!</v>
      </c>
      <c r="I5682" s="1" t="e">
        <f t="shared" si="2"/>
        <v>#VALUE!</v>
      </c>
    </row>
    <row r="5683" spans="1:9" ht="15.75" customHeight="1">
      <c r="A5683" s="26"/>
      <c r="B5683" s="2"/>
      <c r="C5683" s="26"/>
      <c r="D5683" s="26"/>
      <c r="F5683" s="85" t="str">
        <f t="shared" si="0"/>
        <v/>
      </c>
      <c r="G5683" s="1" t="e">
        <f>IF(VALUE(F5683) = VALUE(RIGHT(Insights!$C$3, 4)), E5683, "")</f>
        <v>#VALUE!</v>
      </c>
      <c r="H5683" s="26" t="e">
        <f t="shared" si="1"/>
        <v>#VALUE!</v>
      </c>
      <c r="I5683" s="1" t="e">
        <f t="shared" si="2"/>
        <v>#VALUE!</v>
      </c>
    </row>
    <row r="5684" spans="1:9" ht="15.75" customHeight="1">
      <c r="A5684" s="26"/>
      <c r="B5684" s="2"/>
      <c r="C5684" s="26"/>
      <c r="D5684" s="26"/>
      <c r="F5684" s="85" t="str">
        <f t="shared" si="0"/>
        <v/>
      </c>
      <c r="G5684" s="1" t="e">
        <f>IF(VALUE(F5684) = VALUE(RIGHT(Insights!$C$3, 4)), E5684, "")</f>
        <v>#VALUE!</v>
      </c>
      <c r="H5684" s="26" t="e">
        <f t="shared" si="1"/>
        <v>#VALUE!</v>
      </c>
      <c r="I5684" s="1" t="e">
        <f t="shared" si="2"/>
        <v>#VALUE!</v>
      </c>
    </row>
    <row r="5685" spans="1:9" ht="15.75" customHeight="1">
      <c r="A5685" s="26"/>
      <c r="B5685" s="2"/>
      <c r="C5685" s="26"/>
      <c r="D5685" s="26"/>
      <c r="F5685" s="85" t="str">
        <f t="shared" si="0"/>
        <v/>
      </c>
      <c r="G5685" s="1" t="e">
        <f>IF(VALUE(F5685) = VALUE(RIGHT(Insights!$C$3, 4)), E5685, "")</f>
        <v>#VALUE!</v>
      </c>
      <c r="H5685" s="26" t="e">
        <f t="shared" si="1"/>
        <v>#VALUE!</v>
      </c>
      <c r="I5685" s="1" t="e">
        <f t="shared" si="2"/>
        <v>#VALUE!</v>
      </c>
    </row>
    <row r="5686" spans="1:9" ht="15.75" customHeight="1">
      <c r="A5686" s="26"/>
      <c r="B5686" s="2"/>
      <c r="C5686" s="26"/>
      <c r="D5686" s="26"/>
      <c r="F5686" s="85" t="str">
        <f t="shared" si="0"/>
        <v/>
      </c>
      <c r="G5686" s="1" t="e">
        <f>IF(VALUE(F5686) = VALUE(RIGHT(Insights!$C$3, 4)), E5686, "")</f>
        <v>#VALUE!</v>
      </c>
      <c r="H5686" s="26" t="e">
        <f t="shared" si="1"/>
        <v>#VALUE!</v>
      </c>
      <c r="I5686" s="1" t="e">
        <f t="shared" si="2"/>
        <v>#VALUE!</v>
      </c>
    </row>
    <row r="5687" spans="1:9" ht="15.75" customHeight="1">
      <c r="A5687" s="26"/>
      <c r="B5687" s="2"/>
      <c r="C5687" s="26"/>
      <c r="D5687" s="26"/>
      <c r="F5687" s="85" t="str">
        <f t="shared" si="0"/>
        <v/>
      </c>
      <c r="G5687" s="1" t="e">
        <f>IF(VALUE(F5687) = VALUE(RIGHT(Insights!$C$3, 4)), E5687, "")</f>
        <v>#VALUE!</v>
      </c>
      <c r="H5687" s="26" t="e">
        <f t="shared" si="1"/>
        <v>#VALUE!</v>
      </c>
      <c r="I5687" s="1" t="e">
        <f t="shared" si="2"/>
        <v>#VALUE!</v>
      </c>
    </row>
    <row r="5688" spans="1:9" ht="15.75" customHeight="1">
      <c r="A5688" s="26"/>
      <c r="B5688" s="2"/>
      <c r="C5688" s="26"/>
      <c r="D5688" s="26"/>
      <c r="F5688" s="85" t="str">
        <f t="shared" si="0"/>
        <v/>
      </c>
      <c r="G5688" s="1" t="e">
        <f>IF(VALUE(F5688) = VALUE(RIGHT(Insights!$C$3, 4)), E5688, "")</f>
        <v>#VALUE!</v>
      </c>
      <c r="H5688" s="26" t="e">
        <f t="shared" si="1"/>
        <v>#VALUE!</v>
      </c>
      <c r="I5688" s="1" t="e">
        <f t="shared" si="2"/>
        <v>#VALUE!</v>
      </c>
    </row>
    <row r="5689" spans="1:9" ht="15.75" customHeight="1">
      <c r="A5689" s="26"/>
      <c r="B5689" s="2"/>
      <c r="C5689" s="26"/>
      <c r="D5689" s="26"/>
      <c r="F5689" s="85" t="str">
        <f t="shared" si="0"/>
        <v/>
      </c>
      <c r="G5689" s="1" t="e">
        <f>IF(VALUE(F5689) = VALUE(RIGHT(Insights!$C$3, 4)), E5689, "")</f>
        <v>#VALUE!</v>
      </c>
      <c r="H5689" s="26" t="e">
        <f t="shared" si="1"/>
        <v>#VALUE!</v>
      </c>
      <c r="I5689" s="1" t="e">
        <f t="shared" si="2"/>
        <v>#VALUE!</v>
      </c>
    </row>
    <row r="5690" spans="1:9" ht="15.75" customHeight="1">
      <c r="A5690" s="26"/>
      <c r="B5690" s="2"/>
      <c r="C5690" s="26"/>
      <c r="D5690" s="26"/>
      <c r="F5690" s="85" t="str">
        <f t="shared" si="0"/>
        <v/>
      </c>
      <c r="G5690" s="1" t="e">
        <f>IF(VALUE(F5690) = VALUE(RIGHT(Insights!$C$3, 4)), E5690, "")</f>
        <v>#VALUE!</v>
      </c>
      <c r="H5690" s="26" t="e">
        <f t="shared" si="1"/>
        <v>#VALUE!</v>
      </c>
      <c r="I5690" s="1" t="e">
        <f t="shared" si="2"/>
        <v>#VALUE!</v>
      </c>
    </row>
    <row r="5691" spans="1:9" ht="15.75" customHeight="1">
      <c r="A5691" s="26"/>
      <c r="B5691" s="2"/>
      <c r="C5691" s="26"/>
      <c r="D5691" s="26"/>
      <c r="F5691" s="85" t="str">
        <f t="shared" si="0"/>
        <v/>
      </c>
      <c r="G5691" s="1" t="e">
        <f>IF(VALUE(F5691) = VALUE(RIGHT(Insights!$C$3, 4)), E5691, "")</f>
        <v>#VALUE!</v>
      </c>
      <c r="H5691" s="26" t="e">
        <f t="shared" si="1"/>
        <v>#VALUE!</v>
      </c>
      <c r="I5691" s="1" t="e">
        <f t="shared" si="2"/>
        <v>#VALUE!</v>
      </c>
    </row>
    <row r="5692" spans="1:9" ht="15.75" customHeight="1">
      <c r="A5692" s="26"/>
      <c r="B5692" s="2"/>
      <c r="C5692" s="26"/>
      <c r="D5692" s="26"/>
      <c r="F5692" s="85" t="str">
        <f t="shared" si="0"/>
        <v/>
      </c>
      <c r="G5692" s="1" t="e">
        <f>IF(VALUE(F5692) = VALUE(RIGHT(Insights!$C$3, 4)), E5692, "")</f>
        <v>#VALUE!</v>
      </c>
      <c r="H5692" s="26" t="e">
        <f t="shared" si="1"/>
        <v>#VALUE!</v>
      </c>
      <c r="I5692" s="1" t="e">
        <f t="shared" si="2"/>
        <v>#VALUE!</v>
      </c>
    </row>
    <row r="5693" spans="1:9" ht="15.75" customHeight="1">
      <c r="A5693" s="26"/>
      <c r="B5693" s="2"/>
      <c r="C5693" s="26"/>
      <c r="D5693" s="26"/>
      <c r="F5693" s="85" t="str">
        <f t="shared" si="0"/>
        <v/>
      </c>
      <c r="G5693" s="1" t="e">
        <f>IF(VALUE(F5693) = VALUE(RIGHT(Insights!$C$3, 4)), E5693, "")</f>
        <v>#VALUE!</v>
      </c>
      <c r="H5693" s="26" t="e">
        <f t="shared" si="1"/>
        <v>#VALUE!</v>
      </c>
      <c r="I5693" s="1" t="e">
        <f t="shared" si="2"/>
        <v>#VALUE!</v>
      </c>
    </row>
    <row r="5694" spans="1:9" ht="15.75" customHeight="1">
      <c r="A5694" s="26"/>
      <c r="B5694" s="2"/>
      <c r="C5694" s="26"/>
      <c r="D5694" s="26"/>
      <c r="F5694" s="85" t="str">
        <f t="shared" si="0"/>
        <v/>
      </c>
      <c r="G5694" s="1" t="e">
        <f>IF(VALUE(F5694) = VALUE(RIGHT(Insights!$C$3, 4)), E5694, "")</f>
        <v>#VALUE!</v>
      </c>
      <c r="H5694" s="26" t="e">
        <f t="shared" si="1"/>
        <v>#VALUE!</v>
      </c>
      <c r="I5694" s="1" t="e">
        <f t="shared" si="2"/>
        <v>#VALUE!</v>
      </c>
    </row>
    <row r="5695" spans="1:9" ht="15.75" customHeight="1">
      <c r="A5695" s="26"/>
      <c r="B5695" s="2"/>
      <c r="C5695" s="26"/>
      <c r="D5695" s="26"/>
      <c r="F5695" s="85" t="str">
        <f t="shared" si="0"/>
        <v/>
      </c>
      <c r="G5695" s="1" t="e">
        <f>IF(VALUE(F5695) = VALUE(RIGHT(Insights!$C$3, 4)), E5695, "")</f>
        <v>#VALUE!</v>
      </c>
      <c r="H5695" s="26" t="e">
        <f t="shared" si="1"/>
        <v>#VALUE!</v>
      </c>
      <c r="I5695" s="1" t="e">
        <f t="shared" si="2"/>
        <v>#VALUE!</v>
      </c>
    </row>
    <row r="5696" spans="1:9" ht="15.75" customHeight="1">
      <c r="A5696" s="26"/>
      <c r="B5696" s="2"/>
      <c r="C5696" s="26"/>
      <c r="D5696" s="26"/>
      <c r="F5696" s="85" t="str">
        <f t="shared" si="0"/>
        <v/>
      </c>
      <c r="G5696" s="1" t="e">
        <f>IF(VALUE(F5696) = VALUE(RIGHT(Insights!$C$3, 4)), E5696, "")</f>
        <v>#VALUE!</v>
      </c>
      <c r="H5696" s="26" t="e">
        <f t="shared" si="1"/>
        <v>#VALUE!</v>
      </c>
      <c r="I5696" s="1" t="e">
        <f t="shared" si="2"/>
        <v>#VALUE!</v>
      </c>
    </row>
    <row r="5697" spans="1:9" ht="15.75" customHeight="1">
      <c r="A5697" s="26"/>
      <c r="B5697" s="2"/>
      <c r="C5697" s="26"/>
      <c r="D5697" s="26"/>
      <c r="F5697" s="85" t="str">
        <f t="shared" si="0"/>
        <v/>
      </c>
      <c r="G5697" s="1" t="e">
        <f>IF(VALUE(F5697) = VALUE(RIGHT(Insights!$C$3, 4)), E5697, "")</f>
        <v>#VALUE!</v>
      </c>
      <c r="H5697" s="26" t="e">
        <f t="shared" si="1"/>
        <v>#VALUE!</v>
      </c>
      <c r="I5697" s="1" t="e">
        <f t="shared" si="2"/>
        <v>#VALUE!</v>
      </c>
    </row>
    <row r="5698" spans="1:9" ht="15.75" customHeight="1">
      <c r="A5698" s="26"/>
      <c r="B5698" s="2"/>
      <c r="C5698" s="26"/>
      <c r="D5698" s="26"/>
      <c r="F5698" s="85" t="str">
        <f t="shared" si="0"/>
        <v/>
      </c>
      <c r="G5698" s="1" t="e">
        <f>IF(VALUE(F5698) = VALUE(RIGHT(Insights!$C$3, 4)), E5698, "")</f>
        <v>#VALUE!</v>
      </c>
      <c r="H5698" s="26" t="e">
        <f t="shared" si="1"/>
        <v>#VALUE!</v>
      </c>
      <c r="I5698" s="1" t="e">
        <f t="shared" si="2"/>
        <v>#VALUE!</v>
      </c>
    </row>
    <row r="5699" spans="1:9" ht="15.75" customHeight="1">
      <c r="A5699" s="26"/>
      <c r="B5699" s="2"/>
      <c r="C5699" s="26"/>
      <c r="D5699" s="26"/>
      <c r="F5699" s="85" t="str">
        <f t="shared" si="0"/>
        <v/>
      </c>
      <c r="G5699" s="1" t="e">
        <f>IF(VALUE(F5699) = VALUE(RIGHT(Insights!$C$3, 4)), E5699, "")</f>
        <v>#VALUE!</v>
      </c>
      <c r="H5699" s="26" t="e">
        <f t="shared" si="1"/>
        <v>#VALUE!</v>
      </c>
      <c r="I5699" s="1" t="e">
        <f t="shared" si="2"/>
        <v>#VALUE!</v>
      </c>
    </row>
    <row r="5700" spans="1:9" ht="15.75" customHeight="1">
      <c r="A5700" s="26"/>
      <c r="B5700" s="2"/>
      <c r="C5700" s="26"/>
      <c r="D5700" s="26"/>
      <c r="F5700" s="85" t="str">
        <f t="shared" si="0"/>
        <v/>
      </c>
      <c r="G5700" s="1" t="e">
        <f>IF(VALUE(F5700) = VALUE(RIGHT(Insights!$C$3, 4)), E5700, "")</f>
        <v>#VALUE!</v>
      </c>
      <c r="H5700" s="26" t="e">
        <f t="shared" si="1"/>
        <v>#VALUE!</v>
      </c>
      <c r="I5700" s="1" t="e">
        <f t="shared" si="2"/>
        <v>#VALUE!</v>
      </c>
    </row>
    <row r="5701" spans="1:9" ht="15.75" customHeight="1">
      <c r="A5701" s="26"/>
      <c r="B5701" s="2"/>
      <c r="C5701" s="26"/>
      <c r="D5701" s="26"/>
      <c r="F5701" s="85" t="str">
        <f t="shared" si="0"/>
        <v/>
      </c>
      <c r="G5701" s="1" t="e">
        <f>IF(VALUE(F5701) = VALUE(RIGHT(Insights!$C$3, 4)), E5701, "")</f>
        <v>#VALUE!</v>
      </c>
      <c r="H5701" s="26" t="e">
        <f t="shared" si="1"/>
        <v>#VALUE!</v>
      </c>
      <c r="I5701" s="1" t="e">
        <f t="shared" si="2"/>
        <v>#VALUE!</v>
      </c>
    </row>
    <row r="5702" spans="1:9" ht="15.75" customHeight="1">
      <c r="A5702" s="26"/>
      <c r="B5702" s="2"/>
      <c r="C5702" s="26"/>
      <c r="D5702" s="26"/>
      <c r="F5702" s="85" t="str">
        <f t="shared" si="0"/>
        <v/>
      </c>
      <c r="G5702" s="1" t="e">
        <f>IF(VALUE(F5702) = VALUE(RIGHT(Insights!$C$3, 4)), E5702, "")</f>
        <v>#VALUE!</v>
      </c>
      <c r="H5702" s="26" t="e">
        <f t="shared" si="1"/>
        <v>#VALUE!</v>
      </c>
      <c r="I5702" s="1" t="e">
        <f t="shared" si="2"/>
        <v>#VALUE!</v>
      </c>
    </row>
    <row r="5703" spans="1:9" ht="15.75" customHeight="1">
      <c r="A5703" s="26"/>
      <c r="B5703" s="2"/>
      <c r="C5703" s="26"/>
      <c r="D5703" s="26"/>
      <c r="F5703" s="85" t="str">
        <f t="shared" si="0"/>
        <v/>
      </c>
      <c r="G5703" s="1" t="e">
        <f>IF(VALUE(F5703) = VALUE(RIGHT(Insights!$C$3, 4)), E5703, "")</f>
        <v>#VALUE!</v>
      </c>
      <c r="H5703" s="26" t="e">
        <f t="shared" si="1"/>
        <v>#VALUE!</v>
      </c>
      <c r="I5703" s="1" t="e">
        <f t="shared" si="2"/>
        <v>#VALUE!</v>
      </c>
    </row>
    <row r="5704" spans="1:9" ht="15.75" customHeight="1">
      <c r="A5704" s="26"/>
      <c r="B5704" s="2"/>
      <c r="C5704" s="26"/>
      <c r="D5704" s="26"/>
      <c r="F5704" s="85" t="str">
        <f t="shared" si="0"/>
        <v/>
      </c>
      <c r="G5704" s="1" t="e">
        <f>IF(VALUE(F5704) = VALUE(RIGHT(Insights!$C$3, 4)), E5704, "")</f>
        <v>#VALUE!</v>
      </c>
      <c r="H5704" s="26" t="e">
        <f t="shared" si="1"/>
        <v>#VALUE!</v>
      </c>
      <c r="I5704" s="1" t="e">
        <f t="shared" si="2"/>
        <v>#VALUE!</v>
      </c>
    </row>
    <row r="5705" spans="1:9" ht="15.75" customHeight="1">
      <c r="A5705" s="26"/>
      <c r="B5705" s="2"/>
      <c r="C5705" s="26"/>
      <c r="D5705" s="26"/>
      <c r="F5705" s="85" t="str">
        <f t="shared" si="0"/>
        <v/>
      </c>
      <c r="G5705" s="1" t="e">
        <f>IF(VALUE(F5705) = VALUE(RIGHT(Insights!$C$3, 4)), E5705, "")</f>
        <v>#VALUE!</v>
      </c>
      <c r="H5705" s="26" t="e">
        <f t="shared" si="1"/>
        <v>#VALUE!</v>
      </c>
      <c r="I5705" s="1" t="e">
        <f t="shared" si="2"/>
        <v>#VALUE!</v>
      </c>
    </row>
    <row r="5706" spans="1:9" ht="15.75" customHeight="1">
      <c r="A5706" s="26"/>
      <c r="B5706" s="2"/>
      <c r="C5706" s="26"/>
      <c r="D5706" s="26"/>
      <c r="F5706" s="85" t="str">
        <f t="shared" si="0"/>
        <v/>
      </c>
      <c r="G5706" s="1" t="e">
        <f>IF(VALUE(F5706) = VALUE(RIGHT(Insights!$C$3, 4)), E5706, "")</f>
        <v>#VALUE!</v>
      </c>
      <c r="H5706" s="26" t="e">
        <f t="shared" si="1"/>
        <v>#VALUE!</v>
      </c>
      <c r="I5706" s="1" t="e">
        <f t="shared" si="2"/>
        <v>#VALUE!</v>
      </c>
    </row>
    <row r="5707" spans="1:9" ht="15.75" customHeight="1">
      <c r="A5707" s="26"/>
      <c r="B5707" s="2"/>
      <c r="C5707" s="26"/>
      <c r="D5707" s="26"/>
      <c r="F5707" s="85" t="str">
        <f t="shared" si="0"/>
        <v/>
      </c>
      <c r="G5707" s="1" t="e">
        <f>IF(VALUE(F5707) = VALUE(RIGHT(Insights!$C$3, 4)), E5707, "")</f>
        <v>#VALUE!</v>
      </c>
      <c r="H5707" s="26" t="e">
        <f t="shared" si="1"/>
        <v>#VALUE!</v>
      </c>
      <c r="I5707" s="1" t="e">
        <f t="shared" si="2"/>
        <v>#VALUE!</v>
      </c>
    </row>
    <row r="5708" spans="1:9" ht="15.75" customHeight="1">
      <c r="A5708" s="26"/>
      <c r="B5708" s="2"/>
      <c r="C5708" s="26"/>
      <c r="D5708" s="26"/>
      <c r="F5708" s="85" t="str">
        <f t="shared" si="0"/>
        <v/>
      </c>
      <c r="G5708" s="1" t="e">
        <f>IF(VALUE(F5708) = VALUE(RIGHT(Insights!$C$3, 4)), E5708, "")</f>
        <v>#VALUE!</v>
      </c>
      <c r="H5708" s="26" t="e">
        <f t="shared" si="1"/>
        <v>#VALUE!</v>
      </c>
      <c r="I5708" s="1" t="e">
        <f t="shared" si="2"/>
        <v>#VALUE!</v>
      </c>
    </row>
    <row r="5709" spans="1:9" ht="15.75" customHeight="1">
      <c r="A5709" s="26"/>
      <c r="B5709" s="2"/>
      <c r="C5709" s="26"/>
      <c r="D5709" s="26"/>
      <c r="F5709" s="85" t="str">
        <f t="shared" si="0"/>
        <v/>
      </c>
      <c r="G5709" s="1" t="e">
        <f>IF(VALUE(F5709) = VALUE(RIGHT(Insights!$C$3, 4)), E5709, "")</f>
        <v>#VALUE!</v>
      </c>
      <c r="H5709" s="26" t="e">
        <f t="shared" si="1"/>
        <v>#VALUE!</v>
      </c>
      <c r="I5709" s="1" t="e">
        <f t="shared" si="2"/>
        <v>#VALUE!</v>
      </c>
    </row>
    <row r="5710" spans="1:9" ht="15.75" customHeight="1">
      <c r="A5710" s="26"/>
      <c r="B5710" s="2"/>
      <c r="C5710" s="26"/>
      <c r="D5710" s="26"/>
      <c r="F5710" s="85" t="str">
        <f t="shared" si="0"/>
        <v/>
      </c>
      <c r="G5710" s="1" t="e">
        <f>IF(VALUE(F5710) = VALUE(RIGHT(Insights!$C$3, 4)), E5710, "")</f>
        <v>#VALUE!</v>
      </c>
      <c r="H5710" s="26" t="e">
        <f t="shared" si="1"/>
        <v>#VALUE!</v>
      </c>
      <c r="I5710" s="1" t="e">
        <f t="shared" si="2"/>
        <v>#VALUE!</v>
      </c>
    </row>
    <row r="5711" spans="1:9" ht="15.75" customHeight="1">
      <c r="A5711" s="26"/>
      <c r="B5711" s="2"/>
      <c r="C5711" s="26"/>
      <c r="D5711" s="26"/>
      <c r="F5711" s="85" t="str">
        <f t="shared" si="0"/>
        <v/>
      </c>
      <c r="G5711" s="1" t="e">
        <f>IF(VALUE(F5711) = VALUE(RIGHT(Insights!$C$3, 4)), E5711, "")</f>
        <v>#VALUE!</v>
      </c>
      <c r="H5711" s="26" t="e">
        <f t="shared" si="1"/>
        <v>#VALUE!</v>
      </c>
      <c r="I5711" s="1" t="e">
        <f t="shared" si="2"/>
        <v>#VALUE!</v>
      </c>
    </row>
    <row r="5712" spans="1:9" ht="15.75" customHeight="1">
      <c r="A5712" s="26"/>
      <c r="B5712" s="2"/>
      <c r="C5712" s="26"/>
      <c r="D5712" s="26"/>
      <c r="F5712" s="85" t="str">
        <f t="shared" si="0"/>
        <v/>
      </c>
      <c r="G5712" s="1" t="e">
        <f>IF(VALUE(F5712) = VALUE(RIGHT(Insights!$C$3, 4)), E5712, "")</f>
        <v>#VALUE!</v>
      </c>
      <c r="H5712" s="26" t="e">
        <f t="shared" si="1"/>
        <v>#VALUE!</v>
      </c>
      <c r="I5712" s="1" t="e">
        <f t="shared" si="2"/>
        <v>#VALUE!</v>
      </c>
    </row>
    <row r="5713" spans="1:9" ht="15.75" customHeight="1">
      <c r="A5713" s="26"/>
      <c r="B5713" s="2"/>
      <c r="C5713" s="26"/>
      <c r="D5713" s="26"/>
      <c r="F5713" s="85" t="str">
        <f t="shared" si="0"/>
        <v/>
      </c>
      <c r="G5713" s="1" t="e">
        <f>IF(VALUE(F5713) = VALUE(RIGHT(Insights!$C$3, 4)), E5713, "")</f>
        <v>#VALUE!</v>
      </c>
      <c r="H5713" s="26" t="e">
        <f t="shared" si="1"/>
        <v>#VALUE!</v>
      </c>
      <c r="I5713" s="1" t="e">
        <f t="shared" si="2"/>
        <v>#VALUE!</v>
      </c>
    </row>
    <row r="5714" spans="1:9" ht="15.75" customHeight="1">
      <c r="A5714" s="26"/>
      <c r="B5714" s="2"/>
      <c r="C5714" s="26"/>
      <c r="D5714" s="26"/>
      <c r="F5714" s="85" t="str">
        <f t="shared" si="0"/>
        <v/>
      </c>
      <c r="G5714" s="1" t="e">
        <f>IF(VALUE(F5714) = VALUE(RIGHT(Insights!$C$3, 4)), E5714, "")</f>
        <v>#VALUE!</v>
      </c>
      <c r="H5714" s="26" t="e">
        <f t="shared" si="1"/>
        <v>#VALUE!</v>
      </c>
      <c r="I5714" s="1" t="e">
        <f t="shared" si="2"/>
        <v>#VALUE!</v>
      </c>
    </row>
    <row r="5715" spans="1:9" ht="15.75" customHeight="1">
      <c r="A5715" s="26"/>
      <c r="B5715" s="2"/>
      <c r="C5715" s="26"/>
      <c r="D5715" s="26"/>
      <c r="F5715" s="85" t="str">
        <f t="shared" si="0"/>
        <v/>
      </c>
      <c r="G5715" s="1" t="e">
        <f>IF(VALUE(F5715) = VALUE(RIGHT(Insights!$C$3, 4)), E5715, "")</f>
        <v>#VALUE!</v>
      </c>
      <c r="H5715" s="26" t="e">
        <f t="shared" si="1"/>
        <v>#VALUE!</v>
      </c>
      <c r="I5715" s="1" t="e">
        <f t="shared" si="2"/>
        <v>#VALUE!</v>
      </c>
    </row>
    <row r="5716" spans="1:9" ht="15.75" customHeight="1">
      <c r="A5716" s="26"/>
      <c r="B5716" s="2"/>
      <c r="C5716" s="26"/>
      <c r="D5716" s="26"/>
      <c r="F5716" s="85" t="str">
        <f t="shared" si="0"/>
        <v/>
      </c>
      <c r="G5716" s="1" t="e">
        <f>IF(VALUE(F5716) = VALUE(RIGHT(Insights!$C$3, 4)), E5716, "")</f>
        <v>#VALUE!</v>
      </c>
      <c r="H5716" s="26" t="e">
        <f t="shared" si="1"/>
        <v>#VALUE!</v>
      </c>
      <c r="I5716" s="1" t="e">
        <f t="shared" si="2"/>
        <v>#VALUE!</v>
      </c>
    </row>
    <row r="5717" spans="1:9" ht="15.75" customHeight="1">
      <c r="A5717" s="26"/>
      <c r="B5717" s="2"/>
      <c r="C5717" s="26"/>
      <c r="D5717" s="26"/>
      <c r="F5717" s="85" t="str">
        <f t="shared" si="0"/>
        <v/>
      </c>
      <c r="G5717" s="1" t="e">
        <f>IF(VALUE(F5717) = VALUE(RIGHT(Insights!$C$3, 4)), E5717, "")</f>
        <v>#VALUE!</v>
      </c>
      <c r="H5717" s="26" t="e">
        <f t="shared" si="1"/>
        <v>#VALUE!</v>
      </c>
      <c r="I5717" s="1" t="e">
        <f t="shared" si="2"/>
        <v>#VALUE!</v>
      </c>
    </row>
    <row r="5718" spans="1:9" ht="15.75" customHeight="1">
      <c r="A5718" s="26"/>
      <c r="B5718" s="2"/>
      <c r="C5718" s="26"/>
      <c r="D5718" s="26"/>
      <c r="F5718" s="85" t="str">
        <f t="shared" si="0"/>
        <v/>
      </c>
      <c r="G5718" s="1" t="e">
        <f>IF(VALUE(F5718) = VALUE(RIGHT(Insights!$C$3, 4)), E5718, "")</f>
        <v>#VALUE!</v>
      </c>
      <c r="H5718" s="26" t="e">
        <f t="shared" si="1"/>
        <v>#VALUE!</v>
      </c>
      <c r="I5718" s="1" t="e">
        <f t="shared" si="2"/>
        <v>#VALUE!</v>
      </c>
    </row>
    <row r="5719" spans="1:9" ht="15.75" customHeight="1">
      <c r="A5719" s="26"/>
      <c r="B5719" s="2"/>
      <c r="C5719" s="26"/>
      <c r="D5719" s="26"/>
      <c r="F5719" s="85" t="str">
        <f t="shared" si="0"/>
        <v/>
      </c>
      <c r="G5719" s="1" t="e">
        <f>IF(VALUE(F5719) = VALUE(RIGHT(Insights!$C$3, 4)), E5719, "")</f>
        <v>#VALUE!</v>
      </c>
      <c r="H5719" s="26" t="e">
        <f t="shared" si="1"/>
        <v>#VALUE!</v>
      </c>
      <c r="I5719" s="1" t="e">
        <f t="shared" si="2"/>
        <v>#VALUE!</v>
      </c>
    </row>
    <row r="5720" spans="1:9" ht="15.75" customHeight="1">
      <c r="A5720" s="26"/>
      <c r="B5720" s="2"/>
      <c r="C5720" s="26"/>
      <c r="D5720" s="26"/>
      <c r="F5720" s="85" t="str">
        <f t="shared" si="0"/>
        <v/>
      </c>
      <c r="G5720" s="1" t="e">
        <f>IF(VALUE(F5720) = VALUE(RIGHT(Insights!$C$3, 4)), E5720, "")</f>
        <v>#VALUE!</v>
      </c>
      <c r="H5720" s="26" t="e">
        <f t="shared" si="1"/>
        <v>#VALUE!</v>
      </c>
      <c r="I5720" s="1" t="e">
        <f t="shared" si="2"/>
        <v>#VALUE!</v>
      </c>
    </row>
    <row r="5721" spans="1:9" ht="15.75" customHeight="1">
      <c r="A5721" s="26"/>
      <c r="B5721" s="2"/>
      <c r="C5721" s="26"/>
      <c r="D5721" s="26"/>
      <c r="F5721" s="85" t="str">
        <f t="shared" si="0"/>
        <v/>
      </c>
      <c r="G5721" s="1" t="e">
        <f>IF(VALUE(F5721) = VALUE(RIGHT(Insights!$C$3, 4)), E5721, "")</f>
        <v>#VALUE!</v>
      </c>
      <c r="H5721" s="26" t="e">
        <f t="shared" si="1"/>
        <v>#VALUE!</v>
      </c>
      <c r="I5721" s="1" t="e">
        <f t="shared" si="2"/>
        <v>#VALUE!</v>
      </c>
    </row>
    <row r="5722" spans="1:9" ht="15.75" customHeight="1">
      <c r="A5722" s="26"/>
      <c r="B5722" s="2"/>
      <c r="C5722" s="26"/>
      <c r="D5722" s="26"/>
      <c r="F5722" s="85" t="str">
        <f t="shared" si="0"/>
        <v/>
      </c>
      <c r="G5722" s="1" t="e">
        <f>IF(VALUE(F5722) = VALUE(RIGHT(Insights!$C$3, 4)), E5722, "")</f>
        <v>#VALUE!</v>
      </c>
      <c r="H5722" s="26" t="e">
        <f t="shared" si="1"/>
        <v>#VALUE!</v>
      </c>
      <c r="I5722" s="1" t="e">
        <f t="shared" si="2"/>
        <v>#VALUE!</v>
      </c>
    </row>
    <row r="5723" spans="1:9" ht="15.75" customHeight="1">
      <c r="A5723" s="26"/>
      <c r="B5723" s="2"/>
      <c r="C5723" s="26"/>
      <c r="D5723" s="26"/>
      <c r="F5723" s="85" t="str">
        <f t="shared" si="0"/>
        <v/>
      </c>
      <c r="G5723" s="1" t="e">
        <f>IF(VALUE(F5723) = VALUE(RIGHT(Insights!$C$3, 4)), E5723, "")</f>
        <v>#VALUE!</v>
      </c>
      <c r="H5723" s="26" t="e">
        <f t="shared" si="1"/>
        <v>#VALUE!</v>
      </c>
      <c r="I5723" s="1" t="e">
        <f t="shared" si="2"/>
        <v>#VALUE!</v>
      </c>
    </row>
    <row r="5724" spans="1:9" ht="15.75" customHeight="1">
      <c r="A5724" s="26"/>
      <c r="B5724" s="2"/>
      <c r="C5724" s="26"/>
      <c r="D5724" s="26"/>
      <c r="F5724" s="85" t="str">
        <f t="shared" si="0"/>
        <v/>
      </c>
      <c r="G5724" s="1" t="e">
        <f>IF(VALUE(F5724) = VALUE(RIGHT(Insights!$C$3, 4)), E5724, "")</f>
        <v>#VALUE!</v>
      </c>
      <c r="H5724" s="26" t="e">
        <f t="shared" si="1"/>
        <v>#VALUE!</v>
      </c>
      <c r="I5724" s="1" t="e">
        <f t="shared" si="2"/>
        <v>#VALUE!</v>
      </c>
    </row>
    <row r="5725" spans="1:9" ht="15.75" customHeight="1">
      <c r="A5725" s="26"/>
      <c r="B5725" s="2"/>
      <c r="C5725" s="26"/>
      <c r="D5725" s="26"/>
      <c r="F5725" s="85" t="str">
        <f t="shared" si="0"/>
        <v/>
      </c>
      <c r="G5725" s="1" t="e">
        <f>IF(VALUE(F5725) = VALUE(RIGHT(Insights!$C$3, 4)), E5725, "")</f>
        <v>#VALUE!</v>
      </c>
      <c r="H5725" s="26" t="e">
        <f t="shared" si="1"/>
        <v>#VALUE!</v>
      </c>
      <c r="I5725" s="1" t="e">
        <f t="shared" si="2"/>
        <v>#VALUE!</v>
      </c>
    </row>
    <row r="5726" spans="1:9" ht="15.75" customHeight="1">
      <c r="A5726" s="26"/>
      <c r="B5726" s="2"/>
      <c r="C5726" s="26"/>
      <c r="D5726" s="26"/>
      <c r="F5726" s="85" t="str">
        <f t="shared" si="0"/>
        <v/>
      </c>
      <c r="G5726" s="1" t="e">
        <f>IF(VALUE(F5726) = VALUE(RIGHT(Insights!$C$3, 4)), E5726, "")</f>
        <v>#VALUE!</v>
      </c>
      <c r="H5726" s="26" t="e">
        <f t="shared" si="1"/>
        <v>#VALUE!</v>
      </c>
      <c r="I5726" s="1" t="e">
        <f t="shared" si="2"/>
        <v>#VALUE!</v>
      </c>
    </row>
    <row r="5727" spans="1:9" ht="15.75" customHeight="1">
      <c r="A5727" s="26"/>
      <c r="B5727" s="2"/>
      <c r="C5727" s="26"/>
      <c r="D5727" s="26"/>
      <c r="F5727" s="85" t="str">
        <f t="shared" si="0"/>
        <v/>
      </c>
      <c r="G5727" s="1" t="e">
        <f>IF(VALUE(F5727) = VALUE(RIGHT(Insights!$C$3, 4)), E5727, "")</f>
        <v>#VALUE!</v>
      </c>
      <c r="H5727" s="26" t="e">
        <f t="shared" si="1"/>
        <v>#VALUE!</v>
      </c>
      <c r="I5727" s="1" t="e">
        <f t="shared" si="2"/>
        <v>#VALUE!</v>
      </c>
    </row>
    <row r="5728" spans="1:9" ht="15.75" customHeight="1">
      <c r="A5728" s="26"/>
      <c r="B5728" s="2"/>
      <c r="C5728" s="26"/>
      <c r="D5728" s="26"/>
      <c r="F5728" s="85" t="str">
        <f t="shared" si="0"/>
        <v/>
      </c>
      <c r="G5728" s="1" t="e">
        <f>IF(VALUE(F5728) = VALUE(RIGHT(Insights!$C$3, 4)), E5728, "")</f>
        <v>#VALUE!</v>
      </c>
      <c r="H5728" s="26" t="e">
        <f t="shared" si="1"/>
        <v>#VALUE!</v>
      </c>
      <c r="I5728" s="1" t="e">
        <f t="shared" si="2"/>
        <v>#VALUE!</v>
      </c>
    </row>
    <row r="5729" spans="1:9" ht="15.75" customHeight="1">
      <c r="A5729" s="26"/>
      <c r="B5729" s="2"/>
      <c r="C5729" s="26"/>
      <c r="D5729" s="26"/>
      <c r="F5729" s="85" t="str">
        <f t="shared" si="0"/>
        <v/>
      </c>
      <c r="G5729" s="1" t="e">
        <f>IF(VALUE(F5729) = VALUE(RIGHT(Insights!$C$3, 4)), E5729, "")</f>
        <v>#VALUE!</v>
      </c>
      <c r="H5729" s="26" t="e">
        <f t="shared" si="1"/>
        <v>#VALUE!</v>
      </c>
      <c r="I5729" s="1" t="e">
        <f t="shared" si="2"/>
        <v>#VALUE!</v>
      </c>
    </row>
    <row r="5730" spans="1:9" ht="15.75" customHeight="1">
      <c r="A5730" s="26"/>
      <c r="B5730" s="2"/>
      <c r="C5730" s="26"/>
      <c r="D5730" s="26"/>
      <c r="F5730" s="85" t="str">
        <f t="shared" si="0"/>
        <v/>
      </c>
      <c r="G5730" s="1" t="e">
        <f>IF(VALUE(F5730) = VALUE(RIGHT(Insights!$C$3, 4)), E5730, "")</f>
        <v>#VALUE!</v>
      </c>
      <c r="H5730" s="26" t="e">
        <f t="shared" si="1"/>
        <v>#VALUE!</v>
      </c>
      <c r="I5730" s="1" t="e">
        <f t="shared" si="2"/>
        <v>#VALUE!</v>
      </c>
    </row>
    <row r="5731" spans="1:9" ht="15.75" customHeight="1">
      <c r="A5731" s="26"/>
      <c r="B5731" s="2"/>
      <c r="C5731" s="26"/>
      <c r="D5731" s="26"/>
      <c r="F5731" s="85" t="str">
        <f t="shared" si="0"/>
        <v/>
      </c>
      <c r="G5731" s="1" t="e">
        <f>IF(VALUE(F5731) = VALUE(RIGHT(Insights!$C$3, 4)), E5731, "")</f>
        <v>#VALUE!</v>
      </c>
      <c r="H5731" s="26" t="e">
        <f t="shared" si="1"/>
        <v>#VALUE!</v>
      </c>
      <c r="I5731" s="1" t="e">
        <f t="shared" si="2"/>
        <v>#VALUE!</v>
      </c>
    </row>
    <row r="5732" spans="1:9" ht="15.75" customHeight="1">
      <c r="A5732" s="26"/>
      <c r="B5732" s="2"/>
      <c r="C5732" s="26"/>
      <c r="D5732" s="26"/>
      <c r="F5732" s="85" t="str">
        <f t="shared" si="0"/>
        <v/>
      </c>
      <c r="G5732" s="1" t="e">
        <f>IF(VALUE(F5732) = VALUE(RIGHT(Insights!$C$3, 4)), E5732, "")</f>
        <v>#VALUE!</v>
      </c>
      <c r="H5732" s="26" t="e">
        <f t="shared" si="1"/>
        <v>#VALUE!</v>
      </c>
      <c r="I5732" s="1" t="e">
        <f t="shared" si="2"/>
        <v>#VALUE!</v>
      </c>
    </row>
    <row r="5733" spans="1:9" ht="15.75" customHeight="1">
      <c r="A5733" s="26"/>
      <c r="B5733" s="2"/>
      <c r="C5733" s="26"/>
      <c r="D5733" s="26"/>
      <c r="F5733" s="85" t="str">
        <f t="shared" si="0"/>
        <v/>
      </c>
      <c r="G5733" s="1" t="e">
        <f>IF(VALUE(F5733) = VALUE(RIGHT(Insights!$C$3, 4)), E5733, "")</f>
        <v>#VALUE!</v>
      </c>
      <c r="H5733" s="26" t="e">
        <f t="shared" si="1"/>
        <v>#VALUE!</v>
      </c>
      <c r="I5733" s="1" t="e">
        <f t="shared" si="2"/>
        <v>#VALUE!</v>
      </c>
    </row>
    <row r="5734" spans="1:9" ht="15.75" customHeight="1">
      <c r="A5734" s="26"/>
      <c r="B5734" s="2"/>
      <c r="C5734" s="26"/>
      <c r="D5734" s="26"/>
      <c r="F5734" s="85" t="str">
        <f t="shared" si="0"/>
        <v/>
      </c>
      <c r="G5734" s="1" t="e">
        <f>IF(VALUE(F5734) = VALUE(RIGHT(Insights!$C$3, 4)), E5734, "")</f>
        <v>#VALUE!</v>
      </c>
      <c r="H5734" s="26" t="e">
        <f t="shared" si="1"/>
        <v>#VALUE!</v>
      </c>
      <c r="I5734" s="1" t="e">
        <f t="shared" si="2"/>
        <v>#VALUE!</v>
      </c>
    </row>
    <row r="5735" spans="1:9" ht="15.75" customHeight="1">
      <c r="A5735" s="26"/>
      <c r="B5735" s="2"/>
      <c r="C5735" s="26"/>
      <c r="D5735" s="26"/>
      <c r="F5735" s="85" t="str">
        <f t="shared" si="0"/>
        <v/>
      </c>
      <c r="G5735" s="1" t="e">
        <f>IF(VALUE(F5735) = VALUE(RIGHT(Insights!$C$3, 4)), E5735, "")</f>
        <v>#VALUE!</v>
      </c>
      <c r="H5735" s="26" t="e">
        <f t="shared" si="1"/>
        <v>#VALUE!</v>
      </c>
      <c r="I5735" s="1" t="e">
        <f t="shared" si="2"/>
        <v>#VALUE!</v>
      </c>
    </row>
    <row r="5736" spans="1:9" ht="15.75" customHeight="1">
      <c r="A5736" s="26"/>
      <c r="B5736" s="2"/>
      <c r="C5736" s="26"/>
      <c r="D5736" s="26"/>
      <c r="F5736" s="85" t="str">
        <f t="shared" si="0"/>
        <v/>
      </c>
      <c r="G5736" s="1" t="e">
        <f>IF(VALUE(F5736) = VALUE(RIGHT(Insights!$C$3, 4)), E5736, "")</f>
        <v>#VALUE!</v>
      </c>
      <c r="H5736" s="26" t="e">
        <f t="shared" si="1"/>
        <v>#VALUE!</v>
      </c>
      <c r="I5736" s="1" t="e">
        <f t="shared" si="2"/>
        <v>#VALUE!</v>
      </c>
    </row>
    <row r="5737" spans="1:9" ht="15.75" customHeight="1">
      <c r="A5737" s="26"/>
      <c r="B5737" s="2"/>
      <c r="C5737" s="26"/>
      <c r="D5737" s="26"/>
      <c r="F5737" s="85" t="str">
        <f t="shared" si="0"/>
        <v/>
      </c>
      <c r="G5737" s="1" t="e">
        <f>IF(VALUE(F5737) = VALUE(RIGHT(Insights!$C$3, 4)), E5737, "")</f>
        <v>#VALUE!</v>
      </c>
      <c r="H5737" s="26" t="e">
        <f t="shared" si="1"/>
        <v>#VALUE!</v>
      </c>
      <c r="I5737" s="1" t="e">
        <f t="shared" si="2"/>
        <v>#VALUE!</v>
      </c>
    </row>
    <row r="5738" spans="1:9" ht="15.75" customHeight="1">
      <c r="A5738" s="26"/>
      <c r="B5738" s="2"/>
      <c r="C5738" s="26"/>
      <c r="D5738" s="26"/>
      <c r="F5738" s="85" t="str">
        <f t="shared" si="0"/>
        <v/>
      </c>
      <c r="G5738" s="1" t="e">
        <f>IF(VALUE(F5738) = VALUE(RIGHT(Insights!$C$3, 4)), E5738, "")</f>
        <v>#VALUE!</v>
      </c>
      <c r="H5738" s="26" t="e">
        <f t="shared" si="1"/>
        <v>#VALUE!</v>
      </c>
      <c r="I5738" s="1" t="e">
        <f t="shared" si="2"/>
        <v>#VALUE!</v>
      </c>
    </row>
    <row r="5739" spans="1:9" ht="15.75" customHeight="1">
      <c r="A5739" s="26"/>
      <c r="B5739" s="2"/>
      <c r="C5739" s="26"/>
      <c r="D5739" s="26"/>
      <c r="F5739" s="85" t="str">
        <f t="shared" si="0"/>
        <v/>
      </c>
      <c r="G5739" s="1" t="e">
        <f>IF(VALUE(F5739) = VALUE(RIGHT(Insights!$C$3, 4)), E5739, "")</f>
        <v>#VALUE!</v>
      </c>
      <c r="H5739" s="26" t="e">
        <f t="shared" si="1"/>
        <v>#VALUE!</v>
      </c>
      <c r="I5739" s="1" t="e">
        <f t="shared" si="2"/>
        <v>#VALUE!</v>
      </c>
    </row>
    <row r="5740" spans="1:9" ht="15.75" customHeight="1">
      <c r="A5740" s="26"/>
      <c r="B5740" s="2"/>
      <c r="C5740" s="26"/>
      <c r="D5740" s="26"/>
      <c r="F5740" s="85" t="str">
        <f t="shared" si="0"/>
        <v/>
      </c>
      <c r="G5740" s="1" t="e">
        <f>IF(VALUE(F5740) = VALUE(RIGHT(Insights!$C$3, 4)), E5740, "")</f>
        <v>#VALUE!</v>
      </c>
      <c r="H5740" s="26" t="e">
        <f t="shared" si="1"/>
        <v>#VALUE!</v>
      </c>
      <c r="I5740" s="1" t="e">
        <f t="shared" si="2"/>
        <v>#VALUE!</v>
      </c>
    </row>
    <row r="5741" spans="1:9" ht="15.75" customHeight="1">
      <c r="A5741" s="26"/>
      <c r="B5741" s="2"/>
      <c r="C5741" s="26"/>
      <c r="D5741" s="26"/>
      <c r="F5741" s="85" t="str">
        <f t="shared" si="0"/>
        <v/>
      </c>
      <c r="G5741" s="1" t="e">
        <f>IF(VALUE(F5741) = VALUE(RIGHT(Insights!$C$3, 4)), E5741, "")</f>
        <v>#VALUE!</v>
      </c>
      <c r="H5741" s="26" t="e">
        <f t="shared" si="1"/>
        <v>#VALUE!</v>
      </c>
      <c r="I5741" s="1" t="e">
        <f t="shared" si="2"/>
        <v>#VALUE!</v>
      </c>
    </row>
    <row r="5742" spans="1:9" ht="15.75" customHeight="1">
      <c r="A5742" s="26"/>
      <c r="B5742" s="2"/>
      <c r="C5742" s="26"/>
      <c r="D5742" s="26"/>
      <c r="F5742" s="85" t="str">
        <f t="shared" si="0"/>
        <v/>
      </c>
      <c r="G5742" s="1" t="e">
        <f>IF(VALUE(F5742) = VALUE(RIGHT(Insights!$C$3, 4)), E5742, "")</f>
        <v>#VALUE!</v>
      </c>
      <c r="H5742" s="26" t="e">
        <f t="shared" si="1"/>
        <v>#VALUE!</v>
      </c>
      <c r="I5742" s="1" t="e">
        <f t="shared" si="2"/>
        <v>#VALUE!</v>
      </c>
    </row>
    <row r="5743" spans="1:9" ht="15.75" customHeight="1">
      <c r="A5743" s="26"/>
      <c r="B5743" s="2"/>
      <c r="C5743" s="26"/>
      <c r="D5743" s="26"/>
      <c r="F5743" s="85" t="str">
        <f t="shared" si="0"/>
        <v/>
      </c>
      <c r="G5743" s="1" t="e">
        <f>IF(VALUE(F5743) = VALUE(RIGHT(Insights!$C$3, 4)), E5743, "")</f>
        <v>#VALUE!</v>
      </c>
      <c r="H5743" s="26" t="e">
        <f t="shared" si="1"/>
        <v>#VALUE!</v>
      </c>
      <c r="I5743" s="1" t="e">
        <f t="shared" si="2"/>
        <v>#VALUE!</v>
      </c>
    </row>
    <row r="5744" spans="1:9" ht="15.75" customHeight="1">
      <c r="A5744" s="26"/>
      <c r="B5744" s="2"/>
      <c r="C5744" s="26"/>
      <c r="D5744" s="26"/>
      <c r="F5744" s="85" t="str">
        <f t="shared" si="0"/>
        <v/>
      </c>
      <c r="G5744" s="1" t="e">
        <f>IF(VALUE(F5744) = VALUE(RIGHT(Insights!$C$3, 4)), E5744, "")</f>
        <v>#VALUE!</v>
      </c>
      <c r="H5744" s="26" t="e">
        <f t="shared" si="1"/>
        <v>#VALUE!</v>
      </c>
      <c r="I5744" s="1" t="e">
        <f t="shared" si="2"/>
        <v>#VALUE!</v>
      </c>
    </row>
    <row r="5745" spans="1:9" ht="15.75" customHeight="1">
      <c r="A5745" s="26"/>
      <c r="B5745" s="2"/>
      <c r="C5745" s="26"/>
      <c r="D5745" s="26"/>
      <c r="F5745" s="85" t="str">
        <f t="shared" si="0"/>
        <v/>
      </c>
      <c r="G5745" s="1" t="e">
        <f>IF(VALUE(F5745) = VALUE(RIGHT(Insights!$C$3, 4)), E5745, "")</f>
        <v>#VALUE!</v>
      </c>
      <c r="H5745" s="26" t="e">
        <f t="shared" si="1"/>
        <v>#VALUE!</v>
      </c>
      <c r="I5745" s="1" t="e">
        <f t="shared" si="2"/>
        <v>#VALUE!</v>
      </c>
    </row>
    <row r="5746" spans="1:9" ht="15.75" customHeight="1">
      <c r="A5746" s="26"/>
      <c r="B5746" s="2"/>
      <c r="C5746" s="26"/>
      <c r="D5746" s="26"/>
      <c r="F5746" s="85" t="str">
        <f t="shared" si="0"/>
        <v/>
      </c>
      <c r="G5746" s="1" t="e">
        <f>IF(VALUE(F5746) = VALUE(RIGHT(Insights!$C$3, 4)), E5746, "")</f>
        <v>#VALUE!</v>
      </c>
      <c r="H5746" s="26" t="e">
        <f t="shared" si="1"/>
        <v>#VALUE!</v>
      </c>
      <c r="I5746" s="1" t="e">
        <f t="shared" si="2"/>
        <v>#VALUE!</v>
      </c>
    </row>
    <row r="5747" spans="1:9" ht="15.75" customHeight="1">
      <c r="A5747" s="26"/>
      <c r="B5747" s="2"/>
      <c r="C5747" s="26"/>
      <c r="D5747" s="26"/>
      <c r="F5747" s="85" t="str">
        <f t="shared" si="0"/>
        <v/>
      </c>
      <c r="G5747" s="1" t="e">
        <f>IF(VALUE(F5747) = VALUE(RIGHT(Insights!$C$3, 4)), E5747, "")</f>
        <v>#VALUE!</v>
      </c>
      <c r="H5747" s="26" t="e">
        <f t="shared" si="1"/>
        <v>#VALUE!</v>
      </c>
      <c r="I5747" s="1" t="e">
        <f t="shared" si="2"/>
        <v>#VALUE!</v>
      </c>
    </row>
    <row r="5748" spans="1:9" ht="15.75" customHeight="1">
      <c r="A5748" s="26"/>
      <c r="B5748" s="2"/>
      <c r="C5748" s="26"/>
      <c r="D5748" s="26"/>
      <c r="F5748" s="85" t="str">
        <f t="shared" si="0"/>
        <v/>
      </c>
      <c r="G5748" s="1" t="e">
        <f>IF(VALUE(F5748) = VALUE(RIGHT(Insights!$C$3, 4)), E5748, "")</f>
        <v>#VALUE!</v>
      </c>
      <c r="H5748" s="26" t="e">
        <f t="shared" si="1"/>
        <v>#VALUE!</v>
      </c>
      <c r="I5748" s="1" t="e">
        <f t="shared" si="2"/>
        <v>#VALUE!</v>
      </c>
    </row>
    <row r="5749" spans="1:9" ht="15.75" customHeight="1">
      <c r="A5749" s="26"/>
      <c r="B5749" s="2"/>
      <c r="C5749" s="26"/>
      <c r="D5749" s="26"/>
      <c r="F5749" s="85" t="str">
        <f t="shared" si="0"/>
        <v/>
      </c>
      <c r="G5749" s="1" t="e">
        <f>IF(VALUE(F5749) = VALUE(RIGHT(Insights!$C$3, 4)), E5749, "")</f>
        <v>#VALUE!</v>
      </c>
      <c r="H5749" s="26" t="e">
        <f t="shared" si="1"/>
        <v>#VALUE!</v>
      </c>
      <c r="I5749" s="1" t="e">
        <f t="shared" si="2"/>
        <v>#VALUE!</v>
      </c>
    </row>
    <row r="5750" spans="1:9" ht="15.75" customHeight="1">
      <c r="A5750" s="26"/>
      <c r="B5750" s="2"/>
      <c r="C5750" s="26"/>
      <c r="D5750" s="26"/>
      <c r="F5750" s="85" t="str">
        <f t="shared" si="0"/>
        <v/>
      </c>
      <c r="G5750" s="1" t="e">
        <f>IF(VALUE(F5750) = VALUE(RIGHT(Insights!$C$3, 4)), E5750, "")</f>
        <v>#VALUE!</v>
      </c>
      <c r="H5750" s="26" t="e">
        <f t="shared" si="1"/>
        <v>#VALUE!</v>
      </c>
      <c r="I5750" s="1" t="e">
        <f t="shared" si="2"/>
        <v>#VALUE!</v>
      </c>
    </row>
    <row r="5751" spans="1:9" ht="15.75" customHeight="1">
      <c r="A5751" s="26"/>
      <c r="B5751" s="2"/>
      <c r="C5751" s="26"/>
      <c r="D5751" s="26"/>
      <c r="F5751" s="85" t="str">
        <f t="shared" si="0"/>
        <v/>
      </c>
      <c r="G5751" s="1" t="e">
        <f>IF(VALUE(F5751) = VALUE(RIGHT(Insights!$C$3, 4)), E5751, "")</f>
        <v>#VALUE!</v>
      </c>
      <c r="H5751" s="26" t="e">
        <f t="shared" si="1"/>
        <v>#VALUE!</v>
      </c>
      <c r="I5751" s="1" t="e">
        <f t="shared" si="2"/>
        <v>#VALUE!</v>
      </c>
    </row>
    <row r="5752" spans="1:9" ht="15.75" customHeight="1">
      <c r="A5752" s="26"/>
      <c r="B5752" s="2"/>
      <c r="C5752" s="26"/>
      <c r="D5752" s="26"/>
      <c r="F5752" s="85" t="str">
        <f t="shared" si="0"/>
        <v/>
      </c>
      <c r="G5752" s="1" t="e">
        <f>IF(VALUE(F5752) = VALUE(RIGHT(Insights!$C$3, 4)), E5752, "")</f>
        <v>#VALUE!</v>
      </c>
      <c r="H5752" s="26" t="e">
        <f t="shared" si="1"/>
        <v>#VALUE!</v>
      </c>
      <c r="I5752" s="1" t="e">
        <f t="shared" si="2"/>
        <v>#VALUE!</v>
      </c>
    </row>
    <row r="5753" spans="1:9" ht="15.75" customHeight="1">
      <c r="A5753" s="26"/>
      <c r="B5753" s="2"/>
      <c r="C5753" s="26"/>
      <c r="D5753" s="26"/>
      <c r="F5753" s="85" t="str">
        <f t="shared" si="0"/>
        <v/>
      </c>
      <c r="G5753" s="1" t="e">
        <f>IF(VALUE(F5753) = VALUE(RIGHT(Insights!$C$3, 4)), E5753, "")</f>
        <v>#VALUE!</v>
      </c>
      <c r="H5753" s="26" t="e">
        <f t="shared" si="1"/>
        <v>#VALUE!</v>
      </c>
      <c r="I5753" s="1" t="e">
        <f t="shared" si="2"/>
        <v>#VALUE!</v>
      </c>
    </row>
    <row r="5754" spans="1:9" ht="15.75" customHeight="1">
      <c r="A5754" s="26"/>
      <c r="B5754" s="2"/>
      <c r="C5754" s="26"/>
      <c r="D5754" s="26"/>
      <c r="F5754" s="85" t="str">
        <f t="shared" si="0"/>
        <v/>
      </c>
      <c r="G5754" s="1" t="e">
        <f>IF(VALUE(F5754) = VALUE(RIGHT(Insights!$C$3, 4)), E5754, "")</f>
        <v>#VALUE!</v>
      </c>
      <c r="H5754" s="26" t="e">
        <f t="shared" si="1"/>
        <v>#VALUE!</v>
      </c>
      <c r="I5754" s="1" t="e">
        <f t="shared" si="2"/>
        <v>#VALUE!</v>
      </c>
    </row>
    <row r="5755" spans="1:9" ht="15.75" customHeight="1">
      <c r="A5755" s="26"/>
      <c r="B5755" s="2"/>
      <c r="C5755" s="26"/>
      <c r="D5755" s="26"/>
      <c r="F5755" s="85" t="str">
        <f t="shared" si="0"/>
        <v/>
      </c>
      <c r="G5755" s="1" t="e">
        <f>IF(VALUE(F5755) = VALUE(RIGHT(Insights!$C$3, 4)), E5755, "")</f>
        <v>#VALUE!</v>
      </c>
      <c r="H5755" s="26" t="e">
        <f t="shared" si="1"/>
        <v>#VALUE!</v>
      </c>
      <c r="I5755" s="1" t="e">
        <f t="shared" si="2"/>
        <v>#VALUE!</v>
      </c>
    </row>
    <row r="5756" spans="1:9" ht="15.75" customHeight="1">
      <c r="A5756" s="26"/>
      <c r="B5756" s="2"/>
      <c r="C5756" s="26"/>
      <c r="D5756" s="26"/>
      <c r="F5756" s="85" t="str">
        <f t="shared" si="0"/>
        <v/>
      </c>
      <c r="G5756" s="1" t="e">
        <f>IF(VALUE(F5756) = VALUE(RIGHT(Insights!$C$3, 4)), E5756, "")</f>
        <v>#VALUE!</v>
      </c>
      <c r="H5756" s="26" t="e">
        <f t="shared" si="1"/>
        <v>#VALUE!</v>
      </c>
      <c r="I5756" s="1" t="e">
        <f t="shared" si="2"/>
        <v>#VALUE!</v>
      </c>
    </row>
    <row r="5757" spans="1:9" ht="15.75" customHeight="1">
      <c r="A5757" s="26"/>
      <c r="B5757" s="2"/>
      <c r="C5757" s="26"/>
      <c r="D5757" s="26"/>
      <c r="F5757" s="85" t="str">
        <f t="shared" si="0"/>
        <v/>
      </c>
      <c r="G5757" s="1" t="e">
        <f>IF(VALUE(F5757) = VALUE(RIGHT(Insights!$C$3, 4)), E5757, "")</f>
        <v>#VALUE!</v>
      </c>
      <c r="H5757" s="26" t="e">
        <f t="shared" si="1"/>
        <v>#VALUE!</v>
      </c>
      <c r="I5757" s="1" t="e">
        <f t="shared" si="2"/>
        <v>#VALUE!</v>
      </c>
    </row>
    <row r="5758" spans="1:9" ht="15.75" customHeight="1">
      <c r="A5758" s="26"/>
      <c r="B5758" s="2"/>
      <c r="C5758" s="26"/>
      <c r="D5758" s="26"/>
      <c r="F5758" s="85" t="str">
        <f t="shared" si="0"/>
        <v/>
      </c>
      <c r="G5758" s="1" t="e">
        <f>IF(VALUE(F5758) = VALUE(RIGHT(Insights!$C$3, 4)), E5758, "")</f>
        <v>#VALUE!</v>
      </c>
      <c r="H5758" s="26" t="e">
        <f t="shared" si="1"/>
        <v>#VALUE!</v>
      </c>
      <c r="I5758" s="1" t="e">
        <f t="shared" si="2"/>
        <v>#VALUE!</v>
      </c>
    </row>
    <row r="5759" spans="1:9" ht="15.75" customHeight="1">
      <c r="A5759" s="26"/>
      <c r="B5759" s="2"/>
      <c r="C5759" s="26"/>
      <c r="D5759" s="26"/>
      <c r="F5759" s="85" t="str">
        <f t="shared" si="0"/>
        <v/>
      </c>
      <c r="G5759" s="1" t="e">
        <f>IF(VALUE(F5759) = VALUE(RIGHT(Insights!$C$3, 4)), E5759, "")</f>
        <v>#VALUE!</v>
      </c>
      <c r="H5759" s="26" t="e">
        <f t="shared" si="1"/>
        <v>#VALUE!</v>
      </c>
      <c r="I5759" s="1" t="e">
        <f t="shared" si="2"/>
        <v>#VALUE!</v>
      </c>
    </row>
    <row r="5760" spans="1:9" ht="15.75" customHeight="1">
      <c r="A5760" s="26"/>
      <c r="B5760" s="2"/>
      <c r="C5760" s="26"/>
      <c r="D5760" s="26"/>
      <c r="F5760" s="85" t="str">
        <f t="shared" si="0"/>
        <v/>
      </c>
      <c r="G5760" s="1" t="e">
        <f>IF(VALUE(F5760) = VALUE(RIGHT(Insights!$C$3, 4)), E5760, "")</f>
        <v>#VALUE!</v>
      </c>
      <c r="H5760" s="26" t="e">
        <f t="shared" si="1"/>
        <v>#VALUE!</v>
      </c>
      <c r="I5760" s="1" t="e">
        <f t="shared" si="2"/>
        <v>#VALUE!</v>
      </c>
    </row>
    <row r="5761" spans="1:9" ht="15.75" customHeight="1">
      <c r="A5761" s="26"/>
      <c r="B5761" s="2"/>
      <c r="C5761" s="26"/>
      <c r="D5761" s="26"/>
      <c r="F5761" s="85" t="str">
        <f t="shared" si="0"/>
        <v/>
      </c>
      <c r="G5761" s="1" t="e">
        <f>IF(VALUE(F5761) = VALUE(RIGHT(Insights!$C$3, 4)), E5761, "")</f>
        <v>#VALUE!</v>
      </c>
      <c r="H5761" s="26" t="e">
        <f t="shared" si="1"/>
        <v>#VALUE!</v>
      </c>
      <c r="I5761" s="1" t="e">
        <f t="shared" si="2"/>
        <v>#VALUE!</v>
      </c>
    </row>
    <row r="5762" spans="1:9" ht="15.75" customHeight="1">
      <c r="A5762" s="26"/>
      <c r="B5762" s="2"/>
      <c r="C5762" s="26"/>
      <c r="D5762" s="26"/>
      <c r="F5762" s="85" t="str">
        <f t="shared" si="0"/>
        <v/>
      </c>
      <c r="G5762" s="1" t="e">
        <f>IF(VALUE(F5762) = VALUE(RIGHT(Insights!$C$3, 4)), E5762, "")</f>
        <v>#VALUE!</v>
      </c>
      <c r="H5762" s="26" t="e">
        <f t="shared" si="1"/>
        <v>#VALUE!</v>
      </c>
      <c r="I5762" s="1" t="e">
        <f t="shared" si="2"/>
        <v>#VALUE!</v>
      </c>
    </row>
    <row r="5763" spans="1:9" ht="15.75" customHeight="1">
      <c r="A5763" s="26"/>
      <c r="B5763" s="2"/>
      <c r="C5763" s="26"/>
      <c r="D5763" s="26"/>
      <c r="F5763" s="85" t="str">
        <f t="shared" si="0"/>
        <v/>
      </c>
      <c r="G5763" s="1" t="e">
        <f>IF(VALUE(F5763) = VALUE(RIGHT(Insights!$C$3, 4)), E5763, "")</f>
        <v>#VALUE!</v>
      </c>
      <c r="H5763" s="26" t="e">
        <f t="shared" si="1"/>
        <v>#VALUE!</v>
      </c>
      <c r="I5763" s="1" t="e">
        <f t="shared" si="2"/>
        <v>#VALUE!</v>
      </c>
    </row>
    <row r="5764" spans="1:9" ht="15.75" customHeight="1">
      <c r="A5764" s="26"/>
      <c r="B5764" s="2"/>
      <c r="C5764" s="26"/>
      <c r="D5764" s="26"/>
      <c r="F5764" s="85" t="str">
        <f t="shared" si="0"/>
        <v/>
      </c>
      <c r="G5764" s="1" t="e">
        <f>IF(VALUE(F5764) = VALUE(RIGHT(Insights!$C$3, 4)), E5764, "")</f>
        <v>#VALUE!</v>
      </c>
      <c r="H5764" s="26" t="e">
        <f t="shared" si="1"/>
        <v>#VALUE!</v>
      </c>
      <c r="I5764" s="1" t="e">
        <f t="shared" si="2"/>
        <v>#VALUE!</v>
      </c>
    </row>
    <row r="5765" spans="1:9" ht="15.75" customHeight="1">
      <c r="A5765" s="26"/>
      <c r="B5765" s="2"/>
      <c r="C5765" s="26"/>
      <c r="D5765" s="26"/>
      <c r="F5765" s="85" t="str">
        <f t="shared" si="0"/>
        <v/>
      </c>
      <c r="G5765" s="1" t="e">
        <f>IF(VALUE(F5765) = VALUE(RIGHT(Insights!$C$3, 4)), E5765, "")</f>
        <v>#VALUE!</v>
      </c>
      <c r="H5765" s="26" t="e">
        <f t="shared" si="1"/>
        <v>#VALUE!</v>
      </c>
      <c r="I5765" s="1" t="e">
        <f t="shared" si="2"/>
        <v>#VALUE!</v>
      </c>
    </row>
    <row r="5766" spans="1:9" ht="15.75" customHeight="1">
      <c r="A5766" s="26"/>
      <c r="B5766" s="2"/>
      <c r="C5766" s="26"/>
      <c r="D5766" s="26"/>
      <c r="F5766" s="85" t="str">
        <f t="shared" si="0"/>
        <v/>
      </c>
      <c r="G5766" s="1" t="e">
        <f>IF(VALUE(F5766) = VALUE(RIGHT(Insights!$C$3, 4)), E5766, "")</f>
        <v>#VALUE!</v>
      </c>
      <c r="H5766" s="26" t="e">
        <f t="shared" si="1"/>
        <v>#VALUE!</v>
      </c>
      <c r="I5766" s="1" t="e">
        <f t="shared" si="2"/>
        <v>#VALUE!</v>
      </c>
    </row>
    <row r="5767" spans="1:9" ht="15.75" customHeight="1">
      <c r="A5767" s="26"/>
      <c r="B5767" s="2"/>
      <c r="C5767" s="26"/>
      <c r="D5767" s="26"/>
      <c r="F5767" s="85" t="str">
        <f t="shared" si="0"/>
        <v/>
      </c>
      <c r="G5767" s="1" t="e">
        <f>IF(VALUE(F5767) = VALUE(RIGHT(Insights!$C$3, 4)), E5767, "")</f>
        <v>#VALUE!</v>
      </c>
      <c r="H5767" s="26" t="e">
        <f t="shared" si="1"/>
        <v>#VALUE!</v>
      </c>
      <c r="I5767" s="1" t="e">
        <f t="shared" si="2"/>
        <v>#VALUE!</v>
      </c>
    </row>
    <row r="5768" spans="1:9" ht="15.75" customHeight="1">
      <c r="A5768" s="26"/>
      <c r="B5768" s="2"/>
      <c r="C5768" s="26"/>
      <c r="D5768" s="26"/>
      <c r="F5768" s="85" t="str">
        <f t="shared" si="0"/>
        <v/>
      </c>
      <c r="G5768" s="1" t="e">
        <f>IF(VALUE(F5768) = VALUE(RIGHT(Insights!$C$3, 4)), E5768, "")</f>
        <v>#VALUE!</v>
      </c>
      <c r="H5768" s="26" t="e">
        <f t="shared" si="1"/>
        <v>#VALUE!</v>
      </c>
      <c r="I5768" s="1" t="e">
        <f t="shared" si="2"/>
        <v>#VALUE!</v>
      </c>
    </row>
    <row r="5769" spans="1:9" ht="15.75" customHeight="1">
      <c r="A5769" s="26"/>
      <c r="B5769" s="2"/>
      <c r="C5769" s="26"/>
      <c r="D5769" s="26"/>
      <c r="F5769" s="85" t="str">
        <f t="shared" si="0"/>
        <v/>
      </c>
      <c r="G5769" s="1" t="e">
        <f>IF(VALUE(F5769) = VALUE(RIGHT(Insights!$C$3, 4)), E5769, "")</f>
        <v>#VALUE!</v>
      </c>
      <c r="H5769" s="26" t="e">
        <f t="shared" si="1"/>
        <v>#VALUE!</v>
      </c>
      <c r="I5769" s="1" t="e">
        <f t="shared" si="2"/>
        <v>#VALUE!</v>
      </c>
    </row>
    <row r="5770" spans="1:9" ht="15.75" customHeight="1">
      <c r="A5770" s="26"/>
      <c r="B5770" s="2"/>
      <c r="C5770" s="26"/>
      <c r="D5770" s="26"/>
      <c r="F5770" s="85" t="str">
        <f t="shared" si="0"/>
        <v/>
      </c>
      <c r="G5770" s="1" t="e">
        <f>IF(VALUE(F5770) = VALUE(RIGHT(Insights!$C$3, 4)), E5770, "")</f>
        <v>#VALUE!</v>
      </c>
      <c r="H5770" s="26" t="e">
        <f t="shared" si="1"/>
        <v>#VALUE!</v>
      </c>
      <c r="I5770" s="1" t="e">
        <f t="shared" si="2"/>
        <v>#VALUE!</v>
      </c>
    </row>
    <row r="5771" spans="1:9" ht="15.75" customHeight="1">
      <c r="A5771" s="26"/>
      <c r="B5771" s="2"/>
      <c r="C5771" s="26"/>
      <c r="D5771" s="26"/>
      <c r="F5771" s="85" t="str">
        <f t="shared" si="0"/>
        <v/>
      </c>
      <c r="G5771" s="1" t="e">
        <f>IF(VALUE(F5771) = VALUE(RIGHT(Insights!$C$3, 4)), E5771, "")</f>
        <v>#VALUE!</v>
      </c>
      <c r="H5771" s="26" t="e">
        <f t="shared" si="1"/>
        <v>#VALUE!</v>
      </c>
      <c r="I5771" s="1" t="e">
        <f t="shared" si="2"/>
        <v>#VALUE!</v>
      </c>
    </row>
    <row r="5772" spans="1:9" ht="15.75" customHeight="1">
      <c r="A5772" s="26"/>
      <c r="B5772" s="2"/>
      <c r="C5772" s="26"/>
      <c r="D5772" s="26"/>
      <c r="F5772" s="85" t="str">
        <f t="shared" si="0"/>
        <v/>
      </c>
      <c r="G5772" s="1" t="e">
        <f>IF(VALUE(F5772) = VALUE(RIGHT(Insights!$C$3, 4)), E5772, "")</f>
        <v>#VALUE!</v>
      </c>
      <c r="H5772" s="26" t="e">
        <f t="shared" si="1"/>
        <v>#VALUE!</v>
      </c>
      <c r="I5772" s="1" t="e">
        <f t="shared" si="2"/>
        <v>#VALUE!</v>
      </c>
    </row>
    <row r="5773" spans="1:9" ht="15.75" customHeight="1">
      <c r="A5773" s="26"/>
      <c r="B5773" s="2"/>
      <c r="C5773" s="26"/>
      <c r="D5773" s="26"/>
      <c r="F5773" s="85" t="str">
        <f t="shared" si="0"/>
        <v/>
      </c>
      <c r="G5773" s="1" t="e">
        <f>IF(VALUE(F5773) = VALUE(RIGHT(Insights!$C$3, 4)), E5773, "")</f>
        <v>#VALUE!</v>
      </c>
      <c r="H5773" s="26" t="e">
        <f t="shared" si="1"/>
        <v>#VALUE!</v>
      </c>
      <c r="I5773" s="1" t="e">
        <f t="shared" si="2"/>
        <v>#VALUE!</v>
      </c>
    </row>
    <row r="5774" spans="1:9" ht="15.75" customHeight="1">
      <c r="A5774" s="26"/>
      <c r="B5774" s="2"/>
      <c r="C5774" s="26"/>
      <c r="D5774" s="26"/>
      <c r="F5774" s="85" t="str">
        <f t="shared" si="0"/>
        <v/>
      </c>
      <c r="G5774" s="1" t="e">
        <f>IF(VALUE(F5774) = VALUE(RIGHT(Insights!$C$3, 4)), E5774, "")</f>
        <v>#VALUE!</v>
      </c>
      <c r="H5774" s="26" t="e">
        <f t="shared" si="1"/>
        <v>#VALUE!</v>
      </c>
      <c r="I5774" s="1" t="e">
        <f t="shared" si="2"/>
        <v>#VALUE!</v>
      </c>
    </row>
    <row r="5775" spans="1:9" ht="15.75" customHeight="1">
      <c r="A5775" s="26"/>
      <c r="B5775" s="2"/>
      <c r="C5775" s="26"/>
      <c r="D5775" s="26"/>
      <c r="F5775" s="85" t="str">
        <f t="shared" si="0"/>
        <v/>
      </c>
      <c r="G5775" s="1" t="e">
        <f>IF(VALUE(F5775) = VALUE(RIGHT(Insights!$C$3, 4)), E5775, "")</f>
        <v>#VALUE!</v>
      </c>
      <c r="H5775" s="26" t="e">
        <f t="shared" si="1"/>
        <v>#VALUE!</v>
      </c>
      <c r="I5775" s="1" t="e">
        <f t="shared" si="2"/>
        <v>#VALUE!</v>
      </c>
    </row>
    <row r="5776" spans="1:9" ht="15.75" customHeight="1">
      <c r="A5776" s="26"/>
      <c r="B5776" s="2"/>
      <c r="C5776" s="26"/>
      <c r="D5776" s="26"/>
      <c r="F5776" s="85" t="str">
        <f t="shared" si="0"/>
        <v/>
      </c>
      <c r="G5776" s="1" t="e">
        <f>IF(VALUE(F5776) = VALUE(RIGHT(Insights!$C$3, 4)), E5776, "")</f>
        <v>#VALUE!</v>
      </c>
      <c r="H5776" s="26" t="e">
        <f t="shared" si="1"/>
        <v>#VALUE!</v>
      </c>
      <c r="I5776" s="1" t="e">
        <f t="shared" si="2"/>
        <v>#VALUE!</v>
      </c>
    </row>
    <row r="5777" spans="1:9" ht="15.75" customHeight="1">
      <c r="A5777" s="26"/>
      <c r="B5777" s="2"/>
      <c r="C5777" s="26"/>
      <c r="D5777" s="26"/>
      <c r="F5777" s="85" t="str">
        <f t="shared" si="0"/>
        <v/>
      </c>
      <c r="G5777" s="1" t="e">
        <f>IF(VALUE(F5777) = VALUE(RIGHT(Insights!$C$3, 4)), E5777, "")</f>
        <v>#VALUE!</v>
      </c>
      <c r="H5777" s="26" t="e">
        <f t="shared" si="1"/>
        <v>#VALUE!</v>
      </c>
      <c r="I5777" s="1" t="e">
        <f t="shared" si="2"/>
        <v>#VALUE!</v>
      </c>
    </row>
    <row r="5778" spans="1:9" ht="15.75" customHeight="1">
      <c r="A5778" s="26"/>
      <c r="B5778" s="2"/>
      <c r="C5778" s="26"/>
      <c r="D5778" s="26"/>
      <c r="F5778" s="85" t="str">
        <f t="shared" si="0"/>
        <v/>
      </c>
      <c r="G5778" s="1" t="e">
        <f>IF(VALUE(F5778) = VALUE(RIGHT(Insights!$C$3, 4)), E5778, "")</f>
        <v>#VALUE!</v>
      </c>
      <c r="H5778" s="26" t="e">
        <f t="shared" si="1"/>
        <v>#VALUE!</v>
      </c>
      <c r="I5778" s="1" t="e">
        <f t="shared" si="2"/>
        <v>#VALUE!</v>
      </c>
    </row>
    <row r="5779" spans="1:9" ht="15.75" customHeight="1">
      <c r="A5779" s="26"/>
      <c r="B5779" s="2"/>
      <c r="C5779" s="26"/>
      <c r="D5779" s="26"/>
      <c r="F5779" s="85" t="str">
        <f t="shared" si="0"/>
        <v/>
      </c>
      <c r="G5779" s="1" t="e">
        <f>IF(VALUE(F5779) = VALUE(RIGHT(Insights!$C$3, 4)), E5779, "")</f>
        <v>#VALUE!</v>
      </c>
      <c r="H5779" s="26" t="e">
        <f t="shared" si="1"/>
        <v>#VALUE!</v>
      </c>
      <c r="I5779" s="1" t="e">
        <f t="shared" si="2"/>
        <v>#VALUE!</v>
      </c>
    </row>
    <row r="5780" spans="1:9" ht="15.75" customHeight="1">
      <c r="A5780" s="26"/>
      <c r="B5780" s="2"/>
      <c r="C5780" s="26"/>
      <c r="D5780" s="26"/>
      <c r="F5780" s="85" t="str">
        <f t="shared" si="0"/>
        <v/>
      </c>
      <c r="G5780" s="1" t="e">
        <f>IF(VALUE(F5780) = VALUE(RIGHT(Insights!$C$3, 4)), E5780, "")</f>
        <v>#VALUE!</v>
      </c>
      <c r="H5780" s="26" t="e">
        <f t="shared" si="1"/>
        <v>#VALUE!</v>
      </c>
      <c r="I5780" s="1" t="e">
        <f t="shared" si="2"/>
        <v>#VALUE!</v>
      </c>
    </row>
    <row r="5781" spans="1:9" ht="15.75" customHeight="1">
      <c r="A5781" s="26"/>
      <c r="B5781" s="2"/>
      <c r="C5781" s="26"/>
      <c r="D5781" s="26"/>
      <c r="F5781" s="85" t="str">
        <f t="shared" si="0"/>
        <v/>
      </c>
      <c r="G5781" s="1" t="e">
        <f>IF(VALUE(F5781) = VALUE(RIGHT(Insights!$C$3, 4)), E5781, "")</f>
        <v>#VALUE!</v>
      </c>
      <c r="H5781" s="26" t="e">
        <f t="shared" si="1"/>
        <v>#VALUE!</v>
      </c>
      <c r="I5781" s="1" t="e">
        <f t="shared" si="2"/>
        <v>#VALUE!</v>
      </c>
    </row>
    <row r="5782" spans="1:9" ht="15.75" customHeight="1">
      <c r="A5782" s="26"/>
      <c r="B5782" s="2"/>
      <c r="C5782" s="26"/>
      <c r="D5782" s="26"/>
      <c r="F5782" s="85" t="str">
        <f t="shared" si="0"/>
        <v/>
      </c>
      <c r="G5782" s="1" t="e">
        <f>IF(VALUE(F5782) = VALUE(RIGHT(Insights!$C$3, 4)), E5782, "")</f>
        <v>#VALUE!</v>
      </c>
      <c r="H5782" s="26" t="e">
        <f t="shared" si="1"/>
        <v>#VALUE!</v>
      </c>
      <c r="I5782" s="1" t="e">
        <f t="shared" si="2"/>
        <v>#VALUE!</v>
      </c>
    </row>
    <row r="5783" spans="1:9" ht="15.75" customHeight="1">
      <c r="A5783" s="26"/>
      <c r="B5783" s="2"/>
      <c r="C5783" s="26"/>
      <c r="D5783" s="26"/>
      <c r="F5783" s="85" t="str">
        <f t="shared" si="0"/>
        <v/>
      </c>
      <c r="G5783" s="1" t="e">
        <f>IF(VALUE(F5783) = VALUE(RIGHT(Insights!$C$3, 4)), E5783, "")</f>
        <v>#VALUE!</v>
      </c>
      <c r="H5783" s="26" t="e">
        <f t="shared" si="1"/>
        <v>#VALUE!</v>
      </c>
      <c r="I5783" s="1" t="e">
        <f t="shared" si="2"/>
        <v>#VALUE!</v>
      </c>
    </row>
    <row r="5784" spans="1:9" ht="15.75" customHeight="1">
      <c r="A5784" s="26"/>
      <c r="B5784" s="2"/>
      <c r="C5784" s="26"/>
      <c r="D5784" s="26"/>
      <c r="F5784" s="85" t="str">
        <f t="shared" si="0"/>
        <v/>
      </c>
      <c r="G5784" s="1" t="e">
        <f>IF(VALUE(F5784) = VALUE(RIGHT(Insights!$C$3, 4)), E5784, "")</f>
        <v>#VALUE!</v>
      </c>
      <c r="H5784" s="26" t="e">
        <f t="shared" si="1"/>
        <v>#VALUE!</v>
      </c>
      <c r="I5784" s="1" t="e">
        <f t="shared" si="2"/>
        <v>#VALUE!</v>
      </c>
    </row>
    <row r="5785" spans="1:9" ht="15.75" customHeight="1">
      <c r="A5785" s="26"/>
      <c r="B5785" s="2"/>
      <c r="C5785" s="26"/>
      <c r="D5785" s="26"/>
      <c r="F5785" s="85" t="str">
        <f t="shared" si="0"/>
        <v/>
      </c>
      <c r="G5785" s="1" t="e">
        <f>IF(VALUE(F5785) = VALUE(RIGHT(Insights!$C$3, 4)), E5785, "")</f>
        <v>#VALUE!</v>
      </c>
      <c r="H5785" s="26" t="e">
        <f t="shared" si="1"/>
        <v>#VALUE!</v>
      </c>
      <c r="I5785" s="1" t="e">
        <f t="shared" si="2"/>
        <v>#VALUE!</v>
      </c>
    </row>
    <row r="5786" spans="1:9" ht="15.75" customHeight="1">
      <c r="A5786" s="26"/>
      <c r="B5786" s="2"/>
      <c r="C5786" s="26"/>
      <c r="D5786" s="26"/>
      <c r="F5786" s="85" t="str">
        <f t="shared" si="0"/>
        <v/>
      </c>
      <c r="G5786" s="1" t="e">
        <f>IF(VALUE(F5786) = VALUE(RIGHT(Insights!$C$3, 4)), E5786, "")</f>
        <v>#VALUE!</v>
      </c>
      <c r="H5786" s="26" t="e">
        <f t="shared" si="1"/>
        <v>#VALUE!</v>
      </c>
      <c r="I5786" s="1" t="e">
        <f t="shared" si="2"/>
        <v>#VALUE!</v>
      </c>
    </row>
    <row r="5787" spans="1:9" ht="15.75" customHeight="1">
      <c r="A5787" s="26"/>
      <c r="B5787" s="2"/>
      <c r="C5787" s="26"/>
      <c r="D5787" s="26"/>
      <c r="F5787" s="85" t="str">
        <f t="shared" si="0"/>
        <v/>
      </c>
      <c r="G5787" s="1" t="e">
        <f>IF(VALUE(F5787) = VALUE(RIGHT(Insights!$C$3, 4)), E5787, "")</f>
        <v>#VALUE!</v>
      </c>
      <c r="H5787" s="26" t="e">
        <f t="shared" si="1"/>
        <v>#VALUE!</v>
      </c>
      <c r="I5787" s="1" t="e">
        <f t="shared" si="2"/>
        <v>#VALUE!</v>
      </c>
    </row>
    <row r="5788" spans="1:9" ht="15.75" customHeight="1">
      <c r="A5788" s="26"/>
      <c r="B5788" s="2"/>
      <c r="C5788" s="26"/>
      <c r="D5788" s="26"/>
      <c r="F5788" s="85" t="str">
        <f t="shared" si="0"/>
        <v/>
      </c>
      <c r="G5788" s="1" t="e">
        <f>IF(VALUE(F5788) = VALUE(RIGHT(Insights!$C$3, 4)), E5788, "")</f>
        <v>#VALUE!</v>
      </c>
      <c r="H5788" s="26" t="e">
        <f t="shared" si="1"/>
        <v>#VALUE!</v>
      </c>
      <c r="I5788" s="1" t="e">
        <f t="shared" si="2"/>
        <v>#VALUE!</v>
      </c>
    </row>
    <row r="5789" spans="1:9" ht="15.75" customHeight="1">
      <c r="A5789" s="26"/>
      <c r="B5789" s="2"/>
      <c r="C5789" s="26"/>
      <c r="D5789" s="26"/>
      <c r="F5789" s="85" t="str">
        <f t="shared" si="0"/>
        <v/>
      </c>
      <c r="G5789" s="1" t="e">
        <f>IF(VALUE(F5789) = VALUE(RIGHT(Insights!$C$3, 4)), E5789, "")</f>
        <v>#VALUE!</v>
      </c>
      <c r="H5789" s="26" t="e">
        <f t="shared" si="1"/>
        <v>#VALUE!</v>
      </c>
      <c r="I5789" s="1" t="e">
        <f t="shared" si="2"/>
        <v>#VALUE!</v>
      </c>
    </row>
    <row r="5790" spans="1:9" ht="15.75" customHeight="1">
      <c r="A5790" s="26"/>
      <c r="B5790" s="2"/>
      <c r="C5790" s="26"/>
      <c r="D5790" s="26"/>
      <c r="F5790" s="85" t="str">
        <f t="shared" si="0"/>
        <v/>
      </c>
      <c r="G5790" s="1" t="e">
        <f>IF(VALUE(F5790) = VALUE(RIGHT(Insights!$C$3, 4)), E5790, "")</f>
        <v>#VALUE!</v>
      </c>
      <c r="H5790" s="26" t="e">
        <f t="shared" si="1"/>
        <v>#VALUE!</v>
      </c>
      <c r="I5790" s="1" t="e">
        <f t="shared" si="2"/>
        <v>#VALUE!</v>
      </c>
    </row>
    <row r="5791" spans="1:9" ht="15.75" customHeight="1">
      <c r="A5791" s="26"/>
      <c r="B5791" s="2"/>
      <c r="C5791" s="26"/>
      <c r="D5791" s="26"/>
      <c r="F5791" s="85" t="str">
        <f t="shared" si="0"/>
        <v/>
      </c>
      <c r="G5791" s="1" t="e">
        <f>IF(VALUE(F5791) = VALUE(RIGHT(Insights!$C$3, 4)), E5791, "")</f>
        <v>#VALUE!</v>
      </c>
      <c r="H5791" s="26" t="e">
        <f t="shared" si="1"/>
        <v>#VALUE!</v>
      </c>
      <c r="I5791" s="1" t="e">
        <f t="shared" si="2"/>
        <v>#VALUE!</v>
      </c>
    </row>
    <row r="5792" spans="1:9" ht="15.75" customHeight="1">
      <c r="A5792" s="26"/>
      <c r="B5792" s="2"/>
      <c r="C5792" s="26"/>
      <c r="D5792" s="26"/>
      <c r="F5792" s="85" t="str">
        <f t="shared" si="0"/>
        <v/>
      </c>
      <c r="G5792" s="1" t="e">
        <f>IF(VALUE(F5792) = VALUE(RIGHT(Insights!$C$3, 4)), E5792, "")</f>
        <v>#VALUE!</v>
      </c>
      <c r="H5792" s="26" t="e">
        <f t="shared" si="1"/>
        <v>#VALUE!</v>
      </c>
      <c r="I5792" s="1" t="e">
        <f t="shared" si="2"/>
        <v>#VALUE!</v>
      </c>
    </row>
    <row r="5793" spans="1:9" ht="15.75" customHeight="1">
      <c r="A5793" s="26"/>
      <c r="B5793" s="2"/>
      <c r="C5793" s="26"/>
      <c r="D5793" s="26"/>
      <c r="F5793" s="85" t="str">
        <f t="shared" si="0"/>
        <v/>
      </c>
      <c r="G5793" s="1" t="e">
        <f>IF(VALUE(F5793) = VALUE(RIGHT(Insights!$C$3, 4)), E5793, "")</f>
        <v>#VALUE!</v>
      </c>
      <c r="H5793" s="26" t="e">
        <f t="shared" si="1"/>
        <v>#VALUE!</v>
      </c>
      <c r="I5793" s="1" t="e">
        <f t="shared" si="2"/>
        <v>#VALUE!</v>
      </c>
    </row>
    <row r="5794" spans="1:9" ht="15.75" customHeight="1">
      <c r="A5794" s="26"/>
      <c r="B5794" s="2"/>
      <c r="C5794" s="26"/>
      <c r="D5794" s="26"/>
      <c r="F5794" s="85" t="str">
        <f t="shared" si="0"/>
        <v/>
      </c>
      <c r="G5794" s="1" t="e">
        <f>IF(VALUE(F5794) = VALUE(RIGHT(Insights!$C$3, 4)), E5794, "")</f>
        <v>#VALUE!</v>
      </c>
      <c r="H5794" s="26" t="e">
        <f t="shared" si="1"/>
        <v>#VALUE!</v>
      </c>
      <c r="I5794" s="1" t="e">
        <f t="shared" si="2"/>
        <v>#VALUE!</v>
      </c>
    </row>
    <row r="5795" spans="1:9" ht="15.75" customHeight="1">
      <c r="A5795" s="26"/>
      <c r="B5795" s="2"/>
      <c r="C5795" s="26"/>
      <c r="D5795" s="26"/>
      <c r="F5795" s="85" t="str">
        <f t="shared" si="0"/>
        <v/>
      </c>
      <c r="G5795" s="1" t="e">
        <f>IF(VALUE(F5795) = VALUE(RIGHT(Insights!$C$3, 4)), E5795, "")</f>
        <v>#VALUE!</v>
      </c>
      <c r="H5795" s="26" t="e">
        <f t="shared" si="1"/>
        <v>#VALUE!</v>
      </c>
      <c r="I5795" s="1" t="e">
        <f t="shared" si="2"/>
        <v>#VALUE!</v>
      </c>
    </row>
    <row r="5796" spans="1:9" ht="15.75" customHeight="1">
      <c r="A5796" s="26"/>
      <c r="B5796" s="2"/>
      <c r="C5796" s="26"/>
      <c r="D5796" s="26"/>
      <c r="F5796" s="85" t="str">
        <f t="shared" si="0"/>
        <v/>
      </c>
      <c r="G5796" s="1" t="e">
        <f>IF(VALUE(F5796) = VALUE(RIGHT(Insights!$C$3, 4)), E5796, "")</f>
        <v>#VALUE!</v>
      </c>
      <c r="H5796" s="26" t="e">
        <f t="shared" si="1"/>
        <v>#VALUE!</v>
      </c>
      <c r="I5796" s="1" t="e">
        <f t="shared" si="2"/>
        <v>#VALUE!</v>
      </c>
    </row>
    <row r="5797" spans="1:9" ht="15.75" customHeight="1">
      <c r="A5797" s="26"/>
      <c r="B5797" s="2"/>
      <c r="C5797" s="26"/>
      <c r="D5797" s="26"/>
      <c r="F5797" s="85" t="str">
        <f t="shared" si="0"/>
        <v/>
      </c>
      <c r="G5797" s="1" t="e">
        <f>IF(VALUE(F5797) = VALUE(RIGHT(Insights!$C$3, 4)), E5797, "")</f>
        <v>#VALUE!</v>
      </c>
      <c r="H5797" s="26" t="e">
        <f t="shared" si="1"/>
        <v>#VALUE!</v>
      </c>
      <c r="I5797" s="1" t="e">
        <f t="shared" si="2"/>
        <v>#VALUE!</v>
      </c>
    </row>
    <row r="5798" spans="1:9" ht="15.75" customHeight="1">
      <c r="A5798" s="26"/>
      <c r="B5798" s="2"/>
      <c r="C5798" s="26"/>
      <c r="D5798" s="26"/>
      <c r="F5798" s="85" t="str">
        <f t="shared" si="0"/>
        <v/>
      </c>
      <c r="G5798" s="1" t="e">
        <f>IF(VALUE(F5798) = VALUE(RIGHT(Insights!$C$3, 4)), E5798, "")</f>
        <v>#VALUE!</v>
      </c>
      <c r="H5798" s="26" t="e">
        <f t="shared" si="1"/>
        <v>#VALUE!</v>
      </c>
      <c r="I5798" s="1" t="e">
        <f t="shared" si="2"/>
        <v>#VALUE!</v>
      </c>
    </row>
    <row r="5799" spans="1:9" ht="15.75" customHeight="1">
      <c r="A5799" s="26"/>
      <c r="B5799" s="2"/>
      <c r="C5799" s="26"/>
      <c r="D5799" s="26"/>
      <c r="F5799" s="85" t="str">
        <f t="shared" si="0"/>
        <v/>
      </c>
      <c r="G5799" s="1" t="e">
        <f>IF(VALUE(F5799) = VALUE(RIGHT(Insights!$C$3, 4)), E5799, "")</f>
        <v>#VALUE!</v>
      </c>
      <c r="H5799" s="26" t="e">
        <f t="shared" si="1"/>
        <v>#VALUE!</v>
      </c>
      <c r="I5799" s="1" t="e">
        <f t="shared" si="2"/>
        <v>#VALUE!</v>
      </c>
    </row>
    <row r="5800" spans="1:9" ht="15.75" customHeight="1">
      <c r="A5800" s="26"/>
      <c r="B5800" s="2"/>
      <c r="C5800" s="26"/>
      <c r="D5800" s="26"/>
      <c r="F5800" s="85" t="str">
        <f t="shared" si="0"/>
        <v/>
      </c>
      <c r="G5800" s="1" t="e">
        <f>IF(VALUE(F5800) = VALUE(RIGHT(Insights!$C$3, 4)), E5800, "")</f>
        <v>#VALUE!</v>
      </c>
      <c r="H5800" s="26" t="e">
        <f t="shared" si="1"/>
        <v>#VALUE!</v>
      </c>
      <c r="I5800" s="1" t="e">
        <f t="shared" si="2"/>
        <v>#VALUE!</v>
      </c>
    </row>
    <row r="5801" spans="1:9" ht="15.75" customHeight="1">
      <c r="A5801" s="26"/>
      <c r="B5801" s="2"/>
      <c r="C5801" s="26"/>
      <c r="D5801" s="26"/>
      <c r="F5801" s="85" t="str">
        <f t="shared" si="0"/>
        <v/>
      </c>
      <c r="G5801" s="1" t="e">
        <f>IF(VALUE(F5801) = VALUE(RIGHT(Insights!$C$3, 4)), E5801, "")</f>
        <v>#VALUE!</v>
      </c>
      <c r="H5801" s="26" t="e">
        <f t="shared" si="1"/>
        <v>#VALUE!</v>
      </c>
      <c r="I5801" s="1" t="e">
        <f t="shared" si="2"/>
        <v>#VALUE!</v>
      </c>
    </row>
    <row r="5802" spans="1:9" ht="15.75" customHeight="1">
      <c r="A5802" s="26"/>
      <c r="B5802" s="2"/>
      <c r="C5802" s="26"/>
      <c r="D5802" s="26"/>
      <c r="F5802" s="85" t="str">
        <f t="shared" si="0"/>
        <v/>
      </c>
      <c r="G5802" s="1" t="e">
        <f>IF(VALUE(F5802) = VALUE(RIGHT(Insights!$C$3, 4)), E5802, "")</f>
        <v>#VALUE!</v>
      </c>
      <c r="H5802" s="26" t="e">
        <f t="shared" si="1"/>
        <v>#VALUE!</v>
      </c>
      <c r="I5802" s="1" t="e">
        <f t="shared" si="2"/>
        <v>#VALUE!</v>
      </c>
    </row>
    <row r="5803" spans="1:9" ht="15.75" customHeight="1">
      <c r="A5803" s="26"/>
      <c r="B5803" s="2"/>
      <c r="C5803" s="26"/>
      <c r="D5803" s="26"/>
      <c r="F5803" s="85" t="str">
        <f t="shared" si="0"/>
        <v/>
      </c>
      <c r="G5803" s="1" t="e">
        <f>IF(VALUE(F5803) = VALUE(RIGHT(Insights!$C$3, 4)), E5803, "")</f>
        <v>#VALUE!</v>
      </c>
      <c r="H5803" s="26" t="e">
        <f t="shared" si="1"/>
        <v>#VALUE!</v>
      </c>
      <c r="I5803" s="1" t="e">
        <f t="shared" si="2"/>
        <v>#VALUE!</v>
      </c>
    </row>
    <row r="5804" spans="1:9" ht="15.75" customHeight="1">
      <c r="A5804" s="26"/>
      <c r="B5804" s="2"/>
      <c r="C5804" s="26"/>
      <c r="D5804" s="26"/>
      <c r="F5804" s="85" t="str">
        <f t="shared" si="0"/>
        <v/>
      </c>
      <c r="G5804" s="1" t="e">
        <f>IF(VALUE(F5804) = VALUE(RIGHT(Insights!$C$3, 4)), E5804, "")</f>
        <v>#VALUE!</v>
      </c>
      <c r="H5804" s="26" t="e">
        <f t="shared" si="1"/>
        <v>#VALUE!</v>
      </c>
      <c r="I5804" s="1" t="e">
        <f t="shared" si="2"/>
        <v>#VALUE!</v>
      </c>
    </row>
    <row r="5805" spans="1:9" ht="15.75" customHeight="1">
      <c r="A5805" s="26"/>
      <c r="B5805" s="2"/>
      <c r="C5805" s="26"/>
      <c r="D5805" s="26"/>
      <c r="F5805" s="85" t="str">
        <f t="shared" si="0"/>
        <v/>
      </c>
      <c r="G5805" s="1" t="e">
        <f>IF(VALUE(F5805) = VALUE(RIGHT(Insights!$C$3, 4)), E5805, "")</f>
        <v>#VALUE!</v>
      </c>
      <c r="H5805" s="26" t="e">
        <f t="shared" si="1"/>
        <v>#VALUE!</v>
      </c>
      <c r="I5805" s="1" t="e">
        <f t="shared" si="2"/>
        <v>#VALUE!</v>
      </c>
    </row>
    <row r="5806" spans="1:9" ht="15.75" customHeight="1">
      <c r="A5806" s="26"/>
      <c r="B5806" s="2"/>
      <c r="C5806" s="26"/>
      <c r="D5806" s="26"/>
      <c r="F5806" s="85" t="str">
        <f t="shared" si="0"/>
        <v/>
      </c>
      <c r="G5806" s="1" t="e">
        <f>IF(VALUE(F5806) = VALUE(RIGHT(Insights!$C$3, 4)), E5806, "")</f>
        <v>#VALUE!</v>
      </c>
      <c r="H5806" s="26" t="e">
        <f t="shared" si="1"/>
        <v>#VALUE!</v>
      </c>
      <c r="I5806" s="1" t="e">
        <f t="shared" si="2"/>
        <v>#VALUE!</v>
      </c>
    </row>
    <row r="5807" spans="1:9" ht="15.75" customHeight="1">
      <c r="A5807" s="26"/>
      <c r="B5807" s="2"/>
      <c r="C5807" s="26"/>
      <c r="D5807" s="26"/>
      <c r="F5807" s="85" t="str">
        <f t="shared" si="0"/>
        <v/>
      </c>
      <c r="G5807" s="1" t="e">
        <f>IF(VALUE(F5807) = VALUE(RIGHT(Insights!$C$3, 4)), E5807, "")</f>
        <v>#VALUE!</v>
      </c>
      <c r="H5807" s="26" t="e">
        <f t="shared" si="1"/>
        <v>#VALUE!</v>
      </c>
      <c r="I5807" s="1" t="e">
        <f t="shared" si="2"/>
        <v>#VALUE!</v>
      </c>
    </row>
    <row r="5808" spans="1:9" ht="15.75" customHeight="1">
      <c r="A5808" s="26"/>
      <c r="B5808" s="2"/>
      <c r="C5808" s="26"/>
      <c r="D5808" s="26"/>
      <c r="F5808" s="85" t="str">
        <f t="shared" si="0"/>
        <v/>
      </c>
      <c r="G5808" s="1" t="e">
        <f>IF(VALUE(F5808) = VALUE(RIGHT(Insights!$C$3, 4)), E5808, "")</f>
        <v>#VALUE!</v>
      </c>
      <c r="H5808" s="26" t="e">
        <f t="shared" si="1"/>
        <v>#VALUE!</v>
      </c>
      <c r="I5808" s="1" t="e">
        <f t="shared" si="2"/>
        <v>#VALUE!</v>
      </c>
    </row>
    <row r="5809" spans="1:9" ht="15.75" customHeight="1">
      <c r="A5809" s="26"/>
      <c r="B5809" s="2"/>
      <c r="C5809" s="26"/>
      <c r="D5809" s="26"/>
      <c r="F5809" s="85" t="str">
        <f t="shared" si="0"/>
        <v/>
      </c>
      <c r="G5809" s="1" t="e">
        <f>IF(VALUE(F5809) = VALUE(RIGHT(Insights!$C$3, 4)), E5809, "")</f>
        <v>#VALUE!</v>
      </c>
      <c r="H5809" s="26" t="e">
        <f t="shared" si="1"/>
        <v>#VALUE!</v>
      </c>
      <c r="I5809" s="1" t="e">
        <f t="shared" si="2"/>
        <v>#VALUE!</v>
      </c>
    </row>
    <row r="5810" spans="1:9" ht="15.75" customHeight="1">
      <c r="A5810" s="26"/>
      <c r="B5810" s="2"/>
      <c r="C5810" s="26"/>
      <c r="D5810" s="26"/>
      <c r="F5810" s="85" t="str">
        <f t="shared" si="0"/>
        <v/>
      </c>
      <c r="G5810" s="1" t="e">
        <f>IF(VALUE(F5810) = VALUE(RIGHT(Insights!$C$3, 4)), E5810, "")</f>
        <v>#VALUE!</v>
      </c>
      <c r="H5810" s="26" t="e">
        <f t="shared" si="1"/>
        <v>#VALUE!</v>
      </c>
      <c r="I5810" s="1" t="e">
        <f t="shared" si="2"/>
        <v>#VALUE!</v>
      </c>
    </row>
    <row r="5811" spans="1:9" ht="15.75" customHeight="1">
      <c r="A5811" s="26"/>
      <c r="B5811" s="2"/>
      <c r="C5811" s="26"/>
      <c r="D5811" s="26"/>
      <c r="F5811" s="85" t="str">
        <f t="shared" si="0"/>
        <v/>
      </c>
      <c r="G5811" s="1" t="e">
        <f>IF(VALUE(F5811) = VALUE(RIGHT(Insights!$C$3, 4)), E5811, "")</f>
        <v>#VALUE!</v>
      </c>
      <c r="H5811" s="26" t="e">
        <f t="shared" si="1"/>
        <v>#VALUE!</v>
      </c>
      <c r="I5811" s="1" t="e">
        <f t="shared" si="2"/>
        <v>#VALUE!</v>
      </c>
    </row>
    <row r="5812" spans="1:9" ht="15.75" customHeight="1">
      <c r="A5812" s="26"/>
      <c r="B5812" s="2"/>
      <c r="C5812" s="26"/>
      <c r="D5812" s="26"/>
      <c r="F5812" s="85" t="str">
        <f t="shared" si="0"/>
        <v/>
      </c>
      <c r="G5812" s="1" t="e">
        <f>IF(VALUE(F5812) = VALUE(RIGHT(Insights!$C$3, 4)), E5812, "")</f>
        <v>#VALUE!</v>
      </c>
      <c r="H5812" s="26" t="e">
        <f t="shared" si="1"/>
        <v>#VALUE!</v>
      </c>
      <c r="I5812" s="1" t="e">
        <f t="shared" si="2"/>
        <v>#VALUE!</v>
      </c>
    </row>
    <row r="5813" spans="1:9" ht="15.75" customHeight="1">
      <c r="A5813" s="26"/>
      <c r="B5813" s="2"/>
      <c r="C5813" s="26"/>
      <c r="D5813" s="26"/>
      <c r="F5813" s="85" t="str">
        <f t="shared" si="0"/>
        <v/>
      </c>
      <c r="G5813" s="1" t="e">
        <f>IF(VALUE(F5813) = VALUE(RIGHT(Insights!$C$3, 4)), E5813, "")</f>
        <v>#VALUE!</v>
      </c>
      <c r="H5813" s="26" t="e">
        <f t="shared" si="1"/>
        <v>#VALUE!</v>
      </c>
      <c r="I5813" s="1" t="e">
        <f t="shared" si="2"/>
        <v>#VALUE!</v>
      </c>
    </row>
    <row r="5814" spans="1:9" ht="15.75" customHeight="1">
      <c r="A5814" s="26"/>
      <c r="B5814" s="2"/>
      <c r="C5814" s="26"/>
      <c r="D5814" s="26"/>
      <c r="F5814" s="85" t="str">
        <f t="shared" si="0"/>
        <v/>
      </c>
      <c r="G5814" s="1" t="e">
        <f>IF(VALUE(F5814) = VALUE(RIGHT(Insights!$C$3, 4)), E5814, "")</f>
        <v>#VALUE!</v>
      </c>
      <c r="H5814" s="26" t="e">
        <f t="shared" si="1"/>
        <v>#VALUE!</v>
      </c>
      <c r="I5814" s="1" t="e">
        <f t="shared" si="2"/>
        <v>#VALUE!</v>
      </c>
    </row>
    <row r="5815" spans="1:9" ht="15.75" customHeight="1">
      <c r="A5815" s="26"/>
      <c r="B5815" s="2"/>
      <c r="C5815" s="26"/>
      <c r="D5815" s="26"/>
      <c r="F5815" s="85" t="str">
        <f t="shared" si="0"/>
        <v/>
      </c>
      <c r="G5815" s="1" t="e">
        <f>IF(VALUE(F5815) = VALUE(RIGHT(Insights!$C$3, 4)), E5815, "")</f>
        <v>#VALUE!</v>
      </c>
      <c r="H5815" s="26" t="e">
        <f t="shared" si="1"/>
        <v>#VALUE!</v>
      </c>
      <c r="I5815" s="1" t="e">
        <f t="shared" si="2"/>
        <v>#VALUE!</v>
      </c>
    </row>
    <row r="5816" spans="1:9" ht="15.75" customHeight="1">
      <c r="A5816" s="26"/>
      <c r="B5816" s="2"/>
      <c r="C5816" s="26"/>
      <c r="D5816" s="26"/>
      <c r="F5816" s="85" t="str">
        <f t="shared" si="0"/>
        <v/>
      </c>
      <c r="G5816" s="1" t="e">
        <f>IF(VALUE(F5816) = VALUE(RIGHT(Insights!$C$3, 4)), E5816, "")</f>
        <v>#VALUE!</v>
      </c>
      <c r="H5816" s="26" t="e">
        <f t="shared" si="1"/>
        <v>#VALUE!</v>
      </c>
      <c r="I5816" s="1" t="e">
        <f t="shared" si="2"/>
        <v>#VALUE!</v>
      </c>
    </row>
    <row r="5817" spans="1:9" ht="15.75" customHeight="1">
      <c r="A5817" s="26"/>
      <c r="B5817" s="2"/>
      <c r="C5817" s="26"/>
      <c r="D5817" s="26"/>
      <c r="F5817" s="85" t="str">
        <f t="shared" si="0"/>
        <v/>
      </c>
      <c r="G5817" s="1" t="e">
        <f>IF(VALUE(F5817) = VALUE(RIGHT(Insights!$C$3, 4)), E5817, "")</f>
        <v>#VALUE!</v>
      </c>
      <c r="H5817" s="26" t="e">
        <f t="shared" si="1"/>
        <v>#VALUE!</v>
      </c>
      <c r="I5817" s="1" t="e">
        <f t="shared" si="2"/>
        <v>#VALUE!</v>
      </c>
    </row>
    <row r="5818" spans="1:9" ht="15.75" customHeight="1">
      <c r="A5818" s="26"/>
      <c r="B5818" s="2"/>
      <c r="C5818" s="26"/>
      <c r="D5818" s="26"/>
      <c r="F5818" s="85" t="str">
        <f t="shared" si="0"/>
        <v/>
      </c>
      <c r="G5818" s="1" t="e">
        <f>IF(VALUE(F5818) = VALUE(RIGHT(Insights!$C$3, 4)), E5818, "")</f>
        <v>#VALUE!</v>
      </c>
      <c r="H5818" s="26" t="e">
        <f t="shared" si="1"/>
        <v>#VALUE!</v>
      </c>
      <c r="I5818" s="1" t="e">
        <f t="shared" si="2"/>
        <v>#VALUE!</v>
      </c>
    </row>
    <row r="5819" spans="1:9" ht="15.75" customHeight="1">
      <c r="A5819" s="26"/>
      <c r="B5819" s="2"/>
      <c r="C5819" s="26"/>
      <c r="D5819" s="26"/>
      <c r="F5819" s="85" t="str">
        <f t="shared" si="0"/>
        <v/>
      </c>
      <c r="G5819" s="1" t="e">
        <f>IF(VALUE(F5819) = VALUE(RIGHT(Insights!$C$3, 4)), E5819, "")</f>
        <v>#VALUE!</v>
      </c>
      <c r="H5819" s="26" t="e">
        <f t="shared" si="1"/>
        <v>#VALUE!</v>
      </c>
      <c r="I5819" s="1" t="e">
        <f t="shared" si="2"/>
        <v>#VALUE!</v>
      </c>
    </row>
    <row r="5820" spans="1:9" ht="15.75" customHeight="1">
      <c r="A5820" s="26"/>
      <c r="B5820" s="2"/>
      <c r="C5820" s="26"/>
      <c r="D5820" s="26"/>
      <c r="F5820" s="85" t="str">
        <f t="shared" si="0"/>
        <v/>
      </c>
      <c r="G5820" s="1" t="e">
        <f>IF(VALUE(F5820) = VALUE(RIGHT(Insights!$C$3, 4)), E5820, "")</f>
        <v>#VALUE!</v>
      </c>
      <c r="H5820" s="26" t="e">
        <f t="shared" si="1"/>
        <v>#VALUE!</v>
      </c>
      <c r="I5820" s="1" t="e">
        <f t="shared" si="2"/>
        <v>#VALUE!</v>
      </c>
    </row>
    <row r="5821" spans="1:9" ht="15.75" customHeight="1">
      <c r="A5821" s="26"/>
      <c r="B5821" s="2"/>
      <c r="C5821" s="26"/>
      <c r="D5821" s="26"/>
      <c r="F5821" s="85" t="str">
        <f t="shared" si="0"/>
        <v/>
      </c>
      <c r="G5821" s="1" t="e">
        <f>IF(VALUE(F5821) = VALUE(RIGHT(Insights!$C$3, 4)), E5821, "")</f>
        <v>#VALUE!</v>
      </c>
      <c r="H5821" s="26" t="e">
        <f t="shared" si="1"/>
        <v>#VALUE!</v>
      </c>
      <c r="I5821" s="1" t="e">
        <f t="shared" si="2"/>
        <v>#VALUE!</v>
      </c>
    </row>
    <row r="5822" spans="1:9" ht="15.75" customHeight="1">
      <c r="A5822" s="26"/>
      <c r="B5822" s="2"/>
      <c r="C5822" s="26"/>
      <c r="D5822" s="26"/>
      <c r="F5822" s="85" t="str">
        <f t="shared" si="0"/>
        <v/>
      </c>
      <c r="G5822" s="1" t="e">
        <f>IF(VALUE(F5822) = VALUE(RIGHT(Insights!$C$3, 4)), E5822, "")</f>
        <v>#VALUE!</v>
      </c>
      <c r="H5822" s="26" t="e">
        <f t="shared" si="1"/>
        <v>#VALUE!</v>
      </c>
      <c r="I5822" s="1" t="e">
        <f t="shared" si="2"/>
        <v>#VALUE!</v>
      </c>
    </row>
    <row r="5823" spans="1:9" ht="15.75" customHeight="1">
      <c r="A5823" s="26"/>
      <c r="B5823" s="2"/>
      <c r="C5823" s="26"/>
      <c r="D5823" s="26"/>
      <c r="F5823" s="85" t="str">
        <f t="shared" si="0"/>
        <v/>
      </c>
      <c r="G5823" s="1" t="e">
        <f>IF(VALUE(F5823) = VALUE(RIGHT(Insights!$C$3, 4)), E5823, "")</f>
        <v>#VALUE!</v>
      </c>
      <c r="H5823" s="26" t="e">
        <f t="shared" si="1"/>
        <v>#VALUE!</v>
      </c>
      <c r="I5823" s="1" t="e">
        <f t="shared" si="2"/>
        <v>#VALUE!</v>
      </c>
    </row>
    <row r="5824" spans="1:9" ht="15.75" customHeight="1">
      <c r="A5824" s="26"/>
      <c r="B5824" s="2"/>
      <c r="C5824" s="26"/>
      <c r="D5824" s="26"/>
      <c r="F5824" s="85" t="str">
        <f t="shared" si="0"/>
        <v/>
      </c>
      <c r="G5824" s="1" t="e">
        <f>IF(VALUE(F5824) = VALUE(RIGHT(Insights!$C$3, 4)), E5824, "")</f>
        <v>#VALUE!</v>
      </c>
      <c r="H5824" s="26" t="e">
        <f t="shared" si="1"/>
        <v>#VALUE!</v>
      </c>
      <c r="I5824" s="1" t="e">
        <f t="shared" si="2"/>
        <v>#VALUE!</v>
      </c>
    </row>
    <row r="5825" spans="1:9" ht="15.75" customHeight="1">
      <c r="A5825" s="26"/>
      <c r="B5825" s="2"/>
      <c r="C5825" s="26"/>
      <c r="D5825" s="26"/>
      <c r="F5825" s="85" t="str">
        <f t="shared" si="0"/>
        <v/>
      </c>
      <c r="G5825" s="1" t="e">
        <f>IF(VALUE(F5825) = VALUE(RIGHT(Insights!$C$3, 4)), E5825, "")</f>
        <v>#VALUE!</v>
      </c>
      <c r="H5825" s="26" t="e">
        <f t="shared" si="1"/>
        <v>#VALUE!</v>
      </c>
      <c r="I5825" s="1" t="e">
        <f t="shared" si="2"/>
        <v>#VALUE!</v>
      </c>
    </row>
    <row r="5826" spans="1:9" ht="15.75" customHeight="1">
      <c r="A5826" s="26"/>
      <c r="B5826" s="2"/>
      <c r="C5826" s="26"/>
      <c r="D5826" s="26"/>
      <c r="F5826" s="85" t="str">
        <f t="shared" si="0"/>
        <v/>
      </c>
      <c r="G5826" s="1" t="e">
        <f>IF(VALUE(F5826) = VALUE(RIGHT(Insights!$C$3, 4)), E5826, "")</f>
        <v>#VALUE!</v>
      </c>
      <c r="H5826" s="26" t="e">
        <f t="shared" si="1"/>
        <v>#VALUE!</v>
      </c>
      <c r="I5826" s="1" t="e">
        <f t="shared" si="2"/>
        <v>#VALUE!</v>
      </c>
    </row>
    <row r="5827" spans="1:9" ht="15.75" customHeight="1">
      <c r="A5827" s="26"/>
      <c r="B5827" s="2"/>
      <c r="C5827" s="26"/>
      <c r="D5827" s="26"/>
      <c r="F5827" s="85" t="str">
        <f t="shared" si="0"/>
        <v/>
      </c>
      <c r="G5827" s="1" t="e">
        <f>IF(VALUE(F5827) = VALUE(RIGHT(Insights!$C$3, 4)), E5827, "")</f>
        <v>#VALUE!</v>
      </c>
      <c r="H5827" s="26" t="e">
        <f t="shared" si="1"/>
        <v>#VALUE!</v>
      </c>
      <c r="I5827" s="1" t="e">
        <f t="shared" si="2"/>
        <v>#VALUE!</v>
      </c>
    </row>
    <row r="5828" spans="1:9" ht="15.75" customHeight="1">
      <c r="A5828" s="26"/>
      <c r="B5828" s="2"/>
      <c r="C5828" s="26"/>
      <c r="D5828" s="26"/>
      <c r="F5828" s="85" t="str">
        <f t="shared" si="0"/>
        <v/>
      </c>
      <c r="G5828" s="1" t="e">
        <f>IF(VALUE(F5828) = VALUE(RIGHT(Insights!$C$3, 4)), E5828, "")</f>
        <v>#VALUE!</v>
      </c>
      <c r="H5828" s="26" t="e">
        <f t="shared" si="1"/>
        <v>#VALUE!</v>
      </c>
      <c r="I5828" s="1" t="e">
        <f t="shared" si="2"/>
        <v>#VALUE!</v>
      </c>
    </row>
    <row r="5829" spans="1:9" ht="15.75" customHeight="1">
      <c r="A5829" s="26"/>
      <c r="B5829" s="2"/>
      <c r="C5829" s="26"/>
      <c r="D5829" s="26"/>
      <c r="F5829" s="85" t="str">
        <f t="shared" si="0"/>
        <v/>
      </c>
      <c r="G5829" s="1" t="e">
        <f>IF(VALUE(F5829) = VALUE(RIGHT(Insights!$C$3, 4)), E5829, "")</f>
        <v>#VALUE!</v>
      </c>
      <c r="H5829" s="26" t="e">
        <f t="shared" si="1"/>
        <v>#VALUE!</v>
      </c>
      <c r="I5829" s="1" t="e">
        <f t="shared" si="2"/>
        <v>#VALUE!</v>
      </c>
    </row>
    <row r="5830" spans="1:9" ht="15.75" customHeight="1">
      <c r="A5830" s="26"/>
      <c r="B5830" s="2"/>
      <c r="C5830" s="26"/>
      <c r="D5830" s="26"/>
      <c r="F5830" s="85" t="str">
        <f t="shared" si="0"/>
        <v/>
      </c>
      <c r="G5830" s="1" t="e">
        <f>IF(VALUE(F5830) = VALUE(RIGHT(Insights!$C$3, 4)), E5830, "")</f>
        <v>#VALUE!</v>
      </c>
      <c r="H5830" s="26" t="e">
        <f t="shared" si="1"/>
        <v>#VALUE!</v>
      </c>
      <c r="I5830" s="1" t="e">
        <f t="shared" si="2"/>
        <v>#VALUE!</v>
      </c>
    </row>
    <row r="5831" spans="1:9" ht="15.75" customHeight="1">
      <c r="A5831" s="26"/>
      <c r="B5831" s="2"/>
      <c r="C5831" s="26"/>
      <c r="D5831" s="26"/>
      <c r="F5831" s="85" t="str">
        <f t="shared" si="0"/>
        <v/>
      </c>
      <c r="G5831" s="1" t="e">
        <f>IF(VALUE(F5831) = VALUE(RIGHT(Insights!$C$3, 4)), E5831, "")</f>
        <v>#VALUE!</v>
      </c>
      <c r="H5831" s="26" t="e">
        <f t="shared" si="1"/>
        <v>#VALUE!</v>
      </c>
      <c r="I5831" s="1" t="e">
        <f t="shared" si="2"/>
        <v>#VALUE!</v>
      </c>
    </row>
    <row r="5832" spans="1:9" ht="15.75" customHeight="1">
      <c r="A5832" s="26"/>
      <c r="B5832" s="2"/>
      <c r="C5832" s="26"/>
      <c r="D5832" s="26"/>
      <c r="F5832" s="85" t="str">
        <f t="shared" si="0"/>
        <v/>
      </c>
      <c r="G5832" s="1" t="e">
        <f>IF(VALUE(F5832) = VALUE(RIGHT(Insights!$C$3, 4)), E5832, "")</f>
        <v>#VALUE!</v>
      </c>
      <c r="H5832" s="26" t="e">
        <f t="shared" si="1"/>
        <v>#VALUE!</v>
      </c>
      <c r="I5832" s="1" t="e">
        <f t="shared" si="2"/>
        <v>#VALUE!</v>
      </c>
    </row>
    <row r="5833" spans="1:9" ht="15.75" customHeight="1">
      <c r="A5833" s="26"/>
      <c r="B5833" s="2"/>
      <c r="C5833" s="26"/>
      <c r="D5833" s="26"/>
      <c r="F5833" s="85" t="str">
        <f t="shared" si="0"/>
        <v/>
      </c>
      <c r="G5833" s="1" t="e">
        <f>IF(VALUE(F5833) = VALUE(RIGHT(Insights!$C$3, 4)), E5833, "")</f>
        <v>#VALUE!</v>
      </c>
      <c r="H5833" s="26" t="e">
        <f t="shared" si="1"/>
        <v>#VALUE!</v>
      </c>
      <c r="I5833" s="1" t="e">
        <f t="shared" si="2"/>
        <v>#VALUE!</v>
      </c>
    </row>
    <row r="5834" spans="1:9" ht="15.75" customHeight="1">
      <c r="A5834" s="26"/>
      <c r="B5834" s="2"/>
      <c r="C5834" s="26"/>
      <c r="D5834" s="26"/>
      <c r="F5834" s="85" t="str">
        <f t="shared" si="0"/>
        <v/>
      </c>
      <c r="G5834" s="1" t="e">
        <f>IF(VALUE(F5834) = VALUE(RIGHT(Insights!$C$3, 4)), E5834, "")</f>
        <v>#VALUE!</v>
      </c>
      <c r="H5834" s="26" t="e">
        <f t="shared" si="1"/>
        <v>#VALUE!</v>
      </c>
      <c r="I5834" s="1" t="e">
        <f t="shared" si="2"/>
        <v>#VALUE!</v>
      </c>
    </row>
    <row r="5835" spans="1:9" ht="15.75" customHeight="1">
      <c r="A5835" s="26"/>
      <c r="B5835" s="2"/>
      <c r="C5835" s="26"/>
      <c r="D5835" s="26"/>
      <c r="F5835" s="85" t="str">
        <f t="shared" si="0"/>
        <v/>
      </c>
      <c r="G5835" s="1" t="e">
        <f>IF(VALUE(F5835) = VALUE(RIGHT(Insights!$C$3, 4)), E5835, "")</f>
        <v>#VALUE!</v>
      </c>
      <c r="H5835" s="26" t="e">
        <f t="shared" si="1"/>
        <v>#VALUE!</v>
      </c>
      <c r="I5835" s="1" t="e">
        <f t="shared" si="2"/>
        <v>#VALUE!</v>
      </c>
    </row>
    <row r="5836" spans="1:9" ht="15.75" customHeight="1">
      <c r="A5836" s="26"/>
      <c r="B5836" s="2"/>
      <c r="C5836" s="26"/>
      <c r="D5836" s="26"/>
      <c r="F5836" s="85" t="str">
        <f t="shared" si="0"/>
        <v/>
      </c>
      <c r="G5836" s="1" t="e">
        <f>IF(VALUE(F5836) = VALUE(RIGHT(Insights!$C$3, 4)), E5836, "")</f>
        <v>#VALUE!</v>
      </c>
      <c r="H5836" s="26" t="e">
        <f t="shared" si="1"/>
        <v>#VALUE!</v>
      </c>
      <c r="I5836" s="1" t="e">
        <f t="shared" si="2"/>
        <v>#VALUE!</v>
      </c>
    </row>
    <row r="5837" spans="1:9" ht="15.75" customHeight="1">
      <c r="A5837" s="26"/>
      <c r="B5837" s="2"/>
      <c r="C5837" s="26"/>
      <c r="D5837" s="26"/>
      <c r="F5837" s="85" t="str">
        <f t="shared" si="0"/>
        <v/>
      </c>
      <c r="G5837" s="1" t="e">
        <f>IF(VALUE(F5837) = VALUE(RIGHT(Insights!$C$3, 4)), E5837, "")</f>
        <v>#VALUE!</v>
      </c>
      <c r="H5837" s="26" t="e">
        <f t="shared" si="1"/>
        <v>#VALUE!</v>
      </c>
      <c r="I5837" s="1" t="e">
        <f t="shared" si="2"/>
        <v>#VALUE!</v>
      </c>
    </row>
    <row r="5838" spans="1:9" ht="15.75" customHeight="1">
      <c r="A5838" s="26"/>
      <c r="B5838" s="2"/>
      <c r="C5838" s="26"/>
      <c r="D5838" s="26"/>
      <c r="F5838" s="85" t="str">
        <f t="shared" si="0"/>
        <v/>
      </c>
      <c r="G5838" s="1" t="e">
        <f>IF(VALUE(F5838) = VALUE(RIGHT(Insights!$C$3, 4)), E5838, "")</f>
        <v>#VALUE!</v>
      </c>
      <c r="H5838" s="26" t="e">
        <f t="shared" si="1"/>
        <v>#VALUE!</v>
      </c>
      <c r="I5838" s="1" t="e">
        <f t="shared" si="2"/>
        <v>#VALUE!</v>
      </c>
    </row>
    <row r="5839" spans="1:9" ht="15.75" customHeight="1">
      <c r="A5839" s="26"/>
      <c r="B5839" s="2"/>
      <c r="C5839" s="26"/>
      <c r="D5839" s="26"/>
      <c r="F5839" s="85" t="str">
        <f t="shared" si="0"/>
        <v/>
      </c>
      <c r="G5839" s="1" t="e">
        <f>IF(VALUE(F5839) = VALUE(RIGHT(Insights!$C$3, 4)), E5839, "")</f>
        <v>#VALUE!</v>
      </c>
      <c r="H5839" s="26" t="e">
        <f t="shared" si="1"/>
        <v>#VALUE!</v>
      </c>
      <c r="I5839" s="1" t="e">
        <f t="shared" si="2"/>
        <v>#VALUE!</v>
      </c>
    </row>
    <row r="5840" spans="1:9" ht="15.75" customHeight="1">
      <c r="A5840" s="26"/>
      <c r="B5840" s="2"/>
      <c r="C5840" s="26"/>
      <c r="D5840" s="26"/>
      <c r="F5840" s="85" t="str">
        <f t="shared" si="0"/>
        <v/>
      </c>
      <c r="G5840" s="1" t="e">
        <f>IF(VALUE(F5840) = VALUE(RIGHT(Insights!$C$3, 4)), E5840, "")</f>
        <v>#VALUE!</v>
      </c>
      <c r="H5840" s="26" t="e">
        <f t="shared" si="1"/>
        <v>#VALUE!</v>
      </c>
      <c r="I5840" s="1" t="e">
        <f t="shared" si="2"/>
        <v>#VALUE!</v>
      </c>
    </row>
    <row r="5841" spans="1:9" ht="15.75" customHeight="1">
      <c r="A5841" s="26"/>
      <c r="B5841" s="2"/>
      <c r="C5841" s="26"/>
      <c r="D5841" s="26"/>
      <c r="F5841" s="85" t="str">
        <f t="shared" si="0"/>
        <v/>
      </c>
      <c r="G5841" s="1" t="e">
        <f>IF(VALUE(F5841) = VALUE(RIGHT(Insights!$C$3, 4)), E5841, "")</f>
        <v>#VALUE!</v>
      </c>
      <c r="H5841" s="26" t="e">
        <f t="shared" si="1"/>
        <v>#VALUE!</v>
      </c>
      <c r="I5841" s="1" t="e">
        <f t="shared" si="2"/>
        <v>#VALUE!</v>
      </c>
    </row>
    <row r="5842" spans="1:9" ht="15.75" customHeight="1">
      <c r="A5842" s="26"/>
      <c r="B5842" s="2"/>
      <c r="C5842" s="26"/>
      <c r="D5842" s="26"/>
      <c r="F5842" s="85" t="str">
        <f t="shared" si="0"/>
        <v/>
      </c>
      <c r="G5842" s="1" t="e">
        <f>IF(VALUE(F5842) = VALUE(RIGHT(Insights!$C$3, 4)), E5842, "")</f>
        <v>#VALUE!</v>
      </c>
      <c r="H5842" s="26" t="e">
        <f t="shared" si="1"/>
        <v>#VALUE!</v>
      </c>
      <c r="I5842" s="1" t="e">
        <f t="shared" si="2"/>
        <v>#VALUE!</v>
      </c>
    </row>
    <row r="5843" spans="1:9" ht="15.75" customHeight="1">
      <c r="A5843" s="26"/>
      <c r="B5843" s="2"/>
      <c r="C5843" s="26"/>
      <c r="D5843" s="26"/>
      <c r="F5843" s="85" t="str">
        <f t="shared" si="0"/>
        <v/>
      </c>
      <c r="G5843" s="1" t="e">
        <f>IF(VALUE(F5843) = VALUE(RIGHT(Insights!$C$3, 4)), E5843, "")</f>
        <v>#VALUE!</v>
      </c>
      <c r="H5843" s="26" t="e">
        <f t="shared" si="1"/>
        <v>#VALUE!</v>
      </c>
      <c r="I5843" s="1" t="e">
        <f t="shared" si="2"/>
        <v>#VALUE!</v>
      </c>
    </row>
    <row r="5844" spans="1:9" ht="15.75" customHeight="1">
      <c r="A5844" s="26"/>
      <c r="B5844" s="2"/>
      <c r="C5844" s="26"/>
      <c r="D5844" s="26"/>
      <c r="F5844" s="85" t="str">
        <f t="shared" si="0"/>
        <v/>
      </c>
      <c r="G5844" s="1" t="e">
        <f>IF(VALUE(F5844) = VALUE(RIGHT(Insights!$C$3, 4)), E5844, "")</f>
        <v>#VALUE!</v>
      </c>
      <c r="H5844" s="26" t="e">
        <f t="shared" si="1"/>
        <v>#VALUE!</v>
      </c>
      <c r="I5844" s="1" t="e">
        <f t="shared" si="2"/>
        <v>#VALUE!</v>
      </c>
    </row>
    <row r="5845" spans="1:9" ht="15.75" customHeight="1">
      <c r="A5845" s="26"/>
      <c r="B5845" s="2"/>
      <c r="C5845" s="26"/>
      <c r="D5845" s="26"/>
      <c r="F5845" s="85" t="str">
        <f t="shared" si="0"/>
        <v/>
      </c>
      <c r="G5845" s="1" t="e">
        <f>IF(VALUE(F5845) = VALUE(RIGHT(Insights!$C$3, 4)), E5845, "")</f>
        <v>#VALUE!</v>
      </c>
      <c r="H5845" s="26" t="e">
        <f t="shared" si="1"/>
        <v>#VALUE!</v>
      </c>
      <c r="I5845" s="1" t="e">
        <f t="shared" si="2"/>
        <v>#VALUE!</v>
      </c>
    </row>
    <row r="5846" spans="1:9" ht="15.75" customHeight="1">
      <c r="A5846" s="26"/>
      <c r="B5846" s="2"/>
      <c r="C5846" s="26"/>
      <c r="D5846" s="26"/>
      <c r="F5846" s="85" t="str">
        <f t="shared" si="0"/>
        <v/>
      </c>
      <c r="G5846" s="1" t="e">
        <f>IF(VALUE(F5846) = VALUE(RIGHT(Insights!$C$3, 4)), E5846, "")</f>
        <v>#VALUE!</v>
      </c>
      <c r="H5846" s="26" t="e">
        <f t="shared" si="1"/>
        <v>#VALUE!</v>
      </c>
      <c r="I5846" s="1" t="e">
        <f t="shared" si="2"/>
        <v>#VALUE!</v>
      </c>
    </row>
    <row r="5847" spans="1:9" ht="15.75" customHeight="1">
      <c r="A5847" s="26"/>
      <c r="B5847" s="2"/>
      <c r="C5847" s="26"/>
      <c r="D5847" s="26"/>
      <c r="F5847" s="85" t="str">
        <f t="shared" si="0"/>
        <v/>
      </c>
      <c r="G5847" s="1" t="e">
        <f>IF(VALUE(F5847) = VALUE(RIGHT(Insights!$C$3, 4)), E5847, "")</f>
        <v>#VALUE!</v>
      </c>
      <c r="H5847" s="26" t="e">
        <f t="shared" si="1"/>
        <v>#VALUE!</v>
      </c>
      <c r="I5847" s="1" t="e">
        <f t="shared" si="2"/>
        <v>#VALUE!</v>
      </c>
    </row>
    <row r="5848" spans="1:9" ht="15.75" customHeight="1">
      <c r="A5848" s="26"/>
      <c r="B5848" s="2"/>
      <c r="C5848" s="26"/>
      <c r="D5848" s="26"/>
      <c r="F5848" s="85" t="str">
        <f t="shared" si="0"/>
        <v/>
      </c>
      <c r="G5848" s="1" t="e">
        <f>IF(VALUE(F5848) = VALUE(RIGHT(Insights!$C$3, 4)), E5848, "")</f>
        <v>#VALUE!</v>
      </c>
      <c r="H5848" s="26" t="e">
        <f t="shared" si="1"/>
        <v>#VALUE!</v>
      </c>
      <c r="I5848" s="1" t="e">
        <f t="shared" si="2"/>
        <v>#VALUE!</v>
      </c>
    </row>
    <row r="5849" spans="1:9" ht="15.75" customHeight="1">
      <c r="A5849" s="26"/>
      <c r="B5849" s="2"/>
      <c r="C5849" s="26"/>
      <c r="D5849" s="26"/>
      <c r="F5849" s="85" t="str">
        <f t="shared" si="0"/>
        <v/>
      </c>
      <c r="G5849" s="1" t="e">
        <f>IF(VALUE(F5849) = VALUE(RIGHT(Insights!$C$3, 4)), E5849, "")</f>
        <v>#VALUE!</v>
      </c>
      <c r="H5849" s="26" t="e">
        <f t="shared" si="1"/>
        <v>#VALUE!</v>
      </c>
      <c r="I5849" s="1" t="e">
        <f t="shared" si="2"/>
        <v>#VALUE!</v>
      </c>
    </row>
    <row r="5850" spans="1:9" ht="15.75" customHeight="1">
      <c r="A5850" s="26"/>
      <c r="B5850" s="2"/>
      <c r="C5850" s="26"/>
      <c r="D5850" s="26"/>
      <c r="F5850" s="85" t="str">
        <f t="shared" si="0"/>
        <v/>
      </c>
      <c r="G5850" s="1" t="e">
        <f>IF(VALUE(F5850) = VALUE(RIGHT(Insights!$C$3, 4)), E5850, "")</f>
        <v>#VALUE!</v>
      </c>
      <c r="H5850" s="26" t="e">
        <f t="shared" si="1"/>
        <v>#VALUE!</v>
      </c>
      <c r="I5850" s="1" t="e">
        <f t="shared" si="2"/>
        <v>#VALUE!</v>
      </c>
    </row>
    <row r="5851" spans="1:9" ht="15.75" customHeight="1">
      <c r="A5851" s="26"/>
      <c r="B5851" s="2"/>
      <c r="C5851" s="26"/>
      <c r="D5851" s="26"/>
      <c r="F5851" s="85" t="str">
        <f t="shared" si="0"/>
        <v/>
      </c>
      <c r="G5851" s="1" t="e">
        <f>IF(VALUE(F5851) = VALUE(RIGHT(Insights!$C$3, 4)), E5851, "")</f>
        <v>#VALUE!</v>
      </c>
      <c r="H5851" s="26" t="e">
        <f t="shared" si="1"/>
        <v>#VALUE!</v>
      </c>
      <c r="I5851" s="1" t="e">
        <f t="shared" si="2"/>
        <v>#VALUE!</v>
      </c>
    </row>
    <row r="5852" spans="1:9" ht="15.75" customHeight="1">
      <c r="A5852" s="26"/>
      <c r="B5852" s="2"/>
      <c r="C5852" s="26"/>
      <c r="D5852" s="26"/>
      <c r="F5852" s="85" t="str">
        <f t="shared" si="0"/>
        <v/>
      </c>
      <c r="G5852" s="1" t="e">
        <f>IF(VALUE(F5852) = VALUE(RIGHT(Insights!$C$3, 4)), E5852, "")</f>
        <v>#VALUE!</v>
      </c>
      <c r="H5852" s="26" t="e">
        <f t="shared" si="1"/>
        <v>#VALUE!</v>
      </c>
      <c r="I5852" s="1" t="e">
        <f t="shared" si="2"/>
        <v>#VALUE!</v>
      </c>
    </row>
    <row r="5853" spans="1:9" ht="15.75" customHeight="1">
      <c r="A5853" s="26"/>
      <c r="B5853" s="2"/>
      <c r="C5853" s="26"/>
      <c r="D5853" s="26"/>
      <c r="F5853" s="85" t="str">
        <f t="shared" si="0"/>
        <v/>
      </c>
      <c r="G5853" s="1" t="e">
        <f>IF(VALUE(F5853) = VALUE(RIGHT(Insights!$C$3, 4)), E5853, "")</f>
        <v>#VALUE!</v>
      </c>
      <c r="H5853" s="26" t="e">
        <f t="shared" si="1"/>
        <v>#VALUE!</v>
      </c>
      <c r="I5853" s="1" t="e">
        <f t="shared" si="2"/>
        <v>#VALUE!</v>
      </c>
    </row>
    <row r="5854" spans="1:9" ht="15.75" customHeight="1">
      <c r="A5854" s="26"/>
      <c r="B5854" s="2"/>
      <c r="C5854" s="26"/>
      <c r="D5854" s="26"/>
      <c r="F5854" s="85" t="str">
        <f t="shared" si="0"/>
        <v/>
      </c>
      <c r="G5854" s="1" t="e">
        <f>IF(VALUE(F5854) = VALUE(RIGHT(Insights!$C$3, 4)), E5854, "")</f>
        <v>#VALUE!</v>
      </c>
      <c r="H5854" s="26" t="e">
        <f t="shared" si="1"/>
        <v>#VALUE!</v>
      </c>
      <c r="I5854" s="1" t="e">
        <f t="shared" si="2"/>
        <v>#VALUE!</v>
      </c>
    </row>
    <row r="5855" spans="1:9" ht="15.75" customHeight="1">
      <c r="A5855" s="26"/>
      <c r="B5855" s="2"/>
      <c r="C5855" s="26"/>
      <c r="D5855" s="26"/>
      <c r="F5855" s="85" t="str">
        <f t="shared" si="0"/>
        <v/>
      </c>
      <c r="G5855" s="1" t="e">
        <f>IF(VALUE(F5855) = VALUE(RIGHT(Insights!$C$3, 4)), E5855, "")</f>
        <v>#VALUE!</v>
      </c>
      <c r="H5855" s="26" t="e">
        <f t="shared" si="1"/>
        <v>#VALUE!</v>
      </c>
      <c r="I5855" s="1" t="e">
        <f t="shared" si="2"/>
        <v>#VALUE!</v>
      </c>
    </row>
    <row r="5856" spans="1:9" ht="15.75" customHeight="1">
      <c r="A5856" s="26"/>
      <c r="B5856" s="2"/>
      <c r="C5856" s="26"/>
      <c r="D5856" s="26"/>
      <c r="F5856" s="85" t="str">
        <f t="shared" si="0"/>
        <v/>
      </c>
      <c r="G5856" s="1" t="e">
        <f>IF(VALUE(F5856) = VALUE(RIGHT(Insights!$C$3, 4)), E5856, "")</f>
        <v>#VALUE!</v>
      </c>
      <c r="H5856" s="26" t="e">
        <f t="shared" si="1"/>
        <v>#VALUE!</v>
      </c>
      <c r="I5856" s="1" t="e">
        <f t="shared" si="2"/>
        <v>#VALUE!</v>
      </c>
    </row>
    <row r="5857" spans="1:9" ht="15.75" customHeight="1">
      <c r="A5857" s="26"/>
      <c r="B5857" s="2"/>
      <c r="C5857" s="26"/>
      <c r="D5857" s="26"/>
      <c r="F5857" s="85" t="str">
        <f t="shared" si="0"/>
        <v/>
      </c>
      <c r="G5857" s="1" t="e">
        <f>IF(VALUE(F5857) = VALUE(RIGHT(Insights!$C$3, 4)), E5857, "")</f>
        <v>#VALUE!</v>
      </c>
      <c r="H5857" s="26" t="e">
        <f t="shared" si="1"/>
        <v>#VALUE!</v>
      </c>
      <c r="I5857" s="1" t="e">
        <f t="shared" si="2"/>
        <v>#VALUE!</v>
      </c>
    </row>
    <row r="5858" spans="1:9" ht="15.75" customHeight="1">
      <c r="A5858" s="26"/>
      <c r="B5858" s="2"/>
      <c r="C5858" s="26"/>
      <c r="D5858" s="26"/>
      <c r="F5858" s="85" t="str">
        <f t="shared" si="0"/>
        <v/>
      </c>
      <c r="G5858" s="1" t="e">
        <f>IF(VALUE(F5858) = VALUE(RIGHT(Insights!$C$3, 4)), E5858, "")</f>
        <v>#VALUE!</v>
      </c>
      <c r="H5858" s="26" t="e">
        <f t="shared" si="1"/>
        <v>#VALUE!</v>
      </c>
      <c r="I5858" s="1" t="e">
        <f t="shared" si="2"/>
        <v>#VALUE!</v>
      </c>
    </row>
    <row r="5859" spans="1:9" ht="15.75" customHeight="1">
      <c r="A5859" s="26"/>
      <c r="B5859" s="2"/>
      <c r="C5859" s="26"/>
      <c r="D5859" s="26"/>
      <c r="F5859" s="85" t="str">
        <f t="shared" si="0"/>
        <v/>
      </c>
      <c r="G5859" s="1" t="e">
        <f>IF(VALUE(F5859) = VALUE(RIGHT(Insights!$C$3, 4)), E5859, "")</f>
        <v>#VALUE!</v>
      </c>
      <c r="H5859" s="26" t="e">
        <f t="shared" si="1"/>
        <v>#VALUE!</v>
      </c>
      <c r="I5859" s="1" t="e">
        <f t="shared" si="2"/>
        <v>#VALUE!</v>
      </c>
    </row>
    <row r="5860" spans="1:9" ht="15.75" customHeight="1">
      <c r="A5860" s="26"/>
      <c r="B5860" s="2"/>
      <c r="C5860" s="26"/>
      <c r="D5860" s="26"/>
      <c r="F5860" s="85" t="str">
        <f t="shared" si="0"/>
        <v/>
      </c>
      <c r="G5860" s="1" t="e">
        <f>IF(VALUE(F5860) = VALUE(RIGHT(Insights!$C$3, 4)), E5860, "")</f>
        <v>#VALUE!</v>
      </c>
      <c r="H5860" s="26" t="e">
        <f t="shared" si="1"/>
        <v>#VALUE!</v>
      </c>
      <c r="I5860" s="1" t="e">
        <f t="shared" si="2"/>
        <v>#VALUE!</v>
      </c>
    </row>
    <row r="5861" spans="1:9" ht="15.75" customHeight="1">
      <c r="A5861" s="26"/>
      <c r="B5861" s="2"/>
      <c r="C5861" s="26"/>
      <c r="D5861" s="26"/>
      <c r="F5861" s="85" t="str">
        <f t="shared" si="0"/>
        <v/>
      </c>
      <c r="G5861" s="1" t="e">
        <f>IF(VALUE(F5861) = VALUE(RIGHT(Insights!$C$3, 4)), E5861, "")</f>
        <v>#VALUE!</v>
      </c>
      <c r="H5861" s="26" t="e">
        <f t="shared" si="1"/>
        <v>#VALUE!</v>
      </c>
      <c r="I5861" s="1" t="e">
        <f t="shared" si="2"/>
        <v>#VALUE!</v>
      </c>
    </row>
    <row r="5862" spans="1:9" ht="15.75" customHeight="1">
      <c r="A5862" s="26"/>
      <c r="B5862" s="2"/>
      <c r="C5862" s="26"/>
      <c r="D5862" s="26"/>
      <c r="F5862" s="85" t="str">
        <f t="shared" si="0"/>
        <v/>
      </c>
      <c r="G5862" s="1" t="e">
        <f>IF(VALUE(F5862) = VALUE(RIGHT(Insights!$C$3, 4)), E5862, "")</f>
        <v>#VALUE!</v>
      </c>
      <c r="H5862" s="26" t="e">
        <f t="shared" si="1"/>
        <v>#VALUE!</v>
      </c>
      <c r="I5862" s="1" t="e">
        <f t="shared" si="2"/>
        <v>#VALUE!</v>
      </c>
    </row>
    <row r="5863" spans="1:9" ht="15.75" customHeight="1">
      <c r="A5863" s="26"/>
      <c r="B5863" s="2"/>
      <c r="C5863" s="26"/>
      <c r="D5863" s="26"/>
      <c r="F5863" s="85" t="str">
        <f t="shared" si="0"/>
        <v/>
      </c>
      <c r="G5863" s="1" t="e">
        <f>IF(VALUE(F5863) = VALUE(RIGHT(Insights!$C$3, 4)), E5863, "")</f>
        <v>#VALUE!</v>
      </c>
      <c r="H5863" s="26" t="e">
        <f t="shared" si="1"/>
        <v>#VALUE!</v>
      </c>
      <c r="I5863" s="1" t="e">
        <f t="shared" si="2"/>
        <v>#VALUE!</v>
      </c>
    </row>
    <row r="5864" spans="1:9" ht="15.75" customHeight="1">
      <c r="A5864" s="26"/>
      <c r="B5864" s="2"/>
      <c r="C5864" s="26"/>
      <c r="D5864" s="26"/>
      <c r="F5864" s="85" t="str">
        <f t="shared" si="0"/>
        <v/>
      </c>
      <c r="G5864" s="1" t="e">
        <f>IF(VALUE(F5864) = VALUE(RIGHT(Insights!$C$3, 4)), E5864, "")</f>
        <v>#VALUE!</v>
      </c>
      <c r="H5864" s="26" t="e">
        <f t="shared" si="1"/>
        <v>#VALUE!</v>
      </c>
      <c r="I5864" s="1" t="e">
        <f t="shared" si="2"/>
        <v>#VALUE!</v>
      </c>
    </row>
    <row r="5865" spans="1:9" ht="15.75" customHeight="1">
      <c r="A5865" s="26"/>
      <c r="B5865" s="2"/>
      <c r="C5865" s="26"/>
      <c r="D5865" s="26"/>
      <c r="F5865" s="85" t="str">
        <f t="shared" si="0"/>
        <v/>
      </c>
      <c r="G5865" s="1" t="e">
        <f>IF(VALUE(F5865) = VALUE(RIGHT(Insights!$C$3, 4)), E5865, "")</f>
        <v>#VALUE!</v>
      </c>
      <c r="H5865" s="26" t="e">
        <f t="shared" si="1"/>
        <v>#VALUE!</v>
      </c>
      <c r="I5865" s="1" t="e">
        <f t="shared" si="2"/>
        <v>#VALUE!</v>
      </c>
    </row>
    <row r="5866" spans="1:9" ht="15.75" customHeight="1">
      <c r="A5866" s="26"/>
      <c r="B5866" s="2"/>
      <c r="C5866" s="26"/>
      <c r="D5866" s="26"/>
      <c r="F5866" s="85" t="str">
        <f t="shared" si="0"/>
        <v/>
      </c>
      <c r="G5866" s="1" t="e">
        <f>IF(VALUE(F5866) = VALUE(RIGHT(Insights!$C$3, 4)), E5866, "")</f>
        <v>#VALUE!</v>
      </c>
      <c r="H5866" s="26" t="e">
        <f t="shared" si="1"/>
        <v>#VALUE!</v>
      </c>
      <c r="I5866" s="1" t="e">
        <f t="shared" si="2"/>
        <v>#VALUE!</v>
      </c>
    </row>
    <row r="5867" spans="1:9" ht="15.75" customHeight="1">
      <c r="A5867" s="26"/>
      <c r="B5867" s="2"/>
      <c r="C5867" s="26"/>
      <c r="D5867" s="26"/>
      <c r="F5867" s="85" t="str">
        <f t="shared" si="0"/>
        <v/>
      </c>
      <c r="G5867" s="1" t="e">
        <f>IF(VALUE(F5867) = VALUE(RIGHT(Insights!$C$3, 4)), E5867, "")</f>
        <v>#VALUE!</v>
      </c>
      <c r="H5867" s="26" t="e">
        <f t="shared" si="1"/>
        <v>#VALUE!</v>
      </c>
      <c r="I5867" s="1" t="e">
        <f t="shared" si="2"/>
        <v>#VALUE!</v>
      </c>
    </row>
    <row r="5868" spans="1:9" ht="15.75" customHeight="1">
      <c r="A5868" s="26"/>
      <c r="B5868" s="2"/>
      <c r="C5868" s="26"/>
      <c r="D5868" s="26"/>
      <c r="F5868" s="85" t="str">
        <f t="shared" si="0"/>
        <v/>
      </c>
      <c r="G5868" s="1" t="e">
        <f>IF(VALUE(F5868) = VALUE(RIGHT(Insights!$C$3, 4)), E5868, "")</f>
        <v>#VALUE!</v>
      </c>
      <c r="H5868" s="26" t="e">
        <f t="shared" si="1"/>
        <v>#VALUE!</v>
      </c>
      <c r="I5868" s="1" t="e">
        <f t="shared" si="2"/>
        <v>#VALUE!</v>
      </c>
    </row>
    <row r="5869" spans="1:9" ht="15.75" customHeight="1">
      <c r="A5869" s="26"/>
      <c r="B5869" s="2"/>
      <c r="C5869" s="26"/>
      <c r="D5869" s="26"/>
      <c r="F5869" s="85" t="str">
        <f t="shared" si="0"/>
        <v/>
      </c>
      <c r="G5869" s="1" t="e">
        <f>IF(VALUE(F5869) = VALUE(RIGHT(Insights!$C$3, 4)), E5869, "")</f>
        <v>#VALUE!</v>
      </c>
      <c r="H5869" s="26" t="e">
        <f t="shared" si="1"/>
        <v>#VALUE!</v>
      </c>
      <c r="I5869" s="1" t="e">
        <f t="shared" si="2"/>
        <v>#VALUE!</v>
      </c>
    </row>
    <row r="5870" spans="1:9" ht="15.75" customHeight="1">
      <c r="A5870" s="26"/>
      <c r="B5870" s="2"/>
      <c r="C5870" s="26"/>
      <c r="D5870" s="26"/>
      <c r="F5870" s="85" t="str">
        <f t="shared" si="0"/>
        <v/>
      </c>
      <c r="G5870" s="1" t="e">
        <f>IF(VALUE(F5870) = VALUE(RIGHT(Insights!$C$3, 4)), E5870, "")</f>
        <v>#VALUE!</v>
      </c>
      <c r="H5870" s="26" t="e">
        <f t="shared" si="1"/>
        <v>#VALUE!</v>
      </c>
      <c r="I5870" s="1" t="e">
        <f t="shared" si="2"/>
        <v>#VALUE!</v>
      </c>
    </row>
    <row r="5871" spans="1:9" ht="15.75" customHeight="1">
      <c r="A5871" s="26"/>
      <c r="B5871" s="2"/>
      <c r="C5871" s="26"/>
      <c r="D5871" s="26"/>
      <c r="F5871" s="85" t="str">
        <f t="shared" si="0"/>
        <v/>
      </c>
      <c r="G5871" s="1" t="e">
        <f>IF(VALUE(F5871) = VALUE(RIGHT(Insights!$C$3, 4)), E5871, "")</f>
        <v>#VALUE!</v>
      </c>
      <c r="H5871" s="26" t="e">
        <f t="shared" si="1"/>
        <v>#VALUE!</v>
      </c>
      <c r="I5871" s="1" t="e">
        <f t="shared" si="2"/>
        <v>#VALUE!</v>
      </c>
    </row>
    <row r="5872" spans="1:9" ht="15.75" customHeight="1">
      <c r="A5872" s="26"/>
      <c r="B5872" s="2"/>
      <c r="C5872" s="26"/>
      <c r="D5872" s="26"/>
      <c r="F5872" s="85" t="str">
        <f t="shared" si="0"/>
        <v/>
      </c>
      <c r="G5872" s="1" t="e">
        <f>IF(VALUE(F5872) = VALUE(RIGHT(Insights!$C$3, 4)), E5872, "")</f>
        <v>#VALUE!</v>
      </c>
      <c r="H5872" s="26" t="e">
        <f t="shared" si="1"/>
        <v>#VALUE!</v>
      </c>
      <c r="I5872" s="1" t="e">
        <f t="shared" si="2"/>
        <v>#VALUE!</v>
      </c>
    </row>
    <row r="5873" spans="1:9" ht="15.75" customHeight="1">
      <c r="A5873" s="26"/>
      <c r="B5873" s="2"/>
      <c r="C5873" s="26"/>
      <c r="D5873" s="26"/>
      <c r="F5873" s="85" t="str">
        <f t="shared" si="0"/>
        <v/>
      </c>
      <c r="G5873" s="1" t="e">
        <f>IF(VALUE(F5873) = VALUE(RIGHT(Insights!$C$3, 4)), E5873, "")</f>
        <v>#VALUE!</v>
      </c>
      <c r="H5873" s="26" t="e">
        <f t="shared" si="1"/>
        <v>#VALUE!</v>
      </c>
      <c r="I5873" s="1" t="e">
        <f t="shared" si="2"/>
        <v>#VALUE!</v>
      </c>
    </row>
    <row r="5874" spans="1:9" ht="15.75" customHeight="1">
      <c r="A5874" s="26"/>
      <c r="B5874" s="2"/>
      <c r="C5874" s="26"/>
      <c r="D5874" s="26"/>
      <c r="F5874" s="85" t="str">
        <f t="shared" si="0"/>
        <v/>
      </c>
      <c r="G5874" s="1" t="e">
        <f>IF(VALUE(F5874) = VALUE(RIGHT(Insights!$C$3, 4)), E5874, "")</f>
        <v>#VALUE!</v>
      </c>
      <c r="H5874" s="26" t="e">
        <f t="shared" si="1"/>
        <v>#VALUE!</v>
      </c>
      <c r="I5874" s="1" t="e">
        <f t="shared" si="2"/>
        <v>#VALUE!</v>
      </c>
    </row>
    <row r="5875" spans="1:9" ht="15.75" customHeight="1">
      <c r="A5875" s="26"/>
      <c r="B5875" s="2"/>
      <c r="C5875" s="26"/>
      <c r="D5875" s="26"/>
      <c r="F5875" s="85" t="str">
        <f t="shared" si="0"/>
        <v/>
      </c>
      <c r="G5875" s="1" t="e">
        <f>IF(VALUE(F5875) = VALUE(RIGHT(Insights!$C$3, 4)), E5875, "")</f>
        <v>#VALUE!</v>
      </c>
      <c r="H5875" s="26" t="e">
        <f t="shared" si="1"/>
        <v>#VALUE!</v>
      </c>
      <c r="I5875" s="1" t="e">
        <f t="shared" si="2"/>
        <v>#VALUE!</v>
      </c>
    </row>
    <row r="5876" spans="1:9" ht="15.75" customHeight="1">
      <c r="A5876" s="26"/>
      <c r="B5876" s="2"/>
      <c r="C5876" s="26"/>
      <c r="D5876" s="26"/>
      <c r="F5876" s="85" t="str">
        <f t="shared" si="0"/>
        <v/>
      </c>
      <c r="G5876" s="1" t="e">
        <f>IF(VALUE(F5876) = VALUE(RIGHT(Insights!$C$3, 4)), E5876, "")</f>
        <v>#VALUE!</v>
      </c>
      <c r="H5876" s="26" t="e">
        <f t="shared" si="1"/>
        <v>#VALUE!</v>
      </c>
      <c r="I5876" s="1" t="e">
        <f t="shared" si="2"/>
        <v>#VALUE!</v>
      </c>
    </row>
    <row r="5877" spans="1:9" ht="15.75" customHeight="1">
      <c r="A5877" s="26"/>
      <c r="B5877" s="2"/>
      <c r="C5877" s="26"/>
      <c r="D5877" s="26"/>
      <c r="F5877" s="85" t="str">
        <f t="shared" si="0"/>
        <v/>
      </c>
      <c r="G5877" s="1" t="e">
        <f>IF(VALUE(F5877) = VALUE(RIGHT(Insights!$C$3, 4)), E5877, "")</f>
        <v>#VALUE!</v>
      </c>
      <c r="H5877" s="26" t="e">
        <f t="shared" si="1"/>
        <v>#VALUE!</v>
      </c>
      <c r="I5877" s="1" t="e">
        <f t="shared" si="2"/>
        <v>#VALUE!</v>
      </c>
    </row>
    <row r="5878" spans="1:9" ht="15.75" customHeight="1">
      <c r="A5878" s="26"/>
      <c r="B5878" s="2"/>
      <c r="C5878" s="26"/>
      <c r="D5878" s="26"/>
      <c r="F5878" s="85" t="str">
        <f t="shared" si="0"/>
        <v/>
      </c>
      <c r="G5878" s="1" t="e">
        <f>IF(VALUE(F5878) = VALUE(RIGHT(Insights!$C$3, 4)), E5878, "")</f>
        <v>#VALUE!</v>
      </c>
      <c r="H5878" s="26" t="e">
        <f t="shared" si="1"/>
        <v>#VALUE!</v>
      </c>
      <c r="I5878" s="1" t="e">
        <f t="shared" si="2"/>
        <v>#VALUE!</v>
      </c>
    </row>
    <row r="5879" spans="1:9" ht="15.75" customHeight="1">
      <c r="A5879" s="26"/>
      <c r="B5879" s="2"/>
      <c r="C5879" s="26"/>
      <c r="D5879" s="26"/>
      <c r="F5879" s="85" t="str">
        <f t="shared" si="0"/>
        <v/>
      </c>
      <c r="G5879" s="1" t="e">
        <f>IF(VALUE(F5879) = VALUE(RIGHT(Insights!$C$3, 4)), E5879, "")</f>
        <v>#VALUE!</v>
      </c>
      <c r="H5879" s="26" t="e">
        <f t="shared" si="1"/>
        <v>#VALUE!</v>
      </c>
      <c r="I5879" s="1" t="e">
        <f t="shared" si="2"/>
        <v>#VALUE!</v>
      </c>
    </row>
    <row r="5880" spans="1:9" ht="15.75" customHeight="1">
      <c r="A5880" s="26"/>
      <c r="B5880" s="2"/>
      <c r="C5880" s="26"/>
      <c r="D5880" s="26"/>
      <c r="F5880" s="85" t="str">
        <f t="shared" si="0"/>
        <v/>
      </c>
      <c r="G5880" s="1" t="e">
        <f>IF(VALUE(F5880) = VALUE(RIGHT(Insights!$C$3, 4)), E5880, "")</f>
        <v>#VALUE!</v>
      </c>
      <c r="H5880" s="26" t="e">
        <f t="shared" si="1"/>
        <v>#VALUE!</v>
      </c>
      <c r="I5880" s="1" t="e">
        <f t="shared" si="2"/>
        <v>#VALUE!</v>
      </c>
    </row>
    <row r="5881" spans="1:9" ht="15.75" customHeight="1">
      <c r="A5881" s="26"/>
      <c r="B5881" s="2"/>
      <c r="C5881" s="26"/>
      <c r="D5881" s="26"/>
      <c r="F5881" s="85" t="str">
        <f t="shared" si="0"/>
        <v/>
      </c>
      <c r="G5881" s="1" t="e">
        <f>IF(VALUE(F5881) = VALUE(RIGHT(Insights!$C$3, 4)), E5881, "")</f>
        <v>#VALUE!</v>
      </c>
      <c r="H5881" s="26" t="e">
        <f t="shared" si="1"/>
        <v>#VALUE!</v>
      </c>
      <c r="I5881" s="1" t="e">
        <f t="shared" si="2"/>
        <v>#VALUE!</v>
      </c>
    </row>
    <row r="5882" spans="1:9" ht="15.75" customHeight="1">
      <c r="A5882" s="26"/>
      <c r="B5882" s="2"/>
      <c r="C5882" s="26"/>
      <c r="D5882" s="26"/>
      <c r="F5882" s="85" t="str">
        <f t="shared" si="0"/>
        <v/>
      </c>
      <c r="G5882" s="1" t="e">
        <f>IF(VALUE(F5882) = VALUE(RIGHT(Insights!$C$3, 4)), E5882, "")</f>
        <v>#VALUE!</v>
      </c>
      <c r="H5882" s="26" t="e">
        <f t="shared" si="1"/>
        <v>#VALUE!</v>
      </c>
      <c r="I5882" s="1" t="e">
        <f t="shared" si="2"/>
        <v>#VALUE!</v>
      </c>
    </row>
    <row r="5883" spans="1:9" ht="15.75" customHeight="1">
      <c r="A5883" s="26"/>
      <c r="B5883" s="2"/>
      <c r="C5883" s="26"/>
      <c r="D5883" s="26"/>
      <c r="F5883" s="85" t="str">
        <f t="shared" si="0"/>
        <v/>
      </c>
      <c r="G5883" s="1" t="e">
        <f>IF(VALUE(F5883) = VALUE(RIGHT(Insights!$C$3, 4)), E5883, "")</f>
        <v>#VALUE!</v>
      </c>
      <c r="H5883" s="26" t="e">
        <f t="shared" si="1"/>
        <v>#VALUE!</v>
      </c>
      <c r="I5883" s="1" t="e">
        <f t="shared" si="2"/>
        <v>#VALUE!</v>
      </c>
    </row>
    <row r="5884" spans="1:9" ht="15.75" customHeight="1">
      <c r="A5884" s="26"/>
      <c r="B5884" s="2"/>
      <c r="C5884" s="26"/>
      <c r="D5884" s="26"/>
      <c r="F5884" s="85" t="str">
        <f t="shared" si="0"/>
        <v/>
      </c>
      <c r="G5884" s="1" t="e">
        <f>IF(VALUE(F5884) = VALUE(RIGHT(Insights!$C$3, 4)), E5884, "")</f>
        <v>#VALUE!</v>
      </c>
      <c r="H5884" s="26" t="e">
        <f t="shared" si="1"/>
        <v>#VALUE!</v>
      </c>
      <c r="I5884" s="1" t="e">
        <f t="shared" si="2"/>
        <v>#VALUE!</v>
      </c>
    </row>
    <row r="5885" spans="1:9" ht="15.75" customHeight="1">
      <c r="A5885" s="26"/>
      <c r="B5885" s="2"/>
      <c r="C5885" s="26"/>
      <c r="D5885" s="26"/>
      <c r="F5885" s="85" t="str">
        <f t="shared" si="0"/>
        <v/>
      </c>
      <c r="G5885" s="1" t="e">
        <f>IF(VALUE(F5885) = VALUE(RIGHT(Insights!$C$3, 4)), E5885, "")</f>
        <v>#VALUE!</v>
      </c>
      <c r="H5885" s="26" t="e">
        <f t="shared" si="1"/>
        <v>#VALUE!</v>
      </c>
      <c r="I5885" s="1" t="e">
        <f t="shared" si="2"/>
        <v>#VALUE!</v>
      </c>
    </row>
    <row r="5886" spans="1:9" ht="15.75" customHeight="1">
      <c r="A5886" s="26"/>
      <c r="B5886" s="2"/>
      <c r="C5886" s="26"/>
      <c r="D5886" s="26"/>
      <c r="F5886" s="85" t="str">
        <f t="shared" si="0"/>
        <v/>
      </c>
      <c r="G5886" s="1" t="e">
        <f>IF(VALUE(F5886) = VALUE(RIGHT(Insights!$C$3, 4)), E5886, "")</f>
        <v>#VALUE!</v>
      </c>
      <c r="H5886" s="26" t="e">
        <f t="shared" si="1"/>
        <v>#VALUE!</v>
      </c>
      <c r="I5886" s="1" t="e">
        <f t="shared" si="2"/>
        <v>#VALUE!</v>
      </c>
    </row>
    <row r="5887" spans="1:9" ht="15.75" customHeight="1">
      <c r="A5887" s="26"/>
      <c r="B5887" s="2"/>
      <c r="C5887" s="26"/>
      <c r="D5887" s="26"/>
      <c r="F5887" s="85" t="str">
        <f t="shared" si="0"/>
        <v/>
      </c>
      <c r="G5887" s="1" t="e">
        <f>IF(VALUE(F5887) = VALUE(RIGHT(Insights!$C$3, 4)), E5887, "")</f>
        <v>#VALUE!</v>
      </c>
      <c r="H5887" s="26" t="e">
        <f t="shared" si="1"/>
        <v>#VALUE!</v>
      </c>
      <c r="I5887" s="1" t="e">
        <f t="shared" si="2"/>
        <v>#VALUE!</v>
      </c>
    </row>
    <row r="5888" spans="1:9" ht="15.75" customHeight="1">
      <c r="A5888" s="26"/>
      <c r="B5888" s="2"/>
      <c r="C5888" s="26"/>
      <c r="D5888" s="26"/>
      <c r="F5888" s="85" t="str">
        <f t="shared" si="0"/>
        <v/>
      </c>
      <c r="G5888" s="1" t="e">
        <f>IF(VALUE(F5888) = VALUE(RIGHT(Insights!$C$3, 4)), E5888, "")</f>
        <v>#VALUE!</v>
      </c>
      <c r="H5888" s="26" t="e">
        <f t="shared" si="1"/>
        <v>#VALUE!</v>
      </c>
      <c r="I5888" s="1" t="e">
        <f t="shared" si="2"/>
        <v>#VALUE!</v>
      </c>
    </row>
    <row r="5889" spans="1:9" ht="15.75" customHeight="1">
      <c r="A5889" s="26"/>
      <c r="B5889" s="2"/>
      <c r="C5889" s="26"/>
      <c r="D5889" s="26"/>
      <c r="F5889" s="85" t="str">
        <f t="shared" si="0"/>
        <v/>
      </c>
      <c r="G5889" s="1" t="e">
        <f>IF(VALUE(F5889) = VALUE(RIGHT(Insights!$C$3, 4)), E5889, "")</f>
        <v>#VALUE!</v>
      </c>
      <c r="H5889" s="26" t="e">
        <f t="shared" si="1"/>
        <v>#VALUE!</v>
      </c>
      <c r="I5889" s="1" t="e">
        <f t="shared" si="2"/>
        <v>#VALUE!</v>
      </c>
    </row>
    <row r="5890" spans="1:9" ht="15.75" customHeight="1">
      <c r="A5890" s="26"/>
      <c r="B5890" s="2"/>
      <c r="C5890" s="26"/>
      <c r="D5890" s="26"/>
      <c r="F5890" s="85" t="str">
        <f t="shared" si="0"/>
        <v/>
      </c>
      <c r="G5890" s="1" t="e">
        <f>IF(VALUE(F5890) = VALUE(RIGHT(Insights!$C$3, 4)), E5890, "")</f>
        <v>#VALUE!</v>
      </c>
      <c r="H5890" s="26" t="e">
        <f t="shared" si="1"/>
        <v>#VALUE!</v>
      </c>
      <c r="I5890" s="1" t="e">
        <f t="shared" si="2"/>
        <v>#VALUE!</v>
      </c>
    </row>
    <row r="5891" spans="1:9" ht="15.75" customHeight="1">
      <c r="A5891" s="26"/>
      <c r="B5891" s="2"/>
      <c r="C5891" s="26"/>
      <c r="D5891" s="26"/>
      <c r="F5891" s="85" t="str">
        <f t="shared" si="0"/>
        <v/>
      </c>
      <c r="G5891" s="1" t="e">
        <f>IF(VALUE(F5891) = VALUE(RIGHT(Insights!$C$3, 4)), E5891, "")</f>
        <v>#VALUE!</v>
      </c>
      <c r="H5891" s="26" t="e">
        <f t="shared" si="1"/>
        <v>#VALUE!</v>
      </c>
      <c r="I5891" s="1" t="e">
        <f t="shared" si="2"/>
        <v>#VALUE!</v>
      </c>
    </row>
    <row r="5892" spans="1:9" ht="15.75" customHeight="1">
      <c r="A5892" s="26"/>
      <c r="B5892" s="2"/>
      <c r="C5892" s="26"/>
      <c r="D5892" s="26"/>
      <c r="F5892" s="85" t="str">
        <f t="shared" si="0"/>
        <v/>
      </c>
      <c r="G5892" s="1" t="e">
        <f>IF(VALUE(F5892) = VALUE(RIGHT(Insights!$C$3, 4)), E5892, "")</f>
        <v>#VALUE!</v>
      </c>
      <c r="H5892" s="26" t="e">
        <f t="shared" si="1"/>
        <v>#VALUE!</v>
      </c>
      <c r="I5892" s="1" t="e">
        <f t="shared" si="2"/>
        <v>#VALUE!</v>
      </c>
    </row>
    <row r="5893" spans="1:9" ht="15.75" customHeight="1">
      <c r="A5893" s="26"/>
      <c r="B5893" s="2"/>
      <c r="C5893" s="26"/>
      <c r="D5893" s="26"/>
      <c r="F5893" s="85" t="str">
        <f t="shared" si="0"/>
        <v/>
      </c>
      <c r="G5893" s="1" t="e">
        <f>IF(VALUE(F5893) = VALUE(RIGHT(Insights!$C$3, 4)), E5893, "")</f>
        <v>#VALUE!</v>
      </c>
      <c r="H5893" s="26" t="e">
        <f t="shared" si="1"/>
        <v>#VALUE!</v>
      </c>
      <c r="I5893" s="1" t="e">
        <f t="shared" si="2"/>
        <v>#VALUE!</v>
      </c>
    </row>
    <row r="5894" spans="1:9" ht="15.75" customHeight="1">
      <c r="A5894" s="26"/>
      <c r="B5894" s="2"/>
      <c r="C5894" s="26"/>
      <c r="D5894" s="26"/>
      <c r="F5894" s="85" t="str">
        <f t="shared" si="0"/>
        <v/>
      </c>
      <c r="G5894" s="1" t="e">
        <f>IF(VALUE(F5894) = VALUE(RIGHT(Insights!$C$3, 4)), E5894, "")</f>
        <v>#VALUE!</v>
      </c>
      <c r="H5894" s="26" t="e">
        <f t="shared" si="1"/>
        <v>#VALUE!</v>
      </c>
      <c r="I5894" s="1" t="e">
        <f t="shared" si="2"/>
        <v>#VALUE!</v>
      </c>
    </row>
    <row r="5895" spans="1:9" ht="15.75" customHeight="1">
      <c r="A5895" s="26"/>
      <c r="B5895" s="2"/>
      <c r="C5895" s="26"/>
      <c r="D5895" s="26"/>
      <c r="F5895" s="85" t="str">
        <f t="shared" si="0"/>
        <v/>
      </c>
      <c r="G5895" s="1" t="e">
        <f>IF(VALUE(F5895) = VALUE(RIGHT(Insights!$C$3, 4)), E5895, "")</f>
        <v>#VALUE!</v>
      </c>
      <c r="H5895" s="26" t="e">
        <f t="shared" si="1"/>
        <v>#VALUE!</v>
      </c>
      <c r="I5895" s="1" t="e">
        <f t="shared" si="2"/>
        <v>#VALUE!</v>
      </c>
    </row>
    <row r="5896" spans="1:9" ht="15.75" customHeight="1">
      <c r="A5896" s="26"/>
      <c r="B5896" s="2"/>
      <c r="C5896" s="26"/>
      <c r="D5896" s="26"/>
      <c r="F5896" s="85" t="str">
        <f t="shared" si="0"/>
        <v/>
      </c>
      <c r="G5896" s="1" t="e">
        <f>IF(VALUE(F5896) = VALUE(RIGHT(Insights!$C$3, 4)), E5896, "")</f>
        <v>#VALUE!</v>
      </c>
      <c r="H5896" s="26" t="e">
        <f t="shared" si="1"/>
        <v>#VALUE!</v>
      </c>
      <c r="I5896" s="1" t="e">
        <f t="shared" si="2"/>
        <v>#VALUE!</v>
      </c>
    </row>
    <row r="5897" spans="1:9" ht="15.75" customHeight="1">
      <c r="A5897" s="26"/>
      <c r="B5897" s="2"/>
      <c r="C5897" s="26"/>
      <c r="D5897" s="26"/>
      <c r="F5897" s="85" t="str">
        <f t="shared" si="0"/>
        <v/>
      </c>
      <c r="G5897" s="1" t="e">
        <f>IF(VALUE(F5897) = VALUE(RIGHT(Insights!$C$3, 4)), E5897, "")</f>
        <v>#VALUE!</v>
      </c>
      <c r="H5897" s="26" t="e">
        <f t="shared" si="1"/>
        <v>#VALUE!</v>
      </c>
      <c r="I5897" s="1" t="e">
        <f t="shared" si="2"/>
        <v>#VALUE!</v>
      </c>
    </row>
    <row r="5898" spans="1:9" ht="15.75" customHeight="1">
      <c r="A5898" s="26"/>
      <c r="B5898" s="2"/>
      <c r="C5898" s="26"/>
      <c r="D5898" s="26"/>
      <c r="F5898" s="85" t="str">
        <f t="shared" si="0"/>
        <v/>
      </c>
      <c r="G5898" s="1" t="e">
        <f>IF(VALUE(F5898) = VALUE(RIGHT(Insights!$C$3, 4)), E5898, "")</f>
        <v>#VALUE!</v>
      </c>
      <c r="H5898" s="26" t="e">
        <f t="shared" si="1"/>
        <v>#VALUE!</v>
      </c>
      <c r="I5898" s="1" t="e">
        <f t="shared" si="2"/>
        <v>#VALUE!</v>
      </c>
    </row>
    <row r="5899" spans="1:9" ht="15.75" customHeight="1">
      <c r="A5899" s="26"/>
      <c r="B5899" s="2"/>
      <c r="C5899" s="26"/>
      <c r="D5899" s="26"/>
      <c r="F5899" s="85" t="str">
        <f t="shared" si="0"/>
        <v/>
      </c>
      <c r="G5899" s="1" t="e">
        <f>IF(VALUE(F5899) = VALUE(RIGHT(Insights!$C$3, 4)), E5899, "")</f>
        <v>#VALUE!</v>
      </c>
      <c r="H5899" s="26" t="e">
        <f t="shared" si="1"/>
        <v>#VALUE!</v>
      </c>
      <c r="I5899" s="1" t="e">
        <f t="shared" si="2"/>
        <v>#VALUE!</v>
      </c>
    </row>
    <row r="5900" spans="1:9" ht="15.75" customHeight="1">
      <c r="A5900" s="26"/>
      <c r="B5900" s="2"/>
      <c r="C5900" s="26"/>
      <c r="D5900" s="26"/>
      <c r="F5900" s="85" t="str">
        <f t="shared" si="0"/>
        <v/>
      </c>
      <c r="G5900" s="1" t="e">
        <f>IF(VALUE(F5900) = VALUE(RIGHT(Insights!$C$3, 4)), E5900, "")</f>
        <v>#VALUE!</v>
      </c>
      <c r="H5900" s="26" t="e">
        <f t="shared" si="1"/>
        <v>#VALUE!</v>
      </c>
      <c r="I5900" s="1" t="e">
        <f t="shared" si="2"/>
        <v>#VALUE!</v>
      </c>
    </row>
    <row r="5901" spans="1:9" ht="15.75" customHeight="1">
      <c r="A5901" s="26"/>
      <c r="B5901" s="2"/>
      <c r="C5901" s="26"/>
      <c r="D5901" s="26"/>
      <c r="F5901" s="85" t="str">
        <f t="shared" si="0"/>
        <v/>
      </c>
      <c r="G5901" s="1" t="e">
        <f>IF(VALUE(F5901) = VALUE(RIGHT(Insights!$C$3, 4)), E5901, "")</f>
        <v>#VALUE!</v>
      </c>
      <c r="H5901" s="26" t="e">
        <f t="shared" si="1"/>
        <v>#VALUE!</v>
      </c>
      <c r="I5901" s="1" t="e">
        <f t="shared" si="2"/>
        <v>#VALUE!</v>
      </c>
    </row>
    <row r="5902" spans="1:9" ht="15.75" customHeight="1">
      <c r="A5902" s="26"/>
      <c r="B5902" s="2"/>
      <c r="C5902" s="26"/>
      <c r="D5902" s="26"/>
      <c r="F5902" s="85" t="str">
        <f t="shared" si="0"/>
        <v/>
      </c>
      <c r="G5902" s="1" t="e">
        <f>IF(VALUE(F5902) = VALUE(RIGHT(Insights!$C$3, 4)), E5902, "")</f>
        <v>#VALUE!</v>
      </c>
      <c r="H5902" s="26" t="e">
        <f t="shared" si="1"/>
        <v>#VALUE!</v>
      </c>
      <c r="I5902" s="1" t="e">
        <f t="shared" si="2"/>
        <v>#VALUE!</v>
      </c>
    </row>
    <row r="5903" spans="1:9" ht="15.75" customHeight="1">
      <c r="A5903" s="26"/>
      <c r="B5903" s="2"/>
      <c r="C5903" s="26"/>
      <c r="D5903" s="26"/>
      <c r="F5903" s="85" t="str">
        <f t="shared" si="0"/>
        <v/>
      </c>
      <c r="G5903" s="1" t="e">
        <f>IF(VALUE(F5903) = VALUE(RIGHT(Insights!$C$3, 4)), E5903, "")</f>
        <v>#VALUE!</v>
      </c>
      <c r="H5903" s="26" t="e">
        <f t="shared" si="1"/>
        <v>#VALUE!</v>
      </c>
      <c r="I5903" s="1" t="e">
        <f t="shared" si="2"/>
        <v>#VALUE!</v>
      </c>
    </row>
    <row r="5904" spans="1:9" ht="15.75" customHeight="1">
      <c r="A5904" s="26"/>
      <c r="B5904" s="2"/>
      <c r="C5904" s="26"/>
      <c r="D5904" s="26"/>
      <c r="F5904" s="85" t="str">
        <f t="shared" si="0"/>
        <v/>
      </c>
      <c r="G5904" s="1" t="e">
        <f>IF(VALUE(F5904) = VALUE(RIGHT(Insights!$C$3, 4)), E5904, "")</f>
        <v>#VALUE!</v>
      </c>
      <c r="H5904" s="26" t="e">
        <f t="shared" si="1"/>
        <v>#VALUE!</v>
      </c>
      <c r="I5904" s="1" t="e">
        <f t="shared" si="2"/>
        <v>#VALUE!</v>
      </c>
    </row>
    <row r="5905" spans="1:9" ht="15.75" customHeight="1">
      <c r="A5905" s="26"/>
      <c r="B5905" s="2"/>
      <c r="C5905" s="26"/>
      <c r="D5905" s="26"/>
      <c r="F5905" s="85" t="str">
        <f t="shared" si="0"/>
        <v/>
      </c>
      <c r="G5905" s="1" t="e">
        <f>IF(VALUE(F5905) = VALUE(RIGHT(Insights!$C$3, 4)), E5905, "")</f>
        <v>#VALUE!</v>
      </c>
      <c r="H5905" s="26" t="e">
        <f t="shared" si="1"/>
        <v>#VALUE!</v>
      </c>
      <c r="I5905" s="1" t="e">
        <f t="shared" si="2"/>
        <v>#VALUE!</v>
      </c>
    </row>
    <row r="5906" spans="1:9" ht="15.75" customHeight="1">
      <c r="A5906" s="26"/>
      <c r="B5906" s="2"/>
      <c r="C5906" s="26"/>
      <c r="D5906" s="26"/>
      <c r="F5906" s="85" t="str">
        <f t="shared" si="0"/>
        <v/>
      </c>
      <c r="G5906" s="1" t="e">
        <f>IF(VALUE(F5906) = VALUE(RIGHT(Insights!$C$3, 4)), E5906, "")</f>
        <v>#VALUE!</v>
      </c>
      <c r="H5906" s="26" t="e">
        <f t="shared" si="1"/>
        <v>#VALUE!</v>
      </c>
      <c r="I5906" s="1" t="e">
        <f t="shared" si="2"/>
        <v>#VALUE!</v>
      </c>
    </row>
    <row r="5907" spans="1:9" ht="15.75" customHeight="1">
      <c r="A5907" s="26"/>
      <c r="B5907" s="2"/>
      <c r="C5907" s="26"/>
      <c r="D5907" s="26"/>
      <c r="F5907" s="85" t="str">
        <f t="shared" si="0"/>
        <v/>
      </c>
      <c r="G5907" s="1" t="e">
        <f>IF(VALUE(F5907) = VALUE(RIGHT(Insights!$C$3, 4)), E5907, "")</f>
        <v>#VALUE!</v>
      </c>
      <c r="H5907" s="26" t="e">
        <f t="shared" si="1"/>
        <v>#VALUE!</v>
      </c>
      <c r="I5907" s="1" t="e">
        <f t="shared" si="2"/>
        <v>#VALUE!</v>
      </c>
    </row>
    <row r="5908" spans="1:9" ht="15.75" customHeight="1">
      <c r="A5908" s="26"/>
      <c r="B5908" s="2"/>
      <c r="C5908" s="26"/>
      <c r="D5908" s="26"/>
      <c r="F5908" s="85" t="str">
        <f t="shared" si="0"/>
        <v/>
      </c>
      <c r="G5908" s="1" t="e">
        <f>IF(VALUE(F5908) = VALUE(RIGHT(Insights!$C$3, 4)), E5908, "")</f>
        <v>#VALUE!</v>
      </c>
      <c r="H5908" s="26" t="e">
        <f t="shared" si="1"/>
        <v>#VALUE!</v>
      </c>
      <c r="I5908" s="1" t="e">
        <f t="shared" si="2"/>
        <v>#VALUE!</v>
      </c>
    </row>
    <row r="5909" spans="1:9" ht="15.75" customHeight="1">
      <c r="A5909" s="26"/>
      <c r="B5909" s="2"/>
      <c r="C5909" s="26"/>
      <c r="D5909" s="26"/>
      <c r="F5909" s="85" t="str">
        <f t="shared" si="0"/>
        <v/>
      </c>
      <c r="G5909" s="1" t="e">
        <f>IF(VALUE(F5909) = VALUE(RIGHT(Insights!$C$3, 4)), E5909, "")</f>
        <v>#VALUE!</v>
      </c>
      <c r="H5909" s="26" t="e">
        <f t="shared" si="1"/>
        <v>#VALUE!</v>
      </c>
      <c r="I5909" s="1" t="e">
        <f t="shared" si="2"/>
        <v>#VALUE!</v>
      </c>
    </row>
    <row r="5910" spans="1:9" ht="15.75" customHeight="1">
      <c r="A5910" s="26"/>
      <c r="B5910" s="2"/>
      <c r="C5910" s="26"/>
      <c r="D5910" s="26"/>
      <c r="F5910" s="85" t="str">
        <f t="shared" si="0"/>
        <v/>
      </c>
      <c r="G5910" s="1" t="e">
        <f>IF(VALUE(F5910) = VALUE(RIGHT(Insights!$C$3, 4)), E5910, "")</f>
        <v>#VALUE!</v>
      </c>
      <c r="H5910" s="26" t="e">
        <f t="shared" si="1"/>
        <v>#VALUE!</v>
      </c>
      <c r="I5910" s="1" t="e">
        <f t="shared" si="2"/>
        <v>#VALUE!</v>
      </c>
    </row>
    <row r="5911" spans="1:9" ht="15.75" customHeight="1">
      <c r="A5911" s="26"/>
      <c r="B5911" s="2"/>
      <c r="C5911" s="26"/>
      <c r="D5911" s="26"/>
      <c r="F5911" s="85" t="str">
        <f t="shared" si="0"/>
        <v/>
      </c>
      <c r="G5911" s="1" t="e">
        <f>IF(VALUE(F5911) = VALUE(RIGHT(Insights!$C$3, 4)), E5911, "")</f>
        <v>#VALUE!</v>
      </c>
      <c r="H5911" s="26" t="e">
        <f t="shared" si="1"/>
        <v>#VALUE!</v>
      </c>
      <c r="I5911" s="1" t="e">
        <f t="shared" si="2"/>
        <v>#VALUE!</v>
      </c>
    </row>
    <row r="5912" spans="1:9" ht="15.75" customHeight="1">
      <c r="A5912" s="26"/>
      <c r="B5912" s="2"/>
      <c r="C5912" s="26"/>
      <c r="D5912" s="26"/>
      <c r="F5912" s="85" t="str">
        <f t="shared" si="0"/>
        <v/>
      </c>
      <c r="G5912" s="1" t="e">
        <f>IF(VALUE(F5912) = VALUE(RIGHT(Insights!$C$3, 4)), E5912, "")</f>
        <v>#VALUE!</v>
      </c>
      <c r="H5912" s="26" t="e">
        <f t="shared" si="1"/>
        <v>#VALUE!</v>
      </c>
      <c r="I5912" s="1" t="e">
        <f t="shared" si="2"/>
        <v>#VALUE!</v>
      </c>
    </row>
    <row r="5913" spans="1:9" ht="15.75" customHeight="1">
      <c r="A5913" s="26"/>
      <c r="B5913" s="2"/>
      <c r="C5913" s="26"/>
      <c r="D5913" s="26"/>
      <c r="F5913" s="85" t="str">
        <f t="shared" si="0"/>
        <v/>
      </c>
      <c r="G5913" s="1" t="e">
        <f>IF(VALUE(F5913) = VALUE(RIGHT(Insights!$C$3, 4)), E5913, "")</f>
        <v>#VALUE!</v>
      </c>
      <c r="H5913" s="26" t="e">
        <f t="shared" si="1"/>
        <v>#VALUE!</v>
      </c>
      <c r="I5913" s="1" t="e">
        <f t="shared" si="2"/>
        <v>#VALUE!</v>
      </c>
    </row>
    <row r="5914" spans="1:9" ht="15.75" customHeight="1">
      <c r="A5914" s="26"/>
      <c r="B5914" s="2"/>
      <c r="C5914" s="26"/>
      <c r="D5914" s="26"/>
      <c r="F5914" s="85" t="str">
        <f t="shared" si="0"/>
        <v/>
      </c>
      <c r="G5914" s="1" t="e">
        <f>IF(VALUE(F5914) = VALUE(RIGHT(Insights!$C$3, 4)), E5914, "")</f>
        <v>#VALUE!</v>
      </c>
      <c r="H5914" s="26" t="e">
        <f t="shared" si="1"/>
        <v>#VALUE!</v>
      </c>
      <c r="I5914" s="1" t="e">
        <f t="shared" si="2"/>
        <v>#VALUE!</v>
      </c>
    </row>
    <row r="5915" spans="1:9" ht="15.75" customHeight="1">
      <c r="A5915" s="26"/>
      <c r="B5915" s="2"/>
      <c r="C5915" s="26"/>
      <c r="D5915" s="26"/>
      <c r="F5915" s="85" t="str">
        <f t="shared" si="0"/>
        <v/>
      </c>
      <c r="G5915" s="1" t="e">
        <f>IF(VALUE(F5915) = VALUE(RIGHT(Insights!$C$3, 4)), E5915, "")</f>
        <v>#VALUE!</v>
      </c>
      <c r="H5915" s="26" t="e">
        <f t="shared" si="1"/>
        <v>#VALUE!</v>
      </c>
      <c r="I5915" s="1" t="e">
        <f t="shared" si="2"/>
        <v>#VALUE!</v>
      </c>
    </row>
    <row r="5916" spans="1:9" ht="15.75" customHeight="1">
      <c r="A5916" s="26"/>
      <c r="B5916" s="2"/>
      <c r="C5916" s="26"/>
      <c r="D5916" s="26"/>
      <c r="F5916" s="85" t="str">
        <f t="shared" si="0"/>
        <v/>
      </c>
      <c r="G5916" s="1" t="e">
        <f>IF(VALUE(F5916) = VALUE(RIGHT(Insights!$C$3, 4)), E5916, "")</f>
        <v>#VALUE!</v>
      </c>
      <c r="H5916" s="26" t="e">
        <f t="shared" si="1"/>
        <v>#VALUE!</v>
      </c>
      <c r="I5916" s="1" t="e">
        <f t="shared" si="2"/>
        <v>#VALUE!</v>
      </c>
    </row>
    <row r="5917" spans="1:9" ht="15.75" customHeight="1">
      <c r="A5917" s="26"/>
      <c r="B5917" s="2"/>
      <c r="C5917" s="26"/>
      <c r="D5917" s="26"/>
      <c r="F5917" s="85" t="str">
        <f t="shared" si="0"/>
        <v/>
      </c>
      <c r="G5917" s="1" t="e">
        <f>IF(VALUE(F5917) = VALUE(RIGHT(Insights!$C$3, 4)), E5917, "")</f>
        <v>#VALUE!</v>
      </c>
      <c r="H5917" s="26" t="e">
        <f t="shared" si="1"/>
        <v>#VALUE!</v>
      </c>
      <c r="I5917" s="1" t="e">
        <f t="shared" si="2"/>
        <v>#VALUE!</v>
      </c>
    </row>
    <row r="5918" spans="1:9" ht="15.75" customHeight="1">
      <c r="A5918" s="26"/>
      <c r="B5918" s="2"/>
      <c r="C5918" s="26"/>
      <c r="D5918" s="26"/>
      <c r="F5918" s="85" t="str">
        <f t="shared" si="0"/>
        <v/>
      </c>
      <c r="G5918" s="1" t="e">
        <f>IF(VALUE(F5918) = VALUE(RIGHT(Insights!$C$3, 4)), E5918, "")</f>
        <v>#VALUE!</v>
      </c>
      <c r="H5918" s="26" t="e">
        <f t="shared" si="1"/>
        <v>#VALUE!</v>
      </c>
      <c r="I5918" s="1" t="e">
        <f t="shared" si="2"/>
        <v>#VALUE!</v>
      </c>
    </row>
    <row r="5919" spans="1:9" ht="15.75" customHeight="1">
      <c r="A5919" s="26"/>
      <c r="B5919" s="2"/>
      <c r="C5919" s="26"/>
      <c r="D5919" s="26"/>
      <c r="F5919" s="85" t="str">
        <f t="shared" si="0"/>
        <v/>
      </c>
      <c r="G5919" s="1" t="e">
        <f>IF(VALUE(F5919) = VALUE(RIGHT(Insights!$C$3, 4)), E5919, "")</f>
        <v>#VALUE!</v>
      </c>
      <c r="H5919" s="26" t="e">
        <f t="shared" si="1"/>
        <v>#VALUE!</v>
      </c>
      <c r="I5919" s="1" t="e">
        <f t="shared" si="2"/>
        <v>#VALUE!</v>
      </c>
    </row>
    <row r="5920" spans="1:9" ht="15.75" customHeight="1">
      <c r="A5920" s="26"/>
      <c r="B5920" s="2"/>
      <c r="C5920" s="26"/>
      <c r="D5920" s="26"/>
      <c r="F5920" s="85" t="str">
        <f t="shared" si="0"/>
        <v/>
      </c>
      <c r="G5920" s="1" t="e">
        <f>IF(VALUE(F5920) = VALUE(RIGHT(Insights!$C$3, 4)), E5920, "")</f>
        <v>#VALUE!</v>
      </c>
      <c r="H5920" s="26" t="e">
        <f t="shared" si="1"/>
        <v>#VALUE!</v>
      </c>
      <c r="I5920" s="1" t="e">
        <f t="shared" si="2"/>
        <v>#VALUE!</v>
      </c>
    </row>
    <row r="5921" spans="1:9" ht="15.75" customHeight="1">
      <c r="A5921" s="26"/>
      <c r="B5921" s="2"/>
      <c r="C5921" s="26"/>
      <c r="D5921" s="26"/>
      <c r="F5921" s="85" t="str">
        <f t="shared" si="0"/>
        <v/>
      </c>
      <c r="G5921" s="1" t="e">
        <f>IF(VALUE(F5921) = VALUE(RIGHT(Insights!$C$3, 4)), E5921, "")</f>
        <v>#VALUE!</v>
      </c>
      <c r="H5921" s="26" t="e">
        <f t="shared" si="1"/>
        <v>#VALUE!</v>
      </c>
      <c r="I5921" s="1" t="e">
        <f t="shared" si="2"/>
        <v>#VALUE!</v>
      </c>
    </row>
    <row r="5922" spans="1:9" ht="15.75" customHeight="1">
      <c r="A5922" s="26"/>
      <c r="B5922" s="2"/>
      <c r="C5922" s="26"/>
      <c r="D5922" s="26"/>
      <c r="F5922" s="85" t="str">
        <f t="shared" si="0"/>
        <v/>
      </c>
      <c r="G5922" s="1" t="e">
        <f>IF(VALUE(F5922) = VALUE(RIGHT(Insights!$C$3, 4)), E5922, "")</f>
        <v>#VALUE!</v>
      </c>
      <c r="H5922" s="26" t="e">
        <f t="shared" si="1"/>
        <v>#VALUE!</v>
      </c>
      <c r="I5922" s="1" t="e">
        <f t="shared" si="2"/>
        <v>#VALUE!</v>
      </c>
    </row>
    <row r="5923" spans="1:9" ht="15.75" customHeight="1">
      <c r="A5923" s="26"/>
      <c r="B5923" s="2"/>
      <c r="C5923" s="26"/>
      <c r="D5923" s="26"/>
      <c r="F5923" s="85" t="str">
        <f t="shared" si="0"/>
        <v/>
      </c>
      <c r="G5923" s="1" t="e">
        <f>IF(VALUE(F5923) = VALUE(RIGHT(Insights!$C$3, 4)), E5923, "")</f>
        <v>#VALUE!</v>
      </c>
      <c r="H5923" s="26" t="e">
        <f t="shared" si="1"/>
        <v>#VALUE!</v>
      </c>
      <c r="I5923" s="1" t="e">
        <f t="shared" si="2"/>
        <v>#VALUE!</v>
      </c>
    </row>
    <row r="5924" spans="1:9" ht="15.75" customHeight="1">
      <c r="A5924" s="26"/>
      <c r="B5924" s="2"/>
      <c r="C5924" s="26"/>
      <c r="D5924" s="26"/>
      <c r="F5924" s="85" t="str">
        <f t="shared" si="0"/>
        <v/>
      </c>
      <c r="G5924" s="1" t="e">
        <f>IF(VALUE(F5924) = VALUE(RIGHT(Insights!$C$3, 4)), E5924, "")</f>
        <v>#VALUE!</v>
      </c>
      <c r="H5924" s="26" t="e">
        <f t="shared" si="1"/>
        <v>#VALUE!</v>
      </c>
      <c r="I5924" s="1" t="e">
        <f t="shared" si="2"/>
        <v>#VALUE!</v>
      </c>
    </row>
    <row r="5925" spans="1:9" ht="15.75" customHeight="1">
      <c r="A5925" s="26"/>
      <c r="B5925" s="2"/>
      <c r="C5925" s="26"/>
      <c r="D5925" s="26"/>
      <c r="F5925" s="85" t="str">
        <f t="shared" si="0"/>
        <v/>
      </c>
      <c r="G5925" s="1" t="e">
        <f>IF(VALUE(F5925) = VALUE(RIGHT(Insights!$C$3, 4)), E5925, "")</f>
        <v>#VALUE!</v>
      </c>
      <c r="H5925" s="26" t="e">
        <f t="shared" si="1"/>
        <v>#VALUE!</v>
      </c>
      <c r="I5925" s="1" t="e">
        <f t="shared" si="2"/>
        <v>#VALUE!</v>
      </c>
    </row>
    <row r="5926" spans="1:9" ht="15.75" customHeight="1">
      <c r="A5926" s="26"/>
      <c r="B5926" s="2"/>
      <c r="C5926" s="26"/>
      <c r="D5926" s="26"/>
      <c r="F5926" s="85" t="str">
        <f t="shared" si="0"/>
        <v/>
      </c>
      <c r="G5926" s="1" t="e">
        <f>IF(VALUE(F5926) = VALUE(RIGHT(Insights!$C$3, 4)), E5926, "")</f>
        <v>#VALUE!</v>
      </c>
      <c r="H5926" s="26" t="e">
        <f t="shared" si="1"/>
        <v>#VALUE!</v>
      </c>
      <c r="I5926" s="1" t="e">
        <f t="shared" si="2"/>
        <v>#VALUE!</v>
      </c>
    </row>
    <row r="5927" spans="1:9" ht="15.75" customHeight="1">
      <c r="A5927" s="26"/>
      <c r="B5927" s="2"/>
      <c r="C5927" s="26"/>
      <c r="D5927" s="26"/>
      <c r="F5927" s="85" t="str">
        <f t="shared" si="0"/>
        <v/>
      </c>
      <c r="G5927" s="1" t="e">
        <f>IF(VALUE(F5927) = VALUE(RIGHT(Insights!$C$3, 4)), E5927, "")</f>
        <v>#VALUE!</v>
      </c>
      <c r="H5927" s="26" t="e">
        <f t="shared" si="1"/>
        <v>#VALUE!</v>
      </c>
      <c r="I5927" s="1" t="e">
        <f t="shared" si="2"/>
        <v>#VALUE!</v>
      </c>
    </row>
    <row r="5928" spans="1:9" ht="15.75" customHeight="1">
      <c r="A5928" s="26"/>
      <c r="B5928" s="2"/>
      <c r="C5928" s="26"/>
      <c r="D5928" s="26"/>
      <c r="F5928" s="85" t="str">
        <f t="shared" si="0"/>
        <v/>
      </c>
      <c r="G5928" s="1" t="e">
        <f>IF(VALUE(F5928) = VALUE(RIGHT(Insights!$C$3, 4)), E5928, "")</f>
        <v>#VALUE!</v>
      </c>
      <c r="H5928" s="26" t="e">
        <f t="shared" si="1"/>
        <v>#VALUE!</v>
      </c>
      <c r="I5928" s="1" t="e">
        <f t="shared" si="2"/>
        <v>#VALUE!</v>
      </c>
    </row>
    <row r="5929" spans="1:9" ht="15.75" customHeight="1">
      <c r="A5929" s="26"/>
      <c r="B5929" s="2"/>
      <c r="C5929" s="26"/>
      <c r="D5929" s="26"/>
      <c r="F5929" s="85" t="str">
        <f t="shared" si="0"/>
        <v/>
      </c>
      <c r="G5929" s="1" t="e">
        <f>IF(VALUE(F5929) = VALUE(RIGHT(Insights!$C$3, 4)), E5929, "")</f>
        <v>#VALUE!</v>
      </c>
      <c r="H5929" s="26" t="e">
        <f t="shared" si="1"/>
        <v>#VALUE!</v>
      </c>
      <c r="I5929" s="1" t="e">
        <f t="shared" si="2"/>
        <v>#VALUE!</v>
      </c>
    </row>
    <row r="5930" spans="1:9" ht="15.75" customHeight="1">
      <c r="A5930" s="26"/>
      <c r="B5930" s="2"/>
      <c r="C5930" s="26"/>
      <c r="D5930" s="26"/>
      <c r="F5930" s="85" t="str">
        <f t="shared" si="0"/>
        <v/>
      </c>
      <c r="G5930" s="1" t="e">
        <f>IF(VALUE(F5930) = VALUE(RIGHT(Insights!$C$3, 4)), E5930, "")</f>
        <v>#VALUE!</v>
      </c>
      <c r="H5930" s="26" t="e">
        <f t="shared" si="1"/>
        <v>#VALUE!</v>
      </c>
      <c r="I5930" s="1" t="e">
        <f t="shared" si="2"/>
        <v>#VALUE!</v>
      </c>
    </row>
    <row r="5931" spans="1:9" ht="15.75" customHeight="1">
      <c r="A5931" s="26"/>
      <c r="B5931" s="2"/>
      <c r="C5931" s="26"/>
      <c r="D5931" s="26"/>
      <c r="F5931" s="85" t="str">
        <f t="shared" si="0"/>
        <v/>
      </c>
      <c r="G5931" s="1" t="e">
        <f>IF(VALUE(F5931) = VALUE(RIGHT(Insights!$C$3, 4)), E5931, "")</f>
        <v>#VALUE!</v>
      </c>
      <c r="H5931" s="26" t="e">
        <f t="shared" si="1"/>
        <v>#VALUE!</v>
      </c>
      <c r="I5931" s="1" t="e">
        <f t="shared" si="2"/>
        <v>#VALUE!</v>
      </c>
    </row>
    <row r="5932" spans="1:9" ht="15.75" customHeight="1">
      <c r="A5932" s="26"/>
      <c r="B5932" s="2"/>
      <c r="C5932" s="26"/>
      <c r="D5932" s="26"/>
      <c r="F5932" s="85" t="str">
        <f t="shared" si="0"/>
        <v/>
      </c>
      <c r="G5932" s="1" t="e">
        <f>IF(VALUE(F5932) = VALUE(RIGHT(Insights!$C$3, 4)), E5932, "")</f>
        <v>#VALUE!</v>
      </c>
      <c r="H5932" s="26" t="e">
        <f t="shared" si="1"/>
        <v>#VALUE!</v>
      </c>
      <c r="I5932" s="1" t="e">
        <f t="shared" si="2"/>
        <v>#VALUE!</v>
      </c>
    </row>
    <row r="5933" spans="1:9" ht="15.75" customHeight="1">
      <c r="A5933" s="26"/>
      <c r="B5933" s="2"/>
      <c r="C5933" s="26"/>
      <c r="D5933" s="26"/>
      <c r="F5933" s="85" t="str">
        <f t="shared" si="0"/>
        <v/>
      </c>
      <c r="G5933" s="1" t="e">
        <f>IF(VALUE(F5933) = VALUE(RIGHT(Insights!$C$3, 4)), E5933, "")</f>
        <v>#VALUE!</v>
      </c>
      <c r="H5933" s="26" t="e">
        <f t="shared" si="1"/>
        <v>#VALUE!</v>
      </c>
      <c r="I5933" s="1" t="e">
        <f t="shared" si="2"/>
        <v>#VALUE!</v>
      </c>
    </row>
    <row r="5934" spans="1:9" ht="15.75" customHeight="1">
      <c r="A5934" s="26"/>
      <c r="B5934" s="2"/>
      <c r="C5934" s="26"/>
      <c r="D5934" s="26"/>
      <c r="F5934" s="85" t="str">
        <f t="shared" si="0"/>
        <v/>
      </c>
      <c r="G5934" s="1" t="e">
        <f>IF(VALUE(F5934) = VALUE(RIGHT(Insights!$C$3, 4)), E5934, "")</f>
        <v>#VALUE!</v>
      </c>
      <c r="H5934" s="26" t="e">
        <f t="shared" si="1"/>
        <v>#VALUE!</v>
      </c>
      <c r="I5934" s="1" t="e">
        <f t="shared" si="2"/>
        <v>#VALUE!</v>
      </c>
    </row>
    <row r="5935" spans="1:9" ht="15.75" customHeight="1">
      <c r="A5935" s="26"/>
      <c r="B5935" s="2"/>
      <c r="C5935" s="26"/>
      <c r="D5935" s="26"/>
      <c r="F5935" s="85" t="str">
        <f t="shared" si="0"/>
        <v/>
      </c>
      <c r="G5935" s="1" t="e">
        <f>IF(VALUE(F5935) = VALUE(RIGHT(Insights!$C$3, 4)), E5935, "")</f>
        <v>#VALUE!</v>
      </c>
      <c r="H5935" s="26" t="e">
        <f t="shared" si="1"/>
        <v>#VALUE!</v>
      </c>
      <c r="I5935" s="1" t="e">
        <f t="shared" si="2"/>
        <v>#VALUE!</v>
      </c>
    </row>
    <row r="5936" spans="1:9" ht="15.75" customHeight="1">
      <c r="A5936" s="26"/>
      <c r="B5936" s="2"/>
      <c r="C5936" s="26"/>
      <c r="D5936" s="26"/>
      <c r="F5936" s="85" t="str">
        <f t="shared" si="0"/>
        <v/>
      </c>
      <c r="G5936" s="1" t="e">
        <f>IF(VALUE(F5936) = VALUE(RIGHT(Insights!$C$3, 4)), E5936, "")</f>
        <v>#VALUE!</v>
      </c>
      <c r="H5936" s="26" t="e">
        <f t="shared" si="1"/>
        <v>#VALUE!</v>
      </c>
      <c r="I5936" s="1" t="e">
        <f t="shared" si="2"/>
        <v>#VALUE!</v>
      </c>
    </row>
    <row r="5937" spans="1:9" ht="15.75" customHeight="1">
      <c r="A5937" s="26"/>
      <c r="B5937" s="2"/>
      <c r="C5937" s="26"/>
      <c r="D5937" s="26"/>
      <c r="F5937" s="85" t="str">
        <f t="shared" si="0"/>
        <v/>
      </c>
      <c r="G5937" s="1" t="e">
        <f>IF(VALUE(F5937) = VALUE(RIGHT(Insights!$C$3, 4)), E5937, "")</f>
        <v>#VALUE!</v>
      </c>
      <c r="H5937" s="26" t="e">
        <f t="shared" si="1"/>
        <v>#VALUE!</v>
      </c>
      <c r="I5937" s="1" t="e">
        <f t="shared" si="2"/>
        <v>#VALUE!</v>
      </c>
    </row>
    <row r="5938" spans="1:9" ht="15.75" customHeight="1">
      <c r="A5938" s="26"/>
      <c r="B5938" s="2"/>
      <c r="C5938" s="26"/>
      <c r="D5938" s="26"/>
      <c r="F5938" s="85" t="str">
        <f t="shared" si="0"/>
        <v/>
      </c>
      <c r="G5938" s="1" t="e">
        <f>IF(VALUE(F5938) = VALUE(RIGHT(Insights!$C$3, 4)), E5938, "")</f>
        <v>#VALUE!</v>
      </c>
      <c r="H5938" s="26" t="e">
        <f t="shared" si="1"/>
        <v>#VALUE!</v>
      </c>
      <c r="I5938" s="1" t="e">
        <f t="shared" si="2"/>
        <v>#VALUE!</v>
      </c>
    </row>
    <row r="5939" spans="1:9" ht="15.75" customHeight="1">
      <c r="A5939" s="26"/>
      <c r="B5939" s="2"/>
      <c r="C5939" s="26"/>
      <c r="D5939" s="26"/>
      <c r="F5939" s="85" t="str">
        <f t="shared" si="0"/>
        <v/>
      </c>
      <c r="G5939" s="1" t="e">
        <f>IF(VALUE(F5939) = VALUE(RIGHT(Insights!$C$3, 4)), E5939, "")</f>
        <v>#VALUE!</v>
      </c>
      <c r="H5939" s="26" t="e">
        <f t="shared" si="1"/>
        <v>#VALUE!</v>
      </c>
      <c r="I5939" s="1" t="e">
        <f t="shared" si="2"/>
        <v>#VALUE!</v>
      </c>
    </row>
    <row r="5940" spans="1:9" ht="15.75" customHeight="1">
      <c r="A5940" s="26"/>
      <c r="B5940" s="2"/>
      <c r="C5940" s="26"/>
      <c r="D5940" s="26"/>
      <c r="F5940" s="85" t="str">
        <f t="shared" si="0"/>
        <v/>
      </c>
      <c r="G5940" s="1" t="e">
        <f>IF(VALUE(F5940) = VALUE(RIGHT(Insights!$C$3, 4)), E5940, "")</f>
        <v>#VALUE!</v>
      </c>
      <c r="H5940" s="26" t="e">
        <f t="shared" si="1"/>
        <v>#VALUE!</v>
      </c>
      <c r="I5940" s="1" t="e">
        <f t="shared" si="2"/>
        <v>#VALUE!</v>
      </c>
    </row>
    <row r="5941" spans="1:9" ht="15.75" customHeight="1">
      <c r="A5941" s="26"/>
      <c r="B5941" s="2"/>
      <c r="C5941" s="26"/>
      <c r="D5941" s="26"/>
      <c r="F5941" s="85" t="str">
        <f t="shared" si="0"/>
        <v/>
      </c>
      <c r="G5941" s="1" t="e">
        <f>IF(VALUE(F5941) = VALUE(RIGHT(Insights!$C$3, 4)), E5941, "")</f>
        <v>#VALUE!</v>
      </c>
      <c r="H5941" s="26" t="e">
        <f t="shared" si="1"/>
        <v>#VALUE!</v>
      </c>
      <c r="I5941" s="1" t="e">
        <f t="shared" si="2"/>
        <v>#VALUE!</v>
      </c>
    </row>
    <row r="5942" spans="1:9" ht="15.75" customHeight="1">
      <c r="A5942" s="26"/>
      <c r="B5942" s="2"/>
      <c r="C5942" s="26"/>
      <c r="D5942" s="26"/>
      <c r="F5942" s="85" t="str">
        <f t="shared" si="0"/>
        <v/>
      </c>
      <c r="G5942" s="1" t="e">
        <f>IF(VALUE(F5942) = VALUE(RIGHT(Insights!$C$3, 4)), E5942, "")</f>
        <v>#VALUE!</v>
      </c>
      <c r="H5942" s="26" t="e">
        <f t="shared" si="1"/>
        <v>#VALUE!</v>
      </c>
      <c r="I5942" s="1" t="e">
        <f t="shared" si="2"/>
        <v>#VALUE!</v>
      </c>
    </row>
    <row r="5943" spans="1:9" ht="15.75" customHeight="1">
      <c r="A5943" s="26"/>
      <c r="B5943" s="2"/>
      <c r="C5943" s="26"/>
      <c r="D5943" s="26"/>
      <c r="F5943" s="85" t="str">
        <f t="shared" si="0"/>
        <v/>
      </c>
      <c r="G5943" s="1" t="e">
        <f>IF(VALUE(F5943) = VALUE(RIGHT(Insights!$C$3, 4)), E5943, "")</f>
        <v>#VALUE!</v>
      </c>
      <c r="H5943" s="26" t="e">
        <f t="shared" si="1"/>
        <v>#VALUE!</v>
      </c>
      <c r="I5943" s="1" t="e">
        <f t="shared" si="2"/>
        <v>#VALUE!</v>
      </c>
    </row>
    <row r="5944" spans="1:9" ht="15.75" customHeight="1">
      <c r="A5944" s="26"/>
      <c r="B5944" s="2"/>
      <c r="C5944" s="26"/>
      <c r="D5944" s="26"/>
      <c r="F5944" s="85" t="str">
        <f t="shared" si="0"/>
        <v/>
      </c>
      <c r="G5944" s="1" t="e">
        <f>IF(VALUE(F5944) = VALUE(RIGHT(Insights!$C$3, 4)), E5944, "")</f>
        <v>#VALUE!</v>
      </c>
      <c r="H5944" s="26" t="e">
        <f t="shared" si="1"/>
        <v>#VALUE!</v>
      </c>
      <c r="I5944" s="1" t="e">
        <f t="shared" si="2"/>
        <v>#VALUE!</v>
      </c>
    </row>
    <row r="5945" spans="1:9" ht="15.75" customHeight="1">
      <c r="A5945" s="26"/>
      <c r="B5945" s="2"/>
      <c r="C5945" s="26"/>
      <c r="D5945" s="26"/>
      <c r="F5945" s="85" t="str">
        <f t="shared" si="0"/>
        <v/>
      </c>
      <c r="G5945" s="1" t="e">
        <f>IF(VALUE(F5945) = VALUE(RIGHT(Insights!$C$3, 4)), E5945, "")</f>
        <v>#VALUE!</v>
      </c>
      <c r="H5945" s="26" t="e">
        <f t="shared" si="1"/>
        <v>#VALUE!</v>
      </c>
      <c r="I5945" s="1" t="e">
        <f t="shared" si="2"/>
        <v>#VALUE!</v>
      </c>
    </row>
    <row r="5946" spans="1:9" ht="15.75" customHeight="1">
      <c r="A5946" s="26"/>
      <c r="B5946" s="2"/>
      <c r="C5946" s="26"/>
      <c r="D5946" s="26"/>
      <c r="F5946" s="85" t="str">
        <f t="shared" si="0"/>
        <v/>
      </c>
      <c r="G5946" s="1" t="e">
        <f>IF(VALUE(F5946) = VALUE(RIGHT(Insights!$C$3, 4)), E5946, "")</f>
        <v>#VALUE!</v>
      </c>
      <c r="H5946" s="26" t="e">
        <f t="shared" si="1"/>
        <v>#VALUE!</v>
      </c>
      <c r="I5946" s="1" t="e">
        <f t="shared" si="2"/>
        <v>#VALUE!</v>
      </c>
    </row>
    <row r="5947" spans="1:9" ht="15.75" customHeight="1">
      <c r="A5947" s="26"/>
      <c r="B5947" s="2"/>
      <c r="C5947" s="26"/>
      <c r="D5947" s="26"/>
      <c r="F5947" s="85" t="str">
        <f t="shared" si="0"/>
        <v/>
      </c>
      <c r="G5947" s="1" t="e">
        <f>IF(VALUE(F5947) = VALUE(RIGHT(Insights!$C$3, 4)), E5947, "")</f>
        <v>#VALUE!</v>
      </c>
      <c r="H5947" s="26" t="e">
        <f t="shared" si="1"/>
        <v>#VALUE!</v>
      </c>
      <c r="I5947" s="1" t="e">
        <f t="shared" si="2"/>
        <v>#VALUE!</v>
      </c>
    </row>
    <row r="5948" spans="1:9" ht="15.75" customHeight="1">
      <c r="A5948" s="26"/>
      <c r="B5948" s="2"/>
      <c r="C5948" s="26"/>
      <c r="D5948" s="26"/>
      <c r="F5948" s="85" t="str">
        <f t="shared" si="0"/>
        <v/>
      </c>
      <c r="G5948" s="1" t="e">
        <f>IF(VALUE(F5948) = VALUE(RIGHT(Insights!$C$3, 4)), E5948, "")</f>
        <v>#VALUE!</v>
      </c>
      <c r="H5948" s="26" t="e">
        <f t="shared" si="1"/>
        <v>#VALUE!</v>
      </c>
      <c r="I5948" s="1" t="e">
        <f t="shared" si="2"/>
        <v>#VALUE!</v>
      </c>
    </row>
    <row r="5949" spans="1:9" ht="15.75" customHeight="1">
      <c r="A5949" s="26"/>
      <c r="B5949" s="2"/>
      <c r="C5949" s="26"/>
      <c r="D5949" s="26"/>
      <c r="F5949" s="85" t="str">
        <f t="shared" si="0"/>
        <v/>
      </c>
      <c r="G5949" s="1" t="e">
        <f>IF(VALUE(F5949) = VALUE(RIGHT(Insights!$C$3, 4)), E5949, "")</f>
        <v>#VALUE!</v>
      </c>
      <c r="H5949" s="26" t="e">
        <f t="shared" si="1"/>
        <v>#VALUE!</v>
      </c>
      <c r="I5949" s="1" t="e">
        <f t="shared" si="2"/>
        <v>#VALUE!</v>
      </c>
    </row>
    <row r="5950" spans="1:9" ht="15.75" customHeight="1">
      <c r="A5950" s="26"/>
      <c r="B5950" s="2"/>
      <c r="C5950" s="26"/>
      <c r="D5950" s="26"/>
      <c r="F5950" s="85" t="str">
        <f t="shared" si="0"/>
        <v/>
      </c>
      <c r="G5950" s="1" t="e">
        <f>IF(VALUE(F5950) = VALUE(RIGHT(Insights!$C$3, 4)), E5950, "")</f>
        <v>#VALUE!</v>
      </c>
      <c r="H5950" s="26" t="e">
        <f t="shared" si="1"/>
        <v>#VALUE!</v>
      </c>
      <c r="I5950" s="1" t="e">
        <f t="shared" si="2"/>
        <v>#VALUE!</v>
      </c>
    </row>
    <row r="5951" spans="1:9" ht="15.75" customHeight="1">
      <c r="A5951" s="26"/>
      <c r="B5951" s="2"/>
      <c r="C5951" s="26"/>
      <c r="D5951" s="26"/>
      <c r="F5951" s="85" t="str">
        <f t="shared" si="0"/>
        <v/>
      </c>
      <c r="G5951" s="1" t="e">
        <f>IF(VALUE(F5951) = VALUE(RIGHT(Insights!$C$3, 4)), E5951, "")</f>
        <v>#VALUE!</v>
      </c>
      <c r="H5951" s="26" t="e">
        <f t="shared" si="1"/>
        <v>#VALUE!</v>
      </c>
      <c r="I5951" s="1" t="e">
        <f t="shared" si="2"/>
        <v>#VALUE!</v>
      </c>
    </row>
    <row r="5952" spans="1:9" ht="15.75" customHeight="1">
      <c r="A5952" s="26"/>
      <c r="B5952" s="2"/>
      <c r="C5952" s="26"/>
      <c r="D5952" s="26"/>
      <c r="F5952" s="85" t="str">
        <f t="shared" si="0"/>
        <v/>
      </c>
      <c r="G5952" s="1" t="e">
        <f>IF(VALUE(F5952) = VALUE(RIGHT(Insights!$C$3, 4)), E5952, "")</f>
        <v>#VALUE!</v>
      </c>
      <c r="H5952" s="26" t="e">
        <f t="shared" si="1"/>
        <v>#VALUE!</v>
      </c>
      <c r="I5952" s="1" t="e">
        <f t="shared" si="2"/>
        <v>#VALUE!</v>
      </c>
    </row>
    <row r="5953" spans="1:9" ht="15.75" customHeight="1">
      <c r="A5953" s="26"/>
      <c r="B5953" s="2"/>
      <c r="C5953" s="26"/>
      <c r="D5953" s="26"/>
      <c r="F5953" s="85" t="str">
        <f t="shared" si="0"/>
        <v/>
      </c>
      <c r="G5953" s="1" t="e">
        <f>IF(VALUE(F5953) = VALUE(RIGHT(Insights!$C$3, 4)), E5953, "")</f>
        <v>#VALUE!</v>
      </c>
      <c r="H5953" s="26" t="e">
        <f t="shared" si="1"/>
        <v>#VALUE!</v>
      </c>
      <c r="I5953" s="1" t="e">
        <f t="shared" si="2"/>
        <v>#VALUE!</v>
      </c>
    </row>
    <row r="5954" spans="1:9" ht="15.75" customHeight="1">
      <c r="A5954" s="26"/>
      <c r="B5954" s="2"/>
      <c r="C5954" s="26"/>
      <c r="D5954" s="26"/>
      <c r="F5954" s="85" t="str">
        <f t="shared" si="0"/>
        <v/>
      </c>
      <c r="G5954" s="1" t="e">
        <f>IF(VALUE(F5954) = VALUE(RIGHT(Insights!$C$3, 4)), E5954, "")</f>
        <v>#VALUE!</v>
      </c>
      <c r="H5954" s="26" t="e">
        <f t="shared" si="1"/>
        <v>#VALUE!</v>
      </c>
      <c r="I5954" s="1" t="e">
        <f t="shared" si="2"/>
        <v>#VALUE!</v>
      </c>
    </row>
    <row r="5955" spans="1:9" ht="15.75" customHeight="1">
      <c r="A5955" s="26"/>
      <c r="B5955" s="2"/>
      <c r="C5955" s="26"/>
      <c r="D5955" s="26"/>
      <c r="F5955" s="85" t="str">
        <f t="shared" si="0"/>
        <v/>
      </c>
      <c r="G5955" s="1" t="e">
        <f>IF(VALUE(F5955) = VALUE(RIGHT(Insights!$C$3, 4)), E5955, "")</f>
        <v>#VALUE!</v>
      </c>
      <c r="H5955" s="26" t="e">
        <f t="shared" si="1"/>
        <v>#VALUE!</v>
      </c>
      <c r="I5955" s="1" t="e">
        <f t="shared" si="2"/>
        <v>#VALUE!</v>
      </c>
    </row>
    <row r="5956" spans="1:9" ht="15.75" customHeight="1">
      <c r="A5956" s="26"/>
      <c r="B5956" s="2"/>
      <c r="C5956" s="26"/>
      <c r="D5956" s="26"/>
      <c r="F5956" s="85" t="str">
        <f t="shared" si="0"/>
        <v/>
      </c>
      <c r="G5956" s="1" t="e">
        <f>IF(VALUE(F5956) = VALUE(RIGHT(Insights!$C$3, 4)), E5956, "")</f>
        <v>#VALUE!</v>
      </c>
      <c r="H5956" s="26" t="e">
        <f t="shared" si="1"/>
        <v>#VALUE!</v>
      </c>
      <c r="I5956" s="1" t="e">
        <f t="shared" si="2"/>
        <v>#VALUE!</v>
      </c>
    </row>
    <row r="5957" spans="1:9" ht="15.75" customHeight="1">
      <c r="A5957" s="26"/>
      <c r="B5957" s="2"/>
      <c r="C5957" s="26"/>
      <c r="D5957" s="26"/>
      <c r="F5957" s="85" t="str">
        <f t="shared" si="0"/>
        <v/>
      </c>
      <c r="G5957" s="1" t="e">
        <f>IF(VALUE(F5957) = VALUE(RIGHT(Insights!$C$3, 4)), E5957, "")</f>
        <v>#VALUE!</v>
      </c>
      <c r="H5957" s="26" t="e">
        <f t="shared" si="1"/>
        <v>#VALUE!</v>
      </c>
      <c r="I5957" s="1" t="e">
        <f t="shared" si="2"/>
        <v>#VALUE!</v>
      </c>
    </row>
    <row r="5958" spans="1:9" ht="15.75" customHeight="1">
      <c r="A5958" s="26"/>
      <c r="B5958" s="2"/>
      <c r="C5958" s="26"/>
      <c r="D5958" s="26"/>
      <c r="F5958" s="85" t="str">
        <f t="shared" si="0"/>
        <v/>
      </c>
      <c r="G5958" s="1" t="e">
        <f>IF(VALUE(F5958) = VALUE(RIGHT(Insights!$C$3, 4)), E5958, "")</f>
        <v>#VALUE!</v>
      </c>
      <c r="H5958" s="26" t="e">
        <f t="shared" si="1"/>
        <v>#VALUE!</v>
      </c>
      <c r="I5958" s="1" t="e">
        <f t="shared" si="2"/>
        <v>#VALUE!</v>
      </c>
    </row>
    <row r="5959" spans="1:9" ht="15.75" customHeight="1">
      <c r="A5959" s="26"/>
      <c r="B5959" s="2"/>
      <c r="C5959" s="26"/>
      <c r="D5959" s="26"/>
      <c r="F5959" s="85" t="str">
        <f t="shared" si="0"/>
        <v/>
      </c>
      <c r="G5959" s="1" t="e">
        <f>IF(VALUE(F5959) = VALUE(RIGHT(Insights!$C$3, 4)), E5959, "")</f>
        <v>#VALUE!</v>
      </c>
      <c r="H5959" s="26" t="e">
        <f t="shared" si="1"/>
        <v>#VALUE!</v>
      </c>
      <c r="I5959" s="1" t="e">
        <f t="shared" si="2"/>
        <v>#VALUE!</v>
      </c>
    </row>
    <row r="5960" spans="1:9" ht="15.75" customHeight="1">
      <c r="A5960" s="26"/>
      <c r="B5960" s="2"/>
      <c r="C5960" s="26"/>
      <c r="D5960" s="26"/>
      <c r="F5960" s="85" t="str">
        <f t="shared" si="0"/>
        <v/>
      </c>
      <c r="G5960" s="1" t="e">
        <f>IF(VALUE(F5960) = VALUE(RIGHT(Insights!$C$3, 4)), E5960, "")</f>
        <v>#VALUE!</v>
      </c>
      <c r="H5960" s="26" t="e">
        <f t="shared" si="1"/>
        <v>#VALUE!</v>
      </c>
      <c r="I5960" s="1" t="e">
        <f t="shared" si="2"/>
        <v>#VALUE!</v>
      </c>
    </row>
    <row r="5961" spans="1:9" ht="15.75" customHeight="1">
      <c r="A5961" s="26"/>
      <c r="B5961" s="2"/>
      <c r="C5961" s="26"/>
      <c r="D5961" s="26"/>
      <c r="F5961" s="85" t="str">
        <f t="shared" si="0"/>
        <v/>
      </c>
      <c r="G5961" s="1" t="e">
        <f>IF(VALUE(F5961) = VALUE(RIGHT(Insights!$C$3, 4)), E5961, "")</f>
        <v>#VALUE!</v>
      </c>
      <c r="H5961" s="26" t="e">
        <f t="shared" si="1"/>
        <v>#VALUE!</v>
      </c>
      <c r="I5961" s="1" t="e">
        <f t="shared" si="2"/>
        <v>#VALUE!</v>
      </c>
    </row>
    <row r="5962" spans="1:9" ht="15.75" customHeight="1">
      <c r="A5962" s="26"/>
      <c r="B5962" s="2"/>
      <c r="C5962" s="26"/>
      <c r="D5962" s="26"/>
      <c r="F5962" s="85" t="str">
        <f t="shared" si="0"/>
        <v/>
      </c>
      <c r="G5962" s="1" t="e">
        <f>IF(VALUE(F5962) = VALUE(RIGHT(Insights!$C$3, 4)), E5962, "")</f>
        <v>#VALUE!</v>
      </c>
      <c r="H5962" s="26" t="e">
        <f t="shared" si="1"/>
        <v>#VALUE!</v>
      </c>
      <c r="I5962" s="1" t="e">
        <f t="shared" si="2"/>
        <v>#VALUE!</v>
      </c>
    </row>
    <row r="5963" spans="1:9" ht="15.75" customHeight="1">
      <c r="A5963" s="26"/>
      <c r="B5963" s="2"/>
      <c r="C5963" s="26"/>
      <c r="D5963" s="26"/>
      <c r="F5963" s="85" t="str">
        <f t="shared" si="0"/>
        <v/>
      </c>
      <c r="G5963" s="1" t="e">
        <f>IF(VALUE(F5963) = VALUE(RIGHT(Insights!$C$3, 4)), E5963, "")</f>
        <v>#VALUE!</v>
      </c>
      <c r="H5963" s="26" t="e">
        <f t="shared" si="1"/>
        <v>#VALUE!</v>
      </c>
      <c r="I5963" s="1" t="e">
        <f t="shared" si="2"/>
        <v>#VALUE!</v>
      </c>
    </row>
    <row r="5964" spans="1:9" ht="15.75" customHeight="1">
      <c r="A5964" s="26"/>
      <c r="B5964" s="2"/>
      <c r="C5964" s="26"/>
      <c r="D5964" s="26"/>
      <c r="F5964" s="85" t="str">
        <f t="shared" si="0"/>
        <v/>
      </c>
      <c r="G5964" s="1" t="e">
        <f>IF(VALUE(F5964) = VALUE(RIGHT(Insights!$C$3, 4)), E5964, "")</f>
        <v>#VALUE!</v>
      </c>
      <c r="H5964" s="26" t="e">
        <f t="shared" si="1"/>
        <v>#VALUE!</v>
      </c>
      <c r="I5964" s="1" t="e">
        <f t="shared" si="2"/>
        <v>#VALUE!</v>
      </c>
    </row>
    <row r="5965" spans="1:9" ht="15.75" customHeight="1">
      <c r="A5965" s="26"/>
      <c r="B5965" s="2"/>
      <c r="C5965" s="26"/>
      <c r="D5965" s="26"/>
      <c r="F5965" s="85" t="str">
        <f t="shared" si="0"/>
        <v/>
      </c>
      <c r="G5965" s="1" t="e">
        <f>IF(VALUE(F5965) = VALUE(RIGHT(Insights!$C$3, 4)), E5965, "")</f>
        <v>#VALUE!</v>
      </c>
      <c r="H5965" s="26" t="e">
        <f t="shared" si="1"/>
        <v>#VALUE!</v>
      </c>
      <c r="I5965" s="1" t="e">
        <f t="shared" si="2"/>
        <v>#VALUE!</v>
      </c>
    </row>
    <row r="5966" spans="1:9" ht="15.75" customHeight="1">
      <c r="A5966" s="26"/>
      <c r="B5966" s="2"/>
      <c r="C5966" s="26"/>
      <c r="D5966" s="26"/>
      <c r="F5966" s="85" t="str">
        <f t="shared" si="0"/>
        <v/>
      </c>
      <c r="G5966" s="1" t="e">
        <f>IF(VALUE(F5966) = VALUE(RIGHT(Insights!$C$3, 4)), E5966, "")</f>
        <v>#VALUE!</v>
      </c>
      <c r="H5966" s="26" t="e">
        <f t="shared" si="1"/>
        <v>#VALUE!</v>
      </c>
      <c r="I5966" s="1" t="e">
        <f t="shared" si="2"/>
        <v>#VALUE!</v>
      </c>
    </row>
    <row r="5967" spans="1:9" ht="15.75" customHeight="1">
      <c r="A5967" s="26"/>
      <c r="B5967" s="2"/>
      <c r="C5967" s="26"/>
      <c r="D5967" s="26"/>
      <c r="F5967" s="85" t="str">
        <f t="shared" si="0"/>
        <v/>
      </c>
      <c r="G5967" s="1" t="e">
        <f>IF(VALUE(F5967) = VALUE(RIGHT(Insights!$C$3, 4)), E5967, "")</f>
        <v>#VALUE!</v>
      </c>
      <c r="H5967" s="26" t="e">
        <f t="shared" si="1"/>
        <v>#VALUE!</v>
      </c>
      <c r="I5967" s="1" t="e">
        <f t="shared" si="2"/>
        <v>#VALUE!</v>
      </c>
    </row>
    <row r="5968" spans="1:9" ht="15.75" customHeight="1">
      <c r="A5968" s="26"/>
      <c r="B5968" s="2"/>
      <c r="C5968" s="26"/>
      <c r="D5968" s="26"/>
      <c r="F5968" s="85" t="str">
        <f t="shared" si="0"/>
        <v/>
      </c>
      <c r="G5968" s="1" t="e">
        <f>IF(VALUE(F5968) = VALUE(RIGHT(Insights!$C$3, 4)), E5968, "")</f>
        <v>#VALUE!</v>
      </c>
      <c r="H5968" s="26" t="e">
        <f t="shared" si="1"/>
        <v>#VALUE!</v>
      </c>
      <c r="I5968" s="1" t="e">
        <f t="shared" si="2"/>
        <v>#VALUE!</v>
      </c>
    </row>
    <row r="5969" spans="1:9" ht="15.75" customHeight="1">
      <c r="A5969" s="26"/>
      <c r="B5969" s="2"/>
      <c r="C5969" s="26"/>
      <c r="D5969" s="26"/>
      <c r="F5969" s="85" t="str">
        <f t="shared" si="0"/>
        <v/>
      </c>
      <c r="G5969" s="1" t="e">
        <f>IF(VALUE(F5969) = VALUE(RIGHT(Insights!$C$3, 4)), E5969, "")</f>
        <v>#VALUE!</v>
      </c>
      <c r="H5969" s="26" t="e">
        <f t="shared" si="1"/>
        <v>#VALUE!</v>
      </c>
      <c r="I5969" s="1" t="e">
        <f t="shared" si="2"/>
        <v>#VALUE!</v>
      </c>
    </row>
    <row r="5970" spans="1:9" ht="15.75" customHeight="1">
      <c r="A5970" s="26"/>
      <c r="B5970" s="2"/>
      <c r="C5970" s="26"/>
      <c r="D5970" s="26"/>
      <c r="F5970" s="85" t="str">
        <f t="shared" si="0"/>
        <v/>
      </c>
      <c r="G5970" s="1" t="e">
        <f>IF(VALUE(F5970) = VALUE(RIGHT(Insights!$C$3, 4)), E5970, "")</f>
        <v>#VALUE!</v>
      </c>
      <c r="H5970" s="26" t="e">
        <f t="shared" si="1"/>
        <v>#VALUE!</v>
      </c>
      <c r="I5970" s="1" t="e">
        <f t="shared" si="2"/>
        <v>#VALUE!</v>
      </c>
    </row>
    <row r="5971" spans="1:9" ht="15.75" customHeight="1">
      <c r="A5971" s="26"/>
      <c r="B5971" s="2"/>
      <c r="C5971" s="26"/>
      <c r="D5971" s="26"/>
      <c r="F5971" s="85" t="str">
        <f t="shared" si="0"/>
        <v/>
      </c>
      <c r="G5971" s="1" t="e">
        <f>IF(VALUE(F5971) = VALUE(RIGHT(Insights!$C$3, 4)), E5971, "")</f>
        <v>#VALUE!</v>
      </c>
      <c r="H5971" s="26" t="e">
        <f t="shared" si="1"/>
        <v>#VALUE!</v>
      </c>
      <c r="I5971" s="1" t="e">
        <f t="shared" si="2"/>
        <v>#VALUE!</v>
      </c>
    </row>
    <row r="5972" spans="1:9" ht="15.75" customHeight="1">
      <c r="A5972" s="26"/>
      <c r="B5972" s="2"/>
      <c r="C5972" s="26"/>
      <c r="D5972" s="26"/>
      <c r="F5972" s="85" t="str">
        <f t="shared" si="0"/>
        <v/>
      </c>
      <c r="G5972" s="1" t="e">
        <f>IF(VALUE(F5972) = VALUE(RIGHT(Insights!$C$3, 4)), E5972, "")</f>
        <v>#VALUE!</v>
      </c>
      <c r="H5972" s="26" t="e">
        <f t="shared" si="1"/>
        <v>#VALUE!</v>
      </c>
      <c r="I5972" s="1" t="e">
        <f t="shared" si="2"/>
        <v>#VALUE!</v>
      </c>
    </row>
    <row r="5973" spans="1:9" ht="15.75" customHeight="1">
      <c r="A5973" s="26"/>
      <c r="B5973" s="2"/>
      <c r="C5973" s="26"/>
      <c r="D5973" s="26"/>
      <c r="F5973" s="85" t="str">
        <f t="shared" si="0"/>
        <v/>
      </c>
      <c r="G5973" s="1" t="e">
        <f>IF(VALUE(F5973) = VALUE(RIGHT(Insights!$C$3, 4)), E5973, "")</f>
        <v>#VALUE!</v>
      </c>
      <c r="H5973" s="26" t="e">
        <f t="shared" si="1"/>
        <v>#VALUE!</v>
      </c>
      <c r="I5973" s="1" t="e">
        <f t="shared" si="2"/>
        <v>#VALUE!</v>
      </c>
    </row>
    <row r="5974" spans="1:9" ht="15.75" customHeight="1">
      <c r="A5974" s="26"/>
      <c r="B5974" s="2"/>
      <c r="C5974" s="26"/>
      <c r="D5974" s="26"/>
      <c r="F5974" s="85" t="str">
        <f t="shared" si="0"/>
        <v/>
      </c>
      <c r="G5974" s="1" t="e">
        <f>IF(VALUE(F5974) = VALUE(RIGHT(Insights!$C$3, 4)), E5974, "")</f>
        <v>#VALUE!</v>
      </c>
      <c r="H5974" s="26" t="e">
        <f t="shared" si="1"/>
        <v>#VALUE!</v>
      </c>
      <c r="I5974" s="1" t="e">
        <f t="shared" si="2"/>
        <v>#VALUE!</v>
      </c>
    </row>
    <row r="5975" spans="1:9" ht="15.75" customHeight="1">
      <c r="A5975" s="26"/>
      <c r="B5975" s="2"/>
      <c r="C5975" s="26"/>
      <c r="D5975" s="26"/>
      <c r="F5975" s="85" t="str">
        <f t="shared" si="0"/>
        <v/>
      </c>
      <c r="G5975" s="1" t="e">
        <f>IF(VALUE(F5975) = VALUE(RIGHT(Insights!$C$3, 4)), E5975, "")</f>
        <v>#VALUE!</v>
      </c>
      <c r="H5975" s="26" t="e">
        <f t="shared" si="1"/>
        <v>#VALUE!</v>
      </c>
      <c r="I5975" s="1" t="e">
        <f t="shared" si="2"/>
        <v>#VALUE!</v>
      </c>
    </row>
    <row r="5976" spans="1:9" ht="15.75" customHeight="1">
      <c r="A5976" s="26"/>
      <c r="B5976" s="2"/>
      <c r="C5976" s="26"/>
      <c r="D5976" s="26"/>
      <c r="F5976" s="85" t="str">
        <f t="shared" si="0"/>
        <v/>
      </c>
      <c r="G5976" s="1" t="e">
        <f>IF(VALUE(F5976) = VALUE(RIGHT(Insights!$C$3, 4)), E5976, "")</f>
        <v>#VALUE!</v>
      </c>
      <c r="H5976" s="26" t="e">
        <f t="shared" si="1"/>
        <v>#VALUE!</v>
      </c>
      <c r="I5976" s="1" t="e">
        <f t="shared" si="2"/>
        <v>#VALUE!</v>
      </c>
    </row>
    <row r="5977" spans="1:9" ht="15.75" customHeight="1">
      <c r="A5977" s="26"/>
      <c r="B5977" s="2"/>
      <c r="C5977" s="26"/>
      <c r="D5977" s="26"/>
      <c r="F5977" s="85" t="str">
        <f t="shared" si="0"/>
        <v/>
      </c>
      <c r="G5977" s="1" t="e">
        <f>IF(VALUE(F5977) = VALUE(RIGHT(Insights!$C$3, 4)), E5977, "")</f>
        <v>#VALUE!</v>
      </c>
      <c r="H5977" s="26" t="e">
        <f t="shared" si="1"/>
        <v>#VALUE!</v>
      </c>
      <c r="I5977" s="1" t="e">
        <f t="shared" si="2"/>
        <v>#VALUE!</v>
      </c>
    </row>
    <row r="5978" spans="1:9" ht="15.75" customHeight="1">
      <c r="A5978" s="26"/>
      <c r="B5978" s="2"/>
      <c r="C5978" s="26"/>
      <c r="D5978" s="26"/>
      <c r="F5978" s="85" t="str">
        <f t="shared" si="0"/>
        <v/>
      </c>
      <c r="G5978" s="1" t="e">
        <f>IF(VALUE(F5978) = VALUE(RIGHT(Insights!$C$3, 4)), E5978, "")</f>
        <v>#VALUE!</v>
      </c>
      <c r="H5978" s="26" t="e">
        <f t="shared" si="1"/>
        <v>#VALUE!</v>
      </c>
      <c r="I5978" s="1" t="e">
        <f t="shared" si="2"/>
        <v>#VALUE!</v>
      </c>
    </row>
    <row r="5979" spans="1:9" ht="15.75" customHeight="1">
      <c r="A5979" s="26"/>
      <c r="B5979" s="2"/>
      <c r="C5979" s="26"/>
      <c r="D5979" s="26"/>
      <c r="F5979" s="85" t="str">
        <f t="shared" si="0"/>
        <v/>
      </c>
      <c r="G5979" s="1" t="e">
        <f>IF(VALUE(F5979) = VALUE(RIGHT(Insights!$C$3, 4)), E5979, "")</f>
        <v>#VALUE!</v>
      </c>
      <c r="H5979" s="26" t="e">
        <f t="shared" si="1"/>
        <v>#VALUE!</v>
      </c>
      <c r="I5979" s="1" t="e">
        <f t="shared" si="2"/>
        <v>#VALUE!</v>
      </c>
    </row>
    <row r="5980" spans="1:9" ht="15.75" customHeight="1">
      <c r="A5980" s="26"/>
      <c r="B5980" s="2"/>
      <c r="C5980" s="26"/>
      <c r="D5980" s="26"/>
      <c r="F5980" s="85" t="str">
        <f t="shared" si="0"/>
        <v/>
      </c>
      <c r="G5980" s="1" t="e">
        <f>IF(VALUE(F5980) = VALUE(RIGHT(Insights!$C$3, 4)), E5980, "")</f>
        <v>#VALUE!</v>
      </c>
      <c r="H5980" s="26" t="e">
        <f t="shared" si="1"/>
        <v>#VALUE!</v>
      </c>
      <c r="I5980" s="1" t="e">
        <f t="shared" si="2"/>
        <v>#VALUE!</v>
      </c>
    </row>
    <row r="5981" spans="1:9" ht="15.75" customHeight="1">
      <c r="A5981" s="26"/>
      <c r="B5981" s="2"/>
      <c r="C5981" s="26"/>
      <c r="D5981" s="26"/>
      <c r="F5981" s="85" t="str">
        <f t="shared" si="0"/>
        <v/>
      </c>
      <c r="G5981" s="1" t="e">
        <f>IF(VALUE(F5981) = VALUE(RIGHT(Insights!$C$3, 4)), E5981, "")</f>
        <v>#VALUE!</v>
      </c>
      <c r="H5981" s="26" t="e">
        <f t="shared" si="1"/>
        <v>#VALUE!</v>
      </c>
      <c r="I5981" s="1" t="e">
        <f t="shared" si="2"/>
        <v>#VALUE!</v>
      </c>
    </row>
    <row r="5982" spans="1:9" ht="15.75" customHeight="1">
      <c r="A5982" s="26"/>
      <c r="B5982" s="2"/>
      <c r="C5982" s="26"/>
      <c r="D5982" s="26"/>
      <c r="F5982" s="85" t="str">
        <f t="shared" si="0"/>
        <v/>
      </c>
      <c r="G5982" s="1" t="e">
        <f>IF(VALUE(F5982) = VALUE(RIGHT(Insights!$C$3, 4)), E5982, "")</f>
        <v>#VALUE!</v>
      </c>
      <c r="H5982" s="26" t="e">
        <f t="shared" si="1"/>
        <v>#VALUE!</v>
      </c>
      <c r="I5982" s="1" t="e">
        <f t="shared" si="2"/>
        <v>#VALUE!</v>
      </c>
    </row>
    <row r="5983" spans="1:9" ht="15.75" customHeight="1">
      <c r="A5983" s="26"/>
      <c r="B5983" s="2"/>
      <c r="C5983" s="26"/>
      <c r="D5983" s="26"/>
      <c r="F5983" s="85" t="str">
        <f t="shared" si="0"/>
        <v/>
      </c>
      <c r="G5983" s="1" t="e">
        <f>IF(VALUE(F5983) = VALUE(RIGHT(Insights!$C$3, 4)), E5983, "")</f>
        <v>#VALUE!</v>
      </c>
      <c r="H5983" s="26" t="e">
        <f t="shared" si="1"/>
        <v>#VALUE!</v>
      </c>
      <c r="I5983" s="1" t="e">
        <f t="shared" si="2"/>
        <v>#VALUE!</v>
      </c>
    </row>
    <row r="5984" spans="1:9" ht="15.75" customHeight="1">
      <c r="A5984" s="26"/>
      <c r="B5984" s="2"/>
      <c r="C5984" s="26"/>
      <c r="D5984" s="26"/>
      <c r="F5984" s="85" t="str">
        <f t="shared" si="0"/>
        <v/>
      </c>
      <c r="G5984" s="1" t="e">
        <f>IF(VALUE(F5984) = VALUE(RIGHT(Insights!$C$3, 4)), E5984, "")</f>
        <v>#VALUE!</v>
      </c>
      <c r="H5984" s="26" t="e">
        <f t="shared" si="1"/>
        <v>#VALUE!</v>
      </c>
      <c r="I5984" s="1" t="e">
        <f t="shared" si="2"/>
        <v>#VALUE!</v>
      </c>
    </row>
    <row r="5985" spans="1:9" ht="15.75" customHeight="1">
      <c r="A5985" s="26"/>
      <c r="B5985" s="2"/>
      <c r="C5985" s="26"/>
      <c r="D5985" s="26"/>
      <c r="F5985" s="85" t="str">
        <f t="shared" si="0"/>
        <v/>
      </c>
      <c r="G5985" s="1" t="e">
        <f>IF(VALUE(F5985) = VALUE(RIGHT(Insights!$C$3, 4)), E5985, "")</f>
        <v>#VALUE!</v>
      </c>
      <c r="H5985" s="26" t="e">
        <f t="shared" si="1"/>
        <v>#VALUE!</v>
      </c>
      <c r="I5985" s="1" t="e">
        <f t="shared" si="2"/>
        <v>#VALUE!</v>
      </c>
    </row>
    <row r="5986" spans="1:9" ht="15.75" customHeight="1">
      <c r="A5986" s="26"/>
      <c r="B5986" s="2"/>
      <c r="C5986" s="26"/>
      <c r="D5986" s="26"/>
      <c r="F5986" s="85" t="str">
        <f t="shared" si="0"/>
        <v/>
      </c>
      <c r="G5986" s="1" t="e">
        <f>IF(VALUE(F5986) = VALUE(RIGHT(Insights!$C$3, 4)), E5986, "")</f>
        <v>#VALUE!</v>
      </c>
      <c r="H5986" s="26" t="e">
        <f t="shared" si="1"/>
        <v>#VALUE!</v>
      </c>
      <c r="I5986" s="1" t="e">
        <f t="shared" si="2"/>
        <v>#VALUE!</v>
      </c>
    </row>
    <row r="5987" spans="1:9" ht="15.75" customHeight="1">
      <c r="A5987" s="26"/>
      <c r="B5987" s="2"/>
      <c r="C5987" s="26"/>
      <c r="D5987" s="26"/>
      <c r="F5987" s="85" t="str">
        <f t="shared" si="0"/>
        <v/>
      </c>
      <c r="G5987" s="1" t="e">
        <f>IF(VALUE(F5987) = VALUE(RIGHT(Insights!$C$3, 4)), E5987, "")</f>
        <v>#VALUE!</v>
      </c>
      <c r="H5987" s="26" t="e">
        <f t="shared" si="1"/>
        <v>#VALUE!</v>
      </c>
      <c r="I5987" s="1" t="e">
        <f t="shared" si="2"/>
        <v>#VALUE!</v>
      </c>
    </row>
    <row r="5988" spans="1:9" ht="15.75" customHeight="1">
      <c r="A5988" s="26"/>
      <c r="B5988" s="2"/>
      <c r="C5988" s="26"/>
      <c r="D5988" s="26"/>
      <c r="F5988" s="85" t="str">
        <f t="shared" si="0"/>
        <v/>
      </c>
      <c r="G5988" s="1" t="e">
        <f>IF(VALUE(F5988) = VALUE(RIGHT(Insights!$C$3, 4)), E5988, "")</f>
        <v>#VALUE!</v>
      </c>
      <c r="H5988" s="26" t="e">
        <f t="shared" si="1"/>
        <v>#VALUE!</v>
      </c>
      <c r="I5988" s="1" t="e">
        <f t="shared" si="2"/>
        <v>#VALUE!</v>
      </c>
    </row>
    <row r="5989" spans="1:9" ht="15.75" customHeight="1">
      <c r="A5989" s="26"/>
      <c r="B5989" s="2"/>
      <c r="C5989" s="26"/>
      <c r="D5989" s="26"/>
      <c r="F5989" s="85" t="str">
        <f t="shared" si="0"/>
        <v/>
      </c>
      <c r="G5989" s="1" t="e">
        <f>IF(VALUE(F5989) = VALUE(RIGHT(Insights!$C$3, 4)), E5989, "")</f>
        <v>#VALUE!</v>
      </c>
      <c r="H5989" s="26" t="e">
        <f t="shared" si="1"/>
        <v>#VALUE!</v>
      </c>
      <c r="I5989" s="1" t="e">
        <f t="shared" si="2"/>
        <v>#VALUE!</v>
      </c>
    </row>
    <row r="5990" spans="1:9" ht="15.75" customHeight="1">
      <c r="A5990" s="26"/>
      <c r="B5990" s="2"/>
      <c r="C5990" s="26"/>
      <c r="D5990" s="26"/>
      <c r="F5990" s="85" t="str">
        <f t="shared" si="0"/>
        <v/>
      </c>
      <c r="G5990" s="1" t="e">
        <f>IF(VALUE(F5990) = VALUE(RIGHT(Insights!$C$3, 4)), E5990, "")</f>
        <v>#VALUE!</v>
      </c>
      <c r="H5990" s="26" t="e">
        <f t="shared" si="1"/>
        <v>#VALUE!</v>
      </c>
      <c r="I5990" s="1" t="e">
        <f t="shared" si="2"/>
        <v>#VALUE!</v>
      </c>
    </row>
    <row r="5991" spans="1:9" ht="15.75" customHeight="1">
      <c r="A5991" s="26"/>
      <c r="B5991" s="2"/>
      <c r="C5991" s="26"/>
      <c r="D5991" s="26"/>
      <c r="F5991" s="85" t="str">
        <f t="shared" si="0"/>
        <v/>
      </c>
      <c r="G5991" s="1" t="e">
        <f>IF(VALUE(F5991) = VALUE(RIGHT(Insights!$C$3, 4)), E5991, "")</f>
        <v>#VALUE!</v>
      </c>
      <c r="H5991" s="26" t="e">
        <f t="shared" si="1"/>
        <v>#VALUE!</v>
      </c>
      <c r="I5991" s="1" t="e">
        <f t="shared" si="2"/>
        <v>#VALUE!</v>
      </c>
    </row>
    <row r="5992" spans="1:9" ht="15.75" customHeight="1">
      <c r="A5992" s="26"/>
      <c r="B5992" s="2"/>
      <c r="C5992" s="26"/>
      <c r="D5992" s="26"/>
      <c r="F5992" s="85" t="str">
        <f t="shared" si="0"/>
        <v/>
      </c>
      <c r="G5992" s="1" t="e">
        <f>IF(VALUE(F5992) = VALUE(RIGHT(Insights!$C$3, 4)), E5992, "")</f>
        <v>#VALUE!</v>
      </c>
      <c r="H5992" s="26" t="e">
        <f t="shared" si="1"/>
        <v>#VALUE!</v>
      </c>
      <c r="I5992" s="1" t="e">
        <f t="shared" si="2"/>
        <v>#VALUE!</v>
      </c>
    </row>
    <row r="5993" spans="1:9" ht="15.75" customHeight="1">
      <c r="A5993" s="26"/>
      <c r="B5993" s="2"/>
      <c r="C5993" s="26"/>
      <c r="D5993" s="26"/>
      <c r="F5993" s="85" t="str">
        <f t="shared" si="0"/>
        <v/>
      </c>
      <c r="G5993" s="1" t="e">
        <f>IF(VALUE(F5993) = VALUE(RIGHT(Insights!$C$3, 4)), E5993, "")</f>
        <v>#VALUE!</v>
      </c>
      <c r="H5993" s="26" t="e">
        <f t="shared" si="1"/>
        <v>#VALUE!</v>
      </c>
      <c r="I5993" s="1" t="e">
        <f t="shared" si="2"/>
        <v>#VALUE!</v>
      </c>
    </row>
    <row r="5994" spans="1:9" ht="15.75" customHeight="1">
      <c r="A5994" s="26"/>
      <c r="B5994" s="2"/>
      <c r="C5994" s="26"/>
      <c r="D5994" s="26"/>
      <c r="F5994" s="85" t="str">
        <f t="shared" si="0"/>
        <v/>
      </c>
      <c r="G5994" s="1" t="e">
        <f>IF(VALUE(F5994) = VALUE(RIGHT(Insights!$C$3, 4)), E5994, "")</f>
        <v>#VALUE!</v>
      </c>
      <c r="H5994" s="26" t="e">
        <f t="shared" si="1"/>
        <v>#VALUE!</v>
      </c>
      <c r="I5994" s="1" t="e">
        <f t="shared" si="2"/>
        <v>#VALUE!</v>
      </c>
    </row>
    <row r="5995" spans="1:9" ht="15.75" customHeight="1">
      <c r="A5995" s="26"/>
      <c r="B5995" s="2"/>
      <c r="C5995" s="26"/>
      <c r="D5995" s="26"/>
      <c r="F5995" s="85" t="str">
        <f t="shared" si="0"/>
        <v/>
      </c>
      <c r="G5995" s="1" t="e">
        <f>IF(VALUE(F5995) = VALUE(RIGHT(Insights!$C$3, 4)), E5995, "")</f>
        <v>#VALUE!</v>
      </c>
      <c r="H5995" s="26" t="e">
        <f t="shared" si="1"/>
        <v>#VALUE!</v>
      </c>
      <c r="I5995" s="1" t="e">
        <f t="shared" si="2"/>
        <v>#VALUE!</v>
      </c>
    </row>
    <row r="5996" spans="1:9" ht="15.75" customHeight="1">
      <c r="A5996" s="26"/>
      <c r="B5996" s="2"/>
      <c r="C5996" s="26"/>
      <c r="D5996" s="26"/>
      <c r="F5996" s="85" t="str">
        <f t="shared" si="0"/>
        <v/>
      </c>
      <c r="G5996" s="1" t="e">
        <f>IF(VALUE(F5996) = VALUE(RIGHT(Insights!$C$3, 4)), E5996, "")</f>
        <v>#VALUE!</v>
      </c>
      <c r="H5996" s="26" t="e">
        <f t="shared" si="1"/>
        <v>#VALUE!</v>
      </c>
      <c r="I5996" s="1" t="e">
        <f t="shared" si="2"/>
        <v>#VALUE!</v>
      </c>
    </row>
    <row r="5997" spans="1:9" ht="15.75" customHeight="1">
      <c r="A5997" s="26"/>
      <c r="B5997" s="2"/>
      <c r="C5997" s="26"/>
      <c r="D5997" s="26"/>
      <c r="F5997" s="85" t="str">
        <f t="shared" si="0"/>
        <v/>
      </c>
      <c r="G5997" s="1" t="e">
        <f>IF(VALUE(F5997) = VALUE(RIGHT(Insights!$C$3, 4)), E5997, "")</f>
        <v>#VALUE!</v>
      </c>
      <c r="H5997" s="26" t="e">
        <f t="shared" si="1"/>
        <v>#VALUE!</v>
      </c>
      <c r="I5997" s="1" t="e">
        <f t="shared" si="2"/>
        <v>#VALUE!</v>
      </c>
    </row>
    <row r="5998" spans="1:9" ht="15.75" customHeight="1">
      <c r="A5998" s="26"/>
      <c r="B5998" s="2"/>
      <c r="C5998" s="26"/>
      <c r="D5998" s="26"/>
      <c r="F5998" s="85" t="str">
        <f t="shared" si="0"/>
        <v/>
      </c>
      <c r="G5998" s="1" t="e">
        <f>IF(VALUE(F5998) = VALUE(RIGHT(Insights!$C$3, 4)), E5998, "")</f>
        <v>#VALUE!</v>
      </c>
      <c r="H5998" s="26" t="e">
        <f t="shared" si="1"/>
        <v>#VALUE!</v>
      </c>
      <c r="I5998" s="1" t="e">
        <f t="shared" si="2"/>
        <v>#VALUE!</v>
      </c>
    </row>
    <row r="5999" spans="1:9" ht="15.75" customHeight="1">
      <c r="A5999" s="26"/>
      <c r="B5999" s="2"/>
      <c r="C5999" s="26"/>
      <c r="D5999" s="26"/>
      <c r="F5999" s="85" t="str">
        <f t="shared" si="0"/>
        <v/>
      </c>
      <c r="G5999" s="1" t="e">
        <f>IF(VALUE(F5999) = VALUE(RIGHT(Insights!$C$3, 4)), E5999, "")</f>
        <v>#VALUE!</v>
      </c>
      <c r="H5999" s="26" t="e">
        <f t="shared" si="1"/>
        <v>#VALUE!</v>
      </c>
      <c r="I5999" s="1" t="e">
        <f t="shared" si="2"/>
        <v>#VALUE!</v>
      </c>
    </row>
    <row r="6000" spans="1:9" ht="15.75" customHeight="1">
      <c r="A6000" s="26"/>
      <c r="B6000" s="2"/>
      <c r="C6000" s="26"/>
      <c r="D6000" s="26"/>
      <c r="F6000" s="85" t="str">
        <f t="shared" si="0"/>
        <v/>
      </c>
      <c r="G6000" s="1" t="e">
        <f>IF(VALUE(F6000) = VALUE(RIGHT(Insights!$C$3, 4)), E6000, "")</f>
        <v>#VALUE!</v>
      </c>
      <c r="H6000" s="26" t="e">
        <f t="shared" si="1"/>
        <v>#VALUE!</v>
      </c>
      <c r="I6000" s="1" t="e">
        <f t="shared" si="2"/>
        <v>#VALUE!</v>
      </c>
    </row>
    <row r="6001" spans="1:9" ht="15.75" customHeight="1">
      <c r="A6001" s="26"/>
      <c r="B6001" s="2"/>
      <c r="C6001" s="26"/>
      <c r="D6001" s="26"/>
      <c r="F6001" s="85" t="str">
        <f t="shared" si="0"/>
        <v/>
      </c>
      <c r="G6001" s="1" t="e">
        <f>IF(VALUE(F6001) = VALUE(RIGHT(Insights!$C$3, 4)), E6001, "")</f>
        <v>#VALUE!</v>
      </c>
      <c r="H6001" s="26" t="e">
        <f t="shared" si="1"/>
        <v>#VALUE!</v>
      </c>
      <c r="I6001" s="1" t="e">
        <f t="shared" si="2"/>
        <v>#VALUE!</v>
      </c>
    </row>
    <row r="6002" spans="1:9" ht="15.75" customHeight="1">
      <c r="A6002" s="26"/>
      <c r="B6002" s="2"/>
      <c r="C6002" s="26"/>
      <c r="D6002" s="26"/>
      <c r="F6002" s="85" t="str">
        <f t="shared" si="0"/>
        <v/>
      </c>
      <c r="G6002" s="1" t="e">
        <f>IF(VALUE(F6002) = VALUE(RIGHT(Insights!$C$3, 4)), E6002, "")</f>
        <v>#VALUE!</v>
      </c>
      <c r="H6002" s="26" t="e">
        <f t="shared" si="1"/>
        <v>#VALUE!</v>
      </c>
      <c r="I6002" s="1" t="e">
        <f t="shared" si="2"/>
        <v>#VALUE!</v>
      </c>
    </row>
    <row r="6003" spans="1:9" ht="15.75" customHeight="1">
      <c r="A6003" s="26"/>
      <c r="B6003" s="2"/>
      <c r="C6003" s="26"/>
      <c r="D6003" s="26"/>
      <c r="F6003" s="85" t="str">
        <f t="shared" si="0"/>
        <v/>
      </c>
      <c r="G6003" s="1" t="e">
        <f>IF(VALUE(F6003) = VALUE(RIGHT(Insights!$C$3, 4)), E6003, "")</f>
        <v>#VALUE!</v>
      </c>
      <c r="H6003" s="26" t="e">
        <f t="shared" si="1"/>
        <v>#VALUE!</v>
      </c>
      <c r="I6003" s="1" t="e">
        <f t="shared" si="2"/>
        <v>#VALUE!</v>
      </c>
    </row>
    <row r="6004" spans="1:9" ht="15.75" customHeight="1">
      <c r="A6004" s="26"/>
      <c r="B6004" s="2"/>
      <c r="C6004" s="26"/>
      <c r="D6004" s="26"/>
      <c r="F6004" s="85" t="str">
        <f t="shared" si="0"/>
        <v/>
      </c>
      <c r="G6004" s="1" t="e">
        <f>IF(VALUE(F6004) = VALUE(RIGHT(Insights!$C$3, 4)), E6004, "")</f>
        <v>#VALUE!</v>
      </c>
      <c r="H6004" s="26" t="e">
        <f t="shared" si="1"/>
        <v>#VALUE!</v>
      </c>
      <c r="I6004" s="1" t="e">
        <f t="shared" si="2"/>
        <v>#VALUE!</v>
      </c>
    </row>
    <row r="6005" spans="1:9" ht="15.75" customHeight="1">
      <c r="A6005" s="26"/>
      <c r="B6005" s="2"/>
      <c r="C6005" s="26"/>
      <c r="D6005" s="26"/>
      <c r="F6005" s="85" t="str">
        <f t="shared" si="0"/>
        <v/>
      </c>
      <c r="G6005" s="1" t="e">
        <f>IF(VALUE(F6005) = VALUE(RIGHT(Insights!$C$3, 4)), E6005, "")</f>
        <v>#VALUE!</v>
      </c>
      <c r="H6005" s="26" t="e">
        <f t="shared" si="1"/>
        <v>#VALUE!</v>
      </c>
      <c r="I6005" s="1" t="e">
        <f t="shared" si="2"/>
        <v>#VALUE!</v>
      </c>
    </row>
    <row r="6006" spans="1:9" ht="15.75" customHeight="1">
      <c r="A6006" s="26"/>
      <c r="B6006" s="2"/>
      <c r="C6006" s="26"/>
      <c r="D6006" s="26"/>
      <c r="F6006" s="85" t="str">
        <f t="shared" si="0"/>
        <v/>
      </c>
      <c r="G6006" s="1" t="e">
        <f>IF(VALUE(F6006) = VALUE(RIGHT(Insights!$C$3, 4)), E6006, "")</f>
        <v>#VALUE!</v>
      </c>
      <c r="H6006" s="26" t="e">
        <f t="shared" si="1"/>
        <v>#VALUE!</v>
      </c>
      <c r="I6006" s="1" t="e">
        <f t="shared" si="2"/>
        <v>#VALUE!</v>
      </c>
    </row>
    <row r="6007" spans="1:9" ht="15.75" customHeight="1">
      <c r="A6007" s="26"/>
      <c r="B6007" s="2"/>
      <c r="C6007" s="26"/>
      <c r="D6007" s="26"/>
      <c r="F6007" s="85" t="str">
        <f t="shared" si="0"/>
        <v/>
      </c>
      <c r="G6007" s="1" t="e">
        <f>IF(VALUE(F6007) = VALUE(RIGHT(Insights!$C$3, 4)), E6007, "")</f>
        <v>#VALUE!</v>
      </c>
      <c r="H6007" s="26" t="e">
        <f t="shared" si="1"/>
        <v>#VALUE!</v>
      </c>
      <c r="I6007" s="1" t="e">
        <f t="shared" si="2"/>
        <v>#VALUE!</v>
      </c>
    </row>
    <row r="6008" spans="1:9" ht="15.75" customHeight="1">
      <c r="A6008" s="26"/>
      <c r="B6008" s="2"/>
      <c r="C6008" s="26"/>
      <c r="D6008" s="26"/>
      <c r="F6008" s="85" t="str">
        <f t="shared" si="0"/>
        <v/>
      </c>
      <c r="G6008" s="1" t="e">
        <f>IF(VALUE(F6008) = VALUE(RIGHT(Insights!$C$3, 4)), E6008, "")</f>
        <v>#VALUE!</v>
      </c>
      <c r="H6008" s="26" t="e">
        <f t="shared" si="1"/>
        <v>#VALUE!</v>
      </c>
      <c r="I6008" s="1" t="e">
        <f t="shared" si="2"/>
        <v>#VALUE!</v>
      </c>
    </row>
    <row r="6009" spans="1:9" ht="15.75" customHeight="1">
      <c r="A6009" s="26"/>
      <c r="B6009" s="2"/>
      <c r="C6009" s="26"/>
      <c r="D6009" s="26"/>
      <c r="F6009" s="85" t="str">
        <f t="shared" si="0"/>
        <v/>
      </c>
      <c r="G6009" s="1" t="e">
        <f>IF(VALUE(F6009) = VALUE(RIGHT(Insights!$C$3, 4)), E6009, "")</f>
        <v>#VALUE!</v>
      </c>
      <c r="H6009" s="26" t="e">
        <f t="shared" si="1"/>
        <v>#VALUE!</v>
      </c>
      <c r="I6009" s="1" t="e">
        <f t="shared" si="2"/>
        <v>#VALUE!</v>
      </c>
    </row>
    <row r="6010" spans="1:9" ht="15.75" customHeight="1">
      <c r="A6010" s="26"/>
      <c r="B6010" s="2"/>
      <c r="C6010" s="26"/>
      <c r="D6010" s="26"/>
      <c r="F6010" s="85" t="str">
        <f t="shared" si="0"/>
        <v/>
      </c>
      <c r="G6010" s="1" t="e">
        <f>IF(VALUE(F6010) = VALUE(RIGHT(Insights!$C$3, 4)), E6010, "")</f>
        <v>#VALUE!</v>
      </c>
      <c r="H6010" s="26" t="e">
        <f t="shared" si="1"/>
        <v>#VALUE!</v>
      </c>
      <c r="I6010" s="1" t="e">
        <f t="shared" si="2"/>
        <v>#VALUE!</v>
      </c>
    </row>
    <row r="6011" spans="1:9" ht="15.75" customHeight="1">
      <c r="A6011" s="26"/>
      <c r="B6011" s="2"/>
      <c r="C6011" s="26"/>
      <c r="D6011" s="26"/>
      <c r="F6011" s="85" t="str">
        <f t="shared" si="0"/>
        <v/>
      </c>
      <c r="G6011" s="1" t="e">
        <f>IF(VALUE(F6011) = VALUE(RIGHT(Insights!$C$3, 4)), E6011, "")</f>
        <v>#VALUE!</v>
      </c>
      <c r="H6011" s="26" t="e">
        <f t="shared" si="1"/>
        <v>#VALUE!</v>
      </c>
      <c r="I6011" s="1" t="e">
        <f t="shared" si="2"/>
        <v>#VALUE!</v>
      </c>
    </row>
    <row r="6012" spans="1:9" ht="15.75" customHeight="1">
      <c r="A6012" s="26"/>
      <c r="B6012" s="2"/>
      <c r="C6012" s="26"/>
      <c r="D6012" s="26"/>
      <c r="F6012" s="85" t="str">
        <f t="shared" si="0"/>
        <v/>
      </c>
      <c r="G6012" s="1" t="e">
        <f>IF(VALUE(F6012) = VALUE(RIGHT(Insights!$C$3, 4)), E6012, "")</f>
        <v>#VALUE!</v>
      </c>
      <c r="H6012" s="26" t="e">
        <f t="shared" si="1"/>
        <v>#VALUE!</v>
      </c>
      <c r="I6012" s="1" t="e">
        <f t="shared" si="2"/>
        <v>#VALUE!</v>
      </c>
    </row>
    <row r="6013" spans="1:9" ht="15.75" customHeight="1">
      <c r="A6013" s="26"/>
      <c r="B6013" s="2"/>
      <c r="C6013" s="26"/>
      <c r="D6013" s="26"/>
      <c r="F6013" s="85" t="str">
        <f t="shared" si="0"/>
        <v/>
      </c>
      <c r="G6013" s="1" t="e">
        <f>IF(VALUE(F6013) = VALUE(RIGHT(Insights!$C$3, 4)), E6013, "")</f>
        <v>#VALUE!</v>
      </c>
      <c r="H6013" s="26" t="e">
        <f t="shared" si="1"/>
        <v>#VALUE!</v>
      </c>
      <c r="I6013" s="1" t="e">
        <f t="shared" si="2"/>
        <v>#VALUE!</v>
      </c>
    </row>
    <row r="6014" spans="1:9" ht="15.75" customHeight="1">
      <c r="A6014" s="26"/>
      <c r="B6014" s="2"/>
      <c r="C6014" s="26"/>
      <c r="D6014" s="26"/>
      <c r="F6014" s="85" t="str">
        <f t="shared" si="0"/>
        <v/>
      </c>
      <c r="G6014" s="1" t="e">
        <f>IF(VALUE(F6014) = VALUE(RIGHT(Insights!$C$3, 4)), E6014, "")</f>
        <v>#VALUE!</v>
      </c>
      <c r="H6014" s="26" t="e">
        <f t="shared" si="1"/>
        <v>#VALUE!</v>
      </c>
      <c r="I6014" s="1" t="e">
        <f t="shared" si="2"/>
        <v>#VALUE!</v>
      </c>
    </row>
    <row r="6015" spans="1:9" ht="15.75" customHeight="1">
      <c r="A6015" s="26"/>
      <c r="B6015" s="2"/>
      <c r="C6015" s="26"/>
      <c r="D6015" s="26"/>
      <c r="F6015" s="85" t="str">
        <f t="shared" si="0"/>
        <v/>
      </c>
      <c r="G6015" s="1" t="e">
        <f>IF(VALUE(F6015) = VALUE(RIGHT(Insights!$C$3, 4)), E6015, "")</f>
        <v>#VALUE!</v>
      </c>
      <c r="H6015" s="26" t="e">
        <f t="shared" si="1"/>
        <v>#VALUE!</v>
      </c>
      <c r="I6015" s="1" t="e">
        <f t="shared" si="2"/>
        <v>#VALUE!</v>
      </c>
    </row>
    <row r="6016" spans="1:9" ht="15.75" customHeight="1">
      <c r="A6016" s="26"/>
      <c r="B6016" s="2"/>
      <c r="C6016" s="26"/>
      <c r="D6016" s="26"/>
      <c r="F6016" s="85" t="str">
        <f t="shared" si="0"/>
        <v/>
      </c>
      <c r="G6016" s="1" t="e">
        <f>IF(VALUE(F6016) = VALUE(RIGHT(Insights!$C$3, 4)), E6016, "")</f>
        <v>#VALUE!</v>
      </c>
      <c r="H6016" s="26" t="e">
        <f t="shared" si="1"/>
        <v>#VALUE!</v>
      </c>
      <c r="I6016" s="1" t="e">
        <f t="shared" si="2"/>
        <v>#VALUE!</v>
      </c>
    </row>
    <row r="6017" spans="1:9" ht="15.75" customHeight="1">
      <c r="A6017" s="26"/>
      <c r="B6017" s="2"/>
      <c r="C6017" s="26"/>
      <c r="D6017" s="26"/>
      <c r="F6017" s="85" t="str">
        <f t="shared" si="0"/>
        <v/>
      </c>
      <c r="G6017" s="1" t="e">
        <f>IF(VALUE(F6017) = VALUE(RIGHT(Insights!$C$3, 4)), E6017, "")</f>
        <v>#VALUE!</v>
      </c>
      <c r="H6017" s="26" t="e">
        <f t="shared" si="1"/>
        <v>#VALUE!</v>
      </c>
      <c r="I6017" s="1" t="e">
        <f t="shared" si="2"/>
        <v>#VALUE!</v>
      </c>
    </row>
    <row r="6018" spans="1:9" ht="15.75" customHeight="1">
      <c r="A6018" s="26"/>
      <c r="B6018" s="2"/>
      <c r="C6018" s="26"/>
      <c r="D6018" s="26"/>
      <c r="F6018" s="85" t="str">
        <f t="shared" si="0"/>
        <v/>
      </c>
      <c r="G6018" s="1" t="e">
        <f>IF(VALUE(F6018) = VALUE(RIGHT(Insights!$C$3, 4)), E6018, "")</f>
        <v>#VALUE!</v>
      </c>
      <c r="H6018" s="26" t="e">
        <f t="shared" si="1"/>
        <v>#VALUE!</v>
      </c>
      <c r="I6018" s="1" t="e">
        <f t="shared" si="2"/>
        <v>#VALUE!</v>
      </c>
    </row>
    <row r="6019" spans="1:9" ht="15.75" customHeight="1">
      <c r="A6019" s="26"/>
      <c r="B6019" s="2"/>
      <c r="C6019" s="26"/>
      <c r="D6019" s="26"/>
      <c r="F6019" s="85" t="str">
        <f t="shared" si="0"/>
        <v/>
      </c>
      <c r="G6019" s="1" t="e">
        <f>IF(VALUE(F6019) = VALUE(RIGHT(Insights!$C$3, 4)), E6019, "")</f>
        <v>#VALUE!</v>
      </c>
      <c r="H6019" s="26" t="e">
        <f t="shared" si="1"/>
        <v>#VALUE!</v>
      </c>
      <c r="I6019" s="1" t="e">
        <f t="shared" si="2"/>
        <v>#VALUE!</v>
      </c>
    </row>
    <row r="6020" spans="1:9" ht="15.75" customHeight="1">
      <c r="A6020" s="26"/>
      <c r="B6020" s="2"/>
      <c r="C6020" s="26"/>
      <c r="D6020" s="26"/>
      <c r="F6020" s="85" t="str">
        <f t="shared" si="0"/>
        <v/>
      </c>
      <c r="G6020" s="1" t="e">
        <f>IF(VALUE(F6020) = VALUE(RIGHT(Insights!$C$3, 4)), E6020, "")</f>
        <v>#VALUE!</v>
      </c>
      <c r="H6020" s="26" t="e">
        <f t="shared" si="1"/>
        <v>#VALUE!</v>
      </c>
      <c r="I6020" s="1" t="e">
        <f t="shared" si="2"/>
        <v>#VALUE!</v>
      </c>
    </row>
    <row r="6021" spans="1:9" ht="15.75" customHeight="1">
      <c r="A6021" s="26"/>
      <c r="B6021" s="2"/>
      <c r="C6021" s="26"/>
      <c r="D6021" s="26"/>
      <c r="F6021" s="85" t="str">
        <f t="shared" si="0"/>
        <v/>
      </c>
      <c r="G6021" s="1" t="e">
        <f>IF(VALUE(F6021) = VALUE(RIGHT(Insights!$C$3, 4)), E6021, "")</f>
        <v>#VALUE!</v>
      </c>
      <c r="H6021" s="26" t="e">
        <f t="shared" si="1"/>
        <v>#VALUE!</v>
      </c>
      <c r="I6021" s="1" t="e">
        <f t="shared" si="2"/>
        <v>#VALUE!</v>
      </c>
    </row>
    <row r="6022" spans="1:9" ht="15.75" customHeight="1">
      <c r="A6022" s="26"/>
      <c r="B6022" s="2"/>
      <c r="C6022" s="26"/>
      <c r="D6022" s="26"/>
      <c r="F6022" s="85" t="str">
        <f t="shared" si="0"/>
        <v/>
      </c>
      <c r="G6022" s="1" t="e">
        <f>IF(VALUE(F6022) = VALUE(RIGHT(Insights!$C$3, 4)), E6022, "")</f>
        <v>#VALUE!</v>
      </c>
      <c r="H6022" s="26" t="e">
        <f t="shared" si="1"/>
        <v>#VALUE!</v>
      </c>
      <c r="I6022" s="1" t="e">
        <f t="shared" si="2"/>
        <v>#VALUE!</v>
      </c>
    </row>
    <row r="6023" spans="1:9" ht="15.75" customHeight="1">
      <c r="A6023" s="26"/>
      <c r="B6023" s="2"/>
      <c r="C6023" s="26"/>
      <c r="D6023" s="26"/>
      <c r="F6023" s="85" t="str">
        <f t="shared" si="0"/>
        <v/>
      </c>
      <c r="G6023" s="1" t="e">
        <f>IF(VALUE(F6023) = VALUE(RIGHT(Insights!$C$3, 4)), E6023, "")</f>
        <v>#VALUE!</v>
      </c>
      <c r="H6023" s="26" t="e">
        <f t="shared" si="1"/>
        <v>#VALUE!</v>
      </c>
      <c r="I6023" s="1" t="e">
        <f t="shared" si="2"/>
        <v>#VALUE!</v>
      </c>
    </row>
    <row r="6024" spans="1:9" ht="15.75" customHeight="1">
      <c r="A6024" s="26"/>
      <c r="B6024" s="2"/>
      <c r="C6024" s="26"/>
      <c r="D6024" s="26"/>
      <c r="F6024" s="85" t="str">
        <f t="shared" si="0"/>
        <v/>
      </c>
      <c r="G6024" s="1" t="e">
        <f>IF(VALUE(F6024) = VALUE(RIGHT(Insights!$C$3, 4)), E6024, "")</f>
        <v>#VALUE!</v>
      </c>
      <c r="H6024" s="26" t="e">
        <f t="shared" si="1"/>
        <v>#VALUE!</v>
      </c>
      <c r="I6024" s="1" t="e">
        <f t="shared" si="2"/>
        <v>#VALUE!</v>
      </c>
    </row>
    <row r="6025" spans="1:9" ht="15.75" customHeight="1">
      <c r="A6025" s="26"/>
      <c r="B6025" s="2"/>
      <c r="C6025" s="26"/>
      <c r="D6025" s="26"/>
      <c r="F6025" s="85" t="str">
        <f t="shared" si="0"/>
        <v/>
      </c>
      <c r="G6025" s="1" t="e">
        <f>IF(VALUE(F6025) = VALUE(RIGHT(Insights!$C$3, 4)), E6025, "")</f>
        <v>#VALUE!</v>
      </c>
      <c r="H6025" s="26" t="e">
        <f t="shared" si="1"/>
        <v>#VALUE!</v>
      </c>
      <c r="I6025" s="1" t="e">
        <f t="shared" si="2"/>
        <v>#VALUE!</v>
      </c>
    </row>
    <row r="6026" spans="1:9" ht="15.75" customHeight="1">
      <c r="A6026" s="26"/>
      <c r="B6026" s="2"/>
      <c r="C6026" s="26"/>
      <c r="D6026" s="26"/>
      <c r="F6026" s="85" t="str">
        <f t="shared" si="0"/>
        <v/>
      </c>
      <c r="G6026" s="1" t="e">
        <f>IF(VALUE(F6026) = VALUE(RIGHT(Insights!$C$3, 4)), E6026, "")</f>
        <v>#VALUE!</v>
      </c>
      <c r="H6026" s="26" t="e">
        <f t="shared" si="1"/>
        <v>#VALUE!</v>
      </c>
      <c r="I6026" s="1" t="e">
        <f t="shared" si="2"/>
        <v>#VALUE!</v>
      </c>
    </row>
    <row r="6027" spans="1:9" ht="15.75" customHeight="1">
      <c r="A6027" s="26"/>
      <c r="B6027" s="2"/>
      <c r="C6027" s="26"/>
      <c r="D6027" s="26"/>
      <c r="F6027" s="85" t="str">
        <f t="shared" si="0"/>
        <v/>
      </c>
      <c r="G6027" s="1" t="e">
        <f>IF(VALUE(F6027) = VALUE(RIGHT(Insights!$C$3, 4)), E6027, "")</f>
        <v>#VALUE!</v>
      </c>
      <c r="H6027" s="26" t="e">
        <f t="shared" si="1"/>
        <v>#VALUE!</v>
      </c>
      <c r="I6027" s="1" t="e">
        <f t="shared" si="2"/>
        <v>#VALUE!</v>
      </c>
    </row>
    <row r="6028" spans="1:9" ht="15.75" customHeight="1">
      <c r="A6028" s="26"/>
      <c r="B6028" s="2"/>
      <c r="C6028" s="26"/>
      <c r="D6028" s="26"/>
      <c r="F6028" s="85" t="str">
        <f t="shared" si="0"/>
        <v/>
      </c>
      <c r="G6028" s="1" t="e">
        <f>IF(VALUE(F6028) = VALUE(RIGHT(Insights!$C$3, 4)), E6028, "")</f>
        <v>#VALUE!</v>
      </c>
      <c r="H6028" s="26" t="e">
        <f t="shared" si="1"/>
        <v>#VALUE!</v>
      </c>
      <c r="I6028" s="1" t="e">
        <f t="shared" si="2"/>
        <v>#VALUE!</v>
      </c>
    </row>
    <row r="6029" spans="1:9" ht="15.75" customHeight="1">
      <c r="A6029" s="26"/>
      <c r="B6029" s="2"/>
      <c r="C6029" s="26"/>
      <c r="D6029" s="26"/>
      <c r="F6029" s="85" t="str">
        <f t="shared" si="0"/>
        <v/>
      </c>
      <c r="G6029" s="1" t="e">
        <f>IF(VALUE(F6029) = VALUE(RIGHT(Insights!$C$3, 4)), E6029, "")</f>
        <v>#VALUE!</v>
      </c>
      <c r="H6029" s="26" t="e">
        <f t="shared" si="1"/>
        <v>#VALUE!</v>
      </c>
      <c r="I6029" s="1" t="e">
        <f t="shared" si="2"/>
        <v>#VALUE!</v>
      </c>
    </row>
    <row r="6030" spans="1:9" ht="15.75" customHeight="1">
      <c r="A6030" s="26"/>
      <c r="B6030" s="2"/>
      <c r="C6030" s="26"/>
      <c r="D6030" s="26"/>
      <c r="F6030" s="85" t="str">
        <f t="shared" si="0"/>
        <v/>
      </c>
      <c r="G6030" s="1" t="e">
        <f>IF(VALUE(F6030) = VALUE(RIGHT(Insights!$C$3, 4)), E6030, "")</f>
        <v>#VALUE!</v>
      </c>
      <c r="H6030" s="26" t="e">
        <f t="shared" si="1"/>
        <v>#VALUE!</v>
      </c>
      <c r="I6030" s="1" t="e">
        <f t="shared" si="2"/>
        <v>#VALUE!</v>
      </c>
    </row>
    <row r="6031" spans="1:9" ht="15.75" customHeight="1">
      <c r="A6031" s="26"/>
      <c r="B6031" s="2"/>
      <c r="C6031" s="26"/>
      <c r="D6031" s="26"/>
      <c r="F6031" s="85" t="str">
        <f t="shared" si="0"/>
        <v/>
      </c>
      <c r="G6031" s="1" t="e">
        <f>IF(VALUE(F6031) = VALUE(RIGHT(Insights!$C$3, 4)), E6031, "")</f>
        <v>#VALUE!</v>
      </c>
      <c r="H6031" s="26" t="e">
        <f t="shared" si="1"/>
        <v>#VALUE!</v>
      </c>
      <c r="I6031" s="1" t="e">
        <f t="shared" si="2"/>
        <v>#VALUE!</v>
      </c>
    </row>
    <row r="6032" spans="1:9" ht="15.75" customHeight="1">
      <c r="A6032" s="26"/>
      <c r="B6032" s="2"/>
      <c r="C6032" s="26"/>
      <c r="D6032" s="26"/>
      <c r="F6032" s="85" t="str">
        <f t="shared" si="0"/>
        <v/>
      </c>
      <c r="G6032" s="1" t="e">
        <f>IF(VALUE(F6032) = VALUE(RIGHT(Insights!$C$3, 4)), E6032, "")</f>
        <v>#VALUE!</v>
      </c>
      <c r="H6032" s="26" t="e">
        <f t="shared" si="1"/>
        <v>#VALUE!</v>
      </c>
      <c r="I6032" s="1" t="e">
        <f t="shared" si="2"/>
        <v>#VALUE!</v>
      </c>
    </row>
    <row r="6033" spans="1:9" ht="15.75" customHeight="1">
      <c r="A6033" s="26"/>
      <c r="B6033" s="2"/>
      <c r="C6033" s="26"/>
      <c r="D6033" s="26"/>
      <c r="F6033" s="85" t="str">
        <f t="shared" si="0"/>
        <v/>
      </c>
      <c r="G6033" s="1" t="e">
        <f>IF(VALUE(F6033) = VALUE(RIGHT(Insights!$C$3, 4)), E6033, "")</f>
        <v>#VALUE!</v>
      </c>
      <c r="H6033" s="26" t="e">
        <f t="shared" si="1"/>
        <v>#VALUE!</v>
      </c>
      <c r="I6033" s="1" t="e">
        <f t="shared" si="2"/>
        <v>#VALUE!</v>
      </c>
    </row>
    <row r="6034" spans="1:9" ht="15.75" customHeight="1">
      <c r="A6034" s="26"/>
      <c r="B6034" s="2"/>
      <c r="C6034" s="26"/>
      <c r="D6034" s="26"/>
      <c r="F6034" s="85" t="str">
        <f t="shared" si="0"/>
        <v/>
      </c>
      <c r="G6034" s="1" t="e">
        <f>IF(VALUE(F6034) = VALUE(RIGHT(Insights!$C$3, 4)), E6034, "")</f>
        <v>#VALUE!</v>
      </c>
      <c r="H6034" s="26" t="e">
        <f t="shared" si="1"/>
        <v>#VALUE!</v>
      </c>
      <c r="I6034" s="1" t="e">
        <f t="shared" si="2"/>
        <v>#VALUE!</v>
      </c>
    </row>
    <row r="6035" spans="1:9" ht="15.75" customHeight="1">
      <c r="A6035" s="26"/>
      <c r="B6035" s="2"/>
      <c r="C6035" s="26"/>
      <c r="D6035" s="26"/>
      <c r="F6035" s="85" t="str">
        <f t="shared" si="0"/>
        <v/>
      </c>
      <c r="G6035" s="1" t="e">
        <f>IF(VALUE(F6035) = VALUE(RIGHT(Insights!$C$3, 4)), E6035, "")</f>
        <v>#VALUE!</v>
      </c>
      <c r="H6035" s="26" t="e">
        <f t="shared" si="1"/>
        <v>#VALUE!</v>
      </c>
      <c r="I6035" s="1" t="e">
        <f t="shared" si="2"/>
        <v>#VALUE!</v>
      </c>
    </row>
    <row r="6036" spans="1:9" ht="15.75" customHeight="1">
      <c r="A6036" s="26"/>
      <c r="B6036" s="2"/>
      <c r="C6036" s="26"/>
      <c r="D6036" s="26"/>
      <c r="F6036" s="85" t="str">
        <f t="shared" si="0"/>
        <v/>
      </c>
      <c r="G6036" s="1" t="e">
        <f>IF(VALUE(F6036) = VALUE(RIGHT(Insights!$C$3, 4)), E6036, "")</f>
        <v>#VALUE!</v>
      </c>
      <c r="H6036" s="26" t="e">
        <f t="shared" si="1"/>
        <v>#VALUE!</v>
      </c>
      <c r="I6036" s="1" t="e">
        <f t="shared" si="2"/>
        <v>#VALUE!</v>
      </c>
    </row>
    <row r="6037" spans="1:9" ht="15.75" customHeight="1">
      <c r="A6037" s="26"/>
      <c r="B6037" s="2"/>
      <c r="C6037" s="26"/>
      <c r="D6037" s="26"/>
      <c r="F6037" s="85" t="str">
        <f t="shared" si="0"/>
        <v/>
      </c>
      <c r="G6037" s="1" t="e">
        <f>IF(VALUE(F6037) = VALUE(RIGHT(Insights!$C$3, 4)), E6037, "")</f>
        <v>#VALUE!</v>
      </c>
      <c r="H6037" s="26" t="e">
        <f t="shared" si="1"/>
        <v>#VALUE!</v>
      </c>
      <c r="I6037" s="1" t="e">
        <f t="shared" si="2"/>
        <v>#VALUE!</v>
      </c>
    </row>
    <row r="6038" spans="1:9" ht="15.75" customHeight="1">
      <c r="A6038" s="26"/>
      <c r="B6038" s="2"/>
      <c r="C6038" s="26"/>
      <c r="D6038" s="26"/>
      <c r="F6038" s="85" t="str">
        <f t="shared" si="0"/>
        <v/>
      </c>
      <c r="G6038" s="1" t="e">
        <f>IF(VALUE(F6038) = VALUE(RIGHT(Insights!$C$3, 4)), E6038, "")</f>
        <v>#VALUE!</v>
      </c>
      <c r="H6038" s="26" t="e">
        <f t="shared" si="1"/>
        <v>#VALUE!</v>
      </c>
      <c r="I6038" s="1" t="e">
        <f t="shared" si="2"/>
        <v>#VALUE!</v>
      </c>
    </row>
    <row r="6039" spans="1:9" ht="15.75" customHeight="1">
      <c r="A6039" s="26"/>
      <c r="B6039" s="2"/>
      <c r="C6039" s="26"/>
      <c r="D6039" s="26"/>
      <c r="F6039" s="85" t="str">
        <f t="shared" si="0"/>
        <v/>
      </c>
      <c r="G6039" s="1" t="e">
        <f>IF(VALUE(F6039) = VALUE(RIGHT(Insights!$C$3, 4)), E6039, "")</f>
        <v>#VALUE!</v>
      </c>
      <c r="H6039" s="26" t="e">
        <f t="shared" si="1"/>
        <v>#VALUE!</v>
      </c>
      <c r="I6039" s="1" t="e">
        <f t="shared" si="2"/>
        <v>#VALUE!</v>
      </c>
    </row>
    <row r="6040" spans="1:9" ht="15.75" customHeight="1">
      <c r="A6040" s="26"/>
      <c r="B6040" s="2"/>
      <c r="C6040" s="26"/>
      <c r="D6040" s="26"/>
      <c r="F6040" s="85" t="str">
        <f t="shared" si="0"/>
        <v/>
      </c>
      <c r="G6040" s="1" t="e">
        <f>IF(VALUE(F6040) = VALUE(RIGHT(Insights!$C$3, 4)), E6040, "")</f>
        <v>#VALUE!</v>
      </c>
      <c r="H6040" s="26" t="e">
        <f t="shared" si="1"/>
        <v>#VALUE!</v>
      </c>
      <c r="I6040" s="1" t="e">
        <f t="shared" si="2"/>
        <v>#VALUE!</v>
      </c>
    </row>
    <row r="6041" spans="1:9" ht="15.75" customHeight="1">
      <c r="A6041" s="26"/>
      <c r="B6041" s="2"/>
      <c r="C6041" s="26"/>
      <c r="D6041" s="26"/>
      <c r="F6041" s="85" t="str">
        <f t="shared" si="0"/>
        <v/>
      </c>
      <c r="G6041" s="1" t="e">
        <f>IF(VALUE(F6041) = VALUE(RIGHT(Insights!$C$3, 4)), E6041, "")</f>
        <v>#VALUE!</v>
      </c>
      <c r="H6041" s="26" t="e">
        <f t="shared" si="1"/>
        <v>#VALUE!</v>
      </c>
      <c r="I6041" s="1" t="e">
        <f t="shared" si="2"/>
        <v>#VALUE!</v>
      </c>
    </row>
    <row r="6042" spans="1:9" ht="15.75" customHeight="1">
      <c r="A6042" s="26"/>
      <c r="B6042" s="2"/>
      <c r="C6042" s="26"/>
      <c r="D6042" s="26"/>
      <c r="F6042" s="85" t="str">
        <f t="shared" si="0"/>
        <v/>
      </c>
      <c r="G6042" s="1" t="e">
        <f>IF(VALUE(F6042) = VALUE(RIGHT(Insights!$C$3, 4)), E6042, "")</f>
        <v>#VALUE!</v>
      </c>
      <c r="H6042" s="26" t="e">
        <f t="shared" si="1"/>
        <v>#VALUE!</v>
      </c>
      <c r="I6042" s="1" t="e">
        <f t="shared" si="2"/>
        <v>#VALUE!</v>
      </c>
    </row>
    <row r="6043" spans="1:9" ht="15.75" customHeight="1">
      <c r="A6043" s="26"/>
      <c r="B6043" s="2"/>
      <c r="C6043" s="26"/>
      <c r="D6043" s="26"/>
      <c r="F6043" s="85" t="str">
        <f t="shared" si="0"/>
        <v/>
      </c>
      <c r="G6043" s="1" t="e">
        <f>IF(VALUE(F6043) = VALUE(RIGHT(Insights!$C$3, 4)), E6043, "")</f>
        <v>#VALUE!</v>
      </c>
      <c r="H6043" s="26" t="e">
        <f t="shared" si="1"/>
        <v>#VALUE!</v>
      </c>
      <c r="I6043" s="1" t="e">
        <f t="shared" si="2"/>
        <v>#VALUE!</v>
      </c>
    </row>
    <row r="6044" spans="1:9" ht="15.75" customHeight="1">
      <c r="A6044" s="26"/>
      <c r="B6044" s="2"/>
      <c r="C6044" s="26"/>
      <c r="D6044" s="26"/>
      <c r="F6044" s="85" t="str">
        <f t="shared" si="0"/>
        <v/>
      </c>
      <c r="G6044" s="1" t="e">
        <f>IF(VALUE(F6044) = VALUE(RIGHT(Insights!$C$3, 4)), E6044, "")</f>
        <v>#VALUE!</v>
      </c>
      <c r="H6044" s="26" t="e">
        <f t="shared" si="1"/>
        <v>#VALUE!</v>
      </c>
      <c r="I6044" s="1" t="e">
        <f t="shared" si="2"/>
        <v>#VALUE!</v>
      </c>
    </row>
    <row r="6045" spans="1:9" ht="15.75" customHeight="1">
      <c r="A6045" s="26"/>
      <c r="B6045" s="2"/>
      <c r="C6045" s="26"/>
      <c r="D6045" s="26"/>
      <c r="F6045" s="85" t="str">
        <f t="shared" si="0"/>
        <v/>
      </c>
      <c r="G6045" s="1" t="e">
        <f>IF(VALUE(F6045) = VALUE(RIGHT(Insights!$C$3, 4)), E6045, "")</f>
        <v>#VALUE!</v>
      </c>
      <c r="H6045" s="26" t="e">
        <f t="shared" si="1"/>
        <v>#VALUE!</v>
      </c>
      <c r="I6045" s="1" t="e">
        <f t="shared" si="2"/>
        <v>#VALUE!</v>
      </c>
    </row>
    <row r="6046" spans="1:9" ht="15.75" customHeight="1">
      <c r="A6046" s="26"/>
      <c r="B6046" s="2"/>
      <c r="C6046" s="26"/>
      <c r="D6046" s="26"/>
      <c r="F6046" s="85" t="str">
        <f t="shared" si="0"/>
        <v/>
      </c>
      <c r="G6046" s="1" t="e">
        <f>IF(VALUE(F6046) = VALUE(RIGHT(Insights!$C$3, 4)), E6046, "")</f>
        <v>#VALUE!</v>
      </c>
      <c r="H6046" s="26" t="e">
        <f t="shared" si="1"/>
        <v>#VALUE!</v>
      </c>
      <c r="I6046" s="1" t="e">
        <f t="shared" si="2"/>
        <v>#VALUE!</v>
      </c>
    </row>
    <row r="6047" spans="1:9" ht="15.75" customHeight="1">
      <c r="A6047" s="26"/>
      <c r="B6047" s="2"/>
      <c r="C6047" s="26"/>
      <c r="D6047" s="26"/>
      <c r="F6047" s="85" t="str">
        <f t="shared" si="0"/>
        <v/>
      </c>
      <c r="G6047" s="1" t="e">
        <f>IF(VALUE(F6047) = VALUE(RIGHT(Insights!$C$3, 4)), E6047, "")</f>
        <v>#VALUE!</v>
      </c>
      <c r="H6047" s="26" t="e">
        <f t="shared" si="1"/>
        <v>#VALUE!</v>
      </c>
      <c r="I6047" s="1" t="e">
        <f t="shared" si="2"/>
        <v>#VALUE!</v>
      </c>
    </row>
    <row r="6048" spans="1:9" ht="15.75" customHeight="1">
      <c r="A6048" s="26"/>
      <c r="B6048" s="2"/>
      <c r="C6048" s="26"/>
      <c r="D6048" s="26"/>
      <c r="F6048" s="85" t="str">
        <f t="shared" si="0"/>
        <v/>
      </c>
      <c r="G6048" s="1" t="e">
        <f>IF(VALUE(F6048) = VALUE(RIGHT(Insights!$C$3, 4)), E6048, "")</f>
        <v>#VALUE!</v>
      </c>
      <c r="H6048" s="26" t="e">
        <f t="shared" si="1"/>
        <v>#VALUE!</v>
      </c>
      <c r="I6048" s="1" t="e">
        <f t="shared" si="2"/>
        <v>#VALUE!</v>
      </c>
    </row>
    <row r="6049" spans="1:9" ht="15.75" customHeight="1">
      <c r="A6049" s="26"/>
      <c r="B6049" s="2"/>
      <c r="C6049" s="26"/>
      <c r="D6049" s="26"/>
      <c r="F6049" s="85" t="str">
        <f t="shared" si="0"/>
        <v/>
      </c>
      <c r="G6049" s="1" t="e">
        <f>IF(VALUE(F6049) = VALUE(RIGHT(Insights!$C$3, 4)), E6049, "")</f>
        <v>#VALUE!</v>
      </c>
      <c r="H6049" s="26" t="e">
        <f t="shared" si="1"/>
        <v>#VALUE!</v>
      </c>
      <c r="I6049" s="1" t="e">
        <f t="shared" si="2"/>
        <v>#VALUE!</v>
      </c>
    </row>
    <row r="6050" spans="1:9" ht="15.75" customHeight="1">
      <c r="A6050" s="26"/>
      <c r="B6050" s="2"/>
      <c r="C6050" s="26"/>
      <c r="D6050" s="26"/>
      <c r="F6050" s="85" t="str">
        <f t="shared" si="0"/>
        <v/>
      </c>
      <c r="G6050" s="1" t="e">
        <f>IF(VALUE(F6050) = VALUE(RIGHT(Insights!$C$3, 4)), E6050, "")</f>
        <v>#VALUE!</v>
      </c>
      <c r="H6050" s="26" t="e">
        <f t="shared" si="1"/>
        <v>#VALUE!</v>
      </c>
      <c r="I6050" s="1" t="e">
        <f t="shared" si="2"/>
        <v>#VALUE!</v>
      </c>
    </row>
    <row r="6051" spans="1:9" ht="15.75" customHeight="1">
      <c r="A6051" s="26"/>
      <c r="B6051" s="2"/>
      <c r="C6051" s="26"/>
      <c r="D6051" s="26"/>
      <c r="F6051" s="85" t="str">
        <f t="shared" si="0"/>
        <v/>
      </c>
      <c r="G6051" s="1" t="e">
        <f>IF(VALUE(F6051) = VALUE(RIGHT(Insights!$C$3, 4)), E6051, "")</f>
        <v>#VALUE!</v>
      </c>
      <c r="H6051" s="26" t="e">
        <f t="shared" si="1"/>
        <v>#VALUE!</v>
      </c>
      <c r="I6051" s="1" t="e">
        <f t="shared" si="2"/>
        <v>#VALUE!</v>
      </c>
    </row>
    <row r="6052" spans="1:9" ht="15.75" customHeight="1">
      <c r="A6052" s="26"/>
      <c r="B6052" s="2"/>
      <c r="C6052" s="26"/>
      <c r="D6052" s="26"/>
      <c r="F6052" s="85" t="str">
        <f t="shared" si="0"/>
        <v/>
      </c>
      <c r="G6052" s="1" t="e">
        <f>IF(VALUE(F6052) = VALUE(RIGHT(Insights!$C$3, 4)), E6052, "")</f>
        <v>#VALUE!</v>
      </c>
      <c r="H6052" s="26" t="e">
        <f t="shared" si="1"/>
        <v>#VALUE!</v>
      </c>
      <c r="I6052" s="1" t="e">
        <f t="shared" si="2"/>
        <v>#VALUE!</v>
      </c>
    </row>
    <row r="6053" spans="1:9" ht="15.75" customHeight="1">
      <c r="A6053" s="26"/>
      <c r="B6053" s="2"/>
      <c r="C6053" s="26"/>
      <c r="D6053" s="26"/>
      <c r="F6053" s="85" t="str">
        <f t="shared" si="0"/>
        <v/>
      </c>
      <c r="G6053" s="1" t="e">
        <f>IF(VALUE(F6053) = VALUE(RIGHT(Insights!$C$3, 4)), E6053, "")</f>
        <v>#VALUE!</v>
      </c>
      <c r="H6053" s="26" t="e">
        <f t="shared" si="1"/>
        <v>#VALUE!</v>
      </c>
      <c r="I6053" s="1" t="e">
        <f t="shared" si="2"/>
        <v>#VALUE!</v>
      </c>
    </row>
    <row r="6054" spans="1:9" ht="15.75" customHeight="1">
      <c r="A6054" s="26"/>
      <c r="B6054" s="2"/>
      <c r="C6054" s="26"/>
      <c r="D6054" s="26"/>
      <c r="F6054" s="85" t="str">
        <f t="shared" si="0"/>
        <v/>
      </c>
      <c r="G6054" s="1" t="e">
        <f>IF(VALUE(F6054) = VALUE(RIGHT(Insights!$C$3, 4)), E6054, "")</f>
        <v>#VALUE!</v>
      </c>
      <c r="H6054" s="26" t="e">
        <f t="shared" si="1"/>
        <v>#VALUE!</v>
      </c>
      <c r="I6054" s="1" t="e">
        <f t="shared" si="2"/>
        <v>#VALUE!</v>
      </c>
    </row>
    <row r="6055" spans="1:9" ht="15.75" customHeight="1">
      <c r="A6055" s="26"/>
      <c r="B6055" s="2"/>
      <c r="C6055" s="26"/>
      <c r="D6055" s="26"/>
      <c r="F6055" s="85" t="str">
        <f t="shared" si="0"/>
        <v/>
      </c>
      <c r="G6055" s="1" t="e">
        <f>IF(VALUE(F6055) = VALUE(RIGHT(Insights!$C$3, 4)), E6055, "")</f>
        <v>#VALUE!</v>
      </c>
      <c r="H6055" s="26" t="e">
        <f t="shared" si="1"/>
        <v>#VALUE!</v>
      </c>
      <c r="I6055" s="1" t="e">
        <f t="shared" si="2"/>
        <v>#VALUE!</v>
      </c>
    </row>
    <row r="6056" spans="1:9" ht="15.75" customHeight="1">
      <c r="A6056" s="26"/>
      <c r="B6056" s="2"/>
      <c r="C6056" s="26"/>
      <c r="D6056" s="26"/>
      <c r="F6056" s="85" t="str">
        <f t="shared" si="0"/>
        <v/>
      </c>
      <c r="G6056" s="1" t="e">
        <f>IF(VALUE(F6056) = VALUE(RIGHT(Insights!$C$3, 4)), E6056, "")</f>
        <v>#VALUE!</v>
      </c>
      <c r="H6056" s="26" t="e">
        <f t="shared" si="1"/>
        <v>#VALUE!</v>
      </c>
      <c r="I6056" s="1" t="e">
        <f t="shared" si="2"/>
        <v>#VALUE!</v>
      </c>
    </row>
    <row r="6057" spans="1:9" ht="15.75" customHeight="1">
      <c r="A6057" s="26"/>
      <c r="B6057" s="2"/>
      <c r="C6057" s="26"/>
      <c r="D6057" s="26"/>
      <c r="F6057" s="85" t="str">
        <f t="shared" si="0"/>
        <v/>
      </c>
      <c r="G6057" s="1" t="e">
        <f>IF(VALUE(F6057) = VALUE(RIGHT(Insights!$C$3, 4)), E6057, "")</f>
        <v>#VALUE!</v>
      </c>
      <c r="H6057" s="26" t="e">
        <f t="shared" si="1"/>
        <v>#VALUE!</v>
      </c>
      <c r="I6057" s="1" t="e">
        <f t="shared" si="2"/>
        <v>#VALUE!</v>
      </c>
    </row>
    <row r="6058" spans="1:9" ht="15.75" customHeight="1">
      <c r="A6058" s="26"/>
      <c r="B6058" s="2"/>
      <c r="C6058" s="26"/>
      <c r="D6058" s="26"/>
      <c r="F6058" s="85" t="str">
        <f t="shared" si="0"/>
        <v/>
      </c>
      <c r="G6058" s="1" t="e">
        <f>IF(VALUE(F6058) = VALUE(RIGHT(Insights!$C$3, 4)), E6058, "")</f>
        <v>#VALUE!</v>
      </c>
      <c r="H6058" s="26" t="e">
        <f t="shared" si="1"/>
        <v>#VALUE!</v>
      </c>
      <c r="I6058" s="1" t="e">
        <f t="shared" si="2"/>
        <v>#VALUE!</v>
      </c>
    </row>
    <row r="6059" spans="1:9" ht="15.75" customHeight="1">
      <c r="A6059" s="26"/>
      <c r="B6059" s="2"/>
      <c r="C6059" s="26"/>
      <c r="D6059" s="26"/>
      <c r="F6059" s="85" t="str">
        <f t="shared" si="0"/>
        <v/>
      </c>
      <c r="G6059" s="1" t="e">
        <f>IF(VALUE(F6059) = VALUE(RIGHT(Insights!$C$3, 4)), E6059, "")</f>
        <v>#VALUE!</v>
      </c>
      <c r="H6059" s="26" t="e">
        <f t="shared" si="1"/>
        <v>#VALUE!</v>
      </c>
      <c r="I6059" s="1" t="e">
        <f t="shared" si="2"/>
        <v>#VALUE!</v>
      </c>
    </row>
    <row r="6060" spans="1:9" ht="15.75" customHeight="1">
      <c r="A6060" s="26"/>
      <c r="B6060" s="2"/>
      <c r="C6060" s="26"/>
      <c r="D6060" s="26"/>
      <c r="F6060" s="85" t="str">
        <f t="shared" si="0"/>
        <v/>
      </c>
      <c r="G6060" s="1" t="e">
        <f>IF(VALUE(F6060) = VALUE(RIGHT(Insights!$C$3, 4)), E6060, "")</f>
        <v>#VALUE!</v>
      </c>
      <c r="H6060" s="26" t="e">
        <f t="shared" si="1"/>
        <v>#VALUE!</v>
      </c>
      <c r="I6060" s="1" t="e">
        <f t="shared" si="2"/>
        <v>#VALUE!</v>
      </c>
    </row>
    <row r="6061" spans="1:9" ht="15.75" customHeight="1">
      <c r="A6061" s="26"/>
      <c r="B6061" s="2"/>
      <c r="C6061" s="26"/>
      <c r="D6061" s="26"/>
      <c r="F6061" s="85" t="str">
        <f t="shared" si="0"/>
        <v/>
      </c>
      <c r="G6061" s="1" t="e">
        <f>IF(VALUE(F6061) = VALUE(RIGHT(Insights!$C$3, 4)), E6061, "")</f>
        <v>#VALUE!</v>
      </c>
      <c r="H6061" s="26" t="e">
        <f t="shared" si="1"/>
        <v>#VALUE!</v>
      </c>
      <c r="I6061" s="1" t="e">
        <f t="shared" si="2"/>
        <v>#VALUE!</v>
      </c>
    </row>
    <row r="6062" spans="1:9" ht="15.75" customHeight="1">
      <c r="A6062" s="26"/>
      <c r="B6062" s="2"/>
      <c r="C6062" s="26"/>
      <c r="D6062" s="26"/>
      <c r="F6062" s="85" t="str">
        <f t="shared" si="0"/>
        <v/>
      </c>
      <c r="G6062" s="1" t="e">
        <f>IF(VALUE(F6062) = VALUE(RIGHT(Insights!$C$3, 4)), E6062, "")</f>
        <v>#VALUE!</v>
      </c>
      <c r="H6062" s="26" t="e">
        <f t="shared" si="1"/>
        <v>#VALUE!</v>
      </c>
      <c r="I6062" s="1" t="e">
        <f t="shared" si="2"/>
        <v>#VALUE!</v>
      </c>
    </row>
    <row r="6063" spans="1:9" ht="15.75" customHeight="1">
      <c r="A6063" s="26"/>
      <c r="B6063" s="2"/>
      <c r="C6063" s="26"/>
      <c r="D6063" s="26"/>
      <c r="F6063" s="85" t="str">
        <f t="shared" si="0"/>
        <v/>
      </c>
      <c r="G6063" s="1" t="e">
        <f>IF(VALUE(F6063) = VALUE(RIGHT(Insights!$C$3, 4)), E6063, "")</f>
        <v>#VALUE!</v>
      </c>
      <c r="H6063" s="26" t="e">
        <f t="shared" si="1"/>
        <v>#VALUE!</v>
      </c>
      <c r="I6063" s="1" t="e">
        <f t="shared" si="2"/>
        <v>#VALUE!</v>
      </c>
    </row>
    <row r="6064" spans="1:9" ht="15.75" customHeight="1">
      <c r="A6064" s="26"/>
      <c r="B6064" s="2"/>
      <c r="C6064" s="26"/>
      <c r="D6064" s="26"/>
      <c r="F6064" s="85" t="str">
        <f t="shared" si="0"/>
        <v/>
      </c>
      <c r="G6064" s="1" t="e">
        <f>IF(VALUE(F6064) = VALUE(RIGHT(Insights!$C$3, 4)), E6064, "")</f>
        <v>#VALUE!</v>
      </c>
      <c r="H6064" s="26" t="e">
        <f t="shared" si="1"/>
        <v>#VALUE!</v>
      </c>
      <c r="I6064" s="1" t="e">
        <f t="shared" si="2"/>
        <v>#VALUE!</v>
      </c>
    </row>
    <row r="6065" spans="1:9" ht="15.75" customHeight="1">
      <c r="A6065" s="26"/>
      <c r="B6065" s="2"/>
      <c r="C6065" s="26"/>
      <c r="D6065" s="26"/>
      <c r="F6065" s="85" t="str">
        <f t="shared" si="0"/>
        <v/>
      </c>
      <c r="G6065" s="1" t="e">
        <f>IF(VALUE(F6065) = VALUE(RIGHT(Insights!$C$3, 4)), E6065, "")</f>
        <v>#VALUE!</v>
      </c>
      <c r="H6065" s="26" t="e">
        <f t="shared" si="1"/>
        <v>#VALUE!</v>
      </c>
      <c r="I6065" s="1" t="e">
        <f t="shared" si="2"/>
        <v>#VALUE!</v>
      </c>
    </row>
    <row r="6066" spans="1:9" ht="15.75" customHeight="1">
      <c r="A6066" s="26"/>
      <c r="B6066" s="2"/>
      <c r="C6066" s="26"/>
      <c r="D6066" s="26"/>
      <c r="F6066" s="85" t="str">
        <f t="shared" si="0"/>
        <v/>
      </c>
      <c r="G6066" s="1" t="e">
        <f>IF(VALUE(F6066) = VALUE(RIGHT(Insights!$C$3, 4)), E6066, "")</f>
        <v>#VALUE!</v>
      </c>
      <c r="H6066" s="26" t="e">
        <f t="shared" si="1"/>
        <v>#VALUE!</v>
      </c>
      <c r="I6066" s="1" t="e">
        <f t="shared" si="2"/>
        <v>#VALUE!</v>
      </c>
    </row>
    <row r="6067" spans="1:9" ht="15.75" customHeight="1">
      <c r="A6067" s="26"/>
      <c r="B6067" s="2"/>
      <c r="C6067" s="26"/>
      <c r="D6067" s="26"/>
      <c r="F6067" s="85" t="str">
        <f t="shared" si="0"/>
        <v/>
      </c>
      <c r="G6067" s="1" t="e">
        <f>IF(VALUE(F6067) = VALUE(RIGHT(Insights!$C$3, 4)), E6067, "")</f>
        <v>#VALUE!</v>
      </c>
      <c r="H6067" s="26" t="e">
        <f t="shared" si="1"/>
        <v>#VALUE!</v>
      </c>
      <c r="I6067" s="1" t="e">
        <f t="shared" si="2"/>
        <v>#VALUE!</v>
      </c>
    </row>
    <row r="6068" spans="1:9" ht="15.75" customHeight="1">
      <c r="A6068" s="26"/>
      <c r="B6068" s="2"/>
      <c r="C6068" s="26"/>
      <c r="D6068" s="26"/>
      <c r="F6068" s="85" t="str">
        <f t="shared" si="0"/>
        <v/>
      </c>
      <c r="G6068" s="1" t="e">
        <f>IF(VALUE(F6068) = VALUE(RIGHT(Insights!$C$3, 4)), E6068, "")</f>
        <v>#VALUE!</v>
      </c>
      <c r="H6068" s="26" t="e">
        <f t="shared" si="1"/>
        <v>#VALUE!</v>
      </c>
      <c r="I6068" s="1" t="e">
        <f t="shared" si="2"/>
        <v>#VALUE!</v>
      </c>
    </row>
    <row r="6069" spans="1:9" ht="15.75" customHeight="1">
      <c r="A6069" s="26"/>
      <c r="B6069" s="2"/>
      <c r="C6069" s="26"/>
      <c r="D6069" s="26"/>
      <c r="F6069" s="85" t="str">
        <f t="shared" si="0"/>
        <v/>
      </c>
      <c r="G6069" s="1" t="e">
        <f>IF(VALUE(F6069) = VALUE(RIGHT(Insights!$C$3, 4)), E6069, "")</f>
        <v>#VALUE!</v>
      </c>
      <c r="H6069" s="26" t="e">
        <f t="shared" si="1"/>
        <v>#VALUE!</v>
      </c>
      <c r="I6069" s="1" t="e">
        <f t="shared" si="2"/>
        <v>#VALUE!</v>
      </c>
    </row>
    <row r="6070" spans="1:9" ht="15.75" customHeight="1">
      <c r="A6070" s="26"/>
      <c r="B6070" s="2"/>
      <c r="C6070" s="26"/>
      <c r="D6070" s="26"/>
      <c r="F6070" s="85" t="str">
        <f t="shared" si="0"/>
        <v/>
      </c>
      <c r="G6070" s="1" t="e">
        <f>IF(VALUE(F6070) = VALUE(RIGHT(Insights!$C$3, 4)), E6070, "")</f>
        <v>#VALUE!</v>
      </c>
      <c r="H6070" s="26" t="e">
        <f t="shared" si="1"/>
        <v>#VALUE!</v>
      </c>
      <c r="I6070" s="1" t="e">
        <f t="shared" si="2"/>
        <v>#VALUE!</v>
      </c>
    </row>
    <row r="6071" spans="1:9" ht="15.75" customHeight="1">
      <c r="A6071" s="26"/>
      <c r="B6071" s="2"/>
      <c r="C6071" s="26"/>
      <c r="D6071" s="26"/>
      <c r="F6071" s="85" t="str">
        <f t="shared" si="0"/>
        <v/>
      </c>
      <c r="G6071" s="1" t="e">
        <f>IF(VALUE(F6071) = VALUE(RIGHT(Insights!$C$3, 4)), E6071, "")</f>
        <v>#VALUE!</v>
      </c>
      <c r="H6071" s="26" t="e">
        <f t="shared" si="1"/>
        <v>#VALUE!</v>
      </c>
      <c r="I6071" s="1" t="e">
        <f t="shared" si="2"/>
        <v>#VALUE!</v>
      </c>
    </row>
    <row r="6072" spans="1:9" ht="15.75" customHeight="1">
      <c r="A6072" s="26"/>
      <c r="B6072" s="2"/>
      <c r="C6072" s="26"/>
      <c r="D6072" s="26"/>
      <c r="F6072" s="85" t="str">
        <f t="shared" si="0"/>
        <v/>
      </c>
      <c r="G6072" s="1" t="e">
        <f>IF(VALUE(F6072) = VALUE(RIGHT(Insights!$C$3, 4)), E6072, "")</f>
        <v>#VALUE!</v>
      </c>
      <c r="H6072" s="26" t="e">
        <f t="shared" si="1"/>
        <v>#VALUE!</v>
      </c>
      <c r="I6072" s="1" t="e">
        <f t="shared" si="2"/>
        <v>#VALUE!</v>
      </c>
    </row>
    <row r="6073" spans="1:9" ht="15.75" customHeight="1">
      <c r="A6073" s="26"/>
      <c r="B6073" s="2"/>
      <c r="C6073" s="26"/>
      <c r="D6073" s="26"/>
      <c r="F6073" s="85" t="str">
        <f t="shared" si="0"/>
        <v/>
      </c>
      <c r="G6073" s="1" t="e">
        <f>IF(VALUE(F6073) = VALUE(RIGHT(Insights!$C$3, 4)), E6073, "")</f>
        <v>#VALUE!</v>
      </c>
      <c r="H6073" s="26" t="e">
        <f t="shared" si="1"/>
        <v>#VALUE!</v>
      </c>
      <c r="I6073" s="1" t="e">
        <f t="shared" si="2"/>
        <v>#VALUE!</v>
      </c>
    </row>
    <row r="6074" spans="1:9" ht="15.75" customHeight="1">
      <c r="A6074" s="26"/>
      <c r="B6074" s="2"/>
      <c r="C6074" s="26"/>
      <c r="D6074" s="26"/>
      <c r="F6074" s="85" t="str">
        <f t="shared" si="0"/>
        <v/>
      </c>
      <c r="G6074" s="1" t="e">
        <f>IF(VALUE(F6074) = VALUE(RIGHT(Insights!$C$3, 4)), E6074, "")</f>
        <v>#VALUE!</v>
      </c>
      <c r="H6074" s="26" t="e">
        <f t="shared" si="1"/>
        <v>#VALUE!</v>
      </c>
      <c r="I6074" s="1" t="e">
        <f t="shared" si="2"/>
        <v>#VALUE!</v>
      </c>
    </row>
    <row r="6075" spans="1:9" ht="15.75" customHeight="1">
      <c r="A6075" s="26"/>
      <c r="B6075" s="2"/>
      <c r="C6075" s="26"/>
      <c r="D6075" s="26"/>
      <c r="F6075" s="85" t="str">
        <f t="shared" si="0"/>
        <v/>
      </c>
      <c r="G6075" s="1" t="e">
        <f>IF(VALUE(F6075) = VALUE(RIGHT(Insights!$C$3, 4)), E6075, "")</f>
        <v>#VALUE!</v>
      </c>
      <c r="H6075" s="26" t="e">
        <f t="shared" si="1"/>
        <v>#VALUE!</v>
      </c>
      <c r="I6075" s="1" t="e">
        <f t="shared" si="2"/>
        <v>#VALUE!</v>
      </c>
    </row>
    <row r="6076" spans="1:9" ht="15.75" customHeight="1">
      <c r="A6076" s="26"/>
      <c r="B6076" s="2"/>
      <c r="C6076" s="26"/>
      <c r="D6076" s="26"/>
      <c r="F6076" s="85" t="str">
        <f t="shared" si="0"/>
        <v/>
      </c>
      <c r="G6076" s="1" t="e">
        <f>IF(VALUE(F6076) = VALUE(RIGHT(Insights!$C$3, 4)), E6076, "")</f>
        <v>#VALUE!</v>
      </c>
      <c r="H6076" s="26" t="e">
        <f t="shared" si="1"/>
        <v>#VALUE!</v>
      </c>
      <c r="I6076" s="1" t="e">
        <f t="shared" si="2"/>
        <v>#VALUE!</v>
      </c>
    </row>
    <row r="6077" spans="1:9" ht="15.75" customHeight="1">
      <c r="A6077" s="26"/>
      <c r="B6077" s="2"/>
      <c r="C6077" s="26"/>
      <c r="D6077" s="26"/>
      <c r="F6077" s="85" t="str">
        <f t="shared" si="0"/>
        <v/>
      </c>
      <c r="G6077" s="1" t="e">
        <f>IF(VALUE(F6077) = VALUE(RIGHT(Insights!$C$3, 4)), E6077, "")</f>
        <v>#VALUE!</v>
      </c>
      <c r="H6077" s="26" t="e">
        <f t="shared" si="1"/>
        <v>#VALUE!</v>
      </c>
      <c r="I6077" s="1" t="e">
        <f t="shared" si="2"/>
        <v>#VALUE!</v>
      </c>
    </row>
    <row r="6078" spans="1:9" ht="15.75" customHeight="1">
      <c r="A6078" s="26"/>
      <c r="B6078" s="2"/>
      <c r="C6078" s="26"/>
      <c r="D6078" s="26"/>
      <c r="F6078" s="85" t="str">
        <f t="shared" si="0"/>
        <v/>
      </c>
      <c r="G6078" s="1" t="e">
        <f>IF(VALUE(F6078) = VALUE(RIGHT(Insights!$C$3, 4)), E6078, "")</f>
        <v>#VALUE!</v>
      </c>
      <c r="H6078" s="26" t="e">
        <f t="shared" si="1"/>
        <v>#VALUE!</v>
      </c>
      <c r="I6078" s="1" t="e">
        <f t="shared" si="2"/>
        <v>#VALUE!</v>
      </c>
    </row>
    <row r="6079" spans="1:9" ht="15.75" customHeight="1">
      <c r="A6079" s="26"/>
      <c r="B6079" s="2"/>
      <c r="C6079" s="26"/>
      <c r="D6079" s="26"/>
      <c r="F6079" s="85" t="str">
        <f t="shared" si="0"/>
        <v/>
      </c>
      <c r="G6079" s="1" t="e">
        <f>IF(VALUE(F6079) = VALUE(RIGHT(Insights!$C$3, 4)), E6079, "")</f>
        <v>#VALUE!</v>
      </c>
      <c r="H6079" s="26" t="e">
        <f t="shared" si="1"/>
        <v>#VALUE!</v>
      </c>
      <c r="I6079" s="1" t="e">
        <f t="shared" si="2"/>
        <v>#VALUE!</v>
      </c>
    </row>
    <row r="6080" spans="1:9" ht="15.75" customHeight="1">
      <c r="A6080" s="26"/>
      <c r="B6080" s="2"/>
      <c r="C6080" s="26"/>
      <c r="D6080" s="26"/>
      <c r="F6080" s="85" t="str">
        <f t="shared" si="0"/>
        <v/>
      </c>
      <c r="G6080" s="1" t="e">
        <f>IF(VALUE(F6080) = VALUE(RIGHT(Insights!$C$3, 4)), E6080, "")</f>
        <v>#VALUE!</v>
      </c>
      <c r="H6080" s="26" t="e">
        <f t="shared" si="1"/>
        <v>#VALUE!</v>
      </c>
      <c r="I6080" s="1" t="e">
        <f t="shared" si="2"/>
        <v>#VALUE!</v>
      </c>
    </row>
    <row r="6081" spans="1:9" ht="15.75" customHeight="1">
      <c r="A6081" s="26"/>
      <c r="B6081" s="2"/>
      <c r="C6081" s="26"/>
      <c r="D6081" s="26"/>
      <c r="F6081" s="85" t="str">
        <f t="shared" si="0"/>
        <v/>
      </c>
      <c r="G6081" s="1" t="e">
        <f>IF(VALUE(F6081) = VALUE(RIGHT(Insights!$C$3, 4)), E6081, "")</f>
        <v>#VALUE!</v>
      </c>
      <c r="H6081" s="26" t="e">
        <f t="shared" si="1"/>
        <v>#VALUE!</v>
      </c>
      <c r="I6081" s="1" t="e">
        <f t="shared" si="2"/>
        <v>#VALUE!</v>
      </c>
    </row>
    <row r="6082" spans="1:9" ht="15.75" customHeight="1">
      <c r="A6082" s="26"/>
      <c r="B6082" s="2"/>
      <c r="C6082" s="26"/>
      <c r="D6082" s="26"/>
      <c r="F6082" s="85" t="str">
        <f t="shared" si="0"/>
        <v/>
      </c>
      <c r="G6082" s="1" t="e">
        <f>IF(VALUE(F6082) = VALUE(RIGHT(Insights!$C$3, 4)), E6082, "")</f>
        <v>#VALUE!</v>
      </c>
      <c r="H6082" s="26" t="e">
        <f t="shared" si="1"/>
        <v>#VALUE!</v>
      </c>
      <c r="I6082" s="1" t="e">
        <f t="shared" si="2"/>
        <v>#VALUE!</v>
      </c>
    </row>
    <row r="6083" spans="1:9" ht="15.75" customHeight="1">
      <c r="A6083" s="26"/>
      <c r="B6083" s="2"/>
      <c r="C6083" s="26"/>
      <c r="D6083" s="26"/>
      <c r="F6083" s="85" t="str">
        <f t="shared" si="0"/>
        <v/>
      </c>
      <c r="G6083" s="1" t="e">
        <f>IF(VALUE(F6083) = VALUE(RIGHT(Insights!$C$3, 4)), E6083, "")</f>
        <v>#VALUE!</v>
      </c>
      <c r="H6083" s="26" t="e">
        <f t="shared" si="1"/>
        <v>#VALUE!</v>
      </c>
      <c r="I6083" s="1" t="e">
        <f t="shared" si="2"/>
        <v>#VALUE!</v>
      </c>
    </row>
    <row r="6084" spans="1:9" ht="15.75" customHeight="1">
      <c r="A6084" s="26"/>
      <c r="B6084" s="2"/>
      <c r="C6084" s="26"/>
      <c r="D6084" s="26"/>
      <c r="F6084" s="85" t="str">
        <f t="shared" si="0"/>
        <v/>
      </c>
      <c r="G6084" s="1" t="e">
        <f>IF(VALUE(F6084) = VALUE(RIGHT(Insights!$C$3, 4)), E6084, "")</f>
        <v>#VALUE!</v>
      </c>
      <c r="H6084" s="26" t="e">
        <f t="shared" si="1"/>
        <v>#VALUE!</v>
      </c>
      <c r="I6084" s="1" t="e">
        <f t="shared" si="2"/>
        <v>#VALUE!</v>
      </c>
    </row>
    <row r="6085" spans="1:9" ht="15.75" customHeight="1">
      <c r="A6085" s="26"/>
      <c r="B6085" s="2"/>
      <c r="C6085" s="26"/>
      <c r="D6085" s="26"/>
      <c r="F6085" s="85" t="str">
        <f t="shared" si="0"/>
        <v/>
      </c>
      <c r="G6085" s="1" t="e">
        <f>IF(VALUE(F6085) = VALUE(RIGHT(Insights!$C$3, 4)), E6085, "")</f>
        <v>#VALUE!</v>
      </c>
      <c r="H6085" s="26" t="e">
        <f t="shared" si="1"/>
        <v>#VALUE!</v>
      </c>
      <c r="I6085" s="1" t="e">
        <f t="shared" si="2"/>
        <v>#VALUE!</v>
      </c>
    </row>
    <row r="6086" spans="1:9" ht="15.75" customHeight="1">
      <c r="A6086" s="26"/>
      <c r="B6086" s="2"/>
      <c r="C6086" s="26"/>
      <c r="D6086" s="26"/>
      <c r="F6086" s="85" t="str">
        <f t="shared" si="0"/>
        <v/>
      </c>
      <c r="G6086" s="1" t="e">
        <f>IF(VALUE(F6086) = VALUE(RIGHT(Insights!$C$3, 4)), E6086, "")</f>
        <v>#VALUE!</v>
      </c>
      <c r="H6086" s="26" t="e">
        <f t="shared" si="1"/>
        <v>#VALUE!</v>
      </c>
      <c r="I6086" s="1" t="e">
        <f t="shared" si="2"/>
        <v>#VALUE!</v>
      </c>
    </row>
    <row r="6087" spans="1:9" ht="15.75" customHeight="1">
      <c r="A6087" s="26"/>
      <c r="B6087" s="2"/>
      <c r="C6087" s="26"/>
      <c r="D6087" s="26"/>
      <c r="F6087" s="85" t="str">
        <f t="shared" si="0"/>
        <v/>
      </c>
      <c r="G6087" s="1" t="e">
        <f>IF(VALUE(F6087) = VALUE(RIGHT(Insights!$C$3, 4)), E6087, "")</f>
        <v>#VALUE!</v>
      </c>
      <c r="H6087" s="26" t="e">
        <f t="shared" si="1"/>
        <v>#VALUE!</v>
      </c>
      <c r="I6087" s="1" t="e">
        <f t="shared" si="2"/>
        <v>#VALUE!</v>
      </c>
    </row>
    <row r="6088" spans="1:9" ht="15.75" customHeight="1">
      <c r="A6088" s="26"/>
      <c r="B6088" s="2"/>
      <c r="C6088" s="26"/>
      <c r="D6088" s="26"/>
      <c r="F6088" s="85" t="str">
        <f t="shared" si="0"/>
        <v/>
      </c>
      <c r="G6088" s="1" t="e">
        <f>IF(VALUE(F6088) = VALUE(RIGHT(Insights!$C$3, 4)), E6088, "")</f>
        <v>#VALUE!</v>
      </c>
      <c r="H6088" s="26" t="e">
        <f t="shared" si="1"/>
        <v>#VALUE!</v>
      </c>
      <c r="I6088" s="1" t="e">
        <f t="shared" si="2"/>
        <v>#VALUE!</v>
      </c>
    </row>
    <row r="6089" spans="1:9" ht="15.75" customHeight="1">
      <c r="A6089" s="26"/>
      <c r="B6089" s="2"/>
      <c r="C6089" s="26"/>
      <c r="D6089" s="26"/>
      <c r="F6089" s="85" t="str">
        <f t="shared" si="0"/>
        <v/>
      </c>
      <c r="G6089" s="1" t="e">
        <f>IF(VALUE(F6089) = VALUE(RIGHT(Insights!$C$3, 4)), E6089, "")</f>
        <v>#VALUE!</v>
      </c>
      <c r="H6089" s="26" t="e">
        <f t="shared" si="1"/>
        <v>#VALUE!</v>
      </c>
      <c r="I6089" s="1" t="e">
        <f t="shared" si="2"/>
        <v>#VALUE!</v>
      </c>
    </row>
    <row r="6090" spans="1:9" ht="15.75" customHeight="1">
      <c r="A6090" s="26"/>
      <c r="B6090" s="2"/>
      <c r="C6090" s="26"/>
      <c r="D6090" s="26"/>
      <c r="F6090" s="85" t="str">
        <f t="shared" si="0"/>
        <v/>
      </c>
      <c r="G6090" s="1" t="e">
        <f>IF(VALUE(F6090) = VALUE(RIGHT(Insights!$C$3, 4)), E6090, "")</f>
        <v>#VALUE!</v>
      </c>
      <c r="H6090" s="26" t="e">
        <f t="shared" si="1"/>
        <v>#VALUE!</v>
      </c>
      <c r="I6090" s="1" t="e">
        <f t="shared" si="2"/>
        <v>#VALUE!</v>
      </c>
    </row>
    <row r="6091" spans="1:9" ht="15.75" customHeight="1">
      <c r="A6091" s="26"/>
      <c r="B6091" s="2"/>
      <c r="C6091" s="26"/>
      <c r="D6091" s="26"/>
      <c r="F6091" s="85" t="str">
        <f t="shared" si="0"/>
        <v/>
      </c>
      <c r="G6091" s="1" t="e">
        <f>IF(VALUE(F6091) = VALUE(RIGHT(Insights!$C$3, 4)), E6091, "")</f>
        <v>#VALUE!</v>
      </c>
      <c r="H6091" s="26" t="e">
        <f t="shared" si="1"/>
        <v>#VALUE!</v>
      </c>
      <c r="I6091" s="1" t="e">
        <f t="shared" si="2"/>
        <v>#VALUE!</v>
      </c>
    </row>
    <row r="6092" spans="1:9" ht="15.75" customHeight="1">
      <c r="A6092" s="26"/>
      <c r="B6092" s="2"/>
      <c r="C6092" s="26"/>
      <c r="D6092" s="26"/>
      <c r="F6092" s="85" t="str">
        <f t="shared" si="0"/>
        <v/>
      </c>
      <c r="G6092" s="1" t="e">
        <f>IF(VALUE(F6092) = VALUE(RIGHT(Insights!$C$3, 4)), E6092, "")</f>
        <v>#VALUE!</v>
      </c>
      <c r="H6092" s="26" t="e">
        <f t="shared" si="1"/>
        <v>#VALUE!</v>
      </c>
      <c r="I6092" s="1" t="e">
        <f t="shared" si="2"/>
        <v>#VALUE!</v>
      </c>
    </row>
    <row r="6093" spans="1:9" ht="15.75" customHeight="1">
      <c r="A6093" s="26"/>
      <c r="B6093" s="2"/>
      <c r="C6093" s="26"/>
      <c r="D6093" s="26"/>
      <c r="F6093" s="85" t="str">
        <f t="shared" si="0"/>
        <v/>
      </c>
      <c r="G6093" s="1" t="e">
        <f>IF(VALUE(F6093) = VALUE(RIGHT(Insights!$C$3, 4)), E6093, "")</f>
        <v>#VALUE!</v>
      </c>
      <c r="H6093" s="26" t="e">
        <f t="shared" si="1"/>
        <v>#VALUE!</v>
      </c>
      <c r="I6093" s="1" t="e">
        <f t="shared" si="2"/>
        <v>#VALUE!</v>
      </c>
    </row>
    <row r="6094" spans="1:9" ht="15.75" customHeight="1">
      <c r="A6094" s="26"/>
      <c r="B6094" s="2"/>
      <c r="C6094" s="26"/>
      <c r="D6094" s="26"/>
      <c r="F6094" s="85" t="str">
        <f t="shared" si="0"/>
        <v/>
      </c>
      <c r="G6094" s="1" t="e">
        <f>IF(VALUE(F6094) = VALUE(RIGHT(Insights!$C$3, 4)), E6094, "")</f>
        <v>#VALUE!</v>
      </c>
      <c r="H6094" s="26" t="e">
        <f t="shared" si="1"/>
        <v>#VALUE!</v>
      </c>
      <c r="I6094" s="1" t="e">
        <f t="shared" si="2"/>
        <v>#VALUE!</v>
      </c>
    </row>
    <row r="6095" spans="1:9" ht="15.75" customHeight="1">
      <c r="A6095" s="26"/>
      <c r="B6095" s="2"/>
      <c r="C6095" s="26"/>
      <c r="D6095" s="26"/>
      <c r="F6095" s="85" t="str">
        <f t="shared" si="0"/>
        <v/>
      </c>
      <c r="G6095" s="1" t="e">
        <f>IF(VALUE(F6095) = VALUE(RIGHT(Insights!$C$3, 4)), E6095, "")</f>
        <v>#VALUE!</v>
      </c>
      <c r="H6095" s="26" t="e">
        <f t="shared" si="1"/>
        <v>#VALUE!</v>
      </c>
      <c r="I6095" s="1" t="e">
        <f t="shared" si="2"/>
        <v>#VALUE!</v>
      </c>
    </row>
    <row r="6096" spans="1:9" ht="15.75" customHeight="1">
      <c r="A6096" s="26"/>
      <c r="B6096" s="2"/>
      <c r="C6096" s="26"/>
      <c r="D6096" s="26"/>
      <c r="F6096" s="85" t="str">
        <f t="shared" si="0"/>
        <v/>
      </c>
      <c r="G6096" s="1" t="e">
        <f>IF(VALUE(F6096) = VALUE(RIGHT(Insights!$C$3, 4)), E6096, "")</f>
        <v>#VALUE!</v>
      </c>
      <c r="H6096" s="26" t="e">
        <f t="shared" si="1"/>
        <v>#VALUE!</v>
      </c>
      <c r="I6096" s="1" t="e">
        <f t="shared" si="2"/>
        <v>#VALUE!</v>
      </c>
    </row>
    <row r="6097" spans="1:9" ht="15.75" customHeight="1">
      <c r="A6097" s="26"/>
      <c r="B6097" s="2"/>
      <c r="C6097" s="26"/>
      <c r="D6097" s="26"/>
      <c r="F6097" s="85" t="str">
        <f t="shared" si="0"/>
        <v/>
      </c>
      <c r="G6097" s="1" t="e">
        <f>IF(VALUE(F6097) = VALUE(RIGHT(Insights!$C$3, 4)), E6097, "")</f>
        <v>#VALUE!</v>
      </c>
      <c r="H6097" s="26" t="e">
        <f t="shared" si="1"/>
        <v>#VALUE!</v>
      </c>
      <c r="I6097" s="1" t="e">
        <f t="shared" si="2"/>
        <v>#VALUE!</v>
      </c>
    </row>
    <row r="6098" spans="1:9" ht="15.75" customHeight="1">
      <c r="A6098" s="26"/>
      <c r="B6098" s="2"/>
      <c r="C6098" s="26"/>
      <c r="D6098" s="26"/>
      <c r="F6098" s="85" t="str">
        <f t="shared" si="0"/>
        <v/>
      </c>
      <c r="G6098" s="1" t="e">
        <f>IF(VALUE(F6098) = VALUE(RIGHT(Insights!$C$3, 4)), E6098, "")</f>
        <v>#VALUE!</v>
      </c>
      <c r="H6098" s="26" t="e">
        <f t="shared" si="1"/>
        <v>#VALUE!</v>
      </c>
      <c r="I6098" s="1" t="e">
        <f t="shared" si="2"/>
        <v>#VALUE!</v>
      </c>
    </row>
    <row r="6099" spans="1:9" ht="15.75" customHeight="1">
      <c r="A6099" s="26"/>
      <c r="B6099" s="2"/>
      <c r="C6099" s="26"/>
      <c r="D6099" s="26"/>
      <c r="F6099" s="85" t="str">
        <f t="shared" si="0"/>
        <v/>
      </c>
      <c r="G6099" s="1" t="e">
        <f>IF(VALUE(F6099) = VALUE(RIGHT(Insights!$C$3, 4)), E6099, "")</f>
        <v>#VALUE!</v>
      </c>
      <c r="H6099" s="26" t="e">
        <f t="shared" si="1"/>
        <v>#VALUE!</v>
      </c>
      <c r="I6099" s="1" t="e">
        <f t="shared" si="2"/>
        <v>#VALUE!</v>
      </c>
    </row>
    <row r="6100" spans="1:9" ht="15.75" customHeight="1">
      <c r="A6100" s="26"/>
      <c r="B6100" s="2"/>
      <c r="C6100" s="26"/>
      <c r="D6100" s="26"/>
      <c r="F6100" s="85" t="str">
        <f t="shared" si="0"/>
        <v/>
      </c>
      <c r="G6100" s="1" t="e">
        <f>IF(VALUE(F6100) = VALUE(RIGHT(Insights!$C$3, 4)), E6100, "")</f>
        <v>#VALUE!</v>
      </c>
      <c r="H6100" s="26" t="e">
        <f t="shared" si="1"/>
        <v>#VALUE!</v>
      </c>
      <c r="I6100" s="1" t="e">
        <f t="shared" si="2"/>
        <v>#VALUE!</v>
      </c>
    </row>
    <row r="6101" spans="1:9" ht="15.75" customHeight="1">
      <c r="A6101" s="26"/>
      <c r="B6101" s="2"/>
      <c r="C6101" s="26"/>
      <c r="D6101" s="26"/>
      <c r="F6101" s="85" t="str">
        <f t="shared" si="0"/>
        <v/>
      </c>
      <c r="G6101" s="1" t="e">
        <f>IF(VALUE(F6101) = VALUE(RIGHT(Insights!$C$3, 4)), E6101, "")</f>
        <v>#VALUE!</v>
      </c>
      <c r="H6101" s="26" t="e">
        <f t="shared" si="1"/>
        <v>#VALUE!</v>
      </c>
      <c r="I6101" s="1" t="e">
        <f t="shared" si="2"/>
        <v>#VALUE!</v>
      </c>
    </row>
    <row r="6102" spans="1:9" ht="15.75" customHeight="1">
      <c r="A6102" s="26"/>
      <c r="B6102" s="2"/>
      <c r="C6102" s="26"/>
      <c r="D6102" s="26"/>
      <c r="F6102" s="85" t="str">
        <f t="shared" si="0"/>
        <v/>
      </c>
      <c r="G6102" s="1" t="e">
        <f>IF(VALUE(F6102) = VALUE(RIGHT(Insights!$C$3, 4)), E6102, "")</f>
        <v>#VALUE!</v>
      </c>
      <c r="H6102" s="26" t="e">
        <f t="shared" si="1"/>
        <v>#VALUE!</v>
      </c>
      <c r="I6102" s="1" t="e">
        <f t="shared" si="2"/>
        <v>#VALUE!</v>
      </c>
    </row>
    <row r="6103" spans="1:9" ht="15.75" customHeight="1">
      <c r="A6103" s="26"/>
      <c r="B6103" s="2"/>
      <c r="C6103" s="26"/>
      <c r="D6103" s="26"/>
      <c r="F6103" s="85" t="str">
        <f t="shared" si="0"/>
        <v/>
      </c>
      <c r="G6103" s="1" t="e">
        <f>IF(VALUE(F6103) = VALUE(RIGHT(Insights!$C$3, 4)), E6103, "")</f>
        <v>#VALUE!</v>
      </c>
      <c r="H6103" s="26" t="e">
        <f t="shared" si="1"/>
        <v>#VALUE!</v>
      </c>
      <c r="I6103" s="1" t="e">
        <f t="shared" si="2"/>
        <v>#VALUE!</v>
      </c>
    </row>
    <row r="6104" spans="1:9" ht="15.75" customHeight="1">
      <c r="A6104" s="26"/>
      <c r="B6104" s="2"/>
      <c r="C6104" s="26"/>
      <c r="D6104" s="26"/>
      <c r="F6104" s="85" t="str">
        <f t="shared" si="0"/>
        <v/>
      </c>
      <c r="G6104" s="1" t="e">
        <f>IF(VALUE(F6104) = VALUE(RIGHT(Insights!$C$3, 4)), E6104, "")</f>
        <v>#VALUE!</v>
      </c>
      <c r="H6104" s="26" t="e">
        <f t="shared" si="1"/>
        <v>#VALUE!</v>
      </c>
      <c r="I6104" s="1" t="e">
        <f t="shared" si="2"/>
        <v>#VALUE!</v>
      </c>
    </row>
    <row r="6105" spans="1:9" ht="15.75" customHeight="1">
      <c r="A6105" s="26"/>
      <c r="B6105" s="2"/>
      <c r="C6105" s="26"/>
      <c r="D6105" s="26"/>
      <c r="F6105" s="85" t="str">
        <f t="shared" si="0"/>
        <v/>
      </c>
      <c r="G6105" s="1" t="e">
        <f>IF(VALUE(F6105) = VALUE(RIGHT(Insights!$C$3, 4)), E6105, "")</f>
        <v>#VALUE!</v>
      </c>
      <c r="H6105" s="26" t="e">
        <f t="shared" si="1"/>
        <v>#VALUE!</v>
      </c>
      <c r="I6105" s="1" t="e">
        <f t="shared" si="2"/>
        <v>#VALUE!</v>
      </c>
    </row>
    <row r="6106" spans="1:9" ht="15.75" customHeight="1">
      <c r="A6106" s="26"/>
      <c r="B6106" s="2"/>
      <c r="C6106" s="26"/>
      <c r="D6106" s="26"/>
      <c r="F6106" s="85" t="str">
        <f t="shared" si="0"/>
        <v/>
      </c>
      <c r="G6106" s="1" t="e">
        <f>IF(VALUE(F6106) = VALUE(RIGHT(Insights!$C$3, 4)), E6106, "")</f>
        <v>#VALUE!</v>
      </c>
      <c r="H6106" s="26" t="e">
        <f t="shared" si="1"/>
        <v>#VALUE!</v>
      </c>
      <c r="I6106" s="1" t="e">
        <f t="shared" si="2"/>
        <v>#VALUE!</v>
      </c>
    </row>
    <row r="6107" spans="1:9" ht="15.75" customHeight="1">
      <c r="A6107" s="26"/>
      <c r="B6107" s="2"/>
      <c r="C6107" s="26"/>
      <c r="D6107" s="26"/>
      <c r="F6107" s="85" t="str">
        <f t="shared" si="0"/>
        <v/>
      </c>
      <c r="G6107" s="1" t="e">
        <f>IF(VALUE(F6107) = VALUE(RIGHT(Insights!$C$3, 4)), E6107, "")</f>
        <v>#VALUE!</v>
      </c>
      <c r="H6107" s="26" t="e">
        <f t="shared" si="1"/>
        <v>#VALUE!</v>
      </c>
      <c r="I6107" s="1" t="e">
        <f t="shared" si="2"/>
        <v>#VALUE!</v>
      </c>
    </row>
    <row r="6108" spans="1:9" ht="15.75" customHeight="1">
      <c r="A6108" s="26"/>
      <c r="B6108" s="2"/>
      <c r="C6108" s="26"/>
      <c r="D6108" s="26"/>
      <c r="F6108" s="85" t="str">
        <f t="shared" si="0"/>
        <v/>
      </c>
      <c r="G6108" s="1" t="e">
        <f>IF(VALUE(F6108) = VALUE(RIGHT(Insights!$C$3, 4)), E6108, "")</f>
        <v>#VALUE!</v>
      </c>
      <c r="H6108" s="26" t="e">
        <f t="shared" si="1"/>
        <v>#VALUE!</v>
      </c>
      <c r="I6108" s="1" t="e">
        <f t="shared" si="2"/>
        <v>#VALUE!</v>
      </c>
    </row>
    <row r="6109" spans="1:9" ht="15.75" customHeight="1">
      <c r="A6109" s="26"/>
      <c r="B6109" s="2"/>
      <c r="C6109" s="26"/>
      <c r="D6109" s="26"/>
      <c r="F6109" s="85" t="str">
        <f t="shared" si="0"/>
        <v/>
      </c>
      <c r="G6109" s="1" t="e">
        <f>IF(VALUE(F6109) = VALUE(RIGHT(Insights!$C$3, 4)), E6109, "")</f>
        <v>#VALUE!</v>
      </c>
      <c r="H6109" s="26" t="e">
        <f t="shared" si="1"/>
        <v>#VALUE!</v>
      </c>
      <c r="I6109" s="1" t="e">
        <f t="shared" si="2"/>
        <v>#VALUE!</v>
      </c>
    </row>
    <row r="6110" spans="1:9" ht="15.75" customHeight="1">
      <c r="A6110" s="26"/>
      <c r="B6110" s="2"/>
      <c r="C6110" s="26"/>
      <c r="D6110" s="26"/>
      <c r="F6110" s="85" t="str">
        <f t="shared" si="0"/>
        <v/>
      </c>
      <c r="G6110" s="1" t="e">
        <f>IF(VALUE(F6110) = VALUE(RIGHT(Insights!$C$3, 4)), E6110, "")</f>
        <v>#VALUE!</v>
      </c>
      <c r="H6110" s="26" t="e">
        <f t="shared" si="1"/>
        <v>#VALUE!</v>
      </c>
      <c r="I6110" s="1" t="e">
        <f t="shared" si="2"/>
        <v>#VALUE!</v>
      </c>
    </row>
    <row r="6111" spans="1:9" ht="15.75" customHeight="1">
      <c r="A6111" s="26"/>
      <c r="B6111" s="2"/>
      <c r="C6111" s="26"/>
      <c r="D6111" s="26"/>
      <c r="F6111" s="85" t="str">
        <f t="shared" si="0"/>
        <v/>
      </c>
      <c r="G6111" s="1" t="e">
        <f>IF(VALUE(F6111) = VALUE(RIGHT(Insights!$C$3, 4)), E6111, "")</f>
        <v>#VALUE!</v>
      </c>
      <c r="H6111" s="26" t="e">
        <f t="shared" si="1"/>
        <v>#VALUE!</v>
      </c>
      <c r="I6111" s="1" t="e">
        <f t="shared" si="2"/>
        <v>#VALUE!</v>
      </c>
    </row>
    <row r="6112" spans="1:9" ht="15.75" customHeight="1">
      <c r="A6112" s="26"/>
      <c r="B6112" s="2"/>
      <c r="C6112" s="26"/>
      <c r="D6112" s="26"/>
      <c r="F6112" s="85" t="str">
        <f t="shared" si="0"/>
        <v/>
      </c>
      <c r="G6112" s="1" t="e">
        <f>IF(VALUE(F6112) = VALUE(RIGHT(Insights!$C$3, 4)), E6112, "")</f>
        <v>#VALUE!</v>
      </c>
      <c r="H6112" s="26" t="e">
        <f t="shared" si="1"/>
        <v>#VALUE!</v>
      </c>
      <c r="I6112" s="1" t="e">
        <f t="shared" si="2"/>
        <v>#VALUE!</v>
      </c>
    </row>
    <row r="6113" spans="1:9" ht="15.75" customHeight="1">
      <c r="A6113" s="26"/>
      <c r="B6113" s="2"/>
      <c r="C6113" s="26"/>
      <c r="D6113" s="26"/>
      <c r="F6113" s="85" t="str">
        <f t="shared" si="0"/>
        <v/>
      </c>
      <c r="G6113" s="1" t="e">
        <f>IF(VALUE(F6113) = VALUE(RIGHT(Insights!$C$3, 4)), E6113, "")</f>
        <v>#VALUE!</v>
      </c>
      <c r="H6113" s="26" t="e">
        <f t="shared" si="1"/>
        <v>#VALUE!</v>
      </c>
      <c r="I6113" s="1" t="e">
        <f t="shared" si="2"/>
        <v>#VALUE!</v>
      </c>
    </row>
    <row r="6114" spans="1:9" ht="15.75" customHeight="1">
      <c r="A6114" s="26"/>
      <c r="B6114" s="2"/>
      <c r="C6114" s="26"/>
      <c r="D6114" s="26"/>
      <c r="F6114" s="85" t="str">
        <f t="shared" si="0"/>
        <v/>
      </c>
      <c r="G6114" s="1" t="e">
        <f>IF(VALUE(F6114) = VALUE(RIGHT(Insights!$C$3, 4)), E6114, "")</f>
        <v>#VALUE!</v>
      </c>
      <c r="H6114" s="26" t="e">
        <f t="shared" si="1"/>
        <v>#VALUE!</v>
      </c>
      <c r="I6114" s="1" t="e">
        <f t="shared" si="2"/>
        <v>#VALUE!</v>
      </c>
    </row>
    <row r="6115" spans="1:9" ht="15.75" customHeight="1">
      <c r="A6115" s="26"/>
      <c r="B6115" s="2"/>
      <c r="C6115" s="26"/>
      <c r="D6115" s="26"/>
      <c r="F6115" s="85" t="str">
        <f t="shared" si="0"/>
        <v/>
      </c>
      <c r="G6115" s="1" t="e">
        <f>IF(VALUE(F6115) = VALUE(RIGHT(Insights!$C$3, 4)), E6115, "")</f>
        <v>#VALUE!</v>
      </c>
      <c r="H6115" s="26" t="e">
        <f t="shared" si="1"/>
        <v>#VALUE!</v>
      </c>
      <c r="I6115" s="1" t="e">
        <f t="shared" si="2"/>
        <v>#VALUE!</v>
      </c>
    </row>
    <row r="6116" spans="1:9" ht="15.75" customHeight="1">
      <c r="A6116" s="26"/>
      <c r="B6116" s="2"/>
      <c r="C6116" s="26"/>
      <c r="D6116" s="26"/>
      <c r="F6116" s="85" t="str">
        <f t="shared" si="0"/>
        <v/>
      </c>
      <c r="G6116" s="1" t="e">
        <f>IF(VALUE(F6116) = VALUE(RIGHT(Insights!$C$3, 4)), E6116, "")</f>
        <v>#VALUE!</v>
      </c>
      <c r="H6116" s="26" t="e">
        <f t="shared" si="1"/>
        <v>#VALUE!</v>
      </c>
      <c r="I6116" s="1" t="e">
        <f t="shared" si="2"/>
        <v>#VALUE!</v>
      </c>
    </row>
    <row r="6117" spans="1:9" ht="15.75" customHeight="1">
      <c r="A6117" s="26"/>
      <c r="B6117" s="2"/>
      <c r="C6117" s="26"/>
      <c r="D6117" s="26"/>
      <c r="F6117" s="85" t="str">
        <f t="shared" si="0"/>
        <v/>
      </c>
      <c r="G6117" s="1" t="e">
        <f>IF(VALUE(F6117) = VALUE(RIGHT(Insights!$C$3, 4)), E6117, "")</f>
        <v>#VALUE!</v>
      </c>
      <c r="H6117" s="26" t="e">
        <f t="shared" si="1"/>
        <v>#VALUE!</v>
      </c>
      <c r="I6117" s="1" t="e">
        <f t="shared" si="2"/>
        <v>#VALUE!</v>
      </c>
    </row>
    <row r="6118" spans="1:9" ht="15.75" customHeight="1">
      <c r="A6118" s="26"/>
      <c r="B6118" s="2"/>
      <c r="C6118" s="26"/>
      <c r="D6118" s="26"/>
      <c r="F6118" s="85" t="str">
        <f t="shared" si="0"/>
        <v/>
      </c>
      <c r="G6118" s="1" t="e">
        <f>IF(VALUE(F6118) = VALUE(RIGHT(Insights!$C$3, 4)), E6118, "")</f>
        <v>#VALUE!</v>
      </c>
      <c r="H6118" s="26" t="e">
        <f t="shared" si="1"/>
        <v>#VALUE!</v>
      </c>
      <c r="I6118" s="1" t="e">
        <f t="shared" si="2"/>
        <v>#VALUE!</v>
      </c>
    </row>
    <row r="6119" spans="1:9" ht="15.75" customHeight="1">
      <c r="A6119" s="26"/>
      <c r="B6119" s="2"/>
      <c r="C6119" s="26"/>
      <c r="D6119" s="26"/>
      <c r="F6119" s="85" t="str">
        <f t="shared" si="0"/>
        <v/>
      </c>
      <c r="G6119" s="1" t="e">
        <f>IF(VALUE(F6119) = VALUE(RIGHT(Insights!$C$3, 4)), E6119, "")</f>
        <v>#VALUE!</v>
      </c>
      <c r="H6119" s="26" t="e">
        <f t="shared" si="1"/>
        <v>#VALUE!</v>
      </c>
      <c r="I6119" s="1" t="e">
        <f t="shared" si="2"/>
        <v>#VALUE!</v>
      </c>
    </row>
    <row r="6120" spans="1:9" ht="15.75" customHeight="1">
      <c r="A6120" s="26"/>
      <c r="B6120" s="2"/>
      <c r="C6120" s="26"/>
      <c r="D6120" s="26"/>
      <c r="F6120" s="85" t="str">
        <f t="shared" si="0"/>
        <v/>
      </c>
      <c r="G6120" s="1" t="e">
        <f>IF(VALUE(F6120) = VALUE(RIGHT(Insights!$C$3, 4)), E6120, "")</f>
        <v>#VALUE!</v>
      </c>
      <c r="H6120" s="26" t="e">
        <f t="shared" si="1"/>
        <v>#VALUE!</v>
      </c>
      <c r="I6120" s="1" t="e">
        <f t="shared" si="2"/>
        <v>#VALUE!</v>
      </c>
    </row>
    <row r="6121" spans="1:9" ht="15.75" customHeight="1">
      <c r="A6121" s="26"/>
      <c r="B6121" s="2"/>
      <c r="C6121" s="26"/>
      <c r="D6121" s="26"/>
      <c r="F6121" s="85" t="str">
        <f t="shared" si="0"/>
        <v/>
      </c>
      <c r="G6121" s="1" t="e">
        <f>IF(VALUE(F6121) = VALUE(RIGHT(Insights!$C$3, 4)), E6121, "")</f>
        <v>#VALUE!</v>
      </c>
      <c r="H6121" s="26" t="e">
        <f t="shared" si="1"/>
        <v>#VALUE!</v>
      </c>
      <c r="I6121" s="1" t="e">
        <f t="shared" si="2"/>
        <v>#VALUE!</v>
      </c>
    </row>
    <row r="6122" spans="1:9" ht="15.75" customHeight="1">
      <c r="A6122" s="26"/>
      <c r="B6122" s="2"/>
      <c r="C6122" s="26"/>
      <c r="D6122" s="26"/>
      <c r="F6122" s="85" t="str">
        <f t="shared" si="0"/>
        <v/>
      </c>
      <c r="G6122" s="1" t="e">
        <f>IF(VALUE(F6122) = VALUE(RIGHT(Insights!$C$3, 4)), E6122, "")</f>
        <v>#VALUE!</v>
      </c>
      <c r="H6122" s="26" t="e">
        <f t="shared" si="1"/>
        <v>#VALUE!</v>
      </c>
      <c r="I6122" s="1" t="e">
        <f t="shared" si="2"/>
        <v>#VALUE!</v>
      </c>
    </row>
    <row r="6123" spans="1:9" ht="15.75" customHeight="1">
      <c r="A6123" s="26"/>
      <c r="B6123" s="2"/>
      <c r="C6123" s="26"/>
      <c r="D6123" s="26"/>
      <c r="F6123" s="85" t="str">
        <f t="shared" si="0"/>
        <v/>
      </c>
      <c r="G6123" s="1" t="e">
        <f>IF(VALUE(F6123) = VALUE(RIGHT(Insights!$C$3, 4)), E6123, "")</f>
        <v>#VALUE!</v>
      </c>
      <c r="H6123" s="26" t="e">
        <f t="shared" si="1"/>
        <v>#VALUE!</v>
      </c>
      <c r="I6123" s="1" t="e">
        <f t="shared" si="2"/>
        <v>#VALUE!</v>
      </c>
    </row>
    <row r="6124" spans="1:9" ht="15.75" customHeight="1">
      <c r="A6124" s="26"/>
      <c r="B6124" s="2"/>
      <c r="C6124" s="26"/>
      <c r="D6124" s="26"/>
      <c r="F6124" s="85" t="str">
        <f t="shared" si="0"/>
        <v/>
      </c>
      <c r="G6124" s="1" t="e">
        <f>IF(VALUE(F6124) = VALUE(RIGHT(Insights!$C$3, 4)), E6124, "")</f>
        <v>#VALUE!</v>
      </c>
      <c r="H6124" s="26" t="e">
        <f t="shared" si="1"/>
        <v>#VALUE!</v>
      </c>
      <c r="I6124" s="1" t="e">
        <f t="shared" si="2"/>
        <v>#VALUE!</v>
      </c>
    </row>
    <row r="6125" spans="1:9" ht="15.75" customHeight="1">
      <c r="A6125" s="26"/>
      <c r="B6125" s="2"/>
      <c r="C6125" s="26"/>
      <c r="D6125" s="26"/>
      <c r="F6125" s="85" t="str">
        <f t="shared" si="0"/>
        <v/>
      </c>
      <c r="G6125" s="1" t="e">
        <f>IF(VALUE(F6125) = VALUE(RIGHT(Insights!$C$3, 4)), E6125, "")</f>
        <v>#VALUE!</v>
      </c>
      <c r="H6125" s="26" t="e">
        <f t="shared" si="1"/>
        <v>#VALUE!</v>
      </c>
      <c r="I6125" s="1" t="e">
        <f t="shared" si="2"/>
        <v>#VALUE!</v>
      </c>
    </row>
    <row r="6126" spans="1:9" ht="15.75" customHeight="1">
      <c r="A6126" s="26"/>
      <c r="B6126" s="2"/>
      <c r="C6126" s="26"/>
      <c r="D6126" s="26"/>
      <c r="F6126" s="85" t="str">
        <f t="shared" si="0"/>
        <v/>
      </c>
      <c r="G6126" s="1" t="e">
        <f>IF(VALUE(F6126) = VALUE(RIGHT(Insights!$C$3, 4)), E6126, "")</f>
        <v>#VALUE!</v>
      </c>
      <c r="H6126" s="26" t="e">
        <f t="shared" si="1"/>
        <v>#VALUE!</v>
      </c>
      <c r="I6126" s="1" t="e">
        <f t="shared" si="2"/>
        <v>#VALUE!</v>
      </c>
    </row>
    <row r="6127" spans="1:9" ht="15.75" customHeight="1">
      <c r="A6127" s="26"/>
      <c r="B6127" s="2"/>
      <c r="C6127" s="26"/>
      <c r="D6127" s="26"/>
      <c r="F6127" s="85" t="str">
        <f t="shared" si="0"/>
        <v/>
      </c>
      <c r="G6127" s="1" t="e">
        <f>IF(VALUE(F6127) = VALUE(RIGHT(Insights!$C$3, 4)), E6127, "")</f>
        <v>#VALUE!</v>
      </c>
      <c r="H6127" s="26" t="e">
        <f t="shared" si="1"/>
        <v>#VALUE!</v>
      </c>
      <c r="I6127" s="1" t="e">
        <f t="shared" si="2"/>
        <v>#VALUE!</v>
      </c>
    </row>
    <row r="6128" spans="1:9" ht="15.75" customHeight="1">
      <c r="A6128" s="26"/>
      <c r="B6128" s="2"/>
      <c r="C6128" s="26"/>
      <c r="D6128" s="26"/>
      <c r="F6128" s="85" t="str">
        <f t="shared" si="0"/>
        <v/>
      </c>
      <c r="G6128" s="1" t="e">
        <f>IF(VALUE(F6128) = VALUE(RIGHT(Insights!$C$3, 4)), E6128, "")</f>
        <v>#VALUE!</v>
      </c>
      <c r="H6128" s="26" t="e">
        <f t="shared" si="1"/>
        <v>#VALUE!</v>
      </c>
      <c r="I6128" s="1" t="e">
        <f t="shared" si="2"/>
        <v>#VALUE!</v>
      </c>
    </row>
    <row r="6129" spans="1:9" ht="15.75" customHeight="1">
      <c r="A6129" s="26"/>
      <c r="B6129" s="2"/>
      <c r="C6129" s="26"/>
      <c r="D6129" s="26"/>
      <c r="F6129" s="85" t="str">
        <f t="shared" si="0"/>
        <v/>
      </c>
      <c r="G6129" s="1" t="e">
        <f>IF(VALUE(F6129) = VALUE(RIGHT(Insights!$C$3, 4)), E6129, "")</f>
        <v>#VALUE!</v>
      </c>
      <c r="H6129" s="26" t="e">
        <f t="shared" si="1"/>
        <v>#VALUE!</v>
      </c>
      <c r="I6129" s="1" t="e">
        <f t="shared" si="2"/>
        <v>#VALUE!</v>
      </c>
    </row>
    <row r="6130" spans="1:9" ht="15.75" customHeight="1">
      <c r="A6130" s="26"/>
      <c r="B6130" s="2"/>
      <c r="C6130" s="26"/>
      <c r="D6130" s="26"/>
      <c r="F6130" s="85" t="str">
        <f t="shared" si="0"/>
        <v/>
      </c>
      <c r="G6130" s="1" t="e">
        <f>IF(VALUE(F6130) = VALUE(RIGHT(Insights!$C$3, 4)), E6130, "")</f>
        <v>#VALUE!</v>
      </c>
      <c r="H6130" s="26" t="e">
        <f t="shared" si="1"/>
        <v>#VALUE!</v>
      </c>
      <c r="I6130" s="1" t="e">
        <f t="shared" si="2"/>
        <v>#VALUE!</v>
      </c>
    </row>
    <row r="6131" spans="1:9" ht="15.75" customHeight="1">
      <c r="A6131" s="26"/>
      <c r="B6131" s="2"/>
      <c r="C6131" s="26"/>
      <c r="D6131" s="26"/>
      <c r="F6131" s="85" t="str">
        <f t="shared" si="0"/>
        <v/>
      </c>
      <c r="G6131" s="1" t="e">
        <f>IF(VALUE(F6131) = VALUE(RIGHT(Insights!$C$3, 4)), E6131, "")</f>
        <v>#VALUE!</v>
      </c>
      <c r="H6131" s="26" t="e">
        <f t="shared" si="1"/>
        <v>#VALUE!</v>
      </c>
      <c r="I6131" s="1" t="e">
        <f t="shared" si="2"/>
        <v>#VALUE!</v>
      </c>
    </row>
    <row r="6132" spans="1:9" ht="15.75" customHeight="1">
      <c r="A6132" s="26"/>
      <c r="B6132" s="2"/>
      <c r="C6132" s="26"/>
      <c r="D6132" s="26"/>
      <c r="F6132" s="85" t="str">
        <f t="shared" si="0"/>
        <v/>
      </c>
      <c r="G6132" s="1" t="e">
        <f>IF(VALUE(F6132) = VALUE(RIGHT(Insights!$C$3, 4)), E6132, "")</f>
        <v>#VALUE!</v>
      </c>
      <c r="H6132" s="26" t="e">
        <f t="shared" si="1"/>
        <v>#VALUE!</v>
      </c>
      <c r="I6132" s="1" t="e">
        <f t="shared" si="2"/>
        <v>#VALUE!</v>
      </c>
    </row>
    <row r="6133" spans="1:9" ht="15.75" customHeight="1">
      <c r="A6133" s="26"/>
      <c r="B6133" s="2"/>
      <c r="C6133" s="26"/>
      <c r="D6133" s="26"/>
      <c r="F6133" s="85" t="str">
        <f t="shared" si="0"/>
        <v/>
      </c>
      <c r="G6133" s="1" t="e">
        <f>IF(VALUE(F6133) = VALUE(RIGHT(Insights!$C$3, 4)), E6133, "")</f>
        <v>#VALUE!</v>
      </c>
      <c r="H6133" s="26" t="e">
        <f t="shared" si="1"/>
        <v>#VALUE!</v>
      </c>
      <c r="I6133" s="1" t="e">
        <f t="shared" si="2"/>
        <v>#VALUE!</v>
      </c>
    </row>
    <row r="6134" spans="1:9" ht="15.75" customHeight="1">
      <c r="A6134" s="26"/>
      <c r="B6134" s="2"/>
      <c r="C6134" s="26"/>
      <c r="D6134" s="26"/>
      <c r="F6134" s="85" t="str">
        <f t="shared" si="0"/>
        <v/>
      </c>
      <c r="G6134" s="1" t="e">
        <f>IF(VALUE(F6134) = VALUE(RIGHT(Insights!$C$3, 4)), E6134, "")</f>
        <v>#VALUE!</v>
      </c>
      <c r="H6134" s="26" t="e">
        <f t="shared" si="1"/>
        <v>#VALUE!</v>
      </c>
      <c r="I6134" s="1" t="e">
        <f t="shared" si="2"/>
        <v>#VALUE!</v>
      </c>
    </row>
    <row r="6135" spans="1:9" ht="15.75" customHeight="1">
      <c r="A6135" s="26"/>
      <c r="B6135" s="2"/>
      <c r="C6135" s="26"/>
      <c r="D6135" s="26"/>
      <c r="F6135" s="85" t="str">
        <f t="shared" si="0"/>
        <v/>
      </c>
      <c r="G6135" s="1" t="e">
        <f>IF(VALUE(F6135) = VALUE(RIGHT(Insights!$C$3, 4)), E6135, "")</f>
        <v>#VALUE!</v>
      </c>
      <c r="H6135" s="26" t="e">
        <f t="shared" si="1"/>
        <v>#VALUE!</v>
      </c>
      <c r="I6135" s="1" t="e">
        <f t="shared" si="2"/>
        <v>#VALUE!</v>
      </c>
    </row>
    <row r="6136" spans="1:9" ht="15.75" customHeight="1">
      <c r="A6136" s="26"/>
      <c r="B6136" s="2"/>
      <c r="C6136" s="26"/>
      <c r="D6136" s="26"/>
      <c r="F6136" s="85" t="str">
        <f t="shared" si="0"/>
        <v/>
      </c>
      <c r="G6136" s="1" t="e">
        <f>IF(VALUE(F6136) = VALUE(RIGHT(Insights!$C$3, 4)), E6136, "")</f>
        <v>#VALUE!</v>
      </c>
      <c r="H6136" s="26" t="e">
        <f t="shared" si="1"/>
        <v>#VALUE!</v>
      </c>
      <c r="I6136" s="1" t="e">
        <f t="shared" si="2"/>
        <v>#VALUE!</v>
      </c>
    </row>
    <row r="6137" spans="1:9" ht="15.75" customHeight="1">
      <c r="A6137" s="26"/>
      <c r="B6137" s="2"/>
      <c r="C6137" s="26"/>
      <c r="D6137" s="26"/>
      <c r="F6137" s="85" t="str">
        <f t="shared" si="0"/>
        <v/>
      </c>
      <c r="G6137" s="1" t="e">
        <f>IF(VALUE(F6137) = VALUE(RIGHT(Insights!$C$3, 4)), E6137, "")</f>
        <v>#VALUE!</v>
      </c>
      <c r="H6137" s="26" t="e">
        <f t="shared" si="1"/>
        <v>#VALUE!</v>
      </c>
      <c r="I6137" s="1" t="e">
        <f t="shared" si="2"/>
        <v>#VALUE!</v>
      </c>
    </row>
    <row r="6138" spans="1:9" ht="15.75" customHeight="1">
      <c r="A6138" s="26"/>
      <c r="B6138" s="2"/>
      <c r="C6138" s="26"/>
      <c r="D6138" s="26"/>
      <c r="F6138" s="85" t="str">
        <f t="shared" si="0"/>
        <v/>
      </c>
      <c r="G6138" s="1" t="e">
        <f>IF(VALUE(F6138) = VALUE(RIGHT(Insights!$C$3, 4)), E6138, "")</f>
        <v>#VALUE!</v>
      </c>
      <c r="H6138" s="26" t="e">
        <f t="shared" si="1"/>
        <v>#VALUE!</v>
      </c>
      <c r="I6138" s="1" t="e">
        <f t="shared" si="2"/>
        <v>#VALUE!</v>
      </c>
    </row>
    <row r="6139" spans="1:9" ht="15.75" customHeight="1">
      <c r="A6139" s="26"/>
      <c r="B6139" s="2"/>
      <c r="C6139" s="26"/>
      <c r="D6139" s="26"/>
      <c r="F6139" s="85" t="str">
        <f t="shared" si="0"/>
        <v/>
      </c>
      <c r="G6139" s="1" t="e">
        <f>IF(VALUE(F6139) = VALUE(RIGHT(Insights!$C$3, 4)), E6139, "")</f>
        <v>#VALUE!</v>
      </c>
      <c r="H6139" s="26" t="e">
        <f t="shared" si="1"/>
        <v>#VALUE!</v>
      </c>
      <c r="I6139" s="1" t="e">
        <f t="shared" si="2"/>
        <v>#VALUE!</v>
      </c>
    </row>
    <row r="6140" spans="1:9" ht="15.75" customHeight="1">
      <c r="A6140" s="26"/>
      <c r="B6140" s="2"/>
      <c r="C6140" s="26"/>
      <c r="D6140" s="26"/>
      <c r="F6140" s="85" t="str">
        <f t="shared" si="0"/>
        <v/>
      </c>
      <c r="G6140" s="1" t="e">
        <f>IF(VALUE(F6140) = VALUE(RIGHT(Insights!$C$3, 4)), E6140, "")</f>
        <v>#VALUE!</v>
      </c>
      <c r="H6140" s="26" t="e">
        <f t="shared" si="1"/>
        <v>#VALUE!</v>
      </c>
      <c r="I6140" s="1" t="e">
        <f t="shared" si="2"/>
        <v>#VALUE!</v>
      </c>
    </row>
    <row r="6141" spans="1:9" ht="15.75" customHeight="1">
      <c r="A6141" s="26"/>
      <c r="B6141" s="2"/>
      <c r="C6141" s="26"/>
      <c r="D6141" s="26"/>
      <c r="F6141" s="85" t="str">
        <f t="shared" si="0"/>
        <v/>
      </c>
      <c r="G6141" s="1" t="e">
        <f>IF(VALUE(F6141) = VALUE(RIGHT(Insights!$C$3, 4)), E6141, "")</f>
        <v>#VALUE!</v>
      </c>
      <c r="H6141" s="26" t="e">
        <f t="shared" si="1"/>
        <v>#VALUE!</v>
      </c>
      <c r="I6141" s="1" t="e">
        <f t="shared" si="2"/>
        <v>#VALUE!</v>
      </c>
    </row>
    <row r="6142" spans="1:9" ht="15.75" customHeight="1">
      <c r="A6142" s="26"/>
      <c r="B6142" s="2"/>
      <c r="C6142" s="26"/>
      <c r="D6142" s="26"/>
      <c r="F6142" s="85" t="str">
        <f t="shared" si="0"/>
        <v/>
      </c>
      <c r="G6142" s="1" t="e">
        <f>IF(VALUE(F6142) = VALUE(RIGHT(Insights!$C$3, 4)), E6142, "")</f>
        <v>#VALUE!</v>
      </c>
      <c r="H6142" s="26" t="e">
        <f t="shared" si="1"/>
        <v>#VALUE!</v>
      </c>
      <c r="I6142" s="1" t="e">
        <f t="shared" si="2"/>
        <v>#VALUE!</v>
      </c>
    </row>
    <row r="6143" spans="1:9" ht="15.75" customHeight="1">
      <c r="A6143" s="26"/>
      <c r="B6143" s="2"/>
      <c r="C6143" s="26"/>
      <c r="D6143" s="26"/>
      <c r="F6143" s="85" t="str">
        <f t="shared" si="0"/>
        <v/>
      </c>
      <c r="G6143" s="1" t="e">
        <f>IF(VALUE(F6143) = VALUE(RIGHT(Insights!$C$3, 4)), E6143, "")</f>
        <v>#VALUE!</v>
      </c>
      <c r="H6143" s="26" t="e">
        <f t="shared" si="1"/>
        <v>#VALUE!</v>
      </c>
      <c r="I6143" s="1" t="e">
        <f t="shared" si="2"/>
        <v>#VALUE!</v>
      </c>
    </row>
    <row r="6144" spans="1:9" ht="15.75" customHeight="1">
      <c r="A6144" s="26"/>
      <c r="B6144" s="2"/>
      <c r="C6144" s="26"/>
      <c r="D6144" s="26"/>
      <c r="F6144" s="85" t="str">
        <f t="shared" si="0"/>
        <v/>
      </c>
      <c r="G6144" s="1" t="e">
        <f>IF(VALUE(F6144) = VALUE(RIGHT(Insights!$C$3, 4)), E6144, "")</f>
        <v>#VALUE!</v>
      </c>
      <c r="H6144" s="26" t="e">
        <f t="shared" si="1"/>
        <v>#VALUE!</v>
      </c>
      <c r="I6144" s="1" t="e">
        <f t="shared" si="2"/>
        <v>#VALUE!</v>
      </c>
    </row>
    <row r="6145" spans="1:9" ht="15.75" customHeight="1">
      <c r="A6145" s="26"/>
      <c r="B6145" s="2"/>
      <c r="C6145" s="26"/>
      <c r="D6145" s="26"/>
      <c r="F6145" s="85" t="str">
        <f t="shared" si="0"/>
        <v/>
      </c>
      <c r="G6145" s="1" t="e">
        <f>IF(VALUE(F6145) = VALUE(RIGHT(Insights!$C$3, 4)), E6145, "")</f>
        <v>#VALUE!</v>
      </c>
      <c r="H6145" s="26" t="e">
        <f t="shared" si="1"/>
        <v>#VALUE!</v>
      </c>
      <c r="I6145" s="1" t="e">
        <f t="shared" si="2"/>
        <v>#VALUE!</v>
      </c>
    </row>
    <row r="6146" spans="1:9" ht="15.75" customHeight="1">
      <c r="A6146" s="26"/>
      <c r="B6146" s="2"/>
      <c r="C6146" s="26"/>
      <c r="D6146" s="26"/>
      <c r="F6146" s="85" t="str">
        <f t="shared" si="0"/>
        <v/>
      </c>
      <c r="G6146" s="1" t="e">
        <f>IF(VALUE(F6146) = VALUE(RIGHT(Insights!$C$3, 4)), E6146, "")</f>
        <v>#VALUE!</v>
      </c>
      <c r="H6146" s="26" t="e">
        <f t="shared" si="1"/>
        <v>#VALUE!</v>
      </c>
      <c r="I6146" s="1" t="e">
        <f t="shared" si="2"/>
        <v>#VALUE!</v>
      </c>
    </row>
    <row r="6147" spans="1:9" ht="15.75" customHeight="1">
      <c r="A6147" s="26"/>
      <c r="B6147" s="2"/>
      <c r="C6147" s="26"/>
      <c r="D6147" s="26"/>
      <c r="F6147" s="85" t="str">
        <f t="shared" si="0"/>
        <v/>
      </c>
      <c r="G6147" s="1" t="e">
        <f>IF(VALUE(F6147) = VALUE(RIGHT(Insights!$C$3, 4)), E6147, "")</f>
        <v>#VALUE!</v>
      </c>
      <c r="H6147" s="26" t="e">
        <f t="shared" si="1"/>
        <v>#VALUE!</v>
      </c>
      <c r="I6147" s="1" t="e">
        <f t="shared" si="2"/>
        <v>#VALUE!</v>
      </c>
    </row>
    <row r="6148" spans="1:9" ht="15.75" customHeight="1">
      <c r="A6148" s="26"/>
      <c r="B6148" s="2"/>
      <c r="C6148" s="26"/>
      <c r="D6148" s="26"/>
      <c r="F6148" s="85" t="str">
        <f t="shared" si="0"/>
        <v/>
      </c>
      <c r="G6148" s="1" t="e">
        <f>IF(VALUE(F6148) = VALUE(RIGHT(Insights!$C$3, 4)), E6148, "")</f>
        <v>#VALUE!</v>
      </c>
      <c r="H6148" s="26" t="e">
        <f t="shared" si="1"/>
        <v>#VALUE!</v>
      </c>
      <c r="I6148" s="1" t="e">
        <f t="shared" si="2"/>
        <v>#VALUE!</v>
      </c>
    </row>
    <row r="6149" spans="1:9" ht="15.75" customHeight="1">
      <c r="A6149" s="26"/>
      <c r="B6149" s="2"/>
      <c r="C6149" s="26"/>
      <c r="D6149" s="26"/>
      <c r="F6149" s="85" t="str">
        <f t="shared" si="0"/>
        <v/>
      </c>
      <c r="G6149" s="1" t="e">
        <f>IF(VALUE(F6149) = VALUE(RIGHT(Insights!$C$3, 4)), E6149, "")</f>
        <v>#VALUE!</v>
      </c>
      <c r="H6149" s="26" t="e">
        <f t="shared" si="1"/>
        <v>#VALUE!</v>
      </c>
      <c r="I6149" s="1" t="e">
        <f t="shared" si="2"/>
        <v>#VALUE!</v>
      </c>
    </row>
    <row r="6150" spans="1:9" ht="15.75" customHeight="1">
      <c r="A6150" s="26"/>
      <c r="B6150" s="2"/>
      <c r="C6150" s="26"/>
      <c r="D6150" s="26"/>
      <c r="F6150" s="85" t="str">
        <f t="shared" si="0"/>
        <v/>
      </c>
      <c r="G6150" s="1" t="e">
        <f>IF(VALUE(F6150) = VALUE(RIGHT(Insights!$C$3, 4)), E6150, "")</f>
        <v>#VALUE!</v>
      </c>
      <c r="H6150" s="26" t="e">
        <f t="shared" si="1"/>
        <v>#VALUE!</v>
      </c>
      <c r="I6150" s="1" t="e">
        <f t="shared" si="2"/>
        <v>#VALUE!</v>
      </c>
    </row>
    <row r="6151" spans="1:9" ht="15.75" customHeight="1">
      <c r="A6151" s="26"/>
      <c r="B6151" s="2"/>
      <c r="C6151" s="26"/>
      <c r="D6151" s="26"/>
      <c r="F6151" s="85" t="str">
        <f t="shared" si="0"/>
        <v/>
      </c>
      <c r="G6151" s="1" t="e">
        <f>IF(VALUE(F6151) = VALUE(RIGHT(Insights!$C$3, 4)), E6151, "")</f>
        <v>#VALUE!</v>
      </c>
      <c r="H6151" s="26" t="e">
        <f t="shared" si="1"/>
        <v>#VALUE!</v>
      </c>
      <c r="I6151" s="1" t="e">
        <f t="shared" si="2"/>
        <v>#VALUE!</v>
      </c>
    </row>
    <row r="6152" spans="1:9" ht="15.75" customHeight="1">
      <c r="A6152" s="26"/>
      <c r="B6152" s="2"/>
      <c r="C6152" s="26"/>
      <c r="D6152" s="26"/>
      <c r="F6152" s="85" t="str">
        <f t="shared" si="0"/>
        <v/>
      </c>
      <c r="G6152" s="1" t="e">
        <f>IF(VALUE(F6152) = VALUE(RIGHT(Insights!$C$3, 4)), E6152, "")</f>
        <v>#VALUE!</v>
      </c>
      <c r="H6152" s="26" t="e">
        <f t="shared" si="1"/>
        <v>#VALUE!</v>
      </c>
      <c r="I6152" s="1" t="e">
        <f t="shared" si="2"/>
        <v>#VALUE!</v>
      </c>
    </row>
    <row r="6153" spans="1:9" ht="15.75" customHeight="1">
      <c r="A6153" s="26"/>
      <c r="B6153" s="2"/>
      <c r="C6153" s="26"/>
      <c r="D6153" s="26"/>
      <c r="F6153" s="85" t="str">
        <f t="shared" si="0"/>
        <v/>
      </c>
      <c r="G6153" s="1" t="e">
        <f>IF(VALUE(F6153) = VALUE(RIGHT(Insights!$C$3, 4)), E6153, "")</f>
        <v>#VALUE!</v>
      </c>
      <c r="H6153" s="26" t="e">
        <f t="shared" si="1"/>
        <v>#VALUE!</v>
      </c>
      <c r="I6153" s="1" t="e">
        <f t="shared" si="2"/>
        <v>#VALUE!</v>
      </c>
    </row>
    <row r="6154" spans="1:9" ht="15.75" customHeight="1">
      <c r="A6154" s="26"/>
      <c r="B6154" s="2"/>
      <c r="C6154" s="26"/>
      <c r="D6154" s="26"/>
      <c r="F6154" s="85" t="str">
        <f t="shared" si="0"/>
        <v/>
      </c>
      <c r="G6154" s="1" t="e">
        <f>IF(VALUE(F6154) = VALUE(RIGHT(Insights!$C$3, 4)), E6154, "")</f>
        <v>#VALUE!</v>
      </c>
      <c r="H6154" s="26" t="e">
        <f t="shared" si="1"/>
        <v>#VALUE!</v>
      </c>
      <c r="I6154" s="1" t="e">
        <f t="shared" si="2"/>
        <v>#VALUE!</v>
      </c>
    </row>
    <row r="6155" spans="1:9" ht="15.75" customHeight="1">
      <c r="A6155" s="26"/>
      <c r="B6155" s="2"/>
      <c r="C6155" s="26"/>
      <c r="D6155" s="26"/>
      <c r="F6155" s="85" t="str">
        <f t="shared" si="0"/>
        <v/>
      </c>
      <c r="G6155" s="1" t="e">
        <f>IF(VALUE(F6155) = VALUE(RIGHT(Insights!$C$3, 4)), E6155, "")</f>
        <v>#VALUE!</v>
      </c>
      <c r="H6155" s="26" t="e">
        <f t="shared" si="1"/>
        <v>#VALUE!</v>
      </c>
      <c r="I6155" s="1" t="e">
        <f t="shared" si="2"/>
        <v>#VALUE!</v>
      </c>
    </row>
    <row r="6156" spans="1:9" ht="15.75" customHeight="1">
      <c r="A6156" s="26"/>
      <c r="B6156" s="2"/>
      <c r="C6156" s="26"/>
      <c r="D6156" s="26"/>
      <c r="F6156" s="85" t="str">
        <f t="shared" si="0"/>
        <v/>
      </c>
      <c r="G6156" s="1" t="e">
        <f>IF(VALUE(F6156) = VALUE(RIGHT(Insights!$C$3, 4)), E6156, "")</f>
        <v>#VALUE!</v>
      </c>
      <c r="H6156" s="26" t="e">
        <f t="shared" si="1"/>
        <v>#VALUE!</v>
      </c>
      <c r="I6156" s="1" t="e">
        <f t="shared" si="2"/>
        <v>#VALUE!</v>
      </c>
    </row>
    <row r="6157" spans="1:9" ht="15.75" customHeight="1">
      <c r="A6157" s="26"/>
      <c r="B6157" s="2"/>
      <c r="C6157" s="26"/>
      <c r="D6157" s="26"/>
      <c r="F6157" s="85" t="str">
        <f t="shared" si="0"/>
        <v/>
      </c>
      <c r="G6157" s="1" t="e">
        <f>IF(VALUE(F6157) = VALUE(RIGHT(Insights!$C$3, 4)), E6157, "")</f>
        <v>#VALUE!</v>
      </c>
      <c r="H6157" s="26" t="e">
        <f t="shared" si="1"/>
        <v>#VALUE!</v>
      </c>
      <c r="I6157" s="1" t="e">
        <f t="shared" si="2"/>
        <v>#VALUE!</v>
      </c>
    </row>
    <row r="6158" spans="1:9" ht="15.75" customHeight="1">
      <c r="A6158" s="26"/>
      <c r="B6158" s="2"/>
      <c r="C6158" s="26"/>
      <c r="D6158" s="26"/>
      <c r="F6158" s="85" t="str">
        <f t="shared" si="0"/>
        <v/>
      </c>
      <c r="G6158" s="1" t="e">
        <f>IF(VALUE(F6158) = VALUE(RIGHT(Insights!$C$3, 4)), E6158, "")</f>
        <v>#VALUE!</v>
      </c>
      <c r="H6158" s="26" t="e">
        <f t="shared" si="1"/>
        <v>#VALUE!</v>
      </c>
      <c r="I6158" s="1" t="e">
        <f t="shared" si="2"/>
        <v>#VALUE!</v>
      </c>
    </row>
    <row r="6159" spans="1:9" ht="15.75" customHeight="1">
      <c r="A6159" s="26"/>
      <c r="B6159" s="2"/>
      <c r="C6159" s="26"/>
      <c r="D6159" s="26"/>
      <c r="F6159" s="85" t="str">
        <f t="shared" si="0"/>
        <v/>
      </c>
      <c r="G6159" s="1" t="e">
        <f>IF(VALUE(F6159) = VALUE(RIGHT(Insights!$C$3, 4)), E6159, "")</f>
        <v>#VALUE!</v>
      </c>
      <c r="H6159" s="26" t="e">
        <f t="shared" si="1"/>
        <v>#VALUE!</v>
      </c>
      <c r="I6159" s="1" t="e">
        <f t="shared" si="2"/>
        <v>#VALUE!</v>
      </c>
    </row>
    <row r="6160" spans="1:9" ht="15.75" customHeight="1">
      <c r="A6160" s="26"/>
      <c r="B6160" s="2"/>
      <c r="C6160" s="26"/>
      <c r="D6160" s="26"/>
      <c r="F6160" s="85" t="str">
        <f t="shared" si="0"/>
        <v/>
      </c>
      <c r="G6160" s="1" t="e">
        <f>IF(VALUE(F6160) = VALUE(RIGHT(Insights!$C$3, 4)), E6160, "")</f>
        <v>#VALUE!</v>
      </c>
      <c r="H6160" s="26" t="e">
        <f t="shared" si="1"/>
        <v>#VALUE!</v>
      </c>
      <c r="I6160" s="1" t="e">
        <f t="shared" si="2"/>
        <v>#VALUE!</v>
      </c>
    </row>
    <row r="6161" spans="1:9" ht="15.75" customHeight="1">
      <c r="A6161" s="26"/>
      <c r="B6161" s="2"/>
      <c r="C6161" s="26"/>
      <c r="D6161" s="26"/>
      <c r="F6161" s="85" t="str">
        <f t="shared" si="0"/>
        <v/>
      </c>
      <c r="G6161" s="1" t="e">
        <f>IF(VALUE(F6161) = VALUE(RIGHT(Insights!$C$3, 4)), E6161, "")</f>
        <v>#VALUE!</v>
      </c>
      <c r="H6161" s="26" t="e">
        <f t="shared" si="1"/>
        <v>#VALUE!</v>
      </c>
      <c r="I6161" s="1" t="e">
        <f t="shared" si="2"/>
        <v>#VALUE!</v>
      </c>
    </row>
    <row r="6162" spans="1:9" ht="15.75" customHeight="1">
      <c r="A6162" s="26"/>
      <c r="B6162" s="2"/>
      <c r="C6162" s="26"/>
      <c r="D6162" s="26"/>
      <c r="F6162" s="85" t="str">
        <f t="shared" si="0"/>
        <v/>
      </c>
      <c r="G6162" s="1" t="e">
        <f>IF(VALUE(F6162) = VALUE(RIGHT(Insights!$C$3, 4)), E6162, "")</f>
        <v>#VALUE!</v>
      </c>
      <c r="H6162" s="26" t="e">
        <f t="shared" si="1"/>
        <v>#VALUE!</v>
      </c>
      <c r="I6162" s="1" t="e">
        <f t="shared" si="2"/>
        <v>#VALUE!</v>
      </c>
    </row>
    <row r="6163" spans="1:9" ht="15.75" customHeight="1">
      <c r="A6163" s="26"/>
      <c r="B6163" s="2"/>
      <c r="C6163" s="26"/>
      <c r="D6163" s="26"/>
      <c r="F6163" s="85" t="str">
        <f t="shared" si="0"/>
        <v/>
      </c>
      <c r="G6163" s="1" t="e">
        <f>IF(VALUE(F6163) = VALUE(RIGHT(Insights!$C$3, 4)), E6163, "")</f>
        <v>#VALUE!</v>
      </c>
      <c r="H6163" s="26" t="e">
        <f t="shared" si="1"/>
        <v>#VALUE!</v>
      </c>
      <c r="I6163" s="1" t="e">
        <f t="shared" si="2"/>
        <v>#VALUE!</v>
      </c>
    </row>
    <row r="6164" spans="1:9" ht="15.75" customHeight="1">
      <c r="A6164" s="26"/>
      <c r="B6164" s="2"/>
      <c r="C6164" s="26"/>
      <c r="D6164" s="26"/>
      <c r="F6164" s="85" t="str">
        <f t="shared" si="0"/>
        <v/>
      </c>
      <c r="G6164" s="1" t="e">
        <f>IF(VALUE(F6164) = VALUE(RIGHT(Insights!$C$3, 4)), E6164, "")</f>
        <v>#VALUE!</v>
      </c>
      <c r="H6164" s="26" t="e">
        <f t="shared" si="1"/>
        <v>#VALUE!</v>
      </c>
      <c r="I6164" s="1" t="e">
        <f t="shared" si="2"/>
        <v>#VALUE!</v>
      </c>
    </row>
    <row r="6165" spans="1:9" ht="15.75" customHeight="1">
      <c r="A6165" s="26"/>
      <c r="B6165" s="2"/>
      <c r="C6165" s="26"/>
      <c r="D6165" s="26"/>
      <c r="F6165" s="85" t="str">
        <f t="shared" si="0"/>
        <v/>
      </c>
      <c r="G6165" s="1" t="e">
        <f>IF(VALUE(F6165) = VALUE(RIGHT(Insights!$C$3, 4)), E6165, "")</f>
        <v>#VALUE!</v>
      </c>
      <c r="H6165" s="26" t="e">
        <f t="shared" si="1"/>
        <v>#VALUE!</v>
      </c>
      <c r="I6165" s="1" t="e">
        <f t="shared" si="2"/>
        <v>#VALUE!</v>
      </c>
    </row>
    <row r="6166" spans="1:9" ht="15.75" customHeight="1">
      <c r="A6166" s="26"/>
      <c r="B6166" s="2"/>
      <c r="C6166" s="26"/>
      <c r="D6166" s="26"/>
      <c r="F6166" s="85" t="str">
        <f t="shared" si="0"/>
        <v/>
      </c>
      <c r="G6166" s="1" t="e">
        <f>IF(VALUE(F6166) = VALUE(RIGHT(Insights!$C$3, 4)), E6166, "")</f>
        <v>#VALUE!</v>
      </c>
      <c r="H6166" s="26" t="e">
        <f t="shared" si="1"/>
        <v>#VALUE!</v>
      </c>
      <c r="I6166" s="1" t="e">
        <f t="shared" si="2"/>
        <v>#VALUE!</v>
      </c>
    </row>
    <row r="6167" spans="1:9" ht="15.75" customHeight="1">
      <c r="A6167" s="26"/>
      <c r="B6167" s="2"/>
      <c r="C6167" s="26"/>
      <c r="D6167" s="26"/>
      <c r="F6167" s="85" t="str">
        <f t="shared" si="0"/>
        <v/>
      </c>
      <c r="G6167" s="1" t="e">
        <f>IF(VALUE(F6167) = VALUE(RIGHT(Insights!$C$3, 4)), E6167, "")</f>
        <v>#VALUE!</v>
      </c>
      <c r="H6167" s="26" t="e">
        <f t="shared" si="1"/>
        <v>#VALUE!</v>
      </c>
      <c r="I6167" s="1" t="e">
        <f t="shared" si="2"/>
        <v>#VALUE!</v>
      </c>
    </row>
    <row r="6168" spans="1:9" ht="15.75" customHeight="1">
      <c r="A6168" s="26"/>
      <c r="B6168" s="2"/>
      <c r="C6168" s="26"/>
      <c r="D6168" s="26"/>
      <c r="F6168" s="85" t="str">
        <f t="shared" si="0"/>
        <v/>
      </c>
      <c r="G6168" s="1" t="e">
        <f>IF(VALUE(F6168) = VALUE(RIGHT(Insights!$C$3, 4)), E6168, "")</f>
        <v>#VALUE!</v>
      </c>
      <c r="H6168" s="26" t="e">
        <f t="shared" si="1"/>
        <v>#VALUE!</v>
      </c>
      <c r="I6168" s="1" t="e">
        <f t="shared" si="2"/>
        <v>#VALUE!</v>
      </c>
    </row>
    <row r="6169" spans="1:9" ht="15.75" customHeight="1">
      <c r="A6169" s="26"/>
      <c r="B6169" s="2"/>
      <c r="C6169" s="26"/>
      <c r="D6169" s="26"/>
      <c r="F6169" s="85" t="str">
        <f t="shared" si="0"/>
        <v/>
      </c>
      <c r="G6169" s="1" t="e">
        <f>IF(VALUE(F6169) = VALUE(RIGHT(Insights!$C$3, 4)), E6169, "")</f>
        <v>#VALUE!</v>
      </c>
      <c r="H6169" s="26" t="e">
        <f t="shared" si="1"/>
        <v>#VALUE!</v>
      </c>
      <c r="I6169" s="1" t="e">
        <f t="shared" si="2"/>
        <v>#VALUE!</v>
      </c>
    </row>
    <row r="6170" spans="1:9" ht="15.75" customHeight="1">
      <c r="A6170" s="26"/>
      <c r="B6170" s="2"/>
      <c r="C6170" s="26"/>
      <c r="D6170" s="26"/>
      <c r="F6170" s="85" t="str">
        <f t="shared" si="0"/>
        <v/>
      </c>
      <c r="G6170" s="1" t="e">
        <f>IF(VALUE(F6170) = VALUE(RIGHT(Insights!$C$3, 4)), E6170, "")</f>
        <v>#VALUE!</v>
      </c>
      <c r="H6170" s="26" t="e">
        <f t="shared" si="1"/>
        <v>#VALUE!</v>
      </c>
      <c r="I6170" s="1" t="e">
        <f t="shared" si="2"/>
        <v>#VALUE!</v>
      </c>
    </row>
    <row r="6171" spans="1:9" ht="15.75" customHeight="1">
      <c r="A6171" s="26"/>
      <c r="B6171" s="2"/>
      <c r="C6171" s="26"/>
      <c r="D6171" s="26"/>
      <c r="F6171" s="85" t="str">
        <f t="shared" si="0"/>
        <v/>
      </c>
      <c r="G6171" s="1" t="e">
        <f>IF(VALUE(F6171) = VALUE(RIGHT(Insights!$C$3, 4)), E6171, "")</f>
        <v>#VALUE!</v>
      </c>
      <c r="H6171" s="26" t="e">
        <f t="shared" si="1"/>
        <v>#VALUE!</v>
      </c>
      <c r="I6171" s="1" t="e">
        <f t="shared" si="2"/>
        <v>#VALUE!</v>
      </c>
    </row>
    <row r="6172" spans="1:9" ht="15.75" customHeight="1">
      <c r="A6172" s="26"/>
      <c r="B6172" s="2"/>
      <c r="C6172" s="26"/>
      <c r="D6172" s="26"/>
      <c r="F6172" s="85" t="str">
        <f t="shared" si="0"/>
        <v/>
      </c>
      <c r="G6172" s="1" t="e">
        <f>IF(VALUE(F6172) = VALUE(RIGHT(Insights!$C$3, 4)), E6172, "")</f>
        <v>#VALUE!</v>
      </c>
      <c r="H6172" s="26" t="e">
        <f t="shared" si="1"/>
        <v>#VALUE!</v>
      </c>
      <c r="I6172" s="1" t="e">
        <f t="shared" si="2"/>
        <v>#VALUE!</v>
      </c>
    </row>
    <row r="6173" spans="1:9" ht="15.75" customHeight="1">
      <c r="A6173" s="26"/>
      <c r="B6173" s="2"/>
      <c r="C6173" s="26"/>
      <c r="D6173" s="26"/>
      <c r="F6173" s="85" t="str">
        <f t="shared" si="0"/>
        <v/>
      </c>
      <c r="G6173" s="1" t="e">
        <f>IF(VALUE(F6173) = VALUE(RIGHT(Insights!$C$3, 4)), E6173, "")</f>
        <v>#VALUE!</v>
      </c>
      <c r="H6173" s="26" t="e">
        <f t="shared" si="1"/>
        <v>#VALUE!</v>
      </c>
      <c r="I6173" s="1" t="e">
        <f t="shared" si="2"/>
        <v>#VALUE!</v>
      </c>
    </row>
    <row r="6174" spans="1:9" ht="15.75" customHeight="1">
      <c r="A6174" s="26"/>
      <c r="B6174" s="2"/>
      <c r="C6174" s="26"/>
      <c r="D6174" s="26"/>
      <c r="F6174" s="85" t="str">
        <f t="shared" si="0"/>
        <v/>
      </c>
      <c r="G6174" s="1" t="e">
        <f>IF(VALUE(F6174) = VALUE(RIGHT(Insights!$C$3, 4)), E6174, "")</f>
        <v>#VALUE!</v>
      </c>
      <c r="H6174" s="26" t="e">
        <f t="shared" si="1"/>
        <v>#VALUE!</v>
      </c>
      <c r="I6174" s="1" t="e">
        <f t="shared" si="2"/>
        <v>#VALUE!</v>
      </c>
    </row>
    <row r="6175" spans="1:9" ht="15.75" customHeight="1">
      <c r="A6175" s="26"/>
      <c r="B6175" s="2"/>
      <c r="C6175" s="26"/>
      <c r="D6175" s="26"/>
      <c r="F6175" s="85" t="str">
        <f t="shared" si="0"/>
        <v/>
      </c>
      <c r="G6175" s="1" t="e">
        <f>IF(VALUE(F6175) = VALUE(RIGHT(Insights!$C$3, 4)), E6175, "")</f>
        <v>#VALUE!</v>
      </c>
      <c r="H6175" s="26" t="e">
        <f t="shared" si="1"/>
        <v>#VALUE!</v>
      </c>
      <c r="I6175" s="1" t="e">
        <f t="shared" si="2"/>
        <v>#VALUE!</v>
      </c>
    </row>
    <row r="6176" spans="1:9" ht="15.75" customHeight="1">
      <c r="A6176" s="26"/>
      <c r="B6176" s="2"/>
      <c r="C6176" s="26"/>
      <c r="D6176" s="26"/>
      <c r="F6176" s="85" t="str">
        <f t="shared" si="0"/>
        <v/>
      </c>
      <c r="G6176" s="1" t="e">
        <f>IF(VALUE(F6176) = VALUE(RIGHT(Insights!$C$3, 4)), E6176, "")</f>
        <v>#VALUE!</v>
      </c>
      <c r="H6176" s="26" t="e">
        <f t="shared" si="1"/>
        <v>#VALUE!</v>
      </c>
      <c r="I6176" s="1" t="e">
        <f t="shared" si="2"/>
        <v>#VALUE!</v>
      </c>
    </row>
    <row r="6177" spans="1:9" ht="15.75" customHeight="1">
      <c r="A6177" s="26"/>
      <c r="B6177" s="2"/>
      <c r="C6177" s="26"/>
      <c r="D6177" s="26"/>
      <c r="F6177" s="85" t="str">
        <f t="shared" si="0"/>
        <v/>
      </c>
      <c r="G6177" s="1" t="e">
        <f>IF(VALUE(F6177) = VALUE(RIGHT(Insights!$C$3, 4)), E6177, "")</f>
        <v>#VALUE!</v>
      </c>
      <c r="H6177" s="26" t="e">
        <f t="shared" si="1"/>
        <v>#VALUE!</v>
      </c>
      <c r="I6177" s="1" t="e">
        <f t="shared" si="2"/>
        <v>#VALUE!</v>
      </c>
    </row>
    <row r="6178" spans="1:9" ht="15.75" customHeight="1">
      <c r="A6178" s="26"/>
      <c r="B6178" s="2"/>
      <c r="C6178" s="26"/>
      <c r="D6178" s="26"/>
      <c r="F6178" s="85" t="str">
        <f t="shared" si="0"/>
        <v/>
      </c>
      <c r="G6178" s="1" t="e">
        <f>IF(VALUE(F6178) = VALUE(RIGHT(Insights!$C$3, 4)), E6178, "")</f>
        <v>#VALUE!</v>
      </c>
      <c r="H6178" s="26" t="e">
        <f t="shared" si="1"/>
        <v>#VALUE!</v>
      </c>
      <c r="I6178" s="1" t="e">
        <f t="shared" si="2"/>
        <v>#VALUE!</v>
      </c>
    </row>
    <row r="6179" spans="1:9" ht="15.75" customHeight="1">
      <c r="A6179" s="26"/>
      <c r="B6179" s="2"/>
      <c r="C6179" s="26"/>
      <c r="D6179" s="26"/>
      <c r="F6179" s="85" t="str">
        <f t="shared" si="0"/>
        <v/>
      </c>
      <c r="G6179" s="1" t="e">
        <f>IF(VALUE(F6179) = VALUE(RIGHT(Insights!$C$3, 4)), E6179, "")</f>
        <v>#VALUE!</v>
      </c>
      <c r="H6179" s="26" t="e">
        <f t="shared" si="1"/>
        <v>#VALUE!</v>
      </c>
      <c r="I6179" s="1" t="e">
        <f t="shared" si="2"/>
        <v>#VALUE!</v>
      </c>
    </row>
    <row r="6180" spans="1:9" ht="15.75" customHeight="1">
      <c r="A6180" s="26"/>
      <c r="B6180" s="2"/>
      <c r="C6180" s="26"/>
      <c r="D6180" s="26"/>
      <c r="F6180" s="85" t="str">
        <f t="shared" si="0"/>
        <v/>
      </c>
      <c r="G6180" s="1" t="e">
        <f>IF(VALUE(F6180) = VALUE(RIGHT(Insights!$C$3, 4)), E6180, "")</f>
        <v>#VALUE!</v>
      </c>
      <c r="H6180" s="26" t="e">
        <f t="shared" si="1"/>
        <v>#VALUE!</v>
      </c>
      <c r="I6180" s="1" t="e">
        <f t="shared" si="2"/>
        <v>#VALUE!</v>
      </c>
    </row>
    <row r="6181" spans="1:9" ht="15.75" customHeight="1">
      <c r="A6181" s="26"/>
      <c r="B6181" s="2"/>
      <c r="C6181" s="26"/>
      <c r="D6181" s="26"/>
      <c r="F6181" s="85" t="str">
        <f t="shared" si="0"/>
        <v/>
      </c>
      <c r="G6181" s="1" t="e">
        <f>IF(VALUE(F6181) = VALUE(RIGHT(Insights!$C$3, 4)), E6181, "")</f>
        <v>#VALUE!</v>
      </c>
      <c r="H6181" s="26" t="e">
        <f t="shared" si="1"/>
        <v>#VALUE!</v>
      </c>
      <c r="I6181" s="1" t="e">
        <f t="shared" si="2"/>
        <v>#VALUE!</v>
      </c>
    </row>
    <row r="6182" spans="1:9" ht="15.75" customHeight="1">
      <c r="A6182" s="26"/>
      <c r="B6182" s="2"/>
      <c r="C6182" s="26"/>
      <c r="D6182" s="26"/>
      <c r="F6182" s="85" t="str">
        <f t="shared" si="0"/>
        <v/>
      </c>
      <c r="G6182" s="1" t="e">
        <f>IF(VALUE(F6182) = VALUE(RIGHT(Insights!$C$3, 4)), E6182, "")</f>
        <v>#VALUE!</v>
      </c>
      <c r="H6182" s="26" t="e">
        <f t="shared" si="1"/>
        <v>#VALUE!</v>
      </c>
      <c r="I6182" s="1" t="e">
        <f t="shared" si="2"/>
        <v>#VALUE!</v>
      </c>
    </row>
    <row r="6183" spans="1:9" ht="15.75" customHeight="1">
      <c r="A6183" s="26"/>
      <c r="B6183" s="2"/>
      <c r="C6183" s="26"/>
      <c r="D6183" s="26"/>
      <c r="F6183" s="85" t="str">
        <f t="shared" si="0"/>
        <v/>
      </c>
      <c r="G6183" s="1" t="e">
        <f>IF(VALUE(F6183) = VALUE(RIGHT(Insights!$C$3, 4)), E6183, "")</f>
        <v>#VALUE!</v>
      </c>
      <c r="H6183" s="26" t="e">
        <f t="shared" si="1"/>
        <v>#VALUE!</v>
      </c>
      <c r="I6183" s="1" t="e">
        <f t="shared" si="2"/>
        <v>#VALUE!</v>
      </c>
    </row>
    <row r="6184" spans="1:9" ht="15.75" customHeight="1">
      <c r="A6184" s="26"/>
      <c r="B6184" s="2"/>
      <c r="C6184" s="26"/>
      <c r="D6184" s="26"/>
      <c r="F6184" s="85" t="str">
        <f t="shared" si="0"/>
        <v/>
      </c>
      <c r="G6184" s="1" t="e">
        <f>IF(VALUE(F6184) = VALUE(RIGHT(Insights!$C$3, 4)), E6184, "")</f>
        <v>#VALUE!</v>
      </c>
      <c r="H6184" s="26" t="e">
        <f t="shared" si="1"/>
        <v>#VALUE!</v>
      </c>
      <c r="I6184" s="1" t="e">
        <f t="shared" si="2"/>
        <v>#VALUE!</v>
      </c>
    </row>
    <row r="6185" spans="1:9" ht="15.75" customHeight="1">
      <c r="A6185" s="26"/>
      <c r="B6185" s="2"/>
      <c r="C6185" s="26"/>
      <c r="D6185" s="26"/>
      <c r="F6185" s="85" t="str">
        <f t="shared" si="0"/>
        <v/>
      </c>
      <c r="G6185" s="1" t="e">
        <f>IF(VALUE(F6185) = VALUE(RIGHT(Insights!$C$3, 4)), E6185, "")</f>
        <v>#VALUE!</v>
      </c>
      <c r="H6185" s="26" t="e">
        <f t="shared" si="1"/>
        <v>#VALUE!</v>
      </c>
      <c r="I6185" s="1" t="e">
        <f t="shared" si="2"/>
        <v>#VALUE!</v>
      </c>
    </row>
    <row r="6186" spans="1:9" ht="15.75" customHeight="1">
      <c r="A6186" s="26"/>
      <c r="B6186" s="2"/>
      <c r="C6186" s="26"/>
      <c r="D6186" s="26"/>
      <c r="F6186" s="85" t="str">
        <f t="shared" si="0"/>
        <v/>
      </c>
      <c r="G6186" s="1" t="e">
        <f>IF(VALUE(F6186) = VALUE(RIGHT(Insights!$C$3, 4)), E6186, "")</f>
        <v>#VALUE!</v>
      </c>
      <c r="H6186" s="26" t="e">
        <f t="shared" si="1"/>
        <v>#VALUE!</v>
      </c>
      <c r="I6186" s="1" t="e">
        <f t="shared" si="2"/>
        <v>#VALUE!</v>
      </c>
    </row>
    <row r="6187" spans="1:9" ht="15.75" customHeight="1">
      <c r="A6187" s="26"/>
      <c r="B6187" s="2"/>
      <c r="C6187" s="26"/>
      <c r="D6187" s="26"/>
      <c r="F6187" s="85" t="str">
        <f t="shared" si="0"/>
        <v/>
      </c>
      <c r="G6187" s="1" t="e">
        <f>IF(VALUE(F6187) = VALUE(RIGHT(Insights!$C$3, 4)), E6187, "")</f>
        <v>#VALUE!</v>
      </c>
      <c r="H6187" s="26" t="e">
        <f t="shared" si="1"/>
        <v>#VALUE!</v>
      </c>
      <c r="I6187" s="1" t="e">
        <f t="shared" si="2"/>
        <v>#VALUE!</v>
      </c>
    </row>
    <row r="6188" spans="1:9" ht="15.75" customHeight="1">
      <c r="A6188" s="26"/>
      <c r="B6188" s="2"/>
      <c r="C6188" s="26"/>
      <c r="D6188" s="26"/>
      <c r="F6188" s="85" t="str">
        <f t="shared" si="0"/>
        <v/>
      </c>
      <c r="G6188" s="1" t="e">
        <f>IF(VALUE(F6188) = VALUE(RIGHT(Insights!$C$3, 4)), E6188, "")</f>
        <v>#VALUE!</v>
      </c>
      <c r="H6188" s="26" t="e">
        <f t="shared" si="1"/>
        <v>#VALUE!</v>
      </c>
      <c r="I6188" s="1" t="e">
        <f t="shared" si="2"/>
        <v>#VALUE!</v>
      </c>
    </row>
    <row r="6189" spans="1:9" ht="15.75" customHeight="1">
      <c r="A6189" s="26"/>
      <c r="B6189" s="2"/>
      <c r="C6189" s="26"/>
      <c r="D6189" s="26"/>
      <c r="F6189" s="85" t="str">
        <f t="shared" si="0"/>
        <v/>
      </c>
      <c r="G6189" s="1" t="e">
        <f>IF(VALUE(F6189) = VALUE(RIGHT(Insights!$C$3, 4)), E6189, "")</f>
        <v>#VALUE!</v>
      </c>
      <c r="H6189" s="26" t="e">
        <f t="shared" si="1"/>
        <v>#VALUE!</v>
      </c>
      <c r="I6189" s="1" t="e">
        <f t="shared" si="2"/>
        <v>#VALUE!</v>
      </c>
    </row>
    <row r="6190" spans="1:9" ht="15.75" customHeight="1">
      <c r="A6190" s="26"/>
      <c r="B6190" s="2"/>
      <c r="C6190" s="26"/>
      <c r="D6190" s="26"/>
      <c r="F6190" s="85" t="str">
        <f t="shared" si="0"/>
        <v/>
      </c>
      <c r="G6190" s="1" t="e">
        <f>IF(VALUE(F6190) = VALUE(RIGHT(Insights!$C$3, 4)), E6190, "")</f>
        <v>#VALUE!</v>
      </c>
      <c r="H6190" s="26" t="e">
        <f t="shared" si="1"/>
        <v>#VALUE!</v>
      </c>
      <c r="I6190" s="1" t="e">
        <f t="shared" si="2"/>
        <v>#VALUE!</v>
      </c>
    </row>
    <row r="6191" spans="1:9" ht="15.75" customHeight="1">
      <c r="A6191" s="26"/>
      <c r="B6191" s="2"/>
      <c r="C6191" s="26"/>
      <c r="D6191" s="26"/>
      <c r="F6191" s="85" t="str">
        <f t="shared" si="0"/>
        <v/>
      </c>
      <c r="G6191" s="1" t="e">
        <f>IF(VALUE(F6191) = VALUE(RIGHT(Insights!$C$3, 4)), E6191, "")</f>
        <v>#VALUE!</v>
      </c>
      <c r="H6191" s="26" t="e">
        <f t="shared" si="1"/>
        <v>#VALUE!</v>
      </c>
      <c r="I6191" s="1" t="e">
        <f t="shared" si="2"/>
        <v>#VALUE!</v>
      </c>
    </row>
    <row r="6192" spans="1:9" ht="15.75" customHeight="1">
      <c r="A6192" s="26"/>
      <c r="B6192" s="2"/>
      <c r="C6192" s="26"/>
      <c r="D6192" s="26"/>
      <c r="F6192" s="85" t="str">
        <f t="shared" si="0"/>
        <v/>
      </c>
      <c r="G6192" s="1" t="e">
        <f>IF(VALUE(F6192) = VALUE(RIGHT(Insights!$C$3, 4)), E6192, "")</f>
        <v>#VALUE!</v>
      </c>
      <c r="H6192" s="26" t="e">
        <f t="shared" si="1"/>
        <v>#VALUE!</v>
      </c>
      <c r="I6192" s="1" t="e">
        <f t="shared" si="2"/>
        <v>#VALUE!</v>
      </c>
    </row>
    <row r="6193" spans="1:9" ht="15.75" customHeight="1">
      <c r="A6193" s="26"/>
      <c r="B6193" s="2"/>
      <c r="C6193" s="26"/>
      <c r="D6193" s="26"/>
      <c r="F6193" s="85" t="str">
        <f t="shared" si="0"/>
        <v/>
      </c>
      <c r="G6193" s="1" t="e">
        <f>IF(VALUE(F6193) = VALUE(RIGHT(Insights!$C$3, 4)), E6193, "")</f>
        <v>#VALUE!</v>
      </c>
      <c r="H6193" s="26" t="e">
        <f t="shared" si="1"/>
        <v>#VALUE!</v>
      </c>
      <c r="I6193" s="1" t="e">
        <f t="shared" si="2"/>
        <v>#VALUE!</v>
      </c>
    </row>
    <row r="6194" spans="1:9" ht="15.75" customHeight="1">
      <c r="A6194" s="26"/>
      <c r="B6194" s="2"/>
      <c r="C6194" s="26"/>
      <c r="D6194" s="26"/>
      <c r="F6194" s="85" t="str">
        <f t="shared" si="0"/>
        <v/>
      </c>
      <c r="G6194" s="1" t="e">
        <f>IF(VALUE(F6194) = VALUE(RIGHT(Insights!$C$3, 4)), E6194, "")</f>
        <v>#VALUE!</v>
      </c>
      <c r="H6194" s="26" t="e">
        <f t="shared" si="1"/>
        <v>#VALUE!</v>
      </c>
      <c r="I6194" s="1" t="e">
        <f t="shared" si="2"/>
        <v>#VALUE!</v>
      </c>
    </row>
    <row r="6195" spans="1:9" ht="15.75" customHeight="1">
      <c r="A6195" s="26"/>
      <c r="B6195" s="2"/>
      <c r="C6195" s="26"/>
      <c r="D6195" s="26"/>
      <c r="F6195" s="85" t="str">
        <f t="shared" si="0"/>
        <v/>
      </c>
      <c r="G6195" s="1" t="e">
        <f>IF(VALUE(F6195) = VALUE(RIGHT(Insights!$C$3, 4)), E6195, "")</f>
        <v>#VALUE!</v>
      </c>
      <c r="H6195" s="26" t="e">
        <f t="shared" si="1"/>
        <v>#VALUE!</v>
      </c>
      <c r="I6195" s="1" t="e">
        <f t="shared" si="2"/>
        <v>#VALUE!</v>
      </c>
    </row>
    <row r="6196" spans="1:9" ht="15.75" customHeight="1">
      <c r="A6196" s="26"/>
      <c r="B6196" s="2"/>
      <c r="C6196" s="26"/>
      <c r="D6196" s="26"/>
      <c r="F6196" s="85" t="str">
        <f t="shared" si="0"/>
        <v/>
      </c>
      <c r="G6196" s="1" t="e">
        <f>IF(VALUE(F6196) = VALUE(RIGHT(Insights!$C$3, 4)), E6196, "")</f>
        <v>#VALUE!</v>
      </c>
      <c r="H6196" s="26" t="e">
        <f t="shared" si="1"/>
        <v>#VALUE!</v>
      </c>
      <c r="I6196" s="1" t="e">
        <f t="shared" si="2"/>
        <v>#VALUE!</v>
      </c>
    </row>
    <row r="6197" spans="1:9" ht="15.75" customHeight="1">
      <c r="A6197" s="26"/>
      <c r="B6197" s="2"/>
      <c r="C6197" s="26"/>
      <c r="D6197" s="26"/>
      <c r="F6197" s="85" t="str">
        <f t="shared" si="0"/>
        <v/>
      </c>
      <c r="G6197" s="1" t="e">
        <f>IF(VALUE(F6197) = VALUE(RIGHT(Insights!$C$3, 4)), E6197, "")</f>
        <v>#VALUE!</v>
      </c>
      <c r="H6197" s="26" t="e">
        <f t="shared" si="1"/>
        <v>#VALUE!</v>
      </c>
      <c r="I6197" s="1" t="e">
        <f t="shared" si="2"/>
        <v>#VALUE!</v>
      </c>
    </row>
    <row r="6198" spans="1:9" ht="15.75" customHeight="1">
      <c r="A6198" s="26"/>
      <c r="B6198" s="2"/>
      <c r="C6198" s="26"/>
      <c r="D6198" s="26"/>
      <c r="F6198" s="85" t="str">
        <f t="shared" si="0"/>
        <v/>
      </c>
      <c r="G6198" s="1" t="e">
        <f>IF(VALUE(F6198) = VALUE(RIGHT(Insights!$C$3, 4)), E6198, "")</f>
        <v>#VALUE!</v>
      </c>
      <c r="H6198" s="26" t="e">
        <f t="shared" si="1"/>
        <v>#VALUE!</v>
      </c>
      <c r="I6198" s="1" t="e">
        <f t="shared" si="2"/>
        <v>#VALUE!</v>
      </c>
    </row>
    <row r="6199" spans="1:9" ht="15.75" customHeight="1">
      <c r="A6199" s="26"/>
      <c r="B6199" s="2"/>
      <c r="C6199" s="26"/>
      <c r="D6199" s="26"/>
      <c r="F6199" s="85" t="str">
        <f t="shared" si="0"/>
        <v/>
      </c>
      <c r="G6199" s="1" t="e">
        <f>IF(VALUE(F6199) = VALUE(RIGHT(Insights!$C$3, 4)), E6199, "")</f>
        <v>#VALUE!</v>
      </c>
      <c r="H6199" s="26" t="e">
        <f t="shared" si="1"/>
        <v>#VALUE!</v>
      </c>
      <c r="I6199" s="1" t="e">
        <f t="shared" si="2"/>
        <v>#VALUE!</v>
      </c>
    </row>
    <row r="6200" spans="1:9" ht="15.75" customHeight="1">
      <c r="A6200" s="26"/>
      <c r="B6200" s="2"/>
      <c r="C6200" s="26"/>
      <c r="D6200" s="26"/>
      <c r="F6200" s="85" t="str">
        <f t="shared" si="0"/>
        <v/>
      </c>
      <c r="G6200" s="1" t="e">
        <f>IF(VALUE(F6200) = VALUE(RIGHT(Insights!$C$3, 4)), E6200, "")</f>
        <v>#VALUE!</v>
      </c>
      <c r="H6200" s="26" t="e">
        <f t="shared" si="1"/>
        <v>#VALUE!</v>
      </c>
      <c r="I6200" s="1" t="e">
        <f t="shared" si="2"/>
        <v>#VALUE!</v>
      </c>
    </row>
    <row r="6201" spans="1:9" ht="15.75" customHeight="1">
      <c r="A6201" s="26"/>
      <c r="B6201" s="2"/>
      <c r="C6201" s="26"/>
      <c r="D6201" s="26"/>
      <c r="F6201" s="85" t="str">
        <f t="shared" si="0"/>
        <v/>
      </c>
      <c r="G6201" s="1" t="e">
        <f>IF(VALUE(F6201) = VALUE(RIGHT(Insights!$C$3, 4)), E6201, "")</f>
        <v>#VALUE!</v>
      </c>
      <c r="H6201" s="26" t="e">
        <f t="shared" si="1"/>
        <v>#VALUE!</v>
      </c>
      <c r="I6201" s="1" t="e">
        <f t="shared" si="2"/>
        <v>#VALUE!</v>
      </c>
    </row>
    <row r="6202" spans="1:9" ht="15.75" customHeight="1">
      <c r="A6202" s="26"/>
      <c r="B6202" s="2"/>
      <c r="C6202" s="26"/>
      <c r="D6202" s="26"/>
      <c r="F6202" s="85" t="str">
        <f t="shared" si="0"/>
        <v/>
      </c>
      <c r="G6202" s="1" t="e">
        <f>IF(VALUE(F6202) = VALUE(RIGHT(Insights!$C$3, 4)), E6202, "")</f>
        <v>#VALUE!</v>
      </c>
      <c r="H6202" s="26" t="e">
        <f t="shared" si="1"/>
        <v>#VALUE!</v>
      </c>
      <c r="I6202" s="1" t="e">
        <f t="shared" si="2"/>
        <v>#VALUE!</v>
      </c>
    </row>
    <row r="6203" spans="1:9" ht="15.75" customHeight="1">
      <c r="A6203" s="26"/>
      <c r="B6203" s="2"/>
      <c r="C6203" s="26"/>
      <c r="D6203" s="26"/>
      <c r="F6203" s="85" t="str">
        <f t="shared" si="0"/>
        <v/>
      </c>
      <c r="G6203" s="1" t="e">
        <f>IF(VALUE(F6203) = VALUE(RIGHT(Insights!$C$3, 4)), E6203, "")</f>
        <v>#VALUE!</v>
      </c>
      <c r="H6203" s="26" t="e">
        <f t="shared" si="1"/>
        <v>#VALUE!</v>
      </c>
      <c r="I6203" s="1" t="e">
        <f t="shared" si="2"/>
        <v>#VALUE!</v>
      </c>
    </row>
    <row r="6204" spans="1:9" ht="15.75" customHeight="1">
      <c r="A6204" s="26"/>
      <c r="B6204" s="2"/>
      <c r="C6204" s="26"/>
      <c r="D6204" s="26"/>
      <c r="F6204" s="85" t="str">
        <f t="shared" si="0"/>
        <v/>
      </c>
      <c r="G6204" s="1" t="e">
        <f>IF(VALUE(F6204) = VALUE(RIGHT(Insights!$C$3, 4)), E6204, "")</f>
        <v>#VALUE!</v>
      </c>
      <c r="H6204" s="26" t="e">
        <f t="shared" si="1"/>
        <v>#VALUE!</v>
      </c>
      <c r="I6204" s="1" t="e">
        <f t="shared" si="2"/>
        <v>#VALUE!</v>
      </c>
    </row>
    <row r="6205" spans="1:9" ht="15.75" customHeight="1">
      <c r="A6205" s="26"/>
      <c r="B6205" s="2"/>
      <c r="C6205" s="26"/>
      <c r="D6205" s="26"/>
      <c r="F6205" s="85" t="str">
        <f t="shared" si="0"/>
        <v/>
      </c>
      <c r="G6205" s="1" t="e">
        <f>IF(VALUE(F6205) = VALUE(RIGHT(Insights!$C$3, 4)), E6205, "")</f>
        <v>#VALUE!</v>
      </c>
      <c r="H6205" s="26" t="e">
        <f t="shared" si="1"/>
        <v>#VALUE!</v>
      </c>
      <c r="I6205" s="1" t="e">
        <f t="shared" si="2"/>
        <v>#VALUE!</v>
      </c>
    </row>
    <row r="6206" spans="1:9" ht="15.75" customHeight="1">
      <c r="A6206" s="26"/>
      <c r="B6206" s="2"/>
      <c r="C6206" s="26"/>
      <c r="D6206" s="26"/>
      <c r="F6206" s="85" t="str">
        <f t="shared" si="0"/>
        <v/>
      </c>
      <c r="G6206" s="1" t="e">
        <f>IF(VALUE(F6206) = VALUE(RIGHT(Insights!$C$3, 4)), E6206, "")</f>
        <v>#VALUE!</v>
      </c>
      <c r="H6206" s="26" t="e">
        <f t="shared" si="1"/>
        <v>#VALUE!</v>
      </c>
      <c r="I6206" s="1" t="e">
        <f t="shared" si="2"/>
        <v>#VALUE!</v>
      </c>
    </row>
    <row r="6207" spans="1:9" ht="15.75" customHeight="1">
      <c r="A6207" s="26"/>
      <c r="B6207" s="2"/>
      <c r="C6207" s="26"/>
      <c r="D6207" s="26"/>
      <c r="F6207" s="85" t="str">
        <f t="shared" si="0"/>
        <v/>
      </c>
      <c r="G6207" s="1" t="e">
        <f>IF(VALUE(F6207) = VALUE(RIGHT(Insights!$C$3, 4)), E6207, "")</f>
        <v>#VALUE!</v>
      </c>
      <c r="H6207" s="26" t="e">
        <f t="shared" si="1"/>
        <v>#VALUE!</v>
      </c>
      <c r="I6207" s="1" t="e">
        <f t="shared" si="2"/>
        <v>#VALUE!</v>
      </c>
    </row>
    <row r="6208" spans="1:9" ht="15.75" customHeight="1">
      <c r="A6208" s="26"/>
      <c r="B6208" s="2"/>
      <c r="C6208" s="26"/>
      <c r="D6208" s="26"/>
      <c r="F6208" s="85" t="str">
        <f t="shared" si="0"/>
        <v/>
      </c>
      <c r="G6208" s="1" t="e">
        <f>IF(VALUE(F6208) = VALUE(RIGHT(Insights!$C$3, 4)), E6208, "")</f>
        <v>#VALUE!</v>
      </c>
      <c r="H6208" s="26" t="e">
        <f t="shared" si="1"/>
        <v>#VALUE!</v>
      </c>
      <c r="I6208" s="1" t="e">
        <f t="shared" si="2"/>
        <v>#VALUE!</v>
      </c>
    </row>
    <row r="6209" spans="1:9" ht="15.75" customHeight="1">
      <c r="A6209" s="26"/>
      <c r="B6209" s="2"/>
      <c r="C6209" s="26"/>
      <c r="D6209" s="26"/>
      <c r="F6209" s="85" t="str">
        <f t="shared" si="0"/>
        <v/>
      </c>
      <c r="G6209" s="1" t="e">
        <f>IF(VALUE(F6209) = VALUE(RIGHT(Insights!$C$3, 4)), E6209, "")</f>
        <v>#VALUE!</v>
      </c>
      <c r="H6209" s="26" t="e">
        <f t="shared" si="1"/>
        <v>#VALUE!</v>
      </c>
      <c r="I6209" s="1" t="e">
        <f t="shared" si="2"/>
        <v>#VALUE!</v>
      </c>
    </row>
    <row r="6210" spans="1:9" ht="15.75" customHeight="1">
      <c r="A6210" s="26"/>
      <c r="B6210" s="2"/>
      <c r="C6210" s="26"/>
      <c r="D6210" s="26"/>
      <c r="F6210" s="85" t="str">
        <f t="shared" si="0"/>
        <v/>
      </c>
      <c r="G6210" s="1" t="e">
        <f>IF(VALUE(F6210) = VALUE(RIGHT(Insights!$C$3, 4)), E6210, "")</f>
        <v>#VALUE!</v>
      </c>
      <c r="H6210" s="26" t="e">
        <f t="shared" si="1"/>
        <v>#VALUE!</v>
      </c>
      <c r="I6210" s="1" t="e">
        <f t="shared" si="2"/>
        <v>#VALUE!</v>
      </c>
    </row>
    <row r="6211" spans="1:9" ht="15.75" customHeight="1">
      <c r="A6211" s="26"/>
      <c r="B6211" s="2"/>
      <c r="C6211" s="26"/>
      <c r="D6211" s="26"/>
      <c r="F6211" s="85" t="str">
        <f t="shared" si="0"/>
        <v/>
      </c>
      <c r="G6211" s="1" t="e">
        <f>IF(VALUE(F6211) = VALUE(RIGHT(Insights!$C$3, 4)), E6211, "")</f>
        <v>#VALUE!</v>
      </c>
      <c r="H6211" s="26" t="e">
        <f t="shared" si="1"/>
        <v>#VALUE!</v>
      </c>
      <c r="I6211" s="1" t="e">
        <f t="shared" si="2"/>
        <v>#VALUE!</v>
      </c>
    </row>
    <row r="6212" spans="1:9" ht="15.75" customHeight="1">
      <c r="A6212" s="26"/>
      <c r="B6212" s="2"/>
      <c r="C6212" s="26"/>
      <c r="D6212" s="26"/>
      <c r="F6212" s="85" t="str">
        <f t="shared" si="0"/>
        <v/>
      </c>
      <c r="G6212" s="1" t="e">
        <f>IF(VALUE(F6212) = VALUE(RIGHT(Insights!$C$3, 4)), E6212, "")</f>
        <v>#VALUE!</v>
      </c>
      <c r="H6212" s="26" t="e">
        <f t="shared" si="1"/>
        <v>#VALUE!</v>
      </c>
      <c r="I6212" s="1" t="e">
        <f t="shared" si="2"/>
        <v>#VALUE!</v>
      </c>
    </row>
    <row r="6213" spans="1:9" ht="15.75" customHeight="1">
      <c r="A6213" s="26"/>
      <c r="B6213" s="2"/>
      <c r="C6213" s="26"/>
      <c r="D6213" s="26"/>
      <c r="F6213" s="85" t="str">
        <f t="shared" si="0"/>
        <v/>
      </c>
      <c r="G6213" s="1" t="e">
        <f>IF(VALUE(F6213) = VALUE(RIGHT(Insights!$C$3, 4)), E6213, "")</f>
        <v>#VALUE!</v>
      </c>
      <c r="H6213" s="26" t="e">
        <f t="shared" si="1"/>
        <v>#VALUE!</v>
      </c>
      <c r="I6213" s="1" t="e">
        <f t="shared" si="2"/>
        <v>#VALUE!</v>
      </c>
    </row>
    <row r="6214" spans="1:9" ht="15.75" customHeight="1">
      <c r="A6214" s="26"/>
      <c r="B6214" s="2"/>
      <c r="C6214" s="26"/>
      <c r="D6214" s="26"/>
      <c r="F6214" s="85" t="str">
        <f t="shared" si="0"/>
        <v/>
      </c>
      <c r="G6214" s="1" t="e">
        <f>IF(VALUE(F6214) = VALUE(RIGHT(Insights!$C$3, 4)), E6214, "")</f>
        <v>#VALUE!</v>
      </c>
      <c r="H6214" s="26" t="e">
        <f t="shared" si="1"/>
        <v>#VALUE!</v>
      </c>
      <c r="I6214" s="1" t="e">
        <f t="shared" si="2"/>
        <v>#VALUE!</v>
      </c>
    </row>
    <row r="6215" spans="1:9" ht="15.75" customHeight="1">
      <c r="A6215" s="26"/>
      <c r="B6215" s="2"/>
      <c r="C6215" s="26"/>
      <c r="D6215" s="26"/>
      <c r="F6215" s="85" t="str">
        <f t="shared" si="0"/>
        <v/>
      </c>
      <c r="G6215" s="1" t="e">
        <f>IF(VALUE(F6215) = VALUE(RIGHT(Insights!$C$3, 4)), E6215, "")</f>
        <v>#VALUE!</v>
      </c>
      <c r="H6215" s="26" t="e">
        <f t="shared" si="1"/>
        <v>#VALUE!</v>
      </c>
      <c r="I6215" s="1" t="e">
        <f t="shared" si="2"/>
        <v>#VALUE!</v>
      </c>
    </row>
    <row r="6216" spans="1:9" ht="15.75" customHeight="1">
      <c r="A6216" s="26"/>
      <c r="B6216" s="2"/>
      <c r="C6216" s="26"/>
      <c r="D6216" s="26"/>
      <c r="F6216" s="85" t="str">
        <f t="shared" si="0"/>
        <v/>
      </c>
      <c r="G6216" s="1" t="e">
        <f>IF(VALUE(F6216) = VALUE(RIGHT(Insights!$C$3, 4)), E6216, "")</f>
        <v>#VALUE!</v>
      </c>
      <c r="H6216" s="26" t="e">
        <f t="shared" si="1"/>
        <v>#VALUE!</v>
      </c>
      <c r="I6216" s="1" t="e">
        <f t="shared" si="2"/>
        <v>#VALUE!</v>
      </c>
    </row>
    <row r="6217" spans="1:9" ht="15.75" customHeight="1">
      <c r="A6217" s="26"/>
      <c r="B6217" s="2"/>
      <c r="C6217" s="26"/>
      <c r="D6217" s="26"/>
      <c r="F6217" s="85" t="str">
        <f t="shared" si="0"/>
        <v/>
      </c>
      <c r="G6217" s="1" t="e">
        <f>IF(VALUE(F6217) = VALUE(RIGHT(Insights!$C$3, 4)), E6217, "")</f>
        <v>#VALUE!</v>
      </c>
      <c r="H6217" s="26" t="e">
        <f t="shared" si="1"/>
        <v>#VALUE!</v>
      </c>
      <c r="I6217" s="1" t="e">
        <f t="shared" si="2"/>
        <v>#VALUE!</v>
      </c>
    </row>
    <row r="6218" spans="1:9" ht="15.75" customHeight="1">
      <c r="A6218" s="26"/>
      <c r="B6218" s="2"/>
      <c r="C6218" s="26"/>
      <c r="D6218" s="26"/>
      <c r="F6218" s="85" t="str">
        <f t="shared" si="0"/>
        <v/>
      </c>
      <c r="G6218" s="1" t="e">
        <f>IF(VALUE(F6218) = VALUE(RIGHT(Insights!$C$3, 4)), E6218, "")</f>
        <v>#VALUE!</v>
      </c>
      <c r="H6218" s="26" t="e">
        <f t="shared" si="1"/>
        <v>#VALUE!</v>
      </c>
      <c r="I6218" s="1" t="e">
        <f t="shared" si="2"/>
        <v>#VALUE!</v>
      </c>
    </row>
    <row r="6219" spans="1:9" ht="15.75" customHeight="1">
      <c r="A6219" s="26"/>
      <c r="B6219" s="2"/>
      <c r="C6219" s="26"/>
      <c r="D6219" s="26"/>
      <c r="F6219" s="85" t="str">
        <f t="shared" si="0"/>
        <v/>
      </c>
      <c r="G6219" s="1" t="e">
        <f>IF(VALUE(F6219) = VALUE(RIGHT(Insights!$C$3, 4)), E6219, "")</f>
        <v>#VALUE!</v>
      </c>
      <c r="H6219" s="26" t="e">
        <f t="shared" si="1"/>
        <v>#VALUE!</v>
      </c>
      <c r="I6219" s="1" t="e">
        <f t="shared" si="2"/>
        <v>#VALUE!</v>
      </c>
    </row>
    <row r="6220" spans="1:9" ht="15.75" customHeight="1">
      <c r="A6220" s="26"/>
      <c r="B6220" s="2"/>
      <c r="C6220" s="26"/>
      <c r="D6220" s="26"/>
      <c r="F6220" s="85" t="str">
        <f t="shared" si="0"/>
        <v/>
      </c>
      <c r="G6220" s="1" t="e">
        <f>IF(VALUE(F6220) = VALUE(RIGHT(Insights!$C$3, 4)), E6220, "")</f>
        <v>#VALUE!</v>
      </c>
      <c r="H6220" s="26" t="e">
        <f t="shared" si="1"/>
        <v>#VALUE!</v>
      </c>
      <c r="I6220" s="1" t="e">
        <f t="shared" si="2"/>
        <v>#VALUE!</v>
      </c>
    </row>
    <row r="6221" spans="1:9" ht="15.75" customHeight="1">
      <c r="A6221" s="26"/>
      <c r="B6221" s="2"/>
      <c r="C6221" s="26"/>
      <c r="D6221" s="26"/>
      <c r="F6221" s="85" t="str">
        <f t="shared" si="0"/>
        <v/>
      </c>
      <c r="G6221" s="1" t="e">
        <f>IF(VALUE(F6221) = VALUE(RIGHT(Insights!$C$3, 4)), E6221, "")</f>
        <v>#VALUE!</v>
      </c>
      <c r="H6221" s="26" t="e">
        <f t="shared" si="1"/>
        <v>#VALUE!</v>
      </c>
      <c r="I6221" s="1" t="e">
        <f t="shared" si="2"/>
        <v>#VALUE!</v>
      </c>
    </row>
    <row r="6222" spans="1:9" ht="15.75" customHeight="1">
      <c r="A6222" s="26"/>
      <c r="B6222" s="2"/>
      <c r="C6222" s="26"/>
      <c r="D6222" s="26"/>
      <c r="F6222" s="85" t="str">
        <f t="shared" si="0"/>
        <v/>
      </c>
      <c r="G6222" s="1" t="e">
        <f>IF(VALUE(F6222) = VALUE(RIGHT(Insights!$C$3, 4)), E6222, "")</f>
        <v>#VALUE!</v>
      </c>
      <c r="H6222" s="26" t="e">
        <f t="shared" si="1"/>
        <v>#VALUE!</v>
      </c>
      <c r="I6222" s="1" t="e">
        <f t="shared" si="2"/>
        <v>#VALUE!</v>
      </c>
    </row>
    <row r="6223" spans="1:9" ht="15.75" customHeight="1">
      <c r="A6223" s="26"/>
      <c r="B6223" s="2"/>
      <c r="C6223" s="26"/>
      <c r="D6223" s="26"/>
      <c r="F6223" s="85" t="str">
        <f t="shared" si="0"/>
        <v/>
      </c>
      <c r="G6223" s="1" t="e">
        <f>IF(VALUE(F6223) = VALUE(RIGHT(Insights!$C$3, 4)), E6223, "")</f>
        <v>#VALUE!</v>
      </c>
      <c r="H6223" s="26" t="e">
        <f t="shared" si="1"/>
        <v>#VALUE!</v>
      </c>
      <c r="I6223" s="1" t="e">
        <f t="shared" si="2"/>
        <v>#VALUE!</v>
      </c>
    </row>
    <row r="6224" spans="1:9" ht="15.75" customHeight="1">
      <c r="A6224" s="26"/>
      <c r="B6224" s="2"/>
      <c r="C6224" s="26"/>
      <c r="D6224" s="26"/>
      <c r="F6224" s="85" t="str">
        <f t="shared" si="0"/>
        <v/>
      </c>
      <c r="G6224" s="1" t="e">
        <f>IF(VALUE(F6224) = VALUE(RIGHT(Insights!$C$3, 4)), E6224, "")</f>
        <v>#VALUE!</v>
      </c>
      <c r="H6224" s="26" t="e">
        <f t="shared" si="1"/>
        <v>#VALUE!</v>
      </c>
      <c r="I6224" s="1" t="e">
        <f t="shared" si="2"/>
        <v>#VALUE!</v>
      </c>
    </row>
    <row r="6225" spans="1:9" ht="15.75" customHeight="1">
      <c r="A6225" s="26"/>
      <c r="B6225" s="2"/>
      <c r="C6225" s="26"/>
      <c r="D6225" s="26"/>
      <c r="F6225" s="85" t="str">
        <f t="shared" si="0"/>
        <v/>
      </c>
      <c r="G6225" s="1" t="e">
        <f>IF(VALUE(F6225) = VALUE(RIGHT(Insights!$C$3, 4)), E6225, "")</f>
        <v>#VALUE!</v>
      </c>
      <c r="H6225" s="26" t="e">
        <f t="shared" si="1"/>
        <v>#VALUE!</v>
      </c>
      <c r="I6225" s="1" t="e">
        <f t="shared" si="2"/>
        <v>#VALUE!</v>
      </c>
    </row>
    <row r="6226" spans="1:9" ht="15.75" customHeight="1">
      <c r="A6226" s="26"/>
      <c r="B6226" s="2"/>
      <c r="C6226" s="26"/>
      <c r="D6226" s="26"/>
      <c r="F6226" s="85" t="str">
        <f t="shared" si="0"/>
        <v/>
      </c>
      <c r="G6226" s="1" t="e">
        <f>IF(VALUE(F6226) = VALUE(RIGHT(Insights!$C$3, 4)), E6226, "")</f>
        <v>#VALUE!</v>
      </c>
      <c r="H6226" s="26" t="e">
        <f t="shared" si="1"/>
        <v>#VALUE!</v>
      </c>
      <c r="I6226" s="1" t="e">
        <f t="shared" si="2"/>
        <v>#VALUE!</v>
      </c>
    </row>
    <row r="6227" spans="1:9" ht="15.75" customHeight="1">
      <c r="A6227" s="26"/>
      <c r="B6227" s="2"/>
      <c r="C6227" s="26"/>
      <c r="D6227" s="26"/>
      <c r="F6227" s="85" t="str">
        <f t="shared" si="0"/>
        <v/>
      </c>
      <c r="G6227" s="1" t="e">
        <f>IF(VALUE(F6227) = VALUE(RIGHT(Insights!$C$3, 4)), E6227, "")</f>
        <v>#VALUE!</v>
      </c>
      <c r="H6227" s="26" t="e">
        <f t="shared" si="1"/>
        <v>#VALUE!</v>
      </c>
      <c r="I6227" s="1" t="e">
        <f t="shared" si="2"/>
        <v>#VALUE!</v>
      </c>
    </row>
    <row r="6228" spans="1:9" ht="15.75" customHeight="1">
      <c r="A6228" s="26"/>
      <c r="B6228" s="2"/>
      <c r="C6228" s="26"/>
      <c r="D6228" s="26"/>
      <c r="F6228" s="85" t="str">
        <f t="shared" si="0"/>
        <v/>
      </c>
      <c r="G6228" s="1" t="e">
        <f>IF(VALUE(F6228) = VALUE(RIGHT(Insights!$C$3, 4)), E6228, "")</f>
        <v>#VALUE!</v>
      </c>
      <c r="H6228" s="26" t="e">
        <f t="shared" si="1"/>
        <v>#VALUE!</v>
      </c>
      <c r="I6228" s="1" t="e">
        <f t="shared" si="2"/>
        <v>#VALUE!</v>
      </c>
    </row>
    <row r="6229" spans="1:9" ht="15.75" customHeight="1">
      <c r="A6229" s="26"/>
      <c r="B6229" s="2"/>
      <c r="C6229" s="26"/>
      <c r="D6229" s="26"/>
      <c r="F6229" s="85" t="str">
        <f t="shared" si="0"/>
        <v/>
      </c>
      <c r="G6229" s="1" t="e">
        <f>IF(VALUE(F6229) = VALUE(RIGHT(Insights!$C$3, 4)), E6229, "")</f>
        <v>#VALUE!</v>
      </c>
      <c r="H6229" s="26" t="e">
        <f t="shared" si="1"/>
        <v>#VALUE!</v>
      </c>
      <c r="I6229" s="1" t="e">
        <f t="shared" si="2"/>
        <v>#VALUE!</v>
      </c>
    </row>
    <row r="6230" spans="1:9" ht="15.75" customHeight="1">
      <c r="A6230" s="26"/>
      <c r="B6230" s="2"/>
      <c r="C6230" s="26"/>
      <c r="D6230" s="26"/>
      <c r="F6230" s="85" t="str">
        <f t="shared" si="0"/>
        <v/>
      </c>
      <c r="G6230" s="1" t="e">
        <f>IF(VALUE(F6230) = VALUE(RIGHT(Insights!$C$3, 4)), E6230, "")</f>
        <v>#VALUE!</v>
      </c>
      <c r="H6230" s="26" t="e">
        <f t="shared" si="1"/>
        <v>#VALUE!</v>
      </c>
      <c r="I6230" s="1" t="e">
        <f t="shared" si="2"/>
        <v>#VALUE!</v>
      </c>
    </row>
    <row r="6231" spans="1:9" ht="15.75" customHeight="1">
      <c r="A6231" s="26"/>
      <c r="B6231" s="2"/>
      <c r="C6231" s="26"/>
      <c r="D6231" s="26"/>
      <c r="F6231" s="85" t="str">
        <f t="shared" si="0"/>
        <v/>
      </c>
      <c r="G6231" s="1" t="e">
        <f>IF(VALUE(F6231) = VALUE(RIGHT(Insights!$C$3, 4)), E6231, "")</f>
        <v>#VALUE!</v>
      </c>
      <c r="H6231" s="26" t="e">
        <f t="shared" si="1"/>
        <v>#VALUE!</v>
      </c>
      <c r="I6231" s="1" t="e">
        <f t="shared" si="2"/>
        <v>#VALUE!</v>
      </c>
    </row>
    <row r="6232" spans="1:9" ht="15.75" customHeight="1">
      <c r="A6232" s="26"/>
      <c r="B6232" s="2"/>
      <c r="C6232" s="26"/>
      <c r="D6232" s="26"/>
      <c r="F6232" s="85" t="str">
        <f t="shared" si="0"/>
        <v/>
      </c>
      <c r="G6232" s="1" t="e">
        <f>IF(VALUE(F6232) = VALUE(RIGHT(Insights!$C$3, 4)), E6232, "")</f>
        <v>#VALUE!</v>
      </c>
      <c r="H6232" s="26" t="e">
        <f t="shared" si="1"/>
        <v>#VALUE!</v>
      </c>
      <c r="I6232" s="1" t="e">
        <f t="shared" si="2"/>
        <v>#VALUE!</v>
      </c>
    </row>
    <row r="6233" spans="1:9" ht="15.75" customHeight="1">
      <c r="A6233" s="26"/>
      <c r="B6233" s="2"/>
      <c r="C6233" s="26"/>
      <c r="D6233" s="26"/>
      <c r="F6233" s="85" t="str">
        <f t="shared" si="0"/>
        <v/>
      </c>
      <c r="G6233" s="1" t="e">
        <f>IF(VALUE(F6233) = VALUE(RIGHT(Insights!$C$3, 4)), E6233, "")</f>
        <v>#VALUE!</v>
      </c>
      <c r="H6233" s="26" t="e">
        <f t="shared" si="1"/>
        <v>#VALUE!</v>
      </c>
      <c r="I6233" s="1" t="e">
        <f t="shared" si="2"/>
        <v>#VALUE!</v>
      </c>
    </row>
    <row r="6234" spans="1:9" ht="15.75" customHeight="1">
      <c r="A6234" s="26"/>
      <c r="B6234" s="2"/>
      <c r="C6234" s="26"/>
      <c r="D6234" s="26"/>
      <c r="F6234" s="85" t="str">
        <f t="shared" si="0"/>
        <v/>
      </c>
      <c r="G6234" s="1" t="e">
        <f>IF(VALUE(F6234) = VALUE(RIGHT(Insights!$C$3, 4)), E6234, "")</f>
        <v>#VALUE!</v>
      </c>
      <c r="H6234" s="26" t="e">
        <f t="shared" si="1"/>
        <v>#VALUE!</v>
      </c>
      <c r="I6234" s="1" t="e">
        <f t="shared" si="2"/>
        <v>#VALUE!</v>
      </c>
    </row>
    <row r="6235" spans="1:9" ht="15.75" customHeight="1">
      <c r="A6235" s="26"/>
      <c r="B6235" s="2"/>
      <c r="C6235" s="26"/>
      <c r="D6235" s="26"/>
      <c r="F6235" s="85" t="str">
        <f t="shared" si="0"/>
        <v/>
      </c>
      <c r="G6235" s="1" t="e">
        <f>IF(VALUE(F6235) = VALUE(RIGHT(Insights!$C$3, 4)), E6235, "")</f>
        <v>#VALUE!</v>
      </c>
      <c r="H6235" s="26" t="e">
        <f t="shared" si="1"/>
        <v>#VALUE!</v>
      </c>
      <c r="I6235" s="1" t="e">
        <f t="shared" si="2"/>
        <v>#VALUE!</v>
      </c>
    </row>
    <row r="6236" spans="1:9" ht="15.75" customHeight="1">
      <c r="A6236" s="26"/>
      <c r="B6236" s="2"/>
      <c r="C6236" s="26"/>
      <c r="D6236" s="26"/>
      <c r="F6236" s="85" t="str">
        <f t="shared" si="0"/>
        <v/>
      </c>
      <c r="G6236" s="1" t="e">
        <f>IF(VALUE(F6236) = VALUE(RIGHT(Insights!$C$3, 4)), E6236, "")</f>
        <v>#VALUE!</v>
      </c>
      <c r="H6236" s="26" t="e">
        <f t="shared" si="1"/>
        <v>#VALUE!</v>
      </c>
      <c r="I6236" s="1" t="e">
        <f t="shared" si="2"/>
        <v>#VALUE!</v>
      </c>
    </row>
    <row r="6237" spans="1:9" ht="15.75" customHeight="1">
      <c r="A6237" s="26"/>
      <c r="B6237" s="2"/>
      <c r="C6237" s="26"/>
      <c r="D6237" s="26"/>
      <c r="F6237" s="85" t="str">
        <f t="shared" si="0"/>
        <v/>
      </c>
      <c r="G6237" s="1" t="e">
        <f>IF(VALUE(F6237) = VALUE(RIGHT(Insights!$C$3, 4)), E6237, "")</f>
        <v>#VALUE!</v>
      </c>
      <c r="H6237" s="26" t="e">
        <f t="shared" si="1"/>
        <v>#VALUE!</v>
      </c>
      <c r="I6237" s="1" t="e">
        <f t="shared" si="2"/>
        <v>#VALUE!</v>
      </c>
    </row>
    <row r="6238" spans="1:9" ht="15.75" customHeight="1">
      <c r="A6238" s="26"/>
      <c r="B6238" s="2"/>
      <c r="C6238" s="26"/>
      <c r="D6238" s="26"/>
      <c r="F6238" s="85" t="str">
        <f t="shared" si="0"/>
        <v/>
      </c>
      <c r="G6238" s="1" t="e">
        <f>IF(VALUE(F6238) = VALUE(RIGHT(Insights!$C$3, 4)), E6238, "")</f>
        <v>#VALUE!</v>
      </c>
      <c r="H6238" s="26" t="e">
        <f t="shared" si="1"/>
        <v>#VALUE!</v>
      </c>
      <c r="I6238" s="1" t="e">
        <f t="shared" si="2"/>
        <v>#VALUE!</v>
      </c>
    </row>
    <row r="6239" spans="1:9" ht="15.75" customHeight="1">
      <c r="A6239" s="26"/>
      <c r="B6239" s="2"/>
      <c r="C6239" s="26"/>
      <c r="D6239" s="26"/>
      <c r="F6239" s="85" t="str">
        <f t="shared" si="0"/>
        <v/>
      </c>
      <c r="G6239" s="1" t="e">
        <f>IF(VALUE(F6239) = VALUE(RIGHT(Insights!$C$3, 4)), E6239, "")</f>
        <v>#VALUE!</v>
      </c>
      <c r="H6239" s="26" t="e">
        <f t="shared" si="1"/>
        <v>#VALUE!</v>
      </c>
      <c r="I6239" s="1" t="e">
        <f t="shared" si="2"/>
        <v>#VALUE!</v>
      </c>
    </row>
    <row r="6240" spans="1:9" ht="15.75" customHeight="1">
      <c r="A6240" s="26"/>
      <c r="B6240" s="2"/>
      <c r="C6240" s="26"/>
      <c r="D6240" s="26"/>
      <c r="F6240" s="85" t="str">
        <f t="shared" si="0"/>
        <v/>
      </c>
      <c r="G6240" s="1" t="e">
        <f>IF(VALUE(F6240) = VALUE(RIGHT(Insights!$C$3, 4)), E6240, "")</f>
        <v>#VALUE!</v>
      </c>
      <c r="H6240" s="26" t="e">
        <f t="shared" si="1"/>
        <v>#VALUE!</v>
      </c>
      <c r="I6240" s="1" t="e">
        <f t="shared" si="2"/>
        <v>#VALUE!</v>
      </c>
    </row>
    <row r="6241" spans="1:9" ht="15.75" customHeight="1">
      <c r="A6241" s="26"/>
      <c r="B6241" s="2"/>
      <c r="C6241" s="26"/>
      <c r="D6241" s="26"/>
      <c r="F6241" s="85" t="str">
        <f t="shared" si="0"/>
        <v/>
      </c>
      <c r="G6241" s="1" t="e">
        <f>IF(VALUE(F6241) = VALUE(RIGHT(Insights!$C$3, 4)), E6241, "")</f>
        <v>#VALUE!</v>
      </c>
      <c r="H6241" s="26" t="e">
        <f t="shared" si="1"/>
        <v>#VALUE!</v>
      </c>
      <c r="I6241" s="1" t="e">
        <f t="shared" si="2"/>
        <v>#VALUE!</v>
      </c>
    </row>
    <row r="6242" spans="1:9" ht="15.75" customHeight="1">
      <c r="A6242" s="26"/>
      <c r="B6242" s="2"/>
      <c r="C6242" s="26"/>
      <c r="D6242" s="26"/>
      <c r="F6242" s="85" t="str">
        <f t="shared" si="0"/>
        <v/>
      </c>
      <c r="G6242" s="1" t="e">
        <f>IF(VALUE(F6242) = VALUE(RIGHT(Insights!$C$3, 4)), E6242, "")</f>
        <v>#VALUE!</v>
      </c>
      <c r="H6242" s="26" t="e">
        <f t="shared" si="1"/>
        <v>#VALUE!</v>
      </c>
      <c r="I6242" s="1" t="e">
        <f t="shared" si="2"/>
        <v>#VALUE!</v>
      </c>
    </row>
    <row r="6243" spans="1:9" ht="15.75" customHeight="1">
      <c r="A6243" s="26"/>
      <c r="B6243" s="2"/>
      <c r="C6243" s="26"/>
      <c r="D6243" s="26"/>
      <c r="F6243" s="85" t="str">
        <f t="shared" si="0"/>
        <v/>
      </c>
      <c r="G6243" s="1" t="e">
        <f>IF(VALUE(F6243) = VALUE(RIGHT(Insights!$C$3, 4)), E6243, "")</f>
        <v>#VALUE!</v>
      </c>
      <c r="H6243" s="26" t="e">
        <f t="shared" si="1"/>
        <v>#VALUE!</v>
      </c>
      <c r="I6243" s="1" t="e">
        <f t="shared" si="2"/>
        <v>#VALUE!</v>
      </c>
    </row>
    <row r="6244" spans="1:9" ht="15.75" customHeight="1">
      <c r="A6244" s="26"/>
      <c r="B6244" s="2"/>
      <c r="C6244" s="26"/>
      <c r="D6244" s="26"/>
      <c r="F6244" s="85" t="str">
        <f t="shared" si="0"/>
        <v/>
      </c>
      <c r="G6244" s="1" t="e">
        <f>IF(VALUE(F6244) = VALUE(RIGHT(Insights!$C$3, 4)), E6244, "")</f>
        <v>#VALUE!</v>
      </c>
      <c r="H6244" s="26" t="e">
        <f t="shared" si="1"/>
        <v>#VALUE!</v>
      </c>
      <c r="I6244" s="1" t="e">
        <f t="shared" si="2"/>
        <v>#VALUE!</v>
      </c>
    </row>
    <row r="6245" spans="1:9" ht="15.75" customHeight="1">
      <c r="A6245" s="26"/>
      <c r="B6245" s="2"/>
      <c r="C6245" s="26"/>
      <c r="D6245" s="26"/>
      <c r="F6245" s="85" t="str">
        <f t="shared" si="0"/>
        <v/>
      </c>
      <c r="G6245" s="1" t="e">
        <f>IF(VALUE(F6245) = VALUE(RIGHT(Insights!$C$3, 4)), E6245, "")</f>
        <v>#VALUE!</v>
      </c>
      <c r="H6245" s="26" t="e">
        <f t="shared" si="1"/>
        <v>#VALUE!</v>
      </c>
      <c r="I6245" s="1" t="e">
        <f t="shared" si="2"/>
        <v>#VALUE!</v>
      </c>
    </row>
    <row r="6246" spans="1:9" ht="15.75" customHeight="1">
      <c r="A6246" s="26"/>
      <c r="B6246" s="2"/>
      <c r="C6246" s="26"/>
      <c r="D6246" s="26"/>
      <c r="F6246" s="85" t="str">
        <f t="shared" si="0"/>
        <v/>
      </c>
      <c r="G6246" s="1" t="e">
        <f>IF(VALUE(F6246) = VALUE(RIGHT(Insights!$C$3, 4)), E6246, "")</f>
        <v>#VALUE!</v>
      </c>
      <c r="H6246" s="26" t="e">
        <f t="shared" si="1"/>
        <v>#VALUE!</v>
      </c>
      <c r="I6246" s="1" t="e">
        <f t="shared" si="2"/>
        <v>#VALUE!</v>
      </c>
    </row>
    <row r="6247" spans="1:9" ht="15.75" customHeight="1">
      <c r="A6247" s="26"/>
      <c r="B6247" s="2"/>
      <c r="C6247" s="26"/>
      <c r="D6247" s="26"/>
      <c r="F6247" s="85" t="str">
        <f t="shared" si="0"/>
        <v/>
      </c>
      <c r="G6247" s="1" t="e">
        <f>IF(VALUE(F6247) = VALUE(RIGHT(Insights!$C$3, 4)), E6247, "")</f>
        <v>#VALUE!</v>
      </c>
      <c r="H6247" s="26" t="e">
        <f t="shared" si="1"/>
        <v>#VALUE!</v>
      </c>
      <c r="I6247" s="1" t="e">
        <f t="shared" si="2"/>
        <v>#VALUE!</v>
      </c>
    </row>
    <row r="6248" spans="1:9" ht="15.75" customHeight="1">
      <c r="A6248" s="26"/>
      <c r="B6248" s="2"/>
      <c r="C6248" s="26"/>
      <c r="D6248" s="26"/>
      <c r="F6248" s="85" t="str">
        <f t="shared" si="0"/>
        <v/>
      </c>
      <c r="G6248" s="1" t="e">
        <f>IF(VALUE(F6248) = VALUE(RIGHT(Insights!$C$3, 4)), E6248, "")</f>
        <v>#VALUE!</v>
      </c>
      <c r="H6248" s="26" t="e">
        <f t="shared" si="1"/>
        <v>#VALUE!</v>
      </c>
      <c r="I6248" s="1" t="e">
        <f t="shared" si="2"/>
        <v>#VALUE!</v>
      </c>
    </row>
    <row r="6249" spans="1:9" ht="15.75" customHeight="1">
      <c r="A6249" s="26"/>
      <c r="B6249" s="2"/>
      <c r="C6249" s="26"/>
      <c r="D6249" s="26"/>
      <c r="F6249" s="85" t="str">
        <f t="shared" si="0"/>
        <v/>
      </c>
      <c r="G6249" s="1" t="e">
        <f>IF(VALUE(F6249) = VALUE(RIGHT(Insights!$C$3, 4)), E6249, "")</f>
        <v>#VALUE!</v>
      </c>
      <c r="H6249" s="26" t="e">
        <f t="shared" si="1"/>
        <v>#VALUE!</v>
      </c>
      <c r="I6249" s="1" t="e">
        <f t="shared" si="2"/>
        <v>#VALUE!</v>
      </c>
    </row>
    <row r="6250" spans="1:9" ht="15.75" customHeight="1">
      <c r="A6250" s="26"/>
      <c r="B6250" s="2"/>
      <c r="C6250" s="26"/>
      <c r="D6250" s="26"/>
      <c r="F6250" s="85" t="str">
        <f t="shared" si="0"/>
        <v/>
      </c>
      <c r="G6250" s="1" t="e">
        <f>IF(VALUE(F6250) = VALUE(RIGHT(Insights!$C$3, 4)), E6250, "")</f>
        <v>#VALUE!</v>
      </c>
      <c r="H6250" s="26" t="e">
        <f t="shared" si="1"/>
        <v>#VALUE!</v>
      </c>
      <c r="I6250" s="1" t="e">
        <f t="shared" si="2"/>
        <v>#VALUE!</v>
      </c>
    </row>
    <row r="6251" spans="1:9" ht="15.75" customHeight="1">
      <c r="A6251" s="26"/>
      <c r="B6251" s="2"/>
      <c r="C6251" s="26"/>
      <c r="D6251" s="26"/>
      <c r="F6251" s="85" t="str">
        <f t="shared" si="0"/>
        <v/>
      </c>
      <c r="G6251" s="1" t="e">
        <f>IF(VALUE(F6251) = VALUE(RIGHT(Insights!$C$3, 4)), E6251, "")</f>
        <v>#VALUE!</v>
      </c>
      <c r="H6251" s="26" t="e">
        <f t="shared" si="1"/>
        <v>#VALUE!</v>
      </c>
      <c r="I6251" s="1" t="e">
        <f t="shared" si="2"/>
        <v>#VALUE!</v>
      </c>
    </row>
    <row r="6252" spans="1:9" ht="15.75" customHeight="1">
      <c r="A6252" s="26"/>
      <c r="B6252" s="2"/>
      <c r="C6252" s="26"/>
      <c r="D6252" s="26"/>
      <c r="F6252" s="85" t="str">
        <f t="shared" si="0"/>
        <v/>
      </c>
      <c r="G6252" s="1" t="e">
        <f>IF(VALUE(F6252) = VALUE(RIGHT(Insights!$C$3, 4)), E6252, "")</f>
        <v>#VALUE!</v>
      </c>
      <c r="H6252" s="26" t="e">
        <f t="shared" si="1"/>
        <v>#VALUE!</v>
      </c>
      <c r="I6252" s="1" t="e">
        <f t="shared" si="2"/>
        <v>#VALUE!</v>
      </c>
    </row>
    <row r="6253" spans="1:9" ht="15.75" customHeight="1">
      <c r="A6253" s="26"/>
      <c r="B6253" s="2"/>
      <c r="C6253" s="26"/>
      <c r="D6253" s="26"/>
      <c r="F6253" s="85" t="str">
        <f t="shared" si="0"/>
        <v/>
      </c>
      <c r="G6253" s="1" t="e">
        <f>IF(VALUE(F6253) = VALUE(RIGHT(Insights!$C$3, 4)), E6253, "")</f>
        <v>#VALUE!</v>
      </c>
      <c r="H6253" s="26" t="e">
        <f t="shared" si="1"/>
        <v>#VALUE!</v>
      </c>
      <c r="I6253" s="1" t="e">
        <f t="shared" si="2"/>
        <v>#VALUE!</v>
      </c>
    </row>
    <row r="6254" spans="1:9" ht="15.75" customHeight="1">
      <c r="A6254" s="26"/>
      <c r="B6254" s="2"/>
      <c r="C6254" s="26"/>
      <c r="D6254" s="26"/>
      <c r="F6254" s="85" t="str">
        <f t="shared" si="0"/>
        <v/>
      </c>
      <c r="G6254" s="1" t="e">
        <f>IF(VALUE(F6254) = VALUE(RIGHT(Insights!$C$3, 4)), E6254, "")</f>
        <v>#VALUE!</v>
      </c>
      <c r="H6254" s="26" t="e">
        <f t="shared" si="1"/>
        <v>#VALUE!</v>
      </c>
      <c r="I6254" s="1" t="e">
        <f t="shared" si="2"/>
        <v>#VALUE!</v>
      </c>
    </row>
    <row r="6255" spans="1:9" ht="15.75" customHeight="1">
      <c r="A6255" s="26"/>
      <c r="B6255" s="2"/>
      <c r="C6255" s="26"/>
      <c r="D6255" s="26"/>
      <c r="F6255" s="85" t="str">
        <f t="shared" si="0"/>
        <v/>
      </c>
      <c r="G6255" s="1" t="e">
        <f>IF(VALUE(F6255) = VALUE(RIGHT(Insights!$C$3, 4)), E6255, "")</f>
        <v>#VALUE!</v>
      </c>
      <c r="H6255" s="26" t="e">
        <f t="shared" si="1"/>
        <v>#VALUE!</v>
      </c>
      <c r="I6255" s="1" t="e">
        <f t="shared" si="2"/>
        <v>#VALUE!</v>
      </c>
    </row>
    <row r="6256" spans="1:9" ht="15.75" customHeight="1">
      <c r="A6256" s="26"/>
      <c r="B6256" s="2"/>
      <c r="C6256" s="26"/>
      <c r="D6256" s="26"/>
      <c r="F6256" s="85" t="str">
        <f t="shared" si="0"/>
        <v/>
      </c>
      <c r="G6256" s="1" t="e">
        <f>IF(VALUE(F6256) = VALUE(RIGHT(Insights!$C$3, 4)), E6256, "")</f>
        <v>#VALUE!</v>
      </c>
      <c r="H6256" s="26" t="e">
        <f t="shared" si="1"/>
        <v>#VALUE!</v>
      </c>
      <c r="I6256" s="1" t="e">
        <f t="shared" si="2"/>
        <v>#VALUE!</v>
      </c>
    </row>
    <row r="6257" spans="1:9" ht="15.75" customHeight="1">
      <c r="A6257" s="26"/>
      <c r="B6257" s="2"/>
      <c r="C6257" s="26"/>
      <c r="D6257" s="26"/>
      <c r="F6257" s="85" t="str">
        <f t="shared" si="0"/>
        <v/>
      </c>
      <c r="G6257" s="1" t="e">
        <f>IF(VALUE(F6257) = VALUE(RIGHT(Insights!$C$3, 4)), E6257, "")</f>
        <v>#VALUE!</v>
      </c>
      <c r="H6257" s="26" t="e">
        <f t="shared" si="1"/>
        <v>#VALUE!</v>
      </c>
      <c r="I6257" s="1" t="e">
        <f t="shared" si="2"/>
        <v>#VALUE!</v>
      </c>
    </row>
    <row r="6258" spans="1:9" ht="15.75" customHeight="1">
      <c r="A6258" s="26"/>
      <c r="B6258" s="2"/>
      <c r="C6258" s="26"/>
      <c r="D6258" s="26"/>
      <c r="F6258" s="85" t="str">
        <f t="shared" si="0"/>
        <v/>
      </c>
      <c r="G6258" s="1" t="e">
        <f>IF(VALUE(F6258) = VALUE(RIGHT(Insights!$C$3, 4)), E6258, "")</f>
        <v>#VALUE!</v>
      </c>
      <c r="H6258" s="26" t="e">
        <f t="shared" si="1"/>
        <v>#VALUE!</v>
      </c>
      <c r="I6258" s="1" t="e">
        <f t="shared" si="2"/>
        <v>#VALUE!</v>
      </c>
    </row>
    <row r="6259" spans="1:9" ht="15.75" customHeight="1">
      <c r="A6259" s="26"/>
      <c r="B6259" s="2"/>
      <c r="C6259" s="26"/>
      <c r="D6259" s="26"/>
      <c r="F6259" s="85" t="str">
        <f t="shared" si="0"/>
        <v/>
      </c>
      <c r="G6259" s="1" t="e">
        <f>IF(VALUE(F6259) = VALUE(RIGHT(Insights!$C$3, 4)), E6259, "")</f>
        <v>#VALUE!</v>
      </c>
      <c r="H6259" s="26" t="e">
        <f t="shared" si="1"/>
        <v>#VALUE!</v>
      </c>
      <c r="I6259" s="1" t="e">
        <f t="shared" si="2"/>
        <v>#VALUE!</v>
      </c>
    </row>
    <row r="6260" spans="1:9" ht="15.75" customHeight="1">
      <c r="A6260" s="26"/>
      <c r="B6260" s="2"/>
      <c r="C6260" s="26"/>
      <c r="D6260" s="26"/>
      <c r="F6260" s="85" t="str">
        <f t="shared" si="0"/>
        <v/>
      </c>
      <c r="G6260" s="1" t="e">
        <f>IF(VALUE(F6260) = VALUE(RIGHT(Insights!$C$3, 4)), E6260, "")</f>
        <v>#VALUE!</v>
      </c>
      <c r="H6260" s="26" t="e">
        <f t="shared" si="1"/>
        <v>#VALUE!</v>
      </c>
      <c r="I6260" s="1" t="e">
        <f t="shared" si="2"/>
        <v>#VALUE!</v>
      </c>
    </row>
    <row r="6261" spans="1:9" ht="15.75" customHeight="1">
      <c r="A6261" s="26"/>
      <c r="B6261" s="2"/>
      <c r="C6261" s="26"/>
      <c r="D6261" s="26"/>
      <c r="F6261" s="85" t="str">
        <f t="shared" si="0"/>
        <v/>
      </c>
      <c r="G6261" s="1" t="e">
        <f>IF(VALUE(F6261) = VALUE(RIGHT(Insights!$C$3, 4)), E6261, "")</f>
        <v>#VALUE!</v>
      </c>
      <c r="H6261" s="26" t="e">
        <f t="shared" si="1"/>
        <v>#VALUE!</v>
      </c>
      <c r="I6261" s="1" t="e">
        <f t="shared" si="2"/>
        <v>#VALUE!</v>
      </c>
    </row>
    <row r="6262" spans="1:9" ht="15.75" customHeight="1">
      <c r="A6262" s="26"/>
      <c r="B6262" s="2"/>
      <c r="C6262" s="26"/>
      <c r="D6262" s="26"/>
      <c r="F6262" s="85" t="str">
        <f t="shared" si="0"/>
        <v/>
      </c>
      <c r="G6262" s="1" t="e">
        <f>IF(VALUE(F6262) = VALUE(RIGHT(Insights!$C$3, 4)), E6262, "")</f>
        <v>#VALUE!</v>
      </c>
      <c r="H6262" s="26" t="e">
        <f t="shared" si="1"/>
        <v>#VALUE!</v>
      </c>
      <c r="I6262" s="1" t="e">
        <f t="shared" si="2"/>
        <v>#VALUE!</v>
      </c>
    </row>
    <row r="6263" spans="1:9" ht="15.75" customHeight="1">
      <c r="A6263" s="26"/>
      <c r="B6263" s="2"/>
      <c r="C6263" s="26"/>
      <c r="D6263" s="26"/>
      <c r="F6263" s="85" t="str">
        <f t="shared" si="0"/>
        <v/>
      </c>
      <c r="G6263" s="1" t="e">
        <f>IF(VALUE(F6263) = VALUE(RIGHT(Insights!$C$3, 4)), E6263, "")</f>
        <v>#VALUE!</v>
      </c>
      <c r="H6263" s="26" t="e">
        <f t="shared" si="1"/>
        <v>#VALUE!</v>
      </c>
      <c r="I6263" s="1" t="e">
        <f t="shared" si="2"/>
        <v>#VALUE!</v>
      </c>
    </row>
    <row r="6264" spans="1:9" ht="15.75" customHeight="1">
      <c r="A6264" s="26"/>
      <c r="B6264" s="2"/>
      <c r="C6264" s="26"/>
      <c r="D6264" s="26"/>
      <c r="F6264" s="85" t="str">
        <f t="shared" si="0"/>
        <v/>
      </c>
      <c r="G6264" s="1" t="e">
        <f>IF(VALUE(F6264) = VALUE(RIGHT(Insights!$C$3, 4)), E6264, "")</f>
        <v>#VALUE!</v>
      </c>
      <c r="H6264" s="26" t="e">
        <f t="shared" si="1"/>
        <v>#VALUE!</v>
      </c>
      <c r="I6264" s="1" t="e">
        <f t="shared" si="2"/>
        <v>#VALUE!</v>
      </c>
    </row>
    <row r="6265" spans="1:9" ht="15.75" customHeight="1">
      <c r="A6265" s="26"/>
      <c r="B6265" s="2"/>
      <c r="C6265" s="26"/>
      <c r="D6265" s="26"/>
      <c r="F6265" s="85" t="str">
        <f t="shared" si="0"/>
        <v/>
      </c>
      <c r="G6265" s="1" t="e">
        <f>IF(VALUE(F6265) = VALUE(RIGHT(Insights!$C$3, 4)), E6265, "")</f>
        <v>#VALUE!</v>
      </c>
      <c r="H6265" s="26" t="e">
        <f t="shared" si="1"/>
        <v>#VALUE!</v>
      </c>
      <c r="I6265" s="1" t="e">
        <f t="shared" si="2"/>
        <v>#VALUE!</v>
      </c>
    </row>
    <row r="6266" spans="1:9" ht="15.75" customHeight="1">
      <c r="A6266" s="26"/>
      <c r="B6266" s="2"/>
      <c r="C6266" s="26"/>
      <c r="D6266" s="26"/>
      <c r="F6266" s="85" t="str">
        <f t="shared" si="0"/>
        <v/>
      </c>
      <c r="G6266" s="1" t="e">
        <f>IF(VALUE(F6266) = VALUE(RIGHT(Insights!$C$3, 4)), E6266, "")</f>
        <v>#VALUE!</v>
      </c>
      <c r="H6266" s="26" t="e">
        <f t="shared" si="1"/>
        <v>#VALUE!</v>
      </c>
      <c r="I6266" s="1" t="e">
        <f t="shared" si="2"/>
        <v>#VALUE!</v>
      </c>
    </row>
    <row r="6267" spans="1:9" ht="15.75" customHeight="1">
      <c r="A6267" s="26"/>
      <c r="B6267" s="2"/>
      <c r="C6267" s="26"/>
      <c r="D6267" s="26"/>
      <c r="F6267" s="85" t="str">
        <f t="shared" si="0"/>
        <v/>
      </c>
      <c r="G6267" s="1" t="e">
        <f>IF(VALUE(F6267) = VALUE(RIGHT(Insights!$C$3, 4)), E6267, "")</f>
        <v>#VALUE!</v>
      </c>
      <c r="H6267" s="26" t="e">
        <f t="shared" si="1"/>
        <v>#VALUE!</v>
      </c>
      <c r="I6267" s="1" t="e">
        <f t="shared" si="2"/>
        <v>#VALUE!</v>
      </c>
    </row>
    <row r="6268" spans="1:9" ht="15.75" customHeight="1">
      <c r="A6268" s="26"/>
      <c r="B6268" s="2"/>
      <c r="C6268" s="26"/>
      <c r="D6268" s="26"/>
      <c r="F6268" s="85" t="str">
        <f t="shared" si="0"/>
        <v/>
      </c>
      <c r="G6268" s="1" t="e">
        <f>IF(VALUE(F6268) = VALUE(RIGHT(Insights!$C$3, 4)), E6268, "")</f>
        <v>#VALUE!</v>
      </c>
      <c r="H6268" s="26" t="e">
        <f t="shared" si="1"/>
        <v>#VALUE!</v>
      </c>
      <c r="I6268" s="1" t="e">
        <f t="shared" si="2"/>
        <v>#VALUE!</v>
      </c>
    </row>
    <row r="6269" spans="1:9" ht="15.75" customHeight="1">
      <c r="A6269" s="26"/>
      <c r="B6269" s="2"/>
      <c r="C6269" s="26"/>
      <c r="D6269" s="26"/>
      <c r="F6269" s="85" t="str">
        <f t="shared" si="0"/>
        <v/>
      </c>
      <c r="G6269" s="1" t="e">
        <f>IF(VALUE(F6269) = VALUE(RIGHT(Insights!$C$3, 4)), E6269, "")</f>
        <v>#VALUE!</v>
      </c>
      <c r="H6269" s="26" t="e">
        <f t="shared" si="1"/>
        <v>#VALUE!</v>
      </c>
      <c r="I6269" s="1" t="e">
        <f t="shared" si="2"/>
        <v>#VALUE!</v>
      </c>
    </row>
    <row r="6270" spans="1:9" ht="15.75" customHeight="1">
      <c r="A6270" s="26"/>
      <c r="B6270" s="2"/>
      <c r="C6270" s="26"/>
      <c r="D6270" s="26"/>
      <c r="F6270" s="85" t="str">
        <f t="shared" si="0"/>
        <v/>
      </c>
      <c r="G6270" s="1" t="e">
        <f>IF(VALUE(F6270) = VALUE(RIGHT(Insights!$C$3, 4)), E6270, "")</f>
        <v>#VALUE!</v>
      </c>
      <c r="H6270" s="26" t="e">
        <f t="shared" si="1"/>
        <v>#VALUE!</v>
      </c>
      <c r="I6270" s="1" t="e">
        <f t="shared" si="2"/>
        <v>#VALUE!</v>
      </c>
    </row>
    <row r="6271" spans="1:9" ht="15.75" customHeight="1">
      <c r="A6271" s="26"/>
      <c r="B6271" s="2"/>
      <c r="C6271" s="26"/>
      <c r="D6271" s="26"/>
      <c r="F6271" s="85" t="str">
        <f t="shared" si="0"/>
        <v/>
      </c>
      <c r="G6271" s="1" t="e">
        <f>IF(VALUE(F6271) = VALUE(RIGHT(Insights!$C$3, 4)), E6271, "")</f>
        <v>#VALUE!</v>
      </c>
      <c r="H6271" s="26" t="e">
        <f t="shared" si="1"/>
        <v>#VALUE!</v>
      </c>
      <c r="I6271" s="1" t="e">
        <f t="shared" si="2"/>
        <v>#VALUE!</v>
      </c>
    </row>
    <row r="6272" spans="1:9" ht="15.75" customHeight="1">
      <c r="A6272" s="26"/>
      <c r="B6272" s="2"/>
      <c r="C6272" s="26"/>
      <c r="D6272" s="26"/>
      <c r="F6272" s="85" t="str">
        <f t="shared" si="0"/>
        <v/>
      </c>
      <c r="G6272" s="1" t="e">
        <f>IF(VALUE(F6272) = VALUE(RIGHT(Insights!$C$3, 4)), E6272, "")</f>
        <v>#VALUE!</v>
      </c>
      <c r="H6272" s="26" t="e">
        <f t="shared" si="1"/>
        <v>#VALUE!</v>
      </c>
      <c r="I6272" s="1" t="e">
        <f t="shared" si="2"/>
        <v>#VALUE!</v>
      </c>
    </row>
    <row r="6273" spans="1:9" ht="15.75" customHeight="1">
      <c r="A6273" s="26"/>
      <c r="B6273" s="2"/>
      <c r="C6273" s="26"/>
      <c r="D6273" s="26"/>
      <c r="F6273" s="85" t="str">
        <f t="shared" si="0"/>
        <v/>
      </c>
      <c r="G6273" s="1" t="e">
        <f>IF(VALUE(F6273) = VALUE(RIGHT(Insights!$C$3, 4)), E6273, "")</f>
        <v>#VALUE!</v>
      </c>
      <c r="H6273" s="26" t="e">
        <f t="shared" si="1"/>
        <v>#VALUE!</v>
      </c>
      <c r="I6273" s="1" t="e">
        <f t="shared" si="2"/>
        <v>#VALUE!</v>
      </c>
    </row>
    <row r="6274" spans="1:9" ht="15.75" customHeight="1">
      <c r="A6274" s="26"/>
      <c r="B6274" s="2"/>
      <c r="C6274" s="26"/>
      <c r="D6274" s="26"/>
      <c r="F6274" s="85" t="str">
        <f t="shared" si="0"/>
        <v/>
      </c>
      <c r="G6274" s="1" t="e">
        <f>IF(VALUE(F6274) = VALUE(RIGHT(Insights!$C$3, 4)), E6274, "")</f>
        <v>#VALUE!</v>
      </c>
      <c r="H6274" s="26" t="e">
        <f t="shared" si="1"/>
        <v>#VALUE!</v>
      </c>
      <c r="I6274" s="1" t="e">
        <f t="shared" si="2"/>
        <v>#VALUE!</v>
      </c>
    </row>
    <row r="6275" spans="1:9" ht="15.75" customHeight="1">
      <c r="A6275" s="26"/>
      <c r="B6275" s="2"/>
      <c r="C6275" s="26"/>
      <c r="D6275" s="26"/>
      <c r="F6275" s="85" t="str">
        <f t="shared" si="0"/>
        <v/>
      </c>
      <c r="G6275" s="1" t="e">
        <f>IF(VALUE(F6275) = VALUE(RIGHT(Insights!$C$3, 4)), E6275, "")</f>
        <v>#VALUE!</v>
      </c>
      <c r="H6275" s="26" t="e">
        <f t="shared" si="1"/>
        <v>#VALUE!</v>
      </c>
      <c r="I6275" s="1" t="e">
        <f t="shared" si="2"/>
        <v>#VALUE!</v>
      </c>
    </row>
    <row r="6276" spans="1:9" ht="15.75" customHeight="1">
      <c r="A6276" s="26"/>
      <c r="B6276" s="2"/>
      <c r="C6276" s="26"/>
      <c r="D6276" s="26"/>
      <c r="F6276" s="85" t="str">
        <f t="shared" si="0"/>
        <v/>
      </c>
      <c r="G6276" s="1" t="e">
        <f>IF(VALUE(F6276) = VALUE(RIGHT(Insights!$C$3, 4)), E6276, "")</f>
        <v>#VALUE!</v>
      </c>
      <c r="H6276" s="26" t="e">
        <f t="shared" si="1"/>
        <v>#VALUE!</v>
      </c>
      <c r="I6276" s="1" t="e">
        <f t="shared" si="2"/>
        <v>#VALUE!</v>
      </c>
    </row>
    <row r="6277" spans="1:9" ht="15.75" customHeight="1">
      <c r="A6277" s="26"/>
      <c r="B6277" s="2"/>
      <c r="C6277" s="26"/>
      <c r="D6277" s="26"/>
      <c r="F6277" s="85" t="str">
        <f t="shared" si="0"/>
        <v/>
      </c>
      <c r="G6277" s="1" t="e">
        <f>IF(VALUE(F6277) = VALUE(RIGHT(Insights!$C$3, 4)), E6277, "")</f>
        <v>#VALUE!</v>
      </c>
      <c r="H6277" s="26" t="e">
        <f t="shared" si="1"/>
        <v>#VALUE!</v>
      </c>
      <c r="I6277" s="1" t="e">
        <f t="shared" si="2"/>
        <v>#VALUE!</v>
      </c>
    </row>
    <row r="6278" spans="1:9" ht="15.75" customHeight="1">
      <c r="A6278" s="26"/>
      <c r="B6278" s="2"/>
      <c r="C6278" s="26"/>
      <c r="D6278" s="26"/>
      <c r="F6278" s="85" t="str">
        <f t="shared" si="0"/>
        <v/>
      </c>
      <c r="G6278" s="1" t="e">
        <f>IF(VALUE(F6278) = VALUE(RIGHT(Insights!$C$3, 4)), E6278, "")</f>
        <v>#VALUE!</v>
      </c>
      <c r="H6278" s="26" t="e">
        <f t="shared" si="1"/>
        <v>#VALUE!</v>
      </c>
      <c r="I6278" s="1" t="e">
        <f t="shared" si="2"/>
        <v>#VALUE!</v>
      </c>
    </row>
    <row r="6279" spans="1:9" ht="15.75" customHeight="1">
      <c r="A6279" s="26"/>
      <c r="B6279" s="2"/>
      <c r="C6279" s="26"/>
      <c r="D6279" s="26"/>
      <c r="F6279" s="85" t="str">
        <f t="shared" si="0"/>
        <v/>
      </c>
      <c r="G6279" s="1" t="e">
        <f>IF(VALUE(F6279) = VALUE(RIGHT(Insights!$C$3, 4)), E6279, "")</f>
        <v>#VALUE!</v>
      </c>
      <c r="H6279" s="26" t="e">
        <f t="shared" si="1"/>
        <v>#VALUE!</v>
      </c>
      <c r="I6279" s="1" t="e">
        <f t="shared" si="2"/>
        <v>#VALUE!</v>
      </c>
    </row>
    <row r="6280" spans="1:9" ht="15.75" customHeight="1">
      <c r="A6280" s="26"/>
      <c r="B6280" s="2"/>
      <c r="C6280" s="26"/>
      <c r="D6280" s="26"/>
      <c r="F6280" s="85" t="str">
        <f t="shared" si="0"/>
        <v/>
      </c>
      <c r="G6280" s="1" t="e">
        <f>IF(VALUE(F6280) = VALUE(RIGHT(Insights!$C$3, 4)), E6280, "")</f>
        <v>#VALUE!</v>
      </c>
      <c r="H6280" s="26" t="e">
        <f t="shared" si="1"/>
        <v>#VALUE!</v>
      </c>
      <c r="I6280" s="1" t="e">
        <f t="shared" si="2"/>
        <v>#VALUE!</v>
      </c>
    </row>
    <row r="6281" spans="1:9" ht="15.75" customHeight="1">
      <c r="A6281" s="26"/>
      <c r="B6281" s="2"/>
      <c r="C6281" s="26"/>
      <c r="D6281" s="26"/>
      <c r="F6281" s="85" t="str">
        <f t="shared" si="0"/>
        <v/>
      </c>
      <c r="G6281" s="1" t="e">
        <f>IF(VALUE(F6281) = VALUE(RIGHT(Insights!$C$3, 4)), E6281, "")</f>
        <v>#VALUE!</v>
      </c>
      <c r="H6281" s="26" t="e">
        <f t="shared" si="1"/>
        <v>#VALUE!</v>
      </c>
      <c r="I6281" s="1" t="e">
        <f t="shared" si="2"/>
        <v>#VALUE!</v>
      </c>
    </row>
    <row r="6282" spans="1:9" ht="15.75" customHeight="1">
      <c r="A6282" s="26"/>
      <c r="B6282" s="2"/>
      <c r="C6282" s="26"/>
      <c r="D6282" s="26"/>
      <c r="F6282" s="85" t="str">
        <f t="shared" si="0"/>
        <v/>
      </c>
      <c r="G6282" s="1" t="e">
        <f>IF(VALUE(F6282) = VALUE(RIGHT(Insights!$C$3, 4)), E6282, "")</f>
        <v>#VALUE!</v>
      </c>
      <c r="H6282" s="26" t="e">
        <f t="shared" si="1"/>
        <v>#VALUE!</v>
      </c>
      <c r="I6282" s="1" t="e">
        <f t="shared" si="2"/>
        <v>#VALUE!</v>
      </c>
    </row>
    <row r="6283" spans="1:9" ht="15.75" customHeight="1">
      <c r="A6283" s="26"/>
      <c r="B6283" s="2"/>
      <c r="C6283" s="26"/>
      <c r="D6283" s="26"/>
      <c r="F6283" s="85" t="str">
        <f t="shared" si="0"/>
        <v/>
      </c>
      <c r="G6283" s="1" t="e">
        <f>IF(VALUE(F6283) = VALUE(RIGHT(Insights!$C$3, 4)), E6283, "")</f>
        <v>#VALUE!</v>
      </c>
      <c r="H6283" s="26" t="e">
        <f t="shared" si="1"/>
        <v>#VALUE!</v>
      </c>
      <c r="I6283" s="1" t="e">
        <f t="shared" si="2"/>
        <v>#VALUE!</v>
      </c>
    </row>
    <row r="6284" spans="1:9" ht="15.75" customHeight="1">
      <c r="A6284" s="26"/>
      <c r="B6284" s="2"/>
      <c r="C6284" s="26"/>
      <c r="D6284" s="26"/>
      <c r="F6284" s="85" t="str">
        <f t="shared" si="0"/>
        <v/>
      </c>
      <c r="G6284" s="1" t="e">
        <f>IF(VALUE(F6284) = VALUE(RIGHT(Insights!$C$3, 4)), E6284, "")</f>
        <v>#VALUE!</v>
      </c>
      <c r="H6284" s="26" t="e">
        <f t="shared" si="1"/>
        <v>#VALUE!</v>
      </c>
      <c r="I6284" s="1" t="e">
        <f t="shared" si="2"/>
        <v>#VALUE!</v>
      </c>
    </row>
    <row r="6285" spans="1:9" ht="15.75" customHeight="1">
      <c r="A6285" s="26"/>
      <c r="B6285" s="2"/>
      <c r="C6285" s="26"/>
      <c r="D6285" s="26"/>
      <c r="F6285" s="85" t="str">
        <f t="shared" si="0"/>
        <v/>
      </c>
      <c r="G6285" s="1" t="e">
        <f>IF(VALUE(F6285) = VALUE(RIGHT(Insights!$C$3, 4)), E6285, "")</f>
        <v>#VALUE!</v>
      </c>
      <c r="H6285" s="26" t="e">
        <f t="shared" si="1"/>
        <v>#VALUE!</v>
      </c>
      <c r="I6285" s="1" t="e">
        <f t="shared" si="2"/>
        <v>#VALUE!</v>
      </c>
    </row>
    <row r="6286" spans="1:9" ht="15.75" customHeight="1">
      <c r="A6286" s="26"/>
      <c r="B6286" s="2"/>
      <c r="C6286" s="26"/>
      <c r="D6286" s="26"/>
      <c r="F6286" s="85" t="str">
        <f t="shared" si="0"/>
        <v/>
      </c>
      <c r="G6286" s="1" t="e">
        <f>IF(VALUE(F6286) = VALUE(RIGHT(Insights!$C$3, 4)), E6286, "")</f>
        <v>#VALUE!</v>
      </c>
      <c r="H6286" s="26" t="e">
        <f t="shared" si="1"/>
        <v>#VALUE!</v>
      </c>
      <c r="I6286" s="1" t="e">
        <f t="shared" si="2"/>
        <v>#VALUE!</v>
      </c>
    </row>
    <row r="6287" spans="1:9" ht="15.75" customHeight="1">
      <c r="A6287" s="26"/>
      <c r="B6287" s="2"/>
      <c r="C6287" s="26"/>
      <c r="D6287" s="26"/>
      <c r="F6287" s="85" t="str">
        <f t="shared" si="0"/>
        <v/>
      </c>
      <c r="G6287" s="1" t="e">
        <f>IF(VALUE(F6287) = VALUE(RIGHT(Insights!$C$3, 4)), E6287, "")</f>
        <v>#VALUE!</v>
      </c>
      <c r="H6287" s="26" t="e">
        <f t="shared" si="1"/>
        <v>#VALUE!</v>
      </c>
      <c r="I6287" s="1" t="e">
        <f t="shared" si="2"/>
        <v>#VALUE!</v>
      </c>
    </row>
    <row r="6288" spans="1:9" ht="15.75" customHeight="1">
      <c r="A6288" s="26"/>
      <c r="B6288" s="2"/>
      <c r="C6288" s="26"/>
      <c r="D6288" s="26"/>
      <c r="F6288" s="85" t="str">
        <f t="shared" si="0"/>
        <v/>
      </c>
      <c r="G6288" s="1" t="e">
        <f>IF(VALUE(F6288) = VALUE(RIGHT(Insights!$C$3, 4)), E6288, "")</f>
        <v>#VALUE!</v>
      </c>
      <c r="H6288" s="26" t="e">
        <f t="shared" si="1"/>
        <v>#VALUE!</v>
      </c>
      <c r="I6288" s="1" t="e">
        <f t="shared" si="2"/>
        <v>#VALUE!</v>
      </c>
    </row>
    <row r="6289" spans="1:9" ht="15.75" customHeight="1">
      <c r="A6289" s="26"/>
      <c r="B6289" s="2"/>
      <c r="C6289" s="26"/>
      <c r="D6289" s="26"/>
      <c r="F6289" s="85" t="str">
        <f t="shared" si="0"/>
        <v/>
      </c>
      <c r="G6289" s="1" t="e">
        <f>IF(VALUE(F6289) = VALUE(RIGHT(Insights!$C$3, 4)), E6289, "")</f>
        <v>#VALUE!</v>
      </c>
      <c r="H6289" s="26" t="e">
        <f t="shared" si="1"/>
        <v>#VALUE!</v>
      </c>
      <c r="I6289" s="1" t="e">
        <f t="shared" si="2"/>
        <v>#VALUE!</v>
      </c>
    </row>
    <row r="6290" spans="1:9" ht="15.75" customHeight="1">
      <c r="A6290" s="26"/>
      <c r="B6290" s="2"/>
      <c r="C6290" s="26"/>
      <c r="D6290" s="26"/>
      <c r="F6290" s="85" t="str">
        <f t="shared" si="0"/>
        <v/>
      </c>
      <c r="G6290" s="1" t="e">
        <f>IF(VALUE(F6290) = VALUE(RIGHT(Insights!$C$3, 4)), E6290, "")</f>
        <v>#VALUE!</v>
      </c>
      <c r="H6290" s="26" t="e">
        <f t="shared" si="1"/>
        <v>#VALUE!</v>
      </c>
      <c r="I6290" s="1" t="e">
        <f t="shared" si="2"/>
        <v>#VALUE!</v>
      </c>
    </row>
    <row r="6291" spans="1:9" ht="15.75" customHeight="1">
      <c r="A6291" s="26"/>
      <c r="B6291" s="2"/>
      <c r="C6291" s="26"/>
      <c r="D6291" s="26"/>
      <c r="F6291" s="85" t="str">
        <f t="shared" si="0"/>
        <v/>
      </c>
      <c r="G6291" s="1" t="e">
        <f>IF(VALUE(F6291) = VALUE(RIGHT(Insights!$C$3, 4)), E6291, "")</f>
        <v>#VALUE!</v>
      </c>
      <c r="H6291" s="26" t="e">
        <f t="shared" si="1"/>
        <v>#VALUE!</v>
      </c>
      <c r="I6291" s="1" t="e">
        <f t="shared" si="2"/>
        <v>#VALUE!</v>
      </c>
    </row>
    <row r="6292" spans="1:9" ht="15.75" customHeight="1">
      <c r="A6292" s="26"/>
      <c r="B6292" s="2"/>
      <c r="C6292" s="26"/>
      <c r="D6292" s="26"/>
      <c r="F6292" s="85" t="str">
        <f t="shared" si="0"/>
        <v/>
      </c>
      <c r="G6292" s="1" t="e">
        <f>IF(VALUE(F6292) = VALUE(RIGHT(Insights!$C$3, 4)), E6292, "")</f>
        <v>#VALUE!</v>
      </c>
      <c r="H6292" s="26" t="e">
        <f t="shared" si="1"/>
        <v>#VALUE!</v>
      </c>
      <c r="I6292" s="1" t="e">
        <f t="shared" si="2"/>
        <v>#VALUE!</v>
      </c>
    </row>
    <row r="6293" spans="1:9" ht="15.75" customHeight="1">
      <c r="A6293" s="26"/>
      <c r="B6293" s="2"/>
      <c r="C6293" s="26"/>
      <c r="D6293" s="26"/>
      <c r="F6293" s="85" t="str">
        <f t="shared" si="0"/>
        <v/>
      </c>
      <c r="G6293" s="1" t="e">
        <f>IF(VALUE(F6293) = VALUE(RIGHT(Insights!$C$3, 4)), E6293, "")</f>
        <v>#VALUE!</v>
      </c>
      <c r="H6293" s="26" t="e">
        <f t="shared" si="1"/>
        <v>#VALUE!</v>
      </c>
      <c r="I6293" s="1" t="e">
        <f t="shared" si="2"/>
        <v>#VALUE!</v>
      </c>
    </row>
    <row r="6294" spans="1:9" ht="15.75" customHeight="1">
      <c r="A6294" s="26"/>
      <c r="B6294" s="2"/>
      <c r="C6294" s="26"/>
      <c r="D6294" s="26"/>
      <c r="F6294" s="85" t="str">
        <f t="shared" si="0"/>
        <v/>
      </c>
      <c r="G6294" s="1" t="e">
        <f>IF(VALUE(F6294) = VALUE(RIGHT(Insights!$C$3, 4)), E6294, "")</f>
        <v>#VALUE!</v>
      </c>
      <c r="H6294" s="26" t="e">
        <f t="shared" si="1"/>
        <v>#VALUE!</v>
      </c>
      <c r="I6294" s="1" t="e">
        <f t="shared" si="2"/>
        <v>#VALUE!</v>
      </c>
    </row>
    <row r="6295" spans="1:9" ht="15.75" customHeight="1">
      <c r="A6295" s="26"/>
      <c r="B6295" s="2"/>
      <c r="C6295" s="26"/>
      <c r="D6295" s="26"/>
      <c r="F6295" s="85" t="str">
        <f t="shared" si="0"/>
        <v/>
      </c>
      <c r="G6295" s="1" t="e">
        <f>IF(VALUE(F6295) = VALUE(RIGHT(Insights!$C$3, 4)), E6295, "")</f>
        <v>#VALUE!</v>
      </c>
      <c r="H6295" s="26" t="e">
        <f t="shared" si="1"/>
        <v>#VALUE!</v>
      </c>
      <c r="I6295" s="1" t="e">
        <f t="shared" si="2"/>
        <v>#VALUE!</v>
      </c>
    </row>
    <row r="6296" spans="1:9" ht="15.75" customHeight="1">
      <c r="A6296" s="26"/>
      <c r="B6296" s="2"/>
      <c r="C6296" s="26"/>
      <c r="D6296" s="26"/>
      <c r="F6296" s="85" t="str">
        <f t="shared" si="0"/>
        <v/>
      </c>
      <c r="G6296" s="1" t="e">
        <f>IF(VALUE(F6296) = VALUE(RIGHT(Insights!$C$3, 4)), E6296, "")</f>
        <v>#VALUE!</v>
      </c>
      <c r="H6296" s="26" t="e">
        <f t="shared" si="1"/>
        <v>#VALUE!</v>
      </c>
      <c r="I6296" s="1" t="e">
        <f t="shared" si="2"/>
        <v>#VALUE!</v>
      </c>
    </row>
    <row r="6297" spans="1:9" ht="15.75" customHeight="1">
      <c r="A6297" s="26"/>
      <c r="B6297" s="2"/>
      <c r="C6297" s="26"/>
      <c r="D6297" s="26"/>
      <c r="F6297" s="85" t="str">
        <f t="shared" si="0"/>
        <v/>
      </c>
      <c r="G6297" s="1" t="e">
        <f>IF(VALUE(F6297) = VALUE(RIGHT(Insights!$C$3, 4)), E6297, "")</f>
        <v>#VALUE!</v>
      </c>
      <c r="H6297" s="26" t="e">
        <f t="shared" si="1"/>
        <v>#VALUE!</v>
      </c>
      <c r="I6297" s="1" t="e">
        <f t="shared" si="2"/>
        <v>#VALUE!</v>
      </c>
    </row>
    <row r="6298" spans="1:9" ht="15.75" customHeight="1">
      <c r="A6298" s="26"/>
      <c r="B6298" s="2"/>
      <c r="C6298" s="26"/>
      <c r="D6298" s="26"/>
      <c r="F6298" s="85" t="str">
        <f t="shared" si="0"/>
        <v/>
      </c>
      <c r="G6298" s="1" t="e">
        <f>IF(VALUE(F6298) = VALUE(RIGHT(Insights!$C$3, 4)), E6298, "")</f>
        <v>#VALUE!</v>
      </c>
      <c r="H6298" s="26" t="e">
        <f t="shared" si="1"/>
        <v>#VALUE!</v>
      </c>
      <c r="I6298" s="1" t="e">
        <f t="shared" si="2"/>
        <v>#VALUE!</v>
      </c>
    </row>
    <row r="6299" spans="1:9" ht="15.75" customHeight="1">
      <c r="A6299" s="26"/>
      <c r="B6299" s="2"/>
      <c r="C6299" s="26"/>
      <c r="D6299" s="26"/>
      <c r="F6299" s="85" t="str">
        <f t="shared" si="0"/>
        <v/>
      </c>
      <c r="G6299" s="1" t="e">
        <f>IF(VALUE(F6299) = VALUE(RIGHT(Insights!$C$3, 4)), E6299, "")</f>
        <v>#VALUE!</v>
      </c>
      <c r="H6299" s="26" t="e">
        <f t="shared" si="1"/>
        <v>#VALUE!</v>
      </c>
      <c r="I6299" s="1" t="e">
        <f t="shared" si="2"/>
        <v>#VALUE!</v>
      </c>
    </row>
    <row r="6300" spans="1:9" ht="15.75" customHeight="1">
      <c r="A6300" s="26"/>
      <c r="B6300" s="2"/>
      <c r="C6300" s="26"/>
      <c r="D6300" s="26"/>
      <c r="F6300" s="85" t="str">
        <f t="shared" si="0"/>
        <v/>
      </c>
      <c r="G6300" s="1" t="e">
        <f>IF(VALUE(F6300) = VALUE(RIGHT(Insights!$C$3, 4)), E6300, "")</f>
        <v>#VALUE!</v>
      </c>
      <c r="H6300" s="26" t="e">
        <f t="shared" si="1"/>
        <v>#VALUE!</v>
      </c>
      <c r="I6300" s="1" t="e">
        <f t="shared" si="2"/>
        <v>#VALUE!</v>
      </c>
    </row>
    <row r="6301" spans="1:9" ht="15.75" customHeight="1">
      <c r="A6301" s="26"/>
      <c r="B6301" s="2"/>
      <c r="C6301" s="26"/>
      <c r="D6301" s="26"/>
      <c r="F6301" s="85" t="str">
        <f t="shared" si="0"/>
        <v/>
      </c>
      <c r="G6301" s="1" t="e">
        <f>IF(VALUE(F6301) = VALUE(RIGHT(Insights!$C$3, 4)), E6301, "")</f>
        <v>#VALUE!</v>
      </c>
      <c r="H6301" s="26" t="e">
        <f t="shared" si="1"/>
        <v>#VALUE!</v>
      </c>
      <c r="I6301" s="1" t="e">
        <f t="shared" si="2"/>
        <v>#VALUE!</v>
      </c>
    </row>
    <row r="6302" spans="1:9" ht="15.75" customHeight="1">
      <c r="A6302" s="26"/>
      <c r="B6302" s="2"/>
      <c r="C6302" s="26"/>
      <c r="D6302" s="26"/>
      <c r="F6302" s="85" t="str">
        <f t="shared" si="0"/>
        <v/>
      </c>
      <c r="G6302" s="1" t="e">
        <f>IF(VALUE(F6302) = VALUE(RIGHT(Insights!$C$3, 4)), E6302, "")</f>
        <v>#VALUE!</v>
      </c>
      <c r="H6302" s="26" t="e">
        <f t="shared" si="1"/>
        <v>#VALUE!</v>
      </c>
      <c r="I6302" s="1" t="e">
        <f t="shared" si="2"/>
        <v>#VALUE!</v>
      </c>
    </row>
    <row r="6303" spans="1:9" ht="15.75" customHeight="1">
      <c r="A6303" s="26"/>
      <c r="B6303" s="2"/>
      <c r="C6303" s="26"/>
      <c r="D6303" s="26"/>
      <c r="F6303" s="85" t="str">
        <f t="shared" si="0"/>
        <v/>
      </c>
      <c r="G6303" s="1" t="e">
        <f>IF(VALUE(F6303) = VALUE(RIGHT(Insights!$C$3, 4)), E6303, "")</f>
        <v>#VALUE!</v>
      </c>
      <c r="H6303" s="26" t="e">
        <f t="shared" si="1"/>
        <v>#VALUE!</v>
      </c>
      <c r="I6303" s="1" t="e">
        <f t="shared" si="2"/>
        <v>#VALUE!</v>
      </c>
    </row>
    <row r="6304" spans="1:9" ht="15.75" customHeight="1">
      <c r="A6304" s="26"/>
      <c r="B6304" s="2"/>
      <c r="C6304" s="26"/>
      <c r="D6304" s="26"/>
      <c r="F6304" s="85" t="str">
        <f t="shared" si="0"/>
        <v/>
      </c>
      <c r="G6304" s="1" t="e">
        <f>IF(VALUE(F6304) = VALUE(RIGHT(Insights!$C$3, 4)), E6304, "")</f>
        <v>#VALUE!</v>
      </c>
      <c r="H6304" s="26" t="e">
        <f t="shared" si="1"/>
        <v>#VALUE!</v>
      </c>
      <c r="I6304" s="1" t="e">
        <f t="shared" si="2"/>
        <v>#VALUE!</v>
      </c>
    </row>
    <row r="6305" spans="1:9" ht="15.75" customHeight="1">
      <c r="A6305" s="26"/>
      <c r="B6305" s="2"/>
      <c r="C6305" s="26"/>
      <c r="D6305" s="26"/>
      <c r="F6305" s="85" t="str">
        <f t="shared" si="0"/>
        <v/>
      </c>
      <c r="G6305" s="1" t="e">
        <f>IF(VALUE(F6305) = VALUE(RIGHT(Insights!$C$3, 4)), E6305, "")</f>
        <v>#VALUE!</v>
      </c>
      <c r="H6305" s="26" t="e">
        <f t="shared" si="1"/>
        <v>#VALUE!</v>
      </c>
      <c r="I6305" s="1" t="e">
        <f t="shared" si="2"/>
        <v>#VALUE!</v>
      </c>
    </row>
    <row r="6306" spans="1:9" ht="15.75" customHeight="1">
      <c r="A6306" s="26"/>
      <c r="B6306" s="2"/>
      <c r="C6306" s="26"/>
      <c r="D6306" s="26"/>
      <c r="F6306" s="85" t="str">
        <f t="shared" si="0"/>
        <v/>
      </c>
      <c r="G6306" s="1" t="e">
        <f>IF(VALUE(F6306) = VALUE(RIGHT(Insights!$C$3, 4)), E6306, "")</f>
        <v>#VALUE!</v>
      </c>
      <c r="H6306" s="26" t="e">
        <f t="shared" si="1"/>
        <v>#VALUE!</v>
      </c>
      <c r="I6306" s="1" t="e">
        <f t="shared" si="2"/>
        <v>#VALUE!</v>
      </c>
    </row>
    <row r="6307" spans="1:9" ht="15.75" customHeight="1">
      <c r="A6307" s="26"/>
      <c r="B6307" s="2"/>
      <c r="C6307" s="26"/>
      <c r="D6307" s="26"/>
      <c r="F6307" s="85" t="str">
        <f t="shared" si="0"/>
        <v/>
      </c>
      <c r="G6307" s="1" t="e">
        <f>IF(VALUE(F6307) = VALUE(RIGHT(Insights!$C$3, 4)), E6307, "")</f>
        <v>#VALUE!</v>
      </c>
      <c r="H6307" s="26" t="e">
        <f t="shared" si="1"/>
        <v>#VALUE!</v>
      </c>
      <c r="I6307" s="1" t="e">
        <f t="shared" si="2"/>
        <v>#VALUE!</v>
      </c>
    </row>
    <row r="6308" spans="1:9" ht="15.75" customHeight="1">
      <c r="A6308" s="26"/>
      <c r="B6308" s="2"/>
      <c r="C6308" s="26"/>
      <c r="D6308" s="26"/>
      <c r="F6308" s="85" t="str">
        <f t="shared" si="0"/>
        <v/>
      </c>
      <c r="G6308" s="1" t="e">
        <f>IF(VALUE(F6308) = VALUE(RIGHT(Insights!$C$3, 4)), E6308, "")</f>
        <v>#VALUE!</v>
      </c>
      <c r="H6308" s="26" t="e">
        <f t="shared" si="1"/>
        <v>#VALUE!</v>
      </c>
      <c r="I6308" s="1" t="e">
        <f t="shared" si="2"/>
        <v>#VALUE!</v>
      </c>
    </row>
    <row r="6309" spans="1:9" ht="15.75" customHeight="1">
      <c r="A6309" s="26"/>
      <c r="B6309" s="2"/>
      <c r="C6309" s="26"/>
      <c r="D6309" s="26"/>
      <c r="F6309" s="85" t="str">
        <f t="shared" si="0"/>
        <v/>
      </c>
      <c r="G6309" s="1" t="e">
        <f>IF(VALUE(F6309) = VALUE(RIGHT(Insights!$C$3, 4)), E6309, "")</f>
        <v>#VALUE!</v>
      </c>
      <c r="H6309" s="26" t="e">
        <f t="shared" si="1"/>
        <v>#VALUE!</v>
      </c>
      <c r="I6309" s="1" t="e">
        <f t="shared" si="2"/>
        <v>#VALUE!</v>
      </c>
    </row>
    <row r="6310" spans="1:9" ht="15.75" customHeight="1">
      <c r="A6310" s="26"/>
      <c r="B6310" s="2"/>
      <c r="C6310" s="26"/>
      <c r="D6310" s="26"/>
      <c r="F6310" s="85" t="str">
        <f t="shared" si="0"/>
        <v/>
      </c>
      <c r="G6310" s="1" t="e">
        <f>IF(VALUE(F6310) = VALUE(RIGHT(Insights!$C$3, 4)), E6310, "")</f>
        <v>#VALUE!</v>
      </c>
      <c r="H6310" s="26" t="e">
        <f t="shared" si="1"/>
        <v>#VALUE!</v>
      </c>
      <c r="I6310" s="1" t="e">
        <f t="shared" si="2"/>
        <v>#VALUE!</v>
      </c>
    </row>
    <row r="6311" spans="1:9" ht="15.75" customHeight="1">
      <c r="A6311" s="26"/>
      <c r="B6311" s="2"/>
      <c r="C6311" s="26"/>
      <c r="D6311" s="26"/>
      <c r="F6311" s="85" t="str">
        <f t="shared" si="0"/>
        <v/>
      </c>
      <c r="G6311" s="1" t="e">
        <f>IF(VALUE(F6311) = VALUE(RIGHT(Insights!$C$3, 4)), E6311, "")</f>
        <v>#VALUE!</v>
      </c>
      <c r="H6311" s="26" t="e">
        <f t="shared" si="1"/>
        <v>#VALUE!</v>
      </c>
      <c r="I6311" s="1" t="e">
        <f t="shared" si="2"/>
        <v>#VALUE!</v>
      </c>
    </row>
    <row r="6312" spans="1:9" ht="15.75" customHeight="1">
      <c r="A6312" s="26"/>
      <c r="B6312" s="2"/>
      <c r="C6312" s="26"/>
      <c r="D6312" s="26"/>
      <c r="F6312" s="85" t="str">
        <f t="shared" si="0"/>
        <v/>
      </c>
      <c r="G6312" s="1" t="e">
        <f>IF(VALUE(F6312) = VALUE(RIGHT(Insights!$C$3, 4)), E6312, "")</f>
        <v>#VALUE!</v>
      </c>
      <c r="H6312" s="26" t="e">
        <f t="shared" si="1"/>
        <v>#VALUE!</v>
      </c>
      <c r="I6312" s="1" t="e">
        <f t="shared" si="2"/>
        <v>#VALUE!</v>
      </c>
    </row>
    <row r="6313" spans="1:9" ht="15.75" customHeight="1">
      <c r="A6313" s="26"/>
      <c r="B6313" s="2"/>
      <c r="C6313" s="26"/>
      <c r="D6313" s="26"/>
      <c r="F6313" s="85" t="str">
        <f t="shared" si="0"/>
        <v/>
      </c>
      <c r="G6313" s="1" t="e">
        <f>IF(VALUE(F6313) = VALUE(RIGHT(Insights!$C$3, 4)), E6313, "")</f>
        <v>#VALUE!</v>
      </c>
      <c r="H6313" s="26" t="e">
        <f t="shared" si="1"/>
        <v>#VALUE!</v>
      </c>
      <c r="I6313" s="1" t="e">
        <f t="shared" si="2"/>
        <v>#VALUE!</v>
      </c>
    </row>
    <row r="6314" spans="1:9" ht="15.75" customHeight="1">
      <c r="A6314" s="26"/>
      <c r="B6314" s="2"/>
      <c r="C6314" s="26"/>
      <c r="D6314" s="26"/>
      <c r="F6314" s="85" t="str">
        <f t="shared" si="0"/>
        <v/>
      </c>
      <c r="G6314" s="1" t="e">
        <f>IF(VALUE(F6314) = VALUE(RIGHT(Insights!$C$3, 4)), E6314, "")</f>
        <v>#VALUE!</v>
      </c>
      <c r="H6314" s="26" t="e">
        <f t="shared" si="1"/>
        <v>#VALUE!</v>
      </c>
      <c r="I6314" s="1" t="e">
        <f t="shared" si="2"/>
        <v>#VALUE!</v>
      </c>
    </row>
    <row r="6315" spans="1:9" ht="15.75" customHeight="1">
      <c r="A6315" s="26"/>
      <c r="B6315" s="2"/>
      <c r="C6315" s="26"/>
      <c r="D6315" s="26"/>
      <c r="F6315" s="85" t="str">
        <f t="shared" si="0"/>
        <v/>
      </c>
      <c r="G6315" s="1" t="e">
        <f>IF(VALUE(F6315) = VALUE(RIGHT(Insights!$C$3, 4)), E6315, "")</f>
        <v>#VALUE!</v>
      </c>
      <c r="H6315" s="26" t="e">
        <f t="shared" si="1"/>
        <v>#VALUE!</v>
      </c>
      <c r="I6315" s="1" t="e">
        <f t="shared" si="2"/>
        <v>#VALUE!</v>
      </c>
    </row>
    <row r="6316" spans="1:9" ht="15.75" customHeight="1">
      <c r="A6316" s="26"/>
      <c r="B6316" s="2"/>
      <c r="C6316" s="26"/>
      <c r="D6316" s="26"/>
      <c r="F6316" s="85" t="str">
        <f t="shared" si="0"/>
        <v/>
      </c>
      <c r="G6316" s="1" t="e">
        <f>IF(VALUE(F6316) = VALUE(RIGHT(Insights!$C$3, 4)), E6316, "")</f>
        <v>#VALUE!</v>
      </c>
      <c r="H6316" s="26" t="e">
        <f t="shared" si="1"/>
        <v>#VALUE!</v>
      </c>
      <c r="I6316" s="1" t="e">
        <f t="shared" si="2"/>
        <v>#VALUE!</v>
      </c>
    </row>
    <row r="6317" spans="1:9" ht="15.75" customHeight="1">
      <c r="A6317" s="26"/>
      <c r="B6317" s="2"/>
      <c r="C6317" s="26"/>
      <c r="D6317" s="26"/>
      <c r="F6317" s="85" t="str">
        <f t="shared" si="0"/>
        <v/>
      </c>
      <c r="G6317" s="1" t="e">
        <f>IF(VALUE(F6317) = VALUE(RIGHT(Insights!$C$3, 4)), E6317, "")</f>
        <v>#VALUE!</v>
      </c>
      <c r="H6317" s="26" t="e">
        <f t="shared" si="1"/>
        <v>#VALUE!</v>
      </c>
      <c r="I6317" s="1" t="e">
        <f t="shared" si="2"/>
        <v>#VALUE!</v>
      </c>
    </row>
    <row r="6318" spans="1:9" ht="15.75" customHeight="1">
      <c r="A6318" s="26"/>
      <c r="B6318" s="2"/>
      <c r="C6318" s="26"/>
      <c r="D6318" s="26"/>
      <c r="F6318" s="85" t="str">
        <f t="shared" si="0"/>
        <v/>
      </c>
      <c r="G6318" s="1" t="e">
        <f>IF(VALUE(F6318) = VALUE(RIGHT(Insights!$C$3, 4)), E6318, "")</f>
        <v>#VALUE!</v>
      </c>
      <c r="H6318" s="26" t="e">
        <f t="shared" si="1"/>
        <v>#VALUE!</v>
      </c>
      <c r="I6318" s="1" t="e">
        <f t="shared" si="2"/>
        <v>#VALUE!</v>
      </c>
    </row>
    <row r="6319" spans="1:9" ht="15.75" customHeight="1">
      <c r="A6319" s="26"/>
      <c r="B6319" s="2"/>
      <c r="C6319" s="26"/>
      <c r="D6319" s="26"/>
      <c r="F6319" s="85" t="str">
        <f t="shared" si="0"/>
        <v/>
      </c>
      <c r="G6319" s="1" t="e">
        <f>IF(VALUE(F6319) = VALUE(RIGHT(Insights!$C$3, 4)), E6319, "")</f>
        <v>#VALUE!</v>
      </c>
      <c r="H6319" s="26" t="e">
        <f t="shared" si="1"/>
        <v>#VALUE!</v>
      </c>
      <c r="I6319" s="1" t="e">
        <f t="shared" si="2"/>
        <v>#VALUE!</v>
      </c>
    </row>
    <row r="6320" spans="1:9" ht="15.75" customHeight="1">
      <c r="A6320" s="26"/>
      <c r="B6320" s="2"/>
      <c r="C6320" s="26"/>
      <c r="D6320" s="26"/>
      <c r="F6320" s="85" t="str">
        <f t="shared" si="0"/>
        <v/>
      </c>
      <c r="G6320" s="1" t="e">
        <f>IF(VALUE(F6320) = VALUE(RIGHT(Insights!$C$3, 4)), E6320, "")</f>
        <v>#VALUE!</v>
      </c>
      <c r="H6320" s="26" t="e">
        <f t="shared" si="1"/>
        <v>#VALUE!</v>
      </c>
      <c r="I6320" s="1" t="e">
        <f t="shared" si="2"/>
        <v>#VALUE!</v>
      </c>
    </row>
    <row r="6321" spans="1:9" ht="15.75" customHeight="1">
      <c r="A6321" s="26"/>
      <c r="B6321" s="2"/>
      <c r="C6321" s="26"/>
      <c r="D6321" s="26"/>
      <c r="F6321" s="85" t="str">
        <f t="shared" si="0"/>
        <v/>
      </c>
      <c r="G6321" s="1" t="e">
        <f>IF(VALUE(F6321) = VALUE(RIGHT(Insights!$C$3, 4)), E6321, "")</f>
        <v>#VALUE!</v>
      </c>
      <c r="H6321" s="26" t="e">
        <f t="shared" si="1"/>
        <v>#VALUE!</v>
      </c>
      <c r="I6321" s="1" t="e">
        <f t="shared" si="2"/>
        <v>#VALUE!</v>
      </c>
    </row>
    <row r="6322" spans="1:9" ht="15.75" customHeight="1">
      <c r="A6322" s="26"/>
      <c r="B6322" s="2"/>
      <c r="C6322" s="26"/>
      <c r="D6322" s="26"/>
      <c r="F6322" s="85" t="str">
        <f t="shared" si="0"/>
        <v/>
      </c>
      <c r="G6322" s="1" t="e">
        <f>IF(VALUE(F6322) = VALUE(RIGHT(Insights!$C$3, 4)), E6322, "")</f>
        <v>#VALUE!</v>
      </c>
      <c r="H6322" s="26" t="e">
        <f t="shared" si="1"/>
        <v>#VALUE!</v>
      </c>
      <c r="I6322" s="1" t="e">
        <f t="shared" si="2"/>
        <v>#VALUE!</v>
      </c>
    </row>
    <row r="6323" spans="1:9" ht="15.75" customHeight="1">
      <c r="A6323" s="26"/>
      <c r="B6323" s="2"/>
      <c r="C6323" s="26"/>
      <c r="D6323" s="26"/>
      <c r="F6323" s="85" t="str">
        <f t="shared" si="0"/>
        <v/>
      </c>
      <c r="G6323" s="1" t="e">
        <f>IF(VALUE(F6323) = VALUE(RIGHT(Insights!$C$3, 4)), E6323, "")</f>
        <v>#VALUE!</v>
      </c>
      <c r="H6323" s="26" t="e">
        <f t="shared" si="1"/>
        <v>#VALUE!</v>
      </c>
      <c r="I6323" s="1" t="e">
        <f t="shared" si="2"/>
        <v>#VALUE!</v>
      </c>
    </row>
    <row r="6324" spans="1:9" ht="15.75" customHeight="1">
      <c r="A6324" s="26"/>
      <c r="B6324" s="2"/>
      <c r="C6324" s="26"/>
      <c r="D6324" s="26"/>
      <c r="F6324" s="85" t="str">
        <f t="shared" si="0"/>
        <v/>
      </c>
      <c r="G6324" s="1" t="e">
        <f>IF(VALUE(F6324) = VALUE(RIGHT(Insights!$C$3, 4)), E6324, "")</f>
        <v>#VALUE!</v>
      </c>
      <c r="H6324" s="26" t="e">
        <f t="shared" si="1"/>
        <v>#VALUE!</v>
      </c>
      <c r="I6324" s="1" t="e">
        <f t="shared" si="2"/>
        <v>#VALUE!</v>
      </c>
    </row>
    <row r="6325" spans="1:9" ht="15.75" customHeight="1">
      <c r="A6325" s="26"/>
      <c r="B6325" s="2"/>
      <c r="C6325" s="26"/>
      <c r="D6325" s="26"/>
      <c r="F6325" s="85" t="str">
        <f t="shared" si="0"/>
        <v/>
      </c>
      <c r="G6325" s="1" t="e">
        <f>IF(VALUE(F6325) = VALUE(RIGHT(Insights!$C$3, 4)), E6325, "")</f>
        <v>#VALUE!</v>
      </c>
      <c r="H6325" s="26" t="e">
        <f t="shared" si="1"/>
        <v>#VALUE!</v>
      </c>
      <c r="I6325" s="1" t="e">
        <f t="shared" si="2"/>
        <v>#VALUE!</v>
      </c>
    </row>
    <row r="6326" spans="1:9" ht="15.75" customHeight="1">
      <c r="A6326" s="26"/>
      <c r="B6326" s="2"/>
      <c r="C6326" s="26"/>
      <c r="D6326" s="26"/>
      <c r="F6326" s="85" t="str">
        <f t="shared" si="0"/>
        <v/>
      </c>
      <c r="G6326" s="1" t="e">
        <f>IF(VALUE(F6326) = VALUE(RIGHT(Insights!$C$3, 4)), E6326, "")</f>
        <v>#VALUE!</v>
      </c>
      <c r="H6326" s="26" t="e">
        <f t="shared" si="1"/>
        <v>#VALUE!</v>
      </c>
      <c r="I6326" s="1" t="e">
        <f t="shared" si="2"/>
        <v>#VALUE!</v>
      </c>
    </row>
    <row r="6327" spans="1:9" ht="15.75" customHeight="1">
      <c r="A6327" s="26"/>
      <c r="B6327" s="2"/>
      <c r="C6327" s="26"/>
      <c r="D6327" s="26"/>
      <c r="F6327" s="85" t="str">
        <f t="shared" si="0"/>
        <v/>
      </c>
      <c r="G6327" s="1" t="e">
        <f>IF(VALUE(F6327) = VALUE(RIGHT(Insights!$C$3, 4)), E6327, "")</f>
        <v>#VALUE!</v>
      </c>
      <c r="H6327" s="26" t="e">
        <f t="shared" si="1"/>
        <v>#VALUE!</v>
      </c>
      <c r="I6327" s="1" t="e">
        <f t="shared" si="2"/>
        <v>#VALUE!</v>
      </c>
    </row>
    <row r="6328" spans="1:9" ht="15.75" customHeight="1">
      <c r="A6328" s="26"/>
      <c r="B6328" s="2"/>
      <c r="C6328" s="26"/>
      <c r="D6328" s="26"/>
      <c r="F6328" s="85" t="str">
        <f t="shared" si="0"/>
        <v/>
      </c>
      <c r="G6328" s="1" t="e">
        <f>IF(VALUE(F6328) = VALUE(RIGHT(Insights!$C$3, 4)), E6328, "")</f>
        <v>#VALUE!</v>
      </c>
      <c r="H6328" s="26" t="e">
        <f t="shared" si="1"/>
        <v>#VALUE!</v>
      </c>
      <c r="I6328" s="1" t="e">
        <f t="shared" si="2"/>
        <v>#VALUE!</v>
      </c>
    </row>
    <row r="6329" spans="1:9" ht="15.75" customHeight="1">
      <c r="A6329" s="26"/>
      <c r="B6329" s="2"/>
      <c r="C6329" s="26"/>
      <c r="D6329" s="26"/>
      <c r="F6329" s="85" t="str">
        <f t="shared" si="0"/>
        <v/>
      </c>
      <c r="G6329" s="1" t="e">
        <f>IF(VALUE(F6329) = VALUE(RIGHT(Insights!$C$3, 4)), E6329, "")</f>
        <v>#VALUE!</v>
      </c>
      <c r="H6329" s="26" t="e">
        <f t="shared" si="1"/>
        <v>#VALUE!</v>
      </c>
      <c r="I6329" s="1" t="e">
        <f t="shared" si="2"/>
        <v>#VALUE!</v>
      </c>
    </row>
    <row r="6330" spans="1:9" ht="15.75" customHeight="1">
      <c r="A6330" s="26"/>
      <c r="B6330" s="2"/>
      <c r="C6330" s="26"/>
      <c r="D6330" s="26"/>
      <c r="F6330" s="85" t="str">
        <f t="shared" si="0"/>
        <v/>
      </c>
      <c r="G6330" s="1" t="e">
        <f>IF(VALUE(F6330) = VALUE(RIGHT(Insights!$C$3, 4)), E6330, "")</f>
        <v>#VALUE!</v>
      </c>
      <c r="H6330" s="26" t="e">
        <f t="shared" si="1"/>
        <v>#VALUE!</v>
      </c>
      <c r="I6330" s="1" t="e">
        <f t="shared" si="2"/>
        <v>#VALUE!</v>
      </c>
    </row>
    <row r="6331" spans="1:9" ht="15.75" customHeight="1">
      <c r="A6331" s="26"/>
      <c r="B6331" s="2"/>
      <c r="C6331" s="26"/>
      <c r="D6331" s="26"/>
      <c r="F6331" s="85" t="str">
        <f t="shared" si="0"/>
        <v/>
      </c>
      <c r="G6331" s="1" t="e">
        <f>IF(VALUE(F6331) = VALUE(RIGHT(Insights!$C$3, 4)), E6331, "")</f>
        <v>#VALUE!</v>
      </c>
      <c r="H6331" s="26" t="e">
        <f t="shared" si="1"/>
        <v>#VALUE!</v>
      </c>
      <c r="I6331" s="1" t="e">
        <f t="shared" si="2"/>
        <v>#VALUE!</v>
      </c>
    </row>
    <row r="6332" spans="1:9" ht="15.75" customHeight="1">
      <c r="A6332" s="26"/>
      <c r="B6332" s="2"/>
      <c r="C6332" s="26"/>
      <c r="D6332" s="26"/>
      <c r="F6332" s="85" t="str">
        <f t="shared" si="0"/>
        <v/>
      </c>
      <c r="G6332" s="1" t="e">
        <f>IF(VALUE(F6332) = VALUE(RIGHT(Insights!$C$3, 4)), E6332, "")</f>
        <v>#VALUE!</v>
      </c>
      <c r="H6332" s="26" t="e">
        <f t="shared" si="1"/>
        <v>#VALUE!</v>
      </c>
      <c r="I6332" s="1" t="e">
        <f t="shared" si="2"/>
        <v>#VALUE!</v>
      </c>
    </row>
    <row r="6333" spans="1:9" ht="15.75" customHeight="1">
      <c r="A6333" s="26"/>
      <c r="B6333" s="2"/>
      <c r="C6333" s="26"/>
      <c r="D6333" s="26"/>
      <c r="F6333" s="85" t="str">
        <f t="shared" si="0"/>
        <v/>
      </c>
      <c r="G6333" s="1" t="e">
        <f>IF(VALUE(F6333) = VALUE(RIGHT(Insights!$C$3, 4)), E6333, "")</f>
        <v>#VALUE!</v>
      </c>
      <c r="H6333" s="26" t="e">
        <f t="shared" si="1"/>
        <v>#VALUE!</v>
      </c>
      <c r="I6333" s="1" t="e">
        <f t="shared" si="2"/>
        <v>#VALUE!</v>
      </c>
    </row>
    <row r="6334" spans="1:9" ht="15.75" customHeight="1">
      <c r="A6334" s="26"/>
      <c r="B6334" s="2"/>
      <c r="C6334" s="26"/>
      <c r="D6334" s="26"/>
      <c r="F6334" s="85" t="str">
        <f t="shared" si="0"/>
        <v/>
      </c>
      <c r="G6334" s="1" t="e">
        <f>IF(VALUE(F6334) = VALUE(RIGHT(Insights!$C$3, 4)), E6334, "")</f>
        <v>#VALUE!</v>
      </c>
      <c r="H6334" s="26" t="e">
        <f t="shared" si="1"/>
        <v>#VALUE!</v>
      </c>
      <c r="I6334" s="1" t="e">
        <f t="shared" si="2"/>
        <v>#VALUE!</v>
      </c>
    </row>
    <row r="6335" spans="1:9" ht="15.75" customHeight="1">
      <c r="A6335" s="26"/>
      <c r="B6335" s="2"/>
      <c r="C6335" s="26"/>
      <c r="D6335" s="26"/>
      <c r="F6335" s="85" t="str">
        <f t="shared" si="0"/>
        <v/>
      </c>
      <c r="G6335" s="1" t="e">
        <f>IF(VALUE(F6335) = VALUE(RIGHT(Insights!$C$3, 4)), E6335, "")</f>
        <v>#VALUE!</v>
      </c>
      <c r="H6335" s="26" t="e">
        <f t="shared" si="1"/>
        <v>#VALUE!</v>
      </c>
      <c r="I6335" s="1" t="e">
        <f t="shared" si="2"/>
        <v>#VALUE!</v>
      </c>
    </row>
    <row r="6336" spans="1:9" ht="15.75" customHeight="1">
      <c r="A6336" s="26"/>
      <c r="B6336" s="2"/>
      <c r="C6336" s="26"/>
      <c r="D6336" s="26"/>
      <c r="F6336" s="85" t="str">
        <f t="shared" si="0"/>
        <v/>
      </c>
      <c r="G6336" s="1" t="e">
        <f>IF(VALUE(F6336) = VALUE(RIGHT(Insights!$C$3, 4)), E6336, "")</f>
        <v>#VALUE!</v>
      </c>
      <c r="H6336" s="26" t="e">
        <f t="shared" si="1"/>
        <v>#VALUE!</v>
      </c>
      <c r="I6336" s="1" t="e">
        <f t="shared" si="2"/>
        <v>#VALUE!</v>
      </c>
    </row>
    <row r="6337" spans="1:9" ht="15.75" customHeight="1">
      <c r="A6337" s="26"/>
      <c r="B6337" s="2"/>
      <c r="C6337" s="26"/>
      <c r="D6337" s="26"/>
      <c r="F6337" s="85" t="str">
        <f t="shared" si="0"/>
        <v/>
      </c>
      <c r="G6337" s="1" t="e">
        <f>IF(VALUE(F6337) = VALUE(RIGHT(Insights!$C$3, 4)), E6337, "")</f>
        <v>#VALUE!</v>
      </c>
      <c r="H6337" s="26" t="e">
        <f t="shared" si="1"/>
        <v>#VALUE!</v>
      </c>
      <c r="I6337" s="1" t="e">
        <f t="shared" si="2"/>
        <v>#VALUE!</v>
      </c>
    </row>
    <row r="6338" spans="1:9" ht="15.75" customHeight="1">
      <c r="A6338" s="26"/>
      <c r="B6338" s="2"/>
      <c r="C6338" s="26"/>
      <c r="D6338" s="26"/>
      <c r="F6338" s="85" t="str">
        <f t="shared" si="0"/>
        <v/>
      </c>
      <c r="G6338" s="1" t="e">
        <f>IF(VALUE(F6338) = VALUE(RIGHT(Insights!$C$3, 4)), E6338, "")</f>
        <v>#VALUE!</v>
      </c>
      <c r="H6338" s="26" t="e">
        <f t="shared" si="1"/>
        <v>#VALUE!</v>
      </c>
      <c r="I6338" s="1" t="e">
        <f t="shared" si="2"/>
        <v>#VALUE!</v>
      </c>
    </row>
    <row r="6339" spans="1:9" ht="15.75" customHeight="1">
      <c r="A6339" s="26"/>
      <c r="B6339" s="2"/>
      <c r="C6339" s="26"/>
      <c r="D6339" s="26"/>
      <c r="F6339" s="85" t="str">
        <f t="shared" si="0"/>
        <v/>
      </c>
      <c r="G6339" s="1" t="e">
        <f>IF(VALUE(F6339) = VALUE(RIGHT(Insights!$C$3, 4)), E6339, "")</f>
        <v>#VALUE!</v>
      </c>
      <c r="H6339" s="26" t="e">
        <f t="shared" si="1"/>
        <v>#VALUE!</v>
      </c>
      <c r="I6339" s="1" t="e">
        <f t="shared" si="2"/>
        <v>#VALUE!</v>
      </c>
    </row>
    <row r="6340" spans="1:9" ht="15.75" customHeight="1">
      <c r="A6340" s="26"/>
      <c r="B6340" s="2"/>
      <c r="C6340" s="26"/>
      <c r="D6340" s="26"/>
      <c r="F6340" s="85" t="str">
        <f t="shared" si="0"/>
        <v/>
      </c>
      <c r="G6340" s="1" t="e">
        <f>IF(VALUE(F6340) = VALUE(RIGHT(Insights!$C$3, 4)), E6340, "")</f>
        <v>#VALUE!</v>
      </c>
      <c r="H6340" s="26" t="e">
        <f t="shared" si="1"/>
        <v>#VALUE!</v>
      </c>
      <c r="I6340" s="1" t="e">
        <f t="shared" si="2"/>
        <v>#VALUE!</v>
      </c>
    </row>
    <row r="6341" spans="1:9" ht="15.75" customHeight="1">
      <c r="A6341" s="26"/>
      <c r="B6341" s="2"/>
      <c r="C6341" s="26"/>
      <c r="D6341" s="26"/>
      <c r="F6341" s="85" t="str">
        <f t="shared" si="0"/>
        <v/>
      </c>
      <c r="G6341" s="1" t="e">
        <f>IF(VALUE(F6341) = VALUE(RIGHT(Insights!$C$3, 4)), E6341, "")</f>
        <v>#VALUE!</v>
      </c>
      <c r="H6341" s="26" t="e">
        <f t="shared" si="1"/>
        <v>#VALUE!</v>
      </c>
      <c r="I6341" s="1" t="e">
        <f t="shared" si="2"/>
        <v>#VALUE!</v>
      </c>
    </row>
    <row r="6342" spans="1:9" ht="15.75" customHeight="1">
      <c r="A6342" s="26"/>
      <c r="B6342" s="2"/>
      <c r="C6342" s="26"/>
      <c r="D6342" s="26"/>
      <c r="F6342" s="85" t="str">
        <f t="shared" si="0"/>
        <v/>
      </c>
      <c r="G6342" s="1" t="e">
        <f>IF(VALUE(F6342) = VALUE(RIGHT(Insights!$C$3, 4)), E6342, "")</f>
        <v>#VALUE!</v>
      </c>
      <c r="H6342" s="26" t="e">
        <f t="shared" si="1"/>
        <v>#VALUE!</v>
      </c>
      <c r="I6342" s="1" t="e">
        <f t="shared" si="2"/>
        <v>#VALUE!</v>
      </c>
    </row>
    <row r="6343" spans="1:9" ht="15.75" customHeight="1">
      <c r="A6343" s="26"/>
      <c r="B6343" s="2"/>
      <c r="C6343" s="26"/>
      <c r="D6343" s="26"/>
      <c r="F6343" s="85" t="str">
        <f t="shared" si="0"/>
        <v/>
      </c>
      <c r="G6343" s="1" t="e">
        <f>IF(VALUE(F6343) = VALUE(RIGHT(Insights!$C$3, 4)), E6343, "")</f>
        <v>#VALUE!</v>
      </c>
      <c r="H6343" s="26" t="e">
        <f t="shared" si="1"/>
        <v>#VALUE!</v>
      </c>
      <c r="I6343" s="1" t="e">
        <f t="shared" si="2"/>
        <v>#VALUE!</v>
      </c>
    </row>
    <row r="6344" spans="1:9" ht="15.75" customHeight="1">
      <c r="A6344" s="26"/>
      <c r="B6344" s="2"/>
      <c r="C6344" s="26"/>
      <c r="D6344" s="26"/>
      <c r="F6344" s="85" t="str">
        <f t="shared" si="0"/>
        <v/>
      </c>
      <c r="G6344" s="1" t="e">
        <f>IF(VALUE(F6344) = VALUE(RIGHT(Insights!$C$3, 4)), E6344, "")</f>
        <v>#VALUE!</v>
      </c>
      <c r="H6344" s="26" t="e">
        <f t="shared" si="1"/>
        <v>#VALUE!</v>
      </c>
      <c r="I6344" s="1" t="e">
        <f t="shared" si="2"/>
        <v>#VALUE!</v>
      </c>
    </row>
    <row r="6345" spans="1:9" ht="15.75" customHeight="1">
      <c r="A6345" s="26"/>
      <c r="B6345" s="2"/>
      <c r="C6345" s="26"/>
      <c r="D6345" s="26"/>
      <c r="F6345" s="85" t="str">
        <f t="shared" si="0"/>
        <v/>
      </c>
      <c r="G6345" s="1" t="e">
        <f>IF(VALUE(F6345) = VALUE(RIGHT(Insights!$C$3, 4)), E6345, "")</f>
        <v>#VALUE!</v>
      </c>
      <c r="H6345" s="26" t="e">
        <f t="shared" si="1"/>
        <v>#VALUE!</v>
      </c>
      <c r="I6345" s="1" t="e">
        <f t="shared" si="2"/>
        <v>#VALUE!</v>
      </c>
    </row>
    <row r="6346" spans="1:9" ht="15.75" customHeight="1">
      <c r="A6346" s="26"/>
      <c r="B6346" s="2"/>
      <c r="C6346" s="26"/>
      <c r="D6346" s="26"/>
      <c r="F6346" s="85" t="str">
        <f t="shared" si="0"/>
        <v/>
      </c>
      <c r="G6346" s="1" t="e">
        <f>IF(VALUE(F6346) = VALUE(RIGHT(Insights!$C$3, 4)), E6346, "")</f>
        <v>#VALUE!</v>
      </c>
      <c r="H6346" s="26" t="e">
        <f t="shared" si="1"/>
        <v>#VALUE!</v>
      </c>
      <c r="I6346" s="1" t="e">
        <f t="shared" si="2"/>
        <v>#VALUE!</v>
      </c>
    </row>
    <row r="6347" spans="1:9" ht="15.75" customHeight="1">
      <c r="A6347" s="26"/>
      <c r="B6347" s="2"/>
      <c r="C6347" s="26"/>
      <c r="D6347" s="26"/>
      <c r="F6347" s="85" t="str">
        <f t="shared" si="0"/>
        <v/>
      </c>
      <c r="G6347" s="1" t="e">
        <f>IF(VALUE(F6347) = VALUE(RIGHT(Insights!$C$3, 4)), E6347, "")</f>
        <v>#VALUE!</v>
      </c>
      <c r="H6347" s="26" t="e">
        <f t="shared" si="1"/>
        <v>#VALUE!</v>
      </c>
      <c r="I6347" s="1" t="e">
        <f t="shared" si="2"/>
        <v>#VALUE!</v>
      </c>
    </row>
    <row r="6348" spans="1:9" ht="15.75" customHeight="1">
      <c r="A6348" s="26"/>
      <c r="B6348" s="2"/>
      <c r="C6348" s="26"/>
      <c r="D6348" s="26"/>
      <c r="F6348" s="85" t="str">
        <f t="shared" si="0"/>
        <v/>
      </c>
      <c r="G6348" s="1" t="e">
        <f>IF(VALUE(F6348) = VALUE(RIGHT(Insights!$C$3, 4)), E6348, "")</f>
        <v>#VALUE!</v>
      </c>
      <c r="H6348" s="26" t="e">
        <f t="shared" si="1"/>
        <v>#VALUE!</v>
      </c>
      <c r="I6348" s="1" t="e">
        <f t="shared" si="2"/>
        <v>#VALUE!</v>
      </c>
    </row>
    <row r="6349" spans="1:9" ht="15.75" customHeight="1">
      <c r="A6349" s="26"/>
      <c r="B6349" s="2"/>
      <c r="C6349" s="26"/>
      <c r="D6349" s="26"/>
      <c r="F6349" s="85" t="str">
        <f t="shared" si="0"/>
        <v/>
      </c>
      <c r="G6349" s="1" t="e">
        <f>IF(VALUE(F6349) = VALUE(RIGHT(Insights!$C$3, 4)), E6349, "")</f>
        <v>#VALUE!</v>
      </c>
      <c r="H6349" s="26" t="e">
        <f t="shared" si="1"/>
        <v>#VALUE!</v>
      </c>
      <c r="I6349" s="1" t="e">
        <f t="shared" si="2"/>
        <v>#VALUE!</v>
      </c>
    </row>
    <row r="6350" spans="1:9" ht="15.75" customHeight="1">
      <c r="A6350" s="26"/>
      <c r="B6350" s="2"/>
      <c r="C6350" s="26"/>
      <c r="D6350" s="26"/>
      <c r="F6350" s="85" t="str">
        <f t="shared" si="0"/>
        <v/>
      </c>
      <c r="G6350" s="1" t="e">
        <f>IF(VALUE(F6350) = VALUE(RIGHT(Insights!$C$3, 4)), E6350, "")</f>
        <v>#VALUE!</v>
      </c>
      <c r="H6350" s="26" t="e">
        <f t="shared" si="1"/>
        <v>#VALUE!</v>
      </c>
      <c r="I6350" s="1" t="e">
        <f t="shared" si="2"/>
        <v>#VALUE!</v>
      </c>
    </row>
    <row r="6351" spans="1:9" ht="15.75" customHeight="1">
      <c r="A6351" s="26"/>
      <c r="B6351" s="2"/>
      <c r="C6351" s="26"/>
      <c r="D6351" s="26"/>
      <c r="F6351" s="85" t="str">
        <f t="shared" si="0"/>
        <v/>
      </c>
      <c r="G6351" s="1" t="e">
        <f>IF(VALUE(F6351) = VALUE(RIGHT(Insights!$C$3, 4)), E6351, "")</f>
        <v>#VALUE!</v>
      </c>
      <c r="H6351" s="26" t="e">
        <f t="shared" si="1"/>
        <v>#VALUE!</v>
      </c>
      <c r="I6351" s="1" t="e">
        <f t="shared" si="2"/>
        <v>#VALUE!</v>
      </c>
    </row>
    <row r="6352" spans="1:9" ht="15.75" customHeight="1">
      <c r="A6352" s="26"/>
      <c r="B6352" s="2"/>
      <c r="C6352" s="26"/>
      <c r="D6352" s="26"/>
      <c r="F6352" s="85" t="str">
        <f t="shared" si="0"/>
        <v/>
      </c>
      <c r="G6352" s="1" t="e">
        <f>IF(VALUE(F6352) = VALUE(RIGHT(Insights!$C$3, 4)), E6352, "")</f>
        <v>#VALUE!</v>
      </c>
      <c r="H6352" s="26" t="e">
        <f t="shared" si="1"/>
        <v>#VALUE!</v>
      </c>
      <c r="I6352" s="1" t="e">
        <f t="shared" si="2"/>
        <v>#VALUE!</v>
      </c>
    </row>
    <row r="6353" spans="1:9" ht="15.75" customHeight="1">
      <c r="A6353" s="26"/>
      <c r="B6353" s="2"/>
      <c r="C6353" s="26"/>
      <c r="D6353" s="26"/>
      <c r="F6353" s="85" t="str">
        <f t="shared" si="0"/>
        <v/>
      </c>
      <c r="G6353" s="1" t="e">
        <f>IF(VALUE(F6353) = VALUE(RIGHT(Insights!$C$3, 4)), E6353, "")</f>
        <v>#VALUE!</v>
      </c>
      <c r="H6353" s="26" t="e">
        <f t="shared" si="1"/>
        <v>#VALUE!</v>
      </c>
      <c r="I6353" s="1" t="e">
        <f t="shared" si="2"/>
        <v>#VALUE!</v>
      </c>
    </row>
    <row r="6354" spans="1:9" ht="15.75" customHeight="1">
      <c r="A6354" s="26"/>
      <c r="B6354" s="2"/>
      <c r="C6354" s="26"/>
      <c r="D6354" s="26"/>
      <c r="F6354" s="85" t="str">
        <f t="shared" si="0"/>
        <v/>
      </c>
      <c r="G6354" s="1" t="e">
        <f>IF(VALUE(F6354) = VALUE(RIGHT(Insights!$C$3, 4)), E6354, "")</f>
        <v>#VALUE!</v>
      </c>
      <c r="H6354" s="26" t="e">
        <f t="shared" si="1"/>
        <v>#VALUE!</v>
      </c>
      <c r="I6354" s="1" t="e">
        <f t="shared" si="2"/>
        <v>#VALUE!</v>
      </c>
    </row>
    <row r="6355" spans="1:9" ht="15.75" customHeight="1">
      <c r="A6355" s="26"/>
      <c r="B6355" s="2"/>
      <c r="C6355" s="26"/>
      <c r="D6355" s="26"/>
      <c r="F6355" s="85" t="str">
        <f t="shared" si="0"/>
        <v/>
      </c>
      <c r="G6355" s="1" t="e">
        <f>IF(VALUE(F6355) = VALUE(RIGHT(Insights!$C$3, 4)), E6355, "")</f>
        <v>#VALUE!</v>
      </c>
      <c r="H6355" s="26" t="e">
        <f t="shared" si="1"/>
        <v>#VALUE!</v>
      </c>
      <c r="I6355" s="1" t="e">
        <f t="shared" si="2"/>
        <v>#VALUE!</v>
      </c>
    </row>
    <row r="6356" spans="1:9" ht="15.75" customHeight="1">
      <c r="A6356" s="26"/>
      <c r="B6356" s="2"/>
      <c r="C6356" s="26"/>
      <c r="D6356" s="26"/>
      <c r="F6356" s="85" t="str">
        <f t="shared" si="0"/>
        <v/>
      </c>
      <c r="G6356" s="1" t="e">
        <f>IF(VALUE(F6356) = VALUE(RIGHT(Insights!$C$3, 4)), E6356, "")</f>
        <v>#VALUE!</v>
      </c>
      <c r="H6356" s="26" t="e">
        <f t="shared" si="1"/>
        <v>#VALUE!</v>
      </c>
      <c r="I6356" s="1" t="e">
        <f t="shared" si="2"/>
        <v>#VALUE!</v>
      </c>
    </row>
    <row r="6357" spans="1:9" ht="15.75" customHeight="1">
      <c r="A6357" s="26"/>
      <c r="B6357" s="2"/>
      <c r="C6357" s="26"/>
      <c r="D6357" s="26"/>
      <c r="F6357" s="85" t="str">
        <f t="shared" si="0"/>
        <v/>
      </c>
      <c r="G6357" s="1" t="e">
        <f>IF(VALUE(F6357) = VALUE(RIGHT(Insights!$C$3, 4)), E6357, "")</f>
        <v>#VALUE!</v>
      </c>
      <c r="H6357" s="26" t="e">
        <f t="shared" si="1"/>
        <v>#VALUE!</v>
      </c>
      <c r="I6357" s="1" t="e">
        <f t="shared" si="2"/>
        <v>#VALUE!</v>
      </c>
    </row>
    <row r="6358" spans="1:9" ht="15.75" customHeight="1">
      <c r="A6358" s="26"/>
      <c r="B6358" s="2"/>
      <c r="C6358" s="26"/>
      <c r="D6358" s="26"/>
      <c r="F6358" s="85" t="str">
        <f t="shared" si="0"/>
        <v/>
      </c>
      <c r="G6358" s="1" t="e">
        <f>IF(VALUE(F6358) = VALUE(RIGHT(Insights!$C$3, 4)), E6358, "")</f>
        <v>#VALUE!</v>
      </c>
      <c r="H6358" s="26" t="e">
        <f t="shared" si="1"/>
        <v>#VALUE!</v>
      </c>
      <c r="I6358" s="1" t="e">
        <f t="shared" si="2"/>
        <v>#VALUE!</v>
      </c>
    </row>
    <row r="6359" spans="1:9" ht="15.75" customHeight="1">
      <c r="A6359" s="26"/>
      <c r="B6359" s="2"/>
      <c r="C6359" s="26"/>
      <c r="D6359" s="26"/>
      <c r="F6359" s="85" t="str">
        <f t="shared" si="0"/>
        <v/>
      </c>
      <c r="G6359" s="1" t="e">
        <f>IF(VALUE(F6359) = VALUE(RIGHT(Insights!$C$3, 4)), E6359, "")</f>
        <v>#VALUE!</v>
      </c>
      <c r="H6359" s="26" t="e">
        <f t="shared" si="1"/>
        <v>#VALUE!</v>
      </c>
      <c r="I6359" s="1" t="e">
        <f t="shared" si="2"/>
        <v>#VALUE!</v>
      </c>
    </row>
    <row r="6360" spans="1:9" ht="15.75" customHeight="1">
      <c r="A6360" s="26"/>
      <c r="B6360" s="2"/>
      <c r="C6360" s="26"/>
      <c r="D6360" s="26"/>
      <c r="F6360" s="85" t="str">
        <f t="shared" si="0"/>
        <v/>
      </c>
      <c r="G6360" s="1" t="e">
        <f>IF(VALUE(F6360) = VALUE(RIGHT(Insights!$C$3, 4)), E6360, "")</f>
        <v>#VALUE!</v>
      </c>
      <c r="H6360" s="26" t="e">
        <f t="shared" si="1"/>
        <v>#VALUE!</v>
      </c>
      <c r="I6360" s="1" t="e">
        <f t="shared" si="2"/>
        <v>#VALUE!</v>
      </c>
    </row>
    <row r="6361" spans="1:9" ht="15.75" customHeight="1">
      <c r="A6361" s="26"/>
      <c r="B6361" s="2"/>
      <c r="C6361" s="26"/>
      <c r="D6361" s="26"/>
      <c r="F6361" s="85" t="str">
        <f t="shared" si="0"/>
        <v/>
      </c>
      <c r="G6361" s="1" t="e">
        <f>IF(VALUE(F6361) = VALUE(RIGHT(Insights!$C$3, 4)), E6361, "")</f>
        <v>#VALUE!</v>
      </c>
      <c r="H6361" s="26" t="e">
        <f t="shared" si="1"/>
        <v>#VALUE!</v>
      </c>
      <c r="I6361" s="1" t="e">
        <f t="shared" si="2"/>
        <v>#VALUE!</v>
      </c>
    </row>
    <row r="6362" spans="1:9" ht="15.75" customHeight="1">
      <c r="A6362" s="26"/>
      <c r="B6362" s="2"/>
      <c r="C6362" s="26"/>
      <c r="D6362" s="26"/>
      <c r="F6362" s="85" t="str">
        <f t="shared" si="0"/>
        <v/>
      </c>
      <c r="G6362" s="1" t="e">
        <f>IF(VALUE(F6362) = VALUE(RIGHT(Insights!$C$3, 4)), E6362, "")</f>
        <v>#VALUE!</v>
      </c>
      <c r="H6362" s="26" t="e">
        <f t="shared" si="1"/>
        <v>#VALUE!</v>
      </c>
      <c r="I6362" s="1" t="e">
        <f t="shared" si="2"/>
        <v>#VALUE!</v>
      </c>
    </row>
    <row r="6363" spans="1:9" ht="15.75" customHeight="1">
      <c r="A6363" s="26"/>
      <c r="B6363" s="2"/>
      <c r="C6363" s="26"/>
      <c r="D6363" s="26"/>
      <c r="F6363" s="85" t="str">
        <f t="shared" si="0"/>
        <v/>
      </c>
      <c r="G6363" s="1" t="e">
        <f>IF(VALUE(F6363) = VALUE(RIGHT(Insights!$C$3, 4)), E6363, "")</f>
        <v>#VALUE!</v>
      </c>
      <c r="H6363" s="26" t="e">
        <f t="shared" si="1"/>
        <v>#VALUE!</v>
      </c>
      <c r="I6363" s="1" t="e">
        <f t="shared" si="2"/>
        <v>#VALUE!</v>
      </c>
    </row>
    <row r="6364" spans="1:9" ht="15.75" customHeight="1">
      <c r="A6364" s="26"/>
      <c r="B6364" s="2"/>
      <c r="C6364" s="26"/>
      <c r="D6364" s="26"/>
      <c r="F6364" s="85" t="str">
        <f t="shared" si="0"/>
        <v/>
      </c>
      <c r="G6364" s="1" t="e">
        <f>IF(VALUE(F6364) = VALUE(RIGHT(Insights!$C$3, 4)), E6364, "")</f>
        <v>#VALUE!</v>
      </c>
      <c r="H6364" s="26" t="e">
        <f t="shared" si="1"/>
        <v>#VALUE!</v>
      </c>
      <c r="I6364" s="1" t="e">
        <f t="shared" si="2"/>
        <v>#VALUE!</v>
      </c>
    </row>
    <row r="6365" spans="1:9" ht="15.75" customHeight="1">
      <c r="A6365" s="26"/>
      <c r="B6365" s="2"/>
      <c r="C6365" s="26"/>
      <c r="D6365" s="26"/>
      <c r="F6365" s="85" t="str">
        <f t="shared" si="0"/>
        <v/>
      </c>
      <c r="G6365" s="1" t="e">
        <f>IF(VALUE(F6365) = VALUE(RIGHT(Insights!$C$3, 4)), E6365, "")</f>
        <v>#VALUE!</v>
      </c>
      <c r="H6365" s="26" t="e">
        <f t="shared" si="1"/>
        <v>#VALUE!</v>
      </c>
      <c r="I6365" s="1" t="e">
        <f t="shared" si="2"/>
        <v>#VALUE!</v>
      </c>
    </row>
    <row r="6366" spans="1:9" ht="15.75" customHeight="1">
      <c r="A6366" s="26"/>
      <c r="B6366" s="2"/>
      <c r="C6366" s="26"/>
      <c r="D6366" s="26"/>
      <c r="F6366" s="85" t="str">
        <f t="shared" si="0"/>
        <v/>
      </c>
      <c r="G6366" s="1" t="e">
        <f>IF(VALUE(F6366) = VALUE(RIGHT(Insights!$C$3, 4)), E6366, "")</f>
        <v>#VALUE!</v>
      </c>
      <c r="H6366" s="26" t="e">
        <f t="shared" si="1"/>
        <v>#VALUE!</v>
      </c>
      <c r="I6366" s="1" t="e">
        <f t="shared" si="2"/>
        <v>#VALUE!</v>
      </c>
    </row>
    <row r="6367" spans="1:9" ht="15.75" customHeight="1">
      <c r="A6367" s="26"/>
      <c r="B6367" s="2"/>
      <c r="C6367" s="26"/>
      <c r="D6367" s="26"/>
      <c r="F6367" s="85" t="str">
        <f t="shared" si="0"/>
        <v/>
      </c>
      <c r="G6367" s="1" t="e">
        <f>IF(VALUE(F6367) = VALUE(RIGHT(Insights!$C$3, 4)), E6367, "")</f>
        <v>#VALUE!</v>
      </c>
      <c r="H6367" s="26" t="e">
        <f t="shared" si="1"/>
        <v>#VALUE!</v>
      </c>
      <c r="I6367" s="1" t="e">
        <f t="shared" si="2"/>
        <v>#VALUE!</v>
      </c>
    </row>
    <row r="6368" spans="1:9" ht="15.75" customHeight="1">
      <c r="A6368" s="26"/>
      <c r="B6368" s="2"/>
      <c r="C6368" s="26"/>
      <c r="D6368" s="26"/>
      <c r="F6368" s="85" t="str">
        <f t="shared" si="0"/>
        <v/>
      </c>
      <c r="G6368" s="1" t="e">
        <f>IF(VALUE(F6368) = VALUE(RIGHT(Insights!$C$3, 4)), E6368, "")</f>
        <v>#VALUE!</v>
      </c>
      <c r="H6368" s="26" t="e">
        <f t="shared" si="1"/>
        <v>#VALUE!</v>
      </c>
      <c r="I6368" s="1" t="e">
        <f t="shared" si="2"/>
        <v>#VALUE!</v>
      </c>
    </row>
    <row r="6369" spans="1:9" ht="15.75" customHeight="1">
      <c r="A6369" s="26"/>
      <c r="B6369" s="2"/>
      <c r="C6369" s="26"/>
      <c r="D6369" s="26"/>
      <c r="F6369" s="85" t="str">
        <f t="shared" si="0"/>
        <v/>
      </c>
      <c r="G6369" s="1" t="e">
        <f>IF(VALUE(F6369) = VALUE(RIGHT(Insights!$C$3, 4)), E6369, "")</f>
        <v>#VALUE!</v>
      </c>
      <c r="H6369" s="26" t="e">
        <f t="shared" si="1"/>
        <v>#VALUE!</v>
      </c>
      <c r="I6369" s="1" t="e">
        <f t="shared" si="2"/>
        <v>#VALUE!</v>
      </c>
    </row>
    <row r="6370" spans="1:9" ht="15.75" customHeight="1">
      <c r="A6370" s="26"/>
      <c r="B6370" s="2"/>
      <c r="C6370" s="26"/>
      <c r="D6370" s="26"/>
      <c r="F6370" s="85" t="str">
        <f t="shared" si="0"/>
        <v/>
      </c>
      <c r="G6370" s="1" t="e">
        <f>IF(VALUE(F6370) = VALUE(RIGHT(Insights!$C$3, 4)), E6370, "")</f>
        <v>#VALUE!</v>
      </c>
      <c r="H6370" s="26" t="e">
        <f t="shared" si="1"/>
        <v>#VALUE!</v>
      </c>
      <c r="I6370" s="1" t="e">
        <f t="shared" si="2"/>
        <v>#VALUE!</v>
      </c>
    </row>
    <row r="6371" spans="1:9" ht="15.75" customHeight="1">
      <c r="A6371" s="26"/>
      <c r="B6371" s="2"/>
      <c r="C6371" s="26"/>
      <c r="D6371" s="26"/>
      <c r="F6371" s="85" t="str">
        <f t="shared" si="0"/>
        <v/>
      </c>
      <c r="G6371" s="1" t="e">
        <f>IF(VALUE(F6371) = VALUE(RIGHT(Insights!$C$3, 4)), E6371, "")</f>
        <v>#VALUE!</v>
      </c>
      <c r="H6371" s="26" t="e">
        <f t="shared" si="1"/>
        <v>#VALUE!</v>
      </c>
      <c r="I6371" s="1" t="e">
        <f t="shared" si="2"/>
        <v>#VALUE!</v>
      </c>
    </row>
    <row r="6372" spans="1:9" ht="15.75" customHeight="1">
      <c r="A6372" s="26"/>
      <c r="B6372" s="2"/>
      <c r="C6372" s="26"/>
      <c r="D6372" s="26"/>
      <c r="F6372" s="85" t="str">
        <f t="shared" si="0"/>
        <v/>
      </c>
      <c r="G6372" s="1" t="e">
        <f>IF(VALUE(F6372) = VALUE(RIGHT(Insights!$C$3, 4)), E6372, "")</f>
        <v>#VALUE!</v>
      </c>
      <c r="H6372" s="26" t="e">
        <f t="shared" si="1"/>
        <v>#VALUE!</v>
      </c>
      <c r="I6372" s="1" t="e">
        <f t="shared" si="2"/>
        <v>#VALUE!</v>
      </c>
    </row>
    <row r="6373" spans="1:9" ht="15.75" customHeight="1">
      <c r="A6373" s="26"/>
      <c r="B6373" s="2"/>
      <c r="C6373" s="26"/>
      <c r="D6373" s="26"/>
      <c r="F6373" s="85" t="str">
        <f t="shared" si="0"/>
        <v/>
      </c>
      <c r="G6373" s="1" t="e">
        <f>IF(VALUE(F6373) = VALUE(RIGHT(Insights!$C$3, 4)), E6373, "")</f>
        <v>#VALUE!</v>
      </c>
      <c r="H6373" s="26" t="e">
        <f t="shared" si="1"/>
        <v>#VALUE!</v>
      </c>
      <c r="I6373" s="1" t="e">
        <f t="shared" si="2"/>
        <v>#VALUE!</v>
      </c>
    </row>
    <row r="6374" spans="1:9" ht="15.75" customHeight="1">
      <c r="A6374" s="26"/>
      <c r="B6374" s="2"/>
      <c r="C6374" s="26"/>
      <c r="D6374" s="26"/>
      <c r="F6374" s="85" t="str">
        <f t="shared" si="0"/>
        <v/>
      </c>
      <c r="G6374" s="1" t="e">
        <f>IF(VALUE(F6374) = VALUE(RIGHT(Insights!$C$3, 4)), E6374, "")</f>
        <v>#VALUE!</v>
      </c>
      <c r="H6374" s="26" t="e">
        <f t="shared" si="1"/>
        <v>#VALUE!</v>
      </c>
      <c r="I6374" s="1" t="e">
        <f t="shared" si="2"/>
        <v>#VALUE!</v>
      </c>
    </row>
    <row r="6375" spans="1:9" ht="15.75" customHeight="1">
      <c r="A6375" s="26"/>
      <c r="B6375" s="2"/>
      <c r="C6375" s="26"/>
      <c r="D6375" s="26"/>
      <c r="F6375" s="85" t="str">
        <f t="shared" si="0"/>
        <v/>
      </c>
      <c r="G6375" s="1" t="e">
        <f>IF(VALUE(F6375) = VALUE(RIGHT(Insights!$C$3, 4)), E6375, "")</f>
        <v>#VALUE!</v>
      </c>
      <c r="H6375" s="26" t="e">
        <f t="shared" si="1"/>
        <v>#VALUE!</v>
      </c>
      <c r="I6375" s="1" t="e">
        <f t="shared" si="2"/>
        <v>#VALUE!</v>
      </c>
    </row>
    <row r="6376" spans="1:9" ht="15.75" customHeight="1">
      <c r="A6376" s="26"/>
      <c r="B6376" s="2"/>
      <c r="C6376" s="26"/>
      <c r="D6376" s="26"/>
      <c r="F6376" s="85" t="str">
        <f t="shared" si="0"/>
        <v/>
      </c>
      <c r="G6376" s="1" t="e">
        <f>IF(VALUE(F6376) = VALUE(RIGHT(Insights!$C$3, 4)), E6376, "")</f>
        <v>#VALUE!</v>
      </c>
      <c r="H6376" s="26" t="e">
        <f t="shared" si="1"/>
        <v>#VALUE!</v>
      </c>
      <c r="I6376" s="1" t="e">
        <f t="shared" si="2"/>
        <v>#VALUE!</v>
      </c>
    </row>
    <row r="6377" spans="1:9" ht="15.75" customHeight="1">
      <c r="A6377" s="26"/>
      <c r="B6377" s="2"/>
      <c r="C6377" s="26"/>
      <c r="D6377" s="26"/>
      <c r="F6377" s="85" t="str">
        <f t="shared" si="0"/>
        <v/>
      </c>
      <c r="G6377" s="1" t="e">
        <f>IF(VALUE(F6377) = VALUE(RIGHT(Insights!$C$3, 4)), E6377, "")</f>
        <v>#VALUE!</v>
      </c>
      <c r="H6377" s="26" t="e">
        <f t="shared" si="1"/>
        <v>#VALUE!</v>
      </c>
      <c r="I6377" s="1" t="e">
        <f t="shared" si="2"/>
        <v>#VALUE!</v>
      </c>
    </row>
    <row r="6378" spans="1:9" ht="15.75" customHeight="1">
      <c r="A6378" s="26"/>
      <c r="B6378" s="2"/>
      <c r="C6378" s="26"/>
      <c r="D6378" s="26"/>
      <c r="F6378" s="85" t="str">
        <f t="shared" si="0"/>
        <v/>
      </c>
      <c r="G6378" s="1" t="e">
        <f>IF(VALUE(F6378) = VALUE(RIGHT(Insights!$C$3, 4)), E6378, "")</f>
        <v>#VALUE!</v>
      </c>
      <c r="H6378" s="26" t="e">
        <f t="shared" si="1"/>
        <v>#VALUE!</v>
      </c>
      <c r="I6378" s="1" t="e">
        <f t="shared" si="2"/>
        <v>#VALUE!</v>
      </c>
    </row>
    <row r="6379" spans="1:9" ht="15.75" customHeight="1">
      <c r="A6379" s="26"/>
      <c r="B6379" s="2"/>
      <c r="C6379" s="26"/>
      <c r="D6379" s="26"/>
      <c r="F6379" s="85" t="str">
        <f t="shared" si="0"/>
        <v/>
      </c>
      <c r="G6379" s="1" t="e">
        <f>IF(VALUE(F6379) = VALUE(RIGHT(Insights!$C$3, 4)), E6379, "")</f>
        <v>#VALUE!</v>
      </c>
      <c r="H6379" s="26" t="e">
        <f t="shared" si="1"/>
        <v>#VALUE!</v>
      </c>
      <c r="I6379" s="1" t="e">
        <f t="shared" si="2"/>
        <v>#VALUE!</v>
      </c>
    </row>
    <row r="6380" spans="1:9" ht="15.75" customHeight="1">
      <c r="A6380" s="26"/>
      <c r="B6380" s="2"/>
      <c r="C6380" s="26"/>
      <c r="D6380" s="26"/>
      <c r="F6380" s="85" t="str">
        <f t="shared" si="0"/>
        <v/>
      </c>
      <c r="G6380" s="1" t="e">
        <f>IF(VALUE(F6380) = VALUE(RIGHT(Insights!$C$3, 4)), E6380, "")</f>
        <v>#VALUE!</v>
      </c>
      <c r="H6380" s="26" t="e">
        <f t="shared" si="1"/>
        <v>#VALUE!</v>
      </c>
      <c r="I6380" s="1" t="e">
        <f t="shared" si="2"/>
        <v>#VALUE!</v>
      </c>
    </row>
    <row r="6381" spans="1:9" ht="15.75" customHeight="1">
      <c r="A6381" s="26"/>
      <c r="B6381" s="2"/>
      <c r="C6381" s="26"/>
      <c r="D6381" s="26"/>
      <c r="F6381" s="85" t="str">
        <f t="shared" si="0"/>
        <v/>
      </c>
      <c r="G6381" s="1" t="e">
        <f>IF(VALUE(F6381) = VALUE(RIGHT(Insights!$C$3, 4)), E6381, "")</f>
        <v>#VALUE!</v>
      </c>
      <c r="H6381" s="26" t="e">
        <f t="shared" si="1"/>
        <v>#VALUE!</v>
      </c>
      <c r="I6381" s="1" t="e">
        <f t="shared" si="2"/>
        <v>#VALUE!</v>
      </c>
    </row>
    <row r="6382" spans="1:9" ht="15.75" customHeight="1">
      <c r="A6382" s="26"/>
      <c r="B6382" s="2"/>
      <c r="C6382" s="26"/>
      <c r="D6382" s="26"/>
      <c r="F6382" s="85" t="str">
        <f t="shared" si="0"/>
        <v/>
      </c>
      <c r="G6382" s="1" t="e">
        <f>IF(VALUE(F6382) = VALUE(RIGHT(Insights!$C$3, 4)), E6382, "")</f>
        <v>#VALUE!</v>
      </c>
      <c r="H6382" s="26" t="e">
        <f t="shared" si="1"/>
        <v>#VALUE!</v>
      </c>
      <c r="I6382" s="1" t="e">
        <f t="shared" si="2"/>
        <v>#VALUE!</v>
      </c>
    </row>
    <row r="6383" spans="1:9" ht="15.75" customHeight="1">
      <c r="A6383" s="26"/>
      <c r="B6383" s="2"/>
      <c r="C6383" s="26"/>
      <c r="D6383" s="26"/>
      <c r="F6383" s="85" t="str">
        <f t="shared" si="0"/>
        <v/>
      </c>
      <c r="G6383" s="1" t="e">
        <f>IF(VALUE(F6383) = VALUE(RIGHT(Insights!$C$3, 4)), E6383, "")</f>
        <v>#VALUE!</v>
      </c>
      <c r="H6383" s="26" t="e">
        <f t="shared" si="1"/>
        <v>#VALUE!</v>
      </c>
      <c r="I6383" s="1" t="e">
        <f t="shared" si="2"/>
        <v>#VALUE!</v>
      </c>
    </row>
    <row r="6384" spans="1:9" ht="15.75" customHeight="1">
      <c r="A6384" s="26"/>
      <c r="B6384" s="2"/>
      <c r="C6384" s="26"/>
      <c r="D6384" s="26"/>
      <c r="F6384" s="85" t="str">
        <f t="shared" si="0"/>
        <v/>
      </c>
      <c r="G6384" s="1" t="e">
        <f>IF(VALUE(F6384) = VALUE(RIGHT(Insights!$C$3, 4)), E6384, "")</f>
        <v>#VALUE!</v>
      </c>
      <c r="H6384" s="26" t="e">
        <f t="shared" si="1"/>
        <v>#VALUE!</v>
      </c>
      <c r="I6384" s="1" t="e">
        <f t="shared" si="2"/>
        <v>#VALUE!</v>
      </c>
    </row>
    <row r="6385" spans="1:9" ht="15.75" customHeight="1">
      <c r="A6385" s="26"/>
      <c r="B6385" s="2"/>
      <c r="C6385" s="26"/>
      <c r="D6385" s="26"/>
      <c r="F6385" s="85" t="str">
        <f t="shared" si="0"/>
        <v/>
      </c>
      <c r="G6385" s="1" t="e">
        <f>IF(VALUE(F6385) = VALUE(RIGHT(Insights!$C$3, 4)), E6385, "")</f>
        <v>#VALUE!</v>
      </c>
      <c r="H6385" s="26" t="e">
        <f t="shared" si="1"/>
        <v>#VALUE!</v>
      </c>
      <c r="I6385" s="1" t="e">
        <f t="shared" si="2"/>
        <v>#VALUE!</v>
      </c>
    </row>
    <row r="6386" spans="1:9" ht="15.75" customHeight="1">
      <c r="A6386" s="26"/>
      <c r="B6386" s="2"/>
      <c r="C6386" s="26"/>
      <c r="D6386" s="26"/>
      <c r="F6386" s="85" t="str">
        <f t="shared" si="0"/>
        <v/>
      </c>
      <c r="G6386" s="1" t="e">
        <f>IF(VALUE(F6386) = VALUE(RIGHT(Insights!$C$3, 4)), E6386, "")</f>
        <v>#VALUE!</v>
      </c>
      <c r="H6386" s="26" t="e">
        <f t="shared" si="1"/>
        <v>#VALUE!</v>
      </c>
      <c r="I6386" s="1" t="e">
        <f t="shared" si="2"/>
        <v>#VALUE!</v>
      </c>
    </row>
    <row r="6387" spans="1:9" ht="15.75" customHeight="1">
      <c r="A6387" s="26"/>
      <c r="B6387" s="2"/>
      <c r="C6387" s="26"/>
      <c r="D6387" s="26"/>
      <c r="F6387" s="85" t="str">
        <f t="shared" si="0"/>
        <v/>
      </c>
      <c r="G6387" s="1" t="e">
        <f>IF(VALUE(F6387) = VALUE(RIGHT(Insights!$C$3, 4)), E6387, "")</f>
        <v>#VALUE!</v>
      </c>
      <c r="H6387" s="26" t="e">
        <f t="shared" si="1"/>
        <v>#VALUE!</v>
      </c>
      <c r="I6387" s="1" t="e">
        <f t="shared" si="2"/>
        <v>#VALUE!</v>
      </c>
    </row>
    <row r="6388" spans="1:9" ht="15.75" customHeight="1">
      <c r="A6388" s="26"/>
      <c r="B6388" s="2"/>
      <c r="C6388" s="26"/>
      <c r="D6388" s="26"/>
      <c r="F6388" s="85" t="str">
        <f t="shared" si="0"/>
        <v/>
      </c>
      <c r="G6388" s="1" t="e">
        <f>IF(VALUE(F6388) = VALUE(RIGHT(Insights!$C$3, 4)), E6388, "")</f>
        <v>#VALUE!</v>
      </c>
      <c r="H6388" s="26" t="e">
        <f t="shared" si="1"/>
        <v>#VALUE!</v>
      </c>
      <c r="I6388" s="1" t="e">
        <f t="shared" si="2"/>
        <v>#VALUE!</v>
      </c>
    </row>
    <row r="6389" spans="1:9" ht="15.75" customHeight="1">
      <c r="A6389" s="26"/>
      <c r="B6389" s="2"/>
      <c r="C6389" s="26"/>
      <c r="D6389" s="26"/>
      <c r="F6389" s="85" t="str">
        <f t="shared" si="0"/>
        <v/>
      </c>
      <c r="G6389" s="1" t="e">
        <f>IF(VALUE(F6389) = VALUE(RIGHT(Insights!$C$3, 4)), E6389, "")</f>
        <v>#VALUE!</v>
      </c>
      <c r="H6389" s="26" t="e">
        <f t="shared" si="1"/>
        <v>#VALUE!</v>
      </c>
      <c r="I6389" s="1" t="e">
        <f t="shared" si="2"/>
        <v>#VALUE!</v>
      </c>
    </row>
    <row r="6390" spans="1:9" ht="15.75" customHeight="1">
      <c r="A6390" s="26"/>
      <c r="B6390" s="2"/>
      <c r="C6390" s="26"/>
      <c r="D6390" s="26"/>
      <c r="F6390" s="85" t="str">
        <f t="shared" si="0"/>
        <v/>
      </c>
      <c r="G6390" s="1" t="e">
        <f>IF(VALUE(F6390) = VALUE(RIGHT(Insights!$C$3, 4)), E6390, "")</f>
        <v>#VALUE!</v>
      </c>
      <c r="H6390" s="26" t="e">
        <f t="shared" si="1"/>
        <v>#VALUE!</v>
      </c>
      <c r="I6390" s="1" t="e">
        <f t="shared" si="2"/>
        <v>#VALUE!</v>
      </c>
    </row>
    <row r="6391" spans="1:9" ht="15.75" customHeight="1">
      <c r="A6391" s="26"/>
      <c r="B6391" s="2"/>
      <c r="C6391" s="26"/>
      <c r="D6391" s="26"/>
      <c r="F6391" s="85" t="str">
        <f t="shared" si="0"/>
        <v/>
      </c>
      <c r="G6391" s="1" t="e">
        <f>IF(VALUE(F6391) = VALUE(RIGHT(Insights!$C$3, 4)), E6391, "")</f>
        <v>#VALUE!</v>
      </c>
      <c r="H6391" s="26" t="e">
        <f t="shared" si="1"/>
        <v>#VALUE!</v>
      </c>
      <c r="I6391" s="1" t="e">
        <f t="shared" si="2"/>
        <v>#VALUE!</v>
      </c>
    </row>
    <row r="6392" spans="1:9" ht="15.75" customHeight="1">
      <c r="A6392" s="26"/>
      <c r="B6392" s="2"/>
      <c r="C6392" s="26"/>
      <c r="D6392" s="26"/>
      <c r="F6392" s="85" t="str">
        <f t="shared" si="0"/>
        <v/>
      </c>
      <c r="G6392" s="1" t="e">
        <f>IF(VALUE(F6392) = VALUE(RIGHT(Insights!$C$3, 4)), E6392, "")</f>
        <v>#VALUE!</v>
      </c>
      <c r="H6392" s="26" t="e">
        <f t="shared" si="1"/>
        <v>#VALUE!</v>
      </c>
      <c r="I6392" s="1" t="e">
        <f t="shared" si="2"/>
        <v>#VALUE!</v>
      </c>
    </row>
    <row r="6393" spans="1:9" ht="15.75" customHeight="1">
      <c r="A6393" s="26"/>
      <c r="B6393" s="2"/>
      <c r="C6393" s="26"/>
      <c r="D6393" s="26"/>
      <c r="F6393" s="85" t="str">
        <f t="shared" si="0"/>
        <v/>
      </c>
      <c r="G6393" s="1" t="e">
        <f>IF(VALUE(F6393) = VALUE(RIGHT(Insights!$C$3, 4)), E6393, "")</f>
        <v>#VALUE!</v>
      </c>
      <c r="H6393" s="26" t="e">
        <f t="shared" si="1"/>
        <v>#VALUE!</v>
      </c>
      <c r="I6393" s="1" t="e">
        <f t="shared" si="2"/>
        <v>#VALUE!</v>
      </c>
    </row>
    <row r="6394" spans="1:9" ht="15.75" customHeight="1">
      <c r="A6394" s="26"/>
      <c r="B6394" s="2"/>
      <c r="C6394" s="26"/>
      <c r="D6394" s="26"/>
      <c r="F6394" s="85" t="str">
        <f t="shared" si="0"/>
        <v/>
      </c>
      <c r="G6394" s="1" t="e">
        <f>IF(VALUE(F6394) = VALUE(RIGHT(Insights!$C$3, 4)), E6394, "")</f>
        <v>#VALUE!</v>
      </c>
      <c r="H6394" s="26" t="e">
        <f t="shared" si="1"/>
        <v>#VALUE!</v>
      </c>
      <c r="I6394" s="1" t="e">
        <f t="shared" si="2"/>
        <v>#VALUE!</v>
      </c>
    </row>
    <row r="6395" spans="1:9" ht="15.75" customHeight="1">
      <c r="A6395" s="26"/>
      <c r="B6395" s="2"/>
      <c r="C6395" s="26"/>
      <c r="D6395" s="26"/>
      <c r="F6395" s="85" t="str">
        <f t="shared" si="0"/>
        <v/>
      </c>
      <c r="G6395" s="1" t="e">
        <f>IF(VALUE(F6395) = VALUE(RIGHT(Insights!$C$3, 4)), E6395, "")</f>
        <v>#VALUE!</v>
      </c>
      <c r="H6395" s="26" t="e">
        <f t="shared" si="1"/>
        <v>#VALUE!</v>
      </c>
      <c r="I6395" s="1" t="e">
        <f t="shared" si="2"/>
        <v>#VALUE!</v>
      </c>
    </row>
    <row r="6396" spans="1:9" ht="15.75" customHeight="1">
      <c r="A6396" s="26"/>
      <c r="B6396" s="2"/>
      <c r="C6396" s="26"/>
      <c r="D6396" s="26"/>
      <c r="F6396" s="85" t="str">
        <f t="shared" si="0"/>
        <v/>
      </c>
      <c r="G6396" s="1" t="e">
        <f>IF(VALUE(F6396) = VALUE(RIGHT(Insights!$C$3, 4)), E6396, "")</f>
        <v>#VALUE!</v>
      </c>
      <c r="H6396" s="26" t="e">
        <f t="shared" si="1"/>
        <v>#VALUE!</v>
      </c>
      <c r="I6396" s="1" t="e">
        <f t="shared" si="2"/>
        <v>#VALUE!</v>
      </c>
    </row>
    <row r="6397" spans="1:9" ht="15.75" customHeight="1">
      <c r="A6397" s="26"/>
      <c r="B6397" s="2"/>
      <c r="C6397" s="26"/>
      <c r="D6397" s="26"/>
      <c r="F6397" s="85" t="str">
        <f t="shared" si="0"/>
        <v/>
      </c>
      <c r="G6397" s="1" t="e">
        <f>IF(VALUE(F6397) = VALUE(RIGHT(Insights!$C$3, 4)), E6397, "")</f>
        <v>#VALUE!</v>
      </c>
      <c r="H6397" s="26" t="e">
        <f t="shared" si="1"/>
        <v>#VALUE!</v>
      </c>
      <c r="I6397" s="1" t="e">
        <f t="shared" si="2"/>
        <v>#VALUE!</v>
      </c>
    </row>
    <row r="6398" spans="1:9" ht="15.75" customHeight="1">
      <c r="A6398" s="26"/>
      <c r="B6398" s="2"/>
      <c r="C6398" s="26"/>
      <c r="D6398" s="26"/>
      <c r="F6398" s="85" t="str">
        <f t="shared" si="0"/>
        <v/>
      </c>
      <c r="G6398" s="1" t="e">
        <f>IF(VALUE(F6398) = VALUE(RIGHT(Insights!$C$3, 4)), E6398, "")</f>
        <v>#VALUE!</v>
      </c>
      <c r="H6398" s="26" t="e">
        <f t="shared" si="1"/>
        <v>#VALUE!</v>
      </c>
      <c r="I6398" s="1" t="e">
        <f t="shared" si="2"/>
        <v>#VALUE!</v>
      </c>
    </row>
    <row r="6399" spans="1:9" ht="15.75" customHeight="1">
      <c r="A6399" s="26"/>
      <c r="B6399" s="2"/>
      <c r="C6399" s="26"/>
      <c r="D6399" s="26"/>
      <c r="F6399" s="85" t="str">
        <f t="shared" si="0"/>
        <v/>
      </c>
      <c r="G6399" s="1" t="e">
        <f>IF(VALUE(F6399) = VALUE(RIGHT(Insights!$C$3, 4)), E6399, "")</f>
        <v>#VALUE!</v>
      </c>
      <c r="H6399" s="26" t="e">
        <f t="shared" si="1"/>
        <v>#VALUE!</v>
      </c>
      <c r="I6399" s="1" t="e">
        <f t="shared" si="2"/>
        <v>#VALUE!</v>
      </c>
    </row>
    <row r="6400" spans="1:9" ht="15.75" customHeight="1">
      <c r="A6400" s="26"/>
      <c r="B6400" s="2"/>
      <c r="C6400" s="26"/>
      <c r="D6400" s="26"/>
      <c r="F6400" s="85" t="str">
        <f t="shared" si="0"/>
        <v/>
      </c>
      <c r="G6400" s="1" t="e">
        <f>IF(VALUE(F6400) = VALUE(RIGHT(Insights!$C$3, 4)), E6400, "")</f>
        <v>#VALUE!</v>
      </c>
      <c r="H6400" s="26" t="e">
        <f t="shared" si="1"/>
        <v>#VALUE!</v>
      </c>
      <c r="I6400" s="1" t="e">
        <f t="shared" si="2"/>
        <v>#VALUE!</v>
      </c>
    </row>
    <row r="6401" spans="1:9" ht="15.75" customHeight="1">
      <c r="A6401" s="26"/>
      <c r="B6401" s="2"/>
      <c r="C6401" s="26"/>
      <c r="D6401" s="26"/>
      <c r="F6401" s="85" t="str">
        <f t="shared" si="0"/>
        <v/>
      </c>
      <c r="G6401" s="1" t="e">
        <f>IF(VALUE(F6401) = VALUE(RIGHT(Insights!$C$3, 4)), E6401, "")</f>
        <v>#VALUE!</v>
      </c>
      <c r="H6401" s="26" t="e">
        <f t="shared" si="1"/>
        <v>#VALUE!</v>
      </c>
      <c r="I6401" s="1" t="e">
        <f t="shared" si="2"/>
        <v>#VALUE!</v>
      </c>
    </row>
    <row r="6402" spans="1:9" ht="15.75" customHeight="1">
      <c r="A6402" s="26"/>
      <c r="B6402" s="2"/>
      <c r="C6402" s="26"/>
      <c r="D6402" s="26"/>
      <c r="F6402" s="85" t="str">
        <f t="shared" si="0"/>
        <v/>
      </c>
      <c r="G6402" s="1" t="e">
        <f>IF(VALUE(F6402) = VALUE(RIGHT(Insights!$C$3, 4)), E6402, "")</f>
        <v>#VALUE!</v>
      </c>
      <c r="H6402" s="26" t="e">
        <f t="shared" si="1"/>
        <v>#VALUE!</v>
      </c>
      <c r="I6402" s="1" t="e">
        <f t="shared" si="2"/>
        <v>#VALUE!</v>
      </c>
    </row>
    <row r="6403" spans="1:9" ht="15.75" customHeight="1">
      <c r="A6403" s="26"/>
      <c r="B6403" s="2"/>
      <c r="C6403" s="26"/>
      <c r="D6403" s="26"/>
      <c r="F6403" s="85" t="str">
        <f t="shared" si="0"/>
        <v/>
      </c>
      <c r="G6403" s="1" t="e">
        <f>IF(VALUE(F6403) = VALUE(RIGHT(Insights!$C$3, 4)), E6403, "")</f>
        <v>#VALUE!</v>
      </c>
      <c r="H6403" s="26" t="e">
        <f t="shared" si="1"/>
        <v>#VALUE!</v>
      </c>
      <c r="I6403" s="1" t="e">
        <f t="shared" si="2"/>
        <v>#VALUE!</v>
      </c>
    </row>
    <row r="6404" spans="1:9" ht="15.75" customHeight="1">
      <c r="A6404" s="26"/>
      <c r="B6404" s="2"/>
      <c r="C6404" s="26"/>
      <c r="D6404" s="26"/>
      <c r="F6404" s="85" t="str">
        <f t="shared" si="0"/>
        <v/>
      </c>
      <c r="G6404" s="1" t="e">
        <f>IF(VALUE(F6404) = VALUE(RIGHT(Insights!$C$3, 4)), E6404, "")</f>
        <v>#VALUE!</v>
      </c>
      <c r="H6404" s="26" t="e">
        <f t="shared" si="1"/>
        <v>#VALUE!</v>
      </c>
      <c r="I6404" s="1" t="e">
        <f t="shared" si="2"/>
        <v>#VALUE!</v>
      </c>
    </row>
    <row r="6405" spans="1:9" ht="15.75" customHeight="1">
      <c r="A6405" s="26"/>
      <c r="B6405" s="2"/>
      <c r="C6405" s="26"/>
      <c r="D6405" s="26"/>
      <c r="F6405" s="85" t="str">
        <f t="shared" si="0"/>
        <v/>
      </c>
      <c r="G6405" s="1" t="e">
        <f>IF(VALUE(F6405) = VALUE(RIGHT(Insights!$C$3, 4)), E6405, "")</f>
        <v>#VALUE!</v>
      </c>
      <c r="H6405" s="26" t="e">
        <f t="shared" si="1"/>
        <v>#VALUE!</v>
      </c>
      <c r="I6405" s="1" t="e">
        <f t="shared" si="2"/>
        <v>#VALUE!</v>
      </c>
    </row>
    <row r="6406" spans="1:9" ht="15.75" customHeight="1">
      <c r="A6406" s="26"/>
      <c r="B6406" s="2"/>
      <c r="C6406" s="26"/>
      <c r="D6406" s="26"/>
      <c r="F6406" s="85" t="str">
        <f t="shared" si="0"/>
        <v/>
      </c>
      <c r="G6406" s="1" t="e">
        <f>IF(VALUE(F6406) = VALUE(RIGHT(Insights!$C$3, 4)), E6406, "")</f>
        <v>#VALUE!</v>
      </c>
      <c r="H6406" s="26" t="e">
        <f t="shared" si="1"/>
        <v>#VALUE!</v>
      </c>
      <c r="I6406" s="1" t="e">
        <f t="shared" si="2"/>
        <v>#VALUE!</v>
      </c>
    </row>
    <row r="6407" spans="1:9" ht="15.75" customHeight="1">
      <c r="A6407" s="26"/>
      <c r="B6407" s="2"/>
      <c r="C6407" s="26"/>
      <c r="D6407" s="26"/>
      <c r="F6407" s="85" t="str">
        <f t="shared" si="0"/>
        <v/>
      </c>
      <c r="G6407" s="1" t="e">
        <f>IF(VALUE(F6407) = VALUE(RIGHT(Insights!$C$3, 4)), E6407, "")</f>
        <v>#VALUE!</v>
      </c>
      <c r="H6407" s="26" t="e">
        <f t="shared" si="1"/>
        <v>#VALUE!</v>
      </c>
      <c r="I6407" s="1" t="e">
        <f t="shared" si="2"/>
        <v>#VALUE!</v>
      </c>
    </row>
    <row r="6408" spans="1:9" ht="15.75" customHeight="1">
      <c r="A6408" s="26"/>
      <c r="B6408" s="2"/>
      <c r="C6408" s="26"/>
      <c r="D6408" s="26"/>
      <c r="F6408" s="85" t="str">
        <f t="shared" si="0"/>
        <v/>
      </c>
      <c r="G6408" s="1" t="e">
        <f>IF(VALUE(F6408) = VALUE(RIGHT(Insights!$C$3, 4)), E6408, "")</f>
        <v>#VALUE!</v>
      </c>
      <c r="H6408" s="26" t="e">
        <f t="shared" si="1"/>
        <v>#VALUE!</v>
      </c>
      <c r="I6408" s="1" t="e">
        <f t="shared" si="2"/>
        <v>#VALUE!</v>
      </c>
    </row>
    <row r="6409" spans="1:9" ht="15.75" customHeight="1">
      <c r="A6409" s="26"/>
      <c r="B6409" s="2"/>
      <c r="C6409" s="26"/>
      <c r="D6409" s="26"/>
      <c r="F6409" s="85" t="str">
        <f t="shared" si="0"/>
        <v/>
      </c>
      <c r="G6409" s="1" t="e">
        <f>IF(VALUE(F6409) = VALUE(RIGHT(Insights!$C$3, 4)), E6409, "")</f>
        <v>#VALUE!</v>
      </c>
      <c r="H6409" s="26" t="e">
        <f t="shared" si="1"/>
        <v>#VALUE!</v>
      </c>
      <c r="I6409" s="1" t="e">
        <f t="shared" si="2"/>
        <v>#VALUE!</v>
      </c>
    </row>
    <row r="6410" spans="1:9" ht="15.75" customHeight="1">
      <c r="A6410" s="26"/>
      <c r="B6410" s="2"/>
      <c r="C6410" s="26"/>
      <c r="D6410" s="26"/>
      <c r="F6410" s="85" t="str">
        <f t="shared" si="0"/>
        <v/>
      </c>
      <c r="G6410" s="1" t="e">
        <f>IF(VALUE(F6410) = VALUE(RIGHT(Insights!$C$3, 4)), E6410, "")</f>
        <v>#VALUE!</v>
      </c>
      <c r="H6410" s="26" t="e">
        <f t="shared" si="1"/>
        <v>#VALUE!</v>
      </c>
      <c r="I6410" s="1" t="e">
        <f t="shared" si="2"/>
        <v>#VALUE!</v>
      </c>
    </row>
    <row r="6411" spans="1:9" ht="15.75" customHeight="1">
      <c r="A6411" s="26"/>
      <c r="B6411" s="2"/>
      <c r="C6411" s="26"/>
      <c r="D6411" s="26"/>
      <c r="F6411" s="85" t="str">
        <f t="shared" si="0"/>
        <v/>
      </c>
      <c r="G6411" s="1" t="e">
        <f>IF(VALUE(F6411) = VALUE(RIGHT(Insights!$C$3, 4)), E6411, "")</f>
        <v>#VALUE!</v>
      </c>
      <c r="H6411" s="26" t="e">
        <f t="shared" si="1"/>
        <v>#VALUE!</v>
      </c>
      <c r="I6411" s="1" t="e">
        <f t="shared" si="2"/>
        <v>#VALUE!</v>
      </c>
    </row>
    <row r="6412" spans="1:9" ht="15.75" customHeight="1">
      <c r="A6412" s="26"/>
      <c r="B6412" s="2"/>
      <c r="C6412" s="26"/>
      <c r="D6412" s="26"/>
      <c r="F6412" s="85" t="str">
        <f t="shared" si="0"/>
        <v/>
      </c>
      <c r="G6412" s="1" t="e">
        <f>IF(VALUE(F6412) = VALUE(RIGHT(Insights!$C$3, 4)), E6412, "")</f>
        <v>#VALUE!</v>
      </c>
      <c r="H6412" s="26" t="e">
        <f t="shared" si="1"/>
        <v>#VALUE!</v>
      </c>
      <c r="I6412" s="1" t="e">
        <f t="shared" si="2"/>
        <v>#VALUE!</v>
      </c>
    </row>
    <row r="6413" spans="1:9" ht="15.75" customHeight="1">
      <c r="A6413" s="26"/>
      <c r="B6413" s="2"/>
      <c r="C6413" s="26"/>
      <c r="D6413" s="26"/>
      <c r="F6413" s="85" t="str">
        <f t="shared" si="0"/>
        <v/>
      </c>
      <c r="G6413" s="1" t="e">
        <f>IF(VALUE(F6413) = VALUE(RIGHT(Insights!$C$3, 4)), E6413, "")</f>
        <v>#VALUE!</v>
      </c>
      <c r="H6413" s="26" t="e">
        <f t="shared" si="1"/>
        <v>#VALUE!</v>
      </c>
      <c r="I6413" s="1" t="e">
        <f t="shared" si="2"/>
        <v>#VALUE!</v>
      </c>
    </row>
    <row r="6414" spans="1:9" ht="15.75" customHeight="1">
      <c r="A6414" s="26"/>
      <c r="B6414" s="2"/>
      <c r="C6414" s="26"/>
      <c r="D6414" s="26"/>
      <c r="F6414" s="85" t="str">
        <f t="shared" si="0"/>
        <v/>
      </c>
      <c r="G6414" s="1" t="e">
        <f>IF(VALUE(F6414) = VALUE(RIGHT(Insights!$C$3, 4)), E6414, "")</f>
        <v>#VALUE!</v>
      </c>
      <c r="H6414" s="26" t="e">
        <f t="shared" si="1"/>
        <v>#VALUE!</v>
      </c>
      <c r="I6414" s="1" t="e">
        <f t="shared" si="2"/>
        <v>#VALUE!</v>
      </c>
    </row>
    <row r="6415" spans="1:9" ht="15.75" customHeight="1">
      <c r="A6415" s="26"/>
      <c r="B6415" s="2"/>
      <c r="C6415" s="26"/>
      <c r="D6415" s="26"/>
      <c r="F6415" s="85" t="str">
        <f t="shared" si="0"/>
        <v/>
      </c>
      <c r="G6415" s="1" t="e">
        <f>IF(VALUE(F6415) = VALUE(RIGHT(Insights!$C$3, 4)), E6415, "")</f>
        <v>#VALUE!</v>
      </c>
      <c r="H6415" s="26" t="e">
        <f t="shared" si="1"/>
        <v>#VALUE!</v>
      </c>
      <c r="I6415" s="1" t="e">
        <f t="shared" si="2"/>
        <v>#VALUE!</v>
      </c>
    </row>
    <row r="6416" spans="1:9" ht="15.75" customHeight="1">
      <c r="A6416" s="26"/>
      <c r="B6416" s="2"/>
      <c r="C6416" s="26"/>
      <c r="D6416" s="26"/>
      <c r="F6416" s="85" t="str">
        <f t="shared" si="0"/>
        <v/>
      </c>
      <c r="G6416" s="1" t="e">
        <f>IF(VALUE(F6416) = VALUE(RIGHT(Insights!$C$3, 4)), E6416, "")</f>
        <v>#VALUE!</v>
      </c>
      <c r="H6416" s="26" t="e">
        <f t="shared" si="1"/>
        <v>#VALUE!</v>
      </c>
      <c r="I6416" s="1" t="e">
        <f t="shared" si="2"/>
        <v>#VALUE!</v>
      </c>
    </row>
    <row r="6417" spans="1:9" ht="15.75" customHeight="1">
      <c r="A6417" s="26"/>
      <c r="B6417" s="2"/>
      <c r="C6417" s="26"/>
      <c r="D6417" s="26"/>
      <c r="F6417" s="85" t="str">
        <f t="shared" si="0"/>
        <v/>
      </c>
      <c r="G6417" s="1" t="e">
        <f>IF(VALUE(F6417) = VALUE(RIGHT(Insights!$C$3, 4)), E6417, "")</f>
        <v>#VALUE!</v>
      </c>
      <c r="H6417" s="26" t="e">
        <f t="shared" si="1"/>
        <v>#VALUE!</v>
      </c>
      <c r="I6417" s="1" t="e">
        <f t="shared" si="2"/>
        <v>#VALUE!</v>
      </c>
    </row>
    <row r="6418" spans="1:9" ht="15.75" customHeight="1">
      <c r="A6418" s="26"/>
      <c r="B6418" s="2"/>
      <c r="C6418" s="26"/>
      <c r="D6418" s="26"/>
      <c r="F6418" s="85" t="str">
        <f t="shared" si="0"/>
        <v/>
      </c>
      <c r="G6418" s="1" t="e">
        <f>IF(VALUE(F6418) = VALUE(RIGHT(Insights!$C$3, 4)), E6418, "")</f>
        <v>#VALUE!</v>
      </c>
      <c r="H6418" s="26" t="e">
        <f t="shared" si="1"/>
        <v>#VALUE!</v>
      </c>
      <c r="I6418" s="1" t="e">
        <f t="shared" si="2"/>
        <v>#VALUE!</v>
      </c>
    </row>
    <row r="6419" spans="1:9" ht="15.75" customHeight="1">
      <c r="A6419" s="26"/>
      <c r="B6419" s="2"/>
      <c r="C6419" s="26"/>
      <c r="D6419" s="26"/>
      <c r="F6419" s="85" t="str">
        <f t="shared" si="0"/>
        <v/>
      </c>
      <c r="G6419" s="1" t="e">
        <f>IF(VALUE(F6419) = VALUE(RIGHT(Insights!$C$3, 4)), E6419, "")</f>
        <v>#VALUE!</v>
      </c>
      <c r="H6419" s="26" t="e">
        <f t="shared" si="1"/>
        <v>#VALUE!</v>
      </c>
      <c r="I6419" s="1" t="e">
        <f t="shared" si="2"/>
        <v>#VALUE!</v>
      </c>
    </row>
    <row r="6420" spans="1:9" ht="15.75" customHeight="1">
      <c r="A6420" s="26"/>
      <c r="B6420" s="2"/>
      <c r="C6420" s="26"/>
      <c r="D6420" s="26"/>
      <c r="F6420" s="85" t="str">
        <f t="shared" si="0"/>
        <v/>
      </c>
      <c r="G6420" s="1" t="e">
        <f>IF(VALUE(F6420) = VALUE(RIGHT(Insights!$C$3, 4)), E6420, "")</f>
        <v>#VALUE!</v>
      </c>
      <c r="H6420" s="26" t="e">
        <f t="shared" si="1"/>
        <v>#VALUE!</v>
      </c>
      <c r="I6420" s="1" t="e">
        <f t="shared" si="2"/>
        <v>#VALUE!</v>
      </c>
    </row>
    <row r="6421" spans="1:9" ht="15.75" customHeight="1">
      <c r="A6421" s="26"/>
      <c r="B6421" s="2"/>
      <c r="C6421" s="26"/>
      <c r="D6421" s="26"/>
      <c r="F6421" s="85" t="str">
        <f t="shared" si="0"/>
        <v/>
      </c>
      <c r="G6421" s="1" t="e">
        <f>IF(VALUE(F6421) = VALUE(RIGHT(Insights!$C$3, 4)), E6421, "")</f>
        <v>#VALUE!</v>
      </c>
      <c r="H6421" s="26" t="e">
        <f t="shared" si="1"/>
        <v>#VALUE!</v>
      </c>
      <c r="I6421" s="1" t="e">
        <f t="shared" si="2"/>
        <v>#VALUE!</v>
      </c>
    </row>
    <row r="6422" spans="1:9" ht="15.75" customHeight="1">
      <c r="A6422" s="26"/>
      <c r="B6422" s="2"/>
      <c r="C6422" s="26"/>
      <c r="D6422" s="26"/>
      <c r="F6422" s="85" t="str">
        <f t="shared" si="0"/>
        <v/>
      </c>
      <c r="G6422" s="1" t="e">
        <f>IF(VALUE(F6422) = VALUE(RIGHT(Insights!$C$3, 4)), E6422, "")</f>
        <v>#VALUE!</v>
      </c>
      <c r="H6422" s="26" t="e">
        <f t="shared" si="1"/>
        <v>#VALUE!</v>
      </c>
      <c r="I6422" s="1" t="e">
        <f t="shared" si="2"/>
        <v>#VALUE!</v>
      </c>
    </row>
    <row r="6423" spans="1:9" ht="15.75" customHeight="1">
      <c r="A6423" s="26"/>
      <c r="B6423" s="2"/>
      <c r="C6423" s="26"/>
      <c r="D6423" s="26"/>
      <c r="F6423" s="85" t="str">
        <f t="shared" si="0"/>
        <v/>
      </c>
      <c r="G6423" s="1" t="e">
        <f>IF(VALUE(F6423) = VALUE(RIGHT(Insights!$C$3, 4)), E6423, "")</f>
        <v>#VALUE!</v>
      </c>
      <c r="H6423" s="26" t="e">
        <f t="shared" si="1"/>
        <v>#VALUE!</v>
      </c>
      <c r="I6423" s="1" t="e">
        <f t="shared" si="2"/>
        <v>#VALUE!</v>
      </c>
    </row>
    <row r="6424" spans="1:9" ht="15.75" customHeight="1">
      <c r="A6424" s="26"/>
      <c r="B6424" s="2"/>
      <c r="C6424" s="26"/>
      <c r="D6424" s="26"/>
      <c r="F6424" s="85" t="str">
        <f t="shared" si="0"/>
        <v/>
      </c>
      <c r="G6424" s="1" t="e">
        <f>IF(VALUE(F6424) = VALUE(RIGHT(Insights!$C$3, 4)), E6424, "")</f>
        <v>#VALUE!</v>
      </c>
      <c r="H6424" s="26" t="e">
        <f t="shared" si="1"/>
        <v>#VALUE!</v>
      </c>
      <c r="I6424" s="1" t="e">
        <f t="shared" si="2"/>
        <v>#VALUE!</v>
      </c>
    </row>
    <row r="6425" spans="1:9" ht="15.75" customHeight="1">
      <c r="A6425" s="26"/>
      <c r="B6425" s="2"/>
      <c r="C6425" s="26"/>
      <c r="D6425" s="26"/>
      <c r="F6425" s="85" t="str">
        <f t="shared" si="0"/>
        <v/>
      </c>
      <c r="G6425" s="1" t="e">
        <f>IF(VALUE(F6425) = VALUE(RIGHT(Insights!$C$3, 4)), E6425, "")</f>
        <v>#VALUE!</v>
      </c>
      <c r="H6425" s="26" t="e">
        <f t="shared" si="1"/>
        <v>#VALUE!</v>
      </c>
      <c r="I6425" s="1" t="e">
        <f t="shared" si="2"/>
        <v>#VALUE!</v>
      </c>
    </row>
    <row r="6426" spans="1:9" ht="15.75" customHeight="1">
      <c r="A6426" s="26"/>
      <c r="B6426" s="2"/>
      <c r="C6426" s="26"/>
      <c r="D6426" s="26"/>
      <c r="F6426" s="85" t="str">
        <f t="shared" si="0"/>
        <v/>
      </c>
      <c r="G6426" s="1" t="e">
        <f>IF(VALUE(F6426) = VALUE(RIGHT(Insights!$C$3, 4)), E6426, "")</f>
        <v>#VALUE!</v>
      </c>
      <c r="H6426" s="26" t="e">
        <f t="shared" si="1"/>
        <v>#VALUE!</v>
      </c>
      <c r="I6426" s="1" t="e">
        <f t="shared" si="2"/>
        <v>#VALUE!</v>
      </c>
    </row>
    <row r="6427" spans="1:9" ht="15.75" customHeight="1">
      <c r="A6427" s="26"/>
      <c r="B6427" s="2"/>
      <c r="C6427" s="26"/>
      <c r="D6427" s="26"/>
      <c r="F6427" s="85" t="str">
        <f t="shared" si="0"/>
        <v/>
      </c>
      <c r="G6427" s="1" t="e">
        <f>IF(VALUE(F6427) = VALUE(RIGHT(Insights!$C$3, 4)), E6427, "")</f>
        <v>#VALUE!</v>
      </c>
      <c r="H6427" s="26" t="e">
        <f t="shared" si="1"/>
        <v>#VALUE!</v>
      </c>
      <c r="I6427" s="1" t="e">
        <f t="shared" si="2"/>
        <v>#VALUE!</v>
      </c>
    </row>
    <row r="6428" spans="1:9" ht="15.75" customHeight="1">
      <c r="A6428" s="26"/>
      <c r="B6428" s="2"/>
      <c r="C6428" s="26"/>
      <c r="D6428" s="26"/>
      <c r="F6428" s="85" t="str">
        <f t="shared" si="0"/>
        <v/>
      </c>
      <c r="G6428" s="1" t="e">
        <f>IF(VALUE(F6428) = VALUE(RIGHT(Insights!$C$3, 4)), E6428, "")</f>
        <v>#VALUE!</v>
      </c>
      <c r="H6428" s="26" t="e">
        <f t="shared" si="1"/>
        <v>#VALUE!</v>
      </c>
      <c r="I6428" s="1" t="e">
        <f t="shared" si="2"/>
        <v>#VALUE!</v>
      </c>
    </row>
    <row r="6429" spans="1:9" ht="15.75" customHeight="1">
      <c r="A6429" s="26"/>
      <c r="B6429" s="2"/>
      <c r="C6429" s="26"/>
      <c r="D6429" s="26"/>
      <c r="F6429" s="85" t="str">
        <f t="shared" si="0"/>
        <v/>
      </c>
      <c r="G6429" s="1" t="e">
        <f>IF(VALUE(F6429) = VALUE(RIGHT(Insights!$C$3, 4)), E6429, "")</f>
        <v>#VALUE!</v>
      </c>
      <c r="H6429" s="26" t="e">
        <f t="shared" si="1"/>
        <v>#VALUE!</v>
      </c>
      <c r="I6429" s="1" t="e">
        <f t="shared" si="2"/>
        <v>#VALUE!</v>
      </c>
    </row>
    <row r="6430" spans="1:9" ht="15.75" customHeight="1">
      <c r="A6430" s="26"/>
      <c r="B6430" s="2"/>
      <c r="C6430" s="26"/>
      <c r="D6430" s="26"/>
      <c r="F6430" s="85" t="str">
        <f t="shared" si="0"/>
        <v/>
      </c>
      <c r="G6430" s="1" t="e">
        <f>IF(VALUE(F6430) = VALUE(RIGHT(Insights!$C$3, 4)), E6430, "")</f>
        <v>#VALUE!</v>
      </c>
      <c r="H6430" s="26" t="e">
        <f t="shared" si="1"/>
        <v>#VALUE!</v>
      </c>
      <c r="I6430" s="1" t="e">
        <f t="shared" si="2"/>
        <v>#VALUE!</v>
      </c>
    </row>
    <row r="6431" spans="1:9" ht="15.75" customHeight="1">
      <c r="A6431" s="26"/>
      <c r="B6431" s="2"/>
      <c r="C6431" s="26"/>
      <c r="D6431" s="26"/>
      <c r="F6431" s="85" t="str">
        <f t="shared" si="0"/>
        <v/>
      </c>
      <c r="G6431" s="1" t="e">
        <f>IF(VALUE(F6431) = VALUE(RIGHT(Insights!$C$3, 4)), E6431, "")</f>
        <v>#VALUE!</v>
      </c>
      <c r="H6431" s="26" t="e">
        <f t="shared" si="1"/>
        <v>#VALUE!</v>
      </c>
      <c r="I6431" s="1" t="e">
        <f t="shared" si="2"/>
        <v>#VALUE!</v>
      </c>
    </row>
    <row r="6432" spans="1:9" ht="15.75" customHeight="1">
      <c r="A6432" s="26"/>
      <c r="B6432" s="2"/>
      <c r="C6432" s="26"/>
      <c r="D6432" s="26"/>
      <c r="F6432" s="85" t="str">
        <f t="shared" si="0"/>
        <v/>
      </c>
      <c r="G6432" s="1" t="e">
        <f>IF(VALUE(F6432) = VALUE(RIGHT(Insights!$C$3, 4)), E6432, "")</f>
        <v>#VALUE!</v>
      </c>
      <c r="H6432" s="26" t="e">
        <f t="shared" si="1"/>
        <v>#VALUE!</v>
      </c>
      <c r="I6432" s="1" t="e">
        <f t="shared" si="2"/>
        <v>#VALUE!</v>
      </c>
    </row>
    <row r="6433" spans="1:9" ht="15.75" customHeight="1">
      <c r="A6433" s="26"/>
      <c r="B6433" s="2"/>
      <c r="C6433" s="26"/>
      <c r="D6433" s="26"/>
      <c r="F6433" s="85" t="str">
        <f t="shared" si="0"/>
        <v/>
      </c>
      <c r="G6433" s="1" t="e">
        <f>IF(VALUE(F6433) = VALUE(RIGHT(Insights!$C$3, 4)), E6433, "")</f>
        <v>#VALUE!</v>
      </c>
      <c r="H6433" s="26" t="e">
        <f t="shared" si="1"/>
        <v>#VALUE!</v>
      </c>
      <c r="I6433" s="1" t="e">
        <f t="shared" si="2"/>
        <v>#VALUE!</v>
      </c>
    </row>
    <row r="6434" spans="1:9" ht="15.75" customHeight="1">
      <c r="A6434" s="26"/>
      <c r="B6434" s="2"/>
      <c r="C6434" s="26"/>
      <c r="D6434" s="26"/>
      <c r="F6434" s="85" t="str">
        <f t="shared" si="0"/>
        <v/>
      </c>
      <c r="G6434" s="1" t="e">
        <f>IF(VALUE(F6434) = VALUE(RIGHT(Insights!$C$3, 4)), E6434, "")</f>
        <v>#VALUE!</v>
      </c>
      <c r="H6434" s="26" t="e">
        <f t="shared" si="1"/>
        <v>#VALUE!</v>
      </c>
      <c r="I6434" s="1" t="e">
        <f t="shared" si="2"/>
        <v>#VALUE!</v>
      </c>
    </row>
    <row r="6435" spans="1:9" ht="15.75" customHeight="1">
      <c r="A6435" s="26"/>
      <c r="B6435" s="2"/>
      <c r="C6435" s="26"/>
      <c r="D6435" s="26"/>
      <c r="F6435" s="85" t="str">
        <f t="shared" si="0"/>
        <v/>
      </c>
      <c r="G6435" s="1" t="e">
        <f>IF(VALUE(F6435) = VALUE(RIGHT(Insights!$C$3, 4)), E6435, "")</f>
        <v>#VALUE!</v>
      </c>
      <c r="H6435" s="26" t="e">
        <f t="shared" si="1"/>
        <v>#VALUE!</v>
      </c>
      <c r="I6435" s="1" t="e">
        <f t="shared" si="2"/>
        <v>#VALUE!</v>
      </c>
    </row>
    <row r="6436" spans="1:9" ht="15.75" customHeight="1">
      <c r="A6436" s="26"/>
      <c r="B6436" s="2"/>
      <c r="C6436" s="26"/>
      <c r="D6436" s="26"/>
      <c r="F6436" s="85" t="str">
        <f t="shared" si="0"/>
        <v/>
      </c>
      <c r="G6436" s="1" t="e">
        <f>IF(VALUE(F6436) = VALUE(RIGHT(Insights!$C$3, 4)), E6436, "")</f>
        <v>#VALUE!</v>
      </c>
      <c r="H6436" s="26" t="e">
        <f t="shared" si="1"/>
        <v>#VALUE!</v>
      </c>
      <c r="I6436" s="1" t="e">
        <f t="shared" si="2"/>
        <v>#VALUE!</v>
      </c>
    </row>
    <row r="6437" spans="1:9" ht="15.75" customHeight="1">
      <c r="A6437" s="26"/>
      <c r="B6437" s="2"/>
      <c r="C6437" s="26"/>
      <c r="D6437" s="26"/>
      <c r="F6437" s="85" t="str">
        <f t="shared" si="0"/>
        <v/>
      </c>
      <c r="G6437" s="1" t="e">
        <f>IF(VALUE(F6437) = VALUE(RIGHT(Insights!$C$3, 4)), E6437, "")</f>
        <v>#VALUE!</v>
      </c>
      <c r="H6437" s="26" t="e">
        <f t="shared" si="1"/>
        <v>#VALUE!</v>
      </c>
      <c r="I6437" s="1" t="e">
        <f t="shared" si="2"/>
        <v>#VALUE!</v>
      </c>
    </row>
    <row r="6438" spans="1:9" ht="15.75" customHeight="1">
      <c r="A6438" s="26"/>
      <c r="B6438" s="2"/>
      <c r="C6438" s="26"/>
      <c r="D6438" s="26"/>
      <c r="F6438" s="85" t="str">
        <f t="shared" si="0"/>
        <v/>
      </c>
      <c r="G6438" s="1" t="e">
        <f>IF(VALUE(F6438) = VALUE(RIGHT(Insights!$C$3, 4)), E6438, "")</f>
        <v>#VALUE!</v>
      </c>
      <c r="H6438" s="26" t="e">
        <f t="shared" si="1"/>
        <v>#VALUE!</v>
      </c>
      <c r="I6438" s="1" t="e">
        <f t="shared" si="2"/>
        <v>#VALUE!</v>
      </c>
    </row>
    <row r="6439" spans="1:9" ht="15.75" customHeight="1">
      <c r="A6439" s="26"/>
      <c r="B6439" s="2"/>
      <c r="C6439" s="26"/>
      <c r="D6439" s="26"/>
      <c r="F6439" s="85" t="str">
        <f t="shared" si="0"/>
        <v/>
      </c>
      <c r="G6439" s="1" t="e">
        <f>IF(VALUE(F6439) = VALUE(RIGHT(Insights!$C$3, 4)), E6439, "")</f>
        <v>#VALUE!</v>
      </c>
      <c r="H6439" s="26" t="e">
        <f t="shared" si="1"/>
        <v>#VALUE!</v>
      </c>
      <c r="I6439" s="1" t="e">
        <f t="shared" si="2"/>
        <v>#VALUE!</v>
      </c>
    </row>
    <row r="6440" spans="1:9" ht="15.75" customHeight="1">
      <c r="A6440" s="26"/>
      <c r="B6440" s="2"/>
      <c r="C6440" s="26"/>
      <c r="D6440" s="26"/>
      <c r="F6440" s="85" t="str">
        <f t="shared" si="0"/>
        <v/>
      </c>
      <c r="G6440" s="1" t="e">
        <f>IF(VALUE(F6440) = VALUE(RIGHT(Insights!$C$3, 4)), E6440, "")</f>
        <v>#VALUE!</v>
      </c>
      <c r="H6440" s="26" t="e">
        <f t="shared" si="1"/>
        <v>#VALUE!</v>
      </c>
      <c r="I6440" s="1" t="e">
        <f t="shared" si="2"/>
        <v>#VALUE!</v>
      </c>
    </row>
    <row r="6441" spans="1:9" ht="15.75" customHeight="1">
      <c r="A6441" s="26"/>
      <c r="B6441" s="2"/>
      <c r="C6441" s="26"/>
      <c r="D6441" s="26"/>
      <c r="F6441" s="85" t="str">
        <f t="shared" si="0"/>
        <v/>
      </c>
      <c r="G6441" s="1" t="e">
        <f>IF(VALUE(F6441) = VALUE(RIGHT(Insights!$C$3, 4)), E6441, "")</f>
        <v>#VALUE!</v>
      </c>
      <c r="H6441" s="26" t="e">
        <f t="shared" si="1"/>
        <v>#VALUE!</v>
      </c>
      <c r="I6441" s="1" t="e">
        <f t="shared" si="2"/>
        <v>#VALUE!</v>
      </c>
    </row>
    <row r="6442" spans="1:9" ht="15.75" customHeight="1">
      <c r="A6442" s="26"/>
      <c r="B6442" s="2"/>
      <c r="C6442" s="26"/>
      <c r="D6442" s="26"/>
      <c r="F6442" s="85" t="str">
        <f t="shared" si="0"/>
        <v/>
      </c>
      <c r="G6442" s="1" t="e">
        <f>IF(VALUE(F6442) = VALUE(RIGHT(Insights!$C$3, 4)), E6442, "")</f>
        <v>#VALUE!</v>
      </c>
      <c r="H6442" s="26" t="e">
        <f t="shared" si="1"/>
        <v>#VALUE!</v>
      </c>
      <c r="I6442" s="1" t="e">
        <f t="shared" si="2"/>
        <v>#VALUE!</v>
      </c>
    </row>
    <row r="6443" spans="1:9" ht="15.75" customHeight="1">
      <c r="A6443" s="26"/>
      <c r="B6443" s="2"/>
      <c r="C6443" s="26"/>
      <c r="D6443" s="26"/>
      <c r="F6443" s="85" t="str">
        <f t="shared" si="0"/>
        <v/>
      </c>
      <c r="G6443" s="1" t="e">
        <f>IF(VALUE(F6443) = VALUE(RIGHT(Insights!$C$3, 4)), E6443, "")</f>
        <v>#VALUE!</v>
      </c>
      <c r="H6443" s="26" t="e">
        <f t="shared" si="1"/>
        <v>#VALUE!</v>
      </c>
      <c r="I6443" s="1" t="e">
        <f t="shared" si="2"/>
        <v>#VALUE!</v>
      </c>
    </row>
    <row r="6444" spans="1:9" ht="15.75" customHeight="1">
      <c r="A6444" s="26"/>
      <c r="B6444" s="2"/>
      <c r="C6444" s="26"/>
      <c r="D6444" s="26"/>
      <c r="F6444" s="85" t="str">
        <f t="shared" si="0"/>
        <v/>
      </c>
      <c r="G6444" s="1" t="e">
        <f>IF(VALUE(F6444) = VALUE(RIGHT(Insights!$C$3, 4)), E6444, "")</f>
        <v>#VALUE!</v>
      </c>
      <c r="H6444" s="26" t="e">
        <f t="shared" si="1"/>
        <v>#VALUE!</v>
      </c>
      <c r="I6444" s="1" t="e">
        <f t="shared" si="2"/>
        <v>#VALUE!</v>
      </c>
    </row>
    <row r="6445" spans="1:9" ht="15.75" customHeight="1">
      <c r="A6445" s="26"/>
      <c r="B6445" s="2"/>
      <c r="C6445" s="26"/>
      <c r="D6445" s="26"/>
      <c r="F6445" s="85" t="str">
        <f t="shared" si="0"/>
        <v/>
      </c>
      <c r="G6445" s="1" t="e">
        <f>IF(VALUE(F6445) = VALUE(RIGHT(Insights!$C$3, 4)), E6445, "")</f>
        <v>#VALUE!</v>
      </c>
      <c r="H6445" s="26" t="e">
        <f t="shared" si="1"/>
        <v>#VALUE!</v>
      </c>
      <c r="I6445" s="1" t="e">
        <f t="shared" si="2"/>
        <v>#VALUE!</v>
      </c>
    </row>
    <row r="6446" spans="1:9" ht="15.75" customHeight="1">
      <c r="A6446" s="26"/>
      <c r="B6446" s="2"/>
      <c r="C6446" s="26"/>
      <c r="D6446" s="26"/>
      <c r="F6446" s="85" t="str">
        <f t="shared" si="0"/>
        <v/>
      </c>
      <c r="G6446" s="1" t="e">
        <f>IF(VALUE(F6446) = VALUE(RIGHT(Insights!$C$3, 4)), E6446, "")</f>
        <v>#VALUE!</v>
      </c>
      <c r="H6446" s="26" t="e">
        <f t="shared" si="1"/>
        <v>#VALUE!</v>
      </c>
      <c r="I6446" s="1" t="e">
        <f t="shared" si="2"/>
        <v>#VALUE!</v>
      </c>
    </row>
    <row r="6447" spans="1:9" ht="15.75" customHeight="1">
      <c r="A6447" s="26"/>
      <c r="B6447" s="2"/>
      <c r="C6447" s="26"/>
      <c r="D6447" s="26"/>
      <c r="F6447" s="85" t="str">
        <f t="shared" si="0"/>
        <v/>
      </c>
      <c r="G6447" s="1" t="e">
        <f>IF(VALUE(F6447) = VALUE(RIGHT(Insights!$C$3, 4)), E6447, "")</f>
        <v>#VALUE!</v>
      </c>
      <c r="H6447" s="26" t="e">
        <f t="shared" si="1"/>
        <v>#VALUE!</v>
      </c>
      <c r="I6447" s="1" t="e">
        <f t="shared" si="2"/>
        <v>#VALUE!</v>
      </c>
    </row>
    <row r="6448" spans="1:9" ht="15.75" customHeight="1">
      <c r="A6448" s="26"/>
      <c r="B6448" s="2"/>
      <c r="C6448" s="26"/>
      <c r="D6448" s="26"/>
      <c r="F6448" s="85" t="str">
        <f t="shared" si="0"/>
        <v/>
      </c>
      <c r="G6448" s="1" t="e">
        <f>IF(VALUE(F6448) = VALUE(RIGHT(Insights!$C$3, 4)), E6448, "")</f>
        <v>#VALUE!</v>
      </c>
      <c r="H6448" s="26" t="e">
        <f t="shared" si="1"/>
        <v>#VALUE!</v>
      </c>
      <c r="I6448" s="1" t="e">
        <f t="shared" si="2"/>
        <v>#VALUE!</v>
      </c>
    </row>
    <row r="6449" spans="1:9" ht="15.75" customHeight="1">
      <c r="A6449" s="26"/>
      <c r="B6449" s="2"/>
      <c r="C6449" s="26"/>
      <c r="D6449" s="26"/>
      <c r="F6449" s="85" t="str">
        <f t="shared" si="0"/>
        <v/>
      </c>
      <c r="G6449" s="1" t="e">
        <f>IF(VALUE(F6449) = VALUE(RIGHT(Insights!$C$3, 4)), E6449, "")</f>
        <v>#VALUE!</v>
      </c>
      <c r="H6449" s="26" t="e">
        <f t="shared" si="1"/>
        <v>#VALUE!</v>
      </c>
      <c r="I6449" s="1" t="e">
        <f t="shared" si="2"/>
        <v>#VALUE!</v>
      </c>
    </row>
    <row r="6450" spans="1:9" ht="15.75" customHeight="1">
      <c r="A6450" s="26"/>
      <c r="B6450" s="2"/>
      <c r="C6450" s="26"/>
      <c r="D6450" s="26"/>
      <c r="F6450" s="85" t="str">
        <f t="shared" si="0"/>
        <v/>
      </c>
      <c r="G6450" s="1" t="e">
        <f>IF(VALUE(F6450) = VALUE(RIGHT(Insights!$C$3, 4)), E6450, "")</f>
        <v>#VALUE!</v>
      </c>
      <c r="H6450" s="26" t="e">
        <f t="shared" si="1"/>
        <v>#VALUE!</v>
      </c>
      <c r="I6450" s="1" t="e">
        <f t="shared" si="2"/>
        <v>#VALUE!</v>
      </c>
    </row>
    <row r="6451" spans="1:9" ht="15.75" customHeight="1">
      <c r="A6451" s="26"/>
      <c r="B6451" s="2"/>
      <c r="C6451" s="26"/>
      <c r="D6451" s="26"/>
      <c r="F6451" s="85" t="str">
        <f t="shared" si="0"/>
        <v/>
      </c>
      <c r="G6451" s="1" t="e">
        <f>IF(VALUE(F6451) = VALUE(RIGHT(Insights!$C$3, 4)), E6451, "")</f>
        <v>#VALUE!</v>
      </c>
      <c r="H6451" s="26" t="e">
        <f t="shared" si="1"/>
        <v>#VALUE!</v>
      </c>
      <c r="I6451" s="1" t="e">
        <f t="shared" si="2"/>
        <v>#VALUE!</v>
      </c>
    </row>
    <row r="6452" spans="1:9" ht="15.75" customHeight="1">
      <c r="A6452" s="26"/>
      <c r="B6452" s="2"/>
      <c r="C6452" s="26"/>
      <c r="D6452" s="26"/>
      <c r="F6452" s="85" t="str">
        <f t="shared" si="0"/>
        <v/>
      </c>
      <c r="G6452" s="1" t="e">
        <f>IF(VALUE(F6452) = VALUE(RIGHT(Insights!$C$3, 4)), E6452, "")</f>
        <v>#VALUE!</v>
      </c>
      <c r="H6452" s="26" t="e">
        <f t="shared" si="1"/>
        <v>#VALUE!</v>
      </c>
      <c r="I6452" s="1" t="e">
        <f t="shared" si="2"/>
        <v>#VALUE!</v>
      </c>
    </row>
    <row r="6453" spans="1:9" ht="15.75" customHeight="1">
      <c r="A6453" s="26"/>
      <c r="B6453" s="2"/>
      <c r="C6453" s="26"/>
      <c r="D6453" s="26"/>
      <c r="F6453" s="85" t="str">
        <f t="shared" si="0"/>
        <v/>
      </c>
      <c r="G6453" s="1" t="e">
        <f>IF(VALUE(F6453) = VALUE(RIGHT(Insights!$C$3, 4)), E6453, "")</f>
        <v>#VALUE!</v>
      </c>
      <c r="H6453" s="26" t="e">
        <f t="shared" si="1"/>
        <v>#VALUE!</v>
      </c>
      <c r="I6453" s="1" t="e">
        <f t="shared" si="2"/>
        <v>#VALUE!</v>
      </c>
    </row>
    <row r="6454" spans="1:9" ht="15.75" customHeight="1">
      <c r="A6454" s="26"/>
      <c r="B6454" s="2"/>
      <c r="C6454" s="26"/>
      <c r="D6454" s="26"/>
      <c r="F6454" s="85" t="str">
        <f t="shared" si="0"/>
        <v/>
      </c>
      <c r="G6454" s="1" t="e">
        <f>IF(VALUE(F6454) = VALUE(RIGHT(Insights!$C$3, 4)), E6454, "")</f>
        <v>#VALUE!</v>
      </c>
      <c r="H6454" s="26" t="e">
        <f t="shared" si="1"/>
        <v>#VALUE!</v>
      </c>
      <c r="I6454" s="1" t="e">
        <f t="shared" si="2"/>
        <v>#VALUE!</v>
      </c>
    </row>
    <row r="6455" spans="1:9" ht="15.75" customHeight="1">
      <c r="A6455" s="26"/>
      <c r="B6455" s="2"/>
      <c r="C6455" s="26"/>
      <c r="D6455" s="26"/>
      <c r="F6455" s="85" t="str">
        <f t="shared" si="0"/>
        <v/>
      </c>
      <c r="G6455" s="1" t="e">
        <f>IF(VALUE(F6455) = VALUE(RIGHT(Insights!$C$3, 4)), E6455, "")</f>
        <v>#VALUE!</v>
      </c>
      <c r="H6455" s="26" t="e">
        <f t="shared" si="1"/>
        <v>#VALUE!</v>
      </c>
      <c r="I6455" s="1" t="e">
        <f t="shared" si="2"/>
        <v>#VALUE!</v>
      </c>
    </row>
    <row r="6456" spans="1:9" ht="15.75" customHeight="1">
      <c r="A6456" s="26"/>
      <c r="B6456" s="2"/>
      <c r="C6456" s="26"/>
      <c r="D6456" s="26"/>
      <c r="F6456" s="85" t="str">
        <f t="shared" si="0"/>
        <v/>
      </c>
      <c r="G6456" s="1" t="e">
        <f>IF(VALUE(F6456) = VALUE(RIGHT(Insights!$C$3, 4)), E6456, "")</f>
        <v>#VALUE!</v>
      </c>
      <c r="H6456" s="26" t="e">
        <f t="shared" si="1"/>
        <v>#VALUE!</v>
      </c>
      <c r="I6456" s="1" t="e">
        <f t="shared" si="2"/>
        <v>#VALUE!</v>
      </c>
    </row>
    <row r="6457" spans="1:9" ht="15.75" customHeight="1">
      <c r="A6457" s="26"/>
      <c r="B6457" s="2"/>
      <c r="C6457" s="26"/>
      <c r="D6457" s="26"/>
      <c r="F6457" s="85" t="str">
        <f t="shared" si="0"/>
        <v/>
      </c>
      <c r="G6457" s="1" t="e">
        <f>IF(VALUE(F6457) = VALUE(RIGHT(Insights!$C$3, 4)), E6457, "")</f>
        <v>#VALUE!</v>
      </c>
      <c r="H6457" s="26" t="e">
        <f t="shared" si="1"/>
        <v>#VALUE!</v>
      </c>
      <c r="I6457" s="1" t="e">
        <f t="shared" si="2"/>
        <v>#VALUE!</v>
      </c>
    </row>
    <row r="6458" spans="1:9" ht="15.75" customHeight="1">
      <c r="A6458" s="26"/>
      <c r="B6458" s="2"/>
      <c r="C6458" s="26"/>
      <c r="D6458" s="26"/>
      <c r="F6458" s="85" t="str">
        <f t="shared" si="0"/>
        <v/>
      </c>
      <c r="G6458" s="1" t="e">
        <f>IF(VALUE(F6458) = VALUE(RIGHT(Insights!$C$3, 4)), E6458, "")</f>
        <v>#VALUE!</v>
      </c>
      <c r="H6458" s="26" t="e">
        <f t="shared" si="1"/>
        <v>#VALUE!</v>
      </c>
      <c r="I6458" s="1" t="e">
        <f t="shared" si="2"/>
        <v>#VALUE!</v>
      </c>
    </row>
    <row r="6459" spans="1:9" ht="15.75" customHeight="1">
      <c r="A6459" s="26"/>
      <c r="B6459" s="2"/>
      <c r="C6459" s="26"/>
      <c r="D6459" s="26"/>
      <c r="F6459" s="85" t="str">
        <f t="shared" si="0"/>
        <v/>
      </c>
      <c r="G6459" s="1" t="e">
        <f>IF(VALUE(F6459) = VALUE(RIGHT(Insights!$C$3, 4)), E6459, "")</f>
        <v>#VALUE!</v>
      </c>
      <c r="H6459" s="26" t="e">
        <f t="shared" si="1"/>
        <v>#VALUE!</v>
      </c>
      <c r="I6459" s="1" t="e">
        <f t="shared" si="2"/>
        <v>#VALUE!</v>
      </c>
    </row>
    <row r="6460" spans="1:9" ht="15.75" customHeight="1">
      <c r="A6460" s="26"/>
      <c r="B6460" s="2"/>
      <c r="C6460" s="26"/>
      <c r="D6460" s="26"/>
      <c r="F6460" s="85" t="str">
        <f t="shared" si="0"/>
        <v/>
      </c>
      <c r="G6460" s="1" t="e">
        <f>IF(VALUE(F6460) = VALUE(RIGHT(Insights!$C$3, 4)), E6460, "")</f>
        <v>#VALUE!</v>
      </c>
      <c r="H6460" s="26" t="e">
        <f t="shared" si="1"/>
        <v>#VALUE!</v>
      </c>
      <c r="I6460" s="1" t="e">
        <f t="shared" si="2"/>
        <v>#VALUE!</v>
      </c>
    </row>
    <row r="6461" spans="1:9" ht="15.75" customHeight="1">
      <c r="A6461" s="26"/>
      <c r="B6461" s="2"/>
      <c r="C6461" s="26"/>
      <c r="D6461" s="26"/>
      <c r="F6461" s="85" t="str">
        <f t="shared" si="0"/>
        <v/>
      </c>
      <c r="G6461" s="1" t="e">
        <f>IF(VALUE(F6461) = VALUE(RIGHT(Insights!$C$3, 4)), E6461, "")</f>
        <v>#VALUE!</v>
      </c>
      <c r="H6461" s="26" t="e">
        <f t="shared" si="1"/>
        <v>#VALUE!</v>
      </c>
      <c r="I6461" s="1" t="e">
        <f t="shared" si="2"/>
        <v>#VALUE!</v>
      </c>
    </row>
    <row r="6462" spans="1:9" ht="15.75" customHeight="1">
      <c r="A6462" s="26"/>
      <c r="B6462" s="2"/>
      <c r="C6462" s="26"/>
      <c r="D6462" s="26"/>
      <c r="F6462" s="85" t="str">
        <f t="shared" si="0"/>
        <v/>
      </c>
      <c r="G6462" s="1" t="e">
        <f>IF(VALUE(F6462) = VALUE(RIGHT(Insights!$C$3, 4)), E6462, "")</f>
        <v>#VALUE!</v>
      </c>
      <c r="H6462" s="26" t="e">
        <f t="shared" si="1"/>
        <v>#VALUE!</v>
      </c>
      <c r="I6462" s="1" t="e">
        <f t="shared" si="2"/>
        <v>#VALUE!</v>
      </c>
    </row>
    <row r="6463" spans="1:9" ht="15.75" customHeight="1">
      <c r="A6463" s="26"/>
      <c r="B6463" s="2"/>
      <c r="C6463" s="26"/>
      <c r="D6463" s="26"/>
      <c r="F6463" s="85" t="str">
        <f t="shared" si="0"/>
        <v/>
      </c>
      <c r="G6463" s="1" t="e">
        <f>IF(VALUE(F6463) = VALUE(RIGHT(Insights!$C$3, 4)), E6463, "")</f>
        <v>#VALUE!</v>
      </c>
      <c r="H6463" s="26" t="e">
        <f t="shared" si="1"/>
        <v>#VALUE!</v>
      </c>
      <c r="I6463" s="1" t="e">
        <f t="shared" si="2"/>
        <v>#VALUE!</v>
      </c>
    </row>
    <row r="6464" spans="1:9" ht="15.75" customHeight="1">
      <c r="A6464" s="26"/>
      <c r="B6464" s="2"/>
      <c r="C6464" s="26"/>
      <c r="D6464" s="26"/>
      <c r="F6464" s="85" t="str">
        <f t="shared" si="0"/>
        <v/>
      </c>
      <c r="G6464" s="1" t="e">
        <f>IF(VALUE(F6464) = VALUE(RIGHT(Insights!$C$3, 4)), E6464, "")</f>
        <v>#VALUE!</v>
      </c>
      <c r="H6464" s="26" t="e">
        <f t="shared" si="1"/>
        <v>#VALUE!</v>
      </c>
      <c r="I6464" s="1" t="e">
        <f t="shared" si="2"/>
        <v>#VALUE!</v>
      </c>
    </row>
    <row r="6465" spans="1:9" ht="15.75" customHeight="1">
      <c r="A6465" s="26"/>
      <c r="B6465" s="2"/>
      <c r="C6465" s="26"/>
      <c r="D6465" s="26"/>
      <c r="F6465" s="85" t="str">
        <f t="shared" si="0"/>
        <v/>
      </c>
      <c r="G6465" s="1" t="e">
        <f>IF(VALUE(F6465) = VALUE(RIGHT(Insights!$C$3, 4)), E6465, "")</f>
        <v>#VALUE!</v>
      </c>
      <c r="H6465" s="26" t="e">
        <f t="shared" si="1"/>
        <v>#VALUE!</v>
      </c>
      <c r="I6465" s="1" t="e">
        <f t="shared" si="2"/>
        <v>#VALUE!</v>
      </c>
    </row>
    <row r="6466" spans="1:9" ht="15.75" customHeight="1">
      <c r="A6466" s="26"/>
      <c r="B6466" s="2"/>
      <c r="C6466" s="26"/>
      <c r="D6466" s="26"/>
      <c r="F6466" s="85" t="str">
        <f t="shared" si="0"/>
        <v/>
      </c>
      <c r="G6466" s="1" t="e">
        <f>IF(VALUE(F6466) = VALUE(RIGHT(Insights!$C$3, 4)), E6466, "")</f>
        <v>#VALUE!</v>
      </c>
      <c r="H6466" s="26" t="e">
        <f t="shared" si="1"/>
        <v>#VALUE!</v>
      </c>
      <c r="I6466" s="1" t="e">
        <f t="shared" si="2"/>
        <v>#VALUE!</v>
      </c>
    </row>
    <row r="6467" spans="1:9" ht="15.75" customHeight="1">
      <c r="A6467" s="26"/>
      <c r="B6467" s="2"/>
      <c r="C6467" s="26"/>
      <c r="D6467" s="26"/>
      <c r="F6467" s="85" t="str">
        <f t="shared" si="0"/>
        <v/>
      </c>
      <c r="G6467" s="1" t="e">
        <f>IF(VALUE(F6467) = VALUE(RIGHT(Insights!$C$3, 4)), E6467, "")</f>
        <v>#VALUE!</v>
      </c>
      <c r="H6467" s="26" t="e">
        <f t="shared" si="1"/>
        <v>#VALUE!</v>
      </c>
      <c r="I6467" s="1" t="e">
        <f t="shared" si="2"/>
        <v>#VALUE!</v>
      </c>
    </row>
    <row r="6468" spans="1:9" ht="15.75" customHeight="1">
      <c r="A6468" s="26"/>
      <c r="B6468" s="2"/>
      <c r="C6468" s="26"/>
      <c r="D6468" s="26"/>
      <c r="F6468" s="85" t="str">
        <f t="shared" si="0"/>
        <v/>
      </c>
      <c r="G6468" s="1" t="e">
        <f>IF(VALUE(F6468) = VALUE(RIGHT(Insights!$C$3, 4)), E6468, "")</f>
        <v>#VALUE!</v>
      </c>
      <c r="H6468" s="26" t="e">
        <f t="shared" si="1"/>
        <v>#VALUE!</v>
      </c>
      <c r="I6468" s="1" t="e">
        <f t="shared" si="2"/>
        <v>#VALUE!</v>
      </c>
    </row>
    <row r="6469" spans="1:9" ht="15.75" customHeight="1">
      <c r="A6469" s="26"/>
      <c r="B6469" s="2"/>
      <c r="C6469" s="26"/>
      <c r="D6469" s="26"/>
      <c r="F6469" s="85" t="str">
        <f t="shared" si="0"/>
        <v/>
      </c>
      <c r="G6469" s="1" t="e">
        <f>IF(VALUE(F6469) = VALUE(RIGHT(Insights!$C$3, 4)), E6469, "")</f>
        <v>#VALUE!</v>
      </c>
      <c r="H6469" s="26" t="e">
        <f t="shared" si="1"/>
        <v>#VALUE!</v>
      </c>
      <c r="I6469" s="1" t="e">
        <f t="shared" si="2"/>
        <v>#VALUE!</v>
      </c>
    </row>
    <row r="6470" spans="1:9" ht="15.75" customHeight="1">
      <c r="A6470" s="26"/>
      <c r="B6470" s="2"/>
      <c r="C6470" s="26"/>
      <c r="D6470" s="26"/>
      <c r="F6470" s="85" t="str">
        <f t="shared" si="0"/>
        <v/>
      </c>
      <c r="G6470" s="1" t="e">
        <f>IF(VALUE(F6470) = VALUE(RIGHT(Insights!$C$3, 4)), E6470, "")</f>
        <v>#VALUE!</v>
      </c>
      <c r="H6470" s="26" t="e">
        <f t="shared" si="1"/>
        <v>#VALUE!</v>
      </c>
      <c r="I6470" s="1" t="e">
        <f t="shared" si="2"/>
        <v>#VALUE!</v>
      </c>
    </row>
    <row r="6471" spans="1:9" ht="15.75" customHeight="1">
      <c r="A6471" s="26"/>
      <c r="B6471" s="2"/>
      <c r="C6471" s="26"/>
      <c r="D6471" s="26"/>
      <c r="F6471" s="85" t="str">
        <f t="shared" si="0"/>
        <v/>
      </c>
      <c r="G6471" s="1" t="e">
        <f>IF(VALUE(F6471) = VALUE(RIGHT(Insights!$C$3, 4)), E6471, "")</f>
        <v>#VALUE!</v>
      </c>
      <c r="H6471" s="26" t="e">
        <f t="shared" si="1"/>
        <v>#VALUE!</v>
      </c>
      <c r="I6471" s="1" t="e">
        <f t="shared" si="2"/>
        <v>#VALUE!</v>
      </c>
    </row>
    <row r="6472" spans="1:9" ht="15.75" customHeight="1">
      <c r="A6472" s="26"/>
      <c r="B6472" s="2"/>
      <c r="C6472" s="26"/>
      <c r="D6472" s="26"/>
      <c r="F6472" s="85" t="str">
        <f t="shared" si="0"/>
        <v/>
      </c>
      <c r="G6472" s="1" t="e">
        <f>IF(VALUE(F6472) = VALUE(RIGHT(Insights!$C$3, 4)), E6472, "")</f>
        <v>#VALUE!</v>
      </c>
      <c r="H6472" s="26" t="e">
        <f t="shared" si="1"/>
        <v>#VALUE!</v>
      </c>
      <c r="I6472" s="1" t="e">
        <f t="shared" si="2"/>
        <v>#VALUE!</v>
      </c>
    </row>
    <row r="6473" spans="1:9" ht="15.75" customHeight="1">
      <c r="A6473" s="26"/>
      <c r="B6473" s="2"/>
      <c r="C6473" s="26"/>
      <c r="D6473" s="26"/>
      <c r="F6473" s="85" t="str">
        <f t="shared" si="0"/>
        <v/>
      </c>
      <c r="G6473" s="1" t="e">
        <f>IF(VALUE(F6473) = VALUE(RIGHT(Insights!$C$3, 4)), E6473, "")</f>
        <v>#VALUE!</v>
      </c>
      <c r="H6473" s="26" t="e">
        <f t="shared" si="1"/>
        <v>#VALUE!</v>
      </c>
      <c r="I6473" s="1" t="e">
        <f t="shared" si="2"/>
        <v>#VALUE!</v>
      </c>
    </row>
    <row r="6474" spans="1:9" ht="15.75" customHeight="1">
      <c r="A6474" s="26"/>
      <c r="B6474" s="2"/>
      <c r="C6474" s="26"/>
      <c r="D6474" s="26"/>
      <c r="F6474" s="85" t="str">
        <f t="shared" si="0"/>
        <v/>
      </c>
      <c r="G6474" s="1" t="e">
        <f>IF(VALUE(F6474) = VALUE(RIGHT(Insights!$C$3, 4)), E6474, "")</f>
        <v>#VALUE!</v>
      </c>
      <c r="H6474" s="26" t="e">
        <f t="shared" si="1"/>
        <v>#VALUE!</v>
      </c>
      <c r="I6474" s="1" t="e">
        <f t="shared" si="2"/>
        <v>#VALUE!</v>
      </c>
    </row>
    <row r="6475" spans="1:9" ht="15.75" customHeight="1">
      <c r="A6475" s="26"/>
      <c r="B6475" s="2"/>
      <c r="C6475" s="26"/>
      <c r="D6475" s="26"/>
      <c r="F6475" s="85" t="str">
        <f t="shared" si="0"/>
        <v/>
      </c>
      <c r="G6475" s="1" t="e">
        <f>IF(VALUE(F6475) = VALUE(RIGHT(Insights!$C$3, 4)), E6475, "")</f>
        <v>#VALUE!</v>
      </c>
      <c r="H6475" s="26" t="e">
        <f t="shared" si="1"/>
        <v>#VALUE!</v>
      </c>
      <c r="I6475" s="1" t="e">
        <f t="shared" si="2"/>
        <v>#VALUE!</v>
      </c>
    </row>
    <row r="6476" spans="1:9" ht="15.75" customHeight="1">
      <c r="A6476" s="26"/>
      <c r="B6476" s="2"/>
      <c r="C6476" s="26"/>
      <c r="D6476" s="26"/>
      <c r="F6476" s="85" t="str">
        <f t="shared" si="0"/>
        <v/>
      </c>
      <c r="G6476" s="1" t="e">
        <f>IF(VALUE(F6476) = VALUE(RIGHT(Insights!$C$3, 4)), E6476, "")</f>
        <v>#VALUE!</v>
      </c>
      <c r="H6476" s="26" t="e">
        <f t="shared" si="1"/>
        <v>#VALUE!</v>
      </c>
      <c r="I6476" s="1" t="e">
        <f t="shared" si="2"/>
        <v>#VALUE!</v>
      </c>
    </row>
    <row r="6477" spans="1:9" ht="15.75" customHeight="1">
      <c r="A6477" s="26"/>
      <c r="B6477" s="2"/>
      <c r="C6477" s="26"/>
      <c r="D6477" s="26"/>
      <c r="F6477" s="85" t="str">
        <f t="shared" si="0"/>
        <v/>
      </c>
      <c r="G6477" s="1" t="e">
        <f>IF(VALUE(F6477) = VALUE(RIGHT(Insights!$C$3, 4)), E6477, "")</f>
        <v>#VALUE!</v>
      </c>
      <c r="H6477" s="26" t="e">
        <f t="shared" si="1"/>
        <v>#VALUE!</v>
      </c>
      <c r="I6477" s="1" t="e">
        <f t="shared" si="2"/>
        <v>#VALUE!</v>
      </c>
    </row>
    <row r="6478" spans="1:9" ht="15.75" customHeight="1">
      <c r="A6478" s="26"/>
      <c r="B6478" s="2"/>
      <c r="C6478" s="26"/>
      <c r="D6478" s="26"/>
      <c r="F6478" s="85" t="str">
        <f t="shared" si="0"/>
        <v/>
      </c>
      <c r="G6478" s="1" t="e">
        <f>IF(VALUE(F6478) = VALUE(RIGHT(Insights!$C$3, 4)), E6478, "")</f>
        <v>#VALUE!</v>
      </c>
      <c r="H6478" s="26" t="e">
        <f t="shared" si="1"/>
        <v>#VALUE!</v>
      </c>
      <c r="I6478" s="1" t="e">
        <f t="shared" si="2"/>
        <v>#VALUE!</v>
      </c>
    </row>
    <row r="6479" spans="1:9" ht="15.75" customHeight="1">
      <c r="A6479" s="26"/>
      <c r="B6479" s="2"/>
      <c r="C6479" s="26"/>
      <c r="D6479" s="26"/>
      <c r="F6479" s="85" t="str">
        <f t="shared" si="0"/>
        <v/>
      </c>
      <c r="G6479" s="1" t="e">
        <f>IF(VALUE(F6479) = VALUE(RIGHT(Insights!$C$3, 4)), E6479, "")</f>
        <v>#VALUE!</v>
      </c>
      <c r="H6479" s="26" t="e">
        <f t="shared" si="1"/>
        <v>#VALUE!</v>
      </c>
      <c r="I6479" s="1" t="e">
        <f t="shared" si="2"/>
        <v>#VALUE!</v>
      </c>
    </row>
    <row r="6480" spans="1:9" ht="15.75" customHeight="1">
      <c r="A6480" s="26"/>
      <c r="B6480" s="2"/>
      <c r="C6480" s="26"/>
      <c r="D6480" s="26"/>
      <c r="F6480" s="85" t="str">
        <f t="shared" si="0"/>
        <v/>
      </c>
      <c r="G6480" s="1" t="e">
        <f>IF(VALUE(F6480) = VALUE(RIGHT(Insights!$C$3, 4)), E6480, "")</f>
        <v>#VALUE!</v>
      </c>
      <c r="H6480" s="26" t="e">
        <f t="shared" si="1"/>
        <v>#VALUE!</v>
      </c>
      <c r="I6480" s="1" t="e">
        <f t="shared" si="2"/>
        <v>#VALUE!</v>
      </c>
    </row>
    <row r="6481" spans="1:9" ht="15.75" customHeight="1">
      <c r="A6481" s="26"/>
      <c r="B6481" s="2"/>
      <c r="C6481" s="26"/>
      <c r="D6481" s="26"/>
      <c r="F6481" s="85" t="str">
        <f t="shared" si="0"/>
        <v/>
      </c>
      <c r="G6481" s="1" t="e">
        <f>IF(VALUE(F6481) = VALUE(RIGHT(Insights!$C$3, 4)), E6481, "")</f>
        <v>#VALUE!</v>
      </c>
      <c r="H6481" s="26" t="e">
        <f t="shared" si="1"/>
        <v>#VALUE!</v>
      </c>
      <c r="I6481" s="1" t="e">
        <f t="shared" si="2"/>
        <v>#VALUE!</v>
      </c>
    </row>
    <row r="6482" spans="1:9" ht="15.75" customHeight="1">
      <c r="A6482" s="26"/>
      <c r="B6482" s="2"/>
      <c r="C6482" s="26"/>
      <c r="D6482" s="26"/>
      <c r="F6482" s="85" t="str">
        <f t="shared" si="0"/>
        <v/>
      </c>
      <c r="G6482" s="1" t="e">
        <f>IF(VALUE(F6482) = VALUE(RIGHT(Insights!$C$3, 4)), E6482, "")</f>
        <v>#VALUE!</v>
      </c>
      <c r="H6482" s="26" t="e">
        <f t="shared" si="1"/>
        <v>#VALUE!</v>
      </c>
      <c r="I6482" s="1" t="e">
        <f t="shared" si="2"/>
        <v>#VALUE!</v>
      </c>
    </row>
    <row r="6483" spans="1:9" ht="15.75" customHeight="1">
      <c r="A6483" s="26"/>
      <c r="B6483" s="2"/>
      <c r="C6483" s="26"/>
      <c r="D6483" s="26"/>
      <c r="F6483" s="85" t="str">
        <f t="shared" si="0"/>
        <v/>
      </c>
      <c r="G6483" s="1" t="e">
        <f>IF(VALUE(F6483) = VALUE(RIGHT(Insights!$C$3, 4)), E6483, "")</f>
        <v>#VALUE!</v>
      </c>
      <c r="H6483" s="26" t="e">
        <f t="shared" si="1"/>
        <v>#VALUE!</v>
      </c>
      <c r="I6483" s="1" t="e">
        <f t="shared" si="2"/>
        <v>#VALUE!</v>
      </c>
    </row>
    <row r="6484" spans="1:9" ht="15.75" customHeight="1">
      <c r="A6484" s="26"/>
      <c r="B6484" s="2"/>
      <c r="C6484" s="26"/>
      <c r="D6484" s="26"/>
      <c r="F6484" s="85" t="str">
        <f t="shared" si="0"/>
        <v/>
      </c>
      <c r="G6484" s="1" t="e">
        <f>IF(VALUE(F6484) = VALUE(RIGHT(Insights!$C$3, 4)), E6484, "")</f>
        <v>#VALUE!</v>
      </c>
      <c r="H6484" s="26" t="e">
        <f t="shared" si="1"/>
        <v>#VALUE!</v>
      </c>
      <c r="I6484" s="1" t="e">
        <f t="shared" si="2"/>
        <v>#VALUE!</v>
      </c>
    </row>
    <row r="6485" spans="1:9" ht="15.75" customHeight="1">
      <c r="A6485" s="26"/>
      <c r="B6485" s="2"/>
      <c r="C6485" s="26"/>
      <c r="D6485" s="26"/>
      <c r="F6485" s="85" t="str">
        <f t="shared" si="0"/>
        <v/>
      </c>
      <c r="G6485" s="1" t="e">
        <f>IF(VALUE(F6485) = VALUE(RIGHT(Insights!$C$3, 4)), E6485, "")</f>
        <v>#VALUE!</v>
      </c>
      <c r="H6485" s="26" t="e">
        <f t="shared" si="1"/>
        <v>#VALUE!</v>
      </c>
      <c r="I6485" s="1" t="e">
        <f t="shared" si="2"/>
        <v>#VALUE!</v>
      </c>
    </row>
    <row r="6486" spans="1:9" ht="15.75" customHeight="1">
      <c r="A6486" s="26"/>
      <c r="B6486" s="2"/>
      <c r="C6486" s="26"/>
      <c r="D6486" s="26"/>
      <c r="F6486" s="85" t="str">
        <f t="shared" si="0"/>
        <v/>
      </c>
      <c r="G6486" s="1" t="e">
        <f>IF(VALUE(F6486) = VALUE(RIGHT(Insights!$C$3, 4)), E6486, "")</f>
        <v>#VALUE!</v>
      </c>
      <c r="H6486" s="26" t="e">
        <f t="shared" si="1"/>
        <v>#VALUE!</v>
      </c>
      <c r="I6486" s="1" t="e">
        <f t="shared" si="2"/>
        <v>#VALUE!</v>
      </c>
    </row>
    <row r="6487" spans="1:9" ht="15.75" customHeight="1">
      <c r="A6487" s="26"/>
      <c r="B6487" s="2"/>
      <c r="C6487" s="26"/>
      <c r="D6487" s="26"/>
      <c r="F6487" s="85" t="str">
        <f t="shared" si="0"/>
        <v/>
      </c>
      <c r="G6487" s="1" t="e">
        <f>IF(VALUE(F6487) = VALUE(RIGHT(Insights!$C$3, 4)), E6487, "")</f>
        <v>#VALUE!</v>
      </c>
      <c r="H6487" s="26" t="e">
        <f t="shared" si="1"/>
        <v>#VALUE!</v>
      </c>
      <c r="I6487" s="1" t="e">
        <f t="shared" si="2"/>
        <v>#VALUE!</v>
      </c>
    </row>
    <row r="6488" spans="1:9" ht="15.75" customHeight="1">
      <c r="A6488" s="26"/>
      <c r="B6488" s="2"/>
      <c r="C6488" s="26"/>
      <c r="D6488" s="26"/>
      <c r="F6488" s="85" t="str">
        <f t="shared" si="0"/>
        <v/>
      </c>
      <c r="G6488" s="1" t="e">
        <f>IF(VALUE(F6488) = VALUE(RIGHT(Insights!$C$3, 4)), E6488, "")</f>
        <v>#VALUE!</v>
      </c>
      <c r="H6488" s="26" t="e">
        <f t="shared" si="1"/>
        <v>#VALUE!</v>
      </c>
      <c r="I6488" s="1" t="e">
        <f t="shared" si="2"/>
        <v>#VALUE!</v>
      </c>
    </row>
    <row r="6489" spans="1:9" ht="15.75" customHeight="1">
      <c r="A6489" s="26"/>
      <c r="B6489" s="2"/>
      <c r="C6489" s="26"/>
      <c r="D6489" s="26"/>
      <c r="F6489" s="85" t="str">
        <f t="shared" si="0"/>
        <v/>
      </c>
      <c r="G6489" s="1" t="e">
        <f>IF(VALUE(F6489) = VALUE(RIGHT(Insights!$C$3, 4)), E6489, "")</f>
        <v>#VALUE!</v>
      </c>
      <c r="H6489" s="26" t="e">
        <f t="shared" si="1"/>
        <v>#VALUE!</v>
      </c>
      <c r="I6489" s="1" t="e">
        <f t="shared" si="2"/>
        <v>#VALUE!</v>
      </c>
    </row>
    <row r="6490" spans="1:9" ht="15.75" customHeight="1">
      <c r="A6490" s="26"/>
      <c r="B6490" s="2"/>
      <c r="C6490" s="26"/>
      <c r="D6490" s="26"/>
      <c r="F6490" s="85" t="str">
        <f t="shared" si="0"/>
        <v/>
      </c>
      <c r="G6490" s="1" t="e">
        <f>IF(VALUE(F6490) = VALUE(RIGHT(Insights!$C$3, 4)), E6490, "")</f>
        <v>#VALUE!</v>
      </c>
      <c r="H6490" s="26" t="e">
        <f t="shared" si="1"/>
        <v>#VALUE!</v>
      </c>
      <c r="I6490" s="1" t="e">
        <f t="shared" si="2"/>
        <v>#VALUE!</v>
      </c>
    </row>
    <row r="6491" spans="1:9" ht="15.75" customHeight="1">
      <c r="A6491" s="26"/>
      <c r="B6491" s="2"/>
      <c r="C6491" s="26"/>
      <c r="D6491" s="26"/>
      <c r="F6491" s="85" t="str">
        <f t="shared" si="0"/>
        <v/>
      </c>
      <c r="G6491" s="1" t="e">
        <f>IF(VALUE(F6491) = VALUE(RIGHT(Insights!$C$3, 4)), E6491, "")</f>
        <v>#VALUE!</v>
      </c>
      <c r="H6491" s="26" t="e">
        <f t="shared" si="1"/>
        <v>#VALUE!</v>
      </c>
      <c r="I6491" s="1" t="e">
        <f t="shared" si="2"/>
        <v>#VALUE!</v>
      </c>
    </row>
    <row r="6492" spans="1:9" ht="15.75" customHeight="1">
      <c r="A6492" s="26"/>
      <c r="B6492" s="2"/>
      <c r="C6492" s="26"/>
      <c r="D6492" s="26"/>
      <c r="F6492" s="85" t="str">
        <f t="shared" si="0"/>
        <v/>
      </c>
      <c r="G6492" s="1" t="e">
        <f>IF(VALUE(F6492) = VALUE(RIGHT(Insights!$C$3, 4)), E6492, "")</f>
        <v>#VALUE!</v>
      </c>
      <c r="H6492" s="26" t="e">
        <f t="shared" si="1"/>
        <v>#VALUE!</v>
      </c>
      <c r="I6492" s="1" t="e">
        <f t="shared" si="2"/>
        <v>#VALUE!</v>
      </c>
    </row>
    <row r="6493" spans="1:9" ht="15.75" customHeight="1">
      <c r="A6493" s="26"/>
      <c r="B6493" s="2"/>
      <c r="C6493" s="26"/>
      <c r="D6493" s="26"/>
      <c r="F6493" s="85" t="str">
        <f t="shared" si="0"/>
        <v/>
      </c>
      <c r="G6493" s="1" t="e">
        <f>IF(VALUE(F6493) = VALUE(RIGHT(Insights!$C$3, 4)), E6493, "")</f>
        <v>#VALUE!</v>
      </c>
      <c r="H6493" s="26" t="e">
        <f t="shared" si="1"/>
        <v>#VALUE!</v>
      </c>
      <c r="I6493" s="1" t="e">
        <f t="shared" si="2"/>
        <v>#VALUE!</v>
      </c>
    </row>
    <row r="6494" spans="1:9" ht="15.75" customHeight="1">
      <c r="A6494" s="26"/>
      <c r="B6494" s="2"/>
      <c r="C6494" s="26"/>
      <c r="D6494" s="26"/>
      <c r="F6494" s="85" t="str">
        <f t="shared" si="0"/>
        <v/>
      </c>
      <c r="G6494" s="1" t="e">
        <f>IF(VALUE(F6494) = VALUE(RIGHT(Insights!$C$3, 4)), E6494, "")</f>
        <v>#VALUE!</v>
      </c>
      <c r="H6494" s="26" t="e">
        <f t="shared" si="1"/>
        <v>#VALUE!</v>
      </c>
      <c r="I6494" s="1" t="e">
        <f t="shared" si="2"/>
        <v>#VALUE!</v>
      </c>
    </row>
    <row r="6495" spans="1:9" ht="15.75" customHeight="1">
      <c r="A6495" s="26"/>
      <c r="B6495" s="2"/>
      <c r="C6495" s="26"/>
      <c r="D6495" s="26"/>
      <c r="F6495" s="85" t="str">
        <f t="shared" si="0"/>
        <v/>
      </c>
      <c r="G6495" s="1" t="e">
        <f>IF(VALUE(F6495) = VALUE(RIGHT(Insights!$C$3, 4)), E6495, "")</f>
        <v>#VALUE!</v>
      </c>
      <c r="H6495" s="26" t="e">
        <f t="shared" si="1"/>
        <v>#VALUE!</v>
      </c>
      <c r="I6495" s="1" t="e">
        <f t="shared" si="2"/>
        <v>#VALUE!</v>
      </c>
    </row>
    <row r="6496" spans="1:9" ht="15.75" customHeight="1">
      <c r="A6496" s="26"/>
      <c r="B6496" s="2"/>
      <c r="C6496" s="26"/>
      <c r="D6496" s="26"/>
      <c r="F6496" s="85" t="str">
        <f t="shared" si="0"/>
        <v/>
      </c>
      <c r="G6496" s="1" t="e">
        <f>IF(VALUE(F6496) = VALUE(RIGHT(Insights!$C$3, 4)), E6496, "")</f>
        <v>#VALUE!</v>
      </c>
      <c r="H6496" s="26" t="e">
        <f t="shared" si="1"/>
        <v>#VALUE!</v>
      </c>
      <c r="I6496" s="1" t="e">
        <f t="shared" si="2"/>
        <v>#VALUE!</v>
      </c>
    </row>
    <row r="6497" spans="1:9" ht="15.75" customHeight="1">
      <c r="A6497" s="26"/>
      <c r="B6497" s="2"/>
      <c r="C6497" s="26"/>
      <c r="D6497" s="26"/>
      <c r="F6497" s="85" t="str">
        <f t="shared" si="0"/>
        <v/>
      </c>
      <c r="G6497" s="1" t="e">
        <f>IF(VALUE(F6497) = VALUE(RIGHT(Insights!$C$3, 4)), E6497, "")</f>
        <v>#VALUE!</v>
      </c>
      <c r="H6497" s="26" t="e">
        <f t="shared" si="1"/>
        <v>#VALUE!</v>
      </c>
      <c r="I6497" s="1" t="e">
        <f t="shared" si="2"/>
        <v>#VALUE!</v>
      </c>
    </row>
    <row r="6498" spans="1:9" ht="15.75" customHeight="1">
      <c r="A6498" s="26"/>
      <c r="B6498" s="2"/>
      <c r="C6498" s="26"/>
      <c r="D6498" s="26"/>
      <c r="F6498" s="85" t="str">
        <f t="shared" si="0"/>
        <v/>
      </c>
      <c r="G6498" s="1" t="e">
        <f>IF(VALUE(F6498) = VALUE(RIGHT(Insights!$C$3, 4)), E6498, "")</f>
        <v>#VALUE!</v>
      </c>
      <c r="H6498" s="26" t="e">
        <f t="shared" si="1"/>
        <v>#VALUE!</v>
      </c>
      <c r="I6498" s="1" t="e">
        <f t="shared" si="2"/>
        <v>#VALUE!</v>
      </c>
    </row>
    <row r="6499" spans="1:9" ht="15.75" customHeight="1">
      <c r="A6499" s="26"/>
      <c r="B6499" s="2"/>
      <c r="C6499" s="26"/>
      <c r="D6499" s="26"/>
      <c r="F6499" s="85" t="str">
        <f t="shared" si="0"/>
        <v/>
      </c>
      <c r="G6499" s="1" t="e">
        <f>IF(VALUE(F6499) = VALUE(RIGHT(Insights!$C$3, 4)), E6499, "")</f>
        <v>#VALUE!</v>
      </c>
      <c r="H6499" s="26" t="e">
        <f t="shared" si="1"/>
        <v>#VALUE!</v>
      </c>
      <c r="I6499" s="1" t="e">
        <f t="shared" si="2"/>
        <v>#VALUE!</v>
      </c>
    </row>
    <row r="6500" spans="1:9" ht="15.75" customHeight="1">
      <c r="A6500" s="26"/>
      <c r="B6500" s="2"/>
      <c r="C6500" s="26"/>
      <c r="D6500" s="26"/>
      <c r="F6500" s="85" t="str">
        <f t="shared" si="0"/>
        <v/>
      </c>
      <c r="G6500" s="1" t="e">
        <f>IF(VALUE(F6500) = VALUE(RIGHT(Insights!$C$3, 4)), E6500, "")</f>
        <v>#VALUE!</v>
      </c>
      <c r="H6500" s="26" t="e">
        <f t="shared" si="1"/>
        <v>#VALUE!</v>
      </c>
      <c r="I6500" s="1" t="e">
        <f t="shared" si="2"/>
        <v>#VALUE!</v>
      </c>
    </row>
    <row r="6501" spans="1:9" ht="15.75" customHeight="1">
      <c r="A6501" s="26"/>
      <c r="B6501" s="2"/>
      <c r="C6501" s="26"/>
      <c r="D6501" s="26"/>
      <c r="F6501" s="85" t="str">
        <f t="shared" si="0"/>
        <v/>
      </c>
      <c r="G6501" s="1" t="e">
        <f>IF(VALUE(F6501) = VALUE(RIGHT(Insights!$C$3, 4)), E6501, "")</f>
        <v>#VALUE!</v>
      </c>
      <c r="H6501" s="26" t="e">
        <f t="shared" si="1"/>
        <v>#VALUE!</v>
      </c>
      <c r="I6501" s="1" t="e">
        <f t="shared" si="2"/>
        <v>#VALUE!</v>
      </c>
    </row>
    <row r="6502" spans="1:9" ht="15.75" customHeight="1">
      <c r="A6502" s="26"/>
      <c r="B6502" s="2"/>
      <c r="C6502" s="26"/>
      <c r="D6502" s="26"/>
      <c r="F6502" s="85" t="str">
        <f t="shared" si="0"/>
        <v/>
      </c>
      <c r="G6502" s="1" t="e">
        <f>IF(VALUE(F6502) = VALUE(RIGHT(Insights!$C$3, 4)), E6502, "")</f>
        <v>#VALUE!</v>
      </c>
      <c r="H6502" s="26" t="e">
        <f t="shared" si="1"/>
        <v>#VALUE!</v>
      </c>
      <c r="I6502" s="1" t="e">
        <f t="shared" si="2"/>
        <v>#VALUE!</v>
      </c>
    </row>
    <row r="6503" spans="1:9" ht="15.75" customHeight="1">
      <c r="A6503" s="26"/>
      <c r="B6503" s="2"/>
      <c r="C6503" s="26"/>
      <c r="D6503" s="26"/>
      <c r="F6503" s="85" t="str">
        <f t="shared" si="0"/>
        <v/>
      </c>
      <c r="G6503" s="1" t="e">
        <f>IF(VALUE(F6503) = VALUE(RIGHT(Insights!$C$3, 4)), E6503, "")</f>
        <v>#VALUE!</v>
      </c>
      <c r="H6503" s="26" t="e">
        <f t="shared" si="1"/>
        <v>#VALUE!</v>
      </c>
      <c r="I6503" s="1" t="e">
        <f t="shared" si="2"/>
        <v>#VALUE!</v>
      </c>
    </row>
    <row r="6504" spans="1:9" ht="15.75" customHeight="1">
      <c r="A6504" s="26"/>
      <c r="B6504" s="2"/>
      <c r="C6504" s="26"/>
      <c r="D6504" s="26"/>
      <c r="F6504" s="85" t="str">
        <f t="shared" si="0"/>
        <v/>
      </c>
      <c r="G6504" s="1" t="e">
        <f>IF(VALUE(F6504) = VALUE(RIGHT(Insights!$C$3, 4)), E6504, "")</f>
        <v>#VALUE!</v>
      </c>
      <c r="H6504" s="26" t="e">
        <f t="shared" si="1"/>
        <v>#VALUE!</v>
      </c>
      <c r="I6504" s="1" t="e">
        <f t="shared" si="2"/>
        <v>#VALUE!</v>
      </c>
    </row>
    <row r="6505" spans="1:9" ht="15.75" customHeight="1">
      <c r="A6505" s="26"/>
      <c r="B6505" s="2"/>
      <c r="C6505" s="26"/>
      <c r="D6505" s="26"/>
      <c r="F6505" s="85" t="str">
        <f t="shared" si="0"/>
        <v/>
      </c>
      <c r="G6505" s="1" t="e">
        <f>IF(VALUE(F6505) = VALUE(RIGHT(Insights!$C$3, 4)), E6505, "")</f>
        <v>#VALUE!</v>
      </c>
      <c r="H6505" s="26" t="e">
        <f t="shared" si="1"/>
        <v>#VALUE!</v>
      </c>
      <c r="I6505" s="1" t="e">
        <f t="shared" si="2"/>
        <v>#VALUE!</v>
      </c>
    </row>
    <row r="6506" spans="1:9" ht="15.75" customHeight="1">
      <c r="A6506" s="26"/>
      <c r="B6506" s="2"/>
      <c r="C6506" s="26"/>
      <c r="D6506" s="26"/>
      <c r="F6506" s="85" t="str">
        <f t="shared" si="0"/>
        <v/>
      </c>
      <c r="G6506" s="1" t="e">
        <f>IF(VALUE(F6506) = VALUE(RIGHT(Insights!$C$3, 4)), E6506, "")</f>
        <v>#VALUE!</v>
      </c>
      <c r="H6506" s="26" t="e">
        <f t="shared" si="1"/>
        <v>#VALUE!</v>
      </c>
      <c r="I6506" s="1" t="e">
        <f t="shared" si="2"/>
        <v>#VALUE!</v>
      </c>
    </row>
    <row r="6507" spans="1:9" ht="15.75" customHeight="1">
      <c r="A6507" s="26"/>
      <c r="B6507" s="2"/>
      <c r="C6507" s="26"/>
      <c r="D6507" s="26"/>
      <c r="F6507" s="85" t="str">
        <f t="shared" si="0"/>
        <v/>
      </c>
      <c r="G6507" s="1" t="e">
        <f>IF(VALUE(F6507) = VALUE(RIGHT(Insights!$C$3, 4)), E6507, "")</f>
        <v>#VALUE!</v>
      </c>
      <c r="H6507" s="26" t="e">
        <f t="shared" si="1"/>
        <v>#VALUE!</v>
      </c>
      <c r="I6507" s="1" t="e">
        <f t="shared" si="2"/>
        <v>#VALUE!</v>
      </c>
    </row>
    <row r="6508" spans="1:9" ht="15.75" customHeight="1">
      <c r="A6508" s="26"/>
      <c r="B6508" s="2"/>
      <c r="C6508" s="26"/>
      <c r="D6508" s="26"/>
      <c r="F6508" s="85" t="str">
        <f t="shared" si="0"/>
        <v/>
      </c>
      <c r="G6508" s="1" t="e">
        <f>IF(VALUE(F6508) = VALUE(RIGHT(Insights!$C$3, 4)), E6508, "")</f>
        <v>#VALUE!</v>
      </c>
      <c r="H6508" s="26" t="e">
        <f t="shared" si="1"/>
        <v>#VALUE!</v>
      </c>
      <c r="I6508" s="1" t="e">
        <f t="shared" si="2"/>
        <v>#VALUE!</v>
      </c>
    </row>
    <row r="6509" spans="1:9" ht="15.75" customHeight="1">
      <c r="A6509" s="26"/>
      <c r="B6509" s="2"/>
      <c r="C6509" s="26"/>
      <c r="D6509" s="26"/>
      <c r="F6509" s="85" t="str">
        <f t="shared" si="0"/>
        <v/>
      </c>
      <c r="G6509" s="1" t="e">
        <f>IF(VALUE(F6509) = VALUE(RIGHT(Insights!$C$3, 4)), E6509, "")</f>
        <v>#VALUE!</v>
      </c>
      <c r="H6509" s="26" t="e">
        <f t="shared" si="1"/>
        <v>#VALUE!</v>
      </c>
      <c r="I6509" s="1" t="e">
        <f t="shared" si="2"/>
        <v>#VALUE!</v>
      </c>
    </row>
    <row r="6510" spans="1:9" ht="15.75" customHeight="1">
      <c r="A6510" s="26"/>
      <c r="B6510" s="2"/>
      <c r="C6510" s="26"/>
      <c r="D6510" s="26"/>
      <c r="F6510" s="85" t="str">
        <f t="shared" si="0"/>
        <v/>
      </c>
      <c r="G6510" s="1" t="e">
        <f>IF(VALUE(F6510) = VALUE(RIGHT(Insights!$C$3, 4)), E6510, "")</f>
        <v>#VALUE!</v>
      </c>
      <c r="H6510" s="26" t="e">
        <f t="shared" si="1"/>
        <v>#VALUE!</v>
      </c>
      <c r="I6510" s="1" t="e">
        <f t="shared" si="2"/>
        <v>#VALUE!</v>
      </c>
    </row>
    <row r="6511" spans="1:9" ht="15.75" customHeight="1">
      <c r="A6511" s="26"/>
      <c r="B6511" s="2"/>
      <c r="C6511" s="26"/>
      <c r="D6511" s="26"/>
      <c r="F6511" s="85" t="str">
        <f t="shared" si="0"/>
        <v/>
      </c>
      <c r="G6511" s="1" t="e">
        <f>IF(VALUE(F6511) = VALUE(RIGHT(Insights!$C$3, 4)), E6511, "")</f>
        <v>#VALUE!</v>
      </c>
      <c r="H6511" s="26" t="e">
        <f t="shared" si="1"/>
        <v>#VALUE!</v>
      </c>
      <c r="I6511" s="1" t="e">
        <f t="shared" si="2"/>
        <v>#VALUE!</v>
      </c>
    </row>
    <row r="6512" spans="1:9" ht="15.75" customHeight="1">
      <c r="A6512" s="26"/>
      <c r="B6512" s="2"/>
      <c r="C6512" s="26"/>
      <c r="D6512" s="26"/>
      <c r="F6512" s="85" t="str">
        <f t="shared" si="0"/>
        <v/>
      </c>
      <c r="G6512" s="1" t="e">
        <f>IF(VALUE(F6512) = VALUE(RIGHT(Insights!$C$3, 4)), E6512, "")</f>
        <v>#VALUE!</v>
      </c>
      <c r="H6512" s="26" t="e">
        <f t="shared" si="1"/>
        <v>#VALUE!</v>
      </c>
      <c r="I6512" s="1" t="e">
        <f t="shared" si="2"/>
        <v>#VALUE!</v>
      </c>
    </row>
    <row r="6513" spans="1:9" ht="15.75" customHeight="1">
      <c r="A6513" s="26"/>
      <c r="B6513" s="2"/>
      <c r="C6513" s="26"/>
      <c r="D6513" s="26"/>
      <c r="F6513" s="85" t="str">
        <f t="shared" si="0"/>
        <v/>
      </c>
      <c r="G6513" s="1" t="e">
        <f>IF(VALUE(F6513) = VALUE(RIGHT(Insights!$C$3, 4)), E6513, "")</f>
        <v>#VALUE!</v>
      </c>
      <c r="H6513" s="26" t="e">
        <f t="shared" si="1"/>
        <v>#VALUE!</v>
      </c>
      <c r="I6513" s="1" t="e">
        <f t="shared" si="2"/>
        <v>#VALUE!</v>
      </c>
    </row>
    <row r="6514" spans="1:9" ht="15.75" customHeight="1">
      <c r="A6514" s="26"/>
      <c r="B6514" s="2"/>
      <c r="C6514" s="26"/>
      <c r="D6514" s="26"/>
      <c r="F6514" s="85" t="str">
        <f t="shared" si="0"/>
        <v/>
      </c>
      <c r="G6514" s="1" t="e">
        <f>IF(VALUE(F6514) = VALUE(RIGHT(Insights!$C$3, 4)), E6514, "")</f>
        <v>#VALUE!</v>
      </c>
      <c r="H6514" s="26" t="e">
        <f t="shared" si="1"/>
        <v>#VALUE!</v>
      </c>
      <c r="I6514" s="1" t="e">
        <f t="shared" si="2"/>
        <v>#VALUE!</v>
      </c>
    </row>
    <row r="6515" spans="1:9" ht="15.75" customHeight="1">
      <c r="A6515" s="26"/>
      <c r="B6515" s="2"/>
      <c r="C6515" s="26"/>
      <c r="D6515" s="26"/>
      <c r="F6515" s="85" t="str">
        <f t="shared" si="0"/>
        <v/>
      </c>
      <c r="G6515" s="1" t="e">
        <f>IF(VALUE(F6515) = VALUE(RIGHT(Insights!$C$3, 4)), E6515, "")</f>
        <v>#VALUE!</v>
      </c>
      <c r="H6515" s="26" t="e">
        <f t="shared" si="1"/>
        <v>#VALUE!</v>
      </c>
      <c r="I6515" s="1" t="e">
        <f t="shared" si="2"/>
        <v>#VALUE!</v>
      </c>
    </row>
    <row r="6516" spans="1:9" ht="15.75" customHeight="1">
      <c r="A6516" s="26"/>
      <c r="B6516" s="2"/>
      <c r="C6516" s="26"/>
      <c r="D6516" s="26"/>
      <c r="F6516" s="85" t="str">
        <f t="shared" si="0"/>
        <v/>
      </c>
      <c r="G6516" s="1" t="e">
        <f>IF(VALUE(F6516) = VALUE(RIGHT(Insights!$C$3, 4)), E6516, "")</f>
        <v>#VALUE!</v>
      </c>
      <c r="H6516" s="26" t="e">
        <f t="shared" si="1"/>
        <v>#VALUE!</v>
      </c>
      <c r="I6516" s="1" t="e">
        <f t="shared" si="2"/>
        <v>#VALUE!</v>
      </c>
    </row>
    <row r="6517" spans="1:9" ht="15.75" customHeight="1">
      <c r="A6517" s="26"/>
      <c r="B6517" s="2"/>
      <c r="C6517" s="26"/>
      <c r="D6517" s="26"/>
      <c r="F6517" s="85" t="str">
        <f t="shared" si="0"/>
        <v/>
      </c>
      <c r="G6517" s="1" t="e">
        <f>IF(VALUE(F6517) = VALUE(RIGHT(Insights!$C$3, 4)), E6517, "")</f>
        <v>#VALUE!</v>
      </c>
      <c r="H6517" s="26" t="e">
        <f t="shared" si="1"/>
        <v>#VALUE!</v>
      </c>
      <c r="I6517" s="1" t="e">
        <f t="shared" si="2"/>
        <v>#VALUE!</v>
      </c>
    </row>
    <row r="6518" spans="1:9" ht="15.75" customHeight="1">
      <c r="A6518" s="26"/>
      <c r="B6518" s="2"/>
      <c r="C6518" s="26"/>
      <c r="D6518" s="26"/>
      <c r="F6518" s="85" t="str">
        <f t="shared" si="0"/>
        <v/>
      </c>
      <c r="G6518" s="1" t="e">
        <f>IF(VALUE(F6518) = VALUE(RIGHT(Insights!$C$3, 4)), E6518, "")</f>
        <v>#VALUE!</v>
      </c>
      <c r="H6518" s="26" t="e">
        <f t="shared" si="1"/>
        <v>#VALUE!</v>
      </c>
      <c r="I6518" s="1" t="e">
        <f t="shared" si="2"/>
        <v>#VALUE!</v>
      </c>
    </row>
    <row r="6519" spans="1:9" ht="15.75" customHeight="1">
      <c r="A6519" s="26"/>
      <c r="B6519" s="2"/>
      <c r="C6519" s="26"/>
      <c r="D6519" s="26"/>
      <c r="F6519" s="85" t="str">
        <f t="shared" si="0"/>
        <v/>
      </c>
      <c r="G6519" s="1" t="e">
        <f>IF(VALUE(F6519) = VALUE(RIGHT(Insights!$C$3, 4)), E6519, "")</f>
        <v>#VALUE!</v>
      </c>
      <c r="H6519" s="26" t="e">
        <f t="shared" si="1"/>
        <v>#VALUE!</v>
      </c>
      <c r="I6519" s="1" t="e">
        <f t="shared" si="2"/>
        <v>#VALUE!</v>
      </c>
    </row>
    <row r="6520" spans="1:9" ht="15.75" customHeight="1">
      <c r="A6520" s="26"/>
      <c r="B6520" s="2"/>
      <c r="C6520" s="26"/>
      <c r="D6520" s="26"/>
      <c r="F6520" s="85" t="str">
        <f t="shared" si="0"/>
        <v/>
      </c>
      <c r="G6520" s="1" t="e">
        <f>IF(VALUE(F6520) = VALUE(RIGHT(Insights!$C$3, 4)), E6520, "")</f>
        <v>#VALUE!</v>
      </c>
      <c r="H6520" s="26" t="e">
        <f t="shared" si="1"/>
        <v>#VALUE!</v>
      </c>
      <c r="I6520" s="1" t="e">
        <f t="shared" si="2"/>
        <v>#VALUE!</v>
      </c>
    </row>
    <row r="6521" spans="1:9" ht="15.75" customHeight="1">
      <c r="A6521" s="26"/>
      <c r="B6521" s="2"/>
      <c r="C6521" s="26"/>
      <c r="D6521" s="26"/>
      <c r="F6521" s="85" t="str">
        <f t="shared" si="0"/>
        <v/>
      </c>
      <c r="G6521" s="1" t="e">
        <f>IF(VALUE(F6521) = VALUE(RIGHT(Insights!$C$3, 4)), E6521, "")</f>
        <v>#VALUE!</v>
      </c>
      <c r="H6521" s="26" t="e">
        <f t="shared" si="1"/>
        <v>#VALUE!</v>
      </c>
      <c r="I6521" s="1" t="e">
        <f t="shared" si="2"/>
        <v>#VALUE!</v>
      </c>
    </row>
    <row r="6522" spans="1:9" ht="15.75" customHeight="1">
      <c r="A6522" s="26"/>
      <c r="B6522" s="2"/>
      <c r="C6522" s="26"/>
      <c r="D6522" s="26"/>
      <c r="F6522" s="85" t="str">
        <f t="shared" si="0"/>
        <v/>
      </c>
      <c r="G6522" s="1" t="e">
        <f>IF(VALUE(F6522) = VALUE(RIGHT(Insights!$C$3, 4)), E6522, "")</f>
        <v>#VALUE!</v>
      </c>
      <c r="H6522" s="26" t="e">
        <f t="shared" si="1"/>
        <v>#VALUE!</v>
      </c>
      <c r="I6522" s="1" t="e">
        <f t="shared" si="2"/>
        <v>#VALUE!</v>
      </c>
    </row>
    <row r="6523" spans="1:9" ht="15.75" customHeight="1">
      <c r="A6523" s="26"/>
      <c r="B6523" s="2"/>
      <c r="C6523" s="26"/>
      <c r="D6523" s="26"/>
      <c r="F6523" s="85" t="str">
        <f t="shared" si="0"/>
        <v/>
      </c>
      <c r="G6523" s="1" t="e">
        <f>IF(VALUE(F6523) = VALUE(RIGHT(Insights!$C$3, 4)), E6523, "")</f>
        <v>#VALUE!</v>
      </c>
      <c r="H6523" s="26" t="e">
        <f t="shared" si="1"/>
        <v>#VALUE!</v>
      </c>
      <c r="I6523" s="1" t="e">
        <f t="shared" si="2"/>
        <v>#VALUE!</v>
      </c>
    </row>
    <row r="6524" spans="1:9" ht="15.75" customHeight="1">
      <c r="A6524" s="26"/>
      <c r="B6524" s="2"/>
      <c r="C6524" s="26"/>
      <c r="D6524" s="26"/>
      <c r="F6524" s="85" t="str">
        <f t="shared" si="0"/>
        <v/>
      </c>
      <c r="G6524" s="1" t="e">
        <f>IF(VALUE(F6524) = VALUE(RIGHT(Insights!$C$3, 4)), E6524, "")</f>
        <v>#VALUE!</v>
      </c>
      <c r="H6524" s="26" t="e">
        <f t="shared" si="1"/>
        <v>#VALUE!</v>
      </c>
      <c r="I6524" s="1" t="e">
        <f t="shared" si="2"/>
        <v>#VALUE!</v>
      </c>
    </row>
    <row r="6525" spans="1:9" ht="15.75" customHeight="1">
      <c r="A6525" s="26"/>
      <c r="B6525" s="2"/>
      <c r="C6525" s="26"/>
      <c r="D6525" s="26"/>
      <c r="F6525" s="85" t="str">
        <f t="shared" si="0"/>
        <v/>
      </c>
      <c r="G6525" s="1" t="e">
        <f>IF(VALUE(F6525) = VALUE(RIGHT(Insights!$C$3, 4)), E6525, "")</f>
        <v>#VALUE!</v>
      </c>
      <c r="H6525" s="26" t="e">
        <f t="shared" si="1"/>
        <v>#VALUE!</v>
      </c>
      <c r="I6525" s="1" t="e">
        <f t="shared" si="2"/>
        <v>#VALUE!</v>
      </c>
    </row>
    <row r="6526" spans="1:9" ht="15.75" customHeight="1">
      <c r="A6526" s="26"/>
      <c r="B6526" s="2"/>
      <c r="C6526" s="26"/>
      <c r="D6526" s="26"/>
      <c r="F6526" s="85" t="str">
        <f t="shared" si="0"/>
        <v/>
      </c>
      <c r="G6526" s="1" t="e">
        <f>IF(VALUE(F6526) = VALUE(RIGHT(Insights!$C$3, 4)), E6526, "")</f>
        <v>#VALUE!</v>
      </c>
      <c r="H6526" s="26" t="e">
        <f t="shared" si="1"/>
        <v>#VALUE!</v>
      </c>
      <c r="I6526" s="1" t="e">
        <f t="shared" si="2"/>
        <v>#VALUE!</v>
      </c>
    </row>
    <row r="6527" spans="1:9" ht="15.75" customHeight="1">
      <c r="A6527" s="26"/>
      <c r="B6527" s="2"/>
      <c r="C6527" s="26"/>
      <c r="D6527" s="26"/>
      <c r="F6527" s="85" t="str">
        <f t="shared" si="0"/>
        <v/>
      </c>
      <c r="G6527" s="1" t="e">
        <f>IF(VALUE(F6527) = VALUE(RIGHT(Insights!$C$3, 4)), E6527, "")</f>
        <v>#VALUE!</v>
      </c>
      <c r="H6527" s="26" t="e">
        <f t="shared" si="1"/>
        <v>#VALUE!</v>
      </c>
      <c r="I6527" s="1" t="e">
        <f t="shared" si="2"/>
        <v>#VALUE!</v>
      </c>
    </row>
    <row r="6528" spans="1:9" ht="15.75" customHeight="1">
      <c r="A6528" s="26"/>
      <c r="B6528" s="2"/>
      <c r="C6528" s="26"/>
      <c r="D6528" s="26"/>
      <c r="F6528" s="85" t="str">
        <f t="shared" si="0"/>
        <v/>
      </c>
      <c r="G6528" s="1" t="e">
        <f>IF(VALUE(F6528) = VALUE(RIGHT(Insights!$C$3, 4)), E6528, "")</f>
        <v>#VALUE!</v>
      </c>
      <c r="H6528" s="26" t="e">
        <f t="shared" si="1"/>
        <v>#VALUE!</v>
      </c>
      <c r="I6528" s="1" t="e">
        <f t="shared" si="2"/>
        <v>#VALUE!</v>
      </c>
    </row>
    <row r="6529" spans="1:9" ht="15.75" customHeight="1">
      <c r="A6529" s="26"/>
      <c r="B6529" s="2"/>
      <c r="C6529" s="26"/>
      <c r="D6529" s="26"/>
      <c r="F6529" s="85" t="str">
        <f t="shared" si="0"/>
        <v/>
      </c>
      <c r="G6529" s="1" t="e">
        <f>IF(VALUE(F6529) = VALUE(RIGHT(Insights!$C$3, 4)), E6529, "")</f>
        <v>#VALUE!</v>
      </c>
      <c r="H6529" s="26" t="e">
        <f t="shared" si="1"/>
        <v>#VALUE!</v>
      </c>
      <c r="I6529" s="1" t="e">
        <f t="shared" si="2"/>
        <v>#VALUE!</v>
      </c>
    </row>
    <row r="6530" spans="1:9" ht="15.75" customHeight="1">
      <c r="A6530" s="26"/>
      <c r="B6530" s="2"/>
      <c r="C6530" s="26"/>
      <c r="D6530" s="26"/>
      <c r="F6530" s="85" t="str">
        <f t="shared" si="0"/>
        <v/>
      </c>
      <c r="G6530" s="1" t="e">
        <f>IF(VALUE(F6530) = VALUE(RIGHT(Insights!$C$3, 4)), E6530, "")</f>
        <v>#VALUE!</v>
      </c>
      <c r="H6530" s="26" t="e">
        <f t="shared" si="1"/>
        <v>#VALUE!</v>
      </c>
      <c r="I6530" s="1" t="e">
        <f t="shared" si="2"/>
        <v>#VALUE!</v>
      </c>
    </row>
    <row r="6531" spans="1:9" ht="15.75" customHeight="1">
      <c r="A6531" s="26"/>
      <c r="B6531" s="2"/>
      <c r="C6531" s="26"/>
      <c r="D6531" s="26"/>
      <c r="F6531" s="85" t="str">
        <f t="shared" si="0"/>
        <v/>
      </c>
      <c r="G6531" s="1" t="e">
        <f>IF(VALUE(F6531) = VALUE(RIGHT(Insights!$C$3, 4)), E6531, "")</f>
        <v>#VALUE!</v>
      </c>
      <c r="H6531" s="26" t="e">
        <f t="shared" si="1"/>
        <v>#VALUE!</v>
      </c>
      <c r="I6531" s="1" t="e">
        <f t="shared" si="2"/>
        <v>#VALUE!</v>
      </c>
    </row>
    <row r="6532" spans="1:9" ht="15.75" customHeight="1">
      <c r="A6532" s="26"/>
      <c r="B6532" s="2"/>
      <c r="C6532" s="26"/>
      <c r="D6532" s="26"/>
      <c r="F6532" s="85" t="str">
        <f t="shared" si="0"/>
        <v/>
      </c>
      <c r="G6532" s="1" t="e">
        <f>IF(VALUE(F6532) = VALUE(RIGHT(Insights!$C$3, 4)), E6532, "")</f>
        <v>#VALUE!</v>
      </c>
      <c r="H6532" s="26" t="e">
        <f t="shared" si="1"/>
        <v>#VALUE!</v>
      </c>
      <c r="I6532" s="1" t="e">
        <f t="shared" si="2"/>
        <v>#VALUE!</v>
      </c>
    </row>
    <row r="6533" spans="1:9" ht="15.75" customHeight="1">
      <c r="A6533" s="26"/>
      <c r="B6533" s="2"/>
      <c r="C6533" s="26"/>
      <c r="D6533" s="26"/>
      <c r="F6533" s="85" t="str">
        <f t="shared" si="0"/>
        <v/>
      </c>
      <c r="G6533" s="1" t="e">
        <f>IF(VALUE(F6533) = VALUE(RIGHT(Insights!$C$3, 4)), E6533, "")</f>
        <v>#VALUE!</v>
      </c>
      <c r="H6533" s="26" t="e">
        <f t="shared" si="1"/>
        <v>#VALUE!</v>
      </c>
      <c r="I6533" s="1" t="e">
        <f t="shared" si="2"/>
        <v>#VALUE!</v>
      </c>
    </row>
    <row r="6534" spans="1:9" ht="15.75" customHeight="1">
      <c r="A6534" s="26"/>
      <c r="B6534" s="2"/>
      <c r="C6534" s="26"/>
      <c r="D6534" s="26"/>
      <c r="F6534" s="85" t="str">
        <f t="shared" si="0"/>
        <v/>
      </c>
      <c r="G6534" s="1" t="e">
        <f>IF(VALUE(F6534) = VALUE(RIGHT(Insights!$C$3, 4)), E6534, "")</f>
        <v>#VALUE!</v>
      </c>
      <c r="H6534" s="26" t="e">
        <f t="shared" si="1"/>
        <v>#VALUE!</v>
      </c>
      <c r="I6534" s="1" t="e">
        <f t="shared" si="2"/>
        <v>#VALUE!</v>
      </c>
    </row>
    <row r="6535" spans="1:9" ht="15.75" customHeight="1">
      <c r="A6535" s="26"/>
      <c r="B6535" s="2"/>
      <c r="C6535" s="26"/>
      <c r="D6535" s="26"/>
      <c r="F6535" s="85" t="str">
        <f t="shared" si="0"/>
        <v/>
      </c>
      <c r="G6535" s="1" t="e">
        <f>IF(VALUE(F6535) = VALUE(RIGHT(Insights!$C$3, 4)), E6535, "")</f>
        <v>#VALUE!</v>
      </c>
      <c r="H6535" s="26" t="e">
        <f t="shared" si="1"/>
        <v>#VALUE!</v>
      </c>
      <c r="I6535" s="1" t="e">
        <f t="shared" si="2"/>
        <v>#VALUE!</v>
      </c>
    </row>
    <row r="6536" spans="1:9" ht="15.75" customHeight="1">
      <c r="A6536" s="26"/>
      <c r="B6536" s="2"/>
      <c r="C6536" s="26"/>
      <c r="D6536" s="26"/>
      <c r="F6536" s="85" t="str">
        <f t="shared" si="0"/>
        <v/>
      </c>
      <c r="G6536" s="1" t="e">
        <f>IF(VALUE(F6536) = VALUE(RIGHT(Insights!$C$3, 4)), E6536, "")</f>
        <v>#VALUE!</v>
      </c>
      <c r="H6536" s="26" t="e">
        <f t="shared" si="1"/>
        <v>#VALUE!</v>
      </c>
      <c r="I6536" s="1" t="e">
        <f t="shared" si="2"/>
        <v>#VALUE!</v>
      </c>
    </row>
    <row r="6537" spans="1:9" ht="15.75" customHeight="1">
      <c r="A6537" s="26"/>
      <c r="B6537" s="2"/>
      <c r="C6537" s="26"/>
      <c r="D6537" s="26"/>
      <c r="F6537" s="85" t="str">
        <f t="shared" si="0"/>
        <v/>
      </c>
      <c r="G6537" s="1" t="e">
        <f>IF(VALUE(F6537) = VALUE(RIGHT(Insights!$C$3, 4)), E6537, "")</f>
        <v>#VALUE!</v>
      </c>
      <c r="H6537" s="26" t="e">
        <f t="shared" si="1"/>
        <v>#VALUE!</v>
      </c>
      <c r="I6537" s="1" t="e">
        <f t="shared" si="2"/>
        <v>#VALUE!</v>
      </c>
    </row>
    <row r="6538" spans="1:9" ht="15.75" customHeight="1">
      <c r="A6538" s="26"/>
      <c r="B6538" s="2"/>
      <c r="C6538" s="26"/>
      <c r="D6538" s="26"/>
      <c r="F6538" s="85" t="str">
        <f t="shared" si="0"/>
        <v/>
      </c>
      <c r="G6538" s="1" t="e">
        <f>IF(VALUE(F6538) = VALUE(RIGHT(Insights!$C$3, 4)), E6538, "")</f>
        <v>#VALUE!</v>
      </c>
      <c r="H6538" s="26" t="e">
        <f t="shared" si="1"/>
        <v>#VALUE!</v>
      </c>
      <c r="I6538" s="1" t="e">
        <f t="shared" si="2"/>
        <v>#VALUE!</v>
      </c>
    </row>
    <row r="6539" spans="1:9" ht="15.75" customHeight="1">
      <c r="A6539" s="26"/>
      <c r="B6539" s="2"/>
      <c r="C6539" s="26"/>
      <c r="D6539" s="26"/>
      <c r="F6539" s="85" t="str">
        <f t="shared" si="0"/>
        <v/>
      </c>
      <c r="G6539" s="1" t="e">
        <f>IF(VALUE(F6539) = VALUE(RIGHT(Insights!$C$3, 4)), E6539, "")</f>
        <v>#VALUE!</v>
      </c>
      <c r="H6539" s="26" t="e">
        <f t="shared" si="1"/>
        <v>#VALUE!</v>
      </c>
      <c r="I6539" s="1" t="e">
        <f t="shared" si="2"/>
        <v>#VALUE!</v>
      </c>
    </row>
    <row r="6540" spans="1:9" ht="15.75" customHeight="1">
      <c r="A6540" s="26"/>
      <c r="B6540" s="2"/>
      <c r="C6540" s="26"/>
      <c r="D6540" s="26"/>
      <c r="F6540" s="85" t="str">
        <f t="shared" si="0"/>
        <v/>
      </c>
      <c r="G6540" s="1" t="e">
        <f>IF(VALUE(F6540) = VALUE(RIGHT(Insights!$C$3, 4)), E6540, "")</f>
        <v>#VALUE!</v>
      </c>
      <c r="H6540" s="26" t="e">
        <f t="shared" si="1"/>
        <v>#VALUE!</v>
      </c>
      <c r="I6540" s="1" t="e">
        <f t="shared" si="2"/>
        <v>#VALUE!</v>
      </c>
    </row>
    <row r="6541" spans="1:9" ht="15.75" customHeight="1">
      <c r="A6541" s="26"/>
      <c r="B6541" s="2"/>
      <c r="C6541" s="26"/>
      <c r="D6541" s="26"/>
      <c r="F6541" s="85" t="str">
        <f t="shared" si="0"/>
        <v/>
      </c>
      <c r="G6541" s="1" t="e">
        <f>IF(VALUE(F6541) = VALUE(RIGHT(Insights!$C$3, 4)), E6541, "")</f>
        <v>#VALUE!</v>
      </c>
      <c r="H6541" s="26" t="e">
        <f t="shared" si="1"/>
        <v>#VALUE!</v>
      </c>
      <c r="I6541" s="1" t="e">
        <f t="shared" si="2"/>
        <v>#VALUE!</v>
      </c>
    </row>
    <row r="6542" spans="1:9" ht="15.75" customHeight="1">
      <c r="A6542" s="26"/>
      <c r="B6542" s="2"/>
      <c r="C6542" s="26"/>
      <c r="D6542" s="26"/>
      <c r="F6542" s="85" t="str">
        <f t="shared" si="0"/>
        <v/>
      </c>
      <c r="G6542" s="1" t="e">
        <f>IF(VALUE(F6542) = VALUE(RIGHT(Insights!$C$3, 4)), E6542, "")</f>
        <v>#VALUE!</v>
      </c>
      <c r="H6542" s="26" t="e">
        <f t="shared" si="1"/>
        <v>#VALUE!</v>
      </c>
      <c r="I6542" s="1" t="e">
        <f t="shared" si="2"/>
        <v>#VALUE!</v>
      </c>
    </row>
    <row r="6543" spans="1:9" ht="15.75" customHeight="1">
      <c r="A6543" s="26"/>
      <c r="B6543" s="2"/>
      <c r="C6543" s="26"/>
      <c r="D6543" s="26"/>
      <c r="F6543" s="85" t="str">
        <f t="shared" si="0"/>
        <v/>
      </c>
      <c r="G6543" s="1" t="e">
        <f>IF(VALUE(F6543) = VALUE(RIGHT(Insights!$C$3, 4)), E6543, "")</f>
        <v>#VALUE!</v>
      </c>
      <c r="H6543" s="26" t="e">
        <f t="shared" si="1"/>
        <v>#VALUE!</v>
      </c>
      <c r="I6543" s="1" t="e">
        <f t="shared" si="2"/>
        <v>#VALUE!</v>
      </c>
    </row>
    <row r="6544" spans="1:9" ht="15.75" customHeight="1">
      <c r="A6544" s="26"/>
      <c r="B6544" s="2"/>
      <c r="C6544" s="26"/>
      <c r="D6544" s="26"/>
      <c r="F6544" s="85" t="str">
        <f t="shared" si="0"/>
        <v/>
      </c>
      <c r="G6544" s="1" t="e">
        <f>IF(VALUE(F6544) = VALUE(RIGHT(Insights!$C$3, 4)), E6544, "")</f>
        <v>#VALUE!</v>
      </c>
      <c r="H6544" s="26" t="e">
        <f t="shared" si="1"/>
        <v>#VALUE!</v>
      </c>
      <c r="I6544" s="1" t="e">
        <f t="shared" si="2"/>
        <v>#VALUE!</v>
      </c>
    </row>
    <row r="6545" spans="1:9" ht="15.75" customHeight="1">
      <c r="A6545" s="26"/>
      <c r="B6545" s="2"/>
      <c r="C6545" s="26"/>
      <c r="D6545" s="26"/>
      <c r="F6545" s="85" t="str">
        <f t="shared" si="0"/>
        <v/>
      </c>
      <c r="G6545" s="1" t="e">
        <f>IF(VALUE(F6545) = VALUE(RIGHT(Insights!$C$3, 4)), E6545, "")</f>
        <v>#VALUE!</v>
      </c>
      <c r="H6545" s="26" t="e">
        <f t="shared" si="1"/>
        <v>#VALUE!</v>
      </c>
      <c r="I6545" s="1" t="e">
        <f t="shared" si="2"/>
        <v>#VALUE!</v>
      </c>
    </row>
    <row r="6546" spans="1:9" ht="15.75" customHeight="1">
      <c r="A6546" s="26"/>
      <c r="B6546" s="2"/>
      <c r="C6546" s="26"/>
      <c r="D6546" s="26"/>
      <c r="F6546" s="85" t="str">
        <f t="shared" si="0"/>
        <v/>
      </c>
      <c r="G6546" s="1" t="e">
        <f>IF(VALUE(F6546) = VALUE(RIGHT(Insights!$C$3, 4)), E6546, "")</f>
        <v>#VALUE!</v>
      </c>
      <c r="H6546" s="26" t="e">
        <f t="shared" si="1"/>
        <v>#VALUE!</v>
      </c>
      <c r="I6546" s="1" t="e">
        <f t="shared" si="2"/>
        <v>#VALUE!</v>
      </c>
    </row>
    <row r="6547" spans="1:9" ht="15.75" customHeight="1">
      <c r="A6547" s="26"/>
      <c r="B6547" s="2"/>
      <c r="C6547" s="26"/>
      <c r="D6547" s="26"/>
      <c r="F6547" s="85" t="str">
        <f t="shared" si="0"/>
        <v/>
      </c>
      <c r="G6547" s="1" t="e">
        <f>IF(VALUE(F6547) = VALUE(RIGHT(Insights!$C$3, 4)), E6547, "")</f>
        <v>#VALUE!</v>
      </c>
      <c r="H6547" s="26" t="e">
        <f t="shared" si="1"/>
        <v>#VALUE!</v>
      </c>
      <c r="I6547" s="1" t="e">
        <f t="shared" si="2"/>
        <v>#VALUE!</v>
      </c>
    </row>
    <row r="6548" spans="1:9" ht="15.75" customHeight="1">
      <c r="A6548" s="26"/>
      <c r="B6548" s="2"/>
      <c r="C6548" s="26"/>
      <c r="D6548" s="26"/>
      <c r="F6548" s="85" t="str">
        <f t="shared" si="0"/>
        <v/>
      </c>
      <c r="G6548" s="1" t="e">
        <f>IF(VALUE(F6548) = VALUE(RIGHT(Insights!$C$3, 4)), E6548, "")</f>
        <v>#VALUE!</v>
      </c>
      <c r="H6548" s="26" t="e">
        <f t="shared" si="1"/>
        <v>#VALUE!</v>
      </c>
      <c r="I6548" s="1" t="e">
        <f t="shared" si="2"/>
        <v>#VALUE!</v>
      </c>
    </row>
    <row r="6549" spans="1:9" ht="15.75" customHeight="1">
      <c r="A6549" s="26"/>
      <c r="B6549" s="2"/>
      <c r="C6549" s="26"/>
      <c r="D6549" s="26"/>
      <c r="F6549" s="85" t="str">
        <f t="shared" si="0"/>
        <v/>
      </c>
      <c r="G6549" s="1" t="e">
        <f>IF(VALUE(F6549) = VALUE(RIGHT(Insights!$C$3, 4)), E6549, "")</f>
        <v>#VALUE!</v>
      </c>
      <c r="H6549" s="26" t="e">
        <f t="shared" si="1"/>
        <v>#VALUE!</v>
      </c>
      <c r="I6549" s="1" t="e">
        <f t="shared" si="2"/>
        <v>#VALUE!</v>
      </c>
    </row>
    <row r="6550" spans="1:9" ht="15.75" customHeight="1">
      <c r="A6550" s="26"/>
      <c r="B6550" s="2"/>
      <c r="C6550" s="26"/>
      <c r="D6550" s="26"/>
      <c r="F6550" s="85" t="str">
        <f t="shared" si="0"/>
        <v/>
      </c>
      <c r="G6550" s="1" t="e">
        <f>IF(VALUE(F6550) = VALUE(RIGHT(Insights!$C$3, 4)), E6550, "")</f>
        <v>#VALUE!</v>
      </c>
      <c r="H6550" s="26" t="e">
        <f t="shared" si="1"/>
        <v>#VALUE!</v>
      </c>
      <c r="I6550" s="1" t="e">
        <f t="shared" si="2"/>
        <v>#VALUE!</v>
      </c>
    </row>
    <row r="6551" spans="1:9" ht="15.75" customHeight="1">
      <c r="A6551" s="26"/>
      <c r="B6551" s="2"/>
      <c r="C6551" s="26"/>
      <c r="D6551" s="26"/>
      <c r="F6551" s="85" t="str">
        <f t="shared" si="0"/>
        <v/>
      </c>
      <c r="G6551" s="1" t="e">
        <f>IF(VALUE(F6551) = VALUE(RIGHT(Insights!$C$3, 4)), E6551, "")</f>
        <v>#VALUE!</v>
      </c>
      <c r="H6551" s="26" t="e">
        <f t="shared" si="1"/>
        <v>#VALUE!</v>
      </c>
      <c r="I6551" s="1" t="e">
        <f t="shared" si="2"/>
        <v>#VALUE!</v>
      </c>
    </row>
    <row r="6552" spans="1:9" ht="15.75" customHeight="1">
      <c r="A6552" s="26"/>
      <c r="B6552" s="2"/>
      <c r="C6552" s="26"/>
      <c r="D6552" s="26"/>
      <c r="F6552" s="85" t="str">
        <f t="shared" si="0"/>
        <v/>
      </c>
      <c r="G6552" s="1" t="e">
        <f>IF(VALUE(F6552) = VALUE(RIGHT(Insights!$C$3, 4)), E6552, "")</f>
        <v>#VALUE!</v>
      </c>
      <c r="H6552" s="26" t="e">
        <f t="shared" si="1"/>
        <v>#VALUE!</v>
      </c>
      <c r="I6552" s="1" t="e">
        <f t="shared" si="2"/>
        <v>#VALUE!</v>
      </c>
    </row>
    <row r="6553" spans="1:9" ht="15.75" customHeight="1">
      <c r="A6553" s="26"/>
      <c r="B6553" s="2"/>
      <c r="C6553" s="26"/>
      <c r="D6553" s="26"/>
      <c r="F6553" s="85" t="str">
        <f t="shared" si="0"/>
        <v/>
      </c>
      <c r="G6553" s="1" t="e">
        <f>IF(VALUE(F6553) = VALUE(RIGHT(Insights!$C$3, 4)), E6553, "")</f>
        <v>#VALUE!</v>
      </c>
      <c r="H6553" s="26" t="e">
        <f t="shared" si="1"/>
        <v>#VALUE!</v>
      </c>
      <c r="I6553" s="1" t="e">
        <f t="shared" si="2"/>
        <v>#VALUE!</v>
      </c>
    </row>
    <row r="6554" spans="1:9" ht="15.75" customHeight="1">
      <c r="A6554" s="26"/>
      <c r="B6554" s="2"/>
      <c r="C6554" s="26"/>
      <c r="D6554" s="26"/>
      <c r="F6554" s="85" t="str">
        <f t="shared" si="0"/>
        <v/>
      </c>
      <c r="G6554" s="1" t="e">
        <f>IF(VALUE(F6554) = VALUE(RIGHT(Insights!$C$3, 4)), E6554, "")</f>
        <v>#VALUE!</v>
      </c>
      <c r="H6554" s="26" t="e">
        <f t="shared" si="1"/>
        <v>#VALUE!</v>
      </c>
      <c r="I6554" s="1" t="e">
        <f t="shared" si="2"/>
        <v>#VALUE!</v>
      </c>
    </row>
    <row r="6555" spans="1:9" ht="15.75" customHeight="1">
      <c r="A6555" s="26"/>
      <c r="B6555" s="2"/>
      <c r="C6555" s="26"/>
      <c r="D6555" s="26"/>
      <c r="F6555" s="85" t="str">
        <f t="shared" si="0"/>
        <v/>
      </c>
      <c r="G6555" s="1" t="e">
        <f>IF(VALUE(F6555) = VALUE(RIGHT(Insights!$C$3, 4)), E6555, "")</f>
        <v>#VALUE!</v>
      </c>
      <c r="H6555" s="26" t="e">
        <f t="shared" si="1"/>
        <v>#VALUE!</v>
      </c>
      <c r="I6555" s="1" t="e">
        <f t="shared" si="2"/>
        <v>#VALUE!</v>
      </c>
    </row>
    <row r="6556" spans="1:9" ht="15.75" customHeight="1">
      <c r="A6556" s="26"/>
      <c r="B6556" s="2"/>
      <c r="C6556" s="26"/>
      <c r="D6556" s="26"/>
      <c r="F6556" s="85" t="str">
        <f t="shared" si="0"/>
        <v/>
      </c>
      <c r="G6556" s="1" t="e">
        <f>IF(VALUE(F6556) = VALUE(RIGHT(Insights!$C$3, 4)), E6556, "")</f>
        <v>#VALUE!</v>
      </c>
      <c r="H6556" s="26" t="e">
        <f t="shared" si="1"/>
        <v>#VALUE!</v>
      </c>
      <c r="I6556" s="1" t="e">
        <f t="shared" si="2"/>
        <v>#VALUE!</v>
      </c>
    </row>
    <row r="6557" spans="1:9" ht="15.75" customHeight="1">
      <c r="A6557" s="26"/>
      <c r="B6557" s="2"/>
      <c r="C6557" s="26"/>
      <c r="D6557" s="26"/>
      <c r="F6557" s="85" t="str">
        <f t="shared" si="0"/>
        <v/>
      </c>
      <c r="G6557" s="1" t="e">
        <f>IF(VALUE(F6557) = VALUE(RIGHT(Insights!$C$3, 4)), E6557, "")</f>
        <v>#VALUE!</v>
      </c>
      <c r="H6557" s="26" t="e">
        <f t="shared" si="1"/>
        <v>#VALUE!</v>
      </c>
      <c r="I6557" s="1" t="e">
        <f t="shared" si="2"/>
        <v>#VALUE!</v>
      </c>
    </row>
    <row r="6558" spans="1:9" ht="15.75" customHeight="1">
      <c r="A6558" s="26"/>
      <c r="B6558" s="2"/>
      <c r="C6558" s="26"/>
      <c r="D6558" s="26"/>
      <c r="F6558" s="85" t="str">
        <f t="shared" si="0"/>
        <v/>
      </c>
      <c r="G6558" s="1" t="e">
        <f>IF(VALUE(F6558) = VALUE(RIGHT(Insights!$C$3, 4)), E6558, "")</f>
        <v>#VALUE!</v>
      </c>
      <c r="H6558" s="26" t="e">
        <f t="shared" si="1"/>
        <v>#VALUE!</v>
      </c>
      <c r="I6558" s="1" t="e">
        <f t="shared" si="2"/>
        <v>#VALUE!</v>
      </c>
    </row>
    <row r="6559" spans="1:9" ht="15.75" customHeight="1">
      <c r="A6559" s="26"/>
      <c r="B6559" s="2"/>
      <c r="C6559" s="26"/>
      <c r="D6559" s="26"/>
      <c r="F6559" s="85" t="str">
        <f t="shared" si="0"/>
        <v/>
      </c>
      <c r="G6559" s="1" t="e">
        <f>IF(VALUE(F6559) = VALUE(RIGHT(Insights!$C$3, 4)), E6559, "")</f>
        <v>#VALUE!</v>
      </c>
      <c r="H6559" s="26" t="e">
        <f t="shared" si="1"/>
        <v>#VALUE!</v>
      </c>
      <c r="I6559" s="1" t="e">
        <f t="shared" si="2"/>
        <v>#VALUE!</v>
      </c>
    </row>
    <row r="6560" spans="1:9" ht="15.75" customHeight="1">
      <c r="A6560" s="26"/>
      <c r="B6560" s="2"/>
      <c r="C6560" s="26"/>
      <c r="D6560" s="26"/>
      <c r="F6560" s="85" t="str">
        <f t="shared" si="0"/>
        <v/>
      </c>
      <c r="G6560" s="1" t="e">
        <f>IF(VALUE(F6560) = VALUE(RIGHT(Insights!$C$3, 4)), E6560, "")</f>
        <v>#VALUE!</v>
      </c>
      <c r="H6560" s="26" t="e">
        <f t="shared" si="1"/>
        <v>#VALUE!</v>
      </c>
      <c r="I6560" s="1" t="e">
        <f t="shared" si="2"/>
        <v>#VALUE!</v>
      </c>
    </row>
    <row r="6561" spans="1:9" ht="15.75" customHeight="1">
      <c r="A6561" s="26"/>
      <c r="B6561" s="2"/>
      <c r="C6561" s="26"/>
      <c r="D6561" s="26"/>
      <c r="F6561" s="85" t="str">
        <f t="shared" si="0"/>
        <v/>
      </c>
      <c r="G6561" s="1" t="e">
        <f>IF(VALUE(F6561) = VALUE(RIGHT(Insights!$C$3, 4)), E6561, "")</f>
        <v>#VALUE!</v>
      </c>
      <c r="H6561" s="26" t="e">
        <f t="shared" si="1"/>
        <v>#VALUE!</v>
      </c>
      <c r="I6561" s="1" t="e">
        <f t="shared" si="2"/>
        <v>#VALUE!</v>
      </c>
    </row>
    <row r="6562" spans="1:9" ht="15.75" customHeight="1">
      <c r="A6562" s="26"/>
      <c r="B6562" s="2"/>
      <c r="C6562" s="26"/>
      <c r="D6562" s="26"/>
      <c r="F6562" s="85" t="str">
        <f t="shared" si="0"/>
        <v/>
      </c>
      <c r="G6562" s="1" t="e">
        <f>IF(VALUE(F6562) = VALUE(RIGHT(Insights!$C$3, 4)), E6562, "")</f>
        <v>#VALUE!</v>
      </c>
      <c r="H6562" s="26" t="e">
        <f t="shared" si="1"/>
        <v>#VALUE!</v>
      </c>
      <c r="I6562" s="1" t="e">
        <f t="shared" si="2"/>
        <v>#VALUE!</v>
      </c>
    </row>
    <row r="6563" spans="1:9" ht="15.75" customHeight="1">
      <c r="A6563" s="26"/>
      <c r="B6563" s="2"/>
      <c r="C6563" s="26"/>
      <c r="D6563" s="26"/>
      <c r="F6563" s="85" t="str">
        <f t="shared" si="0"/>
        <v/>
      </c>
      <c r="G6563" s="1" t="e">
        <f>IF(VALUE(F6563) = VALUE(RIGHT(Insights!$C$3, 4)), E6563, "")</f>
        <v>#VALUE!</v>
      </c>
      <c r="H6563" s="26" t="e">
        <f t="shared" si="1"/>
        <v>#VALUE!</v>
      </c>
      <c r="I6563" s="1" t="e">
        <f t="shared" si="2"/>
        <v>#VALUE!</v>
      </c>
    </row>
    <row r="6564" spans="1:9" ht="15.75" customHeight="1">
      <c r="A6564" s="26"/>
      <c r="B6564" s="2"/>
      <c r="C6564" s="26"/>
      <c r="D6564" s="26"/>
      <c r="F6564" s="85" t="str">
        <f t="shared" si="0"/>
        <v/>
      </c>
      <c r="G6564" s="1" t="e">
        <f>IF(VALUE(F6564) = VALUE(RIGHT(Insights!$C$3, 4)), E6564, "")</f>
        <v>#VALUE!</v>
      </c>
      <c r="H6564" s="26" t="e">
        <f t="shared" si="1"/>
        <v>#VALUE!</v>
      </c>
      <c r="I6564" s="1" t="e">
        <f t="shared" si="2"/>
        <v>#VALUE!</v>
      </c>
    </row>
    <row r="6565" spans="1:9" ht="15.75" customHeight="1">
      <c r="A6565" s="26"/>
      <c r="B6565" s="2"/>
      <c r="C6565" s="26"/>
      <c r="D6565" s="26"/>
      <c r="F6565" s="85" t="str">
        <f t="shared" si="0"/>
        <v/>
      </c>
      <c r="G6565" s="1" t="e">
        <f>IF(VALUE(F6565) = VALUE(RIGHT(Insights!$C$3, 4)), E6565, "")</f>
        <v>#VALUE!</v>
      </c>
      <c r="H6565" s="26" t="e">
        <f t="shared" si="1"/>
        <v>#VALUE!</v>
      </c>
      <c r="I6565" s="1" t="e">
        <f t="shared" si="2"/>
        <v>#VALUE!</v>
      </c>
    </row>
    <row r="6566" spans="1:9" ht="15.75" customHeight="1">
      <c r="A6566" s="26"/>
      <c r="B6566" s="2"/>
      <c r="C6566" s="26"/>
      <c r="D6566" s="26"/>
      <c r="F6566" s="85" t="str">
        <f t="shared" si="0"/>
        <v/>
      </c>
      <c r="G6566" s="1" t="e">
        <f>IF(VALUE(F6566) = VALUE(RIGHT(Insights!$C$3, 4)), E6566, "")</f>
        <v>#VALUE!</v>
      </c>
      <c r="H6566" s="26" t="e">
        <f t="shared" si="1"/>
        <v>#VALUE!</v>
      </c>
      <c r="I6566" s="1" t="e">
        <f t="shared" si="2"/>
        <v>#VALUE!</v>
      </c>
    </row>
    <row r="6567" spans="1:9" ht="15.75" customHeight="1">
      <c r="A6567" s="26"/>
      <c r="B6567" s="2"/>
      <c r="C6567" s="26"/>
      <c r="D6567" s="26"/>
      <c r="F6567" s="85" t="str">
        <f t="shared" si="0"/>
        <v/>
      </c>
      <c r="G6567" s="1" t="e">
        <f>IF(VALUE(F6567) = VALUE(RIGHT(Insights!$C$3, 4)), E6567, "")</f>
        <v>#VALUE!</v>
      </c>
      <c r="H6567" s="26" t="e">
        <f t="shared" si="1"/>
        <v>#VALUE!</v>
      </c>
      <c r="I6567" s="1" t="e">
        <f t="shared" si="2"/>
        <v>#VALUE!</v>
      </c>
    </row>
    <row r="6568" spans="1:9" ht="15.75" customHeight="1">
      <c r="A6568" s="26"/>
      <c r="B6568" s="2"/>
      <c r="C6568" s="26"/>
      <c r="D6568" s="26"/>
      <c r="F6568" s="85" t="str">
        <f t="shared" si="0"/>
        <v/>
      </c>
      <c r="G6568" s="1" t="e">
        <f>IF(VALUE(F6568) = VALUE(RIGHT(Insights!$C$3, 4)), E6568, "")</f>
        <v>#VALUE!</v>
      </c>
      <c r="H6568" s="26" t="e">
        <f t="shared" si="1"/>
        <v>#VALUE!</v>
      </c>
      <c r="I6568" s="1" t="e">
        <f t="shared" si="2"/>
        <v>#VALUE!</v>
      </c>
    </row>
    <row r="6569" spans="1:9" ht="15.75" customHeight="1">
      <c r="A6569" s="26"/>
      <c r="B6569" s="2"/>
      <c r="C6569" s="26"/>
      <c r="D6569" s="26"/>
      <c r="F6569" s="85" t="str">
        <f t="shared" si="0"/>
        <v/>
      </c>
      <c r="G6569" s="1" t="e">
        <f>IF(VALUE(F6569) = VALUE(RIGHT(Insights!$C$3, 4)), E6569, "")</f>
        <v>#VALUE!</v>
      </c>
      <c r="H6569" s="26" t="e">
        <f t="shared" si="1"/>
        <v>#VALUE!</v>
      </c>
      <c r="I6569" s="1" t="e">
        <f t="shared" si="2"/>
        <v>#VALUE!</v>
      </c>
    </row>
    <row r="6570" spans="1:9" ht="15.75" customHeight="1">
      <c r="A6570" s="26"/>
      <c r="B6570" s="2"/>
      <c r="C6570" s="26"/>
      <c r="D6570" s="26"/>
      <c r="F6570" s="85" t="str">
        <f t="shared" si="0"/>
        <v/>
      </c>
      <c r="G6570" s="1" t="e">
        <f>IF(VALUE(F6570) = VALUE(RIGHT(Insights!$C$3, 4)), E6570, "")</f>
        <v>#VALUE!</v>
      </c>
      <c r="H6570" s="26" t="e">
        <f t="shared" si="1"/>
        <v>#VALUE!</v>
      </c>
      <c r="I6570" s="1" t="e">
        <f t="shared" si="2"/>
        <v>#VALUE!</v>
      </c>
    </row>
    <row r="6571" spans="1:9" ht="15.75" customHeight="1">
      <c r="A6571" s="26"/>
      <c r="B6571" s="2"/>
      <c r="C6571" s="26"/>
      <c r="D6571" s="26"/>
      <c r="F6571" s="85" t="str">
        <f t="shared" si="0"/>
        <v/>
      </c>
      <c r="G6571" s="1" t="e">
        <f>IF(VALUE(F6571) = VALUE(RIGHT(Insights!$C$3, 4)), E6571, "")</f>
        <v>#VALUE!</v>
      </c>
      <c r="H6571" s="26" t="e">
        <f t="shared" si="1"/>
        <v>#VALUE!</v>
      </c>
      <c r="I6571" s="1" t="e">
        <f t="shared" si="2"/>
        <v>#VALUE!</v>
      </c>
    </row>
    <row r="6572" spans="1:9" ht="15.75" customHeight="1">
      <c r="A6572" s="26"/>
      <c r="B6572" s="2"/>
      <c r="C6572" s="26"/>
      <c r="D6572" s="26"/>
      <c r="F6572" s="85" t="str">
        <f t="shared" si="0"/>
        <v/>
      </c>
      <c r="G6572" s="1" t="e">
        <f>IF(VALUE(F6572) = VALUE(RIGHT(Insights!$C$3, 4)), E6572, "")</f>
        <v>#VALUE!</v>
      </c>
      <c r="H6572" s="26" t="e">
        <f t="shared" si="1"/>
        <v>#VALUE!</v>
      </c>
      <c r="I6572" s="1" t="e">
        <f t="shared" si="2"/>
        <v>#VALUE!</v>
      </c>
    </row>
    <row r="6573" spans="1:9" ht="15.75" customHeight="1">
      <c r="A6573" s="26"/>
      <c r="B6573" s="2"/>
      <c r="C6573" s="26"/>
      <c r="D6573" s="26"/>
      <c r="F6573" s="85" t="str">
        <f t="shared" si="0"/>
        <v/>
      </c>
      <c r="G6573" s="1" t="e">
        <f>IF(VALUE(F6573) = VALUE(RIGHT(Insights!$C$3, 4)), E6573, "")</f>
        <v>#VALUE!</v>
      </c>
      <c r="H6573" s="26" t="e">
        <f t="shared" si="1"/>
        <v>#VALUE!</v>
      </c>
      <c r="I6573" s="1" t="e">
        <f t="shared" si="2"/>
        <v>#VALUE!</v>
      </c>
    </row>
    <row r="6574" spans="1:9" ht="15.75" customHeight="1">
      <c r="A6574" s="26"/>
      <c r="B6574" s="2"/>
      <c r="C6574" s="26"/>
      <c r="D6574" s="26"/>
      <c r="F6574" s="85" t="str">
        <f t="shared" si="0"/>
        <v/>
      </c>
      <c r="G6574" s="1" t="e">
        <f>IF(VALUE(F6574) = VALUE(RIGHT(Insights!$C$3, 4)), E6574, "")</f>
        <v>#VALUE!</v>
      </c>
      <c r="H6574" s="26" t="e">
        <f t="shared" si="1"/>
        <v>#VALUE!</v>
      </c>
      <c r="I6574" s="1" t="e">
        <f t="shared" si="2"/>
        <v>#VALUE!</v>
      </c>
    </row>
    <row r="6575" spans="1:9" ht="15.75" customHeight="1">
      <c r="A6575" s="26"/>
      <c r="B6575" s="2"/>
      <c r="C6575" s="26"/>
      <c r="D6575" s="26"/>
      <c r="F6575" s="85" t="str">
        <f t="shared" si="0"/>
        <v/>
      </c>
      <c r="G6575" s="1" t="e">
        <f>IF(VALUE(F6575) = VALUE(RIGHT(Insights!$C$3, 4)), E6575, "")</f>
        <v>#VALUE!</v>
      </c>
      <c r="H6575" s="26" t="e">
        <f t="shared" si="1"/>
        <v>#VALUE!</v>
      </c>
      <c r="I6575" s="1" t="e">
        <f t="shared" si="2"/>
        <v>#VALUE!</v>
      </c>
    </row>
    <row r="6576" spans="1:9" ht="15.75" customHeight="1">
      <c r="A6576" s="26"/>
      <c r="B6576" s="2"/>
      <c r="C6576" s="26"/>
      <c r="D6576" s="26"/>
      <c r="F6576" s="85" t="str">
        <f t="shared" si="0"/>
        <v/>
      </c>
      <c r="G6576" s="1" t="e">
        <f>IF(VALUE(F6576) = VALUE(RIGHT(Insights!$C$3, 4)), E6576, "")</f>
        <v>#VALUE!</v>
      </c>
      <c r="H6576" s="26" t="e">
        <f t="shared" si="1"/>
        <v>#VALUE!</v>
      </c>
      <c r="I6576" s="1" t="e">
        <f t="shared" si="2"/>
        <v>#VALUE!</v>
      </c>
    </row>
    <row r="6577" spans="1:9" ht="15.75" customHeight="1">
      <c r="A6577" s="26"/>
      <c r="B6577" s="2"/>
      <c r="C6577" s="26"/>
      <c r="D6577" s="26"/>
      <c r="F6577" s="85" t="str">
        <f t="shared" si="0"/>
        <v/>
      </c>
      <c r="G6577" s="1" t="e">
        <f>IF(VALUE(F6577) = VALUE(RIGHT(Insights!$C$3, 4)), E6577, "")</f>
        <v>#VALUE!</v>
      </c>
      <c r="H6577" s="26" t="e">
        <f t="shared" si="1"/>
        <v>#VALUE!</v>
      </c>
      <c r="I6577" s="1" t="e">
        <f t="shared" si="2"/>
        <v>#VALUE!</v>
      </c>
    </row>
    <row r="6578" spans="1:9" ht="15.75" customHeight="1">
      <c r="A6578" s="26"/>
      <c r="B6578" s="2"/>
      <c r="C6578" s="26"/>
      <c r="D6578" s="26"/>
      <c r="F6578" s="85" t="str">
        <f t="shared" si="0"/>
        <v/>
      </c>
      <c r="G6578" s="1" t="e">
        <f>IF(VALUE(F6578) = VALUE(RIGHT(Insights!$C$3, 4)), E6578, "")</f>
        <v>#VALUE!</v>
      </c>
      <c r="H6578" s="26" t="e">
        <f t="shared" si="1"/>
        <v>#VALUE!</v>
      </c>
      <c r="I6578" s="1" t="e">
        <f t="shared" si="2"/>
        <v>#VALUE!</v>
      </c>
    </row>
    <row r="6579" spans="1:9" ht="15.75" customHeight="1">
      <c r="A6579" s="26"/>
      <c r="B6579" s="2"/>
      <c r="C6579" s="26"/>
      <c r="D6579" s="26"/>
      <c r="F6579" s="85" t="str">
        <f t="shared" si="0"/>
        <v/>
      </c>
      <c r="G6579" s="1" t="e">
        <f>IF(VALUE(F6579) = VALUE(RIGHT(Insights!$C$3, 4)), E6579, "")</f>
        <v>#VALUE!</v>
      </c>
      <c r="H6579" s="26" t="e">
        <f t="shared" si="1"/>
        <v>#VALUE!</v>
      </c>
      <c r="I6579" s="1" t="e">
        <f t="shared" si="2"/>
        <v>#VALUE!</v>
      </c>
    </row>
    <row r="6580" spans="1:9" ht="15.75" customHeight="1">
      <c r="A6580" s="26"/>
      <c r="B6580" s="2"/>
      <c r="C6580" s="26"/>
      <c r="D6580" s="26"/>
      <c r="F6580" s="85" t="str">
        <f t="shared" si="0"/>
        <v/>
      </c>
      <c r="G6580" s="1" t="e">
        <f>IF(VALUE(F6580) = VALUE(RIGHT(Insights!$C$3, 4)), E6580, "")</f>
        <v>#VALUE!</v>
      </c>
      <c r="H6580" s="26" t="e">
        <f t="shared" si="1"/>
        <v>#VALUE!</v>
      </c>
      <c r="I6580" s="1" t="e">
        <f t="shared" si="2"/>
        <v>#VALUE!</v>
      </c>
    </row>
    <row r="6581" spans="1:9" ht="15.75" customHeight="1">
      <c r="A6581" s="26"/>
      <c r="B6581" s="2"/>
      <c r="C6581" s="26"/>
      <c r="D6581" s="26"/>
      <c r="F6581" s="85" t="str">
        <f t="shared" si="0"/>
        <v/>
      </c>
      <c r="G6581" s="1" t="e">
        <f>IF(VALUE(F6581) = VALUE(RIGHT(Insights!$C$3, 4)), E6581, "")</f>
        <v>#VALUE!</v>
      </c>
      <c r="H6581" s="26" t="e">
        <f t="shared" si="1"/>
        <v>#VALUE!</v>
      </c>
      <c r="I6581" s="1" t="e">
        <f t="shared" si="2"/>
        <v>#VALUE!</v>
      </c>
    </row>
    <row r="6582" spans="1:9" ht="15.75" customHeight="1">
      <c r="A6582" s="26"/>
      <c r="B6582" s="2"/>
      <c r="C6582" s="26"/>
      <c r="D6582" s="26"/>
      <c r="F6582" s="85" t="str">
        <f t="shared" si="0"/>
        <v/>
      </c>
      <c r="G6582" s="1" t="e">
        <f>IF(VALUE(F6582) = VALUE(RIGHT(Insights!$C$3, 4)), E6582, "")</f>
        <v>#VALUE!</v>
      </c>
      <c r="H6582" s="26" t="e">
        <f t="shared" si="1"/>
        <v>#VALUE!</v>
      </c>
      <c r="I6582" s="1" t="e">
        <f t="shared" si="2"/>
        <v>#VALUE!</v>
      </c>
    </row>
    <row r="6583" spans="1:9" ht="15.75" customHeight="1">
      <c r="A6583" s="26"/>
      <c r="B6583" s="2"/>
      <c r="C6583" s="26"/>
      <c r="D6583" s="26"/>
      <c r="F6583" s="85" t="str">
        <f t="shared" si="0"/>
        <v/>
      </c>
      <c r="G6583" s="1" t="e">
        <f>IF(VALUE(F6583) = VALUE(RIGHT(Insights!$C$3, 4)), E6583, "")</f>
        <v>#VALUE!</v>
      </c>
      <c r="H6583" s="26" t="e">
        <f t="shared" si="1"/>
        <v>#VALUE!</v>
      </c>
      <c r="I6583" s="1" t="e">
        <f t="shared" si="2"/>
        <v>#VALUE!</v>
      </c>
    </row>
    <row r="6584" spans="1:9" ht="15.75" customHeight="1">
      <c r="A6584" s="26"/>
      <c r="B6584" s="2"/>
      <c r="C6584" s="26"/>
      <c r="D6584" s="26"/>
      <c r="F6584" s="85" t="str">
        <f t="shared" si="0"/>
        <v/>
      </c>
      <c r="G6584" s="1" t="e">
        <f>IF(VALUE(F6584) = VALUE(RIGHT(Insights!$C$3, 4)), E6584, "")</f>
        <v>#VALUE!</v>
      </c>
      <c r="H6584" s="26" t="e">
        <f t="shared" si="1"/>
        <v>#VALUE!</v>
      </c>
      <c r="I6584" s="1" t="e">
        <f t="shared" si="2"/>
        <v>#VALUE!</v>
      </c>
    </row>
    <row r="6585" spans="1:9" ht="15.75" customHeight="1">
      <c r="A6585" s="26"/>
      <c r="B6585" s="2"/>
      <c r="C6585" s="26"/>
      <c r="D6585" s="26"/>
      <c r="F6585" s="85" t="str">
        <f t="shared" si="0"/>
        <v/>
      </c>
      <c r="G6585" s="1" t="e">
        <f>IF(VALUE(F6585) = VALUE(RIGHT(Insights!$C$3, 4)), E6585, "")</f>
        <v>#VALUE!</v>
      </c>
      <c r="H6585" s="26" t="e">
        <f t="shared" si="1"/>
        <v>#VALUE!</v>
      </c>
      <c r="I6585" s="1" t="e">
        <f t="shared" si="2"/>
        <v>#VALUE!</v>
      </c>
    </row>
    <row r="6586" spans="1:9" ht="15.75" customHeight="1">
      <c r="A6586" s="26"/>
      <c r="B6586" s="2"/>
      <c r="C6586" s="26"/>
      <c r="D6586" s="26"/>
      <c r="F6586" s="85" t="str">
        <f t="shared" si="0"/>
        <v/>
      </c>
      <c r="G6586" s="1" t="e">
        <f>IF(VALUE(F6586) = VALUE(RIGHT(Insights!$C$3, 4)), E6586, "")</f>
        <v>#VALUE!</v>
      </c>
      <c r="H6586" s="26" t="e">
        <f t="shared" si="1"/>
        <v>#VALUE!</v>
      </c>
      <c r="I6586" s="1" t="e">
        <f t="shared" si="2"/>
        <v>#VALUE!</v>
      </c>
    </row>
    <row r="6587" spans="1:9" ht="15.75" customHeight="1">
      <c r="A6587" s="26"/>
      <c r="B6587" s="2"/>
      <c r="C6587" s="26"/>
      <c r="D6587" s="26"/>
      <c r="F6587" s="85" t="str">
        <f t="shared" si="0"/>
        <v/>
      </c>
      <c r="G6587" s="1" t="e">
        <f>IF(VALUE(F6587) = VALUE(RIGHT(Insights!$C$3, 4)), E6587, "")</f>
        <v>#VALUE!</v>
      </c>
      <c r="H6587" s="26" t="e">
        <f t="shared" si="1"/>
        <v>#VALUE!</v>
      </c>
      <c r="I6587" s="1" t="e">
        <f t="shared" si="2"/>
        <v>#VALUE!</v>
      </c>
    </row>
    <row r="6588" spans="1:9" ht="15.75" customHeight="1">
      <c r="A6588" s="26"/>
      <c r="B6588" s="2"/>
      <c r="C6588" s="26"/>
      <c r="D6588" s="26"/>
      <c r="F6588" s="85" t="str">
        <f t="shared" si="0"/>
        <v/>
      </c>
      <c r="G6588" s="1" t="e">
        <f>IF(VALUE(F6588) = VALUE(RIGHT(Insights!$C$3, 4)), E6588, "")</f>
        <v>#VALUE!</v>
      </c>
      <c r="H6588" s="26" t="e">
        <f t="shared" si="1"/>
        <v>#VALUE!</v>
      </c>
      <c r="I6588" s="1" t="e">
        <f t="shared" si="2"/>
        <v>#VALUE!</v>
      </c>
    </row>
    <row r="6589" spans="1:9" ht="15.75" customHeight="1">
      <c r="A6589" s="26"/>
      <c r="B6589" s="2"/>
      <c r="C6589" s="26"/>
      <c r="D6589" s="26"/>
      <c r="F6589" s="85" t="str">
        <f t="shared" si="0"/>
        <v/>
      </c>
      <c r="G6589" s="1" t="e">
        <f>IF(VALUE(F6589) = VALUE(RIGHT(Insights!$C$3, 4)), E6589, "")</f>
        <v>#VALUE!</v>
      </c>
      <c r="H6589" s="26" t="e">
        <f t="shared" si="1"/>
        <v>#VALUE!</v>
      </c>
      <c r="I6589" s="1" t="e">
        <f t="shared" si="2"/>
        <v>#VALUE!</v>
      </c>
    </row>
    <row r="6590" spans="1:9" ht="15.75" customHeight="1">
      <c r="A6590" s="26"/>
      <c r="B6590" s="2"/>
      <c r="C6590" s="26"/>
      <c r="D6590" s="26"/>
      <c r="F6590" s="85" t="str">
        <f t="shared" si="0"/>
        <v/>
      </c>
      <c r="G6590" s="1" t="e">
        <f>IF(VALUE(F6590) = VALUE(RIGHT(Insights!$C$3, 4)), E6590, "")</f>
        <v>#VALUE!</v>
      </c>
      <c r="H6590" s="26" t="e">
        <f t="shared" si="1"/>
        <v>#VALUE!</v>
      </c>
      <c r="I6590" s="1" t="e">
        <f t="shared" si="2"/>
        <v>#VALUE!</v>
      </c>
    </row>
    <row r="6591" spans="1:9" ht="15.75" customHeight="1">
      <c r="A6591" s="26"/>
      <c r="B6591" s="2"/>
      <c r="C6591" s="26"/>
      <c r="D6591" s="26"/>
      <c r="F6591" s="85" t="str">
        <f t="shared" si="0"/>
        <v/>
      </c>
      <c r="G6591" s="1" t="e">
        <f>IF(VALUE(F6591) = VALUE(RIGHT(Insights!$C$3, 4)), E6591, "")</f>
        <v>#VALUE!</v>
      </c>
      <c r="H6591" s="26" t="e">
        <f t="shared" si="1"/>
        <v>#VALUE!</v>
      </c>
      <c r="I6591" s="1" t="e">
        <f t="shared" si="2"/>
        <v>#VALUE!</v>
      </c>
    </row>
    <row r="6592" spans="1:9" ht="15.75" customHeight="1">
      <c r="A6592" s="26"/>
      <c r="B6592" s="2"/>
      <c r="C6592" s="26"/>
      <c r="D6592" s="26"/>
      <c r="F6592" s="85" t="str">
        <f t="shared" si="0"/>
        <v/>
      </c>
      <c r="G6592" s="1" t="e">
        <f>IF(VALUE(F6592) = VALUE(RIGHT(Insights!$C$3, 4)), E6592, "")</f>
        <v>#VALUE!</v>
      </c>
      <c r="H6592" s="26" t="e">
        <f t="shared" si="1"/>
        <v>#VALUE!</v>
      </c>
      <c r="I6592" s="1" t="e">
        <f t="shared" si="2"/>
        <v>#VALUE!</v>
      </c>
    </row>
    <row r="6593" spans="1:9" ht="15.75" customHeight="1">
      <c r="A6593" s="26"/>
      <c r="B6593" s="2"/>
      <c r="C6593" s="26"/>
      <c r="D6593" s="26"/>
      <c r="F6593" s="85" t="str">
        <f t="shared" si="0"/>
        <v/>
      </c>
      <c r="G6593" s="1" t="e">
        <f>IF(VALUE(F6593) = VALUE(RIGHT(Insights!$C$3, 4)), E6593, "")</f>
        <v>#VALUE!</v>
      </c>
      <c r="H6593" s="26" t="e">
        <f t="shared" si="1"/>
        <v>#VALUE!</v>
      </c>
      <c r="I6593" s="1" t="e">
        <f t="shared" si="2"/>
        <v>#VALUE!</v>
      </c>
    </row>
    <row r="6594" spans="1:9" ht="15.75" customHeight="1">
      <c r="A6594" s="26"/>
      <c r="B6594" s="2"/>
      <c r="C6594" s="26"/>
      <c r="D6594" s="26"/>
      <c r="F6594" s="85" t="str">
        <f t="shared" si="0"/>
        <v/>
      </c>
      <c r="G6594" s="1" t="e">
        <f>IF(VALUE(F6594) = VALUE(RIGHT(Insights!$C$3, 4)), E6594, "")</f>
        <v>#VALUE!</v>
      </c>
      <c r="H6594" s="26" t="e">
        <f t="shared" si="1"/>
        <v>#VALUE!</v>
      </c>
      <c r="I6594" s="1" t="e">
        <f t="shared" si="2"/>
        <v>#VALUE!</v>
      </c>
    </row>
    <row r="6595" spans="1:9" ht="15.75" customHeight="1">
      <c r="A6595" s="26"/>
      <c r="B6595" s="2"/>
      <c r="C6595" s="26"/>
      <c r="D6595" s="26"/>
      <c r="F6595" s="85" t="str">
        <f t="shared" si="0"/>
        <v/>
      </c>
      <c r="G6595" s="1" t="e">
        <f>IF(VALUE(F6595) = VALUE(RIGHT(Insights!$C$3, 4)), E6595, "")</f>
        <v>#VALUE!</v>
      </c>
      <c r="H6595" s="26" t="e">
        <f t="shared" si="1"/>
        <v>#VALUE!</v>
      </c>
      <c r="I6595" s="1" t="e">
        <f t="shared" si="2"/>
        <v>#VALUE!</v>
      </c>
    </row>
    <row r="6596" spans="1:9" ht="15.75" customHeight="1">
      <c r="A6596" s="26"/>
      <c r="B6596" s="2"/>
      <c r="C6596" s="26"/>
      <c r="D6596" s="26"/>
      <c r="F6596" s="85" t="str">
        <f t="shared" si="0"/>
        <v/>
      </c>
      <c r="G6596" s="1" t="e">
        <f>IF(VALUE(F6596) = VALUE(RIGHT(Insights!$C$3, 4)), E6596, "")</f>
        <v>#VALUE!</v>
      </c>
      <c r="H6596" s="26" t="e">
        <f t="shared" si="1"/>
        <v>#VALUE!</v>
      </c>
      <c r="I6596" s="1" t="e">
        <f t="shared" si="2"/>
        <v>#VALUE!</v>
      </c>
    </row>
    <row r="6597" spans="1:9" ht="15.75" customHeight="1">
      <c r="A6597" s="26"/>
      <c r="B6597" s="2"/>
      <c r="C6597" s="26"/>
      <c r="D6597" s="26"/>
      <c r="F6597" s="85" t="str">
        <f t="shared" si="0"/>
        <v/>
      </c>
      <c r="G6597" s="1" t="e">
        <f>IF(VALUE(F6597) = VALUE(RIGHT(Insights!$C$3, 4)), E6597, "")</f>
        <v>#VALUE!</v>
      </c>
      <c r="H6597" s="26" t="e">
        <f t="shared" si="1"/>
        <v>#VALUE!</v>
      </c>
      <c r="I6597" s="1" t="e">
        <f t="shared" si="2"/>
        <v>#VALUE!</v>
      </c>
    </row>
    <row r="6598" spans="1:9" ht="15.75" customHeight="1">
      <c r="A6598" s="26"/>
      <c r="B6598" s="2"/>
      <c r="C6598" s="26"/>
      <c r="D6598" s="26"/>
      <c r="F6598" s="85" t="str">
        <f t="shared" si="0"/>
        <v/>
      </c>
      <c r="G6598" s="1" t="e">
        <f>IF(VALUE(F6598) = VALUE(RIGHT(Insights!$C$3, 4)), E6598, "")</f>
        <v>#VALUE!</v>
      </c>
      <c r="H6598" s="26" t="e">
        <f t="shared" si="1"/>
        <v>#VALUE!</v>
      </c>
      <c r="I6598" s="1" t="e">
        <f t="shared" si="2"/>
        <v>#VALUE!</v>
      </c>
    </row>
    <row r="6599" spans="1:9" ht="15.75" customHeight="1">
      <c r="A6599" s="26"/>
      <c r="B6599" s="2"/>
      <c r="C6599" s="26"/>
      <c r="D6599" s="26"/>
      <c r="F6599" s="85" t="str">
        <f t="shared" si="0"/>
        <v/>
      </c>
      <c r="G6599" s="1" t="e">
        <f>IF(VALUE(F6599) = VALUE(RIGHT(Insights!$C$3, 4)), E6599, "")</f>
        <v>#VALUE!</v>
      </c>
      <c r="H6599" s="26" t="e">
        <f t="shared" si="1"/>
        <v>#VALUE!</v>
      </c>
      <c r="I6599" s="1" t="e">
        <f t="shared" si="2"/>
        <v>#VALUE!</v>
      </c>
    </row>
    <row r="6600" spans="1:9" ht="15.75" customHeight="1">
      <c r="A6600" s="26"/>
      <c r="B6600" s="2"/>
      <c r="C6600" s="26"/>
      <c r="D6600" s="26"/>
      <c r="F6600" s="85" t="str">
        <f t="shared" si="0"/>
        <v/>
      </c>
      <c r="G6600" s="1" t="e">
        <f>IF(VALUE(F6600) = VALUE(RIGHT(Insights!$C$3, 4)), E6600, "")</f>
        <v>#VALUE!</v>
      </c>
      <c r="H6600" s="26" t="e">
        <f t="shared" si="1"/>
        <v>#VALUE!</v>
      </c>
      <c r="I6600" s="1" t="e">
        <f t="shared" si="2"/>
        <v>#VALUE!</v>
      </c>
    </row>
    <row r="6601" spans="1:9" ht="15.75" customHeight="1">
      <c r="A6601" s="26"/>
      <c r="B6601" s="2"/>
      <c r="C6601" s="26"/>
      <c r="D6601" s="26"/>
      <c r="F6601" s="85" t="str">
        <f t="shared" si="0"/>
        <v/>
      </c>
      <c r="G6601" s="1" t="e">
        <f>IF(VALUE(F6601) = VALUE(RIGHT(Insights!$C$3, 4)), E6601, "")</f>
        <v>#VALUE!</v>
      </c>
      <c r="H6601" s="26" t="e">
        <f t="shared" si="1"/>
        <v>#VALUE!</v>
      </c>
      <c r="I6601" s="1" t="e">
        <f t="shared" si="2"/>
        <v>#VALUE!</v>
      </c>
    </row>
    <row r="6602" spans="1:9" ht="15.75" customHeight="1">
      <c r="A6602" s="26"/>
      <c r="B6602" s="2"/>
      <c r="C6602" s="26"/>
      <c r="D6602" s="26"/>
      <c r="F6602" s="85" t="str">
        <f t="shared" si="0"/>
        <v/>
      </c>
      <c r="G6602" s="1" t="e">
        <f>IF(VALUE(F6602) = VALUE(RIGHT(Insights!$C$3, 4)), E6602, "")</f>
        <v>#VALUE!</v>
      </c>
      <c r="H6602" s="26" t="e">
        <f t="shared" si="1"/>
        <v>#VALUE!</v>
      </c>
      <c r="I6602" s="1" t="e">
        <f t="shared" si="2"/>
        <v>#VALUE!</v>
      </c>
    </row>
    <row r="6603" spans="1:9" ht="15.75" customHeight="1">
      <c r="A6603" s="26"/>
      <c r="B6603" s="2"/>
      <c r="C6603" s="26"/>
      <c r="D6603" s="26"/>
      <c r="F6603" s="85" t="str">
        <f t="shared" si="0"/>
        <v/>
      </c>
      <c r="G6603" s="1" t="e">
        <f>IF(VALUE(F6603) = VALUE(RIGHT(Insights!$C$3, 4)), E6603, "")</f>
        <v>#VALUE!</v>
      </c>
      <c r="H6603" s="26" t="e">
        <f t="shared" si="1"/>
        <v>#VALUE!</v>
      </c>
      <c r="I6603" s="1" t="e">
        <f t="shared" si="2"/>
        <v>#VALUE!</v>
      </c>
    </row>
    <row r="6604" spans="1:9" ht="15.75" customHeight="1">
      <c r="A6604" s="26"/>
      <c r="B6604" s="2"/>
      <c r="C6604" s="26"/>
      <c r="D6604" s="26"/>
      <c r="F6604" s="85" t="str">
        <f t="shared" si="0"/>
        <v/>
      </c>
      <c r="G6604" s="1" t="e">
        <f>IF(VALUE(F6604) = VALUE(RIGHT(Insights!$C$3, 4)), E6604, "")</f>
        <v>#VALUE!</v>
      </c>
      <c r="H6604" s="26" t="e">
        <f t="shared" si="1"/>
        <v>#VALUE!</v>
      </c>
      <c r="I6604" s="1" t="e">
        <f t="shared" si="2"/>
        <v>#VALUE!</v>
      </c>
    </row>
    <row r="6605" spans="1:9" ht="15.75" customHeight="1">
      <c r="A6605" s="26"/>
      <c r="B6605" s="2"/>
      <c r="C6605" s="26"/>
      <c r="D6605" s="26"/>
      <c r="F6605" s="85" t="str">
        <f t="shared" si="0"/>
        <v/>
      </c>
      <c r="G6605" s="1" t="e">
        <f>IF(VALUE(F6605) = VALUE(RIGHT(Insights!$C$3, 4)), E6605, "")</f>
        <v>#VALUE!</v>
      </c>
      <c r="H6605" s="26" t="e">
        <f t="shared" si="1"/>
        <v>#VALUE!</v>
      </c>
      <c r="I6605" s="1" t="e">
        <f t="shared" si="2"/>
        <v>#VALUE!</v>
      </c>
    </row>
    <row r="6606" spans="1:9" ht="15.75" customHeight="1">
      <c r="A6606" s="26"/>
      <c r="B6606" s="2"/>
      <c r="C6606" s="26"/>
      <c r="D6606" s="26"/>
      <c r="F6606" s="85" t="str">
        <f t="shared" si="0"/>
        <v/>
      </c>
      <c r="G6606" s="1" t="e">
        <f>IF(VALUE(F6606) = VALUE(RIGHT(Insights!$C$3, 4)), E6606, "")</f>
        <v>#VALUE!</v>
      </c>
      <c r="H6606" s="26" t="e">
        <f t="shared" si="1"/>
        <v>#VALUE!</v>
      </c>
      <c r="I6606" s="1" t="e">
        <f t="shared" si="2"/>
        <v>#VALUE!</v>
      </c>
    </row>
    <row r="6607" spans="1:9" ht="15.75" customHeight="1">
      <c r="A6607" s="26"/>
      <c r="B6607" s="2"/>
      <c r="C6607" s="26"/>
      <c r="D6607" s="26"/>
      <c r="F6607" s="85" t="str">
        <f t="shared" si="0"/>
        <v/>
      </c>
      <c r="G6607" s="1" t="e">
        <f>IF(VALUE(F6607) = VALUE(RIGHT(Insights!$C$3, 4)), E6607, "")</f>
        <v>#VALUE!</v>
      </c>
      <c r="H6607" s="26" t="e">
        <f t="shared" si="1"/>
        <v>#VALUE!</v>
      </c>
      <c r="I6607" s="1" t="e">
        <f t="shared" si="2"/>
        <v>#VALUE!</v>
      </c>
    </row>
    <row r="6608" spans="1:9" ht="15.75" customHeight="1">
      <c r="A6608" s="26"/>
      <c r="B6608" s="2"/>
      <c r="C6608" s="26"/>
      <c r="D6608" s="26"/>
      <c r="F6608" s="85" t="str">
        <f t="shared" si="0"/>
        <v/>
      </c>
      <c r="G6608" s="1" t="e">
        <f>IF(VALUE(F6608) = VALUE(RIGHT(Insights!$C$3, 4)), E6608, "")</f>
        <v>#VALUE!</v>
      </c>
      <c r="H6608" s="26" t="e">
        <f t="shared" si="1"/>
        <v>#VALUE!</v>
      </c>
      <c r="I6608" s="1" t="e">
        <f t="shared" si="2"/>
        <v>#VALUE!</v>
      </c>
    </row>
    <row r="6609" spans="1:9" ht="15.75" customHeight="1">
      <c r="A6609" s="26"/>
      <c r="B6609" s="2"/>
      <c r="C6609" s="26"/>
      <c r="D6609" s="26"/>
      <c r="F6609" s="85" t="str">
        <f t="shared" si="0"/>
        <v/>
      </c>
      <c r="G6609" s="1" t="e">
        <f>IF(VALUE(F6609) = VALUE(RIGHT(Insights!$C$3, 4)), E6609, "")</f>
        <v>#VALUE!</v>
      </c>
      <c r="H6609" s="26" t="e">
        <f t="shared" si="1"/>
        <v>#VALUE!</v>
      </c>
      <c r="I6609" s="1" t="e">
        <f t="shared" si="2"/>
        <v>#VALUE!</v>
      </c>
    </row>
    <row r="6610" spans="1:9" ht="15.75" customHeight="1">
      <c r="A6610" s="26"/>
      <c r="B6610" s="2"/>
      <c r="C6610" s="26"/>
      <c r="D6610" s="26"/>
      <c r="F6610" s="85" t="str">
        <f t="shared" si="0"/>
        <v/>
      </c>
      <c r="G6610" s="1" t="e">
        <f>IF(VALUE(F6610) = VALUE(RIGHT(Insights!$C$3, 4)), E6610, "")</f>
        <v>#VALUE!</v>
      </c>
      <c r="H6610" s="26" t="e">
        <f t="shared" si="1"/>
        <v>#VALUE!</v>
      </c>
      <c r="I6610" s="1" t="e">
        <f t="shared" si="2"/>
        <v>#VALUE!</v>
      </c>
    </row>
    <row r="6611" spans="1:9" ht="15.75" customHeight="1">
      <c r="A6611" s="26"/>
      <c r="B6611" s="2"/>
      <c r="C6611" s="26"/>
      <c r="D6611" s="26"/>
      <c r="F6611" s="85" t="str">
        <f t="shared" si="0"/>
        <v/>
      </c>
      <c r="G6611" s="1" t="e">
        <f>IF(VALUE(F6611) = VALUE(RIGHT(Insights!$C$3, 4)), E6611, "")</f>
        <v>#VALUE!</v>
      </c>
      <c r="H6611" s="26" t="e">
        <f t="shared" si="1"/>
        <v>#VALUE!</v>
      </c>
      <c r="I6611" s="1" t="e">
        <f t="shared" si="2"/>
        <v>#VALUE!</v>
      </c>
    </row>
    <row r="6612" spans="1:9" ht="15.75" customHeight="1">
      <c r="A6612" s="26"/>
      <c r="B6612" s="2"/>
      <c r="C6612" s="26"/>
      <c r="D6612" s="26"/>
      <c r="F6612" s="85" t="str">
        <f t="shared" si="0"/>
        <v/>
      </c>
      <c r="G6612" s="1" t="e">
        <f>IF(VALUE(F6612) = VALUE(RIGHT(Insights!$C$3, 4)), E6612, "")</f>
        <v>#VALUE!</v>
      </c>
      <c r="H6612" s="26" t="e">
        <f t="shared" si="1"/>
        <v>#VALUE!</v>
      </c>
      <c r="I6612" s="1" t="e">
        <f t="shared" si="2"/>
        <v>#VALUE!</v>
      </c>
    </row>
    <row r="6613" spans="1:9" ht="15.75" customHeight="1">
      <c r="A6613" s="26"/>
      <c r="B6613" s="2"/>
      <c r="C6613" s="26"/>
      <c r="D6613" s="26"/>
      <c r="F6613" s="85" t="str">
        <f t="shared" si="0"/>
        <v/>
      </c>
      <c r="G6613" s="1" t="e">
        <f>IF(VALUE(F6613) = VALUE(RIGHT(Insights!$C$3, 4)), E6613, "")</f>
        <v>#VALUE!</v>
      </c>
      <c r="H6613" s="26" t="e">
        <f t="shared" si="1"/>
        <v>#VALUE!</v>
      </c>
      <c r="I6613" s="1" t="e">
        <f t="shared" si="2"/>
        <v>#VALUE!</v>
      </c>
    </row>
    <row r="6614" spans="1:9" ht="15.75" customHeight="1">
      <c r="A6614" s="26"/>
      <c r="B6614" s="2"/>
      <c r="C6614" s="26"/>
      <c r="D6614" s="26"/>
      <c r="F6614" s="85" t="str">
        <f t="shared" si="0"/>
        <v/>
      </c>
      <c r="G6614" s="1" t="e">
        <f>IF(VALUE(F6614) = VALUE(RIGHT(Insights!$C$3, 4)), E6614, "")</f>
        <v>#VALUE!</v>
      </c>
      <c r="H6614" s="26" t="e">
        <f t="shared" si="1"/>
        <v>#VALUE!</v>
      </c>
      <c r="I6614" s="1" t="e">
        <f t="shared" si="2"/>
        <v>#VALUE!</v>
      </c>
    </row>
    <row r="6615" spans="1:9" ht="15.75" customHeight="1">
      <c r="A6615" s="26"/>
      <c r="B6615" s="2"/>
      <c r="C6615" s="26"/>
      <c r="D6615" s="26"/>
      <c r="F6615" s="85" t="str">
        <f t="shared" si="0"/>
        <v/>
      </c>
      <c r="G6615" s="1" t="e">
        <f>IF(VALUE(F6615) = VALUE(RIGHT(Insights!$C$3, 4)), E6615, "")</f>
        <v>#VALUE!</v>
      </c>
      <c r="H6615" s="26" t="e">
        <f t="shared" si="1"/>
        <v>#VALUE!</v>
      </c>
      <c r="I6615" s="1" t="e">
        <f t="shared" si="2"/>
        <v>#VALUE!</v>
      </c>
    </row>
    <row r="6616" spans="1:9" ht="15.75" customHeight="1">
      <c r="A6616" s="26"/>
      <c r="B6616" s="2"/>
      <c r="C6616" s="26"/>
      <c r="D6616" s="26"/>
      <c r="F6616" s="85" t="str">
        <f t="shared" si="0"/>
        <v/>
      </c>
      <c r="G6616" s="1" t="e">
        <f>IF(VALUE(F6616) = VALUE(RIGHT(Insights!$C$3, 4)), E6616, "")</f>
        <v>#VALUE!</v>
      </c>
      <c r="H6616" s="26" t="e">
        <f t="shared" si="1"/>
        <v>#VALUE!</v>
      </c>
      <c r="I6616" s="1" t="e">
        <f t="shared" si="2"/>
        <v>#VALUE!</v>
      </c>
    </row>
    <row r="6617" spans="1:9" ht="15.75" customHeight="1">
      <c r="A6617" s="26"/>
      <c r="B6617" s="2"/>
      <c r="C6617" s="26"/>
      <c r="D6617" s="26"/>
      <c r="F6617" s="85" t="str">
        <f t="shared" si="0"/>
        <v/>
      </c>
      <c r="G6617" s="1" t="e">
        <f>IF(VALUE(F6617) = VALUE(RIGHT(Insights!$C$3, 4)), E6617, "")</f>
        <v>#VALUE!</v>
      </c>
      <c r="H6617" s="26" t="e">
        <f t="shared" si="1"/>
        <v>#VALUE!</v>
      </c>
      <c r="I6617" s="1" t="e">
        <f t="shared" si="2"/>
        <v>#VALUE!</v>
      </c>
    </row>
    <row r="6618" spans="1:9" ht="15.75" customHeight="1">
      <c r="A6618" s="26"/>
      <c r="B6618" s="2"/>
      <c r="C6618" s="26"/>
      <c r="D6618" s="26"/>
      <c r="F6618" s="85" t="str">
        <f t="shared" si="0"/>
        <v/>
      </c>
      <c r="G6618" s="1" t="e">
        <f>IF(VALUE(F6618) = VALUE(RIGHT(Insights!$C$3, 4)), E6618, "")</f>
        <v>#VALUE!</v>
      </c>
      <c r="H6618" s="26" t="e">
        <f t="shared" si="1"/>
        <v>#VALUE!</v>
      </c>
      <c r="I6618" s="1" t="e">
        <f t="shared" si="2"/>
        <v>#VALUE!</v>
      </c>
    </row>
    <row r="6619" spans="1:9" ht="15.75" customHeight="1">
      <c r="A6619" s="26"/>
      <c r="B6619" s="2"/>
      <c r="C6619" s="26"/>
      <c r="D6619" s="26"/>
      <c r="F6619" s="85" t="str">
        <f t="shared" si="0"/>
        <v/>
      </c>
      <c r="G6619" s="1" t="e">
        <f>IF(VALUE(F6619) = VALUE(RIGHT(Insights!$C$3, 4)), E6619, "")</f>
        <v>#VALUE!</v>
      </c>
      <c r="H6619" s="26" t="e">
        <f t="shared" si="1"/>
        <v>#VALUE!</v>
      </c>
      <c r="I6619" s="1" t="e">
        <f t="shared" si="2"/>
        <v>#VALUE!</v>
      </c>
    </row>
    <row r="6620" spans="1:9" ht="15.75" customHeight="1">
      <c r="A6620" s="26"/>
      <c r="B6620" s="2"/>
      <c r="C6620" s="26"/>
      <c r="D6620" s="26"/>
      <c r="F6620" s="85" t="str">
        <f t="shared" si="0"/>
        <v/>
      </c>
      <c r="G6620" s="1" t="e">
        <f>IF(VALUE(F6620) = VALUE(RIGHT(Insights!$C$3, 4)), E6620, "")</f>
        <v>#VALUE!</v>
      </c>
      <c r="H6620" s="26" t="e">
        <f t="shared" si="1"/>
        <v>#VALUE!</v>
      </c>
      <c r="I6620" s="1" t="e">
        <f t="shared" si="2"/>
        <v>#VALUE!</v>
      </c>
    </row>
    <row r="6621" spans="1:9" ht="15.75" customHeight="1">
      <c r="A6621" s="26"/>
      <c r="B6621" s="2"/>
      <c r="C6621" s="26"/>
      <c r="D6621" s="26"/>
      <c r="F6621" s="85" t="str">
        <f t="shared" si="0"/>
        <v/>
      </c>
      <c r="G6621" s="1" t="e">
        <f>IF(VALUE(F6621) = VALUE(RIGHT(Insights!$C$3, 4)), E6621, "")</f>
        <v>#VALUE!</v>
      </c>
      <c r="H6621" s="26" t="e">
        <f t="shared" si="1"/>
        <v>#VALUE!</v>
      </c>
      <c r="I6621" s="1" t="e">
        <f t="shared" si="2"/>
        <v>#VALUE!</v>
      </c>
    </row>
    <row r="6622" spans="1:9" ht="15.75" customHeight="1">
      <c r="A6622" s="26"/>
      <c r="B6622" s="2"/>
      <c r="C6622" s="26"/>
      <c r="D6622" s="26"/>
      <c r="F6622" s="85" t="str">
        <f t="shared" si="0"/>
        <v/>
      </c>
      <c r="G6622" s="1" t="e">
        <f>IF(VALUE(F6622) = VALUE(RIGHT(Insights!$C$3, 4)), E6622, "")</f>
        <v>#VALUE!</v>
      </c>
      <c r="H6622" s="26" t="e">
        <f t="shared" si="1"/>
        <v>#VALUE!</v>
      </c>
      <c r="I6622" s="1" t="e">
        <f t="shared" si="2"/>
        <v>#VALUE!</v>
      </c>
    </row>
    <row r="6623" spans="1:9" ht="15.75" customHeight="1">
      <c r="A6623" s="26"/>
      <c r="B6623" s="2"/>
      <c r="C6623" s="26"/>
      <c r="D6623" s="26"/>
      <c r="F6623" s="85" t="str">
        <f t="shared" si="0"/>
        <v/>
      </c>
      <c r="G6623" s="1" t="e">
        <f>IF(VALUE(F6623) = VALUE(RIGHT(Insights!$C$3, 4)), E6623, "")</f>
        <v>#VALUE!</v>
      </c>
      <c r="H6623" s="26" t="e">
        <f t="shared" si="1"/>
        <v>#VALUE!</v>
      </c>
      <c r="I6623" s="1" t="e">
        <f t="shared" si="2"/>
        <v>#VALUE!</v>
      </c>
    </row>
    <row r="6624" spans="1:9" ht="15.75" customHeight="1">
      <c r="A6624" s="26"/>
      <c r="B6624" s="2"/>
      <c r="C6624" s="26"/>
      <c r="D6624" s="26"/>
      <c r="F6624" s="85" t="str">
        <f t="shared" si="0"/>
        <v/>
      </c>
      <c r="G6624" s="1" t="e">
        <f>IF(VALUE(F6624) = VALUE(RIGHT(Insights!$C$3, 4)), E6624, "")</f>
        <v>#VALUE!</v>
      </c>
      <c r="H6624" s="26" t="e">
        <f t="shared" si="1"/>
        <v>#VALUE!</v>
      </c>
      <c r="I6624" s="1" t="e">
        <f t="shared" si="2"/>
        <v>#VALUE!</v>
      </c>
    </row>
    <row r="6625" spans="1:9" ht="15.75" customHeight="1">
      <c r="A6625" s="26"/>
      <c r="B6625" s="2"/>
      <c r="C6625" s="26"/>
      <c r="D6625" s="26"/>
      <c r="F6625" s="85" t="str">
        <f t="shared" si="0"/>
        <v/>
      </c>
      <c r="G6625" s="1" t="e">
        <f>IF(VALUE(F6625) = VALUE(RIGHT(Insights!$C$3, 4)), E6625, "")</f>
        <v>#VALUE!</v>
      </c>
      <c r="H6625" s="26" t="e">
        <f t="shared" si="1"/>
        <v>#VALUE!</v>
      </c>
      <c r="I6625" s="1" t="e">
        <f t="shared" si="2"/>
        <v>#VALUE!</v>
      </c>
    </row>
    <row r="6626" spans="1:9" ht="15.75" customHeight="1">
      <c r="A6626" s="26"/>
      <c r="B6626" s="2"/>
      <c r="C6626" s="26"/>
      <c r="D6626" s="26"/>
      <c r="F6626" s="85" t="str">
        <f t="shared" si="0"/>
        <v/>
      </c>
      <c r="G6626" s="1" t="e">
        <f>IF(VALUE(F6626) = VALUE(RIGHT(Insights!$C$3, 4)), E6626, "")</f>
        <v>#VALUE!</v>
      </c>
      <c r="H6626" s="26" t="e">
        <f t="shared" si="1"/>
        <v>#VALUE!</v>
      </c>
      <c r="I6626" s="1" t="e">
        <f t="shared" si="2"/>
        <v>#VALUE!</v>
      </c>
    </row>
    <row r="6627" spans="1:9" ht="15.75" customHeight="1">
      <c r="A6627" s="26"/>
      <c r="B6627" s="2"/>
      <c r="C6627" s="26"/>
      <c r="D6627" s="26"/>
      <c r="F6627" s="85" t="str">
        <f t="shared" si="0"/>
        <v/>
      </c>
      <c r="G6627" s="1" t="e">
        <f>IF(VALUE(F6627) = VALUE(RIGHT(Insights!$C$3, 4)), E6627, "")</f>
        <v>#VALUE!</v>
      </c>
      <c r="H6627" s="26" t="e">
        <f t="shared" si="1"/>
        <v>#VALUE!</v>
      </c>
      <c r="I6627" s="1" t="e">
        <f t="shared" si="2"/>
        <v>#VALUE!</v>
      </c>
    </row>
    <row r="6628" spans="1:9" ht="15.75" customHeight="1">
      <c r="A6628" s="26"/>
      <c r="B6628" s="2"/>
      <c r="C6628" s="26"/>
      <c r="D6628" s="26"/>
      <c r="F6628" s="85" t="str">
        <f t="shared" si="0"/>
        <v/>
      </c>
      <c r="G6628" s="1" t="e">
        <f>IF(VALUE(F6628) = VALUE(RIGHT(Insights!$C$3, 4)), E6628, "")</f>
        <v>#VALUE!</v>
      </c>
      <c r="H6628" s="26" t="e">
        <f t="shared" si="1"/>
        <v>#VALUE!</v>
      </c>
      <c r="I6628" s="1" t="e">
        <f t="shared" si="2"/>
        <v>#VALUE!</v>
      </c>
    </row>
    <row r="6629" spans="1:9" ht="15.75" customHeight="1">
      <c r="A6629" s="26"/>
      <c r="B6629" s="2"/>
      <c r="C6629" s="26"/>
      <c r="D6629" s="26"/>
      <c r="F6629" s="85" t="str">
        <f t="shared" si="0"/>
        <v/>
      </c>
      <c r="G6629" s="1" t="e">
        <f>IF(VALUE(F6629) = VALUE(RIGHT(Insights!$C$3, 4)), E6629, "")</f>
        <v>#VALUE!</v>
      </c>
      <c r="H6629" s="26" t="e">
        <f t="shared" si="1"/>
        <v>#VALUE!</v>
      </c>
      <c r="I6629" s="1" t="e">
        <f t="shared" si="2"/>
        <v>#VALUE!</v>
      </c>
    </row>
    <row r="6630" spans="1:9" ht="15.75" customHeight="1">
      <c r="A6630" s="26"/>
      <c r="B6630" s="2"/>
      <c r="C6630" s="26"/>
      <c r="D6630" s="26"/>
      <c r="F6630" s="85" t="str">
        <f t="shared" si="0"/>
        <v/>
      </c>
      <c r="G6630" s="1" t="e">
        <f>IF(VALUE(F6630) = VALUE(RIGHT(Insights!$C$3, 4)), E6630, "")</f>
        <v>#VALUE!</v>
      </c>
      <c r="H6630" s="26" t="e">
        <f t="shared" si="1"/>
        <v>#VALUE!</v>
      </c>
      <c r="I6630" s="1" t="e">
        <f t="shared" si="2"/>
        <v>#VALUE!</v>
      </c>
    </row>
    <row r="6631" spans="1:9" ht="15.75" customHeight="1">
      <c r="A6631" s="26"/>
      <c r="B6631" s="2"/>
      <c r="C6631" s="26"/>
      <c r="D6631" s="26"/>
      <c r="F6631" s="85" t="str">
        <f t="shared" si="0"/>
        <v/>
      </c>
      <c r="G6631" s="1" t="e">
        <f>IF(VALUE(F6631) = VALUE(RIGHT(Insights!$C$3, 4)), E6631, "")</f>
        <v>#VALUE!</v>
      </c>
      <c r="H6631" s="26" t="e">
        <f t="shared" si="1"/>
        <v>#VALUE!</v>
      </c>
      <c r="I6631" s="1" t="e">
        <f t="shared" si="2"/>
        <v>#VALUE!</v>
      </c>
    </row>
    <row r="6632" spans="1:9" ht="15.75" customHeight="1">
      <c r="A6632" s="26"/>
      <c r="B6632" s="2"/>
      <c r="C6632" s="26"/>
      <c r="D6632" s="26"/>
      <c r="F6632" s="85" t="str">
        <f t="shared" si="0"/>
        <v/>
      </c>
      <c r="G6632" s="1" t="e">
        <f>IF(VALUE(F6632) = VALUE(RIGHT(Insights!$C$3, 4)), E6632, "")</f>
        <v>#VALUE!</v>
      </c>
      <c r="H6632" s="26" t="e">
        <f t="shared" si="1"/>
        <v>#VALUE!</v>
      </c>
      <c r="I6632" s="1" t="e">
        <f t="shared" si="2"/>
        <v>#VALUE!</v>
      </c>
    </row>
    <row r="6633" spans="1:9" ht="15.75" customHeight="1">
      <c r="A6633" s="26"/>
      <c r="B6633" s="2"/>
      <c r="C6633" s="26"/>
      <c r="D6633" s="26"/>
      <c r="F6633" s="85" t="str">
        <f t="shared" si="0"/>
        <v/>
      </c>
      <c r="G6633" s="1" t="e">
        <f>IF(VALUE(F6633) = VALUE(RIGHT(Insights!$C$3, 4)), E6633, "")</f>
        <v>#VALUE!</v>
      </c>
      <c r="H6633" s="26" t="e">
        <f t="shared" si="1"/>
        <v>#VALUE!</v>
      </c>
      <c r="I6633" s="1" t="e">
        <f t="shared" si="2"/>
        <v>#VALUE!</v>
      </c>
    </row>
    <row r="6634" spans="1:9" ht="15.75" customHeight="1">
      <c r="A6634" s="26"/>
      <c r="B6634" s="2"/>
      <c r="C6634" s="26"/>
      <c r="D6634" s="26"/>
      <c r="F6634" s="85" t="str">
        <f t="shared" si="0"/>
        <v/>
      </c>
      <c r="G6634" s="1" t="e">
        <f>IF(VALUE(F6634) = VALUE(RIGHT(Insights!$C$3, 4)), E6634, "")</f>
        <v>#VALUE!</v>
      </c>
      <c r="H6634" s="26" t="e">
        <f t="shared" si="1"/>
        <v>#VALUE!</v>
      </c>
      <c r="I6634" s="1" t="e">
        <f t="shared" si="2"/>
        <v>#VALUE!</v>
      </c>
    </row>
    <row r="6635" spans="1:9" ht="15.75" customHeight="1">
      <c r="A6635" s="26"/>
      <c r="B6635" s="2"/>
      <c r="C6635" s="26"/>
      <c r="D6635" s="26"/>
      <c r="F6635" s="85" t="str">
        <f t="shared" si="0"/>
        <v/>
      </c>
      <c r="G6635" s="1" t="e">
        <f>IF(VALUE(F6635) = VALUE(RIGHT(Insights!$C$3, 4)), E6635, "")</f>
        <v>#VALUE!</v>
      </c>
      <c r="H6635" s="26" t="e">
        <f t="shared" si="1"/>
        <v>#VALUE!</v>
      </c>
      <c r="I6635" s="1" t="e">
        <f t="shared" si="2"/>
        <v>#VALUE!</v>
      </c>
    </row>
    <row r="6636" spans="1:9" ht="15.75" customHeight="1">
      <c r="A6636" s="26"/>
      <c r="B6636" s="2"/>
      <c r="C6636" s="26"/>
      <c r="D6636" s="26"/>
      <c r="F6636" s="85" t="str">
        <f t="shared" si="0"/>
        <v/>
      </c>
      <c r="G6636" s="1" t="e">
        <f>IF(VALUE(F6636) = VALUE(RIGHT(Insights!$C$3, 4)), E6636, "")</f>
        <v>#VALUE!</v>
      </c>
      <c r="H6636" s="26" t="e">
        <f t="shared" si="1"/>
        <v>#VALUE!</v>
      </c>
      <c r="I6636" s="1" t="e">
        <f t="shared" si="2"/>
        <v>#VALUE!</v>
      </c>
    </row>
    <row r="6637" spans="1:9" ht="15.75" customHeight="1">
      <c r="A6637" s="26"/>
      <c r="B6637" s="2"/>
      <c r="C6637" s="26"/>
      <c r="D6637" s="26"/>
      <c r="F6637" s="85" t="str">
        <f t="shared" si="0"/>
        <v/>
      </c>
      <c r="G6637" s="1" t="e">
        <f>IF(VALUE(F6637) = VALUE(RIGHT(Insights!$C$3, 4)), E6637, "")</f>
        <v>#VALUE!</v>
      </c>
      <c r="H6637" s="26" t="e">
        <f t="shared" si="1"/>
        <v>#VALUE!</v>
      </c>
      <c r="I6637" s="1" t="e">
        <f t="shared" si="2"/>
        <v>#VALUE!</v>
      </c>
    </row>
    <row r="6638" spans="1:9" ht="15.75" customHeight="1">
      <c r="A6638" s="26"/>
      <c r="B6638" s="2"/>
      <c r="C6638" s="26"/>
      <c r="D6638" s="26"/>
      <c r="F6638" s="85" t="str">
        <f t="shared" si="0"/>
        <v/>
      </c>
      <c r="G6638" s="1" t="e">
        <f>IF(VALUE(F6638) = VALUE(RIGHT(Insights!$C$3, 4)), E6638, "")</f>
        <v>#VALUE!</v>
      </c>
      <c r="H6638" s="26" t="e">
        <f t="shared" si="1"/>
        <v>#VALUE!</v>
      </c>
      <c r="I6638" s="1" t="e">
        <f t="shared" si="2"/>
        <v>#VALUE!</v>
      </c>
    </row>
    <row r="6639" spans="1:9" ht="15.75" customHeight="1">
      <c r="A6639" s="26"/>
      <c r="B6639" s="2"/>
      <c r="C6639" s="26"/>
      <c r="D6639" s="26"/>
      <c r="F6639" s="85" t="str">
        <f t="shared" si="0"/>
        <v/>
      </c>
      <c r="G6639" s="1" t="e">
        <f>IF(VALUE(F6639) = VALUE(RIGHT(Insights!$C$3, 4)), E6639, "")</f>
        <v>#VALUE!</v>
      </c>
      <c r="H6639" s="26" t="e">
        <f t="shared" si="1"/>
        <v>#VALUE!</v>
      </c>
      <c r="I6639" s="1" t="e">
        <f t="shared" si="2"/>
        <v>#VALUE!</v>
      </c>
    </row>
    <row r="6640" spans="1:9" ht="15.75" customHeight="1">
      <c r="A6640" s="26"/>
      <c r="B6640" s="2"/>
      <c r="C6640" s="26"/>
      <c r="D6640" s="26"/>
      <c r="F6640" s="85" t="str">
        <f t="shared" si="0"/>
        <v/>
      </c>
      <c r="G6640" s="1" t="e">
        <f>IF(VALUE(F6640) = VALUE(RIGHT(Insights!$C$3, 4)), E6640, "")</f>
        <v>#VALUE!</v>
      </c>
      <c r="H6640" s="26" t="e">
        <f t="shared" si="1"/>
        <v>#VALUE!</v>
      </c>
      <c r="I6640" s="1" t="e">
        <f t="shared" si="2"/>
        <v>#VALUE!</v>
      </c>
    </row>
    <row r="6641" spans="1:9" ht="15.75" customHeight="1">
      <c r="A6641" s="26"/>
      <c r="B6641" s="2"/>
      <c r="C6641" s="26"/>
      <c r="D6641" s="26"/>
      <c r="F6641" s="85" t="str">
        <f t="shared" si="0"/>
        <v/>
      </c>
      <c r="G6641" s="1" t="e">
        <f>IF(VALUE(F6641) = VALUE(RIGHT(Insights!$C$3, 4)), E6641, "")</f>
        <v>#VALUE!</v>
      </c>
      <c r="H6641" s="26" t="e">
        <f t="shared" si="1"/>
        <v>#VALUE!</v>
      </c>
      <c r="I6641" s="1" t="e">
        <f t="shared" si="2"/>
        <v>#VALUE!</v>
      </c>
    </row>
    <row r="6642" spans="1:9" ht="15.75" customHeight="1">
      <c r="A6642" s="26"/>
      <c r="B6642" s="2"/>
      <c r="C6642" s="26"/>
      <c r="D6642" s="26"/>
      <c r="F6642" s="85" t="str">
        <f t="shared" si="0"/>
        <v/>
      </c>
      <c r="G6642" s="1" t="e">
        <f>IF(VALUE(F6642) = VALUE(RIGHT(Insights!$C$3, 4)), E6642, "")</f>
        <v>#VALUE!</v>
      </c>
      <c r="H6642" s="26" t="e">
        <f t="shared" si="1"/>
        <v>#VALUE!</v>
      </c>
      <c r="I6642" s="1" t="e">
        <f t="shared" si="2"/>
        <v>#VALUE!</v>
      </c>
    </row>
    <row r="6643" spans="1:9" ht="15.75" customHeight="1">
      <c r="A6643" s="26"/>
      <c r="B6643" s="2"/>
      <c r="C6643" s="26"/>
      <c r="D6643" s="26"/>
      <c r="F6643" s="85" t="str">
        <f t="shared" si="0"/>
        <v/>
      </c>
      <c r="G6643" s="1" t="e">
        <f>IF(VALUE(F6643) = VALUE(RIGHT(Insights!$C$3, 4)), E6643, "")</f>
        <v>#VALUE!</v>
      </c>
      <c r="H6643" s="26" t="e">
        <f t="shared" si="1"/>
        <v>#VALUE!</v>
      </c>
      <c r="I6643" s="1" t="e">
        <f t="shared" si="2"/>
        <v>#VALUE!</v>
      </c>
    </row>
    <row r="6644" spans="1:9" ht="15.75" customHeight="1">
      <c r="A6644" s="26"/>
      <c r="B6644" s="2"/>
      <c r="C6644" s="26"/>
      <c r="D6644" s="26"/>
      <c r="F6644" s="85" t="str">
        <f t="shared" si="0"/>
        <v/>
      </c>
      <c r="G6644" s="1" t="e">
        <f>IF(VALUE(F6644) = VALUE(RIGHT(Insights!$C$3, 4)), E6644, "")</f>
        <v>#VALUE!</v>
      </c>
      <c r="H6644" s="26" t="e">
        <f t="shared" si="1"/>
        <v>#VALUE!</v>
      </c>
      <c r="I6644" s="1" t="e">
        <f t="shared" si="2"/>
        <v>#VALUE!</v>
      </c>
    </row>
    <row r="6645" spans="1:9" ht="15.75" customHeight="1">
      <c r="A6645" s="26"/>
      <c r="B6645" s="2"/>
      <c r="C6645" s="26"/>
      <c r="D6645" s="26"/>
      <c r="F6645" s="85" t="str">
        <f t="shared" si="0"/>
        <v/>
      </c>
      <c r="G6645" s="1" t="e">
        <f>IF(VALUE(F6645) = VALUE(RIGHT(Insights!$C$3, 4)), E6645, "")</f>
        <v>#VALUE!</v>
      </c>
      <c r="H6645" s="26" t="e">
        <f t="shared" si="1"/>
        <v>#VALUE!</v>
      </c>
      <c r="I6645" s="1" t="e">
        <f t="shared" si="2"/>
        <v>#VALUE!</v>
      </c>
    </row>
    <row r="6646" spans="1:9" ht="15.75" customHeight="1">
      <c r="A6646" s="26"/>
      <c r="B6646" s="2"/>
      <c r="C6646" s="26"/>
      <c r="D6646" s="26"/>
      <c r="F6646" s="85" t="str">
        <f t="shared" si="0"/>
        <v/>
      </c>
      <c r="G6646" s="1" t="e">
        <f>IF(VALUE(F6646) = VALUE(RIGHT(Insights!$C$3, 4)), E6646, "")</f>
        <v>#VALUE!</v>
      </c>
      <c r="H6646" s="26" t="e">
        <f t="shared" si="1"/>
        <v>#VALUE!</v>
      </c>
      <c r="I6646" s="1" t="e">
        <f t="shared" si="2"/>
        <v>#VALUE!</v>
      </c>
    </row>
    <row r="6647" spans="1:9" ht="15.75" customHeight="1">
      <c r="A6647" s="26"/>
      <c r="B6647" s="2"/>
      <c r="C6647" s="26"/>
      <c r="D6647" s="26"/>
      <c r="F6647" s="85" t="str">
        <f t="shared" si="0"/>
        <v/>
      </c>
      <c r="G6647" s="1" t="e">
        <f>IF(VALUE(F6647) = VALUE(RIGHT(Insights!$C$3, 4)), E6647, "")</f>
        <v>#VALUE!</v>
      </c>
      <c r="H6647" s="26" t="e">
        <f t="shared" si="1"/>
        <v>#VALUE!</v>
      </c>
      <c r="I6647" s="1" t="e">
        <f t="shared" si="2"/>
        <v>#VALUE!</v>
      </c>
    </row>
    <row r="6648" spans="1:9" ht="15.75" customHeight="1">
      <c r="A6648" s="26"/>
      <c r="B6648" s="2"/>
      <c r="C6648" s="26"/>
      <c r="D6648" s="26"/>
      <c r="F6648" s="85" t="str">
        <f t="shared" si="0"/>
        <v/>
      </c>
      <c r="G6648" s="1" t="e">
        <f>IF(VALUE(F6648) = VALUE(RIGHT(Insights!$C$3, 4)), E6648, "")</f>
        <v>#VALUE!</v>
      </c>
      <c r="H6648" s="26" t="e">
        <f t="shared" si="1"/>
        <v>#VALUE!</v>
      </c>
      <c r="I6648" s="1" t="e">
        <f t="shared" si="2"/>
        <v>#VALUE!</v>
      </c>
    </row>
    <row r="6649" spans="1:9" ht="15.75" customHeight="1">
      <c r="A6649" s="26"/>
      <c r="B6649" s="2"/>
      <c r="C6649" s="26"/>
      <c r="D6649" s="26"/>
      <c r="F6649" s="85" t="str">
        <f t="shared" si="0"/>
        <v/>
      </c>
      <c r="G6649" s="1" t="e">
        <f>IF(VALUE(F6649) = VALUE(RIGHT(Insights!$C$3, 4)), E6649, "")</f>
        <v>#VALUE!</v>
      </c>
      <c r="H6649" s="26" t="e">
        <f t="shared" si="1"/>
        <v>#VALUE!</v>
      </c>
      <c r="I6649" s="1" t="e">
        <f t="shared" si="2"/>
        <v>#VALUE!</v>
      </c>
    </row>
    <row r="6650" spans="1:9" ht="15.75" customHeight="1">
      <c r="A6650" s="26"/>
      <c r="B6650" s="2"/>
      <c r="C6650" s="26"/>
      <c r="D6650" s="26"/>
      <c r="F6650" s="85" t="str">
        <f t="shared" si="0"/>
        <v/>
      </c>
      <c r="G6650" s="1" t="e">
        <f>IF(VALUE(F6650) = VALUE(RIGHT(Insights!$C$3, 4)), E6650, "")</f>
        <v>#VALUE!</v>
      </c>
      <c r="H6650" s="26" t="e">
        <f t="shared" si="1"/>
        <v>#VALUE!</v>
      </c>
      <c r="I6650" s="1" t="e">
        <f t="shared" si="2"/>
        <v>#VALUE!</v>
      </c>
    </row>
    <row r="6651" spans="1:9" ht="15.75" customHeight="1">
      <c r="A6651" s="26"/>
      <c r="B6651" s="2"/>
      <c r="C6651" s="26"/>
      <c r="D6651" s="26"/>
      <c r="F6651" s="85" t="str">
        <f t="shared" si="0"/>
        <v/>
      </c>
      <c r="G6651" s="1" t="e">
        <f>IF(VALUE(F6651) = VALUE(RIGHT(Insights!$C$3, 4)), E6651, "")</f>
        <v>#VALUE!</v>
      </c>
      <c r="H6651" s="26" t="e">
        <f t="shared" si="1"/>
        <v>#VALUE!</v>
      </c>
      <c r="I6651" s="1" t="e">
        <f t="shared" si="2"/>
        <v>#VALUE!</v>
      </c>
    </row>
    <row r="6652" spans="1:9" ht="15.75" customHeight="1">
      <c r="A6652" s="26"/>
      <c r="B6652" s="2"/>
      <c r="C6652" s="26"/>
      <c r="D6652" s="26"/>
      <c r="F6652" s="85" t="str">
        <f t="shared" si="0"/>
        <v/>
      </c>
      <c r="G6652" s="1" t="e">
        <f>IF(VALUE(F6652) = VALUE(RIGHT(Insights!$C$3, 4)), E6652, "")</f>
        <v>#VALUE!</v>
      </c>
      <c r="H6652" s="26" t="e">
        <f t="shared" si="1"/>
        <v>#VALUE!</v>
      </c>
      <c r="I6652" s="1" t="e">
        <f t="shared" si="2"/>
        <v>#VALUE!</v>
      </c>
    </row>
    <row r="6653" spans="1:9" ht="15.75" customHeight="1">
      <c r="A6653" s="26"/>
      <c r="B6653" s="2"/>
      <c r="C6653" s="26"/>
      <c r="D6653" s="26"/>
      <c r="F6653" s="85" t="str">
        <f t="shared" si="0"/>
        <v/>
      </c>
      <c r="G6653" s="1" t="e">
        <f>IF(VALUE(F6653) = VALUE(RIGHT(Insights!$C$3, 4)), E6653, "")</f>
        <v>#VALUE!</v>
      </c>
      <c r="H6653" s="26" t="e">
        <f t="shared" si="1"/>
        <v>#VALUE!</v>
      </c>
      <c r="I6653" s="1" t="e">
        <f t="shared" si="2"/>
        <v>#VALUE!</v>
      </c>
    </row>
    <row r="6654" spans="1:9" ht="15.75" customHeight="1">
      <c r="A6654" s="26"/>
      <c r="B6654" s="2"/>
      <c r="C6654" s="26"/>
      <c r="D6654" s="26"/>
      <c r="F6654" s="85" t="str">
        <f t="shared" si="0"/>
        <v/>
      </c>
      <c r="G6654" s="1" t="e">
        <f>IF(VALUE(F6654) = VALUE(RIGHT(Insights!$C$3, 4)), E6654, "")</f>
        <v>#VALUE!</v>
      </c>
      <c r="H6654" s="26" t="e">
        <f t="shared" si="1"/>
        <v>#VALUE!</v>
      </c>
      <c r="I6654" s="1" t="e">
        <f t="shared" si="2"/>
        <v>#VALUE!</v>
      </c>
    </row>
    <row r="6655" spans="1:9" ht="15.75" customHeight="1">
      <c r="A6655" s="26"/>
      <c r="B6655" s="2"/>
      <c r="C6655" s="26"/>
      <c r="D6655" s="26"/>
      <c r="F6655" s="85" t="str">
        <f t="shared" si="0"/>
        <v/>
      </c>
      <c r="G6655" s="1" t="e">
        <f>IF(VALUE(F6655) = VALUE(RIGHT(Insights!$C$3, 4)), E6655, "")</f>
        <v>#VALUE!</v>
      </c>
      <c r="H6655" s="26" t="e">
        <f t="shared" si="1"/>
        <v>#VALUE!</v>
      </c>
      <c r="I6655" s="1" t="e">
        <f t="shared" si="2"/>
        <v>#VALUE!</v>
      </c>
    </row>
    <row r="6656" spans="1:9" ht="15.75" customHeight="1">
      <c r="A6656" s="26"/>
      <c r="B6656" s="2"/>
      <c r="C6656" s="26"/>
      <c r="D6656" s="26"/>
      <c r="F6656" s="85" t="str">
        <f t="shared" si="0"/>
        <v/>
      </c>
      <c r="G6656" s="1" t="e">
        <f>IF(VALUE(F6656) = VALUE(RIGHT(Insights!$C$3, 4)), E6656, "")</f>
        <v>#VALUE!</v>
      </c>
      <c r="H6656" s="26" t="e">
        <f t="shared" si="1"/>
        <v>#VALUE!</v>
      </c>
      <c r="I6656" s="1" t="e">
        <f t="shared" si="2"/>
        <v>#VALUE!</v>
      </c>
    </row>
    <row r="6657" spans="1:9" ht="15.75" customHeight="1">
      <c r="A6657" s="26"/>
      <c r="B6657" s="2"/>
      <c r="C6657" s="26"/>
      <c r="D6657" s="26"/>
      <c r="F6657" s="85" t="str">
        <f t="shared" si="0"/>
        <v/>
      </c>
      <c r="G6657" s="1" t="e">
        <f>IF(VALUE(F6657) = VALUE(RIGHT(Insights!$C$3, 4)), E6657, "")</f>
        <v>#VALUE!</v>
      </c>
      <c r="H6657" s="26" t="e">
        <f t="shared" si="1"/>
        <v>#VALUE!</v>
      </c>
      <c r="I6657" s="1" t="e">
        <f t="shared" si="2"/>
        <v>#VALUE!</v>
      </c>
    </row>
    <row r="6658" spans="1:9" ht="15.75" customHeight="1">
      <c r="A6658" s="26"/>
      <c r="B6658" s="2"/>
      <c r="C6658" s="26"/>
      <c r="D6658" s="26"/>
      <c r="F6658" s="85" t="str">
        <f t="shared" si="0"/>
        <v/>
      </c>
      <c r="G6658" s="1" t="e">
        <f>IF(VALUE(F6658) = VALUE(RIGHT(Insights!$C$3, 4)), E6658, "")</f>
        <v>#VALUE!</v>
      </c>
      <c r="H6658" s="26" t="e">
        <f t="shared" si="1"/>
        <v>#VALUE!</v>
      </c>
      <c r="I6658" s="1" t="e">
        <f t="shared" si="2"/>
        <v>#VALUE!</v>
      </c>
    </row>
    <row r="6659" spans="1:9" ht="15.75" customHeight="1">
      <c r="A6659" s="26"/>
      <c r="B6659" s="2"/>
      <c r="C6659" s="26"/>
      <c r="D6659" s="26"/>
      <c r="F6659" s="85" t="str">
        <f t="shared" si="0"/>
        <v/>
      </c>
      <c r="G6659" s="1" t="e">
        <f>IF(VALUE(F6659) = VALUE(RIGHT(Insights!$C$3, 4)), E6659, "")</f>
        <v>#VALUE!</v>
      </c>
      <c r="H6659" s="26" t="e">
        <f t="shared" si="1"/>
        <v>#VALUE!</v>
      </c>
      <c r="I6659" s="1" t="e">
        <f t="shared" si="2"/>
        <v>#VALUE!</v>
      </c>
    </row>
    <row r="6660" spans="1:9" ht="15.75" customHeight="1">
      <c r="A6660" s="26"/>
      <c r="B6660" s="2"/>
      <c r="C6660" s="26"/>
      <c r="D6660" s="26"/>
      <c r="F6660" s="85" t="str">
        <f t="shared" si="0"/>
        <v/>
      </c>
      <c r="G6660" s="1" t="e">
        <f>IF(VALUE(F6660) = VALUE(RIGHT(Insights!$C$3, 4)), E6660, "")</f>
        <v>#VALUE!</v>
      </c>
      <c r="H6660" s="26" t="e">
        <f t="shared" si="1"/>
        <v>#VALUE!</v>
      </c>
      <c r="I6660" s="1" t="e">
        <f t="shared" si="2"/>
        <v>#VALUE!</v>
      </c>
    </row>
    <row r="6661" spans="1:9" ht="15.75" customHeight="1">
      <c r="A6661" s="26"/>
      <c r="B6661" s="2"/>
      <c r="C6661" s="26"/>
      <c r="D6661" s="26"/>
      <c r="F6661" s="85" t="str">
        <f t="shared" si="0"/>
        <v/>
      </c>
      <c r="G6661" s="1" t="e">
        <f>IF(VALUE(F6661) = VALUE(RIGHT(Insights!$C$3, 4)), E6661, "")</f>
        <v>#VALUE!</v>
      </c>
      <c r="H6661" s="26" t="e">
        <f t="shared" si="1"/>
        <v>#VALUE!</v>
      </c>
      <c r="I6661" s="1" t="e">
        <f t="shared" si="2"/>
        <v>#VALUE!</v>
      </c>
    </row>
    <row r="6662" spans="1:9" ht="15.75" customHeight="1">
      <c r="A6662" s="26"/>
      <c r="B6662" s="2"/>
      <c r="C6662" s="26"/>
      <c r="D6662" s="26"/>
      <c r="F6662" s="85" t="str">
        <f t="shared" si="0"/>
        <v/>
      </c>
      <c r="G6662" s="1" t="e">
        <f>IF(VALUE(F6662) = VALUE(RIGHT(Insights!$C$3, 4)), E6662, "")</f>
        <v>#VALUE!</v>
      </c>
      <c r="H6662" s="26" t="e">
        <f t="shared" si="1"/>
        <v>#VALUE!</v>
      </c>
      <c r="I6662" s="1" t="e">
        <f t="shared" si="2"/>
        <v>#VALUE!</v>
      </c>
    </row>
    <row r="6663" spans="1:9" ht="15.75" customHeight="1">
      <c r="A6663" s="26"/>
      <c r="B6663" s="2"/>
      <c r="C6663" s="26"/>
      <c r="D6663" s="26"/>
      <c r="F6663" s="85" t="str">
        <f t="shared" si="0"/>
        <v/>
      </c>
      <c r="G6663" s="1" t="e">
        <f>IF(VALUE(F6663) = VALUE(RIGHT(Insights!$C$3, 4)), E6663, "")</f>
        <v>#VALUE!</v>
      </c>
      <c r="H6663" s="26" t="e">
        <f t="shared" si="1"/>
        <v>#VALUE!</v>
      </c>
      <c r="I6663" s="1" t="e">
        <f t="shared" si="2"/>
        <v>#VALUE!</v>
      </c>
    </row>
    <row r="6664" spans="1:9" ht="15.75" customHeight="1">
      <c r="A6664" s="26"/>
      <c r="B6664" s="2"/>
      <c r="C6664" s="26"/>
      <c r="D6664" s="26"/>
      <c r="F6664" s="85" t="str">
        <f t="shared" si="0"/>
        <v/>
      </c>
      <c r="G6664" s="1" t="e">
        <f>IF(VALUE(F6664) = VALUE(RIGHT(Insights!$C$3, 4)), E6664, "")</f>
        <v>#VALUE!</v>
      </c>
      <c r="H6664" s="26" t="e">
        <f t="shared" si="1"/>
        <v>#VALUE!</v>
      </c>
      <c r="I6664" s="1" t="e">
        <f t="shared" si="2"/>
        <v>#VALUE!</v>
      </c>
    </row>
    <row r="6665" spans="1:9" ht="15.75" customHeight="1">
      <c r="A6665" s="26"/>
      <c r="B6665" s="2"/>
      <c r="C6665" s="26"/>
      <c r="D6665" s="26"/>
      <c r="F6665" s="85" t="str">
        <f t="shared" si="0"/>
        <v/>
      </c>
      <c r="G6665" s="1" t="e">
        <f>IF(VALUE(F6665) = VALUE(RIGHT(Insights!$C$3, 4)), E6665, "")</f>
        <v>#VALUE!</v>
      </c>
      <c r="H6665" s="26" t="e">
        <f t="shared" si="1"/>
        <v>#VALUE!</v>
      </c>
      <c r="I6665" s="1" t="e">
        <f t="shared" si="2"/>
        <v>#VALUE!</v>
      </c>
    </row>
    <row r="6666" spans="1:9" ht="15.75" customHeight="1">
      <c r="A6666" s="26"/>
      <c r="B6666" s="2"/>
      <c r="C6666" s="26"/>
      <c r="D6666" s="26"/>
      <c r="F6666" s="85" t="str">
        <f t="shared" si="0"/>
        <v/>
      </c>
      <c r="G6666" s="1" t="e">
        <f>IF(VALUE(F6666) = VALUE(RIGHT(Insights!$C$3, 4)), E6666, "")</f>
        <v>#VALUE!</v>
      </c>
      <c r="H6666" s="26" t="e">
        <f t="shared" si="1"/>
        <v>#VALUE!</v>
      </c>
      <c r="I6666" s="1" t="e">
        <f t="shared" si="2"/>
        <v>#VALUE!</v>
      </c>
    </row>
    <row r="6667" spans="1:9" ht="15.75" customHeight="1">
      <c r="A6667" s="26"/>
      <c r="B6667" s="2"/>
      <c r="C6667" s="26"/>
      <c r="D6667" s="26"/>
      <c r="F6667" s="85" t="str">
        <f t="shared" si="0"/>
        <v/>
      </c>
      <c r="G6667" s="1" t="e">
        <f>IF(VALUE(F6667) = VALUE(RIGHT(Insights!$C$3, 4)), E6667, "")</f>
        <v>#VALUE!</v>
      </c>
      <c r="H6667" s="26" t="e">
        <f t="shared" si="1"/>
        <v>#VALUE!</v>
      </c>
      <c r="I6667" s="1" t="e">
        <f t="shared" si="2"/>
        <v>#VALUE!</v>
      </c>
    </row>
    <row r="6668" spans="1:9" ht="15.75" customHeight="1">
      <c r="A6668" s="26"/>
      <c r="B6668" s="2"/>
      <c r="C6668" s="26"/>
      <c r="D6668" s="26"/>
      <c r="F6668" s="85" t="str">
        <f t="shared" si="0"/>
        <v/>
      </c>
      <c r="G6668" s="1" t="e">
        <f>IF(VALUE(F6668) = VALUE(RIGHT(Insights!$C$3, 4)), E6668, "")</f>
        <v>#VALUE!</v>
      </c>
      <c r="H6668" s="26" t="e">
        <f t="shared" si="1"/>
        <v>#VALUE!</v>
      </c>
      <c r="I6668" s="1" t="e">
        <f t="shared" si="2"/>
        <v>#VALUE!</v>
      </c>
    </row>
    <row r="6669" spans="1:9" ht="15.75" customHeight="1">
      <c r="A6669" s="26"/>
      <c r="B6669" s="2"/>
      <c r="C6669" s="26"/>
      <c r="D6669" s="26"/>
      <c r="F6669" s="85" t="str">
        <f t="shared" si="0"/>
        <v/>
      </c>
      <c r="G6669" s="1" t="e">
        <f>IF(VALUE(F6669) = VALUE(RIGHT(Insights!$C$3, 4)), E6669, "")</f>
        <v>#VALUE!</v>
      </c>
      <c r="H6669" s="26" t="e">
        <f t="shared" si="1"/>
        <v>#VALUE!</v>
      </c>
      <c r="I6669" s="1" t="e">
        <f t="shared" si="2"/>
        <v>#VALUE!</v>
      </c>
    </row>
    <row r="6670" spans="1:9" ht="15.75" customHeight="1">
      <c r="A6670" s="26"/>
      <c r="B6670" s="2"/>
      <c r="C6670" s="26"/>
      <c r="D6670" s="26"/>
      <c r="F6670" s="85" t="str">
        <f t="shared" si="0"/>
        <v/>
      </c>
      <c r="G6670" s="1" t="e">
        <f>IF(VALUE(F6670) = VALUE(RIGHT(Insights!$C$3, 4)), E6670, "")</f>
        <v>#VALUE!</v>
      </c>
      <c r="H6670" s="26" t="e">
        <f t="shared" si="1"/>
        <v>#VALUE!</v>
      </c>
      <c r="I6670" s="1" t="e">
        <f t="shared" si="2"/>
        <v>#VALUE!</v>
      </c>
    </row>
    <row r="6671" spans="1:9" ht="15.75" customHeight="1">
      <c r="A6671" s="26"/>
      <c r="B6671" s="2"/>
      <c r="C6671" s="26"/>
      <c r="D6671" s="26"/>
      <c r="F6671" s="85" t="str">
        <f t="shared" si="0"/>
        <v/>
      </c>
      <c r="G6671" s="1" t="e">
        <f>IF(VALUE(F6671) = VALUE(RIGHT(Insights!$C$3, 4)), E6671, "")</f>
        <v>#VALUE!</v>
      </c>
      <c r="H6671" s="26" t="e">
        <f t="shared" si="1"/>
        <v>#VALUE!</v>
      </c>
      <c r="I6671" s="1" t="e">
        <f t="shared" si="2"/>
        <v>#VALUE!</v>
      </c>
    </row>
    <row r="6672" spans="1:9" ht="15.75" customHeight="1">
      <c r="A6672" s="26"/>
      <c r="B6672" s="2"/>
      <c r="C6672" s="26"/>
      <c r="D6672" s="26"/>
      <c r="F6672" s="85" t="str">
        <f t="shared" si="0"/>
        <v/>
      </c>
      <c r="G6672" s="1" t="e">
        <f>IF(VALUE(F6672) = VALUE(RIGHT(Insights!$C$3, 4)), E6672, "")</f>
        <v>#VALUE!</v>
      </c>
      <c r="H6672" s="26" t="e">
        <f t="shared" si="1"/>
        <v>#VALUE!</v>
      </c>
      <c r="I6672" s="1" t="e">
        <f t="shared" si="2"/>
        <v>#VALUE!</v>
      </c>
    </row>
    <row r="6673" spans="1:9" ht="15.75" customHeight="1">
      <c r="A6673" s="26"/>
      <c r="B6673" s="2"/>
      <c r="C6673" s="26"/>
      <c r="D6673" s="26"/>
      <c r="F6673" s="85" t="str">
        <f t="shared" si="0"/>
        <v/>
      </c>
      <c r="G6673" s="1" t="e">
        <f>IF(VALUE(F6673) = VALUE(RIGHT(Insights!$C$3, 4)), E6673, "")</f>
        <v>#VALUE!</v>
      </c>
      <c r="H6673" s="26" t="e">
        <f t="shared" si="1"/>
        <v>#VALUE!</v>
      </c>
      <c r="I6673" s="1" t="e">
        <f t="shared" si="2"/>
        <v>#VALUE!</v>
      </c>
    </row>
    <row r="6674" spans="1:9" ht="15.75" customHeight="1">
      <c r="A6674" s="26"/>
      <c r="B6674" s="2"/>
      <c r="C6674" s="26"/>
      <c r="D6674" s="26"/>
      <c r="F6674" s="85" t="str">
        <f t="shared" si="0"/>
        <v/>
      </c>
      <c r="G6674" s="1" t="e">
        <f>IF(VALUE(F6674) = VALUE(RIGHT(Insights!$C$3, 4)), E6674, "")</f>
        <v>#VALUE!</v>
      </c>
      <c r="H6674" s="26" t="e">
        <f t="shared" si="1"/>
        <v>#VALUE!</v>
      </c>
      <c r="I6674" s="1" t="e">
        <f t="shared" si="2"/>
        <v>#VALUE!</v>
      </c>
    </row>
    <row r="6675" spans="1:9" ht="15.75" customHeight="1">
      <c r="A6675" s="26"/>
      <c r="B6675" s="2"/>
      <c r="C6675" s="26"/>
      <c r="D6675" s="26"/>
      <c r="F6675" s="85" t="str">
        <f t="shared" si="0"/>
        <v/>
      </c>
      <c r="G6675" s="1" t="e">
        <f>IF(VALUE(F6675) = VALUE(RIGHT(Insights!$C$3, 4)), E6675, "")</f>
        <v>#VALUE!</v>
      </c>
      <c r="H6675" s="26" t="e">
        <f t="shared" si="1"/>
        <v>#VALUE!</v>
      </c>
      <c r="I6675" s="1" t="e">
        <f t="shared" si="2"/>
        <v>#VALUE!</v>
      </c>
    </row>
    <row r="6676" spans="1:9" ht="15.75" customHeight="1">
      <c r="A6676" s="26"/>
      <c r="B6676" s="2"/>
      <c r="C6676" s="26"/>
      <c r="D6676" s="26"/>
      <c r="F6676" s="85" t="str">
        <f t="shared" si="0"/>
        <v/>
      </c>
      <c r="G6676" s="1" t="e">
        <f>IF(VALUE(F6676) = VALUE(RIGHT(Insights!$C$3, 4)), E6676, "")</f>
        <v>#VALUE!</v>
      </c>
      <c r="H6676" s="26" t="e">
        <f t="shared" si="1"/>
        <v>#VALUE!</v>
      </c>
      <c r="I6676" s="1" t="e">
        <f t="shared" si="2"/>
        <v>#VALUE!</v>
      </c>
    </row>
    <row r="6677" spans="1:9" ht="15.75" customHeight="1">
      <c r="A6677" s="26"/>
      <c r="B6677" s="2"/>
      <c r="C6677" s="26"/>
      <c r="D6677" s="26"/>
      <c r="F6677" s="85" t="str">
        <f t="shared" si="0"/>
        <v/>
      </c>
      <c r="G6677" s="1" t="e">
        <f>IF(VALUE(F6677) = VALUE(RIGHT(Insights!$C$3, 4)), E6677, "")</f>
        <v>#VALUE!</v>
      </c>
      <c r="H6677" s="26" t="e">
        <f t="shared" si="1"/>
        <v>#VALUE!</v>
      </c>
      <c r="I6677" s="1" t="e">
        <f t="shared" si="2"/>
        <v>#VALUE!</v>
      </c>
    </row>
    <row r="6678" spans="1:9" ht="15.75" customHeight="1">
      <c r="A6678" s="26"/>
      <c r="B6678" s="2"/>
      <c r="C6678" s="26"/>
      <c r="D6678" s="26"/>
      <c r="F6678" s="85" t="str">
        <f t="shared" si="0"/>
        <v/>
      </c>
      <c r="G6678" s="1" t="e">
        <f>IF(VALUE(F6678) = VALUE(RIGHT(Insights!$C$3, 4)), E6678, "")</f>
        <v>#VALUE!</v>
      </c>
      <c r="H6678" s="26" t="e">
        <f t="shared" si="1"/>
        <v>#VALUE!</v>
      </c>
      <c r="I6678" s="1" t="e">
        <f t="shared" si="2"/>
        <v>#VALUE!</v>
      </c>
    </row>
    <row r="6679" spans="1:9" ht="15.75" customHeight="1">
      <c r="A6679" s="26"/>
      <c r="B6679" s="2"/>
      <c r="C6679" s="26"/>
      <c r="D6679" s="26"/>
      <c r="F6679" s="85" t="str">
        <f t="shared" si="0"/>
        <v/>
      </c>
      <c r="G6679" s="1" t="e">
        <f>IF(VALUE(F6679) = VALUE(RIGHT(Insights!$C$3, 4)), E6679, "")</f>
        <v>#VALUE!</v>
      </c>
      <c r="H6679" s="26" t="e">
        <f t="shared" si="1"/>
        <v>#VALUE!</v>
      </c>
      <c r="I6679" s="1" t="e">
        <f t="shared" si="2"/>
        <v>#VALUE!</v>
      </c>
    </row>
    <row r="6680" spans="1:9" ht="15.75" customHeight="1">
      <c r="A6680" s="26"/>
      <c r="B6680" s="2"/>
      <c r="C6680" s="26"/>
      <c r="D6680" s="26"/>
      <c r="F6680" s="85" t="str">
        <f t="shared" si="0"/>
        <v/>
      </c>
      <c r="G6680" s="1" t="e">
        <f>IF(VALUE(F6680) = VALUE(RIGHT(Insights!$C$3, 4)), E6680, "")</f>
        <v>#VALUE!</v>
      </c>
      <c r="H6680" s="26" t="e">
        <f t="shared" si="1"/>
        <v>#VALUE!</v>
      </c>
      <c r="I6680" s="1" t="e">
        <f t="shared" si="2"/>
        <v>#VALUE!</v>
      </c>
    </row>
    <row r="6681" spans="1:9" ht="15.75" customHeight="1">
      <c r="A6681" s="26"/>
      <c r="B6681" s="2"/>
      <c r="C6681" s="26"/>
      <c r="D6681" s="26"/>
      <c r="F6681" s="85" t="str">
        <f t="shared" si="0"/>
        <v/>
      </c>
      <c r="G6681" s="1" t="e">
        <f>IF(VALUE(F6681) = VALUE(RIGHT(Insights!$C$3, 4)), E6681, "")</f>
        <v>#VALUE!</v>
      </c>
      <c r="H6681" s="26" t="e">
        <f t="shared" si="1"/>
        <v>#VALUE!</v>
      </c>
      <c r="I6681" s="1" t="e">
        <f t="shared" si="2"/>
        <v>#VALUE!</v>
      </c>
    </row>
    <row r="6682" spans="1:9" ht="15.75" customHeight="1">
      <c r="A6682" s="26"/>
      <c r="B6682" s="2"/>
      <c r="C6682" s="26"/>
      <c r="D6682" s="26"/>
      <c r="F6682" s="85" t="str">
        <f t="shared" si="0"/>
        <v/>
      </c>
      <c r="G6682" s="1" t="e">
        <f>IF(VALUE(F6682) = VALUE(RIGHT(Insights!$C$3, 4)), E6682, "")</f>
        <v>#VALUE!</v>
      </c>
      <c r="H6682" s="26" t="e">
        <f t="shared" si="1"/>
        <v>#VALUE!</v>
      </c>
      <c r="I6682" s="1" t="e">
        <f t="shared" si="2"/>
        <v>#VALUE!</v>
      </c>
    </row>
    <row r="6683" spans="1:9" ht="15.75" customHeight="1">
      <c r="A6683" s="26"/>
      <c r="B6683" s="2"/>
      <c r="C6683" s="26"/>
      <c r="D6683" s="26"/>
      <c r="F6683" s="85" t="str">
        <f t="shared" si="0"/>
        <v/>
      </c>
      <c r="G6683" s="1" t="e">
        <f>IF(VALUE(F6683) = VALUE(RIGHT(Insights!$C$3, 4)), E6683, "")</f>
        <v>#VALUE!</v>
      </c>
      <c r="H6683" s="26" t="e">
        <f t="shared" si="1"/>
        <v>#VALUE!</v>
      </c>
      <c r="I6683" s="1" t="e">
        <f t="shared" si="2"/>
        <v>#VALUE!</v>
      </c>
    </row>
    <row r="6684" spans="1:9" ht="15.75" customHeight="1">
      <c r="A6684" s="26"/>
      <c r="B6684" s="2"/>
      <c r="C6684" s="26"/>
      <c r="D6684" s="26"/>
      <c r="F6684" s="85" t="str">
        <f t="shared" si="0"/>
        <v/>
      </c>
      <c r="G6684" s="1" t="e">
        <f>IF(VALUE(F6684) = VALUE(RIGHT(Insights!$C$3, 4)), E6684, "")</f>
        <v>#VALUE!</v>
      </c>
      <c r="H6684" s="26" t="e">
        <f t="shared" si="1"/>
        <v>#VALUE!</v>
      </c>
      <c r="I6684" s="1" t="e">
        <f t="shared" si="2"/>
        <v>#VALUE!</v>
      </c>
    </row>
    <row r="6685" spans="1:9" ht="15.75" customHeight="1">
      <c r="A6685" s="26"/>
      <c r="B6685" s="2"/>
      <c r="C6685" s="26"/>
      <c r="D6685" s="26"/>
      <c r="F6685" s="85" t="str">
        <f t="shared" si="0"/>
        <v/>
      </c>
      <c r="G6685" s="1" t="e">
        <f>IF(VALUE(F6685) = VALUE(RIGHT(Insights!$C$3, 4)), E6685, "")</f>
        <v>#VALUE!</v>
      </c>
      <c r="H6685" s="26" t="e">
        <f t="shared" si="1"/>
        <v>#VALUE!</v>
      </c>
      <c r="I6685" s="1" t="e">
        <f t="shared" si="2"/>
        <v>#VALUE!</v>
      </c>
    </row>
    <row r="6686" spans="1:9" ht="15.75" customHeight="1">
      <c r="A6686" s="26"/>
      <c r="B6686" s="2"/>
      <c r="C6686" s="26"/>
      <c r="D6686" s="26"/>
      <c r="F6686" s="85" t="str">
        <f t="shared" si="0"/>
        <v/>
      </c>
      <c r="G6686" s="1" t="e">
        <f>IF(VALUE(F6686) = VALUE(RIGHT(Insights!$C$3, 4)), E6686, "")</f>
        <v>#VALUE!</v>
      </c>
      <c r="H6686" s="26" t="e">
        <f t="shared" si="1"/>
        <v>#VALUE!</v>
      </c>
      <c r="I6686" s="1" t="e">
        <f t="shared" si="2"/>
        <v>#VALUE!</v>
      </c>
    </row>
    <row r="6687" spans="1:9" ht="15.75" customHeight="1">
      <c r="A6687" s="26"/>
      <c r="B6687" s="2"/>
      <c r="C6687" s="26"/>
      <c r="D6687" s="26"/>
      <c r="F6687" s="85" t="str">
        <f t="shared" si="0"/>
        <v/>
      </c>
      <c r="G6687" s="1" t="e">
        <f>IF(VALUE(F6687) = VALUE(RIGHT(Insights!$C$3, 4)), E6687, "")</f>
        <v>#VALUE!</v>
      </c>
      <c r="H6687" s="26" t="e">
        <f t="shared" si="1"/>
        <v>#VALUE!</v>
      </c>
      <c r="I6687" s="1" t="e">
        <f t="shared" si="2"/>
        <v>#VALUE!</v>
      </c>
    </row>
    <row r="6688" spans="1:9" ht="15.75" customHeight="1">
      <c r="A6688" s="26"/>
      <c r="B6688" s="2"/>
      <c r="C6688" s="26"/>
      <c r="D6688" s="26"/>
      <c r="F6688" s="85" t="str">
        <f t="shared" si="0"/>
        <v/>
      </c>
      <c r="G6688" s="1" t="e">
        <f>IF(VALUE(F6688) = VALUE(RIGHT(Insights!$C$3, 4)), E6688, "")</f>
        <v>#VALUE!</v>
      </c>
      <c r="H6688" s="26" t="e">
        <f t="shared" si="1"/>
        <v>#VALUE!</v>
      </c>
      <c r="I6688" s="1" t="e">
        <f t="shared" si="2"/>
        <v>#VALUE!</v>
      </c>
    </row>
    <row r="6689" spans="1:9" ht="15.75" customHeight="1">
      <c r="A6689" s="26"/>
      <c r="B6689" s="2"/>
      <c r="C6689" s="26"/>
      <c r="D6689" s="26"/>
      <c r="F6689" s="85" t="str">
        <f t="shared" si="0"/>
        <v/>
      </c>
      <c r="G6689" s="1" t="e">
        <f>IF(VALUE(F6689) = VALUE(RIGHT(Insights!$C$3, 4)), E6689, "")</f>
        <v>#VALUE!</v>
      </c>
      <c r="H6689" s="26" t="e">
        <f t="shared" si="1"/>
        <v>#VALUE!</v>
      </c>
      <c r="I6689" s="1" t="e">
        <f t="shared" si="2"/>
        <v>#VALUE!</v>
      </c>
    </row>
    <row r="6690" spans="1:9" ht="15.75" customHeight="1">
      <c r="A6690" s="26"/>
      <c r="B6690" s="2"/>
      <c r="C6690" s="26"/>
      <c r="D6690" s="26"/>
      <c r="F6690" s="85" t="str">
        <f t="shared" si="0"/>
        <v/>
      </c>
      <c r="G6690" s="1" t="e">
        <f>IF(VALUE(F6690) = VALUE(RIGHT(Insights!$C$3, 4)), E6690, "")</f>
        <v>#VALUE!</v>
      </c>
      <c r="H6690" s="26" t="e">
        <f t="shared" si="1"/>
        <v>#VALUE!</v>
      </c>
      <c r="I6690" s="1" t="e">
        <f t="shared" si="2"/>
        <v>#VALUE!</v>
      </c>
    </row>
    <row r="6691" spans="1:9" ht="15.75" customHeight="1">
      <c r="A6691" s="26"/>
      <c r="B6691" s="2"/>
      <c r="C6691" s="26"/>
      <c r="D6691" s="26"/>
      <c r="F6691" s="85" t="str">
        <f t="shared" si="0"/>
        <v/>
      </c>
      <c r="G6691" s="1" t="e">
        <f>IF(VALUE(F6691) = VALUE(RIGHT(Insights!$C$3, 4)), E6691, "")</f>
        <v>#VALUE!</v>
      </c>
      <c r="H6691" s="26" t="e">
        <f t="shared" si="1"/>
        <v>#VALUE!</v>
      </c>
      <c r="I6691" s="1" t="e">
        <f t="shared" si="2"/>
        <v>#VALUE!</v>
      </c>
    </row>
    <row r="6692" spans="1:9" ht="15.75" customHeight="1">
      <c r="A6692" s="26"/>
      <c r="B6692" s="2"/>
      <c r="C6692" s="26"/>
      <c r="D6692" s="26"/>
      <c r="F6692" s="85" t="str">
        <f t="shared" si="0"/>
        <v/>
      </c>
      <c r="G6692" s="1" t="e">
        <f>IF(VALUE(F6692) = VALUE(RIGHT(Insights!$C$3, 4)), E6692, "")</f>
        <v>#VALUE!</v>
      </c>
      <c r="H6692" s="26" t="e">
        <f t="shared" si="1"/>
        <v>#VALUE!</v>
      </c>
      <c r="I6692" s="1" t="e">
        <f t="shared" si="2"/>
        <v>#VALUE!</v>
      </c>
    </row>
    <row r="6693" spans="1:9" ht="15.75" customHeight="1">
      <c r="A6693" s="26"/>
      <c r="B6693" s="2"/>
      <c r="C6693" s="26"/>
      <c r="D6693" s="26"/>
      <c r="F6693" s="85" t="str">
        <f t="shared" si="0"/>
        <v/>
      </c>
      <c r="G6693" s="1" t="e">
        <f>IF(VALUE(F6693) = VALUE(RIGHT(Insights!$C$3, 4)), E6693, "")</f>
        <v>#VALUE!</v>
      </c>
      <c r="H6693" s="26" t="e">
        <f t="shared" si="1"/>
        <v>#VALUE!</v>
      </c>
      <c r="I6693" s="1" t="e">
        <f t="shared" si="2"/>
        <v>#VALUE!</v>
      </c>
    </row>
    <row r="6694" spans="1:9" ht="15.75" customHeight="1">
      <c r="A6694" s="26"/>
      <c r="B6694" s="2"/>
      <c r="C6694" s="26"/>
      <c r="D6694" s="26"/>
      <c r="F6694" s="85" t="str">
        <f t="shared" si="0"/>
        <v/>
      </c>
      <c r="G6694" s="1" t="e">
        <f>IF(VALUE(F6694) = VALUE(RIGHT(Insights!$C$3, 4)), E6694, "")</f>
        <v>#VALUE!</v>
      </c>
      <c r="H6694" s="26" t="e">
        <f t="shared" si="1"/>
        <v>#VALUE!</v>
      </c>
      <c r="I6694" s="1" t="e">
        <f t="shared" si="2"/>
        <v>#VALUE!</v>
      </c>
    </row>
    <row r="6695" spans="1:9" ht="15.75" customHeight="1">
      <c r="A6695" s="26"/>
      <c r="B6695" s="2"/>
      <c r="C6695" s="26"/>
      <c r="D6695" s="26"/>
      <c r="F6695" s="85" t="str">
        <f t="shared" si="0"/>
        <v/>
      </c>
      <c r="G6695" s="1" t="e">
        <f>IF(VALUE(F6695) = VALUE(RIGHT(Insights!$C$3, 4)), E6695, "")</f>
        <v>#VALUE!</v>
      </c>
      <c r="H6695" s="26" t="e">
        <f t="shared" si="1"/>
        <v>#VALUE!</v>
      </c>
      <c r="I6695" s="1" t="e">
        <f t="shared" si="2"/>
        <v>#VALUE!</v>
      </c>
    </row>
    <row r="6696" spans="1:9" ht="15.75" customHeight="1">
      <c r="A6696" s="26"/>
      <c r="B6696" s="2"/>
      <c r="C6696" s="26"/>
      <c r="D6696" s="26"/>
      <c r="F6696" s="85" t="str">
        <f t="shared" si="0"/>
        <v/>
      </c>
      <c r="G6696" s="1" t="e">
        <f>IF(VALUE(F6696) = VALUE(RIGHT(Insights!$C$3, 4)), E6696, "")</f>
        <v>#VALUE!</v>
      </c>
      <c r="H6696" s="26" t="e">
        <f t="shared" si="1"/>
        <v>#VALUE!</v>
      </c>
      <c r="I6696" s="1" t="e">
        <f t="shared" si="2"/>
        <v>#VALUE!</v>
      </c>
    </row>
    <row r="6697" spans="1:9" ht="15.75" customHeight="1">
      <c r="A6697" s="26"/>
      <c r="B6697" s="2"/>
      <c r="C6697" s="26"/>
      <c r="D6697" s="26"/>
      <c r="F6697" s="85" t="str">
        <f t="shared" si="0"/>
        <v/>
      </c>
      <c r="G6697" s="1" t="e">
        <f>IF(VALUE(F6697) = VALUE(RIGHT(Insights!$C$3, 4)), E6697, "")</f>
        <v>#VALUE!</v>
      </c>
      <c r="H6697" s="26" t="e">
        <f t="shared" si="1"/>
        <v>#VALUE!</v>
      </c>
      <c r="I6697" s="1" t="e">
        <f t="shared" si="2"/>
        <v>#VALUE!</v>
      </c>
    </row>
    <row r="6698" spans="1:9" ht="15.75" customHeight="1">
      <c r="A6698" s="26"/>
      <c r="B6698" s="2"/>
      <c r="C6698" s="26"/>
      <c r="D6698" s="26"/>
      <c r="F6698" s="85" t="str">
        <f t="shared" si="0"/>
        <v/>
      </c>
      <c r="G6698" s="1" t="e">
        <f>IF(VALUE(F6698) = VALUE(RIGHT(Insights!$C$3, 4)), E6698, "")</f>
        <v>#VALUE!</v>
      </c>
      <c r="H6698" s="26" t="e">
        <f t="shared" si="1"/>
        <v>#VALUE!</v>
      </c>
      <c r="I6698" s="1" t="e">
        <f t="shared" si="2"/>
        <v>#VALUE!</v>
      </c>
    </row>
    <row r="6699" spans="1:9" ht="15.75" customHeight="1">
      <c r="A6699" s="26"/>
      <c r="B6699" s="2"/>
      <c r="C6699" s="26"/>
      <c r="D6699" s="26"/>
      <c r="F6699" s="85" t="str">
        <f t="shared" si="0"/>
        <v/>
      </c>
      <c r="G6699" s="1" t="e">
        <f>IF(VALUE(F6699) = VALUE(RIGHT(Insights!$C$3, 4)), E6699, "")</f>
        <v>#VALUE!</v>
      </c>
      <c r="H6699" s="26" t="e">
        <f t="shared" si="1"/>
        <v>#VALUE!</v>
      </c>
      <c r="I6699" s="1" t="e">
        <f t="shared" si="2"/>
        <v>#VALUE!</v>
      </c>
    </row>
    <row r="6700" spans="1:9" ht="15.75" customHeight="1">
      <c r="A6700" s="26"/>
      <c r="B6700" s="2"/>
      <c r="C6700" s="26"/>
      <c r="D6700" s="26"/>
      <c r="F6700" s="85" t="str">
        <f t="shared" si="0"/>
        <v/>
      </c>
      <c r="G6700" s="1" t="e">
        <f>IF(VALUE(F6700) = VALUE(RIGHT(Insights!$C$3, 4)), E6700, "")</f>
        <v>#VALUE!</v>
      </c>
      <c r="H6700" s="26" t="e">
        <f t="shared" si="1"/>
        <v>#VALUE!</v>
      </c>
      <c r="I6700" s="1" t="e">
        <f t="shared" si="2"/>
        <v>#VALUE!</v>
      </c>
    </row>
    <row r="6701" spans="1:9" ht="15.75" customHeight="1">
      <c r="A6701" s="26"/>
      <c r="B6701" s="2"/>
      <c r="C6701" s="26"/>
      <c r="D6701" s="26"/>
      <c r="F6701" s="85" t="str">
        <f t="shared" si="0"/>
        <v/>
      </c>
      <c r="G6701" s="1" t="e">
        <f>IF(VALUE(F6701) = VALUE(RIGHT(Insights!$C$3, 4)), E6701, "")</f>
        <v>#VALUE!</v>
      </c>
      <c r="H6701" s="26" t="e">
        <f t="shared" si="1"/>
        <v>#VALUE!</v>
      </c>
      <c r="I6701" s="1" t="e">
        <f t="shared" si="2"/>
        <v>#VALUE!</v>
      </c>
    </row>
    <row r="6702" spans="1:9" ht="15.75" customHeight="1">
      <c r="A6702" s="26"/>
      <c r="B6702" s="2"/>
      <c r="C6702" s="26"/>
      <c r="D6702" s="26"/>
      <c r="F6702" s="85" t="str">
        <f t="shared" si="0"/>
        <v/>
      </c>
      <c r="G6702" s="1" t="e">
        <f>IF(VALUE(F6702) = VALUE(RIGHT(Insights!$C$3, 4)), E6702, "")</f>
        <v>#VALUE!</v>
      </c>
      <c r="H6702" s="26" t="e">
        <f t="shared" si="1"/>
        <v>#VALUE!</v>
      </c>
      <c r="I6702" s="1" t="e">
        <f t="shared" si="2"/>
        <v>#VALUE!</v>
      </c>
    </row>
    <row r="6703" spans="1:9" ht="15.75" customHeight="1">
      <c r="A6703" s="26"/>
      <c r="B6703" s="2"/>
      <c r="C6703" s="26"/>
      <c r="D6703" s="26"/>
      <c r="F6703" s="85" t="str">
        <f t="shared" si="0"/>
        <v/>
      </c>
      <c r="G6703" s="1" t="e">
        <f>IF(VALUE(F6703) = VALUE(RIGHT(Insights!$C$3, 4)), E6703, "")</f>
        <v>#VALUE!</v>
      </c>
      <c r="H6703" s="26" t="e">
        <f t="shared" si="1"/>
        <v>#VALUE!</v>
      </c>
      <c r="I6703" s="1" t="e">
        <f t="shared" si="2"/>
        <v>#VALUE!</v>
      </c>
    </row>
    <row r="6704" spans="1:9" ht="15.75" customHeight="1">
      <c r="A6704" s="26"/>
      <c r="B6704" s="2"/>
      <c r="C6704" s="26"/>
      <c r="D6704" s="26"/>
      <c r="F6704" s="85" t="str">
        <f t="shared" si="0"/>
        <v/>
      </c>
      <c r="G6704" s="1" t="e">
        <f>IF(VALUE(F6704) = VALUE(RIGHT(Insights!$C$3, 4)), E6704, "")</f>
        <v>#VALUE!</v>
      </c>
      <c r="H6704" s="26" t="e">
        <f t="shared" si="1"/>
        <v>#VALUE!</v>
      </c>
      <c r="I6704" s="1" t="e">
        <f t="shared" si="2"/>
        <v>#VALUE!</v>
      </c>
    </row>
    <row r="6705" spans="1:9" ht="15.75" customHeight="1">
      <c r="A6705" s="26"/>
      <c r="B6705" s="2"/>
      <c r="C6705" s="26"/>
      <c r="D6705" s="26"/>
      <c r="F6705" s="85" t="str">
        <f t="shared" si="0"/>
        <v/>
      </c>
      <c r="G6705" s="1" t="e">
        <f>IF(VALUE(F6705) = VALUE(RIGHT(Insights!$C$3, 4)), E6705, "")</f>
        <v>#VALUE!</v>
      </c>
      <c r="H6705" s="26" t="e">
        <f t="shared" si="1"/>
        <v>#VALUE!</v>
      </c>
      <c r="I6705" s="1" t="e">
        <f t="shared" si="2"/>
        <v>#VALUE!</v>
      </c>
    </row>
    <row r="6706" spans="1:9" ht="15.75" customHeight="1">
      <c r="A6706" s="26"/>
      <c r="B6706" s="2"/>
      <c r="C6706" s="26"/>
      <c r="D6706" s="26"/>
      <c r="F6706" s="85" t="str">
        <f t="shared" si="0"/>
        <v/>
      </c>
      <c r="G6706" s="1" t="e">
        <f>IF(VALUE(F6706) = VALUE(RIGHT(Insights!$C$3, 4)), E6706, "")</f>
        <v>#VALUE!</v>
      </c>
      <c r="H6706" s="26" t="e">
        <f t="shared" si="1"/>
        <v>#VALUE!</v>
      </c>
      <c r="I6706" s="1" t="e">
        <f t="shared" si="2"/>
        <v>#VALUE!</v>
      </c>
    </row>
    <row r="6707" spans="1:9" ht="15.75" customHeight="1">
      <c r="A6707" s="26"/>
      <c r="B6707" s="2"/>
      <c r="C6707" s="26"/>
      <c r="D6707" s="26"/>
      <c r="F6707" s="85" t="str">
        <f t="shared" si="0"/>
        <v/>
      </c>
      <c r="G6707" s="1" t="e">
        <f>IF(VALUE(F6707) = VALUE(RIGHT(Insights!$C$3, 4)), E6707, "")</f>
        <v>#VALUE!</v>
      </c>
      <c r="H6707" s="26" t="e">
        <f t="shared" si="1"/>
        <v>#VALUE!</v>
      </c>
      <c r="I6707" s="1" t="e">
        <f t="shared" si="2"/>
        <v>#VALUE!</v>
      </c>
    </row>
    <row r="6708" spans="1:9" ht="15.75" customHeight="1">
      <c r="A6708" s="26"/>
      <c r="B6708" s="2"/>
      <c r="C6708" s="26"/>
      <c r="D6708" s="26"/>
      <c r="F6708" s="85" t="str">
        <f t="shared" si="0"/>
        <v/>
      </c>
      <c r="G6708" s="1" t="e">
        <f>IF(VALUE(F6708) = VALUE(RIGHT(Insights!$C$3, 4)), E6708, "")</f>
        <v>#VALUE!</v>
      </c>
      <c r="H6708" s="26" t="e">
        <f t="shared" si="1"/>
        <v>#VALUE!</v>
      </c>
      <c r="I6708" s="1" t="e">
        <f t="shared" si="2"/>
        <v>#VALUE!</v>
      </c>
    </row>
    <row r="6709" spans="1:9" ht="15.75" customHeight="1">
      <c r="A6709" s="26"/>
      <c r="B6709" s="2"/>
      <c r="C6709" s="26"/>
      <c r="D6709" s="26"/>
      <c r="F6709" s="85" t="str">
        <f t="shared" si="0"/>
        <v/>
      </c>
      <c r="G6709" s="1" t="e">
        <f>IF(VALUE(F6709) = VALUE(RIGHT(Insights!$C$3, 4)), E6709, "")</f>
        <v>#VALUE!</v>
      </c>
      <c r="H6709" s="26" t="e">
        <f t="shared" si="1"/>
        <v>#VALUE!</v>
      </c>
      <c r="I6709" s="1" t="e">
        <f t="shared" si="2"/>
        <v>#VALUE!</v>
      </c>
    </row>
    <row r="6710" spans="1:9" ht="15.75" customHeight="1">
      <c r="A6710" s="26"/>
      <c r="B6710" s="2"/>
      <c r="C6710" s="26"/>
      <c r="D6710" s="26"/>
      <c r="F6710" s="85" t="str">
        <f t="shared" si="0"/>
        <v/>
      </c>
      <c r="G6710" s="1" t="e">
        <f>IF(VALUE(F6710) = VALUE(RIGHT(Insights!$C$3, 4)), E6710, "")</f>
        <v>#VALUE!</v>
      </c>
      <c r="H6710" s="26" t="e">
        <f t="shared" si="1"/>
        <v>#VALUE!</v>
      </c>
      <c r="I6710" s="1" t="e">
        <f t="shared" si="2"/>
        <v>#VALUE!</v>
      </c>
    </row>
    <row r="6711" spans="1:9" ht="15.75" customHeight="1">
      <c r="A6711" s="26"/>
      <c r="B6711" s="2"/>
      <c r="C6711" s="26"/>
      <c r="D6711" s="26"/>
      <c r="F6711" s="85" t="str">
        <f t="shared" si="0"/>
        <v/>
      </c>
      <c r="G6711" s="1" t="e">
        <f>IF(VALUE(F6711) = VALUE(RIGHT(Insights!$C$3, 4)), E6711, "")</f>
        <v>#VALUE!</v>
      </c>
      <c r="H6711" s="26" t="e">
        <f t="shared" si="1"/>
        <v>#VALUE!</v>
      </c>
      <c r="I6711" s="1" t="e">
        <f t="shared" si="2"/>
        <v>#VALUE!</v>
      </c>
    </row>
    <row r="6712" spans="1:9" ht="15.75" customHeight="1">
      <c r="A6712" s="26"/>
      <c r="B6712" s="2"/>
      <c r="C6712" s="26"/>
      <c r="D6712" s="26"/>
      <c r="F6712" s="85" t="str">
        <f t="shared" si="0"/>
        <v/>
      </c>
      <c r="G6712" s="1" t="e">
        <f>IF(VALUE(F6712) = VALUE(RIGHT(Insights!$C$3, 4)), E6712, "")</f>
        <v>#VALUE!</v>
      </c>
      <c r="H6712" s="26" t="e">
        <f t="shared" si="1"/>
        <v>#VALUE!</v>
      </c>
      <c r="I6712" s="1" t="e">
        <f t="shared" si="2"/>
        <v>#VALUE!</v>
      </c>
    </row>
    <row r="6713" spans="1:9" ht="15.75" customHeight="1">
      <c r="A6713" s="26"/>
      <c r="B6713" s="2"/>
      <c r="C6713" s="26"/>
      <c r="D6713" s="26"/>
      <c r="F6713" s="85" t="str">
        <f t="shared" si="0"/>
        <v/>
      </c>
      <c r="G6713" s="1" t="e">
        <f>IF(VALUE(F6713) = VALUE(RIGHT(Insights!$C$3, 4)), E6713, "")</f>
        <v>#VALUE!</v>
      </c>
      <c r="H6713" s="26" t="e">
        <f t="shared" si="1"/>
        <v>#VALUE!</v>
      </c>
      <c r="I6713" s="1" t="e">
        <f t="shared" si="2"/>
        <v>#VALUE!</v>
      </c>
    </row>
    <row r="6714" spans="1:9" ht="15.75" customHeight="1">
      <c r="A6714" s="26"/>
      <c r="B6714" s="2"/>
      <c r="C6714" s="26"/>
      <c r="D6714" s="26"/>
      <c r="F6714" s="85" t="str">
        <f t="shared" si="0"/>
        <v/>
      </c>
      <c r="G6714" s="1" t="e">
        <f>IF(VALUE(F6714) = VALUE(RIGHT(Insights!$C$3, 4)), E6714, "")</f>
        <v>#VALUE!</v>
      </c>
      <c r="H6714" s="26" t="e">
        <f t="shared" si="1"/>
        <v>#VALUE!</v>
      </c>
      <c r="I6714" s="1" t="e">
        <f t="shared" si="2"/>
        <v>#VALUE!</v>
      </c>
    </row>
    <row r="6715" spans="1:9" ht="15.75" customHeight="1">
      <c r="A6715" s="26"/>
      <c r="B6715" s="2"/>
      <c r="C6715" s="26"/>
      <c r="D6715" s="26"/>
      <c r="F6715" s="85" t="str">
        <f t="shared" si="0"/>
        <v/>
      </c>
      <c r="G6715" s="1" t="e">
        <f>IF(VALUE(F6715) = VALUE(RIGHT(Insights!$C$3, 4)), E6715, "")</f>
        <v>#VALUE!</v>
      </c>
      <c r="H6715" s="26" t="e">
        <f t="shared" si="1"/>
        <v>#VALUE!</v>
      </c>
      <c r="I6715" s="1" t="e">
        <f t="shared" si="2"/>
        <v>#VALUE!</v>
      </c>
    </row>
    <row r="6716" spans="1:9" ht="15.75" customHeight="1">
      <c r="A6716" s="26"/>
      <c r="B6716" s="2"/>
      <c r="C6716" s="26"/>
      <c r="D6716" s="26"/>
      <c r="F6716" s="85" t="str">
        <f t="shared" si="0"/>
        <v/>
      </c>
      <c r="G6716" s="1" t="e">
        <f>IF(VALUE(F6716) = VALUE(RIGHT(Insights!$C$3, 4)), E6716, "")</f>
        <v>#VALUE!</v>
      </c>
      <c r="H6716" s="26" t="e">
        <f t="shared" si="1"/>
        <v>#VALUE!</v>
      </c>
      <c r="I6716" s="1" t="e">
        <f t="shared" si="2"/>
        <v>#VALUE!</v>
      </c>
    </row>
    <row r="6717" spans="1:9" ht="15.75" customHeight="1">
      <c r="A6717" s="26"/>
      <c r="B6717" s="2"/>
      <c r="C6717" s="26"/>
      <c r="D6717" s="26"/>
      <c r="F6717" s="85" t="str">
        <f t="shared" si="0"/>
        <v/>
      </c>
      <c r="G6717" s="1" t="e">
        <f>IF(VALUE(F6717) = VALUE(RIGHT(Insights!$C$3, 4)), E6717, "")</f>
        <v>#VALUE!</v>
      </c>
      <c r="H6717" s="26" t="e">
        <f t="shared" si="1"/>
        <v>#VALUE!</v>
      </c>
      <c r="I6717" s="1" t="e">
        <f t="shared" si="2"/>
        <v>#VALUE!</v>
      </c>
    </row>
    <row r="6718" spans="1:9" ht="15.75" customHeight="1">
      <c r="A6718" s="26"/>
      <c r="B6718" s="2"/>
      <c r="C6718" s="26"/>
      <c r="D6718" s="26"/>
      <c r="F6718" s="85" t="str">
        <f t="shared" si="0"/>
        <v/>
      </c>
      <c r="G6718" s="1" t="e">
        <f>IF(VALUE(F6718) = VALUE(RIGHT(Insights!$C$3, 4)), E6718, "")</f>
        <v>#VALUE!</v>
      </c>
      <c r="H6718" s="26" t="e">
        <f t="shared" si="1"/>
        <v>#VALUE!</v>
      </c>
      <c r="I6718" s="1" t="e">
        <f t="shared" si="2"/>
        <v>#VALUE!</v>
      </c>
    </row>
    <row r="6719" spans="1:9" ht="15.75" customHeight="1">
      <c r="A6719" s="26"/>
      <c r="B6719" s="2"/>
      <c r="C6719" s="26"/>
      <c r="D6719" s="26"/>
      <c r="F6719" s="85" t="str">
        <f t="shared" si="0"/>
        <v/>
      </c>
      <c r="G6719" s="1" t="e">
        <f>IF(VALUE(F6719) = VALUE(RIGHT(Insights!$C$3, 4)), E6719, "")</f>
        <v>#VALUE!</v>
      </c>
      <c r="H6719" s="26" t="e">
        <f t="shared" si="1"/>
        <v>#VALUE!</v>
      </c>
      <c r="I6719" s="1" t="e">
        <f t="shared" si="2"/>
        <v>#VALUE!</v>
      </c>
    </row>
    <row r="6720" spans="1:9" ht="15.75" customHeight="1">
      <c r="A6720" s="26"/>
      <c r="B6720" s="2"/>
      <c r="C6720" s="26"/>
      <c r="D6720" s="26"/>
      <c r="F6720" s="85" t="str">
        <f t="shared" si="0"/>
        <v/>
      </c>
      <c r="G6720" s="1" t="e">
        <f>IF(VALUE(F6720) = VALUE(RIGHT(Insights!$C$3, 4)), E6720, "")</f>
        <v>#VALUE!</v>
      </c>
      <c r="H6720" s="26" t="e">
        <f t="shared" si="1"/>
        <v>#VALUE!</v>
      </c>
      <c r="I6720" s="1" t="e">
        <f t="shared" si="2"/>
        <v>#VALUE!</v>
      </c>
    </row>
    <row r="6721" spans="1:9" ht="15.75" customHeight="1">
      <c r="A6721" s="26"/>
      <c r="B6721" s="2"/>
      <c r="C6721" s="26"/>
      <c r="D6721" s="26"/>
      <c r="F6721" s="85" t="str">
        <f t="shared" si="0"/>
        <v/>
      </c>
      <c r="G6721" s="1" t="e">
        <f>IF(VALUE(F6721) = VALUE(RIGHT(Insights!$C$3, 4)), E6721, "")</f>
        <v>#VALUE!</v>
      </c>
      <c r="H6721" s="26" t="e">
        <f t="shared" si="1"/>
        <v>#VALUE!</v>
      </c>
      <c r="I6721" s="1" t="e">
        <f t="shared" si="2"/>
        <v>#VALUE!</v>
      </c>
    </row>
    <row r="6722" spans="1:9" ht="15.75" customHeight="1">
      <c r="A6722" s="26"/>
      <c r="B6722" s="2"/>
      <c r="C6722" s="26"/>
      <c r="D6722" s="26"/>
      <c r="F6722" s="85" t="str">
        <f t="shared" si="0"/>
        <v/>
      </c>
      <c r="G6722" s="1" t="e">
        <f>IF(VALUE(F6722) = VALUE(RIGHT(Insights!$C$3, 4)), E6722, "")</f>
        <v>#VALUE!</v>
      </c>
      <c r="H6722" s="26" t="e">
        <f t="shared" si="1"/>
        <v>#VALUE!</v>
      </c>
      <c r="I6722" s="1" t="e">
        <f t="shared" si="2"/>
        <v>#VALUE!</v>
      </c>
    </row>
    <row r="6723" spans="1:9" ht="15.75" customHeight="1">
      <c r="A6723" s="26"/>
      <c r="B6723" s="2"/>
      <c r="C6723" s="26"/>
      <c r="D6723" s="26"/>
      <c r="F6723" s="85" t="str">
        <f t="shared" si="0"/>
        <v/>
      </c>
      <c r="G6723" s="1" t="e">
        <f>IF(VALUE(F6723) = VALUE(RIGHT(Insights!$C$3, 4)), E6723, "")</f>
        <v>#VALUE!</v>
      </c>
      <c r="H6723" s="26" t="e">
        <f t="shared" si="1"/>
        <v>#VALUE!</v>
      </c>
      <c r="I6723" s="1" t="e">
        <f t="shared" si="2"/>
        <v>#VALUE!</v>
      </c>
    </row>
    <row r="6724" spans="1:9" ht="15.75" customHeight="1">
      <c r="A6724" s="26"/>
      <c r="B6724" s="2"/>
      <c r="C6724" s="26"/>
      <c r="D6724" s="26"/>
      <c r="F6724" s="85" t="str">
        <f t="shared" si="0"/>
        <v/>
      </c>
      <c r="G6724" s="1" t="e">
        <f>IF(VALUE(F6724) = VALUE(RIGHT(Insights!$C$3, 4)), E6724, "")</f>
        <v>#VALUE!</v>
      </c>
      <c r="H6724" s="26" t="e">
        <f t="shared" si="1"/>
        <v>#VALUE!</v>
      </c>
      <c r="I6724" s="1" t="e">
        <f t="shared" si="2"/>
        <v>#VALUE!</v>
      </c>
    </row>
    <row r="6725" spans="1:9" ht="15.75" customHeight="1">
      <c r="A6725" s="26"/>
      <c r="B6725" s="2"/>
      <c r="C6725" s="26"/>
      <c r="D6725" s="26"/>
      <c r="F6725" s="85" t="str">
        <f t="shared" si="0"/>
        <v/>
      </c>
      <c r="G6725" s="1" t="e">
        <f>IF(VALUE(F6725) = VALUE(RIGHT(Insights!$C$3, 4)), E6725, "")</f>
        <v>#VALUE!</v>
      </c>
      <c r="H6725" s="26" t="e">
        <f t="shared" si="1"/>
        <v>#VALUE!</v>
      </c>
      <c r="I6725" s="1" t="e">
        <f t="shared" si="2"/>
        <v>#VALUE!</v>
      </c>
    </row>
    <row r="6726" spans="1:9" ht="15.75" customHeight="1">
      <c r="A6726" s="26"/>
      <c r="B6726" s="2"/>
      <c r="C6726" s="26"/>
      <c r="D6726" s="26"/>
      <c r="F6726" s="85" t="str">
        <f t="shared" si="0"/>
        <v/>
      </c>
      <c r="G6726" s="1" t="e">
        <f>IF(VALUE(F6726) = VALUE(RIGHT(Insights!$C$3, 4)), E6726, "")</f>
        <v>#VALUE!</v>
      </c>
      <c r="H6726" s="26" t="e">
        <f t="shared" si="1"/>
        <v>#VALUE!</v>
      </c>
      <c r="I6726" s="1" t="e">
        <f t="shared" si="2"/>
        <v>#VALUE!</v>
      </c>
    </row>
    <row r="6727" spans="1:9" ht="15.75" customHeight="1">
      <c r="A6727" s="26"/>
      <c r="B6727" s="2"/>
      <c r="C6727" s="26"/>
      <c r="D6727" s="26"/>
      <c r="F6727" s="85" t="str">
        <f t="shared" si="0"/>
        <v/>
      </c>
      <c r="G6727" s="1" t="e">
        <f>IF(VALUE(F6727) = VALUE(RIGHT(Insights!$C$3, 4)), E6727, "")</f>
        <v>#VALUE!</v>
      </c>
      <c r="H6727" s="26" t="e">
        <f t="shared" si="1"/>
        <v>#VALUE!</v>
      </c>
      <c r="I6727" s="1" t="e">
        <f t="shared" si="2"/>
        <v>#VALUE!</v>
      </c>
    </row>
    <row r="6728" spans="1:9" ht="15.75" customHeight="1">
      <c r="A6728" s="26"/>
      <c r="B6728" s="2"/>
      <c r="C6728" s="26"/>
      <c r="D6728" s="26"/>
      <c r="F6728" s="85" t="str">
        <f t="shared" si="0"/>
        <v/>
      </c>
      <c r="G6728" s="1" t="e">
        <f>IF(VALUE(F6728) = VALUE(RIGHT(Insights!$C$3, 4)), E6728, "")</f>
        <v>#VALUE!</v>
      </c>
      <c r="H6728" s="26" t="e">
        <f t="shared" si="1"/>
        <v>#VALUE!</v>
      </c>
      <c r="I6728" s="1" t="e">
        <f t="shared" si="2"/>
        <v>#VALUE!</v>
      </c>
    </row>
    <row r="6729" spans="1:9" ht="15.75" customHeight="1">
      <c r="A6729" s="26"/>
      <c r="B6729" s="2"/>
      <c r="C6729" s="26"/>
      <c r="D6729" s="26"/>
      <c r="F6729" s="85" t="str">
        <f t="shared" si="0"/>
        <v/>
      </c>
      <c r="G6729" s="1" t="e">
        <f>IF(VALUE(F6729) = VALUE(RIGHT(Insights!$C$3, 4)), E6729, "")</f>
        <v>#VALUE!</v>
      </c>
      <c r="H6729" s="26" t="e">
        <f t="shared" si="1"/>
        <v>#VALUE!</v>
      </c>
      <c r="I6729" s="1" t="e">
        <f t="shared" si="2"/>
        <v>#VALUE!</v>
      </c>
    </row>
    <row r="6730" spans="1:9" ht="15.75" customHeight="1">
      <c r="A6730" s="26"/>
      <c r="B6730" s="2"/>
      <c r="C6730" s="26"/>
      <c r="D6730" s="26"/>
      <c r="F6730" s="85" t="str">
        <f t="shared" si="0"/>
        <v/>
      </c>
      <c r="G6730" s="1" t="e">
        <f>IF(VALUE(F6730) = VALUE(RIGHT(Insights!$C$3, 4)), E6730, "")</f>
        <v>#VALUE!</v>
      </c>
      <c r="H6730" s="26" t="e">
        <f t="shared" si="1"/>
        <v>#VALUE!</v>
      </c>
      <c r="I6730" s="1" t="e">
        <f t="shared" si="2"/>
        <v>#VALUE!</v>
      </c>
    </row>
    <row r="6731" spans="1:9" ht="15.75" customHeight="1">
      <c r="A6731" s="26"/>
      <c r="B6731" s="2"/>
      <c r="C6731" s="26"/>
      <c r="D6731" s="26"/>
      <c r="F6731" s="85" t="str">
        <f t="shared" si="0"/>
        <v/>
      </c>
      <c r="G6731" s="1" t="e">
        <f>IF(VALUE(F6731) = VALUE(RIGHT(Insights!$C$3, 4)), E6731, "")</f>
        <v>#VALUE!</v>
      </c>
      <c r="H6731" s="26" t="e">
        <f t="shared" si="1"/>
        <v>#VALUE!</v>
      </c>
      <c r="I6731" s="1" t="e">
        <f t="shared" si="2"/>
        <v>#VALUE!</v>
      </c>
    </row>
    <row r="6732" spans="1:9" ht="15.75" customHeight="1">
      <c r="A6732" s="26"/>
      <c r="B6732" s="2"/>
      <c r="C6732" s="26"/>
      <c r="D6732" s="26"/>
      <c r="F6732" s="85" t="str">
        <f t="shared" si="0"/>
        <v/>
      </c>
      <c r="G6732" s="1" t="e">
        <f>IF(VALUE(F6732) = VALUE(RIGHT(Insights!$C$3, 4)), E6732, "")</f>
        <v>#VALUE!</v>
      </c>
      <c r="H6732" s="26" t="e">
        <f t="shared" si="1"/>
        <v>#VALUE!</v>
      </c>
      <c r="I6732" s="1" t="e">
        <f t="shared" si="2"/>
        <v>#VALUE!</v>
      </c>
    </row>
    <row r="6733" spans="1:9" ht="15.75" customHeight="1">
      <c r="A6733" s="26"/>
      <c r="B6733" s="2"/>
      <c r="C6733" s="26"/>
      <c r="D6733" s="26"/>
      <c r="F6733" s="85" t="str">
        <f t="shared" si="0"/>
        <v/>
      </c>
      <c r="G6733" s="1" t="e">
        <f>IF(VALUE(F6733) = VALUE(RIGHT(Insights!$C$3, 4)), E6733, "")</f>
        <v>#VALUE!</v>
      </c>
      <c r="H6733" s="26" t="e">
        <f t="shared" si="1"/>
        <v>#VALUE!</v>
      </c>
      <c r="I6733" s="1" t="e">
        <f t="shared" si="2"/>
        <v>#VALUE!</v>
      </c>
    </row>
    <row r="6734" spans="1:9" ht="15.75" customHeight="1">
      <c r="A6734" s="26"/>
      <c r="B6734" s="2"/>
      <c r="C6734" s="26"/>
      <c r="D6734" s="26"/>
      <c r="F6734" s="85" t="str">
        <f t="shared" si="0"/>
        <v/>
      </c>
      <c r="G6734" s="1" t="e">
        <f>IF(VALUE(F6734) = VALUE(RIGHT(Insights!$C$3, 4)), E6734, "")</f>
        <v>#VALUE!</v>
      </c>
      <c r="H6734" s="26" t="e">
        <f t="shared" si="1"/>
        <v>#VALUE!</v>
      </c>
      <c r="I6734" s="1" t="e">
        <f t="shared" si="2"/>
        <v>#VALUE!</v>
      </c>
    </row>
    <row r="6735" spans="1:9" ht="15.75" customHeight="1">
      <c r="A6735" s="26"/>
      <c r="B6735" s="2"/>
      <c r="C6735" s="26"/>
      <c r="D6735" s="26"/>
      <c r="F6735" s="85" t="str">
        <f t="shared" si="0"/>
        <v/>
      </c>
      <c r="G6735" s="1" t="e">
        <f>IF(VALUE(F6735) = VALUE(RIGHT(Insights!$C$3, 4)), E6735, "")</f>
        <v>#VALUE!</v>
      </c>
      <c r="H6735" s="26" t="e">
        <f t="shared" si="1"/>
        <v>#VALUE!</v>
      </c>
      <c r="I6735" s="1" t="e">
        <f t="shared" si="2"/>
        <v>#VALUE!</v>
      </c>
    </row>
    <row r="6736" spans="1:9" ht="15.75" customHeight="1">
      <c r="A6736" s="26"/>
      <c r="B6736" s="2"/>
      <c r="C6736" s="26"/>
      <c r="D6736" s="26"/>
      <c r="F6736" s="85" t="str">
        <f t="shared" si="0"/>
        <v/>
      </c>
      <c r="G6736" s="1" t="e">
        <f>IF(VALUE(F6736) = VALUE(RIGHT(Insights!$C$3, 4)), E6736, "")</f>
        <v>#VALUE!</v>
      </c>
      <c r="H6736" s="26" t="e">
        <f t="shared" si="1"/>
        <v>#VALUE!</v>
      </c>
      <c r="I6736" s="1" t="e">
        <f t="shared" si="2"/>
        <v>#VALUE!</v>
      </c>
    </row>
    <row r="6737" spans="1:9" ht="15.75" customHeight="1">
      <c r="A6737" s="26"/>
      <c r="B6737" s="2"/>
      <c r="C6737" s="26"/>
      <c r="D6737" s="26"/>
      <c r="F6737" s="85" t="str">
        <f t="shared" si="0"/>
        <v/>
      </c>
      <c r="G6737" s="1" t="e">
        <f>IF(VALUE(F6737) = VALUE(RIGHT(Insights!$C$3, 4)), E6737, "")</f>
        <v>#VALUE!</v>
      </c>
      <c r="H6737" s="26" t="e">
        <f t="shared" si="1"/>
        <v>#VALUE!</v>
      </c>
      <c r="I6737" s="1" t="e">
        <f t="shared" si="2"/>
        <v>#VALUE!</v>
      </c>
    </row>
    <row r="6738" spans="1:9" ht="15.75" customHeight="1">
      <c r="A6738" s="26"/>
      <c r="B6738" s="2"/>
      <c r="C6738" s="26"/>
      <c r="D6738" s="26"/>
      <c r="F6738" s="85" t="str">
        <f t="shared" si="0"/>
        <v/>
      </c>
      <c r="G6738" s="1" t="e">
        <f>IF(VALUE(F6738) = VALUE(RIGHT(Insights!$C$3, 4)), E6738, "")</f>
        <v>#VALUE!</v>
      </c>
      <c r="H6738" s="26" t="e">
        <f t="shared" si="1"/>
        <v>#VALUE!</v>
      </c>
      <c r="I6738" s="1" t="e">
        <f t="shared" si="2"/>
        <v>#VALUE!</v>
      </c>
    </row>
    <row r="6739" spans="1:9" ht="15.75" customHeight="1">
      <c r="A6739" s="26"/>
      <c r="B6739" s="2"/>
      <c r="C6739" s="26"/>
      <c r="D6739" s="26"/>
      <c r="F6739" s="85" t="str">
        <f t="shared" si="0"/>
        <v/>
      </c>
      <c r="G6739" s="1" t="e">
        <f>IF(VALUE(F6739) = VALUE(RIGHT(Insights!$C$3, 4)), E6739, "")</f>
        <v>#VALUE!</v>
      </c>
      <c r="H6739" s="26" t="e">
        <f t="shared" si="1"/>
        <v>#VALUE!</v>
      </c>
      <c r="I6739" s="1" t="e">
        <f t="shared" si="2"/>
        <v>#VALUE!</v>
      </c>
    </row>
    <row r="6740" spans="1:9" ht="15.75" customHeight="1">
      <c r="A6740" s="26"/>
      <c r="B6740" s="2"/>
      <c r="C6740" s="26"/>
      <c r="D6740" s="26"/>
      <c r="F6740" s="85" t="str">
        <f t="shared" si="0"/>
        <v/>
      </c>
      <c r="G6740" s="1" t="e">
        <f>IF(VALUE(F6740) = VALUE(RIGHT(Insights!$C$3, 4)), E6740, "")</f>
        <v>#VALUE!</v>
      </c>
      <c r="H6740" s="26" t="e">
        <f t="shared" si="1"/>
        <v>#VALUE!</v>
      </c>
      <c r="I6740" s="1" t="e">
        <f t="shared" si="2"/>
        <v>#VALUE!</v>
      </c>
    </row>
    <row r="6741" spans="1:9" ht="15.75" customHeight="1">
      <c r="A6741" s="26"/>
      <c r="B6741" s="2"/>
      <c r="C6741" s="26"/>
      <c r="D6741" s="26"/>
      <c r="F6741" s="85" t="str">
        <f t="shared" si="0"/>
        <v/>
      </c>
      <c r="G6741" s="1" t="e">
        <f>IF(VALUE(F6741) = VALUE(RIGHT(Insights!$C$3, 4)), E6741, "")</f>
        <v>#VALUE!</v>
      </c>
      <c r="H6741" s="26" t="e">
        <f t="shared" si="1"/>
        <v>#VALUE!</v>
      </c>
      <c r="I6741" s="1" t="e">
        <f t="shared" si="2"/>
        <v>#VALUE!</v>
      </c>
    </row>
    <row r="6742" spans="1:9" ht="15.75" customHeight="1">
      <c r="A6742" s="26"/>
      <c r="B6742" s="2"/>
      <c r="C6742" s="26"/>
      <c r="D6742" s="26"/>
      <c r="F6742" s="85" t="str">
        <f t="shared" si="0"/>
        <v/>
      </c>
      <c r="G6742" s="1" t="e">
        <f>IF(VALUE(F6742) = VALUE(RIGHT(Insights!$C$3, 4)), E6742, "")</f>
        <v>#VALUE!</v>
      </c>
      <c r="H6742" s="26" t="e">
        <f t="shared" si="1"/>
        <v>#VALUE!</v>
      </c>
      <c r="I6742" s="1" t="e">
        <f t="shared" si="2"/>
        <v>#VALUE!</v>
      </c>
    </row>
    <row r="6743" spans="1:9" ht="15.75" customHeight="1">
      <c r="A6743" s="26"/>
      <c r="B6743" s="2"/>
      <c r="C6743" s="26"/>
      <c r="D6743" s="26"/>
      <c r="F6743" s="85" t="str">
        <f t="shared" si="0"/>
        <v/>
      </c>
      <c r="G6743" s="1" t="e">
        <f>IF(VALUE(F6743) = VALUE(RIGHT(Insights!$C$3, 4)), E6743, "")</f>
        <v>#VALUE!</v>
      </c>
      <c r="H6743" s="26" t="e">
        <f t="shared" si="1"/>
        <v>#VALUE!</v>
      </c>
      <c r="I6743" s="1" t="e">
        <f t="shared" si="2"/>
        <v>#VALUE!</v>
      </c>
    </row>
    <row r="6744" spans="1:9" ht="15.75" customHeight="1">
      <c r="A6744" s="26"/>
      <c r="B6744" s="2"/>
      <c r="C6744" s="26"/>
      <c r="D6744" s="26"/>
      <c r="F6744" s="85" t="str">
        <f t="shared" si="0"/>
        <v/>
      </c>
      <c r="G6744" s="1" t="e">
        <f>IF(VALUE(F6744) = VALUE(RIGHT(Insights!$C$3, 4)), E6744, "")</f>
        <v>#VALUE!</v>
      </c>
      <c r="H6744" s="26" t="e">
        <f t="shared" si="1"/>
        <v>#VALUE!</v>
      </c>
      <c r="I6744" s="1" t="e">
        <f t="shared" si="2"/>
        <v>#VALUE!</v>
      </c>
    </row>
    <row r="6745" spans="1:9" ht="15.75" customHeight="1">
      <c r="A6745" s="26"/>
      <c r="B6745" s="2"/>
      <c r="C6745" s="26"/>
      <c r="D6745" s="26"/>
      <c r="F6745" s="85" t="str">
        <f t="shared" si="0"/>
        <v/>
      </c>
      <c r="G6745" s="1" t="e">
        <f>IF(VALUE(F6745) = VALUE(RIGHT(Insights!$C$3, 4)), E6745, "")</f>
        <v>#VALUE!</v>
      </c>
      <c r="H6745" s="26" t="e">
        <f t="shared" si="1"/>
        <v>#VALUE!</v>
      </c>
      <c r="I6745" s="1" t="e">
        <f t="shared" si="2"/>
        <v>#VALUE!</v>
      </c>
    </row>
    <row r="6746" spans="1:9" ht="15.75" customHeight="1">
      <c r="A6746" s="26"/>
      <c r="B6746" s="2"/>
      <c r="C6746" s="26"/>
      <c r="D6746" s="26"/>
      <c r="F6746" s="85" t="str">
        <f t="shared" si="0"/>
        <v/>
      </c>
      <c r="G6746" s="1" t="e">
        <f>IF(VALUE(F6746) = VALUE(RIGHT(Insights!$C$3, 4)), E6746, "")</f>
        <v>#VALUE!</v>
      </c>
      <c r="H6746" s="26" t="e">
        <f t="shared" si="1"/>
        <v>#VALUE!</v>
      </c>
      <c r="I6746" s="1" t="e">
        <f t="shared" si="2"/>
        <v>#VALUE!</v>
      </c>
    </row>
    <row r="6747" spans="1:9" ht="15.75" customHeight="1">
      <c r="A6747" s="26"/>
      <c r="B6747" s="2"/>
      <c r="C6747" s="26"/>
      <c r="D6747" s="26"/>
      <c r="F6747" s="85" t="str">
        <f t="shared" si="0"/>
        <v/>
      </c>
      <c r="G6747" s="1" t="e">
        <f>IF(VALUE(F6747) = VALUE(RIGHT(Insights!$C$3, 4)), E6747, "")</f>
        <v>#VALUE!</v>
      </c>
      <c r="H6747" s="26" t="e">
        <f t="shared" si="1"/>
        <v>#VALUE!</v>
      </c>
      <c r="I6747" s="1" t="e">
        <f t="shared" si="2"/>
        <v>#VALUE!</v>
      </c>
    </row>
    <row r="6748" spans="1:9" ht="15.75" customHeight="1">
      <c r="A6748" s="26"/>
      <c r="B6748" s="2"/>
      <c r="C6748" s="26"/>
      <c r="D6748" s="26"/>
      <c r="F6748" s="85" t="str">
        <f t="shared" si="0"/>
        <v/>
      </c>
      <c r="G6748" s="1" t="e">
        <f>IF(VALUE(F6748) = VALUE(RIGHT(Insights!$C$3, 4)), E6748, "")</f>
        <v>#VALUE!</v>
      </c>
      <c r="H6748" s="26" t="e">
        <f t="shared" si="1"/>
        <v>#VALUE!</v>
      </c>
      <c r="I6748" s="1" t="e">
        <f t="shared" si="2"/>
        <v>#VALUE!</v>
      </c>
    </row>
    <row r="6749" spans="1:9" ht="15.75" customHeight="1">
      <c r="A6749" s="26"/>
      <c r="B6749" s="2"/>
      <c r="C6749" s="26"/>
      <c r="D6749" s="26"/>
      <c r="F6749" s="85" t="str">
        <f t="shared" si="0"/>
        <v/>
      </c>
      <c r="G6749" s="1" t="e">
        <f>IF(VALUE(F6749) = VALUE(RIGHT(Insights!$C$3, 4)), E6749, "")</f>
        <v>#VALUE!</v>
      </c>
      <c r="H6749" s="26" t="e">
        <f t="shared" si="1"/>
        <v>#VALUE!</v>
      </c>
      <c r="I6749" s="1" t="e">
        <f t="shared" si="2"/>
        <v>#VALUE!</v>
      </c>
    </row>
    <row r="6750" spans="1:9" ht="15.75" customHeight="1">
      <c r="A6750" s="26"/>
      <c r="B6750" s="2"/>
      <c r="C6750" s="26"/>
      <c r="D6750" s="26"/>
      <c r="F6750" s="85" t="str">
        <f t="shared" si="0"/>
        <v/>
      </c>
      <c r="G6750" s="1" t="e">
        <f>IF(VALUE(F6750) = VALUE(RIGHT(Insights!$C$3, 4)), E6750, "")</f>
        <v>#VALUE!</v>
      </c>
      <c r="H6750" s="26" t="e">
        <f t="shared" si="1"/>
        <v>#VALUE!</v>
      </c>
      <c r="I6750" s="1" t="e">
        <f t="shared" si="2"/>
        <v>#VALUE!</v>
      </c>
    </row>
    <row r="6751" spans="1:9" ht="15.75" customHeight="1">
      <c r="A6751" s="26"/>
      <c r="B6751" s="2"/>
      <c r="C6751" s="26"/>
      <c r="D6751" s="26"/>
      <c r="F6751" s="85" t="str">
        <f t="shared" si="0"/>
        <v/>
      </c>
      <c r="G6751" s="1" t="e">
        <f>IF(VALUE(F6751) = VALUE(RIGHT(Insights!$C$3, 4)), E6751, "")</f>
        <v>#VALUE!</v>
      </c>
      <c r="H6751" s="26" t="e">
        <f t="shared" si="1"/>
        <v>#VALUE!</v>
      </c>
      <c r="I6751" s="1" t="e">
        <f t="shared" si="2"/>
        <v>#VALUE!</v>
      </c>
    </row>
    <row r="6752" spans="1:9" ht="15.75" customHeight="1">
      <c r="A6752" s="26"/>
      <c r="B6752" s="2"/>
      <c r="C6752" s="26"/>
      <c r="D6752" s="26"/>
      <c r="F6752" s="85" t="str">
        <f t="shared" si="0"/>
        <v/>
      </c>
      <c r="G6752" s="1" t="e">
        <f>IF(VALUE(F6752) = VALUE(RIGHT(Insights!$C$3, 4)), E6752, "")</f>
        <v>#VALUE!</v>
      </c>
      <c r="H6752" s="26" t="e">
        <f t="shared" si="1"/>
        <v>#VALUE!</v>
      </c>
      <c r="I6752" s="1" t="e">
        <f t="shared" si="2"/>
        <v>#VALUE!</v>
      </c>
    </row>
    <row r="6753" spans="1:9" ht="15.75" customHeight="1">
      <c r="A6753" s="26"/>
      <c r="B6753" s="2"/>
      <c r="C6753" s="26"/>
      <c r="D6753" s="26"/>
      <c r="F6753" s="85" t="str">
        <f t="shared" si="0"/>
        <v/>
      </c>
      <c r="G6753" s="1" t="e">
        <f>IF(VALUE(F6753) = VALUE(RIGHT(Insights!$C$3, 4)), E6753, "")</f>
        <v>#VALUE!</v>
      </c>
      <c r="H6753" s="26" t="e">
        <f t="shared" si="1"/>
        <v>#VALUE!</v>
      </c>
      <c r="I6753" s="1" t="e">
        <f t="shared" si="2"/>
        <v>#VALUE!</v>
      </c>
    </row>
    <row r="6754" spans="1:9" ht="15.75" customHeight="1">
      <c r="A6754" s="26"/>
      <c r="B6754" s="2"/>
      <c r="C6754" s="26"/>
      <c r="D6754" s="26"/>
      <c r="F6754" s="85" t="str">
        <f t="shared" si="0"/>
        <v/>
      </c>
      <c r="G6754" s="1" t="e">
        <f>IF(VALUE(F6754) = VALUE(RIGHT(Insights!$C$3, 4)), E6754, "")</f>
        <v>#VALUE!</v>
      </c>
      <c r="H6754" s="26" t="e">
        <f t="shared" si="1"/>
        <v>#VALUE!</v>
      </c>
      <c r="I6754" s="1" t="e">
        <f t="shared" si="2"/>
        <v>#VALUE!</v>
      </c>
    </row>
    <row r="6755" spans="1:9" ht="15.75" customHeight="1">
      <c r="A6755" s="26"/>
      <c r="B6755" s="2"/>
      <c r="C6755" s="26"/>
      <c r="D6755" s="26"/>
      <c r="F6755" s="85" t="str">
        <f t="shared" si="0"/>
        <v/>
      </c>
      <c r="G6755" s="1" t="e">
        <f>IF(VALUE(F6755) = VALUE(RIGHT(Insights!$C$3, 4)), E6755, "")</f>
        <v>#VALUE!</v>
      </c>
      <c r="H6755" s="26" t="e">
        <f t="shared" si="1"/>
        <v>#VALUE!</v>
      </c>
      <c r="I6755" s="1" t="e">
        <f t="shared" si="2"/>
        <v>#VALUE!</v>
      </c>
    </row>
    <row r="6756" spans="1:9" ht="15.75" customHeight="1">
      <c r="A6756" s="26"/>
      <c r="B6756" s="2"/>
      <c r="C6756" s="26"/>
      <c r="D6756" s="26"/>
      <c r="F6756" s="85" t="str">
        <f t="shared" si="0"/>
        <v/>
      </c>
      <c r="G6756" s="1" t="e">
        <f>IF(VALUE(F6756) = VALUE(RIGHT(Insights!$C$3, 4)), E6756, "")</f>
        <v>#VALUE!</v>
      </c>
      <c r="H6756" s="26" t="e">
        <f t="shared" si="1"/>
        <v>#VALUE!</v>
      </c>
      <c r="I6756" s="1" t="e">
        <f t="shared" si="2"/>
        <v>#VALUE!</v>
      </c>
    </row>
    <row r="6757" spans="1:9" ht="15.75" customHeight="1">
      <c r="A6757" s="26"/>
      <c r="B6757" s="2"/>
      <c r="C6757" s="26"/>
      <c r="D6757" s="26"/>
      <c r="F6757" s="85" t="str">
        <f t="shared" si="0"/>
        <v/>
      </c>
      <c r="G6757" s="1" t="e">
        <f>IF(VALUE(F6757) = VALUE(RIGHT(Insights!$C$3, 4)), E6757, "")</f>
        <v>#VALUE!</v>
      </c>
      <c r="H6757" s="26" t="e">
        <f t="shared" si="1"/>
        <v>#VALUE!</v>
      </c>
      <c r="I6757" s="1" t="e">
        <f t="shared" si="2"/>
        <v>#VALUE!</v>
      </c>
    </row>
    <row r="6758" spans="1:9" ht="15.75" customHeight="1">
      <c r="A6758" s="26"/>
      <c r="B6758" s="2"/>
      <c r="C6758" s="26"/>
      <c r="D6758" s="26"/>
      <c r="F6758" s="85" t="str">
        <f t="shared" si="0"/>
        <v/>
      </c>
      <c r="G6758" s="1" t="e">
        <f>IF(VALUE(F6758) = VALUE(RIGHT(Insights!$C$3, 4)), E6758, "")</f>
        <v>#VALUE!</v>
      </c>
      <c r="H6758" s="26" t="e">
        <f t="shared" si="1"/>
        <v>#VALUE!</v>
      </c>
      <c r="I6758" s="1" t="e">
        <f t="shared" si="2"/>
        <v>#VALUE!</v>
      </c>
    </row>
    <row r="6759" spans="1:9" ht="15.75" customHeight="1">
      <c r="A6759" s="26"/>
      <c r="B6759" s="2"/>
      <c r="C6759" s="26"/>
      <c r="D6759" s="26"/>
      <c r="F6759" s="85" t="str">
        <f t="shared" si="0"/>
        <v/>
      </c>
      <c r="G6759" s="1" t="e">
        <f>IF(VALUE(F6759) = VALUE(RIGHT(Insights!$C$3, 4)), E6759, "")</f>
        <v>#VALUE!</v>
      </c>
      <c r="H6759" s="26" t="e">
        <f t="shared" si="1"/>
        <v>#VALUE!</v>
      </c>
      <c r="I6759" s="1" t="e">
        <f t="shared" si="2"/>
        <v>#VALUE!</v>
      </c>
    </row>
    <row r="6760" spans="1:9" ht="15.75" customHeight="1">
      <c r="A6760" s="26"/>
      <c r="B6760" s="2"/>
      <c r="C6760" s="26"/>
      <c r="D6760" s="26"/>
      <c r="F6760" s="85" t="str">
        <f t="shared" si="0"/>
        <v/>
      </c>
      <c r="G6760" s="1" t="e">
        <f>IF(VALUE(F6760) = VALUE(RIGHT(Insights!$C$3, 4)), E6760, "")</f>
        <v>#VALUE!</v>
      </c>
      <c r="H6760" s="26" t="e">
        <f t="shared" si="1"/>
        <v>#VALUE!</v>
      </c>
      <c r="I6760" s="1" t="e">
        <f t="shared" si="2"/>
        <v>#VALUE!</v>
      </c>
    </row>
    <row r="6761" spans="1:9" ht="15.75" customHeight="1">
      <c r="A6761" s="26"/>
      <c r="B6761" s="2"/>
      <c r="C6761" s="26"/>
      <c r="D6761" s="26"/>
      <c r="F6761" s="85" t="str">
        <f t="shared" si="0"/>
        <v/>
      </c>
      <c r="G6761" s="1" t="e">
        <f>IF(VALUE(F6761) = VALUE(RIGHT(Insights!$C$3, 4)), E6761, "")</f>
        <v>#VALUE!</v>
      </c>
      <c r="H6761" s="26" t="e">
        <f t="shared" si="1"/>
        <v>#VALUE!</v>
      </c>
      <c r="I6761" s="1" t="e">
        <f t="shared" si="2"/>
        <v>#VALUE!</v>
      </c>
    </row>
    <row r="6762" spans="1:9" ht="15.75" customHeight="1">
      <c r="A6762" s="26"/>
      <c r="B6762" s="2"/>
      <c r="C6762" s="26"/>
      <c r="D6762" s="26"/>
      <c r="F6762" s="85" t="str">
        <f t="shared" si="0"/>
        <v/>
      </c>
      <c r="G6762" s="1" t="e">
        <f>IF(VALUE(F6762) = VALUE(RIGHT(Insights!$C$3, 4)), E6762, "")</f>
        <v>#VALUE!</v>
      </c>
      <c r="H6762" s="26" t="e">
        <f t="shared" si="1"/>
        <v>#VALUE!</v>
      </c>
      <c r="I6762" s="1" t="e">
        <f t="shared" si="2"/>
        <v>#VALUE!</v>
      </c>
    </row>
    <row r="6763" spans="1:9" ht="15.75" customHeight="1">
      <c r="A6763" s="26"/>
      <c r="B6763" s="2"/>
      <c r="C6763" s="26"/>
      <c r="D6763" s="26"/>
      <c r="F6763" s="85" t="str">
        <f t="shared" si="0"/>
        <v/>
      </c>
      <c r="G6763" s="1" t="e">
        <f>IF(VALUE(F6763) = VALUE(RIGHT(Insights!$C$3, 4)), E6763, "")</f>
        <v>#VALUE!</v>
      </c>
      <c r="H6763" s="26" t="e">
        <f t="shared" si="1"/>
        <v>#VALUE!</v>
      </c>
      <c r="I6763" s="1" t="e">
        <f t="shared" si="2"/>
        <v>#VALUE!</v>
      </c>
    </row>
    <row r="6764" spans="1:9" ht="15.75" customHeight="1">
      <c r="A6764" s="26"/>
      <c r="B6764" s="2"/>
      <c r="C6764" s="26"/>
      <c r="D6764" s="26"/>
      <c r="F6764" s="85" t="str">
        <f t="shared" si="0"/>
        <v/>
      </c>
      <c r="G6764" s="1" t="e">
        <f>IF(VALUE(F6764) = VALUE(RIGHT(Insights!$C$3, 4)), E6764, "")</f>
        <v>#VALUE!</v>
      </c>
      <c r="H6764" s="26" t="e">
        <f t="shared" si="1"/>
        <v>#VALUE!</v>
      </c>
      <c r="I6764" s="1" t="e">
        <f t="shared" si="2"/>
        <v>#VALUE!</v>
      </c>
    </row>
    <row r="6765" spans="1:9" ht="15.75" customHeight="1">
      <c r="A6765" s="26"/>
      <c r="B6765" s="2"/>
      <c r="C6765" s="26"/>
      <c r="D6765" s="26"/>
      <c r="F6765" s="85" t="str">
        <f t="shared" si="0"/>
        <v/>
      </c>
      <c r="G6765" s="1" t="e">
        <f>IF(VALUE(F6765) = VALUE(RIGHT(Insights!$C$3, 4)), E6765, "")</f>
        <v>#VALUE!</v>
      </c>
      <c r="H6765" s="26" t="e">
        <f t="shared" si="1"/>
        <v>#VALUE!</v>
      </c>
      <c r="I6765" s="1" t="e">
        <f t="shared" si="2"/>
        <v>#VALUE!</v>
      </c>
    </row>
    <row r="6766" spans="1:9" ht="15.75" customHeight="1">
      <c r="A6766" s="26"/>
      <c r="B6766" s="2"/>
      <c r="C6766" s="26"/>
      <c r="D6766" s="26"/>
      <c r="F6766" s="85" t="str">
        <f t="shared" si="0"/>
        <v/>
      </c>
      <c r="G6766" s="1" t="e">
        <f>IF(VALUE(F6766) = VALUE(RIGHT(Insights!$C$3, 4)), E6766, "")</f>
        <v>#VALUE!</v>
      </c>
      <c r="H6766" s="26" t="e">
        <f t="shared" si="1"/>
        <v>#VALUE!</v>
      </c>
      <c r="I6766" s="1" t="e">
        <f t="shared" si="2"/>
        <v>#VALUE!</v>
      </c>
    </row>
    <row r="6767" spans="1:9" ht="15.75" customHeight="1">
      <c r="A6767" s="26"/>
      <c r="B6767" s="2"/>
      <c r="C6767" s="26"/>
      <c r="D6767" s="26"/>
      <c r="F6767" s="85" t="str">
        <f t="shared" si="0"/>
        <v/>
      </c>
      <c r="G6767" s="1" t="e">
        <f>IF(VALUE(F6767) = VALUE(RIGHT(Insights!$C$3, 4)), E6767, "")</f>
        <v>#VALUE!</v>
      </c>
      <c r="H6767" s="26" t="e">
        <f t="shared" si="1"/>
        <v>#VALUE!</v>
      </c>
      <c r="I6767" s="1" t="e">
        <f t="shared" si="2"/>
        <v>#VALUE!</v>
      </c>
    </row>
    <row r="6768" spans="1:9" ht="15.75" customHeight="1">
      <c r="A6768" s="26"/>
      <c r="B6768" s="2"/>
      <c r="C6768" s="26"/>
      <c r="D6768" s="26"/>
      <c r="F6768" s="85" t="str">
        <f t="shared" si="0"/>
        <v/>
      </c>
      <c r="G6768" s="1" t="e">
        <f>IF(VALUE(F6768) = VALUE(RIGHT(Insights!$C$3, 4)), E6768, "")</f>
        <v>#VALUE!</v>
      </c>
      <c r="H6768" s="26" t="e">
        <f t="shared" si="1"/>
        <v>#VALUE!</v>
      </c>
      <c r="I6768" s="1" t="e">
        <f t="shared" si="2"/>
        <v>#VALUE!</v>
      </c>
    </row>
    <row r="6769" spans="1:9" ht="15.75" customHeight="1">
      <c r="A6769" s="26"/>
      <c r="B6769" s="2"/>
      <c r="C6769" s="26"/>
      <c r="D6769" s="26"/>
      <c r="F6769" s="85" t="str">
        <f t="shared" si="0"/>
        <v/>
      </c>
      <c r="G6769" s="1" t="e">
        <f>IF(VALUE(F6769) = VALUE(RIGHT(Insights!$C$3, 4)), E6769, "")</f>
        <v>#VALUE!</v>
      </c>
      <c r="H6769" s="26" t="e">
        <f t="shared" si="1"/>
        <v>#VALUE!</v>
      </c>
      <c r="I6769" s="1" t="e">
        <f t="shared" si="2"/>
        <v>#VALUE!</v>
      </c>
    </row>
    <row r="6770" spans="1:9" ht="15.75" customHeight="1">
      <c r="A6770" s="26"/>
      <c r="B6770" s="2"/>
      <c r="C6770" s="26"/>
      <c r="D6770" s="26"/>
      <c r="F6770" s="85" t="str">
        <f t="shared" si="0"/>
        <v/>
      </c>
      <c r="G6770" s="1" t="e">
        <f>IF(VALUE(F6770) = VALUE(RIGHT(Insights!$C$3, 4)), E6770, "")</f>
        <v>#VALUE!</v>
      </c>
      <c r="H6770" s="26" t="e">
        <f t="shared" si="1"/>
        <v>#VALUE!</v>
      </c>
      <c r="I6770" s="1" t="e">
        <f t="shared" si="2"/>
        <v>#VALUE!</v>
      </c>
    </row>
    <row r="6771" spans="1:9" ht="15.75" customHeight="1">
      <c r="A6771" s="26"/>
      <c r="B6771" s="2"/>
      <c r="C6771" s="26"/>
      <c r="D6771" s="26"/>
      <c r="F6771" s="85" t="str">
        <f t="shared" si="0"/>
        <v/>
      </c>
      <c r="G6771" s="1" t="e">
        <f>IF(VALUE(F6771) = VALUE(RIGHT(Insights!$C$3, 4)), E6771, "")</f>
        <v>#VALUE!</v>
      </c>
      <c r="H6771" s="26" t="e">
        <f t="shared" si="1"/>
        <v>#VALUE!</v>
      </c>
      <c r="I6771" s="1" t="e">
        <f t="shared" si="2"/>
        <v>#VALUE!</v>
      </c>
    </row>
    <row r="6772" spans="1:9" ht="15.75" customHeight="1">
      <c r="A6772" s="26"/>
      <c r="B6772" s="2"/>
      <c r="C6772" s="26"/>
      <c r="D6772" s="26"/>
      <c r="F6772" s="85" t="str">
        <f t="shared" si="0"/>
        <v/>
      </c>
      <c r="G6772" s="1" t="e">
        <f>IF(VALUE(F6772) = VALUE(RIGHT(Insights!$C$3, 4)), E6772, "")</f>
        <v>#VALUE!</v>
      </c>
      <c r="H6772" s="26" t="e">
        <f t="shared" si="1"/>
        <v>#VALUE!</v>
      </c>
      <c r="I6772" s="1" t="e">
        <f t="shared" si="2"/>
        <v>#VALUE!</v>
      </c>
    </row>
    <row r="6773" spans="1:9" ht="15.75" customHeight="1">
      <c r="A6773" s="26"/>
      <c r="B6773" s="2"/>
      <c r="C6773" s="26"/>
      <c r="D6773" s="26"/>
      <c r="F6773" s="85" t="str">
        <f t="shared" si="0"/>
        <v/>
      </c>
      <c r="G6773" s="1" t="e">
        <f>IF(VALUE(F6773) = VALUE(RIGHT(Insights!$C$3, 4)), E6773, "")</f>
        <v>#VALUE!</v>
      </c>
      <c r="H6773" s="26" t="e">
        <f t="shared" si="1"/>
        <v>#VALUE!</v>
      </c>
      <c r="I6773" s="1" t="e">
        <f t="shared" si="2"/>
        <v>#VALUE!</v>
      </c>
    </row>
    <row r="6774" spans="1:9" ht="15.75" customHeight="1">
      <c r="A6774" s="26"/>
      <c r="B6774" s="2"/>
      <c r="C6774" s="26"/>
      <c r="D6774" s="26"/>
      <c r="F6774" s="85" t="str">
        <f t="shared" si="0"/>
        <v/>
      </c>
      <c r="G6774" s="1" t="e">
        <f>IF(VALUE(F6774) = VALUE(RIGHT(Insights!$C$3, 4)), E6774, "")</f>
        <v>#VALUE!</v>
      </c>
      <c r="H6774" s="26" t="e">
        <f t="shared" si="1"/>
        <v>#VALUE!</v>
      </c>
      <c r="I6774" s="1" t="e">
        <f t="shared" si="2"/>
        <v>#VALUE!</v>
      </c>
    </row>
    <row r="6775" spans="1:9" ht="15.75" customHeight="1">
      <c r="A6775" s="26"/>
      <c r="B6775" s="2"/>
      <c r="C6775" s="26"/>
      <c r="D6775" s="26"/>
      <c r="F6775" s="85" t="str">
        <f t="shared" si="0"/>
        <v/>
      </c>
      <c r="G6775" s="1" t="e">
        <f>IF(VALUE(F6775) = VALUE(RIGHT(Insights!$C$3, 4)), E6775, "")</f>
        <v>#VALUE!</v>
      </c>
      <c r="H6775" s="26" t="e">
        <f t="shared" si="1"/>
        <v>#VALUE!</v>
      </c>
      <c r="I6775" s="1" t="e">
        <f t="shared" si="2"/>
        <v>#VALUE!</v>
      </c>
    </row>
    <row r="6776" spans="1:9" ht="15.75" customHeight="1">
      <c r="A6776" s="26"/>
      <c r="B6776" s="2"/>
      <c r="C6776" s="26"/>
      <c r="D6776" s="26"/>
      <c r="F6776" s="85" t="str">
        <f t="shared" si="0"/>
        <v/>
      </c>
      <c r="G6776" s="1" t="e">
        <f>IF(VALUE(F6776) = VALUE(RIGHT(Insights!$C$3, 4)), E6776, "")</f>
        <v>#VALUE!</v>
      </c>
      <c r="H6776" s="26" t="e">
        <f t="shared" si="1"/>
        <v>#VALUE!</v>
      </c>
      <c r="I6776" s="1" t="e">
        <f t="shared" si="2"/>
        <v>#VALUE!</v>
      </c>
    </row>
    <row r="6777" spans="1:9" ht="15.75" customHeight="1">
      <c r="A6777" s="26"/>
      <c r="B6777" s="2"/>
      <c r="C6777" s="26"/>
      <c r="D6777" s="26"/>
      <c r="F6777" s="85" t="str">
        <f t="shared" si="0"/>
        <v/>
      </c>
      <c r="G6777" s="1" t="e">
        <f>IF(VALUE(F6777) = VALUE(RIGHT(Insights!$C$3, 4)), E6777, "")</f>
        <v>#VALUE!</v>
      </c>
      <c r="H6777" s="26" t="e">
        <f t="shared" si="1"/>
        <v>#VALUE!</v>
      </c>
      <c r="I6777" s="1" t="e">
        <f t="shared" si="2"/>
        <v>#VALUE!</v>
      </c>
    </row>
    <row r="6778" spans="1:9" ht="15.75" customHeight="1">
      <c r="A6778" s="26"/>
      <c r="B6778" s="2"/>
      <c r="C6778" s="26"/>
      <c r="D6778" s="26"/>
      <c r="F6778" s="85" t="str">
        <f t="shared" si="0"/>
        <v/>
      </c>
      <c r="G6778" s="1" t="e">
        <f>IF(VALUE(F6778) = VALUE(RIGHT(Insights!$C$3, 4)), E6778, "")</f>
        <v>#VALUE!</v>
      </c>
      <c r="H6778" s="26" t="e">
        <f t="shared" si="1"/>
        <v>#VALUE!</v>
      </c>
      <c r="I6778" s="1" t="e">
        <f t="shared" si="2"/>
        <v>#VALUE!</v>
      </c>
    </row>
    <row r="6779" spans="1:9" ht="15.75" customHeight="1">
      <c r="A6779" s="26"/>
      <c r="B6779" s="2"/>
      <c r="C6779" s="26"/>
      <c r="D6779" s="26"/>
      <c r="F6779" s="85" t="str">
        <f t="shared" si="0"/>
        <v/>
      </c>
      <c r="G6779" s="1" t="e">
        <f>IF(VALUE(F6779) = VALUE(RIGHT(Insights!$C$3, 4)), E6779, "")</f>
        <v>#VALUE!</v>
      </c>
      <c r="H6779" s="26" t="e">
        <f t="shared" si="1"/>
        <v>#VALUE!</v>
      </c>
      <c r="I6779" s="1" t="e">
        <f t="shared" si="2"/>
        <v>#VALUE!</v>
      </c>
    </row>
    <row r="6780" spans="1:9" ht="15.75" customHeight="1">
      <c r="A6780" s="26"/>
      <c r="B6780" s="2"/>
      <c r="C6780" s="26"/>
      <c r="D6780" s="26"/>
      <c r="F6780" s="85" t="str">
        <f t="shared" si="0"/>
        <v/>
      </c>
      <c r="G6780" s="1" t="e">
        <f>IF(VALUE(F6780) = VALUE(RIGHT(Insights!$C$3, 4)), E6780, "")</f>
        <v>#VALUE!</v>
      </c>
      <c r="H6780" s="26" t="e">
        <f t="shared" si="1"/>
        <v>#VALUE!</v>
      </c>
      <c r="I6780" s="1" t="e">
        <f t="shared" si="2"/>
        <v>#VALUE!</v>
      </c>
    </row>
    <row r="6781" spans="1:9" ht="15.75" customHeight="1">
      <c r="A6781" s="26"/>
      <c r="B6781" s="2"/>
      <c r="C6781" s="26"/>
      <c r="D6781" s="26"/>
      <c r="F6781" s="85" t="str">
        <f t="shared" si="0"/>
        <v/>
      </c>
      <c r="G6781" s="1" t="e">
        <f>IF(VALUE(F6781) = VALUE(RIGHT(Insights!$C$3, 4)), E6781, "")</f>
        <v>#VALUE!</v>
      </c>
      <c r="H6781" s="26" t="e">
        <f t="shared" si="1"/>
        <v>#VALUE!</v>
      </c>
      <c r="I6781" s="1" t="e">
        <f t="shared" si="2"/>
        <v>#VALUE!</v>
      </c>
    </row>
    <row r="6782" spans="1:9" ht="15.75" customHeight="1">
      <c r="A6782" s="26"/>
      <c r="B6782" s="2"/>
      <c r="C6782" s="26"/>
      <c r="D6782" s="26"/>
      <c r="F6782" s="85" t="str">
        <f t="shared" si="0"/>
        <v/>
      </c>
      <c r="G6782" s="1" t="e">
        <f>IF(VALUE(F6782) = VALUE(RIGHT(Insights!$C$3, 4)), E6782, "")</f>
        <v>#VALUE!</v>
      </c>
      <c r="H6782" s="26" t="e">
        <f t="shared" si="1"/>
        <v>#VALUE!</v>
      </c>
      <c r="I6782" s="1" t="e">
        <f t="shared" si="2"/>
        <v>#VALUE!</v>
      </c>
    </row>
    <row r="6783" spans="1:9" ht="15.75" customHeight="1">
      <c r="A6783" s="26"/>
      <c r="B6783" s="2"/>
      <c r="C6783" s="26"/>
      <c r="D6783" s="26"/>
      <c r="F6783" s="85" t="str">
        <f t="shared" si="0"/>
        <v/>
      </c>
      <c r="G6783" s="1" t="e">
        <f>IF(VALUE(F6783) = VALUE(RIGHT(Insights!$C$3, 4)), E6783, "")</f>
        <v>#VALUE!</v>
      </c>
      <c r="H6783" s="26" t="e">
        <f t="shared" si="1"/>
        <v>#VALUE!</v>
      </c>
      <c r="I6783" s="1" t="e">
        <f t="shared" si="2"/>
        <v>#VALUE!</v>
      </c>
    </row>
    <row r="6784" spans="1:9" ht="15.75" customHeight="1">
      <c r="A6784" s="26"/>
      <c r="B6784" s="2"/>
      <c r="C6784" s="26"/>
      <c r="D6784" s="26"/>
      <c r="F6784" s="85" t="str">
        <f t="shared" si="0"/>
        <v/>
      </c>
      <c r="G6784" s="1" t="e">
        <f>IF(VALUE(F6784) = VALUE(RIGHT(Insights!$C$3, 4)), E6784, "")</f>
        <v>#VALUE!</v>
      </c>
      <c r="H6784" s="26" t="e">
        <f t="shared" si="1"/>
        <v>#VALUE!</v>
      </c>
      <c r="I6784" s="1" t="e">
        <f t="shared" si="2"/>
        <v>#VALUE!</v>
      </c>
    </row>
    <row r="6785" spans="1:9" ht="15.75" customHeight="1">
      <c r="A6785" s="26"/>
      <c r="B6785" s="2"/>
      <c r="C6785" s="26"/>
      <c r="D6785" s="26"/>
      <c r="F6785" s="85" t="str">
        <f t="shared" si="0"/>
        <v/>
      </c>
      <c r="G6785" s="1" t="e">
        <f>IF(VALUE(F6785) = VALUE(RIGHT(Insights!$C$3, 4)), E6785, "")</f>
        <v>#VALUE!</v>
      </c>
      <c r="H6785" s="26" t="e">
        <f t="shared" si="1"/>
        <v>#VALUE!</v>
      </c>
      <c r="I6785" s="1" t="e">
        <f t="shared" si="2"/>
        <v>#VALUE!</v>
      </c>
    </row>
    <row r="6786" spans="1:9" ht="15.75" customHeight="1">
      <c r="A6786" s="26"/>
      <c r="B6786" s="2"/>
      <c r="C6786" s="26"/>
      <c r="D6786" s="26"/>
      <c r="F6786" s="85" t="str">
        <f t="shared" si="0"/>
        <v/>
      </c>
      <c r="G6786" s="1" t="e">
        <f>IF(VALUE(F6786) = VALUE(RIGHT(Insights!$C$3, 4)), E6786, "")</f>
        <v>#VALUE!</v>
      </c>
      <c r="H6786" s="26" t="e">
        <f t="shared" si="1"/>
        <v>#VALUE!</v>
      </c>
      <c r="I6786" s="1" t="e">
        <f t="shared" si="2"/>
        <v>#VALUE!</v>
      </c>
    </row>
    <row r="6787" spans="1:9" ht="15.75" customHeight="1">
      <c r="A6787" s="26"/>
      <c r="B6787" s="2"/>
      <c r="C6787" s="26"/>
      <c r="D6787" s="26"/>
      <c r="F6787" s="85" t="str">
        <f t="shared" si="0"/>
        <v/>
      </c>
      <c r="G6787" s="1" t="e">
        <f>IF(VALUE(F6787) = VALUE(RIGHT(Insights!$C$3, 4)), E6787, "")</f>
        <v>#VALUE!</v>
      </c>
      <c r="H6787" s="26" t="e">
        <f t="shared" si="1"/>
        <v>#VALUE!</v>
      </c>
      <c r="I6787" s="1" t="e">
        <f t="shared" si="2"/>
        <v>#VALUE!</v>
      </c>
    </row>
    <row r="6788" spans="1:9" ht="15.75" customHeight="1">
      <c r="A6788" s="26"/>
      <c r="B6788" s="2"/>
      <c r="C6788" s="26"/>
      <c r="D6788" s="26"/>
      <c r="F6788" s="85" t="str">
        <f t="shared" si="0"/>
        <v/>
      </c>
      <c r="G6788" s="1" t="e">
        <f>IF(VALUE(F6788) = VALUE(RIGHT(Insights!$C$3, 4)), E6788, "")</f>
        <v>#VALUE!</v>
      </c>
      <c r="H6788" s="26" t="e">
        <f t="shared" si="1"/>
        <v>#VALUE!</v>
      </c>
      <c r="I6788" s="1" t="e">
        <f t="shared" si="2"/>
        <v>#VALUE!</v>
      </c>
    </row>
    <row r="6789" spans="1:9" ht="15.75" customHeight="1">
      <c r="A6789" s="26"/>
      <c r="B6789" s="2"/>
      <c r="C6789" s="26"/>
      <c r="D6789" s="26"/>
      <c r="F6789" s="85" t="str">
        <f t="shared" si="0"/>
        <v/>
      </c>
      <c r="G6789" s="1" t="e">
        <f>IF(VALUE(F6789) = VALUE(RIGHT(Insights!$C$3, 4)), E6789, "")</f>
        <v>#VALUE!</v>
      </c>
      <c r="H6789" s="26" t="e">
        <f t="shared" si="1"/>
        <v>#VALUE!</v>
      </c>
      <c r="I6789" s="1" t="e">
        <f t="shared" si="2"/>
        <v>#VALUE!</v>
      </c>
    </row>
    <row r="6790" spans="1:9" ht="15.75" customHeight="1">
      <c r="A6790" s="26"/>
      <c r="B6790" s="2"/>
      <c r="C6790" s="26"/>
      <c r="D6790" s="26"/>
      <c r="F6790" s="85" t="str">
        <f t="shared" si="0"/>
        <v/>
      </c>
      <c r="G6790" s="1" t="e">
        <f>IF(VALUE(F6790) = VALUE(RIGHT(Insights!$C$3, 4)), E6790, "")</f>
        <v>#VALUE!</v>
      </c>
      <c r="H6790" s="26" t="e">
        <f t="shared" si="1"/>
        <v>#VALUE!</v>
      </c>
      <c r="I6790" s="1" t="e">
        <f t="shared" si="2"/>
        <v>#VALUE!</v>
      </c>
    </row>
    <row r="6791" spans="1:9" ht="15.75" customHeight="1">
      <c r="A6791" s="26"/>
      <c r="B6791" s="2"/>
      <c r="C6791" s="26"/>
      <c r="D6791" s="26"/>
      <c r="F6791" s="85" t="str">
        <f t="shared" si="0"/>
        <v/>
      </c>
      <c r="G6791" s="1" t="e">
        <f>IF(VALUE(F6791) = VALUE(RIGHT(Insights!$C$3, 4)), E6791, "")</f>
        <v>#VALUE!</v>
      </c>
      <c r="H6791" s="26" t="e">
        <f t="shared" si="1"/>
        <v>#VALUE!</v>
      </c>
      <c r="I6791" s="1" t="e">
        <f t="shared" si="2"/>
        <v>#VALUE!</v>
      </c>
    </row>
    <row r="6792" spans="1:9" ht="15.75" customHeight="1">
      <c r="A6792" s="26"/>
      <c r="B6792" s="2"/>
      <c r="C6792" s="26"/>
      <c r="D6792" s="26"/>
      <c r="F6792" s="85" t="str">
        <f t="shared" si="0"/>
        <v/>
      </c>
      <c r="G6792" s="1" t="e">
        <f>IF(VALUE(F6792) = VALUE(RIGHT(Insights!$C$3, 4)), E6792, "")</f>
        <v>#VALUE!</v>
      </c>
      <c r="H6792" s="26" t="e">
        <f t="shared" si="1"/>
        <v>#VALUE!</v>
      </c>
      <c r="I6792" s="1" t="e">
        <f t="shared" si="2"/>
        <v>#VALUE!</v>
      </c>
    </row>
    <row r="6793" spans="1:9" ht="15.75" customHeight="1">
      <c r="A6793" s="26"/>
      <c r="B6793" s="2"/>
      <c r="C6793" s="26"/>
      <c r="D6793" s="26"/>
      <c r="F6793" s="85" t="str">
        <f t="shared" si="0"/>
        <v/>
      </c>
      <c r="G6793" s="1" t="e">
        <f>IF(VALUE(F6793) = VALUE(RIGHT(Insights!$C$3, 4)), E6793, "")</f>
        <v>#VALUE!</v>
      </c>
      <c r="H6793" s="26" t="e">
        <f t="shared" si="1"/>
        <v>#VALUE!</v>
      </c>
      <c r="I6793" s="1" t="e">
        <f t="shared" si="2"/>
        <v>#VALUE!</v>
      </c>
    </row>
    <row r="6794" spans="1:9" ht="15.75" customHeight="1">
      <c r="A6794" s="26"/>
      <c r="B6794" s="2"/>
      <c r="C6794" s="26"/>
      <c r="D6794" s="26"/>
      <c r="F6794" s="85" t="str">
        <f t="shared" si="0"/>
        <v/>
      </c>
      <c r="G6794" s="1" t="e">
        <f>IF(VALUE(F6794) = VALUE(RIGHT(Insights!$C$3, 4)), E6794, "")</f>
        <v>#VALUE!</v>
      </c>
      <c r="H6794" s="26" t="e">
        <f t="shared" si="1"/>
        <v>#VALUE!</v>
      </c>
      <c r="I6794" s="1" t="e">
        <f t="shared" si="2"/>
        <v>#VALUE!</v>
      </c>
    </row>
    <row r="6795" spans="1:9" ht="15.75" customHeight="1">
      <c r="A6795" s="26"/>
      <c r="B6795" s="2"/>
      <c r="C6795" s="26"/>
      <c r="D6795" s="26"/>
      <c r="F6795" s="85" t="str">
        <f t="shared" si="0"/>
        <v/>
      </c>
      <c r="G6795" s="1" t="e">
        <f>IF(VALUE(F6795) = VALUE(RIGHT(Insights!$C$3, 4)), E6795, "")</f>
        <v>#VALUE!</v>
      </c>
      <c r="H6795" s="26" t="e">
        <f t="shared" si="1"/>
        <v>#VALUE!</v>
      </c>
      <c r="I6795" s="1" t="e">
        <f t="shared" si="2"/>
        <v>#VALUE!</v>
      </c>
    </row>
    <row r="6796" spans="1:9" ht="15.75" customHeight="1">
      <c r="A6796" s="26"/>
      <c r="B6796" s="2"/>
      <c r="C6796" s="26"/>
      <c r="D6796" s="26"/>
      <c r="F6796" s="85" t="str">
        <f t="shared" si="0"/>
        <v/>
      </c>
      <c r="G6796" s="1" t="e">
        <f>IF(VALUE(F6796) = VALUE(RIGHT(Insights!$C$3, 4)), E6796, "")</f>
        <v>#VALUE!</v>
      </c>
      <c r="H6796" s="26" t="e">
        <f t="shared" si="1"/>
        <v>#VALUE!</v>
      </c>
      <c r="I6796" s="1" t="e">
        <f t="shared" si="2"/>
        <v>#VALUE!</v>
      </c>
    </row>
    <row r="6797" spans="1:9" ht="15.75" customHeight="1">
      <c r="A6797" s="26"/>
      <c r="B6797" s="2"/>
      <c r="C6797" s="26"/>
      <c r="D6797" s="26"/>
      <c r="F6797" s="85" t="str">
        <f t="shared" si="0"/>
        <v/>
      </c>
      <c r="G6797" s="1" t="e">
        <f>IF(VALUE(F6797) = VALUE(RIGHT(Insights!$C$3, 4)), E6797, "")</f>
        <v>#VALUE!</v>
      </c>
      <c r="H6797" s="26" t="e">
        <f t="shared" si="1"/>
        <v>#VALUE!</v>
      </c>
      <c r="I6797" s="1" t="e">
        <f t="shared" si="2"/>
        <v>#VALUE!</v>
      </c>
    </row>
    <row r="6798" spans="1:9" ht="15.75" customHeight="1">
      <c r="A6798" s="26"/>
      <c r="B6798" s="2"/>
      <c r="C6798" s="26"/>
      <c r="D6798" s="26"/>
      <c r="F6798" s="85" t="str">
        <f t="shared" si="0"/>
        <v/>
      </c>
      <c r="G6798" s="1" t="e">
        <f>IF(VALUE(F6798) = VALUE(RIGHT(Insights!$C$3, 4)), E6798, "")</f>
        <v>#VALUE!</v>
      </c>
      <c r="H6798" s="26" t="e">
        <f t="shared" si="1"/>
        <v>#VALUE!</v>
      </c>
      <c r="I6798" s="1" t="e">
        <f t="shared" si="2"/>
        <v>#VALUE!</v>
      </c>
    </row>
    <row r="6799" spans="1:9" ht="15.75" customHeight="1">
      <c r="A6799" s="26"/>
      <c r="B6799" s="2"/>
      <c r="C6799" s="26"/>
      <c r="D6799" s="26"/>
      <c r="F6799" s="85" t="str">
        <f t="shared" si="0"/>
        <v/>
      </c>
      <c r="G6799" s="1" t="e">
        <f>IF(VALUE(F6799) = VALUE(RIGHT(Insights!$C$3, 4)), E6799, "")</f>
        <v>#VALUE!</v>
      </c>
      <c r="H6799" s="26" t="e">
        <f t="shared" si="1"/>
        <v>#VALUE!</v>
      </c>
      <c r="I6799" s="1" t="e">
        <f t="shared" si="2"/>
        <v>#VALUE!</v>
      </c>
    </row>
    <row r="6800" spans="1:9" ht="15.75" customHeight="1">
      <c r="A6800" s="26"/>
      <c r="B6800" s="2"/>
      <c r="C6800" s="26"/>
      <c r="D6800" s="26"/>
      <c r="F6800" s="85" t="str">
        <f t="shared" si="0"/>
        <v/>
      </c>
      <c r="G6800" s="1" t="e">
        <f>IF(VALUE(F6800) = VALUE(RIGHT(Insights!$C$3, 4)), E6800, "")</f>
        <v>#VALUE!</v>
      </c>
      <c r="H6800" s="26" t="e">
        <f t="shared" si="1"/>
        <v>#VALUE!</v>
      </c>
      <c r="I6800" s="1" t="e">
        <f t="shared" si="2"/>
        <v>#VALUE!</v>
      </c>
    </row>
    <row r="6801" spans="1:9" ht="15.75" customHeight="1">
      <c r="A6801" s="26"/>
      <c r="B6801" s="2"/>
      <c r="C6801" s="26"/>
      <c r="D6801" s="26"/>
      <c r="F6801" s="85" t="str">
        <f t="shared" si="0"/>
        <v/>
      </c>
      <c r="G6801" s="1" t="e">
        <f>IF(VALUE(F6801) = VALUE(RIGHT(Insights!$C$3, 4)), E6801, "")</f>
        <v>#VALUE!</v>
      </c>
      <c r="H6801" s="26" t="e">
        <f t="shared" si="1"/>
        <v>#VALUE!</v>
      </c>
      <c r="I6801" s="1" t="e">
        <f t="shared" si="2"/>
        <v>#VALUE!</v>
      </c>
    </row>
    <row r="6802" spans="1:9" ht="15.75" customHeight="1">
      <c r="A6802" s="26"/>
      <c r="B6802" s="2"/>
      <c r="C6802" s="26"/>
      <c r="D6802" s="26"/>
      <c r="F6802" s="85" t="str">
        <f t="shared" si="0"/>
        <v/>
      </c>
      <c r="G6802" s="1" t="e">
        <f>IF(VALUE(F6802) = VALUE(RIGHT(Insights!$C$3, 4)), E6802, "")</f>
        <v>#VALUE!</v>
      </c>
      <c r="H6802" s="26" t="e">
        <f t="shared" si="1"/>
        <v>#VALUE!</v>
      </c>
      <c r="I6802" s="1" t="e">
        <f t="shared" si="2"/>
        <v>#VALUE!</v>
      </c>
    </row>
    <row r="6803" spans="1:9" ht="15.75" customHeight="1">
      <c r="A6803" s="26"/>
      <c r="B6803" s="2"/>
      <c r="C6803" s="26"/>
      <c r="D6803" s="26"/>
      <c r="F6803" s="85" t="str">
        <f t="shared" si="0"/>
        <v/>
      </c>
      <c r="G6803" s="1" t="e">
        <f>IF(VALUE(F6803) = VALUE(RIGHT(Insights!$C$3, 4)), E6803, "")</f>
        <v>#VALUE!</v>
      </c>
      <c r="H6803" s="26" t="e">
        <f t="shared" si="1"/>
        <v>#VALUE!</v>
      </c>
      <c r="I6803" s="1" t="e">
        <f t="shared" si="2"/>
        <v>#VALUE!</v>
      </c>
    </row>
    <row r="6804" spans="1:9" ht="15.75" customHeight="1">
      <c r="A6804" s="26"/>
      <c r="B6804" s="2"/>
      <c r="C6804" s="26"/>
      <c r="D6804" s="26"/>
      <c r="F6804" s="85" t="str">
        <f t="shared" si="0"/>
        <v/>
      </c>
      <c r="G6804" s="1" t="e">
        <f>IF(VALUE(F6804) = VALUE(RIGHT(Insights!$C$3, 4)), E6804, "")</f>
        <v>#VALUE!</v>
      </c>
      <c r="H6804" s="26" t="e">
        <f t="shared" si="1"/>
        <v>#VALUE!</v>
      </c>
      <c r="I6804" s="1" t="e">
        <f t="shared" si="2"/>
        <v>#VALUE!</v>
      </c>
    </row>
    <row r="6805" spans="1:9" ht="15.75" customHeight="1">
      <c r="A6805" s="26"/>
      <c r="B6805" s="2"/>
      <c r="C6805" s="26"/>
      <c r="D6805" s="26"/>
      <c r="F6805" s="85" t="str">
        <f t="shared" si="0"/>
        <v/>
      </c>
      <c r="G6805" s="1" t="e">
        <f>IF(VALUE(F6805) = VALUE(RIGHT(Insights!$C$3, 4)), E6805, "")</f>
        <v>#VALUE!</v>
      </c>
      <c r="H6805" s="26" t="e">
        <f t="shared" si="1"/>
        <v>#VALUE!</v>
      </c>
      <c r="I6805" s="1" t="e">
        <f t="shared" si="2"/>
        <v>#VALUE!</v>
      </c>
    </row>
    <row r="6806" spans="1:9" ht="15.75" customHeight="1">
      <c r="A6806" s="26"/>
      <c r="B6806" s="2"/>
      <c r="C6806" s="26"/>
      <c r="D6806" s="26"/>
      <c r="F6806" s="85" t="str">
        <f t="shared" si="0"/>
        <v/>
      </c>
      <c r="G6806" s="1" t="e">
        <f>IF(VALUE(F6806) = VALUE(RIGHT(Insights!$C$3, 4)), E6806, "")</f>
        <v>#VALUE!</v>
      </c>
      <c r="H6806" s="26" t="e">
        <f t="shared" si="1"/>
        <v>#VALUE!</v>
      </c>
      <c r="I6806" s="1" t="e">
        <f t="shared" si="2"/>
        <v>#VALUE!</v>
      </c>
    </row>
    <row r="6807" spans="1:9" ht="15.75" customHeight="1">
      <c r="A6807" s="26"/>
      <c r="B6807" s="2"/>
      <c r="C6807" s="26"/>
      <c r="D6807" s="26"/>
      <c r="F6807" s="85" t="str">
        <f t="shared" si="0"/>
        <v/>
      </c>
      <c r="G6807" s="1" t="e">
        <f>IF(VALUE(F6807) = VALUE(RIGHT(Insights!$C$3, 4)), E6807, "")</f>
        <v>#VALUE!</v>
      </c>
      <c r="H6807" s="26" t="e">
        <f t="shared" si="1"/>
        <v>#VALUE!</v>
      </c>
      <c r="I6807" s="1" t="e">
        <f t="shared" si="2"/>
        <v>#VALUE!</v>
      </c>
    </row>
    <row r="6808" spans="1:9" ht="15.75" customHeight="1">
      <c r="A6808" s="26"/>
      <c r="B6808" s="2"/>
      <c r="C6808" s="26"/>
      <c r="D6808" s="26"/>
      <c r="F6808" s="85" t="str">
        <f t="shared" si="0"/>
        <v/>
      </c>
      <c r="G6808" s="1" t="e">
        <f>IF(VALUE(F6808) = VALUE(RIGHT(Insights!$C$3, 4)), E6808, "")</f>
        <v>#VALUE!</v>
      </c>
      <c r="H6808" s="26" t="e">
        <f t="shared" si="1"/>
        <v>#VALUE!</v>
      </c>
      <c r="I6808" s="1" t="e">
        <f t="shared" si="2"/>
        <v>#VALUE!</v>
      </c>
    </row>
    <row r="6809" spans="1:9" ht="15.75" customHeight="1">
      <c r="A6809" s="26"/>
      <c r="B6809" s="2"/>
      <c r="C6809" s="26"/>
      <c r="D6809" s="26"/>
      <c r="F6809" s="85" t="str">
        <f t="shared" si="0"/>
        <v/>
      </c>
      <c r="G6809" s="1" t="e">
        <f>IF(VALUE(F6809) = VALUE(RIGHT(Insights!$C$3, 4)), E6809, "")</f>
        <v>#VALUE!</v>
      </c>
      <c r="H6809" s="26" t="e">
        <f t="shared" si="1"/>
        <v>#VALUE!</v>
      </c>
      <c r="I6809" s="1" t="e">
        <f t="shared" si="2"/>
        <v>#VALUE!</v>
      </c>
    </row>
    <row r="6810" spans="1:9" ht="15.75" customHeight="1">
      <c r="A6810" s="26"/>
      <c r="B6810" s="2"/>
      <c r="C6810" s="26"/>
      <c r="D6810" s="26"/>
      <c r="F6810" s="85" t="str">
        <f t="shared" si="0"/>
        <v/>
      </c>
      <c r="G6810" s="1" t="e">
        <f>IF(VALUE(F6810) = VALUE(RIGHT(Insights!$C$3, 4)), E6810, "")</f>
        <v>#VALUE!</v>
      </c>
      <c r="H6810" s="26" t="e">
        <f t="shared" si="1"/>
        <v>#VALUE!</v>
      </c>
      <c r="I6810" s="1" t="e">
        <f t="shared" si="2"/>
        <v>#VALUE!</v>
      </c>
    </row>
    <row r="6811" spans="1:9" ht="15.75" customHeight="1">
      <c r="A6811" s="26"/>
      <c r="B6811" s="2"/>
      <c r="C6811" s="26"/>
      <c r="D6811" s="26"/>
      <c r="F6811" s="85" t="str">
        <f t="shared" si="0"/>
        <v/>
      </c>
      <c r="G6811" s="1" t="e">
        <f>IF(VALUE(F6811) = VALUE(RIGHT(Insights!$C$3, 4)), E6811, "")</f>
        <v>#VALUE!</v>
      </c>
      <c r="H6811" s="26" t="e">
        <f t="shared" si="1"/>
        <v>#VALUE!</v>
      </c>
      <c r="I6811" s="1" t="e">
        <f t="shared" si="2"/>
        <v>#VALUE!</v>
      </c>
    </row>
    <row r="6812" spans="1:9" ht="15.75" customHeight="1">
      <c r="A6812" s="26"/>
      <c r="B6812" s="2"/>
      <c r="C6812" s="26"/>
      <c r="D6812" s="26"/>
      <c r="F6812" s="85" t="str">
        <f t="shared" si="0"/>
        <v/>
      </c>
      <c r="G6812" s="1" t="e">
        <f>IF(VALUE(F6812) = VALUE(RIGHT(Insights!$C$3, 4)), E6812, "")</f>
        <v>#VALUE!</v>
      </c>
      <c r="H6812" s="26" t="e">
        <f t="shared" si="1"/>
        <v>#VALUE!</v>
      </c>
      <c r="I6812" s="1" t="e">
        <f t="shared" si="2"/>
        <v>#VALUE!</v>
      </c>
    </row>
    <row r="6813" spans="1:9" ht="15.75" customHeight="1">
      <c r="A6813" s="26"/>
      <c r="B6813" s="2"/>
      <c r="C6813" s="26"/>
      <c r="D6813" s="26"/>
      <c r="F6813" s="85" t="str">
        <f t="shared" si="0"/>
        <v/>
      </c>
      <c r="G6813" s="1" t="e">
        <f>IF(VALUE(F6813) = VALUE(RIGHT(Insights!$C$3, 4)), E6813, "")</f>
        <v>#VALUE!</v>
      </c>
      <c r="H6813" s="26" t="e">
        <f t="shared" si="1"/>
        <v>#VALUE!</v>
      </c>
      <c r="I6813" s="1" t="e">
        <f t="shared" si="2"/>
        <v>#VALUE!</v>
      </c>
    </row>
    <row r="6814" spans="1:9" ht="15.75" customHeight="1">
      <c r="A6814" s="26"/>
      <c r="B6814" s="2"/>
      <c r="C6814" s="26"/>
      <c r="D6814" s="26"/>
      <c r="F6814" s="85" t="str">
        <f t="shared" si="0"/>
        <v/>
      </c>
      <c r="G6814" s="1" t="e">
        <f>IF(VALUE(F6814) = VALUE(RIGHT(Insights!$C$3, 4)), E6814, "")</f>
        <v>#VALUE!</v>
      </c>
      <c r="H6814" s="26" t="e">
        <f t="shared" si="1"/>
        <v>#VALUE!</v>
      </c>
      <c r="I6814" s="1" t="e">
        <f t="shared" si="2"/>
        <v>#VALUE!</v>
      </c>
    </row>
    <row r="6815" spans="1:9" ht="15.75" customHeight="1">
      <c r="A6815" s="26"/>
      <c r="B6815" s="2"/>
      <c r="C6815" s="26"/>
      <c r="D6815" s="26"/>
      <c r="F6815" s="85" t="str">
        <f t="shared" si="0"/>
        <v/>
      </c>
      <c r="G6815" s="1" t="e">
        <f>IF(VALUE(F6815) = VALUE(RIGHT(Insights!$C$3, 4)), E6815, "")</f>
        <v>#VALUE!</v>
      </c>
      <c r="H6815" s="26" t="e">
        <f t="shared" si="1"/>
        <v>#VALUE!</v>
      </c>
      <c r="I6815" s="1" t="e">
        <f t="shared" si="2"/>
        <v>#VALUE!</v>
      </c>
    </row>
    <row r="6816" spans="1:9" ht="15.75" customHeight="1">
      <c r="A6816" s="26"/>
      <c r="B6816" s="2"/>
      <c r="C6816" s="26"/>
      <c r="D6816" s="26"/>
      <c r="F6816" s="85" t="str">
        <f t="shared" si="0"/>
        <v/>
      </c>
      <c r="G6816" s="1" t="e">
        <f>IF(VALUE(F6816) = VALUE(RIGHT(Insights!$C$3, 4)), E6816, "")</f>
        <v>#VALUE!</v>
      </c>
      <c r="H6816" s="26" t="e">
        <f t="shared" si="1"/>
        <v>#VALUE!</v>
      </c>
      <c r="I6816" s="1" t="e">
        <f t="shared" si="2"/>
        <v>#VALUE!</v>
      </c>
    </row>
    <row r="6817" spans="1:9" ht="15.75" customHeight="1">
      <c r="A6817" s="26"/>
      <c r="B6817" s="2"/>
      <c r="C6817" s="26"/>
      <c r="D6817" s="26"/>
      <c r="F6817" s="85" t="str">
        <f t="shared" si="0"/>
        <v/>
      </c>
      <c r="G6817" s="1" t="e">
        <f>IF(VALUE(F6817) = VALUE(RIGHT(Insights!$C$3, 4)), E6817, "")</f>
        <v>#VALUE!</v>
      </c>
      <c r="H6817" s="26" t="e">
        <f t="shared" si="1"/>
        <v>#VALUE!</v>
      </c>
      <c r="I6817" s="1" t="e">
        <f t="shared" si="2"/>
        <v>#VALUE!</v>
      </c>
    </row>
    <row r="6818" spans="1:9" ht="15.75" customHeight="1">
      <c r="A6818" s="26"/>
      <c r="B6818" s="2"/>
      <c r="C6818" s="26"/>
      <c r="D6818" s="26"/>
      <c r="F6818" s="85" t="str">
        <f t="shared" si="0"/>
        <v/>
      </c>
      <c r="G6818" s="1" t="e">
        <f>IF(VALUE(F6818) = VALUE(RIGHT(Insights!$C$3, 4)), E6818, "")</f>
        <v>#VALUE!</v>
      </c>
      <c r="H6818" s="26" t="e">
        <f t="shared" si="1"/>
        <v>#VALUE!</v>
      </c>
      <c r="I6818" s="1" t="e">
        <f t="shared" si="2"/>
        <v>#VALUE!</v>
      </c>
    </row>
    <row r="6819" spans="1:9" ht="15.75" customHeight="1">
      <c r="A6819" s="26"/>
      <c r="B6819" s="2"/>
      <c r="C6819" s="26"/>
      <c r="D6819" s="26"/>
      <c r="F6819" s="85" t="str">
        <f t="shared" si="0"/>
        <v/>
      </c>
      <c r="G6819" s="1" t="e">
        <f>IF(VALUE(F6819) = VALUE(RIGHT(Insights!$C$3, 4)), E6819, "")</f>
        <v>#VALUE!</v>
      </c>
      <c r="H6819" s="26" t="e">
        <f t="shared" si="1"/>
        <v>#VALUE!</v>
      </c>
      <c r="I6819" s="1" t="e">
        <f t="shared" si="2"/>
        <v>#VALUE!</v>
      </c>
    </row>
    <row r="6820" spans="1:9" ht="15.75" customHeight="1">
      <c r="A6820" s="26"/>
      <c r="B6820" s="2"/>
      <c r="C6820" s="26"/>
      <c r="D6820" s="26"/>
      <c r="F6820" s="85" t="str">
        <f t="shared" si="0"/>
        <v/>
      </c>
      <c r="G6820" s="1" t="e">
        <f>IF(VALUE(F6820) = VALUE(RIGHT(Insights!$C$3, 4)), E6820, "")</f>
        <v>#VALUE!</v>
      </c>
      <c r="H6820" s="26" t="e">
        <f t="shared" si="1"/>
        <v>#VALUE!</v>
      </c>
      <c r="I6820" s="1" t="e">
        <f t="shared" si="2"/>
        <v>#VALUE!</v>
      </c>
    </row>
    <row r="6821" spans="1:9" ht="15.75" customHeight="1">
      <c r="A6821" s="26"/>
      <c r="B6821" s="2"/>
      <c r="C6821" s="26"/>
      <c r="D6821" s="26"/>
      <c r="F6821" s="85" t="str">
        <f t="shared" si="0"/>
        <v/>
      </c>
      <c r="G6821" s="1" t="e">
        <f>IF(VALUE(F6821) = VALUE(RIGHT(Insights!$C$3, 4)), E6821, "")</f>
        <v>#VALUE!</v>
      </c>
      <c r="H6821" s="26" t="e">
        <f t="shared" si="1"/>
        <v>#VALUE!</v>
      </c>
      <c r="I6821" s="1" t="e">
        <f t="shared" si="2"/>
        <v>#VALUE!</v>
      </c>
    </row>
    <row r="6822" spans="1:9" ht="15.75" customHeight="1">
      <c r="A6822" s="26"/>
      <c r="B6822" s="2"/>
      <c r="C6822" s="26"/>
      <c r="D6822" s="26"/>
      <c r="F6822" s="85" t="str">
        <f t="shared" si="0"/>
        <v/>
      </c>
      <c r="G6822" s="1" t="e">
        <f>IF(VALUE(F6822) = VALUE(RIGHT(Insights!$C$3, 4)), E6822, "")</f>
        <v>#VALUE!</v>
      </c>
      <c r="H6822" s="26" t="e">
        <f t="shared" si="1"/>
        <v>#VALUE!</v>
      </c>
      <c r="I6822" s="1" t="e">
        <f t="shared" si="2"/>
        <v>#VALUE!</v>
      </c>
    </row>
    <row r="6823" spans="1:9" ht="15.75" customHeight="1">
      <c r="A6823" s="26"/>
      <c r="B6823" s="2"/>
      <c r="C6823" s="26"/>
      <c r="D6823" s="26"/>
      <c r="F6823" s="85" t="str">
        <f t="shared" si="0"/>
        <v/>
      </c>
      <c r="G6823" s="1" t="e">
        <f>IF(VALUE(F6823) = VALUE(RIGHT(Insights!$C$3, 4)), E6823, "")</f>
        <v>#VALUE!</v>
      </c>
      <c r="H6823" s="26" t="e">
        <f t="shared" si="1"/>
        <v>#VALUE!</v>
      </c>
      <c r="I6823" s="1" t="e">
        <f t="shared" si="2"/>
        <v>#VALUE!</v>
      </c>
    </row>
    <row r="6824" spans="1:9" ht="15.75" customHeight="1">
      <c r="A6824" s="26"/>
      <c r="B6824" s="2"/>
      <c r="C6824" s="26"/>
      <c r="D6824" s="26"/>
      <c r="F6824" s="85" t="str">
        <f t="shared" si="0"/>
        <v/>
      </c>
      <c r="G6824" s="1" t="e">
        <f>IF(VALUE(F6824) = VALUE(RIGHT(Insights!$C$3, 4)), E6824, "")</f>
        <v>#VALUE!</v>
      </c>
      <c r="H6824" s="26" t="e">
        <f t="shared" si="1"/>
        <v>#VALUE!</v>
      </c>
      <c r="I6824" s="1" t="e">
        <f t="shared" si="2"/>
        <v>#VALUE!</v>
      </c>
    </row>
    <row r="6825" spans="1:9" ht="15.75" customHeight="1">
      <c r="A6825" s="26"/>
      <c r="B6825" s="2"/>
      <c r="C6825" s="26"/>
      <c r="D6825" s="26"/>
      <c r="F6825" s="85" t="str">
        <f t="shared" si="0"/>
        <v/>
      </c>
      <c r="G6825" s="1" t="e">
        <f>IF(VALUE(F6825) = VALUE(RIGHT(Insights!$C$3, 4)), E6825, "")</f>
        <v>#VALUE!</v>
      </c>
      <c r="H6825" s="26" t="e">
        <f t="shared" si="1"/>
        <v>#VALUE!</v>
      </c>
      <c r="I6825" s="1" t="e">
        <f t="shared" si="2"/>
        <v>#VALUE!</v>
      </c>
    </row>
    <row r="6826" spans="1:9" ht="15.75" customHeight="1">
      <c r="A6826" s="26"/>
      <c r="B6826" s="2"/>
      <c r="C6826" s="26"/>
      <c r="D6826" s="26"/>
      <c r="F6826" s="85" t="str">
        <f t="shared" si="0"/>
        <v/>
      </c>
      <c r="G6826" s="1" t="e">
        <f>IF(VALUE(F6826) = VALUE(RIGHT(Insights!$C$3, 4)), E6826, "")</f>
        <v>#VALUE!</v>
      </c>
      <c r="H6826" s="26" t="e">
        <f t="shared" si="1"/>
        <v>#VALUE!</v>
      </c>
      <c r="I6826" s="1" t="e">
        <f t="shared" si="2"/>
        <v>#VALUE!</v>
      </c>
    </row>
    <row r="6827" spans="1:9" ht="15.75" customHeight="1">
      <c r="A6827" s="26"/>
      <c r="B6827" s="2"/>
      <c r="C6827" s="26"/>
      <c r="D6827" s="26"/>
      <c r="F6827" s="85" t="str">
        <f t="shared" si="0"/>
        <v/>
      </c>
      <c r="G6827" s="1" t="e">
        <f>IF(VALUE(F6827) = VALUE(RIGHT(Insights!$C$3, 4)), E6827, "")</f>
        <v>#VALUE!</v>
      </c>
      <c r="H6827" s="26" t="e">
        <f t="shared" si="1"/>
        <v>#VALUE!</v>
      </c>
      <c r="I6827" s="1" t="e">
        <f t="shared" si="2"/>
        <v>#VALUE!</v>
      </c>
    </row>
    <row r="6828" spans="1:9" ht="15.75" customHeight="1">
      <c r="A6828" s="26"/>
      <c r="B6828" s="2"/>
      <c r="C6828" s="26"/>
      <c r="D6828" s="26"/>
      <c r="F6828" s="85" t="str">
        <f t="shared" si="0"/>
        <v/>
      </c>
      <c r="G6828" s="1" t="e">
        <f>IF(VALUE(F6828) = VALUE(RIGHT(Insights!$C$3, 4)), E6828, "")</f>
        <v>#VALUE!</v>
      </c>
      <c r="H6828" s="26" t="e">
        <f t="shared" si="1"/>
        <v>#VALUE!</v>
      </c>
      <c r="I6828" s="1" t="e">
        <f t="shared" si="2"/>
        <v>#VALUE!</v>
      </c>
    </row>
    <row r="6829" spans="1:9" ht="15.75" customHeight="1">
      <c r="A6829" s="26"/>
      <c r="B6829" s="2"/>
      <c r="C6829" s="26"/>
      <c r="D6829" s="26"/>
      <c r="F6829" s="85" t="str">
        <f t="shared" si="0"/>
        <v/>
      </c>
      <c r="G6829" s="1" t="e">
        <f>IF(VALUE(F6829) = VALUE(RIGHT(Insights!$C$3, 4)), E6829, "")</f>
        <v>#VALUE!</v>
      </c>
      <c r="H6829" s="26" t="e">
        <f t="shared" si="1"/>
        <v>#VALUE!</v>
      </c>
      <c r="I6829" s="1" t="e">
        <f t="shared" si="2"/>
        <v>#VALUE!</v>
      </c>
    </row>
    <row r="6830" spans="1:9" ht="15.75" customHeight="1">
      <c r="A6830" s="26"/>
      <c r="B6830" s="2"/>
      <c r="C6830" s="26"/>
      <c r="D6830" s="26"/>
      <c r="F6830" s="85" t="str">
        <f t="shared" si="0"/>
        <v/>
      </c>
      <c r="G6830" s="1" t="e">
        <f>IF(VALUE(F6830) = VALUE(RIGHT(Insights!$C$3, 4)), E6830, "")</f>
        <v>#VALUE!</v>
      </c>
      <c r="H6830" s="26" t="e">
        <f t="shared" si="1"/>
        <v>#VALUE!</v>
      </c>
      <c r="I6830" s="1" t="e">
        <f t="shared" si="2"/>
        <v>#VALUE!</v>
      </c>
    </row>
    <row r="6831" spans="1:9" ht="15.75" customHeight="1">
      <c r="A6831" s="26"/>
      <c r="B6831" s="2"/>
      <c r="C6831" s="26"/>
      <c r="D6831" s="26"/>
      <c r="F6831" s="85" t="str">
        <f t="shared" si="0"/>
        <v/>
      </c>
      <c r="G6831" s="1" t="e">
        <f>IF(VALUE(F6831) = VALUE(RIGHT(Insights!$C$3, 4)), E6831, "")</f>
        <v>#VALUE!</v>
      </c>
      <c r="H6831" s="26" t="e">
        <f t="shared" si="1"/>
        <v>#VALUE!</v>
      </c>
      <c r="I6831" s="1" t="e">
        <f t="shared" si="2"/>
        <v>#VALUE!</v>
      </c>
    </row>
    <row r="6832" spans="1:9" ht="15.75" customHeight="1">
      <c r="A6832" s="26"/>
      <c r="B6832" s="2"/>
      <c r="C6832" s="26"/>
      <c r="D6832" s="26"/>
      <c r="F6832" s="85" t="str">
        <f t="shared" si="0"/>
        <v/>
      </c>
      <c r="G6832" s="1" t="e">
        <f>IF(VALUE(F6832) = VALUE(RIGHT(Insights!$C$3, 4)), E6832, "")</f>
        <v>#VALUE!</v>
      </c>
      <c r="H6832" s="26" t="e">
        <f t="shared" si="1"/>
        <v>#VALUE!</v>
      </c>
      <c r="I6832" s="1" t="e">
        <f t="shared" si="2"/>
        <v>#VALUE!</v>
      </c>
    </row>
    <row r="6833" spans="1:9" ht="15.75" customHeight="1">
      <c r="A6833" s="26"/>
      <c r="B6833" s="2"/>
      <c r="C6833" s="26"/>
      <c r="D6833" s="26"/>
      <c r="F6833" s="85" t="str">
        <f t="shared" si="0"/>
        <v/>
      </c>
      <c r="G6833" s="1" t="e">
        <f>IF(VALUE(F6833) = VALUE(RIGHT(Insights!$C$3, 4)), E6833, "")</f>
        <v>#VALUE!</v>
      </c>
      <c r="H6833" s="26" t="e">
        <f t="shared" si="1"/>
        <v>#VALUE!</v>
      </c>
      <c r="I6833" s="1" t="e">
        <f t="shared" si="2"/>
        <v>#VALUE!</v>
      </c>
    </row>
    <row r="6834" spans="1:9" ht="15.75" customHeight="1">
      <c r="A6834" s="26"/>
      <c r="B6834" s="2"/>
      <c r="C6834" s="26"/>
      <c r="D6834" s="26"/>
      <c r="F6834" s="85" t="str">
        <f t="shared" si="0"/>
        <v/>
      </c>
      <c r="G6834" s="1" t="e">
        <f>IF(VALUE(F6834) = VALUE(RIGHT(Insights!$C$3, 4)), E6834, "")</f>
        <v>#VALUE!</v>
      </c>
      <c r="H6834" s="26" t="e">
        <f t="shared" si="1"/>
        <v>#VALUE!</v>
      </c>
      <c r="I6834" s="1" t="e">
        <f t="shared" si="2"/>
        <v>#VALUE!</v>
      </c>
    </row>
    <row r="6835" spans="1:9" ht="15.75" customHeight="1">
      <c r="A6835" s="26"/>
      <c r="B6835" s="2"/>
      <c r="C6835" s="26"/>
      <c r="D6835" s="26"/>
      <c r="F6835" s="85" t="str">
        <f t="shared" si="0"/>
        <v/>
      </c>
      <c r="G6835" s="1" t="e">
        <f>IF(VALUE(F6835) = VALUE(RIGHT(Insights!$C$3, 4)), E6835, "")</f>
        <v>#VALUE!</v>
      </c>
      <c r="H6835" s="26" t="e">
        <f t="shared" si="1"/>
        <v>#VALUE!</v>
      </c>
      <c r="I6835" s="1" t="e">
        <f t="shared" si="2"/>
        <v>#VALUE!</v>
      </c>
    </row>
    <row r="6836" spans="1:9" ht="15.75" customHeight="1">
      <c r="A6836" s="26"/>
      <c r="B6836" s="2"/>
      <c r="C6836" s="26"/>
      <c r="D6836" s="26"/>
      <c r="F6836" s="85" t="str">
        <f t="shared" si="0"/>
        <v/>
      </c>
      <c r="G6836" s="1" t="e">
        <f>IF(VALUE(F6836) = VALUE(RIGHT(Insights!$C$3, 4)), E6836, "")</f>
        <v>#VALUE!</v>
      </c>
      <c r="H6836" s="26" t="e">
        <f t="shared" si="1"/>
        <v>#VALUE!</v>
      </c>
      <c r="I6836" s="1" t="e">
        <f t="shared" si="2"/>
        <v>#VALUE!</v>
      </c>
    </row>
    <row r="6837" spans="1:9" ht="15.75" customHeight="1">
      <c r="A6837" s="26"/>
      <c r="B6837" s="2"/>
      <c r="C6837" s="26"/>
      <c r="D6837" s="26"/>
      <c r="F6837" s="85" t="str">
        <f t="shared" si="0"/>
        <v/>
      </c>
      <c r="G6837" s="1" t="e">
        <f>IF(VALUE(F6837) = VALUE(RIGHT(Insights!$C$3, 4)), E6837, "")</f>
        <v>#VALUE!</v>
      </c>
      <c r="H6837" s="26" t="e">
        <f t="shared" si="1"/>
        <v>#VALUE!</v>
      </c>
      <c r="I6837" s="1" t="e">
        <f t="shared" si="2"/>
        <v>#VALUE!</v>
      </c>
    </row>
    <row r="6838" spans="1:9" ht="15.75" customHeight="1">
      <c r="A6838" s="26"/>
      <c r="B6838" s="2"/>
      <c r="C6838" s="26"/>
      <c r="D6838" s="26"/>
      <c r="F6838" s="85" t="str">
        <f t="shared" si="0"/>
        <v/>
      </c>
      <c r="G6838" s="1" t="e">
        <f>IF(VALUE(F6838) = VALUE(RIGHT(Insights!$C$3, 4)), E6838, "")</f>
        <v>#VALUE!</v>
      </c>
      <c r="H6838" s="26" t="e">
        <f t="shared" si="1"/>
        <v>#VALUE!</v>
      </c>
      <c r="I6838" s="1" t="e">
        <f t="shared" si="2"/>
        <v>#VALUE!</v>
      </c>
    </row>
    <row r="6839" spans="1:9" ht="15.75" customHeight="1">
      <c r="A6839" s="26"/>
      <c r="B6839" s="2"/>
      <c r="C6839" s="26"/>
      <c r="D6839" s="26"/>
      <c r="F6839" s="85" t="str">
        <f t="shared" si="0"/>
        <v/>
      </c>
      <c r="G6839" s="1" t="e">
        <f>IF(VALUE(F6839) = VALUE(RIGHT(Insights!$C$3, 4)), E6839, "")</f>
        <v>#VALUE!</v>
      </c>
      <c r="H6839" s="26" t="e">
        <f t="shared" si="1"/>
        <v>#VALUE!</v>
      </c>
      <c r="I6839" s="1" t="e">
        <f t="shared" si="2"/>
        <v>#VALUE!</v>
      </c>
    </row>
    <row r="6840" spans="1:9" ht="15.75" customHeight="1">
      <c r="A6840" s="26"/>
      <c r="B6840" s="2"/>
      <c r="C6840" s="26"/>
      <c r="D6840" s="26"/>
      <c r="F6840" s="85" t="str">
        <f t="shared" si="0"/>
        <v/>
      </c>
      <c r="G6840" s="1" t="e">
        <f>IF(VALUE(F6840) = VALUE(RIGHT(Insights!$C$3, 4)), E6840, "")</f>
        <v>#VALUE!</v>
      </c>
      <c r="H6840" s="26" t="e">
        <f t="shared" si="1"/>
        <v>#VALUE!</v>
      </c>
      <c r="I6840" s="1" t="e">
        <f t="shared" si="2"/>
        <v>#VALUE!</v>
      </c>
    </row>
    <row r="6841" spans="1:9" ht="15.75" customHeight="1">
      <c r="A6841" s="26"/>
      <c r="B6841" s="2"/>
      <c r="C6841" s="26"/>
      <c r="D6841" s="26"/>
      <c r="F6841" s="85" t="str">
        <f t="shared" si="0"/>
        <v/>
      </c>
      <c r="G6841" s="1" t="e">
        <f>IF(VALUE(F6841) = VALUE(RIGHT(Insights!$C$3, 4)), E6841, "")</f>
        <v>#VALUE!</v>
      </c>
      <c r="H6841" s="26" t="e">
        <f t="shared" si="1"/>
        <v>#VALUE!</v>
      </c>
      <c r="I6841" s="1" t="e">
        <f t="shared" si="2"/>
        <v>#VALUE!</v>
      </c>
    </row>
    <row r="6842" spans="1:9" ht="15.75" customHeight="1">
      <c r="A6842" s="26"/>
      <c r="B6842" s="2"/>
      <c r="C6842" s="26"/>
      <c r="D6842" s="26"/>
      <c r="F6842" s="85" t="str">
        <f t="shared" si="0"/>
        <v/>
      </c>
      <c r="G6842" s="1" t="e">
        <f>IF(VALUE(F6842) = VALUE(RIGHT(Insights!$C$3, 4)), E6842, "")</f>
        <v>#VALUE!</v>
      </c>
      <c r="H6842" s="26" t="e">
        <f t="shared" si="1"/>
        <v>#VALUE!</v>
      </c>
      <c r="I6842" s="1" t="e">
        <f t="shared" si="2"/>
        <v>#VALUE!</v>
      </c>
    </row>
    <row r="6843" spans="1:9" ht="15.75" customHeight="1">
      <c r="A6843" s="26"/>
      <c r="B6843" s="2"/>
      <c r="C6843" s="26"/>
      <c r="D6843" s="26"/>
      <c r="F6843" s="85" t="str">
        <f t="shared" si="0"/>
        <v/>
      </c>
      <c r="G6843" s="1" t="e">
        <f>IF(VALUE(F6843) = VALUE(RIGHT(Insights!$C$3, 4)), E6843, "")</f>
        <v>#VALUE!</v>
      </c>
      <c r="H6843" s="26" t="e">
        <f t="shared" si="1"/>
        <v>#VALUE!</v>
      </c>
      <c r="I6843" s="1" t="e">
        <f t="shared" si="2"/>
        <v>#VALUE!</v>
      </c>
    </row>
    <row r="6844" spans="1:9" ht="15.75" customHeight="1">
      <c r="A6844" s="26"/>
      <c r="B6844" s="2"/>
      <c r="C6844" s="26"/>
      <c r="D6844" s="26"/>
      <c r="F6844" s="85" t="str">
        <f t="shared" si="0"/>
        <v/>
      </c>
      <c r="G6844" s="1" t="e">
        <f>IF(VALUE(F6844) = VALUE(RIGHT(Insights!$C$3, 4)), E6844, "")</f>
        <v>#VALUE!</v>
      </c>
      <c r="H6844" s="26" t="e">
        <f t="shared" si="1"/>
        <v>#VALUE!</v>
      </c>
      <c r="I6844" s="1" t="e">
        <f t="shared" si="2"/>
        <v>#VALUE!</v>
      </c>
    </row>
    <row r="6845" spans="1:9" ht="15.75" customHeight="1">
      <c r="A6845" s="26"/>
      <c r="B6845" s="2"/>
      <c r="C6845" s="26"/>
      <c r="D6845" s="26"/>
      <c r="F6845" s="85" t="str">
        <f t="shared" si="0"/>
        <v/>
      </c>
      <c r="G6845" s="1" t="e">
        <f>IF(VALUE(F6845) = VALUE(RIGHT(Insights!$C$3, 4)), E6845, "")</f>
        <v>#VALUE!</v>
      </c>
      <c r="H6845" s="26" t="e">
        <f t="shared" si="1"/>
        <v>#VALUE!</v>
      </c>
      <c r="I6845" s="1" t="e">
        <f t="shared" si="2"/>
        <v>#VALUE!</v>
      </c>
    </row>
    <row r="6846" spans="1:9" ht="15.75" customHeight="1">
      <c r="A6846" s="26"/>
      <c r="B6846" s="2"/>
      <c r="C6846" s="26"/>
      <c r="D6846" s="26"/>
      <c r="F6846" s="85" t="str">
        <f t="shared" si="0"/>
        <v/>
      </c>
      <c r="G6846" s="1" t="e">
        <f>IF(VALUE(F6846) = VALUE(RIGHT(Insights!$C$3, 4)), E6846, "")</f>
        <v>#VALUE!</v>
      </c>
      <c r="H6846" s="26" t="e">
        <f t="shared" si="1"/>
        <v>#VALUE!</v>
      </c>
      <c r="I6846" s="1" t="e">
        <f t="shared" si="2"/>
        <v>#VALUE!</v>
      </c>
    </row>
    <row r="6847" spans="1:9" ht="15.75" customHeight="1">
      <c r="A6847" s="26"/>
      <c r="B6847" s="2"/>
      <c r="C6847" s="26"/>
      <c r="D6847" s="26"/>
      <c r="F6847" s="85" t="str">
        <f t="shared" si="0"/>
        <v/>
      </c>
      <c r="G6847" s="1" t="e">
        <f>IF(VALUE(F6847) = VALUE(RIGHT(Insights!$C$3, 4)), E6847, "")</f>
        <v>#VALUE!</v>
      </c>
      <c r="H6847" s="26" t="e">
        <f t="shared" si="1"/>
        <v>#VALUE!</v>
      </c>
      <c r="I6847" s="1" t="e">
        <f t="shared" si="2"/>
        <v>#VALUE!</v>
      </c>
    </row>
    <row r="6848" spans="1:9" ht="15.75" customHeight="1">
      <c r="A6848" s="26"/>
      <c r="B6848" s="2"/>
      <c r="C6848" s="26"/>
      <c r="D6848" s="26"/>
      <c r="F6848" s="85" t="str">
        <f t="shared" si="0"/>
        <v/>
      </c>
      <c r="G6848" s="1" t="e">
        <f>IF(VALUE(F6848) = VALUE(RIGHT(Insights!$C$3, 4)), E6848, "")</f>
        <v>#VALUE!</v>
      </c>
      <c r="H6848" s="26" t="e">
        <f t="shared" si="1"/>
        <v>#VALUE!</v>
      </c>
      <c r="I6848" s="1" t="e">
        <f t="shared" si="2"/>
        <v>#VALUE!</v>
      </c>
    </row>
    <row r="6849" spans="1:9" ht="15.75" customHeight="1">
      <c r="A6849" s="26"/>
      <c r="B6849" s="2"/>
      <c r="C6849" s="26"/>
      <c r="D6849" s="26"/>
      <c r="F6849" s="85" t="str">
        <f t="shared" si="0"/>
        <v/>
      </c>
      <c r="G6849" s="1" t="e">
        <f>IF(VALUE(F6849) = VALUE(RIGHT(Insights!$C$3, 4)), E6849, "")</f>
        <v>#VALUE!</v>
      </c>
      <c r="H6849" s="26" t="e">
        <f t="shared" si="1"/>
        <v>#VALUE!</v>
      </c>
      <c r="I6849" s="1" t="e">
        <f t="shared" si="2"/>
        <v>#VALUE!</v>
      </c>
    </row>
    <row r="6850" spans="1:9" ht="15.75" customHeight="1">
      <c r="A6850" s="26"/>
      <c r="B6850" s="2"/>
      <c r="C6850" s="26"/>
      <c r="D6850" s="26"/>
      <c r="F6850" s="85" t="str">
        <f t="shared" si="0"/>
        <v/>
      </c>
      <c r="G6850" s="1" t="e">
        <f>IF(VALUE(F6850) = VALUE(RIGHT(Insights!$C$3, 4)), E6850, "")</f>
        <v>#VALUE!</v>
      </c>
      <c r="H6850" s="26" t="e">
        <f t="shared" si="1"/>
        <v>#VALUE!</v>
      </c>
      <c r="I6850" s="1" t="e">
        <f t="shared" si="2"/>
        <v>#VALUE!</v>
      </c>
    </row>
    <row r="6851" spans="1:9" ht="15.75" customHeight="1">
      <c r="A6851" s="26"/>
      <c r="B6851" s="2"/>
      <c r="C6851" s="26"/>
      <c r="D6851" s="26"/>
      <c r="F6851" s="85" t="str">
        <f t="shared" si="0"/>
        <v/>
      </c>
      <c r="G6851" s="1" t="e">
        <f>IF(VALUE(F6851) = VALUE(RIGHT(Insights!$C$3, 4)), E6851, "")</f>
        <v>#VALUE!</v>
      </c>
      <c r="H6851" s="26" t="e">
        <f t="shared" si="1"/>
        <v>#VALUE!</v>
      </c>
      <c r="I6851" s="1" t="e">
        <f t="shared" si="2"/>
        <v>#VALUE!</v>
      </c>
    </row>
    <row r="6852" spans="1:9" ht="15.75" customHeight="1">
      <c r="A6852" s="26"/>
      <c r="B6852" s="2"/>
      <c r="C6852" s="26"/>
      <c r="D6852" s="26"/>
      <c r="F6852" s="85" t="str">
        <f t="shared" si="0"/>
        <v/>
      </c>
      <c r="G6852" s="1" t="e">
        <f>IF(VALUE(F6852) = VALUE(RIGHT(Insights!$C$3, 4)), E6852, "")</f>
        <v>#VALUE!</v>
      </c>
      <c r="H6852" s="26" t="e">
        <f t="shared" si="1"/>
        <v>#VALUE!</v>
      </c>
      <c r="I6852" s="1" t="e">
        <f t="shared" si="2"/>
        <v>#VALUE!</v>
      </c>
    </row>
    <row r="6853" spans="1:9" ht="15.75" customHeight="1">
      <c r="A6853" s="26"/>
      <c r="B6853" s="2"/>
      <c r="C6853" s="26"/>
      <c r="D6853" s="26"/>
      <c r="F6853" s="85" t="str">
        <f t="shared" si="0"/>
        <v/>
      </c>
      <c r="G6853" s="1" t="e">
        <f>IF(VALUE(F6853) = VALUE(RIGHT(Insights!$C$3, 4)), E6853, "")</f>
        <v>#VALUE!</v>
      </c>
      <c r="H6853" s="26" t="e">
        <f t="shared" si="1"/>
        <v>#VALUE!</v>
      </c>
      <c r="I6853" s="1" t="e">
        <f t="shared" si="2"/>
        <v>#VALUE!</v>
      </c>
    </row>
    <row r="6854" spans="1:9" ht="15.75" customHeight="1">
      <c r="A6854" s="26"/>
      <c r="B6854" s="2"/>
      <c r="C6854" s="26"/>
      <c r="D6854" s="26"/>
      <c r="F6854" s="85" t="str">
        <f t="shared" si="0"/>
        <v/>
      </c>
      <c r="G6854" s="1" t="e">
        <f>IF(VALUE(F6854) = VALUE(RIGHT(Insights!$C$3, 4)), E6854, "")</f>
        <v>#VALUE!</v>
      </c>
      <c r="H6854" s="26" t="e">
        <f t="shared" si="1"/>
        <v>#VALUE!</v>
      </c>
      <c r="I6854" s="1" t="e">
        <f t="shared" si="2"/>
        <v>#VALUE!</v>
      </c>
    </row>
    <row r="6855" spans="1:9" ht="15.75" customHeight="1">
      <c r="A6855" s="26"/>
      <c r="B6855" s="2"/>
      <c r="C6855" s="26"/>
      <c r="D6855" s="26"/>
      <c r="F6855" s="85" t="str">
        <f t="shared" si="0"/>
        <v/>
      </c>
      <c r="G6855" s="1" t="e">
        <f>IF(VALUE(F6855) = VALUE(RIGHT(Insights!$C$3, 4)), E6855, "")</f>
        <v>#VALUE!</v>
      </c>
      <c r="H6855" s="26" t="e">
        <f t="shared" si="1"/>
        <v>#VALUE!</v>
      </c>
      <c r="I6855" s="1" t="e">
        <f t="shared" si="2"/>
        <v>#VALUE!</v>
      </c>
    </row>
    <row r="6856" spans="1:9" ht="15.75" customHeight="1">
      <c r="A6856" s="26"/>
      <c r="B6856" s="2"/>
      <c r="C6856" s="26"/>
      <c r="D6856" s="26"/>
      <c r="F6856" s="85" t="str">
        <f t="shared" si="0"/>
        <v/>
      </c>
      <c r="G6856" s="1" t="e">
        <f>IF(VALUE(F6856) = VALUE(RIGHT(Insights!$C$3, 4)), E6856, "")</f>
        <v>#VALUE!</v>
      </c>
      <c r="H6856" s="26" t="e">
        <f t="shared" si="1"/>
        <v>#VALUE!</v>
      </c>
      <c r="I6856" s="1" t="e">
        <f t="shared" si="2"/>
        <v>#VALUE!</v>
      </c>
    </row>
    <row r="6857" spans="1:9" ht="15.75" customHeight="1">
      <c r="A6857" s="26"/>
      <c r="B6857" s="2"/>
      <c r="C6857" s="26"/>
      <c r="D6857" s="26"/>
      <c r="F6857" s="85" t="str">
        <f t="shared" si="0"/>
        <v/>
      </c>
      <c r="G6857" s="1" t="e">
        <f>IF(VALUE(F6857) = VALUE(RIGHT(Insights!$C$3, 4)), E6857, "")</f>
        <v>#VALUE!</v>
      </c>
      <c r="H6857" s="26" t="e">
        <f t="shared" si="1"/>
        <v>#VALUE!</v>
      </c>
      <c r="I6857" s="1" t="e">
        <f t="shared" si="2"/>
        <v>#VALUE!</v>
      </c>
    </row>
    <row r="6858" spans="1:9" ht="15.75" customHeight="1">
      <c r="A6858" s="26"/>
      <c r="B6858" s="2"/>
      <c r="C6858" s="26"/>
      <c r="D6858" s="26"/>
      <c r="F6858" s="85" t="str">
        <f t="shared" si="0"/>
        <v/>
      </c>
      <c r="G6858" s="1" t="e">
        <f>IF(VALUE(F6858) = VALUE(RIGHT(Insights!$C$3, 4)), E6858, "")</f>
        <v>#VALUE!</v>
      </c>
      <c r="H6858" s="26" t="e">
        <f t="shared" si="1"/>
        <v>#VALUE!</v>
      </c>
      <c r="I6858" s="1" t="e">
        <f t="shared" si="2"/>
        <v>#VALUE!</v>
      </c>
    </row>
    <row r="6859" spans="1:9" ht="15.75" customHeight="1">
      <c r="A6859" s="26"/>
      <c r="B6859" s="2"/>
      <c r="C6859" s="26"/>
      <c r="D6859" s="26"/>
      <c r="F6859" s="85" t="str">
        <f t="shared" si="0"/>
        <v/>
      </c>
      <c r="G6859" s="1" t="e">
        <f>IF(VALUE(F6859) = VALUE(RIGHT(Insights!$C$3, 4)), E6859, "")</f>
        <v>#VALUE!</v>
      </c>
      <c r="H6859" s="26" t="e">
        <f t="shared" si="1"/>
        <v>#VALUE!</v>
      </c>
      <c r="I6859" s="1" t="e">
        <f t="shared" si="2"/>
        <v>#VALUE!</v>
      </c>
    </row>
    <row r="6860" spans="1:9" ht="15.75" customHeight="1">
      <c r="A6860" s="26"/>
      <c r="B6860" s="2"/>
      <c r="C6860" s="26"/>
      <c r="D6860" s="26"/>
      <c r="F6860" s="85" t="str">
        <f t="shared" si="0"/>
        <v/>
      </c>
      <c r="G6860" s="1" t="e">
        <f>IF(VALUE(F6860) = VALUE(RIGHT(Insights!$C$3, 4)), E6860, "")</f>
        <v>#VALUE!</v>
      </c>
      <c r="H6860" s="26" t="e">
        <f t="shared" si="1"/>
        <v>#VALUE!</v>
      </c>
      <c r="I6860" s="1" t="e">
        <f t="shared" si="2"/>
        <v>#VALUE!</v>
      </c>
    </row>
    <row r="6861" spans="1:9" ht="15.75" customHeight="1">
      <c r="A6861" s="26"/>
      <c r="B6861" s="2"/>
      <c r="C6861" s="26"/>
      <c r="D6861" s="26"/>
      <c r="F6861" s="85" t="str">
        <f t="shared" si="0"/>
        <v/>
      </c>
      <c r="G6861" s="1" t="e">
        <f>IF(VALUE(F6861) = VALUE(RIGHT(Insights!$C$3, 4)), E6861, "")</f>
        <v>#VALUE!</v>
      </c>
      <c r="H6861" s="26" t="e">
        <f t="shared" si="1"/>
        <v>#VALUE!</v>
      </c>
      <c r="I6861" s="1" t="e">
        <f t="shared" si="2"/>
        <v>#VALUE!</v>
      </c>
    </row>
    <row r="6862" spans="1:9" ht="15.75" customHeight="1">
      <c r="A6862" s="26"/>
      <c r="B6862" s="2"/>
      <c r="C6862" s="26"/>
      <c r="D6862" s="26"/>
      <c r="F6862" s="85" t="str">
        <f t="shared" si="0"/>
        <v/>
      </c>
      <c r="G6862" s="1" t="e">
        <f>IF(VALUE(F6862) = VALUE(RIGHT(Insights!$C$3, 4)), E6862, "")</f>
        <v>#VALUE!</v>
      </c>
      <c r="H6862" s="26" t="e">
        <f t="shared" si="1"/>
        <v>#VALUE!</v>
      </c>
      <c r="I6862" s="1" t="e">
        <f t="shared" si="2"/>
        <v>#VALUE!</v>
      </c>
    </row>
    <row r="6863" spans="1:9" ht="15.75" customHeight="1">
      <c r="A6863" s="26"/>
      <c r="B6863" s="2"/>
      <c r="C6863" s="26"/>
      <c r="D6863" s="26"/>
      <c r="F6863" s="85" t="str">
        <f t="shared" si="0"/>
        <v/>
      </c>
      <c r="G6863" s="1" t="e">
        <f>IF(VALUE(F6863) = VALUE(RIGHT(Insights!$C$3, 4)), E6863, "")</f>
        <v>#VALUE!</v>
      </c>
      <c r="H6863" s="26" t="e">
        <f t="shared" si="1"/>
        <v>#VALUE!</v>
      </c>
      <c r="I6863" s="1" t="e">
        <f t="shared" si="2"/>
        <v>#VALUE!</v>
      </c>
    </row>
    <row r="6864" spans="1:9" ht="15.75" customHeight="1">
      <c r="A6864" s="26"/>
      <c r="B6864" s="2"/>
      <c r="C6864" s="26"/>
      <c r="D6864" s="26"/>
      <c r="F6864" s="85" t="str">
        <f t="shared" si="0"/>
        <v/>
      </c>
      <c r="G6864" s="1" t="e">
        <f>IF(VALUE(F6864) = VALUE(RIGHT(Insights!$C$3, 4)), E6864, "")</f>
        <v>#VALUE!</v>
      </c>
      <c r="H6864" s="26" t="e">
        <f t="shared" si="1"/>
        <v>#VALUE!</v>
      </c>
      <c r="I6864" s="1" t="e">
        <f t="shared" si="2"/>
        <v>#VALUE!</v>
      </c>
    </row>
    <row r="6865" spans="1:9" ht="15.75" customHeight="1">
      <c r="A6865" s="26"/>
      <c r="B6865" s="2"/>
      <c r="C6865" s="26"/>
      <c r="D6865" s="26"/>
      <c r="F6865" s="85" t="str">
        <f t="shared" si="0"/>
        <v/>
      </c>
      <c r="G6865" s="1" t="e">
        <f>IF(VALUE(F6865) = VALUE(RIGHT(Insights!$C$3, 4)), E6865, "")</f>
        <v>#VALUE!</v>
      </c>
      <c r="H6865" s="26" t="e">
        <f t="shared" si="1"/>
        <v>#VALUE!</v>
      </c>
      <c r="I6865" s="1" t="e">
        <f t="shared" si="2"/>
        <v>#VALUE!</v>
      </c>
    </row>
    <row r="6866" spans="1:9" ht="15.75" customHeight="1">
      <c r="A6866" s="26"/>
      <c r="B6866" s="2"/>
      <c r="C6866" s="26"/>
      <c r="D6866" s="26"/>
      <c r="F6866" s="85" t="str">
        <f t="shared" si="0"/>
        <v/>
      </c>
      <c r="G6866" s="1" t="e">
        <f>IF(VALUE(F6866) = VALUE(RIGHT(Insights!$C$3, 4)), E6866, "")</f>
        <v>#VALUE!</v>
      </c>
      <c r="H6866" s="26" t="e">
        <f t="shared" si="1"/>
        <v>#VALUE!</v>
      </c>
      <c r="I6866" s="1" t="e">
        <f t="shared" si="2"/>
        <v>#VALUE!</v>
      </c>
    </row>
    <row r="6867" spans="1:9" ht="15.75" customHeight="1">
      <c r="A6867" s="26"/>
      <c r="B6867" s="2"/>
      <c r="C6867" s="26"/>
      <c r="D6867" s="26"/>
      <c r="F6867" s="85" t="str">
        <f t="shared" si="0"/>
        <v/>
      </c>
      <c r="G6867" s="1" t="e">
        <f>IF(VALUE(F6867) = VALUE(RIGHT(Insights!$C$3, 4)), E6867, "")</f>
        <v>#VALUE!</v>
      </c>
      <c r="H6867" s="26" t="e">
        <f t="shared" si="1"/>
        <v>#VALUE!</v>
      </c>
      <c r="I6867" s="1" t="e">
        <f t="shared" si="2"/>
        <v>#VALUE!</v>
      </c>
    </row>
    <row r="6868" spans="1:9" ht="15.75" customHeight="1">
      <c r="A6868" s="26"/>
      <c r="B6868" s="2"/>
      <c r="C6868" s="26"/>
      <c r="D6868" s="26"/>
      <c r="F6868" s="85" t="str">
        <f t="shared" si="0"/>
        <v/>
      </c>
      <c r="G6868" s="1" t="e">
        <f>IF(VALUE(F6868) = VALUE(RIGHT(Insights!$C$3, 4)), E6868, "")</f>
        <v>#VALUE!</v>
      </c>
      <c r="H6868" s="26" t="e">
        <f t="shared" si="1"/>
        <v>#VALUE!</v>
      </c>
      <c r="I6868" s="1" t="e">
        <f t="shared" si="2"/>
        <v>#VALUE!</v>
      </c>
    </row>
    <row r="6869" spans="1:9" ht="15.75" customHeight="1">
      <c r="A6869" s="26"/>
      <c r="B6869" s="2"/>
      <c r="C6869" s="26"/>
      <c r="D6869" s="26"/>
      <c r="F6869" s="85" t="str">
        <f t="shared" si="0"/>
        <v/>
      </c>
      <c r="G6869" s="1" t="e">
        <f>IF(VALUE(F6869) = VALUE(RIGHT(Insights!$C$3, 4)), E6869, "")</f>
        <v>#VALUE!</v>
      </c>
      <c r="H6869" s="26" t="e">
        <f t="shared" si="1"/>
        <v>#VALUE!</v>
      </c>
      <c r="I6869" s="1" t="e">
        <f t="shared" si="2"/>
        <v>#VALUE!</v>
      </c>
    </row>
    <row r="6870" spans="1:9" ht="15.75" customHeight="1">
      <c r="A6870" s="26"/>
      <c r="B6870" s="2"/>
      <c r="C6870" s="26"/>
      <c r="D6870" s="26"/>
      <c r="F6870" s="85" t="str">
        <f t="shared" si="0"/>
        <v/>
      </c>
      <c r="G6870" s="1" t="e">
        <f>IF(VALUE(F6870) = VALUE(RIGHT(Insights!$C$3, 4)), E6870, "")</f>
        <v>#VALUE!</v>
      </c>
      <c r="H6870" s="26" t="e">
        <f t="shared" si="1"/>
        <v>#VALUE!</v>
      </c>
      <c r="I6870" s="1" t="e">
        <f t="shared" si="2"/>
        <v>#VALUE!</v>
      </c>
    </row>
    <row r="6871" spans="1:9" ht="15.75" customHeight="1">
      <c r="A6871" s="26"/>
      <c r="B6871" s="2"/>
      <c r="C6871" s="26"/>
      <c r="D6871" s="26"/>
      <c r="F6871" s="85" t="str">
        <f t="shared" si="0"/>
        <v/>
      </c>
      <c r="G6871" s="1" t="e">
        <f>IF(VALUE(F6871) = VALUE(RIGHT(Insights!$C$3, 4)), E6871, "")</f>
        <v>#VALUE!</v>
      </c>
      <c r="H6871" s="26" t="e">
        <f t="shared" si="1"/>
        <v>#VALUE!</v>
      </c>
      <c r="I6871" s="1" t="e">
        <f t="shared" si="2"/>
        <v>#VALUE!</v>
      </c>
    </row>
    <row r="6872" spans="1:9" ht="15.75" customHeight="1">
      <c r="A6872" s="26"/>
      <c r="B6872" s="2"/>
      <c r="C6872" s="26"/>
      <c r="D6872" s="26"/>
      <c r="F6872" s="85" t="str">
        <f t="shared" si="0"/>
        <v/>
      </c>
      <c r="G6872" s="1" t="e">
        <f>IF(VALUE(F6872) = VALUE(RIGHT(Insights!$C$3, 4)), E6872, "")</f>
        <v>#VALUE!</v>
      </c>
      <c r="H6872" s="26" t="e">
        <f t="shared" si="1"/>
        <v>#VALUE!</v>
      </c>
      <c r="I6872" s="1" t="e">
        <f t="shared" si="2"/>
        <v>#VALUE!</v>
      </c>
    </row>
    <row r="6873" spans="1:9" ht="15.75" customHeight="1">
      <c r="A6873" s="26"/>
      <c r="B6873" s="2"/>
      <c r="C6873" s="26"/>
      <c r="D6873" s="26"/>
      <c r="F6873" s="85" t="str">
        <f t="shared" si="0"/>
        <v/>
      </c>
      <c r="G6873" s="1" t="e">
        <f>IF(VALUE(F6873) = VALUE(RIGHT(Insights!$C$3, 4)), E6873, "")</f>
        <v>#VALUE!</v>
      </c>
      <c r="H6873" s="26" t="e">
        <f t="shared" si="1"/>
        <v>#VALUE!</v>
      </c>
      <c r="I6873" s="1" t="e">
        <f t="shared" si="2"/>
        <v>#VALUE!</v>
      </c>
    </row>
    <row r="6874" spans="1:9" ht="15.75" customHeight="1">
      <c r="A6874" s="26"/>
      <c r="B6874" s="2"/>
      <c r="C6874" s="26"/>
      <c r="D6874" s="26"/>
      <c r="F6874" s="85" t="str">
        <f t="shared" si="0"/>
        <v/>
      </c>
      <c r="G6874" s="1" t="e">
        <f>IF(VALUE(F6874) = VALUE(RIGHT(Insights!$C$3, 4)), E6874, "")</f>
        <v>#VALUE!</v>
      </c>
      <c r="H6874" s="26" t="e">
        <f t="shared" si="1"/>
        <v>#VALUE!</v>
      </c>
      <c r="I6874" s="1" t="e">
        <f t="shared" si="2"/>
        <v>#VALUE!</v>
      </c>
    </row>
    <row r="6875" spans="1:9" ht="15.75" customHeight="1">
      <c r="A6875" s="26"/>
      <c r="B6875" s="2"/>
      <c r="C6875" s="26"/>
      <c r="D6875" s="26"/>
      <c r="F6875" s="85" t="str">
        <f t="shared" si="0"/>
        <v/>
      </c>
      <c r="G6875" s="1" t="e">
        <f>IF(VALUE(F6875) = VALUE(RIGHT(Insights!$C$3, 4)), E6875, "")</f>
        <v>#VALUE!</v>
      </c>
      <c r="H6875" s="26" t="e">
        <f t="shared" si="1"/>
        <v>#VALUE!</v>
      </c>
      <c r="I6875" s="1" t="e">
        <f t="shared" si="2"/>
        <v>#VALUE!</v>
      </c>
    </row>
    <row r="6876" spans="1:9" ht="15.75" customHeight="1">
      <c r="A6876" s="26"/>
      <c r="B6876" s="2"/>
      <c r="C6876" s="26"/>
      <c r="D6876" s="26"/>
      <c r="F6876" s="85" t="str">
        <f t="shared" si="0"/>
        <v/>
      </c>
      <c r="G6876" s="1" t="e">
        <f>IF(VALUE(F6876) = VALUE(RIGHT(Insights!$C$3, 4)), E6876, "")</f>
        <v>#VALUE!</v>
      </c>
      <c r="H6876" s="26" t="e">
        <f t="shared" si="1"/>
        <v>#VALUE!</v>
      </c>
      <c r="I6876" s="1" t="e">
        <f t="shared" si="2"/>
        <v>#VALUE!</v>
      </c>
    </row>
    <row r="6877" spans="1:9" ht="15.75" customHeight="1">
      <c r="A6877" s="26"/>
      <c r="B6877" s="2"/>
      <c r="C6877" s="26"/>
      <c r="D6877" s="26"/>
      <c r="F6877" s="85" t="str">
        <f t="shared" si="0"/>
        <v/>
      </c>
      <c r="G6877" s="1" t="e">
        <f>IF(VALUE(F6877) = VALUE(RIGHT(Insights!$C$3, 4)), E6877, "")</f>
        <v>#VALUE!</v>
      </c>
      <c r="H6877" s="26" t="e">
        <f t="shared" si="1"/>
        <v>#VALUE!</v>
      </c>
      <c r="I6877" s="1" t="e">
        <f t="shared" si="2"/>
        <v>#VALUE!</v>
      </c>
    </row>
    <row r="6878" spans="1:9" ht="15.75" customHeight="1">
      <c r="A6878" s="26"/>
      <c r="B6878" s="2"/>
      <c r="C6878" s="26"/>
      <c r="D6878" s="26"/>
      <c r="F6878" s="85" t="str">
        <f t="shared" si="0"/>
        <v/>
      </c>
      <c r="G6878" s="1" t="e">
        <f>IF(VALUE(F6878) = VALUE(RIGHT(Insights!$C$3, 4)), E6878, "")</f>
        <v>#VALUE!</v>
      </c>
      <c r="H6878" s="26" t="e">
        <f t="shared" si="1"/>
        <v>#VALUE!</v>
      </c>
      <c r="I6878" s="1" t="e">
        <f t="shared" si="2"/>
        <v>#VALUE!</v>
      </c>
    </row>
    <row r="6879" spans="1:9" ht="15.75" customHeight="1">
      <c r="A6879" s="26"/>
      <c r="B6879" s="2"/>
      <c r="C6879" s="26"/>
      <c r="D6879" s="26"/>
      <c r="F6879" s="85" t="str">
        <f t="shared" si="0"/>
        <v/>
      </c>
      <c r="G6879" s="1" t="e">
        <f>IF(VALUE(F6879) = VALUE(RIGHT(Insights!$C$3, 4)), E6879, "")</f>
        <v>#VALUE!</v>
      </c>
      <c r="H6879" s="26" t="e">
        <f t="shared" si="1"/>
        <v>#VALUE!</v>
      </c>
      <c r="I6879" s="1" t="e">
        <f t="shared" si="2"/>
        <v>#VALUE!</v>
      </c>
    </row>
    <row r="6880" spans="1:9" ht="15.75" customHeight="1">
      <c r="A6880" s="26"/>
      <c r="B6880" s="2"/>
      <c r="C6880" s="26"/>
      <c r="D6880" s="26"/>
      <c r="F6880" s="85" t="str">
        <f t="shared" si="0"/>
        <v/>
      </c>
      <c r="G6880" s="1" t="e">
        <f>IF(VALUE(F6880) = VALUE(RIGHT(Insights!$C$3, 4)), E6880, "")</f>
        <v>#VALUE!</v>
      </c>
      <c r="H6880" s="26" t="e">
        <f t="shared" si="1"/>
        <v>#VALUE!</v>
      </c>
      <c r="I6880" s="1" t="e">
        <f t="shared" si="2"/>
        <v>#VALUE!</v>
      </c>
    </row>
    <row r="6881" spans="1:9" ht="15.75" customHeight="1">
      <c r="A6881" s="26"/>
      <c r="B6881" s="2"/>
      <c r="C6881" s="26"/>
      <c r="D6881" s="26"/>
      <c r="F6881" s="85" t="str">
        <f t="shared" si="0"/>
        <v/>
      </c>
      <c r="G6881" s="1" t="e">
        <f>IF(VALUE(F6881) = VALUE(RIGHT(Insights!$C$3, 4)), E6881, "")</f>
        <v>#VALUE!</v>
      </c>
      <c r="H6881" s="26" t="e">
        <f t="shared" si="1"/>
        <v>#VALUE!</v>
      </c>
      <c r="I6881" s="1" t="e">
        <f t="shared" si="2"/>
        <v>#VALUE!</v>
      </c>
    </row>
    <row r="6882" spans="1:9" ht="15.75" customHeight="1">
      <c r="A6882" s="26"/>
      <c r="B6882" s="2"/>
      <c r="C6882" s="26"/>
      <c r="D6882" s="26"/>
      <c r="F6882" s="85" t="str">
        <f t="shared" si="0"/>
        <v/>
      </c>
      <c r="G6882" s="1" t="e">
        <f>IF(VALUE(F6882) = VALUE(RIGHT(Insights!$C$3, 4)), E6882, "")</f>
        <v>#VALUE!</v>
      </c>
      <c r="H6882" s="26" t="e">
        <f t="shared" si="1"/>
        <v>#VALUE!</v>
      </c>
      <c r="I6882" s="1" t="e">
        <f t="shared" si="2"/>
        <v>#VALUE!</v>
      </c>
    </row>
    <row r="6883" spans="1:9" ht="15.75" customHeight="1">
      <c r="A6883" s="26"/>
      <c r="B6883" s="2"/>
      <c r="C6883" s="26"/>
      <c r="D6883" s="26"/>
      <c r="F6883" s="85" t="str">
        <f t="shared" si="0"/>
        <v/>
      </c>
      <c r="G6883" s="1" t="e">
        <f>IF(VALUE(F6883) = VALUE(RIGHT(Insights!$C$3, 4)), E6883, "")</f>
        <v>#VALUE!</v>
      </c>
      <c r="H6883" s="26" t="e">
        <f t="shared" si="1"/>
        <v>#VALUE!</v>
      </c>
      <c r="I6883" s="1" t="e">
        <f t="shared" si="2"/>
        <v>#VALUE!</v>
      </c>
    </row>
    <row r="6884" spans="1:9" ht="15.75" customHeight="1">
      <c r="A6884" s="26"/>
      <c r="B6884" s="2"/>
      <c r="C6884" s="26"/>
      <c r="D6884" s="26"/>
      <c r="F6884" s="85" t="str">
        <f t="shared" si="0"/>
        <v/>
      </c>
      <c r="G6884" s="1" t="e">
        <f>IF(VALUE(F6884) = VALUE(RIGHT(Insights!$C$3, 4)), E6884, "")</f>
        <v>#VALUE!</v>
      </c>
      <c r="H6884" s="26" t="e">
        <f t="shared" si="1"/>
        <v>#VALUE!</v>
      </c>
      <c r="I6884" s="1" t="e">
        <f t="shared" si="2"/>
        <v>#VALUE!</v>
      </c>
    </row>
    <row r="6885" spans="1:9" ht="15.75" customHeight="1">
      <c r="A6885" s="26"/>
      <c r="B6885" s="2"/>
      <c r="C6885" s="26"/>
      <c r="D6885" s="26"/>
      <c r="F6885" s="85" t="str">
        <f t="shared" si="0"/>
        <v/>
      </c>
      <c r="G6885" s="1" t="e">
        <f>IF(VALUE(F6885) = VALUE(RIGHT(Insights!$C$3, 4)), E6885, "")</f>
        <v>#VALUE!</v>
      </c>
      <c r="H6885" s="26" t="e">
        <f t="shared" si="1"/>
        <v>#VALUE!</v>
      </c>
      <c r="I6885" s="1" t="e">
        <f t="shared" si="2"/>
        <v>#VALUE!</v>
      </c>
    </row>
    <row r="6886" spans="1:9" ht="15.75" customHeight="1">
      <c r="A6886" s="26"/>
      <c r="B6886" s="2"/>
      <c r="C6886" s="26"/>
      <c r="D6886" s="26"/>
      <c r="F6886" s="85" t="str">
        <f t="shared" si="0"/>
        <v/>
      </c>
      <c r="G6886" s="1" t="e">
        <f>IF(VALUE(F6886) = VALUE(RIGHT(Insights!$C$3, 4)), E6886, "")</f>
        <v>#VALUE!</v>
      </c>
      <c r="H6886" s="26" t="e">
        <f t="shared" si="1"/>
        <v>#VALUE!</v>
      </c>
      <c r="I6886" s="1" t="e">
        <f t="shared" si="2"/>
        <v>#VALUE!</v>
      </c>
    </row>
    <row r="6887" spans="1:9" ht="15.75" customHeight="1">
      <c r="A6887" s="26"/>
      <c r="B6887" s="2"/>
      <c r="C6887" s="26"/>
      <c r="D6887" s="26"/>
      <c r="F6887" s="85" t="str">
        <f t="shared" si="0"/>
        <v/>
      </c>
      <c r="G6887" s="1" t="e">
        <f>IF(VALUE(F6887) = VALUE(RIGHT(Insights!$C$3, 4)), E6887, "")</f>
        <v>#VALUE!</v>
      </c>
      <c r="H6887" s="26" t="e">
        <f t="shared" si="1"/>
        <v>#VALUE!</v>
      </c>
      <c r="I6887" s="1" t="e">
        <f t="shared" si="2"/>
        <v>#VALUE!</v>
      </c>
    </row>
    <row r="6888" spans="1:9" ht="15.75" customHeight="1">
      <c r="A6888" s="26"/>
      <c r="B6888" s="2"/>
      <c r="C6888" s="26"/>
      <c r="D6888" s="26"/>
      <c r="F6888" s="85" t="str">
        <f t="shared" si="0"/>
        <v/>
      </c>
      <c r="G6888" s="1" t="e">
        <f>IF(VALUE(F6888) = VALUE(RIGHT(Insights!$C$3, 4)), E6888, "")</f>
        <v>#VALUE!</v>
      </c>
      <c r="H6888" s="26" t="e">
        <f t="shared" si="1"/>
        <v>#VALUE!</v>
      </c>
      <c r="I6888" s="1" t="e">
        <f t="shared" si="2"/>
        <v>#VALUE!</v>
      </c>
    </row>
    <row r="6889" spans="1:9" ht="15.75" customHeight="1">
      <c r="A6889" s="26"/>
      <c r="B6889" s="2"/>
      <c r="C6889" s="26"/>
      <c r="D6889" s="26"/>
      <c r="F6889" s="85" t="str">
        <f t="shared" si="0"/>
        <v/>
      </c>
      <c r="G6889" s="1" t="e">
        <f>IF(VALUE(F6889) = VALUE(RIGHT(Insights!$C$3, 4)), E6889, "")</f>
        <v>#VALUE!</v>
      </c>
      <c r="H6889" s="26" t="e">
        <f t="shared" si="1"/>
        <v>#VALUE!</v>
      </c>
      <c r="I6889" s="1" t="e">
        <f t="shared" si="2"/>
        <v>#VALUE!</v>
      </c>
    </row>
    <row r="6890" spans="1:9" ht="15.75" customHeight="1">
      <c r="A6890" s="26"/>
      <c r="B6890" s="2"/>
      <c r="C6890" s="26"/>
      <c r="D6890" s="26"/>
      <c r="F6890" s="85" t="str">
        <f t="shared" si="0"/>
        <v/>
      </c>
      <c r="G6890" s="1" t="e">
        <f>IF(VALUE(F6890) = VALUE(RIGHT(Insights!$C$3, 4)), E6890, "")</f>
        <v>#VALUE!</v>
      </c>
      <c r="H6890" s="26" t="e">
        <f t="shared" si="1"/>
        <v>#VALUE!</v>
      </c>
      <c r="I6890" s="1" t="e">
        <f t="shared" si="2"/>
        <v>#VALUE!</v>
      </c>
    </row>
    <row r="6891" spans="1:9" ht="15.75" customHeight="1">
      <c r="A6891" s="26"/>
      <c r="B6891" s="2"/>
      <c r="C6891" s="26"/>
      <c r="D6891" s="26"/>
      <c r="F6891" s="85" t="str">
        <f t="shared" si="0"/>
        <v/>
      </c>
      <c r="G6891" s="1" t="e">
        <f>IF(VALUE(F6891) = VALUE(RIGHT(Insights!$C$3, 4)), E6891, "")</f>
        <v>#VALUE!</v>
      </c>
      <c r="H6891" s="26" t="e">
        <f t="shared" si="1"/>
        <v>#VALUE!</v>
      </c>
      <c r="I6891" s="1" t="e">
        <f t="shared" si="2"/>
        <v>#VALUE!</v>
      </c>
    </row>
    <row r="6892" spans="1:9" ht="15.75" customHeight="1">
      <c r="A6892" s="26"/>
      <c r="B6892" s="2"/>
      <c r="C6892" s="26"/>
      <c r="D6892" s="26"/>
      <c r="F6892" s="85" t="str">
        <f t="shared" si="0"/>
        <v/>
      </c>
      <c r="G6892" s="1" t="e">
        <f>IF(VALUE(F6892) = VALUE(RIGHT(Insights!$C$3, 4)), E6892, "")</f>
        <v>#VALUE!</v>
      </c>
      <c r="H6892" s="26" t="e">
        <f t="shared" si="1"/>
        <v>#VALUE!</v>
      </c>
      <c r="I6892" s="1" t="e">
        <f t="shared" si="2"/>
        <v>#VALUE!</v>
      </c>
    </row>
    <row r="6893" spans="1:9" ht="15.75" customHeight="1">
      <c r="A6893" s="26"/>
      <c r="B6893" s="2"/>
      <c r="C6893" s="26"/>
      <c r="D6893" s="26"/>
      <c r="F6893" s="85" t="str">
        <f t="shared" si="0"/>
        <v/>
      </c>
      <c r="G6893" s="1" t="e">
        <f>IF(VALUE(F6893) = VALUE(RIGHT(Insights!$C$3, 4)), E6893, "")</f>
        <v>#VALUE!</v>
      </c>
      <c r="H6893" s="26" t="e">
        <f t="shared" si="1"/>
        <v>#VALUE!</v>
      </c>
      <c r="I6893" s="1" t="e">
        <f t="shared" si="2"/>
        <v>#VALUE!</v>
      </c>
    </row>
    <row r="6894" spans="1:9" ht="15.75" customHeight="1">
      <c r="A6894" s="26"/>
      <c r="B6894" s="2"/>
      <c r="C6894" s="26"/>
      <c r="D6894" s="26"/>
      <c r="F6894" s="85" t="str">
        <f t="shared" si="0"/>
        <v/>
      </c>
      <c r="G6894" s="1" t="e">
        <f>IF(VALUE(F6894) = VALUE(RIGHT(Insights!$C$3, 4)), E6894, "")</f>
        <v>#VALUE!</v>
      </c>
      <c r="H6894" s="26" t="e">
        <f t="shared" si="1"/>
        <v>#VALUE!</v>
      </c>
      <c r="I6894" s="1" t="e">
        <f t="shared" si="2"/>
        <v>#VALUE!</v>
      </c>
    </row>
    <row r="6895" spans="1:9" ht="15.75" customHeight="1">
      <c r="A6895" s="26"/>
      <c r="B6895" s="2"/>
      <c r="C6895" s="26"/>
      <c r="D6895" s="26"/>
      <c r="F6895" s="85" t="str">
        <f t="shared" si="0"/>
        <v/>
      </c>
      <c r="G6895" s="1" t="e">
        <f>IF(VALUE(F6895) = VALUE(RIGHT(Insights!$C$3, 4)), E6895, "")</f>
        <v>#VALUE!</v>
      </c>
      <c r="H6895" s="26" t="e">
        <f t="shared" si="1"/>
        <v>#VALUE!</v>
      </c>
      <c r="I6895" s="1" t="e">
        <f t="shared" si="2"/>
        <v>#VALUE!</v>
      </c>
    </row>
    <row r="6896" spans="1:9" ht="15.75" customHeight="1">
      <c r="A6896" s="26"/>
      <c r="B6896" s="2"/>
      <c r="C6896" s="26"/>
      <c r="D6896" s="26"/>
      <c r="F6896" s="85" t="str">
        <f t="shared" si="0"/>
        <v/>
      </c>
      <c r="G6896" s="1" t="e">
        <f>IF(VALUE(F6896) = VALUE(RIGHT(Insights!$C$3, 4)), E6896, "")</f>
        <v>#VALUE!</v>
      </c>
      <c r="H6896" s="26" t="e">
        <f t="shared" si="1"/>
        <v>#VALUE!</v>
      </c>
      <c r="I6896" s="1" t="e">
        <f t="shared" si="2"/>
        <v>#VALUE!</v>
      </c>
    </row>
    <row r="6897" spans="1:9" ht="15.75" customHeight="1">
      <c r="A6897" s="26"/>
      <c r="B6897" s="2"/>
      <c r="C6897" s="26"/>
      <c r="D6897" s="26"/>
      <c r="F6897" s="85" t="str">
        <f t="shared" si="0"/>
        <v/>
      </c>
      <c r="G6897" s="1" t="e">
        <f>IF(VALUE(F6897) = VALUE(RIGHT(Insights!$C$3, 4)), E6897, "")</f>
        <v>#VALUE!</v>
      </c>
      <c r="H6897" s="26" t="e">
        <f t="shared" si="1"/>
        <v>#VALUE!</v>
      </c>
      <c r="I6897" s="1" t="e">
        <f t="shared" si="2"/>
        <v>#VALUE!</v>
      </c>
    </row>
    <row r="6898" spans="1:9" ht="15.75" customHeight="1">
      <c r="A6898" s="26"/>
      <c r="B6898" s="2"/>
      <c r="C6898" s="26"/>
      <c r="D6898" s="26"/>
      <c r="F6898" s="85" t="str">
        <f t="shared" si="0"/>
        <v/>
      </c>
      <c r="G6898" s="1" t="e">
        <f>IF(VALUE(F6898) = VALUE(RIGHT(Insights!$C$3, 4)), E6898, "")</f>
        <v>#VALUE!</v>
      </c>
      <c r="H6898" s="26" t="e">
        <f t="shared" si="1"/>
        <v>#VALUE!</v>
      </c>
      <c r="I6898" s="1" t="e">
        <f t="shared" si="2"/>
        <v>#VALUE!</v>
      </c>
    </row>
    <row r="6899" spans="1:9" ht="15.75" customHeight="1">
      <c r="A6899" s="26"/>
      <c r="B6899" s="2"/>
      <c r="C6899" s="26"/>
      <c r="D6899" s="26"/>
      <c r="F6899" s="85" t="str">
        <f t="shared" si="0"/>
        <v/>
      </c>
      <c r="G6899" s="1" t="e">
        <f>IF(VALUE(F6899) = VALUE(RIGHT(Insights!$C$3, 4)), E6899, "")</f>
        <v>#VALUE!</v>
      </c>
      <c r="H6899" s="26" t="e">
        <f t="shared" si="1"/>
        <v>#VALUE!</v>
      </c>
      <c r="I6899" s="1" t="e">
        <f t="shared" si="2"/>
        <v>#VALUE!</v>
      </c>
    </row>
    <row r="6900" spans="1:9" ht="15.75" customHeight="1">
      <c r="A6900" s="26"/>
      <c r="B6900" s="2"/>
      <c r="C6900" s="26"/>
      <c r="D6900" s="26"/>
      <c r="F6900" s="85" t="str">
        <f t="shared" si="0"/>
        <v/>
      </c>
      <c r="G6900" s="1" t="e">
        <f>IF(VALUE(F6900) = VALUE(RIGHT(Insights!$C$3, 4)), E6900, "")</f>
        <v>#VALUE!</v>
      </c>
      <c r="H6900" s="26" t="e">
        <f t="shared" si="1"/>
        <v>#VALUE!</v>
      </c>
      <c r="I6900" s="1" t="e">
        <f t="shared" si="2"/>
        <v>#VALUE!</v>
      </c>
    </row>
    <row r="6901" spans="1:9" ht="15.75" customHeight="1">
      <c r="A6901" s="26"/>
      <c r="B6901" s="2"/>
      <c r="C6901" s="26"/>
      <c r="D6901" s="26"/>
      <c r="F6901" s="85" t="str">
        <f t="shared" si="0"/>
        <v/>
      </c>
      <c r="G6901" s="1" t="e">
        <f>IF(VALUE(F6901) = VALUE(RIGHT(Insights!$C$3, 4)), E6901, "")</f>
        <v>#VALUE!</v>
      </c>
      <c r="H6901" s="26" t="e">
        <f t="shared" si="1"/>
        <v>#VALUE!</v>
      </c>
      <c r="I6901" s="1" t="e">
        <f t="shared" si="2"/>
        <v>#VALUE!</v>
      </c>
    </row>
    <row r="6902" spans="1:9" ht="15.75" customHeight="1">
      <c r="A6902" s="26"/>
      <c r="B6902" s="2"/>
      <c r="C6902" s="26"/>
      <c r="D6902" s="26"/>
      <c r="F6902" s="85" t="str">
        <f t="shared" si="0"/>
        <v/>
      </c>
      <c r="G6902" s="1" t="e">
        <f>IF(VALUE(F6902) = VALUE(RIGHT(Insights!$C$3, 4)), E6902, "")</f>
        <v>#VALUE!</v>
      </c>
      <c r="H6902" s="26" t="e">
        <f t="shared" si="1"/>
        <v>#VALUE!</v>
      </c>
      <c r="I6902" s="1" t="e">
        <f t="shared" si="2"/>
        <v>#VALUE!</v>
      </c>
    </row>
    <row r="6903" spans="1:9" ht="15.75" customHeight="1">
      <c r="A6903" s="26"/>
      <c r="B6903" s="2"/>
      <c r="C6903" s="26"/>
      <c r="D6903" s="26"/>
      <c r="F6903" s="85" t="str">
        <f t="shared" si="0"/>
        <v/>
      </c>
      <c r="G6903" s="1" t="e">
        <f>IF(VALUE(F6903) = VALUE(RIGHT(Insights!$C$3, 4)), E6903, "")</f>
        <v>#VALUE!</v>
      </c>
      <c r="H6903" s="26" t="e">
        <f t="shared" si="1"/>
        <v>#VALUE!</v>
      </c>
      <c r="I6903" s="1" t="e">
        <f t="shared" si="2"/>
        <v>#VALUE!</v>
      </c>
    </row>
    <row r="6904" spans="1:9" ht="15.75" customHeight="1">
      <c r="A6904" s="26"/>
      <c r="B6904" s="2"/>
      <c r="C6904" s="26"/>
      <c r="D6904" s="26"/>
      <c r="F6904" s="85" t="str">
        <f t="shared" si="0"/>
        <v/>
      </c>
      <c r="G6904" s="1" t="e">
        <f>IF(VALUE(F6904) = VALUE(RIGHT(Insights!$C$3, 4)), E6904, "")</f>
        <v>#VALUE!</v>
      </c>
      <c r="H6904" s="26" t="e">
        <f t="shared" si="1"/>
        <v>#VALUE!</v>
      </c>
      <c r="I6904" s="1" t="e">
        <f t="shared" si="2"/>
        <v>#VALUE!</v>
      </c>
    </row>
    <row r="6905" spans="1:9" ht="15.75" customHeight="1">
      <c r="A6905" s="26"/>
      <c r="B6905" s="2"/>
      <c r="C6905" s="26"/>
      <c r="D6905" s="26"/>
      <c r="F6905" s="85" t="str">
        <f t="shared" si="0"/>
        <v/>
      </c>
      <c r="G6905" s="1" t="e">
        <f>IF(VALUE(F6905) = VALUE(RIGHT(Insights!$C$3, 4)), E6905, "")</f>
        <v>#VALUE!</v>
      </c>
      <c r="H6905" s="26" t="e">
        <f t="shared" si="1"/>
        <v>#VALUE!</v>
      </c>
      <c r="I6905" s="1" t="e">
        <f t="shared" si="2"/>
        <v>#VALUE!</v>
      </c>
    </row>
    <row r="6906" spans="1:9" ht="15.75" customHeight="1">
      <c r="A6906" s="26"/>
      <c r="B6906" s="2"/>
      <c r="C6906" s="26"/>
      <c r="D6906" s="26"/>
      <c r="F6906" s="85" t="str">
        <f t="shared" si="0"/>
        <v/>
      </c>
      <c r="G6906" s="1" t="e">
        <f>IF(VALUE(F6906) = VALUE(RIGHT(Insights!$C$3, 4)), E6906, "")</f>
        <v>#VALUE!</v>
      </c>
      <c r="H6906" s="26" t="e">
        <f t="shared" si="1"/>
        <v>#VALUE!</v>
      </c>
      <c r="I6906" s="1" t="e">
        <f t="shared" si="2"/>
        <v>#VALUE!</v>
      </c>
    </row>
    <row r="6907" spans="1:9" ht="15.75" customHeight="1">
      <c r="A6907" s="26"/>
      <c r="B6907" s="2"/>
      <c r="C6907" s="26"/>
      <c r="D6907" s="26"/>
      <c r="F6907" s="85" t="str">
        <f t="shared" si="0"/>
        <v/>
      </c>
      <c r="G6907" s="1" t="e">
        <f>IF(VALUE(F6907) = VALUE(RIGHT(Insights!$C$3, 4)), E6907, "")</f>
        <v>#VALUE!</v>
      </c>
      <c r="H6907" s="26" t="e">
        <f t="shared" si="1"/>
        <v>#VALUE!</v>
      </c>
      <c r="I6907" s="1" t="e">
        <f t="shared" si="2"/>
        <v>#VALUE!</v>
      </c>
    </row>
    <row r="6908" spans="1:9" ht="15.75" customHeight="1">
      <c r="A6908" s="26"/>
      <c r="B6908" s="2"/>
      <c r="C6908" s="26"/>
      <c r="D6908" s="26"/>
      <c r="F6908" s="85" t="str">
        <f t="shared" si="0"/>
        <v/>
      </c>
      <c r="G6908" s="1" t="e">
        <f>IF(VALUE(F6908) = VALUE(RIGHT(Insights!$C$3, 4)), E6908, "")</f>
        <v>#VALUE!</v>
      </c>
      <c r="H6908" s="26" t="e">
        <f t="shared" si="1"/>
        <v>#VALUE!</v>
      </c>
      <c r="I6908" s="1" t="e">
        <f t="shared" si="2"/>
        <v>#VALUE!</v>
      </c>
    </row>
    <row r="6909" spans="1:9" ht="15.75" customHeight="1">
      <c r="A6909" s="26"/>
      <c r="B6909" s="2"/>
      <c r="C6909" s="26"/>
      <c r="D6909" s="26"/>
      <c r="F6909" s="85" t="str">
        <f t="shared" si="0"/>
        <v/>
      </c>
      <c r="G6909" s="1" t="e">
        <f>IF(VALUE(F6909) = VALUE(RIGHT(Insights!$C$3, 4)), E6909, "")</f>
        <v>#VALUE!</v>
      </c>
      <c r="H6909" s="26" t="e">
        <f t="shared" si="1"/>
        <v>#VALUE!</v>
      </c>
      <c r="I6909" s="1" t="e">
        <f t="shared" si="2"/>
        <v>#VALUE!</v>
      </c>
    </row>
    <row r="6910" spans="1:9" ht="15.75" customHeight="1">
      <c r="A6910" s="26"/>
      <c r="B6910" s="2"/>
      <c r="C6910" s="26"/>
      <c r="D6910" s="26"/>
      <c r="F6910" s="85" t="str">
        <f t="shared" si="0"/>
        <v/>
      </c>
      <c r="G6910" s="1" t="e">
        <f>IF(VALUE(F6910) = VALUE(RIGHT(Insights!$C$3, 4)), E6910, "")</f>
        <v>#VALUE!</v>
      </c>
      <c r="H6910" s="26" t="e">
        <f t="shared" si="1"/>
        <v>#VALUE!</v>
      </c>
      <c r="I6910" s="1" t="e">
        <f t="shared" si="2"/>
        <v>#VALUE!</v>
      </c>
    </row>
    <row r="6911" spans="1:9" ht="15.75" customHeight="1">
      <c r="A6911" s="26"/>
      <c r="B6911" s="2"/>
      <c r="C6911" s="26"/>
      <c r="D6911" s="26"/>
      <c r="F6911" s="85" t="str">
        <f t="shared" si="0"/>
        <v/>
      </c>
      <c r="G6911" s="1" t="e">
        <f>IF(VALUE(F6911) = VALUE(RIGHT(Insights!$C$3, 4)), E6911, "")</f>
        <v>#VALUE!</v>
      </c>
      <c r="H6911" s="26" t="e">
        <f t="shared" si="1"/>
        <v>#VALUE!</v>
      </c>
      <c r="I6911" s="1" t="e">
        <f t="shared" si="2"/>
        <v>#VALUE!</v>
      </c>
    </row>
    <row r="6912" spans="1:9" ht="15.75" customHeight="1">
      <c r="A6912" s="26"/>
      <c r="B6912" s="2"/>
      <c r="C6912" s="26"/>
      <c r="D6912" s="26"/>
      <c r="F6912" s="85" t="str">
        <f t="shared" si="0"/>
        <v/>
      </c>
      <c r="G6912" s="1" t="e">
        <f>IF(VALUE(F6912) = VALUE(RIGHT(Insights!$C$3, 4)), E6912, "")</f>
        <v>#VALUE!</v>
      </c>
      <c r="H6912" s="26" t="e">
        <f t="shared" si="1"/>
        <v>#VALUE!</v>
      </c>
      <c r="I6912" s="1" t="e">
        <f t="shared" si="2"/>
        <v>#VALUE!</v>
      </c>
    </row>
    <row r="6913" spans="1:9" ht="15.75" customHeight="1">
      <c r="A6913" s="26"/>
      <c r="B6913" s="2"/>
      <c r="C6913" s="26"/>
      <c r="D6913" s="26"/>
      <c r="F6913" s="85" t="str">
        <f t="shared" si="0"/>
        <v/>
      </c>
      <c r="G6913" s="1" t="e">
        <f>IF(VALUE(F6913) = VALUE(RIGHT(Insights!$C$3, 4)), E6913, "")</f>
        <v>#VALUE!</v>
      </c>
      <c r="H6913" s="26" t="e">
        <f t="shared" si="1"/>
        <v>#VALUE!</v>
      </c>
      <c r="I6913" s="1" t="e">
        <f t="shared" si="2"/>
        <v>#VALUE!</v>
      </c>
    </row>
    <row r="6914" spans="1:9" ht="15.75" customHeight="1">
      <c r="A6914" s="26"/>
      <c r="B6914" s="2"/>
      <c r="C6914" s="26"/>
      <c r="D6914" s="26"/>
      <c r="F6914" s="85" t="str">
        <f t="shared" si="0"/>
        <v/>
      </c>
      <c r="G6914" s="1" t="e">
        <f>IF(VALUE(F6914) = VALUE(RIGHT(Insights!$C$3, 4)), E6914, "")</f>
        <v>#VALUE!</v>
      </c>
      <c r="H6914" s="26" t="e">
        <f t="shared" si="1"/>
        <v>#VALUE!</v>
      </c>
      <c r="I6914" s="1" t="e">
        <f t="shared" si="2"/>
        <v>#VALUE!</v>
      </c>
    </row>
    <row r="6915" spans="1:9" ht="15.75" customHeight="1">
      <c r="A6915" s="26"/>
      <c r="B6915" s="2"/>
      <c r="C6915" s="26"/>
      <c r="D6915" s="26"/>
      <c r="F6915" s="85" t="str">
        <f t="shared" si="0"/>
        <v/>
      </c>
      <c r="G6915" s="1" t="e">
        <f>IF(VALUE(F6915) = VALUE(RIGHT(Insights!$C$3, 4)), E6915, "")</f>
        <v>#VALUE!</v>
      </c>
      <c r="H6915" s="26" t="e">
        <f t="shared" si="1"/>
        <v>#VALUE!</v>
      </c>
      <c r="I6915" s="1" t="e">
        <f t="shared" si="2"/>
        <v>#VALUE!</v>
      </c>
    </row>
    <row r="6916" spans="1:9" ht="15.75" customHeight="1">
      <c r="A6916" s="26"/>
      <c r="B6916" s="2"/>
      <c r="C6916" s="26"/>
      <c r="D6916" s="26"/>
      <c r="F6916" s="85" t="str">
        <f t="shared" si="0"/>
        <v/>
      </c>
      <c r="G6916" s="1" t="e">
        <f>IF(VALUE(F6916) = VALUE(RIGHT(Insights!$C$3, 4)), E6916, "")</f>
        <v>#VALUE!</v>
      </c>
      <c r="H6916" s="26" t="e">
        <f t="shared" si="1"/>
        <v>#VALUE!</v>
      </c>
      <c r="I6916" s="1" t="e">
        <f t="shared" si="2"/>
        <v>#VALUE!</v>
      </c>
    </row>
    <row r="6917" spans="1:9" ht="15.75" customHeight="1">
      <c r="A6917" s="26"/>
      <c r="B6917" s="2"/>
      <c r="C6917" s="26"/>
      <c r="D6917" s="26"/>
      <c r="F6917" s="85" t="str">
        <f t="shared" si="0"/>
        <v/>
      </c>
      <c r="G6917" s="1" t="e">
        <f>IF(VALUE(F6917) = VALUE(RIGHT(Insights!$C$3, 4)), E6917, "")</f>
        <v>#VALUE!</v>
      </c>
      <c r="H6917" s="26" t="e">
        <f t="shared" si="1"/>
        <v>#VALUE!</v>
      </c>
      <c r="I6917" s="1" t="e">
        <f t="shared" si="2"/>
        <v>#VALUE!</v>
      </c>
    </row>
    <row r="6918" spans="1:9" ht="15.75" customHeight="1">
      <c r="A6918" s="26"/>
      <c r="B6918" s="2"/>
      <c r="C6918" s="26"/>
      <c r="D6918" s="26"/>
      <c r="F6918" s="85" t="str">
        <f t="shared" si="0"/>
        <v/>
      </c>
      <c r="G6918" s="1" t="e">
        <f>IF(VALUE(F6918) = VALUE(RIGHT(Insights!$C$3, 4)), E6918, "")</f>
        <v>#VALUE!</v>
      </c>
      <c r="H6918" s="26" t="e">
        <f t="shared" si="1"/>
        <v>#VALUE!</v>
      </c>
      <c r="I6918" s="1" t="e">
        <f t="shared" si="2"/>
        <v>#VALUE!</v>
      </c>
    </row>
    <row r="6919" spans="1:9" ht="15.75" customHeight="1">
      <c r="A6919" s="26"/>
      <c r="B6919" s="2"/>
      <c r="C6919" s="26"/>
      <c r="D6919" s="26"/>
      <c r="F6919" s="85" t="str">
        <f t="shared" si="0"/>
        <v/>
      </c>
      <c r="G6919" s="1" t="e">
        <f>IF(VALUE(F6919) = VALUE(RIGHT(Insights!$C$3, 4)), E6919, "")</f>
        <v>#VALUE!</v>
      </c>
      <c r="H6919" s="26" t="e">
        <f t="shared" si="1"/>
        <v>#VALUE!</v>
      </c>
      <c r="I6919" s="1" t="e">
        <f t="shared" si="2"/>
        <v>#VALUE!</v>
      </c>
    </row>
    <row r="6920" spans="1:9" ht="15.75" customHeight="1">
      <c r="A6920" s="26"/>
      <c r="B6920" s="2"/>
      <c r="C6920" s="26"/>
      <c r="D6920" s="26"/>
      <c r="F6920" s="85" t="str">
        <f t="shared" si="0"/>
        <v/>
      </c>
      <c r="G6920" s="1" t="e">
        <f>IF(VALUE(F6920) = VALUE(RIGHT(Insights!$C$3, 4)), E6920, "")</f>
        <v>#VALUE!</v>
      </c>
      <c r="H6920" s="26" t="e">
        <f t="shared" si="1"/>
        <v>#VALUE!</v>
      </c>
      <c r="I6920" s="1" t="e">
        <f t="shared" si="2"/>
        <v>#VALUE!</v>
      </c>
    </row>
    <row r="6921" spans="1:9" ht="15.75" customHeight="1">
      <c r="A6921" s="26"/>
      <c r="B6921" s="2"/>
      <c r="C6921" s="26"/>
      <c r="D6921" s="26"/>
      <c r="F6921" s="85" t="str">
        <f t="shared" si="0"/>
        <v/>
      </c>
      <c r="G6921" s="1" t="e">
        <f>IF(VALUE(F6921) = VALUE(RIGHT(Insights!$C$3, 4)), E6921, "")</f>
        <v>#VALUE!</v>
      </c>
      <c r="H6921" s="26" t="e">
        <f t="shared" si="1"/>
        <v>#VALUE!</v>
      </c>
      <c r="I6921" s="1" t="e">
        <f t="shared" si="2"/>
        <v>#VALUE!</v>
      </c>
    </row>
    <row r="6922" spans="1:9" ht="15.75" customHeight="1">
      <c r="A6922" s="26"/>
      <c r="B6922" s="2"/>
      <c r="C6922" s="26"/>
      <c r="D6922" s="26"/>
      <c r="F6922" s="85" t="str">
        <f t="shared" si="0"/>
        <v/>
      </c>
      <c r="G6922" s="1" t="e">
        <f>IF(VALUE(F6922) = VALUE(RIGHT(Insights!$C$3, 4)), E6922, "")</f>
        <v>#VALUE!</v>
      </c>
      <c r="H6922" s="26" t="e">
        <f t="shared" si="1"/>
        <v>#VALUE!</v>
      </c>
      <c r="I6922" s="1" t="e">
        <f t="shared" si="2"/>
        <v>#VALUE!</v>
      </c>
    </row>
    <row r="6923" spans="1:9" ht="15.75" customHeight="1">
      <c r="A6923" s="26"/>
      <c r="B6923" s="2"/>
      <c r="C6923" s="26"/>
      <c r="D6923" s="26"/>
      <c r="F6923" s="85" t="str">
        <f t="shared" si="0"/>
        <v/>
      </c>
      <c r="G6923" s="1" t="e">
        <f>IF(VALUE(F6923) = VALUE(RIGHT(Insights!$C$3, 4)), E6923, "")</f>
        <v>#VALUE!</v>
      </c>
      <c r="H6923" s="26" t="e">
        <f t="shared" si="1"/>
        <v>#VALUE!</v>
      </c>
      <c r="I6923" s="1" t="e">
        <f t="shared" si="2"/>
        <v>#VALUE!</v>
      </c>
    </row>
    <row r="6924" spans="1:9" ht="15.75" customHeight="1">
      <c r="A6924" s="26"/>
      <c r="B6924" s="2"/>
      <c r="C6924" s="26"/>
      <c r="D6924" s="26"/>
      <c r="F6924" s="85" t="str">
        <f t="shared" si="0"/>
        <v/>
      </c>
      <c r="G6924" s="1" t="e">
        <f>IF(VALUE(F6924) = VALUE(RIGHT(Insights!$C$3, 4)), E6924, "")</f>
        <v>#VALUE!</v>
      </c>
      <c r="H6924" s="26" t="e">
        <f t="shared" si="1"/>
        <v>#VALUE!</v>
      </c>
      <c r="I6924" s="1" t="e">
        <f t="shared" si="2"/>
        <v>#VALUE!</v>
      </c>
    </row>
    <row r="6925" spans="1:9" ht="15.75" customHeight="1">
      <c r="A6925" s="26"/>
      <c r="B6925" s="2"/>
      <c r="C6925" s="26"/>
      <c r="D6925" s="26"/>
      <c r="F6925" s="85" t="str">
        <f t="shared" si="0"/>
        <v/>
      </c>
      <c r="G6925" s="1" t="e">
        <f>IF(VALUE(F6925) = VALUE(RIGHT(Insights!$C$3, 4)), E6925, "")</f>
        <v>#VALUE!</v>
      </c>
      <c r="H6925" s="26" t="e">
        <f t="shared" si="1"/>
        <v>#VALUE!</v>
      </c>
      <c r="I6925" s="1" t="e">
        <f t="shared" si="2"/>
        <v>#VALUE!</v>
      </c>
    </row>
    <row r="6926" spans="1:9" ht="15.75" customHeight="1">
      <c r="A6926" s="26"/>
      <c r="B6926" s="2"/>
      <c r="C6926" s="26"/>
      <c r="D6926" s="26"/>
      <c r="F6926" s="85" t="str">
        <f t="shared" si="0"/>
        <v/>
      </c>
      <c r="G6926" s="1" t="e">
        <f>IF(VALUE(F6926) = VALUE(RIGHT(Insights!$C$3, 4)), E6926, "")</f>
        <v>#VALUE!</v>
      </c>
      <c r="H6926" s="26" t="e">
        <f t="shared" si="1"/>
        <v>#VALUE!</v>
      </c>
      <c r="I6926" s="1" t="e">
        <f t="shared" si="2"/>
        <v>#VALUE!</v>
      </c>
    </row>
    <row r="6927" spans="1:9" ht="15.75" customHeight="1">
      <c r="A6927" s="26"/>
      <c r="B6927" s="2"/>
      <c r="C6927" s="26"/>
      <c r="D6927" s="26"/>
      <c r="F6927" s="85" t="str">
        <f t="shared" si="0"/>
        <v/>
      </c>
      <c r="G6927" s="1" t="e">
        <f>IF(VALUE(F6927) = VALUE(RIGHT(Insights!$C$3, 4)), E6927, "")</f>
        <v>#VALUE!</v>
      </c>
      <c r="H6927" s="26" t="e">
        <f t="shared" si="1"/>
        <v>#VALUE!</v>
      </c>
      <c r="I6927" s="1" t="e">
        <f t="shared" si="2"/>
        <v>#VALUE!</v>
      </c>
    </row>
    <row r="6928" spans="1:9" ht="15.75" customHeight="1">
      <c r="A6928" s="26"/>
      <c r="B6928" s="2"/>
      <c r="C6928" s="26"/>
      <c r="D6928" s="26"/>
      <c r="F6928" s="85" t="str">
        <f t="shared" si="0"/>
        <v/>
      </c>
      <c r="G6928" s="1" t="e">
        <f>IF(VALUE(F6928) = VALUE(RIGHT(Insights!$C$3, 4)), E6928, "")</f>
        <v>#VALUE!</v>
      </c>
      <c r="H6928" s="26" t="e">
        <f t="shared" si="1"/>
        <v>#VALUE!</v>
      </c>
      <c r="I6928" s="1" t="e">
        <f t="shared" si="2"/>
        <v>#VALUE!</v>
      </c>
    </row>
    <row r="6929" spans="1:9" ht="15.75" customHeight="1">
      <c r="A6929" s="26"/>
      <c r="B6929" s="2"/>
      <c r="C6929" s="26"/>
      <c r="D6929" s="26"/>
      <c r="F6929" s="85" t="str">
        <f t="shared" si="0"/>
        <v/>
      </c>
      <c r="G6929" s="1" t="e">
        <f>IF(VALUE(F6929) = VALUE(RIGHT(Insights!$C$3, 4)), E6929, "")</f>
        <v>#VALUE!</v>
      </c>
      <c r="H6929" s="26" t="e">
        <f t="shared" si="1"/>
        <v>#VALUE!</v>
      </c>
      <c r="I6929" s="1" t="e">
        <f t="shared" si="2"/>
        <v>#VALUE!</v>
      </c>
    </row>
    <row r="6930" spans="1:9" ht="15.75" customHeight="1">
      <c r="A6930" s="26"/>
      <c r="B6930" s="2"/>
      <c r="C6930" s="26"/>
      <c r="D6930" s="26"/>
      <c r="F6930" s="85" t="str">
        <f t="shared" si="0"/>
        <v/>
      </c>
      <c r="G6930" s="1" t="e">
        <f>IF(VALUE(F6930) = VALUE(RIGHT(Insights!$C$3, 4)), E6930, "")</f>
        <v>#VALUE!</v>
      </c>
      <c r="H6930" s="26" t="e">
        <f t="shared" si="1"/>
        <v>#VALUE!</v>
      </c>
      <c r="I6930" s="1" t="e">
        <f t="shared" si="2"/>
        <v>#VALUE!</v>
      </c>
    </row>
    <row r="6931" spans="1:9" ht="15.75" customHeight="1">
      <c r="A6931" s="26"/>
      <c r="B6931" s="2"/>
      <c r="C6931" s="26"/>
      <c r="D6931" s="26"/>
      <c r="F6931" s="85" t="str">
        <f t="shared" si="0"/>
        <v/>
      </c>
      <c r="G6931" s="1" t="e">
        <f>IF(VALUE(F6931) = VALUE(RIGHT(Insights!$C$3, 4)), E6931, "")</f>
        <v>#VALUE!</v>
      </c>
      <c r="H6931" s="26" t="e">
        <f t="shared" si="1"/>
        <v>#VALUE!</v>
      </c>
      <c r="I6931" s="1" t="e">
        <f t="shared" si="2"/>
        <v>#VALUE!</v>
      </c>
    </row>
    <row r="6932" spans="1:9" ht="15.75" customHeight="1">
      <c r="A6932" s="26"/>
      <c r="B6932" s="2"/>
      <c r="C6932" s="26"/>
      <c r="D6932" s="26"/>
      <c r="F6932" s="85" t="str">
        <f t="shared" si="0"/>
        <v/>
      </c>
      <c r="G6932" s="1" t="e">
        <f>IF(VALUE(F6932) = VALUE(RIGHT(Insights!$C$3, 4)), E6932, "")</f>
        <v>#VALUE!</v>
      </c>
      <c r="H6932" s="26" t="e">
        <f t="shared" si="1"/>
        <v>#VALUE!</v>
      </c>
      <c r="I6932" s="1" t="e">
        <f t="shared" si="2"/>
        <v>#VALUE!</v>
      </c>
    </row>
    <row r="6933" spans="1:9" ht="15.75" customHeight="1">
      <c r="A6933" s="26"/>
      <c r="B6933" s="2"/>
      <c r="C6933" s="26"/>
      <c r="D6933" s="26"/>
      <c r="F6933" s="85" t="str">
        <f t="shared" si="0"/>
        <v/>
      </c>
      <c r="G6933" s="1" t="e">
        <f>IF(VALUE(F6933) = VALUE(RIGHT(Insights!$C$3, 4)), E6933, "")</f>
        <v>#VALUE!</v>
      </c>
      <c r="H6933" s="26" t="e">
        <f t="shared" si="1"/>
        <v>#VALUE!</v>
      </c>
      <c r="I6933" s="1" t="e">
        <f t="shared" si="2"/>
        <v>#VALUE!</v>
      </c>
    </row>
    <row r="6934" spans="1:9" ht="15.75" customHeight="1">
      <c r="A6934" s="26"/>
      <c r="B6934" s="2"/>
      <c r="C6934" s="26"/>
      <c r="D6934" s="26"/>
      <c r="F6934" s="85" t="str">
        <f t="shared" si="0"/>
        <v/>
      </c>
      <c r="G6934" s="1" t="e">
        <f>IF(VALUE(F6934) = VALUE(RIGHT(Insights!$C$3, 4)), E6934, "")</f>
        <v>#VALUE!</v>
      </c>
      <c r="H6934" s="26" t="e">
        <f t="shared" si="1"/>
        <v>#VALUE!</v>
      </c>
      <c r="I6934" s="1" t="e">
        <f t="shared" si="2"/>
        <v>#VALUE!</v>
      </c>
    </row>
    <row r="6935" spans="1:9" ht="15.75" customHeight="1">
      <c r="A6935" s="26"/>
      <c r="B6935" s="2"/>
      <c r="C6935" s="26"/>
      <c r="D6935" s="26"/>
      <c r="F6935" s="85" t="str">
        <f t="shared" si="0"/>
        <v/>
      </c>
      <c r="G6935" s="1" t="e">
        <f>IF(VALUE(F6935) = VALUE(RIGHT(Insights!$C$3, 4)), E6935, "")</f>
        <v>#VALUE!</v>
      </c>
      <c r="H6935" s="26" t="e">
        <f t="shared" si="1"/>
        <v>#VALUE!</v>
      </c>
      <c r="I6935" s="1" t="e">
        <f t="shared" si="2"/>
        <v>#VALUE!</v>
      </c>
    </row>
    <row r="6936" spans="1:9" ht="15.75" customHeight="1">
      <c r="A6936" s="26"/>
      <c r="B6936" s="2"/>
      <c r="C6936" s="26"/>
      <c r="D6936" s="26"/>
      <c r="F6936" s="85" t="str">
        <f t="shared" si="0"/>
        <v/>
      </c>
      <c r="G6936" s="1" t="e">
        <f>IF(VALUE(F6936) = VALUE(RIGHT(Insights!$C$3, 4)), E6936, "")</f>
        <v>#VALUE!</v>
      </c>
      <c r="H6936" s="26" t="e">
        <f t="shared" si="1"/>
        <v>#VALUE!</v>
      </c>
      <c r="I6936" s="1" t="e">
        <f t="shared" si="2"/>
        <v>#VALUE!</v>
      </c>
    </row>
    <row r="6937" spans="1:9" ht="15.75" customHeight="1">
      <c r="A6937" s="26"/>
      <c r="B6937" s="2"/>
      <c r="C6937" s="26"/>
      <c r="D6937" s="26"/>
      <c r="F6937" s="85" t="str">
        <f t="shared" si="0"/>
        <v/>
      </c>
      <c r="G6937" s="1" t="e">
        <f>IF(VALUE(F6937) = VALUE(RIGHT(Insights!$C$3, 4)), E6937, "")</f>
        <v>#VALUE!</v>
      </c>
      <c r="H6937" s="26" t="e">
        <f t="shared" si="1"/>
        <v>#VALUE!</v>
      </c>
      <c r="I6937" s="1" t="e">
        <f t="shared" si="2"/>
        <v>#VALUE!</v>
      </c>
    </row>
    <row r="6938" spans="1:9" ht="15.75" customHeight="1">
      <c r="A6938" s="26"/>
      <c r="B6938" s="2"/>
      <c r="C6938" s="26"/>
      <c r="D6938" s="26"/>
      <c r="F6938" s="85" t="str">
        <f t="shared" si="0"/>
        <v/>
      </c>
      <c r="G6938" s="1" t="e">
        <f>IF(VALUE(F6938) = VALUE(RIGHT(Insights!$C$3, 4)), E6938, "")</f>
        <v>#VALUE!</v>
      </c>
      <c r="H6938" s="26" t="e">
        <f t="shared" si="1"/>
        <v>#VALUE!</v>
      </c>
      <c r="I6938" s="1" t="e">
        <f t="shared" si="2"/>
        <v>#VALUE!</v>
      </c>
    </row>
    <row r="6939" spans="1:9" ht="15.75" customHeight="1">
      <c r="A6939" s="26"/>
      <c r="B6939" s="2"/>
      <c r="C6939" s="26"/>
      <c r="D6939" s="26"/>
      <c r="F6939" s="85" t="str">
        <f t="shared" si="0"/>
        <v/>
      </c>
      <c r="G6939" s="1" t="e">
        <f>IF(VALUE(F6939) = VALUE(RIGHT(Insights!$C$3, 4)), E6939, "")</f>
        <v>#VALUE!</v>
      </c>
      <c r="H6939" s="26" t="e">
        <f t="shared" si="1"/>
        <v>#VALUE!</v>
      </c>
      <c r="I6939" s="1" t="e">
        <f t="shared" si="2"/>
        <v>#VALUE!</v>
      </c>
    </row>
    <row r="6940" spans="1:9" ht="15.75" customHeight="1">
      <c r="A6940" s="26"/>
      <c r="B6940" s="2"/>
      <c r="C6940" s="26"/>
      <c r="D6940" s="26"/>
      <c r="F6940" s="85" t="str">
        <f t="shared" si="0"/>
        <v/>
      </c>
      <c r="G6940" s="1" t="e">
        <f>IF(VALUE(F6940) = VALUE(RIGHT(Insights!$C$3, 4)), E6940, "")</f>
        <v>#VALUE!</v>
      </c>
      <c r="H6940" s="26" t="e">
        <f t="shared" si="1"/>
        <v>#VALUE!</v>
      </c>
      <c r="I6940" s="1" t="e">
        <f t="shared" si="2"/>
        <v>#VALUE!</v>
      </c>
    </row>
    <row r="6941" spans="1:9" ht="15.75" customHeight="1">
      <c r="A6941" s="26"/>
      <c r="B6941" s="2"/>
      <c r="C6941" s="26"/>
      <c r="D6941" s="26"/>
      <c r="F6941" s="85" t="str">
        <f t="shared" si="0"/>
        <v/>
      </c>
      <c r="G6941" s="1" t="e">
        <f>IF(VALUE(F6941) = VALUE(RIGHT(Insights!$C$3, 4)), E6941, "")</f>
        <v>#VALUE!</v>
      </c>
      <c r="H6941" s="26" t="e">
        <f t="shared" si="1"/>
        <v>#VALUE!</v>
      </c>
      <c r="I6941" s="1" t="e">
        <f t="shared" si="2"/>
        <v>#VALUE!</v>
      </c>
    </row>
    <row r="6942" spans="1:9" ht="15.75" customHeight="1">
      <c r="A6942" s="26"/>
      <c r="B6942" s="2"/>
      <c r="C6942" s="26"/>
      <c r="D6942" s="26"/>
      <c r="F6942" s="85" t="str">
        <f t="shared" si="0"/>
        <v/>
      </c>
      <c r="G6942" s="1" t="e">
        <f>IF(VALUE(F6942) = VALUE(RIGHT(Insights!$C$3, 4)), E6942, "")</f>
        <v>#VALUE!</v>
      </c>
      <c r="H6942" s="26" t="e">
        <f t="shared" si="1"/>
        <v>#VALUE!</v>
      </c>
      <c r="I6942" s="1" t="e">
        <f t="shared" si="2"/>
        <v>#VALUE!</v>
      </c>
    </row>
    <row r="6943" spans="1:9" ht="15.75" customHeight="1">
      <c r="A6943" s="26"/>
      <c r="B6943" s="2"/>
      <c r="C6943" s="26"/>
      <c r="D6943" s="26"/>
      <c r="F6943" s="85" t="str">
        <f t="shared" si="0"/>
        <v/>
      </c>
      <c r="G6943" s="1" t="e">
        <f>IF(VALUE(F6943) = VALUE(RIGHT(Insights!$C$3, 4)), E6943, "")</f>
        <v>#VALUE!</v>
      </c>
      <c r="H6943" s="26" t="e">
        <f t="shared" si="1"/>
        <v>#VALUE!</v>
      </c>
      <c r="I6943" s="1" t="e">
        <f t="shared" si="2"/>
        <v>#VALUE!</v>
      </c>
    </row>
    <row r="6944" spans="1:9" ht="15.75" customHeight="1">
      <c r="A6944" s="26"/>
      <c r="B6944" s="2"/>
      <c r="C6944" s="26"/>
      <c r="D6944" s="26"/>
      <c r="F6944" s="85" t="str">
        <f t="shared" si="0"/>
        <v/>
      </c>
      <c r="G6944" s="1" t="e">
        <f>IF(VALUE(F6944) = VALUE(RIGHT(Insights!$C$3, 4)), E6944, "")</f>
        <v>#VALUE!</v>
      </c>
      <c r="H6944" s="26" t="e">
        <f t="shared" si="1"/>
        <v>#VALUE!</v>
      </c>
      <c r="I6944" s="1" t="e">
        <f t="shared" si="2"/>
        <v>#VALUE!</v>
      </c>
    </row>
    <row r="6945" spans="1:9" ht="15.75" customHeight="1">
      <c r="A6945" s="26"/>
      <c r="B6945" s="2"/>
      <c r="C6945" s="26"/>
      <c r="D6945" s="26"/>
      <c r="F6945" s="85" t="str">
        <f t="shared" si="0"/>
        <v/>
      </c>
      <c r="G6945" s="1" t="e">
        <f>IF(VALUE(F6945) = VALUE(RIGHT(Insights!$C$3, 4)), E6945, "")</f>
        <v>#VALUE!</v>
      </c>
      <c r="H6945" s="26" t="e">
        <f t="shared" si="1"/>
        <v>#VALUE!</v>
      </c>
      <c r="I6945" s="1" t="e">
        <f t="shared" si="2"/>
        <v>#VALUE!</v>
      </c>
    </row>
    <row r="6946" spans="1:9" ht="15.75" customHeight="1">
      <c r="A6946" s="26"/>
      <c r="B6946" s="2"/>
      <c r="C6946" s="26"/>
      <c r="D6946" s="26"/>
      <c r="F6946" s="85" t="str">
        <f t="shared" si="0"/>
        <v/>
      </c>
      <c r="G6946" s="1" t="e">
        <f>IF(VALUE(F6946) = VALUE(RIGHT(Insights!$C$3, 4)), E6946, "")</f>
        <v>#VALUE!</v>
      </c>
      <c r="H6946" s="26" t="e">
        <f t="shared" si="1"/>
        <v>#VALUE!</v>
      </c>
      <c r="I6946" s="1" t="e">
        <f t="shared" si="2"/>
        <v>#VALUE!</v>
      </c>
    </row>
    <row r="6947" spans="1:9" ht="15.75" customHeight="1">
      <c r="A6947" s="26"/>
      <c r="B6947" s="2"/>
      <c r="C6947" s="26"/>
      <c r="D6947" s="26"/>
      <c r="F6947" s="85" t="str">
        <f t="shared" si="0"/>
        <v/>
      </c>
      <c r="G6947" s="1" t="e">
        <f>IF(VALUE(F6947) = VALUE(RIGHT(Insights!$C$3, 4)), E6947, "")</f>
        <v>#VALUE!</v>
      </c>
      <c r="H6947" s="26" t="e">
        <f t="shared" si="1"/>
        <v>#VALUE!</v>
      </c>
      <c r="I6947" s="1" t="e">
        <f t="shared" si="2"/>
        <v>#VALUE!</v>
      </c>
    </row>
    <row r="6948" spans="1:9" ht="15.75" customHeight="1">
      <c r="A6948" s="26"/>
      <c r="B6948" s="2"/>
      <c r="C6948" s="26"/>
      <c r="D6948" s="26"/>
      <c r="F6948" s="85" t="str">
        <f t="shared" si="0"/>
        <v/>
      </c>
      <c r="G6948" s="1" t="e">
        <f>IF(VALUE(F6948) = VALUE(RIGHT(Insights!$C$3, 4)), E6948, "")</f>
        <v>#VALUE!</v>
      </c>
      <c r="H6948" s="26" t="e">
        <f t="shared" si="1"/>
        <v>#VALUE!</v>
      </c>
      <c r="I6948" s="1" t="e">
        <f t="shared" si="2"/>
        <v>#VALUE!</v>
      </c>
    </row>
    <row r="6949" spans="1:9" ht="15.75" customHeight="1">
      <c r="A6949" s="26"/>
      <c r="B6949" s="2"/>
      <c r="C6949" s="26"/>
      <c r="D6949" s="26"/>
      <c r="F6949" s="85" t="str">
        <f t="shared" si="0"/>
        <v/>
      </c>
      <c r="G6949" s="1" t="e">
        <f>IF(VALUE(F6949) = VALUE(RIGHT(Insights!$C$3, 4)), E6949, "")</f>
        <v>#VALUE!</v>
      </c>
      <c r="H6949" s="26" t="e">
        <f t="shared" si="1"/>
        <v>#VALUE!</v>
      </c>
      <c r="I6949" s="1" t="e">
        <f t="shared" si="2"/>
        <v>#VALUE!</v>
      </c>
    </row>
    <row r="6950" spans="1:9" ht="15.75" customHeight="1">
      <c r="A6950" s="26"/>
      <c r="B6950" s="2"/>
      <c r="C6950" s="26"/>
      <c r="D6950" s="26"/>
      <c r="F6950" s="85" t="str">
        <f t="shared" si="0"/>
        <v/>
      </c>
      <c r="G6950" s="1" t="e">
        <f>IF(VALUE(F6950) = VALUE(RIGHT(Insights!$C$3, 4)), E6950, "")</f>
        <v>#VALUE!</v>
      </c>
      <c r="H6950" s="26" t="e">
        <f t="shared" si="1"/>
        <v>#VALUE!</v>
      </c>
      <c r="I6950" s="1" t="e">
        <f t="shared" si="2"/>
        <v>#VALUE!</v>
      </c>
    </row>
    <row r="6951" spans="1:9" ht="15.75" customHeight="1">
      <c r="A6951" s="26"/>
      <c r="B6951" s="2"/>
      <c r="C6951" s="26"/>
      <c r="D6951" s="26"/>
      <c r="F6951" s="85" t="str">
        <f t="shared" si="0"/>
        <v/>
      </c>
      <c r="G6951" s="1" t="e">
        <f>IF(VALUE(F6951) = VALUE(RIGHT(Insights!$C$3, 4)), E6951, "")</f>
        <v>#VALUE!</v>
      </c>
      <c r="H6951" s="26" t="e">
        <f t="shared" si="1"/>
        <v>#VALUE!</v>
      </c>
      <c r="I6951" s="1" t="e">
        <f t="shared" si="2"/>
        <v>#VALUE!</v>
      </c>
    </row>
    <row r="6952" spans="1:9" ht="15.75" customHeight="1">
      <c r="A6952" s="26"/>
      <c r="B6952" s="2"/>
      <c r="C6952" s="26"/>
      <c r="D6952" s="26"/>
      <c r="F6952" s="85" t="str">
        <f t="shared" si="0"/>
        <v/>
      </c>
      <c r="G6952" s="1" t="e">
        <f>IF(VALUE(F6952) = VALUE(RIGHT(Insights!$C$3, 4)), E6952, "")</f>
        <v>#VALUE!</v>
      </c>
      <c r="H6952" s="26" t="e">
        <f t="shared" si="1"/>
        <v>#VALUE!</v>
      </c>
      <c r="I6952" s="1" t="e">
        <f t="shared" si="2"/>
        <v>#VALUE!</v>
      </c>
    </row>
    <row r="6953" spans="1:9" ht="15.75" customHeight="1">
      <c r="A6953" s="26"/>
      <c r="B6953" s="2"/>
      <c r="C6953" s="26"/>
      <c r="D6953" s="26"/>
      <c r="F6953" s="85" t="str">
        <f t="shared" si="0"/>
        <v/>
      </c>
      <c r="G6953" s="1" t="e">
        <f>IF(VALUE(F6953) = VALUE(RIGHT(Insights!$C$3, 4)), E6953, "")</f>
        <v>#VALUE!</v>
      </c>
      <c r="H6953" s="26" t="e">
        <f t="shared" si="1"/>
        <v>#VALUE!</v>
      </c>
      <c r="I6953" s="1" t="e">
        <f t="shared" si="2"/>
        <v>#VALUE!</v>
      </c>
    </row>
    <row r="6954" spans="1:9" ht="15.75" customHeight="1">
      <c r="A6954" s="26"/>
      <c r="B6954" s="2"/>
      <c r="C6954" s="26"/>
      <c r="D6954" s="26"/>
      <c r="F6954" s="85" t="str">
        <f t="shared" si="0"/>
        <v/>
      </c>
      <c r="G6954" s="1" t="e">
        <f>IF(VALUE(F6954) = VALUE(RIGHT(Insights!$C$3, 4)), E6954, "")</f>
        <v>#VALUE!</v>
      </c>
      <c r="H6954" s="26" t="e">
        <f t="shared" si="1"/>
        <v>#VALUE!</v>
      </c>
      <c r="I6954" s="1" t="e">
        <f t="shared" si="2"/>
        <v>#VALUE!</v>
      </c>
    </row>
    <row r="6955" spans="1:9" ht="15.75" customHeight="1">
      <c r="A6955" s="26"/>
      <c r="B6955" s="2"/>
      <c r="C6955" s="26"/>
      <c r="D6955" s="26"/>
      <c r="F6955" s="85" t="str">
        <f t="shared" si="0"/>
        <v/>
      </c>
      <c r="G6955" s="1" t="e">
        <f>IF(VALUE(F6955) = VALUE(RIGHT(Insights!$C$3, 4)), E6955, "")</f>
        <v>#VALUE!</v>
      </c>
      <c r="H6955" s="26" t="e">
        <f t="shared" si="1"/>
        <v>#VALUE!</v>
      </c>
      <c r="I6955" s="1" t="e">
        <f t="shared" si="2"/>
        <v>#VALUE!</v>
      </c>
    </row>
    <row r="6956" spans="1:9" ht="15.75" customHeight="1">
      <c r="A6956" s="26"/>
      <c r="B6956" s="2"/>
      <c r="C6956" s="26"/>
      <c r="D6956" s="26"/>
      <c r="F6956" s="85" t="str">
        <f t="shared" si="0"/>
        <v/>
      </c>
      <c r="G6956" s="1" t="e">
        <f>IF(VALUE(F6956) = VALUE(RIGHT(Insights!$C$3, 4)), E6956, "")</f>
        <v>#VALUE!</v>
      </c>
      <c r="H6956" s="26" t="e">
        <f t="shared" si="1"/>
        <v>#VALUE!</v>
      </c>
      <c r="I6956" s="1" t="e">
        <f t="shared" si="2"/>
        <v>#VALUE!</v>
      </c>
    </row>
    <row r="6957" spans="1:9" ht="15.75" customHeight="1">
      <c r="A6957" s="26"/>
      <c r="B6957" s="2"/>
      <c r="C6957" s="26"/>
      <c r="D6957" s="26"/>
      <c r="F6957" s="85" t="str">
        <f t="shared" si="0"/>
        <v/>
      </c>
      <c r="G6957" s="1" t="e">
        <f>IF(VALUE(F6957) = VALUE(RIGHT(Insights!$C$3, 4)), E6957, "")</f>
        <v>#VALUE!</v>
      </c>
      <c r="H6957" s="26" t="e">
        <f t="shared" si="1"/>
        <v>#VALUE!</v>
      </c>
      <c r="I6957" s="1" t="e">
        <f t="shared" si="2"/>
        <v>#VALUE!</v>
      </c>
    </row>
    <row r="6958" spans="1:9" ht="15.75" customHeight="1">
      <c r="A6958" s="26"/>
      <c r="B6958" s="2"/>
      <c r="C6958" s="26"/>
      <c r="D6958" s="26"/>
      <c r="F6958" s="85" t="str">
        <f t="shared" si="0"/>
        <v/>
      </c>
      <c r="G6958" s="1" t="e">
        <f>IF(VALUE(F6958) = VALUE(RIGHT(Insights!$C$3, 4)), E6958, "")</f>
        <v>#VALUE!</v>
      </c>
      <c r="H6958" s="26" t="e">
        <f t="shared" si="1"/>
        <v>#VALUE!</v>
      </c>
      <c r="I6958" s="1" t="e">
        <f t="shared" si="2"/>
        <v>#VALUE!</v>
      </c>
    </row>
    <row r="6959" spans="1:9" ht="15.75" customHeight="1">
      <c r="A6959" s="26"/>
      <c r="B6959" s="2"/>
      <c r="C6959" s="26"/>
      <c r="D6959" s="26"/>
      <c r="F6959" s="85" t="str">
        <f t="shared" si="0"/>
        <v/>
      </c>
      <c r="G6959" s="1" t="e">
        <f>IF(VALUE(F6959) = VALUE(RIGHT(Insights!$C$3, 4)), E6959, "")</f>
        <v>#VALUE!</v>
      </c>
      <c r="H6959" s="26" t="e">
        <f t="shared" si="1"/>
        <v>#VALUE!</v>
      </c>
      <c r="I6959" s="1" t="e">
        <f t="shared" si="2"/>
        <v>#VALUE!</v>
      </c>
    </row>
    <row r="6960" spans="1:9" ht="15.75" customHeight="1">
      <c r="A6960" s="26"/>
      <c r="B6960" s="2"/>
      <c r="C6960" s="26"/>
      <c r="D6960" s="26"/>
      <c r="F6960" s="85" t="str">
        <f t="shared" si="0"/>
        <v/>
      </c>
      <c r="G6960" s="1" t="e">
        <f>IF(VALUE(F6960) = VALUE(RIGHT(Insights!$C$3, 4)), E6960, "")</f>
        <v>#VALUE!</v>
      </c>
      <c r="H6960" s="26" t="e">
        <f t="shared" si="1"/>
        <v>#VALUE!</v>
      </c>
      <c r="I6960" s="1" t="e">
        <f t="shared" si="2"/>
        <v>#VALUE!</v>
      </c>
    </row>
    <row r="6961" spans="1:9" ht="15.75" customHeight="1">
      <c r="A6961" s="26"/>
      <c r="B6961" s="2"/>
      <c r="C6961" s="26"/>
      <c r="D6961" s="26"/>
      <c r="F6961" s="85" t="str">
        <f t="shared" si="0"/>
        <v/>
      </c>
      <c r="G6961" s="1" t="e">
        <f>IF(VALUE(F6961) = VALUE(RIGHT(Insights!$C$3, 4)), E6961, "")</f>
        <v>#VALUE!</v>
      </c>
      <c r="H6961" s="26" t="e">
        <f t="shared" si="1"/>
        <v>#VALUE!</v>
      </c>
      <c r="I6961" s="1" t="e">
        <f t="shared" si="2"/>
        <v>#VALUE!</v>
      </c>
    </row>
    <row r="6962" spans="1:9" ht="15.75" customHeight="1">
      <c r="A6962" s="26"/>
      <c r="B6962" s="2"/>
      <c r="C6962" s="26"/>
      <c r="D6962" s="26"/>
      <c r="F6962" s="85" t="str">
        <f t="shared" si="0"/>
        <v/>
      </c>
      <c r="G6962" s="1" t="e">
        <f>IF(VALUE(F6962) = VALUE(RIGHT(Insights!$C$3, 4)), E6962, "")</f>
        <v>#VALUE!</v>
      </c>
      <c r="H6962" s="26" t="e">
        <f t="shared" si="1"/>
        <v>#VALUE!</v>
      </c>
      <c r="I6962" s="1" t="e">
        <f t="shared" si="2"/>
        <v>#VALUE!</v>
      </c>
    </row>
    <row r="6963" spans="1:9" ht="15.75" customHeight="1">
      <c r="A6963" s="26"/>
      <c r="B6963" s="2"/>
      <c r="C6963" s="26"/>
      <c r="D6963" s="26"/>
      <c r="F6963" s="85" t="str">
        <f t="shared" si="0"/>
        <v/>
      </c>
      <c r="G6963" s="1" t="e">
        <f>IF(VALUE(F6963) = VALUE(RIGHT(Insights!$C$3, 4)), E6963, "")</f>
        <v>#VALUE!</v>
      </c>
      <c r="H6963" s="26" t="e">
        <f t="shared" si="1"/>
        <v>#VALUE!</v>
      </c>
      <c r="I6963" s="1" t="e">
        <f t="shared" si="2"/>
        <v>#VALUE!</v>
      </c>
    </row>
    <row r="6964" spans="1:9" ht="15.75" customHeight="1">
      <c r="A6964" s="26"/>
      <c r="B6964" s="2"/>
      <c r="C6964" s="26"/>
      <c r="D6964" s="26"/>
      <c r="F6964" s="85" t="str">
        <f t="shared" si="0"/>
        <v/>
      </c>
      <c r="G6964" s="1" t="e">
        <f>IF(VALUE(F6964) = VALUE(RIGHT(Insights!$C$3, 4)), E6964, "")</f>
        <v>#VALUE!</v>
      </c>
      <c r="H6964" s="26" t="e">
        <f t="shared" si="1"/>
        <v>#VALUE!</v>
      </c>
      <c r="I6964" s="1" t="e">
        <f t="shared" si="2"/>
        <v>#VALUE!</v>
      </c>
    </row>
    <row r="6965" spans="1:9" ht="15.75" customHeight="1">
      <c r="A6965" s="26"/>
      <c r="B6965" s="2"/>
      <c r="C6965" s="26"/>
      <c r="D6965" s="26"/>
      <c r="F6965" s="85" t="str">
        <f t="shared" si="0"/>
        <v/>
      </c>
      <c r="G6965" s="1" t="e">
        <f>IF(VALUE(F6965) = VALUE(RIGHT(Insights!$C$3, 4)), E6965, "")</f>
        <v>#VALUE!</v>
      </c>
      <c r="H6965" s="26" t="e">
        <f t="shared" si="1"/>
        <v>#VALUE!</v>
      </c>
      <c r="I6965" s="1" t="e">
        <f t="shared" si="2"/>
        <v>#VALUE!</v>
      </c>
    </row>
    <row r="6966" spans="1:9" ht="15.75" customHeight="1">
      <c r="A6966" s="26"/>
      <c r="B6966" s="2"/>
      <c r="C6966" s="26"/>
      <c r="D6966" s="26"/>
      <c r="F6966" s="85" t="str">
        <f t="shared" si="0"/>
        <v/>
      </c>
      <c r="G6966" s="1" t="e">
        <f>IF(VALUE(F6966) = VALUE(RIGHT(Insights!$C$3, 4)), E6966, "")</f>
        <v>#VALUE!</v>
      </c>
      <c r="H6966" s="26" t="e">
        <f t="shared" si="1"/>
        <v>#VALUE!</v>
      </c>
      <c r="I6966" s="1" t="e">
        <f t="shared" si="2"/>
        <v>#VALUE!</v>
      </c>
    </row>
    <row r="6967" spans="1:9" ht="15.75" customHeight="1">
      <c r="A6967" s="26"/>
      <c r="B6967" s="2"/>
      <c r="C6967" s="26"/>
      <c r="D6967" s="26"/>
      <c r="F6967" s="85" t="str">
        <f t="shared" si="0"/>
        <v/>
      </c>
      <c r="G6967" s="1" t="e">
        <f>IF(VALUE(F6967) = VALUE(RIGHT(Insights!$C$3, 4)), E6967, "")</f>
        <v>#VALUE!</v>
      </c>
      <c r="H6967" s="26" t="e">
        <f t="shared" si="1"/>
        <v>#VALUE!</v>
      </c>
      <c r="I6967" s="1" t="e">
        <f t="shared" si="2"/>
        <v>#VALUE!</v>
      </c>
    </row>
    <row r="6968" spans="1:9" ht="15.75" customHeight="1">
      <c r="A6968" s="26"/>
      <c r="B6968" s="2"/>
      <c r="C6968" s="26"/>
      <c r="D6968" s="26"/>
      <c r="F6968" s="85" t="str">
        <f t="shared" si="0"/>
        <v/>
      </c>
      <c r="G6968" s="1" t="e">
        <f>IF(VALUE(F6968) = VALUE(RIGHT(Insights!$C$3, 4)), E6968, "")</f>
        <v>#VALUE!</v>
      </c>
      <c r="H6968" s="26" t="e">
        <f t="shared" si="1"/>
        <v>#VALUE!</v>
      </c>
      <c r="I6968" s="1" t="e">
        <f t="shared" si="2"/>
        <v>#VALUE!</v>
      </c>
    </row>
    <row r="6969" spans="1:9" ht="15.75" customHeight="1">
      <c r="A6969" s="26"/>
      <c r="B6969" s="2"/>
      <c r="C6969" s="26"/>
      <c r="D6969" s="26"/>
      <c r="F6969" s="85" t="str">
        <f t="shared" si="0"/>
        <v/>
      </c>
      <c r="G6969" s="1" t="e">
        <f>IF(VALUE(F6969) = VALUE(RIGHT(Insights!$C$3, 4)), E6969, "")</f>
        <v>#VALUE!</v>
      </c>
      <c r="H6969" s="26" t="e">
        <f t="shared" si="1"/>
        <v>#VALUE!</v>
      </c>
      <c r="I6969" s="1" t="e">
        <f t="shared" si="2"/>
        <v>#VALUE!</v>
      </c>
    </row>
    <row r="6970" spans="1:9" ht="15.75" customHeight="1">
      <c r="A6970" s="26"/>
      <c r="B6970" s="2"/>
      <c r="C6970" s="26"/>
      <c r="D6970" s="26"/>
      <c r="F6970" s="85" t="str">
        <f t="shared" si="0"/>
        <v/>
      </c>
      <c r="G6970" s="1" t="e">
        <f>IF(VALUE(F6970) = VALUE(RIGHT(Insights!$C$3, 4)), E6970, "")</f>
        <v>#VALUE!</v>
      </c>
      <c r="H6970" s="26" t="e">
        <f t="shared" si="1"/>
        <v>#VALUE!</v>
      </c>
      <c r="I6970" s="1" t="e">
        <f t="shared" si="2"/>
        <v>#VALUE!</v>
      </c>
    </row>
    <row r="6971" spans="1:9" ht="15.75" customHeight="1">
      <c r="A6971" s="26"/>
      <c r="B6971" s="2"/>
      <c r="C6971" s="26"/>
      <c r="D6971" s="26"/>
      <c r="F6971" s="85" t="str">
        <f t="shared" si="0"/>
        <v/>
      </c>
      <c r="G6971" s="1" t="e">
        <f>IF(VALUE(F6971) = VALUE(RIGHT(Insights!$C$3, 4)), E6971, "")</f>
        <v>#VALUE!</v>
      </c>
      <c r="H6971" s="26" t="e">
        <f t="shared" si="1"/>
        <v>#VALUE!</v>
      </c>
      <c r="I6971" s="1" t="e">
        <f t="shared" si="2"/>
        <v>#VALUE!</v>
      </c>
    </row>
    <row r="6972" spans="1:9" ht="15.75" customHeight="1">
      <c r="A6972" s="26"/>
      <c r="B6972" s="2"/>
      <c r="C6972" s="26"/>
      <c r="D6972" s="26"/>
      <c r="F6972" s="85" t="str">
        <f t="shared" si="0"/>
        <v/>
      </c>
      <c r="G6972" s="1" t="e">
        <f>IF(VALUE(F6972) = VALUE(RIGHT(Insights!$C$3, 4)), E6972, "")</f>
        <v>#VALUE!</v>
      </c>
      <c r="H6972" s="26" t="e">
        <f t="shared" si="1"/>
        <v>#VALUE!</v>
      </c>
      <c r="I6972" s="1" t="e">
        <f t="shared" si="2"/>
        <v>#VALUE!</v>
      </c>
    </row>
    <row r="6973" spans="1:9" ht="15.75" customHeight="1">
      <c r="A6973" s="26"/>
      <c r="B6973" s="2"/>
      <c r="C6973" s="26"/>
      <c r="D6973" s="26"/>
      <c r="F6973" s="85" t="str">
        <f t="shared" si="0"/>
        <v/>
      </c>
      <c r="G6973" s="1" t="e">
        <f>IF(VALUE(F6973) = VALUE(RIGHT(Insights!$C$3, 4)), E6973, "")</f>
        <v>#VALUE!</v>
      </c>
      <c r="H6973" s="26" t="e">
        <f t="shared" si="1"/>
        <v>#VALUE!</v>
      </c>
      <c r="I6973" s="1" t="e">
        <f t="shared" si="2"/>
        <v>#VALUE!</v>
      </c>
    </row>
    <row r="6974" spans="1:9" ht="15.75" customHeight="1">
      <c r="A6974" s="26"/>
      <c r="B6974" s="2"/>
      <c r="C6974" s="26"/>
      <c r="D6974" s="26"/>
      <c r="F6974" s="85" t="str">
        <f t="shared" si="0"/>
        <v/>
      </c>
      <c r="G6974" s="1" t="e">
        <f>IF(VALUE(F6974) = VALUE(RIGHT(Insights!$C$3, 4)), E6974, "")</f>
        <v>#VALUE!</v>
      </c>
      <c r="H6974" s="26" t="e">
        <f t="shared" si="1"/>
        <v>#VALUE!</v>
      </c>
      <c r="I6974" s="1" t="e">
        <f t="shared" si="2"/>
        <v>#VALUE!</v>
      </c>
    </row>
    <row r="6975" spans="1:9" ht="15.75" customHeight="1">
      <c r="A6975" s="26"/>
      <c r="B6975" s="2"/>
      <c r="C6975" s="26"/>
      <c r="D6975" s="26"/>
      <c r="F6975" s="85" t="str">
        <f t="shared" si="0"/>
        <v/>
      </c>
      <c r="G6975" s="1" t="e">
        <f>IF(VALUE(F6975) = VALUE(RIGHT(Insights!$C$3, 4)), E6975, "")</f>
        <v>#VALUE!</v>
      </c>
      <c r="H6975" s="26" t="e">
        <f t="shared" si="1"/>
        <v>#VALUE!</v>
      </c>
      <c r="I6975" s="1" t="e">
        <f t="shared" si="2"/>
        <v>#VALUE!</v>
      </c>
    </row>
    <row r="6976" spans="1:9" ht="15.75" customHeight="1">
      <c r="A6976" s="26"/>
      <c r="B6976" s="2"/>
      <c r="C6976" s="26"/>
      <c r="D6976" s="26"/>
      <c r="F6976" s="85" t="str">
        <f t="shared" si="0"/>
        <v/>
      </c>
      <c r="G6976" s="1" t="e">
        <f>IF(VALUE(F6976) = VALUE(RIGHT(Insights!$C$3, 4)), E6976, "")</f>
        <v>#VALUE!</v>
      </c>
      <c r="H6976" s="26" t="e">
        <f t="shared" si="1"/>
        <v>#VALUE!</v>
      </c>
      <c r="I6976" s="1" t="e">
        <f t="shared" si="2"/>
        <v>#VALUE!</v>
      </c>
    </row>
    <row r="6977" spans="1:9" ht="15.75" customHeight="1">
      <c r="A6977" s="26"/>
      <c r="B6977" s="2"/>
      <c r="C6977" s="26"/>
      <c r="D6977" s="26"/>
      <c r="F6977" s="85" t="str">
        <f t="shared" si="0"/>
        <v/>
      </c>
      <c r="G6977" s="1" t="e">
        <f>IF(VALUE(F6977) = VALUE(RIGHT(Insights!$C$3, 4)), E6977, "")</f>
        <v>#VALUE!</v>
      </c>
      <c r="H6977" s="26" t="e">
        <f t="shared" si="1"/>
        <v>#VALUE!</v>
      </c>
      <c r="I6977" s="1" t="e">
        <f t="shared" si="2"/>
        <v>#VALUE!</v>
      </c>
    </row>
    <row r="6978" spans="1:9" ht="15.75" customHeight="1">
      <c r="A6978" s="26"/>
      <c r="B6978" s="2"/>
      <c r="C6978" s="26"/>
      <c r="D6978" s="26"/>
      <c r="F6978" s="85" t="str">
        <f t="shared" si="0"/>
        <v/>
      </c>
      <c r="G6978" s="1" t="e">
        <f>IF(VALUE(F6978) = VALUE(RIGHT(Insights!$C$3, 4)), E6978, "")</f>
        <v>#VALUE!</v>
      </c>
      <c r="H6978" s="26" t="e">
        <f t="shared" si="1"/>
        <v>#VALUE!</v>
      </c>
      <c r="I6978" s="1" t="e">
        <f t="shared" si="2"/>
        <v>#VALUE!</v>
      </c>
    </row>
    <row r="6979" spans="1:9" ht="15.75" customHeight="1">
      <c r="A6979" s="26"/>
      <c r="B6979" s="2"/>
      <c r="C6979" s="26"/>
      <c r="D6979" s="26"/>
      <c r="F6979" s="85" t="str">
        <f t="shared" si="0"/>
        <v/>
      </c>
      <c r="G6979" s="1" t="e">
        <f>IF(VALUE(F6979) = VALUE(RIGHT(Insights!$C$3, 4)), E6979, "")</f>
        <v>#VALUE!</v>
      </c>
      <c r="H6979" s="26" t="e">
        <f t="shared" si="1"/>
        <v>#VALUE!</v>
      </c>
      <c r="I6979" s="1" t="e">
        <f t="shared" si="2"/>
        <v>#VALUE!</v>
      </c>
    </row>
    <row r="6980" spans="1:9" ht="15.75" customHeight="1">
      <c r="A6980" s="26"/>
      <c r="B6980" s="2"/>
      <c r="C6980" s="26"/>
      <c r="D6980" s="26"/>
      <c r="F6980" s="85" t="str">
        <f t="shared" si="0"/>
        <v/>
      </c>
      <c r="G6980" s="1" t="e">
        <f>IF(VALUE(F6980) = VALUE(RIGHT(Insights!$C$3, 4)), E6980, "")</f>
        <v>#VALUE!</v>
      </c>
      <c r="H6980" s="26" t="e">
        <f t="shared" si="1"/>
        <v>#VALUE!</v>
      </c>
      <c r="I6980" s="1" t="e">
        <f t="shared" si="2"/>
        <v>#VALUE!</v>
      </c>
    </row>
    <row r="6981" spans="1:9" ht="15.75" customHeight="1">
      <c r="A6981" s="26"/>
      <c r="B6981" s="2"/>
      <c r="C6981" s="26"/>
      <c r="D6981" s="26"/>
      <c r="F6981" s="85" t="str">
        <f t="shared" si="0"/>
        <v/>
      </c>
      <c r="G6981" s="1" t="e">
        <f>IF(VALUE(F6981) = VALUE(RIGHT(Insights!$C$3, 4)), E6981, "")</f>
        <v>#VALUE!</v>
      </c>
      <c r="H6981" s="26" t="e">
        <f t="shared" si="1"/>
        <v>#VALUE!</v>
      </c>
      <c r="I6981" s="1" t="e">
        <f t="shared" si="2"/>
        <v>#VALUE!</v>
      </c>
    </row>
    <row r="6982" spans="1:9" ht="15.75" customHeight="1">
      <c r="A6982" s="26"/>
      <c r="B6982" s="2"/>
      <c r="C6982" s="26"/>
      <c r="D6982" s="26"/>
      <c r="F6982" s="85" t="str">
        <f t="shared" si="0"/>
        <v/>
      </c>
      <c r="G6982" s="1" t="e">
        <f>IF(VALUE(F6982) = VALUE(RIGHT(Insights!$C$3, 4)), E6982, "")</f>
        <v>#VALUE!</v>
      </c>
      <c r="H6982" s="26" t="e">
        <f t="shared" si="1"/>
        <v>#VALUE!</v>
      </c>
      <c r="I6982" s="1" t="e">
        <f t="shared" si="2"/>
        <v>#VALUE!</v>
      </c>
    </row>
    <row r="6983" spans="1:9" ht="15.75" customHeight="1">
      <c r="A6983" s="26"/>
      <c r="B6983" s="2"/>
      <c r="C6983" s="26"/>
      <c r="D6983" s="26"/>
      <c r="F6983" s="85" t="str">
        <f t="shared" si="0"/>
        <v/>
      </c>
      <c r="G6983" s="1" t="e">
        <f>IF(VALUE(F6983) = VALUE(RIGHT(Insights!$C$3, 4)), E6983, "")</f>
        <v>#VALUE!</v>
      </c>
      <c r="H6983" s="26" t="e">
        <f t="shared" si="1"/>
        <v>#VALUE!</v>
      </c>
      <c r="I6983" s="1" t="e">
        <f t="shared" si="2"/>
        <v>#VALUE!</v>
      </c>
    </row>
    <row r="6984" spans="1:9" ht="15.75" customHeight="1">
      <c r="A6984" s="26"/>
      <c r="B6984" s="2"/>
      <c r="C6984" s="26"/>
      <c r="D6984" s="26"/>
      <c r="F6984" s="85" t="str">
        <f t="shared" si="0"/>
        <v/>
      </c>
      <c r="G6984" s="1" t="e">
        <f>IF(VALUE(F6984) = VALUE(RIGHT(Insights!$C$3, 4)), E6984, "")</f>
        <v>#VALUE!</v>
      </c>
      <c r="H6984" s="26" t="e">
        <f t="shared" si="1"/>
        <v>#VALUE!</v>
      </c>
      <c r="I6984" s="1" t="e">
        <f t="shared" si="2"/>
        <v>#VALUE!</v>
      </c>
    </row>
    <row r="6985" spans="1:9" ht="15.75" customHeight="1">
      <c r="A6985" s="26"/>
      <c r="B6985" s="2"/>
      <c r="C6985" s="26"/>
      <c r="D6985" s="26"/>
      <c r="F6985" s="85" t="str">
        <f t="shared" si="0"/>
        <v/>
      </c>
      <c r="G6985" s="1" t="e">
        <f>IF(VALUE(F6985) = VALUE(RIGHT(Insights!$C$3, 4)), E6985, "")</f>
        <v>#VALUE!</v>
      </c>
      <c r="H6985" s="26" t="e">
        <f t="shared" si="1"/>
        <v>#VALUE!</v>
      </c>
      <c r="I6985" s="1" t="e">
        <f t="shared" si="2"/>
        <v>#VALUE!</v>
      </c>
    </row>
    <row r="6986" spans="1:9" ht="15.75" customHeight="1">
      <c r="A6986" s="26"/>
      <c r="B6986" s="2"/>
      <c r="C6986" s="26"/>
      <c r="D6986" s="26"/>
      <c r="F6986" s="85" t="str">
        <f t="shared" si="0"/>
        <v/>
      </c>
      <c r="G6986" s="1" t="e">
        <f>IF(VALUE(F6986) = VALUE(RIGHT(Insights!$C$3, 4)), E6986, "")</f>
        <v>#VALUE!</v>
      </c>
      <c r="H6986" s="26" t="e">
        <f t="shared" si="1"/>
        <v>#VALUE!</v>
      </c>
      <c r="I6986" s="1" t="e">
        <f t="shared" si="2"/>
        <v>#VALUE!</v>
      </c>
    </row>
    <row r="6987" spans="1:9" ht="15.75" customHeight="1">
      <c r="A6987" s="26"/>
      <c r="B6987" s="2"/>
      <c r="C6987" s="26"/>
      <c r="D6987" s="26"/>
      <c r="F6987" s="85" t="str">
        <f t="shared" si="0"/>
        <v/>
      </c>
      <c r="G6987" s="1" t="e">
        <f>IF(VALUE(F6987) = VALUE(RIGHT(Insights!$C$3, 4)), E6987, "")</f>
        <v>#VALUE!</v>
      </c>
      <c r="H6987" s="26" t="e">
        <f t="shared" si="1"/>
        <v>#VALUE!</v>
      </c>
      <c r="I6987" s="1" t="e">
        <f t="shared" si="2"/>
        <v>#VALUE!</v>
      </c>
    </row>
    <row r="6988" spans="1:9" ht="15.75" customHeight="1">
      <c r="A6988" s="26"/>
      <c r="B6988" s="2"/>
      <c r="C6988" s="26"/>
      <c r="D6988" s="26"/>
      <c r="F6988" s="85" t="str">
        <f t="shared" si="0"/>
        <v/>
      </c>
      <c r="G6988" s="1" t="e">
        <f>IF(VALUE(F6988) = VALUE(RIGHT(Insights!$C$3, 4)), E6988, "")</f>
        <v>#VALUE!</v>
      </c>
      <c r="H6988" s="26" t="e">
        <f t="shared" si="1"/>
        <v>#VALUE!</v>
      </c>
      <c r="I6988" s="1" t="e">
        <f t="shared" si="2"/>
        <v>#VALUE!</v>
      </c>
    </row>
    <row r="6989" spans="1:9" ht="15.75" customHeight="1">
      <c r="A6989" s="26"/>
      <c r="B6989" s="2"/>
      <c r="C6989" s="26"/>
      <c r="D6989" s="26"/>
      <c r="F6989" s="85" t="str">
        <f t="shared" si="0"/>
        <v/>
      </c>
      <c r="G6989" s="1" t="e">
        <f>IF(VALUE(F6989) = VALUE(RIGHT(Insights!$C$3, 4)), E6989, "")</f>
        <v>#VALUE!</v>
      </c>
      <c r="H6989" s="26" t="e">
        <f t="shared" si="1"/>
        <v>#VALUE!</v>
      </c>
      <c r="I6989" s="1" t="e">
        <f t="shared" si="2"/>
        <v>#VALUE!</v>
      </c>
    </row>
    <row r="6990" spans="1:9" ht="15.75" customHeight="1">
      <c r="A6990" s="26"/>
      <c r="B6990" s="2"/>
      <c r="C6990" s="26"/>
      <c r="D6990" s="26"/>
      <c r="F6990" s="85" t="str">
        <f t="shared" si="0"/>
        <v/>
      </c>
      <c r="G6990" s="1" t="e">
        <f>IF(VALUE(F6990) = VALUE(RIGHT(Insights!$C$3, 4)), E6990, "")</f>
        <v>#VALUE!</v>
      </c>
      <c r="H6990" s="26" t="e">
        <f t="shared" si="1"/>
        <v>#VALUE!</v>
      </c>
      <c r="I6990" s="1" t="e">
        <f t="shared" si="2"/>
        <v>#VALUE!</v>
      </c>
    </row>
    <row r="6991" spans="1:9" ht="15.75" customHeight="1">
      <c r="A6991" s="26"/>
      <c r="B6991" s="2"/>
      <c r="C6991" s="26"/>
      <c r="D6991" s="26"/>
      <c r="F6991" s="85" t="str">
        <f t="shared" si="0"/>
        <v/>
      </c>
      <c r="G6991" s="1" t="e">
        <f>IF(VALUE(F6991) = VALUE(RIGHT(Insights!$C$3, 4)), E6991, "")</f>
        <v>#VALUE!</v>
      </c>
      <c r="H6991" s="26" t="e">
        <f t="shared" si="1"/>
        <v>#VALUE!</v>
      </c>
      <c r="I6991" s="1" t="e">
        <f t="shared" si="2"/>
        <v>#VALUE!</v>
      </c>
    </row>
    <row r="6992" spans="1:9" ht="15.75" customHeight="1">
      <c r="A6992" s="26"/>
      <c r="B6992" s="2"/>
      <c r="C6992" s="26"/>
      <c r="D6992" s="26"/>
      <c r="F6992" s="85" t="str">
        <f t="shared" si="0"/>
        <v/>
      </c>
      <c r="G6992" s="1" t="e">
        <f>IF(VALUE(F6992) = VALUE(RIGHT(Insights!$C$3, 4)), E6992, "")</f>
        <v>#VALUE!</v>
      </c>
      <c r="H6992" s="26" t="e">
        <f t="shared" si="1"/>
        <v>#VALUE!</v>
      </c>
      <c r="I6992" s="1" t="e">
        <f t="shared" si="2"/>
        <v>#VALUE!</v>
      </c>
    </row>
    <row r="6993" spans="1:9" ht="15.75" customHeight="1">
      <c r="A6993" s="26"/>
      <c r="B6993" s="2"/>
      <c r="C6993" s="26"/>
      <c r="D6993" s="26"/>
      <c r="F6993" s="85" t="str">
        <f t="shared" si="0"/>
        <v/>
      </c>
      <c r="G6993" s="1" t="e">
        <f>IF(VALUE(F6993) = VALUE(RIGHT(Insights!$C$3, 4)), E6993, "")</f>
        <v>#VALUE!</v>
      </c>
      <c r="H6993" s="26" t="e">
        <f t="shared" si="1"/>
        <v>#VALUE!</v>
      </c>
      <c r="I6993" s="1" t="e">
        <f t="shared" si="2"/>
        <v>#VALUE!</v>
      </c>
    </row>
    <row r="6994" spans="1:9" ht="15.75" customHeight="1">
      <c r="A6994" s="26"/>
      <c r="B6994" s="2"/>
      <c r="C6994" s="26"/>
      <c r="D6994" s="26"/>
      <c r="F6994" s="85" t="str">
        <f t="shared" si="0"/>
        <v/>
      </c>
      <c r="G6994" s="1" t="e">
        <f>IF(VALUE(F6994) = VALUE(RIGHT(Insights!$C$3, 4)), E6994, "")</f>
        <v>#VALUE!</v>
      </c>
      <c r="H6994" s="26" t="e">
        <f t="shared" si="1"/>
        <v>#VALUE!</v>
      </c>
      <c r="I6994" s="1" t="e">
        <f t="shared" si="2"/>
        <v>#VALUE!</v>
      </c>
    </row>
    <row r="6995" spans="1:9" ht="15.75" customHeight="1">
      <c r="A6995" s="26"/>
      <c r="B6995" s="2"/>
      <c r="C6995" s="26"/>
      <c r="D6995" s="26"/>
      <c r="F6995" s="85" t="str">
        <f t="shared" si="0"/>
        <v/>
      </c>
      <c r="G6995" s="1" t="e">
        <f>IF(VALUE(F6995) = VALUE(RIGHT(Insights!$C$3, 4)), E6995, "")</f>
        <v>#VALUE!</v>
      </c>
      <c r="H6995" s="26" t="e">
        <f t="shared" si="1"/>
        <v>#VALUE!</v>
      </c>
      <c r="I6995" s="1" t="e">
        <f t="shared" si="2"/>
        <v>#VALUE!</v>
      </c>
    </row>
    <row r="6996" spans="1:9" ht="15.75" customHeight="1">
      <c r="A6996" s="26"/>
      <c r="B6996" s="2"/>
      <c r="C6996" s="26"/>
      <c r="D6996" s="26"/>
      <c r="F6996" s="85" t="str">
        <f t="shared" si="0"/>
        <v/>
      </c>
      <c r="G6996" s="1" t="e">
        <f>IF(VALUE(F6996) = VALUE(RIGHT(Insights!$C$3, 4)), E6996, "")</f>
        <v>#VALUE!</v>
      </c>
      <c r="H6996" s="26" t="e">
        <f t="shared" si="1"/>
        <v>#VALUE!</v>
      </c>
      <c r="I6996" s="1" t="e">
        <f t="shared" si="2"/>
        <v>#VALUE!</v>
      </c>
    </row>
    <row r="6997" spans="1:9" ht="15.75" customHeight="1">
      <c r="A6997" s="26"/>
      <c r="B6997" s="2"/>
      <c r="C6997" s="26"/>
      <c r="D6997" s="26"/>
      <c r="F6997" s="85" t="str">
        <f t="shared" si="0"/>
        <v/>
      </c>
      <c r="G6997" s="1" t="e">
        <f>IF(VALUE(F6997) = VALUE(RIGHT(Insights!$C$3, 4)), E6997, "")</f>
        <v>#VALUE!</v>
      </c>
      <c r="H6997" s="26" t="e">
        <f t="shared" si="1"/>
        <v>#VALUE!</v>
      </c>
      <c r="I6997" s="1" t="e">
        <f t="shared" si="2"/>
        <v>#VALUE!</v>
      </c>
    </row>
    <row r="6998" spans="1:9" ht="15.75" customHeight="1">
      <c r="A6998" s="26"/>
      <c r="B6998" s="2"/>
      <c r="C6998" s="26"/>
      <c r="D6998" s="26"/>
      <c r="F6998" s="85" t="str">
        <f t="shared" si="0"/>
        <v/>
      </c>
      <c r="G6998" s="1" t="e">
        <f>IF(VALUE(F6998) = VALUE(RIGHT(Insights!$C$3, 4)), E6998, "")</f>
        <v>#VALUE!</v>
      </c>
      <c r="H6998" s="26" t="e">
        <f t="shared" si="1"/>
        <v>#VALUE!</v>
      </c>
      <c r="I6998" s="1" t="e">
        <f t="shared" si="2"/>
        <v>#VALUE!</v>
      </c>
    </row>
    <row r="6999" spans="1:9" ht="15.75" customHeight="1">
      <c r="A6999" s="26"/>
      <c r="B6999" s="2"/>
      <c r="C6999" s="26"/>
      <c r="D6999" s="26"/>
      <c r="F6999" s="85" t="str">
        <f t="shared" si="0"/>
        <v/>
      </c>
      <c r="G6999" s="1" t="e">
        <f>IF(VALUE(F6999) = VALUE(RIGHT(Insights!$C$3, 4)), E6999, "")</f>
        <v>#VALUE!</v>
      </c>
      <c r="H6999" s="26" t="e">
        <f t="shared" si="1"/>
        <v>#VALUE!</v>
      </c>
      <c r="I6999" s="1" t="e">
        <f t="shared" si="2"/>
        <v>#VALUE!</v>
      </c>
    </row>
    <row r="7000" spans="1:9" ht="15.75" customHeight="1">
      <c r="A7000" s="26"/>
      <c r="B7000" s="2"/>
      <c r="C7000" s="26"/>
      <c r="D7000" s="26"/>
      <c r="F7000" s="85" t="str">
        <f t="shared" si="0"/>
        <v/>
      </c>
      <c r="G7000" s="1" t="e">
        <f>IF(VALUE(F7000) = VALUE(RIGHT(Insights!$C$3, 4)), E7000, "")</f>
        <v>#VALUE!</v>
      </c>
      <c r="H7000" s="26" t="e">
        <f t="shared" si="1"/>
        <v>#VALUE!</v>
      </c>
      <c r="I7000" s="1" t="e">
        <f t="shared" si="2"/>
        <v>#VALUE!</v>
      </c>
    </row>
    <row r="7001" spans="1:9" ht="15.75" customHeight="1">
      <c r="A7001" s="26"/>
      <c r="B7001" s="2"/>
      <c r="C7001" s="26"/>
      <c r="D7001" s="26"/>
      <c r="F7001" s="85" t="str">
        <f t="shared" si="0"/>
        <v/>
      </c>
      <c r="G7001" s="1" t="e">
        <f>IF(VALUE(F7001) = VALUE(RIGHT(Insights!$C$3, 4)), E7001, "")</f>
        <v>#VALUE!</v>
      </c>
      <c r="H7001" s="26" t="e">
        <f t="shared" si="1"/>
        <v>#VALUE!</v>
      </c>
      <c r="I7001" s="1" t="e">
        <f t="shared" si="2"/>
        <v>#VALUE!</v>
      </c>
    </row>
    <row r="7002" spans="1:9" ht="15.75" customHeight="1">
      <c r="A7002" s="26"/>
      <c r="B7002" s="2"/>
      <c r="C7002" s="26"/>
      <c r="D7002" s="26"/>
      <c r="F7002" s="85" t="str">
        <f t="shared" si="0"/>
        <v/>
      </c>
      <c r="G7002" s="1" t="e">
        <f>IF(VALUE(F7002) = VALUE(RIGHT(Insights!$C$3, 4)), E7002, "")</f>
        <v>#VALUE!</v>
      </c>
      <c r="H7002" s="26" t="e">
        <f t="shared" si="1"/>
        <v>#VALUE!</v>
      </c>
      <c r="I7002" s="1" t="e">
        <f t="shared" si="2"/>
        <v>#VALUE!</v>
      </c>
    </row>
    <row r="7003" spans="1:9" ht="15.75" customHeight="1">
      <c r="A7003" s="26"/>
      <c r="B7003" s="2"/>
      <c r="C7003" s="26"/>
      <c r="D7003" s="26"/>
      <c r="F7003" s="85" t="str">
        <f t="shared" si="0"/>
        <v/>
      </c>
      <c r="G7003" s="1" t="e">
        <f>IF(VALUE(F7003) = VALUE(RIGHT(Insights!$C$3, 4)), E7003, "")</f>
        <v>#VALUE!</v>
      </c>
      <c r="H7003" s="26" t="e">
        <f t="shared" si="1"/>
        <v>#VALUE!</v>
      </c>
      <c r="I7003" s="1" t="e">
        <f t="shared" si="2"/>
        <v>#VALUE!</v>
      </c>
    </row>
    <row r="7004" spans="1:9" ht="15.75" customHeight="1">
      <c r="A7004" s="26"/>
      <c r="B7004" s="2"/>
      <c r="C7004" s="26"/>
      <c r="D7004" s="26"/>
      <c r="F7004" s="85" t="str">
        <f t="shared" si="0"/>
        <v/>
      </c>
      <c r="G7004" s="1" t="e">
        <f>IF(VALUE(F7004) = VALUE(RIGHT(Insights!$C$3, 4)), E7004, "")</f>
        <v>#VALUE!</v>
      </c>
      <c r="H7004" s="26" t="e">
        <f t="shared" si="1"/>
        <v>#VALUE!</v>
      </c>
      <c r="I7004" s="1" t="e">
        <f t="shared" si="2"/>
        <v>#VALUE!</v>
      </c>
    </row>
    <row r="7005" spans="1:9" ht="15.75" customHeight="1">
      <c r="A7005" s="26"/>
      <c r="B7005" s="2"/>
      <c r="C7005" s="26"/>
      <c r="D7005" s="26"/>
      <c r="F7005" s="85" t="str">
        <f t="shared" si="0"/>
        <v/>
      </c>
      <c r="G7005" s="1" t="e">
        <f>IF(VALUE(F7005) = VALUE(RIGHT(Insights!$C$3, 4)), E7005, "")</f>
        <v>#VALUE!</v>
      </c>
      <c r="H7005" s="26" t="e">
        <f t="shared" si="1"/>
        <v>#VALUE!</v>
      </c>
      <c r="I7005" s="1" t="e">
        <f t="shared" si="2"/>
        <v>#VALUE!</v>
      </c>
    </row>
    <row r="7006" spans="1:9" ht="15.75" customHeight="1">
      <c r="A7006" s="26"/>
      <c r="B7006" s="2"/>
      <c r="C7006" s="26"/>
      <c r="D7006" s="26"/>
      <c r="F7006" s="85" t="str">
        <f t="shared" si="0"/>
        <v/>
      </c>
      <c r="G7006" s="1" t="e">
        <f>IF(VALUE(F7006) = VALUE(RIGHT(Insights!$C$3, 4)), E7006, "")</f>
        <v>#VALUE!</v>
      </c>
      <c r="H7006" s="26" t="e">
        <f t="shared" si="1"/>
        <v>#VALUE!</v>
      </c>
      <c r="I7006" s="1" t="e">
        <f t="shared" si="2"/>
        <v>#VALUE!</v>
      </c>
    </row>
    <row r="7007" spans="1:9" ht="15.75" customHeight="1">
      <c r="A7007" s="26"/>
      <c r="B7007" s="2"/>
      <c r="C7007" s="26"/>
      <c r="D7007" s="26"/>
      <c r="F7007" s="85" t="str">
        <f t="shared" si="0"/>
        <v/>
      </c>
      <c r="G7007" s="1" t="e">
        <f>IF(VALUE(F7007) = VALUE(RIGHT(Insights!$C$3, 4)), E7007, "")</f>
        <v>#VALUE!</v>
      </c>
      <c r="H7007" s="26" t="e">
        <f t="shared" si="1"/>
        <v>#VALUE!</v>
      </c>
      <c r="I7007" s="1" t="e">
        <f t="shared" si="2"/>
        <v>#VALUE!</v>
      </c>
    </row>
    <row r="7008" spans="1:9" ht="15.75" customHeight="1">
      <c r="A7008" s="26"/>
      <c r="B7008" s="2"/>
      <c r="C7008" s="26"/>
      <c r="D7008" s="26"/>
      <c r="F7008" s="85" t="str">
        <f t="shared" si="0"/>
        <v/>
      </c>
      <c r="G7008" s="1" t="e">
        <f>IF(VALUE(F7008) = VALUE(RIGHT(Insights!$C$3, 4)), E7008, "")</f>
        <v>#VALUE!</v>
      </c>
      <c r="H7008" s="26" t="e">
        <f t="shared" si="1"/>
        <v>#VALUE!</v>
      </c>
      <c r="I7008" s="1" t="e">
        <f t="shared" si="2"/>
        <v>#VALUE!</v>
      </c>
    </row>
    <row r="7009" spans="1:9" ht="15.75" customHeight="1">
      <c r="A7009" s="26"/>
      <c r="B7009" s="2"/>
      <c r="C7009" s="26"/>
      <c r="D7009" s="26"/>
      <c r="F7009" s="85" t="str">
        <f t="shared" si="0"/>
        <v/>
      </c>
      <c r="G7009" s="1" t="e">
        <f>IF(VALUE(F7009) = VALUE(RIGHT(Insights!$C$3, 4)), E7009, "")</f>
        <v>#VALUE!</v>
      </c>
      <c r="H7009" s="26" t="e">
        <f t="shared" si="1"/>
        <v>#VALUE!</v>
      </c>
      <c r="I7009" s="1" t="e">
        <f t="shared" si="2"/>
        <v>#VALUE!</v>
      </c>
    </row>
    <row r="7010" spans="1:9" ht="15.75" customHeight="1">
      <c r="A7010" s="26"/>
      <c r="B7010" s="2"/>
      <c r="C7010" s="26"/>
      <c r="D7010" s="26"/>
      <c r="F7010" s="85" t="str">
        <f t="shared" si="0"/>
        <v/>
      </c>
      <c r="G7010" s="1" t="e">
        <f>IF(VALUE(F7010) = VALUE(RIGHT(Insights!$C$3, 4)), E7010, "")</f>
        <v>#VALUE!</v>
      </c>
      <c r="H7010" s="26" t="e">
        <f t="shared" si="1"/>
        <v>#VALUE!</v>
      </c>
      <c r="I7010" s="1" t="e">
        <f t="shared" si="2"/>
        <v>#VALUE!</v>
      </c>
    </row>
    <row r="7011" spans="1:9" ht="15.75" customHeight="1">
      <c r="A7011" s="26"/>
      <c r="B7011" s="2"/>
      <c r="C7011" s="26"/>
      <c r="D7011" s="26"/>
      <c r="F7011" s="85" t="str">
        <f t="shared" si="0"/>
        <v/>
      </c>
      <c r="G7011" s="1" t="e">
        <f>IF(VALUE(F7011) = VALUE(RIGHT(Insights!$C$3, 4)), E7011, "")</f>
        <v>#VALUE!</v>
      </c>
      <c r="H7011" s="26" t="e">
        <f t="shared" si="1"/>
        <v>#VALUE!</v>
      </c>
      <c r="I7011" s="1" t="e">
        <f t="shared" si="2"/>
        <v>#VALUE!</v>
      </c>
    </row>
    <row r="7012" spans="1:9" ht="15.75" customHeight="1">
      <c r="A7012" s="26"/>
      <c r="B7012" s="2"/>
      <c r="C7012" s="26"/>
      <c r="D7012" s="26"/>
      <c r="F7012" s="85" t="str">
        <f t="shared" si="0"/>
        <v/>
      </c>
      <c r="G7012" s="1" t="e">
        <f>IF(VALUE(F7012) = VALUE(RIGHT(Insights!$C$3, 4)), E7012, "")</f>
        <v>#VALUE!</v>
      </c>
      <c r="H7012" s="26" t="e">
        <f t="shared" si="1"/>
        <v>#VALUE!</v>
      </c>
      <c r="I7012" s="1" t="e">
        <f t="shared" si="2"/>
        <v>#VALUE!</v>
      </c>
    </row>
    <row r="7013" spans="1:9" ht="15.75" customHeight="1">
      <c r="A7013" s="26"/>
      <c r="B7013" s="2"/>
      <c r="C7013" s="26"/>
      <c r="D7013" s="26"/>
      <c r="F7013" s="85" t="str">
        <f t="shared" si="0"/>
        <v/>
      </c>
      <c r="G7013" s="1" t="e">
        <f>IF(VALUE(F7013) = VALUE(RIGHT(Insights!$C$3, 4)), E7013, "")</f>
        <v>#VALUE!</v>
      </c>
      <c r="H7013" s="26" t="e">
        <f t="shared" si="1"/>
        <v>#VALUE!</v>
      </c>
      <c r="I7013" s="1" t="e">
        <f t="shared" si="2"/>
        <v>#VALUE!</v>
      </c>
    </row>
    <row r="7014" spans="1:9" ht="15.75" customHeight="1">
      <c r="A7014" s="26"/>
      <c r="B7014" s="2"/>
      <c r="C7014" s="26"/>
      <c r="D7014" s="26"/>
      <c r="F7014" s="85" t="str">
        <f t="shared" si="0"/>
        <v/>
      </c>
      <c r="G7014" s="1" t="e">
        <f>IF(VALUE(F7014) = VALUE(RIGHT(Insights!$C$3, 4)), E7014, "")</f>
        <v>#VALUE!</v>
      </c>
      <c r="H7014" s="26" t="e">
        <f t="shared" si="1"/>
        <v>#VALUE!</v>
      </c>
      <c r="I7014" s="1" t="e">
        <f t="shared" si="2"/>
        <v>#VALUE!</v>
      </c>
    </row>
    <row r="7015" spans="1:9" ht="15.75" customHeight="1">
      <c r="A7015" s="26"/>
      <c r="B7015" s="2"/>
      <c r="C7015" s="26"/>
      <c r="D7015" s="26"/>
      <c r="F7015" s="85" t="str">
        <f t="shared" si="0"/>
        <v/>
      </c>
      <c r="G7015" s="1" t="e">
        <f>IF(VALUE(F7015) = VALUE(RIGHT(Insights!$C$3, 4)), E7015, "")</f>
        <v>#VALUE!</v>
      </c>
      <c r="H7015" s="26" t="e">
        <f t="shared" si="1"/>
        <v>#VALUE!</v>
      </c>
      <c r="I7015" s="1" t="e">
        <f t="shared" si="2"/>
        <v>#VALUE!</v>
      </c>
    </row>
    <row r="7016" spans="1:9" ht="15.75" customHeight="1">
      <c r="A7016" s="26"/>
      <c r="B7016" s="2"/>
      <c r="C7016" s="26"/>
      <c r="D7016" s="26"/>
      <c r="F7016" s="85" t="str">
        <f t="shared" si="0"/>
        <v/>
      </c>
      <c r="G7016" s="1" t="e">
        <f>IF(VALUE(F7016) = VALUE(RIGHT(Insights!$C$3, 4)), E7016, "")</f>
        <v>#VALUE!</v>
      </c>
      <c r="H7016" s="26" t="e">
        <f t="shared" si="1"/>
        <v>#VALUE!</v>
      </c>
      <c r="I7016" s="1" t="e">
        <f t="shared" si="2"/>
        <v>#VALUE!</v>
      </c>
    </row>
    <row r="7017" spans="1:9" ht="15.75" customHeight="1">
      <c r="A7017" s="26"/>
      <c r="B7017" s="2"/>
      <c r="C7017" s="26"/>
      <c r="D7017" s="26"/>
      <c r="F7017" s="85" t="str">
        <f t="shared" si="0"/>
        <v/>
      </c>
      <c r="G7017" s="1" t="e">
        <f>IF(VALUE(F7017) = VALUE(RIGHT(Insights!$C$3, 4)), E7017, "")</f>
        <v>#VALUE!</v>
      </c>
      <c r="H7017" s="26" t="e">
        <f t="shared" si="1"/>
        <v>#VALUE!</v>
      </c>
      <c r="I7017" s="1" t="e">
        <f t="shared" si="2"/>
        <v>#VALUE!</v>
      </c>
    </row>
    <row r="7018" spans="1:9" ht="15.75" customHeight="1">
      <c r="A7018" s="26"/>
      <c r="B7018" s="2"/>
      <c r="C7018" s="26"/>
      <c r="D7018" s="26"/>
      <c r="F7018" s="85" t="str">
        <f t="shared" si="0"/>
        <v/>
      </c>
      <c r="G7018" s="1" t="e">
        <f>IF(VALUE(F7018) = VALUE(RIGHT(Insights!$C$3, 4)), E7018, "")</f>
        <v>#VALUE!</v>
      </c>
      <c r="H7018" s="26" t="e">
        <f t="shared" si="1"/>
        <v>#VALUE!</v>
      </c>
      <c r="I7018" s="1" t="e">
        <f t="shared" si="2"/>
        <v>#VALUE!</v>
      </c>
    </row>
    <row r="7019" spans="1:9" ht="15.75" customHeight="1">
      <c r="A7019" s="26"/>
      <c r="B7019" s="2"/>
      <c r="C7019" s="26"/>
      <c r="D7019" s="26"/>
      <c r="F7019" s="85" t="str">
        <f t="shared" si="0"/>
        <v/>
      </c>
      <c r="G7019" s="1" t="e">
        <f>IF(VALUE(F7019) = VALUE(RIGHT(Insights!$C$3, 4)), E7019, "")</f>
        <v>#VALUE!</v>
      </c>
      <c r="H7019" s="26" t="e">
        <f t="shared" si="1"/>
        <v>#VALUE!</v>
      </c>
      <c r="I7019" s="1" t="e">
        <f t="shared" si="2"/>
        <v>#VALUE!</v>
      </c>
    </row>
    <row r="7020" spans="1:9" ht="15.75" customHeight="1">
      <c r="A7020" s="26"/>
      <c r="B7020" s="2"/>
      <c r="C7020" s="26"/>
      <c r="D7020" s="26"/>
      <c r="F7020" s="85" t="str">
        <f t="shared" si="0"/>
        <v/>
      </c>
      <c r="G7020" s="1" t="e">
        <f>IF(VALUE(F7020) = VALUE(RIGHT(Insights!$C$3, 4)), E7020, "")</f>
        <v>#VALUE!</v>
      </c>
      <c r="H7020" s="26" t="e">
        <f t="shared" si="1"/>
        <v>#VALUE!</v>
      </c>
      <c r="I7020" s="1" t="e">
        <f t="shared" si="2"/>
        <v>#VALUE!</v>
      </c>
    </row>
    <row r="7021" spans="1:9" ht="15.75" customHeight="1">
      <c r="A7021" s="26"/>
      <c r="B7021" s="2"/>
      <c r="C7021" s="26"/>
      <c r="D7021" s="26"/>
      <c r="F7021" s="85" t="str">
        <f t="shared" si="0"/>
        <v/>
      </c>
      <c r="G7021" s="1" t="e">
        <f>IF(VALUE(F7021) = VALUE(RIGHT(Insights!$C$3, 4)), E7021, "")</f>
        <v>#VALUE!</v>
      </c>
      <c r="H7021" s="26" t="e">
        <f t="shared" si="1"/>
        <v>#VALUE!</v>
      </c>
      <c r="I7021" s="1" t="e">
        <f t="shared" si="2"/>
        <v>#VALUE!</v>
      </c>
    </row>
    <row r="7022" spans="1:9" ht="15.75" customHeight="1">
      <c r="A7022" s="26"/>
      <c r="B7022" s="2"/>
      <c r="C7022" s="26"/>
      <c r="D7022" s="26"/>
      <c r="F7022" s="85" t="str">
        <f t="shared" si="0"/>
        <v/>
      </c>
      <c r="G7022" s="1" t="e">
        <f>IF(VALUE(F7022) = VALUE(RIGHT(Insights!$C$3, 4)), E7022, "")</f>
        <v>#VALUE!</v>
      </c>
      <c r="H7022" s="26" t="e">
        <f t="shared" si="1"/>
        <v>#VALUE!</v>
      </c>
      <c r="I7022" s="1" t="e">
        <f t="shared" si="2"/>
        <v>#VALUE!</v>
      </c>
    </row>
    <row r="7023" spans="1:9" ht="15.75" customHeight="1">
      <c r="A7023" s="26"/>
      <c r="B7023" s="2"/>
      <c r="C7023" s="26"/>
      <c r="D7023" s="26"/>
      <c r="F7023" s="85" t="str">
        <f t="shared" si="0"/>
        <v/>
      </c>
      <c r="G7023" s="1" t="e">
        <f>IF(VALUE(F7023) = VALUE(RIGHT(Insights!$C$3, 4)), E7023, "")</f>
        <v>#VALUE!</v>
      </c>
      <c r="H7023" s="26" t="e">
        <f t="shared" si="1"/>
        <v>#VALUE!</v>
      </c>
      <c r="I7023" s="1" t="e">
        <f t="shared" si="2"/>
        <v>#VALUE!</v>
      </c>
    </row>
    <row r="7024" spans="1:9" ht="15.75" customHeight="1">
      <c r="A7024" s="26"/>
      <c r="B7024" s="2"/>
      <c r="C7024" s="26"/>
      <c r="D7024" s="26"/>
      <c r="F7024" s="85" t="str">
        <f t="shared" si="0"/>
        <v/>
      </c>
      <c r="G7024" s="1" t="e">
        <f>IF(VALUE(F7024) = VALUE(RIGHT(Insights!$C$3, 4)), E7024, "")</f>
        <v>#VALUE!</v>
      </c>
      <c r="H7024" s="26" t="e">
        <f t="shared" si="1"/>
        <v>#VALUE!</v>
      </c>
      <c r="I7024" s="1" t="e">
        <f t="shared" si="2"/>
        <v>#VALUE!</v>
      </c>
    </row>
    <row r="7025" spans="1:9" ht="15.75" customHeight="1">
      <c r="A7025" s="26"/>
      <c r="B7025" s="2"/>
      <c r="C7025" s="26"/>
      <c r="D7025" s="26"/>
      <c r="F7025" s="85" t="str">
        <f t="shared" si="0"/>
        <v/>
      </c>
      <c r="G7025" s="1" t="e">
        <f>IF(VALUE(F7025) = VALUE(RIGHT(Insights!$C$3, 4)), E7025, "")</f>
        <v>#VALUE!</v>
      </c>
      <c r="H7025" s="26" t="e">
        <f t="shared" si="1"/>
        <v>#VALUE!</v>
      </c>
      <c r="I7025" s="1" t="e">
        <f t="shared" si="2"/>
        <v>#VALUE!</v>
      </c>
    </row>
    <row r="7026" spans="1:9" ht="15.75" customHeight="1">
      <c r="A7026" s="26"/>
      <c r="B7026" s="2"/>
      <c r="C7026" s="26"/>
      <c r="D7026" s="26"/>
      <c r="F7026" s="85" t="str">
        <f t="shared" si="0"/>
        <v/>
      </c>
      <c r="G7026" s="1" t="e">
        <f>IF(VALUE(F7026) = VALUE(RIGHT(Insights!$C$3, 4)), E7026, "")</f>
        <v>#VALUE!</v>
      </c>
      <c r="H7026" s="26" t="e">
        <f t="shared" si="1"/>
        <v>#VALUE!</v>
      </c>
      <c r="I7026" s="1" t="e">
        <f t="shared" si="2"/>
        <v>#VALUE!</v>
      </c>
    </row>
    <row r="7027" spans="1:9" ht="15.75" customHeight="1">
      <c r="A7027" s="26"/>
      <c r="B7027" s="2"/>
      <c r="C7027" s="26"/>
      <c r="D7027" s="26"/>
      <c r="F7027" s="85" t="str">
        <f t="shared" si="0"/>
        <v/>
      </c>
      <c r="G7027" s="1" t="e">
        <f>IF(VALUE(F7027) = VALUE(RIGHT(Insights!$C$3, 4)), E7027, "")</f>
        <v>#VALUE!</v>
      </c>
      <c r="H7027" s="26" t="e">
        <f t="shared" si="1"/>
        <v>#VALUE!</v>
      </c>
      <c r="I7027" s="1" t="e">
        <f t="shared" si="2"/>
        <v>#VALUE!</v>
      </c>
    </row>
    <row r="7028" spans="1:9" ht="15.75" customHeight="1">
      <c r="A7028" s="26"/>
      <c r="B7028" s="2"/>
      <c r="C7028" s="26"/>
      <c r="D7028" s="26"/>
      <c r="F7028" s="85" t="str">
        <f t="shared" si="0"/>
        <v/>
      </c>
      <c r="G7028" s="1" t="e">
        <f>IF(VALUE(F7028) = VALUE(RIGHT(Insights!$C$3, 4)), E7028, "")</f>
        <v>#VALUE!</v>
      </c>
      <c r="H7028" s="26" t="e">
        <f t="shared" si="1"/>
        <v>#VALUE!</v>
      </c>
      <c r="I7028" s="1" t="e">
        <f t="shared" si="2"/>
        <v>#VALUE!</v>
      </c>
    </row>
    <row r="7029" spans="1:9" ht="15.75" customHeight="1">
      <c r="A7029" s="26"/>
      <c r="B7029" s="2"/>
      <c r="C7029" s="26"/>
      <c r="D7029" s="26"/>
      <c r="F7029" s="85" t="str">
        <f t="shared" si="0"/>
        <v/>
      </c>
      <c r="G7029" s="1" t="e">
        <f>IF(VALUE(F7029) = VALUE(RIGHT(Insights!$C$3, 4)), E7029, "")</f>
        <v>#VALUE!</v>
      </c>
      <c r="H7029" s="26" t="e">
        <f t="shared" si="1"/>
        <v>#VALUE!</v>
      </c>
      <c r="I7029" s="1" t="e">
        <f t="shared" si="2"/>
        <v>#VALUE!</v>
      </c>
    </row>
    <row r="7030" spans="1:9" ht="15.75" customHeight="1">
      <c r="A7030" s="26"/>
      <c r="B7030" s="2"/>
      <c r="C7030" s="26"/>
      <c r="D7030" s="26"/>
      <c r="F7030" s="85" t="str">
        <f t="shared" si="0"/>
        <v/>
      </c>
      <c r="G7030" s="1" t="e">
        <f>IF(VALUE(F7030) = VALUE(RIGHT(Insights!$C$3, 4)), E7030, "")</f>
        <v>#VALUE!</v>
      </c>
      <c r="H7030" s="26" t="e">
        <f t="shared" si="1"/>
        <v>#VALUE!</v>
      </c>
      <c r="I7030" s="1" t="e">
        <f t="shared" si="2"/>
        <v>#VALUE!</v>
      </c>
    </row>
    <row r="7031" spans="1:9" ht="15.75" customHeight="1">
      <c r="A7031" s="26"/>
      <c r="B7031" s="2"/>
      <c r="C7031" s="26"/>
      <c r="D7031" s="26"/>
      <c r="F7031" s="85" t="str">
        <f t="shared" si="0"/>
        <v/>
      </c>
      <c r="G7031" s="1" t="e">
        <f>IF(VALUE(F7031) = VALUE(RIGHT(Insights!$C$3, 4)), E7031, "")</f>
        <v>#VALUE!</v>
      </c>
      <c r="H7031" s="26" t="e">
        <f t="shared" si="1"/>
        <v>#VALUE!</v>
      </c>
      <c r="I7031" s="1" t="e">
        <f t="shared" si="2"/>
        <v>#VALUE!</v>
      </c>
    </row>
    <row r="7032" spans="1:9" ht="15.75" customHeight="1">
      <c r="A7032" s="26"/>
      <c r="B7032" s="2"/>
      <c r="C7032" s="26"/>
      <c r="D7032" s="26"/>
      <c r="F7032" s="85" t="str">
        <f t="shared" si="0"/>
        <v/>
      </c>
      <c r="G7032" s="1" t="e">
        <f>IF(VALUE(F7032) = VALUE(RIGHT(Insights!$C$3, 4)), E7032, "")</f>
        <v>#VALUE!</v>
      </c>
      <c r="H7032" s="26" t="e">
        <f t="shared" si="1"/>
        <v>#VALUE!</v>
      </c>
      <c r="I7032" s="1" t="e">
        <f t="shared" si="2"/>
        <v>#VALUE!</v>
      </c>
    </row>
    <row r="7033" spans="1:9" ht="15.75" customHeight="1">
      <c r="A7033" s="26"/>
      <c r="B7033" s="2"/>
      <c r="C7033" s="26"/>
      <c r="D7033" s="26"/>
      <c r="F7033" s="85" t="str">
        <f t="shared" si="0"/>
        <v/>
      </c>
      <c r="G7033" s="1" t="e">
        <f>IF(VALUE(F7033) = VALUE(RIGHT(Insights!$C$3, 4)), E7033, "")</f>
        <v>#VALUE!</v>
      </c>
      <c r="H7033" s="26" t="e">
        <f t="shared" si="1"/>
        <v>#VALUE!</v>
      </c>
      <c r="I7033" s="1" t="e">
        <f t="shared" si="2"/>
        <v>#VALUE!</v>
      </c>
    </row>
    <row r="7034" spans="1:9" ht="15.75" customHeight="1">
      <c r="A7034" s="26"/>
      <c r="B7034" s="2"/>
      <c r="C7034" s="26"/>
      <c r="D7034" s="26"/>
      <c r="F7034" s="85" t="str">
        <f t="shared" si="0"/>
        <v/>
      </c>
      <c r="G7034" s="1" t="e">
        <f>IF(VALUE(F7034) = VALUE(RIGHT(Insights!$C$3, 4)), E7034, "")</f>
        <v>#VALUE!</v>
      </c>
      <c r="H7034" s="26" t="e">
        <f t="shared" si="1"/>
        <v>#VALUE!</v>
      </c>
      <c r="I7034" s="1" t="e">
        <f t="shared" si="2"/>
        <v>#VALUE!</v>
      </c>
    </row>
    <row r="7035" spans="1:9" ht="15.75" customHeight="1">
      <c r="A7035" s="26"/>
      <c r="B7035" s="2"/>
      <c r="C7035" s="26"/>
      <c r="D7035" s="26"/>
      <c r="F7035" s="85" t="str">
        <f t="shared" si="0"/>
        <v/>
      </c>
      <c r="G7035" s="1" t="e">
        <f>IF(VALUE(F7035) = VALUE(RIGHT(Insights!$C$3, 4)), E7035, "")</f>
        <v>#VALUE!</v>
      </c>
      <c r="H7035" s="26" t="e">
        <f t="shared" si="1"/>
        <v>#VALUE!</v>
      </c>
      <c r="I7035" s="1" t="e">
        <f t="shared" si="2"/>
        <v>#VALUE!</v>
      </c>
    </row>
    <row r="7036" spans="1:9" ht="15.75" customHeight="1">
      <c r="A7036" s="26"/>
      <c r="B7036" s="2"/>
      <c r="C7036" s="26"/>
      <c r="D7036" s="26"/>
      <c r="F7036" s="85" t="str">
        <f t="shared" si="0"/>
        <v/>
      </c>
      <c r="G7036" s="1" t="e">
        <f>IF(VALUE(F7036) = VALUE(RIGHT(Insights!$C$3, 4)), E7036, "")</f>
        <v>#VALUE!</v>
      </c>
      <c r="H7036" s="26" t="e">
        <f t="shared" si="1"/>
        <v>#VALUE!</v>
      </c>
      <c r="I7036" s="1" t="e">
        <f t="shared" si="2"/>
        <v>#VALUE!</v>
      </c>
    </row>
    <row r="7037" spans="1:9" ht="15.75" customHeight="1">
      <c r="A7037" s="26"/>
      <c r="B7037" s="2"/>
      <c r="C7037" s="26"/>
      <c r="D7037" s="26"/>
      <c r="F7037" s="85" t="str">
        <f t="shared" si="0"/>
        <v/>
      </c>
      <c r="G7037" s="1" t="e">
        <f>IF(VALUE(F7037) = VALUE(RIGHT(Insights!$C$3, 4)), E7037, "")</f>
        <v>#VALUE!</v>
      </c>
      <c r="H7037" s="26" t="e">
        <f t="shared" si="1"/>
        <v>#VALUE!</v>
      </c>
      <c r="I7037" s="1" t="e">
        <f t="shared" si="2"/>
        <v>#VALUE!</v>
      </c>
    </row>
    <row r="7038" spans="1:9" ht="15.75" customHeight="1">
      <c r="A7038" s="26"/>
      <c r="B7038" s="2"/>
      <c r="C7038" s="26"/>
      <c r="D7038" s="26"/>
      <c r="F7038" s="85" t="str">
        <f t="shared" si="0"/>
        <v/>
      </c>
      <c r="G7038" s="1" t="e">
        <f>IF(VALUE(F7038) = VALUE(RIGHT(Insights!$C$3, 4)), E7038, "")</f>
        <v>#VALUE!</v>
      </c>
      <c r="H7038" s="26" t="e">
        <f t="shared" si="1"/>
        <v>#VALUE!</v>
      </c>
      <c r="I7038" s="1" t="e">
        <f t="shared" si="2"/>
        <v>#VALUE!</v>
      </c>
    </row>
    <row r="7039" spans="1:9" ht="15.75" customHeight="1">
      <c r="A7039" s="26"/>
      <c r="B7039" s="2"/>
      <c r="C7039" s="26"/>
      <c r="D7039" s="26"/>
      <c r="F7039" s="85" t="str">
        <f t="shared" si="0"/>
        <v/>
      </c>
      <c r="G7039" s="1" t="e">
        <f>IF(VALUE(F7039) = VALUE(RIGHT(Insights!$C$3, 4)), E7039, "")</f>
        <v>#VALUE!</v>
      </c>
      <c r="H7039" s="26" t="e">
        <f t="shared" si="1"/>
        <v>#VALUE!</v>
      </c>
      <c r="I7039" s="1" t="e">
        <f t="shared" si="2"/>
        <v>#VALUE!</v>
      </c>
    </row>
    <row r="7040" spans="1:9" ht="15.75" customHeight="1">
      <c r="A7040" s="26"/>
      <c r="B7040" s="2"/>
      <c r="C7040" s="26"/>
      <c r="D7040" s="26"/>
      <c r="F7040" s="85" t="str">
        <f t="shared" si="0"/>
        <v/>
      </c>
      <c r="G7040" s="1" t="e">
        <f>IF(VALUE(F7040) = VALUE(RIGHT(Insights!$C$3, 4)), E7040, "")</f>
        <v>#VALUE!</v>
      </c>
      <c r="H7040" s="26" t="e">
        <f t="shared" si="1"/>
        <v>#VALUE!</v>
      </c>
      <c r="I7040" s="1" t="e">
        <f t="shared" si="2"/>
        <v>#VALUE!</v>
      </c>
    </row>
    <row r="7041" spans="1:9" ht="15.75" customHeight="1">
      <c r="A7041" s="26"/>
      <c r="B7041" s="2"/>
      <c r="C7041" s="26"/>
      <c r="D7041" s="26"/>
      <c r="F7041" s="85" t="str">
        <f t="shared" si="0"/>
        <v/>
      </c>
      <c r="G7041" s="1" t="e">
        <f>IF(VALUE(F7041) = VALUE(RIGHT(Insights!$C$3, 4)), E7041, "")</f>
        <v>#VALUE!</v>
      </c>
      <c r="H7041" s="26" t="e">
        <f t="shared" si="1"/>
        <v>#VALUE!</v>
      </c>
      <c r="I7041" s="1" t="e">
        <f t="shared" si="2"/>
        <v>#VALUE!</v>
      </c>
    </row>
    <row r="7042" spans="1:9" ht="15.75" customHeight="1">
      <c r="A7042" s="26"/>
      <c r="B7042" s="2"/>
      <c r="C7042" s="26"/>
      <c r="D7042" s="26"/>
      <c r="F7042" s="85" t="str">
        <f t="shared" si="0"/>
        <v/>
      </c>
      <c r="G7042" s="1" t="e">
        <f>IF(VALUE(F7042) = VALUE(RIGHT(Insights!$C$3, 4)), E7042, "")</f>
        <v>#VALUE!</v>
      </c>
      <c r="H7042" s="26" t="e">
        <f t="shared" si="1"/>
        <v>#VALUE!</v>
      </c>
      <c r="I7042" s="1" t="e">
        <f t="shared" si="2"/>
        <v>#VALUE!</v>
      </c>
    </row>
    <row r="7043" spans="1:9" ht="15.75" customHeight="1">
      <c r="A7043" s="26"/>
      <c r="B7043" s="2"/>
      <c r="C7043" s="26"/>
      <c r="D7043" s="26"/>
      <c r="F7043" s="85" t="str">
        <f t="shared" si="0"/>
        <v/>
      </c>
      <c r="G7043" s="1" t="e">
        <f>IF(VALUE(F7043) = VALUE(RIGHT(Insights!$C$3, 4)), E7043, "")</f>
        <v>#VALUE!</v>
      </c>
      <c r="H7043" s="26" t="e">
        <f t="shared" si="1"/>
        <v>#VALUE!</v>
      </c>
      <c r="I7043" s="1" t="e">
        <f t="shared" si="2"/>
        <v>#VALUE!</v>
      </c>
    </row>
    <row r="7044" spans="1:9" ht="15.75" customHeight="1">
      <c r="A7044" s="26"/>
      <c r="B7044" s="2"/>
      <c r="C7044" s="26"/>
      <c r="D7044" s="26"/>
      <c r="F7044" s="85" t="str">
        <f t="shared" si="0"/>
        <v/>
      </c>
      <c r="G7044" s="1" t="e">
        <f>IF(VALUE(F7044) = VALUE(RIGHT(Insights!$C$3, 4)), E7044, "")</f>
        <v>#VALUE!</v>
      </c>
      <c r="H7044" s="26" t="e">
        <f t="shared" si="1"/>
        <v>#VALUE!</v>
      </c>
      <c r="I7044" s="1" t="e">
        <f t="shared" si="2"/>
        <v>#VALUE!</v>
      </c>
    </row>
    <row r="7045" spans="1:9" ht="15.75" customHeight="1">
      <c r="A7045" s="26"/>
      <c r="B7045" s="2"/>
      <c r="C7045" s="26"/>
      <c r="D7045" s="26"/>
      <c r="F7045" s="85" t="str">
        <f t="shared" si="0"/>
        <v/>
      </c>
      <c r="G7045" s="1" t="e">
        <f>IF(VALUE(F7045) = VALUE(RIGHT(Insights!$C$3, 4)), E7045, "")</f>
        <v>#VALUE!</v>
      </c>
      <c r="H7045" s="26" t="e">
        <f t="shared" si="1"/>
        <v>#VALUE!</v>
      </c>
      <c r="I7045" s="1" t="e">
        <f t="shared" si="2"/>
        <v>#VALUE!</v>
      </c>
    </row>
    <row r="7046" spans="1:9" ht="15.75" customHeight="1">
      <c r="A7046" s="26"/>
      <c r="B7046" s="2"/>
      <c r="C7046" s="26"/>
      <c r="D7046" s="26"/>
      <c r="F7046" s="85" t="str">
        <f t="shared" si="0"/>
        <v/>
      </c>
      <c r="G7046" s="1" t="e">
        <f>IF(VALUE(F7046) = VALUE(RIGHT(Insights!$C$3, 4)), E7046, "")</f>
        <v>#VALUE!</v>
      </c>
      <c r="H7046" s="26" t="e">
        <f t="shared" si="1"/>
        <v>#VALUE!</v>
      </c>
      <c r="I7046" s="1" t="e">
        <f t="shared" si="2"/>
        <v>#VALUE!</v>
      </c>
    </row>
    <row r="7047" spans="1:9" ht="15.75" customHeight="1">
      <c r="A7047" s="26"/>
      <c r="B7047" s="2"/>
      <c r="C7047" s="26"/>
      <c r="D7047" s="26"/>
      <c r="F7047" s="85" t="str">
        <f t="shared" si="0"/>
        <v/>
      </c>
      <c r="G7047" s="1" t="e">
        <f>IF(VALUE(F7047) = VALUE(RIGHT(Insights!$C$3, 4)), E7047, "")</f>
        <v>#VALUE!</v>
      </c>
      <c r="H7047" s="26" t="e">
        <f t="shared" si="1"/>
        <v>#VALUE!</v>
      </c>
      <c r="I7047" s="1" t="e">
        <f t="shared" si="2"/>
        <v>#VALUE!</v>
      </c>
    </row>
    <row r="7048" spans="1:9" ht="15.75" customHeight="1">
      <c r="A7048" s="26"/>
      <c r="B7048" s="2"/>
      <c r="C7048" s="26"/>
      <c r="D7048" s="26"/>
      <c r="F7048" s="85" t="str">
        <f t="shared" si="0"/>
        <v/>
      </c>
      <c r="G7048" s="1" t="e">
        <f>IF(VALUE(F7048) = VALUE(RIGHT(Insights!$C$3, 4)), E7048, "")</f>
        <v>#VALUE!</v>
      </c>
      <c r="H7048" s="26" t="e">
        <f t="shared" si="1"/>
        <v>#VALUE!</v>
      </c>
      <c r="I7048" s="1" t="e">
        <f t="shared" si="2"/>
        <v>#VALUE!</v>
      </c>
    </row>
    <row r="7049" spans="1:9" ht="15.75" customHeight="1">
      <c r="A7049" s="26"/>
      <c r="B7049" s="2"/>
      <c r="C7049" s="26"/>
      <c r="D7049" s="26"/>
      <c r="F7049" s="85" t="str">
        <f t="shared" si="0"/>
        <v/>
      </c>
      <c r="G7049" s="1" t="e">
        <f>IF(VALUE(F7049) = VALUE(RIGHT(Insights!$C$3, 4)), E7049, "")</f>
        <v>#VALUE!</v>
      </c>
      <c r="H7049" s="26" t="e">
        <f t="shared" si="1"/>
        <v>#VALUE!</v>
      </c>
      <c r="I7049" s="1" t="e">
        <f t="shared" si="2"/>
        <v>#VALUE!</v>
      </c>
    </row>
    <row r="7050" spans="1:9" ht="15.75" customHeight="1">
      <c r="A7050" s="26"/>
      <c r="B7050" s="2"/>
      <c r="C7050" s="26"/>
      <c r="D7050" s="26"/>
      <c r="F7050" s="85" t="str">
        <f t="shared" si="0"/>
        <v/>
      </c>
      <c r="G7050" s="1" t="e">
        <f>IF(VALUE(F7050) = VALUE(RIGHT(Insights!$C$3, 4)), E7050, "")</f>
        <v>#VALUE!</v>
      </c>
      <c r="H7050" s="26" t="e">
        <f t="shared" si="1"/>
        <v>#VALUE!</v>
      </c>
      <c r="I7050" s="1" t="e">
        <f t="shared" si="2"/>
        <v>#VALUE!</v>
      </c>
    </row>
    <row r="7051" spans="1:9" ht="15.75" customHeight="1">
      <c r="A7051" s="26"/>
      <c r="B7051" s="2"/>
      <c r="C7051" s="26"/>
      <c r="D7051" s="26"/>
      <c r="F7051" s="85" t="str">
        <f t="shared" si="0"/>
        <v/>
      </c>
      <c r="G7051" s="1" t="e">
        <f>IF(VALUE(F7051) = VALUE(RIGHT(Insights!$C$3, 4)), E7051, "")</f>
        <v>#VALUE!</v>
      </c>
      <c r="H7051" s="26" t="e">
        <f t="shared" si="1"/>
        <v>#VALUE!</v>
      </c>
      <c r="I7051" s="1" t="e">
        <f t="shared" si="2"/>
        <v>#VALUE!</v>
      </c>
    </row>
    <row r="7052" spans="1:9" ht="15.75" customHeight="1">
      <c r="A7052" s="26"/>
      <c r="B7052" s="2"/>
      <c r="C7052" s="26"/>
      <c r="D7052" s="26"/>
      <c r="F7052" s="85" t="str">
        <f t="shared" si="0"/>
        <v/>
      </c>
      <c r="G7052" s="1" t="e">
        <f>IF(VALUE(F7052) = VALUE(RIGHT(Insights!$C$3, 4)), E7052, "")</f>
        <v>#VALUE!</v>
      </c>
      <c r="H7052" s="26" t="e">
        <f t="shared" si="1"/>
        <v>#VALUE!</v>
      </c>
      <c r="I7052" s="1" t="e">
        <f t="shared" si="2"/>
        <v>#VALUE!</v>
      </c>
    </row>
    <row r="7053" spans="1:9" ht="15.75" customHeight="1">
      <c r="A7053" s="26"/>
      <c r="B7053" s="2"/>
      <c r="C7053" s="26"/>
      <c r="D7053" s="26"/>
      <c r="F7053" s="85" t="str">
        <f t="shared" si="0"/>
        <v/>
      </c>
      <c r="G7053" s="1" t="e">
        <f>IF(VALUE(F7053) = VALUE(RIGHT(Insights!$C$3, 4)), E7053, "")</f>
        <v>#VALUE!</v>
      </c>
      <c r="H7053" s="26" t="e">
        <f t="shared" si="1"/>
        <v>#VALUE!</v>
      </c>
      <c r="I7053" s="1" t="e">
        <f t="shared" si="2"/>
        <v>#VALUE!</v>
      </c>
    </row>
    <row r="7054" spans="1:9" ht="15.75" customHeight="1">
      <c r="A7054" s="26"/>
      <c r="B7054" s="2"/>
      <c r="C7054" s="26"/>
      <c r="D7054" s="26"/>
      <c r="F7054" s="85" t="str">
        <f t="shared" si="0"/>
        <v/>
      </c>
      <c r="G7054" s="1" t="e">
        <f>IF(VALUE(F7054) = VALUE(RIGHT(Insights!$C$3, 4)), E7054, "")</f>
        <v>#VALUE!</v>
      </c>
      <c r="H7054" s="26" t="e">
        <f t="shared" si="1"/>
        <v>#VALUE!</v>
      </c>
      <c r="I7054" s="1" t="e">
        <f t="shared" si="2"/>
        <v>#VALUE!</v>
      </c>
    </row>
    <row r="7055" spans="1:9" ht="15.75" customHeight="1">
      <c r="A7055" s="26"/>
      <c r="B7055" s="2"/>
      <c r="C7055" s="26"/>
      <c r="D7055" s="26"/>
      <c r="F7055" s="85" t="str">
        <f t="shared" si="0"/>
        <v/>
      </c>
      <c r="G7055" s="1" t="e">
        <f>IF(VALUE(F7055) = VALUE(RIGHT(Insights!$C$3, 4)), E7055, "")</f>
        <v>#VALUE!</v>
      </c>
      <c r="H7055" s="26" t="e">
        <f t="shared" si="1"/>
        <v>#VALUE!</v>
      </c>
      <c r="I7055" s="1" t="e">
        <f t="shared" si="2"/>
        <v>#VALUE!</v>
      </c>
    </row>
    <row r="7056" spans="1:9" ht="15.75" customHeight="1">
      <c r="A7056" s="26"/>
      <c r="B7056" s="2"/>
      <c r="C7056" s="26"/>
      <c r="D7056" s="26"/>
      <c r="F7056" s="85" t="str">
        <f t="shared" si="0"/>
        <v/>
      </c>
      <c r="G7056" s="1" t="e">
        <f>IF(VALUE(F7056) = VALUE(RIGHT(Insights!$C$3, 4)), E7056, "")</f>
        <v>#VALUE!</v>
      </c>
      <c r="H7056" s="26" t="e">
        <f t="shared" si="1"/>
        <v>#VALUE!</v>
      </c>
      <c r="I7056" s="1" t="e">
        <f t="shared" si="2"/>
        <v>#VALUE!</v>
      </c>
    </row>
    <row r="7057" spans="1:9" ht="15.75" customHeight="1">
      <c r="A7057" s="26"/>
      <c r="B7057" s="2"/>
      <c r="C7057" s="26"/>
      <c r="D7057" s="26"/>
      <c r="F7057" s="85" t="str">
        <f t="shared" si="0"/>
        <v/>
      </c>
      <c r="G7057" s="1" t="e">
        <f>IF(VALUE(F7057) = VALUE(RIGHT(Insights!$C$3, 4)), E7057, "")</f>
        <v>#VALUE!</v>
      </c>
      <c r="H7057" s="26" t="e">
        <f t="shared" si="1"/>
        <v>#VALUE!</v>
      </c>
      <c r="I7057" s="1" t="e">
        <f t="shared" si="2"/>
        <v>#VALUE!</v>
      </c>
    </row>
    <row r="7058" spans="1:9" ht="15.75" customHeight="1">
      <c r="A7058" s="26"/>
      <c r="B7058" s="2"/>
      <c r="C7058" s="26"/>
      <c r="D7058" s="26"/>
      <c r="F7058" s="85" t="str">
        <f t="shared" si="0"/>
        <v/>
      </c>
      <c r="G7058" s="1" t="e">
        <f>IF(VALUE(F7058) = VALUE(RIGHT(Insights!$C$3, 4)), E7058, "")</f>
        <v>#VALUE!</v>
      </c>
      <c r="H7058" s="26" t="e">
        <f t="shared" si="1"/>
        <v>#VALUE!</v>
      </c>
      <c r="I7058" s="1" t="e">
        <f t="shared" si="2"/>
        <v>#VALUE!</v>
      </c>
    </row>
    <row r="7059" spans="1:9" ht="15.75" customHeight="1">
      <c r="A7059" s="26"/>
      <c r="B7059" s="2"/>
      <c r="C7059" s="26"/>
      <c r="D7059" s="26"/>
      <c r="F7059" s="85" t="str">
        <f t="shared" si="0"/>
        <v/>
      </c>
      <c r="G7059" s="1" t="e">
        <f>IF(VALUE(F7059) = VALUE(RIGHT(Insights!$C$3, 4)), E7059, "")</f>
        <v>#VALUE!</v>
      </c>
      <c r="H7059" s="26" t="e">
        <f t="shared" si="1"/>
        <v>#VALUE!</v>
      </c>
      <c r="I7059" s="1" t="e">
        <f t="shared" si="2"/>
        <v>#VALUE!</v>
      </c>
    </row>
    <row r="7060" spans="1:9" ht="15.75" customHeight="1">
      <c r="A7060" s="26"/>
      <c r="B7060" s="2"/>
      <c r="C7060" s="26"/>
      <c r="D7060" s="26"/>
      <c r="F7060" s="85" t="str">
        <f t="shared" si="0"/>
        <v/>
      </c>
      <c r="G7060" s="1" t="e">
        <f>IF(VALUE(F7060) = VALUE(RIGHT(Insights!$C$3, 4)), E7060, "")</f>
        <v>#VALUE!</v>
      </c>
      <c r="H7060" s="26" t="e">
        <f t="shared" si="1"/>
        <v>#VALUE!</v>
      </c>
      <c r="I7060" s="1" t="e">
        <f t="shared" si="2"/>
        <v>#VALUE!</v>
      </c>
    </row>
    <row r="7061" spans="1:9" ht="15.75" customHeight="1">
      <c r="A7061" s="26"/>
      <c r="B7061" s="2"/>
      <c r="C7061" s="26"/>
      <c r="D7061" s="26"/>
      <c r="F7061" s="85" t="str">
        <f t="shared" si="0"/>
        <v/>
      </c>
      <c r="G7061" s="1" t="e">
        <f>IF(VALUE(F7061) = VALUE(RIGHT(Insights!$C$3, 4)), E7061, "")</f>
        <v>#VALUE!</v>
      </c>
      <c r="H7061" s="26" t="e">
        <f t="shared" si="1"/>
        <v>#VALUE!</v>
      </c>
      <c r="I7061" s="1" t="e">
        <f t="shared" si="2"/>
        <v>#VALUE!</v>
      </c>
    </row>
    <row r="7062" spans="1:9" ht="15.75" customHeight="1">
      <c r="A7062" s="26"/>
      <c r="B7062" s="2"/>
      <c r="C7062" s="26"/>
      <c r="D7062" s="26"/>
      <c r="F7062" s="85" t="str">
        <f t="shared" si="0"/>
        <v/>
      </c>
      <c r="G7062" s="1" t="e">
        <f>IF(VALUE(F7062) = VALUE(RIGHT(Insights!$C$3, 4)), E7062, "")</f>
        <v>#VALUE!</v>
      </c>
      <c r="H7062" s="26" t="e">
        <f t="shared" si="1"/>
        <v>#VALUE!</v>
      </c>
      <c r="I7062" s="1" t="e">
        <f t="shared" si="2"/>
        <v>#VALUE!</v>
      </c>
    </row>
    <row r="7063" spans="1:9" ht="15.75" customHeight="1">
      <c r="A7063" s="26"/>
      <c r="B7063" s="2"/>
      <c r="C7063" s="26"/>
      <c r="D7063" s="26"/>
      <c r="F7063" s="85" t="str">
        <f t="shared" si="0"/>
        <v/>
      </c>
      <c r="G7063" s="1" t="e">
        <f>IF(VALUE(F7063) = VALUE(RIGHT(Insights!$C$3, 4)), E7063, "")</f>
        <v>#VALUE!</v>
      </c>
      <c r="H7063" s="26" t="e">
        <f t="shared" si="1"/>
        <v>#VALUE!</v>
      </c>
      <c r="I7063" s="1" t="e">
        <f t="shared" si="2"/>
        <v>#VALUE!</v>
      </c>
    </row>
    <row r="7064" spans="1:9" ht="15.75" customHeight="1">
      <c r="A7064" s="26"/>
      <c r="B7064" s="2"/>
      <c r="C7064" s="26"/>
      <c r="D7064" s="26"/>
      <c r="F7064" s="85" t="str">
        <f t="shared" si="0"/>
        <v/>
      </c>
      <c r="G7064" s="1" t="e">
        <f>IF(VALUE(F7064) = VALUE(RIGHT(Insights!$C$3, 4)), E7064, "")</f>
        <v>#VALUE!</v>
      </c>
      <c r="H7064" s="26" t="e">
        <f t="shared" si="1"/>
        <v>#VALUE!</v>
      </c>
      <c r="I7064" s="1" t="e">
        <f t="shared" si="2"/>
        <v>#VALUE!</v>
      </c>
    </row>
    <row r="7065" spans="1:9" ht="15.75" customHeight="1">
      <c r="A7065" s="26"/>
      <c r="B7065" s="2"/>
      <c r="C7065" s="26"/>
      <c r="D7065" s="26"/>
      <c r="F7065" s="85" t="str">
        <f t="shared" si="0"/>
        <v/>
      </c>
      <c r="G7065" s="1" t="e">
        <f>IF(VALUE(F7065) = VALUE(RIGHT(Insights!$C$3, 4)), E7065, "")</f>
        <v>#VALUE!</v>
      </c>
      <c r="H7065" s="26" t="e">
        <f t="shared" si="1"/>
        <v>#VALUE!</v>
      </c>
      <c r="I7065" s="1" t="e">
        <f t="shared" si="2"/>
        <v>#VALUE!</v>
      </c>
    </row>
    <row r="7066" spans="1:9" ht="15.75" customHeight="1">
      <c r="A7066" s="26"/>
      <c r="B7066" s="2"/>
      <c r="C7066" s="26"/>
      <c r="D7066" s="26"/>
      <c r="F7066" s="85" t="str">
        <f t="shared" si="0"/>
        <v/>
      </c>
      <c r="G7066" s="1" t="e">
        <f>IF(VALUE(F7066) = VALUE(RIGHT(Insights!$C$3, 4)), E7066, "")</f>
        <v>#VALUE!</v>
      </c>
      <c r="H7066" s="26" t="e">
        <f t="shared" si="1"/>
        <v>#VALUE!</v>
      </c>
      <c r="I7066" s="1" t="e">
        <f t="shared" si="2"/>
        <v>#VALUE!</v>
      </c>
    </row>
    <row r="7067" spans="1:9" ht="15.75" customHeight="1">
      <c r="A7067" s="26"/>
      <c r="B7067" s="2"/>
      <c r="C7067" s="26"/>
      <c r="D7067" s="26"/>
      <c r="F7067" s="85" t="str">
        <f t="shared" si="0"/>
        <v/>
      </c>
      <c r="G7067" s="1" t="e">
        <f>IF(VALUE(F7067) = VALUE(RIGHT(Insights!$C$3, 4)), E7067, "")</f>
        <v>#VALUE!</v>
      </c>
      <c r="H7067" s="26" t="e">
        <f t="shared" si="1"/>
        <v>#VALUE!</v>
      </c>
      <c r="I7067" s="1" t="e">
        <f t="shared" si="2"/>
        <v>#VALUE!</v>
      </c>
    </row>
    <row r="7068" spans="1:9" ht="15.75" customHeight="1">
      <c r="A7068" s="26"/>
      <c r="B7068" s="2"/>
      <c r="C7068" s="26"/>
      <c r="D7068" s="26"/>
      <c r="F7068" s="85" t="str">
        <f t="shared" si="0"/>
        <v/>
      </c>
      <c r="G7068" s="1" t="e">
        <f>IF(VALUE(F7068) = VALUE(RIGHT(Insights!$C$3, 4)), E7068, "")</f>
        <v>#VALUE!</v>
      </c>
      <c r="H7068" s="26" t="e">
        <f t="shared" si="1"/>
        <v>#VALUE!</v>
      </c>
      <c r="I7068" s="1" t="e">
        <f t="shared" si="2"/>
        <v>#VALUE!</v>
      </c>
    </row>
    <row r="7069" spans="1:9" ht="15.75" customHeight="1">
      <c r="A7069" s="26"/>
      <c r="B7069" s="2"/>
      <c r="C7069" s="26"/>
      <c r="D7069" s="26"/>
      <c r="F7069" s="85" t="str">
        <f t="shared" si="0"/>
        <v/>
      </c>
      <c r="G7069" s="1" t="e">
        <f>IF(VALUE(F7069) = VALUE(RIGHT(Insights!$C$3, 4)), E7069, "")</f>
        <v>#VALUE!</v>
      </c>
      <c r="H7069" s="26" t="e">
        <f t="shared" si="1"/>
        <v>#VALUE!</v>
      </c>
      <c r="I7069" s="1" t="e">
        <f t="shared" si="2"/>
        <v>#VALUE!</v>
      </c>
    </row>
    <row r="7070" spans="1:9" ht="15.75" customHeight="1">
      <c r="A7070" s="26"/>
      <c r="B7070" s="2"/>
      <c r="C7070" s="26"/>
      <c r="D7070" s="26"/>
      <c r="F7070" s="85" t="str">
        <f t="shared" si="0"/>
        <v/>
      </c>
      <c r="G7070" s="1" t="e">
        <f>IF(VALUE(F7070) = VALUE(RIGHT(Insights!$C$3, 4)), E7070, "")</f>
        <v>#VALUE!</v>
      </c>
      <c r="H7070" s="26" t="e">
        <f t="shared" si="1"/>
        <v>#VALUE!</v>
      </c>
      <c r="I7070" s="1" t="e">
        <f t="shared" si="2"/>
        <v>#VALUE!</v>
      </c>
    </row>
    <row r="7071" spans="1:9" ht="15.75" customHeight="1">
      <c r="A7071" s="26"/>
      <c r="B7071" s="2"/>
      <c r="C7071" s="26"/>
      <c r="D7071" s="26"/>
      <c r="F7071" s="85" t="str">
        <f t="shared" si="0"/>
        <v/>
      </c>
      <c r="G7071" s="1" t="e">
        <f>IF(VALUE(F7071) = VALUE(RIGHT(Insights!$C$3, 4)), E7071, "")</f>
        <v>#VALUE!</v>
      </c>
      <c r="H7071" s="26" t="e">
        <f t="shared" si="1"/>
        <v>#VALUE!</v>
      </c>
      <c r="I7071" s="1" t="e">
        <f t="shared" si="2"/>
        <v>#VALUE!</v>
      </c>
    </row>
    <row r="7072" spans="1:9" ht="15.75" customHeight="1">
      <c r="A7072" s="26"/>
      <c r="B7072" s="2"/>
      <c r="C7072" s="26"/>
      <c r="D7072" s="26"/>
      <c r="F7072" s="85" t="str">
        <f t="shared" si="0"/>
        <v/>
      </c>
      <c r="G7072" s="1" t="e">
        <f>IF(VALUE(F7072) = VALUE(RIGHT(Insights!$C$3, 4)), E7072, "")</f>
        <v>#VALUE!</v>
      </c>
      <c r="H7072" s="26" t="e">
        <f t="shared" si="1"/>
        <v>#VALUE!</v>
      </c>
      <c r="I7072" s="1" t="e">
        <f t="shared" si="2"/>
        <v>#VALUE!</v>
      </c>
    </row>
    <row r="7073" spans="1:9" ht="15.75" customHeight="1">
      <c r="A7073" s="26"/>
      <c r="B7073" s="2"/>
      <c r="C7073" s="26"/>
      <c r="D7073" s="26"/>
      <c r="F7073" s="85" t="str">
        <f t="shared" si="0"/>
        <v/>
      </c>
      <c r="G7073" s="1" t="e">
        <f>IF(VALUE(F7073) = VALUE(RIGHT(Insights!$C$3, 4)), E7073, "")</f>
        <v>#VALUE!</v>
      </c>
      <c r="H7073" s="26" t="e">
        <f t="shared" si="1"/>
        <v>#VALUE!</v>
      </c>
      <c r="I7073" s="1" t="e">
        <f t="shared" si="2"/>
        <v>#VALUE!</v>
      </c>
    </row>
    <row r="7074" spans="1:9" ht="15.75" customHeight="1">
      <c r="A7074" s="26"/>
      <c r="B7074" s="2"/>
      <c r="C7074" s="26"/>
      <c r="D7074" s="26"/>
      <c r="F7074" s="85" t="str">
        <f t="shared" si="0"/>
        <v/>
      </c>
      <c r="G7074" s="1" t="e">
        <f>IF(VALUE(F7074) = VALUE(RIGHT(Insights!$C$3, 4)), E7074, "")</f>
        <v>#VALUE!</v>
      </c>
      <c r="H7074" s="26" t="e">
        <f t="shared" si="1"/>
        <v>#VALUE!</v>
      </c>
      <c r="I7074" s="1" t="e">
        <f t="shared" si="2"/>
        <v>#VALUE!</v>
      </c>
    </row>
    <row r="7075" spans="1:9" ht="15.75" customHeight="1">
      <c r="A7075" s="26"/>
      <c r="B7075" s="2"/>
      <c r="C7075" s="26"/>
      <c r="D7075" s="26"/>
      <c r="F7075" s="85" t="str">
        <f t="shared" si="0"/>
        <v/>
      </c>
      <c r="G7075" s="1" t="e">
        <f>IF(VALUE(F7075) = VALUE(RIGHT(Insights!$C$3, 4)), E7075, "")</f>
        <v>#VALUE!</v>
      </c>
      <c r="H7075" s="26" t="e">
        <f t="shared" si="1"/>
        <v>#VALUE!</v>
      </c>
      <c r="I7075" s="1" t="e">
        <f t="shared" si="2"/>
        <v>#VALUE!</v>
      </c>
    </row>
    <row r="7076" spans="1:9" ht="15.75" customHeight="1">
      <c r="A7076" s="26"/>
      <c r="B7076" s="2"/>
      <c r="C7076" s="26"/>
      <c r="D7076" s="26"/>
      <c r="F7076" s="85" t="str">
        <f t="shared" si="0"/>
        <v/>
      </c>
      <c r="G7076" s="1" t="e">
        <f>IF(VALUE(F7076) = VALUE(RIGHT(Insights!$C$3, 4)), E7076, "")</f>
        <v>#VALUE!</v>
      </c>
      <c r="H7076" s="26" t="e">
        <f t="shared" si="1"/>
        <v>#VALUE!</v>
      </c>
      <c r="I7076" s="1" t="e">
        <f t="shared" si="2"/>
        <v>#VALUE!</v>
      </c>
    </row>
    <row r="7077" spans="1:9" ht="15.75" customHeight="1">
      <c r="A7077" s="26"/>
      <c r="B7077" s="2"/>
      <c r="C7077" s="26"/>
      <c r="D7077" s="26"/>
      <c r="F7077" s="85" t="str">
        <f t="shared" si="0"/>
        <v/>
      </c>
      <c r="G7077" s="1" t="e">
        <f>IF(VALUE(F7077) = VALUE(RIGHT(Insights!$C$3, 4)), E7077, "")</f>
        <v>#VALUE!</v>
      </c>
      <c r="H7077" s="26" t="e">
        <f t="shared" si="1"/>
        <v>#VALUE!</v>
      </c>
      <c r="I7077" s="1" t="e">
        <f t="shared" si="2"/>
        <v>#VALUE!</v>
      </c>
    </row>
    <row r="7078" spans="1:9" ht="15.75" customHeight="1">
      <c r="A7078" s="26"/>
      <c r="B7078" s="2"/>
      <c r="C7078" s="26"/>
      <c r="D7078" s="26"/>
      <c r="F7078" s="85" t="str">
        <f t="shared" si="0"/>
        <v/>
      </c>
      <c r="G7078" s="1" t="e">
        <f>IF(VALUE(F7078) = VALUE(RIGHT(Insights!$C$3, 4)), E7078, "")</f>
        <v>#VALUE!</v>
      </c>
      <c r="H7078" s="26" t="e">
        <f t="shared" si="1"/>
        <v>#VALUE!</v>
      </c>
      <c r="I7078" s="1" t="e">
        <f t="shared" si="2"/>
        <v>#VALUE!</v>
      </c>
    </row>
    <row r="7079" spans="1:9" ht="15.75" customHeight="1">
      <c r="A7079" s="26"/>
      <c r="B7079" s="2"/>
      <c r="C7079" s="26"/>
      <c r="D7079" s="26"/>
      <c r="F7079" s="85" t="str">
        <f t="shared" si="0"/>
        <v/>
      </c>
      <c r="G7079" s="1" t="e">
        <f>IF(VALUE(F7079) = VALUE(RIGHT(Insights!$C$3, 4)), E7079, "")</f>
        <v>#VALUE!</v>
      </c>
      <c r="H7079" s="26" t="e">
        <f t="shared" si="1"/>
        <v>#VALUE!</v>
      </c>
      <c r="I7079" s="1" t="e">
        <f t="shared" si="2"/>
        <v>#VALUE!</v>
      </c>
    </row>
    <row r="7080" spans="1:9" ht="15.75" customHeight="1">
      <c r="A7080" s="26"/>
      <c r="B7080" s="2"/>
      <c r="C7080" s="26"/>
      <c r="D7080" s="26"/>
      <c r="F7080" s="85" t="str">
        <f t="shared" si="0"/>
        <v/>
      </c>
      <c r="G7080" s="1" t="e">
        <f>IF(VALUE(F7080) = VALUE(RIGHT(Insights!$C$3, 4)), E7080, "")</f>
        <v>#VALUE!</v>
      </c>
      <c r="H7080" s="26" t="e">
        <f t="shared" si="1"/>
        <v>#VALUE!</v>
      </c>
      <c r="I7080" s="1" t="e">
        <f t="shared" si="2"/>
        <v>#VALUE!</v>
      </c>
    </row>
    <row r="7081" spans="1:9" ht="15.75" customHeight="1">
      <c r="A7081" s="26"/>
      <c r="B7081" s="2"/>
      <c r="C7081" s="26"/>
      <c r="D7081" s="26"/>
      <c r="F7081" s="85" t="str">
        <f t="shared" si="0"/>
        <v/>
      </c>
      <c r="G7081" s="1" t="e">
        <f>IF(VALUE(F7081) = VALUE(RIGHT(Insights!$C$3, 4)), E7081, "")</f>
        <v>#VALUE!</v>
      </c>
      <c r="H7081" s="26" t="e">
        <f t="shared" si="1"/>
        <v>#VALUE!</v>
      </c>
      <c r="I7081" s="1" t="e">
        <f t="shared" si="2"/>
        <v>#VALUE!</v>
      </c>
    </row>
    <row r="7082" spans="1:9" ht="15.75" customHeight="1">
      <c r="A7082" s="26"/>
      <c r="B7082" s="2"/>
      <c r="C7082" s="26"/>
      <c r="D7082" s="26"/>
      <c r="F7082" s="85" t="str">
        <f t="shared" si="0"/>
        <v/>
      </c>
      <c r="G7082" s="1" t="e">
        <f>IF(VALUE(F7082) = VALUE(RIGHT(Insights!$C$3, 4)), E7082, "")</f>
        <v>#VALUE!</v>
      </c>
      <c r="H7082" s="26" t="e">
        <f t="shared" si="1"/>
        <v>#VALUE!</v>
      </c>
      <c r="I7082" s="1" t="e">
        <f t="shared" si="2"/>
        <v>#VALUE!</v>
      </c>
    </row>
    <row r="7083" spans="1:9" ht="15.75" customHeight="1">
      <c r="A7083" s="26"/>
      <c r="B7083" s="2"/>
      <c r="C7083" s="26"/>
      <c r="D7083" s="26"/>
      <c r="F7083" s="85" t="str">
        <f t="shared" si="0"/>
        <v/>
      </c>
      <c r="G7083" s="1" t="e">
        <f>IF(VALUE(F7083) = VALUE(RIGHT(Insights!$C$3, 4)), E7083, "")</f>
        <v>#VALUE!</v>
      </c>
      <c r="H7083" s="26" t="e">
        <f t="shared" si="1"/>
        <v>#VALUE!</v>
      </c>
      <c r="I7083" s="1" t="e">
        <f t="shared" si="2"/>
        <v>#VALUE!</v>
      </c>
    </row>
    <row r="7084" spans="1:9" ht="15.75" customHeight="1">
      <c r="A7084" s="26"/>
      <c r="B7084" s="2"/>
      <c r="C7084" s="26"/>
      <c r="D7084" s="26"/>
      <c r="F7084" s="85" t="str">
        <f t="shared" si="0"/>
        <v/>
      </c>
      <c r="G7084" s="1" t="e">
        <f>IF(VALUE(F7084) = VALUE(RIGHT(Insights!$C$3, 4)), E7084, "")</f>
        <v>#VALUE!</v>
      </c>
      <c r="H7084" s="26" t="e">
        <f t="shared" si="1"/>
        <v>#VALUE!</v>
      </c>
      <c r="I7084" s="1" t="e">
        <f t="shared" si="2"/>
        <v>#VALUE!</v>
      </c>
    </row>
    <row r="7085" spans="1:9" ht="15.75" customHeight="1">
      <c r="A7085" s="26"/>
      <c r="B7085" s="2"/>
      <c r="C7085" s="26"/>
      <c r="D7085" s="26"/>
      <c r="F7085" s="85" t="str">
        <f t="shared" si="0"/>
        <v/>
      </c>
      <c r="G7085" s="1" t="e">
        <f>IF(VALUE(F7085) = VALUE(RIGHT(Insights!$C$3, 4)), E7085, "")</f>
        <v>#VALUE!</v>
      </c>
      <c r="H7085" s="26" t="e">
        <f t="shared" si="1"/>
        <v>#VALUE!</v>
      </c>
      <c r="I7085" s="1" t="e">
        <f t="shared" si="2"/>
        <v>#VALUE!</v>
      </c>
    </row>
    <row r="7086" spans="1:9" ht="15.75" customHeight="1">
      <c r="A7086" s="26"/>
      <c r="B7086" s="2"/>
      <c r="C7086" s="26"/>
      <c r="D7086" s="26"/>
      <c r="F7086" s="85" t="str">
        <f t="shared" si="0"/>
        <v/>
      </c>
      <c r="G7086" s="1" t="e">
        <f>IF(VALUE(F7086) = VALUE(RIGHT(Insights!$C$3, 4)), E7086, "")</f>
        <v>#VALUE!</v>
      </c>
      <c r="H7086" s="26" t="e">
        <f t="shared" si="1"/>
        <v>#VALUE!</v>
      </c>
      <c r="I7086" s="1" t="e">
        <f t="shared" si="2"/>
        <v>#VALUE!</v>
      </c>
    </row>
    <row r="7087" spans="1:9" ht="15.75" customHeight="1">
      <c r="A7087" s="26"/>
      <c r="B7087" s="2"/>
      <c r="C7087" s="26"/>
      <c r="D7087" s="26"/>
      <c r="F7087" s="85" t="str">
        <f t="shared" si="0"/>
        <v/>
      </c>
      <c r="G7087" s="1" t="e">
        <f>IF(VALUE(F7087) = VALUE(RIGHT(Insights!$C$3, 4)), E7087, "")</f>
        <v>#VALUE!</v>
      </c>
      <c r="H7087" s="26" t="e">
        <f t="shared" si="1"/>
        <v>#VALUE!</v>
      </c>
      <c r="I7087" s="1" t="e">
        <f t="shared" si="2"/>
        <v>#VALUE!</v>
      </c>
    </row>
    <row r="7088" spans="1:9" ht="15.75" customHeight="1">
      <c r="A7088" s="26"/>
      <c r="B7088" s="2"/>
      <c r="C7088" s="26"/>
      <c r="D7088" s="26"/>
      <c r="F7088" s="85" t="str">
        <f t="shared" si="0"/>
        <v/>
      </c>
      <c r="G7088" s="1" t="e">
        <f>IF(VALUE(F7088) = VALUE(RIGHT(Insights!$C$3, 4)), E7088, "")</f>
        <v>#VALUE!</v>
      </c>
      <c r="H7088" s="26" t="e">
        <f t="shared" si="1"/>
        <v>#VALUE!</v>
      </c>
      <c r="I7088" s="1" t="e">
        <f t="shared" si="2"/>
        <v>#VALUE!</v>
      </c>
    </row>
    <row r="7089" spans="1:9" ht="15.75" customHeight="1">
      <c r="A7089" s="26"/>
      <c r="B7089" s="2"/>
      <c r="C7089" s="26"/>
      <c r="D7089" s="26"/>
      <c r="F7089" s="85" t="str">
        <f t="shared" si="0"/>
        <v/>
      </c>
      <c r="G7089" s="1" t="e">
        <f>IF(VALUE(F7089) = VALUE(RIGHT(Insights!$C$3, 4)), E7089, "")</f>
        <v>#VALUE!</v>
      </c>
      <c r="H7089" s="26" t="e">
        <f t="shared" si="1"/>
        <v>#VALUE!</v>
      </c>
      <c r="I7089" s="1" t="e">
        <f t="shared" si="2"/>
        <v>#VALUE!</v>
      </c>
    </row>
    <row r="7090" spans="1:9" ht="15.75" customHeight="1">
      <c r="A7090" s="26"/>
      <c r="B7090" s="2"/>
      <c r="C7090" s="26"/>
      <c r="D7090" s="26"/>
      <c r="F7090" s="85" t="str">
        <f t="shared" si="0"/>
        <v/>
      </c>
      <c r="G7090" s="1" t="e">
        <f>IF(VALUE(F7090) = VALUE(RIGHT(Insights!$C$3, 4)), E7090, "")</f>
        <v>#VALUE!</v>
      </c>
      <c r="H7090" s="26" t="e">
        <f t="shared" si="1"/>
        <v>#VALUE!</v>
      </c>
      <c r="I7090" s="1" t="e">
        <f t="shared" si="2"/>
        <v>#VALUE!</v>
      </c>
    </row>
    <row r="7091" spans="1:9" ht="15.75" customHeight="1">
      <c r="A7091" s="26"/>
      <c r="B7091" s="2"/>
      <c r="C7091" s="26"/>
      <c r="D7091" s="26"/>
      <c r="F7091" s="85" t="str">
        <f t="shared" si="0"/>
        <v/>
      </c>
      <c r="G7091" s="1" t="e">
        <f>IF(VALUE(F7091) = VALUE(RIGHT(Insights!$C$3, 4)), E7091, "")</f>
        <v>#VALUE!</v>
      </c>
      <c r="H7091" s="26" t="e">
        <f t="shared" si="1"/>
        <v>#VALUE!</v>
      </c>
      <c r="I7091" s="1" t="e">
        <f t="shared" si="2"/>
        <v>#VALUE!</v>
      </c>
    </row>
    <row r="7092" spans="1:9" ht="15.75" customHeight="1">
      <c r="A7092" s="26"/>
      <c r="B7092" s="2"/>
      <c r="C7092" s="26"/>
      <c r="D7092" s="26"/>
      <c r="F7092" s="85" t="str">
        <f t="shared" si="0"/>
        <v/>
      </c>
      <c r="G7092" s="1" t="e">
        <f>IF(VALUE(F7092) = VALUE(RIGHT(Insights!$C$3, 4)), E7092, "")</f>
        <v>#VALUE!</v>
      </c>
      <c r="H7092" s="26" t="e">
        <f t="shared" si="1"/>
        <v>#VALUE!</v>
      </c>
      <c r="I7092" s="1" t="e">
        <f t="shared" si="2"/>
        <v>#VALUE!</v>
      </c>
    </row>
    <row r="7093" spans="1:9" ht="15.75" customHeight="1">
      <c r="A7093" s="26"/>
      <c r="B7093" s="2"/>
      <c r="C7093" s="26"/>
      <c r="D7093" s="26"/>
      <c r="F7093" s="85" t="str">
        <f t="shared" si="0"/>
        <v/>
      </c>
      <c r="G7093" s="1" t="e">
        <f>IF(VALUE(F7093) = VALUE(RIGHT(Insights!$C$3, 4)), E7093, "")</f>
        <v>#VALUE!</v>
      </c>
      <c r="H7093" s="26" t="e">
        <f t="shared" si="1"/>
        <v>#VALUE!</v>
      </c>
      <c r="I7093" s="1" t="e">
        <f t="shared" si="2"/>
        <v>#VALUE!</v>
      </c>
    </row>
    <row r="7094" spans="1:9" ht="15.75" customHeight="1">
      <c r="A7094" s="26"/>
      <c r="B7094" s="2"/>
      <c r="C7094" s="26"/>
      <c r="D7094" s="26"/>
      <c r="F7094" s="85" t="str">
        <f t="shared" si="0"/>
        <v/>
      </c>
      <c r="G7094" s="1" t="e">
        <f>IF(VALUE(F7094) = VALUE(RIGHT(Insights!$C$3, 4)), E7094, "")</f>
        <v>#VALUE!</v>
      </c>
      <c r="H7094" s="26" t="e">
        <f t="shared" si="1"/>
        <v>#VALUE!</v>
      </c>
      <c r="I7094" s="1" t="e">
        <f t="shared" si="2"/>
        <v>#VALUE!</v>
      </c>
    </row>
    <row r="7095" spans="1:9" ht="15.75" customHeight="1">
      <c r="A7095" s="26"/>
      <c r="B7095" s="2"/>
      <c r="C7095" s="26"/>
      <c r="D7095" s="26"/>
      <c r="F7095" s="85" t="str">
        <f t="shared" si="0"/>
        <v/>
      </c>
      <c r="G7095" s="1" t="e">
        <f>IF(VALUE(F7095) = VALUE(RIGHT(Insights!$C$3, 4)), E7095, "")</f>
        <v>#VALUE!</v>
      </c>
      <c r="H7095" s="26" t="e">
        <f t="shared" si="1"/>
        <v>#VALUE!</v>
      </c>
      <c r="I7095" s="1" t="e">
        <f t="shared" si="2"/>
        <v>#VALUE!</v>
      </c>
    </row>
    <row r="7096" spans="1:9" ht="15.75" customHeight="1">
      <c r="A7096" s="26"/>
      <c r="B7096" s="2"/>
      <c r="C7096" s="26"/>
      <c r="D7096" s="26"/>
      <c r="F7096" s="85" t="str">
        <f t="shared" si="0"/>
        <v/>
      </c>
      <c r="G7096" s="1" t="e">
        <f>IF(VALUE(F7096) = VALUE(RIGHT(Insights!$C$3, 4)), E7096, "")</f>
        <v>#VALUE!</v>
      </c>
      <c r="H7096" s="26" t="e">
        <f t="shared" si="1"/>
        <v>#VALUE!</v>
      </c>
      <c r="I7096" s="1" t="e">
        <f t="shared" si="2"/>
        <v>#VALUE!</v>
      </c>
    </row>
    <row r="7097" spans="1:9" ht="15.75" customHeight="1">
      <c r="A7097" s="26"/>
      <c r="B7097" s="2"/>
      <c r="C7097" s="26"/>
      <c r="D7097" s="26"/>
      <c r="F7097" s="85" t="str">
        <f t="shared" si="0"/>
        <v/>
      </c>
      <c r="G7097" s="1" t="e">
        <f>IF(VALUE(F7097) = VALUE(RIGHT(Insights!$C$3, 4)), E7097, "")</f>
        <v>#VALUE!</v>
      </c>
      <c r="H7097" s="26" t="e">
        <f t="shared" si="1"/>
        <v>#VALUE!</v>
      </c>
      <c r="I7097" s="1" t="e">
        <f t="shared" si="2"/>
        <v>#VALUE!</v>
      </c>
    </row>
    <row r="7098" spans="1:9" ht="15.75" customHeight="1">
      <c r="A7098" s="26"/>
      <c r="B7098" s="2"/>
      <c r="C7098" s="26"/>
      <c r="D7098" s="26"/>
      <c r="F7098" s="85" t="str">
        <f t="shared" si="0"/>
        <v/>
      </c>
      <c r="G7098" s="1" t="e">
        <f>IF(VALUE(F7098) = VALUE(RIGHT(Insights!$C$3, 4)), E7098, "")</f>
        <v>#VALUE!</v>
      </c>
      <c r="H7098" s="26" t="e">
        <f t="shared" si="1"/>
        <v>#VALUE!</v>
      </c>
      <c r="I7098" s="1" t="e">
        <f t="shared" si="2"/>
        <v>#VALUE!</v>
      </c>
    </row>
    <row r="7099" spans="1:9" ht="15.75" customHeight="1">
      <c r="A7099" s="26"/>
      <c r="B7099" s="2"/>
      <c r="C7099" s="26"/>
      <c r="D7099" s="26"/>
      <c r="F7099" s="85" t="str">
        <f t="shared" si="0"/>
        <v/>
      </c>
      <c r="G7099" s="1" t="e">
        <f>IF(VALUE(F7099) = VALUE(RIGHT(Insights!$C$3, 4)), E7099, "")</f>
        <v>#VALUE!</v>
      </c>
      <c r="H7099" s="26" t="e">
        <f t="shared" si="1"/>
        <v>#VALUE!</v>
      </c>
      <c r="I7099" s="1" t="e">
        <f t="shared" si="2"/>
        <v>#VALUE!</v>
      </c>
    </row>
    <row r="7100" spans="1:9" ht="15.75" customHeight="1">
      <c r="A7100" s="26"/>
      <c r="B7100" s="2"/>
      <c r="C7100" s="26"/>
      <c r="D7100" s="26"/>
      <c r="F7100" s="85" t="str">
        <f t="shared" si="0"/>
        <v/>
      </c>
      <c r="G7100" s="1" t="e">
        <f>IF(VALUE(F7100) = VALUE(RIGHT(Insights!$C$3, 4)), E7100, "")</f>
        <v>#VALUE!</v>
      </c>
      <c r="H7100" s="26" t="e">
        <f t="shared" si="1"/>
        <v>#VALUE!</v>
      </c>
      <c r="I7100" s="1" t="e">
        <f t="shared" si="2"/>
        <v>#VALUE!</v>
      </c>
    </row>
    <row r="7101" spans="1:9" ht="15.75" customHeight="1">
      <c r="A7101" s="26"/>
      <c r="B7101" s="2"/>
      <c r="C7101" s="26"/>
      <c r="D7101" s="26"/>
      <c r="F7101" s="85" t="str">
        <f t="shared" si="0"/>
        <v/>
      </c>
      <c r="G7101" s="1" t="e">
        <f>IF(VALUE(F7101) = VALUE(RIGHT(Insights!$C$3, 4)), E7101, "")</f>
        <v>#VALUE!</v>
      </c>
      <c r="H7101" s="26" t="e">
        <f t="shared" si="1"/>
        <v>#VALUE!</v>
      </c>
      <c r="I7101" s="1" t="e">
        <f t="shared" si="2"/>
        <v>#VALUE!</v>
      </c>
    </row>
    <row r="7102" spans="1:9" ht="15.75" customHeight="1">
      <c r="A7102" s="26"/>
      <c r="B7102" s="2"/>
      <c r="C7102" s="26"/>
      <c r="D7102" s="26"/>
      <c r="F7102" s="85" t="str">
        <f t="shared" si="0"/>
        <v/>
      </c>
      <c r="G7102" s="1" t="e">
        <f>IF(VALUE(F7102) = VALUE(RIGHT(Insights!$C$3, 4)), E7102, "")</f>
        <v>#VALUE!</v>
      </c>
      <c r="H7102" s="26" t="e">
        <f t="shared" si="1"/>
        <v>#VALUE!</v>
      </c>
      <c r="I7102" s="1" t="e">
        <f t="shared" si="2"/>
        <v>#VALUE!</v>
      </c>
    </row>
    <row r="7103" spans="1:9" ht="15.75" customHeight="1">
      <c r="A7103" s="26"/>
      <c r="B7103" s="2"/>
      <c r="C7103" s="26"/>
      <c r="D7103" s="26"/>
      <c r="F7103" s="85" t="str">
        <f t="shared" si="0"/>
        <v/>
      </c>
      <c r="G7103" s="1" t="e">
        <f>IF(VALUE(F7103) = VALUE(RIGHT(Insights!$C$3, 4)), E7103, "")</f>
        <v>#VALUE!</v>
      </c>
      <c r="H7103" s="26" t="e">
        <f t="shared" si="1"/>
        <v>#VALUE!</v>
      </c>
      <c r="I7103" s="1" t="e">
        <f t="shared" si="2"/>
        <v>#VALUE!</v>
      </c>
    </row>
    <row r="7104" spans="1:9" ht="15.75" customHeight="1">
      <c r="A7104" s="26"/>
      <c r="B7104" s="2"/>
      <c r="C7104" s="26"/>
      <c r="D7104" s="26"/>
      <c r="F7104" s="85" t="str">
        <f t="shared" si="0"/>
        <v/>
      </c>
      <c r="G7104" s="1" t="e">
        <f>IF(VALUE(F7104) = VALUE(RIGHT(Insights!$C$3, 4)), E7104, "")</f>
        <v>#VALUE!</v>
      </c>
      <c r="H7104" s="26" t="e">
        <f t="shared" si="1"/>
        <v>#VALUE!</v>
      </c>
      <c r="I7104" s="1" t="e">
        <f t="shared" si="2"/>
        <v>#VALUE!</v>
      </c>
    </row>
    <row r="7105" spans="1:9" ht="15.75" customHeight="1">
      <c r="A7105" s="26"/>
      <c r="B7105" s="2"/>
      <c r="C7105" s="26"/>
      <c r="D7105" s="26"/>
      <c r="F7105" s="85" t="str">
        <f t="shared" si="0"/>
        <v/>
      </c>
      <c r="G7105" s="1" t="e">
        <f>IF(VALUE(F7105) = VALUE(RIGHT(Insights!$C$3, 4)), E7105, "")</f>
        <v>#VALUE!</v>
      </c>
      <c r="H7105" s="26" t="e">
        <f t="shared" si="1"/>
        <v>#VALUE!</v>
      </c>
      <c r="I7105" s="1" t="e">
        <f t="shared" si="2"/>
        <v>#VALUE!</v>
      </c>
    </row>
    <row r="7106" spans="1:9" ht="15.75" customHeight="1">
      <c r="A7106" s="26"/>
      <c r="B7106" s="2"/>
      <c r="C7106" s="26"/>
      <c r="D7106" s="26"/>
      <c r="F7106" s="85" t="str">
        <f t="shared" si="0"/>
        <v/>
      </c>
      <c r="G7106" s="1" t="e">
        <f>IF(VALUE(F7106) = VALUE(RIGHT(Insights!$C$3, 4)), E7106, "")</f>
        <v>#VALUE!</v>
      </c>
      <c r="H7106" s="26" t="e">
        <f t="shared" si="1"/>
        <v>#VALUE!</v>
      </c>
      <c r="I7106" s="1" t="e">
        <f t="shared" si="2"/>
        <v>#VALUE!</v>
      </c>
    </row>
    <row r="7107" spans="1:9" ht="15.75" customHeight="1">
      <c r="A7107" s="26"/>
      <c r="B7107" s="2"/>
      <c r="C7107" s="26"/>
      <c r="D7107" s="26"/>
      <c r="F7107" s="85" t="str">
        <f t="shared" si="0"/>
        <v/>
      </c>
      <c r="G7107" s="1" t="e">
        <f>IF(VALUE(F7107) = VALUE(RIGHT(Insights!$C$3, 4)), E7107, "")</f>
        <v>#VALUE!</v>
      </c>
      <c r="H7107" s="26" t="e">
        <f t="shared" si="1"/>
        <v>#VALUE!</v>
      </c>
      <c r="I7107" s="1" t="e">
        <f t="shared" si="2"/>
        <v>#VALUE!</v>
      </c>
    </row>
    <row r="7108" spans="1:9" ht="15.75" customHeight="1">
      <c r="A7108" s="26"/>
      <c r="B7108" s="2"/>
      <c r="C7108" s="26"/>
      <c r="D7108" s="26"/>
      <c r="F7108" s="85" t="str">
        <f t="shared" si="0"/>
        <v/>
      </c>
      <c r="G7108" s="1" t="e">
        <f>IF(VALUE(F7108) = VALUE(RIGHT(Insights!$C$3, 4)), E7108, "")</f>
        <v>#VALUE!</v>
      </c>
      <c r="H7108" s="26" t="e">
        <f t="shared" si="1"/>
        <v>#VALUE!</v>
      </c>
      <c r="I7108" s="1" t="e">
        <f t="shared" si="2"/>
        <v>#VALUE!</v>
      </c>
    </row>
    <row r="7109" spans="1:9" ht="15.75" customHeight="1">
      <c r="A7109" s="26"/>
      <c r="B7109" s="2"/>
      <c r="C7109" s="26"/>
      <c r="D7109" s="26"/>
      <c r="F7109" s="85" t="str">
        <f t="shared" si="0"/>
        <v/>
      </c>
      <c r="G7109" s="1" t="e">
        <f>IF(VALUE(F7109) = VALUE(RIGHT(Insights!$C$3, 4)), E7109, "")</f>
        <v>#VALUE!</v>
      </c>
      <c r="H7109" s="26" t="e">
        <f t="shared" si="1"/>
        <v>#VALUE!</v>
      </c>
      <c r="I7109" s="1" t="e">
        <f t="shared" si="2"/>
        <v>#VALUE!</v>
      </c>
    </row>
    <row r="7110" spans="1:9" ht="15.75" customHeight="1">
      <c r="A7110" s="26"/>
      <c r="B7110" s="2"/>
      <c r="C7110" s="26"/>
      <c r="D7110" s="26"/>
      <c r="F7110" s="85" t="str">
        <f t="shared" si="0"/>
        <v/>
      </c>
      <c r="G7110" s="1" t="e">
        <f>IF(VALUE(F7110) = VALUE(RIGHT(Insights!$C$3, 4)), E7110, "")</f>
        <v>#VALUE!</v>
      </c>
      <c r="H7110" s="26" t="e">
        <f t="shared" si="1"/>
        <v>#VALUE!</v>
      </c>
      <c r="I7110" s="1" t="e">
        <f t="shared" si="2"/>
        <v>#VALUE!</v>
      </c>
    </row>
    <row r="7111" spans="1:9" ht="15.75" customHeight="1">
      <c r="A7111" s="26"/>
      <c r="B7111" s="2"/>
      <c r="C7111" s="26"/>
      <c r="D7111" s="26"/>
      <c r="F7111" s="85" t="str">
        <f t="shared" si="0"/>
        <v/>
      </c>
      <c r="G7111" s="1" t="e">
        <f>IF(VALUE(F7111) = VALUE(RIGHT(Insights!$C$3, 4)), E7111, "")</f>
        <v>#VALUE!</v>
      </c>
      <c r="H7111" s="26" t="e">
        <f t="shared" si="1"/>
        <v>#VALUE!</v>
      </c>
      <c r="I7111" s="1" t="e">
        <f t="shared" si="2"/>
        <v>#VALUE!</v>
      </c>
    </row>
    <row r="7112" spans="1:9" ht="15.75" customHeight="1">
      <c r="A7112" s="26"/>
      <c r="B7112" s="2"/>
      <c r="C7112" s="26"/>
      <c r="D7112" s="26"/>
      <c r="F7112" s="85" t="str">
        <f t="shared" si="0"/>
        <v/>
      </c>
      <c r="G7112" s="1" t="e">
        <f>IF(VALUE(F7112) = VALUE(RIGHT(Insights!$C$3, 4)), E7112, "")</f>
        <v>#VALUE!</v>
      </c>
      <c r="H7112" s="26" t="e">
        <f t="shared" si="1"/>
        <v>#VALUE!</v>
      </c>
      <c r="I7112" s="1" t="e">
        <f t="shared" si="2"/>
        <v>#VALUE!</v>
      </c>
    </row>
    <row r="7113" spans="1:9" ht="15.75" customHeight="1">
      <c r="A7113" s="26"/>
      <c r="B7113" s="2"/>
      <c r="C7113" s="26"/>
      <c r="D7113" s="26"/>
      <c r="F7113" s="85" t="str">
        <f t="shared" si="0"/>
        <v/>
      </c>
      <c r="G7113" s="1" t="e">
        <f>IF(VALUE(F7113) = VALUE(RIGHT(Insights!$C$3, 4)), E7113, "")</f>
        <v>#VALUE!</v>
      </c>
      <c r="H7113" s="26" t="e">
        <f t="shared" si="1"/>
        <v>#VALUE!</v>
      </c>
      <c r="I7113" s="1" t="e">
        <f t="shared" si="2"/>
        <v>#VALUE!</v>
      </c>
    </row>
    <row r="7114" spans="1:9" ht="15.75" customHeight="1">
      <c r="A7114" s="26"/>
      <c r="B7114" s="2"/>
      <c r="C7114" s="26"/>
      <c r="D7114" s="26"/>
      <c r="F7114" s="85" t="str">
        <f t="shared" si="0"/>
        <v/>
      </c>
      <c r="G7114" s="1" t="e">
        <f>IF(VALUE(F7114) = VALUE(RIGHT(Insights!$C$3, 4)), E7114, "")</f>
        <v>#VALUE!</v>
      </c>
      <c r="H7114" s="26" t="e">
        <f t="shared" si="1"/>
        <v>#VALUE!</v>
      </c>
      <c r="I7114" s="1" t="e">
        <f t="shared" si="2"/>
        <v>#VALUE!</v>
      </c>
    </row>
    <row r="7115" spans="1:9" ht="15.75" customHeight="1">
      <c r="A7115" s="26"/>
      <c r="B7115" s="2"/>
      <c r="C7115" s="26"/>
      <c r="D7115" s="26"/>
      <c r="F7115" s="85" t="str">
        <f t="shared" si="0"/>
        <v/>
      </c>
      <c r="G7115" s="1" t="e">
        <f>IF(VALUE(F7115) = VALUE(RIGHT(Insights!$C$3, 4)), E7115, "")</f>
        <v>#VALUE!</v>
      </c>
      <c r="H7115" s="26" t="e">
        <f t="shared" si="1"/>
        <v>#VALUE!</v>
      </c>
      <c r="I7115" s="1" t="e">
        <f t="shared" si="2"/>
        <v>#VALUE!</v>
      </c>
    </row>
    <row r="7116" spans="1:9" ht="15.75" customHeight="1">
      <c r="A7116" s="26"/>
      <c r="B7116" s="2"/>
      <c r="C7116" s="26"/>
      <c r="D7116" s="26"/>
      <c r="F7116" s="85" t="str">
        <f t="shared" si="0"/>
        <v/>
      </c>
      <c r="G7116" s="1" t="e">
        <f>IF(VALUE(F7116) = VALUE(RIGHT(Insights!$C$3, 4)), E7116, "")</f>
        <v>#VALUE!</v>
      </c>
      <c r="H7116" s="26" t="e">
        <f t="shared" si="1"/>
        <v>#VALUE!</v>
      </c>
      <c r="I7116" s="1" t="e">
        <f t="shared" si="2"/>
        <v>#VALUE!</v>
      </c>
    </row>
    <row r="7117" spans="1:9" ht="15.75" customHeight="1">
      <c r="A7117" s="26"/>
      <c r="B7117" s="2"/>
      <c r="C7117" s="26"/>
      <c r="D7117" s="26"/>
      <c r="F7117" s="85" t="str">
        <f t="shared" si="0"/>
        <v/>
      </c>
      <c r="G7117" s="1" t="e">
        <f>IF(VALUE(F7117) = VALUE(RIGHT(Insights!$C$3, 4)), E7117, "")</f>
        <v>#VALUE!</v>
      </c>
      <c r="H7117" s="26" t="e">
        <f t="shared" si="1"/>
        <v>#VALUE!</v>
      </c>
      <c r="I7117" s="1" t="e">
        <f t="shared" si="2"/>
        <v>#VALUE!</v>
      </c>
    </row>
    <row r="7118" spans="1:9" ht="15.75" customHeight="1">
      <c r="A7118" s="26"/>
      <c r="B7118" s="2"/>
      <c r="C7118" s="26"/>
      <c r="D7118" s="26"/>
      <c r="F7118" s="85" t="str">
        <f t="shared" si="0"/>
        <v/>
      </c>
      <c r="G7118" s="1" t="e">
        <f>IF(VALUE(F7118) = VALUE(RIGHT(Insights!$C$3, 4)), E7118, "")</f>
        <v>#VALUE!</v>
      </c>
      <c r="H7118" s="26" t="e">
        <f t="shared" si="1"/>
        <v>#VALUE!</v>
      </c>
      <c r="I7118" s="1" t="e">
        <f t="shared" si="2"/>
        <v>#VALUE!</v>
      </c>
    </row>
    <row r="7119" spans="1:9" ht="15.75" customHeight="1">
      <c r="A7119" s="26"/>
      <c r="B7119" s="2"/>
      <c r="C7119" s="26"/>
      <c r="D7119" s="26"/>
      <c r="F7119" s="85" t="str">
        <f t="shared" si="0"/>
        <v/>
      </c>
      <c r="G7119" s="1" t="e">
        <f>IF(VALUE(F7119) = VALUE(RIGHT(Insights!$C$3, 4)), E7119, "")</f>
        <v>#VALUE!</v>
      </c>
      <c r="H7119" s="26" t="e">
        <f t="shared" si="1"/>
        <v>#VALUE!</v>
      </c>
      <c r="I7119" s="1" t="e">
        <f t="shared" si="2"/>
        <v>#VALUE!</v>
      </c>
    </row>
    <row r="7120" spans="1:9" ht="15.75" customHeight="1">
      <c r="A7120" s="26"/>
      <c r="B7120" s="2"/>
      <c r="C7120" s="26"/>
      <c r="D7120" s="26"/>
      <c r="F7120" s="85" t="str">
        <f t="shared" si="0"/>
        <v/>
      </c>
      <c r="G7120" s="1" t="e">
        <f>IF(VALUE(F7120) = VALUE(RIGHT(Insights!$C$3, 4)), E7120, "")</f>
        <v>#VALUE!</v>
      </c>
      <c r="H7120" s="26" t="e">
        <f t="shared" si="1"/>
        <v>#VALUE!</v>
      </c>
      <c r="I7120" s="1" t="e">
        <f t="shared" si="2"/>
        <v>#VALUE!</v>
      </c>
    </row>
    <row r="7121" spans="1:9" ht="15.75" customHeight="1">
      <c r="A7121" s="26"/>
      <c r="B7121" s="2"/>
      <c r="C7121" s="26"/>
      <c r="D7121" s="26"/>
      <c r="F7121" s="85" t="str">
        <f t="shared" si="0"/>
        <v/>
      </c>
      <c r="G7121" s="1" t="e">
        <f>IF(VALUE(F7121) = VALUE(RIGHT(Insights!$C$3, 4)), E7121, "")</f>
        <v>#VALUE!</v>
      </c>
      <c r="H7121" s="26" t="e">
        <f t="shared" si="1"/>
        <v>#VALUE!</v>
      </c>
      <c r="I7121" s="1" t="e">
        <f t="shared" si="2"/>
        <v>#VALUE!</v>
      </c>
    </row>
    <row r="7122" spans="1:9" ht="15.75" customHeight="1">
      <c r="A7122" s="26"/>
      <c r="B7122" s="2"/>
      <c r="C7122" s="26"/>
      <c r="D7122" s="26"/>
      <c r="F7122" s="85" t="str">
        <f t="shared" si="0"/>
        <v/>
      </c>
      <c r="G7122" s="1" t="e">
        <f>IF(VALUE(F7122) = VALUE(RIGHT(Insights!$C$3, 4)), E7122, "")</f>
        <v>#VALUE!</v>
      </c>
      <c r="H7122" s="26" t="e">
        <f t="shared" si="1"/>
        <v>#VALUE!</v>
      </c>
      <c r="I7122" s="1" t="e">
        <f t="shared" si="2"/>
        <v>#VALUE!</v>
      </c>
    </row>
    <row r="7123" spans="1:9" ht="15.75" customHeight="1">
      <c r="A7123" s="26"/>
      <c r="B7123" s="2"/>
      <c r="C7123" s="26"/>
      <c r="D7123" s="26"/>
      <c r="F7123" s="85" t="str">
        <f t="shared" si="0"/>
        <v/>
      </c>
      <c r="G7123" s="1" t="e">
        <f>IF(VALUE(F7123) = VALUE(RIGHT(Insights!$C$3, 4)), E7123, "")</f>
        <v>#VALUE!</v>
      </c>
      <c r="H7123" s="26" t="e">
        <f t="shared" si="1"/>
        <v>#VALUE!</v>
      </c>
      <c r="I7123" s="1" t="e">
        <f t="shared" si="2"/>
        <v>#VALUE!</v>
      </c>
    </row>
    <row r="7124" spans="1:9" ht="15.75" customHeight="1">
      <c r="A7124" s="26"/>
      <c r="B7124" s="2"/>
      <c r="C7124" s="26"/>
      <c r="D7124" s="26"/>
      <c r="F7124" s="85" t="str">
        <f t="shared" si="0"/>
        <v/>
      </c>
      <c r="G7124" s="1" t="e">
        <f>IF(VALUE(F7124) = VALUE(RIGHT(Insights!$C$3, 4)), E7124, "")</f>
        <v>#VALUE!</v>
      </c>
      <c r="H7124" s="26" t="e">
        <f t="shared" si="1"/>
        <v>#VALUE!</v>
      </c>
      <c r="I7124" s="1" t="e">
        <f t="shared" si="2"/>
        <v>#VALUE!</v>
      </c>
    </row>
    <row r="7125" spans="1:9" ht="15.75" customHeight="1">
      <c r="A7125" s="26"/>
      <c r="B7125" s="2"/>
      <c r="C7125" s="26"/>
      <c r="D7125" s="26"/>
      <c r="F7125" s="85" t="str">
        <f t="shared" si="0"/>
        <v/>
      </c>
      <c r="G7125" s="1" t="e">
        <f>IF(VALUE(F7125) = VALUE(RIGHT(Insights!$C$3, 4)), E7125, "")</f>
        <v>#VALUE!</v>
      </c>
      <c r="H7125" s="26" t="e">
        <f t="shared" si="1"/>
        <v>#VALUE!</v>
      </c>
      <c r="I7125" s="1" t="e">
        <f t="shared" si="2"/>
        <v>#VALUE!</v>
      </c>
    </row>
    <row r="7126" spans="1:9" ht="15.75" customHeight="1">
      <c r="A7126" s="26"/>
      <c r="B7126" s="2"/>
      <c r="C7126" s="26"/>
      <c r="D7126" s="26"/>
      <c r="F7126" s="85" t="str">
        <f t="shared" si="0"/>
        <v/>
      </c>
      <c r="G7126" s="1" t="e">
        <f>IF(VALUE(F7126) = VALUE(RIGHT(Insights!$C$3, 4)), E7126, "")</f>
        <v>#VALUE!</v>
      </c>
      <c r="H7126" s="26" t="e">
        <f t="shared" si="1"/>
        <v>#VALUE!</v>
      </c>
      <c r="I7126" s="1" t="e">
        <f t="shared" si="2"/>
        <v>#VALUE!</v>
      </c>
    </row>
    <row r="7127" spans="1:9" ht="15.75" customHeight="1">
      <c r="A7127" s="26"/>
      <c r="B7127" s="2"/>
      <c r="C7127" s="26"/>
      <c r="D7127" s="26"/>
      <c r="F7127" s="85" t="str">
        <f t="shared" si="0"/>
        <v/>
      </c>
      <c r="G7127" s="1" t="e">
        <f>IF(VALUE(F7127) = VALUE(RIGHT(Insights!$C$3, 4)), E7127, "")</f>
        <v>#VALUE!</v>
      </c>
      <c r="H7127" s="26" t="e">
        <f t="shared" si="1"/>
        <v>#VALUE!</v>
      </c>
      <c r="I7127" s="1" t="e">
        <f t="shared" si="2"/>
        <v>#VALUE!</v>
      </c>
    </row>
    <row r="7128" spans="1:9" ht="15.75" customHeight="1">
      <c r="A7128" s="26"/>
      <c r="B7128" s="2"/>
      <c r="C7128" s="26"/>
      <c r="D7128" s="26"/>
      <c r="F7128" s="85" t="str">
        <f t="shared" si="0"/>
        <v/>
      </c>
      <c r="G7128" s="1" t="e">
        <f>IF(VALUE(F7128) = VALUE(RIGHT(Insights!$C$3, 4)), E7128, "")</f>
        <v>#VALUE!</v>
      </c>
      <c r="H7128" s="26" t="e">
        <f t="shared" si="1"/>
        <v>#VALUE!</v>
      </c>
      <c r="I7128" s="1" t="e">
        <f t="shared" si="2"/>
        <v>#VALUE!</v>
      </c>
    </row>
    <row r="7129" spans="1:9" ht="15.75" customHeight="1">
      <c r="A7129" s="26"/>
      <c r="B7129" s="2"/>
      <c r="C7129" s="26"/>
      <c r="D7129" s="26"/>
      <c r="F7129" s="85" t="str">
        <f t="shared" si="0"/>
        <v/>
      </c>
      <c r="G7129" s="1" t="e">
        <f>IF(VALUE(F7129) = VALUE(RIGHT(Insights!$C$3, 4)), E7129, "")</f>
        <v>#VALUE!</v>
      </c>
      <c r="H7129" s="26" t="e">
        <f t="shared" si="1"/>
        <v>#VALUE!</v>
      </c>
      <c r="I7129" s="1" t="e">
        <f t="shared" si="2"/>
        <v>#VALUE!</v>
      </c>
    </row>
    <row r="7130" spans="1:9" ht="15.75" customHeight="1">
      <c r="A7130" s="26"/>
      <c r="B7130" s="2"/>
      <c r="C7130" s="26"/>
      <c r="D7130" s="26"/>
      <c r="F7130" s="85" t="str">
        <f t="shared" si="0"/>
        <v/>
      </c>
      <c r="G7130" s="1" t="e">
        <f>IF(VALUE(F7130) = VALUE(RIGHT(Insights!$C$3, 4)), E7130, "")</f>
        <v>#VALUE!</v>
      </c>
      <c r="H7130" s="26" t="e">
        <f t="shared" si="1"/>
        <v>#VALUE!</v>
      </c>
      <c r="I7130" s="1" t="e">
        <f t="shared" si="2"/>
        <v>#VALUE!</v>
      </c>
    </row>
    <row r="7131" spans="1:9" ht="15.75" customHeight="1">
      <c r="A7131" s="26"/>
      <c r="B7131" s="2"/>
      <c r="C7131" s="26"/>
      <c r="D7131" s="26"/>
      <c r="F7131" s="85" t="str">
        <f t="shared" si="0"/>
        <v/>
      </c>
      <c r="G7131" s="1" t="e">
        <f>IF(VALUE(F7131) = VALUE(RIGHT(Insights!$C$3, 4)), E7131, "")</f>
        <v>#VALUE!</v>
      </c>
      <c r="H7131" s="26" t="e">
        <f t="shared" si="1"/>
        <v>#VALUE!</v>
      </c>
      <c r="I7131" s="1" t="e">
        <f t="shared" si="2"/>
        <v>#VALUE!</v>
      </c>
    </row>
    <row r="7132" spans="1:9" ht="15.75" customHeight="1">
      <c r="A7132" s="26"/>
      <c r="B7132" s="2"/>
      <c r="C7132" s="26"/>
      <c r="D7132" s="26"/>
      <c r="F7132" s="85" t="str">
        <f t="shared" si="0"/>
        <v/>
      </c>
      <c r="G7132" s="1" t="e">
        <f>IF(VALUE(F7132) = VALUE(RIGHT(Insights!$C$3, 4)), E7132, "")</f>
        <v>#VALUE!</v>
      </c>
      <c r="H7132" s="26" t="e">
        <f t="shared" si="1"/>
        <v>#VALUE!</v>
      </c>
      <c r="I7132" s="1" t="e">
        <f t="shared" si="2"/>
        <v>#VALUE!</v>
      </c>
    </row>
    <row r="7133" spans="1:9" ht="15.75" customHeight="1">
      <c r="A7133" s="26"/>
      <c r="B7133" s="2"/>
      <c r="C7133" s="26"/>
      <c r="D7133" s="26"/>
      <c r="F7133" s="85" t="str">
        <f t="shared" si="0"/>
        <v/>
      </c>
      <c r="G7133" s="1" t="e">
        <f>IF(VALUE(F7133) = VALUE(RIGHT(Insights!$C$3, 4)), E7133, "")</f>
        <v>#VALUE!</v>
      </c>
      <c r="H7133" s="26" t="e">
        <f t="shared" si="1"/>
        <v>#VALUE!</v>
      </c>
      <c r="I7133" s="1" t="e">
        <f t="shared" si="2"/>
        <v>#VALUE!</v>
      </c>
    </row>
    <row r="7134" spans="1:9" ht="15.75" customHeight="1">
      <c r="A7134" s="26"/>
      <c r="B7134" s="2"/>
      <c r="C7134" s="26"/>
      <c r="D7134" s="26"/>
      <c r="F7134" s="85" t="str">
        <f t="shared" si="0"/>
        <v/>
      </c>
      <c r="G7134" s="1" t="e">
        <f>IF(VALUE(F7134) = VALUE(RIGHT(Insights!$C$3, 4)), E7134, "")</f>
        <v>#VALUE!</v>
      </c>
      <c r="H7134" s="26" t="e">
        <f t="shared" si="1"/>
        <v>#VALUE!</v>
      </c>
      <c r="I7134" s="1" t="e">
        <f t="shared" si="2"/>
        <v>#VALUE!</v>
      </c>
    </row>
    <row r="7135" spans="1:9" ht="15.75" customHeight="1">
      <c r="A7135" s="26"/>
      <c r="B7135" s="2"/>
      <c r="C7135" s="26"/>
      <c r="D7135" s="26"/>
      <c r="F7135" s="85" t="str">
        <f t="shared" si="0"/>
        <v/>
      </c>
      <c r="G7135" s="1" t="e">
        <f>IF(VALUE(F7135) = VALUE(RIGHT(Insights!$C$3, 4)), E7135, "")</f>
        <v>#VALUE!</v>
      </c>
      <c r="H7135" s="26" t="e">
        <f t="shared" si="1"/>
        <v>#VALUE!</v>
      </c>
      <c r="I7135" s="1" t="e">
        <f t="shared" si="2"/>
        <v>#VALUE!</v>
      </c>
    </row>
    <row r="7136" spans="1:9" ht="15.75" customHeight="1">
      <c r="A7136" s="26"/>
      <c r="B7136" s="2"/>
      <c r="C7136" s="26"/>
      <c r="D7136" s="26"/>
      <c r="F7136" s="85" t="str">
        <f t="shared" si="0"/>
        <v/>
      </c>
      <c r="G7136" s="1" t="e">
        <f>IF(VALUE(F7136) = VALUE(RIGHT(Insights!$C$3, 4)), E7136, "")</f>
        <v>#VALUE!</v>
      </c>
      <c r="H7136" s="26" t="e">
        <f t="shared" si="1"/>
        <v>#VALUE!</v>
      </c>
      <c r="I7136" s="1" t="e">
        <f t="shared" si="2"/>
        <v>#VALUE!</v>
      </c>
    </row>
    <row r="7137" spans="1:9" ht="15.75" customHeight="1">
      <c r="A7137" s="26"/>
      <c r="B7137" s="2"/>
      <c r="C7137" s="26"/>
      <c r="D7137" s="26"/>
      <c r="F7137" s="85" t="str">
        <f t="shared" si="0"/>
        <v/>
      </c>
      <c r="G7137" s="1" t="e">
        <f>IF(VALUE(F7137) = VALUE(RIGHT(Insights!$C$3, 4)), E7137, "")</f>
        <v>#VALUE!</v>
      </c>
      <c r="H7137" s="26" t="e">
        <f t="shared" si="1"/>
        <v>#VALUE!</v>
      </c>
      <c r="I7137" s="1" t="e">
        <f t="shared" si="2"/>
        <v>#VALUE!</v>
      </c>
    </row>
    <row r="7138" spans="1:9" ht="15.75" customHeight="1">
      <c r="A7138" s="26"/>
      <c r="B7138" s="2"/>
      <c r="C7138" s="26"/>
      <c r="D7138" s="26"/>
      <c r="F7138" s="85" t="str">
        <f t="shared" si="0"/>
        <v/>
      </c>
      <c r="G7138" s="1" t="e">
        <f>IF(VALUE(F7138) = VALUE(RIGHT(Insights!$C$3, 4)), E7138, "")</f>
        <v>#VALUE!</v>
      </c>
      <c r="H7138" s="26" t="e">
        <f t="shared" si="1"/>
        <v>#VALUE!</v>
      </c>
      <c r="I7138" s="1" t="e">
        <f t="shared" si="2"/>
        <v>#VALUE!</v>
      </c>
    </row>
    <row r="7139" spans="1:9" ht="15.75" customHeight="1">
      <c r="A7139" s="26"/>
      <c r="B7139" s="2"/>
      <c r="C7139" s="26"/>
      <c r="D7139" s="26"/>
      <c r="F7139" s="85" t="str">
        <f t="shared" si="0"/>
        <v/>
      </c>
      <c r="G7139" s="1" t="e">
        <f>IF(VALUE(F7139) = VALUE(RIGHT(Insights!$C$3, 4)), E7139, "")</f>
        <v>#VALUE!</v>
      </c>
      <c r="H7139" s="26" t="e">
        <f t="shared" si="1"/>
        <v>#VALUE!</v>
      </c>
      <c r="I7139" s="1" t="e">
        <f t="shared" si="2"/>
        <v>#VALUE!</v>
      </c>
    </row>
    <row r="7140" spans="1:9" ht="15.75" customHeight="1">
      <c r="A7140" s="26"/>
      <c r="B7140" s="2"/>
      <c r="C7140" s="26"/>
      <c r="D7140" s="26"/>
      <c r="F7140" s="85" t="str">
        <f t="shared" si="0"/>
        <v/>
      </c>
      <c r="G7140" s="1" t="e">
        <f>IF(VALUE(F7140) = VALUE(RIGHT(Insights!$C$3, 4)), E7140, "")</f>
        <v>#VALUE!</v>
      </c>
      <c r="H7140" s="26" t="e">
        <f t="shared" si="1"/>
        <v>#VALUE!</v>
      </c>
      <c r="I7140" s="1" t="e">
        <f t="shared" si="2"/>
        <v>#VALUE!</v>
      </c>
    </row>
    <row r="7141" spans="1:9" ht="15.75" customHeight="1">
      <c r="A7141" s="26"/>
      <c r="B7141" s="2"/>
      <c r="C7141" s="26"/>
      <c r="D7141" s="26"/>
      <c r="F7141" s="85" t="str">
        <f t="shared" si="0"/>
        <v/>
      </c>
      <c r="G7141" s="1" t="e">
        <f>IF(VALUE(F7141) = VALUE(RIGHT(Insights!$C$3, 4)), E7141, "")</f>
        <v>#VALUE!</v>
      </c>
      <c r="H7141" s="26" t="e">
        <f t="shared" si="1"/>
        <v>#VALUE!</v>
      </c>
      <c r="I7141" s="1" t="e">
        <f t="shared" si="2"/>
        <v>#VALUE!</v>
      </c>
    </row>
    <row r="7142" spans="1:9" ht="15.75" customHeight="1">
      <c r="A7142" s="26"/>
      <c r="B7142" s="2"/>
      <c r="C7142" s="26"/>
      <c r="D7142" s="26"/>
      <c r="F7142" s="85" t="str">
        <f t="shared" si="0"/>
        <v/>
      </c>
      <c r="G7142" s="1" t="e">
        <f>IF(VALUE(F7142) = VALUE(RIGHT(Insights!$C$3, 4)), E7142, "")</f>
        <v>#VALUE!</v>
      </c>
      <c r="H7142" s="26" t="e">
        <f t="shared" si="1"/>
        <v>#VALUE!</v>
      </c>
      <c r="I7142" s="1" t="e">
        <f t="shared" si="2"/>
        <v>#VALUE!</v>
      </c>
    </row>
    <row r="7143" spans="1:9" ht="15.75" customHeight="1">
      <c r="A7143" s="26"/>
      <c r="B7143" s="2"/>
      <c r="C7143" s="26"/>
      <c r="D7143" s="26"/>
      <c r="F7143" s="85" t="str">
        <f t="shared" si="0"/>
        <v/>
      </c>
      <c r="G7143" s="1" t="e">
        <f>IF(VALUE(F7143) = VALUE(RIGHT(Insights!$C$3, 4)), E7143, "")</f>
        <v>#VALUE!</v>
      </c>
      <c r="H7143" s="26" t="e">
        <f t="shared" si="1"/>
        <v>#VALUE!</v>
      </c>
      <c r="I7143" s="1" t="e">
        <f t="shared" si="2"/>
        <v>#VALUE!</v>
      </c>
    </row>
    <row r="7144" spans="1:9" ht="15.75" customHeight="1">
      <c r="A7144" s="26"/>
      <c r="B7144" s="2"/>
      <c r="C7144" s="26"/>
      <c r="D7144" s="26"/>
      <c r="F7144" s="85" t="str">
        <f t="shared" si="0"/>
        <v/>
      </c>
      <c r="G7144" s="1" t="e">
        <f>IF(VALUE(F7144) = VALUE(RIGHT(Insights!$C$3, 4)), E7144, "")</f>
        <v>#VALUE!</v>
      </c>
      <c r="H7144" s="26" t="e">
        <f t="shared" si="1"/>
        <v>#VALUE!</v>
      </c>
      <c r="I7144" s="1" t="e">
        <f t="shared" si="2"/>
        <v>#VALUE!</v>
      </c>
    </row>
    <row r="7145" spans="1:9" ht="15.75" customHeight="1">
      <c r="A7145" s="26"/>
      <c r="B7145" s="2"/>
      <c r="C7145" s="26"/>
      <c r="D7145" s="26"/>
      <c r="F7145" s="85" t="str">
        <f t="shared" si="0"/>
        <v/>
      </c>
      <c r="G7145" s="1" t="e">
        <f>IF(VALUE(F7145) = VALUE(RIGHT(Insights!$C$3, 4)), E7145, "")</f>
        <v>#VALUE!</v>
      </c>
      <c r="H7145" s="26" t="e">
        <f t="shared" si="1"/>
        <v>#VALUE!</v>
      </c>
      <c r="I7145" s="1" t="e">
        <f t="shared" si="2"/>
        <v>#VALUE!</v>
      </c>
    </row>
    <row r="7146" spans="1:9" ht="15.75" customHeight="1">
      <c r="A7146" s="26"/>
      <c r="B7146" s="2"/>
      <c r="C7146" s="26"/>
      <c r="D7146" s="26"/>
      <c r="F7146" s="85" t="str">
        <f t="shared" si="0"/>
        <v/>
      </c>
      <c r="G7146" s="1" t="e">
        <f>IF(VALUE(F7146) = VALUE(RIGHT(Insights!$C$3, 4)), E7146, "")</f>
        <v>#VALUE!</v>
      </c>
      <c r="H7146" s="26" t="e">
        <f t="shared" si="1"/>
        <v>#VALUE!</v>
      </c>
      <c r="I7146" s="1" t="e">
        <f t="shared" si="2"/>
        <v>#VALUE!</v>
      </c>
    </row>
    <row r="7147" spans="1:9" ht="15.75" customHeight="1">
      <c r="A7147" s="26"/>
      <c r="B7147" s="2"/>
      <c r="C7147" s="26"/>
      <c r="D7147" s="26"/>
      <c r="F7147" s="85" t="str">
        <f t="shared" si="0"/>
        <v/>
      </c>
      <c r="G7147" s="1" t="e">
        <f>IF(VALUE(F7147) = VALUE(RIGHT(Insights!$C$3, 4)), E7147, "")</f>
        <v>#VALUE!</v>
      </c>
      <c r="H7147" s="26" t="e">
        <f t="shared" si="1"/>
        <v>#VALUE!</v>
      </c>
      <c r="I7147" s="1" t="e">
        <f t="shared" si="2"/>
        <v>#VALUE!</v>
      </c>
    </row>
    <row r="7148" spans="1:9" ht="15.75" customHeight="1">
      <c r="A7148" s="26"/>
      <c r="B7148" s="2"/>
      <c r="C7148" s="26"/>
      <c r="D7148" s="26"/>
      <c r="F7148" s="85" t="str">
        <f t="shared" si="0"/>
        <v/>
      </c>
      <c r="G7148" s="1" t="e">
        <f>IF(VALUE(F7148) = VALUE(RIGHT(Insights!$C$3, 4)), E7148, "")</f>
        <v>#VALUE!</v>
      </c>
      <c r="H7148" s="26" t="e">
        <f t="shared" si="1"/>
        <v>#VALUE!</v>
      </c>
      <c r="I7148" s="1" t="e">
        <f t="shared" si="2"/>
        <v>#VALUE!</v>
      </c>
    </row>
    <row r="7149" spans="1:9" ht="15.75" customHeight="1">
      <c r="A7149" s="26"/>
      <c r="B7149" s="2"/>
      <c r="C7149" s="26"/>
      <c r="D7149" s="26"/>
      <c r="F7149" s="85" t="str">
        <f t="shared" si="0"/>
        <v/>
      </c>
      <c r="G7149" s="1" t="e">
        <f>IF(VALUE(F7149) = VALUE(RIGHT(Insights!$C$3, 4)), E7149, "")</f>
        <v>#VALUE!</v>
      </c>
      <c r="H7149" s="26" t="e">
        <f t="shared" si="1"/>
        <v>#VALUE!</v>
      </c>
      <c r="I7149" s="1" t="e">
        <f t="shared" si="2"/>
        <v>#VALUE!</v>
      </c>
    </row>
    <row r="7150" spans="1:9" ht="15.75" customHeight="1">
      <c r="A7150" s="26"/>
      <c r="B7150" s="2"/>
      <c r="C7150" s="26"/>
      <c r="D7150" s="26"/>
      <c r="F7150" s="85" t="str">
        <f t="shared" si="0"/>
        <v/>
      </c>
      <c r="G7150" s="1" t="e">
        <f>IF(VALUE(F7150) = VALUE(RIGHT(Insights!$C$3, 4)), E7150, "")</f>
        <v>#VALUE!</v>
      </c>
      <c r="H7150" s="26" t="e">
        <f t="shared" si="1"/>
        <v>#VALUE!</v>
      </c>
      <c r="I7150" s="1" t="e">
        <f t="shared" si="2"/>
        <v>#VALUE!</v>
      </c>
    </row>
    <row r="7151" spans="1:9" ht="15.75" customHeight="1">
      <c r="A7151" s="26"/>
      <c r="B7151" s="2"/>
      <c r="C7151" s="26"/>
      <c r="D7151" s="26"/>
      <c r="F7151" s="85" t="str">
        <f t="shared" si="0"/>
        <v/>
      </c>
      <c r="G7151" s="1" t="e">
        <f>IF(VALUE(F7151) = VALUE(RIGHT(Insights!$C$3, 4)), E7151, "")</f>
        <v>#VALUE!</v>
      </c>
      <c r="H7151" s="26" t="e">
        <f t="shared" si="1"/>
        <v>#VALUE!</v>
      </c>
      <c r="I7151" s="1" t="e">
        <f t="shared" si="2"/>
        <v>#VALUE!</v>
      </c>
    </row>
    <row r="7152" spans="1:9" ht="15.75" customHeight="1">
      <c r="A7152" s="26"/>
      <c r="B7152" s="2"/>
      <c r="C7152" s="26"/>
      <c r="D7152" s="26"/>
      <c r="F7152" s="85" t="str">
        <f t="shared" si="0"/>
        <v/>
      </c>
      <c r="G7152" s="1" t="e">
        <f>IF(VALUE(F7152) = VALUE(RIGHT(Insights!$C$3, 4)), E7152, "")</f>
        <v>#VALUE!</v>
      </c>
      <c r="H7152" s="26" t="e">
        <f t="shared" si="1"/>
        <v>#VALUE!</v>
      </c>
      <c r="I7152" s="1" t="e">
        <f t="shared" si="2"/>
        <v>#VALUE!</v>
      </c>
    </row>
    <row r="7153" spans="1:9" ht="15.75" customHeight="1">
      <c r="A7153" s="26"/>
      <c r="B7153" s="2"/>
      <c r="C7153" s="26"/>
      <c r="D7153" s="26"/>
      <c r="F7153" s="85" t="str">
        <f t="shared" si="0"/>
        <v/>
      </c>
      <c r="G7153" s="1" t="e">
        <f>IF(VALUE(F7153) = VALUE(RIGHT(Insights!$C$3, 4)), E7153, "")</f>
        <v>#VALUE!</v>
      </c>
      <c r="H7153" s="26" t="e">
        <f t="shared" si="1"/>
        <v>#VALUE!</v>
      </c>
      <c r="I7153" s="1" t="e">
        <f t="shared" si="2"/>
        <v>#VALUE!</v>
      </c>
    </row>
    <row r="7154" spans="1:9" ht="15.75" customHeight="1">
      <c r="A7154" s="26"/>
      <c r="B7154" s="2"/>
      <c r="C7154" s="26"/>
      <c r="D7154" s="26"/>
      <c r="F7154" s="85" t="str">
        <f t="shared" si="0"/>
        <v/>
      </c>
      <c r="G7154" s="1" t="e">
        <f>IF(VALUE(F7154) = VALUE(RIGHT(Insights!$C$3, 4)), E7154, "")</f>
        <v>#VALUE!</v>
      </c>
      <c r="H7154" s="26" t="e">
        <f t="shared" si="1"/>
        <v>#VALUE!</v>
      </c>
      <c r="I7154" s="1" t="e">
        <f t="shared" si="2"/>
        <v>#VALUE!</v>
      </c>
    </row>
    <row r="7155" spans="1:9" ht="15.75" customHeight="1">
      <c r="A7155" s="26"/>
      <c r="B7155" s="2"/>
      <c r="C7155" s="26"/>
      <c r="D7155" s="26"/>
      <c r="F7155" s="85" t="str">
        <f t="shared" si="0"/>
        <v/>
      </c>
      <c r="G7155" s="1" t="e">
        <f>IF(VALUE(F7155) = VALUE(RIGHT(Insights!$C$3, 4)), E7155, "")</f>
        <v>#VALUE!</v>
      </c>
      <c r="H7155" s="26" t="e">
        <f t="shared" si="1"/>
        <v>#VALUE!</v>
      </c>
      <c r="I7155" s="1" t="e">
        <f t="shared" si="2"/>
        <v>#VALUE!</v>
      </c>
    </row>
    <row r="7156" spans="1:9" ht="15.75" customHeight="1">
      <c r="A7156" s="26"/>
      <c r="B7156" s="2"/>
      <c r="C7156" s="26"/>
      <c r="D7156" s="26"/>
      <c r="F7156" s="85" t="str">
        <f t="shared" si="0"/>
        <v/>
      </c>
      <c r="G7156" s="1" t="e">
        <f>IF(VALUE(F7156) = VALUE(RIGHT(Insights!$C$3, 4)), E7156, "")</f>
        <v>#VALUE!</v>
      </c>
      <c r="H7156" s="26" t="e">
        <f t="shared" si="1"/>
        <v>#VALUE!</v>
      </c>
      <c r="I7156" s="1" t="e">
        <f t="shared" si="2"/>
        <v>#VALUE!</v>
      </c>
    </row>
    <row r="7157" spans="1:9" ht="15.75" customHeight="1">
      <c r="A7157" s="26"/>
      <c r="B7157" s="2"/>
      <c r="C7157" s="26"/>
      <c r="D7157" s="26"/>
      <c r="F7157" s="85" t="str">
        <f t="shared" si="0"/>
        <v/>
      </c>
      <c r="G7157" s="1" t="e">
        <f>IF(VALUE(F7157) = VALUE(RIGHT(Insights!$C$3, 4)), E7157, "")</f>
        <v>#VALUE!</v>
      </c>
      <c r="H7157" s="26" t="e">
        <f t="shared" si="1"/>
        <v>#VALUE!</v>
      </c>
      <c r="I7157" s="1" t="e">
        <f t="shared" si="2"/>
        <v>#VALUE!</v>
      </c>
    </row>
    <row r="7158" spans="1:9" ht="15.75" customHeight="1">
      <c r="A7158" s="26"/>
      <c r="B7158" s="2"/>
      <c r="C7158" s="26"/>
      <c r="D7158" s="26"/>
      <c r="F7158" s="85" t="str">
        <f t="shared" si="0"/>
        <v/>
      </c>
      <c r="G7158" s="1" t="e">
        <f>IF(VALUE(F7158) = VALUE(RIGHT(Insights!$C$3, 4)), E7158, "")</f>
        <v>#VALUE!</v>
      </c>
      <c r="H7158" s="26" t="e">
        <f t="shared" si="1"/>
        <v>#VALUE!</v>
      </c>
      <c r="I7158" s="1" t="e">
        <f t="shared" si="2"/>
        <v>#VALUE!</v>
      </c>
    </row>
    <row r="7159" spans="1:9" ht="15.75" customHeight="1">
      <c r="A7159" s="26"/>
      <c r="B7159" s="2"/>
      <c r="C7159" s="26"/>
      <c r="D7159" s="26"/>
      <c r="F7159" s="85" t="str">
        <f t="shared" si="0"/>
        <v/>
      </c>
      <c r="G7159" s="1" t="e">
        <f>IF(VALUE(F7159) = VALUE(RIGHT(Insights!$C$3, 4)), E7159, "")</f>
        <v>#VALUE!</v>
      </c>
      <c r="H7159" s="26" t="e">
        <f t="shared" si="1"/>
        <v>#VALUE!</v>
      </c>
      <c r="I7159" s="1" t="e">
        <f t="shared" si="2"/>
        <v>#VALUE!</v>
      </c>
    </row>
    <row r="7160" spans="1:9" ht="15.75" customHeight="1">
      <c r="A7160" s="26"/>
      <c r="B7160" s="2"/>
      <c r="C7160" s="26"/>
      <c r="D7160" s="26"/>
      <c r="F7160" s="85" t="str">
        <f t="shared" si="0"/>
        <v/>
      </c>
      <c r="G7160" s="1" t="e">
        <f>IF(VALUE(F7160) = VALUE(RIGHT(Insights!$C$3, 4)), E7160, "")</f>
        <v>#VALUE!</v>
      </c>
      <c r="H7160" s="26" t="e">
        <f t="shared" si="1"/>
        <v>#VALUE!</v>
      </c>
      <c r="I7160" s="1" t="e">
        <f t="shared" si="2"/>
        <v>#VALUE!</v>
      </c>
    </row>
    <row r="7161" spans="1:9" ht="15.75" customHeight="1">
      <c r="A7161" s="26"/>
      <c r="B7161" s="2"/>
      <c r="C7161" s="26"/>
      <c r="D7161" s="26"/>
      <c r="F7161" s="85" t="str">
        <f t="shared" si="0"/>
        <v/>
      </c>
      <c r="G7161" s="1" t="e">
        <f>IF(VALUE(F7161) = VALUE(RIGHT(Insights!$C$3, 4)), E7161, "")</f>
        <v>#VALUE!</v>
      </c>
      <c r="H7161" s="26" t="e">
        <f t="shared" si="1"/>
        <v>#VALUE!</v>
      </c>
      <c r="I7161" s="1" t="e">
        <f t="shared" si="2"/>
        <v>#VALUE!</v>
      </c>
    </row>
    <row r="7162" spans="1:9" ht="15.75" customHeight="1">
      <c r="A7162" s="26"/>
      <c r="B7162" s="2"/>
      <c r="C7162" s="26"/>
      <c r="D7162" s="26"/>
      <c r="F7162" s="85" t="str">
        <f t="shared" si="0"/>
        <v/>
      </c>
      <c r="G7162" s="1" t="e">
        <f>IF(VALUE(F7162) = VALUE(RIGHT(Insights!$C$3, 4)), E7162, "")</f>
        <v>#VALUE!</v>
      </c>
      <c r="H7162" s="26" t="e">
        <f t="shared" si="1"/>
        <v>#VALUE!</v>
      </c>
      <c r="I7162" s="1" t="e">
        <f t="shared" si="2"/>
        <v>#VALUE!</v>
      </c>
    </row>
    <row r="7163" spans="1:9" ht="15.75" customHeight="1">
      <c r="A7163" s="26"/>
      <c r="B7163" s="2"/>
      <c r="C7163" s="26"/>
      <c r="D7163" s="26"/>
      <c r="F7163" s="85" t="str">
        <f t="shared" si="0"/>
        <v/>
      </c>
      <c r="G7163" s="1" t="e">
        <f>IF(VALUE(F7163) = VALUE(RIGHT(Insights!$C$3, 4)), E7163, "")</f>
        <v>#VALUE!</v>
      </c>
      <c r="H7163" s="26" t="e">
        <f t="shared" si="1"/>
        <v>#VALUE!</v>
      </c>
      <c r="I7163" s="1" t="e">
        <f t="shared" si="2"/>
        <v>#VALUE!</v>
      </c>
    </row>
    <row r="7164" spans="1:9" ht="15.75" customHeight="1">
      <c r="A7164" s="26"/>
      <c r="B7164" s="2"/>
      <c r="C7164" s="26"/>
      <c r="D7164" s="26"/>
      <c r="F7164" s="85" t="str">
        <f t="shared" si="0"/>
        <v/>
      </c>
      <c r="G7164" s="1" t="e">
        <f>IF(VALUE(F7164) = VALUE(RIGHT(Insights!$C$3, 4)), E7164, "")</f>
        <v>#VALUE!</v>
      </c>
      <c r="H7164" s="26" t="e">
        <f t="shared" si="1"/>
        <v>#VALUE!</v>
      </c>
      <c r="I7164" s="1" t="e">
        <f t="shared" si="2"/>
        <v>#VALUE!</v>
      </c>
    </row>
    <row r="7165" spans="1:9" ht="15.75" customHeight="1">
      <c r="A7165" s="26"/>
      <c r="B7165" s="2"/>
      <c r="C7165" s="26"/>
      <c r="D7165" s="26"/>
      <c r="F7165" s="85" t="str">
        <f t="shared" si="0"/>
        <v/>
      </c>
      <c r="G7165" s="1" t="e">
        <f>IF(VALUE(F7165) = VALUE(RIGHT(Insights!$C$3, 4)), E7165, "")</f>
        <v>#VALUE!</v>
      </c>
      <c r="H7165" s="26" t="e">
        <f t="shared" si="1"/>
        <v>#VALUE!</v>
      </c>
      <c r="I7165" s="1" t="e">
        <f t="shared" si="2"/>
        <v>#VALUE!</v>
      </c>
    </row>
    <row r="7166" spans="1:9" ht="15.75" customHeight="1">
      <c r="A7166" s="26"/>
      <c r="B7166" s="2"/>
      <c r="C7166" s="26"/>
      <c r="D7166" s="26"/>
      <c r="F7166" s="85" t="str">
        <f t="shared" si="0"/>
        <v/>
      </c>
      <c r="G7166" s="1" t="e">
        <f>IF(VALUE(F7166) = VALUE(RIGHT(Insights!$C$3, 4)), E7166, "")</f>
        <v>#VALUE!</v>
      </c>
      <c r="H7166" s="26" t="e">
        <f t="shared" si="1"/>
        <v>#VALUE!</v>
      </c>
      <c r="I7166" s="1" t="e">
        <f t="shared" si="2"/>
        <v>#VALUE!</v>
      </c>
    </row>
    <row r="7167" spans="1:9" ht="15.75" customHeight="1">
      <c r="A7167" s="26"/>
      <c r="B7167" s="2"/>
      <c r="C7167" s="26"/>
      <c r="D7167" s="26"/>
      <c r="F7167" s="85" t="str">
        <f t="shared" si="0"/>
        <v/>
      </c>
      <c r="G7167" s="1" t="e">
        <f>IF(VALUE(F7167) = VALUE(RIGHT(Insights!$C$3, 4)), E7167, "")</f>
        <v>#VALUE!</v>
      </c>
      <c r="H7167" s="26" t="e">
        <f t="shared" si="1"/>
        <v>#VALUE!</v>
      </c>
      <c r="I7167" s="1" t="e">
        <f t="shared" si="2"/>
        <v>#VALUE!</v>
      </c>
    </row>
    <row r="7168" spans="1:9" ht="15.75" customHeight="1">
      <c r="A7168" s="26"/>
      <c r="B7168" s="2"/>
      <c r="C7168" s="26"/>
      <c r="D7168" s="26"/>
      <c r="F7168" s="85" t="str">
        <f t="shared" si="0"/>
        <v/>
      </c>
      <c r="G7168" s="1" t="e">
        <f>IF(VALUE(F7168) = VALUE(RIGHT(Insights!$C$3, 4)), E7168, "")</f>
        <v>#VALUE!</v>
      </c>
      <c r="H7168" s="26" t="e">
        <f t="shared" si="1"/>
        <v>#VALUE!</v>
      </c>
      <c r="I7168" s="1" t="e">
        <f t="shared" si="2"/>
        <v>#VALUE!</v>
      </c>
    </row>
    <row r="7169" spans="1:9" ht="15.75" customHeight="1">
      <c r="A7169" s="26"/>
      <c r="B7169" s="2"/>
      <c r="C7169" s="26"/>
      <c r="D7169" s="26"/>
      <c r="F7169" s="85" t="str">
        <f t="shared" si="0"/>
        <v/>
      </c>
      <c r="G7169" s="1" t="e">
        <f>IF(VALUE(F7169) = VALUE(RIGHT(Insights!$C$3, 4)), E7169, "")</f>
        <v>#VALUE!</v>
      </c>
      <c r="H7169" s="26" t="e">
        <f t="shared" si="1"/>
        <v>#VALUE!</v>
      </c>
      <c r="I7169" s="1" t="e">
        <f t="shared" si="2"/>
        <v>#VALUE!</v>
      </c>
    </row>
    <row r="7170" spans="1:9" ht="15.75" customHeight="1">
      <c r="A7170" s="26"/>
      <c r="B7170" s="2"/>
      <c r="C7170" s="26"/>
      <c r="D7170" s="26"/>
      <c r="F7170" s="85" t="str">
        <f t="shared" si="0"/>
        <v/>
      </c>
      <c r="G7170" s="1" t="e">
        <f>IF(VALUE(F7170) = VALUE(RIGHT(Insights!$C$3, 4)), E7170, "")</f>
        <v>#VALUE!</v>
      </c>
      <c r="H7170" s="26" t="e">
        <f t="shared" si="1"/>
        <v>#VALUE!</v>
      </c>
      <c r="I7170" s="1" t="e">
        <f t="shared" si="2"/>
        <v>#VALUE!</v>
      </c>
    </row>
    <row r="7171" spans="1:9" ht="15.75" customHeight="1">
      <c r="A7171" s="26"/>
      <c r="B7171" s="2"/>
      <c r="C7171" s="26"/>
      <c r="D7171" s="26"/>
      <c r="F7171" s="85" t="str">
        <f t="shared" si="0"/>
        <v/>
      </c>
      <c r="G7171" s="1" t="e">
        <f>IF(VALUE(F7171) = VALUE(RIGHT(Insights!$C$3, 4)), E7171, "")</f>
        <v>#VALUE!</v>
      </c>
      <c r="H7171" s="26" t="e">
        <f t="shared" si="1"/>
        <v>#VALUE!</v>
      </c>
      <c r="I7171" s="1" t="e">
        <f t="shared" si="2"/>
        <v>#VALUE!</v>
      </c>
    </row>
    <row r="7172" spans="1:9" ht="15.75" customHeight="1">
      <c r="A7172" s="26"/>
      <c r="B7172" s="2"/>
      <c r="C7172" s="26"/>
      <c r="D7172" s="26"/>
      <c r="F7172" s="85" t="str">
        <f t="shared" si="0"/>
        <v/>
      </c>
      <c r="G7172" s="1" t="e">
        <f>IF(VALUE(F7172) = VALUE(RIGHT(Insights!$C$3, 4)), E7172, "")</f>
        <v>#VALUE!</v>
      </c>
      <c r="H7172" s="26" t="e">
        <f t="shared" si="1"/>
        <v>#VALUE!</v>
      </c>
      <c r="I7172" s="1" t="e">
        <f t="shared" si="2"/>
        <v>#VALUE!</v>
      </c>
    </row>
    <row r="7173" spans="1:9" ht="15.75" customHeight="1">
      <c r="A7173" s="26"/>
      <c r="B7173" s="2"/>
      <c r="C7173" s="26"/>
      <c r="D7173" s="26"/>
      <c r="F7173" s="85" t="str">
        <f t="shared" si="0"/>
        <v/>
      </c>
      <c r="G7173" s="1" t="e">
        <f>IF(VALUE(F7173) = VALUE(RIGHT(Insights!$C$3, 4)), E7173, "")</f>
        <v>#VALUE!</v>
      </c>
      <c r="H7173" s="26" t="e">
        <f t="shared" si="1"/>
        <v>#VALUE!</v>
      </c>
      <c r="I7173" s="1" t="e">
        <f t="shared" si="2"/>
        <v>#VALUE!</v>
      </c>
    </row>
    <row r="7174" spans="1:9" ht="15.75" customHeight="1">
      <c r="A7174" s="26"/>
      <c r="B7174" s="2"/>
      <c r="C7174" s="26"/>
      <c r="D7174" s="26"/>
      <c r="F7174" s="85" t="str">
        <f t="shared" si="0"/>
        <v/>
      </c>
      <c r="G7174" s="1" t="e">
        <f>IF(VALUE(F7174) = VALUE(RIGHT(Insights!$C$3, 4)), E7174, "")</f>
        <v>#VALUE!</v>
      </c>
      <c r="H7174" s="26" t="e">
        <f t="shared" si="1"/>
        <v>#VALUE!</v>
      </c>
      <c r="I7174" s="1" t="e">
        <f t="shared" si="2"/>
        <v>#VALUE!</v>
      </c>
    </row>
    <row r="7175" spans="1:9" ht="15.75" customHeight="1">
      <c r="A7175" s="26"/>
      <c r="B7175" s="2"/>
      <c r="C7175" s="26"/>
      <c r="D7175" s="26"/>
      <c r="F7175" s="85" t="str">
        <f t="shared" si="0"/>
        <v/>
      </c>
      <c r="G7175" s="1" t="e">
        <f>IF(VALUE(F7175) = VALUE(RIGHT(Insights!$C$3, 4)), E7175, "")</f>
        <v>#VALUE!</v>
      </c>
      <c r="H7175" s="26" t="e">
        <f t="shared" si="1"/>
        <v>#VALUE!</v>
      </c>
      <c r="I7175" s="1" t="e">
        <f t="shared" si="2"/>
        <v>#VALUE!</v>
      </c>
    </row>
    <row r="7176" spans="1:9" ht="15.75" customHeight="1">
      <c r="A7176" s="26"/>
      <c r="B7176" s="2"/>
      <c r="C7176" s="26"/>
      <c r="D7176" s="26"/>
      <c r="F7176" s="85" t="str">
        <f t="shared" si="0"/>
        <v/>
      </c>
      <c r="G7176" s="1" t="e">
        <f>IF(VALUE(F7176) = VALUE(RIGHT(Insights!$C$3, 4)), E7176, "")</f>
        <v>#VALUE!</v>
      </c>
      <c r="H7176" s="26" t="e">
        <f t="shared" si="1"/>
        <v>#VALUE!</v>
      </c>
      <c r="I7176" s="1" t="e">
        <f t="shared" si="2"/>
        <v>#VALUE!</v>
      </c>
    </row>
    <row r="7177" spans="1:9" ht="15.75" customHeight="1">
      <c r="A7177" s="26"/>
      <c r="B7177" s="2"/>
      <c r="C7177" s="26"/>
      <c r="D7177" s="26"/>
      <c r="F7177" s="85" t="str">
        <f t="shared" si="0"/>
        <v/>
      </c>
      <c r="G7177" s="1" t="e">
        <f>IF(VALUE(F7177) = VALUE(RIGHT(Insights!$C$3, 4)), E7177, "")</f>
        <v>#VALUE!</v>
      </c>
      <c r="H7177" s="26" t="e">
        <f t="shared" si="1"/>
        <v>#VALUE!</v>
      </c>
      <c r="I7177" s="1" t="e">
        <f t="shared" si="2"/>
        <v>#VALUE!</v>
      </c>
    </row>
    <row r="7178" spans="1:9" ht="15.75" customHeight="1">
      <c r="A7178" s="26"/>
      <c r="B7178" s="2"/>
      <c r="C7178" s="26"/>
      <c r="D7178" s="26"/>
      <c r="F7178" s="85" t="str">
        <f t="shared" si="0"/>
        <v/>
      </c>
      <c r="G7178" s="1" t="e">
        <f>IF(VALUE(F7178) = VALUE(RIGHT(Insights!$C$3, 4)), E7178, "")</f>
        <v>#VALUE!</v>
      </c>
      <c r="H7178" s="26" t="e">
        <f t="shared" si="1"/>
        <v>#VALUE!</v>
      </c>
      <c r="I7178" s="1" t="e">
        <f t="shared" si="2"/>
        <v>#VALUE!</v>
      </c>
    </row>
    <row r="7179" spans="1:9" ht="15.75" customHeight="1">
      <c r="A7179" s="26"/>
      <c r="B7179" s="2"/>
      <c r="C7179" s="26"/>
      <c r="D7179" s="26"/>
      <c r="F7179" s="85" t="str">
        <f t="shared" si="0"/>
        <v/>
      </c>
      <c r="G7179" s="1" t="e">
        <f>IF(VALUE(F7179) = VALUE(RIGHT(Insights!$C$3, 4)), E7179, "")</f>
        <v>#VALUE!</v>
      </c>
      <c r="H7179" s="26" t="e">
        <f t="shared" si="1"/>
        <v>#VALUE!</v>
      </c>
      <c r="I7179" s="1" t="e">
        <f t="shared" si="2"/>
        <v>#VALUE!</v>
      </c>
    </row>
    <row r="7180" spans="1:9" ht="15.75" customHeight="1">
      <c r="A7180" s="26"/>
      <c r="B7180" s="2"/>
      <c r="C7180" s="26"/>
      <c r="D7180" s="26"/>
      <c r="F7180" s="85" t="str">
        <f t="shared" si="0"/>
        <v/>
      </c>
      <c r="G7180" s="1" t="e">
        <f>IF(VALUE(F7180) = VALUE(RIGHT(Insights!$C$3, 4)), E7180, "")</f>
        <v>#VALUE!</v>
      </c>
      <c r="H7180" s="26" t="e">
        <f t="shared" si="1"/>
        <v>#VALUE!</v>
      </c>
      <c r="I7180" s="1" t="e">
        <f t="shared" si="2"/>
        <v>#VALUE!</v>
      </c>
    </row>
    <row r="7181" spans="1:9" ht="15.75" customHeight="1">
      <c r="A7181" s="26"/>
      <c r="B7181" s="2"/>
      <c r="C7181" s="26"/>
      <c r="D7181" s="26"/>
      <c r="F7181" s="85" t="str">
        <f t="shared" si="0"/>
        <v/>
      </c>
      <c r="G7181" s="1" t="e">
        <f>IF(VALUE(F7181) = VALUE(RIGHT(Insights!$C$3, 4)), E7181, "")</f>
        <v>#VALUE!</v>
      </c>
      <c r="H7181" s="26" t="e">
        <f t="shared" si="1"/>
        <v>#VALUE!</v>
      </c>
      <c r="I7181" s="1" t="e">
        <f t="shared" si="2"/>
        <v>#VALUE!</v>
      </c>
    </row>
    <row r="7182" spans="1:9" ht="15.75" customHeight="1">
      <c r="A7182" s="26"/>
      <c r="B7182" s="2"/>
      <c r="C7182" s="26"/>
      <c r="D7182" s="26"/>
      <c r="F7182" s="85" t="str">
        <f t="shared" si="0"/>
        <v/>
      </c>
      <c r="G7182" s="1" t="e">
        <f>IF(VALUE(F7182) = VALUE(RIGHT(Insights!$C$3, 4)), E7182, "")</f>
        <v>#VALUE!</v>
      </c>
      <c r="H7182" s="26" t="e">
        <f t="shared" si="1"/>
        <v>#VALUE!</v>
      </c>
      <c r="I7182" s="1" t="e">
        <f t="shared" si="2"/>
        <v>#VALUE!</v>
      </c>
    </row>
    <row r="7183" spans="1:9" ht="15.75" customHeight="1">
      <c r="A7183" s="26"/>
      <c r="B7183" s="2"/>
      <c r="C7183" s="26"/>
      <c r="D7183" s="26"/>
      <c r="F7183" s="85" t="str">
        <f t="shared" si="0"/>
        <v/>
      </c>
      <c r="G7183" s="1" t="e">
        <f>IF(VALUE(F7183) = VALUE(RIGHT(Insights!$C$3, 4)), E7183, "")</f>
        <v>#VALUE!</v>
      </c>
      <c r="H7183" s="26" t="e">
        <f t="shared" si="1"/>
        <v>#VALUE!</v>
      </c>
      <c r="I7183" s="1" t="e">
        <f t="shared" si="2"/>
        <v>#VALUE!</v>
      </c>
    </row>
    <row r="7184" spans="1:9" ht="15.75" customHeight="1">
      <c r="A7184" s="26"/>
      <c r="B7184" s="2"/>
      <c r="C7184" s="26"/>
      <c r="D7184" s="26"/>
      <c r="F7184" s="85" t="str">
        <f t="shared" si="0"/>
        <v/>
      </c>
      <c r="G7184" s="1" t="e">
        <f>IF(VALUE(F7184) = VALUE(RIGHT(Insights!$C$3, 4)), E7184, "")</f>
        <v>#VALUE!</v>
      </c>
      <c r="H7184" s="26" t="e">
        <f t="shared" si="1"/>
        <v>#VALUE!</v>
      </c>
      <c r="I7184" s="1" t="e">
        <f t="shared" si="2"/>
        <v>#VALUE!</v>
      </c>
    </row>
    <row r="7185" spans="1:9" ht="15.75" customHeight="1">
      <c r="A7185" s="26"/>
      <c r="B7185" s="2"/>
      <c r="C7185" s="26"/>
      <c r="D7185" s="26"/>
      <c r="F7185" s="85" t="str">
        <f t="shared" si="0"/>
        <v/>
      </c>
      <c r="G7185" s="1" t="e">
        <f>IF(VALUE(F7185) = VALUE(RIGHT(Insights!$C$3, 4)), E7185, "")</f>
        <v>#VALUE!</v>
      </c>
      <c r="H7185" s="26" t="e">
        <f t="shared" si="1"/>
        <v>#VALUE!</v>
      </c>
      <c r="I7185" s="1" t="e">
        <f t="shared" si="2"/>
        <v>#VALUE!</v>
      </c>
    </row>
    <row r="7186" spans="1:9" ht="15.75" customHeight="1">
      <c r="A7186" s="26"/>
      <c r="B7186" s="2"/>
      <c r="C7186" s="26"/>
      <c r="D7186" s="26"/>
      <c r="F7186" s="85" t="str">
        <f t="shared" si="0"/>
        <v/>
      </c>
      <c r="G7186" s="1" t="e">
        <f>IF(VALUE(F7186) = VALUE(RIGHT(Insights!$C$3, 4)), E7186, "")</f>
        <v>#VALUE!</v>
      </c>
      <c r="H7186" s="26" t="e">
        <f t="shared" si="1"/>
        <v>#VALUE!</v>
      </c>
      <c r="I7186" s="1" t="e">
        <f t="shared" si="2"/>
        <v>#VALUE!</v>
      </c>
    </row>
    <row r="7187" spans="1:9" ht="15.75" customHeight="1">
      <c r="A7187" s="26"/>
      <c r="B7187" s="2"/>
      <c r="C7187" s="26"/>
      <c r="D7187" s="26"/>
      <c r="F7187" s="85" t="str">
        <f t="shared" si="0"/>
        <v/>
      </c>
      <c r="G7187" s="1" t="e">
        <f>IF(VALUE(F7187) = VALUE(RIGHT(Insights!$C$3, 4)), E7187, "")</f>
        <v>#VALUE!</v>
      </c>
      <c r="H7187" s="26" t="e">
        <f t="shared" si="1"/>
        <v>#VALUE!</v>
      </c>
      <c r="I7187" s="1" t="e">
        <f t="shared" si="2"/>
        <v>#VALUE!</v>
      </c>
    </row>
    <row r="7188" spans="1:9" ht="15.75" customHeight="1">
      <c r="A7188" s="26"/>
      <c r="B7188" s="2"/>
      <c r="C7188" s="26"/>
      <c r="D7188" s="26"/>
      <c r="F7188" s="85" t="str">
        <f t="shared" si="0"/>
        <v/>
      </c>
      <c r="G7188" s="1" t="e">
        <f>IF(VALUE(F7188) = VALUE(RIGHT(Insights!$C$3, 4)), E7188, "")</f>
        <v>#VALUE!</v>
      </c>
      <c r="H7188" s="26" t="e">
        <f t="shared" si="1"/>
        <v>#VALUE!</v>
      </c>
      <c r="I7188" s="1" t="e">
        <f t="shared" si="2"/>
        <v>#VALUE!</v>
      </c>
    </row>
    <row r="7189" spans="1:9" ht="15.75" customHeight="1">
      <c r="A7189" s="26"/>
      <c r="B7189" s="2"/>
      <c r="C7189" s="26"/>
      <c r="D7189" s="26"/>
      <c r="F7189" s="85" t="str">
        <f t="shared" si="0"/>
        <v/>
      </c>
      <c r="G7189" s="1" t="e">
        <f>IF(VALUE(F7189) = VALUE(RIGHT(Insights!$C$3, 4)), E7189, "")</f>
        <v>#VALUE!</v>
      </c>
      <c r="H7189" s="26" t="e">
        <f t="shared" si="1"/>
        <v>#VALUE!</v>
      </c>
      <c r="I7189" s="1" t="e">
        <f t="shared" si="2"/>
        <v>#VALUE!</v>
      </c>
    </row>
    <row r="7190" spans="1:9" ht="15.75" customHeight="1">
      <c r="A7190" s="26"/>
      <c r="B7190" s="2"/>
      <c r="C7190" s="26"/>
      <c r="D7190" s="26"/>
      <c r="F7190" s="85" t="str">
        <f t="shared" si="0"/>
        <v/>
      </c>
      <c r="G7190" s="1" t="e">
        <f>IF(VALUE(F7190) = VALUE(RIGHT(Insights!$C$3, 4)), E7190, "")</f>
        <v>#VALUE!</v>
      </c>
      <c r="H7190" s="26" t="e">
        <f t="shared" si="1"/>
        <v>#VALUE!</v>
      </c>
      <c r="I7190" s="1" t="e">
        <f t="shared" si="2"/>
        <v>#VALUE!</v>
      </c>
    </row>
    <row r="7191" spans="1:9" ht="15.75" customHeight="1">
      <c r="A7191" s="26"/>
      <c r="B7191" s="2"/>
      <c r="C7191" s="26"/>
      <c r="D7191" s="26"/>
      <c r="F7191" s="85" t="str">
        <f t="shared" si="0"/>
        <v/>
      </c>
      <c r="G7191" s="1" t="e">
        <f>IF(VALUE(F7191) = VALUE(RIGHT(Insights!$C$3, 4)), E7191, "")</f>
        <v>#VALUE!</v>
      </c>
      <c r="H7191" s="26" t="e">
        <f t="shared" si="1"/>
        <v>#VALUE!</v>
      </c>
      <c r="I7191" s="1" t="e">
        <f t="shared" si="2"/>
        <v>#VALUE!</v>
      </c>
    </row>
    <row r="7192" spans="1:9" ht="15.75" customHeight="1">
      <c r="A7192" s="26"/>
      <c r="B7192" s="2"/>
      <c r="C7192" s="26"/>
      <c r="D7192" s="26"/>
      <c r="F7192" s="85" t="str">
        <f t="shared" si="0"/>
        <v/>
      </c>
      <c r="G7192" s="1" t="e">
        <f>IF(VALUE(F7192) = VALUE(RIGHT(Insights!$C$3, 4)), E7192, "")</f>
        <v>#VALUE!</v>
      </c>
      <c r="H7192" s="26" t="e">
        <f t="shared" si="1"/>
        <v>#VALUE!</v>
      </c>
      <c r="I7192" s="1" t="e">
        <f t="shared" si="2"/>
        <v>#VALUE!</v>
      </c>
    </row>
    <row r="7193" spans="1:9" ht="15.75" customHeight="1">
      <c r="A7193" s="26"/>
      <c r="B7193" s="2"/>
      <c r="C7193" s="26"/>
      <c r="D7193" s="26"/>
      <c r="F7193" s="85" t="str">
        <f t="shared" si="0"/>
        <v/>
      </c>
      <c r="G7193" s="1" t="e">
        <f>IF(VALUE(F7193) = VALUE(RIGHT(Insights!$C$3, 4)), E7193, "")</f>
        <v>#VALUE!</v>
      </c>
      <c r="H7193" s="26" t="e">
        <f t="shared" si="1"/>
        <v>#VALUE!</v>
      </c>
      <c r="I7193" s="1" t="e">
        <f t="shared" si="2"/>
        <v>#VALUE!</v>
      </c>
    </row>
    <row r="7194" spans="1:9" ht="15.75" customHeight="1">
      <c r="A7194" s="26"/>
      <c r="B7194" s="2"/>
      <c r="C7194" s="26"/>
      <c r="D7194" s="26"/>
      <c r="F7194" s="85" t="str">
        <f t="shared" si="0"/>
        <v/>
      </c>
      <c r="G7194" s="1" t="e">
        <f>IF(VALUE(F7194) = VALUE(RIGHT(Insights!$C$3, 4)), E7194, "")</f>
        <v>#VALUE!</v>
      </c>
      <c r="H7194" s="26" t="e">
        <f t="shared" si="1"/>
        <v>#VALUE!</v>
      </c>
      <c r="I7194" s="1" t="e">
        <f t="shared" si="2"/>
        <v>#VALUE!</v>
      </c>
    </row>
    <row r="7195" spans="1:9" ht="15.75" customHeight="1">
      <c r="A7195" s="26"/>
      <c r="B7195" s="2"/>
      <c r="C7195" s="26"/>
      <c r="D7195" s="26"/>
      <c r="F7195" s="85" t="str">
        <f t="shared" si="0"/>
        <v/>
      </c>
      <c r="G7195" s="1" t="e">
        <f>IF(VALUE(F7195) = VALUE(RIGHT(Insights!$C$3, 4)), E7195, "")</f>
        <v>#VALUE!</v>
      </c>
      <c r="H7195" s="26" t="e">
        <f t="shared" si="1"/>
        <v>#VALUE!</v>
      </c>
      <c r="I7195" s="1" t="e">
        <f t="shared" si="2"/>
        <v>#VALUE!</v>
      </c>
    </row>
    <row r="7196" spans="1:9" ht="15.75" customHeight="1">
      <c r="A7196" s="26"/>
      <c r="B7196" s="2"/>
      <c r="C7196" s="26"/>
      <c r="D7196" s="26"/>
      <c r="F7196" s="85" t="str">
        <f t="shared" si="0"/>
        <v/>
      </c>
      <c r="G7196" s="1" t="e">
        <f>IF(VALUE(F7196) = VALUE(RIGHT(Insights!$C$3, 4)), E7196, "")</f>
        <v>#VALUE!</v>
      </c>
      <c r="H7196" s="26" t="e">
        <f t="shared" si="1"/>
        <v>#VALUE!</v>
      </c>
      <c r="I7196" s="1" t="e">
        <f t="shared" si="2"/>
        <v>#VALUE!</v>
      </c>
    </row>
    <row r="7197" spans="1:9" ht="15.75" customHeight="1">
      <c r="A7197" s="26"/>
      <c r="B7197" s="2"/>
      <c r="C7197" s="26"/>
      <c r="D7197" s="26"/>
      <c r="F7197" s="85" t="str">
        <f t="shared" si="0"/>
        <v/>
      </c>
      <c r="G7197" s="1" t="e">
        <f>IF(VALUE(F7197) = VALUE(RIGHT(Insights!$C$3, 4)), E7197, "")</f>
        <v>#VALUE!</v>
      </c>
      <c r="H7197" s="26" t="e">
        <f t="shared" si="1"/>
        <v>#VALUE!</v>
      </c>
      <c r="I7197" s="1" t="e">
        <f t="shared" si="2"/>
        <v>#VALUE!</v>
      </c>
    </row>
    <row r="7198" spans="1:9" ht="15.75" customHeight="1">
      <c r="A7198" s="26"/>
      <c r="B7198" s="2"/>
      <c r="C7198" s="26"/>
      <c r="D7198" s="26"/>
      <c r="F7198" s="85" t="str">
        <f t="shared" si="0"/>
        <v/>
      </c>
      <c r="G7198" s="1" t="e">
        <f>IF(VALUE(F7198) = VALUE(RIGHT(Insights!$C$3, 4)), E7198, "")</f>
        <v>#VALUE!</v>
      </c>
      <c r="H7198" s="26" t="e">
        <f t="shared" si="1"/>
        <v>#VALUE!</v>
      </c>
      <c r="I7198" s="1" t="e">
        <f t="shared" si="2"/>
        <v>#VALUE!</v>
      </c>
    </row>
    <row r="7199" spans="1:9" ht="15.75" customHeight="1">
      <c r="A7199" s="26"/>
      <c r="B7199" s="2"/>
      <c r="C7199" s="26"/>
      <c r="D7199" s="26"/>
      <c r="F7199" s="85" t="str">
        <f t="shared" si="0"/>
        <v/>
      </c>
      <c r="G7199" s="1" t="e">
        <f>IF(VALUE(F7199) = VALUE(RIGHT(Insights!$C$3, 4)), E7199, "")</f>
        <v>#VALUE!</v>
      </c>
      <c r="H7199" s="26" t="e">
        <f t="shared" si="1"/>
        <v>#VALUE!</v>
      </c>
      <c r="I7199" s="1" t="e">
        <f t="shared" si="2"/>
        <v>#VALUE!</v>
      </c>
    </row>
    <row r="7200" spans="1:9" ht="15.75" customHeight="1">
      <c r="A7200" s="26"/>
      <c r="B7200" s="2"/>
      <c r="C7200" s="26"/>
      <c r="D7200" s="26"/>
      <c r="F7200" s="85" t="str">
        <f t="shared" si="0"/>
        <v/>
      </c>
      <c r="G7200" s="1" t="e">
        <f>IF(VALUE(F7200) = VALUE(RIGHT(Insights!$C$3, 4)), E7200, "")</f>
        <v>#VALUE!</v>
      </c>
      <c r="H7200" s="26" t="e">
        <f t="shared" si="1"/>
        <v>#VALUE!</v>
      </c>
      <c r="I7200" s="1" t="e">
        <f t="shared" si="2"/>
        <v>#VALUE!</v>
      </c>
    </row>
    <row r="7201" spans="1:9" ht="15.75" customHeight="1">
      <c r="A7201" s="26"/>
      <c r="B7201" s="2"/>
      <c r="C7201" s="26"/>
      <c r="D7201" s="26"/>
      <c r="F7201" s="85" t="str">
        <f t="shared" si="0"/>
        <v/>
      </c>
      <c r="G7201" s="1" t="e">
        <f>IF(VALUE(F7201) = VALUE(RIGHT(Insights!$C$3, 4)), E7201, "")</f>
        <v>#VALUE!</v>
      </c>
      <c r="H7201" s="26" t="e">
        <f t="shared" si="1"/>
        <v>#VALUE!</v>
      </c>
      <c r="I7201" s="1" t="e">
        <f t="shared" si="2"/>
        <v>#VALUE!</v>
      </c>
    </row>
    <row r="7202" spans="1:9" ht="15.75" customHeight="1">
      <c r="A7202" s="26"/>
      <c r="B7202" s="2"/>
      <c r="C7202" s="26"/>
      <c r="D7202" s="26"/>
      <c r="F7202" s="85" t="str">
        <f t="shared" si="0"/>
        <v/>
      </c>
      <c r="G7202" s="1" t="e">
        <f>IF(VALUE(F7202) = VALUE(RIGHT(Insights!$C$3, 4)), E7202, "")</f>
        <v>#VALUE!</v>
      </c>
      <c r="H7202" s="26" t="e">
        <f t="shared" si="1"/>
        <v>#VALUE!</v>
      </c>
      <c r="I7202" s="1" t="e">
        <f t="shared" si="2"/>
        <v>#VALUE!</v>
      </c>
    </row>
    <row r="7203" spans="1:9" ht="15.75" customHeight="1">
      <c r="A7203" s="26"/>
      <c r="B7203" s="2"/>
      <c r="C7203" s="26"/>
      <c r="D7203" s="26"/>
      <c r="F7203" s="85" t="str">
        <f t="shared" si="0"/>
        <v/>
      </c>
      <c r="G7203" s="1" t="e">
        <f>IF(VALUE(F7203) = VALUE(RIGHT(Insights!$C$3, 4)), E7203, "")</f>
        <v>#VALUE!</v>
      </c>
      <c r="H7203" s="26" t="e">
        <f t="shared" si="1"/>
        <v>#VALUE!</v>
      </c>
      <c r="I7203" s="1" t="e">
        <f t="shared" si="2"/>
        <v>#VALUE!</v>
      </c>
    </row>
    <row r="7204" spans="1:9" ht="15.75" customHeight="1">
      <c r="A7204" s="26"/>
      <c r="B7204" s="2"/>
      <c r="C7204" s="26"/>
      <c r="D7204" s="26"/>
      <c r="F7204" s="85" t="str">
        <f t="shared" si="0"/>
        <v/>
      </c>
      <c r="G7204" s="1" t="e">
        <f>IF(VALUE(F7204) = VALUE(RIGHT(Insights!$C$3, 4)), E7204, "")</f>
        <v>#VALUE!</v>
      </c>
      <c r="H7204" s="26" t="e">
        <f t="shared" si="1"/>
        <v>#VALUE!</v>
      </c>
      <c r="I7204" s="1" t="e">
        <f t="shared" si="2"/>
        <v>#VALUE!</v>
      </c>
    </row>
    <row r="7205" spans="1:9" ht="15.75" customHeight="1">
      <c r="A7205" s="26"/>
      <c r="B7205" s="2"/>
      <c r="C7205" s="26"/>
      <c r="D7205" s="26"/>
      <c r="F7205" s="85" t="str">
        <f t="shared" si="0"/>
        <v/>
      </c>
      <c r="G7205" s="1" t="e">
        <f>IF(VALUE(F7205) = VALUE(RIGHT(Insights!$C$3, 4)), E7205, "")</f>
        <v>#VALUE!</v>
      </c>
      <c r="H7205" s="26" t="e">
        <f t="shared" si="1"/>
        <v>#VALUE!</v>
      </c>
      <c r="I7205" s="1" t="e">
        <f t="shared" si="2"/>
        <v>#VALUE!</v>
      </c>
    </row>
    <row r="7206" spans="1:9" ht="15.75" customHeight="1">
      <c r="A7206" s="26"/>
      <c r="B7206" s="2"/>
      <c r="C7206" s="26"/>
      <c r="D7206" s="26"/>
      <c r="F7206" s="85" t="str">
        <f t="shared" si="0"/>
        <v/>
      </c>
      <c r="G7206" s="1" t="e">
        <f>IF(VALUE(F7206) = VALUE(RIGHT(Insights!$C$3, 4)), E7206, "")</f>
        <v>#VALUE!</v>
      </c>
      <c r="H7206" s="26" t="e">
        <f t="shared" si="1"/>
        <v>#VALUE!</v>
      </c>
      <c r="I7206" s="1" t="e">
        <f t="shared" si="2"/>
        <v>#VALUE!</v>
      </c>
    </row>
    <row r="7207" spans="1:9" ht="15.75" customHeight="1">
      <c r="A7207" s="26"/>
      <c r="B7207" s="2"/>
      <c r="C7207" s="26"/>
      <c r="D7207" s="26"/>
      <c r="F7207" s="85" t="str">
        <f t="shared" si="0"/>
        <v/>
      </c>
      <c r="G7207" s="1" t="e">
        <f>IF(VALUE(F7207) = VALUE(RIGHT(Insights!$C$3, 4)), E7207, "")</f>
        <v>#VALUE!</v>
      </c>
      <c r="H7207" s="26" t="e">
        <f t="shared" si="1"/>
        <v>#VALUE!</v>
      </c>
      <c r="I7207" s="1" t="e">
        <f t="shared" si="2"/>
        <v>#VALUE!</v>
      </c>
    </row>
    <row r="7208" spans="1:9" ht="15.75" customHeight="1">
      <c r="A7208" s="26"/>
      <c r="B7208" s="2"/>
      <c r="C7208" s="26"/>
      <c r="D7208" s="26"/>
      <c r="F7208" s="85" t="str">
        <f t="shared" si="0"/>
        <v/>
      </c>
      <c r="G7208" s="1" t="e">
        <f>IF(VALUE(F7208) = VALUE(RIGHT(Insights!$C$3, 4)), E7208, "")</f>
        <v>#VALUE!</v>
      </c>
      <c r="H7208" s="26" t="e">
        <f t="shared" si="1"/>
        <v>#VALUE!</v>
      </c>
      <c r="I7208" s="1" t="e">
        <f t="shared" si="2"/>
        <v>#VALUE!</v>
      </c>
    </row>
    <row r="7209" spans="1:9" ht="15.75" customHeight="1">
      <c r="A7209" s="26"/>
      <c r="B7209" s="2"/>
      <c r="C7209" s="26"/>
      <c r="D7209" s="26"/>
      <c r="F7209" s="85" t="str">
        <f t="shared" si="0"/>
        <v/>
      </c>
      <c r="G7209" s="1" t="e">
        <f>IF(VALUE(F7209) = VALUE(RIGHT(Insights!$C$3, 4)), E7209, "")</f>
        <v>#VALUE!</v>
      </c>
      <c r="H7209" s="26" t="e">
        <f t="shared" si="1"/>
        <v>#VALUE!</v>
      </c>
      <c r="I7209" s="1" t="e">
        <f t="shared" si="2"/>
        <v>#VALUE!</v>
      </c>
    </row>
    <row r="7210" spans="1:9" ht="15.75" customHeight="1">
      <c r="A7210" s="26"/>
      <c r="B7210" s="2"/>
      <c r="C7210" s="26"/>
      <c r="D7210" s="26"/>
      <c r="F7210" s="85" t="str">
        <f t="shared" si="0"/>
        <v/>
      </c>
      <c r="G7210" s="1" t="e">
        <f>IF(VALUE(F7210) = VALUE(RIGHT(Insights!$C$3, 4)), E7210, "")</f>
        <v>#VALUE!</v>
      </c>
      <c r="H7210" s="26" t="e">
        <f t="shared" si="1"/>
        <v>#VALUE!</v>
      </c>
      <c r="I7210" s="1" t="e">
        <f t="shared" si="2"/>
        <v>#VALUE!</v>
      </c>
    </row>
    <row r="7211" spans="1:9" ht="15.75" customHeight="1">
      <c r="A7211" s="26"/>
      <c r="B7211" s="2"/>
      <c r="C7211" s="26"/>
      <c r="D7211" s="26"/>
      <c r="F7211" s="85" t="str">
        <f t="shared" si="0"/>
        <v/>
      </c>
      <c r="G7211" s="1" t="e">
        <f>IF(VALUE(F7211) = VALUE(RIGHT(Insights!$C$3, 4)), E7211, "")</f>
        <v>#VALUE!</v>
      </c>
      <c r="H7211" s="26" t="e">
        <f t="shared" si="1"/>
        <v>#VALUE!</v>
      </c>
      <c r="I7211" s="1" t="e">
        <f t="shared" si="2"/>
        <v>#VALUE!</v>
      </c>
    </row>
    <row r="7212" spans="1:9" ht="15.75" customHeight="1">
      <c r="A7212" s="26"/>
      <c r="B7212" s="2"/>
      <c r="C7212" s="26"/>
      <c r="D7212" s="26"/>
      <c r="F7212" s="85" t="str">
        <f t="shared" si="0"/>
        <v/>
      </c>
      <c r="G7212" s="1" t="e">
        <f>IF(VALUE(F7212) = VALUE(RIGHT(Insights!$C$3, 4)), E7212, "")</f>
        <v>#VALUE!</v>
      </c>
      <c r="H7212" s="26" t="e">
        <f t="shared" si="1"/>
        <v>#VALUE!</v>
      </c>
      <c r="I7212" s="1" t="e">
        <f t="shared" si="2"/>
        <v>#VALUE!</v>
      </c>
    </row>
    <row r="7213" spans="1:9" ht="15.75" customHeight="1">
      <c r="A7213" s="26"/>
      <c r="B7213" s="2"/>
      <c r="C7213" s="26"/>
      <c r="D7213" s="26"/>
      <c r="F7213" s="85" t="str">
        <f t="shared" si="0"/>
        <v/>
      </c>
      <c r="G7213" s="1" t="e">
        <f>IF(VALUE(F7213) = VALUE(RIGHT(Insights!$C$3, 4)), E7213, "")</f>
        <v>#VALUE!</v>
      </c>
      <c r="H7213" s="26" t="e">
        <f t="shared" si="1"/>
        <v>#VALUE!</v>
      </c>
      <c r="I7213" s="1" t="e">
        <f t="shared" si="2"/>
        <v>#VALUE!</v>
      </c>
    </row>
    <row r="7214" spans="1:9" ht="15.75" customHeight="1">
      <c r="A7214" s="26"/>
      <c r="B7214" s="2"/>
      <c r="C7214" s="26"/>
      <c r="D7214" s="26"/>
      <c r="F7214" s="85" t="str">
        <f t="shared" si="0"/>
        <v/>
      </c>
      <c r="G7214" s="1" t="e">
        <f>IF(VALUE(F7214) = VALUE(RIGHT(Insights!$C$3, 4)), E7214, "")</f>
        <v>#VALUE!</v>
      </c>
      <c r="H7214" s="26" t="e">
        <f t="shared" si="1"/>
        <v>#VALUE!</v>
      </c>
      <c r="I7214" s="1" t="e">
        <f t="shared" si="2"/>
        <v>#VALUE!</v>
      </c>
    </row>
    <row r="7215" spans="1:9" ht="15.75" customHeight="1">
      <c r="A7215" s="26"/>
      <c r="B7215" s="2"/>
      <c r="C7215" s="26"/>
      <c r="D7215" s="26"/>
      <c r="F7215" s="85" t="str">
        <f t="shared" si="0"/>
        <v/>
      </c>
      <c r="G7215" s="1" t="e">
        <f>IF(VALUE(F7215) = VALUE(RIGHT(Insights!$C$3, 4)), E7215, "")</f>
        <v>#VALUE!</v>
      </c>
      <c r="H7215" s="26" t="e">
        <f t="shared" si="1"/>
        <v>#VALUE!</v>
      </c>
      <c r="I7215" s="1" t="e">
        <f t="shared" si="2"/>
        <v>#VALUE!</v>
      </c>
    </row>
    <row r="7216" spans="1:9" ht="15.75" customHeight="1">
      <c r="A7216" s="26"/>
      <c r="B7216" s="2"/>
      <c r="C7216" s="26"/>
      <c r="D7216" s="26"/>
      <c r="F7216" s="85" t="str">
        <f t="shared" si="0"/>
        <v/>
      </c>
      <c r="G7216" s="1" t="e">
        <f>IF(VALUE(F7216) = VALUE(RIGHT(Insights!$C$3, 4)), E7216, "")</f>
        <v>#VALUE!</v>
      </c>
      <c r="H7216" s="26" t="e">
        <f t="shared" si="1"/>
        <v>#VALUE!</v>
      </c>
      <c r="I7216" s="1" t="e">
        <f t="shared" si="2"/>
        <v>#VALUE!</v>
      </c>
    </row>
    <row r="7217" spans="1:9" ht="15.75" customHeight="1">
      <c r="A7217" s="26"/>
      <c r="B7217" s="2"/>
      <c r="C7217" s="26"/>
      <c r="D7217" s="26"/>
      <c r="F7217" s="85" t="str">
        <f t="shared" si="0"/>
        <v/>
      </c>
      <c r="G7217" s="1" t="e">
        <f>IF(VALUE(F7217) = VALUE(RIGHT(Insights!$C$3, 4)), E7217, "")</f>
        <v>#VALUE!</v>
      </c>
      <c r="H7217" s="26" t="e">
        <f t="shared" si="1"/>
        <v>#VALUE!</v>
      </c>
      <c r="I7217" s="1" t="e">
        <f t="shared" si="2"/>
        <v>#VALUE!</v>
      </c>
    </row>
    <row r="7218" spans="1:9" ht="15.75" customHeight="1">
      <c r="A7218" s="26"/>
      <c r="B7218" s="2"/>
      <c r="C7218" s="26"/>
      <c r="D7218" s="26"/>
      <c r="F7218" s="85" t="str">
        <f t="shared" si="0"/>
        <v/>
      </c>
      <c r="G7218" s="1" t="e">
        <f>IF(VALUE(F7218) = VALUE(RIGHT(Insights!$C$3, 4)), E7218, "")</f>
        <v>#VALUE!</v>
      </c>
      <c r="H7218" s="26" t="e">
        <f t="shared" si="1"/>
        <v>#VALUE!</v>
      </c>
      <c r="I7218" s="1" t="e">
        <f t="shared" si="2"/>
        <v>#VALUE!</v>
      </c>
    </row>
    <row r="7219" spans="1:9" ht="15.75" customHeight="1">
      <c r="A7219" s="26"/>
      <c r="B7219" s="2"/>
      <c r="C7219" s="26"/>
      <c r="D7219" s="26"/>
      <c r="F7219" s="85" t="str">
        <f t="shared" si="0"/>
        <v/>
      </c>
      <c r="G7219" s="1" t="e">
        <f>IF(VALUE(F7219) = VALUE(RIGHT(Insights!$C$3, 4)), E7219, "")</f>
        <v>#VALUE!</v>
      </c>
      <c r="H7219" s="26" t="e">
        <f t="shared" si="1"/>
        <v>#VALUE!</v>
      </c>
      <c r="I7219" s="1" t="e">
        <f t="shared" si="2"/>
        <v>#VALUE!</v>
      </c>
    </row>
    <row r="7220" spans="1:9" ht="15.75" customHeight="1">
      <c r="A7220" s="26"/>
      <c r="B7220" s="2"/>
      <c r="C7220" s="26"/>
      <c r="D7220" s="26"/>
      <c r="F7220" s="85" t="str">
        <f t="shared" si="0"/>
        <v/>
      </c>
      <c r="G7220" s="1" t="e">
        <f>IF(VALUE(F7220) = VALUE(RIGHT(Insights!$C$3, 4)), E7220, "")</f>
        <v>#VALUE!</v>
      </c>
      <c r="H7220" s="26" t="e">
        <f t="shared" si="1"/>
        <v>#VALUE!</v>
      </c>
      <c r="I7220" s="1" t="e">
        <f t="shared" si="2"/>
        <v>#VALUE!</v>
      </c>
    </row>
    <row r="7221" spans="1:9" ht="15.75" customHeight="1">
      <c r="A7221" s="26"/>
      <c r="B7221" s="2"/>
      <c r="C7221" s="26"/>
      <c r="D7221" s="26"/>
      <c r="F7221" s="85" t="str">
        <f t="shared" si="0"/>
        <v/>
      </c>
      <c r="G7221" s="1" t="e">
        <f>IF(VALUE(F7221) = VALUE(RIGHT(Insights!$C$3, 4)), E7221, "")</f>
        <v>#VALUE!</v>
      </c>
      <c r="H7221" s="26" t="e">
        <f t="shared" si="1"/>
        <v>#VALUE!</v>
      </c>
      <c r="I7221" s="1" t="e">
        <f t="shared" si="2"/>
        <v>#VALUE!</v>
      </c>
    </row>
    <row r="7222" spans="1:9" ht="15.75" customHeight="1">
      <c r="A7222" s="26"/>
      <c r="B7222" s="2"/>
      <c r="C7222" s="26"/>
      <c r="D7222" s="26"/>
      <c r="F7222" s="85" t="str">
        <f t="shared" si="0"/>
        <v/>
      </c>
      <c r="G7222" s="1" t="e">
        <f>IF(VALUE(F7222) = VALUE(RIGHT(Insights!$C$3, 4)), E7222, "")</f>
        <v>#VALUE!</v>
      </c>
      <c r="H7222" s="26" t="e">
        <f t="shared" si="1"/>
        <v>#VALUE!</v>
      </c>
      <c r="I7222" s="1" t="e">
        <f t="shared" si="2"/>
        <v>#VALUE!</v>
      </c>
    </row>
    <row r="7223" spans="1:9" ht="15.75" customHeight="1">
      <c r="A7223" s="26"/>
      <c r="B7223" s="2"/>
      <c r="C7223" s="26"/>
      <c r="D7223" s="26"/>
      <c r="F7223" s="85" t="str">
        <f t="shared" si="0"/>
        <v/>
      </c>
      <c r="G7223" s="1" t="e">
        <f>IF(VALUE(F7223) = VALUE(RIGHT(Insights!$C$3, 4)), E7223, "")</f>
        <v>#VALUE!</v>
      </c>
      <c r="H7223" s="26" t="e">
        <f t="shared" si="1"/>
        <v>#VALUE!</v>
      </c>
      <c r="I7223" s="1" t="e">
        <f t="shared" si="2"/>
        <v>#VALUE!</v>
      </c>
    </row>
    <row r="7224" spans="1:9" ht="15.75" customHeight="1">
      <c r="A7224" s="26"/>
      <c r="B7224" s="2"/>
      <c r="C7224" s="26"/>
      <c r="D7224" s="26"/>
      <c r="F7224" s="85" t="str">
        <f t="shared" si="0"/>
        <v/>
      </c>
      <c r="G7224" s="1" t="e">
        <f>IF(VALUE(F7224) = VALUE(RIGHT(Insights!$C$3, 4)), E7224, "")</f>
        <v>#VALUE!</v>
      </c>
      <c r="H7224" s="26" t="e">
        <f t="shared" si="1"/>
        <v>#VALUE!</v>
      </c>
      <c r="I7224" s="1" t="e">
        <f t="shared" si="2"/>
        <v>#VALUE!</v>
      </c>
    </row>
    <row r="7225" spans="1:9" ht="15.75" customHeight="1">
      <c r="A7225" s="26"/>
      <c r="B7225" s="2"/>
      <c r="C7225" s="26"/>
      <c r="D7225" s="26"/>
      <c r="F7225" s="85" t="str">
        <f t="shared" si="0"/>
        <v/>
      </c>
      <c r="G7225" s="1" t="e">
        <f>IF(VALUE(F7225) = VALUE(RIGHT(Insights!$C$3, 4)), E7225, "")</f>
        <v>#VALUE!</v>
      </c>
      <c r="H7225" s="26" t="e">
        <f t="shared" si="1"/>
        <v>#VALUE!</v>
      </c>
      <c r="I7225" s="1" t="e">
        <f t="shared" si="2"/>
        <v>#VALUE!</v>
      </c>
    </row>
    <row r="7226" spans="1:9" ht="15.75" customHeight="1">
      <c r="A7226" s="26"/>
      <c r="B7226" s="2"/>
      <c r="C7226" s="26"/>
      <c r="D7226" s="26"/>
      <c r="F7226" s="85" t="str">
        <f t="shared" si="0"/>
        <v/>
      </c>
      <c r="G7226" s="1" t="e">
        <f>IF(VALUE(F7226) = VALUE(RIGHT(Insights!$C$3, 4)), E7226, "")</f>
        <v>#VALUE!</v>
      </c>
      <c r="H7226" s="26" t="e">
        <f t="shared" si="1"/>
        <v>#VALUE!</v>
      </c>
      <c r="I7226" s="1" t="e">
        <f t="shared" si="2"/>
        <v>#VALUE!</v>
      </c>
    </row>
    <row r="7227" spans="1:9" ht="15.75" customHeight="1">
      <c r="A7227" s="26"/>
      <c r="B7227" s="2"/>
      <c r="C7227" s="26"/>
      <c r="D7227" s="26"/>
      <c r="F7227" s="85" t="str">
        <f t="shared" si="0"/>
        <v/>
      </c>
      <c r="G7227" s="1" t="e">
        <f>IF(VALUE(F7227) = VALUE(RIGHT(Insights!$C$3, 4)), E7227, "")</f>
        <v>#VALUE!</v>
      </c>
      <c r="H7227" s="26" t="e">
        <f t="shared" si="1"/>
        <v>#VALUE!</v>
      </c>
      <c r="I7227" s="1" t="e">
        <f t="shared" si="2"/>
        <v>#VALUE!</v>
      </c>
    </row>
    <row r="7228" spans="1:9" ht="15.75" customHeight="1">
      <c r="A7228" s="26"/>
      <c r="B7228" s="2"/>
      <c r="C7228" s="26"/>
      <c r="D7228" s="26"/>
      <c r="F7228" s="85" t="str">
        <f t="shared" si="0"/>
        <v/>
      </c>
      <c r="G7228" s="1" t="e">
        <f>IF(VALUE(F7228) = VALUE(RIGHT(Insights!$C$3, 4)), E7228, "")</f>
        <v>#VALUE!</v>
      </c>
      <c r="H7228" s="26" t="e">
        <f t="shared" si="1"/>
        <v>#VALUE!</v>
      </c>
      <c r="I7228" s="1" t="e">
        <f t="shared" si="2"/>
        <v>#VALUE!</v>
      </c>
    </row>
    <row r="7229" spans="1:9" ht="15.75" customHeight="1">
      <c r="A7229" s="26"/>
      <c r="B7229" s="2"/>
      <c r="C7229" s="26"/>
      <c r="D7229" s="26"/>
      <c r="F7229" s="85" t="str">
        <f t="shared" si="0"/>
        <v/>
      </c>
      <c r="G7229" s="1" t="e">
        <f>IF(VALUE(F7229) = VALUE(RIGHT(Insights!$C$3, 4)), E7229, "")</f>
        <v>#VALUE!</v>
      </c>
      <c r="H7229" s="26" t="e">
        <f t="shared" si="1"/>
        <v>#VALUE!</v>
      </c>
      <c r="I7229" s="1" t="e">
        <f t="shared" si="2"/>
        <v>#VALUE!</v>
      </c>
    </row>
    <row r="7230" spans="1:9" ht="15.75" customHeight="1">
      <c r="A7230" s="26"/>
      <c r="B7230" s="2"/>
      <c r="C7230" s="26"/>
      <c r="D7230" s="26"/>
      <c r="F7230" s="85" t="str">
        <f t="shared" si="0"/>
        <v/>
      </c>
      <c r="G7230" s="1" t="e">
        <f>IF(VALUE(F7230) = VALUE(RIGHT(Insights!$C$3, 4)), E7230, "")</f>
        <v>#VALUE!</v>
      </c>
      <c r="H7230" s="26" t="e">
        <f t="shared" si="1"/>
        <v>#VALUE!</v>
      </c>
      <c r="I7230" s="1" t="e">
        <f t="shared" si="2"/>
        <v>#VALUE!</v>
      </c>
    </row>
    <row r="7231" spans="1:9" ht="15.75" customHeight="1">
      <c r="A7231" s="26"/>
      <c r="B7231" s="2"/>
      <c r="C7231" s="26"/>
      <c r="D7231" s="26"/>
      <c r="F7231" s="85" t="str">
        <f t="shared" si="0"/>
        <v/>
      </c>
      <c r="G7231" s="1" t="e">
        <f>IF(VALUE(F7231) = VALUE(RIGHT(Insights!$C$3, 4)), E7231, "")</f>
        <v>#VALUE!</v>
      </c>
      <c r="H7231" s="26" t="e">
        <f t="shared" si="1"/>
        <v>#VALUE!</v>
      </c>
      <c r="I7231" s="1" t="e">
        <f t="shared" si="2"/>
        <v>#VALUE!</v>
      </c>
    </row>
    <row r="7232" spans="1:9" ht="15.75" customHeight="1">
      <c r="A7232" s="26"/>
      <c r="B7232" s="2"/>
      <c r="C7232" s="26"/>
      <c r="D7232" s="26"/>
      <c r="F7232" s="85" t="str">
        <f t="shared" si="0"/>
        <v/>
      </c>
      <c r="G7232" s="1" t="e">
        <f>IF(VALUE(F7232) = VALUE(RIGHT(Insights!$C$3, 4)), E7232, "")</f>
        <v>#VALUE!</v>
      </c>
      <c r="H7232" s="26" t="e">
        <f t="shared" si="1"/>
        <v>#VALUE!</v>
      </c>
      <c r="I7232" s="1" t="e">
        <f t="shared" si="2"/>
        <v>#VALUE!</v>
      </c>
    </row>
    <row r="7233" spans="1:9" ht="15.75" customHeight="1">
      <c r="A7233" s="26"/>
      <c r="B7233" s="2"/>
      <c r="C7233" s="26"/>
      <c r="D7233" s="26"/>
      <c r="F7233" s="85" t="str">
        <f t="shared" si="0"/>
        <v/>
      </c>
      <c r="G7233" s="1" t="e">
        <f>IF(VALUE(F7233) = VALUE(RIGHT(Insights!$C$3, 4)), E7233, "")</f>
        <v>#VALUE!</v>
      </c>
      <c r="H7233" s="26" t="e">
        <f t="shared" si="1"/>
        <v>#VALUE!</v>
      </c>
      <c r="I7233" s="1" t="e">
        <f t="shared" si="2"/>
        <v>#VALUE!</v>
      </c>
    </row>
    <row r="7234" spans="1:9" ht="15.75" customHeight="1">
      <c r="A7234" s="26"/>
      <c r="B7234" s="2"/>
      <c r="C7234" s="26"/>
      <c r="D7234" s="26"/>
      <c r="F7234" s="85" t="str">
        <f t="shared" si="0"/>
        <v/>
      </c>
      <c r="G7234" s="1" t="e">
        <f>IF(VALUE(F7234) = VALUE(RIGHT(Insights!$C$3, 4)), E7234, "")</f>
        <v>#VALUE!</v>
      </c>
      <c r="H7234" s="26" t="e">
        <f t="shared" si="1"/>
        <v>#VALUE!</v>
      </c>
      <c r="I7234" s="1" t="e">
        <f t="shared" si="2"/>
        <v>#VALUE!</v>
      </c>
    </row>
    <row r="7235" spans="1:9" ht="15.75" customHeight="1">
      <c r="A7235" s="26"/>
      <c r="B7235" s="2"/>
      <c r="C7235" s="26"/>
      <c r="D7235" s="26"/>
      <c r="F7235" s="85" t="str">
        <f t="shared" si="0"/>
        <v/>
      </c>
      <c r="G7235" s="1" t="e">
        <f>IF(VALUE(F7235) = VALUE(RIGHT(Insights!$C$3, 4)), E7235, "")</f>
        <v>#VALUE!</v>
      </c>
      <c r="H7235" s="26" t="e">
        <f t="shared" si="1"/>
        <v>#VALUE!</v>
      </c>
      <c r="I7235" s="1" t="e">
        <f t="shared" si="2"/>
        <v>#VALUE!</v>
      </c>
    </row>
    <row r="7236" spans="1:9" ht="15.75" customHeight="1">
      <c r="A7236" s="26"/>
      <c r="B7236" s="2"/>
      <c r="C7236" s="26"/>
      <c r="D7236" s="26"/>
      <c r="F7236" s="85" t="str">
        <f t="shared" si="0"/>
        <v/>
      </c>
      <c r="G7236" s="1" t="e">
        <f>IF(VALUE(F7236) = VALUE(RIGHT(Insights!$C$3, 4)), E7236, "")</f>
        <v>#VALUE!</v>
      </c>
      <c r="H7236" s="26" t="e">
        <f t="shared" si="1"/>
        <v>#VALUE!</v>
      </c>
      <c r="I7236" s="1" t="e">
        <f t="shared" si="2"/>
        <v>#VALUE!</v>
      </c>
    </row>
    <row r="7237" spans="1:9" ht="15.75" customHeight="1">
      <c r="A7237" s="26"/>
      <c r="B7237" s="2"/>
      <c r="C7237" s="26"/>
      <c r="D7237" s="26"/>
      <c r="F7237" s="85" t="str">
        <f t="shared" si="0"/>
        <v/>
      </c>
      <c r="G7237" s="1" t="e">
        <f>IF(VALUE(F7237) = VALUE(RIGHT(Insights!$C$3, 4)), E7237, "")</f>
        <v>#VALUE!</v>
      </c>
      <c r="H7237" s="26" t="e">
        <f t="shared" si="1"/>
        <v>#VALUE!</v>
      </c>
      <c r="I7237" s="1" t="e">
        <f t="shared" si="2"/>
        <v>#VALUE!</v>
      </c>
    </row>
    <row r="7238" spans="1:9" ht="15.75" customHeight="1">
      <c r="A7238" s="26"/>
      <c r="B7238" s="2"/>
      <c r="C7238" s="26"/>
      <c r="D7238" s="26"/>
      <c r="F7238" s="85" t="str">
        <f t="shared" si="0"/>
        <v/>
      </c>
      <c r="G7238" s="1" t="e">
        <f>IF(VALUE(F7238) = VALUE(RIGHT(Insights!$C$3, 4)), E7238, "")</f>
        <v>#VALUE!</v>
      </c>
      <c r="H7238" s="26" t="e">
        <f t="shared" si="1"/>
        <v>#VALUE!</v>
      </c>
      <c r="I7238" s="1" t="e">
        <f t="shared" si="2"/>
        <v>#VALUE!</v>
      </c>
    </row>
    <row r="7239" spans="1:9" ht="15.75" customHeight="1">
      <c r="A7239" s="26"/>
      <c r="B7239" s="2"/>
      <c r="C7239" s="26"/>
      <c r="D7239" s="26"/>
      <c r="F7239" s="85" t="str">
        <f t="shared" si="0"/>
        <v/>
      </c>
      <c r="G7239" s="1" t="e">
        <f>IF(VALUE(F7239) = VALUE(RIGHT(Insights!$C$3, 4)), E7239, "")</f>
        <v>#VALUE!</v>
      </c>
      <c r="H7239" s="26" t="e">
        <f t="shared" si="1"/>
        <v>#VALUE!</v>
      </c>
      <c r="I7239" s="1" t="e">
        <f t="shared" si="2"/>
        <v>#VALUE!</v>
      </c>
    </row>
    <row r="7240" spans="1:9" ht="15.75" customHeight="1">
      <c r="A7240" s="26"/>
      <c r="B7240" s="2"/>
      <c r="C7240" s="26"/>
      <c r="D7240" s="26"/>
      <c r="F7240" s="85" t="str">
        <f t="shared" si="0"/>
        <v/>
      </c>
      <c r="G7240" s="1" t="e">
        <f>IF(VALUE(F7240) = VALUE(RIGHT(Insights!$C$3, 4)), E7240, "")</f>
        <v>#VALUE!</v>
      </c>
      <c r="H7240" s="26" t="e">
        <f t="shared" si="1"/>
        <v>#VALUE!</v>
      </c>
      <c r="I7240" s="1" t="e">
        <f t="shared" si="2"/>
        <v>#VALUE!</v>
      </c>
    </row>
    <row r="7241" spans="1:9" ht="15.75" customHeight="1">
      <c r="A7241" s="26"/>
      <c r="B7241" s="2"/>
      <c r="C7241" s="26"/>
      <c r="D7241" s="26"/>
      <c r="F7241" s="85" t="str">
        <f t="shared" si="0"/>
        <v/>
      </c>
      <c r="G7241" s="1" t="e">
        <f>IF(VALUE(F7241) = VALUE(RIGHT(Insights!$C$3, 4)), E7241, "")</f>
        <v>#VALUE!</v>
      </c>
      <c r="H7241" s="26" t="e">
        <f t="shared" si="1"/>
        <v>#VALUE!</v>
      </c>
      <c r="I7241" s="1" t="e">
        <f t="shared" si="2"/>
        <v>#VALUE!</v>
      </c>
    </row>
    <row r="7242" spans="1:9" ht="15.75" customHeight="1">
      <c r="A7242" s="26"/>
      <c r="B7242" s="2"/>
      <c r="C7242" s="26"/>
      <c r="D7242" s="26"/>
      <c r="F7242" s="85" t="str">
        <f t="shared" si="0"/>
        <v/>
      </c>
      <c r="G7242" s="1" t="e">
        <f>IF(VALUE(F7242) = VALUE(RIGHT(Insights!$C$3, 4)), E7242, "")</f>
        <v>#VALUE!</v>
      </c>
      <c r="H7242" s="26" t="e">
        <f t="shared" si="1"/>
        <v>#VALUE!</v>
      </c>
      <c r="I7242" s="1" t="e">
        <f t="shared" si="2"/>
        <v>#VALUE!</v>
      </c>
    </row>
    <row r="7243" spans="1:9" ht="15.75" customHeight="1">
      <c r="A7243" s="26"/>
      <c r="B7243" s="2"/>
      <c r="C7243" s="26"/>
      <c r="D7243" s="26"/>
      <c r="F7243" s="85" t="str">
        <f t="shared" si="0"/>
        <v/>
      </c>
      <c r="G7243" s="1" t="e">
        <f>IF(VALUE(F7243) = VALUE(RIGHT(Insights!$C$3, 4)), E7243, "")</f>
        <v>#VALUE!</v>
      </c>
      <c r="H7243" s="26" t="e">
        <f t="shared" si="1"/>
        <v>#VALUE!</v>
      </c>
      <c r="I7243" s="1" t="e">
        <f t="shared" si="2"/>
        <v>#VALUE!</v>
      </c>
    </row>
    <row r="7244" spans="1:9" ht="15.75" customHeight="1">
      <c r="A7244" s="26"/>
      <c r="B7244" s="2"/>
      <c r="C7244" s="26"/>
      <c r="D7244" s="26"/>
      <c r="F7244" s="85" t="str">
        <f t="shared" si="0"/>
        <v/>
      </c>
      <c r="G7244" s="1" t="e">
        <f>IF(VALUE(F7244) = VALUE(RIGHT(Insights!$C$3, 4)), E7244, "")</f>
        <v>#VALUE!</v>
      </c>
      <c r="H7244" s="26" t="e">
        <f t="shared" si="1"/>
        <v>#VALUE!</v>
      </c>
      <c r="I7244" s="1" t="e">
        <f t="shared" si="2"/>
        <v>#VALUE!</v>
      </c>
    </row>
    <row r="7245" spans="1:9" ht="15.75" customHeight="1">
      <c r="A7245" s="26"/>
      <c r="B7245" s="2"/>
      <c r="C7245" s="26"/>
      <c r="D7245" s="26"/>
      <c r="F7245" s="85" t="str">
        <f t="shared" si="0"/>
        <v/>
      </c>
      <c r="G7245" s="1" t="e">
        <f>IF(VALUE(F7245) = VALUE(RIGHT(Insights!$C$3, 4)), E7245, "")</f>
        <v>#VALUE!</v>
      </c>
      <c r="H7245" s="26" t="e">
        <f t="shared" si="1"/>
        <v>#VALUE!</v>
      </c>
      <c r="I7245" s="1" t="e">
        <f t="shared" si="2"/>
        <v>#VALUE!</v>
      </c>
    </row>
    <row r="7246" spans="1:9" ht="15.75" customHeight="1">
      <c r="A7246" s="26"/>
      <c r="B7246" s="2"/>
      <c r="C7246" s="26"/>
      <c r="D7246" s="26"/>
      <c r="F7246" s="85" t="str">
        <f t="shared" si="0"/>
        <v/>
      </c>
      <c r="G7246" s="1" t="e">
        <f>IF(VALUE(F7246) = VALUE(RIGHT(Insights!$C$3, 4)), E7246, "")</f>
        <v>#VALUE!</v>
      </c>
      <c r="H7246" s="26" t="e">
        <f t="shared" si="1"/>
        <v>#VALUE!</v>
      </c>
      <c r="I7246" s="1" t="e">
        <f t="shared" si="2"/>
        <v>#VALUE!</v>
      </c>
    </row>
    <row r="7247" spans="1:9" ht="15.75" customHeight="1">
      <c r="A7247" s="26"/>
      <c r="B7247" s="2"/>
      <c r="C7247" s="26"/>
      <c r="D7247" s="26"/>
      <c r="F7247" s="85" t="str">
        <f t="shared" si="0"/>
        <v/>
      </c>
      <c r="G7247" s="1" t="e">
        <f>IF(VALUE(F7247) = VALUE(RIGHT(Insights!$C$3, 4)), E7247, "")</f>
        <v>#VALUE!</v>
      </c>
      <c r="H7247" s="26" t="e">
        <f t="shared" si="1"/>
        <v>#VALUE!</v>
      </c>
      <c r="I7247" s="1" t="e">
        <f t="shared" si="2"/>
        <v>#VALUE!</v>
      </c>
    </row>
    <row r="7248" spans="1:9" ht="15.75" customHeight="1">
      <c r="A7248" s="26"/>
      <c r="B7248" s="2"/>
      <c r="C7248" s="26"/>
      <c r="D7248" s="26"/>
      <c r="F7248" s="85" t="str">
        <f t="shared" si="0"/>
        <v/>
      </c>
      <c r="G7248" s="1" t="e">
        <f>IF(VALUE(F7248) = VALUE(RIGHT(Insights!$C$3, 4)), E7248, "")</f>
        <v>#VALUE!</v>
      </c>
      <c r="H7248" s="26" t="e">
        <f t="shared" si="1"/>
        <v>#VALUE!</v>
      </c>
      <c r="I7248" s="1" t="e">
        <f t="shared" si="2"/>
        <v>#VALUE!</v>
      </c>
    </row>
    <row r="7249" spans="1:9" ht="15.75" customHeight="1">
      <c r="A7249" s="26"/>
      <c r="B7249" s="2"/>
      <c r="C7249" s="26"/>
      <c r="D7249" s="26"/>
      <c r="F7249" s="85" t="str">
        <f t="shared" si="0"/>
        <v/>
      </c>
      <c r="G7249" s="1" t="e">
        <f>IF(VALUE(F7249) = VALUE(RIGHT(Insights!$C$3, 4)), E7249, "")</f>
        <v>#VALUE!</v>
      </c>
      <c r="H7249" s="26" t="e">
        <f t="shared" si="1"/>
        <v>#VALUE!</v>
      </c>
      <c r="I7249" s="1" t="e">
        <f t="shared" si="2"/>
        <v>#VALUE!</v>
      </c>
    </row>
    <row r="7250" spans="1:9" ht="15.75" customHeight="1">
      <c r="A7250" s="26"/>
      <c r="B7250" s="2"/>
      <c r="C7250" s="26"/>
      <c r="D7250" s="26"/>
      <c r="F7250" s="85" t="str">
        <f t="shared" si="0"/>
        <v/>
      </c>
      <c r="G7250" s="1" t="e">
        <f>IF(VALUE(F7250) = VALUE(RIGHT(Insights!$C$3, 4)), E7250, "")</f>
        <v>#VALUE!</v>
      </c>
      <c r="H7250" s="26" t="e">
        <f t="shared" si="1"/>
        <v>#VALUE!</v>
      </c>
      <c r="I7250" s="1" t="e">
        <f t="shared" si="2"/>
        <v>#VALUE!</v>
      </c>
    </row>
    <row r="7251" spans="1:9" ht="15.75" customHeight="1">
      <c r="A7251" s="26"/>
      <c r="B7251" s="2"/>
      <c r="C7251" s="26"/>
      <c r="D7251" s="26"/>
      <c r="F7251" s="85" t="str">
        <f t="shared" si="0"/>
        <v/>
      </c>
      <c r="G7251" s="1" t="e">
        <f>IF(VALUE(F7251) = VALUE(RIGHT(Insights!$C$3, 4)), E7251, "")</f>
        <v>#VALUE!</v>
      </c>
      <c r="H7251" s="26" t="e">
        <f t="shared" si="1"/>
        <v>#VALUE!</v>
      </c>
      <c r="I7251" s="1" t="e">
        <f t="shared" si="2"/>
        <v>#VALUE!</v>
      </c>
    </row>
    <row r="7252" spans="1:9" ht="15.75" customHeight="1">
      <c r="A7252" s="26"/>
      <c r="B7252" s="2"/>
      <c r="C7252" s="26"/>
      <c r="D7252" s="26"/>
      <c r="F7252" s="85" t="str">
        <f t="shared" si="0"/>
        <v/>
      </c>
      <c r="G7252" s="1" t="e">
        <f>IF(VALUE(F7252) = VALUE(RIGHT(Insights!$C$3, 4)), E7252, "")</f>
        <v>#VALUE!</v>
      </c>
      <c r="H7252" s="26" t="e">
        <f t="shared" si="1"/>
        <v>#VALUE!</v>
      </c>
      <c r="I7252" s="1" t="e">
        <f t="shared" si="2"/>
        <v>#VALUE!</v>
      </c>
    </row>
    <row r="7253" spans="1:9" ht="15.75" customHeight="1">
      <c r="A7253" s="26"/>
      <c r="B7253" s="2"/>
      <c r="C7253" s="26"/>
      <c r="D7253" s="26"/>
      <c r="F7253" s="85" t="str">
        <f t="shared" si="0"/>
        <v/>
      </c>
      <c r="G7253" s="1" t="e">
        <f>IF(VALUE(F7253) = VALUE(RIGHT(Insights!$C$3, 4)), E7253, "")</f>
        <v>#VALUE!</v>
      </c>
      <c r="H7253" s="26" t="e">
        <f t="shared" si="1"/>
        <v>#VALUE!</v>
      </c>
      <c r="I7253" s="1" t="e">
        <f t="shared" si="2"/>
        <v>#VALUE!</v>
      </c>
    </row>
    <row r="7254" spans="1:9" ht="15.75" customHeight="1">
      <c r="A7254" s="26"/>
      <c r="B7254" s="2"/>
      <c r="C7254" s="26"/>
      <c r="D7254" s="26"/>
      <c r="F7254" s="85" t="str">
        <f t="shared" si="0"/>
        <v/>
      </c>
      <c r="G7254" s="1" t="e">
        <f>IF(VALUE(F7254) = VALUE(RIGHT(Insights!$C$3, 4)), E7254, "")</f>
        <v>#VALUE!</v>
      </c>
      <c r="H7254" s="26" t="e">
        <f t="shared" si="1"/>
        <v>#VALUE!</v>
      </c>
      <c r="I7254" s="1" t="e">
        <f t="shared" si="2"/>
        <v>#VALUE!</v>
      </c>
    </row>
    <row r="7255" spans="1:9" ht="15.75" customHeight="1">
      <c r="A7255" s="26"/>
      <c r="B7255" s="2"/>
      <c r="C7255" s="26"/>
      <c r="D7255" s="26"/>
      <c r="F7255" s="85" t="str">
        <f t="shared" si="0"/>
        <v/>
      </c>
      <c r="G7255" s="1" t="e">
        <f>IF(VALUE(F7255) = VALUE(RIGHT(Insights!$C$3, 4)), E7255, "")</f>
        <v>#VALUE!</v>
      </c>
      <c r="H7255" s="26" t="e">
        <f t="shared" si="1"/>
        <v>#VALUE!</v>
      </c>
      <c r="I7255" s="1" t="e">
        <f t="shared" si="2"/>
        <v>#VALUE!</v>
      </c>
    </row>
    <row r="7256" spans="1:9" ht="15.75" customHeight="1">
      <c r="A7256" s="26"/>
      <c r="B7256" s="2"/>
      <c r="C7256" s="26"/>
      <c r="D7256" s="26"/>
      <c r="F7256" s="85" t="str">
        <f t="shared" si="0"/>
        <v/>
      </c>
      <c r="G7256" s="1" t="e">
        <f>IF(VALUE(F7256) = VALUE(RIGHT(Insights!$C$3, 4)), E7256, "")</f>
        <v>#VALUE!</v>
      </c>
      <c r="H7256" s="26" t="e">
        <f t="shared" si="1"/>
        <v>#VALUE!</v>
      </c>
      <c r="I7256" s="1" t="e">
        <f t="shared" si="2"/>
        <v>#VALUE!</v>
      </c>
    </row>
    <row r="7257" spans="1:9" ht="15.75" customHeight="1">
      <c r="A7257" s="26"/>
      <c r="B7257" s="2"/>
      <c r="C7257" s="26"/>
      <c r="D7257" s="26"/>
      <c r="F7257" s="85" t="str">
        <f t="shared" si="0"/>
        <v/>
      </c>
      <c r="G7257" s="1" t="e">
        <f>IF(VALUE(F7257) = VALUE(RIGHT(Insights!$C$3, 4)), E7257, "")</f>
        <v>#VALUE!</v>
      </c>
      <c r="H7257" s="26" t="e">
        <f t="shared" si="1"/>
        <v>#VALUE!</v>
      </c>
      <c r="I7257" s="1" t="e">
        <f t="shared" si="2"/>
        <v>#VALUE!</v>
      </c>
    </row>
    <row r="7258" spans="1:9" ht="15.75" customHeight="1">
      <c r="A7258" s="26"/>
      <c r="B7258" s="2"/>
      <c r="C7258" s="26"/>
      <c r="D7258" s="26"/>
      <c r="F7258" s="85" t="str">
        <f t="shared" si="0"/>
        <v/>
      </c>
      <c r="G7258" s="1" t="e">
        <f>IF(VALUE(F7258) = VALUE(RIGHT(Insights!$C$3, 4)), E7258, "")</f>
        <v>#VALUE!</v>
      </c>
      <c r="H7258" s="26" t="e">
        <f t="shared" si="1"/>
        <v>#VALUE!</v>
      </c>
      <c r="I7258" s="1" t="e">
        <f t="shared" si="2"/>
        <v>#VALUE!</v>
      </c>
    </row>
    <row r="7259" spans="1:9" ht="15.75" customHeight="1">
      <c r="A7259" s="26"/>
      <c r="B7259" s="2"/>
      <c r="C7259" s="26"/>
      <c r="D7259" s="26"/>
      <c r="F7259" s="85" t="str">
        <f t="shared" si="0"/>
        <v/>
      </c>
      <c r="G7259" s="1" t="e">
        <f>IF(VALUE(F7259) = VALUE(RIGHT(Insights!$C$3, 4)), E7259, "")</f>
        <v>#VALUE!</v>
      </c>
      <c r="H7259" s="26" t="e">
        <f t="shared" si="1"/>
        <v>#VALUE!</v>
      </c>
      <c r="I7259" s="1" t="e">
        <f t="shared" si="2"/>
        <v>#VALUE!</v>
      </c>
    </row>
    <row r="7260" spans="1:9" ht="15.75" customHeight="1">
      <c r="A7260" s="26"/>
      <c r="B7260" s="2"/>
      <c r="C7260" s="26"/>
      <c r="D7260" s="26"/>
      <c r="F7260" s="85" t="str">
        <f t="shared" si="0"/>
        <v/>
      </c>
      <c r="G7260" s="1" t="e">
        <f>IF(VALUE(F7260) = VALUE(RIGHT(Insights!$C$3, 4)), E7260, "")</f>
        <v>#VALUE!</v>
      </c>
      <c r="H7260" s="26" t="e">
        <f t="shared" si="1"/>
        <v>#VALUE!</v>
      </c>
      <c r="I7260" s="1" t="e">
        <f t="shared" si="2"/>
        <v>#VALUE!</v>
      </c>
    </row>
    <row r="7261" spans="1:9" ht="15.75" customHeight="1">
      <c r="A7261" s="26"/>
      <c r="B7261" s="2"/>
      <c r="C7261" s="26"/>
      <c r="D7261" s="26"/>
      <c r="F7261" s="85" t="str">
        <f t="shared" si="0"/>
        <v/>
      </c>
      <c r="G7261" s="1" t="e">
        <f>IF(VALUE(F7261) = VALUE(RIGHT(Insights!$C$3, 4)), E7261, "")</f>
        <v>#VALUE!</v>
      </c>
      <c r="H7261" s="26" t="e">
        <f t="shared" si="1"/>
        <v>#VALUE!</v>
      </c>
      <c r="I7261" s="1" t="e">
        <f t="shared" si="2"/>
        <v>#VALUE!</v>
      </c>
    </row>
    <row r="7262" spans="1:9" ht="15.75" customHeight="1">
      <c r="A7262" s="26"/>
      <c r="B7262" s="2"/>
      <c r="C7262" s="26"/>
      <c r="D7262" s="26"/>
      <c r="F7262" s="85" t="str">
        <f t="shared" si="0"/>
        <v/>
      </c>
      <c r="G7262" s="1" t="e">
        <f>IF(VALUE(F7262) = VALUE(RIGHT(Insights!$C$3, 4)), E7262, "")</f>
        <v>#VALUE!</v>
      </c>
      <c r="H7262" s="26" t="e">
        <f t="shared" si="1"/>
        <v>#VALUE!</v>
      </c>
      <c r="I7262" s="1" t="e">
        <f t="shared" si="2"/>
        <v>#VALUE!</v>
      </c>
    </row>
    <row r="7263" spans="1:9" ht="15.75" customHeight="1">
      <c r="A7263" s="26"/>
      <c r="B7263" s="2"/>
      <c r="C7263" s="26"/>
      <c r="D7263" s="26"/>
      <c r="F7263" s="85" t="str">
        <f t="shared" si="0"/>
        <v/>
      </c>
      <c r="G7263" s="1" t="e">
        <f>IF(VALUE(F7263) = VALUE(RIGHT(Insights!$C$3, 4)), E7263, "")</f>
        <v>#VALUE!</v>
      </c>
      <c r="H7263" s="26" t="e">
        <f t="shared" si="1"/>
        <v>#VALUE!</v>
      </c>
      <c r="I7263" s="1" t="e">
        <f t="shared" si="2"/>
        <v>#VALUE!</v>
      </c>
    </row>
    <row r="7264" spans="1:9" ht="15.75" customHeight="1">
      <c r="A7264" s="26"/>
      <c r="B7264" s="2"/>
      <c r="C7264" s="26"/>
      <c r="D7264" s="26"/>
      <c r="F7264" s="85" t="str">
        <f t="shared" si="0"/>
        <v/>
      </c>
      <c r="G7264" s="1" t="e">
        <f>IF(VALUE(F7264) = VALUE(RIGHT(Insights!$C$3, 4)), E7264, "")</f>
        <v>#VALUE!</v>
      </c>
      <c r="H7264" s="26" t="e">
        <f t="shared" si="1"/>
        <v>#VALUE!</v>
      </c>
      <c r="I7264" s="1" t="e">
        <f t="shared" si="2"/>
        <v>#VALUE!</v>
      </c>
    </row>
    <row r="7265" spans="1:9" ht="15.75" customHeight="1">
      <c r="A7265" s="26"/>
      <c r="B7265" s="2"/>
      <c r="C7265" s="26"/>
      <c r="D7265" s="26"/>
      <c r="F7265" s="85" t="str">
        <f t="shared" si="0"/>
        <v/>
      </c>
      <c r="G7265" s="1" t="e">
        <f>IF(VALUE(F7265) = VALUE(RIGHT(Insights!$C$3, 4)), E7265, "")</f>
        <v>#VALUE!</v>
      </c>
      <c r="H7265" s="26" t="e">
        <f t="shared" si="1"/>
        <v>#VALUE!</v>
      </c>
      <c r="I7265" s="1" t="e">
        <f t="shared" si="2"/>
        <v>#VALUE!</v>
      </c>
    </row>
    <row r="7266" spans="1:9" ht="15.75" customHeight="1">
      <c r="A7266" s="26"/>
      <c r="B7266" s="2"/>
      <c r="C7266" s="26"/>
      <c r="D7266" s="26"/>
      <c r="F7266" s="85" t="str">
        <f t="shared" si="0"/>
        <v/>
      </c>
      <c r="G7266" s="1" t="e">
        <f>IF(VALUE(F7266) = VALUE(RIGHT(Insights!$C$3, 4)), E7266, "")</f>
        <v>#VALUE!</v>
      </c>
      <c r="H7266" s="26" t="e">
        <f t="shared" si="1"/>
        <v>#VALUE!</v>
      </c>
      <c r="I7266" s="1" t="e">
        <f t="shared" si="2"/>
        <v>#VALUE!</v>
      </c>
    </row>
    <row r="7267" spans="1:9" ht="15.75" customHeight="1">
      <c r="A7267" s="26"/>
      <c r="B7267" s="2"/>
      <c r="C7267" s="26"/>
      <c r="D7267" s="26"/>
      <c r="F7267" s="85" t="str">
        <f t="shared" si="0"/>
        <v/>
      </c>
      <c r="G7267" s="1" t="e">
        <f>IF(VALUE(F7267) = VALUE(RIGHT(Insights!$C$3, 4)), E7267, "")</f>
        <v>#VALUE!</v>
      </c>
      <c r="H7267" s="26" t="e">
        <f t="shared" si="1"/>
        <v>#VALUE!</v>
      </c>
      <c r="I7267" s="1" t="e">
        <f t="shared" si="2"/>
        <v>#VALUE!</v>
      </c>
    </row>
    <row r="7268" spans="1:9" ht="15.75" customHeight="1">
      <c r="A7268" s="26"/>
      <c r="B7268" s="2"/>
      <c r="C7268" s="26"/>
      <c r="D7268" s="26"/>
      <c r="F7268" s="85" t="str">
        <f t="shared" si="0"/>
        <v/>
      </c>
      <c r="G7268" s="1" t="e">
        <f>IF(VALUE(F7268) = VALUE(RIGHT(Insights!$C$3, 4)), E7268, "")</f>
        <v>#VALUE!</v>
      </c>
      <c r="H7268" s="26" t="e">
        <f t="shared" si="1"/>
        <v>#VALUE!</v>
      </c>
      <c r="I7268" s="1" t="e">
        <f t="shared" si="2"/>
        <v>#VALUE!</v>
      </c>
    </row>
    <row r="7269" spans="1:9" ht="15.75" customHeight="1">
      <c r="A7269" s="26"/>
      <c r="B7269" s="2"/>
      <c r="C7269" s="26"/>
      <c r="D7269" s="26"/>
      <c r="F7269" s="85" t="str">
        <f t="shared" si="0"/>
        <v/>
      </c>
      <c r="G7269" s="1" t="e">
        <f>IF(VALUE(F7269) = VALUE(RIGHT(Insights!$C$3, 4)), E7269, "")</f>
        <v>#VALUE!</v>
      </c>
      <c r="H7269" s="26" t="e">
        <f t="shared" si="1"/>
        <v>#VALUE!</v>
      </c>
      <c r="I7269" s="1" t="e">
        <f t="shared" si="2"/>
        <v>#VALUE!</v>
      </c>
    </row>
    <row r="7270" spans="1:9" ht="15.75" customHeight="1">
      <c r="A7270" s="26"/>
      <c r="B7270" s="2"/>
      <c r="C7270" s="26"/>
      <c r="D7270" s="26"/>
      <c r="F7270" s="85" t="str">
        <f t="shared" si="0"/>
        <v/>
      </c>
      <c r="G7270" s="1" t="e">
        <f>IF(VALUE(F7270) = VALUE(RIGHT(Insights!$C$3, 4)), E7270, "")</f>
        <v>#VALUE!</v>
      </c>
      <c r="H7270" s="26" t="e">
        <f t="shared" si="1"/>
        <v>#VALUE!</v>
      </c>
      <c r="I7270" s="1" t="e">
        <f t="shared" si="2"/>
        <v>#VALUE!</v>
      </c>
    </row>
    <row r="7271" spans="1:9" ht="15.75" customHeight="1">
      <c r="A7271" s="26"/>
      <c r="B7271" s="2"/>
      <c r="C7271" s="26"/>
      <c r="D7271" s="26"/>
      <c r="F7271" s="85" t="str">
        <f t="shared" si="0"/>
        <v/>
      </c>
      <c r="G7271" s="1" t="e">
        <f>IF(VALUE(F7271) = VALUE(RIGHT(Insights!$C$3, 4)), E7271, "")</f>
        <v>#VALUE!</v>
      </c>
      <c r="H7271" s="26" t="e">
        <f t="shared" si="1"/>
        <v>#VALUE!</v>
      </c>
      <c r="I7271" s="1" t="e">
        <f t="shared" si="2"/>
        <v>#VALUE!</v>
      </c>
    </row>
    <row r="7272" spans="1:9" ht="15.75" customHeight="1">
      <c r="A7272" s="26"/>
      <c r="B7272" s="2"/>
      <c r="C7272" s="26"/>
      <c r="D7272" s="26"/>
      <c r="F7272" s="85" t="str">
        <f t="shared" si="0"/>
        <v/>
      </c>
      <c r="G7272" s="1" t="e">
        <f>IF(VALUE(F7272) = VALUE(RIGHT(Insights!$C$3, 4)), E7272, "")</f>
        <v>#VALUE!</v>
      </c>
      <c r="H7272" s="26" t="e">
        <f t="shared" si="1"/>
        <v>#VALUE!</v>
      </c>
      <c r="I7272" s="1" t="e">
        <f t="shared" si="2"/>
        <v>#VALUE!</v>
      </c>
    </row>
    <row r="7273" spans="1:9" ht="15.75" customHeight="1">
      <c r="A7273" s="26"/>
      <c r="B7273" s="2"/>
      <c r="C7273" s="26"/>
      <c r="D7273" s="26"/>
      <c r="F7273" s="85" t="str">
        <f t="shared" si="0"/>
        <v/>
      </c>
      <c r="G7273" s="1" t="e">
        <f>IF(VALUE(F7273) = VALUE(RIGHT(Insights!$C$3, 4)), E7273, "")</f>
        <v>#VALUE!</v>
      </c>
      <c r="H7273" s="26" t="e">
        <f t="shared" si="1"/>
        <v>#VALUE!</v>
      </c>
      <c r="I7273" s="1" t="e">
        <f t="shared" si="2"/>
        <v>#VALUE!</v>
      </c>
    </row>
    <row r="7274" spans="1:9" ht="15.75" customHeight="1">
      <c r="A7274" s="26"/>
      <c r="B7274" s="2"/>
      <c r="C7274" s="26"/>
      <c r="D7274" s="26"/>
      <c r="F7274" s="85" t="str">
        <f t="shared" si="0"/>
        <v/>
      </c>
      <c r="G7274" s="1" t="e">
        <f>IF(VALUE(F7274) = VALUE(RIGHT(Insights!$C$3, 4)), E7274, "")</f>
        <v>#VALUE!</v>
      </c>
      <c r="H7274" s="26" t="e">
        <f t="shared" si="1"/>
        <v>#VALUE!</v>
      </c>
      <c r="I7274" s="1" t="e">
        <f t="shared" si="2"/>
        <v>#VALUE!</v>
      </c>
    </row>
    <row r="7275" spans="1:9" ht="15.75" customHeight="1">
      <c r="A7275" s="26"/>
      <c r="B7275" s="2"/>
      <c r="C7275" s="26"/>
      <c r="D7275" s="26"/>
      <c r="F7275" s="85" t="str">
        <f t="shared" si="0"/>
        <v/>
      </c>
      <c r="G7275" s="1" t="e">
        <f>IF(VALUE(F7275) = VALUE(RIGHT(Insights!$C$3, 4)), E7275, "")</f>
        <v>#VALUE!</v>
      </c>
      <c r="H7275" s="26" t="e">
        <f t="shared" si="1"/>
        <v>#VALUE!</v>
      </c>
      <c r="I7275" s="1" t="e">
        <f t="shared" si="2"/>
        <v>#VALUE!</v>
      </c>
    </row>
    <row r="7276" spans="1:9" ht="15.75" customHeight="1">
      <c r="A7276" s="26"/>
      <c r="B7276" s="2"/>
      <c r="C7276" s="26"/>
      <c r="D7276" s="26"/>
      <c r="F7276" s="85" t="str">
        <f t="shared" si="0"/>
        <v/>
      </c>
      <c r="G7276" s="1" t="e">
        <f>IF(VALUE(F7276) = VALUE(RIGHT(Insights!$C$3, 4)), E7276, "")</f>
        <v>#VALUE!</v>
      </c>
      <c r="H7276" s="26" t="e">
        <f t="shared" si="1"/>
        <v>#VALUE!</v>
      </c>
      <c r="I7276" s="1" t="e">
        <f t="shared" si="2"/>
        <v>#VALUE!</v>
      </c>
    </row>
    <row r="7277" spans="1:9" ht="15.75" customHeight="1">
      <c r="A7277" s="26"/>
      <c r="B7277" s="2"/>
      <c r="C7277" s="26"/>
      <c r="D7277" s="26"/>
      <c r="F7277" s="85" t="str">
        <f t="shared" si="0"/>
        <v/>
      </c>
      <c r="G7277" s="1" t="e">
        <f>IF(VALUE(F7277) = VALUE(RIGHT(Insights!$C$3, 4)), E7277, "")</f>
        <v>#VALUE!</v>
      </c>
      <c r="H7277" s="26" t="e">
        <f t="shared" si="1"/>
        <v>#VALUE!</v>
      </c>
      <c r="I7277" s="1" t="e">
        <f t="shared" si="2"/>
        <v>#VALUE!</v>
      </c>
    </row>
    <row r="7278" spans="1:9" ht="15.75" customHeight="1">
      <c r="A7278" s="26"/>
      <c r="B7278" s="2"/>
      <c r="C7278" s="26"/>
      <c r="D7278" s="26"/>
      <c r="F7278" s="85" t="str">
        <f t="shared" si="0"/>
        <v/>
      </c>
      <c r="G7278" s="1" t="e">
        <f>IF(VALUE(F7278) = VALUE(RIGHT(Insights!$C$3, 4)), E7278, "")</f>
        <v>#VALUE!</v>
      </c>
      <c r="H7278" s="26" t="e">
        <f t="shared" si="1"/>
        <v>#VALUE!</v>
      </c>
      <c r="I7278" s="1" t="e">
        <f t="shared" si="2"/>
        <v>#VALUE!</v>
      </c>
    </row>
    <row r="7279" spans="1:9" ht="15.75" customHeight="1">
      <c r="A7279" s="26"/>
      <c r="B7279" s="2"/>
      <c r="C7279" s="26"/>
      <c r="D7279" s="26"/>
      <c r="F7279" s="85" t="str">
        <f t="shared" si="0"/>
        <v/>
      </c>
      <c r="G7279" s="1" t="e">
        <f>IF(VALUE(F7279) = VALUE(RIGHT(Insights!$C$3, 4)), E7279, "")</f>
        <v>#VALUE!</v>
      </c>
      <c r="H7279" s="26" t="e">
        <f t="shared" si="1"/>
        <v>#VALUE!</v>
      </c>
      <c r="I7279" s="1" t="e">
        <f t="shared" si="2"/>
        <v>#VALUE!</v>
      </c>
    </row>
    <row r="7280" spans="1:9" ht="15.75" customHeight="1">
      <c r="A7280" s="26"/>
      <c r="B7280" s="2"/>
      <c r="C7280" s="26"/>
      <c r="D7280" s="26"/>
      <c r="F7280" s="85" t="str">
        <f t="shared" si="0"/>
        <v/>
      </c>
      <c r="G7280" s="1" t="e">
        <f>IF(VALUE(F7280) = VALUE(RIGHT(Insights!$C$3, 4)), E7280, "")</f>
        <v>#VALUE!</v>
      </c>
      <c r="H7280" s="26" t="e">
        <f t="shared" si="1"/>
        <v>#VALUE!</v>
      </c>
      <c r="I7280" s="1" t="e">
        <f t="shared" si="2"/>
        <v>#VALUE!</v>
      </c>
    </row>
    <row r="7281" spans="1:9" ht="15.75" customHeight="1">
      <c r="A7281" s="26"/>
      <c r="B7281" s="2"/>
      <c r="C7281" s="26"/>
      <c r="D7281" s="26"/>
      <c r="F7281" s="85" t="str">
        <f t="shared" si="0"/>
        <v/>
      </c>
      <c r="G7281" s="1" t="e">
        <f>IF(VALUE(F7281) = VALUE(RIGHT(Insights!$C$3, 4)), E7281, "")</f>
        <v>#VALUE!</v>
      </c>
      <c r="H7281" s="26" t="e">
        <f t="shared" si="1"/>
        <v>#VALUE!</v>
      </c>
      <c r="I7281" s="1" t="e">
        <f t="shared" si="2"/>
        <v>#VALUE!</v>
      </c>
    </row>
    <row r="7282" spans="1:9" ht="15.75" customHeight="1">
      <c r="A7282" s="26"/>
      <c r="B7282" s="2"/>
      <c r="C7282" s="26"/>
      <c r="D7282" s="26"/>
      <c r="F7282" s="85" t="str">
        <f t="shared" si="0"/>
        <v/>
      </c>
      <c r="G7282" s="1" t="e">
        <f>IF(VALUE(F7282) = VALUE(RIGHT(Insights!$C$3, 4)), E7282, "")</f>
        <v>#VALUE!</v>
      </c>
      <c r="H7282" s="26" t="e">
        <f t="shared" si="1"/>
        <v>#VALUE!</v>
      </c>
      <c r="I7282" s="1" t="e">
        <f t="shared" si="2"/>
        <v>#VALUE!</v>
      </c>
    </row>
    <row r="7283" spans="1:9" ht="15.75" customHeight="1">
      <c r="A7283" s="26"/>
      <c r="B7283" s="2"/>
      <c r="C7283" s="26"/>
      <c r="D7283" s="26"/>
      <c r="F7283" s="85" t="str">
        <f t="shared" si="0"/>
        <v/>
      </c>
      <c r="G7283" s="1" t="e">
        <f>IF(VALUE(F7283) = VALUE(RIGHT(Insights!$C$3, 4)), E7283, "")</f>
        <v>#VALUE!</v>
      </c>
      <c r="H7283" s="26" t="e">
        <f t="shared" si="1"/>
        <v>#VALUE!</v>
      </c>
      <c r="I7283" s="1" t="e">
        <f t="shared" si="2"/>
        <v>#VALUE!</v>
      </c>
    </row>
    <row r="7284" spans="1:9" ht="15.75" customHeight="1">
      <c r="A7284" s="26"/>
      <c r="B7284" s="2"/>
      <c r="C7284" s="26"/>
      <c r="D7284" s="26"/>
      <c r="F7284" s="85" t="str">
        <f t="shared" si="0"/>
        <v/>
      </c>
      <c r="G7284" s="1" t="e">
        <f>IF(VALUE(F7284) = VALUE(RIGHT(Insights!$C$3, 4)), E7284, "")</f>
        <v>#VALUE!</v>
      </c>
      <c r="H7284" s="26" t="e">
        <f t="shared" si="1"/>
        <v>#VALUE!</v>
      </c>
      <c r="I7284" s="1" t="e">
        <f t="shared" si="2"/>
        <v>#VALUE!</v>
      </c>
    </row>
    <row r="7285" spans="1:9" ht="15.75" customHeight="1">
      <c r="A7285" s="26"/>
      <c r="B7285" s="2"/>
      <c r="C7285" s="26"/>
      <c r="D7285" s="26"/>
      <c r="F7285" s="85" t="str">
        <f t="shared" si="0"/>
        <v/>
      </c>
      <c r="G7285" s="1" t="e">
        <f>IF(VALUE(F7285) = VALUE(RIGHT(Insights!$C$3, 4)), E7285, "")</f>
        <v>#VALUE!</v>
      </c>
      <c r="H7285" s="26" t="e">
        <f t="shared" si="1"/>
        <v>#VALUE!</v>
      </c>
      <c r="I7285" s="1" t="e">
        <f t="shared" si="2"/>
        <v>#VALUE!</v>
      </c>
    </row>
    <row r="7286" spans="1:9" ht="15.75" customHeight="1">
      <c r="A7286" s="26"/>
      <c r="B7286" s="2"/>
      <c r="C7286" s="26"/>
      <c r="D7286" s="26"/>
      <c r="F7286" s="85" t="str">
        <f t="shared" si="0"/>
        <v/>
      </c>
      <c r="G7286" s="1" t="e">
        <f>IF(VALUE(F7286) = VALUE(RIGHT(Insights!$C$3, 4)), E7286, "")</f>
        <v>#VALUE!</v>
      </c>
      <c r="H7286" s="26" t="e">
        <f t="shared" si="1"/>
        <v>#VALUE!</v>
      </c>
      <c r="I7286" s="1" t="e">
        <f t="shared" si="2"/>
        <v>#VALUE!</v>
      </c>
    </row>
    <row r="7287" spans="1:9" ht="15.75" customHeight="1">
      <c r="A7287" s="26"/>
      <c r="B7287" s="2"/>
      <c r="C7287" s="26"/>
      <c r="D7287" s="26"/>
      <c r="F7287" s="85" t="str">
        <f t="shared" si="0"/>
        <v/>
      </c>
      <c r="G7287" s="1" t="e">
        <f>IF(VALUE(F7287) = VALUE(RIGHT(Insights!$C$3, 4)), E7287, "")</f>
        <v>#VALUE!</v>
      </c>
      <c r="H7287" s="26" t="e">
        <f t="shared" si="1"/>
        <v>#VALUE!</v>
      </c>
      <c r="I7287" s="1" t="e">
        <f t="shared" si="2"/>
        <v>#VALUE!</v>
      </c>
    </row>
    <row r="7288" spans="1:9" ht="15.75" customHeight="1">
      <c r="A7288" s="26"/>
      <c r="B7288" s="2"/>
      <c r="C7288" s="26"/>
      <c r="D7288" s="26"/>
      <c r="F7288" s="85" t="str">
        <f t="shared" si="0"/>
        <v/>
      </c>
      <c r="G7288" s="1" t="e">
        <f>IF(VALUE(F7288) = VALUE(RIGHT(Insights!$C$3, 4)), E7288, "")</f>
        <v>#VALUE!</v>
      </c>
      <c r="H7288" s="26" t="e">
        <f t="shared" si="1"/>
        <v>#VALUE!</v>
      </c>
      <c r="I7288" s="1" t="e">
        <f t="shared" si="2"/>
        <v>#VALUE!</v>
      </c>
    </row>
    <row r="7289" spans="1:9" ht="15.75" customHeight="1">
      <c r="A7289" s="26"/>
      <c r="B7289" s="2"/>
      <c r="C7289" s="26"/>
      <c r="D7289" s="26"/>
      <c r="F7289" s="85" t="str">
        <f t="shared" si="0"/>
        <v/>
      </c>
      <c r="G7289" s="1" t="e">
        <f>IF(VALUE(F7289) = VALUE(RIGHT(Insights!$C$3, 4)), E7289, "")</f>
        <v>#VALUE!</v>
      </c>
      <c r="H7289" s="26" t="e">
        <f t="shared" si="1"/>
        <v>#VALUE!</v>
      </c>
      <c r="I7289" s="1" t="e">
        <f t="shared" si="2"/>
        <v>#VALUE!</v>
      </c>
    </row>
    <row r="7290" spans="1:9" ht="15.75" customHeight="1">
      <c r="A7290" s="26"/>
      <c r="B7290" s="2"/>
      <c r="C7290" s="26"/>
      <c r="D7290" s="26"/>
      <c r="F7290" s="85" t="str">
        <f t="shared" si="0"/>
        <v/>
      </c>
      <c r="G7290" s="1" t="e">
        <f>IF(VALUE(F7290) = VALUE(RIGHT(Insights!$C$3, 4)), E7290, "")</f>
        <v>#VALUE!</v>
      </c>
      <c r="H7290" s="26" t="e">
        <f t="shared" si="1"/>
        <v>#VALUE!</v>
      </c>
      <c r="I7290" s="1" t="e">
        <f t="shared" si="2"/>
        <v>#VALUE!</v>
      </c>
    </row>
    <row r="7291" spans="1:9" ht="15.75" customHeight="1">
      <c r="A7291" s="26"/>
      <c r="B7291" s="2"/>
      <c r="C7291" s="26"/>
      <c r="D7291" s="26"/>
      <c r="F7291" s="85" t="str">
        <f t="shared" si="0"/>
        <v/>
      </c>
      <c r="G7291" s="1" t="e">
        <f>IF(VALUE(F7291) = VALUE(RIGHT(Insights!$C$3, 4)), E7291, "")</f>
        <v>#VALUE!</v>
      </c>
      <c r="H7291" s="26" t="e">
        <f t="shared" si="1"/>
        <v>#VALUE!</v>
      </c>
      <c r="I7291" s="1" t="e">
        <f t="shared" si="2"/>
        <v>#VALUE!</v>
      </c>
    </row>
    <row r="7292" spans="1:9" ht="15.75" customHeight="1">
      <c r="A7292" s="26"/>
      <c r="B7292" s="2"/>
      <c r="C7292" s="26"/>
      <c r="D7292" s="26"/>
      <c r="F7292" s="85" t="str">
        <f t="shared" si="0"/>
        <v/>
      </c>
      <c r="G7292" s="1" t="e">
        <f>IF(VALUE(F7292) = VALUE(RIGHT(Insights!$C$3, 4)), E7292, "")</f>
        <v>#VALUE!</v>
      </c>
      <c r="H7292" s="26" t="e">
        <f t="shared" si="1"/>
        <v>#VALUE!</v>
      </c>
      <c r="I7292" s="1" t="e">
        <f t="shared" si="2"/>
        <v>#VALUE!</v>
      </c>
    </row>
    <row r="7293" spans="1:9" ht="15.75" customHeight="1">
      <c r="A7293" s="26"/>
      <c r="B7293" s="2"/>
      <c r="C7293" s="26"/>
      <c r="D7293" s="26"/>
      <c r="F7293" s="85" t="str">
        <f t="shared" si="0"/>
        <v/>
      </c>
      <c r="G7293" s="1" t="e">
        <f>IF(VALUE(F7293) = VALUE(RIGHT(Insights!$C$3, 4)), E7293, "")</f>
        <v>#VALUE!</v>
      </c>
      <c r="H7293" s="26" t="e">
        <f t="shared" si="1"/>
        <v>#VALUE!</v>
      </c>
      <c r="I7293" s="1" t="e">
        <f t="shared" si="2"/>
        <v>#VALUE!</v>
      </c>
    </row>
    <row r="7294" spans="1:9" ht="15.75" customHeight="1">
      <c r="A7294" s="26"/>
      <c r="B7294" s="2"/>
      <c r="C7294" s="26"/>
      <c r="D7294" s="26"/>
      <c r="F7294" s="85" t="str">
        <f t="shared" si="0"/>
        <v/>
      </c>
      <c r="G7294" s="1" t="e">
        <f>IF(VALUE(F7294) = VALUE(RIGHT(Insights!$C$3, 4)), E7294, "")</f>
        <v>#VALUE!</v>
      </c>
      <c r="H7294" s="26" t="e">
        <f t="shared" si="1"/>
        <v>#VALUE!</v>
      </c>
      <c r="I7294" s="1" t="e">
        <f t="shared" si="2"/>
        <v>#VALUE!</v>
      </c>
    </row>
    <row r="7295" spans="1:9" ht="15.75" customHeight="1">
      <c r="A7295" s="26"/>
      <c r="B7295" s="2"/>
      <c r="C7295" s="26"/>
      <c r="D7295" s="26"/>
      <c r="F7295" s="85" t="str">
        <f t="shared" si="0"/>
        <v/>
      </c>
      <c r="G7295" s="1" t="e">
        <f>IF(VALUE(F7295) = VALUE(RIGHT(Insights!$C$3, 4)), E7295, "")</f>
        <v>#VALUE!</v>
      </c>
      <c r="H7295" s="26" t="e">
        <f t="shared" si="1"/>
        <v>#VALUE!</v>
      </c>
      <c r="I7295" s="1" t="e">
        <f t="shared" si="2"/>
        <v>#VALUE!</v>
      </c>
    </row>
    <row r="7296" spans="1:9" ht="15.75" customHeight="1">
      <c r="A7296" s="26"/>
      <c r="B7296" s="2"/>
      <c r="C7296" s="26"/>
      <c r="D7296" s="26"/>
      <c r="F7296" s="85" t="str">
        <f t="shared" si="0"/>
        <v/>
      </c>
      <c r="G7296" s="1" t="e">
        <f>IF(VALUE(F7296) = VALUE(RIGHT(Insights!$C$3, 4)), E7296, "")</f>
        <v>#VALUE!</v>
      </c>
      <c r="H7296" s="26" t="e">
        <f t="shared" si="1"/>
        <v>#VALUE!</v>
      </c>
      <c r="I7296" s="1" t="e">
        <f t="shared" si="2"/>
        <v>#VALUE!</v>
      </c>
    </row>
    <row r="7297" spans="1:9" ht="15.75" customHeight="1">
      <c r="A7297" s="26"/>
      <c r="B7297" s="2"/>
      <c r="C7297" s="26"/>
      <c r="D7297" s="26"/>
      <c r="F7297" s="85" t="str">
        <f t="shared" si="0"/>
        <v/>
      </c>
      <c r="G7297" s="1" t="e">
        <f>IF(VALUE(F7297) = VALUE(RIGHT(Insights!$C$3, 4)), E7297, "")</f>
        <v>#VALUE!</v>
      </c>
      <c r="H7297" s="26" t="e">
        <f t="shared" si="1"/>
        <v>#VALUE!</v>
      </c>
      <c r="I7297" s="1" t="e">
        <f t="shared" si="2"/>
        <v>#VALUE!</v>
      </c>
    </row>
    <row r="7298" spans="1:9" ht="15.75" customHeight="1">
      <c r="A7298" s="26"/>
      <c r="B7298" s="2"/>
      <c r="C7298" s="26"/>
      <c r="D7298" s="26"/>
      <c r="F7298" s="85" t="str">
        <f t="shared" si="0"/>
        <v/>
      </c>
      <c r="G7298" s="1" t="e">
        <f>IF(VALUE(F7298) = VALUE(RIGHT(Insights!$C$3, 4)), E7298, "")</f>
        <v>#VALUE!</v>
      </c>
      <c r="H7298" s="26" t="e">
        <f t="shared" si="1"/>
        <v>#VALUE!</v>
      </c>
      <c r="I7298" s="1" t="e">
        <f t="shared" si="2"/>
        <v>#VALUE!</v>
      </c>
    </row>
    <row r="7299" spans="1:9" ht="15.75" customHeight="1">
      <c r="A7299" s="26"/>
      <c r="B7299" s="2"/>
      <c r="C7299" s="26"/>
      <c r="D7299" s="26"/>
      <c r="F7299" s="85" t="str">
        <f t="shared" si="0"/>
        <v/>
      </c>
      <c r="G7299" s="1" t="e">
        <f>IF(VALUE(F7299) = VALUE(RIGHT(Insights!$C$3, 4)), E7299, "")</f>
        <v>#VALUE!</v>
      </c>
      <c r="H7299" s="26" t="e">
        <f t="shared" si="1"/>
        <v>#VALUE!</v>
      </c>
      <c r="I7299" s="1" t="e">
        <f t="shared" si="2"/>
        <v>#VALUE!</v>
      </c>
    </row>
    <row r="7300" spans="1:9" ht="15.75" customHeight="1">
      <c r="A7300" s="26"/>
      <c r="B7300" s="2"/>
      <c r="C7300" s="26"/>
      <c r="D7300" s="26"/>
      <c r="F7300" s="85" t="str">
        <f t="shared" si="0"/>
        <v/>
      </c>
      <c r="G7300" s="1" t="e">
        <f>IF(VALUE(F7300) = VALUE(RIGHT(Insights!$C$3, 4)), E7300, "")</f>
        <v>#VALUE!</v>
      </c>
      <c r="H7300" s="26" t="e">
        <f t="shared" si="1"/>
        <v>#VALUE!</v>
      </c>
      <c r="I7300" s="1" t="e">
        <f t="shared" si="2"/>
        <v>#VALUE!</v>
      </c>
    </row>
    <row r="7301" spans="1:9" ht="15.75" customHeight="1">
      <c r="A7301" s="26"/>
      <c r="B7301" s="2"/>
      <c r="C7301" s="26"/>
      <c r="D7301" s="26"/>
      <c r="F7301" s="85" t="str">
        <f t="shared" si="0"/>
        <v/>
      </c>
      <c r="G7301" s="1" t="e">
        <f>IF(VALUE(F7301) = VALUE(RIGHT(Insights!$C$3, 4)), E7301, "")</f>
        <v>#VALUE!</v>
      </c>
      <c r="H7301" s="26" t="e">
        <f t="shared" si="1"/>
        <v>#VALUE!</v>
      </c>
      <c r="I7301" s="1" t="e">
        <f t="shared" si="2"/>
        <v>#VALUE!</v>
      </c>
    </row>
    <row r="7302" spans="1:9" ht="15.75" customHeight="1">
      <c r="A7302" s="26"/>
      <c r="B7302" s="2"/>
      <c r="C7302" s="26"/>
      <c r="D7302" s="26"/>
      <c r="F7302" s="85" t="str">
        <f t="shared" si="0"/>
        <v/>
      </c>
      <c r="G7302" s="1" t="e">
        <f>IF(VALUE(F7302) = VALUE(RIGHT(Insights!$C$3, 4)), E7302, "")</f>
        <v>#VALUE!</v>
      </c>
      <c r="H7302" s="26" t="e">
        <f t="shared" si="1"/>
        <v>#VALUE!</v>
      </c>
      <c r="I7302" s="1" t="e">
        <f t="shared" si="2"/>
        <v>#VALUE!</v>
      </c>
    </row>
    <row r="7303" spans="1:9" ht="15.75" customHeight="1">
      <c r="A7303" s="26"/>
      <c r="B7303" s="2"/>
      <c r="C7303" s="26"/>
      <c r="D7303" s="26"/>
      <c r="F7303" s="85" t="str">
        <f t="shared" si="0"/>
        <v/>
      </c>
      <c r="G7303" s="1" t="e">
        <f>IF(VALUE(F7303) = VALUE(RIGHT(Insights!$C$3, 4)), E7303, "")</f>
        <v>#VALUE!</v>
      </c>
      <c r="H7303" s="26" t="e">
        <f t="shared" si="1"/>
        <v>#VALUE!</v>
      </c>
      <c r="I7303" s="1" t="e">
        <f t="shared" si="2"/>
        <v>#VALUE!</v>
      </c>
    </row>
    <row r="7304" spans="1:9" ht="15.75" customHeight="1">
      <c r="A7304" s="26"/>
      <c r="B7304" s="2"/>
      <c r="C7304" s="26"/>
      <c r="D7304" s="26"/>
      <c r="F7304" s="85" t="str">
        <f t="shared" si="0"/>
        <v/>
      </c>
      <c r="G7304" s="1" t="e">
        <f>IF(VALUE(F7304) = VALUE(RIGHT(Insights!$C$3, 4)), E7304, "")</f>
        <v>#VALUE!</v>
      </c>
      <c r="H7304" s="26" t="e">
        <f t="shared" si="1"/>
        <v>#VALUE!</v>
      </c>
      <c r="I7304" s="1" t="e">
        <f t="shared" si="2"/>
        <v>#VALUE!</v>
      </c>
    </row>
    <row r="7305" spans="1:9" ht="15.75" customHeight="1">
      <c r="A7305" s="26"/>
      <c r="B7305" s="2"/>
      <c r="C7305" s="26"/>
      <c r="D7305" s="26"/>
      <c r="F7305" s="85" t="str">
        <f t="shared" si="0"/>
        <v/>
      </c>
      <c r="G7305" s="1" t="e">
        <f>IF(VALUE(F7305) = VALUE(RIGHT(Insights!$C$3, 4)), E7305, "")</f>
        <v>#VALUE!</v>
      </c>
      <c r="H7305" s="26" t="e">
        <f t="shared" si="1"/>
        <v>#VALUE!</v>
      </c>
      <c r="I7305" s="1" t="e">
        <f t="shared" si="2"/>
        <v>#VALUE!</v>
      </c>
    </row>
    <row r="7306" spans="1:9" ht="15.75" customHeight="1">
      <c r="A7306" s="26"/>
      <c r="B7306" s="2"/>
      <c r="C7306" s="26"/>
      <c r="D7306" s="26"/>
      <c r="F7306" s="85" t="str">
        <f t="shared" si="0"/>
        <v/>
      </c>
      <c r="G7306" s="1" t="e">
        <f>IF(VALUE(F7306) = VALUE(RIGHT(Insights!$C$3, 4)), E7306, "")</f>
        <v>#VALUE!</v>
      </c>
      <c r="H7306" s="26" t="e">
        <f t="shared" si="1"/>
        <v>#VALUE!</v>
      </c>
      <c r="I7306" s="1" t="e">
        <f t="shared" si="2"/>
        <v>#VALUE!</v>
      </c>
    </row>
    <row r="7307" spans="1:9" ht="15.75" customHeight="1">
      <c r="A7307" s="26"/>
      <c r="B7307" s="2"/>
      <c r="C7307" s="26"/>
      <c r="D7307" s="26"/>
      <c r="F7307" s="85" t="str">
        <f t="shared" si="0"/>
        <v/>
      </c>
      <c r="G7307" s="1" t="e">
        <f>IF(VALUE(F7307) = VALUE(RIGHT(Insights!$C$3, 4)), E7307, "")</f>
        <v>#VALUE!</v>
      </c>
      <c r="H7307" s="26" t="e">
        <f t="shared" si="1"/>
        <v>#VALUE!</v>
      </c>
      <c r="I7307" s="1" t="e">
        <f t="shared" si="2"/>
        <v>#VALUE!</v>
      </c>
    </row>
    <row r="7308" spans="1:9" ht="15.75" customHeight="1">
      <c r="A7308" s="26"/>
      <c r="B7308" s="2"/>
      <c r="C7308" s="26"/>
      <c r="D7308" s="26"/>
      <c r="F7308" s="85" t="str">
        <f t="shared" si="0"/>
        <v/>
      </c>
      <c r="G7308" s="1" t="e">
        <f>IF(VALUE(F7308) = VALUE(RIGHT(Insights!$C$3, 4)), E7308, "")</f>
        <v>#VALUE!</v>
      </c>
      <c r="H7308" s="26" t="e">
        <f t="shared" si="1"/>
        <v>#VALUE!</v>
      </c>
      <c r="I7308" s="1" t="e">
        <f t="shared" si="2"/>
        <v>#VALUE!</v>
      </c>
    </row>
    <row r="7309" spans="1:9" ht="15.75" customHeight="1">
      <c r="A7309" s="26"/>
      <c r="B7309" s="2"/>
      <c r="C7309" s="26"/>
      <c r="D7309" s="26"/>
      <c r="F7309" s="85" t="str">
        <f t="shared" si="0"/>
        <v/>
      </c>
      <c r="G7309" s="1" t="e">
        <f>IF(VALUE(F7309) = VALUE(RIGHT(Insights!$C$3, 4)), E7309, "")</f>
        <v>#VALUE!</v>
      </c>
      <c r="H7309" s="26" t="e">
        <f t="shared" si="1"/>
        <v>#VALUE!</v>
      </c>
      <c r="I7309" s="1" t="e">
        <f t="shared" si="2"/>
        <v>#VALUE!</v>
      </c>
    </row>
    <row r="7310" spans="1:9" ht="15.75" customHeight="1">
      <c r="A7310" s="26"/>
      <c r="B7310" s="2"/>
      <c r="C7310" s="26"/>
      <c r="D7310" s="26"/>
      <c r="F7310" s="85" t="str">
        <f t="shared" si="0"/>
        <v/>
      </c>
      <c r="G7310" s="1" t="e">
        <f>IF(VALUE(F7310) = VALUE(RIGHT(Insights!$C$3, 4)), E7310, "")</f>
        <v>#VALUE!</v>
      </c>
      <c r="H7310" s="26" t="e">
        <f t="shared" si="1"/>
        <v>#VALUE!</v>
      </c>
      <c r="I7310" s="1" t="e">
        <f t="shared" si="2"/>
        <v>#VALUE!</v>
      </c>
    </row>
    <row r="7311" spans="1:9" ht="15.75" customHeight="1">
      <c r="A7311" s="26"/>
      <c r="B7311" s="2"/>
      <c r="C7311" s="26"/>
      <c r="D7311" s="26"/>
      <c r="F7311" s="85" t="str">
        <f t="shared" si="0"/>
        <v/>
      </c>
      <c r="G7311" s="1" t="e">
        <f>IF(VALUE(F7311) = VALUE(RIGHT(Insights!$C$3, 4)), E7311, "")</f>
        <v>#VALUE!</v>
      </c>
      <c r="H7311" s="26" t="e">
        <f t="shared" si="1"/>
        <v>#VALUE!</v>
      </c>
      <c r="I7311" s="1" t="e">
        <f t="shared" si="2"/>
        <v>#VALUE!</v>
      </c>
    </row>
    <row r="7312" spans="1:9" ht="15.75" customHeight="1">
      <c r="A7312" s="26"/>
      <c r="B7312" s="2"/>
      <c r="C7312" s="26"/>
      <c r="D7312" s="26"/>
      <c r="F7312" s="85" t="str">
        <f t="shared" si="0"/>
        <v/>
      </c>
      <c r="G7312" s="1" t="e">
        <f>IF(VALUE(F7312) = VALUE(RIGHT(Insights!$C$3, 4)), E7312, "")</f>
        <v>#VALUE!</v>
      </c>
      <c r="H7312" s="26" t="e">
        <f t="shared" si="1"/>
        <v>#VALUE!</v>
      </c>
      <c r="I7312" s="1" t="e">
        <f t="shared" si="2"/>
        <v>#VALUE!</v>
      </c>
    </row>
    <row r="7313" spans="1:9" ht="15.75" customHeight="1">
      <c r="A7313" s="26"/>
      <c r="B7313" s="2"/>
      <c r="C7313" s="26"/>
      <c r="D7313" s="26"/>
      <c r="F7313" s="85" t="str">
        <f t="shared" si="0"/>
        <v/>
      </c>
      <c r="G7313" s="1" t="e">
        <f>IF(VALUE(F7313) = VALUE(RIGHT(Insights!$C$3, 4)), E7313, "")</f>
        <v>#VALUE!</v>
      </c>
      <c r="H7313" s="26" t="e">
        <f t="shared" si="1"/>
        <v>#VALUE!</v>
      </c>
      <c r="I7313" s="1" t="e">
        <f t="shared" si="2"/>
        <v>#VALUE!</v>
      </c>
    </row>
    <row r="7314" spans="1:9" ht="15.75" customHeight="1">
      <c r="A7314" s="26"/>
      <c r="B7314" s="2"/>
      <c r="C7314" s="26"/>
      <c r="D7314" s="26"/>
      <c r="F7314" s="85" t="str">
        <f t="shared" si="0"/>
        <v/>
      </c>
      <c r="G7314" s="1" t="e">
        <f>IF(VALUE(F7314) = VALUE(RIGHT(Insights!$C$3, 4)), E7314, "")</f>
        <v>#VALUE!</v>
      </c>
      <c r="H7314" s="26" t="e">
        <f t="shared" si="1"/>
        <v>#VALUE!</v>
      </c>
      <c r="I7314" s="1" t="e">
        <f t="shared" si="2"/>
        <v>#VALUE!</v>
      </c>
    </row>
    <row r="7315" spans="1:9" ht="15.75" customHeight="1">
      <c r="A7315" s="26"/>
      <c r="B7315" s="2"/>
      <c r="C7315" s="26"/>
      <c r="D7315" s="26"/>
      <c r="F7315" s="85" t="str">
        <f t="shared" si="0"/>
        <v/>
      </c>
      <c r="G7315" s="1" t="e">
        <f>IF(VALUE(F7315) = VALUE(RIGHT(Insights!$C$3, 4)), E7315, "")</f>
        <v>#VALUE!</v>
      </c>
      <c r="H7315" s="26" t="e">
        <f t="shared" si="1"/>
        <v>#VALUE!</v>
      </c>
      <c r="I7315" s="1" t="e">
        <f t="shared" si="2"/>
        <v>#VALUE!</v>
      </c>
    </row>
    <row r="7316" spans="1:9" ht="15.75" customHeight="1">
      <c r="A7316" s="26"/>
      <c r="B7316" s="2"/>
      <c r="C7316" s="26"/>
      <c r="D7316" s="26"/>
      <c r="F7316" s="85" t="str">
        <f t="shared" si="0"/>
        <v/>
      </c>
      <c r="G7316" s="1" t="e">
        <f>IF(VALUE(F7316) = VALUE(RIGHT(Insights!$C$3, 4)), E7316, "")</f>
        <v>#VALUE!</v>
      </c>
      <c r="H7316" s="26" t="e">
        <f t="shared" si="1"/>
        <v>#VALUE!</v>
      </c>
      <c r="I7316" s="1" t="e">
        <f t="shared" si="2"/>
        <v>#VALUE!</v>
      </c>
    </row>
    <row r="7317" spans="1:9" ht="15.75" customHeight="1">
      <c r="A7317" s="26"/>
      <c r="B7317" s="2"/>
      <c r="C7317" s="26"/>
      <c r="D7317" s="26"/>
      <c r="F7317" s="85" t="str">
        <f t="shared" si="0"/>
        <v/>
      </c>
      <c r="G7317" s="1" t="e">
        <f>IF(VALUE(F7317) = VALUE(RIGHT(Insights!$C$3, 4)), E7317, "")</f>
        <v>#VALUE!</v>
      </c>
      <c r="H7317" s="26" t="e">
        <f t="shared" si="1"/>
        <v>#VALUE!</v>
      </c>
      <c r="I7317" s="1" t="e">
        <f t="shared" si="2"/>
        <v>#VALUE!</v>
      </c>
    </row>
    <row r="7318" spans="1:9" ht="15.75" customHeight="1">
      <c r="A7318" s="26"/>
      <c r="B7318" s="2"/>
      <c r="C7318" s="26"/>
      <c r="D7318" s="26"/>
      <c r="F7318" s="85" t="str">
        <f t="shared" si="0"/>
        <v/>
      </c>
      <c r="G7318" s="1" t="e">
        <f>IF(VALUE(F7318) = VALUE(RIGHT(Insights!$C$3, 4)), E7318, "")</f>
        <v>#VALUE!</v>
      </c>
      <c r="H7318" s="26" t="e">
        <f t="shared" si="1"/>
        <v>#VALUE!</v>
      </c>
      <c r="I7318" s="1" t="e">
        <f t="shared" si="2"/>
        <v>#VALUE!</v>
      </c>
    </row>
    <row r="7319" spans="1:9" ht="15.75" customHeight="1">
      <c r="A7319" s="26"/>
      <c r="B7319" s="2"/>
      <c r="C7319" s="26"/>
      <c r="D7319" s="26"/>
      <c r="F7319" s="85" t="str">
        <f t="shared" si="0"/>
        <v/>
      </c>
      <c r="G7319" s="1" t="e">
        <f>IF(VALUE(F7319) = VALUE(RIGHT(Insights!$C$3, 4)), E7319, "")</f>
        <v>#VALUE!</v>
      </c>
      <c r="H7319" s="26" t="e">
        <f t="shared" si="1"/>
        <v>#VALUE!</v>
      </c>
      <c r="I7319" s="1" t="e">
        <f t="shared" si="2"/>
        <v>#VALUE!</v>
      </c>
    </row>
    <row r="7320" spans="1:9" ht="15.75" customHeight="1">
      <c r="A7320" s="26"/>
      <c r="B7320" s="2"/>
      <c r="C7320" s="26"/>
      <c r="D7320" s="26"/>
      <c r="F7320" s="85" t="str">
        <f t="shared" si="0"/>
        <v/>
      </c>
      <c r="G7320" s="1" t="e">
        <f>IF(VALUE(F7320) = VALUE(RIGHT(Insights!$C$3, 4)), E7320, "")</f>
        <v>#VALUE!</v>
      </c>
      <c r="H7320" s="26" t="e">
        <f t="shared" si="1"/>
        <v>#VALUE!</v>
      </c>
      <c r="I7320" s="1" t="e">
        <f t="shared" si="2"/>
        <v>#VALUE!</v>
      </c>
    </row>
    <row r="7321" spans="1:9" ht="15.75" customHeight="1">
      <c r="A7321" s="26"/>
      <c r="B7321" s="2"/>
      <c r="C7321" s="26"/>
      <c r="D7321" s="26"/>
      <c r="F7321" s="85" t="str">
        <f t="shared" si="0"/>
        <v/>
      </c>
      <c r="G7321" s="1" t="e">
        <f>IF(VALUE(F7321) = VALUE(RIGHT(Insights!$C$3, 4)), E7321, "")</f>
        <v>#VALUE!</v>
      </c>
      <c r="H7321" s="26" t="e">
        <f t="shared" si="1"/>
        <v>#VALUE!</v>
      </c>
      <c r="I7321" s="1" t="e">
        <f t="shared" si="2"/>
        <v>#VALUE!</v>
      </c>
    </row>
    <row r="7322" spans="1:9" ht="15.75" customHeight="1">
      <c r="A7322" s="26"/>
      <c r="B7322" s="2"/>
      <c r="C7322" s="26"/>
      <c r="D7322" s="26"/>
      <c r="F7322" s="85" t="str">
        <f t="shared" si="0"/>
        <v/>
      </c>
      <c r="G7322" s="1" t="e">
        <f>IF(VALUE(F7322) = VALUE(RIGHT(Insights!$C$3, 4)), E7322, "")</f>
        <v>#VALUE!</v>
      </c>
      <c r="H7322" s="26" t="e">
        <f t="shared" si="1"/>
        <v>#VALUE!</v>
      </c>
      <c r="I7322" s="1" t="e">
        <f t="shared" si="2"/>
        <v>#VALUE!</v>
      </c>
    </row>
    <row r="7323" spans="1:9" ht="15.75" customHeight="1">
      <c r="A7323" s="26"/>
      <c r="B7323" s="2"/>
      <c r="C7323" s="26"/>
      <c r="D7323" s="26"/>
      <c r="F7323" s="85" t="str">
        <f t="shared" si="0"/>
        <v/>
      </c>
      <c r="G7323" s="1" t="e">
        <f>IF(VALUE(F7323) = VALUE(RIGHT(Insights!$C$3, 4)), E7323, "")</f>
        <v>#VALUE!</v>
      </c>
      <c r="H7323" s="26" t="e">
        <f t="shared" si="1"/>
        <v>#VALUE!</v>
      </c>
      <c r="I7323" s="1" t="e">
        <f t="shared" si="2"/>
        <v>#VALUE!</v>
      </c>
    </row>
    <row r="7324" spans="1:9" ht="15.75" customHeight="1">
      <c r="A7324" s="26"/>
      <c r="B7324" s="2"/>
      <c r="C7324" s="26"/>
      <c r="D7324" s="26"/>
      <c r="F7324" s="85" t="str">
        <f t="shared" si="0"/>
        <v/>
      </c>
      <c r="G7324" s="1" t="e">
        <f>IF(VALUE(F7324) = VALUE(RIGHT(Insights!$C$3, 4)), E7324, "")</f>
        <v>#VALUE!</v>
      </c>
      <c r="H7324" s="26" t="e">
        <f t="shared" si="1"/>
        <v>#VALUE!</v>
      </c>
      <c r="I7324" s="1" t="e">
        <f t="shared" si="2"/>
        <v>#VALUE!</v>
      </c>
    </row>
    <row r="7325" spans="1:9" ht="15.75" customHeight="1">
      <c r="A7325" s="26"/>
      <c r="B7325" s="2"/>
      <c r="C7325" s="26"/>
      <c r="D7325" s="26"/>
      <c r="F7325" s="85" t="str">
        <f t="shared" si="0"/>
        <v/>
      </c>
      <c r="G7325" s="1" t="e">
        <f>IF(VALUE(F7325) = VALUE(RIGHT(Insights!$C$3, 4)), E7325, "")</f>
        <v>#VALUE!</v>
      </c>
      <c r="H7325" s="26" t="e">
        <f t="shared" si="1"/>
        <v>#VALUE!</v>
      </c>
      <c r="I7325" s="1" t="e">
        <f t="shared" si="2"/>
        <v>#VALUE!</v>
      </c>
    </row>
    <row r="7326" spans="1:9" ht="15.75" customHeight="1">
      <c r="A7326" s="26"/>
      <c r="B7326" s="2"/>
      <c r="C7326" s="26"/>
      <c r="D7326" s="26"/>
      <c r="F7326" s="85" t="str">
        <f t="shared" si="0"/>
        <v/>
      </c>
      <c r="G7326" s="1" t="e">
        <f>IF(VALUE(F7326) = VALUE(RIGHT(Insights!$C$3, 4)), E7326, "")</f>
        <v>#VALUE!</v>
      </c>
      <c r="H7326" s="26" t="e">
        <f t="shared" si="1"/>
        <v>#VALUE!</v>
      </c>
      <c r="I7326" s="1" t="e">
        <f t="shared" si="2"/>
        <v>#VALUE!</v>
      </c>
    </row>
    <row r="7327" spans="1:9" ht="15.75" customHeight="1">
      <c r="A7327" s="26"/>
      <c r="B7327" s="2"/>
      <c r="C7327" s="26"/>
      <c r="D7327" s="26"/>
      <c r="F7327" s="85" t="str">
        <f t="shared" si="0"/>
        <v/>
      </c>
      <c r="G7327" s="1" t="e">
        <f>IF(VALUE(F7327) = VALUE(RIGHT(Insights!$C$3, 4)), E7327, "")</f>
        <v>#VALUE!</v>
      </c>
      <c r="H7327" s="26" t="e">
        <f t="shared" si="1"/>
        <v>#VALUE!</v>
      </c>
      <c r="I7327" s="1" t="e">
        <f t="shared" si="2"/>
        <v>#VALUE!</v>
      </c>
    </row>
    <row r="7328" spans="1:9" ht="15.75" customHeight="1">
      <c r="A7328" s="26"/>
      <c r="B7328" s="2"/>
      <c r="C7328" s="26"/>
      <c r="D7328" s="26"/>
      <c r="F7328" s="85" t="str">
        <f t="shared" si="0"/>
        <v/>
      </c>
      <c r="G7328" s="1" t="e">
        <f>IF(VALUE(F7328) = VALUE(RIGHT(Insights!$C$3, 4)), E7328, "")</f>
        <v>#VALUE!</v>
      </c>
      <c r="H7328" s="26" t="e">
        <f t="shared" si="1"/>
        <v>#VALUE!</v>
      </c>
      <c r="I7328" s="1" t="e">
        <f t="shared" si="2"/>
        <v>#VALUE!</v>
      </c>
    </row>
    <row r="7329" spans="1:9" ht="15.75" customHeight="1">
      <c r="A7329" s="26"/>
      <c r="B7329" s="2"/>
      <c r="C7329" s="26"/>
      <c r="D7329" s="26"/>
      <c r="F7329" s="85" t="str">
        <f t="shared" si="0"/>
        <v/>
      </c>
      <c r="G7329" s="1" t="e">
        <f>IF(VALUE(F7329) = VALUE(RIGHT(Insights!$C$3, 4)), E7329, "")</f>
        <v>#VALUE!</v>
      </c>
      <c r="H7329" s="26" t="e">
        <f t="shared" si="1"/>
        <v>#VALUE!</v>
      </c>
      <c r="I7329" s="1" t="e">
        <f t="shared" si="2"/>
        <v>#VALUE!</v>
      </c>
    </row>
    <row r="7330" spans="1:9" ht="15.75" customHeight="1">
      <c r="A7330" s="26"/>
      <c r="B7330" s="2"/>
      <c r="C7330" s="26"/>
      <c r="D7330" s="26"/>
      <c r="F7330" s="85" t="str">
        <f t="shared" si="0"/>
        <v/>
      </c>
      <c r="G7330" s="1" t="e">
        <f>IF(VALUE(F7330) = VALUE(RIGHT(Insights!$C$3, 4)), E7330, "")</f>
        <v>#VALUE!</v>
      </c>
      <c r="H7330" s="26" t="e">
        <f t="shared" si="1"/>
        <v>#VALUE!</v>
      </c>
      <c r="I7330" s="1" t="e">
        <f t="shared" si="2"/>
        <v>#VALUE!</v>
      </c>
    </row>
    <row r="7331" spans="1:9" ht="15.75" customHeight="1">
      <c r="A7331" s="26"/>
      <c r="B7331" s="2"/>
      <c r="C7331" s="26"/>
      <c r="D7331" s="26"/>
      <c r="F7331" s="85" t="str">
        <f t="shared" si="0"/>
        <v/>
      </c>
      <c r="G7331" s="1" t="e">
        <f>IF(VALUE(F7331) = VALUE(RIGHT(Insights!$C$3, 4)), E7331, "")</f>
        <v>#VALUE!</v>
      </c>
      <c r="H7331" s="26" t="e">
        <f t="shared" si="1"/>
        <v>#VALUE!</v>
      </c>
      <c r="I7331" s="1" t="e">
        <f t="shared" si="2"/>
        <v>#VALUE!</v>
      </c>
    </row>
    <row r="7332" spans="1:9" ht="15.75" customHeight="1">
      <c r="A7332" s="26"/>
      <c r="B7332" s="2"/>
      <c r="C7332" s="26"/>
      <c r="D7332" s="26"/>
      <c r="F7332" s="85" t="str">
        <f t="shared" si="0"/>
        <v/>
      </c>
      <c r="G7332" s="1" t="e">
        <f>IF(VALUE(F7332) = VALUE(RIGHT(Insights!$C$3, 4)), E7332, "")</f>
        <v>#VALUE!</v>
      </c>
      <c r="H7332" s="26" t="e">
        <f t="shared" si="1"/>
        <v>#VALUE!</v>
      </c>
      <c r="I7332" s="1" t="e">
        <f t="shared" si="2"/>
        <v>#VALUE!</v>
      </c>
    </row>
    <row r="7333" spans="1:9" ht="15.75" customHeight="1">
      <c r="A7333" s="26"/>
      <c r="B7333" s="2"/>
      <c r="C7333" s="26"/>
      <c r="D7333" s="26"/>
      <c r="F7333" s="85" t="str">
        <f t="shared" si="0"/>
        <v/>
      </c>
      <c r="G7333" s="1" t="e">
        <f>IF(VALUE(F7333) = VALUE(RIGHT(Insights!$C$3, 4)), E7333, "")</f>
        <v>#VALUE!</v>
      </c>
      <c r="H7333" s="26" t="e">
        <f t="shared" si="1"/>
        <v>#VALUE!</v>
      </c>
      <c r="I7333" s="1" t="e">
        <f t="shared" si="2"/>
        <v>#VALUE!</v>
      </c>
    </row>
    <row r="7334" spans="1:9" ht="15.75" customHeight="1">
      <c r="A7334" s="26"/>
      <c r="B7334" s="2"/>
      <c r="C7334" s="26"/>
      <c r="D7334" s="26"/>
      <c r="F7334" s="85" t="str">
        <f t="shared" si="0"/>
        <v/>
      </c>
      <c r="G7334" s="1" t="e">
        <f>IF(VALUE(F7334) = VALUE(RIGHT(Insights!$C$3, 4)), E7334, "")</f>
        <v>#VALUE!</v>
      </c>
      <c r="H7334" s="26" t="e">
        <f t="shared" si="1"/>
        <v>#VALUE!</v>
      </c>
      <c r="I7334" s="1" t="e">
        <f t="shared" si="2"/>
        <v>#VALUE!</v>
      </c>
    </row>
    <row r="7335" spans="1:9" ht="15.75" customHeight="1">
      <c r="A7335" s="26"/>
      <c r="B7335" s="2"/>
      <c r="C7335" s="26"/>
      <c r="D7335" s="26"/>
      <c r="F7335" s="85" t="str">
        <f t="shared" si="0"/>
        <v/>
      </c>
      <c r="G7335" s="1" t="e">
        <f>IF(VALUE(F7335) = VALUE(RIGHT(Insights!$C$3, 4)), E7335, "")</f>
        <v>#VALUE!</v>
      </c>
      <c r="H7335" s="26" t="e">
        <f t="shared" si="1"/>
        <v>#VALUE!</v>
      </c>
      <c r="I7335" s="1" t="e">
        <f t="shared" si="2"/>
        <v>#VALUE!</v>
      </c>
    </row>
    <row r="7336" spans="1:9" ht="15.75" customHeight="1">
      <c r="A7336" s="26"/>
      <c r="B7336" s="2"/>
      <c r="C7336" s="26"/>
      <c r="D7336" s="26"/>
      <c r="F7336" s="85" t="str">
        <f t="shared" si="0"/>
        <v/>
      </c>
      <c r="G7336" s="1" t="e">
        <f>IF(VALUE(F7336) = VALUE(RIGHT(Insights!$C$3, 4)), E7336, "")</f>
        <v>#VALUE!</v>
      </c>
      <c r="H7336" s="26" t="e">
        <f t="shared" si="1"/>
        <v>#VALUE!</v>
      </c>
      <c r="I7336" s="1" t="e">
        <f t="shared" si="2"/>
        <v>#VALUE!</v>
      </c>
    </row>
    <row r="7337" spans="1:9" ht="15.75" customHeight="1">
      <c r="A7337" s="26"/>
      <c r="B7337" s="2"/>
      <c r="C7337" s="26"/>
      <c r="D7337" s="26"/>
      <c r="F7337" s="85" t="str">
        <f t="shared" si="0"/>
        <v/>
      </c>
      <c r="G7337" s="1" t="e">
        <f>IF(VALUE(F7337) = VALUE(RIGHT(Insights!$C$3, 4)), E7337, "")</f>
        <v>#VALUE!</v>
      </c>
      <c r="H7337" s="26" t="e">
        <f t="shared" si="1"/>
        <v>#VALUE!</v>
      </c>
      <c r="I7337" s="1" t="e">
        <f t="shared" si="2"/>
        <v>#VALUE!</v>
      </c>
    </row>
    <row r="7338" spans="1:9" ht="15.75" customHeight="1">
      <c r="A7338" s="26"/>
      <c r="B7338" s="2"/>
      <c r="C7338" s="26"/>
      <c r="D7338" s="26"/>
      <c r="F7338" s="85" t="str">
        <f t="shared" si="0"/>
        <v/>
      </c>
      <c r="G7338" s="1" t="e">
        <f>IF(VALUE(F7338) = VALUE(RIGHT(Insights!$C$3, 4)), E7338, "")</f>
        <v>#VALUE!</v>
      </c>
      <c r="H7338" s="26" t="e">
        <f t="shared" si="1"/>
        <v>#VALUE!</v>
      </c>
      <c r="I7338" s="1" t="e">
        <f t="shared" si="2"/>
        <v>#VALUE!</v>
      </c>
    </row>
    <row r="7339" spans="1:9" ht="15.75" customHeight="1">
      <c r="A7339" s="26"/>
      <c r="B7339" s="2"/>
      <c r="C7339" s="26"/>
      <c r="D7339" s="26"/>
      <c r="F7339" s="85" t="str">
        <f t="shared" si="0"/>
        <v/>
      </c>
      <c r="G7339" s="1" t="e">
        <f>IF(VALUE(F7339) = VALUE(RIGHT(Insights!$C$3, 4)), E7339, "")</f>
        <v>#VALUE!</v>
      </c>
      <c r="H7339" s="26" t="e">
        <f t="shared" si="1"/>
        <v>#VALUE!</v>
      </c>
      <c r="I7339" s="1" t="e">
        <f t="shared" si="2"/>
        <v>#VALUE!</v>
      </c>
    </row>
    <row r="7340" spans="1:9" ht="15.75" customHeight="1">
      <c r="A7340" s="26"/>
      <c r="B7340" s="2"/>
      <c r="C7340" s="26"/>
      <c r="D7340" s="26"/>
      <c r="F7340" s="85" t="str">
        <f t="shared" si="0"/>
        <v/>
      </c>
      <c r="G7340" s="1" t="e">
        <f>IF(VALUE(F7340) = VALUE(RIGHT(Insights!$C$3, 4)), E7340, "")</f>
        <v>#VALUE!</v>
      </c>
      <c r="H7340" s="26" t="e">
        <f t="shared" si="1"/>
        <v>#VALUE!</v>
      </c>
      <c r="I7340" s="1" t="e">
        <f t="shared" si="2"/>
        <v>#VALUE!</v>
      </c>
    </row>
    <row r="7341" spans="1:9" ht="15.75" customHeight="1">
      <c r="A7341" s="26"/>
      <c r="B7341" s="2"/>
      <c r="C7341" s="26"/>
      <c r="D7341" s="26"/>
      <c r="F7341" s="85" t="str">
        <f t="shared" si="0"/>
        <v/>
      </c>
      <c r="G7341" s="1" t="e">
        <f>IF(VALUE(F7341) = VALUE(RIGHT(Insights!$C$3, 4)), E7341, "")</f>
        <v>#VALUE!</v>
      </c>
      <c r="H7341" s="26" t="e">
        <f t="shared" si="1"/>
        <v>#VALUE!</v>
      </c>
      <c r="I7341" s="1" t="e">
        <f t="shared" si="2"/>
        <v>#VALUE!</v>
      </c>
    </row>
    <row r="7342" spans="1:9" ht="15.75" customHeight="1">
      <c r="A7342" s="26"/>
      <c r="B7342" s="2"/>
      <c r="C7342" s="26"/>
      <c r="D7342" s="26"/>
      <c r="F7342" s="85" t="str">
        <f t="shared" si="0"/>
        <v/>
      </c>
      <c r="G7342" s="1" t="e">
        <f>IF(VALUE(F7342) = VALUE(RIGHT(Insights!$C$3, 4)), E7342, "")</f>
        <v>#VALUE!</v>
      </c>
      <c r="H7342" s="26" t="e">
        <f t="shared" si="1"/>
        <v>#VALUE!</v>
      </c>
      <c r="I7342" s="1" t="e">
        <f t="shared" si="2"/>
        <v>#VALUE!</v>
      </c>
    </row>
    <row r="7343" spans="1:9" ht="15.75" customHeight="1">
      <c r="A7343" s="26"/>
      <c r="B7343" s="2"/>
      <c r="C7343" s="26"/>
      <c r="D7343" s="26"/>
      <c r="F7343" s="85" t="str">
        <f t="shared" si="0"/>
        <v/>
      </c>
      <c r="G7343" s="1" t="e">
        <f>IF(VALUE(F7343) = VALUE(RIGHT(Insights!$C$3, 4)), E7343, "")</f>
        <v>#VALUE!</v>
      </c>
      <c r="H7343" s="26" t="e">
        <f t="shared" si="1"/>
        <v>#VALUE!</v>
      </c>
      <c r="I7343" s="1" t="e">
        <f t="shared" si="2"/>
        <v>#VALUE!</v>
      </c>
    </row>
    <row r="7344" spans="1:9" ht="15.75" customHeight="1">
      <c r="A7344" s="26"/>
      <c r="B7344" s="2"/>
      <c r="C7344" s="26"/>
      <c r="D7344" s="26"/>
      <c r="F7344" s="85" t="str">
        <f t="shared" si="0"/>
        <v/>
      </c>
      <c r="G7344" s="1" t="e">
        <f>IF(VALUE(F7344) = VALUE(RIGHT(Insights!$C$3, 4)), E7344, "")</f>
        <v>#VALUE!</v>
      </c>
      <c r="H7344" s="26" t="e">
        <f t="shared" si="1"/>
        <v>#VALUE!</v>
      </c>
      <c r="I7344" s="1" t="e">
        <f t="shared" si="2"/>
        <v>#VALUE!</v>
      </c>
    </row>
    <row r="7345" spans="1:9" ht="15.75" customHeight="1">
      <c r="A7345" s="26"/>
      <c r="B7345" s="2"/>
      <c r="C7345" s="26"/>
      <c r="D7345" s="26"/>
      <c r="F7345" s="85" t="str">
        <f t="shared" si="0"/>
        <v/>
      </c>
      <c r="G7345" s="1" t="e">
        <f>IF(VALUE(F7345) = VALUE(RIGHT(Insights!$C$3, 4)), E7345, "")</f>
        <v>#VALUE!</v>
      </c>
      <c r="H7345" s="26" t="e">
        <f t="shared" si="1"/>
        <v>#VALUE!</v>
      </c>
      <c r="I7345" s="1" t="e">
        <f t="shared" si="2"/>
        <v>#VALUE!</v>
      </c>
    </row>
    <row r="7346" spans="1:9" ht="15.75" customHeight="1">
      <c r="A7346" s="26"/>
      <c r="B7346" s="2"/>
      <c r="C7346" s="26"/>
      <c r="D7346" s="26"/>
      <c r="F7346" s="85" t="str">
        <f t="shared" si="0"/>
        <v/>
      </c>
      <c r="G7346" s="1" t="e">
        <f>IF(VALUE(F7346) = VALUE(RIGHT(Insights!$C$3, 4)), E7346, "")</f>
        <v>#VALUE!</v>
      </c>
      <c r="H7346" s="26" t="e">
        <f t="shared" si="1"/>
        <v>#VALUE!</v>
      </c>
      <c r="I7346" s="1" t="e">
        <f t="shared" si="2"/>
        <v>#VALUE!</v>
      </c>
    </row>
    <row r="7347" spans="1:9" ht="15.75" customHeight="1">
      <c r="A7347" s="26"/>
      <c r="B7347" s="2"/>
      <c r="C7347" s="26"/>
      <c r="D7347" s="26"/>
      <c r="F7347" s="85" t="str">
        <f t="shared" si="0"/>
        <v/>
      </c>
      <c r="G7347" s="1" t="e">
        <f>IF(VALUE(F7347) = VALUE(RIGHT(Insights!$C$3, 4)), E7347, "")</f>
        <v>#VALUE!</v>
      </c>
      <c r="H7347" s="26" t="e">
        <f t="shared" si="1"/>
        <v>#VALUE!</v>
      </c>
      <c r="I7347" s="1" t="e">
        <f t="shared" si="2"/>
        <v>#VALUE!</v>
      </c>
    </row>
    <row r="7348" spans="1:9" ht="15.75" customHeight="1">
      <c r="A7348" s="26"/>
      <c r="B7348" s="2"/>
      <c r="C7348" s="26"/>
      <c r="D7348" s="26"/>
      <c r="F7348" s="85" t="str">
        <f t="shared" si="0"/>
        <v/>
      </c>
      <c r="G7348" s="1" t="e">
        <f>IF(VALUE(F7348) = VALUE(RIGHT(Insights!$C$3, 4)), E7348, "")</f>
        <v>#VALUE!</v>
      </c>
      <c r="H7348" s="26" t="e">
        <f t="shared" si="1"/>
        <v>#VALUE!</v>
      </c>
      <c r="I7348" s="1" t="e">
        <f t="shared" si="2"/>
        <v>#VALUE!</v>
      </c>
    </row>
    <row r="7349" spans="1:9" ht="15.75" customHeight="1">
      <c r="A7349" s="26"/>
      <c r="B7349" s="2"/>
      <c r="C7349" s="26"/>
      <c r="D7349" s="26"/>
      <c r="F7349" s="85" t="str">
        <f t="shared" si="0"/>
        <v/>
      </c>
      <c r="G7349" s="1" t="e">
        <f>IF(VALUE(F7349) = VALUE(RIGHT(Insights!$C$3, 4)), E7349, "")</f>
        <v>#VALUE!</v>
      </c>
      <c r="H7349" s="26" t="e">
        <f t="shared" si="1"/>
        <v>#VALUE!</v>
      </c>
      <c r="I7349" s="1" t="e">
        <f t="shared" si="2"/>
        <v>#VALUE!</v>
      </c>
    </row>
    <row r="7350" spans="1:9" ht="15.75" customHeight="1">
      <c r="A7350" s="26"/>
      <c r="B7350" s="2"/>
      <c r="C7350" s="26"/>
      <c r="D7350" s="26"/>
      <c r="F7350" s="85" t="str">
        <f t="shared" si="0"/>
        <v/>
      </c>
      <c r="G7350" s="1" t="e">
        <f>IF(VALUE(F7350) = VALUE(RIGHT(Insights!$C$3, 4)), E7350, "")</f>
        <v>#VALUE!</v>
      </c>
      <c r="H7350" s="26" t="e">
        <f t="shared" si="1"/>
        <v>#VALUE!</v>
      </c>
      <c r="I7350" s="1" t="e">
        <f t="shared" si="2"/>
        <v>#VALUE!</v>
      </c>
    </row>
    <row r="7351" spans="1:9" ht="15.75" customHeight="1">
      <c r="A7351" s="26"/>
      <c r="B7351" s="2"/>
      <c r="C7351" s="26"/>
      <c r="D7351" s="26"/>
      <c r="F7351" s="85" t="str">
        <f t="shared" si="0"/>
        <v/>
      </c>
      <c r="G7351" s="1" t="e">
        <f>IF(VALUE(F7351) = VALUE(RIGHT(Insights!$C$3, 4)), E7351, "")</f>
        <v>#VALUE!</v>
      </c>
      <c r="H7351" s="26" t="e">
        <f t="shared" si="1"/>
        <v>#VALUE!</v>
      </c>
      <c r="I7351" s="1" t="e">
        <f t="shared" si="2"/>
        <v>#VALUE!</v>
      </c>
    </row>
    <row r="7352" spans="1:9" ht="15.75" customHeight="1">
      <c r="A7352" s="26"/>
      <c r="B7352" s="2"/>
      <c r="C7352" s="26"/>
      <c r="D7352" s="26"/>
      <c r="F7352" s="85" t="str">
        <f t="shared" si="0"/>
        <v/>
      </c>
      <c r="G7352" s="1" t="e">
        <f>IF(VALUE(F7352) = VALUE(RIGHT(Insights!$C$3, 4)), E7352, "")</f>
        <v>#VALUE!</v>
      </c>
      <c r="H7352" s="26" t="e">
        <f t="shared" si="1"/>
        <v>#VALUE!</v>
      </c>
      <c r="I7352" s="1" t="e">
        <f t="shared" si="2"/>
        <v>#VALUE!</v>
      </c>
    </row>
    <row r="7353" spans="1:9" ht="15.75" customHeight="1">
      <c r="A7353" s="26"/>
      <c r="B7353" s="2"/>
      <c r="C7353" s="26"/>
      <c r="D7353" s="26"/>
      <c r="F7353" s="85" t="str">
        <f t="shared" si="0"/>
        <v/>
      </c>
      <c r="G7353" s="1" t="e">
        <f>IF(VALUE(F7353) = VALUE(RIGHT(Insights!$C$3, 4)), E7353, "")</f>
        <v>#VALUE!</v>
      </c>
      <c r="H7353" s="26" t="e">
        <f t="shared" si="1"/>
        <v>#VALUE!</v>
      </c>
      <c r="I7353" s="1" t="e">
        <f t="shared" si="2"/>
        <v>#VALUE!</v>
      </c>
    </row>
    <row r="7354" spans="1:9" ht="15.75" customHeight="1">
      <c r="A7354" s="26"/>
      <c r="B7354" s="2"/>
      <c r="C7354" s="26"/>
      <c r="D7354" s="26"/>
      <c r="F7354" s="85" t="str">
        <f t="shared" si="0"/>
        <v/>
      </c>
      <c r="G7354" s="1" t="e">
        <f>IF(VALUE(F7354) = VALUE(RIGHT(Insights!$C$3, 4)), E7354, "")</f>
        <v>#VALUE!</v>
      </c>
      <c r="H7354" s="26" t="e">
        <f t="shared" si="1"/>
        <v>#VALUE!</v>
      </c>
      <c r="I7354" s="1" t="e">
        <f t="shared" si="2"/>
        <v>#VALUE!</v>
      </c>
    </row>
    <row r="7355" spans="1:9" ht="15.75" customHeight="1">
      <c r="A7355" s="26"/>
      <c r="B7355" s="2"/>
      <c r="C7355" s="26"/>
      <c r="D7355" s="26"/>
      <c r="F7355" s="85" t="str">
        <f t="shared" si="0"/>
        <v/>
      </c>
      <c r="G7355" s="1" t="e">
        <f>IF(VALUE(F7355) = VALUE(RIGHT(Insights!$C$3, 4)), E7355, "")</f>
        <v>#VALUE!</v>
      </c>
      <c r="H7355" s="26" t="e">
        <f t="shared" si="1"/>
        <v>#VALUE!</v>
      </c>
      <c r="I7355" s="1" t="e">
        <f t="shared" si="2"/>
        <v>#VALUE!</v>
      </c>
    </row>
    <row r="7356" spans="1:9" ht="15.75" customHeight="1">
      <c r="A7356" s="26"/>
      <c r="B7356" s="2"/>
      <c r="C7356" s="26"/>
      <c r="D7356" s="26"/>
      <c r="F7356" s="85" t="str">
        <f t="shared" si="0"/>
        <v/>
      </c>
      <c r="G7356" s="1" t="e">
        <f>IF(VALUE(F7356) = VALUE(RIGHT(Insights!$C$3, 4)), E7356, "")</f>
        <v>#VALUE!</v>
      </c>
      <c r="H7356" s="26" t="e">
        <f t="shared" si="1"/>
        <v>#VALUE!</v>
      </c>
      <c r="I7356" s="1" t="e">
        <f t="shared" si="2"/>
        <v>#VALUE!</v>
      </c>
    </row>
    <row r="7357" spans="1:9" ht="15.75" customHeight="1">
      <c r="A7357" s="26"/>
      <c r="B7357" s="2"/>
      <c r="C7357" s="26"/>
      <c r="D7357" s="26"/>
      <c r="F7357" s="85" t="str">
        <f t="shared" si="0"/>
        <v/>
      </c>
      <c r="G7357" s="1" t="e">
        <f>IF(VALUE(F7357) = VALUE(RIGHT(Insights!$C$3, 4)), E7357, "")</f>
        <v>#VALUE!</v>
      </c>
      <c r="H7357" s="26" t="e">
        <f t="shared" si="1"/>
        <v>#VALUE!</v>
      </c>
      <c r="I7357" s="1" t="e">
        <f t="shared" si="2"/>
        <v>#VALUE!</v>
      </c>
    </row>
    <row r="7358" spans="1:9" ht="15.75" customHeight="1">
      <c r="A7358" s="26"/>
      <c r="B7358" s="2"/>
      <c r="C7358" s="26"/>
      <c r="D7358" s="26"/>
      <c r="F7358" s="85" t="str">
        <f t="shared" si="0"/>
        <v/>
      </c>
      <c r="G7358" s="1" t="e">
        <f>IF(VALUE(F7358) = VALUE(RIGHT(Insights!$C$3, 4)), E7358, "")</f>
        <v>#VALUE!</v>
      </c>
      <c r="H7358" s="26" t="e">
        <f t="shared" si="1"/>
        <v>#VALUE!</v>
      </c>
      <c r="I7358" s="1" t="e">
        <f t="shared" si="2"/>
        <v>#VALUE!</v>
      </c>
    </row>
    <row r="7359" spans="1:9" ht="15.75" customHeight="1">
      <c r="A7359" s="26"/>
      <c r="B7359" s="2"/>
      <c r="C7359" s="26"/>
      <c r="D7359" s="26"/>
      <c r="F7359" s="85" t="str">
        <f t="shared" si="0"/>
        <v/>
      </c>
      <c r="G7359" s="1" t="e">
        <f>IF(VALUE(F7359) = VALUE(RIGHT(Insights!$C$3, 4)), E7359, "")</f>
        <v>#VALUE!</v>
      </c>
      <c r="H7359" s="26" t="e">
        <f t="shared" si="1"/>
        <v>#VALUE!</v>
      </c>
      <c r="I7359" s="1" t="e">
        <f t="shared" si="2"/>
        <v>#VALUE!</v>
      </c>
    </row>
    <row r="7360" spans="1:9" ht="15.75" customHeight="1">
      <c r="A7360" s="26"/>
      <c r="B7360" s="2"/>
      <c r="C7360" s="26"/>
      <c r="D7360" s="26"/>
      <c r="F7360" s="85" t="str">
        <f t="shared" si="0"/>
        <v/>
      </c>
      <c r="G7360" s="1" t="e">
        <f>IF(VALUE(F7360) = VALUE(RIGHT(Insights!$C$3, 4)), E7360, "")</f>
        <v>#VALUE!</v>
      </c>
      <c r="H7360" s="26" t="e">
        <f t="shared" si="1"/>
        <v>#VALUE!</v>
      </c>
      <c r="I7360" s="1" t="e">
        <f t="shared" si="2"/>
        <v>#VALUE!</v>
      </c>
    </row>
    <row r="7361" spans="1:9" ht="15.75" customHeight="1">
      <c r="A7361" s="26"/>
      <c r="B7361" s="2"/>
      <c r="C7361" s="26"/>
      <c r="D7361" s="26"/>
      <c r="F7361" s="85" t="str">
        <f t="shared" si="0"/>
        <v/>
      </c>
      <c r="G7361" s="1" t="e">
        <f>IF(VALUE(F7361) = VALUE(RIGHT(Insights!$C$3, 4)), E7361, "")</f>
        <v>#VALUE!</v>
      </c>
      <c r="H7361" s="26" t="e">
        <f t="shared" si="1"/>
        <v>#VALUE!</v>
      </c>
      <c r="I7361" s="1" t="e">
        <f t="shared" si="2"/>
        <v>#VALUE!</v>
      </c>
    </row>
    <row r="7362" spans="1:9" ht="15.75" customHeight="1">
      <c r="A7362" s="26"/>
      <c r="B7362" s="2"/>
      <c r="C7362" s="26"/>
      <c r="D7362" s="26"/>
      <c r="F7362" s="85" t="str">
        <f t="shared" si="0"/>
        <v/>
      </c>
      <c r="G7362" s="1" t="e">
        <f>IF(VALUE(F7362) = VALUE(RIGHT(Insights!$C$3, 4)), E7362, "")</f>
        <v>#VALUE!</v>
      </c>
      <c r="H7362" s="26" t="e">
        <f t="shared" si="1"/>
        <v>#VALUE!</v>
      </c>
      <c r="I7362" s="1" t="e">
        <f t="shared" si="2"/>
        <v>#VALUE!</v>
      </c>
    </row>
    <row r="7363" spans="1:9" ht="15.75" customHeight="1">
      <c r="A7363" s="26"/>
      <c r="B7363" s="2"/>
      <c r="C7363" s="26"/>
      <c r="D7363" s="26"/>
      <c r="F7363" s="85" t="str">
        <f t="shared" si="0"/>
        <v/>
      </c>
      <c r="G7363" s="1" t="e">
        <f>IF(VALUE(F7363) = VALUE(RIGHT(Insights!$C$3, 4)), E7363, "")</f>
        <v>#VALUE!</v>
      </c>
      <c r="H7363" s="26" t="e">
        <f t="shared" si="1"/>
        <v>#VALUE!</v>
      </c>
      <c r="I7363" s="1" t="e">
        <f t="shared" si="2"/>
        <v>#VALUE!</v>
      </c>
    </row>
    <row r="7364" spans="1:9" ht="15.75" customHeight="1">
      <c r="A7364" s="26"/>
      <c r="B7364" s="2"/>
      <c r="C7364" s="26"/>
      <c r="D7364" s="26"/>
      <c r="F7364" s="85" t="str">
        <f t="shared" si="0"/>
        <v/>
      </c>
      <c r="G7364" s="1" t="e">
        <f>IF(VALUE(F7364) = VALUE(RIGHT(Insights!$C$3, 4)), E7364, "")</f>
        <v>#VALUE!</v>
      </c>
      <c r="H7364" s="26" t="e">
        <f t="shared" si="1"/>
        <v>#VALUE!</v>
      </c>
      <c r="I7364" s="1" t="e">
        <f t="shared" si="2"/>
        <v>#VALUE!</v>
      </c>
    </row>
    <row r="7365" spans="1:9" ht="15.75" customHeight="1">
      <c r="A7365" s="26"/>
      <c r="B7365" s="2"/>
      <c r="C7365" s="26"/>
      <c r="D7365" s="26"/>
      <c r="F7365" s="85" t="str">
        <f t="shared" si="0"/>
        <v/>
      </c>
      <c r="G7365" s="1" t="e">
        <f>IF(VALUE(F7365) = VALUE(RIGHT(Insights!$C$3, 4)), E7365, "")</f>
        <v>#VALUE!</v>
      </c>
      <c r="H7365" s="26" t="e">
        <f t="shared" si="1"/>
        <v>#VALUE!</v>
      </c>
      <c r="I7365" s="1" t="e">
        <f t="shared" si="2"/>
        <v>#VALUE!</v>
      </c>
    </row>
    <row r="7366" spans="1:9" ht="15.75" customHeight="1">
      <c r="A7366" s="26"/>
      <c r="B7366" s="2"/>
      <c r="C7366" s="26"/>
      <c r="D7366" s="26"/>
      <c r="F7366" s="85" t="str">
        <f t="shared" si="0"/>
        <v/>
      </c>
      <c r="G7366" s="1" t="e">
        <f>IF(VALUE(F7366) = VALUE(RIGHT(Insights!$C$3, 4)), E7366, "")</f>
        <v>#VALUE!</v>
      </c>
      <c r="H7366" s="26" t="e">
        <f t="shared" si="1"/>
        <v>#VALUE!</v>
      </c>
      <c r="I7366" s="1" t="e">
        <f t="shared" si="2"/>
        <v>#VALUE!</v>
      </c>
    </row>
    <row r="7367" spans="1:9" ht="15.75" customHeight="1">
      <c r="A7367" s="26"/>
      <c r="B7367" s="2"/>
      <c r="C7367" s="26"/>
      <c r="D7367" s="26"/>
      <c r="F7367" s="85" t="str">
        <f t="shared" si="0"/>
        <v/>
      </c>
      <c r="G7367" s="1" t="e">
        <f>IF(VALUE(F7367) = VALUE(RIGHT(Insights!$C$3, 4)), E7367, "")</f>
        <v>#VALUE!</v>
      </c>
      <c r="H7367" s="26" t="e">
        <f t="shared" si="1"/>
        <v>#VALUE!</v>
      </c>
      <c r="I7367" s="1" t="e">
        <f t="shared" si="2"/>
        <v>#VALUE!</v>
      </c>
    </row>
    <row r="7368" spans="1:9" ht="15.75" customHeight="1">
      <c r="A7368" s="26"/>
      <c r="B7368" s="2"/>
      <c r="C7368" s="26"/>
      <c r="D7368" s="26"/>
      <c r="F7368" s="85" t="str">
        <f t="shared" si="0"/>
        <v/>
      </c>
      <c r="G7368" s="1" t="e">
        <f>IF(VALUE(F7368) = VALUE(RIGHT(Insights!$C$3, 4)), E7368, "")</f>
        <v>#VALUE!</v>
      </c>
      <c r="H7368" s="26" t="e">
        <f t="shared" si="1"/>
        <v>#VALUE!</v>
      </c>
      <c r="I7368" s="1" t="e">
        <f t="shared" si="2"/>
        <v>#VALUE!</v>
      </c>
    </row>
    <row r="7369" spans="1:9" ht="15.75" customHeight="1">
      <c r="A7369" s="26"/>
      <c r="B7369" s="2"/>
      <c r="C7369" s="26"/>
      <c r="D7369" s="26"/>
      <c r="F7369" s="85" t="str">
        <f t="shared" si="0"/>
        <v/>
      </c>
      <c r="G7369" s="1" t="e">
        <f>IF(VALUE(F7369) = VALUE(RIGHT(Insights!$C$3, 4)), E7369, "")</f>
        <v>#VALUE!</v>
      </c>
      <c r="H7369" s="26" t="e">
        <f t="shared" si="1"/>
        <v>#VALUE!</v>
      </c>
      <c r="I7369" s="1" t="e">
        <f t="shared" si="2"/>
        <v>#VALUE!</v>
      </c>
    </row>
    <row r="7370" spans="1:9" ht="15.75" customHeight="1">
      <c r="A7370" s="26"/>
      <c r="B7370" s="2"/>
      <c r="C7370" s="26"/>
      <c r="D7370" s="26"/>
      <c r="F7370" s="85" t="str">
        <f t="shared" si="0"/>
        <v/>
      </c>
      <c r="G7370" s="1" t="e">
        <f>IF(VALUE(F7370) = VALUE(RIGHT(Insights!$C$3, 4)), E7370, "")</f>
        <v>#VALUE!</v>
      </c>
      <c r="H7370" s="26" t="e">
        <f t="shared" si="1"/>
        <v>#VALUE!</v>
      </c>
      <c r="I7370" s="1" t="e">
        <f t="shared" si="2"/>
        <v>#VALUE!</v>
      </c>
    </row>
    <row r="7371" spans="1:9" ht="15.75" customHeight="1">
      <c r="A7371" s="26"/>
      <c r="B7371" s="2"/>
      <c r="C7371" s="26"/>
      <c r="D7371" s="26"/>
      <c r="F7371" s="85" t="str">
        <f t="shared" si="0"/>
        <v/>
      </c>
      <c r="G7371" s="1" t="e">
        <f>IF(VALUE(F7371) = VALUE(RIGHT(Insights!$C$3, 4)), E7371, "")</f>
        <v>#VALUE!</v>
      </c>
      <c r="H7371" s="26" t="e">
        <f t="shared" si="1"/>
        <v>#VALUE!</v>
      </c>
      <c r="I7371" s="1" t="e">
        <f t="shared" si="2"/>
        <v>#VALUE!</v>
      </c>
    </row>
    <row r="7372" spans="1:9" ht="15.75" customHeight="1">
      <c r="A7372" s="26"/>
      <c r="B7372" s="2"/>
      <c r="C7372" s="26"/>
      <c r="D7372" s="26"/>
      <c r="F7372" s="85" t="str">
        <f t="shared" si="0"/>
        <v/>
      </c>
      <c r="G7372" s="1" t="e">
        <f>IF(VALUE(F7372) = VALUE(RIGHT(Insights!$C$3, 4)), E7372, "")</f>
        <v>#VALUE!</v>
      </c>
      <c r="H7372" s="26" t="e">
        <f t="shared" si="1"/>
        <v>#VALUE!</v>
      </c>
      <c r="I7372" s="1" t="e">
        <f t="shared" si="2"/>
        <v>#VALUE!</v>
      </c>
    </row>
    <row r="7373" spans="1:9" ht="15.75" customHeight="1">
      <c r="A7373" s="26"/>
      <c r="B7373" s="2"/>
      <c r="C7373" s="26"/>
      <c r="D7373" s="26"/>
      <c r="F7373" s="85" t="str">
        <f t="shared" si="0"/>
        <v/>
      </c>
      <c r="G7373" s="1" t="e">
        <f>IF(VALUE(F7373) = VALUE(RIGHT(Insights!$C$3, 4)), E7373, "")</f>
        <v>#VALUE!</v>
      </c>
      <c r="H7373" s="26" t="e">
        <f t="shared" si="1"/>
        <v>#VALUE!</v>
      </c>
      <c r="I7373" s="1" t="e">
        <f t="shared" si="2"/>
        <v>#VALUE!</v>
      </c>
    </row>
    <row r="7374" spans="1:9" ht="15.75" customHeight="1">
      <c r="A7374" s="26"/>
      <c r="B7374" s="2"/>
      <c r="C7374" s="26"/>
      <c r="D7374" s="26"/>
      <c r="F7374" s="85" t="str">
        <f t="shared" si="0"/>
        <v/>
      </c>
      <c r="G7374" s="1" t="e">
        <f>IF(VALUE(F7374) = VALUE(RIGHT(Insights!$C$3, 4)), E7374, "")</f>
        <v>#VALUE!</v>
      </c>
      <c r="H7374" s="26" t="e">
        <f t="shared" si="1"/>
        <v>#VALUE!</v>
      </c>
      <c r="I7374" s="1" t="e">
        <f t="shared" si="2"/>
        <v>#VALUE!</v>
      </c>
    </row>
    <row r="7375" spans="1:9" ht="15.75" customHeight="1">
      <c r="A7375" s="26"/>
      <c r="B7375" s="2"/>
      <c r="C7375" s="26"/>
      <c r="D7375" s="26"/>
      <c r="F7375" s="85" t="str">
        <f t="shared" si="0"/>
        <v/>
      </c>
      <c r="G7375" s="1" t="e">
        <f>IF(VALUE(F7375) = VALUE(RIGHT(Insights!$C$3, 4)), E7375, "")</f>
        <v>#VALUE!</v>
      </c>
      <c r="H7375" s="26" t="e">
        <f t="shared" si="1"/>
        <v>#VALUE!</v>
      </c>
      <c r="I7375" s="1" t="e">
        <f t="shared" si="2"/>
        <v>#VALUE!</v>
      </c>
    </row>
    <row r="7376" spans="1:9" ht="15.75" customHeight="1">
      <c r="A7376" s="26"/>
      <c r="B7376" s="2"/>
      <c r="C7376" s="26"/>
      <c r="D7376" s="26"/>
      <c r="F7376" s="85" t="str">
        <f t="shared" si="0"/>
        <v/>
      </c>
      <c r="G7376" s="1" t="e">
        <f>IF(VALUE(F7376) = VALUE(RIGHT(Insights!$C$3, 4)), E7376, "")</f>
        <v>#VALUE!</v>
      </c>
      <c r="H7376" s="26" t="e">
        <f t="shared" si="1"/>
        <v>#VALUE!</v>
      </c>
      <c r="I7376" s="1" t="e">
        <f t="shared" si="2"/>
        <v>#VALUE!</v>
      </c>
    </row>
    <row r="7377" spans="1:9" ht="15.75" customHeight="1">
      <c r="A7377" s="26"/>
      <c r="B7377" s="2"/>
      <c r="C7377" s="26"/>
      <c r="D7377" s="26"/>
      <c r="F7377" s="85" t="str">
        <f t="shared" si="0"/>
        <v/>
      </c>
      <c r="G7377" s="1" t="e">
        <f>IF(VALUE(F7377) = VALUE(RIGHT(Insights!$C$3, 4)), E7377, "")</f>
        <v>#VALUE!</v>
      </c>
      <c r="H7377" s="26" t="e">
        <f t="shared" si="1"/>
        <v>#VALUE!</v>
      </c>
      <c r="I7377" s="1" t="e">
        <f t="shared" si="2"/>
        <v>#VALUE!</v>
      </c>
    </row>
    <row r="7378" spans="1:9" ht="15.75" customHeight="1">
      <c r="A7378" s="26"/>
      <c r="B7378" s="2"/>
      <c r="C7378" s="26"/>
      <c r="D7378" s="26"/>
      <c r="F7378" s="85" t="str">
        <f t="shared" si="0"/>
        <v/>
      </c>
      <c r="G7378" s="1" t="e">
        <f>IF(VALUE(F7378) = VALUE(RIGHT(Insights!$C$3, 4)), E7378, "")</f>
        <v>#VALUE!</v>
      </c>
      <c r="H7378" s="26" t="e">
        <f t="shared" si="1"/>
        <v>#VALUE!</v>
      </c>
      <c r="I7378" s="1" t="e">
        <f t="shared" si="2"/>
        <v>#VALUE!</v>
      </c>
    </row>
    <row r="7379" spans="1:9" ht="15.75" customHeight="1">
      <c r="A7379" s="26"/>
      <c r="B7379" s="2"/>
      <c r="C7379" s="26"/>
      <c r="D7379" s="26"/>
      <c r="F7379" s="85" t="str">
        <f t="shared" si="0"/>
        <v/>
      </c>
      <c r="G7379" s="1" t="e">
        <f>IF(VALUE(F7379) = VALUE(RIGHT(Insights!$C$3, 4)), E7379, "")</f>
        <v>#VALUE!</v>
      </c>
      <c r="H7379" s="26" t="e">
        <f t="shared" si="1"/>
        <v>#VALUE!</v>
      </c>
      <c r="I7379" s="1" t="e">
        <f t="shared" si="2"/>
        <v>#VALUE!</v>
      </c>
    </row>
    <row r="7380" spans="1:9" ht="15.75" customHeight="1">
      <c r="A7380" s="26"/>
      <c r="B7380" s="2"/>
      <c r="C7380" s="26"/>
      <c r="D7380" s="26"/>
      <c r="F7380" s="85" t="str">
        <f t="shared" si="0"/>
        <v/>
      </c>
      <c r="G7380" s="1" t="e">
        <f>IF(VALUE(F7380) = VALUE(RIGHT(Insights!$C$3, 4)), E7380, "")</f>
        <v>#VALUE!</v>
      </c>
      <c r="H7380" s="26" t="e">
        <f t="shared" si="1"/>
        <v>#VALUE!</v>
      </c>
      <c r="I7380" s="1" t="e">
        <f t="shared" si="2"/>
        <v>#VALUE!</v>
      </c>
    </row>
    <row r="7381" spans="1:9" ht="15.75" customHeight="1">
      <c r="A7381" s="26"/>
      <c r="B7381" s="2"/>
      <c r="C7381" s="26"/>
      <c r="D7381" s="26"/>
      <c r="F7381" s="85" t="str">
        <f t="shared" si="0"/>
        <v/>
      </c>
      <c r="G7381" s="1" t="e">
        <f>IF(VALUE(F7381) = VALUE(RIGHT(Insights!$C$3, 4)), E7381, "")</f>
        <v>#VALUE!</v>
      </c>
      <c r="H7381" s="26" t="e">
        <f t="shared" si="1"/>
        <v>#VALUE!</v>
      </c>
      <c r="I7381" s="1" t="e">
        <f t="shared" si="2"/>
        <v>#VALUE!</v>
      </c>
    </row>
    <row r="7382" spans="1:9" ht="15.75" customHeight="1">
      <c r="A7382" s="26"/>
      <c r="B7382" s="2"/>
      <c r="C7382" s="26"/>
      <c r="D7382" s="26"/>
      <c r="F7382" s="85" t="str">
        <f t="shared" si="0"/>
        <v/>
      </c>
      <c r="G7382" s="1" t="e">
        <f>IF(VALUE(F7382) = VALUE(RIGHT(Insights!$C$3, 4)), E7382, "")</f>
        <v>#VALUE!</v>
      </c>
      <c r="H7382" s="26" t="e">
        <f t="shared" si="1"/>
        <v>#VALUE!</v>
      </c>
      <c r="I7382" s="1" t="e">
        <f t="shared" si="2"/>
        <v>#VALUE!</v>
      </c>
    </row>
    <row r="7383" spans="1:9" ht="15.75" customHeight="1">
      <c r="A7383" s="26"/>
      <c r="B7383" s="2"/>
      <c r="C7383" s="26"/>
      <c r="D7383" s="26"/>
      <c r="F7383" s="85" t="str">
        <f t="shared" si="0"/>
        <v/>
      </c>
      <c r="G7383" s="1" t="e">
        <f>IF(VALUE(F7383) = VALUE(RIGHT(Insights!$C$3, 4)), E7383, "")</f>
        <v>#VALUE!</v>
      </c>
      <c r="H7383" s="26" t="e">
        <f t="shared" si="1"/>
        <v>#VALUE!</v>
      </c>
      <c r="I7383" s="1" t="e">
        <f t="shared" si="2"/>
        <v>#VALUE!</v>
      </c>
    </row>
    <row r="7384" spans="1:9" ht="15.75" customHeight="1">
      <c r="A7384" s="26"/>
      <c r="B7384" s="2"/>
      <c r="C7384" s="26"/>
      <c r="D7384" s="26"/>
      <c r="F7384" s="85" t="str">
        <f t="shared" si="0"/>
        <v/>
      </c>
      <c r="G7384" s="1" t="e">
        <f>IF(VALUE(F7384) = VALUE(RIGHT(Insights!$C$3, 4)), E7384, "")</f>
        <v>#VALUE!</v>
      </c>
      <c r="H7384" s="26" t="e">
        <f t="shared" si="1"/>
        <v>#VALUE!</v>
      </c>
      <c r="I7384" s="1" t="e">
        <f t="shared" si="2"/>
        <v>#VALUE!</v>
      </c>
    </row>
    <row r="7385" spans="1:9" ht="15.75" customHeight="1">
      <c r="A7385" s="26"/>
      <c r="B7385" s="2"/>
      <c r="C7385" s="26"/>
      <c r="D7385" s="26"/>
      <c r="F7385" s="85" t="str">
        <f t="shared" si="0"/>
        <v/>
      </c>
      <c r="G7385" s="1" t="e">
        <f>IF(VALUE(F7385) = VALUE(RIGHT(Insights!$C$3, 4)), E7385, "")</f>
        <v>#VALUE!</v>
      </c>
      <c r="H7385" s="26" t="e">
        <f t="shared" si="1"/>
        <v>#VALUE!</v>
      </c>
      <c r="I7385" s="1" t="e">
        <f t="shared" si="2"/>
        <v>#VALUE!</v>
      </c>
    </row>
    <row r="7386" spans="1:9" ht="15.75" customHeight="1">
      <c r="A7386" s="26"/>
      <c r="B7386" s="2"/>
      <c r="C7386" s="26"/>
      <c r="D7386" s="26"/>
      <c r="F7386" s="85" t="str">
        <f t="shared" si="0"/>
        <v/>
      </c>
      <c r="G7386" s="1" t="e">
        <f>IF(VALUE(F7386) = VALUE(RIGHT(Insights!$C$3, 4)), E7386, "")</f>
        <v>#VALUE!</v>
      </c>
      <c r="H7386" s="26" t="e">
        <f t="shared" si="1"/>
        <v>#VALUE!</v>
      </c>
      <c r="I7386" s="1" t="e">
        <f t="shared" si="2"/>
        <v>#VALUE!</v>
      </c>
    </row>
    <row r="7387" spans="1:9" ht="15.75" customHeight="1">
      <c r="A7387" s="26"/>
      <c r="B7387" s="2"/>
      <c r="C7387" s="26"/>
      <c r="D7387" s="26"/>
      <c r="F7387" s="85" t="str">
        <f t="shared" si="0"/>
        <v/>
      </c>
      <c r="G7387" s="1" t="e">
        <f>IF(VALUE(F7387) = VALUE(RIGHT(Insights!$C$3, 4)), E7387, "")</f>
        <v>#VALUE!</v>
      </c>
      <c r="H7387" s="26" t="e">
        <f t="shared" si="1"/>
        <v>#VALUE!</v>
      </c>
      <c r="I7387" s="1" t="e">
        <f t="shared" si="2"/>
        <v>#VALUE!</v>
      </c>
    </row>
    <row r="7388" spans="1:9" ht="15.75" customHeight="1">
      <c r="A7388" s="26"/>
      <c r="B7388" s="2"/>
      <c r="C7388" s="26"/>
      <c r="D7388" s="26"/>
      <c r="F7388" s="85" t="str">
        <f t="shared" si="0"/>
        <v/>
      </c>
      <c r="G7388" s="1" t="e">
        <f>IF(VALUE(F7388) = VALUE(RIGHT(Insights!$C$3, 4)), E7388, "")</f>
        <v>#VALUE!</v>
      </c>
      <c r="H7388" s="26" t="e">
        <f t="shared" si="1"/>
        <v>#VALUE!</v>
      </c>
      <c r="I7388" s="1" t="e">
        <f t="shared" si="2"/>
        <v>#VALUE!</v>
      </c>
    </row>
    <row r="7389" spans="1:9" ht="15.75" customHeight="1">
      <c r="A7389" s="26"/>
      <c r="B7389" s="2"/>
      <c r="C7389" s="26"/>
      <c r="D7389" s="26"/>
      <c r="F7389" s="85" t="str">
        <f t="shared" si="0"/>
        <v/>
      </c>
      <c r="G7389" s="1" t="e">
        <f>IF(VALUE(F7389) = VALUE(RIGHT(Insights!$C$3, 4)), E7389, "")</f>
        <v>#VALUE!</v>
      </c>
      <c r="H7389" s="26" t="e">
        <f t="shared" si="1"/>
        <v>#VALUE!</v>
      </c>
      <c r="I7389" s="1" t="e">
        <f t="shared" si="2"/>
        <v>#VALUE!</v>
      </c>
    </row>
    <row r="7390" spans="1:9" ht="15.75" customHeight="1">
      <c r="A7390" s="26"/>
      <c r="B7390" s="2"/>
      <c r="C7390" s="26"/>
      <c r="D7390" s="26"/>
      <c r="F7390" s="85" t="str">
        <f t="shared" si="0"/>
        <v/>
      </c>
      <c r="G7390" s="1" t="e">
        <f>IF(VALUE(F7390) = VALUE(RIGHT(Insights!$C$3, 4)), E7390, "")</f>
        <v>#VALUE!</v>
      </c>
      <c r="H7390" s="26" t="e">
        <f t="shared" si="1"/>
        <v>#VALUE!</v>
      </c>
      <c r="I7390" s="1" t="e">
        <f t="shared" si="2"/>
        <v>#VALUE!</v>
      </c>
    </row>
    <row r="7391" spans="1:9" ht="15.75" customHeight="1">
      <c r="A7391" s="26"/>
      <c r="B7391" s="2"/>
      <c r="C7391" s="26"/>
      <c r="D7391" s="26"/>
      <c r="F7391" s="85" t="str">
        <f t="shared" si="0"/>
        <v/>
      </c>
      <c r="G7391" s="1" t="e">
        <f>IF(VALUE(F7391) = VALUE(RIGHT(Insights!$C$3, 4)), E7391, "")</f>
        <v>#VALUE!</v>
      </c>
      <c r="H7391" s="26" t="e">
        <f t="shared" si="1"/>
        <v>#VALUE!</v>
      </c>
      <c r="I7391" s="1" t="e">
        <f t="shared" si="2"/>
        <v>#VALUE!</v>
      </c>
    </row>
    <row r="7392" spans="1:9" ht="15.75" customHeight="1">
      <c r="A7392" s="26"/>
      <c r="B7392" s="2"/>
      <c r="C7392" s="26"/>
      <c r="D7392" s="26"/>
      <c r="F7392" s="85" t="str">
        <f t="shared" si="0"/>
        <v/>
      </c>
      <c r="G7392" s="1" t="e">
        <f>IF(VALUE(F7392) = VALUE(RIGHT(Insights!$C$3, 4)), E7392, "")</f>
        <v>#VALUE!</v>
      </c>
      <c r="H7392" s="26" t="e">
        <f t="shared" si="1"/>
        <v>#VALUE!</v>
      </c>
      <c r="I7392" s="1" t="e">
        <f t="shared" si="2"/>
        <v>#VALUE!</v>
      </c>
    </row>
    <row r="7393" spans="1:9" ht="15.75" customHeight="1">
      <c r="A7393" s="26"/>
      <c r="B7393" s="2"/>
      <c r="C7393" s="26"/>
      <c r="D7393" s="26"/>
      <c r="F7393" s="85" t="str">
        <f t="shared" si="0"/>
        <v/>
      </c>
      <c r="G7393" s="1" t="e">
        <f>IF(VALUE(F7393) = VALUE(RIGHT(Insights!$C$3, 4)), E7393, "")</f>
        <v>#VALUE!</v>
      </c>
      <c r="H7393" s="26" t="e">
        <f t="shared" si="1"/>
        <v>#VALUE!</v>
      </c>
      <c r="I7393" s="1" t="e">
        <f t="shared" si="2"/>
        <v>#VALUE!</v>
      </c>
    </row>
    <row r="7394" spans="1:9" ht="15.75" customHeight="1">
      <c r="A7394" s="26"/>
      <c r="B7394" s="2"/>
      <c r="C7394" s="26"/>
      <c r="D7394" s="26"/>
      <c r="F7394" s="85" t="str">
        <f t="shared" si="0"/>
        <v/>
      </c>
      <c r="G7394" s="1" t="e">
        <f>IF(VALUE(F7394) = VALUE(RIGHT(Insights!$C$3, 4)), E7394, "")</f>
        <v>#VALUE!</v>
      </c>
      <c r="H7394" s="26" t="e">
        <f t="shared" si="1"/>
        <v>#VALUE!</v>
      </c>
      <c r="I7394" s="1" t="e">
        <f t="shared" si="2"/>
        <v>#VALUE!</v>
      </c>
    </row>
    <row r="7395" spans="1:9" ht="15.75" customHeight="1">
      <c r="A7395" s="26"/>
      <c r="B7395" s="2"/>
      <c r="C7395" s="26"/>
      <c r="D7395" s="26"/>
      <c r="F7395" s="85" t="str">
        <f t="shared" si="0"/>
        <v/>
      </c>
      <c r="G7395" s="1" t="e">
        <f>IF(VALUE(F7395) = VALUE(RIGHT(Insights!$C$3, 4)), E7395, "")</f>
        <v>#VALUE!</v>
      </c>
      <c r="H7395" s="26" t="e">
        <f t="shared" si="1"/>
        <v>#VALUE!</v>
      </c>
      <c r="I7395" s="1" t="e">
        <f t="shared" si="2"/>
        <v>#VALUE!</v>
      </c>
    </row>
    <row r="7396" spans="1:9" ht="15.75" customHeight="1">
      <c r="A7396" s="26"/>
      <c r="B7396" s="2"/>
      <c r="C7396" s="26"/>
      <c r="D7396" s="26"/>
      <c r="F7396" s="85" t="str">
        <f t="shared" si="0"/>
        <v/>
      </c>
      <c r="G7396" s="1" t="e">
        <f>IF(VALUE(F7396) = VALUE(RIGHT(Insights!$C$3, 4)), E7396, "")</f>
        <v>#VALUE!</v>
      </c>
      <c r="H7396" s="26" t="e">
        <f t="shared" si="1"/>
        <v>#VALUE!</v>
      </c>
      <c r="I7396" s="1" t="e">
        <f t="shared" si="2"/>
        <v>#VALUE!</v>
      </c>
    </row>
    <row r="7397" spans="1:9" ht="15.75" customHeight="1">
      <c r="A7397" s="26"/>
      <c r="B7397" s="2"/>
      <c r="C7397" s="26"/>
      <c r="D7397" s="26"/>
      <c r="F7397" s="85" t="str">
        <f t="shared" si="0"/>
        <v/>
      </c>
      <c r="G7397" s="1" t="e">
        <f>IF(VALUE(F7397) = VALUE(RIGHT(Insights!$C$3, 4)), E7397, "")</f>
        <v>#VALUE!</v>
      </c>
      <c r="H7397" s="26" t="e">
        <f t="shared" si="1"/>
        <v>#VALUE!</v>
      </c>
      <c r="I7397" s="1" t="e">
        <f t="shared" si="2"/>
        <v>#VALUE!</v>
      </c>
    </row>
    <row r="7398" spans="1:9" ht="15.75" customHeight="1">
      <c r="A7398" s="26"/>
      <c r="B7398" s="2"/>
      <c r="C7398" s="26"/>
      <c r="D7398" s="26"/>
      <c r="F7398" s="85" t="str">
        <f t="shared" si="0"/>
        <v/>
      </c>
      <c r="G7398" s="1" t="e">
        <f>IF(VALUE(F7398) = VALUE(RIGHT(Insights!$C$3, 4)), E7398, "")</f>
        <v>#VALUE!</v>
      </c>
      <c r="H7398" s="26" t="e">
        <f t="shared" si="1"/>
        <v>#VALUE!</v>
      </c>
      <c r="I7398" s="1" t="e">
        <f t="shared" si="2"/>
        <v>#VALUE!</v>
      </c>
    </row>
    <row r="7399" spans="1:9" ht="15.75" customHeight="1">
      <c r="A7399" s="26"/>
      <c r="B7399" s="2"/>
      <c r="C7399" s="26"/>
      <c r="D7399" s="26"/>
      <c r="F7399" s="85" t="str">
        <f t="shared" si="0"/>
        <v/>
      </c>
      <c r="G7399" s="1" t="e">
        <f>IF(VALUE(F7399) = VALUE(RIGHT(Insights!$C$3, 4)), E7399, "")</f>
        <v>#VALUE!</v>
      </c>
      <c r="H7399" s="26" t="e">
        <f t="shared" si="1"/>
        <v>#VALUE!</v>
      </c>
      <c r="I7399" s="1" t="e">
        <f t="shared" si="2"/>
        <v>#VALUE!</v>
      </c>
    </row>
    <row r="7400" spans="1:9" ht="15.75" customHeight="1">
      <c r="A7400" s="26"/>
      <c r="B7400" s="2"/>
      <c r="C7400" s="26"/>
      <c r="D7400" s="26"/>
      <c r="F7400" s="85" t="str">
        <f t="shared" si="0"/>
        <v/>
      </c>
      <c r="G7400" s="1" t="e">
        <f>IF(VALUE(F7400) = VALUE(RIGHT(Insights!$C$3, 4)), E7400, "")</f>
        <v>#VALUE!</v>
      </c>
      <c r="H7400" s="26" t="e">
        <f t="shared" si="1"/>
        <v>#VALUE!</v>
      </c>
      <c r="I7400" s="1" t="e">
        <f t="shared" si="2"/>
        <v>#VALUE!</v>
      </c>
    </row>
    <row r="7401" spans="1:9" ht="15.75" customHeight="1">
      <c r="A7401" s="26"/>
      <c r="B7401" s="2"/>
      <c r="C7401" s="26"/>
      <c r="D7401" s="26"/>
      <c r="F7401" s="85" t="str">
        <f t="shared" si="0"/>
        <v/>
      </c>
      <c r="G7401" s="1" t="e">
        <f>IF(VALUE(F7401) = VALUE(RIGHT(Insights!$C$3, 4)), E7401, "")</f>
        <v>#VALUE!</v>
      </c>
      <c r="H7401" s="26" t="e">
        <f t="shared" si="1"/>
        <v>#VALUE!</v>
      </c>
      <c r="I7401" s="1" t="e">
        <f t="shared" si="2"/>
        <v>#VALUE!</v>
      </c>
    </row>
    <row r="7402" spans="1:9" ht="15.75" customHeight="1">
      <c r="A7402" s="26"/>
      <c r="B7402" s="2"/>
      <c r="C7402" s="26"/>
      <c r="D7402" s="26"/>
      <c r="F7402" s="85" t="str">
        <f t="shared" si="0"/>
        <v/>
      </c>
      <c r="G7402" s="1" t="e">
        <f>IF(VALUE(F7402) = VALUE(RIGHT(Insights!$C$3, 4)), E7402, "")</f>
        <v>#VALUE!</v>
      </c>
      <c r="H7402" s="26" t="e">
        <f t="shared" si="1"/>
        <v>#VALUE!</v>
      </c>
      <c r="I7402" s="1" t="e">
        <f t="shared" si="2"/>
        <v>#VALUE!</v>
      </c>
    </row>
    <row r="7403" spans="1:9" ht="15.75" customHeight="1">
      <c r="A7403" s="26"/>
      <c r="B7403" s="2"/>
      <c r="C7403" s="26"/>
      <c r="D7403" s="26"/>
      <c r="F7403" s="85" t="str">
        <f t="shared" si="0"/>
        <v/>
      </c>
      <c r="G7403" s="1" t="e">
        <f>IF(VALUE(F7403) = VALUE(RIGHT(Insights!$C$3, 4)), E7403, "")</f>
        <v>#VALUE!</v>
      </c>
      <c r="H7403" s="26" t="e">
        <f t="shared" si="1"/>
        <v>#VALUE!</v>
      </c>
      <c r="I7403" s="1" t="e">
        <f t="shared" si="2"/>
        <v>#VALUE!</v>
      </c>
    </row>
    <row r="7404" spans="1:9" ht="15.75" customHeight="1">
      <c r="A7404" s="26"/>
      <c r="B7404" s="2"/>
      <c r="C7404" s="26"/>
      <c r="D7404" s="26"/>
      <c r="F7404" s="85" t="str">
        <f t="shared" si="0"/>
        <v/>
      </c>
      <c r="G7404" s="1" t="e">
        <f>IF(VALUE(F7404) = VALUE(RIGHT(Insights!$C$3, 4)), E7404, "")</f>
        <v>#VALUE!</v>
      </c>
      <c r="H7404" s="26" t="e">
        <f t="shared" si="1"/>
        <v>#VALUE!</v>
      </c>
      <c r="I7404" s="1" t="e">
        <f t="shared" si="2"/>
        <v>#VALUE!</v>
      </c>
    </row>
    <row r="7405" spans="1:9" ht="15.75" customHeight="1">
      <c r="A7405" s="26"/>
      <c r="B7405" s="2"/>
      <c r="C7405" s="26"/>
      <c r="D7405" s="26"/>
      <c r="F7405" s="85" t="str">
        <f t="shared" si="0"/>
        <v/>
      </c>
      <c r="G7405" s="1" t="e">
        <f>IF(VALUE(F7405) = VALUE(RIGHT(Insights!$C$3, 4)), E7405, "")</f>
        <v>#VALUE!</v>
      </c>
      <c r="H7405" s="26" t="e">
        <f t="shared" si="1"/>
        <v>#VALUE!</v>
      </c>
      <c r="I7405" s="1" t="e">
        <f t="shared" si="2"/>
        <v>#VALUE!</v>
      </c>
    </row>
    <row r="7406" spans="1:9" ht="15.75" customHeight="1">
      <c r="A7406" s="26"/>
      <c r="B7406" s="2"/>
      <c r="C7406" s="26"/>
      <c r="D7406" s="26"/>
      <c r="F7406" s="85" t="str">
        <f t="shared" si="0"/>
        <v/>
      </c>
      <c r="G7406" s="1" t="e">
        <f>IF(VALUE(F7406) = VALUE(RIGHT(Insights!$C$3, 4)), E7406, "")</f>
        <v>#VALUE!</v>
      </c>
      <c r="H7406" s="26" t="e">
        <f t="shared" si="1"/>
        <v>#VALUE!</v>
      </c>
      <c r="I7406" s="1" t="e">
        <f t="shared" si="2"/>
        <v>#VALUE!</v>
      </c>
    </row>
    <row r="7407" spans="1:9" ht="15.75" customHeight="1">
      <c r="A7407" s="26"/>
      <c r="B7407" s="2"/>
      <c r="C7407" s="26"/>
      <c r="D7407" s="26"/>
      <c r="F7407" s="85" t="str">
        <f t="shared" si="0"/>
        <v/>
      </c>
      <c r="G7407" s="1" t="e">
        <f>IF(VALUE(F7407) = VALUE(RIGHT(Insights!$C$3, 4)), E7407, "")</f>
        <v>#VALUE!</v>
      </c>
      <c r="H7407" s="26" t="e">
        <f t="shared" si="1"/>
        <v>#VALUE!</v>
      </c>
      <c r="I7407" s="1" t="e">
        <f t="shared" si="2"/>
        <v>#VALUE!</v>
      </c>
    </row>
    <row r="7408" spans="1:9" ht="15.75" customHeight="1">
      <c r="A7408" s="26"/>
      <c r="B7408" s="2"/>
      <c r="C7408" s="26"/>
      <c r="D7408" s="26"/>
      <c r="F7408" s="85" t="str">
        <f t="shared" si="0"/>
        <v/>
      </c>
      <c r="G7408" s="1" t="e">
        <f>IF(VALUE(F7408) = VALUE(RIGHT(Insights!$C$3, 4)), E7408, "")</f>
        <v>#VALUE!</v>
      </c>
      <c r="H7408" s="26" t="e">
        <f t="shared" si="1"/>
        <v>#VALUE!</v>
      </c>
      <c r="I7408" s="1" t="e">
        <f t="shared" si="2"/>
        <v>#VALUE!</v>
      </c>
    </row>
    <row r="7409" spans="1:9" ht="15.75" customHeight="1">
      <c r="A7409" s="26"/>
      <c r="B7409" s="2"/>
      <c r="C7409" s="26"/>
      <c r="D7409" s="26"/>
      <c r="F7409" s="85" t="str">
        <f t="shared" si="0"/>
        <v/>
      </c>
      <c r="G7409" s="1" t="e">
        <f>IF(VALUE(F7409) = VALUE(RIGHT(Insights!$C$3, 4)), E7409, "")</f>
        <v>#VALUE!</v>
      </c>
      <c r="H7409" s="26" t="e">
        <f t="shared" si="1"/>
        <v>#VALUE!</v>
      </c>
      <c r="I7409" s="1" t="e">
        <f t="shared" si="2"/>
        <v>#VALUE!</v>
      </c>
    </row>
    <row r="7410" spans="1:9" ht="15.75" customHeight="1">
      <c r="A7410" s="26"/>
      <c r="B7410" s="2"/>
      <c r="C7410" s="26"/>
      <c r="D7410" s="26"/>
      <c r="F7410" s="85" t="str">
        <f t="shared" si="0"/>
        <v/>
      </c>
      <c r="G7410" s="1" t="e">
        <f>IF(VALUE(F7410) = VALUE(RIGHT(Insights!$C$3, 4)), E7410, "")</f>
        <v>#VALUE!</v>
      </c>
      <c r="H7410" s="26" t="e">
        <f t="shared" si="1"/>
        <v>#VALUE!</v>
      </c>
      <c r="I7410" s="1" t="e">
        <f t="shared" si="2"/>
        <v>#VALUE!</v>
      </c>
    </row>
    <row r="7411" spans="1:9" ht="15.75" customHeight="1">
      <c r="A7411" s="26"/>
      <c r="B7411" s="2"/>
      <c r="C7411" s="26"/>
      <c r="D7411" s="26"/>
      <c r="F7411" s="85" t="str">
        <f t="shared" si="0"/>
        <v/>
      </c>
      <c r="G7411" s="1" t="e">
        <f>IF(VALUE(F7411) = VALUE(RIGHT(Insights!$C$3, 4)), E7411, "")</f>
        <v>#VALUE!</v>
      </c>
      <c r="H7411" s="26" t="e">
        <f t="shared" si="1"/>
        <v>#VALUE!</v>
      </c>
      <c r="I7411" s="1" t="e">
        <f t="shared" si="2"/>
        <v>#VALUE!</v>
      </c>
    </row>
    <row r="7412" spans="1:9" ht="15.75" customHeight="1">
      <c r="A7412" s="26"/>
      <c r="B7412" s="2"/>
      <c r="C7412" s="26"/>
      <c r="D7412" s="26"/>
      <c r="F7412" s="85" t="str">
        <f t="shared" si="0"/>
        <v/>
      </c>
      <c r="G7412" s="1" t="e">
        <f>IF(VALUE(F7412) = VALUE(RIGHT(Insights!$C$3, 4)), E7412, "")</f>
        <v>#VALUE!</v>
      </c>
      <c r="H7412" s="26" t="e">
        <f t="shared" si="1"/>
        <v>#VALUE!</v>
      </c>
      <c r="I7412" s="1" t="e">
        <f t="shared" si="2"/>
        <v>#VALUE!</v>
      </c>
    </row>
    <row r="7413" spans="1:9" ht="15.75" customHeight="1">
      <c r="A7413" s="26"/>
      <c r="B7413" s="2"/>
      <c r="C7413" s="26"/>
      <c r="D7413" s="26"/>
      <c r="F7413" s="85" t="str">
        <f t="shared" si="0"/>
        <v/>
      </c>
      <c r="G7413" s="1" t="e">
        <f>IF(VALUE(F7413) = VALUE(RIGHT(Insights!$C$3, 4)), E7413, "")</f>
        <v>#VALUE!</v>
      </c>
      <c r="H7413" s="26" t="e">
        <f t="shared" si="1"/>
        <v>#VALUE!</v>
      </c>
      <c r="I7413" s="1" t="e">
        <f t="shared" si="2"/>
        <v>#VALUE!</v>
      </c>
    </row>
    <row r="7414" spans="1:9" ht="15.75" customHeight="1">
      <c r="A7414" s="26"/>
      <c r="B7414" s="2"/>
      <c r="C7414" s="26"/>
      <c r="D7414" s="26"/>
      <c r="F7414" s="85" t="str">
        <f t="shared" si="0"/>
        <v/>
      </c>
      <c r="G7414" s="1" t="e">
        <f>IF(VALUE(F7414) = VALUE(RIGHT(Insights!$C$3, 4)), E7414, "")</f>
        <v>#VALUE!</v>
      </c>
      <c r="H7414" s="26" t="e">
        <f t="shared" si="1"/>
        <v>#VALUE!</v>
      </c>
      <c r="I7414" s="1" t="e">
        <f t="shared" si="2"/>
        <v>#VALUE!</v>
      </c>
    </row>
    <row r="7415" spans="1:9" ht="15.75" customHeight="1">
      <c r="A7415" s="26"/>
      <c r="B7415" s="2"/>
      <c r="C7415" s="26"/>
      <c r="D7415" s="26"/>
      <c r="F7415" s="85" t="str">
        <f t="shared" si="0"/>
        <v/>
      </c>
      <c r="G7415" s="1" t="e">
        <f>IF(VALUE(F7415) = VALUE(RIGHT(Insights!$C$3, 4)), E7415, "")</f>
        <v>#VALUE!</v>
      </c>
      <c r="H7415" s="26" t="e">
        <f t="shared" si="1"/>
        <v>#VALUE!</v>
      </c>
      <c r="I7415" s="1" t="e">
        <f t="shared" si="2"/>
        <v>#VALUE!</v>
      </c>
    </row>
    <row r="7416" spans="1:9" ht="15.75" customHeight="1">
      <c r="A7416" s="26"/>
      <c r="B7416" s="2"/>
      <c r="C7416" s="26"/>
      <c r="D7416" s="26"/>
      <c r="F7416" s="85" t="str">
        <f t="shared" si="0"/>
        <v/>
      </c>
      <c r="G7416" s="1" t="e">
        <f>IF(VALUE(F7416) = VALUE(RIGHT(Insights!$C$3, 4)), E7416, "")</f>
        <v>#VALUE!</v>
      </c>
      <c r="H7416" s="26" t="e">
        <f t="shared" si="1"/>
        <v>#VALUE!</v>
      </c>
      <c r="I7416" s="1" t="e">
        <f t="shared" si="2"/>
        <v>#VALUE!</v>
      </c>
    </row>
    <row r="7417" spans="1:9" ht="15.75" customHeight="1">
      <c r="A7417" s="26"/>
      <c r="B7417" s="2"/>
      <c r="C7417" s="26"/>
      <c r="D7417" s="26"/>
      <c r="F7417" s="85" t="str">
        <f t="shared" si="0"/>
        <v/>
      </c>
      <c r="G7417" s="1" t="e">
        <f>IF(VALUE(F7417) = VALUE(RIGHT(Insights!$C$3, 4)), E7417, "")</f>
        <v>#VALUE!</v>
      </c>
      <c r="H7417" s="26" t="e">
        <f t="shared" si="1"/>
        <v>#VALUE!</v>
      </c>
      <c r="I7417" s="1" t="e">
        <f t="shared" si="2"/>
        <v>#VALUE!</v>
      </c>
    </row>
    <row r="7418" spans="1:9" ht="15.75" customHeight="1">
      <c r="A7418" s="26"/>
      <c r="B7418" s="2"/>
      <c r="C7418" s="26"/>
      <c r="D7418" s="26"/>
      <c r="F7418" s="85" t="str">
        <f t="shared" si="0"/>
        <v/>
      </c>
      <c r="G7418" s="1" t="e">
        <f>IF(VALUE(F7418) = VALUE(RIGHT(Insights!$C$3, 4)), E7418, "")</f>
        <v>#VALUE!</v>
      </c>
      <c r="H7418" s="26" t="e">
        <f t="shared" si="1"/>
        <v>#VALUE!</v>
      </c>
      <c r="I7418" s="1" t="e">
        <f t="shared" si="2"/>
        <v>#VALUE!</v>
      </c>
    </row>
    <row r="7419" spans="1:9" ht="15.75" customHeight="1">
      <c r="A7419" s="26"/>
      <c r="B7419" s="2"/>
      <c r="C7419" s="26"/>
      <c r="D7419" s="26"/>
      <c r="F7419" s="85" t="str">
        <f t="shared" si="0"/>
        <v/>
      </c>
      <c r="G7419" s="1" t="e">
        <f>IF(VALUE(F7419) = VALUE(RIGHT(Insights!$C$3, 4)), E7419, "")</f>
        <v>#VALUE!</v>
      </c>
      <c r="H7419" s="26" t="e">
        <f t="shared" si="1"/>
        <v>#VALUE!</v>
      </c>
      <c r="I7419" s="1" t="e">
        <f t="shared" si="2"/>
        <v>#VALUE!</v>
      </c>
    </row>
    <row r="7420" spans="1:9" ht="15.75" customHeight="1">
      <c r="A7420" s="26"/>
      <c r="B7420" s="2"/>
      <c r="C7420" s="26"/>
      <c r="D7420" s="26"/>
      <c r="F7420" s="85" t="str">
        <f t="shared" si="0"/>
        <v/>
      </c>
      <c r="G7420" s="1" t="e">
        <f>IF(VALUE(F7420) = VALUE(RIGHT(Insights!$C$3, 4)), E7420, "")</f>
        <v>#VALUE!</v>
      </c>
      <c r="H7420" s="26" t="e">
        <f t="shared" si="1"/>
        <v>#VALUE!</v>
      </c>
      <c r="I7420" s="1" t="e">
        <f t="shared" si="2"/>
        <v>#VALUE!</v>
      </c>
    </row>
    <row r="7421" spans="1:9" ht="15.75" customHeight="1">
      <c r="A7421" s="26"/>
      <c r="B7421" s="2"/>
      <c r="C7421" s="26"/>
      <c r="D7421" s="26"/>
      <c r="F7421" s="85" t="str">
        <f t="shared" si="0"/>
        <v/>
      </c>
      <c r="G7421" s="1" t="e">
        <f>IF(VALUE(F7421) = VALUE(RIGHT(Insights!$C$3, 4)), E7421, "")</f>
        <v>#VALUE!</v>
      </c>
      <c r="H7421" s="26" t="e">
        <f t="shared" si="1"/>
        <v>#VALUE!</v>
      </c>
      <c r="I7421" s="1" t="e">
        <f t="shared" si="2"/>
        <v>#VALUE!</v>
      </c>
    </row>
    <row r="7422" spans="1:9" ht="15.75" customHeight="1">
      <c r="A7422" s="26"/>
      <c r="B7422" s="2"/>
      <c r="C7422" s="26"/>
      <c r="D7422" s="26"/>
      <c r="F7422" s="85" t="str">
        <f t="shared" si="0"/>
        <v/>
      </c>
      <c r="G7422" s="1" t="e">
        <f>IF(VALUE(F7422) = VALUE(RIGHT(Insights!$C$3, 4)), E7422, "")</f>
        <v>#VALUE!</v>
      </c>
      <c r="H7422" s="26" t="e">
        <f t="shared" si="1"/>
        <v>#VALUE!</v>
      </c>
      <c r="I7422" s="1" t="e">
        <f t="shared" si="2"/>
        <v>#VALUE!</v>
      </c>
    </row>
    <row r="7423" spans="1:9" ht="15.75" customHeight="1">
      <c r="A7423" s="26"/>
      <c r="B7423" s="2"/>
      <c r="C7423" s="26"/>
      <c r="D7423" s="26"/>
      <c r="F7423" s="85" t="str">
        <f t="shared" si="0"/>
        <v/>
      </c>
      <c r="G7423" s="1" t="e">
        <f>IF(VALUE(F7423) = VALUE(RIGHT(Insights!$C$3, 4)), E7423, "")</f>
        <v>#VALUE!</v>
      </c>
      <c r="H7423" s="26" t="e">
        <f t="shared" si="1"/>
        <v>#VALUE!</v>
      </c>
      <c r="I7423" s="1" t="e">
        <f t="shared" si="2"/>
        <v>#VALUE!</v>
      </c>
    </row>
    <row r="7424" spans="1:9" ht="15.75" customHeight="1">
      <c r="A7424" s="26"/>
      <c r="B7424" s="2"/>
      <c r="C7424" s="26"/>
      <c r="D7424" s="26"/>
      <c r="F7424" s="85" t="str">
        <f t="shared" si="0"/>
        <v/>
      </c>
      <c r="G7424" s="1" t="e">
        <f>IF(VALUE(F7424) = VALUE(RIGHT(Insights!$C$3, 4)), E7424, "")</f>
        <v>#VALUE!</v>
      </c>
      <c r="H7424" s="26" t="e">
        <f t="shared" si="1"/>
        <v>#VALUE!</v>
      </c>
      <c r="I7424" s="1" t="e">
        <f t="shared" si="2"/>
        <v>#VALUE!</v>
      </c>
    </row>
    <row r="7425" spans="1:9" ht="15.75" customHeight="1">
      <c r="A7425" s="26"/>
      <c r="B7425" s="2"/>
      <c r="C7425" s="26"/>
      <c r="D7425" s="26"/>
      <c r="F7425" s="85" t="str">
        <f t="shared" si="0"/>
        <v/>
      </c>
      <c r="G7425" s="1" t="e">
        <f>IF(VALUE(F7425) = VALUE(RIGHT(Insights!$C$3, 4)), E7425, "")</f>
        <v>#VALUE!</v>
      </c>
      <c r="H7425" s="26" t="e">
        <f t="shared" si="1"/>
        <v>#VALUE!</v>
      </c>
      <c r="I7425" s="1" t="e">
        <f t="shared" si="2"/>
        <v>#VALUE!</v>
      </c>
    </row>
    <row r="7426" spans="1:9" ht="15.75" customHeight="1">
      <c r="A7426" s="26"/>
      <c r="B7426" s="2"/>
      <c r="C7426" s="26"/>
      <c r="D7426" s="26"/>
      <c r="F7426" s="85" t="str">
        <f t="shared" si="0"/>
        <v/>
      </c>
      <c r="G7426" s="1" t="e">
        <f>IF(VALUE(F7426) = VALUE(RIGHT(Insights!$C$3, 4)), E7426, "")</f>
        <v>#VALUE!</v>
      </c>
      <c r="H7426" s="26" t="e">
        <f t="shared" si="1"/>
        <v>#VALUE!</v>
      </c>
      <c r="I7426" s="1" t="e">
        <f t="shared" si="2"/>
        <v>#VALUE!</v>
      </c>
    </row>
    <row r="7427" spans="1:9" ht="15.75" customHeight="1">
      <c r="A7427" s="26"/>
      <c r="B7427" s="2"/>
      <c r="C7427" s="26"/>
      <c r="D7427" s="26"/>
      <c r="F7427" s="85" t="str">
        <f t="shared" si="0"/>
        <v/>
      </c>
      <c r="G7427" s="1" t="e">
        <f>IF(VALUE(F7427) = VALUE(RIGHT(Insights!$C$3, 4)), E7427, "")</f>
        <v>#VALUE!</v>
      </c>
      <c r="H7427" s="26" t="e">
        <f t="shared" si="1"/>
        <v>#VALUE!</v>
      </c>
      <c r="I7427" s="1" t="e">
        <f t="shared" si="2"/>
        <v>#VALUE!</v>
      </c>
    </row>
    <row r="7428" spans="1:9" ht="15.75" customHeight="1">
      <c r="A7428" s="26"/>
      <c r="B7428" s="2"/>
      <c r="C7428" s="26"/>
      <c r="D7428" s="26"/>
      <c r="F7428" s="85" t="str">
        <f t="shared" si="0"/>
        <v/>
      </c>
      <c r="G7428" s="1" t="e">
        <f>IF(VALUE(F7428) = VALUE(RIGHT(Insights!$C$3, 4)), E7428, "")</f>
        <v>#VALUE!</v>
      </c>
      <c r="H7428" s="26" t="e">
        <f t="shared" si="1"/>
        <v>#VALUE!</v>
      </c>
      <c r="I7428" s="1" t="e">
        <f t="shared" si="2"/>
        <v>#VALUE!</v>
      </c>
    </row>
    <row r="7429" spans="1:9" ht="15.75" customHeight="1">
      <c r="A7429" s="26"/>
      <c r="B7429" s="2"/>
      <c r="C7429" s="26"/>
      <c r="D7429" s="26"/>
      <c r="F7429" s="85" t="str">
        <f t="shared" si="0"/>
        <v/>
      </c>
      <c r="G7429" s="1" t="e">
        <f>IF(VALUE(F7429) = VALUE(RIGHT(Insights!$C$3, 4)), E7429, "")</f>
        <v>#VALUE!</v>
      </c>
      <c r="H7429" s="26" t="e">
        <f t="shared" si="1"/>
        <v>#VALUE!</v>
      </c>
      <c r="I7429" s="1" t="e">
        <f t="shared" si="2"/>
        <v>#VALUE!</v>
      </c>
    </row>
    <row r="7430" spans="1:9" ht="15.75" customHeight="1">
      <c r="A7430" s="26"/>
      <c r="B7430" s="2"/>
      <c r="C7430" s="26"/>
      <c r="D7430" s="26"/>
      <c r="F7430" s="85" t="str">
        <f t="shared" si="0"/>
        <v/>
      </c>
      <c r="G7430" s="1" t="e">
        <f>IF(VALUE(F7430) = VALUE(RIGHT(Insights!$C$3, 4)), E7430, "")</f>
        <v>#VALUE!</v>
      </c>
      <c r="H7430" s="26" t="e">
        <f t="shared" si="1"/>
        <v>#VALUE!</v>
      </c>
      <c r="I7430" s="1" t="e">
        <f t="shared" si="2"/>
        <v>#VALUE!</v>
      </c>
    </row>
    <row r="7431" spans="1:9" ht="15.75" customHeight="1">
      <c r="A7431" s="26"/>
      <c r="B7431" s="2"/>
      <c r="C7431" s="26"/>
      <c r="D7431" s="26"/>
      <c r="F7431" s="85" t="str">
        <f t="shared" si="0"/>
        <v/>
      </c>
      <c r="G7431" s="1" t="e">
        <f>IF(VALUE(F7431) = VALUE(RIGHT(Insights!$C$3, 4)), E7431, "")</f>
        <v>#VALUE!</v>
      </c>
      <c r="H7431" s="26" t="e">
        <f t="shared" si="1"/>
        <v>#VALUE!</v>
      </c>
      <c r="I7431" s="1" t="e">
        <f t="shared" si="2"/>
        <v>#VALUE!</v>
      </c>
    </row>
    <row r="7432" spans="1:9" ht="15.75" customHeight="1">
      <c r="A7432" s="26"/>
      <c r="B7432" s="2"/>
      <c r="C7432" s="26"/>
      <c r="D7432" s="26"/>
      <c r="F7432" s="85" t="str">
        <f t="shared" si="0"/>
        <v/>
      </c>
      <c r="G7432" s="1" t="e">
        <f>IF(VALUE(F7432) = VALUE(RIGHT(Insights!$C$3, 4)), E7432, "")</f>
        <v>#VALUE!</v>
      </c>
      <c r="H7432" s="26" t="e">
        <f t="shared" si="1"/>
        <v>#VALUE!</v>
      </c>
      <c r="I7432" s="1" t="e">
        <f t="shared" si="2"/>
        <v>#VALUE!</v>
      </c>
    </row>
    <row r="7433" spans="1:9" ht="15.75" customHeight="1">
      <c r="A7433" s="26"/>
      <c r="B7433" s="2"/>
      <c r="C7433" s="26"/>
      <c r="D7433" s="26"/>
      <c r="F7433" s="85" t="str">
        <f t="shared" si="0"/>
        <v/>
      </c>
      <c r="G7433" s="1" t="e">
        <f>IF(VALUE(F7433) = VALUE(RIGHT(Insights!$C$3, 4)), E7433, "")</f>
        <v>#VALUE!</v>
      </c>
      <c r="H7433" s="26" t="e">
        <f t="shared" si="1"/>
        <v>#VALUE!</v>
      </c>
      <c r="I7433" s="1" t="e">
        <f t="shared" si="2"/>
        <v>#VALUE!</v>
      </c>
    </row>
    <row r="7434" spans="1:9" ht="15.75" customHeight="1">
      <c r="A7434" s="26"/>
      <c r="B7434" s="2"/>
      <c r="C7434" s="26"/>
      <c r="D7434" s="26"/>
      <c r="F7434" s="85" t="str">
        <f t="shared" si="0"/>
        <v/>
      </c>
      <c r="G7434" s="1" t="e">
        <f>IF(VALUE(F7434) = VALUE(RIGHT(Insights!$C$3, 4)), E7434, "")</f>
        <v>#VALUE!</v>
      </c>
      <c r="H7434" s="26" t="e">
        <f t="shared" si="1"/>
        <v>#VALUE!</v>
      </c>
      <c r="I7434" s="1" t="e">
        <f t="shared" si="2"/>
        <v>#VALUE!</v>
      </c>
    </row>
    <row r="7435" spans="1:9" ht="15.75" customHeight="1">
      <c r="A7435" s="26"/>
      <c r="B7435" s="2"/>
      <c r="C7435" s="26"/>
      <c r="D7435" s="26"/>
      <c r="F7435" s="85" t="str">
        <f t="shared" si="0"/>
        <v/>
      </c>
      <c r="G7435" s="1" t="e">
        <f>IF(VALUE(F7435) = VALUE(RIGHT(Insights!$C$3, 4)), E7435, "")</f>
        <v>#VALUE!</v>
      </c>
      <c r="H7435" s="26" t="e">
        <f t="shared" si="1"/>
        <v>#VALUE!</v>
      </c>
      <c r="I7435" s="1" t="e">
        <f t="shared" si="2"/>
        <v>#VALUE!</v>
      </c>
    </row>
    <row r="7436" spans="1:9" ht="15.75" customHeight="1">
      <c r="A7436" s="26"/>
      <c r="B7436" s="2"/>
      <c r="C7436" s="26"/>
      <c r="D7436" s="26"/>
      <c r="F7436" s="85" t="str">
        <f t="shared" si="0"/>
        <v/>
      </c>
      <c r="G7436" s="1" t="e">
        <f>IF(VALUE(F7436) = VALUE(RIGHT(Insights!$C$3, 4)), E7436, "")</f>
        <v>#VALUE!</v>
      </c>
      <c r="H7436" s="26" t="e">
        <f t="shared" si="1"/>
        <v>#VALUE!</v>
      </c>
      <c r="I7436" s="1" t="e">
        <f t="shared" si="2"/>
        <v>#VALUE!</v>
      </c>
    </row>
    <row r="7437" spans="1:9" ht="15.75" customHeight="1">
      <c r="A7437" s="26"/>
      <c r="B7437" s="2"/>
      <c r="C7437" s="26"/>
      <c r="D7437" s="26"/>
      <c r="F7437" s="85" t="str">
        <f t="shared" si="0"/>
        <v/>
      </c>
      <c r="G7437" s="1" t="e">
        <f>IF(VALUE(F7437) = VALUE(RIGHT(Insights!$C$3, 4)), E7437, "")</f>
        <v>#VALUE!</v>
      </c>
      <c r="H7437" s="26" t="e">
        <f t="shared" si="1"/>
        <v>#VALUE!</v>
      </c>
      <c r="I7437" s="1" t="e">
        <f t="shared" si="2"/>
        <v>#VALUE!</v>
      </c>
    </row>
    <row r="7438" spans="1:9" ht="15.75" customHeight="1">
      <c r="A7438" s="26"/>
      <c r="B7438" s="2"/>
      <c r="C7438" s="26"/>
      <c r="D7438" s="26"/>
      <c r="F7438" s="85" t="str">
        <f t="shared" si="0"/>
        <v/>
      </c>
      <c r="G7438" s="1" t="e">
        <f>IF(VALUE(F7438) = VALUE(RIGHT(Insights!$C$3, 4)), E7438, "")</f>
        <v>#VALUE!</v>
      </c>
      <c r="H7438" s="26" t="e">
        <f t="shared" si="1"/>
        <v>#VALUE!</v>
      </c>
      <c r="I7438" s="1" t="e">
        <f t="shared" si="2"/>
        <v>#VALUE!</v>
      </c>
    </row>
    <row r="7439" spans="1:9" ht="15.75" customHeight="1">
      <c r="A7439" s="26"/>
      <c r="B7439" s="2"/>
      <c r="C7439" s="26"/>
      <c r="D7439" s="26"/>
      <c r="F7439" s="85" t="str">
        <f t="shared" si="0"/>
        <v/>
      </c>
      <c r="G7439" s="1" t="e">
        <f>IF(VALUE(F7439) = VALUE(RIGHT(Insights!$C$3, 4)), E7439, "")</f>
        <v>#VALUE!</v>
      </c>
      <c r="H7439" s="26" t="e">
        <f t="shared" si="1"/>
        <v>#VALUE!</v>
      </c>
      <c r="I7439" s="1" t="e">
        <f t="shared" si="2"/>
        <v>#VALUE!</v>
      </c>
    </row>
    <row r="7440" spans="1:9" ht="15.75" customHeight="1">
      <c r="A7440" s="26"/>
      <c r="B7440" s="2"/>
      <c r="C7440" s="26"/>
      <c r="D7440" s="26"/>
      <c r="F7440" s="85" t="str">
        <f t="shared" si="0"/>
        <v/>
      </c>
      <c r="G7440" s="1" t="e">
        <f>IF(VALUE(F7440) = VALUE(RIGHT(Insights!$C$3, 4)), E7440, "")</f>
        <v>#VALUE!</v>
      </c>
      <c r="H7440" s="26" t="e">
        <f t="shared" si="1"/>
        <v>#VALUE!</v>
      </c>
      <c r="I7440" s="1" t="e">
        <f t="shared" si="2"/>
        <v>#VALUE!</v>
      </c>
    </row>
    <row r="7441" spans="1:9" ht="15.75" customHeight="1">
      <c r="A7441" s="26"/>
      <c r="B7441" s="2"/>
      <c r="C7441" s="26"/>
      <c r="D7441" s="26"/>
      <c r="F7441" s="85" t="str">
        <f t="shared" si="0"/>
        <v/>
      </c>
      <c r="G7441" s="1" t="e">
        <f>IF(VALUE(F7441) = VALUE(RIGHT(Insights!$C$3, 4)), E7441, "")</f>
        <v>#VALUE!</v>
      </c>
      <c r="H7441" s="26" t="e">
        <f t="shared" si="1"/>
        <v>#VALUE!</v>
      </c>
      <c r="I7441" s="1" t="e">
        <f t="shared" si="2"/>
        <v>#VALUE!</v>
      </c>
    </row>
    <row r="7442" spans="1:9" ht="15.75" customHeight="1">
      <c r="A7442" s="26"/>
      <c r="B7442" s="2"/>
      <c r="C7442" s="26"/>
      <c r="D7442" s="26"/>
      <c r="F7442" s="85" t="str">
        <f t="shared" si="0"/>
        <v/>
      </c>
      <c r="G7442" s="1" t="e">
        <f>IF(VALUE(F7442) = VALUE(RIGHT(Insights!$C$3, 4)), E7442, "")</f>
        <v>#VALUE!</v>
      </c>
      <c r="H7442" s="26" t="e">
        <f t="shared" si="1"/>
        <v>#VALUE!</v>
      </c>
      <c r="I7442" s="1" t="e">
        <f t="shared" si="2"/>
        <v>#VALUE!</v>
      </c>
    </row>
    <row r="7443" spans="1:9" ht="15.75" customHeight="1">
      <c r="A7443" s="26"/>
      <c r="B7443" s="2"/>
      <c r="C7443" s="26"/>
      <c r="D7443" s="26"/>
      <c r="F7443" s="85" t="str">
        <f t="shared" si="0"/>
        <v/>
      </c>
      <c r="G7443" s="1" t="e">
        <f>IF(VALUE(F7443) = VALUE(RIGHT(Insights!$C$3, 4)), E7443, "")</f>
        <v>#VALUE!</v>
      </c>
      <c r="H7443" s="26" t="e">
        <f t="shared" si="1"/>
        <v>#VALUE!</v>
      </c>
      <c r="I7443" s="1" t="e">
        <f t="shared" si="2"/>
        <v>#VALUE!</v>
      </c>
    </row>
    <row r="7444" spans="1:9" ht="15.75" customHeight="1">
      <c r="A7444" s="26"/>
      <c r="B7444" s="2"/>
      <c r="C7444" s="26"/>
      <c r="D7444" s="26"/>
      <c r="F7444" s="85" t="str">
        <f t="shared" si="0"/>
        <v/>
      </c>
      <c r="G7444" s="1" t="e">
        <f>IF(VALUE(F7444) = VALUE(RIGHT(Insights!$C$3, 4)), E7444, "")</f>
        <v>#VALUE!</v>
      </c>
      <c r="H7444" s="26" t="e">
        <f t="shared" si="1"/>
        <v>#VALUE!</v>
      </c>
      <c r="I7444" s="1" t="e">
        <f t="shared" si="2"/>
        <v>#VALUE!</v>
      </c>
    </row>
    <row r="7445" spans="1:9" ht="15.75" customHeight="1">
      <c r="A7445" s="26"/>
      <c r="B7445" s="2"/>
      <c r="C7445" s="26"/>
      <c r="D7445" s="26"/>
      <c r="F7445" s="85" t="str">
        <f t="shared" si="0"/>
        <v/>
      </c>
      <c r="G7445" s="1" t="e">
        <f>IF(VALUE(F7445) = VALUE(RIGHT(Insights!$C$3, 4)), E7445, "")</f>
        <v>#VALUE!</v>
      </c>
      <c r="H7445" s="26" t="e">
        <f t="shared" si="1"/>
        <v>#VALUE!</v>
      </c>
      <c r="I7445" s="1" t="e">
        <f t="shared" si="2"/>
        <v>#VALUE!</v>
      </c>
    </row>
    <row r="7446" spans="1:9" ht="15.75" customHeight="1">
      <c r="A7446" s="26"/>
      <c r="B7446" s="2"/>
      <c r="C7446" s="26"/>
      <c r="D7446" s="26"/>
      <c r="F7446" s="85" t="str">
        <f t="shared" si="0"/>
        <v/>
      </c>
      <c r="G7446" s="1" t="e">
        <f>IF(VALUE(F7446) = VALUE(RIGHT(Insights!$C$3, 4)), E7446, "")</f>
        <v>#VALUE!</v>
      </c>
      <c r="H7446" s="26" t="e">
        <f t="shared" si="1"/>
        <v>#VALUE!</v>
      </c>
      <c r="I7446" s="1" t="e">
        <f t="shared" si="2"/>
        <v>#VALUE!</v>
      </c>
    </row>
    <row r="7447" spans="1:9" ht="15.75" customHeight="1">
      <c r="A7447" s="26"/>
      <c r="B7447" s="2"/>
      <c r="C7447" s="26"/>
      <c r="D7447" s="26"/>
      <c r="F7447" s="85" t="str">
        <f t="shared" si="0"/>
        <v/>
      </c>
      <c r="G7447" s="1" t="e">
        <f>IF(VALUE(F7447) = VALUE(RIGHT(Insights!$C$3, 4)), E7447, "")</f>
        <v>#VALUE!</v>
      </c>
      <c r="H7447" s="26" t="e">
        <f t="shared" si="1"/>
        <v>#VALUE!</v>
      </c>
      <c r="I7447" s="1" t="e">
        <f t="shared" si="2"/>
        <v>#VALUE!</v>
      </c>
    </row>
    <row r="7448" spans="1:9" ht="15.75" customHeight="1">
      <c r="A7448" s="26"/>
      <c r="B7448" s="2"/>
      <c r="C7448" s="26"/>
      <c r="D7448" s="26"/>
      <c r="F7448" s="85" t="str">
        <f t="shared" si="0"/>
        <v/>
      </c>
      <c r="G7448" s="1" t="e">
        <f>IF(VALUE(F7448) = VALUE(RIGHT(Insights!$C$3, 4)), E7448, "")</f>
        <v>#VALUE!</v>
      </c>
      <c r="H7448" s="26" t="e">
        <f t="shared" si="1"/>
        <v>#VALUE!</v>
      </c>
      <c r="I7448" s="1" t="e">
        <f t="shared" si="2"/>
        <v>#VALUE!</v>
      </c>
    </row>
    <row r="7449" spans="1:9" ht="15.75" customHeight="1">
      <c r="A7449" s="26"/>
      <c r="B7449" s="2"/>
      <c r="C7449" s="26"/>
      <c r="D7449" s="26"/>
      <c r="F7449" s="85" t="str">
        <f t="shared" si="0"/>
        <v/>
      </c>
      <c r="G7449" s="1" t="e">
        <f>IF(VALUE(F7449) = VALUE(RIGHT(Insights!$C$3, 4)), E7449, "")</f>
        <v>#VALUE!</v>
      </c>
      <c r="H7449" s="26" t="e">
        <f t="shared" si="1"/>
        <v>#VALUE!</v>
      </c>
      <c r="I7449" s="1" t="e">
        <f t="shared" si="2"/>
        <v>#VALUE!</v>
      </c>
    </row>
    <row r="7450" spans="1:9" ht="15.75" customHeight="1">
      <c r="A7450" s="26"/>
      <c r="B7450" s="2"/>
      <c r="C7450" s="26"/>
      <c r="D7450" s="26"/>
      <c r="F7450" s="85" t="str">
        <f t="shared" si="0"/>
        <v/>
      </c>
      <c r="G7450" s="1" t="e">
        <f>IF(VALUE(F7450) = VALUE(RIGHT(Insights!$C$3, 4)), E7450, "")</f>
        <v>#VALUE!</v>
      </c>
      <c r="H7450" s="26" t="e">
        <f t="shared" si="1"/>
        <v>#VALUE!</v>
      </c>
      <c r="I7450" s="1" t="e">
        <f t="shared" si="2"/>
        <v>#VALUE!</v>
      </c>
    </row>
    <row r="7451" spans="1:9" ht="15.75" customHeight="1">
      <c r="A7451" s="26"/>
      <c r="B7451" s="2"/>
      <c r="C7451" s="26"/>
      <c r="D7451" s="26"/>
      <c r="F7451" s="85" t="str">
        <f t="shared" si="0"/>
        <v/>
      </c>
      <c r="G7451" s="1" t="e">
        <f>IF(VALUE(F7451) = VALUE(RIGHT(Insights!$C$3, 4)), E7451, "")</f>
        <v>#VALUE!</v>
      </c>
      <c r="H7451" s="26" t="e">
        <f t="shared" si="1"/>
        <v>#VALUE!</v>
      </c>
      <c r="I7451" s="1" t="e">
        <f t="shared" si="2"/>
        <v>#VALUE!</v>
      </c>
    </row>
    <row r="7452" spans="1:9" ht="15.75" customHeight="1">
      <c r="A7452" s="26"/>
      <c r="B7452" s="2"/>
      <c r="C7452" s="26"/>
      <c r="D7452" s="26"/>
      <c r="F7452" s="85" t="str">
        <f t="shared" si="0"/>
        <v/>
      </c>
      <c r="G7452" s="1" t="e">
        <f>IF(VALUE(F7452) = VALUE(RIGHT(Insights!$C$3, 4)), E7452, "")</f>
        <v>#VALUE!</v>
      </c>
      <c r="H7452" s="26" t="e">
        <f t="shared" si="1"/>
        <v>#VALUE!</v>
      </c>
      <c r="I7452" s="1" t="e">
        <f t="shared" si="2"/>
        <v>#VALUE!</v>
      </c>
    </row>
    <row r="7453" spans="1:9" ht="15.75" customHeight="1">
      <c r="A7453" s="26"/>
      <c r="B7453" s="2"/>
      <c r="C7453" s="26"/>
      <c r="D7453" s="26"/>
      <c r="F7453" s="85" t="str">
        <f t="shared" si="0"/>
        <v/>
      </c>
      <c r="G7453" s="1" t="e">
        <f>IF(VALUE(F7453) = VALUE(RIGHT(Insights!$C$3, 4)), E7453, "")</f>
        <v>#VALUE!</v>
      </c>
      <c r="H7453" s="26" t="e">
        <f t="shared" si="1"/>
        <v>#VALUE!</v>
      </c>
      <c r="I7453" s="1" t="e">
        <f t="shared" si="2"/>
        <v>#VALUE!</v>
      </c>
    </row>
    <row r="7454" spans="1:9" ht="15.75" customHeight="1">
      <c r="A7454" s="26"/>
      <c r="B7454" s="2"/>
      <c r="C7454" s="26"/>
      <c r="D7454" s="26"/>
      <c r="F7454" s="85" t="str">
        <f t="shared" si="0"/>
        <v/>
      </c>
      <c r="G7454" s="1" t="e">
        <f>IF(VALUE(F7454) = VALUE(RIGHT(Insights!$C$3, 4)), E7454, "")</f>
        <v>#VALUE!</v>
      </c>
      <c r="H7454" s="26" t="e">
        <f t="shared" si="1"/>
        <v>#VALUE!</v>
      </c>
      <c r="I7454" s="1" t="e">
        <f t="shared" si="2"/>
        <v>#VALUE!</v>
      </c>
    </row>
    <row r="7455" spans="1:9" ht="15.75" customHeight="1">
      <c r="A7455" s="26"/>
      <c r="B7455" s="2"/>
      <c r="C7455" s="26"/>
      <c r="D7455" s="26"/>
      <c r="F7455" s="85" t="str">
        <f t="shared" si="0"/>
        <v/>
      </c>
      <c r="G7455" s="1" t="e">
        <f>IF(VALUE(F7455) = VALUE(RIGHT(Insights!$C$3, 4)), E7455, "")</f>
        <v>#VALUE!</v>
      </c>
      <c r="H7455" s="26" t="e">
        <f t="shared" si="1"/>
        <v>#VALUE!</v>
      </c>
      <c r="I7455" s="1" t="e">
        <f t="shared" si="2"/>
        <v>#VALUE!</v>
      </c>
    </row>
    <row r="7456" spans="1:9" ht="15.75" customHeight="1">
      <c r="A7456" s="26"/>
      <c r="B7456" s="2"/>
      <c r="C7456" s="26"/>
      <c r="D7456" s="26"/>
      <c r="F7456" s="85" t="str">
        <f t="shared" si="0"/>
        <v/>
      </c>
      <c r="G7456" s="1" t="e">
        <f>IF(VALUE(F7456) = VALUE(RIGHT(Insights!$C$3, 4)), E7456, "")</f>
        <v>#VALUE!</v>
      </c>
      <c r="H7456" s="26" t="e">
        <f t="shared" si="1"/>
        <v>#VALUE!</v>
      </c>
      <c r="I7456" s="1" t="e">
        <f t="shared" si="2"/>
        <v>#VALUE!</v>
      </c>
    </row>
    <row r="7457" spans="1:9" ht="15.75" customHeight="1">
      <c r="A7457" s="26"/>
      <c r="B7457" s="2"/>
      <c r="C7457" s="26"/>
      <c r="D7457" s="26"/>
      <c r="F7457" s="85" t="str">
        <f t="shared" si="0"/>
        <v/>
      </c>
      <c r="G7457" s="1" t="e">
        <f>IF(VALUE(F7457) = VALUE(RIGHT(Insights!$C$3, 4)), E7457, "")</f>
        <v>#VALUE!</v>
      </c>
      <c r="H7457" s="26" t="e">
        <f t="shared" si="1"/>
        <v>#VALUE!</v>
      </c>
      <c r="I7457" s="1" t="e">
        <f t="shared" si="2"/>
        <v>#VALUE!</v>
      </c>
    </row>
    <row r="7458" spans="1:9" ht="15.75" customHeight="1">
      <c r="A7458" s="26"/>
      <c r="B7458" s="2"/>
      <c r="C7458" s="26"/>
      <c r="D7458" s="26"/>
      <c r="F7458" s="85" t="str">
        <f t="shared" si="0"/>
        <v/>
      </c>
      <c r="G7458" s="1" t="e">
        <f>IF(VALUE(F7458) = VALUE(RIGHT(Insights!$C$3, 4)), E7458, "")</f>
        <v>#VALUE!</v>
      </c>
      <c r="H7458" s="26" t="e">
        <f t="shared" si="1"/>
        <v>#VALUE!</v>
      </c>
      <c r="I7458" s="1" t="e">
        <f t="shared" si="2"/>
        <v>#VALUE!</v>
      </c>
    </row>
    <row r="7459" spans="1:9" ht="15.75" customHeight="1">
      <c r="A7459" s="26"/>
      <c r="B7459" s="2"/>
      <c r="C7459" s="26"/>
      <c r="D7459" s="26"/>
      <c r="F7459" s="85" t="str">
        <f t="shared" si="0"/>
        <v/>
      </c>
      <c r="G7459" s="1" t="e">
        <f>IF(VALUE(F7459) = VALUE(RIGHT(Insights!$C$3, 4)), E7459, "")</f>
        <v>#VALUE!</v>
      </c>
      <c r="H7459" s="26" t="e">
        <f t="shared" si="1"/>
        <v>#VALUE!</v>
      </c>
      <c r="I7459" s="1" t="e">
        <f t="shared" si="2"/>
        <v>#VALUE!</v>
      </c>
    </row>
    <row r="7460" spans="1:9" ht="15.75" customHeight="1">
      <c r="A7460" s="26"/>
      <c r="B7460" s="2"/>
      <c r="C7460" s="26"/>
      <c r="D7460" s="26"/>
      <c r="F7460" s="85" t="str">
        <f t="shared" si="0"/>
        <v/>
      </c>
      <c r="G7460" s="1" t="e">
        <f>IF(VALUE(F7460) = VALUE(RIGHT(Insights!$C$3, 4)), E7460, "")</f>
        <v>#VALUE!</v>
      </c>
      <c r="H7460" s="26" t="e">
        <f t="shared" si="1"/>
        <v>#VALUE!</v>
      </c>
      <c r="I7460" s="1" t="e">
        <f t="shared" si="2"/>
        <v>#VALUE!</v>
      </c>
    </row>
    <row r="7461" spans="1:9" ht="15.75" customHeight="1">
      <c r="A7461" s="26"/>
      <c r="B7461" s="2"/>
      <c r="C7461" s="26"/>
      <c r="D7461" s="26"/>
      <c r="F7461" s="85" t="str">
        <f t="shared" si="0"/>
        <v/>
      </c>
      <c r="G7461" s="1" t="e">
        <f>IF(VALUE(F7461) = VALUE(RIGHT(Insights!$C$3, 4)), E7461, "")</f>
        <v>#VALUE!</v>
      </c>
      <c r="H7461" s="26" t="e">
        <f t="shared" si="1"/>
        <v>#VALUE!</v>
      </c>
      <c r="I7461" s="1" t="e">
        <f t="shared" si="2"/>
        <v>#VALUE!</v>
      </c>
    </row>
    <row r="7462" spans="1:9" ht="15.75" customHeight="1">
      <c r="A7462" s="26"/>
      <c r="B7462" s="2"/>
      <c r="C7462" s="26"/>
      <c r="D7462" s="26"/>
      <c r="F7462" s="85" t="str">
        <f t="shared" si="0"/>
        <v/>
      </c>
      <c r="G7462" s="1" t="e">
        <f>IF(VALUE(F7462) = VALUE(RIGHT(Insights!$C$3, 4)), E7462, "")</f>
        <v>#VALUE!</v>
      </c>
      <c r="H7462" s="26" t="e">
        <f t="shared" si="1"/>
        <v>#VALUE!</v>
      </c>
      <c r="I7462" s="1" t="e">
        <f t="shared" si="2"/>
        <v>#VALUE!</v>
      </c>
    </row>
    <row r="7463" spans="1:9" ht="15.75" customHeight="1">
      <c r="A7463" s="26"/>
      <c r="B7463" s="2"/>
      <c r="C7463" s="26"/>
      <c r="D7463" s="26"/>
      <c r="F7463" s="85" t="str">
        <f t="shared" si="0"/>
        <v/>
      </c>
      <c r="G7463" s="1" t="e">
        <f>IF(VALUE(F7463) = VALUE(RIGHT(Insights!$C$3, 4)), E7463, "")</f>
        <v>#VALUE!</v>
      </c>
      <c r="H7463" s="26" t="e">
        <f t="shared" si="1"/>
        <v>#VALUE!</v>
      </c>
      <c r="I7463" s="1" t="e">
        <f t="shared" si="2"/>
        <v>#VALUE!</v>
      </c>
    </row>
    <row r="7464" spans="1:9" ht="15.75" customHeight="1">
      <c r="A7464" s="26"/>
      <c r="B7464" s="2"/>
      <c r="C7464" s="26"/>
      <c r="D7464" s="26"/>
      <c r="F7464" s="85" t="str">
        <f t="shared" si="0"/>
        <v/>
      </c>
      <c r="G7464" s="1" t="e">
        <f>IF(VALUE(F7464) = VALUE(RIGHT(Insights!$C$3, 4)), E7464, "")</f>
        <v>#VALUE!</v>
      </c>
      <c r="H7464" s="26" t="e">
        <f t="shared" si="1"/>
        <v>#VALUE!</v>
      </c>
      <c r="I7464" s="1" t="e">
        <f t="shared" si="2"/>
        <v>#VALUE!</v>
      </c>
    </row>
    <row r="7465" spans="1:9" ht="15.75" customHeight="1">
      <c r="A7465" s="26"/>
      <c r="B7465" s="2"/>
      <c r="C7465" s="26"/>
      <c r="D7465" s="26"/>
      <c r="F7465" s="85" t="str">
        <f t="shared" si="0"/>
        <v/>
      </c>
      <c r="G7465" s="1" t="e">
        <f>IF(VALUE(F7465) = VALUE(RIGHT(Insights!$C$3, 4)), E7465, "")</f>
        <v>#VALUE!</v>
      </c>
      <c r="H7465" s="26" t="e">
        <f t="shared" si="1"/>
        <v>#VALUE!</v>
      </c>
      <c r="I7465" s="1" t="e">
        <f t="shared" si="2"/>
        <v>#VALUE!</v>
      </c>
    </row>
    <row r="7466" spans="1:9" ht="15.75" customHeight="1">
      <c r="A7466" s="26"/>
      <c r="B7466" s="2"/>
      <c r="C7466" s="26"/>
      <c r="D7466" s="26"/>
      <c r="F7466" s="85" t="str">
        <f t="shared" si="0"/>
        <v/>
      </c>
      <c r="G7466" s="1" t="e">
        <f>IF(VALUE(F7466) = VALUE(RIGHT(Insights!$C$3, 4)), E7466, "")</f>
        <v>#VALUE!</v>
      </c>
      <c r="H7466" s="26" t="e">
        <f t="shared" si="1"/>
        <v>#VALUE!</v>
      </c>
      <c r="I7466" s="1" t="e">
        <f t="shared" si="2"/>
        <v>#VALUE!</v>
      </c>
    </row>
    <row r="7467" spans="1:9" ht="15.75" customHeight="1">
      <c r="A7467" s="26"/>
      <c r="B7467" s="2"/>
      <c r="C7467" s="26"/>
      <c r="D7467" s="26"/>
      <c r="F7467" s="85" t="str">
        <f t="shared" si="0"/>
        <v/>
      </c>
      <c r="G7467" s="1" t="e">
        <f>IF(VALUE(F7467) = VALUE(RIGHT(Insights!$C$3, 4)), E7467, "")</f>
        <v>#VALUE!</v>
      </c>
      <c r="H7467" s="26" t="e">
        <f t="shared" si="1"/>
        <v>#VALUE!</v>
      </c>
      <c r="I7467" s="1" t="e">
        <f t="shared" si="2"/>
        <v>#VALUE!</v>
      </c>
    </row>
    <row r="7468" spans="1:9" ht="15.75" customHeight="1">
      <c r="A7468" s="26"/>
      <c r="B7468" s="2"/>
      <c r="C7468" s="26"/>
      <c r="D7468" s="26"/>
      <c r="F7468" s="85" t="str">
        <f t="shared" si="0"/>
        <v/>
      </c>
      <c r="G7468" s="1" t="e">
        <f>IF(VALUE(F7468) = VALUE(RIGHT(Insights!$C$3, 4)), E7468, "")</f>
        <v>#VALUE!</v>
      </c>
      <c r="H7468" s="26" t="e">
        <f t="shared" si="1"/>
        <v>#VALUE!</v>
      </c>
      <c r="I7468" s="1" t="e">
        <f t="shared" si="2"/>
        <v>#VALUE!</v>
      </c>
    </row>
    <row r="7469" spans="1:9" ht="15.75" customHeight="1">
      <c r="A7469" s="26"/>
      <c r="B7469" s="2"/>
      <c r="C7469" s="26"/>
      <c r="D7469" s="26"/>
      <c r="F7469" s="85" t="str">
        <f t="shared" si="0"/>
        <v/>
      </c>
      <c r="G7469" s="1" t="e">
        <f>IF(VALUE(F7469) = VALUE(RIGHT(Insights!$C$3, 4)), E7469, "")</f>
        <v>#VALUE!</v>
      </c>
      <c r="H7469" s="26" t="e">
        <f t="shared" si="1"/>
        <v>#VALUE!</v>
      </c>
      <c r="I7469" s="1" t="e">
        <f t="shared" si="2"/>
        <v>#VALUE!</v>
      </c>
    </row>
    <row r="7470" spans="1:9" ht="15.75" customHeight="1">
      <c r="A7470" s="26"/>
      <c r="B7470" s="2"/>
      <c r="C7470" s="26"/>
      <c r="D7470" s="26"/>
      <c r="F7470" s="85" t="str">
        <f t="shared" si="0"/>
        <v/>
      </c>
      <c r="G7470" s="1" t="e">
        <f>IF(VALUE(F7470) = VALUE(RIGHT(Insights!$C$3, 4)), E7470, "")</f>
        <v>#VALUE!</v>
      </c>
      <c r="H7470" s="26" t="e">
        <f t="shared" si="1"/>
        <v>#VALUE!</v>
      </c>
      <c r="I7470" s="1" t="e">
        <f t="shared" si="2"/>
        <v>#VALUE!</v>
      </c>
    </row>
    <row r="7471" spans="1:9" ht="15.75" customHeight="1">
      <c r="A7471" s="26"/>
      <c r="B7471" s="2"/>
      <c r="C7471" s="26"/>
      <c r="D7471" s="26"/>
      <c r="F7471" s="85" t="str">
        <f t="shared" si="0"/>
        <v/>
      </c>
      <c r="G7471" s="1" t="e">
        <f>IF(VALUE(F7471) = VALUE(RIGHT(Insights!$C$3, 4)), E7471, "")</f>
        <v>#VALUE!</v>
      </c>
      <c r="H7471" s="26" t="e">
        <f t="shared" si="1"/>
        <v>#VALUE!</v>
      </c>
      <c r="I7471" s="1" t="e">
        <f t="shared" si="2"/>
        <v>#VALUE!</v>
      </c>
    </row>
    <row r="7472" spans="1:9" ht="15.75" customHeight="1">
      <c r="A7472" s="26"/>
      <c r="B7472" s="2"/>
      <c r="C7472" s="26"/>
      <c r="D7472" s="26"/>
      <c r="F7472" s="85" t="str">
        <f t="shared" si="0"/>
        <v/>
      </c>
      <c r="G7472" s="1" t="e">
        <f>IF(VALUE(F7472) = VALUE(RIGHT(Insights!$C$3, 4)), E7472, "")</f>
        <v>#VALUE!</v>
      </c>
      <c r="H7472" s="26" t="e">
        <f t="shared" si="1"/>
        <v>#VALUE!</v>
      </c>
      <c r="I7472" s="1" t="e">
        <f t="shared" si="2"/>
        <v>#VALUE!</v>
      </c>
    </row>
    <row r="7473" spans="1:9" ht="15.75" customHeight="1">
      <c r="A7473" s="26"/>
      <c r="B7473" s="2"/>
      <c r="C7473" s="26"/>
      <c r="D7473" s="26"/>
      <c r="F7473" s="85" t="str">
        <f t="shared" si="0"/>
        <v/>
      </c>
      <c r="G7473" s="1" t="e">
        <f>IF(VALUE(F7473) = VALUE(RIGHT(Insights!$C$3, 4)), E7473, "")</f>
        <v>#VALUE!</v>
      </c>
      <c r="H7473" s="26" t="e">
        <f t="shared" si="1"/>
        <v>#VALUE!</v>
      </c>
      <c r="I7473" s="1" t="e">
        <f t="shared" si="2"/>
        <v>#VALUE!</v>
      </c>
    </row>
    <row r="7474" spans="1:9" ht="15.75" customHeight="1">
      <c r="A7474" s="26"/>
      <c r="B7474" s="2"/>
      <c r="C7474" s="26"/>
      <c r="D7474" s="26"/>
      <c r="F7474" s="85" t="str">
        <f t="shared" si="0"/>
        <v/>
      </c>
      <c r="G7474" s="1" t="e">
        <f>IF(VALUE(F7474) = VALUE(RIGHT(Insights!$C$3, 4)), E7474, "")</f>
        <v>#VALUE!</v>
      </c>
      <c r="H7474" s="26" t="e">
        <f t="shared" si="1"/>
        <v>#VALUE!</v>
      </c>
      <c r="I7474" s="1" t="e">
        <f t="shared" si="2"/>
        <v>#VALUE!</v>
      </c>
    </row>
    <row r="7475" spans="1:9" ht="15.75" customHeight="1">
      <c r="A7475" s="26"/>
      <c r="B7475" s="2"/>
      <c r="C7475" s="26"/>
      <c r="D7475" s="26"/>
      <c r="F7475" s="85" t="str">
        <f t="shared" si="0"/>
        <v/>
      </c>
      <c r="G7475" s="1" t="e">
        <f>IF(VALUE(F7475) = VALUE(RIGHT(Insights!$C$3, 4)), E7475, "")</f>
        <v>#VALUE!</v>
      </c>
      <c r="H7475" s="26" t="e">
        <f t="shared" si="1"/>
        <v>#VALUE!</v>
      </c>
      <c r="I7475" s="1" t="e">
        <f t="shared" si="2"/>
        <v>#VALUE!</v>
      </c>
    </row>
    <row r="7476" spans="1:9" ht="15.75" customHeight="1">
      <c r="A7476" s="26"/>
      <c r="B7476" s="2"/>
      <c r="C7476" s="26"/>
      <c r="D7476" s="26"/>
      <c r="F7476" s="85" t="str">
        <f t="shared" si="0"/>
        <v/>
      </c>
      <c r="G7476" s="1" t="e">
        <f>IF(VALUE(F7476) = VALUE(RIGHT(Insights!$C$3, 4)), E7476, "")</f>
        <v>#VALUE!</v>
      </c>
      <c r="H7476" s="26" t="e">
        <f t="shared" si="1"/>
        <v>#VALUE!</v>
      </c>
      <c r="I7476" s="1" t="e">
        <f t="shared" si="2"/>
        <v>#VALUE!</v>
      </c>
    </row>
    <row r="7477" spans="1:9" ht="15.75" customHeight="1">
      <c r="A7477" s="26"/>
      <c r="B7477" s="2"/>
      <c r="C7477" s="26"/>
      <c r="D7477" s="26"/>
      <c r="F7477" s="85" t="str">
        <f t="shared" si="0"/>
        <v/>
      </c>
      <c r="G7477" s="1" t="e">
        <f>IF(VALUE(F7477) = VALUE(RIGHT(Insights!$C$3, 4)), E7477, "")</f>
        <v>#VALUE!</v>
      </c>
      <c r="H7477" s="26" t="e">
        <f t="shared" si="1"/>
        <v>#VALUE!</v>
      </c>
      <c r="I7477" s="1" t="e">
        <f t="shared" si="2"/>
        <v>#VALUE!</v>
      </c>
    </row>
    <row r="7478" spans="1:9" ht="15.75" customHeight="1">
      <c r="A7478" s="26"/>
      <c r="B7478" s="2"/>
      <c r="C7478" s="26"/>
      <c r="D7478" s="26"/>
      <c r="F7478" s="85" t="str">
        <f t="shared" si="0"/>
        <v/>
      </c>
      <c r="G7478" s="1" t="e">
        <f>IF(VALUE(F7478) = VALUE(RIGHT(Insights!$C$3, 4)), E7478, "")</f>
        <v>#VALUE!</v>
      </c>
      <c r="H7478" s="26" t="e">
        <f t="shared" si="1"/>
        <v>#VALUE!</v>
      </c>
      <c r="I7478" s="1" t="e">
        <f t="shared" si="2"/>
        <v>#VALUE!</v>
      </c>
    </row>
    <row r="7479" spans="1:9" ht="15.75" customHeight="1">
      <c r="A7479" s="26"/>
      <c r="B7479" s="2"/>
      <c r="C7479" s="26"/>
      <c r="D7479" s="26"/>
      <c r="F7479" s="85" t="str">
        <f t="shared" si="0"/>
        <v/>
      </c>
      <c r="G7479" s="1" t="e">
        <f>IF(VALUE(F7479) = VALUE(RIGHT(Insights!$C$3, 4)), E7479, "")</f>
        <v>#VALUE!</v>
      </c>
      <c r="H7479" s="26" t="e">
        <f t="shared" si="1"/>
        <v>#VALUE!</v>
      </c>
      <c r="I7479" s="1" t="e">
        <f t="shared" si="2"/>
        <v>#VALUE!</v>
      </c>
    </row>
    <row r="7480" spans="1:9" ht="15.75" customHeight="1">
      <c r="A7480" s="26"/>
      <c r="B7480" s="2"/>
      <c r="C7480" s="26"/>
      <c r="D7480" s="26"/>
      <c r="F7480" s="85" t="str">
        <f t="shared" si="0"/>
        <v/>
      </c>
      <c r="G7480" s="1" t="e">
        <f>IF(VALUE(F7480) = VALUE(RIGHT(Insights!$C$3, 4)), E7480, "")</f>
        <v>#VALUE!</v>
      </c>
      <c r="H7480" s="26" t="e">
        <f t="shared" si="1"/>
        <v>#VALUE!</v>
      </c>
      <c r="I7480" s="1" t="e">
        <f t="shared" si="2"/>
        <v>#VALUE!</v>
      </c>
    </row>
    <row r="7481" spans="1:9" ht="15.75" customHeight="1">
      <c r="A7481" s="26"/>
      <c r="B7481" s="2"/>
      <c r="C7481" s="26"/>
      <c r="D7481" s="26"/>
      <c r="F7481" s="85" t="str">
        <f t="shared" si="0"/>
        <v/>
      </c>
      <c r="G7481" s="1" t="e">
        <f>IF(VALUE(F7481) = VALUE(RIGHT(Insights!$C$3, 4)), E7481, "")</f>
        <v>#VALUE!</v>
      </c>
      <c r="H7481" s="26" t="e">
        <f t="shared" si="1"/>
        <v>#VALUE!</v>
      </c>
      <c r="I7481" s="1" t="e">
        <f t="shared" si="2"/>
        <v>#VALUE!</v>
      </c>
    </row>
    <row r="7482" spans="1:9" ht="15.75" customHeight="1">
      <c r="A7482" s="26"/>
      <c r="B7482" s="2"/>
      <c r="C7482" s="26"/>
      <c r="D7482" s="26"/>
      <c r="F7482" s="85" t="str">
        <f t="shared" si="0"/>
        <v/>
      </c>
      <c r="G7482" s="1" t="e">
        <f>IF(VALUE(F7482) = VALUE(RIGHT(Insights!$C$3, 4)), E7482, "")</f>
        <v>#VALUE!</v>
      </c>
      <c r="H7482" s="26" t="e">
        <f t="shared" si="1"/>
        <v>#VALUE!</v>
      </c>
      <c r="I7482" s="1" t="e">
        <f t="shared" si="2"/>
        <v>#VALUE!</v>
      </c>
    </row>
    <row r="7483" spans="1:9" ht="15.75" customHeight="1">
      <c r="A7483" s="26"/>
      <c r="B7483" s="2"/>
      <c r="C7483" s="26"/>
      <c r="D7483" s="26"/>
      <c r="F7483" s="85" t="str">
        <f t="shared" si="0"/>
        <v/>
      </c>
      <c r="G7483" s="1" t="e">
        <f>IF(VALUE(F7483) = VALUE(RIGHT(Insights!$C$3, 4)), E7483, "")</f>
        <v>#VALUE!</v>
      </c>
      <c r="H7483" s="26" t="e">
        <f t="shared" si="1"/>
        <v>#VALUE!</v>
      </c>
      <c r="I7483" s="1" t="e">
        <f t="shared" si="2"/>
        <v>#VALUE!</v>
      </c>
    </row>
    <row r="7484" spans="1:9" ht="15.75" customHeight="1">
      <c r="A7484" s="26"/>
      <c r="B7484" s="2"/>
      <c r="C7484" s="26"/>
      <c r="D7484" s="26"/>
      <c r="F7484" s="85" t="str">
        <f t="shared" si="0"/>
        <v/>
      </c>
      <c r="G7484" s="1" t="e">
        <f>IF(VALUE(F7484) = VALUE(RIGHT(Insights!$C$3, 4)), E7484, "")</f>
        <v>#VALUE!</v>
      </c>
      <c r="H7484" s="26" t="e">
        <f t="shared" si="1"/>
        <v>#VALUE!</v>
      </c>
      <c r="I7484" s="1" t="e">
        <f t="shared" si="2"/>
        <v>#VALUE!</v>
      </c>
    </row>
    <row r="7485" spans="1:9" ht="15.75" customHeight="1">
      <c r="A7485" s="26"/>
      <c r="B7485" s="2"/>
      <c r="C7485" s="26"/>
      <c r="D7485" s="26"/>
      <c r="F7485" s="85" t="str">
        <f t="shared" si="0"/>
        <v/>
      </c>
      <c r="G7485" s="1" t="e">
        <f>IF(VALUE(F7485) = VALUE(RIGHT(Insights!$C$3, 4)), E7485, "")</f>
        <v>#VALUE!</v>
      </c>
      <c r="H7485" s="26" t="e">
        <f t="shared" si="1"/>
        <v>#VALUE!</v>
      </c>
      <c r="I7485" s="1" t="e">
        <f t="shared" si="2"/>
        <v>#VALUE!</v>
      </c>
    </row>
    <row r="7486" spans="1:9" ht="15.75" customHeight="1">
      <c r="A7486" s="26"/>
      <c r="B7486" s="2"/>
      <c r="C7486" s="26"/>
      <c r="D7486" s="26"/>
      <c r="F7486" s="85" t="str">
        <f t="shared" si="0"/>
        <v/>
      </c>
      <c r="G7486" s="1" t="e">
        <f>IF(VALUE(F7486) = VALUE(RIGHT(Insights!$C$3, 4)), E7486, "")</f>
        <v>#VALUE!</v>
      </c>
      <c r="H7486" s="26" t="e">
        <f t="shared" si="1"/>
        <v>#VALUE!</v>
      </c>
      <c r="I7486" s="1" t="e">
        <f t="shared" si="2"/>
        <v>#VALUE!</v>
      </c>
    </row>
    <row r="7487" spans="1:9" ht="15.75" customHeight="1">
      <c r="A7487" s="26"/>
      <c r="B7487" s="2"/>
      <c r="C7487" s="26"/>
      <c r="D7487" s="26"/>
      <c r="F7487" s="85" t="str">
        <f t="shared" si="0"/>
        <v/>
      </c>
      <c r="G7487" s="1" t="e">
        <f>IF(VALUE(F7487) = VALUE(RIGHT(Insights!$C$3, 4)), E7487, "")</f>
        <v>#VALUE!</v>
      </c>
      <c r="H7487" s="26" t="e">
        <f t="shared" si="1"/>
        <v>#VALUE!</v>
      </c>
      <c r="I7487" s="1" t="e">
        <f t="shared" si="2"/>
        <v>#VALUE!</v>
      </c>
    </row>
    <row r="7488" spans="1:9" ht="15.75" customHeight="1">
      <c r="A7488" s="26"/>
      <c r="B7488" s="2"/>
      <c r="C7488" s="26"/>
      <c r="D7488" s="26"/>
      <c r="F7488" s="85" t="str">
        <f t="shared" si="0"/>
        <v/>
      </c>
      <c r="G7488" s="1" t="e">
        <f>IF(VALUE(F7488) = VALUE(RIGHT(Insights!$C$3, 4)), E7488, "")</f>
        <v>#VALUE!</v>
      </c>
      <c r="H7488" s="26" t="e">
        <f t="shared" si="1"/>
        <v>#VALUE!</v>
      </c>
      <c r="I7488" s="1" t="e">
        <f t="shared" si="2"/>
        <v>#VALUE!</v>
      </c>
    </row>
    <row r="7489" spans="1:9" ht="15.75" customHeight="1">
      <c r="A7489" s="26"/>
      <c r="B7489" s="2"/>
      <c r="C7489" s="26"/>
      <c r="D7489" s="26"/>
      <c r="F7489" s="85" t="str">
        <f t="shared" si="0"/>
        <v/>
      </c>
      <c r="G7489" s="1" t="e">
        <f>IF(VALUE(F7489) = VALUE(RIGHT(Insights!$C$3, 4)), E7489, "")</f>
        <v>#VALUE!</v>
      </c>
      <c r="H7489" s="26" t="e">
        <f t="shared" si="1"/>
        <v>#VALUE!</v>
      </c>
      <c r="I7489" s="1" t="e">
        <f t="shared" si="2"/>
        <v>#VALUE!</v>
      </c>
    </row>
    <row r="7490" spans="1:9" ht="15.75" customHeight="1">
      <c r="A7490" s="26"/>
      <c r="B7490" s="2"/>
      <c r="C7490" s="26"/>
      <c r="D7490" s="26"/>
      <c r="F7490" s="85" t="str">
        <f t="shared" si="0"/>
        <v/>
      </c>
      <c r="G7490" s="1" t="e">
        <f>IF(VALUE(F7490) = VALUE(RIGHT(Insights!$C$3, 4)), E7490, "")</f>
        <v>#VALUE!</v>
      </c>
      <c r="H7490" s="26" t="e">
        <f t="shared" si="1"/>
        <v>#VALUE!</v>
      </c>
      <c r="I7490" s="1" t="e">
        <f t="shared" si="2"/>
        <v>#VALUE!</v>
      </c>
    </row>
    <row r="7491" spans="1:9" ht="15.75" customHeight="1">
      <c r="A7491" s="26"/>
      <c r="B7491" s="2"/>
      <c r="C7491" s="26"/>
      <c r="D7491" s="26"/>
      <c r="F7491" s="85" t="str">
        <f t="shared" si="0"/>
        <v/>
      </c>
      <c r="G7491" s="1" t="e">
        <f>IF(VALUE(F7491) = VALUE(RIGHT(Insights!$C$3, 4)), E7491, "")</f>
        <v>#VALUE!</v>
      </c>
      <c r="H7491" s="26" t="e">
        <f t="shared" si="1"/>
        <v>#VALUE!</v>
      </c>
      <c r="I7491" s="1" t="e">
        <f t="shared" si="2"/>
        <v>#VALUE!</v>
      </c>
    </row>
    <row r="7492" spans="1:9" ht="15.75" customHeight="1">
      <c r="A7492" s="26"/>
      <c r="B7492" s="2"/>
      <c r="C7492" s="26"/>
      <c r="D7492" s="26"/>
      <c r="F7492" s="85" t="str">
        <f t="shared" si="0"/>
        <v/>
      </c>
      <c r="G7492" s="1" t="e">
        <f>IF(VALUE(F7492) = VALUE(RIGHT(Insights!$C$3, 4)), E7492, "")</f>
        <v>#VALUE!</v>
      </c>
      <c r="H7492" s="26" t="e">
        <f t="shared" si="1"/>
        <v>#VALUE!</v>
      </c>
      <c r="I7492" s="1" t="e">
        <f t="shared" si="2"/>
        <v>#VALUE!</v>
      </c>
    </row>
    <row r="7493" spans="1:9" ht="15.75" customHeight="1">
      <c r="A7493" s="26"/>
      <c r="B7493" s="2"/>
      <c r="C7493" s="26"/>
      <c r="D7493" s="26"/>
      <c r="F7493" s="85" t="str">
        <f t="shared" si="0"/>
        <v/>
      </c>
      <c r="G7493" s="1" t="e">
        <f>IF(VALUE(F7493) = VALUE(RIGHT(Insights!$C$3, 4)), E7493, "")</f>
        <v>#VALUE!</v>
      </c>
      <c r="H7493" s="26" t="e">
        <f t="shared" si="1"/>
        <v>#VALUE!</v>
      </c>
      <c r="I7493" s="1" t="e">
        <f t="shared" si="2"/>
        <v>#VALUE!</v>
      </c>
    </row>
    <row r="7494" spans="1:9" ht="15.75" customHeight="1">
      <c r="A7494" s="26"/>
      <c r="B7494" s="2"/>
      <c r="C7494" s="26"/>
      <c r="D7494" s="26"/>
      <c r="F7494" s="85" t="str">
        <f t="shared" si="0"/>
        <v/>
      </c>
      <c r="G7494" s="1" t="e">
        <f>IF(VALUE(F7494) = VALUE(RIGHT(Insights!$C$3, 4)), E7494, "")</f>
        <v>#VALUE!</v>
      </c>
      <c r="H7494" s="26" t="e">
        <f t="shared" si="1"/>
        <v>#VALUE!</v>
      </c>
      <c r="I7494" s="1" t="e">
        <f t="shared" si="2"/>
        <v>#VALUE!</v>
      </c>
    </row>
    <row r="7495" spans="1:9" ht="15.75" customHeight="1">
      <c r="A7495" s="26"/>
      <c r="B7495" s="2"/>
      <c r="C7495" s="26"/>
      <c r="D7495" s="26"/>
      <c r="F7495" s="85" t="str">
        <f t="shared" si="0"/>
        <v/>
      </c>
      <c r="G7495" s="1" t="e">
        <f>IF(VALUE(F7495) = VALUE(RIGHT(Insights!$C$3, 4)), E7495, "")</f>
        <v>#VALUE!</v>
      </c>
      <c r="H7495" s="26" t="e">
        <f t="shared" si="1"/>
        <v>#VALUE!</v>
      </c>
      <c r="I7495" s="1" t="e">
        <f t="shared" si="2"/>
        <v>#VALUE!</v>
      </c>
    </row>
    <row r="7496" spans="1:9" ht="15.75" customHeight="1">
      <c r="A7496" s="26"/>
      <c r="B7496" s="2"/>
      <c r="C7496" s="26"/>
      <c r="D7496" s="26"/>
      <c r="F7496" s="85" t="str">
        <f t="shared" si="0"/>
        <v/>
      </c>
      <c r="G7496" s="1" t="e">
        <f>IF(VALUE(F7496) = VALUE(RIGHT(Insights!$C$3, 4)), E7496, "")</f>
        <v>#VALUE!</v>
      </c>
      <c r="H7496" s="26" t="e">
        <f t="shared" si="1"/>
        <v>#VALUE!</v>
      </c>
      <c r="I7496" s="1" t="e">
        <f t="shared" si="2"/>
        <v>#VALUE!</v>
      </c>
    </row>
    <row r="7497" spans="1:9" ht="15.75" customHeight="1">
      <c r="A7497" s="26"/>
      <c r="B7497" s="2"/>
      <c r="C7497" s="26"/>
      <c r="D7497" s="26"/>
      <c r="F7497" s="85" t="str">
        <f t="shared" si="0"/>
        <v/>
      </c>
      <c r="G7497" s="1" t="e">
        <f>IF(VALUE(F7497) = VALUE(RIGHT(Insights!$C$3, 4)), E7497, "")</f>
        <v>#VALUE!</v>
      </c>
      <c r="H7497" s="26" t="e">
        <f t="shared" si="1"/>
        <v>#VALUE!</v>
      </c>
      <c r="I7497" s="1" t="e">
        <f t="shared" si="2"/>
        <v>#VALUE!</v>
      </c>
    </row>
    <row r="7498" spans="1:9" ht="15.75" customHeight="1">
      <c r="A7498" s="26"/>
      <c r="B7498" s="2"/>
      <c r="C7498" s="26"/>
      <c r="D7498" s="26"/>
      <c r="F7498" s="85" t="str">
        <f t="shared" si="0"/>
        <v/>
      </c>
      <c r="G7498" s="1" t="e">
        <f>IF(VALUE(F7498) = VALUE(RIGHT(Insights!$C$3, 4)), E7498, "")</f>
        <v>#VALUE!</v>
      </c>
      <c r="H7498" s="26" t="e">
        <f t="shared" si="1"/>
        <v>#VALUE!</v>
      </c>
      <c r="I7498" s="1" t="e">
        <f t="shared" si="2"/>
        <v>#VALUE!</v>
      </c>
    </row>
    <row r="7499" spans="1:9" ht="15.75" customHeight="1">
      <c r="A7499" s="26"/>
      <c r="B7499" s="2"/>
      <c r="C7499" s="26"/>
      <c r="D7499" s="26"/>
      <c r="F7499" s="85" t="str">
        <f t="shared" si="0"/>
        <v/>
      </c>
      <c r="G7499" s="1" t="e">
        <f>IF(VALUE(F7499) = VALUE(RIGHT(Insights!$C$3, 4)), E7499, "")</f>
        <v>#VALUE!</v>
      </c>
      <c r="H7499" s="26" t="e">
        <f t="shared" si="1"/>
        <v>#VALUE!</v>
      </c>
      <c r="I7499" s="1" t="e">
        <f t="shared" si="2"/>
        <v>#VALUE!</v>
      </c>
    </row>
    <row r="7500" spans="1:9" ht="15.75" customHeight="1">
      <c r="A7500" s="26"/>
      <c r="B7500" s="2"/>
      <c r="C7500" s="26"/>
      <c r="D7500" s="26"/>
      <c r="F7500" s="85" t="str">
        <f t="shared" si="0"/>
        <v/>
      </c>
      <c r="G7500" s="1" t="e">
        <f>IF(VALUE(F7500) = VALUE(RIGHT(Insights!$C$3, 4)), E7500, "")</f>
        <v>#VALUE!</v>
      </c>
      <c r="H7500" s="26" t="e">
        <f t="shared" si="1"/>
        <v>#VALUE!</v>
      </c>
      <c r="I7500" s="1" t="e">
        <f t="shared" si="2"/>
        <v>#VALUE!</v>
      </c>
    </row>
    <row r="7501" spans="1:9" ht="15.75" customHeight="1">
      <c r="A7501" s="26"/>
      <c r="B7501" s="2"/>
      <c r="C7501" s="26"/>
      <c r="D7501" s="26"/>
      <c r="F7501" s="85" t="str">
        <f t="shared" si="0"/>
        <v/>
      </c>
      <c r="G7501" s="1" t="e">
        <f>IF(VALUE(F7501) = VALUE(RIGHT(Insights!$C$3, 4)), E7501, "")</f>
        <v>#VALUE!</v>
      </c>
      <c r="H7501" s="26" t="e">
        <f t="shared" si="1"/>
        <v>#VALUE!</v>
      </c>
      <c r="I7501" s="1" t="e">
        <f t="shared" si="2"/>
        <v>#VALUE!</v>
      </c>
    </row>
    <row r="7502" spans="1:9" ht="15.75" customHeight="1">
      <c r="A7502" s="26"/>
      <c r="B7502" s="2"/>
      <c r="C7502" s="26"/>
      <c r="D7502" s="26"/>
      <c r="F7502" s="85" t="str">
        <f t="shared" si="0"/>
        <v/>
      </c>
      <c r="G7502" s="1" t="e">
        <f>IF(VALUE(F7502) = VALUE(RIGHT(Insights!$C$3, 4)), E7502, "")</f>
        <v>#VALUE!</v>
      </c>
      <c r="H7502" s="26" t="e">
        <f t="shared" si="1"/>
        <v>#VALUE!</v>
      </c>
      <c r="I7502" s="1" t="e">
        <f t="shared" si="2"/>
        <v>#VALUE!</v>
      </c>
    </row>
    <row r="7503" spans="1:9" ht="15.75" customHeight="1">
      <c r="A7503" s="26"/>
      <c r="B7503" s="2"/>
      <c r="C7503" s="26"/>
      <c r="D7503" s="26"/>
      <c r="F7503" s="85" t="str">
        <f t="shared" si="0"/>
        <v/>
      </c>
      <c r="G7503" s="1" t="e">
        <f>IF(VALUE(F7503) = VALUE(RIGHT(Insights!$C$3, 4)), E7503, "")</f>
        <v>#VALUE!</v>
      </c>
      <c r="H7503" s="26" t="e">
        <f t="shared" si="1"/>
        <v>#VALUE!</v>
      </c>
      <c r="I7503" s="1" t="e">
        <f t="shared" si="2"/>
        <v>#VALUE!</v>
      </c>
    </row>
    <row r="7504" spans="1:9" ht="15.75" customHeight="1">
      <c r="A7504" s="26"/>
      <c r="B7504" s="2"/>
      <c r="C7504" s="26"/>
      <c r="D7504" s="26"/>
      <c r="F7504" s="85" t="str">
        <f t="shared" si="0"/>
        <v/>
      </c>
      <c r="G7504" s="1" t="e">
        <f>IF(VALUE(F7504) = VALUE(RIGHT(Insights!$C$3, 4)), E7504, "")</f>
        <v>#VALUE!</v>
      </c>
      <c r="H7504" s="26" t="e">
        <f t="shared" si="1"/>
        <v>#VALUE!</v>
      </c>
      <c r="I7504" s="1" t="e">
        <f t="shared" si="2"/>
        <v>#VALUE!</v>
      </c>
    </row>
    <row r="7505" spans="1:9" ht="15.75" customHeight="1">
      <c r="A7505" s="26"/>
      <c r="B7505" s="2"/>
      <c r="C7505" s="26"/>
      <c r="D7505" s="26"/>
      <c r="F7505" s="85" t="str">
        <f t="shared" si="0"/>
        <v/>
      </c>
      <c r="G7505" s="1" t="e">
        <f>IF(VALUE(F7505) = VALUE(RIGHT(Insights!$C$3, 4)), E7505, "")</f>
        <v>#VALUE!</v>
      </c>
      <c r="H7505" s="26" t="e">
        <f t="shared" si="1"/>
        <v>#VALUE!</v>
      </c>
      <c r="I7505" s="1" t="e">
        <f t="shared" si="2"/>
        <v>#VALUE!</v>
      </c>
    </row>
    <row r="7506" spans="1:9" ht="15.75" customHeight="1">
      <c r="A7506" s="26"/>
      <c r="B7506" s="2"/>
      <c r="C7506" s="26"/>
      <c r="D7506" s="26"/>
      <c r="F7506" s="85" t="str">
        <f t="shared" si="0"/>
        <v/>
      </c>
      <c r="G7506" s="1" t="e">
        <f>IF(VALUE(F7506) = VALUE(RIGHT(Insights!$C$3, 4)), E7506, "")</f>
        <v>#VALUE!</v>
      </c>
      <c r="H7506" s="26" t="e">
        <f t="shared" si="1"/>
        <v>#VALUE!</v>
      </c>
      <c r="I7506" s="1" t="e">
        <f t="shared" si="2"/>
        <v>#VALUE!</v>
      </c>
    </row>
    <row r="7507" spans="1:9" ht="15.75" customHeight="1">
      <c r="A7507" s="26"/>
      <c r="B7507" s="2"/>
      <c r="C7507" s="26"/>
      <c r="D7507" s="26"/>
      <c r="F7507" s="85" t="str">
        <f t="shared" si="0"/>
        <v/>
      </c>
      <c r="G7507" s="1" t="e">
        <f>IF(VALUE(F7507) = VALUE(RIGHT(Insights!$C$3, 4)), E7507, "")</f>
        <v>#VALUE!</v>
      </c>
      <c r="H7507" s="26" t="e">
        <f t="shared" si="1"/>
        <v>#VALUE!</v>
      </c>
      <c r="I7507" s="1" t="e">
        <f t="shared" si="2"/>
        <v>#VALUE!</v>
      </c>
    </row>
    <row r="7508" spans="1:9" ht="15.75" customHeight="1">
      <c r="A7508" s="26"/>
      <c r="B7508" s="2"/>
      <c r="C7508" s="26"/>
      <c r="D7508" s="26"/>
      <c r="F7508" s="85" t="str">
        <f t="shared" si="0"/>
        <v/>
      </c>
      <c r="G7508" s="1" t="e">
        <f>IF(VALUE(F7508) = VALUE(RIGHT(Insights!$C$3, 4)), E7508, "")</f>
        <v>#VALUE!</v>
      </c>
      <c r="H7508" s="26" t="e">
        <f t="shared" si="1"/>
        <v>#VALUE!</v>
      </c>
      <c r="I7508" s="1" t="e">
        <f t="shared" si="2"/>
        <v>#VALUE!</v>
      </c>
    </row>
    <row r="7509" spans="1:9" ht="15.75" customHeight="1">
      <c r="A7509" s="26"/>
      <c r="B7509" s="2"/>
      <c r="C7509" s="26"/>
      <c r="D7509" s="26"/>
      <c r="F7509" s="85" t="str">
        <f t="shared" si="0"/>
        <v/>
      </c>
      <c r="G7509" s="1" t="e">
        <f>IF(VALUE(F7509) = VALUE(RIGHT(Insights!$C$3, 4)), E7509, "")</f>
        <v>#VALUE!</v>
      </c>
      <c r="H7509" s="26" t="e">
        <f t="shared" si="1"/>
        <v>#VALUE!</v>
      </c>
      <c r="I7509" s="1" t="e">
        <f t="shared" si="2"/>
        <v>#VALUE!</v>
      </c>
    </row>
    <row r="7510" spans="1:9" ht="15.75" customHeight="1">
      <c r="A7510" s="26"/>
      <c r="B7510" s="2"/>
      <c r="C7510" s="26"/>
      <c r="D7510" s="26"/>
      <c r="F7510" s="85" t="str">
        <f t="shared" si="0"/>
        <v/>
      </c>
      <c r="G7510" s="1" t="e">
        <f>IF(VALUE(F7510) = VALUE(RIGHT(Insights!$C$3, 4)), E7510, "")</f>
        <v>#VALUE!</v>
      </c>
      <c r="H7510" s="26" t="e">
        <f t="shared" si="1"/>
        <v>#VALUE!</v>
      </c>
      <c r="I7510" s="1" t="e">
        <f t="shared" si="2"/>
        <v>#VALUE!</v>
      </c>
    </row>
    <row r="7511" spans="1:9" ht="15.75" customHeight="1">
      <c r="A7511" s="26"/>
      <c r="B7511" s="2"/>
      <c r="C7511" s="26"/>
      <c r="D7511" s="26"/>
      <c r="F7511" s="85" t="str">
        <f t="shared" si="0"/>
        <v/>
      </c>
      <c r="G7511" s="1" t="e">
        <f>IF(VALUE(F7511) = VALUE(RIGHT(Insights!$C$3, 4)), E7511, "")</f>
        <v>#VALUE!</v>
      </c>
      <c r="H7511" s="26" t="e">
        <f t="shared" si="1"/>
        <v>#VALUE!</v>
      </c>
      <c r="I7511" s="1" t="e">
        <f t="shared" si="2"/>
        <v>#VALUE!</v>
      </c>
    </row>
    <row r="7512" spans="1:9" ht="15.75" customHeight="1">
      <c r="A7512" s="26"/>
      <c r="B7512" s="2"/>
      <c r="C7512" s="26"/>
      <c r="D7512" s="26"/>
      <c r="F7512" s="85" t="str">
        <f t="shared" si="0"/>
        <v/>
      </c>
      <c r="G7512" s="1" t="e">
        <f>IF(VALUE(F7512) = VALUE(RIGHT(Insights!$C$3, 4)), E7512, "")</f>
        <v>#VALUE!</v>
      </c>
      <c r="H7512" s="26" t="e">
        <f t="shared" si="1"/>
        <v>#VALUE!</v>
      </c>
      <c r="I7512" s="1" t="e">
        <f t="shared" si="2"/>
        <v>#VALUE!</v>
      </c>
    </row>
    <row r="7513" spans="1:9" ht="15.75" customHeight="1">
      <c r="A7513" s="26"/>
      <c r="B7513" s="2"/>
      <c r="C7513" s="26"/>
      <c r="D7513" s="26"/>
      <c r="F7513" s="85" t="str">
        <f t="shared" si="0"/>
        <v/>
      </c>
      <c r="G7513" s="1" t="e">
        <f>IF(VALUE(F7513) = VALUE(RIGHT(Insights!$C$3, 4)), E7513, "")</f>
        <v>#VALUE!</v>
      </c>
      <c r="H7513" s="26" t="e">
        <f t="shared" si="1"/>
        <v>#VALUE!</v>
      </c>
      <c r="I7513" s="1" t="e">
        <f t="shared" si="2"/>
        <v>#VALUE!</v>
      </c>
    </row>
    <row r="7514" spans="1:9" ht="15.75" customHeight="1">
      <c r="A7514" s="26"/>
      <c r="B7514" s="2"/>
      <c r="C7514" s="26"/>
      <c r="D7514" s="26"/>
      <c r="F7514" s="85" t="str">
        <f t="shared" si="0"/>
        <v/>
      </c>
      <c r="G7514" s="1" t="e">
        <f>IF(VALUE(F7514) = VALUE(RIGHT(Insights!$C$3, 4)), E7514, "")</f>
        <v>#VALUE!</v>
      </c>
      <c r="H7514" s="26" t="e">
        <f t="shared" si="1"/>
        <v>#VALUE!</v>
      </c>
      <c r="I7514" s="1" t="e">
        <f t="shared" si="2"/>
        <v>#VALUE!</v>
      </c>
    </row>
    <row r="7515" spans="1:9" ht="15.75" customHeight="1">
      <c r="A7515" s="26"/>
      <c r="B7515" s="2"/>
      <c r="C7515" s="26"/>
      <c r="D7515" s="26"/>
      <c r="F7515" s="85" t="str">
        <f t="shared" si="0"/>
        <v/>
      </c>
      <c r="G7515" s="1" t="e">
        <f>IF(VALUE(F7515) = VALUE(RIGHT(Insights!$C$3, 4)), E7515, "")</f>
        <v>#VALUE!</v>
      </c>
      <c r="H7515" s="26" t="e">
        <f t="shared" si="1"/>
        <v>#VALUE!</v>
      </c>
      <c r="I7515" s="1" t="e">
        <f t="shared" si="2"/>
        <v>#VALUE!</v>
      </c>
    </row>
    <row r="7516" spans="1:9" ht="15.75" customHeight="1">
      <c r="A7516" s="26"/>
      <c r="B7516" s="2"/>
      <c r="C7516" s="26"/>
      <c r="D7516" s="26"/>
      <c r="F7516" s="85" t="str">
        <f t="shared" si="0"/>
        <v/>
      </c>
      <c r="G7516" s="1" t="e">
        <f>IF(VALUE(F7516) = VALUE(RIGHT(Insights!$C$3, 4)), E7516, "")</f>
        <v>#VALUE!</v>
      </c>
      <c r="H7516" s="26" t="e">
        <f t="shared" si="1"/>
        <v>#VALUE!</v>
      </c>
      <c r="I7516" s="1" t="e">
        <f t="shared" si="2"/>
        <v>#VALUE!</v>
      </c>
    </row>
    <row r="7517" spans="1:9" ht="15.75" customHeight="1">
      <c r="A7517" s="26"/>
      <c r="B7517" s="2"/>
      <c r="C7517" s="26"/>
      <c r="D7517" s="26"/>
      <c r="F7517" s="85" t="str">
        <f t="shared" si="0"/>
        <v/>
      </c>
      <c r="G7517" s="1" t="e">
        <f>IF(VALUE(F7517) = VALUE(RIGHT(Insights!$C$3, 4)), E7517, "")</f>
        <v>#VALUE!</v>
      </c>
      <c r="H7517" s="26" t="e">
        <f t="shared" si="1"/>
        <v>#VALUE!</v>
      </c>
      <c r="I7517" s="1" t="e">
        <f t="shared" si="2"/>
        <v>#VALUE!</v>
      </c>
    </row>
    <row r="7518" spans="1:9" ht="15.75" customHeight="1">
      <c r="A7518" s="26"/>
      <c r="B7518" s="2"/>
      <c r="C7518" s="26"/>
      <c r="D7518" s="26"/>
      <c r="F7518" s="85" t="str">
        <f t="shared" si="0"/>
        <v/>
      </c>
      <c r="G7518" s="1" t="e">
        <f>IF(VALUE(F7518) = VALUE(RIGHT(Insights!$C$3, 4)), E7518, "")</f>
        <v>#VALUE!</v>
      </c>
      <c r="H7518" s="26" t="e">
        <f t="shared" si="1"/>
        <v>#VALUE!</v>
      </c>
      <c r="I7518" s="1" t="e">
        <f t="shared" si="2"/>
        <v>#VALUE!</v>
      </c>
    </row>
    <row r="7519" spans="1:9" ht="15.75" customHeight="1">
      <c r="A7519" s="26"/>
      <c r="B7519" s="2"/>
      <c r="C7519" s="26"/>
      <c r="D7519" s="26"/>
      <c r="F7519" s="85" t="str">
        <f t="shared" si="0"/>
        <v/>
      </c>
      <c r="G7519" s="1" t="e">
        <f>IF(VALUE(F7519) = VALUE(RIGHT(Insights!$C$3, 4)), E7519, "")</f>
        <v>#VALUE!</v>
      </c>
      <c r="H7519" s="26" t="e">
        <f t="shared" si="1"/>
        <v>#VALUE!</v>
      </c>
      <c r="I7519" s="1" t="e">
        <f t="shared" si="2"/>
        <v>#VALUE!</v>
      </c>
    </row>
    <row r="7520" spans="1:9" ht="15.75" customHeight="1">
      <c r="A7520" s="26"/>
      <c r="B7520" s="2"/>
      <c r="C7520" s="26"/>
      <c r="D7520" s="26"/>
      <c r="F7520" s="85" t="str">
        <f t="shared" si="0"/>
        <v/>
      </c>
      <c r="G7520" s="1" t="e">
        <f>IF(VALUE(F7520) = VALUE(RIGHT(Insights!$C$3, 4)), E7520, "")</f>
        <v>#VALUE!</v>
      </c>
      <c r="H7520" s="26" t="e">
        <f t="shared" si="1"/>
        <v>#VALUE!</v>
      </c>
      <c r="I7520" s="1" t="e">
        <f t="shared" si="2"/>
        <v>#VALUE!</v>
      </c>
    </row>
    <row r="7521" spans="1:9" ht="15.75" customHeight="1">
      <c r="A7521" s="26"/>
      <c r="B7521" s="2"/>
      <c r="C7521" s="26"/>
      <c r="D7521" s="26"/>
      <c r="F7521" s="85" t="str">
        <f t="shared" si="0"/>
        <v/>
      </c>
      <c r="G7521" s="1" t="e">
        <f>IF(VALUE(F7521) = VALUE(RIGHT(Insights!$C$3, 4)), E7521, "")</f>
        <v>#VALUE!</v>
      </c>
      <c r="H7521" s="26" t="e">
        <f t="shared" si="1"/>
        <v>#VALUE!</v>
      </c>
      <c r="I7521" s="1" t="e">
        <f t="shared" si="2"/>
        <v>#VALUE!</v>
      </c>
    </row>
    <row r="7522" spans="1:9" ht="15.75" customHeight="1">
      <c r="A7522" s="26"/>
      <c r="B7522" s="2"/>
      <c r="C7522" s="26"/>
      <c r="D7522" s="26"/>
      <c r="F7522" s="85" t="str">
        <f t="shared" si="0"/>
        <v/>
      </c>
      <c r="G7522" s="1" t="e">
        <f>IF(VALUE(F7522) = VALUE(RIGHT(Insights!$C$3, 4)), E7522, "")</f>
        <v>#VALUE!</v>
      </c>
      <c r="H7522" s="26" t="e">
        <f t="shared" si="1"/>
        <v>#VALUE!</v>
      </c>
      <c r="I7522" s="1" t="e">
        <f t="shared" si="2"/>
        <v>#VALUE!</v>
      </c>
    </row>
    <row r="7523" spans="1:9" ht="15.75" customHeight="1">
      <c r="A7523" s="26"/>
      <c r="B7523" s="2"/>
      <c r="C7523" s="26"/>
      <c r="D7523" s="26"/>
      <c r="F7523" s="85" t="str">
        <f t="shared" si="0"/>
        <v/>
      </c>
      <c r="G7523" s="1" t="e">
        <f>IF(VALUE(F7523) = VALUE(RIGHT(Insights!$C$3, 4)), E7523, "")</f>
        <v>#VALUE!</v>
      </c>
      <c r="H7523" s="26" t="e">
        <f t="shared" si="1"/>
        <v>#VALUE!</v>
      </c>
      <c r="I7523" s="1" t="e">
        <f t="shared" si="2"/>
        <v>#VALUE!</v>
      </c>
    </row>
    <row r="7524" spans="1:9" ht="15.75" customHeight="1">
      <c r="A7524" s="26"/>
      <c r="B7524" s="2"/>
      <c r="C7524" s="26"/>
      <c r="D7524" s="26"/>
      <c r="F7524" s="85" t="str">
        <f t="shared" si="0"/>
        <v/>
      </c>
      <c r="G7524" s="1" t="e">
        <f>IF(VALUE(F7524) = VALUE(RIGHT(Insights!$C$3, 4)), E7524, "")</f>
        <v>#VALUE!</v>
      </c>
      <c r="H7524" s="26" t="e">
        <f t="shared" si="1"/>
        <v>#VALUE!</v>
      </c>
      <c r="I7524" s="1" t="e">
        <f t="shared" si="2"/>
        <v>#VALUE!</v>
      </c>
    </row>
    <row r="7525" spans="1:9" ht="15.75" customHeight="1">
      <c r="A7525" s="26"/>
      <c r="B7525" s="2"/>
      <c r="C7525" s="26"/>
      <c r="D7525" s="26"/>
      <c r="F7525" s="85" t="str">
        <f t="shared" si="0"/>
        <v/>
      </c>
      <c r="G7525" s="1" t="e">
        <f>IF(VALUE(F7525) = VALUE(RIGHT(Insights!$C$3, 4)), E7525, "")</f>
        <v>#VALUE!</v>
      </c>
      <c r="H7525" s="26" t="e">
        <f t="shared" si="1"/>
        <v>#VALUE!</v>
      </c>
      <c r="I7525" s="1" t="e">
        <f t="shared" si="2"/>
        <v>#VALUE!</v>
      </c>
    </row>
    <row r="7526" spans="1:9" ht="15.75" customHeight="1">
      <c r="A7526" s="26"/>
      <c r="B7526" s="2"/>
      <c r="C7526" s="26"/>
      <c r="D7526" s="26"/>
      <c r="F7526" s="85" t="str">
        <f t="shared" si="0"/>
        <v/>
      </c>
      <c r="G7526" s="1" t="e">
        <f>IF(VALUE(F7526) = VALUE(RIGHT(Insights!$C$3, 4)), E7526, "")</f>
        <v>#VALUE!</v>
      </c>
      <c r="H7526" s="26" t="e">
        <f t="shared" si="1"/>
        <v>#VALUE!</v>
      </c>
      <c r="I7526" s="1" t="e">
        <f t="shared" si="2"/>
        <v>#VALUE!</v>
      </c>
    </row>
    <row r="7527" spans="1:9" ht="15.75" customHeight="1">
      <c r="A7527" s="26"/>
      <c r="B7527" s="2"/>
      <c r="C7527" s="26"/>
      <c r="D7527" s="26"/>
      <c r="F7527" s="85" t="str">
        <f t="shared" si="0"/>
        <v/>
      </c>
      <c r="G7527" s="1" t="e">
        <f>IF(VALUE(F7527) = VALUE(RIGHT(Insights!$C$3, 4)), E7527, "")</f>
        <v>#VALUE!</v>
      </c>
      <c r="H7527" s="26" t="e">
        <f t="shared" si="1"/>
        <v>#VALUE!</v>
      </c>
      <c r="I7527" s="1" t="e">
        <f t="shared" si="2"/>
        <v>#VALUE!</v>
      </c>
    </row>
    <row r="7528" spans="1:9" ht="15.75" customHeight="1">
      <c r="A7528" s="26"/>
      <c r="B7528" s="2"/>
      <c r="C7528" s="26"/>
      <c r="D7528" s="26"/>
      <c r="F7528" s="85" t="str">
        <f t="shared" si="0"/>
        <v/>
      </c>
      <c r="G7528" s="1" t="e">
        <f>IF(VALUE(F7528) = VALUE(RIGHT(Insights!$C$3, 4)), E7528, "")</f>
        <v>#VALUE!</v>
      </c>
      <c r="H7528" s="26" t="e">
        <f t="shared" si="1"/>
        <v>#VALUE!</v>
      </c>
      <c r="I7528" s="1" t="e">
        <f t="shared" si="2"/>
        <v>#VALUE!</v>
      </c>
    </row>
    <row r="7529" spans="1:9" ht="15.75" customHeight="1">
      <c r="A7529" s="26"/>
      <c r="B7529" s="2"/>
      <c r="C7529" s="26"/>
      <c r="D7529" s="26"/>
      <c r="F7529" s="85" t="str">
        <f t="shared" si="0"/>
        <v/>
      </c>
      <c r="G7529" s="1" t="e">
        <f>IF(VALUE(F7529) = VALUE(RIGHT(Insights!$C$3, 4)), E7529, "")</f>
        <v>#VALUE!</v>
      </c>
      <c r="H7529" s="26" t="e">
        <f t="shared" si="1"/>
        <v>#VALUE!</v>
      </c>
      <c r="I7529" s="1" t="e">
        <f t="shared" si="2"/>
        <v>#VALUE!</v>
      </c>
    </row>
    <row r="7530" spans="1:9" ht="15.75" customHeight="1">
      <c r="A7530" s="26"/>
      <c r="B7530" s="2"/>
      <c r="C7530" s="26"/>
      <c r="D7530" s="26"/>
      <c r="F7530" s="85" t="str">
        <f t="shared" si="0"/>
        <v/>
      </c>
      <c r="G7530" s="1" t="e">
        <f>IF(VALUE(F7530) = VALUE(RIGHT(Insights!$C$3, 4)), E7530, "")</f>
        <v>#VALUE!</v>
      </c>
      <c r="H7530" s="26" t="e">
        <f t="shared" si="1"/>
        <v>#VALUE!</v>
      </c>
      <c r="I7530" s="1" t="e">
        <f t="shared" si="2"/>
        <v>#VALUE!</v>
      </c>
    </row>
    <row r="7531" spans="1:9" ht="15.75" customHeight="1">
      <c r="A7531" s="26"/>
      <c r="B7531" s="2"/>
      <c r="C7531" s="26"/>
      <c r="D7531" s="26"/>
      <c r="F7531" s="85" t="str">
        <f t="shared" si="0"/>
        <v/>
      </c>
      <c r="G7531" s="1" t="e">
        <f>IF(VALUE(F7531) = VALUE(RIGHT(Insights!$C$3, 4)), E7531, "")</f>
        <v>#VALUE!</v>
      </c>
      <c r="H7531" s="26" t="e">
        <f t="shared" si="1"/>
        <v>#VALUE!</v>
      </c>
      <c r="I7531" s="1" t="e">
        <f t="shared" si="2"/>
        <v>#VALUE!</v>
      </c>
    </row>
    <row r="7532" spans="1:9" ht="15.75" customHeight="1">
      <c r="A7532" s="26"/>
      <c r="B7532" s="2"/>
      <c r="C7532" s="26"/>
      <c r="D7532" s="26"/>
      <c r="F7532" s="85" t="str">
        <f t="shared" si="0"/>
        <v/>
      </c>
      <c r="G7532" s="1" t="e">
        <f>IF(VALUE(F7532) = VALUE(RIGHT(Insights!$C$3, 4)), E7532, "")</f>
        <v>#VALUE!</v>
      </c>
      <c r="H7532" s="26" t="e">
        <f t="shared" si="1"/>
        <v>#VALUE!</v>
      </c>
      <c r="I7532" s="1" t="e">
        <f t="shared" si="2"/>
        <v>#VALUE!</v>
      </c>
    </row>
    <row r="7533" spans="1:9" ht="15.75" customHeight="1">
      <c r="A7533" s="26"/>
      <c r="B7533" s="2"/>
      <c r="C7533" s="26"/>
      <c r="D7533" s="26"/>
      <c r="F7533" s="85" t="str">
        <f t="shared" si="0"/>
        <v/>
      </c>
      <c r="G7533" s="1" t="e">
        <f>IF(VALUE(F7533) = VALUE(RIGHT(Insights!$C$3, 4)), E7533, "")</f>
        <v>#VALUE!</v>
      </c>
      <c r="H7533" s="26" t="e">
        <f t="shared" si="1"/>
        <v>#VALUE!</v>
      </c>
      <c r="I7533" s="1" t="e">
        <f t="shared" si="2"/>
        <v>#VALUE!</v>
      </c>
    </row>
    <row r="7534" spans="1:9" ht="15.75" customHeight="1">
      <c r="A7534" s="26"/>
      <c r="B7534" s="2"/>
      <c r="C7534" s="26"/>
      <c r="D7534" s="26"/>
      <c r="F7534" s="85" t="str">
        <f t="shared" si="0"/>
        <v/>
      </c>
      <c r="G7534" s="1" t="e">
        <f>IF(VALUE(F7534) = VALUE(RIGHT(Insights!$C$3, 4)), E7534, "")</f>
        <v>#VALUE!</v>
      </c>
      <c r="H7534" s="26" t="e">
        <f t="shared" si="1"/>
        <v>#VALUE!</v>
      </c>
      <c r="I7534" s="1" t="e">
        <f t="shared" si="2"/>
        <v>#VALUE!</v>
      </c>
    </row>
    <row r="7535" spans="1:9" ht="15.75" customHeight="1">
      <c r="A7535" s="26"/>
      <c r="B7535" s="2"/>
      <c r="C7535" s="26"/>
      <c r="D7535" s="26"/>
      <c r="F7535" s="85" t="str">
        <f t="shared" si="0"/>
        <v/>
      </c>
      <c r="G7535" s="1" t="e">
        <f>IF(VALUE(F7535) = VALUE(RIGHT(Insights!$C$3, 4)), E7535, "")</f>
        <v>#VALUE!</v>
      </c>
      <c r="H7535" s="26" t="e">
        <f t="shared" si="1"/>
        <v>#VALUE!</v>
      </c>
      <c r="I7535" s="1" t="e">
        <f t="shared" si="2"/>
        <v>#VALUE!</v>
      </c>
    </row>
    <row r="7536" spans="1:9" ht="15.75" customHeight="1">
      <c r="A7536" s="26"/>
      <c r="B7536" s="2"/>
      <c r="C7536" s="26"/>
      <c r="D7536" s="26"/>
      <c r="F7536" s="85" t="str">
        <f t="shared" si="0"/>
        <v/>
      </c>
      <c r="G7536" s="1" t="e">
        <f>IF(VALUE(F7536) = VALUE(RIGHT(Insights!$C$3, 4)), E7536, "")</f>
        <v>#VALUE!</v>
      </c>
      <c r="H7536" s="26" t="e">
        <f t="shared" si="1"/>
        <v>#VALUE!</v>
      </c>
      <c r="I7536" s="1" t="e">
        <f t="shared" si="2"/>
        <v>#VALUE!</v>
      </c>
    </row>
    <row r="7537" spans="1:9" ht="15.75" customHeight="1">
      <c r="A7537" s="26"/>
      <c r="B7537" s="2"/>
      <c r="C7537" s="26"/>
      <c r="D7537" s="26"/>
      <c r="F7537" s="85" t="str">
        <f t="shared" si="0"/>
        <v/>
      </c>
      <c r="G7537" s="1" t="e">
        <f>IF(VALUE(F7537) = VALUE(RIGHT(Insights!$C$3, 4)), E7537, "")</f>
        <v>#VALUE!</v>
      </c>
      <c r="H7537" s="26" t="e">
        <f t="shared" si="1"/>
        <v>#VALUE!</v>
      </c>
      <c r="I7537" s="1" t="e">
        <f t="shared" si="2"/>
        <v>#VALUE!</v>
      </c>
    </row>
    <row r="7538" spans="1:9" ht="15.75" customHeight="1">
      <c r="A7538" s="26"/>
      <c r="B7538" s="2"/>
      <c r="C7538" s="26"/>
      <c r="D7538" s="26"/>
      <c r="F7538" s="85" t="str">
        <f t="shared" si="0"/>
        <v/>
      </c>
      <c r="G7538" s="1" t="e">
        <f>IF(VALUE(F7538) = VALUE(RIGHT(Insights!$C$3, 4)), E7538, "")</f>
        <v>#VALUE!</v>
      </c>
      <c r="H7538" s="26" t="e">
        <f t="shared" si="1"/>
        <v>#VALUE!</v>
      </c>
      <c r="I7538" s="1" t="e">
        <f t="shared" si="2"/>
        <v>#VALUE!</v>
      </c>
    </row>
    <row r="7539" spans="1:9" ht="15.75" customHeight="1">
      <c r="A7539" s="26"/>
      <c r="B7539" s="2"/>
      <c r="C7539" s="26"/>
      <c r="D7539" s="26"/>
      <c r="F7539" s="85" t="str">
        <f t="shared" si="0"/>
        <v/>
      </c>
      <c r="G7539" s="1" t="e">
        <f>IF(VALUE(F7539) = VALUE(RIGHT(Insights!$C$3, 4)), E7539, "")</f>
        <v>#VALUE!</v>
      </c>
      <c r="H7539" s="26" t="e">
        <f t="shared" si="1"/>
        <v>#VALUE!</v>
      </c>
      <c r="I7539" s="1" t="e">
        <f t="shared" si="2"/>
        <v>#VALUE!</v>
      </c>
    </row>
    <row r="7540" spans="1:9" ht="15.75" customHeight="1">
      <c r="A7540" s="26"/>
      <c r="B7540" s="2"/>
      <c r="C7540" s="26"/>
      <c r="D7540" s="26"/>
      <c r="F7540" s="85" t="str">
        <f t="shared" si="0"/>
        <v/>
      </c>
      <c r="G7540" s="1" t="e">
        <f>IF(VALUE(F7540) = VALUE(RIGHT(Insights!$C$3, 4)), E7540, "")</f>
        <v>#VALUE!</v>
      </c>
      <c r="H7540" s="26" t="e">
        <f t="shared" si="1"/>
        <v>#VALUE!</v>
      </c>
      <c r="I7540" s="1" t="e">
        <f t="shared" si="2"/>
        <v>#VALUE!</v>
      </c>
    </row>
    <row r="7541" spans="1:9" ht="15.75" customHeight="1">
      <c r="A7541" s="26"/>
      <c r="B7541" s="2"/>
      <c r="C7541" s="26"/>
      <c r="D7541" s="26"/>
      <c r="F7541" s="85" t="str">
        <f t="shared" si="0"/>
        <v/>
      </c>
      <c r="G7541" s="1" t="e">
        <f>IF(VALUE(F7541) = VALUE(RIGHT(Insights!$C$3, 4)), E7541, "")</f>
        <v>#VALUE!</v>
      </c>
      <c r="H7541" s="26" t="e">
        <f t="shared" si="1"/>
        <v>#VALUE!</v>
      </c>
      <c r="I7541" s="1" t="e">
        <f t="shared" si="2"/>
        <v>#VALUE!</v>
      </c>
    </row>
    <row r="7542" spans="1:9" ht="15.75" customHeight="1">
      <c r="A7542" s="26"/>
      <c r="B7542" s="2"/>
      <c r="C7542" s="26"/>
      <c r="D7542" s="26"/>
      <c r="F7542" s="85" t="str">
        <f t="shared" si="0"/>
        <v/>
      </c>
      <c r="G7542" s="1" t="e">
        <f>IF(VALUE(F7542) = VALUE(RIGHT(Insights!$C$3, 4)), E7542, "")</f>
        <v>#VALUE!</v>
      </c>
      <c r="H7542" s="26" t="e">
        <f t="shared" si="1"/>
        <v>#VALUE!</v>
      </c>
      <c r="I7542" s="1" t="e">
        <f t="shared" si="2"/>
        <v>#VALUE!</v>
      </c>
    </row>
    <row r="7543" spans="1:9" ht="15.75" customHeight="1">
      <c r="A7543" s="26"/>
      <c r="B7543" s="2"/>
      <c r="C7543" s="26"/>
      <c r="D7543" s="26"/>
      <c r="F7543" s="85" t="str">
        <f t="shared" si="0"/>
        <v/>
      </c>
      <c r="G7543" s="1" t="e">
        <f>IF(VALUE(F7543) = VALUE(RIGHT(Insights!$C$3, 4)), E7543, "")</f>
        <v>#VALUE!</v>
      </c>
      <c r="H7543" s="26" t="e">
        <f t="shared" si="1"/>
        <v>#VALUE!</v>
      </c>
      <c r="I7543" s="1" t="e">
        <f t="shared" si="2"/>
        <v>#VALUE!</v>
      </c>
    </row>
    <row r="7544" spans="1:9" ht="15.75" customHeight="1">
      <c r="A7544" s="26"/>
      <c r="B7544" s="2"/>
      <c r="C7544" s="26"/>
      <c r="D7544" s="26"/>
      <c r="F7544" s="85" t="str">
        <f t="shared" si="0"/>
        <v/>
      </c>
      <c r="G7544" s="1" t="e">
        <f>IF(VALUE(F7544) = VALUE(RIGHT(Insights!$C$3, 4)), E7544, "")</f>
        <v>#VALUE!</v>
      </c>
      <c r="H7544" s="26" t="e">
        <f t="shared" si="1"/>
        <v>#VALUE!</v>
      </c>
      <c r="I7544" s="1" t="e">
        <f t="shared" si="2"/>
        <v>#VALUE!</v>
      </c>
    </row>
    <row r="7545" spans="1:9" ht="15.75" customHeight="1">
      <c r="A7545" s="26"/>
      <c r="B7545" s="2"/>
      <c r="C7545" s="26"/>
      <c r="D7545" s="26"/>
      <c r="F7545" s="85" t="str">
        <f t="shared" si="0"/>
        <v/>
      </c>
      <c r="G7545" s="1" t="e">
        <f>IF(VALUE(F7545) = VALUE(RIGHT(Insights!$C$3, 4)), E7545, "")</f>
        <v>#VALUE!</v>
      </c>
      <c r="H7545" s="26" t="e">
        <f t="shared" si="1"/>
        <v>#VALUE!</v>
      </c>
      <c r="I7545" s="1" t="e">
        <f t="shared" si="2"/>
        <v>#VALUE!</v>
      </c>
    </row>
    <row r="7546" spans="1:9" ht="15.75" customHeight="1">
      <c r="A7546" s="26"/>
      <c r="B7546" s="2"/>
      <c r="C7546" s="26"/>
      <c r="D7546" s="26"/>
      <c r="F7546" s="85" t="str">
        <f t="shared" si="0"/>
        <v/>
      </c>
      <c r="G7546" s="1" t="e">
        <f>IF(VALUE(F7546) = VALUE(RIGHT(Insights!$C$3, 4)), E7546, "")</f>
        <v>#VALUE!</v>
      </c>
      <c r="H7546" s="26" t="e">
        <f t="shared" si="1"/>
        <v>#VALUE!</v>
      </c>
      <c r="I7546" s="1" t="e">
        <f t="shared" si="2"/>
        <v>#VALUE!</v>
      </c>
    </row>
    <row r="7547" spans="1:9" ht="15.75" customHeight="1">
      <c r="A7547" s="26"/>
      <c r="B7547" s="2"/>
      <c r="C7547" s="26"/>
      <c r="D7547" s="26"/>
      <c r="F7547" s="85" t="str">
        <f t="shared" si="0"/>
        <v/>
      </c>
      <c r="G7547" s="1" t="e">
        <f>IF(VALUE(F7547) = VALUE(RIGHT(Insights!$C$3, 4)), E7547, "")</f>
        <v>#VALUE!</v>
      </c>
      <c r="H7547" s="26" t="e">
        <f t="shared" si="1"/>
        <v>#VALUE!</v>
      </c>
      <c r="I7547" s="1" t="e">
        <f t="shared" si="2"/>
        <v>#VALUE!</v>
      </c>
    </row>
    <row r="7548" spans="1:9" ht="15.75" customHeight="1">
      <c r="A7548" s="26"/>
      <c r="B7548" s="2"/>
      <c r="C7548" s="26"/>
      <c r="D7548" s="26"/>
      <c r="F7548" s="85" t="str">
        <f t="shared" si="0"/>
        <v/>
      </c>
      <c r="G7548" s="1" t="e">
        <f>IF(VALUE(F7548) = VALUE(RIGHT(Insights!$C$3, 4)), E7548, "")</f>
        <v>#VALUE!</v>
      </c>
      <c r="H7548" s="26" t="e">
        <f t="shared" si="1"/>
        <v>#VALUE!</v>
      </c>
      <c r="I7548" s="1" t="e">
        <f t="shared" si="2"/>
        <v>#VALUE!</v>
      </c>
    </row>
    <row r="7549" spans="1:9" ht="15.75" customHeight="1">
      <c r="A7549" s="26"/>
      <c r="B7549" s="2"/>
      <c r="C7549" s="26"/>
      <c r="D7549" s="26"/>
      <c r="F7549" s="85" t="str">
        <f t="shared" si="0"/>
        <v/>
      </c>
      <c r="G7549" s="1" t="e">
        <f>IF(VALUE(F7549) = VALUE(RIGHT(Insights!$C$3, 4)), E7549, "")</f>
        <v>#VALUE!</v>
      </c>
      <c r="H7549" s="26" t="e">
        <f t="shared" si="1"/>
        <v>#VALUE!</v>
      </c>
      <c r="I7549" s="1" t="e">
        <f t="shared" si="2"/>
        <v>#VALUE!</v>
      </c>
    </row>
    <row r="7550" spans="1:9" ht="15.75" customHeight="1">
      <c r="A7550" s="26"/>
      <c r="B7550" s="2"/>
      <c r="C7550" s="26"/>
      <c r="D7550" s="26"/>
      <c r="F7550" s="85" t="str">
        <f t="shared" si="0"/>
        <v/>
      </c>
      <c r="G7550" s="1" t="e">
        <f>IF(VALUE(F7550) = VALUE(RIGHT(Insights!$C$3, 4)), E7550, "")</f>
        <v>#VALUE!</v>
      </c>
      <c r="H7550" s="26" t="e">
        <f t="shared" si="1"/>
        <v>#VALUE!</v>
      </c>
      <c r="I7550" s="1" t="e">
        <f t="shared" si="2"/>
        <v>#VALUE!</v>
      </c>
    </row>
    <row r="7551" spans="1:9" ht="15.75" customHeight="1">
      <c r="A7551" s="26"/>
      <c r="B7551" s="2"/>
      <c r="C7551" s="26"/>
      <c r="D7551" s="26"/>
      <c r="F7551" s="85" t="str">
        <f t="shared" si="0"/>
        <v/>
      </c>
      <c r="G7551" s="1" t="e">
        <f>IF(VALUE(F7551) = VALUE(RIGHT(Insights!$C$3, 4)), E7551, "")</f>
        <v>#VALUE!</v>
      </c>
      <c r="H7551" s="26" t="e">
        <f t="shared" si="1"/>
        <v>#VALUE!</v>
      </c>
      <c r="I7551" s="1" t="e">
        <f t="shared" si="2"/>
        <v>#VALUE!</v>
      </c>
    </row>
    <row r="7552" spans="1:9" ht="15.75" customHeight="1">
      <c r="A7552" s="26"/>
      <c r="B7552" s="2"/>
      <c r="C7552" s="26"/>
      <c r="D7552" s="26"/>
      <c r="F7552" s="85" t="str">
        <f t="shared" si="0"/>
        <v/>
      </c>
      <c r="G7552" s="1" t="e">
        <f>IF(VALUE(F7552) = VALUE(RIGHT(Insights!$C$3, 4)), E7552, "")</f>
        <v>#VALUE!</v>
      </c>
      <c r="H7552" s="26" t="e">
        <f t="shared" si="1"/>
        <v>#VALUE!</v>
      </c>
      <c r="I7552" s="1" t="e">
        <f t="shared" si="2"/>
        <v>#VALUE!</v>
      </c>
    </row>
    <row r="7553" spans="1:9" ht="15.75" customHeight="1">
      <c r="A7553" s="26"/>
      <c r="B7553" s="2"/>
      <c r="C7553" s="26"/>
      <c r="D7553" s="26"/>
      <c r="F7553" s="85" t="str">
        <f t="shared" si="0"/>
        <v/>
      </c>
      <c r="G7553" s="1" t="e">
        <f>IF(VALUE(F7553) = VALUE(RIGHT(Insights!$C$3, 4)), E7553, "")</f>
        <v>#VALUE!</v>
      </c>
      <c r="H7553" s="26" t="e">
        <f t="shared" si="1"/>
        <v>#VALUE!</v>
      </c>
      <c r="I7553" s="1" t="e">
        <f t="shared" si="2"/>
        <v>#VALUE!</v>
      </c>
    </row>
    <row r="7554" spans="1:9" ht="15.75" customHeight="1">
      <c r="A7554" s="26"/>
      <c r="B7554" s="2"/>
      <c r="C7554" s="26"/>
      <c r="D7554" s="26"/>
      <c r="F7554" s="85" t="str">
        <f t="shared" si="0"/>
        <v/>
      </c>
      <c r="G7554" s="1" t="e">
        <f>IF(VALUE(F7554) = VALUE(RIGHT(Insights!$C$3, 4)), E7554, "")</f>
        <v>#VALUE!</v>
      </c>
      <c r="H7554" s="26" t="e">
        <f t="shared" si="1"/>
        <v>#VALUE!</v>
      </c>
      <c r="I7554" s="1" t="e">
        <f t="shared" si="2"/>
        <v>#VALUE!</v>
      </c>
    </row>
    <row r="7555" spans="1:9" ht="15.75" customHeight="1">
      <c r="A7555" s="26"/>
      <c r="B7555" s="2"/>
      <c r="C7555" s="26"/>
      <c r="D7555" s="26"/>
      <c r="F7555" s="85" t="str">
        <f t="shared" si="0"/>
        <v/>
      </c>
      <c r="G7555" s="1" t="e">
        <f>IF(VALUE(F7555) = VALUE(RIGHT(Insights!$C$3, 4)), E7555, "")</f>
        <v>#VALUE!</v>
      </c>
      <c r="H7555" s="26" t="e">
        <f t="shared" si="1"/>
        <v>#VALUE!</v>
      </c>
      <c r="I7555" s="1" t="e">
        <f t="shared" si="2"/>
        <v>#VALUE!</v>
      </c>
    </row>
    <row r="7556" spans="1:9" ht="15.75" customHeight="1">
      <c r="A7556" s="26"/>
      <c r="B7556" s="2"/>
      <c r="C7556" s="26"/>
      <c r="D7556" s="26"/>
      <c r="F7556" s="85" t="str">
        <f t="shared" si="0"/>
        <v/>
      </c>
      <c r="G7556" s="1" t="e">
        <f>IF(VALUE(F7556) = VALUE(RIGHT(Insights!$C$3, 4)), E7556, "")</f>
        <v>#VALUE!</v>
      </c>
      <c r="H7556" s="26" t="e">
        <f t="shared" si="1"/>
        <v>#VALUE!</v>
      </c>
      <c r="I7556" s="1" t="e">
        <f t="shared" si="2"/>
        <v>#VALUE!</v>
      </c>
    </row>
    <row r="7557" spans="1:9" ht="15.75" customHeight="1">
      <c r="A7557" s="26"/>
      <c r="B7557" s="2"/>
      <c r="C7557" s="26"/>
      <c r="D7557" s="26"/>
      <c r="F7557" s="85" t="str">
        <f t="shared" si="0"/>
        <v/>
      </c>
      <c r="G7557" s="1" t="e">
        <f>IF(VALUE(F7557) = VALUE(RIGHT(Insights!$C$3, 4)), E7557, "")</f>
        <v>#VALUE!</v>
      </c>
      <c r="H7557" s="26" t="e">
        <f t="shared" si="1"/>
        <v>#VALUE!</v>
      </c>
      <c r="I7557" s="1" t="e">
        <f t="shared" si="2"/>
        <v>#VALUE!</v>
      </c>
    </row>
    <row r="7558" spans="1:9" ht="15.75" customHeight="1">
      <c r="A7558" s="26"/>
      <c r="B7558" s="2"/>
      <c r="C7558" s="26"/>
      <c r="D7558" s="26"/>
      <c r="F7558" s="85" t="str">
        <f t="shared" si="0"/>
        <v/>
      </c>
      <c r="G7558" s="1" t="e">
        <f>IF(VALUE(F7558) = VALUE(RIGHT(Insights!$C$3, 4)), E7558, "")</f>
        <v>#VALUE!</v>
      </c>
      <c r="H7558" s="26" t="e">
        <f t="shared" si="1"/>
        <v>#VALUE!</v>
      </c>
      <c r="I7558" s="1" t="e">
        <f t="shared" si="2"/>
        <v>#VALUE!</v>
      </c>
    </row>
    <row r="7559" spans="1:9" ht="15.75" customHeight="1">
      <c r="A7559" s="26"/>
      <c r="B7559" s="2"/>
      <c r="C7559" s="26"/>
      <c r="D7559" s="26"/>
      <c r="F7559" s="85" t="str">
        <f t="shared" si="0"/>
        <v/>
      </c>
      <c r="G7559" s="1" t="e">
        <f>IF(VALUE(F7559) = VALUE(RIGHT(Insights!$C$3, 4)), E7559, "")</f>
        <v>#VALUE!</v>
      </c>
      <c r="H7559" s="26" t="e">
        <f t="shared" si="1"/>
        <v>#VALUE!</v>
      </c>
      <c r="I7559" s="1" t="e">
        <f t="shared" si="2"/>
        <v>#VALUE!</v>
      </c>
    </row>
    <row r="7560" spans="1:9" ht="15.75" customHeight="1">
      <c r="A7560" s="26"/>
      <c r="B7560" s="2"/>
      <c r="C7560" s="26"/>
      <c r="D7560" s="26"/>
      <c r="F7560" s="85" t="str">
        <f t="shared" si="0"/>
        <v/>
      </c>
      <c r="G7560" s="1" t="e">
        <f>IF(VALUE(F7560) = VALUE(RIGHT(Insights!$C$3, 4)), E7560, "")</f>
        <v>#VALUE!</v>
      </c>
      <c r="H7560" s="26" t="e">
        <f t="shared" si="1"/>
        <v>#VALUE!</v>
      </c>
      <c r="I7560" s="1" t="e">
        <f t="shared" si="2"/>
        <v>#VALUE!</v>
      </c>
    </row>
    <row r="7561" spans="1:9" ht="15.75" customHeight="1">
      <c r="A7561" s="26"/>
      <c r="B7561" s="2"/>
      <c r="C7561" s="26"/>
      <c r="D7561" s="26"/>
      <c r="F7561" s="85" t="str">
        <f t="shared" si="0"/>
        <v/>
      </c>
      <c r="G7561" s="1" t="e">
        <f>IF(VALUE(F7561) = VALUE(RIGHT(Insights!$C$3, 4)), E7561, "")</f>
        <v>#VALUE!</v>
      </c>
      <c r="H7561" s="26" t="e">
        <f t="shared" si="1"/>
        <v>#VALUE!</v>
      </c>
      <c r="I7561" s="1" t="e">
        <f t="shared" si="2"/>
        <v>#VALUE!</v>
      </c>
    </row>
    <row r="7562" spans="1:9" ht="15.75" customHeight="1">
      <c r="A7562" s="26"/>
      <c r="B7562" s="2"/>
      <c r="C7562" s="26"/>
      <c r="D7562" s="26"/>
      <c r="F7562" s="85" t="str">
        <f t="shared" si="0"/>
        <v/>
      </c>
      <c r="G7562" s="1" t="e">
        <f>IF(VALUE(F7562) = VALUE(RIGHT(Insights!$C$3, 4)), E7562, "")</f>
        <v>#VALUE!</v>
      </c>
      <c r="H7562" s="26" t="e">
        <f t="shared" si="1"/>
        <v>#VALUE!</v>
      </c>
      <c r="I7562" s="1" t="e">
        <f t="shared" si="2"/>
        <v>#VALUE!</v>
      </c>
    </row>
    <row r="7563" spans="1:9" ht="15.75" customHeight="1">
      <c r="A7563" s="26"/>
      <c r="B7563" s="2"/>
      <c r="C7563" s="26"/>
      <c r="D7563" s="26"/>
      <c r="F7563" s="85" t="str">
        <f t="shared" si="0"/>
        <v/>
      </c>
      <c r="G7563" s="1" t="e">
        <f>IF(VALUE(F7563) = VALUE(RIGHT(Insights!$C$3, 4)), E7563, "")</f>
        <v>#VALUE!</v>
      </c>
      <c r="H7563" s="26" t="e">
        <f t="shared" si="1"/>
        <v>#VALUE!</v>
      </c>
      <c r="I7563" s="1" t="e">
        <f t="shared" si="2"/>
        <v>#VALUE!</v>
      </c>
    </row>
    <row r="7564" spans="1:9" ht="15.75" customHeight="1">
      <c r="A7564" s="26"/>
      <c r="B7564" s="2"/>
      <c r="C7564" s="26"/>
      <c r="D7564" s="26"/>
      <c r="F7564" s="85" t="str">
        <f t="shared" si="0"/>
        <v/>
      </c>
      <c r="G7564" s="1" t="e">
        <f>IF(VALUE(F7564) = VALUE(RIGHT(Insights!$C$3, 4)), E7564, "")</f>
        <v>#VALUE!</v>
      </c>
      <c r="H7564" s="26" t="e">
        <f t="shared" si="1"/>
        <v>#VALUE!</v>
      </c>
      <c r="I7564" s="1" t="e">
        <f t="shared" si="2"/>
        <v>#VALUE!</v>
      </c>
    </row>
    <row r="7565" spans="1:9" ht="15.75" customHeight="1">
      <c r="A7565" s="26"/>
      <c r="B7565" s="2"/>
      <c r="C7565" s="26"/>
      <c r="D7565" s="26"/>
      <c r="F7565" s="85" t="str">
        <f t="shared" si="0"/>
        <v/>
      </c>
      <c r="G7565" s="1" t="e">
        <f>IF(VALUE(F7565) = VALUE(RIGHT(Insights!$C$3, 4)), E7565, "")</f>
        <v>#VALUE!</v>
      </c>
      <c r="H7565" s="26" t="e">
        <f t="shared" si="1"/>
        <v>#VALUE!</v>
      </c>
      <c r="I7565" s="1" t="e">
        <f t="shared" si="2"/>
        <v>#VALUE!</v>
      </c>
    </row>
    <row r="7566" spans="1:9" ht="15.75" customHeight="1">
      <c r="A7566" s="26"/>
      <c r="B7566" s="2"/>
      <c r="C7566" s="26"/>
      <c r="D7566" s="26"/>
      <c r="F7566" s="85" t="str">
        <f t="shared" si="0"/>
        <v/>
      </c>
      <c r="G7566" s="1" t="e">
        <f>IF(VALUE(F7566) = VALUE(RIGHT(Insights!$C$3, 4)), E7566, "")</f>
        <v>#VALUE!</v>
      </c>
      <c r="H7566" s="26" t="e">
        <f t="shared" si="1"/>
        <v>#VALUE!</v>
      </c>
      <c r="I7566" s="1" t="e">
        <f t="shared" si="2"/>
        <v>#VALUE!</v>
      </c>
    </row>
    <row r="7567" spans="1:9" ht="15.75" customHeight="1">
      <c r="A7567" s="26"/>
      <c r="B7567" s="2"/>
      <c r="C7567" s="26"/>
      <c r="D7567" s="26"/>
      <c r="F7567" s="85" t="str">
        <f t="shared" si="0"/>
        <v/>
      </c>
      <c r="G7567" s="1" t="e">
        <f>IF(VALUE(F7567) = VALUE(RIGHT(Insights!$C$3, 4)), E7567, "")</f>
        <v>#VALUE!</v>
      </c>
      <c r="H7567" s="26" t="e">
        <f t="shared" si="1"/>
        <v>#VALUE!</v>
      </c>
      <c r="I7567" s="1" t="e">
        <f t="shared" si="2"/>
        <v>#VALUE!</v>
      </c>
    </row>
    <row r="7568" spans="1:9" ht="15.75" customHeight="1">
      <c r="A7568" s="26"/>
      <c r="B7568" s="2"/>
      <c r="C7568" s="26"/>
      <c r="D7568" s="26"/>
      <c r="F7568" s="85" t="str">
        <f t="shared" si="0"/>
        <v/>
      </c>
      <c r="G7568" s="1" t="e">
        <f>IF(VALUE(F7568) = VALUE(RIGHT(Insights!$C$3, 4)), E7568, "")</f>
        <v>#VALUE!</v>
      </c>
      <c r="H7568" s="26" t="e">
        <f t="shared" si="1"/>
        <v>#VALUE!</v>
      </c>
      <c r="I7568" s="1" t="e">
        <f t="shared" si="2"/>
        <v>#VALUE!</v>
      </c>
    </row>
    <row r="7569" spans="1:9" ht="15.75" customHeight="1">
      <c r="A7569" s="26"/>
      <c r="B7569" s="2"/>
      <c r="C7569" s="26"/>
      <c r="D7569" s="26"/>
      <c r="F7569" s="85" t="str">
        <f t="shared" si="0"/>
        <v/>
      </c>
      <c r="G7569" s="1" t="e">
        <f>IF(VALUE(F7569) = VALUE(RIGHT(Insights!$C$3, 4)), E7569, "")</f>
        <v>#VALUE!</v>
      </c>
      <c r="H7569" s="26" t="e">
        <f t="shared" si="1"/>
        <v>#VALUE!</v>
      </c>
      <c r="I7569" s="1" t="e">
        <f t="shared" si="2"/>
        <v>#VALUE!</v>
      </c>
    </row>
    <row r="7570" spans="1:9" ht="15.75" customHeight="1">
      <c r="A7570" s="26"/>
      <c r="B7570" s="2"/>
      <c r="C7570" s="26"/>
      <c r="D7570" s="26"/>
      <c r="F7570" s="85" t="str">
        <f t="shared" si="0"/>
        <v/>
      </c>
      <c r="G7570" s="1" t="e">
        <f>IF(VALUE(F7570) = VALUE(RIGHT(Insights!$C$3, 4)), E7570, "")</f>
        <v>#VALUE!</v>
      </c>
      <c r="H7570" s="26" t="e">
        <f t="shared" si="1"/>
        <v>#VALUE!</v>
      </c>
      <c r="I7570" s="1" t="e">
        <f t="shared" si="2"/>
        <v>#VALUE!</v>
      </c>
    </row>
    <row r="7571" spans="1:9" ht="15.75" customHeight="1">
      <c r="A7571" s="26"/>
      <c r="B7571" s="2"/>
      <c r="C7571" s="26"/>
      <c r="D7571" s="26"/>
      <c r="F7571" s="85" t="str">
        <f t="shared" si="0"/>
        <v/>
      </c>
      <c r="G7571" s="1" t="e">
        <f>IF(VALUE(F7571) = VALUE(RIGHT(Insights!$C$3, 4)), E7571, "")</f>
        <v>#VALUE!</v>
      </c>
      <c r="H7571" s="26" t="e">
        <f t="shared" si="1"/>
        <v>#VALUE!</v>
      </c>
      <c r="I7571" s="1" t="e">
        <f t="shared" si="2"/>
        <v>#VALUE!</v>
      </c>
    </row>
    <row r="7572" spans="1:9" ht="15.75" customHeight="1">
      <c r="A7572" s="26"/>
      <c r="B7572" s="2"/>
      <c r="C7572" s="26"/>
      <c r="D7572" s="26"/>
      <c r="F7572" s="85" t="str">
        <f t="shared" si="0"/>
        <v/>
      </c>
      <c r="G7572" s="1" t="e">
        <f>IF(VALUE(F7572) = VALUE(RIGHT(Insights!$C$3, 4)), E7572, "")</f>
        <v>#VALUE!</v>
      </c>
      <c r="H7572" s="26" t="e">
        <f t="shared" si="1"/>
        <v>#VALUE!</v>
      </c>
      <c r="I7572" s="1" t="e">
        <f t="shared" si="2"/>
        <v>#VALUE!</v>
      </c>
    </row>
    <row r="7573" spans="1:9" ht="15.75" customHeight="1">
      <c r="A7573" s="26"/>
      <c r="B7573" s="2"/>
      <c r="C7573" s="26"/>
      <c r="D7573" s="26"/>
      <c r="F7573" s="85" t="str">
        <f t="shared" si="0"/>
        <v/>
      </c>
      <c r="G7573" s="1" t="e">
        <f>IF(VALUE(F7573) = VALUE(RIGHT(Insights!$C$3, 4)), E7573, "")</f>
        <v>#VALUE!</v>
      </c>
      <c r="H7573" s="26" t="e">
        <f t="shared" si="1"/>
        <v>#VALUE!</v>
      </c>
      <c r="I7573" s="1" t="e">
        <f t="shared" si="2"/>
        <v>#VALUE!</v>
      </c>
    </row>
    <row r="7574" spans="1:9" ht="15.75" customHeight="1">
      <c r="A7574" s="26"/>
      <c r="B7574" s="2"/>
      <c r="C7574" s="26"/>
      <c r="D7574" s="26"/>
      <c r="F7574" s="85" t="str">
        <f t="shared" si="0"/>
        <v/>
      </c>
      <c r="G7574" s="1" t="e">
        <f>IF(VALUE(F7574) = VALUE(RIGHT(Insights!$C$3, 4)), E7574, "")</f>
        <v>#VALUE!</v>
      </c>
      <c r="H7574" s="26" t="e">
        <f t="shared" si="1"/>
        <v>#VALUE!</v>
      </c>
      <c r="I7574" s="1" t="e">
        <f t="shared" si="2"/>
        <v>#VALUE!</v>
      </c>
    </row>
    <row r="7575" spans="1:9" ht="15.75" customHeight="1">
      <c r="A7575" s="26"/>
      <c r="B7575" s="2"/>
      <c r="C7575" s="26"/>
      <c r="D7575" s="26"/>
      <c r="F7575" s="85" t="str">
        <f t="shared" si="0"/>
        <v/>
      </c>
      <c r="G7575" s="1" t="e">
        <f>IF(VALUE(F7575) = VALUE(RIGHT(Insights!$C$3, 4)), E7575, "")</f>
        <v>#VALUE!</v>
      </c>
      <c r="H7575" s="26" t="e">
        <f t="shared" si="1"/>
        <v>#VALUE!</v>
      </c>
      <c r="I7575" s="1" t="e">
        <f t="shared" si="2"/>
        <v>#VALUE!</v>
      </c>
    </row>
    <row r="7576" spans="1:9" ht="15.75" customHeight="1">
      <c r="A7576" s="26"/>
      <c r="B7576" s="2"/>
      <c r="C7576" s="26"/>
      <c r="D7576" s="26"/>
      <c r="F7576" s="85" t="str">
        <f t="shared" si="0"/>
        <v/>
      </c>
      <c r="G7576" s="1" t="e">
        <f>IF(VALUE(F7576) = VALUE(RIGHT(Insights!$C$3, 4)), E7576, "")</f>
        <v>#VALUE!</v>
      </c>
      <c r="H7576" s="26" t="e">
        <f t="shared" si="1"/>
        <v>#VALUE!</v>
      </c>
      <c r="I7576" s="1" t="e">
        <f t="shared" si="2"/>
        <v>#VALUE!</v>
      </c>
    </row>
    <row r="7577" spans="1:9" ht="15.75" customHeight="1">
      <c r="A7577" s="26"/>
      <c r="B7577" s="2"/>
      <c r="C7577" s="26"/>
      <c r="D7577" s="26"/>
      <c r="F7577" s="85" t="str">
        <f t="shared" si="0"/>
        <v/>
      </c>
      <c r="G7577" s="1" t="e">
        <f>IF(VALUE(F7577) = VALUE(RIGHT(Insights!$C$3, 4)), E7577, "")</f>
        <v>#VALUE!</v>
      </c>
      <c r="H7577" s="26" t="e">
        <f t="shared" si="1"/>
        <v>#VALUE!</v>
      </c>
      <c r="I7577" s="1" t="e">
        <f t="shared" si="2"/>
        <v>#VALUE!</v>
      </c>
    </row>
    <row r="7578" spans="1:9" ht="15.75" customHeight="1">
      <c r="A7578" s="26"/>
      <c r="B7578" s="2"/>
      <c r="C7578" s="26"/>
      <c r="D7578" s="26"/>
      <c r="F7578" s="85" t="str">
        <f t="shared" si="0"/>
        <v/>
      </c>
      <c r="G7578" s="1" t="e">
        <f>IF(VALUE(F7578) = VALUE(RIGHT(Insights!$C$3, 4)), E7578, "")</f>
        <v>#VALUE!</v>
      </c>
      <c r="H7578" s="26" t="e">
        <f t="shared" si="1"/>
        <v>#VALUE!</v>
      </c>
      <c r="I7578" s="1" t="e">
        <f t="shared" si="2"/>
        <v>#VALUE!</v>
      </c>
    </row>
    <row r="7579" spans="1:9" ht="15.75" customHeight="1">
      <c r="A7579" s="26"/>
      <c r="B7579" s="2"/>
      <c r="C7579" s="26"/>
      <c r="D7579" s="26"/>
      <c r="F7579" s="85" t="str">
        <f t="shared" si="0"/>
        <v/>
      </c>
      <c r="G7579" s="1" t="e">
        <f>IF(VALUE(F7579) = VALUE(RIGHT(Insights!$C$3, 4)), E7579, "")</f>
        <v>#VALUE!</v>
      </c>
      <c r="H7579" s="26" t="e">
        <f t="shared" si="1"/>
        <v>#VALUE!</v>
      </c>
      <c r="I7579" s="1" t="e">
        <f t="shared" si="2"/>
        <v>#VALUE!</v>
      </c>
    </row>
    <row r="7580" spans="1:9" ht="15.75" customHeight="1">
      <c r="A7580" s="26"/>
      <c r="B7580" s="2"/>
      <c r="C7580" s="26"/>
      <c r="D7580" s="26"/>
      <c r="F7580" s="85" t="str">
        <f t="shared" si="0"/>
        <v/>
      </c>
      <c r="G7580" s="1" t="e">
        <f>IF(VALUE(F7580) = VALUE(RIGHT(Insights!$C$3, 4)), E7580, "")</f>
        <v>#VALUE!</v>
      </c>
      <c r="H7580" s="26" t="e">
        <f t="shared" si="1"/>
        <v>#VALUE!</v>
      </c>
      <c r="I7580" s="1" t="e">
        <f t="shared" si="2"/>
        <v>#VALUE!</v>
      </c>
    </row>
    <row r="7581" spans="1:9" ht="15.75" customHeight="1">
      <c r="A7581" s="26"/>
      <c r="B7581" s="2"/>
      <c r="C7581" s="26"/>
      <c r="D7581" s="26"/>
      <c r="F7581" s="85" t="str">
        <f t="shared" si="0"/>
        <v/>
      </c>
      <c r="G7581" s="1" t="e">
        <f>IF(VALUE(F7581) = VALUE(RIGHT(Insights!$C$3, 4)), E7581, "")</f>
        <v>#VALUE!</v>
      </c>
      <c r="H7581" s="26" t="e">
        <f t="shared" si="1"/>
        <v>#VALUE!</v>
      </c>
      <c r="I7581" s="1" t="e">
        <f t="shared" si="2"/>
        <v>#VALUE!</v>
      </c>
    </row>
    <row r="7582" spans="1:9" ht="15.75" customHeight="1">
      <c r="A7582" s="26"/>
      <c r="B7582" s="2"/>
      <c r="C7582" s="26"/>
      <c r="D7582" s="26"/>
      <c r="F7582" s="85" t="str">
        <f t="shared" si="0"/>
        <v/>
      </c>
      <c r="G7582" s="1" t="e">
        <f>IF(VALUE(F7582) = VALUE(RIGHT(Insights!$C$3, 4)), E7582, "")</f>
        <v>#VALUE!</v>
      </c>
      <c r="H7582" s="26" t="e">
        <f t="shared" si="1"/>
        <v>#VALUE!</v>
      </c>
      <c r="I7582" s="1" t="e">
        <f t="shared" si="2"/>
        <v>#VALUE!</v>
      </c>
    </row>
    <row r="7583" spans="1:9" ht="15.75" customHeight="1">
      <c r="A7583" s="26"/>
      <c r="B7583" s="2"/>
      <c r="C7583" s="26"/>
      <c r="D7583" s="26"/>
      <c r="F7583" s="85" t="str">
        <f t="shared" si="0"/>
        <v/>
      </c>
      <c r="G7583" s="1" t="e">
        <f>IF(VALUE(F7583) = VALUE(RIGHT(Insights!$C$3, 4)), E7583, "")</f>
        <v>#VALUE!</v>
      </c>
      <c r="H7583" s="26" t="e">
        <f t="shared" si="1"/>
        <v>#VALUE!</v>
      </c>
      <c r="I7583" s="1" t="e">
        <f t="shared" si="2"/>
        <v>#VALUE!</v>
      </c>
    </row>
    <row r="7584" spans="1:9" ht="15.75" customHeight="1">
      <c r="A7584" s="26"/>
      <c r="B7584" s="2"/>
      <c r="C7584" s="26"/>
      <c r="D7584" s="26"/>
      <c r="F7584" s="85" t="str">
        <f t="shared" si="0"/>
        <v/>
      </c>
      <c r="G7584" s="1" t="e">
        <f>IF(VALUE(F7584) = VALUE(RIGHT(Insights!$C$3, 4)), E7584, "")</f>
        <v>#VALUE!</v>
      </c>
      <c r="H7584" s="26" t="e">
        <f t="shared" si="1"/>
        <v>#VALUE!</v>
      </c>
      <c r="I7584" s="1" t="e">
        <f t="shared" si="2"/>
        <v>#VALUE!</v>
      </c>
    </row>
    <row r="7585" spans="1:9" ht="15.75" customHeight="1">
      <c r="A7585" s="26"/>
      <c r="B7585" s="2"/>
      <c r="C7585" s="26"/>
      <c r="D7585" s="26"/>
      <c r="F7585" s="85" t="str">
        <f t="shared" si="0"/>
        <v/>
      </c>
      <c r="G7585" s="1" t="e">
        <f>IF(VALUE(F7585) = VALUE(RIGHT(Insights!$C$3, 4)), E7585, "")</f>
        <v>#VALUE!</v>
      </c>
      <c r="H7585" s="26" t="e">
        <f t="shared" si="1"/>
        <v>#VALUE!</v>
      </c>
      <c r="I7585" s="1" t="e">
        <f t="shared" si="2"/>
        <v>#VALUE!</v>
      </c>
    </row>
    <row r="7586" spans="1:9" ht="15.75" customHeight="1">
      <c r="A7586" s="26"/>
      <c r="B7586" s="2"/>
      <c r="C7586" s="26"/>
      <c r="D7586" s="26"/>
      <c r="F7586" s="85" t="str">
        <f t="shared" si="0"/>
        <v/>
      </c>
      <c r="G7586" s="1" t="e">
        <f>IF(VALUE(F7586) = VALUE(RIGHT(Insights!$C$3, 4)), E7586, "")</f>
        <v>#VALUE!</v>
      </c>
      <c r="H7586" s="26" t="e">
        <f t="shared" si="1"/>
        <v>#VALUE!</v>
      </c>
      <c r="I7586" s="1" t="e">
        <f t="shared" si="2"/>
        <v>#VALUE!</v>
      </c>
    </row>
    <row r="7587" spans="1:9" ht="15.75" customHeight="1">
      <c r="A7587" s="26"/>
      <c r="B7587" s="2"/>
      <c r="C7587" s="26"/>
      <c r="D7587" s="26"/>
      <c r="F7587" s="85" t="str">
        <f t="shared" si="0"/>
        <v/>
      </c>
      <c r="G7587" s="1" t="e">
        <f>IF(VALUE(F7587) = VALUE(RIGHT(Insights!$C$3, 4)), E7587, "")</f>
        <v>#VALUE!</v>
      </c>
      <c r="H7587" s="26" t="e">
        <f t="shared" si="1"/>
        <v>#VALUE!</v>
      </c>
      <c r="I7587" s="1" t="e">
        <f t="shared" si="2"/>
        <v>#VALUE!</v>
      </c>
    </row>
    <row r="7588" spans="1:9" ht="15.75" customHeight="1">
      <c r="A7588" s="26"/>
      <c r="B7588" s="2"/>
      <c r="C7588" s="26"/>
      <c r="D7588" s="26"/>
      <c r="F7588" s="85" t="str">
        <f t="shared" si="0"/>
        <v/>
      </c>
      <c r="G7588" s="1" t="e">
        <f>IF(VALUE(F7588) = VALUE(RIGHT(Insights!$C$3, 4)), E7588, "")</f>
        <v>#VALUE!</v>
      </c>
      <c r="H7588" s="26" t="e">
        <f t="shared" si="1"/>
        <v>#VALUE!</v>
      </c>
      <c r="I7588" s="1" t="e">
        <f t="shared" si="2"/>
        <v>#VALUE!</v>
      </c>
    </row>
    <row r="7589" spans="1:9" ht="15.75" customHeight="1">
      <c r="A7589" s="26"/>
      <c r="B7589" s="2"/>
      <c r="C7589" s="26"/>
      <c r="D7589" s="26"/>
      <c r="F7589" s="85" t="str">
        <f t="shared" si="0"/>
        <v/>
      </c>
      <c r="G7589" s="1" t="e">
        <f>IF(VALUE(F7589) = VALUE(RIGHT(Insights!$C$3, 4)), E7589, "")</f>
        <v>#VALUE!</v>
      </c>
      <c r="H7589" s="26" t="e">
        <f t="shared" si="1"/>
        <v>#VALUE!</v>
      </c>
      <c r="I7589" s="1" t="e">
        <f t="shared" si="2"/>
        <v>#VALUE!</v>
      </c>
    </row>
    <row r="7590" spans="1:9" ht="15.75" customHeight="1">
      <c r="A7590" s="26"/>
      <c r="B7590" s="2"/>
      <c r="C7590" s="26"/>
      <c r="D7590" s="26"/>
      <c r="F7590" s="85" t="str">
        <f t="shared" si="0"/>
        <v/>
      </c>
      <c r="G7590" s="1" t="e">
        <f>IF(VALUE(F7590) = VALUE(RIGHT(Insights!$C$3, 4)), E7590, "")</f>
        <v>#VALUE!</v>
      </c>
      <c r="H7590" s="26" t="e">
        <f t="shared" si="1"/>
        <v>#VALUE!</v>
      </c>
      <c r="I7590" s="1" t="e">
        <f t="shared" si="2"/>
        <v>#VALUE!</v>
      </c>
    </row>
    <row r="7591" spans="1:9" ht="15.75" customHeight="1">
      <c r="A7591" s="26"/>
      <c r="B7591" s="2"/>
      <c r="C7591" s="26"/>
      <c r="D7591" s="26"/>
      <c r="F7591" s="85" t="str">
        <f t="shared" si="0"/>
        <v/>
      </c>
      <c r="G7591" s="1" t="e">
        <f>IF(VALUE(F7591) = VALUE(RIGHT(Insights!$C$3, 4)), E7591, "")</f>
        <v>#VALUE!</v>
      </c>
      <c r="H7591" s="26" t="e">
        <f t="shared" si="1"/>
        <v>#VALUE!</v>
      </c>
      <c r="I7591" s="1" t="e">
        <f t="shared" si="2"/>
        <v>#VALUE!</v>
      </c>
    </row>
    <row r="7592" spans="1:9" ht="15.75" customHeight="1">
      <c r="A7592" s="26"/>
      <c r="B7592" s="2"/>
      <c r="C7592" s="26"/>
      <c r="D7592" s="26"/>
      <c r="F7592" s="85" t="str">
        <f t="shared" si="0"/>
        <v/>
      </c>
      <c r="G7592" s="1" t="e">
        <f>IF(VALUE(F7592) = VALUE(RIGHT(Insights!$C$3, 4)), E7592, "")</f>
        <v>#VALUE!</v>
      </c>
      <c r="H7592" s="26" t="e">
        <f t="shared" si="1"/>
        <v>#VALUE!</v>
      </c>
      <c r="I7592" s="1" t="e">
        <f t="shared" si="2"/>
        <v>#VALUE!</v>
      </c>
    </row>
    <row r="7593" spans="1:9" ht="15.75" customHeight="1">
      <c r="A7593" s="26"/>
      <c r="B7593" s="2"/>
      <c r="C7593" s="26"/>
      <c r="D7593" s="26"/>
      <c r="F7593" s="85" t="str">
        <f t="shared" si="0"/>
        <v/>
      </c>
      <c r="G7593" s="1" t="e">
        <f>IF(VALUE(F7593) = VALUE(RIGHT(Insights!$C$3, 4)), E7593, "")</f>
        <v>#VALUE!</v>
      </c>
      <c r="H7593" s="26" t="e">
        <f t="shared" si="1"/>
        <v>#VALUE!</v>
      </c>
      <c r="I7593" s="1" t="e">
        <f t="shared" si="2"/>
        <v>#VALUE!</v>
      </c>
    </row>
    <row r="7594" spans="1:9" ht="15.75" customHeight="1">
      <c r="A7594" s="26"/>
      <c r="B7594" s="2"/>
      <c r="C7594" s="26"/>
      <c r="D7594" s="26"/>
      <c r="F7594" s="85" t="str">
        <f t="shared" si="0"/>
        <v/>
      </c>
      <c r="G7594" s="1" t="e">
        <f>IF(VALUE(F7594) = VALUE(RIGHT(Insights!$C$3, 4)), E7594, "")</f>
        <v>#VALUE!</v>
      </c>
      <c r="H7594" s="26" t="e">
        <f t="shared" si="1"/>
        <v>#VALUE!</v>
      </c>
      <c r="I7594" s="1" t="e">
        <f t="shared" si="2"/>
        <v>#VALUE!</v>
      </c>
    </row>
    <row r="7595" spans="1:9" ht="15.75" customHeight="1">
      <c r="A7595" s="26"/>
      <c r="B7595" s="2"/>
      <c r="C7595" s="26"/>
      <c r="D7595" s="26"/>
      <c r="F7595" s="85" t="str">
        <f t="shared" si="0"/>
        <v/>
      </c>
      <c r="G7595" s="1" t="e">
        <f>IF(VALUE(F7595) = VALUE(RIGHT(Insights!$C$3, 4)), E7595, "")</f>
        <v>#VALUE!</v>
      </c>
      <c r="H7595" s="26" t="e">
        <f t="shared" si="1"/>
        <v>#VALUE!</v>
      </c>
      <c r="I7595" s="1" t="e">
        <f t="shared" si="2"/>
        <v>#VALUE!</v>
      </c>
    </row>
    <row r="7596" spans="1:9" ht="15.75" customHeight="1">
      <c r="A7596" s="26"/>
      <c r="B7596" s="2"/>
      <c r="C7596" s="26"/>
      <c r="D7596" s="26"/>
      <c r="F7596" s="85" t="str">
        <f t="shared" si="0"/>
        <v/>
      </c>
      <c r="G7596" s="1" t="e">
        <f>IF(VALUE(F7596) = VALUE(RIGHT(Insights!$C$3, 4)), E7596, "")</f>
        <v>#VALUE!</v>
      </c>
      <c r="H7596" s="26" t="e">
        <f t="shared" si="1"/>
        <v>#VALUE!</v>
      </c>
      <c r="I7596" s="1" t="e">
        <f t="shared" si="2"/>
        <v>#VALUE!</v>
      </c>
    </row>
    <row r="7597" spans="1:9" ht="15.75" customHeight="1">
      <c r="A7597" s="26"/>
      <c r="B7597" s="2"/>
      <c r="C7597" s="26"/>
      <c r="D7597" s="26"/>
      <c r="F7597" s="85" t="str">
        <f t="shared" si="0"/>
        <v/>
      </c>
      <c r="G7597" s="1" t="e">
        <f>IF(VALUE(F7597) = VALUE(RIGHT(Insights!$C$3, 4)), E7597, "")</f>
        <v>#VALUE!</v>
      </c>
      <c r="H7597" s="26" t="e">
        <f t="shared" si="1"/>
        <v>#VALUE!</v>
      </c>
      <c r="I7597" s="1" t="e">
        <f t="shared" si="2"/>
        <v>#VALUE!</v>
      </c>
    </row>
    <row r="7598" spans="1:9" ht="15.75" customHeight="1">
      <c r="A7598" s="26"/>
      <c r="B7598" s="2"/>
      <c r="C7598" s="26"/>
      <c r="D7598" s="26"/>
      <c r="F7598" s="85" t="str">
        <f t="shared" si="0"/>
        <v/>
      </c>
      <c r="G7598" s="1" t="e">
        <f>IF(VALUE(F7598) = VALUE(RIGHT(Insights!$C$3, 4)), E7598, "")</f>
        <v>#VALUE!</v>
      </c>
      <c r="H7598" s="26" t="e">
        <f t="shared" si="1"/>
        <v>#VALUE!</v>
      </c>
      <c r="I7598" s="1" t="e">
        <f t="shared" si="2"/>
        <v>#VALUE!</v>
      </c>
    </row>
    <row r="7599" spans="1:9" ht="15.75" customHeight="1">
      <c r="A7599" s="26"/>
      <c r="B7599" s="2"/>
      <c r="C7599" s="26"/>
      <c r="D7599" s="26"/>
      <c r="F7599" s="85" t="str">
        <f t="shared" si="0"/>
        <v/>
      </c>
      <c r="G7599" s="1" t="e">
        <f>IF(VALUE(F7599) = VALUE(RIGHT(Insights!$C$3, 4)), E7599, "")</f>
        <v>#VALUE!</v>
      </c>
      <c r="H7599" s="26" t="e">
        <f t="shared" si="1"/>
        <v>#VALUE!</v>
      </c>
      <c r="I7599" s="1" t="e">
        <f t="shared" si="2"/>
        <v>#VALUE!</v>
      </c>
    </row>
    <row r="7600" spans="1:9" ht="15.75" customHeight="1">
      <c r="A7600" s="26"/>
      <c r="B7600" s="2"/>
      <c r="C7600" s="26"/>
      <c r="D7600" s="26"/>
      <c r="F7600" s="85" t="str">
        <f t="shared" si="0"/>
        <v/>
      </c>
      <c r="G7600" s="1" t="e">
        <f>IF(VALUE(F7600) = VALUE(RIGHT(Insights!$C$3, 4)), E7600, "")</f>
        <v>#VALUE!</v>
      </c>
      <c r="H7600" s="26" t="e">
        <f t="shared" si="1"/>
        <v>#VALUE!</v>
      </c>
      <c r="I7600" s="1" t="e">
        <f t="shared" si="2"/>
        <v>#VALUE!</v>
      </c>
    </row>
    <row r="7601" spans="1:9" ht="15.75" customHeight="1">
      <c r="A7601" s="26"/>
      <c r="B7601" s="2"/>
      <c r="C7601" s="26"/>
      <c r="D7601" s="26"/>
      <c r="F7601" s="85" t="str">
        <f t="shared" si="0"/>
        <v/>
      </c>
      <c r="G7601" s="1" t="e">
        <f>IF(VALUE(F7601) = VALUE(RIGHT(Insights!$C$3, 4)), E7601, "")</f>
        <v>#VALUE!</v>
      </c>
      <c r="H7601" s="26" t="e">
        <f t="shared" si="1"/>
        <v>#VALUE!</v>
      </c>
      <c r="I7601" s="1" t="e">
        <f t="shared" si="2"/>
        <v>#VALUE!</v>
      </c>
    </row>
    <row r="7602" spans="1:9" ht="15.75" customHeight="1">
      <c r="A7602" s="26"/>
      <c r="B7602" s="2"/>
      <c r="C7602" s="26"/>
      <c r="D7602" s="26"/>
      <c r="F7602" s="85" t="str">
        <f t="shared" si="0"/>
        <v/>
      </c>
      <c r="G7602" s="1" t="e">
        <f>IF(VALUE(F7602) = VALUE(RIGHT(Insights!$C$3, 4)), E7602, "")</f>
        <v>#VALUE!</v>
      </c>
      <c r="H7602" s="26" t="e">
        <f t="shared" si="1"/>
        <v>#VALUE!</v>
      </c>
      <c r="I7602" s="1" t="e">
        <f t="shared" si="2"/>
        <v>#VALUE!</v>
      </c>
    </row>
    <row r="7603" spans="1:9" ht="15.75" customHeight="1">
      <c r="A7603" s="26"/>
      <c r="B7603" s="2"/>
      <c r="C7603" s="26"/>
      <c r="D7603" s="26"/>
      <c r="F7603" s="85" t="str">
        <f t="shared" si="0"/>
        <v/>
      </c>
      <c r="G7603" s="1" t="e">
        <f>IF(VALUE(F7603) = VALUE(RIGHT(Insights!$C$3, 4)), E7603, "")</f>
        <v>#VALUE!</v>
      </c>
      <c r="H7603" s="26" t="e">
        <f t="shared" si="1"/>
        <v>#VALUE!</v>
      </c>
      <c r="I7603" s="1" t="e">
        <f t="shared" si="2"/>
        <v>#VALUE!</v>
      </c>
    </row>
    <row r="7604" spans="1:9" ht="15.75" customHeight="1">
      <c r="A7604" s="26"/>
      <c r="B7604" s="2"/>
      <c r="C7604" s="26"/>
      <c r="D7604" s="26"/>
      <c r="F7604" s="85" t="str">
        <f t="shared" si="0"/>
        <v/>
      </c>
      <c r="G7604" s="1" t="e">
        <f>IF(VALUE(F7604) = VALUE(RIGHT(Insights!$C$3, 4)), E7604, "")</f>
        <v>#VALUE!</v>
      </c>
      <c r="H7604" s="26" t="e">
        <f t="shared" si="1"/>
        <v>#VALUE!</v>
      </c>
      <c r="I7604" s="1" t="e">
        <f t="shared" si="2"/>
        <v>#VALUE!</v>
      </c>
    </row>
    <row r="7605" spans="1:9" ht="15.75" customHeight="1">
      <c r="A7605" s="26"/>
      <c r="B7605" s="2"/>
      <c r="C7605" s="26"/>
      <c r="D7605" s="26"/>
      <c r="F7605" s="85" t="str">
        <f t="shared" si="0"/>
        <v/>
      </c>
      <c r="G7605" s="1" t="e">
        <f>IF(VALUE(F7605) = VALUE(RIGHT(Insights!$C$3, 4)), E7605, "")</f>
        <v>#VALUE!</v>
      </c>
      <c r="H7605" s="26" t="e">
        <f t="shared" si="1"/>
        <v>#VALUE!</v>
      </c>
      <c r="I7605" s="1" t="e">
        <f t="shared" si="2"/>
        <v>#VALUE!</v>
      </c>
    </row>
    <row r="7606" spans="1:9" ht="15.75" customHeight="1">
      <c r="A7606" s="26"/>
      <c r="B7606" s="2"/>
      <c r="C7606" s="26"/>
      <c r="D7606" s="26"/>
      <c r="F7606" s="85" t="str">
        <f t="shared" si="0"/>
        <v/>
      </c>
      <c r="G7606" s="1" t="e">
        <f>IF(VALUE(F7606) = VALUE(RIGHT(Insights!$C$3, 4)), E7606, "")</f>
        <v>#VALUE!</v>
      </c>
      <c r="H7606" s="26" t="e">
        <f t="shared" si="1"/>
        <v>#VALUE!</v>
      </c>
      <c r="I7606" s="1" t="e">
        <f t="shared" si="2"/>
        <v>#VALUE!</v>
      </c>
    </row>
    <row r="7607" spans="1:9" ht="15.75" customHeight="1">
      <c r="A7607" s="26"/>
      <c r="B7607" s="2"/>
      <c r="C7607" s="26"/>
      <c r="D7607" s="26"/>
      <c r="F7607" s="85" t="str">
        <f t="shared" si="0"/>
        <v/>
      </c>
      <c r="G7607" s="1" t="e">
        <f>IF(VALUE(F7607) = VALUE(RIGHT(Insights!$C$3, 4)), E7607, "")</f>
        <v>#VALUE!</v>
      </c>
      <c r="H7607" s="26" t="e">
        <f t="shared" si="1"/>
        <v>#VALUE!</v>
      </c>
      <c r="I7607" s="1" t="e">
        <f t="shared" si="2"/>
        <v>#VALUE!</v>
      </c>
    </row>
    <row r="7608" spans="1:9" ht="15.75" customHeight="1">
      <c r="A7608" s="26"/>
      <c r="B7608" s="2"/>
      <c r="C7608" s="26"/>
      <c r="D7608" s="26"/>
      <c r="F7608" s="85" t="str">
        <f t="shared" si="0"/>
        <v/>
      </c>
      <c r="G7608" s="1" t="e">
        <f>IF(VALUE(F7608) = VALUE(RIGHT(Insights!$C$3, 4)), E7608, "")</f>
        <v>#VALUE!</v>
      </c>
      <c r="H7608" s="26" t="e">
        <f t="shared" si="1"/>
        <v>#VALUE!</v>
      </c>
      <c r="I7608" s="1" t="e">
        <f t="shared" si="2"/>
        <v>#VALUE!</v>
      </c>
    </row>
    <row r="7609" spans="1:9" ht="15.75" customHeight="1">
      <c r="A7609" s="26"/>
      <c r="B7609" s="2"/>
      <c r="C7609" s="26"/>
      <c r="D7609" s="26"/>
      <c r="F7609" s="85" t="str">
        <f t="shared" si="0"/>
        <v/>
      </c>
      <c r="G7609" s="1" t="e">
        <f>IF(VALUE(F7609) = VALUE(RIGHT(Insights!$C$3, 4)), E7609, "")</f>
        <v>#VALUE!</v>
      </c>
      <c r="H7609" s="26" t="e">
        <f t="shared" si="1"/>
        <v>#VALUE!</v>
      </c>
      <c r="I7609" s="1" t="e">
        <f t="shared" si="2"/>
        <v>#VALUE!</v>
      </c>
    </row>
    <row r="7610" spans="1:9" ht="15.75" customHeight="1">
      <c r="A7610" s="26"/>
      <c r="B7610" s="2"/>
      <c r="C7610" s="26"/>
      <c r="D7610" s="26"/>
      <c r="F7610" s="85" t="str">
        <f t="shared" si="0"/>
        <v/>
      </c>
      <c r="G7610" s="1" t="e">
        <f>IF(VALUE(F7610) = VALUE(RIGHT(Insights!$C$3, 4)), E7610, "")</f>
        <v>#VALUE!</v>
      </c>
      <c r="H7610" s="26" t="e">
        <f t="shared" si="1"/>
        <v>#VALUE!</v>
      </c>
      <c r="I7610" s="1" t="e">
        <f t="shared" si="2"/>
        <v>#VALUE!</v>
      </c>
    </row>
    <row r="7611" spans="1:9" ht="15.75" customHeight="1">
      <c r="A7611" s="26"/>
      <c r="B7611" s="2"/>
      <c r="C7611" s="26"/>
      <c r="D7611" s="26"/>
      <c r="F7611" s="85" t="str">
        <f t="shared" si="0"/>
        <v/>
      </c>
      <c r="G7611" s="1" t="e">
        <f>IF(VALUE(F7611) = VALUE(RIGHT(Insights!$C$3, 4)), E7611, "")</f>
        <v>#VALUE!</v>
      </c>
      <c r="H7611" s="26" t="e">
        <f t="shared" si="1"/>
        <v>#VALUE!</v>
      </c>
      <c r="I7611" s="1" t="e">
        <f t="shared" si="2"/>
        <v>#VALUE!</v>
      </c>
    </row>
    <row r="7612" spans="1:9" ht="15.75" customHeight="1">
      <c r="A7612" s="26"/>
      <c r="B7612" s="2"/>
      <c r="C7612" s="26"/>
      <c r="D7612" s="26"/>
      <c r="F7612" s="85" t="str">
        <f t="shared" si="0"/>
        <v/>
      </c>
      <c r="G7612" s="1" t="e">
        <f>IF(VALUE(F7612) = VALUE(RIGHT(Insights!$C$3, 4)), E7612, "")</f>
        <v>#VALUE!</v>
      </c>
      <c r="H7612" s="26" t="e">
        <f t="shared" si="1"/>
        <v>#VALUE!</v>
      </c>
      <c r="I7612" s="1" t="e">
        <f t="shared" si="2"/>
        <v>#VALUE!</v>
      </c>
    </row>
    <row r="7613" spans="1:9" ht="15.75" customHeight="1">
      <c r="A7613" s="26"/>
      <c r="B7613" s="2"/>
      <c r="C7613" s="26"/>
      <c r="D7613" s="26"/>
      <c r="F7613" s="85" t="str">
        <f t="shared" si="0"/>
        <v/>
      </c>
      <c r="G7613" s="1" t="e">
        <f>IF(VALUE(F7613) = VALUE(RIGHT(Insights!$C$3, 4)), E7613, "")</f>
        <v>#VALUE!</v>
      </c>
      <c r="H7613" s="26" t="e">
        <f t="shared" si="1"/>
        <v>#VALUE!</v>
      </c>
      <c r="I7613" s="1" t="e">
        <f t="shared" si="2"/>
        <v>#VALUE!</v>
      </c>
    </row>
    <row r="7614" spans="1:9" ht="15.75" customHeight="1">
      <c r="A7614" s="26"/>
      <c r="B7614" s="2"/>
      <c r="C7614" s="26"/>
      <c r="D7614" s="26"/>
      <c r="F7614" s="85" t="str">
        <f t="shared" si="0"/>
        <v/>
      </c>
      <c r="G7614" s="1" t="e">
        <f>IF(VALUE(F7614) = VALUE(RIGHT(Insights!$C$3, 4)), E7614, "")</f>
        <v>#VALUE!</v>
      </c>
      <c r="H7614" s="26" t="e">
        <f t="shared" si="1"/>
        <v>#VALUE!</v>
      </c>
      <c r="I7614" s="1" t="e">
        <f t="shared" si="2"/>
        <v>#VALUE!</v>
      </c>
    </row>
    <row r="7615" spans="1:9" ht="15.75" customHeight="1">
      <c r="A7615" s="26"/>
      <c r="B7615" s="2"/>
      <c r="C7615" s="26"/>
      <c r="D7615" s="26"/>
      <c r="F7615" s="85" t="str">
        <f t="shared" si="0"/>
        <v/>
      </c>
      <c r="G7615" s="1" t="e">
        <f>IF(VALUE(F7615) = VALUE(RIGHT(Insights!$C$3, 4)), E7615, "")</f>
        <v>#VALUE!</v>
      </c>
      <c r="H7615" s="26" t="e">
        <f t="shared" si="1"/>
        <v>#VALUE!</v>
      </c>
      <c r="I7615" s="1" t="e">
        <f t="shared" si="2"/>
        <v>#VALUE!</v>
      </c>
    </row>
    <row r="7616" spans="1:9" ht="15.75" customHeight="1">
      <c r="A7616" s="26"/>
      <c r="B7616" s="2"/>
      <c r="C7616" s="26"/>
      <c r="D7616" s="26"/>
      <c r="F7616" s="85" t="str">
        <f t="shared" si="0"/>
        <v/>
      </c>
      <c r="G7616" s="1" t="e">
        <f>IF(VALUE(F7616) = VALUE(RIGHT(Insights!$C$3, 4)), E7616, "")</f>
        <v>#VALUE!</v>
      </c>
      <c r="H7616" s="26" t="e">
        <f t="shared" si="1"/>
        <v>#VALUE!</v>
      </c>
      <c r="I7616" s="1" t="e">
        <f t="shared" si="2"/>
        <v>#VALUE!</v>
      </c>
    </row>
    <row r="7617" spans="1:9" ht="15.75" customHeight="1">
      <c r="A7617" s="26"/>
      <c r="B7617" s="2"/>
      <c r="C7617" s="26"/>
      <c r="D7617" s="26"/>
      <c r="F7617" s="85" t="str">
        <f t="shared" si="0"/>
        <v/>
      </c>
      <c r="G7617" s="1" t="e">
        <f>IF(VALUE(F7617) = VALUE(RIGHT(Insights!$C$3, 4)), E7617, "")</f>
        <v>#VALUE!</v>
      </c>
      <c r="H7617" s="26" t="e">
        <f t="shared" si="1"/>
        <v>#VALUE!</v>
      </c>
      <c r="I7617" s="1" t="e">
        <f t="shared" si="2"/>
        <v>#VALUE!</v>
      </c>
    </row>
    <row r="7618" spans="1:9" ht="15.75" customHeight="1">
      <c r="A7618" s="26"/>
      <c r="B7618" s="2"/>
      <c r="C7618" s="26"/>
      <c r="D7618" s="26"/>
      <c r="F7618" s="85" t="str">
        <f t="shared" si="0"/>
        <v/>
      </c>
      <c r="G7618" s="1" t="e">
        <f>IF(VALUE(F7618) = VALUE(RIGHT(Insights!$C$3, 4)), E7618, "")</f>
        <v>#VALUE!</v>
      </c>
      <c r="H7618" s="26" t="e">
        <f t="shared" si="1"/>
        <v>#VALUE!</v>
      </c>
      <c r="I7618" s="1" t="e">
        <f t="shared" si="2"/>
        <v>#VALUE!</v>
      </c>
    </row>
    <row r="7619" spans="1:9" ht="15.75" customHeight="1">
      <c r="A7619" s="26"/>
      <c r="B7619" s="2"/>
      <c r="C7619" s="26"/>
      <c r="D7619" s="26"/>
      <c r="F7619" s="85" t="str">
        <f t="shared" si="0"/>
        <v/>
      </c>
      <c r="G7619" s="1" t="e">
        <f>IF(VALUE(F7619) = VALUE(RIGHT(Insights!$C$3, 4)), E7619, "")</f>
        <v>#VALUE!</v>
      </c>
      <c r="H7619" s="26" t="e">
        <f t="shared" si="1"/>
        <v>#VALUE!</v>
      </c>
      <c r="I7619" s="1" t="e">
        <f t="shared" si="2"/>
        <v>#VALUE!</v>
      </c>
    </row>
    <row r="7620" spans="1:9" ht="15.75" customHeight="1">
      <c r="A7620" s="26"/>
      <c r="B7620" s="2"/>
      <c r="C7620" s="26"/>
      <c r="D7620" s="26"/>
      <c r="F7620" s="85" t="str">
        <f t="shared" si="0"/>
        <v/>
      </c>
      <c r="G7620" s="1" t="e">
        <f>IF(VALUE(F7620) = VALUE(RIGHT(Insights!$C$3, 4)), E7620, "")</f>
        <v>#VALUE!</v>
      </c>
      <c r="H7620" s="26" t="e">
        <f t="shared" si="1"/>
        <v>#VALUE!</v>
      </c>
      <c r="I7620" s="1" t="e">
        <f t="shared" si="2"/>
        <v>#VALUE!</v>
      </c>
    </row>
    <row r="7621" spans="1:9" ht="15.75" customHeight="1">
      <c r="A7621" s="26"/>
      <c r="B7621" s="2"/>
      <c r="C7621" s="26"/>
      <c r="D7621" s="26"/>
      <c r="F7621" s="85" t="str">
        <f t="shared" si="0"/>
        <v/>
      </c>
      <c r="G7621" s="1" t="e">
        <f>IF(VALUE(F7621) = VALUE(RIGHT(Insights!$C$3, 4)), E7621, "")</f>
        <v>#VALUE!</v>
      </c>
      <c r="H7621" s="26" t="e">
        <f t="shared" si="1"/>
        <v>#VALUE!</v>
      </c>
      <c r="I7621" s="1" t="e">
        <f t="shared" si="2"/>
        <v>#VALUE!</v>
      </c>
    </row>
    <row r="7622" spans="1:9" ht="15.75" customHeight="1">
      <c r="A7622" s="26"/>
      <c r="B7622" s="2"/>
      <c r="C7622" s="26"/>
      <c r="D7622" s="26"/>
      <c r="F7622" s="85" t="str">
        <f t="shared" si="0"/>
        <v/>
      </c>
      <c r="G7622" s="1" t="e">
        <f>IF(VALUE(F7622) = VALUE(RIGHT(Insights!$C$3, 4)), E7622, "")</f>
        <v>#VALUE!</v>
      </c>
      <c r="H7622" s="26" t="e">
        <f t="shared" si="1"/>
        <v>#VALUE!</v>
      </c>
      <c r="I7622" s="1" t="e">
        <f t="shared" si="2"/>
        <v>#VALUE!</v>
      </c>
    </row>
    <row r="7623" spans="1:9" ht="15.75" customHeight="1">
      <c r="A7623" s="26"/>
      <c r="B7623" s="2"/>
      <c r="C7623" s="26"/>
      <c r="D7623" s="26"/>
      <c r="F7623" s="85" t="str">
        <f t="shared" si="0"/>
        <v/>
      </c>
      <c r="G7623" s="1" t="e">
        <f>IF(VALUE(F7623) = VALUE(RIGHT(Insights!$C$3, 4)), E7623, "")</f>
        <v>#VALUE!</v>
      </c>
      <c r="H7623" s="26" t="e">
        <f t="shared" si="1"/>
        <v>#VALUE!</v>
      </c>
      <c r="I7623" s="1" t="e">
        <f t="shared" si="2"/>
        <v>#VALUE!</v>
      </c>
    </row>
    <row r="7624" spans="1:9" ht="15.75" customHeight="1">
      <c r="A7624" s="26"/>
      <c r="B7624" s="2"/>
      <c r="C7624" s="26"/>
      <c r="D7624" s="26"/>
      <c r="F7624" s="85" t="str">
        <f t="shared" si="0"/>
        <v/>
      </c>
      <c r="G7624" s="1" t="e">
        <f>IF(VALUE(F7624) = VALUE(RIGHT(Insights!$C$3, 4)), E7624, "")</f>
        <v>#VALUE!</v>
      </c>
      <c r="H7624" s="26" t="e">
        <f t="shared" si="1"/>
        <v>#VALUE!</v>
      </c>
      <c r="I7624" s="1" t="e">
        <f t="shared" si="2"/>
        <v>#VALUE!</v>
      </c>
    </row>
    <row r="7625" spans="1:9" ht="15.75" customHeight="1">
      <c r="A7625" s="26"/>
      <c r="B7625" s="2"/>
      <c r="C7625" s="26"/>
      <c r="D7625" s="26"/>
      <c r="F7625" s="85" t="str">
        <f t="shared" si="0"/>
        <v/>
      </c>
      <c r="G7625" s="1" t="e">
        <f>IF(VALUE(F7625) = VALUE(RIGHT(Insights!$C$3, 4)), E7625, "")</f>
        <v>#VALUE!</v>
      </c>
      <c r="H7625" s="26" t="e">
        <f t="shared" si="1"/>
        <v>#VALUE!</v>
      </c>
      <c r="I7625" s="1" t="e">
        <f t="shared" si="2"/>
        <v>#VALUE!</v>
      </c>
    </row>
    <row r="7626" spans="1:9" ht="15.75" customHeight="1">
      <c r="A7626" s="26"/>
      <c r="B7626" s="2"/>
      <c r="C7626" s="26"/>
      <c r="D7626" s="26"/>
      <c r="F7626" s="85" t="str">
        <f t="shared" si="0"/>
        <v/>
      </c>
      <c r="G7626" s="1" t="e">
        <f>IF(VALUE(F7626) = VALUE(RIGHT(Insights!$C$3, 4)), E7626, "")</f>
        <v>#VALUE!</v>
      </c>
      <c r="H7626" s="26" t="e">
        <f t="shared" si="1"/>
        <v>#VALUE!</v>
      </c>
      <c r="I7626" s="1" t="e">
        <f t="shared" si="2"/>
        <v>#VALUE!</v>
      </c>
    </row>
    <row r="7627" spans="1:9" ht="15.75" customHeight="1">
      <c r="A7627" s="26"/>
      <c r="B7627" s="2"/>
      <c r="C7627" s="26"/>
      <c r="D7627" s="26"/>
      <c r="F7627" s="85" t="str">
        <f t="shared" si="0"/>
        <v/>
      </c>
      <c r="G7627" s="1" t="e">
        <f>IF(VALUE(F7627) = VALUE(RIGHT(Insights!$C$3, 4)), E7627, "")</f>
        <v>#VALUE!</v>
      </c>
      <c r="H7627" s="26" t="e">
        <f t="shared" si="1"/>
        <v>#VALUE!</v>
      </c>
      <c r="I7627" s="1" t="e">
        <f t="shared" si="2"/>
        <v>#VALUE!</v>
      </c>
    </row>
    <row r="7628" spans="1:9" ht="15.75" customHeight="1">
      <c r="A7628" s="26"/>
      <c r="B7628" s="2"/>
      <c r="C7628" s="26"/>
      <c r="D7628" s="26"/>
      <c r="F7628" s="85" t="str">
        <f t="shared" si="0"/>
        <v/>
      </c>
      <c r="G7628" s="1" t="e">
        <f>IF(VALUE(F7628) = VALUE(RIGHT(Insights!$C$3, 4)), E7628, "")</f>
        <v>#VALUE!</v>
      </c>
      <c r="H7628" s="26" t="e">
        <f t="shared" si="1"/>
        <v>#VALUE!</v>
      </c>
      <c r="I7628" s="1" t="e">
        <f t="shared" si="2"/>
        <v>#VALUE!</v>
      </c>
    </row>
    <row r="7629" spans="1:9" ht="15.75" customHeight="1">
      <c r="A7629" s="26"/>
      <c r="B7629" s="2"/>
      <c r="C7629" s="26"/>
      <c r="D7629" s="26"/>
      <c r="F7629" s="85" t="str">
        <f t="shared" si="0"/>
        <v/>
      </c>
      <c r="G7629" s="1" t="e">
        <f>IF(VALUE(F7629) = VALUE(RIGHT(Insights!$C$3, 4)), E7629, "")</f>
        <v>#VALUE!</v>
      </c>
      <c r="H7629" s="26" t="e">
        <f t="shared" si="1"/>
        <v>#VALUE!</v>
      </c>
      <c r="I7629" s="1" t="e">
        <f t="shared" si="2"/>
        <v>#VALUE!</v>
      </c>
    </row>
    <row r="7630" spans="1:9" ht="15.75" customHeight="1">
      <c r="A7630" s="26"/>
      <c r="B7630" s="2"/>
      <c r="C7630" s="26"/>
      <c r="D7630" s="26"/>
      <c r="F7630" s="85" t="str">
        <f t="shared" si="0"/>
        <v/>
      </c>
      <c r="G7630" s="1" t="e">
        <f>IF(VALUE(F7630) = VALUE(RIGHT(Insights!$C$3, 4)), E7630, "")</f>
        <v>#VALUE!</v>
      </c>
      <c r="H7630" s="26" t="e">
        <f t="shared" si="1"/>
        <v>#VALUE!</v>
      </c>
      <c r="I7630" s="1" t="e">
        <f t="shared" si="2"/>
        <v>#VALUE!</v>
      </c>
    </row>
    <row r="7631" spans="1:9" ht="15.75" customHeight="1">
      <c r="A7631" s="26"/>
      <c r="B7631" s="2"/>
      <c r="C7631" s="26"/>
      <c r="D7631" s="26"/>
      <c r="F7631" s="85" t="str">
        <f t="shared" si="0"/>
        <v/>
      </c>
      <c r="G7631" s="1" t="e">
        <f>IF(VALUE(F7631) = VALUE(RIGHT(Insights!$C$3, 4)), E7631, "")</f>
        <v>#VALUE!</v>
      </c>
      <c r="H7631" s="26" t="e">
        <f t="shared" si="1"/>
        <v>#VALUE!</v>
      </c>
      <c r="I7631" s="1" t="e">
        <f t="shared" si="2"/>
        <v>#VALUE!</v>
      </c>
    </row>
    <row r="7632" spans="1:9" ht="15.75" customHeight="1">
      <c r="A7632" s="26"/>
      <c r="B7632" s="2"/>
      <c r="C7632" s="26"/>
      <c r="D7632" s="26"/>
      <c r="F7632" s="85" t="str">
        <f t="shared" si="0"/>
        <v/>
      </c>
      <c r="G7632" s="1" t="e">
        <f>IF(VALUE(F7632) = VALUE(RIGHT(Insights!$C$3, 4)), E7632, "")</f>
        <v>#VALUE!</v>
      </c>
      <c r="H7632" s="26" t="e">
        <f t="shared" si="1"/>
        <v>#VALUE!</v>
      </c>
      <c r="I7632" s="1" t="e">
        <f t="shared" si="2"/>
        <v>#VALUE!</v>
      </c>
    </row>
    <row r="7633" spans="1:9" ht="15.75" customHeight="1">
      <c r="A7633" s="26"/>
      <c r="B7633" s="2"/>
      <c r="C7633" s="26"/>
      <c r="D7633" s="26"/>
      <c r="F7633" s="85" t="str">
        <f t="shared" si="0"/>
        <v/>
      </c>
      <c r="G7633" s="1" t="e">
        <f>IF(VALUE(F7633) = VALUE(RIGHT(Insights!$C$3, 4)), E7633, "")</f>
        <v>#VALUE!</v>
      </c>
      <c r="H7633" s="26" t="e">
        <f t="shared" si="1"/>
        <v>#VALUE!</v>
      </c>
      <c r="I7633" s="1" t="e">
        <f t="shared" si="2"/>
        <v>#VALUE!</v>
      </c>
    </row>
    <row r="7634" spans="1:9" ht="15.75" customHeight="1">
      <c r="A7634" s="26"/>
      <c r="B7634" s="2"/>
      <c r="C7634" s="26"/>
      <c r="D7634" s="26"/>
      <c r="F7634" s="85" t="str">
        <f t="shared" si="0"/>
        <v/>
      </c>
      <c r="G7634" s="1" t="e">
        <f>IF(VALUE(F7634) = VALUE(RIGHT(Insights!$C$3, 4)), E7634, "")</f>
        <v>#VALUE!</v>
      </c>
      <c r="H7634" s="26" t="e">
        <f t="shared" si="1"/>
        <v>#VALUE!</v>
      </c>
      <c r="I7634" s="1" t="e">
        <f t="shared" si="2"/>
        <v>#VALUE!</v>
      </c>
    </row>
    <row r="7635" spans="1:9" ht="15.75" customHeight="1">
      <c r="A7635" s="26"/>
      <c r="B7635" s="2"/>
      <c r="C7635" s="26"/>
      <c r="D7635" s="26"/>
      <c r="F7635" s="85" t="str">
        <f t="shared" si="0"/>
        <v/>
      </c>
      <c r="G7635" s="1" t="e">
        <f>IF(VALUE(F7635) = VALUE(RIGHT(Insights!$C$3, 4)), E7635, "")</f>
        <v>#VALUE!</v>
      </c>
      <c r="H7635" s="26" t="e">
        <f t="shared" si="1"/>
        <v>#VALUE!</v>
      </c>
      <c r="I7635" s="1" t="e">
        <f t="shared" si="2"/>
        <v>#VALUE!</v>
      </c>
    </row>
    <row r="7636" spans="1:9" ht="15.75" customHeight="1">
      <c r="A7636" s="26"/>
      <c r="B7636" s="2"/>
      <c r="C7636" s="26"/>
      <c r="D7636" s="26"/>
      <c r="F7636" s="85" t="str">
        <f t="shared" si="0"/>
        <v/>
      </c>
      <c r="G7636" s="1" t="e">
        <f>IF(VALUE(F7636) = VALUE(RIGHT(Insights!$C$3, 4)), E7636, "")</f>
        <v>#VALUE!</v>
      </c>
      <c r="H7636" s="26" t="e">
        <f t="shared" si="1"/>
        <v>#VALUE!</v>
      </c>
      <c r="I7636" s="1" t="e">
        <f t="shared" si="2"/>
        <v>#VALUE!</v>
      </c>
    </row>
    <row r="7637" spans="1:9" ht="15.75" customHeight="1">
      <c r="A7637" s="26"/>
      <c r="B7637" s="2"/>
      <c r="C7637" s="26"/>
      <c r="D7637" s="26"/>
      <c r="F7637" s="85" t="str">
        <f t="shared" si="0"/>
        <v/>
      </c>
      <c r="G7637" s="1" t="e">
        <f>IF(VALUE(F7637) = VALUE(RIGHT(Insights!$C$3, 4)), E7637, "")</f>
        <v>#VALUE!</v>
      </c>
      <c r="H7637" s="26" t="e">
        <f t="shared" si="1"/>
        <v>#VALUE!</v>
      </c>
      <c r="I7637" s="1" t="e">
        <f t="shared" si="2"/>
        <v>#VALUE!</v>
      </c>
    </row>
    <row r="7638" spans="1:9" ht="15.75" customHeight="1">
      <c r="A7638" s="26"/>
      <c r="B7638" s="2"/>
      <c r="C7638" s="26"/>
      <c r="D7638" s="26"/>
      <c r="F7638" s="85" t="str">
        <f t="shared" si="0"/>
        <v/>
      </c>
      <c r="G7638" s="1" t="e">
        <f>IF(VALUE(F7638) = VALUE(RIGHT(Insights!$C$3, 4)), E7638, "")</f>
        <v>#VALUE!</v>
      </c>
      <c r="H7638" s="26" t="e">
        <f t="shared" si="1"/>
        <v>#VALUE!</v>
      </c>
      <c r="I7638" s="1" t="e">
        <f t="shared" si="2"/>
        <v>#VALUE!</v>
      </c>
    </row>
    <row r="7639" spans="1:9" ht="15.75" customHeight="1">
      <c r="A7639" s="26"/>
      <c r="B7639" s="2"/>
      <c r="C7639" s="26"/>
      <c r="D7639" s="26"/>
      <c r="F7639" s="85" t="str">
        <f t="shared" si="0"/>
        <v/>
      </c>
      <c r="G7639" s="1" t="e">
        <f>IF(VALUE(F7639) = VALUE(RIGHT(Insights!$C$3, 4)), E7639, "")</f>
        <v>#VALUE!</v>
      </c>
      <c r="H7639" s="26" t="e">
        <f t="shared" si="1"/>
        <v>#VALUE!</v>
      </c>
      <c r="I7639" s="1" t="e">
        <f t="shared" si="2"/>
        <v>#VALUE!</v>
      </c>
    </row>
    <row r="7640" spans="1:9" ht="15.75" customHeight="1">
      <c r="A7640" s="26"/>
      <c r="B7640" s="2"/>
      <c r="C7640" s="26"/>
      <c r="D7640" s="26"/>
      <c r="F7640" s="85" t="str">
        <f t="shared" si="0"/>
        <v/>
      </c>
      <c r="G7640" s="1" t="e">
        <f>IF(VALUE(F7640) = VALUE(RIGHT(Insights!$C$3, 4)), E7640, "")</f>
        <v>#VALUE!</v>
      </c>
      <c r="H7640" s="26" t="e">
        <f t="shared" si="1"/>
        <v>#VALUE!</v>
      </c>
      <c r="I7640" s="1" t="e">
        <f t="shared" si="2"/>
        <v>#VALUE!</v>
      </c>
    </row>
    <row r="7641" spans="1:9" ht="15.75" customHeight="1">
      <c r="A7641" s="26"/>
      <c r="B7641" s="2"/>
      <c r="C7641" s="26"/>
      <c r="D7641" s="26"/>
      <c r="F7641" s="85" t="str">
        <f t="shared" si="0"/>
        <v/>
      </c>
      <c r="G7641" s="1" t="e">
        <f>IF(VALUE(F7641) = VALUE(RIGHT(Insights!$C$3, 4)), E7641, "")</f>
        <v>#VALUE!</v>
      </c>
      <c r="H7641" s="26" t="e">
        <f t="shared" si="1"/>
        <v>#VALUE!</v>
      </c>
      <c r="I7641" s="1" t="e">
        <f t="shared" si="2"/>
        <v>#VALUE!</v>
      </c>
    </row>
    <row r="7642" spans="1:9" ht="15.75" customHeight="1">
      <c r="A7642" s="26"/>
      <c r="B7642" s="2"/>
      <c r="C7642" s="26"/>
      <c r="D7642" s="26"/>
      <c r="F7642" s="85" t="str">
        <f t="shared" si="0"/>
        <v/>
      </c>
      <c r="G7642" s="1" t="e">
        <f>IF(VALUE(F7642) = VALUE(RIGHT(Insights!$C$3, 4)), E7642, "")</f>
        <v>#VALUE!</v>
      </c>
      <c r="H7642" s="26" t="e">
        <f t="shared" si="1"/>
        <v>#VALUE!</v>
      </c>
      <c r="I7642" s="1" t="e">
        <f t="shared" si="2"/>
        <v>#VALUE!</v>
      </c>
    </row>
    <row r="7643" spans="1:9" ht="15.75" customHeight="1">
      <c r="A7643" s="26"/>
      <c r="B7643" s="2"/>
      <c r="C7643" s="26"/>
      <c r="D7643" s="26"/>
      <c r="F7643" s="85" t="str">
        <f t="shared" si="0"/>
        <v/>
      </c>
      <c r="G7643" s="1" t="e">
        <f>IF(VALUE(F7643) = VALUE(RIGHT(Insights!$C$3, 4)), E7643, "")</f>
        <v>#VALUE!</v>
      </c>
      <c r="H7643" s="26" t="e">
        <f t="shared" si="1"/>
        <v>#VALUE!</v>
      </c>
      <c r="I7643" s="1" t="e">
        <f t="shared" si="2"/>
        <v>#VALUE!</v>
      </c>
    </row>
    <row r="7644" spans="1:9" ht="15.75" customHeight="1">
      <c r="A7644" s="26"/>
      <c r="B7644" s="2"/>
      <c r="C7644" s="26"/>
      <c r="D7644" s="26"/>
      <c r="F7644" s="85" t="str">
        <f t="shared" si="0"/>
        <v/>
      </c>
      <c r="G7644" s="1" t="e">
        <f>IF(VALUE(F7644) = VALUE(RIGHT(Insights!$C$3, 4)), E7644, "")</f>
        <v>#VALUE!</v>
      </c>
      <c r="H7644" s="26" t="e">
        <f t="shared" si="1"/>
        <v>#VALUE!</v>
      </c>
      <c r="I7644" s="1" t="e">
        <f t="shared" si="2"/>
        <v>#VALUE!</v>
      </c>
    </row>
    <row r="7645" spans="1:9" ht="15.75" customHeight="1">
      <c r="A7645" s="26"/>
      <c r="B7645" s="2"/>
      <c r="C7645" s="26"/>
      <c r="D7645" s="26"/>
      <c r="F7645" s="85" t="str">
        <f t="shared" si="0"/>
        <v/>
      </c>
      <c r="G7645" s="1" t="e">
        <f>IF(VALUE(F7645) = VALUE(RIGHT(Insights!$C$3, 4)), E7645, "")</f>
        <v>#VALUE!</v>
      </c>
      <c r="H7645" s="26" t="e">
        <f t="shared" si="1"/>
        <v>#VALUE!</v>
      </c>
      <c r="I7645" s="1" t="e">
        <f t="shared" si="2"/>
        <v>#VALUE!</v>
      </c>
    </row>
    <row r="7646" spans="1:9" ht="15.75" customHeight="1">
      <c r="A7646" s="26"/>
      <c r="B7646" s="2"/>
      <c r="C7646" s="26"/>
      <c r="D7646" s="26"/>
      <c r="F7646" s="85" t="str">
        <f t="shared" si="0"/>
        <v/>
      </c>
      <c r="G7646" s="1" t="e">
        <f>IF(VALUE(F7646) = VALUE(RIGHT(Insights!$C$3, 4)), E7646, "")</f>
        <v>#VALUE!</v>
      </c>
      <c r="H7646" s="26" t="e">
        <f t="shared" si="1"/>
        <v>#VALUE!</v>
      </c>
      <c r="I7646" s="1" t="e">
        <f t="shared" si="2"/>
        <v>#VALUE!</v>
      </c>
    </row>
    <row r="7647" spans="1:9" ht="15.75" customHeight="1">
      <c r="A7647" s="26"/>
      <c r="B7647" s="2"/>
      <c r="C7647" s="26"/>
      <c r="D7647" s="26"/>
      <c r="F7647" s="85" t="str">
        <f t="shared" si="0"/>
        <v/>
      </c>
      <c r="G7647" s="1" t="e">
        <f>IF(VALUE(F7647) = VALUE(RIGHT(Insights!$C$3, 4)), E7647, "")</f>
        <v>#VALUE!</v>
      </c>
      <c r="H7647" s="26" t="e">
        <f t="shared" si="1"/>
        <v>#VALUE!</v>
      </c>
      <c r="I7647" s="1" t="e">
        <f t="shared" si="2"/>
        <v>#VALUE!</v>
      </c>
    </row>
    <row r="7648" spans="1:9" ht="15.75" customHeight="1">
      <c r="A7648" s="26"/>
      <c r="B7648" s="2"/>
      <c r="C7648" s="26"/>
      <c r="D7648" s="26"/>
      <c r="F7648" s="85" t="str">
        <f t="shared" si="0"/>
        <v/>
      </c>
      <c r="G7648" s="1" t="e">
        <f>IF(VALUE(F7648) = VALUE(RIGHT(Insights!$C$3, 4)), E7648, "")</f>
        <v>#VALUE!</v>
      </c>
      <c r="H7648" s="26" t="e">
        <f t="shared" si="1"/>
        <v>#VALUE!</v>
      </c>
      <c r="I7648" s="1" t="e">
        <f t="shared" si="2"/>
        <v>#VALUE!</v>
      </c>
    </row>
    <row r="7649" spans="1:9" ht="15.75" customHeight="1">
      <c r="A7649" s="26"/>
      <c r="B7649" s="2"/>
      <c r="C7649" s="26"/>
      <c r="D7649" s="26"/>
      <c r="F7649" s="85" t="str">
        <f t="shared" si="0"/>
        <v/>
      </c>
      <c r="G7649" s="1" t="e">
        <f>IF(VALUE(F7649) = VALUE(RIGHT(Insights!$C$3, 4)), E7649, "")</f>
        <v>#VALUE!</v>
      </c>
      <c r="H7649" s="26" t="e">
        <f t="shared" si="1"/>
        <v>#VALUE!</v>
      </c>
      <c r="I7649" s="1" t="e">
        <f t="shared" si="2"/>
        <v>#VALUE!</v>
      </c>
    </row>
    <row r="7650" spans="1:9" ht="15.75" customHeight="1">
      <c r="A7650" s="26"/>
      <c r="B7650" s="2"/>
      <c r="C7650" s="26"/>
      <c r="D7650" s="26"/>
      <c r="F7650" s="85" t="str">
        <f t="shared" si="0"/>
        <v/>
      </c>
      <c r="G7650" s="1" t="e">
        <f>IF(VALUE(F7650) = VALUE(RIGHT(Insights!$C$3, 4)), E7650, "")</f>
        <v>#VALUE!</v>
      </c>
      <c r="H7650" s="26" t="e">
        <f t="shared" si="1"/>
        <v>#VALUE!</v>
      </c>
      <c r="I7650" s="1" t="e">
        <f t="shared" si="2"/>
        <v>#VALUE!</v>
      </c>
    </row>
    <row r="7651" spans="1:9" ht="15.75" customHeight="1">
      <c r="A7651" s="26"/>
      <c r="B7651" s="2"/>
      <c r="C7651" s="26"/>
      <c r="D7651" s="26"/>
      <c r="F7651" s="85" t="str">
        <f t="shared" si="0"/>
        <v/>
      </c>
      <c r="G7651" s="1" t="e">
        <f>IF(VALUE(F7651) = VALUE(RIGHT(Insights!$C$3, 4)), E7651, "")</f>
        <v>#VALUE!</v>
      </c>
      <c r="H7651" s="26" t="e">
        <f t="shared" si="1"/>
        <v>#VALUE!</v>
      </c>
      <c r="I7651" s="1" t="e">
        <f t="shared" si="2"/>
        <v>#VALUE!</v>
      </c>
    </row>
    <row r="7652" spans="1:9" ht="15.75" customHeight="1">
      <c r="A7652" s="26"/>
      <c r="B7652" s="2"/>
      <c r="C7652" s="26"/>
      <c r="D7652" s="26"/>
      <c r="F7652" s="85" t="str">
        <f t="shared" si="0"/>
        <v/>
      </c>
      <c r="G7652" s="1" t="e">
        <f>IF(VALUE(F7652) = VALUE(RIGHT(Insights!$C$3, 4)), E7652, "")</f>
        <v>#VALUE!</v>
      </c>
      <c r="H7652" s="26" t="e">
        <f t="shared" si="1"/>
        <v>#VALUE!</v>
      </c>
      <c r="I7652" s="1" t="e">
        <f t="shared" si="2"/>
        <v>#VALUE!</v>
      </c>
    </row>
    <row r="7653" spans="1:9" ht="15.75" customHeight="1">
      <c r="A7653" s="26"/>
      <c r="B7653" s="2"/>
      <c r="C7653" s="26"/>
      <c r="D7653" s="26"/>
      <c r="F7653" s="85" t="str">
        <f t="shared" si="0"/>
        <v/>
      </c>
      <c r="G7653" s="1" t="e">
        <f>IF(VALUE(F7653) = VALUE(RIGHT(Insights!$C$3, 4)), E7653, "")</f>
        <v>#VALUE!</v>
      </c>
      <c r="H7653" s="26" t="e">
        <f t="shared" si="1"/>
        <v>#VALUE!</v>
      </c>
      <c r="I7653" s="1" t="e">
        <f t="shared" si="2"/>
        <v>#VALUE!</v>
      </c>
    </row>
    <row r="7654" spans="1:9" ht="15.75" customHeight="1">
      <c r="A7654" s="26"/>
      <c r="B7654" s="2"/>
      <c r="C7654" s="26"/>
      <c r="D7654" s="26"/>
      <c r="F7654" s="85" t="str">
        <f t="shared" si="0"/>
        <v/>
      </c>
      <c r="G7654" s="1" t="e">
        <f>IF(VALUE(F7654) = VALUE(RIGHT(Insights!$C$3, 4)), E7654, "")</f>
        <v>#VALUE!</v>
      </c>
      <c r="H7654" s="26" t="e">
        <f t="shared" si="1"/>
        <v>#VALUE!</v>
      </c>
      <c r="I7654" s="1" t="e">
        <f t="shared" si="2"/>
        <v>#VALUE!</v>
      </c>
    </row>
    <row r="7655" spans="1:9" ht="15.75" customHeight="1">
      <c r="A7655" s="26"/>
      <c r="B7655" s="2"/>
      <c r="C7655" s="26"/>
      <c r="D7655" s="26"/>
      <c r="F7655" s="85" t="str">
        <f t="shared" si="0"/>
        <v/>
      </c>
      <c r="G7655" s="1" t="e">
        <f>IF(VALUE(F7655) = VALUE(RIGHT(Insights!$C$3, 4)), E7655, "")</f>
        <v>#VALUE!</v>
      </c>
      <c r="H7655" s="26" t="e">
        <f t="shared" si="1"/>
        <v>#VALUE!</v>
      </c>
      <c r="I7655" s="1" t="e">
        <f t="shared" si="2"/>
        <v>#VALUE!</v>
      </c>
    </row>
    <row r="7656" spans="1:9" ht="15.75" customHeight="1">
      <c r="A7656" s="26"/>
      <c r="B7656" s="2"/>
      <c r="C7656" s="26"/>
      <c r="D7656" s="26"/>
      <c r="F7656" s="85" t="str">
        <f t="shared" si="0"/>
        <v/>
      </c>
      <c r="G7656" s="1" t="e">
        <f>IF(VALUE(F7656) = VALUE(RIGHT(Insights!$C$3, 4)), E7656, "")</f>
        <v>#VALUE!</v>
      </c>
      <c r="H7656" s="26" t="e">
        <f t="shared" si="1"/>
        <v>#VALUE!</v>
      </c>
      <c r="I7656" s="1" t="e">
        <f t="shared" si="2"/>
        <v>#VALUE!</v>
      </c>
    </row>
    <row r="7657" spans="1:9" ht="15.75" customHeight="1">
      <c r="A7657" s="26"/>
      <c r="B7657" s="2"/>
      <c r="C7657" s="26"/>
      <c r="D7657" s="26"/>
      <c r="F7657" s="85" t="str">
        <f t="shared" si="0"/>
        <v/>
      </c>
      <c r="G7657" s="1" t="e">
        <f>IF(VALUE(F7657) = VALUE(RIGHT(Insights!$C$3, 4)), E7657, "")</f>
        <v>#VALUE!</v>
      </c>
      <c r="H7657" s="26" t="e">
        <f t="shared" si="1"/>
        <v>#VALUE!</v>
      </c>
      <c r="I7657" s="1" t="e">
        <f t="shared" si="2"/>
        <v>#VALUE!</v>
      </c>
    </row>
    <row r="7658" spans="1:9" ht="15.75" customHeight="1">
      <c r="A7658" s="26"/>
      <c r="B7658" s="2"/>
      <c r="C7658" s="26"/>
      <c r="D7658" s="26"/>
      <c r="F7658" s="85" t="str">
        <f t="shared" si="0"/>
        <v/>
      </c>
      <c r="G7658" s="1" t="e">
        <f>IF(VALUE(F7658) = VALUE(RIGHT(Insights!$C$3, 4)), E7658, "")</f>
        <v>#VALUE!</v>
      </c>
      <c r="H7658" s="26" t="e">
        <f t="shared" si="1"/>
        <v>#VALUE!</v>
      </c>
      <c r="I7658" s="1" t="e">
        <f t="shared" si="2"/>
        <v>#VALUE!</v>
      </c>
    </row>
    <row r="7659" spans="1:9" ht="15.75" customHeight="1">
      <c r="A7659" s="26"/>
      <c r="B7659" s="2"/>
      <c r="C7659" s="26"/>
      <c r="D7659" s="26"/>
      <c r="F7659" s="85" t="str">
        <f t="shared" si="0"/>
        <v/>
      </c>
      <c r="G7659" s="1" t="e">
        <f>IF(VALUE(F7659) = VALUE(RIGHT(Insights!$C$3, 4)), E7659, "")</f>
        <v>#VALUE!</v>
      </c>
      <c r="H7659" s="26" t="e">
        <f t="shared" si="1"/>
        <v>#VALUE!</v>
      </c>
      <c r="I7659" s="1" t="e">
        <f t="shared" si="2"/>
        <v>#VALUE!</v>
      </c>
    </row>
    <row r="7660" spans="1:9" ht="15.75" customHeight="1">
      <c r="A7660" s="26"/>
      <c r="B7660" s="2"/>
      <c r="C7660" s="26"/>
      <c r="D7660" s="26"/>
      <c r="F7660" s="85" t="str">
        <f t="shared" si="0"/>
        <v/>
      </c>
      <c r="G7660" s="1" t="e">
        <f>IF(VALUE(F7660) = VALUE(RIGHT(Insights!$C$3, 4)), E7660, "")</f>
        <v>#VALUE!</v>
      </c>
      <c r="H7660" s="26" t="e">
        <f t="shared" si="1"/>
        <v>#VALUE!</v>
      </c>
      <c r="I7660" s="1" t="e">
        <f t="shared" si="2"/>
        <v>#VALUE!</v>
      </c>
    </row>
    <row r="7661" spans="1:9" ht="15.75" customHeight="1">
      <c r="A7661" s="26"/>
      <c r="B7661" s="2"/>
      <c r="C7661" s="26"/>
      <c r="D7661" s="26"/>
      <c r="F7661" s="85" t="str">
        <f t="shared" si="0"/>
        <v/>
      </c>
      <c r="G7661" s="1" t="e">
        <f>IF(VALUE(F7661) = VALUE(RIGHT(Insights!$C$3, 4)), E7661, "")</f>
        <v>#VALUE!</v>
      </c>
      <c r="H7661" s="26" t="e">
        <f t="shared" si="1"/>
        <v>#VALUE!</v>
      </c>
      <c r="I7661" s="1" t="e">
        <f t="shared" si="2"/>
        <v>#VALUE!</v>
      </c>
    </row>
    <row r="7662" spans="1:9" ht="15.75" customHeight="1">
      <c r="A7662" s="26"/>
      <c r="B7662" s="2"/>
      <c r="C7662" s="26"/>
      <c r="D7662" s="26"/>
      <c r="F7662" s="85" t="str">
        <f t="shared" si="0"/>
        <v/>
      </c>
      <c r="G7662" s="1" t="e">
        <f>IF(VALUE(F7662) = VALUE(RIGHT(Insights!$C$3, 4)), E7662, "")</f>
        <v>#VALUE!</v>
      </c>
      <c r="H7662" s="26" t="e">
        <f t="shared" si="1"/>
        <v>#VALUE!</v>
      </c>
      <c r="I7662" s="1" t="e">
        <f t="shared" si="2"/>
        <v>#VALUE!</v>
      </c>
    </row>
    <row r="7663" spans="1:9" ht="15.75" customHeight="1">
      <c r="A7663" s="26"/>
      <c r="B7663" s="2"/>
      <c r="C7663" s="26"/>
      <c r="D7663" s="26"/>
      <c r="F7663" s="85" t="str">
        <f t="shared" si="0"/>
        <v/>
      </c>
      <c r="G7663" s="1" t="e">
        <f>IF(VALUE(F7663) = VALUE(RIGHT(Insights!$C$3, 4)), E7663, "")</f>
        <v>#VALUE!</v>
      </c>
      <c r="H7663" s="26" t="e">
        <f t="shared" si="1"/>
        <v>#VALUE!</v>
      </c>
      <c r="I7663" s="1" t="e">
        <f t="shared" si="2"/>
        <v>#VALUE!</v>
      </c>
    </row>
    <row r="7664" spans="1:9" ht="15.75" customHeight="1">
      <c r="A7664" s="26"/>
      <c r="B7664" s="2"/>
      <c r="C7664" s="26"/>
      <c r="D7664" s="26"/>
      <c r="F7664" s="85" t="str">
        <f t="shared" si="0"/>
        <v/>
      </c>
      <c r="G7664" s="1" t="e">
        <f>IF(VALUE(F7664) = VALUE(RIGHT(Insights!$C$3, 4)), E7664, "")</f>
        <v>#VALUE!</v>
      </c>
      <c r="H7664" s="26" t="e">
        <f t="shared" si="1"/>
        <v>#VALUE!</v>
      </c>
      <c r="I7664" s="1" t="e">
        <f t="shared" si="2"/>
        <v>#VALUE!</v>
      </c>
    </row>
    <row r="7665" spans="1:9" ht="15.75" customHeight="1">
      <c r="A7665" s="26"/>
      <c r="B7665" s="2"/>
      <c r="C7665" s="26"/>
      <c r="D7665" s="26"/>
      <c r="F7665" s="85" t="str">
        <f t="shared" si="0"/>
        <v/>
      </c>
      <c r="G7665" s="1" t="e">
        <f>IF(VALUE(F7665) = VALUE(RIGHT(Insights!$C$3, 4)), E7665, "")</f>
        <v>#VALUE!</v>
      </c>
      <c r="H7665" s="26" t="e">
        <f t="shared" si="1"/>
        <v>#VALUE!</v>
      </c>
      <c r="I7665" s="1" t="e">
        <f t="shared" si="2"/>
        <v>#VALUE!</v>
      </c>
    </row>
    <row r="7666" spans="1:9" ht="15.75" customHeight="1">
      <c r="A7666" s="26"/>
      <c r="B7666" s="2"/>
      <c r="C7666" s="26"/>
      <c r="D7666" s="26"/>
      <c r="F7666" s="85" t="str">
        <f t="shared" si="0"/>
        <v/>
      </c>
      <c r="G7666" s="1" t="e">
        <f>IF(VALUE(F7666) = VALUE(RIGHT(Insights!$C$3, 4)), E7666, "")</f>
        <v>#VALUE!</v>
      </c>
      <c r="H7666" s="26" t="e">
        <f t="shared" si="1"/>
        <v>#VALUE!</v>
      </c>
      <c r="I7666" s="1" t="e">
        <f t="shared" si="2"/>
        <v>#VALUE!</v>
      </c>
    </row>
    <row r="7667" spans="1:9" ht="15.75" customHeight="1">
      <c r="A7667" s="26"/>
      <c r="B7667" s="2"/>
      <c r="C7667" s="26"/>
      <c r="D7667" s="26"/>
      <c r="F7667" s="85" t="str">
        <f t="shared" si="0"/>
        <v/>
      </c>
      <c r="G7667" s="1" t="e">
        <f>IF(VALUE(F7667) = VALUE(RIGHT(Insights!$C$3, 4)), E7667, "")</f>
        <v>#VALUE!</v>
      </c>
      <c r="H7667" s="26" t="e">
        <f t="shared" si="1"/>
        <v>#VALUE!</v>
      </c>
      <c r="I7667" s="1" t="e">
        <f t="shared" si="2"/>
        <v>#VALUE!</v>
      </c>
    </row>
    <row r="7668" spans="1:9" ht="15.75" customHeight="1">
      <c r="A7668" s="26"/>
      <c r="B7668" s="2"/>
      <c r="C7668" s="26"/>
      <c r="D7668" s="26"/>
      <c r="F7668" s="85" t="str">
        <f t="shared" si="0"/>
        <v/>
      </c>
      <c r="G7668" s="1" t="e">
        <f>IF(VALUE(F7668) = VALUE(RIGHT(Insights!$C$3, 4)), E7668, "")</f>
        <v>#VALUE!</v>
      </c>
      <c r="H7668" s="26" t="e">
        <f t="shared" si="1"/>
        <v>#VALUE!</v>
      </c>
      <c r="I7668" s="1" t="e">
        <f t="shared" si="2"/>
        <v>#VALUE!</v>
      </c>
    </row>
    <row r="7669" spans="1:9" ht="15.75" customHeight="1">
      <c r="A7669" s="26"/>
      <c r="B7669" s="2"/>
      <c r="C7669" s="26"/>
      <c r="D7669" s="26"/>
      <c r="F7669" s="85" t="str">
        <f t="shared" si="0"/>
        <v/>
      </c>
      <c r="G7669" s="1" t="e">
        <f>IF(VALUE(F7669) = VALUE(RIGHT(Insights!$C$3, 4)), E7669, "")</f>
        <v>#VALUE!</v>
      </c>
      <c r="H7669" s="26" t="e">
        <f t="shared" si="1"/>
        <v>#VALUE!</v>
      </c>
      <c r="I7669" s="1" t="e">
        <f t="shared" si="2"/>
        <v>#VALUE!</v>
      </c>
    </row>
    <row r="7670" spans="1:9" ht="15.75" customHeight="1">
      <c r="A7670" s="26"/>
      <c r="B7670" s="2"/>
      <c r="C7670" s="26"/>
      <c r="D7670" s="26"/>
      <c r="F7670" s="85" t="str">
        <f t="shared" si="0"/>
        <v/>
      </c>
      <c r="G7670" s="1" t="e">
        <f>IF(VALUE(F7670) = VALUE(RIGHT(Insights!$C$3, 4)), E7670, "")</f>
        <v>#VALUE!</v>
      </c>
      <c r="H7670" s="26" t="e">
        <f t="shared" si="1"/>
        <v>#VALUE!</v>
      </c>
      <c r="I7670" s="1" t="e">
        <f t="shared" si="2"/>
        <v>#VALUE!</v>
      </c>
    </row>
    <row r="7671" spans="1:9" ht="15.75" customHeight="1">
      <c r="A7671" s="26"/>
      <c r="B7671" s="2"/>
      <c r="C7671" s="26"/>
      <c r="D7671" s="26"/>
      <c r="F7671" s="85" t="str">
        <f t="shared" si="0"/>
        <v/>
      </c>
      <c r="G7671" s="1" t="e">
        <f>IF(VALUE(F7671) = VALUE(RIGHT(Insights!$C$3, 4)), E7671, "")</f>
        <v>#VALUE!</v>
      </c>
      <c r="H7671" s="26" t="e">
        <f t="shared" si="1"/>
        <v>#VALUE!</v>
      </c>
      <c r="I7671" s="1" t="e">
        <f t="shared" si="2"/>
        <v>#VALUE!</v>
      </c>
    </row>
    <row r="7672" spans="1:9" ht="15.75" customHeight="1">
      <c r="A7672" s="26"/>
      <c r="B7672" s="2"/>
      <c r="C7672" s="26"/>
      <c r="D7672" s="26"/>
      <c r="F7672" s="85" t="str">
        <f t="shared" si="0"/>
        <v/>
      </c>
      <c r="G7672" s="1" t="e">
        <f>IF(VALUE(F7672) = VALUE(RIGHT(Insights!$C$3, 4)), E7672, "")</f>
        <v>#VALUE!</v>
      </c>
      <c r="H7672" s="26" t="e">
        <f t="shared" si="1"/>
        <v>#VALUE!</v>
      </c>
      <c r="I7672" s="1" t="e">
        <f t="shared" si="2"/>
        <v>#VALUE!</v>
      </c>
    </row>
    <row r="7673" spans="1:9" ht="15.75" customHeight="1">
      <c r="A7673" s="26"/>
      <c r="B7673" s="2"/>
      <c r="C7673" s="26"/>
      <c r="D7673" s="26"/>
      <c r="F7673" s="85" t="str">
        <f t="shared" si="0"/>
        <v/>
      </c>
      <c r="G7673" s="1" t="e">
        <f>IF(VALUE(F7673) = VALUE(RIGHT(Insights!$C$3, 4)), E7673, "")</f>
        <v>#VALUE!</v>
      </c>
      <c r="H7673" s="26" t="e">
        <f t="shared" si="1"/>
        <v>#VALUE!</v>
      </c>
      <c r="I7673" s="1" t="e">
        <f t="shared" si="2"/>
        <v>#VALUE!</v>
      </c>
    </row>
    <row r="7674" spans="1:9" ht="15.75" customHeight="1">
      <c r="A7674" s="26"/>
      <c r="B7674" s="2"/>
      <c r="C7674" s="26"/>
      <c r="D7674" s="26"/>
      <c r="F7674" s="85" t="str">
        <f t="shared" si="0"/>
        <v/>
      </c>
      <c r="G7674" s="1" t="e">
        <f>IF(VALUE(F7674) = VALUE(RIGHT(Insights!$C$3, 4)), E7674, "")</f>
        <v>#VALUE!</v>
      </c>
      <c r="H7674" s="26" t="e">
        <f t="shared" si="1"/>
        <v>#VALUE!</v>
      </c>
      <c r="I7674" s="1" t="e">
        <f t="shared" si="2"/>
        <v>#VALUE!</v>
      </c>
    </row>
    <row r="7675" spans="1:9" ht="15.75" customHeight="1">
      <c r="A7675" s="26"/>
      <c r="B7675" s="2"/>
      <c r="C7675" s="26"/>
      <c r="D7675" s="26"/>
      <c r="F7675" s="85" t="str">
        <f t="shared" si="0"/>
        <v/>
      </c>
      <c r="G7675" s="1" t="e">
        <f>IF(VALUE(F7675) = VALUE(RIGHT(Insights!$C$3, 4)), E7675, "")</f>
        <v>#VALUE!</v>
      </c>
      <c r="H7675" s="26" t="e">
        <f t="shared" si="1"/>
        <v>#VALUE!</v>
      </c>
      <c r="I7675" s="1" t="e">
        <f t="shared" si="2"/>
        <v>#VALUE!</v>
      </c>
    </row>
    <row r="7676" spans="1:9" ht="15.75" customHeight="1">
      <c r="A7676" s="26"/>
      <c r="B7676" s="2"/>
      <c r="C7676" s="26"/>
      <c r="D7676" s="26"/>
      <c r="F7676" s="85" t="str">
        <f t="shared" si="0"/>
        <v/>
      </c>
      <c r="G7676" s="1" t="e">
        <f>IF(VALUE(F7676) = VALUE(RIGHT(Insights!$C$3, 4)), E7676, "")</f>
        <v>#VALUE!</v>
      </c>
      <c r="H7676" s="26" t="e">
        <f t="shared" si="1"/>
        <v>#VALUE!</v>
      </c>
      <c r="I7676" s="1" t="e">
        <f t="shared" si="2"/>
        <v>#VALUE!</v>
      </c>
    </row>
    <row r="7677" spans="1:9" ht="15.75" customHeight="1">
      <c r="A7677" s="26"/>
      <c r="B7677" s="2"/>
      <c r="C7677" s="26"/>
      <c r="D7677" s="26"/>
      <c r="F7677" s="85" t="str">
        <f t="shared" si="0"/>
        <v/>
      </c>
      <c r="G7677" s="1" t="e">
        <f>IF(VALUE(F7677) = VALUE(RIGHT(Insights!$C$3, 4)), E7677, "")</f>
        <v>#VALUE!</v>
      </c>
      <c r="H7677" s="26" t="e">
        <f t="shared" si="1"/>
        <v>#VALUE!</v>
      </c>
      <c r="I7677" s="1" t="e">
        <f t="shared" si="2"/>
        <v>#VALUE!</v>
      </c>
    </row>
    <row r="7678" spans="1:9" ht="15.75" customHeight="1">
      <c r="A7678" s="26"/>
      <c r="B7678" s="2"/>
      <c r="C7678" s="26"/>
      <c r="D7678" s="26"/>
      <c r="F7678" s="85" t="str">
        <f t="shared" si="0"/>
        <v/>
      </c>
      <c r="G7678" s="1" t="e">
        <f>IF(VALUE(F7678) = VALUE(RIGHT(Insights!$C$3, 4)), E7678, "")</f>
        <v>#VALUE!</v>
      </c>
      <c r="H7678" s="26" t="e">
        <f t="shared" si="1"/>
        <v>#VALUE!</v>
      </c>
      <c r="I7678" s="1" t="e">
        <f t="shared" si="2"/>
        <v>#VALUE!</v>
      </c>
    </row>
    <row r="7679" spans="1:9" ht="15.75" customHeight="1">
      <c r="A7679" s="26"/>
      <c r="B7679" s="2"/>
      <c r="C7679" s="26"/>
      <c r="D7679" s="26"/>
      <c r="F7679" s="85" t="str">
        <f t="shared" si="0"/>
        <v/>
      </c>
      <c r="G7679" s="1" t="e">
        <f>IF(VALUE(F7679) = VALUE(RIGHT(Insights!$C$3, 4)), E7679, "")</f>
        <v>#VALUE!</v>
      </c>
      <c r="H7679" s="26" t="e">
        <f t="shared" si="1"/>
        <v>#VALUE!</v>
      </c>
      <c r="I7679" s="1" t="e">
        <f t="shared" si="2"/>
        <v>#VALUE!</v>
      </c>
    </row>
    <row r="7680" spans="1:9" ht="15.75" customHeight="1">
      <c r="A7680" s="26"/>
      <c r="B7680" s="2"/>
      <c r="C7680" s="26"/>
      <c r="D7680" s="26"/>
      <c r="F7680" s="85" t="str">
        <f t="shared" si="0"/>
        <v/>
      </c>
      <c r="G7680" s="1" t="e">
        <f>IF(VALUE(F7680) = VALUE(RIGHT(Insights!$C$3, 4)), E7680, "")</f>
        <v>#VALUE!</v>
      </c>
      <c r="H7680" s="26" t="e">
        <f t="shared" si="1"/>
        <v>#VALUE!</v>
      </c>
      <c r="I7680" s="1" t="e">
        <f t="shared" si="2"/>
        <v>#VALUE!</v>
      </c>
    </row>
    <row r="7681" spans="1:9" ht="15.75" customHeight="1">
      <c r="A7681" s="26"/>
      <c r="B7681" s="2"/>
      <c r="C7681" s="26"/>
      <c r="D7681" s="26"/>
      <c r="F7681" s="85" t="str">
        <f t="shared" si="0"/>
        <v/>
      </c>
      <c r="G7681" s="1" t="e">
        <f>IF(VALUE(F7681) = VALUE(RIGHT(Insights!$C$3, 4)), E7681, "")</f>
        <v>#VALUE!</v>
      </c>
      <c r="H7681" s="26" t="e">
        <f t="shared" si="1"/>
        <v>#VALUE!</v>
      </c>
      <c r="I7681" s="1" t="e">
        <f t="shared" si="2"/>
        <v>#VALUE!</v>
      </c>
    </row>
    <row r="7682" spans="1:9" ht="15.75" customHeight="1">
      <c r="A7682" s="26"/>
      <c r="B7682" s="2"/>
      <c r="C7682" s="26"/>
      <c r="D7682" s="26"/>
      <c r="F7682" s="85" t="str">
        <f t="shared" si="0"/>
        <v/>
      </c>
      <c r="G7682" s="1" t="e">
        <f>IF(VALUE(F7682) = VALUE(RIGHT(Insights!$C$3, 4)), E7682, "")</f>
        <v>#VALUE!</v>
      </c>
      <c r="H7682" s="26" t="e">
        <f t="shared" si="1"/>
        <v>#VALUE!</v>
      </c>
      <c r="I7682" s="1" t="e">
        <f t="shared" si="2"/>
        <v>#VALUE!</v>
      </c>
    </row>
    <row r="7683" spans="1:9" ht="15.75" customHeight="1">
      <c r="A7683" s="26"/>
      <c r="B7683" s="2"/>
      <c r="C7683" s="26"/>
      <c r="D7683" s="26"/>
      <c r="F7683" s="85" t="str">
        <f t="shared" si="0"/>
        <v/>
      </c>
      <c r="G7683" s="1" t="e">
        <f>IF(VALUE(F7683) = VALUE(RIGHT(Insights!$C$3, 4)), E7683, "")</f>
        <v>#VALUE!</v>
      </c>
      <c r="H7683" s="26" t="e">
        <f t="shared" si="1"/>
        <v>#VALUE!</v>
      </c>
      <c r="I7683" s="1" t="e">
        <f t="shared" si="2"/>
        <v>#VALUE!</v>
      </c>
    </row>
    <row r="7684" spans="1:9" ht="15.75" customHeight="1">
      <c r="A7684" s="26"/>
      <c r="B7684" s="2"/>
      <c r="C7684" s="26"/>
      <c r="D7684" s="26"/>
      <c r="F7684" s="85" t="str">
        <f t="shared" si="0"/>
        <v/>
      </c>
      <c r="G7684" s="1" t="e">
        <f>IF(VALUE(F7684) = VALUE(RIGHT(Insights!$C$3, 4)), E7684, "")</f>
        <v>#VALUE!</v>
      </c>
      <c r="H7684" s="26" t="e">
        <f t="shared" si="1"/>
        <v>#VALUE!</v>
      </c>
      <c r="I7684" s="1" t="e">
        <f t="shared" si="2"/>
        <v>#VALUE!</v>
      </c>
    </row>
    <row r="7685" spans="1:9" ht="15.75" customHeight="1">
      <c r="A7685" s="26"/>
      <c r="B7685" s="2"/>
      <c r="C7685" s="26"/>
      <c r="D7685" s="26"/>
      <c r="F7685" s="85" t="str">
        <f t="shared" si="0"/>
        <v/>
      </c>
      <c r="G7685" s="1" t="e">
        <f>IF(VALUE(F7685) = VALUE(RIGHT(Insights!$C$3, 4)), E7685, "")</f>
        <v>#VALUE!</v>
      </c>
      <c r="H7685" s="26" t="e">
        <f t="shared" si="1"/>
        <v>#VALUE!</v>
      </c>
      <c r="I7685" s="1" t="e">
        <f t="shared" si="2"/>
        <v>#VALUE!</v>
      </c>
    </row>
    <row r="7686" spans="1:9" ht="15.75" customHeight="1">
      <c r="A7686" s="26"/>
      <c r="B7686" s="2"/>
      <c r="C7686" s="26"/>
      <c r="D7686" s="26"/>
      <c r="F7686" s="85" t="str">
        <f t="shared" si="0"/>
        <v/>
      </c>
      <c r="G7686" s="1" t="e">
        <f>IF(VALUE(F7686) = VALUE(RIGHT(Insights!$C$3, 4)), E7686, "")</f>
        <v>#VALUE!</v>
      </c>
      <c r="H7686" s="26" t="e">
        <f t="shared" si="1"/>
        <v>#VALUE!</v>
      </c>
      <c r="I7686" s="1" t="e">
        <f t="shared" si="2"/>
        <v>#VALUE!</v>
      </c>
    </row>
    <row r="7687" spans="1:9" ht="15.75" customHeight="1">
      <c r="A7687" s="26"/>
      <c r="B7687" s="2"/>
      <c r="C7687" s="26"/>
      <c r="D7687" s="26"/>
      <c r="F7687" s="85" t="str">
        <f t="shared" si="0"/>
        <v/>
      </c>
      <c r="G7687" s="1" t="e">
        <f>IF(VALUE(F7687) = VALUE(RIGHT(Insights!$C$3, 4)), E7687, "")</f>
        <v>#VALUE!</v>
      </c>
      <c r="H7687" s="26" t="e">
        <f t="shared" si="1"/>
        <v>#VALUE!</v>
      </c>
      <c r="I7687" s="1" t="e">
        <f t="shared" si="2"/>
        <v>#VALUE!</v>
      </c>
    </row>
    <row r="7688" spans="1:9" ht="15.75" customHeight="1">
      <c r="A7688" s="26"/>
      <c r="B7688" s="2"/>
      <c r="C7688" s="26"/>
      <c r="D7688" s="26"/>
      <c r="F7688" s="85" t="str">
        <f t="shared" si="0"/>
        <v/>
      </c>
      <c r="G7688" s="1" t="e">
        <f>IF(VALUE(F7688) = VALUE(RIGHT(Insights!$C$3, 4)), E7688, "")</f>
        <v>#VALUE!</v>
      </c>
      <c r="H7688" s="26" t="e">
        <f t="shared" si="1"/>
        <v>#VALUE!</v>
      </c>
      <c r="I7688" s="1" t="e">
        <f t="shared" si="2"/>
        <v>#VALUE!</v>
      </c>
    </row>
    <row r="7689" spans="1:9" ht="15.75" customHeight="1">
      <c r="A7689" s="26"/>
      <c r="B7689" s="2"/>
      <c r="C7689" s="26"/>
      <c r="D7689" s="26"/>
      <c r="F7689" s="85" t="str">
        <f t="shared" si="0"/>
        <v/>
      </c>
      <c r="G7689" s="1" t="e">
        <f>IF(VALUE(F7689) = VALUE(RIGHT(Insights!$C$3, 4)), E7689, "")</f>
        <v>#VALUE!</v>
      </c>
      <c r="H7689" s="26" t="e">
        <f t="shared" si="1"/>
        <v>#VALUE!</v>
      </c>
      <c r="I7689" s="1" t="e">
        <f t="shared" si="2"/>
        <v>#VALUE!</v>
      </c>
    </row>
    <row r="7690" spans="1:9" ht="15.75" customHeight="1">
      <c r="A7690" s="26"/>
      <c r="B7690" s="2"/>
      <c r="C7690" s="26"/>
      <c r="D7690" s="26"/>
      <c r="F7690" s="85" t="str">
        <f t="shared" si="0"/>
        <v/>
      </c>
      <c r="G7690" s="1" t="e">
        <f>IF(VALUE(F7690) = VALUE(RIGHT(Insights!$C$3, 4)), E7690, "")</f>
        <v>#VALUE!</v>
      </c>
      <c r="H7690" s="26" t="e">
        <f t="shared" si="1"/>
        <v>#VALUE!</v>
      </c>
      <c r="I7690" s="1" t="e">
        <f t="shared" si="2"/>
        <v>#VALUE!</v>
      </c>
    </row>
    <row r="7691" spans="1:9" ht="15.75" customHeight="1">
      <c r="A7691" s="26"/>
      <c r="B7691" s="2"/>
      <c r="C7691" s="26"/>
      <c r="D7691" s="26"/>
      <c r="F7691" s="85" t="str">
        <f t="shared" si="0"/>
        <v/>
      </c>
      <c r="G7691" s="1" t="e">
        <f>IF(VALUE(F7691) = VALUE(RIGHT(Insights!$C$3, 4)), E7691, "")</f>
        <v>#VALUE!</v>
      </c>
      <c r="H7691" s="26" t="e">
        <f t="shared" si="1"/>
        <v>#VALUE!</v>
      </c>
      <c r="I7691" s="1" t="e">
        <f t="shared" si="2"/>
        <v>#VALUE!</v>
      </c>
    </row>
    <row r="7692" spans="1:9" ht="15.75" customHeight="1">
      <c r="A7692" s="26"/>
      <c r="B7692" s="2"/>
      <c r="C7692" s="26"/>
      <c r="D7692" s="26"/>
      <c r="F7692" s="85" t="str">
        <f t="shared" si="0"/>
        <v/>
      </c>
      <c r="G7692" s="1" t="e">
        <f>IF(VALUE(F7692) = VALUE(RIGHT(Insights!$C$3, 4)), E7692, "")</f>
        <v>#VALUE!</v>
      </c>
      <c r="H7692" s="26" t="e">
        <f t="shared" si="1"/>
        <v>#VALUE!</v>
      </c>
      <c r="I7692" s="1" t="e">
        <f t="shared" si="2"/>
        <v>#VALUE!</v>
      </c>
    </row>
    <row r="7693" spans="1:9" ht="15.75" customHeight="1">
      <c r="A7693" s="26"/>
      <c r="B7693" s="2"/>
      <c r="C7693" s="26"/>
      <c r="D7693" s="26"/>
      <c r="F7693" s="85" t="str">
        <f t="shared" si="0"/>
        <v/>
      </c>
      <c r="G7693" s="1" t="e">
        <f>IF(VALUE(F7693) = VALUE(RIGHT(Insights!$C$3, 4)), E7693, "")</f>
        <v>#VALUE!</v>
      </c>
      <c r="H7693" s="26" t="e">
        <f t="shared" si="1"/>
        <v>#VALUE!</v>
      </c>
      <c r="I7693" s="1" t="e">
        <f t="shared" si="2"/>
        <v>#VALUE!</v>
      </c>
    </row>
    <row r="7694" spans="1:9" ht="15.75" customHeight="1">
      <c r="A7694" s="26"/>
      <c r="B7694" s="2"/>
      <c r="C7694" s="26"/>
      <c r="D7694" s="26"/>
      <c r="F7694" s="85" t="str">
        <f t="shared" si="0"/>
        <v/>
      </c>
      <c r="G7694" s="1" t="e">
        <f>IF(VALUE(F7694) = VALUE(RIGHT(Insights!$C$3, 4)), E7694, "")</f>
        <v>#VALUE!</v>
      </c>
      <c r="H7694" s="26" t="e">
        <f t="shared" si="1"/>
        <v>#VALUE!</v>
      </c>
      <c r="I7694" s="1" t="e">
        <f t="shared" si="2"/>
        <v>#VALUE!</v>
      </c>
    </row>
    <row r="7695" spans="1:9" ht="15.75" customHeight="1">
      <c r="A7695" s="26"/>
      <c r="B7695" s="2"/>
      <c r="C7695" s="26"/>
      <c r="D7695" s="26"/>
      <c r="F7695" s="85" t="str">
        <f t="shared" si="0"/>
        <v/>
      </c>
      <c r="G7695" s="1" t="e">
        <f>IF(VALUE(F7695) = VALUE(RIGHT(Insights!$C$3, 4)), E7695, "")</f>
        <v>#VALUE!</v>
      </c>
      <c r="H7695" s="26" t="e">
        <f t="shared" si="1"/>
        <v>#VALUE!</v>
      </c>
      <c r="I7695" s="1" t="e">
        <f t="shared" si="2"/>
        <v>#VALUE!</v>
      </c>
    </row>
    <row r="7696" spans="1:9" ht="15.75" customHeight="1">
      <c r="A7696" s="26"/>
      <c r="B7696" s="2"/>
      <c r="C7696" s="26"/>
      <c r="D7696" s="26"/>
      <c r="F7696" s="85" t="str">
        <f t="shared" si="0"/>
        <v/>
      </c>
      <c r="G7696" s="1" t="e">
        <f>IF(VALUE(F7696) = VALUE(RIGHT(Insights!$C$3, 4)), E7696, "")</f>
        <v>#VALUE!</v>
      </c>
      <c r="H7696" s="26" t="e">
        <f t="shared" si="1"/>
        <v>#VALUE!</v>
      </c>
      <c r="I7696" s="1" t="e">
        <f t="shared" si="2"/>
        <v>#VALUE!</v>
      </c>
    </row>
    <row r="7697" spans="1:9" ht="15.75" customHeight="1">
      <c r="A7697" s="26"/>
      <c r="B7697" s="2"/>
      <c r="C7697" s="26"/>
      <c r="D7697" s="26"/>
      <c r="F7697" s="85" t="str">
        <f t="shared" si="0"/>
        <v/>
      </c>
      <c r="G7697" s="1" t="e">
        <f>IF(VALUE(F7697) = VALUE(RIGHT(Insights!$C$3, 4)), E7697, "")</f>
        <v>#VALUE!</v>
      </c>
      <c r="H7697" s="26" t="e">
        <f t="shared" si="1"/>
        <v>#VALUE!</v>
      </c>
      <c r="I7697" s="1" t="e">
        <f t="shared" si="2"/>
        <v>#VALUE!</v>
      </c>
    </row>
    <row r="7698" spans="1:9" ht="15.75" customHeight="1">
      <c r="A7698" s="26"/>
      <c r="B7698" s="2"/>
      <c r="C7698" s="26"/>
      <c r="D7698" s="26"/>
      <c r="F7698" s="85" t="str">
        <f t="shared" si="0"/>
        <v/>
      </c>
      <c r="G7698" s="1" t="e">
        <f>IF(VALUE(F7698) = VALUE(RIGHT(Insights!$C$3, 4)), E7698, "")</f>
        <v>#VALUE!</v>
      </c>
      <c r="H7698" s="26" t="e">
        <f t="shared" si="1"/>
        <v>#VALUE!</v>
      </c>
      <c r="I7698" s="1" t="e">
        <f t="shared" si="2"/>
        <v>#VALUE!</v>
      </c>
    </row>
    <row r="7699" spans="1:9" ht="15.75" customHeight="1">
      <c r="A7699" s="26"/>
      <c r="B7699" s="2"/>
      <c r="C7699" s="26"/>
      <c r="D7699" s="26"/>
      <c r="F7699" s="85" t="str">
        <f t="shared" si="0"/>
        <v/>
      </c>
      <c r="G7699" s="1" t="e">
        <f>IF(VALUE(F7699) = VALUE(RIGHT(Insights!$C$3, 4)), E7699, "")</f>
        <v>#VALUE!</v>
      </c>
      <c r="H7699" s="26" t="e">
        <f t="shared" si="1"/>
        <v>#VALUE!</v>
      </c>
      <c r="I7699" s="1" t="e">
        <f t="shared" si="2"/>
        <v>#VALUE!</v>
      </c>
    </row>
    <row r="7700" spans="1:9" ht="15.75" customHeight="1">
      <c r="A7700" s="26"/>
      <c r="B7700" s="2"/>
      <c r="C7700" s="26"/>
      <c r="D7700" s="26"/>
      <c r="F7700" s="85" t="str">
        <f t="shared" si="0"/>
        <v/>
      </c>
      <c r="G7700" s="1" t="e">
        <f>IF(VALUE(F7700) = VALUE(RIGHT(Insights!$C$3, 4)), E7700, "")</f>
        <v>#VALUE!</v>
      </c>
      <c r="H7700" s="26" t="e">
        <f t="shared" si="1"/>
        <v>#VALUE!</v>
      </c>
      <c r="I7700" s="1" t="e">
        <f t="shared" si="2"/>
        <v>#VALUE!</v>
      </c>
    </row>
    <row r="7701" spans="1:9" ht="15.75" customHeight="1">
      <c r="A7701" s="26"/>
      <c r="B7701" s="2"/>
      <c r="C7701" s="26"/>
      <c r="D7701" s="26"/>
      <c r="F7701" s="85" t="str">
        <f t="shared" si="0"/>
        <v/>
      </c>
      <c r="G7701" s="1" t="e">
        <f>IF(VALUE(F7701) = VALUE(RIGHT(Insights!$C$3, 4)), E7701, "")</f>
        <v>#VALUE!</v>
      </c>
      <c r="H7701" s="26" t="e">
        <f t="shared" si="1"/>
        <v>#VALUE!</v>
      </c>
      <c r="I7701" s="1" t="e">
        <f t="shared" si="2"/>
        <v>#VALUE!</v>
      </c>
    </row>
    <row r="7702" spans="1:9" ht="15.75" customHeight="1">
      <c r="A7702" s="26"/>
      <c r="B7702" s="2"/>
      <c r="C7702" s="26"/>
      <c r="D7702" s="26"/>
      <c r="F7702" s="85" t="str">
        <f t="shared" si="0"/>
        <v/>
      </c>
      <c r="G7702" s="1" t="e">
        <f>IF(VALUE(F7702) = VALUE(RIGHT(Insights!$C$3, 4)), E7702, "")</f>
        <v>#VALUE!</v>
      </c>
      <c r="H7702" s="26" t="e">
        <f t="shared" si="1"/>
        <v>#VALUE!</v>
      </c>
      <c r="I7702" s="1" t="e">
        <f t="shared" si="2"/>
        <v>#VALUE!</v>
      </c>
    </row>
    <row r="7703" spans="1:9" ht="15.75" customHeight="1">
      <c r="A7703" s="26"/>
      <c r="B7703" s="2"/>
      <c r="C7703" s="26"/>
      <c r="D7703" s="26"/>
      <c r="F7703" s="85" t="str">
        <f t="shared" si="0"/>
        <v/>
      </c>
      <c r="G7703" s="1" t="e">
        <f>IF(VALUE(F7703) = VALUE(RIGHT(Insights!$C$3, 4)), E7703, "")</f>
        <v>#VALUE!</v>
      </c>
      <c r="H7703" s="26" t="e">
        <f t="shared" si="1"/>
        <v>#VALUE!</v>
      </c>
      <c r="I7703" s="1" t="e">
        <f t="shared" si="2"/>
        <v>#VALUE!</v>
      </c>
    </row>
    <row r="7704" spans="1:9" ht="15.75" customHeight="1">
      <c r="A7704" s="26"/>
      <c r="B7704" s="2"/>
      <c r="C7704" s="26"/>
      <c r="D7704" s="26"/>
      <c r="F7704" s="85" t="str">
        <f t="shared" si="0"/>
        <v/>
      </c>
      <c r="G7704" s="1" t="e">
        <f>IF(VALUE(F7704) = VALUE(RIGHT(Insights!$C$3, 4)), E7704, "")</f>
        <v>#VALUE!</v>
      </c>
      <c r="H7704" s="26" t="e">
        <f t="shared" si="1"/>
        <v>#VALUE!</v>
      </c>
      <c r="I7704" s="1" t="e">
        <f t="shared" si="2"/>
        <v>#VALUE!</v>
      </c>
    </row>
    <row r="7705" spans="1:9" ht="15.75" customHeight="1">
      <c r="A7705" s="26"/>
      <c r="B7705" s="2"/>
      <c r="C7705" s="26"/>
      <c r="D7705" s="26"/>
      <c r="F7705" s="85" t="str">
        <f t="shared" si="0"/>
        <v/>
      </c>
      <c r="G7705" s="1" t="e">
        <f>IF(VALUE(F7705) = VALUE(RIGHT(Insights!$C$3, 4)), E7705, "")</f>
        <v>#VALUE!</v>
      </c>
      <c r="H7705" s="26" t="e">
        <f t="shared" si="1"/>
        <v>#VALUE!</v>
      </c>
      <c r="I7705" s="1" t="e">
        <f t="shared" si="2"/>
        <v>#VALUE!</v>
      </c>
    </row>
    <row r="7706" spans="1:9" ht="15.75" customHeight="1">
      <c r="A7706" s="26"/>
      <c r="B7706" s="2"/>
      <c r="C7706" s="26"/>
      <c r="D7706" s="26"/>
      <c r="F7706" s="85" t="str">
        <f t="shared" si="0"/>
        <v/>
      </c>
      <c r="G7706" s="1" t="e">
        <f>IF(VALUE(F7706) = VALUE(RIGHT(Insights!$C$3, 4)), E7706, "")</f>
        <v>#VALUE!</v>
      </c>
      <c r="H7706" s="26" t="e">
        <f t="shared" si="1"/>
        <v>#VALUE!</v>
      </c>
      <c r="I7706" s="1" t="e">
        <f t="shared" si="2"/>
        <v>#VALUE!</v>
      </c>
    </row>
    <row r="7707" spans="1:9" ht="15.75" customHeight="1">
      <c r="A7707" s="26"/>
      <c r="B7707" s="2"/>
      <c r="C7707" s="26"/>
      <c r="D7707" s="26"/>
      <c r="F7707" s="85" t="str">
        <f t="shared" si="0"/>
        <v/>
      </c>
      <c r="G7707" s="1" t="e">
        <f>IF(VALUE(F7707) = VALUE(RIGHT(Insights!$C$3, 4)), E7707, "")</f>
        <v>#VALUE!</v>
      </c>
      <c r="H7707" s="26" t="e">
        <f t="shared" si="1"/>
        <v>#VALUE!</v>
      </c>
      <c r="I7707" s="1" t="e">
        <f t="shared" si="2"/>
        <v>#VALUE!</v>
      </c>
    </row>
    <row r="7708" spans="1:9" ht="15.75" customHeight="1">
      <c r="A7708" s="26"/>
      <c r="B7708" s="2"/>
      <c r="C7708" s="26"/>
      <c r="D7708" s="26"/>
      <c r="F7708" s="85" t="str">
        <f t="shared" si="0"/>
        <v/>
      </c>
      <c r="G7708" s="1" t="e">
        <f>IF(VALUE(F7708) = VALUE(RIGHT(Insights!$C$3, 4)), E7708, "")</f>
        <v>#VALUE!</v>
      </c>
      <c r="H7708" s="26" t="e">
        <f t="shared" si="1"/>
        <v>#VALUE!</v>
      </c>
      <c r="I7708" s="1" t="e">
        <f t="shared" si="2"/>
        <v>#VALUE!</v>
      </c>
    </row>
    <row r="7709" spans="1:9" ht="15.75" customHeight="1">
      <c r="A7709" s="26"/>
      <c r="B7709" s="2"/>
      <c r="C7709" s="26"/>
      <c r="D7709" s="26"/>
      <c r="F7709" s="85" t="str">
        <f t="shared" si="0"/>
        <v/>
      </c>
      <c r="G7709" s="1" t="e">
        <f>IF(VALUE(F7709) = VALUE(RIGHT(Insights!$C$3, 4)), E7709, "")</f>
        <v>#VALUE!</v>
      </c>
      <c r="H7709" s="26" t="e">
        <f t="shared" si="1"/>
        <v>#VALUE!</v>
      </c>
      <c r="I7709" s="1" t="e">
        <f t="shared" si="2"/>
        <v>#VALUE!</v>
      </c>
    </row>
    <row r="7710" spans="1:9" ht="15.75" customHeight="1">
      <c r="A7710" s="26"/>
      <c r="B7710" s="2"/>
      <c r="C7710" s="26"/>
      <c r="D7710" s="26"/>
      <c r="F7710" s="85" t="str">
        <f t="shared" si="0"/>
        <v/>
      </c>
      <c r="G7710" s="1" t="e">
        <f>IF(VALUE(F7710) = VALUE(RIGHT(Insights!$C$3, 4)), E7710, "")</f>
        <v>#VALUE!</v>
      </c>
      <c r="H7710" s="26" t="e">
        <f t="shared" si="1"/>
        <v>#VALUE!</v>
      </c>
      <c r="I7710" s="1" t="e">
        <f t="shared" si="2"/>
        <v>#VALUE!</v>
      </c>
    </row>
    <row r="7711" spans="1:9" ht="15.75" customHeight="1">
      <c r="A7711" s="26"/>
      <c r="B7711" s="2"/>
      <c r="C7711" s="26"/>
      <c r="D7711" s="26"/>
      <c r="F7711" s="85" t="str">
        <f t="shared" si="0"/>
        <v/>
      </c>
      <c r="G7711" s="1" t="e">
        <f>IF(VALUE(F7711) = VALUE(RIGHT(Insights!$C$3, 4)), E7711, "")</f>
        <v>#VALUE!</v>
      </c>
      <c r="H7711" s="26" t="e">
        <f t="shared" si="1"/>
        <v>#VALUE!</v>
      </c>
      <c r="I7711" s="1" t="e">
        <f t="shared" si="2"/>
        <v>#VALUE!</v>
      </c>
    </row>
    <row r="7712" spans="1:9" ht="15.75" customHeight="1">
      <c r="A7712" s="26"/>
      <c r="B7712" s="2"/>
      <c r="C7712" s="26"/>
      <c r="D7712" s="26"/>
      <c r="F7712" s="85" t="str">
        <f t="shared" si="0"/>
        <v/>
      </c>
      <c r="G7712" s="1" t="e">
        <f>IF(VALUE(F7712) = VALUE(RIGHT(Insights!$C$3, 4)), E7712, "")</f>
        <v>#VALUE!</v>
      </c>
      <c r="H7712" s="26" t="e">
        <f t="shared" si="1"/>
        <v>#VALUE!</v>
      </c>
      <c r="I7712" s="1" t="e">
        <f t="shared" si="2"/>
        <v>#VALUE!</v>
      </c>
    </row>
    <row r="7713" spans="1:9" ht="15.75" customHeight="1">
      <c r="A7713" s="26"/>
      <c r="B7713" s="2"/>
      <c r="C7713" s="26"/>
      <c r="D7713" s="26"/>
      <c r="F7713" s="85" t="str">
        <f t="shared" si="0"/>
        <v/>
      </c>
      <c r="G7713" s="1" t="e">
        <f>IF(VALUE(F7713) = VALUE(RIGHT(Insights!$C$3, 4)), E7713, "")</f>
        <v>#VALUE!</v>
      </c>
      <c r="H7713" s="26" t="e">
        <f t="shared" si="1"/>
        <v>#VALUE!</v>
      </c>
      <c r="I7713" s="1" t="e">
        <f t="shared" si="2"/>
        <v>#VALUE!</v>
      </c>
    </row>
    <row r="7714" spans="1:9" ht="15.75" customHeight="1">
      <c r="A7714" s="26"/>
      <c r="B7714" s="2"/>
      <c r="C7714" s="26"/>
      <c r="D7714" s="26"/>
      <c r="F7714" s="85" t="str">
        <f t="shared" si="0"/>
        <v/>
      </c>
      <c r="G7714" s="1" t="e">
        <f>IF(VALUE(F7714) = VALUE(RIGHT(Insights!$C$3, 4)), E7714, "")</f>
        <v>#VALUE!</v>
      </c>
      <c r="H7714" s="26" t="e">
        <f t="shared" si="1"/>
        <v>#VALUE!</v>
      </c>
      <c r="I7714" s="1" t="e">
        <f t="shared" si="2"/>
        <v>#VALUE!</v>
      </c>
    </row>
    <row r="7715" spans="1:9" ht="15.75" customHeight="1">
      <c r="A7715" s="26"/>
      <c r="B7715" s="2"/>
      <c r="C7715" s="26"/>
      <c r="D7715" s="26"/>
      <c r="F7715" s="85" t="str">
        <f t="shared" si="0"/>
        <v/>
      </c>
      <c r="G7715" s="1" t="e">
        <f>IF(VALUE(F7715) = VALUE(RIGHT(Insights!$C$3, 4)), E7715, "")</f>
        <v>#VALUE!</v>
      </c>
      <c r="H7715" s="26" t="e">
        <f t="shared" si="1"/>
        <v>#VALUE!</v>
      </c>
      <c r="I7715" s="1" t="e">
        <f t="shared" si="2"/>
        <v>#VALUE!</v>
      </c>
    </row>
    <row r="7716" spans="1:9" ht="15.75" customHeight="1">
      <c r="A7716" s="26"/>
      <c r="B7716" s="2"/>
      <c r="C7716" s="26"/>
      <c r="D7716" s="26"/>
      <c r="F7716" s="85" t="str">
        <f t="shared" si="0"/>
        <v/>
      </c>
      <c r="G7716" s="1" t="e">
        <f>IF(VALUE(F7716) = VALUE(RIGHT(Insights!$C$3, 4)), E7716, "")</f>
        <v>#VALUE!</v>
      </c>
      <c r="H7716" s="26" t="e">
        <f t="shared" si="1"/>
        <v>#VALUE!</v>
      </c>
      <c r="I7716" s="1" t="e">
        <f t="shared" si="2"/>
        <v>#VALUE!</v>
      </c>
    </row>
    <row r="7717" spans="1:9" ht="15.75" customHeight="1">
      <c r="A7717" s="26"/>
      <c r="B7717" s="2"/>
      <c r="C7717" s="26"/>
      <c r="D7717" s="26"/>
      <c r="F7717" s="85" t="str">
        <f t="shared" si="0"/>
        <v/>
      </c>
      <c r="G7717" s="1" t="e">
        <f>IF(VALUE(F7717) = VALUE(RIGHT(Insights!$C$3, 4)), E7717, "")</f>
        <v>#VALUE!</v>
      </c>
      <c r="H7717" s="26" t="e">
        <f t="shared" si="1"/>
        <v>#VALUE!</v>
      </c>
      <c r="I7717" s="1" t="e">
        <f t="shared" si="2"/>
        <v>#VALUE!</v>
      </c>
    </row>
    <row r="7718" spans="1:9" ht="15.75" customHeight="1">
      <c r="A7718" s="26"/>
      <c r="B7718" s="2"/>
      <c r="C7718" s="26"/>
      <c r="D7718" s="26"/>
      <c r="F7718" s="85" t="str">
        <f t="shared" si="0"/>
        <v/>
      </c>
      <c r="G7718" s="1" t="e">
        <f>IF(VALUE(F7718) = VALUE(RIGHT(Insights!$C$3, 4)), E7718, "")</f>
        <v>#VALUE!</v>
      </c>
      <c r="H7718" s="26" t="e">
        <f t="shared" si="1"/>
        <v>#VALUE!</v>
      </c>
      <c r="I7718" s="1" t="e">
        <f t="shared" si="2"/>
        <v>#VALUE!</v>
      </c>
    </row>
    <row r="7719" spans="1:9" ht="15.75" customHeight="1">
      <c r="A7719" s="26"/>
      <c r="B7719" s="2"/>
      <c r="C7719" s="26"/>
      <c r="D7719" s="26"/>
      <c r="F7719" s="85" t="str">
        <f t="shared" si="0"/>
        <v/>
      </c>
      <c r="G7719" s="1" t="e">
        <f>IF(VALUE(F7719) = VALUE(RIGHT(Insights!$C$3, 4)), E7719, "")</f>
        <v>#VALUE!</v>
      </c>
      <c r="H7719" s="26" t="e">
        <f t="shared" si="1"/>
        <v>#VALUE!</v>
      </c>
      <c r="I7719" s="1" t="e">
        <f t="shared" si="2"/>
        <v>#VALUE!</v>
      </c>
    </row>
    <row r="7720" spans="1:9" ht="15.75" customHeight="1">
      <c r="A7720" s="26"/>
      <c r="B7720" s="2"/>
      <c r="C7720" s="26"/>
      <c r="D7720" s="26"/>
      <c r="F7720" s="85" t="str">
        <f t="shared" si="0"/>
        <v/>
      </c>
      <c r="G7720" s="1" t="e">
        <f>IF(VALUE(F7720) = VALUE(RIGHT(Insights!$C$3, 4)), E7720, "")</f>
        <v>#VALUE!</v>
      </c>
      <c r="H7720" s="26" t="e">
        <f t="shared" si="1"/>
        <v>#VALUE!</v>
      </c>
      <c r="I7720" s="1" t="e">
        <f t="shared" si="2"/>
        <v>#VALUE!</v>
      </c>
    </row>
    <row r="7721" spans="1:9" ht="15.75" customHeight="1">
      <c r="A7721" s="26"/>
      <c r="B7721" s="2"/>
      <c r="C7721" s="26"/>
      <c r="D7721" s="26"/>
      <c r="F7721" s="85" t="str">
        <f t="shared" si="0"/>
        <v/>
      </c>
      <c r="G7721" s="1" t="e">
        <f>IF(VALUE(F7721) = VALUE(RIGHT(Insights!$C$3, 4)), E7721, "")</f>
        <v>#VALUE!</v>
      </c>
      <c r="H7721" s="26" t="e">
        <f t="shared" si="1"/>
        <v>#VALUE!</v>
      </c>
      <c r="I7721" s="1" t="e">
        <f t="shared" si="2"/>
        <v>#VALUE!</v>
      </c>
    </row>
    <row r="7722" spans="1:9" ht="15.75" customHeight="1">
      <c r="A7722" s="26"/>
      <c r="B7722" s="2"/>
      <c r="C7722" s="26"/>
      <c r="D7722" s="26"/>
      <c r="F7722" s="85" t="str">
        <f t="shared" si="0"/>
        <v/>
      </c>
      <c r="G7722" s="1" t="e">
        <f>IF(VALUE(F7722) = VALUE(RIGHT(Insights!$C$3, 4)), E7722, "")</f>
        <v>#VALUE!</v>
      </c>
      <c r="H7722" s="26" t="e">
        <f t="shared" si="1"/>
        <v>#VALUE!</v>
      </c>
      <c r="I7722" s="1" t="e">
        <f t="shared" si="2"/>
        <v>#VALUE!</v>
      </c>
    </row>
    <row r="7723" spans="1:9" ht="15.75" customHeight="1">
      <c r="A7723" s="26"/>
      <c r="B7723" s="2"/>
      <c r="C7723" s="26"/>
      <c r="D7723" s="26"/>
      <c r="F7723" s="85" t="str">
        <f t="shared" si="0"/>
        <v/>
      </c>
      <c r="G7723" s="1" t="e">
        <f>IF(VALUE(F7723) = VALUE(RIGHT(Insights!$C$3, 4)), E7723, "")</f>
        <v>#VALUE!</v>
      </c>
      <c r="H7723" s="26" t="e">
        <f t="shared" si="1"/>
        <v>#VALUE!</v>
      </c>
      <c r="I7723" s="1" t="e">
        <f t="shared" si="2"/>
        <v>#VALUE!</v>
      </c>
    </row>
    <row r="7724" spans="1:9" ht="15.75" customHeight="1">
      <c r="A7724" s="26"/>
      <c r="B7724" s="2"/>
      <c r="C7724" s="26"/>
      <c r="D7724" s="26"/>
      <c r="F7724" s="85" t="str">
        <f t="shared" si="0"/>
        <v/>
      </c>
      <c r="G7724" s="1" t="e">
        <f>IF(VALUE(F7724) = VALUE(RIGHT(Insights!$C$3, 4)), E7724, "")</f>
        <v>#VALUE!</v>
      </c>
      <c r="H7724" s="26" t="e">
        <f t="shared" si="1"/>
        <v>#VALUE!</v>
      </c>
      <c r="I7724" s="1" t="e">
        <f t="shared" si="2"/>
        <v>#VALUE!</v>
      </c>
    </row>
    <row r="7725" spans="1:9" ht="15.75" customHeight="1">
      <c r="A7725" s="26"/>
      <c r="B7725" s="2"/>
      <c r="C7725" s="26"/>
      <c r="D7725" s="26"/>
      <c r="F7725" s="85" t="str">
        <f t="shared" si="0"/>
        <v/>
      </c>
      <c r="G7725" s="1" t="e">
        <f>IF(VALUE(F7725) = VALUE(RIGHT(Insights!$C$3, 4)), E7725, "")</f>
        <v>#VALUE!</v>
      </c>
      <c r="H7725" s="26" t="e">
        <f t="shared" si="1"/>
        <v>#VALUE!</v>
      </c>
      <c r="I7725" s="1" t="e">
        <f t="shared" si="2"/>
        <v>#VALUE!</v>
      </c>
    </row>
    <row r="7726" spans="1:9" ht="15.75" customHeight="1">
      <c r="A7726" s="26"/>
      <c r="B7726" s="2"/>
      <c r="C7726" s="26"/>
      <c r="D7726" s="26"/>
      <c r="F7726" s="85" t="str">
        <f t="shared" si="0"/>
        <v/>
      </c>
      <c r="G7726" s="1" t="e">
        <f>IF(VALUE(F7726) = VALUE(RIGHT(Insights!$C$3, 4)), E7726, "")</f>
        <v>#VALUE!</v>
      </c>
      <c r="H7726" s="26" t="e">
        <f t="shared" si="1"/>
        <v>#VALUE!</v>
      </c>
      <c r="I7726" s="1" t="e">
        <f t="shared" si="2"/>
        <v>#VALUE!</v>
      </c>
    </row>
    <row r="7727" spans="1:9" ht="15.75" customHeight="1">
      <c r="A7727" s="26"/>
      <c r="B7727" s="2"/>
      <c r="C7727" s="26"/>
      <c r="D7727" s="26"/>
      <c r="F7727" s="85" t="str">
        <f t="shared" si="0"/>
        <v/>
      </c>
      <c r="G7727" s="1" t="e">
        <f>IF(VALUE(F7727) = VALUE(RIGHT(Insights!$C$3, 4)), E7727, "")</f>
        <v>#VALUE!</v>
      </c>
      <c r="H7727" s="26" t="e">
        <f t="shared" si="1"/>
        <v>#VALUE!</v>
      </c>
      <c r="I7727" s="1" t="e">
        <f t="shared" si="2"/>
        <v>#VALUE!</v>
      </c>
    </row>
    <row r="7728" spans="1:9" ht="15.75" customHeight="1">
      <c r="A7728" s="26"/>
      <c r="B7728" s="2"/>
      <c r="C7728" s="26"/>
      <c r="D7728" s="26"/>
      <c r="F7728" s="85" t="str">
        <f t="shared" si="0"/>
        <v/>
      </c>
      <c r="G7728" s="1" t="e">
        <f>IF(VALUE(F7728) = VALUE(RIGHT(Insights!$C$3, 4)), E7728, "")</f>
        <v>#VALUE!</v>
      </c>
      <c r="H7728" s="26" t="e">
        <f t="shared" si="1"/>
        <v>#VALUE!</v>
      </c>
      <c r="I7728" s="1" t="e">
        <f t="shared" si="2"/>
        <v>#VALUE!</v>
      </c>
    </row>
    <row r="7729" spans="1:9" ht="15.75" customHeight="1">
      <c r="A7729" s="26"/>
      <c r="B7729" s="2"/>
      <c r="C7729" s="26"/>
      <c r="D7729" s="26"/>
      <c r="F7729" s="85" t="str">
        <f t="shared" si="0"/>
        <v/>
      </c>
      <c r="G7729" s="1" t="e">
        <f>IF(VALUE(F7729) = VALUE(RIGHT(Insights!$C$3, 4)), E7729, "")</f>
        <v>#VALUE!</v>
      </c>
      <c r="H7729" s="26" t="e">
        <f t="shared" si="1"/>
        <v>#VALUE!</v>
      </c>
      <c r="I7729" s="1" t="e">
        <f t="shared" si="2"/>
        <v>#VALUE!</v>
      </c>
    </row>
    <row r="7730" spans="1:9" ht="15.75" customHeight="1">
      <c r="A7730" s="26"/>
      <c r="B7730" s="2"/>
      <c r="C7730" s="26"/>
      <c r="D7730" s="26"/>
      <c r="F7730" s="85" t="str">
        <f t="shared" si="0"/>
        <v/>
      </c>
      <c r="G7730" s="1" t="e">
        <f>IF(VALUE(F7730) = VALUE(RIGHT(Insights!$C$3, 4)), E7730, "")</f>
        <v>#VALUE!</v>
      </c>
      <c r="H7730" s="26" t="e">
        <f t="shared" si="1"/>
        <v>#VALUE!</v>
      </c>
      <c r="I7730" s="1" t="e">
        <f t="shared" si="2"/>
        <v>#VALUE!</v>
      </c>
    </row>
    <row r="7731" spans="1:9" ht="15.75" customHeight="1">
      <c r="A7731" s="26"/>
      <c r="B7731" s="2"/>
      <c r="C7731" s="26"/>
      <c r="D7731" s="26"/>
      <c r="F7731" s="85" t="str">
        <f t="shared" si="0"/>
        <v/>
      </c>
      <c r="G7731" s="1" t="e">
        <f>IF(VALUE(F7731) = VALUE(RIGHT(Insights!$C$3, 4)), E7731, "")</f>
        <v>#VALUE!</v>
      </c>
      <c r="H7731" s="26" t="e">
        <f t="shared" si="1"/>
        <v>#VALUE!</v>
      </c>
      <c r="I7731" s="1" t="e">
        <f t="shared" si="2"/>
        <v>#VALUE!</v>
      </c>
    </row>
    <row r="7732" spans="1:9" ht="15.75" customHeight="1">
      <c r="A7732" s="26"/>
      <c r="B7732" s="2"/>
      <c r="C7732" s="26"/>
      <c r="D7732" s="26"/>
      <c r="F7732" s="85" t="str">
        <f t="shared" si="0"/>
        <v/>
      </c>
      <c r="G7732" s="1" t="e">
        <f>IF(VALUE(F7732) = VALUE(RIGHT(Insights!$C$3, 4)), E7732, "")</f>
        <v>#VALUE!</v>
      </c>
      <c r="H7732" s="26" t="e">
        <f t="shared" si="1"/>
        <v>#VALUE!</v>
      </c>
      <c r="I7732" s="1" t="e">
        <f t="shared" si="2"/>
        <v>#VALUE!</v>
      </c>
    </row>
    <row r="7733" spans="1:9" ht="15.75" customHeight="1">
      <c r="A7733" s="26"/>
      <c r="B7733" s="2"/>
      <c r="C7733" s="26"/>
      <c r="D7733" s="26"/>
      <c r="F7733" s="85" t="str">
        <f t="shared" si="0"/>
        <v/>
      </c>
      <c r="G7733" s="1" t="e">
        <f>IF(VALUE(F7733) = VALUE(RIGHT(Insights!$C$3, 4)), E7733, "")</f>
        <v>#VALUE!</v>
      </c>
      <c r="H7733" s="26" t="e">
        <f t="shared" si="1"/>
        <v>#VALUE!</v>
      </c>
      <c r="I7733" s="1" t="e">
        <f t="shared" si="2"/>
        <v>#VALUE!</v>
      </c>
    </row>
    <row r="7734" spans="1:9" ht="15.75" customHeight="1">
      <c r="A7734" s="26"/>
      <c r="B7734" s="2"/>
      <c r="C7734" s="26"/>
      <c r="D7734" s="26"/>
      <c r="F7734" s="85" t="str">
        <f t="shared" si="0"/>
        <v/>
      </c>
      <c r="G7734" s="1" t="e">
        <f>IF(VALUE(F7734) = VALUE(RIGHT(Insights!$C$3, 4)), E7734, "")</f>
        <v>#VALUE!</v>
      </c>
      <c r="H7734" s="26" t="e">
        <f t="shared" si="1"/>
        <v>#VALUE!</v>
      </c>
      <c r="I7734" s="1" t="e">
        <f t="shared" si="2"/>
        <v>#VALUE!</v>
      </c>
    </row>
    <row r="7735" spans="1:9" ht="15.75" customHeight="1">
      <c r="A7735" s="26"/>
      <c r="B7735" s="2"/>
      <c r="C7735" s="26"/>
      <c r="D7735" s="26"/>
      <c r="F7735" s="85" t="str">
        <f t="shared" si="0"/>
        <v/>
      </c>
      <c r="G7735" s="1" t="e">
        <f>IF(VALUE(F7735) = VALUE(RIGHT(Insights!$C$3, 4)), E7735, "")</f>
        <v>#VALUE!</v>
      </c>
      <c r="H7735" s="26" t="e">
        <f t="shared" si="1"/>
        <v>#VALUE!</v>
      </c>
      <c r="I7735" s="1" t="e">
        <f t="shared" si="2"/>
        <v>#VALUE!</v>
      </c>
    </row>
    <row r="7736" spans="1:9" ht="15.75" customHeight="1">
      <c r="A7736" s="26"/>
      <c r="B7736" s="2"/>
      <c r="C7736" s="26"/>
      <c r="D7736" s="26"/>
      <c r="F7736" s="85" t="str">
        <f t="shared" si="0"/>
        <v/>
      </c>
      <c r="G7736" s="1" t="e">
        <f>IF(VALUE(F7736) = VALUE(RIGHT(Insights!$C$3, 4)), E7736, "")</f>
        <v>#VALUE!</v>
      </c>
      <c r="H7736" s="26" t="e">
        <f t="shared" si="1"/>
        <v>#VALUE!</v>
      </c>
      <c r="I7736" s="1" t="e">
        <f t="shared" si="2"/>
        <v>#VALUE!</v>
      </c>
    </row>
    <row r="7737" spans="1:9" ht="15.75" customHeight="1">
      <c r="A7737" s="26"/>
      <c r="B7737" s="2"/>
      <c r="C7737" s="26"/>
      <c r="D7737" s="26"/>
      <c r="F7737" s="85" t="str">
        <f t="shared" si="0"/>
        <v/>
      </c>
      <c r="G7737" s="1" t="e">
        <f>IF(VALUE(F7737) = VALUE(RIGHT(Insights!$C$3, 4)), E7737, "")</f>
        <v>#VALUE!</v>
      </c>
      <c r="H7737" s="26" t="e">
        <f t="shared" si="1"/>
        <v>#VALUE!</v>
      </c>
      <c r="I7737" s="1" t="e">
        <f t="shared" si="2"/>
        <v>#VALUE!</v>
      </c>
    </row>
    <row r="7738" spans="1:9" ht="15.75" customHeight="1">
      <c r="A7738" s="26"/>
      <c r="B7738" s="2"/>
      <c r="C7738" s="26"/>
      <c r="D7738" s="26"/>
      <c r="F7738" s="85" t="str">
        <f t="shared" si="0"/>
        <v/>
      </c>
      <c r="G7738" s="1" t="e">
        <f>IF(VALUE(F7738) = VALUE(RIGHT(Insights!$C$3, 4)), E7738, "")</f>
        <v>#VALUE!</v>
      </c>
      <c r="H7738" s="26" t="e">
        <f t="shared" si="1"/>
        <v>#VALUE!</v>
      </c>
      <c r="I7738" s="1" t="e">
        <f t="shared" si="2"/>
        <v>#VALUE!</v>
      </c>
    </row>
    <row r="7739" spans="1:9" ht="15.75" customHeight="1">
      <c r="A7739" s="26"/>
      <c r="B7739" s="2"/>
      <c r="C7739" s="26"/>
      <c r="D7739" s="26"/>
      <c r="F7739" s="85" t="str">
        <f t="shared" si="0"/>
        <v/>
      </c>
      <c r="G7739" s="1" t="e">
        <f>IF(VALUE(F7739) = VALUE(RIGHT(Insights!$C$3, 4)), E7739, "")</f>
        <v>#VALUE!</v>
      </c>
      <c r="H7739" s="26" t="e">
        <f t="shared" si="1"/>
        <v>#VALUE!</v>
      </c>
      <c r="I7739" s="1" t="e">
        <f t="shared" si="2"/>
        <v>#VALUE!</v>
      </c>
    </row>
    <row r="7740" spans="1:9" ht="15.75" customHeight="1">
      <c r="A7740" s="26"/>
      <c r="B7740" s="2"/>
      <c r="C7740" s="26"/>
      <c r="D7740" s="26"/>
      <c r="F7740" s="85" t="str">
        <f t="shared" si="0"/>
        <v/>
      </c>
      <c r="G7740" s="1" t="e">
        <f>IF(VALUE(F7740) = VALUE(RIGHT(Insights!$C$3, 4)), E7740, "")</f>
        <v>#VALUE!</v>
      </c>
      <c r="H7740" s="26" t="e">
        <f t="shared" si="1"/>
        <v>#VALUE!</v>
      </c>
      <c r="I7740" s="1" t="e">
        <f t="shared" si="2"/>
        <v>#VALUE!</v>
      </c>
    </row>
    <row r="7741" spans="1:9" ht="15.75" customHeight="1">
      <c r="A7741" s="26"/>
      <c r="B7741" s="2"/>
      <c r="C7741" s="26"/>
      <c r="D7741" s="26"/>
      <c r="F7741" s="85" t="str">
        <f t="shared" si="0"/>
        <v/>
      </c>
      <c r="G7741" s="1" t="e">
        <f>IF(VALUE(F7741) = VALUE(RIGHT(Insights!$C$3, 4)), E7741, "")</f>
        <v>#VALUE!</v>
      </c>
      <c r="H7741" s="26" t="e">
        <f t="shared" si="1"/>
        <v>#VALUE!</v>
      </c>
      <c r="I7741" s="1" t="e">
        <f t="shared" si="2"/>
        <v>#VALUE!</v>
      </c>
    </row>
    <row r="7742" spans="1:9" ht="15.75" customHeight="1">
      <c r="A7742" s="26"/>
      <c r="B7742" s="2"/>
      <c r="C7742" s="26"/>
      <c r="D7742" s="26"/>
      <c r="F7742" s="85" t="str">
        <f t="shared" si="0"/>
        <v/>
      </c>
      <c r="G7742" s="1" t="e">
        <f>IF(VALUE(F7742) = VALUE(RIGHT(Insights!$C$3, 4)), E7742, "")</f>
        <v>#VALUE!</v>
      </c>
      <c r="H7742" s="26" t="e">
        <f t="shared" si="1"/>
        <v>#VALUE!</v>
      </c>
      <c r="I7742" s="1" t="e">
        <f t="shared" si="2"/>
        <v>#VALUE!</v>
      </c>
    </row>
    <row r="7743" spans="1:9" ht="15.75" customHeight="1">
      <c r="A7743" s="26"/>
      <c r="B7743" s="2"/>
      <c r="C7743" s="26"/>
      <c r="D7743" s="26"/>
      <c r="F7743" s="85" t="str">
        <f t="shared" si="0"/>
        <v/>
      </c>
      <c r="G7743" s="1" t="e">
        <f>IF(VALUE(F7743) = VALUE(RIGHT(Insights!$C$3, 4)), E7743, "")</f>
        <v>#VALUE!</v>
      </c>
      <c r="H7743" s="26" t="e">
        <f t="shared" si="1"/>
        <v>#VALUE!</v>
      </c>
      <c r="I7743" s="1" t="e">
        <f t="shared" si="2"/>
        <v>#VALUE!</v>
      </c>
    </row>
    <row r="7744" spans="1:9" ht="15.75" customHeight="1">
      <c r="A7744" s="26"/>
      <c r="B7744" s="2"/>
      <c r="C7744" s="26"/>
      <c r="D7744" s="26"/>
      <c r="F7744" s="85" t="str">
        <f t="shared" si="0"/>
        <v/>
      </c>
      <c r="G7744" s="1" t="e">
        <f>IF(VALUE(F7744) = VALUE(RIGHT(Insights!$C$3, 4)), E7744, "")</f>
        <v>#VALUE!</v>
      </c>
      <c r="H7744" s="26" t="e">
        <f t="shared" si="1"/>
        <v>#VALUE!</v>
      </c>
      <c r="I7744" s="1" t="e">
        <f t="shared" si="2"/>
        <v>#VALUE!</v>
      </c>
    </row>
    <row r="7745" spans="1:9" ht="15.75" customHeight="1">
      <c r="A7745" s="26"/>
      <c r="B7745" s="2"/>
      <c r="C7745" s="26"/>
      <c r="D7745" s="26"/>
      <c r="F7745" s="85" t="str">
        <f t="shared" si="0"/>
        <v/>
      </c>
      <c r="G7745" s="1" t="e">
        <f>IF(VALUE(F7745) = VALUE(RIGHT(Insights!$C$3, 4)), E7745, "")</f>
        <v>#VALUE!</v>
      </c>
      <c r="H7745" s="26" t="e">
        <f t="shared" si="1"/>
        <v>#VALUE!</v>
      </c>
      <c r="I7745" s="1" t="e">
        <f t="shared" si="2"/>
        <v>#VALUE!</v>
      </c>
    </row>
    <row r="7746" spans="1:9" ht="15.75" customHeight="1">
      <c r="A7746" s="26"/>
      <c r="B7746" s="2"/>
      <c r="C7746" s="26"/>
      <c r="D7746" s="26"/>
      <c r="F7746" s="85" t="str">
        <f t="shared" si="0"/>
        <v/>
      </c>
      <c r="G7746" s="1" t="e">
        <f>IF(VALUE(F7746) = VALUE(RIGHT(Insights!$C$3, 4)), E7746, "")</f>
        <v>#VALUE!</v>
      </c>
      <c r="H7746" s="26" t="e">
        <f t="shared" si="1"/>
        <v>#VALUE!</v>
      </c>
      <c r="I7746" s="1" t="e">
        <f t="shared" si="2"/>
        <v>#VALUE!</v>
      </c>
    </row>
    <row r="7747" spans="1:9" ht="15.75" customHeight="1">
      <c r="A7747" s="26"/>
      <c r="B7747" s="2"/>
      <c r="C7747" s="26"/>
      <c r="D7747" s="26"/>
      <c r="F7747" s="85" t="str">
        <f t="shared" si="0"/>
        <v/>
      </c>
      <c r="G7747" s="1" t="e">
        <f>IF(VALUE(F7747) = VALUE(RIGHT(Insights!$C$3, 4)), E7747, "")</f>
        <v>#VALUE!</v>
      </c>
      <c r="H7747" s="26" t="e">
        <f t="shared" si="1"/>
        <v>#VALUE!</v>
      </c>
      <c r="I7747" s="1" t="e">
        <f t="shared" si="2"/>
        <v>#VALUE!</v>
      </c>
    </row>
    <row r="7748" spans="1:9" ht="15.75" customHeight="1">
      <c r="A7748" s="26"/>
      <c r="B7748" s="2"/>
      <c r="C7748" s="26"/>
      <c r="D7748" s="26"/>
      <c r="F7748" s="85" t="str">
        <f t="shared" si="0"/>
        <v/>
      </c>
      <c r="G7748" s="1" t="e">
        <f>IF(VALUE(F7748) = VALUE(RIGHT(Insights!$C$3, 4)), E7748, "")</f>
        <v>#VALUE!</v>
      </c>
      <c r="H7748" s="26" t="e">
        <f t="shared" si="1"/>
        <v>#VALUE!</v>
      </c>
      <c r="I7748" s="1" t="e">
        <f t="shared" si="2"/>
        <v>#VALUE!</v>
      </c>
    </row>
    <row r="7749" spans="1:9" ht="15.75" customHeight="1">
      <c r="A7749" s="26"/>
      <c r="B7749" s="2"/>
      <c r="C7749" s="26"/>
      <c r="D7749" s="26"/>
      <c r="F7749" s="85" t="str">
        <f t="shared" si="0"/>
        <v/>
      </c>
      <c r="G7749" s="1" t="e">
        <f>IF(VALUE(F7749) = VALUE(RIGHT(Insights!$C$3, 4)), E7749, "")</f>
        <v>#VALUE!</v>
      </c>
      <c r="H7749" s="26" t="e">
        <f t="shared" si="1"/>
        <v>#VALUE!</v>
      </c>
      <c r="I7749" s="1" t="e">
        <f t="shared" si="2"/>
        <v>#VALUE!</v>
      </c>
    </row>
    <row r="7750" spans="1:9" ht="15.75" customHeight="1">
      <c r="A7750" s="26"/>
      <c r="B7750" s="2"/>
      <c r="C7750" s="26"/>
      <c r="D7750" s="26"/>
      <c r="F7750" s="85" t="str">
        <f t="shared" si="0"/>
        <v/>
      </c>
      <c r="G7750" s="1" t="e">
        <f>IF(VALUE(F7750) = VALUE(RIGHT(Insights!$C$3, 4)), E7750, "")</f>
        <v>#VALUE!</v>
      </c>
      <c r="H7750" s="26" t="e">
        <f t="shared" si="1"/>
        <v>#VALUE!</v>
      </c>
      <c r="I7750" s="1" t="e">
        <f t="shared" si="2"/>
        <v>#VALUE!</v>
      </c>
    </row>
    <row r="7751" spans="1:9" ht="15.75" customHeight="1">
      <c r="A7751" s="26"/>
      <c r="B7751" s="2"/>
      <c r="C7751" s="26"/>
      <c r="D7751" s="26"/>
      <c r="F7751" s="85" t="str">
        <f t="shared" si="0"/>
        <v/>
      </c>
      <c r="G7751" s="1" t="e">
        <f>IF(VALUE(F7751) = VALUE(RIGHT(Insights!$C$3, 4)), E7751, "")</f>
        <v>#VALUE!</v>
      </c>
      <c r="H7751" s="26" t="e">
        <f t="shared" si="1"/>
        <v>#VALUE!</v>
      </c>
      <c r="I7751" s="1" t="e">
        <f t="shared" si="2"/>
        <v>#VALUE!</v>
      </c>
    </row>
    <row r="7752" spans="1:9" ht="15.75" customHeight="1">
      <c r="A7752" s="26"/>
      <c r="B7752" s="2"/>
      <c r="C7752" s="26"/>
      <c r="D7752" s="26"/>
      <c r="F7752" s="85" t="str">
        <f t="shared" si="0"/>
        <v/>
      </c>
      <c r="G7752" s="1" t="e">
        <f>IF(VALUE(F7752) = VALUE(RIGHT(Insights!$C$3, 4)), E7752, "")</f>
        <v>#VALUE!</v>
      </c>
      <c r="H7752" s="26" t="e">
        <f t="shared" si="1"/>
        <v>#VALUE!</v>
      </c>
      <c r="I7752" s="1" t="e">
        <f t="shared" si="2"/>
        <v>#VALUE!</v>
      </c>
    </row>
    <row r="7753" spans="1:9" ht="15.75" customHeight="1">
      <c r="A7753" s="26"/>
      <c r="B7753" s="2"/>
      <c r="C7753" s="26"/>
      <c r="D7753" s="26"/>
      <c r="F7753" s="85" t="str">
        <f t="shared" si="0"/>
        <v/>
      </c>
      <c r="G7753" s="1" t="e">
        <f>IF(VALUE(F7753) = VALUE(RIGHT(Insights!$C$3, 4)), E7753, "")</f>
        <v>#VALUE!</v>
      </c>
      <c r="H7753" s="26" t="e">
        <f t="shared" si="1"/>
        <v>#VALUE!</v>
      </c>
      <c r="I7753" s="1" t="e">
        <f t="shared" si="2"/>
        <v>#VALUE!</v>
      </c>
    </row>
    <row r="7754" spans="1:9" ht="15.75" customHeight="1">
      <c r="A7754" s="26"/>
      <c r="B7754" s="2"/>
      <c r="C7754" s="26"/>
      <c r="D7754" s="26"/>
      <c r="F7754" s="85" t="str">
        <f t="shared" si="0"/>
        <v/>
      </c>
      <c r="G7754" s="1" t="e">
        <f>IF(VALUE(F7754) = VALUE(RIGHT(Insights!$C$3, 4)), E7754, "")</f>
        <v>#VALUE!</v>
      </c>
      <c r="H7754" s="26" t="e">
        <f t="shared" si="1"/>
        <v>#VALUE!</v>
      </c>
      <c r="I7754" s="1" t="e">
        <f t="shared" si="2"/>
        <v>#VALUE!</v>
      </c>
    </row>
    <row r="7755" spans="1:9" ht="15.75" customHeight="1">
      <c r="A7755" s="26"/>
      <c r="B7755" s="2"/>
      <c r="C7755" s="26"/>
      <c r="D7755" s="26"/>
      <c r="F7755" s="85" t="str">
        <f t="shared" si="0"/>
        <v/>
      </c>
      <c r="G7755" s="1" t="e">
        <f>IF(VALUE(F7755) = VALUE(RIGHT(Insights!$C$3, 4)), E7755, "")</f>
        <v>#VALUE!</v>
      </c>
      <c r="H7755" s="26" t="e">
        <f t="shared" si="1"/>
        <v>#VALUE!</v>
      </c>
      <c r="I7755" s="1" t="e">
        <f t="shared" si="2"/>
        <v>#VALUE!</v>
      </c>
    </row>
    <row r="7756" spans="1:9" ht="15.75" customHeight="1">
      <c r="A7756" s="26"/>
      <c r="B7756" s="2"/>
      <c r="C7756" s="26"/>
      <c r="D7756" s="26"/>
      <c r="F7756" s="85" t="str">
        <f t="shared" si="0"/>
        <v/>
      </c>
      <c r="G7756" s="1" t="e">
        <f>IF(VALUE(F7756) = VALUE(RIGHT(Insights!$C$3, 4)), E7756, "")</f>
        <v>#VALUE!</v>
      </c>
      <c r="H7756" s="26" t="e">
        <f t="shared" si="1"/>
        <v>#VALUE!</v>
      </c>
      <c r="I7756" s="1" t="e">
        <f t="shared" si="2"/>
        <v>#VALUE!</v>
      </c>
    </row>
    <row r="7757" spans="1:9" ht="15.75" customHeight="1">
      <c r="A7757" s="26"/>
      <c r="B7757" s="2"/>
      <c r="C7757" s="26"/>
      <c r="D7757" s="26"/>
      <c r="F7757" s="85" t="str">
        <f t="shared" si="0"/>
        <v/>
      </c>
      <c r="G7757" s="1" t="e">
        <f>IF(VALUE(F7757) = VALUE(RIGHT(Insights!$C$3, 4)), E7757, "")</f>
        <v>#VALUE!</v>
      </c>
      <c r="H7757" s="26" t="e">
        <f t="shared" si="1"/>
        <v>#VALUE!</v>
      </c>
      <c r="I7757" s="1" t="e">
        <f t="shared" si="2"/>
        <v>#VALUE!</v>
      </c>
    </row>
    <row r="7758" spans="1:9" ht="15.75" customHeight="1">
      <c r="A7758" s="26"/>
      <c r="B7758" s="2"/>
      <c r="C7758" s="26"/>
      <c r="D7758" s="26"/>
      <c r="F7758" s="85" t="str">
        <f t="shared" si="0"/>
        <v/>
      </c>
      <c r="G7758" s="1" t="e">
        <f>IF(VALUE(F7758) = VALUE(RIGHT(Insights!$C$3, 4)), E7758, "")</f>
        <v>#VALUE!</v>
      </c>
      <c r="H7758" s="26" t="e">
        <f t="shared" si="1"/>
        <v>#VALUE!</v>
      </c>
      <c r="I7758" s="1" t="e">
        <f t="shared" si="2"/>
        <v>#VALUE!</v>
      </c>
    </row>
    <row r="7759" spans="1:9" ht="15.75" customHeight="1">
      <c r="A7759" s="26"/>
      <c r="B7759" s="2"/>
      <c r="C7759" s="26"/>
      <c r="D7759" s="26"/>
      <c r="F7759" s="85" t="str">
        <f t="shared" si="0"/>
        <v/>
      </c>
      <c r="G7759" s="1" t="e">
        <f>IF(VALUE(F7759) = VALUE(RIGHT(Insights!$C$3, 4)), E7759, "")</f>
        <v>#VALUE!</v>
      </c>
      <c r="H7759" s="26" t="e">
        <f t="shared" si="1"/>
        <v>#VALUE!</v>
      </c>
      <c r="I7759" s="1" t="e">
        <f t="shared" si="2"/>
        <v>#VALUE!</v>
      </c>
    </row>
    <row r="7760" spans="1:9" ht="15.75" customHeight="1">
      <c r="A7760" s="26"/>
      <c r="B7760" s="2"/>
      <c r="C7760" s="26"/>
      <c r="D7760" s="26"/>
      <c r="F7760" s="85" t="str">
        <f t="shared" si="0"/>
        <v/>
      </c>
      <c r="G7760" s="1" t="e">
        <f>IF(VALUE(F7760) = VALUE(RIGHT(Insights!$C$3, 4)), E7760, "")</f>
        <v>#VALUE!</v>
      </c>
      <c r="H7760" s="26" t="e">
        <f t="shared" si="1"/>
        <v>#VALUE!</v>
      </c>
      <c r="I7760" s="1" t="e">
        <f t="shared" si="2"/>
        <v>#VALUE!</v>
      </c>
    </row>
    <row r="7761" spans="1:9" ht="15.75" customHeight="1">
      <c r="A7761" s="26"/>
      <c r="B7761" s="2"/>
      <c r="C7761" s="26"/>
      <c r="D7761" s="26"/>
      <c r="F7761" s="85" t="str">
        <f t="shared" si="0"/>
        <v/>
      </c>
      <c r="G7761" s="1" t="e">
        <f>IF(VALUE(F7761) = VALUE(RIGHT(Insights!$C$3, 4)), E7761, "")</f>
        <v>#VALUE!</v>
      </c>
      <c r="H7761" s="26" t="e">
        <f t="shared" si="1"/>
        <v>#VALUE!</v>
      </c>
      <c r="I7761" s="1" t="e">
        <f t="shared" si="2"/>
        <v>#VALUE!</v>
      </c>
    </row>
    <row r="7762" spans="1:9" ht="15.75" customHeight="1">
      <c r="A7762" s="26"/>
      <c r="B7762" s="2"/>
      <c r="C7762" s="26"/>
      <c r="D7762" s="26"/>
      <c r="F7762" s="85" t="str">
        <f t="shared" si="0"/>
        <v/>
      </c>
      <c r="G7762" s="1" t="e">
        <f>IF(VALUE(F7762) = VALUE(RIGHT(Insights!$C$3, 4)), E7762, "")</f>
        <v>#VALUE!</v>
      </c>
      <c r="H7762" s="26" t="e">
        <f t="shared" si="1"/>
        <v>#VALUE!</v>
      </c>
      <c r="I7762" s="1" t="e">
        <f t="shared" si="2"/>
        <v>#VALUE!</v>
      </c>
    </row>
    <row r="7763" spans="1:9" ht="15.75" customHeight="1">
      <c r="A7763" s="26"/>
      <c r="B7763" s="2"/>
      <c r="C7763" s="26"/>
      <c r="D7763" s="26"/>
      <c r="F7763" s="85" t="str">
        <f t="shared" si="0"/>
        <v/>
      </c>
      <c r="G7763" s="1" t="e">
        <f>IF(VALUE(F7763) = VALUE(RIGHT(Insights!$C$3, 4)), E7763, "")</f>
        <v>#VALUE!</v>
      </c>
      <c r="H7763" s="26" t="e">
        <f t="shared" si="1"/>
        <v>#VALUE!</v>
      </c>
      <c r="I7763" s="1" t="e">
        <f t="shared" si="2"/>
        <v>#VALUE!</v>
      </c>
    </row>
    <row r="7764" spans="1:9" ht="15.75" customHeight="1">
      <c r="A7764" s="26"/>
      <c r="B7764" s="2"/>
      <c r="C7764" s="26"/>
      <c r="D7764" s="26"/>
      <c r="F7764" s="85" t="str">
        <f t="shared" si="0"/>
        <v/>
      </c>
      <c r="G7764" s="1" t="e">
        <f>IF(VALUE(F7764) = VALUE(RIGHT(Insights!$C$3, 4)), E7764, "")</f>
        <v>#VALUE!</v>
      </c>
      <c r="H7764" s="26" t="e">
        <f t="shared" si="1"/>
        <v>#VALUE!</v>
      </c>
      <c r="I7764" s="1" t="e">
        <f t="shared" si="2"/>
        <v>#VALUE!</v>
      </c>
    </row>
    <row r="7765" spans="1:9" ht="15.75" customHeight="1">
      <c r="A7765" s="26"/>
      <c r="B7765" s="2"/>
      <c r="C7765" s="26"/>
      <c r="D7765" s="26"/>
      <c r="F7765" s="85" t="str">
        <f t="shared" si="0"/>
        <v/>
      </c>
      <c r="G7765" s="1" t="e">
        <f>IF(VALUE(F7765) = VALUE(RIGHT(Insights!$C$3, 4)), E7765, "")</f>
        <v>#VALUE!</v>
      </c>
      <c r="H7765" s="26" t="e">
        <f t="shared" si="1"/>
        <v>#VALUE!</v>
      </c>
      <c r="I7765" s="1" t="e">
        <f t="shared" si="2"/>
        <v>#VALUE!</v>
      </c>
    </row>
    <row r="7766" spans="1:9" ht="15.75" customHeight="1">
      <c r="A7766" s="26"/>
      <c r="B7766" s="2"/>
      <c r="C7766" s="26"/>
      <c r="D7766" s="26"/>
      <c r="F7766" s="85" t="str">
        <f t="shared" si="0"/>
        <v/>
      </c>
      <c r="G7766" s="1" t="e">
        <f>IF(VALUE(F7766) = VALUE(RIGHT(Insights!$C$3, 4)), E7766, "")</f>
        <v>#VALUE!</v>
      </c>
      <c r="H7766" s="26" t="e">
        <f t="shared" si="1"/>
        <v>#VALUE!</v>
      </c>
      <c r="I7766" s="1" t="e">
        <f t="shared" si="2"/>
        <v>#VALUE!</v>
      </c>
    </row>
    <row r="7767" spans="1:9" ht="15.75" customHeight="1">
      <c r="A7767" s="26"/>
      <c r="B7767" s="2"/>
      <c r="C7767" s="26"/>
      <c r="D7767" s="26"/>
      <c r="F7767" s="85" t="str">
        <f t="shared" si="0"/>
        <v/>
      </c>
      <c r="G7767" s="1" t="e">
        <f>IF(VALUE(F7767) = VALUE(RIGHT(Insights!$C$3, 4)), E7767, "")</f>
        <v>#VALUE!</v>
      </c>
      <c r="H7767" s="26" t="e">
        <f t="shared" si="1"/>
        <v>#VALUE!</v>
      </c>
      <c r="I7767" s="1" t="e">
        <f t="shared" si="2"/>
        <v>#VALUE!</v>
      </c>
    </row>
    <row r="7768" spans="1:9" ht="15.75" customHeight="1">
      <c r="A7768" s="26"/>
      <c r="B7768" s="2"/>
      <c r="C7768" s="26"/>
      <c r="D7768" s="26"/>
      <c r="F7768" s="85" t="str">
        <f t="shared" si="0"/>
        <v/>
      </c>
      <c r="G7768" s="1" t="e">
        <f>IF(VALUE(F7768) = VALUE(RIGHT(Insights!$C$3, 4)), E7768, "")</f>
        <v>#VALUE!</v>
      </c>
      <c r="H7768" s="26" t="e">
        <f t="shared" si="1"/>
        <v>#VALUE!</v>
      </c>
      <c r="I7768" s="1" t="e">
        <f t="shared" si="2"/>
        <v>#VALUE!</v>
      </c>
    </row>
    <row r="7769" spans="1:9" ht="15.75" customHeight="1">
      <c r="A7769" s="26"/>
      <c r="B7769" s="2"/>
      <c r="C7769" s="26"/>
      <c r="D7769" s="26"/>
      <c r="F7769" s="85" t="str">
        <f t="shared" si="0"/>
        <v/>
      </c>
      <c r="G7769" s="1" t="e">
        <f>IF(VALUE(F7769) = VALUE(RIGHT(Insights!$C$3, 4)), E7769, "")</f>
        <v>#VALUE!</v>
      </c>
      <c r="H7769" s="26" t="e">
        <f t="shared" si="1"/>
        <v>#VALUE!</v>
      </c>
      <c r="I7769" s="1" t="e">
        <f t="shared" si="2"/>
        <v>#VALUE!</v>
      </c>
    </row>
    <row r="7770" spans="1:9" ht="15.75" customHeight="1">
      <c r="A7770" s="26"/>
      <c r="B7770" s="2"/>
      <c r="C7770" s="26"/>
      <c r="D7770" s="26"/>
      <c r="F7770" s="85" t="str">
        <f t="shared" si="0"/>
        <v/>
      </c>
      <c r="G7770" s="1" t="e">
        <f>IF(VALUE(F7770) = VALUE(RIGHT(Insights!$C$3, 4)), E7770, "")</f>
        <v>#VALUE!</v>
      </c>
      <c r="H7770" s="26" t="e">
        <f t="shared" si="1"/>
        <v>#VALUE!</v>
      </c>
      <c r="I7770" s="1" t="e">
        <f t="shared" si="2"/>
        <v>#VALUE!</v>
      </c>
    </row>
    <row r="7771" spans="1:9" ht="15.75" customHeight="1">
      <c r="A7771" s="26"/>
      <c r="B7771" s="2"/>
      <c r="C7771" s="26"/>
      <c r="D7771" s="26"/>
      <c r="F7771" s="85" t="str">
        <f t="shared" si="0"/>
        <v/>
      </c>
      <c r="G7771" s="1" t="e">
        <f>IF(VALUE(F7771) = VALUE(RIGHT(Insights!$C$3, 4)), E7771, "")</f>
        <v>#VALUE!</v>
      </c>
      <c r="H7771" s="26" t="e">
        <f t="shared" si="1"/>
        <v>#VALUE!</v>
      </c>
      <c r="I7771" s="1" t="e">
        <f t="shared" si="2"/>
        <v>#VALUE!</v>
      </c>
    </row>
    <row r="7772" spans="1:9" ht="15.75" customHeight="1">
      <c r="A7772" s="26"/>
      <c r="B7772" s="2"/>
      <c r="C7772" s="26"/>
      <c r="D7772" s="26"/>
      <c r="F7772" s="85" t="str">
        <f t="shared" si="0"/>
        <v/>
      </c>
      <c r="G7772" s="1" t="e">
        <f>IF(VALUE(F7772) = VALUE(RIGHT(Insights!$C$3, 4)), E7772, "")</f>
        <v>#VALUE!</v>
      </c>
      <c r="H7772" s="26" t="e">
        <f t="shared" si="1"/>
        <v>#VALUE!</v>
      </c>
      <c r="I7772" s="1" t="e">
        <f t="shared" si="2"/>
        <v>#VALUE!</v>
      </c>
    </row>
    <row r="7773" spans="1:9" ht="15.75" customHeight="1">
      <c r="A7773" s="26"/>
      <c r="B7773" s="2"/>
      <c r="C7773" s="26"/>
      <c r="D7773" s="26"/>
      <c r="F7773" s="85" t="str">
        <f t="shared" si="0"/>
        <v/>
      </c>
      <c r="G7773" s="1" t="e">
        <f>IF(VALUE(F7773) = VALUE(RIGHT(Insights!$C$3, 4)), E7773, "")</f>
        <v>#VALUE!</v>
      </c>
      <c r="H7773" s="26" t="e">
        <f t="shared" si="1"/>
        <v>#VALUE!</v>
      </c>
      <c r="I7773" s="1" t="e">
        <f t="shared" si="2"/>
        <v>#VALUE!</v>
      </c>
    </row>
    <row r="7774" spans="1:9" ht="15.75" customHeight="1">
      <c r="A7774" s="26"/>
      <c r="B7774" s="2"/>
      <c r="C7774" s="26"/>
      <c r="D7774" s="26"/>
      <c r="F7774" s="85" t="str">
        <f t="shared" si="0"/>
        <v/>
      </c>
      <c r="G7774" s="1" t="e">
        <f>IF(VALUE(F7774) = VALUE(RIGHT(Insights!$C$3, 4)), E7774, "")</f>
        <v>#VALUE!</v>
      </c>
      <c r="H7774" s="26" t="e">
        <f t="shared" si="1"/>
        <v>#VALUE!</v>
      </c>
      <c r="I7774" s="1" t="e">
        <f t="shared" si="2"/>
        <v>#VALUE!</v>
      </c>
    </row>
    <row r="7775" spans="1:9" ht="15.75" customHeight="1">
      <c r="A7775" s="26"/>
      <c r="B7775" s="2"/>
      <c r="C7775" s="26"/>
      <c r="D7775" s="26"/>
      <c r="F7775" s="85" t="str">
        <f t="shared" si="0"/>
        <v/>
      </c>
      <c r="G7775" s="1" t="e">
        <f>IF(VALUE(F7775) = VALUE(RIGHT(Insights!$C$3, 4)), E7775, "")</f>
        <v>#VALUE!</v>
      </c>
      <c r="H7775" s="26" t="e">
        <f t="shared" si="1"/>
        <v>#VALUE!</v>
      </c>
      <c r="I7775" s="1" t="e">
        <f t="shared" si="2"/>
        <v>#VALUE!</v>
      </c>
    </row>
    <row r="7776" spans="1:9" ht="15.75" customHeight="1">
      <c r="A7776" s="26"/>
      <c r="B7776" s="2"/>
      <c r="C7776" s="26"/>
      <c r="D7776" s="26"/>
      <c r="F7776" s="85" t="str">
        <f t="shared" si="0"/>
        <v/>
      </c>
      <c r="G7776" s="1" t="e">
        <f>IF(VALUE(F7776) = VALUE(RIGHT(Insights!$C$3, 4)), E7776, "")</f>
        <v>#VALUE!</v>
      </c>
      <c r="H7776" s="26" t="e">
        <f t="shared" si="1"/>
        <v>#VALUE!</v>
      </c>
      <c r="I7776" s="1" t="e">
        <f t="shared" si="2"/>
        <v>#VALUE!</v>
      </c>
    </row>
    <row r="7777" spans="1:9" ht="15.75" customHeight="1">
      <c r="A7777" s="26"/>
      <c r="B7777" s="2"/>
      <c r="C7777" s="26"/>
      <c r="D7777" s="26"/>
      <c r="F7777" s="85" t="str">
        <f t="shared" si="0"/>
        <v/>
      </c>
      <c r="G7777" s="1" t="e">
        <f>IF(VALUE(F7777) = VALUE(RIGHT(Insights!$C$3, 4)), E7777, "")</f>
        <v>#VALUE!</v>
      </c>
      <c r="H7777" s="26" t="e">
        <f t="shared" si="1"/>
        <v>#VALUE!</v>
      </c>
      <c r="I7777" s="1" t="e">
        <f t="shared" si="2"/>
        <v>#VALUE!</v>
      </c>
    </row>
    <row r="7778" spans="1:9" ht="15.75" customHeight="1">
      <c r="A7778" s="26"/>
      <c r="B7778" s="2"/>
      <c r="C7778" s="26"/>
      <c r="D7778" s="26"/>
      <c r="F7778" s="85" t="str">
        <f t="shared" si="0"/>
        <v/>
      </c>
      <c r="G7778" s="1" t="e">
        <f>IF(VALUE(F7778) = VALUE(RIGHT(Insights!$C$3, 4)), E7778, "")</f>
        <v>#VALUE!</v>
      </c>
      <c r="H7778" s="26" t="e">
        <f t="shared" si="1"/>
        <v>#VALUE!</v>
      </c>
      <c r="I7778" s="1" t="e">
        <f t="shared" si="2"/>
        <v>#VALUE!</v>
      </c>
    </row>
    <row r="7779" spans="1:9" ht="15.75" customHeight="1">
      <c r="A7779" s="26"/>
      <c r="B7779" s="2"/>
      <c r="C7779" s="26"/>
      <c r="D7779" s="26"/>
      <c r="F7779" s="85" t="str">
        <f t="shared" si="0"/>
        <v/>
      </c>
      <c r="G7779" s="1" t="e">
        <f>IF(VALUE(F7779) = VALUE(RIGHT(Insights!$C$3, 4)), E7779, "")</f>
        <v>#VALUE!</v>
      </c>
      <c r="H7779" s="26" t="e">
        <f t="shared" si="1"/>
        <v>#VALUE!</v>
      </c>
      <c r="I7779" s="1" t="e">
        <f t="shared" si="2"/>
        <v>#VALUE!</v>
      </c>
    </row>
    <row r="7780" spans="1:9" ht="15.75" customHeight="1">
      <c r="A7780" s="26"/>
      <c r="B7780" s="2"/>
      <c r="C7780" s="26"/>
      <c r="D7780" s="26"/>
      <c r="F7780" s="85" t="str">
        <f t="shared" si="0"/>
        <v/>
      </c>
      <c r="G7780" s="1" t="e">
        <f>IF(VALUE(F7780) = VALUE(RIGHT(Insights!$C$3, 4)), E7780, "")</f>
        <v>#VALUE!</v>
      </c>
      <c r="H7780" s="26" t="e">
        <f t="shared" si="1"/>
        <v>#VALUE!</v>
      </c>
      <c r="I7780" s="1" t="e">
        <f t="shared" si="2"/>
        <v>#VALUE!</v>
      </c>
    </row>
    <row r="7781" spans="1:9" ht="15.75" customHeight="1">
      <c r="A7781" s="26"/>
      <c r="B7781" s="2"/>
      <c r="C7781" s="26"/>
      <c r="D7781" s="26"/>
      <c r="F7781" s="85" t="str">
        <f t="shared" si="0"/>
        <v/>
      </c>
      <c r="G7781" s="1" t="e">
        <f>IF(VALUE(F7781) = VALUE(RIGHT(Insights!$C$3, 4)), E7781, "")</f>
        <v>#VALUE!</v>
      </c>
      <c r="H7781" s="26" t="e">
        <f t="shared" si="1"/>
        <v>#VALUE!</v>
      </c>
      <c r="I7781" s="1" t="e">
        <f t="shared" si="2"/>
        <v>#VALUE!</v>
      </c>
    </row>
    <row r="7782" spans="1:9" ht="15.75" customHeight="1">
      <c r="A7782" s="26"/>
      <c r="B7782" s="2"/>
      <c r="C7782" s="26"/>
      <c r="D7782" s="26"/>
      <c r="F7782" s="85" t="str">
        <f t="shared" si="0"/>
        <v/>
      </c>
      <c r="G7782" s="1" t="e">
        <f>IF(VALUE(F7782) = VALUE(RIGHT(Insights!$C$3, 4)), E7782, "")</f>
        <v>#VALUE!</v>
      </c>
      <c r="H7782" s="26" t="e">
        <f t="shared" si="1"/>
        <v>#VALUE!</v>
      </c>
      <c r="I7782" s="1" t="e">
        <f t="shared" si="2"/>
        <v>#VALUE!</v>
      </c>
    </row>
    <row r="7783" spans="1:9" ht="15.75" customHeight="1">
      <c r="A7783" s="26"/>
      <c r="B7783" s="2"/>
      <c r="C7783" s="26"/>
      <c r="D7783" s="26"/>
      <c r="F7783" s="85" t="str">
        <f t="shared" si="0"/>
        <v/>
      </c>
      <c r="G7783" s="1" t="e">
        <f>IF(VALUE(F7783) = VALUE(RIGHT(Insights!$C$3, 4)), E7783, "")</f>
        <v>#VALUE!</v>
      </c>
      <c r="H7783" s="26" t="e">
        <f t="shared" si="1"/>
        <v>#VALUE!</v>
      </c>
      <c r="I7783" s="1" t="e">
        <f t="shared" si="2"/>
        <v>#VALUE!</v>
      </c>
    </row>
    <row r="7784" spans="1:9" ht="15.75" customHeight="1">
      <c r="A7784" s="26"/>
      <c r="B7784" s="2"/>
      <c r="C7784" s="26"/>
      <c r="D7784" s="26"/>
      <c r="F7784" s="85" t="str">
        <f t="shared" si="0"/>
        <v/>
      </c>
      <c r="G7784" s="1" t="e">
        <f>IF(VALUE(F7784) = VALUE(RIGHT(Insights!$C$3, 4)), E7784, "")</f>
        <v>#VALUE!</v>
      </c>
      <c r="H7784" s="26" t="e">
        <f t="shared" si="1"/>
        <v>#VALUE!</v>
      </c>
      <c r="I7784" s="1" t="e">
        <f t="shared" si="2"/>
        <v>#VALUE!</v>
      </c>
    </row>
    <row r="7785" spans="1:9" ht="15.75" customHeight="1">
      <c r="A7785" s="26"/>
      <c r="B7785" s="2"/>
      <c r="C7785" s="26"/>
      <c r="D7785" s="26"/>
      <c r="F7785" s="85" t="str">
        <f t="shared" si="0"/>
        <v/>
      </c>
      <c r="G7785" s="1" t="e">
        <f>IF(VALUE(F7785) = VALUE(RIGHT(Insights!$C$3, 4)), E7785, "")</f>
        <v>#VALUE!</v>
      </c>
      <c r="H7785" s="26" t="e">
        <f t="shared" si="1"/>
        <v>#VALUE!</v>
      </c>
      <c r="I7785" s="1" t="e">
        <f t="shared" si="2"/>
        <v>#VALUE!</v>
      </c>
    </row>
    <row r="7786" spans="1:9" ht="15.75" customHeight="1">
      <c r="A7786" s="26"/>
      <c r="B7786" s="2"/>
      <c r="C7786" s="26"/>
      <c r="D7786" s="26"/>
      <c r="F7786" s="85" t="str">
        <f t="shared" si="0"/>
        <v/>
      </c>
      <c r="G7786" s="1" t="e">
        <f>IF(VALUE(F7786) = VALUE(RIGHT(Insights!$C$3, 4)), E7786, "")</f>
        <v>#VALUE!</v>
      </c>
      <c r="H7786" s="26" t="e">
        <f t="shared" si="1"/>
        <v>#VALUE!</v>
      </c>
      <c r="I7786" s="1" t="e">
        <f t="shared" si="2"/>
        <v>#VALUE!</v>
      </c>
    </row>
    <row r="7787" spans="1:9" ht="15.75" customHeight="1">
      <c r="A7787" s="26"/>
      <c r="B7787" s="2"/>
      <c r="C7787" s="26"/>
      <c r="D7787" s="26"/>
      <c r="F7787" s="85" t="str">
        <f t="shared" si="0"/>
        <v/>
      </c>
      <c r="G7787" s="1" t="e">
        <f>IF(VALUE(F7787) = VALUE(RIGHT(Insights!$C$3, 4)), E7787, "")</f>
        <v>#VALUE!</v>
      </c>
      <c r="H7787" s="26" t="e">
        <f t="shared" si="1"/>
        <v>#VALUE!</v>
      </c>
      <c r="I7787" s="1" t="e">
        <f t="shared" si="2"/>
        <v>#VALUE!</v>
      </c>
    </row>
    <row r="7788" spans="1:9" ht="15.75" customHeight="1">
      <c r="A7788" s="26"/>
      <c r="B7788" s="2"/>
      <c r="C7788" s="26"/>
      <c r="D7788" s="26"/>
      <c r="F7788" s="85" t="str">
        <f t="shared" si="0"/>
        <v/>
      </c>
      <c r="G7788" s="1" t="e">
        <f>IF(VALUE(F7788) = VALUE(RIGHT(Insights!$C$3, 4)), E7788, "")</f>
        <v>#VALUE!</v>
      </c>
      <c r="H7788" s="26" t="e">
        <f t="shared" si="1"/>
        <v>#VALUE!</v>
      </c>
      <c r="I7788" s="1" t="e">
        <f t="shared" si="2"/>
        <v>#VALUE!</v>
      </c>
    </row>
    <row r="7789" spans="1:9" ht="15.75" customHeight="1">
      <c r="A7789" s="26"/>
      <c r="B7789" s="2"/>
      <c r="C7789" s="26"/>
      <c r="D7789" s="26"/>
      <c r="F7789" s="85" t="str">
        <f t="shared" si="0"/>
        <v/>
      </c>
      <c r="G7789" s="1" t="e">
        <f>IF(VALUE(F7789) = VALUE(RIGHT(Insights!$C$3, 4)), E7789, "")</f>
        <v>#VALUE!</v>
      </c>
      <c r="H7789" s="26" t="e">
        <f t="shared" si="1"/>
        <v>#VALUE!</v>
      </c>
      <c r="I7789" s="1" t="e">
        <f t="shared" si="2"/>
        <v>#VALUE!</v>
      </c>
    </row>
    <row r="7790" spans="1:9" ht="15.75" customHeight="1">
      <c r="A7790" s="26"/>
      <c r="B7790" s="2"/>
      <c r="C7790" s="26"/>
      <c r="D7790" s="26"/>
      <c r="F7790" s="85" t="str">
        <f t="shared" si="0"/>
        <v/>
      </c>
      <c r="G7790" s="1" t="e">
        <f>IF(VALUE(F7790) = VALUE(RIGHT(Insights!$C$3, 4)), E7790, "")</f>
        <v>#VALUE!</v>
      </c>
      <c r="H7790" s="26" t="e">
        <f t="shared" si="1"/>
        <v>#VALUE!</v>
      </c>
      <c r="I7790" s="1" t="e">
        <f t="shared" si="2"/>
        <v>#VALUE!</v>
      </c>
    </row>
    <row r="7791" spans="1:9" ht="15.75" customHeight="1">
      <c r="A7791" s="26"/>
      <c r="B7791" s="2"/>
      <c r="C7791" s="26"/>
      <c r="D7791" s="26"/>
      <c r="F7791" s="85" t="str">
        <f t="shared" si="0"/>
        <v/>
      </c>
      <c r="G7791" s="1" t="e">
        <f>IF(VALUE(F7791) = VALUE(RIGHT(Insights!$C$3, 4)), E7791, "")</f>
        <v>#VALUE!</v>
      </c>
      <c r="H7791" s="26" t="e">
        <f t="shared" si="1"/>
        <v>#VALUE!</v>
      </c>
      <c r="I7791" s="1" t="e">
        <f t="shared" si="2"/>
        <v>#VALUE!</v>
      </c>
    </row>
    <row r="7792" spans="1:9" ht="15.75" customHeight="1">
      <c r="A7792" s="26"/>
      <c r="B7792" s="2"/>
      <c r="C7792" s="26"/>
      <c r="D7792" s="26"/>
      <c r="F7792" s="85" t="str">
        <f t="shared" si="0"/>
        <v/>
      </c>
      <c r="G7792" s="1" t="e">
        <f>IF(VALUE(F7792) = VALUE(RIGHT(Insights!$C$3, 4)), E7792, "")</f>
        <v>#VALUE!</v>
      </c>
      <c r="H7792" s="26" t="e">
        <f t="shared" si="1"/>
        <v>#VALUE!</v>
      </c>
      <c r="I7792" s="1" t="e">
        <f t="shared" si="2"/>
        <v>#VALUE!</v>
      </c>
    </row>
    <row r="7793" spans="1:9" ht="15.75" customHeight="1">
      <c r="A7793" s="26"/>
      <c r="B7793" s="2"/>
      <c r="C7793" s="26"/>
      <c r="D7793" s="26"/>
      <c r="F7793" s="85" t="str">
        <f t="shared" si="0"/>
        <v/>
      </c>
      <c r="G7793" s="1" t="e">
        <f>IF(VALUE(F7793) = VALUE(RIGHT(Insights!$C$3, 4)), E7793, "")</f>
        <v>#VALUE!</v>
      </c>
      <c r="H7793" s="26" t="e">
        <f t="shared" si="1"/>
        <v>#VALUE!</v>
      </c>
      <c r="I7793" s="1" t="e">
        <f t="shared" si="2"/>
        <v>#VALUE!</v>
      </c>
    </row>
    <row r="7794" spans="1:9" ht="15.75" customHeight="1">
      <c r="A7794" s="26"/>
      <c r="B7794" s="2"/>
      <c r="C7794" s="26"/>
      <c r="D7794" s="26"/>
      <c r="F7794" s="85" t="str">
        <f t="shared" si="0"/>
        <v/>
      </c>
      <c r="G7794" s="1" t="e">
        <f>IF(VALUE(F7794) = VALUE(RIGHT(Insights!$C$3, 4)), E7794, "")</f>
        <v>#VALUE!</v>
      </c>
      <c r="H7794" s="26" t="e">
        <f t="shared" si="1"/>
        <v>#VALUE!</v>
      </c>
      <c r="I7794" s="1" t="e">
        <f t="shared" si="2"/>
        <v>#VALUE!</v>
      </c>
    </row>
    <row r="7795" spans="1:9" ht="15.75" customHeight="1">
      <c r="A7795" s="26"/>
      <c r="B7795" s="2"/>
      <c r="C7795" s="26"/>
      <c r="D7795" s="26"/>
      <c r="F7795" s="85" t="str">
        <f t="shared" si="0"/>
        <v/>
      </c>
      <c r="G7795" s="1" t="e">
        <f>IF(VALUE(F7795) = VALUE(RIGHT(Insights!$C$3, 4)), E7795, "")</f>
        <v>#VALUE!</v>
      </c>
      <c r="H7795" s="26" t="e">
        <f t="shared" si="1"/>
        <v>#VALUE!</v>
      </c>
      <c r="I7795" s="1" t="e">
        <f t="shared" si="2"/>
        <v>#VALUE!</v>
      </c>
    </row>
    <row r="7796" spans="1:9" ht="15.75" customHeight="1">
      <c r="A7796" s="26"/>
      <c r="B7796" s="2"/>
      <c r="C7796" s="26"/>
      <c r="D7796" s="26"/>
      <c r="F7796" s="85" t="str">
        <f t="shared" si="0"/>
        <v/>
      </c>
      <c r="G7796" s="1" t="e">
        <f>IF(VALUE(F7796) = VALUE(RIGHT(Insights!$C$3, 4)), E7796, "")</f>
        <v>#VALUE!</v>
      </c>
      <c r="H7796" s="26" t="e">
        <f t="shared" si="1"/>
        <v>#VALUE!</v>
      </c>
      <c r="I7796" s="1" t="e">
        <f t="shared" si="2"/>
        <v>#VALUE!</v>
      </c>
    </row>
    <row r="7797" spans="1:9" ht="15.75" customHeight="1">
      <c r="A7797" s="26"/>
      <c r="B7797" s="2"/>
      <c r="C7797" s="26"/>
      <c r="D7797" s="26"/>
      <c r="F7797" s="85" t="str">
        <f t="shared" si="0"/>
        <v/>
      </c>
      <c r="G7797" s="1" t="e">
        <f>IF(VALUE(F7797) = VALUE(RIGHT(Insights!$C$3, 4)), E7797, "")</f>
        <v>#VALUE!</v>
      </c>
      <c r="H7797" s="26" t="e">
        <f t="shared" si="1"/>
        <v>#VALUE!</v>
      </c>
      <c r="I7797" s="1" t="e">
        <f t="shared" si="2"/>
        <v>#VALUE!</v>
      </c>
    </row>
    <row r="7798" spans="1:9" ht="15.75" customHeight="1">
      <c r="A7798" s="26"/>
      <c r="B7798" s="2"/>
      <c r="C7798" s="26"/>
      <c r="D7798" s="26"/>
      <c r="F7798" s="85" t="str">
        <f t="shared" si="0"/>
        <v/>
      </c>
      <c r="G7798" s="1" t="e">
        <f>IF(VALUE(F7798) = VALUE(RIGHT(Insights!$C$3, 4)), E7798, "")</f>
        <v>#VALUE!</v>
      </c>
      <c r="H7798" s="26" t="e">
        <f t="shared" si="1"/>
        <v>#VALUE!</v>
      </c>
      <c r="I7798" s="1" t="e">
        <f t="shared" si="2"/>
        <v>#VALUE!</v>
      </c>
    </row>
    <row r="7799" spans="1:9" ht="15.75" customHeight="1">
      <c r="A7799" s="26"/>
      <c r="B7799" s="2"/>
      <c r="C7799" s="26"/>
      <c r="D7799" s="26"/>
      <c r="F7799" s="85" t="str">
        <f t="shared" si="0"/>
        <v/>
      </c>
      <c r="G7799" s="1" t="e">
        <f>IF(VALUE(F7799) = VALUE(RIGHT(Insights!$C$3, 4)), E7799, "")</f>
        <v>#VALUE!</v>
      </c>
      <c r="H7799" s="26" t="e">
        <f t="shared" si="1"/>
        <v>#VALUE!</v>
      </c>
      <c r="I7799" s="1" t="e">
        <f t="shared" si="2"/>
        <v>#VALUE!</v>
      </c>
    </row>
    <row r="7800" spans="1:9" ht="15.75" customHeight="1">
      <c r="A7800" s="26"/>
      <c r="B7800" s="2"/>
      <c r="C7800" s="26"/>
      <c r="D7800" s="26"/>
      <c r="F7800" s="85" t="str">
        <f t="shared" si="0"/>
        <v/>
      </c>
      <c r="G7800" s="1" t="e">
        <f>IF(VALUE(F7800) = VALUE(RIGHT(Insights!$C$3, 4)), E7800, "")</f>
        <v>#VALUE!</v>
      </c>
      <c r="H7800" s="26" t="e">
        <f t="shared" si="1"/>
        <v>#VALUE!</v>
      </c>
      <c r="I7800" s="1" t="e">
        <f t="shared" si="2"/>
        <v>#VALUE!</v>
      </c>
    </row>
    <row r="7801" spans="1:9" ht="15.75" customHeight="1">
      <c r="A7801" s="26"/>
      <c r="B7801" s="2"/>
      <c r="C7801" s="26"/>
      <c r="D7801" s="26"/>
      <c r="F7801" s="85" t="str">
        <f t="shared" si="0"/>
        <v/>
      </c>
      <c r="G7801" s="1" t="e">
        <f>IF(VALUE(F7801) = VALUE(RIGHT(Insights!$C$3, 4)), E7801, "")</f>
        <v>#VALUE!</v>
      </c>
      <c r="H7801" s="26" t="e">
        <f t="shared" si="1"/>
        <v>#VALUE!</v>
      </c>
      <c r="I7801" s="1" t="e">
        <f t="shared" si="2"/>
        <v>#VALUE!</v>
      </c>
    </row>
    <row r="7802" spans="1:9" ht="15.75" customHeight="1">
      <c r="A7802" s="26"/>
      <c r="B7802" s="2"/>
      <c r="C7802" s="26"/>
      <c r="D7802" s="26"/>
      <c r="F7802" s="85" t="str">
        <f t="shared" si="0"/>
        <v/>
      </c>
      <c r="G7802" s="1" t="e">
        <f>IF(VALUE(F7802) = VALUE(RIGHT(Insights!$C$3, 4)), E7802, "")</f>
        <v>#VALUE!</v>
      </c>
      <c r="H7802" s="26" t="e">
        <f t="shared" si="1"/>
        <v>#VALUE!</v>
      </c>
      <c r="I7802" s="1" t="e">
        <f t="shared" si="2"/>
        <v>#VALUE!</v>
      </c>
    </row>
    <row r="7803" spans="1:9" ht="15.75" customHeight="1">
      <c r="A7803" s="26"/>
      <c r="B7803" s="2"/>
      <c r="C7803" s="26"/>
      <c r="D7803" s="26"/>
      <c r="F7803" s="85" t="str">
        <f t="shared" si="0"/>
        <v/>
      </c>
      <c r="G7803" s="1" t="e">
        <f>IF(VALUE(F7803) = VALUE(RIGHT(Insights!$C$3, 4)), E7803, "")</f>
        <v>#VALUE!</v>
      </c>
      <c r="H7803" s="26" t="e">
        <f t="shared" si="1"/>
        <v>#VALUE!</v>
      </c>
      <c r="I7803" s="1" t="e">
        <f t="shared" si="2"/>
        <v>#VALUE!</v>
      </c>
    </row>
    <row r="7804" spans="1:9" ht="15.75" customHeight="1">
      <c r="A7804" s="26"/>
      <c r="B7804" s="2"/>
      <c r="C7804" s="26"/>
      <c r="D7804" s="26"/>
      <c r="F7804" s="85" t="str">
        <f t="shared" si="0"/>
        <v/>
      </c>
      <c r="G7804" s="1" t="e">
        <f>IF(VALUE(F7804) = VALUE(RIGHT(Insights!$C$3, 4)), E7804, "")</f>
        <v>#VALUE!</v>
      </c>
      <c r="H7804" s="26" t="e">
        <f t="shared" si="1"/>
        <v>#VALUE!</v>
      </c>
      <c r="I7804" s="1" t="e">
        <f t="shared" si="2"/>
        <v>#VALUE!</v>
      </c>
    </row>
    <row r="7805" spans="1:9" ht="15.75" customHeight="1">
      <c r="A7805" s="26"/>
      <c r="B7805" s="2"/>
      <c r="C7805" s="26"/>
      <c r="D7805" s="26"/>
      <c r="F7805" s="85" t="str">
        <f t="shared" si="0"/>
        <v/>
      </c>
      <c r="G7805" s="1" t="e">
        <f>IF(VALUE(F7805) = VALUE(RIGHT(Insights!$C$3, 4)), E7805, "")</f>
        <v>#VALUE!</v>
      </c>
      <c r="H7805" s="26" t="e">
        <f t="shared" si="1"/>
        <v>#VALUE!</v>
      </c>
      <c r="I7805" s="1" t="e">
        <f t="shared" si="2"/>
        <v>#VALUE!</v>
      </c>
    </row>
    <row r="7806" spans="1:9" ht="15.75" customHeight="1">
      <c r="A7806" s="26"/>
      <c r="B7806" s="2"/>
      <c r="C7806" s="26"/>
      <c r="D7806" s="26"/>
      <c r="F7806" s="85" t="str">
        <f t="shared" si="0"/>
        <v/>
      </c>
      <c r="G7806" s="1" t="e">
        <f>IF(VALUE(F7806) = VALUE(RIGHT(Insights!$C$3, 4)), E7806, "")</f>
        <v>#VALUE!</v>
      </c>
      <c r="H7806" s="26" t="e">
        <f t="shared" si="1"/>
        <v>#VALUE!</v>
      </c>
      <c r="I7806" s="1" t="e">
        <f t="shared" si="2"/>
        <v>#VALUE!</v>
      </c>
    </row>
    <row r="7807" spans="1:9" ht="15.75" customHeight="1">
      <c r="A7807" s="26"/>
      <c r="B7807" s="2"/>
      <c r="C7807" s="26"/>
      <c r="D7807" s="26"/>
      <c r="F7807" s="85" t="str">
        <f t="shared" si="0"/>
        <v/>
      </c>
      <c r="G7807" s="1" t="e">
        <f>IF(VALUE(F7807) = VALUE(RIGHT(Insights!$C$3, 4)), E7807, "")</f>
        <v>#VALUE!</v>
      </c>
      <c r="H7807" s="26" t="e">
        <f t="shared" si="1"/>
        <v>#VALUE!</v>
      </c>
      <c r="I7807" s="1" t="e">
        <f t="shared" si="2"/>
        <v>#VALUE!</v>
      </c>
    </row>
    <row r="7808" spans="1:9" ht="15.75" customHeight="1">
      <c r="A7808" s="26"/>
      <c r="B7808" s="2"/>
      <c r="C7808" s="26"/>
      <c r="D7808" s="26"/>
      <c r="F7808" s="85" t="str">
        <f t="shared" si="0"/>
        <v/>
      </c>
      <c r="G7808" s="1" t="e">
        <f>IF(VALUE(F7808) = VALUE(RIGHT(Insights!$C$3, 4)), E7808, "")</f>
        <v>#VALUE!</v>
      </c>
      <c r="H7808" s="26" t="e">
        <f t="shared" si="1"/>
        <v>#VALUE!</v>
      </c>
      <c r="I7808" s="1" t="e">
        <f t="shared" si="2"/>
        <v>#VALUE!</v>
      </c>
    </row>
    <row r="7809" spans="1:9" ht="15.75" customHeight="1">
      <c r="A7809" s="26"/>
      <c r="B7809" s="2"/>
      <c r="C7809" s="26"/>
      <c r="D7809" s="26"/>
      <c r="F7809" s="85" t="str">
        <f t="shared" si="0"/>
        <v/>
      </c>
      <c r="G7809" s="1" t="e">
        <f>IF(VALUE(F7809) = VALUE(RIGHT(Insights!$C$3, 4)), E7809, "")</f>
        <v>#VALUE!</v>
      </c>
      <c r="H7809" s="26" t="e">
        <f t="shared" si="1"/>
        <v>#VALUE!</v>
      </c>
      <c r="I7809" s="1" t="e">
        <f t="shared" si="2"/>
        <v>#VALUE!</v>
      </c>
    </row>
    <row r="7810" spans="1:9" ht="15.75" customHeight="1">
      <c r="A7810" s="26"/>
      <c r="B7810" s="2"/>
      <c r="C7810" s="26"/>
      <c r="D7810" s="26"/>
      <c r="F7810" s="85" t="str">
        <f t="shared" si="0"/>
        <v/>
      </c>
      <c r="G7810" s="1" t="e">
        <f>IF(VALUE(F7810) = VALUE(RIGHT(Insights!$C$3, 4)), E7810, "")</f>
        <v>#VALUE!</v>
      </c>
      <c r="H7810" s="26" t="e">
        <f t="shared" si="1"/>
        <v>#VALUE!</v>
      </c>
      <c r="I7810" s="1" t="e">
        <f t="shared" si="2"/>
        <v>#VALUE!</v>
      </c>
    </row>
    <row r="7811" spans="1:9" ht="15.75" customHeight="1">
      <c r="A7811" s="26"/>
      <c r="B7811" s="2"/>
      <c r="C7811" s="26"/>
      <c r="D7811" s="26"/>
      <c r="F7811" s="85" t="str">
        <f t="shared" si="0"/>
        <v/>
      </c>
      <c r="G7811" s="1" t="e">
        <f>IF(VALUE(F7811) = VALUE(RIGHT(Insights!$C$3, 4)), E7811, "")</f>
        <v>#VALUE!</v>
      </c>
      <c r="H7811" s="26" t="e">
        <f t="shared" si="1"/>
        <v>#VALUE!</v>
      </c>
      <c r="I7811" s="1" t="e">
        <f t="shared" si="2"/>
        <v>#VALUE!</v>
      </c>
    </row>
    <row r="7812" spans="1:9" ht="15.75" customHeight="1">
      <c r="A7812" s="26"/>
      <c r="B7812" s="2"/>
      <c r="C7812" s="26"/>
      <c r="D7812" s="26"/>
      <c r="F7812" s="85" t="str">
        <f t="shared" si="0"/>
        <v/>
      </c>
      <c r="G7812" s="1" t="e">
        <f>IF(VALUE(F7812) = VALUE(RIGHT(Insights!$C$3, 4)), E7812, "")</f>
        <v>#VALUE!</v>
      </c>
      <c r="H7812" s="26" t="e">
        <f t="shared" si="1"/>
        <v>#VALUE!</v>
      </c>
      <c r="I7812" s="1" t="e">
        <f t="shared" si="2"/>
        <v>#VALUE!</v>
      </c>
    </row>
    <row r="7813" spans="1:9" ht="15.75" customHeight="1">
      <c r="A7813" s="26"/>
      <c r="B7813" s="2"/>
      <c r="C7813" s="26"/>
      <c r="D7813" s="26"/>
      <c r="F7813" s="85" t="str">
        <f t="shared" si="0"/>
        <v/>
      </c>
      <c r="G7813" s="1" t="e">
        <f>IF(VALUE(F7813) = VALUE(RIGHT(Insights!$C$3, 4)), E7813, "")</f>
        <v>#VALUE!</v>
      </c>
      <c r="H7813" s="26" t="e">
        <f t="shared" si="1"/>
        <v>#VALUE!</v>
      </c>
      <c r="I7813" s="1" t="e">
        <f t="shared" si="2"/>
        <v>#VALUE!</v>
      </c>
    </row>
    <row r="7814" spans="1:9" ht="15.75" customHeight="1">
      <c r="A7814" s="26"/>
      <c r="B7814" s="2"/>
      <c r="C7814" s="26"/>
      <c r="D7814" s="26"/>
      <c r="F7814" s="85" t="str">
        <f t="shared" si="0"/>
        <v/>
      </c>
      <c r="G7814" s="1" t="e">
        <f>IF(VALUE(F7814) = VALUE(RIGHT(Insights!$C$3, 4)), E7814, "")</f>
        <v>#VALUE!</v>
      </c>
      <c r="H7814" s="26" t="e">
        <f t="shared" si="1"/>
        <v>#VALUE!</v>
      </c>
      <c r="I7814" s="1" t="e">
        <f t="shared" si="2"/>
        <v>#VALUE!</v>
      </c>
    </row>
    <row r="7815" spans="1:9" ht="15.75" customHeight="1">
      <c r="A7815" s="26"/>
      <c r="B7815" s="2"/>
      <c r="C7815" s="26"/>
      <c r="D7815" s="26"/>
      <c r="F7815" s="85" t="str">
        <f t="shared" si="0"/>
        <v/>
      </c>
      <c r="G7815" s="1" t="e">
        <f>IF(VALUE(F7815) = VALUE(RIGHT(Insights!$C$3, 4)), E7815, "")</f>
        <v>#VALUE!</v>
      </c>
      <c r="H7815" s="26" t="e">
        <f t="shared" si="1"/>
        <v>#VALUE!</v>
      </c>
      <c r="I7815" s="1" t="e">
        <f t="shared" si="2"/>
        <v>#VALUE!</v>
      </c>
    </row>
    <row r="7816" spans="1:9" ht="15.75" customHeight="1">
      <c r="A7816" s="26"/>
      <c r="B7816" s="2"/>
      <c r="C7816" s="26"/>
      <c r="D7816" s="26"/>
      <c r="F7816" s="85" t="str">
        <f t="shared" si="0"/>
        <v/>
      </c>
      <c r="G7816" s="1" t="e">
        <f>IF(VALUE(F7816) = VALUE(RIGHT(Insights!$C$3, 4)), E7816, "")</f>
        <v>#VALUE!</v>
      </c>
      <c r="H7816" s="26" t="e">
        <f t="shared" si="1"/>
        <v>#VALUE!</v>
      </c>
      <c r="I7816" s="1" t="e">
        <f t="shared" si="2"/>
        <v>#VALUE!</v>
      </c>
    </row>
    <row r="7817" spans="1:9" ht="15.75" customHeight="1">
      <c r="A7817" s="26"/>
      <c r="B7817" s="2"/>
      <c r="C7817" s="26"/>
      <c r="D7817" s="26"/>
      <c r="F7817" s="85" t="str">
        <f t="shared" si="0"/>
        <v/>
      </c>
      <c r="G7817" s="1" t="e">
        <f>IF(VALUE(F7817) = VALUE(RIGHT(Insights!$C$3, 4)), E7817, "")</f>
        <v>#VALUE!</v>
      </c>
      <c r="H7817" s="26" t="e">
        <f t="shared" si="1"/>
        <v>#VALUE!</v>
      </c>
      <c r="I7817" s="1" t="e">
        <f t="shared" si="2"/>
        <v>#VALUE!</v>
      </c>
    </row>
    <row r="7818" spans="1:9" ht="15.75" customHeight="1">
      <c r="A7818" s="26"/>
      <c r="B7818" s="2"/>
      <c r="C7818" s="26"/>
      <c r="D7818" s="26"/>
      <c r="F7818" s="85" t="str">
        <f t="shared" si="0"/>
        <v/>
      </c>
      <c r="G7818" s="1" t="e">
        <f>IF(VALUE(F7818) = VALUE(RIGHT(Insights!$C$3, 4)), E7818, "")</f>
        <v>#VALUE!</v>
      </c>
      <c r="H7818" s="26" t="e">
        <f t="shared" si="1"/>
        <v>#VALUE!</v>
      </c>
      <c r="I7818" s="1" t="e">
        <f t="shared" si="2"/>
        <v>#VALUE!</v>
      </c>
    </row>
    <row r="7819" spans="1:9" ht="15.75" customHeight="1">
      <c r="A7819" s="26"/>
      <c r="B7819" s="2"/>
      <c r="C7819" s="26"/>
      <c r="D7819" s="26"/>
      <c r="F7819" s="85" t="str">
        <f t="shared" si="0"/>
        <v/>
      </c>
      <c r="G7819" s="1" t="e">
        <f>IF(VALUE(F7819) = VALUE(RIGHT(Insights!$C$3, 4)), E7819, "")</f>
        <v>#VALUE!</v>
      </c>
      <c r="H7819" s="26" t="e">
        <f t="shared" si="1"/>
        <v>#VALUE!</v>
      </c>
      <c r="I7819" s="1" t="e">
        <f t="shared" si="2"/>
        <v>#VALUE!</v>
      </c>
    </row>
    <row r="7820" spans="1:9" ht="15.75" customHeight="1">
      <c r="A7820" s="26"/>
      <c r="B7820" s="2"/>
      <c r="C7820" s="26"/>
      <c r="D7820" s="26"/>
      <c r="F7820" s="85" t="str">
        <f t="shared" si="0"/>
        <v/>
      </c>
      <c r="G7820" s="1" t="e">
        <f>IF(VALUE(F7820) = VALUE(RIGHT(Insights!$C$3, 4)), E7820, "")</f>
        <v>#VALUE!</v>
      </c>
      <c r="H7820" s="26" t="e">
        <f t="shared" si="1"/>
        <v>#VALUE!</v>
      </c>
      <c r="I7820" s="1" t="e">
        <f t="shared" si="2"/>
        <v>#VALUE!</v>
      </c>
    </row>
    <row r="7821" spans="1:9" ht="15.75" customHeight="1">
      <c r="A7821" s="26"/>
      <c r="B7821" s="2"/>
      <c r="C7821" s="26"/>
      <c r="D7821" s="26"/>
      <c r="F7821" s="85" t="str">
        <f t="shared" si="0"/>
        <v/>
      </c>
      <c r="G7821" s="1" t="e">
        <f>IF(VALUE(F7821) = VALUE(RIGHT(Insights!$C$3, 4)), E7821, "")</f>
        <v>#VALUE!</v>
      </c>
      <c r="H7821" s="26" t="e">
        <f t="shared" si="1"/>
        <v>#VALUE!</v>
      </c>
      <c r="I7821" s="1" t="e">
        <f t="shared" si="2"/>
        <v>#VALUE!</v>
      </c>
    </row>
    <row r="7822" spans="1:9" ht="15.75" customHeight="1">
      <c r="A7822" s="26"/>
      <c r="B7822" s="2"/>
      <c r="C7822" s="26"/>
      <c r="D7822" s="26"/>
      <c r="F7822" s="85" t="str">
        <f t="shared" si="0"/>
        <v/>
      </c>
      <c r="G7822" s="1" t="e">
        <f>IF(VALUE(F7822) = VALUE(RIGHT(Insights!$C$3, 4)), E7822, "")</f>
        <v>#VALUE!</v>
      </c>
      <c r="H7822" s="26" t="e">
        <f t="shared" si="1"/>
        <v>#VALUE!</v>
      </c>
      <c r="I7822" s="1" t="e">
        <f t="shared" si="2"/>
        <v>#VALUE!</v>
      </c>
    </row>
    <row r="7823" spans="1:9" ht="15.75" customHeight="1">
      <c r="A7823" s="26"/>
      <c r="B7823" s="2"/>
      <c r="C7823" s="26"/>
      <c r="D7823" s="26"/>
      <c r="F7823" s="85" t="str">
        <f t="shared" si="0"/>
        <v/>
      </c>
      <c r="G7823" s="1" t="e">
        <f>IF(VALUE(F7823) = VALUE(RIGHT(Insights!$C$3, 4)), E7823, "")</f>
        <v>#VALUE!</v>
      </c>
      <c r="H7823" s="26" t="e">
        <f t="shared" si="1"/>
        <v>#VALUE!</v>
      </c>
      <c r="I7823" s="1" t="e">
        <f t="shared" si="2"/>
        <v>#VALUE!</v>
      </c>
    </row>
    <row r="7824" spans="1:9" ht="15.75" customHeight="1">
      <c r="A7824" s="26"/>
      <c r="B7824" s="2"/>
      <c r="C7824" s="26"/>
      <c r="D7824" s="26"/>
      <c r="F7824" s="85" t="str">
        <f t="shared" si="0"/>
        <v/>
      </c>
      <c r="G7824" s="1" t="e">
        <f>IF(VALUE(F7824) = VALUE(RIGHT(Insights!$C$3, 4)), E7824, "")</f>
        <v>#VALUE!</v>
      </c>
      <c r="H7824" s="26" t="e">
        <f t="shared" si="1"/>
        <v>#VALUE!</v>
      </c>
      <c r="I7824" s="1" t="e">
        <f t="shared" si="2"/>
        <v>#VALUE!</v>
      </c>
    </row>
    <row r="7825" spans="1:9" ht="15.75" customHeight="1">
      <c r="A7825" s="26"/>
      <c r="B7825" s="2"/>
      <c r="C7825" s="26"/>
      <c r="D7825" s="26"/>
      <c r="F7825" s="85" t="str">
        <f t="shared" si="0"/>
        <v/>
      </c>
      <c r="G7825" s="1" t="e">
        <f>IF(VALUE(F7825) = VALUE(RIGHT(Insights!$C$3, 4)), E7825, "")</f>
        <v>#VALUE!</v>
      </c>
      <c r="H7825" s="26" t="e">
        <f t="shared" si="1"/>
        <v>#VALUE!</v>
      </c>
      <c r="I7825" s="1" t="e">
        <f t="shared" si="2"/>
        <v>#VALUE!</v>
      </c>
    </row>
    <row r="7826" spans="1:9" ht="15.75" customHeight="1">
      <c r="A7826" s="26"/>
      <c r="B7826" s="2"/>
      <c r="C7826" s="26"/>
      <c r="D7826" s="26"/>
      <c r="F7826" s="85" t="str">
        <f t="shared" si="0"/>
        <v/>
      </c>
      <c r="G7826" s="1" t="e">
        <f>IF(VALUE(F7826) = VALUE(RIGHT(Insights!$C$3, 4)), E7826, "")</f>
        <v>#VALUE!</v>
      </c>
      <c r="H7826" s="26" t="e">
        <f t="shared" si="1"/>
        <v>#VALUE!</v>
      </c>
      <c r="I7826" s="1" t="e">
        <f t="shared" si="2"/>
        <v>#VALUE!</v>
      </c>
    </row>
    <row r="7827" spans="1:9" ht="15.75" customHeight="1">
      <c r="A7827" s="26"/>
      <c r="B7827" s="2"/>
      <c r="C7827" s="26"/>
      <c r="D7827" s="26"/>
      <c r="F7827" s="85" t="str">
        <f t="shared" si="0"/>
        <v/>
      </c>
      <c r="G7827" s="1" t="e">
        <f>IF(VALUE(F7827) = VALUE(RIGHT(Insights!$C$3, 4)), E7827, "")</f>
        <v>#VALUE!</v>
      </c>
      <c r="H7827" s="26" t="e">
        <f t="shared" si="1"/>
        <v>#VALUE!</v>
      </c>
      <c r="I7827" s="1" t="e">
        <f t="shared" si="2"/>
        <v>#VALUE!</v>
      </c>
    </row>
    <row r="7828" spans="1:9" ht="15.75" customHeight="1">
      <c r="A7828" s="26"/>
      <c r="B7828" s="2"/>
      <c r="C7828" s="26"/>
      <c r="D7828" s="26"/>
      <c r="F7828" s="85" t="str">
        <f t="shared" si="0"/>
        <v/>
      </c>
      <c r="G7828" s="1" t="e">
        <f>IF(VALUE(F7828) = VALUE(RIGHT(Insights!$C$3, 4)), E7828, "")</f>
        <v>#VALUE!</v>
      </c>
      <c r="H7828" s="26" t="e">
        <f t="shared" si="1"/>
        <v>#VALUE!</v>
      </c>
      <c r="I7828" s="1" t="e">
        <f t="shared" si="2"/>
        <v>#VALUE!</v>
      </c>
    </row>
    <row r="7829" spans="1:9" ht="15.75" customHeight="1">
      <c r="A7829" s="26"/>
      <c r="B7829" s="2"/>
      <c r="C7829" s="26"/>
      <c r="D7829" s="26"/>
      <c r="F7829" s="85" t="str">
        <f t="shared" si="0"/>
        <v/>
      </c>
      <c r="G7829" s="1" t="e">
        <f>IF(VALUE(F7829) = VALUE(RIGHT(Insights!$C$3, 4)), E7829, "")</f>
        <v>#VALUE!</v>
      </c>
      <c r="H7829" s="26" t="e">
        <f t="shared" si="1"/>
        <v>#VALUE!</v>
      </c>
      <c r="I7829" s="1" t="e">
        <f t="shared" si="2"/>
        <v>#VALUE!</v>
      </c>
    </row>
    <row r="7830" spans="1:9" ht="15.75" customHeight="1">
      <c r="A7830" s="26"/>
      <c r="B7830" s="2"/>
      <c r="C7830" s="26"/>
      <c r="D7830" s="26"/>
      <c r="F7830" s="85" t="str">
        <f t="shared" si="0"/>
        <v/>
      </c>
      <c r="G7830" s="1" t="e">
        <f>IF(VALUE(F7830) = VALUE(RIGHT(Insights!$C$3, 4)), E7830, "")</f>
        <v>#VALUE!</v>
      </c>
      <c r="H7830" s="26" t="e">
        <f t="shared" si="1"/>
        <v>#VALUE!</v>
      </c>
      <c r="I7830" s="1" t="e">
        <f t="shared" si="2"/>
        <v>#VALUE!</v>
      </c>
    </row>
    <row r="7831" spans="1:9" ht="15.75" customHeight="1">
      <c r="A7831" s="26"/>
      <c r="B7831" s="2"/>
      <c r="C7831" s="26"/>
      <c r="D7831" s="26"/>
      <c r="F7831" s="85" t="str">
        <f t="shared" si="0"/>
        <v/>
      </c>
      <c r="G7831" s="1" t="e">
        <f>IF(VALUE(F7831) = VALUE(RIGHT(Insights!$C$3, 4)), E7831, "")</f>
        <v>#VALUE!</v>
      </c>
      <c r="H7831" s="26" t="e">
        <f t="shared" si="1"/>
        <v>#VALUE!</v>
      </c>
      <c r="I7831" s="1" t="e">
        <f t="shared" si="2"/>
        <v>#VALUE!</v>
      </c>
    </row>
    <row r="7832" spans="1:9" ht="15.75" customHeight="1">
      <c r="A7832" s="26"/>
      <c r="B7832" s="2"/>
      <c r="C7832" s="26"/>
      <c r="D7832" s="26"/>
      <c r="F7832" s="85" t="str">
        <f t="shared" si="0"/>
        <v/>
      </c>
      <c r="G7832" s="1" t="e">
        <f>IF(VALUE(F7832) = VALUE(RIGHT(Insights!$C$3, 4)), E7832, "")</f>
        <v>#VALUE!</v>
      </c>
      <c r="H7832" s="26" t="e">
        <f t="shared" si="1"/>
        <v>#VALUE!</v>
      </c>
      <c r="I7832" s="1" t="e">
        <f t="shared" si="2"/>
        <v>#VALUE!</v>
      </c>
    </row>
    <row r="7833" spans="1:9" ht="15.75" customHeight="1">
      <c r="A7833" s="26"/>
      <c r="B7833" s="2"/>
      <c r="C7833" s="26"/>
      <c r="D7833" s="26"/>
      <c r="F7833" s="85" t="str">
        <f t="shared" si="0"/>
        <v/>
      </c>
      <c r="G7833" s="1" t="e">
        <f>IF(VALUE(F7833) = VALUE(RIGHT(Insights!$C$3, 4)), E7833, "")</f>
        <v>#VALUE!</v>
      </c>
      <c r="H7833" s="26" t="e">
        <f t="shared" si="1"/>
        <v>#VALUE!</v>
      </c>
      <c r="I7833" s="1" t="e">
        <f t="shared" si="2"/>
        <v>#VALUE!</v>
      </c>
    </row>
    <row r="7834" spans="1:9" ht="15.75" customHeight="1">
      <c r="A7834" s="26"/>
      <c r="B7834" s="2"/>
      <c r="C7834" s="26"/>
      <c r="D7834" s="26"/>
      <c r="F7834" s="85" t="str">
        <f t="shared" si="0"/>
        <v/>
      </c>
      <c r="G7834" s="1" t="e">
        <f>IF(VALUE(F7834) = VALUE(RIGHT(Insights!$C$3, 4)), E7834, "")</f>
        <v>#VALUE!</v>
      </c>
      <c r="H7834" s="26" t="e">
        <f t="shared" si="1"/>
        <v>#VALUE!</v>
      </c>
      <c r="I7834" s="1" t="e">
        <f t="shared" si="2"/>
        <v>#VALUE!</v>
      </c>
    </row>
    <row r="7835" spans="1:9" ht="15.75" customHeight="1">
      <c r="A7835" s="26"/>
      <c r="B7835" s="2"/>
      <c r="C7835" s="26"/>
      <c r="D7835" s="26"/>
      <c r="F7835" s="85" t="str">
        <f t="shared" si="0"/>
        <v/>
      </c>
      <c r="G7835" s="1" t="e">
        <f>IF(VALUE(F7835) = VALUE(RIGHT(Insights!$C$3, 4)), E7835, "")</f>
        <v>#VALUE!</v>
      </c>
      <c r="H7835" s="26" t="e">
        <f t="shared" si="1"/>
        <v>#VALUE!</v>
      </c>
      <c r="I7835" s="1" t="e">
        <f t="shared" si="2"/>
        <v>#VALUE!</v>
      </c>
    </row>
    <row r="7836" spans="1:9" ht="15.75" customHeight="1">
      <c r="A7836" s="26"/>
      <c r="B7836" s="2"/>
      <c r="C7836" s="26"/>
      <c r="D7836" s="26"/>
      <c r="F7836" s="85" t="str">
        <f t="shared" si="0"/>
        <v/>
      </c>
      <c r="G7836" s="1" t="e">
        <f>IF(VALUE(F7836) = VALUE(RIGHT(Insights!$C$3, 4)), E7836, "")</f>
        <v>#VALUE!</v>
      </c>
      <c r="H7836" s="26" t="e">
        <f t="shared" si="1"/>
        <v>#VALUE!</v>
      </c>
      <c r="I7836" s="1" t="e">
        <f t="shared" si="2"/>
        <v>#VALUE!</v>
      </c>
    </row>
    <row r="7837" spans="1:9" ht="15.75" customHeight="1">
      <c r="A7837" s="26"/>
      <c r="B7837" s="2"/>
      <c r="C7837" s="26"/>
      <c r="D7837" s="26"/>
      <c r="F7837" s="85" t="str">
        <f t="shared" si="0"/>
        <v/>
      </c>
      <c r="G7837" s="1" t="e">
        <f>IF(VALUE(F7837) = VALUE(RIGHT(Insights!$C$3, 4)), E7837, "")</f>
        <v>#VALUE!</v>
      </c>
      <c r="H7837" s="26" t="e">
        <f t="shared" si="1"/>
        <v>#VALUE!</v>
      </c>
      <c r="I7837" s="1" t="e">
        <f t="shared" si="2"/>
        <v>#VALUE!</v>
      </c>
    </row>
    <row r="7838" spans="1:9" ht="15.75" customHeight="1">
      <c r="A7838" s="26"/>
      <c r="B7838" s="2"/>
      <c r="C7838" s="26"/>
      <c r="D7838" s="26"/>
      <c r="F7838" s="85" t="str">
        <f t="shared" si="0"/>
        <v/>
      </c>
      <c r="G7838" s="1" t="e">
        <f>IF(VALUE(F7838) = VALUE(RIGHT(Insights!$C$3, 4)), E7838, "")</f>
        <v>#VALUE!</v>
      </c>
      <c r="H7838" s="26" t="e">
        <f t="shared" si="1"/>
        <v>#VALUE!</v>
      </c>
      <c r="I7838" s="1" t="e">
        <f t="shared" si="2"/>
        <v>#VALUE!</v>
      </c>
    </row>
    <row r="7839" spans="1:9" ht="15.75" customHeight="1">
      <c r="A7839" s="26"/>
      <c r="B7839" s="2"/>
      <c r="C7839" s="26"/>
      <c r="D7839" s="26"/>
      <c r="F7839" s="85" t="str">
        <f t="shared" si="0"/>
        <v/>
      </c>
      <c r="G7839" s="1" t="e">
        <f>IF(VALUE(F7839) = VALUE(RIGHT(Insights!$C$3, 4)), E7839, "")</f>
        <v>#VALUE!</v>
      </c>
      <c r="H7839" s="26" t="e">
        <f t="shared" si="1"/>
        <v>#VALUE!</v>
      </c>
      <c r="I7839" s="1" t="e">
        <f t="shared" si="2"/>
        <v>#VALUE!</v>
      </c>
    </row>
    <row r="7840" spans="1:9" ht="15.75" customHeight="1">
      <c r="A7840" s="26"/>
      <c r="B7840" s="2"/>
      <c r="C7840" s="26"/>
      <c r="D7840" s="26"/>
      <c r="F7840" s="85" t="str">
        <f t="shared" si="0"/>
        <v/>
      </c>
      <c r="G7840" s="1" t="e">
        <f>IF(VALUE(F7840) = VALUE(RIGHT(Insights!$C$3, 4)), E7840, "")</f>
        <v>#VALUE!</v>
      </c>
      <c r="H7840" s="26" t="e">
        <f t="shared" si="1"/>
        <v>#VALUE!</v>
      </c>
      <c r="I7840" s="1" t="e">
        <f t="shared" si="2"/>
        <v>#VALUE!</v>
      </c>
    </row>
    <row r="7841" spans="1:9" ht="15.75" customHeight="1">
      <c r="A7841" s="26"/>
      <c r="B7841" s="2"/>
      <c r="C7841" s="26"/>
      <c r="D7841" s="26"/>
      <c r="F7841" s="85" t="str">
        <f t="shared" si="0"/>
        <v/>
      </c>
      <c r="G7841" s="1" t="e">
        <f>IF(VALUE(F7841) = VALUE(RIGHT(Insights!$C$3, 4)), E7841, "")</f>
        <v>#VALUE!</v>
      </c>
      <c r="H7841" s="26" t="e">
        <f t="shared" si="1"/>
        <v>#VALUE!</v>
      </c>
      <c r="I7841" s="1" t="e">
        <f t="shared" si="2"/>
        <v>#VALUE!</v>
      </c>
    </row>
    <row r="7842" spans="1:9" ht="15.75" customHeight="1">
      <c r="A7842" s="26"/>
      <c r="B7842" s="2"/>
      <c r="C7842" s="26"/>
      <c r="D7842" s="26"/>
      <c r="F7842" s="85" t="str">
        <f t="shared" si="0"/>
        <v/>
      </c>
      <c r="G7842" s="1" t="e">
        <f>IF(VALUE(F7842) = VALUE(RIGHT(Insights!$C$3, 4)), E7842, "")</f>
        <v>#VALUE!</v>
      </c>
      <c r="H7842" s="26" t="e">
        <f t="shared" si="1"/>
        <v>#VALUE!</v>
      </c>
      <c r="I7842" s="1" t="e">
        <f t="shared" si="2"/>
        <v>#VALUE!</v>
      </c>
    </row>
    <row r="7843" spans="1:9" ht="15.75" customHeight="1">
      <c r="A7843" s="26"/>
      <c r="B7843" s="2"/>
      <c r="C7843" s="26"/>
      <c r="D7843" s="26"/>
      <c r="F7843" s="85" t="str">
        <f t="shared" si="0"/>
        <v/>
      </c>
      <c r="G7843" s="1" t="e">
        <f>IF(VALUE(F7843) = VALUE(RIGHT(Insights!$C$3, 4)), E7843, "")</f>
        <v>#VALUE!</v>
      </c>
      <c r="H7843" s="26" t="e">
        <f t="shared" si="1"/>
        <v>#VALUE!</v>
      </c>
      <c r="I7843" s="1" t="e">
        <f t="shared" si="2"/>
        <v>#VALUE!</v>
      </c>
    </row>
    <row r="7844" spans="1:9" ht="15.75" customHeight="1">
      <c r="A7844" s="26"/>
      <c r="B7844" s="2"/>
      <c r="C7844" s="26"/>
      <c r="D7844" s="26"/>
      <c r="F7844" s="85" t="str">
        <f t="shared" si="0"/>
        <v/>
      </c>
      <c r="G7844" s="1" t="e">
        <f>IF(VALUE(F7844) = VALUE(RIGHT(Insights!$C$3, 4)), E7844, "")</f>
        <v>#VALUE!</v>
      </c>
      <c r="H7844" s="26" t="e">
        <f t="shared" si="1"/>
        <v>#VALUE!</v>
      </c>
      <c r="I7844" s="1" t="e">
        <f t="shared" si="2"/>
        <v>#VALUE!</v>
      </c>
    </row>
    <row r="7845" spans="1:9" ht="15.75" customHeight="1">
      <c r="A7845" s="26"/>
      <c r="B7845" s="2"/>
      <c r="C7845" s="26"/>
      <c r="D7845" s="26"/>
      <c r="F7845" s="85" t="str">
        <f t="shared" si="0"/>
        <v/>
      </c>
      <c r="G7845" s="1" t="e">
        <f>IF(VALUE(F7845) = VALUE(RIGHT(Insights!$C$3, 4)), E7845, "")</f>
        <v>#VALUE!</v>
      </c>
      <c r="H7845" s="26" t="e">
        <f t="shared" si="1"/>
        <v>#VALUE!</v>
      </c>
      <c r="I7845" s="1" t="e">
        <f t="shared" si="2"/>
        <v>#VALUE!</v>
      </c>
    </row>
    <row r="7846" spans="1:9" ht="15.75" customHeight="1">
      <c r="A7846" s="26"/>
      <c r="B7846" s="2"/>
      <c r="C7846" s="26"/>
      <c r="D7846" s="26"/>
      <c r="F7846" s="85" t="str">
        <f t="shared" si="0"/>
        <v/>
      </c>
      <c r="G7846" s="1" t="e">
        <f>IF(VALUE(F7846) = VALUE(RIGHT(Insights!$C$3, 4)), E7846, "")</f>
        <v>#VALUE!</v>
      </c>
      <c r="H7846" s="26" t="e">
        <f t="shared" si="1"/>
        <v>#VALUE!</v>
      </c>
      <c r="I7846" s="1" t="e">
        <f t="shared" si="2"/>
        <v>#VALUE!</v>
      </c>
    </row>
    <row r="7847" spans="1:9" ht="15.75" customHeight="1">
      <c r="A7847" s="26"/>
      <c r="B7847" s="2"/>
      <c r="C7847" s="26"/>
      <c r="D7847" s="26"/>
      <c r="F7847" s="85" t="str">
        <f t="shared" si="0"/>
        <v/>
      </c>
      <c r="G7847" s="1" t="e">
        <f>IF(VALUE(F7847) = VALUE(RIGHT(Insights!$C$3, 4)), E7847, "")</f>
        <v>#VALUE!</v>
      </c>
      <c r="H7847" s="26" t="e">
        <f t="shared" si="1"/>
        <v>#VALUE!</v>
      </c>
      <c r="I7847" s="1" t="e">
        <f t="shared" si="2"/>
        <v>#VALUE!</v>
      </c>
    </row>
    <row r="7848" spans="1:9" ht="15.75" customHeight="1">
      <c r="A7848" s="26"/>
      <c r="B7848" s="2"/>
      <c r="C7848" s="26"/>
      <c r="D7848" s="26"/>
      <c r="F7848" s="85" t="str">
        <f t="shared" si="0"/>
        <v/>
      </c>
      <c r="G7848" s="1" t="e">
        <f>IF(VALUE(F7848) = VALUE(RIGHT(Insights!$C$3, 4)), E7848, "")</f>
        <v>#VALUE!</v>
      </c>
      <c r="H7848" s="26" t="e">
        <f t="shared" si="1"/>
        <v>#VALUE!</v>
      </c>
      <c r="I7848" s="1" t="e">
        <f t="shared" si="2"/>
        <v>#VALUE!</v>
      </c>
    </row>
    <row r="7849" spans="1:9" ht="15.75" customHeight="1">
      <c r="A7849" s="26"/>
      <c r="B7849" s="2"/>
      <c r="C7849" s="26"/>
      <c r="D7849" s="26"/>
      <c r="F7849" s="85" t="str">
        <f t="shared" si="0"/>
        <v/>
      </c>
      <c r="G7849" s="1" t="e">
        <f>IF(VALUE(F7849) = VALUE(RIGHT(Insights!$C$3, 4)), E7849, "")</f>
        <v>#VALUE!</v>
      </c>
      <c r="H7849" s="26" t="e">
        <f t="shared" si="1"/>
        <v>#VALUE!</v>
      </c>
      <c r="I7849" s="1" t="e">
        <f t="shared" si="2"/>
        <v>#VALUE!</v>
      </c>
    </row>
    <row r="7850" spans="1:9" ht="15.75" customHeight="1">
      <c r="A7850" s="26"/>
      <c r="B7850" s="2"/>
      <c r="C7850" s="26"/>
      <c r="D7850" s="26"/>
      <c r="F7850" s="85" t="str">
        <f t="shared" si="0"/>
        <v/>
      </c>
      <c r="G7850" s="1" t="e">
        <f>IF(VALUE(F7850) = VALUE(RIGHT(Insights!$C$3, 4)), E7850, "")</f>
        <v>#VALUE!</v>
      </c>
      <c r="H7850" s="26" t="e">
        <f t="shared" si="1"/>
        <v>#VALUE!</v>
      </c>
      <c r="I7850" s="1" t="e">
        <f t="shared" si="2"/>
        <v>#VALUE!</v>
      </c>
    </row>
    <row r="7851" spans="1:9" ht="15.75" customHeight="1">
      <c r="A7851" s="26"/>
      <c r="B7851" s="2"/>
      <c r="C7851" s="26"/>
      <c r="D7851" s="26"/>
      <c r="F7851" s="85" t="str">
        <f t="shared" si="0"/>
        <v/>
      </c>
      <c r="G7851" s="1" t="e">
        <f>IF(VALUE(F7851) = VALUE(RIGHT(Insights!$C$3, 4)), E7851, "")</f>
        <v>#VALUE!</v>
      </c>
      <c r="H7851" s="26" t="e">
        <f t="shared" si="1"/>
        <v>#VALUE!</v>
      </c>
      <c r="I7851" s="1" t="e">
        <f t="shared" si="2"/>
        <v>#VALUE!</v>
      </c>
    </row>
    <row r="7852" spans="1:9" ht="15.75" customHeight="1">
      <c r="A7852" s="26"/>
      <c r="B7852" s="2"/>
      <c r="C7852" s="26"/>
      <c r="D7852" s="26"/>
      <c r="F7852" s="85" t="str">
        <f t="shared" si="0"/>
        <v/>
      </c>
      <c r="G7852" s="1" t="e">
        <f>IF(VALUE(F7852) = VALUE(RIGHT(Insights!$C$3, 4)), E7852, "")</f>
        <v>#VALUE!</v>
      </c>
      <c r="H7852" s="26" t="e">
        <f t="shared" si="1"/>
        <v>#VALUE!</v>
      </c>
      <c r="I7852" s="1" t="e">
        <f t="shared" si="2"/>
        <v>#VALUE!</v>
      </c>
    </row>
    <row r="7853" spans="1:9" ht="15.75" customHeight="1">
      <c r="A7853" s="26"/>
      <c r="B7853" s="2"/>
      <c r="C7853" s="26"/>
      <c r="D7853" s="26"/>
      <c r="F7853" s="85" t="str">
        <f t="shared" si="0"/>
        <v/>
      </c>
      <c r="G7853" s="1" t="e">
        <f>IF(VALUE(F7853) = VALUE(RIGHT(Insights!$C$3, 4)), E7853, "")</f>
        <v>#VALUE!</v>
      </c>
      <c r="H7853" s="26" t="e">
        <f t="shared" si="1"/>
        <v>#VALUE!</v>
      </c>
      <c r="I7853" s="1" t="e">
        <f t="shared" si="2"/>
        <v>#VALUE!</v>
      </c>
    </row>
    <row r="7854" spans="1:9" ht="15.75" customHeight="1">
      <c r="A7854" s="26"/>
      <c r="B7854" s="2"/>
      <c r="C7854" s="26"/>
      <c r="D7854" s="26"/>
      <c r="F7854" s="85" t="str">
        <f t="shared" si="0"/>
        <v/>
      </c>
      <c r="G7854" s="1" t="e">
        <f>IF(VALUE(F7854) = VALUE(RIGHT(Insights!$C$3, 4)), E7854, "")</f>
        <v>#VALUE!</v>
      </c>
      <c r="H7854" s="26" t="e">
        <f t="shared" si="1"/>
        <v>#VALUE!</v>
      </c>
      <c r="I7854" s="1" t="e">
        <f t="shared" si="2"/>
        <v>#VALUE!</v>
      </c>
    </row>
    <row r="7855" spans="1:9" ht="15.75" customHeight="1">
      <c r="A7855" s="26"/>
      <c r="B7855" s="2"/>
      <c r="C7855" s="26"/>
      <c r="D7855" s="26"/>
      <c r="F7855" s="85" t="str">
        <f t="shared" si="0"/>
        <v/>
      </c>
      <c r="G7855" s="1" t="e">
        <f>IF(VALUE(F7855) = VALUE(RIGHT(Insights!$C$3, 4)), E7855, "")</f>
        <v>#VALUE!</v>
      </c>
      <c r="H7855" s="26" t="e">
        <f t="shared" si="1"/>
        <v>#VALUE!</v>
      </c>
      <c r="I7855" s="1" t="e">
        <f t="shared" si="2"/>
        <v>#VALUE!</v>
      </c>
    </row>
    <row r="7856" spans="1:9" ht="15.75" customHeight="1">
      <c r="A7856" s="26"/>
      <c r="B7856" s="2"/>
      <c r="C7856" s="26"/>
      <c r="D7856" s="26"/>
      <c r="F7856" s="85" t="str">
        <f t="shared" si="0"/>
        <v/>
      </c>
      <c r="G7856" s="1" t="e">
        <f>IF(VALUE(F7856) = VALUE(RIGHT(Insights!$C$3, 4)), E7856, "")</f>
        <v>#VALUE!</v>
      </c>
      <c r="H7856" s="26" t="e">
        <f t="shared" si="1"/>
        <v>#VALUE!</v>
      </c>
      <c r="I7856" s="1" t="e">
        <f t="shared" si="2"/>
        <v>#VALUE!</v>
      </c>
    </row>
    <row r="7857" spans="1:9" ht="15.75" customHeight="1">
      <c r="A7857" s="26"/>
      <c r="B7857" s="2"/>
      <c r="C7857" s="26"/>
      <c r="D7857" s="26"/>
      <c r="F7857" s="85" t="str">
        <f t="shared" si="0"/>
        <v/>
      </c>
      <c r="G7857" s="1" t="e">
        <f>IF(VALUE(F7857) = VALUE(RIGHT(Insights!$C$3, 4)), E7857, "")</f>
        <v>#VALUE!</v>
      </c>
      <c r="H7857" s="26" t="e">
        <f t="shared" si="1"/>
        <v>#VALUE!</v>
      </c>
      <c r="I7857" s="1" t="e">
        <f t="shared" si="2"/>
        <v>#VALUE!</v>
      </c>
    </row>
    <row r="7858" spans="1:9" ht="15.75" customHeight="1">
      <c r="A7858" s="26"/>
      <c r="B7858" s="2"/>
      <c r="C7858" s="26"/>
      <c r="D7858" s="26"/>
      <c r="F7858" s="85" t="str">
        <f t="shared" si="0"/>
        <v/>
      </c>
      <c r="G7858" s="1" t="e">
        <f>IF(VALUE(F7858) = VALUE(RIGHT(Insights!$C$3, 4)), E7858, "")</f>
        <v>#VALUE!</v>
      </c>
      <c r="H7858" s="26" t="e">
        <f t="shared" si="1"/>
        <v>#VALUE!</v>
      </c>
      <c r="I7858" s="1" t="e">
        <f t="shared" si="2"/>
        <v>#VALUE!</v>
      </c>
    </row>
    <row r="7859" spans="1:9" ht="15.75" customHeight="1">
      <c r="A7859" s="26"/>
      <c r="B7859" s="2"/>
      <c r="C7859" s="26"/>
      <c r="D7859" s="26"/>
      <c r="F7859" s="85" t="str">
        <f t="shared" si="0"/>
        <v/>
      </c>
      <c r="G7859" s="1" t="e">
        <f>IF(VALUE(F7859) = VALUE(RIGHT(Insights!$C$3, 4)), E7859, "")</f>
        <v>#VALUE!</v>
      </c>
      <c r="H7859" s="26" t="e">
        <f t="shared" si="1"/>
        <v>#VALUE!</v>
      </c>
      <c r="I7859" s="1" t="e">
        <f t="shared" si="2"/>
        <v>#VALUE!</v>
      </c>
    </row>
    <row r="7860" spans="1:9" ht="15.75" customHeight="1">
      <c r="A7860" s="26"/>
      <c r="B7860" s="2"/>
      <c r="C7860" s="26"/>
      <c r="D7860" s="26"/>
      <c r="F7860" s="85" t="str">
        <f t="shared" si="0"/>
        <v/>
      </c>
      <c r="G7860" s="1" t="e">
        <f>IF(VALUE(F7860) = VALUE(RIGHT(Insights!$C$3, 4)), E7860, "")</f>
        <v>#VALUE!</v>
      </c>
      <c r="H7860" s="26" t="e">
        <f t="shared" si="1"/>
        <v>#VALUE!</v>
      </c>
      <c r="I7860" s="1" t="e">
        <f t="shared" si="2"/>
        <v>#VALUE!</v>
      </c>
    </row>
    <row r="7861" spans="1:9" ht="15.75" customHeight="1">
      <c r="A7861" s="26"/>
      <c r="B7861" s="2"/>
      <c r="C7861" s="26"/>
      <c r="D7861" s="26"/>
      <c r="F7861" s="85" t="str">
        <f t="shared" si="0"/>
        <v/>
      </c>
      <c r="G7861" s="1" t="e">
        <f>IF(VALUE(F7861) = VALUE(RIGHT(Insights!$C$3, 4)), E7861, "")</f>
        <v>#VALUE!</v>
      </c>
      <c r="H7861" s="26" t="e">
        <f t="shared" si="1"/>
        <v>#VALUE!</v>
      </c>
      <c r="I7861" s="1" t="e">
        <f t="shared" si="2"/>
        <v>#VALUE!</v>
      </c>
    </row>
    <row r="7862" spans="1:9" ht="15.75" customHeight="1">
      <c r="A7862" s="26"/>
      <c r="B7862" s="2"/>
      <c r="C7862" s="26"/>
      <c r="D7862" s="26"/>
      <c r="F7862" s="85" t="str">
        <f t="shared" si="0"/>
        <v/>
      </c>
      <c r="G7862" s="1" t="e">
        <f>IF(VALUE(F7862) = VALUE(RIGHT(Insights!$C$3, 4)), E7862, "")</f>
        <v>#VALUE!</v>
      </c>
      <c r="H7862" s="26" t="e">
        <f t="shared" si="1"/>
        <v>#VALUE!</v>
      </c>
      <c r="I7862" s="1" t="e">
        <f t="shared" si="2"/>
        <v>#VALUE!</v>
      </c>
    </row>
    <row r="7863" spans="1:9" ht="15.75" customHeight="1">
      <c r="A7863" s="26"/>
      <c r="B7863" s="2"/>
      <c r="C7863" s="26"/>
      <c r="D7863" s="26"/>
      <c r="F7863" s="85" t="str">
        <f t="shared" si="0"/>
        <v/>
      </c>
      <c r="G7863" s="1" t="e">
        <f>IF(VALUE(F7863) = VALUE(RIGHT(Insights!$C$3, 4)), E7863, "")</f>
        <v>#VALUE!</v>
      </c>
      <c r="H7863" s="26" t="e">
        <f t="shared" si="1"/>
        <v>#VALUE!</v>
      </c>
      <c r="I7863" s="1" t="e">
        <f t="shared" si="2"/>
        <v>#VALUE!</v>
      </c>
    </row>
    <row r="7864" spans="1:9" ht="15.75" customHeight="1">
      <c r="A7864" s="26"/>
      <c r="B7864" s="2"/>
      <c r="C7864" s="26"/>
      <c r="D7864" s="26"/>
      <c r="F7864" s="85" t="str">
        <f t="shared" si="0"/>
        <v/>
      </c>
      <c r="G7864" s="1" t="e">
        <f>IF(VALUE(F7864) = VALUE(RIGHT(Insights!$C$3, 4)), E7864, "")</f>
        <v>#VALUE!</v>
      </c>
      <c r="H7864" s="26" t="e">
        <f t="shared" si="1"/>
        <v>#VALUE!</v>
      </c>
      <c r="I7864" s="1" t="e">
        <f t="shared" si="2"/>
        <v>#VALUE!</v>
      </c>
    </row>
    <row r="7865" spans="1:9" ht="15.75" customHeight="1">
      <c r="A7865" s="26"/>
      <c r="B7865" s="2"/>
      <c r="C7865" s="26"/>
      <c r="D7865" s="26"/>
      <c r="F7865" s="85" t="str">
        <f t="shared" si="0"/>
        <v/>
      </c>
      <c r="G7865" s="1" t="e">
        <f>IF(VALUE(F7865) = VALUE(RIGHT(Insights!$C$3, 4)), E7865, "")</f>
        <v>#VALUE!</v>
      </c>
      <c r="H7865" s="26" t="e">
        <f t="shared" si="1"/>
        <v>#VALUE!</v>
      </c>
      <c r="I7865" s="1" t="e">
        <f t="shared" si="2"/>
        <v>#VALUE!</v>
      </c>
    </row>
    <row r="7866" spans="1:9" ht="15.75" customHeight="1">
      <c r="A7866" s="26"/>
      <c r="B7866" s="2"/>
      <c r="C7866" s="26"/>
      <c r="D7866" s="26"/>
      <c r="F7866" s="85" t="str">
        <f t="shared" si="0"/>
        <v/>
      </c>
      <c r="G7866" s="1" t="e">
        <f>IF(VALUE(F7866) = VALUE(RIGHT(Insights!$C$3, 4)), E7866, "")</f>
        <v>#VALUE!</v>
      </c>
      <c r="H7866" s="26" t="e">
        <f t="shared" si="1"/>
        <v>#VALUE!</v>
      </c>
      <c r="I7866" s="1" t="e">
        <f t="shared" si="2"/>
        <v>#VALUE!</v>
      </c>
    </row>
    <row r="7867" spans="1:9" ht="15.75" customHeight="1">
      <c r="A7867" s="26"/>
      <c r="B7867" s="2"/>
      <c r="C7867" s="26"/>
      <c r="D7867" s="26"/>
      <c r="F7867" s="85" t="str">
        <f t="shared" si="0"/>
        <v/>
      </c>
      <c r="G7867" s="1" t="e">
        <f>IF(VALUE(F7867) = VALUE(RIGHT(Insights!$C$3, 4)), E7867, "")</f>
        <v>#VALUE!</v>
      </c>
      <c r="H7867" s="26" t="e">
        <f t="shared" si="1"/>
        <v>#VALUE!</v>
      </c>
      <c r="I7867" s="1" t="e">
        <f t="shared" si="2"/>
        <v>#VALUE!</v>
      </c>
    </row>
    <row r="7868" spans="1:9" ht="15.75" customHeight="1">
      <c r="A7868" s="26"/>
      <c r="B7868" s="2"/>
      <c r="C7868" s="26"/>
      <c r="D7868" s="26"/>
      <c r="F7868" s="85" t="str">
        <f t="shared" si="0"/>
        <v/>
      </c>
      <c r="G7868" s="1" t="e">
        <f>IF(VALUE(F7868) = VALUE(RIGHT(Insights!$C$3, 4)), E7868, "")</f>
        <v>#VALUE!</v>
      </c>
      <c r="H7868" s="26" t="e">
        <f t="shared" si="1"/>
        <v>#VALUE!</v>
      </c>
      <c r="I7868" s="1" t="e">
        <f t="shared" si="2"/>
        <v>#VALUE!</v>
      </c>
    </row>
    <row r="7869" spans="1:9" ht="15.75" customHeight="1">
      <c r="A7869" s="26"/>
      <c r="B7869" s="2"/>
      <c r="C7869" s="26"/>
      <c r="D7869" s="26"/>
      <c r="F7869" s="85" t="str">
        <f t="shared" si="0"/>
        <v/>
      </c>
      <c r="G7869" s="1" t="e">
        <f>IF(VALUE(F7869) = VALUE(RIGHT(Insights!$C$3, 4)), E7869, "")</f>
        <v>#VALUE!</v>
      </c>
      <c r="H7869" s="26" t="e">
        <f t="shared" si="1"/>
        <v>#VALUE!</v>
      </c>
      <c r="I7869" s="1" t="e">
        <f t="shared" si="2"/>
        <v>#VALUE!</v>
      </c>
    </row>
    <row r="7870" spans="1:9" ht="15.75" customHeight="1">
      <c r="A7870" s="26"/>
      <c r="B7870" s="2"/>
      <c r="C7870" s="26"/>
      <c r="D7870" s="26"/>
      <c r="F7870" s="85" t="str">
        <f t="shared" si="0"/>
        <v/>
      </c>
      <c r="G7870" s="1" t="e">
        <f>IF(VALUE(F7870) = VALUE(RIGHT(Insights!$C$3, 4)), E7870, "")</f>
        <v>#VALUE!</v>
      </c>
      <c r="H7870" s="26" t="e">
        <f t="shared" si="1"/>
        <v>#VALUE!</v>
      </c>
      <c r="I7870" s="1" t="e">
        <f t="shared" si="2"/>
        <v>#VALUE!</v>
      </c>
    </row>
    <row r="7871" spans="1:9" ht="15.75" customHeight="1">
      <c r="A7871" s="26"/>
      <c r="B7871" s="2"/>
      <c r="C7871" s="26"/>
      <c r="D7871" s="26"/>
      <c r="F7871" s="85" t="str">
        <f t="shared" si="0"/>
        <v/>
      </c>
      <c r="G7871" s="1" t="e">
        <f>IF(VALUE(F7871) = VALUE(RIGHT(Insights!$C$3, 4)), E7871, "")</f>
        <v>#VALUE!</v>
      </c>
      <c r="H7871" s="26" t="e">
        <f t="shared" si="1"/>
        <v>#VALUE!</v>
      </c>
      <c r="I7871" s="1" t="e">
        <f t="shared" si="2"/>
        <v>#VALUE!</v>
      </c>
    </row>
    <row r="7872" spans="1:9" ht="15.75" customHeight="1">
      <c r="A7872" s="26"/>
      <c r="B7872" s="2"/>
      <c r="C7872" s="26"/>
      <c r="D7872" s="26"/>
      <c r="F7872" s="85" t="str">
        <f t="shared" si="0"/>
        <v/>
      </c>
      <c r="G7872" s="1" t="e">
        <f>IF(VALUE(F7872) = VALUE(RIGHT(Insights!$C$3, 4)), E7872, "")</f>
        <v>#VALUE!</v>
      </c>
      <c r="H7872" s="26" t="e">
        <f t="shared" si="1"/>
        <v>#VALUE!</v>
      </c>
      <c r="I7872" s="1" t="e">
        <f t="shared" si="2"/>
        <v>#VALUE!</v>
      </c>
    </row>
    <row r="7873" spans="1:9" ht="15.75" customHeight="1">
      <c r="A7873" s="26"/>
      <c r="B7873" s="2"/>
      <c r="C7873" s="26"/>
      <c r="D7873" s="26"/>
      <c r="F7873" s="85" t="str">
        <f t="shared" si="0"/>
        <v/>
      </c>
      <c r="G7873" s="1" t="e">
        <f>IF(VALUE(F7873) = VALUE(RIGHT(Insights!$C$3, 4)), E7873, "")</f>
        <v>#VALUE!</v>
      </c>
      <c r="H7873" s="26" t="e">
        <f t="shared" si="1"/>
        <v>#VALUE!</v>
      </c>
      <c r="I7873" s="1" t="e">
        <f t="shared" si="2"/>
        <v>#VALUE!</v>
      </c>
    </row>
    <row r="7874" spans="1:9" ht="15.75" customHeight="1">
      <c r="A7874" s="26"/>
      <c r="B7874" s="2"/>
      <c r="C7874" s="26"/>
      <c r="D7874" s="26"/>
      <c r="F7874" s="85" t="str">
        <f t="shared" si="0"/>
        <v/>
      </c>
      <c r="G7874" s="1" t="e">
        <f>IF(VALUE(F7874) = VALUE(RIGHT(Insights!$C$3, 4)), E7874, "")</f>
        <v>#VALUE!</v>
      </c>
      <c r="H7874" s="26" t="e">
        <f t="shared" si="1"/>
        <v>#VALUE!</v>
      </c>
      <c r="I7874" s="1" t="e">
        <f t="shared" si="2"/>
        <v>#VALUE!</v>
      </c>
    </row>
    <row r="7875" spans="1:9" ht="15.75" customHeight="1">
      <c r="A7875" s="26"/>
      <c r="B7875" s="2"/>
      <c r="C7875" s="26"/>
      <c r="D7875" s="26"/>
      <c r="F7875" s="85" t="str">
        <f t="shared" si="0"/>
        <v/>
      </c>
      <c r="G7875" s="1" t="e">
        <f>IF(VALUE(F7875) = VALUE(RIGHT(Insights!$C$3, 4)), E7875, "")</f>
        <v>#VALUE!</v>
      </c>
      <c r="H7875" s="26" t="e">
        <f t="shared" si="1"/>
        <v>#VALUE!</v>
      </c>
      <c r="I7875" s="1" t="e">
        <f t="shared" si="2"/>
        <v>#VALUE!</v>
      </c>
    </row>
    <row r="7876" spans="1:9" ht="15.75" customHeight="1">
      <c r="A7876" s="26"/>
      <c r="B7876" s="2"/>
      <c r="C7876" s="26"/>
      <c r="D7876" s="26"/>
      <c r="F7876" s="85" t="str">
        <f t="shared" si="0"/>
        <v/>
      </c>
      <c r="G7876" s="1" t="e">
        <f>IF(VALUE(F7876) = VALUE(RIGHT(Insights!$C$3, 4)), E7876, "")</f>
        <v>#VALUE!</v>
      </c>
      <c r="H7876" s="26" t="e">
        <f t="shared" si="1"/>
        <v>#VALUE!</v>
      </c>
      <c r="I7876" s="1" t="e">
        <f t="shared" si="2"/>
        <v>#VALUE!</v>
      </c>
    </row>
    <row r="7877" spans="1:9" ht="15.75" customHeight="1">
      <c r="A7877" s="26"/>
      <c r="B7877" s="2"/>
      <c r="C7877" s="26"/>
      <c r="D7877" s="26"/>
      <c r="F7877" s="85" t="str">
        <f t="shared" si="0"/>
        <v/>
      </c>
      <c r="G7877" s="1" t="e">
        <f>IF(VALUE(F7877) = VALUE(RIGHT(Insights!$C$3, 4)), E7877, "")</f>
        <v>#VALUE!</v>
      </c>
      <c r="H7877" s="26" t="e">
        <f t="shared" si="1"/>
        <v>#VALUE!</v>
      </c>
      <c r="I7877" s="1" t="e">
        <f t="shared" si="2"/>
        <v>#VALUE!</v>
      </c>
    </row>
    <row r="7878" spans="1:9" ht="15.75" customHeight="1">
      <c r="A7878" s="26"/>
      <c r="B7878" s="2"/>
      <c r="C7878" s="26"/>
      <c r="D7878" s="26"/>
      <c r="F7878" s="85" t="str">
        <f t="shared" si="0"/>
        <v/>
      </c>
      <c r="G7878" s="1" t="e">
        <f>IF(VALUE(F7878) = VALUE(RIGHT(Insights!$C$3, 4)), E7878, "")</f>
        <v>#VALUE!</v>
      </c>
      <c r="H7878" s="26" t="e">
        <f t="shared" si="1"/>
        <v>#VALUE!</v>
      </c>
      <c r="I7878" s="1" t="e">
        <f t="shared" si="2"/>
        <v>#VALUE!</v>
      </c>
    </row>
    <row r="7879" spans="1:9" ht="15.75" customHeight="1">
      <c r="A7879" s="26"/>
      <c r="B7879" s="2"/>
      <c r="C7879" s="26"/>
      <c r="D7879" s="26"/>
      <c r="F7879" s="85" t="str">
        <f t="shared" si="0"/>
        <v/>
      </c>
      <c r="G7879" s="1" t="e">
        <f>IF(VALUE(F7879) = VALUE(RIGHT(Insights!$C$3, 4)), E7879, "")</f>
        <v>#VALUE!</v>
      </c>
      <c r="H7879" s="26" t="e">
        <f t="shared" si="1"/>
        <v>#VALUE!</v>
      </c>
      <c r="I7879" s="1" t="e">
        <f t="shared" si="2"/>
        <v>#VALUE!</v>
      </c>
    </row>
    <row r="7880" spans="1:9" ht="15.75" customHeight="1">
      <c r="A7880" s="26"/>
      <c r="B7880" s="2"/>
      <c r="C7880" s="26"/>
      <c r="D7880" s="26"/>
      <c r="F7880" s="85" t="str">
        <f t="shared" si="0"/>
        <v/>
      </c>
      <c r="G7880" s="1" t="e">
        <f>IF(VALUE(F7880) = VALUE(RIGHT(Insights!$C$3, 4)), E7880, "")</f>
        <v>#VALUE!</v>
      </c>
      <c r="H7880" s="26" t="e">
        <f t="shared" si="1"/>
        <v>#VALUE!</v>
      </c>
      <c r="I7880" s="1" t="e">
        <f t="shared" si="2"/>
        <v>#VALUE!</v>
      </c>
    </row>
    <row r="7881" spans="1:9" ht="15.75" customHeight="1">
      <c r="A7881" s="26"/>
      <c r="B7881" s="2"/>
      <c r="C7881" s="26"/>
      <c r="D7881" s="26"/>
      <c r="F7881" s="85" t="str">
        <f t="shared" si="0"/>
        <v/>
      </c>
      <c r="G7881" s="1" t="e">
        <f>IF(VALUE(F7881) = VALUE(RIGHT(Insights!$C$3, 4)), E7881, "")</f>
        <v>#VALUE!</v>
      </c>
      <c r="H7881" s="26" t="e">
        <f t="shared" si="1"/>
        <v>#VALUE!</v>
      </c>
      <c r="I7881" s="1" t="e">
        <f t="shared" si="2"/>
        <v>#VALUE!</v>
      </c>
    </row>
    <row r="7882" spans="1:9" ht="15.75" customHeight="1">
      <c r="A7882" s="26"/>
      <c r="B7882" s="2"/>
      <c r="C7882" s="26"/>
      <c r="D7882" s="26"/>
      <c r="F7882" s="85" t="str">
        <f t="shared" si="0"/>
        <v/>
      </c>
      <c r="G7882" s="1" t="e">
        <f>IF(VALUE(F7882) = VALUE(RIGHT(Insights!$C$3, 4)), E7882, "")</f>
        <v>#VALUE!</v>
      </c>
      <c r="H7882" s="26" t="e">
        <f t="shared" si="1"/>
        <v>#VALUE!</v>
      </c>
      <c r="I7882" s="1" t="e">
        <f t="shared" si="2"/>
        <v>#VALUE!</v>
      </c>
    </row>
    <row r="7883" spans="1:9" ht="15.75" customHeight="1">
      <c r="A7883" s="26"/>
      <c r="B7883" s="2"/>
      <c r="C7883" s="26"/>
      <c r="D7883" s="26"/>
      <c r="F7883" s="85" t="str">
        <f t="shared" si="0"/>
        <v/>
      </c>
      <c r="G7883" s="1" t="e">
        <f>IF(VALUE(F7883) = VALUE(RIGHT(Insights!$C$3, 4)), E7883, "")</f>
        <v>#VALUE!</v>
      </c>
      <c r="H7883" s="26" t="e">
        <f t="shared" si="1"/>
        <v>#VALUE!</v>
      </c>
      <c r="I7883" s="1" t="e">
        <f t="shared" si="2"/>
        <v>#VALUE!</v>
      </c>
    </row>
    <row r="7884" spans="1:9" ht="15.75" customHeight="1">
      <c r="A7884" s="26"/>
      <c r="B7884" s="2"/>
      <c r="C7884" s="26"/>
      <c r="D7884" s="26"/>
      <c r="F7884" s="85" t="str">
        <f t="shared" si="0"/>
        <v/>
      </c>
      <c r="G7884" s="1" t="e">
        <f>IF(VALUE(F7884) = VALUE(RIGHT(Insights!$C$3, 4)), E7884, "")</f>
        <v>#VALUE!</v>
      </c>
      <c r="H7884" s="26" t="e">
        <f t="shared" si="1"/>
        <v>#VALUE!</v>
      </c>
      <c r="I7884" s="1" t="e">
        <f t="shared" si="2"/>
        <v>#VALUE!</v>
      </c>
    </row>
    <row r="7885" spans="1:9" ht="15.75" customHeight="1">
      <c r="A7885" s="26"/>
      <c r="B7885" s="2"/>
      <c r="C7885" s="26"/>
      <c r="D7885" s="26"/>
      <c r="F7885" s="85" t="str">
        <f t="shared" si="0"/>
        <v/>
      </c>
      <c r="G7885" s="1" t="e">
        <f>IF(VALUE(F7885) = VALUE(RIGHT(Insights!$C$3, 4)), E7885, "")</f>
        <v>#VALUE!</v>
      </c>
      <c r="H7885" s="26" t="e">
        <f t="shared" si="1"/>
        <v>#VALUE!</v>
      </c>
      <c r="I7885" s="1" t="e">
        <f t="shared" si="2"/>
        <v>#VALUE!</v>
      </c>
    </row>
    <row r="7886" spans="1:9" ht="15.75" customHeight="1">
      <c r="A7886" s="26"/>
      <c r="B7886" s="2"/>
      <c r="C7886" s="26"/>
      <c r="D7886" s="26"/>
      <c r="F7886" s="85" t="str">
        <f t="shared" si="0"/>
        <v/>
      </c>
      <c r="G7886" s="1" t="e">
        <f>IF(VALUE(F7886) = VALUE(RIGHT(Insights!$C$3, 4)), E7886, "")</f>
        <v>#VALUE!</v>
      </c>
      <c r="H7886" s="26" t="e">
        <f t="shared" si="1"/>
        <v>#VALUE!</v>
      </c>
      <c r="I7886" s="1" t="e">
        <f t="shared" si="2"/>
        <v>#VALUE!</v>
      </c>
    </row>
    <row r="7887" spans="1:9" ht="15.75" customHeight="1">
      <c r="A7887" s="26"/>
      <c r="B7887" s="2"/>
      <c r="C7887" s="26"/>
      <c r="D7887" s="26"/>
      <c r="F7887" s="85" t="str">
        <f t="shared" si="0"/>
        <v/>
      </c>
      <c r="G7887" s="1" t="e">
        <f>IF(VALUE(F7887) = VALUE(RIGHT(Insights!$C$3, 4)), E7887, "")</f>
        <v>#VALUE!</v>
      </c>
      <c r="H7887" s="26" t="e">
        <f t="shared" si="1"/>
        <v>#VALUE!</v>
      </c>
      <c r="I7887" s="1" t="e">
        <f t="shared" si="2"/>
        <v>#VALUE!</v>
      </c>
    </row>
    <row r="7888" spans="1:9" ht="15.75" customHeight="1">
      <c r="A7888" s="26"/>
      <c r="B7888" s="2"/>
      <c r="C7888" s="26"/>
      <c r="D7888" s="26"/>
      <c r="F7888" s="85" t="str">
        <f t="shared" si="0"/>
        <v/>
      </c>
      <c r="G7888" s="1" t="e">
        <f>IF(VALUE(F7888) = VALUE(RIGHT(Insights!$C$3, 4)), E7888, "")</f>
        <v>#VALUE!</v>
      </c>
      <c r="H7888" s="26" t="e">
        <f t="shared" si="1"/>
        <v>#VALUE!</v>
      </c>
      <c r="I7888" s="1" t="e">
        <f t="shared" si="2"/>
        <v>#VALUE!</v>
      </c>
    </row>
    <row r="7889" spans="1:9" ht="15.75" customHeight="1">
      <c r="A7889" s="26"/>
      <c r="B7889" s="2"/>
      <c r="C7889" s="26"/>
      <c r="D7889" s="26"/>
      <c r="F7889" s="85" t="str">
        <f t="shared" si="0"/>
        <v/>
      </c>
      <c r="G7889" s="1" t="e">
        <f>IF(VALUE(F7889) = VALUE(RIGHT(Insights!$C$3, 4)), E7889, "")</f>
        <v>#VALUE!</v>
      </c>
      <c r="H7889" s="26" t="e">
        <f t="shared" si="1"/>
        <v>#VALUE!</v>
      </c>
      <c r="I7889" s="1" t="e">
        <f t="shared" si="2"/>
        <v>#VALUE!</v>
      </c>
    </row>
    <row r="7890" spans="1:9" ht="15.75" customHeight="1">
      <c r="A7890" s="26"/>
      <c r="B7890" s="2"/>
      <c r="C7890" s="26"/>
      <c r="D7890" s="26"/>
      <c r="F7890" s="85" t="str">
        <f t="shared" si="0"/>
        <v/>
      </c>
      <c r="G7890" s="1" t="e">
        <f>IF(VALUE(F7890) = VALUE(RIGHT(Insights!$C$3, 4)), E7890, "")</f>
        <v>#VALUE!</v>
      </c>
      <c r="H7890" s="26" t="e">
        <f t="shared" si="1"/>
        <v>#VALUE!</v>
      </c>
      <c r="I7890" s="1" t="e">
        <f t="shared" si="2"/>
        <v>#VALUE!</v>
      </c>
    </row>
    <row r="7891" spans="1:9" ht="15.75" customHeight="1">
      <c r="A7891" s="26"/>
      <c r="B7891" s="2"/>
      <c r="C7891" s="26"/>
      <c r="D7891" s="26"/>
      <c r="F7891" s="85" t="str">
        <f t="shared" si="0"/>
        <v/>
      </c>
      <c r="G7891" s="1" t="e">
        <f>IF(VALUE(F7891) = VALUE(RIGHT(Insights!$C$3, 4)), E7891, "")</f>
        <v>#VALUE!</v>
      </c>
      <c r="H7891" s="26" t="e">
        <f t="shared" si="1"/>
        <v>#VALUE!</v>
      </c>
      <c r="I7891" s="1" t="e">
        <f t="shared" si="2"/>
        <v>#VALUE!</v>
      </c>
    </row>
    <row r="7892" spans="1:9" ht="15.75" customHeight="1">
      <c r="A7892" s="26"/>
      <c r="B7892" s="2"/>
      <c r="C7892" s="26"/>
      <c r="D7892" s="26"/>
      <c r="F7892" s="85" t="str">
        <f t="shared" si="0"/>
        <v/>
      </c>
      <c r="G7892" s="1" t="e">
        <f>IF(VALUE(F7892) = VALUE(RIGHT(Insights!$C$3, 4)), E7892, "")</f>
        <v>#VALUE!</v>
      </c>
      <c r="H7892" s="26" t="e">
        <f t="shared" si="1"/>
        <v>#VALUE!</v>
      </c>
      <c r="I7892" s="1" t="e">
        <f t="shared" si="2"/>
        <v>#VALUE!</v>
      </c>
    </row>
    <row r="7893" spans="1:9" ht="15.75" customHeight="1">
      <c r="A7893" s="26"/>
      <c r="B7893" s="2"/>
      <c r="C7893" s="26"/>
      <c r="D7893" s="26"/>
      <c r="F7893" s="85" t="str">
        <f t="shared" si="0"/>
        <v/>
      </c>
      <c r="G7893" s="1" t="e">
        <f>IF(VALUE(F7893) = VALUE(RIGHT(Insights!$C$3, 4)), E7893, "")</f>
        <v>#VALUE!</v>
      </c>
      <c r="H7893" s="26" t="e">
        <f t="shared" si="1"/>
        <v>#VALUE!</v>
      </c>
      <c r="I7893" s="1" t="e">
        <f t="shared" si="2"/>
        <v>#VALUE!</v>
      </c>
    </row>
    <row r="7894" spans="1:9" ht="15.75" customHeight="1">
      <c r="A7894" s="26"/>
      <c r="B7894" s="2"/>
      <c r="C7894" s="26"/>
      <c r="D7894" s="26"/>
      <c r="F7894" s="85" t="str">
        <f t="shared" si="0"/>
        <v/>
      </c>
      <c r="G7894" s="1" t="e">
        <f>IF(VALUE(F7894) = VALUE(RIGHT(Insights!$C$3, 4)), E7894, "")</f>
        <v>#VALUE!</v>
      </c>
      <c r="H7894" s="26" t="e">
        <f t="shared" si="1"/>
        <v>#VALUE!</v>
      </c>
      <c r="I7894" s="1" t="e">
        <f t="shared" si="2"/>
        <v>#VALUE!</v>
      </c>
    </row>
    <row r="7895" spans="1:9" ht="15.75" customHeight="1">
      <c r="A7895" s="26"/>
      <c r="B7895" s="2"/>
      <c r="C7895" s="26"/>
      <c r="D7895" s="26"/>
      <c r="F7895" s="85" t="str">
        <f t="shared" si="0"/>
        <v/>
      </c>
      <c r="G7895" s="1" t="e">
        <f>IF(VALUE(F7895) = VALUE(RIGHT(Insights!$C$3, 4)), E7895, "")</f>
        <v>#VALUE!</v>
      </c>
      <c r="H7895" s="26" t="e">
        <f t="shared" si="1"/>
        <v>#VALUE!</v>
      </c>
      <c r="I7895" s="1" t="e">
        <f t="shared" si="2"/>
        <v>#VALUE!</v>
      </c>
    </row>
    <row r="7896" spans="1:9" ht="15.75" customHeight="1">
      <c r="A7896" s="26"/>
      <c r="B7896" s="2"/>
      <c r="C7896" s="26"/>
      <c r="D7896" s="26"/>
      <c r="F7896" s="85" t="str">
        <f t="shared" si="0"/>
        <v/>
      </c>
      <c r="G7896" s="1" t="e">
        <f>IF(VALUE(F7896) = VALUE(RIGHT(Insights!$C$3, 4)), E7896, "")</f>
        <v>#VALUE!</v>
      </c>
      <c r="H7896" s="26" t="e">
        <f t="shared" si="1"/>
        <v>#VALUE!</v>
      </c>
      <c r="I7896" s="1" t="e">
        <f t="shared" si="2"/>
        <v>#VALUE!</v>
      </c>
    </row>
    <row r="7897" spans="1:9" ht="15.75" customHeight="1">
      <c r="A7897" s="26"/>
      <c r="B7897" s="2"/>
      <c r="C7897" s="26"/>
      <c r="D7897" s="26"/>
      <c r="F7897" s="85" t="str">
        <f t="shared" si="0"/>
        <v/>
      </c>
      <c r="G7897" s="1" t="e">
        <f>IF(VALUE(F7897) = VALUE(RIGHT(Insights!$C$3, 4)), E7897, "")</f>
        <v>#VALUE!</v>
      </c>
      <c r="H7897" s="26" t="e">
        <f t="shared" si="1"/>
        <v>#VALUE!</v>
      </c>
      <c r="I7897" s="1" t="e">
        <f t="shared" si="2"/>
        <v>#VALUE!</v>
      </c>
    </row>
    <row r="7898" spans="1:9" ht="15.75" customHeight="1">
      <c r="A7898" s="26"/>
      <c r="B7898" s="2"/>
      <c r="C7898" s="26"/>
      <c r="D7898" s="26"/>
      <c r="F7898" s="85" t="str">
        <f t="shared" si="0"/>
        <v/>
      </c>
      <c r="G7898" s="1" t="e">
        <f>IF(VALUE(F7898) = VALUE(RIGHT(Insights!$C$3, 4)), E7898, "")</f>
        <v>#VALUE!</v>
      </c>
      <c r="H7898" s="26" t="e">
        <f t="shared" si="1"/>
        <v>#VALUE!</v>
      </c>
      <c r="I7898" s="1" t="e">
        <f t="shared" si="2"/>
        <v>#VALUE!</v>
      </c>
    </row>
    <row r="7899" spans="1:9" ht="15.75" customHeight="1">
      <c r="A7899" s="26"/>
      <c r="B7899" s="2"/>
      <c r="C7899" s="26"/>
      <c r="D7899" s="26"/>
      <c r="F7899" s="85" t="str">
        <f t="shared" si="0"/>
        <v/>
      </c>
      <c r="G7899" s="1" t="e">
        <f>IF(VALUE(F7899) = VALUE(RIGHT(Insights!$C$3, 4)), E7899, "")</f>
        <v>#VALUE!</v>
      </c>
      <c r="H7899" s="26" t="e">
        <f t="shared" si="1"/>
        <v>#VALUE!</v>
      </c>
      <c r="I7899" s="1" t="e">
        <f t="shared" si="2"/>
        <v>#VALUE!</v>
      </c>
    </row>
    <row r="7900" spans="1:9" ht="15.75" customHeight="1">
      <c r="A7900" s="26"/>
      <c r="B7900" s="2"/>
      <c r="C7900" s="26"/>
      <c r="D7900" s="26"/>
      <c r="F7900" s="85" t="str">
        <f t="shared" si="0"/>
        <v/>
      </c>
      <c r="G7900" s="1" t="e">
        <f>IF(VALUE(F7900) = VALUE(RIGHT(Insights!$C$3, 4)), E7900, "")</f>
        <v>#VALUE!</v>
      </c>
      <c r="H7900" s="26" t="e">
        <f t="shared" si="1"/>
        <v>#VALUE!</v>
      </c>
      <c r="I7900" s="1" t="e">
        <f t="shared" si="2"/>
        <v>#VALUE!</v>
      </c>
    </row>
    <row r="7901" spans="1:9" ht="15.75" customHeight="1">
      <c r="A7901" s="26"/>
      <c r="B7901" s="2"/>
      <c r="C7901" s="26"/>
      <c r="D7901" s="26"/>
      <c r="F7901" s="85" t="str">
        <f t="shared" si="0"/>
        <v/>
      </c>
      <c r="G7901" s="1" t="e">
        <f>IF(VALUE(F7901) = VALUE(RIGHT(Insights!$C$3, 4)), E7901, "")</f>
        <v>#VALUE!</v>
      </c>
      <c r="H7901" s="26" t="e">
        <f t="shared" si="1"/>
        <v>#VALUE!</v>
      </c>
      <c r="I7901" s="1" t="e">
        <f t="shared" si="2"/>
        <v>#VALUE!</v>
      </c>
    </row>
    <row r="7902" spans="1:9" ht="15.75" customHeight="1">
      <c r="A7902" s="26"/>
      <c r="B7902" s="2"/>
      <c r="C7902" s="26"/>
      <c r="D7902" s="26"/>
      <c r="F7902" s="85" t="str">
        <f t="shared" si="0"/>
        <v/>
      </c>
      <c r="G7902" s="1" t="e">
        <f>IF(VALUE(F7902) = VALUE(RIGHT(Insights!$C$3, 4)), E7902, "")</f>
        <v>#VALUE!</v>
      </c>
      <c r="H7902" s="26" t="e">
        <f t="shared" si="1"/>
        <v>#VALUE!</v>
      </c>
      <c r="I7902" s="1" t="e">
        <f t="shared" si="2"/>
        <v>#VALUE!</v>
      </c>
    </row>
    <row r="7903" spans="1:9" ht="15.75" customHeight="1">
      <c r="A7903" s="26"/>
      <c r="B7903" s="2"/>
      <c r="C7903" s="26"/>
      <c r="D7903" s="26"/>
      <c r="F7903" s="85" t="str">
        <f t="shared" si="0"/>
        <v/>
      </c>
      <c r="G7903" s="1" t="e">
        <f>IF(VALUE(F7903) = VALUE(RIGHT(Insights!$C$3, 4)), E7903, "")</f>
        <v>#VALUE!</v>
      </c>
      <c r="H7903" s="26" t="e">
        <f t="shared" si="1"/>
        <v>#VALUE!</v>
      </c>
      <c r="I7903" s="1" t="e">
        <f t="shared" si="2"/>
        <v>#VALUE!</v>
      </c>
    </row>
    <row r="7904" spans="1:9" ht="15.75" customHeight="1">
      <c r="A7904" s="26"/>
      <c r="B7904" s="2"/>
      <c r="C7904" s="26"/>
      <c r="D7904" s="26"/>
      <c r="F7904" s="85" t="str">
        <f t="shared" si="0"/>
        <v/>
      </c>
      <c r="G7904" s="1" t="e">
        <f>IF(VALUE(F7904) = VALUE(RIGHT(Insights!$C$3, 4)), E7904, "")</f>
        <v>#VALUE!</v>
      </c>
      <c r="H7904" s="26" t="e">
        <f t="shared" si="1"/>
        <v>#VALUE!</v>
      </c>
      <c r="I7904" s="1" t="e">
        <f t="shared" si="2"/>
        <v>#VALUE!</v>
      </c>
    </row>
    <row r="7905" spans="1:9" ht="15.75" customHeight="1">
      <c r="A7905" s="26"/>
      <c r="B7905" s="2"/>
      <c r="C7905" s="26"/>
      <c r="D7905" s="26"/>
      <c r="F7905" s="85" t="str">
        <f t="shared" si="0"/>
        <v/>
      </c>
      <c r="G7905" s="1" t="e">
        <f>IF(VALUE(F7905) = VALUE(RIGHT(Insights!$C$3, 4)), E7905, "")</f>
        <v>#VALUE!</v>
      </c>
      <c r="H7905" s="26" t="e">
        <f t="shared" si="1"/>
        <v>#VALUE!</v>
      </c>
      <c r="I7905" s="1" t="e">
        <f t="shared" si="2"/>
        <v>#VALUE!</v>
      </c>
    </row>
    <row r="7906" spans="1:9" ht="15.75" customHeight="1">
      <c r="A7906" s="26"/>
      <c r="B7906" s="2"/>
      <c r="C7906" s="26"/>
      <c r="D7906" s="26"/>
      <c r="F7906" s="85" t="str">
        <f t="shared" si="0"/>
        <v/>
      </c>
      <c r="G7906" s="1" t="e">
        <f>IF(VALUE(F7906) = VALUE(RIGHT(Insights!$C$3, 4)), E7906, "")</f>
        <v>#VALUE!</v>
      </c>
      <c r="H7906" s="26" t="e">
        <f t="shared" si="1"/>
        <v>#VALUE!</v>
      </c>
      <c r="I7906" s="1" t="e">
        <f t="shared" si="2"/>
        <v>#VALUE!</v>
      </c>
    </row>
    <row r="7907" spans="1:9" ht="15.75" customHeight="1">
      <c r="A7907" s="26"/>
      <c r="B7907" s="2"/>
      <c r="C7907" s="26"/>
      <c r="D7907" s="26"/>
      <c r="F7907" s="85" t="str">
        <f t="shared" si="0"/>
        <v/>
      </c>
      <c r="G7907" s="1" t="e">
        <f>IF(VALUE(F7907) = VALUE(RIGHT(Insights!$C$3, 4)), E7907, "")</f>
        <v>#VALUE!</v>
      </c>
      <c r="H7907" s="26" t="e">
        <f t="shared" si="1"/>
        <v>#VALUE!</v>
      </c>
      <c r="I7907" s="1" t="e">
        <f t="shared" si="2"/>
        <v>#VALUE!</v>
      </c>
    </row>
    <row r="7908" spans="1:9" ht="15.75" customHeight="1">
      <c r="A7908" s="26"/>
      <c r="B7908" s="2"/>
      <c r="C7908" s="26"/>
      <c r="D7908" s="26"/>
      <c r="F7908" s="85" t="str">
        <f t="shared" si="0"/>
        <v/>
      </c>
      <c r="G7908" s="1" t="e">
        <f>IF(VALUE(F7908) = VALUE(RIGHT(Insights!$C$3, 4)), E7908, "")</f>
        <v>#VALUE!</v>
      </c>
      <c r="H7908" s="26" t="e">
        <f t="shared" si="1"/>
        <v>#VALUE!</v>
      </c>
      <c r="I7908" s="1" t="e">
        <f t="shared" si="2"/>
        <v>#VALUE!</v>
      </c>
    </row>
    <row r="7909" spans="1:9" ht="15.75" customHeight="1">
      <c r="A7909" s="26"/>
      <c r="B7909" s="2"/>
      <c r="C7909" s="26"/>
      <c r="D7909" s="26"/>
      <c r="F7909" s="85" t="str">
        <f t="shared" si="0"/>
        <v/>
      </c>
      <c r="G7909" s="1" t="e">
        <f>IF(VALUE(F7909) = VALUE(RIGHT(Insights!$C$3, 4)), E7909, "")</f>
        <v>#VALUE!</v>
      </c>
      <c r="H7909" s="26" t="e">
        <f t="shared" si="1"/>
        <v>#VALUE!</v>
      </c>
      <c r="I7909" s="1" t="e">
        <f t="shared" si="2"/>
        <v>#VALUE!</v>
      </c>
    </row>
    <row r="7910" spans="1:9" ht="15.75" customHeight="1">
      <c r="A7910" s="26"/>
      <c r="B7910" s="2"/>
      <c r="C7910" s="26"/>
      <c r="D7910" s="26"/>
      <c r="F7910" s="85" t="str">
        <f t="shared" si="0"/>
        <v/>
      </c>
      <c r="G7910" s="1" t="e">
        <f>IF(VALUE(F7910) = VALUE(RIGHT(Insights!$C$3, 4)), E7910, "")</f>
        <v>#VALUE!</v>
      </c>
      <c r="H7910" s="26" t="e">
        <f t="shared" si="1"/>
        <v>#VALUE!</v>
      </c>
      <c r="I7910" s="1" t="e">
        <f t="shared" si="2"/>
        <v>#VALUE!</v>
      </c>
    </row>
    <row r="7911" spans="1:9" ht="15.75" customHeight="1">
      <c r="A7911" s="26"/>
      <c r="B7911" s="2"/>
      <c r="C7911" s="26"/>
      <c r="D7911" s="26"/>
      <c r="F7911" s="85" t="str">
        <f t="shared" si="0"/>
        <v/>
      </c>
      <c r="G7911" s="1" t="e">
        <f>IF(VALUE(F7911) = VALUE(RIGHT(Insights!$C$3, 4)), E7911, "")</f>
        <v>#VALUE!</v>
      </c>
      <c r="H7911" s="26" t="e">
        <f t="shared" si="1"/>
        <v>#VALUE!</v>
      </c>
      <c r="I7911" s="1" t="e">
        <f t="shared" si="2"/>
        <v>#VALUE!</v>
      </c>
    </row>
    <row r="7912" spans="1:9" ht="15.75" customHeight="1">
      <c r="A7912" s="26"/>
      <c r="B7912" s="2"/>
      <c r="C7912" s="26"/>
      <c r="D7912" s="26"/>
      <c r="F7912" s="85" t="str">
        <f t="shared" si="0"/>
        <v/>
      </c>
      <c r="G7912" s="1" t="e">
        <f>IF(VALUE(F7912) = VALUE(RIGHT(Insights!$C$3, 4)), E7912, "")</f>
        <v>#VALUE!</v>
      </c>
      <c r="H7912" s="26" t="e">
        <f t="shared" si="1"/>
        <v>#VALUE!</v>
      </c>
      <c r="I7912" s="1" t="e">
        <f t="shared" si="2"/>
        <v>#VALUE!</v>
      </c>
    </row>
    <row r="7913" spans="1:9" ht="15.75" customHeight="1">
      <c r="A7913" s="26"/>
      <c r="B7913" s="2"/>
      <c r="C7913" s="26"/>
      <c r="D7913" s="26"/>
      <c r="F7913" s="85" t="str">
        <f t="shared" si="0"/>
        <v/>
      </c>
      <c r="G7913" s="1" t="e">
        <f>IF(VALUE(F7913) = VALUE(RIGHT(Insights!$C$3, 4)), E7913, "")</f>
        <v>#VALUE!</v>
      </c>
      <c r="H7913" s="26" t="e">
        <f t="shared" si="1"/>
        <v>#VALUE!</v>
      </c>
      <c r="I7913" s="1" t="e">
        <f t="shared" si="2"/>
        <v>#VALUE!</v>
      </c>
    </row>
    <row r="7914" spans="1:9" ht="15.75" customHeight="1">
      <c r="A7914" s="26"/>
      <c r="B7914" s="2"/>
      <c r="C7914" s="26"/>
      <c r="D7914" s="26"/>
      <c r="F7914" s="85" t="str">
        <f t="shared" si="0"/>
        <v/>
      </c>
      <c r="G7914" s="1" t="e">
        <f>IF(VALUE(F7914) = VALUE(RIGHT(Insights!$C$3, 4)), E7914, "")</f>
        <v>#VALUE!</v>
      </c>
      <c r="H7914" s="26" t="e">
        <f t="shared" si="1"/>
        <v>#VALUE!</v>
      </c>
      <c r="I7914" s="1" t="e">
        <f t="shared" si="2"/>
        <v>#VALUE!</v>
      </c>
    </row>
    <row r="7915" spans="1:9" ht="15.75" customHeight="1">
      <c r="A7915" s="26"/>
      <c r="B7915" s="2"/>
      <c r="C7915" s="26"/>
      <c r="D7915" s="26"/>
      <c r="F7915" s="85" t="str">
        <f t="shared" si="0"/>
        <v/>
      </c>
      <c r="G7915" s="1" t="e">
        <f>IF(VALUE(F7915) = VALUE(RIGHT(Insights!$C$3, 4)), E7915, "")</f>
        <v>#VALUE!</v>
      </c>
      <c r="H7915" s="26" t="e">
        <f t="shared" si="1"/>
        <v>#VALUE!</v>
      </c>
      <c r="I7915" s="1" t="e">
        <f t="shared" si="2"/>
        <v>#VALUE!</v>
      </c>
    </row>
    <row r="7916" spans="1:9" ht="15.75" customHeight="1">
      <c r="A7916" s="26"/>
      <c r="B7916" s="2"/>
      <c r="C7916" s="26"/>
      <c r="D7916" s="26"/>
      <c r="F7916" s="85" t="str">
        <f t="shared" si="0"/>
        <v/>
      </c>
      <c r="G7916" s="1" t="e">
        <f>IF(VALUE(F7916) = VALUE(RIGHT(Insights!$C$3, 4)), E7916, "")</f>
        <v>#VALUE!</v>
      </c>
      <c r="H7916" s="26" t="e">
        <f t="shared" si="1"/>
        <v>#VALUE!</v>
      </c>
      <c r="I7916" s="1" t="e">
        <f t="shared" si="2"/>
        <v>#VALUE!</v>
      </c>
    </row>
    <row r="7917" spans="1:9" ht="15.75" customHeight="1">
      <c r="A7917" s="26"/>
      <c r="B7917" s="2"/>
      <c r="C7917" s="26"/>
      <c r="D7917" s="26"/>
      <c r="F7917" s="85" t="str">
        <f t="shared" si="0"/>
        <v/>
      </c>
      <c r="G7917" s="1" t="e">
        <f>IF(VALUE(F7917) = VALUE(RIGHT(Insights!$C$3, 4)), E7917, "")</f>
        <v>#VALUE!</v>
      </c>
      <c r="H7917" s="26" t="e">
        <f t="shared" si="1"/>
        <v>#VALUE!</v>
      </c>
      <c r="I7917" s="1" t="e">
        <f t="shared" si="2"/>
        <v>#VALUE!</v>
      </c>
    </row>
    <row r="7918" spans="1:9" ht="15.75" customHeight="1">
      <c r="A7918" s="26"/>
      <c r="B7918" s="2"/>
      <c r="C7918" s="26"/>
      <c r="D7918" s="26"/>
      <c r="F7918" s="85" t="str">
        <f t="shared" si="0"/>
        <v/>
      </c>
      <c r="G7918" s="1" t="e">
        <f>IF(VALUE(F7918) = VALUE(RIGHT(Insights!$C$3, 4)), E7918, "")</f>
        <v>#VALUE!</v>
      </c>
      <c r="H7918" s="26" t="e">
        <f t="shared" si="1"/>
        <v>#VALUE!</v>
      </c>
      <c r="I7918" s="1" t="e">
        <f t="shared" si="2"/>
        <v>#VALUE!</v>
      </c>
    </row>
    <row r="7919" spans="1:9" ht="15.75" customHeight="1">
      <c r="A7919" s="26"/>
      <c r="B7919" s="2"/>
      <c r="C7919" s="26"/>
      <c r="D7919" s="26"/>
      <c r="F7919" s="85" t="str">
        <f t="shared" si="0"/>
        <v/>
      </c>
      <c r="G7919" s="1" t="e">
        <f>IF(VALUE(F7919) = VALUE(RIGHT(Insights!$C$3, 4)), E7919, "")</f>
        <v>#VALUE!</v>
      </c>
      <c r="H7919" s="26" t="e">
        <f t="shared" si="1"/>
        <v>#VALUE!</v>
      </c>
      <c r="I7919" s="1" t="e">
        <f t="shared" si="2"/>
        <v>#VALUE!</v>
      </c>
    </row>
    <row r="7920" spans="1:9" ht="15.75" customHeight="1">
      <c r="A7920" s="26"/>
      <c r="B7920" s="2"/>
      <c r="C7920" s="26"/>
      <c r="D7920" s="26"/>
      <c r="F7920" s="85" t="str">
        <f t="shared" si="0"/>
        <v/>
      </c>
      <c r="G7920" s="1" t="e">
        <f>IF(VALUE(F7920) = VALUE(RIGHT(Insights!$C$3, 4)), E7920, "")</f>
        <v>#VALUE!</v>
      </c>
      <c r="H7920" s="26" t="e">
        <f t="shared" si="1"/>
        <v>#VALUE!</v>
      </c>
      <c r="I7920" s="1" t="e">
        <f t="shared" si="2"/>
        <v>#VALUE!</v>
      </c>
    </row>
    <row r="7921" spans="1:9" ht="15.75" customHeight="1">
      <c r="A7921" s="26"/>
      <c r="B7921" s="2"/>
      <c r="C7921" s="26"/>
      <c r="D7921" s="26"/>
      <c r="F7921" s="85" t="str">
        <f t="shared" si="0"/>
        <v/>
      </c>
      <c r="G7921" s="1" t="e">
        <f>IF(VALUE(F7921) = VALUE(RIGHT(Insights!$C$3, 4)), E7921, "")</f>
        <v>#VALUE!</v>
      </c>
      <c r="H7921" s="26" t="e">
        <f t="shared" si="1"/>
        <v>#VALUE!</v>
      </c>
      <c r="I7921" s="1" t="e">
        <f t="shared" si="2"/>
        <v>#VALUE!</v>
      </c>
    </row>
    <row r="7922" spans="1:9" ht="15.75" customHeight="1">
      <c r="A7922" s="26"/>
      <c r="B7922" s="2"/>
      <c r="C7922" s="26"/>
      <c r="D7922" s="26"/>
      <c r="F7922" s="85" t="str">
        <f t="shared" si="0"/>
        <v/>
      </c>
      <c r="G7922" s="1" t="e">
        <f>IF(VALUE(F7922) = VALUE(RIGHT(Insights!$C$3, 4)), E7922, "")</f>
        <v>#VALUE!</v>
      </c>
      <c r="H7922" s="26" t="e">
        <f t="shared" si="1"/>
        <v>#VALUE!</v>
      </c>
      <c r="I7922" s="1" t="e">
        <f t="shared" si="2"/>
        <v>#VALUE!</v>
      </c>
    </row>
    <row r="7923" spans="1:9" ht="15.75" customHeight="1">
      <c r="A7923" s="26"/>
      <c r="B7923" s="2"/>
      <c r="C7923" s="26"/>
      <c r="D7923" s="26"/>
      <c r="F7923" s="85" t="str">
        <f t="shared" si="0"/>
        <v/>
      </c>
      <c r="G7923" s="1" t="e">
        <f>IF(VALUE(F7923) = VALUE(RIGHT(Insights!$C$3, 4)), E7923, "")</f>
        <v>#VALUE!</v>
      </c>
      <c r="H7923" s="26" t="e">
        <f t="shared" si="1"/>
        <v>#VALUE!</v>
      </c>
      <c r="I7923" s="1" t="e">
        <f t="shared" si="2"/>
        <v>#VALUE!</v>
      </c>
    </row>
    <row r="7924" spans="1:9" ht="15.75" customHeight="1">
      <c r="A7924" s="26"/>
      <c r="B7924" s="2"/>
      <c r="C7924" s="26"/>
      <c r="D7924" s="26"/>
      <c r="F7924" s="85" t="str">
        <f t="shared" si="0"/>
        <v/>
      </c>
      <c r="G7924" s="1" t="e">
        <f>IF(VALUE(F7924) = VALUE(RIGHT(Insights!$C$3, 4)), E7924, "")</f>
        <v>#VALUE!</v>
      </c>
      <c r="H7924" s="26" t="e">
        <f t="shared" si="1"/>
        <v>#VALUE!</v>
      </c>
      <c r="I7924" s="1" t="e">
        <f t="shared" si="2"/>
        <v>#VALUE!</v>
      </c>
    </row>
    <row r="7925" spans="1:9" ht="15.75" customHeight="1">
      <c r="A7925" s="26"/>
      <c r="B7925" s="2"/>
      <c r="C7925" s="26"/>
      <c r="D7925" s="26"/>
      <c r="F7925" s="85" t="str">
        <f t="shared" si="0"/>
        <v/>
      </c>
      <c r="G7925" s="1" t="e">
        <f>IF(VALUE(F7925) = VALUE(RIGHT(Insights!$C$3, 4)), E7925, "")</f>
        <v>#VALUE!</v>
      </c>
      <c r="H7925" s="26" t="e">
        <f t="shared" si="1"/>
        <v>#VALUE!</v>
      </c>
      <c r="I7925" s="1" t="e">
        <f t="shared" si="2"/>
        <v>#VALUE!</v>
      </c>
    </row>
    <row r="7926" spans="1:9" ht="15.75" customHeight="1">
      <c r="A7926" s="26"/>
      <c r="B7926" s="2"/>
      <c r="C7926" s="26"/>
      <c r="D7926" s="26"/>
      <c r="F7926" s="85" t="str">
        <f t="shared" si="0"/>
        <v/>
      </c>
      <c r="G7926" s="1" t="e">
        <f>IF(VALUE(F7926) = VALUE(RIGHT(Insights!$C$3, 4)), E7926, "")</f>
        <v>#VALUE!</v>
      </c>
      <c r="H7926" s="26" t="e">
        <f t="shared" si="1"/>
        <v>#VALUE!</v>
      </c>
      <c r="I7926" s="1" t="e">
        <f t="shared" si="2"/>
        <v>#VALUE!</v>
      </c>
    </row>
    <row r="7927" spans="1:9" ht="15.75" customHeight="1">
      <c r="A7927" s="26"/>
      <c r="B7927" s="2"/>
      <c r="C7927" s="26"/>
      <c r="D7927" s="26"/>
      <c r="F7927" s="85" t="str">
        <f t="shared" si="0"/>
        <v/>
      </c>
      <c r="G7927" s="1" t="e">
        <f>IF(VALUE(F7927) = VALUE(RIGHT(Insights!$C$3, 4)), E7927, "")</f>
        <v>#VALUE!</v>
      </c>
      <c r="H7927" s="26" t="e">
        <f t="shared" si="1"/>
        <v>#VALUE!</v>
      </c>
      <c r="I7927" s="1" t="e">
        <f t="shared" si="2"/>
        <v>#VALUE!</v>
      </c>
    </row>
    <row r="7928" spans="1:9" ht="15.75" customHeight="1">
      <c r="A7928" s="26"/>
      <c r="B7928" s="2"/>
      <c r="C7928" s="26"/>
      <c r="D7928" s="26"/>
      <c r="F7928" s="85" t="str">
        <f t="shared" si="0"/>
        <v/>
      </c>
      <c r="G7928" s="1" t="e">
        <f>IF(VALUE(F7928) = VALUE(RIGHT(Insights!$C$3, 4)), E7928, "")</f>
        <v>#VALUE!</v>
      </c>
      <c r="H7928" s="26" t="e">
        <f t="shared" si="1"/>
        <v>#VALUE!</v>
      </c>
      <c r="I7928" s="1" t="e">
        <f t="shared" si="2"/>
        <v>#VALUE!</v>
      </c>
    </row>
    <row r="7929" spans="1:9" ht="15.75" customHeight="1">
      <c r="A7929" s="26"/>
      <c r="B7929" s="2"/>
      <c r="C7929" s="26"/>
      <c r="D7929" s="26"/>
      <c r="F7929" s="85" t="str">
        <f t="shared" si="0"/>
        <v/>
      </c>
      <c r="G7929" s="1" t="e">
        <f>IF(VALUE(F7929) = VALUE(RIGHT(Insights!$C$3, 4)), E7929, "")</f>
        <v>#VALUE!</v>
      </c>
      <c r="H7929" s="26" t="e">
        <f t="shared" si="1"/>
        <v>#VALUE!</v>
      </c>
      <c r="I7929" s="1" t="e">
        <f t="shared" si="2"/>
        <v>#VALUE!</v>
      </c>
    </row>
    <row r="7930" spans="1:9" ht="15.75" customHeight="1">
      <c r="A7930" s="26"/>
      <c r="B7930" s="2"/>
      <c r="C7930" s="26"/>
      <c r="D7930" s="26"/>
      <c r="F7930" s="85" t="str">
        <f t="shared" si="0"/>
        <v/>
      </c>
      <c r="G7930" s="1" t="e">
        <f>IF(VALUE(F7930) = VALUE(RIGHT(Insights!$C$3, 4)), E7930, "")</f>
        <v>#VALUE!</v>
      </c>
      <c r="H7930" s="26" t="e">
        <f t="shared" si="1"/>
        <v>#VALUE!</v>
      </c>
      <c r="I7930" s="1" t="e">
        <f t="shared" si="2"/>
        <v>#VALUE!</v>
      </c>
    </row>
    <row r="7931" spans="1:9" ht="15.75" customHeight="1">
      <c r="A7931" s="26"/>
      <c r="B7931" s="2"/>
      <c r="C7931" s="26"/>
      <c r="D7931" s="26"/>
      <c r="F7931" s="85" t="str">
        <f t="shared" si="0"/>
        <v/>
      </c>
      <c r="G7931" s="1" t="e">
        <f>IF(VALUE(F7931) = VALUE(RIGHT(Insights!$C$3, 4)), E7931, "")</f>
        <v>#VALUE!</v>
      </c>
      <c r="H7931" s="26" t="e">
        <f t="shared" si="1"/>
        <v>#VALUE!</v>
      </c>
      <c r="I7931" s="1" t="e">
        <f t="shared" si="2"/>
        <v>#VALUE!</v>
      </c>
    </row>
    <row r="7932" spans="1:9" ht="15.75" customHeight="1">
      <c r="A7932" s="26"/>
      <c r="B7932" s="2"/>
      <c r="C7932" s="26"/>
      <c r="D7932" s="26"/>
      <c r="F7932" s="85" t="str">
        <f t="shared" si="0"/>
        <v/>
      </c>
      <c r="G7932" s="1" t="e">
        <f>IF(VALUE(F7932) = VALUE(RIGHT(Insights!$C$3, 4)), E7932, "")</f>
        <v>#VALUE!</v>
      </c>
      <c r="H7932" s="26" t="e">
        <f t="shared" si="1"/>
        <v>#VALUE!</v>
      </c>
      <c r="I7932" s="1" t="e">
        <f t="shared" si="2"/>
        <v>#VALUE!</v>
      </c>
    </row>
    <row r="7933" spans="1:9" ht="15.75" customHeight="1">
      <c r="A7933" s="26"/>
      <c r="B7933" s="2"/>
      <c r="C7933" s="26"/>
      <c r="D7933" s="26"/>
      <c r="F7933" s="85" t="str">
        <f t="shared" si="0"/>
        <v/>
      </c>
      <c r="G7933" s="1" t="e">
        <f>IF(VALUE(F7933) = VALUE(RIGHT(Insights!$C$3, 4)), E7933, "")</f>
        <v>#VALUE!</v>
      </c>
      <c r="H7933" s="26" t="e">
        <f t="shared" si="1"/>
        <v>#VALUE!</v>
      </c>
      <c r="I7933" s="1" t="e">
        <f t="shared" si="2"/>
        <v>#VALUE!</v>
      </c>
    </row>
    <row r="7934" spans="1:9" ht="15.75" customHeight="1">
      <c r="A7934" s="26"/>
      <c r="B7934" s="2"/>
      <c r="C7934" s="26"/>
      <c r="D7934" s="26"/>
      <c r="F7934" s="85" t="str">
        <f t="shared" si="0"/>
        <v/>
      </c>
      <c r="G7934" s="1" t="e">
        <f>IF(VALUE(F7934) = VALUE(RIGHT(Insights!$C$3, 4)), E7934, "")</f>
        <v>#VALUE!</v>
      </c>
      <c r="H7934" s="26" t="e">
        <f t="shared" si="1"/>
        <v>#VALUE!</v>
      </c>
      <c r="I7934" s="1" t="e">
        <f t="shared" si="2"/>
        <v>#VALUE!</v>
      </c>
    </row>
    <row r="7935" spans="1:9" ht="15.75" customHeight="1">
      <c r="A7935" s="26"/>
      <c r="B7935" s="2"/>
      <c r="C7935" s="26"/>
      <c r="D7935" s="26"/>
      <c r="F7935" s="85" t="str">
        <f t="shared" si="0"/>
        <v/>
      </c>
      <c r="G7935" s="1" t="e">
        <f>IF(VALUE(F7935) = VALUE(RIGHT(Insights!$C$3, 4)), E7935, "")</f>
        <v>#VALUE!</v>
      </c>
      <c r="H7935" s="26" t="e">
        <f t="shared" si="1"/>
        <v>#VALUE!</v>
      </c>
      <c r="I7935" s="1" t="e">
        <f t="shared" si="2"/>
        <v>#VALUE!</v>
      </c>
    </row>
    <row r="7936" spans="1:9" ht="15.75" customHeight="1">
      <c r="A7936" s="26"/>
      <c r="B7936" s="2"/>
      <c r="C7936" s="26"/>
      <c r="D7936" s="26"/>
      <c r="F7936" s="85" t="str">
        <f t="shared" si="0"/>
        <v/>
      </c>
      <c r="G7936" s="1" t="e">
        <f>IF(VALUE(F7936) = VALUE(RIGHT(Insights!$C$3, 4)), E7936, "")</f>
        <v>#VALUE!</v>
      </c>
      <c r="H7936" s="26" t="e">
        <f t="shared" si="1"/>
        <v>#VALUE!</v>
      </c>
      <c r="I7936" s="1" t="e">
        <f t="shared" si="2"/>
        <v>#VALUE!</v>
      </c>
    </row>
    <row r="7937" spans="1:9" ht="15.75" customHeight="1">
      <c r="A7937" s="26"/>
      <c r="B7937" s="2"/>
      <c r="C7937" s="26"/>
      <c r="D7937" s="26"/>
      <c r="F7937" s="85" t="str">
        <f t="shared" si="0"/>
        <v/>
      </c>
      <c r="G7937" s="1" t="e">
        <f>IF(VALUE(F7937) = VALUE(RIGHT(Insights!$C$3, 4)), E7937, "")</f>
        <v>#VALUE!</v>
      </c>
      <c r="H7937" s="26" t="e">
        <f t="shared" si="1"/>
        <v>#VALUE!</v>
      </c>
      <c r="I7937" s="1" t="e">
        <f t="shared" si="2"/>
        <v>#VALUE!</v>
      </c>
    </row>
    <row r="7938" spans="1:9" ht="15.75" customHeight="1">
      <c r="A7938" s="26"/>
      <c r="B7938" s="2"/>
      <c r="C7938" s="26"/>
      <c r="D7938" s="26"/>
      <c r="F7938" s="85" t="str">
        <f t="shared" si="0"/>
        <v/>
      </c>
      <c r="G7938" s="1" t="e">
        <f>IF(VALUE(F7938) = VALUE(RIGHT(Insights!$C$3, 4)), E7938, "")</f>
        <v>#VALUE!</v>
      </c>
      <c r="H7938" s="26" t="e">
        <f t="shared" si="1"/>
        <v>#VALUE!</v>
      </c>
      <c r="I7938" s="1" t="e">
        <f t="shared" si="2"/>
        <v>#VALUE!</v>
      </c>
    </row>
    <row r="7939" spans="1:9" ht="15.75" customHeight="1">
      <c r="A7939" s="26"/>
      <c r="B7939" s="2"/>
      <c r="C7939" s="26"/>
      <c r="D7939" s="26"/>
      <c r="F7939" s="85" t="str">
        <f t="shared" si="0"/>
        <v/>
      </c>
      <c r="G7939" s="1" t="e">
        <f>IF(VALUE(F7939) = VALUE(RIGHT(Insights!$C$3, 4)), E7939, "")</f>
        <v>#VALUE!</v>
      </c>
      <c r="H7939" s="26" t="e">
        <f t="shared" si="1"/>
        <v>#VALUE!</v>
      </c>
      <c r="I7939" s="1" t="e">
        <f t="shared" si="2"/>
        <v>#VALUE!</v>
      </c>
    </row>
    <row r="7940" spans="1:9" ht="15.75" customHeight="1">
      <c r="A7940" s="26"/>
      <c r="B7940" s="2"/>
      <c r="C7940" s="26"/>
      <c r="D7940" s="26"/>
      <c r="F7940" s="85" t="str">
        <f t="shared" si="0"/>
        <v/>
      </c>
      <c r="G7940" s="1" t="e">
        <f>IF(VALUE(F7940) = VALUE(RIGHT(Insights!$C$3, 4)), E7940, "")</f>
        <v>#VALUE!</v>
      </c>
      <c r="H7940" s="26" t="e">
        <f t="shared" si="1"/>
        <v>#VALUE!</v>
      </c>
      <c r="I7940" s="1" t="e">
        <f t="shared" si="2"/>
        <v>#VALUE!</v>
      </c>
    </row>
    <row r="7941" spans="1:9" ht="15.75" customHeight="1">
      <c r="A7941" s="26"/>
      <c r="B7941" s="2"/>
      <c r="C7941" s="26"/>
      <c r="D7941" s="26"/>
      <c r="F7941" s="85" t="str">
        <f t="shared" si="0"/>
        <v/>
      </c>
      <c r="G7941" s="1" t="e">
        <f>IF(VALUE(F7941) = VALUE(RIGHT(Insights!$C$3, 4)), E7941, "")</f>
        <v>#VALUE!</v>
      </c>
      <c r="H7941" s="26" t="e">
        <f t="shared" si="1"/>
        <v>#VALUE!</v>
      </c>
      <c r="I7941" s="1" t="e">
        <f t="shared" si="2"/>
        <v>#VALUE!</v>
      </c>
    </row>
    <row r="7942" spans="1:9" ht="15.75" customHeight="1">
      <c r="A7942" s="26"/>
      <c r="B7942" s="2"/>
      <c r="C7942" s="26"/>
      <c r="D7942" s="26"/>
      <c r="F7942" s="85" t="str">
        <f t="shared" si="0"/>
        <v/>
      </c>
      <c r="G7942" s="1" t="e">
        <f>IF(VALUE(F7942) = VALUE(RIGHT(Insights!$C$3, 4)), E7942, "")</f>
        <v>#VALUE!</v>
      </c>
      <c r="H7942" s="26" t="e">
        <f t="shared" si="1"/>
        <v>#VALUE!</v>
      </c>
      <c r="I7942" s="1" t="e">
        <f t="shared" si="2"/>
        <v>#VALUE!</v>
      </c>
    </row>
    <row r="7943" spans="1:9" ht="15.75" customHeight="1">
      <c r="A7943" s="26"/>
      <c r="B7943" s="2"/>
      <c r="C7943" s="26"/>
      <c r="D7943" s="26"/>
      <c r="F7943" s="85" t="str">
        <f t="shared" si="0"/>
        <v/>
      </c>
      <c r="G7943" s="1" t="e">
        <f>IF(VALUE(F7943) = VALUE(RIGHT(Insights!$C$3, 4)), E7943, "")</f>
        <v>#VALUE!</v>
      </c>
      <c r="H7943" s="26" t="e">
        <f t="shared" si="1"/>
        <v>#VALUE!</v>
      </c>
      <c r="I7943" s="1" t="e">
        <f t="shared" si="2"/>
        <v>#VALUE!</v>
      </c>
    </row>
    <row r="7944" spans="1:9" ht="15.75" customHeight="1">
      <c r="A7944" s="26"/>
      <c r="B7944" s="2"/>
      <c r="C7944" s="26"/>
      <c r="D7944" s="26"/>
      <c r="F7944" s="85" t="str">
        <f t="shared" si="0"/>
        <v/>
      </c>
      <c r="G7944" s="1" t="e">
        <f>IF(VALUE(F7944) = VALUE(RIGHT(Insights!$C$3, 4)), E7944, "")</f>
        <v>#VALUE!</v>
      </c>
      <c r="H7944" s="26" t="e">
        <f t="shared" si="1"/>
        <v>#VALUE!</v>
      </c>
      <c r="I7944" s="1" t="e">
        <f t="shared" si="2"/>
        <v>#VALUE!</v>
      </c>
    </row>
    <row r="7945" spans="1:9" ht="15.75" customHeight="1">
      <c r="A7945" s="26"/>
      <c r="B7945" s="2"/>
      <c r="C7945" s="26"/>
      <c r="D7945" s="26"/>
      <c r="F7945" s="85" t="str">
        <f t="shared" si="0"/>
        <v/>
      </c>
      <c r="G7945" s="1" t="e">
        <f>IF(VALUE(F7945) = VALUE(RIGHT(Insights!$C$3, 4)), E7945, "")</f>
        <v>#VALUE!</v>
      </c>
      <c r="H7945" s="26" t="e">
        <f t="shared" si="1"/>
        <v>#VALUE!</v>
      </c>
      <c r="I7945" s="1" t="e">
        <f t="shared" si="2"/>
        <v>#VALUE!</v>
      </c>
    </row>
    <row r="7946" spans="1:9" ht="15.75" customHeight="1">
      <c r="A7946" s="26"/>
      <c r="B7946" s="2"/>
      <c r="C7946" s="26"/>
      <c r="D7946" s="26"/>
      <c r="F7946" s="85" t="str">
        <f t="shared" si="0"/>
        <v/>
      </c>
      <c r="G7946" s="1" t="e">
        <f>IF(VALUE(F7946) = VALUE(RIGHT(Insights!$C$3, 4)), E7946, "")</f>
        <v>#VALUE!</v>
      </c>
      <c r="H7946" s="26" t="e">
        <f t="shared" si="1"/>
        <v>#VALUE!</v>
      </c>
      <c r="I7946" s="1" t="e">
        <f t="shared" si="2"/>
        <v>#VALUE!</v>
      </c>
    </row>
    <row r="7947" spans="1:9" ht="15.75" customHeight="1">
      <c r="A7947" s="26"/>
      <c r="B7947" s="2"/>
      <c r="C7947" s="26"/>
      <c r="D7947" s="26"/>
      <c r="F7947" s="85" t="str">
        <f t="shared" si="0"/>
        <v/>
      </c>
      <c r="G7947" s="1" t="e">
        <f>IF(VALUE(F7947) = VALUE(RIGHT(Insights!$C$3, 4)), E7947, "")</f>
        <v>#VALUE!</v>
      </c>
      <c r="H7947" s="26" t="e">
        <f t="shared" si="1"/>
        <v>#VALUE!</v>
      </c>
      <c r="I7947" s="1" t="e">
        <f t="shared" si="2"/>
        <v>#VALUE!</v>
      </c>
    </row>
    <row r="7948" spans="1:9" ht="15.75" customHeight="1">
      <c r="A7948" s="26"/>
      <c r="B7948" s="2"/>
      <c r="C7948" s="26"/>
      <c r="D7948" s="26"/>
      <c r="F7948" s="85" t="str">
        <f t="shared" si="0"/>
        <v/>
      </c>
      <c r="G7948" s="1" t="e">
        <f>IF(VALUE(F7948) = VALUE(RIGHT(Insights!$C$3, 4)), E7948, "")</f>
        <v>#VALUE!</v>
      </c>
      <c r="H7948" s="26" t="e">
        <f t="shared" si="1"/>
        <v>#VALUE!</v>
      </c>
      <c r="I7948" s="1" t="e">
        <f t="shared" si="2"/>
        <v>#VALUE!</v>
      </c>
    </row>
    <row r="7949" spans="1:9" ht="15.75" customHeight="1">
      <c r="A7949" s="26"/>
      <c r="B7949" s="2"/>
      <c r="C7949" s="26"/>
      <c r="D7949" s="26"/>
      <c r="F7949" s="85" t="str">
        <f t="shared" si="0"/>
        <v/>
      </c>
      <c r="G7949" s="1" t="e">
        <f>IF(VALUE(F7949) = VALUE(RIGHT(Insights!$C$3, 4)), E7949, "")</f>
        <v>#VALUE!</v>
      </c>
      <c r="H7949" s="26" t="e">
        <f t="shared" si="1"/>
        <v>#VALUE!</v>
      </c>
      <c r="I7949" s="1" t="e">
        <f t="shared" si="2"/>
        <v>#VALUE!</v>
      </c>
    </row>
    <row r="7950" spans="1:9" ht="15.75" customHeight="1">
      <c r="A7950" s="26"/>
      <c r="B7950" s="2"/>
      <c r="C7950" s="26"/>
      <c r="D7950" s="26"/>
      <c r="F7950" s="85" t="str">
        <f t="shared" si="0"/>
        <v/>
      </c>
      <c r="G7950" s="1" t="e">
        <f>IF(VALUE(F7950) = VALUE(RIGHT(Insights!$C$3, 4)), E7950, "")</f>
        <v>#VALUE!</v>
      </c>
      <c r="H7950" s="26" t="e">
        <f t="shared" si="1"/>
        <v>#VALUE!</v>
      </c>
      <c r="I7950" s="1" t="e">
        <f t="shared" si="2"/>
        <v>#VALUE!</v>
      </c>
    </row>
    <row r="7951" spans="1:9" ht="15.75" customHeight="1">
      <c r="A7951" s="26"/>
      <c r="B7951" s="2"/>
      <c r="C7951" s="26"/>
      <c r="D7951" s="26"/>
      <c r="F7951" s="85" t="str">
        <f t="shared" si="0"/>
        <v/>
      </c>
      <c r="G7951" s="1" t="e">
        <f>IF(VALUE(F7951) = VALUE(RIGHT(Insights!$C$3, 4)), E7951, "")</f>
        <v>#VALUE!</v>
      </c>
      <c r="H7951" s="26" t="e">
        <f t="shared" si="1"/>
        <v>#VALUE!</v>
      </c>
      <c r="I7951" s="1" t="e">
        <f t="shared" si="2"/>
        <v>#VALUE!</v>
      </c>
    </row>
    <row r="7952" spans="1:9" ht="15.75" customHeight="1">
      <c r="A7952" s="26"/>
      <c r="B7952" s="2"/>
      <c r="C7952" s="26"/>
      <c r="D7952" s="26"/>
      <c r="F7952" s="85" t="str">
        <f t="shared" si="0"/>
        <v/>
      </c>
      <c r="G7952" s="1" t="e">
        <f>IF(VALUE(F7952) = VALUE(RIGHT(Insights!$C$3, 4)), E7952, "")</f>
        <v>#VALUE!</v>
      </c>
      <c r="H7952" s="26" t="e">
        <f t="shared" si="1"/>
        <v>#VALUE!</v>
      </c>
      <c r="I7952" s="1" t="e">
        <f t="shared" si="2"/>
        <v>#VALUE!</v>
      </c>
    </row>
    <row r="7953" spans="1:9" ht="15.75" customHeight="1">
      <c r="A7953" s="26"/>
      <c r="B7953" s="2"/>
      <c r="C7953" s="26"/>
      <c r="D7953" s="26"/>
      <c r="F7953" s="85" t="str">
        <f t="shared" si="0"/>
        <v/>
      </c>
      <c r="G7953" s="1" t="e">
        <f>IF(VALUE(F7953) = VALUE(RIGHT(Insights!$C$3, 4)), E7953, "")</f>
        <v>#VALUE!</v>
      </c>
      <c r="H7953" s="26" t="e">
        <f t="shared" si="1"/>
        <v>#VALUE!</v>
      </c>
      <c r="I7953" s="1" t="e">
        <f t="shared" si="2"/>
        <v>#VALUE!</v>
      </c>
    </row>
    <row r="7954" spans="1:9" ht="15.75" customHeight="1">
      <c r="A7954" s="26"/>
      <c r="B7954" s="2"/>
      <c r="C7954" s="26"/>
      <c r="D7954" s="26"/>
      <c r="F7954" s="85" t="str">
        <f t="shared" si="0"/>
        <v/>
      </c>
      <c r="G7954" s="1" t="e">
        <f>IF(VALUE(F7954) = VALUE(RIGHT(Insights!$C$3, 4)), E7954, "")</f>
        <v>#VALUE!</v>
      </c>
      <c r="H7954" s="26" t="e">
        <f t="shared" si="1"/>
        <v>#VALUE!</v>
      </c>
      <c r="I7954" s="1" t="e">
        <f t="shared" si="2"/>
        <v>#VALUE!</v>
      </c>
    </row>
    <row r="7955" spans="1:9" ht="15.75" customHeight="1">
      <c r="A7955" s="26"/>
      <c r="B7955" s="2"/>
      <c r="C7955" s="26"/>
      <c r="D7955" s="26"/>
      <c r="F7955" s="85" t="str">
        <f t="shared" si="0"/>
        <v/>
      </c>
      <c r="G7955" s="1" t="e">
        <f>IF(VALUE(F7955) = VALUE(RIGHT(Insights!$C$3, 4)), E7955, "")</f>
        <v>#VALUE!</v>
      </c>
      <c r="H7955" s="26" t="e">
        <f t="shared" si="1"/>
        <v>#VALUE!</v>
      </c>
      <c r="I7955" s="1" t="e">
        <f t="shared" si="2"/>
        <v>#VALUE!</v>
      </c>
    </row>
    <row r="7956" spans="1:9" ht="15.75" customHeight="1">
      <c r="A7956" s="26"/>
      <c r="B7956" s="2"/>
      <c r="C7956" s="26"/>
      <c r="D7956" s="26"/>
      <c r="F7956" s="85" t="str">
        <f t="shared" si="0"/>
        <v/>
      </c>
      <c r="G7956" s="1" t="e">
        <f>IF(VALUE(F7956) = VALUE(RIGHT(Insights!$C$3, 4)), E7956, "")</f>
        <v>#VALUE!</v>
      </c>
      <c r="H7956" s="26" t="e">
        <f t="shared" si="1"/>
        <v>#VALUE!</v>
      </c>
      <c r="I7956" s="1" t="e">
        <f t="shared" si="2"/>
        <v>#VALUE!</v>
      </c>
    </row>
    <row r="7957" spans="1:9" ht="15.75" customHeight="1">
      <c r="A7957" s="26"/>
      <c r="B7957" s="2"/>
      <c r="C7957" s="26"/>
      <c r="D7957" s="26"/>
      <c r="F7957" s="85" t="str">
        <f t="shared" si="0"/>
        <v/>
      </c>
      <c r="G7957" s="1" t="e">
        <f>IF(VALUE(F7957) = VALUE(RIGHT(Insights!$C$3, 4)), E7957, "")</f>
        <v>#VALUE!</v>
      </c>
      <c r="H7957" s="26" t="e">
        <f t="shared" si="1"/>
        <v>#VALUE!</v>
      </c>
      <c r="I7957" s="1" t="e">
        <f t="shared" si="2"/>
        <v>#VALUE!</v>
      </c>
    </row>
    <row r="7958" spans="1:9" ht="15.75" customHeight="1">
      <c r="A7958" s="26"/>
      <c r="B7958" s="2"/>
      <c r="C7958" s="26"/>
      <c r="D7958" s="26"/>
      <c r="F7958" s="85" t="str">
        <f t="shared" si="0"/>
        <v/>
      </c>
      <c r="G7958" s="1" t="e">
        <f>IF(VALUE(F7958) = VALUE(RIGHT(Insights!$C$3, 4)), E7958, "")</f>
        <v>#VALUE!</v>
      </c>
      <c r="H7958" s="26" t="e">
        <f t="shared" si="1"/>
        <v>#VALUE!</v>
      </c>
      <c r="I7958" s="1" t="e">
        <f t="shared" si="2"/>
        <v>#VALUE!</v>
      </c>
    </row>
    <row r="7959" spans="1:9" ht="15.75" customHeight="1">
      <c r="A7959" s="26"/>
      <c r="B7959" s="2"/>
      <c r="C7959" s="26"/>
      <c r="D7959" s="26"/>
      <c r="F7959" s="85" t="str">
        <f t="shared" si="0"/>
        <v/>
      </c>
      <c r="G7959" s="1" t="e">
        <f>IF(VALUE(F7959) = VALUE(RIGHT(Insights!$C$3, 4)), E7959, "")</f>
        <v>#VALUE!</v>
      </c>
      <c r="H7959" s="26" t="e">
        <f t="shared" si="1"/>
        <v>#VALUE!</v>
      </c>
      <c r="I7959" s="1" t="e">
        <f t="shared" si="2"/>
        <v>#VALUE!</v>
      </c>
    </row>
    <row r="7960" spans="1:9" ht="15.75" customHeight="1">
      <c r="A7960" s="26"/>
      <c r="B7960" s="2"/>
      <c r="C7960" s="26"/>
      <c r="D7960" s="26"/>
      <c r="F7960" s="85" t="str">
        <f t="shared" si="0"/>
        <v/>
      </c>
      <c r="G7960" s="1" t="e">
        <f>IF(VALUE(F7960) = VALUE(RIGHT(Insights!$C$3, 4)), E7960, "")</f>
        <v>#VALUE!</v>
      </c>
      <c r="H7960" s="26" t="e">
        <f t="shared" si="1"/>
        <v>#VALUE!</v>
      </c>
      <c r="I7960" s="1" t="e">
        <f t="shared" si="2"/>
        <v>#VALUE!</v>
      </c>
    </row>
    <row r="7961" spans="1:9" ht="15.75" customHeight="1">
      <c r="A7961" s="26"/>
      <c r="B7961" s="2"/>
      <c r="C7961" s="26"/>
      <c r="D7961" s="26"/>
      <c r="F7961" s="85" t="str">
        <f t="shared" si="0"/>
        <v/>
      </c>
      <c r="G7961" s="1" t="e">
        <f>IF(VALUE(F7961) = VALUE(RIGHT(Insights!$C$3, 4)), E7961, "")</f>
        <v>#VALUE!</v>
      </c>
      <c r="H7961" s="26" t="e">
        <f t="shared" si="1"/>
        <v>#VALUE!</v>
      </c>
      <c r="I7961" s="1" t="e">
        <f t="shared" si="2"/>
        <v>#VALUE!</v>
      </c>
    </row>
    <row r="7962" spans="1:9" ht="15.75" customHeight="1">
      <c r="A7962" s="26"/>
      <c r="B7962" s="2"/>
      <c r="C7962" s="26"/>
      <c r="D7962" s="26"/>
      <c r="F7962" s="85" t="str">
        <f t="shared" si="0"/>
        <v/>
      </c>
      <c r="G7962" s="1" t="e">
        <f>IF(VALUE(F7962) = VALUE(RIGHT(Insights!$C$3, 4)), E7962, "")</f>
        <v>#VALUE!</v>
      </c>
      <c r="H7962" s="26" t="e">
        <f t="shared" si="1"/>
        <v>#VALUE!</v>
      </c>
      <c r="I7962" s="1" t="e">
        <f t="shared" si="2"/>
        <v>#VALUE!</v>
      </c>
    </row>
    <row r="7963" spans="1:9" ht="15.75" customHeight="1">
      <c r="A7963" s="26"/>
      <c r="B7963" s="2"/>
      <c r="C7963" s="26"/>
      <c r="D7963" s="26"/>
      <c r="F7963" s="85" t="str">
        <f t="shared" si="0"/>
        <v/>
      </c>
      <c r="G7963" s="1" t="e">
        <f>IF(VALUE(F7963) = VALUE(RIGHT(Insights!$C$3, 4)), E7963, "")</f>
        <v>#VALUE!</v>
      </c>
      <c r="H7963" s="26" t="e">
        <f t="shared" si="1"/>
        <v>#VALUE!</v>
      </c>
      <c r="I7963" s="1" t="e">
        <f t="shared" si="2"/>
        <v>#VALUE!</v>
      </c>
    </row>
    <row r="7964" spans="1:9" ht="15.75" customHeight="1">
      <c r="A7964" s="26"/>
      <c r="B7964" s="2"/>
      <c r="C7964" s="26"/>
      <c r="D7964" s="26"/>
      <c r="F7964" s="85" t="str">
        <f t="shared" si="0"/>
        <v/>
      </c>
      <c r="G7964" s="1" t="e">
        <f>IF(VALUE(F7964) = VALUE(RIGHT(Insights!$C$3, 4)), E7964, "")</f>
        <v>#VALUE!</v>
      </c>
      <c r="H7964" s="26" t="e">
        <f t="shared" si="1"/>
        <v>#VALUE!</v>
      </c>
      <c r="I7964" s="1" t="e">
        <f t="shared" si="2"/>
        <v>#VALUE!</v>
      </c>
    </row>
    <row r="7965" spans="1:9" ht="15.75" customHeight="1">
      <c r="A7965" s="26"/>
      <c r="B7965" s="2"/>
      <c r="C7965" s="26"/>
      <c r="D7965" s="26"/>
      <c r="F7965" s="85" t="str">
        <f t="shared" si="0"/>
        <v/>
      </c>
      <c r="G7965" s="1" t="e">
        <f>IF(VALUE(F7965) = VALUE(RIGHT(Insights!$C$3, 4)), E7965, "")</f>
        <v>#VALUE!</v>
      </c>
      <c r="H7965" s="26" t="e">
        <f t="shared" si="1"/>
        <v>#VALUE!</v>
      </c>
      <c r="I7965" s="1" t="e">
        <f t="shared" si="2"/>
        <v>#VALUE!</v>
      </c>
    </row>
    <row r="7966" spans="1:9" ht="15.75" customHeight="1">
      <c r="A7966" s="26"/>
      <c r="B7966" s="2"/>
      <c r="C7966" s="26"/>
      <c r="D7966" s="26"/>
      <c r="F7966" s="85" t="str">
        <f t="shared" si="0"/>
        <v/>
      </c>
      <c r="G7966" s="1" t="e">
        <f>IF(VALUE(F7966) = VALUE(RIGHT(Insights!$C$3, 4)), E7966, "")</f>
        <v>#VALUE!</v>
      </c>
      <c r="H7966" s="26" t="e">
        <f t="shared" si="1"/>
        <v>#VALUE!</v>
      </c>
      <c r="I7966" s="1" t="e">
        <f t="shared" si="2"/>
        <v>#VALUE!</v>
      </c>
    </row>
    <row r="7967" spans="1:9" ht="15.75" customHeight="1">
      <c r="A7967" s="26"/>
      <c r="B7967" s="2"/>
      <c r="C7967" s="26"/>
      <c r="D7967" s="26"/>
      <c r="F7967" s="85" t="str">
        <f t="shared" si="0"/>
        <v/>
      </c>
      <c r="G7967" s="1" t="e">
        <f>IF(VALUE(F7967) = VALUE(RIGHT(Insights!$C$3, 4)), E7967, "")</f>
        <v>#VALUE!</v>
      </c>
      <c r="H7967" s="26" t="e">
        <f t="shared" si="1"/>
        <v>#VALUE!</v>
      </c>
      <c r="I7967" s="1" t="e">
        <f t="shared" si="2"/>
        <v>#VALUE!</v>
      </c>
    </row>
    <row r="7968" spans="1:9" ht="15.75" customHeight="1">
      <c r="A7968" s="26"/>
      <c r="B7968" s="2"/>
      <c r="C7968" s="26"/>
      <c r="D7968" s="26"/>
      <c r="F7968" s="85" t="str">
        <f t="shared" si="0"/>
        <v/>
      </c>
      <c r="G7968" s="1" t="e">
        <f>IF(VALUE(F7968) = VALUE(RIGHT(Insights!$C$3, 4)), E7968, "")</f>
        <v>#VALUE!</v>
      </c>
      <c r="H7968" s="26" t="e">
        <f t="shared" si="1"/>
        <v>#VALUE!</v>
      </c>
      <c r="I7968" s="1" t="e">
        <f t="shared" si="2"/>
        <v>#VALUE!</v>
      </c>
    </row>
    <row r="7969" spans="1:9" ht="15.75" customHeight="1">
      <c r="A7969" s="26"/>
      <c r="B7969" s="2"/>
      <c r="C7969" s="26"/>
      <c r="D7969" s="26"/>
      <c r="F7969" s="85" t="str">
        <f t="shared" si="0"/>
        <v/>
      </c>
      <c r="G7969" s="1" t="e">
        <f>IF(VALUE(F7969) = VALUE(RIGHT(Insights!$C$3, 4)), E7969, "")</f>
        <v>#VALUE!</v>
      </c>
      <c r="H7969" s="26" t="e">
        <f t="shared" si="1"/>
        <v>#VALUE!</v>
      </c>
      <c r="I7969" s="1" t="e">
        <f t="shared" si="2"/>
        <v>#VALUE!</v>
      </c>
    </row>
    <row r="7970" spans="1:9" ht="15.75" customHeight="1">
      <c r="A7970" s="26"/>
      <c r="B7970" s="2"/>
      <c r="C7970" s="26"/>
      <c r="D7970" s="26"/>
      <c r="F7970" s="85" t="str">
        <f t="shared" si="0"/>
        <v/>
      </c>
      <c r="G7970" s="1" t="e">
        <f>IF(VALUE(F7970) = VALUE(RIGHT(Insights!$C$3, 4)), E7970, "")</f>
        <v>#VALUE!</v>
      </c>
      <c r="H7970" s="26" t="e">
        <f t="shared" si="1"/>
        <v>#VALUE!</v>
      </c>
      <c r="I7970" s="1" t="e">
        <f t="shared" si="2"/>
        <v>#VALUE!</v>
      </c>
    </row>
    <row r="7971" spans="1:9" ht="15.75" customHeight="1">
      <c r="A7971" s="26"/>
      <c r="B7971" s="2"/>
      <c r="C7971" s="26"/>
      <c r="D7971" s="26"/>
      <c r="F7971" s="85" t="str">
        <f t="shared" si="0"/>
        <v/>
      </c>
      <c r="G7971" s="1" t="e">
        <f>IF(VALUE(F7971) = VALUE(RIGHT(Insights!$C$3, 4)), E7971, "")</f>
        <v>#VALUE!</v>
      </c>
      <c r="H7971" s="26" t="e">
        <f t="shared" si="1"/>
        <v>#VALUE!</v>
      </c>
      <c r="I7971" s="1" t="e">
        <f t="shared" si="2"/>
        <v>#VALUE!</v>
      </c>
    </row>
    <row r="7972" spans="1:9" ht="15.75" customHeight="1">
      <c r="A7972" s="26"/>
      <c r="B7972" s="2"/>
      <c r="C7972" s="26"/>
      <c r="D7972" s="26"/>
      <c r="F7972" s="85" t="str">
        <f t="shared" si="0"/>
        <v/>
      </c>
      <c r="G7972" s="1" t="e">
        <f>IF(VALUE(F7972) = VALUE(RIGHT(Insights!$C$3, 4)), E7972, "")</f>
        <v>#VALUE!</v>
      </c>
      <c r="H7972" s="26" t="e">
        <f t="shared" si="1"/>
        <v>#VALUE!</v>
      </c>
      <c r="I7972" s="1" t="e">
        <f t="shared" si="2"/>
        <v>#VALUE!</v>
      </c>
    </row>
    <row r="7973" spans="1:9" ht="15.75" customHeight="1">
      <c r="A7973" s="26"/>
      <c r="B7973" s="2"/>
      <c r="C7973" s="26"/>
      <c r="D7973" s="26"/>
      <c r="F7973" s="85" t="str">
        <f t="shared" si="0"/>
        <v/>
      </c>
      <c r="G7973" s="1" t="e">
        <f>IF(VALUE(F7973) = VALUE(RIGHT(Insights!$C$3, 4)), E7973, "")</f>
        <v>#VALUE!</v>
      </c>
      <c r="H7973" s="26" t="e">
        <f t="shared" si="1"/>
        <v>#VALUE!</v>
      </c>
      <c r="I7973" s="1" t="e">
        <f t="shared" si="2"/>
        <v>#VALUE!</v>
      </c>
    </row>
    <row r="7974" spans="1:9" ht="15.75" customHeight="1">
      <c r="A7974" s="26"/>
      <c r="B7974" s="2"/>
      <c r="C7974" s="26"/>
      <c r="D7974" s="26"/>
      <c r="F7974" s="85" t="str">
        <f t="shared" si="0"/>
        <v/>
      </c>
      <c r="G7974" s="1" t="e">
        <f>IF(VALUE(F7974) = VALUE(RIGHT(Insights!$C$3, 4)), E7974, "")</f>
        <v>#VALUE!</v>
      </c>
      <c r="H7974" s="26" t="e">
        <f t="shared" si="1"/>
        <v>#VALUE!</v>
      </c>
      <c r="I7974" s="1" t="e">
        <f t="shared" si="2"/>
        <v>#VALUE!</v>
      </c>
    </row>
    <row r="7975" spans="1:9" ht="15.75" customHeight="1">
      <c r="A7975" s="26"/>
      <c r="B7975" s="2"/>
      <c r="C7975" s="26"/>
      <c r="D7975" s="26"/>
      <c r="F7975" s="85" t="str">
        <f t="shared" si="0"/>
        <v/>
      </c>
      <c r="G7975" s="1" t="e">
        <f>IF(VALUE(F7975) = VALUE(RIGHT(Insights!$C$3, 4)), E7975, "")</f>
        <v>#VALUE!</v>
      </c>
      <c r="H7975" s="26" t="e">
        <f t="shared" si="1"/>
        <v>#VALUE!</v>
      </c>
      <c r="I7975" s="1" t="e">
        <f t="shared" si="2"/>
        <v>#VALUE!</v>
      </c>
    </row>
    <row r="7976" spans="1:9" ht="15.75" customHeight="1">
      <c r="A7976" s="26"/>
      <c r="B7976" s="2"/>
      <c r="C7976" s="26"/>
      <c r="D7976" s="26"/>
      <c r="F7976" s="85" t="str">
        <f t="shared" si="0"/>
        <v/>
      </c>
      <c r="G7976" s="1" t="e">
        <f>IF(VALUE(F7976) = VALUE(RIGHT(Insights!$C$3, 4)), E7976, "")</f>
        <v>#VALUE!</v>
      </c>
      <c r="H7976" s="26" t="e">
        <f t="shared" si="1"/>
        <v>#VALUE!</v>
      </c>
      <c r="I7976" s="1" t="e">
        <f t="shared" si="2"/>
        <v>#VALUE!</v>
      </c>
    </row>
    <row r="7977" spans="1:9" ht="15.75" customHeight="1">
      <c r="A7977" s="26"/>
      <c r="B7977" s="2"/>
      <c r="C7977" s="26"/>
      <c r="D7977" s="26"/>
      <c r="F7977" s="85" t="str">
        <f t="shared" si="0"/>
        <v/>
      </c>
      <c r="G7977" s="1" t="e">
        <f>IF(VALUE(F7977) = VALUE(RIGHT(Insights!$C$3, 4)), E7977, "")</f>
        <v>#VALUE!</v>
      </c>
      <c r="H7977" s="26" t="e">
        <f t="shared" si="1"/>
        <v>#VALUE!</v>
      </c>
      <c r="I7977" s="1" t="e">
        <f t="shared" si="2"/>
        <v>#VALUE!</v>
      </c>
    </row>
    <row r="7978" spans="1:9" ht="15.75" customHeight="1">
      <c r="A7978" s="26"/>
      <c r="B7978" s="2"/>
      <c r="C7978" s="26"/>
      <c r="D7978" s="26"/>
      <c r="F7978" s="85" t="str">
        <f t="shared" si="0"/>
        <v/>
      </c>
      <c r="G7978" s="1" t="e">
        <f>IF(VALUE(F7978) = VALUE(RIGHT(Insights!$C$3, 4)), E7978, "")</f>
        <v>#VALUE!</v>
      </c>
      <c r="H7978" s="26" t="e">
        <f t="shared" si="1"/>
        <v>#VALUE!</v>
      </c>
      <c r="I7978" s="1" t="e">
        <f t="shared" si="2"/>
        <v>#VALUE!</v>
      </c>
    </row>
    <row r="7979" spans="1:9" ht="15.75" customHeight="1">
      <c r="A7979" s="26"/>
      <c r="B7979" s="2"/>
      <c r="C7979" s="26"/>
      <c r="D7979" s="26"/>
      <c r="F7979" s="85" t="str">
        <f t="shared" si="0"/>
        <v/>
      </c>
      <c r="G7979" s="1" t="e">
        <f>IF(VALUE(F7979) = VALUE(RIGHT(Insights!$C$3, 4)), E7979, "")</f>
        <v>#VALUE!</v>
      </c>
      <c r="H7979" s="26" t="e">
        <f t="shared" si="1"/>
        <v>#VALUE!</v>
      </c>
      <c r="I7979" s="1" t="e">
        <f t="shared" si="2"/>
        <v>#VALUE!</v>
      </c>
    </row>
    <row r="7980" spans="1:9" ht="15.75" customHeight="1">
      <c r="A7980" s="26"/>
      <c r="B7980" s="2"/>
      <c r="C7980" s="26"/>
      <c r="D7980" s="26"/>
      <c r="F7980" s="85" t="str">
        <f t="shared" si="0"/>
        <v/>
      </c>
      <c r="G7980" s="1" t="e">
        <f>IF(VALUE(F7980) = VALUE(RIGHT(Insights!$C$3, 4)), E7980, "")</f>
        <v>#VALUE!</v>
      </c>
      <c r="H7980" s="26" t="e">
        <f t="shared" si="1"/>
        <v>#VALUE!</v>
      </c>
      <c r="I7980" s="1" t="e">
        <f t="shared" si="2"/>
        <v>#VALUE!</v>
      </c>
    </row>
    <row r="7981" spans="1:9" ht="15.75" customHeight="1">
      <c r="A7981" s="26"/>
      <c r="B7981" s="2"/>
      <c r="C7981" s="26"/>
      <c r="D7981" s="26"/>
      <c r="F7981" s="85" t="str">
        <f t="shared" si="0"/>
        <v/>
      </c>
      <c r="G7981" s="1" t="e">
        <f>IF(VALUE(F7981) = VALUE(RIGHT(Insights!$C$3, 4)), E7981, "")</f>
        <v>#VALUE!</v>
      </c>
      <c r="H7981" s="26" t="e">
        <f t="shared" si="1"/>
        <v>#VALUE!</v>
      </c>
      <c r="I7981" s="1" t="e">
        <f t="shared" si="2"/>
        <v>#VALUE!</v>
      </c>
    </row>
    <row r="7982" spans="1:9" ht="15.75" customHeight="1">
      <c r="A7982" s="26"/>
      <c r="B7982" s="2"/>
      <c r="C7982" s="26"/>
      <c r="D7982" s="26"/>
      <c r="F7982" s="85" t="str">
        <f t="shared" si="0"/>
        <v/>
      </c>
      <c r="G7982" s="1" t="e">
        <f>IF(VALUE(F7982) = VALUE(RIGHT(Insights!$C$3, 4)), E7982, "")</f>
        <v>#VALUE!</v>
      </c>
      <c r="H7982" s="26" t="e">
        <f t="shared" si="1"/>
        <v>#VALUE!</v>
      </c>
      <c r="I7982" s="1" t="e">
        <f t="shared" si="2"/>
        <v>#VALUE!</v>
      </c>
    </row>
    <row r="7983" spans="1:9" ht="15.75" customHeight="1">
      <c r="A7983" s="26"/>
      <c r="B7983" s="2"/>
      <c r="C7983" s="26"/>
      <c r="D7983" s="26"/>
      <c r="F7983" s="85" t="str">
        <f t="shared" si="0"/>
        <v/>
      </c>
      <c r="G7983" s="1" t="e">
        <f>IF(VALUE(F7983) = VALUE(RIGHT(Insights!$C$3, 4)), E7983, "")</f>
        <v>#VALUE!</v>
      </c>
      <c r="H7983" s="26" t="e">
        <f t="shared" si="1"/>
        <v>#VALUE!</v>
      </c>
      <c r="I7983" s="1" t="e">
        <f t="shared" si="2"/>
        <v>#VALUE!</v>
      </c>
    </row>
    <row r="7984" spans="1:9" ht="15.75" customHeight="1">
      <c r="A7984" s="26"/>
      <c r="B7984" s="2"/>
      <c r="C7984" s="26"/>
      <c r="D7984" s="26"/>
      <c r="F7984" s="85" t="str">
        <f t="shared" si="0"/>
        <v/>
      </c>
      <c r="G7984" s="1" t="e">
        <f>IF(VALUE(F7984) = VALUE(RIGHT(Insights!$C$3, 4)), E7984, "")</f>
        <v>#VALUE!</v>
      </c>
      <c r="H7984" s="26" t="e">
        <f t="shared" si="1"/>
        <v>#VALUE!</v>
      </c>
      <c r="I7984" s="1" t="e">
        <f t="shared" si="2"/>
        <v>#VALUE!</v>
      </c>
    </row>
    <row r="7985" spans="1:9" ht="15.75" customHeight="1">
      <c r="A7985" s="26"/>
      <c r="B7985" s="2"/>
      <c r="C7985" s="26"/>
      <c r="D7985" s="26"/>
      <c r="F7985" s="85" t="str">
        <f t="shared" si="0"/>
        <v/>
      </c>
      <c r="G7985" s="1" t="e">
        <f>IF(VALUE(F7985) = VALUE(RIGHT(Insights!$C$3, 4)), E7985, "")</f>
        <v>#VALUE!</v>
      </c>
      <c r="H7985" s="26" t="e">
        <f t="shared" si="1"/>
        <v>#VALUE!</v>
      </c>
      <c r="I7985" s="1" t="e">
        <f t="shared" si="2"/>
        <v>#VALUE!</v>
      </c>
    </row>
    <row r="7986" spans="1:9" ht="15.75" customHeight="1">
      <c r="A7986" s="26"/>
      <c r="B7986" s="2"/>
      <c r="C7986" s="26"/>
      <c r="D7986" s="26"/>
      <c r="F7986" s="85" t="str">
        <f t="shared" si="0"/>
        <v/>
      </c>
      <c r="G7986" s="1" t="e">
        <f>IF(VALUE(F7986) = VALUE(RIGHT(Insights!$C$3, 4)), E7986, "")</f>
        <v>#VALUE!</v>
      </c>
      <c r="H7986" s="26" t="e">
        <f t="shared" si="1"/>
        <v>#VALUE!</v>
      </c>
      <c r="I7986" s="1" t="e">
        <f t="shared" si="2"/>
        <v>#VALUE!</v>
      </c>
    </row>
    <row r="7987" spans="1:9" ht="15.75" customHeight="1">
      <c r="A7987" s="26"/>
      <c r="B7987" s="2"/>
      <c r="C7987" s="26"/>
      <c r="D7987" s="26"/>
      <c r="F7987" s="85" t="str">
        <f t="shared" si="0"/>
        <v/>
      </c>
      <c r="G7987" s="1" t="e">
        <f>IF(VALUE(F7987) = VALUE(RIGHT(Insights!$C$3, 4)), E7987, "")</f>
        <v>#VALUE!</v>
      </c>
      <c r="H7987" s="26" t="e">
        <f t="shared" si="1"/>
        <v>#VALUE!</v>
      </c>
      <c r="I7987" s="1" t="e">
        <f t="shared" si="2"/>
        <v>#VALUE!</v>
      </c>
    </row>
    <row r="7988" spans="1:9" ht="15.75" customHeight="1">
      <c r="A7988" s="26"/>
      <c r="B7988" s="2"/>
      <c r="C7988" s="26"/>
      <c r="D7988" s="26"/>
      <c r="F7988" s="85" t="str">
        <f t="shared" si="0"/>
        <v/>
      </c>
      <c r="G7988" s="1" t="e">
        <f>IF(VALUE(F7988) = VALUE(RIGHT(Insights!$C$3, 4)), E7988, "")</f>
        <v>#VALUE!</v>
      </c>
      <c r="H7988" s="26" t="e">
        <f t="shared" si="1"/>
        <v>#VALUE!</v>
      </c>
      <c r="I7988" s="1" t="e">
        <f t="shared" si="2"/>
        <v>#VALUE!</v>
      </c>
    </row>
    <row r="7989" spans="1:9" ht="15.75" customHeight="1">
      <c r="A7989" s="26"/>
      <c r="B7989" s="2"/>
      <c r="C7989" s="26"/>
      <c r="D7989" s="26"/>
      <c r="F7989" s="85" t="str">
        <f t="shared" si="0"/>
        <v/>
      </c>
      <c r="G7989" s="1" t="e">
        <f>IF(VALUE(F7989) = VALUE(RIGHT(Insights!$C$3, 4)), E7989, "")</f>
        <v>#VALUE!</v>
      </c>
      <c r="H7989" s="26" t="e">
        <f t="shared" si="1"/>
        <v>#VALUE!</v>
      </c>
      <c r="I7989" s="1" t="e">
        <f t="shared" si="2"/>
        <v>#VALUE!</v>
      </c>
    </row>
    <row r="7990" spans="1:9" ht="15.75" customHeight="1">
      <c r="A7990" s="26"/>
      <c r="B7990" s="2"/>
      <c r="C7990" s="26"/>
      <c r="D7990" s="26"/>
      <c r="F7990" s="85" t="str">
        <f t="shared" si="0"/>
        <v/>
      </c>
      <c r="G7990" s="1" t="e">
        <f>IF(VALUE(F7990) = VALUE(RIGHT(Insights!$C$3, 4)), E7990, "")</f>
        <v>#VALUE!</v>
      </c>
      <c r="H7990" s="26" t="e">
        <f t="shared" si="1"/>
        <v>#VALUE!</v>
      </c>
      <c r="I7990" s="1" t="e">
        <f t="shared" si="2"/>
        <v>#VALUE!</v>
      </c>
    </row>
    <row r="7991" spans="1:9" ht="15.75" customHeight="1">
      <c r="A7991" s="26"/>
      <c r="B7991" s="2"/>
      <c r="C7991" s="26"/>
      <c r="D7991" s="26"/>
      <c r="F7991" s="85" t="str">
        <f t="shared" si="0"/>
        <v/>
      </c>
      <c r="G7991" s="1" t="e">
        <f>IF(VALUE(F7991) = VALUE(RIGHT(Insights!$C$3, 4)), E7991, "")</f>
        <v>#VALUE!</v>
      </c>
      <c r="H7991" s="26" t="e">
        <f t="shared" si="1"/>
        <v>#VALUE!</v>
      </c>
      <c r="I7991" s="1" t="e">
        <f t="shared" si="2"/>
        <v>#VALUE!</v>
      </c>
    </row>
    <row r="7992" spans="1:9" ht="15.75" customHeight="1">
      <c r="A7992" s="26"/>
      <c r="B7992" s="2"/>
      <c r="C7992" s="26"/>
      <c r="D7992" s="26"/>
      <c r="F7992" s="85" t="str">
        <f t="shared" si="0"/>
        <v/>
      </c>
      <c r="G7992" s="1" t="e">
        <f>IF(VALUE(F7992) = VALUE(RIGHT(Insights!$C$3, 4)), E7992, "")</f>
        <v>#VALUE!</v>
      </c>
      <c r="H7992" s="26" t="e">
        <f t="shared" si="1"/>
        <v>#VALUE!</v>
      </c>
      <c r="I7992" s="1" t="e">
        <f t="shared" si="2"/>
        <v>#VALUE!</v>
      </c>
    </row>
    <row r="7993" spans="1:9" ht="15.75" customHeight="1">
      <c r="A7993" s="26"/>
      <c r="B7993" s="2"/>
      <c r="C7993" s="26"/>
      <c r="D7993" s="26"/>
      <c r="F7993" s="85" t="str">
        <f t="shared" si="0"/>
        <v/>
      </c>
      <c r="G7993" s="1" t="e">
        <f>IF(VALUE(F7993) = VALUE(RIGHT(Insights!$C$3, 4)), E7993, "")</f>
        <v>#VALUE!</v>
      </c>
      <c r="H7993" s="26" t="e">
        <f t="shared" si="1"/>
        <v>#VALUE!</v>
      </c>
      <c r="I7993" s="1" t="e">
        <f t="shared" si="2"/>
        <v>#VALUE!</v>
      </c>
    </row>
    <row r="7994" spans="1:9" ht="15.75" customHeight="1">
      <c r="A7994" s="26"/>
      <c r="B7994" s="2"/>
      <c r="C7994" s="26"/>
      <c r="D7994" s="26"/>
      <c r="F7994" s="85" t="str">
        <f t="shared" si="0"/>
        <v/>
      </c>
      <c r="G7994" s="1" t="e">
        <f>IF(VALUE(F7994) = VALUE(RIGHT(Insights!$C$3, 4)), E7994, "")</f>
        <v>#VALUE!</v>
      </c>
      <c r="H7994" s="26" t="e">
        <f t="shared" si="1"/>
        <v>#VALUE!</v>
      </c>
      <c r="I7994" s="1" t="e">
        <f t="shared" si="2"/>
        <v>#VALUE!</v>
      </c>
    </row>
    <row r="7995" spans="1:9" ht="15.75" customHeight="1">
      <c r="A7995" s="26"/>
      <c r="B7995" s="2"/>
      <c r="C7995" s="26"/>
      <c r="D7995" s="26"/>
      <c r="F7995" s="85" t="str">
        <f t="shared" si="0"/>
        <v/>
      </c>
      <c r="G7995" s="1" t="e">
        <f>IF(VALUE(F7995) = VALUE(RIGHT(Insights!$C$3, 4)), E7995, "")</f>
        <v>#VALUE!</v>
      </c>
      <c r="H7995" s="26" t="e">
        <f t="shared" si="1"/>
        <v>#VALUE!</v>
      </c>
      <c r="I7995" s="1" t="e">
        <f t="shared" si="2"/>
        <v>#VALUE!</v>
      </c>
    </row>
    <row r="7996" spans="1:9" ht="15.75" customHeight="1">
      <c r="A7996" s="26"/>
      <c r="B7996" s="2"/>
      <c r="C7996" s="26"/>
      <c r="D7996" s="26"/>
      <c r="F7996" s="85" t="str">
        <f t="shared" si="0"/>
        <v/>
      </c>
      <c r="G7996" s="1" t="e">
        <f>IF(VALUE(F7996) = VALUE(RIGHT(Insights!$C$3, 4)), E7996, "")</f>
        <v>#VALUE!</v>
      </c>
      <c r="H7996" s="26" t="e">
        <f t="shared" si="1"/>
        <v>#VALUE!</v>
      </c>
      <c r="I7996" s="1" t="e">
        <f t="shared" si="2"/>
        <v>#VALUE!</v>
      </c>
    </row>
    <row r="7997" spans="1:9" ht="15.75" customHeight="1">
      <c r="A7997" s="26"/>
      <c r="B7997" s="2"/>
      <c r="C7997" s="26"/>
      <c r="D7997" s="26"/>
      <c r="F7997" s="85" t="str">
        <f t="shared" si="0"/>
        <v/>
      </c>
      <c r="G7997" s="1" t="e">
        <f>IF(VALUE(F7997) = VALUE(RIGHT(Insights!$C$3, 4)), E7997, "")</f>
        <v>#VALUE!</v>
      </c>
      <c r="H7997" s="26" t="e">
        <f t="shared" si="1"/>
        <v>#VALUE!</v>
      </c>
      <c r="I7997" s="1" t="e">
        <f t="shared" si="2"/>
        <v>#VALUE!</v>
      </c>
    </row>
    <row r="7998" spans="1:9" ht="15.75" customHeight="1">
      <c r="A7998" s="26"/>
      <c r="B7998" s="2"/>
      <c r="C7998" s="26"/>
      <c r="D7998" s="26"/>
      <c r="F7998" s="85" t="str">
        <f t="shared" si="0"/>
        <v/>
      </c>
      <c r="G7998" s="1" t="e">
        <f>IF(VALUE(F7998) = VALUE(RIGHT(Insights!$C$3, 4)), E7998, "")</f>
        <v>#VALUE!</v>
      </c>
      <c r="H7998" s="26" t="e">
        <f t="shared" si="1"/>
        <v>#VALUE!</v>
      </c>
      <c r="I7998" s="1" t="e">
        <f t="shared" si="2"/>
        <v>#VALUE!</v>
      </c>
    </row>
    <row r="7999" spans="1:9" ht="15.75" customHeight="1">
      <c r="A7999" s="26"/>
      <c r="B7999" s="2"/>
      <c r="C7999" s="26"/>
      <c r="D7999" s="26"/>
      <c r="F7999" s="85" t="str">
        <f t="shared" si="0"/>
        <v/>
      </c>
      <c r="G7999" s="1" t="e">
        <f>IF(VALUE(F7999) = VALUE(RIGHT(Insights!$C$3, 4)), E7999, "")</f>
        <v>#VALUE!</v>
      </c>
      <c r="H7999" s="26" t="e">
        <f t="shared" si="1"/>
        <v>#VALUE!</v>
      </c>
      <c r="I7999" s="1" t="e">
        <f t="shared" si="2"/>
        <v>#VALUE!</v>
      </c>
    </row>
    <row r="8000" spans="1:9" ht="15.75" customHeight="1">
      <c r="A8000" s="26"/>
      <c r="B8000" s="2"/>
      <c r="C8000" s="26"/>
      <c r="D8000" s="26"/>
      <c r="F8000" s="85" t="str">
        <f t="shared" si="0"/>
        <v/>
      </c>
      <c r="G8000" s="1" t="e">
        <f>IF(VALUE(F8000) = VALUE(RIGHT(Insights!$C$3, 4)), E8000, "")</f>
        <v>#VALUE!</v>
      </c>
      <c r="H8000" s="26" t="e">
        <f t="shared" si="1"/>
        <v>#VALUE!</v>
      </c>
      <c r="I8000" s="1" t="e">
        <f t="shared" si="2"/>
        <v>#VALUE!</v>
      </c>
    </row>
    <row r="8001" spans="1:9" ht="15.75" customHeight="1">
      <c r="A8001" s="26"/>
      <c r="B8001" s="2"/>
      <c r="C8001" s="26"/>
      <c r="D8001" s="26"/>
      <c r="F8001" s="85" t="str">
        <f t="shared" si="0"/>
        <v/>
      </c>
      <c r="G8001" s="1" t="e">
        <f>IF(VALUE(F8001) = VALUE(RIGHT(Insights!$C$3, 4)), E8001, "")</f>
        <v>#VALUE!</v>
      </c>
      <c r="H8001" s="26" t="e">
        <f t="shared" si="1"/>
        <v>#VALUE!</v>
      </c>
      <c r="I8001" s="1" t="e">
        <f t="shared" si="2"/>
        <v>#VALUE!</v>
      </c>
    </row>
    <row r="8002" spans="1:9" ht="15.75" customHeight="1">
      <c r="A8002" s="26"/>
      <c r="B8002" s="2"/>
      <c r="C8002" s="26"/>
      <c r="D8002" s="26"/>
      <c r="F8002" s="85" t="str">
        <f t="shared" si="0"/>
        <v/>
      </c>
      <c r="G8002" s="1" t="e">
        <f>IF(VALUE(F8002) = VALUE(RIGHT(Insights!$C$3, 4)), E8002, "")</f>
        <v>#VALUE!</v>
      </c>
      <c r="H8002" s="26" t="e">
        <f t="shared" si="1"/>
        <v>#VALUE!</v>
      </c>
      <c r="I8002" s="1" t="e">
        <f t="shared" si="2"/>
        <v>#VALUE!</v>
      </c>
    </row>
    <row r="8003" spans="1:9" ht="15.75" customHeight="1">
      <c r="A8003" s="26"/>
      <c r="B8003" s="2"/>
      <c r="C8003" s="26"/>
      <c r="D8003" s="26"/>
      <c r="F8003" s="85" t="str">
        <f t="shared" si="0"/>
        <v/>
      </c>
      <c r="G8003" s="1" t="e">
        <f>IF(VALUE(F8003) = VALUE(RIGHT(Insights!$C$3, 4)), E8003, "")</f>
        <v>#VALUE!</v>
      </c>
      <c r="H8003" s="26" t="e">
        <f t="shared" si="1"/>
        <v>#VALUE!</v>
      </c>
      <c r="I8003" s="1" t="e">
        <f t="shared" si="2"/>
        <v>#VALUE!</v>
      </c>
    </row>
    <row r="8004" spans="1:9" ht="15.75" customHeight="1">
      <c r="A8004" s="26"/>
      <c r="B8004" s="2"/>
      <c r="C8004" s="26"/>
      <c r="D8004" s="26"/>
      <c r="F8004" s="85" t="str">
        <f t="shared" si="0"/>
        <v/>
      </c>
      <c r="G8004" s="1" t="e">
        <f>IF(VALUE(F8004) = VALUE(RIGHT(Insights!$C$3, 4)), E8004, "")</f>
        <v>#VALUE!</v>
      </c>
      <c r="H8004" s="26" t="e">
        <f t="shared" si="1"/>
        <v>#VALUE!</v>
      </c>
      <c r="I8004" s="1" t="e">
        <f t="shared" si="2"/>
        <v>#VALUE!</v>
      </c>
    </row>
    <row r="8005" spans="1:9" ht="15.75" customHeight="1">
      <c r="A8005" s="26"/>
      <c r="B8005" s="2"/>
      <c r="C8005" s="26"/>
      <c r="D8005" s="26"/>
      <c r="F8005" s="85" t="str">
        <f t="shared" si="0"/>
        <v/>
      </c>
      <c r="G8005" s="1" t="e">
        <f>IF(VALUE(F8005) = VALUE(RIGHT(Insights!$C$3, 4)), E8005, "")</f>
        <v>#VALUE!</v>
      </c>
      <c r="H8005" s="26" t="e">
        <f t="shared" si="1"/>
        <v>#VALUE!</v>
      </c>
      <c r="I8005" s="1" t="e">
        <f t="shared" si="2"/>
        <v>#VALUE!</v>
      </c>
    </row>
    <row r="8006" spans="1:9" ht="15.75" customHeight="1">
      <c r="A8006" s="26"/>
      <c r="B8006" s="2"/>
      <c r="C8006" s="26"/>
      <c r="D8006" s="26"/>
      <c r="F8006" s="85" t="str">
        <f t="shared" si="0"/>
        <v/>
      </c>
      <c r="G8006" s="1" t="e">
        <f>IF(VALUE(F8006) = VALUE(RIGHT(Insights!$C$3, 4)), E8006, "")</f>
        <v>#VALUE!</v>
      </c>
      <c r="H8006" s="26" t="e">
        <f t="shared" si="1"/>
        <v>#VALUE!</v>
      </c>
      <c r="I8006" s="1" t="e">
        <f t="shared" si="2"/>
        <v>#VALUE!</v>
      </c>
    </row>
    <row r="8007" spans="1:9" ht="15.75" customHeight="1">
      <c r="A8007" s="26"/>
      <c r="B8007" s="2"/>
      <c r="C8007" s="26"/>
      <c r="D8007" s="26"/>
      <c r="F8007" s="85" t="str">
        <f t="shared" si="0"/>
        <v/>
      </c>
      <c r="G8007" s="1" t="e">
        <f>IF(VALUE(F8007) = VALUE(RIGHT(Insights!$C$3, 4)), E8007, "")</f>
        <v>#VALUE!</v>
      </c>
      <c r="H8007" s="26" t="e">
        <f t="shared" si="1"/>
        <v>#VALUE!</v>
      </c>
      <c r="I8007" s="1" t="e">
        <f t="shared" si="2"/>
        <v>#VALUE!</v>
      </c>
    </row>
    <row r="8008" spans="1:9" ht="15.75" customHeight="1">
      <c r="A8008" s="26"/>
      <c r="B8008" s="2"/>
      <c r="C8008" s="26"/>
      <c r="D8008" s="26"/>
      <c r="F8008" s="85" t="str">
        <f t="shared" si="0"/>
        <v/>
      </c>
      <c r="G8008" s="1" t="e">
        <f>IF(VALUE(F8008) = VALUE(RIGHT(Insights!$C$3, 4)), E8008, "")</f>
        <v>#VALUE!</v>
      </c>
      <c r="H8008" s="26" t="e">
        <f t="shared" si="1"/>
        <v>#VALUE!</v>
      </c>
      <c r="I8008" s="1" t="e">
        <f t="shared" si="2"/>
        <v>#VALUE!</v>
      </c>
    </row>
    <row r="8009" spans="1:9" ht="15.75" customHeight="1">
      <c r="A8009" s="26"/>
      <c r="B8009" s="2"/>
      <c r="C8009" s="26"/>
      <c r="D8009" s="26"/>
      <c r="F8009" s="85" t="str">
        <f t="shared" si="0"/>
        <v/>
      </c>
      <c r="G8009" s="1" t="e">
        <f>IF(VALUE(F8009) = VALUE(RIGHT(Insights!$C$3, 4)), E8009, "")</f>
        <v>#VALUE!</v>
      </c>
      <c r="H8009" s="26" t="e">
        <f t="shared" si="1"/>
        <v>#VALUE!</v>
      </c>
      <c r="I8009" s="1" t="e">
        <f t="shared" si="2"/>
        <v>#VALUE!</v>
      </c>
    </row>
    <row r="8010" spans="1:9" ht="15.75" customHeight="1">
      <c r="A8010" s="26"/>
      <c r="B8010" s="2"/>
      <c r="C8010" s="26"/>
      <c r="D8010" s="26"/>
      <c r="F8010" s="85" t="str">
        <f t="shared" si="0"/>
        <v/>
      </c>
      <c r="G8010" s="1" t="e">
        <f>IF(VALUE(F8010) = VALUE(RIGHT(Insights!$C$3, 4)), E8010, "")</f>
        <v>#VALUE!</v>
      </c>
      <c r="H8010" s="26" t="e">
        <f t="shared" si="1"/>
        <v>#VALUE!</v>
      </c>
      <c r="I8010" s="1" t="e">
        <f t="shared" si="2"/>
        <v>#VALUE!</v>
      </c>
    </row>
    <row r="8011" spans="1:9" ht="15.75" customHeight="1">
      <c r="A8011" s="26"/>
      <c r="B8011" s="2"/>
      <c r="C8011" s="26"/>
      <c r="D8011" s="26"/>
      <c r="F8011" s="85" t="str">
        <f t="shared" si="0"/>
        <v/>
      </c>
      <c r="G8011" s="1" t="e">
        <f>IF(VALUE(F8011) = VALUE(RIGHT(Insights!$C$3, 4)), E8011, "")</f>
        <v>#VALUE!</v>
      </c>
      <c r="H8011" s="26" t="e">
        <f t="shared" si="1"/>
        <v>#VALUE!</v>
      </c>
      <c r="I8011" s="1" t="e">
        <f t="shared" si="2"/>
        <v>#VALUE!</v>
      </c>
    </row>
    <row r="8012" spans="1:9" ht="15.75" customHeight="1">
      <c r="A8012" s="26"/>
      <c r="B8012" s="2"/>
      <c r="C8012" s="26"/>
      <c r="D8012" s="26"/>
      <c r="F8012" s="85" t="str">
        <f t="shared" si="0"/>
        <v/>
      </c>
      <c r="G8012" s="1" t="e">
        <f>IF(VALUE(F8012) = VALUE(RIGHT(Insights!$C$3, 4)), E8012, "")</f>
        <v>#VALUE!</v>
      </c>
      <c r="H8012" s="26" t="e">
        <f t="shared" si="1"/>
        <v>#VALUE!</v>
      </c>
      <c r="I8012" s="1" t="e">
        <f t="shared" si="2"/>
        <v>#VALUE!</v>
      </c>
    </row>
    <row r="8013" spans="1:9" ht="15.75" customHeight="1">
      <c r="A8013" s="26"/>
      <c r="B8013" s="2"/>
      <c r="C8013" s="26"/>
      <c r="D8013" s="26"/>
      <c r="F8013" s="85" t="str">
        <f t="shared" si="0"/>
        <v/>
      </c>
      <c r="G8013" s="1" t="e">
        <f>IF(VALUE(F8013) = VALUE(RIGHT(Insights!$C$3, 4)), E8013, "")</f>
        <v>#VALUE!</v>
      </c>
      <c r="H8013" s="26" t="e">
        <f t="shared" si="1"/>
        <v>#VALUE!</v>
      </c>
      <c r="I8013" s="1" t="e">
        <f t="shared" si="2"/>
        <v>#VALUE!</v>
      </c>
    </row>
    <row r="8014" spans="1:9" ht="15.75" customHeight="1">
      <c r="A8014" s="26"/>
      <c r="B8014" s="2"/>
      <c r="C8014" s="26"/>
      <c r="D8014" s="26"/>
      <c r="F8014" s="85" t="str">
        <f t="shared" si="0"/>
        <v/>
      </c>
      <c r="G8014" s="1" t="e">
        <f>IF(VALUE(F8014) = VALUE(RIGHT(Insights!$C$3, 4)), E8014, "")</f>
        <v>#VALUE!</v>
      </c>
      <c r="H8014" s="26" t="e">
        <f t="shared" si="1"/>
        <v>#VALUE!</v>
      </c>
      <c r="I8014" s="1" t="e">
        <f t="shared" si="2"/>
        <v>#VALUE!</v>
      </c>
    </row>
    <row r="8015" spans="1:9" ht="15.75" customHeight="1">
      <c r="A8015" s="26"/>
      <c r="B8015" s="2"/>
      <c r="C8015" s="26"/>
      <c r="D8015" s="26"/>
      <c r="F8015" s="85" t="str">
        <f t="shared" si="0"/>
        <v/>
      </c>
      <c r="G8015" s="1" t="e">
        <f>IF(VALUE(F8015) = VALUE(RIGHT(Insights!$C$3, 4)), E8015, "")</f>
        <v>#VALUE!</v>
      </c>
      <c r="H8015" s="26" t="e">
        <f t="shared" si="1"/>
        <v>#VALUE!</v>
      </c>
      <c r="I8015" s="1" t="e">
        <f t="shared" si="2"/>
        <v>#VALUE!</v>
      </c>
    </row>
    <row r="8016" spans="1:9" ht="15.75" customHeight="1">
      <c r="A8016" s="26"/>
      <c r="B8016" s="2"/>
      <c r="C8016" s="26"/>
      <c r="D8016" s="26"/>
      <c r="F8016" s="85" t="str">
        <f t="shared" si="0"/>
        <v/>
      </c>
      <c r="G8016" s="1" t="e">
        <f>IF(VALUE(F8016) = VALUE(RIGHT(Insights!$C$3, 4)), E8016, "")</f>
        <v>#VALUE!</v>
      </c>
      <c r="H8016" s="26" t="e">
        <f t="shared" si="1"/>
        <v>#VALUE!</v>
      </c>
      <c r="I8016" s="1" t="e">
        <f t="shared" si="2"/>
        <v>#VALUE!</v>
      </c>
    </row>
    <row r="8017" spans="1:9" ht="15.75" customHeight="1">
      <c r="A8017" s="26"/>
      <c r="B8017" s="2"/>
      <c r="C8017" s="26"/>
      <c r="D8017" s="26"/>
      <c r="F8017" s="85" t="str">
        <f t="shared" si="0"/>
        <v/>
      </c>
      <c r="G8017" s="1" t="e">
        <f>IF(VALUE(F8017) = VALUE(RIGHT(Insights!$C$3, 4)), E8017, "")</f>
        <v>#VALUE!</v>
      </c>
      <c r="H8017" s="26" t="e">
        <f t="shared" si="1"/>
        <v>#VALUE!</v>
      </c>
      <c r="I8017" s="1" t="e">
        <f t="shared" si="2"/>
        <v>#VALUE!</v>
      </c>
    </row>
    <row r="8018" spans="1:9" ht="15.75" customHeight="1">
      <c r="A8018" s="26"/>
      <c r="B8018" s="2"/>
      <c r="C8018" s="26"/>
      <c r="D8018" s="26"/>
      <c r="F8018" s="85" t="str">
        <f t="shared" si="0"/>
        <v/>
      </c>
      <c r="G8018" s="1" t="e">
        <f>IF(VALUE(F8018) = VALUE(RIGHT(Insights!$C$3, 4)), E8018, "")</f>
        <v>#VALUE!</v>
      </c>
      <c r="H8018" s="26" t="e">
        <f t="shared" si="1"/>
        <v>#VALUE!</v>
      </c>
      <c r="I8018" s="1" t="e">
        <f t="shared" si="2"/>
        <v>#VALUE!</v>
      </c>
    </row>
    <row r="8019" spans="1:9" ht="15.75" customHeight="1">
      <c r="A8019" s="26"/>
      <c r="B8019" s="2"/>
      <c r="C8019" s="26"/>
      <c r="D8019" s="26"/>
      <c r="F8019" s="85" t="str">
        <f t="shared" si="0"/>
        <v/>
      </c>
      <c r="G8019" s="1" t="e">
        <f>IF(VALUE(F8019) = VALUE(RIGHT(Insights!$C$3, 4)), E8019, "")</f>
        <v>#VALUE!</v>
      </c>
      <c r="H8019" s="26" t="e">
        <f t="shared" si="1"/>
        <v>#VALUE!</v>
      </c>
      <c r="I8019" s="1" t="e">
        <f t="shared" si="2"/>
        <v>#VALUE!</v>
      </c>
    </row>
    <row r="8020" spans="1:9" ht="15.75" customHeight="1">
      <c r="A8020" s="26"/>
      <c r="B8020" s="2"/>
      <c r="C8020" s="26"/>
      <c r="D8020" s="26"/>
      <c r="F8020" s="85" t="str">
        <f t="shared" si="0"/>
        <v/>
      </c>
      <c r="G8020" s="1" t="e">
        <f>IF(VALUE(F8020) = VALUE(RIGHT(Insights!$C$3, 4)), E8020, "")</f>
        <v>#VALUE!</v>
      </c>
      <c r="H8020" s="26" t="e">
        <f t="shared" si="1"/>
        <v>#VALUE!</v>
      </c>
      <c r="I8020" s="1" t="e">
        <f t="shared" si="2"/>
        <v>#VALUE!</v>
      </c>
    </row>
    <row r="8021" spans="1:9" ht="15.75" customHeight="1">
      <c r="A8021" s="26"/>
      <c r="B8021" s="2"/>
      <c r="C8021" s="26"/>
      <c r="D8021" s="26"/>
      <c r="F8021" s="85" t="str">
        <f t="shared" si="0"/>
        <v/>
      </c>
      <c r="G8021" s="1" t="e">
        <f>IF(VALUE(F8021) = VALUE(RIGHT(Insights!$C$3, 4)), E8021, "")</f>
        <v>#VALUE!</v>
      </c>
      <c r="H8021" s="26" t="e">
        <f t="shared" si="1"/>
        <v>#VALUE!</v>
      </c>
      <c r="I8021" s="1" t="e">
        <f t="shared" si="2"/>
        <v>#VALUE!</v>
      </c>
    </row>
    <row r="8022" spans="1:9" ht="15.75" customHeight="1">
      <c r="A8022" s="26"/>
      <c r="B8022" s="2"/>
      <c r="C8022" s="26"/>
      <c r="D8022" s="26"/>
      <c r="F8022" s="85" t="str">
        <f t="shared" si="0"/>
        <v/>
      </c>
      <c r="G8022" s="1" t="e">
        <f>IF(VALUE(F8022) = VALUE(RIGHT(Insights!$C$3, 4)), E8022, "")</f>
        <v>#VALUE!</v>
      </c>
      <c r="H8022" s="26" t="e">
        <f t="shared" si="1"/>
        <v>#VALUE!</v>
      </c>
      <c r="I8022" s="1" t="e">
        <f t="shared" si="2"/>
        <v>#VALUE!</v>
      </c>
    </row>
    <row r="8023" spans="1:9" ht="15.75" customHeight="1">
      <c r="A8023" s="26"/>
      <c r="B8023" s="2"/>
      <c r="C8023" s="26"/>
      <c r="D8023" s="26"/>
      <c r="F8023" s="85" t="str">
        <f t="shared" si="0"/>
        <v/>
      </c>
      <c r="G8023" s="1" t="e">
        <f>IF(VALUE(F8023) = VALUE(RIGHT(Insights!$C$3, 4)), E8023, "")</f>
        <v>#VALUE!</v>
      </c>
      <c r="H8023" s="26" t="e">
        <f t="shared" si="1"/>
        <v>#VALUE!</v>
      </c>
      <c r="I8023" s="1" t="e">
        <f t="shared" si="2"/>
        <v>#VALUE!</v>
      </c>
    </row>
    <row r="8024" spans="1:9" ht="15.75" customHeight="1">
      <c r="A8024" s="26"/>
      <c r="B8024" s="2"/>
      <c r="C8024" s="26"/>
      <c r="D8024" s="26"/>
      <c r="F8024" s="85" t="str">
        <f t="shared" si="0"/>
        <v/>
      </c>
      <c r="G8024" s="1" t="e">
        <f>IF(VALUE(F8024) = VALUE(RIGHT(Insights!$C$3, 4)), E8024, "")</f>
        <v>#VALUE!</v>
      </c>
      <c r="H8024" s="26" t="e">
        <f t="shared" si="1"/>
        <v>#VALUE!</v>
      </c>
      <c r="I8024" s="1" t="e">
        <f t="shared" si="2"/>
        <v>#VALUE!</v>
      </c>
    </row>
    <row r="8025" spans="1:9" ht="15.75" customHeight="1">
      <c r="A8025" s="26"/>
      <c r="B8025" s="2"/>
      <c r="C8025" s="26"/>
      <c r="D8025" s="26"/>
      <c r="F8025" s="85" t="str">
        <f t="shared" si="0"/>
        <v/>
      </c>
      <c r="G8025" s="1" t="e">
        <f>IF(VALUE(F8025) = VALUE(RIGHT(Insights!$C$3, 4)), E8025, "")</f>
        <v>#VALUE!</v>
      </c>
      <c r="H8025" s="26" t="e">
        <f t="shared" si="1"/>
        <v>#VALUE!</v>
      </c>
      <c r="I8025" s="1" t="e">
        <f t="shared" si="2"/>
        <v>#VALUE!</v>
      </c>
    </row>
    <row r="8026" spans="1:9" ht="15.75" customHeight="1">
      <c r="A8026" s="26"/>
      <c r="B8026" s="2"/>
      <c r="C8026" s="26"/>
      <c r="D8026" s="26"/>
      <c r="F8026" s="85" t="str">
        <f t="shared" si="0"/>
        <v/>
      </c>
      <c r="G8026" s="1" t="e">
        <f>IF(VALUE(F8026) = VALUE(RIGHT(Insights!$C$3, 4)), E8026, "")</f>
        <v>#VALUE!</v>
      </c>
      <c r="H8026" s="26" t="e">
        <f t="shared" si="1"/>
        <v>#VALUE!</v>
      </c>
      <c r="I8026" s="1" t="e">
        <f t="shared" si="2"/>
        <v>#VALUE!</v>
      </c>
    </row>
    <row r="8027" spans="1:9" ht="15.75" customHeight="1">
      <c r="A8027" s="26"/>
      <c r="B8027" s="2"/>
      <c r="C8027" s="26"/>
      <c r="D8027" s="26"/>
      <c r="F8027" s="85" t="str">
        <f t="shared" si="0"/>
        <v/>
      </c>
      <c r="G8027" s="1" t="e">
        <f>IF(VALUE(F8027) = VALUE(RIGHT(Insights!$C$3, 4)), E8027, "")</f>
        <v>#VALUE!</v>
      </c>
      <c r="H8027" s="26" t="e">
        <f t="shared" si="1"/>
        <v>#VALUE!</v>
      </c>
      <c r="I8027" s="1" t="e">
        <f t="shared" si="2"/>
        <v>#VALUE!</v>
      </c>
    </row>
    <row r="8028" spans="1:9" ht="15.75" customHeight="1">
      <c r="A8028" s="26"/>
      <c r="B8028" s="2"/>
      <c r="C8028" s="26"/>
      <c r="D8028" s="26"/>
      <c r="F8028" s="85" t="str">
        <f t="shared" si="0"/>
        <v/>
      </c>
      <c r="G8028" s="1" t="e">
        <f>IF(VALUE(F8028) = VALUE(RIGHT(Insights!$C$3, 4)), E8028, "")</f>
        <v>#VALUE!</v>
      </c>
      <c r="H8028" s="26" t="e">
        <f t="shared" si="1"/>
        <v>#VALUE!</v>
      </c>
      <c r="I8028" s="1" t="e">
        <f t="shared" si="2"/>
        <v>#VALUE!</v>
      </c>
    </row>
    <row r="8029" spans="1:9" ht="15.75" customHeight="1">
      <c r="A8029" s="26"/>
      <c r="B8029" s="2"/>
      <c r="C8029" s="26"/>
      <c r="D8029" s="26"/>
      <c r="F8029" s="85" t="str">
        <f t="shared" si="0"/>
        <v/>
      </c>
      <c r="G8029" s="1" t="e">
        <f>IF(VALUE(F8029) = VALUE(RIGHT(Insights!$C$3, 4)), E8029, "")</f>
        <v>#VALUE!</v>
      </c>
      <c r="H8029" s="26" t="e">
        <f t="shared" si="1"/>
        <v>#VALUE!</v>
      </c>
      <c r="I8029" s="1" t="e">
        <f t="shared" si="2"/>
        <v>#VALUE!</v>
      </c>
    </row>
    <row r="8030" spans="1:9" ht="15.75" customHeight="1">
      <c r="A8030" s="26"/>
      <c r="B8030" s="2"/>
      <c r="C8030" s="26"/>
      <c r="D8030" s="26"/>
      <c r="F8030" s="85" t="str">
        <f t="shared" si="0"/>
        <v/>
      </c>
      <c r="G8030" s="1" t="e">
        <f>IF(VALUE(F8030) = VALUE(RIGHT(Insights!$C$3, 4)), E8030, "")</f>
        <v>#VALUE!</v>
      </c>
      <c r="H8030" s="26" t="e">
        <f t="shared" si="1"/>
        <v>#VALUE!</v>
      </c>
      <c r="I8030" s="1" t="e">
        <f t="shared" si="2"/>
        <v>#VALUE!</v>
      </c>
    </row>
    <row r="8031" spans="1:9" ht="15.75" customHeight="1">
      <c r="A8031" s="26"/>
      <c r="B8031" s="2"/>
      <c r="C8031" s="26"/>
      <c r="D8031" s="26"/>
      <c r="F8031" s="85" t="str">
        <f t="shared" si="0"/>
        <v/>
      </c>
      <c r="G8031" s="1" t="e">
        <f>IF(VALUE(F8031) = VALUE(RIGHT(Insights!$C$3, 4)), E8031, "")</f>
        <v>#VALUE!</v>
      </c>
      <c r="H8031" s="26" t="e">
        <f t="shared" si="1"/>
        <v>#VALUE!</v>
      </c>
      <c r="I8031" s="1" t="e">
        <f t="shared" si="2"/>
        <v>#VALUE!</v>
      </c>
    </row>
    <row r="8032" spans="1:9" ht="15.75" customHeight="1">
      <c r="A8032" s="26"/>
      <c r="B8032" s="2"/>
      <c r="C8032" s="26"/>
      <c r="D8032" s="26"/>
      <c r="F8032" s="85" t="str">
        <f t="shared" si="0"/>
        <v/>
      </c>
      <c r="G8032" s="1" t="e">
        <f>IF(VALUE(F8032) = VALUE(RIGHT(Insights!$C$3, 4)), E8032, "")</f>
        <v>#VALUE!</v>
      </c>
      <c r="H8032" s="26" t="e">
        <f t="shared" si="1"/>
        <v>#VALUE!</v>
      </c>
      <c r="I8032" s="1" t="e">
        <f t="shared" si="2"/>
        <v>#VALUE!</v>
      </c>
    </row>
    <row r="8033" spans="1:9" ht="15.75" customHeight="1">
      <c r="A8033" s="26"/>
      <c r="B8033" s="2"/>
      <c r="C8033" s="26"/>
      <c r="D8033" s="26"/>
      <c r="F8033" s="85" t="str">
        <f t="shared" si="0"/>
        <v/>
      </c>
      <c r="G8033" s="1" t="e">
        <f>IF(VALUE(F8033) = VALUE(RIGHT(Insights!$C$3, 4)), E8033, "")</f>
        <v>#VALUE!</v>
      </c>
      <c r="H8033" s="26" t="e">
        <f t="shared" si="1"/>
        <v>#VALUE!</v>
      </c>
      <c r="I8033" s="1" t="e">
        <f t="shared" si="2"/>
        <v>#VALUE!</v>
      </c>
    </row>
    <row r="8034" spans="1:9" ht="15.75" customHeight="1">
      <c r="A8034" s="26"/>
      <c r="B8034" s="2"/>
      <c r="C8034" s="26"/>
      <c r="D8034" s="26"/>
      <c r="F8034" s="85" t="str">
        <f t="shared" si="0"/>
        <v/>
      </c>
      <c r="G8034" s="1" t="e">
        <f>IF(VALUE(F8034) = VALUE(RIGHT(Insights!$C$3, 4)), E8034, "")</f>
        <v>#VALUE!</v>
      </c>
      <c r="H8034" s="26" t="e">
        <f t="shared" si="1"/>
        <v>#VALUE!</v>
      </c>
      <c r="I8034" s="1" t="e">
        <f t="shared" si="2"/>
        <v>#VALUE!</v>
      </c>
    </row>
    <row r="8035" spans="1:9" ht="15.75" customHeight="1">
      <c r="A8035" s="26"/>
      <c r="B8035" s="2"/>
      <c r="C8035" s="26"/>
      <c r="D8035" s="26"/>
      <c r="F8035" s="85" t="str">
        <f t="shared" si="0"/>
        <v/>
      </c>
      <c r="G8035" s="1" t="e">
        <f>IF(VALUE(F8035) = VALUE(RIGHT(Insights!$C$3, 4)), E8035, "")</f>
        <v>#VALUE!</v>
      </c>
      <c r="H8035" s="26" t="e">
        <f t="shared" si="1"/>
        <v>#VALUE!</v>
      </c>
      <c r="I8035" s="1" t="e">
        <f t="shared" si="2"/>
        <v>#VALUE!</v>
      </c>
    </row>
    <row r="8036" spans="1:9" ht="15.75" customHeight="1">
      <c r="A8036" s="26"/>
      <c r="B8036" s="2"/>
      <c r="C8036" s="26"/>
      <c r="D8036" s="26"/>
      <c r="F8036" s="85" t="str">
        <f t="shared" si="0"/>
        <v/>
      </c>
      <c r="G8036" s="1" t="e">
        <f>IF(VALUE(F8036) = VALUE(RIGHT(Insights!$C$3, 4)), E8036, "")</f>
        <v>#VALUE!</v>
      </c>
      <c r="H8036" s="26" t="e">
        <f t="shared" si="1"/>
        <v>#VALUE!</v>
      </c>
      <c r="I8036" s="1" t="e">
        <f t="shared" si="2"/>
        <v>#VALUE!</v>
      </c>
    </row>
    <row r="8037" spans="1:9" ht="15.75" customHeight="1">
      <c r="A8037" s="26"/>
      <c r="B8037" s="2"/>
      <c r="C8037" s="26"/>
      <c r="D8037" s="26"/>
      <c r="F8037" s="85" t="str">
        <f t="shared" si="0"/>
        <v/>
      </c>
      <c r="G8037" s="1" t="e">
        <f>IF(VALUE(F8037) = VALUE(RIGHT(Insights!$C$3, 4)), E8037, "")</f>
        <v>#VALUE!</v>
      </c>
      <c r="H8037" s="26" t="e">
        <f t="shared" si="1"/>
        <v>#VALUE!</v>
      </c>
      <c r="I8037" s="1" t="e">
        <f t="shared" si="2"/>
        <v>#VALUE!</v>
      </c>
    </row>
    <row r="8038" spans="1:9" ht="15.75" customHeight="1">
      <c r="A8038" s="26"/>
      <c r="B8038" s="2"/>
      <c r="C8038" s="26"/>
      <c r="D8038" s="26"/>
      <c r="F8038" s="85" t="str">
        <f t="shared" si="0"/>
        <v/>
      </c>
      <c r="G8038" s="1" t="e">
        <f>IF(VALUE(F8038) = VALUE(RIGHT(Insights!$C$3, 4)), E8038, "")</f>
        <v>#VALUE!</v>
      </c>
      <c r="H8038" s="26" t="e">
        <f t="shared" si="1"/>
        <v>#VALUE!</v>
      </c>
      <c r="I8038" s="1" t="e">
        <f t="shared" si="2"/>
        <v>#VALUE!</v>
      </c>
    </row>
    <row r="8039" spans="1:9" ht="15.75" customHeight="1">
      <c r="A8039" s="26"/>
      <c r="B8039" s="2"/>
      <c r="C8039" s="26"/>
      <c r="D8039" s="26"/>
      <c r="F8039" s="85" t="str">
        <f t="shared" si="0"/>
        <v/>
      </c>
      <c r="G8039" s="1" t="e">
        <f>IF(VALUE(F8039) = VALUE(RIGHT(Insights!$C$3, 4)), E8039, "")</f>
        <v>#VALUE!</v>
      </c>
      <c r="H8039" s="26" t="e">
        <f t="shared" si="1"/>
        <v>#VALUE!</v>
      </c>
      <c r="I8039" s="1" t="e">
        <f t="shared" si="2"/>
        <v>#VALUE!</v>
      </c>
    </row>
    <row r="8040" spans="1:9" ht="15.75" customHeight="1">
      <c r="A8040" s="26"/>
      <c r="B8040" s="2"/>
      <c r="C8040" s="26"/>
      <c r="D8040" s="26"/>
      <c r="F8040" s="85" t="str">
        <f t="shared" si="0"/>
        <v/>
      </c>
      <c r="G8040" s="1" t="e">
        <f>IF(VALUE(F8040) = VALUE(RIGHT(Insights!$C$3, 4)), E8040, "")</f>
        <v>#VALUE!</v>
      </c>
      <c r="H8040" s="26" t="e">
        <f t="shared" si="1"/>
        <v>#VALUE!</v>
      </c>
      <c r="I8040" s="1" t="e">
        <f t="shared" si="2"/>
        <v>#VALUE!</v>
      </c>
    </row>
    <row r="8041" spans="1:9" ht="15.75" customHeight="1">
      <c r="A8041" s="26"/>
      <c r="B8041" s="2"/>
      <c r="C8041" s="26"/>
      <c r="D8041" s="26"/>
      <c r="F8041" s="85" t="str">
        <f t="shared" si="0"/>
        <v/>
      </c>
      <c r="G8041" s="1" t="e">
        <f>IF(VALUE(F8041) = VALUE(RIGHT(Insights!$C$3, 4)), E8041, "")</f>
        <v>#VALUE!</v>
      </c>
      <c r="H8041" s="26" t="e">
        <f t="shared" si="1"/>
        <v>#VALUE!</v>
      </c>
      <c r="I8041" s="1" t="e">
        <f t="shared" si="2"/>
        <v>#VALUE!</v>
      </c>
    </row>
    <row r="8042" spans="1:9" ht="15.75" customHeight="1">
      <c r="A8042" s="26"/>
      <c r="B8042" s="2"/>
      <c r="C8042" s="26"/>
      <c r="D8042" s="26"/>
      <c r="F8042" s="85" t="str">
        <f t="shared" si="0"/>
        <v/>
      </c>
      <c r="G8042" s="1" t="e">
        <f>IF(VALUE(F8042) = VALUE(RIGHT(Insights!$C$3, 4)), E8042, "")</f>
        <v>#VALUE!</v>
      </c>
      <c r="H8042" s="26" t="e">
        <f t="shared" si="1"/>
        <v>#VALUE!</v>
      </c>
      <c r="I8042" s="1" t="e">
        <f t="shared" si="2"/>
        <v>#VALUE!</v>
      </c>
    </row>
    <row r="8043" spans="1:9" ht="15.75" customHeight="1">
      <c r="A8043" s="26"/>
      <c r="B8043" s="2"/>
      <c r="C8043" s="26"/>
      <c r="D8043" s="26"/>
      <c r="F8043" s="85" t="str">
        <f t="shared" si="0"/>
        <v/>
      </c>
      <c r="G8043" s="1" t="e">
        <f>IF(VALUE(F8043) = VALUE(RIGHT(Insights!$C$3, 4)), E8043, "")</f>
        <v>#VALUE!</v>
      </c>
      <c r="H8043" s="26" t="e">
        <f t="shared" si="1"/>
        <v>#VALUE!</v>
      </c>
      <c r="I8043" s="1" t="e">
        <f t="shared" si="2"/>
        <v>#VALUE!</v>
      </c>
    </row>
    <row r="8044" spans="1:9" ht="15.75" customHeight="1">
      <c r="A8044" s="26"/>
      <c r="B8044" s="2"/>
      <c r="C8044" s="26"/>
      <c r="D8044" s="26"/>
      <c r="F8044" s="85" t="str">
        <f t="shared" si="0"/>
        <v/>
      </c>
      <c r="G8044" s="1" t="e">
        <f>IF(VALUE(F8044) = VALUE(RIGHT(Insights!$C$3, 4)), E8044, "")</f>
        <v>#VALUE!</v>
      </c>
      <c r="H8044" s="26" t="e">
        <f t="shared" si="1"/>
        <v>#VALUE!</v>
      </c>
      <c r="I8044" s="1" t="e">
        <f t="shared" si="2"/>
        <v>#VALUE!</v>
      </c>
    </row>
    <row r="8045" spans="1:9" ht="15.75" customHeight="1">
      <c r="A8045" s="26"/>
      <c r="B8045" s="2"/>
      <c r="C8045" s="26"/>
      <c r="D8045" s="26"/>
      <c r="F8045" s="85" t="str">
        <f t="shared" si="0"/>
        <v/>
      </c>
      <c r="G8045" s="1" t="e">
        <f>IF(VALUE(F8045) = VALUE(RIGHT(Insights!$C$3, 4)), E8045, "")</f>
        <v>#VALUE!</v>
      </c>
      <c r="H8045" s="26" t="e">
        <f t="shared" si="1"/>
        <v>#VALUE!</v>
      </c>
      <c r="I8045" s="1" t="e">
        <f t="shared" si="2"/>
        <v>#VALUE!</v>
      </c>
    </row>
    <row r="8046" spans="1:9" ht="15.75" customHeight="1">
      <c r="A8046" s="26"/>
      <c r="B8046" s="2"/>
      <c r="C8046" s="26"/>
      <c r="D8046" s="26"/>
      <c r="F8046" s="85" t="str">
        <f t="shared" si="0"/>
        <v/>
      </c>
      <c r="G8046" s="1" t="e">
        <f>IF(VALUE(F8046) = VALUE(RIGHT(Insights!$C$3, 4)), E8046, "")</f>
        <v>#VALUE!</v>
      </c>
      <c r="H8046" s="26" t="e">
        <f t="shared" si="1"/>
        <v>#VALUE!</v>
      </c>
      <c r="I8046" s="1" t="e">
        <f t="shared" si="2"/>
        <v>#VALUE!</v>
      </c>
    </row>
    <row r="8047" spans="1:9" ht="15.75" customHeight="1">
      <c r="A8047" s="26"/>
      <c r="B8047" s="2"/>
      <c r="C8047" s="26"/>
      <c r="D8047" s="26"/>
      <c r="F8047" s="85" t="str">
        <f t="shared" si="0"/>
        <v/>
      </c>
      <c r="G8047" s="1" t="e">
        <f>IF(VALUE(F8047) = VALUE(RIGHT(Insights!$C$3, 4)), E8047, "")</f>
        <v>#VALUE!</v>
      </c>
      <c r="H8047" s="26" t="e">
        <f t="shared" si="1"/>
        <v>#VALUE!</v>
      </c>
      <c r="I8047" s="1" t="e">
        <f t="shared" si="2"/>
        <v>#VALUE!</v>
      </c>
    </row>
    <row r="8048" spans="1:9" ht="15.75" customHeight="1">
      <c r="A8048" s="26"/>
      <c r="B8048" s="2"/>
      <c r="C8048" s="26"/>
      <c r="D8048" s="26"/>
      <c r="F8048" s="85" t="str">
        <f t="shared" si="0"/>
        <v/>
      </c>
      <c r="G8048" s="1" t="e">
        <f>IF(VALUE(F8048) = VALUE(RIGHT(Insights!$C$3, 4)), E8048, "")</f>
        <v>#VALUE!</v>
      </c>
      <c r="H8048" s="26" t="e">
        <f t="shared" si="1"/>
        <v>#VALUE!</v>
      </c>
      <c r="I8048" s="1" t="e">
        <f t="shared" si="2"/>
        <v>#VALUE!</v>
      </c>
    </row>
    <row r="8049" spans="1:9" ht="15.75" customHeight="1">
      <c r="A8049" s="26"/>
      <c r="B8049" s="2"/>
      <c r="C8049" s="26"/>
      <c r="D8049" s="26"/>
      <c r="F8049" s="85" t="str">
        <f t="shared" si="0"/>
        <v/>
      </c>
      <c r="G8049" s="1" t="e">
        <f>IF(VALUE(F8049) = VALUE(RIGHT(Insights!$C$3, 4)), E8049, "")</f>
        <v>#VALUE!</v>
      </c>
      <c r="H8049" s="26" t="e">
        <f t="shared" si="1"/>
        <v>#VALUE!</v>
      </c>
      <c r="I8049" s="1" t="e">
        <f t="shared" si="2"/>
        <v>#VALUE!</v>
      </c>
    </row>
    <row r="8050" spans="1:9" ht="15.75" customHeight="1">
      <c r="A8050" s="26"/>
      <c r="B8050" s="2"/>
      <c r="C8050" s="26"/>
      <c r="D8050" s="26"/>
      <c r="F8050" s="85" t="str">
        <f t="shared" si="0"/>
        <v/>
      </c>
      <c r="G8050" s="1" t="e">
        <f>IF(VALUE(F8050) = VALUE(RIGHT(Insights!$C$3, 4)), E8050, "")</f>
        <v>#VALUE!</v>
      </c>
      <c r="H8050" s="26" t="e">
        <f t="shared" si="1"/>
        <v>#VALUE!</v>
      </c>
      <c r="I8050" s="1" t="e">
        <f t="shared" si="2"/>
        <v>#VALUE!</v>
      </c>
    </row>
    <row r="8051" spans="1:9" ht="15.75" customHeight="1">
      <c r="A8051" s="26"/>
      <c r="B8051" s="2"/>
      <c r="C8051" s="26"/>
      <c r="D8051" s="26"/>
      <c r="F8051" s="85" t="str">
        <f t="shared" si="0"/>
        <v/>
      </c>
      <c r="G8051" s="1" t="e">
        <f>IF(VALUE(F8051) = VALUE(RIGHT(Insights!$C$3, 4)), E8051, "")</f>
        <v>#VALUE!</v>
      </c>
      <c r="H8051" s="26" t="e">
        <f t="shared" si="1"/>
        <v>#VALUE!</v>
      </c>
      <c r="I8051" s="1" t="e">
        <f t="shared" si="2"/>
        <v>#VALUE!</v>
      </c>
    </row>
    <row r="8052" spans="1:9" ht="15.75" customHeight="1">
      <c r="A8052" s="26"/>
      <c r="B8052" s="2"/>
      <c r="C8052" s="26"/>
      <c r="D8052" s="26"/>
      <c r="F8052" s="85" t="str">
        <f t="shared" si="0"/>
        <v/>
      </c>
      <c r="G8052" s="1" t="e">
        <f>IF(VALUE(F8052) = VALUE(RIGHT(Insights!$C$3, 4)), E8052, "")</f>
        <v>#VALUE!</v>
      </c>
      <c r="H8052" s="26" t="e">
        <f t="shared" si="1"/>
        <v>#VALUE!</v>
      </c>
      <c r="I8052" s="1" t="e">
        <f t="shared" si="2"/>
        <v>#VALUE!</v>
      </c>
    </row>
    <row r="8053" spans="1:9" ht="15.75" customHeight="1">
      <c r="A8053" s="26"/>
      <c r="B8053" s="2"/>
      <c r="C8053" s="26"/>
      <c r="D8053" s="26"/>
      <c r="F8053" s="85" t="str">
        <f t="shared" si="0"/>
        <v/>
      </c>
      <c r="G8053" s="1" t="e">
        <f>IF(VALUE(F8053) = VALUE(RIGHT(Insights!$C$3, 4)), E8053, "")</f>
        <v>#VALUE!</v>
      </c>
      <c r="H8053" s="26" t="e">
        <f t="shared" si="1"/>
        <v>#VALUE!</v>
      </c>
      <c r="I8053" s="1" t="e">
        <f t="shared" si="2"/>
        <v>#VALUE!</v>
      </c>
    </row>
    <row r="8054" spans="1:9" ht="15.75" customHeight="1">
      <c r="A8054" s="26"/>
      <c r="B8054" s="2"/>
      <c r="C8054" s="26"/>
      <c r="D8054" s="26"/>
      <c r="F8054" s="85" t="str">
        <f t="shared" si="0"/>
        <v/>
      </c>
      <c r="G8054" s="1" t="e">
        <f>IF(VALUE(F8054) = VALUE(RIGHT(Insights!$C$3, 4)), E8054, "")</f>
        <v>#VALUE!</v>
      </c>
      <c r="H8054" s="26" t="e">
        <f t="shared" si="1"/>
        <v>#VALUE!</v>
      </c>
      <c r="I8054" s="1" t="e">
        <f t="shared" si="2"/>
        <v>#VALUE!</v>
      </c>
    </row>
    <row r="8055" spans="1:9" ht="15.75" customHeight="1">
      <c r="A8055" s="26"/>
      <c r="B8055" s="2"/>
      <c r="C8055" s="26"/>
      <c r="D8055" s="26"/>
      <c r="F8055" s="85" t="str">
        <f t="shared" si="0"/>
        <v/>
      </c>
      <c r="G8055" s="1" t="e">
        <f>IF(VALUE(F8055) = VALUE(RIGHT(Insights!$C$3, 4)), E8055, "")</f>
        <v>#VALUE!</v>
      </c>
      <c r="H8055" s="26" t="e">
        <f t="shared" si="1"/>
        <v>#VALUE!</v>
      </c>
      <c r="I8055" s="1" t="e">
        <f t="shared" si="2"/>
        <v>#VALUE!</v>
      </c>
    </row>
    <row r="8056" spans="1:9" ht="15.75" customHeight="1">
      <c r="A8056" s="26"/>
      <c r="B8056" s="2"/>
      <c r="C8056" s="26"/>
      <c r="D8056" s="26"/>
      <c r="F8056" s="85" t="str">
        <f t="shared" si="0"/>
        <v/>
      </c>
      <c r="G8056" s="1" t="e">
        <f>IF(VALUE(F8056) = VALUE(RIGHT(Insights!$C$3, 4)), E8056, "")</f>
        <v>#VALUE!</v>
      </c>
      <c r="H8056" s="26" t="e">
        <f t="shared" si="1"/>
        <v>#VALUE!</v>
      </c>
      <c r="I8056" s="1" t="e">
        <f t="shared" si="2"/>
        <v>#VALUE!</v>
      </c>
    </row>
    <row r="8057" spans="1:9" ht="15.75" customHeight="1">
      <c r="A8057" s="26"/>
      <c r="B8057" s="2"/>
      <c r="C8057" s="26"/>
      <c r="D8057" s="26"/>
      <c r="F8057" s="85" t="str">
        <f t="shared" si="0"/>
        <v/>
      </c>
      <c r="G8057" s="1" t="e">
        <f>IF(VALUE(F8057) = VALUE(RIGHT(Insights!$C$3, 4)), E8057, "")</f>
        <v>#VALUE!</v>
      </c>
      <c r="H8057" s="26" t="e">
        <f t="shared" si="1"/>
        <v>#VALUE!</v>
      </c>
      <c r="I8057" s="1" t="e">
        <f t="shared" si="2"/>
        <v>#VALUE!</v>
      </c>
    </row>
    <row r="8058" spans="1:9" ht="15.75" customHeight="1">
      <c r="A8058" s="26"/>
      <c r="B8058" s="2"/>
      <c r="C8058" s="26"/>
      <c r="D8058" s="26"/>
      <c r="F8058" s="85" t="str">
        <f t="shared" si="0"/>
        <v/>
      </c>
      <c r="G8058" s="1" t="e">
        <f>IF(VALUE(F8058) = VALUE(RIGHT(Insights!$C$3, 4)), E8058, "")</f>
        <v>#VALUE!</v>
      </c>
      <c r="H8058" s="26" t="e">
        <f t="shared" si="1"/>
        <v>#VALUE!</v>
      </c>
      <c r="I8058" s="1" t="e">
        <f t="shared" si="2"/>
        <v>#VALUE!</v>
      </c>
    </row>
    <row r="8059" spans="1:9" ht="15.75" customHeight="1">
      <c r="A8059" s="26"/>
      <c r="B8059" s="2"/>
      <c r="C8059" s="26"/>
      <c r="D8059" s="26"/>
      <c r="F8059" s="85" t="str">
        <f t="shared" si="0"/>
        <v/>
      </c>
      <c r="G8059" s="1" t="e">
        <f>IF(VALUE(F8059) = VALUE(RIGHT(Insights!$C$3, 4)), E8059, "")</f>
        <v>#VALUE!</v>
      </c>
      <c r="H8059" s="26" t="e">
        <f t="shared" si="1"/>
        <v>#VALUE!</v>
      </c>
      <c r="I8059" s="1" t="e">
        <f t="shared" si="2"/>
        <v>#VALUE!</v>
      </c>
    </row>
    <row r="8060" spans="1:9" ht="15.75" customHeight="1">
      <c r="A8060" s="26"/>
      <c r="B8060" s="2"/>
      <c r="C8060" s="26"/>
      <c r="D8060" s="26"/>
      <c r="F8060" s="85" t="str">
        <f t="shared" si="0"/>
        <v/>
      </c>
      <c r="G8060" s="1" t="e">
        <f>IF(VALUE(F8060) = VALUE(RIGHT(Insights!$C$3, 4)), E8060, "")</f>
        <v>#VALUE!</v>
      </c>
      <c r="H8060" s="26" t="e">
        <f t="shared" si="1"/>
        <v>#VALUE!</v>
      </c>
      <c r="I8060" s="1" t="e">
        <f t="shared" si="2"/>
        <v>#VALUE!</v>
      </c>
    </row>
    <row r="8061" spans="1:9" ht="15.75" customHeight="1">
      <c r="A8061" s="26"/>
      <c r="B8061" s="2"/>
      <c r="C8061" s="26"/>
      <c r="D8061" s="26"/>
      <c r="F8061" s="85" t="str">
        <f t="shared" si="0"/>
        <v/>
      </c>
      <c r="G8061" s="1" t="e">
        <f>IF(VALUE(F8061) = VALUE(RIGHT(Insights!$C$3, 4)), E8061, "")</f>
        <v>#VALUE!</v>
      </c>
      <c r="H8061" s="26" t="e">
        <f t="shared" si="1"/>
        <v>#VALUE!</v>
      </c>
      <c r="I8061" s="1" t="e">
        <f t="shared" si="2"/>
        <v>#VALUE!</v>
      </c>
    </row>
    <row r="8062" spans="1:9" ht="15.75" customHeight="1">
      <c r="A8062" s="26"/>
      <c r="B8062" s="2"/>
      <c r="C8062" s="26"/>
      <c r="D8062" s="26"/>
      <c r="F8062" s="85" t="str">
        <f t="shared" si="0"/>
        <v/>
      </c>
      <c r="G8062" s="1" t="e">
        <f>IF(VALUE(F8062) = VALUE(RIGHT(Insights!$C$3, 4)), E8062, "")</f>
        <v>#VALUE!</v>
      </c>
      <c r="H8062" s="26" t="e">
        <f t="shared" si="1"/>
        <v>#VALUE!</v>
      </c>
      <c r="I8062" s="1" t="e">
        <f t="shared" si="2"/>
        <v>#VALUE!</v>
      </c>
    </row>
    <row r="8063" spans="1:9" ht="15.75" customHeight="1">
      <c r="A8063" s="26"/>
      <c r="B8063" s="2"/>
      <c r="C8063" s="26"/>
      <c r="D8063" s="26"/>
      <c r="F8063" s="85" t="str">
        <f t="shared" si="0"/>
        <v/>
      </c>
      <c r="G8063" s="1" t="e">
        <f>IF(VALUE(F8063) = VALUE(RIGHT(Insights!$C$3, 4)), E8063, "")</f>
        <v>#VALUE!</v>
      </c>
      <c r="H8063" s="26" t="e">
        <f t="shared" si="1"/>
        <v>#VALUE!</v>
      </c>
      <c r="I8063" s="1" t="e">
        <f t="shared" si="2"/>
        <v>#VALUE!</v>
      </c>
    </row>
    <row r="8064" spans="1:9" ht="15.75" customHeight="1">
      <c r="A8064" s="26"/>
      <c r="B8064" s="2"/>
      <c r="C8064" s="26"/>
      <c r="D8064" s="26"/>
      <c r="F8064" s="85" t="str">
        <f t="shared" si="0"/>
        <v/>
      </c>
      <c r="G8064" s="1" t="e">
        <f>IF(VALUE(F8064) = VALUE(RIGHT(Insights!$C$3, 4)), E8064, "")</f>
        <v>#VALUE!</v>
      </c>
      <c r="H8064" s="26" t="e">
        <f t="shared" si="1"/>
        <v>#VALUE!</v>
      </c>
      <c r="I8064" s="1" t="e">
        <f t="shared" si="2"/>
        <v>#VALUE!</v>
      </c>
    </row>
    <row r="8065" spans="1:9" ht="15.75" customHeight="1">
      <c r="A8065" s="26"/>
      <c r="B8065" s="2"/>
      <c r="C8065" s="26"/>
      <c r="D8065" s="26"/>
      <c r="F8065" s="85" t="str">
        <f t="shared" si="0"/>
        <v/>
      </c>
      <c r="G8065" s="1" t="e">
        <f>IF(VALUE(F8065) = VALUE(RIGHT(Insights!$C$3, 4)), E8065, "")</f>
        <v>#VALUE!</v>
      </c>
      <c r="H8065" s="26" t="e">
        <f t="shared" si="1"/>
        <v>#VALUE!</v>
      </c>
      <c r="I8065" s="1" t="e">
        <f t="shared" si="2"/>
        <v>#VALUE!</v>
      </c>
    </row>
    <row r="8066" spans="1:9" ht="15.75" customHeight="1">
      <c r="A8066" s="26"/>
      <c r="B8066" s="2"/>
      <c r="C8066" s="26"/>
      <c r="D8066" s="26"/>
      <c r="F8066" s="85" t="str">
        <f t="shared" si="0"/>
        <v/>
      </c>
      <c r="G8066" s="1" t="e">
        <f>IF(VALUE(F8066) = VALUE(RIGHT(Insights!$C$3, 4)), E8066, "")</f>
        <v>#VALUE!</v>
      </c>
      <c r="H8066" s="26" t="e">
        <f t="shared" si="1"/>
        <v>#VALUE!</v>
      </c>
      <c r="I8066" s="1" t="e">
        <f t="shared" si="2"/>
        <v>#VALUE!</v>
      </c>
    </row>
    <row r="8067" spans="1:9" ht="15.75" customHeight="1">
      <c r="A8067" s="26"/>
      <c r="B8067" s="2"/>
      <c r="C8067" s="26"/>
      <c r="D8067" s="26"/>
      <c r="F8067" s="85" t="str">
        <f t="shared" si="0"/>
        <v/>
      </c>
      <c r="G8067" s="1" t="e">
        <f>IF(VALUE(F8067) = VALUE(RIGHT(Insights!$C$3, 4)), E8067, "")</f>
        <v>#VALUE!</v>
      </c>
      <c r="H8067" s="26" t="e">
        <f t="shared" si="1"/>
        <v>#VALUE!</v>
      </c>
      <c r="I8067" s="1" t="e">
        <f t="shared" si="2"/>
        <v>#VALUE!</v>
      </c>
    </row>
    <row r="8068" spans="1:9" ht="15.75" customHeight="1">
      <c r="A8068" s="26"/>
      <c r="B8068" s="2"/>
      <c r="C8068" s="26"/>
      <c r="D8068" s="26"/>
      <c r="F8068" s="85" t="str">
        <f t="shared" si="0"/>
        <v/>
      </c>
      <c r="G8068" s="1" t="e">
        <f>IF(VALUE(F8068) = VALUE(RIGHT(Insights!$C$3, 4)), E8068, "")</f>
        <v>#VALUE!</v>
      </c>
      <c r="H8068" s="26" t="e">
        <f t="shared" si="1"/>
        <v>#VALUE!</v>
      </c>
      <c r="I8068" s="1" t="e">
        <f t="shared" si="2"/>
        <v>#VALUE!</v>
      </c>
    </row>
    <row r="8069" spans="1:9" ht="15.75" customHeight="1">
      <c r="A8069" s="26"/>
      <c r="B8069" s="2"/>
      <c r="C8069" s="26"/>
      <c r="D8069" s="26"/>
      <c r="F8069" s="85" t="str">
        <f t="shared" si="0"/>
        <v/>
      </c>
      <c r="G8069" s="1" t="e">
        <f>IF(VALUE(F8069) = VALUE(RIGHT(Insights!$C$3, 4)), E8069, "")</f>
        <v>#VALUE!</v>
      </c>
      <c r="H8069" s="26" t="e">
        <f t="shared" si="1"/>
        <v>#VALUE!</v>
      </c>
      <c r="I8069" s="1" t="e">
        <f t="shared" si="2"/>
        <v>#VALUE!</v>
      </c>
    </row>
    <row r="8070" spans="1:9" ht="15.75" customHeight="1">
      <c r="A8070" s="26"/>
      <c r="B8070" s="2"/>
      <c r="C8070" s="26"/>
      <c r="D8070" s="26"/>
      <c r="F8070" s="85" t="str">
        <f t="shared" si="0"/>
        <v/>
      </c>
      <c r="G8070" s="1" t="e">
        <f>IF(VALUE(F8070) = VALUE(RIGHT(Insights!$C$3, 4)), E8070, "")</f>
        <v>#VALUE!</v>
      </c>
      <c r="H8070" s="26" t="e">
        <f t="shared" si="1"/>
        <v>#VALUE!</v>
      </c>
      <c r="I8070" s="1" t="e">
        <f t="shared" si="2"/>
        <v>#VALUE!</v>
      </c>
    </row>
    <row r="8071" spans="1:9" ht="15.75" customHeight="1">
      <c r="A8071" s="26"/>
      <c r="B8071" s="2"/>
      <c r="C8071" s="26"/>
      <c r="D8071" s="26"/>
      <c r="F8071" s="85" t="str">
        <f t="shared" si="0"/>
        <v/>
      </c>
      <c r="G8071" s="1" t="e">
        <f>IF(VALUE(F8071) = VALUE(RIGHT(Insights!$C$3, 4)), E8071, "")</f>
        <v>#VALUE!</v>
      </c>
      <c r="H8071" s="26" t="e">
        <f t="shared" si="1"/>
        <v>#VALUE!</v>
      </c>
      <c r="I8071" s="1" t="e">
        <f t="shared" si="2"/>
        <v>#VALUE!</v>
      </c>
    </row>
    <row r="8072" spans="1:9" ht="15.75" customHeight="1">
      <c r="A8072" s="26"/>
      <c r="B8072" s="2"/>
      <c r="C8072" s="26"/>
      <c r="D8072" s="26"/>
      <c r="F8072" s="85" t="str">
        <f t="shared" si="0"/>
        <v/>
      </c>
      <c r="G8072" s="1" t="e">
        <f>IF(VALUE(F8072) = VALUE(RIGHT(Insights!$C$3, 4)), E8072, "")</f>
        <v>#VALUE!</v>
      </c>
      <c r="H8072" s="26" t="e">
        <f t="shared" si="1"/>
        <v>#VALUE!</v>
      </c>
      <c r="I8072" s="1" t="e">
        <f t="shared" si="2"/>
        <v>#VALUE!</v>
      </c>
    </row>
    <row r="8073" spans="1:9" ht="15.75" customHeight="1">
      <c r="A8073" s="26"/>
      <c r="B8073" s="2"/>
      <c r="C8073" s="26"/>
      <c r="D8073" s="26"/>
      <c r="F8073" s="85" t="str">
        <f t="shared" si="0"/>
        <v/>
      </c>
      <c r="G8073" s="1" t="e">
        <f>IF(VALUE(F8073) = VALUE(RIGHT(Insights!$C$3, 4)), E8073, "")</f>
        <v>#VALUE!</v>
      </c>
      <c r="H8073" s="26" t="e">
        <f t="shared" si="1"/>
        <v>#VALUE!</v>
      </c>
      <c r="I8073" s="1" t="e">
        <f t="shared" si="2"/>
        <v>#VALUE!</v>
      </c>
    </row>
    <row r="8074" spans="1:9" ht="15.75" customHeight="1">
      <c r="A8074" s="26"/>
      <c r="B8074" s="2"/>
      <c r="C8074" s="26"/>
      <c r="D8074" s="26"/>
      <c r="F8074" s="85" t="str">
        <f t="shared" si="0"/>
        <v/>
      </c>
      <c r="G8074" s="1" t="e">
        <f>IF(VALUE(F8074) = VALUE(RIGHT(Insights!$C$3, 4)), E8074, "")</f>
        <v>#VALUE!</v>
      </c>
      <c r="H8074" s="26" t="e">
        <f t="shared" si="1"/>
        <v>#VALUE!</v>
      </c>
      <c r="I8074" s="1" t="e">
        <f t="shared" si="2"/>
        <v>#VALUE!</v>
      </c>
    </row>
    <row r="8075" spans="1:9" ht="15.75" customHeight="1">
      <c r="A8075" s="26"/>
      <c r="B8075" s="2"/>
      <c r="C8075" s="26"/>
      <c r="D8075" s="26"/>
      <c r="F8075" s="85" t="str">
        <f t="shared" si="0"/>
        <v/>
      </c>
      <c r="G8075" s="1" t="e">
        <f>IF(VALUE(F8075) = VALUE(RIGHT(Insights!$C$3, 4)), E8075, "")</f>
        <v>#VALUE!</v>
      </c>
      <c r="H8075" s="26" t="e">
        <f t="shared" si="1"/>
        <v>#VALUE!</v>
      </c>
      <c r="I8075" s="1" t="e">
        <f t="shared" si="2"/>
        <v>#VALUE!</v>
      </c>
    </row>
    <row r="8076" spans="1:9" ht="15.75" customHeight="1">
      <c r="A8076" s="26"/>
      <c r="B8076" s="2"/>
      <c r="C8076" s="26"/>
      <c r="D8076" s="26"/>
      <c r="F8076" s="85" t="str">
        <f t="shared" si="0"/>
        <v/>
      </c>
      <c r="G8076" s="1" t="e">
        <f>IF(VALUE(F8076) = VALUE(RIGHT(Insights!$C$3, 4)), E8076, "")</f>
        <v>#VALUE!</v>
      </c>
      <c r="H8076" s="26" t="e">
        <f t="shared" si="1"/>
        <v>#VALUE!</v>
      </c>
      <c r="I8076" s="1" t="e">
        <f t="shared" si="2"/>
        <v>#VALUE!</v>
      </c>
    </row>
    <row r="8077" spans="1:9" ht="15.75" customHeight="1">
      <c r="A8077" s="26"/>
      <c r="B8077" s="2"/>
      <c r="C8077" s="26"/>
      <c r="D8077" s="26"/>
      <c r="F8077" s="85" t="str">
        <f t="shared" si="0"/>
        <v/>
      </c>
      <c r="G8077" s="1" t="e">
        <f>IF(VALUE(F8077) = VALUE(RIGHT(Insights!$C$3, 4)), E8077, "")</f>
        <v>#VALUE!</v>
      </c>
      <c r="H8077" s="26" t="e">
        <f t="shared" si="1"/>
        <v>#VALUE!</v>
      </c>
      <c r="I8077" s="1" t="e">
        <f t="shared" si="2"/>
        <v>#VALUE!</v>
      </c>
    </row>
    <row r="8078" spans="1:9" ht="15.75" customHeight="1">
      <c r="A8078" s="26"/>
      <c r="B8078" s="2"/>
      <c r="C8078" s="26"/>
      <c r="D8078" s="26"/>
      <c r="F8078" s="85" t="str">
        <f t="shared" si="0"/>
        <v/>
      </c>
      <c r="G8078" s="1" t="e">
        <f>IF(VALUE(F8078) = VALUE(RIGHT(Insights!$C$3, 4)), E8078, "")</f>
        <v>#VALUE!</v>
      </c>
      <c r="H8078" s="26" t="e">
        <f t="shared" si="1"/>
        <v>#VALUE!</v>
      </c>
      <c r="I8078" s="1" t="e">
        <f t="shared" si="2"/>
        <v>#VALUE!</v>
      </c>
    </row>
    <row r="8079" spans="1:9" ht="15.75" customHeight="1">
      <c r="A8079" s="26"/>
      <c r="B8079" s="2"/>
      <c r="C8079" s="26"/>
      <c r="D8079" s="26"/>
      <c r="F8079" s="85" t="str">
        <f t="shared" si="0"/>
        <v/>
      </c>
      <c r="G8079" s="1" t="e">
        <f>IF(VALUE(F8079) = VALUE(RIGHT(Insights!$C$3, 4)), E8079, "")</f>
        <v>#VALUE!</v>
      </c>
      <c r="H8079" s="26" t="e">
        <f t="shared" si="1"/>
        <v>#VALUE!</v>
      </c>
      <c r="I8079" s="1" t="e">
        <f t="shared" si="2"/>
        <v>#VALUE!</v>
      </c>
    </row>
    <row r="8080" spans="1:9" ht="15.75" customHeight="1">
      <c r="A8080" s="26"/>
      <c r="B8080" s="2"/>
      <c r="C8080" s="26"/>
      <c r="D8080" s="26"/>
      <c r="F8080" s="85" t="str">
        <f t="shared" si="0"/>
        <v/>
      </c>
      <c r="G8080" s="1" t="e">
        <f>IF(VALUE(F8080) = VALUE(RIGHT(Insights!$C$3, 4)), E8080, "")</f>
        <v>#VALUE!</v>
      </c>
      <c r="H8080" s="26" t="e">
        <f t="shared" si="1"/>
        <v>#VALUE!</v>
      </c>
      <c r="I8080" s="1" t="e">
        <f t="shared" si="2"/>
        <v>#VALUE!</v>
      </c>
    </row>
    <row r="8081" spans="1:9" ht="15.75" customHeight="1">
      <c r="A8081" s="26"/>
      <c r="B8081" s="2"/>
      <c r="C8081" s="26"/>
      <c r="D8081" s="26"/>
      <c r="F8081" s="85" t="str">
        <f t="shared" si="0"/>
        <v/>
      </c>
      <c r="G8081" s="1" t="e">
        <f>IF(VALUE(F8081) = VALUE(RIGHT(Insights!$C$3, 4)), E8081, "")</f>
        <v>#VALUE!</v>
      </c>
      <c r="H8081" s="26" t="e">
        <f t="shared" si="1"/>
        <v>#VALUE!</v>
      </c>
      <c r="I8081" s="1" t="e">
        <f t="shared" si="2"/>
        <v>#VALUE!</v>
      </c>
    </row>
    <row r="8082" spans="1:9" ht="15.75" customHeight="1">
      <c r="A8082" s="26"/>
      <c r="B8082" s="2"/>
      <c r="C8082" s="26"/>
      <c r="D8082" s="26"/>
      <c r="F8082" s="85" t="str">
        <f t="shared" si="0"/>
        <v/>
      </c>
      <c r="G8082" s="1" t="e">
        <f>IF(VALUE(F8082) = VALUE(RIGHT(Insights!$C$3, 4)), E8082, "")</f>
        <v>#VALUE!</v>
      </c>
      <c r="H8082" s="26" t="e">
        <f t="shared" si="1"/>
        <v>#VALUE!</v>
      </c>
      <c r="I8082" s="1" t="e">
        <f t="shared" si="2"/>
        <v>#VALUE!</v>
      </c>
    </row>
    <row r="8083" spans="1:9" ht="15.75" customHeight="1">
      <c r="A8083" s="26"/>
      <c r="B8083" s="2"/>
      <c r="C8083" s="26"/>
      <c r="D8083" s="26"/>
      <c r="F8083" s="85" t="str">
        <f t="shared" si="0"/>
        <v/>
      </c>
      <c r="G8083" s="1" t="e">
        <f>IF(VALUE(F8083) = VALUE(RIGHT(Insights!$C$3, 4)), E8083, "")</f>
        <v>#VALUE!</v>
      </c>
      <c r="H8083" s="26" t="e">
        <f t="shared" si="1"/>
        <v>#VALUE!</v>
      </c>
      <c r="I8083" s="1" t="e">
        <f t="shared" si="2"/>
        <v>#VALUE!</v>
      </c>
    </row>
    <row r="8084" spans="1:9" ht="15.75" customHeight="1">
      <c r="A8084" s="26"/>
      <c r="B8084" s="2"/>
      <c r="C8084" s="26"/>
      <c r="D8084" s="26"/>
      <c r="F8084" s="85" t="str">
        <f t="shared" si="0"/>
        <v/>
      </c>
      <c r="G8084" s="1" t="e">
        <f>IF(VALUE(F8084) = VALUE(RIGHT(Insights!$C$3, 4)), E8084, "")</f>
        <v>#VALUE!</v>
      </c>
      <c r="H8084" s="26" t="e">
        <f t="shared" si="1"/>
        <v>#VALUE!</v>
      </c>
      <c r="I8084" s="1" t="e">
        <f t="shared" si="2"/>
        <v>#VALUE!</v>
      </c>
    </row>
    <row r="8085" spans="1:9" ht="15.75" customHeight="1">
      <c r="A8085" s="26"/>
      <c r="B8085" s="2"/>
      <c r="C8085" s="26"/>
      <c r="D8085" s="26"/>
      <c r="F8085" s="85" t="str">
        <f t="shared" si="0"/>
        <v/>
      </c>
      <c r="G8085" s="1" t="e">
        <f>IF(VALUE(F8085) = VALUE(RIGHT(Insights!$C$3, 4)), E8085, "")</f>
        <v>#VALUE!</v>
      </c>
      <c r="H8085" s="26" t="e">
        <f t="shared" si="1"/>
        <v>#VALUE!</v>
      </c>
      <c r="I8085" s="1" t="e">
        <f t="shared" si="2"/>
        <v>#VALUE!</v>
      </c>
    </row>
    <row r="8086" spans="1:9" ht="15.75" customHeight="1">
      <c r="A8086" s="26"/>
      <c r="B8086" s="2"/>
      <c r="C8086" s="26"/>
      <c r="D8086" s="26"/>
      <c r="F8086" s="85" t="str">
        <f t="shared" si="0"/>
        <v/>
      </c>
      <c r="G8086" s="1" t="e">
        <f>IF(VALUE(F8086) = VALUE(RIGHT(Insights!$C$3, 4)), E8086, "")</f>
        <v>#VALUE!</v>
      </c>
      <c r="H8086" s="26" t="e">
        <f t="shared" si="1"/>
        <v>#VALUE!</v>
      </c>
      <c r="I8086" s="1" t="e">
        <f t="shared" si="2"/>
        <v>#VALUE!</v>
      </c>
    </row>
    <row r="8087" spans="1:9" ht="15.75" customHeight="1">
      <c r="A8087" s="26"/>
      <c r="B8087" s="2"/>
      <c r="C8087" s="26"/>
      <c r="D8087" s="26"/>
      <c r="F8087" s="85" t="str">
        <f t="shared" si="0"/>
        <v/>
      </c>
      <c r="G8087" s="1" t="e">
        <f>IF(VALUE(F8087) = VALUE(RIGHT(Insights!$C$3, 4)), E8087, "")</f>
        <v>#VALUE!</v>
      </c>
      <c r="H8087" s="26" t="e">
        <f t="shared" si="1"/>
        <v>#VALUE!</v>
      </c>
      <c r="I8087" s="1" t="e">
        <f t="shared" si="2"/>
        <v>#VALUE!</v>
      </c>
    </row>
    <row r="8088" spans="1:9" ht="15.75" customHeight="1">
      <c r="A8088" s="26"/>
      <c r="B8088" s="2"/>
      <c r="C8088" s="26"/>
      <c r="D8088" s="26"/>
      <c r="F8088" s="85" t="str">
        <f t="shared" si="0"/>
        <v/>
      </c>
      <c r="G8088" s="1" t="e">
        <f>IF(VALUE(F8088) = VALUE(RIGHT(Insights!$C$3, 4)), E8088, "")</f>
        <v>#VALUE!</v>
      </c>
      <c r="H8088" s="26" t="e">
        <f t="shared" si="1"/>
        <v>#VALUE!</v>
      </c>
      <c r="I8088" s="1" t="e">
        <f t="shared" si="2"/>
        <v>#VALUE!</v>
      </c>
    </row>
    <row r="8089" spans="1:9" ht="15.75" customHeight="1">
      <c r="A8089" s="26"/>
      <c r="B8089" s="2"/>
      <c r="C8089" s="26"/>
      <c r="D8089" s="26"/>
      <c r="F8089" s="85" t="str">
        <f t="shared" si="0"/>
        <v/>
      </c>
      <c r="G8089" s="1" t="e">
        <f>IF(VALUE(F8089) = VALUE(RIGHT(Insights!$C$3, 4)), E8089, "")</f>
        <v>#VALUE!</v>
      </c>
      <c r="H8089" s="26" t="e">
        <f t="shared" si="1"/>
        <v>#VALUE!</v>
      </c>
      <c r="I8089" s="1" t="e">
        <f t="shared" si="2"/>
        <v>#VALUE!</v>
      </c>
    </row>
    <row r="8090" spans="1:9" ht="15.75" customHeight="1">
      <c r="A8090" s="26"/>
      <c r="B8090" s="2"/>
      <c r="C8090" s="26"/>
      <c r="D8090" s="26"/>
      <c r="F8090" s="85" t="str">
        <f t="shared" si="0"/>
        <v/>
      </c>
      <c r="G8090" s="1" t="e">
        <f>IF(VALUE(F8090) = VALUE(RIGHT(Insights!$C$3, 4)), E8090, "")</f>
        <v>#VALUE!</v>
      </c>
      <c r="H8090" s="26" t="e">
        <f t="shared" si="1"/>
        <v>#VALUE!</v>
      </c>
      <c r="I8090" s="1" t="e">
        <f t="shared" si="2"/>
        <v>#VALUE!</v>
      </c>
    </row>
    <row r="8091" spans="1:9" ht="15.75" customHeight="1">
      <c r="A8091" s="26"/>
      <c r="B8091" s="2"/>
      <c r="C8091" s="26"/>
      <c r="D8091" s="26"/>
      <c r="F8091" s="85" t="str">
        <f t="shared" si="0"/>
        <v/>
      </c>
      <c r="G8091" s="1" t="e">
        <f>IF(VALUE(F8091) = VALUE(RIGHT(Insights!$C$3, 4)), E8091, "")</f>
        <v>#VALUE!</v>
      </c>
      <c r="H8091" s="26" t="e">
        <f t="shared" si="1"/>
        <v>#VALUE!</v>
      </c>
      <c r="I8091" s="1" t="e">
        <f t="shared" si="2"/>
        <v>#VALUE!</v>
      </c>
    </row>
    <row r="8092" spans="1:9" ht="15.75" customHeight="1">
      <c r="A8092" s="26"/>
      <c r="B8092" s="2"/>
      <c r="C8092" s="26"/>
      <c r="D8092" s="26"/>
      <c r="F8092" s="85" t="str">
        <f t="shared" si="0"/>
        <v/>
      </c>
      <c r="G8092" s="1" t="e">
        <f>IF(VALUE(F8092) = VALUE(RIGHT(Insights!$C$3, 4)), E8092, "")</f>
        <v>#VALUE!</v>
      </c>
      <c r="H8092" s="26" t="e">
        <f t="shared" si="1"/>
        <v>#VALUE!</v>
      </c>
      <c r="I8092" s="1" t="e">
        <f t="shared" si="2"/>
        <v>#VALUE!</v>
      </c>
    </row>
    <row r="8093" spans="1:9" ht="15.75" customHeight="1">
      <c r="A8093" s="26"/>
      <c r="B8093" s="2"/>
      <c r="C8093" s="26"/>
      <c r="D8093" s="26"/>
      <c r="F8093" s="85" t="str">
        <f t="shared" si="0"/>
        <v/>
      </c>
      <c r="G8093" s="1" t="e">
        <f>IF(VALUE(F8093) = VALUE(RIGHT(Insights!$C$3, 4)), E8093, "")</f>
        <v>#VALUE!</v>
      </c>
      <c r="H8093" s="26" t="e">
        <f t="shared" si="1"/>
        <v>#VALUE!</v>
      </c>
      <c r="I8093" s="1" t="e">
        <f t="shared" si="2"/>
        <v>#VALUE!</v>
      </c>
    </row>
    <row r="8094" spans="1:9" ht="15.75" customHeight="1">
      <c r="A8094" s="26"/>
      <c r="B8094" s="2"/>
      <c r="C8094" s="26"/>
      <c r="D8094" s="26"/>
      <c r="F8094" s="85" t="str">
        <f t="shared" si="0"/>
        <v/>
      </c>
      <c r="G8094" s="1" t="e">
        <f>IF(VALUE(F8094) = VALUE(RIGHT(Insights!$C$3, 4)), E8094, "")</f>
        <v>#VALUE!</v>
      </c>
      <c r="H8094" s="26" t="e">
        <f t="shared" si="1"/>
        <v>#VALUE!</v>
      </c>
      <c r="I8094" s="1" t="e">
        <f t="shared" si="2"/>
        <v>#VALUE!</v>
      </c>
    </row>
    <row r="8095" spans="1:9" ht="15.75" customHeight="1">
      <c r="A8095" s="26"/>
      <c r="B8095" s="2"/>
      <c r="C8095" s="26"/>
      <c r="D8095" s="26"/>
      <c r="F8095" s="85" t="str">
        <f t="shared" si="0"/>
        <v/>
      </c>
      <c r="G8095" s="1" t="e">
        <f>IF(VALUE(F8095) = VALUE(RIGHT(Insights!$C$3, 4)), E8095, "")</f>
        <v>#VALUE!</v>
      </c>
      <c r="H8095" s="26" t="e">
        <f t="shared" si="1"/>
        <v>#VALUE!</v>
      </c>
      <c r="I8095" s="1" t="e">
        <f t="shared" si="2"/>
        <v>#VALUE!</v>
      </c>
    </row>
    <row r="8096" spans="1:9" ht="15.75" customHeight="1">
      <c r="A8096" s="26"/>
      <c r="B8096" s="2"/>
      <c r="C8096" s="26"/>
      <c r="D8096" s="26"/>
      <c r="F8096" s="85" t="str">
        <f t="shared" si="0"/>
        <v/>
      </c>
      <c r="G8096" s="1" t="e">
        <f>IF(VALUE(F8096) = VALUE(RIGHT(Insights!$C$3, 4)), E8096, "")</f>
        <v>#VALUE!</v>
      </c>
      <c r="H8096" s="26" t="e">
        <f t="shared" si="1"/>
        <v>#VALUE!</v>
      </c>
      <c r="I8096" s="1" t="e">
        <f t="shared" si="2"/>
        <v>#VALUE!</v>
      </c>
    </row>
    <row r="8097" spans="1:9" ht="15.75" customHeight="1">
      <c r="A8097" s="26"/>
      <c r="B8097" s="2"/>
      <c r="C8097" s="26"/>
      <c r="D8097" s="26"/>
      <c r="F8097" s="85" t="str">
        <f t="shared" si="0"/>
        <v/>
      </c>
      <c r="G8097" s="1" t="e">
        <f>IF(VALUE(F8097) = VALUE(RIGHT(Insights!$C$3, 4)), E8097, "")</f>
        <v>#VALUE!</v>
      </c>
      <c r="H8097" s="26" t="e">
        <f t="shared" si="1"/>
        <v>#VALUE!</v>
      </c>
      <c r="I8097" s="1" t="e">
        <f t="shared" si="2"/>
        <v>#VALUE!</v>
      </c>
    </row>
    <row r="8098" spans="1:9" ht="15.75" customHeight="1">
      <c r="A8098" s="26"/>
      <c r="B8098" s="2"/>
      <c r="C8098" s="26"/>
      <c r="D8098" s="26"/>
      <c r="F8098" s="85" t="str">
        <f t="shared" si="0"/>
        <v/>
      </c>
      <c r="G8098" s="1" t="e">
        <f>IF(VALUE(F8098) = VALUE(RIGHT(Insights!$C$3, 4)), E8098, "")</f>
        <v>#VALUE!</v>
      </c>
      <c r="H8098" s="26" t="e">
        <f t="shared" si="1"/>
        <v>#VALUE!</v>
      </c>
      <c r="I8098" s="1" t="e">
        <f t="shared" si="2"/>
        <v>#VALUE!</v>
      </c>
    </row>
    <row r="8099" spans="1:9" ht="15.75" customHeight="1">
      <c r="A8099" s="26"/>
      <c r="B8099" s="2"/>
      <c r="C8099" s="26"/>
      <c r="D8099" s="26"/>
      <c r="F8099" s="85" t="str">
        <f t="shared" si="0"/>
        <v/>
      </c>
      <c r="G8099" s="1" t="e">
        <f>IF(VALUE(F8099) = VALUE(RIGHT(Insights!$C$3, 4)), E8099, "")</f>
        <v>#VALUE!</v>
      </c>
      <c r="H8099" s="26" t="e">
        <f t="shared" si="1"/>
        <v>#VALUE!</v>
      </c>
      <c r="I8099" s="1" t="e">
        <f t="shared" si="2"/>
        <v>#VALUE!</v>
      </c>
    </row>
    <row r="8100" spans="1:9" ht="15.75" customHeight="1">
      <c r="A8100" s="26"/>
      <c r="B8100" s="2"/>
      <c r="C8100" s="26"/>
      <c r="D8100" s="26"/>
      <c r="F8100" s="85" t="str">
        <f t="shared" si="0"/>
        <v/>
      </c>
      <c r="G8100" s="1" t="e">
        <f>IF(VALUE(F8100) = VALUE(RIGHT(Insights!$C$3, 4)), E8100, "")</f>
        <v>#VALUE!</v>
      </c>
      <c r="H8100" s="26" t="e">
        <f t="shared" si="1"/>
        <v>#VALUE!</v>
      </c>
      <c r="I8100" s="1" t="e">
        <f t="shared" si="2"/>
        <v>#VALUE!</v>
      </c>
    </row>
    <row r="8101" spans="1:9" ht="15.75" customHeight="1">
      <c r="A8101" s="26"/>
      <c r="B8101" s="2"/>
      <c r="C8101" s="26"/>
      <c r="D8101" s="26"/>
      <c r="F8101" s="85" t="str">
        <f t="shared" si="0"/>
        <v/>
      </c>
      <c r="G8101" s="1" t="e">
        <f>IF(VALUE(F8101) = VALUE(RIGHT(Insights!$C$3, 4)), E8101, "")</f>
        <v>#VALUE!</v>
      </c>
      <c r="H8101" s="26" t="e">
        <f t="shared" si="1"/>
        <v>#VALUE!</v>
      </c>
      <c r="I8101" s="1" t="e">
        <f t="shared" si="2"/>
        <v>#VALUE!</v>
      </c>
    </row>
    <row r="8102" spans="1:9" ht="15.75" customHeight="1">
      <c r="A8102" s="26"/>
      <c r="B8102" s="2"/>
      <c r="C8102" s="26"/>
      <c r="D8102" s="26"/>
      <c r="F8102" s="85" t="str">
        <f t="shared" si="0"/>
        <v/>
      </c>
      <c r="G8102" s="1" t="e">
        <f>IF(VALUE(F8102) = VALUE(RIGHT(Insights!$C$3, 4)), E8102, "")</f>
        <v>#VALUE!</v>
      </c>
      <c r="H8102" s="26" t="e">
        <f t="shared" si="1"/>
        <v>#VALUE!</v>
      </c>
      <c r="I8102" s="1" t="e">
        <f t="shared" si="2"/>
        <v>#VALUE!</v>
      </c>
    </row>
    <row r="8103" spans="1:9" ht="15.75" customHeight="1">
      <c r="A8103" s="26"/>
      <c r="B8103" s="2"/>
      <c r="C8103" s="26"/>
      <c r="D8103" s="26"/>
      <c r="F8103" s="85" t="str">
        <f t="shared" si="0"/>
        <v/>
      </c>
      <c r="G8103" s="1" t="e">
        <f>IF(VALUE(F8103) = VALUE(RIGHT(Insights!$C$3, 4)), E8103, "")</f>
        <v>#VALUE!</v>
      </c>
      <c r="H8103" s="26" t="e">
        <f t="shared" si="1"/>
        <v>#VALUE!</v>
      </c>
      <c r="I8103" s="1" t="e">
        <f t="shared" si="2"/>
        <v>#VALUE!</v>
      </c>
    </row>
    <row r="8104" spans="1:9" ht="15.75" customHeight="1">
      <c r="A8104" s="26"/>
      <c r="B8104" s="2"/>
      <c r="C8104" s="26"/>
      <c r="D8104" s="26"/>
      <c r="F8104" s="85" t="str">
        <f t="shared" si="0"/>
        <v/>
      </c>
      <c r="G8104" s="1" t="e">
        <f>IF(VALUE(F8104) = VALUE(RIGHT(Insights!$C$3, 4)), E8104, "")</f>
        <v>#VALUE!</v>
      </c>
      <c r="H8104" s="26" t="e">
        <f t="shared" si="1"/>
        <v>#VALUE!</v>
      </c>
      <c r="I8104" s="1" t="e">
        <f t="shared" si="2"/>
        <v>#VALUE!</v>
      </c>
    </row>
    <row r="8105" spans="1:9" ht="15.75" customHeight="1">
      <c r="A8105" s="26"/>
      <c r="B8105" s="2"/>
      <c r="C8105" s="26"/>
      <c r="D8105" s="26"/>
      <c r="F8105" s="85" t="str">
        <f t="shared" si="0"/>
        <v/>
      </c>
      <c r="G8105" s="1" t="e">
        <f>IF(VALUE(F8105) = VALUE(RIGHT(Insights!$C$3, 4)), E8105, "")</f>
        <v>#VALUE!</v>
      </c>
      <c r="H8105" s="26" t="e">
        <f t="shared" si="1"/>
        <v>#VALUE!</v>
      </c>
      <c r="I8105" s="1" t="e">
        <f t="shared" si="2"/>
        <v>#VALUE!</v>
      </c>
    </row>
    <row r="8106" spans="1:9" ht="15.75" customHeight="1">
      <c r="A8106" s="26"/>
      <c r="B8106" s="2"/>
      <c r="C8106" s="26"/>
      <c r="D8106" s="26"/>
      <c r="F8106" s="85" t="str">
        <f t="shared" si="0"/>
        <v/>
      </c>
      <c r="G8106" s="1" t="e">
        <f>IF(VALUE(F8106) = VALUE(RIGHT(Insights!$C$3, 4)), E8106, "")</f>
        <v>#VALUE!</v>
      </c>
      <c r="H8106" s="26" t="e">
        <f t="shared" si="1"/>
        <v>#VALUE!</v>
      </c>
      <c r="I8106" s="1" t="e">
        <f t="shared" si="2"/>
        <v>#VALUE!</v>
      </c>
    </row>
    <row r="8107" spans="1:9" ht="15.75" customHeight="1">
      <c r="A8107" s="26"/>
      <c r="B8107" s="2"/>
      <c r="C8107" s="26"/>
      <c r="D8107" s="26"/>
      <c r="F8107" s="85" t="str">
        <f t="shared" si="0"/>
        <v/>
      </c>
      <c r="G8107" s="1" t="e">
        <f>IF(VALUE(F8107) = VALUE(RIGHT(Insights!$C$3, 4)), E8107, "")</f>
        <v>#VALUE!</v>
      </c>
      <c r="H8107" s="26" t="e">
        <f t="shared" si="1"/>
        <v>#VALUE!</v>
      </c>
      <c r="I8107" s="1" t="e">
        <f t="shared" si="2"/>
        <v>#VALUE!</v>
      </c>
    </row>
    <row r="8108" spans="1:9" ht="15.75" customHeight="1">
      <c r="A8108" s="26"/>
      <c r="B8108" s="2"/>
      <c r="C8108" s="26"/>
      <c r="D8108" s="26"/>
      <c r="F8108" s="85" t="str">
        <f t="shared" si="0"/>
        <v/>
      </c>
      <c r="G8108" s="1" t="e">
        <f>IF(VALUE(F8108) = VALUE(RIGHT(Insights!$C$3, 4)), E8108, "")</f>
        <v>#VALUE!</v>
      </c>
      <c r="H8108" s="26" t="e">
        <f t="shared" si="1"/>
        <v>#VALUE!</v>
      </c>
      <c r="I8108" s="1" t="e">
        <f t="shared" si="2"/>
        <v>#VALUE!</v>
      </c>
    </row>
    <row r="8109" spans="1:9" ht="15.75" customHeight="1">
      <c r="A8109" s="26"/>
      <c r="B8109" s="2"/>
      <c r="C8109" s="26"/>
      <c r="D8109" s="26"/>
      <c r="F8109" s="85" t="str">
        <f t="shared" si="0"/>
        <v/>
      </c>
      <c r="G8109" s="1" t="e">
        <f>IF(VALUE(F8109) = VALUE(RIGHT(Insights!$C$3, 4)), E8109, "")</f>
        <v>#VALUE!</v>
      </c>
      <c r="H8109" s="26" t="e">
        <f t="shared" si="1"/>
        <v>#VALUE!</v>
      </c>
      <c r="I8109" s="1" t="e">
        <f t="shared" si="2"/>
        <v>#VALUE!</v>
      </c>
    </row>
    <row r="8110" spans="1:9" ht="15.75" customHeight="1">
      <c r="A8110" s="26"/>
      <c r="B8110" s="2"/>
      <c r="C8110" s="26"/>
      <c r="D8110" s="26"/>
      <c r="F8110" s="85" t="str">
        <f t="shared" si="0"/>
        <v/>
      </c>
      <c r="G8110" s="1" t="e">
        <f>IF(VALUE(F8110) = VALUE(RIGHT(Insights!$C$3, 4)), E8110, "")</f>
        <v>#VALUE!</v>
      </c>
      <c r="H8110" s="26" t="e">
        <f t="shared" si="1"/>
        <v>#VALUE!</v>
      </c>
      <c r="I8110" s="1" t="e">
        <f t="shared" si="2"/>
        <v>#VALUE!</v>
      </c>
    </row>
    <row r="8111" spans="1:9" ht="15.75" customHeight="1">
      <c r="A8111" s="26"/>
      <c r="B8111" s="2"/>
      <c r="C8111" s="26"/>
      <c r="D8111" s="26"/>
      <c r="F8111" s="85" t="str">
        <f t="shared" si="0"/>
        <v/>
      </c>
      <c r="G8111" s="1" t="e">
        <f>IF(VALUE(F8111) = VALUE(RIGHT(Insights!$C$3, 4)), E8111, "")</f>
        <v>#VALUE!</v>
      </c>
      <c r="H8111" s="26" t="e">
        <f t="shared" si="1"/>
        <v>#VALUE!</v>
      </c>
      <c r="I8111" s="1" t="e">
        <f t="shared" si="2"/>
        <v>#VALUE!</v>
      </c>
    </row>
    <row r="8112" spans="1:9" ht="15.75" customHeight="1">
      <c r="A8112" s="26"/>
      <c r="B8112" s="2"/>
      <c r="C8112" s="26"/>
      <c r="D8112" s="26"/>
      <c r="F8112" s="85" t="str">
        <f t="shared" si="0"/>
        <v/>
      </c>
      <c r="G8112" s="1" t="e">
        <f>IF(VALUE(F8112) = VALUE(RIGHT(Insights!$C$3, 4)), E8112, "")</f>
        <v>#VALUE!</v>
      </c>
      <c r="H8112" s="26" t="e">
        <f t="shared" si="1"/>
        <v>#VALUE!</v>
      </c>
      <c r="I8112" s="1" t="e">
        <f t="shared" si="2"/>
        <v>#VALUE!</v>
      </c>
    </row>
    <row r="8113" spans="1:9" ht="15.75" customHeight="1">
      <c r="A8113" s="26"/>
      <c r="B8113" s="2"/>
      <c r="C8113" s="26"/>
      <c r="D8113" s="26"/>
      <c r="F8113" s="85" t="str">
        <f t="shared" si="0"/>
        <v/>
      </c>
      <c r="G8113" s="1" t="e">
        <f>IF(VALUE(F8113) = VALUE(RIGHT(Insights!$C$3, 4)), E8113, "")</f>
        <v>#VALUE!</v>
      </c>
      <c r="H8113" s="26" t="e">
        <f t="shared" si="1"/>
        <v>#VALUE!</v>
      </c>
      <c r="I8113" s="1" t="e">
        <f t="shared" si="2"/>
        <v>#VALUE!</v>
      </c>
    </row>
    <row r="8114" spans="1:9" ht="15.75" customHeight="1">
      <c r="A8114" s="26"/>
      <c r="B8114" s="2"/>
      <c r="C8114" s="26"/>
      <c r="D8114" s="26"/>
      <c r="F8114" s="85" t="str">
        <f t="shared" si="0"/>
        <v/>
      </c>
      <c r="G8114" s="1" t="e">
        <f>IF(VALUE(F8114) = VALUE(RIGHT(Insights!$C$3, 4)), E8114, "")</f>
        <v>#VALUE!</v>
      </c>
      <c r="H8114" s="26" t="e">
        <f t="shared" si="1"/>
        <v>#VALUE!</v>
      </c>
      <c r="I8114" s="1" t="e">
        <f t="shared" si="2"/>
        <v>#VALUE!</v>
      </c>
    </row>
    <row r="8115" spans="1:9" ht="15.75" customHeight="1">
      <c r="A8115" s="26"/>
      <c r="B8115" s="2"/>
      <c r="C8115" s="26"/>
      <c r="D8115" s="26"/>
      <c r="F8115" s="85" t="str">
        <f t="shared" si="0"/>
        <v/>
      </c>
      <c r="G8115" s="1" t="e">
        <f>IF(VALUE(F8115) = VALUE(RIGHT(Insights!$C$3, 4)), E8115, "")</f>
        <v>#VALUE!</v>
      </c>
      <c r="H8115" s="26" t="e">
        <f t="shared" si="1"/>
        <v>#VALUE!</v>
      </c>
      <c r="I8115" s="1" t="e">
        <f t="shared" si="2"/>
        <v>#VALUE!</v>
      </c>
    </row>
    <row r="8116" spans="1:9" ht="15.75" customHeight="1">
      <c r="A8116" s="26"/>
      <c r="B8116" s="2"/>
      <c r="C8116" s="26"/>
      <c r="D8116" s="26"/>
      <c r="F8116" s="85" t="str">
        <f t="shared" si="0"/>
        <v/>
      </c>
      <c r="G8116" s="1" t="e">
        <f>IF(VALUE(F8116) = VALUE(RIGHT(Insights!$C$3, 4)), E8116, "")</f>
        <v>#VALUE!</v>
      </c>
      <c r="H8116" s="26" t="e">
        <f t="shared" si="1"/>
        <v>#VALUE!</v>
      </c>
      <c r="I8116" s="1" t="e">
        <f t="shared" si="2"/>
        <v>#VALUE!</v>
      </c>
    </row>
    <row r="8117" spans="1:9" ht="15.75" customHeight="1">
      <c r="A8117" s="26"/>
      <c r="B8117" s="2"/>
      <c r="C8117" s="26"/>
      <c r="D8117" s="26"/>
      <c r="F8117" s="85" t="str">
        <f t="shared" si="0"/>
        <v/>
      </c>
      <c r="G8117" s="1" t="e">
        <f>IF(VALUE(F8117) = VALUE(RIGHT(Insights!$C$3, 4)), E8117, "")</f>
        <v>#VALUE!</v>
      </c>
      <c r="H8117" s="26" t="e">
        <f t="shared" si="1"/>
        <v>#VALUE!</v>
      </c>
      <c r="I8117" s="1" t="e">
        <f t="shared" si="2"/>
        <v>#VALUE!</v>
      </c>
    </row>
    <row r="8118" spans="1:9" ht="15.75" customHeight="1">
      <c r="A8118" s="26"/>
      <c r="B8118" s="2"/>
      <c r="C8118" s="26"/>
      <c r="D8118" s="26"/>
      <c r="F8118" s="85" t="str">
        <f t="shared" si="0"/>
        <v/>
      </c>
      <c r="G8118" s="1" t="e">
        <f>IF(VALUE(F8118) = VALUE(RIGHT(Insights!$C$3, 4)), E8118, "")</f>
        <v>#VALUE!</v>
      </c>
      <c r="H8118" s="26" t="e">
        <f t="shared" si="1"/>
        <v>#VALUE!</v>
      </c>
      <c r="I8118" s="1" t="e">
        <f t="shared" si="2"/>
        <v>#VALUE!</v>
      </c>
    </row>
    <row r="8119" spans="1:9" ht="15.75" customHeight="1">
      <c r="A8119" s="26"/>
      <c r="B8119" s="2"/>
      <c r="C8119" s="26"/>
      <c r="D8119" s="26"/>
      <c r="F8119" s="85" t="str">
        <f t="shared" si="0"/>
        <v/>
      </c>
      <c r="G8119" s="1" t="e">
        <f>IF(VALUE(F8119) = VALUE(RIGHT(Insights!$C$3, 4)), E8119, "")</f>
        <v>#VALUE!</v>
      </c>
      <c r="H8119" s="26" t="e">
        <f t="shared" si="1"/>
        <v>#VALUE!</v>
      </c>
      <c r="I8119" s="1" t="e">
        <f t="shared" si="2"/>
        <v>#VALUE!</v>
      </c>
    </row>
    <row r="8120" spans="1:9" ht="15.75" customHeight="1">
      <c r="A8120" s="26"/>
      <c r="B8120" s="2"/>
      <c r="C8120" s="26"/>
      <c r="D8120" s="26"/>
      <c r="F8120" s="85" t="str">
        <f t="shared" si="0"/>
        <v/>
      </c>
      <c r="G8120" s="1" t="e">
        <f>IF(VALUE(F8120) = VALUE(RIGHT(Insights!$C$3, 4)), E8120, "")</f>
        <v>#VALUE!</v>
      </c>
      <c r="H8120" s="26" t="e">
        <f t="shared" si="1"/>
        <v>#VALUE!</v>
      </c>
      <c r="I8120" s="1" t="e">
        <f t="shared" si="2"/>
        <v>#VALUE!</v>
      </c>
    </row>
    <row r="8121" spans="1:9" ht="15.75" customHeight="1">
      <c r="A8121" s="26"/>
      <c r="B8121" s="2"/>
      <c r="C8121" s="26"/>
      <c r="D8121" s="26"/>
      <c r="F8121" s="85" t="str">
        <f t="shared" si="0"/>
        <v/>
      </c>
      <c r="G8121" s="1" t="e">
        <f>IF(VALUE(F8121) = VALUE(RIGHT(Insights!$C$3, 4)), E8121, "")</f>
        <v>#VALUE!</v>
      </c>
      <c r="H8121" s="26" t="e">
        <f t="shared" si="1"/>
        <v>#VALUE!</v>
      </c>
      <c r="I8121" s="1" t="e">
        <f t="shared" si="2"/>
        <v>#VALUE!</v>
      </c>
    </row>
    <row r="8122" spans="1:9" ht="15.75" customHeight="1">
      <c r="A8122" s="26"/>
      <c r="B8122" s="2"/>
      <c r="C8122" s="26"/>
      <c r="D8122" s="26"/>
      <c r="F8122" s="85" t="str">
        <f t="shared" si="0"/>
        <v/>
      </c>
      <c r="G8122" s="1" t="e">
        <f>IF(VALUE(F8122) = VALUE(RIGHT(Insights!$C$3, 4)), E8122, "")</f>
        <v>#VALUE!</v>
      </c>
      <c r="H8122" s="26" t="e">
        <f t="shared" si="1"/>
        <v>#VALUE!</v>
      </c>
      <c r="I8122" s="1" t="e">
        <f t="shared" si="2"/>
        <v>#VALUE!</v>
      </c>
    </row>
    <row r="8123" spans="1:9" ht="15.75" customHeight="1">
      <c r="A8123" s="26"/>
      <c r="B8123" s="2"/>
      <c r="C8123" s="26"/>
      <c r="D8123" s="26"/>
      <c r="F8123" s="85" t="str">
        <f t="shared" si="0"/>
        <v/>
      </c>
      <c r="G8123" s="1" t="e">
        <f>IF(VALUE(F8123) = VALUE(RIGHT(Insights!$C$3, 4)), E8123, "")</f>
        <v>#VALUE!</v>
      </c>
      <c r="H8123" s="26" t="e">
        <f t="shared" si="1"/>
        <v>#VALUE!</v>
      </c>
      <c r="I8123" s="1" t="e">
        <f t="shared" si="2"/>
        <v>#VALUE!</v>
      </c>
    </row>
    <row r="8124" spans="1:9" ht="15.75" customHeight="1">
      <c r="A8124" s="26"/>
      <c r="B8124" s="2"/>
      <c r="C8124" s="26"/>
      <c r="D8124" s="26"/>
      <c r="F8124" s="85" t="str">
        <f t="shared" si="0"/>
        <v/>
      </c>
      <c r="G8124" s="1" t="e">
        <f>IF(VALUE(F8124) = VALUE(RIGHT(Insights!$C$3, 4)), E8124, "")</f>
        <v>#VALUE!</v>
      </c>
      <c r="H8124" s="26" t="e">
        <f t="shared" si="1"/>
        <v>#VALUE!</v>
      </c>
      <c r="I8124" s="1" t="e">
        <f t="shared" si="2"/>
        <v>#VALUE!</v>
      </c>
    </row>
    <row r="8125" spans="1:9" ht="15.75" customHeight="1">
      <c r="A8125" s="26"/>
      <c r="B8125" s="2"/>
      <c r="C8125" s="26"/>
      <c r="D8125" s="26"/>
      <c r="F8125" s="85" t="str">
        <f t="shared" si="0"/>
        <v/>
      </c>
      <c r="G8125" s="1" t="e">
        <f>IF(VALUE(F8125) = VALUE(RIGHT(Insights!$C$3, 4)), E8125, "")</f>
        <v>#VALUE!</v>
      </c>
      <c r="H8125" s="26" t="e">
        <f t="shared" si="1"/>
        <v>#VALUE!</v>
      </c>
      <c r="I8125" s="1" t="e">
        <f t="shared" si="2"/>
        <v>#VALUE!</v>
      </c>
    </row>
    <row r="8126" spans="1:9" ht="15.75" customHeight="1">
      <c r="A8126" s="26"/>
      <c r="B8126" s="2"/>
      <c r="C8126" s="26"/>
      <c r="D8126" s="26"/>
      <c r="F8126" s="85" t="str">
        <f t="shared" si="0"/>
        <v/>
      </c>
      <c r="G8126" s="1" t="e">
        <f>IF(VALUE(F8126) = VALUE(RIGHT(Insights!$C$3, 4)), E8126, "")</f>
        <v>#VALUE!</v>
      </c>
      <c r="H8126" s="26" t="e">
        <f t="shared" si="1"/>
        <v>#VALUE!</v>
      </c>
      <c r="I8126" s="1" t="e">
        <f t="shared" si="2"/>
        <v>#VALUE!</v>
      </c>
    </row>
    <row r="8127" spans="1:9" ht="15.75" customHeight="1">
      <c r="A8127" s="26"/>
      <c r="B8127" s="2"/>
      <c r="C8127" s="26"/>
      <c r="D8127" s="26"/>
      <c r="F8127" s="85" t="str">
        <f t="shared" si="0"/>
        <v/>
      </c>
      <c r="G8127" s="1" t="e">
        <f>IF(VALUE(F8127) = VALUE(RIGHT(Insights!$C$3, 4)), E8127, "")</f>
        <v>#VALUE!</v>
      </c>
      <c r="H8127" s="26" t="e">
        <f t="shared" si="1"/>
        <v>#VALUE!</v>
      </c>
      <c r="I8127" s="1" t="e">
        <f t="shared" si="2"/>
        <v>#VALUE!</v>
      </c>
    </row>
    <row r="8128" spans="1:9" ht="15.75" customHeight="1">
      <c r="A8128" s="26"/>
      <c r="B8128" s="2"/>
      <c r="C8128" s="26"/>
      <c r="D8128" s="26"/>
      <c r="F8128" s="85" t="str">
        <f t="shared" si="0"/>
        <v/>
      </c>
      <c r="G8128" s="1" t="e">
        <f>IF(VALUE(F8128) = VALUE(RIGHT(Insights!$C$3, 4)), E8128, "")</f>
        <v>#VALUE!</v>
      </c>
      <c r="H8128" s="26" t="e">
        <f t="shared" si="1"/>
        <v>#VALUE!</v>
      </c>
      <c r="I8128" s="1" t="e">
        <f t="shared" si="2"/>
        <v>#VALUE!</v>
      </c>
    </row>
    <row r="8129" spans="1:9" ht="15.75" customHeight="1">
      <c r="A8129" s="26"/>
      <c r="B8129" s="2"/>
      <c r="C8129" s="26"/>
      <c r="D8129" s="26"/>
      <c r="F8129" s="85" t="str">
        <f t="shared" si="0"/>
        <v/>
      </c>
      <c r="G8129" s="1" t="e">
        <f>IF(VALUE(F8129) = VALUE(RIGHT(Insights!$C$3, 4)), E8129, "")</f>
        <v>#VALUE!</v>
      </c>
      <c r="H8129" s="26" t="e">
        <f t="shared" si="1"/>
        <v>#VALUE!</v>
      </c>
      <c r="I8129" s="1" t="e">
        <f t="shared" si="2"/>
        <v>#VALUE!</v>
      </c>
    </row>
    <row r="8130" spans="1:9" ht="15.75" customHeight="1">
      <c r="A8130" s="26"/>
      <c r="B8130" s="2"/>
      <c r="C8130" s="26"/>
      <c r="D8130" s="26"/>
      <c r="F8130" s="85" t="str">
        <f t="shared" si="0"/>
        <v/>
      </c>
      <c r="G8130" s="1" t="e">
        <f>IF(VALUE(F8130) = VALUE(RIGHT(Insights!$C$3, 4)), E8130, "")</f>
        <v>#VALUE!</v>
      </c>
      <c r="H8130" s="26" t="e">
        <f t="shared" si="1"/>
        <v>#VALUE!</v>
      </c>
      <c r="I8130" s="1" t="e">
        <f t="shared" si="2"/>
        <v>#VALUE!</v>
      </c>
    </row>
    <row r="8131" spans="1:9" ht="15.75" customHeight="1">
      <c r="A8131" s="26"/>
      <c r="B8131" s="2"/>
      <c r="C8131" s="26"/>
      <c r="D8131" s="26"/>
      <c r="F8131" s="85" t="str">
        <f t="shared" si="0"/>
        <v/>
      </c>
      <c r="G8131" s="1" t="e">
        <f>IF(VALUE(F8131) = VALUE(RIGHT(Insights!$C$3, 4)), E8131, "")</f>
        <v>#VALUE!</v>
      </c>
      <c r="H8131" s="26" t="e">
        <f t="shared" si="1"/>
        <v>#VALUE!</v>
      </c>
      <c r="I8131" s="1" t="e">
        <f t="shared" si="2"/>
        <v>#VALUE!</v>
      </c>
    </row>
    <row r="8132" spans="1:9" ht="15.75" customHeight="1">
      <c r="A8132" s="26"/>
      <c r="B8132" s="2"/>
      <c r="C8132" s="26"/>
      <c r="D8132" s="26"/>
      <c r="F8132" s="85" t="str">
        <f t="shared" si="0"/>
        <v/>
      </c>
      <c r="G8132" s="1" t="e">
        <f>IF(VALUE(F8132) = VALUE(RIGHT(Insights!$C$3, 4)), E8132, "")</f>
        <v>#VALUE!</v>
      </c>
      <c r="H8132" s="26" t="e">
        <f t="shared" si="1"/>
        <v>#VALUE!</v>
      </c>
      <c r="I8132" s="1" t="e">
        <f t="shared" si="2"/>
        <v>#VALUE!</v>
      </c>
    </row>
    <row r="8133" spans="1:9" ht="15.75" customHeight="1">
      <c r="A8133" s="26"/>
      <c r="B8133" s="2"/>
      <c r="C8133" s="26"/>
      <c r="D8133" s="26"/>
      <c r="F8133" s="85" t="str">
        <f t="shared" si="0"/>
        <v/>
      </c>
      <c r="G8133" s="1" t="e">
        <f>IF(VALUE(F8133) = VALUE(RIGHT(Insights!$C$3, 4)), E8133, "")</f>
        <v>#VALUE!</v>
      </c>
      <c r="H8133" s="26" t="e">
        <f t="shared" si="1"/>
        <v>#VALUE!</v>
      </c>
      <c r="I8133" s="1" t="e">
        <f t="shared" si="2"/>
        <v>#VALUE!</v>
      </c>
    </row>
    <row r="8134" spans="1:9" ht="15.75" customHeight="1">
      <c r="A8134" s="26"/>
      <c r="B8134" s="2"/>
      <c r="C8134" s="26"/>
      <c r="D8134" s="26"/>
      <c r="F8134" s="85" t="str">
        <f t="shared" si="0"/>
        <v/>
      </c>
      <c r="G8134" s="1" t="e">
        <f>IF(VALUE(F8134) = VALUE(RIGHT(Insights!$C$3, 4)), E8134, "")</f>
        <v>#VALUE!</v>
      </c>
      <c r="H8134" s="26" t="e">
        <f t="shared" si="1"/>
        <v>#VALUE!</v>
      </c>
      <c r="I8134" s="1" t="e">
        <f t="shared" si="2"/>
        <v>#VALUE!</v>
      </c>
    </row>
    <row r="8135" spans="1:9" ht="15.75" customHeight="1">
      <c r="A8135" s="26"/>
      <c r="B8135" s="2"/>
      <c r="C8135" s="26"/>
      <c r="D8135" s="26"/>
      <c r="F8135" s="85" t="str">
        <f t="shared" si="0"/>
        <v/>
      </c>
      <c r="G8135" s="1" t="e">
        <f>IF(VALUE(F8135) = VALUE(RIGHT(Insights!$C$3, 4)), E8135, "")</f>
        <v>#VALUE!</v>
      </c>
      <c r="H8135" s="26" t="e">
        <f t="shared" si="1"/>
        <v>#VALUE!</v>
      </c>
      <c r="I8135" s="1" t="e">
        <f t="shared" si="2"/>
        <v>#VALUE!</v>
      </c>
    </row>
    <row r="8136" spans="1:9" ht="15.75" customHeight="1">
      <c r="A8136" s="26"/>
      <c r="B8136" s="2"/>
      <c r="C8136" s="26"/>
      <c r="D8136" s="26"/>
      <c r="F8136" s="85" t="str">
        <f t="shared" si="0"/>
        <v/>
      </c>
      <c r="G8136" s="1" t="e">
        <f>IF(VALUE(F8136) = VALUE(RIGHT(Insights!$C$3, 4)), E8136, "")</f>
        <v>#VALUE!</v>
      </c>
      <c r="H8136" s="26" t="e">
        <f t="shared" si="1"/>
        <v>#VALUE!</v>
      </c>
      <c r="I8136" s="1" t="e">
        <f t="shared" si="2"/>
        <v>#VALUE!</v>
      </c>
    </row>
    <row r="8137" spans="1:9" ht="15.75" customHeight="1">
      <c r="A8137" s="26"/>
      <c r="B8137" s="2"/>
      <c r="C8137" s="26"/>
      <c r="D8137" s="26"/>
      <c r="F8137" s="85" t="str">
        <f t="shared" si="0"/>
        <v/>
      </c>
      <c r="G8137" s="1" t="e">
        <f>IF(VALUE(F8137) = VALUE(RIGHT(Insights!$C$3, 4)), E8137, "")</f>
        <v>#VALUE!</v>
      </c>
      <c r="H8137" s="26" t="e">
        <f t="shared" si="1"/>
        <v>#VALUE!</v>
      </c>
      <c r="I8137" s="1" t="e">
        <f t="shared" si="2"/>
        <v>#VALUE!</v>
      </c>
    </row>
    <row r="8138" spans="1:9" ht="15.75" customHeight="1">
      <c r="A8138" s="26"/>
      <c r="B8138" s="2"/>
      <c r="C8138" s="26"/>
      <c r="D8138" s="26"/>
      <c r="F8138" s="85" t="str">
        <f t="shared" si="0"/>
        <v/>
      </c>
      <c r="G8138" s="1" t="e">
        <f>IF(VALUE(F8138) = VALUE(RIGHT(Insights!$C$3, 4)), E8138, "")</f>
        <v>#VALUE!</v>
      </c>
      <c r="H8138" s="26" t="e">
        <f t="shared" si="1"/>
        <v>#VALUE!</v>
      </c>
      <c r="I8138" s="1" t="e">
        <f t="shared" si="2"/>
        <v>#VALUE!</v>
      </c>
    </row>
    <row r="8139" spans="1:9" ht="15.75" customHeight="1">
      <c r="A8139" s="26"/>
      <c r="B8139" s="2"/>
      <c r="C8139" s="26"/>
      <c r="D8139" s="26"/>
      <c r="F8139" s="85" t="str">
        <f t="shared" si="0"/>
        <v/>
      </c>
      <c r="G8139" s="1" t="e">
        <f>IF(VALUE(F8139) = VALUE(RIGHT(Insights!$C$3, 4)), E8139, "")</f>
        <v>#VALUE!</v>
      </c>
      <c r="H8139" s="26" t="e">
        <f t="shared" si="1"/>
        <v>#VALUE!</v>
      </c>
      <c r="I8139" s="1" t="e">
        <f t="shared" si="2"/>
        <v>#VALUE!</v>
      </c>
    </row>
    <row r="8140" spans="1:9" ht="15.75" customHeight="1">
      <c r="A8140" s="26"/>
      <c r="B8140" s="2"/>
      <c r="C8140" s="26"/>
      <c r="D8140" s="26"/>
      <c r="F8140" s="85" t="str">
        <f t="shared" si="0"/>
        <v/>
      </c>
      <c r="G8140" s="1" t="e">
        <f>IF(VALUE(F8140) = VALUE(RIGHT(Insights!$C$3, 4)), E8140, "")</f>
        <v>#VALUE!</v>
      </c>
      <c r="H8140" s="26" t="e">
        <f t="shared" si="1"/>
        <v>#VALUE!</v>
      </c>
      <c r="I8140" s="1" t="e">
        <f t="shared" si="2"/>
        <v>#VALUE!</v>
      </c>
    </row>
    <row r="8141" spans="1:9" ht="15.75" customHeight="1">
      <c r="A8141" s="26"/>
      <c r="B8141" s="2"/>
      <c r="C8141" s="26"/>
      <c r="D8141" s="26"/>
      <c r="F8141" s="85" t="str">
        <f t="shared" si="0"/>
        <v/>
      </c>
      <c r="G8141" s="1" t="e">
        <f>IF(VALUE(F8141) = VALUE(RIGHT(Insights!$C$3, 4)), E8141, "")</f>
        <v>#VALUE!</v>
      </c>
      <c r="H8141" s="26" t="e">
        <f t="shared" si="1"/>
        <v>#VALUE!</v>
      </c>
      <c r="I8141" s="1" t="e">
        <f t="shared" si="2"/>
        <v>#VALUE!</v>
      </c>
    </row>
    <row r="8142" spans="1:9" ht="15.75" customHeight="1">
      <c r="A8142" s="26"/>
      <c r="B8142" s="2"/>
      <c r="C8142" s="26"/>
      <c r="D8142" s="26"/>
      <c r="F8142" s="85" t="str">
        <f t="shared" si="0"/>
        <v/>
      </c>
      <c r="G8142" s="1" t="e">
        <f>IF(VALUE(F8142) = VALUE(RIGHT(Insights!$C$3, 4)), E8142, "")</f>
        <v>#VALUE!</v>
      </c>
      <c r="H8142" s="26" t="e">
        <f t="shared" si="1"/>
        <v>#VALUE!</v>
      </c>
      <c r="I8142" s="1" t="e">
        <f t="shared" si="2"/>
        <v>#VALUE!</v>
      </c>
    </row>
    <row r="8143" spans="1:9" ht="15.75" customHeight="1">
      <c r="A8143" s="26"/>
      <c r="B8143" s="2"/>
      <c r="C8143" s="26"/>
      <c r="D8143" s="26"/>
      <c r="F8143" s="85" t="str">
        <f t="shared" si="0"/>
        <v/>
      </c>
      <c r="G8143" s="1" t="e">
        <f>IF(VALUE(F8143) = VALUE(RIGHT(Insights!$C$3, 4)), E8143, "")</f>
        <v>#VALUE!</v>
      </c>
      <c r="H8143" s="26" t="e">
        <f t="shared" si="1"/>
        <v>#VALUE!</v>
      </c>
      <c r="I8143" s="1" t="e">
        <f t="shared" si="2"/>
        <v>#VALUE!</v>
      </c>
    </row>
    <row r="8144" spans="1:9" ht="15.75" customHeight="1">
      <c r="A8144" s="26"/>
      <c r="B8144" s="2"/>
      <c r="C8144" s="26"/>
      <c r="D8144" s="26"/>
      <c r="F8144" s="85" t="str">
        <f t="shared" si="0"/>
        <v/>
      </c>
      <c r="G8144" s="1" t="e">
        <f>IF(VALUE(F8144) = VALUE(RIGHT(Insights!$C$3, 4)), E8144, "")</f>
        <v>#VALUE!</v>
      </c>
      <c r="H8144" s="26" t="e">
        <f t="shared" si="1"/>
        <v>#VALUE!</v>
      </c>
      <c r="I8144" s="1" t="e">
        <f t="shared" si="2"/>
        <v>#VALUE!</v>
      </c>
    </row>
    <row r="8145" spans="1:9" ht="15.75" customHeight="1">
      <c r="A8145" s="26"/>
      <c r="B8145" s="2"/>
      <c r="C8145" s="26"/>
      <c r="D8145" s="26"/>
      <c r="F8145" s="85" t="str">
        <f t="shared" si="0"/>
        <v/>
      </c>
      <c r="G8145" s="1" t="e">
        <f>IF(VALUE(F8145) = VALUE(RIGHT(Insights!$C$3, 4)), E8145, "")</f>
        <v>#VALUE!</v>
      </c>
      <c r="H8145" s="26" t="e">
        <f t="shared" si="1"/>
        <v>#VALUE!</v>
      </c>
      <c r="I8145" s="1" t="e">
        <f t="shared" si="2"/>
        <v>#VALUE!</v>
      </c>
    </row>
    <row r="8146" spans="1:9" ht="15.75" customHeight="1">
      <c r="A8146" s="26"/>
      <c r="B8146" s="2"/>
      <c r="C8146" s="26"/>
      <c r="D8146" s="26"/>
      <c r="F8146" s="85" t="str">
        <f t="shared" si="0"/>
        <v/>
      </c>
      <c r="G8146" s="1" t="e">
        <f>IF(VALUE(F8146) = VALUE(RIGHT(Insights!$C$3, 4)), E8146, "")</f>
        <v>#VALUE!</v>
      </c>
      <c r="H8146" s="26" t="e">
        <f t="shared" si="1"/>
        <v>#VALUE!</v>
      </c>
      <c r="I8146" s="1" t="e">
        <f t="shared" si="2"/>
        <v>#VALUE!</v>
      </c>
    </row>
    <row r="8147" spans="1:9" ht="15.75" customHeight="1">
      <c r="A8147" s="26"/>
      <c r="B8147" s="2"/>
      <c r="C8147" s="26"/>
      <c r="D8147" s="26"/>
      <c r="F8147" s="85" t="str">
        <f t="shared" si="0"/>
        <v/>
      </c>
      <c r="G8147" s="1" t="e">
        <f>IF(VALUE(F8147) = VALUE(RIGHT(Insights!$C$3, 4)), E8147, "")</f>
        <v>#VALUE!</v>
      </c>
      <c r="H8147" s="26" t="e">
        <f t="shared" si="1"/>
        <v>#VALUE!</v>
      </c>
      <c r="I8147" s="1" t="e">
        <f t="shared" si="2"/>
        <v>#VALUE!</v>
      </c>
    </row>
    <row r="8148" spans="1:9" ht="15.75" customHeight="1">
      <c r="A8148" s="26"/>
      <c r="B8148" s="2"/>
      <c r="C8148" s="26"/>
      <c r="D8148" s="26"/>
      <c r="F8148" s="85" t="str">
        <f t="shared" si="0"/>
        <v/>
      </c>
      <c r="G8148" s="1" t="e">
        <f>IF(VALUE(F8148) = VALUE(RIGHT(Insights!$C$3, 4)), E8148, "")</f>
        <v>#VALUE!</v>
      </c>
      <c r="H8148" s="26" t="e">
        <f t="shared" si="1"/>
        <v>#VALUE!</v>
      </c>
      <c r="I8148" s="1" t="e">
        <f t="shared" si="2"/>
        <v>#VALUE!</v>
      </c>
    </row>
    <row r="8149" spans="1:9" ht="15.75" customHeight="1">
      <c r="A8149" s="26"/>
      <c r="B8149" s="2"/>
      <c r="C8149" s="26"/>
      <c r="D8149" s="26"/>
      <c r="F8149" s="85" t="str">
        <f t="shared" si="0"/>
        <v/>
      </c>
      <c r="G8149" s="1" t="e">
        <f>IF(VALUE(F8149) = VALUE(RIGHT(Insights!$C$3, 4)), E8149, "")</f>
        <v>#VALUE!</v>
      </c>
      <c r="H8149" s="26" t="e">
        <f t="shared" si="1"/>
        <v>#VALUE!</v>
      </c>
      <c r="I8149" s="1" t="e">
        <f t="shared" si="2"/>
        <v>#VALUE!</v>
      </c>
    </row>
    <row r="8150" spans="1:9" ht="15.75" customHeight="1">
      <c r="A8150" s="26"/>
      <c r="B8150" s="2"/>
      <c r="C8150" s="26"/>
      <c r="D8150" s="26"/>
      <c r="F8150" s="85" t="str">
        <f t="shared" si="0"/>
        <v/>
      </c>
      <c r="G8150" s="1" t="e">
        <f>IF(VALUE(F8150) = VALUE(RIGHT(Insights!$C$3, 4)), E8150, "")</f>
        <v>#VALUE!</v>
      </c>
      <c r="H8150" s="26" t="e">
        <f t="shared" si="1"/>
        <v>#VALUE!</v>
      </c>
      <c r="I8150" s="1" t="e">
        <f t="shared" si="2"/>
        <v>#VALUE!</v>
      </c>
    </row>
    <row r="8151" spans="1:9" ht="15.75" customHeight="1">
      <c r="A8151" s="26"/>
      <c r="B8151" s="2"/>
      <c r="C8151" s="26"/>
      <c r="D8151" s="26"/>
      <c r="F8151" s="85" t="str">
        <f t="shared" si="0"/>
        <v/>
      </c>
      <c r="G8151" s="1" t="e">
        <f>IF(VALUE(F8151) = VALUE(RIGHT(Insights!$C$3, 4)), E8151, "")</f>
        <v>#VALUE!</v>
      </c>
      <c r="H8151" s="26" t="e">
        <f t="shared" si="1"/>
        <v>#VALUE!</v>
      </c>
      <c r="I8151" s="1" t="e">
        <f t="shared" si="2"/>
        <v>#VALUE!</v>
      </c>
    </row>
    <row r="8152" spans="1:9" ht="15.75" customHeight="1">
      <c r="A8152" s="26"/>
      <c r="B8152" s="2"/>
      <c r="C8152" s="26"/>
      <c r="D8152" s="26"/>
      <c r="F8152" s="85" t="str">
        <f t="shared" si="0"/>
        <v/>
      </c>
      <c r="G8152" s="1" t="e">
        <f>IF(VALUE(F8152) = VALUE(RIGHT(Insights!$C$3, 4)), E8152, "")</f>
        <v>#VALUE!</v>
      </c>
      <c r="H8152" s="26" t="e">
        <f t="shared" si="1"/>
        <v>#VALUE!</v>
      </c>
      <c r="I8152" s="1" t="e">
        <f t="shared" si="2"/>
        <v>#VALUE!</v>
      </c>
    </row>
    <row r="8153" spans="1:9" ht="15.75" customHeight="1">
      <c r="A8153" s="26"/>
      <c r="B8153" s="2"/>
      <c r="C8153" s="26"/>
      <c r="D8153" s="26"/>
      <c r="F8153" s="85" t="str">
        <f t="shared" si="0"/>
        <v/>
      </c>
      <c r="G8153" s="1" t="e">
        <f>IF(VALUE(F8153) = VALUE(RIGHT(Insights!$C$3, 4)), E8153, "")</f>
        <v>#VALUE!</v>
      </c>
      <c r="H8153" s="26" t="e">
        <f t="shared" si="1"/>
        <v>#VALUE!</v>
      </c>
      <c r="I8153" s="1" t="e">
        <f t="shared" si="2"/>
        <v>#VALUE!</v>
      </c>
    </row>
    <row r="8154" spans="1:9" ht="15.75" customHeight="1">
      <c r="A8154" s="26"/>
      <c r="B8154" s="2"/>
      <c r="C8154" s="26"/>
      <c r="D8154" s="26"/>
      <c r="F8154" s="85" t="str">
        <f t="shared" si="0"/>
        <v/>
      </c>
      <c r="G8154" s="1" t="e">
        <f>IF(VALUE(F8154) = VALUE(RIGHT(Insights!$C$3, 4)), E8154, "")</f>
        <v>#VALUE!</v>
      </c>
      <c r="H8154" s="26" t="e">
        <f t="shared" si="1"/>
        <v>#VALUE!</v>
      </c>
      <c r="I8154" s="1" t="e">
        <f t="shared" si="2"/>
        <v>#VALUE!</v>
      </c>
    </row>
    <row r="8155" spans="1:9" ht="15.75" customHeight="1">
      <c r="A8155" s="26"/>
      <c r="B8155" s="2"/>
      <c r="C8155" s="26"/>
      <c r="D8155" s="26"/>
      <c r="F8155" s="85" t="str">
        <f t="shared" si="0"/>
        <v/>
      </c>
      <c r="G8155" s="1" t="e">
        <f>IF(VALUE(F8155) = VALUE(RIGHT(Insights!$C$3, 4)), E8155, "")</f>
        <v>#VALUE!</v>
      </c>
      <c r="H8155" s="26" t="e">
        <f t="shared" si="1"/>
        <v>#VALUE!</v>
      </c>
      <c r="I8155" s="1" t="e">
        <f t="shared" si="2"/>
        <v>#VALUE!</v>
      </c>
    </row>
    <row r="8156" spans="1:9" ht="15.75" customHeight="1">
      <c r="A8156" s="26"/>
      <c r="B8156" s="2"/>
      <c r="C8156" s="26"/>
      <c r="D8156" s="26"/>
      <c r="F8156" s="85" t="str">
        <f t="shared" si="0"/>
        <v/>
      </c>
      <c r="G8156" s="1" t="e">
        <f>IF(VALUE(F8156) = VALUE(RIGHT(Insights!$C$3, 4)), E8156, "")</f>
        <v>#VALUE!</v>
      </c>
      <c r="H8156" s="26" t="e">
        <f t="shared" si="1"/>
        <v>#VALUE!</v>
      </c>
      <c r="I8156" s="1" t="e">
        <f t="shared" si="2"/>
        <v>#VALUE!</v>
      </c>
    </row>
    <row r="8157" spans="1:9" ht="15.75" customHeight="1">
      <c r="A8157" s="26"/>
      <c r="B8157" s="2"/>
      <c r="C8157" s="26"/>
      <c r="D8157" s="26"/>
      <c r="F8157" s="85" t="str">
        <f t="shared" si="0"/>
        <v/>
      </c>
      <c r="G8157" s="1" t="e">
        <f>IF(VALUE(F8157) = VALUE(RIGHT(Insights!$C$3, 4)), E8157, "")</f>
        <v>#VALUE!</v>
      </c>
      <c r="H8157" s="26" t="e">
        <f t="shared" si="1"/>
        <v>#VALUE!</v>
      </c>
      <c r="I8157" s="1" t="e">
        <f t="shared" si="2"/>
        <v>#VALUE!</v>
      </c>
    </row>
    <row r="8158" spans="1:9" ht="15.75" customHeight="1">
      <c r="A8158" s="26"/>
      <c r="B8158" s="2"/>
      <c r="C8158" s="26"/>
      <c r="D8158" s="26"/>
      <c r="F8158" s="85" t="str">
        <f t="shared" si="0"/>
        <v/>
      </c>
      <c r="G8158" s="1" t="e">
        <f>IF(VALUE(F8158) = VALUE(RIGHT(Insights!$C$3, 4)), E8158, "")</f>
        <v>#VALUE!</v>
      </c>
      <c r="H8158" s="26" t="e">
        <f t="shared" si="1"/>
        <v>#VALUE!</v>
      </c>
      <c r="I8158" s="1" t="e">
        <f t="shared" si="2"/>
        <v>#VALUE!</v>
      </c>
    </row>
    <row r="8159" spans="1:9" ht="15.75" customHeight="1">
      <c r="A8159" s="26"/>
      <c r="B8159" s="2"/>
      <c r="C8159" s="26"/>
      <c r="D8159" s="26"/>
      <c r="F8159" s="85" t="str">
        <f t="shared" si="0"/>
        <v/>
      </c>
      <c r="G8159" s="1" t="e">
        <f>IF(VALUE(F8159) = VALUE(RIGHT(Insights!$C$3, 4)), E8159, "")</f>
        <v>#VALUE!</v>
      </c>
      <c r="H8159" s="26" t="e">
        <f t="shared" si="1"/>
        <v>#VALUE!</v>
      </c>
      <c r="I8159" s="1" t="e">
        <f t="shared" si="2"/>
        <v>#VALUE!</v>
      </c>
    </row>
    <row r="8160" spans="1:9" ht="15.75" customHeight="1">
      <c r="A8160" s="26"/>
      <c r="B8160" s="2"/>
      <c r="C8160" s="26"/>
      <c r="D8160" s="26"/>
      <c r="F8160" s="85" t="str">
        <f t="shared" si="0"/>
        <v/>
      </c>
      <c r="G8160" s="1" t="e">
        <f>IF(VALUE(F8160) = VALUE(RIGHT(Insights!$C$3, 4)), E8160, "")</f>
        <v>#VALUE!</v>
      </c>
      <c r="H8160" s="26" t="e">
        <f t="shared" si="1"/>
        <v>#VALUE!</v>
      </c>
      <c r="I8160" s="1" t="e">
        <f t="shared" si="2"/>
        <v>#VALUE!</v>
      </c>
    </row>
    <row r="8161" spans="1:9" ht="15.75" customHeight="1">
      <c r="A8161" s="26"/>
      <c r="B8161" s="2"/>
      <c r="C8161" s="26"/>
      <c r="D8161" s="26"/>
      <c r="F8161" s="85" t="str">
        <f t="shared" si="0"/>
        <v/>
      </c>
      <c r="G8161" s="1" t="e">
        <f>IF(VALUE(F8161) = VALUE(RIGHT(Insights!$C$3, 4)), E8161, "")</f>
        <v>#VALUE!</v>
      </c>
      <c r="H8161" s="26" t="e">
        <f t="shared" si="1"/>
        <v>#VALUE!</v>
      </c>
      <c r="I8161" s="1" t="e">
        <f t="shared" si="2"/>
        <v>#VALUE!</v>
      </c>
    </row>
    <row r="8162" spans="1:9" ht="15.75" customHeight="1">
      <c r="A8162" s="26"/>
      <c r="B8162" s="2"/>
      <c r="C8162" s="26"/>
      <c r="D8162" s="26"/>
      <c r="F8162" s="85" t="str">
        <f t="shared" si="0"/>
        <v/>
      </c>
      <c r="G8162" s="1" t="e">
        <f>IF(VALUE(F8162) = VALUE(RIGHT(Insights!$C$3, 4)), E8162, "")</f>
        <v>#VALUE!</v>
      </c>
      <c r="H8162" s="26" t="e">
        <f t="shared" si="1"/>
        <v>#VALUE!</v>
      </c>
      <c r="I8162" s="1" t="e">
        <f t="shared" si="2"/>
        <v>#VALUE!</v>
      </c>
    </row>
    <row r="8163" spans="1:9" ht="15.75" customHeight="1">
      <c r="A8163" s="26"/>
      <c r="B8163" s="2"/>
      <c r="C8163" s="26"/>
      <c r="D8163" s="26"/>
      <c r="F8163" s="85" t="str">
        <f t="shared" si="0"/>
        <v/>
      </c>
      <c r="G8163" s="1" t="e">
        <f>IF(VALUE(F8163) = VALUE(RIGHT(Insights!$C$3, 4)), E8163, "")</f>
        <v>#VALUE!</v>
      </c>
      <c r="H8163" s="26" t="e">
        <f t="shared" si="1"/>
        <v>#VALUE!</v>
      </c>
      <c r="I8163" s="1" t="e">
        <f t="shared" si="2"/>
        <v>#VALUE!</v>
      </c>
    </row>
    <row r="8164" spans="1:9" ht="15.75" customHeight="1">
      <c r="A8164" s="26"/>
      <c r="B8164" s="2"/>
      <c r="C8164" s="26"/>
      <c r="D8164" s="26"/>
      <c r="F8164" s="85" t="str">
        <f t="shared" si="0"/>
        <v/>
      </c>
      <c r="G8164" s="1" t="e">
        <f>IF(VALUE(F8164) = VALUE(RIGHT(Insights!$C$3, 4)), E8164, "")</f>
        <v>#VALUE!</v>
      </c>
      <c r="H8164" s="26" t="e">
        <f t="shared" si="1"/>
        <v>#VALUE!</v>
      </c>
      <c r="I8164" s="1" t="e">
        <f t="shared" si="2"/>
        <v>#VALUE!</v>
      </c>
    </row>
    <row r="8165" spans="1:9" ht="15.75" customHeight="1">
      <c r="A8165" s="26"/>
      <c r="B8165" s="2"/>
      <c r="C8165" s="26"/>
      <c r="D8165" s="26"/>
      <c r="F8165" s="85" t="str">
        <f t="shared" si="0"/>
        <v/>
      </c>
      <c r="G8165" s="1" t="e">
        <f>IF(VALUE(F8165) = VALUE(RIGHT(Insights!$C$3, 4)), E8165, "")</f>
        <v>#VALUE!</v>
      </c>
      <c r="H8165" s="26" t="e">
        <f t="shared" si="1"/>
        <v>#VALUE!</v>
      </c>
      <c r="I8165" s="1" t="e">
        <f t="shared" si="2"/>
        <v>#VALUE!</v>
      </c>
    </row>
    <row r="8166" spans="1:9" ht="15.75" customHeight="1">
      <c r="A8166" s="26"/>
      <c r="B8166" s="2"/>
      <c r="C8166" s="26"/>
      <c r="D8166" s="26"/>
      <c r="F8166" s="85" t="str">
        <f t="shared" si="0"/>
        <v/>
      </c>
      <c r="G8166" s="1" t="e">
        <f>IF(VALUE(F8166) = VALUE(RIGHT(Insights!$C$3, 4)), E8166, "")</f>
        <v>#VALUE!</v>
      </c>
      <c r="H8166" s="26" t="e">
        <f t="shared" si="1"/>
        <v>#VALUE!</v>
      </c>
      <c r="I8166" s="1" t="e">
        <f t="shared" si="2"/>
        <v>#VALUE!</v>
      </c>
    </row>
    <row r="8167" spans="1:9" ht="15.75" customHeight="1">
      <c r="A8167" s="26"/>
      <c r="B8167" s="2"/>
      <c r="C8167" s="26"/>
      <c r="D8167" s="26"/>
      <c r="F8167" s="85" t="str">
        <f t="shared" si="0"/>
        <v/>
      </c>
      <c r="G8167" s="1" t="e">
        <f>IF(VALUE(F8167) = VALUE(RIGHT(Insights!$C$3, 4)), E8167, "")</f>
        <v>#VALUE!</v>
      </c>
      <c r="H8167" s="26" t="e">
        <f t="shared" si="1"/>
        <v>#VALUE!</v>
      </c>
      <c r="I8167" s="1" t="e">
        <f t="shared" si="2"/>
        <v>#VALUE!</v>
      </c>
    </row>
    <row r="8168" spans="1:9" ht="15.75" customHeight="1">
      <c r="A8168" s="26"/>
      <c r="B8168" s="2"/>
      <c r="C8168" s="26"/>
      <c r="D8168" s="26"/>
      <c r="F8168" s="85" t="str">
        <f t="shared" si="0"/>
        <v/>
      </c>
      <c r="G8168" s="1" t="e">
        <f>IF(VALUE(F8168) = VALUE(RIGHT(Insights!$C$3, 4)), E8168, "")</f>
        <v>#VALUE!</v>
      </c>
      <c r="H8168" s="26" t="e">
        <f t="shared" si="1"/>
        <v>#VALUE!</v>
      </c>
      <c r="I8168" s="1" t="e">
        <f t="shared" si="2"/>
        <v>#VALUE!</v>
      </c>
    </row>
    <row r="8169" spans="1:9" ht="15.75" customHeight="1">
      <c r="A8169" s="26"/>
      <c r="B8169" s="2"/>
      <c r="C8169" s="26"/>
      <c r="D8169" s="26"/>
      <c r="F8169" s="85" t="str">
        <f t="shared" si="0"/>
        <v/>
      </c>
      <c r="G8169" s="1" t="e">
        <f>IF(VALUE(F8169) = VALUE(RIGHT(Insights!$C$3, 4)), E8169, "")</f>
        <v>#VALUE!</v>
      </c>
      <c r="H8169" s="26" t="e">
        <f t="shared" si="1"/>
        <v>#VALUE!</v>
      </c>
      <c r="I8169" s="1" t="e">
        <f t="shared" si="2"/>
        <v>#VALUE!</v>
      </c>
    </row>
    <row r="8170" spans="1:9" ht="15.75" customHeight="1">
      <c r="A8170" s="26"/>
      <c r="B8170" s="2"/>
      <c r="C8170" s="26"/>
      <c r="D8170" s="26"/>
      <c r="F8170" s="85" t="str">
        <f t="shared" si="0"/>
        <v/>
      </c>
      <c r="G8170" s="1" t="e">
        <f>IF(VALUE(F8170) = VALUE(RIGHT(Insights!$C$3, 4)), E8170, "")</f>
        <v>#VALUE!</v>
      </c>
      <c r="H8170" s="26" t="e">
        <f t="shared" si="1"/>
        <v>#VALUE!</v>
      </c>
      <c r="I8170" s="1" t="e">
        <f t="shared" si="2"/>
        <v>#VALUE!</v>
      </c>
    </row>
    <row r="8171" spans="1:9" ht="15.75" customHeight="1">
      <c r="A8171" s="26"/>
      <c r="B8171" s="2"/>
      <c r="C8171" s="26"/>
      <c r="D8171" s="26"/>
      <c r="F8171" s="85" t="str">
        <f t="shared" si="0"/>
        <v/>
      </c>
      <c r="G8171" s="1" t="e">
        <f>IF(VALUE(F8171) = VALUE(RIGHT(Insights!$C$3, 4)), E8171, "")</f>
        <v>#VALUE!</v>
      </c>
      <c r="H8171" s="26" t="e">
        <f t="shared" si="1"/>
        <v>#VALUE!</v>
      </c>
      <c r="I8171" s="1" t="e">
        <f t="shared" si="2"/>
        <v>#VALUE!</v>
      </c>
    </row>
    <row r="8172" spans="1:9" ht="15.75" customHeight="1">
      <c r="A8172" s="26"/>
      <c r="B8172" s="2"/>
      <c r="C8172" s="26"/>
      <c r="D8172" s="26"/>
      <c r="F8172" s="85" t="str">
        <f t="shared" si="0"/>
        <v/>
      </c>
      <c r="G8172" s="1" t="e">
        <f>IF(VALUE(F8172) = VALUE(RIGHT(Insights!$C$3, 4)), E8172, "")</f>
        <v>#VALUE!</v>
      </c>
      <c r="H8172" s="26" t="e">
        <f t="shared" si="1"/>
        <v>#VALUE!</v>
      </c>
      <c r="I8172" s="1" t="e">
        <f t="shared" si="2"/>
        <v>#VALUE!</v>
      </c>
    </row>
    <row r="8173" spans="1:9" ht="15.75" customHeight="1">
      <c r="A8173" s="26"/>
      <c r="B8173" s="2"/>
      <c r="C8173" s="26"/>
      <c r="D8173" s="26"/>
      <c r="F8173" s="85" t="str">
        <f t="shared" si="0"/>
        <v/>
      </c>
      <c r="G8173" s="1" t="e">
        <f>IF(VALUE(F8173) = VALUE(RIGHT(Insights!$C$3, 4)), E8173, "")</f>
        <v>#VALUE!</v>
      </c>
      <c r="H8173" s="26" t="e">
        <f t="shared" si="1"/>
        <v>#VALUE!</v>
      </c>
      <c r="I8173" s="1" t="e">
        <f t="shared" si="2"/>
        <v>#VALUE!</v>
      </c>
    </row>
    <row r="8174" spans="1:9" ht="15.75" customHeight="1">
      <c r="A8174" s="26"/>
      <c r="B8174" s="2"/>
      <c r="C8174" s="26"/>
      <c r="D8174" s="26"/>
      <c r="F8174" s="85" t="str">
        <f t="shared" si="0"/>
        <v/>
      </c>
      <c r="G8174" s="1" t="e">
        <f>IF(VALUE(F8174) = VALUE(RIGHT(Insights!$C$3, 4)), E8174, "")</f>
        <v>#VALUE!</v>
      </c>
      <c r="H8174" s="26" t="e">
        <f t="shared" si="1"/>
        <v>#VALUE!</v>
      </c>
      <c r="I8174" s="1" t="e">
        <f t="shared" si="2"/>
        <v>#VALUE!</v>
      </c>
    </row>
    <row r="8175" spans="1:9" ht="15.75" customHeight="1">
      <c r="A8175" s="26"/>
      <c r="B8175" s="2"/>
      <c r="C8175" s="26"/>
      <c r="D8175" s="26"/>
      <c r="F8175" s="85" t="str">
        <f t="shared" si="0"/>
        <v/>
      </c>
      <c r="G8175" s="1" t="e">
        <f>IF(VALUE(F8175) = VALUE(RIGHT(Insights!$C$3, 4)), E8175, "")</f>
        <v>#VALUE!</v>
      </c>
      <c r="H8175" s="26" t="e">
        <f t="shared" si="1"/>
        <v>#VALUE!</v>
      </c>
      <c r="I8175" s="1" t="e">
        <f t="shared" si="2"/>
        <v>#VALUE!</v>
      </c>
    </row>
    <row r="8176" spans="1:9" ht="15.75" customHeight="1">
      <c r="A8176" s="26"/>
      <c r="B8176" s="2"/>
      <c r="C8176" s="26"/>
      <c r="D8176" s="26"/>
      <c r="F8176" s="85" t="str">
        <f t="shared" si="0"/>
        <v/>
      </c>
      <c r="G8176" s="1" t="e">
        <f>IF(VALUE(F8176) = VALUE(RIGHT(Insights!$C$3, 4)), E8176, "")</f>
        <v>#VALUE!</v>
      </c>
      <c r="H8176" s="26" t="e">
        <f t="shared" si="1"/>
        <v>#VALUE!</v>
      </c>
      <c r="I8176" s="1" t="e">
        <f t="shared" si="2"/>
        <v>#VALUE!</v>
      </c>
    </row>
    <row r="8177" spans="1:9" ht="15.75" customHeight="1">
      <c r="A8177" s="26"/>
      <c r="B8177" s="2"/>
      <c r="C8177" s="26"/>
      <c r="D8177" s="26"/>
      <c r="F8177" s="85" t="str">
        <f t="shared" si="0"/>
        <v/>
      </c>
      <c r="G8177" s="1" t="e">
        <f>IF(VALUE(F8177) = VALUE(RIGHT(Insights!$C$3, 4)), E8177, "")</f>
        <v>#VALUE!</v>
      </c>
      <c r="H8177" s="26" t="e">
        <f t="shared" si="1"/>
        <v>#VALUE!</v>
      </c>
      <c r="I8177" s="1" t="e">
        <f t="shared" si="2"/>
        <v>#VALUE!</v>
      </c>
    </row>
    <row r="8178" spans="1:9" ht="15.75" customHeight="1">
      <c r="A8178" s="26"/>
      <c r="B8178" s="2"/>
      <c r="C8178" s="26"/>
      <c r="D8178" s="26"/>
      <c r="F8178" s="85" t="str">
        <f t="shared" si="0"/>
        <v/>
      </c>
      <c r="G8178" s="1" t="e">
        <f>IF(VALUE(F8178) = VALUE(RIGHT(Insights!$C$3, 4)), E8178, "")</f>
        <v>#VALUE!</v>
      </c>
      <c r="H8178" s="26" t="e">
        <f t="shared" si="1"/>
        <v>#VALUE!</v>
      </c>
      <c r="I8178" s="1" t="e">
        <f t="shared" si="2"/>
        <v>#VALUE!</v>
      </c>
    </row>
    <row r="8179" spans="1:9" ht="15.75" customHeight="1">
      <c r="A8179" s="26"/>
      <c r="B8179" s="2"/>
      <c r="C8179" s="26"/>
      <c r="D8179" s="26"/>
      <c r="F8179" s="85" t="str">
        <f t="shared" si="0"/>
        <v/>
      </c>
      <c r="G8179" s="1" t="e">
        <f>IF(VALUE(F8179) = VALUE(RIGHT(Insights!$C$3, 4)), E8179, "")</f>
        <v>#VALUE!</v>
      </c>
      <c r="H8179" s="26" t="e">
        <f t="shared" si="1"/>
        <v>#VALUE!</v>
      </c>
      <c r="I8179" s="1" t="e">
        <f t="shared" si="2"/>
        <v>#VALUE!</v>
      </c>
    </row>
    <row r="8180" spans="1:9" ht="15.75" customHeight="1">
      <c r="A8180" s="26"/>
      <c r="B8180" s="2"/>
      <c r="C8180" s="26"/>
      <c r="D8180" s="26"/>
      <c r="F8180" s="85" t="str">
        <f t="shared" si="0"/>
        <v/>
      </c>
      <c r="G8180" s="1" t="e">
        <f>IF(VALUE(F8180) = VALUE(RIGHT(Insights!$C$3, 4)), E8180, "")</f>
        <v>#VALUE!</v>
      </c>
      <c r="H8180" s="26" t="e">
        <f t="shared" si="1"/>
        <v>#VALUE!</v>
      </c>
      <c r="I8180" s="1" t="e">
        <f t="shared" si="2"/>
        <v>#VALUE!</v>
      </c>
    </row>
    <row r="8181" spans="1:9" ht="15.75" customHeight="1">
      <c r="A8181" s="26"/>
      <c r="B8181" s="2"/>
      <c r="C8181" s="26"/>
      <c r="D8181" s="26"/>
      <c r="F8181" s="85" t="str">
        <f t="shared" si="0"/>
        <v/>
      </c>
      <c r="G8181" s="1" t="e">
        <f>IF(VALUE(F8181) = VALUE(RIGHT(Insights!$C$3, 4)), E8181, "")</f>
        <v>#VALUE!</v>
      </c>
      <c r="H8181" s="26" t="e">
        <f t="shared" si="1"/>
        <v>#VALUE!</v>
      </c>
      <c r="I8181" s="1" t="e">
        <f t="shared" si="2"/>
        <v>#VALUE!</v>
      </c>
    </row>
    <row r="8182" spans="1:9" ht="15.75" customHeight="1">
      <c r="A8182" s="26"/>
      <c r="B8182" s="2"/>
      <c r="C8182" s="26"/>
      <c r="D8182" s="26"/>
      <c r="F8182" s="85" t="str">
        <f t="shared" si="0"/>
        <v/>
      </c>
      <c r="G8182" s="1" t="e">
        <f>IF(VALUE(F8182) = VALUE(RIGHT(Insights!$C$3, 4)), E8182, "")</f>
        <v>#VALUE!</v>
      </c>
      <c r="H8182" s="26" t="e">
        <f t="shared" si="1"/>
        <v>#VALUE!</v>
      </c>
      <c r="I8182" s="1" t="e">
        <f t="shared" si="2"/>
        <v>#VALUE!</v>
      </c>
    </row>
    <row r="8183" spans="1:9" ht="15.75" customHeight="1">
      <c r="A8183" s="26"/>
      <c r="B8183" s="2"/>
      <c r="C8183" s="26"/>
      <c r="D8183" s="26"/>
      <c r="F8183" s="85" t="str">
        <f t="shared" si="0"/>
        <v/>
      </c>
      <c r="G8183" s="1" t="e">
        <f>IF(VALUE(F8183) = VALUE(RIGHT(Insights!$C$3, 4)), E8183, "")</f>
        <v>#VALUE!</v>
      </c>
      <c r="H8183" s="26" t="e">
        <f t="shared" si="1"/>
        <v>#VALUE!</v>
      </c>
      <c r="I8183" s="1" t="e">
        <f t="shared" si="2"/>
        <v>#VALUE!</v>
      </c>
    </row>
    <row r="8184" spans="1:9" ht="15.75" customHeight="1">
      <c r="A8184" s="26"/>
      <c r="B8184" s="2"/>
      <c r="C8184" s="26"/>
      <c r="D8184" s="26"/>
      <c r="F8184" s="85" t="str">
        <f t="shared" si="0"/>
        <v/>
      </c>
      <c r="G8184" s="1" t="e">
        <f>IF(VALUE(F8184) = VALUE(RIGHT(Insights!$C$3, 4)), E8184, "")</f>
        <v>#VALUE!</v>
      </c>
      <c r="H8184" s="26" t="e">
        <f t="shared" si="1"/>
        <v>#VALUE!</v>
      </c>
      <c r="I8184" s="1" t="e">
        <f t="shared" si="2"/>
        <v>#VALUE!</v>
      </c>
    </row>
    <row r="8185" spans="1:9" ht="15.75" customHeight="1">
      <c r="A8185" s="26"/>
      <c r="B8185" s="2"/>
      <c r="C8185" s="26"/>
      <c r="D8185" s="26"/>
      <c r="F8185" s="85" t="str">
        <f t="shared" si="0"/>
        <v/>
      </c>
      <c r="G8185" s="1" t="e">
        <f>IF(VALUE(F8185) = VALUE(RIGHT(Insights!$C$3, 4)), E8185, "")</f>
        <v>#VALUE!</v>
      </c>
      <c r="H8185" s="26" t="e">
        <f t="shared" si="1"/>
        <v>#VALUE!</v>
      </c>
      <c r="I8185" s="1" t="e">
        <f t="shared" si="2"/>
        <v>#VALUE!</v>
      </c>
    </row>
    <row r="8186" spans="1:9" ht="15.75" customHeight="1">
      <c r="A8186" s="26"/>
      <c r="B8186" s="2"/>
      <c r="C8186" s="26"/>
      <c r="D8186" s="26"/>
      <c r="F8186" s="85" t="str">
        <f t="shared" si="0"/>
        <v/>
      </c>
      <c r="G8186" s="1" t="e">
        <f>IF(VALUE(F8186) = VALUE(RIGHT(Insights!$C$3, 4)), E8186, "")</f>
        <v>#VALUE!</v>
      </c>
      <c r="H8186" s="26" t="e">
        <f t="shared" si="1"/>
        <v>#VALUE!</v>
      </c>
      <c r="I8186" s="1" t="e">
        <f t="shared" si="2"/>
        <v>#VALUE!</v>
      </c>
    </row>
    <row r="8187" spans="1:9" ht="15.75" customHeight="1">
      <c r="A8187" s="26"/>
      <c r="B8187" s="2"/>
      <c r="C8187" s="26"/>
      <c r="D8187" s="26"/>
      <c r="F8187" s="85" t="str">
        <f t="shared" si="0"/>
        <v/>
      </c>
      <c r="G8187" s="1" t="e">
        <f>IF(VALUE(F8187) = VALUE(RIGHT(Insights!$C$3, 4)), E8187, "")</f>
        <v>#VALUE!</v>
      </c>
      <c r="H8187" s="26" t="e">
        <f t="shared" si="1"/>
        <v>#VALUE!</v>
      </c>
      <c r="I8187" s="1" t="e">
        <f t="shared" si="2"/>
        <v>#VALUE!</v>
      </c>
    </row>
    <row r="8188" spans="1:9" ht="15.75" customHeight="1">
      <c r="A8188" s="26"/>
      <c r="B8188" s="2"/>
      <c r="C8188" s="26"/>
      <c r="D8188" s="26"/>
      <c r="F8188" s="85" t="str">
        <f t="shared" si="0"/>
        <v/>
      </c>
      <c r="G8188" s="1" t="e">
        <f>IF(VALUE(F8188) = VALUE(RIGHT(Insights!$C$3, 4)), E8188, "")</f>
        <v>#VALUE!</v>
      </c>
      <c r="H8188" s="26" t="e">
        <f t="shared" si="1"/>
        <v>#VALUE!</v>
      </c>
      <c r="I8188" s="1" t="e">
        <f t="shared" si="2"/>
        <v>#VALUE!</v>
      </c>
    </row>
    <row r="8189" spans="1:9" ht="15.75" customHeight="1">
      <c r="A8189" s="26"/>
      <c r="B8189" s="2"/>
      <c r="C8189" s="26"/>
      <c r="D8189" s="26"/>
      <c r="F8189" s="85" t="str">
        <f t="shared" si="0"/>
        <v/>
      </c>
      <c r="G8189" s="1" t="e">
        <f>IF(VALUE(F8189) = VALUE(RIGHT(Insights!$C$3, 4)), E8189, "")</f>
        <v>#VALUE!</v>
      </c>
      <c r="H8189" s="26" t="e">
        <f t="shared" si="1"/>
        <v>#VALUE!</v>
      </c>
      <c r="I8189" s="1" t="e">
        <f t="shared" si="2"/>
        <v>#VALUE!</v>
      </c>
    </row>
    <row r="8190" spans="1:9" ht="15.75" customHeight="1">
      <c r="A8190" s="26"/>
      <c r="B8190" s="2"/>
      <c r="C8190" s="26"/>
      <c r="D8190" s="26"/>
      <c r="F8190" s="85" t="str">
        <f t="shared" si="0"/>
        <v/>
      </c>
      <c r="G8190" s="1" t="e">
        <f>IF(VALUE(F8190) = VALUE(RIGHT(Insights!$C$3, 4)), E8190, "")</f>
        <v>#VALUE!</v>
      </c>
      <c r="H8190" s="26" t="e">
        <f t="shared" si="1"/>
        <v>#VALUE!</v>
      </c>
      <c r="I8190" s="1" t="e">
        <f t="shared" si="2"/>
        <v>#VALUE!</v>
      </c>
    </row>
    <row r="8191" spans="1:9" ht="15.75" customHeight="1">
      <c r="A8191" s="26"/>
      <c r="B8191" s="2"/>
      <c r="C8191" s="26"/>
      <c r="D8191" s="26"/>
      <c r="F8191" s="85" t="str">
        <f t="shared" si="0"/>
        <v/>
      </c>
      <c r="G8191" s="1" t="e">
        <f>IF(VALUE(F8191) = VALUE(RIGHT(Insights!$C$3, 4)), E8191, "")</f>
        <v>#VALUE!</v>
      </c>
      <c r="H8191" s="26" t="e">
        <f t="shared" si="1"/>
        <v>#VALUE!</v>
      </c>
      <c r="I8191" s="1" t="e">
        <f t="shared" si="2"/>
        <v>#VALUE!</v>
      </c>
    </row>
    <row r="8192" spans="1:9" ht="15.75" customHeight="1">
      <c r="A8192" s="26"/>
      <c r="B8192" s="2"/>
      <c r="C8192" s="26"/>
      <c r="D8192" s="26"/>
      <c r="F8192" s="85" t="str">
        <f t="shared" si="0"/>
        <v/>
      </c>
      <c r="G8192" s="1" t="e">
        <f>IF(VALUE(F8192) = VALUE(RIGHT(Insights!$C$3, 4)), E8192, "")</f>
        <v>#VALUE!</v>
      </c>
      <c r="H8192" s="26" t="e">
        <f t="shared" si="1"/>
        <v>#VALUE!</v>
      </c>
      <c r="I8192" s="1" t="e">
        <f t="shared" si="2"/>
        <v>#VALUE!</v>
      </c>
    </row>
    <row r="8193" spans="1:9" ht="15.75" customHeight="1">
      <c r="A8193" s="26"/>
      <c r="B8193" s="2"/>
      <c r="C8193" s="26"/>
      <c r="D8193" s="26"/>
      <c r="F8193" s="85" t="str">
        <f t="shared" si="0"/>
        <v/>
      </c>
      <c r="G8193" s="1" t="e">
        <f>IF(VALUE(F8193) = VALUE(RIGHT(Insights!$C$3, 4)), E8193, "")</f>
        <v>#VALUE!</v>
      </c>
      <c r="H8193" s="26" t="e">
        <f t="shared" si="1"/>
        <v>#VALUE!</v>
      </c>
      <c r="I8193" s="1" t="e">
        <f t="shared" si="2"/>
        <v>#VALUE!</v>
      </c>
    </row>
    <row r="8194" spans="1:9" ht="15.75" customHeight="1">
      <c r="A8194" s="26"/>
      <c r="B8194" s="2"/>
      <c r="C8194" s="26"/>
      <c r="D8194" s="26"/>
      <c r="F8194" s="85" t="str">
        <f t="shared" si="0"/>
        <v/>
      </c>
      <c r="G8194" s="1" t="e">
        <f>IF(VALUE(F8194) = VALUE(RIGHT(Insights!$C$3, 4)), E8194, "")</f>
        <v>#VALUE!</v>
      </c>
      <c r="H8194" s="26" t="e">
        <f t="shared" si="1"/>
        <v>#VALUE!</v>
      </c>
      <c r="I8194" s="1" t="e">
        <f t="shared" si="2"/>
        <v>#VALUE!</v>
      </c>
    </row>
    <row r="8195" spans="1:9" ht="15.75" customHeight="1">
      <c r="A8195" s="26"/>
      <c r="B8195" s="2"/>
      <c r="C8195" s="26"/>
      <c r="D8195" s="26"/>
      <c r="F8195" s="85" t="str">
        <f t="shared" si="0"/>
        <v/>
      </c>
      <c r="G8195" s="1" t="e">
        <f>IF(VALUE(F8195) = VALUE(RIGHT(Insights!$C$3, 4)), E8195, "")</f>
        <v>#VALUE!</v>
      </c>
      <c r="H8195" s="26" t="e">
        <f t="shared" si="1"/>
        <v>#VALUE!</v>
      </c>
      <c r="I8195" s="1" t="e">
        <f t="shared" si="2"/>
        <v>#VALUE!</v>
      </c>
    </row>
    <row r="8196" spans="1:9" ht="15.75" customHeight="1">
      <c r="A8196" s="26"/>
      <c r="B8196" s="2"/>
      <c r="C8196" s="26"/>
      <c r="D8196" s="26"/>
      <c r="F8196" s="85" t="str">
        <f t="shared" si="0"/>
        <v/>
      </c>
      <c r="G8196" s="1" t="e">
        <f>IF(VALUE(F8196) = VALUE(RIGHT(Insights!$C$3, 4)), E8196, "")</f>
        <v>#VALUE!</v>
      </c>
      <c r="H8196" s="26" t="e">
        <f t="shared" si="1"/>
        <v>#VALUE!</v>
      </c>
      <c r="I8196" s="1" t="e">
        <f t="shared" si="2"/>
        <v>#VALUE!</v>
      </c>
    </row>
    <row r="8197" spans="1:9" ht="15.75" customHeight="1">
      <c r="A8197" s="26"/>
      <c r="B8197" s="2"/>
      <c r="C8197" s="26"/>
      <c r="D8197" s="26"/>
      <c r="F8197" s="85" t="str">
        <f t="shared" si="0"/>
        <v/>
      </c>
      <c r="G8197" s="1" t="e">
        <f>IF(VALUE(F8197) = VALUE(RIGHT(Insights!$C$3, 4)), E8197, "")</f>
        <v>#VALUE!</v>
      </c>
      <c r="H8197" s="26" t="e">
        <f t="shared" si="1"/>
        <v>#VALUE!</v>
      </c>
      <c r="I8197" s="1" t="e">
        <f t="shared" si="2"/>
        <v>#VALUE!</v>
      </c>
    </row>
    <row r="8198" spans="1:9" ht="15.75" customHeight="1">
      <c r="A8198" s="26"/>
      <c r="B8198" s="2"/>
      <c r="C8198" s="26"/>
      <c r="D8198" s="26"/>
      <c r="F8198" s="85" t="str">
        <f t="shared" si="0"/>
        <v/>
      </c>
      <c r="G8198" s="1" t="e">
        <f>IF(VALUE(F8198) = VALUE(RIGHT(Insights!$C$3, 4)), E8198, "")</f>
        <v>#VALUE!</v>
      </c>
      <c r="H8198" s="26" t="e">
        <f t="shared" si="1"/>
        <v>#VALUE!</v>
      </c>
      <c r="I8198" s="1" t="e">
        <f t="shared" si="2"/>
        <v>#VALUE!</v>
      </c>
    </row>
    <row r="8199" spans="1:9" ht="15.75" customHeight="1">
      <c r="A8199" s="26"/>
      <c r="B8199" s="2"/>
      <c r="C8199" s="26"/>
      <c r="D8199" s="26"/>
      <c r="F8199" s="85" t="str">
        <f t="shared" si="0"/>
        <v/>
      </c>
      <c r="G8199" s="1" t="e">
        <f>IF(VALUE(F8199) = VALUE(RIGHT(Insights!$C$3, 4)), E8199, "")</f>
        <v>#VALUE!</v>
      </c>
      <c r="H8199" s="26" t="e">
        <f t="shared" si="1"/>
        <v>#VALUE!</v>
      </c>
      <c r="I8199" s="1" t="e">
        <f t="shared" si="2"/>
        <v>#VALUE!</v>
      </c>
    </row>
    <row r="8200" spans="1:9" ht="15.75" customHeight="1">
      <c r="A8200" s="26"/>
      <c r="B8200" s="2"/>
      <c r="C8200" s="26"/>
      <c r="D8200" s="26"/>
      <c r="F8200" s="85" t="str">
        <f t="shared" si="0"/>
        <v/>
      </c>
      <c r="G8200" s="1" t="e">
        <f>IF(VALUE(F8200) = VALUE(RIGHT(Insights!$C$3, 4)), E8200, "")</f>
        <v>#VALUE!</v>
      </c>
      <c r="H8200" s="26" t="e">
        <f t="shared" si="1"/>
        <v>#VALUE!</v>
      </c>
      <c r="I8200" s="1" t="e">
        <f t="shared" si="2"/>
        <v>#VALUE!</v>
      </c>
    </row>
    <row r="8201" spans="1:9" ht="15.75" customHeight="1">
      <c r="A8201" s="26"/>
      <c r="B8201" s="2"/>
      <c r="C8201" s="26"/>
      <c r="D8201" s="26"/>
      <c r="F8201" s="85" t="str">
        <f t="shared" si="0"/>
        <v/>
      </c>
      <c r="G8201" s="1" t="e">
        <f>IF(VALUE(F8201) = VALUE(RIGHT(Insights!$C$3, 4)), E8201, "")</f>
        <v>#VALUE!</v>
      </c>
      <c r="H8201" s="26" t="e">
        <f t="shared" si="1"/>
        <v>#VALUE!</v>
      </c>
      <c r="I8201" s="1" t="e">
        <f t="shared" si="2"/>
        <v>#VALUE!</v>
      </c>
    </row>
    <row r="8202" spans="1:9" ht="15.75" customHeight="1">
      <c r="A8202" s="26"/>
      <c r="B8202" s="2"/>
      <c r="C8202" s="26"/>
      <c r="D8202" s="26"/>
      <c r="F8202" s="85" t="str">
        <f t="shared" si="0"/>
        <v/>
      </c>
      <c r="G8202" s="1" t="e">
        <f>IF(VALUE(F8202) = VALUE(RIGHT(Insights!$C$3, 4)), E8202, "")</f>
        <v>#VALUE!</v>
      </c>
      <c r="H8202" s="26" t="e">
        <f t="shared" si="1"/>
        <v>#VALUE!</v>
      </c>
      <c r="I8202" s="1" t="e">
        <f t="shared" si="2"/>
        <v>#VALUE!</v>
      </c>
    </row>
    <row r="8203" spans="1:9" ht="15.75" customHeight="1">
      <c r="A8203" s="26"/>
      <c r="B8203" s="2"/>
      <c r="C8203" s="26"/>
      <c r="D8203" s="26"/>
      <c r="F8203" s="85" t="str">
        <f t="shared" si="0"/>
        <v/>
      </c>
      <c r="G8203" s="1" t="e">
        <f>IF(VALUE(F8203) = VALUE(RIGHT(Insights!$C$3, 4)), E8203, "")</f>
        <v>#VALUE!</v>
      </c>
      <c r="H8203" s="26" t="e">
        <f t="shared" si="1"/>
        <v>#VALUE!</v>
      </c>
      <c r="I8203" s="1" t="e">
        <f t="shared" si="2"/>
        <v>#VALUE!</v>
      </c>
    </row>
    <row r="8204" spans="1:9" ht="15.75" customHeight="1">
      <c r="A8204" s="26"/>
      <c r="B8204" s="2"/>
      <c r="C8204" s="26"/>
      <c r="D8204" s="26"/>
      <c r="F8204" s="85" t="str">
        <f t="shared" si="0"/>
        <v/>
      </c>
      <c r="G8204" s="1" t="e">
        <f>IF(VALUE(F8204) = VALUE(RIGHT(Insights!$C$3, 4)), E8204, "")</f>
        <v>#VALUE!</v>
      </c>
      <c r="H8204" s="26" t="e">
        <f t="shared" si="1"/>
        <v>#VALUE!</v>
      </c>
      <c r="I8204" s="1" t="e">
        <f t="shared" si="2"/>
        <v>#VALUE!</v>
      </c>
    </row>
    <row r="8205" spans="1:9" ht="15.75" customHeight="1">
      <c r="A8205" s="26"/>
      <c r="B8205" s="2"/>
      <c r="C8205" s="26"/>
      <c r="D8205" s="26"/>
      <c r="F8205" s="85" t="str">
        <f t="shared" si="0"/>
        <v/>
      </c>
      <c r="G8205" s="1" t="e">
        <f>IF(VALUE(F8205) = VALUE(RIGHT(Insights!$C$3, 4)), E8205, "")</f>
        <v>#VALUE!</v>
      </c>
      <c r="H8205" s="26" t="e">
        <f t="shared" si="1"/>
        <v>#VALUE!</v>
      </c>
      <c r="I8205" s="1" t="e">
        <f t="shared" si="2"/>
        <v>#VALUE!</v>
      </c>
    </row>
    <row r="8206" spans="1:9" ht="15.75" customHeight="1">
      <c r="A8206" s="26"/>
      <c r="B8206" s="2"/>
      <c r="C8206" s="26"/>
      <c r="D8206" s="26"/>
      <c r="F8206" s="85" t="str">
        <f t="shared" si="0"/>
        <v/>
      </c>
      <c r="G8206" s="1" t="e">
        <f>IF(VALUE(F8206) = VALUE(RIGHT(Insights!$C$3, 4)), E8206, "")</f>
        <v>#VALUE!</v>
      </c>
      <c r="H8206" s="26" t="e">
        <f t="shared" si="1"/>
        <v>#VALUE!</v>
      </c>
      <c r="I8206" s="1" t="e">
        <f t="shared" si="2"/>
        <v>#VALUE!</v>
      </c>
    </row>
    <row r="8207" spans="1:9" ht="15.75" customHeight="1">
      <c r="A8207" s="26"/>
      <c r="B8207" s="2"/>
      <c r="C8207" s="26"/>
      <c r="D8207" s="26"/>
      <c r="F8207" s="85" t="str">
        <f t="shared" si="0"/>
        <v/>
      </c>
      <c r="G8207" s="1" t="e">
        <f>IF(VALUE(F8207) = VALUE(RIGHT(Insights!$C$3, 4)), E8207, "")</f>
        <v>#VALUE!</v>
      </c>
      <c r="H8207" s="26" t="e">
        <f t="shared" si="1"/>
        <v>#VALUE!</v>
      </c>
      <c r="I8207" s="1" t="e">
        <f t="shared" si="2"/>
        <v>#VALUE!</v>
      </c>
    </row>
    <row r="8208" spans="1:9" ht="15.75" customHeight="1">
      <c r="A8208" s="26"/>
      <c r="B8208" s="2"/>
      <c r="C8208" s="26"/>
      <c r="D8208" s="26"/>
      <c r="F8208" s="85" t="str">
        <f t="shared" si="0"/>
        <v/>
      </c>
      <c r="G8208" s="1" t="e">
        <f>IF(VALUE(F8208) = VALUE(RIGHT(Insights!$C$3, 4)), E8208, "")</f>
        <v>#VALUE!</v>
      </c>
      <c r="H8208" s="26" t="e">
        <f t="shared" si="1"/>
        <v>#VALUE!</v>
      </c>
      <c r="I8208" s="1" t="e">
        <f t="shared" si="2"/>
        <v>#VALUE!</v>
      </c>
    </row>
    <row r="8209" spans="1:9" ht="15.75" customHeight="1">
      <c r="A8209" s="26"/>
      <c r="B8209" s="2"/>
      <c r="C8209" s="26"/>
      <c r="D8209" s="26"/>
      <c r="F8209" s="85" t="str">
        <f t="shared" si="0"/>
        <v/>
      </c>
      <c r="G8209" s="1" t="e">
        <f>IF(VALUE(F8209) = VALUE(RIGHT(Insights!$C$3, 4)), E8209, "")</f>
        <v>#VALUE!</v>
      </c>
      <c r="H8209" s="26" t="e">
        <f t="shared" si="1"/>
        <v>#VALUE!</v>
      </c>
      <c r="I8209" s="1" t="e">
        <f t="shared" si="2"/>
        <v>#VALUE!</v>
      </c>
    </row>
    <row r="8210" spans="1:9" ht="15.75" customHeight="1">
      <c r="A8210" s="26"/>
      <c r="B8210" s="2"/>
      <c r="C8210" s="26"/>
      <c r="D8210" s="26"/>
      <c r="F8210" s="85" t="str">
        <f t="shared" si="0"/>
        <v/>
      </c>
      <c r="G8210" s="1" t="e">
        <f>IF(VALUE(F8210) = VALUE(RIGHT(Insights!$C$3, 4)), E8210, "")</f>
        <v>#VALUE!</v>
      </c>
      <c r="H8210" s="26" t="e">
        <f t="shared" si="1"/>
        <v>#VALUE!</v>
      </c>
      <c r="I8210" s="1" t="e">
        <f t="shared" si="2"/>
        <v>#VALUE!</v>
      </c>
    </row>
    <row r="8211" spans="1:9" ht="15.75" customHeight="1">
      <c r="A8211" s="26"/>
      <c r="B8211" s="2"/>
      <c r="C8211" s="26"/>
      <c r="D8211" s="26"/>
      <c r="F8211" s="85" t="str">
        <f t="shared" si="0"/>
        <v/>
      </c>
      <c r="G8211" s="1" t="e">
        <f>IF(VALUE(F8211) = VALUE(RIGHT(Insights!$C$3, 4)), E8211, "")</f>
        <v>#VALUE!</v>
      </c>
      <c r="H8211" s="26" t="e">
        <f t="shared" si="1"/>
        <v>#VALUE!</v>
      </c>
      <c r="I8211" s="1" t="e">
        <f t="shared" si="2"/>
        <v>#VALUE!</v>
      </c>
    </row>
    <row r="8212" spans="1:9" ht="15.75" customHeight="1">
      <c r="A8212" s="26"/>
      <c r="B8212" s="2"/>
      <c r="C8212" s="26"/>
      <c r="D8212" s="26"/>
      <c r="F8212" s="85" t="str">
        <f t="shared" si="0"/>
        <v/>
      </c>
      <c r="G8212" s="1" t="e">
        <f>IF(VALUE(F8212) = VALUE(RIGHT(Insights!$C$3, 4)), E8212, "")</f>
        <v>#VALUE!</v>
      </c>
      <c r="H8212" s="26" t="e">
        <f t="shared" si="1"/>
        <v>#VALUE!</v>
      </c>
      <c r="I8212" s="1" t="e">
        <f t="shared" si="2"/>
        <v>#VALUE!</v>
      </c>
    </row>
    <row r="8213" spans="1:9" ht="15.75" customHeight="1">
      <c r="A8213" s="26"/>
      <c r="B8213" s="2"/>
      <c r="C8213" s="26"/>
      <c r="D8213" s="26"/>
      <c r="F8213" s="85" t="str">
        <f t="shared" si="0"/>
        <v/>
      </c>
      <c r="G8213" s="1" t="e">
        <f>IF(VALUE(F8213) = VALUE(RIGHT(Insights!$C$3, 4)), E8213, "")</f>
        <v>#VALUE!</v>
      </c>
      <c r="H8213" s="26" t="e">
        <f t="shared" si="1"/>
        <v>#VALUE!</v>
      </c>
      <c r="I8213" s="1" t="e">
        <f t="shared" si="2"/>
        <v>#VALUE!</v>
      </c>
    </row>
    <row r="8214" spans="1:9" ht="15.75" customHeight="1">
      <c r="A8214" s="26"/>
      <c r="B8214" s="2"/>
      <c r="C8214" s="26"/>
      <c r="D8214" s="26"/>
      <c r="F8214" s="85" t="str">
        <f t="shared" si="0"/>
        <v/>
      </c>
      <c r="G8214" s="1" t="e">
        <f>IF(VALUE(F8214) = VALUE(RIGHT(Insights!$C$3, 4)), E8214, "")</f>
        <v>#VALUE!</v>
      </c>
      <c r="H8214" s="26" t="e">
        <f t="shared" si="1"/>
        <v>#VALUE!</v>
      </c>
      <c r="I8214" s="1" t="e">
        <f t="shared" si="2"/>
        <v>#VALUE!</v>
      </c>
    </row>
    <row r="8215" spans="1:9" ht="15.75" customHeight="1">
      <c r="A8215" s="26"/>
      <c r="B8215" s="2"/>
      <c r="C8215" s="26"/>
      <c r="D8215" s="26"/>
      <c r="F8215" s="85" t="str">
        <f t="shared" si="0"/>
        <v/>
      </c>
      <c r="G8215" s="1" t="e">
        <f>IF(VALUE(F8215) = VALUE(RIGHT(Insights!$C$3, 4)), E8215, "")</f>
        <v>#VALUE!</v>
      </c>
      <c r="H8215" s="26" t="e">
        <f t="shared" si="1"/>
        <v>#VALUE!</v>
      </c>
      <c r="I8215" s="1" t="e">
        <f t="shared" si="2"/>
        <v>#VALUE!</v>
      </c>
    </row>
    <row r="8216" spans="1:9" ht="15.75" customHeight="1">
      <c r="A8216" s="26"/>
      <c r="B8216" s="2"/>
      <c r="C8216" s="26"/>
      <c r="D8216" s="26"/>
      <c r="F8216" s="85" t="str">
        <f t="shared" si="0"/>
        <v/>
      </c>
      <c r="G8216" s="1" t="e">
        <f>IF(VALUE(F8216) = VALUE(RIGHT(Insights!$C$3, 4)), E8216, "")</f>
        <v>#VALUE!</v>
      </c>
      <c r="H8216" s="26" t="e">
        <f t="shared" si="1"/>
        <v>#VALUE!</v>
      </c>
      <c r="I8216" s="1" t="e">
        <f t="shared" si="2"/>
        <v>#VALUE!</v>
      </c>
    </row>
    <row r="8217" spans="1:9" ht="15.75" customHeight="1">
      <c r="A8217" s="26"/>
      <c r="B8217" s="2"/>
      <c r="C8217" s="26"/>
      <c r="D8217" s="26"/>
      <c r="F8217" s="85" t="str">
        <f t="shared" si="0"/>
        <v/>
      </c>
      <c r="G8217" s="1" t="e">
        <f>IF(VALUE(F8217) = VALUE(RIGHT(Insights!$C$3, 4)), E8217, "")</f>
        <v>#VALUE!</v>
      </c>
      <c r="H8217" s="26" t="e">
        <f t="shared" si="1"/>
        <v>#VALUE!</v>
      </c>
      <c r="I8217" s="1" t="e">
        <f t="shared" si="2"/>
        <v>#VALUE!</v>
      </c>
    </row>
    <row r="8218" spans="1:9" ht="15.75" customHeight="1">
      <c r="A8218" s="26"/>
      <c r="B8218" s="2"/>
      <c r="C8218" s="26"/>
      <c r="D8218" s="26"/>
      <c r="F8218" s="85" t="str">
        <f t="shared" si="0"/>
        <v/>
      </c>
      <c r="G8218" s="1" t="e">
        <f>IF(VALUE(F8218) = VALUE(RIGHT(Insights!$C$3, 4)), E8218, "")</f>
        <v>#VALUE!</v>
      </c>
      <c r="H8218" s="26" t="e">
        <f t="shared" si="1"/>
        <v>#VALUE!</v>
      </c>
      <c r="I8218" s="1" t="e">
        <f t="shared" si="2"/>
        <v>#VALUE!</v>
      </c>
    </row>
    <row r="8219" spans="1:9" ht="15.75" customHeight="1">
      <c r="A8219" s="26"/>
      <c r="B8219" s="2"/>
      <c r="C8219" s="26"/>
      <c r="D8219" s="26"/>
      <c r="F8219" s="85" t="str">
        <f t="shared" si="0"/>
        <v/>
      </c>
      <c r="G8219" s="1" t="e">
        <f>IF(VALUE(F8219) = VALUE(RIGHT(Insights!$C$3, 4)), E8219, "")</f>
        <v>#VALUE!</v>
      </c>
      <c r="H8219" s="26" t="e">
        <f t="shared" si="1"/>
        <v>#VALUE!</v>
      </c>
      <c r="I8219" s="1" t="e">
        <f t="shared" si="2"/>
        <v>#VALUE!</v>
      </c>
    </row>
    <row r="8220" spans="1:9" ht="15.75" customHeight="1">
      <c r="A8220" s="26"/>
      <c r="B8220" s="2"/>
      <c r="C8220" s="26"/>
      <c r="D8220" s="26"/>
      <c r="F8220" s="85" t="str">
        <f t="shared" si="0"/>
        <v/>
      </c>
      <c r="G8220" s="1" t="e">
        <f>IF(VALUE(F8220) = VALUE(RIGHT(Insights!$C$3, 4)), E8220, "")</f>
        <v>#VALUE!</v>
      </c>
      <c r="H8220" s="26" t="e">
        <f t="shared" si="1"/>
        <v>#VALUE!</v>
      </c>
      <c r="I8220" s="1" t="e">
        <f t="shared" si="2"/>
        <v>#VALUE!</v>
      </c>
    </row>
    <row r="8221" spans="1:9" ht="15.75" customHeight="1">
      <c r="A8221" s="26"/>
      <c r="B8221" s="2"/>
      <c r="C8221" s="26"/>
      <c r="D8221" s="26"/>
      <c r="F8221" s="85" t="str">
        <f t="shared" si="0"/>
        <v/>
      </c>
      <c r="G8221" s="1" t="e">
        <f>IF(VALUE(F8221) = VALUE(RIGHT(Insights!$C$3, 4)), E8221, "")</f>
        <v>#VALUE!</v>
      </c>
      <c r="H8221" s="26" t="e">
        <f t="shared" si="1"/>
        <v>#VALUE!</v>
      </c>
      <c r="I8221" s="1" t="e">
        <f t="shared" si="2"/>
        <v>#VALUE!</v>
      </c>
    </row>
    <row r="8222" spans="1:9" ht="15.75" customHeight="1">
      <c r="A8222" s="26"/>
      <c r="B8222" s="2"/>
      <c r="C8222" s="26"/>
      <c r="D8222" s="26"/>
      <c r="F8222" s="85" t="str">
        <f t="shared" si="0"/>
        <v/>
      </c>
      <c r="G8222" s="1" t="e">
        <f>IF(VALUE(F8222) = VALUE(RIGHT(Insights!$C$3, 4)), E8222, "")</f>
        <v>#VALUE!</v>
      </c>
      <c r="H8222" s="26" t="e">
        <f t="shared" si="1"/>
        <v>#VALUE!</v>
      </c>
      <c r="I8222" s="1" t="e">
        <f t="shared" si="2"/>
        <v>#VALUE!</v>
      </c>
    </row>
    <row r="8223" spans="1:9" ht="15.75" customHeight="1">
      <c r="A8223" s="26"/>
      <c r="B8223" s="2"/>
      <c r="C8223" s="26"/>
      <c r="D8223" s="26"/>
      <c r="F8223" s="85" t="str">
        <f t="shared" si="0"/>
        <v/>
      </c>
      <c r="G8223" s="1" t="e">
        <f>IF(VALUE(F8223) = VALUE(RIGHT(Insights!$C$3, 4)), E8223, "")</f>
        <v>#VALUE!</v>
      </c>
      <c r="H8223" s="26" t="e">
        <f t="shared" si="1"/>
        <v>#VALUE!</v>
      </c>
      <c r="I8223" s="1" t="e">
        <f t="shared" si="2"/>
        <v>#VALUE!</v>
      </c>
    </row>
    <row r="8224" spans="1:9" ht="15.75" customHeight="1">
      <c r="A8224" s="26"/>
      <c r="B8224" s="2"/>
      <c r="C8224" s="26"/>
      <c r="D8224" s="26"/>
      <c r="F8224" s="85" t="str">
        <f t="shared" si="0"/>
        <v/>
      </c>
      <c r="G8224" s="1" t="e">
        <f>IF(VALUE(F8224) = VALUE(RIGHT(Insights!$C$3, 4)), E8224, "")</f>
        <v>#VALUE!</v>
      </c>
      <c r="H8224" s="26" t="e">
        <f t="shared" si="1"/>
        <v>#VALUE!</v>
      </c>
      <c r="I8224" s="1" t="e">
        <f t="shared" si="2"/>
        <v>#VALUE!</v>
      </c>
    </row>
    <row r="8225" spans="1:9" ht="15.75" customHeight="1">
      <c r="A8225" s="26"/>
      <c r="B8225" s="2"/>
      <c r="C8225" s="26"/>
      <c r="D8225" s="26"/>
      <c r="F8225" s="85" t="str">
        <f t="shared" si="0"/>
        <v/>
      </c>
      <c r="G8225" s="1" t="e">
        <f>IF(VALUE(F8225) = VALUE(RIGHT(Insights!$C$3, 4)), E8225, "")</f>
        <v>#VALUE!</v>
      </c>
      <c r="H8225" s="26" t="e">
        <f t="shared" si="1"/>
        <v>#VALUE!</v>
      </c>
      <c r="I8225" s="1" t="e">
        <f t="shared" si="2"/>
        <v>#VALUE!</v>
      </c>
    </row>
    <row r="8226" spans="1:9" ht="15.75" customHeight="1">
      <c r="A8226" s="26"/>
      <c r="B8226" s="2"/>
      <c r="C8226" s="26"/>
      <c r="D8226" s="26"/>
      <c r="F8226" s="85" t="str">
        <f t="shared" si="0"/>
        <v/>
      </c>
      <c r="G8226" s="1" t="e">
        <f>IF(VALUE(F8226) = VALUE(RIGHT(Insights!$C$3, 4)), E8226, "")</f>
        <v>#VALUE!</v>
      </c>
      <c r="H8226" s="26" t="e">
        <f t="shared" si="1"/>
        <v>#VALUE!</v>
      </c>
      <c r="I8226" s="1" t="e">
        <f t="shared" si="2"/>
        <v>#VALUE!</v>
      </c>
    </row>
    <row r="8227" spans="1:9" ht="15.75" customHeight="1">
      <c r="A8227" s="26"/>
      <c r="B8227" s="2"/>
      <c r="C8227" s="26"/>
      <c r="D8227" s="26"/>
      <c r="F8227" s="85" t="str">
        <f t="shared" si="0"/>
        <v/>
      </c>
      <c r="G8227" s="1" t="e">
        <f>IF(VALUE(F8227) = VALUE(RIGHT(Insights!$C$3, 4)), E8227, "")</f>
        <v>#VALUE!</v>
      </c>
      <c r="H8227" s="26" t="e">
        <f t="shared" si="1"/>
        <v>#VALUE!</v>
      </c>
      <c r="I8227" s="1" t="e">
        <f t="shared" si="2"/>
        <v>#VALUE!</v>
      </c>
    </row>
    <row r="8228" spans="1:9" ht="15.75" customHeight="1">
      <c r="A8228" s="26"/>
      <c r="B8228" s="2"/>
      <c r="C8228" s="26"/>
      <c r="D8228" s="26"/>
      <c r="F8228" s="85" t="str">
        <f t="shared" si="0"/>
        <v/>
      </c>
      <c r="G8228" s="1" t="e">
        <f>IF(VALUE(F8228) = VALUE(RIGHT(Insights!$C$3, 4)), E8228, "")</f>
        <v>#VALUE!</v>
      </c>
      <c r="H8228" s="26" t="e">
        <f t="shared" si="1"/>
        <v>#VALUE!</v>
      </c>
      <c r="I8228" s="1" t="e">
        <f t="shared" si="2"/>
        <v>#VALUE!</v>
      </c>
    </row>
    <row r="8229" spans="1:9" ht="15.75" customHeight="1">
      <c r="A8229" s="26"/>
      <c r="B8229" s="2"/>
      <c r="C8229" s="26"/>
      <c r="D8229" s="26"/>
      <c r="F8229" s="85" t="str">
        <f t="shared" si="0"/>
        <v/>
      </c>
      <c r="G8229" s="1" t="e">
        <f>IF(VALUE(F8229) = VALUE(RIGHT(Insights!$C$3, 4)), E8229, "")</f>
        <v>#VALUE!</v>
      </c>
      <c r="H8229" s="26" t="e">
        <f t="shared" si="1"/>
        <v>#VALUE!</v>
      </c>
      <c r="I8229" s="1" t="e">
        <f t="shared" si="2"/>
        <v>#VALUE!</v>
      </c>
    </row>
    <row r="8230" spans="1:9" ht="15.75" customHeight="1">
      <c r="A8230" s="26"/>
      <c r="B8230" s="2"/>
      <c r="C8230" s="26"/>
      <c r="D8230" s="26"/>
      <c r="F8230" s="85" t="str">
        <f t="shared" si="0"/>
        <v/>
      </c>
      <c r="G8230" s="1" t="e">
        <f>IF(VALUE(F8230) = VALUE(RIGHT(Insights!$C$3, 4)), E8230, "")</f>
        <v>#VALUE!</v>
      </c>
      <c r="H8230" s="26" t="e">
        <f t="shared" si="1"/>
        <v>#VALUE!</v>
      </c>
      <c r="I8230" s="1" t="e">
        <f t="shared" si="2"/>
        <v>#VALUE!</v>
      </c>
    </row>
    <row r="8231" spans="1:9" ht="15.75" customHeight="1">
      <c r="A8231" s="26"/>
      <c r="B8231" s="2"/>
      <c r="C8231" s="26"/>
      <c r="D8231" s="26"/>
      <c r="F8231" s="85" t="str">
        <f t="shared" si="0"/>
        <v/>
      </c>
      <c r="G8231" s="1" t="e">
        <f>IF(VALUE(F8231) = VALUE(RIGHT(Insights!$C$3, 4)), E8231, "")</f>
        <v>#VALUE!</v>
      </c>
      <c r="H8231" s="26" t="e">
        <f t="shared" si="1"/>
        <v>#VALUE!</v>
      </c>
      <c r="I8231" s="1" t="e">
        <f t="shared" si="2"/>
        <v>#VALUE!</v>
      </c>
    </row>
    <row r="8232" spans="1:9" ht="15.75" customHeight="1">
      <c r="A8232" s="26"/>
      <c r="B8232" s="2"/>
      <c r="C8232" s="26"/>
      <c r="D8232" s="26"/>
      <c r="F8232" s="85" t="str">
        <f t="shared" si="0"/>
        <v/>
      </c>
      <c r="G8232" s="1" t="e">
        <f>IF(VALUE(F8232) = VALUE(RIGHT(Insights!$C$3, 4)), E8232, "")</f>
        <v>#VALUE!</v>
      </c>
      <c r="H8232" s="26" t="e">
        <f t="shared" si="1"/>
        <v>#VALUE!</v>
      </c>
      <c r="I8232" s="1" t="e">
        <f t="shared" si="2"/>
        <v>#VALUE!</v>
      </c>
    </row>
    <row r="8233" spans="1:9" ht="15.75" customHeight="1">
      <c r="A8233" s="26"/>
      <c r="B8233" s="2"/>
      <c r="C8233" s="26"/>
      <c r="D8233" s="26"/>
      <c r="F8233" s="85" t="str">
        <f t="shared" si="0"/>
        <v/>
      </c>
      <c r="G8233" s="1" t="e">
        <f>IF(VALUE(F8233) = VALUE(RIGHT(Insights!$C$3, 4)), E8233, "")</f>
        <v>#VALUE!</v>
      </c>
      <c r="H8233" s="26" t="e">
        <f t="shared" si="1"/>
        <v>#VALUE!</v>
      </c>
      <c r="I8233" s="1" t="e">
        <f t="shared" si="2"/>
        <v>#VALUE!</v>
      </c>
    </row>
    <row r="8234" spans="1:9" ht="15.75" customHeight="1">
      <c r="A8234" s="26"/>
      <c r="B8234" s="2"/>
      <c r="C8234" s="26"/>
      <c r="D8234" s="26"/>
      <c r="F8234" s="85" t="str">
        <f t="shared" si="0"/>
        <v/>
      </c>
      <c r="G8234" s="1" t="e">
        <f>IF(VALUE(F8234) = VALUE(RIGHT(Insights!$C$3, 4)), E8234, "")</f>
        <v>#VALUE!</v>
      </c>
      <c r="H8234" s="26" t="e">
        <f t="shared" si="1"/>
        <v>#VALUE!</v>
      </c>
      <c r="I8234" s="1" t="e">
        <f t="shared" si="2"/>
        <v>#VALUE!</v>
      </c>
    </row>
    <row r="8235" spans="1:9" ht="15.75" customHeight="1">
      <c r="A8235" s="26"/>
      <c r="B8235" s="2"/>
      <c r="C8235" s="26"/>
      <c r="D8235" s="26"/>
      <c r="F8235" s="85" t="str">
        <f t="shared" si="0"/>
        <v/>
      </c>
      <c r="G8235" s="1" t="e">
        <f>IF(VALUE(F8235) = VALUE(RIGHT(Insights!$C$3, 4)), E8235, "")</f>
        <v>#VALUE!</v>
      </c>
      <c r="H8235" s="26" t="e">
        <f t="shared" si="1"/>
        <v>#VALUE!</v>
      </c>
      <c r="I8235" s="1" t="e">
        <f t="shared" si="2"/>
        <v>#VALUE!</v>
      </c>
    </row>
    <row r="8236" spans="1:9" ht="15.75" customHeight="1">
      <c r="A8236" s="26"/>
      <c r="B8236" s="2"/>
      <c r="C8236" s="26"/>
      <c r="D8236" s="26"/>
      <c r="F8236" s="85" t="str">
        <f t="shared" si="0"/>
        <v/>
      </c>
      <c r="G8236" s="1" t="e">
        <f>IF(VALUE(F8236) = VALUE(RIGHT(Insights!$C$3, 4)), E8236, "")</f>
        <v>#VALUE!</v>
      </c>
      <c r="H8236" s="26" t="e">
        <f t="shared" si="1"/>
        <v>#VALUE!</v>
      </c>
      <c r="I8236" s="1" t="e">
        <f t="shared" si="2"/>
        <v>#VALUE!</v>
      </c>
    </row>
    <row r="8237" spans="1:9" ht="15.75" customHeight="1">
      <c r="A8237" s="26"/>
      <c r="B8237" s="2"/>
      <c r="C8237" s="26"/>
      <c r="D8237" s="26"/>
      <c r="F8237" s="85" t="str">
        <f t="shared" si="0"/>
        <v/>
      </c>
      <c r="G8237" s="1" t="e">
        <f>IF(VALUE(F8237) = VALUE(RIGHT(Insights!$C$3, 4)), E8237, "")</f>
        <v>#VALUE!</v>
      </c>
      <c r="H8237" s="26" t="e">
        <f t="shared" si="1"/>
        <v>#VALUE!</v>
      </c>
      <c r="I8237" s="1" t="e">
        <f t="shared" si="2"/>
        <v>#VALUE!</v>
      </c>
    </row>
    <row r="8238" spans="1:9" ht="15.75" customHeight="1">
      <c r="A8238" s="26"/>
      <c r="B8238" s="2"/>
      <c r="C8238" s="26"/>
      <c r="D8238" s="26"/>
      <c r="F8238" s="85" t="str">
        <f t="shared" si="0"/>
        <v/>
      </c>
      <c r="G8238" s="1" t="e">
        <f>IF(VALUE(F8238) = VALUE(RIGHT(Insights!$C$3, 4)), E8238, "")</f>
        <v>#VALUE!</v>
      </c>
      <c r="H8238" s="26" t="e">
        <f t="shared" si="1"/>
        <v>#VALUE!</v>
      </c>
      <c r="I8238" s="1" t="e">
        <f t="shared" si="2"/>
        <v>#VALUE!</v>
      </c>
    </row>
    <row r="8239" spans="1:9" ht="15.75" customHeight="1">
      <c r="A8239" s="26"/>
      <c r="B8239" s="2"/>
      <c r="C8239" s="26"/>
      <c r="D8239" s="26"/>
      <c r="F8239" s="85" t="str">
        <f t="shared" si="0"/>
        <v/>
      </c>
      <c r="G8239" s="1" t="e">
        <f>IF(VALUE(F8239) = VALUE(RIGHT(Insights!$C$3, 4)), E8239, "")</f>
        <v>#VALUE!</v>
      </c>
      <c r="H8239" s="26" t="e">
        <f t="shared" si="1"/>
        <v>#VALUE!</v>
      </c>
      <c r="I8239" s="1" t="e">
        <f t="shared" si="2"/>
        <v>#VALUE!</v>
      </c>
    </row>
    <row r="8240" spans="1:9" ht="15.75" customHeight="1">
      <c r="A8240" s="26"/>
      <c r="B8240" s="2"/>
      <c r="C8240" s="26"/>
      <c r="D8240" s="26"/>
      <c r="F8240" s="85" t="str">
        <f t="shared" si="0"/>
        <v/>
      </c>
      <c r="G8240" s="1" t="e">
        <f>IF(VALUE(F8240) = VALUE(RIGHT(Insights!$C$3, 4)), E8240, "")</f>
        <v>#VALUE!</v>
      </c>
      <c r="H8240" s="26" t="e">
        <f t="shared" si="1"/>
        <v>#VALUE!</v>
      </c>
      <c r="I8240" s="1" t="e">
        <f t="shared" si="2"/>
        <v>#VALUE!</v>
      </c>
    </row>
    <row r="8241" spans="1:9" ht="15.75" customHeight="1">
      <c r="A8241" s="26"/>
      <c r="B8241" s="2"/>
      <c r="C8241" s="26"/>
      <c r="D8241" s="26"/>
      <c r="F8241" s="85" t="str">
        <f t="shared" si="0"/>
        <v/>
      </c>
      <c r="G8241" s="1" t="e">
        <f>IF(VALUE(F8241) = VALUE(RIGHT(Insights!$C$3, 4)), E8241, "")</f>
        <v>#VALUE!</v>
      </c>
      <c r="H8241" s="26" t="e">
        <f t="shared" si="1"/>
        <v>#VALUE!</v>
      </c>
      <c r="I8241" s="1" t="e">
        <f t="shared" si="2"/>
        <v>#VALUE!</v>
      </c>
    </row>
    <row r="8242" spans="1:9" ht="15.75" customHeight="1">
      <c r="A8242" s="26"/>
      <c r="B8242" s="2"/>
      <c r="C8242" s="26"/>
      <c r="D8242" s="26"/>
      <c r="F8242" s="85" t="str">
        <f t="shared" si="0"/>
        <v/>
      </c>
      <c r="G8242" s="1" t="e">
        <f>IF(VALUE(F8242) = VALUE(RIGHT(Insights!$C$3, 4)), E8242, "")</f>
        <v>#VALUE!</v>
      </c>
      <c r="H8242" s="26" t="e">
        <f t="shared" si="1"/>
        <v>#VALUE!</v>
      </c>
      <c r="I8242" s="1" t="e">
        <f t="shared" si="2"/>
        <v>#VALUE!</v>
      </c>
    </row>
    <row r="8243" spans="1:9" ht="15.75" customHeight="1">
      <c r="A8243" s="26"/>
      <c r="B8243" s="2"/>
      <c r="C8243" s="26"/>
      <c r="D8243" s="26"/>
      <c r="F8243" s="85" t="str">
        <f t="shared" si="0"/>
        <v/>
      </c>
      <c r="G8243" s="1" t="e">
        <f>IF(VALUE(F8243) = VALUE(RIGHT(Insights!$C$3, 4)), E8243, "")</f>
        <v>#VALUE!</v>
      </c>
      <c r="H8243" s="26" t="e">
        <f t="shared" si="1"/>
        <v>#VALUE!</v>
      </c>
      <c r="I8243" s="1" t="e">
        <f t="shared" si="2"/>
        <v>#VALUE!</v>
      </c>
    </row>
    <row r="8244" spans="1:9" ht="15.75" customHeight="1">
      <c r="A8244" s="26"/>
      <c r="B8244" s="2"/>
      <c r="C8244" s="26"/>
      <c r="D8244" s="26"/>
      <c r="F8244" s="85" t="str">
        <f t="shared" si="0"/>
        <v/>
      </c>
      <c r="G8244" s="1" t="e">
        <f>IF(VALUE(F8244) = VALUE(RIGHT(Insights!$C$3, 4)), E8244, "")</f>
        <v>#VALUE!</v>
      </c>
      <c r="H8244" s="26" t="e">
        <f t="shared" si="1"/>
        <v>#VALUE!</v>
      </c>
      <c r="I8244" s="1" t="e">
        <f t="shared" si="2"/>
        <v>#VALUE!</v>
      </c>
    </row>
    <row r="8245" spans="1:9" ht="15.75" customHeight="1">
      <c r="A8245" s="26"/>
      <c r="B8245" s="2"/>
      <c r="C8245" s="26"/>
      <c r="D8245" s="26"/>
      <c r="F8245" s="85" t="str">
        <f t="shared" si="0"/>
        <v/>
      </c>
      <c r="G8245" s="1" t="e">
        <f>IF(VALUE(F8245) = VALUE(RIGHT(Insights!$C$3, 4)), E8245, "")</f>
        <v>#VALUE!</v>
      </c>
      <c r="H8245" s="26" t="e">
        <f t="shared" si="1"/>
        <v>#VALUE!</v>
      </c>
      <c r="I8245" s="1" t="e">
        <f t="shared" si="2"/>
        <v>#VALUE!</v>
      </c>
    </row>
    <row r="8246" spans="1:9" ht="15.75" customHeight="1">
      <c r="A8246" s="26"/>
      <c r="B8246" s="2"/>
      <c r="C8246" s="26"/>
      <c r="D8246" s="26"/>
      <c r="F8246" s="85" t="str">
        <f t="shared" si="0"/>
        <v/>
      </c>
      <c r="G8246" s="1" t="e">
        <f>IF(VALUE(F8246) = VALUE(RIGHT(Insights!$C$3, 4)), E8246, "")</f>
        <v>#VALUE!</v>
      </c>
      <c r="H8246" s="26" t="e">
        <f t="shared" si="1"/>
        <v>#VALUE!</v>
      </c>
      <c r="I8246" s="1" t="e">
        <f t="shared" si="2"/>
        <v>#VALUE!</v>
      </c>
    </row>
    <row r="8247" spans="1:9" ht="15.75" customHeight="1">
      <c r="A8247" s="26"/>
      <c r="B8247" s="2"/>
      <c r="C8247" s="26"/>
      <c r="D8247" s="26"/>
      <c r="F8247" s="85" t="str">
        <f t="shared" si="0"/>
        <v/>
      </c>
      <c r="G8247" s="1" t="e">
        <f>IF(VALUE(F8247) = VALUE(RIGHT(Insights!$C$3, 4)), E8247, "")</f>
        <v>#VALUE!</v>
      </c>
      <c r="H8247" s="26" t="e">
        <f t="shared" si="1"/>
        <v>#VALUE!</v>
      </c>
      <c r="I8247" s="1" t="e">
        <f t="shared" si="2"/>
        <v>#VALUE!</v>
      </c>
    </row>
    <row r="8248" spans="1:9" ht="15.75" customHeight="1">
      <c r="A8248" s="26"/>
      <c r="B8248" s="2"/>
      <c r="C8248" s="26"/>
      <c r="D8248" s="26"/>
      <c r="F8248" s="85" t="str">
        <f t="shared" si="0"/>
        <v/>
      </c>
      <c r="G8248" s="1" t="e">
        <f>IF(VALUE(F8248) = VALUE(RIGHT(Insights!$C$3, 4)), E8248, "")</f>
        <v>#VALUE!</v>
      </c>
      <c r="H8248" s="26" t="e">
        <f t="shared" si="1"/>
        <v>#VALUE!</v>
      </c>
      <c r="I8248" s="1" t="e">
        <f t="shared" si="2"/>
        <v>#VALUE!</v>
      </c>
    </row>
    <row r="8249" spans="1:9" ht="15.75" customHeight="1">
      <c r="A8249" s="26"/>
      <c r="B8249" s="2"/>
      <c r="C8249" s="26"/>
      <c r="D8249" s="26"/>
      <c r="F8249" s="85" t="str">
        <f t="shared" si="0"/>
        <v/>
      </c>
      <c r="G8249" s="1" t="e">
        <f>IF(VALUE(F8249) = VALUE(RIGHT(Insights!$C$3, 4)), E8249, "")</f>
        <v>#VALUE!</v>
      </c>
      <c r="H8249" s="26" t="e">
        <f t="shared" si="1"/>
        <v>#VALUE!</v>
      </c>
      <c r="I8249" s="1" t="e">
        <f t="shared" si="2"/>
        <v>#VALUE!</v>
      </c>
    </row>
    <row r="8250" spans="1:9" ht="15.75" customHeight="1">
      <c r="A8250" s="26"/>
      <c r="B8250" s="2"/>
      <c r="C8250" s="26"/>
      <c r="D8250" s="26"/>
      <c r="F8250" s="85" t="str">
        <f t="shared" si="0"/>
        <v/>
      </c>
      <c r="G8250" s="1" t="e">
        <f>IF(VALUE(F8250) = VALUE(RIGHT(Insights!$C$3, 4)), E8250, "")</f>
        <v>#VALUE!</v>
      </c>
      <c r="H8250" s="26" t="e">
        <f t="shared" si="1"/>
        <v>#VALUE!</v>
      </c>
      <c r="I8250" s="1" t="e">
        <f t="shared" si="2"/>
        <v>#VALUE!</v>
      </c>
    </row>
    <row r="8251" spans="1:9" ht="15.75" customHeight="1">
      <c r="A8251" s="26"/>
      <c r="B8251" s="2"/>
      <c r="C8251" s="26"/>
      <c r="D8251" s="26"/>
      <c r="F8251" s="85" t="str">
        <f t="shared" si="0"/>
        <v/>
      </c>
      <c r="G8251" s="1" t="e">
        <f>IF(VALUE(F8251) = VALUE(RIGHT(Insights!$C$3, 4)), E8251, "")</f>
        <v>#VALUE!</v>
      </c>
      <c r="H8251" s="26" t="e">
        <f t="shared" si="1"/>
        <v>#VALUE!</v>
      </c>
      <c r="I8251" s="1" t="e">
        <f t="shared" si="2"/>
        <v>#VALUE!</v>
      </c>
    </row>
    <row r="8252" spans="1:9" ht="15.75" customHeight="1">
      <c r="A8252" s="26"/>
      <c r="B8252" s="2"/>
      <c r="C8252" s="26"/>
      <c r="D8252" s="26"/>
      <c r="F8252" s="85" t="str">
        <f t="shared" si="0"/>
        <v/>
      </c>
      <c r="G8252" s="1" t="e">
        <f>IF(VALUE(F8252) = VALUE(RIGHT(Insights!$C$3, 4)), E8252, "")</f>
        <v>#VALUE!</v>
      </c>
      <c r="H8252" s="26" t="e">
        <f t="shared" si="1"/>
        <v>#VALUE!</v>
      </c>
      <c r="I8252" s="1" t="e">
        <f t="shared" si="2"/>
        <v>#VALUE!</v>
      </c>
    </row>
    <row r="8253" spans="1:9" ht="15.75" customHeight="1">
      <c r="A8253" s="26"/>
      <c r="B8253" s="2"/>
      <c r="C8253" s="26"/>
      <c r="D8253" s="26"/>
      <c r="F8253" s="85" t="str">
        <f t="shared" si="0"/>
        <v/>
      </c>
      <c r="G8253" s="1" t="e">
        <f>IF(VALUE(F8253) = VALUE(RIGHT(Insights!$C$3, 4)), E8253, "")</f>
        <v>#VALUE!</v>
      </c>
      <c r="H8253" s="26" t="e">
        <f t="shared" si="1"/>
        <v>#VALUE!</v>
      </c>
      <c r="I8253" s="1" t="e">
        <f t="shared" si="2"/>
        <v>#VALUE!</v>
      </c>
    </row>
    <row r="8254" spans="1:9" ht="15.75" customHeight="1">
      <c r="A8254" s="26"/>
      <c r="B8254" s="2"/>
      <c r="C8254" s="26"/>
      <c r="D8254" s="26"/>
      <c r="F8254" s="85" t="str">
        <f t="shared" si="0"/>
        <v/>
      </c>
      <c r="G8254" s="1" t="e">
        <f>IF(VALUE(F8254) = VALUE(RIGHT(Insights!$C$3, 4)), E8254, "")</f>
        <v>#VALUE!</v>
      </c>
      <c r="H8254" s="26" t="e">
        <f t="shared" si="1"/>
        <v>#VALUE!</v>
      </c>
      <c r="I8254" s="1" t="e">
        <f t="shared" si="2"/>
        <v>#VALUE!</v>
      </c>
    </row>
    <row r="8255" spans="1:9" ht="15.75" customHeight="1">
      <c r="A8255" s="26"/>
      <c r="B8255" s="2"/>
      <c r="C8255" s="26"/>
      <c r="D8255" s="26"/>
      <c r="F8255" s="85" t="str">
        <f t="shared" si="0"/>
        <v/>
      </c>
      <c r="G8255" s="1" t="e">
        <f>IF(VALUE(F8255) = VALUE(RIGHT(Insights!$C$3, 4)), E8255, "")</f>
        <v>#VALUE!</v>
      </c>
      <c r="H8255" s="26" t="e">
        <f t="shared" si="1"/>
        <v>#VALUE!</v>
      </c>
      <c r="I8255" s="1" t="e">
        <f t="shared" si="2"/>
        <v>#VALUE!</v>
      </c>
    </row>
    <row r="8256" spans="1:9" ht="15.75" customHeight="1">
      <c r="A8256" s="26"/>
      <c r="B8256" s="2"/>
      <c r="C8256" s="26"/>
      <c r="D8256" s="26"/>
      <c r="F8256" s="85" t="str">
        <f t="shared" si="0"/>
        <v/>
      </c>
      <c r="G8256" s="1" t="e">
        <f>IF(VALUE(F8256) = VALUE(RIGHT(Insights!$C$3, 4)), E8256, "")</f>
        <v>#VALUE!</v>
      </c>
      <c r="H8256" s="26" t="e">
        <f t="shared" si="1"/>
        <v>#VALUE!</v>
      </c>
      <c r="I8256" s="1" t="e">
        <f t="shared" si="2"/>
        <v>#VALUE!</v>
      </c>
    </row>
    <row r="8257" spans="1:9" ht="15.75" customHeight="1">
      <c r="A8257" s="26"/>
      <c r="B8257" s="2"/>
      <c r="C8257" s="26"/>
      <c r="D8257" s="26"/>
      <c r="F8257" s="85" t="str">
        <f t="shared" si="0"/>
        <v/>
      </c>
      <c r="G8257" s="1" t="e">
        <f>IF(VALUE(F8257) = VALUE(RIGHT(Insights!$C$3, 4)), E8257, "")</f>
        <v>#VALUE!</v>
      </c>
      <c r="H8257" s="26" t="e">
        <f t="shared" si="1"/>
        <v>#VALUE!</v>
      </c>
      <c r="I8257" s="1" t="e">
        <f t="shared" si="2"/>
        <v>#VALUE!</v>
      </c>
    </row>
    <row r="8258" spans="1:9" ht="15.75" customHeight="1">
      <c r="A8258" s="26"/>
      <c r="B8258" s="2"/>
      <c r="C8258" s="26"/>
      <c r="D8258" s="26"/>
      <c r="F8258" s="85" t="str">
        <f t="shared" si="0"/>
        <v/>
      </c>
      <c r="G8258" s="1" t="e">
        <f>IF(VALUE(F8258) = VALUE(RIGHT(Insights!$C$3, 4)), E8258, "")</f>
        <v>#VALUE!</v>
      </c>
      <c r="H8258" s="26" t="e">
        <f t="shared" si="1"/>
        <v>#VALUE!</v>
      </c>
      <c r="I8258" s="1" t="e">
        <f t="shared" si="2"/>
        <v>#VALUE!</v>
      </c>
    </row>
    <row r="8259" spans="1:9" ht="15.75" customHeight="1">
      <c r="A8259" s="26"/>
      <c r="B8259" s="2"/>
      <c r="C8259" s="26"/>
      <c r="D8259" s="26"/>
      <c r="F8259" s="85" t="str">
        <f t="shared" si="0"/>
        <v/>
      </c>
      <c r="G8259" s="1" t="e">
        <f>IF(VALUE(F8259) = VALUE(RIGHT(Insights!$C$3, 4)), E8259, "")</f>
        <v>#VALUE!</v>
      </c>
      <c r="H8259" s="26" t="e">
        <f t="shared" si="1"/>
        <v>#VALUE!</v>
      </c>
      <c r="I8259" s="1" t="e">
        <f t="shared" si="2"/>
        <v>#VALUE!</v>
      </c>
    </row>
    <row r="8260" spans="1:9" ht="15.75" customHeight="1">
      <c r="A8260" s="26"/>
      <c r="B8260" s="2"/>
      <c r="C8260" s="26"/>
      <c r="D8260" s="26"/>
      <c r="F8260" s="85" t="str">
        <f t="shared" si="0"/>
        <v/>
      </c>
      <c r="G8260" s="1" t="e">
        <f>IF(VALUE(F8260) = VALUE(RIGHT(Insights!$C$3, 4)), E8260, "")</f>
        <v>#VALUE!</v>
      </c>
      <c r="H8260" s="26" t="e">
        <f t="shared" si="1"/>
        <v>#VALUE!</v>
      </c>
      <c r="I8260" s="1" t="e">
        <f t="shared" si="2"/>
        <v>#VALUE!</v>
      </c>
    </row>
    <row r="8261" spans="1:9" ht="15.75" customHeight="1">
      <c r="A8261" s="26"/>
      <c r="B8261" s="2"/>
      <c r="C8261" s="26"/>
      <c r="D8261" s="26"/>
      <c r="F8261" s="85" t="str">
        <f t="shared" si="0"/>
        <v/>
      </c>
      <c r="G8261" s="1" t="e">
        <f>IF(VALUE(F8261) = VALUE(RIGHT(Insights!$C$3, 4)), E8261, "")</f>
        <v>#VALUE!</v>
      </c>
      <c r="H8261" s="26" t="e">
        <f t="shared" si="1"/>
        <v>#VALUE!</v>
      </c>
      <c r="I8261" s="1" t="e">
        <f t="shared" si="2"/>
        <v>#VALUE!</v>
      </c>
    </row>
    <row r="8262" spans="1:9" ht="15.75" customHeight="1">
      <c r="A8262" s="26"/>
      <c r="B8262" s="2"/>
      <c r="C8262" s="26"/>
      <c r="D8262" s="26"/>
      <c r="F8262" s="85" t="str">
        <f t="shared" si="0"/>
        <v/>
      </c>
      <c r="G8262" s="1" t="e">
        <f>IF(VALUE(F8262) = VALUE(RIGHT(Insights!$C$3, 4)), E8262, "")</f>
        <v>#VALUE!</v>
      </c>
      <c r="H8262" s="26" t="e">
        <f t="shared" si="1"/>
        <v>#VALUE!</v>
      </c>
      <c r="I8262" s="1" t="e">
        <f t="shared" si="2"/>
        <v>#VALUE!</v>
      </c>
    </row>
    <row r="8263" spans="1:9" ht="15.75" customHeight="1">
      <c r="A8263" s="26"/>
      <c r="B8263" s="2"/>
      <c r="C8263" s="26"/>
      <c r="D8263" s="26"/>
      <c r="F8263" s="85" t="str">
        <f t="shared" si="0"/>
        <v/>
      </c>
      <c r="G8263" s="1" t="e">
        <f>IF(VALUE(F8263) = VALUE(RIGHT(Insights!$C$3, 4)), E8263, "")</f>
        <v>#VALUE!</v>
      </c>
      <c r="H8263" s="26" t="e">
        <f t="shared" si="1"/>
        <v>#VALUE!</v>
      </c>
      <c r="I8263" s="1" t="e">
        <f t="shared" si="2"/>
        <v>#VALUE!</v>
      </c>
    </row>
    <row r="8264" spans="1:9" ht="15.75" customHeight="1">
      <c r="A8264" s="26"/>
      <c r="B8264" s="2"/>
      <c r="C8264" s="26"/>
      <c r="D8264" s="26"/>
      <c r="F8264" s="85" t="str">
        <f t="shared" si="0"/>
        <v/>
      </c>
      <c r="G8264" s="1" t="e">
        <f>IF(VALUE(F8264) = VALUE(RIGHT(Insights!$C$3, 4)), E8264, "")</f>
        <v>#VALUE!</v>
      </c>
      <c r="H8264" s="26" t="e">
        <f t="shared" si="1"/>
        <v>#VALUE!</v>
      </c>
      <c r="I8264" s="1" t="e">
        <f t="shared" si="2"/>
        <v>#VALUE!</v>
      </c>
    </row>
    <row r="8265" spans="1:9" ht="15.75" customHeight="1">
      <c r="A8265" s="26"/>
      <c r="B8265" s="2"/>
      <c r="C8265" s="26"/>
      <c r="D8265" s="26"/>
      <c r="F8265" s="85" t="str">
        <f t="shared" si="0"/>
        <v/>
      </c>
      <c r="G8265" s="1" t="e">
        <f>IF(VALUE(F8265) = VALUE(RIGHT(Insights!$C$3, 4)), E8265, "")</f>
        <v>#VALUE!</v>
      </c>
      <c r="H8265" s="26" t="e">
        <f t="shared" si="1"/>
        <v>#VALUE!</v>
      </c>
      <c r="I8265" s="1" t="e">
        <f t="shared" si="2"/>
        <v>#VALUE!</v>
      </c>
    </row>
    <row r="8266" spans="1:9" ht="15.75" customHeight="1">
      <c r="A8266" s="26"/>
      <c r="B8266" s="2"/>
      <c r="C8266" s="26"/>
      <c r="D8266" s="26"/>
      <c r="F8266" s="85" t="str">
        <f t="shared" si="0"/>
        <v/>
      </c>
      <c r="G8266" s="1" t="e">
        <f>IF(VALUE(F8266) = VALUE(RIGHT(Insights!$C$3, 4)), E8266, "")</f>
        <v>#VALUE!</v>
      </c>
      <c r="H8266" s="26" t="e">
        <f t="shared" si="1"/>
        <v>#VALUE!</v>
      </c>
      <c r="I8266" s="1" t="e">
        <f t="shared" si="2"/>
        <v>#VALUE!</v>
      </c>
    </row>
    <row r="8267" spans="1:9" ht="15.75" customHeight="1">
      <c r="A8267" s="26"/>
      <c r="B8267" s="2"/>
      <c r="C8267" s="26"/>
      <c r="D8267" s="26"/>
      <c r="F8267" s="85" t="str">
        <f t="shared" si="0"/>
        <v/>
      </c>
      <c r="G8267" s="1" t="e">
        <f>IF(VALUE(F8267) = VALUE(RIGHT(Insights!$C$3, 4)), E8267, "")</f>
        <v>#VALUE!</v>
      </c>
      <c r="H8267" s="26" t="e">
        <f t="shared" si="1"/>
        <v>#VALUE!</v>
      </c>
      <c r="I8267" s="1" t="e">
        <f t="shared" si="2"/>
        <v>#VALUE!</v>
      </c>
    </row>
    <row r="8268" spans="1:9" ht="15.75" customHeight="1">
      <c r="A8268" s="26"/>
      <c r="B8268" s="2"/>
      <c r="C8268" s="26"/>
      <c r="D8268" s="26"/>
      <c r="F8268" s="85" t="str">
        <f t="shared" si="0"/>
        <v/>
      </c>
      <c r="G8268" s="1" t="e">
        <f>IF(VALUE(F8268) = VALUE(RIGHT(Insights!$C$3, 4)), E8268, "")</f>
        <v>#VALUE!</v>
      </c>
      <c r="H8268" s="26" t="e">
        <f t="shared" si="1"/>
        <v>#VALUE!</v>
      </c>
      <c r="I8268" s="1" t="e">
        <f t="shared" si="2"/>
        <v>#VALUE!</v>
      </c>
    </row>
    <row r="8269" spans="1:9" ht="15.75" customHeight="1">
      <c r="A8269" s="26"/>
      <c r="B8269" s="2"/>
      <c r="C8269" s="26"/>
      <c r="D8269" s="26"/>
      <c r="F8269" s="85" t="str">
        <f t="shared" si="0"/>
        <v/>
      </c>
      <c r="G8269" s="1" t="e">
        <f>IF(VALUE(F8269) = VALUE(RIGHT(Insights!$C$3, 4)), E8269, "")</f>
        <v>#VALUE!</v>
      </c>
      <c r="H8269" s="26" t="e">
        <f t="shared" si="1"/>
        <v>#VALUE!</v>
      </c>
      <c r="I8269" s="1" t="e">
        <f t="shared" si="2"/>
        <v>#VALUE!</v>
      </c>
    </row>
    <row r="8270" spans="1:9" ht="15.75" customHeight="1">
      <c r="A8270" s="26"/>
      <c r="B8270" s="2"/>
      <c r="C8270" s="26"/>
      <c r="D8270" s="26"/>
      <c r="F8270" s="85" t="str">
        <f t="shared" si="0"/>
        <v/>
      </c>
      <c r="G8270" s="1" t="e">
        <f>IF(VALUE(F8270) = VALUE(RIGHT(Insights!$C$3, 4)), E8270, "")</f>
        <v>#VALUE!</v>
      </c>
      <c r="H8270" s="26" t="e">
        <f t="shared" si="1"/>
        <v>#VALUE!</v>
      </c>
      <c r="I8270" s="1" t="e">
        <f t="shared" si="2"/>
        <v>#VALUE!</v>
      </c>
    </row>
    <row r="8271" spans="1:9" ht="15.75" customHeight="1">
      <c r="A8271" s="26"/>
      <c r="B8271" s="2"/>
      <c r="C8271" s="26"/>
      <c r="D8271" s="26"/>
      <c r="F8271" s="85" t="str">
        <f t="shared" si="0"/>
        <v/>
      </c>
      <c r="G8271" s="1" t="e">
        <f>IF(VALUE(F8271) = VALUE(RIGHT(Insights!$C$3, 4)), E8271, "")</f>
        <v>#VALUE!</v>
      </c>
      <c r="H8271" s="26" t="e">
        <f t="shared" si="1"/>
        <v>#VALUE!</v>
      </c>
      <c r="I8271" s="1" t="e">
        <f t="shared" si="2"/>
        <v>#VALUE!</v>
      </c>
    </row>
    <row r="8272" spans="1:9" ht="15.75" customHeight="1">
      <c r="A8272" s="26"/>
      <c r="B8272" s="2"/>
      <c r="C8272" s="26"/>
      <c r="D8272" s="26"/>
      <c r="F8272" s="85" t="str">
        <f t="shared" si="0"/>
        <v/>
      </c>
      <c r="G8272" s="1" t="e">
        <f>IF(VALUE(F8272) = VALUE(RIGHT(Insights!$C$3, 4)), E8272, "")</f>
        <v>#VALUE!</v>
      </c>
      <c r="H8272" s="26" t="e">
        <f t="shared" si="1"/>
        <v>#VALUE!</v>
      </c>
      <c r="I8272" s="1" t="e">
        <f t="shared" si="2"/>
        <v>#VALUE!</v>
      </c>
    </row>
    <row r="8273" spans="1:9" ht="15.75" customHeight="1">
      <c r="A8273" s="26"/>
      <c r="B8273" s="2"/>
      <c r="C8273" s="26"/>
      <c r="D8273" s="26"/>
      <c r="F8273" s="85" t="str">
        <f t="shared" si="0"/>
        <v/>
      </c>
      <c r="G8273" s="1" t="e">
        <f>IF(VALUE(F8273) = VALUE(RIGHT(Insights!$C$3, 4)), E8273, "")</f>
        <v>#VALUE!</v>
      </c>
      <c r="H8273" s="26" t="e">
        <f t="shared" si="1"/>
        <v>#VALUE!</v>
      </c>
      <c r="I8273" s="1" t="e">
        <f t="shared" si="2"/>
        <v>#VALUE!</v>
      </c>
    </row>
    <row r="8274" spans="1:9" ht="15.75" customHeight="1">
      <c r="A8274" s="26"/>
      <c r="B8274" s="2"/>
      <c r="C8274" s="26"/>
      <c r="D8274" s="26"/>
      <c r="F8274" s="85" t="str">
        <f t="shared" si="0"/>
        <v/>
      </c>
      <c r="G8274" s="1" t="e">
        <f>IF(VALUE(F8274) = VALUE(RIGHT(Insights!$C$3, 4)), E8274, "")</f>
        <v>#VALUE!</v>
      </c>
      <c r="H8274" s="26" t="e">
        <f t="shared" si="1"/>
        <v>#VALUE!</v>
      </c>
      <c r="I8274" s="1" t="e">
        <f t="shared" si="2"/>
        <v>#VALUE!</v>
      </c>
    </row>
    <row r="8275" spans="1:9" ht="15.75" customHeight="1">
      <c r="A8275" s="26"/>
      <c r="B8275" s="2"/>
      <c r="C8275" s="26"/>
      <c r="D8275" s="26"/>
      <c r="F8275" s="85" t="str">
        <f t="shared" si="0"/>
        <v/>
      </c>
      <c r="G8275" s="1" t="e">
        <f>IF(VALUE(F8275) = VALUE(RIGHT(Insights!$C$3, 4)), E8275, "")</f>
        <v>#VALUE!</v>
      </c>
      <c r="H8275" s="26" t="e">
        <f t="shared" si="1"/>
        <v>#VALUE!</v>
      </c>
      <c r="I8275" s="1" t="e">
        <f t="shared" si="2"/>
        <v>#VALUE!</v>
      </c>
    </row>
    <row r="8276" spans="1:9" ht="15.75" customHeight="1">
      <c r="A8276" s="26"/>
      <c r="B8276" s="2"/>
      <c r="C8276" s="26"/>
      <c r="D8276" s="26"/>
      <c r="F8276" s="85" t="str">
        <f t="shared" si="0"/>
        <v/>
      </c>
      <c r="G8276" s="1" t="e">
        <f>IF(VALUE(F8276) = VALUE(RIGHT(Insights!$C$3, 4)), E8276, "")</f>
        <v>#VALUE!</v>
      </c>
      <c r="H8276" s="26" t="e">
        <f t="shared" si="1"/>
        <v>#VALUE!</v>
      </c>
      <c r="I8276" s="1" t="e">
        <f t="shared" si="2"/>
        <v>#VALUE!</v>
      </c>
    </row>
    <row r="8277" spans="1:9" ht="15.75" customHeight="1">
      <c r="A8277" s="26"/>
      <c r="B8277" s="2"/>
      <c r="C8277" s="26"/>
      <c r="D8277" s="26"/>
      <c r="F8277" s="85" t="str">
        <f t="shared" si="0"/>
        <v/>
      </c>
      <c r="G8277" s="1" t="e">
        <f>IF(VALUE(F8277) = VALUE(RIGHT(Insights!$C$3, 4)), E8277, "")</f>
        <v>#VALUE!</v>
      </c>
      <c r="H8277" s="26" t="e">
        <f t="shared" si="1"/>
        <v>#VALUE!</v>
      </c>
      <c r="I8277" s="1" t="e">
        <f t="shared" si="2"/>
        <v>#VALUE!</v>
      </c>
    </row>
    <row r="8278" spans="1:9" ht="15.75" customHeight="1">
      <c r="A8278" s="26"/>
      <c r="B8278" s="2"/>
      <c r="C8278" s="26"/>
      <c r="D8278" s="26"/>
      <c r="F8278" s="85" t="str">
        <f t="shared" si="0"/>
        <v/>
      </c>
      <c r="G8278" s="1" t="e">
        <f>IF(VALUE(F8278) = VALUE(RIGHT(Insights!$C$3, 4)), E8278, "")</f>
        <v>#VALUE!</v>
      </c>
      <c r="H8278" s="26" t="e">
        <f t="shared" si="1"/>
        <v>#VALUE!</v>
      </c>
      <c r="I8278" s="1" t="e">
        <f t="shared" si="2"/>
        <v>#VALUE!</v>
      </c>
    </row>
    <row r="8279" spans="1:9" ht="15.75" customHeight="1">
      <c r="A8279" s="26"/>
      <c r="B8279" s="2"/>
      <c r="C8279" s="26"/>
      <c r="D8279" s="26"/>
      <c r="F8279" s="85" t="str">
        <f t="shared" si="0"/>
        <v/>
      </c>
      <c r="G8279" s="1" t="e">
        <f>IF(VALUE(F8279) = VALUE(RIGHT(Insights!$C$3, 4)), E8279, "")</f>
        <v>#VALUE!</v>
      </c>
      <c r="H8279" s="26" t="e">
        <f t="shared" si="1"/>
        <v>#VALUE!</v>
      </c>
      <c r="I8279" s="1" t="e">
        <f t="shared" si="2"/>
        <v>#VALUE!</v>
      </c>
    </row>
    <row r="8280" spans="1:9" ht="15.75" customHeight="1">
      <c r="A8280" s="26"/>
      <c r="B8280" s="2"/>
      <c r="C8280" s="26"/>
      <c r="D8280" s="26"/>
      <c r="F8280" s="85" t="str">
        <f t="shared" si="0"/>
        <v/>
      </c>
      <c r="G8280" s="1" t="e">
        <f>IF(VALUE(F8280) = VALUE(RIGHT(Insights!$C$3, 4)), E8280, "")</f>
        <v>#VALUE!</v>
      </c>
      <c r="H8280" s="26" t="e">
        <f t="shared" si="1"/>
        <v>#VALUE!</v>
      </c>
      <c r="I8280" s="1" t="e">
        <f t="shared" si="2"/>
        <v>#VALUE!</v>
      </c>
    </row>
    <row r="8281" spans="1:9" ht="15.75" customHeight="1">
      <c r="A8281" s="26"/>
      <c r="B8281" s="2"/>
      <c r="C8281" s="26"/>
      <c r="D8281" s="26"/>
      <c r="F8281" s="85" t="str">
        <f t="shared" si="0"/>
        <v/>
      </c>
      <c r="G8281" s="1" t="e">
        <f>IF(VALUE(F8281) = VALUE(RIGHT(Insights!$C$3, 4)), E8281, "")</f>
        <v>#VALUE!</v>
      </c>
      <c r="H8281" s="26" t="e">
        <f t="shared" si="1"/>
        <v>#VALUE!</v>
      </c>
      <c r="I8281" s="1" t="e">
        <f t="shared" si="2"/>
        <v>#VALUE!</v>
      </c>
    </row>
    <row r="8282" spans="1:9" ht="15.75" customHeight="1">
      <c r="A8282" s="26"/>
      <c r="B8282" s="2"/>
      <c r="C8282" s="26"/>
      <c r="D8282" s="26"/>
      <c r="F8282" s="85" t="str">
        <f t="shared" si="0"/>
        <v/>
      </c>
      <c r="G8282" s="1" t="e">
        <f>IF(VALUE(F8282) = VALUE(RIGHT(Insights!$C$3, 4)), E8282, "")</f>
        <v>#VALUE!</v>
      </c>
      <c r="H8282" s="26" t="e">
        <f t="shared" si="1"/>
        <v>#VALUE!</v>
      </c>
      <c r="I8282" s="1" t="e">
        <f t="shared" si="2"/>
        <v>#VALUE!</v>
      </c>
    </row>
    <row r="8283" spans="1:9" ht="15.75" customHeight="1">
      <c r="A8283" s="26"/>
      <c r="B8283" s="2"/>
      <c r="C8283" s="26"/>
      <c r="D8283" s="26"/>
      <c r="F8283" s="85" t="str">
        <f t="shared" si="0"/>
        <v/>
      </c>
      <c r="G8283" s="1" t="e">
        <f>IF(VALUE(F8283) = VALUE(RIGHT(Insights!$C$3, 4)), E8283, "")</f>
        <v>#VALUE!</v>
      </c>
      <c r="H8283" s="26" t="e">
        <f t="shared" si="1"/>
        <v>#VALUE!</v>
      </c>
      <c r="I8283" s="1" t="e">
        <f t="shared" si="2"/>
        <v>#VALUE!</v>
      </c>
    </row>
    <row r="8284" spans="1:9" ht="15.75" customHeight="1">
      <c r="A8284" s="26"/>
      <c r="B8284" s="2"/>
      <c r="C8284" s="26"/>
      <c r="D8284" s="26"/>
      <c r="F8284" s="85" t="str">
        <f t="shared" si="0"/>
        <v/>
      </c>
      <c r="G8284" s="1" t="e">
        <f>IF(VALUE(F8284) = VALUE(RIGHT(Insights!$C$3, 4)), E8284, "")</f>
        <v>#VALUE!</v>
      </c>
      <c r="H8284" s="26" t="e">
        <f t="shared" si="1"/>
        <v>#VALUE!</v>
      </c>
      <c r="I8284" s="1" t="e">
        <f t="shared" si="2"/>
        <v>#VALUE!</v>
      </c>
    </row>
    <row r="8285" spans="1:9" ht="15.75" customHeight="1">
      <c r="A8285" s="26"/>
      <c r="B8285" s="2"/>
      <c r="C8285" s="26"/>
      <c r="D8285" s="26"/>
      <c r="F8285" s="85" t="str">
        <f t="shared" si="0"/>
        <v/>
      </c>
      <c r="G8285" s="1" t="e">
        <f>IF(VALUE(F8285) = VALUE(RIGHT(Insights!$C$3, 4)), E8285, "")</f>
        <v>#VALUE!</v>
      </c>
      <c r="H8285" s="26" t="e">
        <f t="shared" si="1"/>
        <v>#VALUE!</v>
      </c>
      <c r="I8285" s="1" t="e">
        <f t="shared" si="2"/>
        <v>#VALUE!</v>
      </c>
    </row>
    <row r="8286" spans="1:9" ht="15.75" customHeight="1">
      <c r="A8286" s="26"/>
      <c r="B8286" s="2"/>
      <c r="C8286" s="26"/>
      <c r="D8286" s="26"/>
      <c r="F8286" s="85" t="str">
        <f t="shared" si="0"/>
        <v/>
      </c>
      <c r="G8286" s="1" t="e">
        <f>IF(VALUE(F8286) = VALUE(RIGHT(Insights!$C$3, 4)), E8286, "")</f>
        <v>#VALUE!</v>
      </c>
      <c r="H8286" s="26" t="e">
        <f t="shared" si="1"/>
        <v>#VALUE!</v>
      </c>
      <c r="I8286" s="1" t="e">
        <f t="shared" si="2"/>
        <v>#VALUE!</v>
      </c>
    </row>
    <row r="8287" spans="1:9" ht="15.75" customHeight="1">
      <c r="A8287" s="26"/>
      <c r="B8287" s="2"/>
      <c r="C8287" s="26"/>
      <c r="D8287" s="26"/>
      <c r="F8287" s="85" t="str">
        <f t="shared" si="0"/>
        <v/>
      </c>
      <c r="G8287" s="1" t="e">
        <f>IF(VALUE(F8287) = VALUE(RIGHT(Insights!$C$3, 4)), E8287, "")</f>
        <v>#VALUE!</v>
      </c>
      <c r="H8287" s="26" t="e">
        <f t="shared" si="1"/>
        <v>#VALUE!</v>
      </c>
      <c r="I8287" s="1" t="e">
        <f t="shared" si="2"/>
        <v>#VALUE!</v>
      </c>
    </row>
    <row r="8288" spans="1:9" ht="15.75" customHeight="1">
      <c r="A8288" s="26"/>
      <c r="B8288" s="2"/>
      <c r="C8288" s="26"/>
      <c r="D8288" s="26"/>
      <c r="F8288" s="85" t="str">
        <f t="shared" si="0"/>
        <v/>
      </c>
      <c r="G8288" s="1" t="e">
        <f>IF(VALUE(F8288) = VALUE(RIGHT(Insights!$C$3, 4)), E8288, "")</f>
        <v>#VALUE!</v>
      </c>
      <c r="H8288" s="26" t="e">
        <f t="shared" si="1"/>
        <v>#VALUE!</v>
      </c>
      <c r="I8288" s="1" t="e">
        <f t="shared" si="2"/>
        <v>#VALUE!</v>
      </c>
    </row>
    <row r="8289" spans="1:9" ht="15.75" customHeight="1">
      <c r="A8289" s="26"/>
      <c r="B8289" s="2"/>
      <c r="C8289" s="26"/>
      <c r="D8289" s="26"/>
      <c r="F8289" s="85" t="str">
        <f t="shared" si="0"/>
        <v/>
      </c>
      <c r="G8289" s="1" t="e">
        <f>IF(VALUE(F8289) = VALUE(RIGHT(Insights!$C$3, 4)), E8289, "")</f>
        <v>#VALUE!</v>
      </c>
      <c r="H8289" s="26" t="e">
        <f t="shared" si="1"/>
        <v>#VALUE!</v>
      </c>
      <c r="I8289" s="1" t="e">
        <f t="shared" si="2"/>
        <v>#VALUE!</v>
      </c>
    </row>
    <row r="8290" spans="1:9" ht="15.75" customHeight="1">
      <c r="A8290" s="26"/>
      <c r="B8290" s="2"/>
      <c r="C8290" s="26"/>
      <c r="D8290" s="26"/>
      <c r="F8290" s="85" t="str">
        <f t="shared" si="0"/>
        <v/>
      </c>
      <c r="G8290" s="1" t="e">
        <f>IF(VALUE(F8290) = VALUE(RIGHT(Insights!$C$3, 4)), E8290, "")</f>
        <v>#VALUE!</v>
      </c>
      <c r="H8290" s="26" t="e">
        <f t="shared" si="1"/>
        <v>#VALUE!</v>
      </c>
      <c r="I8290" s="1" t="e">
        <f t="shared" si="2"/>
        <v>#VALUE!</v>
      </c>
    </row>
    <row r="8291" spans="1:9" ht="15.75" customHeight="1">
      <c r="A8291" s="26"/>
      <c r="B8291" s="2"/>
      <c r="C8291" s="26"/>
      <c r="D8291" s="26"/>
      <c r="F8291" s="85" t="str">
        <f t="shared" si="0"/>
        <v/>
      </c>
      <c r="G8291" s="1" t="e">
        <f>IF(VALUE(F8291) = VALUE(RIGHT(Insights!$C$3, 4)), E8291, "")</f>
        <v>#VALUE!</v>
      </c>
      <c r="H8291" s="26" t="e">
        <f t="shared" si="1"/>
        <v>#VALUE!</v>
      </c>
      <c r="I8291" s="1" t="e">
        <f t="shared" si="2"/>
        <v>#VALUE!</v>
      </c>
    </row>
    <row r="8292" spans="1:9" ht="15.75" customHeight="1">
      <c r="A8292" s="26"/>
      <c r="B8292" s="2"/>
      <c r="C8292" s="26"/>
      <c r="D8292" s="26"/>
      <c r="F8292" s="85" t="str">
        <f t="shared" si="0"/>
        <v/>
      </c>
      <c r="G8292" s="1" t="e">
        <f>IF(VALUE(F8292) = VALUE(RIGHT(Insights!$C$3, 4)), E8292, "")</f>
        <v>#VALUE!</v>
      </c>
      <c r="H8292" s="26" t="e">
        <f t="shared" si="1"/>
        <v>#VALUE!</v>
      </c>
      <c r="I8292" s="1" t="e">
        <f t="shared" si="2"/>
        <v>#VALUE!</v>
      </c>
    </row>
    <row r="8293" spans="1:9" ht="15.75" customHeight="1">
      <c r="A8293" s="26"/>
      <c r="B8293" s="2"/>
      <c r="C8293" s="26"/>
      <c r="D8293" s="26"/>
      <c r="F8293" s="85" t="str">
        <f t="shared" si="0"/>
        <v/>
      </c>
      <c r="G8293" s="1" t="e">
        <f>IF(VALUE(F8293) = VALUE(RIGHT(Insights!$C$3, 4)), E8293, "")</f>
        <v>#VALUE!</v>
      </c>
      <c r="H8293" s="26" t="e">
        <f t="shared" si="1"/>
        <v>#VALUE!</v>
      </c>
      <c r="I8293" s="1" t="e">
        <f t="shared" si="2"/>
        <v>#VALUE!</v>
      </c>
    </row>
    <row r="8294" spans="1:9" ht="15.75" customHeight="1">
      <c r="A8294" s="26"/>
      <c r="B8294" s="2"/>
      <c r="C8294" s="26"/>
      <c r="D8294" s="26"/>
      <c r="F8294" s="85" t="str">
        <f t="shared" si="0"/>
        <v/>
      </c>
      <c r="G8294" s="1" t="e">
        <f>IF(VALUE(F8294) = VALUE(RIGHT(Insights!$C$3, 4)), E8294, "")</f>
        <v>#VALUE!</v>
      </c>
      <c r="H8294" s="26" t="e">
        <f t="shared" si="1"/>
        <v>#VALUE!</v>
      </c>
      <c r="I8294" s="1" t="e">
        <f t="shared" si="2"/>
        <v>#VALUE!</v>
      </c>
    </row>
    <row r="8295" spans="1:9" ht="15.75" customHeight="1">
      <c r="A8295" s="26"/>
      <c r="B8295" s="2"/>
      <c r="C8295" s="26"/>
      <c r="D8295" s="26"/>
      <c r="F8295" s="85" t="str">
        <f t="shared" si="0"/>
        <v/>
      </c>
      <c r="G8295" s="1" t="e">
        <f>IF(VALUE(F8295) = VALUE(RIGHT(Insights!$C$3, 4)), E8295, "")</f>
        <v>#VALUE!</v>
      </c>
      <c r="H8295" s="26" t="e">
        <f t="shared" si="1"/>
        <v>#VALUE!</v>
      </c>
      <c r="I8295" s="1" t="e">
        <f t="shared" si="2"/>
        <v>#VALUE!</v>
      </c>
    </row>
    <row r="8296" spans="1:9" ht="15.75" customHeight="1">
      <c r="A8296" s="26"/>
      <c r="B8296" s="2"/>
      <c r="C8296" s="26"/>
      <c r="D8296" s="26"/>
      <c r="F8296" s="85" t="str">
        <f t="shared" si="0"/>
        <v/>
      </c>
      <c r="G8296" s="1" t="e">
        <f>IF(VALUE(F8296) = VALUE(RIGHT(Insights!$C$3, 4)), E8296, "")</f>
        <v>#VALUE!</v>
      </c>
      <c r="H8296" s="26" t="e">
        <f t="shared" si="1"/>
        <v>#VALUE!</v>
      </c>
      <c r="I8296" s="1" t="e">
        <f t="shared" si="2"/>
        <v>#VALUE!</v>
      </c>
    </row>
    <row r="8297" spans="1:9" ht="15.75" customHeight="1">
      <c r="A8297" s="26"/>
      <c r="B8297" s="2"/>
      <c r="C8297" s="26"/>
      <c r="D8297" s="26"/>
      <c r="F8297" s="85" t="str">
        <f t="shared" si="0"/>
        <v/>
      </c>
      <c r="G8297" s="1" t="e">
        <f>IF(VALUE(F8297) = VALUE(RIGHT(Insights!$C$3, 4)), E8297, "")</f>
        <v>#VALUE!</v>
      </c>
      <c r="H8297" s="26" t="e">
        <f t="shared" si="1"/>
        <v>#VALUE!</v>
      </c>
      <c r="I8297" s="1" t="e">
        <f t="shared" si="2"/>
        <v>#VALUE!</v>
      </c>
    </row>
    <row r="8298" spans="1:9" ht="15.75" customHeight="1">
      <c r="A8298" s="26"/>
      <c r="B8298" s="2"/>
      <c r="C8298" s="26"/>
      <c r="D8298" s="26"/>
      <c r="F8298" s="85" t="str">
        <f t="shared" si="0"/>
        <v/>
      </c>
      <c r="G8298" s="1" t="e">
        <f>IF(VALUE(F8298) = VALUE(RIGHT(Insights!$C$3, 4)), E8298, "")</f>
        <v>#VALUE!</v>
      </c>
      <c r="H8298" s="26" t="e">
        <f t="shared" si="1"/>
        <v>#VALUE!</v>
      </c>
      <c r="I8298" s="1" t="e">
        <f t="shared" si="2"/>
        <v>#VALUE!</v>
      </c>
    </row>
    <row r="8299" spans="1:9" ht="15.75" customHeight="1">
      <c r="A8299" s="26"/>
      <c r="B8299" s="2"/>
      <c r="C8299" s="26"/>
      <c r="D8299" s="26"/>
      <c r="F8299" s="85" t="str">
        <f t="shared" si="0"/>
        <v/>
      </c>
      <c r="G8299" s="1" t="e">
        <f>IF(VALUE(F8299) = VALUE(RIGHT(Insights!$C$3, 4)), E8299, "")</f>
        <v>#VALUE!</v>
      </c>
      <c r="H8299" s="26" t="e">
        <f t="shared" si="1"/>
        <v>#VALUE!</v>
      </c>
      <c r="I8299" s="1" t="e">
        <f t="shared" si="2"/>
        <v>#VALUE!</v>
      </c>
    </row>
    <row r="8300" spans="1:9" ht="15.75" customHeight="1">
      <c r="A8300" s="26"/>
      <c r="B8300" s="2"/>
      <c r="C8300" s="26"/>
      <c r="D8300" s="26"/>
      <c r="F8300" s="85" t="str">
        <f t="shared" si="0"/>
        <v/>
      </c>
      <c r="G8300" s="1" t="e">
        <f>IF(VALUE(F8300) = VALUE(RIGHT(Insights!$C$3, 4)), E8300, "")</f>
        <v>#VALUE!</v>
      </c>
      <c r="H8300" s="26" t="e">
        <f t="shared" si="1"/>
        <v>#VALUE!</v>
      </c>
      <c r="I8300" s="1" t="e">
        <f t="shared" si="2"/>
        <v>#VALUE!</v>
      </c>
    </row>
    <row r="8301" spans="1:9" ht="15.75" customHeight="1">
      <c r="A8301" s="26"/>
      <c r="B8301" s="2"/>
      <c r="C8301" s="26"/>
      <c r="D8301" s="26"/>
      <c r="F8301" s="85" t="str">
        <f t="shared" si="0"/>
        <v/>
      </c>
      <c r="G8301" s="1" t="e">
        <f>IF(VALUE(F8301) = VALUE(RIGHT(Insights!$C$3, 4)), E8301, "")</f>
        <v>#VALUE!</v>
      </c>
      <c r="H8301" s="26" t="e">
        <f t="shared" si="1"/>
        <v>#VALUE!</v>
      </c>
      <c r="I8301" s="1" t="e">
        <f t="shared" si="2"/>
        <v>#VALUE!</v>
      </c>
    </row>
    <row r="8302" spans="1:9" ht="15.75" customHeight="1">
      <c r="A8302" s="26"/>
      <c r="B8302" s="2"/>
      <c r="C8302" s="26"/>
      <c r="D8302" s="26"/>
      <c r="F8302" s="85" t="str">
        <f t="shared" si="0"/>
        <v/>
      </c>
      <c r="G8302" s="1" t="e">
        <f>IF(VALUE(F8302) = VALUE(RIGHT(Insights!$C$3, 4)), E8302, "")</f>
        <v>#VALUE!</v>
      </c>
      <c r="H8302" s="26" t="e">
        <f t="shared" si="1"/>
        <v>#VALUE!</v>
      </c>
      <c r="I8302" s="1" t="e">
        <f t="shared" si="2"/>
        <v>#VALUE!</v>
      </c>
    </row>
    <row r="8303" spans="1:9" ht="15.75" customHeight="1">
      <c r="A8303" s="26"/>
      <c r="B8303" s="2"/>
      <c r="C8303" s="26"/>
      <c r="D8303" s="26"/>
      <c r="F8303" s="85" t="str">
        <f t="shared" si="0"/>
        <v/>
      </c>
      <c r="G8303" s="1" t="e">
        <f>IF(VALUE(F8303) = VALUE(RIGHT(Insights!$C$3, 4)), E8303, "")</f>
        <v>#VALUE!</v>
      </c>
      <c r="H8303" s="26" t="e">
        <f t="shared" si="1"/>
        <v>#VALUE!</v>
      </c>
      <c r="I8303" s="1" t="e">
        <f t="shared" si="2"/>
        <v>#VALUE!</v>
      </c>
    </row>
    <row r="8304" spans="1:9" ht="15.75" customHeight="1">
      <c r="A8304" s="26"/>
      <c r="B8304" s="2"/>
      <c r="C8304" s="26"/>
      <c r="D8304" s="26"/>
      <c r="F8304" s="85" t="str">
        <f t="shared" si="0"/>
        <v/>
      </c>
      <c r="G8304" s="1" t="e">
        <f>IF(VALUE(F8304) = VALUE(RIGHT(Insights!$C$3, 4)), E8304, "")</f>
        <v>#VALUE!</v>
      </c>
      <c r="H8304" s="26" t="e">
        <f t="shared" si="1"/>
        <v>#VALUE!</v>
      </c>
      <c r="I8304" s="1" t="e">
        <f t="shared" si="2"/>
        <v>#VALUE!</v>
      </c>
    </row>
    <row r="8305" spans="1:9" ht="15.75" customHeight="1">
      <c r="A8305" s="26"/>
      <c r="B8305" s="2"/>
      <c r="C8305" s="26"/>
      <c r="D8305" s="26"/>
      <c r="F8305" s="85" t="str">
        <f t="shared" si="0"/>
        <v/>
      </c>
      <c r="G8305" s="1" t="e">
        <f>IF(VALUE(F8305) = VALUE(RIGHT(Insights!$C$3, 4)), E8305, "")</f>
        <v>#VALUE!</v>
      </c>
      <c r="H8305" s="26" t="e">
        <f t="shared" si="1"/>
        <v>#VALUE!</v>
      </c>
      <c r="I8305" s="1" t="e">
        <f t="shared" si="2"/>
        <v>#VALUE!</v>
      </c>
    </row>
    <row r="8306" spans="1:9" ht="15.75" customHeight="1">
      <c r="A8306" s="26"/>
      <c r="B8306" s="2"/>
      <c r="C8306" s="26"/>
      <c r="D8306" s="26"/>
      <c r="F8306" s="85" t="str">
        <f t="shared" si="0"/>
        <v/>
      </c>
      <c r="G8306" s="1" t="e">
        <f>IF(VALUE(F8306) = VALUE(RIGHT(Insights!$C$3, 4)), E8306, "")</f>
        <v>#VALUE!</v>
      </c>
      <c r="H8306" s="26" t="e">
        <f t="shared" si="1"/>
        <v>#VALUE!</v>
      </c>
      <c r="I8306" s="1" t="e">
        <f t="shared" si="2"/>
        <v>#VALUE!</v>
      </c>
    </row>
    <row r="8307" spans="1:9" ht="15.75" customHeight="1">
      <c r="A8307" s="26"/>
      <c r="B8307" s="2"/>
      <c r="C8307" s="26"/>
      <c r="D8307" s="26"/>
      <c r="F8307" s="85" t="str">
        <f t="shared" si="0"/>
        <v/>
      </c>
      <c r="G8307" s="1" t="e">
        <f>IF(VALUE(F8307) = VALUE(RIGHT(Insights!$C$3, 4)), E8307, "")</f>
        <v>#VALUE!</v>
      </c>
      <c r="H8307" s="26" t="e">
        <f t="shared" si="1"/>
        <v>#VALUE!</v>
      </c>
      <c r="I8307" s="1" t="e">
        <f t="shared" si="2"/>
        <v>#VALUE!</v>
      </c>
    </row>
    <row r="8308" spans="1:9" ht="15.75" customHeight="1">
      <c r="A8308" s="26"/>
      <c r="B8308" s="2"/>
      <c r="C8308" s="26"/>
      <c r="D8308" s="26"/>
      <c r="F8308" s="85" t="str">
        <f t="shared" si="0"/>
        <v/>
      </c>
      <c r="G8308" s="1" t="e">
        <f>IF(VALUE(F8308) = VALUE(RIGHT(Insights!$C$3, 4)), E8308, "")</f>
        <v>#VALUE!</v>
      </c>
      <c r="H8308" s="26" t="e">
        <f t="shared" si="1"/>
        <v>#VALUE!</v>
      </c>
      <c r="I8308" s="1" t="e">
        <f t="shared" si="2"/>
        <v>#VALUE!</v>
      </c>
    </row>
    <row r="8309" spans="1:9" ht="15.75" customHeight="1">
      <c r="A8309" s="26"/>
      <c r="B8309" s="2"/>
      <c r="C8309" s="26"/>
      <c r="D8309" s="26"/>
      <c r="F8309" s="85" t="str">
        <f t="shared" si="0"/>
        <v/>
      </c>
      <c r="G8309" s="1" t="e">
        <f>IF(VALUE(F8309) = VALUE(RIGHT(Insights!$C$3, 4)), E8309, "")</f>
        <v>#VALUE!</v>
      </c>
      <c r="H8309" s="26" t="e">
        <f t="shared" si="1"/>
        <v>#VALUE!</v>
      </c>
      <c r="I8309" s="1" t="e">
        <f t="shared" si="2"/>
        <v>#VALUE!</v>
      </c>
    </row>
    <row r="8310" spans="1:9" ht="15.75" customHeight="1">
      <c r="A8310" s="26"/>
      <c r="B8310" s="2"/>
      <c r="C8310" s="26"/>
      <c r="D8310" s="26"/>
      <c r="F8310" s="85" t="str">
        <f t="shared" si="0"/>
        <v/>
      </c>
      <c r="G8310" s="1" t="e">
        <f>IF(VALUE(F8310) = VALUE(RIGHT(Insights!$C$3, 4)), E8310, "")</f>
        <v>#VALUE!</v>
      </c>
      <c r="H8310" s="26" t="e">
        <f t="shared" si="1"/>
        <v>#VALUE!</v>
      </c>
      <c r="I8310" s="1" t="e">
        <f t="shared" si="2"/>
        <v>#VALUE!</v>
      </c>
    </row>
    <row r="8311" spans="1:9" ht="15.75" customHeight="1">
      <c r="A8311" s="26"/>
      <c r="B8311" s="2"/>
      <c r="C8311" s="26"/>
      <c r="D8311" s="26"/>
      <c r="F8311" s="85" t="str">
        <f t="shared" si="0"/>
        <v/>
      </c>
      <c r="G8311" s="1" t="e">
        <f>IF(VALUE(F8311) = VALUE(RIGHT(Insights!$C$3, 4)), E8311, "")</f>
        <v>#VALUE!</v>
      </c>
      <c r="H8311" s="26" t="e">
        <f t="shared" si="1"/>
        <v>#VALUE!</v>
      </c>
      <c r="I8311" s="1" t="e">
        <f t="shared" si="2"/>
        <v>#VALUE!</v>
      </c>
    </row>
    <row r="8312" spans="1:9" ht="15.75" customHeight="1">
      <c r="A8312" s="26"/>
      <c r="B8312" s="2"/>
      <c r="C8312" s="26"/>
      <c r="D8312" s="26"/>
      <c r="F8312" s="85" t="str">
        <f t="shared" si="0"/>
        <v/>
      </c>
      <c r="G8312" s="1" t="e">
        <f>IF(VALUE(F8312) = VALUE(RIGHT(Insights!$C$3, 4)), E8312, "")</f>
        <v>#VALUE!</v>
      </c>
      <c r="H8312" s="26" t="e">
        <f t="shared" si="1"/>
        <v>#VALUE!</v>
      </c>
      <c r="I8312" s="1" t="e">
        <f t="shared" si="2"/>
        <v>#VALUE!</v>
      </c>
    </row>
    <row r="8313" spans="1:9" ht="15.75" customHeight="1">
      <c r="A8313" s="26"/>
      <c r="B8313" s="2"/>
      <c r="C8313" s="26"/>
      <c r="D8313" s="26"/>
      <c r="F8313" s="85" t="str">
        <f t="shared" si="0"/>
        <v/>
      </c>
      <c r="G8313" s="1" t="e">
        <f>IF(VALUE(F8313) = VALUE(RIGHT(Insights!$C$3, 4)), E8313, "")</f>
        <v>#VALUE!</v>
      </c>
      <c r="H8313" s="26" t="e">
        <f t="shared" si="1"/>
        <v>#VALUE!</v>
      </c>
      <c r="I8313" s="1" t="e">
        <f t="shared" si="2"/>
        <v>#VALUE!</v>
      </c>
    </row>
    <row r="8314" spans="1:9" ht="15.75" customHeight="1">
      <c r="A8314" s="26"/>
      <c r="B8314" s="2"/>
      <c r="C8314" s="26"/>
      <c r="D8314" s="26"/>
      <c r="F8314" s="85" t="str">
        <f t="shared" si="0"/>
        <v/>
      </c>
      <c r="G8314" s="1" t="e">
        <f>IF(VALUE(F8314) = VALUE(RIGHT(Insights!$C$3, 4)), E8314, "")</f>
        <v>#VALUE!</v>
      </c>
      <c r="H8314" s="26" t="e">
        <f t="shared" si="1"/>
        <v>#VALUE!</v>
      </c>
      <c r="I8314" s="1" t="e">
        <f t="shared" si="2"/>
        <v>#VALUE!</v>
      </c>
    </row>
    <row r="8315" spans="1:9" ht="15.75" customHeight="1">
      <c r="A8315" s="26"/>
      <c r="B8315" s="2"/>
      <c r="C8315" s="26"/>
      <c r="D8315" s="26"/>
      <c r="F8315" s="85" t="str">
        <f t="shared" si="0"/>
        <v/>
      </c>
      <c r="G8315" s="1" t="e">
        <f>IF(VALUE(F8315) = VALUE(RIGHT(Insights!$C$3, 4)), E8315, "")</f>
        <v>#VALUE!</v>
      </c>
      <c r="H8315" s="26" t="e">
        <f t="shared" si="1"/>
        <v>#VALUE!</v>
      </c>
      <c r="I8315" s="1" t="e">
        <f t="shared" si="2"/>
        <v>#VALUE!</v>
      </c>
    </row>
    <row r="8316" spans="1:9" ht="15.75" customHeight="1">
      <c r="A8316" s="26"/>
      <c r="B8316" s="2"/>
      <c r="C8316" s="26"/>
      <c r="D8316" s="26"/>
      <c r="F8316" s="85" t="str">
        <f t="shared" si="0"/>
        <v/>
      </c>
      <c r="G8316" s="1" t="e">
        <f>IF(VALUE(F8316) = VALUE(RIGHT(Insights!$C$3, 4)), E8316, "")</f>
        <v>#VALUE!</v>
      </c>
      <c r="H8316" s="26" t="e">
        <f t="shared" si="1"/>
        <v>#VALUE!</v>
      </c>
      <c r="I8316" s="1" t="e">
        <f t="shared" si="2"/>
        <v>#VALUE!</v>
      </c>
    </row>
    <row r="8317" spans="1:9" ht="15.75" customHeight="1">
      <c r="A8317" s="26"/>
      <c r="B8317" s="2"/>
      <c r="C8317" s="26"/>
      <c r="D8317" s="26"/>
      <c r="F8317" s="85" t="str">
        <f t="shared" si="0"/>
        <v/>
      </c>
      <c r="G8317" s="1" t="e">
        <f>IF(VALUE(F8317) = VALUE(RIGHT(Insights!$C$3, 4)), E8317, "")</f>
        <v>#VALUE!</v>
      </c>
      <c r="H8317" s="26" t="e">
        <f t="shared" si="1"/>
        <v>#VALUE!</v>
      </c>
      <c r="I8317" s="1" t="e">
        <f t="shared" si="2"/>
        <v>#VALUE!</v>
      </c>
    </row>
    <row r="8318" spans="1:9" ht="15.75" customHeight="1">
      <c r="A8318" s="26"/>
      <c r="B8318" s="2"/>
      <c r="C8318" s="26"/>
      <c r="D8318" s="26"/>
      <c r="F8318" s="85" t="str">
        <f t="shared" si="0"/>
        <v/>
      </c>
      <c r="G8318" s="1" t="e">
        <f>IF(VALUE(F8318) = VALUE(RIGHT(Insights!$C$3, 4)), E8318, "")</f>
        <v>#VALUE!</v>
      </c>
      <c r="H8318" s="26" t="e">
        <f t="shared" si="1"/>
        <v>#VALUE!</v>
      </c>
      <c r="I8318" s="1" t="e">
        <f t="shared" si="2"/>
        <v>#VALUE!</v>
      </c>
    </row>
    <row r="8319" spans="1:9" ht="15.75" customHeight="1">
      <c r="A8319" s="26"/>
      <c r="B8319" s="2"/>
      <c r="C8319" s="26"/>
      <c r="D8319" s="26"/>
      <c r="F8319" s="85" t="str">
        <f t="shared" si="0"/>
        <v/>
      </c>
      <c r="G8319" s="1" t="e">
        <f>IF(VALUE(F8319) = VALUE(RIGHT(Insights!$C$3, 4)), E8319, "")</f>
        <v>#VALUE!</v>
      </c>
      <c r="H8319" s="26" t="e">
        <f t="shared" si="1"/>
        <v>#VALUE!</v>
      </c>
      <c r="I8319" s="1" t="e">
        <f t="shared" si="2"/>
        <v>#VALUE!</v>
      </c>
    </row>
    <row r="8320" spans="1:9" ht="15.75" customHeight="1">
      <c r="A8320" s="26"/>
      <c r="B8320" s="2"/>
      <c r="C8320" s="26"/>
      <c r="D8320" s="26"/>
      <c r="F8320" s="85" t="str">
        <f t="shared" si="0"/>
        <v/>
      </c>
      <c r="G8320" s="1" t="e">
        <f>IF(VALUE(F8320) = VALUE(RIGHT(Insights!$C$3, 4)), E8320, "")</f>
        <v>#VALUE!</v>
      </c>
      <c r="H8320" s="26" t="e">
        <f t="shared" si="1"/>
        <v>#VALUE!</v>
      </c>
      <c r="I8320" s="1" t="e">
        <f t="shared" si="2"/>
        <v>#VALUE!</v>
      </c>
    </row>
    <row r="8321" spans="1:9" ht="15.75" customHeight="1">
      <c r="A8321" s="26"/>
      <c r="B8321" s="2"/>
      <c r="C8321" s="26"/>
      <c r="D8321" s="26"/>
      <c r="F8321" s="85" t="str">
        <f t="shared" si="0"/>
        <v/>
      </c>
      <c r="G8321" s="1" t="e">
        <f>IF(VALUE(F8321) = VALUE(RIGHT(Insights!$C$3, 4)), E8321, "")</f>
        <v>#VALUE!</v>
      </c>
      <c r="H8321" s="26" t="e">
        <f t="shared" si="1"/>
        <v>#VALUE!</v>
      </c>
      <c r="I8321" s="1" t="e">
        <f t="shared" si="2"/>
        <v>#VALUE!</v>
      </c>
    </row>
    <row r="8322" spans="1:9" ht="15.75" customHeight="1">
      <c r="A8322" s="26"/>
      <c r="B8322" s="2"/>
      <c r="C8322" s="26"/>
      <c r="D8322" s="26"/>
      <c r="F8322" s="85" t="str">
        <f t="shared" si="0"/>
        <v/>
      </c>
      <c r="G8322" s="1" t="e">
        <f>IF(VALUE(F8322) = VALUE(RIGHT(Insights!$C$3, 4)), E8322, "")</f>
        <v>#VALUE!</v>
      </c>
      <c r="H8322" s="26" t="e">
        <f t="shared" si="1"/>
        <v>#VALUE!</v>
      </c>
      <c r="I8322" s="1" t="e">
        <f t="shared" si="2"/>
        <v>#VALUE!</v>
      </c>
    </row>
    <row r="8323" spans="1:9" ht="15.75" customHeight="1">
      <c r="A8323" s="26"/>
      <c r="B8323" s="2"/>
      <c r="C8323" s="26"/>
      <c r="D8323" s="26"/>
      <c r="F8323" s="85" t="str">
        <f t="shared" si="0"/>
        <v/>
      </c>
      <c r="G8323" s="1" t="e">
        <f>IF(VALUE(F8323) = VALUE(RIGHT(Insights!$C$3, 4)), E8323, "")</f>
        <v>#VALUE!</v>
      </c>
      <c r="H8323" s="26" t="e">
        <f t="shared" si="1"/>
        <v>#VALUE!</v>
      </c>
      <c r="I8323" s="1" t="e">
        <f t="shared" si="2"/>
        <v>#VALUE!</v>
      </c>
    </row>
    <row r="8324" spans="1:9" ht="15.75" customHeight="1">
      <c r="A8324" s="26"/>
      <c r="B8324" s="2"/>
      <c r="C8324" s="26"/>
      <c r="D8324" s="26"/>
      <c r="F8324" s="85" t="str">
        <f t="shared" si="0"/>
        <v/>
      </c>
      <c r="G8324" s="1" t="e">
        <f>IF(VALUE(F8324) = VALUE(RIGHT(Insights!$C$3, 4)), E8324, "")</f>
        <v>#VALUE!</v>
      </c>
      <c r="H8324" s="26" t="e">
        <f t="shared" si="1"/>
        <v>#VALUE!</v>
      </c>
      <c r="I8324" s="1" t="e">
        <f t="shared" si="2"/>
        <v>#VALUE!</v>
      </c>
    </row>
    <row r="8325" spans="1:9" ht="15.75" customHeight="1">
      <c r="A8325" s="26"/>
      <c r="B8325" s="2"/>
      <c r="C8325" s="26"/>
      <c r="D8325" s="26"/>
      <c r="F8325" s="85" t="str">
        <f t="shared" si="0"/>
        <v/>
      </c>
      <c r="G8325" s="1" t="e">
        <f>IF(VALUE(F8325) = VALUE(RIGHT(Insights!$C$3, 4)), E8325, "")</f>
        <v>#VALUE!</v>
      </c>
      <c r="H8325" s="26" t="e">
        <f t="shared" si="1"/>
        <v>#VALUE!</v>
      </c>
      <c r="I8325" s="1" t="e">
        <f t="shared" si="2"/>
        <v>#VALUE!</v>
      </c>
    </row>
    <row r="8326" spans="1:9" ht="15.75" customHeight="1">
      <c r="A8326" s="26"/>
      <c r="B8326" s="2"/>
      <c r="C8326" s="26"/>
      <c r="D8326" s="26"/>
      <c r="F8326" s="85" t="str">
        <f t="shared" si="0"/>
        <v/>
      </c>
      <c r="G8326" s="1" t="e">
        <f>IF(VALUE(F8326) = VALUE(RIGHT(Insights!$C$3, 4)), E8326, "")</f>
        <v>#VALUE!</v>
      </c>
      <c r="H8326" s="26" t="e">
        <f t="shared" si="1"/>
        <v>#VALUE!</v>
      </c>
      <c r="I8326" s="1" t="e">
        <f t="shared" si="2"/>
        <v>#VALUE!</v>
      </c>
    </row>
    <row r="8327" spans="1:9" ht="15.75" customHeight="1">
      <c r="A8327" s="26"/>
      <c r="B8327" s="2"/>
      <c r="C8327" s="26"/>
      <c r="D8327" s="26"/>
      <c r="F8327" s="85" t="str">
        <f t="shared" si="0"/>
        <v/>
      </c>
      <c r="G8327" s="1" t="e">
        <f>IF(VALUE(F8327) = VALUE(RIGHT(Insights!$C$3, 4)), E8327, "")</f>
        <v>#VALUE!</v>
      </c>
      <c r="H8327" s="26" t="e">
        <f t="shared" si="1"/>
        <v>#VALUE!</v>
      </c>
      <c r="I8327" s="1" t="e">
        <f t="shared" si="2"/>
        <v>#VALUE!</v>
      </c>
    </row>
    <row r="8328" spans="1:9" ht="15.75" customHeight="1">
      <c r="A8328" s="26"/>
      <c r="B8328" s="2"/>
      <c r="C8328" s="26"/>
      <c r="D8328" s="26"/>
      <c r="F8328" s="85" t="str">
        <f t="shared" si="0"/>
        <v/>
      </c>
      <c r="G8328" s="1" t="e">
        <f>IF(VALUE(F8328) = VALUE(RIGHT(Insights!$C$3, 4)), E8328, "")</f>
        <v>#VALUE!</v>
      </c>
      <c r="H8328" s="26" t="e">
        <f t="shared" si="1"/>
        <v>#VALUE!</v>
      </c>
      <c r="I8328" s="1" t="e">
        <f t="shared" si="2"/>
        <v>#VALUE!</v>
      </c>
    </row>
    <row r="8329" spans="1:9" ht="15.75" customHeight="1">
      <c r="A8329" s="26"/>
      <c r="B8329" s="2"/>
      <c r="C8329" s="26"/>
      <c r="D8329" s="26"/>
      <c r="F8329" s="85" t="str">
        <f t="shared" si="0"/>
        <v/>
      </c>
      <c r="G8329" s="1" t="e">
        <f>IF(VALUE(F8329) = VALUE(RIGHT(Insights!$C$3, 4)), E8329, "")</f>
        <v>#VALUE!</v>
      </c>
      <c r="H8329" s="26" t="e">
        <f t="shared" si="1"/>
        <v>#VALUE!</v>
      </c>
      <c r="I8329" s="1" t="e">
        <f t="shared" si="2"/>
        <v>#VALUE!</v>
      </c>
    </row>
    <row r="8330" spans="1:9" ht="15.75" customHeight="1">
      <c r="A8330" s="26"/>
      <c r="B8330" s="2"/>
      <c r="C8330" s="26"/>
      <c r="D8330" s="26"/>
      <c r="F8330" s="85" t="str">
        <f t="shared" si="0"/>
        <v/>
      </c>
      <c r="G8330" s="1" t="e">
        <f>IF(VALUE(F8330) = VALUE(RIGHT(Insights!$C$3, 4)), E8330, "")</f>
        <v>#VALUE!</v>
      </c>
      <c r="H8330" s="26" t="e">
        <f t="shared" si="1"/>
        <v>#VALUE!</v>
      </c>
      <c r="I8330" s="1" t="e">
        <f t="shared" si="2"/>
        <v>#VALUE!</v>
      </c>
    </row>
    <row r="8331" spans="1:9" ht="15.75" customHeight="1">
      <c r="A8331" s="26"/>
      <c r="B8331" s="2"/>
      <c r="C8331" s="26"/>
      <c r="D8331" s="26"/>
      <c r="F8331" s="85" t="str">
        <f t="shared" si="0"/>
        <v/>
      </c>
      <c r="G8331" s="1" t="e">
        <f>IF(VALUE(F8331) = VALUE(RIGHT(Insights!$C$3, 4)), E8331, "")</f>
        <v>#VALUE!</v>
      </c>
      <c r="H8331" s="26" t="e">
        <f t="shared" si="1"/>
        <v>#VALUE!</v>
      </c>
      <c r="I8331" s="1" t="e">
        <f t="shared" si="2"/>
        <v>#VALUE!</v>
      </c>
    </row>
    <row r="8332" spans="1:9" ht="15.75" customHeight="1">
      <c r="A8332" s="26"/>
      <c r="B8332" s="2"/>
      <c r="C8332" s="26"/>
      <c r="D8332" s="26"/>
      <c r="F8332" s="85" t="str">
        <f t="shared" si="0"/>
        <v/>
      </c>
      <c r="G8332" s="1" t="e">
        <f>IF(VALUE(F8332) = VALUE(RIGHT(Insights!$C$3, 4)), E8332, "")</f>
        <v>#VALUE!</v>
      </c>
      <c r="H8332" s="26" t="e">
        <f t="shared" si="1"/>
        <v>#VALUE!</v>
      </c>
      <c r="I8332" s="1" t="e">
        <f t="shared" si="2"/>
        <v>#VALUE!</v>
      </c>
    </row>
    <row r="8333" spans="1:9" ht="15.75" customHeight="1">
      <c r="A8333" s="26"/>
      <c r="B8333" s="2"/>
      <c r="C8333" s="26"/>
      <c r="D8333" s="26"/>
      <c r="F8333" s="85" t="str">
        <f t="shared" si="0"/>
        <v/>
      </c>
      <c r="G8333" s="1" t="e">
        <f>IF(VALUE(F8333) = VALUE(RIGHT(Insights!$C$3, 4)), E8333, "")</f>
        <v>#VALUE!</v>
      </c>
      <c r="H8333" s="26" t="e">
        <f t="shared" si="1"/>
        <v>#VALUE!</v>
      </c>
      <c r="I8333" s="1" t="e">
        <f t="shared" si="2"/>
        <v>#VALUE!</v>
      </c>
    </row>
    <row r="8334" spans="1:9" ht="15.75" customHeight="1">
      <c r="A8334" s="26"/>
      <c r="B8334" s="2"/>
      <c r="C8334" s="26"/>
      <c r="D8334" s="26"/>
      <c r="F8334" s="85" t="str">
        <f t="shared" si="0"/>
        <v/>
      </c>
      <c r="G8334" s="1" t="e">
        <f>IF(VALUE(F8334) = VALUE(RIGHT(Insights!$C$3, 4)), E8334, "")</f>
        <v>#VALUE!</v>
      </c>
      <c r="H8334" s="26" t="e">
        <f t="shared" si="1"/>
        <v>#VALUE!</v>
      </c>
      <c r="I8334" s="1" t="e">
        <f t="shared" si="2"/>
        <v>#VALUE!</v>
      </c>
    </row>
    <row r="8335" spans="1:9" ht="15.75" customHeight="1">
      <c r="A8335" s="26"/>
      <c r="B8335" s="2"/>
      <c r="C8335" s="26"/>
      <c r="D8335" s="26"/>
      <c r="F8335" s="85" t="str">
        <f t="shared" si="0"/>
        <v/>
      </c>
      <c r="G8335" s="1" t="e">
        <f>IF(VALUE(F8335) = VALUE(RIGHT(Insights!$C$3, 4)), E8335, "")</f>
        <v>#VALUE!</v>
      </c>
      <c r="H8335" s="26" t="e">
        <f t="shared" si="1"/>
        <v>#VALUE!</v>
      </c>
      <c r="I8335" s="1" t="e">
        <f t="shared" si="2"/>
        <v>#VALUE!</v>
      </c>
    </row>
    <row r="8336" spans="1:9" ht="15.75" customHeight="1">
      <c r="A8336" s="26"/>
      <c r="B8336" s="2"/>
      <c r="C8336" s="26"/>
      <c r="D8336" s="26"/>
      <c r="F8336" s="85" t="str">
        <f t="shared" si="0"/>
        <v/>
      </c>
      <c r="G8336" s="1" t="e">
        <f>IF(VALUE(F8336) = VALUE(RIGHT(Insights!$C$3, 4)), E8336, "")</f>
        <v>#VALUE!</v>
      </c>
      <c r="H8336" s="26" t="e">
        <f t="shared" si="1"/>
        <v>#VALUE!</v>
      </c>
      <c r="I8336" s="1" t="e">
        <f t="shared" si="2"/>
        <v>#VALUE!</v>
      </c>
    </row>
    <row r="8337" spans="1:9" ht="15.75" customHeight="1">
      <c r="A8337" s="26"/>
      <c r="B8337" s="2"/>
      <c r="C8337" s="26"/>
      <c r="D8337" s="26"/>
      <c r="F8337" s="85" t="str">
        <f t="shared" si="0"/>
        <v/>
      </c>
      <c r="G8337" s="1" t="e">
        <f>IF(VALUE(F8337) = VALUE(RIGHT(Insights!$C$3, 4)), E8337, "")</f>
        <v>#VALUE!</v>
      </c>
      <c r="H8337" s="26" t="e">
        <f t="shared" si="1"/>
        <v>#VALUE!</v>
      </c>
      <c r="I8337" s="1" t="e">
        <f t="shared" si="2"/>
        <v>#VALUE!</v>
      </c>
    </row>
    <row r="8338" spans="1:9" ht="15.75" customHeight="1">
      <c r="A8338" s="26"/>
      <c r="B8338" s="2"/>
      <c r="C8338" s="26"/>
      <c r="D8338" s="26"/>
      <c r="F8338" s="85" t="str">
        <f t="shared" si="0"/>
        <v/>
      </c>
      <c r="G8338" s="1" t="e">
        <f>IF(VALUE(F8338) = VALUE(RIGHT(Insights!$C$3, 4)), E8338, "")</f>
        <v>#VALUE!</v>
      </c>
      <c r="H8338" s="26" t="e">
        <f t="shared" si="1"/>
        <v>#VALUE!</v>
      </c>
      <c r="I8338" s="1" t="e">
        <f t="shared" si="2"/>
        <v>#VALUE!</v>
      </c>
    </row>
    <row r="8339" spans="1:9" ht="15.75" customHeight="1">
      <c r="A8339" s="26"/>
      <c r="B8339" s="2"/>
      <c r="C8339" s="26"/>
      <c r="D8339" s="26"/>
      <c r="F8339" s="85" t="str">
        <f t="shared" si="0"/>
        <v/>
      </c>
      <c r="G8339" s="1" t="e">
        <f>IF(VALUE(F8339) = VALUE(RIGHT(Insights!$C$3, 4)), E8339, "")</f>
        <v>#VALUE!</v>
      </c>
      <c r="H8339" s="26" t="e">
        <f t="shared" si="1"/>
        <v>#VALUE!</v>
      </c>
      <c r="I8339" s="1" t="e">
        <f t="shared" si="2"/>
        <v>#VALUE!</v>
      </c>
    </row>
    <row r="8340" spans="1:9" ht="15.75" customHeight="1">
      <c r="A8340" s="26"/>
      <c r="B8340" s="2"/>
      <c r="C8340" s="26"/>
      <c r="D8340" s="26"/>
      <c r="F8340" s="85" t="str">
        <f t="shared" si="0"/>
        <v/>
      </c>
      <c r="G8340" s="1" t="e">
        <f>IF(VALUE(F8340) = VALUE(RIGHT(Insights!$C$3, 4)), E8340, "")</f>
        <v>#VALUE!</v>
      </c>
      <c r="H8340" s="26" t="e">
        <f t="shared" si="1"/>
        <v>#VALUE!</v>
      </c>
      <c r="I8340" s="1" t="e">
        <f t="shared" si="2"/>
        <v>#VALUE!</v>
      </c>
    </row>
    <row r="8341" spans="1:9" ht="15.75" customHeight="1">
      <c r="A8341" s="26"/>
      <c r="B8341" s="2"/>
      <c r="C8341" s="26"/>
      <c r="D8341" s="26"/>
      <c r="F8341" s="85" t="str">
        <f t="shared" si="0"/>
        <v/>
      </c>
      <c r="G8341" s="1" t="e">
        <f>IF(VALUE(F8341) = VALUE(RIGHT(Insights!$C$3, 4)), E8341, "")</f>
        <v>#VALUE!</v>
      </c>
      <c r="H8341" s="26" t="e">
        <f t="shared" si="1"/>
        <v>#VALUE!</v>
      </c>
      <c r="I8341" s="1" t="e">
        <f t="shared" si="2"/>
        <v>#VALUE!</v>
      </c>
    </row>
    <row r="8342" spans="1:9" ht="15.75" customHeight="1">
      <c r="A8342" s="26"/>
      <c r="B8342" s="2"/>
      <c r="C8342" s="26"/>
      <c r="D8342" s="26"/>
      <c r="F8342" s="85" t="str">
        <f t="shared" si="0"/>
        <v/>
      </c>
      <c r="G8342" s="1" t="e">
        <f>IF(VALUE(F8342) = VALUE(RIGHT(Insights!$C$3, 4)), E8342, "")</f>
        <v>#VALUE!</v>
      </c>
      <c r="H8342" s="26" t="e">
        <f t="shared" si="1"/>
        <v>#VALUE!</v>
      </c>
      <c r="I8342" s="1" t="e">
        <f t="shared" si="2"/>
        <v>#VALUE!</v>
      </c>
    </row>
    <row r="8343" spans="1:9" ht="15.75" customHeight="1">
      <c r="A8343" s="26"/>
      <c r="B8343" s="2"/>
      <c r="C8343" s="26"/>
      <c r="D8343" s="26"/>
      <c r="F8343" s="85" t="str">
        <f t="shared" si="0"/>
        <v/>
      </c>
      <c r="G8343" s="1" t="e">
        <f>IF(VALUE(F8343) = VALUE(RIGHT(Insights!$C$3, 4)), E8343, "")</f>
        <v>#VALUE!</v>
      </c>
      <c r="H8343" s="26" t="e">
        <f t="shared" si="1"/>
        <v>#VALUE!</v>
      </c>
      <c r="I8343" s="1" t="e">
        <f t="shared" si="2"/>
        <v>#VALUE!</v>
      </c>
    </row>
    <row r="8344" spans="1:9" ht="15.75" customHeight="1">
      <c r="A8344" s="26"/>
      <c r="B8344" s="2"/>
      <c r="C8344" s="26"/>
      <c r="D8344" s="26"/>
      <c r="F8344" s="85" t="str">
        <f t="shared" si="0"/>
        <v/>
      </c>
      <c r="G8344" s="1" t="e">
        <f>IF(VALUE(F8344) = VALUE(RIGHT(Insights!$C$3, 4)), E8344, "")</f>
        <v>#VALUE!</v>
      </c>
      <c r="H8344" s="26" t="e">
        <f t="shared" si="1"/>
        <v>#VALUE!</v>
      </c>
      <c r="I8344" s="1" t="e">
        <f t="shared" si="2"/>
        <v>#VALUE!</v>
      </c>
    </row>
    <row r="8345" spans="1:9" ht="15.75" customHeight="1">
      <c r="A8345" s="26"/>
      <c r="B8345" s="2"/>
      <c r="C8345" s="26"/>
      <c r="D8345" s="26"/>
      <c r="F8345" s="85" t="str">
        <f t="shared" si="0"/>
        <v/>
      </c>
      <c r="G8345" s="1" t="e">
        <f>IF(VALUE(F8345) = VALUE(RIGHT(Insights!$C$3, 4)), E8345, "")</f>
        <v>#VALUE!</v>
      </c>
      <c r="H8345" s="26" t="e">
        <f t="shared" si="1"/>
        <v>#VALUE!</v>
      </c>
      <c r="I8345" s="1" t="e">
        <f t="shared" si="2"/>
        <v>#VALUE!</v>
      </c>
    </row>
    <row r="8346" spans="1:9" ht="15.75" customHeight="1">
      <c r="A8346" s="26"/>
      <c r="B8346" s="2"/>
      <c r="C8346" s="26"/>
      <c r="D8346" s="26"/>
      <c r="F8346" s="85" t="str">
        <f t="shared" si="0"/>
        <v/>
      </c>
      <c r="G8346" s="1" t="e">
        <f>IF(VALUE(F8346) = VALUE(RIGHT(Insights!$C$3, 4)), E8346, "")</f>
        <v>#VALUE!</v>
      </c>
      <c r="H8346" s="26" t="e">
        <f t="shared" si="1"/>
        <v>#VALUE!</v>
      </c>
      <c r="I8346" s="1" t="e">
        <f t="shared" si="2"/>
        <v>#VALUE!</v>
      </c>
    </row>
    <row r="8347" spans="1:9" ht="15.75" customHeight="1">
      <c r="A8347" s="26"/>
      <c r="B8347" s="2"/>
      <c r="C8347" s="26"/>
      <c r="D8347" s="26"/>
      <c r="F8347" s="85" t="str">
        <f t="shared" si="0"/>
        <v/>
      </c>
      <c r="G8347" s="1" t="e">
        <f>IF(VALUE(F8347) = VALUE(RIGHT(Insights!$C$3, 4)), E8347, "")</f>
        <v>#VALUE!</v>
      </c>
      <c r="H8347" s="26" t="e">
        <f t="shared" si="1"/>
        <v>#VALUE!</v>
      </c>
      <c r="I8347" s="1" t="e">
        <f t="shared" si="2"/>
        <v>#VALUE!</v>
      </c>
    </row>
    <row r="8348" spans="1:9" ht="15.75" customHeight="1">
      <c r="A8348" s="26"/>
      <c r="B8348" s="2"/>
      <c r="C8348" s="26"/>
      <c r="D8348" s="26"/>
      <c r="F8348" s="85" t="str">
        <f t="shared" si="0"/>
        <v/>
      </c>
      <c r="G8348" s="1" t="e">
        <f>IF(VALUE(F8348) = VALUE(RIGHT(Insights!$C$3, 4)), E8348, "")</f>
        <v>#VALUE!</v>
      </c>
      <c r="H8348" s="26" t="e">
        <f t="shared" si="1"/>
        <v>#VALUE!</v>
      </c>
      <c r="I8348" s="1" t="e">
        <f t="shared" si="2"/>
        <v>#VALUE!</v>
      </c>
    </row>
    <row r="8349" spans="1:9" ht="15.75" customHeight="1">
      <c r="A8349" s="26"/>
      <c r="B8349" s="2"/>
      <c r="C8349" s="26"/>
      <c r="D8349" s="26"/>
      <c r="F8349" s="85" t="str">
        <f t="shared" si="0"/>
        <v/>
      </c>
      <c r="G8349" s="1" t="e">
        <f>IF(VALUE(F8349) = VALUE(RIGHT(Insights!$C$3, 4)), E8349, "")</f>
        <v>#VALUE!</v>
      </c>
      <c r="H8349" s="26" t="e">
        <f t="shared" si="1"/>
        <v>#VALUE!</v>
      </c>
      <c r="I8349" s="1" t="e">
        <f t="shared" si="2"/>
        <v>#VALUE!</v>
      </c>
    </row>
    <row r="8350" spans="1:9" ht="15.75" customHeight="1">
      <c r="A8350" s="26"/>
      <c r="B8350" s="2"/>
      <c r="C8350" s="26"/>
      <c r="D8350" s="26"/>
      <c r="F8350" s="85" t="str">
        <f t="shared" si="0"/>
        <v/>
      </c>
      <c r="G8350" s="1" t="e">
        <f>IF(VALUE(F8350) = VALUE(RIGHT(Insights!$C$3, 4)), E8350, "")</f>
        <v>#VALUE!</v>
      </c>
      <c r="H8350" s="26" t="e">
        <f t="shared" si="1"/>
        <v>#VALUE!</v>
      </c>
      <c r="I8350" s="1" t="e">
        <f t="shared" si="2"/>
        <v>#VALUE!</v>
      </c>
    </row>
    <row r="8351" spans="1:9" ht="15.75" customHeight="1">
      <c r="A8351" s="26"/>
      <c r="B8351" s="2"/>
      <c r="C8351" s="26"/>
      <c r="D8351" s="26"/>
      <c r="F8351" s="85" t="str">
        <f t="shared" si="0"/>
        <v/>
      </c>
      <c r="G8351" s="1" t="e">
        <f>IF(VALUE(F8351) = VALUE(RIGHT(Insights!$C$3, 4)), E8351, "")</f>
        <v>#VALUE!</v>
      </c>
      <c r="H8351" s="26" t="e">
        <f t="shared" si="1"/>
        <v>#VALUE!</v>
      </c>
      <c r="I8351" s="1" t="e">
        <f t="shared" si="2"/>
        <v>#VALUE!</v>
      </c>
    </row>
    <row r="8352" spans="1:9" ht="15.75" customHeight="1">
      <c r="A8352" s="26"/>
      <c r="B8352" s="2"/>
      <c r="C8352" s="26"/>
      <c r="D8352" s="26"/>
      <c r="F8352" s="85" t="str">
        <f t="shared" si="0"/>
        <v/>
      </c>
      <c r="G8352" s="1" t="e">
        <f>IF(VALUE(F8352) = VALUE(RIGHT(Insights!$C$3, 4)), E8352, "")</f>
        <v>#VALUE!</v>
      </c>
      <c r="H8352" s="26" t="e">
        <f t="shared" si="1"/>
        <v>#VALUE!</v>
      </c>
      <c r="I8352" s="1" t="e">
        <f t="shared" si="2"/>
        <v>#VALUE!</v>
      </c>
    </row>
    <row r="8353" spans="1:9" ht="15.75" customHeight="1">
      <c r="A8353" s="26"/>
      <c r="B8353" s="2"/>
      <c r="C8353" s="26"/>
      <c r="D8353" s="26"/>
      <c r="F8353" s="85" t="str">
        <f t="shared" si="0"/>
        <v/>
      </c>
      <c r="G8353" s="1" t="e">
        <f>IF(VALUE(F8353) = VALUE(RIGHT(Insights!$C$3, 4)), E8353, "")</f>
        <v>#VALUE!</v>
      </c>
      <c r="H8353" s="26" t="e">
        <f t="shared" si="1"/>
        <v>#VALUE!</v>
      </c>
      <c r="I8353" s="1" t="e">
        <f t="shared" si="2"/>
        <v>#VALUE!</v>
      </c>
    </row>
    <row r="8354" spans="1:9" ht="15.75" customHeight="1">
      <c r="A8354" s="26"/>
      <c r="B8354" s="2"/>
      <c r="C8354" s="26"/>
      <c r="D8354" s="26"/>
      <c r="F8354" s="85" t="str">
        <f t="shared" si="0"/>
        <v/>
      </c>
      <c r="G8354" s="1" t="e">
        <f>IF(VALUE(F8354) = VALUE(RIGHT(Insights!$C$3, 4)), E8354, "")</f>
        <v>#VALUE!</v>
      </c>
      <c r="H8354" s="26" t="e">
        <f t="shared" si="1"/>
        <v>#VALUE!</v>
      </c>
      <c r="I8354" s="1" t="e">
        <f t="shared" si="2"/>
        <v>#VALUE!</v>
      </c>
    </row>
    <row r="8355" spans="1:9" ht="15.75" customHeight="1">
      <c r="A8355" s="26"/>
      <c r="B8355" s="2"/>
      <c r="C8355" s="26"/>
      <c r="D8355" s="26"/>
      <c r="F8355" s="85" t="str">
        <f t="shared" si="0"/>
        <v/>
      </c>
      <c r="G8355" s="1" t="e">
        <f>IF(VALUE(F8355) = VALUE(RIGHT(Insights!$C$3, 4)), E8355, "")</f>
        <v>#VALUE!</v>
      </c>
      <c r="H8355" s="26" t="e">
        <f t="shared" si="1"/>
        <v>#VALUE!</v>
      </c>
      <c r="I8355" s="1" t="e">
        <f t="shared" si="2"/>
        <v>#VALUE!</v>
      </c>
    </row>
    <row r="8356" spans="1:9" ht="15.75" customHeight="1">
      <c r="A8356" s="26"/>
      <c r="B8356" s="2"/>
      <c r="C8356" s="26"/>
      <c r="D8356" s="26"/>
      <c r="F8356" s="85" t="str">
        <f t="shared" si="0"/>
        <v/>
      </c>
      <c r="G8356" s="1" t="e">
        <f>IF(VALUE(F8356) = VALUE(RIGHT(Insights!$C$3, 4)), E8356, "")</f>
        <v>#VALUE!</v>
      </c>
      <c r="H8356" s="26" t="e">
        <f t="shared" si="1"/>
        <v>#VALUE!</v>
      </c>
      <c r="I8356" s="1" t="e">
        <f t="shared" si="2"/>
        <v>#VALUE!</v>
      </c>
    </row>
    <row r="8357" spans="1:9" ht="15.75" customHeight="1">
      <c r="A8357" s="26"/>
      <c r="B8357" s="2"/>
      <c r="C8357" s="26"/>
      <c r="D8357" s="26"/>
      <c r="F8357" s="85" t="str">
        <f t="shared" si="0"/>
        <v/>
      </c>
      <c r="G8357" s="1" t="e">
        <f>IF(VALUE(F8357) = VALUE(RIGHT(Insights!$C$3, 4)), E8357, "")</f>
        <v>#VALUE!</v>
      </c>
      <c r="H8357" s="26" t="e">
        <f t="shared" si="1"/>
        <v>#VALUE!</v>
      </c>
      <c r="I8357" s="1" t="e">
        <f t="shared" si="2"/>
        <v>#VALUE!</v>
      </c>
    </row>
    <row r="8358" spans="1:9" ht="15.75" customHeight="1">
      <c r="A8358" s="26"/>
      <c r="B8358" s="2"/>
      <c r="C8358" s="26"/>
      <c r="D8358" s="26"/>
      <c r="F8358" s="85" t="str">
        <f t="shared" si="0"/>
        <v/>
      </c>
      <c r="G8358" s="1" t="e">
        <f>IF(VALUE(F8358) = VALUE(RIGHT(Insights!$C$3, 4)), E8358, "")</f>
        <v>#VALUE!</v>
      </c>
      <c r="H8358" s="26" t="e">
        <f t="shared" si="1"/>
        <v>#VALUE!</v>
      </c>
      <c r="I8358" s="1" t="e">
        <f t="shared" si="2"/>
        <v>#VALUE!</v>
      </c>
    </row>
    <row r="8359" spans="1:9" ht="15.75" customHeight="1">
      <c r="A8359" s="26"/>
      <c r="B8359" s="2"/>
      <c r="C8359" s="26"/>
      <c r="D8359" s="26"/>
      <c r="F8359" s="85" t="str">
        <f t="shared" si="0"/>
        <v/>
      </c>
      <c r="G8359" s="1" t="e">
        <f>IF(VALUE(F8359) = VALUE(RIGHT(Insights!$C$3, 4)), E8359, "")</f>
        <v>#VALUE!</v>
      </c>
      <c r="H8359" s="26" t="e">
        <f t="shared" si="1"/>
        <v>#VALUE!</v>
      </c>
      <c r="I8359" s="1" t="e">
        <f t="shared" si="2"/>
        <v>#VALUE!</v>
      </c>
    </row>
    <row r="8360" spans="1:9" ht="15.75" customHeight="1">
      <c r="A8360" s="26"/>
      <c r="B8360" s="2"/>
      <c r="C8360" s="26"/>
      <c r="D8360" s="26"/>
      <c r="F8360" s="85" t="str">
        <f t="shared" si="0"/>
        <v/>
      </c>
      <c r="G8360" s="1" t="e">
        <f>IF(VALUE(F8360) = VALUE(RIGHT(Insights!$C$3, 4)), E8360, "")</f>
        <v>#VALUE!</v>
      </c>
      <c r="H8360" s="26" t="e">
        <f t="shared" si="1"/>
        <v>#VALUE!</v>
      </c>
      <c r="I8360" s="1" t="e">
        <f t="shared" si="2"/>
        <v>#VALUE!</v>
      </c>
    </row>
    <row r="8361" spans="1:9" ht="15.75" customHeight="1">
      <c r="A8361" s="26"/>
      <c r="B8361" s="2"/>
      <c r="C8361" s="26"/>
      <c r="D8361" s="26"/>
      <c r="F8361" s="85" t="str">
        <f t="shared" si="0"/>
        <v/>
      </c>
      <c r="G8361" s="1" t="e">
        <f>IF(VALUE(F8361) = VALUE(RIGHT(Insights!$C$3, 4)), E8361, "")</f>
        <v>#VALUE!</v>
      </c>
      <c r="H8361" s="26" t="e">
        <f t="shared" si="1"/>
        <v>#VALUE!</v>
      </c>
      <c r="I8361" s="1" t="e">
        <f t="shared" si="2"/>
        <v>#VALUE!</v>
      </c>
    </row>
    <row r="8362" spans="1:9" ht="15.75" customHeight="1">
      <c r="A8362" s="26"/>
      <c r="B8362" s="2"/>
      <c r="C8362" s="26"/>
      <c r="D8362" s="26"/>
      <c r="F8362" s="85" t="str">
        <f t="shared" si="0"/>
        <v/>
      </c>
      <c r="G8362" s="1" t="e">
        <f>IF(VALUE(F8362) = VALUE(RIGHT(Insights!$C$3, 4)), E8362, "")</f>
        <v>#VALUE!</v>
      </c>
      <c r="H8362" s="26" t="e">
        <f t="shared" si="1"/>
        <v>#VALUE!</v>
      </c>
      <c r="I8362" s="1" t="e">
        <f t="shared" si="2"/>
        <v>#VALUE!</v>
      </c>
    </row>
    <row r="8363" spans="1:9" ht="15.75" customHeight="1">
      <c r="A8363" s="26"/>
      <c r="B8363" s="2"/>
      <c r="C8363" s="26"/>
      <c r="D8363" s="26"/>
      <c r="F8363" s="85" t="str">
        <f t="shared" si="0"/>
        <v/>
      </c>
      <c r="G8363" s="1" t="e">
        <f>IF(VALUE(F8363) = VALUE(RIGHT(Insights!$C$3, 4)), E8363, "")</f>
        <v>#VALUE!</v>
      </c>
      <c r="H8363" s="26" t="e">
        <f t="shared" si="1"/>
        <v>#VALUE!</v>
      </c>
      <c r="I8363" s="1" t="e">
        <f t="shared" si="2"/>
        <v>#VALUE!</v>
      </c>
    </row>
    <row r="8364" spans="1:9" ht="15.75" customHeight="1">
      <c r="A8364" s="26"/>
      <c r="B8364" s="2"/>
      <c r="C8364" s="26"/>
      <c r="D8364" s="26"/>
      <c r="F8364" s="85" t="str">
        <f t="shared" si="0"/>
        <v/>
      </c>
      <c r="G8364" s="1" t="e">
        <f>IF(VALUE(F8364) = VALUE(RIGHT(Insights!$C$3, 4)), E8364, "")</f>
        <v>#VALUE!</v>
      </c>
      <c r="H8364" s="26" t="e">
        <f t="shared" si="1"/>
        <v>#VALUE!</v>
      </c>
      <c r="I8364" s="1" t="e">
        <f t="shared" si="2"/>
        <v>#VALUE!</v>
      </c>
    </row>
    <row r="8365" spans="1:9" ht="15.75" customHeight="1">
      <c r="A8365" s="26"/>
      <c r="B8365" s="2"/>
      <c r="C8365" s="26"/>
      <c r="D8365" s="26"/>
      <c r="F8365" s="85" t="str">
        <f t="shared" si="0"/>
        <v/>
      </c>
      <c r="G8365" s="1" t="e">
        <f>IF(VALUE(F8365) = VALUE(RIGHT(Insights!$C$3, 4)), E8365, "")</f>
        <v>#VALUE!</v>
      </c>
      <c r="H8365" s="26" t="e">
        <f t="shared" si="1"/>
        <v>#VALUE!</v>
      </c>
      <c r="I8365" s="1" t="e">
        <f t="shared" si="2"/>
        <v>#VALUE!</v>
      </c>
    </row>
    <row r="8366" spans="1:9" ht="15.75" customHeight="1">
      <c r="A8366" s="26"/>
      <c r="B8366" s="2"/>
      <c r="C8366" s="26"/>
      <c r="D8366" s="26"/>
      <c r="F8366" s="85" t="str">
        <f t="shared" si="0"/>
        <v/>
      </c>
      <c r="G8366" s="1" t="e">
        <f>IF(VALUE(F8366) = VALUE(RIGHT(Insights!$C$3, 4)), E8366, "")</f>
        <v>#VALUE!</v>
      </c>
      <c r="H8366" s="26" t="e">
        <f t="shared" si="1"/>
        <v>#VALUE!</v>
      </c>
      <c r="I8366" s="1" t="e">
        <f t="shared" si="2"/>
        <v>#VALUE!</v>
      </c>
    </row>
    <row r="8367" spans="1:9" ht="15.75" customHeight="1">
      <c r="A8367" s="26"/>
      <c r="B8367" s="2"/>
      <c r="C8367" s="26"/>
      <c r="D8367" s="26"/>
      <c r="F8367" s="85" t="str">
        <f t="shared" si="0"/>
        <v/>
      </c>
      <c r="G8367" s="1" t="e">
        <f>IF(VALUE(F8367) = VALUE(RIGHT(Insights!$C$3, 4)), E8367, "")</f>
        <v>#VALUE!</v>
      </c>
      <c r="H8367" s="26" t="e">
        <f t="shared" si="1"/>
        <v>#VALUE!</v>
      </c>
      <c r="I8367" s="1" t="e">
        <f t="shared" si="2"/>
        <v>#VALUE!</v>
      </c>
    </row>
    <row r="8368" spans="1:9" ht="15.75" customHeight="1">
      <c r="A8368" s="26"/>
      <c r="B8368" s="2"/>
      <c r="C8368" s="26"/>
      <c r="D8368" s="26"/>
      <c r="F8368" s="85" t="str">
        <f t="shared" si="0"/>
        <v/>
      </c>
      <c r="G8368" s="1" t="e">
        <f>IF(VALUE(F8368) = VALUE(RIGHT(Insights!$C$3, 4)), E8368, "")</f>
        <v>#VALUE!</v>
      </c>
      <c r="H8368" s="26" t="e">
        <f t="shared" si="1"/>
        <v>#VALUE!</v>
      </c>
      <c r="I8368" s="1" t="e">
        <f t="shared" si="2"/>
        <v>#VALUE!</v>
      </c>
    </row>
    <row r="8369" spans="1:9" ht="15.75" customHeight="1">
      <c r="A8369" s="26"/>
      <c r="B8369" s="2"/>
      <c r="C8369" s="26"/>
      <c r="D8369" s="26"/>
      <c r="F8369" s="85" t="str">
        <f t="shared" si="0"/>
        <v/>
      </c>
      <c r="G8369" s="1" t="e">
        <f>IF(VALUE(F8369) = VALUE(RIGHT(Insights!$C$3, 4)), E8369, "")</f>
        <v>#VALUE!</v>
      </c>
      <c r="H8369" s="26" t="e">
        <f t="shared" si="1"/>
        <v>#VALUE!</v>
      </c>
      <c r="I8369" s="1" t="e">
        <f t="shared" si="2"/>
        <v>#VALUE!</v>
      </c>
    </row>
    <row r="8370" spans="1:9" ht="15.75" customHeight="1">
      <c r="A8370" s="26"/>
      <c r="B8370" s="2"/>
      <c r="C8370" s="26"/>
      <c r="D8370" s="26"/>
      <c r="F8370" s="85" t="str">
        <f t="shared" si="0"/>
        <v/>
      </c>
      <c r="G8370" s="1" t="e">
        <f>IF(VALUE(F8370) = VALUE(RIGHT(Insights!$C$3, 4)), E8370, "")</f>
        <v>#VALUE!</v>
      </c>
      <c r="H8370" s="26" t="e">
        <f t="shared" si="1"/>
        <v>#VALUE!</v>
      </c>
      <c r="I8370" s="1" t="e">
        <f t="shared" si="2"/>
        <v>#VALUE!</v>
      </c>
    </row>
    <row r="8371" spans="1:9" ht="15.75" customHeight="1">
      <c r="A8371" s="26"/>
      <c r="B8371" s="2"/>
      <c r="C8371" s="26"/>
      <c r="D8371" s="26"/>
      <c r="F8371" s="85" t="str">
        <f t="shared" si="0"/>
        <v/>
      </c>
      <c r="G8371" s="1" t="e">
        <f>IF(VALUE(F8371) = VALUE(RIGHT(Insights!$C$3, 4)), E8371, "")</f>
        <v>#VALUE!</v>
      </c>
      <c r="H8371" s="26" t="e">
        <f t="shared" si="1"/>
        <v>#VALUE!</v>
      </c>
      <c r="I8371" s="1" t="e">
        <f t="shared" si="2"/>
        <v>#VALUE!</v>
      </c>
    </row>
    <row r="8372" spans="1:9" ht="15.75" customHeight="1">
      <c r="A8372" s="26"/>
      <c r="B8372" s="2"/>
      <c r="C8372" s="26"/>
      <c r="D8372" s="26"/>
      <c r="F8372" s="85" t="str">
        <f t="shared" si="0"/>
        <v/>
      </c>
      <c r="G8372" s="1" t="e">
        <f>IF(VALUE(F8372) = VALUE(RIGHT(Insights!$C$3, 4)), E8372, "")</f>
        <v>#VALUE!</v>
      </c>
      <c r="H8372" s="26" t="e">
        <f t="shared" si="1"/>
        <v>#VALUE!</v>
      </c>
      <c r="I8372" s="1" t="e">
        <f t="shared" si="2"/>
        <v>#VALUE!</v>
      </c>
    </row>
    <row r="8373" spans="1:9" ht="15.75" customHeight="1">
      <c r="A8373" s="26"/>
      <c r="B8373" s="2"/>
      <c r="C8373" s="26"/>
      <c r="D8373" s="26"/>
      <c r="F8373" s="85" t="str">
        <f t="shared" si="0"/>
        <v/>
      </c>
      <c r="G8373" s="1" t="e">
        <f>IF(VALUE(F8373) = VALUE(RIGHT(Insights!$C$3, 4)), E8373, "")</f>
        <v>#VALUE!</v>
      </c>
      <c r="H8373" s="26" t="e">
        <f t="shared" si="1"/>
        <v>#VALUE!</v>
      </c>
      <c r="I8373" s="1" t="e">
        <f t="shared" si="2"/>
        <v>#VALUE!</v>
      </c>
    </row>
    <row r="8374" spans="1:9" ht="15.75" customHeight="1">
      <c r="A8374" s="26"/>
      <c r="B8374" s="2"/>
      <c r="C8374" s="26"/>
      <c r="D8374" s="26"/>
      <c r="F8374" s="85" t="str">
        <f t="shared" si="0"/>
        <v/>
      </c>
      <c r="G8374" s="1" t="e">
        <f>IF(VALUE(F8374) = VALUE(RIGHT(Insights!$C$3, 4)), E8374, "")</f>
        <v>#VALUE!</v>
      </c>
      <c r="H8374" s="26" t="e">
        <f t="shared" si="1"/>
        <v>#VALUE!</v>
      </c>
      <c r="I8374" s="1" t="e">
        <f t="shared" si="2"/>
        <v>#VALUE!</v>
      </c>
    </row>
    <row r="8375" spans="1:9" ht="15.75" customHeight="1">
      <c r="A8375" s="26"/>
      <c r="B8375" s="2"/>
      <c r="C8375" s="26"/>
      <c r="D8375" s="26"/>
      <c r="F8375" s="85" t="str">
        <f t="shared" si="0"/>
        <v/>
      </c>
      <c r="G8375" s="1" t="e">
        <f>IF(VALUE(F8375) = VALUE(RIGHT(Insights!$C$3, 4)), E8375, "")</f>
        <v>#VALUE!</v>
      </c>
      <c r="H8375" s="26" t="e">
        <f t="shared" si="1"/>
        <v>#VALUE!</v>
      </c>
      <c r="I8375" s="1" t="e">
        <f t="shared" si="2"/>
        <v>#VALUE!</v>
      </c>
    </row>
    <row r="8376" spans="1:9" ht="15.75" customHeight="1">
      <c r="A8376" s="26"/>
      <c r="B8376" s="2"/>
      <c r="C8376" s="26"/>
      <c r="D8376" s="26"/>
      <c r="F8376" s="85" t="str">
        <f t="shared" si="0"/>
        <v/>
      </c>
      <c r="G8376" s="1" t="e">
        <f>IF(VALUE(F8376) = VALUE(RIGHT(Insights!$C$3, 4)), E8376, "")</f>
        <v>#VALUE!</v>
      </c>
      <c r="H8376" s="26" t="e">
        <f t="shared" si="1"/>
        <v>#VALUE!</v>
      </c>
      <c r="I8376" s="1" t="e">
        <f t="shared" si="2"/>
        <v>#VALUE!</v>
      </c>
    </row>
    <row r="8377" spans="1:9" ht="15.75" customHeight="1">
      <c r="A8377" s="26"/>
      <c r="B8377" s="2"/>
      <c r="C8377" s="26"/>
      <c r="D8377" s="26"/>
      <c r="F8377" s="85" t="str">
        <f t="shared" si="0"/>
        <v/>
      </c>
      <c r="G8377" s="1" t="e">
        <f>IF(VALUE(F8377) = VALUE(RIGHT(Insights!$C$3, 4)), E8377, "")</f>
        <v>#VALUE!</v>
      </c>
      <c r="H8377" s="26" t="e">
        <f t="shared" si="1"/>
        <v>#VALUE!</v>
      </c>
      <c r="I8377" s="1" t="e">
        <f t="shared" si="2"/>
        <v>#VALUE!</v>
      </c>
    </row>
    <row r="8378" spans="1:9" ht="15.75" customHeight="1">
      <c r="A8378" s="26"/>
      <c r="B8378" s="2"/>
      <c r="C8378" s="26"/>
      <c r="D8378" s="26"/>
      <c r="F8378" s="85" t="str">
        <f t="shared" si="0"/>
        <v/>
      </c>
      <c r="G8378" s="1" t="e">
        <f>IF(VALUE(F8378) = VALUE(RIGHT(Insights!$C$3, 4)), E8378, "")</f>
        <v>#VALUE!</v>
      </c>
      <c r="H8378" s="26" t="e">
        <f t="shared" si="1"/>
        <v>#VALUE!</v>
      </c>
      <c r="I8378" s="1" t="e">
        <f t="shared" si="2"/>
        <v>#VALUE!</v>
      </c>
    </row>
    <row r="8379" spans="1:9" ht="15.75" customHeight="1">
      <c r="A8379" s="26"/>
      <c r="B8379" s="2"/>
      <c r="C8379" s="26"/>
      <c r="D8379" s="26"/>
      <c r="F8379" s="85" t="str">
        <f t="shared" si="0"/>
        <v/>
      </c>
      <c r="G8379" s="1" t="e">
        <f>IF(VALUE(F8379) = VALUE(RIGHT(Insights!$C$3, 4)), E8379, "")</f>
        <v>#VALUE!</v>
      </c>
      <c r="H8379" s="26" t="e">
        <f t="shared" si="1"/>
        <v>#VALUE!</v>
      </c>
      <c r="I8379" s="1" t="e">
        <f t="shared" si="2"/>
        <v>#VALUE!</v>
      </c>
    </row>
    <row r="8380" spans="1:9" ht="15.75" customHeight="1">
      <c r="A8380" s="26"/>
      <c r="B8380" s="2"/>
      <c r="C8380" s="26"/>
      <c r="D8380" s="26"/>
      <c r="F8380" s="85" t="str">
        <f t="shared" si="0"/>
        <v/>
      </c>
      <c r="G8380" s="1" t="e">
        <f>IF(VALUE(F8380) = VALUE(RIGHT(Insights!$C$3, 4)), E8380, "")</f>
        <v>#VALUE!</v>
      </c>
      <c r="H8380" s="26" t="e">
        <f t="shared" si="1"/>
        <v>#VALUE!</v>
      </c>
      <c r="I8380" s="1" t="e">
        <f t="shared" si="2"/>
        <v>#VALUE!</v>
      </c>
    </row>
    <row r="8381" spans="1:9" ht="15.75" customHeight="1">
      <c r="A8381" s="26"/>
      <c r="B8381" s="2"/>
      <c r="C8381" s="26"/>
      <c r="D8381" s="26"/>
      <c r="F8381" s="85" t="str">
        <f t="shared" si="0"/>
        <v/>
      </c>
      <c r="G8381" s="1" t="e">
        <f>IF(VALUE(F8381) = VALUE(RIGHT(Insights!$C$3, 4)), E8381, "")</f>
        <v>#VALUE!</v>
      </c>
      <c r="H8381" s="26" t="e">
        <f t="shared" si="1"/>
        <v>#VALUE!</v>
      </c>
      <c r="I8381" s="1" t="e">
        <f t="shared" si="2"/>
        <v>#VALUE!</v>
      </c>
    </row>
    <row r="8382" spans="1:9" ht="15.75" customHeight="1">
      <c r="A8382" s="26"/>
      <c r="B8382" s="2"/>
      <c r="C8382" s="26"/>
      <c r="D8382" s="26"/>
      <c r="F8382" s="85" t="str">
        <f t="shared" si="0"/>
        <v/>
      </c>
      <c r="G8382" s="1" t="e">
        <f>IF(VALUE(F8382) = VALUE(RIGHT(Insights!$C$3, 4)), E8382, "")</f>
        <v>#VALUE!</v>
      </c>
      <c r="H8382" s="26" t="e">
        <f t="shared" si="1"/>
        <v>#VALUE!</v>
      </c>
      <c r="I8382" s="1" t="e">
        <f t="shared" si="2"/>
        <v>#VALUE!</v>
      </c>
    </row>
    <row r="8383" spans="1:9" ht="15.75" customHeight="1">
      <c r="A8383" s="26"/>
      <c r="B8383" s="2"/>
      <c r="C8383" s="26"/>
      <c r="D8383" s="26"/>
      <c r="F8383" s="85" t="str">
        <f t="shared" si="0"/>
        <v/>
      </c>
      <c r="G8383" s="1" t="e">
        <f>IF(VALUE(F8383) = VALUE(RIGHT(Insights!$C$3, 4)), E8383, "")</f>
        <v>#VALUE!</v>
      </c>
      <c r="H8383" s="26" t="e">
        <f t="shared" si="1"/>
        <v>#VALUE!</v>
      </c>
      <c r="I8383" s="1" t="e">
        <f t="shared" si="2"/>
        <v>#VALUE!</v>
      </c>
    </row>
    <row r="8384" spans="1:9" ht="15.75" customHeight="1">
      <c r="A8384" s="26"/>
      <c r="B8384" s="2"/>
      <c r="C8384" s="26"/>
      <c r="D8384" s="26"/>
      <c r="F8384" s="85" t="str">
        <f t="shared" si="0"/>
        <v/>
      </c>
      <c r="G8384" s="1" t="e">
        <f>IF(VALUE(F8384) = VALUE(RIGHT(Insights!$C$3, 4)), E8384, "")</f>
        <v>#VALUE!</v>
      </c>
      <c r="H8384" s="26" t="e">
        <f t="shared" si="1"/>
        <v>#VALUE!</v>
      </c>
      <c r="I8384" s="1" t="e">
        <f t="shared" si="2"/>
        <v>#VALUE!</v>
      </c>
    </row>
    <row r="8385" spans="1:9" ht="15.75" customHeight="1">
      <c r="A8385" s="26"/>
      <c r="B8385" s="2"/>
      <c r="C8385" s="26"/>
      <c r="D8385" s="26"/>
      <c r="F8385" s="85" t="str">
        <f t="shared" si="0"/>
        <v/>
      </c>
      <c r="G8385" s="1" t="e">
        <f>IF(VALUE(F8385) = VALUE(RIGHT(Insights!$C$3, 4)), E8385, "")</f>
        <v>#VALUE!</v>
      </c>
      <c r="H8385" s="26" t="e">
        <f t="shared" si="1"/>
        <v>#VALUE!</v>
      </c>
      <c r="I8385" s="1" t="e">
        <f t="shared" si="2"/>
        <v>#VALUE!</v>
      </c>
    </row>
    <row r="8386" spans="1:9" ht="15.75" customHeight="1">
      <c r="A8386" s="26"/>
      <c r="B8386" s="2"/>
      <c r="C8386" s="26"/>
      <c r="D8386" s="26"/>
      <c r="F8386" s="85" t="str">
        <f t="shared" si="0"/>
        <v/>
      </c>
      <c r="G8386" s="1" t="e">
        <f>IF(VALUE(F8386) = VALUE(RIGHT(Insights!$C$3, 4)), E8386, "")</f>
        <v>#VALUE!</v>
      </c>
      <c r="H8386" s="26" t="e">
        <f t="shared" si="1"/>
        <v>#VALUE!</v>
      </c>
      <c r="I8386" s="1" t="e">
        <f t="shared" si="2"/>
        <v>#VALUE!</v>
      </c>
    </row>
    <row r="8387" spans="1:9" ht="15.75" customHeight="1">
      <c r="A8387" s="26"/>
      <c r="B8387" s="2"/>
      <c r="C8387" s="26"/>
      <c r="D8387" s="26"/>
      <c r="F8387" s="85" t="str">
        <f t="shared" si="0"/>
        <v/>
      </c>
      <c r="G8387" s="1" t="e">
        <f>IF(VALUE(F8387) = VALUE(RIGHT(Insights!$C$3, 4)), E8387, "")</f>
        <v>#VALUE!</v>
      </c>
      <c r="H8387" s="26" t="e">
        <f t="shared" si="1"/>
        <v>#VALUE!</v>
      </c>
      <c r="I8387" s="1" t="e">
        <f t="shared" si="2"/>
        <v>#VALUE!</v>
      </c>
    </row>
    <row r="8388" spans="1:9" ht="15.75" customHeight="1">
      <c r="A8388" s="26"/>
      <c r="B8388" s="2"/>
      <c r="C8388" s="26"/>
      <c r="D8388" s="26"/>
      <c r="F8388" s="85" t="str">
        <f t="shared" si="0"/>
        <v/>
      </c>
      <c r="G8388" s="1" t="e">
        <f>IF(VALUE(F8388) = VALUE(RIGHT(Insights!$C$3, 4)), E8388, "")</f>
        <v>#VALUE!</v>
      </c>
      <c r="H8388" s="26" t="e">
        <f t="shared" si="1"/>
        <v>#VALUE!</v>
      </c>
      <c r="I8388" s="1" t="e">
        <f t="shared" si="2"/>
        <v>#VALUE!</v>
      </c>
    </row>
    <row r="8389" spans="1:9" ht="15.75" customHeight="1">
      <c r="A8389" s="26"/>
      <c r="B8389" s="2"/>
      <c r="C8389" s="26"/>
      <c r="D8389" s="26"/>
      <c r="F8389" s="85" t="str">
        <f t="shared" si="0"/>
        <v/>
      </c>
      <c r="G8389" s="1" t="e">
        <f>IF(VALUE(F8389) = VALUE(RIGHT(Insights!$C$3, 4)), E8389, "")</f>
        <v>#VALUE!</v>
      </c>
      <c r="H8389" s="26" t="e">
        <f t="shared" si="1"/>
        <v>#VALUE!</v>
      </c>
      <c r="I8389" s="1" t="e">
        <f t="shared" si="2"/>
        <v>#VALUE!</v>
      </c>
    </row>
    <row r="8390" spans="1:9" ht="15.75" customHeight="1">
      <c r="A8390" s="26"/>
      <c r="B8390" s="2"/>
      <c r="C8390" s="26"/>
      <c r="D8390" s="26"/>
      <c r="F8390" s="85" t="str">
        <f t="shared" si="0"/>
        <v/>
      </c>
      <c r="G8390" s="1" t="e">
        <f>IF(VALUE(F8390) = VALUE(RIGHT(Insights!$C$3, 4)), E8390, "")</f>
        <v>#VALUE!</v>
      </c>
      <c r="H8390" s="26" t="e">
        <f t="shared" si="1"/>
        <v>#VALUE!</v>
      </c>
      <c r="I8390" s="1" t="e">
        <f t="shared" si="2"/>
        <v>#VALUE!</v>
      </c>
    </row>
    <row r="8391" spans="1:9" ht="15.75" customHeight="1">
      <c r="A8391" s="26"/>
      <c r="B8391" s="2"/>
      <c r="C8391" s="26"/>
      <c r="D8391" s="26"/>
      <c r="F8391" s="85" t="str">
        <f t="shared" si="0"/>
        <v/>
      </c>
      <c r="G8391" s="1" t="e">
        <f>IF(VALUE(F8391) = VALUE(RIGHT(Insights!$C$3, 4)), E8391, "")</f>
        <v>#VALUE!</v>
      </c>
      <c r="H8391" s="26" t="e">
        <f t="shared" si="1"/>
        <v>#VALUE!</v>
      </c>
      <c r="I8391" s="1" t="e">
        <f t="shared" si="2"/>
        <v>#VALUE!</v>
      </c>
    </row>
    <row r="8392" spans="1:9" ht="15.75" customHeight="1">
      <c r="A8392" s="26"/>
      <c r="B8392" s="2"/>
      <c r="C8392" s="26"/>
      <c r="D8392" s="26"/>
      <c r="F8392" s="85" t="str">
        <f t="shared" si="0"/>
        <v/>
      </c>
      <c r="G8392" s="1" t="e">
        <f>IF(VALUE(F8392) = VALUE(RIGHT(Insights!$C$3, 4)), E8392, "")</f>
        <v>#VALUE!</v>
      </c>
      <c r="H8392" s="26" t="e">
        <f t="shared" si="1"/>
        <v>#VALUE!</v>
      </c>
      <c r="I8392" s="1" t="e">
        <f t="shared" si="2"/>
        <v>#VALUE!</v>
      </c>
    </row>
    <row r="8393" spans="1:9" ht="15.75" customHeight="1">
      <c r="A8393" s="26"/>
      <c r="B8393" s="2"/>
      <c r="C8393" s="26"/>
      <c r="D8393" s="26"/>
      <c r="F8393" s="85" t="str">
        <f t="shared" si="0"/>
        <v/>
      </c>
      <c r="G8393" s="1" t="e">
        <f>IF(VALUE(F8393) = VALUE(RIGHT(Insights!$C$3, 4)), E8393, "")</f>
        <v>#VALUE!</v>
      </c>
      <c r="H8393" s="26" t="e">
        <f t="shared" si="1"/>
        <v>#VALUE!</v>
      </c>
      <c r="I8393" s="1" t="e">
        <f t="shared" si="2"/>
        <v>#VALUE!</v>
      </c>
    </row>
    <row r="8394" spans="1:9" ht="15.75" customHeight="1">
      <c r="A8394" s="26"/>
      <c r="B8394" s="2"/>
      <c r="C8394" s="26"/>
      <c r="D8394" s="26"/>
      <c r="F8394" s="85" t="str">
        <f t="shared" si="0"/>
        <v/>
      </c>
      <c r="G8394" s="1" t="e">
        <f>IF(VALUE(F8394) = VALUE(RIGHT(Insights!$C$3, 4)), E8394, "")</f>
        <v>#VALUE!</v>
      </c>
      <c r="H8394" s="26" t="e">
        <f t="shared" si="1"/>
        <v>#VALUE!</v>
      </c>
      <c r="I8394" s="1" t="e">
        <f t="shared" si="2"/>
        <v>#VALUE!</v>
      </c>
    </row>
    <row r="8395" spans="1:9" ht="15.75" customHeight="1">
      <c r="A8395" s="26"/>
      <c r="B8395" s="2"/>
      <c r="C8395" s="26"/>
      <c r="D8395" s="26"/>
      <c r="F8395" s="85" t="str">
        <f t="shared" si="0"/>
        <v/>
      </c>
      <c r="G8395" s="1" t="e">
        <f>IF(VALUE(F8395) = VALUE(RIGHT(Insights!$C$3, 4)), E8395, "")</f>
        <v>#VALUE!</v>
      </c>
      <c r="H8395" s="26" t="e">
        <f t="shared" si="1"/>
        <v>#VALUE!</v>
      </c>
      <c r="I8395" s="1" t="e">
        <f t="shared" si="2"/>
        <v>#VALUE!</v>
      </c>
    </row>
    <row r="8396" spans="1:9" ht="15.75" customHeight="1">
      <c r="A8396" s="26"/>
      <c r="B8396" s="2"/>
      <c r="C8396" s="26"/>
      <c r="D8396" s="26"/>
      <c r="F8396" s="85" t="str">
        <f t="shared" si="0"/>
        <v/>
      </c>
      <c r="G8396" s="1" t="e">
        <f>IF(VALUE(F8396) = VALUE(RIGHT(Insights!$C$3, 4)), E8396, "")</f>
        <v>#VALUE!</v>
      </c>
      <c r="H8396" s="26" t="e">
        <f t="shared" si="1"/>
        <v>#VALUE!</v>
      </c>
      <c r="I8396" s="1" t="e">
        <f t="shared" si="2"/>
        <v>#VALUE!</v>
      </c>
    </row>
    <row r="8397" spans="1:9" ht="15.75" customHeight="1">
      <c r="A8397" s="26"/>
      <c r="B8397" s="2"/>
      <c r="C8397" s="26"/>
      <c r="D8397" s="26"/>
      <c r="F8397" s="85" t="str">
        <f t="shared" si="0"/>
        <v/>
      </c>
      <c r="G8397" s="1" t="e">
        <f>IF(VALUE(F8397) = VALUE(RIGHT(Insights!$C$3, 4)), E8397, "")</f>
        <v>#VALUE!</v>
      </c>
      <c r="H8397" s="26" t="e">
        <f t="shared" si="1"/>
        <v>#VALUE!</v>
      </c>
      <c r="I8397" s="1" t="e">
        <f t="shared" si="2"/>
        <v>#VALUE!</v>
      </c>
    </row>
    <row r="8398" spans="1:9" ht="15.75" customHeight="1">
      <c r="A8398" s="26"/>
      <c r="B8398" s="2"/>
      <c r="C8398" s="26"/>
      <c r="D8398" s="26"/>
      <c r="F8398" s="85" t="str">
        <f t="shared" si="0"/>
        <v/>
      </c>
      <c r="G8398" s="1" t="e">
        <f>IF(VALUE(F8398) = VALUE(RIGHT(Insights!$C$3, 4)), E8398, "")</f>
        <v>#VALUE!</v>
      </c>
      <c r="H8398" s="26" t="e">
        <f t="shared" si="1"/>
        <v>#VALUE!</v>
      </c>
      <c r="I8398" s="1" t="e">
        <f t="shared" si="2"/>
        <v>#VALUE!</v>
      </c>
    </row>
    <row r="8399" spans="1:9" ht="15.75" customHeight="1">
      <c r="A8399" s="26"/>
      <c r="B8399" s="2"/>
      <c r="C8399" s="26"/>
      <c r="D8399" s="26"/>
      <c r="F8399" s="85" t="str">
        <f t="shared" si="0"/>
        <v/>
      </c>
      <c r="G8399" s="1" t="e">
        <f>IF(VALUE(F8399) = VALUE(RIGHT(Insights!$C$3, 4)), E8399, "")</f>
        <v>#VALUE!</v>
      </c>
      <c r="H8399" s="26" t="e">
        <f t="shared" si="1"/>
        <v>#VALUE!</v>
      </c>
      <c r="I8399" s="1" t="e">
        <f t="shared" si="2"/>
        <v>#VALUE!</v>
      </c>
    </row>
    <row r="8400" spans="1:9" ht="15.75" customHeight="1">
      <c r="A8400" s="26"/>
      <c r="B8400" s="2"/>
      <c r="C8400" s="26"/>
      <c r="D8400" s="26"/>
      <c r="F8400" s="85" t="str">
        <f t="shared" si="0"/>
        <v/>
      </c>
      <c r="G8400" s="1" t="e">
        <f>IF(VALUE(F8400) = VALUE(RIGHT(Insights!$C$3, 4)), E8400, "")</f>
        <v>#VALUE!</v>
      </c>
      <c r="H8400" s="26" t="e">
        <f t="shared" si="1"/>
        <v>#VALUE!</v>
      </c>
      <c r="I8400" s="1" t="e">
        <f t="shared" si="2"/>
        <v>#VALUE!</v>
      </c>
    </row>
    <row r="8401" spans="1:9" ht="15.75" customHeight="1">
      <c r="A8401" s="26"/>
      <c r="B8401" s="2"/>
      <c r="C8401" s="26"/>
      <c r="D8401" s="26"/>
      <c r="F8401" s="85" t="str">
        <f t="shared" si="0"/>
        <v/>
      </c>
      <c r="G8401" s="1" t="e">
        <f>IF(VALUE(F8401) = VALUE(RIGHT(Insights!$C$3, 4)), E8401, "")</f>
        <v>#VALUE!</v>
      </c>
      <c r="H8401" s="26" t="e">
        <f t="shared" si="1"/>
        <v>#VALUE!</v>
      </c>
      <c r="I8401" s="1" t="e">
        <f t="shared" si="2"/>
        <v>#VALUE!</v>
      </c>
    </row>
    <row r="8402" spans="1:9" ht="15.75" customHeight="1">
      <c r="A8402" s="26"/>
      <c r="B8402" s="2"/>
      <c r="C8402" s="26"/>
      <c r="D8402" s="26"/>
      <c r="F8402" s="85" t="str">
        <f t="shared" si="0"/>
        <v/>
      </c>
      <c r="G8402" s="1" t="e">
        <f>IF(VALUE(F8402) = VALUE(RIGHT(Insights!$C$3, 4)), E8402, "")</f>
        <v>#VALUE!</v>
      </c>
      <c r="H8402" s="26" t="e">
        <f t="shared" si="1"/>
        <v>#VALUE!</v>
      </c>
      <c r="I8402" s="1" t="e">
        <f t="shared" si="2"/>
        <v>#VALUE!</v>
      </c>
    </row>
    <row r="8403" spans="1:9" ht="15.75" customHeight="1">
      <c r="A8403" s="26"/>
      <c r="B8403" s="2"/>
      <c r="C8403" s="26"/>
      <c r="D8403" s="26"/>
      <c r="F8403" s="85" t="str">
        <f t="shared" si="0"/>
        <v/>
      </c>
      <c r="G8403" s="1" t="e">
        <f>IF(VALUE(F8403) = VALUE(RIGHT(Insights!$C$3, 4)), E8403, "")</f>
        <v>#VALUE!</v>
      </c>
      <c r="H8403" s="26" t="e">
        <f t="shared" si="1"/>
        <v>#VALUE!</v>
      </c>
      <c r="I8403" s="1" t="e">
        <f t="shared" si="2"/>
        <v>#VALUE!</v>
      </c>
    </row>
    <row r="8404" spans="1:9" ht="15.75" customHeight="1">
      <c r="A8404" s="26"/>
      <c r="B8404" s="2"/>
      <c r="C8404" s="26"/>
      <c r="D8404" s="26"/>
      <c r="F8404" s="85" t="str">
        <f t="shared" si="0"/>
        <v/>
      </c>
      <c r="G8404" s="1" t="e">
        <f>IF(VALUE(F8404) = VALUE(RIGHT(Insights!$C$3, 4)), E8404, "")</f>
        <v>#VALUE!</v>
      </c>
      <c r="H8404" s="26" t="e">
        <f t="shared" si="1"/>
        <v>#VALUE!</v>
      </c>
      <c r="I8404" s="1" t="e">
        <f t="shared" si="2"/>
        <v>#VALUE!</v>
      </c>
    </row>
    <row r="8405" spans="1:9" ht="15.75" customHeight="1">
      <c r="A8405" s="26"/>
      <c r="B8405" s="2"/>
      <c r="C8405" s="26"/>
      <c r="D8405" s="26"/>
      <c r="F8405" s="85" t="str">
        <f t="shared" si="0"/>
        <v/>
      </c>
      <c r="G8405" s="1" t="e">
        <f>IF(VALUE(F8405) = VALUE(RIGHT(Insights!$C$3, 4)), E8405, "")</f>
        <v>#VALUE!</v>
      </c>
      <c r="H8405" s="26" t="e">
        <f t="shared" si="1"/>
        <v>#VALUE!</v>
      </c>
      <c r="I8405" s="1" t="e">
        <f t="shared" si="2"/>
        <v>#VALUE!</v>
      </c>
    </row>
    <row r="8406" spans="1:9" ht="15.75" customHeight="1">
      <c r="A8406" s="26"/>
      <c r="B8406" s="2"/>
      <c r="C8406" s="26"/>
      <c r="D8406" s="26"/>
      <c r="F8406" s="85" t="str">
        <f t="shared" si="0"/>
        <v/>
      </c>
      <c r="G8406" s="1" t="e">
        <f>IF(VALUE(F8406) = VALUE(RIGHT(Insights!$C$3, 4)), E8406, "")</f>
        <v>#VALUE!</v>
      </c>
      <c r="H8406" s="26" t="e">
        <f t="shared" si="1"/>
        <v>#VALUE!</v>
      </c>
      <c r="I8406" s="1" t="e">
        <f t="shared" si="2"/>
        <v>#VALUE!</v>
      </c>
    </row>
    <row r="8407" spans="1:9" ht="15.75" customHeight="1">
      <c r="A8407" s="26"/>
      <c r="B8407" s="2"/>
      <c r="C8407" s="26"/>
      <c r="D8407" s="26"/>
      <c r="F8407" s="85" t="str">
        <f t="shared" si="0"/>
        <v/>
      </c>
      <c r="G8407" s="1" t="e">
        <f>IF(VALUE(F8407) = VALUE(RIGHT(Insights!$C$3, 4)), E8407, "")</f>
        <v>#VALUE!</v>
      </c>
      <c r="H8407" s="26" t="e">
        <f t="shared" si="1"/>
        <v>#VALUE!</v>
      </c>
      <c r="I8407" s="1" t="e">
        <f t="shared" si="2"/>
        <v>#VALUE!</v>
      </c>
    </row>
    <row r="8408" spans="1:9" ht="15.75" customHeight="1">
      <c r="A8408" s="26"/>
      <c r="B8408" s="2"/>
      <c r="C8408" s="26"/>
      <c r="D8408" s="26"/>
      <c r="F8408" s="85" t="str">
        <f t="shared" si="0"/>
        <v/>
      </c>
      <c r="G8408" s="1" t="e">
        <f>IF(VALUE(F8408) = VALUE(RIGHT(Insights!$C$3, 4)), E8408, "")</f>
        <v>#VALUE!</v>
      </c>
      <c r="H8408" s="26" t="e">
        <f t="shared" si="1"/>
        <v>#VALUE!</v>
      </c>
      <c r="I8408" s="1" t="e">
        <f t="shared" si="2"/>
        <v>#VALUE!</v>
      </c>
    </row>
    <row r="8409" spans="1:9" ht="15.75" customHeight="1">
      <c r="A8409" s="26"/>
      <c r="B8409" s="2"/>
      <c r="C8409" s="26"/>
      <c r="D8409" s="26"/>
      <c r="F8409" s="85" t="str">
        <f t="shared" si="0"/>
        <v/>
      </c>
      <c r="G8409" s="1" t="e">
        <f>IF(VALUE(F8409) = VALUE(RIGHT(Insights!$C$3, 4)), E8409, "")</f>
        <v>#VALUE!</v>
      </c>
      <c r="H8409" s="26" t="e">
        <f t="shared" si="1"/>
        <v>#VALUE!</v>
      </c>
      <c r="I8409" s="1" t="e">
        <f t="shared" si="2"/>
        <v>#VALUE!</v>
      </c>
    </row>
    <row r="8410" spans="1:9" ht="15.75" customHeight="1">
      <c r="A8410" s="26"/>
      <c r="B8410" s="2"/>
      <c r="C8410" s="26"/>
      <c r="D8410" s="26"/>
      <c r="F8410" s="85" t="str">
        <f t="shared" si="0"/>
        <v/>
      </c>
      <c r="G8410" s="1" t="e">
        <f>IF(VALUE(F8410) = VALUE(RIGHT(Insights!$C$3, 4)), E8410, "")</f>
        <v>#VALUE!</v>
      </c>
      <c r="H8410" s="26" t="e">
        <f t="shared" si="1"/>
        <v>#VALUE!</v>
      </c>
      <c r="I8410" s="1" t="e">
        <f t="shared" si="2"/>
        <v>#VALUE!</v>
      </c>
    </row>
    <row r="8411" spans="1:9" ht="15.75" customHeight="1">
      <c r="A8411" s="26"/>
      <c r="B8411" s="2"/>
      <c r="C8411" s="26"/>
      <c r="D8411" s="26"/>
      <c r="F8411" s="85" t="str">
        <f t="shared" si="0"/>
        <v/>
      </c>
      <c r="G8411" s="1" t="e">
        <f>IF(VALUE(F8411) = VALUE(RIGHT(Insights!$C$3, 4)), E8411, "")</f>
        <v>#VALUE!</v>
      </c>
      <c r="H8411" s="26" t="e">
        <f t="shared" si="1"/>
        <v>#VALUE!</v>
      </c>
      <c r="I8411" s="1" t="e">
        <f t="shared" si="2"/>
        <v>#VALUE!</v>
      </c>
    </row>
    <row r="8412" spans="1:9" ht="15.75" customHeight="1">
      <c r="A8412" s="26"/>
      <c r="B8412" s="2"/>
      <c r="C8412" s="26"/>
      <c r="D8412" s="26"/>
      <c r="F8412" s="85" t="str">
        <f t="shared" si="0"/>
        <v/>
      </c>
      <c r="G8412" s="1" t="e">
        <f>IF(VALUE(F8412) = VALUE(RIGHT(Insights!$C$3, 4)), E8412, "")</f>
        <v>#VALUE!</v>
      </c>
      <c r="H8412" s="26" t="e">
        <f t="shared" si="1"/>
        <v>#VALUE!</v>
      </c>
      <c r="I8412" s="1" t="e">
        <f t="shared" si="2"/>
        <v>#VALUE!</v>
      </c>
    </row>
    <row r="8413" spans="1:9" ht="15.75" customHeight="1">
      <c r="A8413" s="26"/>
      <c r="B8413" s="2"/>
      <c r="C8413" s="26"/>
      <c r="D8413" s="26"/>
      <c r="F8413" s="85" t="str">
        <f t="shared" si="0"/>
        <v/>
      </c>
      <c r="G8413" s="1" t="e">
        <f>IF(VALUE(F8413) = VALUE(RIGHT(Insights!$C$3, 4)), E8413, "")</f>
        <v>#VALUE!</v>
      </c>
      <c r="H8413" s="26" t="e">
        <f t="shared" si="1"/>
        <v>#VALUE!</v>
      </c>
      <c r="I8413" s="1" t="e">
        <f t="shared" si="2"/>
        <v>#VALUE!</v>
      </c>
    </row>
    <row r="8414" spans="1:9" ht="15.75" customHeight="1">
      <c r="A8414" s="26"/>
      <c r="B8414" s="2"/>
      <c r="C8414" s="26"/>
      <c r="D8414" s="26"/>
      <c r="F8414" s="85" t="str">
        <f t="shared" si="0"/>
        <v/>
      </c>
      <c r="G8414" s="1" t="e">
        <f>IF(VALUE(F8414) = VALUE(RIGHT(Insights!$C$3, 4)), E8414, "")</f>
        <v>#VALUE!</v>
      </c>
      <c r="H8414" s="26" t="e">
        <f t="shared" si="1"/>
        <v>#VALUE!</v>
      </c>
      <c r="I8414" s="1" t="e">
        <f t="shared" si="2"/>
        <v>#VALUE!</v>
      </c>
    </row>
    <row r="8415" spans="1:9" ht="15.75" customHeight="1">
      <c r="A8415" s="26"/>
      <c r="B8415" s="2"/>
      <c r="C8415" s="26"/>
      <c r="D8415" s="26"/>
      <c r="F8415" s="85" t="str">
        <f t="shared" si="0"/>
        <v/>
      </c>
      <c r="G8415" s="1" t="e">
        <f>IF(VALUE(F8415) = VALUE(RIGHT(Insights!$C$3, 4)), E8415, "")</f>
        <v>#VALUE!</v>
      </c>
      <c r="H8415" s="26" t="e">
        <f t="shared" si="1"/>
        <v>#VALUE!</v>
      </c>
      <c r="I8415" s="1" t="e">
        <f t="shared" si="2"/>
        <v>#VALUE!</v>
      </c>
    </row>
    <row r="8416" spans="1:9" ht="15.75" customHeight="1">
      <c r="A8416" s="26"/>
      <c r="B8416" s="2"/>
      <c r="C8416" s="26"/>
      <c r="D8416" s="26"/>
      <c r="F8416" s="85" t="str">
        <f t="shared" si="0"/>
        <v/>
      </c>
      <c r="G8416" s="1" t="e">
        <f>IF(VALUE(F8416) = VALUE(RIGHT(Insights!$C$3, 4)), E8416, "")</f>
        <v>#VALUE!</v>
      </c>
      <c r="H8416" s="26" t="e">
        <f t="shared" si="1"/>
        <v>#VALUE!</v>
      </c>
      <c r="I8416" s="1" t="e">
        <f t="shared" si="2"/>
        <v>#VALUE!</v>
      </c>
    </row>
    <row r="8417" spans="1:9" ht="15.75" customHeight="1">
      <c r="A8417" s="26"/>
      <c r="B8417" s="2"/>
      <c r="C8417" s="26"/>
      <c r="D8417" s="26"/>
      <c r="F8417" s="85" t="str">
        <f t="shared" si="0"/>
        <v/>
      </c>
      <c r="G8417" s="1" t="e">
        <f>IF(VALUE(F8417) = VALUE(RIGHT(Insights!$C$3, 4)), E8417, "")</f>
        <v>#VALUE!</v>
      </c>
      <c r="H8417" s="26" t="e">
        <f t="shared" si="1"/>
        <v>#VALUE!</v>
      </c>
      <c r="I8417" s="1" t="e">
        <f t="shared" si="2"/>
        <v>#VALUE!</v>
      </c>
    </row>
    <row r="8418" spans="1:9" ht="15.75" customHeight="1">
      <c r="A8418" s="26"/>
      <c r="B8418" s="2"/>
      <c r="C8418" s="26"/>
      <c r="D8418" s="26"/>
      <c r="F8418" s="85" t="str">
        <f t="shared" si="0"/>
        <v/>
      </c>
      <c r="G8418" s="1" t="e">
        <f>IF(VALUE(F8418) = VALUE(RIGHT(Insights!$C$3, 4)), E8418, "")</f>
        <v>#VALUE!</v>
      </c>
      <c r="H8418" s="26" t="e">
        <f t="shared" si="1"/>
        <v>#VALUE!</v>
      </c>
      <c r="I8418" s="1" t="e">
        <f t="shared" si="2"/>
        <v>#VALUE!</v>
      </c>
    </row>
    <row r="8419" spans="1:9" ht="15.75" customHeight="1">
      <c r="A8419" s="26"/>
      <c r="B8419" s="2"/>
      <c r="C8419" s="26"/>
      <c r="D8419" s="26"/>
      <c r="F8419" s="85" t="str">
        <f t="shared" si="0"/>
        <v/>
      </c>
      <c r="G8419" s="1" t="e">
        <f>IF(VALUE(F8419) = VALUE(RIGHT(Insights!$C$3, 4)), E8419, "")</f>
        <v>#VALUE!</v>
      </c>
      <c r="H8419" s="26" t="e">
        <f t="shared" si="1"/>
        <v>#VALUE!</v>
      </c>
      <c r="I8419" s="1" t="e">
        <f t="shared" si="2"/>
        <v>#VALUE!</v>
      </c>
    </row>
    <row r="8420" spans="1:9" ht="15.75" customHeight="1">
      <c r="A8420" s="26"/>
      <c r="B8420" s="2"/>
      <c r="C8420" s="26"/>
      <c r="D8420" s="26"/>
      <c r="F8420" s="85" t="str">
        <f t="shared" si="0"/>
        <v/>
      </c>
      <c r="G8420" s="1" t="e">
        <f>IF(VALUE(F8420) = VALUE(RIGHT(Insights!$C$3, 4)), E8420, "")</f>
        <v>#VALUE!</v>
      </c>
      <c r="H8420" s="26" t="e">
        <f t="shared" si="1"/>
        <v>#VALUE!</v>
      </c>
      <c r="I8420" s="1" t="e">
        <f t="shared" si="2"/>
        <v>#VALUE!</v>
      </c>
    </row>
    <row r="8421" spans="1:9" ht="15.75" customHeight="1">
      <c r="A8421" s="26"/>
      <c r="B8421" s="2"/>
      <c r="C8421" s="26"/>
      <c r="D8421" s="26"/>
      <c r="F8421" s="85" t="str">
        <f t="shared" si="0"/>
        <v/>
      </c>
      <c r="G8421" s="1" t="e">
        <f>IF(VALUE(F8421) = VALUE(RIGHT(Insights!$C$3, 4)), E8421, "")</f>
        <v>#VALUE!</v>
      </c>
      <c r="H8421" s="26" t="e">
        <f t="shared" si="1"/>
        <v>#VALUE!</v>
      </c>
      <c r="I8421" s="1" t="e">
        <f t="shared" si="2"/>
        <v>#VALUE!</v>
      </c>
    </row>
    <row r="8422" spans="1:9" ht="15.75" customHeight="1">
      <c r="A8422" s="26"/>
      <c r="B8422" s="2"/>
      <c r="C8422" s="26"/>
      <c r="D8422" s="26"/>
      <c r="F8422" s="85" t="str">
        <f t="shared" si="0"/>
        <v/>
      </c>
      <c r="G8422" s="1" t="e">
        <f>IF(VALUE(F8422) = VALUE(RIGHT(Insights!$C$3, 4)), E8422, "")</f>
        <v>#VALUE!</v>
      </c>
      <c r="H8422" s="26" t="e">
        <f t="shared" si="1"/>
        <v>#VALUE!</v>
      </c>
      <c r="I8422" s="1" t="e">
        <f t="shared" si="2"/>
        <v>#VALUE!</v>
      </c>
    </row>
    <row r="8423" spans="1:9" ht="15.75" customHeight="1">
      <c r="A8423" s="26"/>
      <c r="B8423" s="2"/>
      <c r="C8423" s="26"/>
      <c r="D8423" s="26"/>
      <c r="F8423" s="85" t="str">
        <f t="shared" si="0"/>
        <v/>
      </c>
      <c r="G8423" s="1" t="e">
        <f>IF(VALUE(F8423) = VALUE(RIGHT(Insights!$C$3, 4)), E8423, "")</f>
        <v>#VALUE!</v>
      </c>
      <c r="H8423" s="26" t="e">
        <f t="shared" si="1"/>
        <v>#VALUE!</v>
      </c>
      <c r="I8423" s="1" t="e">
        <f t="shared" si="2"/>
        <v>#VALUE!</v>
      </c>
    </row>
    <row r="8424" spans="1:9" ht="15.75" customHeight="1">
      <c r="A8424" s="26"/>
      <c r="B8424" s="2"/>
      <c r="C8424" s="26"/>
      <c r="D8424" s="26"/>
      <c r="F8424" s="85" t="str">
        <f t="shared" si="0"/>
        <v/>
      </c>
      <c r="G8424" s="1" t="e">
        <f>IF(VALUE(F8424) = VALUE(RIGHT(Insights!$C$3, 4)), E8424, "")</f>
        <v>#VALUE!</v>
      </c>
      <c r="H8424" s="26" t="e">
        <f t="shared" si="1"/>
        <v>#VALUE!</v>
      </c>
      <c r="I8424" s="1" t="e">
        <f t="shared" si="2"/>
        <v>#VALUE!</v>
      </c>
    </row>
    <row r="8425" spans="1:9" ht="15.75" customHeight="1">
      <c r="A8425" s="26"/>
      <c r="B8425" s="2"/>
      <c r="C8425" s="26"/>
      <c r="D8425" s="26"/>
      <c r="F8425" s="85" t="str">
        <f t="shared" si="0"/>
        <v/>
      </c>
      <c r="G8425" s="1" t="e">
        <f>IF(VALUE(F8425) = VALUE(RIGHT(Insights!$C$3, 4)), E8425, "")</f>
        <v>#VALUE!</v>
      </c>
      <c r="H8425" s="26" t="e">
        <f t="shared" si="1"/>
        <v>#VALUE!</v>
      </c>
      <c r="I8425" s="1" t="e">
        <f t="shared" si="2"/>
        <v>#VALUE!</v>
      </c>
    </row>
    <row r="8426" spans="1:9" ht="15.75" customHeight="1">
      <c r="A8426" s="26"/>
      <c r="B8426" s="2"/>
      <c r="C8426" s="26"/>
      <c r="D8426" s="26"/>
      <c r="F8426" s="85" t="str">
        <f t="shared" si="0"/>
        <v/>
      </c>
      <c r="G8426" s="1" t="e">
        <f>IF(VALUE(F8426) = VALUE(RIGHT(Insights!$C$3, 4)), E8426, "")</f>
        <v>#VALUE!</v>
      </c>
      <c r="H8426" s="26" t="e">
        <f t="shared" si="1"/>
        <v>#VALUE!</v>
      </c>
      <c r="I8426" s="1" t="e">
        <f t="shared" si="2"/>
        <v>#VALUE!</v>
      </c>
    </row>
    <row r="8427" spans="1:9" ht="15.75" customHeight="1">
      <c r="A8427" s="26"/>
      <c r="B8427" s="2"/>
      <c r="C8427" s="26"/>
      <c r="D8427" s="26"/>
      <c r="F8427" s="85" t="str">
        <f t="shared" si="0"/>
        <v/>
      </c>
      <c r="G8427" s="1" t="e">
        <f>IF(VALUE(F8427) = VALUE(RIGHT(Insights!$C$3, 4)), E8427, "")</f>
        <v>#VALUE!</v>
      </c>
      <c r="H8427" s="26" t="e">
        <f t="shared" si="1"/>
        <v>#VALUE!</v>
      </c>
      <c r="I8427" s="1" t="e">
        <f t="shared" si="2"/>
        <v>#VALUE!</v>
      </c>
    </row>
    <row r="8428" spans="1:9" ht="15.75" customHeight="1">
      <c r="A8428" s="26"/>
      <c r="B8428" s="2"/>
      <c r="C8428" s="26"/>
      <c r="D8428" s="26"/>
      <c r="F8428" s="85" t="str">
        <f t="shared" si="0"/>
        <v/>
      </c>
      <c r="G8428" s="1" t="e">
        <f>IF(VALUE(F8428) = VALUE(RIGHT(Insights!$C$3, 4)), E8428, "")</f>
        <v>#VALUE!</v>
      </c>
      <c r="H8428" s="26" t="e">
        <f t="shared" si="1"/>
        <v>#VALUE!</v>
      </c>
      <c r="I8428" s="1" t="e">
        <f t="shared" si="2"/>
        <v>#VALUE!</v>
      </c>
    </row>
    <row r="8429" spans="1:9" ht="15.75" customHeight="1">
      <c r="A8429" s="26"/>
      <c r="B8429" s="2"/>
      <c r="C8429" s="26"/>
      <c r="D8429" s="26"/>
      <c r="F8429" s="85" t="str">
        <f t="shared" si="0"/>
        <v/>
      </c>
      <c r="G8429" s="1" t="e">
        <f>IF(VALUE(F8429) = VALUE(RIGHT(Insights!$C$3, 4)), E8429, "")</f>
        <v>#VALUE!</v>
      </c>
      <c r="H8429" s="26" t="e">
        <f t="shared" si="1"/>
        <v>#VALUE!</v>
      </c>
      <c r="I8429" s="1" t="e">
        <f t="shared" si="2"/>
        <v>#VALUE!</v>
      </c>
    </row>
    <row r="8430" spans="1:9" ht="15.75" customHeight="1">
      <c r="A8430" s="26"/>
      <c r="B8430" s="2"/>
      <c r="C8430" s="26"/>
      <c r="D8430" s="26"/>
      <c r="F8430" s="85" t="str">
        <f t="shared" si="0"/>
        <v/>
      </c>
      <c r="G8430" s="1" t="e">
        <f>IF(VALUE(F8430) = VALUE(RIGHT(Insights!$C$3, 4)), E8430, "")</f>
        <v>#VALUE!</v>
      </c>
      <c r="H8430" s="26" t="e">
        <f t="shared" si="1"/>
        <v>#VALUE!</v>
      </c>
      <c r="I8430" s="1" t="e">
        <f t="shared" si="2"/>
        <v>#VALUE!</v>
      </c>
    </row>
    <row r="8431" spans="1:9" ht="15.75" customHeight="1">
      <c r="A8431" s="26"/>
      <c r="B8431" s="2"/>
      <c r="C8431" s="26"/>
      <c r="D8431" s="26"/>
      <c r="F8431" s="85" t="str">
        <f t="shared" si="0"/>
        <v/>
      </c>
      <c r="G8431" s="1" t="e">
        <f>IF(VALUE(F8431) = VALUE(RIGHT(Insights!$C$3, 4)), E8431, "")</f>
        <v>#VALUE!</v>
      </c>
      <c r="H8431" s="26" t="e">
        <f t="shared" si="1"/>
        <v>#VALUE!</v>
      </c>
      <c r="I8431" s="1" t="e">
        <f t="shared" si="2"/>
        <v>#VALUE!</v>
      </c>
    </row>
    <row r="8432" spans="1:9" ht="15.75" customHeight="1">
      <c r="A8432" s="26"/>
      <c r="B8432" s="2"/>
      <c r="C8432" s="26"/>
      <c r="D8432" s="26"/>
      <c r="F8432" s="85" t="str">
        <f t="shared" si="0"/>
        <v/>
      </c>
      <c r="G8432" s="1" t="e">
        <f>IF(VALUE(F8432) = VALUE(RIGHT(Insights!$C$3, 4)), E8432, "")</f>
        <v>#VALUE!</v>
      </c>
      <c r="H8432" s="26" t="e">
        <f t="shared" si="1"/>
        <v>#VALUE!</v>
      </c>
      <c r="I8432" s="1" t="e">
        <f t="shared" si="2"/>
        <v>#VALUE!</v>
      </c>
    </row>
    <row r="8433" spans="1:9" ht="15.75" customHeight="1">
      <c r="A8433" s="26"/>
      <c r="B8433" s="2"/>
      <c r="C8433" s="26"/>
      <c r="D8433" s="26"/>
      <c r="F8433" s="85" t="str">
        <f t="shared" si="0"/>
        <v/>
      </c>
      <c r="G8433" s="1" t="e">
        <f>IF(VALUE(F8433) = VALUE(RIGHT(Insights!$C$3, 4)), E8433, "")</f>
        <v>#VALUE!</v>
      </c>
      <c r="H8433" s="26" t="e">
        <f t="shared" si="1"/>
        <v>#VALUE!</v>
      </c>
      <c r="I8433" s="1" t="e">
        <f t="shared" si="2"/>
        <v>#VALUE!</v>
      </c>
    </row>
    <row r="8434" spans="1:9" ht="15.75" customHeight="1">
      <c r="A8434" s="26"/>
      <c r="B8434" s="2"/>
      <c r="C8434" s="26"/>
      <c r="D8434" s="26"/>
      <c r="F8434" s="85" t="str">
        <f t="shared" si="0"/>
        <v/>
      </c>
      <c r="G8434" s="1" t="e">
        <f>IF(VALUE(F8434) = VALUE(RIGHT(Insights!$C$3, 4)), E8434, "")</f>
        <v>#VALUE!</v>
      </c>
      <c r="H8434" s="26" t="e">
        <f t="shared" si="1"/>
        <v>#VALUE!</v>
      </c>
      <c r="I8434" s="1" t="e">
        <f t="shared" si="2"/>
        <v>#VALUE!</v>
      </c>
    </row>
    <row r="8435" spans="1:9" ht="15.75" customHeight="1">
      <c r="A8435" s="26"/>
      <c r="B8435" s="2"/>
      <c r="C8435" s="26"/>
      <c r="D8435" s="26"/>
      <c r="F8435" s="85" t="str">
        <f t="shared" si="0"/>
        <v/>
      </c>
      <c r="G8435" s="1" t="e">
        <f>IF(VALUE(F8435) = VALUE(RIGHT(Insights!$C$3, 4)), E8435, "")</f>
        <v>#VALUE!</v>
      </c>
      <c r="H8435" s="26" t="e">
        <f t="shared" si="1"/>
        <v>#VALUE!</v>
      </c>
      <c r="I8435" s="1" t="e">
        <f t="shared" si="2"/>
        <v>#VALUE!</v>
      </c>
    </row>
    <row r="8436" spans="1:9" ht="15.75" customHeight="1">
      <c r="A8436" s="26"/>
      <c r="B8436" s="2"/>
      <c r="C8436" s="26"/>
      <c r="D8436" s="26"/>
      <c r="F8436" s="85" t="str">
        <f t="shared" si="0"/>
        <v/>
      </c>
      <c r="G8436" s="1" t="e">
        <f>IF(VALUE(F8436) = VALUE(RIGHT(Insights!$C$3, 4)), E8436, "")</f>
        <v>#VALUE!</v>
      </c>
      <c r="H8436" s="26" t="e">
        <f t="shared" si="1"/>
        <v>#VALUE!</v>
      </c>
      <c r="I8436" s="1" t="e">
        <f t="shared" si="2"/>
        <v>#VALUE!</v>
      </c>
    </row>
    <row r="8437" spans="1:9" ht="15.75" customHeight="1">
      <c r="A8437" s="26"/>
      <c r="B8437" s="2"/>
      <c r="C8437" s="26"/>
      <c r="D8437" s="26"/>
      <c r="F8437" s="85" t="str">
        <f t="shared" si="0"/>
        <v/>
      </c>
      <c r="G8437" s="1" t="e">
        <f>IF(VALUE(F8437) = VALUE(RIGHT(Insights!$C$3, 4)), E8437, "")</f>
        <v>#VALUE!</v>
      </c>
      <c r="H8437" s="26" t="e">
        <f t="shared" si="1"/>
        <v>#VALUE!</v>
      </c>
      <c r="I8437" s="1" t="e">
        <f t="shared" si="2"/>
        <v>#VALUE!</v>
      </c>
    </row>
    <row r="8438" spans="1:9" ht="15.75" customHeight="1">
      <c r="A8438" s="26"/>
      <c r="B8438" s="2"/>
      <c r="C8438" s="26"/>
      <c r="D8438" s="26"/>
      <c r="F8438" s="85" t="str">
        <f t="shared" si="0"/>
        <v/>
      </c>
      <c r="G8438" s="1" t="e">
        <f>IF(VALUE(F8438) = VALUE(RIGHT(Insights!$C$3, 4)), E8438, "")</f>
        <v>#VALUE!</v>
      </c>
      <c r="H8438" s="26" t="e">
        <f t="shared" si="1"/>
        <v>#VALUE!</v>
      </c>
      <c r="I8438" s="1" t="e">
        <f t="shared" si="2"/>
        <v>#VALUE!</v>
      </c>
    </row>
    <row r="8439" spans="1:9" ht="15.75" customHeight="1">
      <c r="A8439" s="26"/>
      <c r="B8439" s="2"/>
      <c r="C8439" s="26"/>
      <c r="D8439" s="26"/>
      <c r="F8439" s="85" t="str">
        <f t="shared" si="0"/>
        <v/>
      </c>
      <c r="G8439" s="1" t="e">
        <f>IF(VALUE(F8439) = VALUE(RIGHT(Insights!$C$3, 4)), E8439, "")</f>
        <v>#VALUE!</v>
      </c>
      <c r="H8439" s="26" t="e">
        <f t="shared" si="1"/>
        <v>#VALUE!</v>
      </c>
      <c r="I8439" s="1" t="e">
        <f t="shared" si="2"/>
        <v>#VALUE!</v>
      </c>
    </row>
    <row r="8440" spans="1:9" ht="15.75" customHeight="1">
      <c r="A8440" s="26"/>
      <c r="B8440" s="2"/>
      <c r="C8440" s="26"/>
      <c r="D8440" s="26"/>
      <c r="F8440" s="85" t="str">
        <f t="shared" si="0"/>
        <v/>
      </c>
      <c r="G8440" s="1" t="e">
        <f>IF(VALUE(F8440) = VALUE(RIGHT(Insights!$C$3, 4)), E8440, "")</f>
        <v>#VALUE!</v>
      </c>
      <c r="H8440" s="26" t="e">
        <f t="shared" si="1"/>
        <v>#VALUE!</v>
      </c>
      <c r="I8440" s="1" t="e">
        <f t="shared" si="2"/>
        <v>#VALUE!</v>
      </c>
    </row>
    <row r="8441" spans="1:9" ht="15.75" customHeight="1">
      <c r="A8441" s="26"/>
      <c r="B8441" s="2"/>
      <c r="C8441" s="26"/>
      <c r="D8441" s="26"/>
      <c r="F8441" s="85" t="str">
        <f t="shared" si="0"/>
        <v/>
      </c>
      <c r="G8441" s="1" t="e">
        <f>IF(VALUE(F8441) = VALUE(RIGHT(Insights!$C$3, 4)), E8441, "")</f>
        <v>#VALUE!</v>
      </c>
      <c r="H8441" s="26" t="e">
        <f t="shared" si="1"/>
        <v>#VALUE!</v>
      </c>
      <c r="I8441" s="1" t="e">
        <f t="shared" si="2"/>
        <v>#VALUE!</v>
      </c>
    </row>
    <row r="8442" spans="1:9" ht="15.75" customHeight="1">
      <c r="A8442" s="26"/>
      <c r="B8442" s="2"/>
      <c r="C8442" s="26"/>
      <c r="D8442" s="26"/>
      <c r="F8442" s="85" t="str">
        <f t="shared" si="0"/>
        <v/>
      </c>
      <c r="G8442" s="1" t="e">
        <f>IF(VALUE(F8442) = VALUE(RIGHT(Insights!$C$3, 4)), E8442, "")</f>
        <v>#VALUE!</v>
      </c>
      <c r="H8442" s="26" t="e">
        <f t="shared" si="1"/>
        <v>#VALUE!</v>
      </c>
      <c r="I8442" s="1" t="e">
        <f t="shared" si="2"/>
        <v>#VALUE!</v>
      </c>
    </row>
    <row r="8443" spans="1:9" ht="15.75" customHeight="1">
      <c r="A8443" s="26"/>
      <c r="B8443" s="2"/>
      <c r="C8443" s="26"/>
      <c r="D8443" s="26"/>
      <c r="F8443" s="85" t="str">
        <f t="shared" si="0"/>
        <v/>
      </c>
      <c r="G8443" s="1" t="e">
        <f>IF(VALUE(F8443) = VALUE(RIGHT(Insights!$C$3, 4)), E8443, "")</f>
        <v>#VALUE!</v>
      </c>
      <c r="H8443" s="26" t="e">
        <f t="shared" si="1"/>
        <v>#VALUE!</v>
      </c>
      <c r="I8443" s="1" t="e">
        <f t="shared" si="2"/>
        <v>#VALUE!</v>
      </c>
    </row>
    <row r="8444" spans="1:9" ht="15.75" customHeight="1">
      <c r="A8444" s="26"/>
      <c r="B8444" s="2"/>
      <c r="C8444" s="26"/>
      <c r="D8444" s="26"/>
      <c r="F8444" s="85" t="str">
        <f t="shared" si="0"/>
        <v/>
      </c>
      <c r="G8444" s="1" t="e">
        <f>IF(VALUE(F8444) = VALUE(RIGHT(Insights!$C$3, 4)), E8444, "")</f>
        <v>#VALUE!</v>
      </c>
      <c r="H8444" s="26" t="e">
        <f t="shared" si="1"/>
        <v>#VALUE!</v>
      </c>
      <c r="I8444" s="1" t="e">
        <f t="shared" si="2"/>
        <v>#VALUE!</v>
      </c>
    </row>
    <row r="8445" spans="1:9" ht="15.75" customHeight="1">
      <c r="A8445" s="26"/>
      <c r="B8445" s="2"/>
      <c r="C8445" s="26"/>
      <c r="D8445" s="26"/>
      <c r="F8445" s="85" t="str">
        <f t="shared" si="0"/>
        <v/>
      </c>
      <c r="G8445" s="1" t="e">
        <f>IF(VALUE(F8445) = VALUE(RIGHT(Insights!$C$3, 4)), E8445, "")</f>
        <v>#VALUE!</v>
      </c>
      <c r="H8445" s="26" t="e">
        <f t="shared" si="1"/>
        <v>#VALUE!</v>
      </c>
      <c r="I8445" s="1" t="e">
        <f t="shared" si="2"/>
        <v>#VALUE!</v>
      </c>
    </row>
    <row r="8446" spans="1:9" ht="15.75" customHeight="1">
      <c r="A8446" s="26"/>
      <c r="B8446" s="2"/>
      <c r="C8446" s="26"/>
      <c r="D8446" s="26"/>
      <c r="F8446" s="85" t="str">
        <f t="shared" si="0"/>
        <v/>
      </c>
      <c r="G8446" s="1" t="e">
        <f>IF(VALUE(F8446) = VALUE(RIGHT(Insights!$C$3, 4)), E8446, "")</f>
        <v>#VALUE!</v>
      </c>
      <c r="H8446" s="26" t="e">
        <f t="shared" si="1"/>
        <v>#VALUE!</v>
      </c>
      <c r="I8446" s="1" t="e">
        <f t="shared" si="2"/>
        <v>#VALUE!</v>
      </c>
    </row>
    <row r="8447" spans="1:9" ht="15.75" customHeight="1">
      <c r="A8447" s="26"/>
      <c r="B8447" s="2"/>
      <c r="C8447" s="26"/>
      <c r="D8447" s="26"/>
      <c r="F8447" s="85" t="str">
        <f t="shared" si="0"/>
        <v/>
      </c>
      <c r="G8447" s="1" t="e">
        <f>IF(VALUE(F8447) = VALUE(RIGHT(Insights!$C$3, 4)), E8447, "")</f>
        <v>#VALUE!</v>
      </c>
      <c r="H8447" s="26" t="e">
        <f t="shared" si="1"/>
        <v>#VALUE!</v>
      </c>
      <c r="I8447" s="1" t="e">
        <f t="shared" si="2"/>
        <v>#VALUE!</v>
      </c>
    </row>
    <row r="8448" spans="1:9" ht="15.75" customHeight="1">
      <c r="A8448" s="26"/>
      <c r="B8448" s="2"/>
      <c r="C8448" s="26"/>
      <c r="D8448" s="26"/>
      <c r="F8448" s="85" t="str">
        <f t="shared" si="0"/>
        <v/>
      </c>
      <c r="G8448" s="1" t="e">
        <f>IF(VALUE(F8448) = VALUE(RIGHT(Insights!$C$3, 4)), E8448, "")</f>
        <v>#VALUE!</v>
      </c>
      <c r="H8448" s="26" t="e">
        <f t="shared" si="1"/>
        <v>#VALUE!</v>
      </c>
      <c r="I8448" s="1" t="e">
        <f t="shared" si="2"/>
        <v>#VALUE!</v>
      </c>
    </row>
    <row r="8449" spans="1:9" ht="15.75" customHeight="1">
      <c r="A8449" s="26"/>
      <c r="B8449" s="2"/>
      <c r="C8449" s="26"/>
      <c r="D8449" s="26"/>
      <c r="F8449" s="85" t="str">
        <f t="shared" si="0"/>
        <v/>
      </c>
      <c r="G8449" s="1" t="e">
        <f>IF(VALUE(F8449) = VALUE(RIGHT(Insights!$C$3, 4)), E8449, "")</f>
        <v>#VALUE!</v>
      </c>
      <c r="H8449" s="26" t="e">
        <f t="shared" si="1"/>
        <v>#VALUE!</v>
      </c>
      <c r="I8449" s="1" t="e">
        <f t="shared" si="2"/>
        <v>#VALUE!</v>
      </c>
    </row>
    <row r="8450" spans="1:9" ht="15.75" customHeight="1">
      <c r="A8450" s="26"/>
      <c r="B8450" s="2"/>
      <c r="C8450" s="26"/>
      <c r="D8450" s="26"/>
      <c r="F8450" s="85" t="str">
        <f t="shared" si="0"/>
        <v/>
      </c>
      <c r="G8450" s="1" t="e">
        <f>IF(VALUE(F8450) = VALUE(RIGHT(Insights!$C$3, 4)), E8450, "")</f>
        <v>#VALUE!</v>
      </c>
      <c r="H8450" s="26" t="e">
        <f t="shared" si="1"/>
        <v>#VALUE!</v>
      </c>
      <c r="I8450" s="1" t="e">
        <f t="shared" si="2"/>
        <v>#VALUE!</v>
      </c>
    </row>
    <row r="8451" spans="1:9" ht="15.75" customHeight="1">
      <c r="A8451" s="26"/>
      <c r="B8451" s="2"/>
      <c r="C8451" s="26"/>
      <c r="D8451" s="26"/>
      <c r="F8451" s="85" t="str">
        <f t="shared" si="0"/>
        <v/>
      </c>
      <c r="G8451" s="1" t="e">
        <f>IF(VALUE(F8451) = VALUE(RIGHT(Insights!$C$3, 4)), E8451, "")</f>
        <v>#VALUE!</v>
      </c>
      <c r="H8451" s="26" t="e">
        <f t="shared" si="1"/>
        <v>#VALUE!</v>
      </c>
      <c r="I8451" s="1" t="e">
        <f t="shared" si="2"/>
        <v>#VALUE!</v>
      </c>
    </row>
    <row r="8452" spans="1:9" ht="15.75" customHeight="1">
      <c r="A8452" s="26"/>
      <c r="B8452" s="2"/>
      <c r="C8452" s="26"/>
      <c r="D8452" s="26"/>
      <c r="F8452" s="85" t="str">
        <f t="shared" si="0"/>
        <v/>
      </c>
      <c r="G8452" s="1" t="e">
        <f>IF(VALUE(F8452) = VALUE(RIGHT(Insights!$C$3, 4)), E8452, "")</f>
        <v>#VALUE!</v>
      </c>
      <c r="H8452" s="26" t="e">
        <f t="shared" si="1"/>
        <v>#VALUE!</v>
      </c>
      <c r="I8452" s="1" t="e">
        <f t="shared" si="2"/>
        <v>#VALUE!</v>
      </c>
    </row>
    <row r="8453" spans="1:9" ht="15.75" customHeight="1">
      <c r="A8453" s="26"/>
      <c r="B8453" s="2"/>
      <c r="C8453" s="26"/>
      <c r="D8453" s="26"/>
      <c r="F8453" s="85" t="str">
        <f t="shared" si="0"/>
        <v/>
      </c>
      <c r="G8453" s="1" t="e">
        <f>IF(VALUE(F8453) = VALUE(RIGHT(Insights!$C$3, 4)), E8453, "")</f>
        <v>#VALUE!</v>
      </c>
      <c r="H8453" s="26" t="e">
        <f t="shared" si="1"/>
        <v>#VALUE!</v>
      </c>
      <c r="I8453" s="1" t="e">
        <f t="shared" si="2"/>
        <v>#VALUE!</v>
      </c>
    </row>
    <row r="8454" spans="1:9" ht="15.75" customHeight="1">
      <c r="A8454" s="26"/>
      <c r="B8454" s="2"/>
      <c r="C8454" s="26"/>
      <c r="D8454" s="26"/>
      <c r="F8454" s="85" t="str">
        <f t="shared" si="0"/>
        <v/>
      </c>
      <c r="G8454" s="1" t="e">
        <f>IF(VALUE(F8454) = VALUE(RIGHT(Insights!$C$3, 4)), E8454, "")</f>
        <v>#VALUE!</v>
      </c>
      <c r="H8454" s="26" t="e">
        <f t="shared" si="1"/>
        <v>#VALUE!</v>
      </c>
      <c r="I8454" s="1" t="e">
        <f t="shared" si="2"/>
        <v>#VALUE!</v>
      </c>
    </row>
    <row r="8455" spans="1:9" ht="15.75" customHeight="1">
      <c r="A8455" s="26"/>
      <c r="B8455" s="2"/>
      <c r="C8455" s="26"/>
      <c r="D8455" s="26"/>
      <c r="F8455" s="85" t="str">
        <f t="shared" si="0"/>
        <v/>
      </c>
      <c r="G8455" s="1" t="e">
        <f>IF(VALUE(F8455) = VALUE(RIGHT(Insights!$C$3, 4)), E8455, "")</f>
        <v>#VALUE!</v>
      </c>
      <c r="H8455" s="26" t="e">
        <f t="shared" si="1"/>
        <v>#VALUE!</v>
      </c>
      <c r="I8455" s="1" t="e">
        <f t="shared" si="2"/>
        <v>#VALUE!</v>
      </c>
    </row>
    <row r="8456" spans="1:9" ht="15.75" customHeight="1">
      <c r="A8456" s="26"/>
      <c r="B8456" s="2"/>
      <c r="C8456" s="26"/>
      <c r="D8456" s="26"/>
      <c r="F8456" s="85" t="str">
        <f t="shared" si="0"/>
        <v/>
      </c>
      <c r="G8456" s="1" t="e">
        <f>IF(VALUE(F8456) = VALUE(RIGHT(Insights!$C$3, 4)), E8456, "")</f>
        <v>#VALUE!</v>
      </c>
      <c r="H8456" s="26" t="e">
        <f t="shared" si="1"/>
        <v>#VALUE!</v>
      </c>
      <c r="I8456" s="1" t="e">
        <f t="shared" si="2"/>
        <v>#VALUE!</v>
      </c>
    </row>
    <row r="8457" spans="1:9" ht="15.75" customHeight="1">
      <c r="A8457" s="26"/>
      <c r="B8457" s="2"/>
      <c r="C8457" s="26"/>
      <c r="D8457" s="26"/>
      <c r="F8457" s="85" t="str">
        <f t="shared" si="0"/>
        <v/>
      </c>
      <c r="G8457" s="1" t="e">
        <f>IF(VALUE(F8457) = VALUE(RIGHT(Insights!$C$3, 4)), E8457, "")</f>
        <v>#VALUE!</v>
      </c>
      <c r="H8457" s="26" t="e">
        <f t="shared" si="1"/>
        <v>#VALUE!</v>
      </c>
      <c r="I8457" s="1" t="e">
        <f t="shared" si="2"/>
        <v>#VALUE!</v>
      </c>
    </row>
    <row r="8458" spans="1:9" ht="15.75" customHeight="1">
      <c r="A8458" s="26"/>
      <c r="B8458" s="2"/>
      <c r="C8458" s="26"/>
      <c r="D8458" s="26"/>
      <c r="F8458" s="85" t="str">
        <f t="shared" si="0"/>
        <v/>
      </c>
      <c r="G8458" s="1" t="e">
        <f>IF(VALUE(F8458) = VALUE(RIGHT(Insights!$C$3, 4)), E8458, "")</f>
        <v>#VALUE!</v>
      </c>
      <c r="H8458" s="26" t="e">
        <f t="shared" si="1"/>
        <v>#VALUE!</v>
      </c>
      <c r="I8458" s="1" t="e">
        <f t="shared" si="2"/>
        <v>#VALUE!</v>
      </c>
    </row>
    <row r="8459" spans="1:9" ht="15.75" customHeight="1">
      <c r="A8459" s="26"/>
      <c r="B8459" s="2"/>
      <c r="C8459" s="26"/>
      <c r="D8459" s="26"/>
      <c r="F8459" s="85" t="str">
        <f t="shared" si="0"/>
        <v/>
      </c>
      <c r="G8459" s="1" t="e">
        <f>IF(VALUE(F8459) = VALUE(RIGHT(Insights!$C$3, 4)), E8459, "")</f>
        <v>#VALUE!</v>
      </c>
      <c r="H8459" s="26" t="e">
        <f t="shared" si="1"/>
        <v>#VALUE!</v>
      </c>
      <c r="I8459" s="1" t="e">
        <f t="shared" si="2"/>
        <v>#VALUE!</v>
      </c>
    </row>
    <row r="8460" spans="1:9" ht="15.75" customHeight="1">
      <c r="A8460" s="26"/>
      <c r="B8460" s="2"/>
      <c r="C8460" s="26"/>
      <c r="D8460" s="26"/>
      <c r="F8460" s="85" t="str">
        <f t="shared" si="0"/>
        <v/>
      </c>
      <c r="G8460" s="1" t="e">
        <f>IF(VALUE(F8460) = VALUE(RIGHT(Insights!$C$3, 4)), E8460, "")</f>
        <v>#VALUE!</v>
      </c>
      <c r="H8460" s="26" t="e">
        <f t="shared" si="1"/>
        <v>#VALUE!</v>
      </c>
      <c r="I8460" s="1" t="e">
        <f t="shared" si="2"/>
        <v>#VALUE!</v>
      </c>
    </row>
    <row r="8461" spans="1:9" ht="15.75" customHeight="1">
      <c r="A8461" s="26"/>
      <c r="B8461" s="2"/>
      <c r="C8461" s="26"/>
      <c r="D8461" s="26"/>
      <c r="F8461" s="85" t="str">
        <f t="shared" si="0"/>
        <v/>
      </c>
      <c r="G8461" s="1" t="e">
        <f>IF(VALUE(F8461) = VALUE(RIGHT(Insights!$C$3, 4)), E8461, "")</f>
        <v>#VALUE!</v>
      </c>
      <c r="H8461" s="26" t="e">
        <f t="shared" si="1"/>
        <v>#VALUE!</v>
      </c>
      <c r="I8461" s="1" t="e">
        <f t="shared" si="2"/>
        <v>#VALUE!</v>
      </c>
    </row>
    <row r="8462" spans="1:9" ht="15.75" customHeight="1">
      <c r="A8462" s="26"/>
      <c r="B8462" s="2"/>
      <c r="C8462" s="26"/>
      <c r="D8462" s="26"/>
      <c r="F8462" s="85" t="str">
        <f t="shared" si="0"/>
        <v/>
      </c>
      <c r="G8462" s="1" t="e">
        <f>IF(VALUE(F8462) = VALUE(RIGHT(Insights!$C$3, 4)), E8462, "")</f>
        <v>#VALUE!</v>
      </c>
      <c r="H8462" s="26" t="e">
        <f t="shared" si="1"/>
        <v>#VALUE!</v>
      </c>
      <c r="I8462" s="1" t="e">
        <f t="shared" si="2"/>
        <v>#VALUE!</v>
      </c>
    </row>
    <row r="8463" spans="1:9" ht="15.75" customHeight="1">
      <c r="A8463" s="26"/>
      <c r="B8463" s="2"/>
      <c r="C8463" s="26"/>
      <c r="D8463" s="26"/>
      <c r="F8463" s="85" t="str">
        <f t="shared" si="0"/>
        <v/>
      </c>
      <c r="G8463" s="1" t="e">
        <f>IF(VALUE(F8463) = VALUE(RIGHT(Insights!$C$3, 4)), E8463, "")</f>
        <v>#VALUE!</v>
      </c>
      <c r="H8463" s="26" t="e">
        <f t="shared" si="1"/>
        <v>#VALUE!</v>
      </c>
      <c r="I8463" s="1" t="e">
        <f t="shared" si="2"/>
        <v>#VALUE!</v>
      </c>
    </row>
    <row r="8464" spans="1:9" ht="15.75" customHeight="1">
      <c r="A8464" s="26"/>
      <c r="B8464" s="2"/>
      <c r="C8464" s="26"/>
      <c r="D8464" s="26"/>
      <c r="F8464" s="85" t="str">
        <f t="shared" si="0"/>
        <v/>
      </c>
      <c r="G8464" s="1" t="e">
        <f>IF(VALUE(F8464) = VALUE(RIGHT(Insights!$C$3, 4)), E8464, "")</f>
        <v>#VALUE!</v>
      </c>
      <c r="H8464" s="26" t="e">
        <f t="shared" si="1"/>
        <v>#VALUE!</v>
      </c>
      <c r="I8464" s="1" t="e">
        <f t="shared" si="2"/>
        <v>#VALUE!</v>
      </c>
    </row>
    <row r="8465" spans="1:9" ht="15.75" customHeight="1">
      <c r="A8465" s="26"/>
      <c r="B8465" s="2"/>
      <c r="C8465" s="26"/>
      <c r="D8465" s="26"/>
      <c r="F8465" s="85" t="str">
        <f t="shared" si="0"/>
        <v/>
      </c>
      <c r="G8465" s="1" t="e">
        <f>IF(VALUE(F8465) = VALUE(RIGHT(Insights!$C$3, 4)), E8465, "")</f>
        <v>#VALUE!</v>
      </c>
      <c r="H8465" s="26" t="e">
        <f t="shared" si="1"/>
        <v>#VALUE!</v>
      </c>
      <c r="I8465" s="1" t="e">
        <f t="shared" si="2"/>
        <v>#VALUE!</v>
      </c>
    </row>
    <row r="8466" spans="1:9" ht="15.75" customHeight="1">
      <c r="A8466" s="26"/>
      <c r="B8466" s="2"/>
      <c r="C8466" s="26"/>
      <c r="D8466" s="26"/>
      <c r="F8466" s="85" t="str">
        <f t="shared" si="0"/>
        <v/>
      </c>
      <c r="G8466" s="1" t="e">
        <f>IF(VALUE(F8466) = VALUE(RIGHT(Insights!$C$3, 4)), E8466, "")</f>
        <v>#VALUE!</v>
      </c>
      <c r="H8466" s="26" t="e">
        <f t="shared" si="1"/>
        <v>#VALUE!</v>
      </c>
      <c r="I8466" s="1" t="e">
        <f t="shared" si="2"/>
        <v>#VALUE!</v>
      </c>
    </row>
    <row r="8467" spans="1:9" ht="15.75" customHeight="1">
      <c r="A8467" s="26"/>
      <c r="B8467" s="2"/>
      <c r="C8467" s="26"/>
      <c r="D8467" s="26"/>
      <c r="F8467" s="85" t="str">
        <f t="shared" si="0"/>
        <v/>
      </c>
      <c r="G8467" s="1" t="e">
        <f>IF(VALUE(F8467) = VALUE(RIGHT(Insights!$C$3, 4)), E8467, "")</f>
        <v>#VALUE!</v>
      </c>
      <c r="H8467" s="26" t="e">
        <f t="shared" si="1"/>
        <v>#VALUE!</v>
      </c>
      <c r="I8467" s="1" t="e">
        <f t="shared" si="2"/>
        <v>#VALUE!</v>
      </c>
    </row>
    <row r="8468" spans="1:9" ht="15.75" customHeight="1">
      <c r="A8468" s="26"/>
      <c r="B8468" s="2"/>
      <c r="C8468" s="26"/>
      <c r="D8468" s="26"/>
      <c r="F8468" s="85" t="str">
        <f t="shared" si="0"/>
        <v/>
      </c>
      <c r="G8468" s="1" t="e">
        <f>IF(VALUE(F8468) = VALUE(RIGHT(Insights!$C$3, 4)), E8468, "")</f>
        <v>#VALUE!</v>
      </c>
      <c r="H8468" s="26" t="e">
        <f t="shared" si="1"/>
        <v>#VALUE!</v>
      </c>
      <c r="I8468" s="1" t="e">
        <f t="shared" si="2"/>
        <v>#VALUE!</v>
      </c>
    </row>
    <row r="8469" spans="1:9" ht="15.75" customHeight="1">
      <c r="A8469" s="26"/>
      <c r="B8469" s="2"/>
      <c r="C8469" s="26"/>
      <c r="D8469" s="26"/>
      <c r="F8469" s="85" t="str">
        <f t="shared" si="0"/>
        <v/>
      </c>
      <c r="G8469" s="1" t="e">
        <f>IF(VALUE(F8469) = VALUE(RIGHT(Insights!$C$3, 4)), E8469, "")</f>
        <v>#VALUE!</v>
      </c>
      <c r="H8469" s="26" t="e">
        <f t="shared" si="1"/>
        <v>#VALUE!</v>
      </c>
      <c r="I8469" s="1" t="e">
        <f t="shared" si="2"/>
        <v>#VALUE!</v>
      </c>
    </row>
    <row r="8470" spans="1:9" ht="15.75" customHeight="1">
      <c r="A8470" s="26"/>
      <c r="B8470" s="2"/>
      <c r="C8470" s="26"/>
      <c r="D8470" s="26"/>
      <c r="F8470" s="85" t="str">
        <f t="shared" si="0"/>
        <v/>
      </c>
      <c r="G8470" s="1" t="e">
        <f>IF(VALUE(F8470) = VALUE(RIGHT(Insights!$C$3, 4)), E8470, "")</f>
        <v>#VALUE!</v>
      </c>
      <c r="H8470" s="26" t="e">
        <f t="shared" si="1"/>
        <v>#VALUE!</v>
      </c>
      <c r="I8470" s="1" t="e">
        <f t="shared" si="2"/>
        <v>#VALUE!</v>
      </c>
    </row>
    <row r="8471" spans="1:9" ht="15.75" customHeight="1">
      <c r="A8471" s="26"/>
      <c r="B8471" s="2"/>
      <c r="C8471" s="26"/>
      <c r="D8471" s="26"/>
      <c r="F8471" s="85" t="str">
        <f t="shared" si="0"/>
        <v/>
      </c>
      <c r="G8471" s="1" t="e">
        <f>IF(VALUE(F8471) = VALUE(RIGHT(Insights!$C$3, 4)), E8471, "")</f>
        <v>#VALUE!</v>
      </c>
      <c r="H8471" s="26" t="e">
        <f t="shared" si="1"/>
        <v>#VALUE!</v>
      </c>
      <c r="I8471" s="1" t="e">
        <f t="shared" si="2"/>
        <v>#VALUE!</v>
      </c>
    </row>
    <row r="8472" spans="1:9" ht="15.75" customHeight="1">
      <c r="A8472" s="26"/>
      <c r="B8472" s="2"/>
      <c r="C8472" s="26"/>
      <c r="D8472" s="26"/>
      <c r="F8472" s="85" t="str">
        <f t="shared" si="0"/>
        <v/>
      </c>
      <c r="G8472" s="1" t="e">
        <f>IF(VALUE(F8472) = VALUE(RIGHT(Insights!$C$3, 4)), E8472, "")</f>
        <v>#VALUE!</v>
      </c>
      <c r="H8472" s="26" t="e">
        <f t="shared" si="1"/>
        <v>#VALUE!</v>
      </c>
      <c r="I8472" s="1" t="e">
        <f t="shared" si="2"/>
        <v>#VALUE!</v>
      </c>
    </row>
    <row r="8473" spans="1:9" ht="15.75" customHeight="1">
      <c r="A8473" s="26"/>
      <c r="B8473" s="2"/>
      <c r="C8473" s="26"/>
      <c r="D8473" s="26"/>
      <c r="F8473" s="85" t="str">
        <f t="shared" si="0"/>
        <v/>
      </c>
      <c r="G8473" s="1" t="e">
        <f>IF(VALUE(F8473) = VALUE(RIGHT(Insights!$C$3, 4)), E8473, "")</f>
        <v>#VALUE!</v>
      </c>
      <c r="H8473" s="26" t="e">
        <f t="shared" si="1"/>
        <v>#VALUE!</v>
      </c>
      <c r="I8473" s="1" t="e">
        <f t="shared" si="2"/>
        <v>#VALUE!</v>
      </c>
    </row>
    <row r="8474" spans="1:9" ht="15.75" customHeight="1">
      <c r="A8474" s="26"/>
      <c r="B8474" s="2"/>
      <c r="C8474" s="26"/>
      <c r="D8474" s="26"/>
      <c r="F8474" s="85" t="str">
        <f t="shared" si="0"/>
        <v/>
      </c>
      <c r="G8474" s="1" t="e">
        <f>IF(VALUE(F8474) = VALUE(RIGHT(Insights!$C$3, 4)), E8474, "")</f>
        <v>#VALUE!</v>
      </c>
      <c r="H8474" s="26" t="e">
        <f t="shared" si="1"/>
        <v>#VALUE!</v>
      </c>
      <c r="I8474" s="1" t="e">
        <f t="shared" si="2"/>
        <v>#VALUE!</v>
      </c>
    </row>
    <row r="8475" spans="1:9" ht="15.75" customHeight="1">
      <c r="A8475" s="26"/>
      <c r="B8475" s="2"/>
      <c r="C8475" s="26"/>
      <c r="D8475" s="26"/>
      <c r="F8475" s="85" t="str">
        <f t="shared" si="0"/>
        <v/>
      </c>
      <c r="G8475" s="1" t="e">
        <f>IF(VALUE(F8475) = VALUE(RIGHT(Insights!$C$3, 4)), E8475, "")</f>
        <v>#VALUE!</v>
      </c>
      <c r="H8475" s="26" t="e">
        <f t="shared" si="1"/>
        <v>#VALUE!</v>
      </c>
      <c r="I8475" s="1" t="e">
        <f t="shared" si="2"/>
        <v>#VALUE!</v>
      </c>
    </row>
    <row r="8476" spans="1:9" ht="15.75" customHeight="1">
      <c r="A8476" s="26"/>
      <c r="B8476" s="2"/>
      <c r="C8476" s="26"/>
      <c r="D8476" s="26"/>
      <c r="F8476" s="85" t="str">
        <f t="shared" si="0"/>
        <v/>
      </c>
      <c r="G8476" s="1" t="e">
        <f>IF(VALUE(F8476) = VALUE(RIGHT(Insights!$C$3, 4)), E8476, "")</f>
        <v>#VALUE!</v>
      </c>
      <c r="H8476" s="26" t="e">
        <f t="shared" si="1"/>
        <v>#VALUE!</v>
      </c>
      <c r="I8476" s="1" t="e">
        <f t="shared" si="2"/>
        <v>#VALUE!</v>
      </c>
    </row>
    <row r="8477" spans="1:9" ht="15.75" customHeight="1">
      <c r="A8477" s="26"/>
      <c r="B8477" s="2"/>
      <c r="C8477" s="26"/>
      <c r="D8477" s="26"/>
      <c r="F8477" s="85" t="str">
        <f t="shared" si="0"/>
        <v/>
      </c>
      <c r="G8477" s="1" t="e">
        <f>IF(VALUE(F8477) = VALUE(RIGHT(Insights!$C$3, 4)), E8477, "")</f>
        <v>#VALUE!</v>
      </c>
      <c r="H8477" s="26" t="e">
        <f t="shared" si="1"/>
        <v>#VALUE!</v>
      </c>
      <c r="I8477" s="1" t="e">
        <f t="shared" si="2"/>
        <v>#VALUE!</v>
      </c>
    </row>
    <row r="8478" spans="1:9" ht="15.75" customHeight="1">
      <c r="A8478" s="26"/>
      <c r="B8478" s="2"/>
      <c r="C8478" s="26"/>
      <c r="D8478" s="26"/>
      <c r="F8478" s="85" t="str">
        <f t="shared" si="0"/>
        <v/>
      </c>
      <c r="G8478" s="1" t="e">
        <f>IF(VALUE(F8478) = VALUE(RIGHT(Insights!$C$3, 4)), E8478, "")</f>
        <v>#VALUE!</v>
      </c>
      <c r="H8478" s="26" t="e">
        <f t="shared" si="1"/>
        <v>#VALUE!</v>
      </c>
      <c r="I8478" s="1" t="e">
        <f t="shared" si="2"/>
        <v>#VALUE!</v>
      </c>
    </row>
    <row r="8479" spans="1:9" ht="15.75" customHeight="1">
      <c r="A8479" s="26"/>
      <c r="B8479" s="2"/>
      <c r="C8479" s="26"/>
      <c r="D8479" s="26"/>
      <c r="F8479" s="85" t="str">
        <f t="shared" si="0"/>
        <v/>
      </c>
      <c r="G8479" s="1" t="e">
        <f>IF(VALUE(F8479) = VALUE(RIGHT(Insights!$C$3, 4)), E8479, "")</f>
        <v>#VALUE!</v>
      </c>
      <c r="H8479" s="26" t="e">
        <f t="shared" si="1"/>
        <v>#VALUE!</v>
      </c>
      <c r="I8479" s="1" t="e">
        <f t="shared" si="2"/>
        <v>#VALUE!</v>
      </c>
    </row>
    <row r="8480" spans="1:9" ht="15.75" customHeight="1">
      <c r="A8480" s="26"/>
      <c r="B8480" s="2"/>
      <c r="C8480" s="26"/>
      <c r="D8480" s="26"/>
      <c r="F8480" s="85" t="str">
        <f t="shared" si="0"/>
        <v/>
      </c>
      <c r="G8480" s="1" t="e">
        <f>IF(VALUE(F8480) = VALUE(RIGHT(Insights!$C$3, 4)), E8480, "")</f>
        <v>#VALUE!</v>
      </c>
      <c r="H8480" s="26" t="e">
        <f t="shared" si="1"/>
        <v>#VALUE!</v>
      </c>
      <c r="I8480" s="1" t="e">
        <f t="shared" si="2"/>
        <v>#VALUE!</v>
      </c>
    </row>
    <row r="8481" spans="1:9" ht="15.75" customHeight="1">
      <c r="A8481" s="26"/>
      <c r="B8481" s="2"/>
      <c r="C8481" s="26"/>
      <c r="D8481" s="26"/>
      <c r="F8481" s="85" t="str">
        <f t="shared" si="0"/>
        <v/>
      </c>
      <c r="G8481" s="1" t="e">
        <f>IF(VALUE(F8481) = VALUE(RIGHT(Insights!$C$3, 4)), E8481, "")</f>
        <v>#VALUE!</v>
      </c>
      <c r="H8481" s="26" t="e">
        <f t="shared" si="1"/>
        <v>#VALUE!</v>
      </c>
      <c r="I8481" s="1" t="e">
        <f t="shared" si="2"/>
        <v>#VALUE!</v>
      </c>
    </row>
    <row r="8482" spans="1:9" ht="15.75" customHeight="1">
      <c r="A8482" s="26"/>
      <c r="B8482" s="2"/>
      <c r="C8482" s="26"/>
      <c r="D8482" s="26"/>
      <c r="F8482" s="85" t="str">
        <f t="shared" si="0"/>
        <v/>
      </c>
      <c r="G8482" s="1" t="e">
        <f>IF(VALUE(F8482) = VALUE(RIGHT(Insights!$C$3, 4)), E8482, "")</f>
        <v>#VALUE!</v>
      </c>
      <c r="H8482" s="26" t="e">
        <f t="shared" si="1"/>
        <v>#VALUE!</v>
      </c>
      <c r="I8482" s="1" t="e">
        <f t="shared" si="2"/>
        <v>#VALUE!</v>
      </c>
    </row>
    <row r="8483" spans="1:9" ht="15.75" customHeight="1">
      <c r="A8483" s="26"/>
      <c r="B8483" s="2"/>
      <c r="C8483" s="26"/>
      <c r="D8483" s="26"/>
      <c r="F8483" s="85" t="str">
        <f t="shared" si="0"/>
        <v/>
      </c>
      <c r="G8483" s="1" t="e">
        <f>IF(VALUE(F8483) = VALUE(RIGHT(Insights!$C$3, 4)), E8483, "")</f>
        <v>#VALUE!</v>
      </c>
      <c r="H8483" s="26" t="e">
        <f t="shared" si="1"/>
        <v>#VALUE!</v>
      </c>
      <c r="I8483" s="1" t="e">
        <f t="shared" si="2"/>
        <v>#VALUE!</v>
      </c>
    </row>
    <row r="8484" spans="1:9" ht="15.75" customHeight="1">
      <c r="A8484" s="26"/>
      <c r="B8484" s="2"/>
      <c r="C8484" s="26"/>
      <c r="D8484" s="26"/>
      <c r="F8484" s="85" t="str">
        <f t="shared" si="0"/>
        <v/>
      </c>
      <c r="G8484" s="1" t="e">
        <f>IF(VALUE(F8484) = VALUE(RIGHT(Insights!$C$3, 4)), E8484, "")</f>
        <v>#VALUE!</v>
      </c>
      <c r="H8484" s="26" t="e">
        <f t="shared" si="1"/>
        <v>#VALUE!</v>
      </c>
      <c r="I8484" s="1" t="e">
        <f t="shared" si="2"/>
        <v>#VALUE!</v>
      </c>
    </row>
    <row r="8485" spans="1:9" ht="15.75" customHeight="1">
      <c r="A8485" s="26"/>
      <c r="B8485" s="2"/>
      <c r="C8485" s="26"/>
      <c r="D8485" s="26"/>
      <c r="F8485" s="85" t="str">
        <f t="shared" si="0"/>
        <v/>
      </c>
      <c r="G8485" s="1" t="e">
        <f>IF(VALUE(F8485) = VALUE(RIGHT(Insights!$C$3, 4)), E8485, "")</f>
        <v>#VALUE!</v>
      </c>
      <c r="H8485" s="26" t="e">
        <f t="shared" si="1"/>
        <v>#VALUE!</v>
      </c>
      <c r="I8485" s="1" t="e">
        <f t="shared" si="2"/>
        <v>#VALUE!</v>
      </c>
    </row>
    <row r="8486" spans="1:9" ht="15.75" customHeight="1">
      <c r="A8486" s="26"/>
      <c r="B8486" s="2"/>
      <c r="C8486" s="26"/>
      <c r="D8486" s="26"/>
      <c r="F8486" s="85" t="str">
        <f t="shared" si="0"/>
        <v/>
      </c>
      <c r="G8486" s="1" t="e">
        <f>IF(VALUE(F8486) = VALUE(RIGHT(Insights!$C$3, 4)), E8486, "")</f>
        <v>#VALUE!</v>
      </c>
      <c r="H8486" s="26" t="e">
        <f t="shared" si="1"/>
        <v>#VALUE!</v>
      </c>
      <c r="I8486" s="1" t="e">
        <f t="shared" si="2"/>
        <v>#VALUE!</v>
      </c>
    </row>
    <row r="8487" spans="1:9" ht="15.75" customHeight="1">
      <c r="A8487" s="26"/>
      <c r="B8487" s="2"/>
      <c r="C8487" s="26"/>
      <c r="D8487" s="26"/>
      <c r="F8487" s="85" t="str">
        <f t="shared" si="0"/>
        <v/>
      </c>
      <c r="G8487" s="1" t="e">
        <f>IF(VALUE(F8487) = VALUE(RIGHT(Insights!$C$3, 4)), E8487, "")</f>
        <v>#VALUE!</v>
      </c>
      <c r="H8487" s="26" t="e">
        <f t="shared" si="1"/>
        <v>#VALUE!</v>
      </c>
      <c r="I8487" s="1" t="e">
        <f t="shared" si="2"/>
        <v>#VALUE!</v>
      </c>
    </row>
    <row r="8488" spans="1:9" ht="15.75" customHeight="1">
      <c r="A8488" s="26"/>
      <c r="B8488" s="2"/>
      <c r="C8488" s="26"/>
      <c r="D8488" s="26"/>
      <c r="F8488" s="85" t="str">
        <f t="shared" si="0"/>
        <v/>
      </c>
      <c r="G8488" s="1" t="e">
        <f>IF(VALUE(F8488) = VALUE(RIGHT(Insights!$C$3, 4)), E8488, "")</f>
        <v>#VALUE!</v>
      </c>
      <c r="H8488" s="26" t="e">
        <f t="shared" si="1"/>
        <v>#VALUE!</v>
      </c>
      <c r="I8488" s="1" t="e">
        <f t="shared" si="2"/>
        <v>#VALUE!</v>
      </c>
    </row>
    <row r="8489" spans="1:9" ht="15.75" customHeight="1">
      <c r="A8489" s="26"/>
      <c r="B8489" s="2"/>
      <c r="C8489" s="26"/>
      <c r="D8489" s="26"/>
      <c r="F8489" s="85" t="str">
        <f t="shared" si="0"/>
        <v/>
      </c>
      <c r="G8489" s="1" t="e">
        <f>IF(VALUE(F8489) = VALUE(RIGHT(Insights!$C$3, 4)), E8489, "")</f>
        <v>#VALUE!</v>
      </c>
      <c r="H8489" s="26" t="e">
        <f t="shared" si="1"/>
        <v>#VALUE!</v>
      </c>
      <c r="I8489" s="1" t="e">
        <f t="shared" si="2"/>
        <v>#VALUE!</v>
      </c>
    </row>
    <row r="8490" spans="1:9" ht="15.75" customHeight="1">
      <c r="A8490" s="26"/>
      <c r="B8490" s="2"/>
      <c r="C8490" s="26"/>
      <c r="D8490" s="26"/>
      <c r="F8490" s="85" t="str">
        <f t="shared" si="0"/>
        <v/>
      </c>
      <c r="G8490" s="1" t="e">
        <f>IF(VALUE(F8490) = VALUE(RIGHT(Insights!$C$3, 4)), E8490, "")</f>
        <v>#VALUE!</v>
      </c>
      <c r="H8490" s="26" t="e">
        <f t="shared" si="1"/>
        <v>#VALUE!</v>
      </c>
      <c r="I8490" s="1" t="e">
        <f t="shared" si="2"/>
        <v>#VALUE!</v>
      </c>
    </row>
    <row r="8491" spans="1:9" ht="15.75" customHeight="1">
      <c r="A8491" s="26"/>
      <c r="B8491" s="2"/>
      <c r="C8491" s="26"/>
      <c r="D8491" s="26"/>
      <c r="F8491" s="85" t="str">
        <f t="shared" si="0"/>
        <v/>
      </c>
      <c r="G8491" s="1" t="e">
        <f>IF(VALUE(F8491) = VALUE(RIGHT(Insights!$C$3, 4)), E8491, "")</f>
        <v>#VALUE!</v>
      </c>
      <c r="H8491" s="26" t="e">
        <f t="shared" si="1"/>
        <v>#VALUE!</v>
      </c>
      <c r="I8491" s="1" t="e">
        <f t="shared" si="2"/>
        <v>#VALUE!</v>
      </c>
    </row>
    <row r="8492" spans="1:9" ht="15.75" customHeight="1">
      <c r="A8492" s="26"/>
      <c r="B8492" s="2"/>
      <c r="C8492" s="26"/>
      <c r="D8492" s="26"/>
      <c r="F8492" s="85" t="str">
        <f t="shared" si="0"/>
        <v/>
      </c>
      <c r="G8492" s="1" t="e">
        <f>IF(VALUE(F8492) = VALUE(RIGHT(Insights!$C$3, 4)), E8492, "")</f>
        <v>#VALUE!</v>
      </c>
      <c r="H8492" s="26" t="e">
        <f t="shared" si="1"/>
        <v>#VALUE!</v>
      </c>
      <c r="I8492" s="1" t="e">
        <f t="shared" si="2"/>
        <v>#VALUE!</v>
      </c>
    </row>
    <row r="8493" spans="1:9" ht="15.75" customHeight="1">
      <c r="A8493" s="26"/>
      <c r="B8493" s="2"/>
      <c r="C8493" s="26"/>
      <c r="D8493" s="26"/>
      <c r="F8493" s="85" t="str">
        <f t="shared" si="0"/>
        <v/>
      </c>
      <c r="G8493" s="1" t="e">
        <f>IF(VALUE(F8493) = VALUE(RIGHT(Insights!$C$3, 4)), E8493, "")</f>
        <v>#VALUE!</v>
      </c>
      <c r="H8493" s="26" t="e">
        <f t="shared" si="1"/>
        <v>#VALUE!</v>
      </c>
      <c r="I8493" s="1" t="e">
        <f t="shared" si="2"/>
        <v>#VALUE!</v>
      </c>
    </row>
    <row r="8494" spans="1:9" ht="15.75" customHeight="1">
      <c r="A8494" s="26"/>
      <c r="B8494" s="2"/>
      <c r="C8494" s="26"/>
      <c r="D8494" s="26"/>
      <c r="F8494" s="85" t="str">
        <f t="shared" si="0"/>
        <v/>
      </c>
      <c r="G8494" s="1" t="e">
        <f>IF(VALUE(F8494) = VALUE(RIGHT(Insights!$C$3, 4)), E8494, "")</f>
        <v>#VALUE!</v>
      </c>
      <c r="H8494" s="26" t="e">
        <f t="shared" si="1"/>
        <v>#VALUE!</v>
      </c>
      <c r="I8494" s="1" t="e">
        <f t="shared" si="2"/>
        <v>#VALUE!</v>
      </c>
    </row>
    <row r="8495" spans="1:9" ht="15.75" customHeight="1">
      <c r="A8495" s="26"/>
      <c r="B8495" s="2"/>
      <c r="C8495" s="26"/>
      <c r="D8495" s="26"/>
      <c r="F8495" s="85" t="str">
        <f t="shared" si="0"/>
        <v/>
      </c>
      <c r="G8495" s="1" t="e">
        <f>IF(VALUE(F8495) = VALUE(RIGHT(Insights!$C$3, 4)), E8495, "")</f>
        <v>#VALUE!</v>
      </c>
      <c r="H8495" s="26" t="e">
        <f t="shared" si="1"/>
        <v>#VALUE!</v>
      </c>
      <c r="I8495" s="1" t="e">
        <f t="shared" si="2"/>
        <v>#VALUE!</v>
      </c>
    </row>
    <row r="8496" spans="1:9" ht="15.75" customHeight="1">
      <c r="A8496" s="26"/>
      <c r="B8496" s="2"/>
      <c r="C8496" s="26"/>
      <c r="D8496" s="26"/>
      <c r="F8496" s="85" t="str">
        <f t="shared" si="0"/>
        <v/>
      </c>
      <c r="G8496" s="1" t="e">
        <f>IF(VALUE(F8496) = VALUE(RIGHT(Insights!$C$3, 4)), E8496, "")</f>
        <v>#VALUE!</v>
      </c>
      <c r="H8496" s="26" t="e">
        <f t="shared" si="1"/>
        <v>#VALUE!</v>
      </c>
      <c r="I8496" s="1" t="e">
        <f t="shared" si="2"/>
        <v>#VALUE!</v>
      </c>
    </row>
    <row r="8497" spans="1:9" ht="15.75" customHeight="1">
      <c r="A8497" s="26"/>
      <c r="B8497" s="2"/>
      <c r="C8497" s="26"/>
      <c r="D8497" s="26"/>
      <c r="F8497" s="85" t="str">
        <f t="shared" si="0"/>
        <v/>
      </c>
      <c r="G8497" s="1" t="e">
        <f>IF(VALUE(F8497) = VALUE(RIGHT(Insights!$C$3, 4)), E8497, "")</f>
        <v>#VALUE!</v>
      </c>
      <c r="H8497" s="26" t="e">
        <f t="shared" si="1"/>
        <v>#VALUE!</v>
      </c>
      <c r="I8497" s="1" t="e">
        <f t="shared" si="2"/>
        <v>#VALUE!</v>
      </c>
    </row>
    <row r="8498" spans="1:9" ht="15.75" customHeight="1">
      <c r="A8498" s="26"/>
      <c r="B8498" s="2"/>
      <c r="C8498" s="26"/>
      <c r="D8498" s="26"/>
      <c r="F8498" s="85" t="str">
        <f t="shared" si="0"/>
        <v/>
      </c>
      <c r="G8498" s="1" t="e">
        <f>IF(VALUE(F8498) = VALUE(RIGHT(Insights!$C$3, 4)), E8498, "")</f>
        <v>#VALUE!</v>
      </c>
      <c r="H8498" s="26" t="e">
        <f t="shared" si="1"/>
        <v>#VALUE!</v>
      </c>
      <c r="I8498" s="1" t="e">
        <f t="shared" si="2"/>
        <v>#VALUE!</v>
      </c>
    </row>
    <row r="8499" spans="1:9" ht="15.75" customHeight="1">
      <c r="A8499" s="26"/>
      <c r="B8499" s="2"/>
      <c r="C8499" s="26"/>
      <c r="D8499" s="26"/>
      <c r="F8499" s="85" t="str">
        <f t="shared" si="0"/>
        <v/>
      </c>
      <c r="G8499" s="1" t="e">
        <f>IF(VALUE(F8499) = VALUE(RIGHT(Insights!$C$3, 4)), E8499, "")</f>
        <v>#VALUE!</v>
      </c>
      <c r="H8499" s="26" t="e">
        <f t="shared" si="1"/>
        <v>#VALUE!</v>
      </c>
      <c r="I8499" s="1" t="e">
        <f t="shared" si="2"/>
        <v>#VALUE!</v>
      </c>
    </row>
    <row r="8500" spans="1:9" ht="15.75" customHeight="1">
      <c r="A8500" s="26"/>
      <c r="B8500" s="2"/>
      <c r="C8500" s="26"/>
      <c r="D8500" s="26"/>
      <c r="F8500" s="85" t="str">
        <f t="shared" si="0"/>
        <v/>
      </c>
      <c r="G8500" s="1" t="e">
        <f>IF(VALUE(F8500) = VALUE(RIGHT(Insights!$C$3, 4)), E8500, "")</f>
        <v>#VALUE!</v>
      </c>
      <c r="H8500" s="26" t="e">
        <f t="shared" si="1"/>
        <v>#VALUE!</v>
      </c>
      <c r="I8500" s="1" t="e">
        <f t="shared" si="2"/>
        <v>#VALUE!</v>
      </c>
    </row>
    <row r="8501" spans="1:9" ht="15.75" customHeight="1">
      <c r="A8501" s="26"/>
      <c r="B8501" s="2"/>
      <c r="C8501" s="26"/>
      <c r="D8501" s="26"/>
      <c r="F8501" s="85" t="str">
        <f t="shared" si="0"/>
        <v/>
      </c>
      <c r="G8501" s="1" t="e">
        <f>IF(VALUE(F8501) = VALUE(RIGHT(Insights!$C$3, 4)), E8501, "")</f>
        <v>#VALUE!</v>
      </c>
      <c r="H8501" s="26" t="e">
        <f t="shared" si="1"/>
        <v>#VALUE!</v>
      </c>
      <c r="I8501" s="1" t="e">
        <f t="shared" si="2"/>
        <v>#VALUE!</v>
      </c>
    </row>
    <row r="8502" spans="1:9" ht="15.75" customHeight="1">
      <c r="A8502" s="26"/>
      <c r="B8502" s="2"/>
      <c r="C8502" s="26"/>
      <c r="D8502" s="26"/>
      <c r="F8502" s="85" t="str">
        <f t="shared" si="0"/>
        <v/>
      </c>
      <c r="G8502" s="1" t="e">
        <f>IF(VALUE(F8502) = VALUE(RIGHT(Insights!$C$3, 4)), E8502, "")</f>
        <v>#VALUE!</v>
      </c>
      <c r="H8502" s="26" t="e">
        <f t="shared" si="1"/>
        <v>#VALUE!</v>
      </c>
      <c r="I8502" s="1" t="e">
        <f t="shared" si="2"/>
        <v>#VALUE!</v>
      </c>
    </row>
    <row r="8503" spans="1:9" ht="15.75" customHeight="1">
      <c r="A8503" s="26"/>
      <c r="B8503" s="2"/>
      <c r="C8503" s="26"/>
      <c r="D8503" s="26"/>
      <c r="F8503" s="85" t="str">
        <f t="shared" si="0"/>
        <v/>
      </c>
      <c r="G8503" s="1" t="e">
        <f>IF(VALUE(F8503) = VALUE(RIGHT(Insights!$C$3, 4)), E8503, "")</f>
        <v>#VALUE!</v>
      </c>
      <c r="H8503" s="26" t="e">
        <f t="shared" si="1"/>
        <v>#VALUE!</v>
      </c>
      <c r="I8503" s="1" t="e">
        <f t="shared" si="2"/>
        <v>#VALUE!</v>
      </c>
    </row>
    <row r="8504" spans="1:9" ht="15.75" customHeight="1">
      <c r="A8504" s="26"/>
      <c r="B8504" s="2"/>
      <c r="C8504" s="26"/>
      <c r="D8504" s="26"/>
      <c r="F8504" s="85" t="str">
        <f t="shared" si="0"/>
        <v/>
      </c>
      <c r="G8504" s="1" t="e">
        <f>IF(VALUE(F8504) = VALUE(RIGHT(Insights!$C$3, 4)), E8504, "")</f>
        <v>#VALUE!</v>
      </c>
      <c r="H8504" s="26" t="e">
        <f t="shared" si="1"/>
        <v>#VALUE!</v>
      </c>
      <c r="I8504" s="1" t="e">
        <f t="shared" si="2"/>
        <v>#VALUE!</v>
      </c>
    </row>
    <row r="8505" spans="1:9" ht="15.75" customHeight="1">
      <c r="A8505" s="26"/>
      <c r="B8505" s="2"/>
      <c r="C8505" s="26"/>
      <c r="D8505" s="26"/>
      <c r="F8505" s="85" t="str">
        <f t="shared" si="0"/>
        <v/>
      </c>
      <c r="G8505" s="1" t="e">
        <f>IF(VALUE(F8505) = VALUE(RIGHT(Insights!$C$3, 4)), E8505, "")</f>
        <v>#VALUE!</v>
      </c>
      <c r="H8505" s="26" t="e">
        <f t="shared" si="1"/>
        <v>#VALUE!</v>
      </c>
      <c r="I8505" s="1" t="e">
        <f t="shared" si="2"/>
        <v>#VALUE!</v>
      </c>
    </row>
    <row r="8506" spans="1:9" ht="15.75" customHeight="1">
      <c r="A8506" s="26"/>
      <c r="B8506" s="2"/>
      <c r="C8506" s="26"/>
      <c r="D8506" s="26"/>
      <c r="F8506" s="85" t="str">
        <f t="shared" si="0"/>
        <v/>
      </c>
      <c r="G8506" s="1" t="e">
        <f>IF(VALUE(F8506) = VALUE(RIGHT(Insights!$C$3, 4)), E8506, "")</f>
        <v>#VALUE!</v>
      </c>
      <c r="H8506" s="26" t="e">
        <f t="shared" si="1"/>
        <v>#VALUE!</v>
      </c>
      <c r="I8506" s="1" t="e">
        <f t="shared" si="2"/>
        <v>#VALUE!</v>
      </c>
    </row>
    <row r="8507" spans="1:9" ht="15.75" customHeight="1">
      <c r="A8507" s="26"/>
      <c r="B8507" s="2"/>
      <c r="C8507" s="26"/>
      <c r="D8507" s="26"/>
      <c r="F8507" s="85" t="str">
        <f t="shared" si="0"/>
        <v/>
      </c>
      <c r="G8507" s="1" t="e">
        <f>IF(VALUE(F8507) = VALUE(RIGHT(Insights!$C$3, 4)), E8507, "")</f>
        <v>#VALUE!</v>
      </c>
      <c r="H8507" s="26" t="e">
        <f t="shared" si="1"/>
        <v>#VALUE!</v>
      </c>
      <c r="I8507" s="1" t="e">
        <f t="shared" si="2"/>
        <v>#VALUE!</v>
      </c>
    </row>
    <row r="8508" spans="1:9" ht="15.75" customHeight="1">
      <c r="A8508" s="26"/>
      <c r="B8508" s="2"/>
      <c r="C8508" s="26"/>
      <c r="D8508" s="26"/>
      <c r="F8508" s="85" t="str">
        <f t="shared" si="0"/>
        <v/>
      </c>
      <c r="G8508" s="1" t="e">
        <f>IF(VALUE(F8508) = VALUE(RIGHT(Insights!$C$3, 4)), E8508, "")</f>
        <v>#VALUE!</v>
      </c>
      <c r="H8508" s="26" t="e">
        <f t="shared" si="1"/>
        <v>#VALUE!</v>
      </c>
      <c r="I8508" s="1" t="e">
        <f t="shared" si="2"/>
        <v>#VALUE!</v>
      </c>
    </row>
    <row r="8509" spans="1:9" ht="15.75" customHeight="1">
      <c r="A8509" s="26"/>
      <c r="B8509" s="2"/>
      <c r="C8509" s="26"/>
      <c r="D8509" s="26"/>
      <c r="F8509" s="85" t="str">
        <f t="shared" si="0"/>
        <v/>
      </c>
      <c r="G8509" s="1" t="e">
        <f>IF(VALUE(F8509) = VALUE(RIGHT(Insights!$C$3, 4)), E8509, "")</f>
        <v>#VALUE!</v>
      </c>
      <c r="H8509" s="26" t="e">
        <f t="shared" si="1"/>
        <v>#VALUE!</v>
      </c>
      <c r="I8509" s="1" t="e">
        <f t="shared" si="2"/>
        <v>#VALUE!</v>
      </c>
    </row>
    <row r="8510" spans="1:9" ht="15.75" customHeight="1">
      <c r="A8510" s="26"/>
      <c r="B8510" s="2"/>
      <c r="C8510" s="26"/>
      <c r="D8510" s="26"/>
      <c r="F8510" s="85" t="str">
        <f t="shared" si="0"/>
        <v/>
      </c>
      <c r="G8510" s="1" t="e">
        <f>IF(VALUE(F8510) = VALUE(RIGHT(Insights!$C$3, 4)), E8510, "")</f>
        <v>#VALUE!</v>
      </c>
      <c r="H8510" s="26" t="e">
        <f t="shared" si="1"/>
        <v>#VALUE!</v>
      </c>
      <c r="I8510" s="1" t="e">
        <f t="shared" si="2"/>
        <v>#VALUE!</v>
      </c>
    </row>
    <row r="8511" spans="1:9" ht="15.75" customHeight="1">
      <c r="A8511" s="26"/>
      <c r="B8511" s="2"/>
      <c r="C8511" s="26"/>
      <c r="D8511" s="26"/>
      <c r="F8511" s="85" t="str">
        <f t="shared" si="0"/>
        <v/>
      </c>
      <c r="G8511" s="1" t="e">
        <f>IF(VALUE(F8511) = VALUE(RIGHT(Insights!$C$3, 4)), E8511, "")</f>
        <v>#VALUE!</v>
      </c>
      <c r="H8511" s="26" t="e">
        <f t="shared" si="1"/>
        <v>#VALUE!</v>
      </c>
      <c r="I8511" s="1" t="e">
        <f t="shared" si="2"/>
        <v>#VALUE!</v>
      </c>
    </row>
    <row r="8512" spans="1:9" ht="15.75" customHeight="1">
      <c r="A8512" s="26"/>
      <c r="B8512" s="2"/>
      <c r="C8512" s="26"/>
      <c r="D8512" s="26"/>
      <c r="F8512" s="85" t="str">
        <f t="shared" si="0"/>
        <v/>
      </c>
      <c r="G8512" s="1" t="e">
        <f>IF(VALUE(F8512) = VALUE(RIGHT(Insights!$C$3, 4)), E8512, "")</f>
        <v>#VALUE!</v>
      </c>
      <c r="H8512" s="26" t="e">
        <f t="shared" si="1"/>
        <v>#VALUE!</v>
      </c>
      <c r="I8512" s="1" t="e">
        <f t="shared" si="2"/>
        <v>#VALUE!</v>
      </c>
    </row>
    <row r="8513" spans="1:9" ht="15.75" customHeight="1">
      <c r="A8513" s="26"/>
      <c r="B8513" s="2"/>
      <c r="C8513" s="26"/>
      <c r="D8513" s="26"/>
      <c r="F8513" s="85" t="str">
        <f t="shared" si="0"/>
        <v/>
      </c>
      <c r="G8513" s="1" t="e">
        <f>IF(VALUE(F8513) = VALUE(RIGHT(Insights!$C$3, 4)), E8513, "")</f>
        <v>#VALUE!</v>
      </c>
      <c r="H8513" s="26" t="e">
        <f t="shared" si="1"/>
        <v>#VALUE!</v>
      </c>
      <c r="I8513" s="1" t="e">
        <f t="shared" si="2"/>
        <v>#VALUE!</v>
      </c>
    </row>
    <row r="8514" spans="1:9" ht="15.75" customHeight="1">
      <c r="A8514" s="26"/>
      <c r="B8514" s="2"/>
      <c r="C8514" s="26"/>
      <c r="D8514" s="26"/>
      <c r="F8514" s="85" t="str">
        <f t="shared" si="0"/>
        <v/>
      </c>
      <c r="G8514" s="1" t="e">
        <f>IF(VALUE(F8514) = VALUE(RIGHT(Insights!$C$3, 4)), E8514, "")</f>
        <v>#VALUE!</v>
      </c>
      <c r="H8514" s="26" t="e">
        <f t="shared" si="1"/>
        <v>#VALUE!</v>
      </c>
      <c r="I8514" s="1" t="e">
        <f t="shared" si="2"/>
        <v>#VALUE!</v>
      </c>
    </row>
    <row r="8515" spans="1:9" ht="15.75" customHeight="1">
      <c r="A8515" s="26"/>
      <c r="B8515" s="2"/>
      <c r="C8515" s="26"/>
      <c r="D8515" s="26"/>
      <c r="F8515" s="85" t="str">
        <f t="shared" si="0"/>
        <v/>
      </c>
      <c r="G8515" s="1" t="e">
        <f>IF(VALUE(F8515) = VALUE(RIGHT(Insights!$C$3, 4)), E8515, "")</f>
        <v>#VALUE!</v>
      </c>
      <c r="H8515" s="26" t="e">
        <f t="shared" si="1"/>
        <v>#VALUE!</v>
      </c>
      <c r="I8515" s="1" t="e">
        <f t="shared" si="2"/>
        <v>#VALUE!</v>
      </c>
    </row>
    <row r="8516" spans="1:9" ht="15.75" customHeight="1">
      <c r="A8516" s="26"/>
      <c r="B8516" s="2"/>
      <c r="C8516" s="26"/>
      <c r="D8516" s="26"/>
      <c r="F8516" s="85" t="str">
        <f t="shared" si="0"/>
        <v/>
      </c>
      <c r="G8516" s="1" t="e">
        <f>IF(VALUE(F8516) = VALUE(RIGHT(Insights!$C$3, 4)), E8516, "")</f>
        <v>#VALUE!</v>
      </c>
      <c r="H8516" s="26" t="e">
        <f t="shared" si="1"/>
        <v>#VALUE!</v>
      </c>
      <c r="I8516" s="1" t="e">
        <f t="shared" si="2"/>
        <v>#VALUE!</v>
      </c>
    </row>
    <row r="8517" spans="1:9" ht="15.75" customHeight="1">
      <c r="A8517" s="26"/>
      <c r="B8517" s="2"/>
      <c r="C8517" s="26"/>
      <c r="D8517" s="26"/>
      <c r="F8517" s="85" t="str">
        <f t="shared" si="0"/>
        <v/>
      </c>
      <c r="G8517" s="1" t="e">
        <f>IF(VALUE(F8517) = VALUE(RIGHT(Insights!$C$3, 4)), E8517, "")</f>
        <v>#VALUE!</v>
      </c>
      <c r="H8517" s="26" t="e">
        <f t="shared" si="1"/>
        <v>#VALUE!</v>
      </c>
      <c r="I8517" s="1" t="e">
        <f t="shared" si="2"/>
        <v>#VALUE!</v>
      </c>
    </row>
    <row r="8518" spans="1:9" ht="15.75" customHeight="1">
      <c r="A8518" s="26"/>
      <c r="B8518" s="2"/>
      <c r="C8518" s="26"/>
      <c r="D8518" s="26"/>
      <c r="F8518" s="85" t="str">
        <f t="shared" si="0"/>
        <v/>
      </c>
      <c r="G8518" s="1" t="e">
        <f>IF(VALUE(F8518) = VALUE(RIGHT(Insights!$C$3, 4)), E8518, "")</f>
        <v>#VALUE!</v>
      </c>
      <c r="H8518" s="26" t="e">
        <f t="shared" si="1"/>
        <v>#VALUE!</v>
      </c>
      <c r="I8518" s="1" t="e">
        <f t="shared" si="2"/>
        <v>#VALUE!</v>
      </c>
    </row>
    <row r="8519" spans="1:9" ht="15.75" customHeight="1">
      <c r="A8519" s="26"/>
      <c r="B8519" s="2"/>
      <c r="C8519" s="26"/>
      <c r="D8519" s="26"/>
      <c r="F8519" s="85" t="str">
        <f t="shared" si="0"/>
        <v/>
      </c>
      <c r="G8519" s="1" t="e">
        <f>IF(VALUE(F8519) = VALUE(RIGHT(Insights!$C$3, 4)), E8519, "")</f>
        <v>#VALUE!</v>
      </c>
      <c r="H8519" s="26" t="e">
        <f t="shared" si="1"/>
        <v>#VALUE!</v>
      </c>
      <c r="I8519" s="1" t="e">
        <f t="shared" si="2"/>
        <v>#VALUE!</v>
      </c>
    </row>
    <row r="8520" spans="1:9" ht="15.75" customHeight="1">
      <c r="A8520" s="26"/>
      <c r="B8520" s="2"/>
      <c r="C8520" s="26"/>
      <c r="D8520" s="26"/>
      <c r="F8520" s="85" t="str">
        <f t="shared" si="0"/>
        <v/>
      </c>
      <c r="G8520" s="1" t="e">
        <f>IF(VALUE(F8520) = VALUE(RIGHT(Insights!$C$3, 4)), E8520, "")</f>
        <v>#VALUE!</v>
      </c>
      <c r="H8520" s="26" t="e">
        <f t="shared" si="1"/>
        <v>#VALUE!</v>
      </c>
      <c r="I8520" s="1" t="e">
        <f t="shared" si="2"/>
        <v>#VALUE!</v>
      </c>
    </row>
    <row r="8521" spans="1:9" ht="15.75" customHeight="1">
      <c r="A8521" s="26"/>
      <c r="B8521" s="2"/>
      <c r="C8521" s="26"/>
      <c r="D8521" s="26"/>
      <c r="F8521" s="85" t="str">
        <f t="shared" si="0"/>
        <v/>
      </c>
      <c r="G8521" s="1" t="e">
        <f>IF(VALUE(F8521) = VALUE(RIGHT(Insights!$C$3, 4)), E8521, "")</f>
        <v>#VALUE!</v>
      </c>
      <c r="H8521" s="26" t="e">
        <f t="shared" si="1"/>
        <v>#VALUE!</v>
      </c>
      <c r="I8521" s="1" t="e">
        <f t="shared" si="2"/>
        <v>#VALUE!</v>
      </c>
    </row>
    <row r="8522" spans="1:9" ht="15.75" customHeight="1">
      <c r="A8522" s="26"/>
      <c r="B8522" s="2"/>
      <c r="C8522" s="26"/>
      <c r="D8522" s="26"/>
      <c r="F8522" s="85" t="str">
        <f t="shared" si="0"/>
        <v/>
      </c>
      <c r="G8522" s="1" t="e">
        <f>IF(VALUE(F8522) = VALUE(RIGHT(Insights!$C$3, 4)), E8522, "")</f>
        <v>#VALUE!</v>
      </c>
      <c r="H8522" s="26" t="e">
        <f t="shared" si="1"/>
        <v>#VALUE!</v>
      </c>
      <c r="I8522" s="1" t="e">
        <f t="shared" si="2"/>
        <v>#VALUE!</v>
      </c>
    </row>
    <row r="8523" spans="1:9" ht="15.75" customHeight="1">
      <c r="A8523" s="26"/>
      <c r="B8523" s="2"/>
      <c r="C8523" s="26"/>
      <c r="D8523" s="26"/>
      <c r="F8523" s="85" t="str">
        <f t="shared" si="0"/>
        <v/>
      </c>
      <c r="G8523" s="1" t="e">
        <f>IF(VALUE(F8523) = VALUE(RIGHT(Insights!$C$3, 4)), E8523, "")</f>
        <v>#VALUE!</v>
      </c>
      <c r="H8523" s="26" t="e">
        <f t="shared" si="1"/>
        <v>#VALUE!</v>
      </c>
      <c r="I8523" s="1" t="e">
        <f t="shared" si="2"/>
        <v>#VALUE!</v>
      </c>
    </row>
    <row r="8524" spans="1:9" ht="15.75" customHeight="1">
      <c r="A8524" s="26"/>
      <c r="B8524" s="2"/>
      <c r="C8524" s="26"/>
      <c r="D8524" s="26"/>
      <c r="F8524" s="85" t="str">
        <f t="shared" si="0"/>
        <v/>
      </c>
      <c r="G8524" s="1" t="e">
        <f>IF(VALUE(F8524) = VALUE(RIGHT(Insights!$C$3, 4)), E8524, "")</f>
        <v>#VALUE!</v>
      </c>
      <c r="H8524" s="26" t="e">
        <f t="shared" si="1"/>
        <v>#VALUE!</v>
      </c>
      <c r="I8524" s="1" t="e">
        <f t="shared" si="2"/>
        <v>#VALUE!</v>
      </c>
    </row>
    <row r="8525" spans="1:9" ht="15.75" customHeight="1">
      <c r="A8525" s="26"/>
      <c r="B8525" s="2"/>
      <c r="C8525" s="26"/>
      <c r="D8525" s="26"/>
      <c r="F8525" s="85" t="str">
        <f t="shared" si="0"/>
        <v/>
      </c>
      <c r="G8525" s="1" t="e">
        <f>IF(VALUE(F8525) = VALUE(RIGHT(Insights!$C$3, 4)), E8525, "")</f>
        <v>#VALUE!</v>
      </c>
      <c r="H8525" s="26" t="e">
        <f t="shared" si="1"/>
        <v>#VALUE!</v>
      </c>
      <c r="I8525" s="1" t="e">
        <f t="shared" si="2"/>
        <v>#VALUE!</v>
      </c>
    </row>
    <row r="8526" spans="1:9" ht="15.75" customHeight="1">
      <c r="A8526" s="26"/>
      <c r="B8526" s="2"/>
      <c r="C8526" s="26"/>
      <c r="D8526" s="26"/>
      <c r="F8526" s="85" t="str">
        <f t="shared" si="0"/>
        <v/>
      </c>
      <c r="G8526" s="1" t="e">
        <f>IF(VALUE(F8526) = VALUE(RIGHT(Insights!$C$3, 4)), E8526, "")</f>
        <v>#VALUE!</v>
      </c>
      <c r="H8526" s="26" t="e">
        <f t="shared" si="1"/>
        <v>#VALUE!</v>
      </c>
      <c r="I8526" s="1" t="e">
        <f t="shared" si="2"/>
        <v>#VALUE!</v>
      </c>
    </row>
    <row r="8527" spans="1:9" ht="15.75" customHeight="1">
      <c r="A8527" s="26"/>
      <c r="B8527" s="2"/>
      <c r="C8527" s="26"/>
      <c r="D8527" s="26"/>
      <c r="F8527" s="85" t="str">
        <f t="shared" si="0"/>
        <v/>
      </c>
      <c r="G8527" s="1" t="e">
        <f>IF(VALUE(F8527) = VALUE(RIGHT(Insights!$C$3, 4)), E8527, "")</f>
        <v>#VALUE!</v>
      </c>
      <c r="H8527" s="26" t="e">
        <f t="shared" si="1"/>
        <v>#VALUE!</v>
      </c>
      <c r="I8527" s="1" t="e">
        <f t="shared" si="2"/>
        <v>#VALUE!</v>
      </c>
    </row>
    <row r="8528" spans="1:9" ht="15.75" customHeight="1">
      <c r="A8528" s="26"/>
      <c r="B8528" s="2"/>
      <c r="C8528" s="26"/>
      <c r="D8528" s="26"/>
      <c r="F8528" s="85" t="str">
        <f t="shared" si="0"/>
        <v/>
      </c>
      <c r="G8528" s="1" t="e">
        <f>IF(VALUE(F8528) = VALUE(RIGHT(Insights!$C$3, 4)), E8528, "")</f>
        <v>#VALUE!</v>
      </c>
      <c r="H8528" s="26" t="e">
        <f t="shared" si="1"/>
        <v>#VALUE!</v>
      </c>
      <c r="I8528" s="1" t="e">
        <f t="shared" si="2"/>
        <v>#VALUE!</v>
      </c>
    </row>
    <row r="8529" spans="1:9" ht="15.75" customHeight="1">
      <c r="A8529" s="26"/>
      <c r="B8529" s="2"/>
      <c r="C8529" s="26"/>
      <c r="D8529" s="26"/>
      <c r="F8529" s="85" t="str">
        <f t="shared" si="0"/>
        <v/>
      </c>
      <c r="G8529" s="1" t="e">
        <f>IF(VALUE(F8529) = VALUE(RIGHT(Insights!$C$3, 4)), E8529, "")</f>
        <v>#VALUE!</v>
      </c>
      <c r="H8529" s="26" t="e">
        <f t="shared" si="1"/>
        <v>#VALUE!</v>
      </c>
      <c r="I8529" s="1" t="e">
        <f t="shared" si="2"/>
        <v>#VALUE!</v>
      </c>
    </row>
    <row r="8530" spans="1:9" ht="15.75" customHeight="1">
      <c r="A8530" s="26"/>
      <c r="B8530" s="2"/>
      <c r="C8530" s="26"/>
      <c r="D8530" s="26"/>
      <c r="F8530" s="85" t="str">
        <f t="shared" si="0"/>
        <v/>
      </c>
      <c r="G8530" s="1" t="e">
        <f>IF(VALUE(F8530) = VALUE(RIGHT(Insights!$C$3, 4)), E8530, "")</f>
        <v>#VALUE!</v>
      </c>
      <c r="H8530" s="26" t="e">
        <f t="shared" si="1"/>
        <v>#VALUE!</v>
      </c>
      <c r="I8530" s="1" t="e">
        <f t="shared" si="2"/>
        <v>#VALUE!</v>
      </c>
    </row>
    <row r="8531" spans="1:9" ht="15.75" customHeight="1">
      <c r="A8531" s="26"/>
      <c r="B8531" s="2"/>
      <c r="C8531" s="26"/>
      <c r="D8531" s="26"/>
      <c r="F8531" s="85" t="str">
        <f t="shared" si="0"/>
        <v/>
      </c>
      <c r="G8531" s="1" t="e">
        <f>IF(VALUE(F8531) = VALUE(RIGHT(Insights!$C$3, 4)), E8531, "")</f>
        <v>#VALUE!</v>
      </c>
      <c r="H8531" s="26" t="e">
        <f t="shared" si="1"/>
        <v>#VALUE!</v>
      </c>
      <c r="I8531" s="1" t="e">
        <f t="shared" si="2"/>
        <v>#VALUE!</v>
      </c>
    </row>
    <row r="8532" spans="1:9" ht="15.75" customHeight="1">
      <c r="A8532" s="26"/>
      <c r="B8532" s="2"/>
      <c r="C8532" s="26"/>
      <c r="D8532" s="26"/>
      <c r="F8532" s="85" t="str">
        <f t="shared" si="0"/>
        <v/>
      </c>
      <c r="G8532" s="1" t="e">
        <f>IF(VALUE(F8532) = VALUE(RIGHT(Insights!$C$3, 4)), E8532, "")</f>
        <v>#VALUE!</v>
      </c>
      <c r="H8532" s="26" t="e">
        <f t="shared" si="1"/>
        <v>#VALUE!</v>
      </c>
      <c r="I8532" s="1" t="e">
        <f t="shared" si="2"/>
        <v>#VALUE!</v>
      </c>
    </row>
    <row r="8533" spans="1:9" ht="15.75" customHeight="1">
      <c r="A8533" s="26"/>
      <c r="B8533" s="2"/>
      <c r="C8533" s="26"/>
      <c r="D8533" s="26"/>
      <c r="F8533" s="85" t="str">
        <f t="shared" si="0"/>
        <v/>
      </c>
      <c r="G8533" s="1" t="e">
        <f>IF(VALUE(F8533) = VALUE(RIGHT(Insights!$C$3, 4)), E8533, "")</f>
        <v>#VALUE!</v>
      </c>
      <c r="H8533" s="26" t="e">
        <f t="shared" si="1"/>
        <v>#VALUE!</v>
      </c>
      <c r="I8533" s="1" t="e">
        <f t="shared" si="2"/>
        <v>#VALUE!</v>
      </c>
    </row>
    <row r="8534" spans="1:9" ht="15.75" customHeight="1">
      <c r="A8534" s="26"/>
      <c r="B8534" s="2"/>
      <c r="C8534" s="26"/>
      <c r="D8534" s="26"/>
      <c r="F8534" s="85" t="str">
        <f t="shared" si="0"/>
        <v/>
      </c>
      <c r="G8534" s="1" t="e">
        <f>IF(VALUE(F8534) = VALUE(RIGHT(Insights!$C$3, 4)), E8534, "")</f>
        <v>#VALUE!</v>
      </c>
      <c r="H8534" s="26" t="e">
        <f t="shared" si="1"/>
        <v>#VALUE!</v>
      </c>
      <c r="I8534" s="1" t="e">
        <f t="shared" si="2"/>
        <v>#VALUE!</v>
      </c>
    </row>
    <row r="8535" spans="1:9" ht="15.75" customHeight="1">
      <c r="A8535" s="26"/>
      <c r="B8535" s="2"/>
      <c r="C8535" s="26"/>
      <c r="D8535" s="26"/>
      <c r="F8535" s="85" t="str">
        <f t="shared" si="0"/>
        <v/>
      </c>
      <c r="G8535" s="1" t="e">
        <f>IF(VALUE(F8535) = VALUE(RIGHT(Insights!$C$3, 4)), E8535, "")</f>
        <v>#VALUE!</v>
      </c>
      <c r="H8535" s="26" t="e">
        <f t="shared" si="1"/>
        <v>#VALUE!</v>
      </c>
      <c r="I8535" s="1" t="e">
        <f t="shared" si="2"/>
        <v>#VALUE!</v>
      </c>
    </row>
    <row r="8536" spans="1:9" ht="15.75" customHeight="1">
      <c r="A8536" s="26"/>
      <c r="B8536" s="2"/>
      <c r="C8536" s="26"/>
      <c r="D8536" s="26"/>
      <c r="F8536" s="85" t="str">
        <f t="shared" si="0"/>
        <v/>
      </c>
      <c r="G8536" s="1" t="e">
        <f>IF(VALUE(F8536) = VALUE(RIGHT(Insights!$C$3, 4)), E8536, "")</f>
        <v>#VALUE!</v>
      </c>
      <c r="H8536" s="26" t="e">
        <f t="shared" si="1"/>
        <v>#VALUE!</v>
      </c>
      <c r="I8536" s="1" t="e">
        <f t="shared" si="2"/>
        <v>#VALUE!</v>
      </c>
    </row>
    <row r="8537" spans="1:9" ht="15.75" customHeight="1">
      <c r="A8537" s="26"/>
      <c r="B8537" s="2"/>
      <c r="C8537" s="26"/>
      <c r="D8537" s="26"/>
      <c r="F8537" s="85" t="str">
        <f t="shared" si="0"/>
        <v/>
      </c>
      <c r="G8537" s="1" t="e">
        <f>IF(VALUE(F8537) = VALUE(RIGHT(Insights!$C$3, 4)), E8537, "")</f>
        <v>#VALUE!</v>
      </c>
      <c r="H8537" s="26" t="e">
        <f t="shared" si="1"/>
        <v>#VALUE!</v>
      </c>
      <c r="I8537" s="1" t="e">
        <f t="shared" si="2"/>
        <v>#VALUE!</v>
      </c>
    </row>
    <row r="8538" spans="1:9" ht="15.75" customHeight="1">
      <c r="A8538" s="26"/>
      <c r="B8538" s="2"/>
      <c r="C8538" s="26"/>
      <c r="D8538" s="26"/>
      <c r="F8538" s="85" t="str">
        <f t="shared" si="0"/>
        <v/>
      </c>
      <c r="G8538" s="1" t="e">
        <f>IF(VALUE(F8538) = VALUE(RIGHT(Insights!$C$3, 4)), E8538, "")</f>
        <v>#VALUE!</v>
      </c>
      <c r="H8538" s="26" t="e">
        <f t="shared" si="1"/>
        <v>#VALUE!</v>
      </c>
      <c r="I8538" s="1" t="e">
        <f t="shared" si="2"/>
        <v>#VALUE!</v>
      </c>
    </row>
    <row r="8539" spans="1:9" ht="15.75" customHeight="1">
      <c r="A8539" s="26"/>
      <c r="B8539" s="2"/>
      <c r="C8539" s="26"/>
      <c r="D8539" s="26"/>
      <c r="F8539" s="85" t="str">
        <f t="shared" si="0"/>
        <v/>
      </c>
      <c r="G8539" s="1" t="e">
        <f>IF(VALUE(F8539) = VALUE(RIGHT(Insights!$C$3, 4)), E8539, "")</f>
        <v>#VALUE!</v>
      </c>
      <c r="H8539" s="26" t="e">
        <f t="shared" si="1"/>
        <v>#VALUE!</v>
      </c>
      <c r="I8539" s="1" t="e">
        <f t="shared" si="2"/>
        <v>#VALUE!</v>
      </c>
    </row>
    <row r="8540" spans="1:9" ht="15.75" customHeight="1">
      <c r="A8540" s="26"/>
      <c r="B8540" s="2"/>
      <c r="C8540" s="26"/>
      <c r="D8540" s="26"/>
      <c r="F8540" s="85" t="str">
        <f t="shared" si="0"/>
        <v/>
      </c>
      <c r="G8540" s="1" t="e">
        <f>IF(VALUE(F8540) = VALUE(RIGHT(Insights!$C$3, 4)), E8540, "")</f>
        <v>#VALUE!</v>
      </c>
      <c r="H8540" s="26" t="e">
        <f t="shared" si="1"/>
        <v>#VALUE!</v>
      </c>
      <c r="I8540" s="1" t="e">
        <f t="shared" si="2"/>
        <v>#VALUE!</v>
      </c>
    </row>
    <row r="8541" spans="1:9" ht="15.75" customHeight="1">
      <c r="A8541" s="26"/>
      <c r="B8541" s="2"/>
      <c r="C8541" s="26"/>
      <c r="D8541" s="26"/>
      <c r="F8541" s="85" t="str">
        <f t="shared" si="0"/>
        <v/>
      </c>
      <c r="G8541" s="1" t="e">
        <f>IF(VALUE(F8541) = VALUE(RIGHT(Insights!$C$3, 4)), E8541, "")</f>
        <v>#VALUE!</v>
      </c>
      <c r="H8541" s="26" t="e">
        <f t="shared" si="1"/>
        <v>#VALUE!</v>
      </c>
      <c r="I8541" s="1" t="e">
        <f t="shared" si="2"/>
        <v>#VALUE!</v>
      </c>
    </row>
    <row r="8542" spans="1:9" ht="15.75" customHeight="1">
      <c r="A8542" s="26"/>
      <c r="B8542" s="2"/>
      <c r="C8542" s="26"/>
      <c r="D8542" s="26"/>
      <c r="F8542" s="85" t="str">
        <f t="shared" si="0"/>
        <v/>
      </c>
      <c r="G8542" s="1" t="e">
        <f>IF(VALUE(F8542) = VALUE(RIGHT(Insights!$C$3, 4)), E8542, "")</f>
        <v>#VALUE!</v>
      </c>
      <c r="H8542" s="26" t="e">
        <f t="shared" si="1"/>
        <v>#VALUE!</v>
      </c>
      <c r="I8542" s="1" t="e">
        <f t="shared" si="2"/>
        <v>#VALUE!</v>
      </c>
    </row>
    <row r="8543" spans="1:9" ht="15.75" customHeight="1">
      <c r="A8543" s="26"/>
      <c r="B8543" s="2"/>
      <c r="C8543" s="26"/>
      <c r="D8543" s="26"/>
      <c r="F8543" s="85" t="str">
        <f t="shared" si="0"/>
        <v/>
      </c>
      <c r="G8543" s="1" t="e">
        <f>IF(VALUE(F8543) = VALUE(RIGHT(Insights!$C$3, 4)), E8543, "")</f>
        <v>#VALUE!</v>
      </c>
      <c r="H8543" s="26" t="e">
        <f t="shared" si="1"/>
        <v>#VALUE!</v>
      </c>
      <c r="I8543" s="1" t="e">
        <f t="shared" si="2"/>
        <v>#VALUE!</v>
      </c>
    </row>
    <row r="8544" spans="1:9" ht="15.75" customHeight="1">
      <c r="A8544" s="26"/>
      <c r="B8544" s="2"/>
      <c r="C8544" s="26"/>
      <c r="D8544" s="26"/>
      <c r="F8544" s="85" t="str">
        <f t="shared" si="0"/>
        <v/>
      </c>
      <c r="G8544" s="1" t="e">
        <f>IF(VALUE(F8544) = VALUE(RIGHT(Insights!$C$3, 4)), E8544, "")</f>
        <v>#VALUE!</v>
      </c>
      <c r="H8544" s="26" t="e">
        <f t="shared" si="1"/>
        <v>#VALUE!</v>
      </c>
      <c r="I8544" s="1" t="e">
        <f t="shared" si="2"/>
        <v>#VALUE!</v>
      </c>
    </row>
    <row r="8545" spans="1:9" ht="15.75" customHeight="1">
      <c r="A8545" s="26"/>
      <c r="B8545" s="2"/>
      <c r="C8545" s="26"/>
      <c r="D8545" s="26"/>
      <c r="F8545" s="85" t="str">
        <f t="shared" si="0"/>
        <v/>
      </c>
      <c r="G8545" s="1" t="e">
        <f>IF(VALUE(F8545) = VALUE(RIGHT(Insights!$C$3, 4)), E8545, "")</f>
        <v>#VALUE!</v>
      </c>
      <c r="H8545" s="26" t="e">
        <f t="shared" si="1"/>
        <v>#VALUE!</v>
      </c>
      <c r="I8545" s="1" t="e">
        <f t="shared" si="2"/>
        <v>#VALUE!</v>
      </c>
    </row>
    <row r="8546" spans="1:9" ht="15.75" customHeight="1">
      <c r="A8546" s="26"/>
      <c r="B8546" s="2"/>
      <c r="C8546" s="26"/>
      <c r="D8546" s="26"/>
      <c r="F8546" s="85" t="str">
        <f t="shared" si="0"/>
        <v/>
      </c>
      <c r="G8546" s="1" t="e">
        <f>IF(VALUE(F8546) = VALUE(RIGHT(Insights!$C$3, 4)), E8546, "")</f>
        <v>#VALUE!</v>
      </c>
      <c r="H8546" s="26" t="e">
        <f t="shared" si="1"/>
        <v>#VALUE!</v>
      </c>
      <c r="I8546" s="1" t="e">
        <f t="shared" si="2"/>
        <v>#VALUE!</v>
      </c>
    </row>
    <row r="8547" spans="1:9" ht="15.75" customHeight="1">
      <c r="A8547" s="26"/>
      <c r="B8547" s="2"/>
      <c r="C8547" s="26"/>
      <c r="D8547" s="26"/>
      <c r="F8547" s="85" t="str">
        <f t="shared" si="0"/>
        <v/>
      </c>
      <c r="G8547" s="1" t="e">
        <f>IF(VALUE(F8547) = VALUE(RIGHT(Insights!$C$3, 4)), E8547, "")</f>
        <v>#VALUE!</v>
      </c>
      <c r="H8547" s="26" t="e">
        <f t="shared" si="1"/>
        <v>#VALUE!</v>
      </c>
      <c r="I8547" s="1" t="e">
        <f t="shared" si="2"/>
        <v>#VALUE!</v>
      </c>
    </row>
    <row r="8548" spans="1:9" ht="15.75" customHeight="1">
      <c r="A8548" s="26"/>
      <c r="B8548" s="2"/>
      <c r="C8548" s="26"/>
      <c r="D8548" s="26"/>
      <c r="F8548" s="85" t="str">
        <f t="shared" si="0"/>
        <v/>
      </c>
      <c r="G8548" s="1" t="e">
        <f>IF(VALUE(F8548) = VALUE(RIGHT(Insights!$C$3, 4)), E8548, "")</f>
        <v>#VALUE!</v>
      </c>
      <c r="H8548" s="26" t="e">
        <f t="shared" si="1"/>
        <v>#VALUE!</v>
      </c>
      <c r="I8548" s="1" t="e">
        <f t="shared" si="2"/>
        <v>#VALUE!</v>
      </c>
    </row>
    <row r="8549" spans="1:9" ht="15.75" customHeight="1">
      <c r="A8549" s="26"/>
      <c r="B8549" s="2"/>
      <c r="C8549" s="26"/>
      <c r="D8549" s="26"/>
      <c r="F8549" s="85" t="str">
        <f t="shared" si="0"/>
        <v/>
      </c>
      <c r="G8549" s="1" t="e">
        <f>IF(VALUE(F8549) = VALUE(RIGHT(Insights!$C$3, 4)), E8549, "")</f>
        <v>#VALUE!</v>
      </c>
      <c r="H8549" s="26" t="e">
        <f t="shared" si="1"/>
        <v>#VALUE!</v>
      </c>
      <c r="I8549" s="1" t="e">
        <f t="shared" si="2"/>
        <v>#VALUE!</v>
      </c>
    </row>
    <row r="8550" spans="1:9" ht="15.75" customHeight="1">
      <c r="A8550" s="26"/>
      <c r="B8550" s="2"/>
      <c r="C8550" s="26"/>
      <c r="D8550" s="26"/>
      <c r="F8550" s="85" t="str">
        <f t="shared" si="0"/>
        <v/>
      </c>
      <c r="G8550" s="1" t="e">
        <f>IF(VALUE(F8550) = VALUE(RIGHT(Insights!$C$3, 4)), E8550, "")</f>
        <v>#VALUE!</v>
      </c>
      <c r="H8550" s="26" t="e">
        <f t="shared" si="1"/>
        <v>#VALUE!</v>
      </c>
      <c r="I8550" s="1" t="e">
        <f t="shared" si="2"/>
        <v>#VALUE!</v>
      </c>
    </row>
    <row r="8551" spans="1:9" ht="15.75" customHeight="1">
      <c r="A8551" s="26"/>
      <c r="B8551" s="2"/>
      <c r="C8551" s="26"/>
      <c r="D8551" s="26"/>
      <c r="F8551" s="85" t="str">
        <f t="shared" si="0"/>
        <v/>
      </c>
      <c r="G8551" s="1" t="e">
        <f>IF(VALUE(F8551) = VALUE(RIGHT(Insights!$C$3, 4)), E8551, "")</f>
        <v>#VALUE!</v>
      </c>
      <c r="H8551" s="26" t="e">
        <f t="shared" si="1"/>
        <v>#VALUE!</v>
      </c>
      <c r="I8551" s="1" t="e">
        <f t="shared" si="2"/>
        <v>#VALUE!</v>
      </c>
    </row>
    <row r="8552" spans="1:9" ht="15.75" customHeight="1">
      <c r="A8552" s="26"/>
      <c r="B8552" s="2"/>
      <c r="C8552" s="26"/>
      <c r="D8552" s="26"/>
      <c r="F8552" s="85" t="str">
        <f t="shared" si="0"/>
        <v/>
      </c>
      <c r="G8552" s="1" t="e">
        <f>IF(VALUE(F8552) = VALUE(RIGHT(Insights!$C$3, 4)), E8552, "")</f>
        <v>#VALUE!</v>
      </c>
      <c r="H8552" s="26" t="e">
        <f t="shared" si="1"/>
        <v>#VALUE!</v>
      </c>
      <c r="I8552" s="1" t="e">
        <f t="shared" si="2"/>
        <v>#VALUE!</v>
      </c>
    </row>
    <row r="8553" spans="1:9" ht="15.75" customHeight="1">
      <c r="A8553" s="26"/>
      <c r="B8553" s="2"/>
      <c r="C8553" s="26"/>
      <c r="D8553" s="26"/>
      <c r="F8553" s="85" t="str">
        <f t="shared" si="0"/>
        <v/>
      </c>
      <c r="G8553" s="1" t="e">
        <f>IF(VALUE(F8553) = VALUE(RIGHT(Insights!$C$3, 4)), E8553, "")</f>
        <v>#VALUE!</v>
      </c>
      <c r="H8553" s="26" t="e">
        <f t="shared" si="1"/>
        <v>#VALUE!</v>
      </c>
      <c r="I8553" s="1" t="e">
        <f t="shared" si="2"/>
        <v>#VALUE!</v>
      </c>
    </row>
    <row r="8554" spans="1:9" ht="15.75" customHeight="1">
      <c r="A8554" s="26"/>
      <c r="B8554" s="2"/>
      <c r="C8554" s="26"/>
      <c r="D8554" s="26"/>
      <c r="F8554" s="85" t="str">
        <f t="shared" si="0"/>
        <v/>
      </c>
      <c r="G8554" s="1" t="e">
        <f>IF(VALUE(F8554) = VALUE(RIGHT(Insights!$C$3, 4)), E8554, "")</f>
        <v>#VALUE!</v>
      </c>
      <c r="H8554" s="26" t="e">
        <f t="shared" si="1"/>
        <v>#VALUE!</v>
      </c>
      <c r="I8554" s="1" t="e">
        <f t="shared" si="2"/>
        <v>#VALUE!</v>
      </c>
    </row>
    <row r="8555" spans="1:9" ht="15.75" customHeight="1">
      <c r="A8555" s="26"/>
      <c r="B8555" s="2"/>
      <c r="C8555" s="26"/>
      <c r="D8555" s="26"/>
      <c r="F8555" s="85" t="str">
        <f t="shared" si="0"/>
        <v/>
      </c>
      <c r="G8555" s="1" t="e">
        <f>IF(VALUE(F8555) = VALUE(RIGHT(Insights!$C$3, 4)), E8555, "")</f>
        <v>#VALUE!</v>
      </c>
      <c r="H8555" s="26" t="e">
        <f t="shared" si="1"/>
        <v>#VALUE!</v>
      </c>
      <c r="I8555" s="1" t="e">
        <f t="shared" si="2"/>
        <v>#VALUE!</v>
      </c>
    </row>
    <row r="8556" spans="1:9" ht="15.75" customHeight="1">
      <c r="A8556" s="26"/>
      <c r="B8556" s="2"/>
      <c r="C8556" s="26"/>
      <c r="D8556" s="26"/>
      <c r="F8556" s="85" t="str">
        <f t="shared" si="0"/>
        <v/>
      </c>
      <c r="G8556" s="1" t="e">
        <f>IF(VALUE(F8556) = VALUE(RIGHT(Insights!$C$3, 4)), E8556, "")</f>
        <v>#VALUE!</v>
      </c>
      <c r="H8556" s="26" t="e">
        <f t="shared" si="1"/>
        <v>#VALUE!</v>
      </c>
      <c r="I8556" s="1" t="e">
        <f t="shared" si="2"/>
        <v>#VALUE!</v>
      </c>
    </row>
    <row r="8557" spans="1:9" ht="15.75" customHeight="1">
      <c r="A8557" s="26"/>
      <c r="B8557" s="2"/>
      <c r="C8557" s="26"/>
      <c r="D8557" s="26"/>
      <c r="F8557" s="85" t="str">
        <f t="shared" si="0"/>
        <v/>
      </c>
      <c r="G8557" s="1" t="e">
        <f>IF(VALUE(F8557) = VALUE(RIGHT(Insights!$C$3, 4)), E8557, "")</f>
        <v>#VALUE!</v>
      </c>
      <c r="H8557" s="26" t="e">
        <f t="shared" si="1"/>
        <v>#VALUE!</v>
      </c>
      <c r="I8557" s="1" t="e">
        <f t="shared" si="2"/>
        <v>#VALUE!</v>
      </c>
    </row>
    <row r="8558" spans="1:9" ht="15.75" customHeight="1">
      <c r="A8558" s="26"/>
      <c r="B8558" s="2"/>
      <c r="C8558" s="26"/>
      <c r="D8558" s="26"/>
      <c r="F8558" s="85" t="str">
        <f t="shared" si="0"/>
        <v/>
      </c>
      <c r="G8558" s="1" t="e">
        <f>IF(VALUE(F8558) = VALUE(RIGHT(Insights!$C$3, 4)), E8558, "")</f>
        <v>#VALUE!</v>
      </c>
      <c r="H8558" s="26" t="e">
        <f t="shared" si="1"/>
        <v>#VALUE!</v>
      </c>
      <c r="I8558" s="1" t="e">
        <f t="shared" si="2"/>
        <v>#VALUE!</v>
      </c>
    </row>
    <row r="8559" spans="1:9" ht="15.75" customHeight="1">
      <c r="A8559" s="26"/>
      <c r="B8559" s="2"/>
      <c r="C8559" s="26"/>
      <c r="D8559" s="26"/>
      <c r="F8559" s="85" t="str">
        <f t="shared" si="0"/>
        <v/>
      </c>
      <c r="G8559" s="1" t="e">
        <f>IF(VALUE(F8559) = VALUE(RIGHT(Insights!$C$3, 4)), E8559, "")</f>
        <v>#VALUE!</v>
      </c>
      <c r="H8559" s="26" t="e">
        <f t="shared" si="1"/>
        <v>#VALUE!</v>
      </c>
      <c r="I8559" s="1" t="e">
        <f t="shared" si="2"/>
        <v>#VALUE!</v>
      </c>
    </row>
    <row r="8560" spans="1:9" ht="15.75" customHeight="1">
      <c r="A8560" s="26"/>
      <c r="B8560" s="2"/>
      <c r="C8560" s="26"/>
      <c r="D8560" s="26"/>
      <c r="F8560" s="85" t="str">
        <f t="shared" si="0"/>
        <v/>
      </c>
      <c r="G8560" s="1" t="e">
        <f>IF(VALUE(F8560) = VALUE(RIGHT(Insights!$C$3, 4)), E8560, "")</f>
        <v>#VALUE!</v>
      </c>
      <c r="H8560" s="26" t="e">
        <f t="shared" si="1"/>
        <v>#VALUE!</v>
      </c>
      <c r="I8560" s="1" t="e">
        <f t="shared" si="2"/>
        <v>#VALUE!</v>
      </c>
    </row>
    <row r="8561" spans="1:9" ht="15.75" customHeight="1">
      <c r="A8561" s="26"/>
      <c r="B8561" s="2"/>
      <c r="C8561" s="26"/>
      <c r="D8561" s="26"/>
      <c r="F8561" s="85" t="str">
        <f t="shared" si="0"/>
        <v/>
      </c>
      <c r="G8561" s="1" t="e">
        <f>IF(VALUE(F8561) = VALUE(RIGHT(Insights!$C$3, 4)), E8561, "")</f>
        <v>#VALUE!</v>
      </c>
      <c r="H8561" s="26" t="e">
        <f t="shared" si="1"/>
        <v>#VALUE!</v>
      </c>
      <c r="I8561" s="1" t="e">
        <f t="shared" si="2"/>
        <v>#VALUE!</v>
      </c>
    </row>
    <row r="8562" spans="1:9" ht="15.75" customHeight="1">
      <c r="A8562" s="26"/>
      <c r="B8562" s="2"/>
      <c r="C8562" s="26"/>
      <c r="D8562" s="26"/>
      <c r="F8562" s="85" t="str">
        <f t="shared" si="0"/>
        <v/>
      </c>
      <c r="G8562" s="1" t="e">
        <f>IF(VALUE(F8562) = VALUE(RIGHT(Insights!$C$3, 4)), E8562, "")</f>
        <v>#VALUE!</v>
      </c>
      <c r="H8562" s="26" t="e">
        <f t="shared" si="1"/>
        <v>#VALUE!</v>
      </c>
      <c r="I8562" s="1" t="e">
        <f t="shared" si="2"/>
        <v>#VALUE!</v>
      </c>
    </row>
    <row r="8563" spans="1:9" ht="15.75" customHeight="1">
      <c r="A8563" s="26"/>
      <c r="B8563" s="2"/>
      <c r="C8563" s="26"/>
      <c r="D8563" s="26"/>
      <c r="F8563" s="85" t="str">
        <f t="shared" si="0"/>
        <v/>
      </c>
      <c r="G8563" s="1" t="e">
        <f>IF(VALUE(F8563) = VALUE(RIGHT(Insights!$C$3, 4)), E8563, "")</f>
        <v>#VALUE!</v>
      </c>
      <c r="H8563" s="26" t="e">
        <f t="shared" si="1"/>
        <v>#VALUE!</v>
      </c>
      <c r="I8563" s="1" t="e">
        <f t="shared" si="2"/>
        <v>#VALUE!</v>
      </c>
    </row>
    <row r="8564" spans="1:9" ht="15.75" customHeight="1">
      <c r="A8564" s="26"/>
      <c r="B8564" s="2"/>
      <c r="C8564" s="26"/>
      <c r="D8564" s="26"/>
      <c r="F8564" s="85" t="str">
        <f t="shared" si="0"/>
        <v/>
      </c>
      <c r="G8564" s="1" t="e">
        <f>IF(VALUE(F8564) = VALUE(RIGHT(Insights!$C$3, 4)), E8564, "")</f>
        <v>#VALUE!</v>
      </c>
      <c r="H8564" s="26" t="e">
        <f t="shared" si="1"/>
        <v>#VALUE!</v>
      </c>
      <c r="I8564" s="1" t="e">
        <f t="shared" si="2"/>
        <v>#VALUE!</v>
      </c>
    </row>
    <row r="8565" spans="1:9" ht="15.75" customHeight="1">
      <c r="A8565" s="26"/>
      <c r="B8565" s="2"/>
      <c r="C8565" s="26"/>
      <c r="D8565" s="26"/>
      <c r="F8565" s="85" t="str">
        <f t="shared" si="0"/>
        <v/>
      </c>
      <c r="G8565" s="1" t="e">
        <f>IF(VALUE(F8565) = VALUE(RIGHT(Insights!$C$3, 4)), E8565, "")</f>
        <v>#VALUE!</v>
      </c>
      <c r="H8565" s="26" t="e">
        <f t="shared" si="1"/>
        <v>#VALUE!</v>
      </c>
      <c r="I8565" s="1" t="e">
        <f t="shared" si="2"/>
        <v>#VALUE!</v>
      </c>
    </row>
    <row r="8566" spans="1:9" ht="15.75" customHeight="1">
      <c r="A8566" s="26"/>
      <c r="B8566" s="2"/>
      <c r="C8566" s="26"/>
      <c r="D8566" s="26"/>
      <c r="F8566" s="85" t="str">
        <f t="shared" si="0"/>
        <v/>
      </c>
      <c r="G8566" s="1" t="e">
        <f>IF(VALUE(F8566) = VALUE(RIGHT(Insights!$C$3, 4)), E8566, "")</f>
        <v>#VALUE!</v>
      </c>
      <c r="H8566" s="26" t="e">
        <f t="shared" si="1"/>
        <v>#VALUE!</v>
      </c>
      <c r="I8566" s="1" t="e">
        <f t="shared" si="2"/>
        <v>#VALUE!</v>
      </c>
    </row>
    <row r="8567" spans="1:9" ht="15.75" customHeight="1">
      <c r="A8567" s="26"/>
      <c r="B8567" s="2"/>
      <c r="C8567" s="26"/>
      <c r="D8567" s="26"/>
      <c r="F8567" s="85" t="str">
        <f t="shared" si="0"/>
        <v/>
      </c>
      <c r="G8567" s="1" t="e">
        <f>IF(VALUE(F8567) = VALUE(RIGHT(Insights!$C$3, 4)), E8567, "")</f>
        <v>#VALUE!</v>
      </c>
      <c r="H8567" s="26" t="e">
        <f t="shared" si="1"/>
        <v>#VALUE!</v>
      </c>
      <c r="I8567" s="1" t="e">
        <f t="shared" si="2"/>
        <v>#VALUE!</v>
      </c>
    </row>
    <row r="8568" spans="1:9" ht="15.75" customHeight="1">
      <c r="A8568" s="26"/>
      <c r="B8568" s="2"/>
      <c r="C8568" s="26"/>
      <c r="D8568" s="26"/>
      <c r="F8568" s="85" t="str">
        <f t="shared" si="0"/>
        <v/>
      </c>
      <c r="G8568" s="1" t="e">
        <f>IF(VALUE(F8568) = VALUE(RIGHT(Insights!$C$3, 4)), E8568, "")</f>
        <v>#VALUE!</v>
      </c>
      <c r="H8568" s="26" t="e">
        <f t="shared" si="1"/>
        <v>#VALUE!</v>
      </c>
      <c r="I8568" s="1" t="e">
        <f t="shared" si="2"/>
        <v>#VALUE!</v>
      </c>
    </row>
    <row r="8569" spans="1:9" ht="15.75" customHeight="1">
      <c r="A8569" s="26"/>
      <c r="B8569" s="2"/>
      <c r="C8569" s="26"/>
      <c r="D8569" s="26"/>
      <c r="F8569" s="85" t="str">
        <f t="shared" si="0"/>
        <v/>
      </c>
      <c r="G8569" s="1" t="e">
        <f>IF(VALUE(F8569) = VALUE(RIGHT(Insights!$C$3, 4)), E8569, "")</f>
        <v>#VALUE!</v>
      </c>
      <c r="H8569" s="26" t="e">
        <f t="shared" si="1"/>
        <v>#VALUE!</v>
      </c>
      <c r="I8569" s="1" t="e">
        <f t="shared" si="2"/>
        <v>#VALUE!</v>
      </c>
    </row>
    <row r="8570" spans="1:9" ht="15.75" customHeight="1">
      <c r="A8570" s="26"/>
      <c r="B8570" s="2"/>
      <c r="C8570" s="26"/>
      <c r="D8570" s="26"/>
      <c r="F8570" s="85" t="str">
        <f t="shared" si="0"/>
        <v/>
      </c>
      <c r="G8570" s="1" t="e">
        <f>IF(VALUE(F8570) = VALUE(RIGHT(Insights!$C$3, 4)), E8570, "")</f>
        <v>#VALUE!</v>
      </c>
      <c r="H8570" s="26" t="e">
        <f t="shared" si="1"/>
        <v>#VALUE!</v>
      </c>
      <c r="I8570" s="1" t="e">
        <f t="shared" si="2"/>
        <v>#VALUE!</v>
      </c>
    </row>
    <row r="8571" spans="1:9" ht="15.75" customHeight="1">
      <c r="A8571" s="26"/>
      <c r="B8571" s="2"/>
      <c r="C8571" s="26"/>
      <c r="D8571" s="26"/>
      <c r="F8571" s="85" t="str">
        <f t="shared" si="0"/>
        <v/>
      </c>
      <c r="G8571" s="1" t="e">
        <f>IF(VALUE(F8571) = VALUE(RIGHT(Insights!$C$3, 4)), E8571, "")</f>
        <v>#VALUE!</v>
      </c>
      <c r="H8571" s="26" t="e">
        <f t="shared" si="1"/>
        <v>#VALUE!</v>
      </c>
      <c r="I8571" s="1" t="e">
        <f t="shared" si="2"/>
        <v>#VALUE!</v>
      </c>
    </row>
    <row r="8572" spans="1:9" ht="15.75" customHeight="1">
      <c r="A8572" s="26"/>
      <c r="B8572" s="2"/>
      <c r="C8572" s="26"/>
      <c r="D8572" s="26"/>
      <c r="F8572" s="85" t="str">
        <f t="shared" si="0"/>
        <v/>
      </c>
      <c r="G8572" s="1" t="e">
        <f>IF(VALUE(F8572) = VALUE(RIGHT(Insights!$C$3, 4)), E8572, "")</f>
        <v>#VALUE!</v>
      </c>
      <c r="H8572" s="26" t="e">
        <f t="shared" si="1"/>
        <v>#VALUE!</v>
      </c>
      <c r="I8572" s="1" t="e">
        <f t="shared" si="2"/>
        <v>#VALUE!</v>
      </c>
    </row>
    <row r="8573" spans="1:9" ht="15.75" customHeight="1">
      <c r="A8573" s="26"/>
      <c r="B8573" s="2"/>
      <c r="C8573" s="26"/>
      <c r="D8573" s="26"/>
      <c r="F8573" s="85" t="str">
        <f t="shared" si="0"/>
        <v/>
      </c>
      <c r="G8573" s="1" t="e">
        <f>IF(VALUE(F8573) = VALUE(RIGHT(Insights!$C$3, 4)), E8573, "")</f>
        <v>#VALUE!</v>
      </c>
      <c r="H8573" s="26" t="e">
        <f t="shared" si="1"/>
        <v>#VALUE!</v>
      </c>
      <c r="I8573" s="1" t="e">
        <f t="shared" si="2"/>
        <v>#VALUE!</v>
      </c>
    </row>
    <row r="8574" spans="1:9" ht="15.75" customHeight="1">
      <c r="A8574" s="26"/>
      <c r="B8574" s="2"/>
      <c r="C8574" s="26"/>
      <c r="D8574" s="26"/>
      <c r="F8574" s="85" t="str">
        <f t="shared" si="0"/>
        <v/>
      </c>
      <c r="G8574" s="1" t="e">
        <f>IF(VALUE(F8574) = VALUE(RIGHT(Insights!$C$3, 4)), E8574, "")</f>
        <v>#VALUE!</v>
      </c>
      <c r="H8574" s="26" t="e">
        <f t="shared" si="1"/>
        <v>#VALUE!</v>
      </c>
      <c r="I8574" s="1" t="e">
        <f t="shared" si="2"/>
        <v>#VALUE!</v>
      </c>
    </row>
    <row r="8575" spans="1:9" ht="15.75" customHeight="1">
      <c r="A8575" s="26"/>
      <c r="B8575" s="2"/>
      <c r="C8575" s="26"/>
      <c r="D8575" s="26"/>
      <c r="F8575" s="85" t="str">
        <f t="shared" si="0"/>
        <v/>
      </c>
      <c r="G8575" s="1" t="e">
        <f>IF(VALUE(F8575) = VALUE(RIGHT(Insights!$C$3, 4)), E8575, "")</f>
        <v>#VALUE!</v>
      </c>
      <c r="H8575" s="26" t="e">
        <f t="shared" si="1"/>
        <v>#VALUE!</v>
      </c>
      <c r="I8575" s="1" t="e">
        <f t="shared" si="2"/>
        <v>#VALUE!</v>
      </c>
    </row>
    <row r="8576" spans="1:9" ht="15.75" customHeight="1">
      <c r="A8576" s="26"/>
      <c r="B8576" s="2"/>
      <c r="C8576" s="26"/>
      <c r="D8576" s="26"/>
      <c r="F8576" s="85" t="str">
        <f t="shared" si="0"/>
        <v/>
      </c>
      <c r="G8576" s="1" t="e">
        <f>IF(VALUE(F8576) = VALUE(RIGHT(Insights!$C$3, 4)), E8576, "")</f>
        <v>#VALUE!</v>
      </c>
      <c r="H8576" s="26" t="e">
        <f t="shared" si="1"/>
        <v>#VALUE!</v>
      </c>
      <c r="I8576" s="1" t="e">
        <f t="shared" si="2"/>
        <v>#VALUE!</v>
      </c>
    </row>
    <row r="8577" spans="1:9" ht="15.75" customHeight="1">
      <c r="A8577" s="26"/>
      <c r="B8577" s="2"/>
      <c r="C8577" s="26"/>
      <c r="D8577" s="26"/>
      <c r="F8577" s="85" t="str">
        <f t="shared" si="0"/>
        <v/>
      </c>
      <c r="G8577" s="1" t="e">
        <f>IF(VALUE(F8577) = VALUE(RIGHT(Insights!$C$3, 4)), E8577, "")</f>
        <v>#VALUE!</v>
      </c>
      <c r="H8577" s="26" t="e">
        <f t="shared" si="1"/>
        <v>#VALUE!</v>
      </c>
      <c r="I8577" s="1" t="e">
        <f t="shared" si="2"/>
        <v>#VALUE!</v>
      </c>
    </row>
    <row r="8578" spans="1:9" ht="15.75" customHeight="1">
      <c r="A8578" s="26"/>
      <c r="B8578" s="2"/>
      <c r="C8578" s="26"/>
      <c r="D8578" s="26"/>
      <c r="F8578" s="85" t="str">
        <f t="shared" si="0"/>
        <v/>
      </c>
      <c r="G8578" s="1" t="e">
        <f>IF(VALUE(F8578) = VALUE(RIGHT(Insights!$C$3, 4)), E8578, "")</f>
        <v>#VALUE!</v>
      </c>
      <c r="H8578" s="26" t="e">
        <f t="shared" si="1"/>
        <v>#VALUE!</v>
      </c>
      <c r="I8578" s="1" t="e">
        <f t="shared" si="2"/>
        <v>#VALUE!</v>
      </c>
    </row>
    <row r="8579" spans="1:9" ht="15.75" customHeight="1">
      <c r="A8579" s="26"/>
      <c r="B8579" s="2"/>
      <c r="C8579" s="26"/>
      <c r="D8579" s="26"/>
      <c r="F8579" s="85" t="str">
        <f t="shared" si="0"/>
        <v/>
      </c>
      <c r="G8579" s="1" t="e">
        <f>IF(VALUE(F8579) = VALUE(RIGHT(Insights!$C$3, 4)), E8579, "")</f>
        <v>#VALUE!</v>
      </c>
      <c r="H8579" s="26" t="e">
        <f t="shared" si="1"/>
        <v>#VALUE!</v>
      </c>
      <c r="I8579" s="1" t="e">
        <f t="shared" si="2"/>
        <v>#VALUE!</v>
      </c>
    </row>
    <row r="8580" spans="1:9" ht="15.75" customHeight="1">
      <c r="A8580" s="26"/>
      <c r="B8580" s="2"/>
      <c r="C8580" s="26"/>
      <c r="D8580" s="26"/>
      <c r="F8580" s="85" t="str">
        <f t="shared" si="0"/>
        <v/>
      </c>
      <c r="G8580" s="1" t="e">
        <f>IF(VALUE(F8580) = VALUE(RIGHT(Insights!$C$3, 4)), E8580, "")</f>
        <v>#VALUE!</v>
      </c>
      <c r="H8580" s="26" t="e">
        <f t="shared" si="1"/>
        <v>#VALUE!</v>
      </c>
      <c r="I8580" s="1" t="e">
        <f t="shared" si="2"/>
        <v>#VALUE!</v>
      </c>
    </row>
    <row r="8581" spans="1:9" ht="15.75" customHeight="1">
      <c r="A8581" s="26"/>
      <c r="B8581" s="2"/>
      <c r="C8581" s="26"/>
      <c r="D8581" s="26"/>
      <c r="F8581" s="85" t="str">
        <f t="shared" si="0"/>
        <v/>
      </c>
      <c r="G8581" s="1" t="e">
        <f>IF(VALUE(F8581) = VALUE(RIGHT(Insights!$C$3, 4)), E8581, "")</f>
        <v>#VALUE!</v>
      </c>
      <c r="H8581" s="26" t="e">
        <f t="shared" si="1"/>
        <v>#VALUE!</v>
      </c>
      <c r="I8581" s="1" t="e">
        <f t="shared" si="2"/>
        <v>#VALUE!</v>
      </c>
    </row>
    <row r="8582" spans="1:9" ht="15.75" customHeight="1">
      <c r="A8582" s="26"/>
      <c r="B8582" s="2"/>
      <c r="C8582" s="26"/>
      <c r="D8582" s="26"/>
      <c r="F8582" s="85" t="str">
        <f t="shared" si="0"/>
        <v/>
      </c>
      <c r="G8582" s="1" t="e">
        <f>IF(VALUE(F8582) = VALUE(RIGHT(Insights!$C$3, 4)), E8582, "")</f>
        <v>#VALUE!</v>
      </c>
      <c r="H8582" s="26" t="e">
        <f t="shared" si="1"/>
        <v>#VALUE!</v>
      </c>
      <c r="I8582" s="1" t="e">
        <f t="shared" si="2"/>
        <v>#VALUE!</v>
      </c>
    </row>
    <row r="8583" spans="1:9" ht="15.75" customHeight="1">
      <c r="A8583" s="26"/>
      <c r="B8583" s="2"/>
      <c r="C8583" s="26"/>
      <c r="D8583" s="26"/>
      <c r="F8583" s="85" t="str">
        <f t="shared" si="0"/>
        <v/>
      </c>
      <c r="G8583" s="1" t="e">
        <f>IF(VALUE(F8583) = VALUE(RIGHT(Insights!$C$3, 4)), E8583, "")</f>
        <v>#VALUE!</v>
      </c>
      <c r="H8583" s="26" t="e">
        <f t="shared" si="1"/>
        <v>#VALUE!</v>
      </c>
      <c r="I8583" s="1" t="e">
        <f t="shared" si="2"/>
        <v>#VALUE!</v>
      </c>
    </row>
    <row r="8584" spans="1:9" ht="15.75" customHeight="1">
      <c r="A8584" s="26"/>
      <c r="B8584" s="2"/>
      <c r="C8584" s="26"/>
      <c r="D8584" s="26"/>
      <c r="F8584" s="85" t="str">
        <f t="shared" si="0"/>
        <v/>
      </c>
      <c r="G8584" s="1" t="e">
        <f>IF(VALUE(F8584) = VALUE(RIGHT(Insights!$C$3, 4)), E8584, "")</f>
        <v>#VALUE!</v>
      </c>
      <c r="H8584" s="26" t="e">
        <f t="shared" si="1"/>
        <v>#VALUE!</v>
      </c>
      <c r="I8584" s="1" t="e">
        <f t="shared" si="2"/>
        <v>#VALUE!</v>
      </c>
    </row>
    <row r="8585" spans="1:9" ht="15.75" customHeight="1">
      <c r="A8585" s="26"/>
      <c r="B8585" s="2"/>
      <c r="C8585" s="26"/>
      <c r="D8585" s="26"/>
      <c r="F8585" s="85" t="str">
        <f t="shared" si="0"/>
        <v/>
      </c>
      <c r="G8585" s="1" t="e">
        <f>IF(VALUE(F8585) = VALUE(RIGHT(Insights!$C$3, 4)), E8585, "")</f>
        <v>#VALUE!</v>
      </c>
      <c r="H8585" s="26" t="e">
        <f t="shared" si="1"/>
        <v>#VALUE!</v>
      </c>
      <c r="I8585" s="1" t="e">
        <f t="shared" si="2"/>
        <v>#VALUE!</v>
      </c>
    </row>
    <row r="8586" spans="1:9" ht="15.75" customHeight="1">
      <c r="A8586" s="26"/>
      <c r="B8586" s="2"/>
      <c r="C8586" s="26"/>
      <c r="D8586" s="26"/>
      <c r="F8586" s="85" t="str">
        <f t="shared" si="0"/>
        <v/>
      </c>
      <c r="G8586" s="1" t="e">
        <f>IF(VALUE(F8586) = VALUE(RIGHT(Insights!$C$3, 4)), E8586, "")</f>
        <v>#VALUE!</v>
      </c>
      <c r="H8586" s="26" t="e">
        <f t="shared" si="1"/>
        <v>#VALUE!</v>
      </c>
      <c r="I8586" s="1" t="e">
        <f t="shared" si="2"/>
        <v>#VALUE!</v>
      </c>
    </row>
    <row r="8587" spans="1:9" ht="15.75" customHeight="1">
      <c r="A8587" s="26"/>
      <c r="B8587" s="2"/>
      <c r="C8587" s="26"/>
      <c r="D8587" s="26"/>
      <c r="F8587" s="85" t="str">
        <f t="shared" si="0"/>
        <v/>
      </c>
      <c r="G8587" s="1" t="e">
        <f>IF(VALUE(F8587) = VALUE(RIGHT(Insights!$C$3, 4)), E8587, "")</f>
        <v>#VALUE!</v>
      </c>
      <c r="H8587" s="26" t="e">
        <f t="shared" si="1"/>
        <v>#VALUE!</v>
      </c>
      <c r="I8587" s="1" t="e">
        <f t="shared" si="2"/>
        <v>#VALUE!</v>
      </c>
    </row>
    <row r="8588" spans="1:9" ht="15.75" customHeight="1">
      <c r="A8588" s="26"/>
      <c r="B8588" s="2"/>
      <c r="C8588" s="26"/>
      <c r="D8588" s="26"/>
      <c r="F8588" s="85" t="str">
        <f t="shared" si="0"/>
        <v/>
      </c>
      <c r="G8588" s="1" t="e">
        <f>IF(VALUE(F8588) = VALUE(RIGHT(Insights!$C$3, 4)), E8588, "")</f>
        <v>#VALUE!</v>
      </c>
      <c r="H8588" s="26" t="e">
        <f t="shared" si="1"/>
        <v>#VALUE!</v>
      </c>
      <c r="I8588" s="1" t="e">
        <f t="shared" si="2"/>
        <v>#VALUE!</v>
      </c>
    </row>
    <row r="8589" spans="1:9" ht="15.75" customHeight="1">
      <c r="A8589" s="26"/>
      <c r="B8589" s="2"/>
      <c r="C8589" s="26"/>
      <c r="D8589" s="26"/>
      <c r="F8589" s="85" t="str">
        <f t="shared" si="0"/>
        <v/>
      </c>
      <c r="G8589" s="1" t="e">
        <f>IF(VALUE(F8589) = VALUE(RIGHT(Insights!$C$3, 4)), E8589, "")</f>
        <v>#VALUE!</v>
      </c>
      <c r="H8589" s="26" t="e">
        <f t="shared" si="1"/>
        <v>#VALUE!</v>
      </c>
      <c r="I8589" s="1" t="e">
        <f t="shared" si="2"/>
        <v>#VALUE!</v>
      </c>
    </row>
    <row r="8590" spans="1:9" ht="15.75" customHeight="1">
      <c r="A8590" s="26"/>
      <c r="B8590" s="2"/>
      <c r="C8590" s="26"/>
      <c r="D8590" s="26"/>
      <c r="F8590" s="85" t="str">
        <f t="shared" si="0"/>
        <v/>
      </c>
      <c r="G8590" s="1" t="e">
        <f>IF(VALUE(F8590) = VALUE(RIGHT(Insights!$C$3, 4)), E8590, "")</f>
        <v>#VALUE!</v>
      </c>
      <c r="H8590" s="26" t="e">
        <f t="shared" si="1"/>
        <v>#VALUE!</v>
      </c>
      <c r="I8590" s="1" t="e">
        <f t="shared" si="2"/>
        <v>#VALUE!</v>
      </c>
    </row>
    <row r="8591" spans="1:9" ht="15.75" customHeight="1">
      <c r="A8591" s="26"/>
      <c r="B8591" s="2"/>
      <c r="C8591" s="26"/>
      <c r="D8591" s="26"/>
      <c r="F8591" s="85" t="str">
        <f t="shared" si="0"/>
        <v/>
      </c>
      <c r="G8591" s="1" t="e">
        <f>IF(VALUE(F8591) = VALUE(RIGHT(Insights!$C$3, 4)), E8591, "")</f>
        <v>#VALUE!</v>
      </c>
      <c r="H8591" s="26" t="e">
        <f t="shared" si="1"/>
        <v>#VALUE!</v>
      </c>
      <c r="I8591" s="1" t="e">
        <f t="shared" si="2"/>
        <v>#VALUE!</v>
      </c>
    </row>
    <row r="8592" spans="1:9" ht="15.75" customHeight="1">
      <c r="A8592" s="26"/>
      <c r="B8592" s="2"/>
      <c r="C8592" s="26"/>
      <c r="D8592" s="26"/>
      <c r="F8592" s="85" t="str">
        <f t="shared" si="0"/>
        <v/>
      </c>
      <c r="G8592" s="1" t="e">
        <f>IF(VALUE(F8592) = VALUE(RIGHT(Insights!$C$3, 4)), E8592, "")</f>
        <v>#VALUE!</v>
      </c>
      <c r="H8592" s="26" t="e">
        <f t="shared" si="1"/>
        <v>#VALUE!</v>
      </c>
      <c r="I8592" s="1" t="e">
        <f t="shared" si="2"/>
        <v>#VALUE!</v>
      </c>
    </row>
    <row r="8593" spans="1:9" ht="15.75" customHeight="1">
      <c r="A8593" s="26"/>
      <c r="B8593" s="2"/>
      <c r="C8593" s="26"/>
      <c r="D8593" s="26"/>
      <c r="F8593" s="85" t="str">
        <f t="shared" si="0"/>
        <v/>
      </c>
      <c r="G8593" s="1" t="e">
        <f>IF(VALUE(F8593) = VALUE(RIGHT(Insights!$C$3, 4)), E8593, "")</f>
        <v>#VALUE!</v>
      </c>
      <c r="H8593" s="26" t="e">
        <f t="shared" si="1"/>
        <v>#VALUE!</v>
      </c>
      <c r="I8593" s="1" t="e">
        <f t="shared" si="2"/>
        <v>#VALUE!</v>
      </c>
    </row>
    <row r="8594" spans="1:9" ht="15.75" customHeight="1">
      <c r="A8594" s="26"/>
      <c r="B8594" s="2"/>
      <c r="C8594" s="26"/>
      <c r="D8594" s="26"/>
      <c r="F8594" s="85" t="str">
        <f t="shared" si="0"/>
        <v/>
      </c>
      <c r="G8594" s="1" t="e">
        <f>IF(VALUE(F8594) = VALUE(RIGHT(Insights!$C$3, 4)), E8594, "")</f>
        <v>#VALUE!</v>
      </c>
      <c r="H8594" s="26" t="e">
        <f t="shared" si="1"/>
        <v>#VALUE!</v>
      </c>
      <c r="I8594" s="1" t="e">
        <f t="shared" si="2"/>
        <v>#VALUE!</v>
      </c>
    </row>
    <row r="8595" spans="1:9" ht="15.75" customHeight="1">
      <c r="A8595" s="26"/>
      <c r="B8595" s="2"/>
      <c r="C8595" s="26"/>
      <c r="D8595" s="26"/>
      <c r="F8595" s="85" t="str">
        <f t="shared" si="0"/>
        <v/>
      </c>
      <c r="G8595" s="1" t="e">
        <f>IF(VALUE(F8595) = VALUE(RIGHT(Insights!$C$3, 4)), E8595, "")</f>
        <v>#VALUE!</v>
      </c>
      <c r="H8595" s="26" t="e">
        <f t="shared" si="1"/>
        <v>#VALUE!</v>
      </c>
      <c r="I8595" s="1" t="e">
        <f t="shared" si="2"/>
        <v>#VALUE!</v>
      </c>
    </row>
    <row r="8596" spans="1:9" ht="15.75" customHeight="1">
      <c r="A8596" s="26"/>
      <c r="B8596" s="2"/>
      <c r="C8596" s="26"/>
      <c r="D8596" s="26"/>
      <c r="F8596" s="85" t="str">
        <f t="shared" si="0"/>
        <v/>
      </c>
      <c r="G8596" s="1" t="e">
        <f>IF(VALUE(F8596) = VALUE(RIGHT(Insights!$C$3, 4)), E8596, "")</f>
        <v>#VALUE!</v>
      </c>
      <c r="H8596" s="26" t="e">
        <f t="shared" si="1"/>
        <v>#VALUE!</v>
      </c>
      <c r="I8596" s="1" t="e">
        <f t="shared" si="2"/>
        <v>#VALUE!</v>
      </c>
    </row>
    <row r="8597" spans="1:9" ht="15.75" customHeight="1">
      <c r="A8597" s="26"/>
      <c r="B8597" s="2"/>
      <c r="C8597" s="26"/>
      <c r="D8597" s="26"/>
      <c r="F8597" s="85" t="str">
        <f t="shared" si="0"/>
        <v/>
      </c>
      <c r="G8597" s="1" t="e">
        <f>IF(VALUE(F8597) = VALUE(RIGHT(Insights!$C$3, 4)), E8597, "")</f>
        <v>#VALUE!</v>
      </c>
      <c r="H8597" s="26" t="e">
        <f t="shared" si="1"/>
        <v>#VALUE!</v>
      </c>
      <c r="I8597" s="1" t="e">
        <f t="shared" si="2"/>
        <v>#VALUE!</v>
      </c>
    </row>
    <row r="8598" spans="1:9" ht="15.75" customHeight="1">
      <c r="A8598" s="26"/>
      <c r="B8598" s="2"/>
      <c r="C8598" s="26"/>
      <c r="D8598" s="26"/>
      <c r="F8598" s="85" t="str">
        <f t="shared" si="0"/>
        <v/>
      </c>
      <c r="G8598" s="1" t="e">
        <f>IF(VALUE(F8598) = VALUE(RIGHT(Insights!$C$3, 4)), E8598, "")</f>
        <v>#VALUE!</v>
      </c>
      <c r="H8598" s="26" t="e">
        <f t="shared" si="1"/>
        <v>#VALUE!</v>
      </c>
      <c r="I8598" s="1" t="e">
        <f t="shared" si="2"/>
        <v>#VALUE!</v>
      </c>
    </row>
    <row r="8599" spans="1:9" ht="15.75" customHeight="1">
      <c r="A8599" s="26"/>
      <c r="B8599" s="2"/>
      <c r="C8599" s="26"/>
      <c r="D8599" s="26"/>
      <c r="F8599" s="85" t="str">
        <f t="shared" si="0"/>
        <v/>
      </c>
      <c r="G8599" s="1" t="e">
        <f>IF(VALUE(F8599) = VALUE(RIGHT(Insights!$C$3, 4)), E8599, "")</f>
        <v>#VALUE!</v>
      </c>
      <c r="H8599" s="26" t="e">
        <f t="shared" si="1"/>
        <v>#VALUE!</v>
      </c>
      <c r="I8599" s="1" t="e">
        <f t="shared" si="2"/>
        <v>#VALUE!</v>
      </c>
    </row>
    <row r="8600" spans="1:9" ht="15.75" customHeight="1">
      <c r="A8600" s="26"/>
      <c r="B8600" s="2"/>
      <c r="C8600" s="26"/>
      <c r="D8600" s="26"/>
      <c r="F8600" s="85" t="str">
        <f t="shared" si="0"/>
        <v/>
      </c>
      <c r="G8600" s="1" t="e">
        <f>IF(VALUE(F8600) = VALUE(RIGHT(Insights!$C$3, 4)), E8600, "")</f>
        <v>#VALUE!</v>
      </c>
      <c r="H8600" s="26" t="e">
        <f t="shared" si="1"/>
        <v>#VALUE!</v>
      </c>
      <c r="I8600" s="1" t="e">
        <f t="shared" si="2"/>
        <v>#VALUE!</v>
      </c>
    </row>
    <row r="8601" spans="1:9" ht="15.75" customHeight="1">
      <c r="A8601" s="26"/>
      <c r="B8601" s="2"/>
      <c r="C8601" s="26"/>
      <c r="D8601" s="26"/>
      <c r="F8601" s="85" t="str">
        <f t="shared" si="0"/>
        <v/>
      </c>
      <c r="G8601" s="1" t="e">
        <f>IF(VALUE(F8601) = VALUE(RIGHT(Insights!$C$3, 4)), E8601, "")</f>
        <v>#VALUE!</v>
      </c>
      <c r="H8601" s="26" t="e">
        <f t="shared" si="1"/>
        <v>#VALUE!</v>
      </c>
      <c r="I8601" s="1" t="e">
        <f t="shared" si="2"/>
        <v>#VALUE!</v>
      </c>
    </row>
    <row r="8602" spans="1:9" ht="15.75" customHeight="1">
      <c r="A8602" s="26"/>
      <c r="B8602" s="2"/>
      <c r="C8602" s="26"/>
      <c r="D8602" s="26"/>
      <c r="F8602" s="85" t="str">
        <f t="shared" si="0"/>
        <v/>
      </c>
      <c r="G8602" s="1" t="e">
        <f>IF(VALUE(F8602) = VALUE(RIGHT(Insights!$C$3, 4)), E8602, "")</f>
        <v>#VALUE!</v>
      </c>
      <c r="H8602" s="26" t="e">
        <f t="shared" si="1"/>
        <v>#VALUE!</v>
      </c>
      <c r="I8602" s="1" t="e">
        <f t="shared" si="2"/>
        <v>#VALUE!</v>
      </c>
    </row>
    <row r="8603" spans="1:9" ht="15.75" customHeight="1">
      <c r="A8603" s="26"/>
      <c r="B8603" s="2"/>
      <c r="C8603" s="26"/>
      <c r="D8603" s="26"/>
      <c r="F8603" s="85" t="str">
        <f t="shared" si="0"/>
        <v/>
      </c>
      <c r="G8603" s="1" t="e">
        <f>IF(VALUE(F8603) = VALUE(RIGHT(Insights!$C$3, 4)), E8603, "")</f>
        <v>#VALUE!</v>
      </c>
      <c r="H8603" s="26" t="e">
        <f t="shared" si="1"/>
        <v>#VALUE!</v>
      </c>
      <c r="I8603" s="1" t="e">
        <f t="shared" si="2"/>
        <v>#VALUE!</v>
      </c>
    </row>
    <row r="8604" spans="1:9" ht="15.75" customHeight="1">
      <c r="A8604" s="26"/>
      <c r="B8604" s="2"/>
      <c r="C8604" s="26"/>
      <c r="D8604" s="26"/>
      <c r="F8604" s="85" t="str">
        <f t="shared" si="0"/>
        <v/>
      </c>
      <c r="G8604" s="1" t="e">
        <f>IF(VALUE(F8604) = VALUE(RIGHT(Insights!$C$3, 4)), E8604, "")</f>
        <v>#VALUE!</v>
      </c>
      <c r="H8604" s="26" t="e">
        <f t="shared" si="1"/>
        <v>#VALUE!</v>
      </c>
      <c r="I8604" s="1" t="e">
        <f t="shared" si="2"/>
        <v>#VALUE!</v>
      </c>
    </row>
    <row r="8605" spans="1:9" ht="15.75" customHeight="1">
      <c r="A8605" s="26"/>
      <c r="B8605" s="2"/>
      <c r="C8605" s="26"/>
      <c r="D8605" s="26"/>
      <c r="F8605" s="85" t="str">
        <f t="shared" si="0"/>
        <v/>
      </c>
      <c r="G8605" s="1" t="e">
        <f>IF(VALUE(F8605) = VALUE(RIGHT(Insights!$C$3, 4)), E8605, "")</f>
        <v>#VALUE!</v>
      </c>
      <c r="H8605" s="26" t="e">
        <f t="shared" si="1"/>
        <v>#VALUE!</v>
      </c>
      <c r="I8605" s="1" t="e">
        <f t="shared" si="2"/>
        <v>#VALUE!</v>
      </c>
    </row>
    <row r="8606" spans="1:9" ht="15.75" customHeight="1">
      <c r="A8606" s="26"/>
      <c r="B8606" s="2"/>
      <c r="C8606" s="26"/>
      <c r="D8606" s="26"/>
      <c r="F8606" s="85" t="str">
        <f t="shared" si="0"/>
        <v/>
      </c>
      <c r="G8606" s="1" t="e">
        <f>IF(VALUE(F8606) = VALUE(RIGHT(Insights!$C$3, 4)), E8606, "")</f>
        <v>#VALUE!</v>
      </c>
      <c r="H8606" s="26" t="e">
        <f t="shared" si="1"/>
        <v>#VALUE!</v>
      </c>
      <c r="I8606" s="1" t="e">
        <f t="shared" si="2"/>
        <v>#VALUE!</v>
      </c>
    </row>
    <row r="8607" spans="1:9" ht="15.75" customHeight="1">
      <c r="A8607" s="26"/>
      <c r="B8607" s="2"/>
      <c r="C8607" s="26"/>
      <c r="D8607" s="26"/>
      <c r="F8607" s="85" t="str">
        <f t="shared" si="0"/>
        <v/>
      </c>
      <c r="G8607" s="1" t="e">
        <f>IF(VALUE(F8607) = VALUE(RIGHT(Insights!$C$3, 4)), E8607, "")</f>
        <v>#VALUE!</v>
      </c>
      <c r="H8607" s="26" t="e">
        <f t="shared" si="1"/>
        <v>#VALUE!</v>
      </c>
      <c r="I8607" s="1" t="e">
        <f t="shared" si="2"/>
        <v>#VALUE!</v>
      </c>
    </row>
    <row r="8608" spans="1:9" ht="15.75" customHeight="1">
      <c r="A8608" s="26"/>
      <c r="B8608" s="2"/>
      <c r="C8608" s="26"/>
      <c r="D8608" s="26"/>
      <c r="F8608" s="85" t="str">
        <f t="shared" si="0"/>
        <v/>
      </c>
      <c r="G8608" s="1" t="e">
        <f>IF(VALUE(F8608) = VALUE(RIGHT(Insights!$C$3, 4)), E8608, "")</f>
        <v>#VALUE!</v>
      </c>
      <c r="H8608" s="26" t="e">
        <f t="shared" si="1"/>
        <v>#VALUE!</v>
      </c>
      <c r="I8608" s="1" t="e">
        <f t="shared" si="2"/>
        <v>#VALUE!</v>
      </c>
    </row>
    <row r="8609" spans="1:9" ht="15.75" customHeight="1">
      <c r="A8609" s="26"/>
      <c r="B8609" s="2"/>
      <c r="C8609" s="26"/>
      <c r="D8609" s="26"/>
      <c r="F8609" s="85" t="str">
        <f t="shared" si="0"/>
        <v/>
      </c>
      <c r="G8609" s="1" t="e">
        <f>IF(VALUE(F8609) = VALUE(RIGHT(Insights!$C$3, 4)), E8609, "")</f>
        <v>#VALUE!</v>
      </c>
      <c r="H8609" s="26" t="e">
        <f t="shared" si="1"/>
        <v>#VALUE!</v>
      </c>
      <c r="I8609" s="1" t="e">
        <f t="shared" si="2"/>
        <v>#VALUE!</v>
      </c>
    </row>
    <row r="8610" spans="1:9" ht="15.75" customHeight="1">
      <c r="A8610" s="26"/>
      <c r="B8610" s="2"/>
      <c r="C8610" s="26"/>
      <c r="D8610" s="26"/>
      <c r="F8610" s="85" t="str">
        <f t="shared" si="0"/>
        <v/>
      </c>
      <c r="G8610" s="1" t="e">
        <f>IF(VALUE(F8610) = VALUE(RIGHT(Insights!$C$3, 4)), E8610, "")</f>
        <v>#VALUE!</v>
      </c>
      <c r="H8610" s="26" t="e">
        <f t="shared" si="1"/>
        <v>#VALUE!</v>
      </c>
      <c r="I8610" s="1" t="e">
        <f t="shared" si="2"/>
        <v>#VALUE!</v>
      </c>
    </row>
    <row r="8611" spans="1:9" ht="15.75" customHeight="1">
      <c r="A8611" s="26"/>
      <c r="B8611" s="2"/>
      <c r="C8611" s="26"/>
      <c r="D8611" s="26"/>
      <c r="F8611" s="85" t="str">
        <f t="shared" si="0"/>
        <v/>
      </c>
      <c r="G8611" s="1" t="e">
        <f>IF(VALUE(F8611) = VALUE(RIGHT(Insights!$C$3, 4)), E8611, "")</f>
        <v>#VALUE!</v>
      </c>
      <c r="H8611" s="26" t="e">
        <f t="shared" si="1"/>
        <v>#VALUE!</v>
      </c>
      <c r="I8611" s="1" t="e">
        <f t="shared" si="2"/>
        <v>#VALUE!</v>
      </c>
    </row>
    <row r="8612" spans="1:9" ht="15.75" customHeight="1">
      <c r="A8612" s="26"/>
      <c r="B8612" s="2"/>
      <c r="C8612" s="26"/>
      <c r="D8612" s="26"/>
      <c r="F8612" s="85" t="str">
        <f t="shared" si="0"/>
        <v/>
      </c>
      <c r="G8612" s="1" t="e">
        <f>IF(VALUE(F8612) = VALUE(RIGHT(Insights!$C$3, 4)), E8612, "")</f>
        <v>#VALUE!</v>
      </c>
      <c r="H8612" s="26" t="e">
        <f t="shared" si="1"/>
        <v>#VALUE!</v>
      </c>
      <c r="I8612" s="1" t="e">
        <f t="shared" si="2"/>
        <v>#VALUE!</v>
      </c>
    </row>
    <row r="8613" spans="1:9" ht="15.75" customHeight="1">
      <c r="A8613" s="26"/>
      <c r="B8613" s="2"/>
      <c r="C8613" s="26"/>
      <c r="D8613" s="26"/>
      <c r="F8613" s="85" t="str">
        <f t="shared" si="0"/>
        <v/>
      </c>
      <c r="G8613" s="1" t="e">
        <f>IF(VALUE(F8613) = VALUE(RIGHT(Insights!$C$3, 4)), E8613, "")</f>
        <v>#VALUE!</v>
      </c>
      <c r="H8613" s="26" t="e">
        <f t="shared" si="1"/>
        <v>#VALUE!</v>
      </c>
      <c r="I8613" s="1" t="e">
        <f t="shared" si="2"/>
        <v>#VALUE!</v>
      </c>
    </row>
    <row r="8614" spans="1:9" ht="15.75" customHeight="1">
      <c r="A8614" s="26"/>
      <c r="B8614" s="2"/>
      <c r="C8614" s="26"/>
      <c r="D8614" s="26"/>
      <c r="F8614" s="85" t="str">
        <f t="shared" si="0"/>
        <v/>
      </c>
      <c r="G8614" s="1" t="e">
        <f>IF(VALUE(F8614) = VALUE(RIGHT(Insights!$C$3, 4)), E8614, "")</f>
        <v>#VALUE!</v>
      </c>
      <c r="H8614" s="26" t="e">
        <f t="shared" si="1"/>
        <v>#VALUE!</v>
      </c>
      <c r="I8614" s="1" t="e">
        <f t="shared" si="2"/>
        <v>#VALUE!</v>
      </c>
    </row>
    <row r="8615" spans="1:9" ht="15.75" customHeight="1">
      <c r="A8615" s="26"/>
      <c r="B8615" s="2"/>
      <c r="C8615" s="26"/>
      <c r="D8615" s="26"/>
      <c r="F8615" s="85" t="str">
        <f t="shared" si="0"/>
        <v/>
      </c>
      <c r="G8615" s="1" t="e">
        <f>IF(VALUE(F8615) = VALUE(RIGHT(Insights!$C$3, 4)), E8615, "")</f>
        <v>#VALUE!</v>
      </c>
      <c r="H8615" s="26" t="e">
        <f t="shared" si="1"/>
        <v>#VALUE!</v>
      </c>
      <c r="I8615" s="1" t="e">
        <f t="shared" si="2"/>
        <v>#VALUE!</v>
      </c>
    </row>
    <row r="8616" spans="1:9" ht="15.75" customHeight="1">
      <c r="A8616" s="26"/>
      <c r="B8616" s="2"/>
      <c r="C8616" s="26"/>
      <c r="D8616" s="26"/>
      <c r="F8616" s="85" t="str">
        <f t="shared" si="0"/>
        <v/>
      </c>
      <c r="G8616" s="1" t="e">
        <f>IF(VALUE(F8616) = VALUE(RIGHT(Insights!$C$3, 4)), E8616, "")</f>
        <v>#VALUE!</v>
      </c>
      <c r="H8616" s="26" t="e">
        <f t="shared" si="1"/>
        <v>#VALUE!</v>
      </c>
      <c r="I8616" s="1" t="e">
        <f t="shared" si="2"/>
        <v>#VALUE!</v>
      </c>
    </row>
    <row r="8617" spans="1:9" ht="15.75" customHeight="1">
      <c r="A8617" s="26"/>
      <c r="B8617" s="2"/>
      <c r="C8617" s="26"/>
      <c r="D8617" s="26"/>
      <c r="F8617" s="85" t="str">
        <f t="shared" si="0"/>
        <v/>
      </c>
      <c r="G8617" s="1" t="e">
        <f>IF(VALUE(F8617) = VALUE(RIGHT(Insights!$C$3, 4)), E8617, "")</f>
        <v>#VALUE!</v>
      </c>
      <c r="H8617" s="26" t="e">
        <f t="shared" si="1"/>
        <v>#VALUE!</v>
      </c>
      <c r="I8617" s="1" t="e">
        <f t="shared" si="2"/>
        <v>#VALUE!</v>
      </c>
    </row>
    <row r="8618" spans="1:9" ht="15.75" customHeight="1">
      <c r="A8618" s="26"/>
      <c r="B8618" s="2"/>
      <c r="C8618" s="26"/>
      <c r="D8618" s="26"/>
      <c r="F8618" s="85" t="str">
        <f t="shared" si="0"/>
        <v/>
      </c>
      <c r="G8618" s="1" t="e">
        <f>IF(VALUE(F8618) = VALUE(RIGHT(Insights!$C$3, 4)), E8618, "")</f>
        <v>#VALUE!</v>
      </c>
      <c r="H8618" s="26" t="e">
        <f t="shared" si="1"/>
        <v>#VALUE!</v>
      </c>
      <c r="I8618" s="1" t="e">
        <f t="shared" si="2"/>
        <v>#VALUE!</v>
      </c>
    </row>
    <row r="8619" spans="1:9" ht="15.75" customHeight="1">
      <c r="A8619" s="26"/>
      <c r="B8619" s="2"/>
      <c r="C8619" s="26"/>
      <c r="D8619" s="26"/>
      <c r="F8619" s="85" t="str">
        <f t="shared" si="0"/>
        <v/>
      </c>
      <c r="G8619" s="1" t="e">
        <f>IF(VALUE(F8619) = VALUE(RIGHT(Insights!$C$3, 4)), E8619, "")</f>
        <v>#VALUE!</v>
      </c>
      <c r="H8619" s="26" t="e">
        <f t="shared" si="1"/>
        <v>#VALUE!</v>
      </c>
      <c r="I8619" s="1" t="e">
        <f t="shared" si="2"/>
        <v>#VALUE!</v>
      </c>
    </row>
    <row r="8620" spans="1:9" ht="15.75" customHeight="1">
      <c r="A8620" s="26"/>
      <c r="B8620" s="2"/>
      <c r="C8620" s="26"/>
      <c r="D8620" s="26"/>
      <c r="F8620" s="85" t="str">
        <f t="shared" si="0"/>
        <v/>
      </c>
      <c r="G8620" s="1" t="e">
        <f>IF(VALUE(F8620) = VALUE(RIGHT(Insights!$C$3, 4)), E8620, "")</f>
        <v>#VALUE!</v>
      </c>
      <c r="H8620" s="26" t="e">
        <f t="shared" si="1"/>
        <v>#VALUE!</v>
      </c>
      <c r="I8620" s="1" t="e">
        <f t="shared" si="2"/>
        <v>#VALUE!</v>
      </c>
    </row>
    <row r="8621" spans="1:9" ht="15.75" customHeight="1">
      <c r="A8621" s="26"/>
      <c r="B8621" s="2"/>
      <c r="C8621" s="26"/>
      <c r="D8621" s="26"/>
      <c r="F8621" s="85" t="str">
        <f t="shared" si="0"/>
        <v/>
      </c>
      <c r="G8621" s="1" t="e">
        <f>IF(VALUE(F8621) = VALUE(RIGHT(Insights!$C$3, 4)), E8621, "")</f>
        <v>#VALUE!</v>
      </c>
      <c r="H8621" s="26" t="e">
        <f t="shared" si="1"/>
        <v>#VALUE!</v>
      </c>
      <c r="I8621" s="1" t="e">
        <f t="shared" si="2"/>
        <v>#VALUE!</v>
      </c>
    </row>
    <row r="8622" spans="1:9" ht="15.75" customHeight="1">
      <c r="A8622" s="26"/>
      <c r="B8622" s="2"/>
      <c r="C8622" s="26"/>
      <c r="D8622" s="26"/>
      <c r="F8622" s="85" t="str">
        <f t="shared" si="0"/>
        <v/>
      </c>
      <c r="G8622" s="1" t="e">
        <f>IF(VALUE(F8622) = VALUE(RIGHT(Insights!$C$3, 4)), E8622, "")</f>
        <v>#VALUE!</v>
      </c>
      <c r="H8622" s="26" t="e">
        <f t="shared" si="1"/>
        <v>#VALUE!</v>
      </c>
      <c r="I8622" s="1" t="e">
        <f t="shared" si="2"/>
        <v>#VALUE!</v>
      </c>
    </row>
    <row r="8623" spans="1:9" ht="15.75" customHeight="1">
      <c r="A8623" s="26"/>
      <c r="B8623" s="2"/>
      <c r="C8623" s="26"/>
      <c r="D8623" s="26"/>
      <c r="F8623" s="85" t="str">
        <f t="shared" si="0"/>
        <v/>
      </c>
      <c r="G8623" s="1" t="e">
        <f>IF(VALUE(F8623) = VALUE(RIGHT(Insights!$C$3, 4)), E8623, "")</f>
        <v>#VALUE!</v>
      </c>
      <c r="H8623" s="26" t="e">
        <f t="shared" si="1"/>
        <v>#VALUE!</v>
      </c>
      <c r="I8623" s="1" t="e">
        <f t="shared" si="2"/>
        <v>#VALUE!</v>
      </c>
    </row>
    <row r="8624" spans="1:9" ht="15.75" customHeight="1">
      <c r="A8624" s="26"/>
      <c r="B8624" s="2"/>
      <c r="C8624" s="26"/>
      <c r="D8624" s="26"/>
      <c r="F8624" s="85" t="str">
        <f t="shared" si="0"/>
        <v/>
      </c>
      <c r="G8624" s="1" t="e">
        <f>IF(VALUE(F8624) = VALUE(RIGHT(Insights!$C$3, 4)), E8624, "")</f>
        <v>#VALUE!</v>
      </c>
      <c r="H8624" s="26" t="e">
        <f t="shared" si="1"/>
        <v>#VALUE!</v>
      </c>
      <c r="I8624" s="1" t="e">
        <f t="shared" si="2"/>
        <v>#VALUE!</v>
      </c>
    </row>
    <row r="8625" spans="1:9" ht="15.75" customHeight="1">
      <c r="A8625" s="26"/>
      <c r="B8625" s="2"/>
      <c r="C8625" s="26"/>
      <c r="D8625" s="26"/>
      <c r="F8625" s="85" t="str">
        <f t="shared" si="0"/>
        <v/>
      </c>
      <c r="G8625" s="1" t="e">
        <f>IF(VALUE(F8625) = VALUE(RIGHT(Insights!$C$3, 4)), E8625, "")</f>
        <v>#VALUE!</v>
      </c>
      <c r="H8625" s="26" t="e">
        <f t="shared" si="1"/>
        <v>#VALUE!</v>
      </c>
      <c r="I8625" s="1" t="e">
        <f t="shared" si="2"/>
        <v>#VALUE!</v>
      </c>
    </row>
    <row r="8626" spans="1:9" ht="15.75" customHeight="1">
      <c r="A8626" s="26"/>
      <c r="B8626" s="2"/>
      <c r="C8626" s="26"/>
      <c r="D8626" s="26"/>
      <c r="F8626" s="85" t="str">
        <f t="shared" si="0"/>
        <v/>
      </c>
      <c r="G8626" s="1" t="e">
        <f>IF(VALUE(F8626) = VALUE(RIGHT(Insights!$C$3, 4)), E8626, "")</f>
        <v>#VALUE!</v>
      </c>
      <c r="H8626" s="26" t="e">
        <f t="shared" si="1"/>
        <v>#VALUE!</v>
      </c>
      <c r="I8626" s="1" t="e">
        <f t="shared" si="2"/>
        <v>#VALUE!</v>
      </c>
    </row>
    <row r="8627" spans="1:9" ht="15.75" customHeight="1">
      <c r="A8627" s="26"/>
      <c r="B8627" s="2"/>
      <c r="C8627" s="26"/>
      <c r="D8627" s="26"/>
      <c r="F8627" s="85" t="str">
        <f t="shared" si="0"/>
        <v/>
      </c>
      <c r="G8627" s="1" t="e">
        <f>IF(VALUE(F8627) = VALUE(RIGHT(Insights!$C$3, 4)), E8627, "")</f>
        <v>#VALUE!</v>
      </c>
      <c r="H8627" s="26" t="e">
        <f t="shared" si="1"/>
        <v>#VALUE!</v>
      </c>
      <c r="I8627" s="1" t="e">
        <f t="shared" si="2"/>
        <v>#VALUE!</v>
      </c>
    </row>
    <row r="8628" spans="1:9" ht="15.75" customHeight="1">
      <c r="A8628" s="26"/>
      <c r="B8628" s="2"/>
      <c r="C8628" s="26"/>
      <c r="D8628" s="26"/>
      <c r="F8628" s="85" t="str">
        <f t="shared" si="0"/>
        <v/>
      </c>
      <c r="G8628" s="1" t="e">
        <f>IF(VALUE(F8628) = VALUE(RIGHT(Insights!$C$3, 4)), E8628, "")</f>
        <v>#VALUE!</v>
      </c>
      <c r="H8628" s="26" t="e">
        <f t="shared" si="1"/>
        <v>#VALUE!</v>
      </c>
      <c r="I8628" s="1" t="e">
        <f t="shared" si="2"/>
        <v>#VALUE!</v>
      </c>
    </row>
    <row r="8629" spans="1:9" ht="15.75" customHeight="1">
      <c r="A8629" s="26"/>
      <c r="B8629" s="2"/>
      <c r="C8629" s="26"/>
      <c r="D8629" s="26"/>
      <c r="F8629" s="85" t="str">
        <f t="shared" si="0"/>
        <v/>
      </c>
      <c r="G8629" s="1" t="e">
        <f>IF(VALUE(F8629) = VALUE(RIGHT(Insights!$C$3, 4)), E8629, "")</f>
        <v>#VALUE!</v>
      </c>
      <c r="H8629" s="26" t="e">
        <f t="shared" si="1"/>
        <v>#VALUE!</v>
      </c>
      <c r="I8629" s="1" t="e">
        <f t="shared" si="2"/>
        <v>#VALUE!</v>
      </c>
    </row>
    <row r="8630" spans="1:9" ht="15.75" customHeight="1">
      <c r="A8630" s="26"/>
      <c r="B8630" s="2"/>
      <c r="C8630" s="26"/>
      <c r="D8630" s="26"/>
      <c r="F8630" s="85" t="str">
        <f t="shared" si="0"/>
        <v/>
      </c>
      <c r="G8630" s="1" t="e">
        <f>IF(VALUE(F8630) = VALUE(RIGHT(Insights!$C$3, 4)), E8630, "")</f>
        <v>#VALUE!</v>
      </c>
      <c r="H8630" s="26" t="e">
        <f t="shared" si="1"/>
        <v>#VALUE!</v>
      </c>
      <c r="I8630" s="1" t="e">
        <f t="shared" si="2"/>
        <v>#VALUE!</v>
      </c>
    </row>
    <row r="8631" spans="1:9" ht="15.75" customHeight="1">
      <c r="A8631" s="26"/>
      <c r="B8631" s="2"/>
      <c r="C8631" s="26"/>
      <c r="D8631" s="26"/>
      <c r="F8631" s="85" t="str">
        <f t="shared" si="0"/>
        <v/>
      </c>
      <c r="G8631" s="1" t="e">
        <f>IF(VALUE(F8631) = VALUE(RIGHT(Insights!$C$3, 4)), E8631, "")</f>
        <v>#VALUE!</v>
      </c>
      <c r="H8631" s="26" t="e">
        <f t="shared" si="1"/>
        <v>#VALUE!</v>
      </c>
      <c r="I8631" s="1" t="e">
        <f t="shared" si="2"/>
        <v>#VALUE!</v>
      </c>
    </row>
    <row r="8632" spans="1:9" ht="15.75" customHeight="1">
      <c r="A8632" s="26"/>
      <c r="B8632" s="2"/>
      <c r="C8632" s="26"/>
      <c r="D8632" s="26"/>
      <c r="F8632" s="85" t="str">
        <f t="shared" si="0"/>
        <v/>
      </c>
      <c r="G8632" s="1" t="e">
        <f>IF(VALUE(F8632) = VALUE(RIGHT(Insights!$C$3, 4)), E8632, "")</f>
        <v>#VALUE!</v>
      </c>
      <c r="H8632" s="26" t="e">
        <f t="shared" si="1"/>
        <v>#VALUE!</v>
      </c>
      <c r="I8632" s="1" t="e">
        <f t="shared" si="2"/>
        <v>#VALUE!</v>
      </c>
    </row>
    <row r="8633" spans="1:9" ht="15.75" customHeight="1">
      <c r="A8633" s="26"/>
      <c r="B8633" s="2"/>
      <c r="C8633" s="26"/>
      <c r="D8633" s="26"/>
      <c r="F8633" s="85" t="str">
        <f t="shared" si="0"/>
        <v/>
      </c>
      <c r="G8633" s="1" t="e">
        <f>IF(VALUE(F8633) = VALUE(RIGHT(Insights!$C$3, 4)), E8633, "")</f>
        <v>#VALUE!</v>
      </c>
      <c r="H8633" s="26" t="e">
        <f t="shared" si="1"/>
        <v>#VALUE!</v>
      </c>
      <c r="I8633" s="1" t="e">
        <f t="shared" si="2"/>
        <v>#VALUE!</v>
      </c>
    </row>
    <row r="8634" spans="1:9" ht="15.75" customHeight="1">
      <c r="A8634" s="26"/>
      <c r="B8634" s="2"/>
      <c r="C8634" s="26"/>
      <c r="D8634" s="26"/>
      <c r="F8634" s="85" t="str">
        <f t="shared" si="0"/>
        <v/>
      </c>
      <c r="G8634" s="1" t="e">
        <f>IF(VALUE(F8634) = VALUE(RIGHT(Insights!$C$3, 4)), E8634, "")</f>
        <v>#VALUE!</v>
      </c>
      <c r="H8634" s="26" t="e">
        <f t="shared" si="1"/>
        <v>#VALUE!</v>
      </c>
      <c r="I8634" s="1" t="e">
        <f t="shared" si="2"/>
        <v>#VALUE!</v>
      </c>
    </row>
    <row r="8635" spans="1:9" ht="15.75" customHeight="1">
      <c r="A8635" s="26"/>
      <c r="B8635" s="2"/>
      <c r="C8635" s="26"/>
      <c r="D8635" s="26"/>
      <c r="F8635" s="85" t="str">
        <f t="shared" si="0"/>
        <v/>
      </c>
      <c r="G8635" s="1" t="e">
        <f>IF(VALUE(F8635) = VALUE(RIGHT(Insights!$C$3, 4)), E8635, "")</f>
        <v>#VALUE!</v>
      </c>
      <c r="H8635" s="26" t="e">
        <f t="shared" si="1"/>
        <v>#VALUE!</v>
      </c>
      <c r="I8635" s="1" t="e">
        <f t="shared" si="2"/>
        <v>#VALUE!</v>
      </c>
    </row>
    <row r="8636" spans="1:9" ht="15.75" customHeight="1">
      <c r="A8636" s="26"/>
      <c r="B8636" s="2"/>
      <c r="C8636" s="26"/>
      <c r="D8636" s="26"/>
      <c r="F8636" s="85" t="str">
        <f t="shared" si="0"/>
        <v/>
      </c>
      <c r="G8636" s="1" t="e">
        <f>IF(VALUE(F8636) = VALUE(RIGHT(Insights!$C$3, 4)), E8636, "")</f>
        <v>#VALUE!</v>
      </c>
      <c r="H8636" s="26" t="e">
        <f t="shared" si="1"/>
        <v>#VALUE!</v>
      </c>
      <c r="I8636" s="1" t="e">
        <f t="shared" si="2"/>
        <v>#VALUE!</v>
      </c>
    </row>
    <row r="8637" spans="1:9" ht="15.75" customHeight="1">
      <c r="A8637" s="26"/>
      <c r="B8637" s="2"/>
      <c r="C8637" s="26"/>
      <c r="D8637" s="26"/>
      <c r="F8637" s="85" t="str">
        <f t="shared" si="0"/>
        <v/>
      </c>
      <c r="G8637" s="1" t="e">
        <f>IF(VALUE(F8637) = VALUE(RIGHT(Insights!$C$3, 4)), E8637, "")</f>
        <v>#VALUE!</v>
      </c>
      <c r="H8637" s="26" t="e">
        <f t="shared" si="1"/>
        <v>#VALUE!</v>
      </c>
      <c r="I8637" s="1" t="e">
        <f t="shared" si="2"/>
        <v>#VALUE!</v>
      </c>
    </row>
    <row r="8638" spans="1:9" ht="15.75" customHeight="1">
      <c r="A8638" s="26"/>
      <c r="B8638" s="2"/>
      <c r="C8638" s="26"/>
      <c r="D8638" s="26"/>
      <c r="F8638" s="85" t="str">
        <f t="shared" si="0"/>
        <v/>
      </c>
      <c r="G8638" s="1" t="e">
        <f>IF(VALUE(F8638) = VALUE(RIGHT(Insights!$C$3, 4)), E8638, "")</f>
        <v>#VALUE!</v>
      </c>
      <c r="H8638" s="26" t="e">
        <f t="shared" si="1"/>
        <v>#VALUE!</v>
      </c>
      <c r="I8638" s="1" t="e">
        <f t="shared" si="2"/>
        <v>#VALUE!</v>
      </c>
    </row>
    <row r="8639" spans="1:9" ht="15.75" customHeight="1">
      <c r="A8639" s="26"/>
      <c r="B8639" s="2"/>
      <c r="C8639" s="26"/>
      <c r="D8639" s="26"/>
      <c r="F8639" s="85" t="str">
        <f t="shared" si="0"/>
        <v/>
      </c>
      <c r="G8639" s="1" t="e">
        <f>IF(VALUE(F8639) = VALUE(RIGHT(Insights!$C$3, 4)), E8639, "")</f>
        <v>#VALUE!</v>
      </c>
      <c r="H8639" s="26" t="e">
        <f t="shared" si="1"/>
        <v>#VALUE!</v>
      </c>
      <c r="I8639" s="1" t="e">
        <f t="shared" si="2"/>
        <v>#VALUE!</v>
      </c>
    </row>
    <row r="8640" spans="1:9" ht="15.75" customHeight="1">
      <c r="A8640" s="26"/>
      <c r="B8640" s="2"/>
      <c r="C8640" s="26"/>
      <c r="D8640" s="26"/>
      <c r="F8640" s="85" t="str">
        <f t="shared" si="0"/>
        <v/>
      </c>
      <c r="G8640" s="1" t="e">
        <f>IF(VALUE(F8640) = VALUE(RIGHT(Insights!$C$3, 4)), E8640, "")</f>
        <v>#VALUE!</v>
      </c>
      <c r="H8640" s="26" t="e">
        <f t="shared" si="1"/>
        <v>#VALUE!</v>
      </c>
      <c r="I8640" s="1" t="e">
        <f t="shared" si="2"/>
        <v>#VALUE!</v>
      </c>
    </row>
    <row r="8641" spans="1:9" ht="15.75" customHeight="1">
      <c r="A8641" s="26"/>
      <c r="B8641" s="2"/>
      <c r="C8641" s="26"/>
      <c r="D8641" s="26"/>
      <c r="F8641" s="85" t="str">
        <f t="shared" si="0"/>
        <v/>
      </c>
      <c r="G8641" s="1" t="e">
        <f>IF(VALUE(F8641) = VALUE(RIGHT(Insights!$C$3, 4)), E8641, "")</f>
        <v>#VALUE!</v>
      </c>
      <c r="H8641" s="26" t="e">
        <f t="shared" si="1"/>
        <v>#VALUE!</v>
      </c>
      <c r="I8641" s="1" t="e">
        <f t="shared" si="2"/>
        <v>#VALUE!</v>
      </c>
    </row>
    <row r="8642" spans="1:9" ht="15.75" customHeight="1">
      <c r="A8642" s="26"/>
      <c r="B8642" s="2"/>
      <c r="C8642" s="26"/>
      <c r="D8642" s="26"/>
      <c r="F8642" s="85" t="str">
        <f t="shared" si="0"/>
        <v/>
      </c>
      <c r="G8642" s="1" t="e">
        <f>IF(VALUE(F8642) = VALUE(RIGHT(Insights!$C$3, 4)), E8642, "")</f>
        <v>#VALUE!</v>
      </c>
      <c r="H8642" s="26" t="e">
        <f t="shared" si="1"/>
        <v>#VALUE!</v>
      </c>
      <c r="I8642" s="1" t="e">
        <f t="shared" si="2"/>
        <v>#VALUE!</v>
      </c>
    </row>
    <row r="8643" spans="1:9" ht="15.75" customHeight="1">
      <c r="A8643" s="26"/>
      <c r="B8643" s="2"/>
      <c r="C8643" s="26"/>
      <c r="D8643" s="26"/>
      <c r="F8643" s="85" t="str">
        <f t="shared" si="0"/>
        <v/>
      </c>
      <c r="G8643" s="1" t="e">
        <f>IF(VALUE(F8643) = VALUE(RIGHT(Insights!$C$3, 4)), E8643, "")</f>
        <v>#VALUE!</v>
      </c>
      <c r="H8643" s="26" t="e">
        <f t="shared" si="1"/>
        <v>#VALUE!</v>
      </c>
      <c r="I8643" s="1" t="e">
        <f t="shared" si="2"/>
        <v>#VALUE!</v>
      </c>
    </row>
    <row r="8644" spans="1:9" ht="15.75" customHeight="1">
      <c r="A8644" s="26"/>
      <c r="B8644" s="2"/>
      <c r="C8644" s="26"/>
      <c r="D8644" s="26"/>
      <c r="F8644" s="85" t="str">
        <f t="shared" si="0"/>
        <v/>
      </c>
      <c r="G8644" s="1" t="e">
        <f>IF(VALUE(F8644) = VALUE(RIGHT(Insights!$C$3, 4)), E8644, "")</f>
        <v>#VALUE!</v>
      </c>
      <c r="H8644" s="26" t="e">
        <f t="shared" si="1"/>
        <v>#VALUE!</v>
      </c>
      <c r="I8644" s="1" t="e">
        <f t="shared" si="2"/>
        <v>#VALUE!</v>
      </c>
    </row>
    <row r="8645" spans="1:9" ht="15.75" customHeight="1">
      <c r="A8645" s="26"/>
      <c r="B8645" s="2"/>
      <c r="C8645" s="26"/>
      <c r="D8645" s="26"/>
      <c r="F8645" s="85" t="str">
        <f t="shared" si="0"/>
        <v/>
      </c>
      <c r="G8645" s="1" t="e">
        <f>IF(VALUE(F8645) = VALUE(RIGHT(Insights!$C$3, 4)), E8645, "")</f>
        <v>#VALUE!</v>
      </c>
      <c r="H8645" s="26" t="e">
        <f t="shared" si="1"/>
        <v>#VALUE!</v>
      </c>
      <c r="I8645" s="1" t="e">
        <f t="shared" si="2"/>
        <v>#VALUE!</v>
      </c>
    </row>
    <row r="8646" spans="1:9" ht="15.75" customHeight="1">
      <c r="A8646" s="26"/>
      <c r="B8646" s="2"/>
      <c r="C8646" s="26"/>
      <c r="D8646" s="26"/>
      <c r="F8646" s="85" t="str">
        <f t="shared" si="0"/>
        <v/>
      </c>
      <c r="G8646" s="1" t="e">
        <f>IF(VALUE(F8646) = VALUE(RIGHT(Insights!$C$3, 4)), E8646, "")</f>
        <v>#VALUE!</v>
      </c>
      <c r="H8646" s="26" t="e">
        <f t="shared" si="1"/>
        <v>#VALUE!</v>
      </c>
      <c r="I8646" s="1" t="e">
        <f t="shared" si="2"/>
        <v>#VALUE!</v>
      </c>
    </row>
    <row r="8647" spans="1:9" ht="15.75" customHeight="1">
      <c r="A8647" s="26"/>
      <c r="B8647" s="2"/>
      <c r="C8647" s="26"/>
      <c r="D8647" s="26"/>
      <c r="F8647" s="85" t="str">
        <f t="shared" si="0"/>
        <v/>
      </c>
      <c r="G8647" s="1" t="e">
        <f>IF(VALUE(F8647) = VALUE(RIGHT(Insights!$C$3, 4)), E8647, "")</f>
        <v>#VALUE!</v>
      </c>
      <c r="H8647" s="26" t="e">
        <f t="shared" si="1"/>
        <v>#VALUE!</v>
      </c>
      <c r="I8647" s="1" t="e">
        <f t="shared" si="2"/>
        <v>#VALUE!</v>
      </c>
    </row>
    <row r="8648" spans="1:9" ht="15.75" customHeight="1">
      <c r="A8648" s="26"/>
      <c r="B8648" s="2"/>
      <c r="C8648" s="26"/>
      <c r="D8648" s="26"/>
      <c r="F8648" s="85" t="str">
        <f t="shared" si="0"/>
        <v/>
      </c>
      <c r="G8648" s="1" t="e">
        <f>IF(VALUE(F8648) = VALUE(RIGHT(Insights!$C$3, 4)), E8648, "")</f>
        <v>#VALUE!</v>
      </c>
      <c r="H8648" s="26" t="e">
        <f t="shared" si="1"/>
        <v>#VALUE!</v>
      </c>
      <c r="I8648" s="1" t="e">
        <f t="shared" si="2"/>
        <v>#VALUE!</v>
      </c>
    </row>
    <row r="8649" spans="1:9" ht="15.75" customHeight="1">
      <c r="A8649" s="26"/>
      <c r="B8649" s="2"/>
      <c r="C8649" s="26"/>
      <c r="D8649" s="26"/>
      <c r="F8649" s="85" t="str">
        <f t="shared" si="0"/>
        <v/>
      </c>
      <c r="G8649" s="1" t="e">
        <f>IF(VALUE(F8649) = VALUE(RIGHT(Insights!$C$3, 4)), E8649, "")</f>
        <v>#VALUE!</v>
      </c>
      <c r="H8649" s="26" t="e">
        <f t="shared" si="1"/>
        <v>#VALUE!</v>
      </c>
      <c r="I8649" s="1" t="e">
        <f t="shared" si="2"/>
        <v>#VALUE!</v>
      </c>
    </row>
    <row r="8650" spans="1:9" ht="15.75" customHeight="1">
      <c r="A8650" s="26"/>
      <c r="B8650" s="2"/>
      <c r="C8650" s="26"/>
      <c r="D8650" s="26"/>
      <c r="F8650" s="85" t="str">
        <f t="shared" si="0"/>
        <v/>
      </c>
      <c r="G8650" s="1" t="e">
        <f>IF(VALUE(F8650) = VALUE(RIGHT(Insights!$C$3, 4)), E8650, "")</f>
        <v>#VALUE!</v>
      </c>
      <c r="H8650" s="26" t="e">
        <f t="shared" si="1"/>
        <v>#VALUE!</v>
      </c>
      <c r="I8650" s="1" t="e">
        <f t="shared" si="2"/>
        <v>#VALUE!</v>
      </c>
    </row>
    <row r="8651" spans="1:9" ht="15.75" customHeight="1">
      <c r="A8651" s="26"/>
      <c r="B8651" s="2"/>
      <c r="C8651" s="26"/>
      <c r="D8651" s="26"/>
      <c r="F8651" s="85" t="str">
        <f t="shared" si="0"/>
        <v/>
      </c>
      <c r="G8651" s="1" t="e">
        <f>IF(VALUE(F8651) = VALUE(RIGHT(Insights!$C$3, 4)), E8651, "")</f>
        <v>#VALUE!</v>
      </c>
      <c r="H8651" s="26" t="e">
        <f t="shared" si="1"/>
        <v>#VALUE!</v>
      </c>
      <c r="I8651" s="1" t="e">
        <f t="shared" si="2"/>
        <v>#VALUE!</v>
      </c>
    </row>
    <row r="8652" spans="1:9" ht="15.75" customHeight="1">
      <c r="A8652" s="26"/>
      <c r="B8652" s="2"/>
      <c r="C8652" s="26"/>
      <c r="D8652" s="26"/>
      <c r="F8652" s="85" t="str">
        <f t="shared" si="0"/>
        <v/>
      </c>
      <c r="G8652" s="1" t="e">
        <f>IF(VALUE(F8652) = VALUE(RIGHT(Insights!$C$3, 4)), E8652, "")</f>
        <v>#VALUE!</v>
      </c>
      <c r="H8652" s="26" t="e">
        <f t="shared" si="1"/>
        <v>#VALUE!</v>
      </c>
      <c r="I8652" s="1" t="e">
        <f t="shared" si="2"/>
        <v>#VALUE!</v>
      </c>
    </row>
    <row r="8653" spans="1:9" ht="15.75" customHeight="1">
      <c r="A8653" s="26"/>
      <c r="B8653" s="2"/>
      <c r="C8653" s="26"/>
      <c r="D8653" s="26"/>
      <c r="F8653" s="85" t="str">
        <f t="shared" si="0"/>
        <v/>
      </c>
      <c r="G8653" s="1" t="e">
        <f>IF(VALUE(F8653) = VALUE(RIGHT(Insights!$C$3, 4)), E8653, "")</f>
        <v>#VALUE!</v>
      </c>
      <c r="H8653" s="26" t="e">
        <f t="shared" si="1"/>
        <v>#VALUE!</v>
      </c>
      <c r="I8653" s="1" t="e">
        <f t="shared" si="2"/>
        <v>#VALUE!</v>
      </c>
    </row>
    <row r="8654" spans="1:9" ht="15.75" customHeight="1">
      <c r="A8654" s="26"/>
      <c r="B8654" s="2"/>
      <c r="C8654" s="26"/>
      <c r="D8654" s="26"/>
      <c r="F8654" s="85" t="str">
        <f t="shared" si="0"/>
        <v/>
      </c>
      <c r="G8654" s="1" t="e">
        <f>IF(VALUE(F8654) = VALUE(RIGHT(Insights!$C$3, 4)), E8654, "")</f>
        <v>#VALUE!</v>
      </c>
      <c r="H8654" s="26" t="e">
        <f t="shared" si="1"/>
        <v>#VALUE!</v>
      </c>
      <c r="I8654" s="1" t="e">
        <f t="shared" si="2"/>
        <v>#VALUE!</v>
      </c>
    </row>
    <row r="8655" spans="1:9" ht="15.75" customHeight="1">
      <c r="A8655" s="26"/>
      <c r="B8655" s="2"/>
      <c r="C8655" s="26"/>
      <c r="D8655" s="26"/>
      <c r="F8655" s="85" t="str">
        <f t="shared" si="0"/>
        <v/>
      </c>
      <c r="G8655" s="1" t="e">
        <f>IF(VALUE(F8655) = VALUE(RIGHT(Insights!$C$3, 4)), E8655, "")</f>
        <v>#VALUE!</v>
      </c>
      <c r="H8655" s="26" t="e">
        <f t="shared" si="1"/>
        <v>#VALUE!</v>
      </c>
      <c r="I8655" s="1" t="e">
        <f t="shared" si="2"/>
        <v>#VALUE!</v>
      </c>
    </row>
    <row r="8656" spans="1:9" ht="15.75" customHeight="1">
      <c r="A8656" s="26"/>
      <c r="B8656" s="2"/>
      <c r="C8656" s="26"/>
      <c r="D8656" s="26"/>
      <c r="F8656" s="85" t="str">
        <f t="shared" si="0"/>
        <v/>
      </c>
      <c r="G8656" s="1" t="e">
        <f>IF(VALUE(F8656) = VALUE(RIGHT(Insights!$C$3, 4)), E8656, "")</f>
        <v>#VALUE!</v>
      </c>
      <c r="H8656" s="26" t="e">
        <f t="shared" si="1"/>
        <v>#VALUE!</v>
      </c>
      <c r="I8656" s="1" t="e">
        <f t="shared" si="2"/>
        <v>#VALUE!</v>
      </c>
    </row>
    <row r="8657" spans="1:9" ht="15.75" customHeight="1">
      <c r="A8657" s="26"/>
      <c r="B8657" s="2"/>
      <c r="C8657" s="26"/>
      <c r="D8657" s="26"/>
      <c r="F8657" s="85" t="str">
        <f t="shared" si="0"/>
        <v/>
      </c>
      <c r="G8657" s="1" t="e">
        <f>IF(VALUE(F8657) = VALUE(RIGHT(Insights!$C$3, 4)), E8657, "")</f>
        <v>#VALUE!</v>
      </c>
      <c r="H8657" s="26" t="e">
        <f t="shared" si="1"/>
        <v>#VALUE!</v>
      </c>
      <c r="I8657" s="1" t="e">
        <f t="shared" si="2"/>
        <v>#VALUE!</v>
      </c>
    </row>
    <row r="8658" spans="1:9" ht="15.75" customHeight="1">
      <c r="A8658" s="26"/>
      <c r="B8658" s="2"/>
      <c r="C8658" s="26"/>
      <c r="D8658" s="26"/>
      <c r="F8658" s="85" t="str">
        <f t="shared" si="0"/>
        <v/>
      </c>
      <c r="G8658" s="1" t="e">
        <f>IF(VALUE(F8658) = VALUE(RIGHT(Insights!$C$3, 4)), E8658, "")</f>
        <v>#VALUE!</v>
      </c>
      <c r="H8658" s="26" t="e">
        <f t="shared" si="1"/>
        <v>#VALUE!</v>
      </c>
      <c r="I8658" s="1" t="e">
        <f t="shared" si="2"/>
        <v>#VALUE!</v>
      </c>
    </row>
    <row r="8659" spans="1:9" ht="15.75" customHeight="1">
      <c r="A8659" s="26"/>
      <c r="B8659" s="2"/>
      <c r="C8659" s="26"/>
      <c r="D8659" s="26"/>
      <c r="F8659" s="85" t="str">
        <f t="shared" si="0"/>
        <v/>
      </c>
      <c r="G8659" s="1" t="e">
        <f>IF(VALUE(F8659) = VALUE(RIGHT(Insights!$C$3, 4)), E8659, "")</f>
        <v>#VALUE!</v>
      </c>
      <c r="H8659" s="26" t="e">
        <f t="shared" si="1"/>
        <v>#VALUE!</v>
      </c>
      <c r="I8659" s="1" t="e">
        <f t="shared" si="2"/>
        <v>#VALUE!</v>
      </c>
    </row>
    <row r="8660" spans="1:9" ht="15.75" customHeight="1">
      <c r="A8660" s="26"/>
      <c r="B8660" s="2"/>
      <c r="C8660" s="26"/>
      <c r="D8660" s="26"/>
      <c r="F8660" s="85" t="str">
        <f t="shared" si="0"/>
        <v/>
      </c>
      <c r="G8660" s="1" t="e">
        <f>IF(VALUE(F8660) = VALUE(RIGHT(Insights!$C$3, 4)), E8660, "")</f>
        <v>#VALUE!</v>
      </c>
      <c r="H8660" s="26" t="e">
        <f t="shared" si="1"/>
        <v>#VALUE!</v>
      </c>
      <c r="I8660" s="1" t="e">
        <f t="shared" si="2"/>
        <v>#VALUE!</v>
      </c>
    </row>
    <row r="8661" spans="1:9" ht="15.75" customHeight="1">
      <c r="A8661" s="26"/>
      <c r="B8661" s="2"/>
      <c r="C8661" s="26"/>
      <c r="D8661" s="26"/>
      <c r="F8661" s="85" t="str">
        <f t="shared" si="0"/>
        <v/>
      </c>
      <c r="G8661" s="1" t="e">
        <f>IF(VALUE(F8661) = VALUE(RIGHT(Insights!$C$3, 4)), E8661, "")</f>
        <v>#VALUE!</v>
      </c>
      <c r="H8661" s="26" t="e">
        <f t="shared" si="1"/>
        <v>#VALUE!</v>
      </c>
      <c r="I8661" s="1" t="e">
        <f t="shared" si="2"/>
        <v>#VALUE!</v>
      </c>
    </row>
    <row r="8662" spans="1:9" ht="15.75" customHeight="1">
      <c r="A8662" s="26"/>
      <c r="B8662" s="2"/>
      <c r="C8662" s="26"/>
      <c r="D8662" s="26"/>
      <c r="F8662" s="85" t="str">
        <f t="shared" si="0"/>
        <v/>
      </c>
      <c r="G8662" s="1" t="e">
        <f>IF(VALUE(F8662) = VALUE(RIGHT(Insights!$C$3, 4)), E8662, "")</f>
        <v>#VALUE!</v>
      </c>
      <c r="H8662" s="26" t="e">
        <f t="shared" si="1"/>
        <v>#VALUE!</v>
      </c>
      <c r="I8662" s="1" t="e">
        <f t="shared" si="2"/>
        <v>#VALUE!</v>
      </c>
    </row>
    <row r="8663" spans="1:9" ht="15.75" customHeight="1">
      <c r="A8663" s="26"/>
      <c r="B8663" s="2"/>
      <c r="C8663" s="26"/>
      <c r="D8663" s="26"/>
      <c r="F8663" s="85" t="str">
        <f t="shared" si="0"/>
        <v/>
      </c>
      <c r="G8663" s="1" t="e">
        <f>IF(VALUE(F8663) = VALUE(RIGHT(Insights!$C$3, 4)), E8663, "")</f>
        <v>#VALUE!</v>
      </c>
      <c r="H8663" s="26" t="e">
        <f t="shared" si="1"/>
        <v>#VALUE!</v>
      </c>
      <c r="I8663" s="1" t="e">
        <f t="shared" si="2"/>
        <v>#VALUE!</v>
      </c>
    </row>
    <row r="8664" spans="1:9" ht="15.75" customHeight="1">
      <c r="A8664" s="26"/>
      <c r="B8664" s="2"/>
      <c r="C8664" s="26"/>
      <c r="D8664" s="26"/>
      <c r="F8664" s="85" t="str">
        <f t="shared" si="0"/>
        <v/>
      </c>
      <c r="G8664" s="1" t="e">
        <f>IF(VALUE(F8664) = VALUE(RIGHT(Insights!$C$3, 4)), E8664, "")</f>
        <v>#VALUE!</v>
      </c>
      <c r="H8664" s="26" t="e">
        <f t="shared" si="1"/>
        <v>#VALUE!</v>
      </c>
      <c r="I8664" s="1" t="e">
        <f t="shared" si="2"/>
        <v>#VALUE!</v>
      </c>
    </row>
    <row r="8665" spans="1:9" ht="15.75" customHeight="1">
      <c r="A8665" s="26"/>
      <c r="B8665" s="2"/>
      <c r="C8665" s="26"/>
      <c r="D8665" s="26"/>
      <c r="F8665" s="85" t="str">
        <f t="shared" si="0"/>
        <v/>
      </c>
      <c r="G8665" s="1" t="e">
        <f>IF(VALUE(F8665) = VALUE(RIGHT(Insights!$C$3, 4)), E8665, "")</f>
        <v>#VALUE!</v>
      </c>
      <c r="H8665" s="26" t="e">
        <f t="shared" si="1"/>
        <v>#VALUE!</v>
      </c>
      <c r="I8665" s="1" t="e">
        <f t="shared" si="2"/>
        <v>#VALUE!</v>
      </c>
    </row>
    <row r="8666" spans="1:9" ht="15.75" customHeight="1">
      <c r="A8666" s="26"/>
      <c r="B8666" s="2"/>
      <c r="C8666" s="26"/>
      <c r="D8666" s="26"/>
      <c r="F8666" s="85" t="str">
        <f t="shared" si="0"/>
        <v/>
      </c>
      <c r="G8666" s="1" t="e">
        <f>IF(VALUE(F8666) = VALUE(RIGHT(Insights!$C$3, 4)), E8666, "")</f>
        <v>#VALUE!</v>
      </c>
      <c r="H8666" s="26" t="e">
        <f t="shared" si="1"/>
        <v>#VALUE!</v>
      </c>
      <c r="I8666" s="1" t="e">
        <f t="shared" si="2"/>
        <v>#VALUE!</v>
      </c>
    </row>
    <row r="8667" spans="1:9" ht="15.75" customHeight="1">
      <c r="A8667" s="26"/>
      <c r="B8667" s="2"/>
      <c r="C8667" s="26"/>
      <c r="D8667" s="26"/>
      <c r="F8667" s="85" t="str">
        <f t="shared" si="0"/>
        <v/>
      </c>
      <c r="G8667" s="1" t="e">
        <f>IF(VALUE(F8667) = VALUE(RIGHT(Insights!$C$3, 4)), E8667, "")</f>
        <v>#VALUE!</v>
      </c>
      <c r="H8667" s="26" t="e">
        <f t="shared" si="1"/>
        <v>#VALUE!</v>
      </c>
      <c r="I8667" s="1" t="e">
        <f t="shared" si="2"/>
        <v>#VALUE!</v>
      </c>
    </row>
    <row r="8668" spans="1:9" ht="15.75" customHeight="1">
      <c r="A8668" s="26"/>
      <c r="B8668" s="2"/>
      <c r="C8668" s="26"/>
      <c r="D8668" s="26"/>
      <c r="F8668" s="85" t="str">
        <f t="shared" si="0"/>
        <v/>
      </c>
      <c r="G8668" s="1" t="e">
        <f>IF(VALUE(F8668) = VALUE(RIGHT(Insights!$C$3, 4)), E8668, "")</f>
        <v>#VALUE!</v>
      </c>
      <c r="H8668" s="26" t="e">
        <f t="shared" si="1"/>
        <v>#VALUE!</v>
      </c>
      <c r="I8668" s="1" t="e">
        <f t="shared" si="2"/>
        <v>#VALUE!</v>
      </c>
    </row>
    <row r="8669" spans="1:9" ht="15.75" customHeight="1">
      <c r="A8669" s="26"/>
      <c r="B8669" s="2"/>
      <c r="C8669" s="26"/>
      <c r="D8669" s="26"/>
      <c r="F8669" s="85" t="str">
        <f t="shared" si="0"/>
        <v/>
      </c>
      <c r="G8669" s="1" t="e">
        <f>IF(VALUE(F8669) = VALUE(RIGHT(Insights!$C$3, 4)), E8669, "")</f>
        <v>#VALUE!</v>
      </c>
      <c r="H8669" s="26" t="e">
        <f t="shared" si="1"/>
        <v>#VALUE!</v>
      </c>
      <c r="I8669" s="1" t="e">
        <f t="shared" si="2"/>
        <v>#VALUE!</v>
      </c>
    </row>
    <row r="8670" spans="1:9" ht="15.75" customHeight="1">
      <c r="A8670" s="26"/>
      <c r="B8670" s="2"/>
      <c r="C8670" s="26"/>
      <c r="D8670" s="26"/>
      <c r="F8670" s="85" t="str">
        <f t="shared" si="0"/>
        <v/>
      </c>
      <c r="G8670" s="1" t="e">
        <f>IF(VALUE(F8670) = VALUE(RIGHT(Insights!$C$3, 4)), E8670, "")</f>
        <v>#VALUE!</v>
      </c>
      <c r="H8670" s="26" t="e">
        <f t="shared" si="1"/>
        <v>#VALUE!</v>
      </c>
      <c r="I8670" s="1" t="e">
        <f t="shared" si="2"/>
        <v>#VALUE!</v>
      </c>
    </row>
    <row r="8671" spans="1:9" ht="15.75" customHeight="1">
      <c r="A8671" s="26"/>
      <c r="B8671" s="2"/>
      <c r="C8671" s="26"/>
      <c r="D8671" s="26"/>
      <c r="F8671" s="85" t="str">
        <f t="shared" si="0"/>
        <v/>
      </c>
      <c r="G8671" s="1" t="e">
        <f>IF(VALUE(F8671) = VALUE(RIGHT(Insights!$C$3, 4)), E8671, "")</f>
        <v>#VALUE!</v>
      </c>
      <c r="H8671" s="26" t="e">
        <f t="shared" si="1"/>
        <v>#VALUE!</v>
      </c>
      <c r="I8671" s="1" t="e">
        <f t="shared" si="2"/>
        <v>#VALUE!</v>
      </c>
    </row>
    <row r="8672" spans="1:9" ht="15.75" customHeight="1">
      <c r="A8672" s="26"/>
      <c r="B8672" s="2"/>
      <c r="C8672" s="26"/>
      <c r="D8672" s="26"/>
      <c r="F8672" s="85" t="str">
        <f t="shared" si="0"/>
        <v/>
      </c>
      <c r="G8672" s="1" t="e">
        <f>IF(VALUE(F8672) = VALUE(RIGHT(Insights!$C$3, 4)), E8672, "")</f>
        <v>#VALUE!</v>
      </c>
      <c r="H8672" s="26" t="e">
        <f t="shared" si="1"/>
        <v>#VALUE!</v>
      </c>
      <c r="I8672" s="1" t="e">
        <f t="shared" si="2"/>
        <v>#VALUE!</v>
      </c>
    </row>
    <row r="8673" spans="1:9" ht="15.75" customHeight="1">
      <c r="A8673" s="26"/>
      <c r="B8673" s="2"/>
      <c r="C8673" s="26"/>
      <c r="D8673" s="26"/>
      <c r="F8673" s="85" t="str">
        <f t="shared" si="0"/>
        <v/>
      </c>
      <c r="G8673" s="1" t="e">
        <f>IF(VALUE(F8673) = VALUE(RIGHT(Insights!$C$3, 4)), E8673, "")</f>
        <v>#VALUE!</v>
      </c>
      <c r="H8673" s="26" t="e">
        <f t="shared" si="1"/>
        <v>#VALUE!</v>
      </c>
      <c r="I8673" s="1" t="e">
        <f t="shared" si="2"/>
        <v>#VALUE!</v>
      </c>
    </row>
    <row r="8674" spans="1:9" ht="15.75" customHeight="1">
      <c r="A8674" s="26"/>
      <c r="B8674" s="2"/>
      <c r="C8674" s="26"/>
      <c r="D8674" s="26"/>
      <c r="F8674" s="85" t="str">
        <f t="shared" si="0"/>
        <v/>
      </c>
      <c r="G8674" s="1" t="e">
        <f>IF(VALUE(F8674) = VALUE(RIGHT(Insights!$C$3, 4)), E8674, "")</f>
        <v>#VALUE!</v>
      </c>
      <c r="H8674" s="26" t="e">
        <f t="shared" si="1"/>
        <v>#VALUE!</v>
      </c>
      <c r="I8674" s="1" t="e">
        <f t="shared" si="2"/>
        <v>#VALUE!</v>
      </c>
    </row>
    <row r="8675" spans="1:9" ht="15.75" customHeight="1">
      <c r="A8675" s="26"/>
      <c r="B8675" s="2"/>
      <c r="C8675" s="26"/>
      <c r="D8675" s="26"/>
      <c r="F8675" s="85" t="str">
        <f t="shared" si="0"/>
        <v/>
      </c>
      <c r="G8675" s="1" t="e">
        <f>IF(VALUE(F8675) = VALUE(RIGHT(Insights!$C$3, 4)), E8675, "")</f>
        <v>#VALUE!</v>
      </c>
      <c r="H8675" s="26" t="e">
        <f t="shared" si="1"/>
        <v>#VALUE!</v>
      </c>
      <c r="I8675" s="1" t="e">
        <f t="shared" si="2"/>
        <v>#VALUE!</v>
      </c>
    </row>
    <row r="8676" spans="1:9" ht="15.75" customHeight="1">
      <c r="A8676" s="26"/>
      <c r="B8676" s="2"/>
      <c r="C8676" s="26"/>
      <c r="D8676" s="26"/>
      <c r="F8676" s="85" t="str">
        <f t="shared" si="0"/>
        <v/>
      </c>
      <c r="G8676" s="1" t="e">
        <f>IF(VALUE(F8676) = VALUE(RIGHT(Insights!$C$3, 4)), E8676, "")</f>
        <v>#VALUE!</v>
      </c>
      <c r="H8676" s="26" t="e">
        <f t="shared" si="1"/>
        <v>#VALUE!</v>
      </c>
      <c r="I8676" s="1" t="e">
        <f t="shared" si="2"/>
        <v>#VALUE!</v>
      </c>
    </row>
    <row r="8677" spans="1:9" ht="15.75" customHeight="1">
      <c r="A8677" s="26"/>
      <c r="B8677" s="2"/>
      <c r="C8677" s="26"/>
      <c r="D8677" s="26"/>
      <c r="F8677" s="85" t="str">
        <f t="shared" si="0"/>
        <v/>
      </c>
      <c r="G8677" s="1" t="e">
        <f>IF(VALUE(F8677) = VALUE(RIGHT(Insights!$C$3, 4)), E8677, "")</f>
        <v>#VALUE!</v>
      </c>
      <c r="H8677" s="26" t="e">
        <f t="shared" si="1"/>
        <v>#VALUE!</v>
      </c>
      <c r="I8677" s="1" t="e">
        <f t="shared" si="2"/>
        <v>#VALUE!</v>
      </c>
    </row>
    <row r="8678" spans="1:9" ht="15.75" customHeight="1">
      <c r="A8678" s="26"/>
      <c r="B8678" s="2"/>
      <c r="C8678" s="26"/>
      <c r="D8678" s="26"/>
      <c r="F8678" s="85" t="str">
        <f t="shared" si="0"/>
        <v/>
      </c>
      <c r="G8678" s="1" t="e">
        <f>IF(VALUE(F8678) = VALUE(RIGHT(Insights!$C$3, 4)), E8678, "")</f>
        <v>#VALUE!</v>
      </c>
      <c r="H8678" s="26" t="e">
        <f t="shared" si="1"/>
        <v>#VALUE!</v>
      </c>
      <c r="I8678" s="1" t="e">
        <f t="shared" si="2"/>
        <v>#VALUE!</v>
      </c>
    </row>
    <row r="8679" spans="1:9" ht="15.75" customHeight="1">
      <c r="A8679" s="26"/>
      <c r="B8679" s="2"/>
      <c r="C8679" s="26"/>
      <c r="D8679" s="26"/>
      <c r="F8679" s="85" t="str">
        <f t="shared" si="0"/>
        <v/>
      </c>
      <c r="G8679" s="1" t="e">
        <f>IF(VALUE(F8679) = VALUE(RIGHT(Insights!$C$3, 4)), E8679, "")</f>
        <v>#VALUE!</v>
      </c>
      <c r="H8679" s="26" t="e">
        <f t="shared" si="1"/>
        <v>#VALUE!</v>
      </c>
      <c r="I8679" s="1" t="e">
        <f t="shared" si="2"/>
        <v>#VALUE!</v>
      </c>
    </row>
    <row r="8680" spans="1:9" ht="15.75" customHeight="1">
      <c r="A8680" s="26"/>
      <c r="B8680" s="2"/>
      <c r="C8680" s="26"/>
      <c r="D8680" s="26"/>
      <c r="F8680" s="85" t="str">
        <f t="shared" si="0"/>
        <v/>
      </c>
      <c r="G8680" s="1" t="e">
        <f>IF(VALUE(F8680) = VALUE(RIGHT(Insights!$C$3, 4)), E8680, "")</f>
        <v>#VALUE!</v>
      </c>
      <c r="H8680" s="26" t="e">
        <f t="shared" si="1"/>
        <v>#VALUE!</v>
      </c>
      <c r="I8680" s="1" t="e">
        <f t="shared" si="2"/>
        <v>#VALUE!</v>
      </c>
    </row>
    <row r="8681" spans="1:9" ht="15.75" customHeight="1">
      <c r="A8681" s="26"/>
      <c r="B8681" s="2"/>
      <c r="C8681" s="26"/>
      <c r="D8681" s="26"/>
      <c r="F8681" s="85" t="str">
        <f t="shared" si="0"/>
        <v/>
      </c>
      <c r="G8681" s="1" t="e">
        <f>IF(VALUE(F8681) = VALUE(RIGHT(Insights!$C$3, 4)), E8681, "")</f>
        <v>#VALUE!</v>
      </c>
      <c r="H8681" s="26" t="e">
        <f t="shared" si="1"/>
        <v>#VALUE!</v>
      </c>
      <c r="I8681" s="1" t="e">
        <f t="shared" si="2"/>
        <v>#VALUE!</v>
      </c>
    </row>
    <row r="8682" spans="1:9" ht="15.75" customHeight="1">
      <c r="A8682" s="26"/>
      <c r="B8682" s="2"/>
      <c r="C8682" s="26"/>
      <c r="D8682" s="26"/>
      <c r="F8682" s="85" t="str">
        <f t="shared" si="0"/>
        <v/>
      </c>
      <c r="G8682" s="1" t="e">
        <f>IF(VALUE(F8682) = VALUE(RIGHT(Insights!$C$3, 4)), E8682, "")</f>
        <v>#VALUE!</v>
      </c>
      <c r="H8682" s="26" t="e">
        <f t="shared" si="1"/>
        <v>#VALUE!</v>
      </c>
      <c r="I8682" s="1" t="e">
        <f t="shared" si="2"/>
        <v>#VALUE!</v>
      </c>
    </row>
    <row r="8683" spans="1:9" ht="15.75" customHeight="1">
      <c r="A8683" s="26"/>
      <c r="B8683" s="2"/>
      <c r="C8683" s="26"/>
      <c r="D8683" s="26"/>
      <c r="F8683" s="85" t="str">
        <f t="shared" si="0"/>
        <v/>
      </c>
      <c r="G8683" s="1" t="e">
        <f>IF(VALUE(F8683) = VALUE(RIGHT(Insights!$C$3, 4)), E8683, "")</f>
        <v>#VALUE!</v>
      </c>
      <c r="H8683" s="26" t="e">
        <f t="shared" si="1"/>
        <v>#VALUE!</v>
      </c>
      <c r="I8683" s="1" t="e">
        <f t="shared" si="2"/>
        <v>#VALUE!</v>
      </c>
    </row>
    <row r="8684" spans="1:9" ht="15.75" customHeight="1">
      <c r="A8684" s="26"/>
      <c r="B8684" s="2"/>
      <c r="C8684" s="26"/>
      <c r="D8684" s="26"/>
      <c r="F8684" s="85" t="str">
        <f t="shared" si="0"/>
        <v/>
      </c>
      <c r="G8684" s="1" t="e">
        <f>IF(VALUE(F8684) = VALUE(RIGHT(Insights!$C$3, 4)), E8684, "")</f>
        <v>#VALUE!</v>
      </c>
      <c r="H8684" s="26" t="e">
        <f t="shared" si="1"/>
        <v>#VALUE!</v>
      </c>
      <c r="I8684" s="1" t="e">
        <f t="shared" si="2"/>
        <v>#VALUE!</v>
      </c>
    </row>
    <row r="8685" spans="1:9" ht="15.75" customHeight="1">
      <c r="A8685" s="26"/>
      <c r="B8685" s="2"/>
      <c r="C8685" s="26"/>
      <c r="D8685" s="26"/>
      <c r="F8685" s="85" t="str">
        <f t="shared" si="0"/>
        <v/>
      </c>
      <c r="G8685" s="1" t="e">
        <f>IF(VALUE(F8685) = VALUE(RIGHT(Insights!$C$3, 4)), E8685, "")</f>
        <v>#VALUE!</v>
      </c>
      <c r="H8685" s="26" t="e">
        <f t="shared" si="1"/>
        <v>#VALUE!</v>
      </c>
      <c r="I8685" s="1" t="e">
        <f t="shared" si="2"/>
        <v>#VALUE!</v>
      </c>
    </row>
    <row r="8686" spans="1:9" ht="15.75" customHeight="1">
      <c r="A8686" s="26"/>
      <c r="B8686" s="2"/>
      <c r="C8686" s="26"/>
      <c r="D8686" s="26"/>
      <c r="F8686" s="85" t="str">
        <f t="shared" si="0"/>
        <v/>
      </c>
      <c r="G8686" s="1" t="e">
        <f>IF(VALUE(F8686) = VALUE(RIGHT(Insights!$C$3, 4)), E8686, "")</f>
        <v>#VALUE!</v>
      </c>
      <c r="H8686" s="26" t="e">
        <f t="shared" si="1"/>
        <v>#VALUE!</v>
      </c>
      <c r="I8686" s="1" t="e">
        <f t="shared" si="2"/>
        <v>#VALUE!</v>
      </c>
    </row>
    <row r="8687" spans="1:9" ht="15.75" customHeight="1">
      <c r="A8687" s="26"/>
      <c r="B8687" s="2"/>
      <c r="C8687" s="26"/>
      <c r="D8687" s="26"/>
      <c r="F8687" s="85" t="str">
        <f t="shared" si="0"/>
        <v/>
      </c>
      <c r="G8687" s="1" t="e">
        <f>IF(VALUE(F8687) = VALUE(RIGHT(Insights!$C$3, 4)), E8687, "")</f>
        <v>#VALUE!</v>
      </c>
      <c r="H8687" s="26" t="e">
        <f t="shared" si="1"/>
        <v>#VALUE!</v>
      </c>
      <c r="I8687" s="1" t="e">
        <f t="shared" si="2"/>
        <v>#VALUE!</v>
      </c>
    </row>
    <row r="8688" spans="1:9" ht="15.75" customHeight="1">
      <c r="A8688" s="26"/>
      <c r="B8688" s="2"/>
      <c r="C8688" s="26"/>
      <c r="D8688" s="26"/>
      <c r="F8688" s="85" t="str">
        <f t="shared" si="0"/>
        <v/>
      </c>
      <c r="G8688" s="1" t="e">
        <f>IF(VALUE(F8688) = VALUE(RIGHT(Insights!$C$3, 4)), E8688, "")</f>
        <v>#VALUE!</v>
      </c>
      <c r="H8688" s="26" t="e">
        <f t="shared" si="1"/>
        <v>#VALUE!</v>
      </c>
      <c r="I8688" s="1" t="e">
        <f t="shared" si="2"/>
        <v>#VALUE!</v>
      </c>
    </row>
    <row r="8689" spans="1:9" ht="15.75" customHeight="1">
      <c r="A8689" s="26"/>
      <c r="B8689" s="2"/>
      <c r="C8689" s="26"/>
      <c r="D8689" s="26"/>
      <c r="F8689" s="85" t="str">
        <f t="shared" si="0"/>
        <v/>
      </c>
      <c r="G8689" s="1" t="e">
        <f>IF(VALUE(F8689) = VALUE(RIGHT(Insights!$C$3, 4)), E8689, "")</f>
        <v>#VALUE!</v>
      </c>
      <c r="H8689" s="26" t="e">
        <f t="shared" si="1"/>
        <v>#VALUE!</v>
      </c>
      <c r="I8689" s="1" t="e">
        <f t="shared" si="2"/>
        <v>#VALUE!</v>
      </c>
    </row>
    <row r="8690" spans="1:9" ht="15.75" customHeight="1">
      <c r="A8690" s="26"/>
      <c r="B8690" s="2"/>
      <c r="C8690" s="26"/>
      <c r="D8690" s="26"/>
      <c r="F8690" s="85" t="str">
        <f t="shared" si="0"/>
        <v/>
      </c>
      <c r="G8690" s="1" t="e">
        <f>IF(VALUE(F8690) = VALUE(RIGHT(Insights!$C$3, 4)), E8690, "")</f>
        <v>#VALUE!</v>
      </c>
      <c r="H8690" s="26" t="e">
        <f t="shared" si="1"/>
        <v>#VALUE!</v>
      </c>
      <c r="I8690" s="1" t="e">
        <f t="shared" si="2"/>
        <v>#VALUE!</v>
      </c>
    </row>
    <row r="8691" spans="1:9" ht="15.75" customHeight="1">
      <c r="A8691" s="26"/>
      <c r="B8691" s="2"/>
      <c r="C8691" s="26"/>
      <c r="D8691" s="26"/>
      <c r="F8691" s="85" t="str">
        <f t="shared" si="0"/>
        <v/>
      </c>
      <c r="G8691" s="1" t="e">
        <f>IF(VALUE(F8691) = VALUE(RIGHT(Insights!$C$3, 4)), E8691, "")</f>
        <v>#VALUE!</v>
      </c>
      <c r="H8691" s="26" t="e">
        <f t="shared" si="1"/>
        <v>#VALUE!</v>
      </c>
      <c r="I8691" s="1" t="e">
        <f t="shared" si="2"/>
        <v>#VALUE!</v>
      </c>
    </row>
    <row r="8692" spans="1:9" ht="15.75" customHeight="1">
      <c r="A8692" s="26"/>
      <c r="B8692" s="2"/>
      <c r="C8692" s="26"/>
      <c r="D8692" s="26"/>
      <c r="F8692" s="85" t="str">
        <f t="shared" si="0"/>
        <v/>
      </c>
      <c r="G8692" s="1" t="e">
        <f>IF(VALUE(F8692) = VALUE(RIGHT(Insights!$C$3, 4)), E8692, "")</f>
        <v>#VALUE!</v>
      </c>
      <c r="H8692" s="26" t="e">
        <f t="shared" si="1"/>
        <v>#VALUE!</v>
      </c>
      <c r="I8692" s="1" t="e">
        <f t="shared" si="2"/>
        <v>#VALUE!</v>
      </c>
    </row>
    <row r="8693" spans="1:9" ht="15.75" customHeight="1">
      <c r="A8693" s="26"/>
      <c r="B8693" s="2"/>
      <c r="C8693" s="26"/>
      <c r="D8693" s="26"/>
      <c r="F8693" s="85" t="str">
        <f t="shared" si="0"/>
        <v/>
      </c>
      <c r="G8693" s="1" t="e">
        <f>IF(VALUE(F8693) = VALUE(RIGHT(Insights!$C$3, 4)), E8693, "")</f>
        <v>#VALUE!</v>
      </c>
      <c r="H8693" s="26" t="e">
        <f t="shared" si="1"/>
        <v>#VALUE!</v>
      </c>
      <c r="I8693" s="1" t="e">
        <f t="shared" si="2"/>
        <v>#VALUE!</v>
      </c>
    </row>
    <row r="8694" spans="1:9" ht="15.75" customHeight="1">
      <c r="A8694" s="26"/>
      <c r="B8694" s="2"/>
      <c r="C8694" s="26"/>
      <c r="D8694" s="26"/>
      <c r="F8694" s="85" t="str">
        <f t="shared" si="0"/>
        <v/>
      </c>
      <c r="G8694" s="1" t="e">
        <f>IF(VALUE(F8694) = VALUE(RIGHT(Insights!$C$3, 4)), E8694, "")</f>
        <v>#VALUE!</v>
      </c>
      <c r="H8694" s="26" t="e">
        <f t="shared" si="1"/>
        <v>#VALUE!</v>
      </c>
      <c r="I8694" s="1" t="e">
        <f t="shared" si="2"/>
        <v>#VALUE!</v>
      </c>
    </row>
    <row r="8695" spans="1:9" ht="15.75" customHeight="1">
      <c r="A8695" s="26"/>
      <c r="B8695" s="2"/>
      <c r="C8695" s="26"/>
      <c r="D8695" s="26"/>
      <c r="F8695" s="85" t="str">
        <f t="shared" si="0"/>
        <v/>
      </c>
      <c r="G8695" s="1" t="e">
        <f>IF(VALUE(F8695) = VALUE(RIGHT(Insights!$C$3, 4)), E8695, "")</f>
        <v>#VALUE!</v>
      </c>
      <c r="H8695" s="26" t="e">
        <f t="shared" si="1"/>
        <v>#VALUE!</v>
      </c>
      <c r="I8695" s="1" t="e">
        <f t="shared" si="2"/>
        <v>#VALUE!</v>
      </c>
    </row>
    <row r="8696" spans="1:9" ht="15.75" customHeight="1">
      <c r="A8696" s="26"/>
      <c r="B8696" s="2"/>
      <c r="C8696" s="26"/>
      <c r="D8696" s="26"/>
      <c r="F8696" s="85" t="str">
        <f t="shared" si="0"/>
        <v/>
      </c>
      <c r="G8696" s="1" t="e">
        <f>IF(VALUE(F8696) = VALUE(RIGHT(Insights!$C$3, 4)), E8696, "")</f>
        <v>#VALUE!</v>
      </c>
      <c r="H8696" s="26" t="e">
        <f t="shared" si="1"/>
        <v>#VALUE!</v>
      </c>
      <c r="I8696" s="1" t="e">
        <f t="shared" si="2"/>
        <v>#VALUE!</v>
      </c>
    </row>
    <row r="8697" spans="1:9" ht="15.75" customHeight="1">
      <c r="A8697" s="26"/>
      <c r="B8697" s="2"/>
      <c r="C8697" s="26"/>
      <c r="D8697" s="26"/>
      <c r="F8697" s="85" t="str">
        <f t="shared" si="0"/>
        <v/>
      </c>
      <c r="G8697" s="1" t="e">
        <f>IF(VALUE(F8697) = VALUE(RIGHT(Insights!$C$3, 4)), E8697, "")</f>
        <v>#VALUE!</v>
      </c>
      <c r="H8697" s="26" t="e">
        <f t="shared" si="1"/>
        <v>#VALUE!</v>
      </c>
      <c r="I8697" s="1" t="e">
        <f t="shared" si="2"/>
        <v>#VALUE!</v>
      </c>
    </row>
    <row r="8698" spans="1:9" ht="15.75" customHeight="1">
      <c r="A8698" s="26"/>
      <c r="B8698" s="2"/>
      <c r="C8698" s="26"/>
      <c r="D8698" s="26"/>
      <c r="F8698" s="85" t="str">
        <f t="shared" si="0"/>
        <v/>
      </c>
      <c r="G8698" s="1" t="e">
        <f>IF(VALUE(F8698) = VALUE(RIGHT(Insights!$C$3, 4)), E8698, "")</f>
        <v>#VALUE!</v>
      </c>
      <c r="H8698" s="26" t="e">
        <f t="shared" si="1"/>
        <v>#VALUE!</v>
      </c>
      <c r="I8698" s="1" t="e">
        <f t="shared" si="2"/>
        <v>#VALUE!</v>
      </c>
    </row>
    <row r="8699" spans="1:9" ht="15.75" customHeight="1">
      <c r="A8699" s="26"/>
      <c r="B8699" s="2"/>
      <c r="C8699" s="26"/>
      <c r="D8699" s="26"/>
      <c r="F8699" s="85" t="str">
        <f t="shared" si="0"/>
        <v/>
      </c>
      <c r="G8699" s="1" t="e">
        <f>IF(VALUE(F8699) = VALUE(RIGHT(Insights!$C$3, 4)), E8699, "")</f>
        <v>#VALUE!</v>
      </c>
      <c r="H8699" s="26" t="e">
        <f t="shared" si="1"/>
        <v>#VALUE!</v>
      </c>
      <c r="I8699" s="1" t="e">
        <f t="shared" si="2"/>
        <v>#VALUE!</v>
      </c>
    </row>
    <row r="8700" spans="1:9" ht="15.75" customHeight="1">
      <c r="A8700" s="26"/>
      <c r="B8700" s="2"/>
      <c r="C8700" s="26"/>
      <c r="D8700" s="26"/>
      <c r="F8700" s="85" t="str">
        <f t="shared" si="0"/>
        <v/>
      </c>
      <c r="G8700" s="1" t="e">
        <f>IF(VALUE(F8700) = VALUE(RIGHT(Insights!$C$3, 4)), E8700, "")</f>
        <v>#VALUE!</v>
      </c>
      <c r="H8700" s="26" t="e">
        <f t="shared" si="1"/>
        <v>#VALUE!</v>
      </c>
      <c r="I8700" s="1" t="e">
        <f t="shared" si="2"/>
        <v>#VALUE!</v>
      </c>
    </row>
    <row r="8701" spans="1:9" ht="15.75" customHeight="1">
      <c r="A8701" s="26"/>
      <c r="B8701" s="2"/>
      <c r="C8701" s="26"/>
      <c r="D8701" s="26"/>
      <c r="F8701" s="85" t="str">
        <f t="shared" si="0"/>
        <v/>
      </c>
      <c r="G8701" s="1" t="e">
        <f>IF(VALUE(F8701) = VALUE(RIGHT(Insights!$C$3, 4)), E8701, "")</f>
        <v>#VALUE!</v>
      </c>
      <c r="H8701" s="26" t="e">
        <f t="shared" si="1"/>
        <v>#VALUE!</v>
      </c>
      <c r="I8701" s="1" t="e">
        <f t="shared" si="2"/>
        <v>#VALUE!</v>
      </c>
    </row>
    <row r="8702" spans="1:9" ht="15.75" customHeight="1">
      <c r="A8702" s="26"/>
      <c r="B8702" s="2"/>
      <c r="C8702" s="26"/>
      <c r="D8702" s="26"/>
      <c r="F8702" s="85" t="str">
        <f t="shared" si="0"/>
        <v/>
      </c>
      <c r="G8702" s="1" t="e">
        <f>IF(VALUE(F8702) = VALUE(RIGHT(Insights!$C$3, 4)), E8702, "")</f>
        <v>#VALUE!</v>
      </c>
      <c r="H8702" s="26" t="e">
        <f t="shared" si="1"/>
        <v>#VALUE!</v>
      </c>
      <c r="I8702" s="1" t="e">
        <f t="shared" si="2"/>
        <v>#VALUE!</v>
      </c>
    </row>
    <row r="8703" spans="1:9" ht="15.75" customHeight="1">
      <c r="A8703" s="26"/>
      <c r="B8703" s="2"/>
      <c r="C8703" s="26"/>
      <c r="D8703" s="26"/>
      <c r="F8703" s="85" t="str">
        <f t="shared" si="0"/>
        <v/>
      </c>
      <c r="G8703" s="1" t="e">
        <f>IF(VALUE(F8703) = VALUE(RIGHT(Insights!$C$3, 4)), E8703, "")</f>
        <v>#VALUE!</v>
      </c>
      <c r="H8703" s="26" t="e">
        <f t="shared" si="1"/>
        <v>#VALUE!</v>
      </c>
      <c r="I8703" s="1" t="e">
        <f t="shared" si="2"/>
        <v>#VALUE!</v>
      </c>
    </row>
    <row r="8704" spans="1:9" ht="15.75" customHeight="1">
      <c r="A8704" s="26"/>
      <c r="B8704" s="2"/>
      <c r="C8704" s="26"/>
      <c r="D8704" s="26"/>
      <c r="F8704" s="85" t="str">
        <f t="shared" si="0"/>
        <v/>
      </c>
      <c r="G8704" s="1" t="e">
        <f>IF(VALUE(F8704) = VALUE(RIGHT(Insights!$C$3, 4)), E8704, "")</f>
        <v>#VALUE!</v>
      </c>
      <c r="H8704" s="26" t="e">
        <f t="shared" si="1"/>
        <v>#VALUE!</v>
      </c>
      <c r="I8704" s="1" t="e">
        <f t="shared" si="2"/>
        <v>#VALUE!</v>
      </c>
    </row>
    <row r="8705" spans="1:9" ht="15.75" customHeight="1">
      <c r="A8705" s="26"/>
      <c r="B8705" s="2"/>
      <c r="C8705" s="26"/>
      <c r="D8705" s="26"/>
      <c r="F8705" s="85" t="str">
        <f t="shared" si="0"/>
        <v/>
      </c>
      <c r="G8705" s="1" t="e">
        <f>IF(VALUE(F8705) = VALUE(RIGHT(Insights!$C$3, 4)), E8705, "")</f>
        <v>#VALUE!</v>
      </c>
      <c r="H8705" s="26" t="e">
        <f t="shared" si="1"/>
        <v>#VALUE!</v>
      </c>
      <c r="I8705" s="1" t="e">
        <f t="shared" si="2"/>
        <v>#VALUE!</v>
      </c>
    </row>
    <row r="8706" spans="1:9" ht="15.75" customHeight="1">
      <c r="A8706" s="26"/>
      <c r="B8706" s="2"/>
      <c r="C8706" s="26"/>
      <c r="D8706" s="26"/>
      <c r="F8706" s="85" t="str">
        <f t="shared" si="0"/>
        <v/>
      </c>
      <c r="G8706" s="1" t="e">
        <f>IF(VALUE(F8706) = VALUE(RIGHT(Insights!$C$3, 4)), E8706, "")</f>
        <v>#VALUE!</v>
      </c>
      <c r="H8706" s="26" t="e">
        <f t="shared" si="1"/>
        <v>#VALUE!</v>
      </c>
      <c r="I8706" s="1" t="e">
        <f t="shared" si="2"/>
        <v>#VALUE!</v>
      </c>
    </row>
    <row r="8707" spans="1:9" ht="15.75" customHeight="1">
      <c r="A8707" s="26"/>
      <c r="B8707" s="2"/>
      <c r="C8707" s="26"/>
      <c r="D8707" s="26"/>
      <c r="F8707" s="85" t="str">
        <f t="shared" si="0"/>
        <v/>
      </c>
      <c r="G8707" s="1" t="e">
        <f>IF(VALUE(F8707) = VALUE(RIGHT(Insights!$C$3, 4)), E8707, "")</f>
        <v>#VALUE!</v>
      </c>
      <c r="H8707" s="26" t="e">
        <f t="shared" si="1"/>
        <v>#VALUE!</v>
      </c>
      <c r="I8707" s="1" t="e">
        <f t="shared" si="2"/>
        <v>#VALUE!</v>
      </c>
    </row>
    <row r="8708" spans="1:9" ht="15.75" customHeight="1">
      <c r="A8708" s="26"/>
      <c r="B8708" s="2"/>
      <c r="C8708" s="26"/>
      <c r="D8708" s="26"/>
      <c r="F8708" s="85" t="str">
        <f t="shared" si="0"/>
        <v/>
      </c>
      <c r="G8708" s="1" t="e">
        <f>IF(VALUE(F8708) = VALUE(RIGHT(Insights!$C$3, 4)), E8708, "")</f>
        <v>#VALUE!</v>
      </c>
      <c r="H8708" s="26" t="e">
        <f t="shared" si="1"/>
        <v>#VALUE!</v>
      </c>
      <c r="I8708" s="1" t="e">
        <f t="shared" si="2"/>
        <v>#VALUE!</v>
      </c>
    </row>
    <row r="8709" spans="1:9" ht="15.75" customHeight="1">
      <c r="A8709" s="26"/>
      <c r="B8709" s="2"/>
      <c r="C8709" s="26"/>
      <c r="D8709" s="26"/>
      <c r="F8709" s="85" t="str">
        <f t="shared" si="0"/>
        <v/>
      </c>
      <c r="G8709" s="1" t="e">
        <f>IF(VALUE(F8709) = VALUE(RIGHT(Insights!$C$3, 4)), E8709, "")</f>
        <v>#VALUE!</v>
      </c>
      <c r="H8709" s="26" t="e">
        <f t="shared" si="1"/>
        <v>#VALUE!</v>
      </c>
      <c r="I8709" s="1" t="e">
        <f t="shared" si="2"/>
        <v>#VALUE!</v>
      </c>
    </row>
    <row r="8710" spans="1:9" ht="15.75" customHeight="1">
      <c r="A8710" s="26"/>
      <c r="B8710" s="2"/>
      <c r="C8710" s="26"/>
      <c r="D8710" s="26"/>
      <c r="F8710" s="85" t="str">
        <f t="shared" si="0"/>
        <v/>
      </c>
      <c r="G8710" s="1" t="e">
        <f>IF(VALUE(F8710) = VALUE(RIGHT(Insights!$C$3, 4)), E8710, "")</f>
        <v>#VALUE!</v>
      </c>
      <c r="H8710" s="26" t="e">
        <f t="shared" si="1"/>
        <v>#VALUE!</v>
      </c>
      <c r="I8710" s="1" t="e">
        <f t="shared" si="2"/>
        <v>#VALUE!</v>
      </c>
    </row>
    <row r="8711" spans="1:9" ht="15.75" customHeight="1">
      <c r="A8711" s="26"/>
      <c r="B8711" s="2"/>
      <c r="C8711" s="26"/>
      <c r="D8711" s="26"/>
      <c r="F8711" s="85" t="str">
        <f t="shared" si="0"/>
        <v/>
      </c>
      <c r="G8711" s="1" t="e">
        <f>IF(VALUE(F8711) = VALUE(RIGHT(Insights!$C$3, 4)), E8711, "")</f>
        <v>#VALUE!</v>
      </c>
      <c r="H8711" s="26" t="e">
        <f t="shared" si="1"/>
        <v>#VALUE!</v>
      </c>
      <c r="I8711" s="1" t="e">
        <f t="shared" si="2"/>
        <v>#VALUE!</v>
      </c>
    </row>
    <row r="8712" spans="1:9" ht="15.75" customHeight="1">
      <c r="A8712" s="26"/>
      <c r="B8712" s="2"/>
      <c r="C8712" s="26"/>
      <c r="D8712" s="26"/>
      <c r="F8712" s="85" t="str">
        <f t="shared" si="0"/>
        <v/>
      </c>
      <c r="G8712" s="1" t="e">
        <f>IF(VALUE(F8712) = VALUE(RIGHT(Insights!$C$3, 4)), E8712, "")</f>
        <v>#VALUE!</v>
      </c>
      <c r="H8712" s="26" t="e">
        <f t="shared" si="1"/>
        <v>#VALUE!</v>
      </c>
      <c r="I8712" s="1" t="e">
        <f t="shared" si="2"/>
        <v>#VALUE!</v>
      </c>
    </row>
    <row r="8713" spans="1:9" ht="15.75" customHeight="1">
      <c r="A8713" s="26"/>
      <c r="B8713" s="2"/>
      <c r="C8713" s="26"/>
      <c r="D8713" s="26"/>
      <c r="F8713" s="85" t="str">
        <f t="shared" si="0"/>
        <v/>
      </c>
      <c r="G8713" s="1" t="e">
        <f>IF(VALUE(F8713) = VALUE(RIGHT(Insights!$C$3, 4)), E8713, "")</f>
        <v>#VALUE!</v>
      </c>
      <c r="H8713" s="26" t="e">
        <f t="shared" si="1"/>
        <v>#VALUE!</v>
      </c>
      <c r="I8713" s="1" t="e">
        <f t="shared" si="2"/>
        <v>#VALUE!</v>
      </c>
    </row>
    <row r="8714" spans="1:9" ht="15.75" customHeight="1">
      <c r="A8714" s="26"/>
      <c r="B8714" s="2"/>
      <c r="C8714" s="26"/>
      <c r="D8714" s="26"/>
      <c r="F8714" s="85" t="str">
        <f t="shared" si="0"/>
        <v/>
      </c>
      <c r="G8714" s="1" t="e">
        <f>IF(VALUE(F8714) = VALUE(RIGHT(Insights!$C$3, 4)), E8714, "")</f>
        <v>#VALUE!</v>
      </c>
      <c r="H8714" s="26" t="e">
        <f t="shared" si="1"/>
        <v>#VALUE!</v>
      </c>
      <c r="I8714" s="1" t="e">
        <f t="shared" si="2"/>
        <v>#VALUE!</v>
      </c>
    </row>
    <row r="8715" spans="1:9" ht="15.75" customHeight="1">
      <c r="A8715" s="26"/>
      <c r="B8715" s="2"/>
      <c r="C8715" s="26"/>
      <c r="D8715" s="26"/>
      <c r="F8715" s="85" t="str">
        <f t="shared" si="0"/>
        <v/>
      </c>
      <c r="G8715" s="1" t="e">
        <f>IF(VALUE(F8715) = VALUE(RIGHT(Insights!$C$3, 4)), E8715, "")</f>
        <v>#VALUE!</v>
      </c>
      <c r="H8715" s="26" t="e">
        <f t="shared" si="1"/>
        <v>#VALUE!</v>
      </c>
      <c r="I8715" s="1" t="e">
        <f t="shared" si="2"/>
        <v>#VALUE!</v>
      </c>
    </row>
    <row r="8716" spans="1:9" ht="15.75" customHeight="1">
      <c r="A8716" s="26"/>
      <c r="B8716" s="2"/>
      <c r="C8716" s="26"/>
      <c r="D8716" s="26"/>
      <c r="F8716" s="85" t="str">
        <f t="shared" si="0"/>
        <v/>
      </c>
      <c r="G8716" s="1" t="e">
        <f>IF(VALUE(F8716) = VALUE(RIGHT(Insights!$C$3, 4)), E8716, "")</f>
        <v>#VALUE!</v>
      </c>
      <c r="H8716" s="26" t="e">
        <f t="shared" si="1"/>
        <v>#VALUE!</v>
      </c>
      <c r="I8716" s="1" t="e">
        <f t="shared" si="2"/>
        <v>#VALUE!</v>
      </c>
    </row>
    <row r="8717" spans="1:9" ht="15.75" customHeight="1">
      <c r="A8717" s="26"/>
      <c r="B8717" s="2"/>
      <c r="C8717" s="26"/>
      <c r="D8717" s="26"/>
      <c r="F8717" s="85" t="str">
        <f t="shared" si="0"/>
        <v/>
      </c>
      <c r="G8717" s="1" t="e">
        <f>IF(VALUE(F8717) = VALUE(RIGHT(Insights!$C$3, 4)), E8717, "")</f>
        <v>#VALUE!</v>
      </c>
      <c r="H8717" s="26" t="e">
        <f t="shared" si="1"/>
        <v>#VALUE!</v>
      </c>
      <c r="I8717" s="1" t="e">
        <f t="shared" si="2"/>
        <v>#VALUE!</v>
      </c>
    </row>
    <row r="8718" spans="1:9" ht="15.75" customHeight="1">
      <c r="A8718" s="26"/>
      <c r="B8718" s="2"/>
      <c r="C8718" s="26"/>
      <c r="D8718" s="26"/>
      <c r="F8718" s="85" t="str">
        <f t="shared" si="0"/>
        <v/>
      </c>
      <c r="G8718" s="1" t="e">
        <f>IF(VALUE(F8718) = VALUE(RIGHT(Insights!$C$3, 4)), E8718, "")</f>
        <v>#VALUE!</v>
      </c>
      <c r="H8718" s="26" t="e">
        <f t="shared" si="1"/>
        <v>#VALUE!</v>
      </c>
      <c r="I8718" s="1" t="e">
        <f t="shared" si="2"/>
        <v>#VALUE!</v>
      </c>
    </row>
    <row r="8719" spans="1:9" ht="15.75" customHeight="1">
      <c r="A8719" s="26"/>
      <c r="B8719" s="2"/>
      <c r="C8719" s="26"/>
      <c r="D8719" s="26"/>
      <c r="F8719" s="85" t="str">
        <f t="shared" si="0"/>
        <v/>
      </c>
      <c r="G8719" s="1" t="e">
        <f>IF(VALUE(F8719) = VALUE(RIGHT(Insights!$C$3, 4)), E8719, "")</f>
        <v>#VALUE!</v>
      </c>
      <c r="H8719" s="26" t="e">
        <f t="shared" si="1"/>
        <v>#VALUE!</v>
      </c>
      <c r="I8719" s="1" t="e">
        <f t="shared" si="2"/>
        <v>#VALUE!</v>
      </c>
    </row>
    <row r="8720" spans="1:9" ht="15.75" customHeight="1">
      <c r="A8720" s="26"/>
      <c r="B8720" s="2"/>
      <c r="C8720" s="26"/>
      <c r="D8720" s="26"/>
      <c r="F8720" s="85" t="str">
        <f t="shared" si="0"/>
        <v/>
      </c>
      <c r="G8720" s="1" t="e">
        <f>IF(VALUE(F8720) = VALUE(RIGHT(Insights!$C$3, 4)), E8720, "")</f>
        <v>#VALUE!</v>
      </c>
      <c r="H8720" s="26" t="e">
        <f t="shared" si="1"/>
        <v>#VALUE!</v>
      </c>
      <c r="I8720" s="1" t="e">
        <f t="shared" si="2"/>
        <v>#VALUE!</v>
      </c>
    </row>
    <row r="8721" spans="1:9" ht="15.75" customHeight="1">
      <c r="A8721" s="26"/>
      <c r="B8721" s="2"/>
      <c r="C8721" s="26"/>
      <c r="D8721" s="26"/>
      <c r="F8721" s="85" t="str">
        <f t="shared" si="0"/>
        <v/>
      </c>
      <c r="G8721" s="1" t="e">
        <f>IF(VALUE(F8721) = VALUE(RIGHT(Insights!$C$3, 4)), E8721, "")</f>
        <v>#VALUE!</v>
      </c>
      <c r="H8721" s="26" t="e">
        <f t="shared" si="1"/>
        <v>#VALUE!</v>
      </c>
      <c r="I8721" s="1" t="e">
        <f t="shared" si="2"/>
        <v>#VALUE!</v>
      </c>
    </row>
    <row r="8722" spans="1:9" ht="15.75" customHeight="1">
      <c r="A8722" s="26"/>
      <c r="B8722" s="2"/>
      <c r="C8722" s="26"/>
      <c r="D8722" s="26"/>
      <c r="F8722" s="85" t="str">
        <f t="shared" si="0"/>
        <v/>
      </c>
      <c r="G8722" s="1" t="e">
        <f>IF(VALUE(F8722) = VALUE(RIGHT(Insights!$C$3, 4)), E8722, "")</f>
        <v>#VALUE!</v>
      </c>
      <c r="H8722" s="26" t="e">
        <f t="shared" si="1"/>
        <v>#VALUE!</v>
      </c>
      <c r="I8722" s="1" t="e">
        <f t="shared" si="2"/>
        <v>#VALUE!</v>
      </c>
    </row>
    <row r="8723" spans="1:9" ht="15.75" customHeight="1">
      <c r="A8723" s="26"/>
      <c r="B8723" s="2"/>
      <c r="C8723" s="26"/>
      <c r="D8723" s="26"/>
      <c r="F8723" s="85" t="str">
        <f t="shared" si="0"/>
        <v/>
      </c>
      <c r="G8723" s="1" t="e">
        <f>IF(VALUE(F8723) = VALUE(RIGHT(Insights!$C$3, 4)), E8723, "")</f>
        <v>#VALUE!</v>
      </c>
      <c r="H8723" s="26" t="e">
        <f t="shared" si="1"/>
        <v>#VALUE!</v>
      </c>
      <c r="I8723" s="1" t="e">
        <f t="shared" si="2"/>
        <v>#VALUE!</v>
      </c>
    </row>
    <row r="8724" spans="1:9" ht="15.75" customHeight="1">
      <c r="A8724" s="26"/>
      <c r="B8724" s="2"/>
      <c r="C8724" s="26"/>
      <c r="D8724" s="26"/>
      <c r="F8724" s="85" t="str">
        <f t="shared" si="0"/>
        <v/>
      </c>
      <c r="G8724" s="1" t="e">
        <f>IF(VALUE(F8724) = VALUE(RIGHT(Insights!$C$3, 4)), E8724, "")</f>
        <v>#VALUE!</v>
      </c>
      <c r="H8724" s="26" t="e">
        <f t="shared" si="1"/>
        <v>#VALUE!</v>
      </c>
      <c r="I8724" s="1" t="e">
        <f t="shared" si="2"/>
        <v>#VALUE!</v>
      </c>
    </row>
    <row r="8725" spans="1:9" ht="15.75" customHeight="1">
      <c r="A8725" s="26"/>
      <c r="B8725" s="2"/>
      <c r="C8725" s="26"/>
      <c r="D8725" s="26"/>
      <c r="F8725" s="85" t="str">
        <f t="shared" si="0"/>
        <v/>
      </c>
      <c r="G8725" s="1" t="e">
        <f>IF(VALUE(F8725) = VALUE(RIGHT(Insights!$C$3, 4)), E8725, "")</f>
        <v>#VALUE!</v>
      </c>
      <c r="H8725" s="26" t="e">
        <f t="shared" si="1"/>
        <v>#VALUE!</v>
      </c>
      <c r="I8725" s="1" t="e">
        <f t="shared" si="2"/>
        <v>#VALUE!</v>
      </c>
    </row>
    <row r="8726" spans="1:9" ht="15.75" customHeight="1">
      <c r="A8726" s="26"/>
      <c r="B8726" s="2"/>
      <c r="C8726" s="26"/>
      <c r="D8726" s="26"/>
      <c r="F8726" s="85" t="str">
        <f t="shared" si="0"/>
        <v/>
      </c>
      <c r="G8726" s="1" t="e">
        <f>IF(VALUE(F8726) = VALUE(RIGHT(Insights!$C$3, 4)), E8726, "")</f>
        <v>#VALUE!</v>
      </c>
      <c r="H8726" s="26" t="e">
        <f t="shared" si="1"/>
        <v>#VALUE!</v>
      </c>
      <c r="I8726" s="1" t="e">
        <f t="shared" si="2"/>
        <v>#VALUE!</v>
      </c>
    </row>
    <row r="8727" spans="1:9" ht="15.75" customHeight="1">
      <c r="A8727" s="26"/>
      <c r="B8727" s="2"/>
      <c r="C8727" s="26"/>
      <c r="D8727" s="26"/>
      <c r="F8727" s="85" t="str">
        <f t="shared" si="0"/>
        <v/>
      </c>
      <c r="G8727" s="1" t="e">
        <f>IF(VALUE(F8727) = VALUE(RIGHT(Insights!$C$3, 4)), E8727, "")</f>
        <v>#VALUE!</v>
      </c>
      <c r="H8727" s="26" t="e">
        <f t="shared" si="1"/>
        <v>#VALUE!</v>
      </c>
      <c r="I8727" s="1" t="e">
        <f t="shared" si="2"/>
        <v>#VALUE!</v>
      </c>
    </row>
    <row r="8728" spans="1:9" ht="15.75" customHeight="1">
      <c r="A8728" s="26"/>
      <c r="B8728" s="2"/>
      <c r="C8728" s="26"/>
      <c r="D8728" s="26"/>
      <c r="F8728" s="85" t="str">
        <f t="shared" si="0"/>
        <v/>
      </c>
      <c r="G8728" s="1" t="e">
        <f>IF(VALUE(F8728) = VALUE(RIGHT(Insights!$C$3, 4)), E8728, "")</f>
        <v>#VALUE!</v>
      </c>
      <c r="H8728" s="26" t="e">
        <f t="shared" si="1"/>
        <v>#VALUE!</v>
      </c>
      <c r="I8728" s="1" t="e">
        <f t="shared" si="2"/>
        <v>#VALUE!</v>
      </c>
    </row>
    <row r="8729" spans="1:9" ht="15.75" customHeight="1">
      <c r="A8729" s="26"/>
      <c r="B8729" s="2"/>
      <c r="C8729" s="26"/>
      <c r="D8729" s="26"/>
      <c r="F8729" s="85" t="str">
        <f t="shared" si="0"/>
        <v/>
      </c>
      <c r="G8729" s="1" t="e">
        <f>IF(VALUE(F8729) = VALUE(RIGHT(Insights!$C$3, 4)), E8729, "")</f>
        <v>#VALUE!</v>
      </c>
      <c r="H8729" s="26" t="e">
        <f t="shared" si="1"/>
        <v>#VALUE!</v>
      </c>
      <c r="I8729" s="1" t="e">
        <f t="shared" si="2"/>
        <v>#VALUE!</v>
      </c>
    </row>
    <row r="8730" spans="1:9" ht="15.75" customHeight="1">
      <c r="A8730" s="26"/>
      <c r="B8730" s="2"/>
      <c r="C8730" s="26"/>
      <c r="D8730" s="26"/>
      <c r="F8730" s="85" t="str">
        <f t="shared" si="0"/>
        <v/>
      </c>
      <c r="G8730" s="1" t="e">
        <f>IF(VALUE(F8730) = VALUE(RIGHT(Insights!$C$3, 4)), E8730, "")</f>
        <v>#VALUE!</v>
      </c>
      <c r="H8730" s="26" t="e">
        <f t="shared" si="1"/>
        <v>#VALUE!</v>
      </c>
      <c r="I8730" s="1" t="e">
        <f t="shared" si="2"/>
        <v>#VALUE!</v>
      </c>
    </row>
    <row r="8731" spans="1:9" ht="15.75" customHeight="1">
      <c r="A8731" s="26"/>
      <c r="B8731" s="2"/>
      <c r="C8731" s="26"/>
      <c r="D8731" s="26"/>
      <c r="F8731" s="85" t="str">
        <f t="shared" si="0"/>
        <v/>
      </c>
      <c r="G8731" s="1" t="e">
        <f>IF(VALUE(F8731) = VALUE(RIGHT(Insights!$C$3, 4)), E8731, "")</f>
        <v>#VALUE!</v>
      </c>
      <c r="H8731" s="26" t="e">
        <f t="shared" si="1"/>
        <v>#VALUE!</v>
      </c>
      <c r="I8731" s="1" t="e">
        <f t="shared" si="2"/>
        <v>#VALUE!</v>
      </c>
    </row>
    <row r="8732" spans="1:9" ht="15.75" customHeight="1">
      <c r="A8732" s="26"/>
      <c r="B8732" s="2"/>
      <c r="C8732" s="26"/>
      <c r="D8732" s="26"/>
      <c r="F8732" s="85" t="str">
        <f t="shared" si="0"/>
        <v/>
      </c>
      <c r="G8732" s="1" t="e">
        <f>IF(VALUE(F8732) = VALUE(RIGHT(Insights!$C$3, 4)), E8732, "")</f>
        <v>#VALUE!</v>
      </c>
      <c r="H8732" s="26" t="e">
        <f t="shared" si="1"/>
        <v>#VALUE!</v>
      </c>
      <c r="I8732" s="1" t="e">
        <f t="shared" si="2"/>
        <v>#VALUE!</v>
      </c>
    </row>
    <row r="8733" spans="1:9" ht="15.75" customHeight="1">
      <c r="A8733" s="26"/>
      <c r="B8733" s="2"/>
      <c r="C8733" s="26"/>
      <c r="D8733" s="26"/>
      <c r="F8733" s="85" t="str">
        <f t="shared" si="0"/>
        <v/>
      </c>
      <c r="G8733" s="1" t="e">
        <f>IF(VALUE(F8733) = VALUE(RIGHT(Insights!$C$3, 4)), E8733, "")</f>
        <v>#VALUE!</v>
      </c>
      <c r="H8733" s="26" t="e">
        <f t="shared" si="1"/>
        <v>#VALUE!</v>
      </c>
      <c r="I8733" s="1" t="e">
        <f t="shared" si="2"/>
        <v>#VALUE!</v>
      </c>
    </row>
    <row r="8734" spans="1:9" ht="15.75" customHeight="1">
      <c r="A8734" s="26"/>
      <c r="B8734" s="2"/>
      <c r="C8734" s="26"/>
      <c r="D8734" s="26"/>
      <c r="F8734" s="85" t="str">
        <f t="shared" si="0"/>
        <v/>
      </c>
      <c r="G8734" s="1" t="e">
        <f>IF(VALUE(F8734) = VALUE(RIGHT(Insights!$C$3, 4)), E8734, "")</f>
        <v>#VALUE!</v>
      </c>
      <c r="H8734" s="26" t="e">
        <f t="shared" si="1"/>
        <v>#VALUE!</v>
      </c>
      <c r="I8734" s="1" t="e">
        <f t="shared" si="2"/>
        <v>#VALUE!</v>
      </c>
    </row>
    <row r="8735" spans="1:9" ht="15.75" customHeight="1">
      <c r="A8735" s="26"/>
      <c r="B8735" s="2"/>
      <c r="C8735" s="26"/>
      <c r="D8735" s="26"/>
      <c r="F8735" s="85" t="str">
        <f t="shared" si="0"/>
        <v/>
      </c>
      <c r="G8735" s="1" t="e">
        <f>IF(VALUE(F8735) = VALUE(RIGHT(Insights!$C$3, 4)), E8735, "")</f>
        <v>#VALUE!</v>
      </c>
      <c r="H8735" s="26" t="e">
        <f t="shared" si="1"/>
        <v>#VALUE!</v>
      </c>
      <c r="I8735" s="1" t="e">
        <f t="shared" si="2"/>
        <v>#VALUE!</v>
      </c>
    </row>
    <row r="8736" spans="1:9" ht="15.75" customHeight="1">
      <c r="A8736" s="26"/>
      <c r="B8736" s="2"/>
      <c r="C8736" s="26"/>
      <c r="D8736" s="26"/>
      <c r="F8736" s="85" t="str">
        <f t="shared" si="0"/>
        <v/>
      </c>
      <c r="G8736" s="1" t="e">
        <f>IF(VALUE(F8736) = VALUE(RIGHT(Insights!$C$3, 4)), E8736, "")</f>
        <v>#VALUE!</v>
      </c>
      <c r="H8736" s="26" t="e">
        <f t="shared" si="1"/>
        <v>#VALUE!</v>
      </c>
      <c r="I8736" s="1" t="e">
        <f t="shared" si="2"/>
        <v>#VALUE!</v>
      </c>
    </row>
    <row r="8737" spans="1:9" ht="15.75" customHeight="1">
      <c r="A8737" s="26"/>
      <c r="B8737" s="2"/>
      <c r="C8737" s="26"/>
      <c r="D8737" s="26"/>
      <c r="F8737" s="85" t="str">
        <f t="shared" si="0"/>
        <v/>
      </c>
      <c r="G8737" s="1" t="e">
        <f>IF(VALUE(F8737) = VALUE(RIGHT(Insights!$C$3, 4)), E8737, "")</f>
        <v>#VALUE!</v>
      </c>
      <c r="H8737" s="26" t="e">
        <f t="shared" si="1"/>
        <v>#VALUE!</v>
      </c>
      <c r="I8737" s="1" t="e">
        <f t="shared" si="2"/>
        <v>#VALUE!</v>
      </c>
    </row>
    <row r="8738" spans="1:9" ht="15.75" customHeight="1">
      <c r="A8738" s="26"/>
      <c r="B8738" s="2"/>
      <c r="C8738" s="26"/>
      <c r="D8738" s="26"/>
      <c r="F8738" s="85" t="str">
        <f t="shared" si="0"/>
        <v/>
      </c>
      <c r="G8738" s="1" t="e">
        <f>IF(VALUE(F8738) = VALUE(RIGHT(Insights!$C$3, 4)), E8738, "")</f>
        <v>#VALUE!</v>
      </c>
      <c r="H8738" s="26" t="e">
        <f t="shared" si="1"/>
        <v>#VALUE!</v>
      </c>
      <c r="I8738" s="1" t="e">
        <f t="shared" si="2"/>
        <v>#VALUE!</v>
      </c>
    </row>
    <row r="8739" spans="1:9" ht="15.75" customHeight="1">
      <c r="A8739" s="26"/>
      <c r="B8739" s="2"/>
      <c r="C8739" s="26"/>
      <c r="D8739" s="26"/>
      <c r="F8739" s="85" t="str">
        <f t="shared" si="0"/>
        <v/>
      </c>
      <c r="G8739" s="1" t="e">
        <f>IF(VALUE(F8739) = VALUE(RIGHT(Insights!$C$3, 4)), E8739, "")</f>
        <v>#VALUE!</v>
      </c>
      <c r="H8739" s="26" t="e">
        <f t="shared" si="1"/>
        <v>#VALUE!</v>
      </c>
      <c r="I8739" s="1" t="e">
        <f t="shared" si="2"/>
        <v>#VALUE!</v>
      </c>
    </row>
    <row r="8740" spans="1:9" ht="15.75" customHeight="1">
      <c r="A8740" s="26"/>
      <c r="B8740" s="2"/>
      <c r="C8740" s="26"/>
      <c r="D8740" s="26"/>
      <c r="F8740" s="85" t="str">
        <f t="shared" si="0"/>
        <v/>
      </c>
      <c r="G8740" s="1" t="e">
        <f>IF(VALUE(F8740) = VALUE(RIGHT(Insights!$C$3, 4)), E8740, "")</f>
        <v>#VALUE!</v>
      </c>
      <c r="H8740" s="26" t="e">
        <f t="shared" si="1"/>
        <v>#VALUE!</v>
      </c>
      <c r="I8740" s="1" t="e">
        <f t="shared" si="2"/>
        <v>#VALUE!</v>
      </c>
    </row>
    <row r="8741" spans="1:9" ht="15.75" customHeight="1">
      <c r="A8741" s="26"/>
      <c r="B8741" s="2"/>
      <c r="C8741" s="26"/>
      <c r="D8741" s="26"/>
      <c r="F8741" s="85" t="str">
        <f t="shared" si="0"/>
        <v/>
      </c>
      <c r="G8741" s="1" t="e">
        <f>IF(VALUE(F8741) = VALUE(RIGHT(Insights!$C$3, 4)), E8741, "")</f>
        <v>#VALUE!</v>
      </c>
      <c r="H8741" s="26" t="e">
        <f t="shared" si="1"/>
        <v>#VALUE!</v>
      </c>
      <c r="I8741" s="1" t="e">
        <f t="shared" si="2"/>
        <v>#VALUE!</v>
      </c>
    </row>
    <row r="8742" spans="1:9" ht="15.75" customHeight="1">
      <c r="A8742" s="26"/>
      <c r="B8742" s="2"/>
      <c r="C8742" s="26"/>
      <c r="D8742" s="26"/>
      <c r="F8742" s="85" t="str">
        <f t="shared" si="0"/>
        <v/>
      </c>
      <c r="G8742" s="1" t="e">
        <f>IF(VALUE(F8742) = VALUE(RIGHT(Insights!$C$3, 4)), E8742, "")</f>
        <v>#VALUE!</v>
      </c>
      <c r="H8742" s="26" t="e">
        <f t="shared" si="1"/>
        <v>#VALUE!</v>
      </c>
      <c r="I8742" s="1" t="e">
        <f t="shared" si="2"/>
        <v>#VALUE!</v>
      </c>
    </row>
    <row r="8743" spans="1:9" ht="15.75" customHeight="1">
      <c r="A8743" s="26"/>
      <c r="B8743" s="2"/>
      <c r="C8743" s="26"/>
      <c r="D8743" s="26"/>
      <c r="F8743" s="85" t="str">
        <f t="shared" si="0"/>
        <v/>
      </c>
      <c r="G8743" s="1" t="e">
        <f>IF(VALUE(F8743) = VALUE(RIGHT(Insights!$C$3, 4)), E8743, "")</f>
        <v>#VALUE!</v>
      </c>
      <c r="H8743" s="26" t="e">
        <f t="shared" si="1"/>
        <v>#VALUE!</v>
      </c>
      <c r="I8743" s="1" t="e">
        <f t="shared" si="2"/>
        <v>#VALUE!</v>
      </c>
    </row>
    <row r="8744" spans="1:9" ht="15.75" customHeight="1">
      <c r="A8744" s="26"/>
      <c r="B8744" s="2"/>
      <c r="C8744" s="26"/>
      <c r="D8744" s="26"/>
      <c r="F8744" s="85" t="str">
        <f t="shared" si="0"/>
        <v/>
      </c>
      <c r="G8744" s="1" t="e">
        <f>IF(VALUE(F8744) = VALUE(RIGHT(Insights!$C$3, 4)), E8744, "")</f>
        <v>#VALUE!</v>
      </c>
      <c r="H8744" s="26" t="e">
        <f t="shared" si="1"/>
        <v>#VALUE!</v>
      </c>
      <c r="I8744" s="1" t="e">
        <f t="shared" si="2"/>
        <v>#VALUE!</v>
      </c>
    </row>
    <row r="8745" spans="1:9" ht="15.75" customHeight="1">
      <c r="A8745" s="26"/>
      <c r="B8745" s="2"/>
      <c r="C8745" s="26"/>
      <c r="D8745" s="26"/>
      <c r="F8745" s="85" t="str">
        <f t="shared" si="0"/>
        <v/>
      </c>
      <c r="G8745" s="1" t="e">
        <f>IF(VALUE(F8745) = VALUE(RIGHT(Insights!$C$3, 4)), E8745, "")</f>
        <v>#VALUE!</v>
      </c>
      <c r="H8745" s="26" t="e">
        <f t="shared" si="1"/>
        <v>#VALUE!</v>
      </c>
      <c r="I8745" s="1" t="e">
        <f t="shared" si="2"/>
        <v>#VALUE!</v>
      </c>
    </row>
    <row r="8746" spans="1:9" ht="15.75" customHeight="1">
      <c r="A8746" s="26"/>
      <c r="B8746" s="2"/>
      <c r="C8746" s="26"/>
      <c r="D8746" s="26"/>
      <c r="F8746" s="85" t="str">
        <f t="shared" si="0"/>
        <v/>
      </c>
      <c r="G8746" s="1" t="e">
        <f>IF(VALUE(F8746) = VALUE(RIGHT(Insights!$C$3, 4)), E8746, "")</f>
        <v>#VALUE!</v>
      </c>
      <c r="H8746" s="26" t="e">
        <f t="shared" si="1"/>
        <v>#VALUE!</v>
      </c>
      <c r="I8746" s="1" t="e">
        <f t="shared" si="2"/>
        <v>#VALUE!</v>
      </c>
    </row>
    <row r="8747" spans="1:9" ht="15.75" customHeight="1">
      <c r="A8747" s="26"/>
      <c r="B8747" s="2"/>
      <c r="C8747" s="26"/>
      <c r="D8747" s="26"/>
      <c r="F8747" s="85" t="str">
        <f t="shared" si="0"/>
        <v/>
      </c>
      <c r="G8747" s="1" t="e">
        <f>IF(VALUE(F8747) = VALUE(RIGHT(Insights!$C$3, 4)), E8747, "")</f>
        <v>#VALUE!</v>
      </c>
      <c r="H8747" s="26" t="e">
        <f t="shared" si="1"/>
        <v>#VALUE!</v>
      </c>
      <c r="I8747" s="1" t="e">
        <f t="shared" si="2"/>
        <v>#VALUE!</v>
      </c>
    </row>
    <row r="8748" spans="1:9" ht="15.75" customHeight="1">
      <c r="A8748" s="26"/>
      <c r="B8748" s="2"/>
      <c r="C8748" s="26"/>
      <c r="D8748" s="26"/>
      <c r="F8748" s="85" t="str">
        <f t="shared" si="0"/>
        <v/>
      </c>
      <c r="G8748" s="1" t="e">
        <f>IF(VALUE(F8748) = VALUE(RIGHT(Insights!$C$3, 4)), E8748, "")</f>
        <v>#VALUE!</v>
      </c>
      <c r="H8748" s="26" t="e">
        <f t="shared" si="1"/>
        <v>#VALUE!</v>
      </c>
      <c r="I8748" s="1" t="e">
        <f t="shared" si="2"/>
        <v>#VALUE!</v>
      </c>
    </row>
    <row r="8749" spans="1:9" ht="15.75" customHeight="1">
      <c r="A8749" s="26"/>
      <c r="B8749" s="2"/>
      <c r="C8749" s="26"/>
      <c r="D8749" s="26"/>
      <c r="F8749" s="85" t="str">
        <f t="shared" si="0"/>
        <v/>
      </c>
      <c r="G8749" s="1" t="e">
        <f>IF(VALUE(F8749) = VALUE(RIGHT(Insights!$C$3, 4)), E8749, "")</f>
        <v>#VALUE!</v>
      </c>
      <c r="H8749" s="26" t="e">
        <f t="shared" si="1"/>
        <v>#VALUE!</v>
      </c>
      <c r="I8749" s="1" t="e">
        <f t="shared" si="2"/>
        <v>#VALUE!</v>
      </c>
    </row>
    <row r="8750" spans="1:9" ht="15.75" customHeight="1">
      <c r="A8750" s="26"/>
      <c r="B8750" s="2"/>
      <c r="C8750" s="26"/>
      <c r="D8750" s="26"/>
      <c r="F8750" s="85" t="str">
        <f t="shared" si="0"/>
        <v/>
      </c>
      <c r="G8750" s="1" t="e">
        <f>IF(VALUE(F8750) = VALUE(RIGHT(Insights!$C$3, 4)), E8750, "")</f>
        <v>#VALUE!</v>
      </c>
      <c r="H8750" s="26" t="e">
        <f t="shared" si="1"/>
        <v>#VALUE!</v>
      </c>
      <c r="I8750" s="1" t="e">
        <f t="shared" si="2"/>
        <v>#VALUE!</v>
      </c>
    </row>
    <row r="8751" spans="1:9" ht="15.75" customHeight="1">
      <c r="A8751" s="26"/>
      <c r="B8751" s="2"/>
      <c r="C8751" s="26"/>
      <c r="D8751" s="26"/>
      <c r="F8751" s="85" t="str">
        <f t="shared" si="0"/>
        <v/>
      </c>
      <c r="G8751" s="1" t="e">
        <f>IF(VALUE(F8751) = VALUE(RIGHT(Insights!$C$3, 4)), E8751, "")</f>
        <v>#VALUE!</v>
      </c>
      <c r="H8751" s="26" t="e">
        <f t="shared" si="1"/>
        <v>#VALUE!</v>
      </c>
      <c r="I8751" s="1" t="e">
        <f t="shared" si="2"/>
        <v>#VALUE!</v>
      </c>
    </row>
    <row r="8752" spans="1:9" ht="15.75" customHeight="1">
      <c r="A8752" s="26"/>
      <c r="B8752" s="2"/>
      <c r="C8752" s="26"/>
      <c r="D8752" s="26"/>
      <c r="F8752" s="85" t="str">
        <f t="shared" si="0"/>
        <v/>
      </c>
      <c r="G8752" s="1" t="e">
        <f>IF(VALUE(F8752) = VALUE(RIGHT(Insights!$C$3, 4)), E8752, "")</f>
        <v>#VALUE!</v>
      </c>
      <c r="H8752" s="26" t="e">
        <f t="shared" si="1"/>
        <v>#VALUE!</v>
      </c>
      <c r="I8752" s="1" t="e">
        <f t="shared" si="2"/>
        <v>#VALUE!</v>
      </c>
    </row>
    <row r="8753" spans="1:9" ht="15.75" customHeight="1">
      <c r="A8753" s="26"/>
      <c r="B8753" s="2"/>
      <c r="C8753" s="26"/>
      <c r="D8753" s="26"/>
      <c r="F8753" s="85" t="str">
        <f t="shared" si="0"/>
        <v/>
      </c>
      <c r="G8753" s="1" t="e">
        <f>IF(VALUE(F8753) = VALUE(RIGHT(Insights!$C$3, 4)), E8753, "")</f>
        <v>#VALUE!</v>
      </c>
      <c r="H8753" s="26" t="e">
        <f t="shared" si="1"/>
        <v>#VALUE!</v>
      </c>
      <c r="I8753" s="1" t="e">
        <f t="shared" si="2"/>
        <v>#VALUE!</v>
      </c>
    </row>
    <row r="8754" spans="1:9" ht="15.75" customHeight="1">
      <c r="A8754" s="26"/>
      <c r="B8754" s="2"/>
      <c r="C8754" s="26"/>
      <c r="D8754" s="26"/>
      <c r="F8754" s="85" t="str">
        <f t="shared" si="0"/>
        <v/>
      </c>
      <c r="G8754" s="1" t="e">
        <f>IF(VALUE(F8754) = VALUE(RIGHT(Insights!$C$3, 4)), E8754, "")</f>
        <v>#VALUE!</v>
      </c>
      <c r="H8754" s="26" t="e">
        <f t="shared" si="1"/>
        <v>#VALUE!</v>
      </c>
      <c r="I8754" s="1" t="e">
        <f t="shared" si="2"/>
        <v>#VALUE!</v>
      </c>
    </row>
    <row r="8755" spans="1:9" ht="15.75" customHeight="1">
      <c r="A8755" s="26"/>
      <c r="B8755" s="2"/>
      <c r="C8755" s="26"/>
      <c r="D8755" s="26"/>
      <c r="F8755" s="85" t="str">
        <f t="shared" si="0"/>
        <v/>
      </c>
      <c r="G8755" s="1" t="e">
        <f>IF(VALUE(F8755) = VALUE(RIGHT(Insights!$C$3, 4)), E8755, "")</f>
        <v>#VALUE!</v>
      </c>
      <c r="H8755" s="26" t="e">
        <f t="shared" si="1"/>
        <v>#VALUE!</v>
      </c>
      <c r="I8755" s="1" t="e">
        <f t="shared" si="2"/>
        <v>#VALUE!</v>
      </c>
    </row>
    <row r="8756" spans="1:9" ht="15.75" customHeight="1">
      <c r="A8756" s="26"/>
      <c r="B8756" s="2"/>
      <c r="C8756" s="26"/>
      <c r="D8756" s="26"/>
      <c r="F8756" s="85" t="str">
        <f t="shared" si="0"/>
        <v/>
      </c>
      <c r="G8756" s="1" t="e">
        <f>IF(VALUE(F8756) = VALUE(RIGHT(Insights!$C$3, 4)), E8756, "")</f>
        <v>#VALUE!</v>
      </c>
      <c r="H8756" s="26" t="e">
        <f t="shared" si="1"/>
        <v>#VALUE!</v>
      </c>
      <c r="I8756" s="1" t="e">
        <f t="shared" si="2"/>
        <v>#VALUE!</v>
      </c>
    </row>
    <row r="8757" spans="1:9" ht="15.75" customHeight="1">
      <c r="A8757" s="26"/>
      <c r="B8757" s="2"/>
      <c r="C8757" s="26"/>
      <c r="D8757" s="26"/>
      <c r="F8757" s="85" t="str">
        <f t="shared" si="0"/>
        <v/>
      </c>
      <c r="G8757" s="1" t="e">
        <f>IF(VALUE(F8757) = VALUE(RIGHT(Insights!$C$3, 4)), E8757, "")</f>
        <v>#VALUE!</v>
      </c>
      <c r="H8757" s="26" t="e">
        <f t="shared" si="1"/>
        <v>#VALUE!</v>
      </c>
      <c r="I8757" s="1" t="e">
        <f t="shared" si="2"/>
        <v>#VALUE!</v>
      </c>
    </row>
    <row r="8758" spans="1:9" ht="15.75" customHeight="1">
      <c r="A8758" s="26"/>
      <c r="B8758" s="2"/>
      <c r="C8758" s="26"/>
      <c r="D8758" s="26"/>
      <c r="F8758" s="85" t="str">
        <f t="shared" si="0"/>
        <v/>
      </c>
      <c r="G8758" s="1" t="e">
        <f>IF(VALUE(F8758) = VALUE(RIGHT(Insights!$C$3, 4)), E8758, "")</f>
        <v>#VALUE!</v>
      </c>
      <c r="H8758" s="26" t="e">
        <f t="shared" si="1"/>
        <v>#VALUE!</v>
      </c>
      <c r="I8758" s="1" t="e">
        <f t="shared" si="2"/>
        <v>#VALUE!</v>
      </c>
    </row>
    <row r="8759" spans="1:9" ht="15.75" customHeight="1">
      <c r="A8759" s="26"/>
      <c r="B8759" s="2"/>
      <c r="C8759" s="26"/>
      <c r="D8759" s="26"/>
      <c r="F8759" s="85" t="str">
        <f t="shared" si="0"/>
        <v/>
      </c>
      <c r="G8759" s="1" t="e">
        <f>IF(VALUE(F8759) = VALUE(RIGHT(Insights!$C$3, 4)), E8759, "")</f>
        <v>#VALUE!</v>
      </c>
      <c r="H8759" s="26" t="e">
        <f t="shared" si="1"/>
        <v>#VALUE!</v>
      </c>
      <c r="I8759" s="1" t="e">
        <f t="shared" si="2"/>
        <v>#VALUE!</v>
      </c>
    </row>
    <row r="8760" spans="1:9" ht="15.75" customHeight="1">
      <c r="A8760" s="26"/>
      <c r="B8760" s="2"/>
      <c r="C8760" s="26"/>
      <c r="D8760" s="26"/>
      <c r="F8760" s="85" t="str">
        <f t="shared" si="0"/>
        <v/>
      </c>
      <c r="G8760" s="1" t="e">
        <f>IF(VALUE(F8760) = VALUE(RIGHT(Insights!$C$3, 4)), E8760, "")</f>
        <v>#VALUE!</v>
      </c>
      <c r="H8760" s="26" t="e">
        <f t="shared" si="1"/>
        <v>#VALUE!</v>
      </c>
      <c r="I8760" s="1" t="e">
        <f t="shared" si="2"/>
        <v>#VALUE!</v>
      </c>
    </row>
    <row r="8761" spans="1:9" ht="15.75" customHeight="1">
      <c r="A8761" s="26"/>
      <c r="B8761" s="2"/>
      <c r="C8761" s="26"/>
      <c r="D8761" s="26"/>
      <c r="F8761" s="85" t="str">
        <f t="shared" si="0"/>
        <v/>
      </c>
      <c r="G8761" s="1" t="e">
        <f>IF(VALUE(F8761) = VALUE(RIGHT(Insights!$C$3, 4)), E8761, "")</f>
        <v>#VALUE!</v>
      </c>
      <c r="H8761" s="26" t="e">
        <f t="shared" si="1"/>
        <v>#VALUE!</v>
      </c>
      <c r="I8761" s="1" t="e">
        <f t="shared" si="2"/>
        <v>#VALUE!</v>
      </c>
    </row>
    <row r="8762" spans="1:9" ht="15.75" customHeight="1">
      <c r="A8762" s="26"/>
      <c r="B8762" s="2"/>
      <c r="C8762" s="26"/>
      <c r="D8762" s="26"/>
      <c r="F8762" s="85" t="str">
        <f t="shared" si="0"/>
        <v/>
      </c>
      <c r="G8762" s="1" t="e">
        <f>IF(VALUE(F8762) = VALUE(RIGHT(Insights!$C$3, 4)), E8762, "")</f>
        <v>#VALUE!</v>
      </c>
      <c r="H8762" s="26" t="e">
        <f t="shared" si="1"/>
        <v>#VALUE!</v>
      </c>
      <c r="I8762" s="1" t="e">
        <f t="shared" si="2"/>
        <v>#VALUE!</v>
      </c>
    </row>
    <row r="8763" spans="1:9" ht="15.75" customHeight="1">
      <c r="A8763" s="26"/>
      <c r="B8763" s="2"/>
      <c r="C8763" s="26"/>
      <c r="D8763" s="26"/>
      <c r="F8763" s="85" t="str">
        <f t="shared" si="0"/>
        <v/>
      </c>
      <c r="G8763" s="1" t="e">
        <f>IF(VALUE(F8763) = VALUE(RIGHT(Insights!$C$3, 4)), E8763, "")</f>
        <v>#VALUE!</v>
      </c>
      <c r="H8763" s="26" t="e">
        <f t="shared" si="1"/>
        <v>#VALUE!</v>
      </c>
      <c r="I8763" s="1" t="e">
        <f t="shared" si="2"/>
        <v>#VALUE!</v>
      </c>
    </row>
    <row r="8764" spans="1:9" ht="15.75" customHeight="1">
      <c r="A8764" s="26"/>
      <c r="B8764" s="2"/>
      <c r="C8764" s="26"/>
      <c r="D8764" s="26"/>
      <c r="F8764" s="85" t="str">
        <f t="shared" si="0"/>
        <v/>
      </c>
      <c r="G8764" s="1" t="e">
        <f>IF(VALUE(F8764) = VALUE(RIGHT(Insights!$C$3, 4)), E8764, "")</f>
        <v>#VALUE!</v>
      </c>
      <c r="H8764" s="26" t="e">
        <f t="shared" si="1"/>
        <v>#VALUE!</v>
      </c>
      <c r="I8764" s="1" t="e">
        <f t="shared" si="2"/>
        <v>#VALUE!</v>
      </c>
    </row>
    <row r="8765" spans="1:9" ht="15.75" customHeight="1">
      <c r="A8765" s="26"/>
      <c r="B8765" s="2"/>
      <c r="C8765" s="26"/>
      <c r="D8765" s="26"/>
      <c r="F8765" s="85" t="str">
        <f t="shared" si="0"/>
        <v/>
      </c>
      <c r="G8765" s="1" t="e">
        <f>IF(VALUE(F8765) = VALUE(RIGHT(Insights!$C$3, 4)), E8765, "")</f>
        <v>#VALUE!</v>
      </c>
      <c r="H8765" s="26" t="e">
        <f t="shared" si="1"/>
        <v>#VALUE!</v>
      </c>
      <c r="I8765" s="1" t="e">
        <f t="shared" si="2"/>
        <v>#VALUE!</v>
      </c>
    </row>
    <row r="8766" spans="1:9" ht="15.75" customHeight="1">
      <c r="A8766" s="26"/>
      <c r="B8766" s="2"/>
      <c r="C8766" s="26"/>
      <c r="D8766" s="26"/>
      <c r="F8766" s="85" t="str">
        <f t="shared" si="0"/>
        <v/>
      </c>
      <c r="G8766" s="1" t="e">
        <f>IF(VALUE(F8766) = VALUE(RIGHT(Insights!$C$3, 4)), E8766, "")</f>
        <v>#VALUE!</v>
      </c>
      <c r="H8766" s="26" t="e">
        <f t="shared" si="1"/>
        <v>#VALUE!</v>
      </c>
      <c r="I8766" s="1" t="e">
        <f t="shared" si="2"/>
        <v>#VALUE!</v>
      </c>
    </row>
    <row r="8767" spans="1:9" ht="15.75" customHeight="1">
      <c r="A8767" s="26"/>
      <c r="B8767" s="2"/>
      <c r="C8767" s="26"/>
      <c r="D8767" s="26"/>
      <c r="F8767" s="85" t="str">
        <f t="shared" si="0"/>
        <v/>
      </c>
      <c r="G8767" s="1" t="e">
        <f>IF(VALUE(F8767) = VALUE(RIGHT(Insights!$C$3, 4)), E8767, "")</f>
        <v>#VALUE!</v>
      </c>
      <c r="H8767" s="26" t="e">
        <f t="shared" si="1"/>
        <v>#VALUE!</v>
      </c>
      <c r="I8767" s="1" t="e">
        <f t="shared" si="2"/>
        <v>#VALUE!</v>
      </c>
    </row>
    <row r="8768" spans="1:9" ht="15.75" customHeight="1">
      <c r="A8768" s="26"/>
      <c r="B8768" s="2"/>
      <c r="C8768" s="26"/>
      <c r="D8768" s="26"/>
      <c r="F8768" s="85" t="str">
        <f t="shared" si="0"/>
        <v/>
      </c>
      <c r="G8768" s="1" t="e">
        <f>IF(VALUE(F8768) = VALUE(RIGHT(Insights!$C$3, 4)), E8768, "")</f>
        <v>#VALUE!</v>
      </c>
      <c r="H8768" s="26" t="e">
        <f t="shared" si="1"/>
        <v>#VALUE!</v>
      </c>
      <c r="I8768" s="1" t="e">
        <f t="shared" si="2"/>
        <v>#VALUE!</v>
      </c>
    </row>
    <row r="8769" spans="1:9" ht="15.75" customHeight="1">
      <c r="A8769" s="26"/>
      <c r="B8769" s="2"/>
      <c r="C8769" s="26"/>
      <c r="D8769" s="26"/>
      <c r="F8769" s="85" t="str">
        <f t="shared" si="0"/>
        <v/>
      </c>
      <c r="G8769" s="1" t="e">
        <f>IF(VALUE(F8769) = VALUE(RIGHT(Insights!$C$3, 4)), E8769, "")</f>
        <v>#VALUE!</v>
      </c>
      <c r="H8769" s="26" t="e">
        <f t="shared" si="1"/>
        <v>#VALUE!</v>
      </c>
      <c r="I8769" s="1" t="e">
        <f t="shared" si="2"/>
        <v>#VALUE!</v>
      </c>
    </row>
    <row r="8770" spans="1:9" ht="15.75" customHeight="1">
      <c r="A8770" s="26"/>
      <c r="B8770" s="2"/>
      <c r="C8770" s="26"/>
      <c r="D8770" s="26"/>
      <c r="F8770" s="85" t="str">
        <f t="shared" si="0"/>
        <v/>
      </c>
      <c r="G8770" s="1" t="e">
        <f>IF(VALUE(F8770) = VALUE(RIGHT(Insights!$C$3, 4)), E8770, "")</f>
        <v>#VALUE!</v>
      </c>
      <c r="H8770" s="26" t="e">
        <f t="shared" si="1"/>
        <v>#VALUE!</v>
      </c>
      <c r="I8770" s="1" t="e">
        <f t="shared" si="2"/>
        <v>#VALUE!</v>
      </c>
    </row>
    <row r="8771" spans="1:9" ht="15.75" customHeight="1">
      <c r="A8771" s="26"/>
      <c r="B8771" s="2"/>
      <c r="C8771" s="26"/>
      <c r="D8771" s="26"/>
      <c r="F8771" s="85" t="str">
        <f t="shared" si="0"/>
        <v/>
      </c>
      <c r="G8771" s="1" t="e">
        <f>IF(VALUE(F8771) = VALUE(RIGHT(Insights!$C$3, 4)), E8771, "")</f>
        <v>#VALUE!</v>
      </c>
      <c r="H8771" s="26" t="e">
        <f t="shared" si="1"/>
        <v>#VALUE!</v>
      </c>
      <c r="I8771" s="1" t="e">
        <f t="shared" si="2"/>
        <v>#VALUE!</v>
      </c>
    </row>
    <row r="8772" spans="1:9" ht="15.75" customHeight="1">
      <c r="A8772" s="26"/>
      <c r="B8772" s="2"/>
      <c r="C8772" s="26"/>
      <c r="D8772" s="26"/>
      <c r="F8772" s="85" t="str">
        <f t="shared" si="0"/>
        <v/>
      </c>
      <c r="G8772" s="1" t="e">
        <f>IF(VALUE(F8772) = VALUE(RIGHT(Insights!$C$3, 4)), E8772, "")</f>
        <v>#VALUE!</v>
      </c>
      <c r="H8772" s="26" t="e">
        <f t="shared" si="1"/>
        <v>#VALUE!</v>
      </c>
      <c r="I8772" s="1" t="e">
        <f t="shared" si="2"/>
        <v>#VALUE!</v>
      </c>
    </row>
    <row r="8773" spans="1:9" ht="15.75" customHeight="1">
      <c r="A8773" s="26"/>
      <c r="B8773" s="2"/>
      <c r="C8773" s="26"/>
      <c r="D8773" s="26"/>
      <c r="F8773" s="85" t="str">
        <f t="shared" si="0"/>
        <v/>
      </c>
      <c r="G8773" s="1" t="e">
        <f>IF(VALUE(F8773) = VALUE(RIGHT(Insights!$C$3, 4)), E8773, "")</f>
        <v>#VALUE!</v>
      </c>
      <c r="H8773" s="26" t="e">
        <f t="shared" si="1"/>
        <v>#VALUE!</v>
      </c>
      <c r="I8773" s="1" t="e">
        <f t="shared" si="2"/>
        <v>#VALUE!</v>
      </c>
    </row>
    <row r="8774" spans="1:9" ht="15.75" customHeight="1">
      <c r="A8774" s="26"/>
      <c r="B8774" s="2"/>
      <c r="C8774" s="26"/>
      <c r="D8774" s="26"/>
      <c r="F8774" s="85" t="str">
        <f t="shared" si="0"/>
        <v/>
      </c>
      <c r="G8774" s="1" t="e">
        <f>IF(VALUE(F8774) = VALUE(RIGHT(Insights!$C$3, 4)), E8774, "")</f>
        <v>#VALUE!</v>
      </c>
      <c r="H8774" s="26" t="e">
        <f t="shared" si="1"/>
        <v>#VALUE!</v>
      </c>
      <c r="I8774" s="1" t="e">
        <f t="shared" si="2"/>
        <v>#VALUE!</v>
      </c>
    </row>
    <row r="8775" spans="1:9" ht="15.75" customHeight="1">
      <c r="A8775" s="26"/>
      <c r="B8775" s="2"/>
      <c r="C8775" s="26"/>
      <c r="D8775" s="26"/>
      <c r="F8775" s="85" t="str">
        <f t="shared" si="0"/>
        <v/>
      </c>
      <c r="G8775" s="1" t="e">
        <f>IF(VALUE(F8775) = VALUE(RIGHT(Insights!$C$3, 4)), E8775, "")</f>
        <v>#VALUE!</v>
      </c>
      <c r="H8775" s="26" t="e">
        <f t="shared" si="1"/>
        <v>#VALUE!</v>
      </c>
      <c r="I8775" s="1" t="e">
        <f t="shared" si="2"/>
        <v>#VALUE!</v>
      </c>
    </row>
    <row r="8776" spans="1:9" ht="15.75" customHeight="1">
      <c r="A8776" s="26"/>
      <c r="B8776" s="2"/>
      <c r="C8776" s="26"/>
      <c r="D8776" s="26"/>
      <c r="F8776" s="85" t="str">
        <f t="shared" si="0"/>
        <v/>
      </c>
      <c r="G8776" s="1" t="e">
        <f>IF(VALUE(F8776) = VALUE(RIGHT(Insights!$C$3, 4)), E8776, "")</f>
        <v>#VALUE!</v>
      </c>
      <c r="H8776" s="26" t="e">
        <f t="shared" si="1"/>
        <v>#VALUE!</v>
      </c>
      <c r="I8776" s="1" t="e">
        <f t="shared" si="2"/>
        <v>#VALUE!</v>
      </c>
    </row>
    <row r="8777" spans="1:9" ht="15.75" customHeight="1">
      <c r="A8777" s="26"/>
      <c r="B8777" s="2"/>
      <c r="C8777" s="26"/>
      <c r="D8777" s="26"/>
      <c r="F8777" s="85" t="str">
        <f t="shared" si="0"/>
        <v/>
      </c>
      <c r="G8777" s="1" t="e">
        <f>IF(VALUE(F8777) = VALUE(RIGHT(Insights!$C$3, 4)), E8777, "")</f>
        <v>#VALUE!</v>
      </c>
      <c r="H8777" s="26" t="e">
        <f t="shared" si="1"/>
        <v>#VALUE!</v>
      </c>
      <c r="I8777" s="1" t="e">
        <f t="shared" si="2"/>
        <v>#VALUE!</v>
      </c>
    </row>
    <row r="8778" spans="1:9" ht="15.75" customHeight="1">
      <c r="A8778" s="26"/>
      <c r="B8778" s="2"/>
      <c r="C8778" s="26"/>
      <c r="D8778" s="26"/>
      <c r="F8778" s="85" t="str">
        <f t="shared" si="0"/>
        <v/>
      </c>
      <c r="G8778" s="1" t="e">
        <f>IF(VALUE(F8778) = VALUE(RIGHT(Insights!$C$3, 4)), E8778, "")</f>
        <v>#VALUE!</v>
      </c>
      <c r="H8778" s="26" t="e">
        <f t="shared" si="1"/>
        <v>#VALUE!</v>
      </c>
      <c r="I8778" s="1" t="e">
        <f t="shared" si="2"/>
        <v>#VALUE!</v>
      </c>
    </row>
    <row r="8779" spans="1:9" ht="15.75" customHeight="1">
      <c r="A8779" s="26"/>
      <c r="B8779" s="2"/>
      <c r="C8779" s="26"/>
      <c r="D8779" s="26"/>
      <c r="F8779" s="85" t="str">
        <f t="shared" si="0"/>
        <v/>
      </c>
      <c r="G8779" s="1" t="e">
        <f>IF(VALUE(F8779) = VALUE(RIGHT(Insights!$C$3, 4)), E8779, "")</f>
        <v>#VALUE!</v>
      </c>
      <c r="H8779" s="26" t="e">
        <f t="shared" si="1"/>
        <v>#VALUE!</v>
      </c>
      <c r="I8779" s="1" t="e">
        <f t="shared" si="2"/>
        <v>#VALUE!</v>
      </c>
    </row>
    <row r="8780" spans="1:9" ht="15.75" customHeight="1">
      <c r="A8780" s="26"/>
      <c r="B8780" s="2"/>
      <c r="C8780" s="26"/>
      <c r="D8780" s="26"/>
      <c r="F8780" s="85" t="str">
        <f t="shared" si="0"/>
        <v/>
      </c>
      <c r="G8780" s="1" t="e">
        <f>IF(VALUE(F8780) = VALUE(RIGHT(Insights!$C$3, 4)), E8780, "")</f>
        <v>#VALUE!</v>
      </c>
      <c r="H8780" s="26" t="e">
        <f t="shared" si="1"/>
        <v>#VALUE!</v>
      </c>
      <c r="I8780" s="1" t="e">
        <f t="shared" si="2"/>
        <v>#VALUE!</v>
      </c>
    </row>
    <row r="8781" spans="1:9" ht="15.75" customHeight="1">
      <c r="A8781" s="26"/>
      <c r="B8781" s="2"/>
      <c r="C8781" s="26"/>
      <c r="D8781" s="26"/>
      <c r="F8781" s="85" t="str">
        <f t="shared" si="0"/>
        <v/>
      </c>
      <c r="G8781" s="1" t="e">
        <f>IF(VALUE(F8781) = VALUE(RIGHT(Insights!$C$3, 4)), E8781, "")</f>
        <v>#VALUE!</v>
      </c>
      <c r="H8781" s="26" t="e">
        <f t="shared" si="1"/>
        <v>#VALUE!</v>
      </c>
      <c r="I8781" s="1" t="e">
        <f t="shared" si="2"/>
        <v>#VALUE!</v>
      </c>
    </row>
    <row r="8782" spans="1:9" ht="15.75" customHeight="1">
      <c r="A8782" s="26"/>
      <c r="B8782" s="2"/>
      <c r="C8782" s="26"/>
      <c r="D8782" s="26"/>
      <c r="F8782" s="85" t="str">
        <f t="shared" si="0"/>
        <v/>
      </c>
      <c r="G8782" s="1" t="e">
        <f>IF(VALUE(F8782) = VALUE(RIGHT(Insights!$C$3, 4)), E8782, "")</f>
        <v>#VALUE!</v>
      </c>
      <c r="H8782" s="26" t="e">
        <f t="shared" si="1"/>
        <v>#VALUE!</v>
      </c>
      <c r="I8782" s="1" t="e">
        <f t="shared" si="2"/>
        <v>#VALUE!</v>
      </c>
    </row>
    <row r="8783" spans="1:9" ht="15.75" customHeight="1">
      <c r="A8783" s="26"/>
      <c r="B8783" s="2"/>
      <c r="C8783" s="26"/>
      <c r="D8783" s="26"/>
      <c r="F8783" s="85" t="str">
        <f t="shared" si="0"/>
        <v/>
      </c>
      <c r="G8783" s="1" t="e">
        <f>IF(VALUE(F8783) = VALUE(RIGHT(Insights!$C$3, 4)), E8783, "")</f>
        <v>#VALUE!</v>
      </c>
      <c r="H8783" s="26" t="e">
        <f t="shared" si="1"/>
        <v>#VALUE!</v>
      </c>
      <c r="I8783" s="1" t="e">
        <f t="shared" si="2"/>
        <v>#VALUE!</v>
      </c>
    </row>
    <row r="8784" spans="1:9" ht="15.75" customHeight="1">
      <c r="A8784" s="26"/>
      <c r="B8784" s="2"/>
      <c r="C8784" s="26"/>
      <c r="D8784" s="26"/>
      <c r="F8784" s="85" t="str">
        <f t="shared" si="0"/>
        <v/>
      </c>
      <c r="G8784" s="1" t="e">
        <f>IF(VALUE(F8784) = VALUE(RIGHT(Insights!$C$3, 4)), E8784, "")</f>
        <v>#VALUE!</v>
      </c>
      <c r="H8784" s="26" t="e">
        <f t="shared" si="1"/>
        <v>#VALUE!</v>
      </c>
      <c r="I8784" s="1" t="e">
        <f t="shared" si="2"/>
        <v>#VALUE!</v>
      </c>
    </row>
    <row r="8785" spans="1:9" ht="15.75" customHeight="1">
      <c r="A8785" s="26"/>
      <c r="B8785" s="2"/>
      <c r="C8785" s="26"/>
      <c r="D8785" s="26"/>
      <c r="F8785" s="85" t="str">
        <f t="shared" si="0"/>
        <v/>
      </c>
      <c r="G8785" s="1" t="e">
        <f>IF(VALUE(F8785) = VALUE(RIGHT(Insights!$C$3, 4)), E8785, "")</f>
        <v>#VALUE!</v>
      </c>
      <c r="H8785" s="26" t="e">
        <f t="shared" si="1"/>
        <v>#VALUE!</v>
      </c>
      <c r="I8785" s="1" t="e">
        <f t="shared" si="2"/>
        <v>#VALUE!</v>
      </c>
    </row>
    <row r="8786" spans="1:9" ht="15.75" customHeight="1">
      <c r="A8786" s="26"/>
      <c r="B8786" s="2"/>
      <c r="C8786" s="26"/>
      <c r="D8786" s="26"/>
      <c r="F8786" s="85" t="str">
        <f t="shared" si="0"/>
        <v/>
      </c>
      <c r="G8786" s="1" t="e">
        <f>IF(VALUE(F8786) = VALUE(RIGHT(Insights!$C$3, 4)), E8786, "")</f>
        <v>#VALUE!</v>
      </c>
      <c r="H8786" s="26" t="e">
        <f t="shared" si="1"/>
        <v>#VALUE!</v>
      </c>
      <c r="I8786" s="1" t="e">
        <f t="shared" si="2"/>
        <v>#VALUE!</v>
      </c>
    </row>
    <row r="8787" spans="1:9" ht="15.75" customHeight="1">
      <c r="A8787" s="26"/>
      <c r="B8787" s="2"/>
      <c r="C8787" s="26"/>
      <c r="D8787" s="26"/>
      <c r="F8787" s="85" t="str">
        <f t="shared" si="0"/>
        <v/>
      </c>
      <c r="G8787" s="1" t="e">
        <f>IF(VALUE(F8787) = VALUE(RIGHT(Insights!$C$3, 4)), E8787, "")</f>
        <v>#VALUE!</v>
      </c>
      <c r="H8787" s="26" t="e">
        <f t="shared" si="1"/>
        <v>#VALUE!</v>
      </c>
      <c r="I8787" s="1" t="e">
        <f t="shared" si="2"/>
        <v>#VALUE!</v>
      </c>
    </row>
    <row r="8788" spans="1:9" ht="15.75" customHeight="1">
      <c r="A8788" s="26"/>
      <c r="B8788" s="2"/>
      <c r="C8788" s="26"/>
      <c r="D8788" s="26"/>
      <c r="F8788" s="85" t="str">
        <f t="shared" si="0"/>
        <v/>
      </c>
      <c r="G8788" s="1" t="e">
        <f>IF(VALUE(F8788) = VALUE(RIGHT(Insights!$C$3, 4)), E8788, "")</f>
        <v>#VALUE!</v>
      </c>
      <c r="H8788" s="26" t="e">
        <f t="shared" si="1"/>
        <v>#VALUE!</v>
      </c>
      <c r="I8788" s="1" t="e">
        <f t="shared" si="2"/>
        <v>#VALUE!</v>
      </c>
    </row>
    <row r="8789" spans="1:9" ht="15.75" customHeight="1">
      <c r="A8789" s="26"/>
      <c r="B8789" s="2"/>
      <c r="C8789" s="26"/>
      <c r="D8789" s="26"/>
      <c r="F8789" s="85" t="str">
        <f t="shared" si="0"/>
        <v/>
      </c>
      <c r="G8789" s="1" t="e">
        <f>IF(VALUE(F8789) = VALUE(RIGHT(Insights!$C$3, 4)), E8789, "")</f>
        <v>#VALUE!</v>
      </c>
      <c r="H8789" s="26" t="e">
        <f t="shared" si="1"/>
        <v>#VALUE!</v>
      </c>
      <c r="I8789" s="1" t="e">
        <f t="shared" si="2"/>
        <v>#VALUE!</v>
      </c>
    </row>
    <row r="8790" spans="1:9" ht="15.75" customHeight="1">
      <c r="A8790" s="26"/>
      <c r="B8790" s="2"/>
      <c r="C8790" s="26"/>
      <c r="D8790" s="26"/>
      <c r="F8790" s="85" t="str">
        <f t="shared" si="0"/>
        <v/>
      </c>
      <c r="G8790" s="1" t="e">
        <f>IF(VALUE(F8790) = VALUE(RIGHT(Insights!$C$3, 4)), E8790, "")</f>
        <v>#VALUE!</v>
      </c>
      <c r="H8790" s="26" t="e">
        <f t="shared" si="1"/>
        <v>#VALUE!</v>
      </c>
      <c r="I8790" s="1" t="e">
        <f t="shared" si="2"/>
        <v>#VALUE!</v>
      </c>
    </row>
    <row r="8791" spans="1:9" ht="15.75" customHeight="1">
      <c r="A8791" s="26"/>
      <c r="B8791" s="2"/>
      <c r="C8791" s="26"/>
      <c r="D8791" s="26"/>
      <c r="F8791" s="85" t="str">
        <f t="shared" si="0"/>
        <v/>
      </c>
      <c r="G8791" s="1" t="e">
        <f>IF(VALUE(F8791) = VALUE(RIGHT(Insights!$C$3, 4)), E8791, "")</f>
        <v>#VALUE!</v>
      </c>
      <c r="H8791" s="26" t="e">
        <f t="shared" si="1"/>
        <v>#VALUE!</v>
      </c>
      <c r="I8791" s="1" t="e">
        <f t="shared" si="2"/>
        <v>#VALUE!</v>
      </c>
    </row>
    <row r="8792" spans="1:9" ht="15.75" customHeight="1">
      <c r="A8792" s="26"/>
      <c r="B8792" s="2"/>
      <c r="C8792" s="26"/>
      <c r="D8792" s="26"/>
      <c r="F8792" s="85" t="str">
        <f t="shared" si="0"/>
        <v/>
      </c>
      <c r="G8792" s="1" t="e">
        <f>IF(VALUE(F8792) = VALUE(RIGHT(Insights!$C$3, 4)), E8792, "")</f>
        <v>#VALUE!</v>
      </c>
      <c r="H8792" s="26" t="e">
        <f t="shared" si="1"/>
        <v>#VALUE!</v>
      </c>
      <c r="I8792" s="1" t="e">
        <f t="shared" si="2"/>
        <v>#VALUE!</v>
      </c>
    </row>
    <row r="8793" spans="1:9" ht="15.75" customHeight="1">
      <c r="A8793" s="26"/>
      <c r="B8793" s="2"/>
      <c r="C8793" s="26"/>
      <c r="D8793" s="26"/>
      <c r="F8793" s="85" t="str">
        <f t="shared" si="0"/>
        <v/>
      </c>
      <c r="G8793" s="1" t="e">
        <f>IF(VALUE(F8793) = VALUE(RIGHT(Insights!$C$3, 4)), E8793, "")</f>
        <v>#VALUE!</v>
      </c>
      <c r="H8793" s="26" t="e">
        <f t="shared" si="1"/>
        <v>#VALUE!</v>
      </c>
      <c r="I8793" s="1" t="e">
        <f t="shared" si="2"/>
        <v>#VALUE!</v>
      </c>
    </row>
    <row r="8794" spans="1:9" ht="15.75" customHeight="1">
      <c r="A8794" s="26"/>
      <c r="B8794" s="2"/>
      <c r="C8794" s="26"/>
      <c r="D8794" s="26"/>
      <c r="F8794" s="85" t="str">
        <f t="shared" si="0"/>
        <v/>
      </c>
      <c r="G8794" s="1" t="e">
        <f>IF(VALUE(F8794) = VALUE(RIGHT(Insights!$C$3, 4)), E8794, "")</f>
        <v>#VALUE!</v>
      </c>
      <c r="H8794" s="26" t="e">
        <f t="shared" si="1"/>
        <v>#VALUE!</v>
      </c>
      <c r="I8794" s="1" t="e">
        <f t="shared" si="2"/>
        <v>#VALUE!</v>
      </c>
    </row>
    <row r="8795" spans="1:9" ht="15.75" customHeight="1">
      <c r="A8795" s="26"/>
      <c r="B8795" s="2"/>
      <c r="C8795" s="26"/>
      <c r="D8795" s="26"/>
      <c r="F8795" s="85" t="str">
        <f t="shared" si="0"/>
        <v/>
      </c>
      <c r="G8795" s="1" t="e">
        <f>IF(VALUE(F8795) = VALUE(RIGHT(Insights!$C$3, 4)), E8795, "")</f>
        <v>#VALUE!</v>
      </c>
      <c r="H8795" s="26" t="e">
        <f t="shared" si="1"/>
        <v>#VALUE!</v>
      </c>
      <c r="I8795" s="1" t="e">
        <f t="shared" si="2"/>
        <v>#VALUE!</v>
      </c>
    </row>
    <row r="8796" spans="1:9" ht="15.75" customHeight="1">
      <c r="A8796" s="26"/>
      <c r="B8796" s="2"/>
      <c r="C8796" s="26"/>
      <c r="D8796" s="26"/>
      <c r="F8796" s="85" t="str">
        <f t="shared" si="0"/>
        <v/>
      </c>
      <c r="G8796" s="1" t="e">
        <f>IF(VALUE(F8796) = VALUE(RIGHT(Insights!$C$3, 4)), E8796, "")</f>
        <v>#VALUE!</v>
      </c>
      <c r="H8796" s="26" t="e">
        <f t="shared" si="1"/>
        <v>#VALUE!</v>
      </c>
      <c r="I8796" s="1" t="e">
        <f t="shared" si="2"/>
        <v>#VALUE!</v>
      </c>
    </row>
    <row r="8797" spans="1:9" ht="15.75" customHeight="1">
      <c r="A8797" s="26"/>
      <c r="B8797" s="2"/>
      <c r="C8797" s="26"/>
      <c r="D8797" s="26"/>
      <c r="F8797" s="85" t="str">
        <f t="shared" si="0"/>
        <v/>
      </c>
      <c r="G8797" s="1" t="e">
        <f>IF(VALUE(F8797) = VALUE(RIGHT(Insights!$C$3, 4)), E8797, "")</f>
        <v>#VALUE!</v>
      </c>
      <c r="H8797" s="26" t="e">
        <f t="shared" si="1"/>
        <v>#VALUE!</v>
      </c>
      <c r="I8797" s="1" t="e">
        <f t="shared" si="2"/>
        <v>#VALUE!</v>
      </c>
    </row>
    <row r="8798" spans="1:9" ht="15.75" customHeight="1">
      <c r="A8798" s="26"/>
      <c r="B8798" s="2"/>
      <c r="C8798" s="26"/>
      <c r="D8798" s="26"/>
      <c r="F8798" s="85" t="str">
        <f t="shared" si="0"/>
        <v/>
      </c>
      <c r="G8798" s="1" t="e">
        <f>IF(VALUE(F8798) = VALUE(RIGHT(Insights!$C$3, 4)), E8798, "")</f>
        <v>#VALUE!</v>
      </c>
      <c r="H8798" s="26" t="e">
        <f t="shared" si="1"/>
        <v>#VALUE!</v>
      </c>
      <c r="I8798" s="1" t="e">
        <f t="shared" si="2"/>
        <v>#VALUE!</v>
      </c>
    </row>
    <row r="8799" spans="1:9" ht="15.75" customHeight="1">
      <c r="A8799" s="26"/>
      <c r="B8799" s="2"/>
      <c r="C8799" s="26"/>
      <c r="D8799" s="26"/>
      <c r="F8799" s="85" t="str">
        <f t="shared" si="0"/>
        <v/>
      </c>
      <c r="G8799" s="1" t="e">
        <f>IF(VALUE(F8799) = VALUE(RIGHT(Insights!$C$3, 4)), E8799, "")</f>
        <v>#VALUE!</v>
      </c>
      <c r="H8799" s="26" t="e">
        <f t="shared" si="1"/>
        <v>#VALUE!</v>
      </c>
      <c r="I8799" s="1" t="e">
        <f t="shared" si="2"/>
        <v>#VALUE!</v>
      </c>
    </row>
    <row r="8800" spans="1:9" ht="15.75" customHeight="1">
      <c r="A8800" s="26"/>
      <c r="B8800" s="2"/>
      <c r="C8800" s="26"/>
      <c r="D8800" s="26"/>
      <c r="F8800" s="85" t="str">
        <f t="shared" si="0"/>
        <v/>
      </c>
      <c r="G8800" s="1" t="e">
        <f>IF(VALUE(F8800) = VALUE(RIGHT(Insights!$C$3, 4)), E8800, "")</f>
        <v>#VALUE!</v>
      </c>
      <c r="H8800" s="26" t="e">
        <f t="shared" si="1"/>
        <v>#VALUE!</v>
      </c>
      <c r="I8800" s="1" t="e">
        <f t="shared" si="2"/>
        <v>#VALUE!</v>
      </c>
    </row>
    <row r="8801" spans="1:9" ht="15.75" customHeight="1">
      <c r="A8801" s="26"/>
      <c r="B8801" s="2"/>
      <c r="C8801" s="26"/>
      <c r="D8801" s="26"/>
      <c r="F8801" s="85" t="str">
        <f t="shared" si="0"/>
        <v/>
      </c>
      <c r="G8801" s="1" t="e">
        <f>IF(VALUE(F8801) = VALUE(RIGHT(Insights!$C$3, 4)), E8801, "")</f>
        <v>#VALUE!</v>
      </c>
      <c r="H8801" s="26" t="e">
        <f t="shared" si="1"/>
        <v>#VALUE!</v>
      </c>
      <c r="I8801" s="1" t="e">
        <f t="shared" si="2"/>
        <v>#VALUE!</v>
      </c>
    </row>
    <row r="8802" spans="1:9" ht="15.75" customHeight="1">
      <c r="A8802" s="26"/>
      <c r="B8802" s="2"/>
      <c r="C8802" s="26"/>
      <c r="D8802" s="26"/>
      <c r="F8802" s="85" t="str">
        <f t="shared" si="0"/>
        <v/>
      </c>
      <c r="G8802" s="1" t="e">
        <f>IF(VALUE(F8802) = VALUE(RIGHT(Insights!$C$3, 4)), E8802, "")</f>
        <v>#VALUE!</v>
      </c>
      <c r="H8802" s="26" t="e">
        <f t="shared" si="1"/>
        <v>#VALUE!</v>
      </c>
      <c r="I8802" s="1" t="e">
        <f t="shared" si="2"/>
        <v>#VALUE!</v>
      </c>
    </row>
    <row r="8803" spans="1:9" ht="15.75" customHeight="1">
      <c r="A8803" s="26"/>
      <c r="B8803" s="2"/>
      <c r="C8803" s="26"/>
      <c r="D8803" s="26"/>
      <c r="F8803" s="85" t="str">
        <f t="shared" si="0"/>
        <v/>
      </c>
      <c r="G8803" s="1" t="e">
        <f>IF(VALUE(F8803) = VALUE(RIGHT(Insights!$C$3, 4)), E8803, "")</f>
        <v>#VALUE!</v>
      </c>
      <c r="H8803" s="26" t="e">
        <f t="shared" si="1"/>
        <v>#VALUE!</v>
      </c>
      <c r="I8803" s="1" t="e">
        <f t="shared" si="2"/>
        <v>#VALUE!</v>
      </c>
    </row>
    <row r="8804" spans="1:9" ht="15.75" customHeight="1">
      <c r="A8804" s="26"/>
      <c r="B8804" s="2"/>
      <c r="C8804" s="26"/>
      <c r="D8804" s="26"/>
      <c r="F8804" s="85" t="str">
        <f t="shared" si="0"/>
        <v/>
      </c>
      <c r="G8804" s="1" t="e">
        <f>IF(VALUE(F8804) = VALUE(RIGHT(Insights!$C$3, 4)), E8804, "")</f>
        <v>#VALUE!</v>
      </c>
      <c r="H8804" s="26" t="e">
        <f t="shared" si="1"/>
        <v>#VALUE!</v>
      </c>
      <c r="I8804" s="1" t="e">
        <f t="shared" si="2"/>
        <v>#VALUE!</v>
      </c>
    </row>
    <row r="8805" spans="1:9" ht="15.75" customHeight="1">
      <c r="A8805" s="26"/>
      <c r="B8805" s="2"/>
      <c r="C8805" s="26"/>
      <c r="D8805" s="26"/>
      <c r="F8805" s="85" t="str">
        <f t="shared" si="0"/>
        <v/>
      </c>
      <c r="G8805" s="1" t="e">
        <f>IF(VALUE(F8805) = VALUE(RIGHT(Insights!$C$3, 4)), E8805, "")</f>
        <v>#VALUE!</v>
      </c>
      <c r="H8805" s="26" t="e">
        <f t="shared" si="1"/>
        <v>#VALUE!</v>
      </c>
      <c r="I8805" s="1" t="e">
        <f t="shared" si="2"/>
        <v>#VALUE!</v>
      </c>
    </row>
    <row r="8806" spans="1:9" ht="15.75" customHeight="1">
      <c r="A8806" s="26"/>
      <c r="B8806" s="2"/>
      <c r="C8806" s="26"/>
      <c r="D8806" s="26"/>
      <c r="F8806" s="85" t="str">
        <f t="shared" si="0"/>
        <v/>
      </c>
      <c r="G8806" s="1" t="e">
        <f>IF(VALUE(F8806) = VALUE(RIGHT(Insights!$C$3, 4)), E8806, "")</f>
        <v>#VALUE!</v>
      </c>
      <c r="H8806" s="26" t="e">
        <f t="shared" si="1"/>
        <v>#VALUE!</v>
      </c>
      <c r="I8806" s="1" t="e">
        <f t="shared" si="2"/>
        <v>#VALUE!</v>
      </c>
    </row>
    <row r="8807" spans="1:9" ht="15.75" customHeight="1">
      <c r="A8807" s="26"/>
      <c r="B8807" s="2"/>
      <c r="C8807" s="26"/>
      <c r="D8807" s="26"/>
      <c r="F8807" s="85" t="str">
        <f t="shared" si="0"/>
        <v/>
      </c>
      <c r="G8807" s="1" t="e">
        <f>IF(VALUE(F8807) = VALUE(RIGHT(Insights!$C$3, 4)), E8807, "")</f>
        <v>#VALUE!</v>
      </c>
      <c r="H8807" s="26" t="e">
        <f t="shared" si="1"/>
        <v>#VALUE!</v>
      </c>
      <c r="I8807" s="1" t="e">
        <f t="shared" si="2"/>
        <v>#VALUE!</v>
      </c>
    </row>
    <row r="8808" spans="1:9" ht="15.75" customHeight="1">
      <c r="A8808" s="26"/>
      <c r="B8808" s="2"/>
      <c r="C8808" s="26"/>
      <c r="D8808" s="26"/>
      <c r="F8808" s="85" t="str">
        <f t="shared" si="0"/>
        <v/>
      </c>
      <c r="G8808" s="1" t="e">
        <f>IF(VALUE(F8808) = VALUE(RIGHT(Insights!$C$3, 4)), E8808, "")</f>
        <v>#VALUE!</v>
      </c>
      <c r="H8808" s="26" t="e">
        <f t="shared" si="1"/>
        <v>#VALUE!</v>
      </c>
      <c r="I8808" s="1" t="e">
        <f t="shared" si="2"/>
        <v>#VALUE!</v>
      </c>
    </row>
    <row r="8809" spans="1:9" ht="15.75" customHeight="1">
      <c r="A8809" s="26"/>
      <c r="B8809" s="2"/>
      <c r="C8809" s="26"/>
      <c r="D8809" s="26"/>
      <c r="F8809" s="85" t="str">
        <f t="shared" si="0"/>
        <v/>
      </c>
      <c r="G8809" s="1" t="e">
        <f>IF(VALUE(F8809) = VALUE(RIGHT(Insights!$C$3, 4)), E8809, "")</f>
        <v>#VALUE!</v>
      </c>
      <c r="H8809" s="26" t="e">
        <f t="shared" si="1"/>
        <v>#VALUE!</v>
      </c>
      <c r="I8809" s="1" t="e">
        <f t="shared" si="2"/>
        <v>#VALUE!</v>
      </c>
    </row>
    <row r="8810" spans="1:9" ht="15.75" customHeight="1">
      <c r="A8810" s="26"/>
      <c r="B8810" s="2"/>
      <c r="C8810" s="26"/>
      <c r="D8810" s="26"/>
      <c r="F8810" s="85" t="str">
        <f t="shared" si="0"/>
        <v/>
      </c>
      <c r="G8810" s="1" t="e">
        <f>IF(VALUE(F8810) = VALUE(RIGHT(Insights!$C$3, 4)), E8810, "")</f>
        <v>#VALUE!</v>
      </c>
      <c r="H8810" s="26" t="e">
        <f t="shared" si="1"/>
        <v>#VALUE!</v>
      </c>
      <c r="I8810" s="1" t="e">
        <f t="shared" si="2"/>
        <v>#VALUE!</v>
      </c>
    </row>
    <row r="8811" spans="1:9" ht="15.75" customHeight="1">
      <c r="A8811" s="26"/>
      <c r="B8811" s="2"/>
      <c r="C8811" s="26"/>
      <c r="D8811" s="26"/>
      <c r="F8811" s="85" t="str">
        <f t="shared" si="0"/>
        <v/>
      </c>
      <c r="G8811" s="1" t="e">
        <f>IF(VALUE(F8811) = VALUE(RIGHT(Insights!$C$3, 4)), E8811, "")</f>
        <v>#VALUE!</v>
      </c>
      <c r="H8811" s="26" t="e">
        <f t="shared" si="1"/>
        <v>#VALUE!</v>
      </c>
      <c r="I8811" s="1" t="e">
        <f t="shared" si="2"/>
        <v>#VALUE!</v>
      </c>
    </row>
    <row r="8812" spans="1:9" ht="15.75" customHeight="1">
      <c r="A8812" s="26"/>
      <c r="B8812" s="2"/>
      <c r="C8812" s="26"/>
      <c r="D8812" s="26"/>
      <c r="F8812" s="85" t="str">
        <f t="shared" si="0"/>
        <v/>
      </c>
      <c r="G8812" s="1" t="e">
        <f>IF(VALUE(F8812) = VALUE(RIGHT(Insights!$C$3, 4)), E8812, "")</f>
        <v>#VALUE!</v>
      </c>
      <c r="H8812" s="26" t="e">
        <f t="shared" si="1"/>
        <v>#VALUE!</v>
      </c>
      <c r="I8812" s="1" t="e">
        <f t="shared" si="2"/>
        <v>#VALUE!</v>
      </c>
    </row>
    <row r="8813" spans="1:9" ht="15.75" customHeight="1">
      <c r="A8813" s="26"/>
      <c r="B8813" s="2"/>
      <c r="C8813" s="26"/>
      <c r="D8813" s="26"/>
      <c r="F8813" s="85" t="str">
        <f t="shared" si="0"/>
        <v/>
      </c>
      <c r="G8813" s="1" t="e">
        <f>IF(VALUE(F8813) = VALUE(RIGHT(Insights!$C$3, 4)), E8813, "")</f>
        <v>#VALUE!</v>
      </c>
      <c r="H8813" s="26" t="e">
        <f t="shared" si="1"/>
        <v>#VALUE!</v>
      </c>
      <c r="I8813" s="1" t="e">
        <f t="shared" si="2"/>
        <v>#VALUE!</v>
      </c>
    </row>
    <row r="8814" spans="1:9" ht="15.75" customHeight="1">
      <c r="A8814" s="26"/>
      <c r="B8814" s="2"/>
      <c r="C8814" s="26"/>
      <c r="D8814" s="26"/>
      <c r="F8814" s="85" t="str">
        <f t="shared" si="0"/>
        <v/>
      </c>
      <c r="G8814" s="1" t="e">
        <f>IF(VALUE(F8814) = VALUE(RIGHT(Insights!$C$3, 4)), E8814, "")</f>
        <v>#VALUE!</v>
      </c>
      <c r="H8814" s="26" t="e">
        <f t="shared" si="1"/>
        <v>#VALUE!</v>
      </c>
      <c r="I8814" s="1" t="e">
        <f t="shared" si="2"/>
        <v>#VALUE!</v>
      </c>
    </row>
    <row r="8815" spans="1:9" ht="15.75" customHeight="1">
      <c r="A8815" s="26"/>
      <c r="B8815" s="2"/>
      <c r="C8815" s="26"/>
      <c r="D8815" s="26"/>
      <c r="F8815" s="85" t="str">
        <f t="shared" si="0"/>
        <v/>
      </c>
      <c r="G8815" s="1" t="e">
        <f>IF(VALUE(F8815) = VALUE(RIGHT(Insights!$C$3, 4)), E8815, "")</f>
        <v>#VALUE!</v>
      </c>
      <c r="H8815" s="26" t="e">
        <f t="shared" si="1"/>
        <v>#VALUE!</v>
      </c>
      <c r="I8815" s="1" t="e">
        <f t="shared" si="2"/>
        <v>#VALUE!</v>
      </c>
    </row>
    <row r="8816" spans="1:9" ht="15.75" customHeight="1">
      <c r="A8816" s="26"/>
      <c r="B8816" s="2"/>
      <c r="C8816" s="26"/>
      <c r="D8816" s="26"/>
      <c r="F8816" s="85" t="str">
        <f t="shared" si="0"/>
        <v/>
      </c>
      <c r="G8816" s="1" t="e">
        <f>IF(VALUE(F8816) = VALUE(RIGHT(Insights!$C$3, 4)), E8816, "")</f>
        <v>#VALUE!</v>
      </c>
      <c r="H8816" s="26" t="e">
        <f t="shared" si="1"/>
        <v>#VALUE!</v>
      </c>
      <c r="I8816" s="1" t="e">
        <f t="shared" si="2"/>
        <v>#VALUE!</v>
      </c>
    </row>
    <row r="8817" spans="1:9" ht="15.75" customHeight="1">
      <c r="A8817" s="26"/>
      <c r="B8817" s="2"/>
      <c r="C8817" s="26"/>
      <c r="D8817" s="26"/>
      <c r="F8817" s="85" t="str">
        <f t="shared" si="0"/>
        <v/>
      </c>
      <c r="G8817" s="1" t="e">
        <f>IF(VALUE(F8817) = VALUE(RIGHT(Insights!$C$3, 4)), E8817, "")</f>
        <v>#VALUE!</v>
      </c>
      <c r="H8817" s="26" t="e">
        <f t="shared" si="1"/>
        <v>#VALUE!</v>
      </c>
      <c r="I8817" s="1" t="e">
        <f t="shared" si="2"/>
        <v>#VALUE!</v>
      </c>
    </row>
    <row r="8818" spans="1:9" ht="15.75" customHeight="1">
      <c r="A8818" s="26"/>
      <c r="B8818" s="2"/>
      <c r="C8818" s="26"/>
      <c r="D8818" s="26"/>
      <c r="F8818" s="85" t="str">
        <f t="shared" si="0"/>
        <v/>
      </c>
      <c r="G8818" s="1" t="e">
        <f>IF(VALUE(F8818) = VALUE(RIGHT(Insights!$C$3, 4)), E8818, "")</f>
        <v>#VALUE!</v>
      </c>
      <c r="H8818" s="26" t="e">
        <f t="shared" si="1"/>
        <v>#VALUE!</v>
      </c>
      <c r="I8818" s="1" t="e">
        <f t="shared" si="2"/>
        <v>#VALUE!</v>
      </c>
    </row>
    <row r="8819" spans="1:9" ht="15.75" customHeight="1">
      <c r="A8819" s="26"/>
      <c r="B8819" s="2"/>
      <c r="C8819" s="26"/>
      <c r="D8819" s="26"/>
      <c r="F8819" s="85" t="str">
        <f t="shared" si="0"/>
        <v/>
      </c>
      <c r="G8819" s="1" t="e">
        <f>IF(VALUE(F8819) = VALUE(RIGHT(Insights!$C$3, 4)), E8819, "")</f>
        <v>#VALUE!</v>
      </c>
      <c r="H8819" s="26" t="e">
        <f t="shared" si="1"/>
        <v>#VALUE!</v>
      </c>
      <c r="I8819" s="1" t="e">
        <f t="shared" si="2"/>
        <v>#VALUE!</v>
      </c>
    </row>
    <row r="8820" spans="1:9" ht="15.75" customHeight="1">
      <c r="A8820" s="26"/>
      <c r="B8820" s="2"/>
      <c r="C8820" s="26"/>
      <c r="D8820" s="26"/>
      <c r="F8820" s="85" t="str">
        <f t="shared" si="0"/>
        <v/>
      </c>
      <c r="G8820" s="1" t="e">
        <f>IF(VALUE(F8820) = VALUE(RIGHT(Insights!$C$3, 4)), E8820, "")</f>
        <v>#VALUE!</v>
      </c>
      <c r="H8820" s="26" t="e">
        <f t="shared" si="1"/>
        <v>#VALUE!</v>
      </c>
      <c r="I8820" s="1" t="e">
        <f t="shared" si="2"/>
        <v>#VALUE!</v>
      </c>
    </row>
    <row r="8821" spans="1:9" ht="15.75" customHeight="1">
      <c r="A8821" s="26"/>
      <c r="B8821" s="2"/>
      <c r="C8821" s="26"/>
      <c r="D8821" s="26"/>
      <c r="F8821" s="85" t="str">
        <f t="shared" si="0"/>
        <v/>
      </c>
      <c r="G8821" s="1" t="e">
        <f>IF(VALUE(F8821) = VALUE(RIGHT(Insights!$C$3, 4)), E8821, "")</f>
        <v>#VALUE!</v>
      </c>
      <c r="H8821" s="26" t="e">
        <f t="shared" si="1"/>
        <v>#VALUE!</v>
      </c>
      <c r="I8821" s="1" t="e">
        <f t="shared" si="2"/>
        <v>#VALUE!</v>
      </c>
    </row>
    <row r="8822" spans="1:9" ht="15.75" customHeight="1">
      <c r="A8822" s="26"/>
      <c r="B8822" s="2"/>
      <c r="C8822" s="26"/>
      <c r="D8822" s="26"/>
      <c r="F8822" s="85" t="str">
        <f t="shared" si="0"/>
        <v/>
      </c>
      <c r="G8822" s="1" t="e">
        <f>IF(VALUE(F8822) = VALUE(RIGHT(Insights!$C$3, 4)), E8822, "")</f>
        <v>#VALUE!</v>
      </c>
      <c r="H8822" s="26" t="e">
        <f t="shared" si="1"/>
        <v>#VALUE!</v>
      </c>
      <c r="I8822" s="1" t="e">
        <f t="shared" si="2"/>
        <v>#VALUE!</v>
      </c>
    </row>
    <row r="8823" spans="1:9" ht="15.75" customHeight="1">
      <c r="A8823" s="26"/>
      <c r="B8823" s="2"/>
      <c r="C8823" s="26"/>
      <c r="D8823" s="26"/>
      <c r="F8823" s="85" t="str">
        <f t="shared" si="0"/>
        <v/>
      </c>
      <c r="G8823" s="1" t="e">
        <f>IF(VALUE(F8823) = VALUE(RIGHT(Insights!$C$3, 4)), E8823, "")</f>
        <v>#VALUE!</v>
      </c>
      <c r="H8823" s="26" t="e">
        <f t="shared" si="1"/>
        <v>#VALUE!</v>
      </c>
      <c r="I8823" s="1" t="e">
        <f t="shared" si="2"/>
        <v>#VALUE!</v>
      </c>
    </row>
    <row r="8824" spans="1:9" ht="15.75" customHeight="1">
      <c r="A8824" s="26"/>
      <c r="B8824" s="2"/>
      <c r="C8824" s="26"/>
      <c r="D8824" s="26"/>
      <c r="F8824" s="85" t="str">
        <f t="shared" si="0"/>
        <v/>
      </c>
      <c r="G8824" s="1" t="e">
        <f>IF(VALUE(F8824) = VALUE(RIGHT(Insights!$C$3, 4)), E8824, "")</f>
        <v>#VALUE!</v>
      </c>
      <c r="H8824" s="26" t="e">
        <f t="shared" si="1"/>
        <v>#VALUE!</v>
      </c>
      <c r="I8824" s="1" t="e">
        <f t="shared" si="2"/>
        <v>#VALUE!</v>
      </c>
    </row>
    <row r="8825" spans="1:9" ht="15.75" customHeight="1">
      <c r="A8825" s="26"/>
      <c r="B8825" s="2"/>
      <c r="C8825" s="26"/>
      <c r="D8825" s="26"/>
      <c r="F8825" s="85" t="str">
        <f t="shared" si="0"/>
        <v/>
      </c>
      <c r="G8825" s="1" t="e">
        <f>IF(VALUE(F8825) = VALUE(RIGHT(Insights!$C$3, 4)), E8825, "")</f>
        <v>#VALUE!</v>
      </c>
      <c r="H8825" s="26" t="e">
        <f t="shared" si="1"/>
        <v>#VALUE!</v>
      </c>
      <c r="I8825" s="1" t="e">
        <f t="shared" si="2"/>
        <v>#VALUE!</v>
      </c>
    </row>
    <row r="8826" spans="1:9" ht="15.75" customHeight="1">
      <c r="A8826" s="26"/>
      <c r="B8826" s="2"/>
      <c r="C8826" s="26"/>
      <c r="D8826" s="26"/>
      <c r="F8826" s="85" t="str">
        <f t="shared" si="0"/>
        <v/>
      </c>
      <c r="G8826" s="1" t="e">
        <f>IF(VALUE(F8826) = VALUE(RIGHT(Insights!$C$3, 4)), E8826, "")</f>
        <v>#VALUE!</v>
      </c>
      <c r="H8826" s="26" t="e">
        <f t="shared" si="1"/>
        <v>#VALUE!</v>
      </c>
      <c r="I8826" s="1" t="e">
        <f t="shared" si="2"/>
        <v>#VALUE!</v>
      </c>
    </row>
    <row r="8827" spans="1:9" ht="15.75" customHeight="1">
      <c r="A8827" s="26"/>
      <c r="B8827" s="2"/>
      <c r="C8827" s="26"/>
      <c r="D8827" s="26"/>
      <c r="F8827" s="85" t="str">
        <f t="shared" si="0"/>
        <v/>
      </c>
      <c r="G8827" s="1" t="e">
        <f>IF(VALUE(F8827) = VALUE(RIGHT(Insights!$C$3, 4)), E8827, "")</f>
        <v>#VALUE!</v>
      </c>
      <c r="H8827" s="26" t="e">
        <f t="shared" si="1"/>
        <v>#VALUE!</v>
      </c>
      <c r="I8827" s="1" t="e">
        <f t="shared" si="2"/>
        <v>#VALUE!</v>
      </c>
    </row>
    <row r="8828" spans="1:9" ht="15.75" customHeight="1">
      <c r="A8828" s="26"/>
      <c r="B8828" s="2"/>
      <c r="C8828" s="26"/>
      <c r="D8828" s="26"/>
      <c r="F8828" s="85" t="str">
        <f t="shared" si="0"/>
        <v/>
      </c>
      <c r="G8828" s="1" t="e">
        <f>IF(VALUE(F8828) = VALUE(RIGHT(Insights!$C$3, 4)), E8828, "")</f>
        <v>#VALUE!</v>
      </c>
      <c r="H8828" s="26" t="e">
        <f t="shared" si="1"/>
        <v>#VALUE!</v>
      </c>
      <c r="I8828" s="1" t="e">
        <f t="shared" si="2"/>
        <v>#VALUE!</v>
      </c>
    </row>
    <row r="8829" spans="1:9" ht="15.75" customHeight="1">
      <c r="A8829" s="26"/>
      <c r="B8829" s="2"/>
      <c r="C8829" s="26"/>
      <c r="D8829" s="26"/>
      <c r="F8829" s="85" t="str">
        <f t="shared" si="0"/>
        <v/>
      </c>
      <c r="G8829" s="1" t="e">
        <f>IF(VALUE(F8829) = VALUE(RIGHT(Insights!$C$3, 4)), E8829, "")</f>
        <v>#VALUE!</v>
      </c>
      <c r="H8829" s="26" t="e">
        <f t="shared" si="1"/>
        <v>#VALUE!</v>
      </c>
      <c r="I8829" s="1" t="e">
        <f t="shared" si="2"/>
        <v>#VALUE!</v>
      </c>
    </row>
    <row r="8830" spans="1:9" ht="15.75" customHeight="1">
      <c r="A8830" s="26"/>
      <c r="B8830" s="2"/>
      <c r="C8830" s="26"/>
      <c r="D8830" s="26"/>
      <c r="F8830" s="85" t="str">
        <f t="shared" si="0"/>
        <v/>
      </c>
      <c r="G8830" s="1" t="e">
        <f>IF(VALUE(F8830) = VALUE(RIGHT(Insights!$C$3, 4)), E8830, "")</f>
        <v>#VALUE!</v>
      </c>
      <c r="H8830" s="26" t="e">
        <f t="shared" si="1"/>
        <v>#VALUE!</v>
      </c>
      <c r="I8830" s="1" t="e">
        <f t="shared" si="2"/>
        <v>#VALUE!</v>
      </c>
    </row>
    <row r="8831" spans="1:9" ht="15.75" customHeight="1">
      <c r="A8831" s="26"/>
      <c r="B8831" s="2"/>
      <c r="C8831" s="26"/>
      <c r="D8831" s="26"/>
      <c r="F8831" s="85" t="str">
        <f t="shared" si="0"/>
        <v/>
      </c>
      <c r="G8831" s="1" t="e">
        <f>IF(VALUE(F8831) = VALUE(RIGHT(Insights!$C$3, 4)), E8831, "")</f>
        <v>#VALUE!</v>
      </c>
      <c r="H8831" s="26" t="e">
        <f t="shared" si="1"/>
        <v>#VALUE!</v>
      </c>
      <c r="I8831" s="1" t="e">
        <f t="shared" si="2"/>
        <v>#VALUE!</v>
      </c>
    </row>
    <row r="8832" spans="1:9" ht="15.75" customHeight="1">
      <c r="A8832" s="26"/>
      <c r="B8832" s="2"/>
      <c r="C8832" s="26"/>
      <c r="D8832" s="26"/>
      <c r="F8832" s="85" t="str">
        <f t="shared" si="0"/>
        <v/>
      </c>
      <c r="G8832" s="1" t="e">
        <f>IF(VALUE(F8832) = VALUE(RIGHT(Insights!$C$3, 4)), E8832, "")</f>
        <v>#VALUE!</v>
      </c>
      <c r="H8832" s="26" t="e">
        <f t="shared" si="1"/>
        <v>#VALUE!</v>
      </c>
      <c r="I8832" s="1" t="e">
        <f t="shared" si="2"/>
        <v>#VALUE!</v>
      </c>
    </row>
    <row r="8833" spans="1:9" ht="15.75" customHeight="1">
      <c r="A8833" s="26"/>
      <c r="B8833" s="2"/>
      <c r="C8833" s="26"/>
      <c r="D8833" s="26"/>
      <c r="F8833" s="85" t="str">
        <f t="shared" si="0"/>
        <v/>
      </c>
      <c r="G8833" s="1" t="e">
        <f>IF(VALUE(F8833) = VALUE(RIGHT(Insights!$C$3, 4)), E8833, "")</f>
        <v>#VALUE!</v>
      </c>
      <c r="H8833" s="26" t="e">
        <f t="shared" si="1"/>
        <v>#VALUE!</v>
      </c>
      <c r="I8833" s="1" t="e">
        <f t="shared" si="2"/>
        <v>#VALUE!</v>
      </c>
    </row>
    <row r="8834" spans="1:9" ht="15.75" customHeight="1">
      <c r="A8834" s="26"/>
      <c r="B8834" s="2"/>
      <c r="C8834" s="26"/>
      <c r="D8834" s="26"/>
      <c r="F8834" s="85" t="str">
        <f t="shared" si="0"/>
        <v/>
      </c>
      <c r="G8834" s="1" t="e">
        <f>IF(VALUE(F8834) = VALUE(RIGHT(Insights!$C$3, 4)), E8834, "")</f>
        <v>#VALUE!</v>
      </c>
      <c r="H8834" s="26" t="e">
        <f t="shared" si="1"/>
        <v>#VALUE!</v>
      </c>
      <c r="I8834" s="1" t="e">
        <f t="shared" si="2"/>
        <v>#VALUE!</v>
      </c>
    </row>
    <row r="8835" spans="1:9" ht="15.75" customHeight="1">
      <c r="A8835" s="26"/>
      <c r="B8835" s="2"/>
      <c r="C8835" s="26"/>
      <c r="D8835" s="26"/>
      <c r="F8835" s="85" t="str">
        <f t="shared" si="0"/>
        <v/>
      </c>
      <c r="G8835" s="1" t="e">
        <f>IF(VALUE(F8835) = VALUE(RIGHT(Insights!$C$3, 4)), E8835, "")</f>
        <v>#VALUE!</v>
      </c>
      <c r="H8835" s="26" t="e">
        <f t="shared" si="1"/>
        <v>#VALUE!</v>
      </c>
      <c r="I8835" s="1" t="e">
        <f t="shared" si="2"/>
        <v>#VALUE!</v>
      </c>
    </row>
    <row r="8836" spans="1:9" ht="15.75" customHeight="1">
      <c r="A8836" s="26"/>
      <c r="B8836" s="2"/>
      <c r="C8836" s="26"/>
      <c r="D8836" s="26"/>
      <c r="F8836" s="85" t="str">
        <f t="shared" si="0"/>
        <v/>
      </c>
      <c r="G8836" s="1" t="e">
        <f>IF(VALUE(F8836) = VALUE(RIGHT(Insights!$C$3, 4)), E8836, "")</f>
        <v>#VALUE!</v>
      </c>
      <c r="H8836" s="26" t="e">
        <f t="shared" si="1"/>
        <v>#VALUE!</v>
      </c>
      <c r="I8836" s="1" t="e">
        <f t="shared" si="2"/>
        <v>#VALUE!</v>
      </c>
    </row>
    <row r="8837" spans="1:9" ht="15.75" customHeight="1">
      <c r="A8837" s="26"/>
      <c r="B8837" s="2"/>
      <c r="C8837" s="26"/>
      <c r="D8837" s="26"/>
      <c r="F8837" s="85" t="str">
        <f t="shared" si="0"/>
        <v/>
      </c>
      <c r="G8837" s="1" t="e">
        <f>IF(VALUE(F8837) = VALUE(RIGHT(Insights!$C$3, 4)), E8837, "")</f>
        <v>#VALUE!</v>
      </c>
      <c r="H8837" s="26" t="e">
        <f t="shared" si="1"/>
        <v>#VALUE!</v>
      </c>
      <c r="I8837" s="1" t="e">
        <f t="shared" si="2"/>
        <v>#VALUE!</v>
      </c>
    </row>
    <row r="8838" spans="1:9" ht="15.75" customHeight="1">
      <c r="A8838" s="26"/>
      <c r="B8838" s="2"/>
      <c r="C8838" s="26"/>
      <c r="D8838" s="26"/>
      <c r="F8838" s="85" t="str">
        <f t="shared" si="0"/>
        <v/>
      </c>
      <c r="G8838" s="1" t="e">
        <f>IF(VALUE(F8838) = VALUE(RIGHT(Insights!$C$3, 4)), E8838, "")</f>
        <v>#VALUE!</v>
      </c>
      <c r="H8838" s="26" t="e">
        <f t="shared" si="1"/>
        <v>#VALUE!</v>
      </c>
      <c r="I8838" s="1" t="e">
        <f t="shared" si="2"/>
        <v>#VALUE!</v>
      </c>
    </row>
    <row r="8839" spans="1:9" ht="15.75" customHeight="1">
      <c r="A8839" s="26"/>
      <c r="B8839" s="2"/>
      <c r="C8839" s="26"/>
      <c r="D8839" s="26"/>
      <c r="F8839" s="85" t="str">
        <f t="shared" si="0"/>
        <v/>
      </c>
      <c r="G8839" s="1" t="e">
        <f>IF(VALUE(F8839) = VALUE(RIGHT(Insights!$C$3, 4)), E8839, "")</f>
        <v>#VALUE!</v>
      </c>
      <c r="H8839" s="26" t="e">
        <f t="shared" si="1"/>
        <v>#VALUE!</v>
      </c>
      <c r="I8839" s="1" t="e">
        <f t="shared" si="2"/>
        <v>#VALUE!</v>
      </c>
    </row>
    <row r="8840" spans="1:9" ht="15.75" customHeight="1">
      <c r="A8840" s="26"/>
      <c r="B8840" s="2"/>
      <c r="C8840" s="26"/>
      <c r="D8840" s="26"/>
      <c r="F8840" s="85" t="str">
        <f t="shared" si="0"/>
        <v/>
      </c>
      <c r="G8840" s="1" t="e">
        <f>IF(VALUE(F8840) = VALUE(RIGHT(Insights!$C$3, 4)), E8840, "")</f>
        <v>#VALUE!</v>
      </c>
      <c r="H8840" s="26" t="e">
        <f t="shared" si="1"/>
        <v>#VALUE!</v>
      </c>
      <c r="I8840" s="1" t="e">
        <f t="shared" si="2"/>
        <v>#VALUE!</v>
      </c>
    </row>
    <row r="8841" spans="1:9" ht="15.75" customHeight="1">
      <c r="A8841" s="26"/>
      <c r="B8841" s="2"/>
      <c r="C8841" s="26"/>
      <c r="D8841" s="26"/>
      <c r="F8841" s="85" t="str">
        <f t="shared" si="0"/>
        <v/>
      </c>
      <c r="G8841" s="1" t="e">
        <f>IF(VALUE(F8841) = VALUE(RIGHT(Insights!$C$3, 4)), E8841, "")</f>
        <v>#VALUE!</v>
      </c>
      <c r="H8841" s="26" t="e">
        <f t="shared" si="1"/>
        <v>#VALUE!</v>
      </c>
      <c r="I8841" s="1" t="e">
        <f t="shared" si="2"/>
        <v>#VALUE!</v>
      </c>
    </row>
    <row r="8842" spans="1:9" ht="15.75" customHeight="1">
      <c r="A8842" s="26"/>
      <c r="B8842" s="2"/>
      <c r="C8842" s="26"/>
      <c r="D8842" s="26"/>
      <c r="F8842" s="85" t="str">
        <f t="shared" si="0"/>
        <v/>
      </c>
      <c r="G8842" s="1" t="e">
        <f>IF(VALUE(F8842) = VALUE(RIGHT(Insights!$C$3, 4)), E8842, "")</f>
        <v>#VALUE!</v>
      </c>
      <c r="H8842" s="26" t="e">
        <f t="shared" si="1"/>
        <v>#VALUE!</v>
      </c>
      <c r="I8842" s="1" t="e">
        <f t="shared" si="2"/>
        <v>#VALUE!</v>
      </c>
    </row>
    <row r="8843" spans="1:9" ht="15.75" customHeight="1">
      <c r="A8843" s="26"/>
      <c r="B8843" s="2"/>
      <c r="C8843" s="26"/>
      <c r="D8843" s="26"/>
      <c r="F8843" s="85" t="str">
        <f t="shared" si="0"/>
        <v/>
      </c>
      <c r="G8843" s="1" t="e">
        <f>IF(VALUE(F8843) = VALUE(RIGHT(Insights!$C$3, 4)), E8843, "")</f>
        <v>#VALUE!</v>
      </c>
      <c r="H8843" s="26" t="e">
        <f t="shared" si="1"/>
        <v>#VALUE!</v>
      </c>
      <c r="I8843" s="1" t="e">
        <f t="shared" si="2"/>
        <v>#VALUE!</v>
      </c>
    </row>
    <row r="8844" spans="1:9" ht="15.75" customHeight="1">
      <c r="A8844" s="26"/>
      <c r="B8844" s="2"/>
      <c r="C8844" s="26"/>
      <c r="D8844" s="26"/>
      <c r="F8844" s="85" t="str">
        <f t="shared" si="0"/>
        <v/>
      </c>
      <c r="G8844" s="1" t="e">
        <f>IF(VALUE(F8844) = VALUE(RIGHT(Insights!$C$3, 4)), E8844, "")</f>
        <v>#VALUE!</v>
      </c>
      <c r="H8844" s="26" t="e">
        <f t="shared" si="1"/>
        <v>#VALUE!</v>
      </c>
      <c r="I8844" s="1" t="e">
        <f t="shared" si="2"/>
        <v>#VALUE!</v>
      </c>
    </row>
    <row r="8845" spans="1:9" ht="15.75" customHeight="1">
      <c r="A8845" s="26"/>
      <c r="B8845" s="2"/>
      <c r="C8845" s="26"/>
      <c r="D8845" s="26"/>
      <c r="F8845" s="85" t="str">
        <f t="shared" si="0"/>
        <v/>
      </c>
      <c r="G8845" s="1" t="e">
        <f>IF(VALUE(F8845) = VALUE(RIGHT(Insights!$C$3, 4)), E8845, "")</f>
        <v>#VALUE!</v>
      </c>
      <c r="H8845" s="26" t="e">
        <f t="shared" si="1"/>
        <v>#VALUE!</v>
      </c>
      <c r="I8845" s="1" t="e">
        <f t="shared" si="2"/>
        <v>#VALUE!</v>
      </c>
    </row>
    <row r="8846" spans="1:9" ht="15.75" customHeight="1">
      <c r="A8846" s="26"/>
      <c r="B8846" s="2"/>
      <c r="C8846" s="26"/>
      <c r="D8846" s="26"/>
      <c r="F8846" s="85" t="str">
        <f t="shared" si="0"/>
        <v/>
      </c>
      <c r="G8846" s="1" t="e">
        <f>IF(VALUE(F8846) = VALUE(RIGHT(Insights!$C$3, 4)), E8846, "")</f>
        <v>#VALUE!</v>
      </c>
      <c r="H8846" s="26" t="e">
        <f t="shared" si="1"/>
        <v>#VALUE!</v>
      </c>
      <c r="I8846" s="1" t="e">
        <f t="shared" si="2"/>
        <v>#VALUE!</v>
      </c>
    </row>
    <row r="8847" spans="1:9" ht="15.75" customHeight="1">
      <c r="A8847" s="26"/>
      <c r="B8847" s="2"/>
      <c r="C8847" s="26"/>
      <c r="D8847" s="26"/>
      <c r="F8847" s="85" t="str">
        <f t="shared" si="0"/>
        <v/>
      </c>
      <c r="G8847" s="1" t="e">
        <f>IF(VALUE(F8847) = VALUE(RIGHT(Insights!$C$3, 4)), E8847, "")</f>
        <v>#VALUE!</v>
      </c>
      <c r="H8847" s="26" t="e">
        <f t="shared" si="1"/>
        <v>#VALUE!</v>
      </c>
      <c r="I8847" s="1" t="e">
        <f t="shared" si="2"/>
        <v>#VALUE!</v>
      </c>
    </row>
    <row r="8848" spans="1:9" ht="15.75" customHeight="1">
      <c r="A8848" s="26"/>
      <c r="B8848" s="2"/>
      <c r="C8848" s="26"/>
      <c r="D8848" s="26"/>
      <c r="F8848" s="85" t="str">
        <f t="shared" si="0"/>
        <v/>
      </c>
      <c r="G8848" s="1" t="e">
        <f>IF(VALUE(F8848) = VALUE(RIGHT(Insights!$C$3, 4)), E8848, "")</f>
        <v>#VALUE!</v>
      </c>
      <c r="H8848" s="26" t="e">
        <f t="shared" si="1"/>
        <v>#VALUE!</v>
      </c>
      <c r="I8848" s="1" t="e">
        <f t="shared" si="2"/>
        <v>#VALUE!</v>
      </c>
    </row>
    <row r="8849" spans="1:9" ht="15.75" customHeight="1">
      <c r="A8849" s="26"/>
      <c r="B8849" s="2"/>
      <c r="C8849" s="26"/>
      <c r="D8849" s="26"/>
      <c r="F8849" s="85" t="str">
        <f t="shared" si="0"/>
        <v/>
      </c>
      <c r="G8849" s="1" t="e">
        <f>IF(VALUE(F8849) = VALUE(RIGHT(Insights!$C$3, 4)), E8849, "")</f>
        <v>#VALUE!</v>
      </c>
      <c r="H8849" s="26" t="e">
        <f t="shared" si="1"/>
        <v>#VALUE!</v>
      </c>
      <c r="I8849" s="1" t="e">
        <f t="shared" si="2"/>
        <v>#VALUE!</v>
      </c>
    </row>
    <row r="8850" spans="1:9" ht="15.75" customHeight="1">
      <c r="A8850" s="26"/>
      <c r="B8850" s="2"/>
      <c r="C8850" s="26"/>
      <c r="D8850" s="26"/>
      <c r="F8850" s="85" t="str">
        <f t="shared" si="0"/>
        <v/>
      </c>
      <c r="G8850" s="1" t="e">
        <f>IF(VALUE(F8850) = VALUE(RIGHT(Insights!$C$3, 4)), E8850, "")</f>
        <v>#VALUE!</v>
      </c>
      <c r="H8850" s="26" t="e">
        <f t="shared" si="1"/>
        <v>#VALUE!</v>
      </c>
      <c r="I8850" s="1" t="e">
        <f t="shared" si="2"/>
        <v>#VALUE!</v>
      </c>
    </row>
    <row r="8851" spans="1:9" ht="15.75" customHeight="1">
      <c r="A8851" s="26"/>
      <c r="B8851" s="2"/>
      <c r="C8851" s="26"/>
      <c r="D8851" s="26"/>
      <c r="F8851" s="85" t="str">
        <f t="shared" si="0"/>
        <v/>
      </c>
      <c r="G8851" s="1" t="e">
        <f>IF(VALUE(F8851) = VALUE(RIGHT(Insights!$C$3, 4)), E8851, "")</f>
        <v>#VALUE!</v>
      </c>
      <c r="H8851" s="26" t="e">
        <f t="shared" si="1"/>
        <v>#VALUE!</v>
      </c>
      <c r="I8851" s="1" t="e">
        <f t="shared" si="2"/>
        <v>#VALUE!</v>
      </c>
    </row>
    <row r="8852" spans="1:9" ht="15.75" customHeight="1">
      <c r="A8852" s="26"/>
      <c r="B8852" s="2"/>
      <c r="C8852" s="26"/>
      <c r="D8852" s="26"/>
      <c r="F8852" s="85" t="str">
        <f t="shared" si="0"/>
        <v/>
      </c>
      <c r="G8852" s="1" t="e">
        <f>IF(VALUE(F8852) = VALUE(RIGHT(Insights!$C$3, 4)), E8852, "")</f>
        <v>#VALUE!</v>
      </c>
      <c r="H8852" s="26" t="e">
        <f t="shared" si="1"/>
        <v>#VALUE!</v>
      </c>
      <c r="I8852" s="1" t="e">
        <f t="shared" si="2"/>
        <v>#VALUE!</v>
      </c>
    </row>
    <row r="8853" spans="1:9" ht="15.75" customHeight="1">
      <c r="A8853" s="26"/>
      <c r="B8853" s="2"/>
      <c r="C8853" s="26"/>
      <c r="D8853" s="26"/>
      <c r="F8853" s="85" t="str">
        <f t="shared" si="0"/>
        <v/>
      </c>
      <c r="G8853" s="1" t="e">
        <f>IF(VALUE(F8853) = VALUE(RIGHT(Insights!$C$3, 4)), E8853, "")</f>
        <v>#VALUE!</v>
      </c>
      <c r="H8853" s="26" t="e">
        <f t="shared" si="1"/>
        <v>#VALUE!</v>
      </c>
      <c r="I8853" s="1" t="e">
        <f t="shared" si="2"/>
        <v>#VALUE!</v>
      </c>
    </row>
    <row r="8854" spans="1:9" ht="15.75" customHeight="1">
      <c r="A8854" s="26"/>
      <c r="B8854" s="2"/>
      <c r="C8854" s="26"/>
      <c r="D8854" s="26"/>
      <c r="F8854" s="85" t="str">
        <f t="shared" si="0"/>
        <v/>
      </c>
      <c r="G8854" s="1" t="e">
        <f>IF(VALUE(F8854) = VALUE(RIGHT(Insights!$C$3, 4)), E8854, "")</f>
        <v>#VALUE!</v>
      </c>
      <c r="H8854" s="26" t="e">
        <f t="shared" si="1"/>
        <v>#VALUE!</v>
      </c>
      <c r="I8854" s="1" t="e">
        <f t="shared" si="2"/>
        <v>#VALUE!</v>
      </c>
    </row>
    <row r="8855" spans="1:9" ht="15.75" customHeight="1">
      <c r="A8855" s="26"/>
      <c r="B8855" s="2"/>
      <c r="C8855" s="26"/>
      <c r="D8855" s="26"/>
      <c r="F8855" s="85" t="str">
        <f t="shared" si="0"/>
        <v/>
      </c>
      <c r="G8855" s="1" t="e">
        <f>IF(VALUE(F8855) = VALUE(RIGHT(Insights!$C$3, 4)), E8855, "")</f>
        <v>#VALUE!</v>
      </c>
      <c r="H8855" s="26" t="e">
        <f t="shared" si="1"/>
        <v>#VALUE!</v>
      </c>
      <c r="I8855" s="1" t="e">
        <f t="shared" si="2"/>
        <v>#VALUE!</v>
      </c>
    </row>
    <row r="8856" spans="1:9" ht="15.75" customHeight="1">
      <c r="A8856" s="26"/>
      <c r="B8856" s="2"/>
      <c r="C8856" s="26"/>
      <c r="D8856" s="26"/>
      <c r="F8856" s="85" t="str">
        <f t="shared" si="0"/>
        <v/>
      </c>
      <c r="G8856" s="1" t="e">
        <f>IF(VALUE(F8856) = VALUE(RIGHT(Insights!$C$3, 4)), E8856, "")</f>
        <v>#VALUE!</v>
      </c>
      <c r="H8856" s="26" t="e">
        <f t="shared" si="1"/>
        <v>#VALUE!</v>
      </c>
      <c r="I8856" s="1" t="e">
        <f t="shared" si="2"/>
        <v>#VALUE!</v>
      </c>
    </row>
    <row r="8857" spans="1:9" ht="15.75" customHeight="1">
      <c r="A8857" s="26"/>
      <c r="B8857" s="2"/>
      <c r="C8857" s="26"/>
      <c r="D8857" s="26"/>
      <c r="F8857" s="85" t="str">
        <f t="shared" si="0"/>
        <v/>
      </c>
      <c r="G8857" s="1" t="e">
        <f>IF(VALUE(F8857) = VALUE(RIGHT(Insights!$C$3, 4)), E8857, "")</f>
        <v>#VALUE!</v>
      </c>
      <c r="H8857" s="26" t="e">
        <f t="shared" si="1"/>
        <v>#VALUE!</v>
      </c>
      <c r="I8857" s="1" t="e">
        <f t="shared" si="2"/>
        <v>#VALUE!</v>
      </c>
    </row>
    <row r="8858" spans="1:9" ht="15.75" customHeight="1">
      <c r="A8858" s="26"/>
      <c r="B8858" s="2"/>
      <c r="C8858" s="26"/>
      <c r="D8858" s="26"/>
      <c r="F8858" s="85" t="str">
        <f t="shared" si="0"/>
        <v/>
      </c>
      <c r="G8858" s="1" t="e">
        <f>IF(VALUE(F8858) = VALUE(RIGHT(Insights!$C$3, 4)), E8858, "")</f>
        <v>#VALUE!</v>
      </c>
      <c r="H8858" s="26" t="e">
        <f t="shared" si="1"/>
        <v>#VALUE!</v>
      </c>
      <c r="I8858" s="1" t="e">
        <f t="shared" si="2"/>
        <v>#VALUE!</v>
      </c>
    </row>
    <row r="8859" spans="1:9" ht="15.75" customHeight="1">
      <c r="A8859" s="26"/>
      <c r="B8859" s="2"/>
      <c r="C8859" s="26"/>
      <c r="D8859" s="26"/>
      <c r="F8859" s="85" t="str">
        <f t="shared" si="0"/>
        <v/>
      </c>
      <c r="G8859" s="1" t="e">
        <f>IF(VALUE(F8859) = VALUE(RIGHT(Insights!$C$3, 4)), E8859, "")</f>
        <v>#VALUE!</v>
      </c>
      <c r="H8859" s="26" t="e">
        <f t="shared" si="1"/>
        <v>#VALUE!</v>
      </c>
      <c r="I8859" s="1" t="e">
        <f t="shared" si="2"/>
        <v>#VALUE!</v>
      </c>
    </row>
    <row r="8860" spans="1:9" ht="15.75" customHeight="1">
      <c r="A8860" s="26"/>
      <c r="B8860" s="2"/>
      <c r="C8860" s="26"/>
      <c r="D8860" s="26"/>
      <c r="F8860" s="85" t="str">
        <f t="shared" si="0"/>
        <v/>
      </c>
      <c r="G8860" s="1" t="e">
        <f>IF(VALUE(F8860) = VALUE(RIGHT(Insights!$C$3, 4)), E8860, "")</f>
        <v>#VALUE!</v>
      </c>
      <c r="H8860" s="26" t="e">
        <f t="shared" si="1"/>
        <v>#VALUE!</v>
      </c>
      <c r="I8860" s="1" t="e">
        <f t="shared" si="2"/>
        <v>#VALUE!</v>
      </c>
    </row>
    <row r="8861" spans="1:9" ht="15.75" customHeight="1">
      <c r="A8861" s="26"/>
      <c r="B8861" s="2"/>
      <c r="C8861" s="26"/>
      <c r="D8861" s="26"/>
      <c r="F8861" s="85" t="str">
        <f t="shared" si="0"/>
        <v/>
      </c>
      <c r="G8861" s="1" t="e">
        <f>IF(VALUE(F8861) = VALUE(RIGHT(Insights!$C$3, 4)), E8861, "")</f>
        <v>#VALUE!</v>
      </c>
      <c r="H8861" s="26" t="e">
        <f t="shared" si="1"/>
        <v>#VALUE!</v>
      </c>
      <c r="I8861" s="1" t="e">
        <f t="shared" si="2"/>
        <v>#VALUE!</v>
      </c>
    </row>
    <row r="8862" spans="1:9" ht="15.75" customHeight="1">
      <c r="A8862" s="26"/>
      <c r="B8862" s="2"/>
      <c r="C8862" s="26"/>
      <c r="D8862" s="26"/>
      <c r="F8862" s="85" t="str">
        <f t="shared" si="0"/>
        <v/>
      </c>
      <c r="G8862" s="1" t="e">
        <f>IF(VALUE(F8862) = VALUE(RIGHT(Insights!$C$3, 4)), E8862, "")</f>
        <v>#VALUE!</v>
      </c>
      <c r="H8862" s="26" t="e">
        <f t="shared" si="1"/>
        <v>#VALUE!</v>
      </c>
      <c r="I8862" s="1" t="e">
        <f t="shared" si="2"/>
        <v>#VALUE!</v>
      </c>
    </row>
    <row r="8863" spans="1:9" ht="15.75" customHeight="1">
      <c r="A8863" s="26"/>
      <c r="B8863" s="2"/>
      <c r="C8863" s="26"/>
      <c r="D8863" s="26"/>
      <c r="F8863" s="85" t="str">
        <f t="shared" si="0"/>
        <v/>
      </c>
      <c r="G8863" s="1" t="e">
        <f>IF(VALUE(F8863) = VALUE(RIGHT(Insights!$C$3, 4)), E8863, "")</f>
        <v>#VALUE!</v>
      </c>
      <c r="H8863" s="26" t="e">
        <f t="shared" si="1"/>
        <v>#VALUE!</v>
      </c>
      <c r="I8863" s="1" t="e">
        <f t="shared" si="2"/>
        <v>#VALUE!</v>
      </c>
    </row>
    <row r="8864" spans="1:9" ht="15.75" customHeight="1">
      <c r="A8864" s="26"/>
      <c r="B8864" s="2"/>
      <c r="C8864" s="26"/>
      <c r="D8864" s="26"/>
      <c r="F8864" s="85" t="str">
        <f t="shared" si="0"/>
        <v/>
      </c>
      <c r="G8864" s="1" t="e">
        <f>IF(VALUE(F8864) = VALUE(RIGHT(Insights!$C$3, 4)), E8864, "")</f>
        <v>#VALUE!</v>
      </c>
      <c r="H8864" s="26" t="e">
        <f t="shared" si="1"/>
        <v>#VALUE!</v>
      </c>
      <c r="I8864" s="1" t="e">
        <f t="shared" si="2"/>
        <v>#VALUE!</v>
      </c>
    </row>
    <row r="8865" spans="1:9" ht="15.75" customHeight="1">
      <c r="A8865" s="26"/>
      <c r="B8865" s="2"/>
      <c r="C8865" s="26"/>
      <c r="D8865" s="26"/>
      <c r="F8865" s="85" t="str">
        <f t="shared" si="0"/>
        <v/>
      </c>
      <c r="G8865" s="1" t="e">
        <f>IF(VALUE(F8865) = VALUE(RIGHT(Insights!$C$3, 4)), E8865, "")</f>
        <v>#VALUE!</v>
      </c>
      <c r="H8865" s="26" t="e">
        <f t="shared" si="1"/>
        <v>#VALUE!</v>
      </c>
      <c r="I8865" s="1" t="e">
        <f t="shared" si="2"/>
        <v>#VALUE!</v>
      </c>
    </row>
    <row r="8866" spans="1:9" ht="15.75" customHeight="1">
      <c r="A8866" s="26"/>
      <c r="B8866" s="2"/>
      <c r="C8866" s="26"/>
      <c r="D8866" s="26"/>
      <c r="F8866" s="85" t="str">
        <f t="shared" si="0"/>
        <v/>
      </c>
      <c r="G8866" s="1" t="e">
        <f>IF(VALUE(F8866) = VALUE(RIGHT(Insights!$C$3, 4)), E8866, "")</f>
        <v>#VALUE!</v>
      </c>
      <c r="H8866" s="26" t="e">
        <f t="shared" si="1"/>
        <v>#VALUE!</v>
      </c>
      <c r="I8866" s="1" t="e">
        <f t="shared" si="2"/>
        <v>#VALUE!</v>
      </c>
    </row>
    <row r="8867" spans="1:9" ht="15.75" customHeight="1">
      <c r="A8867" s="26"/>
      <c r="B8867" s="2"/>
      <c r="C8867" s="26"/>
      <c r="D8867" s="26"/>
      <c r="F8867" s="85" t="str">
        <f t="shared" si="0"/>
        <v/>
      </c>
      <c r="G8867" s="1" t="e">
        <f>IF(VALUE(F8867) = VALUE(RIGHT(Insights!$C$3, 4)), E8867, "")</f>
        <v>#VALUE!</v>
      </c>
      <c r="H8867" s="26" t="e">
        <f t="shared" si="1"/>
        <v>#VALUE!</v>
      </c>
      <c r="I8867" s="1" t="e">
        <f t="shared" si="2"/>
        <v>#VALUE!</v>
      </c>
    </row>
    <row r="8868" spans="1:9" ht="15.75" customHeight="1">
      <c r="A8868" s="26"/>
      <c r="B8868" s="2"/>
      <c r="C8868" s="26"/>
      <c r="D8868" s="26"/>
      <c r="F8868" s="85" t="str">
        <f t="shared" si="0"/>
        <v/>
      </c>
      <c r="G8868" s="1" t="e">
        <f>IF(VALUE(F8868) = VALUE(RIGHT(Insights!$C$3, 4)), E8868, "")</f>
        <v>#VALUE!</v>
      </c>
      <c r="H8868" s="26" t="e">
        <f t="shared" si="1"/>
        <v>#VALUE!</v>
      </c>
      <c r="I8868" s="1" t="e">
        <f t="shared" si="2"/>
        <v>#VALUE!</v>
      </c>
    </row>
    <row r="8869" spans="1:9" ht="15.75" customHeight="1">
      <c r="A8869" s="26"/>
      <c r="B8869" s="2"/>
      <c r="C8869" s="26"/>
      <c r="D8869" s="26"/>
      <c r="F8869" s="85" t="str">
        <f t="shared" si="0"/>
        <v/>
      </c>
      <c r="G8869" s="1" t="e">
        <f>IF(VALUE(F8869) = VALUE(RIGHT(Insights!$C$3, 4)), E8869, "")</f>
        <v>#VALUE!</v>
      </c>
      <c r="H8869" s="26" t="e">
        <f t="shared" si="1"/>
        <v>#VALUE!</v>
      </c>
      <c r="I8869" s="1" t="e">
        <f t="shared" si="2"/>
        <v>#VALUE!</v>
      </c>
    </row>
    <row r="8870" spans="1:9" ht="15.75" customHeight="1">
      <c r="A8870" s="26"/>
      <c r="B8870" s="2"/>
      <c r="C8870" s="26"/>
      <c r="D8870" s="26"/>
      <c r="F8870" s="85" t="str">
        <f t="shared" si="0"/>
        <v/>
      </c>
      <c r="G8870" s="1" t="e">
        <f>IF(VALUE(F8870) = VALUE(RIGHT(Insights!$C$3, 4)), E8870, "")</f>
        <v>#VALUE!</v>
      </c>
      <c r="H8870" s="26" t="e">
        <f t="shared" si="1"/>
        <v>#VALUE!</v>
      </c>
      <c r="I8870" s="1" t="e">
        <f t="shared" si="2"/>
        <v>#VALUE!</v>
      </c>
    </row>
    <row r="8871" spans="1:9" ht="15.75" customHeight="1">
      <c r="A8871" s="26"/>
      <c r="B8871" s="2"/>
      <c r="C8871" s="26"/>
      <c r="D8871" s="26"/>
      <c r="F8871" s="85" t="str">
        <f t="shared" si="0"/>
        <v/>
      </c>
      <c r="G8871" s="1" t="e">
        <f>IF(VALUE(F8871) = VALUE(RIGHT(Insights!$C$3, 4)), E8871, "")</f>
        <v>#VALUE!</v>
      </c>
      <c r="H8871" s="26" t="e">
        <f t="shared" si="1"/>
        <v>#VALUE!</v>
      </c>
      <c r="I8871" s="1" t="e">
        <f t="shared" si="2"/>
        <v>#VALUE!</v>
      </c>
    </row>
    <row r="8872" spans="1:9" ht="15.75" customHeight="1">
      <c r="A8872" s="26"/>
      <c r="B8872" s="2"/>
      <c r="C8872" s="26"/>
      <c r="D8872" s="26"/>
      <c r="F8872" s="85" t="str">
        <f t="shared" si="0"/>
        <v/>
      </c>
      <c r="G8872" s="1" t="e">
        <f>IF(VALUE(F8872) = VALUE(RIGHT(Insights!$C$3, 4)), E8872, "")</f>
        <v>#VALUE!</v>
      </c>
      <c r="H8872" s="26" t="e">
        <f t="shared" si="1"/>
        <v>#VALUE!</v>
      </c>
      <c r="I8872" s="1" t="e">
        <f t="shared" si="2"/>
        <v>#VALUE!</v>
      </c>
    </row>
    <row r="8873" spans="1:9" ht="15.75" customHeight="1">
      <c r="A8873" s="26"/>
      <c r="B8873" s="2"/>
      <c r="C8873" s="26"/>
      <c r="D8873" s="26"/>
      <c r="F8873" s="85" t="str">
        <f t="shared" si="0"/>
        <v/>
      </c>
      <c r="G8873" s="1" t="e">
        <f>IF(VALUE(F8873) = VALUE(RIGHT(Insights!$C$3, 4)), E8873, "")</f>
        <v>#VALUE!</v>
      </c>
      <c r="H8873" s="26" t="e">
        <f t="shared" si="1"/>
        <v>#VALUE!</v>
      </c>
      <c r="I8873" s="1" t="e">
        <f t="shared" si="2"/>
        <v>#VALUE!</v>
      </c>
    </row>
    <row r="8874" spans="1:9" ht="15.75" customHeight="1">
      <c r="A8874" s="26"/>
      <c r="B8874" s="2"/>
      <c r="C8874" s="26"/>
      <c r="D8874" s="26"/>
      <c r="F8874" s="85" t="str">
        <f t="shared" si="0"/>
        <v/>
      </c>
      <c r="G8874" s="1" t="e">
        <f>IF(VALUE(F8874) = VALUE(RIGHT(Insights!$C$3, 4)), E8874, "")</f>
        <v>#VALUE!</v>
      </c>
      <c r="H8874" s="26" t="e">
        <f t="shared" si="1"/>
        <v>#VALUE!</v>
      </c>
      <c r="I8874" s="1" t="e">
        <f t="shared" si="2"/>
        <v>#VALUE!</v>
      </c>
    </row>
    <row r="8875" spans="1:9" ht="15.75" customHeight="1">
      <c r="A8875" s="26"/>
      <c r="B8875" s="2"/>
      <c r="C8875" s="26"/>
      <c r="D8875" s="26"/>
      <c r="F8875" s="85" t="str">
        <f t="shared" si="0"/>
        <v/>
      </c>
      <c r="G8875" s="1" t="e">
        <f>IF(VALUE(F8875) = VALUE(RIGHT(Insights!$C$3, 4)), E8875, "")</f>
        <v>#VALUE!</v>
      </c>
      <c r="H8875" s="26" t="e">
        <f t="shared" si="1"/>
        <v>#VALUE!</v>
      </c>
      <c r="I8875" s="1" t="e">
        <f t="shared" si="2"/>
        <v>#VALUE!</v>
      </c>
    </row>
    <row r="8876" spans="1:9" ht="15.75" customHeight="1">
      <c r="A8876" s="26"/>
      <c r="B8876" s="2"/>
      <c r="C8876" s="26"/>
      <c r="D8876" s="26"/>
      <c r="F8876" s="85" t="str">
        <f t="shared" si="0"/>
        <v/>
      </c>
      <c r="G8876" s="1" t="e">
        <f>IF(VALUE(F8876) = VALUE(RIGHT(Insights!$C$3, 4)), E8876, "")</f>
        <v>#VALUE!</v>
      </c>
      <c r="H8876" s="26" t="e">
        <f t="shared" si="1"/>
        <v>#VALUE!</v>
      </c>
      <c r="I8876" s="1" t="e">
        <f t="shared" si="2"/>
        <v>#VALUE!</v>
      </c>
    </row>
    <row r="8877" spans="1:9" ht="15.75" customHeight="1">
      <c r="A8877" s="26"/>
      <c r="B8877" s="2"/>
      <c r="C8877" s="26"/>
      <c r="D8877" s="26"/>
      <c r="F8877" s="85" t="str">
        <f t="shared" si="0"/>
        <v/>
      </c>
      <c r="G8877" s="1" t="e">
        <f>IF(VALUE(F8877) = VALUE(RIGHT(Insights!$C$3, 4)), E8877, "")</f>
        <v>#VALUE!</v>
      </c>
      <c r="H8877" s="26" t="e">
        <f t="shared" si="1"/>
        <v>#VALUE!</v>
      </c>
      <c r="I8877" s="1" t="e">
        <f t="shared" si="2"/>
        <v>#VALUE!</v>
      </c>
    </row>
    <row r="8878" spans="1:9" ht="15.75" customHeight="1">
      <c r="A8878" s="26"/>
      <c r="B8878" s="2"/>
      <c r="C8878" s="26"/>
      <c r="D8878" s="26"/>
      <c r="F8878" s="85" t="str">
        <f t="shared" si="0"/>
        <v/>
      </c>
      <c r="G8878" s="1" t="e">
        <f>IF(VALUE(F8878) = VALUE(RIGHT(Insights!$C$3, 4)), E8878, "")</f>
        <v>#VALUE!</v>
      </c>
      <c r="H8878" s="26" t="e">
        <f t="shared" si="1"/>
        <v>#VALUE!</v>
      </c>
      <c r="I8878" s="1" t="e">
        <f t="shared" si="2"/>
        <v>#VALUE!</v>
      </c>
    </row>
    <row r="8879" spans="1:9" ht="15.75" customHeight="1">
      <c r="A8879" s="26"/>
      <c r="B8879" s="2"/>
      <c r="C8879" s="26"/>
      <c r="D8879" s="26"/>
      <c r="F8879" s="85" t="str">
        <f t="shared" si="0"/>
        <v/>
      </c>
      <c r="G8879" s="1" t="e">
        <f>IF(VALUE(F8879) = VALUE(RIGHT(Insights!$C$3, 4)), E8879, "")</f>
        <v>#VALUE!</v>
      </c>
      <c r="H8879" s="26" t="e">
        <f t="shared" si="1"/>
        <v>#VALUE!</v>
      </c>
      <c r="I8879" s="1" t="e">
        <f t="shared" si="2"/>
        <v>#VALUE!</v>
      </c>
    </row>
    <row r="8880" spans="1:9" ht="15.75" customHeight="1">
      <c r="A8880" s="26"/>
      <c r="B8880" s="2"/>
      <c r="C8880" s="26"/>
      <c r="D8880" s="26"/>
      <c r="F8880" s="85" t="str">
        <f t="shared" si="0"/>
        <v/>
      </c>
      <c r="G8880" s="1" t="e">
        <f>IF(VALUE(F8880) = VALUE(RIGHT(Insights!$C$3, 4)), E8880, "")</f>
        <v>#VALUE!</v>
      </c>
      <c r="H8880" s="26" t="e">
        <f t="shared" si="1"/>
        <v>#VALUE!</v>
      </c>
      <c r="I8880" s="1" t="e">
        <f t="shared" si="2"/>
        <v>#VALUE!</v>
      </c>
    </row>
    <row r="8881" spans="1:9" ht="15.75" customHeight="1">
      <c r="A8881" s="26"/>
      <c r="B8881" s="2"/>
      <c r="C8881" s="26"/>
      <c r="D8881" s="26"/>
      <c r="F8881" s="85" t="str">
        <f t="shared" si="0"/>
        <v/>
      </c>
      <c r="G8881" s="1" t="e">
        <f>IF(VALUE(F8881) = VALUE(RIGHT(Insights!$C$3, 4)), E8881, "")</f>
        <v>#VALUE!</v>
      </c>
      <c r="H8881" s="26" t="e">
        <f t="shared" si="1"/>
        <v>#VALUE!</v>
      </c>
      <c r="I8881" s="1" t="e">
        <f t="shared" si="2"/>
        <v>#VALUE!</v>
      </c>
    </row>
    <row r="8882" spans="1:9" ht="15.75" customHeight="1">
      <c r="A8882" s="26"/>
      <c r="B8882" s="2"/>
      <c r="C8882" s="26"/>
      <c r="D8882" s="26"/>
      <c r="F8882" s="85" t="str">
        <f t="shared" si="0"/>
        <v/>
      </c>
      <c r="G8882" s="1" t="e">
        <f>IF(VALUE(F8882) = VALUE(RIGHT(Insights!$C$3, 4)), E8882, "")</f>
        <v>#VALUE!</v>
      </c>
      <c r="H8882" s="26" t="e">
        <f t="shared" si="1"/>
        <v>#VALUE!</v>
      </c>
      <c r="I8882" s="1" t="e">
        <f t="shared" si="2"/>
        <v>#VALUE!</v>
      </c>
    </row>
    <row r="8883" spans="1:9" ht="15.75" customHeight="1">
      <c r="A8883" s="26"/>
      <c r="B8883" s="2"/>
      <c r="C8883" s="26"/>
      <c r="D8883" s="26"/>
      <c r="F8883" s="85" t="str">
        <f t="shared" si="0"/>
        <v/>
      </c>
      <c r="G8883" s="1" t="e">
        <f>IF(VALUE(F8883) = VALUE(RIGHT(Insights!$C$3, 4)), E8883, "")</f>
        <v>#VALUE!</v>
      </c>
      <c r="H8883" s="26" t="e">
        <f t="shared" si="1"/>
        <v>#VALUE!</v>
      </c>
      <c r="I8883" s="1" t="e">
        <f t="shared" si="2"/>
        <v>#VALUE!</v>
      </c>
    </row>
    <row r="8884" spans="1:9" ht="15.75" customHeight="1">
      <c r="A8884" s="26"/>
      <c r="B8884" s="2"/>
      <c r="C8884" s="26"/>
      <c r="D8884" s="26"/>
      <c r="F8884" s="85" t="str">
        <f t="shared" si="0"/>
        <v/>
      </c>
      <c r="G8884" s="1" t="e">
        <f>IF(VALUE(F8884) = VALUE(RIGHT(Insights!$C$3, 4)), E8884, "")</f>
        <v>#VALUE!</v>
      </c>
      <c r="H8884" s="26" t="e">
        <f t="shared" si="1"/>
        <v>#VALUE!</v>
      </c>
      <c r="I8884" s="1" t="e">
        <f t="shared" si="2"/>
        <v>#VALUE!</v>
      </c>
    </row>
    <row r="8885" spans="1:9" ht="15.75" customHeight="1">
      <c r="A8885" s="26"/>
      <c r="B8885" s="2"/>
      <c r="C8885" s="26"/>
      <c r="D8885" s="26"/>
      <c r="F8885" s="85" t="str">
        <f t="shared" si="0"/>
        <v/>
      </c>
      <c r="G8885" s="1" t="e">
        <f>IF(VALUE(F8885) = VALUE(RIGHT(Insights!$C$3, 4)), E8885, "")</f>
        <v>#VALUE!</v>
      </c>
      <c r="H8885" s="26" t="e">
        <f t="shared" si="1"/>
        <v>#VALUE!</v>
      </c>
      <c r="I8885" s="1" t="e">
        <f t="shared" si="2"/>
        <v>#VALUE!</v>
      </c>
    </row>
    <row r="8886" spans="1:9" ht="15.75" customHeight="1">
      <c r="A8886" s="26"/>
      <c r="B8886" s="2"/>
      <c r="C8886" s="26"/>
      <c r="D8886" s="26"/>
      <c r="F8886" s="85" t="str">
        <f t="shared" si="0"/>
        <v/>
      </c>
      <c r="G8886" s="1" t="e">
        <f>IF(VALUE(F8886) = VALUE(RIGHT(Insights!$C$3, 4)), E8886, "")</f>
        <v>#VALUE!</v>
      </c>
      <c r="H8886" s="26" t="e">
        <f t="shared" si="1"/>
        <v>#VALUE!</v>
      </c>
      <c r="I8886" s="1" t="e">
        <f t="shared" si="2"/>
        <v>#VALUE!</v>
      </c>
    </row>
    <row r="8887" spans="1:9" ht="15.75" customHeight="1">
      <c r="A8887" s="26"/>
      <c r="B8887" s="2"/>
      <c r="C8887" s="26"/>
      <c r="D8887" s="26"/>
      <c r="F8887" s="85" t="str">
        <f t="shared" si="0"/>
        <v/>
      </c>
      <c r="G8887" s="1" t="e">
        <f>IF(VALUE(F8887) = VALUE(RIGHT(Insights!$C$3, 4)), E8887, "")</f>
        <v>#VALUE!</v>
      </c>
      <c r="H8887" s="26" t="e">
        <f t="shared" si="1"/>
        <v>#VALUE!</v>
      </c>
      <c r="I8887" s="1" t="e">
        <f t="shared" si="2"/>
        <v>#VALUE!</v>
      </c>
    </row>
    <row r="8888" spans="1:9" ht="15.75" customHeight="1">
      <c r="A8888" s="26"/>
      <c r="B8888" s="2"/>
      <c r="C8888" s="26"/>
      <c r="D8888" s="26"/>
      <c r="F8888" s="85" t="str">
        <f t="shared" si="0"/>
        <v/>
      </c>
      <c r="G8888" s="1" t="e">
        <f>IF(VALUE(F8888) = VALUE(RIGHT(Insights!$C$3, 4)), E8888, "")</f>
        <v>#VALUE!</v>
      </c>
      <c r="H8888" s="26" t="e">
        <f t="shared" si="1"/>
        <v>#VALUE!</v>
      </c>
      <c r="I8888" s="1" t="e">
        <f t="shared" si="2"/>
        <v>#VALUE!</v>
      </c>
    </row>
    <row r="8889" spans="1:9" ht="15.75" customHeight="1">
      <c r="A8889" s="26"/>
      <c r="B8889" s="2"/>
      <c r="C8889" s="26"/>
      <c r="D8889" s="26"/>
      <c r="F8889" s="85" t="str">
        <f t="shared" si="0"/>
        <v/>
      </c>
      <c r="G8889" s="1" t="e">
        <f>IF(VALUE(F8889) = VALUE(RIGHT(Insights!$C$3, 4)), E8889, "")</f>
        <v>#VALUE!</v>
      </c>
      <c r="H8889" s="26" t="e">
        <f t="shared" si="1"/>
        <v>#VALUE!</v>
      </c>
      <c r="I8889" s="1" t="e">
        <f t="shared" si="2"/>
        <v>#VALUE!</v>
      </c>
    </row>
    <row r="8890" spans="1:9" ht="15.75" customHeight="1">
      <c r="A8890" s="26"/>
      <c r="B8890" s="2"/>
      <c r="C8890" s="26"/>
      <c r="D8890" s="26"/>
      <c r="F8890" s="85" t="str">
        <f t="shared" si="0"/>
        <v/>
      </c>
      <c r="G8890" s="1" t="e">
        <f>IF(VALUE(F8890) = VALUE(RIGHT(Insights!$C$3, 4)), E8890, "")</f>
        <v>#VALUE!</v>
      </c>
      <c r="H8890" s="26" t="e">
        <f t="shared" si="1"/>
        <v>#VALUE!</v>
      </c>
      <c r="I8890" s="1" t="e">
        <f t="shared" si="2"/>
        <v>#VALUE!</v>
      </c>
    </row>
    <row r="8891" spans="1:9" ht="15.75" customHeight="1">
      <c r="A8891" s="26"/>
      <c r="B8891" s="2"/>
      <c r="C8891" s="26"/>
      <c r="D8891" s="26"/>
      <c r="F8891" s="85" t="str">
        <f t="shared" si="0"/>
        <v/>
      </c>
      <c r="G8891" s="1" t="e">
        <f>IF(VALUE(F8891) = VALUE(RIGHT(Insights!$C$3, 4)), E8891, "")</f>
        <v>#VALUE!</v>
      </c>
      <c r="H8891" s="26" t="e">
        <f t="shared" si="1"/>
        <v>#VALUE!</v>
      </c>
      <c r="I8891" s="1" t="e">
        <f t="shared" si="2"/>
        <v>#VALUE!</v>
      </c>
    </row>
    <row r="8892" spans="1:9" ht="15.75" customHeight="1">
      <c r="A8892" s="26"/>
      <c r="B8892" s="2"/>
      <c r="C8892" s="26"/>
      <c r="D8892" s="26"/>
      <c r="F8892" s="85" t="str">
        <f t="shared" si="0"/>
        <v/>
      </c>
      <c r="G8892" s="1" t="e">
        <f>IF(VALUE(F8892) = VALUE(RIGHT(Insights!$C$3, 4)), E8892, "")</f>
        <v>#VALUE!</v>
      </c>
      <c r="H8892" s="26" t="e">
        <f t="shared" si="1"/>
        <v>#VALUE!</v>
      </c>
      <c r="I8892" s="1" t="e">
        <f t="shared" si="2"/>
        <v>#VALUE!</v>
      </c>
    </row>
    <row r="8893" spans="1:9" ht="15.75" customHeight="1">
      <c r="A8893" s="26"/>
      <c r="B8893" s="2"/>
      <c r="C8893" s="26"/>
      <c r="D8893" s="26"/>
      <c r="F8893" s="85" t="str">
        <f t="shared" si="0"/>
        <v/>
      </c>
      <c r="G8893" s="1" t="e">
        <f>IF(VALUE(F8893) = VALUE(RIGHT(Insights!$C$3, 4)), E8893, "")</f>
        <v>#VALUE!</v>
      </c>
      <c r="H8893" s="26" t="e">
        <f t="shared" si="1"/>
        <v>#VALUE!</v>
      </c>
      <c r="I8893" s="1" t="e">
        <f t="shared" si="2"/>
        <v>#VALUE!</v>
      </c>
    </row>
    <row r="8894" spans="1:9" ht="15.75" customHeight="1">
      <c r="A8894" s="26"/>
      <c r="B8894" s="2"/>
      <c r="C8894" s="26"/>
      <c r="D8894" s="26"/>
      <c r="F8894" s="85" t="str">
        <f t="shared" si="0"/>
        <v/>
      </c>
      <c r="G8894" s="1" t="e">
        <f>IF(VALUE(F8894) = VALUE(RIGHT(Insights!$C$3, 4)), E8894, "")</f>
        <v>#VALUE!</v>
      </c>
      <c r="H8894" s="26" t="e">
        <f t="shared" si="1"/>
        <v>#VALUE!</v>
      </c>
      <c r="I8894" s="1" t="e">
        <f t="shared" si="2"/>
        <v>#VALUE!</v>
      </c>
    </row>
    <row r="8895" spans="1:9" ht="15.75" customHeight="1">
      <c r="A8895" s="26"/>
      <c r="B8895" s="2"/>
      <c r="C8895" s="26"/>
      <c r="D8895" s="26"/>
      <c r="F8895" s="85" t="str">
        <f t="shared" si="0"/>
        <v/>
      </c>
      <c r="G8895" s="1" t="e">
        <f>IF(VALUE(F8895) = VALUE(RIGHT(Insights!$C$3, 4)), E8895, "")</f>
        <v>#VALUE!</v>
      </c>
      <c r="H8895" s="26" t="e">
        <f t="shared" si="1"/>
        <v>#VALUE!</v>
      </c>
      <c r="I8895" s="1" t="e">
        <f t="shared" si="2"/>
        <v>#VALUE!</v>
      </c>
    </row>
    <row r="8896" spans="1:9" ht="15.75" customHeight="1">
      <c r="A8896" s="26"/>
      <c r="B8896" s="2"/>
      <c r="C8896" s="26"/>
      <c r="D8896" s="26"/>
      <c r="F8896" s="85" t="str">
        <f t="shared" si="0"/>
        <v/>
      </c>
      <c r="G8896" s="1" t="e">
        <f>IF(VALUE(F8896) = VALUE(RIGHT(Insights!$C$3, 4)), E8896, "")</f>
        <v>#VALUE!</v>
      </c>
      <c r="H8896" s="26" t="e">
        <f t="shared" si="1"/>
        <v>#VALUE!</v>
      </c>
      <c r="I8896" s="1" t="e">
        <f t="shared" si="2"/>
        <v>#VALUE!</v>
      </c>
    </row>
    <row r="8897" spans="1:9" ht="15.75" customHeight="1">
      <c r="A8897" s="26"/>
      <c r="B8897" s="2"/>
      <c r="C8897" s="26"/>
      <c r="D8897" s="26"/>
      <c r="F8897" s="85" t="str">
        <f t="shared" si="0"/>
        <v/>
      </c>
      <c r="G8897" s="1" t="e">
        <f>IF(VALUE(F8897) = VALUE(RIGHT(Insights!$C$3, 4)), E8897, "")</f>
        <v>#VALUE!</v>
      </c>
      <c r="H8897" s="26" t="e">
        <f t="shared" si="1"/>
        <v>#VALUE!</v>
      </c>
      <c r="I8897" s="1" t="e">
        <f t="shared" si="2"/>
        <v>#VALUE!</v>
      </c>
    </row>
    <row r="8898" spans="1:9" ht="15.75" customHeight="1">
      <c r="A8898" s="26"/>
      <c r="B8898" s="2"/>
      <c r="C8898" s="26"/>
      <c r="D8898" s="26"/>
      <c r="F8898" s="85" t="str">
        <f t="shared" si="0"/>
        <v/>
      </c>
      <c r="G8898" s="1" t="e">
        <f>IF(VALUE(F8898) = VALUE(RIGHT(Insights!$C$3, 4)), E8898, "")</f>
        <v>#VALUE!</v>
      </c>
      <c r="H8898" s="26" t="e">
        <f t="shared" si="1"/>
        <v>#VALUE!</v>
      </c>
      <c r="I8898" s="1" t="e">
        <f t="shared" si="2"/>
        <v>#VALUE!</v>
      </c>
    </row>
    <row r="8899" spans="1:9" ht="15.75" customHeight="1">
      <c r="A8899" s="26"/>
      <c r="B8899" s="2"/>
      <c r="C8899" s="26"/>
      <c r="D8899" s="26"/>
      <c r="F8899" s="85" t="str">
        <f t="shared" si="0"/>
        <v/>
      </c>
      <c r="G8899" s="1" t="e">
        <f>IF(VALUE(F8899) = VALUE(RIGHT(Insights!$C$3, 4)), E8899, "")</f>
        <v>#VALUE!</v>
      </c>
      <c r="H8899" s="26" t="e">
        <f t="shared" si="1"/>
        <v>#VALUE!</v>
      </c>
      <c r="I8899" s="1" t="e">
        <f t="shared" si="2"/>
        <v>#VALUE!</v>
      </c>
    </row>
    <row r="8900" spans="1:9" ht="15.75" customHeight="1">
      <c r="A8900" s="26"/>
      <c r="B8900" s="2"/>
      <c r="C8900" s="26"/>
      <c r="D8900" s="26"/>
      <c r="F8900" s="85" t="str">
        <f t="shared" si="0"/>
        <v/>
      </c>
      <c r="G8900" s="1" t="e">
        <f>IF(VALUE(F8900) = VALUE(RIGHT(Insights!$C$3, 4)), E8900, "")</f>
        <v>#VALUE!</v>
      </c>
      <c r="H8900" s="26" t="e">
        <f t="shared" si="1"/>
        <v>#VALUE!</v>
      </c>
      <c r="I8900" s="1" t="e">
        <f t="shared" si="2"/>
        <v>#VALUE!</v>
      </c>
    </row>
    <row r="8901" spans="1:9" ht="15.75" customHeight="1">
      <c r="A8901" s="26"/>
      <c r="B8901" s="2"/>
      <c r="C8901" s="26"/>
      <c r="D8901" s="26"/>
      <c r="F8901" s="85" t="str">
        <f t="shared" si="0"/>
        <v/>
      </c>
      <c r="G8901" s="1" t="e">
        <f>IF(VALUE(F8901) = VALUE(RIGHT(Insights!$C$3, 4)), E8901, "")</f>
        <v>#VALUE!</v>
      </c>
      <c r="H8901" s="26" t="e">
        <f t="shared" si="1"/>
        <v>#VALUE!</v>
      </c>
      <c r="I8901" s="1" t="e">
        <f t="shared" si="2"/>
        <v>#VALUE!</v>
      </c>
    </row>
    <row r="8902" spans="1:9" ht="15.75" customHeight="1">
      <c r="A8902" s="26"/>
      <c r="B8902" s="2"/>
      <c r="C8902" s="26"/>
      <c r="D8902" s="26"/>
      <c r="F8902" s="85" t="str">
        <f t="shared" si="0"/>
        <v/>
      </c>
      <c r="G8902" s="1" t="e">
        <f>IF(VALUE(F8902) = VALUE(RIGHT(Insights!$C$3, 4)), E8902, "")</f>
        <v>#VALUE!</v>
      </c>
      <c r="H8902" s="26" t="e">
        <f t="shared" si="1"/>
        <v>#VALUE!</v>
      </c>
      <c r="I8902" s="1" t="e">
        <f t="shared" si="2"/>
        <v>#VALUE!</v>
      </c>
    </row>
    <row r="8903" spans="1:9" ht="15.75" customHeight="1">
      <c r="A8903" s="26"/>
      <c r="B8903" s="2"/>
      <c r="C8903" s="26"/>
      <c r="D8903" s="26"/>
      <c r="F8903" s="85" t="str">
        <f t="shared" si="0"/>
        <v/>
      </c>
      <c r="G8903" s="1" t="e">
        <f>IF(VALUE(F8903) = VALUE(RIGHT(Insights!$C$3, 4)), E8903, "")</f>
        <v>#VALUE!</v>
      </c>
      <c r="H8903" s="26" t="e">
        <f t="shared" si="1"/>
        <v>#VALUE!</v>
      </c>
      <c r="I8903" s="1" t="e">
        <f t="shared" si="2"/>
        <v>#VALUE!</v>
      </c>
    </row>
    <row r="8904" spans="1:9" ht="15.75" customHeight="1">
      <c r="A8904" s="26"/>
      <c r="B8904" s="2"/>
      <c r="C8904" s="26"/>
      <c r="D8904" s="26"/>
      <c r="F8904" s="85" t="str">
        <f t="shared" si="0"/>
        <v/>
      </c>
      <c r="G8904" s="1" t="e">
        <f>IF(VALUE(F8904) = VALUE(RIGHT(Insights!$C$3, 4)), E8904, "")</f>
        <v>#VALUE!</v>
      </c>
      <c r="H8904" s="26" t="e">
        <f t="shared" si="1"/>
        <v>#VALUE!</v>
      </c>
      <c r="I8904" s="1" t="e">
        <f t="shared" si="2"/>
        <v>#VALUE!</v>
      </c>
    </row>
    <row r="8905" spans="1:9" ht="15.75" customHeight="1">
      <c r="A8905" s="26"/>
      <c r="B8905" s="2"/>
      <c r="C8905" s="26"/>
      <c r="D8905" s="26"/>
      <c r="F8905" s="85" t="str">
        <f t="shared" si="0"/>
        <v/>
      </c>
      <c r="G8905" s="1" t="e">
        <f>IF(VALUE(F8905) = VALUE(RIGHT(Insights!$C$3, 4)), E8905, "")</f>
        <v>#VALUE!</v>
      </c>
      <c r="H8905" s="26" t="e">
        <f t="shared" si="1"/>
        <v>#VALUE!</v>
      </c>
      <c r="I8905" s="1" t="e">
        <f t="shared" si="2"/>
        <v>#VALUE!</v>
      </c>
    </row>
    <row r="8906" spans="1:9" ht="15.75" customHeight="1">
      <c r="A8906" s="26"/>
      <c r="B8906" s="2"/>
      <c r="C8906" s="26"/>
      <c r="D8906" s="26"/>
      <c r="F8906" s="85" t="str">
        <f t="shared" si="0"/>
        <v/>
      </c>
      <c r="G8906" s="1" t="e">
        <f>IF(VALUE(F8906) = VALUE(RIGHT(Insights!$C$3, 4)), E8906, "")</f>
        <v>#VALUE!</v>
      </c>
      <c r="H8906" s="26" t="e">
        <f t="shared" si="1"/>
        <v>#VALUE!</v>
      </c>
      <c r="I8906" s="1" t="e">
        <f t="shared" si="2"/>
        <v>#VALUE!</v>
      </c>
    </row>
    <row r="8907" spans="1:9" ht="15.75" customHeight="1">
      <c r="A8907" s="26"/>
      <c r="B8907" s="2"/>
      <c r="C8907" s="26"/>
      <c r="D8907" s="26"/>
      <c r="F8907" s="85" t="str">
        <f t="shared" si="0"/>
        <v/>
      </c>
      <c r="G8907" s="1" t="e">
        <f>IF(VALUE(F8907) = VALUE(RIGHT(Insights!$C$3, 4)), E8907, "")</f>
        <v>#VALUE!</v>
      </c>
      <c r="H8907" s="26" t="e">
        <f t="shared" si="1"/>
        <v>#VALUE!</v>
      </c>
      <c r="I8907" s="1" t="e">
        <f t="shared" si="2"/>
        <v>#VALUE!</v>
      </c>
    </row>
    <row r="8908" spans="1:9" ht="15.75" customHeight="1">
      <c r="A8908" s="26"/>
      <c r="B8908" s="2"/>
      <c r="C8908" s="26"/>
      <c r="D8908" s="26"/>
      <c r="F8908" s="85" t="str">
        <f t="shared" si="0"/>
        <v/>
      </c>
      <c r="G8908" s="1" t="e">
        <f>IF(VALUE(F8908) = VALUE(RIGHT(Insights!$C$3, 4)), E8908, "")</f>
        <v>#VALUE!</v>
      </c>
      <c r="H8908" s="26" t="e">
        <f t="shared" si="1"/>
        <v>#VALUE!</v>
      </c>
      <c r="I8908" s="1" t="e">
        <f t="shared" si="2"/>
        <v>#VALUE!</v>
      </c>
    </row>
    <row r="8909" spans="1:9" ht="15.75" customHeight="1">
      <c r="A8909" s="26"/>
      <c r="B8909" s="2"/>
      <c r="C8909" s="26"/>
      <c r="D8909" s="26"/>
      <c r="F8909" s="85" t="str">
        <f t="shared" si="0"/>
        <v/>
      </c>
      <c r="G8909" s="1" t="e">
        <f>IF(VALUE(F8909) = VALUE(RIGHT(Insights!$C$3, 4)), E8909, "")</f>
        <v>#VALUE!</v>
      </c>
      <c r="H8909" s="26" t="e">
        <f t="shared" si="1"/>
        <v>#VALUE!</v>
      </c>
      <c r="I8909" s="1" t="e">
        <f t="shared" si="2"/>
        <v>#VALUE!</v>
      </c>
    </row>
    <row r="8910" spans="1:9" ht="15.75" customHeight="1">
      <c r="A8910" s="26"/>
      <c r="B8910" s="2"/>
      <c r="C8910" s="26"/>
      <c r="D8910" s="26"/>
      <c r="F8910" s="85" t="str">
        <f t="shared" si="0"/>
        <v/>
      </c>
      <c r="G8910" s="1" t="e">
        <f>IF(VALUE(F8910) = VALUE(RIGHT(Insights!$C$3, 4)), E8910, "")</f>
        <v>#VALUE!</v>
      </c>
      <c r="H8910" s="26" t="e">
        <f t="shared" si="1"/>
        <v>#VALUE!</v>
      </c>
      <c r="I8910" s="1" t="e">
        <f t="shared" si="2"/>
        <v>#VALUE!</v>
      </c>
    </row>
    <row r="8911" spans="1:9" ht="15.75" customHeight="1">
      <c r="A8911" s="26"/>
      <c r="B8911" s="2"/>
      <c r="C8911" s="26"/>
      <c r="D8911" s="26"/>
      <c r="F8911" s="85" t="str">
        <f t="shared" si="0"/>
        <v/>
      </c>
      <c r="G8911" s="1" t="e">
        <f>IF(VALUE(F8911) = VALUE(RIGHT(Insights!$C$3, 4)), E8911, "")</f>
        <v>#VALUE!</v>
      </c>
      <c r="H8911" s="26" t="e">
        <f t="shared" si="1"/>
        <v>#VALUE!</v>
      </c>
      <c r="I8911" s="1" t="e">
        <f t="shared" si="2"/>
        <v>#VALUE!</v>
      </c>
    </row>
    <row r="8912" spans="1:9" ht="15.75" customHeight="1">
      <c r="A8912" s="26"/>
      <c r="B8912" s="2"/>
      <c r="C8912" s="26"/>
      <c r="D8912" s="26"/>
      <c r="F8912" s="85" t="str">
        <f t="shared" si="0"/>
        <v/>
      </c>
      <c r="G8912" s="1" t="e">
        <f>IF(VALUE(F8912) = VALUE(RIGHT(Insights!$C$3, 4)), E8912, "")</f>
        <v>#VALUE!</v>
      </c>
      <c r="H8912" s="26" t="e">
        <f t="shared" si="1"/>
        <v>#VALUE!</v>
      </c>
      <c r="I8912" s="1" t="e">
        <f t="shared" si="2"/>
        <v>#VALUE!</v>
      </c>
    </row>
    <row r="8913" spans="1:9" ht="15.75" customHeight="1">
      <c r="A8913" s="26"/>
      <c r="B8913" s="2"/>
      <c r="C8913" s="26"/>
      <c r="D8913" s="26"/>
      <c r="F8913" s="85" t="str">
        <f t="shared" si="0"/>
        <v/>
      </c>
      <c r="G8913" s="1" t="e">
        <f>IF(VALUE(F8913) = VALUE(RIGHT(Insights!$C$3, 4)), E8913, "")</f>
        <v>#VALUE!</v>
      </c>
      <c r="H8913" s="26" t="e">
        <f t="shared" si="1"/>
        <v>#VALUE!</v>
      </c>
      <c r="I8913" s="1" t="e">
        <f t="shared" si="2"/>
        <v>#VALUE!</v>
      </c>
    </row>
    <row r="8914" spans="1:9" ht="15.75" customHeight="1">
      <c r="A8914" s="26"/>
      <c r="B8914" s="2"/>
      <c r="C8914" s="26"/>
      <c r="D8914" s="26"/>
      <c r="F8914" s="85" t="str">
        <f t="shared" si="0"/>
        <v/>
      </c>
      <c r="G8914" s="1" t="e">
        <f>IF(VALUE(F8914) = VALUE(RIGHT(Insights!$C$3, 4)), E8914, "")</f>
        <v>#VALUE!</v>
      </c>
      <c r="H8914" s="26" t="e">
        <f t="shared" si="1"/>
        <v>#VALUE!</v>
      </c>
      <c r="I8914" s="1" t="e">
        <f t="shared" si="2"/>
        <v>#VALUE!</v>
      </c>
    </row>
    <row r="8915" spans="1:9" ht="15.75" customHeight="1">
      <c r="A8915" s="26"/>
      <c r="B8915" s="2"/>
      <c r="C8915" s="26"/>
      <c r="D8915" s="26"/>
      <c r="F8915" s="85" t="str">
        <f t="shared" si="0"/>
        <v/>
      </c>
      <c r="G8915" s="1" t="e">
        <f>IF(VALUE(F8915) = VALUE(RIGHT(Insights!$C$3, 4)), E8915, "")</f>
        <v>#VALUE!</v>
      </c>
      <c r="H8915" s="26" t="e">
        <f t="shared" si="1"/>
        <v>#VALUE!</v>
      </c>
      <c r="I8915" s="1" t="e">
        <f t="shared" si="2"/>
        <v>#VALUE!</v>
      </c>
    </row>
    <row r="8916" spans="1:9" ht="15.75" customHeight="1">
      <c r="A8916" s="26"/>
      <c r="B8916" s="2"/>
      <c r="C8916" s="26"/>
      <c r="D8916" s="26"/>
      <c r="F8916" s="85" t="str">
        <f t="shared" si="0"/>
        <v/>
      </c>
      <c r="G8916" s="1" t="e">
        <f>IF(VALUE(F8916) = VALUE(RIGHT(Insights!$C$3, 4)), E8916, "")</f>
        <v>#VALUE!</v>
      </c>
      <c r="H8916" s="26" t="e">
        <f t="shared" si="1"/>
        <v>#VALUE!</v>
      </c>
      <c r="I8916" s="1" t="e">
        <f t="shared" si="2"/>
        <v>#VALUE!</v>
      </c>
    </row>
    <row r="8917" spans="1:9" ht="15.75" customHeight="1">
      <c r="A8917" s="26"/>
      <c r="B8917" s="2"/>
      <c r="C8917" s="26"/>
      <c r="D8917" s="26"/>
      <c r="F8917" s="85" t="str">
        <f t="shared" si="0"/>
        <v/>
      </c>
      <c r="G8917" s="1" t="e">
        <f>IF(VALUE(F8917) = VALUE(RIGHT(Insights!$C$3, 4)), E8917, "")</f>
        <v>#VALUE!</v>
      </c>
      <c r="H8917" s="26" t="e">
        <f t="shared" si="1"/>
        <v>#VALUE!</v>
      </c>
      <c r="I8917" s="1" t="e">
        <f t="shared" si="2"/>
        <v>#VALUE!</v>
      </c>
    </row>
    <row r="8918" spans="1:9" ht="15.75" customHeight="1">
      <c r="A8918" s="26"/>
      <c r="B8918" s="2"/>
      <c r="C8918" s="26"/>
      <c r="D8918" s="26"/>
      <c r="F8918" s="85" t="str">
        <f t="shared" si="0"/>
        <v/>
      </c>
      <c r="G8918" s="1" t="e">
        <f>IF(VALUE(F8918) = VALUE(RIGHT(Insights!$C$3, 4)), E8918, "")</f>
        <v>#VALUE!</v>
      </c>
      <c r="H8918" s="26" t="e">
        <f t="shared" si="1"/>
        <v>#VALUE!</v>
      </c>
      <c r="I8918" s="1" t="e">
        <f t="shared" si="2"/>
        <v>#VALUE!</v>
      </c>
    </row>
    <row r="8919" spans="1:9" ht="15.75" customHeight="1">
      <c r="A8919" s="26"/>
      <c r="B8919" s="2"/>
      <c r="C8919" s="26"/>
      <c r="D8919" s="26"/>
      <c r="F8919" s="85" t="str">
        <f t="shared" si="0"/>
        <v/>
      </c>
      <c r="G8919" s="1" t="e">
        <f>IF(VALUE(F8919) = VALUE(RIGHT(Insights!$C$3, 4)), E8919, "")</f>
        <v>#VALUE!</v>
      </c>
      <c r="H8919" s="26" t="e">
        <f t="shared" si="1"/>
        <v>#VALUE!</v>
      </c>
      <c r="I8919" s="1" t="e">
        <f t="shared" si="2"/>
        <v>#VALUE!</v>
      </c>
    </row>
    <row r="8920" spans="1:9" ht="15.75" customHeight="1">
      <c r="A8920" s="26"/>
      <c r="B8920" s="2"/>
      <c r="C8920" s="26"/>
      <c r="D8920" s="26"/>
      <c r="F8920" s="85" t="str">
        <f t="shared" si="0"/>
        <v/>
      </c>
      <c r="G8920" s="1" t="e">
        <f>IF(VALUE(F8920) = VALUE(RIGHT(Insights!$C$3, 4)), E8920, "")</f>
        <v>#VALUE!</v>
      </c>
      <c r="H8920" s="26" t="e">
        <f t="shared" si="1"/>
        <v>#VALUE!</v>
      </c>
      <c r="I8920" s="1" t="e">
        <f t="shared" si="2"/>
        <v>#VALUE!</v>
      </c>
    </row>
    <row r="8921" spans="1:9" ht="15.75" customHeight="1">
      <c r="A8921" s="26"/>
      <c r="B8921" s="2"/>
      <c r="C8921" s="26"/>
      <c r="D8921" s="26"/>
      <c r="F8921" s="85" t="str">
        <f t="shared" si="0"/>
        <v/>
      </c>
      <c r="G8921" s="1" t="e">
        <f>IF(VALUE(F8921) = VALUE(RIGHT(Insights!$C$3, 4)), E8921, "")</f>
        <v>#VALUE!</v>
      </c>
      <c r="H8921" s="26" t="e">
        <f t="shared" si="1"/>
        <v>#VALUE!</v>
      </c>
      <c r="I8921" s="1" t="e">
        <f t="shared" si="2"/>
        <v>#VALUE!</v>
      </c>
    </row>
    <row r="8922" spans="1:9" ht="15.75" customHeight="1">
      <c r="A8922" s="26"/>
      <c r="B8922" s="2"/>
      <c r="C8922" s="26"/>
      <c r="D8922" s="26"/>
      <c r="F8922" s="85" t="str">
        <f t="shared" si="0"/>
        <v/>
      </c>
      <c r="G8922" s="1" t="e">
        <f>IF(VALUE(F8922) = VALUE(RIGHT(Insights!$C$3, 4)), E8922, "")</f>
        <v>#VALUE!</v>
      </c>
      <c r="H8922" s="26" t="e">
        <f t="shared" si="1"/>
        <v>#VALUE!</v>
      </c>
      <c r="I8922" s="1" t="e">
        <f t="shared" si="2"/>
        <v>#VALUE!</v>
      </c>
    </row>
    <row r="8923" spans="1:9" ht="15.75" customHeight="1">
      <c r="A8923" s="26"/>
      <c r="B8923" s="2"/>
      <c r="C8923" s="26"/>
      <c r="D8923" s="26"/>
      <c r="F8923" s="85" t="str">
        <f t="shared" si="0"/>
        <v/>
      </c>
      <c r="G8923" s="1" t="e">
        <f>IF(VALUE(F8923) = VALUE(RIGHT(Insights!$C$3, 4)), E8923, "")</f>
        <v>#VALUE!</v>
      </c>
      <c r="H8923" s="26" t="e">
        <f t="shared" si="1"/>
        <v>#VALUE!</v>
      </c>
      <c r="I8923" s="1" t="e">
        <f t="shared" si="2"/>
        <v>#VALUE!</v>
      </c>
    </row>
    <row r="8924" spans="1:9" ht="15.75" customHeight="1">
      <c r="A8924" s="26"/>
      <c r="B8924" s="2"/>
      <c r="C8924" s="26"/>
      <c r="D8924" s="26"/>
      <c r="F8924" s="85" t="str">
        <f t="shared" si="0"/>
        <v/>
      </c>
      <c r="G8924" s="1" t="e">
        <f>IF(VALUE(F8924) = VALUE(RIGHT(Insights!$C$3, 4)), E8924, "")</f>
        <v>#VALUE!</v>
      </c>
      <c r="H8924" s="26" t="e">
        <f t="shared" si="1"/>
        <v>#VALUE!</v>
      </c>
      <c r="I8924" s="1" t="e">
        <f t="shared" si="2"/>
        <v>#VALUE!</v>
      </c>
    </row>
    <row r="8925" spans="1:9" ht="15.75" customHeight="1">
      <c r="A8925" s="26"/>
      <c r="B8925" s="2"/>
      <c r="C8925" s="26"/>
      <c r="D8925" s="26"/>
      <c r="F8925" s="85" t="str">
        <f t="shared" si="0"/>
        <v/>
      </c>
      <c r="G8925" s="1" t="e">
        <f>IF(VALUE(F8925) = VALUE(RIGHT(Insights!$C$3, 4)), E8925, "")</f>
        <v>#VALUE!</v>
      </c>
      <c r="H8925" s="26" t="e">
        <f t="shared" si="1"/>
        <v>#VALUE!</v>
      </c>
      <c r="I8925" s="1" t="e">
        <f t="shared" si="2"/>
        <v>#VALUE!</v>
      </c>
    </row>
    <row r="8926" spans="1:9" ht="15.75" customHeight="1">
      <c r="A8926" s="26"/>
      <c r="B8926" s="2"/>
      <c r="C8926" s="26"/>
      <c r="D8926" s="26"/>
      <c r="F8926" s="85" t="str">
        <f t="shared" si="0"/>
        <v/>
      </c>
      <c r="G8926" s="1" t="e">
        <f>IF(VALUE(F8926) = VALUE(RIGHT(Insights!$C$3, 4)), E8926, "")</f>
        <v>#VALUE!</v>
      </c>
      <c r="H8926" s="26" t="e">
        <f t="shared" si="1"/>
        <v>#VALUE!</v>
      </c>
      <c r="I8926" s="1" t="e">
        <f t="shared" si="2"/>
        <v>#VALUE!</v>
      </c>
    </row>
    <row r="8927" spans="1:9" ht="15.75" customHeight="1">
      <c r="A8927" s="26"/>
      <c r="B8927" s="2"/>
      <c r="C8927" s="26"/>
      <c r="D8927" s="26"/>
      <c r="F8927" s="85" t="str">
        <f t="shared" si="0"/>
        <v/>
      </c>
      <c r="G8927" s="1" t="e">
        <f>IF(VALUE(F8927) = VALUE(RIGHT(Insights!$C$3, 4)), E8927, "")</f>
        <v>#VALUE!</v>
      </c>
      <c r="H8927" s="26" t="e">
        <f t="shared" si="1"/>
        <v>#VALUE!</v>
      </c>
      <c r="I8927" s="1" t="e">
        <f t="shared" si="2"/>
        <v>#VALUE!</v>
      </c>
    </row>
    <row r="8928" spans="1:9" ht="15.75" customHeight="1">
      <c r="A8928" s="26"/>
      <c r="B8928" s="2"/>
      <c r="C8928" s="26"/>
      <c r="D8928" s="26"/>
      <c r="F8928" s="85" t="str">
        <f t="shared" si="0"/>
        <v/>
      </c>
      <c r="G8928" s="1" t="e">
        <f>IF(VALUE(F8928) = VALUE(RIGHT(Insights!$C$3, 4)), E8928, "")</f>
        <v>#VALUE!</v>
      </c>
      <c r="H8928" s="26" t="e">
        <f t="shared" si="1"/>
        <v>#VALUE!</v>
      </c>
      <c r="I8928" s="1" t="e">
        <f t="shared" si="2"/>
        <v>#VALUE!</v>
      </c>
    </row>
    <row r="8929" spans="1:9" ht="15.75" customHeight="1">
      <c r="A8929" s="26"/>
      <c r="B8929" s="2"/>
      <c r="C8929" s="26"/>
      <c r="D8929" s="26"/>
      <c r="F8929" s="85" t="str">
        <f t="shared" si="0"/>
        <v/>
      </c>
      <c r="G8929" s="1" t="e">
        <f>IF(VALUE(F8929) = VALUE(RIGHT(Insights!$C$3, 4)), E8929, "")</f>
        <v>#VALUE!</v>
      </c>
      <c r="H8929" s="26" t="e">
        <f t="shared" si="1"/>
        <v>#VALUE!</v>
      </c>
      <c r="I8929" s="1" t="e">
        <f t="shared" si="2"/>
        <v>#VALUE!</v>
      </c>
    </row>
    <row r="8930" spans="1:9" ht="15.75" customHeight="1">
      <c r="A8930" s="26"/>
      <c r="B8930" s="2"/>
      <c r="C8930" s="26"/>
      <c r="D8930" s="26"/>
      <c r="F8930" s="85" t="str">
        <f t="shared" si="0"/>
        <v/>
      </c>
      <c r="G8930" s="1" t="e">
        <f>IF(VALUE(F8930) = VALUE(RIGHT(Insights!$C$3, 4)), E8930, "")</f>
        <v>#VALUE!</v>
      </c>
      <c r="H8930" s="26" t="e">
        <f t="shared" si="1"/>
        <v>#VALUE!</v>
      </c>
      <c r="I8930" s="1" t="e">
        <f t="shared" si="2"/>
        <v>#VALUE!</v>
      </c>
    </row>
    <row r="8931" spans="1:9" ht="15.75" customHeight="1">
      <c r="A8931" s="26"/>
      <c r="B8931" s="2"/>
      <c r="C8931" s="26"/>
      <c r="D8931" s="26"/>
      <c r="F8931" s="85" t="str">
        <f t="shared" si="0"/>
        <v/>
      </c>
      <c r="G8931" s="1" t="e">
        <f>IF(VALUE(F8931) = VALUE(RIGHT(Insights!$C$3, 4)), E8931, "")</f>
        <v>#VALUE!</v>
      </c>
      <c r="H8931" s="26" t="e">
        <f t="shared" si="1"/>
        <v>#VALUE!</v>
      </c>
      <c r="I8931" s="1" t="e">
        <f t="shared" si="2"/>
        <v>#VALUE!</v>
      </c>
    </row>
    <row r="8932" spans="1:9" ht="15.75" customHeight="1">
      <c r="A8932" s="26"/>
      <c r="B8932" s="2"/>
      <c r="C8932" s="26"/>
      <c r="D8932" s="26"/>
      <c r="F8932" s="85" t="str">
        <f t="shared" si="0"/>
        <v/>
      </c>
      <c r="G8932" s="1" t="e">
        <f>IF(VALUE(F8932) = VALUE(RIGHT(Insights!$C$3, 4)), E8932, "")</f>
        <v>#VALUE!</v>
      </c>
      <c r="H8932" s="26" t="e">
        <f t="shared" si="1"/>
        <v>#VALUE!</v>
      </c>
      <c r="I8932" s="1" t="e">
        <f t="shared" si="2"/>
        <v>#VALUE!</v>
      </c>
    </row>
    <row r="8933" spans="1:9" ht="15.75" customHeight="1">
      <c r="A8933" s="26"/>
      <c r="B8933" s="2"/>
      <c r="C8933" s="26"/>
      <c r="D8933" s="26"/>
      <c r="F8933" s="85" t="str">
        <f t="shared" si="0"/>
        <v/>
      </c>
      <c r="G8933" s="1" t="e">
        <f>IF(VALUE(F8933) = VALUE(RIGHT(Insights!$C$3, 4)), E8933, "")</f>
        <v>#VALUE!</v>
      </c>
      <c r="H8933" s="26" t="e">
        <f t="shared" si="1"/>
        <v>#VALUE!</v>
      </c>
      <c r="I8933" s="1" t="e">
        <f t="shared" si="2"/>
        <v>#VALUE!</v>
      </c>
    </row>
    <row r="8934" spans="1:9" ht="15.75" customHeight="1">
      <c r="A8934" s="26"/>
      <c r="B8934" s="2"/>
      <c r="C8934" s="26"/>
      <c r="D8934" s="26"/>
      <c r="F8934" s="85" t="str">
        <f t="shared" si="0"/>
        <v/>
      </c>
      <c r="G8934" s="1" t="e">
        <f>IF(VALUE(F8934) = VALUE(RIGHT(Insights!$C$3, 4)), E8934, "")</f>
        <v>#VALUE!</v>
      </c>
      <c r="H8934" s="26" t="e">
        <f t="shared" si="1"/>
        <v>#VALUE!</v>
      </c>
      <c r="I8934" s="1" t="e">
        <f t="shared" si="2"/>
        <v>#VALUE!</v>
      </c>
    </row>
    <row r="8935" spans="1:9" ht="15.75" customHeight="1">
      <c r="A8935" s="26"/>
      <c r="B8935" s="2"/>
      <c r="C8935" s="26"/>
      <c r="D8935" s="26"/>
      <c r="F8935" s="85" t="str">
        <f t="shared" si="0"/>
        <v/>
      </c>
      <c r="G8935" s="1" t="e">
        <f>IF(VALUE(F8935) = VALUE(RIGHT(Insights!$C$3, 4)), E8935, "")</f>
        <v>#VALUE!</v>
      </c>
      <c r="H8935" s="26" t="e">
        <f t="shared" si="1"/>
        <v>#VALUE!</v>
      </c>
      <c r="I8935" s="1" t="e">
        <f t="shared" si="2"/>
        <v>#VALUE!</v>
      </c>
    </row>
    <row r="8936" spans="1:9" ht="15.75" customHeight="1">
      <c r="A8936" s="26"/>
      <c r="B8936" s="2"/>
      <c r="C8936" s="26"/>
      <c r="D8936" s="26"/>
      <c r="F8936" s="85" t="str">
        <f t="shared" si="0"/>
        <v/>
      </c>
      <c r="G8936" s="1" t="e">
        <f>IF(VALUE(F8936) = VALUE(RIGHT(Insights!$C$3, 4)), E8936, "")</f>
        <v>#VALUE!</v>
      </c>
      <c r="H8936" s="26" t="e">
        <f t="shared" si="1"/>
        <v>#VALUE!</v>
      </c>
      <c r="I8936" s="1" t="e">
        <f t="shared" si="2"/>
        <v>#VALUE!</v>
      </c>
    </row>
    <row r="8937" spans="1:9" ht="15.75" customHeight="1">
      <c r="A8937" s="26"/>
      <c r="B8937" s="2"/>
      <c r="C8937" s="26"/>
      <c r="D8937" s="26"/>
      <c r="F8937" s="85" t="str">
        <f t="shared" si="0"/>
        <v/>
      </c>
      <c r="G8937" s="1" t="e">
        <f>IF(VALUE(F8937) = VALUE(RIGHT(Insights!$C$3, 4)), E8937, "")</f>
        <v>#VALUE!</v>
      </c>
      <c r="H8937" s="26" t="e">
        <f t="shared" si="1"/>
        <v>#VALUE!</v>
      </c>
      <c r="I8937" s="1" t="e">
        <f t="shared" si="2"/>
        <v>#VALUE!</v>
      </c>
    </row>
    <row r="8938" spans="1:9" ht="15.75" customHeight="1">
      <c r="A8938" s="26"/>
      <c r="B8938" s="2"/>
      <c r="C8938" s="26"/>
      <c r="D8938" s="26"/>
      <c r="F8938" s="85" t="str">
        <f t="shared" si="0"/>
        <v/>
      </c>
      <c r="G8938" s="1" t="e">
        <f>IF(VALUE(F8938) = VALUE(RIGHT(Insights!$C$3, 4)), E8938, "")</f>
        <v>#VALUE!</v>
      </c>
      <c r="H8938" s="26" t="e">
        <f t="shared" si="1"/>
        <v>#VALUE!</v>
      </c>
      <c r="I8938" s="1" t="e">
        <f t="shared" si="2"/>
        <v>#VALUE!</v>
      </c>
    </row>
    <row r="8939" spans="1:9" ht="15.75" customHeight="1">
      <c r="A8939" s="26"/>
      <c r="B8939" s="2"/>
      <c r="C8939" s="26"/>
      <c r="D8939" s="26"/>
      <c r="F8939" s="85" t="str">
        <f t="shared" si="0"/>
        <v/>
      </c>
      <c r="G8939" s="1" t="e">
        <f>IF(VALUE(F8939) = VALUE(RIGHT(Insights!$C$3, 4)), E8939, "")</f>
        <v>#VALUE!</v>
      </c>
      <c r="H8939" s="26" t="e">
        <f t="shared" si="1"/>
        <v>#VALUE!</v>
      </c>
      <c r="I8939" s="1" t="e">
        <f t="shared" si="2"/>
        <v>#VALUE!</v>
      </c>
    </row>
    <row r="8940" spans="1:9" ht="15.75" customHeight="1">
      <c r="A8940" s="26"/>
      <c r="B8940" s="2"/>
      <c r="C8940" s="26"/>
      <c r="D8940" s="26"/>
      <c r="F8940" s="85" t="str">
        <f t="shared" si="0"/>
        <v/>
      </c>
      <c r="G8940" s="1" t="e">
        <f>IF(VALUE(F8940) = VALUE(RIGHT(Insights!$C$3, 4)), E8940, "")</f>
        <v>#VALUE!</v>
      </c>
      <c r="H8940" s="26" t="e">
        <f t="shared" si="1"/>
        <v>#VALUE!</v>
      </c>
      <c r="I8940" s="1" t="e">
        <f t="shared" si="2"/>
        <v>#VALUE!</v>
      </c>
    </row>
    <row r="8941" spans="1:9" ht="15.75" customHeight="1">
      <c r="A8941" s="26"/>
      <c r="B8941" s="2"/>
      <c r="C8941" s="26"/>
      <c r="D8941" s="26"/>
      <c r="F8941" s="85" t="str">
        <f t="shared" si="0"/>
        <v/>
      </c>
      <c r="G8941" s="1" t="e">
        <f>IF(VALUE(F8941) = VALUE(RIGHT(Insights!$C$3, 4)), E8941, "")</f>
        <v>#VALUE!</v>
      </c>
      <c r="H8941" s="26" t="e">
        <f t="shared" si="1"/>
        <v>#VALUE!</v>
      </c>
      <c r="I8941" s="1" t="e">
        <f t="shared" si="2"/>
        <v>#VALUE!</v>
      </c>
    </row>
    <row r="8942" spans="1:9" ht="15.75" customHeight="1">
      <c r="A8942" s="26"/>
      <c r="B8942" s="2"/>
      <c r="C8942" s="26"/>
      <c r="D8942" s="26"/>
      <c r="F8942" s="85" t="str">
        <f t="shared" si="0"/>
        <v/>
      </c>
      <c r="G8942" s="1" t="e">
        <f>IF(VALUE(F8942) = VALUE(RIGHT(Insights!$C$3, 4)), E8942, "")</f>
        <v>#VALUE!</v>
      </c>
      <c r="H8942" s="26" t="e">
        <f t="shared" si="1"/>
        <v>#VALUE!</v>
      </c>
      <c r="I8942" s="1" t="e">
        <f t="shared" si="2"/>
        <v>#VALUE!</v>
      </c>
    </row>
    <row r="8943" spans="1:9" ht="15.75" customHeight="1">
      <c r="A8943" s="26"/>
      <c r="B8943" s="2"/>
      <c r="C8943" s="26"/>
      <c r="D8943" s="26"/>
      <c r="F8943" s="85" t="str">
        <f t="shared" si="0"/>
        <v/>
      </c>
      <c r="G8943" s="1" t="e">
        <f>IF(VALUE(F8943) = VALUE(RIGHT(Insights!$C$3, 4)), E8943, "")</f>
        <v>#VALUE!</v>
      </c>
      <c r="H8943" s="26" t="e">
        <f t="shared" si="1"/>
        <v>#VALUE!</v>
      </c>
      <c r="I8943" s="1" t="e">
        <f t="shared" si="2"/>
        <v>#VALUE!</v>
      </c>
    </row>
    <row r="8944" spans="1:9" ht="15.75" customHeight="1">
      <c r="A8944" s="26"/>
      <c r="B8944" s="2"/>
      <c r="C8944" s="26"/>
      <c r="D8944" s="26"/>
      <c r="F8944" s="85" t="str">
        <f t="shared" si="0"/>
        <v/>
      </c>
      <c r="G8944" s="1" t="e">
        <f>IF(VALUE(F8944) = VALUE(RIGHT(Insights!$C$3, 4)), E8944, "")</f>
        <v>#VALUE!</v>
      </c>
      <c r="H8944" s="26" t="e">
        <f t="shared" si="1"/>
        <v>#VALUE!</v>
      </c>
      <c r="I8944" s="1" t="e">
        <f t="shared" si="2"/>
        <v>#VALUE!</v>
      </c>
    </row>
    <row r="8945" spans="1:9" ht="15.75" customHeight="1">
      <c r="A8945" s="26"/>
      <c r="B8945" s="2"/>
      <c r="C8945" s="26"/>
      <c r="D8945" s="26"/>
      <c r="F8945" s="85" t="str">
        <f t="shared" si="0"/>
        <v/>
      </c>
      <c r="G8945" s="1" t="e">
        <f>IF(VALUE(F8945) = VALUE(RIGHT(Insights!$C$3, 4)), E8945, "")</f>
        <v>#VALUE!</v>
      </c>
      <c r="H8945" s="26" t="e">
        <f t="shared" si="1"/>
        <v>#VALUE!</v>
      </c>
      <c r="I8945" s="1" t="e">
        <f t="shared" si="2"/>
        <v>#VALUE!</v>
      </c>
    </row>
    <row r="8946" spans="1:9" ht="15.75" customHeight="1">
      <c r="A8946" s="26"/>
      <c r="B8946" s="2"/>
      <c r="C8946" s="26"/>
      <c r="D8946" s="26"/>
      <c r="F8946" s="85" t="str">
        <f t="shared" si="0"/>
        <v/>
      </c>
      <c r="G8946" s="1" t="e">
        <f>IF(VALUE(F8946) = VALUE(RIGHT(Insights!$C$3, 4)), E8946, "")</f>
        <v>#VALUE!</v>
      </c>
      <c r="H8946" s="26" t="e">
        <f t="shared" si="1"/>
        <v>#VALUE!</v>
      </c>
      <c r="I8946" s="1" t="e">
        <f t="shared" si="2"/>
        <v>#VALUE!</v>
      </c>
    </row>
    <row r="8947" spans="1:9" ht="15.75" customHeight="1">
      <c r="A8947" s="26"/>
      <c r="B8947" s="2"/>
      <c r="C8947" s="26"/>
      <c r="D8947" s="26"/>
      <c r="F8947" s="85" t="str">
        <f t="shared" si="0"/>
        <v/>
      </c>
      <c r="G8947" s="1" t="e">
        <f>IF(VALUE(F8947) = VALUE(RIGHT(Insights!$C$3, 4)), E8947, "")</f>
        <v>#VALUE!</v>
      </c>
      <c r="H8947" s="26" t="e">
        <f t="shared" si="1"/>
        <v>#VALUE!</v>
      </c>
      <c r="I8947" s="1" t="e">
        <f t="shared" si="2"/>
        <v>#VALUE!</v>
      </c>
    </row>
    <row r="8948" spans="1:9" ht="15.75" customHeight="1">
      <c r="A8948" s="26"/>
      <c r="B8948" s="2"/>
      <c r="C8948" s="26"/>
      <c r="D8948" s="26"/>
      <c r="F8948" s="85" t="str">
        <f t="shared" si="0"/>
        <v/>
      </c>
      <c r="G8948" s="1" t="e">
        <f>IF(VALUE(F8948) = VALUE(RIGHT(Insights!$C$3, 4)), E8948, "")</f>
        <v>#VALUE!</v>
      </c>
      <c r="H8948" s="26" t="e">
        <f t="shared" si="1"/>
        <v>#VALUE!</v>
      </c>
      <c r="I8948" s="1" t="e">
        <f t="shared" si="2"/>
        <v>#VALUE!</v>
      </c>
    </row>
    <row r="8949" spans="1:9" ht="15.75" customHeight="1">
      <c r="A8949" s="26"/>
      <c r="B8949" s="2"/>
      <c r="C8949" s="26"/>
      <c r="D8949" s="26"/>
      <c r="F8949" s="85" t="str">
        <f t="shared" si="0"/>
        <v/>
      </c>
      <c r="G8949" s="1" t="e">
        <f>IF(VALUE(F8949) = VALUE(RIGHT(Insights!$C$3, 4)), E8949, "")</f>
        <v>#VALUE!</v>
      </c>
      <c r="H8949" s="26" t="e">
        <f t="shared" si="1"/>
        <v>#VALUE!</v>
      </c>
      <c r="I8949" s="1" t="e">
        <f t="shared" si="2"/>
        <v>#VALUE!</v>
      </c>
    </row>
    <row r="8950" spans="1:9" ht="15.75" customHeight="1">
      <c r="A8950" s="26"/>
      <c r="B8950" s="2"/>
      <c r="C8950" s="26"/>
      <c r="D8950" s="26"/>
      <c r="F8950" s="85" t="str">
        <f t="shared" si="0"/>
        <v/>
      </c>
      <c r="G8950" s="1" t="e">
        <f>IF(VALUE(F8950) = VALUE(RIGHT(Insights!$C$3, 4)), E8950, "")</f>
        <v>#VALUE!</v>
      </c>
      <c r="H8950" s="26" t="e">
        <f t="shared" si="1"/>
        <v>#VALUE!</v>
      </c>
      <c r="I8950" s="1" t="e">
        <f t="shared" si="2"/>
        <v>#VALUE!</v>
      </c>
    </row>
    <row r="8951" spans="1:9" ht="15.75" customHeight="1">
      <c r="A8951" s="26"/>
      <c r="B8951" s="2"/>
      <c r="C8951" s="26"/>
      <c r="D8951" s="26"/>
      <c r="F8951" s="85" t="str">
        <f t="shared" si="0"/>
        <v/>
      </c>
      <c r="G8951" s="1" t="e">
        <f>IF(VALUE(F8951) = VALUE(RIGHT(Insights!$C$3, 4)), E8951, "")</f>
        <v>#VALUE!</v>
      </c>
      <c r="H8951" s="26" t="e">
        <f t="shared" si="1"/>
        <v>#VALUE!</v>
      </c>
      <c r="I8951" s="1" t="e">
        <f t="shared" si="2"/>
        <v>#VALUE!</v>
      </c>
    </row>
    <row r="8952" spans="1:9" ht="15.75" customHeight="1">
      <c r="A8952" s="26"/>
      <c r="B8952" s="2"/>
      <c r="C8952" s="26"/>
      <c r="D8952" s="26"/>
      <c r="F8952" s="85" t="str">
        <f t="shared" si="0"/>
        <v/>
      </c>
      <c r="G8952" s="1" t="e">
        <f>IF(VALUE(F8952) = VALUE(RIGHT(Insights!$C$3, 4)), E8952, "")</f>
        <v>#VALUE!</v>
      </c>
      <c r="H8952" s="26" t="e">
        <f t="shared" si="1"/>
        <v>#VALUE!</v>
      </c>
      <c r="I8952" s="1" t="e">
        <f t="shared" si="2"/>
        <v>#VALUE!</v>
      </c>
    </row>
    <row r="8953" spans="1:9" ht="15.75" customHeight="1">
      <c r="A8953" s="26"/>
      <c r="B8953" s="2"/>
      <c r="C8953" s="26"/>
      <c r="D8953" s="26"/>
      <c r="F8953" s="85" t="str">
        <f t="shared" si="0"/>
        <v/>
      </c>
      <c r="G8953" s="1" t="e">
        <f>IF(VALUE(F8953) = VALUE(RIGHT(Insights!$C$3, 4)), E8953, "")</f>
        <v>#VALUE!</v>
      </c>
      <c r="H8953" s="26" t="e">
        <f t="shared" si="1"/>
        <v>#VALUE!</v>
      </c>
      <c r="I8953" s="1" t="e">
        <f t="shared" si="2"/>
        <v>#VALUE!</v>
      </c>
    </row>
    <row r="8954" spans="1:9" ht="15.75" customHeight="1">
      <c r="A8954" s="26"/>
      <c r="B8954" s="2"/>
      <c r="C8954" s="26"/>
      <c r="D8954" s="26"/>
      <c r="F8954" s="85" t="str">
        <f t="shared" si="0"/>
        <v/>
      </c>
      <c r="G8954" s="1" t="e">
        <f>IF(VALUE(F8954) = VALUE(RIGHT(Insights!$C$3, 4)), E8954, "")</f>
        <v>#VALUE!</v>
      </c>
      <c r="H8954" s="26" t="e">
        <f t="shared" si="1"/>
        <v>#VALUE!</v>
      </c>
      <c r="I8954" s="1" t="e">
        <f t="shared" si="2"/>
        <v>#VALUE!</v>
      </c>
    </row>
    <row r="8955" spans="1:9" ht="15.75" customHeight="1">
      <c r="A8955" s="26"/>
      <c r="B8955" s="2"/>
      <c r="C8955" s="26"/>
      <c r="D8955" s="26"/>
      <c r="F8955" s="85" t="str">
        <f t="shared" si="0"/>
        <v/>
      </c>
      <c r="G8955" s="1" t="e">
        <f>IF(VALUE(F8955) = VALUE(RIGHT(Insights!$C$3, 4)), E8955, "")</f>
        <v>#VALUE!</v>
      </c>
      <c r="H8955" s="26" t="e">
        <f t="shared" si="1"/>
        <v>#VALUE!</v>
      </c>
      <c r="I8955" s="1" t="e">
        <f t="shared" si="2"/>
        <v>#VALUE!</v>
      </c>
    </row>
    <row r="8956" spans="1:9" ht="15.75" customHeight="1">
      <c r="A8956" s="26"/>
      <c r="B8956" s="2"/>
      <c r="C8956" s="26"/>
      <c r="D8956" s="26"/>
      <c r="F8956" s="85" t="str">
        <f t="shared" si="0"/>
        <v/>
      </c>
      <c r="G8956" s="1" t="e">
        <f>IF(VALUE(F8956) = VALUE(RIGHT(Insights!$C$3, 4)), E8956, "")</f>
        <v>#VALUE!</v>
      </c>
      <c r="H8956" s="26" t="e">
        <f t="shared" si="1"/>
        <v>#VALUE!</v>
      </c>
      <c r="I8956" s="1" t="e">
        <f t="shared" si="2"/>
        <v>#VALUE!</v>
      </c>
    </row>
    <row r="8957" spans="1:9" ht="15.75" customHeight="1">
      <c r="A8957" s="26"/>
      <c r="B8957" s="2"/>
      <c r="C8957" s="26"/>
      <c r="D8957" s="26"/>
      <c r="F8957" s="85" t="str">
        <f t="shared" si="0"/>
        <v/>
      </c>
      <c r="G8957" s="1" t="e">
        <f>IF(VALUE(F8957) = VALUE(RIGHT(Insights!$C$3, 4)), E8957, "")</f>
        <v>#VALUE!</v>
      </c>
      <c r="H8957" s="26" t="e">
        <f t="shared" si="1"/>
        <v>#VALUE!</v>
      </c>
      <c r="I8957" s="1" t="e">
        <f t="shared" si="2"/>
        <v>#VALUE!</v>
      </c>
    </row>
    <row r="8958" spans="1:9" ht="15.75" customHeight="1">
      <c r="A8958" s="26"/>
      <c r="B8958" s="2"/>
      <c r="C8958" s="26"/>
      <c r="D8958" s="26"/>
      <c r="F8958" s="85" t="str">
        <f t="shared" si="0"/>
        <v/>
      </c>
      <c r="G8958" s="1" t="e">
        <f>IF(VALUE(F8958) = VALUE(RIGHT(Insights!$C$3, 4)), E8958, "")</f>
        <v>#VALUE!</v>
      </c>
      <c r="H8958" s="26" t="e">
        <f t="shared" si="1"/>
        <v>#VALUE!</v>
      </c>
      <c r="I8958" s="1" t="e">
        <f t="shared" si="2"/>
        <v>#VALUE!</v>
      </c>
    </row>
    <row r="8959" spans="1:9" ht="15.75" customHeight="1">
      <c r="A8959" s="26"/>
      <c r="B8959" s="2"/>
      <c r="C8959" s="26"/>
      <c r="D8959" s="26"/>
      <c r="F8959" s="85" t="str">
        <f t="shared" si="0"/>
        <v/>
      </c>
      <c r="G8959" s="1" t="e">
        <f>IF(VALUE(F8959) = VALUE(RIGHT(Insights!$C$3, 4)), E8959, "")</f>
        <v>#VALUE!</v>
      </c>
      <c r="H8959" s="26" t="e">
        <f t="shared" si="1"/>
        <v>#VALUE!</v>
      </c>
      <c r="I8959" s="1" t="e">
        <f t="shared" si="2"/>
        <v>#VALUE!</v>
      </c>
    </row>
    <row r="8960" spans="1:9" ht="15.75" customHeight="1">
      <c r="A8960" s="26"/>
      <c r="B8960" s="2"/>
      <c r="C8960" s="26"/>
      <c r="D8960" s="26"/>
      <c r="F8960" s="85" t="str">
        <f t="shared" si="0"/>
        <v/>
      </c>
      <c r="G8960" s="1" t="e">
        <f>IF(VALUE(F8960) = VALUE(RIGHT(Insights!$C$3, 4)), E8960, "")</f>
        <v>#VALUE!</v>
      </c>
      <c r="H8960" s="26" t="e">
        <f t="shared" si="1"/>
        <v>#VALUE!</v>
      </c>
      <c r="I8960" s="1" t="e">
        <f t="shared" si="2"/>
        <v>#VALUE!</v>
      </c>
    </row>
    <row r="8961" spans="1:9" ht="15.75" customHeight="1">
      <c r="A8961" s="26"/>
      <c r="B8961" s="2"/>
      <c r="C8961" s="26"/>
      <c r="D8961" s="26"/>
      <c r="F8961" s="85" t="str">
        <f t="shared" si="0"/>
        <v/>
      </c>
      <c r="G8961" s="1" t="e">
        <f>IF(VALUE(F8961) = VALUE(RIGHT(Insights!$C$3, 4)), E8961, "")</f>
        <v>#VALUE!</v>
      </c>
      <c r="H8961" s="26" t="e">
        <f t="shared" si="1"/>
        <v>#VALUE!</v>
      </c>
      <c r="I8961" s="1" t="e">
        <f t="shared" si="2"/>
        <v>#VALUE!</v>
      </c>
    </row>
    <row r="8962" spans="1:9" ht="15.75" customHeight="1">
      <c r="A8962" s="26"/>
      <c r="B8962" s="2"/>
      <c r="C8962" s="26"/>
      <c r="D8962" s="26"/>
      <c r="F8962" s="85" t="str">
        <f t="shared" si="0"/>
        <v/>
      </c>
      <c r="G8962" s="1" t="e">
        <f>IF(VALUE(F8962) = VALUE(RIGHT(Insights!$C$3, 4)), E8962, "")</f>
        <v>#VALUE!</v>
      </c>
      <c r="H8962" s="26" t="e">
        <f t="shared" si="1"/>
        <v>#VALUE!</v>
      </c>
      <c r="I8962" s="1" t="e">
        <f t="shared" si="2"/>
        <v>#VALUE!</v>
      </c>
    </row>
    <row r="8963" spans="1:9" ht="15.75" customHeight="1">
      <c r="A8963" s="26"/>
      <c r="B8963" s="2"/>
      <c r="C8963" s="26"/>
      <c r="D8963" s="26"/>
      <c r="F8963" s="85" t="str">
        <f t="shared" si="0"/>
        <v/>
      </c>
      <c r="G8963" s="1" t="e">
        <f>IF(VALUE(F8963) = VALUE(RIGHT(Insights!$C$3, 4)), E8963, "")</f>
        <v>#VALUE!</v>
      </c>
      <c r="H8963" s="26" t="e">
        <f t="shared" si="1"/>
        <v>#VALUE!</v>
      </c>
      <c r="I8963" s="1" t="e">
        <f t="shared" si="2"/>
        <v>#VALUE!</v>
      </c>
    </row>
    <row r="8964" spans="1:9" ht="15.75" customHeight="1">
      <c r="A8964" s="26"/>
      <c r="B8964" s="2"/>
      <c r="C8964" s="26"/>
      <c r="D8964" s="26"/>
      <c r="F8964" s="85" t="str">
        <f t="shared" si="0"/>
        <v/>
      </c>
      <c r="G8964" s="1" t="e">
        <f>IF(VALUE(F8964) = VALUE(RIGHT(Insights!$C$3, 4)), E8964, "")</f>
        <v>#VALUE!</v>
      </c>
      <c r="H8964" s="26" t="e">
        <f t="shared" si="1"/>
        <v>#VALUE!</v>
      </c>
      <c r="I8964" s="1" t="e">
        <f t="shared" si="2"/>
        <v>#VALUE!</v>
      </c>
    </row>
    <row r="8965" spans="1:9" ht="15.75" customHeight="1">
      <c r="A8965" s="26"/>
      <c r="B8965" s="2"/>
      <c r="C8965" s="26"/>
      <c r="D8965" s="26"/>
      <c r="F8965" s="85" t="str">
        <f t="shared" si="0"/>
        <v/>
      </c>
      <c r="G8965" s="1" t="e">
        <f>IF(VALUE(F8965) = VALUE(RIGHT(Insights!$C$3, 4)), E8965, "")</f>
        <v>#VALUE!</v>
      </c>
      <c r="H8965" s="26" t="e">
        <f t="shared" si="1"/>
        <v>#VALUE!</v>
      </c>
      <c r="I8965" s="1" t="e">
        <f t="shared" si="2"/>
        <v>#VALUE!</v>
      </c>
    </row>
    <row r="8966" spans="1:9" ht="15.75" customHeight="1">
      <c r="A8966" s="26"/>
      <c r="B8966" s="2"/>
      <c r="C8966" s="26"/>
      <c r="D8966" s="26"/>
      <c r="F8966" s="85" t="str">
        <f t="shared" si="0"/>
        <v/>
      </c>
      <c r="G8966" s="1" t="e">
        <f>IF(VALUE(F8966) = VALUE(RIGHT(Insights!$C$3, 4)), E8966, "")</f>
        <v>#VALUE!</v>
      </c>
      <c r="H8966" s="26" t="e">
        <f t="shared" si="1"/>
        <v>#VALUE!</v>
      </c>
      <c r="I8966" s="1" t="e">
        <f t="shared" si="2"/>
        <v>#VALUE!</v>
      </c>
    </row>
    <row r="8967" spans="1:9" ht="15.75" customHeight="1">
      <c r="A8967" s="26"/>
      <c r="B8967" s="2"/>
      <c r="C8967" s="26"/>
      <c r="D8967" s="26"/>
      <c r="F8967" s="85" t="str">
        <f t="shared" si="0"/>
        <v/>
      </c>
      <c r="G8967" s="1" t="e">
        <f>IF(VALUE(F8967) = VALUE(RIGHT(Insights!$C$3, 4)), E8967, "")</f>
        <v>#VALUE!</v>
      </c>
      <c r="H8967" s="26" t="e">
        <f t="shared" si="1"/>
        <v>#VALUE!</v>
      </c>
      <c r="I8967" s="1" t="e">
        <f t="shared" si="2"/>
        <v>#VALUE!</v>
      </c>
    </row>
    <row r="8968" spans="1:9" ht="15.75" customHeight="1">
      <c r="A8968" s="26"/>
      <c r="B8968" s="2"/>
      <c r="C8968" s="26"/>
      <c r="D8968" s="26"/>
      <c r="F8968" s="85" t="str">
        <f t="shared" si="0"/>
        <v/>
      </c>
      <c r="G8968" s="1" t="e">
        <f>IF(VALUE(F8968) = VALUE(RIGHT(Insights!$C$3, 4)), E8968, "")</f>
        <v>#VALUE!</v>
      </c>
      <c r="H8968" s="26" t="e">
        <f t="shared" si="1"/>
        <v>#VALUE!</v>
      </c>
      <c r="I8968" s="1" t="e">
        <f t="shared" si="2"/>
        <v>#VALUE!</v>
      </c>
    </row>
    <row r="8969" spans="1:9" ht="15.75" customHeight="1">
      <c r="A8969" s="26"/>
      <c r="B8969" s="2"/>
      <c r="C8969" s="26"/>
      <c r="D8969" s="26"/>
      <c r="F8969" s="85" t="str">
        <f t="shared" si="0"/>
        <v/>
      </c>
      <c r="G8969" s="1" t="e">
        <f>IF(VALUE(F8969) = VALUE(RIGHT(Insights!$C$3, 4)), E8969, "")</f>
        <v>#VALUE!</v>
      </c>
      <c r="H8969" s="26" t="e">
        <f t="shared" si="1"/>
        <v>#VALUE!</v>
      </c>
      <c r="I8969" s="1" t="e">
        <f t="shared" si="2"/>
        <v>#VALUE!</v>
      </c>
    </row>
    <row r="8970" spans="1:9" ht="15.75" customHeight="1">
      <c r="A8970" s="26"/>
      <c r="B8970" s="2"/>
      <c r="C8970" s="26"/>
      <c r="D8970" s="26"/>
      <c r="F8970" s="85" t="str">
        <f t="shared" si="0"/>
        <v/>
      </c>
      <c r="G8970" s="1" t="e">
        <f>IF(VALUE(F8970) = VALUE(RIGHT(Insights!$C$3, 4)), E8970, "")</f>
        <v>#VALUE!</v>
      </c>
      <c r="H8970" s="26" t="e">
        <f t="shared" si="1"/>
        <v>#VALUE!</v>
      </c>
      <c r="I8970" s="1" t="e">
        <f t="shared" si="2"/>
        <v>#VALUE!</v>
      </c>
    </row>
    <row r="8971" spans="1:9" ht="15.75" customHeight="1">
      <c r="A8971" s="26"/>
      <c r="B8971" s="2"/>
      <c r="C8971" s="26"/>
      <c r="D8971" s="26"/>
      <c r="F8971" s="85" t="str">
        <f t="shared" si="0"/>
        <v/>
      </c>
      <c r="G8971" s="1" t="e">
        <f>IF(VALUE(F8971) = VALUE(RIGHT(Insights!$C$3, 4)), E8971, "")</f>
        <v>#VALUE!</v>
      </c>
      <c r="H8971" s="26" t="e">
        <f t="shared" si="1"/>
        <v>#VALUE!</v>
      </c>
      <c r="I8971" s="1" t="e">
        <f t="shared" si="2"/>
        <v>#VALUE!</v>
      </c>
    </row>
    <row r="8972" spans="1:9" ht="15.75" customHeight="1">
      <c r="A8972" s="26"/>
      <c r="B8972" s="2"/>
      <c r="C8972" s="26"/>
      <c r="D8972" s="26"/>
      <c r="F8972" s="85" t="str">
        <f t="shared" si="0"/>
        <v/>
      </c>
      <c r="G8972" s="1" t="e">
        <f>IF(VALUE(F8972) = VALUE(RIGHT(Insights!$C$3, 4)), E8972, "")</f>
        <v>#VALUE!</v>
      </c>
      <c r="H8972" s="26" t="e">
        <f t="shared" si="1"/>
        <v>#VALUE!</v>
      </c>
      <c r="I8972" s="1" t="e">
        <f t="shared" si="2"/>
        <v>#VALUE!</v>
      </c>
    </row>
    <row r="8973" spans="1:9" ht="15.75" customHeight="1">
      <c r="A8973" s="26"/>
      <c r="B8973" s="2"/>
      <c r="C8973" s="26"/>
      <c r="D8973" s="26"/>
      <c r="F8973" s="85" t="str">
        <f t="shared" si="0"/>
        <v/>
      </c>
      <c r="G8973" s="1" t="e">
        <f>IF(VALUE(F8973) = VALUE(RIGHT(Insights!$C$3, 4)), E8973, "")</f>
        <v>#VALUE!</v>
      </c>
      <c r="H8973" s="26" t="e">
        <f t="shared" si="1"/>
        <v>#VALUE!</v>
      </c>
      <c r="I8973" s="1" t="e">
        <f t="shared" si="2"/>
        <v>#VALUE!</v>
      </c>
    </row>
    <row r="8974" spans="1:9" ht="15.75" customHeight="1">
      <c r="A8974" s="26"/>
      <c r="B8974" s="2"/>
      <c r="C8974" s="26"/>
      <c r="D8974" s="26"/>
      <c r="F8974" s="85" t="str">
        <f t="shared" si="0"/>
        <v/>
      </c>
      <c r="G8974" s="1" t="e">
        <f>IF(VALUE(F8974) = VALUE(RIGHT(Insights!$C$3, 4)), E8974, "")</f>
        <v>#VALUE!</v>
      </c>
      <c r="H8974" s="26" t="e">
        <f t="shared" si="1"/>
        <v>#VALUE!</v>
      </c>
      <c r="I8974" s="1" t="e">
        <f t="shared" si="2"/>
        <v>#VALUE!</v>
      </c>
    </row>
    <row r="8975" spans="1:9" ht="15.75" customHeight="1">
      <c r="A8975" s="26"/>
      <c r="B8975" s="2"/>
      <c r="C8975" s="26"/>
      <c r="D8975" s="26"/>
      <c r="F8975" s="85" t="str">
        <f t="shared" si="0"/>
        <v/>
      </c>
      <c r="G8975" s="1" t="e">
        <f>IF(VALUE(F8975) = VALUE(RIGHT(Insights!$C$3, 4)), E8975, "")</f>
        <v>#VALUE!</v>
      </c>
      <c r="H8975" s="26" t="e">
        <f t="shared" si="1"/>
        <v>#VALUE!</v>
      </c>
      <c r="I8975" s="1" t="e">
        <f t="shared" si="2"/>
        <v>#VALUE!</v>
      </c>
    </row>
    <row r="8976" spans="1:9" ht="15.75" customHeight="1">
      <c r="A8976" s="26"/>
      <c r="B8976" s="2"/>
      <c r="C8976" s="26"/>
      <c r="D8976" s="26"/>
      <c r="F8976" s="85" t="str">
        <f t="shared" si="0"/>
        <v/>
      </c>
      <c r="G8976" s="1" t="e">
        <f>IF(VALUE(F8976) = VALUE(RIGHT(Insights!$C$3, 4)), E8976, "")</f>
        <v>#VALUE!</v>
      </c>
      <c r="H8976" s="26" t="e">
        <f t="shared" si="1"/>
        <v>#VALUE!</v>
      </c>
      <c r="I8976" s="1" t="e">
        <f t="shared" si="2"/>
        <v>#VALUE!</v>
      </c>
    </row>
    <row r="8977" spans="1:9" ht="15.75" customHeight="1">
      <c r="A8977" s="26"/>
      <c r="B8977" s="2"/>
      <c r="C8977" s="26"/>
      <c r="D8977" s="26"/>
      <c r="F8977" s="85" t="str">
        <f t="shared" si="0"/>
        <v/>
      </c>
      <c r="G8977" s="1" t="e">
        <f>IF(VALUE(F8977) = VALUE(RIGHT(Insights!$C$3, 4)), E8977, "")</f>
        <v>#VALUE!</v>
      </c>
      <c r="H8977" s="26" t="e">
        <f t="shared" si="1"/>
        <v>#VALUE!</v>
      </c>
      <c r="I8977" s="1" t="e">
        <f t="shared" si="2"/>
        <v>#VALUE!</v>
      </c>
    </row>
    <row r="8978" spans="1:9" ht="15.75" customHeight="1">
      <c r="A8978" s="26"/>
      <c r="B8978" s="2"/>
      <c r="C8978" s="26"/>
      <c r="D8978" s="26"/>
      <c r="F8978" s="85" t="str">
        <f t="shared" si="0"/>
        <v/>
      </c>
      <c r="G8978" s="1" t="e">
        <f>IF(VALUE(F8978) = VALUE(RIGHT(Insights!$C$3, 4)), E8978, "")</f>
        <v>#VALUE!</v>
      </c>
      <c r="H8978" s="26" t="e">
        <f t="shared" si="1"/>
        <v>#VALUE!</v>
      </c>
      <c r="I8978" s="1" t="e">
        <f t="shared" si="2"/>
        <v>#VALUE!</v>
      </c>
    </row>
    <row r="8979" spans="1:9" ht="15.75" customHeight="1">
      <c r="A8979" s="26"/>
      <c r="B8979" s="2"/>
      <c r="C8979" s="26"/>
      <c r="D8979" s="26"/>
      <c r="F8979" s="85" t="str">
        <f t="shared" si="0"/>
        <v/>
      </c>
      <c r="G8979" s="1" t="e">
        <f>IF(VALUE(F8979) = VALUE(RIGHT(Insights!$C$3, 4)), E8979, "")</f>
        <v>#VALUE!</v>
      </c>
      <c r="H8979" s="26" t="e">
        <f t="shared" si="1"/>
        <v>#VALUE!</v>
      </c>
      <c r="I8979" s="1" t="e">
        <f t="shared" si="2"/>
        <v>#VALUE!</v>
      </c>
    </row>
    <row r="8980" spans="1:9" ht="15.75" customHeight="1">
      <c r="A8980" s="26"/>
      <c r="B8980" s="2"/>
      <c r="C8980" s="26"/>
      <c r="D8980" s="26"/>
      <c r="F8980" s="85" t="str">
        <f t="shared" si="0"/>
        <v/>
      </c>
      <c r="G8980" s="1" t="e">
        <f>IF(VALUE(F8980) = VALUE(RIGHT(Insights!$C$3, 4)), E8980, "")</f>
        <v>#VALUE!</v>
      </c>
      <c r="H8980" s="26" t="e">
        <f t="shared" si="1"/>
        <v>#VALUE!</v>
      </c>
      <c r="I8980" s="1" t="e">
        <f t="shared" si="2"/>
        <v>#VALUE!</v>
      </c>
    </row>
    <row r="8981" spans="1:9" ht="15.75" customHeight="1">
      <c r="A8981" s="26"/>
      <c r="B8981" s="2"/>
      <c r="C8981" s="26"/>
      <c r="D8981" s="26"/>
      <c r="F8981" s="85" t="str">
        <f t="shared" si="0"/>
        <v/>
      </c>
      <c r="G8981" s="1" t="e">
        <f>IF(VALUE(F8981) = VALUE(RIGHT(Insights!$C$3, 4)), E8981, "")</f>
        <v>#VALUE!</v>
      </c>
      <c r="H8981" s="26" t="e">
        <f t="shared" si="1"/>
        <v>#VALUE!</v>
      </c>
      <c r="I8981" s="1" t="e">
        <f t="shared" si="2"/>
        <v>#VALUE!</v>
      </c>
    </row>
    <row r="8982" spans="1:9" ht="15.75" customHeight="1">
      <c r="A8982" s="26"/>
      <c r="B8982" s="2"/>
      <c r="C8982" s="26"/>
      <c r="D8982" s="26"/>
      <c r="F8982" s="85" t="str">
        <f t="shared" si="0"/>
        <v/>
      </c>
      <c r="G8982" s="1" t="e">
        <f>IF(VALUE(F8982) = VALUE(RIGHT(Insights!$C$3, 4)), E8982, "")</f>
        <v>#VALUE!</v>
      </c>
      <c r="H8982" s="26" t="e">
        <f t="shared" si="1"/>
        <v>#VALUE!</v>
      </c>
      <c r="I8982" s="1" t="e">
        <f t="shared" si="2"/>
        <v>#VALUE!</v>
      </c>
    </row>
    <row r="8983" spans="1:9" ht="15.75" customHeight="1">
      <c r="A8983" s="26"/>
      <c r="B8983" s="2"/>
      <c r="C8983" s="26"/>
      <c r="D8983" s="26"/>
      <c r="F8983" s="85" t="str">
        <f t="shared" si="0"/>
        <v/>
      </c>
      <c r="G8983" s="1" t="e">
        <f>IF(VALUE(F8983) = VALUE(RIGHT(Insights!$C$3, 4)), E8983, "")</f>
        <v>#VALUE!</v>
      </c>
      <c r="H8983" s="26" t="e">
        <f t="shared" si="1"/>
        <v>#VALUE!</v>
      </c>
      <c r="I8983" s="1" t="e">
        <f t="shared" si="2"/>
        <v>#VALUE!</v>
      </c>
    </row>
    <row r="8984" spans="1:9" ht="15.75" customHeight="1">
      <c r="A8984" s="26"/>
      <c r="B8984" s="2"/>
      <c r="C8984" s="26"/>
      <c r="D8984" s="26"/>
      <c r="F8984" s="85" t="str">
        <f t="shared" si="0"/>
        <v/>
      </c>
      <c r="G8984" s="1" t="e">
        <f>IF(VALUE(F8984) = VALUE(RIGHT(Insights!$C$3, 4)), E8984, "")</f>
        <v>#VALUE!</v>
      </c>
      <c r="H8984" s="26" t="e">
        <f t="shared" si="1"/>
        <v>#VALUE!</v>
      </c>
      <c r="I8984" s="1" t="e">
        <f t="shared" si="2"/>
        <v>#VALUE!</v>
      </c>
    </row>
    <row r="8985" spans="1:9" ht="15.75" customHeight="1">
      <c r="A8985" s="26"/>
      <c r="B8985" s="2"/>
      <c r="C8985" s="26"/>
      <c r="D8985" s="26"/>
      <c r="F8985" s="85" t="str">
        <f t="shared" si="0"/>
        <v/>
      </c>
      <c r="G8985" s="1" t="e">
        <f>IF(VALUE(F8985) = VALUE(RIGHT(Insights!$C$3, 4)), E8985, "")</f>
        <v>#VALUE!</v>
      </c>
      <c r="H8985" s="26" t="e">
        <f t="shared" si="1"/>
        <v>#VALUE!</v>
      </c>
      <c r="I8985" s="1" t="e">
        <f t="shared" si="2"/>
        <v>#VALUE!</v>
      </c>
    </row>
    <row r="8986" spans="1:9" ht="15.75" customHeight="1">
      <c r="A8986" s="26"/>
      <c r="B8986" s="2"/>
      <c r="C8986" s="26"/>
      <c r="D8986" s="26"/>
      <c r="F8986" s="85" t="str">
        <f t="shared" si="0"/>
        <v/>
      </c>
      <c r="G8986" s="1" t="e">
        <f>IF(VALUE(F8986) = VALUE(RIGHT(Insights!$C$3, 4)), E8986, "")</f>
        <v>#VALUE!</v>
      </c>
      <c r="H8986" s="26" t="e">
        <f t="shared" si="1"/>
        <v>#VALUE!</v>
      </c>
      <c r="I8986" s="1" t="e">
        <f t="shared" si="2"/>
        <v>#VALUE!</v>
      </c>
    </row>
    <row r="8987" spans="1:9" ht="15.75" customHeight="1">
      <c r="A8987" s="26"/>
      <c r="B8987" s="2"/>
      <c r="C8987" s="26"/>
      <c r="D8987" s="26"/>
      <c r="F8987" s="85" t="str">
        <f t="shared" si="0"/>
        <v/>
      </c>
      <c r="G8987" s="1" t="e">
        <f>IF(VALUE(F8987) = VALUE(RIGHT(Insights!$C$3, 4)), E8987, "")</f>
        <v>#VALUE!</v>
      </c>
      <c r="H8987" s="26" t="e">
        <f t="shared" si="1"/>
        <v>#VALUE!</v>
      </c>
      <c r="I8987" s="1" t="e">
        <f t="shared" si="2"/>
        <v>#VALUE!</v>
      </c>
    </row>
    <row r="8988" spans="1:9" ht="15.75" customHeight="1">
      <c r="A8988" s="26"/>
      <c r="B8988" s="2"/>
      <c r="C8988" s="26"/>
      <c r="D8988" s="26"/>
      <c r="F8988" s="85" t="str">
        <f t="shared" si="0"/>
        <v/>
      </c>
      <c r="G8988" s="1" t="e">
        <f>IF(VALUE(F8988) = VALUE(RIGHT(Insights!$C$3, 4)), E8988, "")</f>
        <v>#VALUE!</v>
      </c>
      <c r="H8988" s="26" t="e">
        <f t="shared" si="1"/>
        <v>#VALUE!</v>
      </c>
      <c r="I8988" s="1" t="e">
        <f t="shared" si="2"/>
        <v>#VALUE!</v>
      </c>
    </row>
    <row r="8989" spans="1:9" ht="15.75" customHeight="1">
      <c r="A8989" s="26"/>
      <c r="B8989" s="2"/>
      <c r="C8989" s="26"/>
      <c r="D8989" s="26"/>
      <c r="F8989" s="85" t="str">
        <f t="shared" si="0"/>
        <v/>
      </c>
      <c r="G8989" s="1" t="e">
        <f>IF(VALUE(F8989) = VALUE(RIGHT(Insights!$C$3, 4)), E8989, "")</f>
        <v>#VALUE!</v>
      </c>
      <c r="H8989" s="26" t="e">
        <f t="shared" si="1"/>
        <v>#VALUE!</v>
      </c>
      <c r="I8989" s="1" t="e">
        <f t="shared" si="2"/>
        <v>#VALUE!</v>
      </c>
    </row>
    <row r="8990" spans="1:9" ht="15.75" customHeight="1">
      <c r="A8990" s="26"/>
      <c r="B8990" s="2"/>
      <c r="C8990" s="26"/>
      <c r="D8990" s="26"/>
      <c r="F8990" s="85" t="str">
        <f t="shared" si="0"/>
        <v/>
      </c>
      <c r="G8990" s="1" t="e">
        <f>IF(VALUE(F8990) = VALUE(RIGHT(Insights!$C$3, 4)), E8990, "")</f>
        <v>#VALUE!</v>
      </c>
      <c r="H8990" s="26" t="e">
        <f t="shared" si="1"/>
        <v>#VALUE!</v>
      </c>
      <c r="I8990" s="1" t="e">
        <f t="shared" si="2"/>
        <v>#VALUE!</v>
      </c>
    </row>
    <row r="8991" spans="1:9" ht="15.75" customHeight="1">
      <c r="A8991" s="26"/>
      <c r="B8991" s="2"/>
      <c r="C8991" s="26"/>
      <c r="D8991" s="26"/>
      <c r="F8991" s="85" t="str">
        <f t="shared" si="0"/>
        <v/>
      </c>
      <c r="G8991" s="1" t="e">
        <f>IF(VALUE(F8991) = VALUE(RIGHT(Insights!$C$3, 4)), E8991, "")</f>
        <v>#VALUE!</v>
      </c>
      <c r="H8991" s="26" t="e">
        <f t="shared" si="1"/>
        <v>#VALUE!</v>
      </c>
      <c r="I8991" s="1" t="e">
        <f t="shared" si="2"/>
        <v>#VALUE!</v>
      </c>
    </row>
    <row r="8992" spans="1:9" ht="15.75" customHeight="1">
      <c r="A8992" s="26"/>
      <c r="B8992" s="2"/>
      <c r="C8992" s="26"/>
      <c r="D8992" s="26"/>
      <c r="F8992" s="85" t="str">
        <f t="shared" si="0"/>
        <v/>
      </c>
      <c r="G8992" s="1" t="e">
        <f>IF(VALUE(F8992) = VALUE(RIGHT(Insights!$C$3, 4)), E8992, "")</f>
        <v>#VALUE!</v>
      </c>
      <c r="H8992" s="26" t="e">
        <f t="shared" si="1"/>
        <v>#VALUE!</v>
      </c>
      <c r="I8992" s="1" t="e">
        <f t="shared" si="2"/>
        <v>#VALUE!</v>
      </c>
    </row>
    <row r="8993" spans="1:9" ht="15.75" customHeight="1">
      <c r="A8993" s="26"/>
      <c r="B8993" s="2"/>
      <c r="C8993" s="26"/>
      <c r="D8993" s="26"/>
      <c r="F8993" s="85" t="str">
        <f t="shared" si="0"/>
        <v/>
      </c>
      <c r="G8993" s="1" t="e">
        <f>IF(VALUE(F8993) = VALUE(RIGHT(Insights!$C$3, 4)), E8993, "")</f>
        <v>#VALUE!</v>
      </c>
      <c r="H8993" s="26" t="e">
        <f t="shared" si="1"/>
        <v>#VALUE!</v>
      </c>
      <c r="I8993" s="1" t="e">
        <f t="shared" si="2"/>
        <v>#VALUE!</v>
      </c>
    </row>
    <row r="8994" spans="1:9" ht="15.75" customHeight="1">
      <c r="A8994" s="26"/>
      <c r="B8994" s="2"/>
      <c r="C8994" s="26"/>
      <c r="D8994" s="26"/>
      <c r="F8994" s="85" t="str">
        <f t="shared" si="0"/>
        <v/>
      </c>
      <c r="G8994" s="1" t="e">
        <f>IF(VALUE(F8994) = VALUE(RIGHT(Insights!$C$3, 4)), E8994, "")</f>
        <v>#VALUE!</v>
      </c>
      <c r="H8994" s="26" t="e">
        <f t="shared" si="1"/>
        <v>#VALUE!</v>
      </c>
      <c r="I8994" s="1" t="e">
        <f t="shared" si="2"/>
        <v>#VALUE!</v>
      </c>
    </row>
    <row r="8995" spans="1:9" ht="15.75" customHeight="1">
      <c r="A8995" s="26"/>
      <c r="B8995" s="2"/>
      <c r="C8995" s="26"/>
      <c r="D8995" s="26"/>
      <c r="F8995" s="85" t="str">
        <f t="shared" si="0"/>
        <v/>
      </c>
      <c r="G8995" s="1" t="e">
        <f>IF(VALUE(F8995) = VALUE(RIGHT(Insights!$C$3, 4)), E8995, "")</f>
        <v>#VALUE!</v>
      </c>
      <c r="H8995" s="26" t="e">
        <f t="shared" si="1"/>
        <v>#VALUE!</v>
      </c>
      <c r="I8995" s="1" t="e">
        <f t="shared" si="2"/>
        <v>#VALUE!</v>
      </c>
    </row>
    <row r="8996" spans="1:9" ht="15.75" customHeight="1">
      <c r="A8996" s="26"/>
      <c r="B8996" s="2"/>
      <c r="C8996" s="26"/>
      <c r="D8996" s="26"/>
      <c r="F8996" s="85" t="str">
        <f t="shared" si="0"/>
        <v/>
      </c>
      <c r="G8996" s="1" t="e">
        <f>IF(VALUE(F8996) = VALUE(RIGHT(Insights!$C$3, 4)), E8996, "")</f>
        <v>#VALUE!</v>
      </c>
      <c r="H8996" s="26" t="e">
        <f t="shared" si="1"/>
        <v>#VALUE!</v>
      </c>
      <c r="I8996" s="1" t="e">
        <f t="shared" si="2"/>
        <v>#VALUE!</v>
      </c>
    </row>
    <row r="8997" spans="1:9" ht="15.75" customHeight="1">
      <c r="A8997" s="26"/>
      <c r="B8997" s="2"/>
      <c r="C8997" s="26"/>
      <c r="D8997" s="26"/>
      <c r="F8997" s="85" t="str">
        <f t="shared" si="0"/>
        <v/>
      </c>
      <c r="G8997" s="1" t="e">
        <f>IF(VALUE(F8997) = VALUE(RIGHT(Insights!$C$3, 4)), E8997, "")</f>
        <v>#VALUE!</v>
      </c>
      <c r="H8997" s="26" t="e">
        <f t="shared" si="1"/>
        <v>#VALUE!</v>
      </c>
      <c r="I8997" s="1" t="e">
        <f t="shared" si="2"/>
        <v>#VALUE!</v>
      </c>
    </row>
    <row r="8998" spans="1:9" ht="15.75" customHeight="1">
      <c r="A8998" s="26"/>
      <c r="B8998" s="2"/>
      <c r="C8998" s="26"/>
      <c r="D8998" s="26"/>
      <c r="F8998" s="85" t="str">
        <f t="shared" si="0"/>
        <v/>
      </c>
      <c r="G8998" s="1" t="e">
        <f>IF(VALUE(F8998) = VALUE(RIGHT(Insights!$C$3, 4)), E8998, "")</f>
        <v>#VALUE!</v>
      </c>
      <c r="H8998" s="26" t="e">
        <f t="shared" si="1"/>
        <v>#VALUE!</v>
      </c>
      <c r="I8998" s="1" t="e">
        <f t="shared" si="2"/>
        <v>#VALUE!</v>
      </c>
    </row>
    <row r="8999" spans="1:9" ht="15.75" customHeight="1">
      <c r="A8999" s="26"/>
      <c r="B8999" s="2"/>
      <c r="C8999" s="26"/>
      <c r="D8999" s="26"/>
      <c r="F8999" s="85" t="str">
        <f t="shared" si="0"/>
        <v/>
      </c>
      <c r="G8999" s="1" t="e">
        <f>IF(VALUE(F8999) = VALUE(RIGHT(Insights!$C$3, 4)), E8999, "")</f>
        <v>#VALUE!</v>
      </c>
      <c r="H8999" s="26" t="e">
        <f t="shared" si="1"/>
        <v>#VALUE!</v>
      </c>
      <c r="I8999" s="1" t="e">
        <f t="shared" si="2"/>
        <v>#VALUE!</v>
      </c>
    </row>
    <row r="9000" spans="1:9" ht="15.75" customHeight="1">
      <c r="A9000" s="26"/>
      <c r="B9000" s="2"/>
      <c r="C9000" s="26"/>
      <c r="D9000" s="26"/>
      <c r="F9000" s="85" t="str">
        <f t="shared" si="0"/>
        <v/>
      </c>
      <c r="G9000" s="1" t="e">
        <f>IF(VALUE(F9000) = VALUE(RIGHT(Insights!$C$3, 4)), E9000, "")</f>
        <v>#VALUE!</v>
      </c>
      <c r="H9000" s="26" t="e">
        <f t="shared" si="1"/>
        <v>#VALUE!</v>
      </c>
      <c r="I9000" s="1" t="e">
        <f t="shared" si="2"/>
        <v>#VALUE!</v>
      </c>
    </row>
    <row r="9001" spans="1:9" ht="15.75" customHeight="1">
      <c r="A9001" s="26"/>
      <c r="B9001" s="2"/>
      <c r="C9001" s="26"/>
      <c r="D9001" s="26"/>
      <c r="F9001" s="85" t="str">
        <f t="shared" si="0"/>
        <v/>
      </c>
      <c r="G9001" s="1" t="e">
        <f>IF(VALUE(F9001) = VALUE(RIGHT(Insights!$C$3, 4)), E9001, "")</f>
        <v>#VALUE!</v>
      </c>
      <c r="H9001" s="26" t="e">
        <f t="shared" si="1"/>
        <v>#VALUE!</v>
      </c>
      <c r="I9001" s="1" t="e">
        <f t="shared" si="2"/>
        <v>#VALUE!</v>
      </c>
    </row>
    <row r="9002" spans="1:9" ht="15.75" customHeight="1">
      <c r="A9002" s="26"/>
      <c r="B9002" s="2"/>
      <c r="C9002" s="26"/>
      <c r="D9002" s="26"/>
      <c r="F9002" s="85" t="str">
        <f t="shared" si="0"/>
        <v/>
      </c>
      <c r="G9002" s="1" t="e">
        <f>IF(VALUE(F9002) = VALUE(RIGHT(Insights!$C$3, 4)), E9002, "")</f>
        <v>#VALUE!</v>
      </c>
      <c r="H9002" s="26" t="e">
        <f t="shared" si="1"/>
        <v>#VALUE!</v>
      </c>
      <c r="I9002" s="1" t="e">
        <f t="shared" si="2"/>
        <v>#VALUE!</v>
      </c>
    </row>
    <row r="9003" spans="1:9" ht="15.75" customHeight="1">
      <c r="A9003" s="26"/>
      <c r="B9003" s="2"/>
      <c r="C9003" s="26"/>
      <c r="D9003" s="26"/>
      <c r="F9003" s="85" t="str">
        <f t="shared" si="0"/>
        <v/>
      </c>
      <c r="G9003" s="1" t="e">
        <f>IF(VALUE(F9003) = VALUE(RIGHT(Insights!$C$3, 4)), E9003, "")</f>
        <v>#VALUE!</v>
      </c>
      <c r="H9003" s="26" t="e">
        <f t="shared" si="1"/>
        <v>#VALUE!</v>
      </c>
      <c r="I9003" s="1" t="e">
        <f t="shared" si="2"/>
        <v>#VALUE!</v>
      </c>
    </row>
    <row r="9004" spans="1:9" ht="15.75" customHeight="1">
      <c r="A9004" s="26"/>
      <c r="B9004" s="2"/>
      <c r="C9004" s="26"/>
      <c r="D9004" s="26"/>
      <c r="F9004" s="85" t="str">
        <f t="shared" si="0"/>
        <v/>
      </c>
      <c r="G9004" s="1" t="e">
        <f>IF(VALUE(F9004) = VALUE(RIGHT(Insights!$C$3, 4)), E9004, "")</f>
        <v>#VALUE!</v>
      </c>
      <c r="H9004" s="26" t="e">
        <f t="shared" si="1"/>
        <v>#VALUE!</v>
      </c>
      <c r="I9004" s="1" t="e">
        <f t="shared" si="2"/>
        <v>#VALUE!</v>
      </c>
    </row>
    <row r="9005" spans="1:9" ht="15.75" customHeight="1">
      <c r="A9005" s="26"/>
      <c r="B9005" s="2"/>
      <c r="C9005" s="26"/>
      <c r="D9005" s="26"/>
      <c r="F9005" s="85" t="str">
        <f t="shared" si="0"/>
        <v/>
      </c>
      <c r="G9005" s="1" t="e">
        <f>IF(VALUE(F9005) = VALUE(RIGHT(Insights!$C$3, 4)), E9005, "")</f>
        <v>#VALUE!</v>
      </c>
      <c r="H9005" s="26" t="e">
        <f t="shared" si="1"/>
        <v>#VALUE!</v>
      </c>
      <c r="I9005" s="1" t="e">
        <f t="shared" si="2"/>
        <v>#VALUE!</v>
      </c>
    </row>
    <row r="9006" spans="1:9" ht="15.75" customHeight="1">
      <c r="A9006" s="26"/>
      <c r="B9006" s="2"/>
      <c r="C9006" s="26"/>
      <c r="D9006" s="26"/>
      <c r="F9006" s="85" t="str">
        <f t="shared" si="0"/>
        <v/>
      </c>
      <c r="G9006" s="1" t="e">
        <f>IF(VALUE(F9006) = VALUE(RIGHT(Insights!$C$3, 4)), E9006, "")</f>
        <v>#VALUE!</v>
      </c>
      <c r="H9006" s="26" t="e">
        <f t="shared" si="1"/>
        <v>#VALUE!</v>
      </c>
      <c r="I9006" s="1" t="e">
        <f t="shared" si="2"/>
        <v>#VALUE!</v>
      </c>
    </row>
    <row r="9007" spans="1:9" ht="15.75" customHeight="1">
      <c r="A9007" s="26"/>
      <c r="B9007" s="2"/>
      <c r="C9007" s="26"/>
      <c r="D9007" s="26"/>
      <c r="F9007" s="85" t="str">
        <f t="shared" si="0"/>
        <v/>
      </c>
      <c r="G9007" s="1" t="e">
        <f>IF(VALUE(F9007) = VALUE(RIGHT(Insights!$C$3, 4)), E9007, "")</f>
        <v>#VALUE!</v>
      </c>
      <c r="H9007" s="26" t="e">
        <f t="shared" si="1"/>
        <v>#VALUE!</v>
      </c>
      <c r="I9007" s="1" t="e">
        <f t="shared" si="2"/>
        <v>#VALUE!</v>
      </c>
    </row>
    <row r="9008" spans="1:9" ht="15.75" customHeight="1">
      <c r="A9008" s="26"/>
      <c r="B9008" s="2"/>
      <c r="C9008" s="26"/>
      <c r="D9008" s="26"/>
      <c r="F9008" s="85" t="str">
        <f t="shared" si="0"/>
        <v/>
      </c>
      <c r="G9008" s="1" t="e">
        <f>IF(VALUE(F9008) = VALUE(RIGHT(Insights!$C$3, 4)), E9008, "")</f>
        <v>#VALUE!</v>
      </c>
      <c r="H9008" s="26" t="e">
        <f t="shared" si="1"/>
        <v>#VALUE!</v>
      </c>
      <c r="I9008" s="1" t="e">
        <f t="shared" si="2"/>
        <v>#VALUE!</v>
      </c>
    </row>
    <row r="9009" spans="1:9" ht="15.75" customHeight="1">
      <c r="A9009" s="26"/>
      <c r="B9009" s="2"/>
      <c r="C9009" s="26"/>
      <c r="D9009" s="26"/>
      <c r="F9009" s="85" t="str">
        <f t="shared" si="0"/>
        <v/>
      </c>
      <c r="G9009" s="1" t="e">
        <f>IF(VALUE(F9009) = VALUE(RIGHT(Insights!$C$3, 4)), E9009, "")</f>
        <v>#VALUE!</v>
      </c>
      <c r="H9009" s="26" t="e">
        <f t="shared" si="1"/>
        <v>#VALUE!</v>
      </c>
      <c r="I9009" s="1" t="e">
        <f t="shared" si="2"/>
        <v>#VALUE!</v>
      </c>
    </row>
    <row r="9010" spans="1:9" ht="15.75" customHeight="1">
      <c r="A9010" s="26"/>
      <c r="B9010" s="2"/>
      <c r="C9010" s="26"/>
      <c r="D9010" s="26"/>
      <c r="F9010" s="85" t="str">
        <f t="shared" si="0"/>
        <v/>
      </c>
      <c r="G9010" s="1" t="e">
        <f>IF(VALUE(F9010) = VALUE(RIGHT(Insights!$C$3, 4)), E9010, "")</f>
        <v>#VALUE!</v>
      </c>
      <c r="H9010" s="26" t="e">
        <f t="shared" si="1"/>
        <v>#VALUE!</v>
      </c>
      <c r="I9010" s="1" t="e">
        <f t="shared" si="2"/>
        <v>#VALUE!</v>
      </c>
    </row>
    <row r="9011" spans="1:9" ht="15.75" customHeight="1">
      <c r="A9011" s="26"/>
      <c r="B9011" s="2"/>
      <c r="C9011" s="26"/>
      <c r="D9011" s="26"/>
      <c r="F9011" s="85" t="str">
        <f t="shared" si="0"/>
        <v/>
      </c>
      <c r="G9011" s="1" t="e">
        <f>IF(VALUE(F9011) = VALUE(RIGHT(Insights!$C$3, 4)), E9011, "")</f>
        <v>#VALUE!</v>
      </c>
      <c r="H9011" s="26" t="e">
        <f t="shared" si="1"/>
        <v>#VALUE!</v>
      </c>
      <c r="I9011" s="1" t="e">
        <f t="shared" si="2"/>
        <v>#VALUE!</v>
      </c>
    </row>
    <row r="9012" spans="1:9" ht="15.75" customHeight="1">
      <c r="A9012" s="26"/>
      <c r="B9012" s="2"/>
      <c r="C9012" s="26"/>
      <c r="D9012" s="26"/>
      <c r="F9012" s="85" t="str">
        <f t="shared" si="0"/>
        <v/>
      </c>
      <c r="G9012" s="1" t="e">
        <f>IF(VALUE(F9012) = VALUE(RIGHT(Insights!$C$3, 4)), E9012, "")</f>
        <v>#VALUE!</v>
      </c>
      <c r="H9012" s="26" t="e">
        <f t="shared" si="1"/>
        <v>#VALUE!</v>
      </c>
      <c r="I9012" s="1" t="e">
        <f t="shared" si="2"/>
        <v>#VALUE!</v>
      </c>
    </row>
    <row r="9013" spans="1:9" ht="15.75" customHeight="1">
      <c r="A9013" s="26"/>
      <c r="B9013" s="2"/>
      <c r="C9013" s="26"/>
      <c r="D9013" s="26"/>
      <c r="F9013" s="85" t="str">
        <f t="shared" si="0"/>
        <v/>
      </c>
      <c r="G9013" s="1" t="e">
        <f>IF(VALUE(F9013) = VALUE(RIGHT(Insights!$C$3, 4)), E9013, "")</f>
        <v>#VALUE!</v>
      </c>
      <c r="H9013" s="26" t="e">
        <f t="shared" si="1"/>
        <v>#VALUE!</v>
      </c>
      <c r="I9013" s="1" t="e">
        <f t="shared" si="2"/>
        <v>#VALUE!</v>
      </c>
    </row>
    <row r="9014" spans="1:9" ht="15.75" customHeight="1">
      <c r="A9014" s="26"/>
      <c r="B9014" s="2"/>
      <c r="C9014" s="26"/>
      <c r="D9014" s="26"/>
      <c r="F9014" s="85" t="str">
        <f t="shared" si="0"/>
        <v/>
      </c>
      <c r="G9014" s="1" t="e">
        <f>IF(VALUE(F9014) = VALUE(RIGHT(Insights!$C$3, 4)), E9014, "")</f>
        <v>#VALUE!</v>
      </c>
      <c r="H9014" s="26" t="e">
        <f t="shared" si="1"/>
        <v>#VALUE!</v>
      </c>
      <c r="I9014" s="1" t="e">
        <f t="shared" si="2"/>
        <v>#VALUE!</v>
      </c>
    </row>
    <row r="9015" spans="1:9" ht="15.75" customHeight="1">
      <c r="A9015" s="26"/>
      <c r="B9015" s="2"/>
      <c r="C9015" s="26"/>
      <c r="D9015" s="26"/>
      <c r="F9015" s="85" t="str">
        <f t="shared" si="0"/>
        <v/>
      </c>
      <c r="G9015" s="1" t="e">
        <f>IF(VALUE(F9015) = VALUE(RIGHT(Insights!$C$3, 4)), E9015, "")</f>
        <v>#VALUE!</v>
      </c>
      <c r="H9015" s="26" t="e">
        <f t="shared" si="1"/>
        <v>#VALUE!</v>
      </c>
      <c r="I9015" s="1" t="e">
        <f t="shared" si="2"/>
        <v>#VALUE!</v>
      </c>
    </row>
    <row r="9016" spans="1:9" ht="15.75" customHeight="1">
      <c r="A9016" s="26"/>
      <c r="B9016" s="2"/>
      <c r="C9016" s="26"/>
      <c r="D9016" s="26"/>
      <c r="F9016" s="85" t="str">
        <f t="shared" si="0"/>
        <v/>
      </c>
      <c r="G9016" s="1" t="e">
        <f>IF(VALUE(F9016) = VALUE(RIGHT(Insights!$C$3, 4)), E9016, "")</f>
        <v>#VALUE!</v>
      </c>
      <c r="H9016" s="26" t="e">
        <f t="shared" si="1"/>
        <v>#VALUE!</v>
      </c>
      <c r="I9016" s="1" t="e">
        <f t="shared" si="2"/>
        <v>#VALUE!</v>
      </c>
    </row>
    <row r="9017" spans="1:9" ht="15.75" customHeight="1">
      <c r="A9017" s="26"/>
      <c r="B9017" s="2"/>
      <c r="C9017" s="26"/>
      <c r="D9017" s="26"/>
      <c r="F9017" s="85" t="str">
        <f t="shared" si="0"/>
        <v/>
      </c>
      <c r="G9017" s="1" t="e">
        <f>IF(VALUE(F9017) = VALUE(RIGHT(Insights!$C$3, 4)), E9017, "")</f>
        <v>#VALUE!</v>
      </c>
      <c r="H9017" s="26" t="e">
        <f t="shared" si="1"/>
        <v>#VALUE!</v>
      </c>
      <c r="I9017" s="1" t="e">
        <f t="shared" si="2"/>
        <v>#VALUE!</v>
      </c>
    </row>
    <row r="9018" spans="1:9" ht="15.75" customHeight="1">
      <c r="A9018" s="26"/>
      <c r="B9018" s="2"/>
      <c r="C9018" s="26"/>
      <c r="D9018" s="26"/>
      <c r="F9018" s="85" t="str">
        <f t="shared" si="0"/>
        <v/>
      </c>
      <c r="G9018" s="1" t="e">
        <f>IF(VALUE(F9018) = VALUE(RIGHT(Insights!$C$3, 4)), E9018, "")</f>
        <v>#VALUE!</v>
      </c>
      <c r="H9018" s="26" t="e">
        <f t="shared" si="1"/>
        <v>#VALUE!</v>
      </c>
      <c r="I9018" s="1" t="e">
        <f t="shared" si="2"/>
        <v>#VALUE!</v>
      </c>
    </row>
    <row r="9019" spans="1:9" ht="15.75" customHeight="1">
      <c r="A9019" s="26"/>
      <c r="B9019" s="2"/>
      <c r="C9019" s="26"/>
      <c r="D9019" s="26"/>
      <c r="F9019" s="85" t="str">
        <f t="shared" si="0"/>
        <v/>
      </c>
      <c r="G9019" s="1" t="e">
        <f>IF(VALUE(F9019) = VALUE(RIGHT(Insights!$C$3, 4)), E9019, "")</f>
        <v>#VALUE!</v>
      </c>
      <c r="H9019" s="26" t="e">
        <f t="shared" si="1"/>
        <v>#VALUE!</v>
      </c>
      <c r="I9019" s="1" t="e">
        <f t="shared" si="2"/>
        <v>#VALUE!</v>
      </c>
    </row>
    <row r="9020" spans="1:9" ht="15.75" customHeight="1">
      <c r="A9020" s="26"/>
      <c r="B9020" s="2"/>
      <c r="C9020" s="26"/>
      <c r="D9020" s="26"/>
      <c r="F9020" s="85" t="str">
        <f t="shared" si="0"/>
        <v/>
      </c>
      <c r="G9020" s="1" t="e">
        <f>IF(VALUE(F9020) = VALUE(RIGHT(Insights!$C$3, 4)), E9020, "")</f>
        <v>#VALUE!</v>
      </c>
      <c r="H9020" s="26" t="e">
        <f t="shared" si="1"/>
        <v>#VALUE!</v>
      </c>
      <c r="I9020" s="1" t="e">
        <f t="shared" si="2"/>
        <v>#VALUE!</v>
      </c>
    </row>
    <row r="9021" spans="1:9" ht="15.75" customHeight="1">
      <c r="A9021" s="26"/>
      <c r="B9021" s="2"/>
      <c r="C9021" s="26"/>
      <c r="D9021" s="26"/>
      <c r="F9021" s="85" t="str">
        <f t="shared" si="0"/>
        <v/>
      </c>
      <c r="G9021" s="1" t="e">
        <f>IF(VALUE(F9021) = VALUE(RIGHT(Insights!$C$3, 4)), E9021, "")</f>
        <v>#VALUE!</v>
      </c>
      <c r="H9021" s="26" t="e">
        <f t="shared" si="1"/>
        <v>#VALUE!</v>
      </c>
      <c r="I9021" s="1" t="e">
        <f t="shared" si="2"/>
        <v>#VALUE!</v>
      </c>
    </row>
    <row r="9022" spans="1:9" ht="15.75" customHeight="1">
      <c r="A9022" s="26"/>
      <c r="B9022" s="2"/>
      <c r="C9022" s="26"/>
      <c r="D9022" s="26"/>
      <c r="F9022" s="85" t="str">
        <f t="shared" si="0"/>
        <v/>
      </c>
      <c r="G9022" s="1" t="e">
        <f>IF(VALUE(F9022) = VALUE(RIGHT(Insights!$C$3, 4)), E9022, "")</f>
        <v>#VALUE!</v>
      </c>
      <c r="H9022" s="26" t="e">
        <f t="shared" si="1"/>
        <v>#VALUE!</v>
      </c>
      <c r="I9022" s="1" t="e">
        <f t="shared" si="2"/>
        <v>#VALUE!</v>
      </c>
    </row>
    <row r="9023" spans="1:9" ht="15.75" customHeight="1">
      <c r="A9023" s="26"/>
      <c r="B9023" s="2"/>
      <c r="C9023" s="26"/>
      <c r="D9023" s="26"/>
      <c r="F9023" s="85" t="str">
        <f t="shared" si="0"/>
        <v/>
      </c>
      <c r="G9023" s="1" t="e">
        <f>IF(VALUE(F9023) = VALUE(RIGHT(Insights!$C$3, 4)), E9023, "")</f>
        <v>#VALUE!</v>
      </c>
      <c r="H9023" s="26" t="e">
        <f t="shared" si="1"/>
        <v>#VALUE!</v>
      </c>
      <c r="I9023" s="1" t="e">
        <f t="shared" si="2"/>
        <v>#VALUE!</v>
      </c>
    </row>
    <row r="9024" spans="1:9" ht="15.75" customHeight="1">
      <c r="A9024" s="26"/>
      <c r="B9024" s="2"/>
      <c r="C9024" s="26"/>
      <c r="D9024" s="26"/>
      <c r="F9024" s="85" t="str">
        <f t="shared" si="0"/>
        <v/>
      </c>
      <c r="G9024" s="1" t="e">
        <f>IF(VALUE(F9024) = VALUE(RIGHT(Insights!$C$3, 4)), E9024, "")</f>
        <v>#VALUE!</v>
      </c>
      <c r="H9024" s="26" t="e">
        <f t="shared" si="1"/>
        <v>#VALUE!</v>
      </c>
      <c r="I9024" s="1" t="e">
        <f t="shared" si="2"/>
        <v>#VALUE!</v>
      </c>
    </row>
    <row r="9025" spans="1:9" ht="15.75" customHeight="1">
      <c r="A9025" s="26"/>
      <c r="B9025" s="2"/>
      <c r="C9025" s="26"/>
      <c r="D9025" s="26"/>
      <c r="F9025" s="85" t="str">
        <f t="shared" si="0"/>
        <v/>
      </c>
      <c r="G9025" s="1" t="e">
        <f>IF(VALUE(F9025) = VALUE(RIGHT(Insights!$C$3, 4)), E9025, "")</f>
        <v>#VALUE!</v>
      </c>
      <c r="H9025" s="26" t="e">
        <f t="shared" si="1"/>
        <v>#VALUE!</v>
      </c>
      <c r="I9025" s="1" t="e">
        <f t="shared" si="2"/>
        <v>#VALUE!</v>
      </c>
    </row>
    <row r="9026" spans="1:9" ht="15.75" customHeight="1">
      <c r="A9026" s="26"/>
      <c r="B9026" s="2"/>
      <c r="C9026" s="26"/>
      <c r="D9026" s="26"/>
      <c r="F9026" s="85" t="str">
        <f t="shared" si="0"/>
        <v/>
      </c>
      <c r="G9026" s="1" t="e">
        <f>IF(VALUE(F9026) = VALUE(RIGHT(Insights!$C$3, 4)), E9026, "")</f>
        <v>#VALUE!</v>
      </c>
      <c r="H9026" s="26" t="e">
        <f t="shared" si="1"/>
        <v>#VALUE!</v>
      </c>
      <c r="I9026" s="1" t="e">
        <f t="shared" si="2"/>
        <v>#VALUE!</v>
      </c>
    </row>
    <row r="9027" spans="1:9" ht="15.75" customHeight="1">
      <c r="A9027" s="26"/>
      <c r="B9027" s="2"/>
      <c r="C9027" s="26"/>
      <c r="D9027" s="26"/>
      <c r="F9027" s="85" t="str">
        <f t="shared" si="0"/>
        <v/>
      </c>
      <c r="G9027" s="1" t="e">
        <f>IF(VALUE(F9027) = VALUE(RIGHT(Insights!$C$3, 4)), E9027, "")</f>
        <v>#VALUE!</v>
      </c>
      <c r="H9027" s="26" t="e">
        <f t="shared" si="1"/>
        <v>#VALUE!</v>
      </c>
      <c r="I9027" s="1" t="e">
        <f t="shared" si="2"/>
        <v>#VALUE!</v>
      </c>
    </row>
    <row r="9028" spans="1:9" ht="15.75" customHeight="1">
      <c r="A9028" s="26"/>
      <c r="B9028" s="2"/>
      <c r="C9028" s="26"/>
      <c r="D9028" s="26"/>
      <c r="F9028" s="85" t="str">
        <f t="shared" si="0"/>
        <v/>
      </c>
      <c r="G9028" s="1" t="e">
        <f>IF(VALUE(F9028) = VALUE(RIGHT(Insights!$C$3, 4)), E9028, "")</f>
        <v>#VALUE!</v>
      </c>
      <c r="H9028" s="26" t="e">
        <f t="shared" si="1"/>
        <v>#VALUE!</v>
      </c>
      <c r="I9028" s="1" t="e">
        <f t="shared" si="2"/>
        <v>#VALUE!</v>
      </c>
    </row>
    <row r="9029" spans="1:9" ht="15.75" customHeight="1">
      <c r="A9029" s="26"/>
      <c r="B9029" s="2"/>
      <c r="C9029" s="26"/>
      <c r="D9029" s="26"/>
      <c r="F9029" s="85" t="str">
        <f t="shared" si="0"/>
        <v/>
      </c>
      <c r="G9029" s="1" t="e">
        <f>IF(VALUE(F9029) = VALUE(RIGHT(Insights!$C$3, 4)), E9029, "")</f>
        <v>#VALUE!</v>
      </c>
      <c r="H9029" s="26" t="e">
        <f t="shared" si="1"/>
        <v>#VALUE!</v>
      </c>
      <c r="I9029" s="1" t="e">
        <f t="shared" si="2"/>
        <v>#VALUE!</v>
      </c>
    </row>
    <row r="9030" spans="1:9" ht="15.75" customHeight="1">
      <c r="A9030" s="26"/>
      <c r="B9030" s="2"/>
      <c r="C9030" s="26"/>
      <c r="D9030" s="26"/>
      <c r="F9030" s="85" t="str">
        <f t="shared" si="0"/>
        <v/>
      </c>
      <c r="G9030" s="1" t="e">
        <f>IF(VALUE(F9030) = VALUE(RIGHT(Insights!$C$3, 4)), E9030, "")</f>
        <v>#VALUE!</v>
      </c>
      <c r="H9030" s="26" t="e">
        <f t="shared" si="1"/>
        <v>#VALUE!</v>
      </c>
      <c r="I9030" s="1" t="e">
        <f t="shared" si="2"/>
        <v>#VALUE!</v>
      </c>
    </row>
    <row r="9031" spans="1:9" ht="15.75" customHeight="1">
      <c r="A9031" s="26"/>
      <c r="B9031" s="2"/>
      <c r="C9031" s="26"/>
      <c r="D9031" s="26"/>
      <c r="F9031" s="85" t="str">
        <f t="shared" si="0"/>
        <v/>
      </c>
      <c r="G9031" s="1" t="e">
        <f>IF(VALUE(F9031) = VALUE(RIGHT(Insights!$C$3, 4)), E9031, "")</f>
        <v>#VALUE!</v>
      </c>
      <c r="H9031" s="26" t="e">
        <f t="shared" si="1"/>
        <v>#VALUE!</v>
      </c>
      <c r="I9031" s="1" t="e">
        <f t="shared" si="2"/>
        <v>#VALUE!</v>
      </c>
    </row>
    <row r="9032" spans="1:9" ht="15.75" customHeight="1">
      <c r="A9032" s="26"/>
      <c r="B9032" s="2"/>
      <c r="C9032" s="26"/>
      <c r="D9032" s="26"/>
      <c r="F9032" s="85" t="str">
        <f t="shared" si="0"/>
        <v/>
      </c>
      <c r="G9032" s="1" t="e">
        <f>IF(VALUE(F9032) = VALUE(RIGHT(Insights!$C$3, 4)), E9032, "")</f>
        <v>#VALUE!</v>
      </c>
      <c r="H9032" s="26" t="e">
        <f t="shared" si="1"/>
        <v>#VALUE!</v>
      </c>
      <c r="I9032" s="1" t="e">
        <f t="shared" si="2"/>
        <v>#VALUE!</v>
      </c>
    </row>
    <row r="9033" spans="1:9" ht="15.75" customHeight="1">
      <c r="A9033" s="26"/>
      <c r="B9033" s="2"/>
      <c r="C9033" s="26"/>
      <c r="D9033" s="26"/>
      <c r="F9033" s="85" t="str">
        <f t="shared" si="0"/>
        <v/>
      </c>
      <c r="G9033" s="1" t="e">
        <f>IF(VALUE(F9033) = VALUE(RIGHT(Insights!$C$3, 4)), E9033, "")</f>
        <v>#VALUE!</v>
      </c>
      <c r="H9033" s="26" t="e">
        <f t="shared" si="1"/>
        <v>#VALUE!</v>
      </c>
      <c r="I9033" s="1" t="e">
        <f t="shared" si="2"/>
        <v>#VALUE!</v>
      </c>
    </row>
    <row r="9034" spans="1:9" ht="15.75" customHeight="1">
      <c r="A9034" s="26"/>
      <c r="B9034" s="2"/>
      <c r="C9034" s="26"/>
      <c r="D9034" s="26"/>
      <c r="F9034" s="85" t="str">
        <f t="shared" si="0"/>
        <v/>
      </c>
      <c r="G9034" s="1" t="e">
        <f>IF(VALUE(F9034) = VALUE(RIGHT(Insights!$C$3, 4)), E9034, "")</f>
        <v>#VALUE!</v>
      </c>
      <c r="H9034" s="26" t="e">
        <f t="shared" si="1"/>
        <v>#VALUE!</v>
      </c>
      <c r="I9034" s="1" t="e">
        <f t="shared" si="2"/>
        <v>#VALUE!</v>
      </c>
    </row>
    <row r="9035" spans="1:9" ht="15.75" customHeight="1">
      <c r="A9035" s="26"/>
      <c r="B9035" s="2"/>
      <c r="C9035" s="26"/>
      <c r="D9035" s="26"/>
      <c r="F9035" s="85" t="str">
        <f t="shared" si="0"/>
        <v/>
      </c>
      <c r="G9035" s="1" t="e">
        <f>IF(VALUE(F9035) = VALUE(RIGHT(Insights!$C$3, 4)), E9035, "")</f>
        <v>#VALUE!</v>
      </c>
      <c r="H9035" s="26" t="e">
        <f t="shared" si="1"/>
        <v>#VALUE!</v>
      </c>
      <c r="I9035" s="1" t="e">
        <f t="shared" si="2"/>
        <v>#VALUE!</v>
      </c>
    </row>
    <row r="9036" spans="1:9" ht="15.75" customHeight="1">
      <c r="A9036" s="26"/>
      <c r="B9036" s="2"/>
      <c r="C9036" s="26"/>
      <c r="D9036" s="26"/>
      <c r="F9036" s="85" t="str">
        <f t="shared" si="0"/>
        <v/>
      </c>
      <c r="G9036" s="1" t="e">
        <f>IF(VALUE(F9036) = VALUE(RIGHT(Insights!$C$3, 4)), E9036, "")</f>
        <v>#VALUE!</v>
      </c>
      <c r="H9036" s="26" t="e">
        <f t="shared" si="1"/>
        <v>#VALUE!</v>
      </c>
      <c r="I9036" s="1" t="e">
        <f t="shared" si="2"/>
        <v>#VALUE!</v>
      </c>
    </row>
    <row r="9037" spans="1:9" ht="15.75" customHeight="1">
      <c r="A9037" s="26"/>
      <c r="B9037" s="2"/>
      <c r="C9037" s="26"/>
      <c r="D9037" s="26"/>
      <c r="F9037" s="85" t="str">
        <f t="shared" si="0"/>
        <v/>
      </c>
      <c r="G9037" s="1" t="e">
        <f>IF(VALUE(F9037) = VALUE(RIGHT(Insights!$C$3, 4)), E9037, "")</f>
        <v>#VALUE!</v>
      </c>
      <c r="H9037" s="26" t="e">
        <f t="shared" si="1"/>
        <v>#VALUE!</v>
      </c>
      <c r="I9037" s="1" t="e">
        <f t="shared" si="2"/>
        <v>#VALUE!</v>
      </c>
    </row>
    <row r="9038" spans="1:9" ht="15.75" customHeight="1">
      <c r="A9038" s="26"/>
      <c r="B9038" s="2"/>
      <c r="C9038" s="26"/>
      <c r="D9038" s="26"/>
      <c r="F9038" s="85" t="str">
        <f t="shared" si="0"/>
        <v/>
      </c>
      <c r="G9038" s="1" t="e">
        <f>IF(VALUE(F9038) = VALUE(RIGHT(Insights!$C$3, 4)), E9038, "")</f>
        <v>#VALUE!</v>
      </c>
      <c r="H9038" s="26" t="e">
        <f t="shared" si="1"/>
        <v>#VALUE!</v>
      </c>
      <c r="I9038" s="1" t="e">
        <f t="shared" si="2"/>
        <v>#VALUE!</v>
      </c>
    </row>
    <row r="9039" spans="1:9" ht="15.75" customHeight="1">
      <c r="A9039" s="26"/>
      <c r="B9039" s="2"/>
      <c r="C9039" s="26"/>
      <c r="D9039" s="26"/>
      <c r="F9039" s="85" t="str">
        <f t="shared" si="0"/>
        <v/>
      </c>
      <c r="G9039" s="1" t="e">
        <f>IF(VALUE(F9039) = VALUE(RIGHT(Insights!$C$3, 4)), E9039, "")</f>
        <v>#VALUE!</v>
      </c>
      <c r="H9039" s="26" t="e">
        <f t="shared" si="1"/>
        <v>#VALUE!</v>
      </c>
      <c r="I9039" s="1" t="e">
        <f t="shared" si="2"/>
        <v>#VALUE!</v>
      </c>
    </row>
    <row r="9040" spans="1:9" ht="15.75" customHeight="1">
      <c r="A9040" s="26"/>
      <c r="B9040" s="2"/>
      <c r="C9040" s="26"/>
      <c r="D9040" s="26"/>
      <c r="F9040" s="85" t="str">
        <f t="shared" si="0"/>
        <v/>
      </c>
      <c r="G9040" s="1" t="e">
        <f>IF(VALUE(F9040) = VALUE(RIGHT(Insights!$C$3, 4)), E9040, "")</f>
        <v>#VALUE!</v>
      </c>
      <c r="H9040" s="26" t="e">
        <f t="shared" si="1"/>
        <v>#VALUE!</v>
      </c>
      <c r="I9040" s="1" t="e">
        <f t="shared" si="2"/>
        <v>#VALUE!</v>
      </c>
    </row>
    <row r="9041" spans="1:9" ht="15.75" customHeight="1">
      <c r="A9041" s="26"/>
      <c r="B9041" s="2"/>
      <c r="C9041" s="26"/>
      <c r="D9041" s="26"/>
      <c r="F9041" s="85" t="str">
        <f t="shared" si="0"/>
        <v/>
      </c>
      <c r="G9041" s="1" t="e">
        <f>IF(VALUE(F9041) = VALUE(RIGHT(Insights!$C$3, 4)), E9041, "")</f>
        <v>#VALUE!</v>
      </c>
      <c r="H9041" s="26" t="e">
        <f t="shared" si="1"/>
        <v>#VALUE!</v>
      </c>
      <c r="I9041" s="1" t="e">
        <f t="shared" si="2"/>
        <v>#VALUE!</v>
      </c>
    </row>
    <row r="9042" spans="1:9" ht="15.75" customHeight="1">
      <c r="A9042" s="26"/>
      <c r="B9042" s="2"/>
      <c r="C9042" s="26"/>
      <c r="D9042" s="26"/>
      <c r="F9042" s="85" t="str">
        <f t="shared" si="0"/>
        <v/>
      </c>
      <c r="G9042" s="1" t="e">
        <f>IF(VALUE(F9042) = VALUE(RIGHT(Insights!$C$3, 4)), E9042, "")</f>
        <v>#VALUE!</v>
      </c>
      <c r="H9042" s="26" t="e">
        <f t="shared" si="1"/>
        <v>#VALUE!</v>
      </c>
      <c r="I9042" s="1" t="e">
        <f t="shared" si="2"/>
        <v>#VALUE!</v>
      </c>
    </row>
    <row r="9043" spans="1:9" ht="15.75" customHeight="1">
      <c r="A9043" s="26"/>
      <c r="B9043" s="2"/>
      <c r="C9043" s="26"/>
      <c r="D9043" s="26"/>
      <c r="F9043" s="85" t="str">
        <f t="shared" si="0"/>
        <v/>
      </c>
      <c r="G9043" s="1" t="e">
        <f>IF(VALUE(F9043) = VALUE(RIGHT(Insights!$C$3, 4)), E9043, "")</f>
        <v>#VALUE!</v>
      </c>
      <c r="H9043" s="26" t="e">
        <f t="shared" si="1"/>
        <v>#VALUE!</v>
      </c>
      <c r="I9043" s="1" t="e">
        <f t="shared" si="2"/>
        <v>#VALUE!</v>
      </c>
    </row>
    <row r="9044" spans="1:9" ht="15.75" customHeight="1">
      <c r="A9044" s="26"/>
      <c r="B9044" s="2"/>
      <c r="C9044" s="26"/>
      <c r="D9044" s="26"/>
      <c r="F9044" s="85" t="str">
        <f t="shared" si="0"/>
        <v/>
      </c>
      <c r="G9044" s="1" t="e">
        <f>IF(VALUE(F9044) = VALUE(RIGHT(Insights!$C$3, 4)), E9044, "")</f>
        <v>#VALUE!</v>
      </c>
      <c r="H9044" s="26" t="e">
        <f t="shared" si="1"/>
        <v>#VALUE!</v>
      </c>
      <c r="I9044" s="1" t="e">
        <f t="shared" si="2"/>
        <v>#VALUE!</v>
      </c>
    </row>
    <row r="9045" spans="1:9" ht="15.75" customHeight="1">
      <c r="A9045" s="26"/>
      <c r="B9045" s="2"/>
      <c r="C9045" s="26"/>
      <c r="D9045" s="26"/>
      <c r="F9045" s="85" t="str">
        <f t="shared" si="0"/>
        <v/>
      </c>
      <c r="G9045" s="1" t="e">
        <f>IF(VALUE(F9045) = VALUE(RIGHT(Insights!$C$3, 4)), E9045, "")</f>
        <v>#VALUE!</v>
      </c>
      <c r="H9045" s="26" t="e">
        <f t="shared" si="1"/>
        <v>#VALUE!</v>
      </c>
      <c r="I9045" s="1" t="e">
        <f t="shared" si="2"/>
        <v>#VALUE!</v>
      </c>
    </row>
    <row r="9046" spans="1:9" ht="15.75" customHeight="1">
      <c r="A9046" s="26"/>
      <c r="B9046" s="2"/>
      <c r="C9046" s="26"/>
      <c r="D9046" s="26"/>
      <c r="F9046" s="85" t="str">
        <f t="shared" si="0"/>
        <v/>
      </c>
      <c r="G9046" s="1" t="e">
        <f>IF(VALUE(F9046) = VALUE(RIGHT(Insights!$C$3, 4)), E9046, "")</f>
        <v>#VALUE!</v>
      </c>
      <c r="H9046" s="26" t="e">
        <f t="shared" si="1"/>
        <v>#VALUE!</v>
      </c>
      <c r="I9046" s="1" t="e">
        <f t="shared" si="2"/>
        <v>#VALUE!</v>
      </c>
    </row>
    <row r="9047" spans="1:9" ht="15.75" customHeight="1">
      <c r="A9047" s="26"/>
      <c r="B9047" s="2"/>
      <c r="C9047" s="26"/>
      <c r="D9047" s="26"/>
      <c r="F9047" s="85" t="str">
        <f t="shared" si="0"/>
        <v/>
      </c>
      <c r="G9047" s="1" t="e">
        <f>IF(VALUE(F9047) = VALUE(RIGHT(Insights!$C$3, 4)), E9047, "")</f>
        <v>#VALUE!</v>
      </c>
      <c r="H9047" s="26" t="e">
        <f t="shared" si="1"/>
        <v>#VALUE!</v>
      </c>
      <c r="I9047" s="1" t="e">
        <f t="shared" si="2"/>
        <v>#VALUE!</v>
      </c>
    </row>
    <row r="9048" spans="1:9" ht="15.75" customHeight="1">
      <c r="A9048" s="26"/>
      <c r="B9048" s="2"/>
      <c r="C9048" s="26"/>
      <c r="D9048" s="26"/>
      <c r="F9048" s="85" t="str">
        <f t="shared" si="0"/>
        <v/>
      </c>
      <c r="G9048" s="1" t="e">
        <f>IF(VALUE(F9048) = VALUE(RIGHT(Insights!$C$3, 4)), E9048, "")</f>
        <v>#VALUE!</v>
      </c>
      <c r="H9048" s="26" t="e">
        <f t="shared" si="1"/>
        <v>#VALUE!</v>
      </c>
      <c r="I9048" s="1" t="e">
        <f t="shared" si="2"/>
        <v>#VALUE!</v>
      </c>
    </row>
    <row r="9049" spans="1:9" ht="15.75" customHeight="1">
      <c r="A9049" s="26"/>
      <c r="B9049" s="2"/>
      <c r="C9049" s="26"/>
      <c r="D9049" s="26"/>
      <c r="F9049" s="85" t="str">
        <f t="shared" si="0"/>
        <v/>
      </c>
      <c r="G9049" s="1" t="e">
        <f>IF(VALUE(F9049) = VALUE(RIGHT(Insights!$C$3, 4)), E9049, "")</f>
        <v>#VALUE!</v>
      </c>
      <c r="H9049" s="26" t="e">
        <f t="shared" si="1"/>
        <v>#VALUE!</v>
      </c>
      <c r="I9049" s="1" t="e">
        <f t="shared" si="2"/>
        <v>#VALUE!</v>
      </c>
    </row>
    <row r="9050" spans="1:9" ht="15.75" customHeight="1">
      <c r="A9050" s="26"/>
      <c r="B9050" s="2"/>
      <c r="C9050" s="26"/>
      <c r="D9050" s="26"/>
      <c r="F9050" s="85" t="str">
        <f t="shared" si="0"/>
        <v/>
      </c>
      <c r="G9050" s="1" t="e">
        <f>IF(VALUE(F9050) = VALUE(RIGHT(Insights!$C$3, 4)), E9050, "")</f>
        <v>#VALUE!</v>
      </c>
      <c r="H9050" s="26" t="e">
        <f t="shared" si="1"/>
        <v>#VALUE!</v>
      </c>
      <c r="I9050" s="1" t="e">
        <f t="shared" si="2"/>
        <v>#VALUE!</v>
      </c>
    </row>
    <row r="9051" spans="1:9" ht="15.75" customHeight="1">
      <c r="A9051" s="26"/>
      <c r="B9051" s="2"/>
      <c r="C9051" s="26"/>
      <c r="D9051" s="26"/>
      <c r="F9051" s="85" t="str">
        <f t="shared" si="0"/>
        <v/>
      </c>
      <c r="G9051" s="1" t="e">
        <f>IF(VALUE(F9051) = VALUE(RIGHT(Insights!$C$3, 4)), E9051, "")</f>
        <v>#VALUE!</v>
      </c>
      <c r="H9051" s="26" t="e">
        <f t="shared" si="1"/>
        <v>#VALUE!</v>
      </c>
      <c r="I9051" s="1" t="e">
        <f t="shared" si="2"/>
        <v>#VALUE!</v>
      </c>
    </row>
    <row r="9052" spans="1:9" ht="15.75" customHeight="1">
      <c r="A9052" s="26"/>
      <c r="B9052" s="2"/>
      <c r="C9052" s="26"/>
      <c r="D9052" s="26"/>
      <c r="F9052" s="85" t="str">
        <f t="shared" si="0"/>
        <v/>
      </c>
      <c r="G9052" s="1" t="e">
        <f>IF(VALUE(F9052) = VALUE(RIGHT(Insights!$C$3, 4)), E9052, "")</f>
        <v>#VALUE!</v>
      </c>
      <c r="H9052" s="26" t="e">
        <f t="shared" si="1"/>
        <v>#VALUE!</v>
      </c>
      <c r="I9052" s="1" t="e">
        <f t="shared" si="2"/>
        <v>#VALUE!</v>
      </c>
    </row>
    <row r="9053" spans="1:9" ht="15.75" customHeight="1">
      <c r="A9053" s="26"/>
      <c r="B9053" s="2"/>
      <c r="C9053" s="26"/>
      <c r="D9053" s="26"/>
      <c r="F9053" s="85" t="str">
        <f t="shared" si="0"/>
        <v/>
      </c>
      <c r="G9053" s="1" t="e">
        <f>IF(VALUE(F9053) = VALUE(RIGHT(Insights!$C$3, 4)), E9053, "")</f>
        <v>#VALUE!</v>
      </c>
      <c r="H9053" s="26" t="e">
        <f t="shared" si="1"/>
        <v>#VALUE!</v>
      </c>
      <c r="I9053" s="1" t="e">
        <f t="shared" si="2"/>
        <v>#VALUE!</v>
      </c>
    </row>
    <row r="9054" spans="1:9" ht="15.75" customHeight="1">
      <c r="A9054" s="26"/>
      <c r="B9054" s="2"/>
      <c r="C9054" s="26"/>
      <c r="D9054" s="26"/>
      <c r="F9054" s="85" t="str">
        <f t="shared" si="0"/>
        <v/>
      </c>
      <c r="G9054" s="1" t="e">
        <f>IF(VALUE(F9054) = VALUE(RIGHT(Insights!$C$3, 4)), E9054, "")</f>
        <v>#VALUE!</v>
      </c>
      <c r="H9054" s="26" t="e">
        <f t="shared" si="1"/>
        <v>#VALUE!</v>
      </c>
      <c r="I9054" s="1" t="e">
        <f t="shared" si="2"/>
        <v>#VALUE!</v>
      </c>
    </row>
    <row r="9055" spans="1:9" ht="15.75" customHeight="1">
      <c r="A9055" s="26"/>
      <c r="B9055" s="2"/>
      <c r="C9055" s="26"/>
      <c r="D9055" s="26"/>
      <c r="F9055" s="85" t="str">
        <f t="shared" si="0"/>
        <v/>
      </c>
      <c r="G9055" s="1" t="e">
        <f>IF(VALUE(F9055) = VALUE(RIGHT(Insights!$C$3, 4)), E9055, "")</f>
        <v>#VALUE!</v>
      </c>
      <c r="H9055" s="26" t="e">
        <f t="shared" si="1"/>
        <v>#VALUE!</v>
      </c>
      <c r="I9055" s="1" t="e">
        <f t="shared" si="2"/>
        <v>#VALUE!</v>
      </c>
    </row>
    <row r="9056" spans="1:9" ht="15.75" customHeight="1">
      <c r="A9056" s="26"/>
      <c r="B9056" s="2"/>
      <c r="C9056" s="26"/>
      <c r="D9056" s="26"/>
      <c r="F9056" s="85" t="str">
        <f t="shared" si="0"/>
        <v/>
      </c>
      <c r="G9056" s="1" t="e">
        <f>IF(VALUE(F9056) = VALUE(RIGHT(Insights!$C$3, 4)), E9056, "")</f>
        <v>#VALUE!</v>
      </c>
      <c r="H9056" s="26" t="e">
        <f t="shared" si="1"/>
        <v>#VALUE!</v>
      </c>
      <c r="I9056" s="1" t="e">
        <f t="shared" si="2"/>
        <v>#VALUE!</v>
      </c>
    </row>
    <row r="9057" spans="1:9" ht="15.75" customHeight="1">
      <c r="A9057" s="26"/>
      <c r="B9057" s="2"/>
      <c r="C9057" s="26"/>
      <c r="D9057" s="26"/>
      <c r="F9057" s="85" t="str">
        <f t="shared" si="0"/>
        <v/>
      </c>
      <c r="G9057" s="1" t="e">
        <f>IF(VALUE(F9057) = VALUE(RIGHT(Insights!$C$3, 4)), E9057, "")</f>
        <v>#VALUE!</v>
      </c>
      <c r="H9057" s="26" t="e">
        <f t="shared" si="1"/>
        <v>#VALUE!</v>
      </c>
      <c r="I9057" s="1" t="e">
        <f t="shared" si="2"/>
        <v>#VALUE!</v>
      </c>
    </row>
    <row r="9058" spans="1:9" ht="15.75" customHeight="1">
      <c r="A9058" s="26"/>
      <c r="B9058" s="2"/>
      <c r="C9058" s="26"/>
      <c r="D9058" s="26"/>
      <c r="F9058" s="85" t="str">
        <f t="shared" si="0"/>
        <v/>
      </c>
      <c r="G9058" s="1" t="e">
        <f>IF(VALUE(F9058) = VALUE(RIGHT(Insights!$C$3, 4)), E9058, "")</f>
        <v>#VALUE!</v>
      </c>
      <c r="H9058" s="26" t="e">
        <f t="shared" si="1"/>
        <v>#VALUE!</v>
      </c>
      <c r="I9058" s="1" t="e">
        <f t="shared" si="2"/>
        <v>#VALUE!</v>
      </c>
    </row>
    <row r="9059" spans="1:9" ht="15.75" customHeight="1">
      <c r="A9059" s="26"/>
      <c r="B9059" s="2"/>
      <c r="C9059" s="26"/>
      <c r="D9059" s="26"/>
      <c r="F9059" s="85" t="str">
        <f t="shared" si="0"/>
        <v/>
      </c>
      <c r="G9059" s="1" t="e">
        <f>IF(VALUE(F9059) = VALUE(RIGHT(Insights!$C$3, 4)), E9059, "")</f>
        <v>#VALUE!</v>
      </c>
      <c r="H9059" s="26" t="e">
        <f t="shared" si="1"/>
        <v>#VALUE!</v>
      </c>
      <c r="I9059" s="1" t="e">
        <f t="shared" si="2"/>
        <v>#VALUE!</v>
      </c>
    </row>
    <row r="9060" spans="1:9" ht="15.75" customHeight="1">
      <c r="A9060" s="26"/>
      <c r="B9060" s="2"/>
      <c r="C9060" s="26"/>
      <c r="D9060" s="26"/>
      <c r="F9060" s="85" t="str">
        <f t="shared" si="0"/>
        <v/>
      </c>
      <c r="G9060" s="1" t="e">
        <f>IF(VALUE(F9060) = VALUE(RIGHT(Insights!$C$3, 4)), E9060, "")</f>
        <v>#VALUE!</v>
      </c>
      <c r="H9060" s="26" t="e">
        <f t="shared" si="1"/>
        <v>#VALUE!</v>
      </c>
      <c r="I9060" s="1" t="e">
        <f t="shared" si="2"/>
        <v>#VALUE!</v>
      </c>
    </row>
    <row r="9061" spans="1:9" ht="15.75" customHeight="1">
      <c r="A9061" s="26"/>
      <c r="B9061" s="2"/>
      <c r="C9061" s="26"/>
      <c r="D9061" s="26"/>
      <c r="F9061" s="85" t="str">
        <f t="shared" si="0"/>
        <v/>
      </c>
      <c r="G9061" s="1" t="e">
        <f>IF(VALUE(F9061) = VALUE(RIGHT(Insights!$C$3, 4)), E9061, "")</f>
        <v>#VALUE!</v>
      </c>
      <c r="H9061" s="26" t="e">
        <f t="shared" si="1"/>
        <v>#VALUE!</v>
      </c>
      <c r="I9061" s="1" t="e">
        <f t="shared" si="2"/>
        <v>#VALUE!</v>
      </c>
    </row>
    <row r="9062" spans="1:9" ht="15.75" customHeight="1">
      <c r="A9062" s="26"/>
      <c r="B9062" s="2"/>
      <c r="C9062" s="26"/>
      <c r="D9062" s="26"/>
      <c r="F9062" s="85" t="str">
        <f t="shared" si="0"/>
        <v/>
      </c>
      <c r="G9062" s="1" t="e">
        <f>IF(VALUE(F9062) = VALUE(RIGHT(Insights!$C$3, 4)), E9062, "")</f>
        <v>#VALUE!</v>
      </c>
      <c r="H9062" s="26" t="e">
        <f t="shared" si="1"/>
        <v>#VALUE!</v>
      </c>
      <c r="I9062" s="1" t="e">
        <f t="shared" si="2"/>
        <v>#VALUE!</v>
      </c>
    </row>
    <row r="9063" spans="1:9" ht="15.75" customHeight="1">
      <c r="A9063" s="26"/>
      <c r="B9063" s="2"/>
      <c r="C9063" s="26"/>
      <c r="D9063" s="26"/>
      <c r="F9063" s="85" t="str">
        <f t="shared" si="0"/>
        <v/>
      </c>
      <c r="G9063" s="1" t="e">
        <f>IF(VALUE(F9063) = VALUE(RIGHT(Insights!$C$3, 4)), E9063, "")</f>
        <v>#VALUE!</v>
      </c>
      <c r="H9063" s="26" t="e">
        <f t="shared" si="1"/>
        <v>#VALUE!</v>
      </c>
      <c r="I9063" s="1" t="e">
        <f t="shared" si="2"/>
        <v>#VALUE!</v>
      </c>
    </row>
    <row r="9064" spans="1:9" ht="15.75" customHeight="1">
      <c r="A9064" s="26"/>
      <c r="B9064" s="2"/>
      <c r="C9064" s="26"/>
      <c r="D9064" s="26"/>
      <c r="F9064" s="85" t="str">
        <f t="shared" si="0"/>
        <v/>
      </c>
      <c r="G9064" s="1" t="e">
        <f>IF(VALUE(F9064) = VALUE(RIGHT(Insights!$C$3, 4)), E9064, "")</f>
        <v>#VALUE!</v>
      </c>
      <c r="H9064" s="26" t="e">
        <f t="shared" si="1"/>
        <v>#VALUE!</v>
      </c>
      <c r="I9064" s="1" t="e">
        <f t="shared" si="2"/>
        <v>#VALUE!</v>
      </c>
    </row>
    <row r="9065" spans="1:9" ht="15.75" customHeight="1">
      <c r="A9065" s="26"/>
      <c r="B9065" s="2"/>
      <c r="C9065" s="26"/>
      <c r="D9065" s="26"/>
      <c r="F9065" s="85" t="str">
        <f t="shared" si="0"/>
        <v/>
      </c>
      <c r="G9065" s="1" t="e">
        <f>IF(VALUE(F9065) = VALUE(RIGHT(Insights!$C$3, 4)), E9065, "")</f>
        <v>#VALUE!</v>
      </c>
      <c r="H9065" s="26" t="e">
        <f t="shared" si="1"/>
        <v>#VALUE!</v>
      </c>
      <c r="I9065" s="1" t="e">
        <f t="shared" si="2"/>
        <v>#VALUE!</v>
      </c>
    </row>
    <row r="9066" spans="1:9" ht="15.75" customHeight="1">
      <c r="A9066" s="26"/>
      <c r="B9066" s="2"/>
      <c r="C9066" s="26"/>
      <c r="D9066" s="26"/>
      <c r="F9066" s="85" t="str">
        <f t="shared" si="0"/>
        <v/>
      </c>
      <c r="G9066" s="1" t="e">
        <f>IF(VALUE(F9066) = VALUE(RIGHT(Insights!$C$3, 4)), E9066, "")</f>
        <v>#VALUE!</v>
      </c>
      <c r="H9066" s="26" t="e">
        <f t="shared" si="1"/>
        <v>#VALUE!</v>
      </c>
      <c r="I9066" s="1" t="e">
        <f t="shared" si="2"/>
        <v>#VALUE!</v>
      </c>
    </row>
    <row r="9067" spans="1:9" ht="15.75" customHeight="1">
      <c r="A9067" s="26"/>
      <c r="B9067" s="2"/>
      <c r="C9067" s="26"/>
      <c r="D9067" s="26"/>
      <c r="F9067" s="85" t="str">
        <f t="shared" si="0"/>
        <v/>
      </c>
      <c r="G9067" s="1" t="e">
        <f>IF(VALUE(F9067) = VALUE(RIGHT(Insights!$C$3, 4)), E9067, "")</f>
        <v>#VALUE!</v>
      </c>
      <c r="H9067" s="26" t="e">
        <f t="shared" si="1"/>
        <v>#VALUE!</v>
      </c>
      <c r="I9067" s="1" t="e">
        <f t="shared" si="2"/>
        <v>#VALUE!</v>
      </c>
    </row>
    <row r="9068" spans="1:9" ht="15.75" customHeight="1">
      <c r="A9068" s="26"/>
      <c r="B9068" s="2"/>
      <c r="C9068" s="26"/>
      <c r="D9068" s="26"/>
      <c r="F9068" s="85" t="str">
        <f t="shared" si="0"/>
        <v/>
      </c>
      <c r="G9068" s="1" t="e">
        <f>IF(VALUE(F9068) = VALUE(RIGHT(Insights!$C$3, 4)), E9068, "")</f>
        <v>#VALUE!</v>
      </c>
      <c r="H9068" s="26" t="e">
        <f t="shared" si="1"/>
        <v>#VALUE!</v>
      </c>
      <c r="I9068" s="1" t="e">
        <f t="shared" si="2"/>
        <v>#VALUE!</v>
      </c>
    </row>
    <row r="9069" spans="1:9" ht="15.75" customHeight="1">
      <c r="A9069" s="26"/>
      <c r="B9069" s="2"/>
      <c r="C9069" s="26"/>
      <c r="D9069" s="26"/>
      <c r="F9069" s="85" t="str">
        <f t="shared" si="0"/>
        <v/>
      </c>
      <c r="G9069" s="1" t="e">
        <f>IF(VALUE(F9069) = VALUE(RIGHT(Insights!$C$3, 4)), E9069, "")</f>
        <v>#VALUE!</v>
      </c>
      <c r="H9069" s="26" t="e">
        <f t="shared" si="1"/>
        <v>#VALUE!</v>
      </c>
      <c r="I9069" s="1" t="e">
        <f t="shared" si="2"/>
        <v>#VALUE!</v>
      </c>
    </row>
    <row r="9070" spans="1:9" ht="15.75" customHeight="1">
      <c r="A9070" s="26"/>
      <c r="B9070" s="2"/>
      <c r="C9070" s="26"/>
      <c r="D9070" s="26"/>
      <c r="F9070" s="85" t="str">
        <f t="shared" si="0"/>
        <v/>
      </c>
      <c r="G9070" s="1" t="e">
        <f>IF(VALUE(F9070) = VALUE(RIGHT(Insights!$C$3, 4)), E9070, "")</f>
        <v>#VALUE!</v>
      </c>
      <c r="H9070" s="26" t="e">
        <f t="shared" si="1"/>
        <v>#VALUE!</v>
      </c>
      <c r="I9070" s="1" t="e">
        <f t="shared" si="2"/>
        <v>#VALUE!</v>
      </c>
    </row>
    <row r="9071" spans="1:9" ht="15.75" customHeight="1">
      <c r="A9071" s="26"/>
      <c r="B9071" s="2"/>
      <c r="C9071" s="26"/>
      <c r="D9071" s="26"/>
      <c r="F9071" s="85" t="str">
        <f t="shared" si="0"/>
        <v/>
      </c>
      <c r="G9071" s="1" t="e">
        <f>IF(VALUE(F9071) = VALUE(RIGHT(Insights!$C$3, 4)), E9071, "")</f>
        <v>#VALUE!</v>
      </c>
      <c r="H9071" s="26" t="e">
        <f t="shared" si="1"/>
        <v>#VALUE!</v>
      </c>
      <c r="I9071" s="1" t="e">
        <f t="shared" si="2"/>
        <v>#VALUE!</v>
      </c>
    </row>
    <row r="9072" spans="1:9" ht="15.75" customHeight="1">
      <c r="A9072" s="26"/>
      <c r="B9072" s="2"/>
      <c r="C9072" s="26"/>
      <c r="D9072" s="26"/>
      <c r="F9072" s="85" t="str">
        <f t="shared" si="0"/>
        <v/>
      </c>
      <c r="G9072" s="1" t="e">
        <f>IF(VALUE(F9072) = VALUE(RIGHT(Insights!$C$3, 4)), E9072, "")</f>
        <v>#VALUE!</v>
      </c>
      <c r="H9072" s="26" t="e">
        <f t="shared" si="1"/>
        <v>#VALUE!</v>
      </c>
      <c r="I9072" s="1" t="e">
        <f t="shared" si="2"/>
        <v>#VALUE!</v>
      </c>
    </row>
    <row r="9073" spans="1:9" ht="15.75" customHeight="1">
      <c r="A9073" s="26"/>
      <c r="B9073" s="2"/>
      <c r="C9073" s="26"/>
      <c r="D9073" s="26"/>
      <c r="F9073" s="85" t="str">
        <f t="shared" si="0"/>
        <v/>
      </c>
      <c r="G9073" s="1" t="e">
        <f>IF(VALUE(F9073) = VALUE(RIGHT(Insights!$C$3, 4)), E9073, "")</f>
        <v>#VALUE!</v>
      </c>
      <c r="H9073" s="26" t="e">
        <f t="shared" si="1"/>
        <v>#VALUE!</v>
      </c>
      <c r="I9073" s="1" t="e">
        <f t="shared" si="2"/>
        <v>#VALUE!</v>
      </c>
    </row>
    <row r="9074" spans="1:9" ht="15.75" customHeight="1">
      <c r="A9074" s="26"/>
      <c r="B9074" s="2"/>
      <c r="C9074" s="26"/>
      <c r="D9074" s="26"/>
      <c r="F9074" s="85" t="str">
        <f t="shared" si="0"/>
        <v/>
      </c>
      <c r="G9074" s="1" t="e">
        <f>IF(VALUE(F9074) = VALUE(RIGHT(Insights!$C$3, 4)), E9074, "")</f>
        <v>#VALUE!</v>
      </c>
      <c r="H9074" s="26" t="e">
        <f t="shared" si="1"/>
        <v>#VALUE!</v>
      </c>
      <c r="I9074" s="1" t="e">
        <f t="shared" si="2"/>
        <v>#VALUE!</v>
      </c>
    </row>
    <row r="9075" spans="1:9" ht="15.75" customHeight="1">
      <c r="A9075" s="26"/>
      <c r="B9075" s="2"/>
      <c r="C9075" s="26"/>
      <c r="D9075" s="26"/>
      <c r="F9075" s="85" t="str">
        <f t="shared" si="0"/>
        <v/>
      </c>
      <c r="G9075" s="1" t="e">
        <f>IF(VALUE(F9075) = VALUE(RIGHT(Insights!$C$3, 4)), E9075, "")</f>
        <v>#VALUE!</v>
      </c>
      <c r="H9075" s="26" t="e">
        <f t="shared" si="1"/>
        <v>#VALUE!</v>
      </c>
      <c r="I9075" s="1" t="e">
        <f t="shared" si="2"/>
        <v>#VALUE!</v>
      </c>
    </row>
    <row r="9076" spans="1:9" ht="15.75" customHeight="1">
      <c r="A9076" s="26"/>
      <c r="B9076" s="2"/>
      <c r="C9076" s="26"/>
      <c r="D9076" s="26"/>
      <c r="F9076" s="85" t="str">
        <f t="shared" si="0"/>
        <v/>
      </c>
      <c r="G9076" s="1" t="e">
        <f>IF(VALUE(F9076) = VALUE(RIGHT(Insights!$C$3, 4)), E9076, "")</f>
        <v>#VALUE!</v>
      </c>
      <c r="H9076" s="26" t="e">
        <f t="shared" si="1"/>
        <v>#VALUE!</v>
      </c>
      <c r="I9076" s="1" t="e">
        <f t="shared" si="2"/>
        <v>#VALUE!</v>
      </c>
    </row>
    <row r="9077" spans="1:9" ht="15.75" customHeight="1">
      <c r="A9077" s="26"/>
      <c r="B9077" s="2"/>
      <c r="C9077" s="26"/>
      <c r="D9077" s="26"/>
      <c r="F9077" s="85" t="str">
        <f t="shared" si="0"/>
        <v/>
      </c>
      <c r="G9077" s="1" t="e">
        <f>IF(VALUE(F9077) = VALUE(RIGHT(Insights!$C$3, 4)), E9077, "")</f>
        <v>#VALUE!</v>
      </c>
      <c r="H9077" s="26" t="e">
        <f t="shared" si="1"/>
        <v>#VALUE!</v>
      </c>
      <c r="I9077" s="1" t="e">
        <f t="shared" si="2"/>
        <v>#VALUE!</v>
      </c>
    </row>
    <row r="9078" spans="1:9" ht="15.75" customHeight="1">
      <c r="A9078" s="26"/>
      <c r="B9078" s="2"/>
      <c r="C9078" s="26"/>
      <c r="D9078" s="26"/>
      <c r="F9078" s="85" t="str">
        <f t="shared" si="0"/>
        <v/>
      </c>
      <c r="G9078" s="1" t="e">
        <f>IF(VALUE(F9078) = VALUE(RIGHT(Insights!$C$3, 4)), E9078, "")</f>
        <v>#VALUE!</v>
      </c>
      <c r="H9078" s="26" t="e">
        <f t="shared" si="1"/>
        <v>#VALUE!</v>
      </c>
      <c r="I9078" s="1" t="e">
        <f t="shared" si="2"/>
        <v>#VALUE!</v>
      </c>
    </row>
    <row r="9079" spans="1:9" ht="15.75" customHeight="1">
      <c r="A9079" s="26"/>
      <c r="B9079" s="2"/>
      <c r="C9079" s="26"/>
      <c r="D9079" s="26"/>
      <c r="F9079" s="85" t="str">
        <f t="shared" si="0"/>
        <v/>
      </c>
      <c r="G9079" s="1" t="e">
        <f>IF(VALUE(F9079) = VALUE(RIGHT(Insights!$C$3, 4)), E9079, "")</f>
        <v>#VALUE!</v>
      </c>
      <c r="H9079" s="26" t="e">
        <f t="shared" si="1"/>
        <v>#VALUE!</v>
      </c>
      <c r="I9079" s="1" t="e">
        <f t="shared" si="2"/>
        <v>#VALUE!</v>
      </c>
    </row>
    <row r="9080" spans="1:9" ht="15.75" customHeight="1">
      <c r="A9080" s="26"/>
      <c r="B9080" s="2"/>
      <c r="C9080" s="26"/>
      <c r="D9080" s="26"/>
      <c r="F9080" s="85" t="str">
        <f t="shared" si="0"/>
        <v/>
      </c>
      <c r="G9080" s="1" t="e">
        <f>IF(VALUE(F9080) = VALUE(RIGHT(Insights!$C$3, 4)), E9080, "")</f>
        <v>#VALUE!</v>
      </c>
      <c r="H9080" s="26" t="e">
        <f t="shared" si="1"/>
        <v>#VALUE!</v>
      </c>
      <c r="I9080" s="1" t="e">
        <f t="shared" si="2"/>
        <v>#VALUE!</v>
      </c>
    </row>
    <row r="9081" spans="1:9" ht="15.75" customHeight="1">
      <c r="A9081" s="26"/>
      <c r="B9081" s="2"/>
      <c r="C9081" s="26"/>
      <c r="D9081" s="26"/>
      <c r="F9081" s="85" t="str">
        <f t="shared" si="0"/>
        <v/>
      </c>
      <c r="G9081" s="1" t="e">
        <f>IF(VALUE(F9081) = VALUE(RIGHT(Insights!$C$3, 4)), E9081, "")</f>
        <v>#VALUE!</v>
      </c>
      <c r="H9081" s="26" t="e">
        <f t="shared" si="1"/>
        <v>#VALUE!</v>
      </c>
      <c r="I9081" s="1" t="e">
        <f t="shared" si="2"/>
        <v>#VALUE!</v>
      </c>
    </row>
    <row r="9082" spans="1:9" ht="15.75" customHeight="1">
      <c r="A9082" s="26"/>
      <c r="B9082" s="2"/>
      <c r="C9082" s="26"/>
      <c r="D9082" s="26"/>
      <c r="F9082" s="85" t="str">
        <f t="shared" si="0"/>
        <v/>
      </c>
      <c r="G9082" s="1" t="e">
        <f>IF(VALUE(F9082) = VALUE(RIGHT(Insights!$C$3, 4)), E9082, "")</f>
        <v>#VALUE!</v>
      </c>
      <c r="H9082" s="26" t="e">
        <f t="shared" si="1"/>
        <v>#VALUE!</v>
      </c>
      <c r="I9082" s="1" t="e">
        <f t="shared" si="2"/>
        <v>#VALUE!</v>
      </c>
    </row>
    <row r="9083" spans="1:9" ht="15.75" customHeight="1">
      <c r="A9083" s="26"/>
      <c r="B9083" s="2"/>
      <c r="C9083" s="26"/>
      <c r="D9083" s="26"/>
      <c r="F9083" s="85" t="str">
        <f t="shared" si="0"/>
        <v/>
      </c>
      <c r="G9083" s="1" t="e">
        <f>IF(VALUE(F9083) = VALUE(RIGHT(Insights!$C$3, 4)), E9083, "")</f>
        <v>#VALUE!</v>
      </c>
      <c r="H9083" s="26" t="e">
        <f t="shared" si="1"/>
        <v>#VALUE!</v>
      </c>
      <c r="I9083" s="1" t="e">
        <f t="shared" si="2"/>
        <v>#VALUE!</v>
      </c>
    </row>
    <row r="9084" spans="1:9" ht="15.75" customHeight="1">
      <c r="A9084" s="26"/>
      <c r="B9084" s="2"/>
      <c r="C9084" s="26"/>
      <c r="D9084" s="26"/>
      <c r="F9084" s="85" t="str">
        <f t="shared" si="0"/>
        <v/>
      </c>
      <c r="G9084" s="1" t="e">
        <f>IF(VALUE(F9084) = VALUE(RIGHT(Insights!$C$3, 4)), E9084, "")</f>
        <v>#VALUE!</v>
      </c>
      <c r="H9084" s="26" t="e">
        <f t="shared" si="1"/>
        <v>#VALUE!</v>
      </c>
      <c r="I9084" s="1" t="e">
        <f t="shared" si="2"/>
        <v>#VALUE!</v>
      </c>
    </row>
    <row r="9085" spans="1:9" ht="15.75" customHeight="1">
      <c r="A9085" s="26"/>
      <c r="B9085" s="2"/>
      <c r="C9085" s="26"/>
      <c r="D9085" s="26"/>
      <c r="F9085" s="85" t="str">
        <f t="shared" si="0"/>
        <v/>
      </c>
      <c r="G9085" s="1" t="e">
        <f>IF(VALUE(F9085) = VALUE(RIGHT(Insights!$C$3, 4)), E9085, "")</f>
        <v>#VALUE!</v>
      </c>
      <c r="H9085" s="26" t="e">
        <f t="shared" si="1"/>
        <v>#VALUE!</v>
      </c>
      <c r="I9085" s="1" t="e">
        <f t="shared" si="2"/>
        <v>#VALUE!</v>
      </c>
    </row>
    <row r="9086" spans="1:9" ht="15.75" customHeight="1">
      <c r="A9086" s="26"/>
      <c r="B9086" s="2"/>
      <c r="C9086" s="26"/>
      <c r="D9086" s="26"/>
      <c r="F9086" s="85" t="str">
        <f t="shared" si="0"/>
        <v/>
      </c>
      <c r="G9086" s="1" t="e">
        <f>IF(VALUE(F9086) = VALUE(RIGHT(Insights!$C$3, 4)), E9086, "")</f>
        <v>#VALUE!</v>
      </c>
      <c r="H9086" s="26" t="e">
        <f t="shared" si="1"/>
        <v>#VALUE!</v>
      </c>
      <c r="I9086" s="1" t="e">
        <f t="shared" si="2"/>
        <v>#VALUE!</v>
      </c>
    </row>
    <row r="9087" spans="1:9" ht="15.75" customHeight="1">
      <c r="A9087" s="26"/>
      <c r="B9087" s="2"/>
      <c r="C9087" s="26"/>
      <c r="D9087" s="26"/>
      <c r="F9087" s="85" t="str">
        <f t="shared" si="0"/>
        <v/>
      </c>
      <c r="G9087" s="1" t="e">
        <f>IF(VALUE(F9087) = VALUE(RIGHT(Insights!$C$3, 4)), E9087, "")</f>
        <v>#VALUE!</v>
      </c>
      <c r="H9087" s="26" t="e">
        <f t="shared" si="1"/>
        <v>#VALUE!</v>
      </c>
      <c r="I9087" s="1" t="e">
        <f t="shared" si="2"/>
        <v>#VALUE!</v>
      </c>
    </row>
    <row r="9088" spans="1:9" ht="15.75" customHeight="1">
      <c r="A9088" s="26"/>
      <c r="B9088" s="2"/>
      <c r="C9088" s="26"/>
      <c r="D9088" s="26"/>
      <c r="F9088" s="85" t="str">
        <f t="shared" si="0"/>
        <v/>
      </c>
      <c r="G9088" s="1" t="e">
        <f>IF(VALUE(F9088) = VALUE(RIGHT(Insights!$C$3, 4)), E9088, "")</f>
        <v>#VALUE!</v>
      </c>
      <c r="H9088" s="26" t="e">
        <f t="shared" si="1"/>
        <v>#VALUE!</v>
      </c>
      <c r="I9088" s="1" t="e">
        <f t="shared" si="2"/>
        <v>#VALUE!</v>
      </c>
    </row>
    <row r="9089" spans="1:9" ht="15.75" customHeight="1">
      <c r="A9089" s="26"/>
      <c r="B9089" s="2"/>
      <c r="C9089" s="26"/>
      <c r="D9089" s="26"/>
      <c r="F9089" s="85" t="str">
        <f t="shared" si="0"/>
        <v/>
      </c>
      <c r="G9089" s="1" t="e">
        <f>IF(VALUE(F9089) = VALUE(RIGHT(Insights!$C$3, 4)), E9089, "")</f>
        <v>#VALUE!</v>
      </c>
      <c r="H9089" s="26" t="e">
        <f t="shared" si="1"/>
        <v>#VALUE!</v>
      </c>
      <c r="I9089" s="1" t="e">
        <f t="shared" si="2"/>
        <v>#VALUE!</v>
      </c>
    </row>
    <row r="9090" spans="1:9" ht="15.75" customHeight="1">
      <c r="A9090" s="26"/>
      <c r="B9090" s="2"/>
      <c r="C9090" s="26"/>
      <c r="D9090" s="26"/>
      <c r="F9090" s="85" t="str">
        <f t="shared" si="0"/>
        <v/>
      </c>
      <c r="G9090" s="1" t="e">
        <f>IF(VALUE(F9090) = VALUE(RIGHT(Insights!$C$3, 4)), E9090, "")</f>
        <v>#VALUE!</v>
      </c>
      <c r="H9090" s="26" t="e">
        <f t="shared" si="1"/>
        <v>#VALUE!</v>
      </c>
      <c r="I9090" s="1" t="e">
        <f t="shared" si="2"/>
        <v>#VALUE!</v>
      </c>
    </row>
    <row r="9091" spans="1:9" ht="15.75" customHeight="1">
      <c r="A9091" s="26"/>
      <c r="B9091" s="2"/>
      <c r="C9091" s="26"/>
      <c r="D9091" s="26"/>
      <c r="F9091" s="85" t="str">
        <f t="shared" si="0"/>
        <v/>
      </c>
      <c r="G9091" s="1" t="e">
        <f>IF(VALUE(F9091) = VALUE(RIGHT(Insights!$C$3, 4)), E9091, "")</f>
        <v>#VALUE!</v>
      </c>
      <c r="H9091" s="26" t="e">
        <f t="shared" si="1"/>
        <v>#VALUE!</v>
      </c>
      <c r="I9091" s="1" t="e">
        <f t="shared" si="2"/>
        <v>#VALUE!</v>
      </c>
    </row>
    <row r="9092" spans="1:9" ht="15.75" customHeight="1">
      <c r="A9092" s="26"/>
      <c r="B9092" s="2"/>
      <c r="C9092" s="26"/>
      <c r="D9092" s="26"/>
      <c r="F9092" s="85" t="str">
        <f t="shared" si="0"/>
        <v/>
      </c>
      <c r="G9092" s="1" t="e">
        <f>IF(VALUE(F9092) = VALUE(RIGHT(Insights!$C$3, 4)), E9092, "")</f>
        <v>#VALUE!</v>
      </c>
      <c r="H9092" s="26" t="e">
        <f t="shared" si="1"/>
        <v>#VALUE!</v>
      </c>
      <c r="I9092" s="1" t="e">
        <f t="shared" si="2"/>
        <v>#VALUE!</v>
      </c>
    </row>
    <row r="9093" spans="1:9" ht="15.75" customHeight="1">
      <c r="A9093" s="26"/>
      <c r="B9093" s="2"/>
      <c r="C9093" s="26"/>
      <c r="D9093" s="26"/>
      <c r="F9093" s="85" t="str">
        <f t="shared" si="0"/>
        <v/>
      </c>
      <c r="G9093" s="1" t="e">
        <f>IF(VALUE(F9093) = VALUE(RIGHT(Insights!$C$3, 4)), E9093, "")</f>
        <v>#VALUE!</v>
      </c>
      <c r="H9093" s="26" t="e">
        <f t="shared" si="1"/>
        <v>#VALUE!</v>
      </c>
      <c r="I9093" s="1" t="e">
        <f t="shared" si="2"/>
        <v>#VALUE!</v>
      </c>
    </row>
    <row r="9094" spans="1:9" ht="15.75" customHeight="1">
      <c r="A9094" s="26"/>
      <c r="B9094" s="2"/>
      <c r="C9094" s="26"/>
      <c r="D9094" s="26"/>
      <c r="F9094" s="85" t="str">
        <f t="shared" si="0"/>
        <v/>
      </c>
      <c r="G9094" s="1" t="e">
        <f>IF(VALUE(F9094) = VALUE(RIGHT(Insights!$C$3, 4)), E9094, "")</f>
        <v>#VALUE!</v>
      </c>
      <c r="H9094" s="26" t="e">
        <f t="shared" si="1"/>
        <v>#VALUE!</v>
      </c>
      <c r="I9094" s="1" t="e">
        <f t="shared" si="2"/>
        <v>#VALUE!</v>
      </c>
    </row>
    <row r="9095" spans="1:9" ht="15.75" customHeight="1">
      <c r="A9095" s="26"/>
      <c r="B9095" s="2"/>
      <c r="C9095" s="26"/>
      <c r="D9095" s="26"/>
      <c r="F9095" s="85" t="str">
        <f t="shared" si="0"/>
        <v/>
      </c>
      <c r="G9095" s="1" t="e">
        <f>IF(VALUE(F9095) = VALUE(RIGHT(Insights!$C$3, 4)), E9095, "")</f>
        <v>#VALUE!</v>
      </c>
      <c r="H9095" s="26" t="e">
        <f t="shared" si="1"/>
        <v>#VALUE!</v>
      </c>
      <c r="I9095" s="1" t="e">
        <f t="shared" si="2"/>
        <v>#VALUE!</v>
      </c>
    </row>
    <row r="9096" spans="1:9" ht="15.75" customHeight="1">
      <c r="A9096" s="26"/>
      <c r="B9096" s="2"/>
      <c r="C9096" s="26"/>
      <c r="D9096" s="26"/>
      <c r="F9096" s="85" t="str">
        <f t="shared" si="0"/>
        <v/>
      </c>
      <c r="G9096" s="1" t="e">
        <f>IF(VALUE(F9096) = VALUE(RIGHT(Insights!$C$3, 4)), E9096, "")</f>
        <v>#VALUE!</v>
      </c>
      <c r="H9096" s="26" t="e">
        <f t="shared" si="1"/>
        <v>#VALUE!</v>
      </c>
      <c r="I9096" s="1" t="e">
        <f t="shared" si="2"/>
        <v>#VALUE!</v>
      </c>
    </row>
    <row r="9097" spans="1:9" ht="15.75" customHeight="1">
      <c r="A9097" s="26"/>
      <c r="B9097" s="2"/>
      <c r="C9097" s="26"/>
      <c r="D9097" s="26"/>
      <c r="F9097" s="85" t="str">
        <f t="shared" si="0"/>
        <v/>
      </c>
      <c r="G9097" s="1" t="e">
        <f>IF(VALUE(F9097) = VALUE(RIGHT(Insights!$C$3, 4)), E9097, "")</f>
        <v>#VALUE!</v>
      </c>
      <c r="H9097" s="26" t="e">
        <f t="shared" si="1"/>
        <v>#VALUE!</v>
      </c>
      <c r="I9097" s="1" t="e">
        <f t="shared" si="2"/>
        <v>#VALUE!</v>
      </c>
    </row>
    <row r="9098" spans="1:9" ht="15.75" customHeight="1">
      <c r="A9098" s="26"/>
      <c r="B9098" s="2"/>
      <c r="C9098" s="26"/>
      <c r="D9098" s="26"/>
      <c r="F9098" s="85" t="str">
        <f t="shared" si="0"/>
        <v/>
      </c>
      <c r="G9098" s="1" t="e">
        <f>IF(VALUE(F9098) = VALUE(RIGHT(Insights!$C$3, 4)), E9098, "")</f>
        <v>#VALUE!</v>
      </c>
      <c r="H9098" s="26" t="e">
        <f t="shared" si="1"/>
        <v>#VALUE!</v>
      </c>
      <c r="I9098" s="1" t="e">
        <f t="shared" si="2"/>
        <v>#VALUE!</v>
      </c>
    </row>
    <row r="9099" spans="1:9" ht="15.75" customHeight="1">
      <c r="A9099" s="26"/>
      <c r="B9099" s="2"/>
      <c r="C9099" s="26"/>
      <c r="D9099" s="26"/>
      <c r="F9099" s="85" t="str">
        <f t="shared" si="0"/>
        <v/>
      </c>
      <c r="G9099" s="1" t="e">
        <f>IF(VALUE(F9099) = VALUE(RIGHT(Insights!$C$3, 4)), E9099, "")</f>
        <v>#VALUE!</v>
      </c>
      <c r="H9099" s="26" t="e">
        <f t="shared" si="1"/>
        <v>#VALUE!</v>
      </c>
      <c r="I9099" s="1" t="e">
        <f t="shared" si="2"/>
        <v>#VALUE!</v>
      </c>
    </row>
    <row r="9100" spans="1:9" ht="15.75" customHeight="1">
      <c r="A9100" s="26"/>
      <c r="B9100" s="2"/>
      <c r="C9100" s="26"/>
      <c r="D9100" s="26"/>
      <c r="F9100" s="85" t="str">
        <f t="shared" si="0"/>
        <v/>
      </c>
      <c r="G9100" s="1" t="e">
        <f>IF(VALUE(F9100) = VALUE(RIGHT(Insights!$C$3, 4)), E9100, "")</f>
        <v>#VALUE!</v>
      </c>
      <c r="H9100" s="26" t="e">
        <f t="shared" si="1"/>
        <v>#VALUE!</v>
      </c>
      <c r="I9100" s="1" t="e">
        <f t="shared" si="2"/>
        <v>#VALUE!</v>
      </c>
    </row>
    <row r="9101" spans="1:9" ht="15.75" customHeight="1">
      <c r="A9101" s="26"/>
      <c r="B9101" s="2"/>
      <c r="C9101" s="26"/>
      <c r="D9101" s="26"/>
      <c r="F9101" s="85" t="str">
        <f t="shared" si="0"/>
        <v/>
      </c>
      <c r="G9101" s="1" t="e">
        <f>IF(VALUE(F9101) = VALUE(RIGHT(Insights!$C$3, 4)), E9101, "")</f>
        <v>#VALUE!</v>
      </c>
      <c r="H9101" s="26" t="e">
        <f t="shared" si="1"/>
        <v>#VALUE!</v>
      </c>
      <c r="I9101" s="1" t="e">
        <f t="shared" si="2"/>
        <v>#VALUE!</v>
      </c>
    </row>
    <row r="9102" spans="1:9" ht="15.75" customHeight="1">
      <c r="A9102" s="26"/>
      <c r="B9102" s="2"/>
      <c r="C9102" s="26"/>
      <c r="D9102" s="26"/>
      <c r="F9102" s="85" t="str">
        <f t="shared" si="0"/>
        <v/>
      </c>
      <c r="G9102" s="1" t="e">
        <f>IF(VALUE(F9102) = VALUE(RIGHT(Insights!$C$3, 4)), E9102, "")</f>
        <v>#VALUE!</v>
      </c>
      <c r="H9102" s="26" t="e">
        <f t="shared" si="1"/>
        <v>#VALUE!</v>
      </c>
      <c r="I9102" s="1" t="e">
        <f t="shared" si="2"/>
        <v>#VALUE!</v>
      </c>
    </row>
    <row r="9103" spans="1:9" ht="15.75" customHeight="1">
      <c r="A9103" s="26"/>
      <c r="B9103" s="2"/>
      <c r="C9103" s="26"/>
      <c r="D9103" s="26"/>
      <c r="F9103" s="85" t="str">
        <f t="shared" si="0"/>
        <v/>
      </c>
      <c r="G9103" s="1" t="e">
        <f>IF(VALUE(F9103) = VALUE(RIGHT(Insights!$C$3, 4)), E9103, "")</f>
        <v>#VALUE!</v>
      </c>
      <c r="H9103" s="26" t="e">
        <f t="shared" si="1"/>
        <v>#VALUE!</v>
      </c>
      <c r="I9103" s="1" t="e">
        <f t="shared" si="2"/>
        <v>#VALUE!</v>
      </c>
    </row>
    <row r="9104" spans="1:9" ht="15.75" customHeight="1">
      <c r="A9104" s="26"/>
      <c r="B9104" s="2"/>
      <c r="C9104" s="26"/>
      <c r="D9104" s="26"/>
      <c r="F9104" s="85" t="str">
        <f t="shared" si="0"/>
        <v/>
      </c>
      <c r="G9104" s="1" t="e">
        <f>IF(VALUE(F9104) = VALUE(RIGHT(Insights!$C$3, 4)), E9104, "")</f>
        <v>#VALUE!</v>
      </c>
      <c r="H9104" s="26" t="e">
        <f t="shared" si="1"/>
        <v>#VALUE!</v>
      </c>
      <c r="I9104" s="1" t="e">
        <f t="shared" si="2"/>
        <v>#VALUE!</v>
      </c>
    </row>
    <row r="9105" spans="1:9" ht="15.75" customHeight="1">
      <c r="A9105" s="26"/>
      <c r="B9105" s="2"/>
      <c r="C9105" s="26"/>
      <c r="D9105" s="26"/>
      <c r="F9105" s="85" t="str">
        <f t="shared" si="0"/>
        <v/>
      </c>
      <c r="G9105" s="1" t="e">
        <f>IF(VALUE(F9105) = VALUE(RIGHT(Insights!$C$3, 4)), E9105, "")</f>
        <v>#VALUE!</v>
      </c>
      <c r="H9105" s="26" t="e">
        <f t="shared" si="1"/>
        <v>#VALUE!</v>
      </c>
      <c r="I9105" s="1" t="e">
        <f t="shared" si="2"/>
        <v>#VALUE!</v>
      </c>
    </row>
    <row r="9106" spans="1:9" ht="15.75" customHeight="1">
      <c r="A9106" s="26"/>
      <c r="B9106" s="2"/>
      <c r="C9106" s="26"/>
      <c r="D9106" s="26"/>
      <c r="F9106" s="85" t="str">
        <f t="shared" si="0"/>
        <v/>
      </c>
      <c r="G9106" s="1" t="e">
        <f>IF(VALUE(F9106) = VALUE(RIGHT(Insights!$C$3, 4)), E9106, "")</f>
        <v>#VALUE!</v>
      </c>
      <c r="H9106" s="26" t="e">
        <f t="shared" si="1"/>
        <v>#VALUE!</v>
      </c>
      <c r="I9106" s="1" t="e">
        <f t="shared" si="2"/>
        <v>#VALUE!</v>
      </c>
    </row>
    <row r="9107" spans="1:9" ht="15.75" customHeight="1">
      <c r="A9107" s="26"/>
      <c r="B9107" s="2"/>
      <c r="C9107" s="26"/>
      <c r="D9107" s="26"/>
      <c r="F9107" s="85" t="str">
        <f t="shared" si="0"/>
        <v/>
      </c>
      <c r="G9107" s="1" t="e">
        <f>IF(VALUE(F9107) = VALUE(RIGHT(Insights!$C$3, 4)), E9107, "")</f>
        <v>#VALUE!</v>
      </c>
      <c r="H9107" s="26" t="e">
        <f t="shared" si="1"/>
        <v>#VALUE!</v>
      </c>
      <c r="I9107" s="1" t="e">
        <f t="shared" si="2"/>
        <v>#VALUE!</v>
      </c>
    </row>
    <row r="9108" spans="1:9" ht="15.75" customHeight="1">
      <c r="A9108" s="26"/>
      <c r="B9108" s="2"/>
      <c r="C9108" s="26"/>
      <c r="D9108" s="26"/>
      <c r="F9108" s="85" t="str">
        <f t="shared" si="0"/>
        <v/>
      </c>
      <c r="G9108" s="1" t="e">
        <f>IF(VALUE(F9108) = VALUE(RIGHT(Insights!$C$3, 4)), E9108, "")</f>
        <v>#VALUE!</v>
      </c>
      <c r="H9108" s="26" t="e">
        <f t="shared" si="1"/>
        <v>#VALUE!</v>
      </c>
      <c r="I9108" s="1" t="e">
        <f t="shared" si="2"/>
        <v>#VALUE!</v>
      </c>
    </row>
    <row r="9109" spans="1:9" ht="15.75" customHeight="1">
      <c r="A9109" s="26"/>
      <c r="B9109" s="2"/>
      <c r="C9109" s="26"/>
      <c r="D9109" s="26"/>
      <c r="F9109" s="85" t="str">
        <f t="shared" si="0"/>
        <v/>
      </c>
      <c r="G9109" s="1" t="e">
        <f>IF(VALUE(F9109) = VALUE(RIGHT(Insights!$C$3, 4)), E9109, "")</f>
        <v>#VALUE!</v>
      </c>
      <c r="H9109" s="26" t="e">
        <f t="shared" si="1"/>
        <v>#VALUE!</v>
      </c>
      <c r="I9109" s="1" t="e">
        <f t="shared" si="2"/>
        <v>#VALUE!</v>
      </c>
    </row>
    <row r="9110" spans="1:9" ht="15.75" customHeight="1">
      <c r="A9110" s="26"/>
      <c r="B9110" s="2"/>
      <c r="C9110" s="26"/>
      <c r="D9110" s="26"/>
      <c r="F9110" s="85" t="str">
        <f t="shared" si="0"/>
        <v/>
      </c>
      <c r="G9110" s="1" t="e">
        <f>IF(VALUE(F9110) = VALUE(RIGHT(Insights!$C$3, 4)), E9110, "")</f>
        <v>#VALUE!</v>
      </c>
      <c r="H9110" s="26" t="e">
        <f t="shared" si="1"/>
        <v>#VALUE!</v>
      </c>
      <c r="I9110" s="1" t="e">
        <f t="shared" si="2"/>
        <v>#VALUE!</v>
      </c>
    </row>
    <row r="9111" spans="1:9" ht="15.75" customHeight="1">
      <c r="A9111" s="26"/>
      <c r="B9111" s="2"/>
      <c r="C9111" s="26"/>
      <c r="D9111" s="26"/>
      <c r="F9111" s="85" t="str">
        <f t="shared" si="0"/>
        <v/>
      </c>
      <c r="G9111" s="1" t="e">
        <f>IF(VALUE(F9111) = VALUE(RIGHT(Insights!$C$3, 4)), E9111, "")</f>
        <v>#VALUE!</v>
      </c>
      <c r="H9111" s="26" t="e">
        <f t="shared" si="1"/>
        <v>#VALUE!</v>
      </c>
      <c r="I9111" s="1" t="e">
        <f t="shared" si="2"/>
        <v>#VALUE!</v>
      </c>
    </row>
    <row r="9112" spans="1:9" ht="15.75" customHeight="1">
      <c r="A9112" s="26"/>
      <c r="B9112" s="2"/>
      <c r="C9112" s="26"/>
      <c r="D9112" s="26"/>
      <c r="F9112" s="85" t="str">
        <f t="shared" si="0"/>
        <v/>
      </c>
      <c r="G9112" s="1" t="e">
        <f>IF(VALUE(F9112) = VALUE(RIGHT(Insights!$C$3, 4)), E9112, "")</f>
        <v>#VALUE!</v>
      </c>
      <c r="H9112" s="26" t="e">
        <f t="shared" si="1"/>
        <v>#VALUE!</v>
      </c>
      <c r="I9112" s="1" t="e">
        <f t="shared" si="2"/>
        <v>#VALUE!</v>
      </c>
    </row>
    <row r="9113" spans="1:9" ht="15.75" customHeight="1">
      <c r="A9113" s="26"/>
      <c r="B9113" s="2"/>
      <c r="C9113" s="26"/>
      <c r="D9113" s="26"/>
      <c r="F9113" s="85" t="str">
        <f t="shared" si="0"/>
        <v/>
      </c>
      <c r="G9113" s="1" t="e">
        <f>IF(VALUE(F9113) = VALUE(RIGHT(Insights!$C$3, 4)), E9113, "")</f>
        <v>#VALUE!</v>
      </c>
      <c r="H9113" s="26" t="e">
        <f t="shared" si="1"/>
        <v>#VALUE!</v>
      </c>
      <c r="I9113" s="1" t="e">
        <f t="shared" si="2"/>
        <v>#VALUE!</v>
      </c>
    </row>
    <row r="9114" spans="1:9" ht="15.75" customHeight="1">
      <c r="A9114" s="26"/>
      <c r="B9114" s="2"/>
      <c r="C9114" s="26"/>
      <c r="D9114" s="26"/>
      <c r="F9114" s="85" t="str">
        <f t="shared" si="0"/>
        <v/>
      </c>
      <c r="G9114" s="1" t="e">
        <f>IF(VALUE(F9114) = VALUE(RIGHT(Insights!$C$3, 4)), E9114, "")</f>
        <v>#VALUE!</v>
      </c>
      <c r="H9114" s="26" t="e">
        <f t="shared" si="1"/>
        <v>#VALUE!</v>
      </c>
      <c r="I9114" s="1" t="e">
        <f t="shared" si="2"/>
        <v>#VALUE!</v>
      </c>
    </row>
    <row r="9115" spans="1:9" ht="15.75" customHeight="1">
      <c r="A9115" s="26"/>
      <c r="B9115" s="2"/>
      <c r="C9115" s="26"/>
      <c r="D9115" s="26"/>
      <c r="F9115" s="85" t="str">
        <f t="shared" si="0"/>
        <v/>
      </c>
      <c r="G9115" s="1" t="e">
        <f>IF(VALUE(F9115) = VALUE(RIGHT(Insights!$C$3, 4)), E9115, "")</f>
        <v>#VALUE!</v>
      </c>
      <c r="H9115" s="26" t="e">
        <f t="shared" si="1"/>
        <v>#VALUE!</v>
      </c>
      <c r="I9115" s="1" t="e">
        <f t="shared" si="2"/>
        <v>#VALUE!</v>
      </c>
    </row>
    <row r="9116" spans="1:9" ht="15.75" customHeight="1">
      <c r="A9116" s="26"/>
      <c r="B9116" s="2"/>
      <c r="C9116" s="26"/>
      <c r="D9116" s="26"/>
      <c r="F9116" s="85" t="str">
        <f t="shared" si="0"/>
        <v/>
      </c>
      <c r="G9116" s="1" t="e">
        <f>IF(VALUE(F9116) = VALUE(RIGHT(Insights!$C$3, 4)), E9116, "")</f>
        <v>#VALUE!</v>
      </c>
      <c r="H9116" s="26" t="e">
        <f t="shared" si="1"/>
        <v>#VALUE!</v>
      </c>
      <c r="I9116" s="1" t="e">
        <f t="shared" si="2"/>
        <v>#VALUE!</v>
      </c>
    </row>
    <row r="9117" spans="1:9" ht="15.75" customHeight="1">
      <c r="A9117" s="26"/>
      <c r="B9117" s="2"/>
      <c r="C9117" s="26"/>
      <c r="D9117" s="26"/>
      <c r="F9117" s="85" t="str">
        <f t="shared" si="0"/>
        <v/>
      </c>
      <c r="G9117" s="1" t="e">
        <f>IF(VALUE(F9117) = VALUE(RIGHT(Insights!$C$3, 4)), E9117, "")</f>
        <v>#VALUE!</v>
      </c>
      <c r="H9117" s="26" t="e">
        <f t="shared" si="1"/>
        <v>#VALUE!</v>
      </c>
      <c r="I9117" s="1" t="e">
        <f t="shared" si="2"/>
        <v>#VALUE!</v>
      </c>
    </row>
    <row r="9118" spans="1:9" ht="15.75" customHeight="1">
      <c r="A9118" s="26"/>
      <c r="B9118" s="2"/>
      <c r="C9118" s="26"/>
      <c r="D9118" s="26"/>
      <c r="F9118" s="85" t="str">
        <f t="shared" si="0"/>
        <v/>
      </c>
      <c r="G9118" s="1" t="e">
        <f>IF(VALUE(F9118) = VALUE(RIGHT(Insights!$C$3, 4)), E9118, "")</f>
        <v>#VALUE!</v>
      </c>
      <c r="H9118" s="26" t="e">
        <f t="shared" si="1"/>
        <v>#VALUE!</v>
      </c>
      <c r="I9118" s="1" t="e">
        <f t="shared" si="2"/>
        <v>#VALUE!</v>
      </c>
    </row>
    <row r="9119" spans="1:9" ht="15.75" customHeight="1">
      <c r="A9119" s="26"/>
      <c r="B9119" s="2"/>
      <c r="C9119" s="26"/>
      <c r="D9119" s="26"/>
      <c r="F9119" s="85" t="str">
        <f t="shared" si="0"/>
        <v/>
      </c>
      <c r="G9119" s="1" t="e">
        <f>IF(VALUE(F9119) = VALUE(RIGHT(Insights!$C$3, 4)), E9119, "")</f>
        <v>#VALUE!</v>
      </c>
      <c r="H9119" s="26" t="e">
        <f t="shared" si="1"/>
        <v>#VALUE!</v>
      </c>
      <c r="I9119" s="1" t="e">
        <f t="shared" si="2"/>
        <v>#VALUE!</v>
      </c>
    </row>
    <row r="9120" spans="1:9" ht="15.75" customHeight="1">
      <c r="A9120" s="26"/>
      <c r="B9120" s="2"/>
      <c r="C9120" s="26"/>
      <c r="D9120" s="26"/>
      <c r="F9120" s="85" t="str">
        <f t="shared" si="0"/>
        <v/>
      </c>
      <c r="G9120" s="1" t="e">
        <f>IF(VALUE(F9120) = VALUE(RIGHT(Insights!$C$3, 4)), E9120, "")</f>
        <v>#VALUE!</v>
      </c>
      <c r="H9120" s="26" t="e">
        <f t="shared" si="1"/>
        <v>#VALUE!</v>
      </c>
      <c r="I9120" s="1" t="e">
        <f t="shared" si="2"/>
        <v>#VALUE!</v>
      </c>
    </row>
    <row r="9121" spans="1:9" ht="15.75" customHeight="1">
      <c r="A9121" s="26"/>
      <c r="B9121" s="2"/>
      <c r="C9121" s="26"/>
      <c r="D9121" s="26"/>
      <c r="F9121" s="85" t="str">
        <f t="shared" si="0"/>
        <v/>
      </c>
      <c r="G9121" s="1" t="e">
        <f>IF(VALUE(F9121) = VALUE(RIGHT(Insights!$C$3, 4)), E9121, "")</f>
        <v>#VALUE!</v>
      </c>
      <c r="H9121" s="26" t="e">
        <f t="shared" si="1"/>
        <v>#VALUE!</v>
      </c>
      <c r="I9121" s="1" t="e">
        <f t="shared" si="2"/>
        <v>#VALUE!</v>
      </c>
    </row>
    <row r="9122" spans="1:9" ht="15.75" customHeight="1">
      <c r="A9122" s="26"/>
      <c r="B9122" s="2"/>
      <c r="C9122" s="26"/>
      <c r="D9122" s="26"/>
      <c r="F9122" s="85" t="str">
        <f t="shared" si="0"/>
        <v/>
      </c>
      <c r="G9122" s="1" t="e">
        <f>IF(VALUE(F9122) = VALUE(RIGHT(Insights!$C$3, 4)), E9122, "")</f>
        <v>#VALUE!</v>
      </c>
      <c r="H9122" s="26" t="e">
        <f t="shared" si="1"/>
        <v>#VALUE!</v>
      </c>
      <c r="I9122" s="1" t="e">
        <f t="shared" si="2"/>
        <v>#VALUE!</v>
      </c>
    </row>
    <row r="9123" spans="1:9" ht="15.75" customHeight="1">
      <c r="A9123" s="26"/>
      <c r="B9123" s="2"/>
      <c r="C9123" s="26"/>
      <c r="D9123" s="26"/>
      <c r="F9123" s="85" t="str">
        <f t="shared" si="0"/>
        <v/>
      </c>
      <c r="G9123" s="1" t="e">
        <f>IF(VALUE(F9123) = VALUE(RIGHT(Insights!$C$3, 4)), E9123, "")</f>
        <v>#VALUE!</v>
      </c>
      <c r="H9123" s="26" t="e">
        <f t="shared" si="1"/>
        <v>#VALUE!</v>
      </c>
      <c r="I9123" s="1" t="e">
        <f t="shared" si="2"/>
        <v>#VALUE!</v>
      </c>
    </row>
    <row r="9124" spans="1:9" ht="15.75" customHeight="1">
      <c r="A9124" s="26"/>
      <c r="B9124" s="2"/>
      <c r="C9124" s="26"/>
      <c r="D9124" s="26"/>
      <c r="F9124" s="85" t="str">
        <f t="shared" si="0"/>
        <v/>
      </c>
      <c r="G9124" s="1" t="e">
        <f>IF(VALUE(F9124) = VALUE(RIGHT(Insights!$C$3, 4)), E9124, "")</f>
        <v>#VALUE!</v>
      </c>
      <c r="H9124" s="26" t="e">
        <f t="shared" si="1"/>
        <v>#VALUE!</v>
      </c>
      <c r="I9124" s="1" t="e">
        <f t="shared" si="2"/>
        <v>#VALUE!</v>
      </c>
    </row>
    <row r="9125" spans="1:9" ht="15.75" customHeight="1">
      <c r="A9125" s="26"/>
      <c r="B9125" s="2"/>
      <c r="C9125" s="26"/>
      <c r="D9125" s="26"/>
      <c r="F9125" s="85" t="str">
        <f t="shared" si="0"/>
        <v/>
      </c>
      <c r="G9125" s="1" t="e">
        <f>IF(VALUE(F9125) = VALUE(RIGHT(Insights!$C$3, 4)), E9125, "")</f>
        <v>#VALUE!</v>
      </c>
      <c r="H9125" s="26" t="e">
        <f t="shared" si="1"/>
        <v>#VALUE!</v>
      </c>
      <c r="I9125" s="1" t="e">
        <f t="shared" si="2"/>
        <v>#VALUE!</v>
      </c>
    </row>
    <row r="9126" spans="1:9" ht="15.75" customHeight="1">
      <c r="A9126" s="26"/>
      <c r="B9126" s="2"/>
      <c r="C9126" s="26"/>
      <c r="D9126" s="26"/>
      <c r="F9126" s="85" t="str">
        <f t="shared" si="0"/>
        <v/>
      </c>
      <c r="G9126" s="1" t="e">
        <f>IF(VALUE(F9126) = VALUE(RIGHT(Insights!$C$3, 4)), E9126, "")</f>
        <v>#VALUE!</v>
      </c>
      <c r="H9126" s="26" t="e">
        <f t="shared" si="1"/>
        <v>#VALUE!</v>
      </c>
      <c r="I9126" s="1" t="e">
        <f t="shared" si="2"/>
        <v>#VALUE!</v>
      </c>
    </row>
    <row r="9127" spans="1:9" ht="15.75" customHeight="1">
      <c r="A9127" s="26"/>
      <c r="B9127" s="2"/>
      <c r="C9127" s="26"/>
      <c r="D9127" s="26"/>
      <c r="F9127" s="85" t="str">
        <f t="shared" si="0"/>
        <v/>
      </c>
      <c r="G9127" s="1" t="e">
        <f>IF(VALUE(F9127) = VALUE(RIGHT(Insights!$C$3, 4)), E9127, "")</f>
        <v>#VALUE!</v>
      </c>
      <c r="H9127" s="26" t="e">
        <f t="shared" si="1"/>
        <v>#VALUE!</v>
      </c>
      <c r="I9127" s="1" t="e">
        <f t="shared" si="2"/>
        <v>#VALUE!</v>
      </c>
    </row>
    <row r="9128" spans="1:9" ht="15.75" customHeight="1">
      <c r="A9128" s="26"/>
      <c r="B9128" s="2"/>
      <c r="C9128" s="26"/>
      <c r="D9128" s="26"/>
      <c r="F9128" s="85" t="str">
        <f t="shared" si="0"/>
        <v/>
      </c>
      <c r="G9128" s="1" t="e">
        <f>IF(VALUE(F9128) = VALUE(RIGHT(Insights!$C$3, 4)), E9128, "")</f>
        <v>#VALUE!</v>
      </c>
      <c r="H9128" s="26" t="e">
        <f t="shared" si="1"/>
        <v>#VALUE!</v>
      </c>
      <c r="I9128" s="1" t="e">
        <f t="shared" si="2"/>
        <v>#VALUE!</v>
      </c>
    </row>
    <row r="9129" spans="1:9" ht="15.75" customHeight="1">
      <c r="A9129" s="26"/>
      <c r="B9129" s="2"/>
      <c r="C9129" s="26"/>
      <c r="D9129" s="26"/>
      <c r="F9129" s="85" t="str">
        <f t="shared" si="0"/>
        <v/>
      </c>
      <c r="G9129" s="1" t="e">
        <f>IF(VALUE(F9129) = VALUE(RIGHT(Insights!$C$3, 4)), E9129, "")</f>
        <v>#VALUE!</v>
      </c>
      <c r="H9129" s="26" t="e">
        <f t="shared" si="1"/>
        <v>#VALUE!</v>
      </c>
      <c r="I9129" s="1" t="e">
        <f t="shared" si="2"/>
        <v>#VALUE!</v>
      </c>
    </row>
    <row r="9130" spans="1:9" ht="15.75" customHeight="1">
      <c r="A9130" s="26"/>
      <c r="B9130" s="2"/>
      <c r="C9130" s="26"/>
      <c r="D9130" s="26"/>
      <c r="F9130" s="85" t="str">
        <f t="shared" si="0"/>
        <v/>
      </c>
      <c r="G9130" s="1" t="e">
        <f>IF(VALUE(F9130) = VALUE(RIGHT(Insights!$C$3, 4)), E9130, "")</f>
        <v>#VALUE!</v>
      </c>
      <c r="H9130" s="26" t="e">
        <f t="shared" si="1"/>
        <v>#VALUE!</v>
      </c>
      <c r="I9130" s="1" t="e">
        <f t="shared" si="2"/>
        <v>#VALUE!</v>
      </c>
    </row>
    <row r="9131" spans="1:9" ht="15.75" customHeight="1">
      <c r="A9131" s="26"/>
      <c r="B9131" s="2"/>
      <c r="C9131" s="26"/>
      <c r="D9131" s="26"/>
      <c r="F9131" s="85" t="str">
        <f t="shared" si="0"/>
        <v/>
      </c>
      <c r="G9131" s="1" t="e">
        <f>IF(VALUE(F9131) = VALUE(RIGHT(Insights!$C$3, 4)), E9131, "")</f>
        <v>#VALUE!</v>
      </c>
      <c r="H9131" s="26" t="e">
        <f t="shared" si="1"/>
        <v>#VALUE!</v>
      </c>
      <c r="I9131" s="1" t="e">
        <f t="shared" si="2"/>
        <v>#VALUE!</v>
      </c>
    </row>
    <row r="9132" spans="1:9" ht="15.75" customHeight="1">
      <c r="A9132" s="26"/>
      <c r="B9132" s="2"/>
      <c r="C9132" s="26"/>
      <c r="D9132" s="26"/>
      <c r="F9132" s="85" t="str">
        <f t="shared" si="0"/>
        <v/>
      </c>
      <c r="G9132" s="1" t="e">
        <f>IF(VALUE(F9132) = VALUE(RIGHT(Insights!$C$3, 4)), E9132, "")</f>
        <v>#VALUE!</v>
      </c>
      <c r="H9132" s="26" t="e">
        <f t="shared" si="1"/>
        <v>#VALUE!</v>
      </c>
      <c r="I9132" s="1" t="e">
        <f t="shared" si="2"/>
        <v>#VALUE!</v>
      </c>
    </row>
    <row r="9133" spans="1:9" ht="15.75" customHeight="1">
      <c r="A9133" s="26"/>
      <c r="B9133" s="2"/>
      <c r="C9133" s="26"/>
      <c r="D9133" s="26"/>
      <c r="F9133" s="85" t="str">
        <f t="shared" si="0"/>
        <v/>
      </c>
      <c r="G9133" s="1" t="e">
        <f>IF(VALUE(F9133) = VALUE(RIGHT(Insights!$C$3, 4)), E9133, "")</f>
        <v>#VALUE!</v>
      </c>
      <c r="H9133" s="26" t="e">
        <f t="shared" si="1"/>
        <v>#VALUE!</v>
      </c>
      <c r="I9133" s="1" t="e">
        <f t="shared" si="2"/>
        <v>#VALUE!</v>
      </c>
    </row>
    <row r="9134" spans="1:9" ht="15.75" customHeight="1">
      <c r="A9134" s="26"/>
      <c r="B9134" s="2"/>
      <c r="C9134" s="26"/>
      <c r="D9134" s="26"/>
      <c r="F9134" s="85" t="str">
        <f t="shared" si="0"/>
        <v/>
      </c>
      <c r="G9134" s="1" t="e">
        <f>IF(VALUE(F9134) = VALUE(RIGHT(Insights!$C$3, 4)), E9134, "")</f>
        <v>#VALUE!</v>
      </c>
      <c r="H9134" s="26" t="e">
        <f t="shared" si="1"/>
        <v>#VALUE!</v>
      </c>
      <c r="I9134" s="1" t="e">
        <f t="shared" si="2"/>
        <v>#VALUE!</v>
      </c>
    </row>
    <row r="9135" spans="1:9" ht="15.75" customHeight="1">
      <c r="A9135" s="26"/>
      <c r="B9135" s="2"/>
      <c r="C9135" s="26"/>
      <c r="D9135" s="26"/>
      <c r="F9135" s="85" t="str">
        <f t="shared" si="0"/>
        <v/>
      </c>
      <c r="G9135" s="1" t="e">
        <f>IF(VALUE(F9135) = VALUE(RIGHT(Insights!$C$3, 4)), E9135, "")</f>
        <v>#VALUE!</v>
      </c>
      <c r="H9135" s="26" t="e">
        <f t="shared" si="1"/>
        <v>#VALUE!</v>
      </c>
      <c r="I9135" s="1" t="e">
        <f t="shared" si="2"/>
        <v>#VALUE!</v>
      </c>
    </row>
    <row r="9136" spans="1:9" ht="15.75" customHeight="1">
      <c r="A9136" s="26"/>
      <c r="B9136" s="2"/>
      <c r="C9136" s="26"/>
      <c r="D9136" s="26"/>
      <c r="F9136" s="85" t="str">
        <f t="shared" si="0"/>
        <v/>
      </c>
      <c r="G9136" s="1" t="e">
        <f>IF(VALUE(F9136) = VALUE(RIGHT(Insights!$C$3, 4)), E9136, "")</f>
        <v>#VALUE!</v>
      </c>
      <c r="H9136" s="26" t="e">
        <f t="shared" si="1"/>
        <v>#VALUE!</v>
      </c>
      <c r="I9136" s="1" t="e">
        <f t="shared" si="2"/>
        <v>#VALUE!</v>
      </c>
    </row>
    <row r="9137" spans="1:9" ht="15.75" customHeight="1">
      <c r="A9137" s="26"/>
      <c r="B9137" s="2"/>
      <c r="C9137" s="26"/>
      <c r="D9137" s="26"/>
      <c r="F9137" s="85" t="str">
        <f t="shared" si="0"/>
        <v/>
      </c>
      <c r="G9137" s="1" t="e">
        <f>IF(VALUE(F9137) = VALUE(RIGHT(Insights!$C$3, 4)), E9137, "")</f>
        <v>#VALUE!</v>
      </c>
      <c r="H9137" s="26" t="e">
        <f t="shared" si="1"/>
        <v>#VALUE!</v>
      </c>
      <c r="I9137" s="1" t="e">
        <f t="shared" si="2"/>
        <v>#VALUE!</v>
      </c>
    </row>
    <row r="9138" spans="1:9" ht="15.75" customHeight="1">
      <c r="A9138" s="26"/>
      <c r="B9138" s="2"/>
      <c r="C9138" s="26"/>
      <c r="D9138" s="26"/>
      <c r="F9138" s="85" t="str">
        <f t="shared" si="0"/>
        <v/>
      </c>
      <c r="G9138" s="1" t="e">
        <f>IF(VALUE(F9138) = VALUE(RIGHT(Insights!$C$3, 4)), E9138, "")</f>
        <v>#VALUE!</v>
      </c>
      <c r="H9138" s="26" t="e">
        <f t="shared" si="1"/>
        <v>#VALUE!</v>
      </c>
      <c r="I9138" s="1" t="e">
        <f t="shared" si="2"/>
        <v>#VALUE!</v>
      </c>
    </row>
    <row r="9139" spans="1:9" ht="15.75" customHeight="1">
      <c r="A9139" s="26"/>
      <c r="B9139" s="2"/>
      <c r="C9139" s="26"/>
      <c r="D9139" s="26"/>
      <c r="F9139" s="85" t="str">
        <f t="shared" si="0"/>
        <v/>
      </c>
      <c r="G9139" s="1" t="e">
        <f>IF(VALUE(F9139) = VALUE(RIGHT(Insights!$C$3, 4)), E9139, "")</f>
        <v>#VALUE!</v>
      </c>
      <c r="H9139" s="26" t="e">
        <f t="shared" si="1"/>
        <v>#VALUE!</v>
      </c>
      <c r="I9139" s="1" t="e">
        <f t="shared" si="2"/>
        <v>#VALUE!</v>
      </c>
    </row>
    <row r="9140" spans="1:9" ht="15.75" customHeight="1">
      <c r="A9140" s="26"/>
      <c r="B9140" s="2"/>
      <c r="C9140" s="26"/>
      <c r="D9140" s="26"/>
      <c r="F9140" s="85" t="str">
        <f t="shared" si="0"/>
        <v/>
      </c>
      <c r="G9140" s="1" t="e">
        <f>IF(VALUE(F9140) = VALUE(RIGHT(Insights!$C$3, 4)), E9140, "")</f>
        <v>#VALUE!</v>
      </c>
      <c r="H9140" s="26" t="e">
        <f t="shared" si="1"/>
        <v>#VALUE!</v>
      </c>
      <c r="I9140" s="1" t="e">
        <f t="shared" si="2"/>
        <v>#VALUE!</v>
      </c>
    </row>
    <row r="9141" spans="1:9" ht="15.75" customHeight="1">
      <c r="A9141" s="26"/>
      <c r="B9141" s="2"/>
      <c r="C9141" s="26"/>
      <c r="D9141" s="26"/>
      <c r="F9141" s="85" t="str">
        <f t="shared" si="0"/>
        <v/>
      </c>
      <c r="G9141" s="1" t="e">
        <f>IF(VALUE(F9141) = VALUE(RIGHT(Insights!$C$3, 4)), E9141, "")</f>
        <v>#VALUE!</v>
      </c>
      <c r="H9141" s="26" t="e">
        <f t="shared" si="1"/>
        <v>#VALUE!</v>
      </c>
      <c r="I9141" s="1" t="e">
        <f t="shared" si="2"/>
        <v>#VALUE!</v>
      </c>
    </row>
    <row r="9142" spans="1:9" ht="15.75" customHeight="1">
      <c r="A9142" s="26"/>
      <c r="B9142" s="2"/>
      <c r="C9142" s="26"/>
      <c r="D9142" s="26"/>
      <c r="F9142" s="85" t="str">
        <f t="shared" si="0"/>
        <v/>
      </c>
      <c r="G9142" s="1" t="e">
        <f>IF(VALUE(F9142) = VALUE(RIGHT(Insights!$C$3, 4)), E9142, "")</f>
        <v>#VALUE!</v>
      </c>
      <c r="H9142" s="26" t="e">
        <f t="shared" si="1"/>
        <v>#VALUE!</v>
      </c>
      <c r="I9142" s="1" t="e">
        <f t="shared" si="2"/>
        <v>#VALUE!</v>
      </c>
    </row>
    <row r="9143" spans="1:9" ht="15.75" customHeight="1">
      <c r="A9143" s="26"/>
      <c r="B9143" s="2"/>
      <c r="C9143" s="26"/>
      <c r="D9143" s="26"/>
      <c r="F9143" s="85" t="str">
        <f t="shared" si="0"/>
        <v/>
      </c>
      <c r="G9143" s="1" t="e">
        <f>IF(VALUE(F9143) = VALUE(RIGHT(Insights!$C$3, 4)), E9143, "")</f>
        <v>#VALUE!</v>
      </c>
      <c r="H9143" s="26" t="e">
        <f t="shared" si="1"/>
        <v>#VALUE!</v>
      </c>
      <c r="I9143" s="1" t="e">
        <f t="shared" si="2"/>
        <v>#VALUE!</v>
      </c>
    </row>
    <row r="9144" spans="1:9" ht="15.75" customHeight="1">
      <c r="A9144" s="26"/>
      <c r="B9144" s="2"/>
      <c r="C9144" s="26"/>
      <c r="D9144" s="26"/>
      <c r="F9144" s="85" t="str">
        <f t="shared" si="0"/>
        <v/>
      </c>
      <c r="G9144" s="1" t="e">
        <f>IF(VALUE(F9144) = VALUE(RIGHT(Insights!$C$3, 4)), E9144, "")</f>
        <v>#VALUE!</v>
      </c>
      <c r="H9144" s="26" t="e">
        <f t="shared" si="1"/>
        <v>#VALUE!</v>
      </c>
      <c r="I9144" s="1" t="e">
        <f t="shared" si="2"/>
        <v>#VALUE!</v>
      </c>
    </row>
    <row r="9145" spans="1:9" ht="15.75" customHeight="1">
      <c r="A9145" s="26"/>
      <c r="B9145" s="2"/>
      <c r="C9145" s="26"/>
      <c r="D9145" s="26"/>
      <c r="F9145" s="85" t="str">
        <f t="shared" si="0"/>
        <v/>
      </c>
      <c r="G9145" s="1" t="e">
        <f>IF(VALUE(F9145) = VALUE(RIGHT(Insights!$C$3, 4)), E9145, "")</f>
        <v>#VALUE!</v>
      </c>
      <c r="H9145" s="26" t="e">
        <f t="shared" si="1"/>
        <v>#VALUE!</v>
      </c>
      <c r="I9145" s="1" t="e">
        <f t="shared" si="2"/>
        <v>#VALUE!</v>
      </c>
    </row>
    <row r="9146" spans="1:9" ht="15.75" customHeight="1">
      <c r="A9146" s="26"/>
      <c r="B9146" s="2"/>
      <c r="C9146" s="26"/>
      <c r="D9146" s="26"/>
      <c r="F9146" s="85" t="str">
        <f t="shared" si="0"/>
        <v/>
      </c>
      <c r="G9146" s="1" t="e">
        <f>IF(VALUE(F9146) = VALUE(RIGHT(Insights!$C$3, 4)), E9146, "")</f>
        <v>#VALUE!</v>
      </c>
      <c r="H9146" s="26" t="e">
        <f t="shared" si="1"/>
        <v>#VALUE!</v>
      </c>
      <c r="I9146" s="1" t="e">
        <f t="shared" si="2"/>
        <v>#VALUE!</v>
      </c>
    </row>
    <row r="9147" spans="1:9" ht="15.75" customHeight="1">
      <c r="A9147" s="26"/>
      <c r="B9147" s="2"/>
      <c r="C9147" s="26"/>
      <c r="D9147" s="26"/>
      <c r="F9147" s="85" t="str">
        <f t="shared" si="0"/>
        <v/>
      </c>
      <c r="G9147" s="1" t="e">
        <f>IF(VALUE(F9147) = VALUE(RIGHT(Insights!$C$3, 4)), E9147, "")</f>
        <v>#VALUE!</v>
      </c>
      <c r="H9147" s="26" t="e">
        <f t="shared" si="1"/>
        <v>#VALUE!</v>
      </c>
      <c r="I9147" s="1" t="e">
        <f t="shared" si="2"/>
        <v>#VALUE!</v>
      </c>
    </row>
    <row r="9148" spans="1:9" ht="15.75" customHeight="1">
      <c r="A9148" s="26"/>
      <c r="B9148" s="2"/>
      <c r="C9148" s="26"/>
      <c r="D9148" s="26"/>
      <c r="F9148" s="85" t="str">
        <f t="shared" si="0"/>
        <v/>
      </c>
      <c r="G9148" s="1" t="e">
        <f>IF(VALUE(F9148) = VALUE(RIGHT(Insights!$C$3, 4)), E9148, "")</f>
        <v>#VALUE!</v>
      </c>
      <c r="H9148" s="26" t="e">
        <f t="shared" si="1"/>
        <v>#VALUE!</v>
      </c>
      <c r="I9148" s="1" t="e">
        <f t="shared" si="2"/>
        <v>#VALUE!</v>
      </c>
    </row>
    <row r="9149" spans="1:9" ht="15.75" customHeight="1">
      <c r="A9149" s="26"/>
      <c r="B9149" s="2"/>
      <c r="C9149" s="26"/>
      <c r="D9149" s="26"/>
      <c r="F9149" s="85" t="str">
        <f t="shared" si="0"/>
        <v/>
      </c>
      <c r="G9149" s="1" t="e">
        <f>IF(VALUE(F9149) = VALUE(RIGHT(Insights!$C$3, 4)), E9149, "")</f>
        <v>#VALUE!</v>
      </c>
      <c r="H9149" s="26" t="e">
        <f t="shared" si="1"/>
        <v>#VALUE!</v>
      </c>
      <c r="I9149" s="1" t="e">
        <f t="shared" si="2"/>
        <v>#VALUE!</v>
      </c>
    </row>
    <row r="9150" spans="1:9" ht="15.75" customHeight="1">
      <c r="A9150" s="26"/>
      <c r="B9150" s="2"/>
      <c r="C9150" s="26"/>
      <c r="D9150" s="26"/>
      <c r="F9150" s="85" t="str">
        <f t="shared" si="0"/>
        <v/>
      </c>
      <c r="G9150" s="1" t="e">
        <f>IF(VALUE(F9150) = VALUE(RIGHT(Insights!$C$3, 4)), E9150, "")</f>
        <v>#VALUE!</v>
      </c>
      <c r="H9150" s="26" t="e">
        <f t="shared" si="1"/>
        <v>#VALUE!</v>
      </c>
      <c r="I9150" s="1" t="e">
        <f t="shared" si="2"/>
        <v>#VALUE!</v>
      </c>
    </row>
    <row r="9151" spans="1:9" ht="15.75" customHeight="1">
      <c r="A9151" s="26"/>
      <c r="B9151" s="2"/>
      <c r="C9151" s="26"/>
      <c r="D9151" s="26"/>
      <c r="F9151" s="85" t="str">
        <f t="shared" si="0"/>
        <v/>
      </c>
      <c r="G9151" s="1" t="e">
        <f>IF(VALUE(F9151) = VALUE(RIGHT(Insights!$C$3, 4)), E9151, "")</f>
        <v>#VALUE!</v>
      </c>
      <c r="H9151" s="26" t="e">
        <f t="shared" si="1"/>
        <v>#VALUE!</v>
      </c>
      <c r="I9151" s="1" t="e">
        <f t="shared" si="2"/>
        <v>#VALUE!</v>
      </c>
    </row>
    <row r="9152" spans="1:9" ht="15.75" customHeight="1">
      <c r="A9152" s="26"/>
      <c r="B9152" s="2"/>
      <c r="C9152" s="26"/>
      <c r="D9152" s="26"/>
      <c r="F9152" s="85" t="str">
        <f t="shared" si="0"/>
        <v/>
      </c>
      <c r="G9152" s="1" t="e">
        <f>IF(VALUE(F9152) = VALUE(RIGHT(Insights!$C$3, 4)), E9152, "")</f>
        <v>#VALUE!</v>
      </c>
      <c r="H9152" s="26" t="e">
        <f t="shared" si="1"/>
        <v>#VALUE!</v>
      </c>
      <c r="I9152" s="1" t="e">
        <f t="shared" si="2"/>
        <v>#VALUE!</v>
      </c>
    </row>
    <row r="9153" spans="1:9" ht="15.75" customHeight="1">
      <c r="A9153" s="26"/>
      <c r="B9153" s="2"/>
      <c r="C9153" s="26"/>
      <c r="D9153" s="26"/>
      <c r="F9153" s="85" t="str">
        <f t="shared" si="0"/>
        <v/>
      </c>
      <c r="G9153" s="1" t="e">
        <f>IF(VALUE(F9153) = VALUE(RIGHT(Insights!$C$3, 4)), E9153, "")</f>
        <v>#VALUE!</v>
      </c>
      <c r="H9153" s="26" t="e">
        <f t="shared" si="1"/>
        <v>#VALUE!</v>
      </c>
      <c r="I9153" s="1" t="e">
        <f t="shared" si="2"/>
        <v>#VALUE!</v>
      </c>
    </row>
    <row r="9154" spans="1:9" ht="15.75" customHeight="1">
      <c r="A9154" s="26"/>
      <c r="B9154" s="2"/>
      <c r="C9154" s="26"/>
      <c r="D9154" s="26"/>
      <c r="F9154" s="85" t="str">
        <f t="shared" si="0"/>
        <v/>
      </c>
      <c r="G9154" s="1" t="e">
        <f>IF(VALUE(F9154) = VALUE(RIGHT(Insights!$C$3, 4)), E9154, "")</f>
        <v>#VALUE!</v>
      </c>
      <c r="H9154" s="26" t="e">
        <f t="shared" si="1"/>
        <v>#VALUE!</v>
      </c>
      <c r="I9154" s="1" t="e">
        <f t="shared" si="2"/>
        <v>#VALUE!</v>
      </c>
    </row>
    <row r="9155" spans="1:9" ht="15.75" customHeight="1">
      <c r="A9155" s="26"/>
      <c r="B9155" s="2"/>
      <c r="C9155" s="26"/>
      <c r="D9155" s="26"/>
      <c r="F9155" s="85" t="str">
        <f t="shared" si="0"/>
        <v/>
      </c>
      <c r="G9155" s="1" t="e">
        <f>IF(VALUE(F9155) = VALUE(RIGHT(Insights!$C$3, 4)), E9155, "")</f>
        <v>#VALUE!</v>
      </c>
      <c r="H9155" s="26" t="e">
        <f t="shared" si="1"/>
        <v>#VALUE!</v>
      </c>
      <c r="I9155" s="1" t="e">
        <f t="shared" si="2"/>
        <v>#VALUE!</v>
      </c>
    </row>
    <row r="9156" spans="1:9" ht="15.75" customHeight="1">
      <c r="A9156" s="26"/>
      <c r="B9156" s="2"/>
      <c r="C9156" s="26"/>
      <c r="D9156" s="26"/>
      <c r="F9156" s="85" t="str">
        <f t="shared" si="0"/>
        <v/>
      </c>
      <c r="G9156" s="1" t="e">
        <f>IF(VALUE(F9156) = VALUE(RIGHT(Insights!$C$3, 4)), E9156, "")</f>
        <v>#VALUE!</v>
      </c>
      <c r="H9156" s="26" t="e">
        <f t="shared" si="1"/>
        <v>#VALUE!</v>
      </c>
      <c r="I9156" s="1" t="e">
        <f t="shared" si="2"/>
        <v>#VALUE!</v>
      </c>
    </row>
    <row r="9157" spans="1:9" ht="15.75" customHeight="1">
      <c r="A9157" s="26"/>
      <c r="B9157" s="2"/>
      <c r="C9157" s="26"/>
      <c r="D9157" s="26"/>
      <c r="F9157" s="85" t="str">
        <f t="shared" si="0"/>
        <v/>
      </c>
      <c r="G9157" s="1" t="e">
        <f>IF(VALUE(F9157) = VALUE(RIGHT(Insights!$C$3, 4)), E9157, "")</f>
        <v>#VALUE!</v>
      </c>
      <c r="H9157" s="26" t="e">
        <f t="shared" si="1"/>
        <v>#VALUE!</v>
      </c>
      <c r="I9157" s="1" t="e">
        <f t="shared" si="2"/>
        <v>#VALUE!</v>
      </c>
    </row>
    <row r="9158" spans="1:9" ht="15.75" customHeight="1">
      <c r="A9158" s="26"/>
      <c r="B9158" s="2"/>
      <c r="C9158" s="26"/>
      <c r="D9158" s="26"/>
      <c r="F9158" s="85" t="str">
        <f t="shared" si="0"/>
        <v/>
      </c>
      <c r="G9158" s="1" t="e">
        <f>IF(VALUE(F9158) = VALUE(RIGHT(Insights!$C$3, 4)), E9158, "")</f>
        <v>#VALUE!</v>
      </c>
      <c r="H9158" s="26" t="e">
        <f t="shared" si="1"/>
        <v>#VALUE!</v>
      </c>
      <c r="I9158" s="1" t="e">
        <f t="shared" si="2"/>
        <v>#VALUE!</v>
      </c>
    </row>
    <row r="9159" spans="1:9" ht="15.75" customHeight="1">
      <c r="A9159" s="26"/>
      <c r="B9159" s="2"/>
      <c r="C9159" s="26"/>
      <c r="D9159" s="26"/>
      <c r="F9159" s="85" t="str">
        <f t="shared" si="0"/>
        <v/>
      </c>
      <c r="G9159" s="1" t="e">
        <f>IF(VALUE(F9159) = VALUE(RIGHT(Insights!$C$3, 4)), E9159, "")</f>
        <v>#VALUE!</v>
      </c>
      <c r="H9159" s="26" t="e">
        <f t="shared" si="1"/>
        <v>#VALUE!</v>
      </c>
      <c r="I9159" s="1" t="e">
        <f t="shared" si="2"/>
        <v>#VALUE!</v>
      </c>
    </row>
    <row r="9160" spans="1:9" ht="15.75" customHeight="1">
      <c r="A9160" s="26"/>
      <c r="B9160" s="2"/>
      <c r="C9160" s="26"/>
      <c r="D9160" s="26"/>
      <c r="F9160" s="85" t="str">
        <f t="shared" si="0"/>
        <v/>
      </c>
      <c r="G9160" s="1" t="e">
        <f>IF(VALUE(F9160) = VALUE(RIGHT(Insights!$C$3, 4)), E9160, "")</f>
        <v>#VALUE!</v>
      </c>
      <c r="H9160" s="26" t="e">
        <f t="shared" si="1"/>
        <v>#VALUE!</v>
      </c>
      <c r="I9160" s="1" t="e">
        <f t="shared" si="2"/>
        <v>#VALUE!</v>
      </c>
    </row>
    <row r="9161" spans="1:9" ht="15.75" customHeight="1">
      <c r="A9161" s="26"/>
      <c r="B9161" s="2"/>
      <c r="C9161" s="26"/>
      <c r="D9161" s="26"/>
      <c r="F9161" s="85" t="str">
        <f t="shared" si="0"/>
        <v/>
      </c>
      <c r="G9161" s="1" t="e">
        <f>IF(VALUE(F9161) = VALUE(RIGHT(Insights!$C$3, 4)), E9161, "")</f>
        <v>#VALUE!</v>
      </c>
      <c r="H9161" s="26" t="e">
        <f t="shared" si="1"/>
        <v>#VALUE!</v>
      </c>
      <c r="I9161" s="1" t="e">
        <f t="shared" si="2"/>
        <v>#VALUE!</v>
      </c>
    </row>
    <row r="9162" spans="1:9" ht="15.75" customHeight="1">
      <c r="A9162" s="26"/>
      <c r="B9162" s="2"/>
      <c r="C9162" s="26"/>
      <c r="D9162" s="26"/>
      <c r="F9162" s="85" t="str">
        <f t="shared" si="0"/>
        <v/>
      </c>
      <c r="G9162" s="1" t="e">
        <f>IF(VALUE(F9162) = VALUE(RIGHT(Insights!$C$3, 4)), E9162, "")</f>
        <v>#VALUE!</v>
      </c>
      <c r="H9162" s="26" t="e">
        <f t="shared" si="1"/>
        <v>#VALUE!</v>
      </c>
      <c r="I9162" s="1" t="e">
        <f t="shared" si="2"/>
        <v>#VALUE!</v>
      </c>
    </row>
    <row r="9163" spans="1:9" ht="15.75" customHeight="1">
      <c r="A9163" s="26"/>
      <c r="B9163" s="2"/>
      <c r="C9163" s="26"/>
      <c r="D9163" s="26"/>
      <c r="F9163" s="85" t="str">
        <f t="shared" si="0"/>
        <v/>
      </c>
      <c r="G9163" s="1" t="e">
        <f>IF(VALUE(F9163) = VALUE(RIGHT(Insights!$C$3, 4)), E9163, "")</f>
        <v>#VALUE!</v>
      </c>
      <c r="H9163" s="26" t="e">
        <f t="shared" si="1"/>
        <v>#VALUE!</v>
      </c>
      <c r="I9163" s="1" t="e">
        <f t="shared" si="2"/>
        <v>#VALUE!</v>
      </c>
    </row>
    <row r="9164" spans="1:9" ht="15.75" customHeight="1">
      <c r="A9164" s="26"/>
      <c r="B9164" s="2"/>
      <c r="C9164" s="26"/>
      <c r="D9164" s="26"/>
      <c r="F9164" s="85" t="str">
        <f t="shared" si="0"/>
        <v/>
      </c>
      <c r="G9164" s="1" t="e">
        <f>IF(VALUE(F9164) = VALUE(RIGHT(Insights!$C$3, 4)), E9164, "")</f>
        <v>#VALUE!</v>
      </c>
      <c r="H9164" s="26" t="e">
        <f t="shared" si="1"/>
        <v>#VALUE!</v>
      </c>
      <c r="I9164" s="1" t="e">
        <f t="shared" si="2"/>
        <v>#VALUE!</v>
      </c>
    </row>
    <row r="9165" spans="1:9" ht="15.75" customHeight="1">
      <c r="A9165" s="26"/>
      <c r="B9165" s="2"/>
      <c r="C9165" s="26"/>
      <c r="D9165" s="26"/>
      <c r="F9165" s="85" t="str">
        <f t="shared" si="0"/>
        <v/>
      </c>
      <c r="G9165" s="1" t="e">
        <f>IF(VALUE(F9165) = VALUE(RIGHT(Insights!$C$3, 4)), E9165, "")</f>
        <v>#VALUE!</v>
      </c>
      <c r="H9165" s="26" t="e">
        <f t="shared" si="1"/>
        <v>#VALUE!</v>
      </c>
      <c r="I9165" s="1" t="e">
        <f t="shared" si="2"/>
        <v>#VALUE!</v>
      </c>
    </row>
    <row r="9166" spans="1:9" ht="15.75" customHeight="1">
      <c r="A9166" s="26"/>
      <c r="B9166" s="2"/>
      <c r="C9166" s="26"/>
      <c r="D9166" s="26"/>
      <c r="F9166" s="85" t="str">
        <f t="shared" si="0"/>
        <v/>
      </c>
      <c r="G9166" s="1" t="e">
        <f>IF(VALUE(F9166) = VALUE(RIGHT(Insights!$C$3, 4)), E9166, "")</f>
        <v>#VALUE!</v>
      </c>
      <c r="H9166" s="26" t="e">
        <f t="shared" si="1"/>
        <v>#VALUE!</v>
      </c>
      <c r="I9166" s="1" t="e">
        <f t="shared" si="2"/>
        <v>#VALUE!</v>
      </c>
    </row>
    <row r="9167" spans="1:9" ht="15.75" customHeight="1">
      <c r="A9167" s="26"/>
      <c r="B9167" s="2"/>
      <c r="C9167" s="26"/>
      <c r="D9167" s="26"/>
      <c r="F9167" s="85" t="str">
        <f t="shared" si="0"/>
        <v/>
      </c>
      <c r="G9167" s="1" t="e">
        <f>IF(VALUE(F9167) = VALUE(RIGHT(Insights!$C$3, 4)), E9167, "")</f>
        <v>#VALUE!</v>
      </c>
      <c r="H9167" s="26" t="e">
        <f t="shared" si="1"/>
        <v>#VALUE!</v>
      </c>
      <c r="I9167" s="1" t="e">
        <f t="shared" si="2"/>
        <v>#VALUE!</v>
      </c>
    </row>
    <row r="9168" spans="1:9" ht="15.75" customHeight="1">
      <c r="A9168" s="26"/>
      <c r="B9168" s="2"/>
      <c r="C9168" s="26"/>
      <c r="D9168" s="26"/>
      <c r="F9168" s="85" t="str">
        <f t="shared" si="0"/>
        <v/>
      </c>
      <c r="G9168" s="1" t="e">
        <f>IF(VALUE(F9168) = VALUE(RIGHT(Insights!$C$3, 4)), E9168, "")</f>
        <v>#VALUE!</v>
      </c>
      <c r="H9168" s="26" t="e">
        <f t="shared" si="1"/>
        <v>#VALUE!</v>
      </c>
      <c r="I9168" s="1" t="e">
        <f t="shared" si="2"/>
        <v>#VALUE!</v>
      </c>
    </row>
    <row r="9169" spans="1:9" ht="15.75" customHeight="1">
      <c r="A9169" s="26"/>
      <c r="B9169" s="2"/>
      <c r="C9169" s="26"/>
      <c r="D9169" s="26"/>
      <c r="F9169" s="85" t="str">
        <f t="shared" si="0"/>
        <v/>
      </c>
      <c r="G9169" s="1" t="e">
        <f>IF(VALUE(F9169) = VALUE(RIGHT(Insights!$C$3, 4)), E9169, "")</f>
        <v>#VALUE!</v>
      </c>
      <c r="H9169" s="26" t="e">
        <f t="shared" si="1"/>
        <v>#VALUE!</v>
      </c>
      <c r="I9169" s="1" t="e">
        <f t="shared" si="2"/>
        <v>#VALUE!</v>
      </c>
    </row>
    <row r="9170" spans="1:9" ht="15.75" customHeight="1">
      <c r="A9170" s="26"/>
      <c r="B9170" s="2"/>
      <c r="C9170" s="26"/>
      <c r="D9170" s="26"/>
      <c r="F9170" s="85" t="str">
        <f t="shared" si="0"/>
        <v/>
      </c>
      <c r="G9170" s="1" t="e">
        <f>IF(VALUE(F9170) = VALUE(RIGHT(Insights!$C$3, 4)), E9170, "")</f>
        <v>#VALUE!</v>
      </c>
      <c r="H9170" s="26" t="e">
        <f t="shared" si="1"/>
        <v>#VALUE!</v>
      </c>
      <c r="I9170" s="1" t="e">
        <f t="shared" si="2"/>
        <v>#VALUE!</v>
      </c>
    </row>
    <row r="9171" spans="1:9" ht="15.75" customHeight="1">
      <c r="A9171" s="26"/>
      <c r="B9171" s="2"/>
      <c r="C9171" s="26"/>
      <c r="D9171" s="26"/>
      <c r="F9171" s="85" t="str">
        <f t="shared" si="0"/>
        <v/>
      </c>
      <c r="G9171" s="1" t="e">
        <f>IF(VALUE(F9171) = VALUE(RIGHT(Insights!$C$3, 4)), E9171, "")</f>
        <v>#VALUE!</v>
      </c>
      <c r="H9171" s="26" t="e">
        <f t="shared" si="1"/>
        <v>#VALUE!</v>
      </c>
      <c r="I9171" s="1" t="e">
        <f t="shared" si="2"/>
        <v>#VALUE!</v>
      </c>
    </row>
    <row r="9172" spans="1:9" ht="15.75" customHeight="1">
      <c r="A9172" s="26"/>
      <c r="B9172" s="2"/>
      <c r="C9172" s="26"/>
      <c r="D9172" s="26"/>
      <c r="F9172" s="85" t="str">
        <f t="shared" si="0"/>
        <v/>
      </c>
      <c r="G9172" s="1" t="e">
        <f>IF(VALUE(F9172) = VALUE(RIGHT(Insights!$C$3, 4)), E9172, "")</f>
        <v>#VALUE!</v>
      </c>
      <c r="H9172" s="26" t="e">
        <f t="shared" si="1"/>
        <v>#VALUE!</v>
      </c>
      <c r="I9172" s="1" t="e">
        <f t="shared" si="2"/>
        <v>#VALUE!</v>
      </c>
    </row>
    <row r="9173" spans="1:9" ht="15.75" customHeight="1">
      <c r="A9173" s="26"/>
      <c r="B9173" s="2"/>
      <c r="C9173" s="26"/>
      <c r="D9173" s="26"/>
      <c r="F9173" s="85" t="str">
        <f t="shared" si="0"/>
        <v/>
      </c>
      <c r="G9173" s="1" t="e">
        <f>IF(VALUE(F9173) = VALUE(RIGHT(Insights!$C$3, 4)), E9173, "")</f>
        <v>#VALUE!</v>
      </c>
      <c r="H9173" s="26" t="e">
        <f t="shared" si="1"/>
        <v>#VALUE!</v>
      </c>
      <c r="I9173" s="1" t="e">
        <f t="shared" si="2"/>
        <v>#VALUE!</v>
      </c>
    </row>
    <row r="9174" spans="1:9" ht="15.75" customHeight="1">
      <c r="A9174" s="26"/>
      <c r="B9174" s="2"/>
      <c r="C9174" s="26"/>
      <c r="D9174" s="26"/>
      <c r="F9174" s="85" t="str">
        <f t="shared" si="0"/>
        <v/>
      </c>
      <c r="G9174" s="1" t="e">
        <f>IF(VALUE(F9174) = VALUE(RIGHT(Insights!$C$3, 4)), E9174, "")</f>
        <v>#VALUE!</v>
      </c>
      <c r="H9174" s="26" t="e">
        <f t="shared" si="1"/>
        <v>#VALUE!</v>
      </c>
      <c r="I9174" s="1" t="e">
        <f t="shared" si="2"/>
        <v>#VALUE!</v>
      </c>
    </row>
    <row r="9175" spans="1:9" ht="15.75" customHeight="1">
      <c r="A9175" s="26"/>
      <c r="B9175" s="2"/>
      <c r="C9175" s="26"/>
      <c r="D9175" s="26"/>
      <c r="F9175" s="85" t="str">
        <f t="shared" si="0"/>
        <v/>
      </c>
      <c r="G9175" s="1" t="e">
        <f>IF(VALUE(F9175) = VALUE(RIGHT(Insights!$C$3, 4)), E9175, "")</f>
        <v>#VALUE!</v>
      </c>
      <c r="H9175" s="26" t="e">
        <f t="shared" si="1"/>
        <v>#VALUE!</v>
      </c>
      <c r="I9175" s="1" t="e">
        <f t="shared" si="2"/>
        <v>#VALUE!</v>
      </c>
    </row>
    <row r="9176" spans="1:9" ht="15.75" customHeight="1">
      <c r="A9176" s="26"/>
      <c r="B9176" s="2"/>
      <c r="C9176" s="26"/>
      <c r="D9176" s="26"/>
      <c r="F9176" s="85" t="str">
        <f t="shared" si="0"/>
        <v/>
      </c>
      <c r="G9176" s="1" t="e">
        <f>IF(VALUE(F9176) = VALUE(RIGHT(Insights!$C$3, 4)), E9176, "")</f>
        <v>#VALUE!</v>
      </c>
      <c r="H9176" s="26" t="e">
        <f t="shared" si="1"/>
        <v>#VALUE!</v>
      </c>
      <c r="I9176" s="1" t="e">
        <f t="shared" si="2"/>
        <v>#VALUE!</v>
      </c>
    </row>
    <row r="9177" spans="1:9" ht="15.75" customHeight="1">
      <c r="A9177" s="26"/>
      <c r="B9177" s="2"/>
      <c r="C9177" s="26"/>
      <c r="D9177" s="26"/>
      <c r="F9177" s="85" t="str">
        <f t="shared" si="0"/>
        <v/>
      </c>
      <c r="G9177" s="1" t="e">
        <f>IF(VALUE(F9177) = VALUE(RIGHT(Insights!$C$3, 4)), E9177, "")</f>
        <v>#VALUE!</v>
      </c>
      <c r="H9177" s="26" t="e">
        <f t="shared" si="1"/>
        <v>#VALUE!</v>
      </c>
      <c r="I9177" s="1" t="e">
        <f t="shared" si="2"/>
        <v>#VALUE!</v>
      </c>
    </row>
    <row r="9178" spans="1:9" ht="15.75" customHeight="1">
      <c r="A9178" s="26"/>
      <c r="B9178" s="2"/>
      <c r="C9178" s="26"/>
      <c r="D9178" s="26"/>
      <c r="F9178" s="85" t="str">
        <f t="shared" si="0"/>
        <v/>
      </c>
      <c r="G9178" s="1" t="e">
        <f>IF(VALUE(F9178) = VALUE(RIGHT(Insights!$C$3, 4)), E9178, "")</f>
        <v>#VALUE!</v>
      </c>
      <c r="H9178" s="26" t="e">
        <f t="shared" si="1"/>
        <v>#VALUE!</v>
      </c>
      <c r="I9178" s="1" t="e">
        <f t="shared" si="2"/>
        <v>#VALUE!</v>
      </c>
    </row>
    <row r="9179" spans="1:9" ht="15.75" customHeight="1">
      <c r="A9179" s="26"/>
      <c r="B9179" s="2"/>
      <c r="C9179" s="26"/>
      <c r="D9179" s="26"/>
      <c r="F9179" s="85" t="str">
        <f t="shared" si="0"/>
        <v/>
      </c>
      <c r="G9179" s="1" t="e">
        <f>IF(VALUE(F9179) = VALUE(RIGHT(Insights!$C$3, 4)), E9179, "")</f>
        <v>#VALUE!</v>
      </c>
      <c r="H9179" s="26" t="e">
        <f t="shared" si="1"/>
        <v>#VALUE!</v>
      </c>
      <c r="I9179" s="1" t="e">
        <f t="shared" si="2"/>
        <v>#VALUE!</v>
      </c>
    </row>
    <row r="9180" spans="1:9" ht="15.75" customHeight="1">
      <c r="A9180" s="26"/>
      <c r="B9180" s="2"/>
      <c r="C9180" s="26"/>
      <c r="D9180" s="26"/>
      <c r="F9180" s="85" t="str">
        <f t="shared" si="0"/>
        <v/>
      </c>
      <c r="G9180" s="1" t="e">
        <f>IF(VALUE(F9180) = VALUE(RIGHT(Insights!$C$3, 4)), E9180, "")</f>
        <v>#VALUE!</v>
      </c>
      <c r="H9180" s="26" t="e">
        <f t="shared" si="1"/>
        <v>#VALUE!</v>
      </c>
      <c r="I9180" s="1" t="e">
        <f t="shared" si="2"/>
        <v>#VALUE!</v>
      </c>
    </row>
    <row r="9181" spans="1:9" ht="15.75" customHeight="1">
      <c r="A9181" s="26"/>
      <c r="B9181" s="2"/>
      <c r="C9181" s="26"/>
      <c r="D9181" s="26"/>
      <c r="F9181" s="85" t="str">
        <f t="shared" si="0"/>
        <v/>
      </c>
      <c r="G9181" s="1" t="e">
        <f>IF(VALUE(F9181) = VALUE(RIGHT(Insights!$C$3, 4)), E9181, "")</f>
        <v>#VALUE!</v>
      </c>
      <c r="H9181" s="26" t="e">
        <f t="shared" si="1"/>
        <v>#VALUE!</v>
      </c>
      <c r="I9181" s="1" t="e">
        <f t="shared" si="2"/>
        <v>#VALUE!</v>
      </c>
    </row>
    <row r="9182" spans="1:9" ht="15.75" customHeight="1">
      <c r="A9182" s="26"/>
      <c r="B9182" s="2"/>
      <c r="C9182" s="26"/>
      <c r="D9182" s="26"/>
      <c r="F9182" s="85" t="str">
        <f t="shared" si="0"/>
        <v/>
      </c>
      <c r="G9182" s="1" t="e">
        <f>IF(VALUE(F9182) = VALUE(RIGHT(Insights!$C$3, 4)), E9182, "")</f>
        <v>#VALUE!</v>
      </c>
      <c r="H9182" s="26" t="e">
        <f t="shared" si="1"/>
        <v>#VALUE!</v>
      </c>
      <c r="I9182" s="1" t="e">
        <f t="shared" si="2"/>
        <v>#VALUE!</v>
      </c>
    </row>
    <row r="9183" spans="1:9" ht="15.75" customHeight="1">
      <c r="A9183" s="26"/>
      <c r="B9183" s="2"/>
      <c r="C9183" s="26"/>
      <c r="D9183" s="26"/>
      <c r="F9183" s="85" t="str">
        <f t="shared" si="0"/>
        <v/>
      </c>
      <c r="G9183" s="1" t="e">
        <f>IF(VALUE(F9183) = VALUE(RIGHT(Insights!$C$3, 4)), E9183, "")</f>
        <v>#VALUE!</v>
      </c>
      <c r="H9183" s="26" t="e">
        <f t="shared" si="1"/>
        <v>#VALUE!</v>
      </c>
      <c r="I9183" s="1" t="e">
        <f t="shared" si="2"/>
        <v>#VALUE!</v>
      </c>
    </row>
    <row r="9184" spans="1:9" ht="15.75" customHeight="1">
      <c r="A9184" s="26"/>
      <c r="B9184" s="2"/>
      <c r="C9184" s="26"/>
      <c r="D9184" s="26"/>
      <c r="F9184" s="85" t="str">
        <f t="shared" si="0"/>
        <v/>
      </c>
      <c r="G9184" s="1" t="e">
        <f>IF(VALUE(F9184) = VALUE(RIGHT(Insights!$C$3, 4)), E9184, "")</f>
        <v>#VALUE!</v>
      </c>
      <c r="H9184" s="26" t="e">
        <f t="shared" si="1"/>
        <v>#VALUE!</v>
      </c>
      <c r="I9184" s="1" t="e">
        <f t="shared" si="2"/>
        <v>#VALUE!</v>
      </c>
    </row>
    <row r="9185" spans="1:9" ht="15.75" customHeight="1">
      <c r="A9185" s="26"/>
      <c r="B9185" s="2"/>
      <c r="C9185" s="26"/>
      <c r="D9185" s="26"/>
      <c r="F9185" s="85" t="str">
        <f t="shared" si="0"/>
        <v/>
      </c>
      <c r="G9185" s="1" t="e">
        <f>IF(VALUE(F9185) = VALUE(RIGHT(Insights!$C$3, 4)), E9185, "")</f>
        <v>#VALUE!</v>
      </c>
      <c r="H9185" s="26" t="e">
        <f t="shared" si="1"/>
        <v>#VALUE!</v>
      </c>
      <c r="I9185" s="1" t="e">
        <f t="shared" si="2"/>
        <v>#VALUE!</v>
      </c>
    </row>
    <row r="9186" spans="1:9" ht="15.75" customHeight="1">
      <c r="A9186" s="26"/>
      <c r="B9186" s="2"/>
      <c r="C9186" s="26"/>
      <c r="D9186" s="26"/>
      <c r="F9186" s="85" t="str">
        <f t="shared" si="0"/>
        <v/>
      </c>
      <c r="G9186" s="1" t="e">
        <f>IF(VALUE(F9186) = VALUE(RIGHT(Insights!$C$3, 4)), E9186, "")</f>
        <v>#VALUE!</v>
      </c>
      <c r="H9186" s="26" t="e">
        <f t="shared" si="1"/>
        <v>#VALUE!</v>
      </c>
      <c r="I9186" s="1" t="e">
        <f t="shared" si="2"/>
        <v>#VALUE!</v>
      </c>
    </row>
    <row r="9187" spans="1:9" ht="15.75" customHeight="1">
      <c r="A9187" s="26"/>
      <c r="B9187" s="2"/>
      <c r="C9187" s="26"/>
      <c r="D9187" s="26"/>
      <c r="F9187" s="85" t="str">
        <f t="shared" si="0"/>
        <v/>
      </c>
      <c r="G9187" s="1" t="e">
        <f>IF(VALUE(F9187) = VALUE(RIGHT(Insights!$C$3, 4)), E9187, "")</f>
        <v>#VALUE!</v>
      </c>
      <c r="H9187" s="26" t="e">
        <f t="shared" si="1"/>
        <v>#VALUE!</v>
      </c>
      <c r="I9187" s="1" t="e">
        <f t="shared" si="2"/>
        <v>#VALUE!</v>
      </c>
    </row>
    <row r="9188" spans="1:9" ht="15.75" customHeight="1">
      <c r="A9188" s="26"/>
      <c r="B9188" s="2"/>
      <c r="C9188" s="26"/>
      <c r="D9188" s="26"/>
      <c r="F9188" s="85" t="str">
        <f t="shared" si="0"/>
        <v/>
      </c>
      <c r="G9188" s="1" t="e">
        <f>IF(VALUE(F9188) = VALUE(RIGHT(Insights!$C$3, 4)), E9188, "")</f>
        <v>#VALUE!</v>
      </c>
      <c r="H9188" s="26" t="e">
        <f t="shared" si="1"/>
        <v>#VALUE!</v>
      </c>
      <c r="I9188" s="1" t="e">
        <f t="shared" si="2"/>
        <v>#VALUE!</v>
      </c>
    </row>
    <row r="9189" spans="1:9" ht="15.75" customHeight="1">
      <c r="A9189" s="26"/>
      <c r="B9189" s="2"/>
      <c r="C9189" s="26"/>
      <c r="D9189" s="26"/>
      <c r="F9189" s="85" t="str">
        <f t="shared" si="0"/>
        <v/>
      </c>
      <c r="G9189" s="1" t="e">
        <f>IF(VALUE(F9189) = VALUE(RIGHT(Insights!$C$3, 4)), E9189, "")</f>
        <v>#VALUE!</v>
      </c>
      <c r="H9189" s="26" t="e">
        <f t="shared" si="1"/>
        <v>#VALUE!</v>
      </c>
      <c r="I9189" s="1" t="e">
        <f t="shared" si="2"/>
        <v>#VALUE!</v>
      </c>
    </row>
    <row r="9190" spans="1:9" ht="15.75" customHeight="1">
      <c r="A9190" s="26"/>
      <c r="B9190" s="2"/>
      <c r="C9190" s="26"/>
      <c r="D9190" s="26"/>
      <c r="F9190" s="85" t="str">
        <f t="shared" si="0"/>
        <v/>
      </c>
      <c r="G9190" s="1" t="e">
        <f>IF(VALUE(F9190) = VALUE(RIGHT(Insights!$C$3, 4)), E9190, "")</f>
        <v>#VALUE!</v>
      </c>
      <c r="H9190" s="26" t="e">
        <f t="shared" si="1"/>
        <v>#VALUE!</v>
      </c>
      <c r="I9190" s="1" t="e">
        <f t="shared" si="2"/>
        <v>#VALUE!</v>
      </c>
    </row>
    <row r="9191" spans="1:9" ht="15.75" customHeight="1">
      <c r="A9191" s="26"/>
      <c r="B9191" s="2"/>
      <c r="C9191" s="26"/>
      <c r="D9191" s="26"/>
      <c r="F9191" s="85" t="str">
        <f t="shared" si="0"/>
        <v/>
      </c>
      <c r="G9191" s="1" t="e">
        <f>IF(VALUE(F9191) = VALUE(RIGHT(Insights!$C$3, 4)), E9191, "")</f>
        <v>#VALUE!</v>
      </c>
      <c r="H9191" s="26" t="e">
        <f t="shared" si="1"/>
        <v>#VALUE!</v>
      </c>
      <c r="I9191" s="1" t="e">
        <f t="shared" si="2"/>
        <v>#VALUE!</v>
      </c>
    </row>
    <row r="9192" spans="1:9" ht="15.75" customHeight="1">
      <c r="A9192" s="26"/>
      <c r="B9192" s="2"/>
      <c r="C9192" s="26"/>
      <c r="D9192" s="26"/>
      <c r="F9192" s="85" t="str">
        <f t="shared" si="0"/>
        <v/>
      </c>
      <c r="G9192" s="1" t="e">
        <f>IF(VALUE(F9192) = VALUE(RIGHT(Insights!$C$3, 4)), E9192, "")</f>
        <v>#VALUE!</v>
      </c>
      <c r="H9192" s="26" t="e">
        <f t="shared" si="1"/>
        <v>#VALUE!</v>
      </c>
      <c r="I9192" s="1" t="e">
        <f t="shared" si="2"/>
        <v>#VALUE!</v>
      </c>
    </row>
    <row r="9193" spans="1:9" ht="15.75" customHeight="1">
      <c r="A9193" s="26"/>
      <c r="B9193" s="2"/>
      <c r="C9193" s="26"/>
      <c r="D9193" s="26"/>
      <c r="F9193" s="85" t="str">
        <f t="shared" si="0"/>
        <v/>
      </c>
      <c r="G9193" s="1" t="e">
        <f>IF(VALUE(F9193) = VALUE(RIGHT(Insights!$C$3, 4)), E9193, "")</f>
        <v>#VALUE!</v>
      </c>
      <c r="H9193" s="26" t="e">
        <f t="shared" si="1"/>
        <v>#VALUE!</v>
      </c>
      <c r="I9193" s="1" t="e">
        <f t="shared" si="2"/>
        <v>#VALUE!</v>
      </c>
    </row>
    <row r="9194" spans="1:9" ht="15.75" customHeight="1">
      <c r="A9194" s="26"/>
      <c r="B9194" s="2"/>
      <c r="C9194" s="26"/>
      <c r="D9194" s="26"/>
      <c r="F9194" s="85" t="str">
        <f t="shared" si="0"/>
        <v/>
      </c>
      <c r="G9194" s="1" t="e">
        <f>IF(VALUE(F9194) = VALUE(RIGHT(Insights!$C$3, 4)), E9194, "")</f>
        <v>#VALUE!</v>
      </c>
      <c r="H9194" s="26" t="e">
        <f t="shared" si="1"/>
        <v>#VALUE!</v>
      </c>
      <c r="I9194" s="1" t="e">
        <f t="shared" si="2"/>
        <v>#VALUE!</v>
      </c>
    </row>
    <row r="9195" spans="1:9" ht="15.75" customHeight="1">
      <c r="A9195" s="26"/>
      <c r="B9195" s="2"/>
      <c r="C9195" s="26"/>
      <c r="D9195" s="26"/>
      <c r="F9195" s="85" t="str">
        <f t="shared" si="0"/>
        <v/>
      </c>
      <c r="G9195" s="1" t="e">
        <f>IF(VALUE(F9195) = VALUE(RIGHT(Insights!$C$3, 4)), E9195, "")</f>
        <v>#VALUE!</v>
      </c>
      <c r="H9195" s="26" t="e">
        <f t="shared" si="1"/>
        <v>#VALUE!</v>
      </c>
      <c r="I9195" s="1" t="e">
        <f t="shared" si="2"/>
        <v>#VALUE!</v>
      </c>
    </row>
    <row r="9196" spans="1:9" ht="15.75" customHeight="1">
      <c r="A9196" s="26"/>
      <c r="B9196" s="2"/>
      <c r="C9196" s="26"/>
      <c r="D9196" s="26"/>
      <c r="F9196" s="85" t="str">
        <f t="shared" si="0"/>
        <v/>
      </c>
      <c r="G9196" s="1" t="e">
        <f>IF(VALUE(F9196) = VALUE(RIGHT(Insights!$C$3, 4)), E9196, "")</f>
        <v>#VALUE!</v>
      </c>
      <c r="H9196" s="26" t="e">
        <f t="shared" si="1"/>
        <v>#VALUE!</v>
      </c>
      <c r="I9196" s="1" t="e">
        <f t="shared" si="2"/>
        <v>#VALUE!</v>
      </c>
    </row>
    <row r="9197" spans="1:9" ht="15.75" customHeight="1">
      <c r="A9197" s="26"/>
      <c r="B9197" s="2"/>
      <c r="C9197" s="26"/>
      <c r="D9197" s="26"/>
      <c r="F9197" s="85" t="str">
        <f t="shared" si="0"/>
        <v/>
      </c>
      <c r="G9197" s="1" t="e">
        <f>IF(VALUE(F9197) = VALUE(RIGHT(Insights!$C$3, 4)), E9197, "")</f>
        <v>#VALUE!</v>
      </c>
      <c r="H9197" s="26" t="e">
        <f t="shared" si="1"/>
        <v>#VALUE!</v>
      </c>
      <c r="I9197" s="1" t="e">
        <f t="shared" si="2"/>
        <v>#VALUE!</v>
      </c>
    </row>
    <row r="9198" spans="1:9" ht="15.75" customHeight="1">
      <c r="A9198" s="26"/>
      <c r="B9198" s="2"/>
      <c r="C9198" s="26"/>
      <c r="D9198" s="26"/>
      <c r="F9198" s="85" t="str">
        <f t="shared" si="0"/>
        <v/>
      </c>
      <c r="G9198" s="1" t="e">
        <f>IF(VALUE(F9198) = VALUE(RIGHT(Insights!$C$3, 4)), E9198, "")</f>
        <v>#VALUE!</v>
      </c>
      <c r="H9198" s="26" t="e">
        <f t="shared" si="1"/>
        <v>#VALUE!</v>
      </c>
      <c r="I9198" s="1" t="e">
        <f t="shared" si="2"/>
        <v>#VALUE!</v>
      </c>
    </row>
    <row r="9199" spans="1:9" ht="15.75" customHeight="1">
      <c r="A9199" s="26"/>
      <c r="B9199" s="2"/>
      <c r="C9199" s="26"/>
      <c r="D9199" s="26"/>
      <c r="F9199" s="85" t="str">
        <f t="shared" si="0"/>
        <v/>
      </c>
      <c r="G9199" s="1" t="e">
        <f>IF(VALUE(F9199) = VALUE(RIGHT(Insights!$C$3, 4)), E9199, "")</f>
        <v>#VALUE!</v>
      </c>
      <c r="H9199" s="26" t="e">
        <f t="shared" si="1"/>
        <v>#VALUE!</v>
      </c>
      <c r="I9199" s="1" t="e">
        <f t="shared" si="2"/>
        <v>#VALUE!</v>
      </c>
    </row>
    <row r="9200" spans="1:9" ht="15.75" customHeight="1">
      <c r="A9200" s="26"/>
      <c r="B9200" s="2"/>
      <c r="C9200" s="26"/>
      <c r="D9200" s="26"/>
      <c r="F9200" s="85" t="str">
        <f t="shared" si="0"/>
        <v/>
      </c>
      <c r="G9200" s="1" t="e">
        <f>IF(VALUE(F9200) = VALUE(RIGHT(Insights!$C$3, 4)), E9200, "")</f>
        <v>#VALUE!</v>
      </c>
      <c r="H9200" s="26" t="e">
        <f t="shared" si="1"/>
        <v>#VALUE!</v>
      </c>
      <c r="I9200" s="1" t="e">
        <f t="shared" si="2"/>
        <v>#VALUE!</v>
      </c>
    </row>
    <row r="9201" spans="1:9" ht="15.75" customHeight="1">
      <c r="A9201" s="26"/>
      <c r="B9201" s="2"/>
      <c r="C9201" s="26"/>
      <c r="D9201" s="26"/>
      <c r="F9201" s="85" t="str">
        <f t="shared" si="0"/>
        <v/>
      </c>
      <c r="G9201" s="1" t="e">
        <f>IF(VALUE(F9201) = VALUE(RIGHT(Insights!$C$3, 4)), E9201, "")</f>
        <v>#VALUE!</v>
      </c>
      <c r="H9201" s="26" t="e">
        <f t="shared" si="1"/>
        <v>#VALUE!</v>
      </c>
      <c r="I9201" s="1" t="e">
        <f t="shared" si="2"/>
        <v>#VALUE!</v>
      </c>
    </row>
    <row r="9202" spans="1:9" ht="15.75" customHeight="1">
      <c r="A9202" s="26"/>
      <c r="B9202" s="2"/>
      <c r="C9202" s="26"/>
      <c r="D9202" s="26"/>
      <c r="F9202" s="85" t="str">
        <f t="shared" si="0"/>
        <v/>
      </c>
      <c r="G9202" s="1" t="e">
        <f>IF(VALUE(F9202) = VALUE(RIGHT(Insights!$C$3, 4)), E9202, "")</f>
        <v>#VALUE!</v>
      </c>
      <c r="H9202" s="26" t="e">
        <f t="shared" si="1"/>
        <v>#VALUE!</v>
      </c>
      <c r="I9202" s="1" t="e">
        <f t="shared" si="2"/>
        <v>#VALUE!</v>
      </c>
    </row>
    <row r="9203" spans="1:9" ht="15.75" customHeight="1">
      <c r="A9203" s="26"/>
      <c r="B9203" s="2"/>
      <c r="C9203" s="26"/>
      <c r="D9203" s="26"/>
      <c r="F9203" s="85" t="str">
        <f t="shared" si="0"/>
        <v/>
      </c>
      <c r="G9203" s="1" t="e">
        <f>IF(VALUE(F9203) = VALUE(RIGHT(Insights!$C$3, 4)), E9203, "")</f>
        <v>#VALUE!</v>
      </c>
      <c r="H9203" s="26" t="e">
        <f t="shared" si="1"/>
        <v>#VALUE!</v>
      </c>
      <c r="I9203" s="1" t="e">
        <f t="shared" si="2"/>
        <v>#VALUE!</v>
      </c>
    </row>
    <row r="9204" spans="1:9" ht="15.75" customHeight="1">
      <c r="A9204" s="26"/>
      <c r="B9204" s="2"/>
      <c r="C9204" s="26"/>
      <c r="D9204" s="26"/>
      <c r="F9204" s="85" t="str">
        <f t="shared" si="0"/>
        <v/>
      </c>
      <c r="G9204" s="1" t="e">
        <f>IF(VALUE(F9204) = VALUE(RIGHT(Insights!$C$3, 4)), E9204, "")</f>
        <v>#VALUE!</v>
      </c>
      <c r="H9204" s="26" t="e">
        <f t="shared" si="1"/>
        <v>#VALUE!</v>
      </c>
      <c r="I9204" s="1" t="e">
        <f t="shared" si="2"/>
        <v>#VALUE!</v>
      </c>
    </row>
    <row r="9205" spans="1:9" ht="15.75" customHeight="1">
      <c r="A9205" s="26"/>
      <c r="B9205" s="2"/>
      <c r="C9205" s="26"/>
      <c r="D9205" s="26"/>
      <c r="F9205" s="85" t="str">
        <f t="shared" si="0"/>
        <v/>
      </c>
      <c r="G9205" s="1" t="e">
        <f>IF(VALUE(F9205) = VALUE(RIGHT(Insights!$C$3, 4)), E9205, "")</f>
        <v>#VALUE!</v>
      </c>
      <c r="H9205" s="26" t="e">
        <f t="shared" si="1"/>
        <v>#VALUE!</v>
      </c>
      <c r="I9205" s="1" t="e">
        <f t="shared" si="2"/>
        <v>#VALUE!</v>
      </c>
    </row>
    <row r="9206" spans="1:9" ht="15.75" customHeight="1">
      <c r="A9206" s="26"/>
      <c r="B9206" s="2"/>
      <c r="C9206" s="26"/>
      <c r="D9206" s="26"/>
      <c r="F9206" s="85" t="str">
        <f t="shared" si="0"/>
        <v/>
      </c>
      <c r="G9206" s="1" t="e">
        <f>IF(VALUE(F9206) = VALUE(RIGHT(Insights!$C$3, 4)), E9206, "")</f>
        <v>#VALUE!</v>
      </c>
      <c r="H9206" s="26" t="e">
        <f t="shared" si="1"/>
        <v>#VALUE!</v>
      </c>
      <c r="I9206" s="1" t="e">
        <f t="shared" si="2"/>
        <v>#VALUE!</v>
      </c>
    </row>
    <row r="9207" spans="1:9" ht="15.75" customHeight="1">
      <c r="A9207" s="26"/>
      <c r="B9207" s="2"/>
      <c r="C9207" s="26"/>
      <c r="D9207" s="26"/>
      <c r="F9207" s="85" t="str">
        <f t="shared" si="0"/>
        <v/>
      </c>
      <c r="G9207" s="1" t="e">
        <f>IF(VALUE(F9207) = VALUE(RIGHT(Insights!$C$3, 4)), E9207, "")</f>
        <v>#VALUE!</v>
      </c>
      <c r="H9207" s="26" t="e">
        <f t="shared" si="1"/>
        <v>#VALUE!</v>
      </c>
      <c r="I9207" s="1" t="e">
        <f t="shared" si="2"/>
        <v>#VALUE!</v>
      </c>
    </row>
    <row r="9208" spans="1:9" ht="15.75" customHeight="1">
      <c r="A9208" s="26"/>
      <c r="B9208" s="2"/>
      <c r="C9208" s="26"/>
      <c r="D9208" s="26"/>
      <c r="F9208" s="85" t="str">
        <f t="shared" si="0"/>
        <v/>
      </c>
      <c r="G9208" s="1" t="e">
        <f>IF(VALUE(F9208) = VALUE(RIGHT(Insights!$C$3, 4)), E9208, "")</f>
        <v>#VALUE!</v>
      </c>
      <c r="H9208" s="26" t="e">
        <f t="shared" si="1"/>
        <v>#VALUE!</v>
      </c>
      <c r="I9208" s="1" t="e">
        <f t="shared" si="2"/>
        <v>#VALUE!</v>
      </c>
    </row>
    <row r="9209" spans="1:9" ht="15.75" customHeight="1">
      <c r="A9209" s="26"/>
      <c r="B9209" s="2"/>
      <c r="C9209" s="26"/>
      <c r="D9209" s="26"/>
      <c r="F9209" s="85" t="str">
        <f t="shared" si="0"/>
        <v/>
      </c>
      <c r="G9209" s="1" t="e">
        <f>IF(VALUE(F9209) = VALUE(RIGHT(Insights!$C$3, 4)), E9209, "")</f>
        <v>#VALUE!</v>
      </c>
      <c r="H9209" s="26" t="e">
        <f t="shared" si="1"/>
        <v>#VALUE!</v>
      </c>
      <c r="I9209" s="1" t="e">
        <f t="shared" si="2"/>
        <v>#VALUE!</v>
      </c>
    </row>
    <row r="9210" spans="1:9" ht="15.75" customHeight="1">
      <c r="A9210" s="26"/>
      <c r="B9210" s="2"/>
      <c r="C9210" s="26"/>
      <c r="D9210" s="26"/>
      <c r="F9210" s="85" t="str">
        <f t="shared" si="0"/>
        <v/>
      </c>
      <c r="G9210" s="1" t="e">
        <f>IF(VALUE(F9210) = VALUE(RIGHT(Insights!$C$3, 4)), E9210, "")</f>
        <v>#VALUE!</v>
      </c>
      <c r="H9210" s="26" t="e">
        <f t="shared" si="1"/>
        <v>#VALUE!</v>
      </c>
      <c r="I9210" s="1" t="e">
        <f t="shared" si="2"/>
        <v>#VALUE!</v>
      </c>
    </row>
    <row r="9211" spans="1:9" ht="15.75" customHeight="1">
      <c r="A9211" s="26"/>
      <c r="B9211" s="2"/>
      <c r="C9211" s="26"/>
      <c r="D9211" s="26"/>
      <c r="F9211" s="85" t="str">
        <f t="shared" si="0"/>
        <v/>
      </c>
      <c r="G9211" s="1" t="e">
        <f>IF(VALUE(F9211) = VALUE(RIGHT(Insights!$C$3, 4)), E9211, "")</f>
        <v>#VALUE!</v>
      </c>
      <c r="H9211" s="26" t="e">
        <f t="shared" si="1"/>
        <v>#VALUE!</v>
      </c>
      <c r="I9211" s="1" t="e">
        <f t="shared" si="2"/>
        <v>#VALUE!</v>
      </c>
    </row>
    <row r="9212" spans="1:9" ht="15.75" customHeight="1">
      <c r="A9212" s="26"/>
      <c r="B9212" s="2"/>
      <c r="C9212" s="26"/>
      <c r="D9212" s="26"/>
      <c r="F9212" s="85" t="str">
        <f t="shared" si="0"/>
        <v/>
      </c>
      <c r="G9212" s="1" t="e">
        <f>IF(VALUE(F9212) = VALUE(RIGHT(Insights!$C$3, 4)), E9212, "")</f>
        <v>#VALUE!</v>
      </c>
      <c r="H9212" s="26" t="e">
        <f t="shared" si="1"/>
        <v>#VALUE!</v>
      </c>
      <c r="I9212" s="1" t="e">
        <f t="shared" si="2"/>
        <v>#VALUE!</v>
      </c>
    </row>
    <row r="9213" spans="1:9" ht="15.75" customHeight="1">
      <c r="A9213" s="26"/>
      <c r="B9213" s="2"/>
      <c r="C9213" s="26"/>
      <c r="D9213" s="26"/>
      <c r="F9213" s="85" t="str">
        <f t="shared" si="0"/>
        <v/>
      </c>
      <c r="G9213" s="1" t="e">
        <f>IF(VALUE(F9213) = VALUE(RIGHT(Insights!$C$3, 4)), E9213, "")</f>
        <v>#VALUE!</v>
      </c>
      <c r="H9213" s="26" t="e">
        <f t="shared" si="1"/>
        <v>#VALUE!</v>
      </c>
      <c r="I9213" s="1" t="e">
        <f t="shared" si="2"/>
        <v>#VALUE!</v>
      </c>
    </row>
    <row r="9214" spans="1:9" ht="15.75" customHeight="1">
      <c r="A9214" s="26"/>
      <c r="B9214" s="2"/>
      <c r="C9214" s="26"/>
      <c r="D9214" s="26"/>
      <c r="F9214" s="85" t="str">
        <f t="shared" si="0"/>
        <v/>
      </c>
      <c r="G9214" s="1" t="e">
        <f>IF(VALUE(F9214) = VALUE(RIGHT(Insights!$C$3, 4)), E9214, "")</f>
        <v>#VALUE!</v>
      </c>
      <c r="H9214" s="26" t="e">
        <f t="shared" si="1"/>
        <v>#VALUE!</v>
      </c>
      <c r="I9214" s="1" t="e">
        <f t="shared" si="2"/>
        <v>#VALUE!</v>
      </c>
    </row>
    <row r="9215" spans="1:9" ht="15.75" customHeight="1">
      <c r="A9215" s="26"/>
      <c r="B9215" s="2"/>
      <c r="C9215" s="26"/>
      <c r="D9215" s="26"/>
      <c r="F9215" s="85" t="str">
        <f t="shared" si="0"/>
        <v/>
      </c>
      <c r="G9215" s="1" t="e">
        <f>IF(VALUE(F9215) = VALUE(RIGHT(Insights!$C$3, 4)), E9215, "")</f>
        <v>#VALUE!</v>
      </c>
      <c r="H9215" s="26" t="e">
        <f t="shared" si="1"/>
        <v>#VALUE!</v>
      </c>
      <c r="I9215" s="1" t="e">
        <f t="shared" si="2"/>
        <v>#VALUE!</v>
      </c>
    </row>
    <row r="9216" spans="1:9" ht="15.75" customHeight="1">
      <c r="A9216" s="26"/>
      <c r="B9216" s="2"/>
      <c r="C9216" s="26"/>
      <c r="D9216" s="26"/>
      <c r="F9216" s="85" t="str">
        <f t="shared" si="0"/>
        <v/>
      </c>
      <c r="G9216" s="1" t="e">
        <f>IF(VALUE(F9216) = VALUE(RIGHT(Insights!$C$3, 4)), E9216, "")</f>
        <v>#VALUE!</v>
      </c>
      <c r="H9216" s="26" t="e">
        <f t="shared" si="1"/>
        <v>#VALUE!</v>
      </c>
      <c r="I9216" s="1" t="e">
        <f t="shared" si="2"/>
        <v>#VALUE!</v>
      </c>
    </row>
    <row r="9217" spans="1:9" ht="15.75" customHeight="1">
      <c r="A9217" s="26"/>
      <c r="B9217" s="2"/>
      <c r="C9217" s="26"/>
      <c r="D9217" s="26"/>
      <c r="F9217" s="85" t="str">
        <f t="shared" si="0"/>
        <v/>
      </c>
      <c r="G9217" s="1" t="e">
        <f>IF(VALUE(F9217) = VALUE(RIGHT(Insights!$C$3, 4)), E9217, "")</f>
        <v>#VALUE!</v>
      </c>
      <c r="H9217" s="26" t="e">
        <f t="shared" si="1"/>
        <v>#VALUE!</v>
      </c>
      <c r="I9217" s="1" t="e">
        <f t="shared" si="2"/>
        <v>#VALUE!</v>
      </c>
    </row>
    <row r="9218" spans="1:9" ht="15.75" customHeight="1">
      <c r="A9218" s="26"/>
      <c r="B9218" s="2"/>
      <c r="C9218" s="26"/>
      <c r="D9218" s="26"/>
      <c r="F9218" s="85" t="str">
        <f t="shared" si="0"/>
        <v/>
      </c>
      <c r="G9218" s="1" t="e">
        <f>IF(VALUE(F9218) = VALUE(RIGHT(Insights!$C$3, 4)), E9218, "")</f>
        <v>#VALUE!</v>
      </c>
      <c r="H9218" s="26" t="e">
        <f t="shared" si="1"/>
        <v>#VALUE!</v>
      </c>
      <c r="I9218" s="1" t="e">
        <f t="shared" si="2"/>
        <v>#VALUE!</v>
      </c>
    </row>
    <row r="9219" spans="1:9" ht="15.75" customHeight="1">
      <c r="A9219" s="26"/>
      <c r="B9219" s="2"/>
      <c r="C9219" s="26"/>
      <c r="D9219" s="26"/>
      <c r="F9219" s="85" t="str">
        <f t="shared" si="0"/>
        <v/>
      </c>
      <c r="G9219" s="1" t="e">
        <f>IF(VALUE(F9219) = VALUE(RIGHT(Insights!$C$3, 4)), E9219, "")</f>
        <v>#VALUE!</v>
      </c>
      <c r="H9219" s="26" t="e">
        <f t="shared" si="1"/>
        <v>#VALUE!</v>
      </c>
      <c r="I9219" s="1" t="e">
        <f t="shared" si="2"/>
        <v>#VALUE!</v>
      </c>
    </row>
    <row r="9220" spans="1:9" ht="15.75" customHeight="1">
      <c r="A9220" s="26"/>
      <c r="B9220" s="2"/>
      <c r="C9220" s="26"/>
      <c r="D9220" s="26"/>
      <c r="F9220" s="85" t="str">
        <f t="shared" si="0"/>
        <v/>
      </c>
      <c r="G9220" s="1" t="e">
        <f>IF(VALUE(F9220) = VALUE(RIGHT(Insights!$C$3, 4)), E9220, "")</f>
        <v>#VALUE!</v>
      </c>
      <c r="H9220" s="26" t="e">
        <f t="shared" si="1"/>
        <v>#VALUE!</v>
      </c>
      <c r="I9220" s="1" t="e">
        <f t="shared" si="2"/>
        <v>#VALUE!</v>
      </c>
    </row>
    <row r="9221" spans="1:9" ht="15.75" customHeight="1">
      <c r="A9221" s="26"/>
      <c r="B9221" s="2"/>
      <c r="C9221" s="26"/>
      <c r="D9221" s="26"/>
      <c r="F9221" s="85" t="str">
        <f t="shared" si="0"/>
        <v/>
      </c>
      <c r="G9221" s="1" t="e">
        <f>IF(VALUE(F9221) = VALUE(RIGHT(Insights!$C$3, 4)), E9221, "")</f>
        <v>#VALUE!</v>
      </c>
      <c r="H9221" s="26" t="e">
        <f t="shared" si="1"/>
        <v>#VALUE!</v>
      </c>
      <c r="I9221" s="1" t="e">
        <f t="shared" si="2"/>
        <v>#VALUE!</v>
      </c>
    </row>
    <row r="9222" spans="1:9" ht="15.75" customHeight="1">
      <c r="A9222" s="26"/>
      <c r="B9222" s="2"/>
      <c r="C9222" s="26"/>
      <c r="D9222" s="26"/>
      <c r="F9222" s="85" t="str">
        <f t="shared" si="0"/>
        <v/>
      </c>
      <c r="G9222" s="1" t="e">
        <f>IF(VALUE(F9222) = VALUE(RIGHT(Insights!$C$3, 4)), E9222, "")</f>
        <v>#VALUE!</v>
      </c>
      <c r="H9222" s="26" t="e">
        <f t="shared" si="1"/>
        <v>#VALUE!</v>
      </c>
      <c r="I9222" s="1" t="e">
        <f t="shared" si="2"/>
        <v>#VALUE!</v>
      </c>
    </row>
    <row r="9223" spans="1:9" ht="15.75" customHeight="1">
      <c r="A9223" s="26"/>
      <c r="B9223" s="2"/>
      <c r="C9223" s="26"/>
      <c r="D9223" s="26"/>
      <c r="F9223" s="85" t="str">
        <f t="shared" si="0"/>
        <v/>
      </c>
      <c r="G9223" s="1" t="e">
        <f>IF(VALUE(F9223) = VALUE(RIGHT(Insights!$C$3, 4)), E9223, "")</f>
        <v>#VALUE!</v>
      </c>
      <c r="H9223" s="26" t="e">
        <f t="shared" si="1"/>
        <v>#VALUE!</v>
      </c>
      <c r="I9223" s="1" t="e">
        <f t="shared" si="2"/>
        <v>#VALUE!</v>
      </c>
    </row>
    <row r="9224" spans="1:9" ht="15.75" customHeight="1">
      <c r="A9224" s="26"/>
      <c r="B9224" s="2"/>
      <c r="C9224" s="26"/>
      <c r="D9224" s="26"/>
      <c r="F9224" s="85" t="str">
        <f t="shared" si="0"/>
        <v/>
      </c>
      <c r="G9224" s="1" t="e">
        <f>IF(VALUE(F9224) = VALUE(RIGHT(Insights!$C$3, 4)), E9224, "")</f>
        <v>#VALUE!</v>
      </c>
      <c r="H9224" s="26" t="e">
        <f t="shared" si="1"/>
        <v>#VALUE!</v>
      </c>
      <c r="I9224" s="1" t="e">
        <f t="shared" si="2"/>
        <v>#VALUE!</v>
      </c>
    </row>
    <row r="9225" spans="1:9" ht="15.75" customHeight="1">
      <c r="A9225" s="26"/>
      <c r="B9225" s="2"/>
      <c r="C9225" s="26"/>
      <c r="D9225" s="26"/>
      <c r="F9225" s="85" t="str">
        <f t="shared" si="0"/>
        <v/>
      </c>
      <c r="G9225" s="1" t="e">
        <f>IF(VALUE(F9225) = VALUE(RIGHT(Insights!$C$3, 4)), E9225, "")</f>
        <v>#VALUE!</v>
      </c>
      <c r="H9225" s="26" t="e">
        <f t="shared" si="1"/>
        <v>#VALUE!</v>
      </c>
      <c r="I9225" s="1" t="e">
        <f t="shared" si="2"/>
        <v>#VALUE!</v>
      </c>
    </row>
    <row r="9226" spans="1:9" ht="15.75" customHeight="1">
      <c r="A9226" s="26"/>
      <c r="B9226" s="2"/>
      <c r="C9226" s="26"/>
      <c r="D9226" s="26"/>
      <c r="F9226" s="85" t="str">
        <f t="shared" si="0"/>
        <v/>
      </c>
      <c r="G9226" s="1" t="e">
        <f>IF(VALUE(F9226) = VALUE(RIGHT(Insights!$C$3, 4)), E9226, "")</f>
        <v>#VALUE!</v>
      </c>
      <c r="H9226" s="26" t="e">
        <f t="shared" si="1"/>
        <v>#VALUE!</v>
      </c>
      <c r="I9226" s="1" t="e">
        <f t="shared" si="2"/>
        <v>#VALUE!</v>
      </c>
    </row>
    <row r="9227" spans="1:9" ht="15.75" customHeight="1">
      <c r="A9227" s="26"/>
      <c r="B9227" s="2"/>
      <c r="C9227" s="26"/>
      <c r="D9227" s="26"/>
      <c r="F9227" s="85" t="str">
        <f t="shared" si="0"/>
        <v/>
      </c>
      <c r="G9227" s="1" t="e">
        <f>IF(VALUE(F9227) = VALUE(RIGHT(Insights!$C$3, 4)), E9227, "")</f>
        <v>#VALUE!</v>
      </c>
      <c r="H9227" s="26" t="e">
        <f t="shared" si="1"/>
        <v>#VALUE!</v>
      </c>
      <c r="I9227" s="1" t="e">
        <f t="shared" si="2"/>
        <v>#VALUE!</v>
      </c>
    </row>
    <row r="9228" spans="1:9" ht="15.75" customHeight="1">
      <c r="A9228" s="26"/>
      <c r="B9228" s="2"/>
      <c r="C9228" s="26"/>
      <c r="D9228" s="26"/>
      <c r="F9228" s="85" t="str">
        <f t="shared" si="0"/>
        <v/>
      </c>
      <c r="G9228" s="1" t="e">
        <f>IF(VALUE(F9228) = VALUE(RIGHT(Insights!$C$3, 4)), E9228, "")</f>
        <v>#VALUE!</v>
      </c>
      <c r="H9228" s="26" t="e">
        <f t="shared" si="1"/>
        <v>#VALUE!</v>
      </c>
      <c r="I9228" s="1" t="e">
        <f t="shared" si="2"/>
        <v>#VALUE!</v>
      </c>
    </row>
    <row r="9229" spans="1:9" ht="15.75" customHeight="1">
      <c r="A9229" s="26"/>
      <c r="B9229" s="2"/>
      <c r="C9229" s="26"/>
      <c r="D9229" s="26"/>
      <c r="F9229" s="85" t="str">
        <f t="shared" si="0"/>
        <v/>
      </c>
      <c r="G9229" s="1" t="e">
        <f>IF(VALUE(F9229) = VALUE(RIGHT(Insights!$C$3, 4)), E9229, "")</f>
        <v>#VALUE!</v>
      </c>
      <c r="H9229" s="26" t="e">
        <f t="shared" si="1"/>
        <v>#VALUE!</v>
      </c>
      <c r="I9229" s="1" t="e">
        <f t="shared" si="2"/>
        <v>#VALUE!</v>
      </c>
    </row>
    <row r="9230" spans="1:9" ht="15.75" customHeight="1">
      <c r="A9230" s="26"/>
      <c r="B9230" s="2"/>
      <c r="C9230" s="26"/>
      <c r="D9230" s="26"/>
      <c r="F9230" s="85" t="str">
        <f t="shared" si="0"/>
        <v/>
      </c>
      <c r="G9230" s="1" t="e">
        <f>IF(VALUE(F9230) = VALUE(RIGHT(Insights!$C$3, 4)), E9230, "")</f>
        <v>#VALUE!</v>
      </c>
      <c r="H9230" s="26" t="e">
        <f t="shared" si="1"/>
        <v>#VALUE!</v>
      </c>
      <c r="I9230" s="1" t="e">
        <f t="shared" si="2"/>
        <v>#VALUE!</v>
      </c>
    </row>
    <row r="9231" spans="1:9" ht="15.75" customHeight="1">
      <c r="A9231" s="26"/>
      <c r="B9231" s="2"/>
      <c r="C9231" s="26"/>
      <c r="D9231" s="26"/>
      <c r="F9231" s="85" t="str">
        <f t="shared" si="0"/>
        <v/>
      </c>
      <c r="G9231" s="1" t="e">
        <f>IF(VALUE(F9231) = VALUE(RIGHT(Insights!$C$3, 4)), E9231, "")</f>
        <v>#VALUE!</v>
      </c>
      <c r="H9231" s="26" t="e">
        <f t="shared" si="1"/>
        <v>#VALUE!</v>
      </c>
      <c r="I9231" s="1" t="e">
        <f t="shared" si="2"/>
        <v>#VALUE!</v>
      </c>
    </row>
    <row r="9232" spans="1:9" ht="15.75" customHeight="1">
      <c r="A9232" s="26"/>
      <c r="B9232" s="2"/>
      <c r="C9232" s="26"/>
      <c r="D9232" s="26"/>
      <c r="F9232" s="85" t="str">
        <f t="shared" si="0"/>
        <v/>
      </c>
      <c r="G9232" s="1" t="e">
        <f>IF(VALUE(F9232) = VALUE(RIGHT(Insights!$C$3, 4)), E9232, "")</f>
        <v>#VALUE!</v>
      </c>
      <c r="H9232" s="26" t="e">
        <f t="shared" si="1"/>
        <v>#VALUE!</v>
      </c>
      <c r="I9232" s="1" t="e">
        <f t="shared" si="2"/>
        <v>#VALUE!</v>
      </c>
    </row>
    <row r="9233" spans="1:9" ht="15.75" customHeight="1">
      <c r="A9233" s="26"/>
      <c r="B9233" s="2"/>
      <c r="C9233" s="26"/>
      <c r="D9233" s="26"/>
      <c r="F9233" s="85" t="str">
        <f t="shared" si="0"/>
        <v/>
      </c>
      <c r="G9233" s="1" t="e">
        <f>IF(VALUE(F9233) = VALUE(RIGHT(Insights!$C$3, 4)), E9233, "")</f>
        <v>#VALUE!</v>
      </c>
      <c r="H9233" s="26" t="e">
        <f t="shared" si="1"/>
        <v>#VALUE!</v>
      </c>
      <c r="I9233" s="1" t="e">
        <f t="shared" si="2"/>
        <v>#VALUE!</v>
      </c>
    </row>
    <row r="9234" spans="1:9" ht="15.75" customHeight="1">
      <c r="A9234" s="26"/>
      <c r="B9234" s="2"/>
      <c r="C9234" s="26"/>
      <c r="D9234" s="26"/>
      <c r="F9234" s="85" t="str">
        <f t="shared" si="0"/>
        <v/>
      </c>
      <c r="G9234" s="1" t="e">
        <f>IF(VALUE(F9234) = VALUE(RIGHT(Insights!$C$3, 4)), E9234, "")</f>
        <v>#VALUE!</v>
      </c>
      <c r="H9234" s="26" t="e">
        <f t="shared" si="1"/>
        <v>#VALUE!</v>
      </c>
      <c r="I9234" s="1" t="e">
        <f t="shared" si="2"/>
        <v>#VALUE!</v>
      </c>
    </row>
    <row r="9235" spans="1:9" ht="15.75" customHeight="1">
      <c r="A9235" s="26"/>
      <c r="B9235" s="2"/>
      <c r="C9235" s="26"/>
      <c r="D9235" s="26"/>
      <c r="F9235" s="85" t="str">
        <f t="shared" si="0"/>
        <v/>
      </c>
      <c r="G9235" s="1" t="e">
        <f>IF(VALUE(F9235) = VALUE(RIGHT(Insights!$C$3, 4)), E9235, "")</f>
        <v>#VALUE!</v>
      </c>
      <c r="H9235" s="26" t="e">
        <f t="shared" si="1"/>
        <v>#VALUE!</v>
      </c>
      <c r="I9235" s="1" t="e">
        <f t="shared" si="2"/>
        <v>#VALUE!</v>
      </c>
    </row>
    <row r="9236" spans="1:9" ht="15.75" customHeight="1">
      <c r="A9236" s="26"/>
      <c r="B9236" s="2"/>
      <c r="C9236" s="26"/>
      <c r="D9236" s="26"/>
      <c r="F9236" s="85" t="str">
        <f t="shared" si="0"/>
        <v/>
      </c>
      <c r="G9236" s="1" t="e">
        <f>IF(VALUE(F9236) = VALUE(RIGHT(Insights!$C$3, 4)), E9236, "")</f>
        <v>#VALUE!</v>
      </c>
      <c r="H9236" s="26" t="e">
        <f t="shared" si="1"/>
        <v>#VALUE!</v>
      </c>
      <c r="I9236" s="1" t="e">
        <f t="shared" si="2"/>
        <v>#VALUE!</v>
      </c>
    </row>
    <row r="9237" spans="1:9" ht="15.75" customHeight="1">
      <c r="A9237" s="26"/>
      <c r="B9237" s="2"/>
      <c r="C9237" s="26"/>
      <c r="D9237" s="26"/>
      <c r="F9237" s="85" t="str">
        <f t="shared" si="0"/>
        <v/>
      </c>
      <c r="G9237" s="1" t="e">
        <f>IF(VALUE(F9237) = VALUE(RIGHT(Insights!$C$3, 4)), E9237, "")</f>
        <v>#VALUE!</v>
      </c>
      <c r="H9237" s="26" t="e">
        <f t="shared" si="1"/>
        <v>#VALUE!</v>
      </c>
      <c r="I9237" s="1" t="e">
        <f t="shared" si="2"/>
        <v>#VALUE!</v>
      </c>
    </row>
    <row r="9238" spans="1:9" ht="15.75" customHeight="1">
      <c r="A9238" s="26"/>
      <c r="B9238" s="2"/>
      <c r="C9238" s="26"/>
      <c r="D9238" s="26"/>
      <c r="F9238" s="85" t="str">
        <f t="shared" si="0"/>
        <v/>
      </c>
      <c r="G9238" s="1" t="e">
        <f>IF(VALUE(F9238) = VALUE(RIGHT(Insights!$C$3, 4)), E9238, "")</f>
        <v>#VALUE!</v>
      </c>
      <c r="H9238" s="26" t="e">
        <f t="shared" si="1"/>
        <v>#VALUE!</v>
      </c>
      <c r="I9238" s="1" t="e">
        <f t="shared" si="2"/>
        <v>#VALUE!</v>
      </c>
    </row>
    <row r="9239" spans="1:9" ht="15.75" customHeight="1">
      <c r="A9239" s="26"/>
      <c r="B9239" s="2"/>
      <c r="C9239" s="26"/>
      <c r="D9239" s="26"/>
      <c r="F9239" s="85" t="str">
        <f t="shared" si="0"/>
        <v/>
      </c>
      <c r="G9239" s="1" t="e">
        <f>IF(VALUE(F9239) = VALUE(RIGHT(Insights!$C$3, 4)), E9239, "")</f>
        <v>#VALUE!</v>
      </c>
      <c r="H9239" s="26" t="e">
        <f t="shared" si="1"/>
        <v>#VALUE!</v>
      </c>
      <c r="I9239" s="1" t="e">
        <f t="shared" si="2"/>
        <v>#VALUE!</v>
      </c>
    </row>
    <row r="9240" spans="1:9" ht="15.75" customHeight="1">
      <c r="A9240" s="26"/>
      <c r="B9240" s="2"/>
      <c r="C9240" s="26"/>
      <c r="D9240" s="26"/>
      <c r="F9240" s="85" t="str">
        <f t="shared" si="0"/>
        <v/>
      </c>
      <c r="G9240" s="1" t="e">
        <f>IF(VALUE(F9240) = VALUE(RIGHT(Insights!$C$3, 4)), E9240, "")</f>
        <v>#VALUE!</v>
      </c>
      <c r="H9240" s="26" t="e">
        <f t="shared" si="1"/>
        <v>#VALUE!</v>
      </c>
      <c r="I9240" s="1" t="e">
        <f t="shared" si="2"/>
        <v>#VALUE!</v>
      </c>
    </row>
    <row r="9241" spans="1:9" ht="15.75" customHeight="1">
      <c r="A9241" s="26"/>
      <c r="B9241" s="2"/>
      <c r="C9241" s="26"/>
      <c r="D9241" s="26"/>
      <c r="F9241" s="85" t="str">
        <f t="shared" si="0"/>
        <v/>
      </c>
      <c r="G9241" s="1" t="e">
        <f>IF(VALUE(F9241) = VALUE(RIGHT(Insights!$C$3, 4)), E9241, "")</f>
        <v>#VALUE!</v>
      </c>
      <c r="H9241" s="26" t="e">
        <f t="shared" si="1"/>
        <v>#VALUE!</v>
      </c>
      <c r="I9241" s="1" t="e">
        <f t="shared" si="2"/>
        <v>#VALUE!</v>
      </c>
    </row>
    <row r="9242" spans="1:9" ht="15.75" customHeight="1">
      <c r="A9242" s="26"/>
      <c r="B9242" s="2"/>
      <c r="C9242" s="26"/>
      <c r="D9242" s="26"/>
      <c r="F9242" s="85" t="str">
        <f t="shared" si="0"/>
        <v/>
      </c>
      <c r="G9242" s="1" t="e">
        <f>IF(VALUE(F9242) = VALUE(RIGHT(Insights!$C$3, 4)), E9242, "")</f>
        <v>#VALUE!</v>
      </c>
      <c r="H9242" s="26" t="e">
        <f t="shared" si="1"/>
        <v>#VALUE!</v>
      </c>
      <c r="I9242" s="1" t="e">
        <f t="shared" si="2"/>
        <v>#VALUE!</v>
      </c>
    </row>
    <row r="9243" spans="1:9" ht="15.75" customHeight="1">
      <c r="A9243" s="26"/>
      <c r="B9243" s="2"/>
      <c r="C9243" s="26"/>
      <c r="D9243" s="26"/>
      <c r="F9243" s="85" t="str">
        <f t="shared" si="0"/>
        <v/>
      </c>
      <c r="G9243" s="1" t="e">
        <f>IF(VALUE(F9243) = VALUE(RIGHT(Insights!$C$3, 4)), E9243, "")</f>
        <v>#VALUE!</v>
      </c>
      <c r="H9243" s="26" t="e">
        <f t="shared" si="1"/>
        <v>#VALUE!</v>
      </c>
      <c r="I9243" s="1" t="e">
        <f t="shared" si="2"/>
        <v>#VALUE!</v>
      </c>
    </row>
    <row r="9244" spans="1:9" ht="15.75" customHeight="1">
      <c r="A9244" s="26"/>
      <c r="B9244" s="2"/>
      <c r="C9244" s="26"/>
      <c r="D9244" s="26"/>
      <c r="F9244" s="85" t="str">
        <f t="shared" si="0"/>
        <v/>
      </c>
      <c r="G9244" s="1" t="e">
        <f>IF(VALUE(F9244) = VALUE(RIGHT(Insights!$C$3, 4)), E9244, "")</f>
        <v>#VALUE!</v>
      </c>
      <c r="H9244" s="26" t="e">
        <f t="shared" si="1"/>
        <v>#VALUE!</v>
      </c>
      <c r="I9244" s="1" t="e">
        <f t="shared" si="2"/>
        <v>#VALUE!</v>
      </c>
    </row>
    <row r="9245" spans="1:9" ht="15.75" customHeight="1">
      <c r="A9245" s="26"/>
      <c r="B9245" s="2"/>
      <c r="C9245" s="26"/>
      <c r="D9245" s="26"/>
      <c r="F9245" s="85" t="str">
        <f t="shared" si="0"/>
        <v/>
      </c>
      <c r="G9245" s="1" t="e">
        <f>IF(VALUE(F9245) = VALUE(RIGHT(Insights!$C$3, 4)), E9245, "")</f>
        <v>#VALUE!</v>
      </c>
      <c r="H9245" s="26" t="e">
        <f t="shared" si="1"/>
        <v>#VALUE!</v>
      </c>
      <c r="I9245" s="1" t="e">
        <f t="shared" si="2"/>
        <v>#VALUE!</v>
      </c>
    </row>
    <row r="9246" spans="1:9" ht="15.75" customHeight="1">
      <c r="A9246" s="26"/>
      <c r="B9246" s="2"/>
      <c r="C9246" s="26"/>
      <c r="D9246" s="26"/>
      <c r="F9246" s="85" t="str">
        <f t="shared" si="0"/>
        <v/>
      </c>
      <c r="G9246" s="1" t="e">
        <f>IF(VALUE(F9246) = VALUE(RIGHT(Insights!$C$3, 4)), E9246, "")</f>
        <v>#VALUE!</v>
      </c>
      <c r="H9246" s="26" t="e">
        <f t="shared" si="1"/>
        <v>#VALUE!</v>
      </c>
      <c r="I9246" s="1" t="e">
        <f t="shared" si="2"/>
        <v>#VALUE!</v>
      </c>
    </row>
    <row r="9247" spans="1:9" ht="15.75" customHeight="1">
      <c r="A9247" s="26"/>
      <c r="B9247" s="2"/>
      <c r="C9247" s="26"/>
      <c r="D9247" s="26"/>
      <c r="F9247" s="85" t="str">
        <f t="shared" si="0"/>
        <v/>
      </c>
      <c r="G9247" s="1" t="e">
        <f>IF(VALUE(F9247) = VALUE(RIGHT(Insights!$C$3, 4)), E9247, "")</f>
        <v>#VALUE!</v>
      </c>
      <c r="H9247" s="26" t="e">
        <f t="shared" si="1"/>
        <v>#VALUE!</v>
      </c>
      <c r="I9247" s="1" t="e">
        <f t="shared" si="2"/>
        <v>#VALUE!</v>
      </c>
    </row>
    <row r="9248" spans="1:9" ht="15.75" customHeight="1">
      <c r="A9248" s="26"/>
      <c r="B9248" s="2"/>
      <c r="C9248" s="26"/>
      <c r="D9248" s="26"/>
      <c r="F9248" s="85" t="str">
        <f t="shared" si="0"/>
        <v/>
      </c>
      <c r="G9248" s="1" t="e">
        <f>IF(VALUE(F9248) = VALUE(RIGHT(Insights!$C$3, 4)), E9248, "")</f>
        <v>#VALUE!</v>
      </c>
      <c r="H9248" s="26" t="e">
        <f t="shared" si="1"/>
        <v>#VALUE!</v>
      </c>
      <c r="I9248" s="1" t="e">
        <f t="shared" si="2"/>
        <v>#VALUE!</v>
      </c>
    </row>
    <row r="9249" spans="1:9" ht="15.75" customHeight="1">
      <c r="A9249" s="26"/>
      <c r="B9249" s="2"/>
      <c r="C9249" s="26"/>
      <c r="D9249" s="26"/>
      <c r="F9249" s="85" t="str">
        <f t="shared" si="0"/>
        <v/>
      </c>
      <c r="G9249" s="1" t="e">
        <f>IF(VALUE(F9249) = VALUE(RIGHT(Insights!$C$3, 4)), E9249, "")</f>
        <v>#VALUE!</v>
      </c>
      <c r="H9249" s="26" t="e">
        <f t="shared" si="1"/>
        <v>#VALUE!</v>
      </c>
      <c r="I9249" s="1" t="e">
        <f t="shared" si="2"/>
        <v>#VALUE!</v>
      </c>
    </row>
    <row r="9250" spans="1:9" ht="15.75" customHeight="1">
      <c r="A9250" s="26"/>
      <c r="B9250" s="2"/>
      <c r="C9250" s="26"/>
      <c r="D9250" s="26"/>
      <c r="F9250" s="85" t="str">
        <f t="shared" si="0"/>
        <v/>
      </c>
      <c r="G9250" s="1" t="e">
        <f>IF(VALUE(F9250) = VALUE(RIGHT(Insights!$C$3, 4)), E9250, "")</f>
        <v>#VALUE!</v>
      </c>
      <c r="H9250" s="26" t="e">
        <f t="shared" si="1"/>
        <v>#VALUE!</v>
      </c>
      <c r="I9250" s="1" t="e">
        <f t="shared" si="2"/>
        <v>#VALUE!</v>
      </c>
    </row>
    <row r="9251" spans="1:9" ht="15.75" customHeight="1">
      <c r="A9251" s="26"/>
      <c r="B9251" s="2"/>
      <c r="C9251" s="26"/>
      <c r="D9251" s="26"/>
      <c r="F9251" s="85" t="str">
        <f t="shared" si="0"/>
        <v/>
      </c>
      <c r="G9251" s="1" t="e">
        <f>IF(VALUE(F9251) = VALUE(RIGHT(Insights!$C$3, 4)), E9251, "")</f>
        <v>#VALUE!</v>
      </c>
      <c r="H9251" s="26" t="e">
        <f t="shared" si="1"/>
        <v>#VALUE!</v>
      </c>
      <c r="I9251" s="1" t="e">
        <f t="shared" si="2"/>
        <v>#VALUE!</v>
      </c>
    </row>
    <row r="9252" spans="1:9" ht="15.75" customHeight="1">
      <c r="A9252" s="26"/>
      <c r="B9252" s="2"/>
      <c r="C9252" s="26"/>
      <c r="D9252" s="26"/>
      <c r="F9252" s="85" t="str">
        <f t="shared" si="0"/>
        <v/>
      </c>
      <c r="G9252" s="1" t="e">
        <f>IF(VALUE(F9252) = VALUE(RIGHT(Insights!$C$3, 4)), E9252, "")</f>
        <v>#VALUE!</v>
      </c>
      <c r="H9252" s="26" t="e">
        <f t="shared" si="1"/>
        <v>#VALUE!</v>
      </c>
      <c r="I9252" s="1" t="e">
        <f t="shared" si="2"/>
        <v>#VALUE!</v>
      </c>
    </row>
    <row r="9253" spans="1:9" ht="15.75" customHeight="1">
      <c r="A9253" s="26"/>
      <c r="B9253" s="2"/>
      <c r="C9253" s="26"/>
      <c r="D9253" s="26"/>
      <c r="F9253" s="85" t="str">
        <f t="shared" si="0"/>
        <v/>
      </c>
      <c r="G9253" s="1" t="e">
        <f>IF(VALUE(F9253) = VALUE(RIGHT(Insights!$C$3, 4)), E9253, "")</f>
        <v>#VALUE!</v>
      </c>
      <c r="H9253" s="26" t="e">
        <f t="shared" si="1"/>
        <v>#VALUE!</v>
      </c>
      <c r="I9253" s="1" t="e">
        <f t="shared" si="2"/>
        <v>#VALUE!</v>
      </c>
    </row>
    <row r="9254" spans="1:9" ht="15.75" customHeight="1">
      <c r="A9254" s="26"/>
      <c r="B9254" s="2"/>
      <c r="C9254" s="26"/>
      <c r="D9254" s="26"/>
      <c r="F9254" s="85" t="str">
        <f t="shared" si="0"/>
        <v/>
      </c>
      <c r="G9254" s="1" t="e">
        <f>IF(VALUE(F9254) = VALUE(RIGHT(Insights!$C$3, 4)), E9254, "")</f>
        <v>#VALUE!</v>
      </c>
      <c r="H9254" s="26" t="e">
        <f t="shared" si="1"/>
        <v>#VALUE!</v>
      </c>
      <c r="I9254" s="1" t="e">
        <f t="shared" si="2"/>
        <v>#VALUE!</v>
      </c>
    </row>
    <row r="9255" spans="1:9" ht="15.75" customHeight="1">
      <c r="A9255" s="26"/>
      <c r="B9255" s="2"/>
      <c r="C9255" s="26"/>
      <c r="D9255" s="26"/>
      <c r="F9255" s="85" t="str">
        <f t="shared" si="0"/>
        <v/>
      </c>
      <c r="G9255" s="1" t="e">
        <f>IF(VALUE(F9255) = VALUE(RIGHT(Insights!$C$3, 4)), E9255, "")</f>
        <v>#VALUE!</v>
      </c>
      <c r="H9255" s="26" t="e">
        <f t="shared" si="1"/>
        <v>#VALUE!</v>
      </c>
      <c r="I9255" s="1" t="e">
        <f t="shared" si="2"/>
        <v>#VALUE!</v>
      </c>
    </row>
    <row r="9256" spans="1:9" ht="15.75" customHeight="1">
      <c r="A9256" s="26"/>
      <c r="B9256" s="2"/>
      <c r="C9256" s="26"/>
      <c r="D9256" s="26"/>
      <c r="F9256" s="85" t="str">
        <f t="shared" si="0"/>
        <v/>
      </c>
      <c r="G9256" s="1" t="e">
        <f>IF(VALUE(F9256) = VALUE(RIGHT(Insights!$C$3, 4)), E9256, "")</f>
        <v>#VALUE!</v>
      </c>
      <c r="H9256" s="26" t="e">
        <f t="shared" si="1"/>
        <v>#VALUE!</v>
      </c>
      <c r="I9256" s="1" t="e">
        <f t="shared" si="2"/>
        <v>#VALUE!</v>
      </c>
    </row>
    <row r="9257" spans="1:9" ht="15.75" customHeight="1">
      <c r="A9257" s="26"/>
      <c r="B9257" s="2"/>
      <c r="C9257" s="26"/>
      <c r="D9257" s="26"/>
      <c r="F9257" s="85" t="str">
        <f t="shared" si="0"/>
        <v/>
      </c>
      <c r="G9257" s="1" t="e">
        <f>IF(VALUE(F9257) = VALUE(RIGHT(Insights!$C$3, 4)), E9257, "")</f>
        <v>#VALUE!</v>
      </c>
      <c r="H9257" s="26" t="e">
        <f t="shared" si="1"/>
        <v>#VALUE!</v>
      </c>
      <c r="I9257" s="1" t="e">
        <f t="shared" si="2"/>
        <v>#VALUE!</v>
      </c>
    </row>
    <row r="9258" spans="1:9" ht="15.75" customHeight="1">
      <c r="A9258" s="26"/>
      <c r="B9258" s="2"/>
      <c r="C9258" s="26"/>
      <c r="D9258" s="26"/>
      <c r="F9258" s="85" t="str">
        <f t="shared" si="0"/>
        <v/>
      </c>
      <c r="G9258" s="1" t="e">
        <f>IF(VALUE(F9258) = VALUE(RIGHT(Insights!$C$3, 4)), E9258, "")</f>
        <v>#VALUE!</v>
      </c>
      <c r="H9258" s="26" t="e">
        <f t="shared" si="1"/>
        <v>#VALUE!</v>
      </c>
      <c r="I9258" s="1" t="e">
        <f t="shared" si="2"/>
        <v>#VALUE!</v>
      </c>
    </row>
    <row r="9259" spans="1:9" ht="15.75" customHeight="1">
      <c r="A9259" s="26"/>
      <c r="B9259" s="2"/>
      <c r="C9259" s="26"/>
      <c r="D9259" s="26"/>
      <c r="F9259" s="85" t="str">
        <f t="shared" si="0"/>
        <v/>
      </c>
      <c r="G9259" s="1" t="e">
        <f>IF(VALUE(F9259) = VALUE(RIGHT(Insights!$C$3, 4)), E9259, "")</f>
        <v>#VALUE!</v>
      </c>
      <c r="H9259" s="26" t="e">
        <f t="shared" si="1"/>
        <v>#VALUE!</v>
      </c>
      <c r="I9259" s="1" t="e">
        <f t="shared" si="2"/>
        <v>#VALUE!</v>
      </c>
    </row>
    <row r="9260" spans="1:9" ht="15.75" customHeight="1">
      <c r="A9260" s="26"/>
      <c r="B9260" s="2"/>
      <c r="C9260" s="26"/>
      <c r="D9260" s="26"/>
      <c r="F9260" s="85" t="str">
        <f t="shared" si="0"/>
        <v/>
      </c>
      <c r="G9260" s="1" t="e">
        <f>IF(VALUE(F9260) = VALUE(RIGHT(Insights!$C$3, 4)), E9260, "")</f>
        <v>#VALUE!</v>
      </c>
      <c r="H9260" s="26" t="e">
        <f t="shared" si="1"/>
        <v>#VALUE!</v>
      </c>
      <c r="I9260" s="1" t="e">
        <f t="shared" si="2"/>
        <v>#VALUE!</v>
      </c>
    </row>
    <row r="9261" spans="1:9" ht="15.75" customHeight="1">
      <c r="A9261" s="26"/>
      <c r="B9261" s="2"/>
      <c r="C9261" s="26"/>
      <c r="D9261" s="26"/>
      <c r="F9261" s="85" t="str">
        <f t="shared" si="0"/>
        <v/>
      </c>
      <c r="G9261" s="1" t="e">
        <f>IF(VALUE(F9261) = VALUE(RIGHT(Insights!$C$3, 4)), E9261, "")</f>
        <v>#VALUE!</v>
      </c>
      <c r="H9261" s="26" t="e">
        <f t="shared" si="1"/>
        <v>#VALUE!</v>
      </c>
      <c r="I9261" s="1" t="e">
        <f t="shared" si="2"/>
        <v>#VALUE!</v>
      </c>
    </row>
    <row r="9262" spans="1:9" ht="15.75" customHeight="1">
      <c r="A9262" s="26"/>
      <c r="B9262" s="2"/>
      <c r="C9262" s="26"/>
      <c r="D9262" s="26"/>
      <c r="F9262" s="85" t="str">
        <f t="shared" si="0"/>
        <v/>
      </c>
      <c r="G9262" s="1" t="e">
        <f>IF(VALUE(F9262) = VALUE(RIGHT(Insights!$C$3, 4)), E9262, "")</f>
        <v>#VALUE!</v>
      </c>
      <c r="H9262" s="26" t="e">
        <f t="shared" si="1"/>
        <v>#VALUE!</v>
      </c>
      <c r="I9262" s="1" t="e">
        <f t="shared" si="2"/>
        <v>#VALUE!</v>
      </c>
    </row>
    <row r="9263" spans="1:9" ht="15.75" customHeight="1">
      <c r="A9263" s="26"/>
      <c r="B9263" s="2"/>
      <c r="C9263" s="26"/>
      <c r="D9263" s="26"/>
      <c r="F9263" s="85" t="str">
        <f t="shared" si="0"/>
        <v/>
      </c>
      <c r="G9263" s="1" t="e">
        <f>IF(VALUE(F9263) = VALUE(RIGHT(Insights!$C$3, 4)), E9263, "")</f>
        <v>#VALUE!</v>
      </c>
      <c r="H9263" s="26" t="e">
        <f t="shared" si="1"/>
        <v>#VALUE!</v>
      </c>
      <c r="I9263" s="1" t="e">
        <f t="shared" si="2"/>
        <v>#VALUE!</v>
      </c>
    </row>
    <row r="9264" spans="1:9" ht="15.75" customHeight="1">
      <c r="A9264" s="26"/>
      <c r="B9264" s="2"/>
      <c r="C9264" s="26"/>
      <c r="D9264" s="26"/>
      <c r="F9264" s="85" t="str">
        <f t="shared" si="0"/>
        <v/>
      </c>
      <c r="G9264" s="1" t="e">
        <f>IF(VALUE(F9264) = VALUE(RIGHT(Insights!$C$3, 4)), E9264, "")</f>
        <v>#VALUE!</v>
      </c>
      <c r="H9264" s="26" t="e">
        <f t="shared" si="1"/>
        <v>#VALUE!</v>
      </c>
      <c r="I9264" s="1" t="e">
        <f t="shared" si="2"/>
        <v>#VALUE!</v>
      </c>
    </row>
    <row r="9265" spans="1:9" ht="15.75" customHeight="1">
      <c r="A9265" s="26"/>
      <c r="B9265" s="2"/>
      <c r="C9265" s="26"/>
      <c r="D9265" s="26"/>
      <c r="F9265" s="85" t="str">
        <f t="shared" si="0"/>
        <v/>
      </c>
      <c r="G9265" s="1" t="e">
        <f>IF(VALUE(F9265) = VALUE(RIGHT(Insights!$C$3, 4)), E9265, "")</f>
        <v>#VALUE!</v>
      </c>
      <c r="H9265" s="26" t="e">
        <f t="shared" si="1"/>
        <v>#VALUE!</v>
      </c>
      <c r="I9265" s="1" t="e">
        <f t="shared" si="2"/>
        <v>#VALUE!</v>
      </c>
    </row>
    <row r="9266" spans="1:9" ht="15.75" customHeight="1">
      <c r="A9266" s="26"/>
      <c r="B9266" s="2"/>
      <c r="C9266" s="26"/>
      <c r="D9266" s="26"/>
      <c r="F9266" s="85" t="str">
        <f t="shared" si="0"/>
        <v/>
      </c>
      <c r="G9266" s="1" t="e">
        <f>IF(VALUE(F9266) = VALUE(RIGHT(Insights!$C$3, 4)), E9266, "")</f>
        <v>#VALUE!</v>
      </c>
      <c r="H9266" s="26" t="e">
        <f t="shared" si="1"/>
        <v>#VALUE!</v>
      </c>
      <c r="I9266" s="1" t="e">
        <f t="shared" si="2"/>
        <v>#VALUE!</v>
      </c>
    </row>
    <row r="9267" spans="1:9" ht="15.75" customHeight="1">
      <c r="A9267" s="26"/>
      <c r="B9267" s="2"/>
      <c r="C9267" s="26"/>
      <c r="D9267" s="26"/>
      <c r="F9267" s="85" t="str">
        <f t="shared" si="0"/>
        <v/>
      </c>
      <c r="G9267" s="1" t="e">
        <f>IF(VALUE(F9267) = VALUE(RIGHT(Insights!$C$3, 4)), E9267, "")</f>
        <v>#VALUE!</v>
      </c>
      <c r="H9267" s="26" t="e">
        <f t="shared" si="1"/>
        <v>#VALUE!</v>
      </c>
      <c r="I9267" s="1" t="e">
        <f t="shared" si="2"/>
        <v>#VALUE!</v>
      </c>
    </row>
    <row r="9268" spans="1:9" ht="15.75" customHeight="1">
      <c r="A9268" s="26"/>
      <c r="B9268" s="2"/>
      <c r="C9268" s="26"/>
      <c r="D9268" s="26"/>
      <c r="F9268" s="85" t="str">
        <f t="shared" si="0"/>
        <v/>
      </c>
      <c r="G9268" s="1" t="e">
        <f>IF(VALUE(F9268) = VALUE(RIGHT(Insights!$C$3, 4)), E9268, "")</f>
        <v>#VALUE!</v>
      </c>
      <c r="H9268" s="26" t="e">
        <f t="shared" si="1"/>
        <v>#VALUE!</v>
      </c>
      <c r="I9268" s="1" t="e">
        <f t="shared" si="2"/>
        <v>#VALUE!</v>
      </c>
    </row>
    <row r="9269" spans="1:9" ht="15.75" customHeight="1">
      <c r="A9269" s="26"/>
      <c r="B9269" s="2"/>
      <c r="C9269" s="26"/>
      <c r="D9269" s="26"/>
      <c r="F9269" s="85" t="str">
        <f t="shared" si="0"/>
        <v/>
      </c>
      <c r="G9269" s="1" t="e">
        <f>IF(VALUE(F9269) = VALUE(RIGHT(Insights!$C$3, 4)), E9269, "")</f>
        <v>#VALUE!</v>
      </c>
      <c r="H9269" s="26" t="e">
        <f t="shared" si="1"/>
        <v>#VALUE!</v>
      </c>
      <c r="I9269" s="1" t="e">
        <f t="shared" si="2"/>
        <v>#VALUE!</v>
      </c>
    </row>
    <row r="9270" spans="1:9" ht="15.75" customHeight="1">
      <c r="A9270" s="26"/>
      <c r="B9270" s="2"/>
      <c r="C9270" s="26"/>
      <c r="D9270" s="26"/>
      <c r="F9270" s="85" t="str">
        <f t="shared" si="0"/>
        <v/>
      </c>
      <c r="G9270" s="1" t="e">
        <f>IF(VALUE(F9270) = VALUE(RIGHT(Insights!$C$3, 4)), E9270, "")</f>
        <v>#VALUE!</v>
      </c>
      <c r="H9270" s="26" t="e">
        <f t="shared" si="1"/>
        <v>#VALUE!</v>
      </c>
      <c r="I9270" s="1" t="e">
        <f t="shared" si="2"/>
        <v>#VALUE!</v>
      </c>
    </row>
    <row r="9271" spans="1:9" ht="15.75" customHeight="1">
      <c r="A9271" s="26"/>
      <c r="B9271" s="2"/>
      <c r="C9271" s="26"/>
      <c r="D9271" s="26"/>
      <c r="F9271" s="85" t="str">
        <f t="shared" si="0"/>
        <v/>
      </c>
      <c r="G9271" s="1" t="e">
        <f>IF(VALUE(F9271) = VALUE(RIGHT(Insights!$C$3, 4)), E9271, "")</f>
        <v>#VALUE!</v>
      </c>
      <c r="H9271" s="26" t="e">
        <f t="shared" si="1"/>
        <v>#VALUE!</v>
      </c>
      <c r="I9271" s="1" t="e">
        <f t="shared" si="2"/>
        <v>#VALUE!</v>
      </c>
    </row>
    <row r="9272" spans="1:9" ht="15.75" customHeight="1">
      <c r="A9272" s="26"/>
      <c r="B9272" s="2"/>
      <c r="C9272" s="26"/>
      <c r="D9272" s="26"/>
      <c r="F9272" s="85" t="str">
        <f t="shared" si="0"/>
        <v/>
      </c>
      <c r="G9272" s="1" t="e">
        <f>IF(VALUE(F9272) = VALUE(RIGHT(Insights!$C$3, 4)), E9272, "")</f>
        <v>#VALUE!</v>
      </c>
      <c r="H9272" s="26" t="e">
        <f t="shared" si="1"/>
        <v>#VALUE!</v>
      </c>
      <c r="I9272" s="1" t="e">
        <f t="shared" si="2"/>
        <v>#VALUE!</v>
      </c>
    </row>
    <row r="9273" spans="1:9" ht="15.75" customHeight="1">
      <c r="A9273" s="26"/>
      <c r="B9273" s="2"/>
      <c r="C9273" s="26"/>
      <c r="D9273" s="26"/>
      <c r="F9273" s="85" t="str">
        <f t="shared" si="0"/>
        <v/>
      </c>
      <c r="G9273" s="1" t="e">
        <f>IF(VALUE(F9273) = VALUE(RIGHT(Insights!$C$3, 4)), E9273, "")</f>
        <v>#VALUE!</v>
      </c>
      <c r="H9273" s="26" t="e">
        <f t="shared" si="1"/>
        <v>#VALUE!</v>
      </c>
      <c r="I9273" s="1" t="e">
        <f t="shared" si="2"/>
        <v>#VALUE!</v>
      </c>
    </row>
    <row r="9274" spans="1:9" ht="15.75" customHeight="1">
      <c r="A9274" s="26"/>
      <c r="B9274" s="2"/>
      <c r="C9274" s="26"/>
      <c r="D9274" s="26"/>
      <c r="F9274" s="85" t="str">
        <f t="shared" si="0"/>
        <v/>
      </c>
      <c r="G9274" s="1" t="e">
        <f>IF(VALUE(F9274) = VALUE(RIGHT(Insights!$C$3, 4)), E9274, "")</f>
        <v>#VALUE!</v>
      </c>
      <c r="H9274" s="26" t="e">
        <f t="shared" si="1"/>
        <v>#VALUE!</v>
      </c>
      <c r="I9274" s="1" t="e">
        <f t="shared" si="2"/>
        <v>#VALUE!</v>
      </c>
    </row>
    <row r="9275" spans="1:9" ht="15.75" customHeight="1">
      <c r="A9275" s="26"/>
      <c r="B9275" s="2"/>
      <c r="C9275" s="26"/>
      <c r="D9275" s="26"/>
      <c r="F9275" s="85" t="str">
        <f t="shared" si="0"/>
        <v/>
      </c>
      <c r="G9275" s="1" t="e">
        <f>IF(VALUE(F9275) = VALUE(RIGHT(Insights!$C$3, 4)), E9275, "")</f>
        <v>#VALUE!</v>
      </c>
      <c r="H9275" s="26" t="e">
        <f t="shared" si="1"/>
        <v>#VALUE!</v>
      </c>
      <c r="I9275" s="1" t="e">
        <f t="shared" si="2"/>
        <v>#VALUE!</v>
      </c>
    </row>
    <row r="9276" spans="1:9" ht="15.75" customHeight="1">
      <c r="A9276" s="26"/>
      <c r="B9276" s="2"/>
      <c r="C9276" s="26"/>
      <c r="D9276" s="26"/>
      <c r="F9276" s="85" t="str">
        <f t="shared" si="0"/>
        <v/>
      </c>
      <c r="G9276" s="1" t="e">
        <f>IF(VALUE(F9276) = VALUE(RIGHT(Insights!$C$3, 4)), E9276, "")</f>
        <v>#VALUE!</v>
      </c>
      <c r="H9276" s="26" t="e">
        <f t="shared" si="1"/>
        <v>#VALUE!</v>
      </c>
      <c r="I9276" s="1" t="e">
        <f t="shared" si="2"/>
        <v>#VALUE!</v>
      </c>
    </row>
    <row r="9277" spans="1:9" ht="15.75" customHeight="1">
      <c r="A9277" s="26"/>
      <c r="B9277" s="2"/>
      <c r="C9277" s="26"/>
      <c r="D9277" s="26"/>
      <c r="F9277" s="85" t="str">
        <f t="shared" si="0"/>
        <v/>
      </c>
      <c r="G9277" s="1" t="e">
        <f>IF(VALUE(F9277) = VALUE(RIGHT(Insights!$C$3, 4)), E9277, "")</f>
        <v>#VALUE!</v>
      </c>
      <c r="H9277" s="26" t="e">
        <f t="shared" si="1"/>
        <v>#VALUE!</v>
      </c>
      <c r="I9277" s="1" t="e">
        <f t="shared" si="2"/>
        <v>#VALUE!</v>
      </c>
    </row>
    <row r="9278" spans="1:9" ht="15.75" customHeight="1">
      <c r="A9278" s="26"/>
      <c r="B9278" s="2"/>
      <c r="C9278" s="26"/>
      <c r="D9278" s="26"/>
      <c r="F9278" s="85" t="str">
        <f t="shared" si="0"/>
        <v/>
      </c>
      <c r="G9278" s="1" t="e">
        <f>IF(VALUE(F9278) = VALUE(RIGHT(Insights!$C$3, 4)), E9278, "")</f>
        <v>#VALUE!</v>
      </c>
      <c r="H9278" s="26" t="e">
        <f t="shared" si="1"/>
        <v>#VALUE!</v>
      </c>
      <c r="I9278" s="1" t="e">
        <f t="shared" si="2"/>
        <v>#VALUE!</v>
      </c>
    </row>
    <row r="9279" spans="1:9" ht="15.75" customHeight="1">
      <c r="A9279" s="26"/>
      <c r="B9279" s="2"/>
      <c r="C9279" s="26"/>
      <c r="D9279" s="26"/>
      <c r="F9279" s="85" t="str">
        <f t="shared" si="0"/>
        <v/>
      </c>
      <c r="G9279" s="1" t="e">
        <f>IF(VALUE(F9279) = VALUE(RIGHT(Insights!$C$3, 4)), E9279, "")</f>
        <v>#VALUE!</v>
      </c>
      <c r="H9279" s="26" t="e">
        <f t="shared" si="1"/>
        <v>#VALUE!</v>
      </c>
      <c r="I9279" s="1" t="e">
        <f t="shared" si="2"/>
        <v>#VALUE!</v>
      </c>
    </row>
    <row r="9280" spans="1:9" ht="15.75" customHeight="1">
      <c r="A9280" s="26"/>
      <c r="B9280" s="2"/>
      <c r="C9280" s="26"/>
      <c r="D9280" s="26"/>
      <c r="F9280" s="85" t="str">
        <f t="shared" si="0"/>
        <v/>
      </c>
      <c r="G9280" s="1" t="e">
        <f>IF(VALUE(F9280) = VALUE(RIGHT(Insights!$C$3, 4)), E9280, "")</f>
        <v>#VALUE!</v>
      </c>
      <c r="H9280" s="26" t="e">
        <f t="shared" si="1"/>
        <v>#VALUE!</v>
      </c>
      <c r="I9280" s="1" t="e">
        <f t="shared" si="2"/>
        <v>#VALUE!</v>
      </c>
    </row>
    <row r="9281" spans="1:9" ht="15.75" customHeight="1">
      <c r="A9281" s="26"/>
      <c r="B9281" s="2"/>
      <c r="C9281" s="26"/>
      <c r="D9281" s="26"/>
      <c r="F9281" s="85" t="str">
        <f t="shared" si="0"/>
        <v/>
      </c>
      <c r="G9281" s="1" t="e">
        <f>IF(VALUE(F9281) = VALUE(RIGHT(Insights!$C$3, 4)), E9281, "")</f>
        <v>#VALUE!</v>
      </c>
      <c r="H9281" s="26" t="e">
        <f t="shared" si="1"/>
        <v>#VALUE!</v>
      </c>
      <c r="I9281" s="1" t="e">
        <f t="shared" si="2"/>
        <v>#VALUE!</v>
      </c>
    </row>
    <row r="9282" spans="1:9" ht="15.75" customHeight="1">
      <c r="A9282" s="26"/>
      <c r="B9282" s="2"/>
      <c r="C9282" s="26"/>
      <c r="D9282" s="26"/>
      <c r="F9282" s="85" t="str">
        <f t="shared" si="0"/>
        <v/>
      </c>
      <c r="G9282" s="1" t="e">
        <f>IF(VALUE(F9282) = VALUE(RIGHT(Insights!$C$3, 4)), E9282, "")</f>
        <v>#VALUE!</v>
      </c>
      <c r="H9282" s="26" t="e">
        <f t="shared" si="1"/>
        <v>#VALUE!</v>
      </c>
      <c r="I9282" s="1" t="e">
        <f t="shared" si="2"/>
        <v>#VALUE!</v>
      </c>
    </row>
    <row r="9283" spans="1:9" ht="15.75" customHeight="1">
      <c r="A9283" s="26"/>
      <c r="B9283" s="2"/>
      <c r="C9283" s="26"/>
      <c r="D9283" s="26"/>
      <c r="F9283" s="85" t="str">
        <f t="shared" si="0"/>
        <v/>
      </c>
      <c r="G9283" s="1" t="e">
        <f>IF(VALUE(F9283) = VALUE(RIGHT(Insights!$C$3, 4)), E9283, "")</f>
        <v>#VALUE!</v>
      </c>
      <c r="H9283" s="26" t="e">
        <f t="shared" si="1"/>
        <v>#VALUE!</v>
      </c>
      <c r="I9283" s="1" t="e">
        <f t="shared" si="2"/>
        <v>#VALUE!</v>
      </c>
    </row>
    <row r="9284" spans="1:9" ht="15.75" customHeight="1">
      <c r="A9284" s="26"/>
      <c r="B9284" s="2"/>
      <c r="C9284" s="26"/>
      <c r="D9284" s="26"/>
      <c r="F9284" s="85" t="str">
        <f t="shared" si="0"/>
        <v/>
      </c>
      <c r="G9284" s="1" t="e">
        <f>IF(VALUE(F9284) = VALUE(RIGHT(Insights!$C$3, 4)), E9284, "")</f>
        <v>#VALUE!</v>
      </c>
      <c r="H9284" s="26" t="e">
        <f t="shared" si="1"/>
        <v>#VALUE!</v>
      </c>
      <c r="I9284" s="1" t="e">
        <f t="shared" si="2"/>
        <v>#VALUE!</v>
      </c>
    </row>
    <row r="9285" spans="1:9" ht="15.75" customHeight="1">
      <c r="A9285" s="26"/>
      <c r="B9285" s="2"/>
      <c r="C9285" s="26"/>
      <c r="D9285" s="26"/>
      <c r="F9285" s="85" t="str">
        <f t="shared" si="0"/>
        <v/>
      </c>
      <c r="G9285" s="1" t="e">
        <f>IF(VALUE(F9285) = VALUE(RIGHT(Insights!$C$3, 4)), E9285, "")</f>
        <v>#VALUE!</v>
      </c>
      <c r="H9285" s="26" t="e">
        <f t="shared" si="1"/>
        <v>#VALUE!</v>
      </c>
      <c r="I9285" s="1" t="e">
        <f t="shared" si="2"/>
        <v>#VALUE!</v>
      </c>
    </row>
    <row r="9286" spans="1:9" ht="15.75" customHeight="1">
      <c r="A9286" s="26"/>
      <c r="B9286" s="2"/>
      <c r="C9286" s="26"/>
      <c r="D9286" s="26"/>
      <c r="F9286" s="85" t="str">
        <f t="shared" si="0"/>
        <v/>
      </c>
      <c r="G9286" s="1" t="e">
        <f>IF(VALUE(F9286) = VALUE(RIGHT(Insights!$C$3, 4)), E9286, "")</f>
        <v>#VALUE!</v>
      </c>
      <c r="H9286" s="26" t="e">
        <f t="shared" si="1"/>
        <v>#VALUE!</v>
      </c>
      <c r="I9286" s="1" t="e">
        <f t="shared" si="2"/>
        <v>#VALUE!</v>
      </c>
    </row>
    <row r="9287" spans="1:9" ht="15.75" customHeight="1">
      <c r="A9287" s="26"/>
      <c r="B9287" s="2"/>
      <c r="C9287" s="26"/>
      <c r="D9287" s="26"/>
      <c r="F9287" s="85" t="str">
        <f t="shared" si="0"/>
        <v/>
      </c>
      <c r="G9287" s="1" t="e">
        <f>IF(VALUE(F9287) = VALUE(RIGHT(Insights!$C$3, 4)), E9287, "")</f>
        <v>#VALUE!</v>
      </c>
      <c r="H9287" s="26" t="e">
        <f t="shared" si="1"/>
        <v>#VALUE!</v>
      </c>
      <c r="I9287" s="1" t="e">
        <f t="shared" si="2"/>
        <v>#VALUE!</v>
      </c>
    </row>
    <row r="9288" spans="1:9" ht="15.75" customHeight="1">
      <c r="A9288" s="26"/>
      <c r="B9288" s="2"/>
      <c r="C9288" s="26"/>
      <c r="D9288" s="26"/>
      <c r="F9288" s="85" t="str">
        <f t="shared" si="0"/>
        <v/>
      </c>
      <c r="G9288" s="1" t="e">
        <f>IF(VALUE(F9288) = VALUE(RIGHT(Insights!$C$3, 4)), E9288, "")</f>
        <v>#VALUE!</v>
      </c>
      <c r="H9288" s="26" t="e">
        <f t="shared" si="1"/>
        <v>#VALUE!</v>
      </c>
      <c r="I9288" s="1" t="e">
        <f t="shared" si="2"/>
        <v>#VALUE!</v>
      </c>
    </row>
    <row r="9289" spans="1:9" ht="15.75" customHeight="1">
      <c r="A9289" s="26"/>
      <c r="B9289" s="2"/>
      <c r="C9289" s="26"/>
      <c r="D9289" s="26"/>
      <c r="F9289" s="85" t="str">
        <f t="shared" si="0"/>
        <v/>
      </c>
      <c r="G9289" s="1" t="e">
        <f>IF(VALUE(F9289) = VALUE(RIGHT(Insights!$C$3, 4)), E9289, "")</f>
        <v>#VALUE!</v>
      </c>
      <c r="H9289" s="26" t="e">
        <f t="shared" si="1"/>
        <v>#VALUE!</v>
      </c>
      <c r="I9289" s="1" t="e">
        <f t="shared" si="2"/>
        <v>#VALUE!</v>
      </c>
    </row>
    <row r="9290" spans="1:9" ht="15.75" customHeight="1">
      <c r="A9290" s="26"/>
      <c r="B9290" s="2"/>
      <c r="C9290" s="26"/>
      <c r="D9290" s="26"/>
      <c r="F9290" s="85" t="str">
        <f t="shared" si="0"/>
        <v/>
      </c>
      <c r="G9290" s="1" t="e">
        <f>IF(VALUE(F9290) = VALUE(RIGHT(Insights!$C$3, 4)), E9290, "")</f>
        <v>#VALUE!</v>
      </c>
      <c r="H9290" s="26" t="e">
        <f t="shared" si="1"/>
        <v>#VALUE!</v>
      </c>
      <c r="I9290" s="1" t="e">
        <f t="shared" si="2"/>
        <v>#VALUE!</v>
      </c>
    </row>
    <row r="9291" spans="1:9" ht="15.75" customHeight="1">
      <c r="A9291" s="26"/>
      <c r="B9291" s="2"/>
      <c r="C9291" s="26"/>
      <c r="D9291" s="26"/>
      <c r="F9291" s="85" t="str">
        <f t="shared" si="0"/>
        <v/>
      </c>
      <c r="G9291" s="1" t="e">
        <f>IF(VALUE(F9291) = VALUE(RIGHT(Insights!$C$3, 4)), E9291, "")</f>
        <v>#VALUE!</v>
      </c>
      <c r="H9291" s="26" t="e">
        <f t="shared" si="1"/>
        <v>#VALUE!</v>
      </c>
      <c r="I9291" s="1" t="e">
        <f t="shared" si="2"/>
        <v>#VALUE!</v>
      </c>
    </row>
    <row r="9292" spans="1:9" ht="15.75" customHeight="1">
      <c r="A9292" s="26"/>
      <c r="B9292" s="2"/>
      <c r="C9292" s="26"/>
      <c r="D9292" s="26"/>
      <c r="F9292" s="85" t="str">
        <f t="shared" si="0"/>
        <v/>
      </c>
      <c r="G9292" s="1" t="e">
        <f>IF(VALUE(F9292) = VALUE(RIGHT(Insights!$C$3, 4)), E9292, "")</f>
        <v>#VALUE!</v>
      </c>
      <c r="H9292" s="26" t="e">
        <f t="shared" si="1"/>
        <v>#VALUE!</v>
      </c>
      <c r="I9292" s="1" t="e">
        <f t="shared" si="2"/>
        <v>#VALUE!</v>
      </c>
    </row>
    <row r="9293" spans="1:9" ht="15.75" customHeight="1">
      <c r="A9293" s="26"/>
      <c r="B9293" s="2"/>
      <c r="C9293" s="26"/>
      <c r="D9293" s="26"/>
      <c r="F9293" s="85" t="str">
        <f t="shared" si="0"/>
        <v/>
      </c>
      <c r="G9293" s="1" t="e">
        <f>IF(VALUE(F9293) = VALUE(RIGHT(Insights!$C$3, 4)), E9293, "")</f>
        <v>#VALUE!</v>
      </c>
      <c r="H9293" s="26" t="e">
        <f t="shared" si="1"/>
        <v>#VALUE!</v>
      </c>
      <c r="I9293" s="1" t="e">
        <f t="shared" si="2"/>
        <v>#VALUE!</v>
      </c>
    </row>
    <row r="9294" spans="1:9" ht="15.75" customHeight="1">
      <c r="A9294" s="26"/>
      <c r="B9294" s="2"/>
      <c r="C9294" s="26"/>
      <c r="D9294" s="26"/>
      <c r="F9294" s="85" t="str">
        <f t="shared" si="0"/>
        <v/>
      </c>
      <c r="G9294" s="1" t="e">
        <f>IF(VALUE(F9294) = VALUE(RIGHT(Insights!$C$3, 4)), E9294, "")</f>
        <v>#VALUE!</v>
      </c>
      <c r="H9294" s="26" t="e">
        <f t="shared" si="1"/>
        <v>#VALUE!</v>
      </c>
      <c r="I9294" s="1" t="e">
        <f t="shared" si="2"/>
        <v>#VALUE!</v>
      </c>
    </row>
    <row r="9295" spans="1:9" ht="15.75" customHeight="1">
      <c r="A9295" s="26"/>
      <c r="B9295" s="2"/>
      <c r="C9295" s="26"/>
      <c r="D9295" s="26"/>
      <c r="F9295" s="85" t="str">
        <f t="shared" si="0"/>
        <v/>
      </c>
      <c r="G9295" s="1" t="e">
        <f>IF(VALUE(F9295) = VALUE(RIGHT(Insights!$C$3, 4)), E9295, "")</f>
        <v>#VALUE!</v>
      </c>
      <c r="H9295" s="26" t="e">
        <f t="shared" si="1"/>
        <v>#VALUE!</v>
      </c>
      <c r="I9295" s="1" t="e">
        <f t="shared" si="2"/>
        <v>#VALUE!</v>
      </c>
    </row>
    <row r="9296" spans="1:9" ht="15.75" customHeight="1">
      <c r="A9296" s="26"/>
      <c r="B9296" s="2"/>
      <c r="C9296" s="26"/>
      <c r="D9296" s="26"/>
      <c r="F9296" s="85" t="str">
        <f t="shared" si="0"/>
        <v/>
      </c>
      <c r="G9296" s="1" t="e">
        <f>IF(VALUE(F9296) = VALUE(RIGHT(Insights!$C$3, 4)), E9296, "")</f>
        <v>#VALUE!</v>
      </c>
      <c r="H9296" s="26" t="e">
        <f t="shared" si="1"/>
        <v>#VALUE!</v>
      </c>
      <c r="I9296" s="1" t="e">
        <f t="shared" si="2"/>
        <v>#VALUE!</v>
      </c>
    </row>
    <row r="9297" spans="1:9" ht="15.75" customHeight="1">
      <c r="A9297" s="26"/>
      <c r="B9297" s="2"/>
      <c r="C9297" s="26"/>
      <c r="D9297" s="26"/>
      <c r="F9297" s="85" t="str">
        <f t="shared" si="0"/>
        <v/>
      </c>
      <c r="G9297" s="1" t="e">
        <f>IF(VALUE(F9297) = VALUE(RIGHT(Insights!$C$3, 4)), E9297, "")</f>
        <v>#VALUE!</v>
      </c>
      <c r="H9297" s="26" t="e">
        <f t="shared" si="1"/>
        <v>#VALUE!</v>
      </c>
      <c r="I9297" s="1" t="e">
        <f t="shared" si="2"/>
        <v>#VALUE!</v>
      </c>
    </row>
    <row r="9298" spans="1:9" ht="15.75" customHeight="1">
      <c r="A9298" s="26"/>
      <c r="B9298" s="2"/>
      <c r="C9298" s="26"/>
      <c r="D9298" s="26"/>
      <c r="F9298" s="85" t="str">
        <f t="shared" si="0"/>
        <v/>
      </c>
      <c r="G9298" s="1" t="e">
        <f>IF(VALUE(F9298) = VALUE(RIGHT(Insights!$C$3, 4)), E9298, "")</f>
        <v>#VALUE!</v>
      </c>
      <c r="H9298" s="26" t="e">
        <f t="shared" si="1"/>
        <v>#VALUE!</v>
      </c>
      <c r="I9298" s="1" t="e">
        <f t="shared" si="2"/>
        <v>#VALUE!</v>
      </c>
    </row>
    <row r="9299" spans="1:9" ht="15.75" customHeight="1">
      <c r="A9299" s="26"/>
      <c r="B9299" s="2"/>
      <c r="C9299" s="26"/>
      <c r="D9299" s="26"/>
      <c r="F9299" s="85" t="str">
        <f t="shared" si="0"/>
        <v/>
      </c>
      <c r="G9299" s="1" t="e">
        <f>IF(VALUE(F9299) = VALUE(RIGHT(Insights!$C$3, 4)), E9299, "")</f>
        <v>#VALUE!</v>
      </c>
      <c r="H9299" s="26" t="e">
        <f t="shared" si="1"/>
        <v>#VALUE!</v>
      </c>
      <c r="I9299" s="1" t="e">
        <f t="shared" si="2"/>
        <v>#VALUE!</v>
      </c>
    </row>
    <row r="9300" spans="1:9" ht="15.75" customHeight="1">
      <c r="A9300" s="26"/>
      <c r="B9300" s="2"/>
      <c r="C9300" s="26"/>
      <c r="D9300" s="26"/>
      <c r="F9300" s="85" t="str">
        <f t="shared" si="0"/>
        <v/>
      </c>
      <c r="G9300" s="1" t="e">
        <f>IF(VALUE(F9300) = VALUE(RIGHT(Insights!$C$3, 4)), E9300, "")</f>
        <v>#VALUE!</v>
      </c>
      <c r="H9300" s="26" t="e">
        <f t="shared" si="1"/>
        <v>#VALUE!</v>
      </c>
      <c r="I9300" s="1" t="e">
        <f t="shared" si="2"/>
        <v>#VALUE!</v>
      </c>
    </row>
    <row r="9301" spans="1:9" ht="15.75" customHeight="1">
      <c r="A9301" s="26"/>
      <c r="B9301" s="2"/>
      <c r="C9301" s="26"/>
      <c r="D9301" s="26"/>
      <c r="F9301" s="85" t="str">
        <f t="shared" si="0"/>
        <v/>
      </c>
      <c r="G9301" s="1" t="e">
        <f>IF(VALUE(F9301) = VALUE(RIGHT(Insights!$C$3, 4)), E9301, "")</f>
        <v>#VALUE!</v>
      </c>
      <c r="H9301" s="26" t="e">
        <f t="shared" si="1"/>
        <v>#VALUE!</v>
      </c>
      <c r="I9301" s="1" t="e">
        <f t="shared" si="2"/>
        <v>#VALUE!</v>
      </c>
    </row>
    <row r="9302" spans="1:9" ht="15.75" customHeight="1">
      <c r="A9302" s="26"/>
      <c r="B9302" s="2"/>
      <c r="C9302" s="26"/>
      <c r="D9302" s="26"/>
      <c r="F9302" s="85" t="str">
        <f t="shared" si="0"/>
        <v/>
      </c>
      <c r="G9302" s="1" t="e">
        <f>IF(VALUE(F9302) = VALUE(RIGHT(Insights!$C$3, 4)), E9302, "")</f>
        <v>#VALUE!</v>
      </c>
      <c r="H9302" s="26" t="e">
        <f t="shared" si="1"/>
        <v>#VALUE!</v>
      </c>
      <c r="I9302" s="1" t="e">
        <f t="shared" si="2"/>
        <v>#VALUE!</v>
      </c>
    </row>
    <row r="9303" spans="1:9" ht="15.75" customHeight="1">
      <c r="A9303" s="26"/>
      <c r="B9303" s="2"/>
      <c r="C9303" s="26"/>
      <c r="D9303" s="26"/>
      <c r="F9303" s="85" t="str">
        <f t="shared" si="0"/>
        <v/>
      </c>
      <c r="G9303" s="1" t="e">
        <f>IF(VALUE(F9303) = VALUE(RIGHT(Insights!$C$3, 4)), E9303, "")</f>
        <v>#VALUE!</v>
      </c>
      <c r="H9303" s="26" t="e">
        <f t="shared" si="1"/>
        <v>#VALUE!</v>
      </c>
      <c r="I9303" s="1" t="e">
        <f t="shared" si="2"/>
        <v>#VALUE!</v>
      </c>
    </row>
    <row r="9304" spans="1:9" ht="15.75" customHeight="1">
      <c r="A9304" s="26"/>
      <c r="B9304" s="2"/>
      <c r="C9304" s="26"/>
      <c r="D9304" s="26"/>
      <c r="F9304" s="85" t="str">
        <f t="shared" si="0"/>
        <v/>
      </c>
      <c r="G9304" s="1" t="e">
        <f>IF(VALUE(F9304) = VALUE(RIGHT(Insights!$C$3, 4)), E9304, "")</f>
        <v>#VALUE!</v>
      </c>
      <c r="H9304" s="26" t="e">
        <f t="shared" si="1"/>
        <v>#VALUE!</v>
      </c>
      <c r="I9304" s="1" t="e">
        <f t="shared" si="2"/>
        <v>#VALUE!</v>
      </c>
    </row>
    <row r="9305" spans="1:9" ht="15.75" customHeight="1">
      <c r="A9305" s="26"/>
      <c r="B9305" s="2"/>
      <c r="C9305" s="26"/>
      <c r="D9305" s="26"/>
      <c r="F9305" s="85" t="str">
        <f t="shared" si="0"/>
        <v/>
      </c>
      <c r="G9305" s="1" t="e">
        <f>IF(VALUE(F9305) = VALUE(RIGHT(Insights!$C$3, 4)), E9305, "")</f>
        <v>#VALUE!</v>
      </c>
      <c r="H9305" s="26" t="e">
        <f t="shared" si="1"/>
        <v>#VALUE!</v>
      </c>
      <c r="I9305" s="1" t="e">
        <f t="shared" si="2"/>
        <v>#VALUE!</v>
      </c>
    </row>
    <row r="9306" spans="1:9" ht="15.75" customHeight="1">
      <c r="A9306" s="26"/>
      <c r="B9306" s="2"/>
      <c r="C9306" s="26"/>
      <c r="D9306" s="26"/>
      <c r="F9306" s="85" t="str">
        <f t="shared" si="0"/>
        <v/>
      </c>
      <c r="G9306" s="1" t="e">
        <f>IF(VALUE(F9306) = VALUE(RIGHT(Insights!$C$3, 4)), E9306, "")</f>
        <v>#VALUE!</v>
      </c>
      <c r="H9306" s="26" t="e">
        <f t="shared" si="1"/>
        <v>#VALUE!</v>
      </c>
      <c r="I9306" s="1" t="e">
        <f t="shared" si="2"/>
        <v>#VALUE!</v>
      </c>
    </row>
    <row r="9307" spans="1:9" ht="15.75" customHeight="1">
      <c r="A9307" s="26"/>
      <c r="B9307" s="2"/>
      <c r="C9307" s="26"/>
      <c r="D9307" s="26"/>
      <c r="F9307" s="85" t="str">
        <f t="shared" si="0"/>
        <v/>
      </c>
      <c r="G9307" s="1" t="e">
        <f>IF(VALUE(F9307) = VALUE(RIGHT(Insights!$C$3, 4)), E9307, "")</f>
        <v>#VALUE!</v>
      </c>
      <c r="H9307" s="26" t="e">
        <f t="shared" si="1"/>
        <v>#VALUE!</v>
      </c>
      <c r="I9307" s="1" t="e">
        <f t="shared" si="2"/>
        <v>#VALUE!</v>
      </c>
    </row>
    <row r="9308" spans="1:9" ht="15.75" customHeight="1">
      <c r="A9308" s="26"/>
      <c r="B9308" s="2"/>
      <c r="C9308" s="26"/>
      <c r="D9308" s="26"/>
      <c r="F9308" s="85" t="str">
        <f t="shared" si="0"/>
        <v/>
      </c>
      <c r="G9308" s="1" t="e">
        <f>IF(VALUE(F9308) = VALUE(RIGHT(Insights!$C$3, 4)), E9308, "")</f>
        <v>#VALUE!</v>
      </c>
      <c r="H9308" s="26" t="e">
        <f t="shared" si="1"/>
        <v>#VALUE!</v>
      </c>
      <c r="I9308" s="1" t="e">
        <f t="shared" si="2"/>
        <v>#VALUE!</v>
      </c>
    </row>
    <row r="9309" spans="1:9" ht="15.75" customHeight="1">
      <c r="A9309" s="26"/>
      <c r="B9309" s="2"/>
      <c r="C9309" s="26"/>
      <c r="D9309" s="26"/>
      <c r="F9309" s="85" t="str">
        <f t="shared" si="0"/>
        <v/>
      </c>
      <c r="G9309" s="1" t="e">
        <f>IF(VALUE(F9309) = VALUE(RIGHT(Insights!$C$3, 4)), E9309, "")</f>
        <v>#VALUE!</v>
      </c>
      <c r="H9309" s="26" t="e">
        <f t="shared" si="1"/>
        <v>#VALUE!</v>
      </c>
      <c r="I9309" s="1" t="e">
        <f t="shared" si="2"/>
        <v>#VALUE!</v>
      </c>
    </row>
    <row r="9310" spans="1:9" ht="15.75" customHeight="1">
      <c r="A9310" s="26"/>
      <c r="B9310" s="2"/>
      <c r="C9310" s="26"/>
      <c r="D9310" s="26"/>
      <c r="F9310" s="85" t="str">
        <f t="shared" si="0"/>
        <v/>
      </c>
      <c r="G9310" s="1" t="e">
        <f>IF(VALUE(F9310) = VALUE(RIGHT(Insights!$C$3, 4)), E9310, "")</f>
        <v>#VALUE!</v>
      </c>
      <c r="H9310" s="26" t="e">
        <f t="shared" si="1"/>
        <v>#VALUE!</v>
      </c>
      <c r="I9310" s="1" t="e">
        <f t="shared" si="2"/>
        <v>#VALUE!</v>
      </c>
    </row>
    <row r="9311" spans="1:9" ht="15.75" customHeight="1">
      <c r="A9311" s="26"/>
      <c r="B9311" s="2"/>
      <c r="C9311" s="26"/>
      <c r="D9311" s="26"/>
      <c r="F9311" s="85" t="str">
        <f t="shared" si="0"/>
        <v/>
      </c>
      <c r="G9311" s="1" t="e">
        <f>IF(VALUE(F9311) = VALUE(RIGHT(Insights!$C$3, 4)), E9311, "")</f>
        <v>#VALUE!</v>
      </c>
      <c r="H9311" s="26" t="e">
        <f t="shared" si="1"/>
        <v>#VALUE!</v>
      </c>
      <c r="I9311" s="1" t="e">
        <f t="shared" si="2"/>
        <v>#VALUE!</v>
      </c>
    </row>
    <row r="9312" spans="1:9" ht="15.75" customHeight="1">
      <c r="A9312" s="26"/>
      <c r="B9312" s="2"/>
      <c r="C9312" s="26"/>
      <c r="D9312" s="26"/>
      <c r="F9312" s="85" t="str">
        <f t="shared" si="0"/>
        <v/>
      </c>
      <c r="G9312" s="1" t="e">
        <f>IF(VALUE(F9312) = VALUE(RIGHT(Insights!$C$3, 4)), E9312, "")</f>
        <v>#VALUE!</v>
      </c>
      <c r="H9312" s="26" t="e">
        <f t="shared" si="1"/>
        <v>#VALUE!</v>
      </c>
      <c r="I9312" s="1" t="e">
        <f t="shared" si="2"/>
        <v>#VALUE!</v>
      </c>
    </row>
    <row r="9313" spans="1:9" ht="15.75" customHeight="1">
      <c r="A9313" s="26"/>
      <c r="B9313" s="2"/>
      <c r="C9313" s="26"/>
      <c r="D9313" s="26"/>
      <c r="F9313" s="85" t="str">
        <f t="shared" si="0"/>
        <v/>
      </c>
      <c r="G9313" s="1" t="e">
        <f>IF(VALUE(F9313) = VALUE(RIGHT(Insights!$C$3, 4)), E9313, "")</f>
        <v>#VALUE!</v>
      </c>
      <c r="H9313" s="26" t="e">
        <f t="shared" si="1"/>
        <v>#VALUE!</v>
      </c>
      <c r="I9313" s="1" t="e">
        <f t="shared" si="2"/>
        <v>#VALUE!</v>
      </c>
    </row>
    <row r="9314" spans="1:9" ht="15.75" customHeight="1">
      <c r="A9314" s="26"/>
      <c r="B9314" s="2"/>
      <c r="C9314" s="26"/>
      <c r="D9314" s="26"/>
      <c r="F9314" s="85" t="str">
        <f t="shared" si="0"/>
        <v/>
      </c>
      <c r="G9314" s="1" t="e">
        <f>IF(VALUE(F9314) = VALUE(RIGHT(Insights!$C$3, 4)), E9314, "")</f>
        <v>#VALUE!</v>
      </c>
      <c r="H9314" s="26" t="e">
        <f t="shared" si="1"/>
        <v>#VALUE!</v>
      </c>
      <c r="I9314" s="1" t="e">
        <f t="shared" si="2"/>
        <v>#VALUE!</v>
      </c>
    </row>
    <row r="9315" spans="1:9" ht="15.75" customHeight="1">
      <c r="A9315" s="26"/>
      <c r="B9315" s="2"/>
      <c r="C9315" s="26"/>
      <c r="D9315" s="26"/>
      <c r="F9315" s="85" t="str">
        <f t="shared" si="0"/>
        <v/>
      </c>
      <c r="G9315" s="1" t="e">
        <f>IF(VALUE(F9315) = VALUE(RIGHT(Insights!$C$3, 4)), E9315, "")</f>
        <v>#VALUE!</v>
      </c>
      <c r="H9315" s="26" t="e">
        <f t="shared" si="1"/>
        <v>#VALUE!</v>
      </c>
      <c r="I9315" s="1" t="e">
        <f t="shared" si="2"/>
        <v>#VALUE!</v>
      </c>
    </row>
    <row r="9316" spans="1:9" ht="15.75" customHeight="1">
      <c r="A9316" s="26"/>
      <c r="B9316" s="2"/>
      <c r="C9316" s="26"/>
      <c r="D9316" s="26"/>
      <c r="F9316" s="85" t="str">
        <f t="shared" si="0"/>
        <v/>
      </c>
      <c r="G9316" s="1" t="e">
        <f>IF(VALUE(F9316) = VALUE(RIGHT(Insights!$C$3, 4)), E9316, "")</f>
        <v>#VALUE!</v>
      </c>
      <c r="H9316" s="26" t="e">
        <f t="shared" si="1"/>
        <v>#VALUE!</v>
      </c>
      <c r="I9316" s="1" t="e">
        <f t="shared" si="2"/>
        <v>#VALUE!</v>
      </c>
    </row>
    <row r="9317" spans="1:9" ht="15.75" customHeight="1">
      <c r="A9317" s="26"/>
      <c r="B9317" s="2"/>
      <c r="C9317" s="26"/>
      <c r="D9317" s="26"/>
      <c r="F9317" s="85" t="str">
        <f t="shared" si="0"/>
        <v/>
      </c>
      <c r="G9317" s="1" t="e">
        <f>IF(VALUE(F9317) = VALUE(RIGHT(Insights!$C$3, 4)), E9317, "")</f>
        <v>#VALUE!</v>
      </c>
      <c r="H9317" s="26" t="e">
        <f t="shared" si="1"/>
        <v>#VALUE!</v>
      </c>
      <c r="I9317" s="1" t="e">
        <f t="shared" si="2"/>
        <v>#VALUE!</v>
      </c>
    </row>
    <row r="9318" spans="1:9" ht="15.75" customHeight="1">
      <c r="A9318" s="26"/>
      <c r="B9318" s="2"/>
      <c r="C9318" s="26"/>
      <c r="D9318" s="26"/>
      <c r="F9318" s="85" t="str">
        <f t="shared" si="0"/>
        <v/>
      </c>
      <c r="G9318" s="1" t="e">
        <f>IF(VALUE(F9318) = VALUE(RIGHT(Insights!$C$3, 4)), E9318, "")</f>
        <v>#VALUE!</v>
      </c>
      <c r="H9318" s="26" t="e">
        <f t="shared" si="1"/>
        <v>#VALUE!</v>
      </c>
      <c r="I9318" s="1" t="e">
        <f t="shared" si="2"/>
        <v>#VALUE!</v>
      </c>
    </row>
    <row r="9319" spans="1:9" ht="15.75" customHeight="1">
      <c r="A9319" s="26"/>
      <c r="B9319" s="2"/>
      <c r="C9319" s="26"/>
      <c r="D9319" s="26"/>
      <c r="F9319" s="85" t="str">
        <f t="shared" si="0"/>
        <v/>
      </c>
      <c r="G9319" s="1" t="e">
        <f>IF(VALUE(F9319) = VALUE(RIGHT(Insights!$C$3, 4)), E9319, "")</f>
        <v>#VALUE!</v>
      </c>
      <c r="H9319" s="26" t="e">
        <f t="shared" si="1"/>
        <v>#VALUE!</v>
      </c>
      <c r="I9319" s="1" t="e">
        <f t="shared" si="2"/>
        <v>#VALUE!</v>
      </c>
    </row>
    <row r="9320" spans="1:9" ht="15.75" customHeight="1">
      <c r="A9320" s="26"/>
      <c r="B9320" s="2"/>
      <c r="C9320" s="26"/>
      <c r="D9320" s="26"/>
      <c r="F9320" s="85" t="str">
        <f t="shared" si="0"/>
        <v/>
      </c>
      <c r="G9320" s="1" t="e">
        <f>IF(VALUE(F9320) = VALUE(RIGHT(Insights!$C$3, 4)), E9320, "")</f>
        <v>#VALUE!</v>
      </c>
      <c r="H9320" s="26" t="e">
        <f t="shared" si="1"/>
        <v>#VALUE!</v>
      </c>
      <c r="I9320" s="1" t="e">
        <f t="shared" si="2"/>
        <v>#VALUE!</v>
      </c>
    </row>
    <row r="9321" spans="1:9" ht="15.75" customHeight="1">
      <c r="A9321" s="26"/>
      <c r="B9321" s="2"/>
      <c r="C9321" s="26"/>
      <c r="D9321" s="26"/>
      <c r="F9321" s="85" t="str">
        <f t="shared" si="0"/>
        <v/>
      </c>
      <c r="G9321" s="1" t="e">
        <f>IF(VALUE(F9321) = VALUE(RIGHT(Insights!$C$3, 4)), E9321, "")</f>
        <v>#VALUE!</v>
      </c>
      <c r="H9321" s="26" t="e">
        <f t="shared" si="1"/>
        <v>#VALUE!</v>
      </c>
      <c r="I9321" s="1" t="e">
        <f t="shared" si="2"/>
        <v>#VALUE!</v>
      </c>
    </row>
    <row r="9322" spans="1:9" ht="15.75" customHeight="1">
      <c r="A9322" s="26"/>
      <c r="B9322" s="2"/>
      <c r="C9322" s="26"/>
      <c r="D9322" s="26"/>
      <c r="F9322" s="85" t="str">
        <f t="shared" si="0"/>
        <v/>
      </c>
      <c r="G9322" s="1" t="e">
        <f>IF(VALUE(F9322) = VALUE(RIGHT(Insights!$C$3, 4)), E9322, "")</f>
        <v>#VALUE!</v>
      </c>
      <c r="H9322" s="26" t="e">
        <f t="shared" si="1"/>
        <v>#VALUE!</v>
      </c>
      <c r="I9322" s="1" t="e">
        <f t="shared" si="2"/>
        <v>#VALUE!</v>
      </c>
    </row>
    <row r="9323" spans="1:9" ht="15.75" customHeight="1">
      <c r="A9323" s="26"/>
      <c r="B9323" s="2"/>
      <c r="C9323" s="26"/>
      <c r="D9323" s="26"/>
      <c r="F9323" s="85" t="str">
        <f t="shared" si="0"/>
        <v/>
      </c>
      <c r="G9323" s="1" t="e">
        <f>IF(VALUE(F9323) = VALUE(RIGHT(Insights!$C$3, 4)), E9323, "")</f>
        <v>#VALUE!</v>
      </c>
      <c r="H9323" s="26" t="e">
        <f t="shared" si="1"/>
        <v>#VALUE!</v>
      </c>
      <c r="I9323" s="1" t="e">
        <f t="shared" si="2"/>
        <v>#VALUE!</v>
      </c>
    </row>
    <row r="9324" spans="1:9" ht="15.75" customHeight="1">
      <c r="A9324" s="26"/>
      <c r="B9324" s="2"/>
      <c r="C9324" s="26"/>
      <c r="D9324" s="26"/>
      <c r="F9324" s="85" t="str">
        <f t="shared" si="0"/>
        <v/>
      </c>
      <c r="G9324" s="1" t="e">
        <f>IF(VALUE(F9324) = VALUE(RIGHT(Insights!$C$3, 4)), E9324, "")</f>
        <v>#VALUE!</v>
      </c>
      <c r="H9324" s="26" t="e">
        <f t="shared" si="1"/>
        <v>#VALUE!</v>
      </c>
      <c r="I9324" s="1" t="e">
        <f t="shared" si="2"/>
        <v>#VALUE!</v>
      </c>
    </row>
    <row r="9325" spans="1:9" ht="15.75" customHeight="1">
      <c r="A9325" s="26"/>
      <c r="B9325" s="2"/>
      <c r="C9325" s="26"/>
      <c r="D9325" s="26"/>
      <c r="F9325" s="85" t="str">
        <f t="shared" si="0"/>
        <v/>
      </c>
      <c r="G9325" s="1" t="e">
        <f>IF(VALUE(F9325) = VALUE(RIGHT(Insights!$C$3, 4)), E9325, "")</f>
        <v>#VALUE!</v>
      </c>
      <c r="H9325" s="26" t="e">
        <f t="shared" si="1"/>
        <v>#VALUE!</v>
      </c>
      <c r="I9325" s="1" t="e">
        <f t="shared" si="2"/>
        <v>#VALUE!</v>
      </c>
    </row>
    <row r="9326" spans="1:9" ht="15.75" customHeight="1">
      <c r="A9326" s="26"/>
      <c r="B9326" s="2"/>
      <c r="C9326" s="26"/>
      <c r="D9326" s="26"/>
      <c r="F9326" s="85" t="str">
        <f t="shared" si="0"/>
        <v/>
      </c>
      <c r="G9326" s="1" t="e">
        <f>IF(VALUE(F9326) = VALUE(RIGHT(Insights!$C$3, 4)), E9326, "")</f>
        <v>#VALUE!</v>
      </c>
      <c r="H9326" s="26" t="e">
        <f t="shared" si="1"/>
        <v>#VALUE!</v>
      </c>
      <c r="I9326" s="1" t="e">
        <f t="shared" si="2"/>
        <v>#VALUE!</v>
      </c>
    </row>
    <row r="9327" spans="1:9" ht="15.75" customHeight="1">
      <c r="A9327" s="26"/>
      <c r="B9327" s="2"/>
      <c r="C9327" s="26"/>
      <c r="D9327" s="26"/>
      <c r="F9327" s="85" t="str">
        <f t="shared" si="0"/>
        <v/>
      </c>
      <c r="G9327" s="1" t="e">
        <f>IF(VALUE(F9327) = VALUE(RIGHT(Insights!$C$3, 4)), E9327, "")</f>
        <v>#VALUE!</v>
      </c>
      <c r="H9327" s="26" t="e">
        <f t="shared" si="1"/>
        <v>#VALUE!</v>
      </c>
      <c r="I9327" s="1" t="e">
        <f t="shared" si="2"/>
        <v>#VALUE!</v>
      </c>
    </row>
    <row r="9328" spans="1:9" ht="15.75" customHeight="1">
      <c r="A9328" s="26"/>
      <c r="B9328" s="2"/>
      <c r="C9328" s="26"/>
      <c r="D9328" s="26"/>
      <c r="F9328" s="85" t="str">
        <f t="shared" si="0"/>
        <v/>
      </c>
      <c r="G9328" s="1" t="e">
        <f>IF(VALUE(F9328) = VALUE(RIGHT(Insights!$C$3, 4)), E9328, "")</f>
        <v>#VALUE!</v>
      </c>
      <c r="H9328" s="26" t="e">
        <f t="shared" si="1"/>
        <v>#VALUE!</v>
      </c>
      <c r="I9328" s="1" t="e">
        <f t="shared" si="2"/>
        <v>#VALUE!</v>
      </c>
    </row>
    <row r="9329" spans="1:9" ht="15.75" customHeight="1">
      <c r="A9329" s="26"/>
      <c r="B9329" s="2"/>
      <c r="C9329" s="26"/>
      <c r="D9329" s="26"/>
      <c r="F9329" s="85" t="str">
        <f t="shared" si="0"/>
        <v/>
      </c>
      <c r="G9329" s="1" t="e">
        <f>IF(VALUE(F9329) = VALUE(RIGHT(Insights!$C$3, 4)), E9329, "")</f>
        <v>#VALUE!</v>
      </c>
      <c r="H9329" s="26" t="e">
        <f t="shared" si="1"/>
        <v>#VALUE!</v>
      </c>
      <c r="I9329" s="1" t="e">
        <f t="shared" si="2"/>
        <v>#VALUE!</v>
      </c>
    </row>
    <row r="9330" spans="1:9" ht="15.75" customHeight="1">
      <c r="A9330" s="26"/>
      <c r="B9330" s="2"/>
      <c r="C9330" s="26"/>
      <c r="D9330" s="26"/>
      <c r="F9330" s="85" t="str">
        <f t="shared" si="0"/>
        <v/>
      </c>
      <c r="G9330" s="1" t="e">
        <f>IF(VALUE(F9330) = VALUE(RIGHT(Insights!$C$3, 4)), E9330, "")</f>
        <v>#VALUE!</v>
      </c>
      <c r="H9330" s="26" t="e">
        <f t="shared" si="1"/>
        <v>#VALUE!</v>
      </c>
      <c r="I9330" s="1" t="e">
        <f t="shared" si="2"/>
        <v>#VALUE!</v>
      </c>
    </row>
    <row r="9331" spans="1:9" ht="15.75" customHeight="1">
      <c r="A9331" s="26"/>
      <c r="B9331" s="2"/>
      <c r="C9331" s="26"/>
      <c r="D9331" s="26"/>
      <c r="F9331" s="85" t="str">
        <f t="shared" si="0"/>
        <v/>
      </c>
      <c r="G9331" s="1" t="e">
        <f>IF(VALUE(F9331) = VALUE(RIGHT(Insights!$C$3, 4)), E9331, "")</f>
        <v>#VALUE!</v>
      </c>
      <c r="H9331" s="26" t="e">
        <f t="shared" si="1"/>
        <v>#VALUE!</v>
      </c>
      <c r="I9331" s="1" t="e">
        <f t="shared" si="2"/>
        <v>#VALUE!</v>
      </c>
    </row>
    <row r="9332" spans="1:9" ht="15.75" customHeight="1">
      <c r="A9332" s="26"/>
      <c r="B9332" s="2"/>
      <c r="C9332" s="26"/>
      <c r="D9332" s="26"/>
      <c r="F9332" s="85" t="str">
        <f t="shared" si="0"/>
        <v/>
      </c>
      <c r="G9332" s="1" t="e">
        <f>IF(VALUE(F9332) = VALUE(RIGHT(Insights!$C$3, 4)), E9332, "")</f>
        <v>#VALUE!</v>
      </c>
      <c r="H9332" s="26" t="e">
        <f t="shared" si="1"/>
        <v>#VALUE!</v>
      </c>
      <c r="I9332" s="1" t="e">
        <f t="shared" si="2"/>
        <v>#VALUE!</v>
      </c>
    </row>
    <row r="9333" spans="1:9" ht="15.75" customHeight="1">
      <c r="A9333" s="26"/>
      <c r="B9333" s="2"/>
      <c r="C9333" s="26"/>
      <c r="D9333" s="26"/>
      <c r="F9333" s="85" t="str">
        <f t="shared" si="0"/>
        <v/>
      </c>
      <c r="G9333" s="1" t="e">
        <f>IF(VALUE(F9333) = VALUE(RIGHT(Insights!$C$3, 4)), E9333, "")</f>
        <v>#VALUE!</v>
      </c>
      <c r="H9333" s="26" t="e">
        <f t="shared" si="1"/>
        <v>#VALUE!</v>
      </c>
      <c r="I9333" s="1" t="e">
        <f t="shared" si="2"/>
        <v>#VALUE!</v>
      </c>
    </row>
    <row r="9334" spans="1:9" ht="15.75" customHeight="1">
      <c r="A9334" s="26"/>
      <c r="B9334" s="2"/>
      <c r="C9334" s="26"/>
      <c r="D9334" s="26"/>
      <c r="F9334" s="85" t="str">
        <f t="shared" si="0"/>
        <v/>
      </c>
      <c r="G9334" s="1" t="e">
        <f>IF(VALUE(F9334) = VALUE(RIGHT(Insights!$C$3, 4)), E9334, "")</f>
        <v>#VALUE!</v>
      </c>
      <c r="H9334" s="26" t="e">
        <f t="shared" si="1"/>
        <v>#VALUE!</v>
      </c>
      <c r="I9334" s="1" t="e">
        <f t="shared" si="2"/>
        <v>#VALUE!</v>
      </c>
    </row>
    <row r="9335" spans="1:9" ht="15.75" customHeight="1">
      <c r="A9335" s="26"/>
      <c r="B9335" s="2"/>
      <c r="C9335" s="26"/>
      <c r="D9335" s="26"/>
      <c r="F9335" s="85" t="str">
        <f t="shared" si="0"/>
        <v/>
      </c>
      <c r="G9335" s="1" t="e">
        <f>IF(VALUE(F9335) = VALUE(RIGHT(Insights!$C$3, 4)), E9335, "")</f>
        <v>#VALUE!</v>
      </c>
      <c r="H9335" s="26" t="e">
        <f t="shared" si="1"/>
        <v>#VALUE!</v>
      </c>
      <c r="I9335" s="1" t="e">
        <f t="shared" si="2"/>
        <v>#VALUE!</v>
      </c>
    </row>
    <row r="9336" spans="1:9" ht="15.75" customHeight="1">
      <c r="A9336" s="26"/>
      <c r="B9336" s="2"/>
      <c r="C9336" s="26"/>
      <c r="D9336" s="26"/>
      <c r="F9336" s="85" t="str">
        <f t="shared" si="0"/>
        <v/>
      </c>
      <c r="G9336" s="1" t="e">
        <f>IF(VALUE(F9336) = VALUE(RIGHT(Insights!$C$3, 4)), E9336, "")</f>
        <v>#VALUE!</v>
      </c>
      <c r="H9336" s="26" t="e">
        <f t="shared" si="1"/>
        <v>#VALUE!</v>
      </c>
      <c r="I9336" s="1" t="e">
        <f t="shared" si="2"/>
        <v>#VALUE!</v>
      </c>
    </row>
    <row r="9337" spans="1:9" ht="15.75" customHeight="1">
      <c r="A9337" s="26"/>
      <c r="B9337" s="2"/>
      <c r="C9337" s="26"/>
      <c r="D9337" s="26"/>
      <c r="F9337" s="85" t="str">
        <f t="shared" si="0"/>
        <v/>
      </c>
      <c r="G9337" s="1" t="e">
        <f>IF(VALUE(F9337) = VALUE(RIGHT(Insights!$C$3, 4)), E9337, "")</f>
        <v>#VALUE!</v>
      </c>
      <c r="H9337" s="26" t="e">
        <f t="shared" si="1"/>
        <v>#VALUE!</v>
      </c>
      <c r="I9337" s="1" t="e">
        <f t="shared" si="2"/>
        <v>#VALUE!</v>
      </c>
    </row>
    <row r="9338" spans="1:9" ht="15.75" customHeight="1">
      <c r="A9338" s="26"/>
      <c r="B9338" s="2"/>
      <c r="C9338" s="26"/>
      <c r="D9338" s="26"/>
      <c r="F9338" s="85" t="str">
        <f t="shared" si="0"/>
        <v/>
      </c>
      <c r="G9338" s="1" t="e">
        <f>IF(VALUE(F9338) = VALUE(RIGHT(Insights!$C$3, 4)), E9338, "")</f>
        <v>#VALUE!</v>
      </c>
      <c r="H9338" s="26" t="e">
        <f t="shared" si="1"/>
        <v>#VALUE!</v>
      </c>
      <c r="I9338" s="1" t="e">
        <f t="shared" si="2"/>
        <v>#VALUE!</v>
      </c>
    </row>
    <row r="9339" spans="1:9" ht="15.75" customHeight="1">
      <c r="A9339" s="26"/>
      <c r="B9339" s="2"/>
      <c r="C9339" s="26"/>
      <c r="D9339" s="26"/>
      <c r="F9339" s="85" t="str">
        <f t="shared" si="0"/>
        <v/>
      </c>
      <c r="G9339" s="1" t="e">
        <f>IF(VALUE(F9339) = VALUE(RIGHT(Insights!$C$3, 4)), E9339, "")</f>
        <v>#VALUE!</v>
      </c>
      <c r="H9339" s="26" t="e">
        <f t="shared" si="1"/>
        <v>#VALUE!</v>
      </c>
      <c r="I9339" s="1" t="e">
        <f t="shared" si="2"/>
        <v>#VALUE!</v>
      </c>
    </row>
    <row r="9340" spans="1:9" ht="15.75" customHeight="1">
      <c r="A9340" s="26"/>
      <c r="B9340" s="2"/>
      <c r="C9340" s="26"/>
      <c r="D9340" s="26"/>
      <c r="F9340" s="85" t="str">
        <f t="shared" si="0"/>
        <v/>
      </c>
      <c r="G9340" s="1" t="e">
        <f>IF(VALUE(F9340) = VALUE(RIGHT(Insights!$C$3, 4)), E9340, "")</f>
        <v>#VALUE!</v>
      </c>
      <c r="H9340" s="26" t="e">
        <f t="shared" si="1"/>
        <v>#VALUE!</v>
      </c>
      <c r="I9340" s="1" t="e">
        <f t="shared" si="2"/>
        <v>#VALUE!</v>
      </c>
    </row>
    <row r="9341" spans="1:9" ht="15.75" customHeight="1">
      <c r="A9341" s="26"/>
      <c r="B9341" s="2"/>
      <c r="C9341" s="26"/>
      <c r="D9341" s="26"/>
      <c r="F9341" s="85" t="str">
        <f t="shared" si="0"/>
        <v/>
      </c>
      <c r="G9341" s="1" t="e">
        <f>IF(VALUE(F9341) = VALUE(RIGHT(Insights!$C$3, 4)), E9341, "")</f>
        <v>#VALUE!</v>
      </c>
      <c r="H9341" s="26" t="e">
        <f t="shared" si="1"/>
        <v>#VALUE!</v>
      </c>
      <c r="I9341" s="1" t="e">
        <f t="shared" si="2"/>
        <v>#VALUE!</v>
      </c>
    </row>
    <row r="9342" spans="1:9" ht="15.75" customHeight="1">
      <c r="A9342" s="26"/>
      <c r="B9342" s="2"/>
      <c r="C9342" s="26"/>
      <c r="D9342" s="26"/>
      <c r="F9342" s="85" t="str">
        <f t="shared" si="0"/>
        <v/>
      </c>
      <c r="G9342" s="1" t="e">
        <f>IF(VALUE(F9342) = VALUE(RIGHT(Insights!$C$3, 4)), E9342, "")</f>
        <v>#VALUE!</v>
      </c>
      <c r="H9342" s="26" t="e">
        <f t="shared" si="1"/>
        <v>#VALUE!</v>
      </c>
      <c r="I9342" s="1" t="e">
        <f t="shared" si="2"/>
        <v>#VALUE!</v>
      </c>
    </row>
    <row r="9343" spans="1:9" ht="15.75" customHeight="1">
      <c r="A9343" s="26"/>
      <c r="B9343" s="2"/>
      <c r="C9343" s="26"/>
      <c r="D9343" s="26"/>
      <c r="F9343" s="85" t="str">
        <f t="shared" si="0"/>
        <v/>
      </c>
      <c r="G9343" s="1" t="e">
        <f>IF(VALUE(F9343) = VALUE(RIGHT(Insights!$C$3, 4)), E9343, "")</f>
        <v>#VALUE!</v>
      </c>
      <c r="H9343" s="26" t="e">
        <f t="shared" si="1"/>
        <v>#VALUE!</v>
      </c>
      <c r="I9343" s="1" t="e">
        <f t="shared" si="2"/>
        <v>#VALUE!</v>
      </c>
    </row>
    <row r="9344" spans="1:9" ht="15.75" customHeight="1">
      <c r="A9344" s="26"/>
      <c r="B9344" s="2"/>
      <c r="C9344" s="26"/>
      <c r="D9344" s="26"/>
      <c r="F9344" s="85" t="str">
        <f t="shared" si="0"/>
        <v/>
      </c>
      <c r="G9344" s="1" t="e">
        <f>IF(VALUE(F9344) = VALUE(RIGHT(Insights!$C$3, 4)), E9344, "")</f>
        <v>#VALUE!</v>
      </c>
      <c r="H9344" s="26" t="e">
        <f t="shared" si="1"/>
        <v>#VALUE!</v>
      </c>
      <c r="I9344" s="1" t="e">
        <f t="shared" si="2"/>
        <v>#VALUE!</v>
      </c>
    </row>
    <row r="9345" spans="1:9" ht="15.75" customHeight="1">
      <c r="A9345" s="26"/>
      <c r="B9345" s="2"/>
      <c r="C9345" s="26"/>
      <c r="D9345" s="26"/>
      <c r="F9345" s="85" t="str">
        <f t="shared" si="0"/>
        <v/>
      </c>
      <c r="G9345" s="1" t="e">
        <f>IF(VALUE(F9345) = VALUE(RIGHT(Insights!$C$3, 4)), E9345, "")</f>
        <v>#VALUE!</v>
      </c>
      <c r="H9345" s="26" t="e">
        <f t="shared" si="1"/>
        <v>#VALUE!</v>
      </c>
      <c r="I9345" s="1" t="e">
        <f t="shared" si="2"/>
        <v>#VALUE!</v>
      </c>
    </row>
    <row r="9346" spans="1:9" ht="15.75" customHeight="1">
      <c r="A9346" s="26"/>
      <c r="B9346" s="2"/>
      <c r="C9346" s="26"/>
      <c r="D9346" s="26"/>
      <c r="F9346" s="85" t="str">
        <f t="shared" si="0"/>
        <v/>
      </c>
      <c r="G9346" s="1" t="e">
        <f>IF(VALUE(F9346) = VALUE(RIGHT(Insights!$C$3, 4)), E9346, "")</f>
        <v>#VALUE!</v>
      </c>
      <c r="H9346" s="26" t="e">
        <f t="shared" si="1"/>
        <v>#VALUE!</v>
      </c>
      <c r="I9346" s="1" t="e">
        <f t="shared" si="2"/>
        <v>#VALUE!</v>
      </c>
    </row>
    <row r="9347" spans="1:9" ht="15.75" customHeight="1">
      <c r="A9347" s="26"/>
      <c r="B9347" s="2"/>
      <c r="C9347" s="26"/>
      <c r="D9347" s="26"/>
      <c r="F9347" s="85" t="str">
        <f t="shared" si="0"/>
        <v/>
      </c>
      <c r="G9347" s="1" t="e">
        <f>IF(VALUE(F9347) = VALUE(RIGHT(Insights!$C$3, 4)), E9347, "")</f>
        <v>#VALUE!</v>
      </c>
      <c r="H9347" s="26" t="e">
        <f t="shared" si="1"/>
        <v>#VALUE!</v>
      </c>
      <c r="I9347" s="1" t="e">
        <f t="shared" si="2"/>
        <v>#VALUE!</v>
      </c>
    </row>
    <row r="9348" spans="1:9" ht="15.75" customHeight="1">
      <c r="A9348" s="26"/>
      <c r="B9348" s="2"/>
      <c r="C9348" s="26"/>
      <c r="D9348" s="26"/>
      <c r="F9348" s="85" t="str">
        <f t="shared" si="0"/>
        <v/>
      </c>
      <c r="G9348" s="1" t="e">
        <f>IF(VALUE(F9348) = VALUE(RIGHT(Insights!$C$3, 4)), E9348, "")</f>
        <v>#VALUE!</v>
      </c>
      <c r="H9348" s="26" t="e">
        <f t="shared" si="1"/>
        <v>#VALUE!</v>
      </c>
      <c r="I9348" s="1" t="e">
        <f t="shared" si="2"/>
        <v>#VALUE!</v>
      </c>
    </row>
    <row r="9349" spans="1:9" ht="15.75" customHeight="1">
      <c r="A9349" s="26"/>
      <c r="B9349" s="2"/>
      <c r="C9349" s="26"/>
      <c r="D9349" s="26"/>
      <c r="F9349" s="85" t="str">
        <f t="shared" si="0"/>
        <v/>
      </c>
      <c r="G9349" s="1" t="e">
        <f>IF(VALUE(F9349) = VALUE(RIGHT(Insights!$C$3, 4)), E9349, "")</f>
        <v>#VALUE!</v>
      </c>
      <c r="H9349" s="26" t="e">
        <f t="shared" si="1"/>
        <v>#VALUE!</v>
      </c>
      <c r="I9349" s="1" t="e">
        <f t="shared" si="2"/>
        <v>#VALUE!</v>
      </c>
    </row>
    <row r="9350" spans="1:9" ht="15.75" customHeight="1">
      <c r="A9350" s="26"/>
      <c r="B9350" s="2"/>
      <c r="C9350" s="26"/>
      <c r="D9350" s="26"/>
      <c r="F9350" s="85" t="str">
        <f t="shared" si="0"/>
        <v/>
      </c>
      <c r="G9350" s="1" t="e">
        <f>IF(VALUE(F9350) = VALUE(RIGHT(Insights!$C$3, 4)), E9350, "")</f>
        <v>#VALUE!</v>
      </c>
      <c r="H9350" s="26" t="e">
        <f t="shared" si="1"/>
        <v>#VALUE!</v>
      </c>
      <c r="I9350" s="1" t="e">
        <f t="shared" si="2"/>
        <v>#VALUE!</v>
      </c>
    </row>
    <row r="9351" spans="1:9" ht="15.75" customHeight="1">
      <c r="A9351" s="26"/>
      <c r="B9351" s="2"/>
      <c r="C9351" s="26"/>
      <c r="D9351" s="26"/>
      <c r="F9351" s="85" t="str">
        <f t="shared" si="0"/>
        <v/>
      </c>
      <c r="G9351" s="1" t="e">
        <f>IF(VALUE(F9351) = VALUE(RIGHT(Insights!$C$3, 4)), E9351, "")</f>
        <v>#VALUE!</v>
      </c>
      <c r="H9351" s="26" t="e">
        <f t="shared" si="1"/>
        <v>#VALUE!</v>
      </c>
      <c r="I9351" s="1" t="e">
        <f t="shared" si="2"/>
        <v>#VALUE!</v>
      </c>
    </row>
    <row r="9352" spans="1:9" ht="15.75" customHeight="1">
      <c r="A9352" s="26"/>
      <c r="B9352" s="2"/>
      <c r="C9352" s="26"/>
      <c r="D9352" s="26"/>
      <c r="F9352" s="85" t="str">
        <f t="shared" si="0"/>
        <v/>
      </c>
      <c r="G9352" s="1" t="e">
        <f>IF(VALUE(F9352) = VALUE(RIGHT(Insights!$C$3, 4)), E9352, "")</f>
        <v>#VALUE!</v>
      </c>
      <c r="H9352" s="26" t="e">
        <f t="shared" si="1"/>
        <v>#VALUE!</v>
      </c>
      <c r="I9352" s="1" t="e">
        <f t="shared" si="2"/>
        <v>#VALUE!</v>
      </c>
    </row>
    <row r="9353" spans="1:9" ht="15.75" customHeight="1">
      <c r="A9353" s="26"/>
      <c r="B9353" s="2"/>
      <c r="C9353" s="26"/>
      <c r="D9353" s="26"/>
      <c r="F9353" s="85" t="str">
        <f t="shared" si="0"/>
        <v/>
      </c>
      <c r="G9353" s="1" t="e">
        <f>IF(VALUE(F9353) = VALUE(RIGHT(Insights!$C$3, 4)), E9353, "")</f>
        <v>#VALUE!</v>
      </c>
      <c r="H9353" s="26" t="e">
        <f t="shared" si="1"/>
        <v>#VALUE!</v>
      </c>
      <c r="I9353" s="1" t="e">
        <f t="shared" si="2"/>
        <v>#VALUE!</v>
      </c>
    </row>
    <row r="9354" spans="1:9" ht="15.75" customHeight="1">
      <c r="A9354" s="26"/>
      <c r="B9354" s="2"/>
      <c r="C9354" s="26"/>
      <c r="D9354" s="26"/>
      <c r="F9354" s="85" t="str">
        <f t="shared" si="0"/>
        <v/>
      </c>
      <c r="G9354" s="1" t="e">
        <f>IF(VALUE(F9354) = VALUE(RIGHT(Insights!$C$3, 4)), E9354, "")</f>
        <v>#VALUE!</v>
      </c>
      <c r="H9354" s="26" t="e">
        <f t="shared" si="1"/>
        <v>#VALUE!</v>
      </c>
      <c r="I9354" s="1" t="e">
        <f t="shared" si="2"/>
        <v>#VALUE!</v>
      </c>
    </row>
    <row r="9355" spans="1:9" ht="15.75" customHeight="1">
      <c r="A9355" s="26"/>
      <c r="B9355" s="2"/>
      <c r="C9355" s="26"/>
      <c r="D9355" s="26"/>
      <c r="F9355" s="85" t="str">
        <f t="shared" si="0"/>
        <v/>
      </c>
      <c r="G9355" s="1" t="e">
        <f>IF(VALUE(F9355) = VALUE(RIGHT(Insights!$C$3, 4)), E9355, "")</f>
        <v>#VALUE!</v>
      </c>
      <c r="H9355" s="26" t="e">
        <f t="shared" si="1"/>
        <v>#VALUE!</v>
      </c>
      <c r="I9355" s="1" t="e">
        <f t="shared" si="2"/>
        <v>#VALUE!</v>
      </c>
    </row>
    <row r="9356" spans="1:9" ht="15.75" customHeight="1">
      <c r="A9356" s="26"/>
      <c r="B9356" s="2"/>
      <c r="C9356" s="26"/>
      <c r="D9356" s="26"/>
      <c r="F9356" s="85" t="str">
        <f t="shared" si="0"/>
        <v/>
      </c>
      <c r="G9356" s="1" t="e">
        <f>IF(VALUE(F9356) = VALUE(RIGHT(Insights!$C$3, 4)), E9356, "")</f>
        <v>#VALUE!</v>
      </c>
      <c r="H9356" s="26" t="e">
        <f t="shared" si="1"/>
        <v>#VALUE!</v>
      </c>
      <c r="I9356" s="1" t="e">
        <f t="shared" si="2"/>
        <v>#VALUE!</v>
      </c>
    </row>
    <row r="9357" spans="1:9" ht="15.75" customHeight="1">
      <c r="A9357" s="26"/>
      <c r="B9357" s="2"/>
      <c r="C9357" s="26"/>
      <c r="D9357" s="26"/>
      <c r="F9357" s="85" t="str">
        <f t="shared" si="0"/>
        <v/>
      </c>
      <c r="G9357" s="1" t="e">
        <f>IF(VALUE(F9357) = VALUE(RIGHT(Insights!$C$3, 4)), E9357, "")</f>
        <v>#VALUE!</v>
      </c>
      <c r="H9357" s="26" t="e">
        <f t="shared" si="1"/>
        <v>#VALUE!</v>
      </c>
      <c r="I9357" s="1" t="e">
        <f t="shared" si="2"/>
        <v>#VALUE!</v>
      </c>
    </row>
    <row r="9358" spans="1:9" ht="15.75" customHeight="1">
      <c r="A9358" s="26"/>
      <c r="B9358" s="2"/>
      <c r="C9358" s="26"/>
      <c r="D9358" s="26"/>
      <c r="F9358" s="85" t="str">
        <f t="shared" si="0"/>
        <v/>
      </c>
      <c r="G9358" s="1" t="e">
        <f>IF(VALUE(F9358) = VALUE(RIGHT(Insights!$C$3, 4)), E9358, "")</f>
        <v>#VALUE!</v>
      </c>
      <c r="H9358" s="26" t="e">
        <f t="shared" si="1"/>
        <v>#VALUE!</v>
      </c>
      <c r="I9358" s="1" t="e">
        <f t="shared" si="2"/>
        <v>#VALUE!</v>
      </c>
    </row>
    <row r="9359" spans="1:9" ht="15.75" customHeight="1">
      <c r="A9359" s="26"/>
      <c r="B9359" s="2"/>
      <c r="C9359" s="26"/>
      <c r="D9359" s="26"/>
      <c r="F9359" s="85" t="str">
        <f t="shared" si="0"/>
        <v/>
      </c>
      <c r="G9359" s="1" t="e">
        <f>IF(VALUE(F9359) = VALUE(RIGHT(Insights!$C$3, 4)), E9359, "")</f>
        <v>#VALUE!</v>
      </c>
      <c r="H9359" s="26" t="e">
        <f t="shared" si="1"/>
        <v>#VALUE!</v>
      </c>
      <c r="I9359" s="1" t="e">
        <f t="shared" si="2"/>
        <v>#VALUE!</v>
      </c>
    </row>
    <row r="9360" spans="1:9" ht="15.75" customHeight="1">
      <c r="A9360" s="26"/>
      <c r="B9360" s="2"/>
      <c r="C9360" s="26"/>
      <c r="D9360" s="26"/>
      <c r="F9360" s="85" t="str">
        <f t="shared" si="0"/>
        <v/>
      </c>
      <c r="G9360" s="1" t="e">
        <f>IF(VALUE(F9360) = VALUE(RIGHT(Insights!$C$3, 4)), E9360, "")</f>
        <v>#VALUE!</v>
      </c>
      <c r="H9360" s="26" t="e">
        <f t="shared" si="1"/>
        <v>#VALUE!</v>
      </c>
      <c r="I9360" s="1" t="e">
        <f t="shared" si="2"/>
        <v>#VALUE!</v>
      </c>
    </row>
    <row r="9361" spans="1:9" ht="15.75" customHeight="1">
      <c r="A9361" s="26"/>
      <c r="B9361" s="2"/>
      <c r="C9361" s="26"/>
      <c r="D9361" s="26"/>
      <c r="F9361" s="85" t="str">
        <f t="shared" si="0"/>
        <v/>
      </c>
      <c r="G9361" s="1" t="e">
        <f>IF(VALUE(F9361) = VALUE(RIGHT(Insights!$C$3, 4)), E9361, "")</f>
        <v>#VALUE!</v>
      </c>
      <c r="H9361" s="26" t="e">
        <f t="shared" si="1"/>
        <v>#VALUE!</v>
      </c>
      <c r="I9361" s="1" t="e">
        <f t="shared" si="2"/>
        <v>#VALUE!</v>
      </c>
    </row>
    <row r="9362" spans="1:9" ht="15.75" customHeight="1">
      <c r="A9362" s="26"/>
      <c r="B9362" s="2"/>
      <c r="C9362" s="26"/>
      <c r="D9362" s="26"/>
      <c r="F9362" s="85" t="str">
        <f t="shared" si="0"/>
        <v/>
      </c>
      <c r="G9362" s="1" t="e">
        <f>IF(VALUE(F9362) = VALUE(RIGHT(Insights!$C$3, 4)), E9362, "")</f>
        <v>#VALUE!</v>
      </c>
      <c r="H9362" s="26" t="e">
        <f t="shared" si="1"/>
        <v>#VALUE!</v>
      </c>
      <c r="I9362" s="1" t="e">
        <f t="shared" si="2"/>
        <v>#VALUE!</v>
      </c>
    </row>
    <row r="9363" spans="1:9" ht="15.75" customHeight="1">
      <c r="A9363" s="26"/>
      <c r="B9363" s="2"/>
      <c r="C9363" s="26"/>
      <c r="D9363" s="26"/>
      <c r="F9363" s="85" t="str">
        <f t="shared" si="0"/>
        <v/>
      </c>
      <c r="G9363" s="1" t="e">
        <f>IF(VALUE(F9363) = VALUE(RIGHT(Insights!$C$3, 4)), E9363, "")</f>
        <v>#VALUE!</v>
      </c>
      <c r="H9363" s="26" t="e">
        <f t="shared" si="1"/>
        <v>#VALUE!</v>
      </c>
      <c r="I9363" s="1" t="e">
        <f t="shared" si="2"/>
        <v>#VALUE!</v>
      </c>
    </row>
    <row r="9364" spans="1:9" ht="15.75" customHeight="1">
      <c r="A9364" s="26"/>
      <c r="B9364" s="2"/>
      <c r="C9364" s="26"/>
      <c r="D9364" s="26"/>
      <c r="F9364" s="85" t="str">
        <f t="shared" si="0"/>
        <v/>
      </c>
      <c r="G9364" s="1" t="e">
        <f>IF(VALUE(F9364) = VALUE(RIGHT(Insights!$C$3, 4)), E9364, "")</f>
        <v>#VALUE!</v>
      </c>
      <c r="H9364" s="26" t="e">
        <f t="shared" si="1"/>
        <v>#VALUE!</v>
      </c>
      <c r="I9364" s="1" t="e">
        <f t="shared" si="2"/>
        <v>#VALUE!</v>
      </c>
    </row>
    <row r="9365" spans="1:9" ht="15.75" customHeight="1">
      <c r="A9365" s="26"/>
      <c r="B9365" s="2"/>
      <c r="C9365" s="26"/>
      <c r="D9365" s="26"/>
      <c r="F9365" s="85" t="str">
        <f t="shared" si="0"/>
        <v/>
      </c>
      <c r="G9365" s="1" t="e">
        <f>IF(VALUE(F9365) = VALUE(RIGHT(Insights!$C$3, 4)), E9365, "")</f>
        <v>#VALUE!</v>
      </c>
      <c r="H9365" s="26" t="e">
        <f t="shared" si="1"/>
        <v>#VALUE!</v>
      </c>
      <c r="I9365" s="1" t="e">
        <f t="shared" si="2"/>
        <v>#VALUE!</v>
      </c>
    </row>
    <row r="9366" spans="1:9" ht="15.75" customHeight="1">
      <c r="A9366" s="26"/>
      <c r="B9366" s="2"/>
      <c r="C9366" s="26"/>
      <c r="D9366" s="26"/>
      <c r="F9366" s="85" t="str">
        <f t="shared" si="0"/>
        <v/>
      </c>
      <c r="G9366" s="1" t="e">
        <f>IF(VALUE(F9366) = VALUE(RIGHT(Insights!$C$3, 4)), E9366, "")</f>
        <v>#VALUE!</v>
      </c>
      <c r="H9366" s="26" t="e">
        <f t="shared" si="1"/>
        <v>#VALUE!</v>
      </c>
      <c r="I9366" s="1" t="e">
        <f t="shared" si="2"/>
        <v>#VALUE!</v>
      </c>
    </row>
    <row r="9367" spans="1:9" ht="15.75" customHeight="1">
      <c r="A9367" s="26"/>
      <c r="B9367" s="2"/>
      <c r="C9367" s="26"/>
      <c r="D9367" s="26"/>
      <c r="F9367" s="85" t="str">
        <f t="shared" si="0"/>
        <v/>
      </c>
      <c r="G9367" s="1" t="e">
        <f>IF(VALUE(F9367) = VALUE(RIGHT(Insights!$C$3, 4)), E9367, "")</f>
        <v>#VALUE!</v>
      </c>
      <c r="H9367" s="26" t="e">
        <f t="shared" si="1"/>
        <v>#VALUE!</v>
      </c>
      <c r="I9367" s="1" t="e">
        <f t="shared" si="2"/>
        <v>#VALUE!</v>
      </c>
    </row>
    <row r="9368" spans="1:9" ht="15.75" customHeight="1">
      <c r="A9368" s="26"/>
      <c r="B9368" s="2"/>
      <c r="C9368" s="26"/>
      <c r="D9368" s="26"/>
      <c r="F9368" s="85" t="str">
        <f t="shared" si="0"/>
        <v/>
      </c>
      <c r="G9368" s="1" t="e">
        <f>IF(VALUE(F9368) = VALUE(RIGHT(Insights!$C$3, 4)), E9368, "")</f>
        <v>#VALUE!</v>
      </c>
      <c r="H9368" s="26" t="e">
        <f t="shared" si="1"/>
        <v>#VALUE!</v>
      </c>
      <c r="I9368" s="1" t="e">
        <f t="shared" si="2"/>
        <v>#VALUE!</v>
      </c>
    </row>
    <row r="9369" spans="1:9" ht="15.75" customHeight="1">
      <c r="A9369" s="26"/>
      <c r="B9369" s="2"/>
      <c r="C9369" s="26"/>
      <c r="D9369" s="26"/>
      <c r="F9369" s="85" t="str">
        <f t="shared" si="0"/>
        <v/>
      </c>
      <c r="G9369" s="1" t="e">
        <f>IF(VALUE(F9369) = VALUE(RIGHT(Insights!$C$3, 4)), E9369, "")</f>
        <v>#VALUE!</v>
      </c>
      <c r="H9369" s="26" t="e">
        <f t="shared" si="1"/>
        <v>#VALUE!</v>
      </c>
      <c r="I9369" s="1" t="e">
        <f t="shared" si="2"/>
        <v>#VALUE!</v>
      </c>
    </row>
    <row r="9370" spans="1:9" ht="15.75" customHeight="1">
      <c r="A9370" s="26"/>
      <c r="B9370" s="2"/>
      <c r="C9370" s="26"/>
      <c r="D9370" s="26"/>
      <c r="F9370" s="85" t="str">
        <f t="shared" si="0"/>
        <v/>
      </c>
      <c r="G9370" s="1" t="e">
        <f>IF(VALUE(F9370) = VALUE(RIGHT(Insights!$C$3, 4)), E9370, "")</f>
        <v>#VALUE!</v>
      </c>
      <c r="H9370" s="26" t="e">
        <f t="shared" si="1"/>
        <v>#VALUE!</v>
      </c>
      <c r="I9370" s="1" t="e">
        <f t="shared" si="2"/>
        <v>#VALUE!</v>
      </c>
    </row>
    <row r="9371" spans="1:9" ht="15.75" customHeight="1">
      <c r="A9371" s="26"/>
      <c r="B9371" s="2"/>
      <c r="C9371" s="26"/>
      <c r="D9371" s="26"/>
      <c r="F9371" s="85" t="str">
        <f t="shared" si="0"/>
        <v/>
      </c>
      <c r="G9371" s="1" t="e">
        <f>IF(VALUE(F9371) = VALUE(RIGHT(Insights!$C$3, 4)), E9371, "")</f>
        <v>#VALUE!</v>
      </c>
      <c r="H9371" s="26" t="e">
        <f t="shared" si="1"/>
        <v>#VALUE!</v>
      </c>
      <c r="I9371" s="1" t="e">
        <f t="shared" si="2"/>
        <v>#VALUE!</v>
      </c>
    </row>
    <row r="9372" spans="1:9" ht="15.75" customHeight="1">
      <c r="A9372" s="26"/>
      <c r="B9372" s="2"/>
      <c r="C9372" s="26"/>
      <c r="D9372" s="26"/>
      <c r="F9372" s="85" t="str">
        <f t="shared" si="0"/>
        <v/>
      </c>
      <c r="G9372" s="1" t="e">
        <f>IF(VALUE(F9372) = VALUE(RIGHT(Insights!$C$3, 4)), E9372, "")</f>
        <v>#VALUE!</v>
      </c>
      <c r="H9372" s="26" t="e">
        <f t="shared" si="1"/>
        <v>#VALUE!</v>
      </c>
      <c r="I9372" s="1" t="e">
        <f t="shared" si="2"/>
        <v>#VALUE!</v>
      </c>
    </row>
    <row r="9373" spans="1:9" ht="15.75" customHeight="1">
      <c r="A9373" s="26"/>
      <c r="B9373" s="2"/>
      <c r="C9373" s="26"/>
      <c r="D9373" s="26"/>
      <c r="F9373" s="85" t="str">
        <f t="shared" si="0"/>
        <v/>
      </c>
      <c r="G9373" s="1" t="e">
        <f>IF(VALUE(F9373) = VALUE(RIGHT(Insights!$C$3, 4)), E9373, "")</f>
        <v>#VALUE!</v>
      </c>
      <c r="H9373" s="26" t="e">
        <f t="shared" si="1"/>
        <v>#VALUE!</v>
      </c>
      <c r="I9373" s="1" t="e">
        <f t="shared" si="2"/>
        <v>#VALUE!</v>
      </c>
    </row>
    <row r="9374" spans="1:9" ht="15.75" customHeight="1">
      <c r="A9374" s="26"/>
      <c r="B9374" s="2"/>
      <c r="C9374" s="26"/>
      <c r="D9374" s="26"/>
      <c r="F9374" s="85" t="str">
        <f t="shared" si="0"/>
        <v/>
      </c>
      <c r="G9374" s="1" t="e">
        <f>IF(VALUE(F9374) = VALUE(RIGHT(Insights!$C$3, 4)), E9374, "")</f>
        <v>#VALUE!</v>
      </c>
      <c r="H9374" s="26" t="e">
        <f t="shared" si="1"/>
        <v>#VALUE!</v>
      </c>
      <c r="I9374" s="1" t="e">
        <f t="shared" si="2"/>
        <v>#VALUE!</v>
      </c>
    </row>
    <row r="9375" spans="1:9" ht="15.75" customHeight="1">
      <c r="A9375" s="26"/>
      <c r="B9375" s="2"/>
      <c r="C9375" s="26"/>
      <c r="D9375" s="26"/>
      <c r="F9375" s="85" t="str">
        <f t="shared" si="0"/>
        <v/>
      </c>
      <c r="G9375" s="1" t="e">
        <f>IF(VALUE(F9375) = VALUE(RIGHT(Insights!$C$3, 4)), E9375, "")</f>
        <v>#VALUE!</v>
      </c>
      <c r="H9375" s="26" t="e">
        <f t="shared" si="1"/>
        <v>#VALUE!</v>
      </c>
      <c r="I9375" s="1" t="e">
        <f t="shared" si="2"/>
        <v>#VALUE!</v>
      </c>
    </row>
    <row r="9376" spans="1:9" ht="15.75" customHeight="1">
      <c r="A9376" s="26"/>
      <c r="B9376" s="2"/>
      <c r="C9376" s="26"/>
      <c r="D9376" s="26"/>
      <c r="F9376" s="85" t="str">
        <f t="shared" si="0"/>
        <v/>
      </c>
      <c r="G9376" s="1" t="e">
        <f>IF(VALUE(F9376) = VALUE(RIGHT(Insights!$C$3, 4)), E9376, "")</f>
        <v>#VALUE!</v>
      </c>
      <c r="H9376" s="26" t="e">
        <f t="shared" si="1"/>
        <v>#VALUE!</v>
      </c>
      <c r="I9376" s="1" t="e">
        <f t="shared" si="2"/>
        <v>#VALUE!</v>
      </c>
    </row>
    <row r="9377" spans="1:9" ht="15.75" customHeight="1">
      <c r="A9377" s="26"/>
      <c r="B9377" s="2"/>
      <c r="C9377" s="26"/>
      <c r="D9377" s="26"/>
      <c r="F9377" s="85" t="str">
        <f t="shared" si="0"/>
        <v/>
      </c>
      <c r="G9377" s="1" t="e">
        <f>IF(VALUE(F9377) = VALUE(RIGHT(Insights!$C$3, 4)), E9377, "")</f>
        <v>#VALUE!</v>
      </c>
      <c r="H9377" s="26" t="e">
        <f t="shared" si="1"/>
        <v>#VALUE!</v>
      </c>
      <c r="I9377" s="1" t="e">
        <f t="shared" si="2"/>
        <v>#VALUE!</v>
      </c>
    </row>
    <row r="9378" spans="1:9" ht="15.75" customHeight="1">
      <c r="A9378" s="26"/>
      <c r="B9378" s="2"/>
      <c r="C9378" s="26"/>
      <c r="D9378" s="26"/>
      <c r="F9378" s="85" t="str">
        <f t="shared" si="0"/>
        <v/>
      </c>
      <c r="G9378" s="1" t="e">
        <f>IF(VALUE(F9378) = VALUE(RIGHT(Insights!$C$3, 4)), E9378, "")</f>
        <v>#VALUE!</v>
      </c>
      <c r="H9378" s="26" t="e">
        <f t="shared" si="1"/>
        <v>#VALUE!</v>
      </c>
      <c r="I9378" s="1" t="e">
        <f t="shared" si="2"/>
        <v>#VALUE!</v>
      </c>
    </row>
    <row r="9379" spans="1:9" ht="15.75" customHeight="1">
      <c r="A9379" s="26"/>
      <c r="B9379" s="2"/>
      <c r="C9379" s="26"/>
      <c r="D9379" s="26"/>
      <c r="F9379" s="85" t="str">
        <f t="shared" si="0"/>
        <v/>
      </c>
      <c r="G9379" s="1" t="e">
        <f>IF(VALUE(F9379) = VALUE(RIGHT(Insights!$C$3, 4)), E9379, "")</f>
        <v>#VALUE!</v>
      </c>
      <c r="H9379" s="26" t="e">
        <f t="shared" si="1"/>
        <v>#VALUE!</v>
      </c>
      <c r="I9379" s="1" t="e">
        <f t="shared" si="2"/>
        <v>#VALUE!</v>
      </c>
    </row>
    <row r="9380" spans="1:9" ht="15.75" customHeight="1">
      <c r="A9380" s="26"/>
      <c r="B9380" s="2"/>
      <c r="C9380" s="26"/>
      <c r="D9380" s="26"/>
      <c r="F9380" s="85" t="str">
        <f t="shared" si="0"/>
        <v/>
      </c>
      <c r="G9380" s="1" t="e">
        <f>IF(VALUE(F9380) = VALUE(RIGHT(Insights!$C$3, 4)), E9380, "")</f>
        <v>#VALUE!</v>
      </c>
      <c r="H9380" s="26" t="e">
        <f t="shared" si="1"/>
        <v>#VALUE!</v>
      </c>
      <c r="I9380" s="1" t="e">
        <f t="shared" si="2"/>
        <v>#VALUE!</v>
      </c>
    </row>
    <row r="9381" spans="1:9" ht="15.75" customHeight="1">
      <c r="A9381" s="26"/>
      <c r="B9381" s="2"/>
      <c r="C9381" s="26"/>
      <c r="D9381" s="26"/>
      <c r="F9381" s="85" t="str">
        <f t="shared" si="0"/>
        <v/>
      </c>
      <c r="G9381" s="1" t="e">
        <f>IF(VALUE(F9381) = VALUE(RIGHT(Insights!$C$3, 4)), E9381, "")</f>
        <v>#VALUE!</v>
      </c>
      <c r="H9381" s="26" t="e">
        <f t="shared" si="1"/>
        <v>#VALUE!</v>
      </c>
      <c r="I9381" s="1" t="e">
        <f t="shared" si="2"/>
        <v>#VALUE!</v>
      </c>
    </row>
    <row r="9382" spans="1:9" ht="15.75" customHeight="1">
      <c r="A9382" s="26"/>
      <c r="B9382" s="2"/>
      <c r="C9382" s="26"/>
      <c r="D9382" s="26"/>
      <c r="F9382" s="85" t="str">
        <f t="shared" si="0"/>
        <v/>
      </c>
      <c r="G9382" s="1" t="e">
        <f>IF(VALUE(F9382) = VALUE(RIGHT(Insights!$C$3, 4)), E9382, "")</f>
        <v>#VALUE!</v>
      </c>
      <c r="H9382" s="26" t="e">
        <f t="shared" si="1"/>
        <v>#VALUE!</v>
      </c>
      <c r="I9382" s="1" t="e">
        <f t="shared" si="2"/>
        <v>#VALUE!</v>
      </c>
    </row>
    <row r="9383" spans="1:9" ht="15.75" customHeight="1">
      <c r="A9383" s="26"/>
      <c r="B9383" s="2"/>
      <c r="C9383" s="26"/>
      <c r="D9383" s="26"/>
      <c r="F9383" s="85" t="str">
        <f t="shared" si="0"/>
        <v/>
      </c>
      <c r="G9383" s="1" t="e">
        <f>IF(VALUE(F9383) = VALUE(RIGHT(Insights!$C$3, 4)), E9383, "")</f>
        <v>#VALUE!</v>
      </c>
      <c r="H9383" s="26" t="e">
        <f t="shared" si="1"/>
        <v>#VALUE!</v>
      </c>
      <c r="I9383" s="1" t="e">
        <f t="shared" si="2"/>
        <v>#VALUE!</v>
      </c>
    </row>
    <row r="9384" spans="1:9" ht="15.75" customHeight="1">
      <c r="A9384" s="26"/>
      <c r="B9384" s="2"/>
      <c r="C9384" s="26"/>
      <c r="D9384" s="26"/>
      <c r="F9384" s="85" t="str">
        <f t="shared" si="0"/>
        <v/>
      </c>
      <c r="G9384" s="1" t="e">
        <f>IF(VALUE(F9384) = VALUE(RIGHT(Insights!$C$3, 4)), E9384, "")</f>
        <v>#VALUE!</v>
      </c>
      <c r="H9384" s="26" t="e">
        <f t="shared" si="1"/>
        <v>#VALUE!</v>
      </c>
      <c r="I9384" s="1" t="e">
        <f t="shared" si="2"/>
        <v>#VALUE!</v>
      </c>
    </row>
    <row r="9385" spans="1:9" ht="15.75" customHeight="1">
      <c r="A9385" s="26"/>
      <c r="B9385" s="2"/>
      <c r="C9385" s="26"/>
      <c r="D9385" s="26"/>
      <c r="F9385" s="85" t="str">
        <f t="shared" si="0"/>
        <v/>
      </c>
      <c r="G9385" s="1" t="e">
        <f>IF(VALUE(F9385) = VALUE(RIGHT(Insights!$C$3, 4)), E9385, "")</f>
        <v>#VALUE!</v>
      </c>
      <c r="H9385" s="26" t="e">
        <f t="shared" si="1"/>
        <v>#VALUE!</v>
      </c>
      <c r="I9385" s="1" t="e">
        <f t="shared" si="2"/>
        <v>#VALUE!</v>
      </c>
    </row>
    <row r="9386" spans="1:9" ht="15.75" customHeight="1">
      <c r="A9386" s="26"/>
      <c r="B9386" s="2"/>
      <c r="C9386" s="26"/>
      <c r="D9386" s="26"/>
      <c r="F9386" s="85" t="str">
        <f t="shared" si="0"/>
        <v/>
      </c>
      <c r="G9386" s="1" t="e">
        <f>IF(VALUE(F9386) = VALUE(RIGHT(Insights!$C$3, 4)), E9386, "")</f>
        <v>#VALUE!</v>
      </c>
      <c r="H9386" s="26" t="e">
        <f t="shared" si="1"/>
        <v>#VALUE!</v>
      </c>
      <c r="I9386" s="1" t="e">
        <f t="shared" si="2"/>
        <v>#VALUE!</v>
      </c>
    </row>
    <row r="9387" spans="1:9" ht="15.75" customHeight="1">
      <c r="A9387" s="26"/>
      <c r="B9387" s="2"/>
      <c r="C9387" s="26"/>
      <c r="D9387" s="26"/>
      <c r="F9387" s="85" t="str">
        <f t="shared" si="0"/>
        <v/>
      </c>
      <c r="G9387" s="1" t="e">
        <f>IF(VALUE(F9387) = VALUE(RIGHT(Insights!$C$3, 4)), E9387, "")</f>
        <v>#VALUE!</v>
      </c>
      <c r="H9387" s="26" t="e">
        <f t="shared" si="1"/>
        <v>#VALUE!</v>
      </c>
      <c r="I9387" s="1" t="e">
        <f t="shared" si="2"/>
        <v>#VALUE!</v>
      </c>
    </row>
    <row r="9388" spans="1:9" ht="15.75" customHeight="1">
      <c r="A9388" s="26"/>
      <c r="B9388" s="2"/>
      <c r="C9388" s="26"/>
      <c r="D9388" s="26"/>
      <c r="F9388" s="85" t="str">
        <f t="shared" si="0"/>
        <v/>
      </c>
      <c r="G9388" s="1" t="e">
        <f>IF(VALUE(F9388) = VALUE(RIGHT(Insights!$C$3, 4)), E9388, "")</f>
        <v>#VALUE!</v>
      </c>
      <c r="H9388" s="26" t="e">
        <f t="shared" si="1"/>
        <v>#VALUE!</v>
      </c>
      <c r="I9388" s="1" t="e">
        <f t="shared" si="2"/>
        <v>#VALUE!</v>
      </c>
    </row>
    <row r="9389" spans="1:9" ht="15.75" customHeight="1">
      <c r="A9389" s="26"/>
      <c r="B9389" s="2"/>
      <c r="C9389" s="26"/>
      <c r="D9389" s="26"/>
      <c r="F9389" s="85" t="str">
        <f t="shared" si="0"/>
        <v/>
      </c>
      <c r="G9389" s="1" t="e">
        <f>IF(VALUE(F9389) = VALUE(RIGHT(Insights!$C$3, 4)), E9389, "")</f>
        <v>#VALUE!</v>
      </c>
      <c r="H9389" s="26" t="e">
        <f t="shared" si="1"/>
        <v>#VALUE!</v>
      </c>
      <c r="I9389" s="1" t="e">
        <f t="shared" si="2"/>
        <v>#VALUE!</v>
      </c>
    </row>
    <row r="9390" spans="1:9" ht="15.75" customHeight="1">
      <c r="A9390" s="26"/>
      <c r="B9390" s="2"/>
      <c r="C9390" s="26"/>
      <c r="D9390" s="26"/>
      <c r="F9390" s="85" t="str">
        <f t="shared" si="0"/>
        <v/>
      </c>
      <c r="G9390" s="1" t="e">
        <f>IF(VALUE(F9390) = VALUE(RIGHT(Insights!$C$3, 4)), E9390, "")</f>
        <v>#VALUE!</v>
      </c>
      <c r="H9390" s="26" t="e">
        <f t="shared" si="1"/>
        <v>#VALUE!</v>
      </c>
      <c r="I9390" s="1" t="e">
        <f t="shared" si="2"/>
        <v>#VALUE!</v>
      </c>
    </row>
    <row r="9391" spans="1:9" ht="15.75" customHeight="1">
      <c r="A9391" s="26"/>
      <c r="B9391" s="2"/>
      <c r="C9391" s="26"/>
      <c r="D9391" s="26"/>
      <c r="F9391" s="85" t="str">
        <f t="shared" si="0"/>
        <v/>
      </c>
      <c r="G9391" s="1" t="e">
        <f>IF(VALUE(F9391) = VALUE(RIGHT(Insights!$C$3, 4)), E9391, "")</f>
        <v>#VALUE!</v>
      </c>
      <c r="H9391" s="26" t="e">
        <f t="shared" si="1"/>
        <v>#VALUE!</v>
      </c>
      <c r="I9391" s="1" t="e">
        <f t="shared" si="2"/>
        <v>#VALUE!</v>
      </c>
    </row>
    <row r="9392" spans="1:9" ht="15.75" customHeight="1">
      <c r="A9392" s="26"/>
      <c r="B9392" s="2"/>
      <c r="C9392" s="26"/>
      <c r="D9392" s="26"/>
      <c r="F9392" s="85" t="str">
        <f t="shared" si="0"/>
        <v/>
      </c>
      <c r="G9392" s="1" t="e">
        <f>IF(VALUE(F9392) = VALUE(RIGHT(Insights!$C$3, 4)), E9392, "")</f>
        <v>#VALUE!</v>
      </c>
      <c r="H9392" s="26" t="e">
        <f t="shared" si="1"/>
        <v>#VALUE!</v>
      </c>
      <c r="I9392" s="1" t="e">
        <f t="shared" si="2"/>
        <v>#VALUE!</v>
      </c>
    </row>
    <row r="9393" spans="1:9" ht="15.75" customHeight="1">
      <c r="A9393" s="26"/>
      <c r="B9393" s="2"/>
      <c r="C9393" s="26"/>
      <c r="D9393" s="26"/>
      <c r="F9393" s="85" t="str">
        <f t="shared" si="0"/>
        <v/>
      </c>
      <c r="G9393" s="1" t="e">
        <f>IF(VALUE(F9393) = VALUE(RIGHT(Insights!$C$3, 4)), E9393, "")</f>
        <v>#VALUE!</v>
      </c>
      <c r="H9393" s="26" t="e">
        <f t="shared" si="1"/>
        <v>#VALUE!</v>
      </c>
      <c r="I9393" s="1" t="e">
        <f t="shared" si="2"/>
        <v>#VALUE!</v>
      </c>
    </row>
    <row r="9394" spans="1:9" ht="15.75" customHeight="1">
      <c r="A9394" s="26"/>
      <c r="B9394" s="2"/>
      <c r="C9394" s="26"/>
      <c r="D9394" s="26"/>
      <c r="F9394" s="85" t="str">
        <f t="shared" si="0"/>
        <v/>
      </c>
      <c r="G9394" s="1" t="e">
        <f>IF(VALUE(F9394) = VALUE(RIGHT(Insights!$C$3, 4)), E9394, "")</f>
        <v>#VALUE!</v>
      </c>
      <c r="H9394" s="26" t="e">
        <f t="shared" si="1"/>
        <v>#VALUE!</v>
      </c>
      <c r="I9394" s="1" t="e">
        <f t="shared" si="2"/>
        <v>#VALUE!</v>
      </c>
    </row>
    <row r="9395" spans="1:9" ht="15.75" customHeight="1">
      <c r="A9395" s="26"/>
      <c r="B9395" s="2"/>
      <c r="C9395" s="26"/>
      <c r="D9395" s="26"/>
      <c r="F9395" s="85" t="str">
        <f t="shared" si="0"/>
        <v/>
      </c>
      <c r="G9395" s="1" t="e">
        <f>IF(VALUE(F9395) = VALUE(RIGHT(Insights!$C$3, 4)), E9395, "")</f>
        <v>#VALUE!</v>
      </c>
      <c r="H9395" s="26" t="e">
        <f t="shared" si="1"/>
        <v>#VALUE!</v>
      </c>
      <c r="I9395" s="1" t="e">
        <f t="shared" si="2"/>
        <v>#VALUE!</v>
      </c>
    </row>
    <row r="9396" spans="1:9" ht="15.75" customHeight="1">
      <c r="A9396" s="26"/>
      <c r="B9396" s="2"/>
      <c r="C9396" s="26"/>
      <c r="D9396" s="26"/>
      <c r="F9396" s="85" t="str">
        <f t="shared" si="0"/>
        <v/>
      </c>
      <c r="G9396" s="1" t="e">
        <f>IF(VALUE(F9396) = VALUE(RIGHT(Insights!$C$3, 4)), E9396, "")</f>
        <v>#VALUE!</v>
      </c>
      <c r="H9396" s="26" t="e">
        <f t="shared" si="1"/>
        <v>#VALUE!</v>
      </c>
      <c r="I9396" s="1" t="e">
        <f t="shared" si="2"/>
        <v>#VALUE!</v>
      </c>
    </row>
    <row r="9397" spans="1:9" ht="15.75" customHeight="1">
      <c r="A9397" s="26"/>
      <c r="B9397" s="2"/>
      <c r="C9397" s="26"/>
      <c r="D9397" s="26"/>
      <c r="F9397" s="85" t="str">
        <f t="shared" si="0"/>
        <v/>
      </c>
      <c r="G9397" s="1" t="e">
        <f>IF(VALUE(F9397) = VALUE(RIGHT(Insights!$C$3, 4)), E9397, "")</f>
        <v>#VALUE!</v>
      </c>
      <c r="H9397" s="26" t="e">
        <f t="shared" si="1"/>
        <v>#VALUE!</v>
      </c>
      <c r="I9397" s="1" t="e">
        <f t="shared" si="2"/>
        <v>#VALUE!</v>
      </c>
    </row>
    <row r="9398" spans="1:9" ht="15.75" customHeight="1">
      <c r="A9398" s="26"/>
      <c r="B9398" s="2"/>
      <c r="C9398" s="26"/>
      <c r="D9398" s="26"/>
      <c r="F9398" s="85" t="str">
        <f t="shared" si="0"/>
        <v/>
      </c>
      <c r="G9398" s="1" t="e">
        <f>IF(VALUE(F9398) = VALUE(RIGHT(Insights!$C$3, 4)), E9398, "")</f>
        <v>#VALUE!</v>
      </c>
      <c r="H9398" s="26" t="e">
        <f t="shared" si="1"/>
        <v>#VALUE!</v>
      </c>
      <c r="I9398" s="1" t="e">
        <f t="shared" si="2"/>
        <v>#VALUE!</v>
      </c>
    </row>
    <row r="9399" spans="1:9" ht="15.75" customHeight="1">
      <c r="A9399" s="26"/>
      <c r="B9399" s="2"/>
      <c r="C9399" s="26"/>
      <c r="D9399" s="26"/>
      <c r="F9399" s="85" t="str">
        <f t="shared" si="0"/>
        <v/>
      </c>
      <c r="G9399" s="1" t="e">
        <f>IF(VALUE(F9399) = VALUE(RIGHT(Insights!$C$3, 4)), E9399, "")</f>
        <v>#VALUE!</v>
      </c>
      <c r="H9399" s="26" t="e">
        <f t="shared" si="1"/>
        <v>#VALUE!</v>
      </c>
      <c r="I9399" s="1" t="e">
        <f t="shared" si="2"/>
        <v>#VALUE!</v>
      </c>
    </row>
    <row r="9400" spans="1:9" ht="15.75" customHeight="1">
      <c r="A9400" s="26"/>
      <c r="B9400" s="2"/>
      <c r="C9400" s="26"/>
      <c r="D9400" s="26"/>
      <c r="F9400" s="85" t="str">
        <f t="shared" si="0"/>
        <v/>
      </c>
      <c r="G9400" s="1" t="e">
        <f>IF(VALUE(F9400) = VALUE(RIGHT(Insights!$C$3, 4)), E9400, "")</f>
        <v>#VALUE!</v>
      </c>
      <c r="H9400" s="26" t="e">
        <f t="shared" si="1"/>
        <v>#VALUE!</v>
      </c>
      <c r="I9400" s="1" t="e">
        <f t="shared" si="2"/>
        <v>#VALUE!</v>
      </c>
    </row>
    <row r="9401" spans="1:9" ht="15.75" customHeight="1">
      <c r="A9401" s="26"/>
      <c r="B9401" s="2"/>
      <c r="C9401" s="26"/>
      <c r="D9401" s="26"/>
      <c r="F9401" s="85" t="str">
        <f t="shared" si="0"/>
        <v/>
      </c>
      <c r="G9401" s="1" t="e">
        <f>IF(VALUE(F9401) = VALUE(RIGHT(Insights!$C$3, 4)), E9401, "")</f>
        <v>#VALUE!</v>
      </c>
      <c r="H9401" s="26" t="e">
        <f t="shared" si="1"/>
        <v>#VALUE!</v>
      </c>
      <c r="I9401" s="1" t="e">
        <f t="shared" si="2"/>
        <v>#VALUE!</v>
      </c>
    </row>
    <row r="9402" spans="1:9" ht="15.75" customHeight="1">
      <c r="A9402" s="26"/>
      <c r="B9402" s="2"/>
      <c r="C9402" s="26"/>
      <c r="D9402" s="26"/>
      <c r="F9402" s="85" t="str">
        <f t="shared" si="0"/>
        <v/>
      </c>
      <c r="G9402" s="1" t="e">
        <f>IF(VALUE(F9402) = VALUE(RIGHT(Insights!$C$3, 4)), E9402, "")</f>
        <v>#VALUE!</v>
      </c>
      <c r="H9402" s="26" t="e">
        <f t="shared" si="1"/>
        <v>#VALUE!</v>
      </c>
      <c r="I9402" s="1" t="e">
        <f t="shared" si="2"/>
        <v>#VALUE!</v>
      </c>
    </row>
    <row r="9403" spans="1:9" ht="15.75" customHeight="1">
      <c r="A9403" s="26"/>
      <c r="B9403" s="2"/>
      <c r="C9403" s="26"/>
      <c r="D9403" s="26"/>
      <c r="F9403" s="85" t="str">
        <f t="shared" si="0"/>
        <v/>
      </c>
      <c r="G9403" s="1" t="e">
        <f>IF(VALUE(F9403) = VALUE(RIGHT(Insights!$C$3, 4)), E9403, "")</f>
        <v>#VALUE!</v>
      </c>
      <c r="H9403" s="26" t="e">
        <f t="shared" si="1"/>
        <v>#VALUE!</v>
      </c>
      <c r="I9403" s="1" t="e">
        <f t="shared" si="2"/>
        <v>#VALUE!</v>
      </c>
    </row>
    <row r="9404" spans="1:9" ht="15.75" customHeight="1">
      <c r="A9404" s="26"/>
      <c r="B9404" s="2"/>
      <c r="C9404" s="26"/>
      <c r="D9404" s="26"/>
      <c r="F9404" s="85" t="str">
        <f t="shared" si="0"/>
        <v/>
      </c>
      <c r="G9404" s="1" t="e">
        <f>IF(VALUE(F9404) = VALUE(RIGHT(Insights!$C$3, 4)), E9404, "")</f>
        <v>#VALUE!</v>
      </c>
      <c r="H9404" s="26" t="e">
        <f t="shared" si="1"/>
        <v>#VALUE!</v>
      </c>
      <c r="I9404" s="1" t="e">
        <f t="shared" si="2"/>
        <v>#VALUE!</v>
      </c>
    </row>
    <row r="9405" spans="1:9" ht="15.75" customHeight="1">
      <c r="A9405" s="26"/>
      <c r="B9405" s="2"/>
      <c r="C9405" s="26"/>
      <c r="D9405" s="26"/>
      <c r="F9405" s="85" t="str">
        <f t="shared" si="0"/>
        <v/>
      </c>
      <c r="G9405" s="1" t="e">
        <f>IF(VALUE(F9405) = VALUE(RIGHT(Insights!$C$3, 4)), E9405, "")</f>
        <v>#VALUE!</v>
      </c>
      <c r="H9405" s="26" t="e">
        <f t="shared" si="1"/>
        <v>#VALUE!</v>
      </c>
      <c r="I9405" s="1" t="e">
        <f t="shared" si="2"/>
        <v>#VALUE!</v>
      </c>
    </row>
    <row r="9406" spans="1:9" ht="15.75" customHeight="1">
      <c r="A9406" s="26"/>
      <c r="B9406" s="2"/>
      <c r="C9406" s="26"/>
      <c r="D9406" s="26"/>
      <c r="F9406" s="85" t="str">
        <f t="shared" si="0"/>
        <v/>
      </c>
      <c r="G9406" s="1" t="e">
        <f>IF(VALUE(F9406) = VALUE(RIGHT(Insights!$C$3, 4)), E9406, "")</f>
        <v>#VALUE!</v>
      </c>
      <c r="H9406" s="26" t="e">
        <f t="shared" si="1"/>
        <v>#VALUE!</v>
      </c>
      <c r="I9406" s="1" t="e">
        <f t="shared" si="2"/>
        <v>#VALUE!</v>
      </c>
    </row>
    <row r="9407" spans="1:9" ht="15.75" customHeight="1">
      <c r="A9407" s="26"/>
      <c r="B9407" s="2"/>
      <c r="C9407" s="26"/>
      <c r="D9407" s="26"/>
      <c r="F9407" s="85" t="str">
        <f t="shared" si="0"/>
        <v/>
      </c>
      <c r="G9407" s="1" t="e">
        <f>IF(VALUE(F9407) = VALUE(RIGHT(Insights!$C$3, 4)), E9407, "")</f>
        <v>#VALUE!</v>
      </c>
      <c r="H9407" s="26" t="e">
        <f t="shared" si="1"/>
        <v>#VALUE!</v>
      </c>
      <c r="I9407" s="1" t="e">
        <f t="shared" si="2"/>
        <v>#VALUE!</v>
      </c>
    </row>
    <row r="9408" spans="1:9" ht="15.75" customHeight="1">
      <c r="A9408" s="26"/>
      <c r="B9408" s="2"/>
      <c r="C9408" s="26"/>
      <c r="D9408" s="26"/>
      <c r="F9408" s="85" t="str">
        <f t="shared" si="0"/>
        <v/>
      </c>
      <c r="G9408" s="1" t="e">
        <f>IF(VALUE(F9408) = VALUE(RIGHT(Insights!$C$3, 4)), E9408, "")</f>
        <v>#VALUE!</v>
      </c>
      <c r="H9408" s="26" t="e">
        <f t="shared" si="1"/>
        <v>#VALUE!</v>
      </c>
      <c r="I9408" s="1" t="e">
        <f t="shared" si="2"/>
        <v>#VALUE!</v>
      </c>
    </row>
    <row r="9409" spans="1:9" ht="15.75" customHeight="1">
      <c r="A9409" s="26"/>
      <c r="B9409" s="2"/>
      <c r="C9409" s="26"/>
      <c r="D9409" s="26"/>
      <c r="F9409" s="85" t="str">
        <f t="shared" si="0"/>
        <v/>
      </c>
      <c r="G9409" s="1" t="e">
        <f>IF(VALUE(F9409) = VALUE(RIGHT(Insights!$C$3, 4)), E9409, "")</f>
        <v>#VALUE!</v>
      </c>
      <c r="H9409" s="26" t="e">
        <f t="shared" si="1"/>
        <v>#VALUE!</v>
      </c>
      <c r="I9409" s="1" t="e">
        <f t="shared" si="2"/>
        <v>#VALUE!</v>
      </c>
    </row>
    <row r="9410" spans="1:9" ht="15.75" customHeight="1">
      <c r="A9410" s="26"/>
      <c r="B9410" s="2"/>
      <c r="C9410" s="26"/>
      <c r="D9410" s="26"/>
      <c r="F9410" s="85" t="str">
        <f t="shared" si="0"/>
        <v/>
      </c>
      <c r="G9410" s="1" t="e">
        <f>IF(VALUE(F9410) = VALUE(RIGHT(Insights!$C$3, 4)), E9410, "")</f>
        <v>#VALUE!</v>
      </c>
      <c r="H9410" s="26" t="e">
        <f t="shared" si="1"/>
        <v>#VALUE!</v>
      </c>
      <c r="I9410" s="1" t="e">
        <f t="shared" si="2"/>
        <v>#VALUE!</v>
      </c>
    </row>
    <row r="9411" spans="1:9" ht="15.75" customHeight="1">
      <c r="A9411" s="26"/>
      <c r="B9411" s="2"/>
      <c r="C9411" s="26"/>
      <c r="D9411" s="26"/>
      <c r="F9411" s="85" t="str">
        <f t="shared" si="0"/>
        <v/>
      </c>
      <c r="G9411" s="1" t="e">
        <f>IF(VALUE(F9411) = VALUE(RIGHT(Insights!$C$3, 4)), E9411, "")</f>
        <v>#VALUE!</v>
      </c>
      <c r="H9411" s="26" t="e">
        <f t="shared" si="1"/>
        <v>#VALUE!</v>
      </c>
      <c r="I9411" s="1" t="e">
        <f t="shared" si="2"/>
        <v>#VALUE!</v>
      </c>
    </row>
    <row r="9412" spans="1:9" ht="15.75" customHeight="1">
      <c r="A9412" s="26"/>
      <c r="B9412" s="2"/>
      <c r="C9412" s="26"/>
      <c r="D9412" s="26"/>
      <c r="F9412" s="85" t="str">
        <f t="shared" si="0"/>
        <v/>
      </c>
      <c r="G9412" s="1" t="e">
        <f>IF(VALUE(F9412) = VALUE(RIGHT(Insights!$C$3, 4)), E9412, "")</f>
        <v>#VALUE!</v>
      </c>
      <c r="H9412" s="26" t="e">
        <f t="shared" si="1"/>
        <v>#VALUE!</v>
      </c>
      <c r="I9412" s="1" t="e">
        <f t="shared" si="2"/>
        <v>#VALUE!</v>
      </c>
    </row>
    <row r="9413" spans="1:9" ht="15.75" customHeight="1">
      <c r="A9413" s="26"/>
      <c r="B9413" s="2"/>
      <c r="C9413" s="26"/>
      <c r="D9413" s="26"/>
      <c r="F9413" s="85" t="str">
        <f t="shared" si="0"/>
        <v/>
      </c>
      <c r="G9413" s="1" t="e">
        <f>IF(VALUE(F9413) = VALUE(RIGHT(Insights!$C$3, 4)), E9413, "")</f>
        <v>#VALUE!</v>
      </c>
      <c r="H9413" s="26" t="e">
        <f t="shared" si="1"/>
        <v>#VALUE!</v>
      </c>
      <c r="I9413" s="1" t="e">
        <f t="shared" si="2"/>
        <v>#VALUE!</v>
      </c>
    </row>
    <row r="9414" spans="1:9" ht="15.75" customHeight="1">
      <c r="A9414" s="26"/>
      <c r="B9414" s="2"/>
      <c r="C9414" s="26"/>
      <c r="D9414" s="26"/>
      <c r="F9414" s="85" t="str">
        <f t="shared" si="0"/>
        <v/>
      </c>
      <c r="G9414" s="1" t="e">
        <f>IF(VALUE(F9414) = VALUE(RIGHT(Insights!$C$3, 4)), E9414, "")</f>
        <v>#VALUE!</v>
      </c>
      <c r="H9414" s="26" t="e">
        <f t="shared" si="1"/>
        <v>#VALUE!</v>
      </c>
      <c r="I9414" s="1" t="e">
        <f t="shared" si="2"/>
        <v>#VALUE!</v>
      </c>
    </row>
    <row r="9415" spans="1:9" ht="15.75" customHeight="1">
      <c r="A9415" s="26"/>
      <c r="B9415" s="2"/>
      <c r="C9415" s="26"/>
      <c r="D9415" s="26"/>
      <c r="F9415" s="85" t="str">
        <f t="shared" si="0"/>
        <v/>
      </c>
      <c r="G9415" s="1" t="e">
        <f>IF(VALUE(F9415) = VALUE(RIGHT(Insights!$C$3, 4)), E9415, "")</f>
        <v>#VALUE!</v>
      </c>
      <c r="H9415" s="26" t="e">
        <f t="shared" si="1"/>
        <v>#VALUE!</v>
      </c>
      <c r="I9415" s="1" t="e">
        <f t="shared" si="2"/>
        <v>#VALUE!</v>
      </c>
    </row>
    <row r="9416" spans="1:9" ht="15.75" customHeight="1">
      <c r="A9416" s="26"/>
      <c r="B9416" s="2"/>
      <c r="C9416" s="26"/>
      <c r="D9416" s="26"/>
      <c r="F9416" s="85" t="str">
        <f t="shared" si="0"/>
        <v/>
      </c>
      <c r="G9416" s="1" t="e">
        <f>IF(VALUE(F9416) = VALUE(RIGHT(Insights!$C$3, 4)), E9416, "")</f>
        <v>#VALUE!</v>
      </c>
      <c r="H9416" s="26" t="e">
        <f t="shared" si="1"/>
        <v>#VALUE!</v>
      </c>
      <c r="I9416" s="1" t="e">
        <f t="shared" si="2"/>
        <v>#VALUE!</v>
      </c>
    </row>
    <row r="9417" spans="1:9" ht="15.75" customHeight="1">
      <c r="A9417" s="26"/>
      <c r="B9417" s="2"/>
      <c r="C9417" s="26"/>
      <c r="D9417" s="26"/>
      <c r="F9417" s="85" t="str">
        <f t="shared" si="0"/>
        <v/>
      </c>
      <c r="G9417" s="1" t="e">
        <f>IF(VALUE(F9417) = VALUE(RIGHT(Insights!$C$3, 4)), E9417, "")</f>
        <v>#VALUE!</v>
      </c>
      <c r="H9417" s="26" t="e">
        <f t="shared" si="1"/>
        <v>#VALUE!</v>
      </c>
      <c r="I9417" s="1" t="e">
        <f t="shared" si="2"/>
        <v>#VALUE!</v>
      </c>
    </row>
    <row r="9418" spans="1:9" ht="15.75" customHeight="1">
      <c r="A9418" s="26"/>
      <c r="B9418" s="2"/>
      <c r="C9418" s="26"/>
      <c r="D9418" s="26"/>
      <c r="F9418" s="85" t="str">
        <f t="shared" si="0"/>
        <v/>
      </c>
      <c r="G9418" s="1" t="e">
        <f>IF(VALUE(F9418) = VALUE(RIGHT(Insights!$C$3, 4)), E9418, "")</f>
        <v>#VALUE!</v>
      </c>
      <c r="H9418" s="26" t="e">
        <f t="shared" si="1"/>
        <v>#VALUE!</v>
      </c>
      <c r="I9418" s="1" t="e">
        <f t="shared" si="2"/>
        <v>#VALUE!</v>
      </c>
    </row>
    <row r="9419" spans="1:9" ht="15.75" customHeight="1">
      <c r="A9419" s="26"/>
      <c r="B9419" s="2"/>
      <c r="C9419" s="26"/>
      <c r="D9419" s="26"/>
      <c r="F9419" s="85" t="str">
        <f t="shared" si="0"/>
        <v/>
      </c>
      <c r="G9419" s="1" t="e">
        <f>IF(VALUE(F9419) = VALUE(RIGHT(Insights!$C$3, 4)), E9419, "")</f>
        <v>#VALUE!</v>
      </c>
      <c r="H9419" s="26" t="e">
        <f t="shared" si="1"/>
        <v>#VALUE!</v>
      </c>
      <c r="I9419" s="1" t="e">
        <f t="shared" si="2"/>
        <v>#VALUE!</v>
      </c>
    </row>
    <row r="9420" spans="1:9" ht="15.75" customHeight="1">
      <c r="A9420" s="26"/>
      <c r="B9420" s="2"/>
      <c r="C9420" s="26"/>
      <c r="D9420" s="26"/>
      <c r="F9420" s="85" t="str">
        <f t="shared" si="0"/>
        <v/>
      </c>
      <c r="G9420" s="1" t="e">
        <f>IF(VALUE(F9420) = VALUE(RIGHT(Insights!$C$3, 4)), E9420, "")</f>
        <v>#VALUE!</v>
      </c>
      <c r="H9420" s="26" t="e">
        <f t="shared" si="1"/>
        <v>#VALUE!</v>
      </c>
      <c r="I9420" s="1" t="e">
        <f t="shared" si="2"/>
        <v>#VALUE!</v>
      </c>
    </row>
    <row r="9421" spans="1:9" ht="15.75" customHeight="1">
      <c r="A9421" s="26"/>
      <c r="B9421" s="2"/>
      <c r="C9421" s="26"/>
      <c r="D9421" s="26"/>
      <c r="F9421" s="85" t="str">
        <f t="shared" si="0"/>
        <v/>
      </c>
      <c r="G9421" s="1" t="e">
        <f>IF(VALUE(F9421) = VALUE(RIGHT(Insights!$C$3, 4)), E9421, "")</f>
        <v>#VALUE!</v>
      </c>
      <c r="H9421" s="26" t="e">
        <f t="shared" si="1"/>
        <v>#VALUE!</v>
      </c>
      <c r="I9421" s="1" t="e">
        <f t="shared" si="2"/>
        <v>#VALUE!</v>
      </c>
    </row>
    <row r="9422" spans="1:9" ht="15.75" customHeight="1">
      <c r="A9422" s="26"/>
      <c r="B9422" s="2"/>
      <c r="C9422" s="26"/>
      <c r="D9422" s="26"/>
      <c r="F9422" s="85" t="str">
        <f t="shared" si="0"/>
        <v/>
      </c>
      <c r="G9422" s="1" t="e">
        <f>IF(VALUE(F9422) = VALUE(RIGHT(Insights!$C$3, 4)), E9422, "")</f>
        <v>#VALUE!</v>
      </c>
      <c r="H9422" s="26" t="e">
        <f t="shared" si="1"/>
        <v>#VALUE!</v>
      </c>
      <c r="I9422" s="1" t="e">
        <f t="shared" si="2"/>
        <v>#VALUE!</v>
      </c>
    </row>
    <row r="9423" spans="1:9" ht="15.75" customHeight="1">
      <c r="A9423" s="26"/>
      <c r="B9423" s="2"/>
      <c r="C9423" s="26"/>
      <c r="D9423" s="26"/>
      <c r="F9423" s="85" t="str">
        <f t="shared" si="0"/>
        <v/>
      </c>
      <c r="G9423" s="1" t="e">
        <f>IF(VALUE(F9423) = VALUE(RIGHT(Insights!$C$3, 4)), E9423, "")</f>
        <v>#VALUE!</v>
      </c>
      <c r="H9423" s="26" t="e">
        <f t="shared" si="1"/>
        <v>#VALUE!</v>
      </c>
      <c r="I9423" s="1" t="e">
        <f t="shared" si="2"/>
        <v>#VALUE!</v>
      </c>
    </row>
    <row r="9424" spans="1:9" ht="15.75" customHeight="1">
      <c r="A9424" s="26"/>
      <c r="B9424" s="2"/>
      <c r="C9424" s="26"/>
      <c r="D9424" s="26"/>
      <c r="F9424" s="85" t="str">
        <f t="shared" si="0"/>
        <v/>
      </c>
      <c r="G9424" s="1" t="e">
        <f>IF(VALUE(F9424) = VALUE(RIGHT(Insights!$C$3, 4)), E9424, "")</f>
        <v>#VALUE!</v>
      </c>
      <c r="H9424" s="26" t="e">
        <f t="shared" si="1"/>
        <v>#VALUE!</v>
      </c>
      <c r="I9424" s="1" t="e">
        <f t="shared" si="2"/>
        <v>#VALUE!</v>
      </c>
    </row>
    <row r="9425" spans="1:9" ht="15.75" customHeight="1">
      <c r="A9425" s="26"/>
      <c r="B9425" s="2"/>
      <c r="C9425" s="26"/>
      <c r="D9425" s="26"/>
      <c r="F9425" s="85" t="str">
        <f t="shared" si="0"/>
        <v/>
      </c>
      <c r="G9425" s="1" t="e">
        <f>IF(VALUE(F9425) = VALUE(RIGHT(Insights!$C$3, 4)), E9425, "")</f>
        <v>#VALUE!</v>
      </c>
      <c r="H9425" s="26" t="e">
        <f t="shared" si="1"/>
        <v>#VALUE!</v>
      </c>
      <c r="I9425" s="1" t="e">
        <f t="shared" si="2"/>
        <v>#VALUE!</v>
      </c>
    </row>
    <row r="9426" spans="1:9" ht="15.75" customHeight="1">
      <c r="A9426" s="26"/>
      <c r="B9426" s="2"/>
      <c r="C9426" s="26"/>
      <c r="D9426" s="26"/>
      <c r="F9426" s="85" t="str">
        <f t="shared" si="0"/>
        <v/>
      </c>
      <c r="G9426" s="1" t="e">
        <f>IF(VALUE(F9426) = VALUE(RIGHT(Insights!$C$3, 4)), E9426, "")</f>
        <v>#VALUE!</v>
      </c>
      <c r="H9426" s="26" t="e">
        <f t="shared" si="1"/>
        <v>#VALUE!</v>
      </c>
      <c r="I9426" s="1" t="e">
        <f t="shared" si="2"/>
        <v>#VALUE!</v>
      </c>
    </row>
    <row r="9427" spans="1:9" ht="15.75" customHeight="1">
      <c r="A9427" s="26"/>
      <c r="B9427" s="2"/>
      <c r="C9427" s="26"/>
      <c r="D9427" s="26"/>
      <c r="F9427" s="85" t="str">
        <f t="shared" si="0"/>
        <v/>
      </c>
      <c r="G9427" s="1" t="e">
        <f>IF(VALUE(F9427) = VALUE(RIGHT(Insights!$C$3, 4)), E9427, "")</f>
        <v>#VALUE!</v>
      </c>
      <c r="H9427" s="26" t="e">
        <f t="shared" si="1"/>
        <v>#VALUE!</v>
      </c>
      <c r="I9427" s="1" t="e">
        <f t="shared" si="2"/>
        <v>#VALUE!</v>
      </c>
    </row>
    <row r="9428" spans="1:9" ht="15.75" customHeight="1">
      <c r="A9428" s="26"/>
      <c r="B9428" s="2"/>
      <c r="C9428" s="26"/>
      <c r="D9428" s="26"/>
      <c r="F9428" s="85" t="str">
        <f t="shared" si="0"/>
        <v/>
      </c>
      <c r="G9428" s="1" t="e">
        <f>IF(VALUE(F9428) = VALUE(RIGHT(Insights!$C$3, 4)), E9428, "")</f>
        <v>#VALUE!</v>
      </c>
      <c r="H9428" s="26" t="e">
        <f t="shared" si="1"/>
        <v>#VALUE!</v>
      </c>
      <c r="I9428" s="1" t="e">
        <f t="shared" si="2"/>
        <v>#VALUE!</v>
      </c>
    </row>
    <row r="9429" spans="1:9" ht="15.75" customHeight="1">
      <c r="A9429" s="26"/>
      <c r="B9429" s="2"/>
      <c r="C9429" s="26"/>
      <c r="D9429" s="26"/>
      <c r="F9429" s="85" t="str">
        <f t="shared" si="0"/>
        <v/>
      </c>
      <c r="G9429" s="1" t="e">
        <f>IF(VALUE(F9429) = VALUE(RIGHT(Insights!$C$3, 4)), E9429, "")</f>
        <v>#VALUE!</v>
      </c>
      <c r="H9429" s="26" t="e">
        <f t="shared" si="1"/>
        <v>#VALUE!</v>
      </c>
      <c r="I9429" s="1" t="e">
        <f t="shared" si="2"/>
        <v>#VALUE!</v>
      </c>
    </row>
    <row r="9430" spans="1:9" ht="15.75" customHeight="1">
      <c r="A9430" s="26"/>
      <c r="B9430" s="2"/>
      <c r="C9430" s="26"/>
      <c r="D9430" s="26"/>
      <c r="F9430" s="85" t="str">
        <f t="shared" si="0"/>
        <v/>
      </c>
      <c r="G9430" s="1" t="e">
        <f>IF(VALUE(F9430) = VALUE(RIGHT(Insights!$C$3, 4)), E9430, "")</f>
        <v>#VALUE!</v>
      </c>
      <c r="H9430" s="26" t="e">
        <f t="shared" si="1"/>
        <v>#VALUE!</v>
      </c>
      <c r="I9430" s="1" t="e">
        <f t="shared" si="2"/>
        <v>#VALUE!</v>
      </c>
    </row>
    <row r="9431" spans="1:9" ht="15.75" customHeight="1">
      <c r="A9431" s="26"/>
      <c r="B9431" s="2"/>
      <c r="C9431" s="26"/>
      <c r="D9431" s="26"/>
      <c r="F9431" s="85" t="str">
        <f t="shared" si="0"/>
        <v/>
      </c>
      <c r="G9431" s="1" t="e">
        <f>IF(VALUE(F9431) = VALUE(RIGHT(Insights!$C$3, 4)), E9431, "")</f>
        <v>#VALUE!</v>
      </c>
      <c r="H9431" s="26" t="e">
        <f t="shared" si="1"/>
        <v>#VALUE!</v>
      </c>
      <c r="I9431" s="1" t="e">
        <f t="shared" si="2"/>
        <v>#VALUE!</v>
      </c>
    </row>
    <row r="9432" spans="1:9" ht="15.75" customHeight="1">
      <c r="A9432" s="26"/>
      <c r="B9432" s="2"/>
      <c r="C9432" s="26"/>
      <c r="D9432" s="26"/>
      <c r="F9432" s="85" t="str">
        <f t="shared" si="0"/>
        <v/>
      </c>
      <c r="G9432" s="1" t="e">
        <f>IF(VALUE(F9432) = VALUE(RIGHT(Insights!$C$3, 4)), E9432, "")</f>
        <v>#VALUE!</v>
      </c>
      <c r="H9432" s="26" t="e">
        <f t="shared" si="1"/>
        <v>#VALUE!</v>
      </c>
      <c r="I9432" s="1" t="e">
        <f t="shared" si="2"/>
        <v>#VALUE!</v>
      </c>
    </row>
    <row r="9433" spans="1:9" ht="15.75" customHeight="1">
      <c r="A9433" s="26"/>
      <c r="B9433" s="2"/>
      <c r="C9433" s="26"/>
      <c r="D9433" s="26"/>
      <c r="F9433" s="85" t="str">
        <f t="shared" si="0"/>
        <v/>
      </c>
      <c r="G9433" s="1" t="e">
        <f>IF(VALUE(F9433) = VALUE(RIGHT(Insights!$C$3, 4)), E9433, "")</f>
        <v>#VALUE!</v>
      </c>
      <c r="H9433" s="26" t="e">
        <f t="shared" si="1"/>
        <v>#VALUE!</v>
      </c>
      <c r="I9433" s="1" t="e">
        <f t="shared" si="2"/>
        <v>#VALUE!</v>
      </c>
    </row>
    <row r="9434" spans="1:9" ht="15.75" customHeight="1">
      <c r="A9434" s="26"/>
      <c r="B9434" s="2"/>
      <c r="C9434" s="26"/>
      <c r="D9434" s="26"/>
      <c r="F9434" s="85" t="str">
        <f t="shared" si="0"/>
        <v/>
      </c>
      <c r="G9434" s="1" t="e">
        <f>IF(VALUE(F9434) = VALUE(RIGHT(Insights!$C$3, 4)), E9434, "")</f>
        <v>#VALUE!</v>
      </c>
      <c r="H9434" s="26" t="e">
        <f t="shared" si="1"/>
        <v>#VALUE!</v>
      </c>
      <c r="I9434" s="1" t="e">
        <f t="shared" si="2"/>
        <v>#VALUE!</v>
      </c>
    </row>
    <row r="9435" spans="1:9" ht="15.75" customHeight="1">
      <c r="A9435" s="26"/>
      <c r="B9435" s="2"/>
      <c r="C9435" s="26"/>
      <c r="D9435" s="26"/>
      <c r="F9435" s="85" t="str">
        <f t="shared" si="0"/>
        <v/>
      </c>
      <c r="G9435" s="1" t="e">
        <f>IF(VALUE(F9435) = VALUE(RIGHT(Insights!$C$3, 4)), E9435, "")</f>
        <v>#VALUE!</v>
      </c>
      <c r="H9435" s="26" t="e">
        <f t="shared" si="1"/>
        <v>#VALUE!</v>
      </c>
      <c r="I9435" s="1" t="e">
        <f t="shared" si="2"/>
        <v>#VALUE!</v>
      </c>
    </row>
    <row r="9436" spans="1:9" ht="15.75" customHeight="1">
      <c r="A9436" s="26"/>
      <c r="B9436" s="2"/>
      <c r="C9436" s="26"/>
      <c r="D9436" s="26"/>
      <c r="F9436" s="85" t="str">
        <f t="shared" si="0"/>
        <v/>
      </c>
      <c r="G9436" s="1" t="e">
        <f>IF(VALUE(F9436) = VALUE(RIGHT(Insights!$C$3, 4)), E9436, "")</f>
        <v>#VALUE!</v>
      </c>
      <c r="H9436" s="26" t="e">
        <f t="shared" si="1"/>
        <v>#VALUE!</v>
      </c>
      <c r="I9436" s="1" t="e">
        <f t="shared" si="2"/>
        <v>#VALUE!</v>
      </c>
    </row>
    <row r="9437" spans="1:9" ht="15.75" customHeight="1">
      <c r="A9437" s="26"/>
      <c r="B9437" s="2"/>
      <c r="C9437" s="26"/>
      <c r="D9437" s="26"/>
      <c r="F9437" s="85" t="str">
        <f t="shared" si="0"/>
        <v/>
      </c>
      <c r="G9437" s="1" t="e">
        <f>IF(VALUE(F9437) = VALUE(RIGHT(Insights!$C$3, 4)), E9437, "")</f>
        <v>#VALUE!</v>
      </c>
      <c r="H9437" s="26" t="e">
        <f t="shared" si="1"/>
        <v>#VALUE!</v>
      </c>
      <c r="I9437" s="1" t="e">
        <f t="shared" si="2"/>
        <v>#VALUE!</v>
      </c>
    </row>
    <row r="9438" spans="1:9" ht="15.75" customHeight="1">
      <c r="A9438" s="26"/>
      <c r="B9438" s="2"/>
      <c r="C9438" s="26"/>
      <c r="D9438" s="26"/>
      <c r="F9438" s="85" t="str">
        <f t="shared" si="0"/>
        <v/>
      </c>
      <c r="G9438" s="1" t="e">
        <f>IF(VALUE(F9438) = VALUE(RIGHT(Insights!$C$3, 4)), E9438, "")</f>
        <v>#VALUE!</v>
      </c>
      <c r="H9438" s="26" t="e">
        <f t="shared" si="1"/>
        <v>#VALUE!</v>
      </c>
      <c r="I9438" s="1" t="e">
        <f t="shared" si="2"/>
        <v>#VALUE!</v>
      </c>
    </row>
    <row r="9439" spans="1:9" ht="15.75" customHeight="1">
      <c r="A9439" s="26"/>
      <c r="B9439" s="2"/>
      <c r="C9439" s="26"/>
      <c r="D9439" s="26"/>
      <c r="F9439" s="85" t="str">
        <f t="shared" si="0"/>
        <v/>
      </c>
      <c r="G9439" s="1" t="e">
        <f>IF(VALUE(F9439) = VALUE(RIGHT(Insights!$C$3, 4)), E9439, "")</f>
        <v>#VALUE!</v>
      </c>
      <c r="H9439" s="26" t="e">
        <f t="shared" si="1"/>
        <v>#VALUE!</v>
      </c>
      <c r="I9439" s="1" t="e">
        <f t="shared" si="2"/>
        <v>#VALUE!</v>
      </c>
    </row>
    <row r="9440" spans="1:9" ht="15.75" customHeight="1">
      <c r="A9440" s="26"/>
      <c r="B9440" s="2"/>
      <c r="C9440" s="26"/>
      <c r="D9440" s="26"/>
      <c r="F9440" s="85" t="str">
        <f t="shared" si="0"/>
        <v/>
      </c>
      <c r="G9440" s="1" t="e">
        <f>IF(VALUE(F9440) = VALUE(RIGHT(Insights!$C$3, 4)), E9440, "")</f>
        <v>#VALUE!</v>
      </c>
      <c r="H9440" s="26" t="e">
        <f t="shared" si="1"/>
        <v>#VALUE!</v>
      </c>
      <c r="I9440" s="1" t="e">
        <f t="shared" si="2"/>
        <v>#VALUE!</v>
      </c>
    </row>
    <row r="9441" spans="1:9" ht="15.75" customHeight="1">
      <c r="A9441" s="26"/>
      <c r="B9441" s="2"/>
      <c r="C9441" s="26"/>
      <c r="D9441" s="26"/>
      <c r="F9441" s="85" t="str">
        <f t="shared" si="0"/>
        <v/>
      </c>
      <c r="G9441" s="1" t="e">
        <f>IF(VALUE(F9441) = VALUE(RIGHT(Insights!$C$3, 4)), E9441, "")</f>
        <v>#VALUE!</v>
      </c>
      <c r="H9441" s="26" t="e">
        <f t="shared" si="1"/>
        <v>#VALUE!</v>
      </c>
      <c r="I9441" s="1" t="e">
        <f t="shared" si="2"/>
        <v>#VALUE!</v>
      </c>
    </row>
    <row r="9442" spans="1:9" ht="15.75" customHeight="1">
      <c r="A9442" s="26"/>
      <c r="B9442" s="2"/>
      <c r="C9442" s="26"/>
      <c r="D9442" s="26"/>
      <c r="F9442" s="85" t="str">
        <f t="shared" si="0"/>
        <v/>
      </c>
      <c r="G9442" s="1" t="e">
        <f>IF(VALUE(F9442) = VALUE(RIGHT(Insights!$C$3, 4)), E9442, "")</f>
        <v>#VALUE!</v>
      </c>
      <c r="H9442" s="26" t="e">
        <f t="shared" si="1"/>
        <v>#VALUE!</v>
      </c>
      <c r="I9442" s="1" t="e">
        <f t="shared" si="2"/>
        <v>#VALUE!</v>
      </c>
    </row>
    <row r="9443" spans="1:9" ht="15.75" customHeight="1">
      <c r="A9443" s="26"/>
      <c r="B9443" s="2"/>
      <c r="C9443" s="26"/>
      <c r="D9443" s="26"/>
      <c r="F9443" s="85" t="str">
        <f t="shared" si="0"/>
        <v/>
      </c>
      <c r="G9443" s="1" t="e">
        <f>IF(VALUE(F9443) = VALUE(RIGHT(Insights!$C$3, 4)), E9443, "")</f>
        <v>#VALUE!</v>
      </c>
      <c r="H9443" s="26" t="e">
        <f t="shared" si="1"/>
        <v>#VALUE!</v>
      </c>
      <c r="I9443" s="1" t="e">
        <f t="shared" si="2"/>
        <v>#VALUE!</v>
      </c>
    </row>
    <row r="9444" spans="1:9" ht="15.75" customHeight="1">
      <c r="A9444" s="26"/>
      <c r="B9444" s="2"/>
      <c r="C9444" s="26"/>
      <c r="D9444" s="26"/>
      <c r="F9444" s="85" t="str">
        <f t="shared" si="0"/>
        <v/>
      </c>
      <c r="G9444" s="1" t="e">
        <f>IF(VALUE(F9444) = VALUE(RIGHT(Insights!$C$3, 4)), E9444, "")</f>
        <v>#VALUE!</v>
      </c>
      <c r="H9444" s="26" t="e">
        <f t="shared" si="1"/>
        <v>#VALUE!</v>
      </c>
      <c r="I9444" s="1" t="e">
        <f t="shared" si="2"/>
        <v>#VALUE!</v>
      </c>
    </row>
    <row r="9445" spans="1:9" ht="15.75" customHeight="1">
      <c r="A9445" s="26"/>
      <c r="B9445" s="2"/>
      <c r="C9445" s="26"/>
      <c r="D9445" s="26"/>
      <c r="F9445" s="85" t="str">
        <f t="shared" si="0"/>
        <v/>
      </c>
      <c r="G9445" s="1" t="e">
        <f>IF(VALUE(F9445) = VALUE(RIGHT(Insights!$C$3, 4)), E9445, "")</f>
        <v>#VALUE!</v>
      </c>
      <c r="H9445" s="26" t="e">
        <f t="shared" si="1"/>
        <v>#VALUE!</v>
      </c>
      <c r="I9445" s="1" t="e">
        <f t="shared" si="2"/>
        <v>#VALUE!</v>
      </c>
    </row>
    <row r="9446" spans="1:9" ht="15.75" customHeight="1">
      <c r="A9446" s="26"/>
      <c r="B9446" s="2"/>
      <c r="C9446" s="26"/>
      <c r="D9446" s="26"/>
      <c r="F9446" s="85" t="str">
        <f t="shared" si="0"/>
        <v/>
      </c>
      <c r="G9446" s="1" t="e">
        <f>IF(VALUE(F9446) = VALUE(RIGHT(Insights!$C$3, 4)), E9446, "")</f>
        <v>#VALUE!</v>
      </c>
      <c r="H9446" s="26" t="e">
        <f t="shared" si="1"/>
        <v>#VALUE!</v>
      </c>
      <c r="I9446" s="1" t="e">
        <f t="shared" si="2"/>
        <v>#VALUE!</v>
      </c>
    </row>
    <row r="9447" spans="1:9" ht="15.75" customHeight="1">
      <c r="A9447" s="26"/>
      <c r="B9447" s="2"/>
      <c r="C9447" s="26"/>
      <c r="D9447" s="26"/>
      <c r="F9447" s="85" t="str">
        <f t="shared" si="0"/>
        <v/>
      </c>
      <c r="G9447" s="1" t="e">
        <f>IF(VALUE(F9447) = VALUE(RIGHT(Insights!$C$3, 4)), E9447, "")</f>
        <v>#VALUE!</v>
      </c>
      <c r="H9447" s="26" t="e">
        <f t="shared" si="1"/>
        <v>#VALUE!</v>
      </c>
      <c r="I9447" s="1" t="e">
        <f t="shared" si="2"/>
        <v>#VALUE!</v>
      </c>
    </row>
    <row r="9448" spans="1:9" ht="15.75" customHeight="1">
      <c r="A9448" s="26"/>
      <c r="B9448" s="2"/>
      <c r="C9448" s="26"/>
      <c r="D9448" s="26"/>
      <c r="F9448" s="85" t="str">
        <f t="shared" si="0"/>
        <v/>
      </c>
      <c r="G9448" s="1" t="e">
        <f>IF(VALUE(F9448) = VALUE(RIGHT(Insights!$C$3, 4)), E9448, "")</f>
        <v>#VALUE!</v>
      </c>
      <c r="H9448" s="26" t="e">
        <f t="shared" si="1"/>
        <v>#VALUE!</v>
      </c>
      <c r="I9448" s="1" t="e">
        <f t="shared" si="2"/>
        <v>#VALUE!</v>
      </c>
    </row>
    <row r="9449" spans="1:9" ht="15.75" customHeight="1">
      <c r="A9449" s="26"/>
      <c r="B9449" s="2"/>
      <c r="C9449" s="26"/>
      <c r="D9449" s="26"/>
      <c r="F9449" s="85" t="str">
        <f t="shared" si="0"/>
        <v/>
      </c>
      <c r="G9449" s="1" t="e">
        <f>IF(VALUE(F9449) = VALUE(RIGHT(Insights!$C$3, 4)), E9449, "")</f>
        <v>#VALUE!</v>
      </c>
      <c r="H9449" s="26" t="e">
        <f t="shared" si="1"/>
        <v>#VALUE!</v>
      </c>
      <c r="I9449" s="1" t="e">
        <f t="shared" si="2"/>
        <v>#VALUE!</v>
      </c>
    </row>
    <row r="9450" spans="1:9" ht="15.75" customHeight="1">
      <c r="A9450" s="26"/>
      <c r="B9450" s="2"/>
      <c r="C9450" s="26"/>
      <c r="D9450" s="26"/>
      <c r="F9450" s="85" t="str">
        <f t="shared" si="0"/>
        <v/>
      </c>
      <c r="G9450" s="1" t="e">
        <f>IF(VALUE(F9450) = VALUE(RIGHT(Insights!$C$3, 4)), E9450, "")</f>
        <v>#VALUE!</v>
      </c>
      <c r="H9450" s="26" t="e">
        <f t="shared" si="1"/>
        <v>#VALUE!</v>
      </c>
      <c r="I9450" s="1" t="e">
        <f t="shared" si="2"/>
        <v>#VALUE!</v>
      </c>
    </row>
    <row r="9451" spans="1:9" ht="15.75" customHeight="1">
      <c r="A9451" s="26"/>
      <c r="B9451" s="2"/>
      <c r="C9451" s="26"/>
      <c r="D9451" s="26"/>
      <c r="F9451" s="85" t="str">
        <f t="shared" si="0"/>
        <v/>
      </c>
      <c r="G9451" s="1" t="e">
        <f>IF(VALUE(F9451) = VALUE(RIGHT(Insights!$C$3, 4)), E9451, "")</f>
        <v>#VALUE!</v>
      </c>
      <c r="H9451" s="26" t="e">
        <f t="shared" si="1"/>
        <v>#VALUE!</v>
      </c>
      <c r="I9451" s="1" t="e">
        <f t="shared" si="2"/>
        <v>#VALUE!</v>
      </c>
    </row>
    <row r="9452" spans="1:9" ht="15.75" customHeight="1">
      <c r="A9452" s="26"/>
      <c r="B9452" s="2"/>
      <c r="C9452" s="26"/>
      <c r="D9452" s="26"/>
      <c r="F9452" s="85" t="str">
        <f t="shared" si="0"/>
        <v/>
      </c>
      <c r="G9452" s="1" t="e">
        <f>IF(VALUE(F9452) = VALUE(RIGHT(Insights!$C$3, 4)), E9452, "")</f>
        <v>#VALUE!</v>
      </c>
      <c r="H9452" s="26" t="e">
        <f t="shared" si="1"/>
        <v>#VALUE!</v>
      </c>
      <c r="I9452" s="1" t="e">
        <f t="shared" si="2"/>
        <v>#VALUE!</v>
      </c>
    </row>
    <row r="9453" spans="1:9" ht="15.75" customHeight="1">
      <c r="A9453" s="26"/>
      <c r="B9453" s="2"/>
      <c r="C9453" s="26"/>
      <c r="D9453" s="26"/>
      <c r="F9453" s="85" t="str">
        <f t="shared" si="0"/>
        <v/>
      </c>
      <c r="G9453" s="1" t="e">
        <f>IF(VALUE(F9453) = VALUE(RIGHT(Insights!$C$3, 4)), E9453, "")</f>
        <v>#VALUE!</v>
      </c>
      <c r="H9453" s="26" t="e">
        <f t="shared" si="1"/>
        <v>#VALUE!</v>
      </c>
      <c r="I9453" s="1" t="e">
        <f t="shared" si="2"/>
        <v>#VALUE!</v>
      </c>
    </row>
    <row r="9454" spans="1:9" ht="15.75" customHeight="1">
      <c r="A9454" s="26"/>
      <c r="B9454" s="2"/>
      <c r="C9454" s="26"/>
      <c r="D9454" s="26"/>
      <c r="F9454" s="85" t="str">
        <f t="shared" si="0"/>
        <v/>
      </c>
      <c r="G9454" s="1" t="e">
        <f>IF(VALUE(F9454) = VALUE(RIGHT(Insights!$C$3, 4)), E9454, "")</f>
        <v>#VALUE!</v>
      </c>
      <c r="H9454" s="26" t="e">
        <f t="shared" si="1"/>
        <v>#VALUE!</v>
      </c>
      <c r="I9454" s="1" t="e">
        <f t="shared" si="2"/>
        <v>#VALUE!</v>
      </c>
    </row>
    <row r="9455" spans="1:9" ht="15.75" customHeight="1">
      <c r="A9455" s="26"/>
      <c r="B9455" s="2"/>
      <c r="C9455" s="26"/>
      <c r="D9455" s="26"/>
      <c r="F9455" s="85" t="str">
        <f t="shared" si="0"/>
        <v/>
      </c>
      <c r="G9455" s="1" t="e">
        <f>IF(VALUE(F9455) = VALUE(RIGHT(Insights!$C$3, 4)), E9455, "")</f>
        <v>#VALUE!</v>
      </c>
      <c r="H9455" s="26" t="e">
        <f t="shared" si="1"/>
        <v>#VALUE!</v>
      </c>
      <c r="I9455" s="1" t="e">
        <f t="shared" si="2"/>
        <v>#VALUE!</v>
      </c>
    </row>
    <row r="9456" spans="1:9" ht="15.75" customHeight="1">
      <c r="A9456" s="26"/>
      <c r="B9456" s="2"/>
      <c r="C9456" s="26"/>
      <c r="D9456" s="26"/>
      <c r="F9456" s="85" t="str">
        <f t="shared" si="0"/>
        <v/>
      </c>
      <c r="G9456" s="1" t="e">
        <f>IF(VALUE(F9456) = VALUE(RIGHT(Insights!$C$3, 4)), E9456, "")</f>
        <v>#VALUE!</v>
      </c>
      <c r="H9456" s="26" t="e">
        <f t="shared" si="1"/>
        <v>#VALUE!</v>
      </c>
      <c r="I9456" s="1" t="e">
        <f t="shared" si="2"/>
        <v>#VALUE!</v>
      </c>
    </row>
    <row r="9457" spans="1:9" ht="15.75" customHeight="1">
      <c r="A9457" s="26"/>
      <c r="B9457" s="2"/>
      <c r="C9457" s="26"/>
      <c r="D9457" s="26"/>
      <c r="F9457" s="85" t="str">
        <f t="shared" si="0"/>
        <v/>
      </c>
      <c r="G9457" s="1" t="e">
        <f>IF(VALUE(F9457) = VALUE(RIGHT(Insights!$C$3, 4)), E9457, "")</f>
        <v>#VALUE!</v>
      </c>
      <c r="H9457" s="26" t="e">
        <f t="shared" si="1"/>
        <v>#VALUE!</v>
      </c>
      <c r="I9457" s="1" t="e">
        <f t="shared" si="2"/>
        <v>#VALUE!</v>
      </c>
    </row>
    <row r="9458" spans="1:9" ht="15.75" customHeight="1">
      <c r="A9458" s="26"/>
      <c r="B9458" s="2"/>
      <c r="C9458" s="26"/>
      <c r="D9458" s="26"/>
      <c r="F9458" s="85" t="str">
        <f t="shared" si="0"/>
        <v/>
      </c>
      <c r="G9458" s="1" t="e">
        <f>IF(VALUE(F9458) = VALUE(RIGHT(Insights!$C$3, 4)), E9458, "")</f>
        <v>#VALUE!</v>
      </c>
      <c r="H9458" s="26" t="e">
        <f t="shared" si="1"/>
        <v>#VALUE!</v>
      </c>
      <c r="I9458" s="1" t="e">
        <f t="shared" si="2"/>
        <v>#VALUE!</v>
      </c>
    </row>
    <row r="9459" spans="1:9" ht="15.75" customHeight="1">
      <c r="A9459" s="26"/>
      <c r="B9459" s="2"/>
      <c r="C9459" s="26"/>
      <c r="D9459" s="26"/>
      <c r="F9459" s="85" t="str">
        <f t="shared" si="0"/>
        <v/>
      </c>
      <c r="G9459" s="1" t="e">
        <f>IF(VALUE(F9459) = VALUE(RIGHT(Insights!$C$3, 4)), E9459, "")</f>
        <v>#VALUE!</v>
      </c>
      <c r="H9459" s="26" t="e">
        <f t="shared" si="1"/>
        <v>#VALUE!</v>
      </c>
      <c r="I9459" s="1" t="e">
        <f t="shared" si="2"/>
        <v>#VALUE!</v>
      </c>
    </row>
    <row r="9460" spans="1:9" ht="15.75" customHeight="1">
      <c r="A9460" s="26"/>
      <c r="B9460" s="2"/>
      <c r="C9460" s="26"/>
      <c r="D9460" s="26"/>
      <c r="F9460" s="85" t="str">
        <f t="shared" si="0"/>
        <v/>
      </c>
      <c r="G9460" s="1" t="e">
        <f>IF(VALUE(F9460) = VALUE(RIGHT(Insights!$C$3, 4)), E9460, "")</f>
        <v>#VALUE!</v>
      </c>
      <c r="H9460" s="26" t="e">
        <f t="shared" si="1"/>
        <v>#VALUE!</v>
      </c>
      <c r="I9460" s="1" t="e">
        <f t="shared" si="2"/>
        <v>#VALUE!</v>
      </c>
    </row>
    <row r="9461" spans="1:9" ht="15.75" customHeight="1">
      <c r="A9461" s="26"/>
      <c r="B9461" s="2"/>
      <c r="C9461" s="26"/>
      <c r="D9461" s="26"/>
      <c r="F9461" s="85" t="str">
        <f t="shared" si="0"/>
        <v/>
      </c>
      <c r="G9461" s="1" t="e">
        <f>IF(VALUE(F9461) = VALUE(RIGHT(Insights!$C$3, 4)), E9461, "")</f>
        <v>#VALUE!</v>
      </c>
      <c r="H9461" s="26" t="e">
        <f t="shared" si="1"/>
        <v>#VALUE!</v>
      </c>
      <c r="I9461" s="1" t="e">
        <f t="shared" si="2"/>
        <v>#VALUE!</v>
      </c>
    </row>
    <row r="9462" spans="1:9" ht="15.75" customHeight="1">
      <c r="A9462" s="26"/>
      <c r="B9462" s="2"/>
      <c r="C9462" s="26"/>
      <c r="D9462" s="26"/>
      <c r="F9462" s="85" t="str">
        <f t="shared" si="0"/>
        <v/>
      </c>
      <c r="G9462" s="1" t="e">
        <f>IF(VALUE(F9462) = VALUE(RIGHT(Insights!$C$3, 4)), E9462, "")</f>
        <v>#VALUE!</v>
      </c>
      <c r="H9462" s="26" t="e">
        <f t="shared" si="1"/>
        <v>#VALUE!</v>
      </c>
      <c r="I9462" s="1" t="e">
        <f t="shared" si="2"/>
        <v>#VALUE!</v>
      </c>
    </row>
    <row r="9463" spans="1:9" ht="15.75" customHeight="1">
      <c r="A9463" s="26"/>
      <c r="B9463" s="2"/>
      <c r="C9463" s="26"/>
      <c r="D9463" s="26"/>
      <c r="F9463" s="85" t="str">
        <f t="shared" si="0"/>
        <v/>
      </c>
      <c r="G9463" s="1" t="e">
        <f>IF(VALUE(F9463) = VALUE(RIGHT(Insights!$C$3, 4)), E9463, "")</f>
        <v>#VALUE!</v>
      </c>
      <c r="H9463" s="26" t="e">
        <f t="shared" si="1"/>
        <v>#VALUE!</v>
      </c>
      <c r="I9463" s="1" t="e">
        <f t="shared" si="2"/>
        <v>#VALUE!</v>
      </c>
    </row>
    <row r="9464" spans="1:9" ht="15.75" customHeight="1">
      <c r="A9464" s="26"/>
      <c r="B9464" s="2"/>
      <c r="C9464" s="26"/>
      <c r="D9464" s="26"/>
      <c r="F9464" s="85" t="str">
        <f t="shared" si="0"/>
        <v/>
      </c>
      <c r="G9464" s="1" t="e">
        <f>IF(VALUE(F9464) = VALUE(RIGHT(Insights!$C$3, 4)), E9464, "")</f>
        <v>#VALUE!</v>
      </c>
      <c r="H9464" s="26" t="e">
        <f t="shared" si="1"/>
        <v>#VALUE!</v>
      </c>
      <c r="I9464" s="1" t="e">
        <f t="shared" si="2"/>
        <v>#VALUE!</v>
      </c>
    </row>
    <row r="9465" spans="1:9" ht="15.75" customHeight="1">
      <c r="A9465" s="26"/>
      <c r="B9465" s="2"/>
      <c r="C9465" s="26"/>
      <c r="D9465" s="26"/>
      <c r="F9465" s="85" t="str">
        <f t="shared" si="0"/>
        <v/>
      </c>
      <c r="G9465" s="1" t="e">
        <f>IF(VALUE(F9465) = VALUE(RIGHT(Insights!$C$3, 4)), E9465, "")</f>
        <v>#VALUE!</v>
      </c>
      <c r="H9465" s="26" t="e">
        <f t="shared" si="1"/>
        <v>#VALUE!</v>
      </c>
      <c r="I9465" s="1" t="e">
        <f t="shared" si="2"/>
        <v>#VALUE!</v>
      </c>
    </row>
    <row r="9466" spans="1:9" ht="15.75" customHeight="1">
      <c r="A9466" s="26"/>
      <c r="B9466" s="2"/>
      <c r="C9466" s="26"/>
      <c r="D9466" s="26"/>
      <c r="F9466" s="85" t="str">
        <f t="shared" si="0"/>
        <v/>
      </c>
      <c r="G9466" s="1" t="e">
        <f>IF(VALUE(F9466) = VALUE(RIGHT(Insights!$C$3, 4)), E9466, "")</f>
        <v>#VALUE!</v>
      </c>
      <c r="H9466" s="26" t="e">
        <f t="shared" si="1"/>
        <v>#VALUE!</v>
      </c>
      <c r="I9466" s="1" t="e">
        <f t="shared" si="2"/>
        <v>#VALUE!</v>
      </c>
    </row>
    <row r="9467" spans="1:9" ht="15.75" customHeight="1">
      <c r="A9467" s="26"/>
      <c r="B9467" s="2"/>
      <c r="C9467" s="26"/>
      <c r="D9467" s="26"/>
      <c r="F9467" s="85" t="str">
        <f t="shared" si="0"/>
        <v/>
      </c>
      <c r="G9467" s="1" t="e">
        <f>IF(VALUE(F9467) = VALUE(RIGHT(Insights!$C$3, 4)), E9467, "")</f>
        <v>#VALUE!</v>
      </c>
      <c r="H9467" s="26" t="e">
        <f t="shared" si="1"/>
        <v>#VALUE!</v>
      </c>
      <c r="I9467" s="1" t="e">
        <f t="shared" si="2"/>
        <v>#VALUE!</v>
      </c>
    </row>
    <row r="9468" spans="1:9" ht="15.75" customHeight="1">
      <c r="A9468" s="26"/>
      <c r="B9468" s="2"/>
      <c r="C9468" s="26"/>
      <c r="D9468" s="26"/>
      <c r="F9468" s="85" t="str">
        <f t="shared" si="0"/>
        <v/>
      </c>
      <c r="G9468" s="1" t="e">
        <f>IF(VALUE(F9468) = VALUE(RIGHT(Insights!$C$3, 4)), E9468, "")</f>
        <v>#VALUE!</v>
      </c>
      <c r="H9468" s="26" t="e">
        <f t="shared" si="1"/>
        <v>#VALUE!</v>
      </c>
      <c r="I9468" s="1" t="e">
        <f t="shared" si="2"/>
        <v>#VALUE!</v>
      </c>
    </row>
    <row r="9469" spans="1:9" ht="15.75" customHeight="1">
      <c r="A9469" s="26"/>
      <c r="B9469" s="2"/>
      <c r="C9469" s="26"/>
      <c r="D9469" s="26"/>
      <c r="F9469" s="85" t="str">
        <f t="shared" si="0"/>
        <v/>
      </c>
      <c r="G9469" s="1" t="e">
        <f>IF(VALUE(F9469) = VALUE(RIGHT(Insights!$C$3, 4)), E9469, "")</f>
        <v>#VALUE!</v>
      </c>
      <c r="H9469" s="26" t="e">
        <f t="shared" si="1"/>
        <v>#VALUE!</v>
      </c>
      <c r="I9469" s="1" t="e">
        <f t="shared" si="2"/>
        <v>#VALUE!</v>
      </c>
    </row>
    <row r="9470" spans="1:9" ht="15.75" customHeight="1">
      <c r="A9470" s="26"/>
      <c r="B9470" s="2"/>
      <c r="C9470" s="26"/>
      <c r="D9470" s="26"/>
      <c r="F9470" s="85" t="str">
        <f t="shared" si="0"/>
        <v/>
      </c>
      <c r="G9470" s="1" t="e">
        <f>IF(VALUE(F9470) = VALUE(RIGHT(Insights!$C$3, 4)), E9470, "")</f>
        <v>#VALUE!</v>
      </c>
      <c r="H9470" s="26" t="e">
        <f t="shared" si="1"/>
        <v>#VALUE!</v>
      </c>
      <c r="I9470" s="1" t="e">
        <f t="shared" si="2"/>
        <v>#VALUE!</v>
      </c>
    </row>
    <row r="9471" spans="1:9" ht="15.75" customHeight="1">
      <c r="A9471" s="26"/>
      <c r="B9471" s="2"/>
      <c r="C9471" s="26"/>
      <c r="D9471" s="26"/>
      <c r="F9471" s="85" t="str">
        <f t="shared" si="0"/>
        <v/>
      </c>
      <c r="G9471" s="1" t="e">
        <f>IF(VALUE(F9471) = VALUE(RIGHT(Insights!$C$3, 4)), E9471, "")</f>
        <v>#VALUE!</v>
      </c>
      <c r="H9471" s="26" t="e">
        <f t="shared" si="1"/>
        <v>#VALUE!</v>
      </c>
      <c r="I9471" s="1" t="e">
        <f t="shared" si="2"/>
        <v>#VALUE!</v>
      </c>
    </row>
    <row r="9472" spans="1:9" ht="15.75" customHeight="1">
      <c r="A9472" s="26"/>
      <c r="B9472" s="2"/>
      <c r="C9472" s="26"/>
      <c r="D9472" s="26"/>
      <c r="F9472" s="85" t="str">
        <f t="shared" si="0"/>
        <v/>
      </c>
      <c r="G9472" s="1" t="e">
        <f>IF(VALUE(F9472) = VALUE(RIGHT(Insights!$C$3, 4)), E9472, "")</f>
        <v>#VALUE!</v>
      </c>
      <c r="H9472" s="26" t="e">
        <f t="shared" si="1"/>
        <v>#VALUE!</v>
      </c>
      <c r="I9472" s="1" t="e">
        <f t="shared" si="2"/>
        <v>#VALUE!</v>
      </c>
    </row>
    <row r="9473" spans="1:9" ht="15.75" customHeight="1">
      <c r="A9473" s="26"/>
      <c r="B9473" s="2"/>
      <c r="C9473" s="26"/>
      <c r="D9473" s="26"/>
      <c r="F9473" s="85" t="str">
        <f t="shared" si="0"/>
        <v/>
      </c>
      <c r="G9473" s="1" t="e">
        <f>IF(VALUE(F9473) = VALUE(RIGHT(Insights!$C$3, 4)), E9473, "")</f>
        <v>#VALUE!</v>
      </c>
      <c r="H9473" s="26" t="e">
        <f t="shared" si="1"/>
        <v>#VALUE!</v>
      </c>
      <c r="I9473" s="1" t="e">
        <f t="shared" si="2"/>
        <v>#VALUE!</v>
      </c>
    </row>
    <row r="9474" spans="1:9" ht="15.75" customHeight="1">
      <c r="A9474" s="26"/>
      <c r="B9474" s="2"/>
      <c r="C9474" s="26"/>
      <c r="D9474" s="26"/>
      <c r="F9474" s="85" t="str">
        <f t="shared" si="0"/>
        <v/>
      </c>
      <c r="G9474" s="1" t="e">
        <f>IF(VALUE(F9474) = VALUE(RIGHT(Insights!$C$3, 4)), E9474, "")</f>
        <v>#VALUE!</v>
      </c>
      <c r="H9474" s="26" t="e">
        <f t="shared" si="1"/>
        <v>#VALUE!</v>
      </c>
      <c r="I9474" s="1" t="e">
        <f t="shared" si="2"/>
        <v>#VALUE!</v>
      </c>
    </row>
    <row r="9475" spans="1:9" ht="15.75" customHeight="1">
      <c r="A9475" s="26"/>
      <c r="B9475" s="2"/>
      <c r="C9475" s="26"/>
      <c r="D9475" s="26"/>
      <c r="F9475" s="85" t="str">
        <f t="shared" si="0"/>
        <v/>
      </c>
      <c r="G9475" s="1" t="e">
        <f>IF(VALUE(F9475) = VALUE(RIGHT(Insights!$C$3, 4)), E9475, "")</f>
        <v>#VALUE!</v>
      </c>
      <c r="H9475" s="26" t="e">
        <f t="shared" si="1"/>
        <v>#VALUE!</v>
      </c>
      <c r="I9475" s="1" t="e">
        <f t="shared" si="2"/>
        <v>#VALUE!</v>
      </c>
    </row>
    <row r="9476" spans="1:9" ht="15.75" customHeight="1">
      <c r="A9476" s="26"/>
      <c r="B9476" s="2"/>
      <c r="C9476" s="26"/>
      <c r="D9476" s="26"/>
      <c r="F9476" s="85" t="str">
        <f t="shared" si="0"/>
        <v/>
      </c>
      <c r="G9476" s="1" t="e">
        <f>IF(VALUE(F9476) = VALUE(RIGHT(Insights!$C$3, 4)), E9476, "")</f>
        <v>#VALUE!</v>
      </c>
      <c r="H9476" s="26" t="e">
        <f t="shared" si="1"/>
        <v>#VALUE!</v>
      </c>
      <c r="I9476" s="1" t="e">
        <f t="shared" si="2"/>
        <v>#VALUE!</v>
      </c>
    </row>
    <row r="9477" spans="1:9" ht="15.75" customHeight="1">
      <c r="A9477" s="26"/>
      <c r="B9477" s="2"/>
      <c r="C9477" s="26"/>
      <c r="D9477" s="26"/>
      <c r="F9477" s="85" t="str">
        <f t="shared" si="0"/>
        <v/>
      </c>
      <c r="G9477" s="1" t="e">
        <f>IF(VALUE(F9477) = VALUE(RIGHT(Insights!$C$3, 4)), E9477, "")</f>
        <v>#VALUE!</v>
      </c>
      <c r="H9477" s="26" t="e">
        <f t="shared" si="1"/>
        <v>#VALUE!</v>
      </c>
      <c r="I9477" s="1" t="e">
        <f t="shared" si="2"/>
        <v>#VALUE!</v>
      </c>
    </row>
    <row r="9478" spans="1:9" ht="15.75" customHeight="1">
      <c r="A9478" s="26"/>
      <c r="B9478" s="2"/>
      <c r="C9478" s="26"/>
      <c r="D9478" s="26"/>
      <c r="F9478" s="85" t="str">
        <f t="shared" si="0"/>
        <v/>
      </c>
      <c r="G9478" s="1" t="e">
        <f>IF(VALUE(F9478) = VALUE(RIGHT(Insights!$C$3, 4)), E9478, "")</f>
        <v>#VALUE!</v>
      </c>
      <c r="H9478" s="26" t="e">
        <f t="shared" si="1"/>
        <v>#VALUE!</v>
      </c>
      <c r="I9478" s="1" t="e">
        <f t="shared" si="2"/>
        <v>#VALUE!</v>
      </c>
    </row>
    <row r="9479" spans="1:9" ht="15.75" customHeight="1">
      <c r="A9479" s="26"/>
      <c r="B9479" s="2"/>
      <c r="C9479" s="26"/>
      <c r="D9479" s="26"/>
      <c r="F9479" s="85" t="str">
        <f t="shared" si="0"/>
        <v/>
      </c>
      <c r="G9479" s="1" t="e">
        <f>IF(VALUE(F9479) = VALUE(RIGHT(Insights!$C$3, 4)), E9479, "")</f>
        <v>#VALUE!</v>
      </c>
      <c r="H9479" s="26" t="e">
        <f t="shared" si="1"/>
        <v>#VALUE!</v>
      </c>
      <c r="I9479" s="1" t="e">
        <f t="shared" si="2"/>
        <v>#VALUE!</v>
      </c>
    </row>
    <row r="9480" spans="1:9" ht="15.75" customHeight="1">
      <c r="A9480" s="26"/>
      <c r="B9480" s="2"/>
      <c r="C9480" s="26"/>
      <c r="D9480" s="26"/>
      <c r="F9480" s="85" t="str">
        <f t="shared" si="0"/>
        <v/>
      </c>
      <c r="G9480" s="1" t="e">
        <f>IF(VALUE(F9480) = VALUE(RIGHT(Insights!$C$3, 4)), E9480, "")</f>
        <v>#VALUE!</v>
      </c>
      <c r="H9480" s="26" t="e">
        <f t="shared" si="1"/>
        <v>#VALUE!</v>
      </c>
      <c r="I9480" s="1" t="e">
        <f t="shared" si="2"/>
        <v>#VALUE!</v>
      </c>
    </row>
    <row r="9481" spans="1:9" ht="15.75" customHeight="1">
      <c r="A9481" s="26"/>
      <c r="B9481" s="2"/>
      <c r="C9481" s="26"/>
      <c r="D9481" s="26"/>
      <c r="F9481" s="85" t="str">
        <f t="shared" si="0"/>
        <v/>
      </c>
      <c r="G9481" s="1" t="e">
        <f>IF(VALUE(F9481) = VALUE(RIGHT(Insights!$C$3, 4)), E9481, "")</f>
        <v>#VALUE!</v>
      </c>
      <c r="H9481" s="26" t="e">
        <f t="shared" si="1"/>
        <v>#VALUE!</v>
      </c>
      <c r="I9481" s="1" t="e">
        <f t="shared" si="2"/>
        <v>#VALUE!</v>
      </c>
    </row>
    <row r="9482" spans="1:9" ht="15.75" customHeight="1">
      <c r="A9482" s="26"/>
      <c r="B9482" s="2"/>
      <c r="C9482" s="26"/>
      <c r="D9482" s="26"/>
      <c r="F9482" s="85" t="str">
        <f t="shared" si="0"/>
        <v/>
      </c>
      <c r="G9482" s="1" t="e">
        <f>IF(VALUE(F9482) = VALUE(RIGHT(Insights!$C$3, 4)), E9482, "")</f>
        <v>#VALUE!</v>
      </c>
      <c r="H9482" s="26" t="e">
        <f t="shared" si="1"/>
        <v>#VALUE!</v>
      </c>
      <c r="I9482" s="1" t="e">
        <f t="shared" si="2"/>
        <v>#VALUE!</v>
      </c>
    </row>
    <row r="9483" spans="1:9" ht="15.75" customHeight="1">
      <c r="A9483" s="26"/>
      <c r="B9483" s="2"/>
      <c r="C9483" s="26"/>
      <c r="D9483" s="26"/>
      <c r="F9483" s="85" t="str">
        <f t="shared" si="0"/>
        <v/>
      </c>
      <c r="G9483" s="1" t="e">
        <f>IF(VALUE(F9483) = VALUE(RIGHT(Insights!$C$3, 4)), E9483, "")</f>
        <v>#VALUE!</v>
      </c>
      <c r="H9483" s="26" t="e">
        <f t="shared" si="1"/>
        <v>#VALUE!</v>
      </c>
      <c r="I9483" s="1" t="e">
        <f t="shared" si="2"/>
        <v>#VALUE!</v>
      </c>
    </row>
    <row r="9484" spans="1:9" ht="15.75" customHeight="1">
      <c r="A9484" s="26"/>
      <c r="B9484" s="2"/>
      <c r="C9484" s="26"/>
      <c r="D9484" s="26"/>
      <c r="F9484" s="85" t="str">
        <f t="shared" si="0"/>
        <v/>
      </c>
      <c r="G9484" s="1" t="e">
        <f>IF(VALUE(F9484) = VALUE(RIGHT(Insights!$C$3, 4)), E9484, "")</f>
        <v>#VALUE!</v>
      </c>
      <c r="H9484" s="26" t="e">
        <f t="shared" si="1"/>
        <v>#VALUE!</v>
      </c>
      <c r="I9484" s="1" t="e">
        <f t="shared" si="2"/>
        <v>#VALUE!</v>
      </c>
    </row>
    <row r="9485" spans="1:9" ht="15.75" customHeight="1">
      <c r="A9485" s="26"/>
      <c r="B9485" s="2"/>
      <c r="C9485" s="26"/>
      <c r="D9485" s="26"/>
      <c r="F9485" s="85" t="str">
        <f t="shared" si="0"/>
        <v/>
      </c>
      <c r="G9485" s="1" t="e">
        <f>IF(VALUE(F9485) = VALUE(RIGHT(Insights!$C$3, 4)), E9485, "")</f>
        <v>#VALUE!</v>
      </c>
      <c r="H9485" s="26" t="e">
        <f t="shared" si="1"/>
        <v>#VALUE!</v>
      </c>
      <c r="I9485" s="1" t="e">
        <f t="shared" si="2"/>
        <v>#VALUE!</v>
      </c>
    </row>
    <row r="9486" spans="1:9" ht="15.75" customHeight="1">
      <c r="A9486" s="26"/>
      <c r="B9486" s="2"/>
      <c r="C9486" s="26"/>
      <c r="D9486" s="26"/>
      <c r="F9486" s="85" t="str">
        <f t="shared" si="0"/>
        <v/>
      </c>
      <c r="G9486" s="1" t="e">
        <f>IF(VALUE(F9486) = VALUE(RIGHT(Insights!$C$3, 4)), E9486, "")</f>
        <v>#VALUE!</v>
      </c>
      <c r="H9486" s="26" t="e">
        <f t="shared" si="1"/>
        <v>#VALUE!</v>
      </c>
      <c r="I9486" s="1" t="e">
        <f t="shared" si="2"/>
        <v>#VALUE!</v>
      </c>
    </row>
    <row r="9487" spans="1:9" ht="15.75" customHeight="1">
      <c r="A9487" s="26"/>
      <c r="B9487" s="2"/>
      <c r="C9487" s="26"/>
      <c r="D9487" s="26"/>
      <c r="F9487" s="85" t="str">
        <f t="shared" si="0"/>
        <v/>
      </c>
      <c r="G9487" s="1" t="e">
        <f>IF(VALUE(F9487) = VALUE(RIGHT(Insights!$C$3, 4)), E9487, "")</f>
        <v>#VALUE!</v>
      </c>
      <c r="H9487" s="26" t="e">
        <f t="shared" si="1"/>
        <v>#VALUE!</v>
      </c>
      <c r="I9487" s="1" t="e">
        <f t="shared" si="2"/>
        <v>#VALUE!</v>
      </c>
    </row>
    <row r="9488" spans="1:9" ht="15.75" customHeight="1">
      <c r="A9488" s="26"/>
      <c r="B9488" s="2"/>
      <c r="C9488" s="26"/>
      <c r="D9488" s="26"/>
      <c r="F9488" s="85" t="str">
        <f t="shared" si="0"/>
        <v/>
      </c>
      <c r="G9488" s="1" t="e">
        <f>IF(VALUE(F9488) = VALUE(RIGHT(Insights!$C$3, 4)), E9488, "")</f>
        <v>#VALUE!</v>
      </c>
      <c r="H9488" s="26" t="e">
        <f t="shared" si="1"/>
        <v>#VALUE!</v>
      </c>
      <c r="I9488" s="1" t="e">
        <f t="shared" si="2"/>
        <v>#VALUE!</v>
      </c>
    </row>
    <row r="9489" spans="1:9" ht="15.75" customHeight="1">
      <c r="A9489" s="26"/>
      <c r="B9489" s="2"/>
      <c r="C9489" s="26"/>
      <c r="D9489" s="26"/>
      <c r="F9489" s="85" t="str">
        <f t="shared" si="0"/>
        <v/>
      </c>
      <c r="G9489" s="1" t="e">
        <f>IF(VALUE(F9489) = VALUE(RIGHT(Insights!$C$3, 4)), E9489, "")</f>
        <v>#VALUE!</v>
      </c>
      <c r="H9489" s="26" t="e">
        <f t="shared" si="1"/>
        <v>#VALUE!</v>
      </c>
      <c r="I9489" s="1" t="e">
        <f t="shared" si="2"/>
        <v>#VALUE!</v>
      </c>
    </row>
    <row r="9490" spans="1:9" ht="15.75" customHeight="1">
      <c r="A9490" s="26"/>
      <c r="B9490" s="2"/>
      <c r="C9490" s="26"/>
      <c r="D9490" s="26"/>
      <c r="F9490" s="85" t="str">
        <f t="shared" si="0"/>
        <v/>
      </c>
      <c r="G9490" s="1" t="e">
        <f>IF(VALUE(F9490) = VALUE(RIGHT(Insights!$C$3, 4)), E9490, "")</f>
        <v>#VALUE!</v>
      </c>
      <c r="H9490" s="26" t="e">
        <f t="shared" si="1"/>
        <v>#VALUE!</v>
      </c>
      <c r="I9490" s="1" t="e">
        <f t="shared" si="2"/>
        <v>#VALUE!</v>
      </c>
    </row>
    <row r="9491" spans="1:9" ht="15.75" customHeight="1">
      <c r="A9491" s="26"/>
      <c r="B9491" s="2"/>
      <c r="C9491" s="26"/>
      <c r="D9491" s="26"/>
      <c r="F9491" s="85" t="str">
        <f t="shared" si="0"/>
        <v/>
      </c>
      <c r="G9491" s="1" t="e">
        <f>IF(VALUE(F9491) = VALUE(RIGHT(Insights!$C$3, 4)), E9491, "")</f>
        <v>#VALUE!</v>
      </c>
      <c r="H9491" s="26" t="e">
        <f t="shared" si="1"/>
        <v>#VALUE!</v>
      </c>
      <c r="I9491" s="1" t="e">
        <f t="shared" si="2"/>
        <v>#VALUE!</v>
      </c>
    </row>
    <row r="9492" spans="1:9" ht="15.75" customHeight="1">
      <c r="A9492" s="26"/>
      <c r="B9492" s="2"/>
      <c r="C9492" s="26"/>
      <c r="D9492" s="26"/>
      <c r="F9492" s="85" t="str">
        <f t="shared" si="0"/>
        <v/>
      </c>
      <c r="G9492" s="1" t="e">
        <f>IF(VALUE(F9492) = VALUE(RIGHT(Insights!$C$3, 4)), E9492, "")</f>
        <v>#VALUE!</v>
      </c>
      <c r="H9492" s="26" t="e">
        <f t="shared" si="1"/>
        <v>#VALUE!</v>
      </c>
      <c r="I9492" s="1" t="e">
        <f t="shared" si="2"/>
        <v>#VALUE!</v>
      </c>
    </row>
    <row r="9493" spans="1:9" ht="15.75" customHeight="1">
      <c r="A9493" s="26"/>
      <c r="B9493" s="2"/>
      <c r="C9493" s="26"/>
      <c r="D9493" s="26"/>
      <c r="F9493" s="85" t="str">
        <f t="shared" si="0"/>
        <v/>
      </c>
      <c r="G9493" s="1" t="e">
        <f>IF(VALUE(F9493) = VALUE(RIGHT(Insights!$C$3, 4)), E9493, "")</f>
        <v>#VALUE!</v>
      </c>
      <c r="H9493" s="26" t="e">
        <f t="shared" si="1"/>
        <v>#VALUE!</v>
      </c>
      <c r="I9493" s="1" t="e">
        <f t="shared" si="2"/>
        <v>#VALUE!</v>
      </c>
    </row>
    <row r="9494" spans="1:9" ht="15.75" customHeight="1">
      <c r="A9494" s="26"/>
      <c r="B9494" s="2"/>
      <c r="C9494" s="26"/>
      <c r="D9494" s="26"/>
      <c r="F9494" s="85" t="str">
        <f t="shared" si="0"/>
        <v/>
      </c>
      <c r="G9494" s="1" t="e">
        <f>IF(VALUE(F9494) = VALUE(RIGHT(Insights!$C$3, 4)), E9494, "")</f>
        <v>#VALUE!</v>
      </c>
      <c r="H9494" s="26" t="e">
        <f t="shared" si="1"/>
        <v>#VALUE!</v>
      </c>
      <c r="I9494" s="1" t="e">
        <f t="shared" si="2"/>
        <v>#VALUE!</v>
      </c>
    </row>
    <row r="9495" spans="1:9" ht="15.75" customHeight="1">
      <c r="A9495" s="26"/>
      <c r="B9495" s="2"/>
      <c r="C9495" s="26"/>
      <c r="D9495" s="26"/>
      <c r="F9495" s="85" t="str">
        <f t="shared" si="0"/>
        <v/>
      </c>
      <c r="G9495" s="1" t="e">
        <f>IF(VALUE(F9495) = VALUE(RIGHT(Insights!$C$3, 4)), E9495, "")</f>
        <v>#VALUE!</v>
      </c>
      <c r="H9495" s="26" t="e">
        <f t="shared" si="1"/>
        <v>#VALUE!</v>
      </c>
      <c r="I9495" s="1" t="e">
        <f t="shared" si="2"/>
        <v>#VALUE!</v>
      </c>
    </row>
    <row r="9496" spans="1:9" ht="15.75" customHeight="1">
      <c r="A9496" s="26"/>
      <c r="B9496" s="2"/>
      <c r="C9496" s="26"/>
      <c r="D9496" s="26"/>
      <c r="F9496" s="85" t="str">
        <f t="shared" si="0"/>
        <v/>
      </c>
      <c r="G9496" s="1" t="e">
        <f>IF(VALUE(F9496) = VALUE(RIGHT(Insights!$C$3, 4)), E9496, "")</f>
        <v>#VALUE!</v>
      </c>
      <c r="H9496" s="26" t="e">
        <f t="shared" si="1"/>
        <v>#VALUE!</v>
      </c>
      <c r="I9496" s="1" t="e">
        <f t="shared" si="2"/>
        <v>#VALUE!</v>
      </c>
    </row>
    <row r="9497" spans="1:9" ht="15.75" customHeight="1">
      <c r="A9497" s="26"/>
      <c r="B9497" s="2"/>
      <c r="C9497" s="26"/>
      <c r="D9497" s="26"/>
      <c r="F9497" s="85" t="str">
        <f t="shared" si="0"/>
        <v/>
      </c>
      <c r="G9497" s="1" t="e">
        <f>IF(VALUE(F9497) = VALUE(RIGHT(Insights!$C$3, 4)), E9497, "")</f>
        <v>#VALUE!</v>
      </c>
      <c r="H9497" s="26" t="e">
        <f t="shared" si="1"/>
        <v>#VALUE!</v>
      </c>
      <c r="I9497" s="1" t="e">
        <f t="shared" si="2"/>
        <v>#VALUE!</v>
      </c>
    </row>
    <row r="9498" spans="1:9" ht="15.75" customHeight="1">
      <c r="A9498" s="26"/>
      <c r="B9498" s="2"/>
      <c r="C9498" s="26"/>
      <c r="D9498" s="26"/>
      <c r="F9498" s="85" t="str">
        <f t="shared" si="0"/>
        <v/>
      </c>
      <c r="G9498" s="1" t="e">
        <f>IF(VALUE(F9498) = VALUE(RIGHT(Insights!$C$3, 4)), E9498, "")</f>
        <v>#VALUE!</v>
      </c>
      <c r="H9498" s="26" t="e">
        <f t="shared" si="1"/>
        <v>#VALUE!</v>
      </c>
      <c r="I9498" s="1" t="e">
        <f t="shared" si="2"/>
        <v>#VALUE!</v>
      </c>
    </row>
    <row r="9499" spans="1:9" ht="15.75" customHeight="1">
      <c r="A9499" s="26"/>
      <c r="B9499" s="2"/>
      <c r="C9499" s="26"/>
      <c r="D9499" s="26"/>
      <c r="F9499" s="85" t="str">
        <f t="shared" si="0"/>
        <v/>
      </c>
      <c r="G9499" s="1" t="e">
        <f>IF(VALUE(F9499) = VALUE(RIGHT(Insights!$C$3, 4)), E9499, "")</f>
        <v>#VALUE!</v>
      </c>
      <c r="H9499" s="26" t="e">
        <f t="shared" si="1"/>
        <v>#VALUE!</v>
      </c>
      <c r="I9499" s="1" t="e">
        <f t="shared" si="2"/>
        <v>#VALUE!</v>
      </c>
    </row>
    <row r="9500" spans="1:9" ht="15.75" customHeight="1">
      <c r="A9500" s="26"/>
      <c r="B9500" s="2"/>
      <c r="C9500" s="26"/>
      <c r="D9500" s="26"/>
      <c r="F9500" s="85" t="str">
        <f t="shared" si="0"/>
        <v/>
      </c>
      <c r="G9500" s="1" t="e">
        <f>IF(VALUE(F9500) = VALUE(RIGHT(Insights!$C$3, 4)), E9500, "")</f>
        <v>#VALUE!</v>
      </c>
      <c r="H9500" s="26" t="e">
        <f t="shared" si="1"/>
        <v>#VALUE!</v>
      </c>
      <c r="I9500" s="1" t="e">
        <f t="shared" si="2"/>
        <v>#VALUE!</v>
      </c>
    </row>
    <row r="9501" spans="1:9" ht="15.75" customHeight="1">
      <c r="A9501" s="26"/>
      <c r="B9501" s="2"/>
      <c r="C9501" s="26"/>
      <c r="D9501" s="26"/>
      <c r="F9501" s="85" t="str">
        <f t="shared" si="0"/>
        <v/>
      </c>
      <c r="G9501" s="1" t="e">
        <f>IF(VALUE(F9501) = VALUE(RIGHT(Insights!$C$3, 4)), E9501, "")</f>
        <v>#VALUE!</v>
      </c>
      <c r="H9501" s="26" t="e">
        <f t="shared" si="1"/>
        <v>#VALUE!</v>
      </c>
      <c r="I9501" s="1" t="e">
        <f t="shared" si="2"/>
        <v>#VALUE!</v>
      </c>
    </row>
    <row r="9502" spans="1:9" ht="15.75" customHeight="1">
      <c r="A9502" s="26"/>
      <c r="B9502" s="2"/>
      <c r="C9502" s="26"/>
      <c r="D9502" s="26"/>
      <c r="F9502" s="85" t="str">
        <f t="shared" si="0"/>
        <v/>
      </c>
      <c r="G9502" s="1" t="e">
        <f>IF(VALUE(F9502) = VALUE(RIGHT(Insights!$C$3, 4)), E9502, "")</f>
        <v>#VALUE!</v>
      </c>
      <c r="H9502" s="26" t="e">
        <f t="shared" si="1"/>
        <v>#VALUE!</v>
      </c>
      <c r="I9502" s="1" t="e">
        <f t="shared" si="2"/>
        <v>#VALUE!</v>
      </c>
    </row>
    <row r="9503" spans="1:9" ht="15.75" customHeight="1">
      <c r="A9503" s="26"/>
      <c r="B9503" s="2"/>
      <c r="C9503" s="26"/>
      <c r="D9503" s="26"/>
      <c r="F9503" s="85" t="str">
        <f t="shared" si="0"/>
        <v/>
      </c>
      <c r="G9503" s="1" t="e">
        <f>IF(VALUE(F9503) = VALUE(RIGHT(Insights!$C$3, 4)), E9503, "")</f>
        <v>#VALUE!</v>
      </c>
      <c r="H9503" s="26" t="e">
        <f t="shared" si="1"/>
        <v>#VALUE!</v>
      </c>
      <c r="I9503" s="1" t="e">
        <f t="shared" si="2"/>
        <v>#VALUE!</v>
      </c>
    </row>
    <row r="9504" spans="1:9" ht="15.75" customHeight="1">
      <c r="A9504" s="26"/>
      <c r="B9504" s="2"/>
      <c r="C9504" s="26"/>
      <c r="D9504" s="26"/>
      <c r="F9504" s="85" t="str">
        <f t="shared" si="0"/>
        <v/>
      </c>
      <c r="G9504" s="1" t="e">
        <f>IF(VALUE(F9504) = VALUE(RIGHT(Insights!$C$3, 4)), E9504, "")</f>
        <v>#VALUE!</v>
      </c>
      <c r="H9504" s="26" t="e">
        <f t="shared" si="1"/>
        <v>#VALUE!</v>
      </c>
      <c r="I9504" s="1" t="e">
        <f t="shared" si="2"/>
        <v>#VALUE!</v>
      </c>
    </row>
    <row r="9505" spans="1:9" ht="15.75" customHeight="1">
      <c r="A9505" s="26"/>
      <c r="B9505" s="2"/>
      <c r="C9505" s="26"/>
      <c r="D9505" s="26"/>
      <c r="F9505" s="85" t="str">
        <f t="shared" si="0"/>
        <v/>
      </c>
      <c r="G9505" s="1" t="e">
        <f>IF(VALUE(F9505) = VALUE(RIGHT(Insights!$C$3, 4)), E9505, "")</f>
        <v>#VALUE!</v>
      </c>
      <c r="H9505" s="26" t="e">
        <f t="shared" si="1"/>
        <v>#VALUE!</v>
      </c>
      <c r="I9505" s="1" t="e">
        <f t="shared" si="2"/>
        <v>#VALUE!</v>
      </c>
    </row>
    <row r="9506" spans="1:9" ht="15.75" customHeight="1">
      <c r="A9506" s="26"/>
      <c r="B9506" s="2"/>
      <c r="C9506" s="26"/>
      <c r="D9506" s="26"/>
      <c r="F9506" s="85" t="str">
        <f t="shared" si="0"/>
        <v/>
      </c>
      <c r="G9506" s="1" t="e">
        <f>IF(VALUE(F9506) = VALUE(RIGHT(Insights!$C$3, 4)), E9506, "")</f>
        <v>#VALUE!</v>
      </c>
      <c r="H9506" s="26" t="e">
        <f t="shared" si="1"/>
        <v>#VALUE!</v>
      </c>
      <c r="I9506" s="1" t="e">
        <f t="shared" si="2"/>
        <v>#VALUE!</v>
      </c>
    </row>
    <row r="9507" spans="1:9" ht="15.75" customHeight="1">
      <c r="A9507" s="26"/>
      <c r="B9507" s="2"/>
      <c r="C9507" s="26"/>
      <c r="D9507" s="26"/>
      <c r="F9507" s="85" t="str">
        <f t="shared" si="0"/>
        <v/>
      </c>
      <c r="G9507" s="1" t="e">
        <f>IF(VALUE(F9507) = VALUE(RIGHT(Insights!$C$3, 4)), E9507, "")</f>
        <v>#VALUE!</v>
      </c>
      <c r="H9507" s="26" t="e">
        <f t="shared" si="1"/>
        <v>#VALUE!</v>
      </c>
      <c r="I9507" s="1" t="e">
        <f t="shared" si="2"/>
        <v>#VALUE!</v>
      </c>
    </row>
    <row r="9508" spans="1:9" ht="15.75" customHeight="1">
      <c r="A9508" s="26"/>
      <c r="B9508" s="2"/>
      <c r="C9508" s="26"/>
      <c r="D9508" s="26"/>
      <c r="F9508" s="85" t="str">
        <f t="shared" si="0"/>
        <v/>
      </c>
      <c r="G9508" s="1" t="e">
        <f>IF(VALUE(F9508) = VALUE(RIGHT(Insights!$C$3, 4)), E9508, "")</f>
        <v>#VALUE!</v>
      </c>
      <c r="H9508" s="26" t="e">
        <f t="shared" si="1"/>
        <v>#VALUE!</v>
      </c>
      <c r="I9508" s="1" t="e">
        <f t="shared" si="2"/>
        <v>#VALUE!</v>
      </c>
    </row>
    <row r="9509" spans="1:9" ht="15.75" customHeight="1">
      <c r="A9509" s="26"/>
      <c r="B9509" s="2"/>
      <c r="C9509" s="26"/>
      <c r="D9509" s="26"/>
      <c r="F9509" s="85" t="str">
        <f t="shared" si="0"/>
        <v/>
      </c>
      <c r="G9509" s="1" t="e">
        <f>IF(VALUE(F9509) = VALUE(RIGHT(Insights!$C$3, 4)), E9509, "")</f>
        <v>#VALUE!</v>
      </c>
      <c r="H9509" s="26" t="e">
        <f t="shared" si="1"/>
        <v>#VALUE!</v>
      </c>
      <c r="I9509" s="1" t="e">
        <f t="shared" si="2"/>
        <v>#VALUE!</v>
      </c>
    </row>
    <row r="9510" spans="1:9" ht="15.75" customHeight="1">
      <c r="A9510" s="26"/>
      <c r="B9510" s="2"/>
      <c r="C9510" s="26"/>
      <c r="D9510" s="26"/>
      <c r="F9510" s="85" t="str">
        <f t="shared" si="0"/>
        <v/>
      </c>
      <c r="G9510" s="1" t="e">
        <f>IF(VALUE(F9510) = VALUE(RIGHT(Insights!$C$3, 4)), E9510, "")</f>
        <v>#VALUE!</v>
      </c>
      <c r="H9510" s="26" t="e">
        <f t="shared" si="1"/>
        <v>#VALUE!</v>
      </c>
      <c r="I9510" s="1" t="e">
        <f t="shared" si="2"/>
        <v>#VALUE!</v>
      </c>
    </row>
    <row r="9511" spans="1:9" ht="15.75" customHeight="1">
      <c r="A9511" s="26"/>
      <c r="B9511" s="2"/>
      <c r="C9511" s="26"/>
      <c r="D9511" s="26"/>
      <c r="F9511" s="85" t="str">
        <f t="shared" si="0"/>
        <v/>
      </c>
      <c r="G9511" s="1" t="e">
        <f>IF(VALUE(F9511) = VALUE(RIGHT(Insights!$C$3, 4)), E9511, "")</f>
        <v>#VALUE!</v>
      </c>
      <c r="H9511" s="26" t="e">
        <f t="shared" si="1"/>
        <v>#VALUE!</v>
      </c>
      <c r="I9511" s="1" t="e">
        <f t="shared" si="2"/>
        <v>#VALUE!</v>
      </c>
    </row>
    <row r="9512" spans="1:9" ht="15.75" customHeight="1">
      <c r="A9512" s="26"/>
      <c r="B9512" s="2"/>
      <c r="C9512" s="26"/>
      <c r="D9512" s="26"/>
      <c r="F9512" s="85" t="str">
        <f t="shared" si="0"/>
        <v/>
      </c>
      <c r="G9512" s="1" t="e">
        <f>IF(VALUE(F9512) = VALUE(RIGHT(Insights!$C$3, 4)), E9512, "")</f>
        <v>#VALUE!</v>
      </c>
      <c r="H9512" s="26" t="e">
        <f t="shared" si="1"/>
        <v>#VALUE!</v>
      </c>
      <c r="I9512" s="1" t="e">
        <f t="shared" si="2"/>
        <v>#VALUE!</v>
      </c>
    </row>
    <row r="9513" spans="1:9" ht="15.75" customHeight="1">
      <c r="A9513" s="26"/>
      <c r="B9513" s="2"/>
      <c r="C9513" s="26"/>
      <c r="D9513" s="26"/>
      <c r="F9513" s="85" t="str">
        <f t="shared" si="0"/>
        <v/>
      </c>
      <c r="G9513" s="1" t="e">
        <f>IF(VALUE(F9513) = VALUE(RIGHT(Insights!$C$3, 4)), E9513, "")</f>
        <v>#VALUE!</v>
      </c>
      <c r="H9513" s="26" t="e">
        <f t="shared" si="1"/>
        <v>#VALUE!</v>
      </c>
      <c r="I9513" s="1" t="e">
        <f t="shared" si="2"/>
        <v>#VALUE!</v>
      </c>
    </row>
    <row r="9514" spans="1:9" ht="15.75" customHeight="1">
      <c r="A9514" s="26"/>
      <c r="B9514" s="2"/>
      <c r="C9514" s="26"/>
      <c r="D9514" s="26"/>
      <c r="F9514" s="85" t="str">
        <f t="shared" si="0"/>
        <v/>
      </c>
      <c r="G9514" s="1" t="e">
        <f>IF(VALUE(F9514) = VALUE(RIGHT(Insights!$C$3, 4)), E9514, "")</f>
        <v>#VALUE!</v>
      </c>
      <c r="H9514" s="26" t="e">
        <f t="shared" si="1"/>
        <v>#VALUE!</v>
      </c>
      <c r="I9514" s="1" t="e">
        <f t="shared" si="2"/>
        <v>#VALUE!</v>
      </c>
    </row>
    <row r="9515" spans="1:9" ht="15.75" customHeight="1">
      <c r="A9515" s="26"/>
      <c r="B9515" s="2"/>
      <c r="C9515" s="26"/>
      <c r="D9515" s="26"/>
      <c r="F9515" s="85" t="str">
        <f t="shared" si="0"/>
        <v/>
      </c>
      <c r="G9515" s="1" t="e">
        <f>IF(VALUE(F9515) = VALUE(RIGHT(Insights!$C$3, 4)), E9515, "")</f>
        <v>#VALUE!</v>
      </c>
      <c r="H9515" s="26" t="e">
        <f t="shared" si="1"/>
        <v>#VALUE!</v>
      </c>
      <c r="I9515" s="1" t="e">
        <f t="shared" si="2"/>
        <v>#VALUE!</v>
      </c>
    </row>
    <row r="9516" spans="1:9" ht="15.75" customHeight="1">
      <c r="A9516" s="26"/>
      <c r="B9516" s="2"/>
      <c r="C9516" s="26"/>
      <c r="D9516" s="26"/>
      <c r="F9516" s="85" t="str">
        <f t="shared" si="0"/>
        <v/>
      </c>
      <c r="G9516" s="1" t="e">
        <f>IF(VALUE(F9516) = VALUE(RIGHT(Insights!$C$3, 4)), E9516, "")</f>
        <v>#VALUE!</v>
      </c>
      <c r="H9516" s="26" t="e">
        <f t="shared" si="1"/>
        <v>#VALUE!</v>
      </c>
      <c r="I9516" s="1" t="e">
        <f t="shared" si="2"/>
        <v>#VALUE!</v>
      </c>
    </row>
    <row r="9517" spans="1:9" ht="15.75" customHeight="1">
      <c r="A9517" s="26"/>
      <c r="B9517" s="2"/>
      <c r="C9517" s="26"/>
      <c r="D9517" s="26"/>
      <c r="F9517" s="85" t="str">
        <f t="shared" si="0"/>
        <v/>
      </c>
      <c r="G9517" s="1" t="e">
        <f>IF(VALUE(F9517) = VALUE(RIGHT(Insights!$C$3, 4)), E9517, "")</f>
        <v>#VALUE!</v>
      </c>
      <c r="H9517" s="26" t="e">
        <f t="shared" si="1"/>
        <v>#VALUE!</v>
      </c>
      <c r="I9517" s="1" t="e">
        <f t="shared" si="2"/>
        <v>#VALUE!</v>
      </c>
    </row>
    <row r="9518" spans="1:9" ht="15.75" customHeight="1">
      <c r="A9518" s="26"/>
      <c r="B9518" s="2"/>
      <c r="C9518" s="26"/>
      <c r="D9518" s="26"/>
      <c r="F9518" s="85" t="str">
        <f t="shared" si="0"/>
        <v/>
      </c>
      <c r="G9518" s="1" t="e">
        <f>IF(VALUE(F9518) = VALUE(RIGHT(Insights!$C$3, 4)), E9518, "")</f>
        <v>#VALUE!</v>
      </c>
      <c r="H9518" s="26" t="e">
        <f t="shared" si="1"/>
        <v>#VALUE!</v>
      </c>
      <c r="I9518" s="1" t="e">
        <f t="shared" si="2"/>
        <v>#VALUE!</v>
      </c>
    </row>
    <row r="9519" spans="1:9" ht="15.75" customHeight="1">
      <c r="A9519" s="26"/>
      <c r="B9519" s="2"/>
      <c r="C9519" s="26"/>
      <c r="D9519" s="26"/>
      <c r="F9519" s="85" t="str">
        <f t="shared" si="0"/>
        <v/>
      </c>
      <c r="G9519" s="1" t="e">
        <f>IF(VALUE(F9519) = VALUE(RIGHT(Insights!$C$3, 4)), E9519, "")</f>
        <v>#VALUE!</v>
      </c>
      <c r="H9519" s="26" t="e">
        <f t="shared" si="1"/>
        <v>#VALUE!</v>
      </c>
      <c r="I9519" s="1" t="e">
        <f t="shared" si="2"/>
        <v>#VALUE!</v>
      </c>
    </row>
    <row r="9520" spans="1:9" ht="15.75" customHeight="1">
      <c r="A9520" s="26"/>
      <c r="B9520" s="2"/>
      <c r="C9520" s="26"/>
      <c r="D9520" s="26"/>
      <c r="F9520" s="85" t="str">
        <f t="shared" si="0"/>
        <v/>
      </c>
      <c r="G9520" s="1" t="e">
        <f>IF(VALUE(F9520) = VALUE(RIGHT(Insights!$C$3, 4)), E9520, "")</f>
        <v>#VALUE!</v>
      </c>
      <c r="H9520" s="26" t="e">
        <f t="shared" si="1"/>
        <v>#VALUE!</v>
      </c>
      <c r="I9520" s="1" t="e">
        <f t="shared" si="2"/>
        <v>#VALUE!</v>
      </c>
    </row>
    <row r="9521" spans="1:9" ht="15.75" customHeight="1">
      <c r="A9521" s="26"/>
      <c r="B9521" s="2"/>
      <c r="C9521" s="26"/>
      <c r="D9521" s="26"/>
      <c r="F9521" s="85" t="str">
        <f t="shared" si="0"/>
        <v/>
      </c>
      <c r="G9521" s="1" t="e">
        <f>IF(VALUE(F9521) = VALUE(RIGHT(Insights!$C$3, 4)), E9521, "")</f>
        <v>#VALUE!</v>
      </c>
      <c r="H9521" s="26" t="e">
        <f t="shared" si="1"/>
        <v>#VALUE!</v>
      </c>
      <c r="I9521" s="1" t="e">
        <f t="shared" si="2"/>
        <v>#VALUE!</v>
      </c>
    </row>
    <row r="9522" spans="1:9" ht="15.75" customHeight="1">
      <c r="A9522" s="26"/>
      <c r="B9522" s="2"/>
      <c r="C9522" s="26"/>
      <c r="D9522" s="26"/>
      <c r="F9522" s="85" t="str">
        <f t="shared" si="0"/>
        <v/>
      </c>
      <c r="G9522" s="1" t="e">
        <f>IF(VALUE(F9522) = VALUE(RIGHT(Insights!$C$3, 4)), E9522, "")</f>
        <v>#VALUE!</v>
      </c>
      <c r="H9522" s="26" t="e">
        <f t="shared" si="1"/>
        <v>#VALUE!</v>
      </c>
      <c r="I9522" s="1" t="e">
        <f t="shared" si="2"/>
        <v>#VALUE!</v>
      </c>
    </row>
    <row r="9523" spans="1:9" ht="15.75" customHeight="1">
      <c r="A9523" s="26"/>
      <c r="B9523" s="2"/>
      <c r="C9523" s="26"/>
      <c r="D9523" s="26"/>
      <c r="F9523" s="85" t="str">
        <f t="shared" si="0"/>
        <v/>
      </c>
      <c r="G9523" s="1" t="e">
        <f>IF(VALUE(F9523) = VALUE(RIGHT(Insights!$C$3, 4)), E9523, "")</f>
        <v>#VALUE!</v>
      </c>
      <c r="H9523" s="26" t="e">
        <f t="shared" si="1"/>
        <v>#VALUE!</v>
      </c>
      <c r="I9523" s="1" t="e">
        <f t="shared" si="2"/>
        <v>#VALUE!</v>
      </c>
    </row>
    <row r="9524" spans="1:9" ht="15.75" customHeight="1">
      <c r="A9524" s="26"/>
      <c r="B9524" s="2"/>
      <c r="C9524" s="26"/>
      <c r="D9524" s="26"/>
      <c r="F9524" s="85" t="str">
        <f t="shared" si="0"/>
        <v/>
      </c>
      <c r="G9524" s="1" t="e">
        <f>IF(VALUE(F9524) = VALUE(RIGHT(Insights!$C$3, 4)), E9524, "")</f>
        <v>#VALUE!</v>
      </c>
      <c r="H9524" s="26" t="e">
        <f t="shared" si="1"/>
        <v>#VALUE!</v>
      </c>
      <c r="I9524" s="1" t="e">
        <f t="shared" si="2"/>
        <v>#VALUE!</v>
      </c>
    </row>
    <row r="9525" spans="1:9" ht="15.75" customHeight="1">
      <c r="A9525" s="26"/>
      <c r="B9525" s="2"/>
      <c r="C9525" s="26"/>
      <c r="D9525" s="26"/>
      <c r="F9525" s="85" t="str">
        <f t="shared" si="0"/>
        <v/>
      </c>
      <c r="G9525" s="1" t="e">
        <f>IF(VALUE(F9525) = VALUE(RIGHT(Insights!$C$3, 4)), E9525, "")</f>
        <v>#VALUE!</v>
      </c>
      <c r="H9525" s="26" t="e">
        <f t="shared" si="1"/>
        <v>#VALUE!</v>
      </c>
      <c r="I9525" s="1" t="e">
        <f t="shared" si="2"/>
        <v>#VALUE!</v>
      </c>
    </row>
    <row r="9526" spans="1:9" ht="15.75" customHeight="1">
      <c r="A9526" s="26"/>
      <c r="B9526" s="2"/>
      <c r="C9526" s="26"/>
      <c r="D9526" s="26"/>
      <c r="F9526" s="85" t="str">
        <f t="shared" si="0"/>
        <v/>
      </c>
      <c r="G9526" s="1" t="e">
        <f>IF(VALUE(F9526) = VALUE(RIGHT(Insights!$C$3, 4)), E9526, "")</f>
        <v>#VALUE!</v>
      </c>
      <c r="H9526" s="26" t="e">
        <f t="shared" si="1"/>
        <v>#VALUE!</v>
      </c>
      <c r="I9526" s="1" t="e">
        <f t="shared" si="2"/>
        <v>#VALUE!</v>
      </c>
    </row>
    <row r="9527" spans="1:9" ht="15.75" customHeight="1">
      <c r="A9527" s="26"/>
      <c r="B9527" s="2"/>
      <c r="C9527" s="26"/>
      <c r="D9527" s="26"/>
      <c r="F9527" s="85" t="str">
        <f t="shared" si="0"/>
        <v/>
      </c>
      <c r="G9527" s="1" t="e">
        <f>IF(VALUE(F9527) = VALUE(RIGHT(Insights!$C$3, 4)), E9527, "")</f>
        <v>#VALUE!</v>
      </c>
      <c r="H9527" s="26" t="e">
        <f t="shared" si="1"/>
        <v>#VALUE!</v>
      </c>
      <c r="I9527" s="1" t="e">
        <f t="shared" si="2"/>
        <v>#VALUE!</v>
      </c>
    </row>
    <row r="9528" spans="1:9" ht="15.75" customHeight="1">
      <c r="A9528" s="26"/>
      <c r="B9528" s="2"/>
      <c r="C9528" s="26"/>
      <c r="D9528" s="26"/>
      <c r="F9528" s="85" t="str">
        <f t="shared" si="0"/>
        <v/>
      </c>
      <c r="G9528" s="1" t="e">
        <f>IF(VALUE(F9528) = VALUE(RIGHT(Insights!$C$3, 4)), E9528, "")</f>
        <v>#VALUE!</v>
      </c>
      <c r="H9528" s="26" t="e">
        <f t="shared" si="1"/>
        <v>#VALUE!</v>
      </c>
      <c r="I9528" s="1" t="e">
        <f t="shared" si="2"/>
        <v>#VALUE!</v>
      </c>
    </row>
    <row r="9529" spans="1:9" ht="15.75" customHeight="1">
      <c r="A9529" s="26"/>
      <c r="B9529" s="2"/>
      <c r="C9529" s="26"/>
      <c r="D9529" s="26"/>
      <c r="F9529" s="85" t="str">
        <f t="shared" si="0"/>
        <v/>
      </c>
      <c r="G9529" s="1" t="e">
        <f>IF(VALUE(F9529) = VALUE(RIGHT(Insights!$C$3, 4)), E9529, "")</f>
        <v>#VALUE!</v>
      </c>
      <c r="H9529" s="26" t="e">
        <f t="shared" si="1"/>
        <v>#VALUE!</v>
      </c>
      <c r="I9529" s="1" t="e">
        <f t="shared" si="2"/>
        <v>#VALUE!</v>
      </c>
    </row>
    <row r="9530" spans="1:9" ht="15.75" customHeight="1">
      <c r="A9530" s="26"/>
      <c r="B9530" s="2"/>
      <c r="C9530" s="26"/>
      <c r="D9530" s="26"/>
      <c r="F9530" s="85" t="str">
        <f t="shared" si="0"/>
        <v/>
      </c>
      <c r="G9530" s="1" t="e">
        <f>IF(VALUE(F9530) = VALUE(RIGHT(Insights!$C$3, 4)), E9530, "")</f>
        <v>#VALUE!</v>
      </c>
      <c r="H9530" s="26" t="e">
        <f t="shared" si="1"/>
        <v>#VALUE!</v>
      </c>
      <c r="I9530" s="1" t="e">
        <f t="shared" si="2"/>
        <v>#VALUE!</v>
      </c>
    </row>
    <row r="9531" spans="1:9" ht="15.75" customHeight="1">
      <c r="A9531" s="26"/>
      <c r="B9531" s="2"/>
      <c r="C9531" s="26"/>
      <c r="D9531" s="26"/>
      <c r="F9531" s="85" t="str">
        <f t="shared" si="0"/>
        <v/>
      </c>
      <c r="G9531" s="1" t="e">
        <f>IF(VALUE(F9531) = VALUE(RIGHT(Insights!$C$3, 4)), E9531, "")</f>
        <v>#VALUE!</v>
      </c>
      <c r="H9531" s="26" t="e">
        <f t="shared" si="1"/>
        <v>#VALUE!</v>
      </c>
      <c r="I9531" s="1" t="e">
        <f t="shared" si="2"/>
        <v>#VALUE!</v>
      </c>
    </row>
    <row r="9532" spans="1:9" ht="15.75" customHeight="1">
      <c r="A9532" s="26"/>
      <c r="B9532" s="2"/>
      <c r="C9532" s="26"/>
      <c r="D9532" s="26"/>
      <c r="F9532" s="85" t="str">
        <f t="shared" si="0"/>
        <v/>
      </c>
      <c r="G9532" s="1" t="e">
        <f>IF(VALUE(F9532) = VALUE(RIGHT(Insights!$C$3, 4)), E9532, "")</f>
        <v>#VALUE!</v>
      </c>
      <c r="H9532" s="26" t="e">
        <f t="shared" si="1"/>
        <v>#VALUE!</v>
      </c>
      <c r="I9532" s="1" t="e">
        <f t="shared" si="2"/>
        <v>#VALUE!</v>
      </c>
    </row>
    <row r="9533" spans="1:9" ht="15.75" customHeight="1">
      <c r="A9533" s="26"/>
      <c r="B9533" s="2"/>
      <c r="C9533" s="26"/>
      <c r="D9533" s="26"/>
      <c r="F9533" s="85" t="str">
        <f t="shared" si="0"/>
        <v/>
      </c>
      <c r="G9533" s="1" t="e">
        <f>IF(VALUE(F9533) = VALUE(RIGHT(Insights!$C$3, 4)), E9533, "")</f>
        <v>#VALUE!</v>
      </c>
      <c r="H9533" s="26" t="e">
        <f t="shared" si="1"/>
        <v>#VALUE!</v>
      </c>
      <c r="I9533" s="1" t="e">
        <f t="shared" si="2"/>
        <v>#VALUE!</v>
      </c>
    </row>
    <row r="9534" spans="1:9" ht="15.75" customHeight="1">
      <c r="A9534" s="26"/>
      <c r="B9534" s="2"/>
      <c r="C9534" s="26"/>
      <c r="D9534" s="26"/>
      <c r="F9534" s="85" t="str">
        <f t="shared" si="0"/>
        <v/>
      </c>
      <c r="G9534" s="1" t="e">
        <f>IF(VALUE(F9534) = VALUE(RIGHT(Insights!$C$3, 4)), E9534, "")</f>
        <v>#VALUE!</v>
      </c>
      <c r="H9534" s="26" t="e">
        <f t="shared" si="1"/>
        <v>#VALUE!</v>
      </c>
      <c r="I9534" s="1" t="e">
        <f t="shared" si="2"/>
        <v>#VALUE!</v>
      </c>
    </row>
    <row r="9535" spans="1:9" ht="15.75" customHeight="1">
      <c r="A9535" s="26"/>
      <c r="B9535" s="2"/>
      <c r="C9535" s="26"/>
      <c r="D9535" s="26"/>
      <c r="F9535" s="85" t="str">
        <f t="shared" si="0"/>
        <v/>
      </c>
      <c r="G9535" s="1" t="e">
        <f>IF(VALUE(F9535) = VALUE(RIGHT(Insights!$C$3, 4)), E9535, "")</f>
        <v>#VALUE!</v>
      </c>
      <c r="H9535" s="26" t="e">
        <f t="shared" si="1"/>
        <v>#VALUE!</v>
      </c>
      <c r="I9535" s="1" t="e">
        <f t="shared" si="2"/>
        <v>#VALUE!</v>
      </c>
    </row>
    <row r="9536" spans="1:9" ht="15.75" customHeight="1">
      <c r="A9536" s="26"/>
      <c r="B9536" s="2"/>
      <c r="C9536" s="26"/>
      <c r="D9536" s="26"/>
      <c r="F9536" s="85" t="str">
        <f t="shared" si="0"/>
        <v/>
      </c>
      <c r="G9536" s="1" t="e">
        <f>IF(VALUE(F9536) = VALUE(RIGHT(Insights!$C$3, 4)), E9536, "")</f>
        <v>#VALUE!</v>
      </c>
      <c r="H9536" s="26" t="e">
        <f t="shared" si="1"/>
        <v>#VALUE!</v>
      </c>
      <c r="I9536" s="1" t="e">
        <f t="shared" si="2"/>
        <v>#VALUE!</v>
      </c>
    </row>
    <row r="9537" spans="1:9" ht="15.75" customHeight="1">
      <c r="A9537" s="26"/>
      <c r="B9537" s="2"/>
      <c r="C9537" s="26"/>
      <c r="D9537" s="26"/>
      <c r="F9537" s="85" t="str">
        <f t="shared" si="0"/>
        <v/>
      </c>
      <c r="G9537" s="1" t="e">
        <f>IF(VALUE(F9537) = VALUE(RIGHT(Insights!$C$3, 4)), E9537, "")</f>
        <v>#VALUE!</v>
      </c>
      <c r="H9537" s="26" t="e">
        <f t="shared" si="1"/>
        <v>#VALUE!</v>
      </c>
      <c r="I9537" s="1" t="e">
        <f t="shared" si="2"/>
        <v>#VALUE!</v>
      </c>
    </row>
    <row r="9538" spans="1:9" ht="15.75" customHeight="1">
      <c r="A9538" s="26"/>
      <c r="B9538" s="2"/>
      <c r="C9538" s="26"/>
      <c r="D9538" s="26"/>
      <c r="F9538" s="85" t="str">
        <f t="shared" si="0"/>
        <v/>
      </c>
      <c r="G9538" s="1" t="e">
        <f>IF(VALUE(F9538) = VALUE(RIGHT(Insights!$C$3, 4)), E9538, "")</f>
        <v>#VALUE!</v>
      </c>
      <c r="H9538" s="26" t="e">
        <f t="shared" si="1"/>
        <v>#VALUE!</v>
      </c>
      <c r="I9538" s="1" t="e">
        <f t="shared" si="2"/>
        <v>#VALUE!</v>
      </c>
    </row>
    <row r="9539" spans="1:9" ht="15.75" customHeight="1">
      <c r="A9539" s="26"/>
      <c r="B9539" s="2"/>
      <c r="C9539" s="26"/>
      <c r="D9539" s="26"/>
      <c r="F9539" s="85" t="str">
        <f t="shared" si="0"/>
        <v/>
      </c>
      <c r="G9539" s="1" t="e">
        <f>IF(VALUE(F9539) = VALUE(RIGHT(Insights!$C$3, 4)), E9539, "")</f>
        <v>#VALUE!</v>
      </c>
      <c r="H9539" s="26" t="e">
        <f t="shared" si="1"/>
        <v>#VALUE!</v>
      </c>
      <c r="I9539" s="1" t="e">
        <f t="shared" si="2"/>
        <v>#VALUE!</v>
      </c>
    </row>
    <row r="9540" spans="1:9" ht="15.75" customHeight="1">
      <c r="A9540" s="26"/>
      <c r="B9540" s="2"/>
      <c r="C9540" s="26"/>
      <c r="D9540" s="26"/>
      <c r="F9540" s="85" t="str">
        <f t="shared" si="0"/>
        <v/>
      </c>
      <c r="G9540" s="1" t="e">
        <f>IF(VALUE(F9540) = VALUE(RIGHT(Insights!$C$3, 4)), E9540, "")</f>
        <v>#VALUE!</v>
      </c>
      <c r="H9540" s="26" t="e">
        <f t="shared" si="1"/>
        <v>#VALUE!</v>
      </c>
      <c r="I9540" s="1" t="e">
        <f t="shared" si="2"/>
        <v>#VALUE!</v>
      </c>
    </row>
    <row r="9541" spans="1:9" ht="15.75" customHeight="1">
      <c r="A9541" s="26"/>
      <c r="B9541" s="2"/>
      <c r="C9541" s="26"/>
      <c r="D9541" s="26"/>
      <c r="F9541" s="85" t="str">
        <f t="shared" si="0"/>
        <v/>
      </c>
      <c r="G9541" s="1" t="e">
        <f>IF(VALUE(F9541) = VALUE(RIGHT(Insights!$C$3, 4)), E9541, "")</f>
        <v>#VALUE!</v>
      </c>
      <c r="H9541" s="26" t="e">
        <f t="shared" si="1"/>
        <v>#VALUE!</v>
      </c>
      <c r="I9541" s="1" t="e">
        <f t="shared" si="2"/>
        <v>#VALUE!</v>
      </c>
    </row>
    <row r="9542" spans="1:9" ht="15.75" customHeight="1">
      <c r="A9542" s="26"/>
      <c r="B9542" s="2"/>
      <c r="C9542" s="26"/>
      <c r="D9542" s="26"/>
      <c r="F9542" s="85" t="str">
        <f t="shared" si="0"/>
        <v/>
      </c>
      <c r="G9542" s="1" t="e">
        <f>IF(VALUE(F9542) = VALUE(RIGHT(Insights!$C$3, 4)), E9542, "")</f>
        <v>#VALUE!</v>
      </c>
      <c r="H9542" s="26" t="e">
        <f t="shared" si="1"/>
        <v>#VALUE!</v>
      </c>
      <c r="I9542" s="1" t="e">
        <f t="shared" si="2"/>
        <v>#VALUE!</v>
      </c>
    </row>
    <row r="9543" spans="1:9" ht="15.75" customHeight="1">
      <c r="A9543" s="26"/>
      <c r="B9543" s="2"/>
      <c r="C9543" s="26"/>
      <c r="D9543" s="26"/>
      <c r="F9543" s="85" t="str">
        <f t="shared" si="0"/>
        <v/>
      </c>
      <c r="G9543" s="1" t="e">
        <f>IF(VALUE(F9543) = VALUE(RIGHT(Insights!$C$3, 4)), E9543, "")</f>
        <v>#VALUE!</v>
      </c>
      <c r="H9543" s="26" t="e">
        <f t="shared" si="1"/>
        <v>#VALUE!</v>
      </c>
      <c r="I9543" s="1" t="e">
        <f t="shared" si="2"/>
        <v>#VALUE!</v>
      </c>
    </row>
    <row r="9544" spans="1:9" ht="15.75" customHeight="1">
      <c r="A9544" s="26"/>
      <c r="B9544" s="2"/>
      <c r="C9544" s="26"/>
      <c r="D9544" s="26"/>
      <c r="F9544" s="85" t="str">
        <f t="shared" si="0"/>
        <v/>
      </c>
      <c r="G9544" s="1" t="e">
        <f>IF(VALUE(F9544) = VALUE(RIGHT(Insights!$C$3, 4)), E9544, "")</f>
        <v>#VALUE!</v>
      </c>
      <c r="H9544" s="26" t="e">
        <f t="shared" si="1"/>
        <v>#VALUE!</v>
      </c>
      <c r="I9544" s="1" t="e">
        <f t="shared" si="2"/>
        <v>#VALUE!</v>
      </c>
    </row>
    <row r="9545" spans="1:9" ht="15.75" customHeight="1">
      <c r="A9545" s="26"/>
      <c r="B9545" s="2"/>
      <c r="C9545" s="26"/>
      <c r="D9545" s="26"/>
      <c r="F9545" s="85" t="str">
        <f t="shared" si="0"/>
        <v/>
      </c>
      <c r="G9545" s="1" t="e">
        <f>IF(VALUE(F9545) = VALUE(RIGHT(Insights!$C$3, 4)), E9545, "")</f>
        <v>#VALUE!</v>
      </c>
      <c r="H9545" s="26" t="e">
        <f t="shared" si="1"/>
        <v>#VALUE!</v>
      </c>
      <c r="I9545" s="1" t="e">
        <f t="shared" si="2"/>
        <v>#VALUE!</v>
      </c>
    </row>
    <row r="9546" spans="1:9" ht="15.75" customHeight="1">
      <c r="A9546" s="26"/>
      <c r="B9546" s="2"/>
      <c r="C9546" s="26"/>
      <c r="D9546" s="26"/>
      <c r="F9546" s="85" t="str">
        <f t="shared" si="0"/>
        <v/>
      </c>
      <c r="G9546" s="1" t="e">
        <f>IF(VALUE(F9546) = VALUE(RIGHT(Insights!$C$3, 4)), E9546, "")</f>
        <v>#VALUE!</v>
      </c>
      <c r="H9546" s="26" t="e">
        <f t="shared" si="1"/>
        <v>#VALUE!</v>
      </c>
      <c r="I9546" s="1" t="e">
        <f t="shared" si="2"/>
        <v>#VALUE!</v>
      </c>
    </row>
    <row r="9547" spans="1:9" ht="15.75" customHeight="1">
      <c r="A9547" s="26"/>
      <c r="B9547" s="2"/>
      <c r="C9547" s="26"/>
      <c r="D9547" s="26"/>
      <c r="F9547" s="85" t="str">
        <f t="shared" si="0"/>
        <v/>
      </c>
      <c r="G9547" s="1" t="e">
        <f>IF(VALUE(F9547) = VALUE(RIGHT(Insights!$C$3, 4)), E9547, "")</f>
        <v>#VALUE!</v>
      </c>
      <c r="H9547" s="26" t="e">
        <f t="shared" si="1"/>
        <v>#VALUE!</v>
      </c>
      <c r="I9547" s="1" t="e">
        <f t="shared" si="2"/>
        <v>#VALUE!</v>
      </c>
    </row>
    <row r="9548" spans="1:9" ht="15.75" customHeight="1">
      <c r="A9548" s="26"/>
      <c r="B9548" s="2"/>
      <c r="C9548" s="26"/>
      <c r="D9548" s="26"/>
      <c r="F9548" s="85" t="str">
        <f t="shared" si="0"/>
        <v/>
      </c>
      <c r="G9548" s="1" t="e">
        <f>IF(VALUE(F9548) = VALUE(RIGHT(Insights!$C$3, 4)), E9548, "")</f>
        <v>#VALUE!</v>
      </c>
      <c r="H9548" s="26" t="e">
        <f t="shared" si="1"/>
        <v>#VALUE!</v>
      </c>
      <c r="I9548" s="1" t="e">
        <f t="shared" si="2"/>
        <v>#VALUE!</v>
      </c>
    </row>
    <row r="9549" spans="1:9" ht="15.75" customHeight="1">
      <c r="A9549" s="26"/>
      <c r="B9549" s="2"/>
      <c r="C9549" s="26"/>
      <c r="D9549" s="26"/>
      <c r="F9549" s="85" t="str">
        <f t="shared" si="0"/>
        <v/>
      </c>
      <c r="G9549" s="1" t="e">
        <f>IF(VALUE(F9549) = VALUE(RIGHT(Insights!$C$3, 4)), E9549, "")</f>
        <v>#VALUE!</v>
      </c>
      <c r="H9549" s="26" t="e">
        <f t="shared" si="1"/>
        <v>#VALUE!</v>
      </c>
      <c r="I9549" s="1" t="e">
        <f t="shared" si="2"/>
        <v>#VALUE!</v>
      </c>
    </row>
    <row r="9550" spans="1:9" ht="15.75" customHeight="1">
      <c r="A9550" s="26"/>
      <c r="B9550" s="2"/>
      <c r="C9550" s="26"/>
      <c r="D9550" s="26"/>
      <c r="F9550" s="85" t="str">
        <f t="shared" si="0"/>
        <v/>
      </c>
      <c r="G9550" s="1" t="e">
        <f>IF(VALUE(F9550) = VALUE(RIGHT(Insights!$C$3, 4)), E9550, "")</f>
        <v>#VALUE!</v>
      </c>
      <c r="H9550" s="26" t="e">
        <f t="shared" si="1"/>
        <v>#VALUE!</v>
      </c>
      <c r="I9550" s="1" t="e">
        <f t="shared" si="2"/>
        <v>#VALUE!</v>
      </c>
    </row>
    <row r="9551" spans="1:9" ht="15.75" customHeight="1">
      <c r="A9551" s="26"/>
      <c r="B9551" s="2"/>
      <c r="C9551" s="26"/>
      <c r="D9551" s="26"/>
      <c r="F9551" s="85" t="str">
        <f t="shared" si="0"/>
        <v/>
      </c>
      <c r="G9551" s="1" t="e">
        <f>IF(VALUE(F9551) = VALUE(RIGHT(Insights!$C$3, 4)), E9551, "")</f>
        <v>#VALUE!</v>
      </c>
      <c r="H9551" s="26" t="e">
        <f t="shared" si="1"/>
        <v>#VALUE!</v>
      </c>
      <c r="I9551" s="1" t="e">
        <f t="shared" si="2"/>
        <v>#VALUE!</v>
      </c>
    </row>
    <row r="9552" spans="1:9" ht="15.75" customHeight="1">
      <c r="A9552" s="26"/>
      <c r="B9552" s="2"/>
      <c r="C9552" s="26"/>
      <c r="D9552" s="26"/>
      <c r="F9552" s="85" t="str">
        <f t="shared" si="0"/>
        <v/>
      </c>
      <c r="G9552" s="1" t="e">
        <f>IF(VALUE(F9552) = VALUE(RIGHT(Insights!$C$3, 4)), E9552, "")</f>
        <v>#VALUE!</v>
      </c>
      <c r="H9552" s="26" t="e">
        <f t="shared" si="1"/>
        <v>#VALUE!</v>
      </c>
      <c r="I9552" s="1" t="e">
        <f t="shared" si="2"/>
        <v>#VALUE!</v>
      </c>
    </row>
    <row r="9553" spans="1:9" ht="15.75" customHeight="1">
      <c r="A9553" s="26"/>
      <c r="B9553" s="2"/>
      <c r="C9553" s="26"/>
      <c r="D9553" s="26"/>
      <c r="F9553" s="85" t="str">
        <f t="shared" si="0"/>
        <v/>
      </c>
      <c r="G9553" s="1" t="e">
        <f>IF(VALUE(F9553) = VALUE(RIGHT(Insights!$C$3, 4)), E9553, "")</f>
        <v>#VALUE!</v>
      </c>
      <c r="H9553" s="26" t="e">
        <f t="shared" si="1"/>
        <v>#VALUE!</v>
      </c>
      <c r="I9553" s="1" t="e">
        <f t="shared" si="2"/>
        <v>#VALUE!</v>
      </c>
    </row>
    <row r="9554" spans="1:9" ht="15.75" customHeight="1">
      <c r="A9554" s="26"/>
      <c r="B9554" s="2"/>
      <c r="C9554" s="26"/>
      <c r="D9554" s="26"/>
      <c r="F9554" s="85" t="str">
        <f t="shared" si="0"/>
        <v/>
      </c>
      <c r="G9554" s="1" t="e">
        <f>IF(VALUE(F9554) = VALUE(RIGHT(Insights!$C$3, 4)), E9554, "")</f>
        <v>#VALUE!</v>
      </c>
      <c r="H9554" s="26" t="e">
        <f t="shared" si="1"/>
        <v>#VALUE!</v>
      </c>
      <c r="I9554" s="1" t="e">
        <f t="shared" si="2"/>
        <v>#VALUE!</v>
      </c>
    </row>
    <row r="9555" spans="1:9" ht="15.75" customHeight="1">
      <c r="A9555" s="26"/>
      <c r="B9555" s="2"/>
      <c r="C9555" s="26"/>
      <c r="D9555" s="26"/>
      <c r="F9555" s="85" t="str">
        <f t="shared" si="0"/>
        <v/>
      </c>
      <c r="G9555" s="1" t="e">
        <f>IF(VALUE(F9555) = VALUE(RIGHT(Insights!$C$3, 4)), E9555, "")</f>
        <v>#VALUE!</v>
      </c>
      <c r="H9555" s="26" t="e">
        <f t="shared" si="1"/>
        <v>#VALUE!</v>
      </c>
      <c r="I9555" s="1" t="e">
        <f t="shared" si="2"/>
        <v>#VALUE!</v>
      </c>
    </row>
    <row r="9556" spans="1:9" ht="15.75" customHeight="1">
      <c r="A9556" s="26"/>
      <c r="B9556" s="2"/>
      <c r="C9556" s="26"/>
      <c r="D9556" s="26"/>
      <c r="F9556" s="85" t="str">
        <f t="shared" si="0"/>
        <v/>
      </c>
      <c r="G9556" s="1" t="e">
        <f>IF(VALUE(F9556) = VALUE(RIGHT(Insights!$C$3, 4)), E9556, "")</f>
        <v>#VALUE!</v>
      </c>
      <c r="H9556" s="26" t="e">
        <f t="shared" si="1"/>
        <v>#VALUE!</v>
      </c>
      <c r="I9556" s="1" t="e">
        <f t="shared" si="2"/>
        <v>#VALUE!</v>
      </c>
    </row>
    <row r="9557" spans="1:9" ht="15.75" customHeight="1">
      <c r="A9557" s="26"/>
      <c r="B9557" s="2"/>
      <c r="C9557" s="26"/>
      <c r="D9557" s="26"/>
      <c r="F9557" s="85" t="str">
        <f t="shared" si="0"/>
        <v/>
      </c>
      <c r="G9557" s="1" t="e">
        <f>IF(VALUE(F9557) = VALUE(RIGHT(Insights!$C$3, 4)), E9557, "")</f>
        <v>#VALUE!</v>
      </c>
      <c r="H9557" s="26" t="e">
        <f t="shared" si="1"/>
        <v>#VALUE!</v>
      </c>
      <c r="I9557" s="1" t="e">
        <f t="shared" si="2"/>
        <v>#VALUE!</v>
      </c>
    </row>
    <row r="9558" spans="1:9" ht="15.75" customHeight="1">
      <c r="A9558" s="26"/>
      <c r="B9558" s="2"/>
      <c r="C9558" s="26"/>
      <c r="D9558" s="26"/>
      <c r="F9558" s="85" t="str">
        <f t="shared" si="0"/>
        <v/>
      </c>
      <c r="G9558" s="1" t="e">
        <f>IF(VALUE(F9558) = VALUE(RIGHT(Insights!$C$3, 4)), E9558, "")</f>
        <v>#VALUE!</v>
      </c>
      <c r="H9558" s="26" t="e">
        <f t="shared" si="1"/>
        <v>#VALUE!</v>
      </c>
      <c r="I9558" s="1" t="e">
        <f t="shared" si="2"/>
        <v>#VALUE!</v>
      </c>
    </row>
    <row r="9559" spans="1:9" ht="15.75" customHeight="1">
      <c r="A9559" s="26"/>
      <c r="B9559" s="2"/>
      <c r="C9559" s="26"/>
      <c r="D9559" s="26"/>
      <c r="F9559" s="85" t="str">
        <f t="shared" si="0"/>
        <v/>
      </c>
      <c r="G9559" s="1" t="e">
        <f>IF(VALUE(F9559) = VALUE(RIGHT(Insights!$C$3, 4)), E9559, "")</f>
        <v>#VALUE!</v>
      </c>
      <c r="H9559" s="26" t="e">
        <f t="shared" si="1"/>
        <v>#VALUE!</v>
      </c>
      <c r="I9559" s="1" t="e">
        <f t="shared" si="2"/>
        <v>#VALUE!</v>
      </c>
    </row>
    <row r="9560" spans="1:9" ht="15.75" customHeight="1">
      <c r="A9560" s="26"/>
      <c r="B9560" s="2"/>
      <c r="C9560" s="26"/>
      <c r="D9560" s="26"/>
      <c r="F9560" s="85" t="str">
        <f t="shared" si="0"/>
        <v/>
      </c>
      <c r="G9560" s="1" t="e">
        <f>IF(VALUE(F9560) = VALUE(RIGHT(Insights!$C$3, 4)), E9560, "")</f>
        <v>#VALUE!</v>
      </c>
      <c r="H9560" s="26" t="e">
        <f t="shared" si="1"/>
        <v>#VALUE!</v>
      </c>
      <c r="I9560" s="1" t="e">
        <f t="shared" si="2"/>
        <v>#VALUE!</v>
      </c>
    </row>
    <row r="9561" spans="1:9" ht="15.75" customHeight="1">
      <c r="A9561" s="26"/>
      <c r="B9561" s="2"/>
      <c r="C9561" s="26"/>
      <c r="D9561" s="26"/>
      <c r="F9561" s="85" t="str">
        <f t="shared" si="0"/>
        <v/>
      </c>
      <c r="G9561" s="1" t="e">
        <f>IF(VALUE(F9561) = VALUE(RIGHT(Insights!$C$3, 4)), E9561, "")</f>
        <v>#VALUE!</v>
      </c>
      <c r="H9561" s="26" t="e">
        <f t="shared" si="1"/>
        <v>#VALUE!</v>
      </c>
      <c r="I9561" s="1" t="e">
        <f t="shared" si="2"/>
        <v>#VALUE!</v>
      </c>
    </row>
    <row r="9562" spans="1:9" ht="15.75" customHeight="1">
      <c r="A9562" s="26"/>
      <c r="B9562" s="2"/>
      <c r="C9562" s="26"/>
      <c r="D9562" s="26"/>
      <c r="F9562" s="85" t="str">
        <f t="shared" si="0"/>
        <v/>
      </c>
      <c r="G9562" s="1" t="e">
        <f>IF(VALUE(F9562) = VALUE(RIGHT(Insights!$C$3, 4)), E9562, "")</f>
        <v>#VALUE!</v>
      </c>
      <c r="H9562" s="26" t="e">
        <f t="shared" si="1"/>
        <v>#VALUE!</v>
      </c>
      <c r="I9562" s="1" t="e">
        <f t="shared" si="2"/>
        <v>#VALUE!</v>
      </c>
    </row>
    <row r="9563" spans="1:9" ht="15.75" customHeight="1">
      <c r="A9563" s="26"/>
      <c r="B9563" s="2"/>
      <c r="C9563" s="26"/>
      <c r="D9563" s="26"/>
      <c r="F9563" s="85" t="str">
        <f t="shared" si="0"/>
        <v/>
      </c>
      <c r="G9563" s="1" t="e">
        <f>IF(VALUE(F9563) = VALUE(RIGHT(Insights!$C$3, 4)), E9563, "")</f>
        <v>#VALUE!</v>
      </c>
      <c r="H9563" s="26" t="e">
        <f t="shared" si="1"/>
        <v>#VALUE!</v>
      </c>
      <c r="I9563" s="1" t="e">
        <f t="shared" si="2"/>
        <v>#VALUE!</v>
      </c>
    </row>
    <row r="9564" spans="1:9" ht="15.75" customHeight="1">
      <c r="A9564" s="26"/>
      <c r="B9564" s="2"/>
      <c r="C9564" s="26"/>
      <c r="D9564" s="26"/>
      <c r="F9564" s="85" t="str">
        <f t="shared" si="0"/>
        <v/>
      </c>
      <c r="G9564" s="1" t="e">
        <f>IF(VALUE(F9564) = VALUE(RIGHT(Insights!$C$3, 4)), E9564, "")</f>
        <v>#VALUE!</v>
      </c>
      <c r="H9564" s="26" t="e">
        <f t="shared" si="1"/>
        <v>#VALUE!</v>
      </c>
      <c r="I9564" s="1" t="e">
        <f t="shared" si="2"/>
        <v>#VALUE!</v>
      </c>
    </row>
    <row r="9565" spans="1:9" ht="15.75" customHeight="1">
      <c r="A9565" s="26"/>
      <c r="B9565" s="2"/>
      <c r="C9565" s="26"/>
      <c r="D9565" s="26"/>
      <c r="F9565" s="85" t="str">
        <f t="shared" si="0"/>
        <v/>
      </c>
      <c r="G9565" s="1" t="e">
        <f>IF(VALUE(F9565) = VALUE(RIGHT(Insights!$C$3, 4)), E9565, "")</f>
        <v>#VALUE!</v>
      </c>
      <c r="H9565" s="26" t="e">
        <f t="shared" si="1"/>
        <v>#VALUE!</v>
      </c>
      <c r="I9565" s="1" t="e">
        <f t="shared" si="2"/>
        <v>#VALUE!</v>
      </c>
    </row>
    <row r="9566" spans="1:9" ht="15.75" customHeight="1">
      <c r="A9566" s="26"/>
      <c r="B9566" s="2"/>
      <c r="C9566" s="26"/>
      <c r="D9566" s="26"/>
      <c r="F9566" s="85" t="str">
        <f t="shared" si="0"/>
        <v/>
      </c>
      <c r="G9566" s="1" t="e">
        <f>IF(VALUE(F9566) = VALUE(RIGHT(Insights!$C$3, 4)), E9566, "")</f>
        <v>#VALUE!</v>
      </c>
      <c r="H9566" s="26" t="e">
        <f t="shared" si="1"/>
        <v>#VALUE!</v>
      </c>
      <c r="I9566" s="1" t="e">
        <f t="shared" si="2"/>
        <v>#VALUE!</v>
      </c>
    </row>
    <row r="9567" spans="1:9" ht="15.75" customHeight="1">
      <c r="A9567" s="26"/>
      <c r="B9567" s="2"/>
      <c r="C9567" s="26"/>
      <c r="D9567" s="26"/>
      <c r="F9567" s="85" t="str">
        <f t="shared" si="0"/>
        <v/>
      </c>
      <c r="G9567" s="1" t="e">
        <f>IF(VALUE(F9567) = VALUE(RIGHT(Insights!$C$3, 4)), E9567, "")</f>
        <v>#VALUE!</v>
      </c>
      <c r="H9567" s="26" t="e">
        <f t="shared" si="1"/>
        <v>#VALUE!</v>
      </c>
      <c r="I9567" s="1" t="e">
        <f t="shared" si="2"/>
        <v>#VALUE!</v>
      </c>
    </row>
    <row r="9568" spans="1:9" ht="15.75" customHeight="1">
      <c r="A9568" s="26"/>
      <c r="B9568" s="2"/>
      <c r="C9568" s="26"/>
      <c r="D9568" s="26"/>
      <c r="F9568" s="85" t="str">
        <f t="shared" si="0"/>
        <v/>
      </c>
      <c r="G9568" s="1" t="e">
        <f>IF(VALUE(F9568) = VALUE(RIGHT(Insights!$C$3, 4)), E9568, "")</f>
        <v>#VALUE!</v>
      </c>
      <c r="H9568" s="26" t="e">
        <f t="shared" si="1"/>
        <v>#VALUE!</v>
      </c>
      <c r="I9568" s="1" t="e">
        <f t="shared" si="2"/>
        <v>#VALUE!</v>
      </c>
    </row>
    <row r="9569" spans="1:9" ht="15.75" customHeight="1">
      <c r="A9569" s="26"/>
      <c r="B9569" s="2"/>
      <c r="C9569" s="26"/>
      <c r="D9569" s="26"/>
      <c r="F9569" s="85" t="str">
        <f t="shared" si="0"/>
        <v/>
      </c>
      <c r="G9569" s="1" t="e">
        <f>IF(VALUE(F9569) = VALUE(RIGHT(Insights!$C$3, 4)), E9569, "")</f>
        <v>#VALUE!</v>
      </c>
      <c r="H9569" s="26" t="e">
        <f t="shared" si="1"/>
        <v>#VALUE!</v>
      </c>
      <c r="I9569" s="1" t="e">
        <f t="shared" si="2"/>
        <v>#VALUE!</v>
      </c>
    </row>
    <row r="9570" spans="1:9" ht="15.75" customHeight="1">
      <c r="A9570" s="26"/>
      <c r="B9570" s="2"/>
      <c r="C9570" s="26"/>
      <c r="D9570" s="26"/>
      <c r="F9570" s="85" t="str">
        <f t="shared" si="0"/>
        <v/>
      </c>
      <c r="G9570" s="1" t="e">
        <f>IF(VALUE(F9570) = VALUE(RIGHT(Insights!$C$3, 4)), E9570, "")</f>
        <v>#VALUE!</v>
      </c>
      <c r="H9570" s="26" t="e">
        <f t="shared" si="1"/>
        <v>#VALUE!</v>
      </c>
      <c r="I9570" s="1" t="e">
        <f t="shared" si="2"/>
        <v>#VALUE!</v>
      </c>
    </row>
    <row r="9571" spans="1:9" ht="15.75" customHeight="1">
      <c r="A9571" s="26"/>
      <c r="B9571" s="2"/>
      <c r="C9571" s="26"/>
      <c r="D9571" s="26"/>
      <c r="F9571" s="85" t="str">
        <f t="shared" si="0"/>
        <v/>
      </c>
      <c r="G9571" s="1" t="e">
        <f>IF(VALUE(F9571) = VALUE(RIGHT(Insights!$C$3, 4)), E9571, "")</f>
        <v>#VALUE!</v>
      </c>
      <c r="H9571" s="26" t="e">
        <f t="shared" si="1"/>
        <v>#VALUE!</v>
      </c>
      <c r="I9571" s="1" t="e">
        <f t="shared" si="2"/>
        <v>#VALUE!</v>
      </c>
    </row>
    <row r="9572" spans="1:9" ht="15.75" customHeight="1">
      <c r="A9572" s="26"/>
      <c r="B9572" s="2"/>
      <c r="C9572" s="26"/>
      <c r="D9572" s="26"/>
      <c r="F9572" s="85" t="str">
        <f t="shared" si="0"/>
        <v/>
      </c>
      <c r="G9572" s="1" t="e">
        <f>IF(VALUE(F9572) = VALUE(RIGHT(Insights!$C$3, 4)), E9572, "")</f>
        <v>#VALUE!</v>
      </c>
      <c r="H9572" s="26" t="e">
        <f t="shared" si="1"/>
        <v>#VALUE!</v>
      </c>
      <c r="I9572" s="1" t="e">
        <f t="shared" si="2"/>
        <v>#VALUE!</v>
      </c>
    </row>
    <row r="9573" spans="1:9" ht="15.75" customHeight="1">
      <c r="A9573" s="26"/>
      <c r="B9573" s="2"/>
      <c r="C9573" s="26"/>
      <c r="D9573" s="26"/>
      <c r="F9573" s="85" t="str">
        <f t="shared" si="0"/>
        <v/>
      </c>
      <c r="G9573" s="1" t="e">
        <f>IF(VALUE(F9573) = VALUE(RIGHT(Insights!$C$3, 4)), E9573, "")</f>
        <v>#VALUE!</v>
      </c>
      <c r="H9573" s="26" t="e">
        <f t="shared" si="1"/>
        <v>#VALUE!</v>
      </c>
      <c r="I9573" s="1" t="e">
        <f t="shared" si="2"/>
        <v>#VALUE!</v>
      </c>
    </row>
    <row r="9574" spans="1:9" ht="15.75" customHeight="1">
      <c r="A9574" s="26"/>
      <c r="B9574" s="2"/>
      <c r="C9574" s="26"/>
      <c r="D9574" s="26"/>
      <c r="F9574" s="85" t="str">
        <f t="shared" si="0"/>
        <v/>
      </c>
      <c r="G9574" s="1" t="e">
        <f>IF(VALUE(F9574) = VALUE(RIGHT(Insights!$C$3, 4)), E9574, "")</f>
        <v>#VALUE!</v>
      </c>
      <c r="H9574" s="26" t="e">
        <f t="shared" si="1"/>
        <v>#VALUE!</v>
      </c>
      <c r="I9574" s="1" t="e">
        <f t="shared" si="2"/>
        <v>#VALUE!</v>
      </c>
    </row>
    <row r="9575" spans="1:9" ht="15.75" customHeight="1">
      <c r="A9575" s="26"/>
      <c r="B9575" s="2"/>
      <c r="C9575" s="26"/>
      <c r="D9575" s="26"/>
      <c r="F9575" s="85" t="str">
        <f t="shared" si="0"/>
        <v/>
      </c>
      <c r="G9575" s="1" t="e">
        <f>IF(VALUE(F9575) = VALUE(RIGHT(Insights!$C$3, 4)), E9575, "")</f>
        <v>#VALUE!</v>
      </c>
      <c r="H9575" s="26" t="e">
        <f t="shared" si="1"/>
        <v>#VALUE!</v>
      </c>
      <c r="I9575" s="1" t="e">
        <f t="shared" si="2"/>
        <v>#VALUE!</v>
      </c>
    </row>
    <row r="9576" spans="1:9" ht="15.75" customHeight="1">
      <c r="A9576" s="26"/>
      <c r="B9576" s="2"/>
      <c r="C9576" s="26"/>
      <c r="D9576" s="26"/>
      <c r="F9576" s="85" t="str">
        <f t="shared" si="0"/>
        <v/>
      </c>
      <c r="G9576" s="1" t="e">
        <f>IF(VALUE(F9576) = VALUE(RIGHT(Insights!$C$3, 4)), E9576, "")</f>
        <v>#VALUE!</v>
      </c>
      <c r="H9576" s="26" t="e">
        <f t="shared" si="1"/>
        <v>#VALUE!</v>
      </c>
      <c r="I9576" s="1" t="e">
        <f t="shared" si="2"/>
        <v>#VALUE!</v>
      </c>
    </row>
    <row r="9577" spans="1:9" ht="15.75" customHeight="1">
      <c r="A9577" s="26"/>
      <c r="B9577" s="2"/>
      <c r="C9577" s="26"/>
      <c r="D9577" s="26"/>
      <c r="F9577" s="85" t="str">
        <f t="shared" si="0"/>
        <v/>
      </c>
      <c r="G9577" s="1" t="e">
        <f>IF(VALUE(F9577) = VALUE(RIGHT(Insights!$C$3, 4)), E9577, "")</f>
        <v>#VALUE!</v>
      </c>
      <c r="H9577" s="26" t="e">
        <f t="shared" si="1"/>
        <v>#VALUE!</v>
      </c>
      <c r="I9577" s="1" t="e">
        <f t="shared" si="2"/>
        <v>#VALUE!</v>
      </c>
    </row>
    <row r="9578" spans="1:9" ht="15.75" customHeight="1">
      <c r="A9578" s="26"/>
      <c r="B9578" s="2"/>
      <c r="C9578" s="26"/>
      <c r="D9578" s="26"/>
      <c r="F9578" s="85" t="str">
        <f t="shared" si="0"/>
        <v/>
      </c>
      <c r="G9578" s="1" t="e">
        <f>IF(VALUE(F9578) = VALUE(RIGHT(Insights!$C$3, 4)), E9578, "")</f>
        <v>#VALUE!</v>
      </c>
      <c r="H9578" s="26" t="e">
        <f t="shared" si="1"/>
        <v>#VALUE!</v>
      </c>
      <c r="I9578" s="1" t="e">
        <f t="shared" si="2"/>
        <v>#VALUE!</v>
      </c>
    </row>
    <row r="9579" spans="1:9" ht="15.75" customHeight="1">
      <c r="A9579" s="26"/>
      <c r="B9579" s="2"/>
      <c r="C9579" s="26"/>
      <c r="D9579" s="26"/>
      <c r="F9579" s="85" t="str">
        <f t="shared" si="0"/>
        <v/>
      </c>
      <c r="G9579" s="1" t="e">
        <f>IF(VALUE(F9579) = VALUE(RIGHT(Insights!$C$3, 4)), E9579, "")</f>
        <v>#VALUE!</v>
      </c>
      <c r="H9579" s="26" t="e">
        <f t="shared" si="1"/>
        <v>#VALUE!</v>
      </c>
      <c r="I9579" s="1" t="e">
        <f t="shared" si="2"/>
        <v>#VALUE!</v>
      </c>
    </row>
    <row r="9580" spans="1:9" ht="15.75" customHeight="1">
      <c r="A9580" s="26"/>
      <c r="B9580" s="2"/>
      <c r="C9580" s="26"/>
      <c r="D9580" s="26"/>
      <c r="F9580" s="85" t="str">
        <f t="shared" si="0"/>
        <v/>
      </c>
      <c r="G9580" s="1" t="e">
        <f>IF(VALUE(F9580) = VALUE(RIGHT(Insights!$C$3, 4)), E9580, "")</f>
        <v>#VALUE!</v>
      </c>
      <c r="H9580" s="26" t="e">
        <f t="shared" si="1"/>
        <v>#VALUE!</v>
      </c>
      <c r="I9580" s="1" t="e">
        <f t="shared" si="2"/>
        <v>#VALUE!</v>
      </c>
    </row>
    <row r="9581" spans="1:9" ht="15.75" customHeight="1">
      <c r="A9581" s="26"/>
      <c r="B9581" s="2"/>
      <c r="C9581" s="26"/>
      <c r="D9581" s="26"/>
      <c r="F9581" s="85" t="str">
        <f t="shared" si="0"/>
        <v/>
      </c>
      <c r="G9581" s="1" t="e">
        <f>IF(VALUE(F9581) = VALUE(RIGHT(Insights!$C$3, 4)), E9581, "")</f>
        <v>#VALUE!</v>
      </c>
      <c r="H9581" s="26" t="e">
        <f t="shared" si="1"/>
        <v>#VALUE!</v>
      </c>
      <c r="I9581" s="1" t="e">
        <f t="shared" si="2"/>
        <v>#VALUE!</v>
      </c>
    </row>
    <row r="9582" spans="1:9" ht="15.75" customHeight="1">
      <c r="A9582" s="26"/>
      <c r="B9582" s="2"/>
      <c r="C9582" s="26"/>
      <c r="D9582" s="26"/>
      <c r="F9582" s="85" t="str">
        <f t="shared" si="0"/>
        <v/>
      </c>
      <c r="G9582" s="1" t="e">
        <f>IF(VALUE(F9582) = VALUE(RIGHT(Insights!$C$3, 4)), E9582, "")</f>
        <v>#VALUE!</v>
      </c>
      <c r="H9582" s="26" t="e">
        <f t="shared" si="1"/>
        <v>#VALUE!</v>
      </c>
      <c r="I9582" s="1" t="e">
        <f t="shared" si="2"/>
        <v>#VALUE!</v>
      </c>
    </row>
    <row r="9583" spans="1:9" ht="15.75" customHeight="1">
      <c r="A9583" s="26"/>
      <c r="B9583" s="2"/>
      <c r="C9583" s="26"/>
      <c r="D9583" s="26"/>
      <c r="F9583" s="85" t="str">
        <f t="shared" si="0"/>
        <v/>
      </c>
      <c r="G9583" s="1" t="e">
        <f>IF(VALUE(F9583) = VALUE(RIGHT(Insights!$C$3, 4)), E9583, "")</f>
        <v>#VALUE!</v>
      </c>
      <c r="H9583" s="26" t="e">
        <f t="shared" si="1"/>
        <v>#VALUE!</v>
      </c>
      <c r="I9583" s="1" t="e">
        <f t="shared" si="2"/>
        <v>#VALUE!</v>
      </c>
    </row>
    <row r="9584" spans="1:9" ht="15.75" customHeight="1">
      <c r="A9584" s="26"/>
      <c r="B9584" s="2"/>
      <c r="C9584" s="26"/>
      <c r="D9584" s="26"/>
      <c r="F9584" s="85" t="str">
        <f t="shared" si="0"/>
        <v/>
      </c>
      <c r="G9584" s="1" t="e">
        <f>IF(VALUE(F9584) = VALUE(RIGHT(Insights!$C$3, 4)), E9584, "")</f>
        <v>#VALUE!</v>
      </c>
      <c r="H9584" s="26" t="e">
        <f t="shared" si="1"/>
        <v>#VALUE!</v>
      </c>
      <c r="I9584" s="1" t="e">
        <f t="shared" si="2"/>
        <v>#VALUE!</v>
      </c>
    </row>
    <row r="9585" spans="1:9" ht="15.75" customHeight="1">
      <c r="A9585" s="26"/>
      <c r="B9585" s="2"/>
      <c r="C9585" s="26"/>
      <c r="D9585" s="26"/>
      <c r="F9585" s="85" t="str">
        <f t="shared" si="0"/>
        <v/>
      </c>
      <c r="G9585" s="1" t="e">
        <f>IF(VALUE(F9585) = VALUE(RIGHT(Insights!$C$3, 4)), E9585, "")</f>
        <v>#VALUE!</v>
      </c>
      <c r="H9585" s="26" t="e">
        <f t="shared" si="1"/>
        <v>#VALUE!</v>
      </c>
      <c r="I9585" s="1" t="e">
        <f t="shared" si="2"/>
        <v>#VALUE!</v>
      </c>
    </row>
    <row r="9586" spans="1:9" ht="15.75" customHeight="1">
      <c r="A9586" s="26"/>
      <c r="B9586" s="2"/>
      <c r="C9586" s="26"/>
      <c r="D9586" s="26"/>
      <c r="F9586" s="85" t="str">
        <f t="shared" si="0"/>
        <v/>
      </c>
      <c r="G9586" s="1" t="e">
        <f>IF(VALUE(F9586) = VALUE(RIGHT(Insights!$C$3, 4)), E9586, "")</f>
        <v>#VALUE!</v>
      </c>
      <c r="H9586" s="26" t="e">
        <f t="shared" si="1"/>
        <v>#VALUE!</v>
      </c>
      <c r="I9586" s="1" t="e">
        <f t="shared" si="2"/>
        <v>#VALUE!</v>
      </c>
    </row>
    <row r="9587" spans="1:9" ht="15.75" customHeight="1">
      <c r="A9587" s="26"/>
      <c r="B9587" s="2"/>
      <c r="C9587" s="26"/>
      <c r="D9587" s="26"/>
      <c r="F9587" s="85" t="str">
        <f t="shared" si="0"/>
        <v/>
      </c>
      <c r="G9587" s="1" t="e">
        <f>IF(VALUE(F9587) = VALUE(RIGHT(Insights!$C$3, 4)), E9587, "")</f>
        <v>#VALUE!</v>
      </c>
      <c r="H9587" s="26" t="e">
        <f t="shared" si="1"/>
        <v>#VALUE!</v>
      </c>
      <c r="I9587" s="1" t="e">
        <f t="shared" si="2"/>
        <v>#VALUE!</v>
      </c>
    </row>
    <row r="9588" spans="1:9" ht="15.75" customHeight="1">
      <c r="A9588" s="26"/>
      <c r="B9588" s="2"/>
      <c r="C9588" s="26"/>
      <c r="D9588" s="26"/>
      <c r="F9588" s="85" t="str">
        <f t="shared" si="0"/>
        <v/>
      </c>
      <c r="G9588" s="1" t="e">
        <f>IF(VALUE(F9588) = VALUE(RIGHT(Insights!$C$3, 4)), E9588, "")</f>
        <v>#VALUE!</v>
      </c>
      <c r="H9588" s="26" t="e">
        <f t="shared" si="1"/>
        <v>#VALUE!</v>
      </c>
      <c r="I9588" s="1" t="e">
        <f t="shared" si="2"/>
        <v>#VALUE!</v>
      </c>
    </row>
    <row r="9589" spans="1:9" ht="15.75" customHeight="1">
      <c r="A9589" s="26"/>
      <c r="B9589" s="2"/>
      <c r="C9589" s="26"/>
      <c r="D9589" s="26"/>
      <c r="F9589" s="85" t="str">
        <f t="shared" si="0"/>
        <v/>
      </c>
      <c r="G9589" s="1" t="e">
        <f>IF(VALUE(F9589) = VALUE(RIGHT(Insights!$C$3, 4)), E9589, "")</f>
        <v>#VALUE!</v>
      </c>
      <c r="H9589" s="26" t="e">
        <f t="shared" si="1"/>
        <v>#VALUE!</v>
      </c>
      <c r="I9589" s="1" t="e">
        <f t="shared" si="2"/>
        <v>#VALUE!</v>
      </c>
    </row>
    <row r="9590" spans="1:9" ht="15.75" customHeight="1">
      <c r="A9590" s="26"/>
      <c r="B9590" s="2"/>
      <c r="C9590" s="26"/>
      <c r="D9590" s="26"/>
      <c r="F9590" s="85" t="str">
        <f t="shared" si="0"/>
        <v/>
      </c>
      <c r="G9590" s="1" t="e">
        <f>IF(VALUE(F9590) = VALUE(RIGHT(Insights!$C$3, 4)), E9590, "")</f>
        <v>#VALUE!</v>
      </c>
      <c r="H9590" s="26" t="e">
        <f t="shared" si="1"/>
        <v>#VALUE!</v>
      </c>
      <c r="I9590" s="1" t="e">
        <f t="shared" si="2"/>
        <v>#VALUE!</v>
      </c>
    </row>
    <row r="9591" spans="1:9" ht="15.75" customHeight="1">
      <c r="A9591" s="26"/>
      <c r="B9591" s="2"/>
      <c r="C9591" s="26"/>
      <c r="D9591" s="26"/>
      <c r="F9591" s="85" t="str">
        <f t="shared" si="0"/>
        <v/>
      </c>
      <c r="G9591" s="1" t="e">
        <f>IF(VALUE(F9591) = VALUE(RIGHT(Insights!$C$3, 4)), E9591, "")</f>
        <v>#VALUE!</v>
      </c>
      <c r="H9591" s="26" t="e">
        <f t="shared" si="1"/>
        <v>#VALUE!</v>
      </c>
      <c r="I9591" s="1" t="e">
        <f t="shared" si="2"/>
        <v>#VALUE!</v>
      </c>
    </row>
    <row r="9592" spans="1:9" ht="15.75" customHeight="1">
      <c r="A9592" s="26"/>
      <c r="B9592" s="2"/>
      <c r="C9592" s="26"/>
      <c r="D9592" s="26"/>
      <c r="F9592" s="85" t="str">
        <f t="shared" si="0"/>
        <v/>
      </c>
      <c r="G9592" s="1" t="e">
        <f>IF(VALUE(F9592) = VALUE(RIGHT(Insights!$C$3, 4)), E9592, "")</f>
        <v>#VALUE!</v>
      </c>
      <c r="H9592" s="26" t="e">
        <f t="shared" si="1"/>
        <v>#VALUE!</v>
      </c>
      <c r="I9592" s="1" t="e">
        <f t="shared" si="2"/>
        <v>#VALUE!</v>
      </c>
    </row>
    <row r="9593" spans="1:9" ht="15.75" customHeight="1">
      <c r="A9593" s="26"/>
      <c r="B9593" s="2"/>
      <c r="C9593" s="26"/>
      <c r="D9593" s="26"/>
      <c r="F9593" s="85" t="str">
        <f t="shared" si="0"/>
        <v/>
      </c>
      <c r="G9593" s="1" t="e">
        <f>IF(VALUE(F9593) = VALUE(RIGHT(Insights!$C$3, 4)), E9593, "")</f>
        <v>#VALUE!</v>
      </c>
      <c r="H9593" s="26" t="e">
        <f t="shared" si="1"/>
        <v>#VALUE!</v>
      </c>
      <c r="I9593" s="1" t="e">
        <f t="shared" si="2"/>
        <v>#VALUE!</v>
      </c>
    </row>
    <row r="9594" spans="1:9" ht="15.75" customHeight="1">
      <c r="A9594" s="26"/>
      <c r="B9594" s="2"/>
      <c r="C9594" s="26"/>
      <c r="D9594" s="26"/>
      <c r="F9594" s="85" t="str">
        <f t="shared" si="0"/>
        <v/>
      </c>
      <c r="G9594" s="1" t="e">
        <f>IF(VALUE(F9594) = VALUE(RIGHT(Insights!$C$3, 4)), E9594, "")</f>
        <v>#VALUE!</v>
      </c>
      <c r="H9594" s="26" t="e">
        <f t="shared" si="1"/>
        <v>#VALUE!</v>
      </c>
      <c r="I9594" s="1" t="e">
        <f t="shared" si="2"/>
        <v>#VALUE!</v>
      </c>
    </row>
    <row r="9595" spans="1:9" ht="15.75" customHeight="1">
      <c r="A9595" s="26"/>
      <c r="B9595" s="2"/>
      <c r="C9595" s="26"/>
      <c r="D9595" s="26"/>
      <c r="F9595" s="85" t="str">
        <f t="shared" si="0"/>
        <v/>
      </c>
      <c r="G9595" s="1" t="e">
        <f>IF(VALUE(F9595) = VALUE(RIGHT(Insights!$C$3, 4)), E9595, "")</f>
        <v>#VALUE!</v>
      </c>
      <c r="H9595" s="26" t="e">
        <f t="shared" si="1"/>
        <v>#VALUE!</v>
      </c>
      <c r="I9595" s="1" t="e">
        <f t="shared" si="2"/>
        <v>#VALUE!</v>
      </c>
    </row>
    <row r="9596" spans="1:9" ht="15.75" customHeight="1">
      <c r="A9596" s="26"/>
      <c r="B9596" s="2"/>
      <c r="C9596" s="26"/>
      <c r="D9596" s="26"/>
      <c r="F9596" s="85" t="str">
        <f t="shared" si="0"/>
        <v/>
      </c>
      <c r="G9596" s="1" t="e">
        <f>IF(VALUE(F9596) = VALUE(RIGHT(Insights!$C$3, 4)), E9596, "")</f>
        <v>#VALUE!</v>
      </c>
      <c r="H9596" s="26" t="e">
        <f t="shared" si="1"/>
        <v>#VALUE!</v>
      </c>
      <c r="I9596" s="1" t="e">
        <f t="shared" si="2"/>
        <v>#VALUE!</v>
      </c>
    </row>
    <row r="9597" spans="1:9" ht="15.75" customHeight="1">
      <c r="A9597" s="26"/>
      <c r="B9597" s="2"/>
      <c r="C9597" s="26"/>
      <c r="D9597" s="26"/>
      <c r="F9597" s="85" t="str">
        <f t="shared" si="0"/>
        <v/>
      </c>
      <c r="G9597" s="1" t="e">
        <f>IF(VALUE(F9597) = VALUE(RIGHT(Insights!$C$3, 4)), E9597, "")</f>
        <v>#VALUE!</v>
      </c>
      <c r="H9597" s="26" t="e">
        <f t="shared" si="1"/>
        <v>#VALUE!</v>
      </c>
      <c r="I9597" s="1" t="e">
        <f t="shared" si="2"/>
        <v>#VALUE!</v>
      </c>
    </row>
    <row r="9598" spans="1:9" ht="15.75" customHeight="1">
      <c r="A9598" s="26"/>
      <c r="B9598" s="2"/>
      <c r="C9598" s="26"/>
      <c r="D9598" s="26"/>
      <c r="F9598" s="85" t="str">
        <f t="shared" si="0"/>
        <v/>
      </c>
      <c r="G9598" s="1" t="e">
        <f>IF(VALUE(F9598) = VALUE(RIGHT(Insights!$C$3, 4)), E9598, "")</f>
        <v>#VALUE!</v>
      </c>
      <c r="H9598" s="26" t="e">
        <f t="shared" si="1"/>
        <v>#VALUE!</v>
      </c>
      <c r="I9598" s="1" t="e">
        <f t="shared" si="2"/>
        <v>#VALUE!</v>
      </c>
    </row>
    <row r="9599" spans="1:9" ht="15.75" customHeight="1">
      <c r="A9599" s="26"/>
      <c r="B9599" s="2"/>
      <c r="C9599" s="26"/>
      <c r="D9599" s="26"/>
      <c r="F9599" s="85" t="str">
        <f t="shared" si="0"/>
        <v/>
      </c>
      <c r="G9599" s="1" t="e">
        <f>IF(VALUE(F9599) = VALUE(RIGHT(Insights!$C$3, 4)), E9599, "")</f>
        <v>#VALUE!</v>
      </c>
      <c r="H9599" s="26" t="e">
        <f t="shared" si="1"/>
        <v>#VALUE!</v>
      </c>
      <c r="I9599" s="1" t="e">
        <f t="shared" si="2"/>
        <v>#VALUE!</v>
      </c>
    </row>
    <row r="9600" spans="1:9" ht="15.75" customHeight="1">
      <c r="A9600" s="26"/>
      <c r="B9600" s="2"/>
      <c r="C9600" s="26"/>
      <c r="D9600" s="26"/>
      <c r="F9600" s="85" t="str">
        <f t="shared" si="0"/>
        <v/>
      </c>
      <c r="G9600" s="1" t="e">
        <f>IF(VALUE(F9600) = VALUE(RIGHT(Insights!$C$3, 4)), E9600, "")</f>
        <v>#VALUE!</v>
      </c>
      <c r="H9600" s="26" t="e">
        <f t="shared" si="1"/>
        <v>#VALUE!</v>
      </c>
      <c r="I9600" s="1" t="e">
        <f t="shared" si="2"/>
        <v>#VALUE!</v>
      </c>
    </row>
    <row r="9601" spans="1:9" ht="15.75" customHeight="1">
      <c r="A9601" s="26"/>
      <c r="B9601" s="2"/>
      <c r="C9601" s="26"/>
      <c r="D9601" s="26"/>
      <c r="F9601" s="85" t="str">
        <f t="shared" si="0"/>
        <v/>
      </c>
      <c r="G9601" s="1" t="e">
        <f>IF(VALUE(F9601) = VALUE(RIGHT(Insights!$C$3, 4)), E9601, "")</f>
        <v>#VALUE!</v>
      </c>
      <c r="H9601" s="26" t="e">
        <f t="shared" si="1"/>
        <v>#VALUE!</v>
      </c>
      <c r="I9601" s="1" t="e">
        <f t="shared" si="2"/>
        <v>#VALUE!</v>
      </c>
    </row>
    <row r="9602" spans="1:9" ht="15.75" customHeight="1">
      <c r="A9602" s="26"/>
      <c r="B9602" s="2"/>
      <c r="C9602" s="26"/>
      <c r="D9602" s="26"/>
      <c r="F9602" s="85" t="str">
        <f t="shared" si="0"/>
        <v/>
      </c>
      <c r="G9602" s="1" t="e">
        <f>IF(VALUE(F9602) = VALUE(RIGHT(Insights!$C$3, 4)), E9602, "")</f>
        <v>#VALUE!</v>
      </c>
      <c r="H9602" s="26" t="e">
        <f t="shared" si="1"/>
        <v>#VALUE!</v>
      </c>
      <c r="I9602" s="1" t="e">
        <f t="shared" si="2"/>
        <v>#VALUE!</v>
      </c>
    </row>
    <row r="9603" spans="1:9" ht="15.75" customHeight="1">
      <c r="A9603" s="26"/>
      <c r="B9603" s="2"/>
      <c r="C9603" s="26"/>
      <c r="D9603" s="26"/>
      <c r="F9603" s="85" t="str">
        <f t="shared" si="0"/>
        <v/>
      </c>
      <c r="G9603" s="1" t="e">
        <f>IF(VALUE(F9603) = VALUE(RIGHT(Insights!$C$3, 4)), E9603, "")</f>
        <v>#VALUE!</v>
      </c>
      <c r="H9603" s="26" t="e">
        <f t="shared" si="1"/>
        <v>#VALUE!</v>
      </c>
      <c r="I9603" s="1" t="e">
        <f t="shared" si="2"/>
        <v>#VALUE!</v>
      </c>
    </row>
    <row r="9604" spans="1:9" ht="15.75" customHeight="1">
      <c r="A9604" s="26"/>
      <c r="B9604" s="2"/>
      <c r="C9604" s="26"/>
      <c r="D9604" s="26"/>
      <c r="F9604" s="85" t="str">
        <f t="shared" si="0"/>
        <v/>
      </c>
      <c r="G9604" s="1" t="e">
        <f>IF(VALUE(F9604) = VALUE(RIGHT(Insights!$C$3, 4)), E9604, "")</f>
        <v>#VALUE!</v>
      </c>
      <c r="H9604" s="26" t="e">
        <f t="shared" si="1"/>
        <v>#VALUE!</v>
      </c>
      <c r="I9604" s="1" t="e">
        <f t="shared" si="2"/>
        <v>#VALUE!</v>
      </c>
    </row>
    <row r="9605" spans="1:9" ht="15.75" customHeight="1">
      <c r="A9605" s="26"/>
      <c r="B9605" s="2"/>
      <c r="C9605" s="26"/>
      <c r="D9605" s="26"/>
      <c r="F9605" s="85" t="str">
        <f t="shared" si="0"/>
        <v/>
      </c>
      <c r="G9605" s="1" t="e">
        <f>IF(VALUE(F9605) = VALUE(RIGHT(Insights!$C$3, 4)), E9605, "")</f>
        <v>#VALUE!</v>
      </c>
      <c r="H9605" s="26" t="e">
        <f t="shared" si="1"/>
        <v>#VALUE!</v>
      </c>
      <c r="I9605" s="1" t="e">
        <f t="shared" si="2"/>
        <v>#VALUE!</v>
      </c>
    </row>
    <row r="9606" spans="1:9" ht="15.75" customHeight="1">
      <c r="A9606" s="26"/>
      <c r="B9606" s="2"/>
      <c r="C9606" s="26"/>
      <c r="D9606" s="26"/>
      <c r="F9606" s="85" t="str">
        <f t="shared" si="0"/>
        <v/>
      </c>
      <c r="G9606" s="1" t="e">
        <f>IF(VALUE(F9606) = VALUE(RIGHT(Insights!$C$3, 4)), E9606, "")</f>
        <v>#VALUE!</v>
      </c>
      <c r="H9606" s="26" t="e">
        <f t="shared" si="1"/>
        <v>#VALUE!</v>
      </c>
      <c r="I9606" s="1" t="e">
        <f t="shared" si="2"/>
        <v>#VALUE!</v>
      </c>
    </row>
    <row r="9607" spans="1:9" ht="15.75" customHeight="1">
      <c r="A9607" s="26"/>
      <c r="B9607" s="2"/>
      <c r="C9607" s="26"/>
      <c r="D9607" s="26"/>
      <c r="F9607" s="85" t="str">
        <f t="shared" si="0"/>
        <v/>
      </c>
      <c r="G9607" s="1" t="e">
        <f>IF(VALUE(F9607) = VALUE(RIGHT(Insights!$C$3, 4)), E9607, "")</f>
        <v>#VALUE!</v>
      </c>
      <c r="H9607" s="26" t="e">
        <f t="shared" si="1"/>
        <v>#VALUE!</v>
      </c>
      <c r="I9607" s="1" t="e">
        <f t="shared" si="2"/>
        <v>#VALUE!</v>
      </c>
    </row>
    <row r="9608" spans="1:9" ht="15.75" customHeight="1">
      <c r="A9608" s="26"/>
      <c r="B9608" s="2"/>
      <c r="C9608" s="26"/>
      <c r="D9608" s="26"/>
      <c r="F9608" s="85" t="str">
        <f t="shared" si="0"/>
        <v/>
      </c>
      <c r="G9608" s="1" t="e">
        <f>IF(VALUE(F9608) = VALUE(RIGHT(Insights!$C$3, 4)), E9608, "")</f>
        <v>#VALUE!</v>
      </c>
      <c r="H9608" s="26" t="e">
        <f t="shared" si="1"/>
        <v>#VALUE!</v>
      </c>
      <c r="I9608" s="1" t="e">
        <f t="shared" si="2"/>
        <v>#VALUE!</v>
      </c>
    </row>
    <row r="9609" spans="1:9" ht="15.75" customHeight="1">
      <c r="A9609" s="26"/>
      <c r="B9609" s="2"/>
      <c r="C9609" s="26"/>
      <c r="D9609" s="26"/>
      <c r="F9609" s="85" t="str">
        <f t="shared" si="0"/>
        <v/>
      </c>
      <c r="G9609" s="1" t="e">
        <f>IF(VALUE(F9609) = VALUE(RIGHT(Insights!$C$3, 4)), E9609, "")</f>
        <v>#VALUE!</v>
      </c>
      <c r="H9609" s="26" t="e">
        <f t="shared" si="1"/>
        <v>#VALUE!</v>
      </c>
      <c r="I9609" s="1" t="e">
        <f t="shared" si="2"/>
        <v>#VALUE!</v>
      </c>
    </row>
    <row r="9610" spans="1:9" ht="15.75" customHeight="1">
      <c r="A9610" s="26"/>
      <c r="B9610" s="2"/>
      <c r="C9610" s="26"/>
      <c r="D9610" s="26"/>
      <c r="F9610" s="85" t="str">
        <f t="shared" si="0"/>
        <v/>
      </c>
      <c r="G9610" s="1" t="e">
        <f>IF(VALUE(F9610) = VALUE(RIGHT(Insights!$C$3, 4)), E9610, "")</f>
        <v>#VALUE!</v>
      </c>
      <c r="H9610" s="26" t="e">
        <f t="shared" si="1"/>
        <v>#VALUE!</v>
      </c>
      <c r="I9610" s="1" t="e">
        <f t="shared" si="2"/>
        <v>#VALUE!</v>
      </c>
    </row>
    <row r="9611" spans="1:9" ht="15.75" customHeight="1">
      <c r="A9611" s="26"/>
      <c r="B9611" s="2"/>
      <c r="C9611" s="26"/>
      <c r="D9611" s="26"/>
      <c r="F9611" s="85" t="str">
        <f t="shared" si="0"/>
        <v/>
      </c>
      <c r="G9611" s="1" t="e">
        <f>IF(VALUE(F9611) = VALUE(RIGHT(Insights!$C$3, 4)), E9611, "")</f>
        <v>#VALUE!</v>
      </c>
      <c r="H9611" s="26" t="e">
        <f t="shared" si="1"/>
        <v>#VALUE!</v>
      </c>
      <c r="I9611" s="1" t="e">
        <f t="shared" si="2"/>
        <v>#VALUE!</v>
      </c>
    </row>
    <row r="9612" spans="1:9" ht="15.75" customHeight="1">
      <c r="A9612" s="26"/>
      <c r="B9612" s="2"/>
      <c r="C9612" s="26"/>
      <c r="D9612" s="26"/>
      <c r="F9612" s="85" t="str">
        <f t="shared" si="0"/>
        <v/>
      </c>
      <c r="G9612" s="1" t="e">
        <f>IF(VALUE(F9612) = VALUE(RIGHT(Insights!$C$3, 4)), E9612, "")</f>
        <v>#VALUE!</v>
      </c>
      <c r="H9612" s="26" t="e">
        <f t="shared" si="1"/>
        <v>#VALUE!</v>
      </c>
      <c r="I9612" s="1" t="e">
        <f t="shared" si="2"/>
        <v>#VALUE!</v>
      </c>
    </row>
    <row r="9613" spans="1:9" ht="15.75" customHeight="1">
      <c r="A9613" s="26"/>
      <c r="B9613" s="2"/>
      <c r="C9613" s="26"/>
      <c r="D9613" s="26"/>
      <c r="F9613" s="85" t="str">
        <f t="shared" si="0"/>
        <v/>
      </c>
      <c r="G9613" s="1" t="e">
        <f>IF(VALUE(F9613) = VALUE(RIGHT(Insights!$C$3, 4)), E9613, "")</f>
        <v>#VALUE!</v>
      </c>
      <c r="H9613" s="26" t="e">
        <f t="shared" si="1"/>
        <v>#VALUE!</v>
      </c>
      <c r="I9613" s="1" t="e">
        <f t="shared" si="2"/>
        <v>#VALUE!</v>
      </c>
    </row>
    <row r="9614" spans="1:9" ht="15.75" customHeight="1">
      <c r="A9614" s="26"/>
      <c r="B9614" s="2"/>
      <c r="C9614" s="26"/>
      <c r="D9614" s="26"/>
      <c r="F9614" s="85" t="str">
        <f t="shared" si="0"/>
        <v/>
      </c>
      <c r="G9614" s="1" t="e">
        <f>IF(VALUE(F9614) = VALUE(RIGHT(Insights!$C$3, 4)), E9614, "")</f>
        <v>#VALUE!</v>
      </c>
      <c r="H9614" s="26" t="e">
        <f t="shared" si="1"/>
        <v>#VALUE!</v>
      </c>
      <c r="I9614" s="1" t="e">
        <f t="shared" si="2"/>
        <v>#VALUE!</v>
      </c>
    </row>
    <row r="9615" spans="1:9" ht="15.75" customHeight="1">
      <c r="A9615" s="26"/>
      <c r="B9615" s="2"/>
      <c r="C9615" s="26"/>
      <c r="D9615" s="26"/>
      <c r="F9615" s="85" t="str">
        <f t="shared" si="0"/>
        <v/>
      </c>
      <c r="G9615" s="1" t="e">
        <f>IF(VALUE(F9615) = VALUE(RIGHT(Insights!$C$3, 4)), E9615, "")</f>
        <v>#VALUE!</v>
      </c>
      <c r="H9615" s="26" t="e">
        <f t="shared" si="1"/>
        <v>#VALUE!</v>
      </c>
      <c r="I9615" s="1" t="e">
        <f t="shared" si="2"/>
        <v>#VALUE!</v>
      </c>
    </row>
    <row r="9616" spans="1:9" ht="15.75" customHeight="1">
      <c r="A9616" s="26"/>
      <c r="B9616" s="2"/>
      <c r="C9616" s="26"/>
      <c r="D9616" s="26"/>
      <c r="F9616" s="85" t="str">
        <f t="shared" si="0"/>
        <v/>
      </c>
      <c r="G9616" s="1" t="e">
        <f>IF(VALUE(F9616) = VALUE(RIGHT(Insights!$C$3, 4)), E9616, "")</f>
        <v>#VALUE!</v>
      </c>
      <c r="H9616" s="26" t="e">
        <f t="shared" si="1"/>
        <v>#VALUE!</v>
      </c>
      <c r="I9616" s="1" t="e">
        <f t="shared" si="2"/>
        <v>#VALUE!</v>
      </c>
    </row>
    <row r="9617" spans="1:9" ht="15.75" customHeight="1">
      <c r="A9617" s="26"/>
      <c r="B9617" s="2"/>
      <c r="C9617" s="26"/>
      <c r="D9617" s="26"/>
      <c r="F9617" s="85" t="str">
        <f t="shared" si="0"/>
        <v/>
      </c>
      <c r="G9617" s="1" t="e">
        <f>IF(VALUE(F9617) = VALUE(RIGHT(Insights!$C$3, 4)), E9617, "")</f>
        <v>#VALUE!</v>
      </c>
      <c r="H9617" s="26" t="e">
        <f t="shared" si="1"/>
        <v>#VALUE!</v>
      </c>
      <c r="I9617" s="1" t="e">
        <f t="shared" si="2"/>
        <v>#VALUE!</v>
      </c>
    </row>
    <row r="9618" spans="1:9" ht="15.75" customHeight="1">
      <c r="A9618" s="26"/>
      <c r="B9618" s="2"/>
      <c r="C9618" s="26"/>
      <c r="D9618" s="26"/>
      <c r="F9618" s="85" t="str">
        <f t="shared" si="0"/>
        <v/>
      </c>
      <c r="G9618" s="1" t="e">
        <f>IF(VALUE(F9618) = VALUE(RIGHT(Insights!$C$3, 4)), E9618, "")</f>
        <v>#VALUE!</v>
      </c>
      <c r="H9618" s="26" t="e">
        <f t="shared" si="1"/>
        <v>#VALUE!</v>
      </c>
      <c r="I9618" s="1" t="e">
        <f t="shared" si="2"/>
        <v>#VALUE!</v>
      </c>
    </row>
    <row r="9619" spans="1:9" ht="15.75" customHeight="1">
      <c r="A9619" s="26"/>
      <c r="B9619" s="2"/>
      <c r="C9619" s="26"/>
      <c r="D9619" s="26"/>
      <c r="F9619" s="85" t="str">
        <f t="shared" si="0"/>
        <v/>
      </c>
      <c r="G9619" s="1" t="e">
        <f>IF(VALUE(F9619) = VALUE(RIGHT(Insights!$C$3, 4)), E9619, "")</f>
        <v>#VALUE!</v>
      </c>
      <c r="H9619" s="26" t="e">
        <f t="shared" si="1"/>
        <v>#VALUE!</v>
      </c>
      <c r="I9619" s="1" t="e">
        <f t="shared" si="2"/>
        <v>#VALUE!</v>
      </c>
    </row>
    <row r="9620" spans="1:9" ht="15.75" customHeight="1">
      <c r="A9620" s="26"/>
      <c r="B9620" s="2"/>
      <c r="C9620" s="26"/>
      <c r="D9620" s="26"/>
      <c r="F9620" s="85" t="str">
        <f t="shared" si="0"/>
        <v/>
      </c>
      <c r="G9620" s="1" t="e">
        <f>IF(VALUE(F9620) = VALUE(RIGHT(Insights!$C$3, 4)), E9620, "")</f>
        <v>#VALUE!</v>
      </c>
      <c r="H9620" s="26" t="e">
        <f t="shared" si="1"/>
        <v>#VALUE!</v>
      </c>
      <c r="I9620" s="1" t="e">
        <f t="shared" si="2"/>
        <v>#VALUE!</v>
      </c>
    </row>
    <row r="9621" spans="1:9" ht="15.75" customHeight="1">
      <c r="A9621" s="26"/>
      <c r="B9621" s="2"/>
      <c r="C9621" s="26"/>
      <c r="D9621" s="26"/>
      <c r="F9621" s="85" t="str">
        <f t="shared" si="0"/>
        <v/>
      </c>
      <c r="G9621" s="1" t="e">
        <f>IF(VALUE(F9621) = VALUE(RIGHT(Insights!$C$3, 4)), E9621, "")</f>
        <v>#VALUE!</v>
      </c>
      <c r="H9621" s="26" t="e">
        <f t="shared" si="1"/>
        <v>#VALUE!</v>
      </c>
      <c r="I9621" s="1" t="e">
        <f t="shared" si="2"/>
        <v>#VALUE!</v>
      </c>
    </row>
    <row r="9622" spans="1:9" ht="15.75" customHeight="1">
      <c r="A9622" s="26"/>
      <c r="B9622" s="2"/>
      <c r="C9622" s="26"/>
      <c r="D9622" s="26"/>
      <c r="F9622" s="85" t="str">
        <f t="shared" si="0"/>
        <v/>
      </c>
      <c r="G9622" s="1" t="e">
        <f>IF(VALUE(F9622) = VALUE(RIGHT(Insights!$C$3, 4)), E9622, "")</f>
        <v>#VALUE!</v>
      </c>
      <c r="H9622" s="26" t="e">
        <f t="shared" si="1"/>
        <v>#VALUE!</v>
      </c>
      <c r="I9622" s="1" t="e">
        <f t="shared" si="2"/>
        <v>#VALUE!</v>
      </c>
    </row>
    <row r="9623" spans="1:9" ht="15.75" customHeight="1">
      <c r="A9623" s="26"/>
      <c r="B9623" s="2"/>
      <c r="C9623" s="26"/>
      <c r="D9623" s="26"/>
      <c r="F9623" s="85" t="str">
        <f t="shared" si="0"/>
        <v/>
      </c>
      <c r="G9623" s="1" t="e">
        <f>IF(VALUE(F9623) = VALUE(RIGHT(Insights!$C$3, 4)), E9623, "")</f>
        <v>#VALUE!</v>
      </c>
      <c r="H9623" s="26" t="e">
        <f t="shared" si="1"/>
        <v>#VALUE!</v>
      </c>
      <c r="I9623" s="1" t="e">
        <f t="shared" si="2"/>
        <v>#VALUE!</v>
      </c>
    </row>
    <row r="9624" spans="1:9" ht="15.75" customHeight="1">
      <c r="A9624" s="26"/>
      <c r="B9624" s="2"/>
      <c r="C9624" s="26"/>
      <c r="D9624" s="26"/>
      <c r="F9624" s="85" t="str">
        <f t="shared" si="0"/>
        <v/>
      </c>
      <c r="G9624" s="1" t="e">
        <f>IF(VALUE(F9624) = VALUE(RIGHT(Insights!$C$3, 4)), E9624, "")</f>
        <v>#VALUE!</v>
      </c>
      <c r="H9624" s="26" t="e">
        <f t="shared" si="1"/>
        <v>#VALUE!</v>
      </c>
      <c r="I9624" s="1" t="e">
        <f t="shared" si="2"/>
        <v>#VALUE!</v>
      </c>
    </row>
    <row r="9625" spans="1:9" ht="15.75" customHeight="1">
      <c r="A9625" s="26"/>
      <c r="B9625" s="2"/>
      <c r="C9625" s="26"/>
      <c r="D9625" s="26"/>
      <c r="F9625" s="85" t="str">
        <f t="shared" si="0"/>
        <v/>
      </c>
      <c r="G9625" s="1" t="e">
        <f>IF(VALUE(F9625) = VALUE(RIGHT(Insights!$C$3, 4)), E9625, "")</f>
        <v>#VALUE!</v>
      </c>
      <c r="H9625" s="26" t="e">
        <f t="shared" si="1"/>
        <v>#VALUE!</v>
      </c>
      <c r="I9625" s="1" t="e">
        <f t="shared" si="2"/>
        <v>#VALUE!</v>
      </c>
    </row>
    <row r="9626" spans="1:9" ht="15.75" customHeight="1">
      <c r="A9626" s="26"/>
      <c r="B9626" s="2"/>
      <c r="C9626" s="26"/>
      <c r="D9626" s="26"/>
      <c r="F9626" s="85" t="str">
        <f t="shared" si="0"/>
        <v/>
      </c>
      <c r="G9626" s="1" t="e">
        <f>IF(VALUE(F9626) = VALUE(RIGHT(Insights!$C$3, 4)), E9626, "")</f>
        <v>#VALUE!</v>
      </c>
      <c r="H9626" s="26" t="e">
        <f t="shared" si="1"/>
        <v>#VALUE!</v>
      </c>
      <c r="I9626" s="1" t="e">
        <f t="shared" si="2"/>
        <v>#VALUE!</v>
      </c>
    </row>
    <row r="9627" spans="1:9" ht="15.75" customHeight="1">
      <c r="A9627" s="26"/>
      <c r="B9627" s="2"/>
      <c r="C9627" s="26"/>
      <c r="D9627" s="26"/>
      <c r="F9627" s="85" t="str">
        <f t="shared" si="0"/>
        <v/>
      </c>
      <c r="G9627" s="1" t="e">
        <f>IF(VALUE(F9627) = VALUE(RIGHT(Insights!$C$3, 4)), E9627, "")</f>
        <v>#VALUE!</v>
      </c>
      <c r="H9627" s="26" t="e">
        <f t="shared" si="1"/>
        <v>#VALUE!</v>
      </c>
      <c r="I9627" s="1" t="e">
        <f t="shared" si="2"/>
        <v>#VALUE!</v>
      </c>
    </row>
    <row r="9628" spans="1:9" ht="15.75" customHeight="1">
      <c r="A9628" s="26"/>
      <c r="B9628" s="2"/>
      <c r="C9628" s="26"/>
      <c r="D9628" s="26"/>
      <c r="F9628" s="85" t="str">
        <f t="shared" si="0"/>
        <v/>
      </c>
      <c r="G9628" s="1" t="e">
        <f>IF(VALUE(F9628) = VALUE(RIGHT(Insights!$C$3, 4)), E9628, "")</f>
        <v>#VALUE!</v>
      </c>
      <c r="H9628" s="26" t="e">
        <f t="shared" si="1"/>
        <v>#VALUE!</v>
      </c>
      <c r="I9628" s="1" t="e">
        <f t="shared" si="2"/>
        <v>#VALUE!</v>
      </c>
    </row>
    <row r="9629" spans="1:9" ht="15.75" customHeight="1">
      <c r="A9629" s="26"/>
      <c r="B9629" s="2"/>
      <c r="C9629" s="26"/>
      <c r="D9629" s="26"/>
      <c r="F9629" s="85" t="str">
        <f t="shared" si="0"/>
        <v/>
      </c>
      <c r="G9629" s="1" t="e">
        <f>IF(VALUE(F9629) = VALUE(RIGHT(Insights!$C$3, 4)), E9629, "")</f>
        <v>#VALUE!</v>
      </c>
      <c r="H9629" s="26" t="e">
        <f t="shared" si="1"/>
        <v>#VALUE!</v>
      </c>
      <c r="I9629" s="1" t="e">
        <f t="shared" si="2"/>
        <v>#VALUE!</v>
      </c>
    </row>
    <row r="9630" spans="1:9" ht="15.75" customHeight="1">
      <c r="A9630" s="26"/>
      <c r="B9630" s="2"/>
      <c r="C9630" s="26"/>
      <c r="D9630" s="26"/>
      <c r="F9630" s="85" t="str">
        <f t="shared" si="0"/>
        <v/>
      </c>
      <c r="G9630" s="1" t="e">
        <f>IF(VALUE(F9630) = VALUE(RIGHT(Insights!$C$3, 4)), E9630, "")</f>
        <v>#VALUE!</v>
      </c>
      <c r="H9630" s="26" t="e">
        <f t="shared" si="1"/>
        <v>#VALUE!</v>
      </c>
      <c r="I9630" s="1" t="e">
        <f t="shared" si="2"/>
        <v>#VALUE!</v>
      </c>
    </row>
    <row r="9631" spans="1:9" ht="15.75" customHeight="1">
      <c r="A9631" s="26"/>
      <c r="B9631" s="2"/>
      <c r="C9631" s="26"/>
      <c r="D9631" s="26"/>
      <c r="F9631" s="85" t="str">
        <f t="shared" si="0"/>
        <v/>
      </c>
      <c r="G9631" s="1" t="e">
        <f>IF(VALUE(F9631) = VALUE(RIGHT(Insights!$C$3, 4)), E9631, "")</f>
        <v>#VALUE!</v>
      </c>
      <c r="H9631" s="26" t="e">
        <f t="shared" si="1"/>
        <v>#VALUE!</v>
      </c>
      <c r="I9631" s="1" t="e">
        <f t="shared" si="2"/>
        <v>#VALUE!</v>
      </c>
    </row>
    <row r="9632" spans="1:9" ht="15.75" customHeight="1">
      <c r="A9632" s="26"/>
      <c r="B9632" s="2"/>
      <c r="C9632" s="26"/>
      <c r="D9632" s="26"/>
      <c r="F9632" s="85" t="str">
        <f t="shared" si="0"/>
        <v/>
      </c>
      <c r="G9632" s="1" t="e">
        <f>IF(VALUE(F9632) = VALUE(RIGHT(Insights!$C$3, 4)), E9632, "")</f>
        <v>#VALUE!</v>
      </c>
      <c r="H9632" s="26" t="e">
        <f t="shared" si="1"/>
        <v>#VALUE!</v>
      </c>
      <c r="I9632" s="1" t="e">
        <f t="shared" si="2"/>
        <v>#VALUE!</v>
      </c>
    </row>
    <row r="9633" spans="1:9" ht="15.75" customHeight="1">
      <c r="A9633" s="26"/>
      <c r="B9633" s="2"/>
      <c r="C9633" s="26"/>
      <c r="D9633" s="26"/>
      <c r="F9633" s="85" t="str">
        <f t="shared" si="0"/>
        <v/>
      </c>
      <c r="G9633" s="1" t="e">
        <f>IF(VALUE(F9633) = VALUE(RIGHT(Insights!$C$3, 4)), E9633, "")</f>
        <v>#VALUE!</v>
      </c>
      <c r="H9633" s="26" t="e">
        <f t="shared" si="1"/>
        <v>#VALUE!</v>
      </c>
      <c r="I9633" s="1" t="e">
        <f t="shared" si="2"/>
        <v>#VALUE!</v>
      </c>
    </row>
    <row r="9634" spans="1:9" ht="15.75" customHeight="1">
      <c r="A9634" s="26"/>
      <c r="B9634" s="2"/>
      <c r="C9634" s="26"/>
      <c r="D9634" s="26"/>
      <c r="F9634" s="85" t="str">
        <f t="shared" si="0"/>
        <v/>
      </c>
      <c r="G9634" s="1" t="e">
        <f>IF(VALUE(F9634) = VALUE(RIGHT(Insights!$C$3, 4)), E9634, "")</f>
        <v>#VALUE!</v>
      </c>
      <c r="H9634" s="26" t="e">
        <f t="shared" si="1"/>
        <v>#VALUE!</v>
      </c>
      <c r="I9634" s="1" t="e">
        <f t="shared" si="2"/>
        <v>#VALUE!</v>
      </c>
    </row>
    <row r="9635" spans="1:9" ht="15.75" customHeight="1">
      <c r="A9635" s="26"/>
      <c r="B9635" s="2"/>
      <c r="C9635" s="26"/>
      <c r="D9635" s="26"/>
      <c r="F9635" s="85" t="str">
        <f t="shared" si="0"/>
        <v/>
      </c>
      <c r="G9635" s="1" t="e">
        <f>IF(VALUE(F9635) = VALUE(RIGHT(Insights!$C$3, 4)), E9635, "")</f>
        <v>#VALUE!</v>
      </c>
      <c r="H9635" s="26" t="e">
        <f t="shared" si="1"/>
        <v>#VALUE!</v>
      </c>
      <c r="I9635" s="1" t="e">
        <f t="shared" si="2"/>
        <v>#VALUE!</v>
      </c>
    </row>
    <row r="9636" spans="1:9" ht="15.75" customHeight="1">
      <c r="A9636" s="26"/>
      <c r="B9636" s="2"/>
      <c r="C9636" s="26"/>
      <c r="D9636" s="26"/>
      <c r="F9636" s="85" t="str">
        <f t="shared" si="0"/>
        <v/>
      </c>
      <c r="G9636" s="1" t="e">
        <f>IF(VALUE(F9636) = VALUE(RIGHT(Insights!$C$3, 4)), E9636, "")</f>
        <v>#VALUE!</v>
      </c>
      <c r="H9636" s="26" t="e">
        <f t="shared" si="1"/>
        <v>#VALUE!</v>
      </c>
      <c r="I9636" s="1" t="e">
        <f t="shared" si="2"/>
        <v>#VALUE!</v>
      </c>
    </row>
    <row r="9637" spans="1:9" ht="15.75" customHeight="1">
      <c r="A9637" s="26"/>
      <c r="B9637" s="2"/>
      <c r="C9637" s="26"/>
      <c r="D9637" s="26"/>
      <c r="F9637" s="85" t="str">
        <f t="shared" si="0"/>
        <v/>
      </c>
      <c r="G9637" s="1" t="e">
        <f>IF(VALUE(F9637) = VALUE(RIGHT(Insights!$C$3, 4)), E9637, "")</f>
        <v>#VALUE!</v>
      </c>
      <c r="H9637" s="26" t="e">
        <f t="shared" si="1"/>
        <v>#VALUE!</v>
      </c>
      <c r="I9637" s="1" t="e">
        <f t="shared" si="2"/>
        <v>#VALUE!</v>
      </c>
    </row>
    <row r="9638" spans="1:9" ht="15.75" customHeight="1">
      <c r="A9638" s="26"/>
      <c r="B9638" s="2"/>
      <c r="C9638" s="26"/>
      <c r="D9638" s="26"/>
      <c r="F9638" s="85" t="str">
        <f t="shared" si="0"/>
        <v/>
      </c>
      <c r="G9638" s="1" t="e">
        <f>IF(VALUE(F9638) = VALUE(RIGHT(Insights!$C$3, 4)), E9638, "")</f>
        <v>#VALUE!</v>
      </c>
      <c r="H9638" s="26" t="e">
        <f t="shared" si="1"/>
        <v>#VALUE!</v>
      </c>
      <c r="I9638" s="1" t="e">
        <f t="shared" si="2"/>
        <v>#VALUE!</v>
      </c>
    </row>
    <row r="9639" spans="1:9" ht="15.75" customHeight="1">
      <c r="A9639" s="26"/>
      <c r="B9639" s="2"/>
      <c r="C9639" s="26"/>
      <c r="D9639" s="26"/>
      <c r="F9639" s="85" t="str">
        <f t="shared" si="0"/>
        <v/>
      </c>
      <c r="G9639" s="1" t="e">
        <f>IF(VALUE(F9639) = VALUE(RIGHT(Insights!$C$3, 4)), E9639, "")</f>
        <v>#VALUE!</v>
      </c>
      <c r="H9639" s="26" t="e">
        <f t="shared" si="1"/>
        <v>#VALUE!</v>
      </c>
      <c r="I9639" s="1" t="e">
        <f t="shared" si="2"/>
        <v>#VALUE!</v>
      </c>
    </row>
    <row r="9640" spans="1:9" ht="15.75" customHeight="1">
      <c r="A9640" s="26"/>
      <c r="B9640" s="2"/>
      <c r="C9640" s="26"/>
      <c r="D9640" s="26"/>
      <c r="F9640" s="85" t="str">
        <f t="shared" si="0"/>
        <v/>
      </c>
      <c r="G9640" s="1" t="e">
        <f>IF(VALUE(F9640) = VALUE(RIGHT(Insights!$C$3, 4)), E9640, "")</f>
        <v>#VALUE!</v>
      </c>
      <c r="H9640" s="26" t="e">
        <f t="shared" si="1"/>
        <v>#VALUE!</v>
      </c>
      <c r="I9640" s="1" t="e">
        <f t="shared" si="2"/>
        <v>#VALUE!</v>
      </c>
    </row>
    <row r="9641" spans="1:9" ht="15.75" customHeight="1">
      <c r="A9641" s="26"/>
      <c r="B9641" s="2"/>
      <c r="C9641" s="26"/>
      <c r="D9641" s="26"/>
      <c r="F9641" s="85" t="str">
        <f t="shared" si="0"/>
        <v/>
      </c>
      <c r="G9641" s="1" t="e">
        <f>IF(VALUE(F9641) = VALUE(RIGHT(Insights!$C$3, 4)), E9641, "")</f>
        <v>#VALUE!</v>
      </c>
      <c r="H9641" s="26" t="e">
        <f t="shared" si="1"/>
        <v>#VALUE!</v>
      </c>
      <c r="I9641" s="1" t="e">
        <f t="shared" si="2"/>
        <v>#VALUE!</v>
      </c>
    </row>
    <row r="9642" spans="1:9" ht="15.75" customHeight="1">
      <c r="A9642" s="26"/>
      <c r="B9642" s="2"/>
      <c r="C9642" s="26"/>
      <c r="D9642" s="26"/>
      <c r="F9642" s="85" t="str">
        <f t="shared" si="0"/>
        <v/>
      </c>
      <c r="G9642" s="1" t="e">
        <f>IF(VALUE(F9642) = VALUE(RIGHT(Insights!$C$3, 4)), E9642, "")</f>
        <v>#VALUE!</v>
      </c>
      <c r="H9642" s="26" t="e">
        <f t="shared" si="1"/>
        <v>#VALUE!</v>
      </c>
      <c r="I9642" s="1" t="e">
        <f t="shared" si="2"/>
        <v>#VALUE!</v>
      </c>
    </row>
    <row r="9643" spans="1:9" ht="15.75" customHeight="1">
      <c r="A9643" s="26"/>
      <c r="B9643" s="2"/>
      <c r="C9643" s="26"/>
      <c r="D9643" s="26"/>
      <c r="F9643" s="85" t="str">
        <f t="shared" si="0"/>
        <v/>
      </c>
      <c r="G9643" s="1" t="e">
        <f>IF(VALUE(F9643) = VALUE(RIGHT(Insights!$C$3, 4)), E9643, "")</f>
        <v>#VALUE!</v>
      </c>
      <c r="H9643" s="26" t="e">
        <f t="shared" si="1"/>
        <v>#VALUE!</v>
      </c>
      <c r="I9643" s="1" t="e">
        <f t="shared" si="2"/>
        <v>#VALUE!</v>
      </c>
    </row>
    <row r="9644" spans="1:9" ht="15.75" customHeight="1">
      <c r="A9644" s="26"/>
      <c r="B9644" s="2"/>
      <c r="C9644" s="26"/>
      <c r="D9644" s="26"/>
      <c r="F9644" s="85" t="str">
        <f t="shared" si="0"/>
        <v/>
      </c>
      <c r="G9644" s="1" t="e">
        <f>IF(VALUE(F9644) = VALUE(RIGHT(Insights!$C$3, 4)), E9644, "")</f>
        <v>#VALUE!</v>
      </c>
      <c r="H9644" s="26" t="e">
        <f t="shared" si="1"/>
        <v>#VALUE!</v>
      </c>
      <c r="I9644" s="1" t="e">
        <f t="shared" si="2"/>
        <v>#VALUE!</v>
      </c>
    </row>
    <row r="9645" spans="1:9" ht="15.75" customHeight="1">
      <c r="A9645" s="26"/>
      <c r="B9645" s="2"/>
      <c r="C9645" s="26"/>
      <c r="D9645" s="26"/>
      <c r="F9645" s="85" t="str">
        <f t="shared" si="0"/>
        <v/>
      </c>
      <c r="G9645" s="1" t="e">
        <f>IF(VALUE(F9645) = VALUE(RIGHT(Insights!$C$3, 4)), E9645, "")</f>
        <v>#VALUE!</v>
      </c>
      <c r="H9645" s="26" t="e">
        <f t="shared" si="1"/>
        <v>#VALUE!</v>
      </c>
      <c r="I9645" s="1" t="e">
        <f t="shared" si="2"/>
        <v>#VALUE!</v>
      </c>
    </row>
    <row r="9646" spans="1:9" ht="15.75" customHeight="1">
      <c r="A9646" s="26"/>
      <c r="B9646" s="2"/>
      <c r="C9646" s="26"/>
      <c r="D9646" s="26"/>
      <c r="F9646" s="85" t="str">
        <f t="shared" si="0"/>
        <v/>
      </c>
      <c r="G9646" s="1" t="e">
        <f>IF(VALUE(F9646) = VALUE(RIGHT(Insights!$C$3, 4)), E9646, "")</f>
        <v>#VALUE!</v>
      </c>
      <c r="H9646" s="26" t="e">
        <f t="shared" si="1"/>
        <v>#VALUE!</v>
      </c>
      <c r="I9646" s="1" t="e">
        <f t="shared" si="2"/>
        <v>#VALUE!</v>
      </c>
    </row>
    <row r="9647" spans="1:9" ht="15.75" customHeight="1">
      <c r="A9647" s="26"/>
      <c r="B9647" s="2"/>
      <c r="C9647" s="26"/>
      <c r="D9647" s="26"/>
      <c r="F9647" s="85" t="str">
        <f t="shared" si="0"/>
        <v/>
      </c>
      <c r="G9647" s="1" t="e">
        <f>IF(VALUE(F9647) = VALUE(RIGHT(Insights!$C$3, 4)), E9647, "")</f>
        <v>#VALUE!</v>
      </c>
      <c r="H9647" s="26" t="e">
        <f t="shared" si="1"/>
        <v>#VALUE!</v>
      </c>
      <c r="I9647" s="1" t="e">
        <f t="shared" si="2"/>
        <v>#VALUE!</v>
      </c>
    </row>
    <row r="9648" spans="1:9" ht="15.75" customHeight="1">
      <c r="A9648" s="26"/>
      <c r="B9648" s="2"/>
      <c r="C9648" s="26"/>
      <c r="D9648" s="26"/>
      <c r="F9648" s="85" t="str">
        <f t="shared" si="0"/>
        <v/>
      </c>
      <c r="G9648" s="1" t="e">
        <f>IF(VALUE(F9648) = VALUE(RIGHT(Insights!$C$3, 4)), E9648, "")</f>
        <v>#VALUE!</v>
      </c>
      <c r="H9648" s="26" t="e">
        <f t="shared" si="1"/>
        <v>#VALUE!</v>
      </c>
      <c r="I9648" s="1" t="e">
        <f t="shared" si="2"/>
        <v>#VALUE!</v>
      </c>
    </row>
    <row r="9649" spans="1:9" ht="15.75" customHeight="1">
      <c r="A9649" s="26"/>
      <c r="B9649" s="2"/>
      <c r="C9649" s="26"/>
      <c r="D9649" s="26"/>
      <c r="F9649" s="85" t="str">
        <f t="shared" si="0"/>
        <v/>
      </c>
      <c r="G9649" s="1" t="e">
        <f>IF(VALUE(F9649) = VALUE(RIGHT(Insights!$C$3, 4)), E9649, "")</f>
        <v>#VALUE!</v>
      </c>
      <c r="H9649" s="26" t="e">
        <f t="shared" si="1"/>
        <v>#VALUE!</v>
      </c>
      <c r="I9649" s="1" t="e">
        <f t="shared" si="2"/>
        <v>#VALUE!</v>
      </c>
    </row>
    <row r="9650" spans="1:9" ht="15.75" customHeight="1">
      <c r="A9650" s="26"/>
      <c r="B9650" s="2"/>
      <c r="C9650" s="26"/>
      <c r="D9650" s="26"/>
      <c r="F9650" s="85" t="str">
        <f t="shared" si="0"/>
        <v/>
      </c>
      <c r="G9650" s="1" t="e">
        <f>IF(VALUE(F9650) = VALUE(RIGHT(Insights!$C$3, 4)), E9650, "")</f>
        <v>#VALUE!</v>
      </c>
      <c r="H9650" s="26" t="e">
        <f t="shared" si="1"/>
        <v>#VALUE!</v>
      </c>
      <c r="I9650" s="1" t="e">
        <f t="shared" si="2"/>
        <v>#VALUE!</v>
      </c>
    </row>
    <row r="9651" spans="1:9" ht="15.75" customHeight="1">
      <c r="A9651" s="26"/>
      <c r="B9651" s="2"/>
      <c r="C9651" s="26"/>
      <c r="D9651" s="26"/>
      <c r="F9651" s="85" t="str">
        <f t="shared" si="0"/>
        <v/>
      </c>
      <c r="G9651" s="1" t="e">
        <f>IF(VALUE(F9651) = VALUE(RIGHT(Insights!$C$3, 4)), E9651, "")</f>
        <v>#VALUE!</v>
      </c>
      <c r="H9651" s="26" t="e">
        <f t="shared" si="1"/>
        <v>#VALUE!</v>
      </c>
      <c r="I9651" s="1" t="e">
        <f t="shared" si="2"/>
        <v>#VALUE!</v>
      </c>
    </row>
    <row r="9652" spans="1:9" ht="15.75" customHeight="1">
      <c r="A9652" s="26"/>
      <c r="B9652" s="2"/>
      <c r="C9652" s="26"/>
      <c r="D9652" s="26"/>
      <c r="F9652" s="85" t="str">
        <f t="shared" si="0"/>
        <v/>
      </c>
      <c r="G9652" s="1" t="e">
        <f>IF(VALUE(F9652) = VALUE(RIGHT(Insights!$C$3, 4)), E9652, "")</f>
        <v>#VALUE!</v>
      </c>
      <c r="H9652" s="26" t="e">
        <f t="shared" si="1"/>
        <v>#VALUE!</v>
      </c>
      <c r="I9652" s="1" t="e">
        <f t="shared" si="2"/>
        <v>#VALUE!</v>
      </c>
    </row>
    <row r="9653" spans="1:9" ht="15.75" customHeight="1">
      <c r="A9653" s="26"/>
      <c r="B9653" s="2"/>
      <c r="C9653" s="26"/>
      <c r="D9653" s="26"/>
      <c r="F9653" s="85" t="str">
        <f t="shared" si="0"/>
        <v/>
      </c>
      <c r="G9653" s="1" t="e">
        <f>IF(VALUE(F9653) = VALUE(RIGHT(Insights!$C$3, 4)), E9653, "")</f>
        <v>#VALUE!</v>
      </c>
      <c r="H9653" s="26" t="e">
        <f t="shared" si="1"/>
        <v>#VALUE!</v>
      </c>
      <c r="I9653" s="1" t="e">
        <f t="shared" si="2"/>
        <v>#VALUE!</v>
      </c>
    </row>
    <row r="9654" spans="1:9" ht="15.75" customHeight="1">
      <c r="A9654" s="26"/>
      <c r="B9654" s="2"/>
      <c r="C9654" s="26"/>
      <c r="D9654" s="26"/>
      <c r="F9654" s="85" t="str">
        <f t="shared" si="0"/>
        <v/>
      </c>
      <c r="G9654" s="1" t="e">
        <f>IF(VALUE(F9654) = VALUE(RIGHT(Insights!$C$3, 4)), E9654, "")</f>
        <v>#VALUE!</v>
      </c>
      <c r="H9654" s="26" t="e">
        <f t="shared" si="1"/>
        <v>#VALUE!</v>
      </c>
      <c r="I9654" s="1" t="e">
        <f t="shared" si="2"/>
        <v>#VALUE!</v>
      </c>
    </row>
    <row r="9655" spans="1:9" ht="15.75" customHeight="1">
      <c r="A9655" s="26"/>
      <c r="B9655" s="2"/>
      <c r="C9655" s="26"/>
      <c r="D9655" s="26"/>
      <c r="F9655" s="85" t="str">
        <f t="shared" si="0"/>
        <v/>
      </c>
      <c r="G9655" s="1" t="e">
        <f>IF(VALUE(F9655) = VALUE(RIGHT(Insights!$C$3, 4)), E9655, "")</f>
        <v>#VALUE!</v>
      </c>
      <c r="H9655" s="26" t="e">
        <f t="shared" si="1"/>
        <v>#VALUE!</v>
      </c>
      <c r="I9655" s="1" t="e">
        <f t="shared" si="2"/>
        <v>#VALUE!</v>
      </c>
    </row>
    <row r="9656" spans="1:9" ht="15.75" customHeight="1">
      <c r="A9656" s="26"/>
      <c r="B9656" s="2"/>
      <c r="C9656" s="26"/>
      <c r="D9656" s="26"/>
      <c r="F9656" s="85" t="str">
        <f t="shared" si="0"/>
        <v/>
      </c>
      <c r="G9656" s="1" t="e">
        <f>IF(VALUE(F9656) = VALUE(RIGHT(Insights!$C$3, 4)), E9656, "")</f>
        <v>#VALUE!</v>
      </c>
      <c r="H9656" s="26" t="e">
        <f t="shared" si="1"/>
        <v>#VALUE!</v>
      </c>
      <c r="I9656" s="1" t="e">
        <f t="shared" si="2"/>
        <v>#VALUE!</v>
      </c>
    </row>
    <row r="9657" spans="1:9" ht="15.75" customHeight="1">
      <c r="A9657" s="26"/>
      <c r="B9657" s="2"/>
      <c r="C9657" s="26"/>
      <c r="D9657" s="26"/>
      <c r="F9657" s="85" t="str">
        <f t="shared" si="0"/>
        <v/>
      </c>
      <c r="G9657" s="1" t="e">
        <f>IF(VALUE(F9657) = VALUE(RIGHT(Insights!$C$3, 4)), E9657, "")</f>
        <v>#VALUE!</v>
      </c>
      <c r="H9657" s="26" t="e">
        <f t="shared" si="1"/>
        <v>#VALUE!</v>
      </c>
      <c r="I9657" s="1" t="e">
        <f t="shared" si="2"/>
        <v>#VALUE!</v>
      </c>
    </row>
    <row r="9658" spans="1:9" ht="15.75" customHeight="1">
      <c r="A9658" s="26"/>
      <c r="B9658" s="2"/>
      <c r="C9658" s="26"/>
      <c r="D9658" s="26"/>
      <c r="F9658" s="85" t="str">
        <f t="shared" si="0"/>
        <v/>
      </c>
      <c r="G9658" s="1" t="e">
        <f>IF(VALUE(F9658) = VALUE(RIGHT(Insights!$C$3, 4)), E9658, "")</f>
        <v>#VALUE!</v>
      </c>
      <c r="H9658" s="26" t="e">
        <f t="shared" si="1"/>
        <v>#VALUE!</v>
      </c>
      <c r="I9658" s="1" t="e">
        <f t="shared" si="2"/>
        <v>#VALUE!</v>
      </c>
    </row>
    <row r="9659" spans="1:9" ht="15.75" customHeight="1">
      <c r="A9659" s="26"/>
      <c r="B9659" s="2"/>
      <c r="C9659" s="26"/>
      <c r="D9659" s="26"/>
      <c r="F9659" s="85" t="str">
        <f t="shared" si="0"/>
        <v/>
      </c>
      <c r="G9659" s="1" t="e">
        <f>IF(VALUE(F9659) = VALUE(RIGHT(Insights!$C$3, 4)), E9659, "")</f>
        <v>#VALUE!</v>
      </c>
      <c r="H9659" s="26" t="e">
        <f t="shared" si="1"/>
        <v>#VALUE!</v>
      </c>
      <c r="I9659" s="1" t="e">
        <f t="shared" si="2"/>
        <v>#VALUE!</v>
      </c>
    </row>
    <row r="9660" spans="1:9" ht="15.75" customHeight="1">
      <c r="A9660" s="26"/>
      <c r="B9660" s="2"/>
      <c r="C9660" s="26"/>
      <c r="D9660" s="26"/>
      <c r="F9660" s="85" t="str">
        <f t="shared" si="0"/>
        <v/>
      </c>
      <c r="G9660" s="1" t="e">
        <f>IF(VALUE(F9660) = VALUE(RIGHT(Insights!$C$3, 4)), E9660, "")</f>
        <v>#VALUE!</v>
      </c>
      <c r="H9660" s="26" t="e">
        <f t="shared" si="1"/>
        <v>#VALUE!</v>
      </c>
      <c r="I9660" s="1" t="e">
        <f t="shared" si="2"/>
        <v>#VALUE!</v>
      </c>
    </row>
    <row r="9661" spans="1:9" ht="15.75" customHeight="1">
      <c r="A9661" s="26"/>
      <c r="B9661" s="2"/>
      <c r="C9661" s="26"/>
      <c r="D9661" s="26"/>
      <c r="F9661" s="85" t="str">
        <f t="shared" si="0"/>
        <v/>
      </c>
      <c r="G9661" s="1" t="e">
        <f>IF(VALUE(F9661) = VALUE(RIGHT(Insights!$C$3, 4)), E9661, "")</f>
        <v>#VALUE!</v>
      </c>
      <c r="H9661" s="26" t="e">
        <f t="shared" si="1"/>
        <v>#VALUE!</v>
      </c>
      <c r="I9661" s="1" t="e">
        <f t="shared" si="2"/>
        <v>#VALUE!</v>
      </c>
    </row>
    <row r="9662" spans="1:9" ht="15.75" customHeight="1">
      <c r="A9662" s="26"/>
      <c r="B9662" s="2"/>
      <c r="C9662" s="26"/>
      <c r="D9662" s="26"/>
      <c r="F9662" s="85" t="str">
        <f t="shared" si="0"/>
        <v/>
      </c>
      <c r="G9662" s="1" t="e">
        <f>IF(VALUE(F9662) = VALUE(RIGHT(Insights!$C$3, 4)), E9662, "")</f>
        <v>#VALUE!</v>
      </c>
      <c r="H9662" s="26" t="e">
        <f t="shared" si="1"/>
        <v>#VALUE!</v>
      </c>
      <c r="I9662" s="1" t="e">
        <f t="shared" si="2"/>
        <v>#VALUE!</v>
      </c>
    </row>
    <row r="9663" spans="1:9" ht="15.75" customHeight="1">
      <c r="A9663" s="26"/>
      <c r="B9663" s="2"/>
      <c r="C9663" s="26"/>
      <c r="D9663" s="26"/>
      <c r="F9663" s="85" t="str">
        <f t="shared" si="0"/>
        <v/>
      </c>
      <c r="G9663" s="1" t="e">
        <f>IF(VALUE(F9663) = VALUE(RIGHT(Insights!$C$3, 4)), E9663, "")</f>
        <v>#VALUE!</v>
      </c>
      <c r="H9663" s="26" t="e">
        <f t="shared" si="1"/>
        <v>#VALUE!</v>
      </c>
      <c r="I9663" s="1" t="e">
        <f t="shared" si="2"/>
        <v>#VALUE!</v>
      </c>
    </row>
    <row r="9664" spans="1:9" ht="15.75" customHeight="1">
      <c r="A9664" s="26"/>
      <c r="B9664" s="2"/>
      <c r="C9664" s="26"/>
      <c r="D9664" s="26"/>
      <c r="F9664" s="85" t="str">
        <f t="shared" si="0"/>
        <v/>
      </c>
      <c r="G9664" s="1" t="e">
        <f>IF(VALUE(F9664) = VALUE(RIGHT(Insights!$C$3, 4)), E9664, "")</f>
        <v>#VALUE!</v>
      </c>
      <c r="H9664" s="26" t="e">
        <f t="shared" si="1"/>
        <v>#VALUE!</v>
      </c>
      <c r="I9664" s="1" t="e">
        <f t="shared" si="2"/>
        <v>#VALUE!</v>
      </c>
    </row>
    <row r="9665" spans="1:9" ht="15.75" customHeight="1">
      <c r="A9665" s="26"/>
      <c r="B9665" s="2"/>
      <c r="C9665" s="26"/>
      <c r="D9665" s="26"/>
      <c r="F9665" s="85" t="str">
        <f t="shared" si="0"/>
        <v/>
      </c>
      <c r="G9665" s="1" t="e">
        <f>IF(VALUE(F9665) = VALUE(RIGHT(Insights!$C$3, 4)), E9665, "")</f>
        <v>#VALUE!</v>
      </c>
      <c r="H9665" s="26" t="e">
        <f t="shared" si="1"/>
        <v>#VALUE!</v>
      </c>
      <c r="I9665" s="1" t="e">
        <f t="shared" si="2"/>
        <v>#VALUE!</v>
      </c>
    </row>
    <row r="9666" spans="1:9" ht="15.75" customHeight="1">
      <c r="A9666" s="26"/>
      <c r="B9666" s="2"/>
      <c r="C9666" s="26"/>
      <c r="D9666" s="26"/>
      <c r="F9666" s="85" t="str">
        <f t="shared" si="0"/>
        <v/>
      </c>
      <c r="G9666" s="1" t="e">
        <f>IF(VALUE(F9666) = VALUE(RIGHT(Insights!$C$3, 4)), E9666, "")</f>
        <v>#VALUE!</v>
      </c>
      <c r="H9666" s="26" t="e">
        <f t="shared" si="1"/>
        <v>#VALUE!</v>
      </c>
      <c r="I9666" s="1" t="e">
        <f t="shared" si="2"/>
        <v>#VALUE!</v>
      </c>
    </row>
    <row r="9667" spans="1:9" ht="15.75" customHeight="1">
      <c r="A9667" s="26"/>
      <c r="B9667" s="2"/>
      <c r="C9667" s="26"/>
      <c r="D9667" s="26"/>
      <c r="F9667" s="85" t="str">
        <f t="shared" si="0"/>
        <v/>
      </c>
      <c r="G9667" s="1" t="e">
        <f>IF(VALUE(F9667) = VALUE(RIGHT(Insights!$C$3, 4)), E9667, "")</f>
        <v>#VALUE!</v>
      </c>
      <c r="H9667" s="26" t="e">
        <f t="shared" si="1"/>
        <v>#VALUE!</v>
      </c>
      <c r="I9667" s="1" t="e">
        <f t="shared" si="2"/>
        <v>#VALUE!</v>
      </c>
    </row>
    <row r="9668" spans="1:9" ht="15.75" customHeight="1">
      <c r="A9668" s="26"/>
      <c r="B9668" s="2"/>
      <c r="C9668" s="26"/>
      <c r="D9668" s="26"/>
      <c r="F9668" s="85" t="str">
        <f t="shared" si="0"/>
        <v/>
      </c>
      <c r="G9668" s="1" t="e">
        <f>IF(VALUE(F9668) = VALUE(RIGHT(Insights!$C$3, 4)), E9668, "")</f>
        <v>#VALUE!</v>
      </c>
      <c r="H9668" s="26" t="e">
        <f t="shared" si="1"/>
        <v>#VALUE!</v>
      </c>
      <c r="I9668" s="1" t="e">
        <f t="shared" si="2"/>
        <v>#VALUE!</v>
      </c>
    </row>
    <row r="9669" spans="1:9" ht="15.75" customHeight="1">
      <c r="A9669" s="26"/>
      <c r="B9669" s="2"/>
      <c r="C9669" s="26"/>
      <c r="D9669" s="26"/>
      <c r="F9669" s="85" t="str">
        <f t="shared" si="0"/>
        <v/>
      </c>
      <c r="G9669" s="1" t="e">
        <f>IF(VALUE(F9669) = VALUE(RIGHT(Insights!$C$3, 4)), E9669, "")</f>
        <v>#VALUE!</v>
      </c>
      <c r="H9669" s="26" t="e">
        <f t="shared" si="1"/>
        <v>#VALUE!</v>
      </c>
      <c r="I9669" s="1" t="e">
        <f t="shared" si="2"/>
        <v>#VALUE!</v>
      </c>
    </row>
    <row r="9670" spans="1:9" ht="15.75" customHeight="1">
      <c r="A9670" s="26"/>
      <c r="B9670" s="2"/>
      <c r="C9670" s="26"/>
      <c r="D9670" s="26"/>
      <c r="F9670" s="85" t="str">
        <f t="shared" si="0"/>
        <v/>
      </c>
      <c r="G9670" s="1" t="e">
        <f>IF(VALUE(F9670) = VALUE(RIGHT(Insights!$C$3, 4)), E9670, "")</f>
        <v>#VALUE!</v>
      </c>
      <c r="H9670" s="26" t="e">
        <f t="shared" si="1"/>
        <v>#VALUE!</v>
      </c>
      <c r="I9670" s="1" t="e">
        <f t="shared" si="2"/>
        <v>#VALUE!</v>
      </c>
    </row>
    <row r="9671" spans="1:9" ht="15.75" customHeight="1">
      <c r="A9671" s="26"/>
      <c r="B9671" s="2"/>
      <c r="C9671" s="26"/>
      <c r="D9671" s="26"/>
      <c r="F9671" s="85" t="str">
        <f t="shared" si="0"/>
        <v/>
      </c>
      <c r="G9671" s="1" t="e">
        <f>IF(VALUE(F9671) = VALUE(RIGHT(Insights!$C$3, 4)), E9671, "")</f>
        <v>#VALUE!</v>
      </c>
      <c r="H9671" s="26" t="e">
        <f t="shared" si="1"/>
        <v>#VALUE!</v>
      </c>
      <c r="I9671" s="1" t="e">
        <f t="shared" si="2"/>
        <v>#VALUE!</v>
      </c>
    </row>
    <row r="9672" spans="1:9" ht="15.75" customHeight="1">
      <c r="A9672" s="26"/>
      <c r="B9672" s="2"/>
      <c r="C9672" s="26"/>
      <c r="D9672" s="26"/>
      <c r="F9672" s="85" t="str">
        <f t="shared" si="0"/>
        <v/>
      </c>
      <c r="G9672" s="1" t="e">
        <f>IF(VALUE(F9672) = VALUE(RIGHT(Insights!$C$3, 4)), E9672, "")</f>
        <v>#VALUE!</v>
      </c>
      <c r="H9672" s="26" t="e">
        <f t="shared" si="1"/>
        <v>#VALUE!</v>
      </c>
      <c r="I9672" s="1" t="e">
        <f t="shared" si="2"/>
        <v>#VALUE!</v>
      </c>
    </row>
    <row r="9673" spans="1:9" ht="15.75" customHeight="1">
      <c r="A9673" s="26"/>
      <c r="B9673" s="2"/>
      <c r="C9673" s="26"/>
      <c r="D9673" s="26"/>
      <c r="F9673" s="85" t="str">
        <f t="shared" si="0"/>
        <v/>
      </c>
      <c r="G9673" s="1" t="e">
        <f>IF(VALUE(F9673) = VALUE(RIGHT(Insights!$C$3, 4)), E9673, "")</f>
        <v>#VALUE!</v>
      </c>
      <c r="H9673" s="26" t="e">
        <f t="shared" si="1"/>
        <v>#VALUE!</v>
      </c>
      <c r="I9673" s="1" t="e">
        <f t="shared" si="2"/>
        <v>#VALUE!</v>
      </c>
    </row>
    <row r="9674" spans="1:9" ht="15.75" customHeight="1">
      <c r="A9674" s="26"/>
      <c r="B9674" s="2"/>
      <c r="C9674" s="26"/>
      <c r="D9674" s="26"/>
      <c r="F9674" s="85" t="str">
        <f t="shared" si="0"/>
        <v/>
      </c>
      <c r="G9674" s="1" t="e">
        <f>IF(VALUE(F9674) = VALUE(RIGHT(Insights!$C$3, 4)), E9674, "")</f>
        <v>#VALUE!</v>
      </c>
      <c r="H9674" s="26" t="e">
        <f t="shared" si="1"/>
        <v>#VALUE!</v>
      </c>
      <c r="I9674" s="1" t="e">
        <f t="shared" si="2"/>
        <v>#VALUE!</v>
      </c>
    </row>
    <row r="9675" spans="1:9" ht="15.75" customHeight="1">
      <c r="A9675" s="26"/>
      <c r="B9675" s="2"/>
      <c r="C9675" s="26"/>
      <c r="D9675" s="26"/>
      <c r="F9675" s="85" t="str">
        <f t="shared" si="0"/>
        <v/>
      </c>
      <c r="G9675" s="1" t="e">
        <f>IF(VALUE(F9675) = VALUE(RIGHT(Insights!$C$3, 4)), E9675, "")</f>
        <v>#VALUE!</v>
      </c>
      <c r="H9675" s="26" t="e">
        <f t="shared" si="1"/>
        <v>#VALUE!</v>
      </c>
      <c r="I9675" s="1" t="e">
        <f t="shared" si="2"/>
        <v>#VALUE!</v>
      </c>
    </row>
    <row r="9676" spans="1:9" ht="15.75" customHeight="1">
      <c r="A9676" s="26"/>
      <c r="B9676" s="2"/>
      <c r="C9676" s="26"/>
      <c r="D9676" s="26"/>
      <c r="F9676" s="85" t="str">
        <f t="shared" si="0"/>
        <v/>
      </c>
      <c r="G9676" s="1" t="e">
        <f>IF(VALUE(F9676) = VALUE(RIGHT(Insights!$C$3, 4)), E9676, "")</f>
        <v>#VALUE!</v>
      </c>
      <c r="H9676" s="26" t="e">
        <f t="shared" si="1"/>
        <v>#VALUE!</v>
      </c>
      <c r="I9676" s="1" t="e">
        <f t="shared" si="2"/>
        <v>#VALUE!</v>
      </c>
    </row>
    <row r="9677" spans="1:9" ht="15.75" customHeight="1">
      <c r="A9677" s="26"/>
      <c r="B9677" s="2"/>
      <c r="C9677" s="26"/>
      <c r="D9677" s="26"/>
      <c r="F9677" s="85" t="str">
        <f t="shared" si="0"/>
        <v/>
      </c>
      <c r="G9677" s="1" t="e">
        <f>IF(VALUE(F9677) = VALUE(RIGHT(Insights!$C$3, 4)), E9677, "")</f>
        <v>#VALUE!</v>
      </c>
      <c r="H9677" s="26" t="e">
        <f t="shared" si="1"/>
        <v>#VALUE!</v>
      </c>
      <c r="I9677" s="1" t="e">
        <f t="shared" si="2"/>
        <v>#VALUE!</v>
      </c>
    </row>
    <row r="9678" spans="1:9" ht="15.75" customHeight="1">
      <c r="A9678" s="26"/>
      <c r="B9678" s="2"/>
      <c r="C9678" s="26"/>
      <c r="D9678" s="26"/>
      <c r="F9678" s="85" t="str">
        <f t="shared" si="0"/>
        <v/>
      </c>
      <c r="G9678" s="1" t="e">
        <f>IF(VALUE(F9678) = VALUE(RIGHT(Insights!$C$3, 4)), E9678, "")</f>
        <v>#VALUE!</v>
      </c>
      <c r="H9678" s="26" t="e">
        <f t="shared" si="1"/>
        <v>#VALUE!</v>
      </c>
      <c r="I9678" s="1" t="e">
        <f t="shared" si="2"/>
        <v>#VALUE!</v>
      </c>
    </row>
    <row r="9679" spans="1:9" ht="15.75" customHeight="1">
      <c r="A9679" s="26"/>
      <c r="B9679" s="2"/>
      <c r="C9679" s="26"/>
      <c r="D9679" s="26"/>
      <c r="F9679" s="85" t="str">
        <f t="shared" si="0"/>
        <v/>
      </c>
      <c r="G9679" s="1" t="e">
        <f>IF(VALUE(F9679) = VALUE(RIGHT(Insights!$C$3, 4)), E9679, "")</f>
        <v>#VALUE!</v>
      </c>
      <c r="H9679" s="26" t="e">
        <f t="shared" si="1"/>
        <v>#VALUE!</v>
      </c>
      <c r="I9679" s="1" t="e">
        <f t="shared" si="2"/>
        <v>#VALUE!</v>
      </c>
    </row>
    <row r="9680" spans="1:9" ht="15.75" customHeight="1">
      <c r="A9680" s="26"/>
      <c r="B9680" s="2"/>
      <c r="C9680" s="26"/>
      <c r="D9680" s="26"/>
      <c r="F9680" s="85" t="str">
        <f t="shared" si="0"/>
        <v/>
      </c>
      <c r="G9680" s="1" t="e">
        <f>IF(VALUE(F9680) = VALUE(RIGHT(Insights!$C$3, 4)), E9680, "")</f>
        <v>#VALUE!</v>
      </c>
      <c r="H9680" s="26" t="e">
        <f t="shared" si="1"/>
        <v>#VALUE!</v>
      </c>
      <c r="I9680" s="1" t="e">
        <f t="shared" si="2"/>
        <v>#VALUE!</v>
      </c>
    </row>
    <row r="9681" spans="1:9" ht="15.75" customHeight="1">
      <c r="A9681" s="26"/>
      <c r="B9681" s="2"/>
      <c r="C9681" s="26"/>
      <c r="D9681" s="26"/>
      <c r="F9681" s="85" t="str">
        <f t="shared" si="0"/>
        <v/>
      </c>
      <c r="G9681" s="1" t="e">
        <f>IF(VALUE(F9681) = VALUE(RIGHT(Insights!$C$3, 4)), E9681, "")</f>
        <v>#VALUE!</v>
      </c>
      <c r="H9681" s="26" t="e">
        <f t="shared" si="1"/>
        <v>#VALUE!</v>
      </c>
      <c r="I9681" s="1" t="e">
        <f t="shared" si="2"/>
        <v>#VALUE!</v>
      </c>
    </row>
    <row r="9682" spans="1:9" ht="15.75" customHeight="1">
      <c r="A9682" s="26"/>
      <c r="B9682" s="2"/>
      <c r="C9682" s="26"/>
      <c r="D9682" s="26"/>
      <c r="F9682" s="85" t="str">
        <f t="shared" si="0"/>
        <v/>
      </c>
      <c r="G9682" s="1" t="e">
        <f>IF(VALUE(F9682) = VALUE(RIGHT(Insights!$C$3, 4)), E9682, "")</f>
        <v>#VALUE!</v>
      </c>
      <c r="H9682" s="26" t="e">
        <f t="shared" si="1"/>
        <v>#VALUE!</v>
      </c>
      <c r="I9682" s="1" t="e">
        <f t="shared" si="2"/>
        <v>#VALUE!</v>
      </c>
    </row>
    <row r="9683" spans="1:9" ht="15.75" customHeight="1">
      <c r="A9683" s="26"/>
      <c r="B9683" s="2"/>
      <c r="C9683" s="26"/>
      <c r="D9683" s="26"/>
      <c r="F9683" s="85" t="str">
        <f t="shared" si="0"/>
        <v/>
      </c>
      <c r="G9683" s="1" t="e">
        <f>IF(VALUE(F9683) = VALUE(RIGHT(Insights!$C$3, 4)), E9683, "")</f>
        <v>#VALUE!</v>
      </c>
      <c r="H9683" s="26" t="e">
        <f t="shared" si="1"/>
        <v>#VALUE!</v>
      </c>
      <c r="I9683" s="1" t="e">
        <f t="shared" si="2"/>
        <v>#VALUE!</v>
      </c>
    </row>
    <row r="9684" spans="1:9" ht="15.75" customHeight="1">
      <c r="A9684" s="26"/>
      <c r="B9684" s="2"/>
      <c r="C9684" s="26"/>
      <c r="D9684" s="26"/>
      <c r="F9684" s="85" t="str">
        <f t="shared" si="0"/>
        <v/>
      </c>
      <c r="G9684" s="1" t="e">
        <f>IF(VALUE(F9684) = VALUE(RIGHT(Insights!$C$3, 4)), E9684, "")</f>
        <v>#VALUE!</v>
      </c>
      <c r="H9684" s="26" t="e">
        <f t="shared" si="1"/>
        <v>#VALUE!</v>
      </c>
      <c r="I9684" s="1" t="e">
        <f t="shared" si="2"/>
        <v>#VALUE!</v>
      </c>
    </row>
    <row r="9685" spans="1:9" ht="15.75" customHeight="1">
      <c r="A9685" s="26"/>
      <c r="B9685" s="2"/>
      <c r="C9685" s="26"/>
      <c r="D9685" s="26"/>
      <c r="F9685" s="85" t="str">
        <f t="shared" si="0"/>
        <v/>
      </c>
      <c r="G9685" s="1" t="e">
        <f>IF(VALUE(F9685) = VALUE(RIGHT(Insights!$C$3, 4)), E9685, "")</f>
        <v>#VALUE!</v>
      </c>
      <c r="H9685" s="26" t="e">
        <f t="shared" si="1"/>
        <v>#VALUE!</v>
      </c>
      <c r="I9685" s="1" t="e">
        <f t="shared" si="2"/>
        <v>#VALUE!</v>
      </c>
    </row>
    <row r="9686" spans="1:9" ht="15.75" customHeight="1">
      <c r="A9686" s="26"/>
      <c r="B9686" s="2"/>
      <c r="C9686" s="26"/>
      <c r="D9686" s="26"/>
      <c r="F9686" s="85" t="str">
        <f t="shared" si="0"/>
        <v/>
      </c>
      <c r="G9686" s="1" t="e">
        <f>IF(VALUE(F9686) = VALUE(RIGHT(Insights!$C$3, 4)), E9686, "")</f>
        <v>#VALUE!</v>
      </c>
      <c r="H9686" s="26" t="e">
        <f t="shared" si="1"/>
        <v>#VALUE!</v>
      </c>
      <c r="I9686" s="1" t="e">
        <f t="shared" si="2"/>
        <v>#VALUE!</v>
      </c>
    </row>
    <row r="9687" spans="1:9" ht="15.75" customHeight="1">
      <c r="A9687" s="26"/>
      <c r="B9687" s="2"/>
      <c r="C9687" s="26"/>
      <c r="D9687" s="26"/>
      <c r="F9687" s="85" t="str">
        <f t="shared" si="0"/>
        <v/>
      </c>
      <c r="G9687" s="1" t="e">
        <f>IF(VALUE(F9687) = VALUE(RIGHT(Insights!$C$3, 4)), E9687, "")</f>
        <v>#VALUE!</v>
      </c>
      <c r="H9687" s="26" t="e">
        <f t="shared" si="1"/>
        <v>#VALUE!</v>
      </c>
      <c r="I9687" s="1" t="e">
        <f t="shared" si="2"/>
        <v>#VALUE!</v>
      </c>
    </row>
    <row r="9688" spans="1:9" ht="15.75" customHeight="1">
      <c r="A9688" s="26"/>
      <c r="B9688" s="2"/>
      <c r="C9688" s="26"/>
      <c r="D9688" s="26"/>
      <c r="F9688" s="85" t="str">
        <f t="shared" si="0"/>
        <v/>
      </c>
      <c r="G9688" s="1" t="e">
        <f>IF(VALUE(F9688) = VALUE(RIGHT(Insights!$C$3, 4)), E9688, "")</f>
        <v>#VALUE!</v>
      </c>
      <c r="H9688" s="26" t="e">
        <f t="shared" si="1"/>
        <v>#VALUE!</v>
      </c>
      <c r="I9688" s="1" t="e">
        <f t="shared" si="2"/>
        <v>#VALUE!</v>
      </c>
    </row>
    <row r="9689" spans="1:9" ht="15.75" customHeight="1">
      <c r="A9689" s="26"/>
      <c r="B9689" s="2"/>
      <c r="C9689" s="26"/>
      <c r="D9689" s="26"/>
      <c r="F9689" s="85" t="str">
        <f t="shared" si="0"/>
        <v/>
      </c>
      <c r="G9689" s="1" t="e">
        <f>IF(VALUE(F9689) = VALUE(RIGHT(Insights!$C$3, 4)), E9689, "")</f>
        <v>#VALUE!</v>
      </c>
      <c r="H9689" s="26" t="e">
        <f t="shared" si="1"/>
        <v>#VALUE!</v>
      </c>
      <c r="I9689" s="1" t="e">
        <f t="shared" si="2"/>
        <v>#VALUE!</v>
      </c>
    </row>
    <row r="9690" spans="1:9" ht="15.75" customHeight="1">
      <c r="A9690" s="26"/>
      <c r="B9690" s="2"/>
      <c r="C9690" s="26"/>
      <c r="D9690" s="26"/>
      <c r="F9690" s="85" t="str">
        <f t="shared" si="0"/>
        <v/>
      </c>
      <c r="G9690" s="1" t="e">
        <f>IF(VALUE(F9690) = VALUE(RIGHT(Insights!$C$3, 4)), E9690, "")</f>
        <v>#VALUE!</v>
      </c>
      <c r="H9690" s="26" t="e">
        <f t="shared" si="1"/>
        <v>#VALUE!</v>
      </c>
      <c r="I9690" s="1" t="e">
        <f t="shared" si="2"/>
        <v>#VALUE!</v>
      </c>
    </row>
    <row r="9691" spans="1:9" ht="15.75" customHeight="1">
      <c r="A9691" s="26"/>
      <c r="B9691" s="2"/>
      <c r="C9691" s="26"/>
      <c r="D9691" s="26"/>
      <c r="F9691" s="85" t="str">
        <f t="shared" si="0"/>
        <v/>
      </c>
      <c r="G9691" s="1" t="e">
        <f>IF(VALUE(F9691) = VALUE(RIGHT(Insights!$C$3, 4)), E9691, "")</f>
        <v>#VALUE!</v>
      </c>
      <c r="H9691" s="26" t="e">
        <f t="shared" si="1"/>
        <v>#VALUE!</v>
      </c>
      <c r="I9691" s="1" t="e">
        <f t="shared" si="2"/>
        <v>#VALUE!</v>
      </c>
    </row>
    <row r="9692" spans="1:9" ht="15.75" customHeight="1">
      <c r="A9692" s="26"/>
      <c r="B9692" s="2"/>
      <c r="C9692" s="26"/>
      <c r="D9692" s="26"/>
      <c r="F9692" s="85" t="str">
        <f t="shared" si="0"/>
        <v/>
      </c>
      <c r="G9692" s="1" t="e">
        <f>IF(VALUE(F9692) = VALUE(RIGHT(Insights!$C$3, 4)), E9692, "")</f>
        <v>#VALUE!</v>
      </c>
      <c r="H9692" s="26" t="e">
        <f t="shared" si="1"/>
        <v>#VALUE!</v>
      </c>
      <c r="I9692" s="1" t="e">
        <f t="shared" si="2"/>
        <v>#VALUE!</v>
      </c>
    </row>
    <row r="9693" spans="1:9" ht="15.75" customHeight="1">
      <c r="A9693" s="26"/>
      <c r="B9693" s="2"/>
      <c r="C9693" s="26"/>
      <c r="D9693" s="26"/>
      <c r="F9693" s="85" t="str">
        <f t="shared" si="0"/>
        <v/>
      </c>
      <c r="G9693" s="1" t="e">
        <f>IF(VALUE(F9693) = VALUE(RIGHT(Insights!$C$3, 4)), E9693, "")</f>
        <v>#VALUE!</v>
      </c>
      <c r="H9693" s="26" t="e">
        <f t="shared" si="1"/>
        <v>#VALUE!</v>
      </c>
      <c r="I9693" s="1" t="e">
        <f t="shared" si="2"/>
        <v>#VALUE!</v>
      </c>
    </row>
    <row r="9694" spans="1:9" ht="15.75" customHeight="1">
      <c r="A9694" s="26"/>
      <c r="B9694" s="2"/>
      <c r="C9694" s="26"/>
      <c r="D9694" s="26"/>
      <c r="F9694" s="85" t="str">
        <f t="shared" si="0"/>
        <v/>
      </c>
      <c r="G9694" s="1" t="e">
        <f>IF(VALUE(F9694) = VALUE(RIGHT(Insights!$C$3, 4)), E9694, "")</f>
        <v>#VALUE!</v>
      </c>
      <c r="H9694" s="26" t="e">
        <f t="shared" si="1"/>
        <v>#VALUE!</v>
      </c>
      <c r="I9694" s="1" t="e">
        <f t="shared" si="2"/>
        <v>#VALUE!</v>
      </c>
    </row>
    <row r="9695" spans="1:9" ht="15.75" customHeight="1">
      <c r="A9695" s="26"/>
      <c r="B9695" s="2"/>
      <c r="C9695" s="26"/>
      <c r="D9695" s="26"/>
      <c r="F9695" s="85" t="str">
        <f t="shared" si="0"/>
        <v/>
      </c>
      <c r="G9695" s="1" t="e">
        <f>IF(VALUE(F9695) = VALUE(RIGHT(Insights!$C$3, 4)), E9695, "")</f>
        <v>#VALUE!</v>
      </c>
      <c r="H9695" s="26" t="e">
        <f t="shared" si="1"/>
        <v>#VALUE!</v>
      </c>
      <c r="I9695" s="1" t="e">
        <f t="shared" si="2"/>
        <v>#VALUE!</v>
      </c>
    </row>
    <row r="9696" spans="1:9" ht="15.75" customHeight="1">
      <c r="A9696" s="26"/>
      <c r="B9696" s="2"/>
      <c r="C9696" s="26"/>
      <c r="D9696" s="26"/>
      <c r="F9696" s="85" t="str">
        <f t="shared" si="0"/>
        <v/>
      </c>
      <c r="G9696" s="1" t="e">
        <f>IF(VALUE(F9696) = VALUE(RIGHT(Insights!$C$3, 4)), E9696, "")</f>
        <v>#VALUE!</v>
      </c>
      <c r="H9696" s="26" t="e">
        <f t="shared" si="1"/>
        <v>#VALUE!</v>
      </c>
      <c r="I9696" s="1" t="e">
        <f t="shared" si="2"/>
        <v>#VALUE!</v>
      </c>
    </row>
    <row r="9697" spans="1:9" ht="15.75" customHeight="1">
      <c r="A9697" s="26"/>
      <c r="B9697" s="2"/>
      <c r="C9697" s="26"/>
      <c r="D9697" s="26"/>
      <c r="F9697" s="85" t="str">
        <f t="shared" si="0"/>
        <v/>
      </c>
      <c r="G9697" s="1" t="e">
        <f>IF(VALUE(F9697) = VALUE(RIGHT(Insights!$C$3, 4)), E9697, "")</f>
        <v>#VALUE!</v>
      </c>
      <c r="H9697" s="26" t="e">
        <f t="shared" si="1"/>
        <v>#VALUE!</v>
      </c>
      <c r="I9697" s="1" t="e">
        <f t="shared" si="2"/>
        <v>#VALUE!</v>
      </c>
    </row>
    <row r="9698" spans="1:9" ht="15.75" customHeight="1">
      <c r="A9698" s="26"/>
      <c r="B9698" s="2"/>
      <c r="C9698" s="26"/>
      <c r="D9698" s="26"/>
      <c r="F9698" s="85" t="str">
        <f t="shared" si="0"/>
        <v/>
      </c>
      <c r="G9698" s="1" t="e">
        <f>IF(VALUE(F9698) = VALUE(RIGHT(Insights!$C$3, 4)), E9698, "")</f>
        <v>#VALUE!</v>
      </c>
      <c r="H9698" s="26" t="e">
        <f t="shared" si="1"/>
        <v>#VALUE!</v>
      </c>
      <c r="I9698" s="1" t="e">
        <f t="shared" si="2"/>
        <v>#VALUE!</v>
      </c>
    </row>
    <row r="9699" spans="1:9" ht="15.75" customHeight="1">
      <c r="A9699" s="26"/>
      <c r="B9699" s="2"/>
      <c r="C9699" s="26"/>
      <c r="D9699" s="26"/>
      <c r="F9699" s="85" t="str">
        <f t="shared" si="0"/>
        <v/>
      </c>
      <c r="G9699" s="1" t="e">
        <f>IF(VALUE(F9699) = VALUE(RIGHT(Insights!$C$3, 4)), E9699, "")</f>
        <v>#VALUE!</v>
      </c>
      <c r="H9699" s="26" t="e">
        <f t="shared" si="1"/>
        <v>#VALUE!</v>
      </c>
      <c r="I9699" s="1" t="e">
        <f t="shared" si="2"/>
        <v>#VALUE!</v>
      </c>
    </row>
    <row r="9700" spans="1:9" ht="15.75" customHeight="1">
      <c r="A9700" s="26"/>
      <c r="B9700" s="2"/>
      <c r="C9700" s="26"/>
      <c r="D9700" s="26"/>
      <c r="F9700" s="85" t="str">
        <f t="shared" si="0"/>
        <v/>
      </c>
      <c r="G9700" s="1" t="e">
        <f>IF(VALUE(F9700) = VALUE(RIGHT(Insights!$C$3, 4)), E9700, "")</f>
        <v>#VALUE!</v>
      </c>
      <c r="H9700" s="26" t="e">
        <f t="shared" si="1"/>
        <v>#VALUE!</v>
      </c>
      <c r="I9700" s="1" t="e">
        <f t="shared" si="2"/>
        <v>#VALUE!</v>
      </c>
    </row>
    <row r="9701" spans="1:9" ht="15.75" customHeight="1">
      <c r="A9701" s="26"/>
      <c r="B9701" s="2"/>
      <c r="C9701" s="26"/>
      <c r="D9701" s="26"/>
      <c r="F9701" s="85" t="str">
        <f t="shared" si="0"/>
        <v/>
      </c>
      <c r="G9701" s="1" t="e">
        <f>IF(VALUE(F9701) = VALUE(RIGHT(Insights!$C$3, 4)), E9701, "")</f>
        <v>#VALUE!</v>
      </c>
      <c r="H9701" s="26" t="e">
        <f t="shared" si="1"/>
        <v>#VALUE!</v>
      </c>
      <c r="I9701" s="1" t="e">
        <f t="shared" si="2"/>
        <v>#VALUE!</v>
      </c>
    </row>
    <row r="9702" spans="1:9" ht="15.75" customHeight="1">
      <c r="A9702" s="26"/>
      <c r="B9702" s="2"/>
      <c r="C9702" s="26"/>
      <c r="D9702" s="26"/>
      <c r="F9702" s="85" t="str">
        <f t="shared" si="0"/>
        <v/>
      </c>
      <c r="G9702" s="1" t="e">
        <f>IF(VALUE(F9702) = VALUE(RIGHT(Insights!$C$3, 4)), E9702, "")</f>
        <v>#VALUE!</v>
      </c>
      <c r="H9702" s="26" t="e">
        <f t="shared" si="1"/>
        <v>#VALUE!</v>
      </c>
      <c r="I9702" s="1" t="e">
        <f t="shared" si="2"/>
        <v>#VALUE!</v>
      </c>
    </row>
    <row r="9703" spans="1:9" ht="15.75" customHeight="1">
      <c r="A9703" s="26"/>
      <c r="B9703" s="2"/>
      <c r="C9703" s="26"/>
      <c r="D9703" s="26"/>
      <c r="F9703" s="85" t="str">
        <f t="shared" si="0"/>
        <v/>
      </c>
      <c r="G9703" s="1" t="e">
        <f>IF(VALUE(F9703) = VALUE(RIGHT(Insights!$C$3, 4)), E9703, "")</f>
        <v>#VALUE!</v>
      </c>
      <c r="H9703" s="26" t="e">
        <f t="shared" si="1"/>
        <v>#VALUE!</v>
      </c>
      <c r="I9703" s="1" t="e">
        <f t="shared" si="2"/>
        <v>#VALUE!</v>
      </c>
    </row>
    <row r="9704" spans="1:9" ht="15.75" customHeight="1">
      <c r="A9704" s="26"/>
      <c r="B9704" s="2"/>
      <c r="C9704" s="26"/>
      <c r="D9704" s="26"/>
      <c r="F9704" s="85" t="str">
        <f t="shared" si="0"/>
        <v/>
      </c>
      <c r="G9704" s="1" t="e">
        <f>IF(VALUE(F9704) = VALUE(RIGHT(Insights!$C$3, 4)), E9704, "")</f>
        <v>#VALUE!</v>
      </c>
      <c r="H9704" s="26" t="e">
        <f t="shared" si="1"/>
        <v>#VALUE!</v>
      </c>
      <c r="I9704" s="1" t="e">
        <f t="shared" si="2"/>
        <v>#VALUE!</v>
      </c>
    </row>
    <row r="9705" spans="1:9" ht="15.75" customHeight="1">
      <c r="A9705" s="26"/>
      <c r="B9705" s="2"/>
      <c r="C9705" s="26"/>
      <c r="D9705" s="26"/>
      <c r="F9705" s="85" t="str">
        <f t="shared" si="0"/>
        <v/>
      </c>
      <c r="G9705" s="1" t="e">
        <f>IF(VALUE(F9705) = VALUE(RIGHT(Insights!$C$3, 4)), E9705, "")</f>
        <v>#VALUE!</v>
      </c>
      <c r="H9705" s="26" t="e">
        <f t="shared" si="1"/>
        <v>#VALUE!</v>
      </c>
      <c r="I9705" s="1" t="e">
        <f t="shared" si="2"/>
        <v>#VALUE!</v>
      </c>
    </row>
    <row r="9706" spans="1:9" ht="15.75" customHeight="1">
      <c r="A9706" s="26"/>
      <c r="B9706" s="2"/>
      <c r="C9706" s="26"/>
      <c r="D9706" s="26"/>
      <c r="F9706" s="85" t="str">
        <f t="shared" si="0"/>
        <v/>
      </c>
      <c r="G9706" s="1" t="e">
        <f>IF(VALUE(F9706) = VALUE(RIGHT(Insights!$C$3, 4)), E9706, "")</f>
        <v>#VALUE!</v>
      </c>
      <c r="H9706" s="26" t="e">
        <f t="shared" si="1"/>
        <v>#VALUE!</v>
      </c>
      <c r="I9706" s="1" t="e">
        <f t="shared" si="2"/>
        <v>#VALUE!</v>
      </c>
    </row>
    <row r="9707" spans="1:9" ht="15.75" customHeight="1">
      <c r="A9707" s="26"/>
      <c r="B9707" s="2"/>
      <c r="C9707" s="26"/>
      <c r="D9707" s="26"/>
      <c r="F9707" s="85" t="str">
        <f t="shared" si="0"/>
        <v/>
      </c>
      <c r="G9707" s="1" t="e">
        <f>IF(VALUE(F9707) = VALUE(RIGHT(Insights!$C$3, 4)), E9707, "")</f>
        <v>#VALUE!</v>
      </c>
      <c r="H9707" s="26" t="e">
        <f t="shared" si="1"/>
        <v>#VALUE!</v>
      </c>
      <c r="I9707" s="1" t="e">
        <f t="shared" si="2"/>
        <v>#VALUE!</v>
      </c>
    </row>
    <row r="9708" spans="1:9" ht="15.75" customHeight="1">
      <c r="A9708" s="26"/>
      <c r="B9708" s="2"/>
      <c r="C9708" s="26"/>
      <c r="D9708" s="26"/>
      <c r="F9708" s="85" t="str">
        <f t="shared" si="0"/>
        <v/>
      </c>
      <c r="G9708" s="1" t="e">
        <f>IF(VALUE(F9708) = VALUE(RIGHT(Insights!$C$3, 4)), E9708, "")</f>
        <v>#VALUE!</v>
      </c>
      <c r="H9708" s="26" t="e">
        <f t="shared" si="1"/>
        <v>#VALUE!</v>
      </c>
      <c r="I9708" s="1" t="e">
        <f t="shared" si="2"/>
        <v>#VALUE!</v>
      </c>
    </row>
    <row r="9709" spans="1:9" ht="15.75" customHeight="1">
      <c r="A9709" s="26"/>
      <c r="B9709" s="2"/>
      <c r="C9709" s="26"/>
      <c r="D9709" s="26"/>
      <c r="F9709" s="85" t="str">
        <f t="shared" si="0"/>
        <v/>
      </c>
      <c r="G9709" s="1" t="e">
        <f>IF(VALUE(F9709) = VALUE(RIGHT(Insights!$C$3, 4)), E9709, "")</f>
        <v>#VALUE!</v>
      </c>
      <c r="H9709" s="26" t="e">
        <f t="shared" si="1"/>
        <v>#VALUE!</v>
      </c>
      <c r="I9709" s="1" t="e">
        <f t="shared" si="2"/>
        <v>#VALUE!</v>
      </c>
    </row>
    <row r="9710" spans="1:9" ht="15.75" customHeight="1">
      <c r="A9710" s="26"/>
      <c r="B9710" s="2"/>
      <c r="C9710" s="26"/>
      <c r="D9710" s="26"/>
      <c r="F9710" s="85" t="str">
        <f t="shared" si="0"/>
        <v/>
      </c>
      <c r="G9710" s="1" t="e">
        <f>IF(VALUE(F9710) = VALUE(RIGHT(Insights!$C$3, 4)), E9710, "")</f>
        <v>#VALUE!</v>
      </c>
      <c r="H9710" s="26" t="e">
        <f t="shared" si="1"/>
        <v>#VALUE!</v>
      </c>
      <c r="I9710" s="1" t="e">
        <f t="shared" si="2"/>
        <v>#VALUE!</v>
      </c>
    </row>
    <row r="9711" spans="1:9" ht="15.75" customHeight="1">
      <c r="A9711" s="26"/>
      <c r="B9711" s="2"/>
      <c r="C9711" s="26"/>
      <c r="D9711" s="26"/>
      <c r="F9711" s="85" t="str">
        <f t="shared" si="0"/>
        <v/>
      </c>
      <c r="G9711" s="1" t="e">
        <f>IF(VALUE(F9711) = VALUE(RIGHT(Insights!$C$3, 4)), E9711, "")</f>
        <v>#VALUE!</v>
      </c>
      <c r="H9711" s="26" t="e">
        <f t="shared" si="1"/>
        <v>#VALUE!</v>
      </c>
      <c r="I9711" s="1" t="e">
        <f t="shared" si="2"/>
        <v>#VALUE!</v>
      </c>
    </row>
    <row r="9712" spans="1:9" ht="15.75" customHeight="1">
      <c r="A9712" s="26"/>
      <c r="B9712" s="2"/>
      <c r="C9712" s="26"/>
      <c r="D9712" s="26"/>
      <c r="F9712" s="85" t="str">
        <f t="shared" si="0"/>
        <v/>
      </c>
      <c r="G9712" s="1" t="e">
        <f>IF(VALUE(F9712) = VALUE(RIGHT(Insights!$C$3, 4)), E9712, "")</f>
        <v>#VALUE!</v>
      </c>
      <c r="H9712" s="26" t="e">
        <f t="shared" si="1"/>
        <v>#VALUE!</v>
      </c>
      <c r="I9712" s="1" t="e">
        <f t="shared" si="2"/>
        <v>#VALUE!</v>
      </c>
    </row>
    <row r="9713" spans="1:9" ht="15.75" customHeight="1">
      <c r="A9713" s="26"/>
      <c r="B9713" s="2"/>
      <c r="C9713" s="26"/>
      <c r="D9713" s="26"/>
      <c r="F9713" s="85" t="str">
        <f t="shared" si="0"/>
        <v/>
      </c>
      <c r="G9713" s="1" t="e">
        <f>IF(VALUE(F9713) = VALUE(RIGHT(Insights!$C$3, 4)), E9713, "")</f>
        <v>#VALUE!</v>
      </c>
      <c r="H9713" s="26" t="e">
        <f t="shared" si="1"/>
        <v>#VALUE!</v>
      </c>
      <c r="I9713" s="1" t="e">
        <f t="shared" si="2"/>
        <v>#VALUE!</v>
      </c>
    </row>
    <row r="9714" spans="1:9" ht="15.75" customHeight="1">
      <c r="A9714" s="26"/>
      <c r="B9714" s="2"/>
      <c r="C9714" s="26"/>
      <c r="D9714" s="26"/>
      <c r="F9714" s="85" t="str">
        <f t="shared" si="0"/>
        <v/>
      </c>
      <c r="G9714" s="1" t="e">
        <f>IF(VALUE(F9714) = VALUE(RIGHT(Insights!$C$3, 4)), E9714, "")</f>
        <v>#VALUE!</v>
      </c>
      <c r="H9714" s="26" t="e">
        <f t="shared" si="1"/>
        <v>#VALUE!</v>
      </c>
      <c r="I9714" s="1" t="e">
        <f t="shared" si="2"/>
        <v>#VALUE!</v>
      </c>
    </row>
    <row r="9715" spans="1:9" ht="15.75" customHeight="1">
      <c r="A9715" s="26"/>
      <c r="B9715" s="2"/>
      <c r="C9715" s="26"/>
      <c r="D9715" s="26"/>
      <c r="F9715" s="85" t="str">
        <f t="shared" si="0"/>
        <v/>
      </c>
      <c r="G9715" s="1" t="e">
        <f>IF(VALUE(F9715) = VALUE(RIGHT(Insights!$C$3, 4)), E9715, "")</f>
        <v>#VALUE!</v>
      </c>
      <c r="H9715" s="26" t="e">
        <f t="shared" si="1"/>
        <v>#VALUE!</v>
      </c>
      <c r="I9715" s="1" t="e">
        <f t="shared" si="2"/>
        <v>#VALUE!</v>
      </c>
    </row>
    <row r="9716" spans="1:9" ht="15.75" customHeight="1">
      <c r="A9716" s="26"/>
      <c r="B9716" s="2"/>
      <c r="C9716" s="26"/>
      <c r="D9716" s="26"/>
      <c r="F9716" s="85" t="str">
        <f t="shared" si="0"/>
        <v/>
      </c>
      <c r="G9716" s="1" t="e">
        <f>IF(VALUE(F9716) = VALUE(RIGHT(Insights!$C$3, 4)), E9716, "")</f>
        <v>#VALUE!</v>
      </c>
      <c r="H9716" s="26" t="e">
        <f t="shared" si="1"/>
        <v>#VALUE!</v>
      </c>
      <c r="I9716" s="1" t="e">
        <f t="shared" si="2"/>
        <v>#VALUE!</v>
      </c>
    </row>
    <row r="9717" spans="1:9" ht="15.75" customHeight="1">
      <c r="A9717" s="26"/>
      <c r="B9717" s="2"/>
      <c r="C9717" s="26"/>
      <c r="D9717" s="26"/>
      <c r="F9717" s="85" t="str">
        <f t="shared" si="0"/>
        <v/>
      </c>
      <c r="G9717" s="1" t="e">
        <f>IF(VALUE(F9717) = VALUE(RIGHT(Insights!$C$3, 4)), E9717, "")</f>
        <v>#VALUE!</v>
      </c>
      <c r="H9717" s="26" t="e">
        <f t="shared" si="1"/>
        <v>#VALUE!</v>
      </c>
      <c r="I9717" s="1" t="e">
        <f t="shared" si="2"/>
        <v>#VALUE!</v>
      </c>
    </row>
    <row r="9718" spans="1:9" ht="15.75" customHeight="1">
      <c r="A9718" s="26"/>
      <c r="B9718" s="2"/>
      <c r="C9718" s="26"/>
      <c r="D9718" s="26"/>
      <c r="F9718" s="85" t="str">
        <f t="shared" si="0"/>
        <v/>
      </c>
      <c r="G9718" s="1" t="e">
        <f>IF(VALUE(F9718) = VALUE(RIGHT(Insights!$C$3, 4)), E9718, "")</f>
        <v>#VALUE!</v>
      </c>
      <c r="H9718" s="26" t="e">
        <f t="shared" si="1"/>
        <v>#VALUE!</v>
      </c>
      <c r="I9718" s="1" t="e">
        <f t="shared" si="2"/>
        <v>#VALUE!</v>
      </c>
    </row>
    <row r="9719" spans="1:9" ht="15.75" customHeight="1">
      <c r="A9719" s="26"/>
      <c r="B9719" s="2"/>
      <c r="C9719" s="26"/>
      <c r="D9719" s="26"/>
      <c r="F9719" s="85" t="str">
        <f t="shared" si="0"/>
        <v/>
      </c>
      <c r="G9719" s="1" t="e">
        <f>IF(VALUE(F9719) = VALUE(RIGHT(Insights!$C$3, 4)), E9719, "")</f>
        <v>#VALUE!</v>
      </c>
      <c r="H9719" s="26" t="e">
        <f t="shared" si="1"/>
        <v>#VALUE!</v>
      </c>
      <c r="I9719" s="1" t="e">
        <f t="shared" si="2"/>
        <v>#VALUE!</v>
      </c>
    </row>
    <row r="9720" spans="1:9" ht="15.75" customHeight="1">
      <c r="A9720" s="26"/>
      <c r="B9720" s="2"/>
      <c r="C9720" s="26"/>
      <c r="D9720" s="26"/>
      <c r="F9720" s="85" t="str">
        <f t="shared" si="0"/>
        <v/>
      </c>
      <c r="G9720" s="1" t="e">
        <f>IF(VALUE(F9720) = VALUE(RIGHT(Insights!$C$3, 4)), E9720, "")</f>
        <v>#VALUE!</v>
      </c>
      <c r="H9720" s="26" t="e">
        <f t="shared" si="1"/>
        <v>#VALUE!</v>
      </c>
      <c r="I9720" s="1" t="e">
        <f t="shared" si="2"/>
        <v>#VALUE!</v>
      </c>
    </row>
    <row r="9721" spans="1:9" ht="15.75" customHeight="1">
      <c r="A9721" s="26"/>
      <c r="B9721" s="2"/>
      <c r="C9721" s="26"/>
      <c r="D9721" s="26"/>
      <c r="F9721" s="85" t="str">
        <f t="shared" si="0"/>
        <v/>
      </c>
      <c r="G9721" s="1" t="e">
        <f>IF(VALUE(F9721) = VALUE(RIGHT(Insights!$C$3, 4)), E9721, "")</f>
        <v>#VALUE!</v>
      </c>
      <c r="H9721" s="26" t="e">
        <f t="shared" si="1"/>
        <v>#VALUE!</v>
      </c>
      <c r="I9721" s="1" t="e">
        <f t="shared" si="2"/>
        <v>#VALUE!</v>
      </c>
    </row>
    <row r="9722" spans="1:9" ht="15.75" customHeight="1">
      <c r="A9722" s="26"/>
      <c r="B9722" s="2"/>
      <c r="C9722" s="26"/>
      <c r="D9722" s="26"/>
      <c r="F9722" s="85" t="str">
        <f t="shared" si="0"/>
        <v/>
      </c>
      <c r="G9722" s="1" t="e">
        <f>IF(VALUE(F9722) = VALUE(RIGHT(Insights!$C$3, 4)), E9722, "")</f>
        <v>#VALUE!</v>
      </c>
      <c r="H9722" s="26" t="e">
        <f t="shared" si="1"/>
        <v>#VALUE!</v>
      </c>
      <c r="I9722" s="1" t="e">
        <f t="shared" si="2"/>
        <v>#VALUE!</v>
      </c>
    </row>
    <row r="9723" spans="1:9" ht="15.75" customHeight="1">
      <c r="A9723" s="26"/>
      <c r="B9723" s="2"/>
      <c r="C9723" s="26"/>
      <c r="D9723" s="26"/>
      <c r="F9723" s="85" t="str">
        <f t="shared" si="0"/>
        <v/>
      </c>
      <c r="G9723" s="1" t="e">
        <f>IF(VALUE(F9723) = VALUE(RIGHT(Insights!$C$3, 4)), E9723, "")</f>
        <v>#VALUE!</v>
      </c>
      <c r="H9723" s="26" t="e">
        <f t="shared" si="1"/>
        <v>#VALUE!</v>
      </c>
      <c r="I9723" s="1" t="e">
        <f t="shared" si="2"/>
        <v>#VALUE!</v>
      </c>
    </row>
    <row r="9724" spans="1:9" ht="15.75" customHeight="1">
      <c r="A9724" s="26"/>
      <c r="B9724" s="2"/>
      <c r="C9724" s="26"/>
      <c r="D9724" s="26"/>
      <c r="F9724" s="85" t="str">
        <f t="shared" si="0"/>
        <v/>
      </c>
      <c r="G9724" s="1" t="e">
        <f>IF(VALUE(F9724) = VALUE(RIGHT(Insights!$C$3, 4)), E9724, "")</f>
        <v>#VALUE!</v>
      </c>
      <c r="H9724" s="26" t="e">
        <f t="shared" si="1"/>
        <v>#VALUE!</v>
      </c>
      <c r="I9724" s="1" t="e">
        <f t="shared" si="2"/>
        <v>#VALUE!</v>
      </c>
    </row>
    <row r="9725" spans="1:9" ht="15.75" customHeight="1">
      <c r="A9725" s="26"/>
      <c r="B9725" s="2"/>
      <c r="C9725" s="26"/>
      <c r="D9725" s="26"/>
      <c r="F9725" s="85" t="str">
        <f t="shared" si="0"/>
        <v/>
      </c>
      <c r="G9725" s="1" t="e">
        <f>IF(VALUE(F9725) = VALUE(RIGHT(Insights!$C$3, 4)), E9725, "")</f>
        <v>#VALUE!</v>
      </c>
      <c r="H9725" s="26" t="e">
        <f t="shared" si="1"/>
        <v>#VALUE!</v>
      </c>
      <c r="I9725" s="1" t="e">
        <f t="shared" si="2"/>
        <v>#VALUE!</v>
      </c>
    </row>
    <row r="9726" spans="1:9" ht="15.75" customHeight="1">
      <c r="A9726" s="26"/>
      <c r="B9726" s="2"/>
      <c r="C9726" s="26"/>
      <c r="D9726" s="26"/>
      <c r="F9726" s="85" t="str">
        <f t="shared" si="0"/>
        <v/>
      </c>
      <c r="G9726" s="1" t="e">
        <f>IF(VALUE(F9726) = VALUE(RIGHT(Insights!$C$3, 4)), E9726, "")</f>
        <v>#VALUE!</v>
      </c>
      <c r="H9726" s="26" t="e">
        <f t="shared" si="1"/>
        <v>#VALUE!</v>
      </c>
      <c r="I9726" s="1" t="e">
        <f t="shared" si="2"/>
        <v>#VALUE!</v>
      </c>
    </row>
    <row r="9727" spans="1:9" ht="15.75" customHeight="1">
      <c r="A9727" s="26"/>
      <c r="B9727" s="2"/>
      <c r="C9727" s="26"/>
      <c r="D9727" s="26"/>
      <c r="F9727" s="85" t="str">
        <f t="shared" si="0"/>
        <v/>
      </c>
      <c r="G9727" s="1" t="e">
        <f>IF(VALUE(F9727) = VALUE(RIGHT(Insights!$C$3, 4)), E9727, "")</f>
        <v>#VALUE!</v>
      </c>
      <c r="H9727" s="26" t="e">
        <f t="shared" si="1"/>
        <v>#VALUE!</v>
      </c>
      <c r="I9727" s="1" t="e">
        <f t="shared" si="2"/>
        <v>#VALUE!</v>
      </c>
    </row>
    <row r="9728" spans="1:9" ht="15.75" customHeight="1">
      <c r="A9728" s="26"/>
      <c r="B9728" s="2"/>
      <c r="C9728" s="26"/>
      <c r="D9728" s="26"/>
      <c r="F9728" s="85" t="str">
        <f t="shared" si="0"/>
        <v/>
      </c>
      <c r="G9728" s="1" t="e">
        <f>IF(VALUE(F9728) = VALUE(RIGHT(Insights!$C$3, 4)), E9728, "")</f>
        <v>#VALUE!</v>
      </c>
      <c r="H9728" s="26" t="e">
        <f t="shared" si="1"/>
        <v>#VALUE!</v>
      </c>
      <c r="I9728" s="1" t="e">
        <f t="shared" si="2"/>
        <v>#VALUE!</v>
      </c>
    </row>
    <row r="9729" spans="1:9" ht="15.75" customHeight="1">
      <c r="A9729" s="26"/>
      <c r="B9729" s="2"/>
      <c r="C9729" s="26"/>
      <c r="D9729" s="26"/>
      <c r="F9729" s="85" t="str">
        <f t="shared" si="0"/>
        <v/>
      </c>
      <c r="G9729" s="1" t="e">
        <f>IF(VALUE(F9729) = VALUE(RIGHT(Insights!$C$3, 4)), E9729, "")</f>
        <v>#VALUE!</v>
      </c>
      <c r="H9729" s="26" t="e">
        <f t="shared" si="1"/>
        <v>#VALUE!</v>
      </c>
      <c r="I9729" s="1" t="e">
        <f t="shared" si="2"/>
        <v>#VALUE!</v>
      </c>
    </row>
    <row r="9730" spans="1:9" ht="15.75" customHeight="1">
      <c r="A9730" s="26"/>
      <c r="B9730" s="2"/>
      <c r="C9730" s="26"/>
      <c r="D9730" s="26"/>
      <c r="F9730" s="85" t="str">
        <f t="shared" si="0"/>
        <v/>
      </c>
      <c r="G9730" s="1" t="e">
        <f>IF(VALUE(F9730) = VALUE(RIGHT(Insights!$C$3, 4)), E9730, "")</f>
        <v>#VALUE!</v>
      </c>
      <c r="H9730" s="26" t="e">
        <f t="shared" si="1"/>
        <v>#VALUE!</v>
      </c>
      <c r="I9730" s="1" t="e">
        <f t="shared" si="2"/>
        <v>#VALUE!</v>
      </c>
    </row>
    <row r="9731" spans="1:9" ht="15.75" customHeight="1">
      <c r="A9731" s="26"/>
      <c r="B9731" s="2"/>
      <c r="C9731" s="26"/>
      <c r="D9731" s="26"/>
      <c r="F9731" s="85" t="str">
        <f t="shared" si="0"/>
        <v/>
      </c>
      <c r="G9731" s="1" t="e">
        <f>IF(VALUE(F9731) = VALUE(RIGHT(Insights!$C$3, 4)), E9731, "")</f>
        <v>#VALUE!</v>
      </c>
      <c r="H9731" s="26" t="e">
        <f t="shared" si="1"/>
        <v>#VALUE!</v>
      </c>
      <c r="I9731" s="1" t="e">
        <f t="shared" si="2"/>
        <v>#VALUE!</v>
      </c>
    </row>
    <row r="9732" spans="1:9" ht="15.75" customHeight="1">
      <c r="A9732" s="26"/>
      <c r="B9732" s="2"/>
      <c r="C9732" s="26"/>
      <c r="D9732" s="26"/>
      <c r="F9732" s="85" t="str">
        <f t="shared" si="0"/>
        <v/>
      </c>
      <c r="G9732" s="1" t="e">
        <f>IF(VALUE(F9732) = VALUE(RIGHT(Insights!$C$3, 4)), E9732, "")</f>
        <v>#VALUE!</v>
      </c>
      <c r="H9732" s="26" t="e">
        <f t="shared" si="1"/>
        <v>#VALUE!</v>
      </c>
      <c r="I9732" s="1" t="e">
        <f t="shared" si="2"/>
        <v>#VALUE!</v>
      </c>
    </row>
    <row r="9733" spans="1:9" ht="15.75" customHeight="1">
      <c r="A9733" s="26"/>
      <c r="B9733" s="2"/>
      <c r="C9733" s="26"/>
      <c r="D9733" s="26"/>
      <c r="F9733" s="85" t="str">
        <f t="shared" si="0"/>
        <v/>
      </c>
      <c r="G9733" s="1" t="e">
        <f>IF(VALUE(F9733) = VALUE(RIGHT(Insights!$C$3, 4)), E9733, "")</f>
        <v>#VALUE!</v>
      </c>
      <c r="H9733" s="26" t="e">
        <f t="shared" si="1"/>
        <v>#VALUE!</v>
      </c>
      <c r="I9733" s="1" t="e">
        <f t="shared" si="2"/>
        <v>#VALUE!</v>
      </c>
    </row>
    <row r="9734" spans="1:9" ht="15.75" customHeight="1">
      <c r="A9734" s="26"/>
      <c r="B9734" s="2"/>
      <c r="C9734" s="26"/>
      <c r="D9734" s="26"/>
      <c r="F9734" s="85" t="str">
        <f t="shared" si="0"/>
        <v/>
      </c>
      <c r="G9734" s="1" t="e">
        <f>IF(VALUE(F9734) = VALUE(RIGHT(Insights!$C$3, 4)), E9734, "")</f>
        <v>#VALUE!</v>
      </c>
      <c r="H9734" s="26" t="e">
        <f t="shared" si="1"/>
        <v>#VALUE!</v>
      </c>
      <c r="I9734" s="1" t="e">
        <f t="shared" si="2"/>
        <v>#VALUE!</v>
      </c>
    </row>
    <row r="9735" spans="1:9" ht="15.75" customHeight="1">
      <c r="A9735" s="26"/>
      <c r="B9735" s="2"/>
      <c r="C9735" s="26"/>
      <c r="D9735" s="26"/>
      <c r="F9735" s="85" t="str">
        <f t="shared" si="0"/>
        <v/>
      </c>
      <c r="G9735" s="1" t="e">
        <f>IF(VALUE(F9735) = VALUE(RIGHT(Insights!$C$3, 4)), E9735, "")</f>
        <v>#VALUE!</v>
      </c>
      <c r="H9735" s="26" t="e">
        <f t="shared" si="1"/>
        <v>#VALUE!</v>
      </c>
      <c r="I9735" s="1" t="e">
        <f t="shared" si="2"/>
        <v>#VALUE!</v>
      </c>
    </row>
    <row r="9736" spans="1:9" ht="15.75" customHeight="1">
      <c r="A9736" s="26"/>
      <c r="B9736" s="2"/>
      <c r="C9736" s="26"/>
      <c r="D9736" s="26"/>
      <c r="F9736" s="85" t="str">
        <f t="shared" si="0"/>
        <v/>
      </c>
      <c r="G9736" s="1" t="e">
        <f>IF(VALUE(F9736) = VALUE(RIGHT(Insights!$C$3, 4)), E9736, "")</f>
        <v>#VALUE!</v>
      </c>
      <c r="H9736" s="26" t="e">
        <f t="shared" si="1"/>
        <v>#VALUE!</v>
      </c>
      <c r="I9736" s="1" t="e">
        <f t="shared" si="2"/>
        <v>#VALUE!</v>
      </c>
    </row>
    <row r="9737" spans="1:9" ht="15.75" customHeight="1">
      <c r="A9737" s="26"/>
      <c r="B9737" s="2"/>
      <c r="C9737" s="26"/>
      <c r="D9737" s="26"/>
      <c r="F9737" s="85" t="str">
        <f t="shared" si="0"/>
        <v/>
      </c>
      <c r="G9737" s="1" t="e">
        <f>IF(VALUE(F9737) = VALUE(RIGHT(Insights!$C$3, 4)), E9737, "")</f>
        <v>#VALUE!</v>
      </c>
      <c r="H9737" s="26" t="e">
        <f t="shared" si="1"/>
        <v>#VALUE!</v>
      </c>
      <c r="I9737" s="1" t="e">
        <f t="shared" si="2"/>
        <v>#VALUE!</v>
      </c>
    </row>
    <row r="9738" spans="1:9" ht="15.75" customHeight="1">
      <c r="A9738" s="26"/>
      <c r="B9738" s="2"/>
      <c r="C9738" s="26"/>
      <c r="D9738" s="26"/>
      <c r="F9738" s="85" t="str">
        <f t="shared" si="0"/>
        <v/>
      </c>
      <c r="G9738" s="1" t="e">
        <f>IF(VALUE(F9738) = VALUE(RIGHT(Insights!$C$3, 4)), E9738, "")</f>
        <v>#VALUE!</v>
      </c>
      <c r="H9738" s="26" t="e">
        <f t="shared" si="1"/>
        <v>#VALUE!</v>
      </c>
      <c r="I9738" s="1" t="e">
        <f t="shared" si="2"/>
        <v>#VALUE!</v>
      </c>
    </row>
    <row r="9739" spans="1:9" ht="15.75" customHeight="1">
      <c r="A9739" s="26"/>
      <c r="B9739" s="2"/>
      <c r="C9739" s="26"/>
      <c r="D9739" s="26"/>
      <c r="F9739" s="85" t="str">
        <f t="shared" si="0"/>
        <v/>
      </c>
      <c r="G9739" s="1" t="e">
        <f>IF(VALUE(F9739) = VALUE(RIGHT(Insights!$C$3, 4)), E9739, "")</f>
        <v>#VALUE!</v>
      </c>
      <c r="H9739" s="26" t="e">
        <f t="shared" si="1"/>
        <v>#VALUE!</v>
      </c>
      <c r="I9739" s="1" t="e">
        <f t="shared" si="2"/>
        <v>#VALUE!</v>
      </c>
    </row>
    <row r="9740" spans="1:9" ht="15.75" customHeight="1">
      <c r="A9740" s="26"/>
      <c r="B9740" s="2"/>
      <c r="C9740" s="26"/>
      <c r="D9740" s="26"/>
      <c r="F9740" s="85" t="str">
        <f t="shared" si="0"/>
        <v/>
      </c>
      <c r="G9740" s="1" t="e">
        <f>IF(VALUE(F9740) = VALUE(RIGHT(Insights!$C$3, 4)), E9740, "")</f>
        <v>#VALUE!</v>
      </c>
      <c r="H9740" s="26" t="e">
        <f t="shared" si="1"/>
        <v>#VALUE!</v>
      </c>
      <c r="I9740" s="1" t="e">
        <f t="shared" si="2"/>
        <v>#VALUE!</v>
      </c>
    </row>
    <row r="9741" spans="1:9" ht="15.75" customHeight="1">
      <c r="A9741" s="26"/>
      <c r="B9741" s="2"/>
      <c r="C9741" s="26"/>
      <c r="D9741" s="26"/>
      <c r="F9741" s="85" t="str">
        <f t="shared" si="0"/>
        <v/>
      </c>
      <c r="G9741" s="1" t="e">
        <f>IF(VALUE(F9741) = VALUE(RIGHT(Insights!$C$3, 4)), E9741, "")</f>
        <v>#VALUE!</v>
      </c>
      <c r="H9741" s="26" t="e">
        <f t="shared" si="1"/>
        <v>#VALUE!</v>
      </c>
      <c r="I9741" s="1" t="e">
        <f t="shared" si="2"/>
        <v>#VALUE!</v>
      </c>
    </row>
    <row r="9742" spans="1:9" ht="15.75" customHeight="1">
      <c r="A9742" s="26"/>
      <c r="B9742" s="2"/>
      <c r="C9742" s="26"/>
      <c r="D9742" s="26"/>
      <c r="F9742" s="85" t="str">
        <f t="shared" si="0"/>
        <v/>
      </c>
      <c r="G9742" s="1" t="e">
        <f>IF(VALUE(F9742) = VALUE(RIGHT(Insights!$C$3, 4)), E9742, "")</f>
        <v>#VALUE!</v>
      </c>
      <c r="H9742" s="26" t="e">
        <f t="shared" si="1"/>
        <v>#VALUE!</v>
      </c>
      <c r="I9742" s="1" t="e">
        <f t="shared" si="2"/>
        <v>#VALUE!</v>
      </c>
    </row>
    <row r="9743" spans="1:9" ht="15.75" customHeight="1">
      <c r="A9743" s="26"/>
      <c r="B9743" s="2"/>
      <c r="C9743" s="26"/>
      <c r="D9743" s="26"/>
      <c r="F9743" s="85" t="str">
        <f t="shared" si="0"/>
        <v/>
      </c>
      <c r="G9743" s="1" t="e">
        <f>IF(VALUE(F9743) = VALUE(RIGHT(Insights!$C$3, 4)), E9743, "")</f>
        <v>#VALUE!</v>
      </c>
      <c r="H9743" s="26" t="e">
        <f t="shared" si="1"/>
        <v>#VALUE!</v>
      </c>
      <c r="I9743" s="1" t="e">
        <f t="shared" si="2"/>
        <v>#VALUE!</v>
      </c>
    </row>
    <row r="9744" spans="1:9" ht="15.75" customHeight="1">
      <c r="A9744" s="26"/>
      <c r="B9744" s="2"/>
      <c r="C9744" s="26"/>
      <c r="D9744" s="26"/>
      <c r="F9744" s="85" t="str">
        <f t="shared" si="0"/>
        <v/>
      </c>
      <c r="G9744" s="1" t="e">
        <f>IF(VALUE(F9744) = VALUE(RIGHT(Insights!$C$3, 4)), E9744, "")</f>
        <v>#VALUE!</v>
      </c>
      <c r="H9744" s="26" t="e">
        <f t="shared" si="1"/>
        <v>#VALUE!</v>
      </c>
      <c r="I9744" s="1" t="e">
        <f t="shared" si="2"/>
        <v>#VALUE!</v>
      </c>
    </row>
    <row r="9745" spans="1:9" ht="15.75" customHeight="1">
      <c r="A9745" s="26"/>
      <c r="B9745" s="2"/>
      <c r="C9745" s="26"/>
      <c r="D9745" s="26"/>
      <c r="F9745" s="85" t="str">
        <f t="shared" si="0"/>
        <v/>
      </c>
      <c r="G9745" s="1" t="e">
        <f>IF(VALUE(F9745) = VALUE(RIGHT(Insights!$C$3, 4)), E9745, "")</f>
        <v>#VALUE!</v>
      </c>
      <c r="H9745" s="26" t="e">
        <f t="shared" si="1"/>
        <v>#VALUE!</v>
      </c>
      <c r="I9745" s="1" t="e">
        <f t="shared" si="2"/>
        <v>#VALUE!</v>
      </c>
    </row>
    <row r="9746" spans="1:9" ht="15.75" customHeight="1">
      <c r="A9746" s="26"/>
      <c r="B9746" s="2"/>
      <c r="C9746" s="26"/>
      <c r="D9746" s="26"/>
      <c r="F9746" s="85" t="str">
        <f t="shared" si="0"/>
        <v/>
      </c>
      <c r="G9746" s="1" t="e">
        <f>IF(VALUE(F9746) = VALUE(RIGHT(Insights!$C$3, 4)), E9746, "")</f>
        <v>#VALUE!</v>
      </c>
      <c r="H9746" s="26" t="e">
        <f t="shared" si="1"/>
        <v>#VALUE!</v>
      </c>
      <c r="I9746" s="1" t="e">
        <f t="shared" si="2"/>
        <v>#VALUE!</v>
      </c>
    </row>
    <row r="9747" spans="1:9" ht="15.75" customHeight="1">
      <c r="A9747" s="26"/>
      <c r="B9747" s="2"/>
      <c r="C9747" s="26"/>
      <c r="D9747" s="26"/>
      <c r="F9747" s="85" t="str">
        <f t="shared" si="0"/>
        <v/>
      </c>
      <c r="G9747" s="1" t="e">
        <f>IF(VALUE(F9747) = VALUE(RIGHT(Insights!$C$3, 4)), E9747, "")</f>
        <v>#VALUE!</v>
      </c>
      <c r="H9747" s="26" t="e">
        <f t="shared" si="1"/>
        <v>#VALUE!</v>
      </c>
      <c r="I9747" s="1" t="e">
        <f t="shared" si="2"/>
        <v>#VALUE!</v>
      </c>
    </row>
    <row r="9748" spans="1:9" ht="15.75" customHeight="1">
      <c r="A9748" s="26"/>
      <c r="B9748" s="2"/>
      <c r="C9748" s="26"/>
      <c r="D9748" s="26"/>
      <c r="F9748" s="85" t="str">
        <f t="shared" si="0"/>
        <v/>
      </c>
      <c r="G9748" s="1" t="e">
        <f>IF(VALUE(F9748) = VALUE(RIGHT(Insights!$C$3, 4)), E9748, "")</f>
        <v>#VALUE!</v>
      </c>
      <c r="H9748" s="26" t="e">
        <f t="shared" si="1"/>
        <v>#VALUE!</v>
      </c>
      <c r="I9748" s="1" t="e">
        <f t="shared" si="2"/>
        <v>#VALUE!</v>
      </c>
    </row>
    <row r="9749" spans="1:9" ht="15.75" customHeight="1">
      <c r="A9749" s="26"/>
      <c r="B9749" s="2"/>
      <c r="C9749" s="26"/>
      <c r="D9749" s="26"/>
      <c r="F9749" s="85" t="str">
        <f t="shared" si="0"/>
        <v/>
      </c>
      <c r="G9749" s="1" t="e">
        <f>IF(VALUE(F9749) = VALUE(RIGHT(Insights!$C$3, 4)), E9749, "")</f>
        <v>#VALUE!</v>
      </c>
      <c r="H9749" s="26" t="e">
        <f t="shared" si="1"/>
        <v>#VALUE!</v>
      </c>
      <c r="I9749" s="1" t="e">
        <f t="shared" si="2"/>
        <v>#VALUE!</v>
      </c>
    </row>
    <row r="9750" spans="1:9" ht="15.75" customHeight="1">
      <c r="A9750" s="26"/>
      <c r="B9750" s="2"/>
      <c r="C9750" s="26"/>
      <c r="D9750" s="26"/>
      <c r="F9750" s="85" t="str">
        <f t="shared" si="0"/>
        <v/>
      </c>
      <c r="G9750" s="1" t="e">
        <f>IF(VALUE(F9750) = VALUE(RIGHT(Insights!$C$3, 4)), E9750, "")</f>
        <v>#VALUE!</v>
      </c>
      <c r="H9750" s="26" t="e">
        <f t="shared" si="1"/>
        <v>#VALUE!</v>
      </c>
      <c r="I9750" s="1" t="e">
        <f t="shared" si="2"/>
        <v>#VALUE!</v>
      </c>
    </row>
    <row r="9751" spans="1:9" ht="15.75" customHeight="1">
      <c r="A9751" s="26"/>
      <c r="B9751" s="2"/>
      <c r="C9751" s="26"/>
      <c r="D9751" s="26"/>
      <c r="F9751" s="85" t="str">
        <f t="shared" si="0"/>
        <v/>
      </c>
      <c r="G9751" s="1" t="e">
        <f>IF(VALUE(F9751) = VALUE(RIGHT(Insights!$C$3, 4)), E9751, "")</f>
        <v>#VALUE!</v>
      </c>
      <c r="H9751" s="26" t="e">
        <f t="shared" si="1"/>
        <v>#VALUE!</v>
      </c>
      <c r="I9751" s="1" t="e">
        <f t="shared" si="2"/>
        <v>#VALUE!</v>
      </c>
    </row>
    <row r="9752" spans="1:9" ht="15.75" customHeight="1">
      <c r="A9752" s="26"/>
      <c r="B9752" s="2"/>
      <c r="C9752" s="26"/>
      <c r="D9752" s="26"/>
      <c r="F9752" s="85" t="str">
        <f t="shared" si="0"/>
        <v/>
      </c>
      <c r="G9752" s="1" t="e">
        <f>IF(VALUE(F9752) = VALUE(RIGHT(Insights!$C$3, 4)), E9752, "")</f>
        <v>#VALUE!</v>
      </c>
      <c r="H9752" s="26" t="e">
        <f t="shared" si="1"/>
        <v>#VALUE!</v>
      </c>
      <c r="I9752" s="1" t="e">
        <f t="shared" si="2"/>
        <v>#VALUE!</v>
      </c>
    </row>
    <row r="9753" spans="1:9" ht="15.75" customHeight="1">
      <c r="A9753" s="26"/>
      <c r="B9753" s="2"/>
      <c r="C9753" s="26"/>
      <c r="D9753" s="26"/>
      <c r="F9753" s="85" t="str">
        <f t="shared" si="0"/>
        <v/>
      </c>
      <c r="G9753" s="1" t="e">
        <f>IF(VALUE(F9753) = VALUE(RIGHT(Insights!$C$3, 4)), E9753, "")</f>
        <v>#VALUE!</v>
      </c>
      <c r="H9753" s="26" t="e">
        <f t="shared" si="1"/>
        <v>#VALUE!</v>
      </c>
      <c r="I9753" s="1" t="e">
        <f t="shared" si="2"/>
        <v>#VALUE!</v>
      </c>
    </row>
    <row r="9754" spans="1:9" ht="15.75" customHeight="1">
      <c r="A9754" s="26"/>
      <c r="B9754" s="2"/>
      <c r="C9754" s="26"/>
      <c r="D9754" s="26"/>
      <c r="F9754" s="85" t="str">
        <f t="shared" si="0"/>
        <v/>
      </c>
      <c r="G9754" s="1" t="e">
        <f>IF(VALUE(F9754) = VALUE(RIGHT(Insights!$C$3, 4)), E9754, "")</f>
        <v>#VALUE!</v>
      </c>
      <c r="H9754" s="26" t="e">
        <f t="shared" si="1"/>
        <v>#VALUE!</v>
      </c>
      <c r="I9754" s="1" t="e">
        <f t="shared" si="2"/>
        <v>#VALUE!</v>
      </c>
    </row>
    <row r="9755" spans="1:9" ht="15.75" customHeight="1">
      <c r="A9755" s="26"/>
      <c r="B9755" s="2"/>
      <c r="C9755" s="26"/>
      <c r="D9755" s="26"/>
      <c r="F9755" s="85" t="str">
        <f t="shared" si="0"/>
        <v/>
      </c>
      <c r="G9755" s="1" t="e">
        <f>IF(VALUE(F9755) = VALUE(RIGHT(Insights!$C$3, 4)), E9755, "")</f>
        <v>#VALUE!</v>
      </c>
      <c r="H9755" s="26" t="e">
        <f t="shared" si="1"/>
        <v>#VALUE!</v>
      </c>
      <c r="I9755" s="1" t="e">
        <f t="shared" si="2"/>
        <v>#VALUE!</v>
      </c>
    </row>
    <row r="9756" spans="1:9" ht="15.75" customHeight="1">
      <c r="A9756" s="26"/>
      <c r="B9756" s="2"/>
      <c r="C9756" s="26"/>
      <c r="D9756" s="26"/>
      <c r="F9756" s="85" t="str">
        <f t="shared" si="0"/>
        <v/>
      </c>
      <c r="G9756" s="1" t="e">
        <f>IF(VALUE(F9756) = VALUE(RIGHT(Insights!$C$3, 4)), E9756, "")</f>
        <v>#VALUE!</v>
      </c>
      <c r="H9756" s="26" t="e">
        <f t="shared" si="1"/>
        <v>#VALUE!</v>
      </c>
      <c r="I9756" s="1" t="e">
        <f t="shared" si="2"/>
        <v>#VALUE!</v>
      </c>
    </row>
    <row r="9757" spans="1:9" ht="15.75" customHeight="1">
      <c r="A9757" s="26"/>
      <c r="B9757" s="2"/>
      <c r="C9757" s="26"/>
      <c r="D9757" s="26"/>
      <c r="F9757" s="85" t="str">
        <f t="shared" si="0"/>
        <v/>
      </c>
      <c r="G9757" s="1" t="e">
        <f>IF(VALUE(F9757) = VALUE(RIGHT(Insights!$C$3, 4)), E9757, "")</f>
        <v>#VALUE!</v>
      </c>
      <c r="H9757" s="26" t="e">
        <f t="shared" si="1"/>
        <v>#VALUE!</v>
      </c>
      <c r="I9757" s="1" t="e">
        <f t="shared" si="2"/>
        <v>#VALUE!</v>
      </c>
    </row>
    <row r="9758" spans="1:9" ht="15.75" customHeight="1">
      <c r="A9758" s="26"/>
      <c r="B9758" s="2"/>
      <c r="C9758" s="26"/>
      <c r="D9758" s="26"/>
      <c r="F9758" s="85" t="str">
        <f t="shared" si="0"/>
        <v/>
      </c>
      <c r="G9758" s="1" t="e">
        <f>IF(VALUE(F9758) = VALUE(RIGHT(Insights!$C$3, 4)), E9758, "")</f>
        <v>#VALUE!</v>
      </c>
      <c r="H9758" s="26" t="e">
        <f t="shared" si="1"/>
        <v>#VALUE!</v>
      </c>
      <c r="I9758" s="1" t="e">
        <f t="shared" si="2"/>
        <v>#VALUE!</v>
      </c>
    </row>
    <row r="9759" spans="1:9" ht="15.75" customHeight="1">
      <c r="A9759" s="26"/>
      <c r="B9759" s="2"/>
      <c r="C9759" s="26"/>
      <c r="D9759" s="26"/>
      <c r="F9759" s="85" t="str">
        <f t="shared" si="0"/>
        <v/>
      </c>
      <c r="G9759" s="1" t="e">
        <f>IF(VALUE(F9759) = VALUE(RIGHT(Insights!$C$3, 4)), E9759, "")</f>
        <v>#VALUE!</v>
      </c>
      <c r="H9759" s="26" t="e">
        <f t="shared" si="1"/>
        <v>#VALUE!</v>
      </c>
      <c r="I9759" s="1" t="e">
        <f t="shared" si="2"/>
        <v>#VALUE!</v>
      </c>
    </row>
    <row r="9760" spans="1:9" ht="15.75" customHeight="1">
      <c r="A9760" s="26"/>
      <c r="B9760" s="2"/>
      <c r="C9760" s="26"/>
      <c r="D9760" s="26"/>
      <c r="F9760" s="85" t="str">
        <f t="shared" si="0"/>
        <v/>
      </c>
      <c r="G9760" s="1" t="e">
        <f>IF(VALUE(F9760) = VALUE(RIGHT(Insights!$C$3, 4)), E9760, "")</f>
        <v>#VALUE!</v>
      </c>
      <c r="H9760" s="26" t="e">
        <f t="shared" si="1"/>
        <v>#VALUE!</v>
      </c>
      <c r="I9760" s="1" t="e">
        <f t="shared" si="2"/>
        <v>#VALUE!</v>
      </c>
    </row>
    <row r="9761" spans="1:9" ht="15.75" customHeight="1">
      <c r="A9761" s="26"/>
      <c r="B9761" s="2"/>
      <c r="C9761" s="26"/>
      <c r="D9761" s="26"/>
      <c r="F9761" s="85" t="str">
        <f t="shared" si="0"/>
        <v/>
      </c>
      <c r="G9761" s="1" t="e">
        <f>IF(VALUE(F9761) = VALUE(RIGHT(Insights!$C$3, 4)), E9761, "")</f>
        <v>#VALUE!</v>
      </c>
      <c r="H9761" s="26" t="e">
        <f t="shared" si="1"/>
        <v>#VALUE!</v>
      </c>
      <c r="I9761" s="1" t="e">
        <f t="shared" si="2"/>
        <v>#VALUE!</v>
      </c>
    </row>
    <row r="9762" spans="1:9" ht="15.75" customHeight="1">
      <c r="A9762" s="26"/>
      <c r="B9762" s="2"/>
      <c r="C9762" s="26"/>
      <c r="D9762" s="26"/>
      <c r="F9762" s="85" t="str">
        <f t="shared" si="0"/>
        <v/>
      </c>
      <c r="G9762" s="1" t="e">
        <f>IF(VALUE(F9762) = VALUE(RIGHT(Insights!$C$3, 4)), E9762, "")</f>
        <v>#VALUE!</v>
      </c>
      <c r="H9762" s="26" t="e">
        <f t="shared" si="1"/>
        <v>#VALUE!</v>
      </c>
      <c r="I9762" s="1" t="e">
        <f t="shared" si="2"/>
        <v>#VALUE!</v>
      </c>
    </row>
    <row r="9763" spans="1:9" ht="15.75" customHeight="1">
      <c r="A9763" s="26"/>
      <c r="B9763" s="2"/>
      <c r="C9763" s="26"/>
      <c r="D9763" s="26"/>
      <c r="F9763" s="85" t="str">
        <f t="shared" si="0"/>
        <v/>
      </c>
      <c r="G9763" s="1" t="e">
        <f>IF(VALUE(F9763) = VALUE(RIGHT(Insights!$C$3, 4)), E9763, "")</f>
        <v>#VALUE!</v>
      </c>
      <c r="H9763" s="26" t="e">
        <f t="shared" si="1"/>
        <v>#VALUE!</v>
      </c>
      <c r="I9763" s="1" t="e">
        <f t="shared" si="2"/>
        <v>#VALUE!</v>
      </c>
    </row>
    <row r="9764" spans="1:9" ht="15.75" customHeight="1">
      <c r="A9764" s="26"/>
      <c r="B9764" s="2"/>
      <c r="C9764" s="26"/>
      <c r="D9764" s="26"/>
      <c r="F9764" s="85" t="str">
        <f t="shared" si="0"/>
        <v/>
      </c>
      <c r="G9764" s="1" t="e">
        <f>IF(VALUE(F9764) = VALUE(RIGHT(Insights!$C$3, 4)), E9764, "")</f>
        <v>#VALUE!</v>
      </c>
      <c r="H9764" s="26" t="e">
        <f t="shared" si="1"/>
        <v>#VALUE!</v>
      </c>
      <c r="I9764" s="1" t="e">
        <f t="shared" si="2"/>
        <v>#VALUE!</v>
      </c>
    </row>
    <row r="9765" spans="1:9" ht="15.75" customHeight="1">
      <c r="A9765" s="26"/>
      <c r="B9765" s="2"/>
      <c r="C9765" s="26"/>
      <c r="D9765" s="26"/>
      <c r="F9765" s="85" t="str">
        <f t="shared" si="0"/>
        <v/>
      </c>
      <c r="G9765" s="1" t="e">
        <f>IF(VALUE(F9765) = VALUE(RIGHT(Insights!$C$3, 4)), E9765, "")</f>
        <v>#VALUE!</v>
      </c>
      <c r="H9765" s="26" t="e">
        <f t="shared" si="1"/>
        <v>#VALUE!</v>
      </c>
      <c r="I9765" s="1" t="e">
        <f t="shared" si="2"/>
        <v>#VALUE!</v>
      </c>
    </row>
    <row r="9766" spans="1:9" ht="15.75" customHeight="1">
      <c r="A9766" s="26"/>
      <c r="B9766" s="2"/>
      <c r="C9766" s="26"/>
      <c r="D9766" s="26"/>
      <c r="F9766" s="85" t="str">
        <f t="shared" si="0"/>
        <v/>
      </c>
      <c r="G9766" s="1" t="e">
        <f>IF(VALUE(F9766) = VALUE(RIGHT(Insights!$C$3, 4)), E9766, "")</f>
        <v>#VALUE!</v>
      </c>
      <c r="H9766" s="26" t="e">
        <f t="shared" si="1"/>
        <v>#VALUE!</v>
      </c>
      <c r="I9766" s="1" t="e">
        <f t="shared" si="2"/>
        <v>#VALUE!</v>
      </c>
    </row>
    <row r="9767" spans="1:9" ht="15.75" customHeight="1">
      <c r="A9767" s="26"/>
      <c r="B9767" s="2"/>
      <c r="C9767" s="26"/>
      <c r="D9767" s="26"/>
      <c r="F9767" s="85" t="str">
        <f t="shared" si="0"/>
        <v/>
      </c>
      <c r="G9767" s="1" t="e">
        <f>IF(VALUE(F9767) = VALUE(RIGHT(Insights!$C$3, 4)), E9767, "")</f>
        <v>#VALUE!</v>
      </c>
      <c r="H9767" s="26" t="e">
        <f t="shared" si="1"/>
        <v>#VALUE!</v>
      </c>
      <c r="I9767" s="1" t="e">
        <f t="shared" si="2"/>
        <v>#VALUE!</v>
      </c>
    </row>
    <row r="9768" spans="1:9" ht="15.75" customHeight="1">
      <c r="A9768" s="26"/>
      <c r="B9768" s="2"/>
      <c r="C9768" s="26"/>
      <c r="D9768" s="26"/>
      <c r="F9768" s="85" t="str">
        <f t="shared" si="0"/>
        <v/>
      </c>
      <c r="G9768" s="1" t="e">
        <f>IF(VALUE(F9768) = VALUE(RIGHT(Insights!$C$3, 4)), E9768, "")</f>
        <v>#VALUE!</v>
      </c>
      <c r="H9768" s="26" t="e">
        <f t="shared" si="1"/>
        <v>#VALUE!</v>
      </c>
      <c r="I9768" s="1" t="e">
        <f t="shared" si="2"/>
        <v>#VALUE!</v>
      </c>
    </row>
    <row r="9769" spans="1:9" ht="15.75" customHeight="1">
      <c r="A9769" s="26"/>
      <c r="B9769" s="2"/>
      <c r="C9769" s="26"/>
      <c r="D9769" s="26"/>
      <c r="F9769" s="85" t="str">
        <f t="shared" si="0"/>
        <v/>
      </c>
      <c r="G9769" s="1" t="e">
        <f>IF(VALUE(F9769) = VALUE(RIGHT(Insights!$C$3, 4)), E9769, "")</f>
        <v>#VALUE!</v>
      </c>
      <c r="H9769" s="26" t="e">
        <f t="shared" si="1"/>
        <v>#VALUE!</v>
      </c>
      <c r="I9769" s="1" t="e">
        <f t="shared" si="2"/>
        <v>#VALUE!</v>
      </c>
    </row>
    <row r="9770" spans="1:9" ht="15.75" customHeight="1">
      <c r="A9770" s="26"/>
      <c r="B9770" s="2"/>
      <c r="C9770" s="26"/>
      <c r="D9770" s="26"/>
      <c r="F9770" s="85" t="str">
        <f t="shared" si="0"/>
        <v/>
      </c>
      <c r="G9770" s="1" t="e">
        <f>IF(VALUE(F9770) = VALUE(RIGHT(Insights!$C$3, 4)), E9770, "")</f>
        <v>#VALUE!</v>
      </c>
      <c r="H9770" s="26" t="e">
        <f t="shared" si="1"/>
        <v>#VALUE!</v>
      </c>
      <c r="I9770" s="1" t="e">
        <f t="shared" si="2"/>
        <v>#VALUE!</v>
      </c>
    </row>
    <row r="9771" spans="1:9" ht="15.75" customHeight="1">
      <c r="A9771" s="26"/>
      <c r="B9771" s="2"/>
      <c r="C9771" s="26"/>
      <c r="D9771" s="26"/>
      <c r="F9771" s="85" t="str">
        <f t="shared" si="0"/>
        <v/>
      </c>
      <c r="G9771" s="1" t="e">
        <f>IF(VALUE(F9771) = VALUE(RIGHT(Insights!$C$3, 4)), E9771, "")</f>
        <v>#VALUE!</v>
      </c>
      <c r="H9771" s="26" t="e">
        <f t="shared" si="1"/>
        <v>#VALUE!</v>
      </c>
      <c r="I9771" s="1" t="e">
        <f t="shared" si="2"/>
        <v>#VALUE!</v>
      </c>
    </row>
    <row r="9772" spans="1:9" ht="15.75" customHeight="1">
      <c r="A9772" s="26"/>
      <c r="B9772" s="2"/>
      <c r="C9772" s="26"/>
      <c r="D9772" s="26"/>
      <c r="F9772" s="85" t="str">
        <f t="shared" si="0"/>
        <v/>
      </c>
      <c r="G9772" s="1" t="e">
        <f>IF(VALUE(F9772) = VALUE(RIGHT(Insights!$C$3, 4)), E9772, "")</f>
        <v>#VALUE!</v>
      </c>
      <c r="H9772" s="26" t="e">
        <f t="shared" si="1"/>
        <v>#VALUE!</v>
      </c>
      <c r="I9772" s="1" t="e">
        <f t="shared" si="2"/>
        <v>#VALUE!</v>
      </c>
    </row>
    <row r="9773" spans="1:9" ht="15.75" customHeight="1">
      <c r="A9773" s="26"/>
      <c r="B9773" s="2"/>
      <c r="C9773" s="26"/>
      <c r="D9773" s="26"/>
      <c r="F9773" s="85" t="str">
        <f t="shared" si="0"/>
        <v/>
      </c>
      <c r="G9773" s="1" t="e">
        <f>IF(VALUE(F9773) = VALUE(RIGHT(Insights!$C$3, 4)), E9773, "")</f>
        <v>#VALUE!</v>
      </c>
      <c r="H9773" s="26" t="e">
        <f t="shared" si="1"/>
        <v>#VALUE!</v>
      </c>
      <c r="I9773" s="1" t="e">
        <f t="shared" si="2"/>
        <v>#VALUE!</v>
      </c>
    </row>
    <row r="9774" spans="1:9" ht="15.75" customHeight="1">
      <c r="A9774" s="26"/>
      <c r="B9774" s="2"/>
      <c r="C9774" s="26"/>
      <c r="D9774" s="26"/>
      <c r="F9774" s="85" t="str">
        <f t="shared" si="0"/>
        <v/>
      </c>
      <c r="G9774" s="1" t="e">
        <f>IF(VALUE(F9774) = VALUE(RIGHT(Insights!$C$3, 4)), E9774, "")</f>
        <v>#VALUE!</v>
      </c>
      <c r="H9774" s="26" t="e">
        <f t="shared" si="1"/>
        <v>#VALUE!</v>
      </c>
      <c r="I9774" s="1" t="e">
        <f t="shared" si="2"/>
        <v>#VALUE!</v>
      </c>
    </row>
    <row r="9775" spans="1:9" ht="15.75" customHeight="1">
      <c r="A9775" s="26"/>
      <c r="B9775" s="2"/>
      <c r="C9775" s="26"/>
      <c r="D9775" s="26"/>
      <c r="F9775" s="85" t="str">
        <f t="shared" si="0"/>
        <v/>
      </c>
      <c r="G9775" s="1" t="e">
        <f>IF(VALUE(F9775) = VALUE(RIGHT(Insights!$C$3, 4)), E9775, "")</f>
        <v>#VALUE!</v>
      </c>
      <c r="H9775" s="26" t="e">
        <f t="shared" si="1"/>
        <v>#VALUE!</v>
      </c>
      <c r="I9775" s="1" t="e">
        <f t="shared" si="2"/>
        <v>#VALUE!</v>
      </c>
    </row>
    <row r="9776" spans="1:9" ht="15.75" customHeight="1">
      <c r="A9776" s="26"/>
      <c r="B9776" s="2"/>
      <c r="C9776" s="26"/>
      <c r="D9776" s="26"/>
      <c r="F9776" s="85" t="str">
        <f t="shared" si="0"/>
        <v/>
      </c>
      <c r="G9776" s="1" t="e">
        <f>IF(VALUE(F9776) = VALUE(RIGHT(Insights!$C$3, 4)), E9776, "")</f>
        <v>#VALUE!</v>
      </c>
      <c r="H9776" s="26" t="e">
        <f t="shared" si="1"/>
        <v>#VALUE!</v>
      </c>
      <c r="I9776" s="1" t="e">
        <f t="shared" si="2"/>
        <v>#VALUE!</v>
      </c>
    </row>
    <row r="9777" spans="1:9" ht="15.75" customHeight="1">
      <c r="A9777" s="26"/>
      <c r="B9777" s="2"/>
      <c r="C9777" s="26"/>
      <c r="D9777" s="26"/>
      <c r="F9777" s="85" t="str">
        <f t="shared" si="0"/>
        <v/>
      </c>
      <c r="G9777" s="1" t="e">
        <f>IF(VALUE(F9777) = VALUE(RIGHT(Insights!$C$3, 4)), E9777, "")</f>
        <v>#VALUE!</v>
      </c>
      <c r="H9777" s="26" t="e">
        <f t="shared" si="1"/>
        <v>#VALUE!</v>
      </c>
      <c r="I9777" s="1" t="e">
        <f t="shared" si="2"/>
        <v>#VALUE!</v>
      </c>
    </row>
    <row r="9778" spans="1:9" ht="15.75" customHeight="1">
      <c r="A9778" s="26"/>
      <c r="B9778" s="2"/>
      <c r="C9778" s="26"/>
      <c r="D9778" s="26"/>
      <c r="F9778" s="85" t="str">
        <f t="shared" si="0"/>
        <v/>
      </c>
      <c r="G9778" s="1" t="e">
        <f>IF(VALUE(F9778) = VALUE(RIGHT(Insights!$C$3, 4)), E9778, "")</f>
        <v>#VALUE!</v>
      </c>
      <c r="H9778" s="26" t="e">
        <f t="shared" si="1"/>
        <v>#VALUE!</v>
      </c>
      <c r="I9778" s="1" t="e">
        <f t="shared" si="2"/>
        <v>#VALUE!</v>
      </c>
    </row>
    <row r="9779" spans="1:9" ht="15.75" customHeight="1">
      <c r="A9779" s="26"/>
      <c r="B9779" s="2"/>
      <c r="C9779" s="26"/>
      <c r="D9779" s="26"/>
      <c r="F9779" s="85" t="str">
        <f t="shared" si="0"/>
        <v/>
      </c>
      <c r="G9779" s="1" t="e">
        <f>IF(VALUE(F9779) = VALUE(RIGHT(Insights!$C$3, 4)), E9779, "")</f>
        <v>#VALUE!</v>
      </c>
      <c r="H9779" s="26" t="e">
        <f t="shared" si="1"/>
        <v>#VALUE!</v>
      </c>
      <c r="I9779" s="1" t="e">
        <f t="shared" si="2"/>
        <v>#VALUE!</v>
      </c>
    </row>
    <row r="9780" spans="1:9" ht="15.75" customHeight="1">
      <c r="A9780" s="26"/>
      <c r="B9780" s="2"/>
      <c r="C9780" s="26"/>
      <c r="D9780" s="26"/>
      <c r="F9780" s="85" t="str">
        <f t="shared" si="0"/>
        <v/>
      </c>
      <c r="G9780" s="1" t="e">
        <f>IF(VALUE(F9780) = VALUE(RIGHT(Insights!$C$3, 4)), E9780, "")</f>
        <v>#VALUE!</v>
      </c>
      <c r="H9780" s="26" t="e">
        <f t="shared" si="1"/>
        <v>#VALUE!</v>
      </c>
      <c r="I9780" s="1" t="e">
        <f t="shared" si="2"/>
        <v>#VALUE!</v>
      </c>
    </row>
    <row r="9781" spans="1:9" ht="15.75" customHeight="1">
      <c r="A9781" s="26"/>
      <c r="B9781" s="2"/>
      <c r="C9781" s="26"/>
      <c r="D9781" s="26"/>
      <c r="F9781" s="85" t="str">
        <f t="shared" si="0"/>
        <v/>
      </c>
      <c r="G9781" s="1" t="e">
        <f>IF(VALUE(F9781) = VALUE(RIGHT(Insights!$C$3, 4)), E9781, "")</f>
        <v>#VALUE!</v>
      </c>
      <c r="H9781" s="26" t="e">
        <f t="shared" si="1"/>
        <v>#VALUE!</v>
      </c>
      <c r="I9781" s="1" t="e">
        <f t="shared" si="2"/>
        <v>#VALUE!</v>
      </c>
    </row>
    <row r="9782" spans="1:9" ht="15.75" customHeight="1">
      <c r="A9782" s="26"/>
      <c r="B9782" s="2"/>
      <c r="C9782" s="26"/>
      <c r="D9782" s="26"/>
      <c r="F9782" s="85" t="str">
        <f t="shared" si="0"/>
        <v/>
      </c>
      <c r="G9782" s="1" t="e">
        <f>IF(VALUE(F9782) = VALUE(RIGHT(Insights!$C$3, 4)), E9782, "")</f>
        <v>#VALUE!</v>
      </c>
      <c r="H9782" s="26" t="e">
        <f t="shared" si="1"/>
        <v>#VALUE!</v>
      </c>
      <c r="I9782" s="1" t="e">
        <f t="shared" si="2"/>
        <v>#VALUE!</v>
      </c>
    </row>
    <row r="9783" spans="1:9" ht="15.75" customHeight="1">
      <c r="A9783" s="26"/>
      <c r="B9783" s="2"/>
      <c r="C9783" s="26"/>
      <c r="D9783" s="26"/>
      <c r="F9783" s="85" t="str">
        <f t="shared" si="0"/>
        <v/>
      </c>
      <c r="G9783" s="1" t="e">
        <f>IF(VALUE(F9783) = VALUE(RIGHT(Insights!$C$3, 4)), E9783, "")</f>
        <v>#VALUE!</v>
      </c>
      <c r="H9783" s="26" t="e">
        <f t="shared" si="1"/>
        <v>#VALUE!</v>
      </c>
      <c r="I9783" s="1" t="e">
        <f t="shared" si="2"/>
        <v>#VALUE!</v>
      </c>
    </row>
    <row r="9784" spans="1:9" ht="15.75" customHeight="1">
      <c r="A9784" s="26"/>
      <c r="B9784" s="2"/>
      <c r="C9784" s="26"/>
      <c r="D9784" s="26"/>
      <c r="F9784" s="85" t="str">
        <f t="shared" si="0"/>
        <v/>
      </c>
      <c r="G9784" s="1" t="e">
        <f>IF(VALUE(F9784) = VALUE(RIGHT(Insights!$C$3, 4)), E9784, "")</f>
        <v>#VALUE!</v>
      </c>
      <c r="H9784" s="26" t="e">
        <f t="shared" si="1"/>
        <v>#VALUE!</v>
      </c>
      <c r="I9784" s="1" t="e">
        <f t="shared" si="2"/>
        <v>#VALUE!</v>
      </c>
    </row>
    <row r="9785" spans="1:9" ht="15.75" customHeight="1">
      <c r="A9785" s="26"/>
      <c r="B9785" s="2"/>
      <c r="C9785" s="26"/>
      <c r="D9785" s="26"/>
      <c r="F9785" s="85" t="str">
        <f t="shared" si="0"/>
        <v/>
      </c>
      <c r="G9785" s="1" t="e">
        <f>IF(VALUE(F9785) = VALUE(RIGHT(Insights!$C$3, 4)), E9785, "")</f>
        <v>#VALUE!</v>
      </c>
      <c r="H9785" s="26" t="e">
        <f t="shared" si="1"/>
        <v>#VALUE!</v>
      </c>
      <c r="I9785" s="1" t="e">
        <f t="shared" si="2"/>
        <v>#VALUE!</v>
      </c>
    </row>
    <row r="9786" spans="1:9" ht="15.75" customHeight="1">
      <c r="A9786" s="26"/>
      <c r="B9786" s="2"/>
      <c r="C9786" s="26"/>
      <c r="D9786" s="26"/>
      <c r="F9786" s="85" t="str">
        <f t="shared" si="0"/>
        <v/>
      </c>
      <c r="G9786" s="1" t="e">
        <f>IF(VALUE(F9786) = VALUE(RIGHT(Insights!$C$3, 4)), E9786, "")</f>
        <v>#VALUE!</v>
      </c>
      <c r="H9786" s="26" t="e">
        <f t="shared" si="1"/>
        <v>#VALUE!</v>
      </c>
      <c r="I9786" s="1" t="e">
        <f t="shared" si="2"/>
        <v>#VALUE!</v>
      </c>
    </row>
    <row r="9787" spans="1:9" ht="15.75" customHeight="1">
      <c r="A9787" s="26"/>
      <c r="B9787" s="2"/>
      <c r="C9787" s="26"/>
      <c r="D9787" s="26"/>
      <c r="F9787" s="85" t="str">
        <f t="shared" si="0"/>
        <v/>
      </c>
      <c r="G9787" s="1" t="e">
        <f>IF(VALUE(F9787) = VALUE(RIGHT(Insights!$C$3, 4)), E9787, "")</f>
        <v>#VALUE!</v>
      </c>
      <c r="H9787" s="26" t="e">
        <f t="shared" si="1"/>
        <v>#VALUE!</v>
      </c>
      <c r="I9787" s="1" t="e">
        <f t="shared" si="2"/>
        <v>#VALUE!</v>
      </c>
    </row>
    <row r="9788" spans="1:9" ht="15.75" customHeight="1">
      <c r="A9788" s="26"/>
      <c r="B9788" s="2"/>
      <c r="C9788" s="26"/>
      <c r="D9788" s="26"/>
      <c r="F9788" s="85" t="str">
        <f t="shared" si="0"/>
        <v/>
      </c>
      <c r="G9788" s="1" t="e">
        <f>IF(VALUE(F9788) = VALUE(RIGHT(Insights!$C$3, 4)), E9788, "")</f>
        <v>#VALUE!</v>
      </c>
      <c r="H9788" s="26" t="e">
        <f t="shared" si="1"/>
        <v>#VALUE!</v>
      </c>
      <c r="I9788" s="1" t="e">
        <f t="shared" si="2"/>
        <v>#VALUE!</v>
      </c>
    </row>
    <row r="9789" spans="1:9" ht="15.75" customHeight="1">
      <c r="A9789" s="26"/>
      <c r="B9789" s="2"/>
      <c r="C9789" s="26"/>
      <c r="D9789" s="26"/>
      <c r="F9789" s="85" t="str">
        <f t="shared" si="0"/>
        <v/>
      </c>
      <c r="G9789" s="1" t="e">
        <f>IF(VALUE(F9789) = VALUE(RIGHT(Insights!$C$3, 4)), E9789, "")</f>
        <v>#VALUE!</v>
      </c>
      <c r="H9789" s="26" t="e">
        <f t="shared" si="1"/>
        <v>#VALUE!</v>
      </c>
      <c r="I9789" s="1" t="e">
        <f t="shared" si="2"/>
        <v>#VALUE!</v>
      </c>
    </row>
    <row r="9790" spans="1:9" ht="15.75" customHeight="1">
      <c r="A9790" s="26"/>
      <c r="B9790" s="2"/>
      <c r="C9790" s="26"/>
      <c r="D9790" s="26"/>
      <c r="F9790" s="85" t="str">
        <f t="shared" si="0"/>
        <v/>
      </c>
      <c r="G9790" s="1" t="e">
        <f>IF(VALUE(F9790) = VALUE(RIGHT(Insights!$C$3, 4)), E9790, "")</f>
        <v>#VALUE!</v>
      </c>
      <c r="H9790" s="26" t="e">
        <f t="shared" si="1"/>
        <v>#VALUE!</v>
      </c>
      <c r="I9790" s="1" t="e">
        <f t="shared" si="2"/>
        <v>#VALUE!</v>
      </c>
    </row>
    <row r="9791" spans="1:9" ht="15.75" customHeight="1">
      <c r="A9791" s="26"/>
      <c r="B9791" s="2"/>
      <c r="C9791" s="26"/>
      <c r="D9791" s="26"/>
      <c r="F9791" s="85" t="str">
        <f t="shared" si="0"/>
        <v/>
      </c>
      <c r="G9791" s="1" t="e">
        <f>IF(VALUE(F9791) = VALUE(RIGHT(Insights!$C$3, 4)), E9791, "")</f>
        <v>#VALUE!</v>
      </c>
      <c r="H9791" s="26" t="e">
        <f t="shared" si="1"/>
        <v>#VALUE!</v>
      </c>
      <c r="I9791" s="1" t="e">
        <f t="shared" si="2"/>
        <v>#VALUE!</v>
      </c>
    </row>
    <row r="9792" spans="1:9" ht="15.75" customHeight="1">
      <c r="A9792" s="26"/>
      <c r="B9792" s="2"/>
      <c r="C9792" s="26"/>
      <c r="D9792" s="26"/>
      <c r="F9792" s="85" t="str">
        <f t="shared" si="0"/>
        <v/>
      </c>
      <c r="G9792" s="1" t="e">
        <f>IF(VALUE(F9792) = VALUE(RIGHT(Insights!$C$3, 4)), E9792, "")</f>
        <v>#VALUE!</v>
      </c>
      <c r="H9792" s="26" t="e">
        <f t="shared" si="1"/>
        <v>#VALUE!</v>
      </c>
      <c r="I9792" s="1" t="e">
        <f t="shared" si="2"/>
        <v>#VALUE!</v>
      </c>
    </row>
    <row r="9793" spans="1:9" ht="15.75" customHeight="1">
      <c r="A9793" s="26"/>
      <c r="B9793" s="2"/>
      <c r="C9793" s="26"/>
      <c r="D9793" s="26"/>
      <c r="F9793" s="85" t="str">
        <f t="shared" si="0"/>
        <v/>
      </c>
      <c r="G9793" s="1" t="e">
        <f>IF(VALUE(F9793) = VALUE(RIGHT(Insights!$C$3, 4)), E9793, "")</f>
        <v>#VALUE!</v>
      </c>
      <c r="H9793" s="26" t="e">
        <f t="shared" si="1"/>
        <v>#VALUE!</v>
      </c>
      <c r="I9793" s="1" t="e">
        <f t="shared" si="2"/>
        <v>#VALUE!</v>
      </c>
    </row>
    <row r="9794" spans="1:9" ht="15.75" customHeight="1">
      <c r="A9794" s="26"/>
      <c r="B9794" s="2"/>
      <c r="C9794" s="26"/>
      <c r="D9794" s="26"/>
      <c r="F9794" s="85" t="str">
        <f t="shared" si="0"/>
        <v/>
      </c>
      <c r="G9794" s="1" t="e">
        <f>IF(VALUE(F9794) = VALUE(RIGHT(Insights!$C$3, 4)), E9794, "")</f>
        <v>#VALUE!</v>
      </c>
      <c r="H9794" s="26" t="e">
        <f t="shared" si="1"/>
        <v>#VALUE!</v>
      </c>
      <c r="I9794" s="1" t="e">
        <f t="shared" si="2"/>
        <v>#VALUE!</v>
      </c>
    </row>
    <row r="9795" spans="1:9" ht="15.75" customHeight="1">
      <c r="A9795" s="26"/>
      <c r="B9795" s="2"/>
      <c r="C9795" s="26"/>
      <c r="D9795" s="26"/>
      <c r="F9795" s="85" t="str">
        <f t="shared" si="0"/>
        <v/>
      </c>
      <c r="G9795" s="1" t="e">
        <f>IF(VALUE(F9795) = VALUE(RIGHT(Insights!$C$3, 4)), E9795, "")</f>
        <v>#VALUE!</v>
      </c>
      <c r="H9795" s="26" t="e">
        <f t="shared" si="1"/>
        <v>#VALUE!</v>
      </c>
      <c r="I9795" s="1" t="e">
        <f t="shared" si="2"/>
        <v>#VALUE!</v>
      </c>
    </row>
    <row r="9796" spans="1:9" ht="15.75" customHeight="1">
      <c r="A9796" s="26"/>
      <c r="B9796" s="2"/>
      <c r="C9796" s="26"/>
      <c r="D9796" s="26"/>
      <c r="F9796" s="85" t="str">
        <f t="shared" si="0"/>
        <v/>
      </c>
      <c r="G9796" s="1" t="e">
        <f>IF(VALUE(F9796) = VALUE(RIGHT(Insights!$C$3, 4)), E9796, "")</f>
        <v>#VALUE!</v>
      </c>
      <c r="H9796" s="26" t="e">
        <f t="shared" si="1"/>
        <v>#VALUE!</v>
      </c>
      <c r="I9796" s="1" t="e">
        <f t="shared" si="2"/>
        <v>#VALUE!</v>
      </c>
    </row>
    <row r="9797" spans="1:9" ht="15.75" customHeight="1">
      <c r="A9797" s="26"/>
      <c r="B9797" s="2"/>
      <c r="C9797" s="26"/>
      <c r="D9797" s="26"/>
      <c r="F9797" s="85" t="str">
        <f t="shared" si="0"/>
        <v/>
      </c>
      <c r="G9797" s="1" t="e">
        <f>IF(VALUE(F9797) = VALUE(RIGHT(Insights!$C$3, 4)), E9797, "")</f>
        <v>#VALUE!</v>
      </c>
      <c r="H9797" s="26" t="e">
        <f t="shared" si="1"/>
        <v>#VALUE!</v>
      </c>
      <c r="I9797" s="1" t="e">
        <f t="shared" si="2"/>
        <v>#VALUE!</v>
      </c>
    </row>
    <row r="9798" spans="1:9" ht="15.75" customHeight="1">
      <c r="A9798" s="26"/>
      <c r="B9798" s="2"/>
      <c r="C9798" s="26"/>
      <c r="D9798" s="26"/>
      <c r="F9798" s="85" t="str">
        <f t="shared" si="0"/>
        <v/>
      </c>
      <c r="G9798" s="1" t="e">
        <f>IF(VALUE(F9798) = VALUE(RIGHT(Insights!$C$3, 4)), E9798, "")</f>
        <v>#VALUE!</v>
      </c>
      <c r="H9798" s="26" t="e">
        <f t="shared" si="1"/>
        <v>#VALUE!</v>
      </c>
      <c r="I9798" s="1" t="e">
        <f t="shared" si="2"/>
        <v>#VALUE!</v>
      </c>
    </row>
    <row r="9799" spans="1:9" ht="15.75" customHeight="1">
      <c r="A9799" s="26"/>
      <c r="B9799" s="2"/>
      <c r="C9799" s="26"/>
      <c r="D9799" s="26"/>
      <c r="F9799" s="85" t="str">
        <f t="shared" si="0"/>
        <v/>
      </c>
      <c r="G9799" s="1" t="e">
        <f>IF(VALUE(F9799) = VALUE(RIGHT(Insights!$C$3, 4)), E9799, "")</f>
        <v>#VALUE!</v>
      </c>
      <c r="H9799" s="26" t="e">
        <f t="shared" si="1"/>
        <v>#VALUE!</v>
      </c>
      <c r="I9799" s="1" t="e">
        <f t="shared" si="2"/>
        <v>#VALUE!</v>
      </c>
    </row>
    <row r="9800" spans="1:9" ht="15.75" customHeight="1">
      <c r="A9800" s="26"/>
      <c r="B9800" s="2"/>
      <c r="C9800" s="26"/>
      <c r="D9800" s="26"/>
      <c r="F9800" s="85" t="str">
        <f t="shared" si="0"/>
        <v/>
      </c>
      <c r="G9800" s="1" t="e">
        <f>IF(VALUE(F9800) = VALUE(RIGHT(Insights!$C$3, 4)), E9800, "")</f>
        <v>#VALUE!</v>
      </c>
      <c r="H9800" s="26" t="e">
        <f t="shared" si="1"/>
        <v>#VALUE!</v>
      </c>
      <c r="I9800" s="1" t="e">
        <f t="shared" si="2"/>
        <v>#VALUE!</v>
      </c>
    </row>
    <row r="9801" spans="1:9" ht="15.75" customHeight="1">
      <c r="A9801" s="26"/>
      <c r="B9801" s="2"/>
      <c r="C9801" s="26"/>
      <c r="D9801" s="26"/>
      <c r="F9801" s="85" t="str">
        <f t="shared" si="0"/>
        <v/>
      </c>
      <c r="G9801" s="1" t="e">
        <f>IF(VALUE(F9801) = VALUE(RIGHT(Insights!$C$3, 4)), E9801, "")</f>
        <v>#VALUE!</v>
      </c>
      <c r="H9801" s="26" t="e">
        <f t="shared" si="1"/>
        <v>#VALUE!</v>
      </c>
      <c r="I9801" s="1" t="e">
        <f t="shared" si="2"/>
        <v>#VALUE!</v>
      </c>
    </row>
    <row r="9802" spans="1:9" ht="15.75" customHeight="1">
      <c r="A9802" s="26"/>
      <c r="B9802" s="2"/>
      <c r="C9802" s="26"/>
      <c r="D9802" s="26"/>
      <c r="F9802" s="85" t="str">
        <f t="shared" si="0"/>
        <v/>
      </c>
      <c r="G9802" s="1" t="e">
        <f>IF(VALUE(F9802) = VALUE(RIGHT(Insights!$C$3, 4)), E9802, "")</f>
        <v>#VALUE!</v>
      </c>
      <c r="H9802" s="26" t="e">
        <f t="shared" si="1"/>
        <v>#VALUE!</v>
      </c>
      <c r="I9802" s="1" t="e">
        <f t="shared" si="2"/>
        <v>#VALUE!</v>
      </c>
    </row>
    <row r="9803" spans="1:9" ht="15.75" customHeight="1">
      <c r="A9803" s="26"/>
      <c r="B9803" s="2"/>
      <c r="C9803" s="26"/>
      <c r="D9803" s="26"/>
      <c r="F9803" s="85" t="str">
        <f t="shared" si="0"/>
        <v/>
      </c>
      <c r="G9803" s="1" t="e">
        <f>IF(VALUE(F9803) = VALUE(RIGHT(Insights!$C$3, 4)), E9803, "")</f>
        <v>#VALUE!</v>
      </c>
      <c r="H9803" s="26" t="e">
        <f t="shared" si="1"/>
        <v>#VALUE!</v>
      </c>
      <c r="I9803" s="1" t="e">
        <f t="shared" si="2"/>
        <v>#VALUE!</v>
      </c>
    </row>
    <row r="9804" spans="1:9" ht="15.75" customHeight="1">
      <c r="A9804" s="26"/>
      <c r="B9804" s="2"/>
      <c r="C9804" s="26"/>
      <c r="D9804" s="26"/>
      <c r="F9804" s="85" t="str">
        <f t="shared" si="0"/>
        <v/>
      </c>
      <c r="G9804" s="1" t="e">
        <f>IF(VALUE(F9804) = VALUE(RIGHT(Insights!$C$3, 4)), E9804, "")</f>
        <v>#VALUE!</v>
      </c>
      <c r="H9804" s="26" t="e">
        <f t="shared" si="1"/>
        <v>#VALUE!</v>
      </c>
      <c r="I9804" s="1" t="e">
        <f t="shared" si="2"/>
        <v>#VALUE!</v>
      </c>
    </row>
    <row r="9805" spans="1:9" ht="15.75" customHeight="1">
      <c r="A9805" s="26"/>
      <c r="B9805" s="2"/>
      <c r="C9805" s="26"/>
      <c r="D9805" s="26"/>
      <c r="F9805" s="85" t="str">
        <f t="shared" si="0"/>
        <v/>
      </c>
      <c r="G9805" s="1" t="e">
        <f>IF(VALUE(F9805) = VALUE(RIGHT(Insights!$C$3, 4)), E9805, "")</f>
        <v>#VALUE!</v>
      </c>
      <c r="H9805" s="26" t="e">
        <f t="shared" si="1"/>
        <v>#VALUE!</v>
      </c>
      <c r="I9805" s="1" t="e">
        <f t="shared" si="2"/>
        <v>#VALUE!</v>
      </c>
    </row>
    <row r="9806" spans="1:9" ht="15.75" customHeight="1">
      <c r="A9806" s="26"/>
      <c r="B9806" s="2"/>
      <c r="C9806" s="26"/>
      <c r="D9806" s="26"/>
      <c r="F9806" s="85" t="str">
        <f t="shared" si="0"/>
        <v/>
      </c>
      <c r="G9806" s="1" t="e">
        <f>IF(VALUE(F9806) = VALUE(RIGHT(Insights!$C$3, 4)), E9806, "")</f>
        <v>#VALUE!</v>
      </c>
      <c r="H9806" s="26" t="e">
        <f t="shared" si="1"/>
        <v>#VALUE!</v>
      </c>
      <c r="I9806" s="1" t="e">
        <f t="shared" si="2"/>
        <v>#VALUE!</v>
      </c>
    </row>
    <row r="9807" spans="1:9" ht="15.75" customHeight="1">
      <c r="A9807" s="26"/>
      <c r="B9807" s="2"/>
      <c r="C9807" s="26"/>
      <c r="D9807" s="26"/>
      <c r="F9807" s="85" t="str">
        <f t="shared" si="0"/>
        <v/>
      </c>
      <c r="G9807" s="1" t="e">
        <f>IF(VALUE(F9807) = VALUE(RIGHT(Insights!$C$3, 4)), E9807, "")</f>
        <v>#VALUE!</v>
      </c>
      <c r="H9807" s="26" t="e">
        <f t="shared" si="1"/>
        <v>#VALUE!</v>
      </c>
      <c r="I9807" s="1" t="e">
        <f t="shared" si="2"/>
        <v>#VALUE!</v>
      </c>
    </row>
    <row r="9808" spans="1:9" ht="15.75" customHeight="1">
      <c r="A9808" s="26"/>
      <c r="B9808" s="2"/>
      <c r="C9808" s="26"/>
      <c r="D9808" s="26"/>
      <c r="F9808" s="85" t="str">
        <f t="shared" si="0"/>
        <v/>
      </c>
      <c r="G9808" s="1" t="e">
        <f>IF(VALUE(F9808) = VALUE(RIGHT(Insights!$C$3, 4)), E9808, "")</f>
        <v>#VALUE!</v>
      </c>
      <c r="H9808" s="26" t="e">
        <f t="shared" si="1"/>
        <v>#VALUE!</v>
      </c>
      <c r="I9808" s="1" t="e">
        <f t="shared" si="2"/>
        <v>#VALUE!</v>
      </c>
    </row>
    <row r="9809" spans="1:9" ht="15.75" customHeight="1">
      <c r="A9809" s="26"/>
      <c r="B9809" s="2"/>
      <c r="C9809" s="26"/>
      <c r="D9809" s="26"/>
      <c r="F9809" s="85" t="str">
        <f t="shared" si="0"/>
        <v/>
      </c>
      <c r="G9809" s="1" t="e">
        <f>IF(VALUE(F9809) = VALUE(RIGHT(Insights!$C$3, 4)), E9809, "")</f>
        <v>#VALUE!</v>
      </c>
      <c r="H9809" s="26" t="e">
        <f t="shared" si="1"/>
        <v>#VALUE!</v>
      </c>
      <c r="I9809" s="1" t="e">
        <f t="shared" si="2"/>
        <v>#VALUE!</v>
      </c>
    </row>
    <row r="9810" spans="1:9" ht="15.75" customHeight="1">
      <c r="A9810" s="26"/>
      <c r="B9810" s="2"/>
      <c r="C9810" s="26"/>
      <c r="D9810" s="26"/>
      <c r="F9810" s="85" t="str">
        <f t="shared" si="0"/>
        <v/>
      </c>
      <c r="G9810" s="1" t="e">
        <f>IF(VALUE(F9810) = VALUE(RIGHT(Insights!$C$3, 4)), E9810, "")</f>
        <v>#VALUE!</v>
      </c>
      <c r="H9810" s="26" t="e">
        <f t="shared" si="1"/>
        <v>#VALUE!</v>
      </c>
      <c r="I9810" s="1" t="e">
        <f t="shared" si="2"/>
        <v>#VALUE!</v>
      </c>
    </row>
    <row r="9811" spans="1:9" ht="15.75" customHeight="1">
      <c r="A9811" s="26"/>
      <c r="B9811" s="2"/>
      <c r="C9811" s="26"/>
      <c r="D9811" s="26"/>
      <c r="F9811" s="85" t="str">
        <f t="shared" si="0"/>
        <v/>
      </c>
      <c r="G9811" s="1" t="e">
        <f>IF(VALUE(F9811) = VALUE(RIGHT(Insights!$C$3, 4)), E9811, "")</f>
        <v>#VALUE!</v>
      </c>
      <c r="H9811" s="26" t="e">
        <f t="shared" si="1"/>
        <v>#VALUE!</v>
      </c>
      <c r="I9811" s="1" t="e">
        <f t="shared" si="2"/>
        <v>#VALUE!</v>
      </c>
    </row>
    <row r="9812" spans="1:9" ht="15.75" customHeight="1">
      <c r="A9812" s="26"/>
      <c r="B9812" s="2"/>
      <c r="C9812" s="26"/>
      <c r="D9812" s="26"/>
      <c r="F9812" s="85" t="str">
        <f t="shared" si="0"/>
        <v/>
      </c>
      <c r="G9812" s="1" t="e">
        <f>IF(VALUE(F9812) = VALUE(RIGHT(Insights!$C$3, 4)), E9812, "")</f>
        <v>#VALUE!</v>
      </c>
      <c r="H9812" s="26" t="e">
        <f t="shared" si="1"/>
        <v>#VALUE!</v>
      </c>
      <c r="I9812" s="1" t="e">
        <f t="shared" si="2"/>
        <v>#VALUE!</v>
      </c>
    </row>
    <row r="9813" spans="1:9" ht="15.75" customHeight="1">
      <c r="A9813" s="26"/>
      <c r="B9813" s="2"/>
      <c r="C9813" s="26"/>
      <c r="D9813" s="26"/>
      <c r="F9813" s="85" t="str">
        <f t="shared" si="0"/>
        <v/>
      </c>
      <c r="G9813" s="1" t="e">
        <f>IF(VALUE(F9813) = VALUE(RIGHT(Insights!$C$3, 4)), E9813, "")</f>
        <v>#VALUE!</v>
      </c>
      <c r="H9813" s="26" t="e">
        <f t="shared" si="1"/>
        <v>#VALUE!</v>
      </c>
      <c r="I9813" s="1" t="e">
        <f t="shared" si="2"/>
        <v>#VALUE!</v>
      </c>
    </row>
    <row r="9814" spans="1:9" ht="15.75" customHeight="1">
      <c r="A9814" s="26"/>
      <c r="B9814" s="2"/>
      <c r="C9814" s="26"/>
      <c r="D9814" s="26"/>
      <c r="F9814" s="85" t="str">
        <f t="shared" si="0"/>
        <v/>
      </c>
      <c r="G9814" s="1" t="e">
        <f>IF(VALUE(F9814) = VALUE(RIGHT(Insights!$C$3, 4)), E9814, "")</f>
        <v>#VALUE!</v>
      </c>
      <c r="H9814" s="26" t="e">
        <f t="shared" si="1"/>
        <v>#VALUE!</v>
      </c>
      <c r="I9814" s="1" t="e">
        <f t="shared" si="2"/>
        <v>#VALUE!</v>
      </c>
    </row>
    <row r="9815" spans="1:9" ht="15.75" customHeight="1">
      <c r="A9815" s="26"/>
      <c r="B9815" s="2"/>
      <c r="C9815" s="26"/>
      <c r="D9815" s="26"/>
      <c r="F9815" s="85" t="str">
        <f t="shared" si="0"/>
        <v/>
      </c>
      <c r="G9815" s="1" t="e">
        <f>IF(VALUE(F9815) = VALUE(RIGHT(Insights!$C$3, 4)), E9815, "")</f>
        <v>#VALUE!</v>
      </c>
      <c r="H9815" s="26" t="e">
        <f t="shared" si="1"/>
        <v>#VALUE!</v>
      </c>
      <c r="I9815" s="1" t="e">
        <f t="shared" si="2"/>
        <v>#VALUE!</v>
      </c>
    </row>
    <row r="9816" spans="1:9" ht="15.75" customHeight="1">
      <c r="A9816" s="26"/>
      <c r="B9816" s="2"/>
      <c r="C9816" s="26"/>
      <c r="D9816" s="26"/>
      <c r="F9816" s="85" t="str">
        <f t="shared" si="0"/>
        <v/>
      </c>
      <c r="G9816" s="1" t="e">
        <f>IF(VALUE(F9816) = VALUE(RIGHT(Insights!$C$3, 4)), E9816, "")</f>
        <v>#VALUE!</v>
      </c>
      <c r="H9816" s="26" t="e">
        <f t="shared" si="1"/>
        <v>#VALUE!</v>
      </c>
      <c r="I9816" s="1" t="e">
        <f t="shared" si="2"/>
        <v>#VALUE!</v>
      </c>
    </row>
    <row r="9817" spans="1:9" ht="15.75" customHeight="1">
      <c r="A9817" s="26"/>
      <c r="B9817" s="2"/>
      <c r="C9817" s="26"/>
      <c r="D9817" s="26"/>
      <c r="F9817" s="85" t="str">
        <f t="shared" si="0"/>
        <v/>
      </c>
      <c r="G9817" s="1" t="e">
        <f>IF(VALUE(F9817) = VALUE(RIGHT(Insights!$C$3, 4)), E9817, "")</f>
        <v>#VALUE!</v>
      </c>
      <c r="H9817" s="26" t="e">
        <f t="shared" si="1"/>
        <v>#VALUE!</v>
      </c>
      <c r="I9817" s="1" t="e">
        <f t="shared" si="2"/>
        <v>#VALUE!</v>
      </c>
    </row>
    <row r="9818" spans="1:9" ht="15.75" customHeight="1">
      <c r="A9818" s="26"/>
      <c r="B9818" s="2"/>
      <c r="C9818" s="26"/>
      <c r="D9818" s="26"/>
      <c r="F9818" s="85" t="str">
        <f t="shared" si="0"/>
        <v/>
      </c>
      <c r="G9818" s="1" t="e">
        <f>IF(VALUE(F9818) = VALUE(RIGHT(Insights!$C$3, 4)), E9818, "")</f>
        <v>#VALUE!</v>
      </c>
      <c r="H9818" s="26" t="e">
        <f t="shared" si="1"/>
        <v>#VALUE!</v>
      </c>
      <c r="I9818" s="1" t="e">
        <f t="shared" si="2"/>
        <v>#VALUE!</v>
      </c>
    </row>
    <row r="9819" spans="1:9" ht="15.75" customHeight="1">
      <c r="A9819" s="26"/>
      <c r="B9819" s="2"/>
      <c r="C9819" s="26"/>
      <c r="D9819" s="26"/>
      <c r="F9819" s="85" t="str">
        <f t="shared" si="0"/>
        <v/>
      </c>
      <c r="G9819" s="1" t="e">
        <f>IF(VALUE(F9819) = VALUE(RIGHT(Insights!$C$3, 4)), E9819, "")</f>
        <v>#VALUE!</v>
      </c>
      <c r="H9819" s="26" t="e">
        <f t="shared" si="1"/>
        <v>#VALUE!</v>
      </c>
      <c r="I9819" s="1" t="e">
        <f t="shared" si="2"/>
        <v>#VALUE!</v>
      </c>
    </row>
    <row r="9820" spans="1:9" ht="15.75" customHeight="1">
      <c r="A9820" s="26"/>
      <c r="B9820" s="2"/>
      <c r="C9820" s="26"/>
      <c r="D9820" s="26"/>
      <c r="F9820" s="85" t="str">
        <f t="shared" si="0"/>
        <v/>
      </c>
      <c r="G9820" s="1" t="e">
        <f>IF(VALUE(F9820) = VALUE(RIGHT(Insights!$C$3, 4)), E9820, "")</f>
        <v>#VALUE!</v>
      </c>
      <c r="H9820" s="26" t="e">
        <f t="shared" si="1"/>
        <v>#VALUE!</v>
      </c>
      <c r="I9820" s="1" t="e">
        <f t="shared" si="2"/>
        <v>#VALUE!</v>
      </c>
    </row>
    <row r="9821" spans="1:9" ht="15.75" customHeight="1">
      <c r="A9821" s="26"/>
      <c r="B9821" s="2"/>
      <c r="C9821" s="26"/>
      <c r="D9821" s="26"/>
      <c r="F9821" s="85" t="str">
        <f t="shared" si="0"/>
        <v/>
      </c>
      <c r="G9821" s="1" t="e">
        <f>IF(VALUE(F9821) = VALUE(RIGHT(Insights!$C$3, 4)), E9821, "")</f>
        <v>#VALUE!</v>
      </c>
      <c r="H9821" s="26" t="e">
        <f t="shared" si="1"/>
        <v>#VALUE!</v>
      </c>
      <c r="I9821" s="1" t="e">
        <f t="shared" si="2"/>
        <v>#VALUE!</v>
      </c>
    </row>
    <row r="9822" spans="1:9" ht="15.75" customHeight="1">
      <c r="A9822" s="26"/>
      <c r="B9822" s="2"/>
      <c r="C9822" s="26"/>
      <c r="D9822" s="26"/>
      <c r="F9822" s="85" t="str">
        <f t="shared" si="0"/>
        <v/>
      </c>
      <c r="G9822" s="1" t="e">
        <f>IF(VALUE(F9822) = VALUE(RIGHT(Insights!$C$3, 4)), E9822, "")</f>
        <v>#VALUE!</v>
      </c>
      <c r="H9822" s="26" t="e">
        <f t="shared" si="1"/>
        <v>#VALUE!</v>
      </c>
      <c r="I9822" s="1" t="e">
        <f t="shared" si="2"/>
        <v>#VALUE!</v>
      </c>
    </row>
    <row r="9823" spans="1:9" ht="15.75" customHeight="1">
      <c r="A9823" s="26"/>
      <c r="B9823" s="2"/>
      <c r="C9823" s="26"/>
      <c r="D9823" s="26"/>
      <c r="F9823" s="85" t="str">
        <f t="shared" si="0"/>
        <v/>
      </c>
      <c r="G9823" s="1" t="e">
        <f>IF(VALUE(F9823) = VALUE(RIGHT(Insights!$C$3, 4)), E9823, "")</f>
        <v>#VALUE!</v>
      </c>
      <c r="H9823" s="26" t="e">
        <f t="shared" si="1"/>
        <v>#VALUE!</v>
      </c>
      <c r="I9823" s="1" t="e">
        <f t="shared" si="2"/>
        <v>#VALUE!</v>
      </c>
    </row>
    <row r="9824" spans="1:9" ht="15.75" customHeight="1">
      <c r="A9824" s="26"/>
      <c r="B9824" s="2"/>
      <c r="C9824" s="26"/>
      <c r="D9824" s="26"/>
      <c r="F9824" s="85" t="str">
        <f t="shared" si="0"/>
        <v/>
      </c>
      <c r="G9824" s="1" t="e">
        <f>IF(VALUE(F9824) = VALUE(RIGHT(Insights!$C$3, 4)), E9824, "")</f>
        <v>#VALUE!</v>
      </c>
      <c r="H9824" s="26" t="e">
        <f t="shared" si="1"/>
        <v>#VALUE!</v>
      </c>
      <c r="I9824" s="1" t="e">
        <f t="shared" si="2"/>
        <v>#VALUE!</v>
      </c>
    </row>
    <row r="9825" spans="1:9" ht="15.75" customHeight="1">
      <c r="A9825" s="26"/>
      <c r="B9825" s="2"/>
      <c r="C9825" s="26"/>
      <c r="D9825" s="26"/>
      <c r="F9825" s="85" t="str">
        <f t="shared" si="0"/>
        <v/>
      </c>
      <c r="G9825" s="1" t="e">
        <f>IF(VALUE(F9825) = VALUE(RIGHT(Insights!$C$3, 4)), E9825, "")</f>
        <v>#VALUE!</v>
      </c>
      <c r="H9825" s="26" t="e">
        <f t="shared" si="1"/>
        <v>#VALUE!</v>
      </c>
      <c r="I9825" s="1" t="e">
        <f t="shared" si="2"/>
        <v>#VALUE!</v>
      </c>
    </row>
    <row r="9826" spans="1:9" ht="15.75" customHeight="1">
      <c r="A9826" s="26"/>
      <c r="B9826" s="2"/>
      <c r="C9826" s="26"/>
      <c r="D9826" s="26"/>
      <c r="F9826" s="85" t="str">
        <f t="shared" si="0"/>
        <v/>
      </c>
      <c r="G9826" s="1" t="e">
        <f>IF(VALUE(F9826) = VALUE(RIGHT(Insights!$C$3, 4)), E9826, "")</f>
        <v>#VALUE!</v>
      </c>
      <c r="H9826" s="26" t="e">
        <f t="shared" si="1"/>
        <v>#VALUE!</v>
      </c>
      <c r="I9826" s="1" t="e">
        <f t="shared" si="2"/>
        <v>#VALUE!</v>
      </c>
    </row>
    <row r="9827" spans="1:9" ht="15.75" customHeight="1">
      <c r="A9827" s="26"/>
      <c r="B9827" s="2"/>
      <c r="C9827" s="26"/>
      <c r="D9827" s="26"/>
      <c r="F9827" s="85" t="str">
        <f t="shared" si="0"/>
        <v/>
      </c>
      <c r="G9827" s="1" t="e">
        <f>IF(VALUE(F9827) = VALUE(RIGHT(Insights!$C$3, 4)), E9827, "")</f>
        <v>#VALUE!</v>
      </c>
      <c r="H9827" s="26" t="e">
        <f t="shared" si="1"/>
        <v>#VALUE!</v>
      </c>
      <c r="I9827" s="1" t="e">
        <f t="shared" si="2"/>
        <v>#VALUE!</v>
      </c>
    </row>
    <row r="9828" spans="1:9" ht="15.75" customHeight="1">
      <c r="A9828" s="26"/>
      <c r="B9828" s="2"/>
      <c r="C9828" s="26"/>
      <c r="D9828" s="26"/>
      <c r="F9828" s="85" t="str">
        <f t="shared" si="0"/>
        <v/>
      </c>
      <c r="G9828" s="1" t="e">
        <f>IF(VALUE(F9828) = VALUE(RIGHT(Insights!$C$3, 4)), E9828, "")</f>
        <v>#VALUE!</v>
      </c>
      <c r="H9828" s="26" t="e">
        <f t="shared" si="1"/>
        <v>#VALUE!</v>
      </c>
      <c r="I9828" s="1" t="e">
        <f t="shared" si="2"/>
        <v>#VALUE!</v>
      </c>
    </row>
    <row r="9829" spans="1:9" ht="15.75" customHeight="1">
      <c r="A9829" s="26"/>
      <c r="B9829" s="2"/>
      <c r="C9829" s="26"/>
      <c r="D9829" s="26"/>
      <c r="F9829" s="85" t="str">
        <f t="shared" si="0"/>
        <v/>
      </c>
      <c r="G9829" s="1" t="e">
        <f>IF(VALUE(F9829) = VALUE(RIGHT(Insights!$C$3, 4)), E9829, "")</f>
        <v>#VALUE!</v>
      </c>
      <c r="H9829" s="26" t="e">
        <f t="shared" si="1"/>
        <v>#VALUE!</v>
      </c>
      <c r="I9829" s="1" t="e">
        <f t="shared" si="2"/>
        <v>#VALUE!</v>
      </c>
    </row>
    <row r="9830" spans="1:9" ht="15.75" customHeight="1">
      <c r="A9830" s="26"/>
      <c r="B9830" s="2"/>
      <c r="C9830" s="26"/>
      <c r="D9830" s="26"/>
      <c r="F9830" s="85" t="str">
        <f t="shared" si="0"/>
        <v/>
      </c>
      <c r="G9830" s="1" t="e">
        <f>IF(VALUE(F9830) = VALUE(RIGHT(Insights!$C$3, 4)), E9830, "")</f>
        <v>#VALUE!</v>
      </c>
      <c r="H9830" s="26" t="e">
        <f t="shared" si="1"/>
        <v>#VALUE!</v>
      </c>
      <c r="I9830" s="1" t="e">
        <f t="shared" si="2"/>
        <v>#VALUE!</v>
      </c>
    </row>
    <row r="9831" spans="1:9" ht="15.75" customHeight="1">
      <c r="A9831" s="26"/>
      <c r="B9831" s="2"/>
      <c r="C9831" s="26"/>
      <c r="D9831" s="26"/>
      <c r="F9831" s="85" t="str">
        <f t="shared" si="0"/>
        <v/>
      </c>
      <c r="G9831" s="1" t="e">
        <f>IF(VALUE(F9831) = VALUE(RIGHT(Insights!$C$3, 4)), E9831, "")</f>
        <v>#VALUE!</v>
      </c>
      <c r="H9831" s="26" t="e">
        <f t="shared" si="1"/>
        <v>#VALUE!</v>
      </c>
      <c r="I9831" s="1" t="e">
        <f t="shared" si="2"/>
        <v>#VALUE!</v>
      </c>
    </row>
    <row r="9832" spans="1:9" ht="15.75" customHeight="1">
      <c r="A9832" s="26"/>
      <c r="B9832" s="2"/>
      <c r="C9832" s="26"/>
      <c r="D9832" s="26"/>
      <c r="F9832" s="85" t="str">
        <f t="shared" si="0"/>
        <v/>
      </c>
      <c r="G9832" s="1" t="e">
        <f>IF(VALUE(F9832) = VALUE(RIGHT(Insights!$C$3, 4)), E9832, "")</f>
        <v>#VALUE!</v>
      </c>
      <c r="H9832" s="26" t="e">
        <f t="shared" si="1"/>
        <v>#VALUE!</v>
      </c>
      <c r="I9832" s="1" t="e">
        <f t="shared" si="2"/>
        <v>#VALUE!</v>
      </c>
    </row>
    <row r="9833" spans="1:9" ht="15.75" customHeight="1">
      <c r="A9833" s="26"/>
      <c r="B9833" s="2"/>
      <c r="C9833" s="26"/>
      <c r="D9833" s="26"/>
      <c r="F9833" s="85" t="str">
        <f t="shared" si="0"/>
        <v/>
      </c>
      <c r="G9833" s="1" t="e">
        <f>IF(VALUE(F9833) = VALUE(RIGHT(Insights!$C$3, 4)), E9833, "")</f>
        <v>#VALUE!</v>
      </c>
      <c r="H9833" s="26" t="e">
        <f t="shared" si="1"/>
        <v>#VALUE!</v>
      </c>
      <c r="I9833" s="1" t="e">
        <f t="shared" si="2"/>
        <v>#VALUE!</v>
      </c>
    </row>
    <row r="9834" spans="1:9" ht="15.75" customHeight="1">
      <c r="A9834" s="26"/>
      <c r="B9834" s="2"/>
      <c r="C9834" s="26"/>
      <c r="D9834" s="26"/>
      <c r="F9834" s="85" t="str">
        <f t="shared" si="0"/>
        <v/>
      </c>
      <c r="G9834" s="1" t="e">
        <f>IF(VALUE(F9834) = VALUE(RIGHT(Insights!$C$3, 4)), E9834, "")</f>
        <v>#VALUE!</v>
      </c>
      <c r="H9834" s="26" t="e">
        <f t="shared" si="1"/>
        <v>#VALUE!</v>
      </c>
      <c r="I9834" s="1" t="e">
        <f t="shared" si="2"/>
        <v>#VALUE!</v>
      </c>
    </row>
    <row r="9835" spans="1:9" ht="15.75" customHeight="1">
      <c r="A9835" s="26"/>
      <c r="B9835" s="2"/>
      <c r="C9835" s="26"/>
      <c r="D9835" s="26"/>
      <c r="F9835" s="85" t="str">
        <f t="shared" si="0"/>
        <v/>
      </c>
      <c r="G9835" s="1" t="e">
        <f>IF(VALUE(F9835) = VALUE(RIGHT(Insights!$C$3, 4)), E9835, "")</f>
        <v>#VALUE!</v>
      </c>
      <c r="H9835" s="26" t="e">
        <f t="shared" si="1"/>
        <v>#VALUE!</v>
      </c>
      <c r="I9835" s="1" t="e">
        <f t="shared" si="2"/>
        <v>#VALUE!</v>
      </c>
    </row>
    <row r="9836" spans="1:9" ht="15.75" customHeight="1">
      <c r="A9836" s="26"/>
      <c r="B9836" s="2"/>
      <c r="C9836" s="26"/>
      <c r="D9836" s="26"/>
      <c r="F9836" s="85" t="str">
        <f t="shared" si="0"/>
        <v/>
      </c>
      <c r="G9836" s="1" t="e">
        <f>IF(VALUE(F9836) = VALUE(RIGHT(Insights!$C$3, 4)), E9836, "")</f>
        <v>#VALUE!</v>
      </c>
      <c r="H9836" s="26" t="e">
        <f t="shared" si="1"/>
        <v>#VALUE!</v>
      </c>
      <c r="I9836" s="1" t="e">
        <f t="shared" si="2"/>
        <v>#VALUE!</v>
      </c>
    </row>
    <row r="9837" spans="1:9" ht="15.75" customHeight="1">
      <c r="A9837" s="26"/>
      <c r="B9837" s="2"/>
      <c r="C9837" s="26"/>
      <c r="D9837" s="26"/>
      <c r="F9837" s="85" t="str">
        <f t="shared" si="0"/>
        <v/>
      </c>
      <c r="G9837" s="1" t="e">
        <f>IF(VALUE(F9837) = VALUE(RIGHT(Insights!$C$3, 4)), E9837, "")</f>
        <v>#VALUE!</v>
      </c>
      <c r="H9837" s="26" t="e">
        <f t="shared" si="1"/>
        <v>#VALUE!</v>
      </c>
      <c r="I9837" s="1" t="e">
        <f t="shared" si="2"/>
        <v>#VALUE!</v>
      </c>
    </row>
    <row r="9838" spans="1:9" ht="15.75" customHeight="1">
      <c r="A9838" s="26"/>
      <c r="B9838" s="2"/>
      <c r="C9838" s="26"/>
      <c r="D9838" s="26"/>
      <c r="F9838" s="85" t="str">
        <f t="shared" si="0"/>
        <v/>
      </c>
      <c r="G9838" s="1" t="e">
        <f>IF(VALUE(F9838) = VALUE(RIGHT(Insights!$C$3, 4)), E9838, "")</f>
        <v>#VALUE!</v>
      </c>
      <c r="H9838" s="26" t="e">
        <f t="shared" si="1"/>
        <v>#VALUE!</v>
      </c>
      <c r="I9838" s="1" t="e">
        <f t="shared" si="2"/>
        <v>#VALUE!</v>
      </c>
    </row>
    <row r="9839" spans="1:9" ht="15.75" customHeight="1">
      <c r="A9839" s="26"/>
      <c r="B9839" s="2"/>
      <c r="C9839" s="26"/>
      <c r="D9839" s="26"/>
      <c r="F9839" s="85" t="str">
        <f t="shared" si="0"/>
        <v/>
      </c>
      <c r="G9839" s="1" t="e">
        <f>IF(VALUE(F9839) = VALUE(RIGHT(Insights!$C$3, 4)), E9839, "")</f>
        <v>#VALUE!</v>
      </c>
      <c r="H9839" s="26" t="e">
        <f t="shared" si="1"/>
        <v>#VALUE!</v>
      </c>
      <c r="I9839" s="1" t="e">
        <f t="shared" si="2"/>
        <v>#VALUE!</v>
      </c>
    </row>
    <row r="9840" spans="1:9" ht="15.75" customHeight="1">
      <c r="A9840" s="26"/>
      <c r="B9840" s="2"/>
      <c r="C9840" s="26"/>
      <c r="D9840" s="26"/>
      <c r="F9840" s="85" t="str">
        <f t="shared" si="0"/>
        <v/>
      </c>
      <c r="G9840" s="1" t="e">
        <f>IF(VALUE(F9840) = VALUE(RIGHT(Insights!$C$3, 4)), E9840, "")</f>
        <v>#VALUE!</v>
      </c>
      <c r="H9840" s="26" t="e">
        <f t="shared" si="1"/>
        <v>#VALUE!</v>
      </c>
      <c r="I9840" s="1" t="e">
        <f t="shared" si="2"/>
        <v>#VALUE!</v>
      </c>
    </row>
    <row r="9841" spans="1:9" ht="15.75" customHeight="1">
      <c r="A9841" s="26"/>
      <c r="B9841" s="2"/>
      <c r="C9841" s="26"/>
      <c r="D9841" s="26"/>
      <c r="F9841" s="85" t="str">
        <f t="shared" si="0"/>
        <v/>
      </c>
      <c r="G9841" s="1" t="e">
        <f>IF(VALUE(F9841) = VALUE(RIGHT(Insights!$C$3, 4)), E9841, "")</f>
        <v>#VALUE!</v>
      </c>
      <c r="H9841" s="26" t="e">
        <f t="shared" si="1"/>
        <v>#VALUE!</v>
      </c>
      <c r="I9841" s="1" t="e">
        <f t="shared" si="2"/>
        <v>#VALUE!</v>
      </c>
    </row>
    <row r="9842" spans="1:9" ht="15.75" customHeight="1">
      <c r="A9842" s="26"/>
      <c r="B9842" s="2"/>
      <c r="C9842" s="26"/>
      <c r="D9842" s="26"/>
      <c r="F9842" s="85" t="str">
        <f t="shared" si="0"/>
        <v/>
      </c>
      <c r="G9842" s="1" t="e">
        <f>IF(VALUE(F9842) = VALUE(RIGHT(Insights!$C$3, 4)), E9842, "")</f>
        <v>#VALUE!</v>
      </c>
      <c r="H9842" s="26" t="e">
        <f t="shared" si="1"/>
        <v>#VALUE!</v>
      </c>
      <c r="I9842" s="1" t="e">
        <f t="shared" si="2"/>
        <v>#VALUE!</v>
      </c>
    </row>
    <row r="9843" spans="1:9" ht="15.75" customHeight="1">
      <c r="A9843" s="26"/>
      <c r="B9843" s="2"/>
      <c r="C9843" s="26"/>
      <c r="D9843" s="26"/>
      <c r="F9843" s="85" t="str">
        <f t="shared" si="0"/>
        <v/>
      </c>
      <c r="G9843" s="1" t="e">
        <f>IF(VALUE(F9843) = VALUE(RIGHT(Insights!$C$3, 4)), E9843, "")</f>
        <v>#VALUE!</v>
      </c>
      <c r="H9843" s="26" t="e">
        <f t="shared" si="1"/>
        <v>#VALUE!</v>
      </c>
      <c r="I9843" s="1" t="e">
        <f t="shared" si="2"/>
        <v>#VALUE!</v>
      </c>
    </row>
    <row r="9844" spans="1:9" ht="15.75" customHeight="1">
      <c r="A9844" s="26"/>
      <c r="B9844" s="2"/>
      <c r="C9844" s="26"/>
      <c r="D9844" s="26"/>
      <c r="F9844" s="85" t="str">
        <f t="shared" si="0"/>
        <v/>
      </c>
      <c r="G9844" s="1" t="e">
        <f>IF(VALUE(F9844) = VALUE(RIGHT(Insights!$C$3, 4)), E9844, "")</f>
        <v>#VALUE!</v>
      </c>
      <c r="H9844" s="26" t="e">
        <f t="shared" si="1"/>
        <v>#VALUE!</v>
      </c>
      <c r="I9844" s="1" t="e">
        <f t="shared" si="2"/>
        <v>#VALUE!</v>
      </c>
    </row>
    <row r="9845" spans="1:9" ht="15.75" customHeight="1">
      <c r="A9845" s="26"/>
      <c r="B9845" s="2"/>
      <c r="C9845" s="26"/>
      <c r="D9845" s="26"/>
      <c r="F9845" s="85" t="str">
        <f t="shared" si="0"/>
        <v/>
      </c>
      <c r="G9845" s="1" t="e">
        <f>IF(VALUE(F9845) = VALUE(RIGHT(Insights!$C$3, 4)), E9845, "")</f>
        <v>#VALUE!</v>
      </c>
      <c r="H9845" s="26" t="e">
        <f t="shared" si="1"/>
        <v>#VALUE!</v>
      </c>
      <c r="I9845" s="1" t="e">
        <f t="shared" si="2"/>
        <v>#VALUE!</v>
      </c>
    </row>
    <row r="9846" spans="1:9" ht="15.75" customHeight="1">
      <c r="A9846" s="26"/>
      <c r="B9846" s="2"/>
      <c r="C9846" s="26"/>
      <c r="D9846" s="26"/>
      <c r="F9846" s="85" t="str">
        <f t="shared" si="0"/>
        <v/>
      </c>
      <c r="G9846" s="1" t="e">
        <f>IF(VALUE(F9846) = VALUE(RIGHT(Insights!$C$3, 4)), E9846, "")</f>
        <v>#VALUE!</v>
      </c>
      <c r="H9846" s="26" t="e">
        <f t="shared" si="1"/>
        <v>#VALUE!</v>
      </c>
      <c r="I9846" s="1" t="e">
        <f t="shared" si="2"/>
        <v>#VALUE!</v>
      </c>
    </row>
    <row r="9847" spans="1:9" ht="15.75" customHeight="1">
      <c r="A9847" s="26"/>
      <c r="B9847" s="2"/>
      <c r="C9847" s="26"/>
      <c r="D9847" s="26"/>
      <c r="F9847" s="85" t="str">
        <f t="shared" si="0"/>
        <v/>
      </c>
      <c r="G9847" s="1" t="e">
        <f>IF(VALUE(F9847) = VALUE(RIGHT(Insights!$C$3, 4)), E9847, "")</f>
        <v>#VALUE!</v>
      </c>
      <c r="H9847" s="26" t="e">
        <f t="shared" si="1"/>
        <v>#VALUE!</v>
      </c>
      <c r="I9847" s="1" t="e">
        <f t="shared" si="2"/>
        <v>#VALUE!</v>
      </c>
    </row>
    <row r="9848" spans="1:9" ht="15.75" customHeight="1">
      <c r="A9848" s="26"/>
      <c r="B9848" s="2"/>
      <c r="C9848" s="26"/>
      <c r="D9848" s="26"/>
      <c r="F9848" s="85" t="str">
        <f t="shared" si="0"/>
        <v/>
      </c>
      <c r="G9848" s="1" t="e">
        <f>IF(VALUE(F9848) = VALUE(RIGHT(Insights!$C$3, 4)), E9848, "")</f>
        <v>#VALUE!</v>
      </c>
      <c r="H9848" s="26" t="e">
        <f t="shared" si="1"/>
        <v>#VALUE!</v>
      </c>
      <c r="I9848" s="1" t="e">
        <f t="shared" si="2"/>
        <v>#VALUE!</v>
      </c>
    </row>
    <row r="9849" spans="1:9" ht="15.75" customHeight="1">
      <c r="A9849" s="26"/>
      <c r="B9849" s="2"/>
      <c r="C9849" s="26"/>
      <c r="D9849" s="26"/>
      <c r="F9849" s="85" t="str">
        <f t="shared" si="0"/>
        <v/>
      </c>
      <c r="G9849" s="1" t="e">
        <f>IF(VALUE(F9849) = VALUE(RIGHT(Insights!$C$3, 4)), E9849, "")</f>
        <v>#VALUE!</v>
      </c>
      <c r="H9849" s="26" t="e">
        <f t="shared" si="1"/>
        <v>#VALUE!</v>
      </c>
      <c r="I9849" s="1" t="e">
        <f t="shared" si="2"/>
        <v>#VALUE!</v>
      </c>
    </row>
    <row r="9850" spans="1:9" ht="15.75" customHeight="1">
      <c r="A9850" s="26"/>
      <c r="B9850" s="2"/>
      <c r="C9850" s="26"/>
      <c r="D9850" s="26"/>
      <c r="F9850" s="85" t="str">
        <f t="shared" si="0"/>
        <v/>
      </c>
      <c r="G9850" s="1" t="e">
        <f>IF(VALUE(F9850) = VALUE(RIGHT(Insights!$C$3, 4)), E9850, "")</f>
        <v>#VALUE!</v>
      </c>
      <c r="H9850" s="26" t="e">
        <f t="shared" si="1"/>
        <v>#VALUE!</v>
      </c>
      <c r="I9850" s="1" t="e">
        <f t="shared" si="2"/>
        <v>#VALUE!</v>
      </c>
    </row>
    <row r="9851" spans="1:9" ht="15.75" customHeight="1">
      <c r="A9851" s="26"/>
      <c r="B9851" s="2"/>
      <c r="C9851" s="26"/>
      <c r="D9851" s="26"/>
      <c r="F9851" s="85" t="str">
        <f t="shared" si="0"/>
        <v/>
      </c>
      <c r="G9851" s="1" t="e">
        <f>IF(VALUE(F9851) = VALUE(RIGHT(Insights!$C$3, 4)), E9851, "")</f>
        <v>#VALUE!</v>
      </c>
      <c r="H9851" s="26" t="e">
        <f t="shared" si="1"/>
        <v>#VALUE!</v>
      </c>
      <c r="I9851" s="1" t="e">
        <f t="shared" si="2"/>
        <v>#VALUE!</v>
      </c>
    </row>
    <row r="9852" spans="1:9" ht="15.75" customHeight="1">
      <c r="A9852" s="26"/>
      <c r="B9852" s="2"/>
      <c r="C9852" s="26"/>
      <c r="D9852" s="26"/>
      <c r="F9852" s="85" t="str">
        <f t="shared" si="0"/>
        <v/>
      </c>
      <c r="G9852" s="1" t="e">
        <f>IF(VALUE(F9852) = VALUE(RIGHT(Insights!$C$3, 4)), E9852, "")</f>
        <v>#VALUE!</v>
      </c>
      <c r="H9852" s="26" t="e">
        <f t="shared" si="1"/>
        <v>#VALUE!</v>
      </c>
      <c r="I9852" s="1" t="e">
        <f t="shared" si="2"/>
        <v>#VALUE!</v>
      </c>
    </row>
    <row r="9853" spans="1:9" ht="15.75" customHeight="1">
      <c r="A9853" s="26"/>
      <c r="B9853" s="2"/>
      <c r="C9853" s="26"/>
      <c r="D9853" s="26"/>
      <c r="F9853" s="85" t="str">
        <f t="shared" si="0"/>
        <v/>
      </c>
      <c r="G9853" s="1" t="e">
        <f>IF(VALUE(F9853) = VALUE(RIGHT(Insights!$C$3, 4)), E9853, "")</f>
        <v>#VALUE!</v>
      </c>
      <c r="H9853" s="26" t="e">
        <f t="shared" si="1"/>
        <v>#VALUE!</v>
      </c>
      <c r="I9853" s="1" t="e">
        <f t="shared" si="2"/>
        <v>#VALUE!</v>
      </c>
    </row>
    <row r="9854" spans="1:9" ht="15.75" customHeight="1">
      <c r="A9854" s="26"/>
      <c r="B9854" s="2"/>
      <c r="C9854" s="26"/>
      <c r="D9854" s="26"/>
      <c r="F9854" s="85" t="str">
        <f t="shared" si="0"/>
        <v/>
      </c>
      <c r="G9854" s="1" t="e">
        <f>IF(VALUE(F9854) = VALUE(RIGHT(Insights!$C$3, 4)), E9854, "")</f>
        <v>#VALUE!</v>
      </c>
      <c r="H9854" s="26" t="e">
        <f t="shared" si="1"/>
        <v>#VALUE!</v>
      </c>
      <c r="I9854" s="1" t="e">
        <f t="shared" si="2"/>
        <v>#VALUE!</v>
      </c>
    </row>
    <row r="9855" spans="1:9" ht="15.75" customHeight="1">
      <c r="A9855" s="26"/>
      <c r="B9855" s="2"/>
      <c r="C9855" s="26"/>
      <c r="D9855" s="26"/>
      <c r="F9855" s="85" t="str">
        <f t="shared" si="0"/>
        <v/>
      </c>
      <c r="G9855" s="1" t="e">
        <f>IF(VALUE(F9855) = VALUE(RIGHT(Insights!$C$3, 4)), E9855, "")</f>
        <v>#VALUE!</v>
      </c>
      <c r="H9855" s="26" t="e">
        <f t="shared" si="1"/>
        <v>#VALUE!</v>
      </c>
      <c r="I9855" s="1" t="e">
        <f t="shared" si="2"/>
        <v>#VALUE!</v>
      </c>
    </row>
    <row r="9856" spans="1:9" ht="15.75" customHeight="1">
      <c r="A9856" s="26"/>
      <c r="B9856" s="2"/>
      <c r="C9856" s="26"/>
      <c r="D9856" s="26"/>
      <c r="F9856" s="85" t="str">
        <f t="shared" si="0"/>
        <v/>
      </c>
      <c r="G9856" s="1" t="e">
        <f>IF(VALUE(F9856) = VALUE(RIGHT(Insights!$C$3, 4)), E9856, "")</f>
        <v>#VALUE!</v>
      </c>
      <c r="H9856" s="26" t="e">
        <f t="shared" si="1"/>
        <v>#VALUE!</v>
      </c>
      <c r="I9856" s="1" t="e">
        <f t="shared" si="2"/>
        <v>#VALUE!</v>
      </c>
    </row>
    <row r="9857" spans="1:9" ht="15.75" customHeight="1">
      <c r="A9857" s="26"/>
      <c r="B9857" s="2"/>
      <c r="C9857" s="26"/>
      <c r="D9857" s="26"/>
      <c r="F9857" s="85" t="str">
        <f t="shared" si="0"/>
        <v/>
      </c>
      <c r="G9857" s="1" t="e">
        <f>IF(VALUE(F9857) = VALUE(RIGHT(Insights!$C$3, 4)), E9857, "")</f>
        <v>#VALUE!</v>
      </c>
      <c r="H9857" s="26" t="e">
        <f t="shared" si="1"/>
        <v>#VALUE!</v>
      </c>
      <c r="I9857" s="1" t="e">
        <f t="shared" si="2"/>
        <v>#VALUE!</v>
      </c>
    </row>
    <row r="9858" spans="1:9" ht="15.75" customHeight="1">
      <c r="A9858" s="26"/>
      <c r="B9858" s="2"/>
      <c r="C9858" s="26"/>
      <c r="D9858" s="26"/>
      <c r="F9858" s="85" t="str">
        <f t="shared" si="0"/>
        <v/>
      </c>
      <c r="G9858" s="1" t="e">
        <f>IF(VALUE(F9858) = VALUE(RIGHT(Insights!$C$3, 4)), E9858, "")</f>
        <v>#VALUE!</v>
      </c>
      <c r="H9858" s="26" t="e">
        <f t="shared" si="1"/>
        <v>#VALUE!</v>
      </c>
      <c r="I9858" s="1" t="e">
        <f t="shared" si="2"/>
        <v>#VALUE!</v>
      </c>
    </row>
    <row r="9859" spans="1:9" ht="15.75" customHeight="1">
      <c r="A9859" s="26"/>
      <c r="B9859" s="2"/>
      <c r="C9859" s="26"/>
      <c r="D9859" s="26"/>
      <c r="F9859" s="85" t="str">
        <f t="shared" si="0"/>
        <v/>
      </c>
      <c r="G9859" s="1" t="e">
        <f>IF(VALUE(F9859) = VALUE(RIGHT(Insights!$C$3, 4)), E9859, "")</f>
        <v>#VALUE!</v>
      </c>
      <c r="H9859" s="26" t="e">
        <f t="shared" si="1"/>
        <v>#VALUE!</v>
      </c>
      <c r="I9859" s="1" t="e">
        <f t="shared" si="2"/>
        <v>#VALUE!</v>
      </c>
    </row>
    <row r="9860" spans="1:9" ht="15.75" customHeight="1">
      <c r="A9860" s="26"/>
      <c r="B9860" s="2"/>
      <c r="C9860" s="26"/>
      <c r="D9860" s="26"/>
      <c r="F9860" s="85" t="str">
        <f t="shared" si="0"/>
        <v/>
      </c>
      <c r="G9860" s="1" t="e">
        <f>IF(VALUE(F9860) = VALUE(RIGHT(Insights!$C$3, 4)), E9860, "")</f>
        <v>#VALUE!</v>
      </c>
      <c r="H9860" s="26" t="e">
        <f t="shared" si="1"/>
        <v>#VALUE!</v>
      </c>
      <c r="I9860" s="1" t="e">
        <f t="shared" si="2"/>
        <v>#VALUE!</v>
      </c>
    </row>
    <row r="9861" spans="1:9" ht="15.75" customHeight="1">
      <c r="A9861" s="26"/>
      <c r="B9861" s="2"/>
      <c r="C9861" s="26"/>
      <c r="D9861" s="26"/>
      <c r="F9861" s="85" t="str">
        <f t="shared" si="0"/>
        <v/>
      </c>
      <c r="G9861" s="1" t="e">
        <f>IF(VALUE(F9861) = VALUE(RIGHT(Insights!$C$3, 4)), E9861, "")</f>
        <v>#VALUE!</v>
      </c>
      <c r="H9861" s="26" t="e">
        <f t="shared" si="1"/>
        <v>#VALUE!</v>
      </c>
      <c r="I9861" s="1" t="e">
        <f t="shared" si="2"/>
        <v>#VALUE!</v>
      </c>
    </row>
    <row r="9862" spans="1:9" ht="15.75" customHeight="1">
      <c r="A9862" s="26"/>
      <c r="B9862" s="2"/>
      <c r="C9862" s="26"/>
      <c r="D9862" s="26"/>
      <c r="F9862" s="85" t="str">
        <f t="shared" si="0"/>
        <v/>
      </c>
      <c r="G9862" s="1" t="e">
        <f>IF(VALUE(F9862) = VALUE(RIGHT(Insights!$C$3, 4)), E9862, "")</f>
        <v>#VALUE!</v>
      </c>
      <c r="H9862" s="26" t="e">
        <f t="shared" si="1"/>
        <v>#VALUE!</v>
      </c>
      <c r="I9862" s="1" t="e">
        <f t="shared" si="2"/>
        <v>#VALUE!</v>
      </c>
    </row>
    <row r="9863" spans="1:9" ht="15.75" customHeight="1">
      <c r="A9863" s="26"/>
      <c r="B9863" s="2"/>
      <c r="C9863" s="26"/>
      <c r="D9863" s="26"/>
      <c r="F9863" s="85" t="str">
        <f t="shared" si="0"/>
        <v/>
      </c>
      <c r="G9863" s="1" t="e">
        <f>IF(VALUE(F9863) = VALUE(RIGHT(Insights!$C$3, 4)), E9863, "")</f>
        <v>#VALUE!</v>
      </c>
      <c r="H9863" s="26" t="e">
        <f t="shared" si="1"/>
        <v>#VALUE!</v>
      </c>
      <c r="I9863" s="1" t="e">
        <f t="shared" si="2"/>
        <v>#VALUE!</v>
      </c>
    </row>
    <row r="9864" spans="1:9" ht="15.75" customHeight="1">
      <c r="A9864" s="26"/>
      <c r="B9864" s="2"/>
      <c r="C9864" s="26"/>
      <c r="D9864" s="26"/>
      <c r="F9864" s="85" t="str">
        <f t="shared" si="0"/>
        <v/>
      </c>
      <c r="G9864" s="1" t="e">
        <f>IF(VALUE(F9864) = VALUE(RIGHT(Insights!$C$3, 4)), E9864, "")</f>
        <v>#VALUE!</v>
      </c>
      <c r="H9864" s="26" t="e">
        <f t="shared" si="1"/>
        <v>#VALUE!</v>
      </c>
      <c r="I9864" s="1" t="e">
        <f t="shared" si="2"/>
        <v>#VALUE!</v>
      </c>
    </row>
    <row r="9865" spans="1:9" ht="15.75" customHeight="1">
      <c r="A9865" s="26"/>
      <c r="B9865" s="2"/>
      <c r="C9865" s="26"/>
      <c r="D9865" s="26"/>
      <c r="F9865" s="85" t="str">
        <f t="shared" si="0"/>
        <v/>
      </c>
      <c r="G9865" s="1" t="e">
        <f>IF(VALUE(F9865) = VALUE(RIGHT(Insights!$C$3, 4)), E9865, "")</f>
        <v>#VALUE!</v>
      </c>
      <c r="H9865" s="26" t="e">
        <f t="shared" si="1"/>
        <v>#VALUE!</v>
      </c>
      <c r="I9865" s="1" t="e">
        <f t="shared" si="2"/>
        <v>#VALUE!</v>
      </c>
    </row>
    <row r="9866" spans="1:9" ht="15.75" customHeight="1">
      <c r="A9866" s="26"/>
      <c r="B9866" s="2"/>
      <c r="C9866" s="26"/>
      <c r="D9866" s="26"/>
      <c r="F9866" s="85" t="str">
        <f t="shared" si="0"/>
        <v/>
      </c>
      <c r="G9866" s="1" t="e">
        <f>IF(VALUE(F9866) = VALUE(RIGHT(Insights!$C$3, 4)), E9866, "")</f>
        <v>#VALUE!</v>
      </c>
      <c r="H9866" s="26" t="e">
        <f t="shared" si="1"/>
        <v>#VALUE!</v>
      </c>
      <c r="I9866" s="1" t="e">
        <f t="shared" si="2"/>
        <v>#VALUE!</v>
      </c>
    </row>
    <row r="9867" spans="1:9" ht="15.75" customHeight="1">
      <c r="A9867" s="26"/>
      <c r="B9867" s="2"/>
      <c r="C9867" s="26"/>
      <c r="D9867" s="26"/>
      <c r="F9867" s="85" t="str">
        <f t="shared" si="0"/>
        <v/>
      </c>
      <c r="G9867" s="1" t="e">
        <f>IF(VALUE(F9867) = VALUE(RIGHT(Insights!$C$3, 4)), E9867, "")</f>
        <v>#VALUE!</v>
      </c>
      <c r="H9867" s="26" t="e">
        <f t="shared" si="1"/>
        <v>#VALUE!</v>
      </c>
      <c r="I9867" s="1" t="e">
        <f t="shared" si="2"/>
        <v>#VALUE!</v>
      </c>
    </row>
    <row r="9868" spans="1:9" ht="15.75" customHeight="1">
      <c r="A9868" s="26"/>
      <c r="B9868" s="2"/>
      <c r="C9868" s="26"/>
      <c r="D9868" s="26"/>
      <c r="F9868" s="85" t="str">
        <f t="shared" si="0"/>
        <v/>
      </c>
      <c r="G9868" s="1" t="e">
        <f>IF(VALUE(F9868) = VALUE(RIGHT(Insights!$C$3, 4)), E9868, "")</f>
        <v>#VALUE!</v>
      </c>
      <c r="H9868" s="26" t="e">
        <f t="shared" si="1"/>
        <v>#VALUE!</v>
      </c>
      <c r="I9868" s="1" t="e">
        <f t="shared" si="2"/>
        <v>#VALUE!</v>
      </c>
    </row>
    <row r="9869" spans="1:9" ht="15.75" customHeight="1">
      <c r="A9869" s="26"/>
      <c r="B9869" s="2"/>
      <c r="C9869" s="26"/>
      <c r="D9869" s="26"/>
      <c r="F9869" s="85" t="str">
        <f t="shared" si="0"/>
        <v/>
      </c>
      <c r="G9869" s="1" t="e">
        <f>IF(VALUE(F9869) = VALUE(RIGHT(Insights!$C$3, 4)), E9869, "")</f>
        <v>#VALUE!</v>
      </c>
      <c r="H9869" s="26" t="e">
        <f t="shared" si="1"/>
        <v>#VALUE!</v>
      </c>
      <c r="I9869" s="1" t="e">
        <f t="shared" si="2"/>
        <v>#VALUE!</v>
      </c>
    </row>
    <row r="9870" spans="1:9" ht="15.75" customHeight="1">
      <c r="A9870" s="26"/>
      <c r="B9870" s="2"/>
      <c r="C9870" s="26"/>
      <c r="D9870" s="26"/>
      <c r="F9870" s="85" t="str">
        <f t="shared" si="0"/>
        <v/>
      </c>
      <c r="G9870" s="1" t="e">
        <f>IF(VALUE(F9870) = VALUE(RIGHT(Insights!$C$3, 4)), E9870, "")</f>
        <v>#VALUE!</v>
      </c>
      <c r="H9870" s="26" t="e">
        <f t="shared" si="1"/>
        <v>#VALUE!</v>
      </c>
      <c r="I9870" s="1" t="e">
        <f t="shared" si="2"/>
        <v>#VALUE!</v>
      </c>
    </row>
    <row r="9871" spans="1:9" ht="15.75" customHeight="1">
      <c r="A9871" s="26"/>
      <c r="B9871" s="2"/>
      <c r="C9871" s="26"/>
      <c r="D9871" s="26"/>
      <c r="F9871" s="85" t="str">
        <f t="shared" si="0"/>
        <v/>
      </c>
      <c r="G9871" s="1" t="e">
        <f>IF(VALUE(F9871) = VALUE(RIGHT(Insights!$C$3, 4)), E9871, "")</f>
        <v>#VALUE!</v>
      </c>
      <c r="H9871" s="26" t="e">
        <f t="shared" si="1"/>
        <v>#VALUE!</v>
      </c>
      <c r="I9871" s="1" t="e">
        <f t="shared" si="2"/>
        <v>#VALUE!</v>
      </c>
    </row>
    <row r="9872" spans="1:9" ht="15.75" customHeight="1">
      <c r="A9872" s="26"/>
      <c r="B9872" s="2"/>
      <c r="C9872" s="26"/>
      <c r="D9872" s="26"/>
      <c r="F9872" s="85" t="str">
        <f t="shared" si="0"/>
        <v/>
      </c>
      <c r="G9872" s="1" t="e">
        <f>IF(VALUE(F9872) = VALUE(RIGHT(Insights!$C$3, 4)), E9872, "")</f>
        <v>#VALUE!</v>
      </c>
      <c r="H9872" s="26" t="e">
        <f t="shared" si="1"/>
        <v>#VALUE!</v>
      </c>
      <c r="I9872" s="1" t="e">
        <f t="shared" si="2"/>
        <v>#VALUE!</v>
      </c>
    </row>
    <row r="9873" spans="1:9" ht="15.75" customHeight="1">
      <c r="A9873" s="26"/>
      <c r="B9873" s="2"/>
      <c r="C9873" s="26"/>
      <c r="D9873" s="26"/>
      <c r="F9873" s="85" t="str">
        <f t="shared" si="0"/>
        <v/>
      </c>
      <c r="G9873" s="1" t="e">
        <f>IF(VALUE(F9873) = VALUE(RIGHT(Insights!$C$3, 4)), E9873, "")</f>
        <v>#VALUE!</v>
      </c>
      <c r="H9873" s="26" t="e">
        <f t="shared" si="1"/>
        <v>#VALUE!</v>
      </c>
      <c r="I9873" s="1" t="e">
        <f t="shared" si="2"/>
        <v>#VALUE!</v>
      </c>
    </row>
    <row r="9874" spans="1:9" ht="15.75" customHeight="1">
      <c r="A9874" s="26"/>
      <c r="B9874" s="2"/>
      <c r="C9874" s="26"/>
      <c r="D9874" s="26"/>
      <c r="F9874" s="85" t="str">
        <f t="shared" si="0"/>
        <v/>
      </c>
      <c r="G9874" s="1" t="e">
        <f>IF(VALUE(F9874) = VALUE(RIGHT(Insights!$C$3, 4)), E9874, "")</f>
        <v>#VALUE!</v>
      </c>
      <c r="H9874" s="26" t="e">
        <f t="shared" si="1"/>
        <v>#VALUE!</v>
      </c>
      <c r="I9874" s="1" t="e">
        <f t="shared" si="2"/>
        <v>#VALUE!</v>
      </c>
    </row>
    <row r="9875" spans="1:9" ht="15.75" customHeight="1">
      <c r="A9875" s="26"/>
      <c r="B9875" s="2"/>
      <c r="C9875" s="26"/>
      <c r="D9875" s="26"/>
      <c r="F9875" s="85" t="str">
        <f t="shared" si="0"/>
        <v/>
      </c>
      <c r="G9875" s="1" t="e">
        <f>IF(VALUE(F9875) = VALUE(RIGHT(Insights!$C$3, 4)), E9875, "")</f>
        <v>#VALUE!</v>
      </c>
      <c r="H9875" s="26" t="e">
        <f t="shared" si="1"/>
        <v>#VALUE!</v>
      </c>
      <c r="I9875" s="1" t="e">
        <f t="shared" si="2"/>
        <v>#VALUE!</v>
      </c>
    </row>
    <row r="9876" spans="1:9" ht="15.75" customHeight="1">
      <c r="A9876" s="26"/>
      <c r="B9876" s="2"/>
      <c r="C9876" s="26"/>
      <c r="D9876" s="26"/>
      <c r="F9876" s="85" t="str">
        <f t="shared" si="0"/>
        <v/>
      </c>
      <c r="G9876" s="1" t="e">
        <f>IF(VALUE(F9876) = VALUE(RIGHT(Insights!$C$3, 4)), E9876, "")</f>
        <v>#VALUE!</v>
      </c>
      <c r="H9876" s="26" t="e">
        <f t="shared" si="1"/>
        <v>#VALUE!</v>
      </c>
      <c r="I9876" s="1" t="e">
        <f t="shared" si="2"/>
        <v>#VALUE!</v>
      </c>
    </row>
    <row r="9877" spans="1:9" ht="15.75" customHeight="1">
      <c r="A9877" s="26"/>
      <c r="B9877" s="2"/>
      <c r="C9877" s="26"/>
      <c r="D9877" s="26"/>
      <c r="F9877" s="85" t="str">
        <f t="shared" si="0"/>
        <v/>
      </c>
      <c r="G9877" s="1" t="e">
        <f>IF(VALUE(F9877) = VALUE(RIGHT(Insights!$C$3, 4)), E9877, "")</f>
        <v>#VALUE!</v>
      </c>
      <c r="H9877" s="26" t="e">
        <f t="shared" si="1"/>
        <v>#VALUE!</v>
      </c>
      <c r="I9877" s="1" t="e">
        <f t="shared" si="2"/>
        <v>#VALUE!</v>
      </c>
    </row>
    <row r="9878" spans="1:9" ht="15.75" customHeight="1">
      <c r="A9878" s="26"/>
      <c r="B9878" s="2"/>
      <c r="C9878" s="26"/>
      <c r="D9878" s="26"/>
      <c r="F9878" s="85" t="str">
        <f t="shared" si="0"/>
        <v/>
      </c>
      <c r="G9878" s="1" t="e">
        <f>IF(VALUE(F9878) = VALUE(RIGHT(Insights!$C$3, 4)), E9878, "")</f>
        <v>#VALUE!</v>
      </c>
      <c r="H9878" s="26" t="e">
        <f t="shared" si="1"/>
        <v>#VALUE!</v>
      </c>
      <c r="I9878" s="1" t="e">
        <f t="shared" si="2"/>
        <v>#VALUE!</v>
      </c>
    </row>
    <row r="9879" spans="1:9" ht="15.75" customHeight="1">
      <c r="A9879" s="26"/>
      <c r="B9879" s="2"/>
      <c r="C9879" s="26"/>
      <c r="D9879" s="26"/>
      <c r="F9879" s="85" t="str">
        <f t="shared" si="0"/>
        <v/>
      </c>
      <c r="G9879" s="1" t="e">
        <f>IF(VALUE(F9879) = VALUE(RIGHT(Insights!$C$3, 4)), E9879, "")</f>
        <v>#VALUE!</v>
      </c>
      <c r="H9879" s="26" t="e">
        <f t="shared" si="1"/>
        <v>#VALUE!</v>
      </c>
      <c r="I9879" s="1" t="e">
        <f t="shared" si="2"/>
        <v>#VALUE!</v>
      </c>
    </row>
    <row r="9880" spans="1:9" ht="15.75" customHeight="1">
      <c r="A9880" s="26"/>
      <c r="B9880" s="2"/>
      <c r="C9880" s="26"/>
      <c r="D9880" s="26"/>
      <c r="F9880" s="85" t="str">
        <f t="shared" si="0"/>
        <v/>
      </c>
      <c r="G9880" s="1" t="e">
        <f>IF(VALUE(F9880) = VALUE(RIGHT(Insights!$C$3, 4)), E9880, "")</f>
        <v>#VALUE!</v>
      </c>
      <c r="H9880" s="26" t="e">
        <f t="shared" si="1"/>
        <v>#VALUE!</v>
      </c>
      <c r="I9880" s="1" t="e">
        <f t="shared" si="2"/>
        <v>#VALUE!</v>
      </c>
    </row>
    <row r="9881" spans="1:9" ht="15.75" customHeight="1">
      <c r="A9881" s="26"/>
      <c r="B9881" s="2"/>
      <c r="C9881" s="26"/>
      <c r="D9881" s="26"/>
      <c r="F9881" s="85" t="str">
        <f t="shared" si="0"/>
        <v/>
      </c>
      <c r="G9881" s="1" t="e">
        <f>IF(VALUE(F9881) = VALUE(RIGHT(Insights!$C$3, 4)), E9881, "")</f>
        <v>#VALUE!</v>
      </c>
      <c r="H9881" s="26" t="e">
        <f t="shared" si="1"/>
        <v>#VALUE!</v>
      </c>
      <c r="I9881" s="1" t="e">
        <f t="shared" si="2"/>
        <v>#VALUE!</v>
      </c>
    </row>
    <row r="9882" spans="1:9" ht="15.75" customHeight="1">
      <c r="A9882" s="26"/>
      <c r="B9882" s="2"/>
      <c r="C9882" s="26"/>
      <c r="D9882" s="26"/>
      <c r="F9882" s="85" t="str">
        <f t="shared" si="0"/>
        <v/>
      </c>
      <c r="G9882" s="1" t="e">
        <f>IF(VALUE(F9882) = VALUE(RIGHT(Insights!$C$3, 4)), E9882, "")</f>
        <v>#VALUE!</v>
      </c>
      <c r="H9882" s="26" t="e">
        <f t="shared" si="1"/>
        <v>#VALUE!</v>
      </c>
      <c r="I9882" s="1" t="e">
        <f t="shared" si="2"/>
        <v>#VALUE!</v>
      </c>
    </row>
    <row r="9883" spans="1:9" ht="15.75" customHeight="1">
      <c r="A9883" s="26"/>
      <c r="B9883" s="2"/>
      <c r="C9883" s="26"/>
      <c r="D9883" s="26"/>
      <c r="F9883" s="85" t="str">
        <f t="shared" si="0"/>
        <v/>
      </c>
      <c r="G9883" s="1" t="e">
        <f>IF(VALUE(F9883) = VALUE(RIGHT(Insights!$C$3, 4)), E9883, "")</f>
        <v>#VALUE!</v>
      </c>
      <c r="H9883" s="26" t="e">
        <f t="shared" si="1"/>
        <v>#VALUE!</v>
      </c>
      <c r="I9883" s="1" t="e">
        <f t="shared" si="2"/>
        <v>#VALUE!</v>
      </c>
    </row>
    <row r="9884" spans="1:9" ht="15.75" customHeight="1">
      <c r="A9884" s="26"/>
      <c r="B9884" s="2"/>
      <c r="C9884" s="26"/>
      <c r="D9884" s="26"/>
      <c r="F9884" s="85" t="str">
        <f t="shared" si="0"/>
        <v/>
      </c>
      <c r="G9884" s="1" t="e">
        <f>IF(VALUE(F9884) = VALUE(RIGHT(Insights!$C$3, 4)), E9884, "")</f>
        <v>#VALUE!</v>
      </c>
      <c r="H9884" s="26" t="e">
        <f t="shared" si="1"/>
        <v>#VALUE!</v>
      </c>
      <c r="I9884" s="1" t="e">
        <f t="shared" si="2"/>
        <v>#VALUE!</v>
      </c>
    </row>
    <row r="9885" spans="1:9" ht="15.75" customHeight="1">
      <c r="A9885" s="26"/>
      <c r="B9885" s="2"/>
      <c r="C9885" s="26"/>
      <c r="D9885" s="26"/>
      <c r="F9885" s="85" t="str">
        <f t="shared" si="0"/>
        <v/>
      </c>
      <c r="G9885" s="1" t="e">
        <f>IF(VALUE(F9885) = VALUE(RIGHT(Insights!$C$3, 4)), E9885, "")</f>
        <v>#VALUE!</v>
      </c>
      <c r="H9885" s="26" t="e">
        <f t="shared" si="1"/>
        <v>#VALUE!</v>
      </c>
      <c r="I9885" s="1" t="e">
        <f t="shared" si="2"/>
        <v>#VALUE!</v>
      </c>
    </row>
    <row r="9886" spans="1:9" ht="15.75" customHeight="1">
      <c r="A9886" s="26"/>
      <c r="B9886" s="2"/>
      <c r="C9886" s="26"/>
      <c r="D9886" s="26"/>
      <c r="F9886" s="85" t="str">
        <f t="shared" si="0"/>
        <v/>
      </c>
      <c r="G9886" s="1" t="e">
        <f>IF(VALUE(F9886) = VALUE(RIGHT(Insights!$C$3, 4)), E9886, "")</f>
        <v>#VALUE!</v>
      </c>
      <c r="H9886" s="26" t="e">
        <f t="shared" si="1"/>
        <v>#VALUE!</v>
      </c>
      <c r="I9886" s="1" t="e">
        <f t="shared" si="2"/>
        <v>#VALUE!</v>
      </c>
    </row>
    <row r="9887" spans="1:9" ht="15.75" customHeight="1">
      <c r="A9887" s="26"/>
      <c r="B9887" s="2"/>
      <c r="C9887" s="26"/>
      <c r="D9887" s="26"/>
      <c r="F9887" s="85" t="str">
        <f t="shared" si="0"/>
        <v/>
      </c>
      <c r="G9887" s="1" t="e">
        <f>IF(VALUE(F9887) = VALUE(RIGHT(Insights!$C$3, 4)), E9887, "")</f>
        <v>#VALUE!</v>
      </c>
      <c r="H9887" s="26" t="e">
        <f t="shared" si="1"/>
        <v>#VALUE!</v>
      </c>
      <c r="I9887" s="1" t="e">
        <f t="shared" si="2"/>
        <v>#VALUE!</v>
      </c>
    </row>
    <row r="9888" spans="1:9" ht="15.75" customHeight="1">
      <c r="A9888" s="26"/>
      <c r="B9888" s="2"/>
      <c r="C9888" s="26"/>
      <c r="D9888" s="26"/>
      <c r="F9888" s="85" t="str">
        <f t="shared" si="0"/>
        <v/>
      </c>
      <c r="G9888" s="1" t="e">
        <f>IF(VALUE(F9888) = VALUE(RIGHT(Insights!$C$3, 4)), E9888, "")</f>
        <v>#VALUE!</v>
      </c>
      <c r="H9888" s="26" t="e">
        <f t="shared" si="1"/>
        <v>#VALUE!</v>
      </c>
      <c r="I9888" s="1" t="e">
        <f t="shared" si="2"/>
        <v>#VALUE!</v>
      </c>
    </row>
    <row r="9889" spans="1:9" ht="15.75" customHeight="1">
      <c r="A9889" s="26"/>
      <c r="B9889" s="2"/>
      <c r="C9889" s="26"/>
      <c r="D9889" s="26"/>
      <c r="F9889" s="85" t="str">
        <f t="shared" si="0"/>
        <v/>
      </c>
      <c r="G9889" s="1" t="e">
        <f>IF(VALUE(F9889) = VALUE(RIGHT(Insights!$C$3, 4)), E9889, "")</f>
        <v>#VALUE!</v>
      </c>
      <c r="H9889" s="26" t="e">
        <f t="shared" si="1"/>
        <v>#VALUE!</v>
      </c>
      <c r="I9889" s="1" t="e">
        <f t="shared" si="2"/>
        <v>#VALUE!</v>
      </c>
    </row>
    <row r="9890" spans="1:9" ht="15.75" customHeight="1">
      <c r="A9890" s="26"/>
      <c r="B9890" s="2"/>
      <c r="C9890" s="26"/>
      <c r="D9890" s="26"/>
      <c r="F9890" s="85" t="str">
        <f t="shared" si="0"/>
        <v/>
      </c>
      <c r="G9890" s="1" t="e">
        <f>IF(VALUE(F9890) = VALUE(RIGHT(Insights!$C$3, 4)), E9890, "")</f>
        <v>#VALUE!</v>
      </c>
      <c r="H9890" s="26" t="e">
        <f t="shared" si="1"/>
        <v>#VALUE!</v>
      </c>
      <c r="I9890" s="1" t="e">
        <f t="shared" si="2"/>
        <v>#VALUE!</v>
      </c>
    </row>
    <row r="9891" spans="1:9" ht="15.75" customHeight="1">
      <c r="A9891" s="26"/>
      <c r="B9891" s="2"/>
      <c r="C9891" s="26"/>
      <c r="D9891" s="26"/>
      <c r="F9891" s="85" t="str">
        <f t="shared" si="0"/>
        <v/>
      </c>
      <c r="G9891" s="1" t="e">
        <f>IF(VALUE(F9891) = VALUE(RIGHT(Insights!$C$3, 4)), E9891, "")</f>
        <v>#VALUE!</v>
      </c>
      <c r="H9891" s="26" t="e">
        <f t="shared" si="1"/>
        <v>#VALUE!</v>
      </c>
      <c r="I9891" s="1" t="e">
        <f t="shared" si="2"/>
        <v>#VALUE!</v>
      </c>
    </row>
    <row r="9892" spans="1:9" ht="15.75" customHeight="1">
      <c r="A9892" s="26"/>
      <c r="B9892" s="2"/>
      <c r="C9892" s="26"/>
      <c r="D9892" s="26"/>
      <c r="F9892" s="85" t="str">
        <f t="shared" si="0"/>
        <v/>
      </c>
      <c r="G9892" s="1" t="e">
        <f>IF(VALUE(F9892) = VALUE(RIGHT(Insights!$C$3, 4)), E9892, "")</f>
        <v>#VALUE!</v>
      </c>
      <c r="H9892" s="26" t="e">
        <f t="shared" si="1"/>
        <v>#VALUE!</v>
      </c>
      <c r="I9892" s="1" t="e">
        <f t="shared" si="2"/>
        <v>#VALUE!</v>
      </c>
    </row>
    <row r="9893" spans="1:9" ht="15.75" customHeight="1">
      <c r="A9893" s="26"/>
      <c r="B9893" s="2"/>
      <c r="C9893" s="26"/>
      <c r="D9893" s="26"/>
      <c r="F9893" s="85" t="str">
        <f t="shared" si="0"/>
        <v/>
      </c>
      <c r="G9893" s="1" t="e">
        <f>IF(VALUE(F9893) = VALUE(RIGHT(Insights!$C$3, 4)), E9893, "")</f>
        <v>#VALUE!</v>
      </c>
      <c r="H9893" s="26" t="e">
        <f t="shared" si="1"/>
        <v>#VALUE!</v>
      </c>
      <c r="I9893" s="1" t="e">
        <f t="shared" si="2"/>
        <v>#VALUE!</v>
      </c>
    </row>
    <row r="9894" spans="1:9" ht="15.75" customHeight="1">
      <c r="A9894" s="26"/>
      <c r="B9894" s="2"/>
      <c r="C9894" s="26"/>
      <c r="D9894" s="26"/>
      <c r="F9894" s="85" t="str">
        <f t="shared" si="0"/>
        <v/>
      </c>
      <c r="G9894" s="1" t="e">
        <f>IF(VALUE(F9894) = VALUE(RIGHT(Insights!$C$3, 4)), E9894, "")</f>
        <v>#VALUE!</v>
      </c>
      <c r="H9894" s="26" t="e">
        <f t="shared" si="1"/>
        <v>#VALUE!</v>
      </c>
      <c r="I9894" s="1" t="e">
        <f t="shared" si="2"/>
        <v>#VALUE!</v>
      </c>
    </row>
    <row r="9895" spans="1:9" ht="15.75" customHeight="1">
      <c r="A9895" s="26"/>
      <c r="B9895" s="2"/>
      <c r="C9895" s="26"/>
      <c r="D9895" s="26"/>
      <c r="F9895" s="85" t="str">
        <f t="shared" si="0"/>
        <v/>
      </c>
      <c r="G9895" s="1" t="e">
        <f>IF(VALUE(F9895) = VALUE(RIGHT(Insights!$C$3, 4)), E9895, "")</f>
        <v>#VALUE!</v>
      </c>
      <c r="H9895" s="26" t="e">
        <f t="shared" si="1"/>
        <v>#VALUE!</v>
      </c>
      <c r="I9895" s="1" t="e">
        <f t="shared" si="2"/>
        <v>#VALUE!</v>
      </c>
    </row>
    <row r="9896" spans="1:9" ht="15.75" customHeight="1">
      <c r="A9896" s="26"/>
      <c r="B9896" s="2"/>
      <c r="C9896" s="26"/>
      <c r="D9896" s="26"/>
      <c r="F9896" s="85" t="str">
        <f t="shared" si="0"/>
        <v/>
      </c>
      <c r="G9896" s="1" t="e">
        <f>IF(VALUE(F9896) = VALUE(RIGHT(Insights!$C$3, 4)), E9896, "")</f>
        <v>#VALUE!</v>
      </c>
      <c r="H9896" s="26" t="e">
        <f t="shared" si="1"/>
        <v>#VALUE!</v>
      </c>
      <c r="I9896" s="1" t="e">
        <f t="shared" si="2"/>
        <v>#VALUE!</v>
      </c>
    </row>
    <row r="9897" spans="1:9" ht="15.75" customHeight="1">
      <c r="A9897" s="26"/>
      <c r="B9897" s="2"/>
      <c r="C9897" s="26"/>
      <c r="D9897" s="26"/>
      <c r="F9897" s="85" t="str">
        <f t="shared" si="0"/>
        <v/>
      </c>
      <c r="G9897" s="1" t="e">
        <f>IF(VALUE(F9897) = VALUE(RIGHT(Insights!$C$3, 4)), E9897, "")</f>
        <v>#VALUE!</v>
      </c>
      <c r="H9897" s="26" t="e">
        <f t="shared" si="1"/>
        <v>#VALUE!</v>
      </c>
      <c r="I9897" s="1" t="e">
        <f t="shared" si="2"/>
        <v>#VALUE!</v>
      </c>
    </row>
    <row r="9898" spans="1:9" ht="15.75" customHeight="1">
      <c r="A9898" s="26"/>
      <c r="B9898" s="2"/>
      <c r="C9898" s="26"/>
      <c r="D9898" s="26"/>
      <c r="F9898" s="85" t="str">
        <f t="shared" si="0"/>
        <v/>
      </c>
      <c r="G9898" s="1" t="e">
        <f>IF(VALUE(F9898) = VALUE(RIGHT(Insights!$C$3, 4)), E9898, "")</f>
        <v>#VALUE!</v>
      </c>
      <c r="H9898" s="26" t="e">
        <f t="shared" si="1"/>
        <v>#VALUE!</v>
      </c>
      <c r="I9898" s="1" t="e">
        <f t="shared" si="2"/>
        <v>#VALUE!</v>
      </c>
    </row>
    <row r="9899" spans="1:9" ht="15.75" customHeight="1">
      <c r="A9899" s="26"/>
      <c r="B9899" s="2"/>
      <c r="C9899" s="26"/>
      <c r="D9899" s="26"/>
      <c r="F9899" s="85" t="str">
        <f t="shared" si="0"/>
        <v/>
      </c>
      <c r="G9899" s="1" t="e">
        <f>IF(VALUE(F9899) = VALUE(RIGHT(Insights!$C$3, 4)), E9899, "")</f>
        <v>#VALUE!</v>
      </c>
      <c r="H9899" s="26" t="e">
        <f t="shared" si="1"/>
        <v>#VALUE!</v>
      </c>
      <c r="I9899" s="1" t="e">
        <f t="shared" si="2"/>
        <v>#VALUE!</v>
      </c>
    </row>
    <row r="9900" spans="1:9" ht="15.75" customHeight="1">
      <c r="A9900" s="26"/>
      <c r="B9900" s="2"/>
      <c r="C9900" s="26"/>
      <c r="D9900" s="26"/>
      <c r="F9900" s="85" t="str">
        <f t="shared" si="0"/>
        <v/>
      </c>
      <c r="G9900" s="1" t="e">
        <f>IF(VALUE(F9900) = VALUE(RIGHT(Insights!$C$3, 4)), E9900, "")</f>
        <v>#VALUE!</v>
      </c>
      <c r="H9900" s="26" t="e">
        <f t="shared" si="1"/>
        <v>#VALUE!</v>
      </c>
      <c r="I9900" s="1" t="e">
        <f t="shared" si="2"/>
        <v>#VALUE!</v>
      </c>
    </row>
    <row r="9901" spans="1:9" ht="15.75" customHeight="1">
      <c r="A9901" s="26"/>
      <c r="B9901" s="2"/>
      <c r="C9901" s="26"/>
      <c r="D9901" s="26"/>
      <c r="F9901" s="85" t="str">
        <f t="shared" si="0"/>
        <v/>
      </c>
      <c r="G9901" s="1" t="e">
        <f>IF(VALUE(F9901) = VALUE(RIGHT(Insights!$C$3, 4)), E9901, "")</f>
        <v>#VALUE!</v>
      </c>
      <c r="H9901" s="26" t="e">
        <f t="shared" si="1"/>
        <v>#VALUE!</v>
      </c>
      <c r="I9901" s="1" t="e">
        <f t="shared" si="2"/>
        <v>#VALUE!</v>
      </c>
    </row>
    <row r="9902" spans="1:9" ht="15.75" customHeight="1">
      <c r="A9902" s="26"/>
      <c r="B9902" s="2"/>
      <c r="C9902" s="26"/>
      <c r="D9902" s="26"/>
      <c r="F9902" s="85" t="str">
        <f t="shared" si="0"/>
        <v/>
      </c>
      <c r="G9902" s="1" t="e">
        <f>IF(VALUE(F9902) = VALUE(RIGHT(Insights!$C$3, 4)), E9902, "")</f>
        <v>#VALUE!</v>
      </c>
      <c r="H9902" s="26" t="e">
        <f t="shared" si="1"/>
        <v>#VALUE!</v>
      </c>
      <c r="I9902" s="1" t="e">
        <f t="shared" si="2"/>
        <v>#VALUE!</v>
      </c>
    </row>
    <row r="9903" spans="1:9" ht="15.75" customHeight="1">
      <c r="A9903" s="26"/>
      <c r="B9903" s="2"/>
      <c r="C9903" s="26"/>
      <c r="D9903" s="26"/>
      <c r="F9903" s="85" t="str">
        <f t="shared" si="0"/>
        <v/>
      </c>
      <c r="G9903" s="1" t="e">
        <f>IF(VALUE(F9903) = VALUE(RIGHT(Insights!$C$3, 4)), E9903, "")</f>
        <v>#VALUE!</v>
      </c>
      <c r="H9903" s="26" t="e">
        <f t="shared" si="1"/>
        <v>#VALUE!</v>
      </c>
      <c r="I9903" s="1" t="e">
        <f t="shared" si="2"/>
        <v>#VALUE!</v>
      </c>
    </row>
    <row r="9904" spans="1:9" ht="15.75" customHeight="1">
      <c r="A9904" s="26"/>
      <c r="B9904" s="2"/>
      <c r="C9904" s="26"/>
      <c r="D9904" s="26"/>
      <c r="F9904" s="85" t="str">
        <f t="shared" si="0"/>
        <v/>
      </c>
      <c r="G9904" s="1" t="e">
        <f>IF(VALUE(F9904) = VALUE(RIGHT(Insights!$C$3, 4)), E9904, "")</f>
        <v>#VALUE!</v>
      </c>
      <c r="H9904" s="26" t="e">
        <f t="shared" si="1"/>
        <v>#VALUE!</v>
      </c>
      <c r="I9904" s="1" t="e">
        <f t="shared" si="2"/>
        <v>#VALUE!</v>
      </c>
    </row>
    <row r="9905" spans="1:9" ht="15.75" customHeight="1">
      <c r="A9905" s="26"/>
      <c r="B9905" s="2"/>
      <c r="C9905" s="26"/>
      <c r="D9905" s="26"/>
      <c r="F9905" s="85" t="str">
        <f t="shared" si="0"/>
        <v/>
      </c>
      <c r="G9905" s="1" t="e">
        <f>IF(VALUE(F9905) = VALUE(RIGHT(Insights!$C$3, 4)), E9905, "")</f>
        <v>#VALUE!</v>
      </c>
      <c r="H9905" s="26" t="e">
        <f t="shared" si="1"/>
        <v>#VALUE!</v>
      </c>
      <c r="I9905" s="1" t="e">
        <f t="shared" si="2"/>
        <v>#VALUE!</v>
      </c>
    </row>
    <row r="9906" spans="1:9" ht="15.75" customHeight="1">
      <c r="A9906" s="26"/>
      <c r="B9906" s="2"/>
      <c r="C9906" s="26"/>
      <c r="D9906" s="26"/>
      <c r="F9906" s="85" t="str">
        <f t="shared" si="0"/>
        <v/>
      </c>
      <c r="G9906" s="1" t="e">
        <f>IF(VALUE(F9906) = VALUE(RIGHT(Insights!$C$3, 4)), E9906, "")</f>
        <v>#VALUE!</v>
      </c>
      <c r="H9906" s="26" t="e">
        <f t="shared" si="1"/>
        <v>#VALUE!</v>
      </c>
      <c r="I9906" s="1" t="e">
        <f t="shared" si="2"/>
        <v>#VALUE!</v>
      </c>
    </row>
    <row r="9907" spans="1:9" ht="15.75" customHeight="1">
      <c r="A9907" s="26"/>
      <c r="B9907" s="2"/>
      <c r="C9907" s="26"/>
      <c r="D9907" s="26"/>
      <c r="F9907" s="85" t="str">
        <f t="shared" si="0"/>
        <v/>
      </c>
      <c r="G9907" s="1" t="e">
        <f>IF(VALUE(F9907) = VALUE(RIGHT(Insights!$C$3, 4)), E9907, "")</f>
        <v>#VALUE!</v>
      </c>
      <c r="H9907" s="26" t="e">
        <f t="shared" si="1"/>
        <v>#VALUE!</v>
      </c>
      <c r="I9907" s="1" t="e">
        <f t="shared" si="2"/>
        <v>#VALUE!</v>
      </c>
    </row>
    <row r="9908" spans="1:9" ht="15.75" customHeight="1">
      <c r="A9908" s="26"/>
      <c r="B9908" s="2"/>
      <c r="C9908" s="26"/>
      <c r="D9908" s="26"/>
      <c r="F9908" s="85" t="str">
        <f t="shared" si="0"/>
        <v/>
      </c>
      <c r="G9908" s="1" t="e">
        <f>IF(VALUE(F9908) = VALUE(RIGHT(Insights!$C$3, 4)), E9908, "")</f>
        <v>#VALUE!</v>
      </c>
      <c r="H9908" s="26" t="e">
        <f t="shared" si="1"/>
        <v>#VALUE!</v>
      </c>
      <c r="I9908" s="1" t="e">
        <f t="shared" si="2"/>
        <v>#VALUE!</v>
      </c>
    </row>
    <row r="9909" spans="1:9" ht="15.75" customHeight="1">
      <c r="A9909" s="26"/>
      <c r="B9909" s="2"/>
      <c r="C9909" s="26"/>
      <c r="D9909" s="26"/>
      <c r="F9909" s="85" t="str">
        <f t="shared" si="0"/>
        <v/>
      </c>
      <c r="G9909" s="1" t="e">
        <f>IF(VALUE(F9909) = VALUE(RIGHT(Insights!$C$3, 4)), E9909, "")</f>
        <v>#VALUE!</v>
      </c>
      <c r="H9909" s="26" t="e">
        <f t="shared" si="1"/>
        <v>#VALUE!</v>
      </c>
      <c r="I9909" s="1" t="e">
        <f t="shared" si="2"/>
        <v>#VALUE!</v>
      </c>
    </row>
    <row r="9910" spans="1:9" ht="15.75" customHeight="1">
      <c r="A9910" s="26"/>
      <c r="B9910" s="2"/>
      <c r="C9910" s="26"/>
      <c r="D9910" s="26"/>
      <c r="F9910" s="85" t="str">
        <f t="shared" si="0"/>
        <v/>
      </c>
      <c r="G9910" s="1" t="e">
        <f>IF(VALUE(F9910) = VALUE(RIGHT(Insights!$C$3, 4)), E9910, "")</f>
        <v>#VALUE!</v>
      </c>
      <c r="H9910" s="26" t="e">
        <f t="shared" si="1"/>
        <v>#VALUE!</v>
      </c>
      <c r="I9910" s="1" t="e">
        <f t="shared" si="2"/>
        <v>#VALUE!</v>
      </c>
    </row>
    <row r="9911" spans="1:9" ht="15.75" customHeight="1">
      <c r="A9911" s="26"/>
      <c r="B9911" s="2"/>
      <c r="C9911" s="26"/>
      <c r="D9911" s="26"/>
      <c r="F9911" s="85" t="str">
        <f t="shared" si="0"/>
        <v/>
      </c>
      <c r="G9911" s="1" t="e">
        <f>IF(VALUE(F9911) = VALUE(RIGHT(Insights!$C$3, 4)), E9911, "")</f>
        <v>#VALUE!</v>
      </c>
      <c r="H9911" s="26" t="e">
        <f t="shared" si="1"/>
        <v>#VALUE!</v>
      </c>
      <c r="I9911" s="1" t="e">
        <f t="shared" si="2"/>
        <v>#VALUE!</v>
      </c>
    </row>
    <row r="9912" spans="1:9" ht="15.75" customHeight="1">
      <c r="A9912" s="26"/>
      <c r="B9912" s="2"/>
      <c r="C9912" s="26"/>
      <c r="D9912" s="26"/>
      <c r="F9912" s="85" t="str">
        <f t="shared" si="0"/>
        <v/>
      </c>
      <c r="G9912" s="1" t="e">
        <f>IF(VALUE(F9912) = VALUE(RIGHT(Insights!$C$3, 4)), E9912, "")</f>
        <v>#VALUE!</v>
      </c>
      <c r="H9912" s="26" t="e">
        <f t="shared" si="1"/>
        <v>#VALUE!</v>
      </c>
      <c r="I9912" s="1" t="e">
        <f t="shared" si="2"/>
        <v>#VALUE!</v>
      </c>
    </row>
    <row r="9913" spans="1:9" ht="15.75" customHeight="1">
      <c r="A9913" s="26"/>
      <c r="B9913" s="2"/>
      <c r="C9913" s="26"/>
      <c r="D9913" s="26"/>
      <c r="F9913" s="85" t="str">
        <f t="shared" si="0"/>
        <v/>
      </c>
      <c r="G9913" s="1" t="e">
        <f>IF(VALUE(F9913) = VALUE(RIGHT(Insights!$C$3, 4)), E9913, "")</f>
        <v>#VALUE!</v>
      </c>
      <c r="H9913" s="26" t="e">
        <f t="shared" si="1"/>
        <v>#VALUE!</v>
      </c>
      <c r="I9913" s="1" t="e">
        <f t="shared" si="2"/>
        <v>#VALUE!</v>
      </c>
    </row>
    <row r="9914" spans="1:9" ht="15.75" customHeight="1">
      <c r="A9914" s="26"/>
      <c r="B9914" s="2"/>
      <c r="C9914" s="26"/>
      <c r="D9914" s="26"/>
      <c r="F9914" s="85" t="str">
        <f t="shared" si="0"/>
        <v/>
      </c>
      <c r="G9914" s="1" t="e">
        <f>IF(VALUE(F9914) = VALUE(RIGHT(Insights!$C$3, 4)), E9914, "")</f>
        <v>#VALUE!</v>
      </c>
      <c r="H9914" s="26" t="e">
        <f t="shared" si="1"/>
        <v>#VALUE!</v>
      </c>
      <c r="I9914" s="1" t="e">
        <f t="shared" si="2"/>
        <v>#VALUE!</v>
      </c>
    </row>
    <row r="9915" spans="1:9" ht="15.75" customHeight="1">
      <c r="A9915" s="26"/>
      <c r="B9915" s="2"/>
      <c r="C9915" s="26"/>
      <c r="D9915" s="26"/>
      <c r="F9915" s="85" t="str">
        <f t="shared" si="0"/>
        <v/>
      </c>
      <c r="G9915" s="1" t="e">
        <f>IF(VALUE(F9915) = VALUE(RIGHT(Insights!$C$3, 4)), E9915, "")</f>
        <v>#VALUE!</v>
      </c>
      <c r="H9915" s="26" t="e">
        <f t="shared" si="1"/>
        <v>#VALUE!</v>
      </c>
      <c r="I9915" s="1" t="e">
        <f t="shared" si="2"/>
        <v>#VALUE!</v>
      </c>
    </row>
    <row r="9916" spans="1:9" ht="15.75" customHeight="1">
      <c r="A9916" s="26"/>
      <c r="B9916" s="2"/>
      <c r="C9916" s="26"/>
      <c r="D9916" s="26"/>
      <c r="F9916" s="85" t="str">
        <f t="shared" si="0"/>
        <v/>
      </c>
      <c r="G9916" s="1" t="e">
        <f>IF(VALUE(F9916) = VALUE(RIGHT(Insights!$C$3, 4)), E9916, "")</f>
        <v>#VALUE!</v>
      </c>
      <c r="H9916" s="26" t="e">
        <f t="shared" si="1"/>
        <v>#VALUE!</v>
      </c>
      <c r="I9916" s="1" t="e">
        <f t="shared" si="2"/>
        <v>#VALUE!</v>
      </c>
    </row>
    <row r="9917" spans="1:9" ht="15.75" customHeight="1">
      <c r="A9917" s="26"/>
      <c r="B9917" s="2"/>
      <c r="C9917" s="26"/>
      <c r="D9917" s="26"/>
      <c r="F9917" s="85" t="str">
        <f t="shared" si="0"/>
        <v/>
      </c>
      <c r="G9917" s="1" t="e">
        <f>IF(VALUE(F9917) = VALUE(RIGHT(Insights!$C$3, 4)), E9917, "")</f>
        <v>#VALUE!</v>
      </c>
      <c r="H9917" s="26" t="e">
        <f t="shared" si="1"/>
        <v>#VALUE!</v>
      </c>
      <c r="I9917" s="1" t="e">
        <f t="shared" si="2"/>
        <v>#VALUE!</v>
      </c>
    </row>
    <row r="9918" spans="1:9" ht="15.75" customHeight="1">
      <c r="A9918" s="26"/>
      <c r="B9918" s="2"/>
      <c r="C9918" s="26"/>
      <c r="D9918" s="26"/>
      <c r="F9918" s="85" t="str">
        <f t="shared" si="0"/>
        <v/>
      </c>
      <c r="G9918" s="1" t="e">
        <f>IF(VALUE(F9918) = VALUE(RIGHT(Insights!$C$3, 4)), E9918, "")</f>
        <v>#VALUE!</v>
      </c>
      <c r="H9918" s="26" t="e">
        <f t="shared" si="1"/>
        <v>#VALUE!</v>
      </c>
      <c r="I9918" s="1" t="e">
        <f t="shared" si="2"/>
        <v>#VALUE!</v>
      </c>
    </row>
    <row r="9919" spans="1:9" ht="15.75" customHeight="1">
      <c r="A9919" s="26"/>
      <c r="B9919" s="2"/>
      <c r="C9919" s="26"/>
      <c r="D9919" s="26"/>
      <c r="F9919" s="85" t="str">
        <f t="shared" si="0"/>
        <v/>
      </c>
      <c r="G9919" s="1" t="e">
        <f>IF(VALUE(F9919) = VALUE(RIGHT(Insights!$C$3, 4)), E9919, "")</f>
        <v>#VALUE!</v>
      </c>
      <c r="H9919" s="26" t="e">
        <f t="shared" si="1"/>
        <v>#VALUE!</v>
      </c>
      <c r="I9919" s="1" t="e">
        <f t="shared" si="2"/>
        <v>#VALUE!</v>
      </c>
    </row>
    <row r="9920" spans="1:9" ht="15.75" customHeight="1">
      <c r="A9920" s="26"/>
      <c r="B9920" s="2"/>
      <c r="C9920" s="26"/>
      <c r="D9920" s="26"/>
      <c r="F9920" s="85" t="str">
        <f t="shared" si="0"/>
        <v/>
      </c>
      <c r="G9920" s="1" t="e">
        <f>IF(VALUE(F9920) = VALUE(RIGHT(Insights!$C$3, 4)), E9920, "")</f>
        <v>#VALUE!</v>
      </c>
      <c r="H9920" s="26" t="e">
        <f t="shared" si="1"/>
        <v>#VALUE!</v>
      </c>
      <c r="I9920" s="1" t="e">
        <f t="shared" si="2"/>
        <v>#VALUE!</v>
      </c>
    </row>
    <row r="9921" spans="1:9" ht="15.75" customHeight="1">
      <c r="A9921" s="26"/>
      <c r="B9921" s="2"/>
      <c r="C9921" s="26"/>
      <c r="D9921" s="26"/>
      <c r="F9921" s="85" t="str">
        <f t="shared" si="0"/>
        <v/>
      </c>
      <c r="G9921" s="1" t="e">
        <f>IF(VALUE(F9921) = VALUE(RIGHT(Insights!$C$3, 4)), E9921, "")</f>
        <v>#VALUE!</v>
      </c>
      <c r="H9921" s="26" t="e">
        <f t="shared" si="1"/>
        <v>#VALUE!</v>
      </c>
      <c r="I9921" s="1" t="e">
        <f t="shared" si="2"/>
        <v>#VALUE!</v>
      </c>
    </row>
    <row r="9922" spans="1:9" ht="15.75" customHeight="1">
      <c r="A9922" s="26"/>
      <c r="B9922" s="2"/>
      <c r="C9922" s="26"/>
      <c r="D9922" s="26"/>
      <c r="F9922" s="85" t="str">
        <f t="shared" si="0"/>
        <v/>
      </c>
      <c r="G9922" s="1" t="e">
        <f>IF(VALUE(F9922) = VALUE(RIGHT(Insights!$C$3, 4)), E9922, "")</f>
        <v>#VALUE!</v>
      </c>
      <c r="H9922" s="26" t="e">
        <f t="shared" si="1"/>
        <v>#VALUE!</v>
      </c>
      <c r="I9922" s="1" t="e">
        <f t="shared" si="2"/>
        <v>#VALUE!</v>
      </c>
    </row>
    <row r="9923" spans="1:9" ht="15.75" customHeight="1">
      <c r="A9923" s="26"/>
      <c r="B9923" s="2"/>
      <c r="C9923" s="26"/>
      <c r="D9923" s="26"/>
      <c r="F9923" s="85" t="str">
        <f t="shared" si="0"/>
        <v/>
      </c>
      <c r="G9923" s="1" t="e">
        <f>IF(VALUE(F9923) = VALUE(RIGHT(Insights!$C$3, 4)), E9923, "")</f>
        <v>#VALUE!</v>
      </c>
      <c r="H9923" s="26" t="e">
        <f t="shared" si="1"/>
        <v>#VALUE!</v>
      </c>
      <c r="I9923" s="1" t="e">
        <f t="shared" si="2"/>
        <v>#VALUE!</v>
      </c>
    </row>
    <row r="9924" spans="1:9" ht="15.75" customHeight="1">
      <c r="A9924" s="26"/>
      <c r="B9924" s="2"/>
      <c r="C9924" s="26"/>
      <c r="D9924" s="26"/>
      <c r="F9924" s="85" t="str">
        <f t="shared" si="0"/>
        <v/>
      </c>
      <c r="G9924" s="1" t="e">
        <f>IF(VALUE(F9924) = VALUE(RIGHT(Insights!$C$3, 4)), E9924, "")</f>
        <v>#VALUE!</v>
      </c>
      <c r="H9924" s="26" t="e">
        <f t="shared" si="1"/>
        <v>#VALUE!</v>
      </c>
      <c r="I9924" s="1" t="e">
        <f t="shared" si="2"/>
        <v>#VALUE!</v>
      </c>
    </row>
    <row r="9925" spans="1:9" ht="15.75" customHeight="1">
      <c r="A9925" s="26"/>
      <c r="B9925" s="2"/>
      <c r="C9925" s="26"/>
      <c r="D9925" s="26"/>
      <c r="F9925" s="85" t="str">
        <f t="shared" si="0"/>
        <v/>
      </c>
      <c r="G9925" s="1" t="e">
        <f>IF(VALUE(F9925) = VALUE(RIGHT(Insights!$C$3, 4)), E9925, "")</f>
        <v>#VALUE!</v>
      </c>
      <c r="H9925" s="26" t="e">
        <f t="shared" si="1"/>
        <v>#VALUE!</v>
      </c>
      <c r="I9925" s="1" t="e">
        <f t="shared" si="2"/>
        <v>#VALUE!</v>
      </c>
    </row>
    <row r="9926" spans="1:9" ht="15.75" customHeight="1">
      <c r="A9926" s="26"/>
      <c r="B9926" s="2"/>
      <c r="C9926" s="26"/>
      <c r="D9926" s="26"/>
      <c r="F9926" s="85" t="str">
        <f t="shared" si="0"/>
        <v/>
      </c>
      <c r="G9926" s="1" t="e">
        <f>IF(VALUE(F9926) = VALUE(RIGHT(Insights!$C$3, 4)), E9926, "")</f>
        <v>#VALUE!</v>
      </c>
      <c r="H9926" s="26" t="e">
        <f t="shared" si="1"/>
        <v>#VALUE!</v>
      </c>
      <c r="I9926" s="1" t="e">
        <f t="shared" si="2"/>
        <v>#VALUE!</v>
      </c>
    </row>
    <row r="9927" spans="1:9" ht="15.75" customHeight="1">
      <c r="A9927" s="26"/>
      <c r="B9927" s="2"/>
      <c r="C9927" s="26"/>
      <c r="D9927" s="26"/>
      <c r="F9927" s="85" t="str">
        <f t="shared" si="0"/>
        <v/>
      </c>
      <c r="G9927" s="1" t="e">
        <f>IF(VALUE(F9927) = VALUE(RIGHT(Insights!$C$3, 4)), E9927, "")</f>
        <v>#VALUE!</v>
      </c>
      <c r="H9927" s="26" t="e">
        <f t="shared" si="1"/>
        <v>#VALUE!</v>
      </c>
      <c r="I9927" s="1" t="e">
        <f t="shared" si="2"/>
        <v>#VALUE!</v>
      </c>
    </row>
    <row r="9928" spans="1:9" ht="15.75" customHeight="1">
      <c r="A9928" s="26"/>
      <c r="B9928" s="2"/>
      <c r="C9928" s="26"/>
      <c r="D9928" s="26"/>
      <c r="F9928" s="85" t="str">
        <f t="shared" si="0"/>
        <v/>
      </c>
      <c r="G9928" s="1" t="e">
        <f>IF(VALUE(F9928) = VALUE(RIGHT(Insights!$C$3, 4)), E9928, "")</f>
        <v>#VALUE!</v>
      </c>
      <c r="H9928" s="26" t="e">
        <f t="shared" si="1"/>
        <v>#VALUE!</v>
      </c>
      <c r="I9928" s="1" t="e">
        <f t="shared" si="2"/>
        <v>#VALUE!</v>
      </c>
    </row>
    <row r="9929" spans="1:9" ht="15.75" customHeight="1">
      <c r="A9929" s="26"/>
      <c r="B9929" s="2"/>
      <c r="C9929" s="26"/>
      <c r="D9929" s="26"/>
      <c r="F9929" s="85" t="str">
        <f t="shared" si="0"/>
        <v/>
      </c>
      <c r="G9929" s="1" t="e">
        <f>IF(VALUE(F9929) = VALUE(RIGHT(Insights!$C$3, 4)), E9929, "")</f>
        <v>#VALUE!</v>
      </c>
      <c r="H9929" s="26" t="e">
        <f t="shared" si="1"/>
        <v>#VALUE!</v>
      </c>
      <c r="I9929" s="1" t="e">
        <f t="shared" si="2"/>
        <v>#VALUE!</v>
      </c>
    </row>
    <row r="9930" spans="1:9" ht="15.75" customHeight="1">
      <c r="A9930" s="26"/>
      <c r="B9930" s="2"/>
      <c r="C9930" s="26"/>
      <c r="D9930" s="26"/>
      <c r="F9930" s="85" t="str">
        <f t="shared" si="0"/>
        <v/>
      </c>
      <c r="G9930" s="1" t="e">
        <f>IF(VALUE(F9930) = VALUE(RIGHT(Insights!$C$3, 4)), E9930, "")</f>
        <v>#VALUE!</v>
      </c>
      <c r="H9930" s="26" t="e">
        <f t="shared" si="1"/>
        <v>#VALUE!</v>
      </c>
      <c r="I9930" s="1" t="e">
        <f t="shared" si="2"/>
        <v>#VALUE!</v>
      </c>
    </row>
    <row r="9931" spans="1:9" ht="15.75" customHeight="1">
      <c r="A9931" s="26"/>
      <c r="B9931" s="2"/>
      <c r="C9931" s="26"/>
      <c r="D9931" s="26"/>
      <c r="F9931" s="85" t="str">
        <f t="shared" si="0"/>
        <v/>
      </c>
      <c r="G9931" s="1" t="e">
        <f>IF(VALUE(F9931) = VALUE(RIGHT(Insights!$C$3, 4)), E9931, "")</f>
        <v>#VALUE!</v>
      </c>
      <c r="H9931" s="26" t="e">
        <f t="shared" si="1"/>
        <v>#VALUE!</v>
      </c>
      <c r="I9931" s="1" t="e">
        <f t="shared" si="2"/>
        <v>#VALUE!</v>
      </c>
    </row>
    <row r="9932" spans="1:9" ht="15.75" customHeight="1">
      <c r="A9932" s="26"/>
      <c r="B9932" s="2"/>
      <c r="C9932" s="26"/>
      <c r="D9932" s="26"/>
      <c r="F9932" s="85" t="str">
        <f t="shared" si="0"/>
        <v/>
      </c>
      <c r="G9932" s="1" t="e">
        <f>IF(VALUE(F9932) = VALUE(RIGHT(Insights!$C$3, 4)), E9932, "")</f>
        <v>#VALUE!</v>
      </c>
      <c r="H9932" s="26" t="e">
        <f t="shared" si="1"/>
        <v>#VALUE!</v>
      </c>
      <c r="I9932" s="1" t="e">
        <f t="shared" si="2"/>
        <v>#VALUE!</v>
      </c>
    </row>
    <row r="9933" spans="1:9" ht="15.75" customHeight="1">
      <c r="A9933" s="26"/>
      <c r="B9933" s="2"/>
      <c r="C9933" s="26"/>
      <c r="D9933" s="26"/>
      <c r="F9933" s="85" t="str">
        <f t="shared" si="0"/>
        <v/>
      </c>
      <c r="G9933" s="1" t="e">
        <f>IF(VALUE(F9933) = VALUE(RIGHT(Insights!$C$3, 4)), E9933, "")</f>
        <v>#VALUE!</v>
      </c>
      <c r="H9933" s="26" t="e">
        <f t="shared" si="1"/>
        <v>#VALUE!</v>
      </c>
      <c r="I9933" s="1" t="e">
        <f t="shared" si="2"/>
        <v>#VALUE!</v>
      </c>
    </row>
    <row r="9934" spans="1:9" ht="15.75" customHeight="1">
      <c r="A9934" s="26"/>
      <c r="B9934" s="2"/>
      <c r="C9934" s="26"/>
      <c r="D9934" s="26"/>
      <c r="F9934" s="85" t="str">
        <f t="shared" si="0"/>
        <v/>
      </c>
      <c r="G9934" s="1" t="e">
        <f>IF(VALUE(F9934) = VALUE(RIGHT(Insights!$C$3, 4)), E9934, "")</f>
        <v>#VALUE!</v>
      </c>
      <c r="H9934" s="26" t="e">
        <f t="shared" si="1"/>
        <v>#VALUE!</v>
      </c>
      <c r="I9934" s="1" t="e">
        <f t="shared" si="2"/>
        <v>#VALUE!</v>
      </c>
    </row>
    <row r="9935" spans="1:9" ht="15.75" customHeight="1">
      <c r="A9935" s="26"/>
      <c r="B9935" s="2"/>
      <c r="C9935" s="26"/>
      <c r="D9935" s="26"/>
      <c r="F9935" s="85" t="str">
        <f t="shared" si="0"/>
        <v/>
      </c>
      <c r="G9935" s="1" t="e">
        <f>IF(VALUE(F9935) = VALUE(RIGHT(Insights!$C$3, 4)), E9935, "")</f>
        <v>#VALUE!</v>
      </c>
      <c r="H9935" s="26" t="e">
        <f t="shared" si="1"/>
        <v>#VALUE!</v>
      </c>
      <c r="I9935" s="1" t="e">
        <f t="shared" si="2"/>
        <v>#VALUE!</v>
      </c>
    </row>
    <row r="9936" spans="1:9" ht="15.75" customHeight="1">
      <c r="A9936" s="26"/>
      <c r="B9936" s="2"/>
      <c r="C9936" s="26"/>
      <c r="D9936" s="26"/>
      <c r="F9936" s="85" t="str">
        <f t="shared" si="0"/>
        <v/>
      </c>
      <c r="G9936" s="1" t="e">
        <f>IF(VALUE(F9936) = VALUE(RIGHT(Insights!$C$3, 4)), E9936, "")</f>
        <v>#VALUE!</v>
      </c>
      <c r="H9936" s="26" t="e">
        <f t="shared" si="1"/>
        <v>#VALUE!</v>
      </c>
      <c r="I9936" s="1" t="e">
        <f t="shared" si="2"/>
        <v>#VALUE!</v>
      </c>
    </row>
    <row r="9937" spans="1:9" ht="15.75" customHeight="1">
      <c r="A9937" s="26"/>
      <c r="B9937" s="2"/>
      <c r="C9937" s="26"/>
      <c r="D9937" s="26"/>
      <c r="F9937" s="85" t="str">
        <f t="shared" si="0"/>
        <v/>
      </c>
      <c r="G9937" s="1" t="e">
        <f>IF(VALUE(F9937) = VALUE(RIGHT(Insights!$C$3, 4)), E9937, "")</f>
        <v>#VALUE!</v>
      </c>
      <c r="H9937" s="26" t="e">
        <f t="shared" si="1"/>
        <v>#VALUE!</v>
      </c>
      <c r="I9937" s="1" t="e">
        <f t="shared" si="2"/>
        <v>#VALUE!</v>
      </c>
    </row>
    <row r="9938" spans="1:9" ht="15.75" customHeight="1">
      <c r="A9938" s="26"/>
      <c r="B9938" s="2"/>
      <c r="C9938" s="26"/>
      <c r="D9938" s="26"/>
      <c r="F9938" s="85" t="str">
        <f t="shared" si="0"/>
        <v/>
      </c>
      <c r="G9938" s="1" t="e">
        <f>IF(VALUE(F9938) = VALUE(RIGHT(Insights!$C$3, 4)), E9938, "")</f>
        <v>#VALUE!</v>
      </c>
      <c r="H9938" s="26" t="e">
        <f t="shared" si="1"/>
        <v>#VALUE!</v>
      </c>
      <c r="I9938" s="1" t="e">
        <f t="shared" si="2"/>
        <v>#VALUE!</v>
      </c>
    </row>
    <row r="9939" spans="1:9" ht="15.75" customHeight="1">
      <c r="A9939" s="26"/>
      <c r="B9939" s="2"/>
      <c r="C9939" s="26"/>
      <c r="D9939" s="26"/>
      <c r="F9939" s="85" t="str">
        <f t="shared" si="0"/>
        <v/>
      </c>
      <c r="G9939" s="1" t="e">
        <f>IF(VALUE(F9939) = VALUE(RIGHT(Insights!$C$3, 4)), E9939, "")</f>
        <v>#VALUE!</v>
      </c>
      <c r="H9939" s="26" t="e">
        <f t="shared" si="1"/>
        <v>#VALUE!</v>
      </c>
      <c r="I9939" s="1" t="e">
        <f t="shared" si="2"/>
        <v>#VALUE!</v>
      </c>
    </row>
    <row r="9940" spans="1:9" ht="15.75" customHeight="1">
      <c r="A9940" s="26"/>
      <c r="B9940" s="2"/>
      <c r="C9940" s="26"/>
      <c r="D9940" s="26"/>
      <c r="F9940" s="85" t="str">
        <f t="shared" si="0"/>
        <v/>
      </c>
      <c r="G9940" s="1" t="e">
        <f>IF(VALUE(F9940) = VALUE(RIGHT(Insights!$C$3, 4)), E9940, "")</f>
        <v>#VALUE!</v>
      </c>
      <c r="H9940" s="26" t="e">
        <f t="shared" si="1"/>
        <v>#VALUE!</v>
      </c>
      <c r="I9940" s="1" t="e">
        <f t="shared" si="2"/>
        <v>#VALUE!</v>
      </c>
    </row>
    <row r="9941" spans="1:9" ht="15.75" customHeight="1">
      <c r="A9941" s="26"/>
      <c r="B9941" s="2"/>
      <c r="C9941" s="26"/>
      <c r="D9941" s="26"/>
      <c r="F9941" s="85" t="str">
        <f t="shared" si="0"/>
        <v/>
      </c>
      <c r="G9941" s="1" t="e">
        <f>IF(VALUE(F9941) = VALUE(RIGHT(Insights!$C$3, 4)), E9941, "")</f>
        <v>#VALUE!</v>
      </c>
      <c r="H9941" s="26" t="e">
        <f t="shared" si="1"/>
        <v>#VALUE!</v>
      </c>
      <c r="I9941" s="1" t="e">
        <f t="shared" si="2"/>
        <v>#VALUE!</v>
      </c>
    </row>
    <row r="9942" spans="1:9" ht="15.75" customHeight="1">
      <c r="A9942" s="26"/>
      <c r="B9942" s="2"/>
      <c r="C9942" s="26"/>
      <c r="D9942" s="26"/>
      <c r="F9942" s="85" t="str">
        <f t="shared" si="0"/>
        <v/>
      </c>
      <c r="G9942" s="1" t="e">
        <f>IF(VALUE(F9942) = VALUE(RIGHT(Insights!$C$3, 4)), E9942, "")</f>
        <v>#VALUE!</v>
      </c>
      <c r="H9942" s="26" t="e">
        <f t="shared" si="1"/>
        <v>#VALUE!</v>
      </c>
      <c r="I9942" s="1" t="e">
        <f t="shared" si="2"/>
        <v>#VALUE!</v>
      </c>
    </row>
    <row r="9943" spans="1:9" ht="15.75" customHeight="1">
      <c r="A9943" s="26"/>
      <c r="B9943" s="2"/>
      <c r="C9943" s="26"/>
      <c r="D9943" s="26"/>
      <c r="F9943" s="85" t="str">
        <f t="shared" si="0"/>
        <v/>
      </c>
      <c r="G9943" s="1" t="e">
        <f>IF(VALUE(F9943) = VALUE(RIGHT(Insights!$C$3, 4)), E9943, "")</f>
        <v>#VALUE!</v>
      </c>
      <c r="H9943" s="26" t="e">
        <f t="shared" si="1"/>
        <v>#VALUE!</v>
      </c>
      <c r="I9943" s="1" t="e">
        <f t="shared" si="2"/>
        <v>#VALUE!</v>
      </c>
    </row>
    <row r="9944" spans="1:9" ht="15.75" customHeight="1">
      <c r="A9944" s="26"/>
      <c r="B9944" s="2"/>
      <c r="C9944" s="26"/>
      <c r="D9944" s="26"/>
      <c r="F9944" s="85" t="str">
        <f t="shared" si="0"/>
        <v/>
      </c>
      <c r="G9944" s="1" t="e">
        <f>IF(VALUE(F9944) = VALUE(RIGHT(Insights!$C$3, 4)), E9944, "")</f>
        <v>#VALUE!</v>
      </c>
      <c r="H9944" s="26" t="e">
        <f t="shared" si="1"/>
        <v>#VALUE!</v>
      </c>
      <c r="I9944" s="1" t="e">
        <f t="shared" si="2"/>
        <v>#VALUE!</v>
      </c>
    </row>
    <row r="9945" spans="1:9" ht="15.75" customHeight="1">
      <c r="A9945" s="26"/>
      <c r="B9945" s="2"/>
      <c r="C9945" s="26"/>
      <c r="D9945" s="26"/>
      <c r="F9945" s="85" t="str">
        <f t="shared" si="0"/>
        <v/>
      </c>
      <c r="G9945" s="1" t="e">
        <f>IF(VALUE(F9945) = VALUE(RIGHT(Insights!$C$3, 4)), E9945, "")</f>
        <v>#VALUE!</v>
      </c>
      <c r="H9945" s="26" t="e">
        <f t="shared" si="1"/>
        <v>#VALUE!</v>
      </c>
      <c r="I9945" s="1" t="e">
        <f t="shared" si="2"/>
        <v>#VALUE!</v>
      </c>
    </row>
    <row r="9946" spans="1:9" ht="15.75" customHeight="1">
      <c r="A9946" s="26"/>
      <c r="B9946" s="2"/>
      <c r="C9946" s="26"/>
      <c r="D9946" s="26"/>
      <c r="F9946" s="85" t="str">
        <f t="shared" si="0"/>
        <v/>
      </c>
      <c r="G9946" s="1" t="e">
        <f>IF(VALUE(F9946) = VALUE(RIGHT(Insights!$C$3, 4)), E9946, "")</f>
        <v>#VALUE!</v>
      </c>
      <c r="H9946" s="26" t="e">
        <f t="shared" si="1"/>
        <v>#VALUE!</v>
      </c>
      <c r="I9946" s="1" t="e">
        <f t="shared" si="2"/>
        <v>#VALUE!</v>
      </c>
    </row>
    <row r="9947" spans="1:9" ht="15.75" customHeight="1">
      <c r="A9947" s="26"/>
      <c r="B9947" s="2"/>
      <c r="C9947" s="26"/>
      <c r="D9947" s="26"/>
      <c r="F9947" s="85" t="str">
        <f t="shared" si="0"/>
        <v/>
      </c>
      <c r="G9947" s="1" t="e">
        <f>IF(VALUE(F9947) = VALUE(RIGHT(Insights!$C$3, 4)), E9947, "")</f>
        <v>#VALUE!</v>
      </c>
      <c r="H9947" s="26" t="e">
        <f t="shared" si="1"/>
        <v>#VALUE!</v>
      </c>
      <c r="I9947" s="1" t="e">
        <f t="shared" si="2"/>
        <v>#VALUE!</v>
      </c>
    </row>
    <row r="9948" spans="1:9" ht="15.75" customHeight="1">
      <c r="A9948" s="26"/>
      <c r="B9948" s="2"/>
      <c r="C9948" s="26"/>
      <c r="D9948" s="26"/>
      <c r="F9948" s="85" t="str">
        <f t="shared" si="0"/>
        <v/>
      </c>
      <c r="G9948" s="1" t="e">
        <f>IF(VALUE(F9948) = VALUE(RIGHT(Insights!$C$3, 4)), E9948, "")</f>
        <v>#VALUE!</v>
      </c>
      <c r="H9948" s="26" t="e">
        <f t="shared" si="1"/>
        <v>#VALUE!</v>
      </c>
      <c r="I9948" s="1" t="e">
        <f t="shared" si="2"/>
        <v>#VALUE!</v>
      </c>
    </row>
    <row r="9949" spans="1:9" ht="15.75" customHeight="1">
      <c r="A9949" s="26"/>
      <c r="B9949" s="2"/>
      <c r="C9949" s="26"/>
      <c r="D9949" s="26"/>
      <c r="F9949" s="85" t="str">
        <f t="shared" si="0"/>
        <v/>
      </c>
      <c r="G9949" s="1" t="e">
        <f>IF(VALUE(F9949) = VALUE(RIGHT(Insights!$C$3, 4)), E9949, "")</f>
        <v>#VALUE!</v>
      </c>
      <c r="H9949" s="26" t="e">
        <f t="shared" si="1"/>
        <v>#VALUE!</v>
      </c>
      <c r="I9949" s="1" t="e">
        <f t="shared" si="2"/>
        <v>#VALUE!</v>
      </c>
    </row>
    <row r="9950" spans="1:9" ht="15.75" customHeight="1">
      <c r="A9950" s="26"/>
      <c r="B9950" s="2"/>
      <c r="C9950" s="26"/>
      <c r="D9950" s="26"/>
      <c r="F9950" s="85" t="str">
        <f t="shared" si="0"/>
        <v/>
      </c>
      <c r="G9950" s="1" t="e">
        <f>IF(VALUE(F9950) = VALUE(RIGHT(Insights!$C$3, 4)), E9950, "")</f>
        <v>#VALUE!</v>
      </c>
      <c r="H9950" s="26" t="e">
        <f t="shared" si="1"/>
        <v>#VALUE!</v>
      </c>
      <c r="I9950" s="1" t="e">
        <f t="shared" si="2"/>
        <v>#VALUE!</v>
      </c>
    </row>
    <row r="9951" spans="1:9" ht="15.75" customHeight="1">
      <c r="A9951" s="26"/>
      <c r="B9951" s="2"/>
      <c r="C9951" s="26"/>
      <c r="D9951" s="26"/>
      <c r="F9951" s="85" t="str">
        <f t="shared" si="0"/>
        <v/>
      </c>
      <c r="G9951" s="1" t="e">
        <f>IF(VALUE(F9951) = VALUE(RIGHT(Insights!$C$3, 4)), E9951, "")</f>
        <v>#VALUE!</v>
      </c>
      <c r="H9951" s="26" t="e">
        <f t="shared" si="1"/>
        <v>#VALUE!</v>
      </c>
      <c r="I9951" s="1" t="e">
        <f t="shared" si="2"/>
        <v>#VALUE!</v>
      </c>
    </row>
    <row r="9952" spans="1:9" ht="15.75" customHeight="1">
      <c r="A9952" s="26"/>
      <c r="B9952" s="2"/>
      <c r="C9952" s="26"/>
      <c r="D9952" s="26"/>
      <c r="F9952" s="85" t="str">
        <f t="shared" si="0"/>
        <v/>
      </c>
      <c r="G9952" s="1" t="e">
        <f>IF(VALUE(F9952) = VALUE(RIGHT(Insights!$C$3, 4)), E9952, "")</f>
        <v>#VALUE!</v>
      </c>
      <c r="H9952" s="26" t="e">
        <f t="shared" si="1"/>
        <v>#VALUE!</v>
      </c>
      <c r="I9952" s="1" t="e">
        <f t="shared" si="2"/>
        <v>#VALUE!</v>
      </c>
    </row>
    <row r="9953" spans="1:9" ht="15.75" customHeight="1">
      <c r="A9953" s="26"/>
      <c r="B9953" s="2"/>
      <c r="C9953" s="26"/>
      <c r="D9953" s="26"/>
      <c r="F9953" s="85" t="str">
        <f t="shared" si="0"/>
        <v/>
      </c>
      <c r="G9953" s="1" t="e">
        <f>IF(VALUE(F9953) = VALUE(RIGHT(Insights!$C$3, 4)), E9953, "")</f>
        <v>#VALUE!</v>
      </c>
      <c r="H9953" s="26" t="e">
        <f t="shared" si="1"/>
        <v>#VALUE!</v>
      </c>
      <c r="I9953" s="1" t="e">
        <f t="shared" si="2"/>
        <v>#VALUE!</v>
      </c>
    </row>
    <row r="9954" spans="1:9" ht="15.75" customHeight="1">
      <c r="A9954" s="26"/>
      <c r="B9954" s="2"/>
      <c r="C9954" s="26"/>
      <c r="D9954" s="26"/>
      <c r="F9954" s="85" t="str">
        <f t="shared" si="0"/>
        <v/>
      </c>
      <c r="G9954" s="1" t="e">
        <f>IF(VALUE(F9954) = VALUE(RIGHT(Insights!$C$3, 4)), E9954, "")</f>
        <v>#VALUE!</v>
      </c>
      <c r="H9954" s="26" t="e">
        <f t="shared" si="1"/>
        <v>#VALUE!</v>
      </c>
      <c r="I9954" s="1" t="e">
        <f t="shared" si="2"/>
        <v>#VALUE!</v>
      </c>
    </row>
    <row r="9955" spans="1:9" ht="15.75" customHeight="1">
      <c r="A9955" s="26"/>
      <c r="B9955" s="2"/>
      <c r="C9955" s="26"/>
      <c r="D9955" s="26"/>
      <c r="F9955" s="85" t="str">
        <f t="shared" si="0"/>
        <v/>
      </c>
      <c r="G9955" s="1" t="e">
        <f>IF(VALUE(F9955) = VALUE(RIGHT(Insights!$C$3, 4)), E9955, "")</f>
        <v>#VALUE!</v>
      </c>
      <c r="H9955" s="26" t="e">
        <f t="shared" si="1"/>
        <v>#VALUE!</v>
      </c>
      <c r="I9955" s="1" t="e">
        <f t="shared" si="2"/>
        <v>#VALUE!</v>
      </c>
    </row>
    <row r="9956" spans="1:9" ht="15.75" customHeight="1">
      <c r="A9956" s="26"/>
      <c r="B9956" s="2"/>
      <c r="C9956" s="26"/>
      <c r="D9956" s="26"/>
      <c r="F9956" s="85" t="str">
        <f t="shared" si="0"/>
        <v/>
      </c>
      <c r="G9956" s="1" t="e">
        <f>IF(VALUE(F9956) = VALUE(RIGHT(Insights!$C$3, 4)), E9956, "")</f>
        <v>#VALUE!</v>
      </c>
      <c r="H9956" s="26" t="e">
        <f t="shared" si="1"/>
        <v>#VALUE!</v>
      </c>
      <c r="I9956" s="1" t="e">
        <f t="shared" si="2"/>
        <v>#VALUE!</v>
      </c>
    </row>
    <row r="9957" spans="1:9" ht="15.75" customHeight="1">
      <c r="A9957" s="26"/>
      <c r="B9957" s="2"/>
      <c r="C9957" s="26"/>
      <c r="D9957" s="26"/>
      <c r="F9957" s="85" t="str">
        <f t="shared" si="0"/>
        <v/>
      </c>
      <c r="G9957" s="1" t="e">
        <f>IF(VALUE(F9957) = VALUE(RIGHT(Insights!$C$3, 4)), E9957, "")</f>
        <v>#VALUE!</v>
      </c>
      <c r="H9957" s="26" t="e">
        <f t="shared" si="1"/>
        <v>#VALUE!</v>
      </c>
      <c r="I9957" s="1" t="e">
        <f t="shared" si="2"/>
        <v>#VALUE!</v>
      </c>
    </row>
    <row r="9958" spans="1:9" ht="15.75" customHeight="1">
      <c r="A9958" s="26"/>
      <c r="B9958" s="2"/>
      <c r="C9958" s="26"/>
      <c r="D9958" s="26"/>
      <c r="F9958" s="85" t="str">
        <f t="shared" si="0"/>
        <v/>
      </c>
      <c r="G9958" s="1" t="e">
        <f>IF(VALUE(F9958) = VALUE(RIGHT(Insights!$C$3, 4)), E9958, "")</f>
        <v>#VALUE!</v>
      </c>
      <c r="H9958" s="26" t="e">
        <f t="shared" si="1"/>
        <v>#VALUE!</v>
      </c>
      <c r="I9958" s="1" t="e">
        <f t="shared" si="2"/>
        <v>#VALUE!</v>
      </c>
    </row>
    <row r="9959" spans="1:9" ht="15.75" customHeight="1">
      <c r="A9959" s="26"/>
      <c r="B9959" s="2"/>
      <c r="C9959" s="26"/>
      <c r="D9959" s="26"/>
      <c r="F9959" s="85" t="str">
        <f t="shared" si="0"/>
        <v/>
      </c>
      <c r="G9959" s="1" t="e">
        <f>IF(VALUE(F9959) = VALUE(RIGHT(Insights!$C$3, 4)), E9959, "")</f>
        <v>#VALUE!</v>
      </c>
      <c r="H9959" s="26" t="e">
        <f t="shared" si="1"/>
        <v>#VALUE!</v>
      </c>
      <c r="I9959" s="1" t="e">
        <f t="shared" si="2"/>
        <v>#VALUE!</v>
      </c>
    </row>
    <row r="9960" spans="1:9" ht="15.75" customHeight="1">
      <c r="A9960" s="26"/>
      <c r="B9960" s="2"/>
      <c r="C9960" s="26"/>
      <c r="D9960" s="26"/>
      <c r="F9960" s="85" t="str">
        <f t="shared" si="0"/>
        <v/>
      </c>
      <c r="G9960" s="1" t="e">
        <f>IF(VALUE(F9960) = VALUE(RIGHT(Insights!$C$3, 4)), E9960, "")</f>
        <v>#VALUE!</v>
      </c>
      <c r="H9960" s="26" t="e">
        <f t="shared" si="1"/>
        <v>#VALUE!</v>
      </c>
      <c r="I9960" s="1" t="e">
        <f t="shared" si="2"/>
        <v>#VALUE!</v>
      </c>
    </row>
    <row r="9961" spans="1:9" ht="15.75" customHeight="1">
      <c r="A9961" s="26"/>
      <c r="B9961" s="2"/>
      <c r="C9961" s="26"/>
      <c r="D9961" s="26"/>
      <c r="F9961" s="85" t="str">
        <f t="shared" si="0"/>
        <v/>
      </c>
      <c r="G9961" s="1" t="e">
        <f>IF(VALUE(F9961) = VALUE(RIGHT(Insights!$C$3, 4)), E9961, "")</f>
        <v>#VALUE!</v>
      </c>
      <c r="H9961" s="26" t="e">
        <f t="shared" si="1"/>
        <v>#VALUE!</v>
      </c>
      <c r="I9961" s="1" t="e">
        <f t="shared" si="2"/>
        <v>#VALUE!</v>
      </c>
    </row>
    <row r="9962" spans="1:9" ht="15.75" customHeight="1">
      <c r="A9962" s="26"/>
      <c r="B9962" s="2"/>
      <c r="C9962" s="26"/>
      <c r="D9962" s="26"/>
      <c r="F9962" s="85" t="str">
        <f t="shared" si="0"/>
        <v/>
      </c>
      <c r="G9962" s="1" t="e">
        <f>IF(VALUE(F9962) = VALUE(RIGHT(Insights!$C$3, 4)), E9962, "")</f>
        <v>#VALUE!</v>
      </c>
      <c r="H9962" s="26" t="e">
        <f t="shared" si="1"/>
        <v>#VALUE!</v>
      </c>
      <c r="I9962" s="1" t="e">
        <f t="shared" si="2"/>
        <v>#VALUE!</v>
      </c>
    </row>
    <row r="9963" spans="1:9" ht="15.75" customHeight="1">
      <c r="A9963" s="26"/>
      <c r="B9963" s="2"/>
      <c r="C9963" s="26"/>
      <c r="D9963" s="26"/>
      <c r="F9963" s="85" t="str">
        <f t="shared" si="0"/>
        <v/>
      </c>
      <c r="G9963" s="1" t="e">
        <f>IF(VALUE(F9963) = VALUE(RIGHT(Insights!$C$3, 4)), E9963, "")</f>
        <v>#VALUE!</v>
      </c>
      <c r="H9963" s="26" t="e">
        <f t="shared" si="1"/>
        <v>#VALUE!</v>
      </c>
      <c r="I9963" s="1" t="e">
        <f t="shared" si="2"/>
        <v>#VALUE!</v>
      </c>
    </row>
    <row r="9964" spans="1:9" ht="15.75" customHeight="1">
      <c r="A9964" s="26"/>
      <c r="B9964" s="2"/>
      <c r="C9964" s="26"/>
      <c r="D9964" s="26"/>
      <c r="F9964" s="85" t="str">
        <f t="shared" si="0"/>
        <v/>
      </c>
      <c r="G9964" s="1" t="e">
        <f>IF(VALUE(F9964) = VALUE(RIGHT(Insights!$C$3, 4)), E9964, "")</f>
        <v>#VALUE!</v>
      </c>
      <c r="H9964" s="26" t="e">
        <f t="shared" si="1"/>
        <v>#VALUE!</v>
      </c>
      <c r="I9964" s="1" t="e">
        <f t="shared" si="2"/>
        <v>#VALUE!</v>
      </c>
    </row>
    <row r="9965" spans="1:9" ht="15.75" customHeight="1">
      <c r="A9965" s="26"/>
      <c r="B9965" s="2"/>
      <c r="C9965" s="26"/>
      <c r="D9965" s="26"/>
      <c r="F9965" s="85" t="str">
        <f t="shared" si="0"/>
        <v/>
      </c>
      <c r="G9965" s="1" t="e">
        <f>IF(VALUE(F9965) = VALUE(RIGHT(Insights!$C$3, 4)), E9965, "")</f>
        <v>#VALUE!</v>
      </c>
      <c r="H9965" s="26" t="e">
        <f t="shared" si="1"/>
        <v>#VALUE!</v>
      </c>
      <c r="I9965" s="1" t="e">
        <f t="shared" si="2"/>
        <v>#VALUE!</v>
      </c>
    </row>
    <row r="9966" spans="1:9" ht="15.75" customHeight="1">
      <c r="A9966" s="26"/>
      <c r="B9966" s="2"/>
      <c r="C9966" s="26"/>
      <c r="D9966" s="26"/>
      <c r="F9966" s="85" t="str">
        <f t="shared" si="0"/>
        <v/>
      </c>
      <c r="G9966" s="1" t="e">
        <f>IF(VALUE(F9966) = VALUE(RIGHT(Insights!$C$3, 4)), E9966, "")</f>
        <v>#VALUE!</v>
      </c>
      <c r="H9966" s="26" t="e">
        <f t="shared" si="1"/>
        <v>#VALUE!</v>
      </c>
      <c r="I9966" s="1" t="e">
        <f t="shared" si="2"/>
        <v>#VALUE!</v>
      </c>
    </row>
    <row r="9967" spans="1:9" ht="15.75" customHeight="1">
      <c r="A9967" s="26"/>
      <c r="B9967" s="2"/>
      <c r="C9967" s="26"/>
      <c r="D9967" s="26"/>
      <c r="F9967" s="85" t="str">
        <f t="shared" si="0"/>
        <v/>
      </c>
      <c r="G9967" s="1" t="e">
        <f>IF(VALUE(F9967) = VALUE(RIGHT(Insights!$C$3, 4)), E9967, "")</f>
        <v>#VALUE!</v>
      </c>
      <c r="H9967" s="26" t="e">
        <f t="shared" si="1"/>
        <v>#VALUE!</v>
      </c>
      <c r="I9967" s="1" t="e">
        <f t="shared" si="2"/>
        <v>#VALUE!</v>
      </c>
    </row>
    <row r="9968" spans="1:9" ht="15.75" customHeight="1">
      <c r="A9968" s="26"/>
      <c r="B9968" s="2"/>
      <c r="C9968" s="26"/>
      <c r="D9968" s="26"/>
      <c r="F9968" s="85" t="str">
        <f t="shared" si="0"/>
        <v/>
      </c>
      <c r="G9968" s="1" t="e">
        <f>IF(VALUE(F9968) = VALUE(RIGHT(Insights!$C$3, 4)), E9968, "")</f>
        <v>#VALUE!</v>
      </c>
      <c r="H9968" s="26" t="e">
        <f t="shared" si="1"/>
        <v>#VALUE!</v>
      </c>
      <c r="I9968" s="1" t="e">
        <f t="shared" si="2"/>
        <v>#VALUE!</v>
      </c>
    </row>
    <row r="9969" spans="1:9" ht="15.75" customHeight="1">
      <c r="A9969" s="26"/>
      <c r="B9969" s="2"/>
      <c r="C9969" s="26"/>
      <c r="D9969" s="26"/>
      <c r="F9969" s="85" t="str">
        <f t="shared" si="0"/>
        <v/>
      </c>
      <c r="G9969" s="1" t="e">
        <f>IF(VALUE(F9969) = VALUE(RIGHT(Insights!$C$3, 4)), E9969, "")</f>
        <v>#VALUE!</v>
      </c>
      <c r="H9969" s="26" t="e">
        <f t="shared" si="1"/>
        <v>#VALUE!</v>
      </c>
      <c r="I9969" s="1" t="e">
        <f t="shared" si="2"/>
        <v>#VALUE!</v>
      </c>
    </row>
    <row r="9970" spans="1:9" ht="15.75" customHeight="1">
      <c r="A9970" s="26"/>
      <c r="B9970" s="2"/>
      <c r="C9970" s="26"/>
      <c r="D9970" s="26"/>
      <c r="F9970" s="85" t="str">
        <f t="shared" si="0"/>
        <v/>
      </c>
      <c r="G9970" s="1" t="e">
        <f>IF(VALUE(F9970) = VALUE(RIGHT(Insights!$C$3, 4)), E9970, "")</f>
        <v>#VALUE!</v>
      </c>
      <c r="H9970" s="26" t="e">
        <f t="shared" si="1"/>
        <v>#VALUE!</v>
      </c>
      <c r="I9970" s="1" t="e">
        <f t="shared" si="2"/>
        <v>#VALUE!</v>
      </c>
    </row>
    <row r="9971" spans="1:9" ht="15.75" customHeight="1">
      <c r="A9971" s="26"/>
      <c r="B9971" s="2"/>
      <c r="C9971" s="26"/>
      <c r="D9971" s="26"/>
      <c r="F9971" s="85" t="str">
        <f t="shared" si="0"/>
        <v/>
      </c>
      <c r="G9971" s="1" t="e">
        <f>IF(VALUE(F9971) = VALUE(RIGHT(Insights!$C$3, 4)), E9971, "")</f>
        <v>#VALUE!</v>
      </c>
      <c r="H9971" s="26" t="e">
        <f t="shared" si="1"/>
        <v>#VALUE!</v>
      </c>
      <c r="I9971" s="1" t="e">
        <f t="shared" si="2"/>
        <v>#VALUE!</v>
      </c>
    </row>
    <row r="9972" spans="1:9" ht="15.75" customHeight="1">
      <c r="A9972" s="26"/>
      <c r="B9972" s="2"/>
      <c r="C9972" s="26"/>
      <c r="D9972" s="26"/>
      <c r="F9972" s="85" t="str">
        <f t="shared" si="0"/>
        <v/>
      </c>
      <c r="G9972" s="1" t="e">
        <f>IF(VALUE(F9972) = VALUE(RIGHT(Insights!$C$3, 4)), E9972, "")</f>
        <v>#VALUE!</v>
      </c>
      <c r="H9972" s="26" t="e">
        <f t="shared" si="1"/>
        <v>#VALUE!</v>
      </c>
      <c r="I9972" s="1" t="e">
        <f t="shared" si="2"/>
        <v>#VALUE!</v>
      </c>
    </row>
    <row r="9973" spans="1:9" ht="15.75" customHeight="1">
      <c r="A9973" s="26"/>
      <c r="B9973" s="2"/>
      <c r="C9973" s="26"/>
      <c r="D9973" s="26"/>
      <c r="F9973" s="85" t="str">
        <f t="shared" si="0"/>
        <v/>
      </c>
      <c r="G9973" s="1" t="e">
        <f>IF(VALUE(F9973) = VALUE(RIGHT(Insights!$C$3, 4)), E9973, "")</f>
        <v>#VALUE!</v>
      </c>
      <c r="H9973" s="26" t="e">
        <f t="shared" si="1"/>
        <v>#VALUE!</v>
      </c>
      <c r="I9973" s="1" t="e">
        <f t="shared" si="2"/>
        <v>#VALUE!</v>
      </c>
    </row>
    <row r="9974" spans="1:9" ht="15.75" customHeight="1">
      <c r="A9974" s="26"/>
      <c r="B9974" s="2"/>
      <c r="C9974" s="26"/>
      <c r="D9974" s="26"/>
      <c r="F9974" s="85" t="str">
        <f t="shared" si="0"/>
        <v/>
      </c>
      <c r="G9974" s="1" t="e">
        <f>IF(VALUE(F9974) = VALUE(RIGHT(Insights!$C$3, 4)), E9974, "")</f>
        <v>#VALUE!</v>
      </c>
      <c r="H9974" s="26" t="e">
        <f t="shared" si="1"/>
        <v>#VALUE!</v>
      </c>
      <c r="I9974" s="1" t="e">
        <f t="shared" si="2"/>
        <v>#VALUE!</v>
      </c>
    </row>
    <row r="9975" spans="1:9" ht="15.75" customHeight="1">
      <c r="A9975" s="26"/>
      <c r="B9975" s="2"/>
      <c r="C9975" s="26"/>
      <c r="D9975" s="26"/>
      <c r="F9975" s="85" t="str">
        <f t="shared" si="0"/>
        <v/>
      </c>
      <c r="G9975" s="1" t="e">
        <f>IF(VALUE(F9975) = VALUE(RIGHT(Insights!$C$3, 4)), E9975, "")</f>
        <v>#VALUE!</v>
      </c>
      <c r="H9975" s="26" t="e">
        <f t="shared" si="1"/>
        <v>#VALUE!</v>
      </c>
      <c r="I9975" s="1" t="e">
        <f t="shared" si="2"/>
        <v>#VALUE!</v>
      </c>
    </row>
    <row r="9976" spans="1:9" ht="15.75" customHeight="1">
      <c r="A9976" s="26"/>
      <c r="B9976" s="2"/>
      <c r="C9976" s="26"/>
      <c r="D9976" s="26"/>
      <c r="F9976" s="85" t="str">
        <f t="shared" si="0"/>
        <v/>
      </c>
      <c r="G9976" s="1" t="e">
        <f>IF(VALUE(F9976) = VALUE(RIGHT(Insights!$C$3, 4)), E9976, "")</f>
        <v>#VALUE!</v>
      </c>
      <c r="H9976" s="26" t="e">
        <f t="shared" si="1"/>
        <v>#VALUE!</v>
      </c>
      <c r="I9976" s="1" t="e">
        <f t="shared" si="2"/>
        <v>#VALUE!</v>
      </c>
    </row>
    <row r="9977" spans="1:9" ht="15.75" customHeight="1">
      <c r="A9977" s="26"/>
      <c r="B9977" s="2"/>
      <c r="C9977" s="26"/>
      <c r="D9977" s="26"/>
      <c r="F9977" s="85" t="str">
        <f t="shared" si="0"/>
        <v/>
      </c>
      <c r="G9977" s="1" t="e">
        <f>IF(VALUE(F9977) = VALUE(RIGHT(Insights!$C$3, 4)), E9977, "")</f>
        <v>#VALUE!</v>
      </c>
      <c r="H9977" s="26" t="e">
        <f t="shared" si="1"/>
        <v>#VALUE!</v>
      </c>
      <c r="I9977" s="1" t="e">
        <f t="shared" si="2"/>
        <v>#VALUE!</v>
      </c>
    </row>
    <row r="9978" spans="1:9" ht="15.75" customHeight="1">
      <c r="A9978" s="26"/>
      <c r="B9978" s="2"/>
      <c r="C9978" s="26"/>
      <c r="D9978" s="26"/>
      <c r="F9978" s="85" t="str">
        <f t="shared" si="0"/>
        <v/>
      </c>
      <c r="G9978" s="1" t="e">
        <f>IF(VALUE(F9978) = VALUE(RIGHT(Insights!$C$3, 4)), E9978, "")</f>
        <v>#VALUE!</v>
      </c>
      <c r="H9978" s="26" t="e">
        <f t="shared" si="1"/>
        <v>#VALUE!</v>
      </c>
      <c r="I9978" s="1" t="e">
        <f t="shared" si="2"/>
        <v>#VALUE!</v>
      </c>
    </row>
    <row r="9979" spans="1:9" ht="15.75" customHeight="1">
      <c r="A9979" s="26"/>
      <c r="B9979" s="2"/>
      <c r="C9979" s="26"/>
      <c r="D9979" s="26"/>
      <c r="F9979" s="85" t="str">
        <f t="shared" si="0"/>
        <v/>
      </c>
      <c r="G9979" s="1" t="e">
        <f>IF(VALUE(F9979) = VALUE(RIGHT(Insights!$C$3, 4)), E9979, "")</f>
        <v>#VALUE!</v>
      </c>
      <c r="H9979" s="26" t="e">
        <f t="shared" si="1"/>
        <v>#VALUE!</v>
      </c>
      <c r="I9979" s="1" t="e">
        <f t="shared" si="2"/>
        <v>#VALUE!</v>
      </c>
    </row>
    <row r="9980" spans="1:9" ht="15.75" customHeight="1">
      <c r="A9980" s="26"/>
      <c r="B9980" s="2"/>
      <c r="C9980" s="26"/>
      <c r="D9980" s="26"/>
      <c r="F9980" s="85" t="str">
        <f t="shared" si="0"/>
        <v/>
      </c>
      <c r="G9980" s="1" t="e">
        <f>IF(VALUE(F9980) = VALUE(RIGHT(Insights!$C$3, 4)), E9980, "")</f>
        <v>#VALUE!</v>
      </c>
      <c r="H9980" s="26" t="e">
        <f t="shared" si="1"/>
        <v>#VALUE!</v>
      </c>
      <c r="I9980" s="1" t="e">
        <f t="shared" si="2"/>
        <v>#VALUE!</v>
      </c>
    </row>
    <row r="9981" spans="1:9" ht="15.75" customHeight="1">
      <c r="A9981" s="26"/>
      <c r="B9981" s="2"/>
      <c r="C9981" s="26"/>
      <c r="D9981" s="26"/>
      <c r="F9981" s="85" t="str">
        <f t="shared" si="0"/>
        <v/>
      </c>
      <c r="G9981" s="1" t="e">
        <f>IF(VALUE(F9981) = VALUE(RIGHT(Insights!$C$3, 4)), E9981, "")</f>
        <v>#VALUE!</v>
      </c>
      <c r="H9981" s="26" t="e">
        <f t="shared" si="1"/>
        <v>#VALUE!</v>
      </c>
      <c r="I9981" s="1" t="e">
        <f t="shared" si="2"/>
        <v>#VALUE!</v>
      </c>
    </row>
    <row r="9982" spans="1:9" ht="15.75" customHeight="1">
      <c r="A9982" s="26"/>
      <c r="B9982" s="2"/>
      <c r="C9982" s="26"/>
      <c r="D9982" s="26"/>
      <c r="F9982" s="85" t="str">
        <f t="shared" si="0"/>
        <v/>
      </c>
      <c r="G9982" s="1" t="e">
        <f>IF(VALUE(F9982) = VALUE(RIGHT(Insights!$C$3, 4)), E9982, "")</f>
        <v>#VALUE!</v>
      </c>
      <c r="H9982" s="26" t="e">
        <f t="shared" si="1"/>
        <v>#VALUE!</v>
      </c>
      <c r="I9982" s="1" t="e">
        <f t="shared" si="2"/>
        <v>#VALUE!</v>
      </c>
    </row>
    <row r="9983" spans="1:9" ht="15.75" customHeight="1">
      <c r="A9983" s="26"/>
      <c r="B9983" s="2"/>
      <c r="C9983" s="26"/>
      <c r="D9983" s="26"/>
      <c r="F9983" s="85" t="str">
        <f t="shared" si="0"/>
        <v/>
      </c>
      <c r="G9983" s="1" t="e">
        <f>IF(VALUE(F9983) = VALUE(RIGHT(Insights!$C$3, 4)), E9983, "")</f>
        <v>#VALUE!</v>
      </c>
      <c r="H9983" s="26" t="e">
        <f t="shared" si="1"/>
        <v>#VALUE!</v>
      </c>
      <c r="I9983" s="1" t="e">
        <f t="shared" si="2"/>
        <v>#VALUE!</v>
      </c>
    </row>
    <row r="9984" spans="1:9" ht="15.75" customHeight="1">
      <c r="A9984" s="26"/>
      <c r="B9984" s="2"/>
      <c r="C9984" s="26"/>
      <c r="D9984" s="26"/>
      <c r="F9984" s="85" t="str">
        <f t="shared" si="0"/>
        <v/>
      </c>
      <c r="G9984" s="1" t="e">
        <f>IF(VALUE(F9984) = VALUE(RIGHT(Insights!$C$3, 4)), E9984, "")</f>
        <v>#VALUE!</v>
      </c>
      <c r="H9984" s="26" t="e">
        <f t="shared" si="1"/>
        <v>#VALUE!</v>
      </c>
      <c r="I9984" s="1" t="e">
        <f t="shared" si="2"/>
        <v>#VALUE!</v>
      </c>
    </row>
    <row r="9985" spans="1:9" ht="15.75" customHeight="1">
      <c r="A9985" s="26"/>
      <c r="B9985" s="2"/>
      <c r="C9985" s="26"/>
      <c r="D9985" s="26"/>
      <c r="F9985" s="85" t="str">
        <f t="shared" si="0"/>
        <v/>
      </c>
      <c r="G9985" s="1" t="e">
        <f>IF(VALUE(F9985) = VALUE(RIGHT(Insights!$C$3, 4)), E9985, "")</f>
        <v>#VALUE!</v>
      </c>
      <c r="H9985" s="26" t="e">
        <f t="shared" si="1"/>
        <v>#VALUE!</v>
      </c>
      <c r="I9985" s="1" t="e">
        <f t="shared" si="2"/>
        <v>#VALUE!</v>
      </c>
    </row>
    <row r="9986" spans="1:9" ht="15.75" customHeight="1">
      <c r="A9986" s="26"/>
      <c r="B9986" s="2"/>
      <c r="C9986" s="26"/>
      <c r="D9986" s="26"/>
      <c r="F9986" s="85" t="str">
        <f t="shared" si="0"/>
        <v/>
      </c>
      <c r="G9986" s="1" t="e">
        <f>IF(VALUE(F9986) = VALUE(RIGHT(Insights!$C$3, 4)), E9986, "")</f>
        <v>#VALUE!</v>
      </c>
      <c r="H9986" s="26" t="e">
        <f t="shared" si="1"/>
        <v>#VALUE!</v>
      </c>
      <c r="I9986" s="1" t="e">
        <f t="shared" si="2"/>
        <v>#VALUE!</v>
      </c>
    </row>
    <row r="9987" spans="1:9" ht="15.75" customHeight="1">
      <c r="A9987" s="26"/>
      <c r="B9987" s="2"/>
      <c r="C9987" s="26"/>
      <c r="D9987" s="26"/>
      <c r="F9987" s="85" t="str">
        <f t="shared" si="0"/>
        <v/>
      </c>
      <c r="G9987" s="1" t="e">
        <f>IF(VALUE(F9987) = VALUE(RIGHT(Insights!$C$3, 4)), E9987, "")</f>
        <v>#VALUE!</v>
      </c>
      <c r="H9987" s="26" t="e">
        <f t="shared" si="1"/>
        <v>#VALUE!</v>
      </c>
      <c r="I9987" s="1" t="e">
        <f t="shared" si="2"/>
        <v>#VALUE!</v>
      </c>
    </row>
    <row r="9988" spans="1:9" ht="15.75" customHeight="1">
      <c r="A9988" s="26"/>
      <c r="B9988" s="2"/>
      <c r="C9988" s="26"/>
      <c r="D9988" s="26"/>
      <c r="F9988" s="85" t="str">
        <f t="shared" si="0"/>
        <v/>
      </c>
      <c r="G9988" s="1" t="e">
        <f>IF(VALUE(F9988) = VALUE(RIGHT(Insights!$C$3, 4)), E9988, "")</f>
        <v>#VALUE!</v>
      </c>
      <c r="H9988" s="26" t="e">
        <f t="shared" si="1"/>
        <v>#VALUE!</v>
      </c>
      <c r="I9988" s="1" t="e">
        <f t="shared" si="2"/>
        <v>#VALUE!</v>
      </c>
    </row>
    <row r="9989" spans="1:9" ht="15.75" customHeight="1">
      <c r="A9989" s="26"/>
      <c r="B9989" s="2"/>
      <c r="C9989" s="26"/>
      <c r="D9989" s="26"/>
      <c r="F9989" s="85" t="str">
        <f t="shared" si="0"/>
        <v/>
      </c>
      <c r="G9989" s="1" t="e">
        <f>IF(VALUE(F9989) = VALUE(RIGHT(Insights!$C$3, 4)), E9989, "")</f>
        <v>#VALUE!</v>
      </c>
      <c r="H9989" s="26" t="e">
        <f t="shared" si="1"/>
        <v>#VALUE!</v>
      </c>
      <c r="I9989" s="1" t="e">
        <f t="shared" si="2"/>
        <v>#VALUE!</v>
      </c>
    </row>
    <row r="9990" spans="1:9" ht="15.75" customHeight="1">
      <c r="A9990" s="26"/>
      <c r="B9990" s="2"/>
      <c r="C9990" s="26"/>
      <c r="D9990" s="26"/>
      <c r="F9990" s="85" t="str">
        <f t="shared" si="0"/>
        <v/>
      </c>
      <c r="G9990" s="1" t="e">
        <f>IF(VALUE(F9990) = VALUE(RIGHT(Insights!$C$3, 4)), E9990, "")</f>
        <v>#VALUE!</v>
      </c>
      <c r="H9990" s="26" t="e">
        <f t="shared" si="1"/>
        <v>#VALUE!</v>
      </c>
      <c r="I9990" s="1" t="e">
        <f t="shared" si="2"/>
        <v>#VALUE!</v>
      </c>
    </row>
    <row r="9991" spans="1:9" ht="15.75" customHeight="1">
      <c r="A9991" s="26"/>
      <c r="B9991" s="2"/>
      <c r="C9991" s="26"/>
      <c r="D9991" s="26"/>
      <c r="F9991" s="85" t="str">
        <f t="shared" si="0"/>
        <v/>
      </c>
      <c r="G9991" s="1" t="e">
        <f>IF(VALUE(F9991) = VALUE(RIGHT(Insights!$C$3, 4)), E9991, "")</f>
        <v>#VALUE!</v>
      </c>
      <c r="H9991" s="26" t="e">
        <f t="shared" si="1"/>
        <v>#VALUE!</v>
      </c>
      <c r="I9991" s="1" t="e">
        <f t="shared" si="2"/>
        <v>#VALUE!</v>
      </c>
    </row>
    <row r="9992" spans="1:9" ht="15.75" customHeight="1">
      <c r="A9992" s="26"/>
      <c r="B9992" s="2"/>
      <c r="C9992" s="26"/>
      <c r="D9992" s="26"/>
      <c r="F9992" s="85" t="str">
        <f t="shared" si="0"/>
        <v/>
      </c>
      <c r="G9992" s="1" t="e">
        <f>IF(VALUE(F9992) = VALUE(RIGHT(Insights!$C$3, 4)), E9992, "")</f>
        <v>#VALUE!</v>
      </c>
      <c r="H9992" s="26" t="e">
        <f t="shared" si="1"/>
        <v>#VALUE!</v>
      </c>
      <c r="I9992" s="1" t="e">
        <f t="shared" si="2"/>
        <v>#VALUE!</v>
      </c>
    </row>
    <row r="9993" spans="1:9" ht="15.75" customHeight="1">
      <c r="A9993" s="26"/>
      <c r="B9993" s="2"/>
      <c r="C9993" s="26"/>
      <c r="D9993" s="26"/>
      <c r="F9993" s="85" t="str">
        <f t="shared" si="0"/>
        <v/>
      </c>
      <c r="G9993" s="1" t="e">
        <f>IF(VALUE(F9993) = VALUE(RIGHT(Insights!$C$3, 4)), E9993, "")</f>
        <v>#VALUE!</v>
      </c>
      <c r="H9993" s="26" t="e">
        <f t="shared" si="1"/>
        <v>#VALUE!</v>
      </c>
      <c r="I9993" s="1" t="e">
        <f t="shared" si="2"/>
        <v>#VALUE!</v>
      </c>
    </row>
    <row r="9994" spans="1:9" ht="15.75" customHeight="1">
      <c r="A9994" s="26"/>
      <c r="B9994" s="2"/>
      <c r="C9994" s="26"/>
      <c r="D9994" s="26"/>
      <c r="F9994" s="85" t="str">
        <f t="shared" si="0"/>
        <v/>
      </c>
      <c r="G9994" s="1" t="e">
        <f>IF(VALUE(F9994) = VALUE(RIGHT(Insights!$C$3, 4)), E9994, "")</f>
        <v>#VALUE!</v>
      </c>
      <c r="H9994" s="26" t="e">
        <f t="shared" si="1"/>
        <v>#VALUE!</v>
      </c>
      <c r="I9994" s="1" t="e">
        <f t="shared" si="2"/>
        <v>#VALUE!</v>
      </c>
    </row>
    <row r="9995" spans="1:9" ht="15.75" customHeight="1">
      <c r="A9995" s="26"/>
      <c r="B9995" s="2"/>
      <c r="C9995" s="26"/>
      <c r="D9995" s="26"/>
      <c r="F9995" s="85" t="str">
        <f t="shared" si="0"/>
        <v/>
      </c>
      <c r="G9995" s="1" t="e">
        <f>IF(VALUE(F9995) = VALUE(RIGHT(Insights!$C$3, 4)), E9995, "")</f>
        <v>#VALUE!</v>
      </c>
      <c r="H9995" s="26" t="e">
        <f t="shared" si="1"/>
        <v>#VALUE!</v>
      </c>
      <c r="I9995" s="1" t="e">
        <f t="shared" si="2"/>
        <v>#VALUE!</v>
      </c>
    </row>
    <row r="9996" spans="1:9" ht="15.75" customHeight="1">
      <c r="A9996" s="26"/>
      <c r="B9996" s="2"/>
      <c r="C9996" s="26"/>
      <c r="D9996" s="26"/>
      <c r="F9996" s="85" t="str">
        <f t="shared" si="0"/>
        <v/>
      </c>
      <c r="G9996" s="1" t="e">
        <f>IF(VALUE(F9996) = VALUE(RIGHT(Insights!$C$3, 4)), E9996, "")</f>
        <v>#VALUE!</v>
      </c>
      <c r="H9996" s="26" t="e">
        <f t="shared" si="1"/>
        <v>#VALUE!</v>
      </c>
      <c r="I9996" s="1" t="e">
        <f t="shared" si="2"/>
        <v>#VALUE!</v>
      </c>
    </row>
    <row r="9997" spans="1:9" ht="15.75" customHeight="1">
      <c r="A9997" s="26"/>
      <c r="B9997" s="2"/>
      <c r="C9997" s="26"/>
      <c r="D9997" s="26"/>
      <c r="F9997" s="85" t="str">
        <f t="shared" si="0"/>
        <v/>
      </c>
      <c r="G9997" s="1" t="e">
        <f>IF(VALUE(F9997) = VALUE(RIGHT(Insights!$C$3, 4)), E9997, "")</f>
        <v>#VALUE!</v>
      </c>
      <c r="H9997" s="26" t="e">
        <f t="shared" si="1"/>
        <v>#VALUE!</v>
      </c>
      <c r="I9997" s="1" t="e">
        <f t="shared" si="2"/>
        <v>#VALUE!</v>
      </c>
    </row>
    <row r="9998" spans="1:9" ht="15.75" customHeight="1">
      <c r="A9998" s="26"/>
      <c r="B9998" s="2"/>
      <c r="C9998" s="26"/>
      <c r="D9998" s="26"/>
      <c r="F9998" s="85" t="str">
        <f t="shared" si="0"/>
        <v/>
      </c>
      <c r="G9998" s="1" t="e">
        <f>IF(VALUE(F9998) = VALUE(RIGHT(Insights!$C$3, 4)), E9998, "")</f>
        <v>#VALUE!</v>
      </c>
      <c r="H9998" s="26" t="e">
        <f t="shared" si="1"/>
        <v>#VALUE!</v>
      </c>
      <c r="I9998" s="1" t="e">
        <f t="shared" si="2"/>
        <v>#VALUE!</v>
      </c>
    </row>
    <row r="9999" spans="1:9" ht="15.75" customHeight="1">
      <c r="A9999" s="26"/>
      <c r="B9999" s="2"/>
      <c r="C9999" s="26"/>
      <c r="D9999" s="26"/>
      <c r="F9999" s="85" t="str">
        <f t="shared" si="0"/>
        <v/>
      </c>
      <c r="G9999" s="1" t="e">
        <f>IF(VALUE(F9999) = VALUE(RIGHT(Insights!$C$3, 4)), E9999, "")</f>
        <v>#VALUE!</v>
      </c>
      <c r="H9999" s="26" t="e">
        <f t="shared" si="1"/>
        <v>#VALUE!</v>
      </c>
      <c r="I9999" s="1" t="e">
        <f t="shared" si="2"/>
        <v>#VALUE!</v>
      </c>
    </row>
    <row r="10000" spans="1:9" ht="15.75" customHeight="1">
      <c r="A10000" s="26"/>
      <c r="B10000" s="2"/>
      <c r="C10000" s="26"/>
      <c r="D10000" s="26"/>
      <c r="F10000" s="85" t="str">
        <f t="shared" si="0"/>
        <v/>
      </c>
      <c r="G10000" s="1" t="e">
        <f>IF(VALUE(F10000) = VALUE(RIGHT(Insights!$C$3, 4)), E10000, "")</f>
        <v>#VALUE!</v>
      </c>
      <c r="H10000" s="26" t="e">
        <f t="shared" si="1"/>
        <v>#VALUE!</v>
      </c>
      <c r="I10000" s="1" t="e">
        <f t="shared" si="2"/>
        <v>#VALUE!</v>
      </c>
    </row>
    <row r="10001" spans="1:8" ht="15.75" customHeight="1">
      <c r="A10001" s="26"/>
      <c r="B10001" s="2"/>
      <c r="C10001" s="26"/>
      <c r="D10001" s="26"/>
      <c r="H10001" s="26"/>
    </row>
    <row r="10002" spans="1:8" ht="15.75" customHeight="1">
      <c r="A10002" s="26"/>
      <c r="B10002" s="2"/>
      <c r="C10002" s="26"/>
      <c r="D10002" s="26"/>
      <c r="H10002" s="26"/>
    </row>
    <row r="10003" spans="1:8" ht="15.75" customHeight="1">
      <c r="A10003" s="26"/>
      <c r="B10003" s="2"/>
      <c r="C10003" s="26"/>
      <c r="D10003" s="26"/>
      <c r="H10003" s="26"/>
    </row>
    <row r="10004" spans="1:8" ht="15.75" customHeight="1">
      <c r="A10004" s="26"/>
      <c r="B10004" s="2"/>
      <c r="C10004" s="26"/>
      <c r="D10004" s="26"/>
      <c r="H10004" s="26"/>
    </row>
    <row r="10005" spans="1:8" ht="15.75" customHeight="1">
      <c r="A10005" s="26"/>
      <c r="B10005" s="2"/>
      <c r="C10005" s="26"/>
      <c r="D10005" s="26"/>
      <c r="H10005" s="26"/>
    </row>
    <row r="10006" spans="1:8" ht="15.75" customHeight="1">
      <c r="A10006" s="26"/>
      <c r="B10006" s="2"/>
      <c r="C10006" s="26"/>
      <c r="D10006" s="26"/>
      <c r="H10006" s="26"/>
    </row>
    <row r="10007" spans="1:8" ht="15.75" customHeight="1">
      <c r="A10007" s="26"/>
      <c r="B10007" s="2"/>
      <c r="C10007" s="26"/>
      <c r="D10007" s="26"/>
      <c r="H10007" s="26"/>
    </row>
    <row r="10008" spans="1:8" ht="15.75" customHeight="1">
      <c r="A10008" s="26"/>
      <c r="B10008" s="2"/>
      <c r="C10008" s="26"/>
      <c r="D10008" s="26"/>
      <c r="H10008" s="26"/>
    </row>
    <row r="10009" spans="1:8" ht="15.75" customHeight="1">
      <c r="A10009" s="26"/>
      <c r="B10009" s="2"/>
      <c r="C10009" s="26"/>
      <c r="D10009" s="26"/>
      <c r="H10009" s="26"/>
    </row>
    <row r="10010" spans="1:8" ht="15.75" customHeight="1">
      <c r="A10010" s="26"/>
      <c r="B10010" s="2"/>
      <c r="C10010" s="26"/>
      <c r="D10010" s="26"/>
      <c r="H10010" s="26"/>
    </row>
    <row r="10011" spans="1:8" ht="15.75" customHeight="1">
      <c r="A10011" s="26"/>
      <c r="B10011" s="2"/>
      <c r="C10011" s="26"/>
      <c r="D10011" s="26"/>
      <c r="H10011" s="26"/>
    </row>
    <row r="10012" spans="1:8" ht="15.75" customHeight="1">
      <c r="A10012" s="26"/>
      <c r="B10012" s="2"/>
      <c r="C10012" s="26"/>
      <c r="D10012" s="26"/>
      <c r="H10012" s="26"/>
    </row>
    <row r="10013" spans="1:8" ht="15.75" customHeight="1">
      <c r="A10013" s="26"/>
      <c r="B10013" s="2"/>
      <c r="C10013" s="26"/>
      <c r="D10013" s="26"/>
      <c r="H10013" s="26"/>
    </row>
    <row r="10014" spans="1:8" ht="15.75" customHeight="1">
      <c r="A10014" s="26"/>
      <c r="B10014" s="2"/>
      <c r="C10014" s="26"/>
      <c r="D10014" s="26"/>
      <c r="H10014" s="26"/>
    </row>
    <row r="10015" spans="1:8" ht="15.75" customHeight="1">
      <c r="A10015" s="26"/>
      <c r="B10015" s="2"/>
      <c r="C10015" s="26"/>
      <c r="D10015" s="26"/>
      <c r="H10015" s="26"/>
    </row>
    <row r="10016" spans="1:8" ht="15.75" customHeight="1">
      <c r="A10016" s="26"/>
      <c r="B10016" s="2"/>
      <c r="C10016" s="26"/>
      <c r="D10016" s="26"/>
      <c r="H10016" s="26"/>
    </row>
    <row r="10017" spans="1:8" ht="15.75" customHeight="1">
      <c r="A10017" s="26"/>
      <c r="B10017" s="2"/>
      <c r="C10017" s="26"/>
      <c r="D10017" s="26"/>
      <c r="H10017" s="26"/>
    </row>
    <row r="10018" spans="1:8" ht="15.75" customHeight="1">
      <c r="A10018" s="26"/>
      <c r="B10018" s="2"/>
      <c r="C10018" s="26"/>
      <c r="D10018" s="26"/>
      <c r="H10018" s="26"/>
    </row>
    <row r="10019" spans="1:8" ht="15.75" customHeight="1">
      <c r="A10019" s="26"/>
      <c r="B10019" s="2"/>
      <c r="C10019" s="26"/>
      <c r="D10019" s="26"/>
      <c r="H10019" s="26"/>
    </row>
    <row r="10020" spans="1:8" ht="15.75" customHeight="1">
      <c r="A10020" s="26"/>
      <c r="B10020" s="2"/>
      <c r="C10020" s="26"/>
      <c r="D10020" s="26"/>
      <c r="H10020" s="26"/>
    </row>
    <row r="10021" spans="1:8" ht="15.75" customHeight="1">
      <c r="A10021" s="26"/>
      <c r="B10021" s="2"/>
      <c r="C10021" s="26"/>
      <c r="D10021" s="26"/>
      <c r="H10021" s="26"/>
    </row>
    <row r="10022" spans="1:8" ht="15.75" customHeight="1">
      <c r="A10022" s="26"/>
      <c r="B10022" s="2"/>
      <c r="C10022" s="26"/>
      <c r="D10022" s="26"/>
      <c r="H10022" s="26"/>
    </row>
    <row r="10023" spans="1:8" ht="15.75" customHeight="1">
      <c r="A10023" s="26"/>
      <c r="B10023" s="2"/>
      <c r="C10023" s="26"/>
      <c r="D10023" s="26"/>
      <c r="H10023" s="26"/>
    </row>
    <row r="10024" spans="1:8" ht="15.75" customHeight="1">
      <c r="A10024" s="26"/>
      <c r="B10024" s="2"/>
      <c r="C10024" s="26"/>
      <c r="D10024" s="26"/>
      <c r="H10024" s="26"/>
    </row>
    <row r="10025" spans="1:8" ht="15.75" customHeight="1">
      <c r="A10025" s="26"/>
      <c r="B10025" s="2"/>
      <c r="C10025" s="26"/>
      <c r="D10025" s="26"/>
      <c r="H10025" s="26"/>
    </row>
    <row r="10026" spans="1:8" ht="15.75" customHeight="1">
      <c r="A10026" s="26"/>
      <c r="B10026" s="2"/>
      <c r="C10026" s="26"/>
      <c r="D10026" s="26"/>
      <c r="H10026" s="26"/>
    </row>
    <row r="10027" spans="1:8" ht="15.75" customHeight="1">
      <c r="A10027" s="26"/>
      <c r="B10027" s="2"/>
      <c r="C10027" s="26"/>
      <c r="D10027" s="26"/>
      <c r="H10027" s="26"/>
    </row>
    <row r="10028" spans="1:8" ht="15.75" customHeight="1">
      <c r="A10028" s="26"/>
      <c r="B10028" s="2"/>
      <c r="C10028" s="26"/>
      <c r="D10028" s="26"/>
      <c r="H10028" s="26"/>
    </row>
    <row r="10029" spans="1:8" ht="15.75" customHeight="1">
      <c r="A10029" s="26"/>
      <c r="B10029" s="2"/>
      <c r="C10029" s="26"/>
      <c r="D10029" s="26"/>
      <c r="H10029" s="26"/>
    </row>
    <row r="10030" spans="1:8" ht="15.75" customHeight="1">
      <c r="A10030" s="26"/>
      <c r="B10030" s="2"/>
      <c r="C10030" s="26"/>
      <c r="D10030" s="26"/>
      <c r="H10030" s="26"/>
    </row>
    <row r="10031" spans="1:8" ht="15.75" customHeight="1">
      <c r="A10031" s="26"/>
      <c r="B10031" s="2"/>
      <c r="C10031" s="26"/>
      <c r="D10031" s="26"/>
      <c r="H10031" s="26"/>
    </row>
    <row r="10032" spans="1:8" ht="15.75" customHeight="1">
      <c r="A10032" s="26"/>
      <c r="B10032" s="2"/>
      <c r="C10032" s="26"/>
      <c r="D10032" s="26"/>
      <c r="H10032" s="26"/>
    </row>
    <row r="10033" spans="1:8" ht="15.75" customHeight="1">
      <c r="A10033" s="26"/>
      <c r="B10033" s="2"/>
      <c r="C10033" s="26"/>
      <c r="D10033" s="26"/>
      <c r="H10033" s="26"/>
    </row>
    <row r="10034" spans="1:8" ht="15.75" customHeight="1">
      <c r="A10034" s="26"/>
      <c r="B10034" s="2"/>
      <c r="C10034" s="26"/>
      <c r="D10034" s="26"/>
      <c r="H10034" s="26"/>
    </row>
    <row r="10035" spans="1:8" ht="15.75" customHeight="1">
      <c r="A10035" s="26"/>
      <c r="B10035" s="2"/>
      <c r="C10035" s="26"/>
      <c r="D10035" s="26"/>
      <c r="H10035" s="26"/>
    </row>
    <row r="10036" spans="1:8" ht="15.75" customHeight="1">
      <c r="A10036" s="26"/>
      <c r="B10036" s="2"/>
      <c r="C10036" s="26"/>
      <c r="D10036" s="26"/>
      <c r="H10036" s="26"/>
    </row>
    <row r="10037" spans="1:8" ht="15.75" customHeight="1">
      <c r="A10037" s="26"/>
      <c r="B10037" s="2"/>
      <c r="C10037" s="26"/>
      <c r="D10037" s="26"/>
      <c r="H10037" s="26"/>
    </row>
    <row r="10038" spans="1:8" ht="15.75" customHeight="1">
      <c r="A10038" s="26"/>
      <c r="B10038" s="2"/>
      <c r="C10038" s="26"/>
      <c r="D10038" s="26"/>
      <c r="H10038" s="26"/>
    </row>
    <row r="10039" spans="1:8" ht="15.75" customHeight="1">
      <c r="A10039" s="26"/>
      <c r="B10039" s="2"/>
      <c r="C10039" s="26"/>
      <c r="D10039" s="26"/>
      <c r="H10039" s="26"/>
    </row>
    <row r="10040" spans="1:8" ht="15.75" customHeight="1">
      <c r="A10040" s="26"/>
      <c r="B10040" s="2"/>
      <c r="C10040" s="26"/>
      <c r="D10040" s="26"/>
      <c r="H10040" s="26"/>
    </row>
    <row r="10041" spans="1:8" ht="15.75" customHeight="1">
      <c r="A10041" s="26"/>
      <c r="B10041" s="2"/>
      <c r="C10041" s="26"/>
      <c r="D10041" s="26"/>
      <c r="H10041" s="26"/>
    </row>
    <row r="10042" spans="1:8" ht="15.75" customHeight="1">
      <c r="A10042" s="26"/>
      <c r="B10042" s="2"/>
      <c r="C10042" s="26"/>
      <c r="D10042" s="26"/>
      <c r="H10042" s="26"/>
    </row>
    <row r="10043" spans="1:8" ht="15.75" customHeight="1">
      <c r="A10043" s="26"/>
      <c r="B10043" s="2"/>
      <c r="C10043" s="26"/>
      <c r="D10043" s="26"/>
      <c r="H10043" s="26"/>
    </row>
    <row r="10044" spans="1:8" ht="15.75" customHeight="1">
      <c r="A10044" s="26"/>
      <c r="B10044" s="2"/>
      <c r="C10044" s="26"/>
      <c r="D10044" s="26"/>
      <c r="H10044" s="26"/>
    </row>
    <row r="10045" spans="1:8" ht="15.75" customHeight="1">
      <c r="A10045" s="26"/>
      <c r="B10045" s="2"/>
      <c r="C10045" s="26"/>
      <c r="D10045" s="26"/>
      <c r="H10045" s="26"/>
    </row>
    <row r="10046" spans="1:8" ht="15.75" customHeight="1">
      <c r="A10046" s="26"/>
      <c r="B10046" s="2"/>
      <c r="C10046" s="26"/>
      <c r="D10046" s="26"/>
      <c r="H10046" s="26"/>
    </row>
    <row r="10047" spans="1:8" ht="15.75" customHeight="1">
      <c r="A10047" s="26"/>
      <c r="B10047" s="2"/>
      <c r="C10047" s="26"/>
      <c r="D10047" s="26"/>
      <c r="H10047" s="26"/>
    </row>
    <row r="10048" spans="1:8" ht="15.75" customHeight="1">
      <c r="A10048" s="26"/>
      <c r="B10048" s="2"/>
      <c r="C10048" s="26"/>
      <c r="D10048" s="26"/>
      <c r="H10048" s="26"/>
    </row>
    <row r="10049" spans="1:8" ht="15.75" customHeight="1">
      <c r="A10049" s="26"/>
      <c r="B10049" s="2"/>
      <c r="C10049" s="26"/>
      <c r="D10049" s="26"/>
      <c r="H10049" s="26"/>
    </row>
    <row r="10050" spans="1:8" ht="15.75" customHeight="1">
      <c r="A10050" s="26"/>
      <c r="B10050" s="2"/>
      <c r="C10050" s="26"/>
      <c r="D10050" s="26"/>
      <c r="H10050" s="26"/>
    </row>
    <row r="10051" spans="1:8" ht="15.75" customHeight="1">
      <c r="A10051" s="26"/>
      <c r="B10051" s="2"/>
      <c r="C10051" s="26"/>
      <c r="D10051" s="26"/>
      <c r="H10051" s="26"/>
    </row>
    <row r="10052" spans="1:8" ht="15.75" customHeight="1">
      <c r="A10052" s="26"/>
      <c r="B10052" s="2"/>
      <c r="C10052" s="26"/>
      <c r="D10052" s="26"/>
      <c r="H10052" s="26"/>
    </row>
    <row r="10053" spans="1:8" ht="15.75" customHeight="1">
      <c r="A10053" s="26"/>
      <c r="B10053" s="2"/>
      <c r="C10053" s="26"/>
      <c r="D10053" s="26"/>
      <c r="H10053" s="26"/>
    </row>
    <row r="10054" spans="1:8" ht="15.75" customHeight="1">
      <c r="A10054" s="26"/>
      <c r="B10054" s="2"/>
      <c r="C10054" s="26"/>
      <c r="D10054" s="26"/>
      <c r="H10054" s="26"/>
    </row>
    <row r="10055" spans="1:8" ht="15.75" customHeight="1">
      <c r="A10055" s="26"/>
      <c r="B10055" s="2"/>
      <c r="C10055" s="26"/>
      <c r="D10055" s="26"/>
      <c r="H10055" s="26"/>
    </row>
    <row r="10056" spans="1:8" ht="15.75" customHeight="1">
      <c r="A10056" s="26"/>
      <c r="B10056" s="2"/>
      <c r="C10056" s="26"/>
      <c r="D10056" s="26"/>
      <c r="H10056" s="26"/>
    </row>
    <row r="10057" spans="1:8" ht="15.75" customHeight="1">
      <c r="A10057" s="26"/>
      <c r="B10057" s="2"/>
      <c r="C10057" s="26"/>
      <c r="D10057" s="26"/>
      <c r="H10057" s="26"/>
    </row>
    <row r="10058" spans="1:8" ht="15.75" customHeight="1">
      <c r="A10058" s="26"/>
      <c r="B10058" s="2"/>
      <c r="C10058" s="26"/>
      <c r="D10058" s="26"/>
      <c r="H10058" s="26"/>
    </row>
    <row r="10059" spans="1:8" ht="15.75" customHeight="1">
      <c r="A10059" s="26"/>
      <c r="B10059" s="2"/>
      <c r="C10059" s="26"/>
      <c r="D10059" s="26"/>
      <c r="H10059" s="26"/>
    </row>
    <row r="10060" spans="1:8" ht="15.75" customHeight="1">
      <c r="A10060" s="26"/>
      <c r="B10060" s="2"/>
      <c r="C10060" s="26"/>
      <c r="D10060" s="26"/>
      <c r="H10060" s="26"/>
    </row>
    <row r="10061" spans="1:8" ht="15.75" customHeight="1">
      <c r="A10061" s="26"/>
      <c r="B10061" s="2"/>
      <c r="C10061" s="26"/>
      <c r="D10061" s="26"/>
      <c r="H10061" s="26"/>
    </row>
    <row r="10062" spans="1:8" ht="15.75" customHeight="1">
      <c r="A10062" s="26"/>
      <c r="B10062" s="2"/>
      <c r="C10062" s="26"/>
      <c r="D10062" s="26"/>
      <c r="H10062" s="26"/>
    </row>
    <row r="10063" spans="1:8" ht="15.75" customHeight="1">
      <c r="A10063" s="26"/>
      <c r="B10063" s="2"/>
      <c r="C10063" s="26"/>
      <c r="D10063" s="26"/>
      <c r="H10063" s="26"/>
    </row>
    <row r="10064" spans="1:8" ht="15.75" customHeight="1">
      <c r="A10064" s="26"/>
      <c r="B10064" s="2"/>
      <c r="C10064" s="26"/>
      <c r="D10064" s="26"/>
      <c r="H10064" s="26"/>
    </row>
    <row r="10065" spans="1:8" ht="15.75" customHeight="1">
      <c r="A10065" s="26"/>
      <c r="B10065" s="2"/>
      <c r="C10065" s="26"/>
      <c r="D10065" s="26"/>
      <c r="H10065" s="26"/>
    </row>
    <row r="10066" spans="1:8" ht="15.75" customHeight="1">
      <c r="A10066" s="26"/>
      <c r="B10066" s="2"/>
      <c r="C10066" s="26"/>
      <c r="D10066" s="26"/>
      <c r="H10066" s="26"/>
    </row>
    <row r="10067" spans="1:8" ht="15.75" customHeight="1">
      <c r="A10067" s="26"/>
      <c r="B10067" s="2"/>
      <c r="C10067" s="26"/>
      <c r="D10067" s="26"/>
      <c r="H10067" s="26"/>
    </row>
    <row r="10068" spans="1:8" ht="15.75" customHeight="1">
      <c r="A10068" s="26"/>
      <c r="B10068" s="2"/>
      <c r="C10068" s="26"/>
      <c r="D10068" s="26"/>
      <c r="H10068" s="26"/>
    </row>
    <row r="10069" spans="1:8" ht="15.75" customHeight="1">
      <c r="A10069" s="26"/>
      <c r="B10069" s="2"/>
      <c r="C10069" s="26"/>
      <c r="D10069" s="26"/>
      <c r="H10069" s="26"/>
    </row>
    <row r="10070" spans="1:8" ht="15.75" customHeight="1">
      <c r="A10070" s="26"/>
      <c r="B10070" s="2"/>
      <c r="C10070" s="26"/>
      <c r="D10070" s="26"/>
      <c r="H10070" s="26"/>
    </row>
    <row r="10071" spans="1:8" ht="15.75" customHeight="1">
      <c r="A10071" s="26"/>
      <c r="B10071" s="2"/>
      <c r="C10071" s="26"/>
      <c r="D10071" s="26"/>
      <c r="H10071" s="26"/>
    </row>
    <row r="10072" spans="1:8" ht="15.75" customHeight="1">
      <c r="A10072" s="26"/>
      <c r="B10072" s="2"/>
      <c r="C10072" s="26"/>
      <c r="D10072" s="26"/>
      <c r="H10072" s="26"/>
    </row>
    <row r="10073" spans="1:8" ht="15.75" customHeight="1">
      <c r="A10073" s="26"/>
      <c r="B10073" s="2"/>
      <c r="C10073" s="26"/>
      <c r="D10073" s="26"/>
      <c r="H10073" s="26"/>
    </row>
    <row r="10074" spans="1:8" ht="15.75" customHeight="1">
      <c r="A10074" s="26"/>
      <c r="B10074" s="2"/>
      <c r="C10074" s="26"/>
      <c r="D10074" s="26"/>
      <c r="H10074" s="26"/>
    </row>
    <row r="10075" spans="1:8" ht="15.75" customHeight="1">
      <c r="A10075" s="26"/>
      <c r="B10075" s="2"/>
      <c r="C10075" s="26"/>
      <c r="D10075" s="26"/>
      <c r="H10075" s="26"/>
    </row>
    <row r="10076" spans="1:8" ht="15.75" customHeight="1">
      <c r="A10076" s="26"/>
      <c r="B10076" s="2"/>
      <c r="C10076" s="26"/>
      <c r="D10076" s="26"/>
      <c r="H10076" s="26"/>
    </row>
    <row r="10077" spans="1:8" ht="15.75" customHeight="1">
      <c r="A10077" s="26"/>
      <c r="B10077" s="2"/>
      <c r="C10077" s="26"/>
      <c r="D10077" s="26"/>
      <c r="H10077" s="26"/>
    </row>
    <row r="10078" spans="1:8" ht="15.75" customHeight="1">
      <c r="A10078" s="26"/>
      <c r="B10078" s="2"/>
      <c r="C10078" s="26"/>
      <c r="D10078" s="26"/>
      <c r="H10078" s="26"/>
    </row>
    <row r="10079" spans="1:8" ht="15.75" customHeight="1">
      <c r="A10079" s="26"/>
      <c r="B10079" s="2"/>
      <c r="C10079" s="26"/>
      <c r="D10079" s="26"/>
      <c r="H10079" s="26"/>
    </row>
    <row r="10080" spans="1:8" ht="15.75" customHeight="1">
      <c r="A10080" s="26"/>
      <c r="B10080" s="2"/>
      <c r="C10080" s="26"/>
      <c r="D10080" s="26"/>
      <c r="H10080" s="26"/>
    </row>
    <row r="10081" spans="1:8" ht="15.75" customHeight="1">
      <c r="A10081" s="26"/>
      <c r="B10081" s="2"/>
      <c r="C10081" s="26"/>
      <c r="D10081" s="26"/>
      <c r="H10081" s="26"/>
    </row>
    <row r="10082" spans="1:8" ht="15.75" customHeight="1">
      <c r="A10082" s="26"/>
      <c r="B10082" s="2"/>
      <c r="C10082" s="26"/>
      <c r="D10082" s="26"/>
      <c r="H10082" s="26"/>
    </row>
    <row r="10083" spans="1:8" ht="15.75" customHeight="1">
      <c r="A10083" s="26"/>
      <c r="B10083" s="2"/>
      <c r="C10083" s="26"/>
      <c r="D10083" s="26"/>
      <c r="H10083" s="26"/>
    </row>
    <row r="10084" spans="1:8" ht="15.75" customHeight="1">
      <c r="A10084" s="26"/>
      <c r="B10084" s="2"/>
      <c r="C10084" s="26"/>
      <c r="D10084" s="26"/>
      <c r="H10084" s="26"/>
    </row>
    <row r="10085" spans="1:8" ht="15.75" customHeight="1">
      <c r="A10085" s="26"/>
      <c r="B10085" s="2"/>
      <c r="C10085" s="26"/>
      <c r="D10085" s="26"/>
      <c r="H10085" s="26"/>
    </row>
    <row r="10086" spans="1:8" ht="15.75" customHeight="1">
      <c r="A10086" s="26"/>
      <c r="B10086" s="2"/>
      <c r="C10086" s="26"/>
      <c r="D10086" s="26"/>
      <c r="H10086" s="26"/>
    </row>
    <row r="10087" spans="1:8" ht="15.75" customHeight="1">
      <c r="A10087" s="26"/>
      <c r="B10087" s="2"/>
      <c r="C10087" s="26"/>
      <c r="D10087" s="26"/>
      <c r="H10087" s="26"/>
    </row>
    <row r="10088" spans="1:8" ht="15.75" customHeight="1">
      <c r="A10088" s="26"/>
      <c r="B10088" s="2"/>
      <c r="C10088" s="26"/>
      <c r="D10088" s="26"/>
      <c r="H10088" s="26"/>
    </row>
    <row r="10089" spans="1:8" ht="15.75" customHeight="1">
      <c r="A10089" s="26"/>
      <c r="B10089" s="2"/>
      <c r="C10089" s="26"/>
      <c r="D10089" s="26"/>
      <c r="H10089" s="26"/>
    </row>
    <row r="10090" spans="1:8" ht="15.75" customHeight="1">
      <c r="A10090" s="26"/>
      <c r="B10090" s="2"/>
      <c r="C10090" s="26"/>
      <c r="D10090" s="26"/>
      <c r="H10090" s="26"/>
    </row>
    <row r="10091" spans="1:8" ht="15.75" customHeight="1">
      <c r="A10091" s="26"/>
      <c r="B10091" s="2"/>
      <c r="C10091" s="26"/>
      <c r="D10091" s="26"/>
      <c r="H10091" s="26"/>
    </row>
    <row r="10092" spans="1:8" ht="15.75" customHeight="1">
      <c r="A10092" s="26"/>
      <c r="B10092" s="2"/>
      <c r="C10092" s="26"/>
      <c r="D10092" s="26"/>
      <c r="H10092" s="26"/>
    </row>
    <row r="10093" spans="1:8" ht="15.75" customHeight="1">
      <c r="A10093" s="26"/>
      <c r="B10093" s="2"/>
      <c r="C10093" s="26"/>
      <c r="D10093" s="26"/>
      <c r="H10093" s="26"/>
    </row>
    <row r="10094" spans="1:8" ht="15.75" customHeight="1">
      <c r="A10094" s="26"/>
      <c r="B10094" s="2"/>
      <c r="C10094" s="26"/>
      <c r="D10094" s="26"/>
      <c r="H10094" s="26"/>
    </row>
    <row r="10095" spans="1:8" ht="15.75" customHeight="1">
      <c r="A10095" s="26"/>
      <c r="B10095" s="2"/>
      <c r="C10095" s="26"/>
      <c r="D10095" s="26"/>
      <c r="H10095" s="26"/>
    </row>
    <row r="10096" spans="1:8" ht="15.75" customHeight="1">
      <c r="A10096" s="26"/>
      <c r="B10096" s="2"/>
      <c r="C10096" s="26"/>
      <c r="D10096" s="26"/>
      <c r="H10096" s="26"/>
    </row>
    <row r="10097" spans="1:8" ht="15.75" customHeight="1">
      <c r="A10097" s="26"/>
      <c r="B10097" s="2"/>
      <c r="C10097" s="26"/>
      <c r="D10097" s="26"/>
      <c r="H10097" s="26"/>
    </row>
    <row r="10098" spans="1:8" ht="15.75" customHeight="1">
      <c r="A10098" s="26"/>
      <c r="B10098" s="2"/>
      <c r="C10098" s="26"/>
      <c r="D10098" s="26"/>
      <c r="H10098" s="26"/>
    </row>
    <row r="10099" spans="1:8" ht="15.75" customHeight="1">
      <c r="A10099" s="26"/>
      <c r="B10099" s="2"/>
      <c r="C10099" s="26"/>
      <c r="D10099" s="26"/>
      <c r="H10099" s="26"/>
    </row>
    <row r="10100" spans="1:8" ht="15.75" customHeight="1">
      <c r="A10100" s="26"/>
      <c r="B10100" s="2"/>
      <c r="C10100" s="26"/>
      <c r="D10100" s="26"/>
      <c r="H10100" s="26"/>
    </row>
    <row r="10101" spans="1:8" ht="15.75" customHeight="1">
      <c r="A10101" s="26"/>
      <c r="B10101" s="2"/>
      <c r="C10101" s="26"/>
      <c r="D10101" s="26"/>
      <c r="H10101" s="26"/>
    </row>
    <row r="10102" spans="1:8" ht="15.75" customHeight="1">
      <c r="A10102" s="26"/>
      <c r="B10102" s="2"/>
      <c r="C10102" s="26"/>
      <c r="D10102" s="26"/>
      <c r="H10102" s="26"/>
    </row>
    <row r="10103" spans="1:8" ht="15.75" customHeight="1">
      <c r="A10103" s="26"/>
      <c r="B10103" s="2"/>
      <c r="C10103" s="26"/>
      <c r="D10103" s="26"/>
      <c r="H10103" s="26"/>
    </row>
    <row r="10104" spans="1:8" ht="15.75" customHeight="1">
      <c r="A10104" s="26"/>
      <c r="B10104" s="2"/>
      <c r="C10104" s="26"/>
      <c r="D10104" s="26"/>
      <c r="H10104" s="26"/>
    </row>
    <row r="10105" spans="1:8" ht="15.75" customHeight="1">
      <c r="A10105" s="26"/>
      <c r="B10105" s="2"/>
      <c r="C10105" s="26"/>
      <c r="D10105" s="26"/>
      <c r="H10105" s="26"/>
    </row>
  </sheetData>
  <autoFilter ref="A1:F231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13337"/>
  <sheetViews>
    <sheetView workbookViewId="0"/>
  </sheetViews>
  <sheetFormatPr defaultColWidth="12.5703125" defaultRowHeight="15" customHeight="1"/>
  <cols>
    <col min="1" max="2" width="12.5703125" customWidth="1"/>
    <col min="3" max="3" width="20" customWidth="1"/>
    <col min="4" max="4" width="12.5703125" customWidth="1"/>
    <col min="5" max="5" width="28.42578125" customWidth="1"/>
    <col min="6" max="6" width="12.5703125" customWidth="1"/>
    <col min="7" max="7" width="27.140625" customWidth="1"/>
    <col min="8" max="9" width="17.7109375" customWidth="1"/>
    <col min="10" max="11" width="15.42578125" customWidth="1"/>
    <col min="13" max="13" width="7.28515625" customWidth="1"/>
    <col min="14" max="14" width="15.28515625" customWidth="1"/>
    <col min="15" max="15" width="7.28515625" customWidth="1"/>
    <col min="16" max="16" width="18.140625" customWidth="1"/>
    <col min="17" max="17" width="7.28515625" customWidth="1"/>
    <col min="20" max="20" width="14.42578125" customWidth="1"/>
  </cols>
  <sheetData>
    <row r="1" spans="1:20" ht="15.75" customHeight="1">
      <c r="A1" s="83" t="s">
        <v>41</v>
      </c>
      <c r="B1" s="81" t="s">
        <v>42</v>
      </c>
      <c r="C1" s="83" t="s">
        <v>43</v>
      </c>
      <c r="D1" s="83" t="s">
        <v>44</v>
      </c>
      <c r="E1" s="81" t="s">
        <v>1</v>
      </c>
      <c r="F1" s="81" t="s">
        <v>98</v>
      </c>
      <c r="G1" s="84" t="s">
        <v>101</v>
      </c>
      <c r="H1" s="84" t="s">
        <v>102</v>
      </c>
      <c r="I1" s="84" t="s">
        <v>103</v>
      </c>
      <c r="J1" s="84" t="s">
        <v>104</v>
      </c>
      <c r="L1" s="81" t="s">
        <v>105</v>
      </c>
      <c r="N1" s="81" t="s">
        <v>106</v>
      </c>
      <c r="P1" s="81" t="s">
        <v>107</v>
      </c>
      <c r="R1" s="83" t="s">
        <v>108</v>
      </c>
      <c r="T1" s="81" t="s">
        <v>109</v>
      </c>
    </row>
    <row r="2" spans="1:20" ht="15.75" customHeight="1">
      <c r="A2" s="26">
        <f ca="1">IFERROR(__xludf.DUMMYFUNCTION("UNIQUE(IMPORTRANGE(""https://docs.google.com/spreadsheets/d/1W_-wv1lFysagmdkwU7KWLSmGvjfFHePJLzAbdpJRy6E/edit#gid=72907312"",""From Woocommerce!A2:E""))"),20615)</f>
        <v>20615</v>
      </c>
      <c r="B2" s="86">
        <f ca="1">IFERROR(__xludf.DUMMYFUNCTION("""COMPUTED_VALUE"""),45202.7629398148)</f>
        <v>45202.762939814798</v>
      </c>
      <c r="C2" s="1" t="str">
        <f ca="1">IFERROR(__xludf.DUMMYFUNCTION("""COMPUTED_VALUE"""),"completed")</f>
        <v>completed</v>
      </c>
      <c r="D2" s="26">
        <f ca="1">IFERROR(__xludf.DUMMYFUNCTION("""COMPUTED_VALUE"""),53)</f>
        <v>53</v>
      </c>
      <c r="E2" s="1" t="str">
        <f ca="1">IFERROR(__xludf.DUMMYFUNCTION("""COMPUTED_VALUE"""),"South Point Stars")</f>
        <v>South Point Stars</v>
      </c>
      <c r="F2" s="87" t="str">
        <f t="shared" ref="F2:F13337" ca="1" si="0">IF(B2="","", TEXT(B2,"yyyy"))</f>
        <v>2023</v>
      </c>
      <c r="G2" s="1" t="str">
        <f ca="1">IFERROR(__xludf.DUMMYFUNCTION("FILTER(E2:E13337,E2:E13337&lt;&gt;"""")"),"South Point Stars")</f>
        <v>South Point Stars</v>
      </c>
      <c r="H2" s="26">
        <f t="shared" ref="H2:H13337" ca="1" si="1">IF(G2&lt;&gt;"", D2, "")</f>
        <v>53</v>
      </c>
      <c r="I2" s="26">
        <f t="shared" ref="I2:I13337" ca="1" si="2">IF(G2&lt;&gt;"", 1, "")</f>
        <v>1</v>
      </c>
      <c r="J2" s="86">
        <f t="shared" ref="J2:J13337" ca="1" si="3">INT(B2)</f>
        <v>45202</v>
      </c>
      <c r="L2" s="88">
        <f ca="1">COUNTIF(B2:B13337,"&gt;="&amp;TODAY())</f>
        <v>0</v>
      </c>
      <c r="N2" s="88">
        <f ca="1">IFERROR(__xludf.DUMMYFUNCTION("COUNTA('From Woocommerce'!A17:A13354)-COUNTUNIQUE('From Woocommerce'!A17:A13354)"),0)</f>
        <v>0</v>
      </c>
      <c r="P2" s="88">
        <f>COUNTA('From Woocommerce'!E17:E13354)</f>
        <v>0</v>
      </c>
      <c r="R2" s="88">
        <f ca="1">IFERROR(__xludf.DUMMYFUNCTION("COUNTUNIQUE('From Woocommerce'!A17:A13354)"),84)</f>
        <v>84</v>
      </c>
      <c r="T2" s="88">
        <f ca="1">COUNTA(A2:A13337)</f>
        <v>2748</v>
      </c>
    </row>
    <row r="3" spans="1:20" ht="15.75" customHeight="1">
      <c r="A3" s="26">
        <f ca="1">IFERROR(__xludf.DUMMYFUNCTION("""COMPUTED_VALUE"""),20612)</f>
        <v>20612</v>
      </c>
      <c r="B3" s="86">
        <f ca="1">IFERROR(__xludf.DUMMYFUNCTION("""COMPUTED_VALUE"""),45202.5665046296)</f>
        <v>45202.566504629598</v>
      </c>
      <c r="C3" s="1" t="str">
        <f ca="1">IFERROR(__xludf.DUMMYFUNCTION("""COMPUTED_VALUE"""),"completed")</f>
        <v>completed</v>
      </c>
      <c r="D3" s="26">
        <f ca="1">IFERROR(__xludf.DUMMYFUNCTION("""COMPUTED_VALUE"""),70)</f>
        <v>70</v>
      </c>
      <c r="E3" s="1" t="str">
        <f ca="1">IFERROR(__xludf.DUMMYFUNCTION("""COMPUTED_VALUE"""),"WMFA")</f>
        <v>WMFA</v>
      </c>
      <c r="F3" s="87" t="str">
        <f t="shared" ca="1" si="0"/>
        <v>2023</v>
      </c>
      <c r="G3" s="1" t="str">
        <f ca="1">IFERROR(__xludf.DUMMYFUNCTION("""COMPUTED_VALUE"""),"WMFA")</f>
        <v>WMFA</v>
      </c>
      <c r="H3" s="26">
        <f t="shared" ca="1" si="1"/>
        <v>70</v>
      </c>
      <c r="I3" s="26">
        <f t="shared" ca="1" si="2"/>
        <v>1</v>
      </c>
      <c r="J3" s="86">
        <f t="shared" ca="1" si="3"/>
        <v>45202</v>
      </c>
      <c r="R3" s="26"/>
    </row>
    <row r="4" spans="1:20" ht="15.75" customHeight="1">
      <c r="A4" s="26">
        <f ca="1">IFERROR(__xludf.DUMMYFUNCTION("""COMPUTED_VALUE"""),20611)</f>
        <v>20611</v>
      </c>
      <c r="B4" s="86">
        <f ca="1">IFERROR(__xludf.DUMMYFUNCTION("""COMPUTED_VALUE"""),45202.5599768518)</f>
        <v>45202.5599768518</v>
      </c>
      <c r="C4" s="1" t="str">
        <f ca="1">IFERROR(__xludf.DUMMYFUNCTION("""COMPUTED_VALUE"""),"completed")</f>
        <v>completed</v>
      </c>
      <c r="D4" s="26">
        <f ca="1">IFERROR(__xludf.DUMMYFUNCTION("""COMPUTED_VALUE"""),70)</f>
        <v>70</v>
      </c>
      <c r="E4" s="1" t="str">
        <f ca="1">IFERROR(__xludf.DUMMYFUNCTION("""COMPUTED_VALUE"""),"WMFA")</f>
        <v>WMFA</v>
      </c>
      <c r="F4" s="87" t="str">
        <f t="shared" ca="1" si="0"/>
        <v>2023</v>
      </c>
      <c r="G4" s="1" t="str">
        <f ca="1">IFERROR(__xludf.DUMMYFUNCTION("""COMPUTED_VALUE"""),"WMFA")</f>
        <v>WMFA</v>
      </c>
      <c r="H4" s="26">
        <f t="shared" ca="1" si="1"/>
        <v>70</v>
      </c>
      <c r="I4" s="26">
        <f t="shared" ca="1" si="2"/>
        <v>1</v>
      </c>
      <c r="J4" s="86">
        <f t="shared" ca="1" si="3"/>
        <v>45202</v>
      </c>
      <c r="R4" s="26"/>
    </row>
    <row r="5" spans="1:20" ht="15.75" customHeight="1">
      <c r="A5" s="26">
        <f ca="1">IFERROR(__xludf.DUMMYFUNCTION("""COMPUTED_VALUE"""),20610)</f>
        <v>20610</v>
      </c>
      <c r="B5" s="86">
        <f ca="1">IFERROR(__xludf.DUMMYFUNCTION("""COMPUTED_VALUE"""),45202.0234027777)</f>
        <v>45202.023402777697</v>
      </c>
      <c r="C5" s="1" t="str">
        <f ca="1">IFERROR(__xludf.DUMMYFUNCTION("""COMPUTED_VALUE"""),"completed")</f>
        <v>completed</v>
      </c>
      <c r="D5" s="26">
        <f ca="1">IFERROR(__xludf.DUMMYFUNCTION("""COMPUTED_VALUE"""),45)</f>
        <v>45</v>
      </c>
      <c r="E5" s="1" t="str">
        <f ca="1">IFERROR(__xludf.DUMMYFUNCTION("""COMPUTED_VALUE"""),"WMFA")</f>
        <v>WMFA</v>
      </c>
      <c r="F5" s="87" t="str">
        <f t="shared" ca="1" si="0"/>
        <v>2023</v>
      </c>
      <c r="G5" s="1" t="str">
        <f ca="1">IFERROR(__xludf.DUMMYFUNCTION("""COMPUTED_VALUE"""),"WMFA")</f>
        <v>WMFA</v>
      </c>
      <c r="H5" s="26">
        <f t="shared" ca="1" si="1"/>
        <v>45</v>
      </c>
      <c r="I5" s="26">
        <f t="shared" ca="1" si="2"/>
        <v>1</v>
      </c>
      <c r="J5" s="86">
        <f t="shared" ca="1" si="3"/>
        <v>45202</v>
      </c>
      <c r="R5" s="26"/>
    </row>
    <row r="6" spans="1:20" ht="15.75" customHeight="1">
      <c r="A6" s="26">
        <f ca="1">IFERROR(__xludf.DUMMYFUNCTION("""COMPUTED_VALUE"""),20609)</f>
        <v>20609</v>
      </c>
      <c r="B6" s="86">
        <f ca="1">IFERROR(__xludf.DUMMYFUNCTION("""COMPUTED_VALUE"""),45201.9546064814)</f>
        <v>45201.954606481399</v>
      </c>
      <c r="C6" s="1" t="str">
        <f ca="1">IFERROR(__xludf.DUMMYFUNCTION("""COMPUTED_VALUE"""),"completed")</f>
        <v>completed</v>
      </c>
      <c r="D6" s="26">
        <f ca="1">IFERROR(__xludf.DUMMYFUNCTION("""COMPUTED_VALUE"""),15)</f>
        <v>15</v>
      </c>
      <c r="E6" s="1" t="str">
        <f ca="1">IFERROR(__xludf.DUMMYFUNCTION("""COMPUTED_VALUE"""),"Windsor Wildcats Hockey")</f>
        <v>Windsor Wildcats Hockey</v>
      </c>
      <c r="F6" s="87" t="str">
        <f t="shared" ca="1" si="0"/>
        <v>2023</v>
      </c>
      <c r="G6" s="1" t="str">
        <f ca="1">IFERROR(__xludf.DUMMYFUNCTION("""COMPUTED_VALUE"""),"Windsor Wildcats Hockey")</f>
        <v>Windsor Wildcats Hockey</v>
      </c>
      <c r="H6" s="26">
        <f t="shared" ca="1" si="1"/>
        <v>15</v>
      </c>
      <c r="I6" s="26">
        <f t="shared" ca="1" si="2"/>
        <v>1</v>
      </c>
      <c r="J6" s="86">
        <f t="shared" ca="1" si="3"/>
        <v>45201</v>
      </c>
      <c r="R6" s="26"/>
    </row>
    <row r="7" spans="1:20" ht="15.75" customHeight="1">
      <c r="A7" s="26">
        <f ca="1">IFERROR(__xludf.DUMMYFUNCTION("""COMPUTED_VALUE"""),20608)</f>
        <v>20608</v>
      </c>
      <c r="B7" s="86">
        <f ca="1">IFERROR(__xludf.DUMMYFUNCTION("""COMPUTED_VALUE"""),45201.6359953703)</f>
        <v>45201.635995370299</v>
      </c>
      <c r="C7" s="1" t="str">
        <f ca="1">IFERROR(__xludf.DUMMYFUNCTION("""COMPUTED_VALUE"""),"completed")</f>
        <v>completed</v>
      </c>
      <c r="D7" s="26">
        <f ca="1">IFERROR(__xludf.DUMMYFUNCTION("""COMPUTED_VALUE"""),52)</f>
        <v>52</v>
      </c>
      <c r="E7" s="1" t="str">
        <f ca="1">IFERROR(__xludf.DUMMYFUNCTION("""COMPUTED_VALUE"""),"Windsor Wildcats Hockey")</f>
        <v>Windsor Wildcats Hockey</v>
      </c>
      <c r="F7" s="87" t="str">
        <f t="shared" ca="1" si="0"/>
        <v>2023</v>
      </c>
      <c r="G7" s="1" t="str">
        <f ca="1">IFERROR(__xludf.DUMMYFUNCTION("""COMPUTED_VALUE"""),"Windsor Wildcats Hockey")</f>
        <v>Windsor Wildcats Hockey</v>
      </c>
      <c r="H7" s="26">
        <f t="shared" ca="1" si="1"/>
        <v>52</v>
      </c>
      <c r="I7" s="26">
        <f t="shared" ca="1" si="2"/>
        <v>1</v>
      </c>
      <c r="J7" s="86">
        <f t="shared" ca="1" si="3"/>
        <v>45201</v>
      </c>
      <c r="R7" s="26"/>
    </row>
    <row r="8" spans="1:20" ht="15.75" customHeight="1">
      <c r="A8" s="26">
        <f ca="1">IFERROR(__xludf.DUMMYFUNCTION("""COMPUTED_VALUE"""),20607)</f>
        <v>20607</v>
      </c>
      <c r="B8" s="86">
        <f ca="1">IFERROR(__xludf.DUMMYFUNCTION("""COMPUTED_VALUE"""),45201.0916782407)</f>
        <v>45201.0916782407</v>
      </c>
      <c r="C8" s="1" t="str">
        <f ca="1">IFERROR(__xludf.DUMMYFUNCTION("""COMPUTED_VALUE"""),"completed")</f>
        <v>completed</v>
      </c>
      <c r="D8" s="26">
        <f ca="1">IFERROR(__xludf.DUMMYFUNCTION("""COMPUTED_VALUE"""),109)</f>
        <v>109</v>
      </c>
      <c r="E8" s="1" t="str">
        <f ca="1">IFERROR(__xludf.DUMMYFUNCTION("""COMPUTED_VALUE"""),"WMFA")</f>
        <v>WMFA</v>
      </c>
      <c r="F8" s="87" t="str">
        <f t="shared" ca="1" si="0"/>
        <v>2023</v>
      </c>
      <c r="G8" s="1" t="str">
        <f ca="1">IFERROR(__xludf.DUMMYFUNCTION("""COMPUTED_VALUE"""),"WMFA")</f>
        <v>WMFA</v>
      </c>
      <c r="H8" s="26">
        <f t="shared" ca="1" si="1"/>
        <v>109</v>
      </c>
      <c r="I8" s="26">
        <f t="shared" ca="1" si="2"/>
        <v>1</v>
      </c>
      <c r="J8" s="86">
        <f t="shared" ca="1" si="3"/>
        <v>45201</v>
      </c>
      <c r="L8" s="89"/>
      <c r="R8" s="26"/>
    </row>
    <row r="9" spans="1:20" ht="15.75" customHeight="1">
      <c r="A9" s="26">
        <f ca="1">IFERROR(__xludf.DUMMYFUNCTION("""COMPUTED_VALUE"""),20606)</f>
        <v>20606</v>
      </c>
      <c r="B9" s="86">
        <f ca="1">IFERROR(__xludf.DUMMYFUNCTION("""COMPUTED_VALUE"""),45201.0497800925)</f>
        <v>45201.0497800925</v>
      </c>
      <c r="C9" s="1" t="str">
        <f ca="1">IFERROR(__xludf.DUMMYFUNCTION("""COMPUTED_VALUE"""),"completed")</f>
        <v>completed</v>
      </c>
      <c r="D9" s="26">
        <f ca="1">IFERROR(__xludf.DUMMYFUNCTION("""COMPUTED_VALUE"""),83)</f>
        <v>83</v>
      </c>
      <c r="E9" s="1" t="str">
        <f ca="1">IFERROR(__xludf.DUMMYFUNCTION("""COMPUTED_VALUE"""),"WMFA")</f>
        <v>WMFA</v>
      </c>
      <c r="F9" s="87" t="str">
        <f t="shared" ca="1" si="0"/>
        <v>2023</v>
      </c>
      <c r="G9" s="1" t="str">
        <f ca="1">IFERROR(__xludf.DUMMYFUNCTION("""COMPUTED_VALUE"""),"WMFA")</f>
        <v>WMFA</v>
      </c>
      <c r="H9" s="26">
        <f t="shared" ca="1" si="1"/>
        <v>83</v>
      </c>
      <c r="I9" s="26">
        <f t="shared" ca="1" si="2"/>
        <v>1</v>
      </c>
      <c r="J9" s="86">
        <f t="shared" ca="1" si="3"/>
        <v>45201</v>
      </c>
      <c r="R9" s="26"/>
    </row>
    <row r="10" spans="1:20" ht="15.75" customHeight="1">
      <c r="A10" s="26">
        <f ca="1">IFERROR(__xludf.DUMMYFUNCTION("""COMPUTED_VALUE"""),20605)</f>
        <v>20605</v>
      </c>
      <c r="B10" s="86">
        <f ca="1">IFERROR(__xludf.DUMMYFUNCTION("""COMPUTED_VALUE"""),45201.0411689814)</f>
        <v>45201.041168981399</v>
      </c>
      <c r="C10" s="1" t="str">
        <f ca="1">IFERROR(__xludf.DUMMYFUNCTION("""COMPUTED_VALUE"""),"completed")</f>
        <v>completed</v>
      </c>
      <c r="D10" s="26">
        <f ca="1">IFERROR(__xludf.DUMMYFUNCTION("""COMPUTED_VALUE"""),37)</f>
        <v>37</v>
      </c>
      <c r="E10" s="1" t="str">
        <f ca="1">IFERROR(__xludf.DUMMYFUNCTION("""COMPUTED_VALUE"""),"WMFA")</f>
        <v>WMFA</v>
      </c>
      <c r="F10" s="87" t="str">
        <f t="shared" ca="1" si="0"/>
        <v>2023</v>
      </c>
      <c r="G10" s="1" t="str">
        <f ca="1">IFERROR(__xludf.DUMMYFUNCTION("""COMPUTED_VALUE"""),"WMFA")</f>
        <v>WMFA</v>
      </c>
      <c r="H10" s="26">
        <f t="shared" ca="1" si="1"/>
        <v>37</v>
      </c>
      <c r="I10" s="26">
        <f t="shared" ca="1" si="2"/>
        <v>1</v>
      </c>
      <c r="J10" s="86">
        <f t="shared" ca="1" si="3"/>
        <v>45201</v>
      </c>
      <c r="R10" s="26"/>
    </row>
    <row r="11" spans="1:20" ht="15.75" customHeight="1">
      <c r="A11" s="26">
        <f ca="1">IFERROR(__xludf.DUMMYFUNCTION("""COMPUTED_VALUE"""),20604)</f>
        <v>20604</v>
      </c>
      <c r="B11" s="86">
        <f ca="1">IFERROR(__xludf.DUMMYFUNCTION("""COMPUTED_VALUE"""),45200.9344560184)</f>
        <v>45200.934456018498</v>
      </c>
      <c r="C11" s="1" t="str">
        <f ca="1">IFERROR(__xludf.DUMMYFUNCTION("""COMPUTED_VALUE"""),"completed")</f>
        <v>completed</v>
      </c>
      <c r="D11" s="26">
        <f ca="1">IFERROR(__xludf.DUMMYFUNCTION("""COMPUTED_VALUE"""),15)</f>
        <v>15</v>
      </c>
      <c r="E11" s="1" t="str">
        <f ca="1">IFERROR(__xludf.DUMMYFUNCTION("""COMPUTED_VALUE"""),"Lasalle Stompers")</f>
        <v>Lasalle Stompers</v>
      </c>
      <c r="F11" s="87" t="str">
        <f t="shared" ca="1" si="0"/>
        <v>2023</v>
      </c>
      <c r="G11" s="1" t="str">
        <f ca="1">IFERROR(__xludf.DUMMYFUNCTION("""COMPUTED_VALUE"""),"Lasalle Stompers")</f>
        <v>Lasalle Stompers</v>
      </c>
      <c r="H11" s="26">
        <f t="shared" ca="1" si="1"/>
        <v>15</v>
      </c>
      <c r="I11" s="26">
        <f t="shared" ca="1" si="2"/>
        <v>1</v>
      </c>
      <c r="J11" s="86">
        <f t="shared" ca="1" si="3"/>
        <v>45200</v>
      </c>
      <c r="R11" s="26"/>
    </row>
    <row r="12" spans="1:20" ht="15.75" customHeight="1">
      <c r="A12" s="26">
        <f ca="1">IFERROR(__xludf.DUMMYFUNCTION("""COMPUTED_VALUE"""),20603)</f>
        <v>20603</v>
      </c>
      <c r="B12" s="86">
        <f ca="1">IFERROR(__xludf.DUMMYFUNCTION("""COMPUTED_VALUE"""),45200.6007291666)</f>
        <v>45200.600729166603</v>
      </c>
      <c r="C12" s="1" t="str">
        <f ca="1">IFERROR(__xludf.DUMMYFUNCTION("""COMPUTED_VALUE"""),"completed")</f>
        <v>completed</v>
      </c>
      <c r="D12" s="26">
        <f ca="1">IFERROR(__xludf.DUMMYFUNCTION("""COMPUTED_VALUE"""),53)</f>
        <v>53</v>
      </c>
      <c r="E12" s="1" t="str">
        <f ca="1">IFERROR(__xludf.DUMMYFUNCTION("""COMPUTED_VALUE"""),"WMFA")</f>
        <v>WMFA</v>
      </c>
      <c r="F12" s="87" t="str">
        <f t="shared" ca="1" si="0"/>
        <v>2023</v>
      </c>
      <c r="G12" s="1" t="str">
        <f ca="1">IFERROR(__xludf.DUMMYFUNCTION("""COMPUTED_VALUE"""),"WMFA")</f>
        <v>WMFA</v>
      </c>
      <c r="H12" s="26">
        <f t="shared" ca="1" si="1"/>
        <v>53</v>
      </c>
      <c r="I12" s="26">
        <f t="shared" ca="1" si="2"/>
        <v>1</v>
      </c>
      <c r="J12" s="86">
        <f t="shared" ca="1" si="3"/>
        <v>45200</v>
      </c>
      <c r="R12" s="26"/>
    </row>
    <row r="13" spans="1:20" ht="15.75" customHeight="1">
      <c r="A13" s="26">
        <f ca="1">IFERROR(__xludf.DUMMYFUNCTION("""COMPUTED_VALUE"""),20602)</f>
        <v>20602</v>
      </c>
      <c r="B13" s="86">
        <f ca="1">IFERROR(__xludf.DUMMYFUNCTION("""COMPUTED_VALUE"""),45200.5581018518)</f>
        <v>45200.558101851799</v>
      </c>
      <c r="C13" s="1" t="str">
        <f ca="1">IFERROR(__xludf.DUMMYFUNCTION("""COMPUTED_VALUE"""),"completed")</f>
        <v>completed</v>
      </c>
      <c r="D13" s="26">
        <f ca="1">IFERROR(__xludf.DUMMYFUNCTION("""COMPUTED_VALUE"""),595)</f>
        <v>595</v>
      </c>
      <c r="E13" s="1" t="str">
        <f ca="1">IFERROR(__xludf.DUMMYFUNCTION("""COMPUTED_VALUE"""),"Windsor AAA Zone Hockey")</f>
        <v>Windsor AAA Zone Hockey</v>
      </c>
      <c r="F13" s="87" t="str">
        <f t="shared" ca="1" si="0"/>
        <v>2023</v>
      </c>
      <c r="G13" s="1" t="str">
        <f ca="1">IFERROR(__xludf.DUMMYFUNCTION("""COMPUTED_VALUE"""),"Windsor AAA Zone Hockey")</f>
        <v>Windsor AAA Zone Hockey</v>
      </c>
      <c r="H13" s="26">
        <f t="shared" ca="1" si="1"/>
        <v>595</v>
      </c>
      <c r="I13" s="26">
        <f t="shared" ca="1" si="2"/>
        <v>1</v>
      </c>
      <c r="J13" s="86">
        <f t="shared" ca="1" si="3"/>
        <v>45200</v>
      </c>
      <c r="R13" s="26"/>
    </row>
    <row r="14" spans="1:20" ht="15.75" customHeight="1">
      <c r="A14" s="26">
        <f ca="1">IFERROR(__xludf.DUMMYFUNCTION("""COMPUTED_VALUE"""),20597)</f>
        <v>20597</v>
      </c>
      <c r="B14" s="86">
        <f ca="1">IFERROR(__xludf.DUMMYFUNCTION("""COMPUTED_VALUE"""),45200.5268981481)</f>
        <v>45200.526898148099</v>
      </c>
      <c r="C14" s="1" t="str">
        <f ca="1">IFERROR(__xludf.DUMMYFUNCTION("""COMPUTED_VALUE"""),"completed")</f>
        <v>completed</v>
      </c>
      <c r="D14" s="26">
        <f ca="1">IFERROR(__xludf.DUMMYFUNCTION("""COMPUTED_VALUE"""),64)</f>
        <v>64</v>
      </c>
      <c r="E14" s="1" t="str">
        <f ca="1">IFERROR(__xludf.DUMMYFUNCTION("""COMPUTED_VALUE"""),"WMFA")</f>
        <v>WMFA</v>
      </c>
      <c r="F14" s="87" t="str">
        <f t="shared" ca="1" si="0"/>
        <v>2023</v>
      </c>
      <c r="G14" s="1" t="str">
        <f ca="1">IFERROR(__xludf.DUMMYFUNCTION("""COMPUTED_VALUE"""),"WMFA")</f>
        <v>WMFA</v>
      </c>
      <c r="H14" s="26">
        <f t="shared" ca="1" si="1"/>
        <v>64</v>
      </c>
      <c r="I14" s="26">
        <f t="shared" ca="1" si="2"/>
        <v>1</v>
      </c>
      <c r="J14" s="86">
        <f t="shared" ca="1" si="3"/>
        <v>45200</v>
      </c>
      <c r="R14" s="26"/>
    </row>
    <row r="15" spans="1:20" ht="15.75" customHeight="1">
      <c r="A15" s="26">
        <f ca="1">IFERROR(__xludf.DUMMYFUNCTION("""COMPUTED_VALUE"""),20596)</f>
        <v>20596</v>
      </c>
      <c r="B15" s="86">
        <f ca="1">IFERROR(__xludf.DUMMYFUNCTION("""COMPUTED_VALUE"""),45199.8249074073)</f>
        <v>45199.824907407397</v>
      </c>
      <c r="C15" s="1" t="str">
        <f ca="1">IFERROR(__xludf.DUMMYFUNCTION("""COMPUTED_VALUE"""),"completed")</f>
        <v>completed</v>
      </c>
      <c r="D15" s="26">
        <f ca="1">IFERROR(__xludf.DUMMYFUNCTION("""COMPUTED_VALUE"""),35)</f>
        <v>35</v>
      </c>
      <c r="E15" s="1" t="str">
        <f ca="1">IFERROR(__xludf.DUMMYFUNCTION("""COMPUTED_VALUE"""),"WMFA")</f>
        <v>WMFA</v>
      </c>
      <c r="F15" s="87" t="str">
        <f t="shared" ca="1" si="0"/>
        <v>2023</v>
      </c>
      <c r="G15" s="1" t="str">
        <f ca="1">IFERROR(__xludf.DUMMYFUNCTION("""COMPUTED_VALUE"""),"WMFA")</f>
        <v>WMFA</v>
      </c>
      <c r="H15" s="26">
        <f t="shared" ca="1" si="1"/>
        <v>35</v>
      </c>
      <c r="I15" s="26">
        <f t="shared" ca="1" si="2"/>
        <v>1</v>
      </c>
      <c r="J15" s="86">
        <f t="shared" ca="1" si="3"/>
        <v>45199</v>
      </c>
      <c r="R15" s="26"/>
    </row>
    <row r="16" spans="1:20" ht="15.75" customHeight="1">
      <c r="A16" s="26">
        <f ca="1">IFERROR(__xludf.DUMMYFUNCTION("""COMPUTED_VALUE"""),20595)</f>
        <v>20595</v>
      </c>
      <c r="B16" s="86">
        <f ca="1">IFERROR(__xludf.DUMMYFUNCTION("""COMPUTED_VALUE"""),45199.7764467592)</f>
        <v>45199.776446759199</v>
      </c>
      <c r="C16" s="1" t="str">
        <f ca="1">IFERROR(__xludf.DUMMYFUNCTION("""COMPUTED_VALUE"""),"completed")</f>
        <v>completed</v>
      </c>
      <c r="D16" s="26">
        <f ca="1">IFERROR(__xludf.DUMMYFUNCTION("""COMPUTED_VALUE"""),25)</f>
        <v>25</v>
      </c>
      <c r="E16" s="1" t="str">
        <f ca="1">IFERROR(__xludf.DUMMYFUNCTION("""COMPUTED_VALUE"""),"WMFA")</f>
        <v>WMFA</v>
      </c>
      <c r="F16" s="87" t="str">
        <f t="shared" ca="1" si="0"/>
        <v>2023</v>
      </c>
      <c r="G16" s="1" t="str">
        <f ca="1">IFERROR(__xludf.DUMMYFUNCTION("""COMPUTED_VALUE"""),"WMFA")</f>
        <v>WMFA</v>
      </c>
      <c r="H16" s="26">
        <f t="shared" ca="1" si="1"/>
        <v>25</v>
      </c>
      <c r="I16" s="26">
        <f t="shared" ca="1" si="2"/>
        <v>1</v>
      </c>
      <c r="J16" s="86">
        <f t="shared" ca="1" si="3"/>
        <v>45199</v>
      </c>
      <c r="R16" s="26"/>
    </row>
    <row r="17" spans="1:18" ht="15.75" customHeight="1">
      <c r="A17" s="26">
        <f ca="1">IFERROR(__xludf.DUMMYFUNCTION("""COMPUTED_VALUE"""),20594)</f>
        <v>20594</v>
      </c>
      <c r="B17" s="86">
        <f ca="1">IFERROR(__xludf.DUMMYFUNCTION("""COMPUTED_VALUE"""),45199.6950810185)</f>
        <v>45199.695081018501</v>
      </c>
      <c r="C17" s="1" t="str">
        <f ca="1">IFERROR(__xludf.DUMMYFUNCTION("""COMPUTED_VALUE"""),"completed")</f>
        <v>completed</v>
      </c>
      <c r="D17" s="26">
        <f ca="1">IFERROR(__xludf.DUMMYFUNCTION("""COMPUTED_VALUE"""),24)</f>
        <v>24</v>
      </c>
      <c r="E17" s="1" t="str">
        <f ca="1">IFERROR(__xludf.DUMMYFUNCTION("""COMPUTED_VALUE"""),"WMFA")</f>
        <v>WMFA</v>
      </c>
      <c r="F17" s="87" t="str">
        <f t="shared" ca="1" si="0"/>
        <v>2023</v>
      </c>
      <c r="G17" s="1" t="str">
        <f ca="1">IFERROR(__xludf.DUMMYFUNCTION("""COMPUTED_VALUE"""),"WMFA")</f>
        <v>WMFA</v>
      </c>
      <c r="H17" s="26">
        <f t="shared" ca="1" si="1"/>
        <v>24</v>
      </c>
      <c r="I17" s="26">
        <f t="shared" ca="1" si="2"/>
        <v>1</v>
      </c>
      <c r="J17" s="86">
        <f t="shared" ca="1" si="3"/>
        <v>45199</v>
      </c>
      <c r="R17" s="26"/>
    </row>
    <row r="18" spans="1:18" ht="15.75" customHeight="1">
      <c r="A18" s="26">
        <f ca="1">IFERROR(__xludf.DUMMYFUNCTION("""COMPUTED_VALUE"""),20590)</f>
        <v>20590</v>
      </c>
      <c r="B18" s="86">
        <f ca="1">IFERROR(__xludf.DUMMYFUNCTION("""COMPUTED_VALUE"""),45199.5224074074)</f>
        <v>45199.522407407399</v>
      </c>
      <c r="C18" s="1" t="str">
        <f ca="1">IFERROR(__xludf.DUMMYFUNCTION("""COMPUTED_VALUE"""),"completed")</f>
        <v>completed</v>
      </c>
      <c r="D18" s="26">
        <f ca="1">IFERROR(__xludf.DUMMYFUNCTION("""COMPUTED_VALUE"""),25)</f>
        <v>25</v>
      </c>
      <c r="E18" s="1" t="str">
        <f ca="1">IFERROR(__xludf.DUMMYFUNCTION("""COMPUTED_VALUE"""),"WMFA")</f>
        <v>WMFA</v>
      </c>
      <c r="F18" s="87" t="str">
        <f t="shared" ca="1" si="0"/>
        <v>2023</v>
      </c>
      <c r="G18" s="1" t="str">
        <f ca="1">IFERROR(__xludf.DUMMYFUNCTION("""COMPUTED_VALUE"""),"WMFA")</f>
        <v>WMFA</v>
      </c>
      <c r="H18" s="26">
        <f t="shared" ca="1" si="1"/>
        <v>25</v>
      </c>
      <c r="I18" s="26">
        <f t="shared" ca="1" si="2"/>
        <v>1</v>
      </c>
      <c r="J18" s="86">
        <f t="shared" ca="1" si="3"/>
        <v>45199</v>
      </c>
      <c r="R18" s="26"/>
    </row>
    <row r="19" spans="1:18" ht="15.75" customHeight="1">
      <c r="A19" s="26">
        <f ca="1">IFERROR(__xludf.DUMMYFUNCTION("""COMPUTED_VALUE"""),20589)</f>
        <v>20589</v>
      </c>
      <c r="B19" s="86">
        <f ca="1">IFERROR(__xludf.DUMMYFUNCTION("""COMPUTED_VALUE"""),45199.0680439814)</f>
        <v>45199.068043981402</v>
      </c>
      <c r="C19" s="1" t="str">
        <f ca="1">IFERROR(__xludf.DUMMYFUNCTION("""COMPUTED_VALUE"""),"completed")</f>
        <v>completed</v>
      </c>
      <c r="D19" s="26">
        <f ca="1">IFERROR(__xludf.DUMMYFUNCTION("""COMPUTED_VALUE"""),40)</f>
        <v>40</v>
      </c>
      <c r="E19" s="1" t="str">
        <f ca="1">IFERROR(__xludf.DUMMYFUNCTION("""COMPUTED_VALUE"""),"WMFA")</f>
        <v>WMFA</v>
      </c>
      <c r="F19" s="87" t="str">
        <f t="shared" ca="1" si="0"/>
        <v>2023</v>
      </c>
      <c r="G19" s="1" t="str">
        <f ca="1">IFERROR(__xludf.DUMMYFUNCTION("""COMPUTED_VALUE"""),"WMFA")</f>
        <v>WMFA</v>
      </c>
      <c r="H19" s="26">
        <f t="shared" ca="1" si="1"/>
        <v>40</v>
      </c>
      <c r="I19" s="26">
        <f t="shared" ca="1" si="2"/>
        <v>1</v>
      </c>
      <c r="J19" s="86">
        <f t="shared" ca="1" si="3"/>
        <v>45199</v>
      </c>
      <c r="R19" s="26"/>
    </row>
    <row r="20" spans="1:18" ht="15.75" customHeight="1">
      <c r="A20" s="26">
        <f ca="1">IFERROR(__xludf.DUMMYFUNCTION("""COMPUTED_VALUE"""),20588)</f>
        <v>20588</v>
      </c>
      <c r="B20" s="86">
        <f ca="1">IFERROR(__xludf.DUMMYFUNCTION("""COMPUTED_VALUE"""),45198.6534837963)</f>
        <v>45198.653483796297</v>
      </c>
      <c r="C20" s="1" t="str">
        <f ca="1">IFERROR(__xludf.DUMMYFUNCTION("""COMPUTED_VALUE"""),"completed")</f>
        <v>completed</v>
      </c>
      <c r="D20" s="26">
        <f ca="1">IFERROR(__xludf.DUMMYFUNCTION("""COMPUTED_VALUE"""),0)</f>
        <v>0</v>
      </c>
      <c r="E20" s="1" t="str">
        <f ca="1">IFERROR(__xludf.DUMMYFUNCTION("""COMPUTED_VALUE"""),"WMFA")</f>
        <v>WMFA</v>
      </c>
      <c r="F20" s="87" t="str">
        <f t="shared" ca="1" si="0"/>
        <v>2023</v>
      </c>
      <c r="G20" s="1" t="str">
        <f ca="1">IFERROR(__xludf.DUMMYFUNCTION("""COMPUTED_VALUE"""),"WMFA")</f>
        <v>WMFA</v>
      </c>
      <c r="H20" s="26">
        <f t="shared" ca="1" si="1"/>
        <v>0</v>
      </c>
      <c r="I20" s="26">
        <f t="shared" ca="1" si="2"/>
        <v>1</v>
      </c>
      <c r="J20" s="86">
        <f t="shared" ca="1" si="3"/>
        <v>45198</v>
      </c>
      <c r="R20" s="26"/>
    </row>
    <row r="21" spans="1:18" ht="15.75" customHeight="1">
      <c r="A21" s="26">
        <f ca="1">IFERROR(__xludf.DUMMYFUNCTION("""COMPUTED_VALUE"""),20587)</f>
        <v>20587</v>
      </c>
      <c r="B21" s="86">
        <f ca="1">IFERROR(__xludf.DUMMYFUNCTION("""COMPUTED_VALUE"""),45198.6308449074)</f>
        <v>45198.630844907399</v>
      </c>
      <c r="C21" s="1" t="str">
        <f ca="1">IFERROR(__xludf.DUMMYFUNCTION("""COMPUTED_VALUE"""),"completed")</f>
        <v>completed</v>
      </c>
      <c r="D21" s="26">
        <f ca="1">IFERROR(__xludf.DUMMYFUNCTION("""COMPUTED_VALUE"""),33)</f>
        <v>33</v>
      </c>
      <c r="E21" s="1" t="str">
        <f ca="1">IFERROR(__xludf.DUMMYFUNCTION("""COMPUTED_VALUE"""),"WMFA")</f>
        <v>WMFA</v>
      </c>
      <c r="F21" s="87" t="str">
        <f t="shared" ca="1" si="0"/>
        <v>2023</v>
      </c>
      <c r="G21" s="1" t="str">
        <f ca="1">IFERROR(__xludf.DUMMYFUNCTION("""COMPUTED_VALUE"""),"WMFA")</f>
        <v>WMFA</v>
      </c>
      <c r="H21" s="26">
        <f t="shared" ca="1" si="1"/>
        <v>33</v>
      </c>
      <c r="I21" s="26">
        <f t="shared" ca="1" si="2"/>
        <v>1</v>
      </c>
      <c r="J21" s="86">
        <f t="shared" ca="1" si="3"/>
        <v>45198</v>
      </c>
      <c r="R21" s="26"/>
    </row>
    <row r="22" spans="1:18" ht="15.75" customHeight="1">
      <c r="A22" s="26">
        <f ca="1">IFERROR(__xludf.DUMMYFUNCTION("""COMPUTED_VALUE"""),20586)</f>
        <v>20586</v>
      </c>
      <c r="B22" s="86">
        <f ca="1">IFERROR(__xludf.DUMMYFUNCTION("""COMPUTED_VALUE"""),45197.4964930555)</f>
        <v>45197.4964930555</v>
      </c>
      <c r="C22" s="1" t="str">
        <f ca="1">IFERROR(__xludf.DUMMYFUNCTION("""COMPUTED_VALUE"""),"completed")</f>
        <v>completed</v>
      </c>
      <c r="D22" s="26">
        <f ca="1">IFERROR(__xludf.DUMMYFUNCTION("""COMPUTED_VALUE"""),55)</f>
        <v>55</v>
      </c>
      <c r="E22" s="1" t="str">
        <f ca="1">IFERROR(__xludf.DUMMYFUNCTION("""COMPUTED_VALUE"""),"WMFA")</f>
        <v>WMFA</v>
      </c>
      <c r="F22" s="87" t="str">
        <f t="shared" ca="1" si="0"/>
        <v>2023</v>
      </c>
      <c r="G22" s="1" t="str">
        <f ca="1">IFERROR(__xludf.DUMMYFUNCTION("""COMPUTED_VALUE"""),"WMFA")</f>
        <v>WMFA</v>
      </c>
      <c r="H22" s="26">
        <f t="shared" ca="1" si="1"/>
        <v>55</v>
      </c>
      <c r="I22" s="26">
        <f t="shared" ca="1" si="2"/>
        <v>1</v>
      </c>
      <c r="J22" s="86">
        <f t="shared" ca="1" si="3"/>
        <v>45197</v>
      </c>
      <c r="R22" s="26"/>
    </row>
    <row r="23" spans="1:18" ht="15.75" customHeight="1">
      <c r="A23" s="26">
        <f ca="1">IFERROR(__xludf.DUMMYFUNCTION("""COMPUTED_VALUE"""),20585)</f>
        <v>20585</v>
      </c>
      <c r="B23" s="86">
        <f ca="1">IFERROR(__xludf.DUMMYFUNCTION("""COMPUTED_VALUE"""),45196.8753125)</f>
        <v>45196.8753125</v>
      </c>
      <c r="C23" s="1" t="str">
        <f ca="1">IFERROR(__xludf.DUMMYFUNCTION("""COMPUTED_VALUE"""),"completed")</f>
        <v>completed</v>
      </c>
      <c r="D23" s="26">
        <f ca="1">IFERROR(__xludf.DUMMYFUNCTION("""COMPUTED_VALUE"""),43)</f>
        <v>43</v>
      </c>
      <c r="E23" s="1" t="str">
        <f ca="1">IFERROR(__xludf.DUMMYFUNCTION("""COMPUTED_VALUE"""),"WMFA")</f>
        <v>WMFA</v>
      </c>
      <c r="F23" s="87" t="str">
        <f t="shared" ca="1" si="0"/>
        <v>2023</v>
      </c>
      <c r="G23" s="1" t="str">
        <f ca="1">IFERROR(__xludf.DUMMYFUNCTION("""COMPUTED_VALUE"""),"WMFA")</f>
        <v>WMFA</v>
      </c>
      <c r="H23" s="26">
        <f t="shared" ca="1" si="1"/>
        <v>43</v>
      </c>
      <c r="I23" s="26">
        <f t="shared" ca="1" si="2"/>
        <v>1</v>
      </c>
      <c r="J23" s="86">
        <f t="shared" ca="1" si="3"/>
        <v>45196</v>
      </c>
      <c r="R23" s="26"/>
    </row>
    <row r="24" spans="1:18" ht="15.75" customHeight="1">
      <c r="A24" s="26">
        <f ca="1">IFERROR(__xludf.DUMMYFUNCTION("""COMPUTED_VALUE"""),20584)</f>
        <v>20584</v>
      </c>
      <c r="B24" s="86">
        <f ca="1">IFERROR(__xludf.DUMMYFUNCTION("""COMPUTED_VALUE"""),45196.8723379629)</f>
        <v>45196.872337962901</v>
      </c>
      <c r="C24" s="1" t="str">
        <f ca="1">IFERROR(__xludf.DUMMYFUNCTION("""COMPUTED_VALUE"""),"completed")</f>
        <v>completed</v>
      </c>
      <c r="D24" s="26">
        <f ca="1">IFERROR(__xludf.DUMMYFUNCTION("""COMPUTED_VALUE"""),63)</f>
        <v>63</v>
      </c>
      <c r="E24" s="1" t="str">
        <f ca="1">IFERROR(__xludf.DUMMYFUNCTION("""COMPUTED_VALUE"""),"WMFA")</f>
        <v>WMFA</v>
      </c>
      <c r="F24" s="87" t="str">
        <f t="shared" ca="1" si="0"/>
        <v>2023</v>
      </c>
      <c r="G24" s="1" t="str">
        <f ca="1">IFERROR(__xludf.DUMMYFUNCTION("""COMPUTED_VALUE"""),"WMFA")</f>
        <v>WMFA</v>
      </c>
      <c r="H24" s="26">
        <f t="shared" ca="1" si="1"/>
        <v>63</v>
      </c>
      <c r="I24" s="26">
        <f t="shared" ca="1" si="2"/>
        <v>1</v>
      </c>
      <c r="J24" s="86">
        <f t="shared" ca="1" si="3"/>
        <v>45196</v>
      </c>
      <c r="R24" s="26"/>
    </row>
    <row r="25" spans="1:18" ht="15.75" customHeight="1">
      <c r="A25" s="26">
        <f ca="1">IFERROR(__xludf.DUMMYFUNCTION("""COMPUTED_VALUE"""),20583)</f>
        <v>20583</v>
      </c>
      <c r="B25" s="86">
        <f ca="1">IFERROR(__xludf.DUMMYFUNCTION("""COMPUTED_VALUE"""),45195.874699074)</f>
        <v>45195.874699073996</v>
      </c>
      <c r="C25" s="1" t="str">
        <f ca="1">IFERROR(__xludf.DUMMYFUNCTION("""COMPUTED_VALUE"""),"completed")</f>
        <v>completed</v>
      </c>
      <c r="D25" s="26">
        <f ca="1">IFERROR(__xludf.DUMMYFUNCTION("""COMPUTED_VALUE"""),35)</f>
        <v>35</v>
      </c>
      <c r="E25" s="1" t="str">
        <f ca="1">IFERROR(__xludf.DUMMYFUNCTION("""COMPUTED_VALUE"""),"WMFA")</f>
        <v>WMFA</v>
      </c>
      <c r="F25" s="87" t="str">
        <f t="shared" ca="1" si="0"/>
        <v>2023</v>
      </c>
      <c r="G25" s="1" t="str">
        <f ca="1">IFERROR(__xludf.DUMMYFUNCTION("""COMPUTED_VALUE"""),"WMFA")</f>
        <v>WMFA</v>
      </c>
      <c r="H25" s="26">
        <f t="shared" ca="1" si="1"/>
        <v>35</v>
      </c>
      <c r="I25" s="26">
        <f t="shared" ca="1" si="2"/>
        <v>1</v>
      </c>
      <c r="J25" s="86">
        <f t="shared" ca="1" si="3"/>
        <v>45195</v>
      </c>
      <c r="R25" s="26"/>
    </row>
    <row r="26" spans="1:18" ht="15.75" customHeight="1">
      <c r="A26" s="26">
        <f ca="1">IFERROR(__xludf.DUMMYFUNCTION("""COMPUTED_VALUE"""),20582)</f>
        <v>20582</v>
      </c>
      <c r="B26" s="86">
        <f ca="1">IFERROR(__xludf.DUMMYFUNCTION("""COMPUTED_VALUE"""),45195.8109722222)</f>
        <v>45195.8109722222</v>
      </c>
      <c r="C26" s="1" t="str">
        <f ca="1">IFERROR(__xludf.DUMMYFUNCTION("""COMPUTED_VALUE"""),"completed")</f>
        <v>completed</v>
      </c>
      <c r="D26" s="26">
        <f ca="1">IFERROR(__xludf.DUMMYFUNCTION("""COMPUTED_VALUE"""),75)</f>
        <v>75</v>
      </c>
      <c r="E26" s="1" t="str">
        <f ca="1">IFERROR(__xludf.DUMMYFUNCTION("""COMPUTED_VALUE"""),"WMFA")</f>
        <v>WMFA</v>
      </c>
      <c r="F26" s="87" t="str">
        <f t="shared" ca="1" si="0"/>
        <v>2023</v>
      </c>
      <c r="G26" s="1" t="str">
        <f ca="1">IFERROR(__xludf.DUMMYFUNCTION("""COMPUTED_VALUE"""),"WMFA")</f>
        <v>WMFA</v>
      </c>
      <c r="H26" s="26">
        <f t="shared" ca="1" si="1"/>
        <v>75</v>
      </c>
      <c r="I26" s="26">
        <f t="shared" ca="1" si="2"/>
        <v>1</v>
      </c>
      <c r="J26" s="86">
        <f t="shared" ca="1" si="3"/>
        <v>45195</v>
      </c>
      <c r="R26" s="26"/>
    </row>
    <row r="27" spans="1:18" ht="15.75" customHeight="1">
      <c r="A27" s="26">
        <f ca="1">IFERROR(__xludf.DUMMYFUNCTION("""COMPUTED_VALUE"""),20581)</f>
        <v>20581</v>
      </c>
      <c r="B27" s="86">
        <f ca="1">IFERROR(__xludf.DUMMYFUNCTION("""COMPUTED_VALUE"""),45195.5060648148)</f>
        <v>45195.506064814799</v>
      </c>
      <c r="C27" s="1" t="str">
        <f ca="1">IFERROR(__xludf.DUMMYFUNCTION("""COMPUTED_VALUE"""),"completed")</f>
        <v>completed</v>
      </c>
      <c r="D27" s="26">
        <f ca="1">IFERROR(__xludf.DUMMYFUNCTION("""COMPUTED_VALUE"""),28)</f>
        <v>28</v>
      </c>
      <c r="E27" s="1" t="str">
        <f ca="1">IFERROR(__xludf.DUMMYFUNCTION("""COMPUTED_VALUE"""),"WMFA")</f>
        <v>WMFA</v>
      </c>
      <c r="F27" s="87" t="str">
        <f t="shared" ca="1" si="0"/>
        <v>2023</v>
      </c>
      <c r="G27" s="1" t="str">
        <f ca="1">IFERROR(__xludf.DUMMYFUNCTION("""COMPUTED_VALUE"""),"WMFA")</f>
        <v>WMFA</v>
      </c>
      <c r="H27" s="26">
        <f t="shared" ca="1" si="1"/>
        <v>28</v>
      </c>
      <c r="I27" s="26">
        <f t="shared" ca="1" si="2"/>
        <v>1</v>
      </c>
      <c r="J27" s="86">
        <f t="shared" ca="1" si="3"/>
        <v>45195</v>
      </c>
      <c r="R27" s="26"/>
    </row>
    <row r="28" spans="1:18" ht="15.75" customHeight="1">
      <c r="A28" s="26">
        <f ca="1">IFERROR(__xludf.DUMMYFUNCTION("""COMPUTED_VALUE"""),20580)</f>
        <v>20580</v>
      </c>
      <c r="B28" s="86">
        <f ca="1">IFERROR(__xludf.DUMMYFUNCTION("""COMPUTED_VALUE"""),45195.5048263888)</f>
        <v>45195.504826388802</v>
      </c>
      <c r="C28" s="1" t="str">
        <f ca="1">IFERROR(__xludf.DUMMYFUNCTION("""COMPUTED_VALUE"""),"completed")</f>
        <v>completed</v>
      </c>
      <c r="D28" s="26">
        <f ca="1">IFERROR(__xludf.DUMMYFUNCTION("""COMPUTED_VALUE"""),28)</f>
        <v>28</v>
      </c>
      <c r="E28" s="1" t="str">
        <f ca="1">IFERROR(__xludf.DUMMYFUNCTION("""COMPUTED_VALUE"""),"WMFA")</f>
        <v>WMFA</v>
      </c>
      <c r="F28" s="87" t="str">
        <f t="shared" ca="1" si="0"/>
        <v>2023</v>
      </c>
      <c r="G28" s="1" t="str">
        <f ca="1">IFERROR(__xludf.DUMMYFUNCTION("""COMPUTED_VALUE"""),"WMFA")</f>
        <v>WMFA</v>
      </c>
      <c r="H28" s="26">
        <f t="shared" ca="1" si="1"/>
        <v>28</v>
      </c>
      <c r="I28" s="26">
        <f t="shared" ca="1" si="2"/>
        <v>1</v>
      </c>
      <c r="J28" s="86">
        <f t="shared" ca="1" si="3"/>
        <v>45195</v>
      </c>
      <c r="R28" s="26"/>
    </row>
    <row r="29" spans="1:18" ht="15.75" customHeight="1">
      <c r="A29" s="26">
        <f ca="1">IFERROR(__xludf.DUMMYFUNCTION("""COMPUTED_VALUE"""),20579)</f>
        <v>20579</v>
      </c>
      <c r="B29" s="86">
        <f ca="1">IFERROR(__xludf.DUMMYFUNCTION("""COMPUTED_VALUE"""),45195.5023263888)</f>
        <v>45195.5023263888</v>
      </c>
      <c r="C29" s="1" t="str">
        <f ca="1">IFERROR(__xludf.DUMMYFUNCTION("""COMPUTED_VALUE"""),"completed")</f>
        <v>completed</v>
      </c>
      <c r="D29" s="26">
        <f ca="1">IFERROR(__xludf.DUMMYFUNCTION("""COMPUTED_VALUE"""),53)</f>
        <v>53</v>
      </c>
      <c r="E29" s="1" t="str">
        <f ca="1">IFERROR(__xludf.DUMMYFUNCTION("""COMPUTED_VALUE"""),"WMFA")</f>
        <v>WMFA</v>
      </c>
      <c r="F29" s="87" t="str">
        <f t="shared" ca="1" si="0"/>
        <v>2023</v>
      </c>
      <c r="G29" s="1" t="str">
        <f ca="1">IFERROR(__xludf.DUMMYFUNCTION("""COMPUTED_VALUE"""),"WMFA")</f>
        <v>WMFA</v>
      </c>
      <c r="H29" s="26">
        <f t="shared" ca="1" si="1"/>
        <v>53</v>
      </c>
      <c r="I29" s="26">
        <f t="shared" ca="1" si="2"/>
        <v>1</v>
      </c>
      <c r="J29" s="86">
        <f t="shared" ca="1" si="3"/>
        <v>45195</v>
      </c>
      <c r="R29" s="26"/>
    </row>
    <row r="30" spans="1:18" ht="15.75" customHeight="1">
      <c r="A30" s="26">
        <f ca="1">IFERROR(__xludf.DUMMYFUNCTION("""COMPUTED_VALUE"""),20569)</f>
        <v>20569</v>
      </c>
      <c r="B30" s="86">
        <f ca="1">IFERROR(__xludf.DUMMYFUNCTION("""COMPUTED_VALUE"""),45194.074074074)</f>
        <v>45194.074074074</v>
      </c>
      <c r="C30" s="1" t="str">
        <f ca="1">IFERROR(__xludf.DUMMYFUNCTION("""COMPUTED_VALUE"""),"completed")</f>
        <v>completed</v>
      </c>
      <c r="D30" s="26">
        <f ca="1">IFERROR(__xludf.DUMMYFUNCTION("""COMPUTED_VALUE"""),25)</f>
        <v>25</v>
      </c>
      <c r="E30" s="1" t="str">
        <f ca="1">IFERROR(__xludf.DUMMYFUNCTION("""COMPUTED_VALUE"""),"WMFA")</f>
        <v>WMFA</v>
      </c>
      <c r="F30" s="87" t="str">
        <f t="shared" ca="1" si="0"/>
        <v>2023</v>
      </c>
      <c r="G30" s="1" t="str">
        <f ca="1">IFERROR(__xludf.DUMMYFUNCTION("""COMPUTED_VALUE"""),"WMFA")</f>
        <v>WMFA</v>
      </c>
      <c r="H30" s="26">
        <f t="shared" ca="1" si="1"/>
        <v>25</v>
      </c>
      <c r="I30" s="26">
        <f t="shared" ca="1" si="2"/>
        <v>1</v>
      </c>
      <c r="J30" s="86">
        <f t="shared" ca="1" si="3"/>
        <v>45194</v>
      </c>
      <c r="R30" s="26"/>
    </row>
    <row r="31" spans="1:18" ht="15.75" customHeight="1">
      <c r="A31" s="26">
        <f ca="1">IFERROR(__xludf.DUMMYFUNCTION("""COMPUTED_VALUE"""),20568)</f>
        <v>20568</v>
      </c>
      <c r="B31" s="86">
        <f ca="1">IFERROR(__xludf.DUMMYFUNCTION("""COMPUTED_VALUE"""),45193.9304282407)</f>
        <v>45193.930428240703</v>
      </c>
      <c r="C31" s="1" t="str">
        <f ca="1">IFERROR(__xludf.DUMMYFUNCTION("""COMPUTED_VALUE"""),"completed")</f>
        <v>completed</v>
      </c>
      <c r="D31" s="26">
        <f ca="1">IFERROR(__xludf.DUMMYFUNCTION("""COMPUTED_VALUE"""),81)</f>
        <v>81</v>
      </c>
      <c r="E31" s="1" t="str">
        <f ca="1">IFERROR(__xludf.DUMMYFUNCTION("""COMPUTED_VALUE"""),"WMFA")</f>
        <v>WMFA</v>
      </c>
      <c r="F31" s="87" t="str">
        <f t="shared" ca="1" si="0"/>
        <v>2023</v>
      </c>
      <c r="G31" s="1" t="str">
        <f ca="1">IFERROR(__xludf.DUMMYFUNCTION("""COMPUTED_VALUE"""),"WMFA")</f>
        <v>WMFA</v>
      </c>
      <c r="H31" s="26">
        <f t="shared" ca="1" si="1"/>
        <v>81</v>
      </c>
      <c r="I31" s="26">
        <f t="shared" ca="1" si="2"/>
        <v>1</v>
      </c>
      <c r="J31" s="86">
        <f t="shared" ca="1" si="3"/>
        <v>45193</v>
      </c>
      <c r="R31" s="26"/>
    </row>
    <row r="32" spans="1:18" ht="15.75" customHeight="1">
      <c r="A32" s="26">
        <f ca="1">IFERROR(__xludf.DUMMYFUNCTION("""COMPUTED_VALUE"""),20567)</f>
        <v>20567</v>
      </c>
      <c r="B32" s="86">
        <f ca="1">IFERROR(__xludf.DUMMYFUNCTION("""COMPUTED_VALUE"""),45193.8711921296)</f>
        <v>45193.871192129598</v>
      </c>
      <c r="C32" s="1" t="str">
        <f ca="1">IFERROR(__xludf.DUMMYFUNCTION("""COMPUTED_VALUE"""),"completed")</f>
        <v>completed</v>
      </c>
      <c r="D32" s="26">
        <f ca="1">IFERROR(__xludf.DUMMYFUNCTION("""COMPUTED_VALUE"""),15)</f>
        <v>15</v>
      </c>
      <c r="E32" s="1" t="str">
        <f ca="1">IFERROR(__xludf.DUMMYFUNCTION("""COMPUTED_VALUE"""),"WMFA")</f>
        <v>WMFA</v>
      </c>
      <c r="F32" s="87" t="str">
        <f t="shared" ca="1" si="0"/>
        <v>2023</v>
      </c>
      <c r="G32" s="1" t="str">
        <f ca="1">IFERROR(__xludf.DUMMYFUNCTION("""COMPUTED_VALUE"""),"WMFA")</f>
        <v>WMFA</v>
      </c>
      <c r="H32" s="26">
        <f t="shared" ca="1" si="1"/>
        <v>15</v>
      </c>
      <c r="I32" s="26">
        <f t="shared" ca="1" si="2"/>
        <v>1</v>
      </c>
      <c r="J32" s="86">
        <f t="shared" ca="1" si="3"/>
        <v>45193</v>
      </c>
      <c r="R32" s="26"/>
    </row>
    <row r="33" spans="1:18" ht="15.75" customHeight="1">
      <c r="A33" s="26">
        <f ca="1">IFERROR(__xludf.DUMMYFUNCTION("""COMPUTED_VALUE"""),20566)</f>
        <v>20566</v>
      </c>
      <c r="B33" s="86">
        <f ca="1">IFERROR(__xludf.DUMMYFUNCTION("""COMPUTED_VALUE"""),45193.752037037)</f>
        <v>45193.752037036997</v>
      </c>
      <c r="C33" s="1" t="str">
        <f ca="1">IFERROR(__xludf.DUMMYFUNCTION("""COMPUTED_VALUE"""),"completed")</f>
        <v>completed</v>
      </c>
      <c r="D33" s="26">
        <f ca="1">IFERROR(__xludf.DUMMYFUNCTION("""COMPUTED_VALUE"""),35)</f>
        <v>35</v>
      </c>
      <c r="E33" s="1" t="str">
        <f ca="1">IFERROR(__xludf.DUMMYFUNCTION("""COMPUTED_VALUE"""),"WMFA")</f>
        <v>WMFA</v>
      </c>
      <c r="F33" s="87" t="str">
        <f t="shared" ca="1" si="0"/>
        <v>2023</v>
      </c>
      <c r="G33" s="1" t="str">
        <f ca="1">IFERROR(__xludf.DUMMYFUNCTION("""COMPUTED_VALUE"""),"WMFA")</f>
        <v>WMFA</v>
      </c>
      <c r="H33" s="26">
        <f t="shared" ca="1" si="1"/>
        <v>35</v>
      </c>
      <c r="I33" s="26">
        <f t="shared" ca="1" si="2"/>
        <v>1</v>
      </c>
      <c r="J33" s="86">
        <f t="shared" ca="1" si="3"/>
        <v>45193</v>
      </c>
      <c r="R33" s="26"/>
    </row>
    <row r="34" spans="1:18" ht="15.75" customHeight="1">
      <c r="A34" s="26">
        <f ca="1">IFERROR(__xludf.DUMMYFUNCTION("""COMPUTED_VALUE"""),20565)</f>
        <v>20565</v>
      </c>
      <c r="B34" s="86">
        <f ca="1">IFERROR(__xludf.DUMMYFUNCTION("""COMPUTED_VALUE"""),45193.6917361111)</f>
        <v>45193.691736111097</v>
      </c>
      <c r="C34" s="1" t="str">
        <f ca="1">IFERROR(__xludf.DUMMYFUNCTION("""COMPUTED_VALUE"""),"completed")</f>
        <v>completed</v>
      </c>
      <c r="D34" s="26">
        <f ca="1">IFERROR(__xludf.DUMMYFUNCTION("""COMPUTED_VALUE"""),28)</f>
        <v>28</v>
      </c>
      <c r="E34" s="1" t="str">
        <f ca="1">IFERROR(__xludf.DUMMYFUNCTION("""COMPUTED_VALUE"""),"WMFA")</f>
        <v>WMFA</v>
      </c>
      <c r="F34" s="87" t="str">
        <f t="shared" ca="1" si="0"/>
        <v>2023</v>
      </c>
      <c r="G34" s="1" t="str">
        <f ca="1">IFERROR(__xludf.DUMMYFUNCTION("""COMPUTED_VALUE"""),"WMFA")</f>
        <v>WMFA</v>
      </c>
      <c r="H34" s="26">
        <f t="shared" ca="1" si="1"/>
        <v>28</v>
      </c>
      <c r="I34" s="26">
        <f t="shared" ca="1" si="2"/>
        <v>1</v>
      </c>
      <c r="J34" s="86">
        <f t="shared" ca="1" si="3"/>
        <v>45193</v>
      </c>
      <c r="R34" s="26"/>
    </row>
    <row r="35" spans="1:18" ht="15.75" customHeight="1">
      <c r="A35" s="26">
        <f ca="1">IFERROR(__xludf.DUMMYFUNCTION("""COMPUTED_VALUE"""),20564)</f>
        <v>20564</v>
      </c>
      <c r="B35" s="86">
        <f ca="1">IFERROR(__xludf.DUMMYFUNCTION("""COMPUTED_VALUE"""),45193.6916898148)</f>
        <v>45193.691689814797</v>
      </c>
      <c r="C35" s="1" t="str">
        <f ca="1">IFERROR(__xludf.DUMMYFUNCTION("""COMPUTED_VALUE"""),"completed")</f>
        <v>completed</v>
      </c>
      <c r="D35" s="26">
        <f ca="1">IFERROR(__xludf.DUMMYFUNCTION("""COMPUTED_VALUE"""),35)</f>
        <v>35</v>
      </c>
      <c r="E35" s="1" t="str">
        <f ca="1">IFERROR(__xludf.DUMMYFUNCTION("""COMPUTED_VALUE"""),"WMFA")</f>
        <v>WMFA</v>
      </c>
      <c r="F35" s="87" t="str">
        <f t="shared" ca="1" si="0"/>
        <v>2023</v>
      </c>
      <c r="G35" s="1" t="str">
        <f ca="1">IFERROR(__xludf.DUMMYFUNCTION("""COMPUTED_VALUE"""),"WMFA")</f>
        <v>WMFA</v>
      </c>
      <c r="H35" s="26">
        <f t="shared" ca="1" si="1"/>
        <v>35</v>
      </c>
      <c r="I35" s="26">
        <f t="shared" ca="1" si="2"/>
        <v>1</v>
      </c>
      <c r="J35" s="86">
        <f t="shared" ca="1" si="3"/>
        <v>45193</v>
      </c>
      <c r="R35" s="26"/>
    </row>
    <row r="36" spans="1:18" ht="15.75" customHeight="1">
      <c r="A36" s="26">
        <f ca="1">IFERROR(__xludf.DUMMYFUNCTION("""COMPUTED_VALUE"""),20563)</f>
        <v>20563</v>
      </c>
      <c r="B36" s="86">
        <f ca="1">IFERROR(__xludf.DUMMYFUNCTION("""COMPUTED_VALUE"""),45193.6896527777)</f>
        <v>45193.689652777699</v>
      </c>
      <c r="C36" s="1" t="str">
        <f ca="1">IFERROR(__xludf.DUMMYFUNCTION("""COMPUTED_VALUE"""),"completed")</f>
        <v>completed</v>
      </c>
      <c r="D36" s="26">
        <f ca="1">IFERROR(__xludf.DUMMYFUNCTION("""COMPUTED_VALUE"""),35)</f>
        <v>35</v>
      </c>
      <c r="E36" s="1" t="str">
        <f ca="1">IFERROR(__xludf.DUMMYFUNCTION("""COMPUTED_VALUE"""),"WMFA")</f>
        <v>WMFA</v>
      </c>
      <c r="F36" s="87" t="str">
        <f t="shared" ca="1" si="0"/>
        <v>2023</v>
      </c>
      <c r="G36" s="1" t="str">
        <f ca="1">IFERROR(__xludf.DUMMYFUNCTION("""COMPUTED_VALUE"""),"WMFA")</f>
        <v>WMFA</v>
      </c>
      <c r="H36" s="26">
        <f t="shared" ca="1" si="1"/>
        <v>35</v>
      </c>
      <c r="I36" s="26">
        <f t="shared" ca="1" si="2"/>
        <v>1</v>
      </c>
      <c r="J36" s="86">
        <f t="shared" ca="1" si="3"/>
        <v>45193</v>
      </c>
      <c r="R36" s="26"/>
    </row>
    <row r="37" spans="1:18" ht="15.75" customHeight="1">
      <c r="A37" s="26">
        <f ca="1">IFERROR(__xludf.DUMMYFUNCTION("""COMPUTED_VALUE"""),20562)</f>
        <v>20562</v>
      </c>
      <c r="B37" s="86">
        <f ca="1">IFERROR(__xludf.DUMMYFUNCTION("""COMPUTED_VALUE"""),45193.6872106481)</f>
        <v>45193.687210648102</v>
      </c>
      <c r="C37" s="1" t="str">
        <f ca="1">IFERROR(__xludf.DUMMYFUNCTION("""COMPUTED_VALUE"""),"completed")</f>
        <v>completed</v>
      </c>
      <c r="D37" s="26">
        <f ca="1">IFERROR(__xludf.DUMMYFUNCTION("""COMPUTED_VALUE"""),22)</f>
        <v>22</v>
      </c>
      <c r="E37" s="1" t="str">
        <f ca="1">IFERROR(__xludf.DUMMYFUNCTION("""COMPUTED_VALUE"""),"WMFA")</f>
        <v>WMFA</v>
      </c>
      <c r="F37" s="87" t="str">
        <f t="shared" ca="1" si="0"/>
        <v>2023</v>
      </c>
      <c r="G37" s="1" t="str">
        <f ca="1">IFERROR(__xludf.DUMMYFUNCTION("""COMPUTED_VALUE"""),"WMFA")</f>
        <v>WMFA</v>
      </c>
      <c r="H37" s="26">
        <f t="shared" ca="1" si="1"/>
        <v>22</v>
      </c>
      <c r="I37" s="26">
        <f t="shared" ca="1" si="2"/>
        <v>1</v>
      </c>
      <c r="J37" s="86">
        <f t="shared" ca="1" si="3"/>
        <v>45193</v>
      </c>
      <c r="R37" s="26"/>
    </row>
    <row r="38" spans="1:18" ht="15.75" customHeight="1">
      <c r="A38" s="26">
        <f ca="1">IFERROR(__xludf.DUMMYFUNCTION("""COMPUTED_VALUE"""),20561)</f>
        <v>20561</v>
      </c>
      <c r="B38" s="86">
        <f ca="1">IFERROR(__xludf.DUMMYFUNCTION("""COMPUTED_VALUE"""),45193.6862384259)</f>
        <v>45193.6862384259</v>
      </c>
      <c r="C38" s="1" t="str">
        <f ca="1">IFERROR(__xludf.DUMMYFUNCTION("""COMPUTED_VALUE"""),"completed")</f>
        <v>completed</v>
      </c>
      <c r="D38" s="26">
        <f ca="1">IFERROR(__xludf.DUMMYFUNCTION("""COMPUTED_VALUE"""),35)</f>
        <v>35</v>
      </c>
      <c r="E38" s="1" t="str">
        <f ca="1">IFERROR(__xludf.DUMMYFUNCTION("""COMPUTED_VALUE"""),"WMFA")</f>
        <v>WMFA</v>
      </c>
      <c r="F38" s="87" t="str">
        <f t="shared" ca="1" si="0"/>
        <v>2023</v>
      </c>
      <c r="G38" s="1" t="str">
        <f ca="1">IFERROR(__xludf.DUMMYFUNCTION("""COMPUTED_VALUE"""),"WMFA")</f>
        <v>WMFA</v>
      </c>
      <c r="H38" s="26">
        <f t="shared" ca="1" si="1"/>
        <v>35</v>
      </c>
      <c r="I38" s="26">
        <f t="shared" ca="1" si="2"/>
        <v>1</v>
      </c>
      <c r="J38" s="86">
        <f t="shared" ca="1" si="3"/>
        <v>45193</v>
      </c>
      <c r="R38" s="26"/>
    </row>
    <row r="39" spans="1:18" ht="15.75" customHeight="1">
      <c r="A39" s="26">
        <f ca="1">IFERROR(__xludf.DUMMYFUNCTION("""COMPUTED_VALUE"""),20560)</f>
        <v>20560</v>
      </c>
      <c r="B39" s="86">
        <f ca="1">IFERROR(__xludf.DUMMYFUNCTION("""COMPUTED_VALUE"""),45193.6832060185)</f>
        <v>45193.683206018497</v>
      </c>
      <c r="C39" s="1" t="str">
        <f ca="1">IFERROR(__xludf.DUMMYFUNCTION("""COMPUTED_VALUE"""),"completed")</f>
        <v>completed</v>
      </c>
      <c r="D39" s="26">
        <f ca="1">IFERROR(__xludf.DUMMYFUNCTION("""COMPUTED_VALUE"""),55)</f>
        <v>55</v>
      </c>
      <c r="E39" s="1" t="str">
        <f ca="1">IFERROR(__xludf.DUMMYFUNCTION("""COMPUTED_VALUE"""),"WMFA")</f>
        <v>WMFA</v>
      </c>
      <c r="F39" s="87" t="str">
        <f t="shared" ca="1" si="0"/>
        <v>2023</v>
      </c>
      <c r="G39" s="1" t="str">
        <f ca="1">IFERROR(__xludf.DUMMYFUNCTION("""COMPUTED_VALUE"""),"WMFA")</f>
        <v>WMFA</v>
      </c>
      <c r="H39" s="26">
        <f t="shared" ca="1" si="1"/>
        <v>55</v>
      </c>
      <c r="I39" s="26">
        <f t="shared" ca="1" si="2"/>
        <v>1</v>
      </c>
      <c r="J39" s="86">
        <f t="shared" ca="1" si="3"/>
        <v>45193</v>
      </c>
      <c r="R39" s="26"/>
    </row>
    <row r="40" spans="1:18" ht="15.75" customHeight="1">
      <c r="A40" s="26">
        <f ca="1">IFERROR(__xludf.DUMMYFUNCTION("""COMPUTED_VALUE"""),20559)</f>
        <v>20559</v>
      </c>
      <c r="B40" s="86">
        <f ca="1">IFERROR(__xludf.DUMMYFUNCTION("""COMPUTED_VALUE"""),45193.6821643518)</f>
        <v>45193.682164351798</v>
      </c>
      <c r="C40" s="1" t="str">
        <f ca="1">IFERROR(__xludf.DUMMYFUNCTION("""COMPUTED_VALUE"""),"cancelled")</f>
        <v>cancelled</v>
      </c>
      <c r="D40" s="26">
        <f ca="1">IFERROR(__xludf.DUMMYFUNCTION("""COMPUTED_VALUE"""),35)</f>
        <v>35</v>
      </c>
      <c r="E40" s="1" t="str">
        <f ca="1">IFERROR(__xludf.DUMMYFUNCTION("""COMPUTED_VALUE"""),"WMFA")</f>
        <v>WMFA</v>
      </c>
      <c r="F40" s="87" t="str">
        <f t="shared" ca="1" si="0"/>
        <v>2023</v>
      </c>
      <c r="G40" s="1" t="str">
        <f ca="1">IFERROR(__xludf.DUMMYFUNCTION("""COMPUTED_VALUE"""),"WMFA")</f>
        <v>WMFA</v>
      </c>
      <c r="H40" s="26">
        <f t="shared" ca="1" si="1"/>
        <v>35</v>
      </c>
      <c r="I40" s="26">
        <f t="shared" ca="1" si="2"/>
        <v>1</v>
      </c>
      <c r="J40" s="86">
        <f t="shared" ca="1" si="3"/>
        <v>45193</v>
      </c>
      <c r="R40" s="26"/>
    </row>
    <row r="41" spans="1:18" ht="15.75" customHeight="1">
      <c r="A41" s="26">
        <f ca="1">IFERROR(__xludf.DUMMYFUNCTION("""COMPUTED_VALUE"""),20558)</f>
        <v>20558</v>
      </c>
      <c r="B41" s="86">
        <f ca="1">IFERROR(__xludf.DUMMYFUNCTION("""COMPUTED_VALUE"""),45193.6799652777)</f>
        <v>45193.679965277697</v>
      </c>
      <c r="C41" s="1" t="str">
        <f ca="1">IFERROR(__xludf.DUMMYFUNCTION("""COMPUTED_VALUE"""),"completed")</f>
        <v>completed</v>
      </c>
      <c r="D41" s="26">
        <f ca="1">IFERROR(__xludf.DUMMYFUNCTION("""COMPUTED_VALUE"""),35)</f>
        <v>35</v>
      </c>
      <c r="E41" s="1" t="str">
        <f ca="1">IFERROR(__xludf.DUMMYFUNCTION("""COMPUTED_VALUE"""),"WMFA")</f>
        <v>WMFA</v>
      </c>
      <c r="F41" s="87" t="str">
        <f t="shared" ca="1" si="0"/>
        <v>2023</v>
      </c>
      <c r="G41" s="1" t="str">
        <f ca="1">IFERROR(__xludf.DUMMYFUNCTION("""COMPUTED_VALUE"""),"WMFA")</f>
        <v>WMFA</v>
      </c>
      <c r="H41" s="26">
        <f t="shared" ca="1" si="1"/>
        <v>35</v>
      </c>
      <c r="I41" s="26">
        <f t="shared" ca="1" si="2"/>
        <v>1</v>
      </c>
      <c r="J41" s="86">
        <f t="shared" ca="1" si="3"/>
        <v>45193</v>
      </c>
      <c r="R41" s="26"/>
    </row>
    <row r="42" spans="1:18" ht="15.75" customHeight="1">
      <c r="A42" s="26">
        <f ca="1">IFERROR(__xludf.DUMMYFUNCTION("""COMPUTED_VALUE"""),20557)</f>
        <v>20557</v>
      </c>
      <c r="B42" s="86">
        <f ca="1">IFERROR(__xludf.DUMMYFUNCTION("""COMPUTED_VALUE"""),45193.6742476851)</f>
        <v>45193.6742476851</v>
      </c>
      <c r="C42" s="1" t="str">
        <f ca="1">IFERROR(__xludf.DUMMYFUNCTION("""COMPUTED_VALUE"""),"completed")</f>
        <v>completed</v>
      </c>
      <c r="D42" s="26">
        <f ca="1">IFERROR(__xludf.DUMMYFUNCTION("""COMPUTED_VALUE"""),35)</f>
        <v>35</v>
      </c>
      <c r="E42" s="1" t="str">
        <f ca="1">IFERROR(__xludf.DUMMYFUNCTION("""COMPUTED_VALUE"""),"WMFA")</f>
        <v>WMFA</v>
      </c>
      <c r="F42" s="87" t="str">
        <f t="shared" ca="1" si="0"/>
        <v>2023</v>
      </c>
      <c r="G42" s="1" t="str">
        <f ca="1">IFERROR(__xludf.DUMMYFUNCTION("""COMPUTED_VALUE"""),"WMFA")</f>
        <v>WMFA</v>
      </c>
      <c r="H42" s="26">
        <f t="shared" ca="1" si="1"/>
        <v>35</v>
      </c>
      <c r="I42" s="26">
        <f t="shared" ca="1" si="2"/>
        <v>1</v>
      </c>
      <c r="J42" s="86">
        <f t="shared" ca="1" si="3"/>
        <v>45193</v>
      </c>
      <c r="R42" s="26"/>
    </row>
    <row r="43" spans="1:18" ht="15.75" customHeight="1">
      <c r="A43" s="26">
        <f ca="1">IFERROR(__xludf.DUMMYFUNCTION("""COMPUTED_VALUE"""),20556)</f>
        <v>20556</v>
      </c>
      <c r="B43" s="86">
        <f ca="1">IFERROR(__xludf.DUMMYFUNCTION("""COMPUTED_VALUE"""),45193.6659953703)</f>
        <v>45193.665995370298</v>
      </c>
      <c r="C43" s="1" t="str">
        <f ca="1">IFERROR(__xludf.DUMMYFUNCTION("""COMPUTED_VALUE"""),"completed")</f>
        <v>completed</v>
      </c>
      <c r="D43" s="26">
        <f ca="1">IFERROR(__xludf.DUMMYFUNCTION("""COMPUTED_VALUE"""),35)</f>
        <v>35</v>
      </c>
      <c r="E43" s="1" t="str">
        <f ca="1">IFERROR(__xludf.DUMMYFUNCTION("""COMPUTED_VALUE"""),"WMFA")</f>
        <v>WMFA</v>
      </c>
      <c r="F43" s="87" t="str">
        <f t="shared" ca="1" si="0"/>
        <v>2023</v>
      </c>
      <c r="G43" s="1" t="str">
        <f ca="1">IFERROR(__xludf.DUMMYFUNCTION("""COMPUTED_VALUE"""),"WMFA")</f>
        <v>WMFA</v>
      </c>
      <c r="H43" s="26">
        <f t="shared" ca="1" si="1"/>
        <v>35</v>
      </c>
      <c r="I43" s="26">
        <f t="shared" ca="1" si="2"/>
        <v>1</v>
      </c>
      <c r="J43" s="86">
        <f t="shared" ca="1" si="3"/>
        <v>45193</v>
      </c>
      <c r="R43" s="26"/>
    </row>
    <row r="44" spans="1:18" ht="15.75" customHeight="1">
      <c r="A44" s="26">
        <f ca="1">IFERROR(__xludf.DUMMYFUNCTION("""COMPUTED_VALUE"""),20555)</f>
        <v>20555</v>
      </c>
      <c r="B44" s="86">
        <f ca="1">IFERROR(__xludf.DUMMYFUNCTION("""COMPUTED_VALUE"""),45193.6597337962)</f>
        <v>45193.659733796201</v>
      </c>
      <c r="C44" s="1" t="str">
        <f ca="1">IFERROR(__xludf.DUMMYFUNCTION("""COMPUTED_VALUE"""),"completed")</f>
        <v>completed</v>
      </c>
      <c r="D44" s="26">
        <f ca="1">IFERROR(__xludf.DUMMYFUNCTION("""COMPUTED_VALUE"""),35)</f>
        <v>35</v>
      </c>
      <c r="E44" s="1" t="str">
        <f ca="1">IFERROR(__xludf.DUMMYFUNCTION("""COMPUTED_VALUE"""),"WMFA")</f>
        <v>WMFA</v>
      </c>
      <c r="F44" s="87" t="str">
        <f t="shared" ca="1" si="0"/>
        <v>2023</v>
      </c>
      <c r="G44" s="1" t="str">
        <f ca="1">IFERROR(__xludf.DUMMYFUNCTION("""COMPUTED_VALUE"""),"WMFA")</f>
        <v>WMFA</v>
      </c>
      <c r="H44" s="26">
        <f t="shared" ca="1" si="1"/>
        <v>35</v>
      </c>
      <c r="I44" s="26">
        <f t="shared" ca="1" si="2"/>
        <v>1</v>
      </c>
      <c r="J44" s="86">
        <f t="shared" ca="1" si="3"/>
        <v>45193</v>
      </c>
      <c r="R44" s="26"/>
    </row>
    <row r="45" spans="1:18" ht="15.75" customHeight="1">
      <c r="A45" s="26">
        <f ca="1">IFERROR(__xludf.DUMMYFUNCTION("""COMPUTED_VALUE"""),20554)</f>
        <v>20554</v>
      </c>
      <c r="B45" s="86">
        <f ca="1">IFERROR(__xludf.DUMMYFUNCTION("""COMPUTED_VALUE"""),45193.6596412037)</f>
        <v>45193.659641203703</v>
      </c>
      <c r="C45" s="1" t="str">
        <f ca="1">IFERROR(__xludf.DUMMYFUNCTION("""COMPUTED_VALUE"""),"completed")</f>
        <v>completed</v>
      </c>
      <c r="D45" s="26">
        <f ca="1">IFERROR(__xludf.DUMMYFUNCTION("""COMPUTED_VALUE"""),37)</f>
        <v>37</v>
      </c>
      <c r="E45" s="1" t="str">
        <f ca="1">IFERROR(__xludf.DUMMYFUNCTION("""COMPUTED_VALUE"""),"WMFA")</f>
        <v>WMFA</v>
      </c>
      <c r="F45" s="87" t="str">
        <f t="shared" ca="1" si="0"/>
        <v>2023</v>
      </c>
      <c r="G45" s="1" t="str">
        <f ca="1">IFERROR(__xludf.DUMMYFUNCTION("""COMPUTED_VALUE"""),"WMFA")</f>
        <v>WMFA</v>
      </c>
      <c r="H45" s="26">
        <f t="shared" ca="1" si="1"/>
        <v>37</v>
      </c>
      <c r="I45" s="26">
        <f t="shared" ca="1" si="2"/>
        <v>1</v>
      </c>
      <c r="J45" s="86">
        <f t="shared" ca="1" si="3"/>
        <v>45193</v>
      </c>
      <c r="R45" s="26"/>
    </row>
    <row r="46" spans="1:18" ht="15.75" customHeight="1">
      <c r="A46" s="26">
        <f ca="1">IFERROR(__xludf.DUMMYFUNCTION("""COMPUTED_VALUE"""),20553)</f>
        <v>20553</v>
      </c>
      <c r="B46" s="86">
        <f ca="1">IFERROR(__xludf.DUMMYFUNCTION("""COMPUTED_VALUE"""),45193.6575810185)</f>
        <v>45193.657581018502</v>
      </c>
      <c r="C46" s="1" t="str">
        <f ca="1">IFERROR(__xludf.DUMMYFUNCTION("""COMPUTED_VALUE"""),"completed")</f>
        <v>completed</v>
      </c>
      <c r="D46" s="26">
        <f ca="1">IFERROR(__xludf.DUMMYFUNCTION("""COMPUTED_VALUE"""),35)</f>
        <v>35</v>
      </c>
      <c r="E46" s="1" t="str">
        <f ca="1">IFERROR(__xludf.DUMMYFUNCTION("""COMPUTED_VALUE"""),"WMFA")</f>
        <v>WMFA</v>
      </c>
      <c r="F46" s="87" t="str">
        <f t="shared" ca="1" si="0"/>
        <v>2023</v>
      </c>
      <c r="G46" s="1" t="str">
        <f ca="1">IFERROR(__xludf.DUMMYFUNCTION("""COMPUTED_VALUE"""),"WMFA")</f>
        <v>WMFA</v>
      </c>
      <c r="H46" s="26">
        <f t="shared" ca="1" si="1"/>
        <v>35</v>
      </c>
      <c r="I46" s="26">
        <f t="shared" ca="1" si="2"/>
        <v>1</v>
      </c>
      <c r="J46" s="86">
        <f t="shared" ca="1" si="3"/>
        <v>45193</v>
      </c>
      <c r="R46" s="26"/>
    </row>
    <row r="47" spans="1:18" ht="15.75" customHeight="1">
      <c r="A47" s="26">
        <f ca="1">IFERROR(__xludf.DUMMYFUNCTION("""COMPUTED_VALUE"""),20552)</f>
        <v>20552</v>
      </c>
      <c r="B47" s="86">
        <f ca="1">IFERROR(__xludf.DUMMYFUNCTION("""COMPUTED_VALUE"""),45193.6403009259)</f>
        <v>45193.640300925901</v>
      </c>
      <c r="C47" s="1" t="str">
        <f ca="1">IFERROR(__xludf.DUMMYFUNCTION("""COMPUTED_VALUE"""),"completed")</f>
        <v>completed</v>
      </c>
      <c r="D47" s="26">
        <f ca="1">IFERROR(__xludf.DUMMYFUNCTION("""COMPUTED_VALUE"""),40)</f>
        <v>40</v>
      </c>
      <c r="E47" s="1" t="str">
        <f ca="1">IFERROR(__xludf.DUMMYFUNCTION("""COMPUTED_VALUE"""),"WMFA")</f>
        <v>WMFA</v>
      </c>
      <c r="F47" s="87" t="str">
        <f t="shared" ca="1" si="0"/>
        <v>2023</v>
      </c>
      <c r="G47" s="1" t="str">
        <f ca="1">IFERROR(__xludf.DUMMYFUNCTION("""COMPUTED_VALUE"""),"WMFA")</f>
        <v>WMFA</v>
      </c>
      <c r="H47" s="26">
        <f t="shared" ca="1" si="1"/>
        <v>40</v>
      </c>
      <c r="I47" s="26">
        <f t="shared" ca="1" si="2"/>
        <v>1</v>
      </c>
      <c r="J47" s="86">
        <f t="shared" ca="1" si="3"/>
        <v>45193</v>
      </c>
      <c r="R47" s="26"/>
    </row>
    <row r="48" spans="1:18" ht="15.75" customHeight="1">
      <c r="A48" s="26">
        <f ca="1">IFERROR(__xludf.DUMMYFUNCTION("""COMPUTED_VALUE"""),20551)</f>
        <v>20551</v>
      </c>
      <c r="B48" s="86">
        <f ca="1">IFERROR(__xludf.DUMMYFUNCTION("""COMPUTED_VALUE"""),45193.6354050925)</f>
        <v>45193.6354050925</v>
      </c>
      <c r="C48" s="1" t="str">
        <f ca="1">IFERROR(__xludf.DUMMYFUNCTION("""COMPUTED_VALUE"""),"completed")</f>
        <v>completed</v>
      </c>
      <c r="D48" s="26">
        <f ca="1">IFERROR(__xludf.DUMMYFUNCTION("""COMPUTED_VALUE"""),45)</f>
        <v>45</v>
      </c>
      <c r="E48" s="1" t="str">
        <f ca="1">IFERROR(__xludf.DUMMYFUNCTION("""COMPUTED_VALUE"""),"WMFA")</f>
        <v>WMFA</v>
      </c>
      <c r="F48" s="87" t="str">
        <f t="shared" ca="1" si="0"/>
        <v>2023</v>
      </c>
      <c r="G48" s="1" t="str">
        <f ca="1">IFERROR(__xludf.DUMMYFUNCTION("""COMPUTED_VALUE"""),"WMFA")</f>
        <v>WMFA</v>
      </c>
      <c r="H48" s="26">
        <f t="shared" ca="1" si="1"/>
        <v>45</v>
      </c>
      <c r="I48" s="26">
        <f t="shared" ca="1" si="2"/>
        <v>1</v>
      </c>
      <c r="J48" s="86">
        <f t="shared" ca="1" si="3"/>
        <v>45193</v>
      </c>
      <c r="R48" s="26"/>
    </row>
    <row r="49" spans="1:18" ht="15.75" customHeight="1">
      <c r="A49" s="26">
        <f ca="1">IFERROR(__xludf.DUMMYFUNCTION("""COMPUTED_VALUE"""),20550)</f>
        <v>20550</v>
      </c>
      <c r="B49" s="86">
        <f ca="1">IFERROR(__xludf.DUMMYFUNCTION("""COMPUTED_VALUE"""),45193.6332523148)</f>
        <v>45193.633252314801</v>
      </c>
      <c r="C49" s="1" t="str">
        <f ca="1">IFERROR(__xludf.DUMMYFUNCTION("""COMPUTED_VALUE"""),"completed")</f>
        <v>completed</v>
      </c>
      <c r="D49" s="26">
        <f ca="1">IFERROR(__xludf.DUMMYFUNCTION("""COMPUTED_VALUE"""),25)</f>
        <v>25</v>
      </c>
      <c r="E49" s="1" t="str">
        <f ca="1">IFERROR(__xludf.DUMMYFUNCTION("""COMPUTED_VALUE"""),"WMFA")</f>
        <v>WMFA</v>
      </c>
      <c r="F49" s="87" t="str">
        <f t="shared" ca="1" si="0"/>
        <v>2023</v>
      </c>
      <c r="G49" s="1" t="str">
        <f ca="1">IFERROR(__xludf.DUMMYFUNCTION("""COMPUTED_VALUE"""),"WMFA")</f>
        <v>WMFA</v>
      </c>
      <c r="H49" s="26">
        <f t="shared" ca="1" si="1"/>
        <v>25</v>
      </c>
      <c r="I49" s="26">
        <f t="shared" ca="1" si="2"/>
        <v>1</v>
      </c>
      <c r="J49" s="86">
        <f t="shared" ca="1" si="3"/>
        <v>45193</v>
      </c>
      <c r="R49" s="26"/>
    </row>
    <row r="50" spans="1:18" ht="15.75" customHeight="1">
      <c r="A50" s="26">
        <f ca="1">IFERROR(__xludf.DUMMYFUNCTION("""COMPUTED_VALUE"""),20549)</f>
        <v>20549</v>
      </c>
      <c r="B50" s="86">
        <f ca="1">IFERROR(__xludf.DUMMYFUNCTION("""COMPUTED_VALUE"""),45193.6185648148)</f>
        <v>45193.618564814802</v>
      </c>
      <c r="C50" s="1" t="str">
        <f ca="1">IFERROR(__xludf.DUMMYFUNCTION("""COMPUTED_VALUE"""),"completed")</f>
        <v>completed</v>
      </c>
      <c r="D50" s="26">
        <f ca="1">IFERROR(__xludf.DUMMYFUNCTION("""COMPUTED_VALUE"""),35)</f>
        <v>35</v>
      </c>
      <c r="E50" s="1" t="str">
        <f ca="1">IFERROR(__xludf.DUMMYFUNCTION("""COMPUTED_VALUE"""),"WMFA")</f>
        <v>WMFA</v>
      </c>
      <c r="F50" s="87" t="str">
        <f t="shared" ca="1" si="0"/>
        <v>2023</v>
      </c>
      <c r="G50" s="1" t="str">
        <f ca="1">IFERROR(__xludf.DUMMYFUNCTION("""COMPUTED_VALUE"""),"WMFA")</f>
        <v>WMFA</v>
      </c>
      <c r="H50" s="26">
        <f t="shared" ca="1" si="1"/>
        <v>35</v>
      </c>
      <c r="I50" s="26">
        <f t="shared" ca="1" si="2"/>
        <v>1</v>
      </c>
      <c r="J50" s="86">
        <f t="shared" ca="1" si="3"/>
        <v>45193</v>
      </c>
      <c r="R50" s="26"/>
    </row>
    <row r="51" spans="1:18" ht="15.75" customHeight="1">
      <c r="A51" s="26">
        <f ca="1">IFERROR(__xludf.DUMMYFUNCTION("""COMPUTED_VALUE"""),20548)</f>
        <v>20548</v>
      </c>
      <c r="B51" s="86">
        <f ca="1">IFERROR(__xludf.DUMMYFUNCTION("""COMPUTED_VALUE"""),45193.6061111111)</f>
        <v>45193.606111111098</v>
      </c>
      <c r="C51" s="1" t="str">
        <f ca="1">IFERROR(__xludf.DUMMYFUNCTION("""COMPUTED_VALUE"""),"completed")</f>
        <v>completed</v>
      </c>
      <c r="D51" s="26">
        <f ca="1">IFERROR(__xludf.DUMMYFUNCTION("""COMPUTED_VALUE"""),55)</f>
        <v>55</v>
      </c>
      <c r="E51" s="1" t="str">
        <f ca="1">IFERROR(__xludf.DUMMYFUNCTION("""COMPUTED_VALUE"""),"WMFA")</f>
        <v>WMFA</v>
      </c>
      <c r="F51" s="87" t="str">
        <f t="shared" ca="1" si="0"/>
        <v>2023</v>
      </c>
      <c r="G51" s="1" t="str">
        <f ca="1">IFERROR(__xludf.DUMMYFUNCTION("""COMPUTED_VALUE"""),"WMFA")</f>
        <v>WMFA</v>
      </c>
      <c r="H51" s="26">
        <f t="shared" ca="1" si="1"/>
        <v>55</v>
      </c>
      <c r="I51" s="26">
        <f t="shared" ca="1" si="2"/>
        <v>1</v>
      </c>
      <c r="J51" s="86">
        <f t="shared" ca="1" si="3"/>
        <v>45193</v>
      </c>
      <c r="R51" s="26"/>
    </row>
    <row r="52" spans="1:18" ht="15.75" customHeight="1">
      <c r="A52" s="26">
        <f ca="1">IFERROR(__xludf.DUMMYFUNCTION("""COMPUTED_VALUE"""),20547)</f>
        <v>20547</v>
      </c>
      <c r="B52" s="86">
        <f ca="1">IFERROR(__xludf.DUMMYFUNCTION("""COMPUTED_VALUE"""),45193.6025231481)</f>
        <v>45193.602523148104</v>
      </c>
      <c r="C52" s="1" t="str">
        <f ca="1">IFERROR(__xludf.DUMMYFUNCTION("""COMPUTED_VALUE"""),"completed")</f>
        <v>completed</v>
      </c>
      <c r="D52" s="26">
        <f ca="1">IFERROR(__xludf.DUMMYFUNCTION("""COMPUTED_VALUE"""),55)</f>
        <v>55</v>
      </c>
      <c r="E52" s="1" t="str">
        <f ca="1">IFERROR(__xludf.DUMMYFUNCTION("""COMPUTED_VALUE"""),"WMFA")</f>
        <v>WMFA</v>
      </c>
      <c r="F52" s="87" t="str">
        <f t="shared" ca="1" si="0"/>
        <v>2023</v>
      </c>
      <c r="G52" s="1" t="str">
        <f ca="1">IFERROR(__xludf.DUMMYFUNCTION("""COMPUTED_VALUE"""),"WMFA")</f>
        <v>WMFA</v>
      </c>
      <c r="H52" s="26">
        <f t="shared" ca="1" si="1"/>
        <v>55</v>
      </c>
      <c r="I52" s="26">
        <f t="shared" ca="1" si="2"/>
        <v>1</v>
      </c>
      <c r="J52" s="86">
        <f t="shared" ca="1" si="3"/>
        <v>45193</v>
      </c>
      <c r="R52" s="26"/>
    </row>
    <row r="53" spans="1:18" ht="15.75" customHeight="1">
      <c r="A53" s="26">
        <f ca="1">IFERROR(__xludf.DUMMYFUNCTION("""COMPUTED_VALUE"""),20546)</f>
        <v>20546</v>
      </c>
      <c r="B53" s="86">
        <f ca="1">IFERROR(__xludf.DUMMYFUNCTION("""COMPUTED_VALUE"""),45193.5977893518)</f>
        <v>45193.597789351799</v>
      </c>
      <c r="C53" s="1" t="str">
        <f ca="1">IFERROR(__xludf.DUMMYFUNCTION("""COMPUTED_VALUE"""),"completed")</f>
        <v>completed</v>
      </c>
      <c r="D53" s="26">
        <f ca="1">IFERROR(__xludf.DUMMYFUNCTION("""COMPUTED_VALUE"""),65)</f>
        <v>65</v>
      </c>
      <c r="E53" s="1" t="str">
        <f ca="1">IFERROR(__xludf.DUMMYFUNCTION("""COMPUTED_VALUE"""),"WMFA")</f>
        <v>WMFA</v>
      </c>
      <c r="F53" s="87" t="str">
        <f t="shared" ca="1" si="0"/>
        <v>2023</v>
      </c>
      <c r="G53" s="1" t="str">
        <f ca="1">IFERROR(__xludf.DUMMYFUNCTION("""COMPUTED_VALUE"""),"WMFA")</f>
        <v>WMFA</v>
      </c>
      <c r="H53" s="26">
        <f t="shared" ca="1" si="1"/>
        <v>65</v>
      </c>
      <c r="I53" s="26">
        <f t="shared" ca="1" si="2"/>
        <v>1</v>
      </c>
      <c r="J53" s="86">
        <f t="shared" ca="1" si="3"/>
        <v>45193</v>
      </c>
      <c r="R53" s="26"/>
    </row>
    <row r="54" spans="1:18" ht="15.75" customHeight="1">
      <c r="A54" s="26">
        <f ca="1">IFERROR(__xludf.DUMMYFUNCTION("""COMPUTED_VALUE"""),20545)</f>
        <v>20545</v>
      </c>
      <c r="B54" s="86">
        <f ca="1">IFERROR(__xludf.DUMMYFUNCTION("""COMPUTED_VALUE"""),45193.5977777777)</f>
        <v>45193.597777777701</v>
      </c>
      <c r="C54" s="1" t="str">
        <f ca="1">IFERROR(__xludf.DUMMYFUNCTION("""COMPUTED_VALUE"""),"completed")</f>
        <v>completed</v>
      </c>
      <c r="D54" s="26">
        <f ca="1">IFERROR(__xludf.DUMMYFUNCTION("""COMPUTED_VALUE"""),35)</f>
        <v>35</v>
      </c>
      <c r="E54" s="1" t="str">
        <f ca="1">IFERROR(__xludf.DUMMYFUNCTION("""COMPUTED_VALUE"""),"WMFA")</f>
        <v>WMFA</v>
      </c>
      <c r="F54" s="87" t="str">
        <f t="shared" ca="1" si="0"/>
        <v>2023</v>
      </c>
      <c r="G54" s="1" t="str">
        <f ca="1">IFERROR(__xludf.DUMMYFUNCTION("""COMPUTED_VALUE"""),"WMFA")</f>
        <v>WMFA</v>
      </c>
      <c r="H54" s="26">
        <f t="shared" ca="1" si="1"/>
        <v>35</v>
      </c>
      <c r="I54" s="26">
        <f t="shared" ca="1" si="2"/>
        <v>1</v>
      </c>
      <c r="J54" s="86">
        <f t="shared" ca="1" si="3"/>
        <v>45193</v>
      </c>
      <c r="R54" s="26"/>
    </row>
    <row r="55" spans="1:18" ht="15.75" customHeight="1">
      <c r="A55" s="26">
        <f ca="1">IFERROR(__xludf.DUMMYFUNCTION("""COMPUTED_VALUE"""),20544)</f>
        <v>20544</v>
      </c>
      <c r="B55" s="86">
        <f ca="1">IFERROR(__xludf.DUMMYFUNCTION("""COMPUTED_VALUE"""),45193.5923148148)</f>
        <v>45193.592314814799</v>
      </c>
      <c r="C55" s="1" t="str">
        <f ca="1">IFERROR(__xludf.DUMMYFUNCTION("""COMPUTED_VALUE"""),"completed")</f>
        <v>completed</v>
      </c>
      <c r="D55" s="26">
        <f ca="1">IFERROR(__xludf.DUMMYFUNCTION("""COMPUTED_VALUE"""),77)</f>
        <v>77</v>
      </c>
      <c r="E55" s="1" t="str">
        <f ca="1">IFERROR(__xludf.DUMMYFUNCTION("""COMPUTED_VALUE"""),"WMFA")</f>
        <v>WMFA</v>
      </c>
      <c r="F55" s="87" t="str">
        <f t="shared" ca="1" si="0"/>
        <v>2023</v>
      </c>
      <c r="G55" s="1" t="str">
        <f ca="1">IFERROR(__xludf.DUMMYFUNCTION("""COMPUTED_VALUE"""),"WMFA")</f>
        <v>WMFA</v>
      </c>
      <c r="H55" s="26">
        <f t="shared" ca="1" si="1"/>
        <v>77</v>
      </c>
      <c r="I55" s="26">
        <f t="shared" ca="1" si="2"/>
        <v>1</v>
      </c>
      <c r="J55" s="86">
        <f t="shared" ca="1" si="3"/>
        <v>45193</v>
      </c>
      <c r="R55" s="26"/>
    </row>
    <row r="56" spans="1:18" ht="15.75" customHeight="1">
      <c r="A56" s="26">
        <f ca="1">IFERROR(__xludf.DUMMYFUNCTION("""COMPUTED_VALUE"""),20543)</f>
        <v>20543</v>
      </c>
      <c r="B56" s="86">
        <f ca="1">IFERROR(__xludf.DUMMYFUNCTION("""COMPUTED_VALUE"""),45193.5917824074)</f>
        <v>45193.591782407399</v>
      </c>
      <c r="C56" s="1" t="str">
        <f ca="1">IFERROR(__xludf.DUMMYFUNCTION("""COMPUTED_VALUE"""),"completed")</f>
        <v>completed</v>
      </c>
      <c r="D56" s="26">
        <f ca="1">IFERROR(__xludf.DUMMYFUNCTION("""COMPUTED_VALUE"""),55)</f>
        <v>55</v>
      </c>
      <c r="E56" s="1" t="str">
        <f ca="1">IFERROR(__xludf.DUMMYFUNCTION("""COMPUTED_VALUE"""),"WMFA")</f>
        <v>WMFA</v>
      </c>
      <c r="F56" s="87" t="str">
        <f t="shared" ca="1" si="0"/>
        <v>2023</v>
      </c>
      <c r="G56" s="1" t="str">
        <f ca="1">IFERROR(__xludf.DUMMYFUNCTION("""COMPUTED_VALUE"""),"WMFA")</f>
        <v>WMFA</v>
      </c>
      <c r="H56" s="26">
        <f t="shared" ca="1" si="1"/>
        <v>55</v>
      </c>
      <c r="I56" s="26">
        <f t="shared" ca="1" si="2"/>
        <v>1</v>
      </c>
      <c r="J56" s="86">
        <f t="shared" ca="1" si="3"/>
        <v>45193</v>
      </c>
      <c r="R56" s="26"/>
    </row>
    <row r="57" spans="1:18" ht="15.75" customHeight="1">
      <c r="A57" s="26">
        <f ca="1">IFERROR(__xludf.DUMMYFUNCTION("""COMPUTED_VALUE"""),20542)</f>
        <v>20542</v>
      </c>
      <c r="B57" s="86">
        <f ca="1">IFERROR(__xludf.DUMMYFUNCTION("""COMPUTED_VALUE"""),45193.5912731481)</f>
        <v>45193.5912731481</v>
      </c>
      <c r="C57" s="1" t="str">
        <f ca="1">IFERROR(__xludf.DUMMYFUNCTION("""COMPUTED_VALUE"""),"completed")</f>
        <v>completed</v>
      </c>
      <c r="D57" s="26">
        <f ca="1">IFERROR(__xludf.DUMMYFUNCTION("""COMPUTED_VALUE"""),33)</f>
        <v>33</v>
      </c>
      <c r="E57" s="1" t="str">
        <f ca="1">IFERROR(__xludf.DUMMYFUNCTION("""COMPUTED_VALUE"""),"WMFA")</f>
        <v>WMFA</v>
      </c>
      <c r="F57" s="87" t="str">
        <f t="shared" ca="1" si="0"/>
        <v>2023</v>
      </c>
      <c r="G57" s="1" t="str">
        <f ca="1">IFERROR(__xludf.DUMMYFUNCTION("""COMPUTED_VALUE"""),"WMFA")</f>
        <v>WMFA</v>
      </c>
      <c r="H57" s="26">
        <f t="shared" ca="1" si="1"/>
        <v>33</v>
      </c>
      <c r="I57" s="26">
        <f t="shared" ca="1" si="2"/>
        <v>1</v>
      </c>
      <c r="J57" s="86">
        <f t="shared" ca="1" si="3"/>
        <v>45193</v>
      </c>
      <c r="R57" s="26"/>
    </row>
    <row r="58" spans="1:18" ht="15.75" customHeight="1">
      <c r="A58" s="26">
        <f ca="1">IFERROR(__xludf.DUMMYFUNCTION("""COMPUTED_VALUE"""),20541)</f>
        <v>20541</v>
      </c>
      <c r="B58" s="86">
        <f ca="1">IFERROR(__xludf.DUMMYFUNCTION("""COMPUTED_VALUE"""),45193.5868055555)</f>
        <v>45193.586805555497</v>
      </c>
      <c r="C58" s="1" t="str">
        <f ca="1">IFERROR(__xludf.DUMMYFUNCTION("""COMPUTED_VALUE"""),"completed")</f>
        <v>completed</v>
      </c>
      <c r="D58" s="26">
        <f ca="1">IFERROR(__xludf.DUMMYFUNCTION("""COMPUTED_VALUE"""),20)</f>
        <v>20</v>
      </c>
      <c r="E58" s="1" t="str">
        <f ca="1">IFERROR(__xludf.DUMMYFUNCTION("""COMPUTED_VALUE"""),"WMFA")</f>
        <v>WMFA</v>
      </c>
      <c r="F58" s="87" t="str">
        <f t="shared" ca="1" si="0"/>
        <v>2023</v>
      </c>
      <c r="G58" s="1" t="str">
        <f ca="1">IFERROR(__xludf.DUMMYFUNCTION("""COMPUTED_VALUE"""),"WMFA")</f>
        <v>WMFA</v>
      </c>
      <c r="H58" s="26">
        <f t="shared" ca="1" si="1"/>
        <v>20</v>
      </c>
      <c r="I58" s="26">
        <f t="shared" ca="1" si="2"/>
        <v>1</v>
      </c>
      <c r="J58" s="86">
        <f t="shared" ca="1" si="3"/>
        <v>45193</v>
      </c>
      <c r="R58" s="26"/>
    </row>
    <row r="59" spans="1:18" ht="15.75" customHeight="1">
      <c r="A59" s="26">
        <f ca="1">IFERROR(__xludf.DUMMYFUNCTION("""COMPUTED_VALUE"""),20540)</f>
        <v>20540</v>
      </c>
      <c r="B59" s="86">
        <f ca="1">IFERROR(__xludf.DUMMYFUNCTION("""COMPUTED_VALUE"""),45193.5823611111)</f>
        <v>45193.582361111097</v>
      </c>
      <c r="C59" s="1" t="str">
        <f ca="1">IFERROR(__xludf.DUMMYFUNCTION("""COMPUTED_VALUE"""),"completed")</f>
        <v>completed</v>
      </c>
      <c r="D59" s="26">
        <f ca="1">IFERROR(__xludf.DUMMYFUNCTION("""COMPUTED_VALUE"""),35)</f>
        <v>35</v>
      </c>
      <c r="E59" s="1" t="str">
        <f ca="1">IFERROR(__xludf.DUMMYFUNCTION("""COMPUTED_VALUE"""),"WMFA")</f>
        <v>WMFA</v>
      </c>
      <c r="F59" s="87" t="str">
        <f t="shared" ca="1" si="0"/>
        <v>2023</v>
      </c>
      <c r="G59" s="1" t="str">
        <f ca="1">IFERROR(__xludf.DUMMYFUNCTION("""COMPUTED_VALUE"""),"WMFA")</f>
        <v>WMFA</v>
      </c>
      <c r="H59" s="26">
        <f t="shared" ca="1" si="1"/>
        <v>35</v>
      </c>
      <c r="I59" s="26">
        <f t="shared" ca="1" si="2"/>
        <v>1</v>
      </c>
      <c r="J59" s="86">
        <f t="shared" ca="1" si="3"/>
        <v>45193</v>
      </c>
      <c r="R59" s="26"/>
    </row>
    <row r="60" spans="1:18" ht="15.75" customHeight="1">
      <c r="A60" s="26">
        <f ca="1">IFERROR(__xludf.DUMMYFUNCTION("""COMPUTED_VALUE"""),20539)</f>
        <v>20539</v>
      </c>
      <c r="B60" s="86">
        <f ca="1">IFERROR(__xludf.DUMMYFUNCTION("""COMPUTED_VALUE"""),45193.5763194444)</f>
        <v>45193.576319444401</v>
      </c>
      <c r="C60" s="1" t="str">
        <f ca="1">IFERROR(__xludf.DUMMYFUNCTION("""COMPUTED_VALUE"""),"completed")</f>
        <v>completed</v>
      </c>
      <c r="D60" s="26">
        <f ca="1">IFERROR(__xludf.DUMMYFUNCTION("""COMPUTED_VALUE"""),41)</f>
        <v>41</v>
      </c>
      <c r="E60" s="1" t="str">
        <f ca="1">IFERROR(__xludf.DUMMYFUNCTION("""COMPUTED_VALUE"""),"WMFA")</f>
        <v>WMFA</v>
      </c>
      <c r="F60" s="87" t="str">
        <f t="shared" ca="1" si="0"/>
        <v>2023</v>
      </c>
      <c r="G60" s="1" t="str">
        <f ca="1">IFERROR(__xludf.DUMMYFUNCTION("""COMPUTED_VALUE"""),"WMFA")</f>
        <v>WMFA</v>
      </c>
      <c r="H60" s="26">
        <f t="shared" ca="1" si="1"/>
        <v>41</v>
      </c>
      <c r="I60" s="26">
        <f t="shared" ca="1" si="2"/>
        <v>1</v>
      </c>
      <c r="J60" s="86">
        <f t="shared" ca="1" si="3"/>
        <v>45193</v>
      </c>
      <c r="R60" s="26"/>
    </row>
    <row r="61" spans="1:18" ht="15.75" customHeight="1">
      <c r="A61" s="26">
        <f ca="1">IFERROR(__xludf.DUMMYFUNCTION("""COMPUTED_VALUE"""),20538)</f>
        <v>20538</v>
      </c>
      <c r="B61" s="86">
        <f ca="1">IFERROR(__xludf.DUMMYFUNCTION("""COMPUTED_VALUE"""),45193.5311458333)</f>
        <v>45193.531145833302</v>
      </c>
      <c r="C61" s="1" t="str">
        <f ca="1">IFERROR(__xludf.DUMMYFUNCTION("""COMPUTED_VALUE"""),"completed")</f>
        <v>completed</v>
      </c>
      <c r="D61" s="26">
        <f ca="1">IFERROR(__xludf.DUMMYFUNCTION("""COMPUTED_VALUE"""),55)</f>
        <v>55</v>
      </c>
      <c r="E61" s="1" t="str">
        <f ca="1">IFERROR(__xludf.DUMMYFUNCTION("""COMPUTED_VALUE"""),"WMFA")</f>
        <v>WMFA</v>
      </c>
      <c r="F61" s="87" t="str">
        <f t="shared" ca="1" si="0"/>
        <v>2023</v>
      </c>
      <c r="G61" s="1" t="str">
        <f ca="1">IFERROR(__xludf.DUMMYFUNCTION("""COMPUTED_VALUE"""),"WMFA")</f>
        <v>WMFA</v>
      </c>
      <c r="H61" s="26">
        <f t="shared" ca="1" si="1"/>
        <v>55</v>
      </c>
      <c r="I61" s="26">
        <f t="shared" ca="1" si="2"/>
        <v>1</v>
      </c>
      <c r="J61" s="86">
        <f t="shared" ca="1" si="3"/>
        <v>45193</v>
      </c>
      <c r="R61" s="26"/>
    </row>
    <row r="62" spans="1:18" ht="15.75" customHeight="1">
      <c r="A62" s="26">
        <f ca="1">IFERROR(__xludf.DUMMYFUNCTION("""COMPUTED_VALUE"""),20537)</f>
        <v>20537</v>
      </c>
      <c r="B62" s="86">
        <f ca="1">IFERROR(__xludf.DUMMYFUNCTION("""COMPUTED_VALUE"""),45193.5307754629)</f>
        <v>45193.530775462903</v>
      </c>
      <c r="C62" s="1" t="str">
        <f ca="1">IFERROR(__xludf.DUMMYFUNCTION("""COMPUTED_VALUE"""),"completed")</f>
        <v>completed</v>
      </c>
      <c r="D62" s="26">
        <f ca="1">IFERROR(__xludf.DUMMYFUNCTION("""COMPUTED_VALUE"""),35)</f>
        <v>35</v>
      </c>
      <c r="E62" s="1" t="str">
        <f ca="1">IFERROR(__xludf.DUMMYFUNCTION("""COMPUTED_VALUE"""),"WMFA")</f>
        <v>WMFA</v>
      </c>
      <c r="F62" s="87" t="str">
        <f t="shared" ca="1" si="0"/>
        <v>2023</v>
      </c>
      <c r="G62" s="1" t="str">
        <f ca="1">IFERROR(__xludf.DUMMYFUNCTION("""COMPUTED_VALUE"""),"WMFA")</f>
        <v>WMFA</v>
      </c>
      <c r="H62" s="26">
        <f t="shared" ca="1" si="1"/>
        <v>35</v>
      </c>
      <c r="I62" s="26">
        <f t="shared" ca="1" si="2"/>
        <v>1</v>
      </c>
      <c r="J62" s="86">
        <f t="shared" ca="1" si="3"/>
        <v>45193</v>
      </c>
      <c r="R62" s="26"/>
    </row>
    <row r="63" spans="1:18" ht="15.75" customHeight="1">
      <c r="A63" s="26">
        <f ca="1">IFERROR(__xludf.DUMMYFUNCTION("""COMPUTED_VALUE"""),20536)</f>
        <v>20536</v>
      </c>
      <c r="B63" s="86">
        <f ca="1">IFERROR(__xludf.DUMMYFUNCTION("""COMPUTED_VALUE"""),45193.5284722222)</f>
        <v>45193.528472222199</v>
      </c>
      <c r="C63" s="1" t="str">
        <f ca="1">IFERROR(__xludf.DUMMYFUNCTION("""COMPUTED_VALUE"""),"completed")</f>
        <v>completed</v>
      </c>
      <c r="D63" s="26">
        <f ca="1">IFERROR(__xludf.DUMMYFUNCTION("""COMPUTED_VALUE"""),41)</f>
        <v>41</v>
      </c>
      <c r="E63" s="1" t="str">
        <f ca="1">IFERROR(__xludf.DUMMYFUNCTION("""COMPUTED_VALUE"""),"WMFA")</f>
        <v>WMFA</v>
      </c>
      <c r="F63" s="87" t="str">
        <f t="shared" ca="1" si="0"/>
        <v>2023</v>
      </c>
      <c r="G63" s="1" t="str">
        <f ca="1">IFERROR(__xludf.DUMMYFUNCTION("""COMPUTED_VALUE"""),"WMFA")</f>
        <v>WMFA</v>
      </c>
      <c r="H63" s="26">
        <f t="shared" ca="1" si="1"/>
        <v>41</v>
      </c>
      <c r="I63" s="26">
        <f t="shared" ca="1" si="2"/>
        <v>1</v>
      </c>
      <c r="J63" s="86">
        <f t="shared" ca="1" si="3"/>
        <v>45193</v>
      </c>
      <c r="R63" s="26"/>
    </row>
    <row r="64" spans="1:18" ht="15.75" customHeight="1">
      <c r="A64" s="26">
        <f ca="1">IFERROR(__xludf.DUMMYFUNCTION("""COMPUTED_VALUE"""),20535)</f>
        <v>20535</v>
      </c>
      <c r="B64" s="86">
        <f ca="1">IFERROR(__xludf.DUMMYFUNCTION("""COMPUTED_VALUE"""),45193.5266666666)</f>
        <v>45193.526666666599</v>
      </c>
      <c r="C64" s="1" t="str">
        <f ca="1">IFERROR(__xludf.DUMMYFUNCTION("""COMPUTED_VALUE"""),"completed")</f>
        <v>completed</v>
      </c>
      <c r="D64" s="26">
        <f ca="1">IFERROR(__xludf.DUMMYFUNCTION("""COMPUTED_VALUE"""),55)</f>
        <v>55</v>
      </c>
      <c r="E64" s="1" t="str">
        <f ca="1">IFERROR(__xludf.DUMMYFUNCTION("""COMPUTED_VALUE"""),"WMFA")</f>
        <v>WMFA</v>
      </c>
      <c r="F64" s="87" t="str">
        <f t="shared" ca="1" si="0"/>
        <v>2023</v>
      </c>
      <c r="G64" s="1" t="str">
        <f ca="1">IFERROR(__xludf.DUMMYFUNCTION("""COMPUTED_VALUE"""),"WMFA")</f>
        <v>WMFA</v>
      </c>
      <c r="H64" s="26">
        <f t="shared" ca="1" si="1"/>
        <v>55</v>
      </c>
      <c r="I64" s="26">
        <f t="shared" ca="1" si="2"/>
        <v>1</v>
      </c>
      <c r="J64" s="86">
        <f t="shared" ca="1" si="3"/>
        <v>45193</v>
      </c>
      <c r="R64" s="26"/>
    </row>
    <row r="65" spans="1:18" ht="15.75" customHeight="1">
      <c r="A65" s="26">
        <f ca="1">IFERROR(__xludf.DUMMYFUNCTION("""COMPUTED_VALUE"""),20534)</f>
        <v>20534</v>
      </c>
      <c r="B65" s="86">
        <f ca="1">IFERROR(__xludf.DUMMYFUNCTION("""COMPUTED_VALUE"""),45193.5244560185)</f>
        <v>45193.524456018502</v>
      </c>
      <c r="C65" s="1" t="str">
        <f ca="1">IFERROR(__xludf.DUMMYFUNCTION("""COMPUTED_VALUE"""),"completed")</f>
        <v>completed</v>
      </c>
      <c r="D65" s="26">
        <f ca="1">IFERROR(__xludf.DUMMYFUNCTION("""COMPUTED_VALUE"""),28)</f>
        <v>28</v>
      </c>
      <c r="E65" s="1" t="str">
        <f ca="1">IFERROR(__xludf.DUMMYFUNCTION("""COMPUTED_VALUE"""),"WMFA")</f>
        <v>WMFA</v>
      </c>
      <c r="F65" s="87" t="str">
        <f t="shared" ca="1" si="0"/>
        <v>2023</v>
      </c>
      <c r="G65" s="1" t="str">
        <f ca="1">IFERROR(__xludf.DUMMYFUNCTION("""COMPUTED_VALUE"""),"WMFA")</f>
        <v>WMFA</v>
      </c>
      <c r="H65" s="26">
        <f t="shared" ca="1" si="1"/>
        <v>28</v>
      </c>
      <c r="I65" s="26">
        <f t="shared" ca="1" si="2"/>
        <v>1</v>
      </c>
      <c r="J65" s="86">
        <f t="shared" ca="1" si="3"/>
        <v>45193</v>
      </c>
      <c r="R65" s="26"/>
    </row>
    <row r="66" spans="1:18" ht="15.75" customHeight="1">
      <c r="A66" s="26">
        <f ca="1">IFERROR(__xludf.DUMMYFUNCTION("""COMPUTED_VALUE"""),20533)</f>
        <v>20533</v>
      </c>
      <c r="B66" s="86">
        <f ca="1">IFERROR(__xludf.DUMMYFUNCTION("""COMPUTED_VALUE"""),45193.5226967592)</f>
        <v>45193.522696759203</v>
      </c>
      <c r="C66" s="1" t="str">
        <f ca="1">IFERROR(__xludf.DUMMYFUNCTION("""COMPUTED_VALUE"""),"completed")</f>
        <v>completed</v>
      </c>
      <c r="D66" s="26">
        <f ca="1">IFERROR(__xludf.DUMMYFUNCTION("""COMPUTED_VALUE"""),48)</f>
        <v>48</v>
      </c>
      <c r="E66" s="1" t="str">
        <f ca="1">IFERROR(__xludf.DUMMYFUNCTION("""COMPUTED_VALUE"""),"WMFA")</f>
        <v>WMFA</v>
      </c>
      <c r="F66" s="87" t="str">
        <f t="shared" ca="1" si="0"/>
        <v>2023</v>
      </c>
      <c r="G66" s="1" t="str">
        <f ca="1">IFERROR(__xludf.DUMMYFUNCTION("""COMPUTED_VALUE"""),"WMFA")</f>
        <v>WMFA</v>
      </c>
      <c r="H66" s="26">
        <f t="shared" ca="1" si="1"/>
        <v>48</v>
      </c>
      <c r="I66" s="26">
        <f t="shared" ca="1" si="2"/>
        <v>1</v>
      </c>
      <c r="J66" s="86">
        <f t="shared" ca="1" si="3"/>
        <v>45193</v>
      </c>
      <c r="R66" s="26"/>
    </row>
    <row r="67" spans="1:18" ht="15.75" customHeight="1">
      <c r="A67" s="26">
        <f ca="1">IFERROR(__xludf.DUMMYFUNCTION("""COMPUTED_VALUE"""),20532)</f>
        <v>20532</v>
      </c>
      <c r="B67" s="86">
        <f ca="1">IFERROR(__xludf.DUMMYFUNCTION("""COMPUTED_VALUE"""),45193.5208680555)</f>
        <v>45193.520868055501</v>
      </c>
      <c r="C67" s="1" t="str">
        <f ca="1">IFERROR(__xludf.DUMMYFUNCTION("""COMPUTED_VALUE"""),"completed")</f>
        <v>completed</v>
      </c>
      <c r="D67" s="26">
        <f ca="1">IFERROR(__xludf.DUMMYFUNCTION("""COMPUTED_VALUE"""),35)</f>
        <v>35</v>
      </c>
      <c r="E67" s="1" t="str">
        <f ca="1">IFERROR(__xludf.DUMMYFUNCTION("""COMPUTED_VALUE"""),"WMFA")</f>
        <v>WMFA</v>
      </c>
      <c r="F67" s="87" t="str">
        <f t="shared" ca="1" si="0"/>
        <v>2023</v>
      </c>
      <c r="G67" s="1" t="str">
        <f ca="1">IFERROR(__xludf.DUMMYFUNCTION("""COMPUTED_VALUE"""),"WMFA")</f>
        <v>WMFA</v>
      </c>
      <c r="H67" s="26">
        <f t="shared" ca="1" si="1"/>
        <v>35</v>
      </c>
      <c r="I67" s="26">
        <f t="shared" ca="1" si="2"/>
        <v>1</v>
      </c>
      <c r="J67" s="86">
        <f t="shared" ca="1" si="3"/>
        <v>45193</v>
      </c>
      <c r="R67" s="26"/>
    </row>
    <row r="68" spans="1:18" ht="15.75" customHeight="1">
      <c r="A68" s="26">
        <f ca="1">IFERROR(__xludf.DUMMYFUNCTION("""COMPUTED_VALUE"""),20531)</f>
        <v>20531</v>
      </c>
      <c r="B68" s="86">
        <f ca="1">IFERROR(__xludf.DUMMYFUNCTION("""COMPUTED_VALUE"""),45193.5171296296)</f>
        <v>45193.517129629603</v>
      </c>
      <c r="C68" s="1" t="str">
        <f ca="1">IFERROR(__xludf.DUMMYFUNCTION("""COMPUTED_VALUE"""),"completed")</f>
        <v>completed</v>
      </c>
      <c r="D68" s="26">
        <f ca="1">IFERROR(__xludf.DUMMYFUNCTION("""COMPUTED_VALUE"""),25)</f>
        <v>25</v>
      </c>
      <c r="E68" s="1" t="str">
        <f ca="1">IFERROR(__xludf.DUMMYFUNCTION("""COMPUTED_VALUE"""),"WMFA")</f>
        <v>WMFA</v>
      </c>
      <c r="F68" s="87" t="str">
        <f t="shared" ca="1" si="0"/>
        <v>2023</v>
      </c>
      <c r="G68" s="1" t="str">
        <f ca="1">IFERROR(__xludf.DUMMYFUNCTION("""COMPUTED_VALUE"""),"WMFA")</f>
        <v>WMFA</v>
      </c>
      <c r="H68" s="26">
        <f t="shared" ca="1" si="1"/>
        <v>25</v>
      </c>
      <c r="I68" s="26">
        <f t="shared" ca="1" si="2"/>
        <v>1</v>
      </c>
      <c r="J68" s="86">
        <f t="shared" ca="1" si="3"/>
        <v>45193</v>
      </c>
      <c r="R68" s="26"/>
    </row>
    <row r="69" spans="1:18" ht="15.75" customHeight="1">
      <c r="A69" s="26">
        <f ca="1">IFERROR(__xludf.DUMMYFUNCTION("""COMPUTED_VALUE"""),20530)</f>
        <v>20530</v>
      </c>
      <c r="B69" s="86">
        <f ca="1">IFERROR(__xludf.DUMMYFUNCTION("""COMPUTED_VALUE"""),45193.5126388888)</f>
        <v>45193.512638888802</v>
      </c>
      <c r="C69" s="1" t="str">
        <f ca="1">IFERROR(__xludf.DUMMYFUNCTION("""COMPUTED_VALUE"""),"completed")</f>
        <v>completed</v>
      </c>
      <c r="D69" s="26">
        <f ca="1">IFERROR(__xludf.DUMMYFUNCTION("""COMPUTED_VALUE"""),15)</f>
        <v>15</v>
      </c>
      <c r="E69" s="1" t="str">
        <f ca="1">IFERROR(__xludf.DUMMYFUNCTION("""COMPUTED_VALUE"""),"WMFA")</f>
        <v>WMFA</v>
      </c>
      <c r="F69" s="87" t="str">
        <f t="shared" ca="1" si="0"/>
        <v>2023</v>
      </c>
      <c r="G69" s="1" t="str">
        <f ca="1">IFERROR(__xludf.DUMMYFUNCTION("""COMPUTED_VALUE"""),"WMFA")</f>
        <v>WMFA</v>
      </c>
      <c r="H69" s="26">
        <f t="shared" ca="1" si="1"/>
        <v>15</v>
      </c>
      <c r="I69" s="26">
        <f t="shared" ca="1" si="2"/>
        <v>1</v>
      </c>
      <c r="J69" s="86">
        <f t="shared" ca="1" si="3"/>
        <v>45193</v>
      </c>
      <c r="R69" s="26"/>
    </row>
    <row r="70" spans="1:18" ht="15.75" customHeight="1">
      <c r="A70" s="26">
        <f ca="1">IFERROR(__xludf.DUMMYFUNCTION("""COMPUTED_VALUE"""),20529)</f>
        <v>20529</v>
      </c>
      <c r="B70" s="86">
        <f ca="1">IFERROR(__xludf.DUMMYFUNCTION("""COMPUTED_VALUE"""),45193.5121412037)</f>
        <v>45193.512141203697</v>
      </c>
      <c r="C70" s="1" t="str">
        <f ca="1">IFERROR(__xludf.DUMMYFUNCTION("""COMPUTED_VALUE"""),"completed")</f>
        <v>completed</v>
      </c>
      <c r="D70" s="26">
        <f ca="1">IFERROR(__xludf.DUMMYFUNCTION("""COMPUTED_VALUE"""),25)</f>
        <v>25</v>
      </c>
      <c r="E70" s="1" t="str">
        <f ca="1">IFERROR(__xludf.DUMMYFUNCTION("""COMPUTED_VALUE"""),"WMFA")</f>
        <v>WMFA</v>
      </c>
      <c r="F70" s="87" t="str">
        <f t="shared" ca="1" si="0"/>
        <v>2023</v>
      </c>
      <c r="G70" s="1" t="str">
        <f ca="1">IFERROR(__xludf.DUMMYFUNCTION("""COMPUTED_VALUE"""),"WMFA")</f>
        <v>WMFA</v>
      </c>
      <c r="H70" s="26">
        <f t="shared" ca="1" si="1"/>
        <v>25</v>
      </c>
      <c r="I70" s="26">
        <f t="shared" ca="1" si="2"/>
        <v>1</v>
      </c>
      <c r="J70" s="86">
        <f t="shared" ca="1" si="3"/>
        <v>45193</v>
      </c>
      <c r="R70" s="26"/>
    </row>
    <row r="71" spans="1:18" ht="15.75" customHeight="1">
      <c r="A71" s="26">
        <f ca="1">IFERROR(__xludf.DUMMYFUNCTION("""COMPUTED_VALUE"""),20528)</f>
        <v>20528</v>
      </c>
      <c r="B71" s="86">
        <f ca="1">IFERROR(__xludf.DUMMYFUNCTION("""COMPUTED_VALUE"""),45193.5086111111)</f>
        <v>45193.508611111101</v>
      </c>
      <c r="C71" s="1" t="str">
        <f ca="1">IFERROR(__xludf.DUMMYFUNCTION("""COMPUTED_VALUE"""),"completed")</f>
        <v>completed</v>
      </c>
      <c r="D71" s="26">
        <f ca="1">IFERROR(__xludf.DUMMYFUNCTION("""COMPUTED_VALUE"""),25)</f>
        <v>25</v>
      </c>
      <c r="E71" s="1" t="str">
        <f ca="1">IFERROR(__xludf.DUMMYFUNCTION("""COMPUTED_VALUE"""),"WMFA")</f>
        <v>WMFA</v>
      </c>
      <c r="F71" s="87" t="str">
        <f t="shared" ca="1" si="0"/>
        <v>2023</v>
      </c>
      <c r="G71" s="1" t="str">
        <f ca="1">IFERROR(__xludf.DUMMYFUNCTION("""COMPUTED_VALUE"""),"WMFA")</f>
        <v>WMFA</v>
      </c>
      <c r="H71" s="26">
        <f t="shared" ca="1" si="1"/>
        <v>25</v>
      </c>
      <c r="I71" s="26">
        <f t="shared" ca="1" si="2"/>
        <v>1</v>
      </c>
      <c r="J71" s="86">
        <f t="shared" ca="1" si="3"/>
        <v>45193</v>
      </c>
      <c r="R71" s="26"/>
    </row>
    <row r="72" spans="1:18" ht="15.75" customHeight="1">
      <c r="A72" s="26">
        <f ca="1">IFERROR(__xludf.DUMMYFUNCTION("""COMPUTED_VALUE"""),20527)</f>
        <v>20527</v>
      </c>
      <c r="B72" s="86">
        <f ca="1">IFERROR(__xludf.DUMMYFUNCTION("""COMPUTED_VALUE"""),45193.4935185185)</f>
        <v>45193.493518518502</v>
      </c>
      <c r="C72" s="1" t="str">
        <f ca="1">IFERROR(__xludf.DUMMYFUNCTION("""COMPUTED_VALUE"""),"completed")</f>
        <v>completed</v>
      </c>
      <c r="D72" s="26">
        <f ca="1">IFERROR(__xludf.DUMMYFUNCTION("""COMPUTED_VALUE"""),26)</f>
        <v>26</v>
      </c>
      <c r="E72" s="1" t="str">
        <f ca="1">IFERROR(__xludf.DUMMYFUNCTION("""COMPUTED_VALUE"""),"WMFA")</f>
        <v>WMFA</v>
      </c>
      <c r="F72" s="87" t="str">
        <f t="shared" ca="1" si="0"/>
        <v>2023</v>
      </c>
      <c r="G72" s="1" t="str">
        <f ca="1">IFERROR(__xludf.DUMMYFUNCTION("""COMPUTED_VALUE"""),"WMFA")</f>
        <v>WMFA</v>
      </c>
      <c r="H72" s="26">
        <f t="shared" ca="1" si="1"/>
        <v>26</v>
      </c>
      <c r="I72" s="26">
        <f t="shared" ca="1" si="2"/>
        <v>1</v>
      </c>
      <c r="J72" s="86">
        <f t="shared" ca="1" si="3"/>
        <v>45193</v>
      </c>
      <c r="R72" s="26"/>
    </row>
    <row r="73" spans="1:18" ht="15.75" customHeight="1">
      <c r="A73" s="26">
        <f ca="1">IFERROR(__xludf.DUMMYFUNCTION("""COMPUTED_VALUE"""),20526)</f>
        <v>20526</v>
      </c>
      <c r="B73" s="86">
        <f ca="1">IFERROR(__xludf.DUMMYFUNCTION("""COMPUTED_VALUE"""),45193.4909722222)</f>
        <v>45193.4909722222</v>
      </c>
      <c r="C73" s="1" t="str">
        <f ca="1">IFERROR(__xludf.DUMMYFUNCTION("""COMPUTED_VALUE"""),"completed")</f>
        <v>completed</v>
      </c>
      <c r="D73" s="26">
        <f ca="1">IFERROR(__xludf.DUMMYFUNCTION("""COMPUTED_VALUE"""),37)</f>
        <v>37</v>
      </c>
      <c r="E73" s="1" t="str">
        <f ca="1">IFERROR(__xludf.DUMMYFUNCTION("""COMPUTED_VALUE"""),"WMFA")</f>
        <v>WMFA</v>
      </c>
      <c r="F73" s="87" t="str">
        <f t="shared" ca="1" si="0"/>
        <v>2023</v>
      </c>
      <c r="G73" s="1" t="str">
        <f ca="1">IFERROR(__xludf.DUMMYFUNCTION("""COMPUTED_VALUE"""),"WMFA")</f>
        <v>WMFA</v>
      </c>
      <c r="H73" s="26">
        <f t="shared" ca="1" si="1"/>
        <v>37</v>
      </c>
      <c r="I73" s="26">
        <f t="shared" ca="1" si="2"/>
        <v>1</v>
      </c>
      <c r="J73" s="86">
        <f t="shared" ca="1" si="3"/>
        <v>45193</v>
      </c>
      <c r="R73" s="26"/>
    </row>
    <row r="74" spans="1:18" ht="15.75" customHeight="1">
      <c r="A74" s="26">
        <f ca="1">IFERROR(__xludf.DUMMYFUNCTION("""COMPUTED_VALUE"""),20525)</f>
        <v>20525</v>
      </c>
      <c r="B74" s="86">
        <f ca="1">IFERROR(__xludf.DUMMYFUNCTION("""COMPUTED_VALUE"""),45193.4879513888)</f>
        <v>45193.487951388801</v>
      </c>
      <c r="C74" s="1" t="str">
        <f ca="1">IFERROR(__xludf.DUMMYFUNCTION("""COMPUTED_VALUE"""),"completed")</f>
        <v>completed</v>
      </c>
      <c r="D74" s="26">
        <f ca="1">IFERROR(__xludf.DUMMYFUNCTION("""COMPUTED_VALUE"""),25)</f>
        <v>25</v>
      </c>
      <c r="E74" s="1" t="str">
        <f ca="1">IFERROR(__xludf.DUMMYFUNCTION("""COMPUTED_VALUE"""),"WMFA")</f>
        <v>WMFA</v>
      </c>
      <c r="F74" s="87" t="str">
        <f t="shared" ca="1" si="0"/>
        <v>2023</v>
      </c>
      <c r="G74" s="1" t="str">
        <f ca="1">IFERROR(__xludf.DUMMYFUNCTION("""COMPUTED_VALUE"""),"WMFA")</f>
        <v>WMFA</v>
      </c>
      <c r="H74" s="26">
        <f t="shared" ca="1" si="1"/>
        <v>25</v>
      </c>
      <c r="I74" s="26">
        <f t="shared" ca="1" si="2"/>
        <v>1</v>
      </c>
      <c r="J74" s="86">
        <f t="shared" ca="1" si="3"/>
        <v>45193</v>
      </c>
      <c r="R74" s="26"/>
    </row>
    <row r="75" spans="1:18" ht="15.75" customHeight="1">
      <c r="A75" s="26">
        <f ca="1">IFERROR(__xludf.DUMMYFUNCTION("""COMPUTED_VALUE"""),20524)</f>
        <v>20524</v>
      </c>
      <c r="B75" s="86">
        <f ca="1">IFERROR(__xludf.DUMMYFUNCTION("""COMPUTED_VALUE"""),45193.4787384259)</f>
        <v>45193.478738425903</v>
      </c>
      <c r="C75" s="1" t="str">
        <f ca="1">IFERROR(__xludf.DUMMYFUNCTION("""COMPUTED_VALUE"""),"completed")</f>
        <v>completed</v>
      </c>
      <c r="D75" s="26">
        <f ca="1">IFERROR(__xludf.DUMMYFUNCTION("""COMPUTED_VALUE"""),28)</f>
        <v>28</v>
      </c>
      <c r="E75" s="1" t="str">
        <f ca="1">IFERROR(__xludf.DUMMYFUNCTION("""COMPUTED_VALUE"""),"WMFA")</f>
        <v>WMFA</v>
      </c>
      <c r="F75" s="87" t="str">
        <f t="shared" ca="1" si="0"/>
        <v>2023</v>
      </c>
      <c r="G75" s="1" t="str">
        <f ca="1">IFERROR(__xludf.DUMMYFUNCTION("""COMPUTED_VALUE"""),"WMFA")</f>
        <v>WMFA</v>
      </c>
      <c r="H75" s="26">
        <f t="shared" ca="1" si="1"/>
        <v>28</v>
      </c>
      <c r="I75" s="26">
        <f t="shared" ca="1" si="2"/>
        <v>1</v>
      </c>
      <c r="J75" s="86">
        <f t="shared" ca="1" si="3"/>
        <v>45193</v>
      </c>
      <c r="R75" s="26"/>
    </row>
    <row r="76" spans="1:18" ht="15.75" customHeight="1">
      <c r="A76" s="26">
        <f ca="1">IFERROR(__xludf.DUMMYFUNCTION("""COMPUTED_VALUE"""),20523)</f>
        <v>20523</v>
      </c>
      <c r="B76" s="86">
        <f ca="1">IFERROR(__xludf.DUMMYFUNCTION("""COMPUTED_VALUE"""),45193.1171296296)</f>
        <v>45193.117129629602</v>
      </c>
      <c r="C76" s="1" t="str">
        <f ca="1">IFERROR(__xludf.DUMMYFUNCTION("""COMPUTED_VALUE"""),"completed")</f>
        <v>completed</v>
      </c>
      <c r="D76" s="26">
        <f ca="1">IFERROR(__xludf.DUMMYFUNCTION("""COMPUTED_VALUE"""),28)</f>
        <v>28</v>
      </c>
      <c r="E76" s="1" t="str">
        <f ca="1">IFERROR(__xludf.DUMMYFUNCTION("""COMPUTED_VALUE"""),"WMFA")</f>
        <v>WMFA</v>
      </c>
      <c r="F76" s="87" t="str">
        <f t="shared" ca="1" si="0"/>
        <v>2023</v>
      </c>
      <c r="G76" s="1" t="str">
        <f ca="1">IFERROR(__xludf.DUMMYFUNCTION("""COMPUTED_VALUE"""),"WMFA")</f>
        <v>WMFA</v>
      </c>
      <c r="H76" s="26">
        <f t="shared" ca="1" si="1"/>
        <v>28</v>
      </c>
      <c r="I76" s="26">
        <f t="shared" ca="1" si="2"/>
        <v>1</v>
      </c>
      <c r="J76" s="86">
        <f t="shared" ca="1" si="3"/>
        <v>45193</v>
      </c>
      <c r="R76" s="26"/>
    </row>
    <row r="77" spans="1:18" ht="15.75" customHeight="1">
      <c r="A77" s="26">
        <f ca="1">IFERROR(__xludf.DUMMYFUNCTION("""COMPUTED_VALUE"""),20505)</f>
        <v>20505</v>
      </c>
      <c r="B77" s="86">
        <f ca="1">IFERROR(__xludf.DUMMYFUNCTION("""COMPUTED_VALUE"""),45193.0365046296)</f>
        <v>45193.036504629599</v>
      </c>
      <c r="C77" s="1" t="str">
        <f ca="1">IFERROR(__xludf.DUMMYFUNCTION("""COMPUTED_VALUE"""),"completed")</f>
        <v>completed</v>
      </c>
      <c r="D77" s="26">
        <f ca="1">IFERROR(__xludf.DUMMYFUNCTION("""COMPUTED_VALUE"""),15)</f>
        <v>15</v>
      </c>
      <c r="E77" s="1" t="str">
        <f ca="1">IFERROR(__xludf.DUMMYFUNCTION("""COMPUTED_VALUE"""),"WMFA")</f>
        <v>WMFA</v>
      </c>
      <c r="F77" s="87" t="str">
        <f t="shared" ca="1" si="0"/>
        <v>2023</v>
      </c>
      <c r="G77" s="1" t="str">
        <f ca="1">IFERROR(__xludf.DUMMYFUNCTION("""COMPUTED_VALUE"""),"WMFA")</f>
        <v>WMFA</v>
      </c>
      <c r="H77" s="26">
        <f t="shared" ca="1" si="1"/>
        <v>15</v>
      </c>
      <c r="I77" s="26">
        <f t="shared" ca="1" si="2"/>
        <v>1</v>
      </c>
      <c r="J77" s="86">
        <f t="shared" ca="1" si="3"/>
        <v>45193</v>
      </c>
      <c r="R77" s="26"/>
    </row>
    <row r="78" spans="1:18" ht="15.75" customHeight="1">
      <c r="A78" s="26">
        <f ca="1">IFERROR(__xludf.DUMMYFUNCTION("""COMPUTED_VALUE"""),20480)</f>
        <v>20480</v>
      </c>
      <c r="B78" s="86">
        <f ca="1">IFERROR(__xludf.DUMMYFUNCTION("""COMPUTED_VALUE"""),45192.7969791666)</f>
        <v>45192.796979166596</v>
      </c>
      <c r="C78" s="1" t="str">
        <f ca="1">IFERROR(__xludf.DUMMYFUNCTION("""COMPUTED_VALUE"""),"completed")</f>
        <v>completed</v>
      </c>
      <c r="D78" s="26">
        <f ca="1">IFERROR(__xludf.DUMMYFUNCTION("""COMPUTED_VALUE"""),90)</f>
        <v>90</v>
      </c>
      <c r="E78" s="1" t="str">
        <f ca="1">IFERROR(__xludf.DUMMYFUNCTION("""COMPUTED_VALUE"""),"WMFA")</f>
        <v>WMFA</v>
      </c>
      <c r="F78" s="87" t="str">
        <f t="shared" ca="1" si="0"/>
        <v>2023</v>
      </c>
      <c r="G78" s="1" t="str">
        <f ca="1">IFERROR(__xludf.DUMMYFUNCTION("""COMPUTED_VALUE"""),"WMFA")</f>
        <v>WMFA</v>
      </c>
      <c r="H78" s="26">
        <f t="shared" ca="1" si="1"/>
        <v>90</v>
      </c>
      <c r="I78" s="26">
        <f t="shared" ca="1" si="2"/>
        <v>1</v>
      </c>
      <c r="J78" s="86">
        <f t="shared" ca="1" si="3"/>
        <v>45192</v>
      </c>
      <c r="R78" s="26"/>
    </row>
    <row r="79" spans="1:18" ht="15.75" customHeight="1">
      <c r="A79" s="26">
        <f ca="1">IFERROR(__xludf.DUMMYFUNCTION("""COMPUTED_VALUE"""),20479)</f>
        <v>20479</v>
      </c>
      <c r="B79" s="86">
        <f ca="1">IFERROR(__xludf.DUMMYFUNCTION("""COMPUTED_VALUE"""),45192.7580902777)</f>
        <v>45192.758090277697</v>
      </c>
      <c r="C79" s="1" t="str">
        <f ca="1">IFERROR(__xludf.DUMMYFUNCTION("""COMPUTED_VALUE"""),"completed")</f>
        <v>completed</v>
      </c>
      <c r="D79" s="26">
        <f ca="1">IFERROR(__xludf.DUMMYFUNCTION("""COMPUTED_VALUE"""),35)</f>
        <v>35</v>
      </c>
      <c r="E79" s="1" t="str">
        <f ca="1">IFERROR(__xludf.DUMMYFUNCTION("""COMPUTED_VALUE"""),"WMFA")</f>
        <v>WMFA</v>
      </c>
      <c r="F79" s="87" t="str">
        <f t="shared" ca="1" si="0"/>
        <v>2023</v>
      </c>
      <c r="G79" s="1" t="str">
        <f ca="1">IFERROR(__xludf.DUMMYFUNCTION("""COMPUTED_VALUE"""),"WMFA")</f>
        <v>WMFA</v>
      </c>
      <c r="H79" s="26">
        <f t="shared" ca="1" si="1"/>
        <v>35</v>
      </c>
      <c r="I79" s="26">
        <f t="shared" ca="1" si="2"/>
        <v>1</v>
      </c>
      <c r="J79" s="86">
        <f t="shared" ca="1" si="3"/>
        <v>45192</v>
      </c>
      <c r="R79" s="26"/>
    </row>
    <row r="80" spans="1:18" ht="15.75" customHeight="1">
      <c r="A80" s="26">
        <f ca="1">IFERROR(__xludf.DUMMYFUNCTION("""COMPUTED_VALUE"""),20478)</f>
        <v>20478</v>
      </c>
      <c r="B80" s="86">
        <f ca="1">IFERROR(__xludf.DUMMYFUNCTION("""COMPUTED_VALUE"""),45192.6987152777)</f>
        <v>45192.6987152777</v>
      </c>
      <c r="C80" s="1" t="str">
        <f ca="1">IFERROR(__xludf.DUMMYFUNCTION("""COMPUTED_VALUE"""),"completed")</f>
        <v>completed</v>
      </c>
      <c r="D80" s="26">
        <f ca="1">IFERROR(__xludf.DUMMYFUNCTION("""COMPUTED_VALUE"""),15)</f>
        <v>15</v>
      </c>
      <c r="E80" s="1" t="str">
        <f ca="1">IFERROR(__xludf.DUMMYFUNCTION("""COMPUTED_VALUE"""),"WMFA")</f>
        <v>WMFA</v>
      </c>
      <c r="F80" s="87" t="str">
        <f t="shared" ca="1" si="0"/>
        <v>2023</v>
      </c>
      <c r="G80" s="1" t="str">
        <f ca="1">IFERROR(__xludf.DUMMYFUNCTION("""COMPUTED_VALUE"""),"WMFA")</f>
        <v>WMFA</v>
      </c>
      <c r="H80" s="26">
        <f t="shared" ca="1" si="1"/>
        <v>15</v>
      </c>
      <c r="I80" s="26">
        <f t="shared" ca="1" si="2"/>
        <v>1</v>
      </c>
      <c r="J80" s="86">
        <f t="shared" ca="1" si="3"/>
        <v>45192</v>
      </c>
      <c r="R80" s="26"/>
    </row>
    <row r="81" spans="1:18" ht="15.75" customHeight="1">
      <c r="A81" s="26">
        <f ca="1">IFERROR(__xludf.DUMMYFUNCTION("""COMPUTED_VALUE"""),20477)</f>
        <v>20477</v>
      </c>
      <c r="B81" s="86">
        <f ca="1">IFERROR(__xludf.DUMMYFUNCTION("""COMPUTED_VALUE"""),45192.5850578703)</f>
        <v>45192.585057870303</v>
      </c>
      <c r="C81" s="1" t="str">
        <f ca="1">IFERROR(__xludf.DUMMYFUNCTION("""COMPUTED_VALUE"""),"completed")</f>
        <v>completed</v>
      </c>
      <c r="D81" s="26">
        <f ca="1">IFERROR(__xludf.DUMMYFUNCTION("""COMPUTED_VALUE"""),35)</f>
        <v>35</v>
      </c>
      <c r="E81" s="1" t="str">
        <f ca="1">IFERROR(__xludf.DUMMYFUNCTION("""COMPUTED_VALUE"""),"WMFA")</f>
        <v>WMFA</v>
      </c>
      <c r="F81" s="87" t="str">
        <f t="shared" ca="1" si="0"/>
        <v>2023</v>
      </c>
      <c r="G81" s="1" t="str">
        <f ca="1">IFERROR(__xludf.DUMMYFUNCTION("""COMPUTED_VALUE"""),"WMFA")</f>
        <v>WMFA</v>
      </c>
      <c r="H81" s="26">
        <f t="shared" ca="1" si="1"/>
        <v>35</v>
      </c>
      <c r="I81" s="26">
        <f t="shared" ca="1" si="2"/>
        <v>1</v>
      </c>
      <c r="J81" s="86">
        <f t="shared" ca="1" si="3"/>
        <v>45192</v>
      </c>
      <c r="R81" s="26"/>
    </row>
    <row r="82" spans="1:18" ht="15.75" customHeight="1">
      <c r="A82" s="26">
        <f ca="1">IFERROR(__xludf.DUMMYFUNCTION("""COMPUTED_VALUE"""),20475)</f>
        <v>20475</v>
      </c>
      <c r="B82" s="86">
        <f ca="1">IFERROR(__xludf.DUMMYFUNCTION("""COMPUTED_VALUE"""),45192.0687152777)</f>
        <v>45192.068715277703</v>
      </c>
      <c r="C82" s="1" t="str">
        <f ca="1">IFERROR(__xludf.DUMMYFUNCTION("""COMPUTED_VALUE"""),"completed")</f>
        <v>completed</v>
      </c>
      <c r="D82" s="26">
        <f ca="1">IFERROR(__xludf.DUMMYFUNCTION("""COMPUTED_VALUE"""),22)</f>
        <v>22</v>
      </c>
      <c r="E82" s="1" t="str">
        <f ca="1">IFERROR(__xludf.DUMMYFUNCTION("""COMPUTED_VALUE"""),"South Point Stars")</f>
        <v>South Point Stars</v>
      </c>
      <c r="F82" s="87" t="str">
        <f t="shared" ca="1" si="0"/>
        <v>2023</v>
      </c>
      <c r="G82" s="1" t="str">
        <f ca="1">IFERROR(__xludf.DUMMYFUNCTION("""COMPUTED_VALUE"""),"South Point Stars")</f>
        <v>South Point Stars</v>
      </c>
      <c r="H82" s="26">
        <f t="shared" ca="1" si="1"/>
        <v>22</v>
      </c>
      <c r="I82" s="26">
        <f t="shared" ca="1" si="2"/>
        <v>1</v>
      </c>
      <c r="J82" s="86">
        <f t="shared" ca="1" si="3"/>
        <v>45192</v>
      </c>
      <c r="R82" s="26"/>
    </row>
    <row r="83" spans="1:18" ht="15.75" customHeight="1">
      <c r="A83" s="26">
        <f ca="1">IFERROR(__xludf.DUMMYFUNCTION("""COMPUTED_VALUE"""),20472)</f>
        <v>20472</v>
      </c>
      <c r="B83" s="86">
        <f ca="1">IFERROR(__xludf.DUMMYFUNCTION("""COMPUTED_VALUE"""),45191.6676851851)</f>
        <v>45191.667685185101</v>
      </c>
      <c r="C83" s="1" t="str">
        <f ca="1">IFERROR(__xludf.DUMMYFUNCTION("""COMPUTED_VALUE"""),"completed")</f>
        <v>completed</v>
      </c>
      <c r="D83" s="26">
        <f ca="1">IFERROR(__xludf.DUMMYFUNCTION("""COMPUTED_VALUE"""),26)</f>
        <v>26</v>
      </c>
      <c r="E83" s="1" t="str">
        <f ca="1">IFERROR(__xludf.DUMMYFUNCTION("""COMPUTED_VALUE"""),"WMFA")</f>
        <v>WMFA</v>
      </c>
      <c r="F83" s="87" t="str">
        <f t="shared" ca="1" si="0"/>
        <v>2023</v>
      </c>
      <c r="G83" s="1" t="str">
        <f ca="1">IFERROR(__xludf.DUMMYFUNCTION("""COMPUTED_VALUE"""),"WMFA")</f>
        <v>WMFA</v>
      </c>
      <c r="H83" s="26">
        <f t="shared" ca="1" si="1"/>
        <v>26</v>
      </c>
      <c r="I83" s="26">
        <f t="shared" ca="1" si="2"/>
        <v>1</v>
      </c>
      <c r="J83" s="86">
        <f t="shared" ca="1" si="3"/>
        <v>45191</v>
      </c>
      <c r="R83" s="26"/>
    </row>
    <row r="84" spans="1:18" ht="15.75" customHeight="1">
      <c r="A84" s="26">
        <f ca="1">IFERROR(__xludf.DUMMYFUNCTION("""COMPUTED_VALUE"""),20471)</f>
        <v>20471</v>
      </c>
      <c r="B84" s="86">
        <f ca="1">IFERROR(__xludf.DUMMYFUNCTION("""COMPUTED_VALUE"""),45191.5527083333)</f>
        <v>45191.5527083333</v>
      </c>
      <c r="C84" s="1" t="str">
        <f ca="1">IFERROR(__xludf.DUMMYFUNCTION("""COMPUTED_VALUE"""),"completed")</f>
        <v>completed</v>
      </c>
      <c r="D84" s="26">
        <f ca="1">IFERROR(__xludf.DUMMYFUNCTION("""COMPUTED_VALUE"""),26)</f>
        <v>26</v>
      </c>
      <c r="E84" s="1" t="str">
        <f ca="1">IFERROR(__xludf.DUMMYFUNCTION("""COMPUTED_VALUE"""),"WMFA")</f>
        <v>WMFA</v>
      </c>
      <c r="F84" s="87" t="str">
        <f t="shared" ca="1" si="0"/>
        <v>2023</v>
      </c>
      <c r="G84" s="1" t="str">
        <f ca="1">IFERROR(__xludf.DUMMYFUNCTION("""COMPUTED_VALUE"""),"WMFA")</f>
        <v>WMFA</v>
      </c>
      <c r="H84" s="26">
        <f t="shared" ca="1" si="1"/>
        <v>26</v>
      </c>
      <c r="I84" s="26">
        <f t="shared" ca="1" si="2"/>
        <v>1</v>
      </c>
      <c r="J84" s="86">
        <f t="shared" ca="1" si="3"/>
        <v>45191</v>
      </c>
      <c r="R84" s="26"/>
    </row>
    <row r="85" spans="1:18" ht="15.75" customHeight="1">
      <c r="A85" s="26">
        <f ca="1">IFERROR(__xludf.DUMMYFUNCTION("""COMPUTED_VALUE"""),20470)</f>
        <v>20470</v>
      </c>
      <c r="B85" s="86">
        <f ca="1">IFERROR(__xludf.DUMMYFUNCTION("""COMPUTED_VALUE"""),45191.1338773148)</f>
        <v>45191.133877314802</v>
      </c>
      <c r="C85" s="1" t="str">
        <f ca="1">IFERROR(__xludf.DUMMYFUNCTION("""COMPUTED_VALUE"""),"completed")</f>
        <v>completed</v>
      </c>
      <c r="D85" s="26">
        <f ca="1">IFERROR(__xludf.DUMMYFUNCTION("""COMPUTED_VALUE"""),43)</f>
        <v>43</v>
      </c>
      <c r="E85" s="1" t="str">
        <f ca="1">IFERROR(__xludf.DUMMYFUNCTION("""COMPUTED_VALUE"""),"WMFA")</f>
        <v>WMFA</v>
      </c>
      <c r="F85" s="87" t="str">
        <f t="shared" ca="1" si="0"/>
        <v>2023</v>
      </c>
      <c r="G85" s="1" t="str">
        <f ca="1">IFERROR(__xludf.DUMMYFUNCTION("""COMPUTED_VALUE"""),"WMFA")</f>
        <v>WMFA</v>
      </c>
      <c r="H85" s="26">
        <f t="shared" ca="1" si="1"/>
        <v>43</v>
      </c>
      <c r="I85" s="26">
        <f t="shared" ca="1" si="2"/>
        <v>1</v>
      </c>
      <c r="J85" s="86">
        <f t="shared" ca="1" si="3"/>
        <v>45191</v>
      </c>
      <c r="R85" s="26"/>
    </row>
    <row r="86" spans="1:18" ht="15.75" customHeight="1">
      <c r="A86" s="26">
        <f ca="1">IFERROR(__xludf.DUMMYFUNCTION("""COMPUTED_VALUE"""),20469)</f>
        <v>20469</v>
      </c>
      <c r="B86" s="86">
        <f ca="1">IFERROR(__xludf.DUMMYFUNCTION("""COMPUTED_VALUE"""),45191.1208796296)</f>
        <v>45191.120879629598</v>
      </c>
      <c r="C86" s="1" t="str">
        <f ca="1">IFERROR(__xludf.DUMMYFUNCTION("""COMPUTED_VALUE"""),"failed")</f>
        <v>failed</v>
      </c>
      <c r="D86" s="26">
        <f ca="1">IFERROR(__xludf.DUMMYFUNCTION("""COMPUTED_VALUE"""),25)</f>
        <v>25</v>
      </c>
      <c r="E86" s="1" t="str">
        <f ca="1">IFERROR(__xludf.DUMMYFUNCTION("""COMPUTED_VALUE"""),"WMFA")</f>
        <v>WMFA</v>
      </c>
      <c r="F86" s="87" t="str">
        <f t="shared" ca="1" si="0"/>
        <v>2023</v>
      </c>
      <c r="G86" s="1" t="str">
        <f ca="1">IFERROR(__xludf.DUMMYFUNCTION("""COMPUTED_VALUE"""),"WMFA")</f>
        <v>WMFA</v>
      </c>
      <c r="H86" s="26">
        <f t="shared" ca="1" si="1"/>
        <v>25</v>
      </c>
      <c r="I86" s="26">
        <f t="shared" ca="1" si="2"/>
        <v>1</v>
      </c>
      <c r="J86" s="86">
        <f t="shared" ca="1" si="3"/>
        <v>45191</v>
      </c>
      <c r="R86" s="26"/>
    </row>
    <row r="87" spans="1:18" ht="15.75" customHeight="1">
      <c r="A87" s="26">
        <f ca="1">IFERROR(__xludf.DUMMYFUNCTION("""COMPUTED_VALUE"""),20468)</f>
        <v>20468</v>
      </c>
      <c r="B87" s="86">
        <f ca="1">IFERROR(__xludf.DUMMYFUNCTION("""COMPUTED_VALUE"""),45191.1174768518)</f>
        <v>45191.117476851803</v>
      </c>
      <c r="C87" s="1" t="str">
        <f ca="1">IFERROR(__xludf.DUMMYFUNCTION("""COMPUTED_VALUE"""),"failed")</f>
        <v>failed</v>
      </c>
      <c r="D87" s="26">
        <f ca="1">IFERROR(__xludf.DUMMYFUNCTION("""COMPUTED_VALUE"""),25)</f>
        <v>25</v>
      </c>
      <c r="E87" s="1" t="str">
        <f ca="1">IFERROR(__xludf.DUMMYFUNCTION("""COMPUTED_VALUE"""),"WMFA")</f>
        <v>WMFA</v>
      </c>
      <c r="F87" s="87" t="str">
        <f t="shared" ca="1" si="0"/>
        <v>2023</v>
      </c>
      <c r="G87" s="1" t="str">
        <f ca="1">IFERROR(__xludf.DUMMYFUNCTION("""COMPUTED_VALUE"""),"WMFA")</f>
        <v>WMFA</v>
      </c>
      <c r="H87" s="26">
        <f t="shared" ca="1" si="1"/>
        <v>25</v>
      </c>
      <c r="I87" s="26">
        <f t="shared" ca="1" si="2"/>
        <v>1</v>
      </c>
      <c r="J87" s="86">
        <f t="shared" ca="1" si="3"/>
        <v>45191</v>
      </c>
      <c r="R87" s="26"/>
    </row>
    <row r="88" spans="1:18" ht="15.75" customHeight="1">
      <c r="A88" s="26">
        <f ca="1">IFERROR(__xludf.DUMMYFUNCTION("""COMPUTED_VALUE"""),20466)</f>
        <v>20466</v>
      </c>
      <c r="B88" s="86">
        <f ca="1">IFERROR(__xludf.DUMMYFUNCTION("""COMPUTED_VALUE"""),45190.5547453703)</f>
        <v>45190.554745370297</v>
      </c>
      <c r="C88" s="1" t="str">
        <f ca="1">IFERROR(__xludf.DUMMYFUNCTION("""COMPUTED_VALUE"""),"completed")</f>
        <v>completed</v>
      </c>
      <c r="D88" s="26">
        <f ca="1">IFERROR(__xludf.DUMMYFUNCTION("""COMPUTED_VALUE"""),35)</f>
        <v>35</v>
      </c>
      <c r="E88" s="1" t="str">
        <f ca="1">IFERROR(__xludf.DUMMYFUNCTION("""COMPUTED_VALUE"""),"WMFA")</f>
        <v>WMFA</v>
      </c>
      <c r="F88" s="87" t="str">
        <f t="shared" ca="1" si="0"/>
        <v>2023</v>
      </c>
      <c r="G88" s="1" t="str">
        <f ca="1">IFERROR(__xludf.DUMMYFUNCTION("""COMPUTED_VALUE"""),"WMFA")</f>
        <v>WMFA</v>
      </c>
      <c r="H88" s="26">
        <f t="shared" ca="1" si="1"/>
        <v>35</v>
      </c>
      <c r="I88" s="26">
        <f t="shared" ca="1" si="2"/>
        <v>1</v>
      </c>
      <c r="J88" s="86">
        <f t="shared" ca="1" si="3"/>
        <v>45190</v>
      </c>
      <c r="R88" s="26"/>
    </row>
    <row r="89" spans="1:18" ht="15.75" customHeight="1">
      <c r="A89" s="26">
        <f ca="1">IFERROR(__xludf.DUMMYFUNCTION("""COMPUTED_VALUE"""),20464)</f>
        <v>20464</v>
      </c>
      <c r="B89" s="86">
        <f ca="1">IFERROR(__xludf.DUMMYFUNCTION("""COMPUTED_VALUE"""),45189.9025810185)</f>
        <v>45189.902581018498</v>
      </c>
      <c r="C89" s="1" t="str">
        <f ca="1">IFERROR(__xludf.DUMMYFUNCTION("""COMPUTED_VALUE"""),"completed")</f>
        <v>completed</v>
      </c>
      <c r="D89" s="26">
        <f ca="1">IFERROR(__xludf.DUMMYFUNCTION("""COMPUTED_VALUE"""),35)</f>
        <v>35</v>
      </c>
      <c r="E89" s="1" t="str">
        <f ca="1">IFERROR(__xludf.DUMMYFUNCTION("""COMPUTED_VALUE"""),"WMFA")</f>
        <v>WMFA</v>
      </c>
      <c r="F89" s="87" t="str">
        <f t="shared" ca="1" si="0"/>
        <v>2023</v>
      </c>
      <c r="G89" s="1" t="str">
        <f ca="1">IFERROR(__xludf.DUMMYFUNCTION("""COMPUTED_VALUE"""),"WMFA")</f>
        <v>WMFA</v>
      </c>
      <c r="H89" s="26">
        <f t="shared" ca="1" si="1"/>
        <v>35</v>
      </c>
      <c r="I89" s="26">
        <f t="shared" ca="1" si="2"/>
        <v>1</v>
      </c>
      <c r="J89" s="86">
        <f t="shared" ca="1" si="3"/>
        <v>45189</v>
      </c>
      <c r="R89" s="26"/>
    </row>
    <row r="90" spans="1:18" ht="15.75" customHeight="1">
      <c r="A90" s="26">
        <f ca="1">IFERROR(__xludf.DUMMYFUNCTION("""COMPUTED_VALUE"""),20463)</f>
        <v>20463</v>
      </c>
      <c r="B90" s="86">
        <f ca="1">IFERROR(__xludf.DUMMYFUNCTION("""COMPUTED_VALUE"""),45189.6573958333)</f>
        <v>45189.657395833303</v>
      </c>
      <c r="C90" s="1" t="str">
        <f ca="1">IFERROR(__xludf.DUMMYFUNCTION("""COMPUTED_VALUE"""),"completed")</f>
        <v>completed</v>
      </c>
      <c r="D90" s="26">
        <f ca="1">IFERROR(__xludf.DUMMYFUNCTION("""COMPUTED_VALUE"""),25)</f>
        <v>25</v>
      </c>
      <c r="E90" s="1" t="str">
        <f ca="1">IFERROR(__xludf.DUMMYFUNCTION("""COMPUTED_VALUE"""),"South Point Stars")</f>
        <v>South Point Stars</v>
      </c>
      <c r="F90" s="87" t="str">
        <f t="shared" ca="1" si="0"/>
        <v>2023</v>
      </c>
      <c r="G90" s="1" t="str">
        <f ca="1">IFERROR(__xludf.DUMMYFUNCTION("""COMPUTED_VALUE"""),"South Point Stars")</f>
        <v>South Point Stars</v>
      </c>
      <c r="H90" s="26">
        <f t="shared" ca="1" si="1"/>
        <v>25</v>
      </c>
      <c r="I90" s="26">
        <f t="shared" ca="1" si="2"/>
        <v>1</v>
      </c>
      <c r="J90" s="86">
        <f t="shared" ca="1" si="3"/>
        <v>45189</v>
      </c>
      <c r="R90" s="26"/>
    </row>
    <row r="91" spans="1:18" ht="15.75" customHeight="1">
      <c r="A91" s="26">
        <f ca="1">IFERROR(__xludf.DUMMYFUNCTION("""COMPUTED_VALUE"""),20462)</f>
        <v>20462</v>
      </c>
      <c r="B91" s="86">
        <f ca="1">IFERROR(__xludf.DUMMYFUNCTION("""COMPUTED_VALUE"""),45189.5662962962)</f>
        <v>45189.566296296201</v>
      </c>
      <c r="C91" s="1" t="str">
        <f ca="1">IFERROR(__xludf.DUMMYFUNCTION("""COMPUTED_VALUE"""),"completed")</f>
        <v>completed</v>
      </c>
      <c r="D91" s="26">
        <f ca="1">IFERROR(__xludf.DUMMYFUNCTION("""COMPUTED_VALUE"""),35)</f>
        <v>35</v>
      </c>
      <c r="E91" s="1" t="str">
        <f ca="1">IFERROR(__xludf.DUMMYFUNCTION("""COMPUTED_VALUE"""),"WMFA")</f>
        <v>WMFA</v>
      </c>
      <c r="F91" s="87" t="str">
        <f t="shared" ca="1" si="0"/>
        <v>2023</v>
      </c>
      <c r="G91" s="1" t="str">
        <f ca="1">IFERROR(__xludf.DUMMYFUNCTION("""COMPUTED_VALUE"""),"WMFA")</f>
        <v>WMFA</v>
      </c>
      <c r="H91" s="26">
        <f t="shared" ca="1" si="1"/>
        <v>35</v>
      </c>
      <c r="I91" s="26">
        <f t="shared" ca="1" si="2"/>
        <v>1</v>
      </c>
      <c r="J91" s="86">
        <f t="shared" ca="1" si="3"/>
        <v>45189</v>
      </c>
      <c r="R91" s="26"/>
    </row>
    <row r="92" spans="1:18" ht="15.75" customHeight="1">
      <c r="A92" s="26">
        <f ca="1">IFERROR(__xludf.DUMMYFUNCTION("""COMPUTED_VALUE"""),20461)</f>
        <v>20461</v>
      </c>
      <c r="B92" s="86">
        <f ca="1">IFERROR(__xludf.DUMMYFUNCTION("""COMPUTED_VALUE"""),45189.3426504629)</f>
        <v>45189.342650462902</v>
      </c>
      <c r="C92" s="1" t="str">
        <f ca="1">IFERROR(__xludf.DUMMYFUNCTION("""COMPUTED_VALUE"""),"completed")</f>
        <v>completed</v>
      </c>
      <c r="D92" s="26">
        <f ca="1">IFERROR(__xludf.DUMMYFUNCTION("""COMPUTED_VALUE"""),35)</f>
        <v>35</v>
      </c>
      <c r="E92" s="1" t="str">
        <f ca="1">IFERROR(__xludf.DUMMYFUNCTION("""COMPUTED_VALUE"""),"WMFA")</f>
        <v>WMFA</v>
      </c>
      <c r="F92" s="87" t="str">
        <f t="shared" ca="1" si="0"/>
        <v>2023</v>
      </c>
      <c r="G92" s="1" t="str">
        <f ca="1">IFERROR(__xludf.DUMMYFUNCTION("""COMPUTED_VALUE"""),"WMFA")</f>
        <v>WMFA</v>
      </c>
      <c r="H92" s="26">
        <f t="shared" ca="1" si="1"/>
        <v>35</v>
      </c>
      <c r="I92" s="26">
        <f t="shared" ca="1" si="2"/>
        <v>1</v>
      </c>
      <c r="J92" s="86">
        <f t="shared" ca="1" si="3"/>
        <v>45189</v>
      </c>
      <c r="R92" s="26"/>
    </row>
    <row r="93" spans="1:18" ht="15.75" customHeight="1">
      <c r="A93" s="26">
        <f ca="1">IFERROR(__xludf.DUMMYFUNCTION("""COMPUTED_VALUE"""),20459)</f>
        <v>20459</v>
      </c>
      <c r="B93" s="86">
        <f ca="1">IFERROR(__xludf.DUMMYFUNCTION("""COMPUTED_VALUE"""),45188.6891898148)</f>
        <v>45188.689189814802</v>
      </c>
      <c r="C93" s="1" t="str">
        <f ca="1">IFERROR(__xludf.DUMMYFUNCTION("""COMPUTED_VALUE"""),"completed")</f>
        <v>completed</v>
      </c>
      <c r="D93" s="26">
        <f ca="1">IFERROR(__xludf.DUMMYFUNCTION("""COMPUTED_VALUE"""),26)</f>
        <v>26</v>
      </c>
      <c r="E93" s="1" t="str">
        <f ca="1">IFERROR(__xludf.DUMMYFUNCTION("""COMPUTED_VALUE"""),"Lasalle Stompers")</f>
        <v>Lasalle Stompers</v>
      </c>
      <c r="F93" s="87" t="str">
        <f t="shared" ca="1" si="0"/>
        <v>2023</v>
      </c>
      <c r="G93" s="1" t="str">
        <f ca="1">IFERROR(__xludf.DUMMYFUNCTION("""COMPUTED_VALUE"""),"Lasalle Stompers")</f>
        <v>Lasalle Stompers</v>
      </c>
      <c r="H93" s="26">
        <f t="shared" ca="1" si="1"/>
        <v>26</v>
      </c>
      <c r="I93" s="26">
        <f t="shared" ca="1" si="2"/>
        <v>1</v>
      </c>
      <c r="J93" s="86">
        <f t="shared" ca="1" si="3"/>
        <v>45188</v>
      </c>
      <c r="R93" s="26"/>
    </row>
    <row r="94" spans="1:18" ht="15.75" customHeight="1">
      <c r="A94" s="26">
        <f ca="1">IFERROR(__xludf.DUMMYFUNCTION("""COMPUTED_VALUE"""),20458)</f>
        <v>20458</v>
      </c>
      <c r="B94" s="86">
        <f ca="1">IFERROR(__xludf.DUMMYFUNCTION("""COMPUTED_VALUE"""),45188.5188657407)</f>
        <v>45188.518865740698</v>
      </c>
      <c r="C94" s="1" t="str">
        <f ca="1">IFERROR(__xludf.DUMMYFUNCTION("""COMPUTED_VALUE"""),"completed")</f>
        <v>completed</v>
      </c>
      <c r="D94" s="26">
        <f ca="1">IFERROR(__xludf.DUMMYFUNCTION("""COMPUTED_VALUE"""),101)</f>
        <v>101</v>
      </c>
      <c r="E94" s="1" t="str">
        <f ca="1">IFERROR(__xludf.DUMMYFUNCTION("""COMPUTED_VALUE"""),"WMFA")</f>
        <v>WMFA</v>
      </c>
      <c r="F94" s="87" t="str">
        <f t="shared" ca="1" si="0"/>
        <v>2023</v>
      </c>
      <c r="G94" s="1" t="str">
        <f ca="1">IFERROR(__xludf.DUMMYFUNCTION("""COMPUTED_VALUE"""),"WMFA")</f>
        <v>WMFA</v>
      </c>
      <c r="H94" s="26">
        <f t="shared" ca="1" si="1"/>
        <v>101</v>
      </c>
      <c r="I94" s="26">
        <f t="shared" ca="1" si="2"/>
        <v>1</v>
      </c>
      <c r="J94" s="86">
        <f t="shared" ca="1" si="3"/>
        <v>45188</v>
      </c>
      <c r="R94" s="26"/>
    </row>
    <row r="95" spans="1:18" ht="15.75" customHeight="1">
      <c r="A95" s="26">
        <f ca="1">IFERROR(__xludf.DUMMYFUNCTION("""COMPUTED_VALUE"""),20457)</f>
        <v>20457</v>
      </c>
      <c r="B95" s="86">
        <f ca="1">IFERROR(__xludf.DUMMYFUNCTION("""COMPUTED_VALUE"""),45187.9524189814)</f>
        <v>45187.952418981396</v>
      </c>
      <c r="C95" s="1" t="str">
        <f ca="1">IFERROR(__xludf.DUMMYFUNCTION("""COMPUTED_VALUE"""),"completed")</f>
        <v>completed</v>
      </c>
      <c r="D95" s="26">
        <f ca="1">IFERROR(__xludf.DUMMYFUNCTION("""COMPUTED_VALUE"""),18)</f>
        <v>18</v>
      </c>
      <c r="E95" s="1" t="str">
        <f ca="1">IFERROR(__xludf.DUMMYFUNCTION("""COMPUTED_VALUE"""),"WMFA")</f>
        <v>WMFA</v>
      </c>
      <c r="F95" s="87" t="str">
        <f t="shared" ca="1" si="0"/>
        <v>2023</v>
      </c>
      <c r="G95" s="1" t="str">
        <f ca="1">IFERROR(__xludf.DUMMYFUNCTION("""COMPUTED_VALUE"""),"WMFA")</f>
        <v>WMFA</v>
      </c>
      <c r="H95" s="26">
        <f t="shared" ca="1" si="1"/>
        <v>18</v>
      </c>
      <c r="I95" s="26">
        <f t="shared" ca="1" si="2"/>
        <v>1</v>
      </c>
      <c r="J95" s="86">
        <f t="shared" ca="1" si="3"/>
        <v>45187</v>
      </c>
      <c r="R95" s="26"/>
    </row>
    <row r="96" spans="1:18" ht="15.75" customHeight="1">
      <c r="A96" s="26">
        <f ca="1">IFERROR(__xludf.DUMMYFUNCTION("""COMPUTED_VALUE"""),20432)</f>
        <v>20432</v>
      </c>
      <c r="B96" s="86">
        <f ca="1">IFERROR(__xludf.DUMMYFUNCTION("""COMPUTED_VALUE"""),45187.4911921296)</f>
        <v>45187.491192129601</v>
      </c>
      <c r="C96" s="1" t="str">
        <f ca="1">IFERROR(__xludf.DUMMYFUNCTION("""COMPUTED_VALUE"""),"completed")</f>
        <v>completed</v>
      </c>
      <c r="D96" s="26">
        <f ca="1">IFERROR(__xludf.DUMMYFUNCTION("""COMPUTED_VALUE"""),55)</f>
        <v>55</v>
      </c>
      <c r="E96" s="1" t="str">
        <f ca="1">IFERROR(__xludf.DUMMYFUNCTION("""COMPUTED_VALUE"""),"WMFA")</f>
        <v>WMFA</v>
      </c>
      <c r="F96" s="87" t="str">
        <f t="shared" ca="1" si="0"/>
        <v>2023</v>
      </c>
      <c r="G96" s="1" t="str">
        <f ca="1">IFERROR(__xludf.DUMMYFUNCTION("""COMPUTED_VALUE"""),"WMFA")</f>
        <v>WMFA</v>
      </c>
      <c r="H96" s="26">
        <f t="shared" ca="1" si="1"/>
        <v>55</v>
      </c>
      <c r="I96" s="26">
        <f t="shared" ca="1" si="2"/>
        <v>1</v>
      </c>
      <c r="J96" s="86">
        <f t="shared" ca="1" si="3"/>
        <v>45187</v>
      </c>
      <c r="R96" s="26"/>
    </row>
    <row r="97" spans="1:18" ht="15.75" customHeight="1">
      <c r="A97" s="26">
        <f ca="1">IFERROR(__xludf.DUMMYFUNCTION("""COMPUTED_VALUE"""),20431)</f>
        <v>20431</v>
      </c>
      <c r="B97" s="86">
        <f ca="1">IFERROR(__xludf.DUMMYFUNCTION("""COMPUTED_VALUE"""),45187.0842129629)</f>
        <v>45187.084212962902</v>
      </c>
      <c r="C97" s="1" t="str">
        <f ca="1">IFERROR(__xludf.DUMMYFUNCTION("""COMPUTED_VALUE"""),"completed")</f>
        <v>completed</v>
      </c>
      <c r="D97" s="26">
        <f ca="1">IFERROR(__xludf.DUMMYFUNCTION("""COMPUTED_VALUE"""),38)</f>
        <v>38</v>
      </c>
      <c r="E97" s="1" t="str">
        <f ca="1">IFERROR(__xludf.DUMMYFUNCTION("""COMPUTED_VALUE"""),"WMFA")</f>
        <v>WMFA</v>
      </c>
      <c r="F97" s="87" t="str">
        <f t="shared" ca="1" si="0"/>
        <v>2023</v>
      </c>
      <c r="G97" s="1" t="str">
        <f ca="1">IFERROR(__xludf.DUMMYFUNCTION("""COMPUTED_VALUE"""),"WMFA")</f>
        <v>WMFA</v>
      </c>
      <c r="H97" s="26">
        <f t="shared" ca="1" si="1"/>
        <v>38</v>
      </c>
      <c r="I97" s="26">
        <f t="shared" ca="1" si="2"/>
        <v>1</v>
      </c>
      <c r="J97" s="86">
        <f t="shared" ca="1" si="3"/>
        <v>45187</v>
      </c>
      <c r="R97" s="26"/>
    </row>
    <row r="98" spans="1:18" ht="15.75" customHeight="1">
      <c r="A98" s="26">
        <f ca="1">IFERROR(__xludf.DUMMYFUNCTION("""COMPUTED_VALUE"""),20430)</f>
        <v>20430</v>
      </c>
      <c r="B98" s="86">
        <f ca="1">IFERROR(__xludf.DUMMYFUNCTION("""COMPUTED_VALUE"""),45187.0062037037)</f>
        <v>45187.006203703699</v>
      </c>
      <c r="C98" s="1" t="str">
        <f ca="1">IFERROR(__xludf.DUMMYFUNCTION("""COMPUTED_VALUE"""),"completed")</f>
        <v>completed</v>
      </c>
      <c r="D98" s="26">
        <f ca="1">IFERROR(__xludf.DUMMYFUNCTION("""COMPUTED_VALUE"""),28)</f>
        <v>28</v>
      </c>
      <c r="E98" s="1" t="str">
        <f ca="1">IFERROR(__xludf.DUMMYFUNCTION("""COMPUTED_VALUE"""),"WMFA")</f>
        <v>WMFA</v>
      </c>
      <c r="F98" s="87" t="str">
        <f t="shared" ca="1" si="0"/>
        <v>2023</v>
      </c>
      <c r="G98" s="1" t="str">
        <f ca="1">IFERROR(__xludf.DUMMYFUNCTION("""COMPUTED_VALUE"""),"WMFA")</f>
        <v>WMFA</v>
      </c>
      <c r="H98" s="26">
        <f t="shared" ca="1" si="1"/>
        <v>28</v>
      </c>
      <c r="I98" s="26">
        <f t="shared" ca="1" si="2"/>
        <v>1</v>
      </c>
      <c r="J98" s="86">
        <f t="shared" ca="1" si="3"/>
        <v>45187</v>
      </c>
      <c r="R98" s="26"/>
    </row>
    <row r="99" spans="1:18" ht="15.75" customHeight="1">
      <c r="A99" s="26">
        <f ca="1">IFERROR(__xludf.DUMMYFUNCTION("""COMPUTED_VALUE"""),20429)</f>
        <v>20429</v>
      </c>
      <c r="B99" s="86">
        <f ca="1">IFERROR(__xludf.DUMMYFUNCTION("""COMPUTED_VALUE"""),45186.9306712963)</f>
        <v>45186.930671296301</v>
      </c>
      <c r="C99" s="1" t="str">
        <f ca="1">IFERROR(__xludf.DUMMYFUNCTION("""COMPUTED_VALUE"""),"completed")</f>
        <v>completed</v>
      </c>
      <c r="D99" s="26">
        <f ca="1">IFERROR(__xludf.DUMMYFUNCTION("""COMPUTED_VALUE"""),28)</f>
        <v>28</v>
      </c>
      <c r="E99" s="1" t="str">
        <f ca="1">IFERROR(__xludf.DUMMYFUNCTION("""COMPUTED_VALUE"""),"WMFA")</f>
        <v>WMFA</v>
      </c>
      <c r="F99" s="87" t="str">
        <f t="shared" ca="1" si="0"/>
        <v>2023</v>
      </c>
      <c r="G99" s="1" t="str">
        <f ca="1">IFERROR(__xludf.DUMMYFUNCTION("""COMPUTED_VALUE"""),"WMFA")</f>
        <v>WMFA</v>
      </c>
      <c r="H99" s="26">
        <f t="shared" ca="1" si="1"/>
        <v>28</v>
      </c>
      <c r="I99" s="26">
        <f t="shared" ca="1" si="2"/>
        <v>1</v>
      </c>
      <c r="J99" s="86">
        <f t="shared" ca="1" si="3"/>
        <v>45186</v>
      </c>
      <c r="R99" s="26"/>
    </row>
    <row r="100" spans="1:18" ht="15.75" customHeight="1">
      <c r="A100" s="26">
        <f ca="1">IFERROR(__xludf.DUMMYFUNCTION("""COMPUTED_VALUE"""),20428)</f>
        <v>20428</v>
      </c>
      <c r="B100" s="86">
        <f ca="1">IFERROR(__xludf.DUMMYFUNCTION("""COMPUTED_VALUE"""),45186.7621643518)</f>
        <v>45186.7621643518</v>
      </c>
      <c r="C100" s="1" t="str">
        <f ca="1">IFERROR(__xludf.DUMMYFUNCTION("""COMPUTED_VALUE"""),"completed")</f>
        <v>completed</v>
      </c>
      <c r="D100" s="26">
        <f ca="1">IFERROR(__xludf.DUMMYFUNCTION("""COMPUTED_VALUE"""),26)</f>
        <v>26</v>
      </c>
      <c r="E100" s="1" t="str">
        <f ca="1">IFERROR(__xludf.DUMMYFUNCTION("""COMPUTED_VALUE"""),"WMFA")</f>
        <v>WMFA</v>
      </c>
      <c r="F100" s="87" t="str">
        <f t="shared" ca="1" si="0"/>
        <v>2023</v>
      </c>
      <c r="G100" s="1" t="str">
        <f ca="1">IFERROR(__xludf.DUMMYFUNCTION("""COMPUTED_VALUE"""),"WMFA")</f>
        <v>WMFA</v>
      </c>
      <c r="H100" s="26">
        <f t="shared" ca="1" si="1"/>
        <v>26</v>
      </c>
      <c r="I100" s="26">
        <f t="shared" ca="1" si="2"/>
        <v>1</v>
      </c>
      <c r="J100" s="86">
        <f t="shared" ca="1" si="3"/>
        <v>45186</v>
      </c>
      <c r="R100" s="26"/>
    </row>
    <row r="101" spans="1:18" ht="15.75" customHeight="1">
      <c r="A101" s="26">
        <f ca="1">IFERROR(__xludf.DUMMYFUNCTION("""COMPUTED_VALUE"""),20427)</f>
        <v>20427</v>
      </c>
      <c r="B101" s="86">
        <f ca="1">IFERROR(__xludf.DUMMYFUNCTION("""COMPUTED_VALUE"""),45186.6843402777)</f>
        <v>45186.684340277701</v>
      </c>
      <c r="C101" s="1" t="str">
        <f ca="1">IFERROR(__xludf.DUMMYFUNCTION("""COMPUTED_VALUE"""),"completed")</f>
        <v>completed</v>
      </c>
      <c r="D101" s="26">
        <f ca="1">IFERROR(__xludf.DUMMYFUNCTION("""COMPUTED_VALUE"""),35)</f>
        <v>35</v>
      </c>
      <c r="E101" s="1" t="str">
        <f ca="1">IFERROR(__xludf.DUMMYFUNCTION("""COMPUTED_VALUE"""),"WMFA")</f>
        <v>WMFA</v>
      </c>
      <c r="F101" s="87" t="str">
        <f t="shared" ca="1" si="0"/>
        <v>2023</v>
      </c>
      <c r="G101" s="1" t="str">
        <f ca="1">IFERROR(__xludf.DUMMYFUNCTION("""COMPUTED_VALUE"""),"WMFA")</f>
        <v>WMFA</v>
      </c>
      <c r="H101" s="26">
        <f t="shared" ca="1" si="1"/>
        <v>35</v>
      </c>
      <c r="I101" s="26">
        <f t="shared" ca="1" si="2"/>
        <v>1</v>
      </c>
      <c r="J101" s="86">
        <f t="shared" ca="1" si="3"/>
        <v>45186</v>
      </c>
      <c r="R101" s="26"/>
    </row>
    <row r="102" spans="1:18" ht="15.75" customHeight="1">
      <c r="A102" s="26">
        <f ca="1">IFERROR(__xludf.DUMMYFUNCTION("""COMPUTED_VALUE"""),20426)</f>
        <v>20426</v>
      </c>
      <c r="B102" s="86">
        <f ca="1">IFERROR(__xludf.DUMMYFUNCTION("""COMPUTED_VALUE"""),45186.6826273148)</f>
        <v>45186.682627314804</v>
      </c>
      <c r="C102" s="1" t="str">
        <f ca="1">IFERROR(__xludf.DUMMYFUNCTION("""COMPUTED_VALUE"""),"completed")</f>
        <v>completed</v>
      </c>
      <c r="D102" s="26">
        <f ca="1">IFERROR(__xludf.DUMMYFUNCTION("""COMPUTED_VALUE"""),53)</f>
        <v>53</v>
      </c>
      <c r="E102" s="1" t="str">
        <f ca="1">IFERROR(__xludf.DUMMYFUNCTION("""COMPUTED_VALUE"""),"WMFA")</f>
        <v>WMFA</v>
      </c>
      <c r="F102" s="87" t="str">
        <f t="shared" ca="1" si="0"/>
        <v>2023</v>
      </c>
      <c r="G102" s="1" t="str">
        <f ca="1">IFERROR(__xludf.DUMMYFUNCTION("""COMPUTED_VALUE"""),"WMFA")</f>
        <v>WMFA</v>
      </c>
      <c r="H102" s="26">
        <f t="shared" ca="1" si="1"/>
        <v>53</v>
      </c>
      <c r="I102" s="26">
        <f t="shared" ca="1" si="2"/>
        <v>1</v>
      </c>
      <c r="J102" s="86">
        <f t="shared" ca="1" si="3"/>
        <v>45186</v>
      </c>
      <c r="R102" s="26"/>
    </row>
    <row r="103" spans="1:18" ht="15.75" customHeight="1">
      <c r="A103" s="26">
        <f ca="1">IFERROR(__xludf.DUMMYFUNCTION("""COMPUTED_VALUE"""),20425)</f>
        <v>20425</v>
      </c>
      <c r="B103" s="86">
        <f ca="1">IFERROR(__xludf.DUMMYFUNCTION("""COMPUTED_VALUE"""),45186.680625)</f>
        <v>45186.680625000001</v>
      </c>
      <c r="C103" s="1" t="str">
        <f ca="1">IFERROR(__xludf.DUMMYFUNCTION("""COMPUTED_VALUE"""),"completed")</f>
        <v>completed</v>
      </c>
      <c r="D103" s="26">
        <f ca="1">IFERROR(__xludf.DUMMYFUNCTION("""COMPUTED_VALUE"""),37)</f>
        <v>37</v>
      </c>
      <c r="E103" s="1" t="str">
        <f ca="1">IFERROR(__xludf.DUMMYFUNCTION("""COMPUTED_VALUE"""),"WMFA")</f>
        <v>WMFA</v>
      </c>
      <c r="F103" s="87" t="str">
        <f t="shared" ca="1" si="0"/>
        <v>2023</v>
      </c>
      <c r="G103" s="1" t="str">
        <f ca="1">IFERROR(__xludf.DUMMYFUNCTION("""COMPUTED_VALUE"""),"WMFA")</f>
        <v>WMFA</v>
      </c>
      <c r="H103" s="26">
        <f t="shared" ca="1" si="1"/>
        <v>37</v>
      </c>
      <c r="I103" s="26">
        <f t="shared" ca="1" si="2"/>
        <v>1</v>
      </c>
      <c r="J103" s="86">
        <f t="shared" ca="1" si="3"/>
        <v>45186</v>
      </c>
      <c r="R103" s="26"/>
    </row>
    <row r="104" spans="1:18" ht="15.75" customHeight="1">
      <c r="A104" s="26">
        <f ca="1">IFERROR(__xludf.DUMMYFUNCTION("""COMPUTED_VALUE"""),20424)</f>
        <v>20424</v>
      </c>
      <c r="B104" s="86">
        <f ca="1">IFERROR(__xludf.DUMMYFUNCTION("""COMPUTED_VALUE"""),45186.6610879629)</f>
        <v>45186.661087962901</v>
      </c>
      <c r="C104" s="1" t="str">
        <f ca="1">IFERROR(__xludf.DUMMYFUNCTION("""COMPUTED_VALUE"""),"completed")</f>
        <v>completed</v>
      </c>
      <c r="D104" s="26">
        <f ca="1">IFERROR(__xludf.DUMMYFUNCTION("""COMPUTED_VALUE"""),35)</f>
        <v>35</v>
      </c>
      <c r="E104" s="1" t="str">
        <f ca="1">IFERROR(__xludf.DUMMYFUNCTION("""COMPUTED_VALUE"""),"WMFA")</f>
        <v>WMFA</v>
      </c>
      <c r="F104" s="87" t="str">
        <f t="shared" ca="1" si="0"/>
        <v>2023</v>
      </c>
      <c r="G104" s="1" t="str">
        <f ca="1">IFERROR(__xludf.DUMMYFUNCTION("""COMPUTED_VALUE"""),"WMFA")</f>
        <v>WMFA</v>
      </c>
      <c r="H104" s="26">
        <f t="shared" ca="1" si="1"/>
        <v>35</v>
      </c>
      <c r="I104" s="26">
        <f t="shared" ca="1" si="2"/>
        <v>1</v>
      </c>
      <c r="J104" s="86">
        <f t="shared" ca="1" si="3"/>
        <v>45186</v>
      </c>
      <c r="R104" s="26"/>
    </row>
    <row r="105" spans="1:18" ht="15.75" customHeight="1">
      <c r="A105" s="26">
        <f ca="1">IFERROR(__xludf.DUMMYFUNCTION("""COMPUTED_VALUE"""),20423)</f>
        <v>20423</v>
      </c>
      <c r="B105" s="86">
        <f ca="1">IFERROR(__xludf.DUMMYFUNCTION("""COMPUTED_VALUE"""),45186.6586111111)</f>
        <v>45186.658611111103</v>
      </c>
      <c r="C105" s="1" t="str">
        <f ca="1">IFERROR(__xludf.DUMMYFUNCTION("""COMPUTED_VALUE"""),"completed")</f>
        <v>completed</v>
      </c>
      <c r="D105" s="26">
        <f ca="1">IFERROR(__xludf.DUMMYFUNCTION("""COMPUTED_VALUE"""),45)</f>
        <v>45</v>
      </c>
      <c r="E105" s="1" t="str">
        <f ca="1">IFERROR(__xludf.DUMMYFUNCTION("""COMPUTED_VALUE"""),"WMFA")</f>
        <v>WMFA</v>
      </c>
      <c r="F105" s="87" t="str">
        <f t="shared" ca="1" si="0"/>
        <v>2023</v>
      </c>
      <c r="G105" s="1" t="str">
        <f ca="1">IFERROR(__xludf.DUMMYFUNCTION("""COMPUTED_VALUE"""),"WMFA")</f>
        <v>WMFA</v>
      </c>
      <c r="H105" s="26">
        <f t="shared" ca="1" si="1"/>
        <v>45</v>
      </c>
      <c r="I105" s="26">
        <f t="shared" ca="1" si="2"/>
        <v>1</v>
      </c>
      <c r="J105" s="86">
        <f t="shared" ca="1" si="3"/>
        <v>45186</v>
      </c>
      <c r="R105" s="26"/>
    </row>
    <row r="106" spans="1:18" ht="15.75" customHeight="1">
      <c r="A106" s="26">
        <f ca="1">IFERROR(__xludf.DUMMYFUNCTION("""COMPUTED_VALUE"""),20422)</f>
        <v>20422</v>
      </c>
      <c r="B106" s="86">
        <f ca="1">IFERROR(__xludf.DUMMYFUNCTION("""COMPUTED_VALUE"""),45186.6585879629)</f>
        <v>45186.658587962898</v>
      </c>
      <c r="C106" s="1" t="str">
        <f ca="1">IFERROR(__xludf.DUMMYFUNCTION("""COMPUTED_VALUE"""),"completed")</f>
        <v>completed</v>
      </c>
      <c r="D106" s="26">
        <f ca="1">IFERROR(__xludf.DUMMYFUNCTION("""COMPUTED_VALUE"""),55)</f>
        <v>55</v>
      </c>
      <c r="E106" s="1" t="str">
        <f ca="1">IFERROR(__xludf.DUMMYFUNCTION("""COMPUTED_VALUE"""),"WMFA")</f>
        <v>WMFA</v>
      </c>
      <c r="F106" s="87" t="str">
        <f t="shared" ca="1" si="0"/>
        <v>2023</v>
      </c>
      <c r="G106" s="1" t="str">
        <f ca="1">IFERROR(__xludf.DUMMYFUNCTION("""COMPUTED_VALUE"""),"WMFA")</f>
        <v>WMFA</v>
      </c>
      <c r="H106" s="26">
        <f t="shared" ca="1" si="1"/>
        <v>55</v>
      </c>
      <c r="I106" s="26">
        <f t="shared" ca="1" si="2"/>
        <v>1</v>
      </c>
      <c r="J106" s="86">
        <f t="shared" ca="1" si="3"/>
        <v>45186</v>
      </c>
      <c r="R106" s="26"/>
    </row>
    <row r="107" spans="1:18" ht="15.75" customHeight="1">
      <c r="A107" s="26">
        <f ca="1">IFERROR(__xludf.DUMMYFUNCTION("""COMPUTED_VALUE"""),20421)</f>
        <v>20421</v>
      </c>
      <c r="B107" s="86">
        <f ca="1">IFERROR(__xludf.DUMMYFUNCTION("""COMPUTED_VALUE"""),45186.6540972222)</f>
        <v>45186.654097222199</v>
      </c>
      <c r="C107" s="1" t="str">
        <f ca="1">IFERROR(__xludf.DUMMYFUNCTION("""COMPUTED_VALUE"""),"completed")</f>
        <v>completed</v>
      </c>
      <c r="D107" s="26">
        <f ca="1">IFERROR(__xludf.DUMMYFUNCTION("""COMPUTED_VALUE"""),55)</f>
        <v>55</v>
      </c>
      <c r="E107" s="1" t="str">
        <f ca="1">IFERROR(__xludf.DUMMYFUNCTION("""COMPUTED_VALUE"""),"WMFA")</f>
        <v>WMFA</v>
      </c>
      <c r="F107" s="87" t="str">
        <f t="shared" ca="1" si="0"/>
        <v>2023</v>
      </c>
      <c r="G107" s="1" t="str">
        <f ca="1">IFERROR(__xludf.DUMMYFUNCTION("""COMPUTED_VALUE"""),"WMFA")</f>
        <v>WMFA</v>
      </c>
      <c r="H107" s="26">
        <f t="shared" ca="1" si="1"/>
        <v>55</v>
      </c>
      <c r="I107" s="26">
        <f t="shared" ca="1" si="2"/>
        <v>1</v>
      </c>
      <c r="J107" s="86">
        <f t="shared" ca="1" si="3"/>
        <v>45186</v>
      </c>
      <c r="R107" s="26"/>
    </row>
    <row r="108" spans="1:18" ht="15.75" customHeight="1">
      <c r="A108" s="26">
        <f ca="1">IFERROR(__xludf.DUMMYFUNCTION("""COMPUTED_VALUE"""),20420)</f>
        <v>20420</v>
      </c>
      <c r="B108" s="86">
        <f ca="1">IFERROR(__xludf.DUMMYFUNCTION("""COMPUTED_VALUE"""),45186.6430092592)</f>
        <v>45186.643009259198</v>
      </c>
      <c r="C108" s="1" t="str">
        <f ca="1">IFERROR(__xludf.DUMMYFUNCTION("""COMPUTED_VALUE"""),"completed")</f>
        <v>completed</v>
      </c>
      <c r="D108" s="26">
        <f ca="1">IFERROR(__xludf.DUMMYFUNCTION("""COMPUTED_VALUE"""),48)</f>
        <v>48</v>
      </c>
      <c r="E108" s="1" t="str">
        <f ca="1">IFERROR(__xludf.DUMMYFUNCTION("""COMPUTED_VALUE"""),"WMFA")</f>
        <v>WMFA</v>
      </c>
      <c r="F108" s="87" t="str">
        <f t="shared" ca="1" si="0"/>
        <v>2023</v>
      </c>
      <c r="G108" s="1" t="str">
        <f ca="1">IFERROR(__xludf.DUMMYFUNCTION("""COMPUTED_VALUE"""),"WMFA")</f>
        <v>WMFA</v>
      </c>
      <c r="H108" s="26">
        <f t="shared" ca="1" si="1"/>
        <v>48</v>
      </c>
      <c r="I108" s="26">
        <f t="shared" ca="1" si="2"/>
        <v>1</v>
      </c>
      <c r="J108" s="86">
        <f t="shared" ca="1" si="3"/>
        <v>45186</v>
      </c>
      <c r="R108" s="26"/>
    </row>
    <row r="109" spans="1:18" ht="15.75" customHeight="1">
      <c r="A109" s="26">
        <f ca="1">IFERROR(__xludf.DUMMYFUNCTION("""COMPUTED_VALUE"""),20419)</f>
        <v>20419</v>
      </c>
      <c r="B109" s="86">
        <f ca="1">IFERROR(__xludf.DUMMYFUNCTION("""COMPUTED_VALUE"""),45186.6210763888)</f>
        <v>45186.621076388801</v>
      </c>
      <c r="C109" s="1" t="str">
        <f ca="1">IFERROR(__xludf.DUMMYFUNCTION("""COMPUTED_VALUE"""),"completed")</f>
        <v>completed</v>
      </c>
      <c r="D109" s="26">
        <f ca="1">IFERROR(__xludf.DUMMYFUNCTION("""COMPUTED_VALUE"""),15)</f>
        <v>15</v>
      </c>
      <c r="E109" s="1" t="str">
        <f ca="1">IFERROR(__xludf.DUMMYFUNCTION("""COMPUTED_VALUE"""),"WMFA")</f>
        <v>WMFA</v>
      </c>
      <c r="F109" s="87" t="str">
        <f t="shared" ca="1" si="0"/>
        <v>2023</v>
      </c>
      <c r="G109" s="1" t="str">
        <f ca="1">IFERROR(__xludf.DUMMYFUNCTION("""COMPUTED_VALUE"""),"WMFA")</f>
        <v>WMFA</v>
      </c>
      <c r="H109" s="26">
        <f t="shared" ca="1" si="1"/>
        <v>15</v>
      </c>
      <c r="I109" s="26">
        <f t="shared" ca="1" si="2"/>
        <v>1</v>
      </c>
      <c r="J109" s="86">
        <f t="shared" ca="1" si="3"/>
        <v>45186</v>
      </c>
      <c r="R109" s="26"/>
    </row>
    <row r="110" spans="1:18" ht="15.75" customHeight="1">
      <c r="A110" s="26">
        <f ca="1">IFERROR(__xludf.DUMMYFUNCTION("""COMPUTED_VALUE"""),20418)</f>
        <v>20418</v>
      </c>
      <c r="B110" s="86">
        <f ca="1">IFERROR(__xludf.DUMMYFUNCTION("""COMPUTED_VALUE"""),45186.6184027777)</f>
        <v>45186.618402777698</v>
      </c>
      <c r="C110" s="1" t="str">
        <f ca="1">IFERROR(__xludf.DUMMYFUNCTION("""COMPUTED_VALUE"""),"completed")</f>
        <v>completed</v>
      </c>
      <c r="D110" s="26">
        <f ca="1">IFERROR(__xludf.DUMMYFUNCTION("""COMPUTED_VALUE"""),45)</f>
        <v>45</v>
      </c>
      <c r="E110" s="1" t="str">
        <f ca="1">IFERROR(__xludf.DUMMYFUNCTION("""COMPUTED_VALUE"""),"WMFA")</f>
        <v>WMFA</v>
      </c>
      <c r="F110" s="87" t="str">
        <f t="shared" ca="1" si="0"/>
        <v>2023</v>
      </c>
      <c r="G110" s="1" t="str">
        <f ca="1">IFERROR(__xludf.DUMMYFUNCTION("""COMPUTED_VALUE"""),"WMFA")</f>
        <v>WMFA</v>
      </c>
      <c r="H110" s="26">
        <f t="shared" ca="1" si="1"/>
        <v>45</v>
      </c>
      <c r="I110" s="26">
        <f t="shared" ca="1" si="2"/>
        <v>1</v>
      </c>
      <c r="J110" s="86">
        <f t="shared" ca="1" si="3"/>
        <v>45186</v>
      </c>
      <c r="R110" s="26"/>
    </row>
    <row r="111" spans="1:18" ht="15.75" customHeight="1">
      <c r="A111" s="26">
        <f ca="1">IFERROR(__xludf.DUMMYFUNCTION("""COMPUTED_VALUE"""),20417)</f>
        <v>20417</v>
      </c>
      <c r="B111" s="86">
        <f ca="1">IFERROR(__xludf.DUMMYFUNCTION("""COMPUTED_VALUE"""),45186.6144907406)</f>
        <v>45186.6144907407</v>
      </c>
      <c r="C111" s="1" t="str">
        <f ca="1">IFERROR(__xludf.DUMMYFUNCTION("""COMPUTED_VALUE"""),"completed")</f>
        <v>completed</v>
      </c>
      <c r="D111" s="26">
        <f ca="1">IFERROR(__xludf.DUMMYFUNCTION("""COMPUTED_VALUE"""),25)</f>
        <v>25</v>
      </c>
      <c r="E111" s="1" t="str">
        <f ca="1">IFERROR(__xludf.DUMMYFUNCTION("""COMPUTED_VALUE"""),"WMFA")</f>
        <v>WMFA</v>
      </c>
      <c r="F111" s="87" t="str">
        <f t="shared" ca="1" si="0"/>
        <v>2023</v>
      </c>
      <c r="G111" s="1" t="str">
        <f ca="1">IFERROR(__xludf.DUMMYFUNCTION("""COMPUTED_VALUE"""),"WMFA")</f>
        <v>WMFA</v>
      </c>
      <c r="H111" s="26">
        <f t="shared" ca="1" si="1"/>
        <v>25</v>
      </c>
      <c r="I111" s="26">
        <f t="shared" ca="1" si="2"/>
        <v>1</v>
      </c>
      <c r="J111" s="86">
        <f t="shared" ca="1" si="3"/>
        <v>45186</v>
      </c>
      <c r="R111" s="26"/>
    </row>
    <row r="112" spans="1:18" ht="15.75" customHeight="1">
      <c r="A112" s="26">
        <f ca="1">IFERROR(__xludf.DUMMYFUNCTION("""COMPUTED_VALUE"""),20416)</f>
        <v>20416</v>
      </c>
      <c r="B112" s="86">
        <f ca="1">IFERROR(__xludf.DUMMYFUNCTION("""COMPUTED_VALUE"""),45186.6134375)</f>
        <v>45186.613437499997</v>
      </c>
      <c r="C112" s="1" t="str">
        <f ca="1">IFERROR(__xludf.DUMMYFUNCTION("""COMPUTED_VALUE"""),"completed")</f>
        <v>completed</v>
      </c>
      <c r="D112" s="26">
        <f ca="1">IFERROR(__xludf.DUMMYFUNCTION("""COMPUTED_VALUE"""),37)</f>
        <v>37</v>
      </c>
      <c r="E112" s="1" t="str">
        <f ca="1">IFERROR(__xludf.DUMMYFUNCTION("""COMPUTED_VALUE"""),"WMFA")</f>
        <v>WMFA</v>
      </c>
      <c r="F112" s="87" t="str">
        <f t="shared" ca="1" si="0"/>
        <v>2023</v>
      </c>
      <c r="G112" s="1" t="str">
        <f ca="1">IFERROR(__xludf.DUMMYFUNCTION("""COMPUTED_VALUE"""),"WMFA")</f>
        <v>WMFA</v>
      </c>
      <c r="H112" s="26">
        <f t="shared" ca="1" si="1"/>
        <v>37</v>
      </c>
      <c r="I112" s="26">
        <f t="shared" ca="1" si="2"/>
        <v>1</v>
      </c>
      <c r="J112" s="86">
        <f t="shared" ca="1" si="3"/>
        <v>45186</v>
      </c>
      <c r="R112" s="26"/>
    </row>
    <row r="113" spans="1:18" ht="15.75" customHeight="1">
      <c r="A113" s="26">
        <f ca="1">IFERROR(__xludf.DUMMYFUNCTION("""COMPUTED_VALUE"""),20415)</f>
        <v>20415</v>
      </c>
      <c r="B113" s="86">
        <f ca="1">IFERROR(__xludf.DUMMYFUNCTION("""COMPUTED_VALUE"""),45186.6077083333)</f>
        <v>45186.6077083333</v>
      </c>
      <c r="C113" s="1" t="str">
        <f ca="1">IFERROR(__xludf.DUMMYFUNCTION("""COMPUTED_VALUE"""),"completed")</f>
        <v>completed</v>
      </c>
      <c r="D113" s="26">
        <f ca="1">IFERROR(__xludf.DUMMYFUNCTION("""COMPUTED_VALUE"""),44)</f>
        <v>44</v>
      </c>
      <c r="E113" s="1" t="str">
        <f ca="1">IFERROR(__xludf.DUMMYFUNCTION("""COMPUTED_VALUE"""),"WMFA")</f>
        <v>WMFA</v>
      </c>
      <c r="F113" s="87" t="str">
        <f t="shared" ca="1" si="0"/>
        <v>2023</v>
      </c>
      <c r="G113" s="1" t="str">
        <f ca="1">IFERROR(__xludf.DUMMYFUNCTION("""COMPUTED_VALUE"""),"WMFA")</f>
        <v>WMFA</v>
      </c>
      <c r="H113" s="26">
        <f t="shared" ca="1" si="1"/>
        <v>44</v>
      </c>
      <c r="I113" s="26">
        <f t="shared" ca="1" si="2"/>
        <v>1</v>
      </c>
      <c r="J113" s="86">
        <f t="shared" ca="1" si="3"/>
        <v>45186</v>
      </c>
      <c r="R113" s="26"/>
    </row>
    <row r="114" spans="1:18" ht="15.75" customHeight="1">
      <c r="A114" s="26">
        <f ca="1">IFERROR(__xludf.DUMMYFUNCTION("""COMPUTED_VALUE"""),20414)</f>
        <v>20414</v>
      </c>
      <c r="B114" s="86">
        <f ca="1">IFERROR(__xludf.DUMMYFUNCTION("""COMPUTED_VALUE"""),45186.6063425926)</f>
        <v>45186.606342592597</v>
      </c>
      <c r="C114" s="1" t="str">
        <f ca="1">IFERROR(__xludf.DUMMYFUNCTION("""COMPUTED_VALUE"""),"completed")</f>
        <v>completed</v>
      </c>
      <c r="D114" s="26">
        <f ca="1">IFERROR(__xludf.DUMMYFUNCTION("""COMPUTED_VALUE"""),15)</f>
        <v>15</v>
      </c>
      <c r="E114" s="1" t="str">
        <f ca="1">IFERROR(__xludf.DUMMYFUNCTION("""COMPUTED_VALUE"""),"WMFA")</f>
        <v>WMFA</v>
      </c>
      <c r="F114" s="87" t="str">
        <f t="shared" ca="1" si="0"/>
        <v>2023</v>
      </c>
      <c r="G114" s="1" t="str">
        <f ca="1">IFERROR(__xludf.DUMMYFUNCTION("""COMPUTED_VALUE"""),"WMFA")</f>
        <v>WMFA</v>
      </c>
      <c r="H114" s="26">
        <f t="shared" ca="1" si="1"/>
        <v>15</v>
      </c>
      <c r="I114" s="26">
        <f t="shared" ca="1" si="2"/>
        <v>1</v>
      </c>
      <c r="J114" s="86">
        <f t="shared" ca="1" si="3"/>
        <v>45186</v>
      </c>
      <c r="R114" s="26"/>
    </row>
    <row r="115" spans="1:18" ht="15.75" customHeight="1">
      <c r="A115" s="26">
        <f ca="1">IFERROR(__xludf.DUMMYFUNCTION("""COMPUTED_VALUE"""),20413)</f>
        <v>20413</v>
      </c>
      <c r="B115" s="86">
        <f ca="1">IFERROR(__xludf.DUMMYFUNCTION("""COMPUTED_VALUE"""),45186.5996643518)</f>
        <v>45186.599664351801</v>
      </c>
      <c r="C115" s="1" t="str">
        <f ca="1">IFERROR(__xludf.DUMMYFUNCTION("""COMPUTED_VALUE"""),"completed")</f>
        <v>completed</v>
      </c>
      <c r="D115" s="26">
        <f ca="1">IFERROR(__xludf.DUMMYFUNCTION("""COMPUTED_VALUE"""),68)</f>
        <v>68</v>
      </c>
      <c r="E115" s="1" t="str">
        <f ca="1">IFERROR(__xludf.DUMMYFUNCTION("""COMPUTED_VALUE"""),"WMFA")</f>
        <v>WMFA</v>
      </c>
      <c r="F115" s="87" t="str">
        <f t="shared" ca="1" si="0"/>
        <v>2023</v>
      </c>
      <c r="G115" s="1" t="str">
        <f ca="1">IFERROR(__xludf.DUMMYFUNCTION("""COMPUTED_VALUE"""),"WMFA")</f>
        <v>WMFA</v>
      </c>
      <c r="H115" s="26">
        <f t="shared" ca="1" si="1"/>
        <v>68</v>
      </c>
      <c r="I115" s="26">
        <f t="shared" ca="1" si="2"/>
        <v>1</v>
      </c>
      <c r="J115" s="86">
        <f t="shared" ca="1" si="3"/>
        <v>45186</v>
      </c>
      <c r="R115" s="26"/>
    </row>
    <row r="116" spans="1:18" ht="15.75" customHeight="1">
      <c r="A116" s="26">
        <f ca="1">IFERROR(__xludf.DUMMYFUNCTION("""COMPUTED_VALUE"""),20412)</f>
        <v>20412</v>
      </c>
      <c r="B116" s="86">
        <f ca="1">IFERROR(__xludf.DUMMYFUNCTION("""COMPUTED_VALUE"""),45186.5983796296)</f>
        <v>45186.598379629599</v>
      </c>
      <c r="C116" s="1" t="str">
        <f ca="1">IFERROR(__xludf.DUMMYFUNCTION("""COMPUTED_VALUE"""),"completed")</f>
        <v>completed</v>
      </c>
      <c r="D116" s="26">
        <f ca="1">IFERROR(__xludf.DUMMYFUNCTION("""COMPUTED_VALUE"""),35)</f>
        <v>35</v>
      </c>
      <c r="E116" s="1" t="str">
        <f ca="1">IFERROR(__xludf.DUMMYFUNCTION("""COMPUTED_VALUE"""),"WMFA")</f>
        <v>WMFA</v>
      </c>
      <c r="F116" s="87" t="str">
        <f t="shared" ca="1" si="0"/>
        <v>2023</v>
      </c>
      <c r="G116" s="1" t="str">
        <f ca="1">IFERROR(__xludf.DUMMYFUNCTION("""COMPUTED_VALUE"""),"WMFA")</f>
        <v>WMFA</v>
      </c>
      <c r="H116" s="26">
        <f t="shared" ca="1" si="1"/>
        <v>35</v>
      </c>
      <c r="I116" s="26">
        <f t="shared" ca="1" si="2"/>
        <v>1</v>
      </c>
      <c r="J116" s="86">
        <f t="shared" ca="1" si="3"/>
        <v>45186</v>
      </c>
      <c r="R116" s="26"/>
    </row>
    <row r="117" spans="1:18" ht="15.75" customHeight="1">
      <c r="A117" s="26">
        <f ca="1">IFERROR(__xludf.DUMMYFUNCTION("""COMPUTED_VALUE"""),20411)</f>
        <v>20411</v>
      </c>
      <c r="B117" s="86">
        <f ca="1">IFERROR(__xludf.DUMMYFUNCTION("""COMPUTED_VALUE"""),45186.5952662037)</f>
        <v>45186.595266203702</v>
      </c>
      <c r="C117" s="1" t="str">
        <f ca="1">IFERROR(__xludf.DUMMYFUNCTION("""COMPUTED_VALUE"""),"completed")</f>
        <v>completed</v>
      </c>
      <c r="D117" s="26">
        <f ca="1">IFERROR(__xludf.DUMMYFUNCTION("""COMPUTED_VALUE"""),15)</f>
        <v>15</v>
      </c>
      <c r="E117" s="1" t="str">
        <f ca="1">IFERROR(__xludf.DUMMYFUNCTION("""COMPUTED_VALUE"""),"WMFA")</f>
        <v>WMFA</v>
      </c>
      <c r="F117" s="87" t="str">
        <f t="shared" ca="1" si="0"/>
        <v>2023</v>
      </c>
      <c r="G117" s="1" t="str">
        <f ca="1">IFERROR(__xludf.DUMMYFUNCTION("""COMPUTED_VALUE"""),"WMFA")</f>
        <v>WMFA</v>
      </c>
      <c r="H117" s="26">
        <f t="shared" ca="1" si="1"/>
        <v>15</v>
      </c>
      <c r="I117" s="26">
        <f t="shared" ca="1" si="2"/>
        <v>1</v>
      </c>
      <c r="J117" s="86">
        <f t="shared" ca="1" si="3"/>
        <v>45186</v>
      </c>
      <c r="R117" s="26"/>
    </row>
    <row r="118" spans="1:18" ht="15.75" customHeight="1">
      <c r="A118" s="26">
        <f ca="1">IFERROR(__xludf.DUMMYFUNCTION("""COMPUTED_VALUE"""),20410)</f>
        <v>20410</v>
      </c>
      <c r="B118" s="86">
        <f ca="1">IFERROR(__xludf.DUMMYFUNCTION("""COMPUTED_VALUE"""),45186.5933912037)</f>
        <v>45186.5933912037</v>
      </c>
      <c r="C118" s="1" t="str">
        <f ca="1">IFERROR(__xludf.DUMMYFUNCTION("""COMPUTED_VALUE"""),"completed")</f>
        <v>completed</v>
      </c>
      <c r="D118" s="26">
        <f ca="1">IFERROR(__xludf.DUMMYFUNCTION("""COMPUTED_VALUE"""),55)</f>
        <v>55</v>
      </c>
      <c r="E118" s="1" t="str">
        <f ca="1">IFERROR(__xludf.DUMMYFUNCTION("""COMPUTED_VALUE"""),"WMFA")</f>
        <v>WMFA</v>
      </c>
      <c r="F118" s="87" t="str">
        <f t="shared" ca="1" si="0"/>
        <v>2023</v>
      </c>
      <c r="G118" s="1" t="str">
        <f ca="1">IFERROR(__xludf.DUMMYFUNCTION("""COMPUTED_VALUE"""),"WMFA")</f>
        <v>WMFA</v>
      </c>
      <c r="H118" s="26">
        <f t="shared" ca="1" si="1"/>
        <v>55</v>
      </c>
      <c r="I118" s="26">
        <f t="shared" ca="1" si="2"/>
        <v>1</v>
      </c>
      <c r="J118" s="86">
        <f t="shared" ca="1" si="3"/>
        <v>45186</v>
      </c>
      <c r="R118" s="26"/>
    </row>
    <row r="119" spans="1:18" ht="15.75" customHeight="1">
      <c r="A119" s="26">
        <f ca="1">IFERROR(__xludf.DUMMYFUNCTION("""COMPUTED_VALUE"""),20409)</f>
        <v>20409</v>
      </c>
      <c r="B119" s="86">
        <f ca="1">IFERROR(__xludf.DUMMYFUNCTION("""COMPUTED_VALUE"""),45186.5927314814)</f>
        <v>45186.592731481403</v>
      </c>
      <c r="C119" s="1" t="str">
        <f ca="1">IFERROR(__xludf.DUMMYFUNCTION("""COMPUTED_VALUE"""),"completed")</f>
        <v>completed</v>
      </c>
      <c r="D119" s="26">
        <f ca="1">IFERROR(__xludf.DUMMYFUNCTION("""COMPUTED_VALUE"""),30)</f>
        <v>30</v>
      </c>
      <c r="E119" s="1" t="str">
        <f ca="1">IFERROR(__xludf.DUMMYFUNCTION("""COMPUTED_VALUE"""),"WMFA")</f>
        <v>WMFA</v>
      </c>
      <c r="F119" s="87" t="str">
        <f t="shared" ca="1" si="0"/>
        <v>2023</v>
      </c>
      <c r="G119" s="1" t="str">
        <f ca="1">IFERROR(__xludf.DUMMYFUNCTION("""COMPUTED_VALUE"""),"WMFA")</f>
        <v>WMFA</v>
      </c>
      <c r="H119" s="26">
        <f t="shared" ca="1" si="1"/>
        <v>30</v>
      </c>
      <c r="I119" s="26">
        <f t="shared" ca="1" si="2"/>
        <v>1</v>
      </c>
      <c r="J119" s="86">
        <f t="shared" ca="1" si="3"/>
        <v>45186</v>
      </c>
      <c r="R119" s="26"/>
    </row>
    <row r="120" spans="1:18" ht="15.75" customHeight="1">
      <c r="A120" s="26">
        <f ca="1">IFERROR(__xludf.DUMMYFUNCTION("""COMPUTED_VALUE"""),20408)</f>
        <v>20408</v>
      </c>
      <c r="B120" s="86">
        <f ca="1">IFERROR(__xludf.DUMMYFUNCTION("""COMPUTED_VALUE"""),45186.5900694444)</f>
        <v>45186.590069444399</v>
      </c>
      <c r="C120" s="1" t="str">
        <f ca="1">IFERROR(__xludf.DUMMYFUNCTION("""COMPUTED_VALUE"""),"completed")</f>
        <v>completed</v>
      </c>
      <c r="D120" s="26">
        <f ca="1">IFERROR(__xludf.DUMMYFUNCTION("""COMPUTED_VALUE"""),48)</f>
        <v>48</v>
      </c>
      <c r="E120" s="1" t="str">
        <f ca="1">IFERROR(__xludf.DUMMYFUNCTION("""COMPUTED_VALUE"""),"WMFA")</f>
        <v>WMFA</v>
      </c>
      <c r="F120" s="87" t="str">
        <f t="shared" ca="1" si="0"/>
        <v>2023</v>
      </c>
      <c r="G120" s="1" t="str">
        <f ca="1">IFERROR(__xludf.DUMMYFUNCTION("""COMPUTED_VALUE"""),"WMFA")</f>
        <v>WMFA</v>
      </c>
      <c r="H120" s="26">
        <f t="shared" ca="1" si="1"/>
        <v>48</v>
      </c>
      <c r="I120" s="26">
        <f t="shared" ca="1" si="2"/>
        <v>1</v>
      </c>
      <c r="J120" s="86">
        <f t="shared" ca="1" si="3"/>
        <v>45186</v>
      </c>
      <c r="R120" s="26"/>
    </row>
    <row r="121" spans="1:18" ht="15.75" customHeight="1">
      <c r="A121" s="26">
        <f ca="1">IFERROR(__xludf.DUMMYFUNCTION("""COMPUTED_VALUE"""),20407)</f>
        <v>20407</v>
      </c>
      <c r="B121" s="86">
        <f ca="1">IFERROR(__xludf.DUMMYFUNCTION("""COMPUTED_VALUE"""),45186.5878472222)</f>
        <v>45186.587847222203</v>
      </c>
      <c r="C121" s="1" t="str">
        <f ca="1">IFERROR(__xludf.DUMMYFUNCTION("""COMPUTED_VALUE"""),"completed")</f>
        <v>completed</v>
      </c>
      <c r="D121" s="26">
        <f ca="1">IFERROR(__xludf.DUMMYFUNCTION("""COMPUTED_VALUE"""),35)</f>
        <v>35</v>
      </c>
      <c r="E121" s="1" t="str">
        <f ca="1">IFERROR(__xludf.DUMMYFUNCTION("""COMPUTED_VALUE"""),"WMFA")</f>
        <v>WMFA</v>
      </c>
      <c r="F121" s="87" t="str">
        <f t="shared" ca="1" si="0"/>
        <v>2023</v>
      </c>
      <c r="G121" s="1" t="str">
        <f ca="1">IFERROR(__xludf.DUMMYFUNCTION("""COMPUTED_VALUE"""),"WMFA")</f>
        <v>WMFA</v>
      </c>
      <c r="H121" s="26">
        <f t="shared" ca="1" si="1"/>
        <v>35</v>
      </c>
      <c r="I121" s="26">
        <f t="shared" ca="1" si="2"/>
        <v>1</v>
      </c>
      <c r="J121" s="86">
        <f t="shared" ca="1" si="3"/>
        <v>45186</v>
      </c>
      <c r="R121" s="26"/>
    </row>
    <row r="122" spans="1:18" ht="15.75" customHeight="1">
      <c r="A122" s="26">
        <f ca="1">IFERROR(__xludf.DUMMYFUNCTION("""COMPUTED_VALUE"""),20406)</f>
        <v>20406</v>
      </c>
      <c r="B122" s="86">
        <f ca="1">IFERROR(__xludf.DUMMYFUNCTION("""COMPUTED_VALUE"""),45186.5859722222)</f>
        <v>45186.585972222201</v>
      </c>
      <c r="C122" s="1" t="str">
        <f ca="1">IFERROR(__xludf.DUMMYFUNCTION("""COMPUTED_VALUE"""),"completed")</f>
        <v>completed</v>
      </c>
      <c r="D122" s="26">
        <f ca="1">IFERROR(__xludf.DUMMYFUNCTION("""COMPUTED_VALUE"""),35)</f>
        <v>35</v>
      </c>
      <c r="E122" s="1" t="str">
        <f ca="1">IFERROR(__xludf.DUMMYFUNCTION("""COMPUTED_VALUE"""),"WMFA")</f>
        <v>WMFA</v>
      </c>
      <c r="F122" s="87" t="str">
        <f t="shared" ca="1" si="0"/>
        <v>2023</v>
      </c>
      <c r="G122" s="1" t="str">
        <f ca="1">IFERROR(__xludf.DUMMYFUNCTION("""COMPUTED_VALUE"""),"WMFA")</f>
        <v>WMFA</v>
      </c>
      <c r="H122" s="26">
        <f t="shared" ca="1" si="1"/>
        <v>35</v>
      </c>
      <c r="I122" s="26">
        <f t="shared" ca="1" si="2"/>
        <v>1</v>
      </c>
      <c r="J122" s="86">
        <f t="shared" ca="1" si="3"/>
        <v>45186</v>
      </c>
      <c r="R122" s="26"/>
    </row>
    <row r="123" spans="1:18" ht="15.75" customHeight="1">
      <c r="A123" s="26">
        <f ca="1">IFERROR(__xludf.DUMMYFUNCTION("""COMPUTED_VALUE"""),20405)</f>
        <v>20405</v>
      </c>
      <c r="B123" s="86">
        <f ca="1">IFERROR(__xludf.DUMMYFUNCTION("""COMPUTED_VALUE"""),45186.5842129629)</f>
        <v>45186.584212962902</v>
      </c>
      <c r="C123" s="1" t="str">
        <f ca="1">IFERROR(__xludf.DUMMYFUNCTION("""COMPUTED_VALUE"""),"completed")</f>
        <v>completed</v>
      </c>
      <c r="D123" s="26">
        <f ca="1">IFERROR(__xludf.DUMMYFUNCTION("""COMPUTED_VALUE"""),33)</f>
        <v>33</v>
      </c>
      <c r="E123" s="1" t="str">
        <f ca="1">IFERROR(__xludf.DUMMYFUNCTION("""COMPUTED_VALUE"""),"WMFA")</f>
        <v>WMFA</v>
      </c>
      <c r="F123" s="87" t="str">
        <f t="shared" ca="1" si="0"/>
        <v>2023</v>
      </c>
      <c r="G123" s="1" t="str">
        <f ca="1">IFERROR(__xludf.DUMMYFUNCTION("""COMPUTED_VALUE"""),"WMFA")</f>
        <v>WMFA</v>
      </c>
      <c r="H123" s="26">
        <f t="shared" ca="1" si="1"/>
        <v>33</v>
      </c>
      <c r="I123" s="26">
        <f t="shared" ca="1" si="2"/>
        <v>1</v>
      </c>
      <c r="J123" s="86">
        <f t="shared" ca="1" si="3"/>
        <v>45186</v>
      </c>
      <c r="R123" s="26"/>
    </row>
    <row r="124" spans="1:18" ht="15.75" customHeight="1">
      <c r="A124" s="26">
        <f ca="1">IFERROR(__xludf.DUMMYFUNCTION("""COMPUTED_VALUE"""),20404)</f>
        <v>20404</v>
      </c>
      <c r="B124" s="86">
        <f ca="1">IFERROR(__xludf.DUMMYFUNCTION("""COMPUTED_VALUE"""),45186.5784027777)</f>
        <v>45186.578402777697</v>
      </c>
      <c r="C124" s="1" t="str">
        <f ca="1">IFERROR(__xludf.DUMMYFUNCTION("""COMPUTED_VALUE"""),"completed")</f>
        <v>completed</v>
      </c>
      <c r="D124" s="26">
        <f ca="1">IFERROR(__xludf.DUMMYFUNCTION("""COMPUTED_VALUE"""),48)</f>
        <v>48</v>
      </c>
      <c r="E124" s="1" t="str">
        <f ca="1">IFERROR(__xludf.DUMMYFUNCTION("""COMPUTED_VALUE"""),"WMFA")</f>
        <v>WMFA</v>
      </c>
      <c r="F124" s="87" t="str">
        <f t="shared" ca="1" si="0"/>
        <v>2023</v>
      </c>
      <c r="G124" s="1" t="str">
        <f ca="1">IFERROR(__xludf.DUMMYFUNCTION("""COMPUTED_VALUE"""),"WMFA")</f>
        <v>WMFA</v>
      </c>
      <c r="H124" s="26">
        <f t="shared" ca="1" si="1"/>
        <v>48</v>
      </c>
      <c r="I124" s="26">
        <f t="shared" ca="1" si="2"/>
        <v>1</v>
      </c>
      <c r="J124" s="86">
        <f t="shared" ca="1" si="3"/>
        <v>45186</v>
      </c>
      <c r="R124" s="26"/>
    </row>
    <row r="125" spans="1:18" ht="15.75" customHeight="1">
      <c r="A125" s="26">
        <f ca="1">IFERROR(__xludf.DUMMYFUNCTION("""COMPUTED_VALUE"""),20403)</f>
        <v>20403</v>
      </c>
      <c r="B125" s="86">
        <f ca="1">IFERROR(__xludf.DUMMYFUNCTION("""COMPUTED_VALUE"""),45186.5724652777)</f>
        <v>45186.572465277699</v>
      </c>
      <c r="C125" s="1" t="str">
        <f ca="1">IFERROR(__xludf.DUMMYFUNCTION("""COMPUTED_VALUE"""),"completed")</f>
        <v>completed</v>
      </c>
      <c r="D125" s="26">
        <f ca="1">IFERROR(__xludf.DUMMYFUNCTION("""COMPUTED_VALUE"""),100)</f>
        <v>100</v>
      </c>
      <c r="E125" s="1" t="str">
        <f ca="1">IFERROR(__xludf.DUMMYFUNCTION("""COMPUTED_VALUE"""),"WMFA")</f>
        <v>WMFA</v>
      </c>
      <c r="F125" s="87" t="str">
        <f t="shared" ca="1" si="0"/>
        <v>2023</v>
      </c>
      <c r="G125" s="1" t="str">
        <f ca="1">IFERROR(__xludf.DUMMYFUNCTION("""COMPUTED_VALUE"""),"WMFA")</f>
        <v>WMFA</v>
      </c>
      <c r="H125" s="26">
        <f t="shared" ca="1" si="1"/>
        <v>100</v>
      </c>
      <c r="I125" s="26">
        <f t="shared" ca="1" si="2"/>
        <v>1</v>
      </c>
      <c r="J125" s="86">
        <f t="shared" ca="1" si="3"/>
        <v>45186</v>
      </c>
      <c r="R125" s="26"/>
    </row>
    <row r="126" spans="1:18" ht="15.75" customHeight="1">
      <c r="A126" s="26">
        <f ca="1">IFERROR(__xludf.DUMMYFUNCTION("""COMPUTED_VALUE"""),20402)</f>
        <v>20402</v>
      </c>
      <c r="B126" s="86">
        <f ca="1">IFERROR(__xludf.DUMMYFUNCTION("""COMPUTED_VALUE"""),45186.5633796296)</f>
        <v>45186.563379629602</v>
      </c>
      <c r="C126" s="1" t="str">
        <f ca="1">IFERROR(__xludf.DUMMYFUNCTION("""COMPUTED_VALUE"""),"completed")</f>
        <v>completed</v>
      </c>
      <c r="D126" s="26">
        <f ca="1">IFERROR(__xludf.DUMMYFUNCTION("""COMPUTED_VALUE"""),35)</f>
        <v>35</v>
      </c>
      <c r="E126" s="1" t="str">
        <f ca="1">IFERROR(__xludf.DUMMYFUNCTION("""COMPUTED_VALUE"""),"WMFA")</f>
        <v>WMFA</v>
      </c>
      <c r="F126" s="87" t="str">
        <f t="shared" ca="1" si="0"/>
        <v>2023</v>
      </c>
      <c r="G126" s="1" t="str">
        <f ca="1">IFERROR(__xludf.DUMMYFUNCTION("""COMPUTED_VALUE"""),"WMFA")</f>
        <v>WMFA</v>
      </c>
      <c r="H126" s="26">
        <f t="shared" ca="1" si="1"/>
        <v>35</v>
      </c>
      <c r="I126" s="26">
        <f t="shared" ca="1" si="2"/>
        <v>1</v>
      </c>
      <c r="J126" s="86">
        <f t="shared" ca="1" si="3"/>
        <v>45186</v>
      </c>
      <c r="R126" s="26"/>
    </row>
    <row r="127" spans="1:18" ht="15.75" customHeight="1">
      <c r="A127" s="26">
        <f ca="1">IFERROR(__xludf.DUMMYFUNCTION("""COMPUTED_VALUE"""),20401)</f>
        <v>20401</v>
      </c>
      <c r="B127" s="86">
        <f ca="1">IFERROR(__xludf.DUMMYFUNCTION("""COMPUTED_VALUE"""),45186.5592129629)</f>
        <v>45186.5592129629</v>
      </c>
      <c r="C127" s="1" t="str">
        <f ca="1">IFERROR(__xludf.DUMMYFUNCTION("""COMPUTED_VALUE"""),"completed")</f>
        <v>completed</v>
      </c>
      <c r="D127" s="26">
        <f ca="1">IFERROR(__xludf.DUMMYFUNCTION("""COMPUTED_VALUE"""),78)</f>
        <v>78</v>
      </c>
      <c r="E127" s="1" t="str">
        <f ca="1">IFERROR(__xludf.DUMMYFUNCTION("""COMPUTED_VALUE"""),"WMFA")</f>
        <v>WMFA</v>
      </c>
      <c r="F127" s="87" t="str">
        <f t="shared" ca="1" si="0"/>
        <v>2023</v>
      </c>
      <c r="G127" s="1" t="str">
        <f ca="1">IFERROR(__xludf.DUMMYFUNCTION("""COMPUTED_VALUE"""),"WMFA")</f>
        <v>WMFA</v>
      </c>
      <c r="H127" s="26">
        <f t="shared" ca="1" si="1"/>
        <v>78</v>
      </c>
      <c r="I127" s="26">
        <f t="shared" ca="1" si="2"/>
        <v>1</v>
      </c>
      <c r="J127" s="86">
        <f t="shared" ca="1" si="3"/>
        <v>45186</v>
      </c>
      <c r="R127" s="26"/>
    </row>
    <row r="128" spans="1:18" ht="15.75" customHeight="1">
      <c r="A128" s="26">
        <f ca="1">IFERROR(__xludf.DUMMYFUNCTION("""COMPUTED_VALUE"""),20400)</f>
        <v>20400</v>
      </c>
      <c r="B128" s="86">
        <f ca="1">IFERROR(__xludf.DUMMYFUNCTION("""COMPUTED_VALUE"""),45186.5540509259)</f>
        <v>45186.554050925901</v>
      </c>
      <c r="C128" s="1" t="str">
        <f ca="1">IFERROR(__xludf.DUMMYFUNCTION("""COMPUTED_VALUE"""),"completed")</f>
        <v>completed</v>
      </c>
      <c r="D128" s="26">
        <f ca="1">IFERROR(__xludf.DUMMYFUNCTION("""COMPUTED_VALUE"""),18)</f>
        <v>18</v>
      </c>
      <c r="E128" s="1" t="str">
        <f ca="1">IFERROR(__xludf.DUMMYFUNCTION("""COMPUTED_VALUE"""),"WMFA")</f>
        <v>WMFA</v>
      </c>
      <c r="F128" s="87" t="str">
        <f t="shared" ca="1" si="0"/>
        <v>2023</v>
      </c>
      <c r="G128" s="1" t="str">
        <f ca="1">IFERROR(__xludf.DUMMYFUNCTION("""COMPUTED_VALUE"""),"WMFA")</f>
        <v>WMFA</v>
      </c>
      <c r="H128" s="26">
        <f t="shared" ca="1" si="1"/>
        <v>18</v>
      </c>
      <c r="I128" s="26">
        <f t="shared" ca="1" si="2"/>
        <v>1</v>
      </c>
      <c r="J128" s="86">
        <f t="shared" ca="1" si="3"/>
        <v>45186</v>
      </c>
      <c r="R128" s="26"/>
    </row>
    <row r="129" spans="1:18" ht="15.75" customHeight="1">
      <c r="A129" s="26">
        <f ca="1">IFERROR(__xludf.DUMMYFUNCTION("""COMPUTED_VALUE"""),20399)</f>
        <v>20399</v>
      </c>
      <c r="B129" s="86">
        <f ca="1">IFERROR(__xludf.DUMMYFUNCTION("""COMPUTED_VALUE"""),45186.5427893518)</f>
        <v>45186.542789351799</v>
      </c>
      <c r="C129" s="1" t="str">
        <f ca="1">IFERROR(__xludf.DUMMYFUNCTION("""COMPUTED_VALUE"""),"completed")</f>
        <v>completed</v>
      </c>
      <c r="D129" s="26">
        <f ca="1">IFERROR(__xludf.DUMMYFUNCTION("""COMPUTED_VALUE"""),66)</f>
        <v>66</v>
      </c>
      <c r="E129" s="1" t="str">
        <f ca="1">IFERROR(__xludf.DUMMYFUNCTION("""COMPUTED_VALUE"""),"WMFA")</f>
        <v>WMFA</v>
      </c>
      <c r="F129" s="87" t="str">
        <f t="shared" ca="1" si="0"/>
        <v>2023</v>
      </c>
      <c r="G129" s="1" t="str">
        <f ca="1">IFERROR(__xludf.DUMMYFUNCTION("""COMPUTED_VALUE"""),"WMFA")</f>
        <v>WMFA</v>
      </c>
      <c r="H129" s="26">
        <f t="shared" ca="1" si="1"/>
        <v>66</v>
      </c>
      <c r="I129" s="26">
        <f t="shared" ca="1" si="2"/>
        <v>1</v>
      </c>
      <c r="J129" s="86">
        <f t="shared" ca="1" si="3"/>
        <v>45186</v>
      </c>
      <c r="R129" s="26"/>
    </row>
    <row r="130" spans="1:18" ht="15.75" customHeight="1">
      <c r="A130" s="26">
        <f ca="1">IFERROR(__xludf.DUMMYFUNCTION("""COMPUTED_VALUE"""),20398)</f>
        <v>20398</v>
      </c>
      <c r="B130" s="86">
        <f ca="1">IFERROR(__xludf.DUMMYFUNCTION("""COMPUTED_VALUE"""),45186.5405208333)</f>
        <v>45186.540520833303</v>
      </c>
      <c r="C130" s="1" t="str">
        <f ca="1">IFERROR(__xludf.DUMMYFUNCTION("""COMPUTED_VALUE"""),"completed")</f>
        <v>completed</v>
      </c>
      <c r="D130" s="26">
        <f ca="1">IFERROR(__xludf.DUMMYFUNCTION("""COMPUTED_VALUE"""),56)</f>
        <v>56</v>
      </c>
      <c r="E130" s="1" t="str">
        <f ca="1">IFERROR(__xludf.DUMMYFUNCTION("""COMPUTED_VALUE"""),"WMFA")</f>
        <v>WMFA</v>
      </c>
      <c r="F130" s="87" t="str">
        <f t="shared" ca="1" si="0"/>
        <v>2023</v>
      </c>
      <c r="G130" s="1" t="str">
        <f ca="1">IFERROR(__xludf.DUMMYFUNCTION("""COMPUTED_VALUE"""),"WMFA")</f>
        <v>WMFA</v>
      </c>
      <c r="H130" s="26">
        <f t="shared" ca="1" si="1"/>
        <v>56</v>
      </c>
      <c r="I130" s="26">
        <f t="shared" ca="1" si="2"/>
        <v>1</v>
      </c>
      <c r="J130" s="86">
        <f t="shared" ca="1" si="3"/>
        <v>45186</v>
      </c>
      <c r="R130" s="26"/>
    </row>
    <row r="131" spans="1:18" ht="15.75" customHeight="1">
      <c r="A131" s="26">
        <f ca="1">IFERROR(__xludf.DUMMYFUNCTION("""COMPUTED_VALUE"""),20397)</f>
        <v>20397</v>
      </c>
      <c r="B131" s="86">
        <f ca="1">IFERROR(__xludf.DUMMYFUNCTION("""COMPUTED_VALUE"""),45186.5377430555)</f>
        <v>45186.537743055502</v>
      </c>
      <c r="C131" s="1" t="str">
        <f ca="1">IFERROR(__xludf.DUMMYFUNCTION("""COMPUTED_VALUE"""),"completed")</f>
        <v>completed</v>
      </c>
      <c r="D131" s="26">
        <f ca="1">IFERROR(__xludf.DUMMYFUNCTION("""COMPUTED_VALUE"""),73)</f>
        <v>73</v>
      </c>
      <c r="E131" s="1" t="str">
        <f ca="1">IFERROR(__xludf.DUMMYFUNCTION("""COMPUTED_VALUE"""),"WMFA")</f>
        <v>WMFA</v>
      </c>
      <c r="F131" s="87" t="str">
        <f t="shared" ca="1" si="0"/>
        <v>2023</v>
      </c>
      <c r="G131" s="1" t="str">
        <f ca="1">IFERROR(__xludf.DUMMYFUNCTION("""COMPUTED_VALUE"""),"WMFA")</f>
        <v>WMFA</v>
      </c>
      <c r="H131" s="26">
        <f t="shared" ca="1" si="1"/>
        <v>73</v>
      </c>
      <c r="I131" s="26">
        <f t="shared" ca="1" si="2"/>
        <v>1</v>
      </c>
      <c r="J131" s="86">
        <f t="shared" ca="1" si="3"/>
        <v>45186</v>
      </c>
      <c r="R131" s="26"/>
    </row>
    <row r="132" spans="1:18" ht="15.75" customHeight="1">
      <c r="A132" s="26">
        <f ca="1">IFERROR(__xludf.DUMMYFUNCTION("""COMPUTED_VALUE"""),20396)</f>
        <v>20396</v>
      </c>
      <c r="B132" s="86">
        <f ca="1">IFERROR(__xludf.DUMMYFUNCTION("""COMPUTED_VALUE"""),45186.5320486111)</f>
        <v>45186.532048611101</v>
      </c>
      <c r="C132" s="1" t="str">
        <f ca="1">IFERROR(__xludf.DUMMYFUNCTION("""COMPUTED_VALUE"""),"completed")</f>
        <v>completed</v>
      </c>
      <c r="D132" s="26">
        <f ca="1">IFERROR(__xludf.DUMMYFUNCTION("""COMPUTED_VALUE"""),37)</f>
        <v>37</v>
      </c>
      <c r="E132" s="1" t="str">
        <f ca="1">IFERROR(__xludf.DUMMYFUNCTION("""COMPUTED_VALUE"""),"WMFA")</f>
        <v>WMFA</v>
      </c>
      <c r="F132" s="87" t="str">
        <f t="shared" ca="1" si="0"/>
        <v>2023</v>
      </c>
      <c r="G132" s="1" t="str">
        <f ca="1">IFERROR(__xludf.DUMMYFUNCTION("""COMPUTED_VALUE"""),"WMFA")</f>
        <v>WMFA</v>
      </c>
      <c r="H132" s="26">
        <f t="shared" ca="1" si="1"/>
        <v>37</v>
      </c>
      <c r="I132" s="26">
        <f t="shared" ca="1" si="2"/>
        <v>1</v>
      </c>
      <c r="J132" s="86">
        <f t="shared" ca="1" si="3"/>
        <v>45186</v>
      </c>
      <c r="R132" s="26"/>
    </row>
    <row r="133" spans="1:18" ht="15.75" customHeight="1">
      <c r="A133" s="26">
        <f ca="1">IFERROR(__xludf.DUMMYFUNCTION("""COMPUTED_VALUE"""),20395)</f>
        <v>20395</v>
      </c>
      <c r="B133" s="86">
        <f ca="1">IFERROR(__xludf.DUMMYFUNCTION("""COMPUTED_VALUE"""),45186.5232638888)</f>
        <v>45186.523263888797</v>
      </c>
      <c r="C133" s="1" t="str">
        <f ca="1">IFERROR(__xludf.DUMMYFUNCTION("""COMPUTED_VALUE"""),"completed")</f>
        <v>completed</v>
      </c>
      <c r="D133" s="26">
        <f ca="1">IFERROR(__xludf.DUMMYFUNCTION("""COMPUTED_VALUE"""),35)</f>
        <v>35</v>
      </c>
      <c r="E133" s="1" t="str">
        <f ca="1">IFERROR(__xludf.DUMMYFUNCTION("""COMPUTED_VALUE"""),"WMFA")</f>
        <v>WMFA</v>
      </c>
      <c r="F133" s="87" t="str">
        <f t="shared" ca="1" si="0"/>
        <v>2023</v>
      </c>
      <c r="G133" s="1" t="str">
        <f ca="1">IFERROR(__xludf.DUMMYFUNCTION("""COMPUTED_VALUE"""),"WMFA")</f>
        <v>WMFA</v>
      </c>
      <c r="H133" s="26">
        <f t="shared" ca="1" si="1"/>
        <v>35</v>
      </c>
      <c r="I133" s="26">
        <f t="shared" ca="1" si="2"/>
        <v>1</v>
      </c>
      <c r="J133" s="86">
        <f t="shared" ca="1" si="3"/>
        <v>45186</v>
      </c>
      <c r="R133" s="26"/>
    </row>
    <row r="134" spans="1:18" ht="15.75" customHeight="1">
      <c r="A134" s="26">
        <f ca="1">IFERROR(__xludf.DUMMYFUNCTION("""COMPUTED_VALUE"""),20394)</f>
        <v>20394</v>
      </c>
      <c r="B134" s="86">
        <f ca="1">IFERROR(__xludf.DUMMYFUNCTION("""COMPUTED_VALUE"""),45186.5214930555)</f>
        <v>45186.521493055501</v>
      </c>
      <c r="C134" s="1" t="str">
        <f ca="1">IFERROR(__xludf.DUMMYFUNCTION("""COMPUTED_VALUE"""),"completed")</f>
        <v>completed</v>
      </c>
      <c r="D134" s="26">
        <f ca="1">IFERROR(__xludf.DUMMYFUNCTION("""COMPUTED_VALUE"""),60)</f>
        <v>60</v>
      </c>
      <c r="E134" s="1" t="str">
        <f ca="1">IFERROR(__xludf.DUMMYFUNCTION("""COMPUTED_VALUE"""),"WMFA")</f>
        <v>WMFA</v>
      </c>
      <c r="F134" s="87" t="str">
        <f t="shared" ca="1" si="0"/>
        <v>2023</v>
      </c>
      <c r="G134" s="1" t="str">
        <f ca="1">IFERROR(__xludf.DUMMYFUNCTION("""COMPUTED_VALUE"""),"WMFA")</f>
        <v>WMFA</v>
      </c>
      <c r="H134" s="26">
        <f t="shared" ca="1" si="1"/>
        <v>60</v>
      </c>
      <c r="I134" s="26">
        <f t="shared" ca="1" si="2"/>
        <v>1</v>
      </c>
      <c r="J134" s="86">
        <f t="shared" ca="1" si="3"/>
        <v>45186</v>
      </c>
      <c r="R134" s="26"/>
    </row>
    <row r="135" spans="1:18" ht="15.75" customHeight="1">
      <c r="A135" s="26">
        <f ca="1">IFERROR(__xludf.DUMMYFUNCTION("""COMPUTED_VALUE"""),20393)</f>
        <v>20393</v>
      </c>
      <c r="B135" s="86">
        <f ca="1">IFERROR(__xludf.DUMMYFUNCTION("""COMPUTED_VALUE"""),45186.5179513888)</f>
        <v>45186.5179513888</v>
      </c>
      <c r="C135" s="1" t="str">
        <f ca="1">IFERROR(__xludf.DUMMYFUNCTION("""COMPUTED_VALUE"""),"completed")</f>
        <v>completed</v>
      </c>
      <c r="D135" s="26">
        <f ca="1">IFERROR(__xludf.DUMMYFUNCTION("""COMPUTED_VALUE"""),50)</f>
        <v>50</v>
      </c>
      <c r="E135" s="1" t="str">
        <f ca="1">IFERROR(__xludf.DUMMYFUNCTION("""COMPUTED_VALUE"""),"WMFA")</f>
        <v>WMFA</v>
      </c>
      <c r="F135" s="87" t="str">
        <f t="shared" ca="1" si="0"/>
        <v>2023</v>
      </c>
      <c r="G135" s="1" t="str">
        <f ca="1">IFERROR(__xludf.DUMMYFUNCTION("""COMPUTED_VALUE"""),"WMFA")</f>
        <v>WMFA</v>
      </c>
      <c r="H135" s="26">
        <f t="shared" ca="1" si="1"/>
        <v>50</v>
      </c>
      <c r="I135" s="26">
        <f t="shared" ca="1" si="2"/>
        <v>1</v>
      </c>
      <c r="J135" s="86">
        <f t="shared" ca="1" si="3"/>
        <v>45186</v>
      </c>
      <c r="R135" s="26"/>
    </row>
    <row r="136" spans="1:18" ht="15.75" customHeight="1">
      <c r="A136" s="26">
        <f ca="1">IFERROR(__xludf.DUMMYFUNCTION("""COMPUTED_VALUE"""),20392)</f>
        <v>20392</v>
      </c>
      <c r="B136" s="86">
        <f ca="1">IFERROR(__xludf.DUMMYFUNCTION("""COMPUTED_VALUE"""),45186.5142939814)</f>
        <v>45186.514293981403</v>
      </c>
      <c r="C136" s="1" t="str">
        <f ca="1">IFERROR(__xludf.DUMMYFUNCTION("""COMPUTED_VALUE"""),"completed")</f>
        <v>completed</v>
      </c>
      <c r="D136" s="26">
        <f ca="1">IFERROR(__xludf.DUMMYFUNCTION("""COMPUTED_VALUE"""),35)</f>
        <v>35</v>
      </c>
      <c r="E136" s="1" t="str">
        <f ca="1">IFERROR(__xludf.DUMMYFUNCTION("""COMPUTED_VALUE"""),"WMFA")</f>
        <v>WMFA</v>
      </c>
      <c r="F136" s="87" t="str">
        <f t="shared" ca="1" si="0"/>
        <v>2023</v>
      </c>
      <c r="G136" s="1" t="str">
        <f ca="1">IFERROR(__xludf.DUMMYFUNCTION("""COMPUTED_VALUE"""),"WMFA")</f>
        <v>WMFA</v>
      </c>
      <c r="H136" s="26">
        <f t="shared" ca="1" si="1"/>
        <v>35</v>
      </c>
      <c r="I136" s="26">
        <f t="shared" ca="1" si="2"/>
        <v>1</v>
      </c>
      <c r="J136" s="86">
        <f t="shared" ca="1" si="3"/>
        <v>45186</v>
      </c>
      <c r="R136" s="26"/>
    </row>
    <row r="137" spans="1:18" ht="15.75" customHeight="1">
      <c r="A137" s="26">
        <f ca="1">IFERROR(__xludf.DUMMYFUNCTION("""COMPUTED_VALUE"""),20391)</f>
        <v>20391</v>
      </c>
      <c r="B137" s="86">
        <f ca="1">IFERROR(__xludf.DUMMYFUNCTION("""COMPUTED_VALUE"""),45186.5108912037)</f>
        <v>45186.510891203703</v>
      </c>
      <c r="C137" s="1" t="str">
        <f ca="1">IFERROR(__xludf.DUMMYFUNCTION("""COMPUTED_VALUE"""),"completed")</f>
        <v>completed</v>
      </c>
      <c r="D137" s="26">
        <f ca="1">IFERROR(__xludf.DUMMYFUNCTION("""COMPUTED_VALUE"""),26)</f>
        <v>26</v>
      </c>
      <c r="E137" s="1" t="str">
        <f ca="1">IFERROR(__xludf.DUMMYFUNCTION("""COMPUTED_VALUE"""),"WMFA")</f>
        <v>WMFA</v>
      </c>
      <c r="F137" s="87" t="str">
        <f t="shared" ca="1" si="0"/>
        <v>2023</v>
      </c>
      <c r="G137" s="1" t="str">
        <f ca="1">IFERROR(__xludf.DUMMYFUNCTION("""COMPUTED_VALUE"""),"WMFA")</f>
        <v>WMFA</v>
      </c>
      <c r="H137" s="26">
        <f t="shared" ca="1" si="1"/>
        <v>26</v>
      </c>
      <c r="I137" s="26">
        <f t="shared" ca="1" si="2"/>
        <v>1</v>
      </c>
      <c r="J137" s="86">
        <f t="shared" ca="1" si="3"/>
        <v>45186</v>
      </c>
      <c r="R137" s="26"/>
    </row>
    <row r="138" spans="1:18" ht="15.75" customHeight="1">
      <c r="A138" s="26">
        <f ca="1">IFERROR(__xludf.DUMMYFUNCTION("""COMPUTED_VALUE"""),20390)</f>
        <v>20390</v>
      </c>
      <c r="B138" s="86">
        <f ca="1">IFERROR(__xludf.DUMMYFUNCTION("""COMPUTED_VALUE"""),45186.5084953703)</f>
        <v>45186.508495370297</v>
      </c>
      <c r="C138" s="1" t="str">
        <f ca="1">IFERROR(__xludf.DUMMYFUNCTION("""COMPUTED_VALUE"""),"completed")</f>
        <v>completed</v>
      </c>
      <c r="D138" s="26">
        <f ca="1">IFERROR(__xludf.DUMMYFUNCTION("""COMPUTED_VALUE"""),35)</f>
        <v>35</v>
      </c>
      <c r="E138" s="1" t="str">
        <f ca="1">IFERROR(__xludf.DUMMYFUNCTION("""COMPUTED_VALUE"""),"WMFA")</f>
        <v>WMFA</v>
      </c>
      <c r="F138" s="87" t="str">
        <f t="shared" ca="1" si="0"/>
        <v>2023</v>
      </c>
      <c r="G138" s="1" t="str">
        <f ca="1">IFERROR(__xludf.DUMMYFUNCTION("""COMPUTED_VALUE"""),"WMFA")</f>
        <v>WMFA</v>
      </c>
      <c r="H138" s="26">
        <f t="shared" ca="1" si="1"/>
        <v>35</v>
      </c>
      <c r="I138" s="26">
        <f t="shared" ca="1" si="2"/>
        <v>1</v>
      </c>
      <c r="J138" s="86">
        <f t="shared" ca="1" si="3"/>
        <v>45186</v>
      </c>
      <c r="R138" s="26"/>
    </row>
    <row r="139" spans="1:18" ht="15.75" customHeight="1">
      <c r="A139" s="26">
        <f ca="1">IFERROR(__xludf.DUMMYFUNCTION("""COMPUTED_VALUE"""),20389)</f>
        <v>20389</v>
      </c>
      <c r="B139" s="86">
        <f ca="1">IFERROR(__xludf.DUMMYFUNCTION("""COMPUTED_VALUE"""),45186.4659259259)</f>
        <v>45186.465925925899</v>
      </c>
      <c r="C139" s="1" t="str">
        <f ca="1">IFERROR(__xludf.DUMMYFUNCTION("""COMPUTED_VALUE"""),"completed")</f>
        <v>completed</v>
      </c>
      <c r="D139" s="26">
        <f ca="1">IFERROR(__xludf.DUMMYFUNCTION("""COMPUTED_VALUE"""),50)</f>
        <v>50</v>
      </c>
      <c r="E139" s="1" t="str">
        <f ca="1">IFERROR(__xludf.DUMMYFUNCTION("""COMPUTED_VALUE"""),"WMFA")</f>
        <v>WMFA</v>
      </c>
      <c r="F139" s="87" t="str">
        <f t="shared" ca="1" si="0"/>
        <v>2023</v>
      </c>
      <c r="G139" s="1" t="str">
        <f ca="1">IFERROR(__xludf.DUMMYFUNCTION("""COMPUTED_VALUE"""),"WMFA")</f>
        <v>WMFA</v>
      </c>
      <c r="H139" s="26">
        <f t="shared" ca="1" si="1"/>
        <v>50</v>
      </c>
      <c r="I139" s="26">
        <f t="shared" ca="1" si="2"/>
        <v>1</v>
      </c>
      <c r="J139" s="86">
        <f t="shared" ca="1" si="3"/>
        <v>45186</v>
      </c>
      <c r="R139" s="26"/>
    </row>
    <row r="140" spans="1:18" ht="15.75" customHeight="1">
      <c r="A140" s="26">
        <f ca="1">IFERROR(__xludf.DUMMYFUNCTION("""COMPUTED_VALUE"""),20388)</f>
        <v>20388</v>
      </c>
      <c r="B140" s="86">
        <f ca="1">IFERROR(__xludf.DUMMYFUNCTION("""COMPUTED_VALUE"""),45186.4618634259)</f>
        <v>45186.461863425902</v>
      </c>
      <c r="C140" s="1" t="str">
        <f ca="1">IFERROR(__xludf.DUMMYFUNCTION("""COMPUTED_VALUE"""),"completed")</f>
        <v>completed</v>
      </c>
      <c r="D140" s="26">
        <f ca="1">IFERROR(__xludf.DUMMYFUNCTION("""COMPUTED_VALUE"""),25)</f>
        <v>25</v>
      </c>
      <c r="E140" s="1" t="str">
        <f ca="1">IFERROR(__xludf.DUMMYFUNCTION("""COMPUTED_VALUE"""),"WMFA")</f>
        <v>WMFA</v>
      </c>
      <c r="F140" s="87" t="str">
        <f t="shared" ca="1" si="0"/>
        <v>2023</v>
      </c>
      <c r="G140" s="1" t="str">
        <f ca="1">IFERROR(__xludf.DUMMYFUNCTION("""COMPUTED_VALUE"""),"WMFA")</f>
        <v>WMFA</v>
      </c>
      <c r="H140" s="26">
        <f t="shared" ca="1" si="1"/>
        <v>25</v>
      </c>
      <c r="I140" s="26">
        <f t="shared" ca="1" si="2"/>
        <v>1</v>
      </c>
      <c r="J140" s="86">
        <f t="shared" ca="1" si="3"/>
        <v>45186</v>
      </c>
      <c r="R140" s="26"/>
    </row>
    <row r="141" spans="1:18" ht="15.75" customHeight="1">
      <c r="A141" s="26">
        <f ca="1">IFERROR(__xludf.DUMMYFUNCTION("""COMPUTED_VALUE"""),20387)</f>
        <v>20387</v>
      </c>
      <c r="B141" s="86">
        <f ca="1">IFERROR(__xludf.DUMMYFUNCTION("""COMPUTED_VALUE"""),45186.1397453703)</f>
        <v>45186.139745370303</v>
      </c>
      <c r="C141" s="1" t="str">
        <f ca="1">IFERROR(__xludf.DUMMYFUNCTION("""COMPUTED_VALUE"""),"completed")</f>
        <v>completed</v>
      </c>
      <c r="D141" s="26">
        <f ca="1">IFERROR(__xludf.DUMMYFUNCTION("""COMPUTED_VALUE"""),47)</f>
        <v>47</v>
      </c>
      <c r="E141" s="1" t="str">
        <f ca="1">IFERROR(__xludf.DUMMYFUNCTION("""COMPUTED_VALUE"""),"WMFA")</f>
        <v>WMFA</v>
      </c>
      <c r="F141" s="87" t="str">
        <f t="shared" ca="1" si="0"/>
        <v>2023</v>
      </c>
      <c r="G141" s="1" t="str">
        <f ca="1">IFERROR(__xludf.DUMMYFUNCTION("""COMPUTED_VALUE"""),"WMFA")</f>
        <v>WMFA</v>
      </c>
      <c r="H141" s="26">
        <f t="shared" ca="1" si="1"/>
        <v>47</v>
      </c>
      <c r="I141" s="26">
        <f t="shared" ca="1" si="2"/>
        <v>1</v>
      </c>
      <c r="J141" s="86">
        <f t="shared" ca="1" si="3"/>
        <v>45186</v>
      </c>
      <c r="R141" s="26"/>
    </row>
    <row r="142" spans="1:18" ht="15.75" customHeight="1">
      <c r="A142" s="26">
        <f ca="1">IFERROR(__xludf.DUMMYFUNCTION("""COMPUTED_VALUE"""),20386)</f>
        <v>20386</v>
      </c>
      <c r="B142" s="86">
        <f ca="1">IFERROR(__xludf.DUMMYFUNCTION("""COMPUTED_VALUE"""),45186.090625)</f>
        <v>45186.090624999997</v>
      </c>
      <c r="C142" s="1" t="str">
        <f ca="1">IFERROR(__xludf.DUMMYFUNCTION("""COMPUTED_VALUE"""),"completed")</f>
        <v>completed</v>
      </c>
      <c r="D142" s="26">
        <f ca="1">IFERROR(__xludf.DUMMYFUNCTION("""COMPUTED_VALUE"""),48)</f>
        <v>48</v>
      </c>
      <c r="E142" s="1" t="str">
        <f ca="1">IFERROR(__xludf.DUMMYFUNCTION("""COMPUTED_VALUE"""),"WMFA")</f>
        <v>WMFA</v>
      </c>
      <c r="F142" s="87" t="str">
        <f t="shared" ca="1" si="0"/>
        <v>2023</v>
      </c>
      <c r="G142" s="1" t="str">
        <f ca="1">IFERROR(__xludf.DUMMYFUNCTION("""COMPUTED_VALUE"""),"WMFA")</f>
        <v>WMFA</v>
      </c>
      <c r="H142" s="26">
        <f t="shared" ca="1" si="1"/>
        <v>48</v>
      </c>
      <c r="I142" s="26">
        <f t="shared" ca="1" si="2"/>
        <v>1</v>
      </c>
      <c r="J142" s="86">
        <f t="shared" ca="1" si="3"/>
        <v>45186</v>
      </c>
      <c r="R142" s="26"/>
    </row>
    <row r="143" spans="1:18" ht="15.75" customHeight="1">
      <c r="A143" s="26">
        <f ca="1">IFERROR(__xludf.DUMMYFUNCTION("""COMPUTED_VALUE"""),20385)</f>
        <v>20385</v>
      </c>
      <c r="B143" s="86">
        <f ca="1">IFERROR(__xludf.DUMMYFUNCTION("""COMPUTED_VALUE"""),45186.0806481481)</f>
        <v>45186.080648148098</v>
      </c>
      <c r="C143" s="1" t="str">
        <f ca="1">IFERROR(__xludf.DUMMYFUNCTION("""COMPUTED_VALUE"""),"completed")</f>
        <v>completed</v>
      </c>
      <c r="D143" s="26">
        <f ca="1">IFERROR(__xludf.DUMMYFUNCTION("""COMPUTED_VALUE"""),47)</f>
        <v>47</v>
      </c>
      <c r="E143" s="1" t="str">
        <f ca="1">IFERROR(__xludf.DUMMYFUNCTION("""COMPUTED_VALUE"""),"WMFA")</f>
        <v>WMFA</v>
      </c>
      <c r="F143" s="87" t="str">
        <f t="shared" ca="1" si="0"/>
        <v>2023</v>
      </c>
      <c r="G143" s="1" t="str">
        <f ca="1">IFERROR(__xludf.DUMMYFUNCTION("""COMPUTED_VALUE"""),"WMFA")</f>
        <v>WMFA</v>
      </c>
      <c r="H143" s="26">
        <f t="shared" ca="1" si="1"/>
        <v>47</v>
      </c>
      <c r="I143" s="26">
        <f t="shared" ca="1" si="2"/>
        <v>1</v>
      </c>
      <c r="J143" s="86">
        <f t="shared" ca="1" si="3"/>
        <v>45186</v>
      </c>
      <c r="R143" s="26"/>
    </row>
    <row r="144" spans="1:18" ht="15.75" customHeight="1">
      <c r="A144" s="26">
        <f ca="1">IFERROR(__xludf.DUMMYFUNCTION("""COMPUTED_VALUE"""),20384)</f>
        <v>20384</v>
      </c>
      <c r="B144" s="86">
        <f ca="1">IFERROR(__xludf.DUMMYFUNCTION("""COMPUTED_VALUE"""),45186.02875)</f>
        <v>45186.028749999998</v>
      </c>
      <c r="C144" s="1" t="str">
        <f ca="1">IFERROR(__xludf.DUMMYFUNCTION("""COMPUTED_VALUE"""),"completed")</f>
        <v>completed</v>
      </c>
      <c r="D144" s="26">
        <f ca="1">IFERROR(__xludf.DUMMYFUNCTION("""COMPUTED_VALUE"""),18)</f>
        <v>18</v>
      </c>
      <c r="E144" s="1" t="str">
        <f ca="1">IFERROR(__xludf.DUMMYFUNCTION("""COMPUTED_VALUE"""),"WMFA")</f>
        <v>WMFA</v>
      </c>
      <c r="F144" s="87" t="str">
        <f t="shared" ca="1" si="0"/>
        <v>2023</v>
      </c>
      <c r="G144" s="1" t="str">
        <f ca="1">IFERROR(__xludf.DUMMYFUNCTION("""COMPUTED_VALUE"""),"WMFA")</f>
        <v>WMFA</v>
      </c>
      <c r="H144" s="26">
        <f t="shared" ca="1" si="1"/>
        <v>18</v>
      </c>
      <c r="I144" s="26">
        <f t="shared" ca="1" si="2"/>
        <v>1</v>
      </c>
      <c r="J144" s="86">
        <f t="shared" ca="1" si="3"/>
        <v>45186</v>
      </c>
      <c r="R144" s="26"/>
    </row>
    <row r="145" spans="1:18" ht="15.75" customHeight="1">
      <c r="A145" s="26">
        <f ca="1">IFERROR(__xludf.DUMMYFUNCTION("""COMPUTED_VALUE"""),20383)</f>
        <v>20383</v>
      </c>
      <c r="B145" s="86">
        <f ca="1">IFERROR(__xludf.DUMMYFUNCTION("""COMPUTED_VALUE"""),45185.9836111111)</f>
        <v>45185.9836111111</v>
      </c>
      <c r="C145" s="1" t="str">
        <f ca="1">IFERROR(__xludf.DUMMYFUNCTION("""COMPUTED_VALUE"""),"completed")</f>
        <v>completed</v>
      </c>
      <c r="D145" s="26">
        <f ca="1">IFERROR(__xludf.DUMMYFUNCTION("""COMPUTED_VALUE"""),53)</f>
        <v>53</v>
      </c>
      <c r="E145" s="1" t="str">
        <f ca="1">IFERROR(__xludf.DUMMYFUNCTION("""COMPUTED_VALUE"""),"WMFA")</f>
        <v>WMFA</v>
      </c>
      <c r="F145" s="87" t="str">
        <f t="shared" ca="1" si="0"/>
        <v>2023</v>
      </c>
      <c r="G145" s="1" t="str">
        <f ca="1">IFERROR(__xludf.DUMMYFUNCTION("""COMPUTED_VALUE"""),"WMFA")</f>
        <v>WMFA</v>
      </c>
      <c r="H145" s="26">
        <f t="shared" ca="1" si="1"/>
        <v>53</v>
      </c>
      <c r="I145" s="26">
        <f t="shared" ca="1" si="2"/>
        <v>1</v>
      </c>
      <c r="J145" s="86">
        <f t="shared" ca="1" si="3"/>
        <v>45185</v>
      </c>
      <c r="R145" s="26"/>
    </row>
    <row r="146" spans="1:18" ht="15.75" customHeight="1">
      <c r="A146" s="26">
        <f ca="1">IFERROR(__xludf.DUMMYFUNCTION("""COMPUTED_VALUE"""),20382)</f>
        <v>20382</v>
      </c>
      <c r="B146" s="86">
        <f ca="1">IFERROR(__xludf.DUMMYFUNCTION("""COMPUTED_VALUE"""),45185.9468287037)</f>
        <v>45185.946828703702</v>
      </c>
      <c r="C146" s="1" t="str">
        <f ca="1">IFERROR(__xludf.DUMMYFUNCTION("""COMPUTED_VALUE"""),"completed")</f>
        <v>completed</v>
      </c>
      <c r="D146" s="26">
        <f ca="1">IFERROR(__xludf.DUMMYFUNCTION("""COMPUTED_VALUE"""),57)</f>
        <v>57</v>
      </c>
      <c r="E146" s="1" t="str">
        <f ca="1">IFERROR(__xludf.DUMMYFUNCTION("""COMPUTED_VALUE"""),"WMFA")</f>
        <v>WMFA</v>
      </c>
      <c r="F146" s="87" t="str">
        <f t="shared" ca="1" si="0"/>
        <v>2023</v>
      </c>
      <c r="G146" s="1" t="str">
        <f ca="1">IFERROR(__xludf.DUMMYFUNCTION("""COMPUTED_VALUE"""),"WMFA")</f>
        <v>WMFA</v>
      </c>
      <c r="H146" s="26">
        <f t="shared" ca="1" si="1"/>
        <v>57</v>
      </c>
      <c r="I146" s="26">
        <f t="shared" ca="1" si="2"/>
        <v>1</v>
      </c>
      <c r="J146" s="86">
        <f t="shared" ca="1" si="3"/>
        <v>45185</v>
      </c>
      <c r="R146" s="26"/>
    </row>
    <row r="147" spans="1:18" ht="15.75" customHeight="1">
      <c r="A147" s="26">
        <f ca="1">IFERROR(__xludf.DUMMYFUNCTION("""COMPUTED_VALUE"""),20381)</f>
        <v>20381</v>
      </c>
      <c r="B147" s="86">
        <f ca="1">IFERROR(__xludf.DUMMYFUNCTION("""COMPUTED_VALUE"""),45185.899375)</f>
        <v>45185.899375000001</v>
      </c>
      <c r="C147" s="1" t="str">
        <f ca="1">IFERROR(__xludf.DUMMYFUNCTION("""COMPUTED_VALUE"""),"completed")</f>
        <v>completed</v>
      </c>
      <c r="D147" s="26">
        <f ca="1">IFERROR(__xludf.DUMMYFUNCTION("""COMPUTED_VALUE"""),55)</f>
        <v>55</v>
      </c>
      <c r="E147" s="1" t="str">
        <f ca="1">IFERROR(__xludf.DUMMYFUNCTION("""COMPUTED_VALUE"""),"WMFA")</f>
        <v>WMFA</v>
      </c>
      <c r="F147" s="87" t="str">
        <f t="shared" ca="1" si="0"/>
        <v>2023</v>
      </c>
      <c r="G147" s="1" t="str">
        <f ca="1">IFERROR(__xludf.DUMMYFUNCTION("""COMPUTED_VALUE"""),"WMFA")</f>
        <v>WMFA</v>
      </c>
      <c r="H147" s="26">
        <f t="shared" ca="1" si="1"/>
        <v>55</v>
      </c>
      <c r="I147" s="26">
        <f t="shared" ca="1" si="2"/>
        <v>1</v>
      </c>
      <c r="J147" s="86">
        <f t="shared" ca="1" si="3"/>
        <v>45185</v>
      </c>
      <c r="R147" s="26"/>
    </row>
    <row r="148" spans="1:18" ht="15.75" customHeight="1">
      <c r="A148" s="26">
        <f ca="1">IFERROR(__xludf.DUMMYFUNCTION("""COMPUTED_VALUE"""),20380)</f>
        <v>20380</v>
      </c>
      <c r="B148" s="86">
        <f ca="1">IFERROR(__xludf.DUMMYFUNCTION("""COMPUTED_VALUE"""),45185.8554282407)</f>
        <v>45185.855428240699</v>
      </c>
      <c r="C148" s="1" t="str">
        <f ca="1">IFERROR(__xludf.DUMMYFUNCTION("""COMPUTED_VALUE"""),"completed")</f>
        <v>completed</v>
      </c>
      <c r="D148" s="26">
        <f ca="1">IFERROR(__xludf.DUMMYFUNCTION("""COMPUTED_VALUE"""),46)</f>
        <v>46</v>
      </c>
      <c r="E148" s="1" t="str">
        <f ca="1">IFERROR(__xludf.DUMMYFUNCTION("""COMPUTED_VALUE"""),"WMFA")</f>
        <v>WMFA</v>
      </c>
      <c r="F148" s="87" t="str">
        <f t="shared" ca="1" si="0"/>
        <v>2023</v>
      </c>
      <c r="G148" s="1" t="str">
        <f ca="1">IFERROR(__xludf.DUMMYFUNCTION("""COMPUTED_VALUE"""),"WMFA")</f>
        <v>WMFA</v>
      </c>
      <c r="H148" s="26">
        <f t="shared" ca="1" si="1"/>
        <v>46</v>
      </c>
      <c r="I148" s="26">
        <f t="shared" ca="1" si="2"/>
        <v>1</v>
      </c>
      <c r="J148" s="86">
        <f t="shared" ca="1" si="3"/>
        <v>45185</v>
      </c>
      <c r="R148" s="26"/>
    </row>
    <row r="149" spans="1:18" ht="15.75" customHeight="1">
      <c r="A149" s="26">
        <f ca="1">IFERROR(__xludf.DUMMYFUNCTION("""COMPUTED_VALUE"""),20379)</f>
        <v>20379</v>
      </c>
      <c r="B149" s="86">
        <f ca="1">IFERROR(__xludf.DUMMYFUNCTION("""COMPUTED_VALUE"""),45185.8061342592)</f>
        <v>45185.806134259197</v>
      </c>
      <c r="C149" s="1" t="str">
        <f ca="1">IFERROR(__xludf.DUMMYFUNCTION("""COMPUTED_VALUE"""),"completed")</f>
        <v>completed</v>
      </c>
      <c r="D149" s="26">
        <f ca="1">IFERROR(__xludf.DUMMYFUNCTION("""COMPUTED_VALUE"""),40)</f>
        <v>40</v>
      </c>
      <c r="E149" s="1" t="str">
        <f ca="1">IFERROR(__xludf.DUMMYFUNCTION("""COMPUTED_VALUE"""),"WMFA")</f>
        <v>WMFA</v>
      </c>
      <c r="F149" s="87" t="str">
        <f t="shared" ca="1" si="0"/>
        <v>2023</v>
      </c>
      <c r="G149" s="1" t="str">
        <f ca="1">IFERROR(__xludf.DUMMYFUNCTION("""COMPUTED_VALUE"""),"WMFA")</f>
        <v>WMFA</v>
      </c>
      <c r="H149" s="26">
        <f t="shared" ca="1" si="1"/>
        <v>40</v>
      </c>
      <c r="I149" s="26">
        <f t="shared" ca="1" si="2"/>
        <v>1</v>
      </c>
      <c r="J149" s="86">
        <f t="shared" ca="1" si="3"/>
        <v>45185</v>
      </c>
      <c r="R149" s="26"/>
    </row>
    <row r="150" spans="1:18" ht="15.75" customHeight="1">
      <c r="A150" s="26">
        <f ca="1">IFERROR(__xludf.DUMMYFUNCTION("""COMPUTED_VALUE"""),20378)</f>
        <v>20378</v>
      </c>
      <c r="B150" s="86">
        <f ca="1">IFERROR(__xludf.DUMMYFUNCTION("""COMPUTED_VALUE"""),45185.8028587963)</f>
        <v>45185.802858796298</v>
      </c>
      <c r="C150" s="1" t="str">
        <f ca="1">IFERROR(__xludf.DUMMYFUNCTION("""COMPUTED_VALUE"""),"completed")</f>
        <v>completed</v>
      </c>
      <c r="D150" s="26">
        <f ca="1">IFERROR(__xludf.DUMMYFUNCTION("""COMPUTED_VALUE"""),35)</f>
        <v>35</v>
      </c>
      <c r="E150" s="1" t="str">
        <f ca="1">IFERROR(__xludf.DUMMYFUNCTION("""COMPUTED_VALUE"""),"WMFA")</f>
        <v>WMFA</v>
      </c>
      <c r="F150" s="87" t="str">
        <f t="shared" ca="1" si="0"/>
        <v>2023</v>
      </c>
      <c r="G150" s="1" t="str">
        <f ca="1">IFERROR(__xludf.DUMMYFUNCTION("""COMPUTED_VALUE"""),"WMFA")</f>
        <v>WMFA</v>
      </c>
      <c r="H150" s="26">
        <f t="shared" ca="1" si="1"/>
        <v>35</v>
      </c>
      <c r="I150" s="26">
        <f t="shared" ca="1" si="2"/>
        <v>1</v>
      </c>
      <c r="J150" s="86">
        <f t="shared" ca="1" si="3"/>
        <v>45185</v>
      </c>
      <c r="R150" s="26"/>
    </row>
    <row r="151" spans="1:18" ht="15.75" customHeight="1">
      <c r="A151" s="26">
        <f ca="1">IFERROR(__xludf.DUMMYFUNCTION("""COMPUTED_VALUE"""),20377)</f>
        <v>20377</v>
      </c>
      <c r="B151" s="86">
        <f ca="1">IFERROR(__xludf.DUMMYFUNCTION("""COMPUTED_VALUE"""),45185.7861689814)</f>
        <v>45185.786168981402</v>
      </c>
      <c r="C151" s="1" t="str">
        <f ca="1">IFERROR(__xludf.DUMMYFUNCTION("""COMPUTED_VALUE"""),"completed")</f>
        <v>completed</v>
      </c>
      <c r="D151" s="26">
        <f ca="1">IFERROR(__xludf.DUMMYFUNCTION("""COMPUTED_VALUE"""),41)</f>
        <v>41</v>
      </c>
      <c r="E151" s="1" t="str">
        <f ca="1">IFERROR(__xludf.DUMMYFUNCTION("""COMPUTED_VALUE"""),"WMFA")</f>
        <v>WMFA</v>
      </c>
      <c r="F151" s="87" t="str">
        <f t="shared" ca="1" si="0"/>
        <v>2023</v>
      </c>
      <c r="G151" s="1" t="str">
        <f ca="1">IFERROR(__xludf.DUMMYFUNCTION("""COMPUTED_VALUE"""),"WMFA")</f>
        <v>WMFA</v>
      </c>
      <c r="H151" s="26">
        <f t="shared" ca="1" si="1"/>
        <v>41</v>
      </c>
      <c r="I151" s="26">
        <f t="shared" ca="1" si="2"/>
        <v>1</v>
      </c>
      <c r="J151" s="86">
        <f t="shared" ca="1" si="3"/>
        <v>45185</v>
      </c>
      <c r="R151" s="26"/>
    </row>
    <row r="152" spans="1:18" ht="15.75" customHeight="1">
      <c r="A152" s="26">
        <f ca="1">IFERROR(__xludf.DUMMYFUNCTION("""COMPUTED_VALUE"""),20376)</f>
        <v>20376</v>
      </c>
      <c r="B152" s="86">
        <f ca="1">IFERROR(__xludf.DUMMYFUNCTION("""COMPUTED_VALUE"""),45185.7260185185)</f>
        <v>45185.7260185185</v>
      </c>
      <c r="C152" s="1" t="str">
        <f ca="1">IFERROR(__xludf.DUMMYFUNCTION("""COMPUTED_VALUE"""),"completed")</f>
        <v>completed</v>
      </c>
      <c r="D152" s="26">
        <f ca="1">IFERROR(__xludf.DUMMYFUNCTION("""COMPUTED_VALUE"""),25)</f>
        <v>25</v>
      </c>
      <c r="E152" s="1" t="str">
        <f ca="1">IFERROR(__xludf.DUMMYFUNCTION("""COMPUTED_VALUE"""),"WMFA")</f>
        <v>WMFA</v>
      </c>
      <c r="F152" s="87" t="str">
        <f t="shared" ca="1" si="0"/>
        <v>2023</v>
      </c>
      <c r="G152" s="1" t="str">
        <f ca="1">IFERROR(__xludf.DUMMYFUNCTION("""COMPUTED_VALUE"""),"WMFA")</f>
        <v>WMFA</v>
      </c>
      <c r="H152" s="26">
        <f t="shared" ca="1" si="1"/>
        <v>25</v>
      </c>
      <c r="I152" s="26">
        <f t="shared" ca="1" si="2"/>
        <v>1</v>
      </c>
      <c r="J152" s="86">
        <f t="shared" ca="1" si="3"/>
        <v>45185</v>
      </c>
      <c r="R152" s="26"/>
    </row>
    <row r="153" spans="1:18" ht="15.75" customHeight="1">
      <c r="A153" s="26">
        <f ca="1">IFERROR(__xludf.DUMMYFUNCTION("""COMPUTED_VALUE"""),20375)</f>
        <v>20375</v>
      </c>
      <c r="B153" s="86">
        <f ca="1">IFERROR(__xludf.DUMMYFUNCTION("""COMPUTED_VALUE"""),45185.6943055555)</f>
        <v>45185.694305555502</v>
      </c>
      <c r="C153" s="1" t="str">
        <f ca="1">IFERROR(__xludf.DUMMYFUNCTION("""COMPUTED_VALUE"""),"completed")</f>
        <v>completed</v>
      </c>
      <c r="D153" s="26">
        <f ca="1">IFERROR(__xludf.DUMMYFUNCTION("""COMPUTED_VALUE"""),51)</f>
        <v>51</v>
      </c>
      <c r="E153" s="1" t="str">
        <f ca="1">IFERROR(__xludf.DUMMYFUNCTION("""COMPUTED_VALUE"""),"WMFA")</f>
        <v>WMFA</v>
      </c>
      <c r="F153" s="87" t="str">
        <f t="shared" ca="1" si="0"/>
        <v>2023</v>
      </c>
      <c r="G153" s="1" t="str">
        <f ca="1">IFERROR(__xludf.DUMMYFUNCTION("""COMPUTED_VALUE"""),"WMFA")</f>
        <v>WMFA</v>
      </c>
      <c r="H153" s="26">
        <f t="shared" ca="1" si="1"/>
        <v>51</v>
      </c>
      <c r="I153" s="26">
        <f t="shared" ca="1" si="2"/>
        <v>1</v>
      </c>
      <c r="J153" s="86">
        <f t="shared" ca="1" si="3"/>
        <v>45185</v>
      </c>
      <c r="R153" s="26"/>
    </row>
    <row r="154" spans="1:18" ht="15.75" customHeight="1">
      <c r="A154" s="26">
        <f ca="1">IFERROR(__xludf.DUMMYFUNCTION("""COMPUTED_VALUE"""),20374)</f>
        <v>20374</v>
      </c>
      <c r="B154" s="86">
        <f ca="1">IFERROR(__xludf.DUMMYFUNCTION("""COMPUTED_VALUE"""),45185.552974537)</f>
        <v>45185.552974537</v>
      </c>
      <c r="C154" s="1" t="str">
        <f ca="1">IFERROR(__xludf.DUMMYFUNCTION("""COMPUTED_VALUE"""),"completed")</f>
        <v>completed</v>
      </c>
      <c r="D154" s="26">
        <f ca="1">IFERROR(__xludf.DUMMYFUNCTION("""COMPUTED_VALUE"""),26)</f>
        <v>26</v>
      </c>
      <c r="E154" s="1" t="str">
        <f ca="1">IFERROR(__xludf.DUMMYFUNCTION("""COMPUTED_VALUE"""),"WMFA")</f>
        <v>WMFA</v>
      </c>
      <c r="F154" s="87" t="str">
        <f t="shared" ca="1" si="0"/>
        <v>2023</v>
      </c>
      <c r="G154" s="1" t="str">
        <f ca="1">IFERROR(__xludf.DUMMYFUNCTION("""COMPUTED_VALUE"""),"WMFA")</f>
        <v>WMFA</v>
      </c>
      <c r="H154" s="26">
        <f t="shared" ca="1" si="1"/>
        <v>26</v>
      </c>
      <c r="I154" s="26">
        <f t="shared" ca="1" si="2"/>
        <v>1</v>
      </c>
      <c r="J154" s="86">
        <f t="shared" ca="1" si="3"/>
        <v>45185</v>
      </c>
      <c r="R154" s="26"/>
    </row>
    <row r="155" spans="1:18" ht="15.75" customHeight="1">
      <c r="A155" s="26">
        <f ca="1">IFERROR(__xludf.DUMMYFUNCTION("""COMPUTED_VALUE"""),20373)</f>
        <v>20373</v>
      </c>
      <c r="B155" s="86">
        <f ca="1">IFERROR(__xludf.DUMMYFUNCTION("""COMPUTED_VALUE"""),45185.5394097222)</f>
        <v>45185.539409722202</v>
      </c>
      <c r="C155" s="1" t="str">
        <f ca="1">IFERROR(__xludf.DUMMYFUNCTION("""COMPUTED_VALUE"""),"completed")</f>
        <v>completed</v>
      </c>
      <c r="D155" s="26">
        <f ca="1">IFERROR(__xludf.DUMMYFUNCTION("""COMPUTED_VALUE"""),55)</f>
        <v>55</v>
      </c>
      <c r="E155" s="1" t="str">
        <f ca="1">IFERROR(__xludf.DUMMYFUNCTION("""COMPUTED_VALUE"""),"WMFA")</f>
        <v>WMFA</v>
      </c>
      <c r="F155" s="87" t="str">
        <f t="shared" ca="1" si="0"/>
        <v>2023</v>
      </c>
      <c r="G155" s="1" t="str">
        <f ca="1">IFERROR(__xludf.DUMMYFUNCTION("""COMPUTED_VALUE"""),"WMFA")</f>
        <v>WMFA</v>
      </c>
      <c r="H155" s="26">
        <f t="shared" ca="1" si="1"/>
        <v>55</v>
      </c>
      <c r="I155" s="26">
        <f t="shared" ca="1" si="2"/>
        <v>1</v>
      </c>
      <c r="J155" s="86">
        <f t="shared" ca="1" si="3"/>
        <v>45185</v>
      </c>
      <c r="R155" s="26"/>
    </row>
    <row r="156" spans="1:18" ht="15.75" customHeight="1">
      <c r="A156" s="26">
        <f ca="1">IFERROR(__xludf.DUMMYFUNCTION("""COMPUTED_VALUE"""),20372)</f>
        <v>20372</v>
      </c>
      <c r="B156" s="86">
        <f ca="1">IFERROR(__xludf.DUMMYFUNCTION("""COMPUTED_VALUE"""),45185.4918981481)</f>
        <v>45185.491898148102</v>
      </c>
      <c r="C156" s="1" t="str">
        <f ca="1">IFERROR(__xludf.DUMMYFUNCTION("""COMPUTED_VALUE"""),"completed")</f>
        <v>completed</v>
      </c>
      <c r="D156" s="26">
        <f ca="1">IFERROR(__xludf.DUMMYFUNCTION("""COMPUTED_VALUE"""),54)</f>
        <v>54</v>
      </c>
      <c r="E156" s="1" t="str">
        <f ca="1">IFERROR(__xludf.DUMMYFUNCTION("""COMPUTED_VALUE"""),"WMFA")</f>
        <v>WMFA</v>
      </c>
      <c r="F156" s="87" t="str">
        <f t="shared" ca="1" si="0"/>
        <v>2023</v>
      </c>
      <c r="G156" s="1" t="str">
        <f ca="1">IFERROR(__xludf.DUMMYFUNCTION("""COMPUTED_VALUE"""),"WMFA")</f>
        <v>WMFA</v>
      </c>
      <c r="H156" s="26">
        <f t="shared" ca="1" si="1"/>
        <v>54</v>
      </c>
      <c r="I156" s="26">
        <f t="shared" ca="1" si="2"/>
        <v>1</v>
      </c>
      <c r="J156" s="86">
        <f t="shared" ca="1" si="3"/>
        <v>45185</v>
      </c>
      <c r="R156" s="26"/>
    </row>
    <row r="157" spans="1:18" ht="15.75" customHeight="1">
      <c r="A157" s="26">
        <f ca="1">IFERROR(__xludf.DUMMYFUNCTION("""COMPUTED_VALUE"""),20371)</f>
        <v>20371</v>
      </c>
      <c r="B157" s="86">
        <f ca="1">IFERROR(__xludf.DUMMYFUNCTION("""COMPUTED_VALUE"""),45185.0638657407)</f>
        <v>45185.063865740703</v>
      </c>
      <c r="C157" s="1" t="str">
        <f ca="1">IFERROR(__xludf.DUMMYFUNCTION("""COMPUTED_VALUE"""),"completed")</f>
        <v>completed</v>
      </c>
      <c r="D157" s="26">
        <f ca="1">IFERROR(__xludf.DUMMYFUNCTION("""COMPUTED_VALUE"""),35)</f>
        <v>35</v>
      </c>
      <c r="E157" s="1" t="str">
        <f ca="1">IFERROR(__xludf.DUMMYFUNCTION("""COMPUTED_VALUE"""),"WMFA")</f>
        <v>WMFA</v>
      </c>
      <c r="F157" s="87" t="str">
        <f t="shared" ca="1" si="0"/>
        <v>2023</v>
      </c>
      <c r="G157" s="1" t="str">
        <f ca="1">IFERROR(__xludf.DUMMYFUNCTION("""COMPUTED_VALUE"""),"WMFA")</f>
        <v>WMFA</v>
      </c>
      <c r="H157" s="26">
        <f t="shared" ca="1" si="1"/>
        <v>35</v>
      </c>
      <c r="I157" s="26">
        <f t="shared" ca="1" si="2"/>
        <v>1</v>
      </c>
      <c r="J157" s="86">
        <f t="shared" ca="1" si="3"/>
        <v>45185</v>
      </c>
      <c r="R157" s="26"/>
    </row>
    <row r="158" spans="1:18" ht="15.75" customHeight="1">
      <c r="A158" s="26">
        <f ca="1">IFERROR(__xludf.DUMMYFUNCTION("""COMPUTED_VALUE"""),20370)</f>
        <v>20370</v>
      </c>
      <c r="B158" s="86">
        <f ca="1">IFERROR(__xludf.DUMMYFUNCTION("""COMPUTED_VALUE"""),45184.9568518518)</f>
        <v>45184.956851851799</v>
      </c>
      <c r="C158" s="1" t="str">
        <f ca="1">IFERROR(__xludf.DUMMYFUNCTION("""COMPUTED_VALUE"""),"completed")</f>
        <v>completed</v>
      </c>
      <c r="D158" s="26">
        <f ca="1">IFERROR(__xludf.DUMMYFUNCTION("""COMPUTED_VALUE"""),37)</f>
        <v>37</v>
      </c>
      <c r="E158" s="1" t="str">
        <f ca="1">IFERROR(__xludf.DUMMYFUNCTION("""COMPUTED_VALUE"""),"WMFA")</f>
        <v>WMFA</v>
      </c>
      <c r="F158" s="87" t="str">
        <f t="shared" ca="1" si="0"/>
        <v>2023</v>
      </c>
      <c r="G158" s="1" t="str">
        <f ca="1">IFERROR(__xludf.DUMMYFUNCTION("""COMPUTED_VALUE"""),"WMFA")</f>
        <v>WMFA</v>
      </c>
      <c r="H158" s="26">
        <f t="shared" ca="1" si="1"/>
        <v>37</v>
      </c>
      <c r="I158" s="26">
        <f t="shared" ca="1" si="2"/>
        <v>1</v>
      </c>
      <c r="J158" s="86">
        <f t="shared" ca="1" si="3"/>
        <v>45184</v>
      </c>
      <c r="R158" s="26"/>
    </row>
    <row r="159" spans="1:18" ht="15.75" customHeight="1">
      <c r="A159" s="26">
        <f ca="1">IFERROR(__xludf.DUMMYFUNCTION("""COMPUTED_VALUE"""),20369)</f>
        <v>20369</v>
      </c>
      <c r="B159" s="86">
        <f ca="1">IFERROR(__xludf.DUMMYFUNCTION("""COMPUTED_VALUE"""),45184.935324074)</f>
        <v>45184.935324074002</v>
      </c>
      <c r="C159" s="1" t="str">
        <f ca="1">IFERROR(__xludf.DUMMYFUNCTION("""COMPUTED_VALUE"""),"completed")</f>
        <v>completed</v>
      </c>
      <c r="D159" s="26">
        <f ca="1">IFERROR(__xludf.DUMMYFUNCTION("""COMPUTED_VALUE"""),51)</f>
        <v>51</v>
      </c>
      <c r="E159" s="1" t="str">
        <f ca="1">IFERROR(__xludf.DUMMYFUNCTION("""COMPUTED_VALUE"""),"WMFA")</f>
        <v>WMFA</v>
      </c>
      <c r="F159" s="87" t="str">
        <f t="shared" ca="1" si="0"/>
        <v>2023</v>
      </c>
      <c r="G159" s="1" t="str">
        <f ca="1">IFERROR(__xludf.DUMMYFUNCTION("""COMPUTED_VALUE"""),"WMFA")</f>
        <v>WMFA</v>
      </c>
      <c r="H159" s="26">
        <f t="shared" ca="1" si="1"/>
        <v>51</v>
      </c>
      <c r="I159" s="26">
        <f t="shared" ca="1" si="2"/>
        <v>1</v>
      </c>
      <c r="J159" s="86">
        <f t="shared" ca="1" si="3"/>
        <v>45184</v>
      </c>
      <c r="R159" s="26"/>
    </row>
    <row r="160" spans="1:18" ht="15.75" customHeight="1">
      <c r="A160" s="26">
        <f ca="1">IFERROR(__xludf.DUMMYFUNCTION("""COMPUTED_VALUE"""),20368)</f>
        <v>20368</v>
      </c>
      <c r="B160" s="86">
        <f ca="1">IFERROR(__xludf.DUMMYFUNCTION("""COMPUTED_VALUE"""),45184.9347222222)</f>
        <v>45184.934722222199</v>
      </c>
      <c r="C160" s="1" t="str">
        <f ca="1">IFERROR(__xludf.DUMMYFUNCTION("""COMPUTED_VALUE"""),"completed")</f>
        <v>completed</v>
      </c>
      <c r="D160" s="26">
        <f ca="1">IFERROR(__xludf.DUMMYFUNCTION("""COMPUTED_VALUE"""),78)</f>
        <v>78</v>
      </c>
      <c r="E160" s="1" t="str">
        <f ca="1">IFERROR(__xludf.DUMMYFUNCTION("""COMPUTED_VALUE"""),"WMFA")</f>
        <v>WMFA</v>
      </c>
      <c r="F160" s="87" t="str">
        <f t="shared" ca="1" si="0"/>
        <v>2023</v>
      </c>
      <c r="G160" s="1" t="str">
        <f ca="1">IFERROR(__xludf.DUMMYFUNCTION("""COMPUTED_VALUE"""),"WMFA")</f>
        <v>WMFA</v>
      </c>
      <c r="H160" s="26">
        <f t="shared" ca="1" si="1"/>
        <v>78</v>
      </c>
      <c r="I160" s="26">
        <f t="shared" ca="1" si="2"/>
        <v>1</v>
      </c>
      <c r="J160" s="86">
        <f t="shared" ca="1" si="3"/>
        <v>45184</v>
      </c>
      <c r="R160" s="26"/>
    </row>
    <row r="161" spans="1:18" ht="15.75" customHeight="1">
      <c r="A161" s="26">
        <f ca="1">IFERROR(__xludf.DUMMYFUNCTION("""COMPUTED_VALUE"""),20367)</f>
        <v>20367</v>
      </c>
      <c r="B161" s="86">
        <f ca="1">IFERROR(__xludf.DUMMYFUNCTION("""COMPUTED_VALUE"""),45184.8625347222)</f>
        <v>45184.862534722197</v>
      </c>
      <c r="C161" s="1" t="str">
        <f ca="1">IFERROR(__xludf.DUMMYFUNCTION("""COMPUTED_VALUE"""),"completed")</f>
        <v>completed</v>
      </c>
      <c r="D161" s="26">
        <f ca="1">IFERROR(__xludf.DUMMYFUNCTION("""COMPUTED_VALUE"""),25)</f>
        <v>25</v>
      </c>
      <c r="E161" s="1" t="str">
        <f ca="1">IFERROR(__xludf.DUMMYFUNCTION("""COMPUTED_VALUE"""),"WMFA")</f>
        <v>WMFA</v>
      </c>
      <c r="F161" s="87" t="str">
        <f t="shared" ca="1" si="0"/>
        <v>2023</v>
      </c>
      <c r="G161" s="1" t="str">
        <f ca="1">IFERROR(__xludf.DUMMYFUNCTION("""COMPUTED_VALUE"""),"WMFA")</f>
        <v>WMFA</v>
      </c>
      <c r="H161" s="26">
        <f t="shared" ca="1" si="1"/>
        <v>25</v>
      </c>
      <c r="I161" s="26">
        <f t="shared" ca="1" si="2"/>
        <v>1</v>
      </c>
      <c r="J161" s="86">
        <f t="shared" ca="1" si="3"/>
        <v>45184</v>
      </c>
      <c r="R161" s="26"/>
    </row>
    <row r="162" spans="1:18" ht="15.75" customHeight="1">
      <c r="A162" s="26">
        <f ca="1">IFERROR(__xludf.DUMMYFUNCTION("""COMPUTED_VALUE"""),20364)</f>
        <v>20364</v>
      </c>
      <c r="B162" s="86">
        <f ca="1">IFERROR(__xludf.DUMMYFUNCTION("""COMPUTED_VALUE"""),45184.6253009259)</f>
        <v>45184.625300925902</v>
      </c>
      <c r="C162" s="1" t="str">
        <f ca="1">IFERROR(__xludf.DUMMYFUNCTION("""COMPUTED_VALUE"""),"completed")</f>
        <v>completed</v>
      </c>
      <c r="D162" s="26">
        <f ca="1">IFERROR(__xludf.DUMMYFUNCTION("""COMPUTED_VALUE"""),35)</f>
        <v>35</v>
      </c>
      <c r="E162" s="1" t="str">
        <f ca="1">IFERROR(__xludf.DUMMYFUNCTION("""COMPUTED_VALUE"""),"WMFA")</f>
        <v>WMFA</v>
      </c>
      <c r="F162" s="87" t="str">
        <f t="shared" ca="1" si="0"/>
        <v>2023</v>
      </c>
      <c r="G162" s="1" t="str">
        <f ca="1">IFERROR(__xludf.DUMMYFUNCTION("""COMPUTED_VALUE"""),"WMFA")</f>
        <v>WMFA</v>
      </c>
      <c r="H162" s="26">
        <f t="shared" ca="1" si="1"/>
        <v>35</v>
      </c>
      <c r="I162" s="26">
        <f t="shared" ca="1" si="2"/>
        <v>1</v>
      </c>
      <c r="J162" s="86">
        <f t="shared" ca="1" si="3"/>
        <v>45184</v>
      </c>
      <c r="R162" s="26"/>
    </row>
    <row r="163" spans="1:18" ht="15.75" customHeight="1">
      <c r="A163" s="26">
        <f ca="1">IFERROR(__xludf.DUMMYFUNCTION("""COMPUTED_VALUE"""),20363)</f>
        <v>20363</v>
      </c>
      <c r="B163" s="86">
        <f ca="1">IFERROR(__xludf.DUMMYFUNCTION("""COMPUTED_VALUE"""),45184.6053009259)</f>
        <v>45184.605300925898</v>
      </c>
      <c r="C163" s="1" t="str">
        <f ca="1">IFERROR(__xludf.DUMMYFUNCTION("""COMPUTED_VALUE"""),"completed")</f>
        <v>completed</v>
      </c>
      <c r="D163" s="26">
        <f ca="1">IFERROR(__xludf.DUMMYFUNCTION("""COMPUTED_VALUE"""),70)</f>
        <v>70</v>
      </c>
      <c r="E163" s="1" t="str">
        <f ca="1">IFERROR(__xludf.DUMMYFUNCTION("""COMPUTED_VALUE"""),"WMFA")</f>
        <v>WMFA</v>
      </c>
      <c r="F163" s="87" t="str">
        <f t="shared" ca="1" si="0"/>
        <v>2023</v>
      </c>
      <c r="G163" s="1" t="str">
        <f ca="1">IFERROR(__xludf.DUMMYFUNCTION("""COMPUTED_VALUE"""),"WMFA")</f>
        <v>WMFA</v>
      </c>
      <c r="H163" s="26">
        <f t="shared" ca="1" si="1"/>
        <v>70</v>
      </c>
      <c r="I163" s="26">
        <f t="shared" ca="1" si="2"/>
        <v>1</v>
      </c>
      <c r="J163" s="86">
        <f t="shared" ca="1" si="3"/>
        <v>45184</v>
      </c>
      <c r="R163" s="26"/>
    </row>
    <row r="164" spans="1:18" ht="15.75" customHeight="1">
      <c r="A164" s="26">
        <f ca="1">IFERROR(__xludf.DUMMYFUNCTION("""COMPUTED_VALUE"""),20362)</f>
        <v>20362</v>
      </c>
      <c r="B164" s="86">
        <f ca="1">IFERROR(__xludf.DUMMYFUNCTION("""COMPUTED_VALUE"""),45184.5771412037)</f>
        <v>45184.577141203699</v>
      </c>
      <c r="C164" s="1" t="str">
        <f ca="1">IFERROR(__xludf.DUMMYFUNCTION("""COMPUTED_VALUE"""),"completed")</f>
        <v>completed</v>
      </c>
      <c r="D164" s="26">
        <f ca="1">IFERROR(__xludf.DUMMYFUNCTION("""COMPUTED_VALUE"""),35)</f>
        <v>35</v>
      </c>
      <c r="E164" s="1" t="str">
        <f ca="1">IFERROR(__xludf.DUMMYFUNCTION("""COMPUTED_VALUE"""),"WMFA")</f>
        <v>WMFA</v>
      </c>
      <c r="F164" s="87" t="str">
        <f t="shared" ca="1" si="0"/>
        <v>2023</v>
      </c>
      <c r="G164" s="1" t="str">
        <f ca="1">IFERROR(__xludf.DUMMYFUNCTION("""COMPUTED_VALUE"""),"WMFA")</f>
        <v>WMFA</v>
      </c>
      <c r="H164" s="26">
        <f t="shared" ca="1" si="1"/>
        <v>35</v>
      </c>
      <c r="I164" s="26">
        <f t="shared" ca="1" si="2"/>
        <v>1</v>
      </c>
      <c r="J164" s="86">
        <f t="shared" ca="1" si="3"/>
        <v>45184</v>
      </c>
      <c r="R164" s="26"/>
    </row>
    <row r="165" spans="1:18" ht="15.75" customHeight="1">
      <c r="A165" s="26">
        <f ca="1">IFERROR(__xludf.DUMMYFUNCTION("""COMPUTED_VALUE"""),20361)</f>
        <v>20361</v>
      </c>
      <c r="B165" s="86">
        <f ca="1">IFERROR(__xludf.DUMMYFUNCTION("""COMPUTED_VALUE"""),45184.5752662037)</f>
        <v>45184.575266203698</v>
      </c>
      <c r="C165" s="1" t="str">
        <f ca="1">IFERROR(__xludf.DUMMYFUNCTION("""COMPUTED_VALUE"""),"completed")</f>
        <v>completed</v>
      </c>
      <c r="D165" s="26">
        <f ca="1">IFERROR(__xludf.DUMMYFUNCTION("""COMPUTED_VALUE"""),55)</f>
        <v>55</v>
      </c>
      <c r="E165" s="1" t="str">
        <f ca="1">IFERROR(__xludf.DUMMYFUNCTION("""COMPUTED_VALUE"""),"WMFA")</f>
        <v>WMFA</v>
      </c>
      <c r="F165" s="87" t="str">
        <f t="shared" ca="1" si="0"/>
        <v>2023</v>
      </c>
      <c r="G165" s="1" t="str">
        <f ca="1">IFERROR(__xludf.DUMMYFUNCTION("""COMPUTED_VALUE"""),"WMFA")</f>
        <v>WMFA</v>
      </c>
      <c r="H165" s="26">
        <f t="shared" ca="1" si="1"/>
        <v>55</v>
      </c>
      <c r="I165" s="26">
        <f t="shared" ca="1" si="2"/>
        <v>1</v>
      </c>
      <c r="J165" s="86">
        <f t="shared" ca="1" si="3"/>
        <v>45184</v>
      </c>
      <c r="R165" s="26"/>
    </row>
    <row r="166" spans="1:18" ht="15.75" customHeight="1">
      <c r="A166" s="26">
        <f ca="1">IFERROR(__xludf.DUMMYFUNCTION("""COMPUTED_VALUE"""),20360)</f>
        <v>20360</v>
      </c>
      <c r="B166" s="86">
        <f ca="1">IFERROR(__xludf.DUMMYFUNCTION("""COMPUTED_VALUE"""),45184.5685532407)</f>
        <v>45184.568553240701</v>
      </c>
      <c r="C166" s="1" t="str">
        <f ca="1">IFERROR(__xludf.DUMMYFUNCTION("""COMPUTED_VALUE"""),"completed")</f>
        <v>completed</v>
      </c>
      <c r="D166" s="26">
        <f ca="1">IFERROR(__xludf.DUMMYFUNCTION("""COMPUTED_VALUE"""),22)</f>
        <v>22</v>
      </c>
      <c r="E166" s="1" t="str">
        <f ca="1">IFERROR(__xludf.DUMMYFUNCTION("""COMPUTED_VALUE"""),"WMFA")</f>
        <v>WMFA</v>
      </c>
      <c r="F166" s="87" t="str">
        <f t="shared" ca="1" si="0"/>
        <v>2023</v>
      </c>
      <c r="G166" s="1" t="str">
        <f ca="1">IFERROR(__xludf.DUMMYFUNCTION("""COMPUTED_VALUE"""),"WMFA")</f>
        <v>WMFA</v>
      </c>
      <c r="H166" s="26">
        <f t="shared" ca="1" si="1"/>
        <v>22</v>
      </c>
      <c r="I166" s="26">
        <f t="shared" ca="1" si="2"/>
        <v>1</v>
      </c>
      <c r="J166" s="86">
        <f t="shared" ca="1" si="3"/>
        <v>45184</v>
      </c>
      <c r="R166" s="26"/>
    </row>
    <row r="167" spans="1:18" ht="15.75" customHeight="1">
      <c r="A167" s="26">
        <f ca="1">IFERROR(__xludf.DUMMYFUNCTION("""COMPUTED_VALUE"""),20359)</f>
        <v>20359</v>
      </c>
      <c r="B167" s="86">
        <f ca="1">IFERROR(__xludf.DUMMYFUNCTION("""COMPUTED_VALUE"""),45184.4231481481)</f>
        <v>45184.423148148097</v>
      </c>
      <c r="C167" s="1" t="str">
        <f ca="1">IFERROR(__xludf.DUMMYFUNCTION("""COMPUTED_VALUE"""),"completed")</f>
        <v>completed</v>
      </c>
      <c r="D167" s="26">
        <f ca="1">IFERROR(__xludf.DUMMYFUNCTION("""COMPUTED_VALUE"""),63)</f>
        <v>63</v>
      </c>
      <c r="E167" s="1" t="str">
        <f ca="1">IFERROR(__xludf.DUMMYFUNCTION("""COMPUTED_VALUE"""),"WMFA")</f>
        <v>WMFA</v>
      </c>
      <c r="F167" s="87" t="str">
        <f t="shared" ca="1" si="0"/>
        <v>2023</v>
      </c>
      <c r="G167" s="1" t="str">
        <f ca="1">IFERROR(__xludf.DUMMYFUNCTION("""COMPUTED_VALUE"""),"WMFA")</f>
        <v>WMFA</v>
      </c>
      <c r="H167" s="26">
        <f t="shared" ca="1" si="1"/>
        <v>63</v>
      </c>
      <c r="I167" s="26">
        <f t="shared" ca="1" si="2"/>
        <v>1</v>
      </c>
      <c r="J167" s="86">
        <f t="shared" ca="1" si="3"/>
        <v>45184</v>
      </c>
      <c r="R167" s="26"/>
    </row>
    <row r="168" spans="1:18" ht="15.75" customHeight="1">
      <c r="A168" s="26">
        <f ca="1">IFERROR(__xludf.DUMMYFUNCTION("""COMPUTED_VALUE"""),20358)</f>
        <v>20358</v>
      </c>
      <c r="B168" s="86">
        <f ca="1">IFERROR(__xludf.DUMMYFUNCTION("""COMPUTED_VALUE"""),45184.0465046296)</f>
        <v>45184.046504629601</v>
      </c>
      <c r="C168" s="1" t="str">
        <f ca="1">IFERROR(__xludf.DUMMYFUNCTION("""COMPUTED_VALUE"""),"completed")</f>
        <v>completed</v>
      </c>
      <c r="D168" s="26">
        <f ca="1">IFERROR(__xludf.DUMMYFUNCTION("""COMPUTED_VALUE"""),26)</f>
        <v>26</v>
      </c>
      <c r="E168" s="1" t="str">
        <f ca="1">IFERROR(__xludf.DUMMYFUNCTION("""COMPUTED_VALUE"""),"WMFA")</f>
        <v>WMFA</v>
      </c>
      <c r="F168" s="87" t="str">
        <f t="shared" ca="1" si="0"/>
        <v>2023</v>
      </c>
      <c r="G168" s="1" t="str">
        <f ca="1">IFERROR(__xludf.DUMMYFUNCTION("""COMPUTED_VALUE"""),"WMFA")</f>
        <v>WMFA</v>
      </c>
      <c r="H168" s="26">
        <f t="shared" ca="1" si="1"/>
        <v>26</v>
      </c>
      <c r="I168" s="26">
        <f t="shared" ca="1" si="2"/>
        <v>1</v>
      </c>
      <c r="J168" s="86">
        <f t="shared" ca="1" si="3"/>
        <v>45184</v>
      </c>
      <c r="R168" s="26"/>
    </row>
    <row r="169" spans="1:18" ht="15.75" customHeight="1">
      <c r="A169" s="26">
        <f ca="1">IFERROR(__xludf.DUMMYFUNCTION("""COMPUTED_VALUE"""),20357)</f>
        <v>20357</v>
      </c>
      <c r="B169" s="86">
        <f ca="1">IFERROR(__xludf.DUMMYFUNCTION("""COMPUTED_VALUE"""),45183.9243287037)</f>
        <v>45183.924328703702</v>
      </c>
      <c r="C169" s="1" t="str">
        <f ca="1">IFERROR(__xludf.DUMMYFUNCTION("""COMPUTED_VALUE"""),"completed")</f>
        <v>completed</v>
      </c>
      <c r="D169" s="26">
        <f ca="1">IFERROR(__xludf.DUMMYFUNCTION("""COMPUTED_VALUE"""),22)</f>
        <v>22</v>
      </c>
      <c r="E169" s="1" t="str">
        <f ca="1">IFERROR(__xludf.DUMMYFUNCTION("""COMPUTED_VALUE"""),"WMFA")</f>
        <v>WMFA</v>
      </c>
      <c r="F169" s="87" t="str">
        <f t="shared" ca="1" si="0"/>
        <v>2023</v>
      </c>
      <c r="G169" s="1" t="str">
        <f ca="1">IFERROR(__xludf.DUMMYFUNCTION("""COMPUTED_VALUE"""),"WMFA")</f>
        <v>WMFA</v>
      </c>
      <c r="H169" s="26">
        <f t="shared" ca="1" si="1"/>
        <v>22</v>
      </c>
      <c r="I169" s="26">
        <f t="shared" ca="1" si="2"/>
        <v>1</v>
      </c>
      <c r="J169" s="86">
        <f t="shared" ca="1" si="3"/>
        <v>45183</v>
      </c>
      <c r="R169" s="26"/>
    </row>
    <row r="170" spans="1:18" ht="15.75" customHeight="1">
      <c r="A170" s="26">
        <f ca="1">IFERROR(__xludf.DUMMYFUNCTION("""COMPUTED_VALUE"""),20356)</f>
        <v>20356</v>
      </c>
      <c r="B170" s="86">
        <f ca="1">IFERROR(__xludf.DUMMYFUNCTION("""COMPUTED_VALUE"""),45183.5879282407)</f>
        <v>45183.587928240697</v>
      </c>
      <c r="C170" s="1" t="str">
        <f ca="1">IFERROR(__xludf.DUMMYFUNCTION("""COMPUTED_VALUE"""),"completed")</f>
        <v>completed</v>
      </c>
      <c r="D170" s="26">
        <f ca="1">IFERROR(__xludf.DUMMYFUNCTION("""COMPUTED_VALUE"""),35)</f>
        <v>35</v>
      </c>
      <c r="E170" s="1" t="str">
        <f ca="1">IFERROR(__xludf.DUMMYFUNCTION("""COMPUTED_VALUE"""),"WMFA")</f>
        <v>WMFA</v>
      </c>
      <c r="F170" s="87" t="str">
        <f t="shared" ca="1" si="0"/>
        <v>2023</v>
      </c>
      <c r="G170" s="1" t="str">
        <f ca="1">IFERROR(__xludf.DUMMYFUNCTION("""COMPUTED_VALUE"""),"WMFA")</f>
        <v>WMFA</v>
      </c>
      <c r="H170" s="26">
        <f t="shared" ca="1" si="1"/>
        <v>35</v>
      </c>
      <c r="I170" s="26">
        <f t="shared" ca="1" si="2"/>
        <v>1</v>
      </c>
      <c r="J170" s="86">
        <f t="shared" ca="1" si="3"/>
        <v>45183</v>
      </c>
      <c r="R170" s="26"/>
    </row>
    <row r="171" spans="1:18" ht="15.75" customHeight="1">
      <c r="A171" s="26">
        <f ca="1">IFERROR(__xludf.DUMMYFUNCTION("""COMPUTED_VALUE"""),20355)</f>
        <v>20355</v>
      </c>
      <c r="B171" s="86">
        <f ca="1">IFERROR(__xludf.DUMMYFUNCTION("""COMPUTED_VALUE"""),45183.5549768518)</f>
        <v>45183.554976851803</v>
      </c>
      <c r="C171" s="1" t="str">
        <f ca="1">IFERROR(__xludf.DUMMYFUNCTION("""COMPUTED_VALUE"""),"completed")</f>
        <v>completed</v>
      </c>
      <c r="D171" s="26">
        <f ca="1">IFERROR(__xludf.DUMMYFUNCTION("""COMPUTED_VALUE"""),80)</f>
        <v>80</v>
      </c>
      <c r="E171" s="1" t="str">
        <f ca="1">IFERROR(__xludf.DUMMYFUNCTION("""COMPUTED_VALUE"""),"WMFA")</f>
        <v>WMFA</v>
      </c>
      <c r="F171" s="87" t="str">
        <f t="shared" ca="1" si="0"/>
        <v>2023</v>
      </c>
      <c r="G171" s="1" t="str">
        <f ca="1">IFERROR(__xludf.DUMMYFUNCTION("""COMPUTED_VALUE"""),"WMFA")</f>
        <v>WMFA</v>
      </c>
      <c r="H171" s="26">
        <f t="shared" ca="1" si="1"/>
        <v>80</v>
      </c>
      <c r="I171" s="26">
        <f t="shared" ca="1" si="2"/>
        <v>1</v>
      </c>
      <c r="J171" s="86">
        <f t="shared" ca="1" si="3"/>
        <v>45183</v>
      </c>
      <c r="R171" s="26"/>
    </row>
    <row r="172" spans="1:18" ht="15.75" customHeight="1">
      <c r="A172" s="26">
        <f ca="1">IFERROR(__xludf.DUMMYFUNCTION("""COMPUTED_VALUE"""),20354)</f>
        <v>20354</v>
      </c>
      <c r="B172" s="86">
        <f ca="1">IFERROR(__xludf.DUMMYFUNCTION("""COMPUTED_VALUE"""),45182.9585300926)</f>
        <v>45182.958530092597</v>
      </c>
      <c r="C172" s="1" t="str">
        <f ca="1">IFERROR(__xludf.DUMMYFUNCTION("""COMPUTED_VALUE"""),"completed")</f>
        <v>completed</v>
      </c>
      <c r="D172" s="26">
        <f ca="1">IFERROR(__xludf.DUMMYFUNCTION("""COMPUTED_VALUE"""),55)</f>
        <v>55</v>
      </c>
      <c r="E172" s="1" t="str">
        <f ca="1">IFERROR(__xludf.DUMMYFUNCTION("""COMPUTED_VALUE"""),"WMFA")</f>
        <v>WMFA</v>
      </c>
      <c r="F172" s="87" t="str">
        <f t="shared" ca="1" si="0"/>
        <v>2023</v>
      </c>
      <c r="G172" s="1" t="str">
        <f ca="1">IFERROR(__xludf.DUMMYFUNCTION("""COMPUTED_VALUE"""),"WMFA")</f>
        <v>WMFA</v>
      </c>
      <c r="H172" s="26">
        <f t="shared" ca="1" si="1"/>
        <v>55</v>
      </c>
      <c r="I172" s="26">
        <f t="shared" ca="1" si="2"/>
        <v>1</v>
      </c>
      <c r="J172" s="86">
        <f t="shared" ca="1" si="3"/>
        <v>45182</v>
      </c>
      <c r="R172" s="26"/>
    </row>
    <row r="173" spans="1:18" ht="15.75" customHeight="1">
      <c r="A173" s="26">
        <f ca="1">IFERROR(__xludf.DUMMYFUNCTION("""COMPUTED_VALUE"""),20353)</f>
        <v>20353</v>
      </c>
      <c r="B173" s="86">
        <f ca="1">IFERROR(__xludf.DUMMYFUNCTION("""COMPUTED_VALUE"""),45182.9362731481)</f>
        <v>45182.936273148101</v>
      </c>
      <c r="C173" s="1" t="str">
        <f ca="1">IFERROR(__xludf.DUMMYFUNCTION("""COMPUTED_VALUE"""),"completed")</f>
        <v>completed</v>
      </c>
      <c r="D173" s="26">
        <f ca="1">IFERROR(__xludf.DUMMYFUNCTION("""COMPUTED_VALUE"""),25)</f>
        <v>25</v>
      </c>
      <c r="E173" s="1" t="str">
        <f ca="1">IFERROR(__xludf.DUMMYFUNCTION("""COMPUTED_VALUE"""),"WMFA")</f>
        <v>WMFA</v>
      </c>
      <c r="F173" s="87" t="str">
        <f t="shared" ca="1" si="0"/>
        <v>2023</v>
      </c>
      <c r="G173" s="1" t="str">
        <f ca="1">IFERROR(__xludf.DUMMYFUNCTION("""COMPUTED_VALUE"""),"WMFA")</f>
        <v>WMFA</v>
      </c>
      <c r="H173" s="26">
        <f t="shared" ca="1" si="1"/>
        <v>25</v>
      </c>
      <c r="I173" s="26">
        <f t="shared" ca="1" si="2"/>
        <v>1</v>
      </c>
      <c r="J173" s="86">
        <f t="shared" ca="1" si="3"/>
        <v>45182</v>
      </c>
      <c r="R173" s="26"/>
    </row>
    <row r="174" spans="1:18" ht="15.75" customHeight="1">
      <c r="A174" s="26">
        <f ca="1">IFERROR(__xludf.DUMMYFUNCTION("""COMPUTED_VALUE"""),20352)</f>
        <v>20352</v>
      </c>
      <c r="B174" s="86">
        <f ca="1">IFERROR(__xludf.DUMMYFUNCTION("""COMPUTED_VALUE"""),45182.7220949074)</f>
        <v>45182.722094907404</v>
      </c>
      <c r="C174" s="1" t="str">
        <f ca="1">IFERROR(__xludf.DUMMYFUNCTION("""COMPUTED_VALUE"""),"completed")</f>
        <v>completed</v>
      </c>
      <c r="D174" s="26">
        <f ca="1">IFERROR(__xludf.DUMMYFUNCTION("""COMPUTED_VALUE"""),55)</f>
        <v>55</v>
      </c>
      <c r="E174" s="1" t="str">
        <f ca="1">IFERROR(__xludf.DUMMYFUNCTION("""COMPUTED_VALUE"""),"WMFA")</f>
        <v>WMFA</v>
      </c>
      <c r="F174" s="87" t="str">
        <f t="shared" ca="1" si="0"/>
        <v>2023</v>
      </c>
      <c r="G174" s="1" t="str">
        <f ca="1">IFERROR(__xludf.DUMMYFUNCTION("""COMPUTED_VALUE"""),"WMFA")</f>
        <v>WMFA</v>
      </c>
      <c r="H174" s="26">
        <f t="shared" ca="1" si="1"/>
        <v>55</v>
      </c>
      <c r="I174" s="26">
        <f t="shared" ca="1" si="2"/>
        <v>1</v>
      </c>
      <c r="J174" s="86">
        <f t="shared" ca="1" si="3"/>
        <v>45182</v>
      </c>
      <c r="R174" s="26"/>
    </row>
    <row r="175" spans="1:18" ht="15.75" customHeight="1">
      <c r="A175" s="26">
        <f ca="1">IFERROR(__xludf.DUMMYFUNCTION("""COMPUTED_VALUE"""),20351)</f>
        <v>20351</v>
      </c>
      <c r="B175" s="86">
        <f ca="1">IFERROR(__xludf.DUMMYFUNCTION("""COMPUTED_VALUE"""),45182.6947569444)</f>
        <v>45182.694756944402</v>
      </c>
      <c r="C175" s="1" t="str">
        <f ca="1">IFERROR(__xludf.DUMMYFUNCTION("""COMPUTED_VALUE"""),"completed")</f>
        <v>completed</v>
      </c>
      <c r="D175" s="26">
        <f ca="1">IFERROR(__xludf.DUMMYFUNCTION("""COMPUTED_VALUE"""),55)</f>
        <v>55</v>
      </c>
      <c r="E175" s="1" t="str">
        <f ca="1">IFERROR(__xludf.DUMMYFUNCTION("""COMPUTED_VALUE"""),"WMFA")</f>
        <v>WMFA</v>
      </c>
      <c r="F175" s="87" t="str">
        <f t="shared" ca="1" si="0"/>
        <v>2023</v>
      </c>
      <c r="G175" s="1" t="str">
        <f ca="1">IFERROR(__xludf.DUMMYFUNCTION("""COMPUTED_VALUE"""),"WMFA")</f>
        <v>WMFA</v>
      </c>
      <c r="H175" s="26">
        <f t="shared" ca="1" si="1"/>
        <v>55</v>
      </c>
      <c r="I175" s="26">
        <f t="shared" ca="1" si="2"/>
        <v>1</v>
      </c>
      <c r="J175" s="86">
        <f t="shared" ca="1" si="3"/>
        <v>45182</v>
      </c>
      <c r="R175" s="26"/>
    </row>
    <row r="176" spans="1:18" ht="15.75" customHeight="1">
      <c r="A176" s="26">
        <f ca="1">IFERROR(__xludf.DUMMYFUNCTION("""COMPUTED_VALUE"""),20350)</f>
        <v>20350</v>
      </c>
      <c r="B176" s="86">
        <f ca="1">IFERROR(__xludf.DUMMYFUNCTION("""COMPUTED_VALUE"""),45182.6101388888)</f>
        <v>45182.610138888798</v>
      </c>
      <c r="C176" s="1" t="str">
        <f ca="1">IFERROR(__xludf.DUMMYFUNCTION("""COMPUTED_VALUE"""),"completed")</f>
        <v>completed</v>
      </c>
      <c r="D176" s="26">
        <f ca="1">IFERROR(__xludf.DUMMYFUNCTION("""COMPUTED_VALUE"""),15)</f>
        <v>15</v>
      </c>
      <c r="E176" s="1" t="str">
        <f ca="1">IFERROR(__xludf.DUMMYFUNCTION("""COMPUTED_VALUE"""),"WMFA")</f>
        <v>WMFA</v>
      </c>
      <c r="F176" s="87" t="str">
        <f t="shared" ca="1" si="0"/>
        <v>2023</v>
      </c>
      <c r="G176" s="1" t="str">
        <f ca="1">IFERROR(__xludf.DUMMYFUNCTION("""COMPUTED_VALUE"""),"WMFA")</f>
        <v>WMFA</v>
      </c>
      <c r="H176" s="26">
        <f t="shared" ca="1" si="1"/>
        <v>15</v>
      </c>
      <c r="I176" s="26">
        <f t="shared" ca="1" si="2"/>
        <v>1</v>
      </c>
      <c r="J176" s="86">
        <f t="shared" ca="1" si="3"/>
        <v>45182</v>
      </c>
      <c r="R176" s="26"/>
    </row>
    <row r="177" spans="1:18" ht="15.75" customHeight="1">
      <c r="A177" s="26">
        <f ca="1">IFERROR(__xludf.DUMMYFUNCTION("""COMPUTED_VALUE"""),20349)</f>
        <v>20349</v>
      </c>
      <c r="B177" s="86">
        <f ca="1">IFERROR(__xludf.DUMMYFUNCTION("""COMPUTED_VALUE"""),45182.5617013887)</f>
        <v>45182.561701388797</v>
      </c>
      <c r="C177" s="1" t="str">
        <f ca="1">IFERROR(__xludf.DUMMYFUNCTION("""COMPUTED_VALUE"""),"completed")</f>
        <v>completed</v>
      </c>
      <c r="D177" s="26">
        <f ca="1">IFERROR(__xludf.DUMMYFUNCTION("""COMPUTED_VALUE"""),55)</f>
        <v>55</v>
      </c>
      <c r="E177" s="1" t="str">
        <f ca="1">IFERROR(__xludf.DUMMYFUNCTION("""COMPUTED_VALUE"""),"WMFA")</f>
        <v>WMFA</v>
      </c>
      <c r="F177" s="87" t="str">
        <f t="shared" ca="1" si="0"/>
        <v>2023</v>
      </c>
      <c r="G177" s="1" t="str">
        <f ca="1">IFERROR(__xludf.DUMMYFUNCTION("""COMPUTED_VALUE"""),"WMFA")</f>
        <v>WMFA</v>
      </c>
      <c r="H177" s="26">
        <f t="shared" ca="1" si="1"/>
        <v>55</v>
      </c>
      <c r="I177" s="26">
        <f t="shared" ca="1" si="2"/>
        <v>1</v>
      </c>
      <c r="J177" s="86">
        <f t="shared" ca="1" si="3"/>
        <v>45182</v>
      </c>
      <c r="R177" s="26"/>
    </row>
    <row r="178" spans="1:18" ht="15.75" customHeight="1">
      <c r="A178" s="26">
        <f ca="1">IFERROR(__xludf.DUMMYFUNCTION("""COMPUTED_VALUE"""),20348)</f>
        <v>20348</v>
      </c>
      <c r="B178" s="86">
        <f ca="1">IFERROR(__xludf.DUMMYFUNCTION("""COMPUTED_VALUE"""),45182.4961111111)</f>
        <v>45182.496111111097</v>
      </c>
      <c r="C178" s="1" t="str">
        <f ca="1">IFERROR(__xludf.DUMMYFUNCTION("""COMPUTED_VALUE"""),"completed")</f>
        <v>completed</v>
      </c>
      <c r="D178" s="26">
        <f ca="1">IFERROR(__xludf.DUMMYFUNCTION("""COMPUTED_VALUE"""),47)</f>
        <v>47</v>
      </c>
      <c r="E178" s="1" t="str">
        <f ca="1">IFERROR(__xludf.DUMMYFUNCTION("""COMPUTED_VALUE"""),"WMFA")</f>
        <v>WMFA</v>
      </c>
      <c r="F178" s="87" t="str">
        <f t="shared" ca="1" si="0"/>
        <v>2023</v>
      </c>
      <c r="G178" s="1" t="str">
        <f ca="1">IFERROR(__xludf.DUMMYFUNCTION("""COMPUTED_VALUE"""),"WMFA")</f>
        <v>WMFA</v>
      </c>
      <c r="H178" s="26">
        <f t="shared" ca="1" si="1"/>
        <v>47</v>
      </c>
      <c r="I178" s="26">
        <f t="shared" ca="1" si="2"/>
        <v>1</v>
      </c>
      <c r="J178" s="86">
        <f t="shared" ca="1" si="3"/>
        <v>45182</v>
      </c>
      <c r="R178" s="26"/>
    </row>
    <row r="179" spans="1:18" ht="15.75" customHeight="1">
      <c r="A179" s="26">
        <f ca="1">IFERROR(__xludf.DUMMYFUNCTION("""COMPUTED_VALUE"""),20347)</f>
        <v>20347</v>
      </c>
      <c r="B179" s="86">
        <f ca="1">IFERROR(__xludf.DUMMYFUNCTION("""COMPUTED_VALUE"""),45182.454849537)</f>
        <v>45182.454849537004</v>
      </c>
      <c r="C179" s="1" t="str">
        <f ca="1">IFERROR(__xludf.DUMMYFUNCTION("""COMPUTED_VALUE"""),"completed")</f>
        <v>completed</v>
      </c>
      <c r="D179" s="26">
        <f ca="1">IFERROR(__xludf.DUMMYFUNCTION("""COMPUTED_VALUE"""),15)</f>
        <v>15</v>
      </c>
      <c r="E179" s="1" t="str">
        <f ca="1">IFERROR(__xludf.DUMMYFUNCTION("""COMPUTED_VALUE"""),"WMFA")</f>
        <v>WMFA</v>
      </c>
      <c r="F179" s="87" t="str">
        <f t="shared" ca="1" si="0"/>
        <v>2023</v>
      </c>
      <c r="G179" s="1" t="str">
        <f ca="1">IFERROR(__xludf.DUMMYFUNCTION("""COMPUTED_VALUE"""),"WMFA")</f>
        <v>WMFA</v>
      </c>
      <c r="H179" s="26">
        <f t="shared" ca="1" si="1"/>
        <v>15</v>
      </c>
      <c r="I179" s="26">
        <f t="shared" ca="1" si="2"/>
        <v>1</v>
      </c>
      <c r="J179" s="86">
        <f t="shared" ca="1" si="3"/>
        <v>45182</v>
      </c>
      <c r="R179" s="26"/>
    </row>
    <row r="180" spans="1:18" ht="15.75" customHeight="1">
      <c r="A180" s="26">
        <f ca="1">IFERROR(__xludf.DUMMYFUNCTION("""COMPUTED_VALUE"""),20346)</f>
        <v>20346</v>
      </c>
      <c r="B180" s="86">
        <f ca="1">IFERROR(__xludf.DUMMYFUNCTION("""COMPUTED_VALUE"""),45182.1816319444)</f>
        <v>45182.181631944397</v>
      </c>
      <c r="C180" s="1" t="str">
        <f ca="1">IFERROR(__xludf.DUMMYFUNCTION("""COMPUTED_VALUE"""),"completed")</f>
        <v>completed</v>
      </c>
      <c r="D180" s="26">
        <f ca="1">IFERROR(__xludf.DUMMYFUNCTION("""COMPUTED_VALUE"""),40)</f>
        <v>40</v>
      </c>
      <c r="E180" s="1" t="str">
        <f ca="1">IFERROR(__xludf.DUMMYFUNCTION("""COMPUTED_VALUE"""),"WMFA")</f>
        <v>WMFA</v>
      </c>
      <c r="F180" s="87" t="str">
        <f t="shared" ca="1" si="0"/>
        <v>2023</v>
      </c>
      <c r="G180" s="1" t="str">
        <f ca="1">IFERROR(__xludf.DUMMYFUNCTION("""COMPUTED_VALUE"""),"WMFA")</f>
        <v>WMFA</v>
      </c>
      <c r="H180" s="26">
        <f t="shared" ca="1" si="1"/>
        <v>40</v>
      </c>
      <c r="I180" s="26">
        <f t="shared" ca="1" si="2"/>
        <v>1</v>
      </c>
      <c r="J180" s="86">
        <f t="shared" ca="1" si="3"/>
        <v>45182</v>
      </c>
      <c r="R180" s="26"/>
    </row>
    <row r="181" spans="1:18" ht="15.75" customHeight="1">
      <c r="A181" s="26">
        <f ca="1">IFERROR(__xludf.DUMMYFUNCTION("""COMPUTED_VALUE"""),20345)</f>
        <v>20345</v>
      </c>
      <c r="B181" s="86">
        <f ca="1">IFERROR(__xludf.DUMMYFUNCTION("""COMPUTED_VALUE"""),45182.1480092592)</f>
        <v>45182.148009259203</v>
      </c>
      <c r="C181" s="1" t="str">
        <f ca="1">IFERROR(__xludf.DUMMYFUNCTION("""COMPUTED_VALUE"""),"completed")</f>
        <v>completed</v>
      </c>
      <c r="D181" s="26">
        <f ca="1">IFERROR(__xludf.DUMMYFUNCTION("""COMPUTED_VALUE"""),48)</f>
        <v>48</v>
      </c>
      <c r="E181" s="1" t="str">
        <f ca="1">IFERROR(__xludf.DUMMYFUNCTION("""COMPUTED_VALUE"""),"WMFA")</f>
        <v>WMFA</v>
      </c>
      <c r="F181" s="87" t="str">
        <f t="shared" ca="1" si="0"/>
        <v>2023</v>
      </c>
      <c r="G181" s="1" t="str">
        <f ca="1">IFERROR(__xludf.DUMMYFUNCTION("""COMPUTED_VALUE"""),"WMFA")</f>
        <v>WMFA</v>
      </c>
      <c r="H181" s="26">
        <f t="shared" ca="1" si="1"/>
        <v>48</v>
      </c>
      <c r="I181" s="26">
        <f t="shared" ca="1" si="2"/>
        <v>1</v>
      </c>
      <c r="J181" s="86">
        <f t="shared" ca="1" si="3"/>
        <v>45182</v>
      </c>
      <c r="R181" s="26"/>
    </row>
    <row r="182" spans="1:18" ht="15.75" customHeight="1">
      <c r="A182" s="26">
        <f ca="1">IFERROR(__xludf.DUMMYFUNCTION("""COMPUTED_VALUE"""),20344)</f>
        <v>20344</v>
      </c>
      <c r="B182" s="86">
        <f ca="1">IFERROR(__xludf.DUMMYFUNCTION("""COMPUTED_VALUE"""),45182.1247222222)</f>
        <v>45182.124722222201</v>
      </c>
      <c r="C182" s="1" t="str">
        <f ca="1">IFERROR(__xludf.DUMMYFUNCTION("""COMPUTED_VALUE"""),"completed")</f>
        <v>completed</v>
      </c>
      <c r="D182" s="26">
        <f ca="1">IFERROR(__xludf.DUMMYFUNCTION("""COMPUTED_VALUE"""),90)</f>
        <v>90</v>
      </c>
      <c r="E182" s="1" t="str">
        <f ca="1">IFERROR(__xludf.DUMMYFUNCTION("""COMPUTED_VALUE"""),"WMFA")</f>
        <v>WMFA</v>
      </c>
      <c r="F182" s="87" t="str">
        <f t="shared" ca="1" si="0"/>
        <v>2023</v>
      </c>
      <c r="G182" s="1" t="str">
        <f ca="1">IFERROR(__xludf.DUMMYFUNCTION("""COMPUTED_VALUE"""),"WMFA")</f>
        <v>WMFA</v>
      </c>
      <c r="H182" s="26">
        <f t="shared" ca="1" si="1"/>
        <v>90</v>
      </c>
      <c r="I182" s="26">
        <f t="shared" ca="1" si="2"/>
        <v>1</v>
      </c>
      <c r="J182" s="86">
        <f t="shared" ca="1" si="3"/>
        <v>45182</v>
      </c>
      <c r="R182" s="26"/>
    </row>
    <row r="183" spans="1:18" ht="15.75" customHeight="1">
      <c r="A183" s="26">
        <f ca="1">IFERROR(__xludf.DUMMYFUNCTION("""COMPUTED_VALUE"""),20343)</f>
        <v>20343</v>
      </c>
      <c r="B183" s="86">
        <f ca="1">IFERROR(__xludf.DUMMYFUNCTION("""COMPUTED_VALUE"""),45182.1162731481)</f>
        <v>45182.116273148102</v>
      </c>
      <c r="C183" s="1" t="str">
        <f ca="1">IFERROR(__xludf.DUMMYFUNCTION("""COMPUTED_VALUE"""),"completed")</f>
        <v>completed</v>
      </c>
      <c r="D183" s="26">
        <f ca="1">IFERROR(__xludf.DUMMYFUNCTION("""COMPUTED_VALUE"""),46)</f>
        <v>46</v>
      </c>
      <c r="E183" s="1" t="str">
        <f ca="1">IFERROR(__xludf.DUMMYFUNCTION("""COMPUTED_VALUE"""),"WMFA")</f>
        <v>WMFA</v>
      </c>
      <c r="F183" s="87" t="str">
        <f t="shared" ca="1" si="0"/>
        <v>2023</v>
      </c>
      <c r="G183" s="1" t="str">
        <f ca="1">IFERROR(__xludf.DUMMYFUNCTION("""COMPUTED_VALUE"""),"WMFA")</f>
        <v>WMFA</v>
      </c>
      <c r="H183" s="26">
        <f t="shared" ca="1" si="1"/>
        <v>46</v>
      </c>
      <c r="I183" s="26">
        <f t="shared" ca="1" si="2"/>
        <v>1</v>
      </c>
      <c r="J183" s="86">
        <f t="shared" ca="1" si="3"/>
        <v>45182</v>
      </c>
      <c r="R183" s="26"/>
    </row>
    <row r="184" spans="1:18" ht="15.75" customHeight="1">
      <c r="A184" s="26">
        <f ca="1">IFERROR(__xludf.DUMMYFUNCTION("""COMPUTED_VALUE"""),20342)</f>
        <v>20342</v>
      </c>
      <c r="B184" s="86">
        <f ca="1">IFERROR(__xludf.DUMMYFUNCTION("""COMPUTED_VALUE"""),45182.1091898148)</f>
        <v>45182.109189814801</v>
      </c>
      <c r="C184" s="1" t="str">
        <f ca="1">IFERROR(__xludf.DUMMYFUNCTION("""COMPUTED_VALUE"""),"completed")</f>
        <v>completed</v>
      </c>
      <c r="D184" s="26">
        <f ca="1">IFERROR(__xludf.DUMMYFUNCTION("""COMPUTED_VALUE"""),35)</f>
        <v>35</v>
      </c>
      <c r="E184" s="1" t="str">
        <f ca="1">IFERROR(__xludf.DUMMYFUNCTION("""COMPUTED_VALUE"""),"WMFA")</f>
        <v>WMFA</v>
      </c>
      <c r="F184" s="87" t="str">
        <f t="shared" ca="1" si="0"/>
        <v>2023</v>
      </c>
      <c r="G184" s="1" t="str">
        <f ca="1">IFERROR(__xludf.DUMMYFUNCTION("""COMPUTED_VALUE"""),"WMFA")</f>
        <v>WMFA</v>
      </c>
      <c r="H184" s="26">
        <f t="shared" ca="1" si="1"/>
        <v>35</v>
      </c>
      <c r="I184" s="26">
        <f t="shared" ca="1" si="2"/>
        <v>1</v>
      </c>
      <c r="J184" s="86">
        <f t="shared" ca="1" si="3"/>
        <v>45182</v>
      </c>
      <c r="R184" s="26"/>
    </row>
    <row r="185" spans="1:18" ht="15.75" customHeight="1">
      <c r="A185" s="26">
        <f ca="1">IFERROR(__xludf.DUMMYFUNCTION("""COMPUTED_VALUE"""),20314)</f>
        <v>20314</v>
      </c>
      <c r="B185" s="86">
        <f ca="1">IFERROR(__xludf.DUMMYFUNCTION("""COMPUTED_VALUE"""),45181.575625)</f>
        <v>45181.575624999998</v>
      </c>
      <c r="C185" s="1" t="str">
        <f ca="1">IFERROR(__xludf.DUMMYFUNCTION("""COMPUTED_VALUE"""),"completed")</f>
        <v>completed</v>
      </c>
      <c r="D185" s="26">
        <f ca="1">IFERROR(__xludf.DUMMYFUNCTION("""COMPUTED_VALUE"""),35)</f>
        <v>35</v>
      </c>
      <c r="E185" s="1" t="str">
        <f ca="1">IFERROR(__xludf.DUMMYFUNCTION("""COMPUTED_VALUE"""),"WMFA")</f>
        <v>WMFA</v>
      </c>
      <c r="F185" s="87" t="str">
        <f t="shared" ca="1" si="0"/>
        <v>2023</v>
      </c>
      <c r="G185" s="1" t="str">
        <f ca="1">IFERROR(__xludf.DUMMYFUNCTION("""COMPUTED_VALUE"""),"WMFA")</f>
        <v>WMFA</v>
      </c>
      <c r="H185" s="26">
        <f t="shared" ca="1" si="1"/>
        <v>35</v>
      </c>
      <c r="I185" s="26">
        <f t="shared" ca="1" si="2"/>
        <v>1</v>
      </c>
      <c r="J185" s="86">
        <f t="shared" ca="1" si="3"/>
        <v>45181</v>
      </c>
      <c r="R185" s="26"/>
    </row>
    <row r="186" spans="1:18" ht="15.75" customHeight="1">
      <c r="A186" s="26">
        <f ca="1">IFERROR(__xludf.DUMMYFUNCTION("""COMPUTED_VALUE"""),20313)</f>
        <v>20313</v>
      </c>
      <c r="B186" s="86">
        <f ca="1">IFERROR(__xludf.DUMMYFUNCTION("""COMPUTED_VALUE"""),45181.0552083333)</f>
        <v>45181.055208333302</v>
      </c>
      <c r="C186" s="1" t="str">
        <f ca="1">IFERROR(__xludf.DUMMYFUNCTION("""COMPUTED_VALUE"""),"completed")</f>
        <v>completed</v>
      </c>
      <c r="D186" s="26">
        <f ca="1">IFERROR(__xludf.DUMMYFUNCTION("""COMPUTED_VALUE"""),25)</f>
        <v>25</v>
      </c>
      <c r="E186" s="1" t="str">
        <f ca="1">IFERROR(__xludf.DUMMYFUNCTION("""COMPUTED_VALUE"""),"Lasalle Stompers")</f>
        <v>Lasalle Stompers</v>
      </c>
      <c r="F186" s="87" t="str">
        <f t="shared" ca="1" si="0"/>
        <v>2023</v>
      </c>
      <c r="G186" s="1" t="str">
        <f ca="1">IFERROR(__xludf.DUMMYFUNCTION("""COMPUTED_VALUE"""),"Lasalle Stompers")</f>
        <v>Lasalle Stompers</v>
      </c>
      <c r="H186" s="26">
        <f t="shared" ca="1" si="1"/>
        <v>25</v>
      </c>
      <c r="I186" s="26">
        <f t="shared" ca="1" si="2"/>
        <v>1</v>
      </c>
      <c r="J186" s="86">
        <f t="shared" ca="1" si="3"/>
        <v>45181</v>
      </c>
      <c r="R186" s="26"/>
    </row>
    <row r="187" spans="1:18" ht="15.75" customHeight="1">
      <c r="A187" s="26">
        <f ca="1">IFERROR(__xludf.DUMMYFUNCTION("""COMPUTED_VALUE"""),20312)</f>
        <v>20312</v>
      </c>
      <c r="B187" s="86">
        <f ca="1">IFERROR(__xludf.DUMMYFUNCTION("""COMPUTED_VALUE"""),45181.0351504629)</f>
        <v>45181.0351504629</v>
      </c>
      <c r="C187" s="1" t="str">
        <f ca="1">IFERROR(__xludf.DUMMYFUNCTION("""COMPUTED_VALUE"""),"completed")</f>
        <v>completed</v>
      </c>
      <c r="D187" s="26">
        <f ca="1">IFERROR(__xludf.DUMMYFUNCTION("""COMPUTED_VALUE"""),20)</f>
        <v>20</v>
      </c>
      <c r="E187" s="1" t="str">
        <f ca="1">IFERROR(__xludf.DUMMYFUNCTION("""COMPUTED_VALUE"""),"Lasalle Stompers")</f>
        <v>Lasalle Stompers</v>
      </c>
      <c r="F187" s="87" t="str">
        <f t="shared" ca="1" si="0"/>
        <v>2023</v>
      </c>
      <c r="G187" s="1" t="str">
        <f ca="1">IFERROR(__xludf.DUMMYFUNCTION("""COMPUTED_VALUE"""),"Lasalle Stompers")</f>
        <v>Lasalle Stompers</v>
      </c>
      <c r="H187" s="26">
        <f t="shared" ca="1" si="1"/>
        <v>20</v>
      </c>
      <c r="I187" s="26">
        <f t="shared" ca="1" si="2"/>
        <v>1</v>
      </c>
      <c r="J187" s="86">
        <f t="shared" ca="1" si="3"/>
        <v>45181</v>
      </c>
      <c r="R187" s="26"/>
    </row>
    <row r="188" spans="1:18" ht="15.75" customHeight="1">
      <c r="A188" s="26">
        <f ca="1">IFERROR(__xludf.DUMMYFUNCTION("""COMPUTED_VALUE"""),20311)</f>
        <v>20311</v>
      </c>
      <c r="B188" s="86">
        <f ca="1">IFERROR(__xludf.DUMMYFUNCTION("""COMPUTED_VALUE"""),45181.0154398148)</f>
        <v>45181.015439814801</v>
      </c>
      <c r="C188" s="1" t="str">
        <f ca="1">IFERROR(__xludf.DUMMYFUNCTION("""COMPUTED_VALUE"""),"completed")</f>
        <v>completed</v>
      </c>
      <c r="D188" s="26">
        <f ca="1">IFERROR(__xludf.DUMMYFUNCTION("""COMPUTED_VALUE"""),33)</f>
        <v>33</v>
      </c>
      <c r="E188" s="1" t="str">
        <f ca="1">IFERROR(__xludf.DUMMYFUNCTION("""COMPUTED_VALUE"""),"Lasalle Stompers")</f>
        <v>Lasalle Stompers</v>
      </c>
      <c r="F188" s="87" t="str">
        <f t="shared" ca="1" si="0"/>
        <v>2023</v>
      </c>
      <c r="G188" s="1" t="str">
        <f ca="1">IFERROR(__xludf.DUMMYFUNCTION("""COMPUTED_VALUE"""),"Lasalle Stompers")</f>
        <v>Lasalle Stompers</v>
      </c>
      <c r="H188" s="26">
        <f t="shared" ca="1" si="1"/>
        <v>33</v>
      </c>
      <c r="I188" s="26">
        <f t="shared" ca="1" si="2"/>
        <v>1</v>
      </c>
      <c r="J188" s="86">
        <f t="shared" ca="1" si="3"/>
        <v>45181</v>
      </c>
      <c r="R188" s="26"/>
    </row>
    <row r="189" spans="1:18" ht="15.75" customHeight="1">
      <c r="A189" s="26">
        <f ca="1">IFERROR(__xludf.DUMMYFUNCTION("""COMPUTED_VALUE"""),20244)</f>
        <v>20244</v>
      </c>
      <c r="B189" s="86">
        <f ca="1">IFERROR(__xludf.DUMMYFUNCTION("""COMPUTED_VALUE"""),45179.7827777777)</f>
        <v>45179.782777777698</v>
      </c>
      <c r="C189" s="1" t="str">
        <f ca="1">IFERROR(__xludf.DUMMYFUNCTION("""COMPUTED_VALUE"""),"completed")</f>
        <v>completed</v>
      </c>
      <c r="D189" s="26">
        <f ca="1">IFERROR(__xludf.DUMMYFUNCTION("""COMPUTED_VALUE"""),1300)</f>
        <v>1300</v>
      </c>
      <c r="E189" s="1" t="str">
        <f ca="1">IFERROR(__xludf.DUMMYFUNCTION("""COMPUTED_VALUE"""),"E.O.R.S.L. Soccer")</f>
        <v>E.O.R.S.L. Soccer</v>
      </c>
      <c r="F189" s="87" t="str">
        <f t="shared" ca="1" si="0"/>
        <v>2023</v>
      </c>
      <c r="G189" s="1" t="str">
        <f ca="1">IFERROR(__xludf.DUMMYFUNCTION("""COMPUTED_VALUE"""),"E.O.R.S.L. Soccer")</f>
        <v>E.O.R.S.L. Soccer</v>
      </c>
      <c r="H189" s="26">
        <f t="shared" ca="1" si="1"/>
        <v>1300</v>
      </c>
      <c r="I189" s="26">
        <f t="shared" ca="1" si="2"/>
        <v>1</v>
      </c>
      <c r="J189" s="86">
        <f t="shared" ca="1" si="3"/>
        <v>45179</v>
      </c>
      <c r="R189" s="26"/>
    </row>
    <row r="190" spans="1:18" ht="15.75" customHeight="1">
      <c r="A190" s="26">
        <f ca="1">IFERROR(__xludf.DUMMYFUNCTION("""COMPUTED_VALUE"""),20227)</f>
        <v>20227</v>
      </c>
      <c r="B190" s="86">
        <f ca="1">IFERROR(__xludf.DUMMYFUNCTION("""COMPUTED_VALUE"""),45179.5617361111)</f>
        <v>45179.5617361111</v>
      </c>
      <c r="C190" s="1" t="str">
        <f ca="1">IFERROR(__xludf.DUMMYFUNCTION("""COMPUTED_VALUE"""),"completed")</f>
        <v>completed</v>
      </c>
      <c r="D190" s="26">
        <f ca="1">IFERROR(__xludf.DUMMYFUNCTION("""COMPUTED_VALUE"""),55)</f>
        <v>55</v>
      </c>
      <c r="E190" s="1" t="str">
        <f ca="1">IFERROR(__xludf.DUMMYFUNCTION("""COMPUTED_VALUE"""),"South Point Stars")</f>
        <v>South Point Stars</v>
      </c>
      <c r="F190" s="87" t="str">
        <f t="shared" ca="1" si="0"/>
        <v>2023</v>
      </c>
      <c r="G190" s="1" t="str">
        <f ca="1">IFERROR(__xludf.DUMMYFUNCTION("""COMPUTED_VALUE"""),"South Point Stars")</f>
        <v>South Point Stars</v>
      </c>
      <c r="H190" s="26">
        <f t="shared" ca="1" si="1"/>
        <v>55</v>
      </c>
      <c r="I190" s="26">
        <f t="shared" ca="1" si="2"/>
        <v>1</v>
      </c>
      <c r="J190" s="86">
        <f t="shared" ca="1" si="3"/>
        <v>45179</v>
      </c>
      <c r="R190" s="26"/>
    </row>
    <row r="191" spans="1:18" ht="15.75" customHeight="1">
      <c r="A191" s="26">
        <f ca="1">IFERROR(__xludf.DUMMYFUNCTION("""COMPUTED_VALUE"""),20226)</f>
        <v>20226</v>
      </c>
      <c r="B191" s="86">
        <f ca="1">IFERROR(__xludf.DUMMYFUNCTION("""COMPUTED_VALUE"""),45179.5542592592)</f>
        <v>45179.554259259203</v>
      </c>
      <c r="C191" s="1" t="str">
        <f ca="1">IFERROR(__xludf.DUMMYFUNCTION("""COMPUTED_VALUE"""),"completed")</f>
        <v>completed</v>
      </c>
      <c r="D191" s="26">
        <f ca="1">IFERROR(__xludf.DUMMYFUNCTION("""COMPUTED_VALUE"""),40)</f>
        <v>40</v>
      </c>
      <c r="E191" s="1" t="str">
        <f ca="1">IFERROR(__xludf.DUMMYFUNCTION("""COMPUTED_VALUE"""),"South Point Stars")</f>
        <v>South Point Stars</v>
      </c>
      <c r="F191" s="87" t="str">
        <f t="shared" ca="1" si="0"/>
        <v>2023</v>
      </c>
      <c r="G191" s="1" t="str">
        <f ca="1">IFERROR(__xludf.DUMMYFUNCTION("""COMPUTED_VALUE"""),"South Point Stars")</f>
        <v>South Point Stars</v>
      </c>
      <c r="H191" s="26">
        <f t="shared" ca="1" si="1"/>
        <v>40</v>
      </c>
      <c r="I191" s="26">
        <f t="shared" ca="1" si="2"/>
        <v>1</v>
      </c>
      <c r="J191" s="86">
        <f t="shared" ca="1" si="3"/>
        <v>45179</v>
      </c>
      <c r="R191" s="26"/>
    </row>
    <row r="192" spans="1:18" ht="15.75" customHeight="1">
      <c r="A192" s="26">
        <f ca="1">IFERROR(__xludf.DUMMYFUNCTION("""COMPUTED_VALUE"""),20214)</f>
        <v>20214</v>
      </c>
      <c r="B192" s="86">
        <f ca="1">IFERROR(__xludf.DUMMYFUNCTION("""COMPUTED_VALUE"""),45178.6807291666)</f>
        <v>45178.680729166597</v>
      </c>
      <c r="C192" s="1" t="str">
        <f ca="1">IFERROR(__xludf.DUMMYFUNCTION("""COMPUTED_VALUE"""),"completed")</f>
        <v>completed</v>
      </c>
      <c r="D192" s="26">
        <f ca="1">IFERROR(__xludf.DUMMYFUNCTION("""COMPUTED_VALUE"""),18)</f>
        <v>18</v>
      </c>
      <c r="E192" s="1" t="str">
        <f ca="1">IFERROR(__xludf.DUMMYFUNCTION("""COMPUTED_VALUE"""),"Kingsville Minor Baseball Assoc.")</f>
        <v>Kingsville Minor Baseball Assoc.</v>
      </c>
      <c r="F192" s="87" t="str">
        <f t="shared" ca="1" si="0"/>
        <v>2023</v>
      </c>
      <c r="G192" s="1" t="str">
        <f ca="1">IFERROR(__xludf.DUMMYFUNCTION("""COMPUTED_VALUE"""),"Kingsville Minor Baseball Assoc.")</f>
        <v>Kingsville Minor Baseball Assoc.</v>
      </c>
      <c r="H192" s="26">
        <f t="shared" ca="1" si="1"/>
        <v>18</v>
      </c>
      <c r="I192" s="26">
        <f t="shared" ca="1" si="2"/>
        <v>1</v>
      </c>
      <c r="J192" s="86">
        <f t="shared" ca="1" si="3"/>
        <v>45178</v>
      </c>
      <c r="R192" s="26"/>
    </row>
    <row r="193" spans="1:18" ht="15.75" customHeight="1">
      <c r="A193" s="26">
        <f ca="1">IFERROR(__xludf.DUMMYFUNCTION("""COMPUTED_VALUE"""),20172)</f>
        <v>20172</v>
      </c>
      <c r="B193" s="86">
        <f ca="1">IFERROR(__xludf.DUMMYFUNCTION("""COMPUTED_VALUE"""),45175.7990856481)</f>
        <v>45175.799085648097</v>
      </c>
      <c r="C193" s="1" t="str">
        <f ca="1">IFERROR(__xludf.DUMMYFUNCTION("""COMPUTED_VALUE"""),"completed")</f>
        <v>completed</v>
      </c>
      <c r="D193" s="26">
        <f ca="1">IFERROR(__xludf.DUMMYFUNCTION("""COMPUTED_VALUE"""),56)</f>
        <v>56</v>
      </c>
      <c r="E193" s="1" t="str">
        <f ca="1">IFERROR(__xludf.DUMMYFUNCTION("""COMPUTED_VALUE"""),"Lasalle Stompers")</f>
        <v>Lasalle Stompers</v>
      </c>
      <c r="F193" s="87" t="str">
        <f t="shared" ca="1" si="0"/>
        <v>2023</v>
      </c>
      <c r="G193" s="1" t="str">
        <f ca="1">IFERROR(__xludf.DUMMYFUNCTION("""COMPUTED_VALUE"""),"Lasalle Stompers")</f>
        <v>Lasalle Stompers</v>
      </c>
      <c r="H193" s="26">
        <f t="shared" ca="1" si="1"/>
        <v>56</v>
      </c>
      <c r="I193" s="26">
        <f t="shared" ca="1" si="2"/>
        <v>1</v>
      </c>
      <c r="J193" s="86">
        <f t="shared" ca="1" si="3"/>
        <v>45175</v>
      </c>
      <c r="R193" s="26"/>
    </row>
    <row r="194" spans="1:18" ht="15.75" customHeight="1">
      <c r="A194" s="26">
        <f ca="1">IFERROR(__xludf.DUMMYFUNCTION("""COMPUTED_VALUE"""),20171)</f>
        <v>20171</v>
      </c>
      <c r="B194" s="86">
        <f ca="1">IFERROR(__xludf.DUMMYFUNCTION("""COMPUTED_VALUE"""),45175.7271412037)</f>
        <v>45175.727141203701</v>
      </c>
      <c r="C194" s="1" t="str">
        <f ca="1">IFERROR(__xludf.DUMMYFUNCTION("""COMPUTED_VALUE"""),"completed")</f>
        <v>completed</v>
      </c>
      <c r="D194" s="26">
        <f ca="1">IFERROR(__xludf.DUMMYFUNCTION("""COMPUTED_VALUE"""),57)</f>
        <v>57</v>
      </c>
      <c r="E194" s="1" t="str">
        <f ca="1">IFERROR(__xludf.DUMMYFUNCTION("""COMPUTED_VALUE"""),"Lasalle Stompers")</f>
        <v>Lasalle Stompers</v>
      </c>
      <c r="F194" s="87" t="str">
        <f t="shared" ca="1" si="0"/>
        <v>2023</v>
      </c>
      <c r="G194" s="1" t="str">
        <f ca="1">IFERROR(__xludf.DUMMYFUNCTION("""COMPUTED_VALUE"""),"Lasalle Stompers")</f>
        <v>Lasalle Stompers</v>
      </c>
      <c r="H194" s="26">
        <f t="shared" ca="1" si="1"/>
        <v>57</v>
      </c>
      <c r="I194" s="26">
        <f t="shared" ca="1" si="2"/>
        <v>1</v>
      </c>
      <c r="J194" s="86">
        <f t="shared" ca="1" si="3"/>
        <v>45175</v>
      </c>
      <c r="R194" s="26"/>
    </row>
    <row r="195" spans="1:18" ht="15.75" customHeight="1">
      <c r="A195" s="26">
        <f ca="1">IFERROR(__xludf.DUMMYFUNCTION("""COMPUTED_VALUE"""),20161)</f>
        <v>20161</v>
      </c>
      <c r="B195" s="86">
        <f ca="1">IFERROR(__xludf.DUMMYFUNCTION("""COMPUTED_VALUE"""),45174.1491666666)</f>
        <v>45174.149166666597</v>
      </c>
      <c r="C195" s="1" t="str">
        <f ca="1">IFERROR(__xludf.DUMMYFUNCTION("""COMPUTED_VALUE"""),"completed")</f>
        <v>completed</v>
      </c>
      <c r="D195" s="26">
        <f ca="1">IFERROR(__xludf.DUMMYFUNCTION("""COMPUTED_VALUE"""),35)</f>
        <v>35</v>
      </c>
      <c r="E195" s="1" t="str">
        <f ca="1">IFERROR(__xludf.DUMMYFUNCTION("""COMPUTED_VALUE"""),"Lasalle Stompers")</f>
        <v>Lasalle Stompers</v>
      </c>
      <c r="F195" s="87" t="str">
        <f t="shared" ca="1" si="0"/>
        <v>2023</v>
      </c>
      <c r="G195" s="1" t="str">
        <f ca="1">IFERROR(__xludf.DUMMYFUNCTION("""COMPUTED_VALUE"""),"Lasalle Stompers")</f>
        <v>Lasalle Stompers</v>
      </c>
      <c r="H195" s="26">
        <f t="shared" ca="1" si="1"/>
        <v>35</v>
      </c>
      <c r="I195" s="26">
        <f t="shared" ca="1" si="2"/>
        <v>1</v>
      </c>
      <c r="J195" s="86">
        <f t="shared" ca="1" si="3"/>
        <v>45174</v>
      </c>
      <c r="R195" s="26"/>
    </row>
    <row r="196" spans="1:18" ht="15.75" customHeight="1">
      <c r="A196" s="26">
        <f ca="1">IFERROR(__xludf.DUMMYFUNCTION("""COMPUTED_VALUE"""),20069)</f>
        <v>20069</v>
      </c>
      <c r="B196" s="86">
        <f ca="1">IFERROR(__xludf.DUMMYFUNCTION("""COMPUTED_VALUE"""),45173.5746180555)</f>
        <v>45173.5746180555</v>
      </c>
      <c r="C196" s="1" t="str">
        <f ca="1">IFERROR(__xludf.DUMMYFUNCTION("""COMPUTED_VALUE"""),"completed")</f>
        <v>completed</v>
      </c>
      <c r="D196" s="26">
        <f ca="1">IFERROR(__xludf.DUMMYFUNCTION("""COMPUTED_VALUE"""),88)</f>
        <v>88</v>
      </c>
      <c r="E196" s="1" t="str">
        <f ca="1">IFERROR(__xludf.DUMMYFUNCTION("""COMPUTED_VALUE"""),"Lasalle Stompers")</f>
        <v>Lasalle Stompers</v>
      </c>
      <c r="F196" s="87" t="str">
        <f t="shared" ca="1" si="0"/>
        <v>2023</v>
      </c>
      <c r="G196" s="1" t="str">
        <f ca="1">IFERROR(__xludf.DUMMYFUNCTION("""COMPUTED_VALUE"""),"Lasalle Stompers")</f>
        <v>Lasalle Stompers</v>
      </c>
      <c r="H196" s="26">
        <f t="shared" ca="1" si="1"/>
        <v>88</v>
      </c>
      <c r="I196" s="26">
        <f t="shared" ca="1" si="2"/>
        <v>1</v>
      </c>
      <c r="J196" s="86">
        <f t="shared" ca="1" si="3"/>
        <v>45173</v>
      </c>
      <c r="R196" s="26"/>
    </row>
    <row r="197" spans="1:18" ht="15.75" customHeight="1">
      <c r="A197" s="26">
        <f ca="1">IFERROR(__xludf.DUMMYFUNCTION("""COMPUTED_VALUE"""),20068)</f>
        <v>20068</v>
      </c>
      <c r="B197" s="86">
        <f ca="1">IFERROR(__xludf.DUMMYFUNCTION("""COMPUTED_VALUE"""),45173.5415393518)</f>
        <v>45173.541539351798</v>
      </c>
      <c r="C197" s="1" t="str">
        <f ca="1">IFERROR(__xludf.DUMMYFUNCTION("""COMPUTED_VALUE"""),"completed")</f>
        <v>completed</v>
      </c>
      <c r="D197" s="26">
        <f ca="1">IFERROR(__xludf.DUMMYFUNCTION("""COMPUTED_VALUE"""),15)</f>
        <v>15</v>
      </c>
      <c r="E197" s="1" t="str">
        <f ca="1">IFERROR(__xludf.DUMMYFUNCTION("""COMPUTED_VALUE"""),"Lasalle Stompers")</f>
        <v>Lasalle Stompers</v>
      </c>
      <c r="F197" s="87" t="str">
        <f t="shared" ca="1" si="0"/>
        <v>2023</v>
      </c>
      <c r="G197" s="1" t="str">
        <f ca="1">IFERROR(__xludf.DUMMYFUNCTION("""COMPUTED_VALUE"""),"Lasalle Stompers")</f>
        <v>Lasalle Stompers</v>
      </c>
      <c r="H197" s="26">
        <f t="shared" ca="1" si="1"/>
        <v>15</v>
      </c>
      <c r="I197" s="26">
        <f t="shared" ca="1" si="2"/>
        <v>1</v>
      </c>
      <c r="J197" s="86">
        <f t="shared" ca="1" si="3"/>
        <v>45173</v>
      </c>
      <c r="R197" s="26"/>
    </row>
    <row r="198" spans="1:18" ht="15.75" customHeight="1">
      <c r="A198" s="26">
        <f ca="1">IFERROR(__xludf.DUMMYFUNCTION("""COMPUTED_VALUE"""),19991)</f>
        <v>19991</v>
      </c>
      <c r="B198" s="86">
        <f ca="1">IFERROR(__xludf.DUMMYFUNCTION("""COMPUTED_VALUE"""),45171.7417013888)</f>
        <v>45171.741701388797</v>
      </c>
      <c r="C198" s="1" t="str">
        <f ca="1">IFERROR(__xludf.DUMMYFUNCTION("""COMPUTED_VALUE"""),"completed")</f>
        <v>completed</v>
      </c>
      <c r="D198" s="26">
        <f ca="1">IFERROR(__xludf.DUMMYFUNCTION("""COMPUTED_VALUE"""),47)</f>
        <v>47</v>
      </c>
      <c r="E198" s="1" t="str">
        <f ca="1">IFERROR(__xludf.DUMMYFUNCTION("""COMPUTED_VALUE"""),"Lasalle Stompers")</f>
        <v>Lasalle Stompers</v>
      </c>
      <c r="F198" s="87" t="str">
        <f t="shared" ca="1" si="0"/>
        <v>2023</v>
      </c>
      <c r="G198" s="1" t="str">
        <f ca="1">IFERROR(__xludf.DUMMYFUNCTION("""COMPUTED_VALUE"""),"Lasalle Stompers")</f>
        <v>Lasalle Stompers</v>
      </c>
      <c r="H198" s="26">
        <f t="shared" ca="1" si="1"/>
        <v>47</v>
      </c>
      <c r="I198" s="26">
        <f t="shared" ca="1" si="2"/>
        <v>1</v>
      </c>
      <c r="J198" s="86">
        <f t="shared" ca="1" si="3"/>
        <v>45171</v>
      </c>
      <c r="R198" s="26"/>
    </row>
    <row r="199" spans="1:18" ht="15.75" customHeight="1">
      <c r="A199" s="26">
        <f ca="1">IFERROR(__xludf.DUMMYFUNCTION("""COMPUTED_VALUE"""),19990)</f>
        <v>19990</v>
      </c>
      <c r="B199" s="86">
        <f ca="1">IFERROR(__xludf.DUMMYFUNCTION("""COMPUTED_VALUE"""),45171.692349537)</f>
        <v>45171.692349536999</v>
      </c>
      <c r="C199" s="1" t="str">
        <f ca="1">IFERROR(__xludf.DUMMYFUNCTION("""COMPUTED_VALUE"""),"completed")</f>
        <v>completed</v>
      </c>
      <c r="D199" s="26">
        <f ca="1">IFERROR(__xludf.DUMMYFUNCTION("""COMPUTED_VALUE"""),55)</f>
        <v>55</v>
      </c>
      <c r="E199" s="1" t="str">
        <f ca="1">IFERROR(__xludf.DUMMYFUNCTION("""COMPUTED_VALUE"""),"Lasalle Stompers")</f>
        <v>Lasalle Stompers</v>
      </c>
      <c r="F199" s="87" t="str">
        <f t="shared" ca="1" si="0"/>
        <v>2023</v>
      </c>
      <c r="G199" s="1" t="str">
        <f ca="1">IFERROR(__xludf.DUMMYFUNCTION("""COMPUTED_VALUE"""),"Lasalle Stompers")</f>
        <v>Lasalle Stompers</v>
      </c>
      <c r="H199" s="26">
        <f t="shared" ca="1" si="1"/>
        <v>55</v>
      </c>
      <c r="I199" s="26">
        <f t="shared" ca="1" si="2"/>
        <v>1</v>
      </c>
      <c r="J199" s="86">
        <f t="shared" ca="1" si="3"/>
        <v>45171</v>
      </c>
      <c r="R199" s="26"/>
    </row>
    <row r="200" spans="1:18" ht="15.75" customHeight="1">
      <c r="A200" s="26">
        <f ca="1">IFERROR(__xludf.DUMMYFUNCTION("""COMPUTED_VALUE"""),19989)</f>
        <v>19989</v>
      </c>
      <c r="B200" s="86">
        <f ca="1">IFERROR(__xludf.DUMMYFUNCTION("""COMPUTED_VALUE"""),45171.5516666666)</f>
        <v>45171.551666666601</v>
      </c>
      <c r="C200" s="1" t="str">
        <f ca="1">IFERROR(__xludf.DUMMYFUNCTION("""COMPUTED_VALUE"""),"completed")</f>
        <v>completed</v>
      </c>
      <c r="D200" s="26">
        <f ca="1">IFERROR(__xludf.DUMMYFUNCTION("""COMPUTED_VALUE"""),25)</f>
        <v>25</v>
      </c>
      <c r="E200" s="1" t="str">
        <f ca="1">IFERROR(__xludf.DUMMYFUNCTION("""COMPUTED_VALUE"""),"South Point Stars")</f>
        <v>South Point Stars</v>
      </c>
      <c r="F200" s="87" t="str">
        <f t="shared" ca="1" si="0"/>
        <v>2023</v>
      </c>
      <c r="G200" s="1" t="str">
        <f ca="1">IFERROR(__xludf.DUMMYFUNCTION("""COMPUTED_VALUE"""),"South Point Stars")</f>
        <v>South Point Stars</v>
      </c>
      <c r="H200" s="26">
        <f t="shared" ca="1" si="1"/>
        <v>25</v>
      </c>
      <c r="I200" s="26">
        <f t="shared" ca="1" si="2"/>
        <v>1</v>
      </c>
      <c r="J200" s="86">
        <f t="shared" ca="1" si="3"/>
        <v>45171</v>
      </c>
      <c r="R200" s="26"/>
    </row>
    <row r="201" spans="1:18" ht="15.75" customHeight="1">
      <c r="A201" s="26">
        <f ca="1">IFERROR(__xludf.DUMMYFUNCTION("""COMPUTED_VALUE"""),19931)</f>
        <v>19931</v>
      </c>
      <c r="B201" s="86">
        <f ca="1">IFERROR(__xludf.DUMMYFUNCTION("""COMPUTED_VALUE"""),45169.172662037)</f>
        <v>45169.172662037003</v>
      </c>
      <c r="C201" s="1" t="str">
        <f ca="1">IFERROR(__xludf.DUMMYFUNCTION("""COMPUTED_VALUE"""),"completed")</f>
        <v>completed</v>
      </c>
      <c r="D201" s="26">
        <f ca="1">IFERROR(__xludf.DUMMYFUNCTION("""COMPUTED_VALUE"""),25)</f>
        <v>25</v>
      </c>
      <c r="E201" s="1" t="str">
        <f ca="1">IFERROR(__xludf.DUMMYFUNCTION("""COMPUTED_VALUE"""),"Lasalle Stompers")</f>
        <v>Lasalle Stompers</v>
      </c>
      <c r="F201" s="87" t="str">
        <f t="shared" ca="1" si="0"/>
        <v>2023</v>
      </c>
      <c r="G201" s="1" t="str">
        <f ca="1">IFERROR(__xludf.DUMMYFUNCTION("""COMPUTED_VALUE"""),"Lasalle Stompers")</f>
        <v>Lasalle Stompers</v>
      </c>
      <c r="H201" s="26">
        <f t="shared" ca="1" si="1"/>
        <v>25</v>
      </c>
      <c r="I201" s="26">
        <f t="shared" ca="1" si="2"/>
        <v>1</v>
      </c>
      <c r="J201" s="86">
        <f t="shared" ca="1" si="3"/>
        <v>45169</v>
      </c>
      <c r="R201" s="26"/>
    </row>
    <row r="202" spans="1:18" ht="15.75" customHeight="1">
      <c r="A202" s="26">
        <f ca="1">IFERROR(__xludf.DUMMYFUNCTION("""COMPUTED_VALUE"""),19930)</f>
        <v>19930</v>
      </c>
      <c r="B202" s="86">
        <f ca="1">IFERROR(__xludf.DUMMYFUNCTION("""COMPUTED_VALUE"""),45169.1684722222)</f>
        <v>45169.168472222198</v>
      </c>
      <c r="C202" s="1" t="str">
        <f ca="1">IFERROR(__xludf.DUMMYFUNCTION("""COMPUTED_VALUE"""),"completed")</f>
        <v>completed</v>
      </c>
      <c r="D202" s="26">
        <f ca="1">IFERROR(__xludf.DUMMYFUNCTION("""COMPUTED_VALUE"""),25)</f>
        <v>25</v>
      </c>
      <c r="E202" s="1" t="str">
        <f ca="1">IFERROR(__xludf.DUMMYFUNCTION("""COMPUTED_VALUE"""),"Lasalle Stompers")</f>
        <v>Lasalle Stompers</v>
      </c>
      <c r="F202" s="87" t="str">
        <f t="shared" ca="1" si="0"/>
        <v>2023</v>
      </c>
      <c r="G202" s="1" t="str">
        <f ca="1">IFERROR(__xludf.DUMMYFUNCTION("""COMPUTED_VALUE"""),"Lasalle Stompers")</f>
        <v>Lasalle Stompers</v>
      </c>
      <c r="H202" s="26">
        <f t="shared" ca="1" si="1"/>
        <v>25</v>
      </c>
      <c r="I202" s="26">
        <f t="shared" ca="1" si="2"/>
        <v>1</v>
      </c>
      <c r="J202" s="86">
        <f t="shared" ca="1" si="3"/>
        <v>45169</v>
      </c>
      <c r="R202" s="26"/>
    </row>
    <row r="203" spans="1:18" ht="15.75" customHeight="1">
      <c r="A203" s="26">
        <f ca="1">IFERROR(__xludf.DUMMYFUNCTION("""COMPUTED_VALUE"""),19929)</f>
        <v>19929</v>
      </c>
      <c r="B203" s="86">
        <f ca="1">IFERROR(__xludf.DUMMYFUNCTION("""COMPUTED_VALUE"""),45168.9495601851)</f>
        <v>45168.949560185101</v>
      </c>
      <c r="C203" s="1" t="str">
        <f ca="1">IFERROR(__xludf.DUMMYFUNCTION("""COMPUTED_VALUE"""),"completed")</f>
        <v>completed</v>
      </c>
      <c r="D203" s="26">
        <f ca="1">IFERROR(__xludf.DUMMYFUNCTION("""COMPUTED_VALUE"""),25)</f>
        <v>25</v>
      </c>
      <c r="E203" s="1" t="str">
        <f ca="1">IFERROR(__xludf.DUMMYFUNCTION("""COMPUTED_VALUE"""),"Lasalle Stompers")</f>
        <v>Lasalle Stompers</v>
      </c>
      <c r="F203" s="87" t="str">
        <f t="shared" ca="1" si="0"/>
        <v>2023</v>
      </c>
      <c r="G203" s="1" t="str">
        <f ca="1">IFERROR(__xludf.DUMMYFUNCTION("""COMPUTED_VALUE"""),"Lasalle Stompers")</f>
        <v>Lasalle Stompers</v>
      </c>
      <c r="H203" s="26">
        <f t="shared" ca="1" si="1"/>
        <v>25</v>
      </c>
      <c r="I203" s="26">
        <f t="shared" ca="1" si="2"/>
        <v>1</v>
      </c>
      <c r="J203" s="86">
        <f t="shared" ca="1" si="3"/>
        <v>45168</v>
      </c>
      <c r="R203" s="26"/>
    </row>
    <row r="204" spans="1:18" ht="15.75" customHeight="1">
      <c r="A204" s="26">
        <f ca="1">IFERROR(__xludf.DUMMYFUNCTION("""COMPUTED_VALUE"""),19899)</f>
        <v>19899</v>
      </c>
      <c r="B204" s="86">
        <f ca="1">IFERROR(__xludf.DUMMYFUNCTION("""COMPUTED_VALUE"""),45166.0292708333)</f>
        <v>45166.0292708333</v>
      </c>
      <c r="C204" s="1" t="str">
        <f ca="1">IFERROR(__xludf.DUMMYFUNCTION("""COMPUTED_VALUE"""),"completed")</f>
        <v>completed</v>
      </c>
      <c r="D204" s="26">
        <f ca="1">IFERROR(__xludf.DUMMYFUNCTION("""COMPUTED_VALUE"""),70)</f>
        <v>70</v>
      </c>
      <c r="E204" s="1" t="str">
        <f ca="1">IFERROR(__xludf.DUMMYFUNCTION("""COMPUTED_VALUE"""),"South Point Stars")</f>
        <v>South Point Stars</v>
      </c>
      <c r="F204" s="87" t="str">
        <f t="shared" ca="1" si="0"/>
        <v>2023</v>
      </c>
      <c r="G204" s="1" t="str">
        <f ca="1">IFERROR(__xludf.DUMMYFUNCTION("""COMPUTED_VALUE"""),"South Point Stars")</f>
        <v>South Point Stars</v>
      </c>
      <c r="H204" s="26">
        <f t="shared" ca="1" si="1"/>
        <v>70</v>
      </c>
      <c r="I204" s="26">
        <f t="shared" ca="1" si="2"/>
        <v>1</v>
      </c>
      <c r="J204" s="86">
        <f t="shared" ca="1" si="3"/>
        <v>45166</v>
      </c>
      <c r="R204" s="26"/>
    </row>
    <row r="205" spans="1:18" ht="15.75" customHeight="1">
      <c r="A205" s="26">
        <f ca="1">IFERROR(__xludf.DUMMYFUNCTION("""COMPUTED_VALUE"""),19890)</f>
        <v>19890</v>
      </c>
      <c r="B205" s="86">
        <f ca="1">IFERROR(__xludf.DUMMYFUNCTION("""COMPUTED_VALUE"""),45165.7589583333)</f>
        <v>45165.758958333303</v>
      </c>
      <c r="C205" s="1" t="str">
        <f ca="1">IFERROR(__xludf.DUMMYFUNCTION("""COMPUTED_VALUE"""),"completed")</f>
        <v>completed</v>
      </c>
      <c r="D205" s="26">
        <f ca="1">IFERROR(__xludf.DUMMYFUNCTION("""COMPUTED_VALUE"""),61)</f>
        <v>61</v>
      </c>
      <c r="E205" s="1" t="str">
        <f ca="1">IFERROR(__xludf.DUMMYFUNCTION("""COMPUTED_VALUE"""),"South Point Stars")</f>
        <v>South Point Stars</v>
      </c>
      <c r="F205" s="87" t="str">
        <f t="shared" ca="1" si="0"/>
        <v>2023</v>
      </c>
      <c r="G205" s="1" t="str">
        <f ca="1">IFERROR(__xludf.DUMMYFUNCTION("""COMPUTED_VALUE"""),"South Point Stars")</f>
        <v>South Point Stars</v>
      </c>
      <c r="H205" s="26">
        <f t="shared" ca="1" si="1"/>
        <v>61</v>
      </c>
      <c r="I205" s="26">
        <f t="shared" ca="1" si="2"/>
        <v>1</v>
      </c>
      <c r="J205" s="86">
        <f t="shared" ca="1" si="3"/>
        <v>45165</v>
      </c>
      <c r="R205" s="26"/>
    </row>
    <row r="206" spans="1:18" ht="15.75" customHeight="1">
      <c r="A206" s="26">
        <f ca="1">IFERROR(__xludf.DUMMYFUNCTION("""COMPUTED_VALUE"""),19851)</f>
        <v>19851</v>
      </c>
      <c r="B206" s="86">
        <f ca="1">IFERROR(__xludf.DUMMYFUNCTION("""COMPUTED_VALUE"""),45164.5948032407)</f>
        <v>45164.594803240703</v>
      </c>
      <c r="C206" s="1" t="str">
        <f ca="1">IFERROR(__xludf.DUMMYFUNCTION("""COMPUTED_VALUE"""),"completed")</f>
        <v>completed</v>
      </c>
      <c r="D206" s="26">
        <f ca="1">IFERROR(__xludf.DUMMYFUNCTION("""COMPUTED_VALUE"""),25)</f>
        <v>25</v>
      </c>
      <c r="E206" s="1" t="str">
        <f ca="1">IFERROR(__xludf.DUMMYFUNCTION("""COMPUTED_VALUE"""),"Lasalle Stompers")</f>
        <v>Lasalle Stompers</v>
      </c>
      <c r="F206" s="87" t="str">
        <f t="shared" ca="1" si="0"/>
        <v>2023</v>
      </c>
      <c r="G206" s="1" t="str">
        <f ca="1">IFERROR(__xludf.DUMMYFUNCTION("""COMPUTED_VALUE"""),"Lasalle Stompers")</f>
        <v>Lasalle Stompers</v>
      </c>
      <c r="H206" s="26">
        <f t="shared" ca="1" si="1"/>
        <v>25</v>
      </c>
      <c r="I206" s="26">
        <f t="shared" ca="1" si="2"/>
        <v>1</v>
      </c>
      <c r="J206" s="86">
        <f t="shared" ca="1" si="3"/>
        <v>45164</v>
      </c>
      <c r="R206" s="26"/>
    </row>
    <row r="207" spans="1:18" ht="15.75" customHeight="1">
      <c r="A207" s="26">
        <f ca="1">IFERROR(__xludf.DUMMYFUNCTION("""COMPUTED_VALUE"""),19850)</f>
        <v>19850</v>
      </c>
      <c r="B207" s="86">
        <f ca="1">IFERROR(__xludf.DUMMYFUNCTION("""COMPUTED_VALUE"""),45164.5921296296)</f>
        <v>45164.5921296296</v>
      </c>
      <c r="C207" s="1" t="str">
        <f ca="1">IFERROR(__xludf.DUMMYFUNCTION("""COMPUTED_VALUE"""),"draftpics-created")</f>
        <v>draftpics-created</v>
      </c>
      <c r="D207" s="26">
        <f ca="1">IFERROR(__xludf.DUMMYFUNCTION("""COMPUTED_VALUE"""),55)</f>
        <v>55</v>
      </c>
      <c r="E207" s="1" t="str">
        <f ca="1">IFERROR(__xludf.DUMMYFUNCTION("""COMPUTED_VALUE"""),"Lasalle Stompers")</f>
        <v>Lasalle Stompers</v>
      </c>
      <c r="F207" s="87" t="str">
        <f t="shared" ca="1" si="0"/>
        <v>2023</v>
      </c>
      <c r="G207" s="1" t="str">
        <f ca="1">IFERROR(__xludf.DUMMYFUNCTION("""COMPUTED_VALUE"""),"Lasalle Stompers")</f>
        <v>Lasalle Stompers</v>
      </c>
      <c r="H207" s="26">
        <f t="shared" ca="1" si="1"/>
        <v>55</v>
      </c>
      <c r="I207" s="26">
        <f t="shared" ca="1" si="2"/>
        <v>1</v>
      </c>
      <c r="J207" s="86">
        <f t="shared" ca="1" si="3"/>
        <v>45164</v>
      </c>
      <c r="R207" s="26"/>
    </row>
    <row r="208" spans="1:18" ht="15.75" customHeight="1">
      <c r="A208" s="26">
        <f ca="1">IFERROR(__xludf.DUMMYFUNCTION("""COMPUTED_VALUE"""),19849)</f>
        <v>19849</v>
      </c>
      <c r="B208" s="86">
        <f ca="1">IFERROR(__xludf.DUMMYFUNCTION("""COMPUTED_VALUE"""),45163.9641435185)</f>
        <v>45163.964143518497</v>
      </c>
      <c r="C208" s="1" t="str">
        <f ca="1">IFERROR(__xludf.DUMMYFUNCTION("""COMPUTED_VALUE"""),"completed")</f>
        <v>completed</v>
      </c>
      <c r="D208" s="26">
        <f ca="1">IFERROR(__xludf.DUMMYFUNCTION("""COMPUTED_VALUE"""),25)</f>
        <v>25</v>
      </c>
      <c r="E208" s="1" t="str">
        <f ca="1">IFERROR(__xludf.DUMMYFUNCTION("""COMPUTED_VALUE"""),"South Point Stars")</f>
        <v>South Point Stars</v>
      </c>
      <c r="F208" s="87" t="str">
        <f t="shared" ca="1" si="0"/>
        <v>2023</v>
      </c>
      <c r="G208" s="1" t="str">
        <f ca="1">IFERROR(__xludf.DUMMYFUNCTION("""COMPUTED_VALUE"""),"South Point Stars")</f>
        <v>South Point Stars</v>
      </c>
      <c r="H208" s="26">
        <f t="shared" ca="1" si="1"/>
        <v>25</v>
      </c>
      <c r="I208" s="26">
        <f t="shared" ca="1" si="2"/>
        <v>1</v>
      </c>
      <c r="J208" s="86">
        <f t="shared" ca="1" si="3"/>
        <v>45163</v>
      </c>
      <c r="R208" s="26"/>
    </row>
    <row r="209" spans="1:18" ht="15.75" customHeight="1">
      <c r="A209" s="26">
        <f ca="1">IFERROR(__xludf.DUMMYFUNCTION("""COMPUTED_VALUE"""),19848)</f>
        <v>19848</v>
      </c>
      <c r="B209" s="86">
        <f ca="1">IFERROR(__xludf.DUMMYFUNCTION("""COMPUTED_VALUE"""),45163.8191782407)</f>
        <v>45163.819178240701</v>
      </c>
      <c r="C209" s="1" t="str">
        <f ca="1">IFERROR(__xludf.DUMMYFUNCTION("""COMPUTED_VALUE"""),"completed")</f>
        <v>completed</v>
      </c>
      <c r="D209" s="26">
        <f ca="1">IFERROR(__xludf.DUMMYFUNCTION("""COMPUTED_VALUE"""),51)</f>
        <v>51</v>
      </c>
      <c r="E209" s="1" t="str">
        <f ca="1">IFERROR(__xludf.DUMMYFUNCTION("""COMPUTED_VALUE"""),"South Point Stars")</f>
        <v>South Point Stars</v>
      </c>
      <c r="F209" s="87" t="str">
        <f t="shared" ca="1" si="0"/>
        <v>2023</v>
      </c>
      <c r="G209" s="1" t="str">
        <f ca="1">IFERROR(__xludf.DUMMYFUNCTION("""COMPUTED_VALUE"""),"South Point Stars")</f>
        <v>South Point Stars</v>
      </c>
      <c r="H209" s="26">
        <f t="shared" ca="1" si="1"/>
        <v>51</v>
      </c>
      <c r="I209" s="26">
        <f t="shared" ca="1" si="2"/>
        <v>1</v>
      </c>
      <c r="J209" s="86">
        <f t="shared" ca="1" si="3"/>
        <v>45163</v>
      </c>
      <c r="R209" s="26"/>
    </row>
    <row r="210" spans="1:18" ht="15.75" customHeight="1">
      <c r="A210" s="26">
        <f ca="1">IFERROR(__xludf.DUMMYFUNCTION("""COMPUTED_VALUE"""),19784)</f>
        <v>19784</v>
      </c>
      <c r="B210" s="86">
        <f ca="1">IFERROR(__xludf.DUMMYFUNCTION("""COMPUTED_VALUE"""),45161.1033680555)</f>
        <v>45161.103368055497</v>
      </c>
      <c r="C210" s="1" t="str">
        <f ca="1">IFERROR(__xludf.DUMMYFUNCTION("""COMPUTED_VALUE"""),"completed")</f>
        <v>completed</v>
      </c>
      <c r="D210" s="26">
        <f ca="1">IFERROR(__xludf.DUMMYFUNCTION("""COMPUTED_VALUE"""),2001)</f>
        <v>2001</v>
      </c>
      <c r="E210" s="1" t="str">
        <f ca="1">IFERROR(__xludf.DUMMYFUNCTION("""COMPUTED_VALUE"""),"Lasalle Stompers")</f>
        <v>Lasalle Stompers</v>
      </c>
      <c r="F210" s="87" t="str">
        <f t="shared" ca="1" si="0"/>
        <v>2023</v>
      </c>
      <c r="G210" s="1" t="str">
        <f ca="1">IFERROR(__xludf.DUMMYFUNCTION("""COMPUTED_VALUE"""),"Lasalle Stompers")</f>
        <v>Lasalle Stompers</v>
      </c>
      <c r="H210" s="26">
        <f t="shared" ca="1" si="1"/>
        <v>2001</v>
      </c>
      <c r="I210" s="26">
        <f t="shared" ca="1" si="2"/>
        <v>1</v>
      </c>
      <c r="J210" s="86">
        <f t="shared" ca="1" si="3"/>
        <v>45161</v>
      </c>
      <c r="R210" s="26"/>
    </row>
    <row r="211" spans="1:18" ht="15.75" customHeight="1">
      <c r="A211" s="26">
        <f ca="1">IFERROR(__xludf.DUMMYFUNCTION("""COMPUTED_VALUE"""),19783)</f>
        <v>19783</v>
      </c>
      <c r="B211" s="86">
        <f ca="1">IFERROR(__xludf.DUMMYFUNCTION("""COMPUTED_VALUE"""),45161.0682523148)</f>
        <v>45161.068252314799</v>
      </c>
      <c r="C211" s="1" t="str">
        <f ca="1">IFERROR(__xludf.DUMMYFUNCTION("""COMPUTED_VALUE"""),"completed")</f>
        <v>completed</v>
      </c>
      <c r="D211" s="26">
        <f ca="1">IFERROR(__xludf.DUMMYFUNCTION("""COMPUTED_VALUE"""),52)</f>
        <v>52</v>
      </c>
      <c r="E211" s="1" t="str">
        <f ca="1">IFERROR(__xludf.DUMMYFUNCTION("""COMPUTED_VALUE"""),"Kingsville Minor Baseball Assoc.")</f>
        <v>Kingsville Minor Baseball Assoc.</v>
      </c>
      <c r="F211" s="87" t="str">
        <f t="shared" ca="1" si="0"/>
        <v>2023</v>
      </c>
      <c r="G211" s="1" t="str">
        <f ca="1">IFERROR(__xludf.DUMMYFUNCTION("""COMPUTED_VALUE"""),"Kingsville Minor Baseball Assoc.")</f>
        <v>Kingsville Minor Baseball Assoc.</v>
      </c>
      <c r="H211" s="26">
        <f t="shared" ca="1" si="1"/>
        <v>52</v>
      </c>
      <c r="I211" s="26">
        <f t="shared" ca="1" si="2"/>
        <v>1</v>
      </c>
      <c r="J211" s="86">
        <f t="shared" ca="1" si="3"/>
        <v>45161</v>
      </c>
      <c r="R211" s="26"/>
    </row>
    <row r="212" spans="1:18" ht="15.75" customHeight="1">
      <c r="A212" s="26">
        <f ca="1">IFERROR(__xludf.DUMMYFUNCTION("""COMPUTED_VALUE"""),19782)</f>
        <v>19782</v>
      </c>
      <c r="B212" s="86">
        <f ca="1">IFERROR(__xludf.DUMMYFUNCTION("""COMPUTED_VALUE"""),45161.0448032407)</f>
        <v>45161.0448032407</v>
      </c>
      <c r="C212" s="1" t="str">
        <f ca="1">IFERROR(__xludf.DUMMYFUNCTION("""COMPUTED_VALUE"""),"completed")</f>
        <v>completed</v>
      </c>
      <c r="D212" s="26">
        <f ca="1">IFERROR(__xludf.DUMMYFUNCTION("""COMPUTED_VALUE"""),589)</f>
        <v>589</v>
      </c>
      <c r="E212" s="1"/>
      <c r="F212" s="87" t="str">
        <f t="shared" ca="1" si="0"/>
        <v>2023</v>
      </c>
      <c r="G212" s="1" t="str">
        <f ca="1">IFERROR(__xludf.DUMMYFUNCTION("""COMPUTED_VALUE"""),"Lasalle Stompers")</f>
        <v>Lasalle Stompers</v>
      </c>
      <c r="H212" s="26">
        <f t="shared" ca="1" si="1"/>
        <v>589</v>
      </c>
      <c r="I212" s="26">
        <f t="shared" ca="1" si="2"/>
        <v>1</v>
      </c>
      <c r="J212" s="86">
        <f t="shared" ca="1" si="3"/>
        <v>45161</v>
      </c>
      <c r="R212" s="26"/>
    </row>
    <row r="213" spans="1:18" ht="15.75" customHeight="1">
      <c r="A213" s="26">
        <f ca="1">IFERROR(__xludf.DUMMYFUNCTION("""COMPUTED_VALUE"""),19627)</f>
        <v>19627</v>
      </c>
      <c r="B213" s="86">
        <f ca="1">IFERROR(__xludf.DUMMYFUNCTION("""COMPUTED_VALUE"""),45158.6687847222)</f>
        <v>45158.668784722198</v>
      </c>
      <c r="C213" s="1" t="str">
        <f ca="1">IFERROR(__xludf.DUMMYFUNCTION("""COMPUTED_VALUE"""),"completed")</f>
        <v>completed</v>
      </c>
      <c r="D213" s="26">
        <f ca="1">IFERROR(__xludf.DUMMYFUNCTION("""COMPUTED_VALUE"""),15)</f>
        <v>15</v>
      </c>
      <c r="E213" s="1" t="str">
        <f ca="1">IFERROR(__xludf.DUMMYFUNCTION("""COMPUTED_VALUE"""),"Lasalle Stompers")</f>
        <v>Lasalle Stompers</v>
      </c>
      <c r="F213" s="87" t="str">
        <f t="shared" ca="1" si="0"/>
        <v>2023</v>
      </c>
      <c r="G213" s="1" t="str">
        <f ca="1">IFERROR(__xludf.DUMMYFUNCTION("""COMPUTED_VALUE"""),"Lasalle Stompers")</f>
        <v>Lasalle Stompers</v>
      </c>
      <c r="H213" s="26">
        <f t="shared" ca="1" si="1"/>
        <v>15</v>
      </c>
      <c r="I213" s="26">
        <f t="shared" ca="1" si="2"/>
        <v>1</v>
      </c>
      <c r="J213" s="86">
        <f t="shared" ca="1" si="3"/>
        <v>45158</v>
      </c>
      <c r="R213" s="26"/>
    </row>
    <row r="214" spans="1:18" ht="15.75" customHeight="1">
      <c r="A214" s="26">
        <f ca="1">IFERROR(__xludf.DUMMYFUNCTION("""COMPUTED_VALUE"""),19626)</f>
        <v>19626</v>
      </c>
      <c r="B214" s="86">
        <f ca="1">IFERROR(__xludf.DUMMYFUNCTION("""COMPUTED_VALUE"""),45158.1944675925)</f>
        <v>45158.194467592497</v>
      </c>
      <c r="C214" s="1" t="str">
        <f ca="1">IFERROR(__xludf.DUMMYFUNCTION("""COMPUTED_VALUE"""),"completed")</f>
        <v>completed</v>
      </c>
      <c r="D214" s="26">
        <f ca="1">IFERROR(__xludf.DUMMYFUNCTION("""COMPUTED_VALUE"""),72)</f>
        <v>72</v>
      </c>
      <c r="E214" s="1" t="str">
        <f ca="1">IFERROR(__xludf.DUMMYFUNCTION("""COMPUTED_VALUE"""),"Lasalle Stompers")</f>
        <v>Lasalle Stompers</v>
      </c>
      <c r="F214" s="87" t="str">
        <f t="shared" ca="1" si="0"/>
        <v>2023</v>
      </c>
      <c r="G214" s="1" t="str">
        <f ca="1">IFERROR(__xludf.DUMMYFUNCTION("""COMPUTED_VALUE"""),"South Point Stars")</f>
        <v>South Point Stars</v>
      </c>
      <c r="H214" s="26">
        <f t="shared" ca="1" si="1"/>
        <v>72</v>
      </c>
      <c r="I214" s="26">
        <f t="shared" ca="1" si="2"/>
        <v>1</v>
      </c>
      <c r="J214" s="86">
        <f t="shared" ca="1" si="3"/>
        <v>45158</v>
      </c>
      <c r="R214" s="26"/>
    </row>
    <row r="215" spans="1:18" ht="15.75" customHeight="1">
      <c r="A215" s="26">
        <f ca="1">IFERROR(__xludf.DUMMYFUNCTION("""COMPUTED_VALUE"""),19623)</f>
        <v>19623</v>
      </c>
      <c r="B215" s="86">
        <f ca="1">IFERROR(__xludf.DUMMYFUNCTION("""COMPUTED_VALUE"""),45157.5686574074)</f>
        <v>45157.568657407399</v>
      </c>
      <c r="C215" s="1" t="str">
        <f ca="1">IFERROR(__xludf.DUMMYFUNCTION("""COMPUTED_VALUE"""),"completed")</f>
        <v>completed</v>
      </c>
      <c r="D215" s="26">
        <f ca="1">IFERROR(__xludf.DUMMYFUNCTION("""COMPUTED_VALUE"""),41)</f>
        <v>41</v>
      </c>
      <c r="E215" s="1" t="str">
        <f ca="1">IFERROR(__xludf.DUMMYFUNCTION("""COMPUTED_VALUE"""),"South Point Stars")</f>
        <v>South Point Stars</v>
      </c>
      <c r="F215" s="87" t="str">
        <f t="shared" ca="1" si="0"/>
        <v>2023</v>
      </c>
      <c r="G215" s="1" t="str">
        <f ca="1">IFERROR(__xludf.DUMMYFUNCTION("""COMPUTED_VALUE"""),"South Point Stars")</f>
        <v>South Point Stars</v>
      </c>
      <c r="H215" s="26">
        <f t="shared" ca="1" si="1"/>
        <v>41</v>
      </c>
      <c r="I215" s="26">
        <f t="shared" ca="1" si="2"/>
        <v>1</v>
      </c>
      <c r="J215" s="86">
        <f t="shared" ca="1" si="3"/>
        <v>45157</v>
      </c>
      <c r="R215" s="26"/>
    </row>
    <row r="216" spans="1:18" ht="15.75" customHeight="1">
      <c r="A216" s="26">
        <f ca="1">IFERROR(__xludf.DUMMYFUNCTION("""COMPUTED_VALUE"""),19621)</f>
        <v>19621</v>
      </c>
      <c r="B216" s="86">
        <f ca="1">IFERROR(__xludf.DUMMYFUNCTION("""COMPUTED_VALUE"""),45156.9638078703)</f>
        <v>45156.963807870299</v>
      </c>
      <c r="C216" s="1" t="str">
        <f ca="1">IFERROR(__xludf.DUMMYFUNCTION("""COMPUTED_VALUE"""),"completed")</f>
        <v>completed</v>
      </c>
      <c r="D216" s="26">
        <f ca="1">IFERROR(__xludf.DUMMYFUNCTION("""COMPUTED_VALUE"""),51)</f>
        <v>51</v>
      </c>
      <c r="E216" s="1" t="str">
        <f ca="1">IFERROR(__xludf.DUMMYFUNCTION("""COMPUTED_VALUE"""),"South Point Stars")</f>
        <v>South Point Stars</v>
      </c>
      <c r="F216" s="87" t="str">
        <f t="shared" ca="1" si="0"/>
        <v>2023</v>
      </c>
      <c r="G216" s="1" t="str">
        <f ca="1">IFERROR(__xludf.DUMMYFUNCTION("""COMPUTED_VALUE"""),"South Point Stars")</f>
        <v>South Point Stars</v>
      </c>
      <c r="H216" s="26">
        <f t="shared" ca="1" si="1"/>
        <v>51</v>
      </c>
      <c r="I216" s="26">
        <f t="shared" ca="1" si="2"/>
        <v>1</v>
      </c>
      <c r="J216" s="86">
        <f t="shared" ca="1" si="3"/>
        <v>45156</v>
      </c>
      <c r="R216" s="26"/>
    </row>
    <row r="217" spans="1:18" ht="15.75" customHeight="1">
      <c r="A217" s="26">
        <f ca="1">IFERROR(__xludf.DUMMYFUNCTION("""COMPUTED_VALUE"""),19620)</f>
        <v>19620</v>
      </c>
      <c r="B217" s="86">
        <f ca="1">IFERROR(__xludf.DUMMYFUNCTION("""COMPUTED_VALUE"""),45156.9358449074)</f>
        <v>45156.935844907399</v>
      </c>
      <c r="C217" s="1" t="str">
        <f ca="1">IFERROR(__xludf.DUMMYFUNCTION("""COMPUTED_VALUE"""),"completed")</f>
        <v>completed</v>
      </c>
      <c r="D217" s="26">
        <f ca="1">IFERROR(__xludf.DUMMYFUNCTION("""COMPUTED_VALUE"""),28)</f>
        <v>28</v>
      </c>
      <c r="E217" s="1" t="str">
        <f ca="1">IFERROR(__xludf.DUMMYFUNCTION("""COMPUTED_VALUE"""),"South Point Stars")</f>
        <v>South Point Stars</v>
      </c>
      <c r="F217" s="87" t="str">
        <f t="shared" ca="1" si="0"/>
        <v>2023</v>
      </c>
      <c r="G217" s="1" t="str">
        <f ca="1">IFERROR(__xludf.DUMMYFUNCTION("""COMPUTED_VALUE"""),"South Point Stars")</f>
        <v>South Point Stars</v>
      </c>
      <c r="H217" s="26">
        <f t="shared" ca="1" si="1"/>
        <v>28</v>
      </c>
      <c r="I217" s="26">
        <f t="shared" ca="1" si="2"/>
        <v>1</v>
      </c>
      <c r="J217" s="86">
        <f t="shared" ca="1" si="3"/>
        <v>45156</v>
      </c>
      <c r="R217" s="26"/>
    </row>
    <row r="218" spans="1:18" ht="15.75" customHeight="1">
      <c r="A218" s="26">
        <f ca="1">IFERROR(__xludf.DUMMYFUNCTION("""COMPUTED_VALUE"""),19619)</f>
        <v>19619</v>
      </c>
      <c r="B218" s="86">
        <f ca="1">IFERROR(__xludf.DUMMYFUNCTION("""COMPUTED_VALUE"""),45156.9341087962)</f>
        <v>45156.934108796297</v>
      </c>
      <c r="C218" s="1" t="str">
        <f ca="1">IFERROR(__xludf.DUMMYFUNCTION("""COMPUTED_VALUE"""),"completed")</f>
        <v>completed</v>
      </c>
      <c r="D218" s="26">
        <f ca="1">IFERROR(__xludf.DUMMYFUNCTION("""COMPUTED_VALUE"""),28)</f>
        <v>28</v>
      </c>
      <c r="E218" s="1" t="str">
        <f ca="1">IFERROR(__xludf.DUMMYFUNCTION("""COMPUTED_VALUE"""),"South Point Stars")</f>
        <v>South Point Stars</v>
      </c>
      <c r="F218" s="87" t="str">
        <f t="shared" ca="1" si="0"/>
        <v>2023</v>
      </c>
      <c r="G218" s="1" t="str">
        <f ca="1">IFERROR(__xludf.DUMMYFUNCTION("""COMPUTED_VALUE"""),"South Point Stars")</f>
        <v>South Point Stars</v>
      </c>
      <c r="H218" s="26">
        <f t="shared" ca="1" si="1"/>
        <v>28</v>
      </c>
      <c r="I218" s="26">
        <f t="shared" ca="1" si="2"/>
        <v>1</v>
      </c>
      <c r="J218" s="86">
        <f t="shared" ca="1" si="3"/>
        <v>45156</v>
      </c>
      <c r="R218" s="26"/>
    </row>
    <row r="219" spans="1:18" ht="15.75" customHeight="1">
      <c r="A219" s="26">
        <f ca="1">IFERROR(__xludf.DUMMYFUNCTION("""COMPUTED_VALUE"""),19618)</f>
        <v>19618</v>
      </c>
      <c r="B219" s="86">
        <f ca="1">IFERROR(__xludf.DUMMYFUNCTION("""COMPUTED_VALUE"""),45156.8999305555)</f>
        <v>45156.899930555497</v>
      </c>
      <c r="C219" s="1" t="str">
        <f ca="1">IFERROR(__xludf.DUMMYFUNCTION("""COMPUTED_VALUE"""),"completed")</f>
        <v>completed</v>
      </c>
      <c r="D219" s="26">
        <f ca="1">IFERROR(__xludf.DUMMYFUNCTION("""COMPUTED_VALUE"""),28)</f>
        <v>28</v>
      </c>
      <c r="E219" s="1" t="str">
        <f ca="1">IFERROR(__xludf.DUMMYFUNCTION("""COMPUTED_VALUE"""),"South Point Stars")</f>
        <v>South Point Stars</v>
      </c>
      <c r="F219" s="87" t="str">
        <f t="shared" ca="1" si="0"/>
        <v>2023</v>
      </c>
      <c r="G219" s="1" t="str">
        <f ca="1">IFERROR(__xludf.DUMMYFUNCTION("""COMPUTED_VALUE"""),"South Point Stars")</f>
        <v>South Point Stars</v>
      </c>
      <c r="H219" s="26">
        <f t="shared" ca="1" si="1"/>
        <v>28</v>
      </c>
      <c r="I219" s="26">
        <f t="shared" ca="1" si="2"/>
        <v>1</v>
      </c>
      <c r="J219" s="86">
        <f t="shared" ca="1" si="3"/>
        <v>45156</v>
      </c>
      <c r="R219" s="26"/>
    </row>
    <row r="220" spans="1:18" ht="15.75" customHeight="1">
      <c r="A220" s="26">
        <f ca="1">IFERROR(__xludf.DUMMYFUNCTION("""COMPUTED_VALUE"""),19617)</f>
        <v>19617</v>
      </c>
      <c r="B220" s="86">
        <f ca="1">IFERROR(__xludf.DUMMYFUNCTION("""COMPUTED_VALUE"""),45156.8889004629)</f>
        <v>45156.888900462902</v>
      </c>
      <c r="C220" s="1" t="str">
        <f ca="1">IFERROR(__xludf.DUMMYFUNCTION("""COMPUTED_VALUE"""),"completed")</f>
        <v>completed</v>
      </c>
      <c r="D220" s="26">
        <f ca="1">IFERROR(__xludf.DUMMYFUNCTION("""COMPUTED_VALUE"""),77)</f>
        <v>77</v>
      </c>
      <c r="E220" s="1" t="str">
        <f ca="1">IFERROR(__xludf.DUMMYFUNCTION("""COMPUTED_VALUE"""),"South Point Stars")</f>
        <v>South Point Stars</v>
      </c>
      <c r="F220" s="87" t="str">
        <f t="shared" ca="1" si="0"/>
        <v>2023</v>
      </c>
      <c r="G220" s="1" t="str">
        <f ca="1">IFERROR(__xludf.DUMMYFUNCTION("""COMPUTED_VALUE"""),"South Point Stars")</f>
        <v>South Point Stars</v>
      </c>
      <c r="H220" s="26">
        <f t="shared" ca="1" si="1"/>
        <v>77</v>
      </c>
      <c r="I220" s="26">
        <f t="shared" ca="1" si="2"/>
        <v>1</v>
      </c>
      <c r="J220" s="86">
        <f t="shared" ca="1" si="3"/>
        <v>45156</v>
      </c>
      <c r="R220" s="26"/>
    </row>
    <row r="221" spans="1:18" ht="15.75" customHeight="1">
      <c r="A221" s="26">
        <f ca="1">IFERROR(__xludf.DUMMYFUNCTION("""COMPUTED_VALUE"""),19616)</f>
        <v>19616</v>
      </c>
      <c r="B221" s="86">
        <f ca="1">IFERROR(__xludf.DUMMYFUNCTION("""COMPUTED_VALUE"""),45156.8786342592)</f>
        <v>45156.878634259199</v>
      </c>
      <c r="C221" s="1" t="str">
        <f ca="1">IFERROR(__xludf.DUMMYFUNCTION("""COMPUTED_VALUE"""),"completed")</f>
        <v>completed</v>
      </c>
      <c r="D221" s="26">
        <f ca="1">IFERROR(__xludf.DUMMYFUNCTION("""COMPUTED_VALUE"""),20)</f>
        <v>20</v>
      </c>
      <c r="E221" s="1" t="str">
        <f ca="1">IFERROR(__xludf.DUMMYFUNCTION("""COMPUTED_VALUE"""),"South Point Stars")</f>
        <v>South Point Stars</v>
      </c>
      <c r="F221" s="87" t="str">
        <f t="shared" ca="1" si="0"/>
        <v>2023</v>
      </c>
      <c r="G221" s="1" t="str">
        <f ca="1">IFERROR(__xludf.DUMMYFUNCTION("""COMPUTED_VALUE"""),"South Point Stars")</f>
        <v>South Point Stars</v>
      </c>
      <c r="H221" s="26">
        <f t="shared" ca="1" si="1"/>
        <v>20</v>
      </c>
      <c r="I221" s="26">
        <f t="shared" ca="1" si="2"/>
        <v>1</v>
      </c>
      <c r="J221" s="86">
        <f t="shared" ca="1" si="3"/>
        <v>45156</v>
      </c>
      <c r="R221" s="26"/>
    </row>
    <row r="222" spans="1:18" ht="15.75" customHeight="1">
      <c r="A222" s="26">
        <f ca="1">IFERROR(__xludf.DUMMYFUNCTION("""COMPUTED_VALUE"""),19615)</f>
        <v>19615</v>
      </c>
      <c r="B222" s="86">
        <f ca="1">IFERROR(__xludf.DUMMYFUNCTION("""COMPUTED_VALUE"""),45156.8774652777)</f>
        <v>45156.877465277699</v>
      </c>
      <c r="C222" s="1" t="str">
        <f ca="1">IFERROR(__xludf.DUMMYFUNCTION("""COMPUTED_VALUE"""),"completed")</f>
        <v>completed</v>
      </c>
      <c r="D222" s="26">
        <f ca="1">IFERROR(__xludf.DUMMYFUNCTION("""COMPUTED_VALUE"""),51)</f>
        <v>51</v>
      </c>
      <c r="E222" s="1" t="str">
        <f ca="1">IFERROR(__xludf.DUMMYFUNCTION("""COMPUTED_VALUE"""),"South Point Stars")</f>
        <v>South Point Stars</v>
      </c>
      <c r="F222" s="87" t="str">
        <f t="shared" ca="1" si="0"/>
        <v>2023</v>
      </c>
      <c r="G222" s="1" t="str">
        <f ca="1">IFERROR(__xludf.DUMMYFUNCTION("""COMPUTED_VALUE"""),"South Point Stars")</f>
        <v>South Point Stars</v>
      </c>
      <c r="H222" s="26">
        <f t="shared" ca="1" si="1"/>
        <v>51</v>
      </c>
      <c r="I222" s="26">
        <f t="shared" ca="1" si="2"/>
        <v>1</v>
      </c>
      <c r="J222" s="86">
        <f t="shared" ca="1" si="3"/>
        <v>45156</v>
      </c>
      <c r="R222" s="26"/>
    </row>
    <row r="223" spans="1:18" ht="15.75" customHeight="1">
      <c r="A223" s="26">
        <f ca="1">IFERROR(__xludf.DUMMYFUNCTION("""COMPUTED_VALUE"""),19614)</f>
        <v>19614</v>
      </c>
      <c r="B223" s="86">
        <f ca="1">IFERROR(__xludf.DUMMYFUNCTION("""COMPUTED_VALUE"""),45156.8766319444)</f>
        <v>45156.876631944397</v>
      </c>
      <c r="C223" s="1" t="str">
        <f ca="1">IFERROR(__xludf.DUMMYFUNCTION("""COMPUTED_VALUE"""),"completed")</f>
        <v>completed</v>
      </c>
      <c r="D223" s="26">
        <f ca="1">IFERROR(__xludf.DUMMYFUNCTION("""COMPUTED_VALUE"""),61)</f>
        <v>61</v>
      </c>
      <c r="E223" s="1" t="str">
        <f ca="1">IFERROR(__xludf.DUMMYFUNCTION("""COMPUTED_VALUE"""),"South Point Stars")</f>
        <v>South Point Stars</v>
      </c>
      <c r="F223" s="87" t="str">
        <f t="shared" ca="1" si="0"/>
        <v>2023</v>
      </c>
      <c r="G223" s="1" t="str">
        <f ca="1">IFERROR(__xludf.DUMMYFUNCTION("""COMPUTED_VALUE"""),"South Point Stars")</f>
        <v>South Point Stars</v>
      </c>
      <c r="H223" s="26">
        <f t="shared" ca="1" si="1"/>
        <v>61</v>
      </c>
      <c r="I223" s="26">
        <f t="shared" ca="1" si="2"/>
        <v>1</v>
      </c>
      <c r="J223" s="86">
        <f t="shared" ca="1" si="3"/>
        <v>45156</v>
      </c>
      <c r="R223" s="26"/>
    </row>
    <row r="224" spans="1:18" ht="15.75" customHeight="1">
      <c r="A224" s="26">
        <f ca="1">IFERROR(__xludf.DUMMYFUNCTION("""COMPUTED_VALUE"""),19613)</f>
        <v>19613</v>
      </c>
      <c r="B224" s="86">
        <f ca="1">IFERROR(__xludf.DUMMYFUNCTION("""COMPUTED_VALUE"""),45156.8747106481)</f>
        <v>45156.874710648102</v>
      </c>
      <c r="C224" s="1" t="str">
        <f ca="1">IFERROR(__xludf.DUMMYFUNCTION("""COMPUTED_VALUE"""),"completed")</f>
        <v>completed</v>
      </c>
      <c r="D224" s="26">
        <f ca="1">IFERROR(__xludf.DUMMYFUNCTION("""COMPUTED_VALUE"""),28)</f>
        <v>28</v>
      </c>
      <c r="E224" s="1" t="str">
        <f ca="1">IFERROR(__xludf.DUMMYFUNCTION("""COMPUTED_VALUE"""),"South Point Stars")</f>
        <v>South Point Stars</v>
      </c>
      <c r="F224" s="87" t="str">
        <f t="shared" ca="1" si="0"/>
        <v>2023</v>
      </c>
      <c r="G224" s="1" t="str">
        <f ca="1">IFERROR(__xludf.DUMMYFUNCTION("""COMPUTED_VALUE"""),"South Point Stars")</f>
        <v>South Point Stars</v>
      </c>
      <c r="H224" s="26">
        <f t="shared" ca="1" si="1"/>
        <v>28</v>
      </c>
      <c r="I224" s="26">
        <f t="shared" ca="1" si="2"/>
        <v>1</v>
      </c>
      <c r="J224" s="86">
        <f t="shared" ca="1" si="3"/>
        <v>45156</v>
      </c>
      <c r="R224" s="26"/>
    </row>
    <row r="225" spans="1:18" ht="15.75" customHeight="1">
      <c r="A225" s="26">
        <f ca="1">IFERROR(__xludf.DUMMYFUNCTION("""COMPUTED_VALUE"""),19612)</f>
        <v>19612</v>
      </c>
      <c r="B225" s="86">
        <f ca="1">IFERROR(__xludf.DUMMYFUNCTION("""COMPUTED_VALUE"""),45156.8733449074)</f>
        <v>45156.873344907399</v>
      </c>
      <c r="C225" s="1" t="str">
        <f ca="1">IFERROR(__xludf.DUMMYFUNCTION("""COMPUTED_VALUE"""),"draftpics-created")</f>
        <v>draftpics-created</v>
      </c>
      <c r="D225" s="26">
        <f ca="1">IFERROR(__xludf.DUMMYFUNCTION("""COMPUTED_VALUE"""),45)</f>
        <v>45</v>
      </c>
      <c r="E225" s="1" t="str">
        <f ca="1">IFERROR(__xludf.DUMMYFUNCTION("""COMPUTED_VALUE"""),"South Point Stars")</f>
        <v>South Point Stars</v>
      </c>
      <c r="F225" s="87" t="str">
        <f t="shared" ca="1" si="0"/>
        <v>2023</v>
      </c>
      <c r="G225" s="1" t="str">
        <f ca="1">IFERROR(__xludf.DUMMYFUNCTION("""COMPUTED_VALUE"""),"South Point Stars")</f>
        <v>South Point Stars</v>
      </c>
      <c r="H225" s="26">
        <f t="shared" ca="1" si="1"/>
        <v>45</v>
      </c>
      <c r="I225" s="26">
        <f t="shared" ca="1" si="2"/>
        <v>1</v>
      </c>
      <c r="J225" s="86">
        <f t="shared" ca="1" si="3"/>
        <v>45156</v>
      </c>
      <c r="R225" s="26"/>
    </row>
    <row r="226" spans="1:18" ht="15.75" customHeight="1">
      <c r="A226" s="26">
        <f ca="1">IFERROR(__xludf.DUMMYFUNCTION("""COMPUTED_VALUE"""),19611)</f>
        <v>19611</v>
      </c>
      <c r="B226" s="86">
        <f ca="1">IFERROR(__xludf.DUMMYFUNCTION("""COMPUTED_VALUE"""),45156.8717013888)</f>
        <v>45156.871701388802</v>
      </c>
      <c r="C226" s="1" t="str">
        <f ca="1">IFERROR(__xludf.DUMMYFUNCTION("""COMPUTED_VALUE"""),"draftpics-created")</f>
        <v>draftpics-created</v>
      </c>
      <c r="D226" s="26">
        <f ca="1">IFERROR(__xludf.DUMMYFUNCTION("""COMPUTED_VALUE"""),25)</f>
        <v>25</v>
      </c>
      <c r="E226" s="1" t="str">
        <f ca="1">IFERROR(__xludf.DUMMYFUNCTION("""COMPUTED_VALUE"""),"South Point Stars")</f>
        <v>South Point Stars</v>
      </c>
      <c r="F226" s="87" t="str">
        <f t="shared" ca="1" si="0"/>
        <v>2023</v>
      </c>
      <c r="G226" s="1" t="str">
        <f ca="1">IFERROR(__xludf.DUMMYFUNCTION("""COMPUTED_VALUE"""),"South Point Stars")</f>
        <v>South Point Stars</v>
      </c>
      <c r="H226" s="26">
        <f t="shared" ca="1" si="1"/>
        <v>25</v>
      </c>
      <c r="I226" s="26">
        <f t="shared" ca="1" si="2"/>
        <v>1</v>
      </c>
      <c r="J226" s="86">
        <f t="shared" ca="1" si="3"/>
        <v>45156</v>
      </c>
      <c r="R226" s="26"/>
    </row>
    <row r="227" spans="1:18" ht="15.75" customHeight="1">
      <c r="A227" s="26">
        <f ca="1">IFERROR(__xludf.DUMMYFUNCTION("""COMPUTED_VALUE"""),19610)</f>
        <v>19610</v>
      </c>
      <c r="B227" s="86">
        <f ca="1">IFERROR(__xludf.DUMMYFUNCTION("""COMPUTED_VALUE"""),45156.8713078703)</f>
        <v>45156.8713078703</v>
      </c>
      <c r="C227" s="1" t="str">
        <f ca="1">IFERROR(__xludf.DUMMYFUNCTION("""COMPUTED_VALUE"""),"completed")</f>
        <v>completed</v>
      </c>
      <c r="D227" s="26">
        <f ca="1">IFERROR(__xludf.DUMMYFUNCTION("""COMPUTED_VALUE"""),35)</f>
        <v>35</v>
      </c>
      <c r="E227" s="1" t="str">
        <f ca="1">IFERROR(__xludf.DUMMYFUNCTION("""COMPUTED_VALUE"""),"South Point Stars")</f>
        <v>South Point Stars</v>
      </c>
      <c r="F227" s="87" t="str">
        <f t="shared" ca="1" si="0"/>
        <v>2023</v>
      </c>
      <c r="G227" s="1" t="str">
        <f ca="1">IFERROR(__xludf.DUMMYFUNCTION("""COMPUTED_VALUE"""),"South Point Stars")</f>
        <v>South Point Stars</v>
      </c>
      <c r="H227" s="26">
        <f t="shared" ca="1" si="1"/>
        <v>35</v>
      </c>
      <c r="I227" s="26">
        <f t="shared" ca="1" si="2"/>
        <v>1</v>
      </c>
      <c r="J227" s="86">
        <f t="shared" ca="1" si="3"/>
        <v>45156</v>
      </c>
      <c r="R227" s="26"/>
    </row>
    <row r="228" spans="1:18" ht="15.75" customHeight="1">
      <c r="A228" s="26">
        <f ca="1">IFERROR(__xludf.DUMMYFUNCTION("""COMPUTED_VALUE"""),19609)</f>
        <v>19609</v>
      </c>
      <c r="B228" s="86">
        <f ca="1">IFERROR(__xludf.DUMMYFUNCTION("""COMPUTED_VALUE"""),45156.8711689814)</f>
        <v>45156.871168981401</v>
      </c>
      <c r="C228" s="1" t="str">
        <f ca="1">IFERROR(__xludf.DUMMYFUNCTION("""COMPUTED_VALUE"""),"completed")</f>
        <v>completed</v>
      </c>
      <c r="D228" s="26">
        <f ca="1">IFERROR(__xludf.DUMMYFUNCTION("""COMPUTED_VALUE"""),60)</f>
        <v>60</v>
      </c>
      <c r="E228" s="1" t="str">
        <f ca="1">IFERROR(__xludf.DUMMYFUNCTION("""COMPUTED_VALUE"""),"South Point Stars")</f>
        <v>South Point Stars</v>
      </c>
      <c r="F228" s="87" t="str">
        <f t="shared" ca="1" si="0"/>
        <v>2023</v>
      </c>
      <c r="G228" s="1" t="str">
        <f ca="1">IFERROR(__xludf.DUMMYFUNCTION("""COMPUTED_VALUE"""),"South Point Stars")</f>
        <v>South Point Stars</v>
      </c>
      <c r="H228" s="26">
        <f t="shared" ca="1" si="1"/>
        <v>60</v>
      </c>
      <c r="I228" s="26">
        <f t="shared" ca="1" si="2"/>
        <v>1</v>
      </c>
      <c r="J228" s="86">
        <f t="shared" ca="1" si="3"/>
        <v>45156</v>
      </c>
      <c r="R228" s="26"/>
    </row>
    <row r="229" spans="1:18" ht="15.75" customHeight="1">
      <c r="A229" s="26">
        <f ca="1">IFERROR(__xludf.DUMMYFUNCTION("""COMPUTED_VALUE"""),19608)</f>
        <v>19608</v>
      </c>
      <c r="B229" s="86">
        <f ca="1">IFERROR(__xludf.DUMMYFUNCTION("""COMPUTED_VALUE"""),45156.8624768518)</f>
        <v>45156.862476851798</v>
      </c>
      <c r="C229" s="1" t="str">
        <f ca="1">IFERROR(__xludf.DUMMYFUNCTION("""COMPUTED_VALUE"""),"completed")</f>
        <v>completed</v>
      </c>
      <c r="D229" s="26">
        <f ca="1">IFERROR(__xludf.DUMMYFUNCTION("""COMPUTED_VALUE"""),51)</f>
        <v>51</v>
      </c>
      <c r="E229" s="1" t="str">
        <f ca="1">IFERROR(__xludf.DUMMYFUNCTION("""COMPUTED_VALUE"""),"South Point Stars")</f>
        <v>South Point Stars</v>
      </c>
      <c r="F229" s="87" t="str">
        <f t="shared" ca="1" si="0"/>
        <v>2023</v>
      </c>
      <c r="G229" s="1" t="str">
        <f ca="1">IFERROR(__xludf.DUMMYFUNCTION("""COMPUTED_VALUE"""),"Lasalle Stompers")</f>
        <v>Lasalle Stompers</v>
      </c>
      <c r="H229" s="26">
        <f t="shared" ca="1" si="1"/>
        <v>51</v>
      </c>
      <c r="I229" s="26">
        <f t="shared" ca="1" si="2"/>
        <v>1</v>
      </c>
      <c r="J229" s="86">
        <f t="shared" ca="1" si="3"/>
        <v>45156</v>
      </c>
      <c r="R229" s="26"/>
    </row>
    <row r="230" spans="1:18" ht="15.75" customHeight="1">
      <c r="A230" s="26">
        <f ca="1">IFERROR(__xludf.DUMMYFUNCTION("""COMPUTED_VALUE"""),19607)</f>
        <v>19607</v>
      </c>
      <c r="B230" s="86">
        <f ca="1">IFERROR(__xludf.DUMMYFUNCTION("""COMPUTED_VALUE"""),45156.8299074074)</f>
        <v>45156.829907407402</v>
      </c>
      <c r="C230" s="1" t="str">
        <f ca="1">IFERROR(__xludf.DUMMYFUNCTION("""COMPUTED_VALUE"""),"completed")</f>
        <v>completed</v>
      </c>
      <c r="D230" s="26">
        <f ca="1">IFERROR(__xludf.DUMMYFUNCTION("""COMPUTED_VALUE"""),22)</f>
        <v>22</v>
      </c>
      <c r="E230" s="1" t="str">
        <f ca="1">IFERROR(__xludf.DUMMYFUNCTION("""COMPUTED_VALUE"""),"Lasalle Stompers")</f>
        <v>Lasalle Stompers</v>
      </c>
      <c r="F230" s="87" t="str">
        <f t="shared" ca="1" si="0"/>
        <v>2023</v>
      </c>
      <c r="G230" s="1" t="str">
        <f ca="1">IFERROR(__xludf.DUMMYFUNCTION("""COMPUTED_VALUE"""),"Lasalle Stompers")</f>
        <v>Lasalle Stompers</v>
      </c>
      <c r="H230" s="26">
        <f t="shared" ca="1" si="1"/>
        <v>22</v>
      </c>
      <c r="I230" s="26">
        <f t="shared" ca="1" si="2"/>
        <v>1</v>
      </c>
      <c r="J230" s="86">
        <f t="shared" ca="1" si="3"/>
        <v>45156</v>
      </c>
      <c r="R230" s="26"/>
    </row>
    <row r="231" spans="1:18" ht="15.75" customHeight="1">
      <c r="A231" s="26">
        <f ca="1">IFERROR(__xludf.DUMMYFUNCTION("""COMPUTED_VALUE"""),19606)</f>
        <v>19606</v>
      </c>
      <c r="B231" s="86">
        <f ca="1">IFERROR(__xludf.DUMMYFUNCTION("""COMPUTED_VALUE"""),45156.8287152777)</f>
        <v>45156.828715277697</v>
      </c>
      <c r="C231" s="1" t="str">
        <f ca="1">IFERROR(__xludf.DUMMYFUNCTION("""COMPUTED_VALUE"""),"completed")</f>
        <v>completed</v>
      </c>
      <c r="D231" s="26">
        <f ca="1">IFERROR(__xludf.DUMMYFUNCTION("""COMPUTED_VALUE"""),22)</f>
        <v>22</v>
      </c>
      <c r="E231" s="1" t="str">
        <f ca="1">IFERROR(__xludf.DUMMYFUNCTION("""COMPUTED_VALUE"""),"Lasalle Stompers")</f>
        <v>Lasalle Stompers</v>
      </c>
      <c r="F231" s="87" t="str">
        <f t="shared" ca="1" si="0"/>
        <v>2023</v>
      </c>
      <c r="G231" s="1" t="str">
        <f ca="1">IFERROR(__xludf.DUMMYFUNCTION("""COMPUTED_VALUE"""),"Lasalle Stompers")</f>
        <v>Lasalle Stompers</v>
      </c>
      <c r="H231" s="26">
        <f t="shared" ca="1" si="1"/>
        <v>22</v>
      </c>
      <c r="I231" s="26">
        <f t="shared" ca="1" si="2"/>
        <v>1</v>
      </c>
      <c r="J231" s="86">
        <f t="shared" ca="1" si="3"/>
        <v>45156</v>
      </c>
      <c r="R231" s="26"/>
    </row>
    <row r="232" spans="1:18" ht="15.75" customHeight="1">
      <c r="A232" s="26">
        <f ca="1">IFERROR(__xludf.DUMMYFUNCTION("""COMPUTED_VALUE"""),19605)</f>
        <v>19605</v>
      </c>
      <c r="B232" s="86">
        <f ca="1">IFERROR(__xludf.DUMMYFUNCTION("""COMPUTED_VALUE"""),45156.827349537)</f>
        <v>45156.827349537001</v>
      </c>
      <c r="C232" s="1" t="str">
        <f ca="1">IFERROR(__xludf.DUMMYFUNCTION("""COMPUTED_VALUE"""),"completed")</f>
        <v>completed</v>
      </c>
      <c r="D232" s="26">
        <f ca="1">IFERROR(__xludf.DUMMYFUNCTION("""COMPUTED_VALUE"""),22)</f>
        <v>22</v>
      </c>
      <c r="E232" s="1" t="str">
        <f ca="1">IFERROR(__xludf.DUMMYFUNCTION("""COMPUTED_VALUE"""),"Lasalle Stompers")</f>
        <v>Lasalle Stompers</v>
      </c>
      <c r="F232" s="87" t="str">
        <f t="shared" ca="1" si="0"/>
        <v>2023</v>
      </c>
      <c r="G232" s="1" t="str">
        <f ca="1">IFERROR(__xludf.DUMMYFUNCTION("""COMPUTED_VALUE"""),"South Point Stars")</f>
        <v>South Point Stars</v>
      </c>
      <c r="H232" s="26">
        <f t="shared" ca="1" si="1"/>
        <v>22</v>
      </c>
      <c r="I232" s="26">
        <f t="shared" ca="1" si="2"/>
        <v>1</v>
      </c>
      <c r="J232" s="86">
        <f t="shared" ca="1" si="3"/>
        <v>45156</v>
      </c>
      <c r="R232" s="26"/>
    </row>
    <row r="233" spans="1:18" ht="15.75" customHeight="1">
      <c r="A233" s="26">
        <f ca="1">IFERROR(__xludf.DUMMYFUNCTION("""COMPUTED_VALUE"""),19604)</f>
        <v>19604</v>
      </c>
      <c r="B233" s="86">
        <f ca="1">IFERROR(__xludf.DUMMYFUNCTION("""COMPUTED_VALUE"""),45156.8238888888)</f>
        <v>45156.823888888801</v>
      </c>
      <c r="C233" s="1" t="str">
        <f ca="1">IFERROR(__xludf.DUMMYFUNCTION("""COMPUTED_VALUE"""),"completed")</f>
        <v>completed</v>
      </c>
      <c r="D233" s="26">
        <f ca="1">IFERROR(__xludf.DUMMYFUNCTION("""COMPUTED_VALUE"""),25)</f>
        <v>25</v>
      </c>
      <c r="E233" s="1" t="str">
        <f ca="1">IFERROR(__xludf.DUMMYFUNCTION("""COMPUTED_VALUE"""),"South Point Stars")</f>
        <v>South Point Stars</v>
      </c>
      <c r="F233" s="87" t="str">
        <f t="shared" ca="1" si="0"/>
        <v>2023</v>
      </c>
      <c r="G233" s="1" t="str">
        <f ca="1">IFERROR(__xludf.DUMMYFUNCTION("""COMPUTED_VALUE"""),"South Point Stars")</f>
        <v>South Point Stars</v>
      </c>
      <c r="H233" s="26">
        <f t="shared" ca="1" si="1"/>
        <v>25</v>
      </c>
      <c r="I233" s="26">
        <f t="shared" ca="1" si="2"/>
        <v>1</v>
      </c>
      <c r="J233" s="86">
        <f t="shared" ca="1" si="3"/>
        <v>45156</v>
      </c>
      <c r="R233" s="26"/>
    </row>
    <row r="234" spans="1:18" ht="15.75" customHeight="1">
      <c r="A234" s="26">
        <f ca="1">IFERROR(__xludf.DUMMYFUNCTION("""COMPUTED_VALUE"""),19603)</f>
        <v>19603</v>
      </c>
      <c r="B234" s="86">
        <f ca="1">IFERROR(__xludf.DUMMYFUNCTION("""COMPUTED_VALUE"""),45156.7436805555)</f>
        <v>45156.743680555497</v>
      </c>
      <c r="C234" s="1" t="str">
        <f ca="1">IFERROR(__xludf.DUMMYFUNCTION("""COMPUTED_VALUE"""),"completed")</f>
        <v>completed</v>
      </c>
      <c r="D234" s="26">
        <f ca="1">IFERROR(__xludf.DUMMYFUNCTION("""COMPUTED_VALUE"""),25)</f>
        <v>25</v>
      </c>
      <c r="E234" s="1" t="str">
        <f ca="1">IFERROR(__xludf.DUMMYFUNCTION("""COMPUTED_VALUE"""),"South Point Stars")</f>
        <v>South Point Stars</v>
      </c>
      <c r="F234" s="87" t="str">
        <f t="shared" ca="1" si="0"/>
        <v>2023</v>
      </c>
      <c r="G234" s="1" t="str">
        <f ca="1">IFERROR(__xludf.DUMMYFUNCTION("""COMPUTED_VALUE"""),"South Point Stars")</f>
        <v>South Point Stars</v>
      </c>
      <c r="H234" s="26">
        <f t="shared" ca="1" si="1"/>
        <v>25</v>
      </c>
      <c r="I234" s="26">
        <f t="shared" ca="1" si="2"/>
        <v>1</v>
      </c>
      <c r="J234" s="86">
        <f t="shared" ca="1" si="3"/>
        <v>45156</v>
      </c>
      <c r="R234" s="26"/>
    </row>
    <row r="235" spans="1:18" ht="15.75" customHeight="1">
      <c r="A235" s="26">
        <f ca="1">IFERROR(__xludf.DUMMYFUNCTION("""COMPUTED_VALUE"""),19602)</f>
        <v>19602</v>
      </c>
      <c r="B235" s="86">
        <f ca="1">IFERROR(__xludf.DUMMYFUNCTION("""COMPUTED_VALUE"""),45156.7174421296)</f>
        <v>45156.7174421296</v>
      </c>
      <c r="C235" s="1" t="str">
        <f ca="1">IFERROR(__xludf.DUMMYFUNCTION("""COMPUTED_VALUE"""),"completed")</f>
        <v>completed</v>
      </c>
      <c r="D235" s="26">
        <f ca="1">IFERROR(__xludf.DUMMYFUNCTION("""COMPUTED_VALUE"""),0)</f>
        <v>0</v>
      </c>
      <c r="E235" s="1" t="str">
        <f ca="1">IFERROR(__xludf.DUMMYFUNCTION("""COMPUTED_VALUE"""),"South Point Stars")</f>
        <v>South Point Stars</v>
      </c>
      <c r="F235" s="87" t="str">
        <f t="shared" ca="1" si="0"/>
        <v>2023</v>
      </c>
      <c r="G235" s="1" t="str">
        <f ca="1">IFERROR(__xludf.DUMMYFUNCTION("""COMPUTED_VALUE"""),"South Point Stars")</f>
        <v>South Point Stars</v>
      </c>
      <c r="H235" s="26">
        <f t="shared" ca="1" si="1"/>
        <v>0</v>
      </c>
      <c r="I235" s="26">
        <f t="shared" ca="1" si="2"/>
        <v>1</v>
      </c>
      <c r="J235" s="86">
        <f t="shared" ca="1" si="3"/>
        <v>45156</v>
      </c>
      <c r="R235" s="26"/>
    </row>
    <row r="236" spans="1:18" ht="15.75" customHeight="1">
      <c r="A236" s="26">
        <f ca="1">IFERROR(__xludf.DUMMYFUNCTION("""COMPUTED_VALUE"""),19601)</f>
        <v>19601</v>
      </c>
      <c r="B236" s="86">
        <f ca="1">IFERROR(__xludf.DUMMYFUNCTION("""COMPUTED_VALUE"""),45156.7155555555)</f>
        <v>45156.7155555555</v>
      </c>
      <c r="C236" s="1" t="str">
        <f ca="1">IFERROR(__xludf.DUMMYFUNCTION("""COMPUTED_VALUE"""),"completed")</f>
        <v>completed</v>
      </c>
      <c r="D236" s="26">
        <f ca="1">IFERROR(__xludf.DUMMYFUNCTION("""COMPUTED_VALUE"""),54)</f>
        <v>54</v>
      </c>
      <c r="E236" s="1" t="str">
        <f ca="1">IFERROR(__xludf.DUMMYFUNCTION("""COMPUTED_VALUE"""),"South Point Stars")</f>
        <v>South Point Stars</v>
      </c>
      <c r="F236" s="87" t="str">
        <f t="shared" ca="1" si="0"/>
        <v>2023</v>
      </c>
      <c r="G236" s="1" t="str">
        <f ca="1">IFERROR(__xludf.DUMMYFUNCTION("""COMPUTED_VALUE"""),"South Point Stars")</f>
        <v>South Point Stars</v>
      </c>
      <c r="H236" s="26">
        <f t="shared" ca="1" si="1"/>
        <v>54</v>
      </c>
      <c r="I236" s="26">
        <f t="shared" ca="1" si="2"/>
        <v>1</v>
      </c>
      <c r="J236" s="86">
        <f t="shared" ca="1" si="3"/>
        <v>45156</v>
      </c>
      <c r="R236" s="26"/>
    </row>
    <row r="237" spans="1:18" ht="15.75" customHeight="1">
      <c r="A237" s="26">
        <f ca="1">IFERROR(__xludf.DUMMYFUNCTION("""COMPUTED_VALUE"""),19600)</f>
        <v>19600</v>
      </c>
      <c r="B237" s="86">
        <f ca="1">IFERROR(__xludf.DUMMYFUNCTION("""COMPUTED_VALUE"""),45156.7148958333)</f>
        <v>45156.714895833298</v>
      </c>
      <c r="C237" s="1" t="str">
        <f ca="1">IFERROR(__xludf.DUMMYFUNCTION("""COMPUTED_VALUE"""),"completed")</f>
        <v>completed</v>
      </c>
      <c r="D237" s="26">
        <f ca="1">IFERROR(__xludf.DUMMYFUNCTION("""COMPUTED_VALUE"""),63)</f>
        <v>63</v>
      </c>
      <c r="E237" s="1" t="str">
        <f ca="1">IFERROR(__xludf.DUMMYFUNCTION("""COMPUTED_VALUE"""),"South Point Stars")</f>
        <v>South Point Stars</v>
      </c>
      <c r="F237" s="87" t="str">
        <f t="shared" ca="1" si="0"/>
        <v>2023</v>
      </c>
      <c r="G237" s="1" t="str">
        <f ca="1">IFERROR(__xludf.DUMMYFUNCTION("""COMPUTED_VALUE"""),"South Point Stars")</f>
        <v>South Point Stars</v>
      </c>
      <c r="H237" s="26">
        <f t="shared" ca="1" si="1"/>
        <v>63</v>
      </c>
      <c r="I237" s="26">
        <f t="shared" ca="1" si="2"/>
        <v>1</v>
      </c>
      <c r="J237" s="86">
        <f t="shared" ca="1" si="3"/>
        <v>45156</v>
      </c>
      <c r="R237" s="26"/>
    </row>
    <row r="238" spans="1:18" ht="15.75" customHeight="1">
      <c r="A238" s="26">
        <f ca="1">IFERROR(__xludf.DUMMYFUNCTION("""COMPUTED_VALUE"""),19599)</f>
        <v>19599</v>
      </c>
      <c r="B238" s="86">
        <f ca="1">IFERROR(__xludf.DUMMYFUNCTION("""COMPUTED_VALUE"""),45156.7127893518)</f>
        <v>45156.712789351797</v>
      </c>
      <c r="C238" s="1" t="str">
        <f ca="1">IFERROR(__xludf.DUMMYFUNCTION("""COMPUTED_VALUE"""),"completed")</f>
        <v>completed</v>
      </c>
      <c r="D238" s="26">
        <f ca="1">IFERROR(__xludf.DUMMYFUNCTION("""COMPUTED_VALUE"""),0)</f>
        <v>0</v>
      </c>
      <c r="E238" s="1" t="str">
        <f ca="1">IFERROR(__xludf.DUMMYFUNCTION("""COMPUTED_VALUE"""),"South Point Stars")</f>
        <v>South Point Stars</v>
      </c>
      <c r="F238" s="87" t="str">
        <f t="shared" ca="1" si="0"/>
        <v>2023</v>
      </c>
      <c r="G238" s="1" t="str">
        <f ca="1">IFERROR(__xludf.DUMMYFUNCTION("""COMPUTED_VALUE"""),"South Point Stars")</f>
        <v>South Point Stars</v>
      </c>
      <c r="H238" s="26">
        <f t="shared" ca="1" si="1"/>
        <v>0</v>
      </c>
      <c r="I238" s="26">
        <f t="shared" ca="1" si="2"/>
        <v>1</v>
      </c>
      <c r="J238" s="86">
        <f t="shared" ca="1" si="3"/>
        <v>45156</v>
      </c>
      <c r="R238" s="26"/>
    </row>
    <row r="239" spans="1:18" ht="15.75" customHeight="1">
      <c r="A239" s="26">
        <f ca="1">IFERROR(__xludf.DUMMYFUNCTION("""COMPUTED_VALUE"""),19598)</f>
        <v>19598</v>
      </c>
      <c r="B239" s="86">
        <f ca="1">IFERROR(__xludf.DUMMYFUNCTION("""COMPUTED_VALUE"""),45156.711875)</f>
        <v>45156.711875000001</v>
      </c>
      <c r="C239" s="1" t="str">
        <f ca="1">IFERROR(__xludf.DUMMYFUNCTION("""COMPUTED_VALUE"""),"completed")</f>
        <v>completed</v>
      </c>
      <c r="D239" s="26">
        <f ca="1">IFERROR(__xludf.DUMMYFUNCTION("""COMPUTED_VALUE"""),63)</f>
        <v>63</v>
      </c>
      <c r="E239" s="1" t="str">
        <f ca="1">IFERROR(__xludf.DUMMYFUNCTION("""COMPUTED_VALUE"""),"South Point Stars")</f>
        <v>South Point Stars</v>
      </c>
      <c r="F239" s="87" t="str">
        <f t="shared" ca="1" si="0"/>
        <v>2023</v>
      </c>
      <c r="G239" s="1" t="str">
        <f ca="1">IFERROR(__xludf.DUMMYFUNCTION("""COMPUTED_VALUE"""),"South Point Stars")</f>
        <v>South Point Stars</v>
      </c>
      <c r="H239" s="26">
        <f t="shared" ca="1" si="1"/>
        <v>63</v>
      </c>
      <c r="I239" s="26">
        <f t="shared" ca="1" si="2"/>
        <v>1</v>
      </c>
      <c r="J239" s="86">
        <f t="shared" ca="1" si="3"/>
        <v>45156</v>
      </c>
      <c r="R239" s="26"/>
    </row>
    <row r="240" spans="1:18" ht="15.75" customHeight="1">
      <c r="A240" s="26">
        <f ca="1">IFERROR(__xludf.DUMMYFUNCTION("""COMPUTED_VALUE"""),19597)</f>
        <v>19597</v>
      </c>
      <c r="B240" s="86">
        <f ca="1">IFERROR(__xludf.DUMMYFUNCTION("""COMPUTED_VALUE"""),45156.6067361111)</f>
        <v>45156.606736111098</v>
      </c>
      <c r="C240" s="1" t="str">
        <f ca="1">IFERROR(__xludf.DUMMYFUNCTION("""COMPUTED_VALUE"""),"completed")</f>
        <v>completed</v>
      </c>
      <c r="D240" s="26">
        <f ca="1">IFERROR(__xludf.DUMMYFUNCTION("""COMPUTED_VALUE"""),25)</f>
        <v>25</v>
      </c>
      <c r="E240" s="1" t="str">
        <f ca="1">IFERROR(__xludf.DUMMYFUNCTION("""COMPUTED_VALUE"""),"South Point Stars")</f>
        <v>South Point Stars</v>
      </c>
      <c r="F240" s="87" t="str">
        <f t="shared" ca="1" si="0"/>
        <v>2023</v>
      </c>
      <c r="G240" s="1" t="str">
        <f ca="1">IFERROR(__xludf.DUMMYFUNCTION("""COMPUTED_VALUE"""),"South Point Stars")</f>
        <v>South Point Stars</v>
      </c>
      <c r="H240" s="26">
        <f t="shared" ca="1" si="1"/>
        <v>25</v>
      </c>
      <c r="I240" s="26">
        <f t="shared" ca="1" si="2"/>
        <v>1</v>
      </c>
      <c r="J240" s="86">
        <f t="shared" ca="1" si="3"/>
        <v>45156</v>
      </c>
      <c r="R240" s="26"/>
    </row>
    <row r="241" spans="1:18" ht="15.75" customHeight="1">
      <c r="A241" s="26">
        <f ca="1">IFERROR(__xludf.DUMMYFUNCTION("""COMPUTED_VALUE"""),19596)</f>
        <v>19596</v>
      </c>
      <c r="B241" s="86">
        <f ca="1">IFERROR(__xludf.DUMMYFUNCTION("""COMPUTED_VALUE"""),45156.5499074074)</f>
        <v>45156.549907407403</v>
      </c>
      <c r="C241" s="1" t="str">
        <f ca="1">IFERROR(__xludf.DUMMYFUNCTION("""COMPUTED_VALUE"""),"completed")</f>
        <v>completed</v>
      </c>
      <c r="D241" s="26">
        <f ca="1">IFERROR(__xludf.DUMMYFUNCTION("""COMPUTED_VALUE"""),25)</f>
        <v>25</v>
      </c>
      <c r="E241" s="1" t="str">
        <f ca="1">IFERROR(__xludf.DUMMYFUNCTION("""COMPUTED_VALUE"""),"South Point Stars")</f>
        <v>South Point Stars</v>
      </c>
      <c r="F241" s="87" t="str">
        <f t="shared" ca="1" si="0"/>
        <v>2023</v>
      </c>
      <c r="G241" s="1" t="str">
        <f ca="1">IFERROR(__xludf.DUMMYFUNCTION("""COMPUTED_VALUE"""),"Lasalle Stompers")</f>
        <v>Lasalle Stompers</v>
      </c>
      <c r="H241" s="26">
        <f t="shared" ca="1" si="1"/>
        <v>25</v>
      </c>
      <c r="I241" s="26">
        <f t="shared" ca="1" si="2"/>
        <v>1</v>
      </c>
      <c r="J241" s="86">
        <f t="shared" ca="1" si="3"/>
        <v>45156</v>
      </c>
      <c r="R241" s="26"/>
    </row>
    <row r="242" spans="1:18" ht="15.75" customHeight="1">
      <c r="A242" s="26">
        <f ca="1">IFERROR(__xludf.DUMMYFUNCTION("""COMPUTED_VALUE"""),19595)</f>
        <v>19595</v>
      </c>
      <c r="B242" s="86">
        <f ca="1">IFERROR(__xludf.DUMMYFUNCTION("""COMPUTED_VALUE"""),45156.4792013888)</f>
        <v>45156.4792013888</v>
      </c>
      <c r="C242" s="1" t="str">
        <f ca="1">IFERROR(__xludf.DUMMYFUNCTION("""COMPUTED_VALUE"""),"completed")</f>
        <v>completed</v>
      </c>
      <c r="D242" s="26">
        <f ca="1">IFERROR(__xludf.DUMMYFUNCTION("""COMPUTED_VALUE"""),35)</f>
        <v>35</v>
      </c>
      <c r="E242" s="1" t="str">
        <f ca="1">IFERROR(__xludf.DUMMYFUNCTION("""COMPUTED_VALUE"""),"Lasalle Stompers")</f>
        <v>Lasalle Stompers</v>
      </c>
      <c r="F242" s="87" t="str">
        <f t="shared" ca="1" si="0"/>
        <v>2023</v>
      </c>
      <c r="G242" s="1" t="str">
        <f ca="1">IFERROR(__xludf.DUMMYFUNCTION("""COMPUTED_VALUE"""),"Kingsville Minor Baseball Assoc.")</f>
        <v>Kingsville Minor Baseball Assoc.</v>
      </c>
      <c r="H242" s="26">
        <f t="shared" ca="1" si="1"/>
        <v>35</v>
      </c>
      <c r="I242" s="26">
        <f t="shared" ca="1" si="2"/>
        <v>1</v>
      </c>
      <c r="J242" s="86">
        <f t="shared" ca="1" si="3"/>
        <v>45156</v>
      </c>
      <c r="R242" s="26"/>
    </row>
    <row r="243" spans="1:18" ht="15.75" customHeight="1">
      <c r="A243" s="26">
        <f ca="1">IFERROR(__xludf.DUMMYFUNCTION("""COMPUTED_VALUE"""),19594)</f>
        <v>19594</v>
      </c>
      <c r="B243" s="86">
        <f ca="1">IFERROR(__xludf.DUMMYFUNCTION("""COMPUTED_VALUE"""),45155.8642939814)</f>
        <v>45155.864293981402</v>
      </c>
      <c r="C243" s="1" t="str">
        <f ca="1">IFERROR(__xludf.DUMMYFUNCTION("""COMPUTED_VALUE"""),"completed")</f>
        <v>completed</v>
      </c>
      <c r="D243" s="26">
        <f ca="1">IFERROR(__xludf.DUMMYFUNCTION("""COMPUTED_VALUE"""),40)</f>
        <v>40</v>
      </c>
      <c r="E243" s="1" t="str">
        <f ca="1">IFERROR(__xludf.DUMMYFUNCTION("""COMPUTED_VALUE"""),"Kingsville Minor Baseball Assoc.")</f>
        <v>Kingsville Minor Baseball Assoc.</v>
      </c>
      <c r="F243" s="87" t="str">
        <f t="shared" ca="1" si="0"/>
        <v>2023</v>
      </c>
      <c r="G243" s="1" t="str">
        <f ca="1">IFERROR(__xludf.DUMMYFUNCTION("""COMPUTED_VALUE"""),"South Point Stars")</f>
        <v>South Point Stars</v>
      </c>
      <c r="H243" s="26">
        <f t="shared" ca="1" si="1"/>
        <v>40</v>
      </c>
      <c r="I243" s="26">
        <f t="shared" ca="1" si="2"/>
        <v>1</v>
      </c>
      <c r="J243" s="86">
        <f t="shared" ca="1" si="3"/>
        <v>45155</v>
      </c>
      <c r="R243" s="26"/>
    </row>
    <row r="244" spans="1:18" ht="15.75" customHeight="1">
      <c r="A244" s="26">
        <f ca="1">IFERROR(__xludf.DUMMYFUNCTION("""COMPUTED_VALUE"""),19593)</f>
        <v>19593</v>
      </c>
      <c r="B244" s="86">
        <f ca="1">IFERROR(__xludf.DUMMYFUNCTION("""COMPUTED_VALUE"""),45155.7500694444)</f>
        <v>45155.750069444402</v>
      </c>
      <c r="C244" s="1" t="str">
        <f ca="1">IFERROR(__xludf.DUMMYFUNCTION("""COMPUTED_VALUE"""),"completed")</f>
        <v>completed</v>
      </c>
      <c r="D244" s="26">
        <f ca="1">IFERROR(__xludf.DUMMYFUNCTION("""COMPUTED_VALUE"""),84)</f>
        <v>84</v>
      </c>
      <c r="E244" s="1" t="str">
        <f ca="1">IFERROR(__xludf.DUMMYFUNCTION("""COMPUTED_VALUE"""),"South Point Stars")</f>
        <v>South Point Stars</v>
      </c>
      <c r="F244" s="87" t="str">
        <f t="shared" ca="1" si="0"/>
        <v>2023</v>
      </c>
      <c r="G244" s="1" t="str">
        <f ca="1">IFERROR(__xludf.DUMMYFUNCTION("""COMPUTED_VALUE"""),"Lasalle Stompers")</f>
        <v>Lasalle Stompers</v>
      </c>
      <c r="H244" s="26">
        <f t="shared" ca="1" si="1"/>
        <v>84</v>
      </c>
      <c r="I244" s="26">
        <f t="shared" ca="1" si="2"/>
        <v>1</v>
      </c>
      <c r="J244" s="86">
        <f t="shared" ca="1" si="3"/>
        <v>45155</v>
      </c>
      <c r="R244" s="26"/>
    </row>
    <row r="245" spans="1:18" ht="15.75" customHeight="1">
      <c r="A245" s="26">
        <f ca="1">IFERROR(__xludf.DUMMYFUNCTION("""COMPUTED_VALUE"""),19592)</f>
        <v>19592</v>
      </c>
      <c r="B245" s="86">
        <f ca="1">IFERROR(__xludf.DUMMYFUNCTION("""COMPUTED_VALUE"""),45155.7460763888)</f>
        <v>45155.746076388801</v>
      </c>
      <c r="C245" s="1" t="str">
        <f ca="1">IFERROR(__xludf.DUMMYFUNCTION("""COMPUTED_VALUE"""),"completed")</f>
        <v>completed</v>
      </c>
      <c r="D245" s="26">
        <f ca="1">IFERROR(__xludf.DUMMYFUNCTION("""COMPUTED_VALUE"""),48)</f>
        <v>48</v>
      </c>
      <c r="E245" s="1" t="str">
        <f ca="1">IFERROR(__xludf.DUMMYFUNCTION("""COMPUTED_VALUE"""),"Lasalle Stompers")</f>
        <v>Lasalle Stompers</v>
      </c>
      <c r="F245" s="87" t="str">
        <f t="shared" ca="1" si="0"/>
        <v>2023</v>
      </c>
      <c r="G245" s="1" t="str">
        <f ca="1">IFERROR(__xludf.DUMMYFUNCTION("""COMPUTED_VALUE"""),"South Point Stars")</f>
        <v>South Point Stars</v>
      </c>
      <c r="H245" s="26">
        <f t="shared" ca="1" si="1"/>
        <v>48</v>
      </c>
      <c r="I245" s="26">
        <f t="shared" ca="1" si="2"/>
        <v>1</v>
      </c>
      <c r="J245" s="86">
        <f t="shared" ca="1" si="3"/>
        <v>45155</v>
      </c>
      <c r="R245" s="26"/>
    </row>
    <row r="246" spans="1:18" ht="15.75" customHeight="1">
      <c r="A246" s="26">
        <f ca="1">IFERROR(__xludf.DUMMYFUNCTION("""COMPUTED_VALUE"""),19591)</f>
        <v>19591</v>
      </c>
      <c r="B246" s="86">
        <f ca="1">IFERROR(__xludf.DUMMYFUNCTION("""COMPUTED_VALUE"""),45155.4512268518)</f>
        <v>45155.451226851801</v>
      </c>
      <c r="C246" s="1" t="str">
        <f ca="1">IFERROR(__xludf.DUMMYFUNCTION("""COMPUTED_VALUE"""),"completed")</f>
        <v>completed</v>
      </c>
      <c r="D246" s="26">
        <f ca="1">IFERROR(__xludf.DUMMYFUNCTION("""COMPUTED_VALUE"""),35)</f>
        <v>35</v>
      </c>
      <c r="E246" s="1" t="str">
        <f ca="1">IFERROR(__xludf.DUMMYFUNCTION("""COMPUTED_VALUE"""),"South Point Stars")</f>
        <v>South Point Stars</v>
      </c>
      <c r="F246" s="87" t="str">
        <f t="shared" ca="1" si="0"/>
        <v>2023</v>
      </c>
      <c r="G246" s="1" t="str">
        <f ca="1">IFERROR(__xludf.DUMMYFUNCTION("""COMPUTED_VALUE"""),"Lasalle Stompers")</f>
        <v>Lasalle Stompers</v>
      </c>
      <c r="H246" s="26">
        <f t="shared" ca="1" si="1"/>
        <v>35</v>
      </c>
      <c r="I246" s="26">
        <f t="shared" ca="1" si="2"/>
        <v>1</v>
      </c>
      <c r="J246" s="86">
        <f t="shared" ca="1" si="3"/>
        <v>45155</v>
      </c>
      <c r="R246" s="26"/>
    </row>
    <row r="247" spans="1:18" ht="15.75" customHeight="1">
      <c r="A247" s="26">
        <f ca="1">IFERROR(__xludf.DUMMYFUNCTION("""COMPUTED_VALUE"""),19589)</f>
        <v>19589</v>
      </c>
      <c r="B247" s="86">
        <f ca="1">IFERROR(__xludf.DUMMYFUNCTION("""COMPUTED_VALUE"""),45154.6323032407)</f>
        <v>45154.632303240702</v>
      </c>
      <c r="C247" s="1" t="str">
        <f ca="1">IFERROR(__xludf.DUMMYFUNCTION("""COMPUTED_VALUE"""),"completed")</f>
        <v>completed</v>
      </c>
      <c r="D247" s="26">
        <f ca="1">IFERROR(__xludf.DUMMYFUNCTION("""COMPUTED_VALUE"""),25)</f>
        <v>25</v>
      </c>
      <c r="E247" s="1" t="str">
        <f ca="1">IFERROR(__xludf.DUMMYFUNCTION("""COMPUTED_VALUE"""),"Lasalle Stompers")</f>
        <v>Lasalle Stompers</v>
      </c>
      <c r="F247" s="87" t="str">
        <f t="shared" ca="1" si="0"/>
        <v>2023</v>
      </c>
      <c r="G247" s="1" t="str">
        <f ca="1">IFERROR(__xludf.DUMMYFUNCTION("""COMPUTED_VALUE"""),"Lasalle Stompers")</f>
        <v>Lasalle Stompers</v>
      </c>
      <c r="H247" s="26">
        <f t="shared" ca="1" si="1"/>
        <v>25</v>
      </c>
      <c r="I247" s="26">
        <f t="shared" ca="1" si="2"/>
        <v>1</v>
      </c>
      <c r="J247" s="86">
        <f t="shared" ca="1" si="3"/>
        <v>45154</v>
      </c>
      <c r="R247" s="26"/>
    </row>
    <row r="248" spans="1:18" ht="15.75" customHeight="1">
      <c r="A248" s="26">
        <f ca="1">IFERROR(__xludf.DUMMYFUNCTION("""COMPUTED_VALUE"""),19588)</f>
        <v>19588</v>
      </c>
      <c r="B248" s="86">
        <f ca="1">IFERROR(__xludf.DUMMYFUNCTION("""COMPUTED_VALUE"""),45154.6304050926)</f>
        <v>45154.630405092597</v>
      </c>
      <c r="C248" s="1" t="str">
        <f ca="1">IFERROR(__xludf.DUMMYFUNCTION("""COMPUTED_VALUE"""),"completed")</f>
        <v>completed</v>
      </c>
      <c r="D248" s="26">
        <f ca="1">IFERROR(__xludf.DUMMYFUNCTION("""COMPUTED_VALUE"""),25)</f>
        <v>25</v>
      </c>
      <c r="E248" s="1" t="str">
        <f ca="1">IFERROR(__xludf.DUMMYFUNCTION("""COMPUTED_VALUE"""),"Lasalle Stompers")</f>
        <v>Lasalle Stompers</v>
      </c>
      <c r="F248" s="87" t="str">
        <f t="shared" ca="1" si="0"/>
        <v>2023</v>
      </c>
      <c r="G248" s="1" t="str">
        <f ca="1">IFERROR(__xludf.DUMMYFUNCTION("""COMPUTED_VALUE"""),"South Point Stars")</f>
        <v>South Point Stars</v>
      </c>
      <c r="H248" s="26">
        <f t="shared" ca="1" si="1"/>
        <v>25</v>
      </c>
      <c r="I248" s="26">
        <f t="shared" ca="1" si="2"/>
        <v>1</v>
      </c>
      <c r="J248" s="86">
        <f t="shared" ca="1" si="3"/>
        <v>45154</v>
      </c>
      <c r="R248" s="26"/>
    </row>
    <row r="249" spans="1:18" ht="15.75" customHeight="1">
      <c r="A249" s="26">
        <f ca="1">IFERROR(__xludf.DUMMYFUNCTION("""COMPUTED_VALUE"""),19587)</f>
        <v>19587</v>
      </c>
      <c r="B249" s="86">
        <f ca="1">IFERROR(__xludf.DUMMYFUNCTION("""COMPUTED_VALUE"""),45154.5398958333)</f>
        <v>45154.539895833303</v>
      </c>
      <c r="C249" s="1" t="str">
        <f ca="1">IFERROR(__xludf.DUMMYFUNCTION("""COMPUTED_VALUE"""),"completed")</f>
        <v>completed</v>
      </c>
      <c r="D249" s="26">
        <f ca="1">IFERROR(__xludf.DUMMYFUNCTION("""COMPUTED_VALUE"""),25)</f>
        <v>25</v>
      </c>
      <c r="E249" s="1" t="str">
        <f ca="1">IFERROR(__xludf.DUMMYFUNCTION("""COMPUTED_VALUE"""),"South Point Stars")</f>
        <v>South Point Stars</v>
      </c>
      <c r="F249" s="87" t="str">
        <f t="shared" ca="1" si="0"/>
        <v>2023</v>
      </c>
      <c r="G249" s="1" t="str">
        <f ca="1">IFERROR(__xludf.DUMMYFUNCTION("""COMPUTED_VALUE"""),"South Point Stars")</f>
        <v>South Point Stars</v>
      </c>
      <c r="H249" s="26">
        <f t="shared" ca="1" si="1"/>
        <v>25</v>
      </c>
      <c r="I249" s="26">
        <f t="shared" ca="1" si="2"/>
        <v>1</v>
      </c>
      <c r="J249" s="86">
        <f t="shared" ca="1" si="3"/>
        <v>45154</v>
      </c>
      <c r="R249" s="26"/>
    </row>
    <row r="250" spans="1:18" ht="15.75" customHeight="1">
      <c r="A250" s="26">
        <f ca="1">IFERROR(__xludf.DUMMYFUNCTION("""COMPUTED_VALUE"""),19586)</f>
        <v>19586</v>
      </c>
      <c r="B250" s="86">
        <f ca="1">IFERROR(__xludf.DUMMYFUNCTION("""COMPUTED_VALUE"""),45154.536261574)</f>
        <v>45154.536261574001</v>
      </c>
      <c r="C250" s="1" t="str">
        <f ca="1">IFERROR(__xludf.DUMMYFUNCTION("""COMPUTED_VALUE"""),"completed")</f>
        <v>completed</v>
      </c>
      <c r="D250" s="26">
        <f ca="1">IFERROR(__xludf.DUMMYFUNCTION("""COMPUTED_VALUE"""),25)</f>
        <v>25</v>
      </c>
      <c r="E250" s="1" t="str">
        <f ca="1">IFERROR(__xludf.DUMMYFUNCTION("""COMPUTED_VALUE"""),"South Point Stars")</f>
        <v>South Point Stars</v>
      </c>
      <c r="F250" s="87" t="str">
        <f t="shared" ca="1" si="0"/>
        <v>2023</v>
      </c>
      <c r="G250" s="1" t="str">
        <f ca="1">IFERROR(__xludf.DUMMYFUNCTION("""COMPUTED_VALUE"""),"Lasalle Stompers")</f>
        <v>Lasalle Stompers</v>
      </c>
      <c r="H250" s="26">
        <f t="shared" ca="1" si="1"/>
        <v>25</v>
      </c>
      <c r="I250" s="26">
        <f t="shared" ca="1" si="2"/>
        <v>1</v>
      </c>
      <c r="J250" s="86">
        <f t="shared" ca="1" si="3"/>
        <v>45154</v>
      </c>
      <c r="R250" s="26"/>
    </row>
    <row r="251" spans="1:18" ht="15.75" customHeight="1">
      <c r="A251" s="26">
        <f ca="1">IFERROR(__xludf.DUMMYFUNCTION("""COMPUTED_VALUE"""),19584)</f>
        <v>19584</v>
      </c>
      <c r="B251" s="86">
        <f ca="1">IFERROR(__xludf.DUMMYFUNCTION("""COMPUTED_VALUE"""),45153.9287037037)</f>
        <v>45153.928703703699</v>
      </c>
      <c r="C251" s="1" t="str">
        <f ca="1">IFERROR(__xludf.DUMMYFUNCTION("""COMPUTED_VALUE"""),"completed")</f>
        <v>completed</v>
      </c>
      <c r="D251" s="26">
        <f ca="1">IFERROR(__xludf.DUMMYFUNCTION("""COMPUTED_VALUE"""),15)</f>
        <v>15</v>
      </c>
      <c r="E251" s="1" t="str">
        <f ca="1">IFERROR(__xludf.DUMMYFUNCTION("""COMPUTED_VALUE"""),"Lasalle Stompers")</f>
        <v>Lasalle Stompers</v>
      </c>
      <c r="F251" s="87" t="str">
        <f t="shared" ca="1" si="0"/>
        <v>2023</v>
      </c>
      <c r="G251" s="1" t="str">
        <f ca="1">IFERROR(__xludf.DUMMYFUNCTION("""COMPUTED_VALUE"""),"Lasalle Stompers")</f>
        <v>Lasalle Stompers</v>
      </c>
      <c r="H251" s="26">
        <f t="shared" ca="1" si="1"/>
        <v>15</v>
      </c>
      <c r="I251" s="26">
        <f t="shared" ca="1" si="2"/>
        <v>1</v>
      </c>
      <c r="J251" s="86">
        <f t="shared" ca="1" si="3"/>
        <v>45153</v>
      </c>
      <c r="R251" s="26"/>
    </row>
    <row r="252" spans="1:18" ht="15.75" customHeight="1">
      <c r="A252" s="26">
        <f ca="1">IFERROR(__xludf.DUMMYFUNCTION("""COMPUTED_VALUE"""),19583)</f>
        <v>19583</v>
      </c>
      <c r="B252" s="86">
        <f ca="1">IFERROR(__xludf.DUMMYFUNCTION("""COMPUTED_VALUE"""),45153.6798842592)</f>
        <v>45153.679884259203</v>
      </c>
      <c r="C252" s="1" t="str">
        <f ca="1">IFERROR(__xludf.DUMMYFUNCTION("""COMPUTED_VALUE"""),"completed")</f>
        <v>completed</v>
      </c>
      <c r="D252" s="26">
        <f ca="1">IFERROR(__xludf.DUMMYFUNCTION("""COMPUTED_VALUE"""),43)</f>
        <v>43</v>
      </c>
      <c r="E252" s="1" t="str">
        <f ca="1">IFERROR(__xludf.DUMMYFUNCTION("""COMPUTED_VALUE"""),"Lasalle Stompers")</f>
        <v>Lasalle Stompers</v>
      </c>
      <c r="F252" s="87" t="str">
        <f t="shared" ca="1" si="0"/>
        <v>2023</v>
      </c>
      <c r="G252" s="1" t="str">
        <f ca="1">IFERROR(__xludf.DUMMYFUNCTION("""COMPUTED_VALUE"""),"Lasalle Stompers")</f>
        <v>Lasalle Stompers</v>
      </c>
      <c r="H252" s="26">
        <f t="shared" ca="1" si="1"/>
        <v>43</v>
      </c>
      <c r="I252" s="26">
        <f t="shared" ca="1" si="2"/>
        <v>1</v>
      </c>
      <c r="J252" s="86">
        <f t="shared" ca="1" si="3"/>
        <v>45153</v>
      </c>
      <c r="R252" s="26"/>
    </row>
    <row r="253" spans="1:18" ht="15.75" customHeight="1">
      <c r="A253" s="26">
        <f ca="1">IFERROR(__xludf.DUMMYFUNCTION("""COMPUTED_VALUE"""),19582)</f>
        <v>19582</v>
      </c>
      <c r="B253" s="86">
        <f ca="1">IFERROR(__xludf.DUMMYFUNCTION("""COMPUTED_VALUE"""),45153.6597222222)</f>
        <v>45153.659722222197</v>
      </c>
      <c r="C253" s="1" t="str">
        <f ca="1">IFERROR(__xludf.DUMMYFUNCTION("""COMPUTED_VALUE"""),"completed")</f>
        <v>completed</v>
      </c>
      <c r="D253" s="26">
        <f ca="1">IFERROR(__xludf.DUMMYFUNCTION("""COMPUTED_VALUE"""),25)</f>
        <v>25</v>
      </c>
      <c r="E253" s="1" t="str">
        <f ca="1">IFERROR(__xludf.DUMMYFUNCTION("""COMPUTED_VALUE"""),"Lasalle Stompers")</f>
        <v>Lasalle Stompers</v>
      </c>
      <c r="F253" s="87" t="str">
        <f t="shared" ca="1" si="0"/>
        <v>2023</v>
      </c>
      <c r="G253" s="1" t="str">
        <f ca="1">IFERROR(__xludf.DUMMYFUNCTION("""COMPUTED_VALUE"""),"Harrow Minor Baseball")</f>
        <v>Harrow Minor Baseball</v>
      </c>
      <c r="H253" s="26">
        <f t="shared" ca="1" si="1"/>
        <v>25</v>
      </c>
      <c r="I253" s="26">
        <f t="shared" ca="1" si="2"/>
        <v>1</v>
      </c>
      <c r="J253" s="86">
        <f t="shared" ca="1" si="3"/>
        <v>45153</v>
      </c>
      <c r="R253" s="26"/>
    </row>
    <row r="254" spans="1:18" ht="15.75" customHeight="1">
      <c r="A254" s="26">
        <f ca="1">IFERROR(__xludf.DUMMYFUNCTION("""COMPUTED_VALUE"""),19581)</f>
        <v>19581</v>
      </c>
      <c r="B254" s="86">
        <f ca="1">IFERROR(__xludf.DUMMYFUNCTION("""COMPUTED_VALUE"""),45153.5589699074)</f>
        <v>45153.558969907397</v>
      </c>
      <c r="C254" s="1" t="str">
        <f ca="1">IFERROR(__xludf.DUMMYFUNCTION("""COMPUTED_VALUE"""),"completed")</f>
        <v>completed</v>
      </c>
      <c r="D254" s="26">
        <f ca="1">IFERROR(__xludf.DUMMYFUNCTION("""COMPUTED_VALUE"""),25)</f>
        <v>25</v>
      </c>
      <c r="E254" s="1" t="str">
        <f ca="1">IFERROR(__xludf.DUMMYFUNCTION("""COMPUTED_VALUE"""),"Harrow Minor Baseball")</f>
        <v>Harrow Minor Baseball</v>
      </c>
      <c r="F254" s="87" t="str">
        <f t="shared" ca="1" si="0"/>
        <v>2023</v>
      </c>
      <c r="G254" s="1" t="str">
        <f ca="1">IFERROR(__xludf.DUMMYFUNCTION("""COMPUTED_VALUE"""),"Harrow Minor Baseball")</f>
        <v>Harrow Minor Baseball</v>
      </c>
      <c r="H254" s="26">
        <f t="shared" ca="1" si="1"/>
        <v>25</v>
      </c>
      <c r="I254" s="26">
        <f t="shared" ca="1" si="2"/>
        <v>1</v>
      </c>
      <c r="J254" s="86">
        <f t="shared" ca="1" si="3"/>
        <v>45153</v>
      </c>
      <c r="R254" s="26"/>
    </row>
    <row r="255" spans="1:18" ht="15.75" customHeight="1">
      <c r="A255" s="26">
        <f ca="1">IFERROR(__xludf.DUMMYFUNCTION("""COMPUTED_VALUE"""),19580)</f>
        <v>19580</v>
      </c>
      <c r="B255" s="86">
        <f ca="1">IFERROR(__xludf.DUMMYFUNCTION("""COMPUTED_VALUE"""),45153.5577083333)</f>
        <v>45153.557708333297</v>
      </c>
      <c r="C255" s="1" t="str">
        <f ca="1">IFERROR(__xludf.DUMMYFUNCTION("""COMPUTED_VALUE"""),"completed")</f>
        <v>completed</v>
      </c>
      <c r="D255" s="26">
        <f ca="1">IFERROR(__xludf.DUMMYFUNCTION("""COMPUTED_VALUE"""),25)</f>
        <v>25</v>
      </c>
      <c r="E255" s="1" t="str">
        <f ca="1">IFERROR(__xludf.DUMMYFUNCTION("""COMPUTED_VALUE"""),"Harrow Minor Baseball")</f>
        <v>Harrow Minor Baseball</v>
      </c>
      <c r="F255" s="87" t="str">
        <f t="shared" ca="1" si="0"/>
        <v>2023</v>
      </c>
      <c r="G255" s="1" t="str">
        <f ca="1">IFERROR(__xludf.DUMMYFUNCTION("""COMPUTED_VALUE"""),"Lasalle Stompers")</f>
        <v>Lasalle Stompers</v>
      </c>
      <c r="H255" s="26">
        <f t="shared" ca="1" si="1"/>
        <v>25</v>
      </c>
      <c r="I255" s="26">
        <f t="shared" ca="1" si="2"/>
        <v>1</v>
      </c>
      <c r="J255" s="86">
        <f t="shared" ca="1" si="3"/>
        <v>45153</v>
      </c>
      <c r="R255" s="26"/>
    </row>
    <row r="256" spans="1:18" ht="15.75" customHeight="1">
      <c r="A256" s="26">
        <f ca="1">IFERROR(__xludf.DUMMYFUNCTION("""COMPUTED_VALUE"""),19579)</f>
        <v>19579</v>
      </c>
      <c r="B256" s="86">
        <f ca="1">IFERROR(__xludf.DUMMYFUNCTION("""COMPUTED_VALUE"""),45153.5538078703)</f>
        <v>45153.553807870303</v>
      </c>
      <c r="C256" s="1" t="str">
        <f ca="1">IFERROR(__xludf.DUMMYFUNCTION("""COMPUTED_VALUE"""),"completed")</f>
        <v>completed</v>
      </c>
      <c r="D256" s="26">
        <f ca="1">IFERROR(__xludf.DUMMYFUNCTION("""COMPUTED_VALUE"""),15)</f>
        <v>15</v>
      </c>
      <c r="E256" s="1" t="str">
        <f ca="1">IFERROR(__xludf.DUMMYFUNCTION("""COMPUTED_VALUE"""),"Lasalle Stompers")</f>
        <v>Lasalle Stompers</v>
      </c>
      <c r="F256" s="87" t="str">
        <f t="shared" ca="1" si="0"/>
        <v>2023</v>
      </c>
      <c r="G256" s="1" t="str">
        <f ca="1">IFERROR(__xludf.DUMMYFUNCTION("""COMPUTED_VALUE"""),"Lasalle Stompers")</f>
        <v>Lasalle Stompers</v>
      </c>
      <c r="H256" s="26">
        <f t="shared" ca="1" si="1"/>
        <v>15</v>
      </c>
      <c r="I256" s="26">
        <f t="shared" ca="1" si="2"/>
        <v>1</v>
      </c>
      <c r="J256" s="86">
        <f t="shared" ca="1" si="3"/>
        <v>45153</v>
      </c>
      <c r="R256" s="26"/>
    </row>
    <row r="257" spans="1:18" ht="15.75" customHeight="1">
      <c r="A257" s="26">
        <f ca="1">IFERROR(__xludf.DUMMYFUNCTION("""COMPUTED_VALUE"""),19578)</f>
        <v>19578</v>
      </c>
      <c r="B257" s="86">
        <f ca="1">IFERROR(__xludf.DUMMYFUNCTION("""COMPUTED_VALUE"""),45153.5469907407)</f>
        <v>45153.546990740702</v>
      </c>
      <c r="C257" s="1" t="str">
        <f ca="1">IFERROR(__xludf.DUMMYFUNCTION("""COMPUTED_VALUE"""),"completed")</f>
        <v>completed</v>
      </c>
      <c r="D257" s="26">
        <f ca="1">IFERROR(__xludf.DUMMYFUNCTION("""COMPUTED_VALUE"""),15)</f>
        <v>15</v>
      </c>
      <c r="E257" s="1" t="str">
        <f ca="1">IFERROR(__xludf.DUMMYFUNCTION("""COMPUTED_VALUE"""),"Lasalle Stompers")</f>
        <v>Lasalle Stompers</v>
      </c>
      <c r="F257" s="87" t="str">
        <f t="shared" ca="1" si="0"/>
        <v>2023</v>
      </c>
      <c r="G257" s="1" t="str">
        <f ca="1">IFERROR(__xludf.DUMMYFUNCTION("""COMPUTED_VALUE"""),"Lasalle Stompers")</f>
        <v>Lasalle Stompers</v>
      </c>
      <c r="H257" s="26">
        <f t="shared" ca="1" si="1"/>
        <v>15</v>
      </c>
      <c r="I257" s="26">
        <f t="shared" ca="1" si="2"/>
        <v>1</v>
      </c>
      <c r="J257" s="86">
        <f t="shared" ca="1" si="3"/>
        <v>45153</v>
      </c>
      <c r="R257" s="26"/>
    </row>
    <row r="258" spans="1:18" ht="15.75" customHeight="1">
      <c r="A258" s="26">
        <f ca="1">IFERROR(__xludf.DUMMYFUNCTION("""COMPUTED_VALUE"""),19577)</f>
        <v>19577</v>
      </c>
      <c r="B258" s="86">
        <f ca="1">IFERROR(__xludf.DUMMYFUNCTION("""COMPUTED_VALUE"""),45153.546261574)</f>
        <v>45153.546261574003</v>
      </c>
      <c r="C258" s="1" t="str">
        <f ca="1">IFERROR(__xludf.DUMMYFUNCTION("""COMPUTED_VALUE"""),"completed")</f>
        <v>completed</v>
      </c>
      <c r="D258" s="26">
        <f ca="1">IFERROR(__xludf.DUMMYFUNCTION("""COMPUTED_VALUE"""),25)</f>
        <v>25</v>
      </c>
      <c r="E258" s="1" t="str">
        <f ca="1">IFERROR(__xludf.DUMMYFUNCTION("""COMPUTED_VALUE"""),"Lasalle Stompers")</f>
        <v>Lasalle Stompers</v>
      </c>
      <c r="F258" s="87" t="str">
        <f t="shared" ca="1" si="0"/>
        <v>2023</v>
      </c>
      <c r="G258" s="1" t="str">
        <f ca="1">IFERROR(__xludf.DUMMYFUNCTION("""COMPUTED_VALUE"""),"Lasalle Stompers")</f>
        <v>Lasalle Stompers</v>
      </c>
      <c r="H258" s="26">
        <f t="shared" ca="1" si="1"/>
        <v>25</v>
      </c>
      <c r="I258" s="26">
        <f t="shared" ca="1" si="2"/>
        <v>1</v>
      </c>
      <c r="J258" s="86">
        <f t="shared" ca="1" si="3"/>
        <v>45153</v>
      </c>
      <c r="R258" s="26"/>
    </row>
    <row r="259" spans="1:18" ht="15.75" customHeight="1">
      <c r="A259" s="26">
        <f ca="1">IFERROR(__xludf.DUMMYFUNCTION("""COMPUTED_VALUE"""),19576)</f>
        <v>19576</v>
      </c>
      <c r="B259" s="86">
        <f ca="1">IFERROR(__xludf.DUMMYFUNCTION("""COMPUTED_VALUE"""),45153.5443171296)</f>
        <v>45153.544317129599</v>
      </c>
      <c r="C259" s="1" t="str">
        <f ca="1">IFERROR(__xludf.DUMMYFUNCTION("""COMPUTED_VALUE"""),"completed")</f>
        <v>completed</v>
      </c>
      <c r="D259" s="26">
        <f ca="1">IFERROR(__xludf.DUMMYFUNCTION("""COMPUTED_VALUE"""),15)</f>
        <v>15</v>
      </c>
      <c r="E259" s="1" t="str">
        <f ca="1">IFERROR(__xludf.DUMMYFUNCTION("""COMPUTED_VALUE"""),"Lasalle Stompers")</f>
        <v>Lasalle Stompers</v>
      </c>
      <c r="F259" s="87" t="str">
        <f t="shared" ca="1" si="0"/>
        <v>2023</v>
      </c>
      <c r="G259" s="1" t="str">
        <f ca="1">IFERROR(__xludf.DUMMYFUNCTION("""COMPUTED_VALUE"""),"Lasalle Stompers")</f>
        <v>Lasalle Stompers</v>
      </c>
      <c r="H259" s="26">
        <f t="shared" ca="1" si="1"/>
        <v>15</v>
      </c>
      <c r="I259" s="26">
        <f t="shared" ca="1" si="2"/>
        <v>1</v>
      </c>
      <c r="J259" s="86">
        <f t="shared" ca="1" si="3"/>
        <v>45153</v>
      </c>
      <c r="R259" s="26"/>
    </row>
    <row r="260" spans="1:18" ht="15.75" customHeight="1">
      <c r="A260" s="26">
        <f ca="1">IFERROR(__xludf.DUMMYFUNCTION("""COMPUTED_VALUE"""),19575)</f>
        <v>19575</v>
      </c>
      <c r="B260" s="86">
        <f ca="1">IFERROR(__xludf.DUMMYFUNCTION("""COMPUTED_VALUE"""),45153.5306481481)</f>
        <v>45153.530648148102</v>
      </c>
      <c r="C260" s="1" t="str">
        <f ca="1">IFERROR(__xludf.DUMMYFUNCTION("""COMPUTED_VALUE"""),"completed")</f>
        <v>completed</v>
      </c>
      <c r="D260" s="26">
        <f ca="1">IFERROR(__xludf.DUMMYFUNCTION("""COMPUTED_VALUE"""),25)</f>
        <v>25</v>
      </c>
      <c r="E260" s="1" t="str">
        <f ca="1">IFERROR(__xludf.DUMMYFUNCTION("""COMPUTED_VALUE"""),"Lasalle Stompers")</f>
        <v>Lasalle Stompers</v>
      </c>
      <c r="F260" s="87" t="str">
        <f t="shared" ca="1" si="0"/>
        <v>2023</v>
      </c>
      <c r="G260" s="1" t="str">
        <f ca="1">IFERROR(__xludf.DUMMYFUNCTION("""COMPUTED_VALUE"""),"Lasalle Stompers")</f>
        <v>Lasalle Stompers</v>
      </c>
      <c r="H260" s="26">
        <f t="shared" ca="1" si="1"/>
        <v>25</v>
      </c>
      <c r="I260" s="26">
        <f t="shared" ca="1" si="2"/>
        <v>1</v>
      </c>
      <c r="J260" s="86">
        <f t="shared" ca="1" si="3"/>
        <v>45153</v>
      </c>
      <c r="R260" s="26"/>
    </row>
    <row r="261" spans="1:18" ht="15.75" customHeight="1">
      <c r="A261" s="26">
        <f ca="1">IFERROR(__xludf.DUMMYFUNCTION("""COMPUTED_VALUE"""),19574)</f>
        <v>19574</v>
      </c>
      <c r="B261" s="86">
        <f ca="1">IFERROR(__xludf.DUMMYFUNCTION("""COMPUTED_VALUE"""),45153.5299652777)</f>
        <v>45153.529965277703</v>
      </c>
      <c r="C261" s="1" t="str">
        <f ca="1">IFERROR(__xludf.DUMMYFUNCTION("""COMPUTED_VALUE"""),"completed")</f>
        <v>completed</v>
      </c>
      <c r="D261" s="26">
        <f ca="1">IFERROR(__xludf.DUMMYFUNCTION("""COMPUTED_VALUE"""),25)</f>
        <v>25</v>
      </c>
      <c r="E261" s="1" t="str">
        <f ca="1">IFERROR(__xludf.DUMMYFUNCTION("""COMPUTED_VALUE"""),"Lasalle Stompers")</f>
        <v>Lasalle Stompers</v>
      </c>
      <c r="F261" s="87" t="str">
        <f t="shared" ca="1" si="0"/>
        <v>2023</v>
      </c>
      <c r="G261" s="1" t="str">
        <f ca="1">IFERROR(__xludf.DUMMYFUNCTION("""COMPUTED_VALUE"""),"Lasalle Stompers")</f>
        <v>Lasalle Stompers</v>
      </c>
      <c r="H261" s="26">
        <f t="shared" ca="1" si="1"/>
        <v>25</v>
      </c>
      <c r="I261" s="26">
        <f t="shared" ca="1" si="2"/>
        <v>1</v>
      </c>
      <c r="J261" s="86">
        <f t="shared" ca="1" si="3"/>
        <v>45153</v>
      </c>
      <c r="R261" s="26"/>
    </row>
    <row r="262" spans="1:18" ht="15.75" customHeight="1">
      <c r="A262" s="26">
        <f ca="1">IFERROR(__xludf.DUMMYFUNCTION("""COMPUTED_VALUE"""),19573)</f>
        <v>19573</v>
      </c>
      <c r="B262" s="86">
        <f ca="1">IFERROR(__xludf.DUMMYFUNCTION("""COMPUTED_VALUE"""),45153.5190277777)</f>
        <v>45153.5190277777</v>
      </c>
      <c r="C262" s="1" t="str">
        <f ca="1">IFERROR(__xludf.DUMMYFUNCTION("""COMPUTED_VALUE"""),"completed")</f>
        <v>completed</v>
      </c>
      <c r="D262" s="26">
        <f ca="1">IFERROR(__xludf.DUMMYFUNCTION("""COMPUTED_VALUE"""),35)</f>
        <v>35</v>
      </c>
      <c r="E262" s="1" t="str">
        <f ca="1">IFERROR(__xludf.DUMMYFUNCTION("""COMPUTED_VALUE"""),"Lasalle Stompers")</f>
        <v>Lasalle Stompers</v>
      </c>
      <c r="F262" s="87" t="str">
        <f t="shared" ca="1" si="0"/>
        <v>2023</v>
      </c>
      <c r="G262" s="1" t="str">
        <f ca="1">IFERROR(__xludf.DUMMYFUNCTION("""COMPUTED_VALUE"""),"Lasalle Stompers")</f>
        <v>Lasalle Stompers</v>
      </c>
      <c r="H262" s="26">
        <f t="shared" ca="1" si="1"/>
        <v>35</v>
      </c>
      <c r="I262" s="26">
        <f t="shared" ca="1" si="2"/>
        <v>1</v>
      </c>
      <c r="J262" s="86">
        <f t="shared" ca="1" si="3"/>
        <v>45153</v>
      </c>
      <c r="R262" s="26"/>
    </row>
    <row r="263" spans="1:18" ht="15.75" customHeight="1">
      <c r="A263" s="26">
        <f ca="1">IFERROR(__xludf.DUMMYFUNCTION("""COMPUTED_VALUE"""),19572)</f>
        <v>19572</v>
      </c>
      <c r="B263" s="86">
        <f ca="1">IFERROR(__xludf.DUMMYFUNCTION("""COMPUTED_VALUE"""),45153.4946875)</f>
        <v>45153.494687500002</v>
      </c>
      <c r="C263" s="1" t="str">
        <f ca="1">IFERROR(__xludf.DUMMYFUNCTION("""COMPUTED_VALUE"""),"completed")</f>
        <v>completed</v>
      </c>
      <c r="D263" s="26">
        <f ca="1">IFERROR(__xludf.DUMMYFUNCTION("""COMPUTED_VALUE"""),25)</f>
        <v>25</v>
      </c>
      <c r="E263" s="1" t="str">
        <f ca="1">IFERROR(__xludf.DUMMYFUNCTION("""COMPUTED_VALUE"""),"Lasalle Stompers")</f>
        <v>Lasalle Stompers</v>
      </c>
      <c r="F263" s="87" t="str">
        <f t="shared" ca="1" si="0"/>
        <v>2023</v>
      </c>
      <c r="G263" s="1" t="str">
        <f ca="1">IFERROR(__xludf.DUMMYFUNCTION("""COMPUTED_VALUE"""),"Lasalle Stompers")</f>
        <v>Lasalle Stompers</v>
      </c>
      <c r="H263" s="26">
        <f t="shared" ca="1" si="1"/>
        <v>25</v>
      </c>
      <c r="I263" s="26">
        <f t="shared" ca="1" si="2"/>
        <v>1</v>
      </c>
      <c r="J263" s="86">
        <f t="shared" ca="1" si="3"/>
        <v>45153</v>
      </c>
      <c r="R263" s="26"/>
    </row>
    <row r="264" spans="1:18" ht="15.75" customHeight="1">
      <c r="A264" s="26">
        <f ca="1">IFERROR(__xludf.DUMMYFUNCTION("""COMPUTED_VALUE"""),19571)</f>
        <v>19571</v>
      </c>
      <c r="B264" s="86">
        <f ca="1">IFERROR(__xludf.DUMMYFUNCTION("""COMPUTED_VALUE"""),45153.1154398148)</f>
        <v>45153.115439814799</v>
      </c>
      <c r="C264" s="1" t="str">
        <f ca="1">IFERROR(__xludf.DUMMYFUNCTION("""COMPUTED_VALUE"""),"completed")</f>
        <v>completed</v>
      </c>
      <c r="D264" s="26">
        <f ca="1">IFERROR(__xludf.DUMMYFUNCTION("""COMPUTED_VALUE"""),35)</f>
        <v>35</v>
      </c>
      <c r="E264" s="1" t="str">
        <f ca="1">IFERROR(__xludf.DUMMYFUNCTION("""COMPUTED_VALUE"""),"Lasalle Stompers")</f>
        <v>Lasalle Stompers</v>
      </c>
      <c r="F264" s="87" t="str">
        <f t="shared" ca="1" si="0"/>
        <v>2023</v>
      </c>
      <c r="G264" s="1" t="str">
        <f ca="1">IFERROR(__xludf.DUMMYFUNCTION("""COMPUTED_VALUE"""),"Lasalle Stompers")</f>
        <v>Lasalle Stompers</v>
      </c>
      <c r="H264" s="26">
        <f t="shared" ca="1" si="1"/>
        <v>35</v>
      </c>
      <c r="I264" s="26">
        <f t="shared" ca="1" si="2"/>
        <v>1</v>
      </c>
      <c r="J264" s="86">
        <f t="shared" ca="1" si="3"/>
        <v>45153</v>
      </c>
      <c r="R264" s="26"/>
    </row>
    <row r="265" spans="1:18" ht="15.75" customHeight="1">
      <c r="A265" s="26">
        <f ca="1">IFERROR(__xludf.DUMMYFUNCTION("""COMPUTED_VALUE"""),19570)</f>
        <v>19570</v>
      </c>
      <c r="B265" s="86">
        <f ca="1">IFERROR(__xludf.DUMMYFUNCTION("""COMPUTED_VALUE"""),45153.0955902777)</f>
        <v>45153.095590277699</v>
      </c>
      <c r="C265" s="1" t="str">
        <f ca="1">IFERROR(__xludf.DUMMYFUNCTION("""COMPUTED_VALUE"""),"completed")</f>
        <v>completed</v>
      </c>
      <c r="D265" s="26">
        <f ca="1">IFERROR(__xludf.DUMMYFUNCTION("""COMPUTED_VALUE"""),45)</f>
        <v>45</v>
      </c>
      <c r="E265" s="1" t="str">
        <f ca="1">IFERROR(__xludf.DUMMYFUNCTION("""COMPUTED_VALUE"""),"Lasalle Stompers")</f>
        <v>Lasalle Stompers</v>
      </c>
      <c r="F265" s="87" t="str">
        <f t="shared" ca="1" si="0"/>
        <v>2023</v>
      </c>
      <c r="G265" s="1" t="str">
        <f ca="1">IFERROR(__xludf.DUMMYFUNCTION("""COMPUTED_VALUE"""),"Lasalle Stompers")</f>
        <v>Lasalle Stompers</v>
      </c>
      <c r="H265" s="26">
        <f t="shared" ca="1" si="1"/>
        <v>45</v>
      </c>
      <c r="I265" s="26">
        <f t="shared" ca="1" si="2"/>
        <v>1</v>
      </c>
      <c r="J265" s="86">
        <f t="shared" ca="1" si="3"/>
        <v>45153</v>
      </c>
      <c r="R265" s="26"/>
    </row>
    <row r="266" spans="1:18" ht="15.75" customHeight="1">
      <c r="A266" s="26">
        <f ca="1">IFERROR(__xludf.DUMMYFUNCTION("""COMPUTED_VALUE"""),19569)</f>
        <v>19569</v>
      </c>
      <c r="B266" s="86">
        <f ca="1">IFERROR(__xludf.DUMMYFUNCTION("""COMPUTED_VALUE"""),45152.8445833333)</f>
        <v>45152.844583333303</v>
      </c>
      <c r="C266" s="1" t="str">
        <f ca="1">IFERROR(__xludf.DUMMYFUNCTION("""COMPUTED_VALUE"""),"completed")</f>
        <v>completed</v>
      </c>
      <c r="D266" s="26">
        <f ca="1">IFERROR(__xludf.DUMMYFUNCTION("""COMPUTED_VALUE"""),28)</f>
        <v>28</v>
      </c>
      <c r="E266" s="1" t="str">
        <f ca="1">IFERROR(__xludf.DUMMYFUNCTION("""COMPUTED_VALUE"""),"Lasalle Stompers")</f>
        <v>Lasalle Stompers</v>
      </c>
      <c r="F266" s="87" t="str">
        <f t="shared" ca="1" si="0"/>
        <v>2023</v>
      </c>
      <c r="G266" s="1" t="str">
        <f ca="1">IFERROR(__xludf.DUMMYFUNCTION("""COMPUTED_VALUE"""),"Lasalle Stompers")</f>
        <v>Lasalle Stompers</v>
      </c>
      <c r="H266" s="26">
        <f t="shared" ca="1" si="1"/>
        <v>28</v>
      </c>
      <c r="I266" s="26">
        <f t="shared" ca="1" si="2"/>
        <v>1</v>
      </c>
      <c r="J266" s="86">
        <f t="shared" ca="1" si="3"/>
        <v>45152</v>
      </c>
      <c r="R266" s="26"/>
    </row>
    <row r="267" spans="1:18" ht="15.75" customHeight="1">
      <c r="A267" s="26">
        <f ca="1">IFERROR(__xludf.DUMMYFUNCTION("""COMPUTED_VALUE"""),19568)</f>
        <v>19568</v>
      </c>
      <c r="B267" s="86">
        <f ca="1">IFERROR(__xludf.DUMMYFUNCTION("""COMPUTED_VALUE"""),45152.0203587963)</f>
        <v>45152.020358796297</v>
      </c>
      <c r="C267" s="1" t="str">
        <f ca="1">IFERROR(__xludf.DUMMYFUNCTION("""COMPUTED_VALUE"""),"completed")</f>
        <v>completed</v>
      </c>
      <c r="D267" s="26">
        <f ca="1">IFERROR(__xludf.DUMMYFUNCTION("""COMPUTED_VALUE"""),25)</f>
        <v>25</v>
      </c>
      <c r="E267" s="1" t="str">
        <f ca="1">IFERROR(__xludf.DUMMYFUNCTION("""COMPUTED_VALUE"""),"Lasalle Stompers")</f>
        <v>Lasalle Stompers</v>
      </c>
      <c r="F267" s="87" t="str">
        <f t="shared" ca="1" si="0"/>
        <v>2023</v>
      </c>
      <c r="G267" s="1" t="str">
        <f ca="1">IFERROR(__xludf.DUMMYFUNCTION("""COMPUTED_VALUE"""),"Lasalle Stompers")</f>
        <v>Lasalle Stompers</v>
      </c>
      <c r="H267" s="26">
        <f t="shared" ca="1" si="1"/>
        <v>25</v>
      </c>
      <c r="I267" s="26">
        <f t="shared" ca="1" si="2"/>
        <v>1</v>
      </c>
      <c r="J267" s="86">
        <f t="shared" ca="1" si="3"/>
        <v>45152</v>
      </c>
      <c r="R267" s="26"/>
    </row>
    <row r="268" spans="1:18" ht="15.75" customHeight="1">
      <c r="A268" s="26">
        <f ca="1">IFERROR(__xludf.DUMMYFUNCTION("""COMPUTED_VALUE"""),19567)</f>
        <v>19567</v>
      </c>
      <c r="B268" s="86">
        <f ca="1">IFERROR(__xludf.DUMMYFUNCTION("""COMPUTED_VALUE"""),45151.685162037)</f>
        <v>45151.685162037</v>
      </c>
      <c r="C268" s="1" t="str">
        <f ca="1">IFERROR(__xludf.DUMMYFUNCTION("""COMPUTED_VALUE"""),"completed")</f>
        <v>completed</v>
      </c>
      <c r="D268" s="26">
        <f ca="1">IFERROR(__xludf.DUMMYFUNCTION("""COMPUTED_VALUE"""),45)</f>
        <v>45</v>
      </c>
      <c r="E268" s="1" t="str">
        <f ca="1">IFERROR(__xludf.DUMMYFUNCTION("""COMPUTED_VALUE"""),"Lasalle Stompers")</f>
        <v>Lasalle Stompers</v>
      </c>
      <c r="F268" s="87" t="str">
        <f t="shared" ca="1" si="0"/>
        <v>2023</v>
      </c>
      <c r="G268" s="1" t="str">
        <f ca="1">IFERROR(__xludf.DUMMYFUNCTION("""COMPUTED_VALUE"""),"Lasalle Stompers")</f>
        <v>Lasalle Stompers</v>
      </c>
      <c r="H268" s="26">
        <f t="shared" ca="1" si="1"/>
        <v>45</v>
      </c>
      <c r="I268" s="26">
        <f t="shared" ca="1" si="2"/>
        <v>1</v>
      </c>
      <c r="J268" s="86">
        <f t="shared" ca="1" si="3"/>
        <v>45151</v>
      </c>
      <c r="R268" s="26"/>
    </row>
    <row r="269" spans="1:18" ht="15.75" customHeight="1">
      <c r="A269" s="26">
        <f ca="1">IFERROR(__xludf.DUMMYFUNCTION("""COMPUTED_VALUE"""),19566)</f>
        <v>19566</v>
      </c>
      <c r="B269" s="86">
        <f ca="1">IFERROR(__xludf.DUMMYFUNCTION("""COMPUTED_VALUE"""),45151.6799074074)</f>
        <v>45151.679907407401</v>
      </c>
      <c r="C269" s="1" t="str">
        <f ca="1">IFERROR(__xludf.DUMMYFUNCTION("""COMPUTED_VALUE"""),"completed")</f>
        <v>completed</v>
      </c>
      <c r="D269" s="26">
        <f ca="1">IFERROR(__xludf.DUMMYFUNCTION("""COMPUTED_VALUE"""),45)</f>
        <v>45</v>
      </c>
      <c r="E269" s="1" t="str">
        <f ca="1">IFERROR(__xludf.DUMMYFUNCTION("""COMPUTED_VALUE"""),"Lasalle Stompers")</f>
        <v>Lasalle Stompers</v>
      </c>
      <c r="F269" s="87" t="str">
        <f t="shared" ca="1" si="0"/>
        <v>2023</v>
      </c>
      <c r="G269" s="1" t="str">
        <f ca="1">IFERROR(__xludf.DUMMYFUNCTION("""COMPUTED_VALUE"""),"Lasalle Stompers")</f>
        <v>Lasalle Stompers</v>
      </c>
      <c r="H269" s="26">
        <f t="shared" ca="1" si="1"/>
        <v>45</v>
      </c>
      <c r="I269" s="26">
        <f t="shared" ca="1" si="2"/>
        <v>1</v>
      </c>
      <c r="J269" s="86">
        <f t="shared" ca="1" si="3"/>
        <v>45151</v>
      </c>
      <c r="R269" s="26"/>
    </row>
    <row r="270" spans="1:18" ht="15.75" customHeight="1">
      <c r="A270" s="26">
        <f ca="1">IFERROR(__xludf.DUMMYFUNCTION("""COMPUTED_VALUE"""),19565)</f>
        <v>19565</v>
      </c>
      <c r="B270" s="86">
        <f ca="1">IFERROR(__xludf.DUMMYFUNCTION("""COMPUTED_VALUE"""),45151.5761921296)</f>
        <v>45151.5761921296</v>
      </c>
      <c r="C270" s="1" t="str">
        <f ca="1">IFERROR(__xludf.DUMMYFUNCTION("""COMPUTED_VALUE"""),"completed")</f>
        <v>completed</v>
      </c>
      <c r="D270" s="26">
        <f ca="1">IFERROR(__xludf.DUMMYFUNCTION("""COMPUTED_VALUE"""),63)</f>
        <v>63</v>
      </c>
      <c r="E270" s="1" t="str">
        <f ca="1">IFERROR(__xludf.DUMMYFUNCTION("""COMPUTED_VALUE"""),"Lasalle Stompers")</f>
        <v>Lasalle Stompers</v>
      </c>
      <c r="F270" s="87" t="str">
        <f t="shared" ca="1" si="0"/>
        <v>2023</v>
      </c>
      <c r="G270" s="1" t="str">
        <f ca="1">IFERROR(__xludf.DUMMYFUNCTION("""COMPUTED_VALUE"""),"Lasalle Stompers")</f>
        <v>Lasalle Stompers</v>
      </c>
      <c r="H270" s="26">
        <f t="shared" ca="1" si="1"/>
        <v>63</v>
      </c>
      <c r="I270" s="26">
        <f t="shared" ca="1" si="2"/>
        <v>1</v>
      </c>
      <c r="J270" s="86">
        <f t="shared" ca="1" si="3"/>
        <v>45151</v>
      </c>
      <c r="R270" s="26"/>
    </row>
    <row r="271" spans="1:18" ht="15.75" customHeight="1">
      <c r="A271" s="26">
        <f ca="1">IFERROR(__xludf.DUMMYFUNCTION("""COMPUTED_VALUE"""),19564)</f>
        <v>19564</v>
      </c>
      <c r="B271" s="86">
        <f ca="1">IFERROR(__xludf.DUMMYFUNCTION("""COMPUTED_VALUE"""),45151.5726967592)</f>
        <v>45151.572696759198</v>
      </c>
      <c r="C271" s="1" t="str">
        <f ca="1">IFERROR(__xludf.DUMMYFUNCTION("""COMPUTED_VALUE"""),"completed")</f>
        <v>completed</v>
      </c>
      <c r="D271" s="26">
        <f ca="1">IFERROR(__xludf.DUMMYFUNCTION("""COMPUTED_VALUE"""),63)</f>
        <v>63</v>
      </c>
      <c r="E271" s="1" t="str">
        <f ca="1">IFERROR(__xludf.DUMMYFUNCTION("""COMPUTED_VALUE"""),"Lasalle Stompers")</f>
        <v>Lasalle Stompers</v>
      </c>
      <c r="F271" s="87" t="str">
        <f t="shared" ca="1" si="0"/>
        <v>2023</v>
      </c>
      <c r="G271" s="1" t="str">
        <f ca="1">IFERROR(__xludf.DUMMYFUNCTION("""COMPUTED_VALUE"""),"Lasalle Stompers")</f>
        <v>Lasalle Stompers</v>
      </c>
      <c r="H271" s="26">
        <f t="shared" ca="1" si="1"/>
        <v>63</v>
      </c>
      <c r="I271" s="26">
        <f t="shared" ca="1" si="2"/>
        <v>1</v>
      </c>
      <c r="J271" s="86">
        <f t="shared" ca="1" si="3"/>
        <v>45151</v>
      </c>
      <c r="R271" s="26"/>
    </row>
    <row r="272" spans="1:18" ht="15.75" customHeight="1">
      <c r="A272" s="26">
        <f ca="1">IFERROR(__xludf.DUMMYFUNCTION("""COMPUTED_VALUE"""),19563)</f>
        <v>19563</v>
      </c>
      <c r="B272" s="86">
        <f ca="1">IFERROR(__xludf.DUMMYFUNCTION("""COMPUTED_VALUE"""),45150.9160185185)</f>
        <v>45150.916018518503</v>
      </c>
      <c r="C272" s="1" t="str">
        <f ca="1">IFERROR(__xludf.DUMMYFUNCTION("""COMPUTED_VALUE"""),"completed")</f>
        <v>completed</v>
      </c>
      <c r="D272" s="26">
        <f ca="1">IFERROR(__xludf.DUMMYFUNCTION("""COMPUTED_VALUE"""),25)</f>
        <v>25</v>
      </c>
      <c r="E272" s="1" t="str">
        <f ca="1">IFERROR(__xludf.DUMMYFUNCTION("""COMPUTED_VALUE"""),"Lasalle Stompers")</f>
        <v>Lasalle Stompers</v>
      </c>
      <c r="F272" s="87" t="str">
        <f t="shared" ca="1" si="0"/>
        <v>2023</v>
      </c>
      <c r="G272" s="1" t="str">
        <f ca="1">IFERROR(__xludf.DUMMYFUNCTION("""COMPUTED_VALUE"""),"Lasalle Stompers")</f>
        <v>Lasalle Stompers</v>
      </c>
      <c r="H272" s="26">
        <f t="shared" ca="1" si="1"/>
        <v>25</v>
      </c>
      <c r="I272" s="26">
        <f t="shared" ca="1" si="2"/>
        <v>1</v>
      </c>
      <c r="J272" s="86">
        <f t="shared" ca="1" si="3"/>
        <v>45150</v>
      </c>
      <c r="R272" s="26"/>
    </row>
    <row r="273" spans="1:18" ht="15.75" customHeight="1">
      <c r="A273" s="26">
        <f ca="1">IFERROR(__xludf.DUMMYFUNCTION("""COMPUTED_VALUE"""),19562)</f>
        <v>19562</v>
      </c>
      <c r="B273" s="86">
        <f ca="1">IFERROR(__xludf.DUMMYFUNCTION("""COMPUTED_VALUE"""),45150.6668055555)</f>
        <v>45150.666805555498</v>
      </c>
      <c r="C273" s="1" t="str">
        <f ca="1">IFERROR(__xludf.DUMMYFUNCTION("""COMPUTED_VALUE"""),"completed")</f>
        <v>completed</v>
      </c>
      <c r="D273" s="26">
        <f ca="1">IFERROR(__xludf.DUMMYFUNCTION("""COMPUTED_VALUE"""),132)</f>
        <v>132</v>
      </c>
      <c r="E273" s="1" t="str">
        <f ca="1">IFERROR(__xludf.DUMMYFUNCTION("""COMPUTED_VALUE"""),"Lasalle Stompers")</f>
        <v>Lasalle Stompers</v>
      </c>
      <c r="F273" s="87" t="str">
        <f t="shared" ca="1" si="0"/>
        <v>2023</v>
      </c>
      <c r="G273" s="1" t="str">
        <f ca="1">IFERROR(__xludf.DUMMYFUNCTION("""COMPUTED_VALUE"""),"Lasalle Stompers")</f>
        <v>Lasalle Stompers</v>
      </c>
      <c r="H273" s="26">
        <f t="shared" ca="1" si="1"/>
        <v>132</v>
      </c>
      <c r="I273" s="26">
        <f t="shared" ca="1" si="2"/>
        <v>1</v>
      </c>
      <c r="J273" s="86">
        <f t="shared" ca="1" si="3"/>
        <v>45150</v>
      </c>
      <c r="R273" s="26"/>
    </row>
    <row r="274" spans="1:18" ht="15.75" customHeight="1">
      <c r="A274" s="26">
        <f ca="1">IFERROR(__xludf.DUMMYFUNCTION("""COMPUTED_VALUE"""),19561)</f>
        <v>19561</v>
      </c>
      <c r="B274" s="86">
        <f ca="1">IFERROR(__xludf.DUMMYFUNCTION("""COMPUTED_VALUE"""),45150.1206249999)</f>
        <v>45150.120624999901</v>
      </c>
      <c r="C274" s="1" t="str">
        <f ca="1">IFERROR(__xludf.DUMMYFUNCTION("""COMPUTED_VALUE"""),"completed")</f>
        <v>completed</v>
      </c>
      <c r="D274" s="26">
        <f ca="1">IFERROR(__xludf.DUMMYFUNCTION("""COMPUTED_VALUE"""),20)</f>
        <v>20</v>
      </c>
      <c r="E274" s="1" t="str">
        <f ca="1">IFERROR(__xludf.DUMMYFUNCTION("""COMPUTED_VALUE"""),"Lasalle Stompers")</f>
        <v>Lasalle Stompers</v>
      </c>
      <c r="F274" s="87" t="str">
        <f t="shared" ca="1" si="0"/>
        <v>2023</v>
      </c>
      <c r="G274" s="1" t="str">
        <f ca="1">IFERROR(__xludf.DUMMYFUNCTION("""COMPUTED_VALUE"""),"Lasalle Stompers")</f>
        <v>Lasalle Stompers</v>
      </c>
      <c r="H274" s="26">
        <f t="shared" ca="1" si="1"/>
        <v>20</v>
      </c>
      <c r="I274" s="26">
        <f t="shared" ca="1" si="2"/>
        <v>1</v>
      </c>
      <c r="J274" s="86">
        <f t="shared" ca="1" si="3"/>
        <v>45150</v>
      </c>
      <c r="R274" s="26"/>
    </row>
    <row r="275" spans="1:18" ht="15.75" customHeight="1">
      <c r="A275" s="26">
        <f ca="1">IFERROR(__xludf.DUMMYFUNCTION("""COMPUTED_VALUE"""),19560)</f>
        <v>19560</v>
      </c>
      <c r="B275" s="86">
        <f ca="1">IFERROR(__xludf.DUMMYFUNCTION("""COMPUTED_VALUE"""),45150.1176041666)</f>
        <v>45150.117604166597</v>
      </c>
      <c r="C275" s="1" t="str">
        <f ca="1">IFERROR(__xludf.DUMMYFUNCTION("""COMPUTED_VALUE"""),"draftpics-created")</f>
        <v>draftpics-created</v>
      </c>
      <c r="D275" s="26">
        <f ca="1">IFERROR(__xludf.DUMMYFUNCTION("""COMPUTED_VALUE"""),20)</f>
        <v>20</v>
      </c>
      <c r="E275" s="1" t="str">
        <f ca="1">IFERROR(__xludf.DUMMYFUNCTION("""COMPUTED_VALUE"""),"Lasalle Stompers")</f>
        <v>Lasalle Stompers</v>
      </c>
      <c r="F275" s="87" t="str">
        <f t="shared" ca="1" si="0"/>
        <v>2023</v>
      </c>
      <c r="G275" s="1" t="str">
        <f ca="1">IFERROR(__xludf.DUMMYFUNCTION("""COMPUTED_VALUE"""),"Lasalle Stompers")</f>
        <v>Lasalle Stompers</v>
      </c>
      <c r="H275" s="26">
        <f t="shared" ca="1" si="1"/>
        <v>20</v>
      </c>
      <c r="I275" s="26">
        <f t="shared" ca="1" si="2"/>
        <v>1</v>
      </c>
      <c r="J275" s="86">
        <f t="shared" ca="1" si="3"/>
        <v>45150</v>
      </c>
      <c r="R275" s="26"/>
    </row>
    <row r="276" spans="1:18" ht="15.75" customHeight="1">
      <c r="A276" s="26">
        <f ca="1">IFERROR(__xludf.DUMMYFUNCTION("""COMPUTED_VALUE"""),19559)</f>
        <v>19559</v>
      </c>
      <c r="B276" s="86">
        <f ca="1">IFERROR(__xludf.DUMMYFUNCTION("""COMPUTED_VALUE"""),45149.9444560185)</f>
        <v>45149.9444560185</v>
      </c>
      <c r="C276" s="1" t="str">
        <f ca="1">IFERROR(__xludf.DUMMYFUNCTION("""COMPUTED_VALUE"""),"completed")</f>
        <v>completed</v>
      </c>
      <c r="D276" s="26">
        <f ca="1">IFERROR(__xludf.DUMMYFUNCTION("""COMPUTED_VALUE"""),20)</f>
        <v>20</v>
      </c>
      <c r="E276" s="1" t="str">
        <f ca="1">IFERROR(__xludf.DUMMYFUNCTION("""COMPUTED_VALUE"""),"Lasalle Stompers")</f>
        <v>Lasalle Stompers</v>
      </c>
      <c r="F276" s="87" t="str">
        <f t="shared" ca="1" si="0"/>
        <v>2023</v>
      </c>
      <c r="G276" s="1" t="str">
        <f ca="1">IFERROR(__xludf.DUMMYFUNCTION("""COMPUTED_VALUE"""),"Lasalle Stompers")</f>
        <v>Lasalle Stompers</v>
      </c>
      <c r="H276" s="26">
        <f t="shared" ca="1" si="1"/>
        <v>20</v>
      </c>
      <c r="I276" s="26">
        <f t="shared" ca="1" si="2"/>
        <v>1</v>
      </c>
      <c r="J276" s="86">
        <f t="shared" ca="1" si="3"/>
        <v>45149</v>
      </c>
      <c r="R276" s="26"/>
    </row>
    <row r="277" spans="1:18" ht="15.75" customHeight="1">
      <c r="A277" s="26">
        <f ca="1">IFERROR(__xludf.DUMMYFUNCTION("""COMPUTED_VALUE"""),19558)</f>
        <v>19558</v>
      </c>
      <c r="B277" s="86">
        <f ca="1">IFERROR(__xludf.DUMMYFUNCTION("""COMPUTED_VALUE"""),45149.9417476851)</f>
        <v>45149.941747685101</v>
      </c>
      <c r="C277" s="1" t="str">
        <f ca="1">IFERROR(__xludf.DUMMYFUNCTION("""COMPUTED_VALUE"""),"completed")</f>
        <v>completed</v>
      </c>
      <c r="D277" s="26">
        <f ca="1">IFERROR(__xludf.DUMMYFUNCTION("""COMPUTED_VALUE"""),35)</f>
        <v>35</v>
      </c>
      <c r="E277" s="1" t="str">
        <f ca="1">IFERROR(__xludf.DUMMYFUNCTION("""COMPUTED_VALUE"""),"Lasalle Stompers")</f>
        <v>Lasalle Stompers</v>
      </c>
      <c r="F277" s="87" t="str">
        <f t="shared" ca="1" si="0"/>
        <v>2023</v>
      </c>
      <c r="G277" s="1" t="str">
        <f ca="1">IFERROR(__xludf.DUMMYFUNCTION("""COMPUTED_VALUE"""),"Lasalle Stompers")</f>
        <v>Lasalle Stompers</v>
      </c>
      <c r="H277" s="26">
        <f t="shared" ca="1" si="1"/>
        <v>35</v>
      </c>
      <c r="I277" s="26">
        <f t="shared" ca="1" si="2"/>
        <v>1</v>
      </c>
      <c r="J277" s="86">
        <f t="shared" ca="1" si="3"/>
        <v>45149</v>
      </c>
      <c r="R277" s="26"/>
    </row>
    <row r="278" spans="1:18" ht="15.75" customHeight="1">
      <c r="A278" s="26">
        <f ca="1">IFERROR(__xludf.DUMMYFUNCTION("""COMPUTED_VALUE"""),19551)</f>
        <v>19551</v>
      </c>
      <c r="B278" s="86">
        <f ca="1">IFERROR(__xludf.DUMMYFUNCTION("""COMPUTED_VALUE"""),45149.6664467592)</f>
        <v>45149.666446759198</v>
      </c>
      <c r="C278" s="1" t="str">
        <f ca="1">IFERROR(__xludf.DUMMYFUNCTION("""COMPUTED_VALUE"""),"completed")</f>
        <v>completed</v>
      </c>
      <c r="D278" s="26">
        <f ca="1">IFERROR(__xludf.DUMMYFUNCTION("""COMPUTED_VALUE"""),35)</f>
        <v>35</v>
      </c>
      <c r="E278" s="1" t="str">
        <f ca="1">IFERROR(__xludf.DUMMYFUNCTION("""COMPUTED_VALUE"""),"Lasalle Stompers")</f>
        <v>Lasalle Stompers</v>
      </c>
      <c r="F278" s="87" t="str">
        <f t="shared" ca="1" si="0"/>
        <v>2023</v>
      </c>
      <c r="G278" s="1" t="str">
        <f ca="1">IFERROR(__xludf.DUMMYFUNCTION("""COMPUTED_VALUE"""),"Lasalle Stompers")</f>
        <v>Lasalle Stompers</v>
      </c>
      <c r="H278" s="26">
        <f t="shared" ca="1" si="1"/>
        <v>35</v>
      </c>
      <c r="I278" s="26">
        <f t="shared" ca="1" si="2"/>
        <v>1</v>
      </c>
      <c r="J278" s="86">
        <f t="shared" ca="1" si="3"/>
        <v>45149</v>
      </c>
      <c r="R278" s="26"/>
    </row>
    <row r="279" spans="1:18" ht="15.75" customHeight="1">
      <c r="A279" s="26">
        <f ca="1">IFERROR(__xludf.DUMMYFUNCTION("""COMPUTED_VALUE"""),19548)</f>
        <v>19548</v>
      </c>
      <c r="B279" s="86">
        <f ca="1">IFERROR(__xludf.DUMMYFUNCTION("""COMPUTED_VALUE"""),45148.8042013888)</f>
        <v>45148.804201388797</v>
      </c>
      <c r="C279" s="1" t="str">
        <f ca="1">IFERROR(__xludf.DUMMYFUNCTION("""COMPUTED_VALUE"""),"completed")</f>
        <v>completed</v>
      </c>
      <c r="D279" s="26">
        <f ca="1">IFERROR(__xludf.DUMMYFUNCTION("""COMPUTED_VALUE"""),28)</f>
        <v>28</v>
      </c>
      <c r="E279" s="1" t="str">
        <f ca="1">IFERROR(__xludf.DUMMYFUNCTION("""COMPUTED_VALUE"""),"Lasalle Stompers")</f>
        <v>Lasalle Stompers</v>
      </c>
      <c r="F279" s="87" t="str">
        <f t="shared" ca="1" si="0"/>
        <v>2023</v>
      </c>
      <c r="G279" s="1" t="str">
        <f ca="1">IFERROR(__xludf.DUMMYFUNCTION("""COMPUTED_VALUE"""),"Kingsville Soccer Association")</f>
        <v>Kingsville Soccer Association</v>
      </c>
      <c r="H279" s="26">
        <f t="shared" ca="1" si="1"/>
        <v>28</v>
      </c>
      <c r="I279" s="26">
        <f t="shared" ca="1" si="2"/>
        <v>1</v>
      </c>
      <c r="J279" s="86">
        <f t="shared" ca="1" si="3"/>
        <v>45148</v>
      </c>
      <c r="R279" s="26"/>
    </row>
    <row r="280" spans="1:18" ht="15.75" customHeight="1">
      <c r="A280" s="26">
        <f ca="1">IFERROR(__xludf.DUMMYFUNCTION("""COMPUTED_VALUE"""),19547)</f>
        <v>19547</v>
      </c>
      <c r="B280" s="86">
        <f ca="1">IFERROR(__xludf.DUMMYFUNCTION("""COMPUTED_VALUE"""),45148.1153935185)</f>
        <v>45148.115393518499</v>
      </c>
      <c r="C280" s="1" t="str">
        <f ca="1">IFERROR(__xludf.DUMMYFUNCTION("""COMPUTED_VALUE"""),"completed")</f>
        <v>completed</v>
      </c>
      <c r="D280" s="26">
        <f ca="1">IFERROR(__xludf.DUMMYFUNCTION("""COMPUTED_VALUE"""),28)</f>
        <v>28</v>
      </c>
      <c r="E280" s="1" t="str">
        <f ca="1">IFERROR(__xludf.DUMMYFUNCTION("""COMPUTED_VALUE"""),"Kingsville Soccer Association")</f>
        <v>Kingsville Soccer Association</v>
      </c>
      <c r="F280" s="87" t="str">
        <f t="shared" ca="1" si="0"/>
        <v>2023</v>
      </c>
      <c r="G280" s="1" t="str">
        <f ca="1">IFERROR(__xludf.DUMMYFUNCTION("""COMPUTED_VALUE"""),"Lasalle Stompers")</f>
        <v>Lasalle Stompers</v>
      </c>
      <c r="H280" s="26">
        <f t="shared" ca="1" si="1"/>
        <v>28</v>
      </c>
      <c r="I280" s="26">
        <f t="shared" ca="1" si="2"/>
        <v>1</v>
      </c>
      <c r="J280" s="86">
        <f t="shared" ca="1" si="3"/>
        <v>45148</v>
      </c>
      <c r="R280" s="26"/>
    </row>
    <row r="281" spans="1:18" ht="15.75" customHeight="1">
      <c r="A281" s="26">
        <f ca="1">IFERROR(__xludf.DUMMYFUNCTION("""COMPUTED_VALUE"""),19546)</f>
        <v>19546</v>
      </c>
      <c r="B281" s="86">
        <f ca="1">IFERROR(__xludf.DUMMYFUNCTION("""COMPUTED_VALUE"""),45148.0195833333)</f>
        <v>45148.019583333298</v>
      </c>
      <c r="C281" s="1" t="str">
        <f ca="1">IFERROR(__xludf.DUMMYFUNCTION("""COMPUTED_VALUE"""),"completed")</f>
        <v>completed</v>
      </c>
      <c r="D281" s="26">
        <f ca="1">IFERROR(__xludf.DUMMYFUNCTION("""COMPUTED_VALUE"""),20)</f>
        <v>20</v>
      </c>
      <c r="E281" s="1" t="str">
        <f ca="1">IFERROR(__xludf.DUMMYFUNCTION("""COMPUTED_VALUE"""),"Lasalle Stompers")</f>
        <v>Lasalle Stompers</v>
      </c>
      <c r="F281" s="87" t="str">
        <f t="shared" ca="1" si="0"/>
        <v>2023</v>
      </c>
      <c r="G281" s="1" t="str">
        <f ca="1">IFERROR(__xludf.DUMMYFUNCTION("""COMPUTED_VALUE"""),"Lasalle Stompers")</f>
        <v>Lasalle Stompers</v>
      </c>
      <c r="H281" s="26">
        <f t="shared" ca="1" si="1"/>
        <v>20</v>
      </c>
      <c r="I281" s="26">
        <f t="shared" ca="1" si="2"/>
        <v>1</v>
      </c>
      <c r="J281" s="86">
        <f t="shared" ca="1" si="3"/>
        <v>45148</v>
      </c>
      <c r="R281" s="26"/>
    </row>
    <row r="282" spans="1:18" ht="15.75" customHeight="1">
      <c r="A282" s="26">
        <f ca="1">IFERROR(__xludf.DUMMYFUNCTION("""COMPUTED_VALUE"""),19545)</f>
        <v>19545</v>
      </c>
      <c r="B282" s="86">
        <f ca="1">IFERROR(__xludf.DUMMYFUNCTION("""COMPUTED_VALUE"""),45147.9532638888)</f>
        <v>45147.953263888798</v>
      </c>
      <c r="C282" s="1" t="str">
        <f ca="1">IFERROR(__xludf.DUMMYFUNCTION("""COMPUTED_VALUE"""),"completed")</f>
        <v>completed</v>
      </c>
      <c r="D282" s="26">
        <f ca="1">IFERROR(__xludf.DUMMYFUNCTION("""COMPUTED_VALUE"""),25)</f>
        <v>25</v>
      </c>
      <c r="E282" s="1" t="str">
        <f ca="1">IFERROR(__xludf.DUMMYFUNCTION("""COMPUTED_VALUE"""),"Lasalle Stompers")</f>
        <v>Lasalle Stompers</v>
      </c>
      <c r="F282" s="87" t="str">
        <f t="shared" ca="1" si="0"/>
        <v>2023</v>
      </c>
      <c r="G282" s="1" t="str">
        <f ca="1">IFERROR(__xludf.DUMMYFUNCTION("""COMPUTED_VALUE"""),"Lasalle Stompers")</f>
        <v>Lasalle Stompers</v>
      </c>
      <c r="H282" s="26">
        <f t="shared" ca="1" si="1"/>
        <v>25</v>
      </c>
      <c r="I282" s="26">
        <f t="shared" ca="1" si="2"/>
        <v>1</v>
      </c>
      <c r="J282" s="86">
        <f t="shared" ca="1" si="3"/>
        <v>45147</v>
      </c>
      <c r="R282" s="26"/>
    </row>
    <row r="283" spans="1:18" ht="15.75" customHeight="1">
      <c r="A283" s="26">
        <f ca="1">IFERROR(__xludf.DUMMYFUNCTION("""COMPUTED_VALUE"""),19544)</f>
        <v>19544</v>
      </c>
      <c r="B283" s="86">
        <f ca="1">IFERROR(__xludf.DUMMYFUNCTION("""COMPUTED_VALUE"""),45147.9321527777)</f>
        <v>45147.932152777699</v>
      </c>
      <c r="C283" s="1" t="str">
        <f ca="1">IFERROR(__xludf.DUMMYFUNCTION("""COMPUTED_VALUE"""),"completed")</f>
        <v>completed</v>
      </c>
      <c r="D283" s="26">
        <f ca="1">IFERROR(__xludf.DUMMYFUNCTION("""COMPUTED_VALUE"""),45)</f>
        <v>45</v>
      </c>
      <c r="E283" s="1" t="str">
        <f ca="1">IFERROR(__xludf.DUMMYFUNCTION("""COMPUTED_VALUE"""),"Lasalle Stompers")</f>
        <v>Lasalle Stompers</v>
      </c>
      <c r="F283" s="87" t="str">
        <f t="shared" ca="1" si="0"/>
        <v>2023</v>
      </c>
      <c r="G283" s="1" t="str">
        <f ca="1">IFERROR(__xludf.DUMMYFUNCTION("""COMPUTED_VALUE"""),"Lasalle Stompers")</f>
        <v>Lasalle Stompers</v>
      </c>
      <c r="H283" s="26">
        <f t="shared" ca="1" si="1"/>
        <v>45</v>
      </c>
      <c r="I283" s="26">
        <f t="shared" ca="1" si="2"/>
        <v>1</v>
      </c>
      <c r="J283" s="86">
        <f t="shared" ca="1" si="3"/>
        <v>45147</v>
      </c>
      <c r="R283" s="26"/>
    </row>
    <row r="284" spans="1:18" ht="15.75" customHeight="1">
      <c r="A284" s="26">
        <f ca="1">IFERROR(__xludf.DUMMYFUNCTION("""COMPUTED_VALUE"""),19543)</f>
        <v>19543</v>
      </c>
      <c r="B284" s="86">
        <f ca="1">IFERROR(__xludf.DUMMYFUNCTION("""COMPUTED_VALUE"""),45147.6094675925)</f>
        <v>45147.609467592498</v>
      </c>
      <c r="C284" s="1" t="str">
        <f ca="1">IFERROR(__xludf.DUMMYFUNCTION("""COMPUTED_VALUE"""),"completed")</f>
        <v>completed</v>
      </c>
      <c r="D284" s="26">
        <f ca="1">IFERROR(__xludf.DUMMYFUNCTION("""COMPUTED_VALUE"""),30)</f>
        <v>30</v>
      </c>
      <c r="E284" s="1" t="str">
        <f ca="1">IFERROR(__xludf.DUMMYFUNCTION("""COMPUTED_VALUE"""),"Lasalle Stompers")</f>
        <v>Lasalle Stompers</v>
      </c>
      <c r="F284" s="87" t="str">
        <f t="shared" ca="1" si="0"/>
        <v>2023</v>
      </c>
      <c r="G284" s="1" t="str">
        <f ca="1">IFERROR(__xludf.DUMMYFUNCTION("""COMPUTED_VALUE"""),"Lasalle Stompers")</f>
        <v>Lasalle Stompers</v>
      </c>
      <c r="H284" s="26">
        <f t="shared" ca="1" si="1"/>
        <v>30</v>
      </c>
      <c r="I284" s="26">
        <f t="shared" ca="1" si="2"/>
        <v>1</v>
      </c>
      <c r="J284" s="86">
        <f t="shared" ca="1" si="3"/>
        <v>45147</v>
      </c>
      <c r="R284" s="26"/>
    </row>
    <row r="285" spans="1:18" ht="15.75" customHeight="1">
      <c r="A285" s="26">
        <f ca="1">IFERROR(__xludf.DUMMYFUNCTION("""COMPUTED_VALUE"""),19542)</f>
        <v>19542</v>
      </c>
      <c r="B285" s="86">
        <f ca="1">IFERROR(__xludf.DUMMYFUNCTION("""COMPUTED_VALUE"""),45147.6078587963)</f>
        <v>45147.607858796298</v>
      </c>
      <c r="C285" s="1" t="str">
        <f ca="1">IFERROR(__xludf.DUMMYFUNCTION("""COMPUTED_VALUE"""),"completed")</f>
        <v>completed</v>
      </c>
      <c r="D285" s="26">
        <f ca="1">IFERROR(__xludf.DUMMYFUNCTION("""COMPUTED_VALUE"""),30)</f>
        <v>30</v>
      </c>
      <c r="E285" s="1" t="str">
        <f ca="1">IFERROR(__xludf.DUMMYFUNCTION("""COMPUTED_VALUE"""),"Lasalle Stompers")</f>
        <v>Lasalle Stompers</v>
      </c>
      <c r="F285" s="87" t="str">
        <f t="shared" ca="1" si="0"/>
        <v>2023</v>
      </c>
      <c r="G285" s="1" t="str">
        <f ca="1">IFERROR(__xludf.DUMMYFUNCTION("""COMPUTED_VALUE"""),"Lasalle Stompers")</f>
        <v>Lasalle Stompers</v>
      </c>
      <c r="H285" s="26">
        <f t="shared" ca="1" si="1"/>
        <v>30</v>
      </c>
      <c r="I285" s="26">
        <f t="shared" ca="1" si="2"/>
        <v>1</v>
      </c>
      <c r="J285" s="86">
        <f t="shared" ca="1" si="3"/>
        <v>45147</v>
      </c>
      <c r="R285" s="26"/>
    </row>
    <row r="286" spans="1:18" ht="15.75" customHeight="1">
      <c r="A286" s="26">
        <f ca="1">IFERROR(__xludf.DUMMYFUNCTION("""COMPUTED_VALUE"""),19541)</f>
        <v>19541</v>
      </c>
      <c r="B286" s="86">
        <f ca="1">IFERROR(__xludf.DUMMYFUNCTION("""COMPUTED_VALUE"""),45146.7069212962)</f>
        <v>45146.706921296201</v>
      </c>
      <c r="C286" s="1" t="str">
        <f ca="1">IFERROR(__xludf.DUMMYFUNCTION("""COMPUTED_VALUE"""),"draftpics-created")</f>
        <v>draftpics-created</v>
      </c>
      <c r="D286" s="26">
        <f ca="1">IFERROR(__xludf.DUMMYFUNCTION("""COMPUTED_VALUE"""),20)</f>
        <v>20</v>
      </c>
      <c r="E286" s="1" t="str">
        <f ca="1">IFERROR(__xludf.DUMMYFUNCTION("""COMPUTED_VALUE"""),"Lasalle Stompers")</f>
        <v>Lasalle Stompers</v>
      </c>
      <c r="F286" s="87" t="str">
        <f t="shared" ca="1" si="0"/>
        <v>2023</v>
      </c>
      <c r="G286" s="1" t="str">
        <f ca="1">IFERROR(__xludf.DUMMYFUNCTION("""COMPUTED_VALUE"""),"Lasalle Stompers")</f>
        <v>Lasalle Stompers</v>
      </c>
      <c r="H286" s="26">
        <f t="shared" ca="1" si="1"/>
        <v>20</v>
      </c>
      <c r="I286" s="26">
        <f t="shared" ca="1" si="2"/>
        <v>1</v>
      </c>
      <c r="J286" s="86">
        <f t="shared" ca="1" si="3"/>
        <v>45146</v>
      </c>
      <c r="R286" s="26"/>
    </row>
    <row r="287" spans="1:18" ht="15.75" customHeight="1">
      <c r="A287" s="26">
        <f ca="1">IFERROR(__xludf.DUMMYFUNCTION("""COMPUTED_VALUE"""),19540)</f>
        <v>19540</v>
      </c>
      <c r="B287" s="86">
        <f ca="1">IFERROR(__xludf.DUMMYFUNCTION("""COMPUTED_VALUE"""),45146.168599537)</f>
        <v>45146.168599536999</v>
      </c>
      <c r="C287" s="1" t="str">
        <f ca="1">IFERROR(__xludf.DUMMYFUNCTION("""COMPUTED_VALUE"""),"completed")</f>
        <v>completed</v>
      </c>
      <c r="D287" s="26">
        <f ca="1">IFERROR(__xludf.DUMMYFUNCTION("""COMPUTED_VALUE"""),35)</f>
        <v>35</v>
      </c>
      <c r="E287" s="1" t="str">
        <f ca="1">IFERROR(__xludf.DUMMYFUNCTION("""COMPUTED_VALUE"""),"Lasalle Stompers")</f>
        <v>Lasalle Stompers</v>
      </c>
      <c r="F287" s="87" t="str">
        <f t="shared" ca="1" si="0"/>
        <v>2023</v>
      </c>
      <c r="G287" s="1" t="str">
        <f ca="1">IFERROR(__xludf.DUMMYFUNCTION("""COMPUTED_VALUE"""),"Lasalle Stompers")</f>
        <v>Lasalle Stompers</v>
      </c>
      <c r="H287" s="26">
        <f t="shared" ca="1" si="1"/>
        <v>35</v>
      </c>
      <c r="I287" s="26">
        <f t="shared" ca="1" si="2"/>
        <v>1</v>
      </c>
      <c r="J287" s="86">
        <f t="shared" ca="1" si="3"/>
        <v>45146</v>
      </c>
      <c r="R287" s="26"/>
    </row>
    <row r="288" spans="1:18" ht="15.75" customHeight="1">
      <c r="A288" s="26">
        <f ca="1">IFERROR(__xludf.DUMMYFUNCTION("""COMPUTED_VALUE"""),19539)</f>
        <v>19539</v>
      </c>
      <c r="B288" s="86">
        <f ca="1">IFERROR(__xludf.DUMMYFUNCTION("""COMPUTED_VALUE"""),45146.1668634259)</f>
        <v>45146.166863425897</v>
      </c>
      <c r="C288" s="1" t="str">
        <f ca="1">IFERROR(__xludf.DUMMYFUNCTION("""COMPUTED_VALUE"""),"completed")</f>
        <v>completed</v>
      </c>
      <c r="D288" s="26">
        <f ca="1">IFERROR(__xludf.DUMMYFUNCTION("""COMPUTED_VALUE"""),55)</f>
        <v>55</v>
      </c>
      <c r="E288" s="1" t="str">
        <f ca="1">IFERROR(__xludf.DUMMYFUNCTION("""COMPUTED_VALUE"""),"Lasalle Stompers")</f>
        <v>Lasalle Stompers</v>
      </c>
      <c r="F288" s="87" t="str">
        <f t="shared" ca="1" si="0"/>
        <v>2023</v>
      </c>
      <c r="G288" s="1" t="str">
        <f ca="1">IFERROR(__xludf.DUMMYFUNCTION("""COMPUTED_VALUE"""),"Lasalle Stompers")</f>
        <v>Lasalle Stompers</v>
      </c>
      <c r="H288" s="26">
        <f t="shared" ca="1" si="1"/>
        <v>55</v>
      </c>
      <c r="I288" s="26">
        <f t="shared" ca="1" si="2"/>
        <v>1</v>
      </c>
      <c r="J288" s="86">
        <f t="shared" ca="1" si="3"/>
        <v>45146</v>
      </c>
      <c r="R288" s="26"/>
    </row>
    <row r="289" spans="1:18" ht="15.75" customHeight="1">
      <c r="A289" s="26">
        <f ca="1">IFERROR(__xludf.DUMMYFUNCTION("""COMPUTED_VALUE"""),19536)</f>
        <v>19536</v>
      </c>
      <c r="B289" s="86">
        <f ca="1">IFERROR(__xludf.DUMMYFUNCTION("""COMPUTED_VALUE"""),45144.5427199074)</f>
        <v>45144.542719907397</v>
      </c>
      <c r="C289" s="1" t="str">
        <f ca="1">IFERROR(__xludf.DUMMYFUNCTION("""COMPUTED_VALUE"""),"completed")</f>
        <v>completed</v>
      </c>
      <c r="D289" s="26">
        <f ca="1">IFERROR(__xludf.DUMMYFUNCTION("""COMPUTED_VALUE"""),25)</f>
        <v>25</v>
      </c>
      <c r="E289" s="1" t="str">
        <f ca="1">IFERROR(__xludf.DUMMYFUNCTION("""COMPUTED_VALUE"""),"Lasalle Stompers")</f>
        <v>Lasalle Stompers</v>
      </c>
      <c r="F289" s="87" t="str">
        <f t="shared" ca="1" si="0"/>
        <v>2023</v>
      </c>
      <c r="G289" s="1" t="str">
        <f ca="1">IFERROR(__xludf.DUMMYFUNCTION("""COMPUTED_VALUE"""),"Lasalle Stompers")</f>
        <v>Lasalle Stompers</v>
      </c>
      <c r="H289" s="26">
        <f t="shared" ca="1" si="1"/>
        <v>25</v>
      </c>
      <c r="I289" s="26">
        <f t="shared" ca="1" si="2"/>
        <v>1</v>
      </c>
      <c r="J289" s="86">
        <f t="shared" ca="1" si="3"/>
        <v>45144</v>
      </c>
      <c r="R289" s="26"/>
    </row>
    <row r="290" spans="1:18" ht="15.75" customHeight="1">
      <c r="A290" s="26">
        <f ca="1">IFERROR(__xludf.DUMMYFUNCTION("""COMPUTED_VALUE"""),19535)</f>
        <v>19535</v>
      </c>
      <c r="B290" s="86">
        <f ca="1">IFERROR(__xludf.DUMMYFUNCTION("""COMPUTED_VALUE"""),45144.1528935185)</f>
        <v>45144.152893518498</v>
      </c>
      <c r="C290" s="1" t="str">
        <f ca="1">IFERROR(__xludf.DUMMYFUNCTION("""COMPUTED_VALUE"""),"completed")</f>
        <v>completed</v>
      </c>
      <c r="D290" s="26">
        <f ca="1">IFERROR(__xludf.DUMMYFUNCTION("""COMPUTED_VALUE"""),28)</f>
        <v>28</v>
      </c>
      <c r="E290" s="1" t="str">
        <f ca="1">IFERROR(__xludf.DUMMYFUNCTION("""COMPUTED_VALUE"""),"Lasalle Stompers")</f>
        <v>Lasalle Stompers</v>
      </c>
      <c r="F290" s="87" t="str">
        <f t="shared" ca="1" si="0"/>
        <v>2023</v>
      </c>
      <c r="G290" s="1" t="str">
        <f ca="1">IFERROR(__xludf.DUMMYFUNCTION("""COMPUTED_VALUE"""),"Lasalle Stompers")</f>
        <v>Lasalle Stompers</v>
      </c>
      <c r="H290" s="26">
        <f t="shared" ca="1" si="1"/>
        <v>28</v>
      </c>
      <c r="I290" s="26">
        <f t="shared" ca="1" si="2"/>
        <v>1</v>
      </c>
      <c r="J290" s="86">
        <f t="shared" ca="1" si="3"/>
        <v>45144</v>
      </c>
      <c r="R290" s="26"/>
    </row>
    <row r="291" spans="1:18" ht="15.75" customHeight="1">
      <c r="A291" s="26">
        <f ca="1">IFERROR(__xludf.DUMMYFUNCTION("""COMPUTED_VALUE"""),19534)</f>
        <v>19534</v>
      </c>
      <c r="B291" s="86">
        <f ca="1">IFERROR(__xludf.DUMMYFUNCTION("""COMPUTED_VALUE"""),45143.0931481481)</f>
        <v>45143.093148148102</v>
      </c>
      <c r="C291" s="1" t="str">
        <f ca="1">IFERROR(__xludf.DUMMYFUNCTION("""COMPUTED_VALUE"""),"completed")</f>
        <v>completed</v>
      </c>
      <c r="D291" s="26">
        <f ca="1">IFERROR(__xludf.DUMMYFUNCTION("""COMPUTED_VALUE"""),35)</f>
        <v>35</v>
      </c>
      <c r="E291" s="1" t="str">
        <f ca="1">IFERROR(__xludf.DUMMYFUNCTION("""COMPUTED_VALUE"""),"Lasalle Stompers")</f>
        <v>Lasalle Stompers</v>
      </c>
      <c r="F291" s="87" t="str">
        <f t="shared" ca="1" si="0"/>
        <v>2023</v>
      </c>
      <c r="G291" s="1" t="str">
        <f ca="1">IFERROR(__xludf.DUMMYFUNCTION("""COMPUTED_VALUE"""),"Lasalle Stompers")</f>
        <v>Lasalle Stompers</v>
      </c>
      <c r="H291" s="26">
        <f t="shared" ca="1" si="1"/>
        <v>35</v>
      </c>
      <c r="I291" s="26">
        <f t="shared" ca="1" si="2"/>
        <v>1</v>
      </c>
      <c r="J291" s="86">
        <f t="shared" ca="1" si="3"/>
        <v>45143</v>
      </c>
      <c r="R291" s="26"/>
    </row>
    <row r="292" spans="1:18" ht="15.75" customHeight="1">
      <c r="A292" s="26">
        <f ca="1">IFERROR(__xludf.DUMMYFUNCTION("""COMPUTED_VALUE"""),19532)</f>
        <v>19532</v>
      </c>
      <c r="B292" s="86">
        <f ca="1">IFERROR(__xludf.DUMMYFUNCTION("""COMPUTED_VALUE"""),45142.9393518518)</f>
        <v>45142.939351851797</v>
      </c>
      <c r="C292" s="1" t="str">
        <f ca="1">IFERROR(__xludf.DUMMYFUNCTION("""COMPUTED_VALUE"""),"completed")</f>
        <v>completed</v>
      </c>
      <c r="D292" s="26">
        <f ca="1">IFERROR(__xludf.DUMMYFUNCTION("""COMPUTED_VALUE"""),30)</f>
        <v>30</v>
      </c>
      <c r="E292" s="1" t="str">
        <f ca="1">IFERROR(__xludf.DUMMYFUNCTION("""COMPUTED_VALUE"""),"Lasalle Stompers")</f>
        <v>Lasalle Stompers</v>
      </c>
      <c r="F292" s="87" t="str">
        <f t="shared" ca="1" si="0"/>
        <v>2023</v>
      </c>
      <c r="G292" s="1" t="str">
        <f ca="1">IFERROR(__xludf.DUMMYFUNCTION("""COMPUTED_VALUE"""),"Lasalle Stompers")</f>
        <v>Lasalle Stompers</v>
      </c>
      <c r="H292" s="26">
        <f t="shared" ca="1" si="1"/>
        <v>30</v>
      </c>
      <c r="I292" s="26">
        <f t="shared" ca="1" si="2"/>
        <v>1</v>
      </c>
      <c r="J292" s="86">
        <f t="shared" ca="1" si="3"/>
        <v>45142</v>
      </c>
      <c r="R292" s="26"/>
    </row>
    <row r="293" spans="1:18" ht="15.75" customHeight="1">
      <c r="A293" s="26">
        <f ca="1">IFERROR(__xludf.DUMMYFUNCTION("""COMPUTED_VALUE"""),19531)</f>
        <v>19531</v>
      </c>
      <c r="B293" s="86">
        <f ca="1">IFERROR(__xludf.DUMMYFUNCTION("""COMPUTED_VALUE"""),45142.765625)</f>
        <v>45142.765625</v>
      </c>
      <c r="C293" s="1" t="str">
        <f ca="1">IFERROR(__xludf.DUMMYFUNCTION("""COMPUTED_VALUE"""),"completed")</f>
        <v>completed</v>
      </c>
      <c r="D293" s="26">
        <f ca="1">IFERROR(__xludf.DUMMYFUNCTION("""COMPUTED_VALUE"""),25)</f>
        <v>25</v>
      </c>
      <c r="E293" s="1" t="str">
        <f ca="1">IFERROR(__xludf.DUMMYFUNCTION("""COMPUTED_VALUE"""),"Lasalle Stompers")</f>
        <v>Lasalle Stompers</v>
      </c>
      <c r="F293" s="87" t="str">
        <f t="shared" ca="1" si="0"/>
        <v>2023</v>
      </c>
      <c r="G293" s="1" t="str">
        <f ca="1">IFERROR(__xludf.DUMMYFUNCTION("""COMPUTED_VALUE"""),"Lasalle Stompers")</f>
        <v>Lasalle Stompers</v>
      </c>
      <c r="H293" s="26">
        <f t="shared" ca="1" si="1"/>
        <v>25</v>
      </c>
      <c r="I293" s="26">
        <f t="shared" ca="1" si="2"/>
        <v>1</v>
      </c>
      <c r="J293" s="86">
        <f t="shared" ca="1" si="3"/>
        <v>45142</v>
      </c>
      <c r="R293" s="26"/>
    </row>
    <row r="294" spans="1:18" ht="15.75" customHeight="1">
      <c r="A294" s="26">
        <f ca="1">IFERROR(__xludf.DUMMYFUNCTION("""COMPUTED_VALUE"""),19530)</f>
        <v>19530</v>
      </c>
      <c r="B294" s="86">
        <f ca="1">IFERROR(__xludf.DUMMYFUNCTION("""COMPUTED_VALUE"""),45142.1504513888)</f>
        <v>45142.150451388799</v>
      </c>
      <c r="C294" s="1" t="str">
        <f ca="1">IFERROR(__xludf.DUMMYFUNCTION("""COMPUTED_VALUE"""),"completed")</f>
        <v>completed</v>
      </c>
      <c r="D294" s="26">
        <f ca="1">IFERROR(__xludf.DUMMYFUNCTION("""COMPUTED_VALUE"""),0)</f>
        <v>0</v>
      </c>
      <c r="E294" s="1" t="str">
        <f ca="1">IFERROR(__xludf.DUMMYFUNCTION("""COMPUTED_VALUE"""),"Lasalle Stompers")</f>
        <v>Lasalle Stompers</v>
      </c>
      <c r="F294" s="87" t="str">
        <f t="shared" ca="1" si="0"/>
        <v>2023</v>
      </c>
      <c r="G294" s="1" t="str">
        <f ca="1">IFERROR(__xludf.DUMMYFUNCTION("""COMPUTED_VALUE"""),"Lasalle Stompers")</f>
        <v>Lasalle Stompers</v>
      </c>
      <c r="H294" s="26">
        <f t="shared" ca="1" si="1"/>
        <v>0</v>
      </c>
      <c r="I294" s="26">
        <f t="shared" ca="1" si="2"/>
        <v>1</v>
      </c>
      <c r="J294" s="86">
        <f t="shared" ca="1" si="3"/>
        <v>45142</v>
      </c>
      <c r="R294" s="26"/>
    </row>
    <row r="295" spans="1:18" ht="15.75" customHeight="1">
      <c r="A295" s="26">
        <f ca="1">IFERROR(__xludf.DUMMYFUNCTION("""COMPUTED_VALUE"""),19529)</f>
        <v>19529</v>
      </c>
      <c r="B295" s="86">
        <f ca="1">IFERROR(__xludf.DUMMYFUNCTION("""COMPUTED_VALUE"""),45142.1485532407)</f>
        <v>45142.148553240702</v>
      </c>
      <c r="C295" s="1" t="str">
        <f ca="1">IFERROR(__xludf.DUMMYFUNCTION("""COMPUTED_VALUE"""),"completed")</f>
        <v>completed</v>
      </c>
      <c r="D295" s="26">
        <f ca="1">IFERROR(__xludf.DUMMYFUNCTION("""COMPUTED_VALUE"""),0)</f>
        <v>0</v>
      </c>
      <c r="E295" s="1" t="str">
        <f ca="1">IFERROR(__xludf.DUMMYFUNCTION("""COMPUTED_VALUE"""),"Lasalle Stompers")</f>
        <v>Lasalle Stompers</v>
      </c>
      <c r="F295" s="87" t="str">
        <f t="shared" ca="1" si="0"/>
        <v>2023</v>
      </c>
      <c r="G295" s="1" t="str">
        <f ca="1">IFERROR(__xludf.DUMMYFUNCTION("""COMPUTED_VALUE"""),"Lasalle Stompers")</f>
        <v>Lasalle Stompers</v>
      </c>
      <c r="H295" s="26">
        <f t="shared" ca="1" si="1"/>
        <v>0</v>
      </c>
      <c r="I295" s="26">
        <f t="shared" ca="1" si="2"/>
        <v>1</v>
      </c>
      <c r="J295" s="86">
        <f t="shared" ca="1" si="3"/>
        <v>45142</v>
      </c>
      <c r="R295" s="26"/>
    </row>
    <row r="296" spans="1:18" ht="15.75" customHeight="1">
      <c r="A296" s="26">
        <f ca="1">IFERROR(__xludf.DUMMYFUNCTION("""COMPUTED_VALUE"""),19528)</f>
        <v>19528</v>
      </c>
      <c r="B296" s="86">
        <f ca="1">IFERROR(__xludf.DUMMYFUNCTION("""COMPUTED_VALUE"""),45141.9225462962)</f>
        <v>45141.922546296199</v>
      </c>
      <c r="C296" s="1" t="str">
        <f ca="1">IFERROR(__xludf.DUMMYFUNCTION("""COMPUTED_VALUE"""),"completed")</f>
        <v>completed</v>
      </c>
      <c r="D296" s="26">
        <f ca="1">IFERROR(__xludf.DUMMYFUNCTION("""COMPUTED_VALUE"""),78)</f>
        <v>78</v>
      </c>
      <c r="E296" s="1" t="str">
        <f ca="1">IFERROR(__xludf.DUMMYFUNCTION("""COMPUTED_VALUE"""),"Lasalle Stompers")</f>
        <v>Lasalle Stompers</v>
      </c>
      <c r="F296" s="87" t="str">
        <f t="shared" ca="1" si="0"/>
        <v>2023</v>
      </c>
      <c r="G296" s="1" t="str">
        <f ca="1">IFERROR(__xludf.DUMMYFUNCTION("""COMPUTED_VALUE"""),"Lasalle Stompers")</f>
        <v>Lasalle Stompers</v>
      </c>
      <c r="H296" s="26">
        <f t="shared" ca="1" si="1"/>
        <v>78</v>
      </c>
      <c r="I296" s="26">
        <f t="shared" ca="1" si="2"/>
        <v>1</v>
      </c>
      <c r="J296" s="86">
        <f t="shared" ca="1" si="3"/>
        <v>45141</v>
      </c>
      <c r="R296" s="26"/>
    </row>
    <row r="297" spans="1:18" ht="15.75" customHeight="1">
      <c r="A297" s="26">
        <f ca="1">IFERROR(__xludf.DUMMYFUNCTION("""COMPUTED_VALUE"""),19527)</f>
        <v>19527</v>
      </c>
      <c r="B297" s="86">
        <f ca="1">IFERROR(__xludf.DUMMYFUNCTION("""COMPUTED_VALUE"""),45141.8109953703)</f>
        <v>45141.810995370302</v>
      </c>
      <c r="C297" s="1" t="str">
        <f ca="1">IFERROR(__xludf.DUMMYFUNCTION("""COMPUTED_VALUE"""),"completed")</f>
        <v>completed</v>
      </c>
      <c r="D297" s="26">
        <f ca="1">IFERROR(__xludf.DUMMYFUNCTION("""COMPUTED_VALUE"""),0)</f>
        <v>0</v>
      </c>
      <c r="E297" s="1" t="str">
        <f ca="1">IFERROR(__xludf.DUMMYFUNCTION("""COMPUTED_VALUE"""),"Lasalle Stompers")</f>
        <v>Lasalle Stompers</v>
      </c>
      <c r="F297" s="87" t="str">
        <f t="shared" ca="1" si="0"/>
        <v>2023</v>
      </c>
      <c r="G297" s="1" t="str">
        <f ca="1">IFERROR(__xludf.DUMMYFUNCTION("""COMPUTED_VALUE"""),"Lasalle Stompers")</f>
        <v>Lasalle Stompers</v>
      </c>
      <c r="H297" s="26">
        <f t="shared" ca="1" si="1"/>
        <v>0</v>
      </c>
      <c r="I297" s="26">
        <f t="shared" ca="1" si="2"/>
        <v>1</v>
      </c>
      <c r="J297" s="86">
        <f t="shared" ca="1" si="3"/>
        <v>45141</v>
      </c>
      <c r="R297" s="26"/>
    </row>
    <row r="298" spans="1:18" ht="15.75" customHeight="1">
      <c r="A298" s="26">
        <f ca="1">IFERROR(__xludf.DUMMYFUNCTION("""COMPUTED_VALUE"""),19526)</f>
        <v>19526</v>
      </c>
      <c r="B298" s="86">
        <f ca="1">IFERROR(__xludf.DUMMYFUNCTION("""COMPUTED_VALUE"""),45141.7070023148)</f>
        <v>45141.707002314797</v>
      </c>
      <c r="C298" s="1" t="str">
        <f ca="1">IFERROR(__xludf.DUMMYFUNCTION("""COMPUTED_VALUE"""),"completed")</f>
        <v>completed</v>
      </c>
      <c r="D298" s="26">
        <f ca="1">IFERROR(__xludf.DUMMYFUNCTION("""COMPUTED_VALUE"""),25)</f>
        <v>25</v>
      </c>
      <c r="E298" s="1" t="str">
        <f ca="1">IFERROR(__xludf.DUMMYFUNCTION("""COMPUTED_VALUE"""),"Lasalle Stompers")</f>
        <v>Lasalle Stompers</v>
      </c>
      <c r="F298" s="87" t="str">
        <f t="shared" ca="1" si="0"/>
        <v>2023</v>
      </c>
      <c r="G298" s="1" t="str">
        <f ca="1">IFERROR(__xludf.DUMMYFUNCTION("""COMPUTED_VALUE"""),"Lasalle Stompers")</f>
        <v>Lasalle Stompers</v>
      </c>
      <c r="H298" s="26">
        <f t="shared" ca="1" si="1"/>
        <v>25</v>
      </c>
      <c r="I298" s="26">
        <f t="shared" ca="1" si="2"/>
        <v>1</v>
      </c>
      <c r="J298" s="86">
        <f t="shared" ca="1" si="3"/>
        <v>45141</v>
      </c>
      <c r="R298" s="26"/>
    </row>
    <row r="299" spans="1:18" ht="15.75" customHeight="1">
      <c r="A299" s="26">
        <f ca="1">IFERROR(__xludf.DUMMYFUNCTION("""COMPUTED_VALUE"""),19525)</f>
        <v>19525</v>
      </c>
      <c r="B299" s="86">
        <f ca="1">IFERROR(__xludf.DUMMYFUNCTION("""COMPUTED_VALUE"""),45141.5388888888)</f>
        <v>45141.538888888797</v>
      </c>
      <c r="C299" s="1" t="str">
        <f ca="1">IFERROR(__xludf.DUMMYFUNCTION("""COMPUTED_VALUE"""),"completed")</f>
        <v>completed</v>
      </c>
      <c r="D299" s="26">
        <f ca="1">IFERROR(__xludf.DUMMYFUNCTION("""COMPUTED_VALUE"""),25)</f>
        <v>25</v>
      </c>
      <c r="E299" s="1" t="str">
        <f ca="1">IFERROR(__xludf.DUMMYFUNCTION("""COMPUTED_VALUE"""),"Lasalle Stompers")</f>
        <v>Lasalle Stompers</v>
      </c>
      <c r="F299" s="87" t="str">
        <f t="shared" ca="1" si="0"/>
        <v>2023</v>
      </c>
      <c r="G299" s="1" t="str">
        <f ca="1">IFERROR(__xludf.DUMMYFUNCTION("""COMPUTED_VALUE"""),"Lasalle Stompers")</f>
        <v>Lasalle Stompers</v>
      </c>
      <c r="H299" s="26">
        <f t="shared" ca="1" si="1"/>
        <v>25</v>
      </c>
      <c r="I299" s="26">
        <f t="shared" ca="1" si="2"/>
        <v>1</v>
      </c>
      <c r="J299" s="86">
        <f t="shared" ca="1" si="3"/>
        <v>45141</v>
      </c>
      <c r="R299" s="26"/>
    </row>
    <row r="300" spans="1:18" ht="15.75" customHeight="1">
      <c r="A300" s="26">
        <f ca="1">IFERROR(__xludf.DUMMYFUNCTION("""COMPUTED_VALUE"""),19524)</f>
        <v>19524</v>
      </c>
      <c r="B300" s="86">
        <f ca="1">IFERROR(__xludf.DUMMYFUNCTION("""COMPUTED_VALUE"""),45141.1804398148)</f>
        <v>45141.180439814802</v>
      </c>
      <c r="C300" s="1" t="str">
        <f ca="1">IFERROR(__xludf.DUMMYFUNCTION("""COMPUTED_VALUE"""),"completed")</f>
        <v>completed</v>
      </c>
      <c r="D300" s="26">
        <f ca="1">IFERROR(__xludf.DUMMYFUNCTION("""COMPUTED_VALUE"""),53)</f>
        <v>53</v>
      </c>
      <c r="E300" s="1" t="str">
        <f ca="1">IFERROR(__xludf.DUMMYFUNCTION("""COMPUTED_VALUE"""),"Lasalle Stompers")</f>
        <v>Lasalle Stompers</v>
      </c>
      <c r="F300" s="87" t="str">
        <f t="shared" ca="1" si="0"/>
        <v>2023</v>
      </c>
      <c r="G300" s="1" t="str">
        <f ca="1">IFERROR(__xludf.DUMMYFUNCTION("""COMPUTED_VALUE"""),"Lasalle Stompers")</f>
        <v>Lasalle Stompers</v>
      </c>
      <c r="H300" s="26">
        <f t="shared" ca="1" si="1"/>
        <v>53</v>
      </c>
      <c r="I300" s="26">
        <f t="shared" ca="1" si="2"/>
        <v>1</v>
      </c>
      <c r="J300" s="86">
        <f t="shared" ca="1" si="3"/>
        <v>45141</v>
      </c>
      <c r="R300" s="26"/>
    </row>
    <row r="301" spans="1:18" ht="15.75" customHeight="1">
      <c r="A301" s="26">
        <f ca="1">IFERROR(__xludf.DUMMYFUNCTION("""COMPUTED_VALUE"""),19523)</f>
        <v>19523</v>
      </c>
      <c r="B301" s="86">
        <f ca="1">IFERROR(__xludf.DUMMYFUNCTION("""COMPUTED_VALUE"""),45141.1168055555)</f>
        <v>45141.116805555503</v>
      </c>
      <c r="C301" s="1" t="str">
        <f ca="1">IFERROR(__xludf.DUMMYFUNCTION("""COMPUTED_VALUE"""),"completed")</f>
        <v>completed</v>
      </c>
      <c r="D301" s="26">
        <f ca="1">IFERROR(__xludf.DUMMYFUNCTION("""COMPUTED_VALUE"""),25)</f>
        <v>25</v>
      </c>
      <c r="E301" s="1" t="str">
        <f ca="1">IFERROR(__xludf.DUMMYFUNCTION("""COMPUTED_VALUE"""),"Lasalle Stompers")</f>
        <v>Lasalle Stompers</v>
      </c>
      <c r="F301" s="87" t="str">
        <f t="shared" ca="1" si="0"/>
        <v>2023</v>
      </c>
      <c r="G301" s="1" t="str">
        <f ca="1">IFERROR(__xludf.DUMMYFUNCTION("""COMPUTED_VALUE"""),"Lasalle Stompers")</f>
        <v>Lasalle Stompers</v>
      </c>
      <c r="H301" s="26">
        <f t="shared" ca="1" si="1"/>
        <v>25</v>
      </c>
      <c r="I301" s="26">
        <f t="shared" ca="1" si="2"/>
        <v>1</v>
      </c>
      <c r="J301" s="86">
        <f t="shared" ca="1" si="3"/>
        <v>45141</v>
      </c>
      <c r="R301" s="26"/>
    </row>
    <row r="302" spans="1:18" ht="15.75" customHeight="1">
      <c r="A302" s="26">
        <f ca="1">IFERROR(__xludf.DUMMYFUNCTION("""COMPUTED_VALUE"""),19522)</f>
        <v>19522</v>
      </c>
      <c r="B302" s="86">
        <f ca="1">IFERROR(__xludf.DUMMYFUNCTION("""COMPUTED_VALUE"""),45141.1151041666)</f>
        <v>45141.115104166602</v>
      </c>
      <c r="C302" s="1" t="str">
        <f ca="1">IFERROR(__xludf.DUMMYFUNCTION("""COMPUTED_VALUE"""),"completed")</f>
        <v>completed</v>
      </c>
      <c r="D302" s="26">
        <f ca="1">IFERROR(__xludf.DUMMYFUNCTION("""COMPUTED_VALUE"""),25)</f>
        <v>25</v>
      </c>
      <c r="E302" s="1" t="str">
        <f ca="1">IFERROR(__xludf.DUMMYFUNCTION("""COMPUTED_VALUE"""),"Lasalle Stompers")</f>
        <v>Lasalle Stompers</v>
      </c>
      <c r="F302" s="87" t="str">
        <f t="shared" ca="1" si="0"/>
        <v>2023</v>
      </c>
      <c r="G302" s="1" t="str">
        <f ca="1">IFERROR(__xludf.DUMMYFUNCTION("""COMPUTED_VALUE"""),"Lasalle Stompers")</f>
        <v>Lasalle Stompers</v>
      </c>
      <c r="H302" s="26">
        <f t="shared" ca="1" si="1"/>
        <v>25</v>
      </c>
      <c r="I302" s="26">
        <f t="shared" ca="1" si="2"/>
        <v>1</v>
      </c>
      <c r="J302" s="86">
        <f t="shared" ca="1" si="3"/>
        <v>45141</v>
      </c>
      <c r="R302" s="26"/>
    </row>
    <row r="303" spans="1:18" ht="15.75" customHeight="1">
      <c r="A303" s="26">
        <f ca="1">IFERROR(__xludf.DUMMYFUNCTION("""COMPUTED_VALUE"""),19521)</f>
        <v>19521</v>
      </c>
      <c r="B303" s="86">
        <f ca="1">IFERROR(__xludf.DUMMYFUNCTION("""COMPUTED_VALUE"""),45141.0607523148)</f>
        <v>45141.060752314799</v>
      </c>
      <c r="C303" s="1" t="str">
        <f ca="1">IFERROR(__xludf.DUMMYFUNCTION("""COMPUTED_VALUE"""),"completed")</f>
        <v>completed</v>
      </c>
      <c r="D303" s="26">
        <f ca="1">IFERROR(__xludf.DUMMYFUNCTION("""COMPUTED_VALUE"""),20)</f>
        <v>20</v>
      </c>
      <c r="E303" s="1" t="str">
        <f ca="1">IFERROR(__xludf.DUMMYFUNCTION("""COMPUTED_VALUE"""),"Lasalle Stompers")</f>
        <v>Lasalle Stompers</v>
      </c>
      <c r="F303" s="87" t="str">
        <f t="shared" ca="1" si="0"/>
        <v>2023</v>
      </c>
      <c r="G303" s="1" t="str">
        <f ca="1">IFERROR(__xludf.DUMMYFUNCTION("""COMPUTED_VALUE"""),"Lasalle Stompers")</f>
        <v>Lasalle Stompers</v>
      </c>
      <c r="H303" s="26">
        <f t="shared" ca="1" si="1"/>
        <v>20</v>
      </c>
      <c r="I303" s="26">
        <f t="shared" ca="1" si="2"/>
        <v>1</v>
      </c>
      <c r="J303" s="86">
        <f t="shared" ca="1" si="3"/>
        <v>45141</v>
      </c>
      <c r="R303" s="26"/>
    </row>
    <row r="304" spans="1:18" ht="15.75" customHeight="1">
      <c r="A304" s="26">
        <f ca="1">IFERROR(__xludf.DUMMYFUNCTION("""COMPUTED_VALUE"""),19520)</f>
        <v>19520</v>
      </c>
      <c r="B304" s="86">
        <f ca="1">IFERROR(__xludf.DUMMYFUNCTION("""COMPUTED_VALUE"""),45141.0589814814)</f>
        <v>45141.058981481401</v>
      </c>
      <c r="C304" s="1" t="str">
        <f ca="1">IFERROR(__xludf.DUMMYFUNCTION("""COMPUTED_VALUE"""),"completed")</f>
        <v>completed</v>
      </c>
      <c r="D304" s="26">
        <f ca="1">IFERROR(__xludf.DUMMYFUNCTION("""COMPUTED_VALUE"""),20)</f>
        <v>20</v>
      </c>
      <c r="E304" s="1" t="str">
        <f ca="1">IFERROR(__xludf.DUMMYFUNCTION("""COMPUTED_VALUE"""),"Lasalle Stompers")</f>
        <v>Lasalle Stompers</v>
      </c>
      <c r="F304" s="87" t="str">
        <f t="shared" ca="1" si="0"/>
        <v>2023</v>
      </c>
      <c r="G304" s="1" t="str">
        <f ca="1">IFERROR(__xludf.DUMMYFUNCTION("""COMPUTED_VALUE"""),"Lasalle Stompers")</f>
        <v>Lasalle Stompers</v>
      </c>
      <c r="H304" s="26">
        <f t="shared" ca="1" si="1"/>
        <v>20</v>
      </c>
      <c r="I304" s="26">
        <f t="shared" ca="1" si="2"/>
        <v>1</v>
      </c>
      <c r="J304" s="86">
        <f t="shared" ca="1" si="3"/>
        <v>45141</v>
      </c>
      <c r="R304" s="26"/>
    </row>
    <row r="305" spans="1:18" ht="15.75" customHeight="1">
      <c r="A305" s="26">
        <f ca="1">IFERROR(__xludf.DUMMYFUNCTION("""COMPUTED_VALUE"""),19519)</f>
        <v>19519</v>
      </c>
      <c r="B305" s="86">
        <f ca="1">IFERROR(__xludf.DUMMYFUNCTION("""COMPUTED_VALUE"""),45141.0576041666)</f>
        <v>45141.057604166599</v>
      </c>
      <c r="C305" s="1" t="str">
        <f ca="1">IFERROR(__xludf.DUMMYFUNCTION("""COMPUTED_VALUE"""),"completed")</f>
        <v>completed</v>
      </c>
      <c r="D305" s="26">
        <f ca="1">IFERROR(__xludf.DUMMYFUNCTION("""COMPUTED_VALUE"""),20)</f>
        <v>20</v>
      </c>
      <c r="E305" s="1" t="str">
        <f ca="1">IFERROR(__xludf.DUMMYFUNCTION("""COMPUTED_VALUE"""),"Lasalle Stompers")</f>
        <v>Lasalle Stompers</v>
      </c>
      <c r="F305" s="87" t="str">
        <f t="shared" ca="1" si="0"/>
        <v>2023</v>
      </c>
      <c r="G305" s="1" t="str">
        <f ca="1">IFERROR(__xludf.DUMMYFUNCTION("""COMPUTED_VALUE"""),"Kingsville Minor Baseball Assoc.")</f>
        <v>Kingsville Minor Baseball Assoc.</v>
      </c>
      <c r="H305" s="26">
        <f t="shared" ca="1" si="1"/>
        <v>20</v>
      </c>
      <c r="I305" s="26">
        <f t="shared" ca="1" si="2"/>
        <v>1</v>
      </c>
      <c r="J305" s="86">
        <f t="shared" ca="1" si="3"/>
        <v>45141</v>
      </c>
      <c r="R305" s="26"/>
    </row>
    <row r="306" spans="1:18" ht="15.75" customHeight="1">
      <c r="A306" s="26">
        <f ca="1">IFERROR(__xludf.DUMMYFUNCTION("""COMPUTED_VALUE"""),19518)</f>
        <v>19518</v>
      </c>
      <c r="B306" s="86">
        <f ca="1">IFERROR(__xludf.DUMMYFUNCTION("""COMPUTED_VALUE"""),45141.0213888888)</f>
        <v>45141.021388888803</v>
      </c>
      <c r="C306" s="1" t="str">
        <f ca="1">IFERROR(__xludf.DUMMYFUNCTION("""COMPUTED_VALUE"""),"completed")</f>
        <v>completed</v>
      </c>
      <c r="D306" s="26">
        <f ca="1">IFERROR(__xludf.DUMMYFUNCTION("""COMPUTED_VALUE"""),33)</f>
        <v>33</v>
      </c>
      <c r="E306" s="1" t="str">
        <f ca="1">IFERROR(__xludf.DUMMYFUNCTION("""COMPUTED_VALUE"""),"Kingsville Minor Baseball Assoc.")</f>
        <v>Kingsville Minor Baseball Assoc.</v>
      </c>
      <c r="F306" s="87" t="str">
        <f t="shared" ca="1" si="0"/>
        <v>2023</v>
      </c>
      <c r="G306" s="1" t="str">
        <f ca="1">IFERROR(__xludf.DUMMYFUNCTION("""COMPUTED_VALUE"""),"Lasalle Stompers")</f>
        <v>Lasalle Stompers</v>
      </c>
      <c r="H306" s="26">
        <f t="shared" ca="1" si="1"/>
        <v>33</v>
      </c>
      <c r="I306" s="26">
        <f t="shared" ca="1" si="2"/>
        <v>1</v>
      </c>
      <c r="J306" s="86">
        <f t="shared" ca="1" si="3"/>
        <v>45141</v>
      </c>
      <c r="R306" s="26"/>
    </row>
    <row r="307" spans="1:18" ht="15.75" customHeight="1">
      <c r="A307" s="26">
        <f ca="1">IFERROR(__xludf.DUMMYFUNCTION("""COMPUTED_VALUE"""),19517)</f>
        <v>19517</v>
      </c>
      <c r="B307" s="86">
        <f ca="1">IFERROR(__xludf.DUMMYFUNCTION("""COMPUTED_VALUE"""),45140.619849537)</f>
        <v>45140.619849536997</v>
      </c>
      <c r="C307" s="1" t="str">
        <f ca="1">IFERROR(__xludf.DUMMYFUNCTION("""COMPUTED_VALUE"""),"completed")</f>
        <v>completed</v>
      </c>
      <c r="D307" s="26">
        <f ca="1">IFERROR(__xludf.DUMMYFUNCTION("""COMPUTED_VALUE"""),25)</f>
        <v>25</v>
      </c>
      <c r="E307" s="1" t="str">
        <f ca="1">IFERROR(__xludf.DUMMYFUNCTION("""COMPUTED_VALUE"""),"Lasalle Stompers")</f>
        <v>Lasalle Stompers</v>
      </c>
      <c r="F307" s="87" t="str">
        <f t="shared" ca="1" si="0"/>
        <v>2023</v>
      </c>
      <c r="G307" s="1" t="str">
        <f ca="1">IFERROR(__xludf.DUMMYFUNCTION("""COMPUTED_VALUE"""),"Lasalle Stompers")</f>
        <v>Lasalle Stompers</v>
      </c>
      <c r="H307" s="26">
        <f t="shared" ca="1" si="1"/>
        <v>25</v>
      </c>
      <c r="I307" s="26">
        <f t="shared" ca="1" si="2"/>
        <v>1</v>
      </c>
      <c r="J307" s="86">
        <f t="shared" ca="1" si="3"/>
        <v>45140</v>
      </c>
      <c r="R307" s="26"/>
    </row>
    <row r="308" spans="1:18" ht="15.75" customHeight="1">
      <c r="A308" s="26">
        <f ca="1">IFERROR(__xludf.DUMMYFUNCTION("""COMPUTED_VALUE"""),19516)</f>
        <v>19516</v>
      </c>
      <c r="B308" s="86">
        <f ca="1">IFERROR(__xludf.DUMMYFUNCTION("""COMPUTED_VALUE"""),45140.6191435185)</f>
        <v>45140.619143518503</v>
      </c>
      <c r="C308" s="1" t="str">
        <f ca="1">IFERROR(__xludf.DUMMYFUNCTION("""COMPUTED_VALUE"""),"completed")</f>
        <v>completed</v>
      </c>
      <c r="D308" s="26">
        <f ca="1">IFERROR(__xludf.DUMMYFUNCTION("""COMPUTED_VALUE"""),25)</f>
        <v>25</v>
      </c>
      <c r="E308" s="1" t="str">
        <f ca="1">IFERROR(__xludf.DUMMYFUNCTION("""COMPUTED_VALUE"""),"Lasalle Stompers")</f>
        <v>Lasalle Stompers</v>
      </c>
      <c r="F308" s="87" t="str">
        <f t="shared" ca="1" si="0"/>
        <v>2023</v>
      </c>
      <c r="G308" s="1" t="str">
        <f ca="1">IFERROR(__xludf.DUMMYFUNCTION("""COMPUTED_VALUE"""),"Lasalle Stompers")</f>
        <v>Lasalle Stompers</v>
      </c>
      <c r="H308" s="26">
        <f t="shared" ca="1" si="1"/>
        <v>25</v>
      </c>
      <c r="I308" s="26">
        <f t="shared" ca="1" si="2"/>
        <v>1</v>
      </c>
      <c r="J308" s="86">
        <f t="shared" ca="1" si="3"/>
        <v>45140</v>
      </c>
      <c r="R308" s="26"/>
    </row>
    <row r="309" spans="1:18" ht="15.75" customHeight="1">
      <c r="A309" s="26">
        <f ca="1">IFERROR(__xludf.DUMMYFUNCTION("""COMPUTED_VALUE"""),19515)</f>
        <v>19515</v>
      </c>
      <c r="B309" s="86">
        <f ca="1">IFERROR(__xludf.DUMMYFUNCTION("""COMPUTED_VALUE"""),45140.618136574)</f>
        <v>45140.618136573998</v>
      </c>
      <c r="C309" s="1" t="str">
        <f ca="1">IFERROR(__xludf.DUMMYFUNCTION("""COMPUTED_VALUE"""),"completed")</f>
        <v>completed</v>
      </c>
      <c r="D309" s="26">
        <f ca="1">IFERROR(__xludf.DUMMYFUNCTION("""COMPUTED_VALUE"""),30)</f>
        <v>30</v>
      </c>
      <c r="E309" s="1" t="str">
        <f ca="1">IFERROR(__xludf.DUMMYFUNCTION("""COMPUTED_VALUE"""),"Lasalle Stompers")</f>
        <v>Lasalle Stompers</v>
      </c>
      <c r="F309" s="87" t="str">
        <f t="shared" ca="1" si="0"/>
        <v>2023</v>
      </c>
      <c r="G309" s="1" t="str">
        <f ca="1">IFERROR(__xludf.DUMMYFUNCTION("""COMPUTED_VALUE"""),"Lasalle Stompers")</f>
        <v>Lasalle Stompers</v>
      </c>
      <c r="H309" s="26">
        <f t="shared" ca="1" si="1"/>
        <v>30</v>
      </c>
      <c r="I309" s="26">
        <f t="shared" ca="1" si="2"/>
        <v>1</v>
      </c>
      <c r="J309" s="86">
        <f t="shared" ca="1" si="3"/>
        <v>45140</v>
      </c>
      <c r="R309" s="26"/>
    </row>
    <row r="310" spans="1:18" ht="15.75" customHeight="1">
      <c r="A310" s="26">
        <f ca="1">IFERROR(__xludf.DUMMYFUNCTION("""COMPUTED_VALUE"""),19514)</f>
        <v>19514</v>
      </c>
      <c r="B310" s="86">
        <f ca="1">IFERROR(__xludf.DUMMYFUNCTION("""COMPUTED_VALUE"""),45140.5455555555)</f>
        <v>45140.545555555502</v>
      </c>
      <c r="C310" s="1" t="str">
        <f ca="1">IFERROR(__xludf.DUMMYFUNCTION("""COMPUTED_VALUE"""),"completed")</f>
        <v>completed</v>
      </c>
      <c r="D310" s="26">
        <f ca="1">IFERROR(__xludf.DUMMYFUNCTION("""COMPUTED_VALUE"""),25)</f>
        <v>25</v>
      </c>
      <c r="E310" s="1" t="str">
        <f ca="1">IFERROR(__xludf.DUMMYFUNCTION("""COMPUTED_VALUE"""),"Lasalle Stompers")</f>
        <v>Lasalle Stompers</v>
      </c>
      <c r="F310" s="87" t="str">
        <f t="shared" ca="1" si="0"/>
        <v>2023</v>
      </c>
      <c r="G310" s="1" t="str">
        <f ca="1">IFERROR(__xludf.DUMMYFUNCTION("""COMPUTED_VALUE"""),"Lasalle Stompers")</f>
        <v>Lasalle Stompers</v>
      </c>
      <c r="H310" s="26">
        <f t="shared" ca="1" si="1"/>
        <v>25</v>
      </c>
      <c r="I310" s="26">
        <f t="shared" ca="1" si="2"/>
        <v>1</v>
      </c>
      <c r="J310" s="86">
        <f t="shared" ca="1" si="3"/>
        <v>45140</v>
      </c>
      <c r="R310" s="26"/>
    </row>
    <row r="311" spans="1:18" ht="15.75" customHeight="1">
      <c r="A311" s="26">
        <f ca="1">IFERROR(__xludf.DUMMYFUNCTION("""COMPUTED_VALUE"""),19513)</f>
        <v>19513</v>
      </c>
      <c r="B311" s="86">
        <f ca="1">IFERROR(__xludf.DUMMYFUNCTION("""COMPUTED_VALUE"""),45139.9473263888)</f>
        <v>45139.947326388799</v>
      </c>
      <c r="C311" s="1" t="str">
        <f ca="1">IFERROR(__xludf.DUMMYFUNCTION("""COMPUTED_VALUE"""),"completed")</f>
        <v>completed</v>
      </c>
      <c r="D311" s="26">
        <f ca="1">IFERROR(__xludf.DUMMYFUNCTION("""COMPUTED_VALUE"""),25)</f>
        <v>25</v>
      </c>
      <c r="E311" s="1" t="str">
        <f ca="1">IFERROR(__xludf.DUMMYFUNCTION("""COMPUTED_VALUE"""),"Lasalle Stompers")</f>
        <v>Lasalle Stompers</v>
      </c>
      <c r="F311" s="87" t="str">
        <f t="shared" ca="1" si="0"/>
        <v>2023</v>
      </c>
      <c r="G311" s="1" t="str">
        <f ca="1">IFERROR(__xludf.DUMMYFUNCTION("""COMPUTED_VALUE"""),"Lasalle Stompers")</f>
        <v>Lasalle Stompers</v>
      </c>
      <c r="H311" s="26">
        <f t="shared" ca="1" si="1"/>
        <v>25</v>
      </c>
      <c r="I311" s="26">
        <f t="shared" ca="1" si="2"/>
        <v>1</v>
      </c>
      <c r="J311" s="86">
        <f t="shared" ca="1" si="3"/>
        <v>45139</v>
      </c>
      <c r="R311" s="26"/>
    </row>
    <row r="312" spans="1:18" ht="15.75" customHeight="1">
      <c r="A312" s="26">
        <f ca="1">IFERROR(__xludf.DUMMYFUNCTION("""COMPUTED_VALUE"""),19512)</f>
        <v>19512</v>
      </c>
      <c r="B312" s="86">
        <f ca="1">IFERROR(__xludf.DUMMYFUNCTION("""COMPUTED_VALUE"""),45139.9452083333)</f>
        <v>45139.945208333302</v>
      </c>
      <c r="C312" s="1" t="str">
        <f ca="1">IFERROR(__xludf.DUMMYFUNCTION("""COMPUTED_VALUE"""),"completed")</f>
        <v>completed</v>
      </c>
      <c r="D312" s="26">
        <f ca="1">IFERROR(__xludf.DUMMYFUNCTION("""COMPUTED_VALUE"""),25)</f>
        <v>25</v>
      </c>
      <c r="E312" s="1" t="str">
        <f ca="1">IFERROR(__xludf.DUMMYFUNCTION("""COMPUTED_VALUE"""),"Lasalle Stompers")</f>
        <v>Lasalle Stompers</v>
      </c>
      <c r="F312" s="87" t="str">
        <f t="shared" ca="1" si="0"/>
        <v>2023</v>
      </c>
      <c r="G312" s="1" t="str">
        <f ca="1">IFERROR(__xludf.DUMMYFUNCTION("""COMPUTED_VALUE"""),"Lasalle Stompers")</f>
        <v>Lasalle Stompers</v>
      </c>
      <c r="H312" s="26">
        <f t="shared" ca="1" si="1"/>
        <v>25</v>
      </c>
      <c r="I312" s="26">
        <f t="shared" ca="1" si="2"/>
        <v>1</v>
      </c>
      <c r="J312" s="86">
        <f t="shared" ca="1" si="3"/>
        <v>45139</v>
      </c>
      <c r="R312" s="26"/>
    </row>
    <row r="313" spans="1:18" ht="15.75" customHeight="1">
      <c r="A313" s="26">
        <f ca="1">IFERROR(__xludf.DUMMYFUNCTION("""COMPUTED_VALUE"""),19511)</f>
        <v>19511</v>
      </c>
      <c r="B313" s="86">
        <f ca="1">IFERROR(__xludf.DUMMYFUNCTION("""COMPUTED_VALUE"""),45139.6468287037)</f>
        <v>45139.646828703699</v>
      </c>
      <c r="C313" s="1" t="str">
        <f ca="1">IFERROR(__xludf.DUMMYFUNCTION("""COMPUTED_VALUE"""),"completed")</f>
        <v>completed</v>
      </c>
      <c r="D313" s="26">
        <f ca="1">IFERROR(__xludf.DUMMYFUNCTION("""COMPUTED_VALUE"""),15)</f>
        <v>15</v>
      </c>
      <c r="E313" s="1" t="str">
        <f ca="1">IFERROR(__xludf.DUMMYFUNCTION("""COMPUTED_VALUE"""),"Lasalle Stompers")</f>
        <v>Lasalle Stompers</v>
      </c>
      <c r="F313" s="87" t="str">
        <f t="shared" ca="1" si="0"/>
        <v>2023</v>
      </c>
      <c r="G313" s="1" t="str">
        <f ca="1">IFERROR(__xludf.DUMMYFUNCTION("""COMPUTED_VALUE"""),"Lasalle Stompers")</f>
        <v>Lasalle Stompers</v>
      </c>
      <c r="H313" s="26">
        <f t="shared" ca="1" si="1"/>
        <v>15</v>
      </c>
      <c r="I313" s="26">
        <f t="shared" ca="1" si="2"/>
        <v>1</v>
      </c>
      <c r="J313" s="86">
        <f t="shared" ca="1" si="3"/>
        <v>45139</v>
      </c>
      <c r="R313" s="26"/>
    </row>
    <row r="314" spans="1:18" ht="15.75" customHeight="1">
      <c r="A314" s="26">
        <f ca="1">IFERROR(__xludf.DUMMYFUNCTION("""COMPUTED_VALUE"""),19509)</f>
        <v>19509</v>
      </c>
      <c r="B314" s="86">
        <f ca="1">IFERROR(__xludf.DUMMYFUNCTION("""COMPUTED_VALUE"""),45138.6574652777)</f>
        <v>45138.657465277698</v>
      </c>
      <c r="C314" s="1" t="str">
        <f ca="1">IFERROR(__xludf.DUMMYFUNCTION("""COMPUTED_VALUE"""),"refunded")</f>
        <v>refunded</v>
      </c>
      <c r="D314" s="26">
        <f ca="1">IFERROR(__xludf.DUMMYFUNCTION("""COMPUTED_VALUE"""),22)</f>
        <v>22</v>
      </c>
      <c r="E314" s="1" t="str">
        <f ca="1">IFERROR(__xludf.DUMMYFUNCTION("""COMPUTED_VALUE"""),"Lasalle Stompers")</f>
        <v>Lasalle Stompers</v>
      </c>
      <c r="F314" s="87" t="str">
        <f t="shared" ca="1" si="0"/>
        <v>2023</v>
      </c>
      <c r="G314" s="1" t="str">
        <f ca="1">IFERROR(__xludf.DUMMYFUNCTION("""COMPUTED_VALUE"""),"Lasalle Stompers")</f>
        <v>Lasalle Stompers</v>
      </c>
      <c r="H314" s="26">
        <f t="shared" ca="1" si="1"/>
        <v>22</v>
      </c>
      <c r="I314" s="26">
        <f t="shared" ca="1" si="2"/>
        <v>1</v>
      </c>
      <c r="J314" s="86">
        <f t="shared" ca="1" si="3"/>
        <v>45138</v>
      </c>
      <c r="R314" s="26"/>
    </row>
    <row r="315" spans="1:18" ht="15.75" customHeight="1">
      <c r="A315" s="26">
        <f ca="1">IFERROR(__xludf.DUMMYFUNCTION("""COMPUTED_VALUE"""),19508)</f>
        <v>19508</v>
      </c>
      <c r="B315" s="86">
        <f ca="1">IFERROR(__xludf.DUMMYFUNCTION("""COMPUTED_VALUE"""),45138.1997453703)</f>
        <v>45138.199745370301</v>
      </c>
      <c r="C315" s="1" t="str">
        <f ca="1">IFERROR(__xludf.DUMMYFUNCTION("""COMPUTED_VALUE"""),"completed")</f>
        <v>completed</v>
      </c>
      <c r="D315" s="26">
        <f ca="1">IFERROR(__xludf.DUMMYFUNCTION("""COMPUTED_VALUE"""),15)</f>
        <v>15</v>
      </c>
      <c r="E315" s="1" t="str">
        <f ca="1">IFERROR(__xludf.DUMMYFUNCTION("""COMPUTED_VALUE"""),"Lasalle Stompers")</f>
        <v>Lasalle Stompers</v>
      </c>
      <c r="F315" s="87" t="str">
        <f t="shared" ca="1" si="0"/>
        <v>2023</v>
      </c>
      <c r="G315" s="1" t="str">
        <f ca="1">IFERROR(__xludf.DUMMYFUNCTION("""COMPUTED_VALUE"""),"Kingsville Minor Baseball Assoc.")</f>
        <v>Kingsville Minor Baseball Assoc.</v>
      </c>
      <c r="H315" s="26">
        <f t="shared" ca="1" si="1"/>
        <v>15</v>
      </c>
      <c r="I315" s="26">
        <f t="shared" ca="1" si="2"/>
        <v>1</v>
      </c>
      <c r="J315" s="86">
        <f t="shared" ca="1" si="3"/>
        <v>45138</v>
      </c>
      <c r="R315" s="26"/>
    </row>
    <row r="316" spans="1:18" ht="15.75" customHeight="1">
      <c r="A316" s="26">
        <f ca="1">IFERROR(__xludf.DUMMYFUNCTION("""COMPUTED_VALUE"""),19507)</f>
        <v>19507</v>
      </c>
      <c r="B316" s="86">
        <f ca="1">IFERROR(__xludf.DUMMYFUNCTION("""COMPUTED_VALUE"""),45137.8403703703)</f>
        <v>45137.840370370301</v>
      </c>
      <c r="C316" s="1" t="str">
        <f ca="1">IFERROR(__xludf.DUMMYFUNCTION("""COMPUTED_VALUE"""),"completed")</f>
        <v>completed</v>
      </c>
      <c r="D316" s="26">
        <f ca="1">IFERROR(__xludf.DUMMYFUNCTION("""COMPUTED_VALUE"""),75)</f>
        <v>75</v>
      </c>
      <c r="E316" s="1" t="str">
        <f ca="1">IFERROR(__xludf.DUMMYFUNCTION("""COMPUTED_VALUE"""),"Kingsville Minor Baseball Assoc.")</f>
        <v>Kingsville Minor Baseball Assoc.</v>
      </c>
      <c r="F316" s="87" t="str">
        <f t="shared" ca="1" si="0"/>
        <v>2023</v>
      </c>
      <c r="G316" s="1" t="str">
        <f ca="1">IFERROR(__xludf.DUMMYFUNCTION("""COMPUTED_VALUE"""),"Lasalle Stompers")</f>
        <v>Lasalle Stompers</v>
      </c>
      <c r="H316" s="26">
        <f t="shared" ca="1" si="1"/>
        <v>75</v>
      </c>
      <c r="I316" s="26">
        <f t="shared" ca="1" si="2"/>
        <v>1</v>
      </c>
      <c r="J316" s="86">
        <f t="shared" ca="1" si="3"/>
        <v>45137</v>
      </c>
      <c r="R316" s="26"/>
    </row>
    <row r="317" spans="1:18" ht="15.75" customHeight="1">
      <c r="A317" s="26">
        <f ca="1">IFERROR(__xludf.DUMMYFUNCTION("""COMPUTED_VALUE"""),19506)</f>
        <v>19506</v>
      </c>
      <c r="B317" s="86">
        <f ca="1">IFERROR(__xludf.DUMMYFUNCTION("""COMPUTED_VALUE"""),45137.7554861111)</f>
        <v>45137.755486111098</v>
      </c>
      <c r="C317" s="1" t="str">
        <f ca="1">IFERROR(__xludf.DUMMYFUNCTION("""COMPUTED_VALUE"""),"completed")</f>
        <v>completed</v>
      </c>
      <c r="D317" s="26">
        <f ca="1">IFERROR(__xludf.DUMMYFUNCTION("""COMPUTED_VALUE"""),35)</f>
        <v>35</v>
      </c>
      <c r="E317" s="1" t="str">
        <f ca="1">IFERROR(__xludf.DUMMYFUNCTION("""COMPUTED_VALUE"""),"Lasalle Stompers")</f>
        <v>Lasalle Stompers</v>
      </c>
      <c r="F317" s="87" t="str">
        <f t="shared" ca="1" si="0"/>
        <v>2023</v>
      </c>
      <c r="G317" s="1" t="str">
        <f ca="1">IFERROR(__xludf.DUMMYFUNCTION("""COMPUTED_VALUE"""),"Kingsville Minor Baseball Assoc.")</f>
        <v>Kingsville Minor Baseball Assoc.</v>
      </c>
      <c r="H317" s="26">
        <f t="shared" ca="1" si="1"/>
        <v>35</v>
      </c>
      <c r="I317" s="26">
        <f t="shared" ca="1" si="2"/>
        <v>1</v>
      </c>
      <c r="J317" s="86">
        <f t="shared" ca="1" si="3"/>
        <v>45137</v>
      </c>
      <c r="R317" s="26"/>
    </row>
    <row r="318" spans="1:18" ht="15.75" customHeight="1">
      <c r="A318" s="26">
        <f ca="1">IFERROR(__xludf.DUMMYFUNCTION("""COMPUTED_VALUE"""),19505)</f>
        <v>19505</v>
      </c>
      <c r="B318" s="86">
        <f ca="1">IFERROR(__xludf.DUMMYFUNCTION("""COMPUTED_VALUE"""),45137.7511574074)</f>
        <v>45137.751157407401</v>
      </c>
      <c r="C318" s="1" t="str">
        <f ca="1">IFERROR(__xludf.DUMMYFUNCTION("""COMPUTED_VALUE"""),"completed")</f>
        <v>completed</v>
      </c>
      <c r="D318" s="26">
        <f ca="1">IFERROR(__xludf.DUMMYFUNCTION("""COMPUTED_VALUE"""),26)</f>
        <v>26</v>
      </c>
      <c r="E318" s="1" t="str">
        <f ca="1">IFERROR(__xludf.DUMMYFUNCTION("""COMPUTED_VALUE"""),"Kingsville Minor Baseball Assoc.")</f>
        <v>Kingsville Minor Baseball Assoc.</v>
      </c>
      <c r="F318" s="87" t="str">
        <f t="shared" ca="1" si="0"/>
        <v>2023</v>
      </c>
      <c r="G318" s="1" t="str">
        <f ca="1">IFERROR(__xludf.DUMMYFUNCTION("""COMPUTED_VALUE"""),"Kingsville Minor Baseball Assoc.")</f>
        <v>Kingsville Minor Baseball Assoc.</v>
      </c>
      <c r="H318" s="26">
        <f t="shared" ca="1" si="1"/>
        <v>26</v>
      </c>
      <c r="I318" s="26">
        <f t="shared" ca="1" si="2"/>
        <v>1</v>
      </c>
      <c r="J318" s="86">
        <f t="shared" ca="1" si="3"/>
        <v>45137</v>
      </c>
      <c r="R318" s="26"/>
    </row>
    <row r="319" spans="1:18" ht="15.75" customHeight="1">
      <c r="A319" s="26">
        <f ca="1">IFERROR(__xludf.DUMMYFUNCTION("""COMPUTED_VALUE"""),19504)</f>
        <v>19504</v>
      </c>
      <c r="B319" s="86">
        <f ca="1">IFERROR(__xludf.DUMMYFUNCTION("""COMPUTED_VALUE"""),45137.6878703703)</f>
        <v>45137.687870370297</v>
      </c>
      <c r="C319" s="1" t="str">
        <f ca="1">IFERROR(__xludf.DUMMYFUNCTION("""COMPUTED_VALUE"""),"completed")</f>
        <v>completed</v>
      </c>
      <c r="D319" s="26">
        <f ca="1">IFERROR(__xludf.DUMMYFUNCTION("""COMPUTED_VALUE"""),26)</f>
        <v>26</v>
      </c>
      <c r="E319" s="1" t="str">
        <f ca="1">IFERROR(__xludf.DUMMYFUNCTION("""COMPUTED_VALUE"""),"Kingsville Minor Baseball Assoc.")</f>
        <v>Kingsville Minor Baseball Assoc.</v>
      </c>
      <c r="F319" s="87" t="str">
        <f t="shared" ca="1" si="0"/>
        <v>2023</v>
      </c>
      <c r="G319" s="1" t="str">
        <f ca="1">IFERROR(__xludf.DUMMYFUNCTION("""COMPUTED_VALUE"""),"Lasalle Stompers")</f>
        <v>Lasalle Stompers</v>
      </c>
      <c r="H319" s="26">
        <f t="shared" ca="1" si="1"/>
        <v>26</v>
      </c>
      <c r="I319" s="26">
        <f t="shared" ca="1" si="2"/>
        <v>1</v>
      </c>
      <c r="J319" s="86">
        <f t="shared" ca="1" si="3"/>
        <v>45137</v>
      </c>
      <c r="R319" s="26"/>
    </row>
    <row r="320" spans="1:18" ht="15.75" customHeight="1">
      <c r="A320" s="26">
        <f ca="1">IFERROR(__xludf.DUMMYFUNCTION("""COMPUTED_VALUE"""),19503)</f>
        <v>19503</v>
      </c>
      <c r="B320" s="86">
        <f ca="1">IFERROR(__xludf.DUMMYFUNCTION("""COMPUTED_VALUE"""),45137.6263194444)</f>
        <v>45137.626319444404</v>
      </c>
      <c r="C320" s="1" t="str">
        <f ca="1">IFERROR(__xludf.DUMMYFUNCTION("""COMPUTED_VALUE"""),"completed")</f>
        <v>completed</v>
      </c>
      <c r="D320" s="26">
        <f ca="1">IFERROR(__xludf.DUMMYFUNCTION("""COMPUTED_VALUE"""),26)</f>
        <v>26</v>
      </c>
      <c r="E320" s="1" t="str">
        <f ca="1">IFERROR(__xludf.DUMMYFUNCTION("""COMPUTED_VALUE"""),"Lasalle Stompers")</f>
        <v>Lasalle Stompers</v>
      </c>
      <c r="F320" s="87" t="str">
        <f t="shared" ca="1" si="0"/>
        <v>2023</v>
      </c>
      <c r="G320" s="1" t="str">
        <f ca="1">IFERROR(__xludf.DUMMYFUNCTION("""COMPUTED_VALUE"""),"Lasalle Stompers")</f>
        <v>Lasalle Stompers</v>
      </c>
      <c r="H320" s="26">
        <f t="shared" ca="1" si="1"/>
        <v>26</v>
      </c>
      <c r="I320" s="26">
        <f t="shared" ca="1" si="2"/>
        <v>1</v>
      </c>
      <c r="J320" s="86">
        <f t="shared" ca="1" si="3"/>
        <v>45137</v>
      </c>
      <c r="R320" s="26"/>
    </row>
    <row r="321" spans="1:18" ht="15.75" customHeight="1">
      <c r="A321" s="26">
        <f ca="1">IFERROR(__xludf.DUMMYFUNCTION("""COMPUTED_VALUE"""),19502)</f>
        <v>19502</v>
      </c>
      <c r="B321" s="86">
        <f ca="1">IFERROR(__xludf.DUMMYFUNCTION("""COMPUTED_VALUE"""),45137.6239930555)</f>
        <v>45137.623993055502</v>
      </c>
      <c r="C321" s="1" t="str">
        <f ca="1">IFERROR(__xludf.DUMMYFUNCTION("""COMPUTED_VALUE"""),"completed")</f>
        <v>completed</v>
      </c>
      <c r="D321" s="26">
        <f ca="1">IFERROR(__xludf.DUMMYFUNCTION("""COMPUTED_VALUE"""),26)</f>
        <v>26</v>
      </c>
      <c r="E321" s="1" t="str">
        <f ca="1">IFERROR(__xludf.DUMMYFUNCTION("""COMPUTED_VALUE"""),"Lasalle Stompers")</f>
        <v>Lasalle Stompers</v>
      </c>
      <c r="F321" s="87" t="str">
        <f t="shared" ca="1" si="0"/>
        <v>2023</v>
      </c>
      <c r="G321" s="1" t="str">
        <f ca="1">IFERROR(__xludf.DUMMYFUNCTION("""COMPUTED_VALUE"""),"Lasalle Stompers")</f>
        <v>Lasalle Stompers</v>
      </c>
      <c r="H321" s="26">
        <f t="shared" ca="1" si="1"/>
        <v>26</v>
      </c>
      <c r="I321" s="26">
        <f t="shared" ca="1" si="2"/>
        <v>1</v>
      </c>
      <c r="J321" s="86">
        <f t="shared" ca="1" si="3"/>
        <v>45137</v>
      </c>
      <c r="R321" s="26"/>
    </row>
    <row r="322" spans="1:18" ht="15.75" customHeight="1">
      <c r="A322" s="26">
        <f ca="1">IFERROR(__xludf.DUMMYFUNCTION("""COMPUTED_VALUE"""),19501)</f>
        <v>19501</v>
      </c>
      <c r="B322" s="86">
        <f ca="1">IFERROR(__xludf.DUMMYFUNCTION("""COMPUTED_VALUE"""),45137.5491203702)</f>
        <v>45137.549120370299</v>
      </c>
      <c r="C322" s="1" t="str">
        <f ca="1">IFERROR(__xludf.DUMMYFUNCTION("""COMPUTED_VALUE"""),"draftpics-created")</f>
        <v>draftpics-created</v>
      </c>
      <c r="D322" s="26">
        <f ca="1">IFERROR(__xludf.DUMMYFUNCTION("""COMPUTED_VALUE"""),0)</f>
        <v>0</v>
      </c>
      <c r="E322" s="1" t="str">
        <f ca="1">IFERROR(__xludf.DUMMYFUNCTION("""COMPUTED_VALUE"""),"Lasalle Stompers")</f>
        <v>Lasalle Stompers</v>
      </c>
      <c r="F322" s="87" t="str">
        <f t="shared" ca="1" si="0"/>
        <v>2023</v>
      </c>
      <c r="G322" s="1" t="str">
        <f ca="1">IFERROR(__xludf.DUMMYFUNCTION("""COMPUTED_VALUE"""),"Kingsville Minor Baseball Assoc.")</f>
        <v>Kingsville Minor Baseball Assoc.</v>
      </c>
      <c r="H322" s="26">
        <f t="shared" ca="1" si="1"/>
        <v>0</v>
      </c>
      <c r="I322" s="26">
        <f t="shared" ca="1" si="2"/>
        <v>1</v>
      </c>
      <c r="J322" s="86">
        <f t="shared" ca="1" si="3"/>
        <v>45137</v>
      </c>
      <c r="R322" s="26"/>
    </row>
    <row r="323" spans="1:18" ht="15.75" customHeight="1">
      <c r="A323" s="26">
        <f ca="1">IFERROR(__xludf.DUMMYFUNCTION("""COMPUTED_VALUE"""),19500)</f>
        <v>19500</v>
      </c>
      <c r="B323" s="86">
        <f ca="1">IFERROR(__xludf.DUMMYFUNCTION("""COMPUTED_VALUE"""),45137.1046643518)</f>
        <v>45137.104664351798</v>
      </c>
      <c r="C323" s="1" t="str">
        <f ca="1">IFERROR(__xludf.DUMMYFUNCTION("""COMPUTED_VALUE"""),"completed")</f>
        <v>completed</v>
      </c>
      <c r="D323" s="26">
        <f ca="1">IFERROR(__xludf.DUMMYFUNCTION("""COMPUTED_VALUE"""),20)</f>
        <v>20</v>
      </c>
      <c r="E323" s="1" t="str">
        <f ca="1">IFERROR(__xludf.DUMMYFUNCTION("""COMPUTED_VALUE"""),"Kingsville Minor Baseball Assoc.")</f>
        <v>Kingsville Minor Baseball Assoc.</v>
      </c>
      <c r="F323" s="87" t="str">
        <f t="shared" ca="1" si="0"/>
        <v>2023</v>
      </c>
      <c r="G323" s="1" t="str">
        <f ca="1">IFERROR(__xludf.DUMMYFUNCTION("""COMPUTED_VALUE"""),"Lasalle Stompers")</f>
        <v>Lasalle Stompers</v>
      </c>
      <c r="H323" s="26">
        <f t="shared" ca="1" si="1"/>
        <v>20</v>
      </c>
      <c r="I323" s="26">
        <f t="shared" ca="1" si="2"/>
        <v>1</v>
      </c>
      <c r="J323" s="86">
        <f t="shared" ca="1" si="3"/>
        <v>45137</v>
      </c>
      <c r="R323" s="26"/>
    </row>
    <row r="324" spans="1:18" ht="15.75" customHeight="1">
      <c r="A324" s="26">
        <f ca="1">IFERROR(__xludf.DUMMYFUNCTION("""COMPUTED_VALUE"""),19499)</f>
        <v>19499</v>
      </c>
      <c r="B324" s="86">
        <f ca="1">IFERROR(__xludf.DUMMYFUNCTION("""COMPUTED_VALUE"""),45137.0010300925)</f>
        <v>45137.001030092499</v>
      </c>
      <c r="C324" s="1" t="str">
        <f ca="1">IFERROR(__xludf.DUMMYFUNCTION("""COMPUTED_VALUE"""),"completed")</f>
        <v>completed</v>
      </c>
      <c r="D324" s="26">
        <f ca="1">IFERROR(__xludf.DUMMYFUNCTION("""COMPUTED_VALUE"""),25)</f>
        <v>25</v>
      </c>
      <c r="E324" s="1" t="str">
        <f ca="1">IFERROR(__xludf.DUMMYFUNCTION("""COMPUTED_VALUE"""),"Lasalle Stompers")</f>
        <v>Lasalle Stompers</v>
      </c>
      <c r="F324" s="87" t="str">
        <f t="shared" ca="1" si="0"/>
        <v>2023</v>
      </c>
      <c r="G324" s="1" t="str">
        <f ca="1">IFERROR(__xludf.DUMMYFUNCTION("""COMPUTED_VALUE"""),"Lasalle Stompers")</f>
        <v>Lasalle Stompers</v>
      </c>
      <c r="H324" s="26">
        <f t="shared" ca="1" si="1"/>
        <v>25</v>
      </c>
      <c r="I324" s="26">
        <f t="shared" ca="1" si="2"/>
        <v>1</v>
      </c>
      <c r="J324" s="86">
        <f t="shared" ca="1" si="3"/>
        <v>45137</v>
      </c>
      <c r="R324" s="26"/>
    </row>
    <row r="325" spans="1:18" ht="15.75" customHeight="1">
      <c r="A325" s="26">
        <f ca="1">IFERROR(__xludf.DUMMYFUNCTION("""COMPUTED_VALUE"""),19498)</f>
        <v>19498</v>
      </c>
      <c r="B325" s="86">
        <f ca="1">IFERROR(__xludf.DUMMYFUNCTION("""COMPUTED_VALUE"""),45136.7682407407)</f>
        <v>45136.768240740697</v>
      </c>
      <c r="C325" s="1" t="str">
        <f ca="1">IFERROR(__xludf.DUMMYFUNCTION("""COMPUTED_VALUE"""),"completed")</f>
        <v>completed</v>
      </c>
      <c r="D325" s="26">
        <f ca="1">IFERROR(__xludf.DUMMYFUNCTION("""COMPUTED_VALUE"""),15)</f>
        <v>15</v>
      </c>
      <c r="E325" s="1" t="str">
        <f ca="1">IFERROR(__xludf.DUMMYFUNCTION("""COMPUTED_VALUE"""),"Lasalle Stompers")</f>
        <v>Lasalle Stompers</v>
      </c>
      <c r="F325" s="87" t="str">
        <f t="shared" ca="1" si="0"/>
        <v>2023</v>
      </c>
      <c r="G325" s="1" t="str">
        <f ca="1">IFERROR(__xludf.DUMMYFUNCTION("""COMPUTED_VALUE"""),"Lasalle Stompers")</f>
        <v>Lasalle Stompers</v>
      </c>
      <c r="H325" s="26">
        <f t="shared" ca="1" si="1"/>
        <v>15</v>
      </c>
      <c r="I325" s="26">
        <f t="shared" ca="1" si="2"/>
        <v>1</v>
      </c>
      <c r="J325" s="86">
        <f t="shared" ca="1" si="3"/>
        <v>45136</v>
      </c>
      <c r="R325" s="26"/>
    </row>
    <row r="326" spans="1:18" ht="15.75" customHeight="1">
      <c r="A326" s="26">
        <f ca="1">IFERROR(__xludf.DUMMYFUNCTION("""COMPUTED_VALUE"""),19497)</f>
        <v>19497</v>
      </c>
      <c r="B326" s="86">
        <f ca="1">IFERROR(__xludf.DUMMYFUNCTION("""COMPUTED_VALUE"""),45136.6842824073)</f>
        <v>45136.684282407397</v>
      </c>
      <c r="C326" s="1" t="str">
        <f ca="1">IFERROR(__xludf.DUMMYFUNCTION("""COMPUTED_VALUE"""),"completed")</f>
        <v>completed</v>
      </c>
      <c r="D326" s="26">
        <f ca="1">IFERROR(__xludf.DUMMYFUNCTION("""COMPUTED_VALUE"""),25)</f>
        <v>25</v>
      </c>
      <c r="E326" s="1" t="str">
        <f ca="1">IFERROR(__xludf.DUMMYFUNCTION("""COMPUTED_VALUE"""),"Lasalle Stompers")</f>
        <v>Lasalle Stompers</v>
      </c>
      <c r="F326" s="87" t="str">
        <f t="shared" ca="1" si="0"/>
        <v>2023</v>
      </c>
      <c r="G326" s="1" t="str">
        <f ca="1">IFERROR(__xludf.DUMMYFUNCTION("""COMPUTED_VALUE"""),"Harrow Minor Baseball")</f>
        <v>Harrow Minor Baseball</v>
      </c>
      <c r="H326" s="26">
        <f t="shared" ca="1" si="1"/>
        <v>25</v>
      </c>
      <c r="I326" s="26">
        <f t="shared" ca="1" si="2"/>
        <v>1</v>
      </c>
      <c r="J326" s="86">
        <f t="shared" ca="1" si="3"/>
        <v>45136</v>
      </c>
      <c r="R326" s="26"/>
    </row>
    <row r="327" spans="1:18" ht="15.75" customHeight="1">
      <c r="A327" s="26">
        <f ca="1">IFERROR(__xludf.DUMMYFUNCTION("""COMPUTED_VALUE"""),19496)</f>
        <v>19496</v>
      </c>
      <c r="B327" s="86">
        <f ca="1">IFERROR(__xludf.DUMMYFUNCTION("""COMPUTED_VALUE"""),45136.5461921296)</f>
        <v>45136.546192129601</v>
      </c>
      <c r="C327" s="1" t="str">
        <f ca="1">IFERROR(__xludf.DUMMYFUNCTION("""COMPUTED_VALUE"""),"completed")</f>
        <v>completed</v>
      </c>
      <c r="D327" s="26">
        <f ca="1">IFERROR(__xludf.DUMMYFUNCTION("""COMPUTED_VALUE"""),35)</f>
        <v>35</v>
      </c>
      <c r="E327" s="1" t="str">
        <f ca="1">IFERROR(__xludf.DUMMYFUNCTION("""COMPUTED_VALUE"""),"Harrow Minor Baseball")</f>
        <v>Harrow Minor Baseball</v>
      </c>
      <c r="F327" s="87" t="str">
        <f t="shared" ca="1" si="0"/>
        <v>2023</v>
      </c>
      <c r="G327" s="1" t="str">
        <f ca="1">IFERROR(__xludf.DUMMYFUNCTION("""COMPUTED_VALUE"""),"Kingsville Minor Baseball Assoc.")</f>
        <v>Kingsville Minor Baseball Assoc.</v>
      </c>
      <c r="H327" s="26">
        <f t="shared" ca="1" si="1"/>
        <v>35</v>
      </c>
      <c r="I327" s="26">
        <f t="shared" ca="1" si="2"/>
        <v>1</v>
      </c>
      <c r="J327" s="86">
        <f t="shared" ca="1" si="3"/>
        <v>45136</v>
      </c>
      <c r="R327" s="26"/>
    </row>
    <row r="328" spans="1:18" ht="15.75" customHeight="1">
      <c r="A328" s="26">
        <f ca="1">IFERROR(__xludf.DUMMYFUNCTION("""COMPUTED_VALUE"""),19494)</f>
        <v>19494</v>
      </c>
      <c r="B328" s="86">
        <f ca="1">IFERROR(__xludf.DUMMYFUNCTION("""COMPUTED_VALUE"""),45136.0544212963)</f>
        <v>45136.0544212963</v>
      </c>
      <c r="C328" s="1" t="str">
        <f ca="1">IFERROR(__xludf.DUMMYFUNCTION("""COMPUTED_VALUE"""),"completed")</f>
        <v>completed</v>
      </c>
      <c r="D328" s="26">
        <f ca="1">IFERROR(__xludf.DUMMYFUNCTION("""COMPUTED_VALUE"""),35)</f>
        <v>35</v>
      </c>
      <c r="E328" s="1" t="str">
        <f ca="1">IFERROR(__xludf.DUMMYFUNCTION("""COMPUTED_VALUE"""),"Kingsville Minor Baseball Assoc.")</f>
        <v>Kingsville Minor Baseball Assoc.</v>
      </c>
      <c r="F328" s="87" t="str">
        <f t="shared" ca="1" si="0"/>
        <v>2023</v>
      </c>
      <c r="G328" s="1" t="str">
        <f ca="1">IFERROR(__xludf.DUMMYFUNCTION("""COMPUTED_VALUE"""),"Kingsville Minor Baseball Assoc.")</f>
        <v>Kingsville Minor Baseball Assoc.</v>
      </c>
      <c r="H328" s="26">
        <f t="shared" ca="1" si="1"/>
        <v>35</v>
      </c>
      <c r="I328" s="26">
        <f t="shared" ca="1" si="2"/>
        <v>1</v>
      </c>
      <c r="J328" s="86">
        <f t="shared" ca="1" si="3"/>
        <v>45136</v>
      </c>
      <c r="R328" s="26"/>
    </row>
    <row r="329" spans="1:18" ht="15.75" customHeight="1">
      <c r="A329" s="26">
        <f ca="1">IFERROR(__xludf.DUMMYFUNCTION("""COMPUTED_VALUE"""),19493)</f>
        <v>19493</v>
      </c>
      <c r="B329" s="86">
        <f ca="1">IFERROR(__xludf.DUMMYFUNCTION("""COMPUTED_VALUE"""),45135.9445254629)</f>
        <v>45135.944525462903</v>
      </c>
      <c r="C329" s="1" t="str">
        <f ca="1">IFERROR(__xludf.DUMMYFUNCTION("""COMPUTED_VALUE"""),"completed")</f>
        <v>completed</v>
      </c>
      <c r="D329" s="26">
        <f ca="1">IFERROR(__xludf.DUMMYFUNCTION("""COMPUTED_VALUE"""),35)</f>
        <v>35</v>
      </c>
      <c r="E329" s="1" t="str">
        <f ca="1">IFERROR(__xludf.DUMMYFUNCTION("""COMPUTED_VALUE"""),"Kingsville Minor Baseball Assoc.")</f>
        <v>Kingsville Minor Baseball Assoc.</v>
      </c>
      <c r="F329" s="87" t="str">
        <f t="shared" ca="1" si="0"/>
        <v>2023</v>
      </c>
      <c r="G329" s="1" t="str">
        <f ca="1">IFERROR(__xludf.DUMMYFUNCTION("""COMPUTED_VALUE"""),"Harrow Minor Baseball")</f>
        <v>Harrow Minor Baseball</v>
      </c>
      <c r="H329" s="26">
        <f t="shared" ca="1" si="1"/>
        <v>35</v>
      </c>
      <c r="I329" s="26">
        <f t="shared" ca="1" si="2"/>
        <v>1</v>
      </c>
      <c r="J329" s="86">
        <f t="shared" ca="1" si="3"/>
        <v>45135</v>
      </c>
      <c r="R329" s="26"/>
    </row>
    <row r="330" spans="1:18" ht="15.75" customHeight="1">
      <c r="A330" s="26">
        <f ca="1">IFERROR(__xludf.DUMMYFUNCTION("""COMPUTED_VALUE"""),19492)</f>
        <v>19492</v>
      </c>
      <c r="B330" s="86">
        <f ca="1">IFERROR(__xludf.DUMMYFUNCTION("""COMPUTED_VALUE"""),45135.9308912037)</f>
        <v>45135.930891203701</v>
      </c>
      <c r="C330" s="1" t="str">
        <f ca="1">IFERROR(__xludf.DUMMYFUNCTION("""COMPUTED_VALUE"""),"draftpics-created")</f>
        <v>draftpics-created</v>
      </c>
      <c r="D330" s="26">
        <f ca="1">IFERROR(__xludf.DUMMYFUNCTION("""COMPUTED_VALUE"""),25)</f>
        <v>25</v>
      </c>
      <c r="E330" s="1" t="str">
        <f ca="1">IFERROR(__xludf.DUMMYFUNCTION("""COMPUTED_VALUE"""),"Harrow Minor Baseball")</f>
        <v>Harrow Minor Baseball</v>
      </c>
      <c r="F330" s="87" t="str">
        <f t="shared" ca="1" si="0"/>
        <v>2023</v>
      </c>
      <c r="G330" s="1" t="str">
        <f ca="1">IFERROR(__xludf.DUMMYFUNCTION("""COMPUTED_VALUE"""),"Lasalle Stompers")</f>
        <v>Lasalle Stompers</v>
      </c>
      <c r="H330" s="26">
        <f t="shared" ca="1" si="1"/>
        <v>25</v>
      </c>
      <c r="I330" s="26">
        <f t="shared" ca="1" si="2"/>
        <v>1</v>
      </c>
      <c r="J330" s="86">
        <f t="shared" ca="1" si="3"/>
        <v>45135</v>
      </c>
      <c r="R330" s="26"/>
    </row>
    <row r="331" spans="1:18" ht="15.75" customHeight="1">
      <c r="A331" s="26">
        <f ca="1">IFERROR(__xludf.DUMMYFUNCTION("""COMPUTED_VALUE"""),19491)</f>
        <v>19491</v>
      </c>
      <c r="B331" s="86">
        <f ca="1">IFERROR(__xludf.DUMMYFUNCTION("""COMPUTED_VALUE"""),45133.8816435185)</f>
        <v>45133.8816435185</v>
      </c>
      <c r="C331" s="1" t="str">
        <f ca="1">IFERROR(__xludf.DUMMYFUNCTION("""COMPUTED_VALUE"""),"completed")</f>
        <v>completed</v>
      </c>
      <c r="D331" s="26">
        <f ca="1">IFERROR(__xludf.DUMMYFUNCTION("""COMPUTED_VALUE"""),20)</f>
        <v>20</v>
      </c>
      <c r="E331" s="1" t="str">
        <f ca="1">IFERROR(__xludf.DUMMYFUNCTION("""COMPUTED_VALUE"""),"Lasalle Stompers")</f>
        <v>Lasalle Stompers</v>
      </c>
      <c r="F331" s="87" t="str">
        <f t="shared" ca="1" si="0"/>
        <v>2023</v>
      </c>
      <c r="G331" s="1" t="str">
        <f ca="1">IFERROR(__xludf.DUMMYFUNCTION("""COMPUTED_VALUE"""),"Lasalle Stompers")</f>
        <v>Lasalle Stompers</v>
      </c>
      <c r="H331" s="26">
        <f t="shared" ca="1" si="1"/>
        <v>20</v>
      </c>
      <c r="I331" s="26">
        <f t="shared" ca="1" si="2"/>
        <v>1</v>
      </c>
      <c r="J331" s="86">
        <f t="shared" ca="1" si="3"/>
        <v>45133</v>
      </c>
      <c r="R331" s="26"/>
    </row>
    <row r="332" spans="1:18" ht="15.75" customHeight="1">
      <c r="A332" s="26">
        <f ca="1">IFERROR(__xludf.DUMMYFUNCTION("""COMPUTED_VALUE"""),19490)</f>
        <v>19490</v>
      </c>
      <c r="B332" s="86">
        <f ca="1">IFERROR(__xludf.DUMMYFUNCTION("""COMPUTED_VALUE"""),45133.8442129629)</f>
        <v>45133.844212962897</v>
      </c>
      <c r="C332" s="1" t="str">
        <f ca="1">IFERROR(__xludf.DUMMYFUNCTION("""COMPUTED_VALUE"""),"completed")</f>
        <v>completed</v>
      </c>
      <c r="D332" s="26">
        <f ca="1">IFERROR(__xludf.DUMMYFUNCTION("""COMPUTED_VALUE"""),25)</f>
        <v>25</v>
      </c>
      <c r="E332" s="1" t="str">
        <f ca="1">IFERROR(__xludf.DUMMYFUNCTION("""COMPUTED_VALUE"""),"Lasalle Stompers")</f>
        <v>Lasalle Stompers</v>
      </c>
      <c r="F332" s="87" t="str">
        <f t="shared" ca="1" si="0"/>
        <v>2023</v>
      </c>
      <c r="G332" s="1" t="str">
        <f ca="1">IFERROR(__xludf.DUMMYFUNCTION("""COMPUTED_VALUE"""),"Lasalle Stompers")</f>
        <v>Lasalle Stompers</v>
      </c>
      <c r="H332" s="26">
        <f t="shared" ca="1" si="1"/>
        <v>25</v>
      </c>
      <c r="I332" s="26">
        <f t="shared" ca="1" si="2"/>
        <v>1</v>
      </c>
      <c r="J332" s="86">
        <f t="shared" ca="1" si="3"/>
        <v>45133</v>
      </c>
      <c r="R332" s="26"/>
    </row>
    <row r="333" spans="1:18" ht="15.75" customHeight="1">
      <c r="A333" s="26">
        <f ca="1">IFERROR(__xludf.DUMMYFUNCTION("""COMPUTED_VALUE"""),19489)</f>
        <v>19489</v>
      </c>
      <c r="B333" s="86">
        <f ca="1">IFERROR(__xludf.DUMMYFUNCTION("""COMPUTED_VALUE"""),45133.8131828703)</f>
        <v>45133.813182870297</v>
      </c>
      <c r="C333" s="1" t="str">
        <f ca="1">IFERROR(__xludf.DUMMYFUNCTION("""COMPUTED_VALUE"""),"completed")</f>
        <v>completed</v>
      </c>
      <c r="D333" s="26">
        <f ca="1">IFERROR(__xludf.DUMMYFUNCTION("""COMPUTED_VALUE"""),25)</f>
        <v>25</v>
      </c>
      <c r="E333" s="1" t="str">
        <f ca="1">IFERROR(__xludf.DUMMYFUNCTION("""COMPUTED_VALUE"""),"Lasalle Stompers")</f>
        <v>Lasalle Stompers</v>
      </c>
      <c r="F333" s="87" t="str">
        <f t="shared" ca="1" si="0"/>
        <v>2023</v>
      </c>
      <c r="G333" s="1" t="str">
        <f ca="1">IFERROR(__xludf.DUMMYFUNCTION("""COMPUTED_VALUE"""),"Lasalle Stompers")</f>
        <v>Lasalle Stompers</v>
      </c>
      <c r="H333" s="26">
        <f t="shared" ca="1" si="1"/>
        <v>25</v>
      </c>
      <c r="I333" s="26">
        <f t="shared" ca="1" si="2"/>
        <v>1</v>
      </c>
      <c r="J333" s="86">
        <f t="shared" ca="1" si="3"/>
        <v>45133</v>
      </c>
      <c r="R333" s="26"/>
    </row>
    <row r="334" spans="1:18" ht="15.75" customHeight="1">
      <c r="A334" s="26">
        <f ca="1">IFERROR(__xludf.DUMMYFUNCTION("""COMPUTED_VALUE"""),19488)</f>
        <v>19488</v>
      </c>
      <c r="B334" s="86">
        <f ca="1">IFERROR(__xludf.DUMMYFUNCTION("""COMPUTED_VALUE"""),45133.8106597222)</f>
        <v>45133.810659722199</v>
      </c>
      <c r="C334" s="1" t="str">
        <f ca="1">IFERROR(__xludf.DUMMYFUNCTION("""COMPUTED_VALUE"""),"completed")</f>
        <v>completed</v>
      </c>
      <c r="D334" s="26">
        <f ca="1">IFERROR(__xludf.DUMMYFUNCTION("""COMPUTED_VALUE"""),25)</f>
        <v>25</v>
      </c>
      <c r="E334" s="1" t="str">
        <f ca="1">IFERROR(__xludf.DUMMYFUNCTION("""COMPUTED_VALUE"""),"Lasalle Stompers")</f>
        <v>Lasalle Stompers</v>
      </c>
      <c r="F334" s="87" t="str">
        <f t="shared" ca="1" si="0"/>
        <v>2023</v>
      </c>
      <c r="G334" s="1" t="str">
        <f ca="1">IFERROR(__xludf.DUMMYFUNCTION("""COMPUTED_VALUE"""),"Lasalle Stompers")</f>
        <v>Lasalle Stompers</v>
      </c>
      <c r="H334" s="26">
        <f t="shared" ca="1" si="1"/>
        <v>25</v>
      </c>
      <c r="I334" s="26">
        <f t="shared" ca="1" si="2"/>
        <v>1</v>
      </c>
      <c r="J334" s="86">
        <f t="shared" ca="1" si="3"/>
        <v>45133</v>
      </c>
      <c r="R334" s="26"/>
    </row>
    <row r="335" spans="1:18" ht="15.75" customHeight="1">
      <c r="A335" s="26">
        <f ca="1">IFERROR(__xludf.DUMMYFUNCTION("""COMPUTED_VALUE"""),19487)</f>
        <v>19487</v>
      </c>
      <c r="B335" s="86">
        <f ca="1">IFERROR(__xludf.DUMMYFUNCTION("""COMPUTED_VALUE"""),45133.8086342592)</f>
        <v>45133.8086342592</v>
      </c>
      <c r="C335" s="1" t="str">
        <f ca="1">IFERROR(__xludf.DUMMYFUNCTION("""COMPUTED_VALUE"""),"completed")</f>
        <v>completed</v>
      </c>
      <c r="D335" s="26">
        <f ca="1">IFERROR(__xludf.DUMMYFUNCTION("""COMPUTED_VALUE"""),0)</f>
        <v>0</v>
      </c>
      <c r="E335" s="1" t="str">
        <f ca="1">IFERROR(__xludf.DUMMYFUNCTION("""COMPUTED_VALUE"""),"Lasalle Stompers")</f>
        <v>Lasalle Stompers</v>
      </c>
      <c r="F335" s="87" t="str">
        <f t="shared" ca="1" si="0"/>
        <v>2023</v>
      </c>
      <c r="G335" s="1" t="str">
        <f ca="1">IFERROR(__xludf.DUMMYFUNCTION("""COMPUTED_VALUE"""),"Lasalle Stompers")</f>
        <v>Lasalle Stompers</v>
      </c>
      <c r="H335" s="26">
        <f t="shared" ca="1" si="1"/>
        <v>0</v>
      </c>
      <c r="I335" s="26">
        <f t="shared" ca="1" si="2"/>
        <v>1</v>
      </c>
      <c r="J335" s="86">
        <f t="shared" ca="1" si="3"/>
        <v>45133</v>
      </c>
      <c r="R335" s="26"/>
    </row>
    <row r="336" spans="1:18" ht="15.75" customHeight="1">
      <c r="A336" s="26">
        <f ca="1">IFERROR(__xludf.DUMMYFUNCTION("""COMPUTED_VALUE"""),19486)</f>
        <v>19486</v>
      </c>
      <c r="B336" s="86">
        <f ca="1">IFERROR(__xludf.DUMMYFUNCTION("""COMPUTED_VALUE"""),45133.8070601851)</f>
        <v>45133.8070601851</v>
      </c>
      <c r="C336" s="1" t="str">
        <f ca="1">IFERROR(__xludf.DUMMYFUNCTION("""COMPUTED_VALUE"""),"completed")</f>
        <v>completed</v>
      </c>
      <c r="D336" s="26">
        <f ca="1">IFERROR(__xludf.DUMMYFUNCTION("""COMPUTED_VALUE"""),25)</f>
        <v>25</v>
      </c>
      <c r="E336" s="1" t="str">
        <f ca="1">IFERROR(__xludf.DUMMYFUNCTION("""COMPUTED_VALUE"""),"Lasalle Stompers")</f>
        <v>Lasalle Stompers</v>
      </c>
      <c r="F336" s="87" t="str">
        <f t="shared" ca="1" si="0"/>
        <v>2023</v>
      </c>
      <c r="G336" s="1" t="str">
        <f ca="1">IFERROR(__xludf.DUMMYFUNCTION("""COMPUTED_VALUE"""),"Lasalle Stompers")</f>
        <v>Lasalle Stompers</v>
      </c>
      <c r="H336" s="26">
        <f t="shared" ca="1" si="1"/>
        <v>25</v>
      </c>
      <c r="I336" s="26">
        <f t="shared" ca="1" si="2"/>
        <v>1</v>
      </c>
      <c r="J336" s="86">
        <f t="shared" ca="1" si="3"/>
        <v>45133</v>
      </c>
      <c r="R336" s="26"/>
    </row>
    <row r="337" spans="1:18" ht="15.75" customHeight="1">
      <c r="A337" s="26">
        <f ca="1">IFERROR(__xludf.DUMMYFUNCTION("""COMPUTED_VALUE"""),19485)</f>
        <v>19485</v>
      </c>
      <c r="B337" s="86">
        <f ca="1">IFERROR(__xludf.DUMMYFUNCTION("""COMPUTED_VALUE"""),45133.6077893518)</f>
        <v>45133.607789351801</v>
      </c>
      <c r="C337" s="1" t="str">
        <f ca="1">IFERROR(__xludf.DUMMYFUNCTION("""COMPUTED_VALUE"""),"completed")</f>
        <v>completed</v>
      </c>
      <c r="D337" s="26">
        <f ca="1">IFERROR(__xludf.DUMMYFUNCTION("""COMPUTED_VALUE"""),18)</f>
        <v>18</v>
      </c>
      <c r="E337" s="1" t="str">
        <f ca="1">IFERROR(__xludf.DUMMYFUNCTION("""COMPUTED_VALUE"""),"Lasalle Stompers")</f>
        <v>Lasalle Stompers</v>
      </c>
      <c r="F337" s="87" t="str">
        <f t="shared" ca="1" si="0"/>
        <v>2023</v>
      </c>
      <c r="G337" s="1" t="str">
        <f ca="1">IFERROR(__xludf.DUMMYFUNCTION("""COMPUTED_VALUE"""),"Lasalle Stompers")</f>
        <v>Lasalle Stompers</v>
      </c>
      <c r="H337" s="26">
        <f t="shared" ca="1" si="1"/>
        <v>18</v>
      </c>
      <c r="I337" s="26">
        <f t="shared" ca="1" si="2"/>
        <v>1</v>
      </c>
      <c r="J337" s="86">
        <f t="shared" ca="1" si="3"/>
        <v>45133</v>
      </c>
      <c r="R337" s="26"/>
    </row>
    <row r="338" spans="1:18" ht="15.75" customHeight="1">
      <c r="A338" s="26">
        <f ca="1">IFERROR(__xludf.DUMMYFUNCTION("""COMPUTED_VALUE"""),19484)</f>
        <v>19484</v>
      </c>
      <c r="B338" s="86">
        <f ca="1">IFERROR(__xludf.DUMMYFUNCTION("""COMPUTED_VALUE"""),45133.5566898148)</f>
        <v>45133.556689814803</v>
      </c>
      <c r="C338" s="1" t="str">
        <f ca="1">IFERROR(__xludf.DUMMYFUNCTION("""COMPUTED_VALUE"""),"completed")</f>
        <v>completed</v>
      </c>
      <c r="D338" s="26">
        <f ca="1">IFERROR(__xludf.DUMMYFUNCTION("""COMPUTED_VALUE"""),43)</f>
        <v>43</v>
      </c>
      <c r="E338" s="1" t="str">
        <f ca="1">IFERROR(__xludf.DUMMYFUNCTION("""COMPUTED_VALUE"""),"Lasalle Stompers")</f>
        <v>Lasalle Stompers</v>
      </c>
      <c r="F338" s="87" t="str">
        <f t="shared" ca="1" si="0"/>
        <v>2023</v>
      </c>
      <c r="G338" s="1" t="str">
        <f ca="1">IFERROR(__xludf.DUMMYFUNCTION("""COMPUTED_VALUE"""),"Lasalle Stompers")</f>
        <v>Lasalle Stompers</v>
      </c>
      <c r="H338" s="26">
        <f t="shared" ca="1" si="1"/>
        <v>43</v>
      </c>
      <c r="I338" s="26">
        <f t="shared" ca="1" si="2"/>
        <v>1</v>
      </c>
      <c r="J338" s="86">
        <f t="shared" ca="1" si="3"/>
        <v>45133</v>
      </c>
      <c r="R338" s="26"/>
    </row>
    <row r="339" spans="1:18" ht="15.75" customHeight="1">
      <c r="A339" s="26">
        <f ca="1">IFERROR(__xludf.DUMMYFUNCTION("""COMPUTED_VALUE"""),19483)</f>
        <v>19483</v>
      </c>
      <c r="B339" s="86">
        <f ca="1">IFERROR(__xludf.DUMMYFUNCTION("""COMPUTED_VALUE"""),45133.0901504629)</f>
        <v>45133.0901504629</v>
      </c>
      <c r="C339" s="1" t="str">
        <f ca="1">IFERROR(__xludf.DUMMYFUNCTION("""COMPUTED_VALUE"""),"completed")</f>
        <v>completed</v>
      </c>
      <c r="D339" s="26">
        <f ca="1">IFERROR(__xludf.DUMMYFUNCTION("""COMPUTED_VALUE"""),20)</f>
        <v>20</v>
      </c>
      <c r="E339" s="1" t="str">
        <f ca="1">IFERROR(__xludf.DUMMYFUNCTION("""COMPUTED_VALUE"""),"Lasalle Stompers")</f>
        <v>Lasalle Stompers</v>
      </c>
      <c r="F339" s="87" t="str">
        <f t="shared" ca="1" si="0"/>
        <v>2023</v>
      </c>
      <c r="G339" s="1" t="str">
        <f ca="1">IFERROR(__xludf.DUMMYFUNCTION("""COMPUTED_VALUE"""),"Lasalle Stompers")</f>
        <v>Lasalle Stompers</v>
      </c>
      <c r="H339" s="26">
        <f t="shared" ca="1" si="1"/>
        <v>20</v>
      </c>
      <c r="I339" s="26">
        <f t="shared" ca="1" si="2"/>
        <v>1</v>
      </c>
      <c r="J339" s="86">
        <f t="shared" ca="1" si="3"/>
        <v>45133</v>
      </c>
      <c r="R339" s="26"/>
    </row>
    <row r="340" spans="1:18" ht="15.75" customHeight="1">
      <c r="A340" s="26">
        <f ca="1">IFERROR(__xludf.DUMMYFUNCTION("""COMPUTED_VALUE"""),19482)</f>
        <v>19482</v>
      </c>
      <c r="B340" s="86">
        <f ca="1">IFERROR(__xludf.DUMMYFUNCTION("""COMPUTED_VALUE"""),45132.8484027777)</f>
        <v>45132.848402777701</v>
      </c>
      <c r="C340" s="1" t="str">
        <f ca="1">IFERROR(__xludf.DUMMYFUNCTION("""COMPUTED_VALUE"""),"completed")</f>
        <v>completed</v>
      </c>
      <c r="D340" s="26">
        <f ca="1">IFERROR(__xludf.DUMMYFUNCTION("""COMPUTED_VALUE"""),69)</f>
        <v>69</v>
      </c>
      <c r="E340" s="1" t="str">
        <f ca="1">IFERROR(__xludf.DUMMYFUNCTION("""COMPUTED_VALUE"""),"Lasalle Stompers")</f>
        <v>Lasalle Stompers</v>
      </c>
      <c r="F340" s="87" t="str">
        <f t="shared" ca="1" si="0"/>
        <v>2023</v>
      </c>
      <c r="G340" s="1" t="str">
        <f ca="1">IFERROR(__xludf.DUMMYFUNCTION("""COMPUTED_VALUE"""),"Lasalle Stompers")</f>
        <v>Lasalle Stompers</v>
      </c>
      <c r="H340" s="26">
        <f t="shared" ca="1" si="1"/>
        <v>69</v>
      </c>
      <c r="I340" s="26">
        <f t="shared" ca="1" si="2"/>
        <v>1</v>
      </c>
      <c r="J340" s="86">
        <f t="shared" ca="1" si="3"/>
        <v>45132</v>
      </c>
      <c r="R340" s="26"/>
    </row>
    <row r="341" spans="1:18" ht="15.75" customHeight="1">
      <c r="A341" s="26">
        <f ca="1">IFERROR(__xludf.DUMMYFUNCTION("""COMPUTED_VALUE"""),19481)</f>
        <v>19481</v>
      </c>
      <c r="B341" s="86">
        <f ca="1">IFERROR(__xludf.DUMMYFUNCTION("""COMPUTED_VALUE"""),45132.7890393518)</f>
        <v>45132.789039351803</v>
      </c>
      <c r="C341" s="1" t="str">
        <f ca="1">IFERROR(__xludf.DUMMYFUNCTION("""COMPUTED_VALUE"""),"completed")</f>
        <v>completed</v>
      </c>
      <c r="D341" s="26">
        <f ca="1">IFERROR(__xludf.DUMMYFUNCTION("""COMPUTED_VALUE"""),25)</f>
        <v>25</v>
      </c>
      <c r="E341" s="1" t="str">
        <f ca="1">IFERROR(__xludf.DUMMYFUNCTION("""COMPUTED_VALUE"""),"Lasalle Stompers")</f>
        <v>Lasalle Stompers</v>
      </c>
      <c r="F341" s="87" t="str">
        <f t="shared" ca="1" si="0"/>
        <v>2023</v>
      </c>
      <c r="G341" s="1" t="str">
        <f ca="1">IFERROR(__xludf.DUMMYFUNCTION("""COMPUTED_VALUE"""),"Lasalle Stompers")</f>
        <v>Lasalle Stompers</v>
      </c>
      <c r="H341" s="26">
        <f t="shared" ca="1" si="1"/>
        <v>25</v>
      </c>
      <c r="I341" s="26">
        <f t="shared" ca="1" si="2"/>
        <v>1</v>
      </c>
      <c r="J341" s="86">
        <f t="shared" ca="1" si="3"/>
        <v>45132</v>
      </c>
      <c r="R341" s="26"/>
    </row>
    <row r="342" spans="1:18" ht="15.75" customHeight="1">
      <c r="A342" s="26">
        <f ca="1">IFERROR(__xludf.DUMMYFUNCTION("""COMPUTED_VALUE"""),19480)</f>
        <v>19480</v>
      </c>
      <c r="B342" s="86">
        <f ca="1">IFERROR(__xludf.DUMMYFUNCTION("""COMPUTED_VALUE"""),45132.6153009259)</f>
        <v>45132.6153009259</v>
      </c>
      <c r="C342" s="1" t="str">
        <f ca="1">IFERROR(__xludf.DUMMYFUNCTION("""COMPUTED_VALUE"""),"completed")</f>
        <v>completed</v>
      </c>
      <c r="D342" s="26">
        <f ca="1">IFERROR(__xludf.DUMMYFUNCTION("""COMPUTED_VALUE"""),18)</f>
        <v>18</v>
      </c>
      <c r="E342" s="1" t="str">
        <f ca="1">IFERROR(__xludf.DUMMYFUNCTION("""COMPUTED_VALUE"""),"Lasalle Stompers")</f>
        <v>Lasalle Stompers</v>
      </c>
      <c r="F342" s="87" t="str">
        <f t="shared" ca="1" si="0"/>
        <v>2023</v>
      </c>
      <c r="G342" s="1" t="str">
        <f ca="1">IFERROR(__xludf.DUMMYFUNCTION("""COMPUTED_VALUE"""),"Lasalle Stompers")</f>
        <v>Lasalle Stompers</v>
      </c>
      <c r="H342" s="26">
        <f t="shared" ca="1" si="1"/>
        <v>18</v>
      </c>
      <c r="I342" s="26">
        <f t="shared" ca="1" si="2"/>
        <v>1</v>
      </c>
      <c r="J342" s="86">
        <f t="shared" ca="1" si="3"/>
        <v>45132</v>
      </c>
      <c r="R342" s="26"/>
    </row>
    <row r="343" spans="1:18" ht="15.75" customHeight="1">
      <c r="A343" s="26">
        <f ca="1">IFERROR(__xludf.DUMMYFUNCTION("""COMPUTED_VALUE"""),19479)</f>
        <v>19479</v>
      </c>
      <c r="B343" s="86">
        <f ca="1">IFERROR(__xludf.DUMMYFUNCTION("""COMPUTED_VALUE"""),45132.6002083333)</f>
        <v>45132.600208333301</v>
      </c>
      <c r="C343" s="1" t="str">
        <f ca="1">IFERROR(__xludf.DUMMYFUNCTION("""COMPUTED_VALUE"""),"completed")</f>
        <v>completed</v>
      </c>
      <c r="D343" s="26">
        <f ca="1">IFERROR(__xludf.DUMMYFUNCTION("""COMPUTED_VALUE"""),25)</f>
        <v>25</v>
      </c>
      <c r="E343" s="1" t="str">
        <f ca="1">IFERROR(__xludf.DUMMYFUNCTION("""COMPUTED_VALUE"""),"Lasalle Stompers")</f>
        <v>Lasalle Stompers</v>
      </c>
      <c r="F343" s="87" t="str">
        <f t="shared" ca="1" si="0"/>
        <v>2023</v>
      </c>
      <c r="G343" s="1" t="str">
        <f ca="1">IFERROR(__xludf.DUMMYFUNCTION("""COMPUTED_VALUE"""),"Kingsville Minor Baseball Assoc.")</f>
        <v>Kingsville Minor Baseball Assoc.</v>
      </c>
      <c r="H343" s="26">
        <f t="shared" ca="1" si="1"/>
        <v>25</v>
      </c>
      <c r="I343" s="26">
        <f t="shared" ca="1" si="2"/>
        <v>1</v>
      </c>
      <c r="J343" s="86">
        <f t="shared" ca="1" si="3"/>
        <v>45132</v>
      </c>
      <c r="R343" s="26"/>
    </row>
    <row r="344" spans="1:18" ht="15.75" customHeight="1">
      <c r="A344" s="26">
        <f ca="1">IFERROR(__xludf.DUMMYFUNCTION("""COMPUTED_VALUE"""),19478)</f>
        <v>19478</v>
      </c>
      <c r="B344" s="86">
        <f ca="1">IFERROR(__xludf.DUMMYFUNCTION("""COMPUTED_VALUE"""),45132.0514814814)</f>
        <v>45132.051481481401</v>
      </c>
      <c r="C344" s="1" t="str">
        <f ca="1">IFERROR(__xludf.DUMMYFUNCTION("""COMPUTED_VALUE"""),"completed")</f>
        <v>completed</v>
      </c>
      <c r="D344" s="26">
        <f ca="1">IFERROR(__xludf.DUMMYFUNCTION("""COMPUTED_VALUE"""),25)</f>
        <v>25</v>
      </c>
      <c r="E344" s="1" t="str">
        <f ca="1">IFERROR(__xludf.DUMMYFUNCTION("""COMPUTED_VALUE"""),"Kingsville Minor Baseball Assoc.")</f>
        <v>Kingsville Minor Baseball Assoc.</v>
      </c>
      <c r="F344" s="87" t="str">
        <f t="shared" ca="1" si="0"/>
        <v>2023</v>
      </c>
      <c r="G344" s="1" t="str">
        <f ca="1">IFERROR(__xludf.DUMMYFUNCTION("""COMPUTED_VALUE"""),"Lasalle Stompers")</f>
        <v>Lasalle Stompers</v>
      </c>
      <c r="H344" s="26">
        <f t="shared" ca="1" si="1"/>
        <v>25</v>
      </c>
      <c r="I344" s="26">
        <f t="shared" ca="1" si="2"/>
        <v>1</v>
      </c>
      <c r="J344" s="86">
        <f t="shared" ca="1" si="3"/>
        <v>45132</v>
      </c>
      <c r="R344" s="26"/>
    </row>
    <row r="345" spans="1:18" ht="15.75" customHeight="1">
      <c r="A345" s="26">
        <f ca="1">IFERROR(__xludf.DUMMYFUNCTION("""COMPUTED_VALUE"""),19477)</f>
        <v>19477</v>
      </c>
      <c r="B345" s="86">
        <f ca="1">IFERROR(__xludf.DUMMYFUNCTION("""COMPUTED_VALUE"""),45131.8730324074)</f>
        <v>45131.873032407399</v>
      </c>
      <c r="C345" s="1" t="str">
        <f ca="1">IFERROR(__xludf.DUMMYFUNCTION("""COMPUTED_VALUE"""),"completed")</f>
        <v>completed</v>
      </c>
      <c r="D345" s="26">
        <f ca="1">IFERROR(__xludf.DUMMYFUNCTION("""COMPUTED_VALUE"""),0)</f>
        <v>0</v>
      </c>
      <c r="E345" s="1" t="str">
        <f ca="1">IFERROR(__xludf.DUMMYFUNCTION("""COMPUTED_VALUE"""),"Lasalle Stompers")</f>
        <v>Lasalle Stompers</v>
      </c>
      <c r="F345" s="87" t="str">
        <f t="shared" ca="1" si="0"/>
        <v>2023</v>
      </c>
      <c r="G345" s="1" t="str">
        <f ca="1">IFERROR(__xludf.DUMMYFUNCTION("""COMPUTED_VALUE"""),"Lasalle Stompers")</f>
        <v>Lasalle Stompers</v>
      </c>
      <c r="H345" s="26">
        <f t="shared" ca="1" si="1"/>
        <v>0</v>
      </c>
      <c r="I345" s="26">
        <f t="shared" ca="1" si="2"/>
        <v>1</v>
      </c>
      <c r="J345" s="86">
        <f t="shared" ca="1" si="3"/>
        <v>45131</v>
      </c>
      <c r="R345" s="26"/>
    </row>
    <row r="346" spans="1:18" ht="15.75" customHeight="1">
      <c r="A346" s="26">
        <f ca="1">IFERROR(__xludf.DUMMYFUNCTION("""COMPUTED_VALUE"""),19476)</f>
        <v>19476</v>
      </c>
      <c r="B346" s="86">
        <f ca="1">IFERROR(__xludf.DUMMYFUNCTION("""COMPUTED_VALUE"""),45131.0007407407)</f>
        <v>45131.000740740703</v>
      </c>
      <c r="C346" s="1" t="str">
        <f ca="1">IFERROR(__xludf.DUMMYFUNCTION("""COMPUTED_VALUE"""),"completed")</f>
        <v>completed</v>
      </c>
      <c r="D346" s="26">
        <f ca="1">IFERROR(__xludf.DUMMYFUNCTION("""COMPUTED_VALUE"""),15)</f>
        <v>15</v>
      </c>
      <c r="E346" s="1" t="str">
        <f ca="1">IFERROR(__xludf.DUMMYFUNCTION("""COMPUTED_VALUE"""),"Lasalle Stompers")</f>
        <v>Lasalle Stompers</v>
      </c>
      <c r="F346" s="87" t="str">
        <f t="shared" ca="1" si="0"/>
        <v>2023</v>
      </c>
      <c r="G346" s="1" t="str">
        <f ca="1">IFERROR(__xludf.DUMMYFUNCTION("""COMPUTED_VALUE"""),"Lasalle Stompers")</f>
        <v>Lasalle Stompers</v>
      </c>
      <c r="H346" s="26">
        <f t="shared" ca="1" si="1"/>
        <v>15</v>
      </c>
      <c r="I346" s="26">
        <f t="shared" ca="1" si="2"/>
        <v>1</v>
      </c>
      <c r="J346" s="86">
        <f t="shared" ca="1" si="3"/>
        <v>45131</v>
      </c>
      <c r="R346" s="26"/>
    </row>
    <row r="347" spans="1:18" ht="15.75" customHeight="1">
      <c r="A347" s="26">
        <f ca="1">IFERROR(__xludf.DUMMYFUNCTION("""COMPUTED_VALUE"""),19475)</f>
        <v>19475</v>
      </c>
      <c r="B347" s="86">
        <f ca="1">IFERROR(__xludf.DUMMYFUNCTION("""COMPUTED_VALUE"""),45130.9984027777)</f>
        <v>45130.998402777703</v>
      </c>
      <c r="C347" s="1" t="str">
        <f ca="1">IFERROR(__xludf.DUMMYFUNCTION("""COMPUTED_VALUE"""),"completed")</f>
        <v>completed</v>
      </c>
      <c r="D347" s="26">
        <f ca="1">IFERROR(__xludf.DUMMYFUNCTION("""COMPUTED_VALUE"""),15)</f>
        <v>15</v>
      </c>
      <c r="E347" s="1" t="str">
        <f ca="1">IFERROR(__xludf.DUMMYFUNCTION("""COMPUTED_VALUE"""),"Lasalle Stompers")</f>
        <v>Lasalle Stompers</v>
      </c>
      <c r="F347" s="87" t="str">
        <f t="shared" ca="1" si="0"/>
        <v>2023</v>
      </c>
      <c r="G347" s="1" t="str">
        <f ca="1">IFERROR(__xludf.DUMMYFUNCTION("""COMPUTED_VALUE"""),"Kingsville Minor Baseball Assoc.")</f>
        <v>Kingsville Minor Baseball Assoc.</v>
      </c>
      <c r="H347" s="26">
        <f t="shared" ca="1" si="1"/>
        <v>15</v>
      </c>
      <c r="I347" s="26">
        <f t="shared" ca="1" si="2"/>
        <v>1</v>
      </c>
      <c r="J347" s="86">
        <f t="shared" ca="1" si="3"/>
        <v>45130</v>
      </c>
      <c r="R347" s="26"/>
    </row>
    <row r="348" spans="1:18" ht="15.75" customHeight="1">
      <c r="A348" s="26">
        <f ca="1">IFERROR(__xludf.DUMMYFUNCTION("""COMPUTED_VALUE"""),19474)</f>
        <v>19474</v>
      </c>
      <c r="B348" s="86">
        <f ca="1">IFERROR(__xludf.DUMMYFUNCTION("""COMPUTED_VALUE"""),45130.9828703703)</f>
        <v>45130.982870370302</v>
      </c>
      <c r="C348" s="1" t="str">
        <f ca="1">IFERROR(__xludf.DUMMYFUNCTION("""COMPUTED_VALUE"""),"completed")</f>
        <v>completed</v>
      </c>
      <c r="D348" s="26">
        <f ca="1">IFERROR(__xludf.DUMMYFUNCTION("""COMPUTED_VALUE"""),28)</f>
        <v>28</v>
      </c>
      <c r="E348" s="1" t="str">
        <f ca="1">IFERROR(__xludf.DUMMYFUNCTION("""COMPUTED_VALUE"""),"Kingsville Minor Baseball Assoc.")</f>
        <v>Kingsville Minor Baseball Assoc.</v>
      </c>
      <c r="F348" s="87" t="str">
        <f t="shared" ca="1" si="0"/>
        <v>2023</v>
      </c>
      <c r="G348" s="1" t="str">
        <f ca="1">IFERROR(__xludf.DUMMYFUNCTION("""COMPUTED_VALUE"""),"Kingsville Minor Baseball Assoc.")</f>
        <v>Kingsville Minor Baseball Assoc.</v>
      </c>
      <c r="H348" s="26">
        <f t="shared" ca="1" si="1"/>
        <v>28</v>
      </c>
      <c r="I348" s="26">
        <f t="shared" ca="1" si="2"/>
        <v>1</v>
      </c>
      <c r="J348" s="86">
        <f t="shared" ca="1" si="3"/>
        <v>45130</v>
      </c>
      <c r="R348" s="26"/>
    </row>
    <row r="349" spans="1:18" ht="15.75" customHeight="1">
      <c r="A349" s="26">
        <f ca="1">IFERROR(__xludf.DUMMYFUNCTION("""COMPUTED_VALUE"""),19473)</f>
        <v>19473</v>
      </c>
      <c r="B349" s="86">
        <f ca="1">IFERROR(__xludf.DUMMYFUNCTION("""COMPUTED_VALUE"""),45130.9803587962)</f>
        <v>45130.980358796201</v>
      </c>
      <c r="C349" s="1" t="str">
        <f ca="1">IFERROR(__xludf.DUMMYFUNCTION("""COMPUTED_VALUE"""),"completed")</f>
        <v>completed</v>
      </c>
      <c r="D349" s="26">
        <f ca="1">IFERROR(__xludf.DUMMYFUNCTION("""COMPUTED_VALUE"""),28)</f>
        <v>28</v>
      </c>
      <c r="E349" s="1" t="str">
        <f ca="1">IFERROR(__xludf.DUMMYFUNCTION("""COMPUTED_VALUE"""),"Kingsville Minor Baseball Assoc.")</f>
        <v>Kingsville Minor Baseball Assoc.</v>
      </c>
      <c r="F349" s="87" t="str">
        <f t="shared" ca="1" si="0"/>
        <v>2023</v>
      </c>
      <c r="G349" s="1" t="str">
        <f ca="1">IFERROR(__xludf.DUMMYFUNCTION("""COMPUTED_VALUE"""),"Lasalle Stompers")</f>
        <v>Lasalle Stompers</v>
      </c>
      <c r="H349" s="26">
        <f t="shared" ca="1" si="1"/>
        <v>28</v>
      </c>
      <c r="I349" s="26">
        <f t="shared" ca="1" si="2"/>
        <v>1</v>
      </c>
      <c r="J349" s="86">
        <f t="shared" ca="1" si="3"/>
        <v>45130</v>
      </c>
      <c r="R349" s="26"/>
    </row>
    <row r="350" spans="1:18" ht="15.75" customHeight="1">
      <c r="A350" s="26">
        <f ca="1">IFERROR(__xludf.DUMMYFUNCTION("""COMPUTED_VALUE"""),19472)</f>
        <v>19472</v>
      </c>
      <c r="B350" s="86">
        <f ca="1">IFERROR(__xludf.DUMMYFUNCTION("""COMPUTED_VALUE"""),45130.7417592592)</f>
        <v>45130.741759259203</v>
      </c>
      <c r="C350" s="1" t="str">
        <f ca="1">IFERROR(__xludf.DUMMYFUNCTION("""COMPUTED_VALUE"""),"completed")</f>
        <v>completed</v>
      </c>
      <c r="D350" s="26">
        <f ca="1">IFERROR(__xludf.DUMMYFUNCTION("""COMPUTED_VALUE"""),25)</f>
        <v>25</v>
      </c>
      <c r="E350" s="1" t="str">
        <f ca="1">IFERROR(__xludf.DUMMYFUNCTION("""COMPUTED_VALUE"""),"Lasalle Stompers")</f>
        <v>Lasalle Stompers</v>
      </c>
      <c r="F350" s="87" t="str">
        <f t="shared" ca="1" si="0"/>
        <v>2023</v>
      </c>
      <c r="G350" s="1" t="str">
        <f ca="1">IFERROR(__xludf.DUMMYFUNCTION("""COMPUTED_VALUE"""),"Lasalle Stompers")</f>
        <v>Lasalle Stompers</v>
      </c>
      <c r="H350" s="26">
        <f t="shared" ca="1" si="1"/>
        <v>25</v>
      </c>
      <c r="I350" s="26">
        <f t="shared" ca="1" si="2"/>
        <v>1</v>
      </c>
      <c r="J350" s="86">
        <f t="shared" ca="1" si="3"/>
        <v>45130</v>
      </c>
      <c r="R350" s="26"/>
    </row>
    <row r="351" spans="1:18" ht="15.75" customHeight="1">
      <c r="A351" s="26">
        <f ca="1">IFERROR(__xludf.DUMMYFUNCTION("""COMPUTED_VALUE"""),19470)</f>
        <v>19470</v>
      </c>
      <c r="B351" s="86">
        <f ca="1">IFERROR(__xludf.DUMMYFUNCTION("""COMPUTED_VALUE"""),45130.5596412037)</f>
        <v>45130.559641203698</v>
      </c>
      <c r="C351" s="1" t="str">
        <f ca="1">IFERROR(__xludf.DUMMYFUNCTION("""COMPUTED_VALUE"""),"completed")</f>
        <v>completed</v>
      </c>
      <c r="D351" s="26">
        <f ca="1">IFERROR(__xludf.DUMMYFUNCTION("""COMPUTED_VALUE"""),0)</f>
        <v>0</v>
      </c>
      <c r="E351" s="1" t="str">
        <f ca="1">IFERROR(__xludf.DUMMYFUNCTION("""COMPUTED_VALUE"""),"Lasalle Stompers")</f>
        <v>Lasalle Stompers</v>
      </c>
      <c r="F351" s="87" t="str">
        <f t="shared" ca="1" si="0"/>
        <v>2023</v>
      </c>
      <c r="G351" s="1" t="str">
        <f ca="1">IFERROR(__xludf.DUMMYFUNCTION("""COMPUTED_VALUE"""),"Lasalle Stompers")</f>
        <v>Lasalle Stompers</v>
      </c>
      <c r="H351" s="26">
        <f t="shared" ca="1" si="1"/>
        <v>0</v>
      </c>
      <c r="I351" s="26">
        <f t="shared" ca="1" si="2"/>
        <v>1</v>
      </c>
      <c r="J351" s="86">
        <f t="shared" ca="1" si="3"/>
        <v>45130</v>
      </c>
      <c r="R351" s="26"/>
    </row>
    <row r="352" spans="1:18" ht="15.75" customHeight="1">
      <c r="A352" s="26">
        <f ca="1">IFERROR(__xludf.DUMMYFUNCTION("""COMPUTED_VALUE"""),19469)</f>
        <v>19469</v>
      </c>
      <c r="B352" s="86">
        <f ca="1">IFERROR(__xludf.DUMMYFUNCTION("""COMPUTED_VALUE"""),45129.0857175925)</f>
        <v>45129.085717592498</v>
      </c>
      <c r="C352" s="1" t="str">
        <f ca="1">IFERROR(__xludf.DUMMYFUNCTION("""COMPUTED_VALUE"""),"completed")</f>
        <v>completed</v>
      </c>
      <c r="D352" s="26">
        <f ca="1">IFERROR(__xludf.DUMMYFUNCTION("""COMPUTED_VALUE"""),63)</f>
        <v>63</v>
      </c>
      <c r="E352" s="1" t="str">
        <f ca="1">IFERROR(__xludf.DUMMYFUNCTION("""COMPUTED_VALUE"""),"Lasalle Stompers")</f>
        <v>Lasalle Stompers</v>
      </c>
      <c r="F352" s="87" t="str">
        <f t="shared" ca="1" si="0"/>
        <v>2023</v>
      </c>
      <c r="G352" s="1" t="str">
        <f ca="1">IFERROR(__xludf.DUMMYFUNCTION("""COMPUTED_VALUE"""),"Kingsville Minor Baseball Assoc.")</f>
        <v>Kingsville Minor Baseball Assoc.</v>
      </c>
      <c r="H352" s="26">
        <f t="shared" ca="1" si="1"/>
        <v>63</v>
      </c>
      <c r="I352" s="26">
        <f t="shared" ca="1" si="2"/>
        <v>1</v>
      </c>
      <c r="J352" s="86">
        <f t="shared" ca="1" si="3"/>
        <v>45129</v>
      </c>
      <c r="R352" s="26"/>
    </row>
    <row r="353" spans="1:18" ht="15.75" customHeight="1">
      <c r="A353" s="26">
        <f ca="1">IFERROR(__xludf.DUMMYFUNCTION("""COMPUTED_VALUE"""),19468)</f>
        <v>19468</v>
      </c>
      <c r="B353" s="86">
        <f ca="1">IFERROR(__xludf.DUMMYFUNCTION("""COMPUTED_VALUE"""),45128.886886574)</f>
        <v>45128.886886574001</v>
      </c>
      <c r="C353" s="1" t="str">
        <f ca="1">IFERROR(__xludf.DUMMYFUNCTION("""COMPUTED_VALUE"""),"completed")</f>
        <v>completed</v>
      </c>
      <c r="D353" s="26">
        <f ca="1">IFERROR(__xludf.DUMMYFUNCTION("""COMPUTED_VALUE"""),55)</f>
        <v>55</v>
      </c>
      <c r="E353" s="1" t="str">
        <f ca="1">IFERROR(__xludf.DUMMYFUNCTION("""COMPUTED_VALUE"""),"Kingsville Minor Baseball Assoc.")</f>
        <v>Kingsville Minor Baseball Assoc.</v>
      </c>
      <c r="F353" s="87" t="str">
        <f t="shared" ca="1" si="0"/>
        <v>2023</v>
      </c>
      <c r="G353" s="1" t="str">
        <f ca="1">IFERROR(__xludf.DUMMYFUNCTION("""COMPUTED_VALUE"""),"Lasalle Stompers")</f>
        <v>Lasalle Stompers</v>
      </c>
      <c r="H353" s="26">
        <f t="shared" ca="1" si="1"/>
        <v>55</v>
      </c>
      <c r="I353" s="26">
        <f t="shared" ca="1" si="2"/>
        <v>1</v>
      </c>
      <c r="J353" s="86">
        <f t="shared" ca="1" si="3"/>
        <v>45128</v>
      </c>
      <c r="R353" s="26"/>
    </row>
    <row r="354" spans="1:18" ht="15.75" customHeight="1">
      <c r="A354" s="26">
        <f ca="1">IFERROR(__xludf.DUMMYFUNCTION("""COMPUTED_VALUE"""),19467)</f>
        <v>19467</v>
      </c>
      <c r="B354" s="86">
        <f ca="1">IFERROR(__xludf.DUMMYFUNCTION("""COMPUTED_VALUE"""),45128.7328009259)</f>
        <v>45128.7328009259</v>
      </c>
      <c r="C354" s="1" t="str">
        <f ca="1">IFERROR(__xludf.DUMMYFUNCTION("""COMPUTED_VALUE"""),"completed")</f>
        <v>completed</v>
      </c>
      <c r="D354" s="26">
        <f ca="1">IFERROR(__xludf.DUMMYFUNCTION("""COMPUTED_VALUE"""),18)</f>
        <v>18</v>
      </c>
      <c r="E354" s="1" t="str">
        <f ca="1">IFERROR(__xludf.DUMMYFUNCTION("""COMPUTED_VALUE"""),"Lasalle Stompers")</f>
        <v>Lasalle Stompers</v>
      </c>
      <c r="F354" s="87" t="str">
        <f t="shared" ca="1" si="0"/>
        <v>2023</v>
      </c>
      <c r="G354" s="1" t="str">
        <f ca="1">IFERROR(__xludf.DUMMYFUNCTION("""COMPUTED_VALUE"""),"Kingsville Minor Baseball Assoc.")</f>
        <v>Kingsville Minor Baseball Assoc.</v>
      </c>
      <c r="H354" s="26">
        <f t="shared" ca="1" si="1"/>
        <v>18</v>
      </c>
      <c r="I354" s="26">
        <f t="shared" ca="1" si="2"/>
        <v>1</v>
      </c>
      <c r="J354" s="86">
        <f t="shared" ca="1" si="3"/>
        <v>45128</v>
      </c>
      <c r="R354" s="26"/>
    </row>
    <row r="355" spans="1:18" ht="15.75" customHeight="1">
      <c r="A355" s="26">
        <f ca="1">IFERROR(__xludf.DUMMYFUNCTION("""COMPUTED_VALUE"""),19466)</f>
        <v>19466</v>
      </c>
      <c r="B355" s="86">
        <f ca="1">IFERROR(__xludf.DUMMYFUNCTION("""COMPUTED_VALUE"""),45128.6487268518)</f>
        <v>45128.648726851803</v>
      </c>
      <c r="C355" s="1" t="str">
        <f ca="1">IFERROR(__xludf.DUMMYFUNCTION("""COMPUTED_VALUE"""),"completed")</f>
        <v>completed</v>
      </c>
      <c r="D355" s="26">
        <f ca="1">IFERROR(__xludf.DUMMYFUNCTION("""COMPUTED_VALUE"""),40)</f>
        <v>40</v>
      </c>
      <c r="E355" s="1" t="str">
        <f ca="1">IFERROR(__xludf.DUMMYFUNCTION("""COMPUTED_VALUE"""),"Kingsville Minor Baseball Assoc.")</f>
        <v>Kingsville Minor Baseball Assoc.</v>
      </c>
      <c r="F355" s="87" t="str">
        <f t="shared" ca="1" si="0"/>
        <v>2023</v>
      </c>
      <c r="G355" s="1" t="str">
        <f ca="1">IFERROR(__xludf.DUMMYFUNCTION("""COMPUTED_VALUE"""),"Kingsville Minor Baseball Assoc.")</f>
        <v>Kingsville Minor Baseball Assoc.</v>
      </c>
      <c r="H355" s="26">
        <f t="shared" ca="1" si="1"/>
        <v>40</v>
      </c>
      <c r="I355" s="26">
        <f t="shared" ca="1" si="2"/>
        <v>1</v>
      </c>
      <c r="J355" s="86">
        <f t="shared" ca="1" si="3"/>
        <v>45128</v>
      </c>
      <c r="R355" s="26"/>
    </row>
    <row r="356" spans="1:18" ht="15.75" customHeight="1">
      <c r="A356" s="26">
        <f ca="1">IFERROR(__xludf.DUMMYFUNCTION("""COMPUTED_VALUE"""),19465)</f>
        <v>19465</v>
      </c>
      <c r="B356" s="86">
        <f ca="1">IFERROR(__xludf.DUMMYFUNCTION("""COMPUTED_VALUE"""),45128.0443171296)</f>
        <v>45128.044317129599</v>
      </c>
      <c r="C356" s="1" t="str">
        <f ca="1">IFERROR(__xludf.DUMMYFUNCTION("""COMPUTED_VALUE"""),"completed")</f>
        <v>completed</v>
      </c>
      <c r="D356" s="26">
        <f ca="1">IFERROR(__xludf.DUMMYFUNCTION("""COMPUTED_VALUE"""),18)</f>
        <v>18</v>
      </c>
      <c r="E356" s="1" t="str">
        <f ca="1">IFERROR(__xludf.DUMMYFUNCTION("""COMPUTED_VALUE"""),"Kingsville Minor Baseball Assoc.")</f>
        <v>Kingsville Minor Baseball Assoc.</v>
      </c>
      <c r="F356" s="87" t="str">
        <f t="shared" ca="1" si="0"/>
        <v>2023</v>
      </c>
      <c r="G356" s="1" t="str">
        <f ca="1">IFERROR(__xludf.DUMMYFUNCTION("""COMPUTED_VALUE"""),"Lasalle Stompers")</f>
        <v>Lasalle Stompers</v>
      </c>
      <c r="H356" s="26">
        <f t="shared" ca="1" si="1"/>
        <v>18</v>
      </c>
      <c r="I356" s="26">
        <f t="shared" ca="1" si="2"/>
        <v>1</v>
      </c>
      <c r="J356" s="86">
        <f t="shared" ca="1" si="3"/>
        <v>45128</v>
      </c>
      <c r="R356" s="26"/>
    </row>
    <row r="357" spans="1:18" ht="15.75" customHeight="1">
      <c r="A357" s="26">
        <f ca="1">IFERROR(__xludf.DUMMYFUNCTION("""COMPUTED_VALUE"""),19464)</f>
        <v>19464</v>
      </c>
      <c r="B357" s="86">
        <f ca="1">IFERROR(__xludf.DUMMYFUNCTION("""COMPUTED_VALUE"""),45127.8853819444)</f>
        <v>45127.885381944398</v>
      </c>
      <c r="C357" s="1" t="str">
        <f ca="1">IFERROR(__xludf.DUMMYFUNCTION("""COMPUTED_VALUE"""),"completed")</f>
        <v>completed</v>
      </c>
      <c r="D357" s="26">
        <f ca="1">IFERROR(__xludf.DUMMYFUNCTION("""COMPUTED_VALUE"""),52)</f>
        <v>52</v>
      </c>
      <c r="E357" s="1" t="str">
        <f ca="1">IFERROR(__xludf.DUMMYFUNCTION("""COMPUTED_VALUE"""),"Lasalle Stompers")</f>
        <v>Lasalle Stompers</v>
      </c>
      <c r="F357" s="87" t="str">
        <f t="shared" ca="1" si="0"/>
        <v>2023</v>
      </c>
      <c r="G357" s="1" t="str">
        <f ca="1">IFERROR(__xludf.DUMMYFUNCTION("""COMPUTED_VALUE"""),"Lasalle Stompers")</f>
        <v>Lasalle Stompers</v>
      </c>
      <c r="H357" s="26">
        <f t="shared" ca="1" si="1"/>
        <v>52</v>
      </c>
      <c r="I357" s="26">
        <f t="shared" ca="1" si="2"/>
        <v>1</v>
      </c>
      <c r="J357" s="86">
        <f t="shared" ca="1" si="3"/>
        <v>45127</v>
      </c>
      <c r="R357" s="26"/>
    </row>
    <row r="358" spans="1:18" ht="15.75" customHeight="1">
      <c r="A358" s="26">
        <f ca="1">IFERROR(__xludf.DUMMYFUNCTION("""COMPUTED_VALUE"""),19463)</f>
        <v>19463</v>
      </c>
      <c r="B358" s="86">
        <f ca="1">IFERROR(__xludf.DUMMYFUNCTION("""COMPUTED_VALUE"""),45127.8840972222)</f>
        <v>45127.884097222202</v>
      </c>
      <c r="C358" s="1" t="str">
        <f ca="1">IFERROR(__xludf.DUMMYFUNCTION("""COMPUTED_VALUE"""),"completed")</f>
        <v>completed</v>
      </c>
      <c r="D358" s="26">
        <f ca="1">IFERROR(__xludf.DUMMYFUNCTION("""COMPUTED_VALUE"""),25)</f>
        <v>25</v>
      </c>
      <c r="E358" s="1" t="str">
        <f ca="1">IFERROR(__xludf.DUMMYFUNCTION("""COMPUTED_VALUE"""),"Lasalle Stompers")</f>
        <v>Lasalle Stompers</v>
      </c>
      <c r="F358" s="87" t="str">
        <f t="shared" ca="1" si="0"/>
        <v>2023</v>
      </c>
      <c r="G358" s="1" t="str">
        <f ca="1">IFERROR(__xludf.DUMMYFUNCTION("""COMPUTED_VALUE"""),"Lasalle Stompers")</f>
        <v>Lasalle Stompers</v>
      </c>
      <c r="H358" s="26">
        <f t="shared" ca="1" si="1"/>
        <v>25</v>
      </c>
      <c r="I358" s="26">
        <f t="shared" ca="1" si="2"/>
        <v>1</v>
      </c>
      <c r="J358" s="86">
        <f t="shared" ca="1" si="3"/>
        <v>45127</v>
      </c>
      <c r="R358" s="26"/>
    </row>
    <row r="359" spans="1:18" ht="15.75" customHeight="1">
      <c r="A359" s="26">
        <f ca="1">IFERROR(__xludf.DUMMYFUNCTION("""COMPUTED_VALUE"""),19458)</f>
        <v>19458</v>
      </c>
      <c r="B359" s="86">
        <f ca="1">IFERROR(__xludf.DUMMYFUNCTION("""COMPUTED_VALUE"""),45127.6747569444)</f>
        <v>45127.674756944398</v>
      </c>
      <c r="C359" s="1" t="str">
        <f ca="1">IFERROR(__xludf.DUMMYFUNCTION("""COMPUTED_VALUE"""),"completed")</f>
        <v>completed</v>
      </c>
      <c r="D359" s="26">
        <f ca="1">IFERROR(__xludf.DUMMYFUNCTION("""COMPUTED_VALUE"""),25)</f>
        <v>25</v>
      </c>
      <c r="E359" s="1" t="str">
        <f ca="1">IFERROR(__xludf.DUMMYFUNCTION("""COMPUTED_VALUE"""),"Lasalle Stompers")</f>
        <v>Lasalle Stompers</v>
      </c>
      <c r="F359" s="87" t="str">
        <f t="shared" ca="1" si="0"/>
        <v>2023</v>
      </c>
      <c r="G359" s="1" t="str">
        <f ca="1">IFERROR(__xludf.DUMMYFUNCTION("""COMPUTED_VALUE"""),"Lasalle Stompers")</f>
        <v>Lasalle Stompers</v>
      </c>
      <c r="H359" s="26">
        <f t="shared" ca="1" si="1"/>
        <v>25</v>
      </c>
      <c r="I359" s="26">
        <f t="shared" ca="1" si="2"/>
        <v>1</v>
      </c>
      <c r="J359" s="86">
        <f t="shared" ca="1" si="3"/>
        <v>45127</v>
      </c>
      <c r="R359" s="26"/>
    </row>
    <row r="360" spans="1:18" ht="15.75" customHeight="1">
      <c r="A360" s="26">
        <f ca="1">IFERROR(__xludf.DUMMYFUNCTION("""COMPUTED_VALUE"""),19457)</f>
        <v>19457</v>
      </c>
      <c r="B360" s="86">
        <f ca="1">IFERROR(__xludf.DUMMYFUNCTION("""COMPUTED_VALUE"""),45127.0403935185)</f>
        <v>45127.040393518502</v>
      </c>
      <c r="C360" s="1" t="str">
        <f ca="1">IFERROR(__xludf.DUMMYFUNCTION("""COMPUTED_VALUE"""),"completed")</f>
        <v>completed</v>
      </c>
      <c r="D360" s="26">
        <f ca="1">IFERROR(__xludf.DUMMYFUNCTION("""COMPUTED_VALUE"""),50)</f>
        <v>50</v>
      </c>
      <c r="E360" s="1" t="str">
        <f ca="1">IFERROR(__xludf.DUMMYFUNCTION("""COMPUTED_VALUE"""),"Lasalle Stompers")</f>
        <v>Lasalle Stompers</v>
      </c>
      <c r="F360" s="87" t="str">
        <f t="shared" ca="1" si="0"/>
        <v>2023</v>
      </c>
      <c r="G360" s="1" t="str">
        <f ca="1">IFERROR(__xludf.DUMMYFUNCTION("""COMPUTED_VALUE"""),"Kingsville Minor Baseball Assoc.")</f>
        <v>Kingsville Minor Baseball Assoc.</v>
      </c>
      <c r="H360" s="26">
        <f t="shared" ca="1" si="1"/>
        <v>50</v>
      </c>
      <c r="I360" s="26">
        <f t="shared" ca="1" si="2"/>
        <v>1</v>
      </c>
      <c r="J360" s="86">
        <f t="shared" ca="1" si="3"/>
        <v>45127</v>
      </c>
      <c r="R360" s="26"/>
    </row>
    <row r="361" spans="1:18" ht="15.75" customHeight="1">
      <c r="A361" s="26">
        <f ca="1">IFERROR(__xludf.DUMMYFUNCTION("""COMPUTED_VALUE"""),19456)</f>
        <v>19456</v>
      </c>
      <c r="B361" s="86">
        <f ca="1">IFERROR(__xludf.DUMMYFUNCTION("""COMPUTED_VALUE"""),45127.031574074)</f>
        <v>45127.031574073997</v>
      </c>
      <c r="C361" s="1" t="str">
        <f ca="1">IFERROR(__xludf.DUMMYFUNCTION("""COMPUTED_VALUE"""),"completed")</f>
        <v>completed</v>
      </c>
      <c r="D361" s="26">
        <f ca="1">IFERROR(__xludf.DUMMYFUNCTION("""COMPUTED_VALUE"""),25)</f>
        <v>25</v>
      </c>
      <c r="E361" s="1" t="str">
        <f ca="1">IFERROR(__xludf.DUMMYFUNCTION("""COMPUTED_VALUE"""),"Kingsville Minor Baseball Assoc.")</f>
        <v>Kingsville Minor Baseball Assoc.</v>
      </c>
      <c r="F361" s="87" t="str">
        <f t="shared" ca="1" si="0"/>
        <v>2023</v>
      </c>
      <c r="G361" s="1" t="str">
        <f ca="1">IFERROR(__xludf.DUMMYFUNCTION("""COMPUTED_VALUE"""),"Lasalle Stompers")</f>
        <v>Lasalle Stompers</v>
      </c>
      <c r="H361" s="26">
        <f t="shared" ca="1" si="1"/>
        <v>25</v>
      </c>
      <c r="I361" s="26">
        <f t="shared" ca="1" si="2"/>
        <v>1</v>
      </c>
      <c r="J361" s="86">
        <f t="shared" ca="1" si="3"/>
        <v>45127</v>
      </c>
      <c r="R361" s="26"/>
    </row>
    <row r="362" spans="1:18" ht="15.75" customHeight="1">
      <c r="A362" s="26">
        <f ca="1">IFERROR(__xludf.DUMMYFUNCTION("""COMPUTED_VALUE"""),19455)</f>
        <v>19455</v>
      </c>
      <c r="B362" s="86">
        <f ca="1">IFERROR(__xludf.DUMMYFUNCTION("""COMPUTED_VALUE"""),45126.9898379629)</f>
        <v>45126.989837962901</v>
      </c>
      <c r="C362" s="1" t="str">
        <f ca="1">IFERROR(__xludf.DUMMYFUNCTION("""COMPUTED_VALUE"""),"completed")</f>
        <v>completed</v>
      </c>
      <c r="D362" s="26">
        <f ca="1">IFERROR(__xludf.DUMMYFUNCTION("""COMPUTED_VALUE"""),35)</f>
        <v>35</v>
      </c>
      <c r="E362" s="1" t="str">
        <f ca="1">IFERROR(__xludf.DUMMYFUNCTION("""COMPUTED_VALUE"""),"Lasalle Stompers")</f>
        <v>Lasalle Stompers</v>
      </c>
      <c r="F362" s="87" t="str">
        <f t="shared" ca="1" si="0"/>
        <v>2023</v>
      </c>
      <c r="G362" s="1" t="str">
        <f ca="1">IFERROR(__xludf.DUMMYFUNCTION("""COMPUTED_VALUE"""),"Lasalle Stompers")</f>
        <v>Lasalle Stompers</v>
      </c>
      <c r="H362" s="26">
        <f t="shared" ca="1" si="1"/>
        <v>35</v>
      </c>
      <c r="I362" s="26">
        <f t="shared" ca="1" si="2"/>
        <v>1</v>
      </c>
      <c r="J362" s="86">
        <f t="shared" ca="1" si="3"/>
        <v>45126</v>
      </c>
      <c r="R362" s="26"/>
    </row>
    <row r="363" spans="1:18" ht="15.75" customHeight="1">
      <c r="A363" s="26">
        <f ca="1">IFERROR(__xludf.DUMMYFUNCTION("""COMPUTED_VALUE"""),19454)</f>
        <v>19454</v>
      </c>
      <c r="B363" s="86">
        <f ca="1">IFERROR(__xludf.DUMMYFUNCTION("""COMPUTED_VALUE"""),45126.9882407407)</f>
        <v>45126.988240740699</v>
      </c>
      <c r="C363" s="1" t="str">
        <f ca="1">IFERROR(__xludf.DUMMYFUNCTION("""COMPUTED_VALUE"""),"completed")</f>
        <v>completed</v>
      </c>
      <c r="D363" s="26">
        <f ca="1">IFERROR(__xludf.DUMMYFUNCTION("""COMPUTED_VALUE"""),35)</f>
        <v>35</v>
      </c>
      <c r="E363" s="1" t="str">
        <f ca="1">IFERROR(__xludf.DUMMYFUNCTION("""COMPUTED_VALUE"""),"Lasalle Stompers")</f>
        <v>Lasalle Stompers</v>
      </c>
      <c r="F363" s="87" t="str">
        <f t="shared" ca="1" si="0"/>
        <v>2023</v>
      </c>
      <c r="G363" s="1" t="str">
        <f ca="1">IFERROR(__xludf.DUMMYFUNCTION("""COMPUTED_VALUE"""),"Lasalle Stompers")</f>
        <v>Lasalle Stompers</v>
      </c>
      <c r="H363" s="26">
        <f t="shared" ca="1" si="1"/>
        <v>35</v>
      </c>
      <c r="I363" s="26">
        <f t="shared" ca="1" si="2"/>
        <v>1</v>
      </c>
      <c r="J363" s="86">
        <f t="shared" ca="1" si="3"/>
        <v>45126</v>
      </c>
      <c r="R363" s="26"/>
    </row>
    <row r="364" spans="1:18" ht="15.75" customHeight="1">
      <c r="A364" s="26">
        <f ca="1">IFERROR(__xludf.DUMMYFUNCTION("""COMPUTED_VALUE"""),19453)</f>
        <v>19453</v>
      </c>
      <c r="B364" s="86">
        <f ca="1">IFERROR(__xludf.DUMMYFUNCTION("""COMPUTED_VALUE"""),45126.9845486111)</f>
        <v>45126.984548611101</v>
      </c>
      <c r="C364" s="1" t="str">
        <f ca="1">IFERROR(__xludf.DUMMYFUNCTION("""COMPUTED_VALUE"""),"completed")</f>
        <v>completed</v>
      </c>
      <c r="D364" s="26">
        <f ca="1">IFERROR(__xludf.DUMMYFUNCTION("""COMPUTED_VALUE"""),35)</f>
        <v>35</v>
      </c>
      <c r="E364" s="1" t="str">
        <f ca="1">IFERROR(__xludf.DUMMYFUNCTION("""COMPUTED_VALUE"""),"Lasalle Stompers")</f>
        <v>Lasalle Stompers</v>
      </c>
      <c r="F364" s="87" t="str">
        <f t="shared" ca="1" si="0"/>
        <v>2023</v>
      </c>
      <c r="G364" s="1" t="str">
        <f ca="1">IFERROR(__xludf.DUMMYFUNCTION("""COMPUTED_VALUE"""),"Kingsville Minor Baseball Assoc.")</f>
        <v>Kingsville Minor Baseball Assoc.</v>
      </c>
      <c r="H364" s="26">
        <f t="shared" ca="1" si="1"/>
        <v>35</v>
      </c>
      <c r="I364" s="26">
        <f t="shared" ca="1" si="2"/>
        <v>1</v>
      </c>
      <c r="J364" s="86">
        <f t="shared" ca="1" si="3"/>
        <v>45126</v>
      </c>
      <c r="R364" s="26"/>
    </row>
    <row r="365" spans="1:18" ht="15.75" customHeight="1">
      <c r="A365" s="26">
        <f ca="1">IFERROR(__xludf.DUMMYFUNCTION("""COMPUTED_VALUE"""),19452)</f>
        <v>19452</v>
      </c>
      <c r="B365" s="86">
        <f ca="1">IFERROR(__xludf.DUMMYFUNCTION("""COMPUTED_VALUE"""),45126.9630208333)</f>
        <v>45126.963020833296</v>
      </c>
      <c r="C365" s="1" t="str">
        <f ca="1">IFERROR(__xludf.DUMMYFUNCTION("""COMPUTED_VALUE"""),"completed")</f>
        <v>completed</v>
      </c>
      <c r="D365" s="26">
        <f ca="1">IFERROR(__xludf.DUMMYFUNCTION("""COMPUTED_VALUE"""),43)</f>
        <v>43</v>
      </c>
      <c r="E365" s="1" t="str">
        <f ca="1">IFERROR(__xludf.DUMMYFUNCTION("""COMPUTED_VALUE"""),"Kingsville Minor Baseball Assoc.")</f>
        <v>Kingsville Minor Baseball Assoc.</v>
      </c>
      <c r="F365" s="87" t="str">
        <f t="shared" ca="1" si="0"/>
        <v>2023</v>
      </c>
      <c r="G365" s="1" t="str">
        <f ca="1">IFERROR(__xludf.DUMMYFUNCTION("""COMPUTED_VALUE"""),"Lasalle Stompers")</f>
        <v>Lasalle Stompers</v>
      </c>
      <c r="H365" s="26">
        <f t="shared" ca="1" si="1"/>
        <v>43</v>
      </c>
      <c r="I365" s="26">
        <f t="shared" ca="1" si="2"/>
        <v>1</v>
      </c>
      <c r="J365" s="86">
        <f t="shared" ca="1" si="3"/>
        <v>45126</v>
      </c>
      <c r="R365" s="26"/>
    </row>
    <row r="366" spans="1:18" ht="15.75" customHeight="1">
      <c r="A366" s="26">
        <f ca="1">IFERROR(__xludf.DUMMYFUNCTION("""COMPUTED_VALUE"""),19451)</f>
        <v>19451</v>
      </c>
      <c r="B366" s="86">
        <f ca="1">IFERROR(__xludf.DUMMYFUNCTION("""COMPUTED_VALUE"""),45126.8177662037)</f>
        <v>45126.817766203698</v>
      </c>
      <c r="C366" s="1" t="str">
        <f ca="1">IFERROR(__xludf.DUMMYFUNCTION("""COMPUTED_VALUE"""),"completed")</f>
        <v>completed</v>
      </c>
      <c r="D366" s="26">
        <f ca="1">IFERROR(__xludf.DUMMYFUNCTION("""COMPUTED_VALUE"""),0)</f>
        <v>0</v>
      </c>
      <c r="E366" s="1" t="str">
        <f ca="1">IFERROR(__xludf.DUMMYFUNCTION("""COMPUTED_VALUE"""),"Lasalle Stompers")</f>
        <v>Lasalle Stompers</v>
      </c>
      <c r="F366" s="87" t="str">
        <f t="shared" ca="1" si="0"/>
        <v>2023</v>
      </c>
      <c r="G366" s="1" t="str">
        <f ca="1">IFERROR(__xludf.DUMMYFUNCTION("""COMPUTED_VALUE"""),"Lasalle Stompers")</f>
        <v>Lasalle Stompers</v>
      </c>
      <c r="H366" s="26">
        <f t="shared" ca="1" si="1"/>
        <v>0</v>
      </c>
      <c r="I366" s="26">
        <f t="shared" ca="1" si="2"/>
        <v>1</v>
      </c>
      <c r="J366" s="86">
        <f t="shared" ca="1" si="3"/>
        <v>45126</v>
      </c>
      <c r="R366" s="26"/>
    </row>
    <row r="367" spans="1:18" ht="15.75" customHeight="1">
      <c r="A367" s="26">
        <f ca="1">IFERROR(__xludf.DUMMYFUNCTION("""COMPUTED_VALUE"""),19450)</f>
        <v>19450</v>
      </c>
      <c r="B367" s="86">
        <f ca="1">IFERROR(__xludf.DUMMYFUNCTION("""COMPUTED_VALUE"""),45126.7308101851)</f>
        <v>45126.730810185101</v>
      </c>
      <c r="C367" s="1" t="str">
        <f ca="1">IFERROR(__xludf.DUMMYFUNCTION("""COMPUTED_VALUE"""),"completed")</f>
        <v>completed</v>
      </c>
      <c r="D367" s="26">
        <f ca="1">IFERROR(__xludf.DUMMYFUNCTION("""COMPUTED_VALUE"""),15)</f>
        <v>15</v>
      </c>
      <c r="E367" s="1" t="str">
        <f ca="1">IFERROR(__xludf.DUMMYFUNCTION("""COMPUTED_VALUE"""),"Lasalle Stompers")</f>
        <v>Lasalle Stompers</v>
      </c>
      <c r="F367" s="87" t="str">
        <f t="shared" ca="1" si="0"/>
        <v>2023</v>
      </c>
      <c r="G367" s="1" t="str">
        <f ca="1">IFERROR(__xludf.DUMMYFUNCTION("""COMPUTED_VALUE"""),"Lasalle Stompers")</f>
        <v>Lasalle Stompers</v>
      </c>
      <c r="H367" s="26">
        <f t="shared" ca="1" si="1"/>
        <v>15</v>
      </c>
      <c r="I367" s="26">
        <f t="shared" ca="1" si="2"/>
        <v>1</v>
      </c>
      <c r="J367" s="86">
        <f t="shared" ca="1" si="3"/>
        <v>45126</v>
      </c>
      <c r="R367" s="26"/>
    </row>
    <row r="368" spans="1:18" ht="15.75" customHeight="1">
      <c r="A368" s="26">
        <f ca="1">IFERROR(__xludf.DUMMYFUNCTION("""COMPUTED_VALUE"""),19449)</f>
        <v>19449</v>
      </c>
      <c r="B368" s="86">
        <f ca="1">IFERROR(__xludf.DUMMYFUNCTION("""COMPUTED_VALUE"""),45126.5467592592)</f>
        <v>45126.546759259203</v>
      </c>
      <c r="C368" s="1" t="str">
        <f ca="1">IFERROR(__xludf.DUMMYFUNCTION("""COMPUTED_VALUE"""),"completed")</f>
        <v>completed</v>
      </c>
      <c r="D368" s="26">
        <f ca="1">IFERROR(__xludf.DUMMYFUNCTION("""COMPUTED_VALUE"""),38)</f>
        <v>38</v>
      </c>
      <c r="E368" s="1" t="str">
        <f ca="1">IFERROR(__xludf.DUMMYFUNCTION("""COMPUTED_VALUE"""),"Lasalle Stompers")</f>
        <v>Lasalle Stompers</v>
      </c>
      <c r="F368" s="87" t="str">
        <f t="shared" ca="1" si="0"/>
        <v>2023</v>
      </c>
      <c r="G368" s="1" t="str">
        <f ca="1">IFERROR(__xludf.DUMMYFUNCTION("""COMPUTED_VALUE"""),"Lasalle Stompers")</f>
        <v>Lasalle Stompers</v>
      </c>
      <c r="H368" s="26">
        <f t="shared" ca="1" si="1"/>
        <v>38</v>
      </c>
      <c r="I368" s="26">
        <f t="shared" ca="1" si="2"/>
        <v>1</v>
      </c>
      <c r="J368" s="86">
        <f t="shared" ca="1" si="3"/>
        <v>45126</v>
      </c>
      <c r="R368" s="26"/>
    </row>
    <row r="369" spans="1:18" ht="15.75" customHeight="1">
      <c r="A369" s="26">
        <f ca="1">IFERROR(__xludf.DUMMYFUNCTION("""COMPUTED_VALUE"""),19448)</f>
        <v>19448</v>
      </c>
      <c r="B369" s="86">
        <f ca="1">IFERROR(__xludf.DUMMYFUNCTION("""COMPUTED_VALUE"""),45126.0922453703)</f>
        <v>45126.092245370302</v>
      </c>
      <c r="C369" s="1" t="str">
        <f ca="1">IFERROR(__xludf.DUMMYFUNCTION("""COMPUTED_VALUE"""),"completed")</f>
        <v>completed</v>
      </c>
      <c r="D369" s="26">
        <f ca="1">IFERROR(__xludf.DUMMYFUNCTION("""COMPUTED_VALUE"""),26)</f>
        <v>26</v>
      </c>
      <c r="E369" s="1" t="str">
        <f ca="1">IFERROR(__xludf.DUMMYFUNCTION("""COMPUTED_VALUE"""),"Lasalle Stompers")</f>
        <v>Lasalle Stompers</v>
      </c>
      <c r="F369" s="87" t="str">
        <f t="shared" ca="1" si="0"/>
        <v>2023</v>
      </c>
      <c r="G369" s="1" t="str">
        <f ca="1">IFERROR(__xludf.DUMMYFUNCTION("""COMPUTED_VALUE"""),"Lasalle Stompers")</f>
        <v>Lasalle Stompers</v>
      </c>
      <c r="H369" s="26">
        <f t="shared" ca="1" si="1"/>
        <v>26</v>
      </c>
      <c r="I369" s="26">
        <f t="shared" ca="1" si="2"/>
        <v>1</v>
      </c>
      <c r="J369" s="86">
        <f t="shared" ca="1" si="3"/>
        <v>45126</v>
      </c>
      <c r="R369" s="26"/>
    </row>
    <row r="370" spans="1:18" ht="15.75" customHeight="1">
      <c r="A370" s="26">
        <f ca="1">IFERROR(__xludf.DUMMYFUNCTION("""COMPUTED_VALUE"""),19447)</f>
        <v>19447</v>
      </c>
      <c r="B370" s="86">
        <f ca="1">IFERROR(__xludf.DUMMYFUNCTION("""COMPUTED_VALUE"""),45126.0775)</f>
        <v>45126.077499999999</v>
      </c>
      <c r="C370" s="1" t="str">
        <f ca="1">IFERROR(__xludf.DUMMYFUNCTION("""COMPUTED_VALUE"""),"completed")</f>
        <v>completed</v>
      </c>
      <c r="D370" s="26">
        <f ca="1">IFERROR(__xludf.DUMMYFUNCTION("""COMPUTED_VALUE"""),25)</f>
        <v>25</v>
      </c>
      <c r="E370" s="1" t="str">
        <f ca="1">IFERROR(__xludf.DUMMYFUNCTION("""COMPUTED_VALUE"""),"Lasalle Stompers")</f>
        <v>Lasalle Stompers</v>
      </c>
      <c r="F370" s="87" t="str">
        <f t="shared" ca="1" si="0"/>
        <v>2023</v>
      </c>
      <c r="G370" s="1" t="str">
        <f ca="1">IFERROR(__xludf.DUMMYFUNCTION("""COMPUTED_VALUE"""),"Lasalle Stompers")</f>
        <v>Lasalle Stompers</v>
      </c>
      <c r="H370" s="26">
        <f t="shared" ca="1" si="1"/>
        <v>25</v>
      </c>
      <c r="I370" s="26">
        <f t="shared" ca="1" si="2"/>
        <v>1</v>
      </c>
      <c r="J370" s="86">
        <f t="shared" ca="1" si="3"/>
        <v>45126</v>
      </c>
      <c r="R370" s="26"/>
    </row>
    <row r="371" spans="1:18" ht="15.75" customHeight="1">
      <c r="A371" s="26">
        <f ca="1">IFERROR(__xludf.DUMMYFUNCTION("""COMPUTED_VALUE"""),19446)</f>
        <v>19446</v>
      </c>
      <c r="B371" s="86">
        <f ca="1">IFERROR(__xludf.DUMMYFUNCTION("""COMPUTED_VALUE"""),45126.0578125)</f>
        <v>45126.057812500003</v>
      </c>
      <c r="C371" s="1" t="str">
        <f ca="1">IFERROR(__xludf.DUMMYFUNCTION("""COMPUTED_VALUE"""),"completed")</f>
        <v>completed</v>
      </c>
      <c r="D371" s="26">
        <f ca="1">IFERROR(__xludf.DUMMYFUNCTION("""COMPUTED_VALUE"""),22)</f>
        <v>22</v>
      </c>
      <c r="E371" s="1" t="str">
        <f ca="1">IFERROR(__xludf.DUMMYFUNCTION("""COMPUTED_VALUE"""),"Lasalle Stompers")</f>
        <v>Lasalle Stompers</v>
      </c>
      <c r="F371" s="87" t="str">
        <f t="shared" ca="1" si="0"/>
        <v>2023</v>
      </c>
      <c r="G371" s="1" t="str">
        <f ca="1">IFERROR(__xludf.DUMMYFUNCTION("""COMPUTED_VALUE"""),"Lasalle Stompers")</f>
        <v>Lasalle Stompers</v>
      </c>
      <c r="H371" s="26">
        <f t="shared" ca="1" si="1"/>
        <v>22</v>
      </c>
      <c r="I371" s="26">
        <f t="shared" ca="1" si="2"/>
        <v>1</v>
      </c>
      <c r="J371" s="86">
        <f t="shared" ca="1" si="3"/>
        <v>45126</v>
      </c>
      <c r="R371" s="26"/>
    </row>
    <row r="372" spans="1:18" ht="15.75" customHeight="1">
      <c r="A372" s="26">
        <f ca="1">IFERROR(__xludf.DUMMYFUNCTION("""COMPUTED_VALUE"""),19445)</f>
        <v>19445</v>
      </c>
      <c r="B372" s="86">
        <f ca="1">IFERROR(__xludf.DUMMYFUNCTION("""COMPUTED_VALUE"""),45126.0509606481)</f>
        <v>45126.050960648099</v>
      </c>
      <c r="C372" s="1" t="str">
        <f ca="1">IFERROR(__xludf.DUMMYFUNCTION("""COMPUTED_VALUE"""),"completed")</f>
        <v>completed</v>
      </c>
      <c r="D372" s="26">
        <f ca="1">IFERROR(__xludf.DUMMYFUNCTION("""COMPUTED_VALUE"""),18)</f>
        <v>18</v>
      </c>
      <c r="E372" s="1" t="str">
        <f ca="1">IFERROR(__xludf.DUMMYFUNCTION("""COMPUTED_VALUE"""),"Lasalle Stompers")</f>
        <v>Lasalle Stompers</v>
      </c>
      <c r="F372" s="87" t="str">
        <f t="shared" ca="1" si="0"/>
        <v>2023</v>
      </c>
      <c r="G372" s="1" t="str">
        <f ca="1">IFERROR(__xludf.DUMMYFUNCTION("""COMPUTED_VALUE"""),"Lasalle Stompers")</f>
        <v>Lasalle Stompers</v>
      </c>
      <c r="H372" s="26">
        <f t="shared" ca="1" si="1"/>
        <v>18</v>
      </c>
      <c r="I372" s="26">
        <f t="shared" ca="1" si="2"/>
        <v>1</v>
      </c>
      <c r="J372" s="86">
        <f t="shared" ca="1" si="3"/>
        <v>45126</v>
      </c>
      <c r="R372" s="26"/>
    </row>
    <row r="373" spans="1:18" ht="15.75" customHeight="1">
      <c r="A373" s="26">
        <f ca="1">IFERROR(__xludf.DUMMYFUNCTION("""COMPUTED_VALUE"""),19444)</f>
        <v>19444</v>
      </c>
      <c r="B373" s="86">
        <f ca="1">IFERROR(__xludf.DUMMYFUNCTION("""COMPUTED_VALUE"""),45125.9599189814)</f>
        <v>45125.959918981403</v>
      </c>
      <c r="C373" s="1" t="str">
        <f ca="1">IFERROR(__xludf.DUMMYFUNCTION("""COMPUTED_VALUE"""),"completed")</f>
        <v>completed</v>
      </c>
      <c r="D373" s="26">
        <f ca="1">IFERROR(__xludf.DUMMYFUNCTION("""COMPUTED_VALUE"""),35)</f>
        <v>35</v>
      </c>
      <c r="E373" s="1" t="str">
        <f ca="1">IFERROR(__xludf.DUMMYFUNCTION("""COMPUTED_VALUE"""),"Lasalle Stompers")</f>
        <v>Lasalle Stompers</v>
      </c>
      <c r="F373" s="87" t="str">
        <f t="shared" ca="1" si="0"/>
        <v>2023</v>
      </c>
      <c r="G373" s="1" t="str">
        <f ca="1">IFERROR(__xludf.DUMMYFUNCTION("""COMPUTED_VALUE"""),"Lasalle Stompers")</f>
        <v>Lasalle Stompers</v>
      </c>
      <c r="H373" s="26">
        <f t="shared" ca="1" si="1"/>
        <v>35</v>
      </c>
      <c r="I373" s="26">
        <f t="shared" ca="1" si="2"/>
        <v>1</v>
      </c>
      <c r="J373" s="86">
        <f t="shared" ca="1" si="3"/>
        <v>45125</v>
      </c>
      <c r="R373" s="26"/>
    </row>
    <row r="374" spans="1:18" ht="15.75" customHeight="1">
      <c r="A374" s="26">
        <f ca="1">IFERROR(__xludf.DUMMYFUNCTION("""COMPUTED_VALUE"""),19443)</f>
        <v>19443</v>
      </c>
      <c r="B374" s="86">
        <f ca="1">IFERROR(__xludf.DUMMYFUNCTION("""COMPUTED_VALUE"""),45125.9471180555)</f>
        <v>45125.947118055497</v>
      </c>
      <c r="C374" s="1" t="str">
        <f ca="1">IFERROR(__xludf.DUMMYFUNCTION("""COMPUTED_VALUE"""),"completed")</f>
        <v>completed</v>
      </c>
      <c r="D374" s="26">
        <f ca="1">IFERROR(__xludf.DUMMYFUNCTION("""COMPUTED_VALUE"""),26)</f>
        <v>26</v>
      </c>
      <c r="E374" s="1" t="str">
        <f ca="1">IFERROR(__xludf.DUMMYFUNCTION("""COMPUTED_VALUE"""),"Lasalle Stompers")</f>
        <v>Lasalle Stompers</v>
      </c>
      <c r="F374" s="87" t="str">
        <f t="shared" ca="1" si="0"/>
        <v>2023</v>
      </c>
      <c r="G374" s="1" t="str">
        <f ca="1">IFERROR(__xludf.DUMMYFUNCTION("""COMPUTED_VALUE"""),"Lasalle Stompers")</f>
        <v>Lasalle Stompers</v>
      </c>
      <c r="H374" s="26">
        <f t="shared" ca="1" si="1"/>
        <v>26</v>
      </c>
      <c r="I374" s="26">
        <f t="shared" ca="1" si="2"/>
        <v>1</v>
      </c>
      <c r="J374" s="86">
        <f t="shared" ca="1" si="3"/>
        <v>45125</v>
      </c>
      <c r="R374" s="26"/>
    </row>
    <row r="375" spans="1:18" ht="15.75" customHeight="1">
      <c r="A375" s="26">
        <f ca="1">IFERROR(__xludf.DUMMYFUNCTION("""COMPUTED_VALUE"""),19442)</f>
        <v>19442</v>
      </c>
      <c r="B375" s="86">
        <f ca="1">IFERROR(__xludf.DUMMYFUNCTION("""COMPUTED_VALUE"""),45125.9469560185)</f>
        <v>45125.946956018503</v>
      </c>
      <c r="C375" s="1" t="str">
        <f ca="1">IFERROR(__xludf.DUMMYFUNCTION("""COMPUTED_VALUE"""),"completed")</f>
        <v>completed</v>
      </c>
      <c r="D375" s="26">
        <f ca="1">IFERROR(__xludf.DUMMYFUNCTION("""COMPUTED_VALUE"""),55)</f>
        <v>55</v>
      </c>
      <c r="E375" s="1" t="str">
        <f ca="1">IFERROR(__xludf.DUMMYFUNCTION("""COMPUTED_VALUE"""),"Lasalle Stompers")</f>
        <v>Lasalle Stompers</v>
      </c>
      <c r="F375" s="87" t="str">
        <f t="shared" ca="1" si="0"/>
        <v>2023</v>
      </c>
      <c r="G375" s="1" t="str">
        <f ca="1">IFERROR(__xludf.DUMMYFUNCTION("""COMPUTED_VALUE"""),"Lasalle Stompers")</f>
        <v>Lasalle Stompers</v>
      </c>
      <c r="H375" s="26">
        <f t="shared" ca="1" si="1"/>
        <v>55</v>
      </c>
      <c r="I375" s="26">
        <f t="shared" ca="1" si="2"/>
        <v>1</v>
      </c>
      <c r="J375" s="86">
        <f t="shared" ca="1" si="3"/>
        <v>45125</v>
      </c>
      <c r="R375" s="26"/>
    </row>
    <row r="376" spans="1:18" ht="15.75" customHeight="1">
      <c r="A376" s="26">
        <f ca="1">IFERROR(__xludf.DUMMYFUNCTION("""COMPUTED_VALUE"""),19441)</f>
        <v>19441</v>
      </c>
      <c r="B376" s="86">
        <f ca="1">IFERROR(__xludf.DUMMYFUNCTION("""COMPUTED_VALUE"""),45125.9466319444)</f>
        <v>45125.946631944404</v>
      </c>
      <c r="C376" s="1" t="str">
        <f ca="1">IFERROR(__xludf.DUMMYFUNCTION("""COMPUTED_VALUE"""),"draftpics-created")</f>
        <v>draftpics-created</v>
      </c>
      <c r="D376" s="26">
        <f ca="1">IFERROR(__xludf.DUMMYFUNCTION("""COMPUTED_VALUE"""),35)</f>
        <v>35</v>
      </c>
      <c r="E376" s="1" t="str">
        <f ca="1">IFERROR(__xludf.DUMMYFUNCTION("""COMPUTED_VALUE"""),"Lasalle Stompers")</f>
        <v>Lasalle Stompers</v>
      </c>
      <c r="F376" s="87" t="str">
        <f t="shared" ca="1" si="0"/>
        <v>2023</v>
      </c>
      <c r="G376" s="1" t="str">
        <f ca="1">IFERROR(__xludf.DUMMYFUNCTION("""COMPUTED_VALUE"""),"Lasalle Stompers")</f>
        <v>Lasalle Stompers</v>
      </c>
      <c r="H376" s="26">
        <f t="shared" ca="1" si="1"/>
        <v>35</v>
      </c>
      <c r="I376" s="26">
        <f t="shared" ca="1" si="2"/>
        <v>1</v>
      </c>
      <c r="J376" s="86">
        <f t="shared" ca="1" si="3"/>
        <v>45125</v>
      </c>
      <c r="R376" s="26"/>
    </row>
    <row r="377" spans="1:18" ht="15.75" customHeight="1">
      <c r="A377" s="26">
        <f ca="1">IFERROR(__xludf.DUMMYFUNCTION("""COMPUTED_VALUE"""),19440)</f>
        <v>19440</v>
      </c>
      <c r="B377" s="86">
        <f ca="1">IFERROR(__xludf.DUMMYFUNCTION("""COMPUTED_VALUE"""),45125.9268171295)</f>
        <v>45125.926817129599</v>
      </c>
      <c r="C377" s="1" t="str">
        <f ca="1">IFERROR(__xludf.DUMMYFUNCTION("""COMPUTED_VALUE"""),"completed")</f>
        <v>completed</v>
      </c>
      <c r="D377" s="26">
        <f ca="1">IFERROR(__xludf.DUMMYFUNCTION("""COMPUTED_VALUE"""),25)</f>
        <v>25</v>
      </c>
      <c r="E377" s="1" t="str">
        <f ca="1">IFERROR(__xludf.DUMMYFUNCTION("""COMPUTED_VALUE"""),"Lasalle Stompers")</f>
        <v>Lasalle Stompers</v>
      </c>
      <c r="F377" s="87" t="str">
        <f t="shared" ca="1" si="0"/>
        <v>2023</v>
      </c>
      <c r="G377" s="1" t="str">
        <f ca="1">IFERROR(__xludf.DUMMYFUNCTION("""COMPUTED_VALUE"""),"Lasalle Stompers")</f>
        <v>Lasalle Stompers</v>
      </c>
      <c r="H377" s="26">
        <f t="shared" ca="1" si="1"/>
        <v>25</v>
      </c>
      <c r="I377" s="26">
        <f t="shared" ca="1" si="2"/>
        <v>1</v>
      </c>
      <c r="J377" s="86">
        <f t="shared" ca="1" si="3"/>
        <v>45125</v>
      </c>
      <c r="R377" s="26"/>
    </row>
    <row r="378" spans="1:18" ht="15.75" customHeight="1">
      <c r="A378" s="26">
        <f ca="1">IFERROR(__xludf.DUMMYFUNCTION("""COMPUTED_VALUE"""),19439)</f>
        <v>19439</v>
      </c>
      <c r="B378" s="86">
        <f ca="1">IFERROR(__xludf.DUMMYFUNCTION("""COMPUTED_VALUE"""),45125.9127199074)</f>
        <v>45125.912719907399</v>
      </c>
      <c r="C378" s="1" t="str">
        <f ca="1">IFERROR(__xludf.DUMMYFUNCTION("""COMPUTED_VALUE"""),"completed")</f>
        <v>completed</v>
      </c>
      <c r="D378" s="26">
        <f ca="1">IFERROR(__xludf.DUMMYFUNCTION("""COMPUTED_VALUE"""),46)</f>
        <v>46</v>
      </c>
      <c r="E378" s="1" t="str">
        <f ca="1">IFERROR(__xludf.DUMMYFUNCTION("""COMPUTED_VALUE"""),"Lasalle Stompers")</f>
        <v>Lasalle Stompers</v>
      </c>
      <c r="F378" s="87" t="str">
        <f t="shared" ca="1" si="0"/>
        <v>2023</v>
      </c>
      <c r="G378" s="1" t="str">
        <f ca="1">IFERROR(__xludf.DUMMYFUNCTION("""COMPUTED_VALUE"""),"Lasalle Stompers")</f>
        <v>Lasalle Stompers</v>
      </c>
      <c r="H378" s="26">
        <f t="shared" ca="1" si="1"/>
        <v>46</v>
      </c>
      <c r="I378" s="26">
        <f t="shared" ca="1" si="2"/>
        <v>1</v>
      </c>
      <c r="J378" s="86">
        <f t="shared" ca="1" si="3"/>
        <v>45125</v>
      </c>
      <c r="R378" s="26"/>
    </row>
    <row r="379" spans="1:18" ht="15.75" customHeight="1">
      <c r="A379" s="26">
        <f ca="1">IFERROR(__xludf.DUMMYFUNCTION("""COMPUTED_VALUE"""),19438)</f>
        <v>19438</v>
      </c>
      <c r="B379" s="86">
        <f ca="1">IFERROR(__xludf.DUMMYFUNCTION("""COMPUTED_VALUE"""),45125.8905902777)</f>
        <v>45125.890590277697</v>
      </c>
      <c r="C379" s="1" t="str">
        <f ca="1">IFERROR(__xludf.DUMMYFUNCTION("""COMPUTED_VALUE"""),"completed")</f>
        <v>completed</v>
      </c>
      <c r="D379" s="26">
        <f ca="1">IFERROR(__xludf.DUMMYFUNCTION("""COMPUTED_VALUE"""),79)</f>
        <v>79</v>
      </c>
      <c r="E379" s="1" t="str">
        <f ca="1">IFERROR(__xludf.DUMMYFUNCTION("""COMPUTED_VALUE"""),"Lasalle Stompers")</f>
        <v>Lasalle Stompers</v>
      </c>
      <c r="F379" s="87" t="str">
        <f t="shared" ca="1" si="0"/>
        <v>2023</v>
      </c>
      <c r="G379" s="1" t="str">
        <f ca="1">IFERROR(__xludf.DUMMYFUNCTION("""COMPUTED_VALUE"""),"Lasalle Stompers")</f>
        <v>Lasalle Stompers</v>
      </c>
      <c r="H379" s="26">
        <f t="shared" ca="1" si="1"/>
        <v>79</v>
      </c>
      <c r="I379" s="26">
        <f t="shared" ca="1" si="2"/>
        <v>1</v>
      </c>
      <c r="J379" s="86">
        <f t="shared" ca="1" si="3"/>
        <v>45125</v>
      </c>
      <c r="R379" s="26"/>
    </row>
    <row r="380" spans="1:18" ht="15.75" customHeight="1">
      <c r="A380" s="26">
        <f ca="1">IFERROR(__xludf.DUMMYFUNCTION("""COMPUTED_VALUE"""),19437)</f>
        <v>19437</v>
      </c>
      <c r="B380" s="86">
        <f ca="1">IFERROR(__xludf.DUMMYFUNCTION("""COMPUTED_VALUE"""),45125.8867361111)</f>
        <v>45125.886736111097</v>
      </c>
      <c r="C380" s="1" t="str">
        <f ca="1">IFERROR(__xludf.DUMMYFUNCTION("""COMPUTED_VALUE"""),"completed")</f>
        <v>completed</v>
      </c>
      <c r="D380" s="26">
        <f ca="1">IFERROR(__xludf.DUMMYFUNCTION("""COMPUTED_VALUE"""),25)</f>
        <v>25</v>
      </c>
      <c r="E380" s="1" t="str">
        <f ca="1">IFERROR(__xludf.DUMMYFUNCTION("""COMPUTED_VALUE"""),"Lasalle Stompers")</f>
        <v>Lasalle Stompers</v>
      </c>
      <c r="F380" s="87" t="str">
        <f t="shared" ca="1" si="0"/>
        <v>2023</v>
      </c>
      <c r="G380" s="1" t="str">
        <f ca="1">IFERROR(__xludf.DUMMYFUNCTION("""COMPUTED_VALUE"""),"Lasalle Stompers")</f>
        <v>Lasalle Stompers</v>
      </c>
      <c r="H380" s="26">
        <f t="shared" ca="1" si="1"/>
        <v>25</v>
      </c>
      <c r="I380" s="26">
        <f t="shared" ca="1" si="2"/>
        <v>1</v>
      </c>
      <c r="J380" s="86">
        <f t="shared" ca="1" si="3"/>
        <v>45125</v>
      </c>
      <c r="R380" s="26"/>
    </row>
    <row r="381" spans="1:18" ht="15.75" customHeight="1">
      <c r="A381" s="26">
        <f ca="1">IFERROR(__xludf.DUMMYFUNCTION("""COMPUTED_VALUE"""),19436)</f>
        <v>19436</v>
      </c>
      <c r="B381" s="86">
        <f ca="1">IFERROR(__xludf.DUMMYFUNCTION("""COMPUTED_VALUE"""),45125.8835532407)</f>
        <v>45125.883553240703</v>
      </c>
      <c r="C381" s="1" t="str">
        <f ca="1">IFERROR(__xludf.DUMMYFUNCTION("""COMPUTED_VALUE"""),"completed")</f>
        <v>completed</v>
      </c>
      <c r="D381" s="26">
        <f ca="1">IFERROR(__xludf.DUMMYFUNCTION("""COMPUTED_VALUE"""),0)</f>
        <v>0</v>
      </c>
      <c r="E381" s="1" t="str">
        <f ca="1">IFERROR(__xludf.DUMMYFUNCTION("""COMPUTED_VALUE"""),"Lasalle Stompers")</f>
        <v>Lasalle Stompers</v>
      </c>
      <c r="F381" s="87" t="str">
        <f t="shared" ca="1" si="0"/>
        <v>2023</v>
      </c>
      <c r="G381" s="1" t="str">
        <f ca="1">IFERROR(__xludf.DUMMYFUNCTION("""COMPUTED_VALUE"""),"Lasalle Stompers")</f>
        <v>Lasalle Stompers</v>
      </c>
      <c r="H381" s="26">
        <f t="shared" ca="1" si="1"/>
        <v>0</v>
      </c>
      <c r="I381" s="26">
        <f t="shared" ca="1" si="2"/>
        <v>1</v>
      </c>
      <c r="J381" s="86">
        <f t="shared" ca="1" si="3"/>
        <v>45125</v>
      </c>
      <c r="R381" s="26"/>
    </row>
    <row r="382" spans="1:18" ht="15.75" customHeight="1">
      <c r="A382" s="26">
        <f ca="1">IFERROR(__xludf.DUMMYFUNCTION("""COMPUTED_VALUE"""),19435)</f>
        <v>19435</v>
      </c>
      <c r="B382" s="86">
        <f ca="1">IFERROR(__xludf.DUMMYFUNCTION("""COMPUTED_VALUE"""),45125.8572453703)</f>
        <v>45125.857245370302</v>
      </c>
      <c r="C382" s="1" t="str">
        <f ca="1">IFERROR(__xludf.DUMMYFUNCTION("""COMPUTED_VALUE"""),"completed")</f>
        <v>completed</v>
      </c>
      <c r="D382" s="26">
        <f ca="1">IFERROR(__xludf.DUMMYFUNCTION("""COMPUTED_VALUE"""),28)</f>
        <v>28</v>
      </c>
      <c r="E382" s="1" t="str">
        <f ca="1">IFERROR(__xludf.DUMMYFUNCTION("""COMPUTED_VALUE"""),"Lasalle Stompers")</f>
        <v>Lasalle Stompers</v>
      </c>
      <c r="F382" s="87" t="str">
        <f t="shared" ca="1" si="0"/>
        <v>2023</v>
      </c>
      <c r="G382" s="1" t="str">
        <f ca="1">IFERROR(__xludf.DUMMYFUNCTION("""COMPUTED_VALUE"""),"Lasalle Stompers")</f>
        <v>Lasalle Stompers</v>
      </c>
      <c r="H382" s="26">
        <f t="shared" ca="1" si="1"/>
        <v>28</v>
      </c>
      <c r="I382" s="26">
        <f t="shared" ca="1" si="2"/>
        <v>1</v>
      </c>
      <c r="J382" s="86">
        <f t="shared" ca="1" si="3"/>
        <v>45125</v>
      </c>
      <c r="R382" s="26"/>
    </row>
    <row r="383" spans="1:18" ht="15.75" customHeight="1">
      <c r="A383" s="26">
        <f ca="1">IFERROR(__xludf.DUMMYFUNCTION("""COMPUTED_VALUE"""),19434)</f>
        <v>19434</v>
      </c>
      <c r="B383" s="86">
        <f ca="1">IFERROR(__xludf.DUMMYFUNCTION("""COMPUTED_VALUE"""),45125.8459953702)</f>
        <v>45125.845995370299</v>
      </c>
      <c r="C383" s="1" t="str">
        <f ca="1">IFERROR(__xludf.DUMMYFUNCTION("""COMPUTED_VALUE"""),"completed")</f>
        <v>completed</v>
      </c>
      <c r="D383" s="26">
        <f ca="1">IFERROR(__xludf.DUMMYFUNCTION("""COMPUTED_VALUE"""),28)</f>
        <v>28</v>
      </c>
      <c r="E383" s="1" t="str">
        <f ca="1">IFERROR(__xludf.DUMMYFUNCTION("""COMPUTED_VALUE"""),"Lasalle Stompers")</f>
        <v>Lasalle Stompers</v>
      </c>
      <c r="F383" s="87" t="str">
        <f t="shared" ca="1" si="0"/>
        <v>2023</v>
      </c>
      <c r="G383" s="1" t="str">
        <f ca="1">IFERROR(__xludf.DUMMYFUNCTION("""COMPUTED_VALUE"""),"Lasalle Stompers")</f>
        <v>Lasalle Stompers</v>
      </c>
      <c r="H383" s="26">
        <f t="shared" ca="1" si="1"/>
        <v>28</v>
      </c>
      <c r="I383" s="26">
        <f t="shared" ca="1" si="2"/>
        <v>1</v>
      </c>
      <c r="J383" s="86">
        <f t="shared" ca="1" si="3"/>
        <v>45125</v>
      </c>
      <c r="R383" s="26"/>
    </row>
    <row r="384" spans="1:18" ht="15.75" customHeight="1">
      <c r="A384" s="26">
        <f ca="1">IFERROR(__xludf.DUMMYFUNCTION("""COMPUTED_VALUE"""),19433)</f>
        <v>19433</v>
      </c>
      <c r="B384" s="86">
        <f ca="1">IFERROR(__xludf.DUMMYFUNCTION("""COMPUTED_VALUE"""),45125.8404166666)</f>
        <v>45125.840416666601</v>
      </c>
      <c r="C384" s="1" t="str">
        <f ca="1">IFERROR(__xludf.DUMMYFUNCTION("""COMPUTED_VALUE"""),"completed")</f>
        <v>completed</v>
      </c>
      <c r="D384" s="26">
        <f ca="1">IFERROR(__xludf.DUMMYFUNCTION("""COMPUTED_VALUE"""),15)</f>
        <v>15</v>
      </c>
      <c r="E384" s="1" t="str">
        <f ca="1">IFERROR(__xludf.DUMMYFUNCTION("""COMPUTED_VALUE"""),"Lasalle Stompers")</f>
        <v>Lasalle Stompers</v>
      </c>
      <c r="F384" s="87" t="str">
        <f t="shared" ca="1" si="0"/>
        <v>2023</v>
      </c>
      <c r="G384" s="1" t="str">
        <f ca="1">IFERROR(__xludf.DUMMYFUNCTION("""COMPUTED_VALUE"""),"Lasalle Stompers")</f>
        <v>Lasalle Stompers</v>
      </c>
      <c r="H384" s="26">
        <f t="shared" ca="1" si="1"/>
        <v>15</v>
      </c>
      <c r="I384" s="26">
        <f t="shared" ca="1" si="2"/>
        <v>1</v>
      </c>
      <c r="J384" s="86">
        <f t="shared" ca="1" si="3"/>
        <v>45125</v>
      </c>
      <c r="R384" s="26"/>
    </row>
    <row r="385" spans="1:18" ht="15.75" customHeight="1">
      <c r="A385" s="26">
        <f ca="1">IFERROR(__xludf.DUMMYFUNCTION("""COMPUTED_VALUE"""),19432)</f>
        <v>19432</v>
      </c>
      <c r="B385" s="86">
        <f ca="1">IFERROR(__xludf.DUMMYFUNCTION("""COMPUTED_VALUE"""),45125.7758101851)</f>
        <v>45125.7758101851</v>
      </c>
      <c r="C385" s="1" t="str">
        <f ca="1">IFERROR(__xludf.DUMMYFUNCTION("""COMPUTED_VALUE"""),"draftpics-created")</f>
        <v>draftpics-created</v>
      </c>
      <c r="D385" s="26">
        <f ca="1">IFERROR(__xludf.DUMMYFUNCTION("""COMPUTED_VALUE"""),0)</f>
        <v>0</v>
      </c>
      <c r="E385" s="1" t="str">
        <f ca="1">IFERROR(__xludf.DUMMYFUNCTION("""COMPUTED_VALUE"""),"Lasalle Stompers")</f>
        <v>Lasalle Stompers</v>
      </c>
      <c r="F385" s="87" t="str">
        <f t="shared" ca="1" si="0"/>
        <v>2023</v>
      </c>
      <c r="G385" s="1" t="str">
        <f ca="1">IFERROR(__xludf.DUMMYFUNCTION("""COMPUTED_VALUE"""),"Lasalle Stompers")</f>
        <v>Lasalle Stompers</v>
      </c>
      <c r="H385" s="26">
        <f t="shared" ca="1" si="1"/>
        <v>0</v>
      </c>
      <c r="I385" s="26">
        <f t="shared" ca="1" si="2"/>
        <v>1</v>
      </c>
      <c r="J385" s="86">
        <f t="shared" ca="1" si="3"/>
        <v>45125</v>
      </c>
      <c r="R385" s="26"/>
    </row>
    <row r="386" spans="1:18" ht="15.75" customHeight="1">
      <c r="A386" s="26">
        <f ca="1">IFERROR(__xludf.DUMMYFUNCTION("""COMPUTED_VALUE"""),19431)</f>
        <v>19431</v>
      </c>
      <c r="B386" s="86">
        <f ca="1">IFERROR(__xludf.DUMMYFUNCTION("""COMPUTED_VALUE"""),45125.7715277777)</f>
        <v>45125.771527777702</v>
      </c>
      <c r="C386" s="1" t="str">
        <f ca="1">IFERROR(__xludf.DUMMYFUNCTION("""COMPUTED_VALUE"""),"completed")</f>
        <v>completed</v>
      </c>
      <c r="D386" s="26">
        <f ca="1">IFERROR(__xludf.DUMMYFUNCTION("""COMPUTED_VALUE"""),20)</f>
        <v>20</v>
      </c>
      <c r="E386" s="1" t="str">
        <f ca="1">IFERROR(__xludf.DUMMYFUNCTION("""COMPUTED_VALUE"""),"Lasalle Stompers")</f>
        <v>Lasalle Stompers</v>
      </c>
      <c r="F386" s="87" t="str">
        <f t="shared" ca="1" si="0"/>
        <v>2023</v>
      </c>
      <c r="G386" s="1" t="str">
        <f ca="1">IFERROR(__xludf.DUMMYFUNCTION("""COMPUTED_VALUE"""),"Lasalle Stompers")</f>
        <v>Lasalle Stompers</v>
      </c>
      <c r="H386" s="26">
        <f t="shared" ca="1" si="1"/>
        <v>20</v>
      </c>
      <c r="I386" s="26">
        <f t="shared" ca="1" si="2"/>
        <v>1</v>
      </c>
      <c r="J386" s="86">
        <f t="shared" ca="1" si="3"/>
        <v>45125</v>
      </c>
      <c r="R386" s="26"/>
    </row>
    <row r="387" spans="1:18" ht="15.75" customHeight="1">
      <c r="A387" s="26">
        <f ca="1">IFERROR(__xludf.DUMMYFUNCTION("""COMPUTED_VALUE"""),19430)</f>
        <v>19430</v>
      </c>
      <c r="B387" s="86">
        <f ca="1">IFERROR(__xludf.DUMMYFUNCTION("""COMPUTED_VALUE"""),45125.756099537)</f>
        <v>45125.756099537</v>
      </c>
      <c r="C387" s="1" t="str">
        <f ca="1">IFERROR(__xludf.DUMMYFUNCTION("""COMPUTED_VALUE"""),"completed")</f>
        <v>completed</v>
      </c>
      <c r="D387" s="26">
        <f ca="1">IFERROR(__xludf.DUMMYFUNCTION("""COMPUTED_VALUE"""),0)</f>
        <v>0</v>
      </c>
      <c r="E387" s="1" t="str">
        <f ca="1">IFERROR(__xludf.DUMMYFUNCTION("""COMPUTED_VALUE"""),"Lasalle Stompers")</f>
        <v>Lasalle Stompers</v>
      </c>
      <c r="F387" s="87" t="str">
        <f t="shared" ca="1" si="0"/>
        <v>2023</v>
      </c>
      <c r="G387" s="1" t="str">
        <f ca="1">IFERROR(__xludf.DUMMYFUNCTION("""COMPUTED_VALUE"""),"Lasalle Stompers")</f>
        <v>Lasalle Stompers</v>
      </c>
      <c r="H387" s="26">
        <f t="shared" ca="1" si="1"/>
        <v>0</v>
      </c>
      <c r="I387" s="26">
        <f t="shared" ca="1" si="2"/>
        <v>1</v>
      </c>
      <c r="J387" s="86">
        <f t="shared" ca="1" si="3"/>
        <v>45125</v>
      </c>
      <c r="R387" s="26"/>
    </row>
    <row r="388" spans="1:18" ht="15.75" customHeight="1">
      <c r="A388" s="26">
        <f ca="1">IFERROR(__xludf.DUMMYFUNCTION("""COMPUTED_VALUE"""),19429)</f>
        <v>19429</v>
      </c>
      <c r="B388" s="86">
        <f ca="1">IFERROR(__xludf.DUMMYFUNCTION("""COMPUTED_VALUE"""),45125.7551504629)</f>
        <v>45125.755150462901</v>
      </c>
      <c r="C388" s="1" t="str">
        <f ca="1">IFERROR(__xludf.DUMMYFUNCTION("""COMPUTED_VALUE"""),"completed")</f>
        <v>completed</v>
      </c>
      <c r="D388" s="26">
        <f ca="1">IFERROR(__xludf.DUMMYFUNCTION("""COMPUTED_VALUE"""),35)</f>
        <v>35</v>
      </c>
      <c r="E388" s="1" t="str">
        <f ca="1">IFERROR(__xludf.DUMMYFUNCTION("""COMPUTED_VALUE"""),"Lasalle Stompers")</f>
        <v>Lasalle Stompers</v>
      </c>
      <c r="F388" s="87" t="str">
        <f t="shared" ca="1" si="0"/>
        <v>2023</v>
      </c>
      <c r="G388" s="1" t="str">
        <f ca="1">IFERROR(__xludf.DUMMYFUNCTION("""COMPUTED_VALUE"""),"Lasalle Stompers")</f>
        <v>Lasalle Stompers</v>
      </c>
      <c r="H388" s="26">
        <f t="shared" ca="1" si="1"/>
        <v>35</v>
      </c>
      <c r="I388" s="26">
        <f t="shared" ca="1" si="2"/>
        <v>1</v>
      </c>
      <c r="J388" s="86">
        <f t="shared" ca="1" si="3"/>
        <v>45125</v>
      </c>
      <c r="R388" s="26"/>
    </row>
    <row r="389" spans="1:18" ht="15.75" customHeight="1">
      <c r="A389" s="26">
        <f ca="1">IFERROR(__xludf.DUMMYFUNCTION("""COMPUTED_VALUE"""),19428)</f>
        <v>19428</v>
      </c>
      <c r="B389" s="86">
        <f ca="1">IFERROR(__xludf.DUMMYFUNCTION("""COMPUTED_VALUE"""),45125.7485185185)</f>
        <v>45125.7485185185</v>
      </c>
      <c r="C389" s="1" t="str">
        <f ca="1">IFERROR(__xludf.DUMMYFUNCTION("""COMPUTED_VALUE"""),"completed")</f>
        <v>completed</v>
      </c>
      <c r="D389" s="26">
        <f ca="1">IFERROR(__xludf.DUMMYFUNCTION("""COMPUTED_VALUE"""),15)</f>
        <v>15</v>
      </c>
      <c r="E389" s="1" t="str">
        <f ca="1">IFERROR(__xludf.DUMMYFUNCTION("""COMPUTED_VALUE"""),"Lasalle Stompers")</f>
        <v>Lasalle Stompers</v>
      </c>
      <c r="F389" s="87" t="str">
        <f t="shared" ca="1" si="0"/>
        <v>2023</v>
      </c>
      <c r="G389" s="1" t="str">
        <f ca="1">IFERROR(__xludf.DUMMYFUNCTION("""COMPUTED_VALUE"""),"Lasalle Stompers")</f>
        <v>Lasalle Stompers</v>
      </c>
      <c r="H389" s="26">
        <f t="shared" ca="1" si="1"/>
        <v>15</v>
      </c>
      <c r="I389" s="26">
        <f t="shared" ca="1" si="2"/>
        <v>1</v>
      </c>
      <c r="J389" s="86">
        <f t="shared" ca="1" si="3"/>
        <v>45125</v>
      </c>
      <c r="R389" s="26"/>
    </row>
    <row r="390" spans="1:18" ht="15.75" customHeight="1">
      <c r="A390" s="26">
        <f ca="1">IFERROR(__xludf.DUMMYFUNCTION("""COMPUTED_VALUE"""),19427)</f>
        <v>19427</v>
      </c>
      <c r="B390" s="86">
        <f ca="1">IFERROR(__xludf.DUMMYFUNCTION("""COMPUTED_VALUE"""),45125.6703703703)</f>
        <v>45125.670370370302</v>
      </c>
      <c r="C390" s="1" t="str">
        <f ca="1">IFERROR(__xludf.DUMMYFUNCTION("""COMPUTED_VALUE"""),"completed")</f>
        <v>completed</v>
      </c>
      <c r="D390" s="26">
        <f ca="1">IFERROR(__xludf.DUMMYFUNCTION("""COMPUTED_VALUE"""),52)</f>
        <v>52</v>
      </c>
      <c r="E390" s="1" t="str">
        <f ca="1">IFERROR(__xludf.DUMMYFUNCTION("""COMPUTED_VALUE"""),"Lasalle Stompers")</f>
        <v>Lasalle Stompers</v>
      </c>
      <c r="F390" s="87" t="str">
        <f t="shared" ca="1" si="0"/>
        <v>2023</v>
      </c>
      <c r="G390" s="1" t="str">
        <f ca="1">IFERROR(__xludf.DUMMYFUNCTION("""COMPUTED_VALUE"""),"Kingsville Minor Baseball Assoc.")</f>
        <v>Kingsville Minor Baseball Assoc.</v>
      </c>
      <c r="H390" s="26">
        <f t="shared" ca="1" si="1"/>
        <v>52</v>
      </c>
      <c r="I390" s="26">
        <f t="shared" ca="1" si="2"/>
        <v>1</v>
      </c>
      <c r="J390" s="86">
        <f t="shared" ca="1" si="3"/>
        <v>45125</v>
      </c>
      <c r="R390" s="26"/>
    </row>
    <row r="391" spans="1:18" ht="15.75" customHeight="1">
      <c r="A391" s="26">
        <f ca="1">IFERROR(__xludf.DUMMYFUNCTION("""COMPUTED_VALUE"""),19426)</f>
        <v>19426</v>
      </c>
      <c r="B391" s="86">
        <f ca="1">IFERROR(__xludf.DUMMYFUNCTION("""COMPUTED_VALUE"""),45125.587662037)</f>
        <v>45125.587662037004</v>
      </c>
      <c r="C391" s="1" t="str">
        <f ca="1">IFERROR(__xludf.DUMMYFUNCTION("""COMPUTED_VALUE"""),"completed")</f>
        <v>completed</v>
      </c>
      <c r="D391" s="26">
        <f ca="1">IFERROR(__xludf.DUMMYFUNCTION("""COMPUTED_VALUE"""),18)</f>
        <v>18</v>
      </c>
      <c r="E391" s="1" t="str">
        <f ca="1">IFERROR(__xludf.DUMMYFUNCTION("""COMPUTED_VALUE"""),"Kingsville Minor Baseball Assoc.")</f>
        <v>Kingsville Minor Baseball Assoc.</v>
      </c>
      <c r="F391" s="87" t="str">
        <f t="shared" ca="1" si="0"/>
        <v>2023</v>
      </c>
      <c r="G391" s="1" t="str">
        <f ca="1">IFERROR(__xludf.DUMMYFUNCTION("""COMPUTED_VALUE"""),"Lasalle Stompers")</f>
        <v>Lasalle Stompers</v>
      </c>
      <c r="H391" s="26">
        <f t="shared" ca="1" si="1"/>
        <v>18</v>
      </c>
      <c r="I391" s="26">
        <f t="shared" ca="1" si="2"/>
        <v>1</v>
      </c>
      <c r="J391" s="86">
        <f t="shared" ca="1" si="3"/>
        <v>45125</v>
      </c>
      <c r="R391" s="26"/>
    </row>
    <row r="392" spans="1:18" ht="15.75" customHeight="1">
      <c r="A392" s="26">
        <f ca="1">IFERROR(__xludf.DUMMYFUNCTION("""COMPUTED_VALUE"""),19425)</f>
        <v>19425</v>
      </c>
      <c r="B392" s="86">
        <f ca="1">IFERROR(__xludf.DUMMYFUNCTION("""COMPUTED_VALUE"""),45125.5626388888)</f>
        <v>45125.562638888798</v>
      </c>
      <c r="C392" s="1" t="str">
        <f ca="1">IFERROR(__xludf.DUMMYFUNCTION("""COMPUTED_VALUE"""),"completed")</f>
        <v>completed</v>
      </c>
      <c r="D392" s="26">
        <f ca="1">IFERROR(__xludf.DUMMYFUNCTION("""COMPUTED_VALUE"""),26)</f>
        <v>26</v>
      </c>
      <c r="E392" s="1" t="str">
        <f ca="1">IFERROR(__xludf.DUMMYFUNCTION("""COMPUTED_VALUE"""),"Lasalle Stompers")</f>
        <v>Lasalle Stompers</v>
      </c>
      <c r="F392" s="87" t="str">
        <f t="shared" ca="1" si="0"/>
        <v>2023</v>
      </c>
      <c r="G392" s="1" t="str">
        <f ca="1">IFERROR(__xludf.DUMMYFUNCTION("""COMPUTED_VALUE"""),"Kingsville Minor Baseball Assoc.")</f>
        <v>Kingsville Minor Baseball Assoc.</v>
      </c>
      <c r="H392" s="26">
        <f t="shared" ca="1" si="1"/>
        <v>26</v>
      </c>
      <c r="I392" s="26">
        <f t="shared" ca="1" si="2"/>
        <v>1</v>
      </c>
      <c r="J392" s="86">
        <f t="shared" ca="1" si="3"/>
        <v>45125</v>
      </c>
      <c r="R392" s="26"/>
    </row>
    <row r="393" spans="1:18" ht="15.75" customHeight="1">
      <c r="A393" s="26">
        <f ca="1">IFERROR(__xludf.DUMMYFUNCTION("""COMPUTED_VALUE"""),19424)</f>
        <v>19424</v>
      </c>
      <c r="B393" s="86">
        <f ca="1">IFERROR(__xludf.DUMMYFUNCTION("""COMPUTED_VALUE"""),45125.1116087962)</f>
        <v>45125.1116087962</v>
      </c>
      <c r="C393" s="1" t="str">
        <f ca="1">IFERROR(__xludf.DUMMYFUNCTION("""COMPUTED_VALUE"""),"completed")</f>
        <v>completed</v>
      </c>
      <c r="D393" s="26">
        <f ca="1">IFERROR(__xludf.DUMMYFUNCTION("""COMPUTED_VALUE"""),25)</f>
        <v>25</v>
      </c>
      <c r="E393" s="1" t="str">
        <f ca="1">IFERROR(__xludf.DUMMYFUNCTION("""COMPUTED_VALUE"""),"Kingsville Minor Baseball Assoc.")</f>
        <v>Kingsville Minor Baseball Assoc.</v>
      </c>
      <c r="F393" s="87" t="str">
        <f t="shared" ca="1" si="0"/>
        <v>2023</v>
      </c>
      <c r="G393" s="1" t="str">
        <f ca="1">IFERROR(__xludf.DUMMYFUNCTION("""COMPUTED_VALUE"""),"Kingsville Minor Baseball Assoc.")</f>
        <v>Kingsville Minor Baseball Assoc.</v>
      </c>
      <c r="H393" s="26">
        <f t="shared" ca="1" si="1"/>
        <v>25</v>
      </c>
      <c r="I393" s="26">
        <f t="shared" ca="1" si="2"/>
        <v>1</v>
      </c>
      <c r="J393" s="86">
        <f t="shared" ca="1" si="3"/>
        <v>45125</v>
      </c>
      <c r="R393" s="26"/>
    </row>
    <row r="394" spans="1:18" ht="15.75" customHeight="1">
      <c r="A394" s="26">
        <f ca="1">IFERROR(__xludf.DUMMYFUNCTION("""COMPUTED_VALUE"""),19423)</f>
        <v>19423</v>
      </c>
      <c r="B394" s="86">
        <f ca="1">IFERROR(__xludf.DUMMYFUNCTION("""COMPUTED_VALUE"""),45125.1097916666)</f>
        <v>45125.109791666597</v>
      </c>
      <c r="C394" s="1" t="str">
        <f ca="1">IFERROR(__xludf.DUMMYFUNCTION("""COMPUTED_VALUE"""),"completed")</f>
        <v>completed</v>
      </c>
      <c r="D394" s="26">
        <f ca="1">IFERROR(__xludf.DUMMYFUNCTION("""COMPUTED_VALUE"""),25)</f>
        <v>25</v>
      </c>
      <c r="E394" s="1" t="str">
        <f ca="1">IFERROR(__xludf.DUMMYFUNCTION("""COMPUTED_VALUE"""),"Kingsville Minor Baseball Assoc.")</f>
        <v>Kingsville Minor Baseball Assoc.</v>
      </c>
      <c r="F394" s="87" t="str">
        <f t="shared" ca="1" si="0"/>
        <v>2023</v>
      </c>
      <c r="G394" s="1" t="str">
        <f ca="1">IFERROR(__xludf.DUMMYFUNCTION("""COMPUTED_VALUE"""),"Kingsville Minor Baseball Assoc.")</f>
        <v>Kingsville Minor Baseball Assoc.</v>
      </c>
      <c r="H394" s="26">
        <f t="shared" ca="1" si="1"/>
        <v>25</v>
      </c>
      <c r="I394" s="26">
        <f t="shared" ca="1" si="2"/>
        <v>1</v>
      </c>
      <c r="J394" s="86">
        <f t="shared" ca="1" si="3"/>
        <v>45125</v>
      </c>
      <c r="R394" s="26"/>
    </row>
    <row r="395" spans="1:18" ht="15.75" customHeight="1">
      <c r="A395" s="26">
        <f ca="1">IFERROR(__xludf.DUMMYFUNCTION("""COMPUTED_VALUE"""),19414)</f>
        <v>19414</v>
      </c>
      <c r="B395" s="86">
        <f ca="1">IFERROR(__xludf.DUMMYFUNCTION("""COMPUTED_VALUE"""),45125.1020949074)</f>
        <v>45125.102094907401</v>
      </c>
      <c r="C395" s="1" t="str">
        <f ca="1">IFERROR(__xludf.DUMMYFUNCTION("""COMPUTED_VALUE"""),"completed")</f>
        <v>completed</v>
      </c>
      <c r="D395" s="26">
        <f ca="1">IFERROR(__xludf.DUMMYFUNCTION("""COMPUTED_VALUE"""),25)</f>
        <v>25</v>
      </c>
      <c r="E395" s="1" t="str">
        <f ca="1">IFERROR(__xludf.DUMMYFUNCTION("""COMPUTED_VALUE"""),"Kingsville Minor Baseball Assoc.")</f>
        <v>Kingsville Minor Baseball Assoc.</v>
      </c>
      <c r="F395" s="87" t="str">
        <f t="shared" ca="1" si="0"/>
        <v>2023</v>
      </c>
      <c r="G395" s="1" t="str">
        <f ca="1">IFERROR(__xludf.DUMMYFUNCTION("""COMPUTED_VALUE"""),"Kingsville Minor Baseball Assoc.")</f>
        <v>Kingsville Minor Baseball Assoc.</v>
      </c>
      <c r="H395" s="26">
        <f t="shared" ca="1" si="1"/>
        <v>25</v>
      </c>
      <c r="I395" s="26">
        <f t="shared" ca="1" si="2"/>
        <v>1</v>
      </c>
      <c r="J395" s="86">
        <f t="shared" ca="1" si="3"/>
        <v>45125</v>
      </c>
      <c r="R395" s="26"/>
    </row>
    <row r="396" spans="1:18" ht="15.75" customHeight="1">
      <c r="A396" s="26">
        <f ca="1">IFERROR(__xludf.DUMMYFUNCTION("""COMPUTED_VALUE"""),19413)</f>
        <v>19413</v>
      </c>
      <c r="B396" s="86">
        <f ca="1">IFERROR(__xludf.DUMMYFUNCTION("""COMPUTED_VALUE"""),45125.0987152777)</f>
        <v>45125.098715277702</v>
      </c>
      <c r="C396" s="1" t="str">
        <f ca="1">IFERROR(__xludf.DUMMYFUNCTION("""COMPUTED_VALUE"""),"completed")</f>
        <v>completed</v>
      </c>
      <c r="D396" s="26">
        <f ca="1">IFERROR(__xludf.DUMMYFUNCTION("""COMPUTED_VALUE"""),35)</f>
        <v>35</v>
      </c>
      <c r="E396" s="1" t="str">
        <f ca="1">IFERROR(__xludf.DUMMYFUNCTION("""COMPUTED_VALUE"""),"Kingsville Minor Baseball Assoc.")</f>
        <v>Kingsville Minor Baseball Assoc.</v>
      </c>
      <c r="F396" s="87" t="str">
        <f t="shared" ca="1" si="0"/>
        <v>2023</v>
      </c>
      <c r="G396" s="1" t="str">
        <f ca="1">IFERROR(__xludf.DUMMYFUNCTION("""COMPUTED_VALUE"""),"Kingsville Minor Baseball Assoc.")</f>
        <v>Kingsville Minor Baseball Assoc.</v>
      </c>
      <c r="H396" s="26">
        <f t="shared" ca="1" si="1"/>
        <v>35</v>
      </c>
      <c r="I396" s="26">
        <f t="shared" ca="1" si="2"/>
        <v>1</v>
      </c>
      <c r="J396" s="86">
        <f t="shared" ca="1" si="3"/>
        <v>45125</v>
      </c>
      <c r="R396" s="26"/>
    </row>
    <row r="397" spans="1:18" ht="15.75" customHeight="1">
      <c r="A397" s="26">
        <f ca="1">IFERROR(__xludf.DUMMYFUNCTION("""COMPUTED_VALUE"""),19378)</f>
        <v>19378</v>
      </c>
      <c r="B397" s="86">
        <f ca="1">IFERROR(__xludf.DUMMYFUNCTION("""COMPUTED_VALUE"""),45125.0826157407)</f>
        <v>45125.082615740699</v>
      </c>
      <c r="C397" s="1" t="str">
        <f ca="1">IFERROR(__xludf.DUMMYFUNCTION("""COMPUTED_VALUE"""),"completed")</f>
        <v>completed</v>
      </c>
      <c r="D397" s="26">
        <f ca="1">IFERROR(__xludf.DUMMYFUNCTION("""COMPUTED_VALUE"""),44)</f>
        <v>44</v>
      </c>
      <c r="E397" s="1" t="str">
        <f ca="1">IFERROR(__xludf.DUMMYFUNCTION("""COMPUTED_VALUE"""),"Kingsville Minor Baseball Assoc.")</f>
        <v>Kingsville Minor Baseball Assoc.</v>
      </c>
      <c r="F397" s="87" t="str">
        <f t="shared" ca="1" si="0"/>
        <v>2023</v>
      </c>
      <c r="G397" s="1" t="str">
        <f ca="1">IFERROR(__xludf.DUMMYFUNCTION("""COMPUTED_VALUE"""),"Lasalle Stompers")</f>
        <v>Lasalle Stompers</v>
      </c>
      <c r="H397" s="26">
        <f t="shared" ca="1" si="1"/>
        <v>44</v>
      </c>
      <c r="I397" s="26">
        <f t="shared" ca="1" si="2"/>
        <v>1</v>
      </c>
      <c r="J397" s="86">
        <f t="shared" ca="1" si="3"/>
        <v>45125</v>
      </c>
      <c r="R397" s="26"/>
    </row>
    <row r="398" spans="1:18" ht="15.75" customHeight="1">
      <c r="A398" s="26">
        <f ca="1">IFERROR(__xludf.DUMMYFUNCTION("""COMPUTED_VALUE"""),19374)</f>
        <v>19374</v>
      </c>
      <c r="B398" s="86">
        <f ca="1">IFERROR(__xludf.DUMMYFUNCTION("""COMPUTED_VALUE"""),45125.0751967592)</f>
        <v>45125.0751967592</v>
      </c>
      <c r="C398" s="1" t="str">
        <f ca="1">IFERROR(__xludf.DUMMYFUNCTION("""COMPUTED_VALUE"""),"completed")</f>
        <v>completed</v>
      </c>
      <c r="D398" s="26">
        <f ca="1">IFERROR(__xludf.DUMMYFUNCTION("""COMPUTED_VALUE"""),40)</f>
        <v>40</v>
      </c>
      <c r="E398" s="1" t="str">
        <f ca="1">IFERROR(__xludf.DUMMYFUNCTION("""COMPUTED_VALUE"""),"Lasalle Stompers")</f>
        <v>Lasalle Stompers</v>
      </c>
      <c r="F398" s="87" t="str">
        <f t="shared" ca="1" si="0"/>
        <v>2023</v>
      </c>
      <c r="G398" s="1" t="str">
        <f ca="1">IFERROR(__xludf.DUMMYFUNCTION("""COMPUTED_VALUE"""),"Kingsville Minor Baseball Assoc.")</f>
        <v>Kingsville Minor Baseball Assoc.</v>
      </c>
      <c r="H398" s="26">
        <f t="shared" ca="1" si="1"/>
        <v>40</v>
      </c>
      <c r="I398" s="26">
        <f t="shared" ca="1" si="2"/>
        <v>1</v>
      </c>
      <c r="J398" s="86">
        <f t="shared" ca="1" si="3"/>
        <v>45125</v>
      </c>
      <c r="R398" s="26"/>
    </row>
    <row r="399" spans="1:18" ht="15.75" customHeight="1">
      <c r="A399" s="26">
        <f ca="1">IFERROR(__xludf.DUMMYFUNCTION("""COMPUTED_VALUE"""),19373)</f>
        <v>19373</v>
      </c>
      <c r="B399" s="86">
        <f ca="1">IFERROR(__xludf.DUMMYFUNCTION("""COMPUTED_VALUE"""),45125.0461226851)</f>
        <v>45125.046122685097</v>
      </c>
      <c r="C399" s="1" t="str">
        <f ca="1">IFERROR(__xludf.DUMMYFUNCTION("""COMPUTED_VALUE"""),"completed")</f>
        <v>completed</v>
      </c>
      <c r="D399" s="26">
        <f ca="1">IFERROR(__xludf.DUMMYFUNCTION("""COMPUTED_VALUE"""),15)</f>
        <v>15</v>
      </c>
      <c r="E399" s="1" t="str">
        <f ca="1">IFERROR(__xludf.DUMMYFUNCTION("""COMPUTED_VALUE"""),"Kingsville Minor Baseball Assoc.")</f>
        <v>Kingsville Minor Baseball Assoc.</v>
      </c>
      <c r="F399" s="87" t="str">
        <f t="shared" ca="1" si="0"/>
        <v>2023</v>
      </c>
      <c r="G399" s="1" t="str">
        <f ca="1">IFERROR(__xludf.DUMMYFUNCTION("""COMPUTED_VALUE"""),"Kingsville Minor Baseball Assoc.")</f>
        <v>Kingsville Minor Baseball Assoc.</v>
      </c>
      <c r="H399" s="26">
        <f t="shared" ca="1" si="1"/>
        <v>15</v>
      </c>
      <c r="I399" s="26">
        <f t="shared" ca="1" si="2"/>
        <v>1</v>
      </c>
      <c r="J399" s="86">
        <f t="shared" ca="1" si="3"/>
        <v>45125</v>
      </c>
      <c r="R399" s="26"/>
    </row>
    <row r="400" spans="1:18" ht="15.75" customHeight="1">
      <c r="A400" s="26">
        <f ca="1">IFERROR(__xludf.DUMMYFUNCTION("""COMPUTED_VALUE"""),19372)</f>
        <v>19372</v>
      </c>
      <c r="B400" s="86">
        <f ca="1">IFERROR(__xludf.DUMMYFUNCTION("""COMPUTED_VALUE"""),45125.0307291666)</f>
        <v>45125.030729166603</v>
      </c>
      <c r="C400" s="1" t="str">
        <f ca="1">IFERROR(__xludf.DUMMYFUNCTION("""COMPUTED_VALUE"""),"completed")</f>
        <v>completed</v>
      </c>
      <c r="D400" s="26">
        <f ca="1">IFERROR(__xludf.DUMMYFUNCTION("""COMPUTED_VALUE"""),25)</f>
        <v>25</v>
      </c>
      <c r="E400" s="1" t="str">
        <f ca="1">IFERROR(__xludf.DUMMYFUNCTION("""COMPUTED_VALUE"""),"Kingsville Minor Baseball Assoc.")</f>
        <v>Kingsville Minor Baseball Assoc.</v>
      </c>
      <c r="F400" s="87" t="str">
        <f t="shared" ca="1" si="0"/>
        <v>2023</v>
      </c>
      <c r="G400" s="1" t="str">
        <f ca="1">IFERROR(__xludf.DUMMYFUNCTION("""COMPUTED_VALUE"""),"Lasalle Stompers")</f>
        <v>Lasalle Stompers</v>
      </c>
      <c r="H400" s="26">
        <f t="shared" ca="1" si="1"/>
        <v>25</v>
      </c>
      <c r="I400" s="26">
        <f t="shared" ca="1" si="2"/>
        <v>1</v>
      </c>
      <c r="J400" s="86">
        <f t="shared" ca="1" si="3"/>
        <v>45125</v>
      </c>
      <c r="R400" s="26"/>
    </row>
    <row r="401" spans="1:18" ht="15.75" customHeight="1">
      <c r="A401" s="26">
        <f ca="1">IFERROR(__xludf.DUMMYFUNCTION("""COMPUTED_VALUE"""),19371)</f>
        <v>19371</v>
      </c>
      <c r="B401" s="86">
        <f ca="1">IFERROR(__xludf.DUMMYFUNCTION("""COMPUTED_VALUE"""),45124.9552777777)</f>
        <v>45124.955277777699</v>
      </c>
      <c r="C401" s="1" t="str">
        <f ca="1">IFERROR(__xludf.DUMMYFUNCTION("""COMPUTED_VALUE"""),"completed")</f>
        <v>completed</v>
      </c>
      <c r="D401" s="26">
        <f ca="1">IFERROR(__xludf.DUMMYFUNCTION("""COMPUTED_VALUE"""),0)</f>
        <v>0</v>
      </c>
      <c r="E401" s="1" t="str">
        <f ca="1">IFERROR(__xludf.DUMMYFUNCTION("""COMPUTED_VALUE"""),"Lasalle Stompers")</f>
        <v>Lasalle Stompers</v>
      </c>
      <c r="F401" s="87" t="str">
        <f t="shared" ca="1" si="0"/>
        <v>2023</v>
      </c>
      <c r="G401" s="1" t="str">
        <f ca="1">IFERROR(__xludf.DUMMYFUNCTION("""COMPUTED_VALUE"""),"Lasalle Stompers")</f>
        <v>Lasalle Stompers</v>
      </c>
      <c r="H401" s="26">
        <f t="shared" ca="1" si="1"/>
        <v>0</v>
      </c>
      <c r="I401" s="26">
        <f t="shared" ca="1" si="2"/>
        <v>1</v>
      </c>
      <c r="J401" s="86">
        <f t="shared" ca="1" si="3"/>
        <v>45124</v>
      </c>
      <c r="R401" s="26"/>
    </row>
    <row r="402" spans="1:18" ht="15.75" customHeight="1">
      <c r="A402" s="26">
        <f ca="1">IFERROR(__xludf.DUMMYFUNCTION("""COMPUTED_VALUE"""),19370)</f>
        <v>19370</v>
      </c>
      <c r="B402" s="86">
        <f ca="1">IFERROR(__xludf.DUMMYFUNCTION("""COMPUTED_VALUE"""),45124.9276967592)</f>
        <v>45124.927696759201</v>
      </c>
      <c r="C402" s="1" t="str">
        <f ca="1">IFERROR(__xludf.DUMMYFUNCTION("""COMPUTED_VALUE"""),"completed")</f>
        <v>completed</v>
      </c>
      <c r="D402" s="26">
        <f ca="1">IFERROR(__xludf.DUMMYFUNCTION("""COMPUTED_VALUE"""),71)</f>
        <v>71</v>
      </c>
      <c r="E402" s="1" t="str">
        <f ca="1">IFERROR(__xludf.DUMMYFUNCTION("""COMPUTED_VALUE"""),"Lasalle Stompers")</f>
        <v>Lasalle Stompers</v>
      </c>
      <c r="F402" s="87" t="str">
        <f t="shared" ca="1" si="0"/>
        <v>2023</v>
      </c>
      <c r="G402" s="1" t="str">
        <f ca="1">IFERROR(__xludf.DUMMYFUNCTION("""COMPUTED_VALUE"""),"Lasalle Stompers")</f>
        <v>Lasalle Stompers</v>
      </c>
      <c r="H402" s="26">
        <f t="shared" ca="1" si="1"/>
        <v>71</v>
      </c>
      <c r="I402" s="26">
        <f t="shared" ca="1" si="2"/>
        <v>1</v>
      </c>
      <c r="J402" s="86">
        <f t="shared" ca="1" si="3"/>
        <v>45124</v>
      </c>
      <c r="R402" s="26"/>
    </row>
    <row r="403" spans="1:18" ht="15.75" customHeight="1">
      <c r="A403" s="26">
        <f ca="1">IFERROR(__xludf.DUMMYFUNCTION("""COMPUTED_VALUE"""),19369)</f>
        <v>19369</v>
      </c>
      <c r="B403" s="86">
        <f ca="1">IFERROR(__xludf.DUMMYFUNCTION("""COMPUTED_VALUE"""),45124.8234027777)</f>
        <v>45124.8234027777</v>
      </c>
      <c r="C403" s="1" t="str">
        <f ca="1">IFERROR(__xludf.DUMMYFUNCTION("""COMPUTED_VALUE"""),"completed")</f>
        <v>completed</v>
      </c>
      <c r="D403" s="26">
        <f ca="1">IFERROR(__xludf.DUMMYFUNCTION("""COMPUTED_VALUE"""),20)</f>
        <v>20</v>
      </c>
      <c r="E403" s="1" t="str">
        <f ca="1">IFERROR(__xludf.DUMMYFUNCTION("""COMPUTED_VALUE"""),"Lasalle Stompers")</f>
        <v>Lasalle Stompers</v>
      </c>
      <c r="F403" s="87" t="str">
        <f t="shared" ca="1" si="0"/>
        <v>2023</v>
      </c>
      <c r="G403" s="1" t="str">
        <f ca="1">IFERROR(__xludf.DUMMYFUNCTION("""COMPUTED_VALUE"""),"Lasalle Stompers")</f>
        <v>Lasalle Stompers</v>
      </c>
      <c r="H403" s="26">
        <f t="shared" ca="1" si="1"/>
        <v>20</v>
      </c>
      <c r="I403" s="26">
        <f t="shared" ca="1" si="2"/>
        <v>1</v>
      </c>
      <c r="J403" s="86">
        <f t="shared" ca="1" si="3"/>
        <v>45124</v>
      </c>
      <c r="R403" s="26"/>
    </row>
    <row r="404" spans="1:18" ht="15.75" customHeight="1">
      <c r="A404" s="26">
        <f ca="1">IFERROR(__xludf.DUMMYFUNCTION("""COMPUTED_VALUE"""),19368)</f>
        <v>19368</v>
      </c>
      <c r="B404" s="86">
        <f ca="1">IFERROR(__xludf.DUMMYFUNCTION("""COMPUTED_VALUE"""),45124.6232523148)</f>
        <v>45124.623252314799</v>
      </c>
      <c r="C404" s="1" t="str">
        <f ca="1">IFERROR(__xludf.DUMMYFUNCTION("""COMPUTED_VALUE"""),"completed")</f>
        <v>completed</v>
      </c>
      <c r="D404" s="26">
        <f ca="1">IFERROR(__xludf.DUMMYFUNCTION("""COMPUTED_VALUE"""),15)</f>
        <v>15</v>
      </c>
      <c r="E404" s="1" t="str">
        <f ca="1">IFERROR(__xludf.DUMMYFUNCTION("""COMPUTED_VALUE"""),"Lasalle Stompers")</f>
        <v>Lasalle Stompers</v>
      </c>
      <c r="F404" s="87" t="str">
        <f t="shared" ca="1" si="0"/>
        <v>2023</v>
      </c>
      <c r="G404" s="1" t="str">
        <f ca="1">IFERROR(__xludf.DUMMYFUNCTION("""COMPUTED_VALUE"""),"Lasalle Stompers")</f>
        <v>Lasalle Stompers</v>
      </c>
      <c r="H404" s="26">
        <f t="shared" ca="1" si="1"/>
        <v>15</v>
      </c>
      <c r="I404" s="26">
        <f t="shared" ca="1" si="2"/>
        <v>1</v>
      </c>
      <c r="J404" s="86">
        <f t="shared" ca="1" si="3"/>
        <v>45124</v>
      </c>
      <c r="R404" s="26"/>
    </row>
    <row r="405" spans="1:18" ht="15.75" customHeight="1">
      <c r="A405" s="26">
        <f ca="1">IFERROR(__xludf.DUMMYFUNCTION("""COMPUTED_VALUE"""),19367)</f>
        <v>19367</v>
      </c>
      <c r="B405" s="86">
        <f ca="1">IFERROR(__xludf.DUMMYFUNCTION("""COMPUTED_VALUE"""),45124.6211689814)</f>
        <v>45124.621168981401</v>
      </c>
      <c r="C405" s="1" t="str">
        <f ca="1">IFERROR(__xludf.DUMMYFUNCTION("""COMPUTED_VALUE"""),"completed")</f>
        <v>completed</v>
      </c>
      <c r="D405" s="26">
        <f ca="1">IFERROR(__xludf.DUMMYFUNCTION("""COMPUTED_VALUE"""),15)</f>
        <v>15</v>
      </c>
      <c r="E405" s="1" t="str">
        <f ca="1">IFERROR(__xludf.DUMMYFUNCTION("""COMPUTED_VALUE"""),"Lasalle Stompers")</f>
        <v>Lasalle Stompers</v>
      </c>
      <c r="F405" s="87" t="str">
        <f t="shared" ca="1" si="0"/>
        <v>2023</v>
      </c>
      <c r="G405" s="1" t="str">
        <f ca="1">IFERROR(__xludf.DUMMYFUNCTION("""COMPUTED_VALUE"""),"Kingsville Minor Baseball Assoc.")</f>
        <v>Kingsville Minor Baseball Assoc.</v>
      </c>
      <c r="H405" s="26">
        <f t="shared" ca="1" si="1"/>
        <v>15</v>
      </c>
      <c r="I405" s="26">
        <f t="shared" ca="1" si="2"/>
        <v>1</v>
      </c>
      <c r="J405" s="86">
        <f t="shared" ca="1" si="3"/>
        <v>45124</v>
      </c>
      <c r="R405" s="26"/>
    </row>
    <row r="406" spans="1:18" ht="15.75" customHeight="1">
      <c r="A406" s="26">
        <f ca="1">IFERROR(__xludf.DUMMYFUNCTION("""COMPUTED_VALUE"""),19366)</f>
        <v>19366</v>
      </c>
      <c r="B406" s="86">
        <f ca="1">IFERROR(__xludf.DUMMYFUNCTION("""COMPUTED_VALUE"""),45123.8288194444)</f>
        <v>45123.828819444403</v>
      </c>
      <c r="C406" s="1" t="str">
        <f ca="1">IFERROR(__xludf.DUMMYFUNCTION("""COMPUTED_VALUE"""),"completed")</f>
        <v>completed</v>
      </c>
      <c r="D406" s="26">
        <f ca="1">IFERROR(__xludf.DUMMYFUNCTION("""COMPUTED_VALUE"""),55)</f>
        <v>55</v>
      </c>
      <c r="E406" s="1" t="str">
        <f ca="1">IFERROR(__xludf.DUMMYFUNCTION("""COMPUTED_VALUE"""),"Kingsville Minor Baseball Assoc.")</f>
        <v>Kingsville Minor Baseball Assoc.</v>
      </c>
      <c r="F406" s="87" t="str">
        <f t="shared" ca="1" si="0"/>
        <v>2023</v>
      </c>
      <c r="G406" s="1" t="str">
        <f ca="1">IFERROR(__xludf.DUMMYFUNCTION("""COMPUTED_VALUE"""),"Lasalle Stompers")</f>
        <v>Lasalle Stompers</v>
      </c>
      <c r="H406" s="26">
        <f t="shared" ca="1" si="1"/>
        <v>55</v>
      </c>
      <c r="I406" s="26">
        <f t="shared" ca="1" si="2"/>
        <v>1</v>
      </c>
      <c r="J406" s="86">
        <f t="shared" ca="1" si="3"/>
        <v>45123</v>
      </c>
      <c r="R406" s="26"/>
    </row>
    <row r="407" spans="1:18" ht="15.75" customHeight="1">
      <c r="A407" s="26">
        <f ca="1">IFERROR(__xludf.DUMMYFUNCTION("""COMPUTED_VALUE"""),19365)</f>
        <v>19365</v>
      </c>
      <c r="B407" s="86">
        <f ca="1">IFERROR(__xludf.DUMMYFUNCTION("""COMPUTED_VALUE"""),45123.7313310184)</f>
        <v>45123.731331018498</v>
      </c>
      <c r="C407" s="1" t="str">
        <f ca="1">IFERROR(__xludf.DUMMYFUNCTION("""COMPUTED_VALUE"""),"completed")</f>
        <v>completed</v>
      </c>
      <c r="D407" s="26">
        <f ca="1">IFERROR(__xludf.DUMMYFUNCTION("""COMPUTED_VALUE"""),28)</f>
        <v>28</v>
      </c>
      <c r="E407" s="1" t="str">
        <f ca="1">IFERROR(__xludf.DUMMYFUNCTION("""COMPUTED_VALUE"""),"Lasalle Stompers")</f>
        <v>Lasalle Stompers</v>
      </c>
      <c r="F407" s="87" t="str">
        <f t="shared" ca="1" si="0"/>
        <v>2023</v>
      </c>
      <c r="G407" s="1" t="str">
        <f ca="1">IFERROR(__xludf.DUMMYFUNCTION("""COMPUTED_VALUE"""),"Lasalle Stompers")</f>
        <v>Lasalle Stompers</v>
      </c>
      <c r="H407" s="26">
        <f t="shared" ca="1" si="1"/>
        <v>28</v>
      </c>
      <c r="I407" s="26">
        <f t="shared" ca="1" si="2"/>
        <v>1</v>
      </c>
      <c r="J407" s="86">
        <f t="shared" ca="1" si="3"/>
        <v>45123</v>
      </c>
      <c r="R407" s="26"/>
    </row>
    <row r="408" spans="1:18" ht="15.75" customHeight="1">
      <c r="A408" s="26">
        <f ca="1">IFERROR(__xludf.DUMMYFUNCTION("""COMPUTED_VALUE"""),19364)</f>
        <v>19364</v>
      </c>
      <c r="B408" s="86">
        <f ca="1">IFERROR(__xludf.DUMMYFUNCTION("""COMPUTED_VALUE"""),45122.9090624999)</f>
        <v>45122.909062499901</v>
      </c>
      <c r="C408" s="1" t="str">
        <f ca="1">IFERROR(__xludf.DUMMYFUNCTION("""COMPUTED_VALUE"""),"completed")</f>
        <v>completed</v>
      </c>
      <c r="D408" s="26">
        <f ca="1">IFERROR(__xludf.DUMMYFUNCTION("""COMPUTED_VALUE"""),25)</f>
        <v>25</v>
      </c>
      <c r="E408" s="1" t="str">
        <f ca="1">IFERROR(__xludf.DUMMYFUNCTION("""COMPUTED_VALUE"""),"Lasalle Stompers")</f>
        <v>Lasalle Stompers</v>
      </c>
      <c r="F408" s="87" t="str">
        <f t="shared" ca="1" si="0"/>
        <v>2023</v>
      </c>
      <c r="G408" s="1" t="str">
        <f ca="1">IFERROR(__xludf.DUMMYFUNCTION("""COMPUTED_VALUE"""),"Lasalle Stompers")</f>
        <v>Lasalle Stompers</v>
      </c>
      <c r="H408" s="26">
        <f t="shared" ca="1" si="1"/>
        <v>25</v>
      </c>
      <c r="I408" s="26">
        <f t="shared" ca="1" si="2"/>
        <v>1</v>
      </c>
      <c r="J408" s="86">
        <f t="shared" ca="1" si="3"/>
        <v>45122</v>
      </c>
      <c r="R408" s="26"/>
    </row>
    <row r="409" spans="1:18" ht="15.75" customHeight="1">
      <c r="A409" s="26">
        <f ca="1">IFERROR(__xludf.DUMMYFUNCTION("""COMPUTED_VALUE"""),19363)</f>
        <v>19363</v>
      </c>
      <c r="B409" s="86">
        <f ca="1">IFERROR(__xludf.DUMMYFUNCTION("""COMPUTED_VALUE"""),45122.7617476851)</f>
        <v>45122.761747685101</v>
      </c>
      <c r="C409" s="1" t="str">
        <f ca="1">IFERROR(__xludf.DUMMYFUNCTION("""COMPUTED_VALUE"""),"completed")</f>
        <v>completed</v>
      </c>
      <c r="D409" s="26">
        <f ca="1">IFERROR(__xludf.DUMMYFUNCTION("""COMPUTED_VALUE"""),20)</f>
        <v>20</v>
      </c>
      <c r="E409" s="1" t="str">
        <f ca="1">IFERROR(__xludf.DUMMYFUNCTION("""COMPUTED_VALUE"""),"Lasalle Stompers")</f>
        <v>Lasalle Stompers</v>
      </c>
      <c r="F409" s="87" t="str">
        <f t="shared" ca="1" si="0"/>
        <v>2023</v>
      </c>
      <c r="G409" s="1" t="str">
        <f ca="1">IFERROR(__xludf.DUMMYFUNCTION("""COMPUTED_VALUE"""),"Lasalle Stompers")</f>
        <v>Lasalle Stompers</v>
      </c>
      <c r="H409" s="26">
        <f t="shared" ca="1" si="1"/>
        <v>20</v>
      </c>
      <c r="I409" s="26">
        <f t="shared" ca="1" si="2"/>
        <v>1</v>
      </c>
      <c r="J409" s="86">
        <f t="shared" ca="1" si="3"/>
        <v>45122</v>
      </c>
      <c r="R409" s="26"/>
    </row>
    <row r="410" spans="1:18" ht="15.75" customHeight="1">
      <c r="A410" s="26">
        <f ca="1">IFERROR(__xludf.DUMMYFUNCTION("""COMPUTED_VALUE"""),19362)</f>
        <v>19362</v>
      </c>
      <c r="B410" s="86">
        <f ca="1">IFERROR(__xludf.DUMMYFUNCTION("""COMPUTED_VALUE"""),45122.5934259259)</f>
        <v>45122.593425925901</v>
      </c>
      <c r="C410" s="1" t="str">
        <f ca="1">IFERROR(__xludf.DUMMYFUNCTION("""COMPUTED_VALUE"""),"completed")</f>
        <v>completed</v>
      </c>
      <c r="D410" s="26">
        <f ca="1">IFERROR(__xludf.DUMMYFUNCTION("""COMPUTED_VALUE"""),15)</f>
        <v>15</v>
      </c>
      <c r="E410" s="1" t="str">
        <f ca="1">IFERROR(__xludf.DUMMYFUNCTION("""COMPUTED_VALUE"""),"Lasalle Stompers")</f>
        <v>Lasalle Stompers</v>
      </c>
      <c r="F410" s="87" t="str">
        <f t="shared" ca="1" si="0"/>
        <v>2023</v>
      </c>
      <c r="G410" s="1" t="str">
        <f ca="1">IFERROR(__xludf.DUMMYFUNCTION("""COMPUTED_VALUE"""),"Lasalle Stompers")</f>
        <v>Lasalle Stompers</v>
      </c>
      <c r="H410" s="26">
        <f t="shared" ca="1" si="1"/>
        <v>15</v>
      </c>
      <c r="I410" s="26">
        <f t="shared" ca="1" si="2"/>
        <v>1</v>
      </c>
      <c r="J410" s="86">
        <f t="shared" ca="1" si="3"/>
        <v>45122</v>
      </c>
      <c r="R410" s="26"/>
    </row>
    <row r="411" spans="1:18" ht="15.75" customHeight="1">
      <c r="A411" s="26">
        <f ca="1">IFERROR(__xludf.DUMMYFUNCTION("""COMPUTED_VALUE"""),19361)</f>
        <v>19361</v>
      </c>
      <c r="B411" s="86">
        <f ca="1">IFERROR(__xludf.DUMMYFUNCTION("""COMPUTED_VALUE"""),45122.5924768518)</f>
        <v>45122.592476851802</v>
      </c>
      <c r="C411" s="1" t="str">
        <f ca="1">IFERROR(__xludf.DUMMYFUNCTION("""COMPUTED_VALUE"""),"completed")</f>
        <v>completed</v>
      </c>
      <c r="D411" s="26">
        <f ca="1">IFERROR(__xludf.DUMMYFUNCTION("""COMPUTED_VALUE"""),15)</f>
        <v>15</v>
      </c>
      <c r="E411" s="1" t="str">
        <f ca="1">IFERROR(__xludf.DUMMYFUNCTION("""COMPUTED_VALUE"""),"Lasalle Stompers")</f>
        <v>Lasalle Stompers</v>
      </c>
      <c r="F411" s="87" t="str">
        <f t="shared" ca="1" si="0"/>
        <v>2023</v>
      </c>
      <c r="G411" s="1" t="str">
        <f ca="1">IFERROR(__xludf.DUMMYFUNCTION("""COMPUTED_VALUE"""),"Lasalle Stompers")</f>
        <v>Lasalle Stompers</v>
      </c>
      <c r="H411" s="26">
        <f t="shared" ca="1" si="1"/>
        <v>15</v>
      </c>
      <c r="I411" s="26">
        <f t="shared" ca="1" si="2"/>
        <v>1</v>
      </c>
      <c r="J411" s="86">
        <f t="shared" ca="1" si="3"/>
        <v>45122</v>
      </c>
      <c r="R411" s="26"/>
    </row>
    <row r="412" spans="1:18" ht="15.75" customHeight="1">
      <c r="A412" s="26">
        <f ca="1">IFERROR(__xludf.DUMMYFUNCTION("""COMPUTED_VALUE"""),19360)</f>
        <v>19360</v>
      </c>
      <c r="B412" s="86">
        <f ca="1">IFERROR(__xludf.DUMMYFUNCTION("""COMPUTED_VALUE"""),45122.5911458333)</f>
        <v>45122.591145833299</v>
      </c>
      <c r="C412" s="1" t="str">
        <f ca="1">IFERROR(__xludf.DUMMYFUNCTION("""COMPUTED_VALUE"""),"completed")</f>
        <v>completed</v>
      </c>
      <c r="D412" s="26">
        <f ca="1">IFERROR(__xludf.DUMMYFUNCTION("""COMPUTED_VALUE"""),15)</f>
        <v>15</v>
      </c>
      <c r="E412" s="1" t="str">
        <f ca="1">IFERROR(__xludf.DUMMYFUNCTION("""COMPUTED_VALUE"""),"Lasalle Stompers")</f>
        <v>Lasalle Stompers</v>
      </c>
      <c r="F412" s="87" t="str">
        <f t="shared" ca="1" si="0"/>
        <v>2023</v>
      </c>
      <c r="G412" s="1" t="str">
        <f ca="1">IFERROR(__xludf.DUMMYFUNCTION("""COMPUTED_VALUE"""),"Lasalle Stompers")</f>
        <v>Lasalle Stompers</v>
      </c>
      <c r="H412" s="26">
        <f t="shared" ca="1" si="1"/>
        <v>15</v>
      </c>
      <c r="I412" s="26">
        <f t="shared" ca="1" si="2"/>
        <v>1</v>
      </c>
      <c r="J412" s="86">
        <f t="shared" ca="1" si="3"/>
        <v>45122</v>
      </c>
      <c r="R412" s="26"/>
    </row>
    <row r="413" spans="1:18" ht="15.75" customHeight="1">
      <c r="A413" s="26">
        <f ca="1">IFERROR(__xludf.DUMMYFUNCTION("""COMPUTED_VALUE"""),19359)</f>
        <v>19359</v>
      </c>
      <c r="B413" s="86">
        <f ca="1">IFERROR(__xludf.DUMMYFUNCTION("""COMPUTED_VALUE"""),45122.4919791666)</f>
        <v>45122.491979166603</v>
      </c>
      <c r="C413" s="1" t="str">
        <f ca="1">IFERROR(__xludf.DUMMYFUNCTION("""COMPUTED_VALUE"""),"completed")</f>
        <v>completed</v>
      </c>
      <c r="D413" s="26">
        <f ca="1">IFERROR(__xludf.DUMMYFUNCTION("""COMPUTED_VALUE"""),18)</f>
        <v>18</v>
      </c>
      <c r="E413" s="1" t="str">
        <f ca="1">IFERROR(__xludf.DUMMYFUNCTION("""COMPUTED_VALUE"""),"Lasalle Stompers")</f>
        <v>Lasalle Stompers</v>
      </c>
      <c r="F413" s="87" t="str">
        <f t="shared" ca="1" si="0"/>
        <v>2023</v>
      </c>
      <c r="G413" s="1" t="str">
        <f ca="1">IFERROR(__xludf.DUMMYFUNCTION("""COMPUTED_VALUE"""),"Lasalle Stompers")</f>
        <v>Lasalle Stompers</v>
      </c>
      <c r="H413" s="26">
        <f t="shared" ca="1" si="1"/>
        <v>18</v>
      </c>
      <c r="I413" s="26">
        <f t="shared" ca="1" si="2"/>
        <v>1</v>
      </c>
      <c r="J413" s="86">
        <f t="shared" ca="1" si="3"/>
        <v>45122</v>
      </c>
      <c r="R413" s="26"/>
    </row>
    <row r="414" spans="1:18" ht="15.75" customHeight="1">
      <c r="A414" s="26">
        <f ca="1">IFERROR(__xludf.DUMMYFUNCTION("""COMPUTED_VALUE"""),19358)</f>
        <v>19358</v>
      </c>
      <c r="B414" s="86">
        <f ca="1">IFERROR(__xludf.DUMMYFUNCTION("""COMPUTED_VALUE"""),45121.6173379629)</f>
        <v>45121.617337962904</v>
      </c>
      <c r="C414" s="1" t="str">
        <f ca="1">IFERROR(__xludf.DUMMYFUNCTION("""COMPUTED_VALUE"""),"completed")</f>
        <v>completed</v>
      </c>
      <c r="D414" s="26">
        <f ca="1">IFERROR(__xludf.DUMMYFUNCTION("""COMPUTED_VALUE"""),28)</f>
        <v>28</v>
      </c>
      <c r="E414" s="1" t="str">
        <f ca="1">IFERROR(__xludf.DUMMYFUNCTION("""COMPUTED_VALUE"""),"Lasalle Stompers")</f>
        <v>Lasalle Stompers</v>
      </c>
      <c r="F414" s="87" t="str">
        <f t="shared" ca="1" si="0"/>
        <v>2023</v>
      </c>
      <c r="G414" s="1" t="str">
        <f ca="1">IFERROR(__xludf.DUMMYFUNCTION("""COMPUTED_VALUE"""),"Lasalle Stompers")</f>
        <v>Lasalle Stompers</v>
      </c>
      <c r="H414" s="26">
        <f t="shared" ca="1" si="1"/>
        <v>28</v>
      </c>
      <c r="I414" s="26">
        <f t="shared" ca="1" si="2"/>
        <v>1</v>
      </c>
      <c r="J414" s="86">
        <f t="shared" ca="1" si="3"/>
        <v>45121</v>
      </c>
      <c r="R414" s="26"/>
    </row>
    <row r="415" spans="1:18" ht="15.75" customHeight="1">
      <c r="A415" s="26">
        <f ca="1">IFERROR(__xludf.DUMMYFUNCTION("""COMPUTED_VALUE"""),19357)</f>
        <v>19357</v>
      </c>
      <c r="B415" s="86">
        <f ca="1">IFERROR(__xludf.DUMMYFUNCTION("""COMPUTED_VALUE"""),45121.5974537037)</f>
        <v>45121.597453703696</v>
      </c>
      <c r="C415" s="1" t="str">
        <f ca="1">IFERROR(__xludf.DUMMYFUNCTION("""COMPUTED_VALUE"""),"completed")</f>
        <v>completed</v>
      </c>
      <c r="D415" s="26">
        <f ca="1">IFERROR(__xludf.DUMMYFUNCTION("""COMPUTED_VALUE"""),52)</f>
        <v>52</v>
      </c>
      <c r="E415" s="1" t="str">
        <f ca="1">IFERROR(__xludf.DUMMYFUNCTION("""COMPUTED_VALUE"""),"Lasalle Stompers")</f>
        <v>Lasalle Stompers</v>
      </c>
      <c r="F415" s="87" t="str">
        <f t="shared" ca="1" si="0"/>
        <v>2023</v>
      </c>
      <c r="G415" s="1" t="str">
        <f ca="1">IFERROR(__xludf.DUMMYFUNCTION("""COMPUTED_VALUE"""),"Lasalle Stompers")</f>
        <v>Lasalle Stompers</v>
      </c>
      <c r="H415" s="26">
        <f t="shared" ca="1" si="1"/>
        <v>52</v>
      </c>
      <c r="I415" s="26">
        <f t="shared" ca="1" si="2"/>
        <v>1</v>
      </c>
      <c r="J415" s="86">
        <f t="shared" ca="1" si="3"/>
        <v>45121</v>
      </c>
      <c r="R415" s="26"/>
    </row>
    <row r="416" spans="1:18" ht="15.75" customHeight="1">
      <c r="A416" s="26">
        <f ca="1">IFERROR(__xludf.DUMMYFUNCTION("""COMPUTED_VALUE"""),19356)</f>
        <v>19356</v>
      </c>
      <c r="B416" s="86">
        <f ca="1">IFERROR(__xludf.DUMMYFUNCTION("""COMPUTED_VALUE"""),45121.5287268518)</f>
        <v>45121.5287268518</v>
      </c>
      <c r="C416" s="1" t="str">
        <f ca="1">IFERROR(__xludf.DUMMYFUNCTION("""COMPUTED_VALUE"""),"completed")</f>
        <v>completed</v>
      </c>
      <c r="D416" s="26">
        <f ca="1">IFERROR(__xludf.DUMMYFUNCTION("""COMPUTED_VALUE"""),15)</f>
        <v>15</v>
      </c>
      <c r="E416" s="1" t="str">
        <f ca="1">IFERROR(__xludf.DUMMYFUNCTION("""COMPUTED_VALUE"""),"Lasalle Stompers")</f>
        <v>Lasalle Stompers</v>
      </c>
      <c r="F416" s="87" t="str">
        <f t="shared" ca="1" si="0"/>
        <v>2023</v>
      </c>
      <c r="G416" s="1" t="str">
        <f ca="1">IFERROR(__xludf.DUMMYFUNCTION("""COMPUTED_VALUE"""),"Lasalle Stompers")</f>
        <v>Lasalle Stompers</v>
      </c>
      <c r="H416" s="26">
        <f t="shared" ca="1" si="1"/>
        <v>15</v>
      </c>
      <c r="I416" s="26">
        <f t="shared" ca="1" si="2"/>
        <v>1</v>
      </c>
      <c r="J416" s="86">
        <f t="shared" ca="1" si="3"/>
        <v>45121</v>
      </c>
      <c r="R416" s="26"/>
    </row>
    <row r="417" spans="1:18" ht="15.75" customHeight="1">
      <c r="A417" s="26">
        <f ca="1">IFERROR(__xludf.DUMMYFUNCTION("""COMPUTED_VALUE"""),19355)</f>
        <v>19355</v>
      </c>
      <c r="B417" s="86">
        <f ca="1">IFERROR(__xludf.DUMMYFUNCTION("""COMPUTED_VALUE"""),45121.101875)</f>
        <v>45121.101875</v>
      </c>
      <c r="C417" s="1" t="str">
        <f ca="1">IFERROR(__xludf.DUMMYFUNCTION("""COMPUTED_VALUE"""),"completed")</f>
        <v>completed</v>
      </c>
      <c r="D417" s="26">
        <f ca="1">IFERROR(__xludf.DUMMYFUNCTION("""COMPUTED_VALUE"""),15)</f>
        <v>15</v>
      </c>
      <c r="E417" s="1" t="str">
        <f ca="1">IFERROR(__xludf.DUMMYFUNCTION("""COMPUTED_VALUE"""),"Lasalle Stompers")</f>
        <v>Lasalle Stompers</v>
      </c>
      <c r="F417" s="87" t="str">
        <f t="shared" ca="1" si="0"/>
        <v>2023</v>
      </c>
      <c r="G417" s="1" t="str">
        <f ca="1">IFERROR(__xludf.DUMMYFUNCTION("""COMPUTED_VALUE"""),"Lasalle Stompers")</f>
        <v>Lasalle Stompers</v>
      </c>
      <c r="H417" s="26">
        <f t="shared" ca="1" si="1"/>
        <v>15</v>
      </c>
      <c r="I417" s="26">
        <f t="shared" ca="1" si="2"/>
        <v>1</v>
      </c>
      <c r="J417" s="86">
        <f t="shared" ca="1" si="3"/>
        <v>45121</v>
      </c>
      <c r="R417" s="26"/>
    </row>
    <row r="418" spans="1:18" ht="15.75" customHeight="1">
      <c r="A418" s="26">
        <f ca="1">IFERROR(__xludf.DUMMYFUNCTION("""COMPUTED_VALUE"""),19354)</f>
        <v>19354</v>
      </c>
      <c r="B418" s="86">
        <f ca="1">IFERROR(__xludf.DUMMYFUNCTION("""COMPUTED_VALUE"""),45120.9888657407)</f>
        <v>45120.988865740699</v>
      </c>
      <c r="C418" s="1" t="str">
        <f ca="1">IFERROR(__xludf.DUMMYFUNCTION("""COMPUTED_VALUE"""),"completed")</f>
        <v>completed</v>
      </c>
      <c r="D418" s="26">
        <f ca="1">IFERROR(__xludf.DUMMYFUNCTION("""COMPUTED_VALUE"""),0)</f>
        <v>0</v>
      </c>
      <c r="E418" s="1" t="str">
        <f ca="1">IFERROR(__xludf.DUMMYFUNCTION("""COMPUTED_VALUE"""),"Lasalle Stompers")</f>
        <v>Lasalle Stompers</v>
      </c>
      <c r="F418" s="87" t="str">
        <f t="shared" ca="1" si="0"/>
        <v>2023</v>
      </c>
      <c r="G418" s="1" t="str">
        <f ca="1">IFERROR(__xludf.DUMMYFUNCTION("""COMPUTED_VALUE"""),"Lasalle Stompers")</f>
        <v>Lasalle Stompers</v>
      </c>
      <c r="H418" s="26">
        <f t="shared" ca="1" si="1"/>
        <v>0</v>
      </c>
      <c r="I418" s="26">
        <f t="shared" ca="1" si="2"/>
        <v>1</v>
      </c>
      <c r="J418" s="86">
        <f t="shared" ca="1" si="3"/>
        <v>45120</v>
      </c>
      <c r="R418" s="26"/>
    </row>
    <row r="419" spans="1:18" ht="15.75" customHeight="1">
      <c r="A419" s="26">
        <f ca="1">IFERROR(__xludf.DUMMYFUNCTION("""COMPUTED_VALUE"""),19353)</f>
        <v>19353</v>
      </c>
      <c r="B419" s="86">
        <f ca="1">IFERROR(__xludf.DUMMYFUNCTION("""COMPUTED_VALUE"""),45120.9862847222)</f>
        <v>45120.986284722203</v>
      </c>
      <c r="C419" s="1" t="str">
        <f ca="1">IFERROR(__xludf.DUMMYFUNCTION("""COMPUTED_VALUE"""),"completed")</f>
        <v>completed</v>
      </c>
      <c r="D419" s="26">
        <f ca="1">IFERROR(__xludf.DUMMYFUNCTION("""COMPUTED_VALUE"""),0)</f>
        <v>0</v>
      </c>
      <c r="E419" s="1" t="str">
        <f ca="1">IFERROR(__xludf.DUMMYFUNCTION("""COMPUTED_VALUE"""),"Lasalle Stompers")</f>
        <v>Lasalle Stompers</v>
      </c>
      <c r="F419" s="87" t="str">
        <f t="shared" ca="1" si="0"/>
        <v>2023</v>
      </c>
      <c r="G419" s="1" t="str">
        <f ca="1">IFERROR(__xludf.DUMMYFUNCTION("""COMPUTED_VALUE"""),"Lasalle Stompers")</f>
        <v>Lasalle Stompers</v>
      </c>
      <c r="H419" s="26">
        <f t="shared" ca="1" si="1"/>
        <v>0</v>
      </c>
      <c r="I419" s="26">
        <f t="shared" ca="1" si="2"/>
        <v>1</v>
      </c>
      <c r="J419" s="86">
        <f t="shared" ca="1" si="3"/>
        <v>45120</v>
      </c>
      <c r="R419" s="26"/>
    </row>
    <row r="420" spans="1:18" ht="15.75" customHeight="1">
      <c r="A420" s="26">
        <f ca="1">IFERROR(__xludf.DUMMYFUNCTION("""COMPUTED_VALUE"""),19352)</f>
        <v>19352</v>
      </c>
      <c r="B420" s="86">
        <f ca="1">IFERROR(__xludf.DUMMYFUNCTION("""COMPUTED_VALUE"""),45120.9739351851)</f>
        <v>45120.973935185102</v>
      </c>
      <c r="C420" s="1" t="str">
        <f ca="1">IFERROR(__xludf.DUMMYFUNCTION("""COMPUTED_VALUE"""),"completed")</f>
        <v>completed</v>
      </c>
      <c r="D420" s="26">
        <f ca="1">IFERROR(__xludf.DUMMYFUNCTION("""COMPUTED_VALUE"""),18)</f>
        <v>18</v>
      </c>
      <c r="E420" s="1" t="str">
        <f ca="1">IFERROR(__xludf.DUMMYFUNCTION("""COMPUTED_VALUE"""),"Lasalle Stompers")</f>
        <v>Lasalle Stompers</v>
      </c>
      <c r="F420" s="87" t="str">
        <f t="shared" ca="1" si="0"/>
        <v>2023</v>
      </c>
      <c r="G420" s="1" t="str">
        <f ca="1">IFERROR(__xludf.DUMMYFUNCTION("""COMPUTED_VALUE"""),"Lasalle Stompers")</f>
        <v>Lasalle Stompers</v>
      </c>
      <c r="H420" s="26">
        <f t="shared" ca="1" si="1"/>
        <v>18</v>
      </c>
      <c r="I420" s="26">
        <f t="shared" ca="1" si="2"/>
        <v>1</v>
      </c>
      <c r="J420" s="86">
        <f t="shared" ca="1" si="3"/>
        <v>45120</v>
      </c>
      <c r="R420" s="26"/>
    </row>
    <row r="421" spans="1:18" ht="15.75" customHeight="1">
      <c r="A421" s="26">
        <f ca="1">IFERROR(__xludf.DUMMYFUNCTION("""COMPUTED_VALUE"""),19351)</f>
        <v>19351</v>
      </c>
      <c r="B421" s="86">
        <f ca="1">IFERROR(__xludf.DUMMYFUNCTION("""COMPUTED_VALUE"""),45120.9722569444)</f>
        <v>45120.972256944398</v>
      </c>
      <c r="C421" s="1" t="str">
        <f ca="1">IFERROR(__xludf.DUMMYFUNCTION("""COMPUTED_VALUE"""),"completed")</f>
        <v>completed</v>
      </c>
      <c r="D421" s="26">
        <f ca="1">IFERROR(__xludf.DUMMYFUNCTION("""COMPUTED_VALUE"""),18)</f>
        <v>18</v>
      </c>
      <c r="E421" s="1" t="str">
        <f ca="1">IFERROR(__xludf.DUMMYFUNCTION("""COMPUTED_VALUE"""),"Lasalle Stompers")</f>
        <v>Lasalle Stompers</v>
      </c>
      <c r="F421" s="87" t="str">
        <f t="shared" ca="1" si="0"/>
        <v>2023</v>
      </c>
      <c r="G421" s="1" t="str">
        <f ca="1">IFERROR(__xludf.DUMMYFUNCTION("""COMPUTED_VALUE"""),"Lasalle Stompers")</f>
        <v>Lasalle Stompers</v>
      </c>
      <c r="H421" s="26">
        <f t="shared" ca="1" si="1"/>
        <v>18</v>
      </c>
      <c r="I421" s="26">
        <f t="shared" ca="1" si="2"/>
        <v>1</v>
      </c>
      <c r="J421" s="86">
        <f t="shared" ca="1" si="3"/>
        <v>45120</v>
      </c>
      <c r="R421" s="26"/>
    </row>
    <row r="422" spans="1:18" ht="15.75" customHeight="1">
      <c r="A422" s="26">
        <f ca="1">IFERROR(__xludf.DUMMYFUNCTION("""COMPUTED_VALUE"""),19350)</f>
        <v>19350</v>
      </c>
      <c r="B422" s="86">
        <f ca="1">IFERROR(__xludf.DUMMYFUNCTION("""COMPUTED_VALUE"""),45120.9711574074)</f>
        <v>45120.971157407403</v>
      </c>
      <c r="C422" s="1" t="str">
        <f ca="1">IFERROR(__xludf.DUMMYFUNCTION("""COMPUTED_VALUE"""),"completed")</f>
        <v>completed</v>
      </c>
      <c r="D422" s="26">
        <f ca="1">IFERROR(__xludf.DUMMYFUNCTION("""COMPUTED_VALUE"""),18)</f>
        <v>18</v>
      </c>
      <c r="E422" s="1" t="str">
        <f ca="1">IFERROR(__xludf.DUMMYFUNCTION("""COMPUTED_VALUE"""),"Lasalle Stompers")</f>
        <v>Lasalle Stompers</v>
      </c>
      <c r="F422" s="87" t="str">
        <f t="shared" ca="1" si="0"/>
        <v>2023</v>
      </c>
      <c r="G422" s="1" t="str">
        <f ca="1">IFERROR(__xludf.DUMMYFUNCTION("""COMPUTED_VALUE"""),"Lasalle Stompers")</f>
        <v>Lasalle Stompers</v>
      </c>
      <c r="H422" s="26">
        <f t="shared" ca="1" si="1"/>
        <v>18</v>
      </c>
      <c r="I422" s="26">
        <f t="shared" ca="1" si="2"/>
        <v>1</v>
      </c>
      <c r="J422" s="86">
        <f t="shared" ca="1" si="3"/>
        <v>45120</v>
      </c>
      <c r="R422" s="26"/>
    </row>
    <row r="423" spans="1:18" ht="15.75" customHeight="1">
      <c r="A423" s="26">
        <f ca="1">IFERROR(__xludf.DUMMYFUNCTION("""COMPUTED_VALUE"""),19349)</f>
        <v>19349</v>
      </c>
      <c r="B423" s="86">
        <f ca="1">IFERROR(__xludf.DUMMYFUNCTION("""COMPUTED_VALUE"""),45120.9697453703)</f>
        <v>45120.969745370297</v>
      </c>
      <c r="C423" s="1" t="str">
        <f ca="1">IFERROR(__xludf.DUMMYFUNCTION("""COMPUTED_VALUE"""),"completed")</f>
        <v>completed</v>
      </c>
      <c r="D423" s="26">
        <f ca="1">IFERROR(__xludf.DUMMYFUNCTION("""COMPUTED_VALUE"""),18)</f>
        <v>18</v>
      </c>
      <c r="E423" s="1" t="str">
        <f ca="1">IFERROR(__xludf.DUMMYFUNCTION("""COMPUTED_VALUE"""),"Lasalle Stompers")</f>
        <v>Lasalle Stompers</v>
      </c>
      <c r="F423" s="87" t="str">
        <f t="shared" ca="1" si="0"/>
        <v>2023</v>
      </c>
      <c r="G423" s="1" t="str">
        <f ca="1">IFERROR(__xludf.DUMMYFUNCTION("""COMPUTED_VALUE"""),"Lasalle Stompers")</f>
        <v>Lasalle Stompers</v>
      </c>
      <c r="H423" s="26">
        <f t="shared" ca="1" si="1"/>
        <v>18</v>
      </c>
      <c r="I423" s="26">
        <f t="shared" ca="1" si="2"/>
        <v>1</v>
      </c>
      <c r="J423" s="86">
        <f t="shared" ca="1" si="3"/>
        <v>45120</v>
      </c>
      <c r="R423" s="26"/>
    </row>
    <row r="424" spans="1:18" ht="15.75" customHeight="1">
      <c r="A424" s="26">
        <f ca="1">IFERROR(__xludf.DUMMYFUNCTION("""COMPUTED_VALUE"""),19348)</f>
        <v>19348</v>
      </c>
      <c r="B424" s="86">
        <f ca="1">IFERROR(__xludf.DUMMYFUNCTION("""COMPUTED_VALUE"""),45120.8934027777)</f>
        <v>45120.8934027777</v>
      </c>
      <c r="C424" s="1" t="str">
        <f ca="1">IFERROR(__xludf.DUMMYFUNCTION("""COMPUTED_VALUE"""),"completed")</f>
        <v>completed</v>
      </c>
      <c r="D424" s="26">
        <f ca="1">IFERROR(__xludf.DUMMYFUNCTION("""COMPUTED_VALUE"""),15)</f>
        <v>15</v>
      </c>
      <c r="E424" s="1" t="str">
        <f ca="1">IFERROR(__xludf.DUMMYFUNCTION("""COMPUTED_VALUE"""),"Lasalle Stompers")</f>
        <v>Lasalle Stompers</v>
      </c>
      <c r="F424" s="87" t="str">
        <f t="shared" ca="1" si="0"/>
        <v>2023</v>
      </c>
      <c r="G424" s="1" t="str">
        <f ca="1">IFERROR(__xludf.DUMMYFUNCTION("""COMPUTED_VALUE"""),"Lasalle Stompers")</f>
        <v>Lasalle Stompers</v>
      </c>
      <c r="H424" s="26">
        <f t="shared" ca="1" si="1"/>
        <v>15</v>
      </c>
      <c r="I424" s="26">
        <f t="shared" ca="1" si="2"/>
        <v>1</v>
      </c>
      <c r="J424" s="86">
        <f t="shared" ca="1" si="3"/>
        <v>45120</v>
      </c>
      <c r="R424" s="26"/>
    </row>
    <row r="425" spans="1:18" ht="15.75" customHeight="1">
      <c r="A425" s="26">
        <f ca="1">IFERROR(__xludf.DUMMYFUNCTION("""COMPUTED_VALUE"""),19347)</f>
        <v>19347</v>
      </c>
      <c r="B425" s="86">
        <f ca="1">IFERROR(__xludf.DUMMYFUNCTION("""COMPUTED_VALUE"""),45120.8917939814)</f>
        <v>45120.891793981398</v>
      </c>
      <c r="C425" s="1" t="str">
        <f ca="1">IFERROR(__xludf.DUMMYFUNCTION("""COMPUTED_VALUE"""),"draftpics-created")</f>
        <v>draftpics-created</v>
      </c>
      <c r="D425" s="26">
        <f ca="1">IFERROR(__xludf.DUMMYFUNCTION("""COMPUTED_VALUE"""),15)</f>
        <v>15</v>
      </c>
      <c r="E425" s="1" t="str">
        <f ca="1">IFERROR(__xludf.DUMMYFUNCTION("""COMPUTED_VALUE"""),"Lasalle Stompers")</f>
        <v>Lasalle Stompers</v>
      </c>
      <c r="F425" s="87" t="str">
        <f t="shared" ca="1" si="0"/>
        <v>2023</v>
      </c>
      <c r="G425" s="1" t="str">
        <f ca="1">IFERROR(__xludf.DUMMYFUNCTION("""COMPUTED_VALUE"""),"Lasalle Stompers")</f>
        <v>Lasalle Stompers</v>
      </c>
      <c r="H425" s="26">
        <f t="shared" ca="1" si="1"/>
        <v>15</v>
      </c>
      <c r="I425" s="26">
        <f t="shared" ca="1" si="2"/>
        <v>1</v>
      </c>
      <c r="J425" s="86">
        <f t="shared" ca="1" si="3"/>
        <v>45120</v>
      </c>
      <c r="R425" s="26"/>
    </row>
    <row r="426" spans="1:18" ht="15.75" customHeight="1">
      <c r="A426" s="26">
        <f ca="1">IFERROR(__xludf.DUMMYFUNCTION("""COMPUTED_VALUE"""),19346)</f>
        <v>19346</v>
      </c>
      <c r="B426" s="86">
        <f ca="1">IFERROR(__xludf.DUMMYFUNCTION("""COMPUTED_VALUE"""),45120.796261574)</f>
        <v>45120.796261574003</v>
      </c>
      <c r="C426" s="1" t="str">
        <f ca="1">IFERROR(__xludf.DUMMYFUNCTION("""COMPUTED_VALUE"""),"completed")</f>
        <v>completed</v>
      </c>
      <c r="D426" s="26">
        <f ca="1">IFERROR(__xludf.DUMMYFUNCTION("""COMPUTED_VALUE"""),35)</f>
        <v>35</v>
      </c>
      <c r="E426" s="1" t="str">
        <f ca="1">IFERROR(__xludf.DUMMYFUNCTION("""COMPUTED_VALUE"""),"Lasalle Stompers")</f>
        <v>Lasalle Stompers</v>
      </c>
      <c r="F426" s="87" t="str">
        <f t="shared" ca="1" si="0"/>
        <v>2023</v>
      </c>
      <c r="G426" s="1" t="str">
        <f ca="1">IFERROR(__xludf.DUMMYFUNCTION("""COMPUTED_VALUE"""),"Lasalle Stompers")</f>
        <v>Lasalle Stompers</v>
      </c>
      <c r="H426" s="26">
        <f t="shared" ca="1" si="1"/>
        <v>35</v>
      </c>
      <c r="I426" s="26">
        <f t="shared" ca="1" si="2"/>
        <v>1</v>
      </c>
      <c r="J426" s="86">
        <f t="shared" ca="1" si="3"/>
        <v>45120</v>
      </c>
      <c r="R426" s="26"/>
    </row>
    <row r="427" spans="1:18" ht="15.75" customHeight="1">
      <c r="A427" s="26">
        <f ca="1">IFERROR(__xludf.DUMMYFUNCTION("""COMPUTED_VALUE"""),19345)</f>
        <v>19345</v>
      </c>
      <c r="B427" s="86">
        <f ca="1">IFERROR(__xludf.DUMMYFUNCTION("""COMPUTED_VALUE"""),45120.6362731481)</f>
        <v>45120.636273148099</v>
      </c>
      <c r="C427" s="1" t="str">
        <f ca="1">IFERROR(__xludf.DUMMYFUNCTION("""COMPUTED_VALUE"""),"completed")</f>
        <v>completed</v>
      </c>
      <c r="D427" s="26">
        <f ca="1">IFERROR(__xludf.DUMMYFUNCTION("""COMPUTED_VALUE"""),25)</f>
        <v>25</v>
      </c>
      <c r="E427" s="1" t="str">
        <f ca="1">IFERROR(__xludf.DUMMYFUNCTION("""COMPUTED_VALUE"""),"Lasalle Stompers")</f>
        <v>Lasalle Stompers</v>
      </c>
      <c r="F427" s="87" t="str">
        <f t="shared" ca="1" si="0"/>
        <v>2023</v>
      </c>
      <c r="G427" s="1" t="str">
        <f ca="1">IFERROR(__xludf.DUMMYFUNCTION("""COMPUTED_VALUE"""),"Lasalle Stompers")</f>
        <v>Lasalle Stompers</v>
      </c>
      <c r="H427" s="26">
        <f t="shared" ca="1" si="1"/>
        <v>25</v>
      </c>
      <c r="I427" s="26">
        <f t="shared" ca="1" si="2"/>
        <v>1</v>
      </c>
      <c r="J427" s="86">
        <f t="shared" ca="1" si="3"/>
        <v>45120</v>
      </c>
      <c r="R427" s="26"/>
    </row>
    <row r="428" spans="1:18" ht="15.75" customHeight="1">
      <c r="A428" s="26">
        <f ca="1">IFERROR(__xludf.DUMMYFUNCTION("""COMPUTED_VALUE"""),19344)</f>
        <v>19344</v>
      </c>
      <c r="B428" s="86">
        <f ca="1">IFERROR(__xludf.DUMMYFUNCTION("""COMPUTED_VALUE"""),45120.6328125)</f>
        <v>45120.6328125</v>
      </c>
      <c r="C428" s="1" t="str">
        <f ca="1">IFERROR(__xludf.DUMMYFUNCTION("""COMPUTED_VALUE"""),"completed")</f>
        <v>completed</v>
      </c>
      <c r="D428" s="26">
        <f ca="1">IFERROR(__xludf.DUMMYFUNCTION("""COMPUTED_VALUE"""),25)</f>
        <v>25</v>
      </c>
      <c r="E428" s="1" t="str">
        <f ca="1">IFERROR(__xludf.DUMMYFUNCTION("""COMPUTED_VALUE"""),"Lasalle Stompers")</f>
        <v>Lasalle Stompers</v>
      </c>
      <c r="F428" s="87" t="str">
        <f t="shared" ca="1" si="0"/>
        <v>2023</v>
      </c>
      <c r="G428" s="1" t="str">
        <f ca="1">IFERROR(__xludf.DUMMYFUNCTION("""COMPUTED_VALUE"""),"Lasalle Stompers")</f>
        <v>Lasalle Stompers</v>
      </c>
      <c r="H428" s="26">
        <f t="shared" ca="1" si="1"/>
        <v>25</v>
      </c>
      <c r="I428" s="26">
        <f t="shared" ca="1" si="2"/>
        <v>1</v>
      </c>
      <c r="J428" s="86">
        <f t="shared" ca="1" si="3"/>
        <v>45120</v>
      </c>
      <c r="R428" s="26"/>
    </row>
    <row r="429" spans="1:18" ht="15.75" customHeight="1">
      <c r="A429" s="26">
        <f ca="1">IFERROR(__xludf.DUMMYFUNCTION("""COMPUTED_VALUE"""),19343)</f>
        <v>19343</v>
      </c>
      <c r="B429" s="86">
        <f ca="1">IFERROR(__xludf.DUMMYFUNCTION("""COMPUTED_VALUE"""),45120.625636574)</f>
        <v>45120.625636573997</v>
      </c>
      <c r="C429" s="1" t="str">
        <f ca="1">IFERROR(__xludf.DUMMYFUNCTION("""COMPUTED_VALUE"""),"completed")</f>
        <v>completed</v>
      </c>
      <c r="D429" s="26">
        <f ca="1">IFERROR(__xludf.DUMMYFUNCTION("""COMPUTED_VALUE"""),25)</f>
        <v>25</v>
      </c>
      <c r="E429" s="1" t="str">
        <f ca="1">IFERROR(__xludf.DUMMYFUNCTION("""COMPUTED_VALUE"""),"Lasalle Stompers")</f>
        <v>Lasalle Stompers</v>
      </c>
      <c r="F429" s="87" t="str">
        <f t="shared" ca="1" si="0"/>
        <v>2023</v>
      </c>
      <c r="G429" s="1" t="str">
        <f ca="1">IFERROR(__xludf.DUMMYFUNCTION("""COMPUTED_VALUE"""),"Lasalle Stompers")</f>
        <v>Lasalle Stompers</v>
      </c>
      <c r="H429" s="26">
        <f t="shared" ca="1" si="1"/>
        <v>25</v>
      </c>
      <c r="I429" s="26">
        <f t="shared" ca="1" si="2"/>
        <v>1</v>
      </c>
      <c r="J429" s="86">
        <f t="shared" ca="1" si="3"/>
        <v>45120</v>
      </c>
      <c r="R429" s="26"/>
    </row>
    <row r="430" spans="1:18" ht="15.75" customHeight="1">
      <c r="A430" s="26">
        <f ca="1">IFERROR(__xludf.DUMMYFUNCTION("""COMPUTED_VALUE"""),19342)</f>
        <v>19342</v>
      </c>
      <c r="B430" s="86">
        <f ca="1">IFERROR(__xludf.DUMMYFUNCTION("""COMPUTED_VALUE"""),45120.5630671296)</f>
        <v>45120.563067129602</v>
      </c>
      <c r="C430" s="1" t="str">
        <f ca="1">IFERROR(__xludf.DUMMYFUNCTION("""COMPUTED_VALUE"""),"completed")</f>
        <v>completed</v>
      </c>
      <c r="D430" s="26">
        <f ca="1">IFERROR(__xludf.DUMMYFUNCTION("""COMPUTED_VALUE"""),18)</f>
        <v>18</v>
      </c>
      <c r="E430" s="1" t="str">
        <f ca="1">IFERROR(__xludf.DUMMYFUNCTION("""COMPUTED_VALUE"""),"Lasalle Stompers")</f>
        <v>Lasalle Stompers</v>
      </c>
      <c r="F430" s="87" t="str">
        <f t="shared" ca="1" si="0"/>
        <v>2023</v>
      </c>
      <c r="G430" s="1" t="str">
        <f ca="1">IFERROR(__xludf.DUMMYFUNCTION("""COMPUTED_VALUE"""),"Lasalle Stompers")</f>
        <v>Lasalle Stompers</v>
      </c>
      <c r="H430" s="26">
        <f t="shared" ca="1" si="1"/>
        <v>18</v>
      </c>
      <c r="I430" s="26">
        <f t="shared" ca="1" si="2"/>
        <v>1</v>
      </c>
      <c r="J430" s="86">
        <f t="shared" ca="1" si="3"/>
        <v>45120</v>
      </c>
      <c r="R430" s="26"/>
    </row>
    <row r="431" spans="1:18" ht="15.75" customHeight="1">
      <c r="A431" s="26">
        <f ca="1">IFERROR(__xludf.DUMMYFUNCTION("""COMPUTED_VALUE"""),19341)</f>
        <v>19341</v>
      </c>
      <c r="B431" s="86">
        <f ca="1">IFERROR(__xludf.DUMMYFUNCTION("""COMPUTED_VALUE"""),45120.0784606481)</f>
        <v>45120.078460648103</v>
      </c>
      <c r="C431" s="1" t="str">
        <f ca="1">IFERROR(__xludf.DUMMYFUNCTION("""COMPUTED_VALUE"""),"completed")</f>
        <v>completed</v>
      </c>
      <c r="D431" s="26">
        <f ca="1">IFERROR(__xludf.DUMMYFUNCTION("""COMPUTED_VALUE"""),35)</f>
        <v>35</v>
      </c>
      <c r="E431" s="1" t="str">
        <f ca="1">IFERROR(__xludf.DUMMYFUNCTION("""COMPUTED_VALUE"""),"Lasalle Stompers")</f>
        <v>Lasalle Stompers</v>
      </c>
      <c r="F431" s="87" t="str">
        <f t="shared" ca="1" si="0"/>
        <v>2023</v>
      </c>
      <c r="G431" s="1" t="str">
        <f ca="1">IFERROR(__xludf.DUMMYFUNCTION("""COMPUTED_VALUE"""),"Lasalle Stompers")</f>
        <v>Lasalle Stompers</v>
      </c>
      <c r="H431" s="26">
        <f t="shared" ca="1" si="1"/>
        <v>35</v>
      </c>
      <c r="I431" s="26">
        <f t="shared" ca="1" si="2"/>
        <v>1</v>
      </c>
      <c r="J431" s="86">
        <f t="shared" ca="1" si="3"/>
        <v>45120</v>
      </c>
      <c r="R431" s="26"/>
    </row>
    <row r="432" spans="1:18" ht="15.75" customHeight="1">
      <c r="A432" s="26">
        <f ca="1">IFERROR(__xludf.DUMMYFUNCTION("""COMPUTED_VALUE"""),19340)</f>
        <v>19340</v>
      </c>
      <c r="B432" s="86">
        <f ca="1">IFERROR(__xludf.DUMMYFUNCTION("""COMPUTED_VALUE"""),45120.0728703703)</f>
        <v>45120.072870370299</v>
      </c>
      <c r="C432" s="1" t="str">
        <f ca="1">IFERROR(__xludf.DUMMYFUNCTION("""COMPUTED_VALUE"""),"completed")</f>
        <v>completed</v>
      </c>
      <c r="D432" s="26">
        <f ca="1">IFERROR(__xludf.DUMMYFUNCTION("""COMPUTED_VALUE"""),25)</f>
        <v>25</v>
      </c>
      <c r="E432" s="1" t="str">
        <f ca="1">IFERROR(__xludf.DUMMYFUNCTION("""COMPUTED_VALUE"""),"Lasalle Stompers")</f>
        <v>Lasalle Stompers</v>
      </c>
      <c r="F432" s="87" t="str">
        <f t="shared" ca="1" si="0"/>
        <v>2023</v>
      </c>
      <c r="G432" s="1" t="str">
        <f ca="1">IFERROR(__xludf.DUMMYFUNCTION("""COMPUTED_VALUE"""),"Harrow Minor Baseball")</f>
        <v>Harrow Minor Baseball</v>
      </c>
      <c r="H432" s="26">
        <f t="shared" ca="1" si="1"/>
        <v>25</v>
      </c>
      <c r="I432" s="26">
        <f t="shared" ca="1" si="2"/>
        <v>1</v>
      </c>
      <c r="J432" s="86">
        <f t="shared" ca="1" si="3"/>
        <v>45120</v>
      </c>
      <c r="R432" s="26"/>
    </row>
    <row r="433" spans="1:18" ht="15.75" customHeight="1">
      <c r="A433" s="26">
        <f ca="1">IFERROR(__xludf.DUMMYFUNCTION("""COMPUTED_VALUE"""),19339)</f>
        <v>19339</v>
      </c>
      <c r="B433" s="86">
        <f ca="1">IFERROR(__xludf.DUMMYFUNCTION("""COMPUTED_VALUE"""),45120.052511574)</f>
        <v>45120.052511574002</v>
      </c>
      <c r="C433" s="1" t="str">
        <f ca="1">IFERROR(__xludf.DUMMYFUNCTION("""COMPUTED_VALUE"""),"completed")</f>
        <v>completed</v>
      </c>
      <c r="D433" s="26">
        <f ca="1">IFERROR(__xludf.DUMMYFUNCTION("""COMPUTED_VALUE"""),201)</f>
        <v>201</v>
      </c>
      <c r="E433" s="1" t="str">
        <f ca="1">IFERROR(__xludf.DUMMYFUNCTION("""COMPUTED_VALUE"""),"Harrow Minor Baseball")</f>
        <v>Harrow Minor Baseball</v>
      </c>
      <c r="F433" s="87" t="str">
        <f t="shared" ca="1" si="0"/>
        <v>2023</v>
      </c>
      <c r="G433" s="1" t="str">
        <f ca="1">IFERROR(__xludf.DUMMYFUNCTION("""COMPUTED_VALUE"""),"Lasalle Stompers")</f>
        <v>Lasalle Stompers</v>
      </c>
      <c r="H433" s="26">
        <f t="shared" ca="1" si="1"/>
        <v>201</v>
      </c>
      <c r="I433" s="26">
        <f t="shared" ca="1" si="2"/>
        <v>1</v>
      </c>
      <c r="J433" s="86">
        <f t="shared" ca="1" si="3"/>
        <v>45120</v>
      </c>
      <c r="R433" s="26"/>
    </row>
    <row r="434" spans="1:18" ht="15.75" customHeight="1">
      <c r="A434" s="26">
        <f ca="1">IFERROR(__xludf.DUMMYFUNCTION("""COMPUTED_VALUE"""),19335)</f>
        <v>19335</v>
      </c>
      <c r="B434" s="86">
        <f ca="1">IFERROR(__xludf.DUMMYFUNCTION("""COMPUTED_VALUE"""),45119.9782754629)</f>
        <v>45119.978275462898</v>
      </c>
      <c r="C434" s="1" t="str">
        <f ca="1">IFERROR(__xludf.DUMMYFUNCTION("""COMPUTED_VALUE"""),"draftpics-created")</f>
        <v>draftpics-created</v>
      </c>
      <c r="D434" s="26">
        <f ca="1">IFERROR(__xludf.DUMMYFUNCTION("""COMPUTED_VALUE"""),20)</f>
        <v>20</v>
      </c>
      <c r="E434" s="1" t="str">
        <f ca="1">IFERROR(__xludf.DUMMYFUNCTION("""COMPUTED_VALUE"""),"Lasalle Stompers")</f>
        <v>Lasalle Stompers</v>
      </c>
      <c r="F434" s="87" t="str">
        <f t="shared" ca="1" si="0"/>
        <v>2023</v>
      </c>
      <c r="G434" s="1" t="str">
        <f ca="1">IFERROR(__xludf.DUMMYFUNCTION("""COMPUTED_VALUE"""),"Lasalle Stompers")</f>
        <v>Lasalle Stompers</v>
      </c>
      <c r="H434" s="26">
        <f t="shared" ca="1" si="1"/>
        <v>20</v>
      </c>
      <c r="I434" s="26">
        <f t="shared" ca="1" si="2"/>
        <v>1</v>
      </c>
      <c r="J434" s="86">
        <f t="shared" ca="1" si="3"/>
        <v>45119</v>
      </c>
      <c r="R434" s="26"/>
    </row>
    <row r="435" spans="1:18" ht="15.75" customHeight="1">
      <c r="A435" s="26">
        <f ca="1">IFERROR(__xludf.DUMMYFUNCTION("""COMPUTED_VALUE"""),19334)</f>
        <v>19334</v>
      </c>
      <c r="B435" s="86">
        <f ca="1">IFERROR(__xludf.DUMMYFUNCTION("""COMPUTED_VALUE"""),45119.9442939814)</f>
        <v>45119.944293981403</v>
      </c>
      <c r="C435" s="1" t="str">
        <f ca="1">IFERROR(__xludf.DUMMYFUNCTION("""COMPUTED_VALUE"""),"draftpics-created")</f>
        <v>draftpics-created</v>
      </c>
      <c r="D435" s="26">
        <f ca="1">IFERROR(__xludf.DUMMYFUNCTION("""COMPUTED_VALUE"""),46)</f>
        <v>46</v>
      </c>
      <c r="E435" s="1" t="str">
        <f ca="1">IFERROR(__xludf.DUMMYFUNCTION("""COMPUTED_VALUE"""),"Lasalle Stompers")</f>
        <v>Lasalle Stompers</v>
      </c>
      <c r="F435" s="87" t="str">
        <f t="shared" ca="1" si="0"/>
        <v>2023</v>
      </c>
      <c r="G435" s="1" t="str">
        <f ca="1">IFERROR(__xludf.DUMMYFUNCTION("""COMPUTED_VALUE"""),"Lasalle Stompers")</f>
        <v>Lasalle Stompers</v>
      </c>
      <c r="H435" s="26">
        <f t="shared" ca="1" si="1"/>
        <v>46</v>
      </c>
      <c r="I435" s="26">
        <f t="shared" ca="1" si="2"/>
        <v>1</v>
      </c>
      <c r="J435" s="86">
        <f t="shared" ca="1" si="3"/>
        <v>45119</v>
      </c>
      <c r="R435" s="26"/>
    </row>
    <row r="436" spans="1:18" ht="15.75" customHeight="1">
      <c r="A436" s="26">
        <f ca="1">IFERROR(__xludf.DUMMYFUNCTION("""COMPUTED_VALUE"""),19333)</f>
        <v>19333</v>
      </c>
      <c r="B436" s="86">
        <f ca="1">IFERROR(__xludf.DUMMYFUNCTION("""COMPUTED_VALUE"""),45119.9380324074)</f>
        <v>45119.938032407401</v>
      </c>
      <c r="C436" s="1" t="str">
        <f ca="1">IFERROR(__xludf.DUMMYFUNCTION("""COMPUTED_VALUE"""),"completed")</f>
        <v>completed</v>
      </c>
      <c r="D436" s="26">
        <f ca="1">IFERROR(__xludf.DUMMYFUNCTION("""COMPUTED_VALUE"""),46)</f>
        <v>46</v>
      </c>
      <c r="E436" s="1" t="str">
        <f ca="1">IFERROR(__xludf.DUMMYFUNCTION("""COMPUTED_VALUE"""),"Lasalle Stompers")</f>
        <v>Lasalle Stompers</v>
      </c>
      <c r="F436" s="87" t="str">
        <f t="shared" ca="1" si="0"/>
        <v>2023</v>
      </c>
      <c r="G436" s="1" t="str">
        <f ca="1">IFERROR(__xludf.DUMMYFUNCTION("""COMPUTED_VALUE"""),"Lasalle Stompers")</f>
        <v>Lasalle Stompers</v>
      </c>
      <c r="H436" s="26">
        <f t="shared" ca="1" si="1"/>
        <v>46</v>
      </c>
      <c r="I436" s="26">
        <f t="shared" ca="1" si="2"/>
        <v>1</v>
      </c>
      <c r="J436" s="86">
        <f t="shared" ca="1" si="3"/>
        <v>45119</v>
      </c>
      <c r="R436" s="26"/>
    </row>
    <row r="437" spans="1:18" ht="15.75" customHeight="1">
      <c r="A437" s="26">
        <f ca="1">IFERROR(__xludf.DUMMYFUNCTION("""COMPUTED_VALUE"""),19332)</f>
        <v>19332</v>
      </c>
      <c r="B437" s="86">
        <f ca="1">IFERROR(__xludf.DUMMYFUNCTION("""COMPUTED_VALUE"""),45119.9164814813)</f>
        <v>45119.916481481399</v>
      </c>
      <c r="C437" s="1" t="str">
        <f ca="1">IFERROR(__xludf.DUMMYFUNCTION("""COMPUTED_VALUE"""),"completed")</f>
        <v>completed</v>
      </c>
      <c r="D437" s="26">
        <f ca="1">IFERROR(__xludf.DUMMYFUNCTION("""COMPUTED_VALUE"""),68)</f>
        <v>68</v>
      </c>
      <c r="E437" s="1" t="str">
        <f ca="1">IFERROR(__xludf.DUMMYFUNCTION("""COMPUTED_VALUE"""),"Lasalle Stompers")</f>
        <v>Lasalle Stompers</v>
      </c>
      <c r="F437" s="87" t="str">
        <f t="shared" ca="1" si="0"/>
        <v>2023</v>
      </c>
      <c r="G437" s="1" t="str">
        <f ca="1">IFERROR(__xludf.DUMMYFUNCTION("""COMPUTED_VALUE"""),"Lasalle Stompers")</f>
        <v>Lasalle Stompers</v>
      </c>
      <c r="H437" s="26">
        <f t="shared" ca="1" si="1"/>
        <v>68</v>
      </c>
      <c r="I437" s="26">
        <f t="shared" ca="1" si="2"/>
        <v>1</v>
      </c>
      <c r="J437" s="86">
        <f t="shared" ca="1" si="3"/>
        <v>45119</v>
      </c>
      <c r="R437" s="26"/>
    </row>
    <row r="438" spans="1:18" ht="15.75" customHeight="1">
      <c r="A438" s="26">
        <f ca="1">IFERROR(__xludf.DUMMYFUNCTION("""COMPUTED_VALUE"""),19331)</f>
        <v>19331</v>
      </c>
      <c r="B438" s="86">
        <f ca="1">IFERROR(__xludf.DUMMYFUNCTION("""COMPUTED_VALUE"""),45119.8685648148)</f>
        <v>45119.868564814802</v>
      </c>
      <c r="C438" s="1" t="str">
        <f ca="1">IFERROR(__xludf.DUMMYFUNCTION("""COMPUTED_VALUE"""),"completed")</f>
        <v>completed</v>
      </c>
      <c r="D438" s="26">
        <f ca="1">IFERROR(__xludf.DUMMYFUNCTION("""COMPUTED_VALUE"""),25)</f>
        <v>25</v>
      </c>
      <c r="E438" s="1" t="str">
        <f ca="1">IFERROR(__xludf.DUMMYFUNCTION("""COMPUTED_VALUE"""),"Lasalle Stompers")</f>
        <v>Lasalle Stompers</v>
      </c>
      <c r="F438" s="87" t="str">
        <f t="shared" ca="1" si="0"/>
        <v>2023</v>
      </c>
      <c r="G438" s="1" t="str">
        <f ca="1">IFERROR(__xludf.DUMMYFUNCTION("""COMPUTED_VALUE"""),"Lasalle Stompers")</f>
        <v>Lasalle Stompers</v>
      </c>
      <c r="H438" s="26">
        <f t="shared" ca="1" si="1"/>
        <v>25</v>
      </c>
      <c r="I438" s="26">
        <f t="shared" ca="1" si="2"/>
        <v>1</v>
      </c>
      <c r="J438" s="86">
        <f t="shared" ca="1" si="3"/>
        <v>45119</v>
      </c>
      <c r="R438" s="26"/>
    </row>
    <row r="439" spans="1:18" ht="15.75" customHeight="1">
      <c r="A439" s="26">
        <f ca="1">IFERROR(__xludf.DUMMYFUNCTION("""COMPUTED_VALUE"""),19330)</f>
        <v>19330</v>
      </c>
      <c r="B439" s="86">
        <f ca="1">IFERROR(__xludf.DUMMYFUNCTION("""COMPUTED_VALUE"""),45119.8483680555)</f>
        <v>45119.8483680555</v>
      </c>
      <c r="C439" s="1" t="str">
        <f ca="1">IFERROR(__xludf.DUMMYFUNCTION("""COMPUTED_VALUE"""),"completed")</f>
        <v>completed</v>
      </c>
      <c r="D439" s="26">
        <f ca="1">IFERROR(__xludf.DUMMYFUNCTION("""COMPUTED_VALUE"""),26)</f>
        <v>26</v>
      </c>
      <c r="E439" s="1" t="str">
        <f ca="1">IFERROR(__xludf.DUMMYFUNCTION("""COMPUTED_VALUE"""),"Lasalle Stompers")</f>
        <v>Lasalle Stompers</v>
      </c>
      <c r="F439" s="87" t="str">
        <f t="shared" ca="1" si="0"/>
        <v>2023</v>
      </c>
      <c r="G439" s="1" t="str">
        <f ca="1">IFERROR(__xludf.DUMMYFUNCTION("""COMPUTED_VALUE"""),"Lasalle Stompers")</f>
        <v>Lasalle Stompers</v>
      </c>
      <c r="H439" s="26">
        <f t="shared" ca="1" si="1"/>
        <v>26</v>
      </c>
      <c r="I439" s="26">
        <f t="shared" ca="1" si="2"/>
        <v>1</v>
      </c>
      <c r="J439" s="86">
        <f t="shared" ca="1" si="3"/>
        <v>45119</v>
      </c>
      <c r="R439" s="26"/>
    </row>
    <row r="440" spans="1:18" ht="15.75" customHeight="1">
      <c r="A440" s="26">
        <f ca="1">IFERROR(__xludf.DUMMYFUNCTION("""COMPUTED_VALUE"""),19329)</f>
        <v>19329</v>
      </c>
      <c r="B440" s="86">
        <f ca="1">IFERROR(__xludf.DUMMYFUNCTION("""COMPUTED_VALUE"""),45119.8110300925)</f>
        <v>45119.811030092496</v>
      </c>
      <c r="C440" s="1" t="str">
        <f ca="1">IFERROR(__xludf.DUMMYFUNCTION("""COMPUTED_VALUE"""),"completed")</f>
        <v>completed</v>
      </c>
      <c r="D440" s="26">
        <f ca="1">IFERROR(__xludf.DUMMYFUNCTION("""COMPUTED_VALUE"""),20)</f>
        <v>20</v>
      </c>
      <c r="E440" s="1" t="str">
        <f ca="1">IFERROR(__xludf.DUMMYFUNCTION("""COMPUTED_VALUE"""),"Lasalle Stompers")</f>
        <v>Lasalle Stompers</v>
      </c>
      <c r="F440" s="87" t="str">
        <f t="shared" ca="1" si="0"/>
        <v>2023</v>
      </c>
      <c r="G440" s="1" t="str">
        <f ca="1">IFERROR(__xludf.DUMMYFUNCTION("""COMPUTED_VALUE"""),"Lasalle Stompers")</f>
        <v>Lasalle Stompers</v>
      </c>
      <c r="H440" s="26">
        <f t="shared" ca="1" si="1"/>
        <v>20</v>
      </c>
      <c r="I440" s="26">
        <f t="shared" ca="1" si="2"/>
        <v>1</v>
      </c>
      <c r="J440" s="86">
        <f t="shared" ca="1" si="3"/>
        <v>45119</v>
      </c>
      <c r="R440" s="26"/>
    </row>
    <row r="441" spans="1:18" ht="15.75" customHeight="1">
      <c r="A441" s="26">
        <f ca="1">IFERROR(__xludf.DUMMYFUNCTION("""COMPUTED_VALUE"""),19328)</f>
        <v>19328</v>
      </c>
      <c r="B441" s="86">
        <f ca="1">IFERROR(__xludf.DUMMYFUNCTION("""COMPUTED_VALUE"""),45119.7948263888)</f>
        <v>45119.794826388803</v>
      </c>
      <c r="C441" s="1" t="str">
        <f ca="1">IFERROR(__xludf.DUMMYFUNCTION("""COMPUTED_VALUE"""),"completed")</f>
        <v>completed</v>
      </c>
      <c r="D441" s="26">
        <f ca="1">IFERROR(__xludf.DUMMYFUNCTION("""COMPUTED_VALUE"""),41)</f>
        <v>41</v>
      </c>
      <c r="E441" s="1" t="str">
        <f ca="1">IFERROR(__xludf.DUMMYFUNCTION("""COMPUTED_VALUE"""),"Lasalle Stompers")</f>
        <v>Lasalle Stompers</v>
      </c>
      <c r="F441" s="87" t="str">
        <f t="shared" ca="1" si="0"/>
        <v>2023</v>
      </c>
      <c r="G441" s="1" t="str">
        <f ca="1">IFERROR(__xludf.DUMMYFUNCTION("""COMPUTED_VALUE"""),"Lasalle Stompers")</f>
        <v>Lasalle Stompers</v>
      </c>
      <c r="H441" s="26">
        <f t="shared" ca="1" si="1"/>
        <v>41</v>
      </c>
      <c r="I441" s="26">
        <f t="shared" ca="1" si="2"/>
        <v>1</v>
      </c>
      <c r="J441" s="86">
        <f t="shared" ca="1" si="3"/>
        <v>45119</v>
      </c>
      <c r="R441" s="26"/>
    </row>
    <row r="442" spans="1:18" ht="15.75" customHeight="1">
      <c r="A442" s="26">
        <f ca="1">IFERROR(__xludf.DUMMYFUNCTION("""COMPUTED_VALUE"""),19327)</f>
        <v>19327</v>
      </c>
      <c r="B442" s="86">
        <f ca="1">IFERROR(__xludf.DUMMYFUNCTION("""COMPUTED_VALUE"""),45119.7500810185)</f>
        <v>45119.750081018501</v>
      </c>
      <c r="C442" s="1" t="str">
        <f ca="1">IFERROR(__xludf.DUMMYFUNCTION("""COMPUTED_VALUE"""),"completed")</f>
        <v>completed</v>
      </c>
      <c r="D442" s="26">
        <f ca="1">IFERROR(__xludf.DUMMYFUNCTION("""COMPUTED_VALUE"""),28)</f>
        <v>28</v>
      </c>
      <c r="E442" s="1" t="str">
        <f ca="1">IFERROR(__xludf.DUMMYFUNCTION("""COMPUTED_VALUE"""),"Lasalle Stompers")</f>
        <v>Lasalle Stompers</v>
      </c>
      <c r="F442" s="87" t="str">
        <f t="shared" ca="1" si="0"/>
        <v>2023</v>
      </c>
      <c r="G442" s="1" t="str">
        <f ca="1">IFERROR(__xludf.DUMMYFUNCTION("""COMPUTED_VALUE"""),"Lasalle Stompers")</f>
        <v>Lasalle Stompers</v>
      </c>
      <c r="H442" s="26">
        <f t="shared" ca="1" si="1"/>
        <v>28</v>
      </c>
      <c r="I442" s="26">
        <f t="shared" ca="1" si="2"/>
        <v>1</v>
      </c>
      <c r="J442" s="86">
        <f t="shared" ca="1" si="3"/>
        <v>45119</v>
      </c>
      <c r="R442" s="26"/>
    </row>
    <row r="443" spans="1:18" ht="15.75" customHeight="1">
      <c r="A443" s="26">
        <f ca="1">IFERROR(__xludf.DUMMYFUNCTION("""COMPUTED_VALUE"""),19325)</f>
        <v>19325</v>
      </c>
      <c r="B443" s="86">
        <f ca="1">IFERROR(__xludf.DUMMYFUNCTION("""COMPUTED_VALUE"""),45119.0898726851)</f>
        <v>45119.089872685101</v>
      </c>
      <c r="C443" s="1" t="str">
        <f ca="1">IFERROR(__xludf.DUMMYFUNCTION("""COMPUTED_VALUE"""),"completed")</f>
        <v>completed</v>
      </c>
      <c r="D443" s="26">
        <f ca="1">IFERROR(__xludf.DUMMYFUNCTION("""COMPUTED_VALUE"""),53)</f>
        <v>53</v>
      </c>
      <c r="E443" s="1" t="str">
        <f ca="1">IFERROR(__xludf.DUMMYFUNCTION("""COMPUTED_VALUE"""),"Lasalle Stompers")</f>
        <v>Lasalle Stompers</v>
      </c>
      <c r="F443" s="87" t="str">
        <f t="shared" ca="1" si="0"/>
        <v>2023</v>
      </c>
      <c r="G443" s="1" t="str">
        <f ca="1">IFERROR(__xludf.DUMMYFUNCTION("""COMPUTED_VALUE"""),"Lasalle Stompers")</f>
        <v>Lasalle Stompers</v>
      </c>
      <c r="H443" s="26">
        <f t="shared" ca="1" si="1"/>
        <v>53</v>
      </c>
      <c r="I443" s="26">
        <f t="shared" ca="1" si="2"/>
        <v>1</v>
      </c>
      <c r="J443" s="86">
        <f t="shared" ca="1" si="3"/>
        <v>45119</v>
      </c>
      <c r="R443" s="26"/>
    </row>
    <row r="444" spans="1:18" ht="15.75" customHeight="1">
      <c r="A444" s="26">
        <f ca="1">IFERROR(__xludf.DUMMYFUNCTION("""COMPUTED_VALUE"""),19323)</f>
        <v>19323</v>
      </c>
      <c r="B444" s="86">
        <f ca="1">IFERROR(__xludf.DUMMYFUNCTION("""COMPUTED_VALUE"""),45118.9269791666)</f>
        <v>45118.926979166601</v>
      </c>
      <c r="C444" s="1" t="str">
        <f ca="1">IFERROR(__xludf.DUMMYFUNCTION("""COMPUTED_VALUE"""),"completed")</f>
        <v>completed</v>
      </c>
      <c r="D444" s="26">
        <f ca="1">IFERROR(__xludf.DUMMYFUNCTION("""COMPUTED_VALUE"""),25)</f>
        <v>25</v>
      </c>
      <c r="E444" s="1" t="str">
        <f ca="1">IFERROR(__xludf.DUMMYFUNCTION("""COMPUTED_VALUE"""),"Lasalle Stompers")</f>
        <v>Lasalle Stompers</v>
      </c>
      <c r="F444" s="87" t="str">
        <f t="shared" ca="1" si="0"/>
        <v>2023</v>
      </c>
      <c r="G444" s="1" t="str">
        <f ca="1">IFERROR(__xludf.DUMMYFUNCTION("""COMPUTED_VALUE"""),"Lasalle Stompers")</f>
        <v>Lasalle Stompers</v>
      </c>
      <c r="H444" s="26">
        <f t="shared" ca="1" si="1"/>
        <v>25</v>
      </c>
      <c r="I444" s="26">
        <f t="shared" ca="1" si="2"/>
        <v>1</v>
      </c>
      <c r="J444" s="86">
        <f t="shared" ca="1" si="3"/>
        <v>45118</v>
      </c>
      <c r="R444" s="26"/>
    </row>
    <row r="445" spans="1:18" ht="15.75" customHeight="1">
      <c r="A445" s="26">
        <f ca="1">IFERROR(__xludf.DUMMYFUNCTION("""COMPUTED_VALUE"""),19322)</f>
        <v>19322</v>
      </c>
      <c r="B445" s="86">
        <f ca="1">IFERROR(__xludf.DUMMYFUNCTION("""COMPUTED_VALUE"""),45118.7535185185)</f>
        <v>45118.753518518497</v>
      </c>
      <c r="C445" s="1" t="str">
        <f ca="1">IFERROR(__xludf.DUMMYFUNCTION("""COMPUTED_VALUE"""),"completed")</f>
        <v>completed</v>
      </c>
      <c r="D445" s="26">
        <f ca="1">IFERROR(__xludf.DUMMYFUNCTION("""COMPUTED_VALUE"""),26)</f>
        <v>26</v>
      </c>
      <c r="E445" s="1" t="str">
        <f ca="1">IFERROR(__xludf.DUMMYFUNCTION("""COMPUTED_VALUE"""),"Lasalle Stompers")</f>
        <v>Lasalle Stompers</v>
      </c>
      <c r="F445" s="87" t="str">
        <f t="shared" ca="1" si="0"/>
        <v>2023</v>
      </c>
      <c r="G445" s="1" t="str">
        <f ca="1">IFERROR(__xludf.DUMMYFUNCTION("""COMPUTED_VALUE"""),"Lasalle Stompers")</f>
        <v>Lasalle Stompers</v>
      </c>
      <c r="H445" s="26">
        <f t="shared" ca="1" si="1"/>
        <v>26</v>
      </c>
      <c r="I445" s="26">
        <f t="shared" ca="1" si="2"/>
        <v>1</v>
      </c>
      <c r="J445" s="86">
        <f t="shared" ca="1" si="3"/>
        <v>45118</v>
      </c>
      <c r="R445" s="26"/>
    </row>
    <row r="446" spans="1:18" ht="15.75" customHeight="1">
      <c r="A446" s="26">
        <f ca="1">IFERROR(__xludf.DUMMYFUNCTION("""COMPUTED_VALUE"""),19321)</f>
        <v>19321</v>
      </c>
      <c r="B446" s="86">
        <f ca="1">IFERROR(__xludf.DUMMYFUNCTION("""COMPUTED_VALUE"""),45118.7509375)</f>
        <v>45118.750937500001</v>
      </c>
      <c r="C446" s="1" t="str">
        <f ca="1">IFERROR(__xludf.DUMMYFUNCTION("""COMPUTED_VALUE"""),"completed")</f>
        <v>completed</v>
      </c>
      <c r="D446" s="26">
        <f ca="1">IFERROR(__xludf.DUMMYFUNCTION("""COMPUTED_VALUE"""),41)</f>
        <v>41</v>
      </c>
      <c r="E446" s="1" t="str">
        <f ca="1">IFERROR(__xludf.DUMMYFUNCTION("""COMPUTED_VALUE"""),"Lasalle Stompers")</f>
        <v>Lasalle Stompers</v>
      </c>
      <c r="F446" s="87" t="str">
        <f t="shared" ca="1" si="0"/>
        <v>2023</v>
      </c>
      <c r="G446" s="1" t="str">
        <f ca="1">IFERROR(__xludf.DUMMYFUNCTION("""COMPUTED_VALUE"""),"Lasalle Stompers")</f>
        <v>Lasalle Stompers</v>
      </c>
      <c r="H446" s="26">
        <f t="shared" ca="1" si="1"/>
        <v>41</v>
      </c>
      <c r="I446" s="26">
        <f t="shared" ca="1" si="2"/>
        <v>1</v>
      </c>
      <c r="J446" s="86">
        <f t="shared" ca="1" si="3"/>
        <v>45118</v>
      </c>
      <c r="R446" s="26"/>
    </row>
    <row r="447" spans="1:18" ht="15.75" customHeight="1">
      <c r="A447" s="26">
        <f ca="1">IFERROR(__xludf.DUMMYFUNCTION("""COMPUTED_VALUE"""),19320)</f>
        <v>19320</v>
      </c>
      <c r="B447" s="86">
        <f ca="1">IFERROR(__xludf.DUMMYFUNCTION("""COMPUTED_VALUE"""),45118.727349537)</f>
        <v>45118.727349537003</v>
      </c>
      <c r="C447" s="1" t="str">
        <f ca="1">IFERROR(__xludf.DUMMYFUNCTION("""COMPUTED_VALUE"""),"completed")</f>
        <v>completed</v>
      </c>
      <c r="D447" s="26">
        <f ca="1">IFERROR(__xludf.DUMMYFUNCTION("""COMPUTED_VALUE"""),15)</f>
        <v>15</v>
      </c>
      <c r="E447" s="1" t="str">
        <f ca="1">IFERROR(__xludf.DUMMYFUNCTION("""COMPUTED_VALUE"""),"Lasalle Stompers")</f>
        <v>Lasalle Stompers</v>
      </c>
      <c r="F447" s="87" t="str">
        <f t="shared" ca="1" si="0"/>
        <v>2023</v>
      </c>
      <c r="G447" s="1" t="str">
        <f ca="1">IFERROR(__xludf.DUMMYFUNCTION("""COMPUTED_VALUE"""),"Lasalle Stompers")</f>
        <v>Lasalle Stompers</v>
      </c>
      <c r="H447" s="26">
        <f t="shared" ca="1" si="1"/>
        <v>15</v>
      </c>
      <c r="I447" s="26">
        <f t="shared" ca="1" si="2"/>
        <v>1</v>
      </c>
      <c r="J447" s="86">
        <f t="shared" ca="1" si="3"/>
        <v>45118</v>
      </c>
      <c r="R447" s="26"/>
    </row>
    <row r="448" spans="1:18" ht="15.75" customHeight="1">
      <c r="A448" s="26">
        <f ca="1">IFERROR(__xludf.DUMMYFUNCTION("""COMPUTED_VALUE"""),19319)</f>
        <v>19319</v>
      </c>
      <c r="B448" s="86">
        <f ca="1">IFERROR(__xludf.DUMMYFUNCTION("""COMPUTED_VALUE"""),45117.9601504629)</f>
        <v>45117.960150462903</v>
      </c>
      <c r="C448" s="1" t="str">
        <f ca="1">IFERROR(__xludf.DUMMYFUNCTION("""COMPUTED_VALUE"""),"completed")</f>
        <v>completed</v>
      </c>
      <c r="D448" s="26">
        <f ca="1">IFERROR(__xludf.DUMMYFUNCTION("""COMPUTED_VALUE"""),28)</f>
        <v>28</v>
      </c>
      <c r="E448" s="1" t="str">
        <f ca="1">IFERROR(__xludf.DUMMYFUNCTION("""COMPUTED_VALUE"""),"Lasalle Stompers")</f>
        <v>Lasalle Stompers</v>
      </c>
      <c r="F448" s="87" t="str">
        <f t="shared" ca="1" si="0"/>
        <v>2023</v>
      </c>
      <c r="G448" s="1" t="str">
        <f ca="1">IFERROR(__xludf.DUMMYFUNCTION("""COMPUTED_VALUE"""),"Lasalle Stompers")</f>
        <v>Lasalle Stompers</v>
      </c>
      <c r="H448" s="26">
        <f t="shared" ca="1" si="1"/>
        <v>28</v>
      </c>
      <c r="I448" s="26">
        <f t="shared" ca="1" si="2"/>
        <v>1</v>
      </c>
      <c r="J448" s="86">
        <f t="shared" ca="1" si="3"/>
        <v>45117</v>
      </c>
      <c r="R448" s="26"/>
    </row>
    <row r="449" spans="1:18" ht="15.75" customHeight="1">
      <c r="A449" s="26">
        <f ca="1">IFERROR(__xludf.DUMMYFUNCTION("""COMPUTED_VALUE"""),19318)</f>
        <v>19318</v>
      </c>
      <c r="B449" s="86">
        <f ca="1">IFERROR(__xludf.DUMMYFUNCTION("""COMPUTED_VALUE"""),45117.9273842592)</f>
        <v>45117.927384259201</v>
      </c>
      <c r="C449" s="1" t="str">
        <f ca="1">IFERROR(__xludf.DUMMYFUNCTION("""COMPUTED_VALUE"""),"completed")</f>
        <v>completed</v>
      </c>
      <c r="D449" s="26">
        <f ca="1">IFERROR(__xludf.DUMMYFUNCTION("""COMPUTED_VALUE"""),20)</f>
        <v>20</v>
      </c>
      <c r="E449" s="1" t="str">
        <f ca="1">IFERROR(__xludf.DUMMYFUNCTION("""COMPUTED_VALUE"""),"Lasalle Stompers")</f>
        <v>Lasalle Stompers</v>
      </c>
      <c r="F449" s="87" t="str">
        <f t="shared" ca="1" si="0"/>
        <v>2023</v>
      </c>
      <c r="G449" s="1" t="str">
        <f ca="1">IFERROR(__xludf.DUMMYFUNCTION("""COMPUTED_VALUE"""),"Lasalle Stompers")</f>
        <v>Lasalle Stompers</v>
      </c>
      <c r="H449" s="26">
        <f t="shared" ca="1" si="1"/>
        <v>20</v>
      </c>
      <c r="I449" s="26">
        <f t="shared" ca="1" si="2"/>
        <v>1</v>
      </c>
      <c r="J449" s="86">
        <f t="shared" ca="1" si="3"/>
        <v>45117</v>
      </c>
      <c r="R449" s="26"/>
    </row>
    <row r="450" spans="1:18" ht="15.75" customHeight="1">
      <c r="A450" s="26">
        <f ca="1">IFERROR(__xludf.DUMMYFUNCTION("""COMPUTED_VALUE"""),19317)</f>
        <v>19317</v>
      </c>
      <c r="B450" s="86">
        <f ca="1">IFERROR(__xludf.DUMMYFUNCTION("""COMPUTED_VALUE"""),45117.9264004629)</f>
        <v>45117.9264004629</v>
      </c>
      <c r="C450" s="1" t="str">
        <f ca="1">IFERROR(__xludf.DUMMYFUNCTION("""COMPUTED_VALUE"""),"completed")</f>
        <v>completed</v>
      </c>
      <c r="D450" s="26">
        <f ca="1">IFERROR(__xludf.DUMMYFUNCTION("""COMPUTED_VALUE"""),26)</f>
        <v>26</v>
      </c>
      <c r="E450" s="1" t="str">
        <f ca="1">IFERROR(__xludf.DUMMYFUNCTION("""COMPUTED_VALUE"""),"Lasalle Stompers")</f>
        <v>Lasalle Stompers</v>
      </c>
      <c r="F450" s="87" t="str">
        <f t="shared" ca="1" si="0"/>
        <v>2023</v>
      </c>
      <c r="G450" s="1" t="str">
        <f ca="1">IFERROR(__xludf.DUMMYFUNCTION("""COMPUTED_VALUE"""),"Lasalle Stompers")</f>
        <v>Lasalle Stompers</v>
      </c>
      <c r="H450" s="26">
        <f t="shared" ca="1" si="1"/>
        <v>26</v>
      </c>
      <c r="I450" s="26">
        <f t="shared" ca="1" si="2"/>
        <v>1</v>
      </c>
      <c r="J450" s="86">
        <f t="shared" ca="1" si="3"/>
        <v>45117</v>
      </c>
      <c r="R450" s="26"/>
    </row>
    <row r="451" spans="1:18" ht="15.75" customHeight="1">
      <c r="A451" s="26">
        <f ca="1">IFERROR(__xludf.DUMMYFUNCTION("""COMPUTED_VALUE"""),19316)</f>
        <v>19316</v>
      </c>
      <c r="B451" s="86">
        <f ca="1">IFERROR(__xludf.DUMMYFUNCTION("""COMPUTED_VALUE"""),45117.9244907407)</f>
        <v>45117.924490740697</v>
      </c>
      <c r="C451" s="1" t="str">
        <f ca="1">IFERROR(__xludf.DUMMYFUNCTION("""COMPUTED_VALUE"""),"completed")</f>
        <v>completed</v>
      </c>
      <c r="D451" s="26">
        <f ca="1">IFERROR(__xludf.DUMMYFUNCTION("""COMPUTED_VALUE"""),28)</f>
        <v>28</v>
      </c>
      <c r="E451" s="1" t="str">
        <f ca="1">IFERROR(__xludf.DUMMYFUNCTION("""COMPUTED_VALUE"""),"Lasalle Stompers")</f>
        <v>Lasalle Stompers</v>
      </c>
      <c r="F451" s="87" t="str">
        <f t="shared" ca="1" si="0"/>
        <v>2023</v>
      </c>
      <c r="G451" s="1" t="str">
        <f ca="1">IFERROR(__xludf.DUMMYFUNCTION("""COMPUTED_VALUE"""),"Lasalle Stompers")</f>
        <v>Lasalle Stompers</v>
      </c>
      <c r="H451" s="26">
        <f t="shared" ca="1" si="1"/>
        <v>28</v>
      </c>
      <c r="I451" s="26">
        <f t="shared" ca="1" si="2"/>
        <v>1</v>
      </c>
      <c r="J451" s="86">
        <f t="shared" ca="1" si="3"/>
        <v>45117</v>
      </c>
      <c r="R451" s="26"/>
    </row>
    <row r="452" spans="1:18" ht="15.75" customHeight="1">
      <c r="A452" s="26">
        <f ca="1">IFERROR(__xludf.DUMMYFUNCTION("""COMPUTED_VALUE"""),19315)</f>
        <v>19315</v>
      </c>
      <c r="B452" s="86">
        <f ca="1">IFERROR(__xludf.DUMMYFUNCTION("""COMPUTED_VALUE"""),45117.911724537)</f>
        <v>45117.911724537</v>
      </c>
      <c r="C452" s="1" t="str">
        <f ca="1">IFERROR(__xludf.DUMMYFUNCTION("""COMPUTED_VALUE"""),"completed")</f>
        <v>completed</v>
      </c>
      <c r="D452" s="26">
        <f ca="1">IFERROR(__xludf.DUMMYFUNCTION("""COMPUTED_VALUE"""),22)</f>
        <v>22</v>
      </c>
      <c r="E452" s="1" t="str">
        <f ca="1">IFERROR(__xludf.DUMMYFUNCTION("""COMPUTED_VALUE"""),"Lasalle Stompers")</f>
        <v>Lasalle Stompers</v>
      </c>
      <c r="F452" s="87" t="str">
        <f t="shared" ca="1" si="0"/>
        <v>2023</v>
      </c>
      <c r="G452" s="1" t="str">
        <f ca="1">IFERROR(__xludf.DUMMYFUNCTION("""COMPUTED_VALUE"""),"Lasalle Stompers")</f>
        <v>Lasalle Stompers</v>
      </c>
      <c r="H452" s="26">
        <f t="shared" ca="1" si="1"/>
        <v>22</v>
      </c>
      <c r="I452" s="26">
        <f t="shared" ca="1" si="2"/>
        <v>1</v>
      </c>
      <c r="J452" s="86">
        <f t="shared" ca="1" si="3"/>
        <v>45117</v>
      </c>
      <c r="R452" s="26"/>
    </row>
    <row r="453" spans="1:18" ht="15.75" customHeight="1">
      <c r="A453" s="26">
        <f ca="1">IFERROR(__xludf.DUMMYFUNCTION("""COMPUTED_VALUE"""),19314)</f>
        <v>19314</v>
      </c>
      <c r="B453" s="86">
        <f ca="1">IFERROR(__xludf.DUMMYFUNCTION("""COMPUTED_VALUE"""),45117.9047569444)</f>
        <v>45117.904756944401</v>
      </c>
      <c r="C453" s="1" t="str">
        <f ca="1">IFERROR(__xludf.DUMMYFUNCTION("""COMPUTED_VALUE"""),"completed")</f>
        <v>completed</v>
      </c>
      <c r="D453" s="26">
        <f ca="1">IFERROR(__xludf.DUMMYFUNCTION("""COMPUTED_VALUE"""),25)</f>
        <v>25</v>
      </c>
      <c r="E453" s="1" t="str">
        <f ca="1">IFERROR(__xludf.DUMMYFUNCTION("""COMPUTED_VALUE"""),"Lasalle Stompers")</f>
        <v>Lasalle Stompers</v>
      </c>
      <c r="F453" s="87" t="str">
        <f t="shared" ca="1" si="0"/>
        <v>2023</v>
      </c>
      <c r="G453" s="1" t="str">
        <f ca="1">IFERROR(__xludf.DUMMYFUNCTION("""COMPUTED_VALUE"""),"Kingsville Minor Baseball Assoc.")</f>
        <v>Kingsville Minor Baseball Assoc.</v>
      </c>
      <c r="H453" s="26">
        <f t="shared" ca="1" si="1"/>
        <v>25</v>
      </c>
      <c r="I453" s="26">
        <f t="shared" ca="1" si="2"/>
        <v>1</v>
      </c>
      <c r="J453" s="86">
        <f t="shared" ca="1" si="3"/>
        <v>45117</v>
      </c>
      <c r="R453" s="26"/>
    </row>
    <row r="454" spans="1:18" ht="15.75" customHeight="1">
      <c r="A454" s="26">
        <f ca="1">IFERROR(__xludf.DUMMYFUNCTION("""COMPUTED_VALUE"""),19313)</f>
        <v>19313</v>
      </c>
      <c r="B454" s="86">
        <f ca="1">IFERROR(__xludf.DUMMYFUNCTION("""COMPUTED_VALUE"""),45117.8724189814)</f>
        <v>45117.872418981402</v>
      </c>
      <c r="C454" s="1" t="str">
        <f ca="1">IFERROR(__xludf.DUMMYFUNCTION("""COMPUTED_VALUE"""),"completed")</f>
        <v>completed</v>
      </c>
      <c r="D454" s="26">
        <f ca="1">IFERROR(__xludf.DUMMYFUNCTION("""COMPUTED_VALUE"""),18)</f>
        <v>18</v>
      </c>
      <c r="E454" s="1" t="str">
        <f ca="1">IFERROR(__xludf.DUMMYFUNCTION("""COMPUTED_VALUE"""),"Kingsville Minor Baseball Assoc.")</f>
        <v>Kingsville Minor Baseball Assoc.</v>
      </c>
      <c r="F454" s="87" t="str">
        <f t="shared" ca="1" si="0"/>
        <v>2023</v>
      </c>
      <c r="G454" s="1" t="str">
        <f ca="1">IFERROR(__xludf.DUMMYFUNCTION("""COMPUTED_VALUE"""),"Lasalle Stompers")</f>
        <v>Lasalle Stompers</v>
      </c>
      <c r="H454" s="26">
        <f t="shared" ca="1" si="1"/>
        <v>18</v>
      </c>
      <c r="I454" s="26">
        <f t="shared" ca="1" si="2"/>
        <v>1</v>
      </c>
      <c r="J454" s="86">
        <f t="shared" ca="1" si="3"/>
        <v>45117</v>
      </c>
      <c r="R454" s="26"/>
    </row>
    <row r="455" spans="1:18" ht="15.75" customHeight="1">
      <c r="A455" s="26">
        <f ca="1">IFERROR(__xludf.DUMMYFUNCTION("""COMPUTED_VALUE"""),19312)</f>
        <v>19312</v>
      </c>
      <c r="B455" s="86">
        <f ca="1">IFERROR(__xludf.DUMMYFUNCTION("""COMPUTED_VALUE"""),45117.8702199074)</f>
        <v>45117.870219907403</v>
      </c>
      <c r="C455" s="1" t="str">
        <f ca="1">IFERROR(__xludf.DUMMYFUNCTION("""COMPUTED_VALUE"""),"completed")</f>
        <v>completed</v>
      </c>
      <c r="D455" s="26">
        <f ca="1">IFERROR(__xludf.DUMMYFUNCTION("""COMPUTED_VALUE"""),0)</f>
        <v>0</v>
      </c>
      <c r="E455" s="1" t="str">
        <f ca="1">IFERROR(__xludf.DUMMYFUNCTION("""COMPUTED_VALUE"""),"Lasalle Stompers")</f>
        <v>Lasalle Stompers</v>
      </c>
      <c r="F455" s="87" t="str">
        <f t="shared" ca="1" si="0"/>
        <v>2023</v>
      </c>
      <c r="G455" s="1" t="str">
        <f ca="1">IFERROR(__xludf.DUMMYFUNCTION("""COMPUTED_VALUE"""),"Lasalle Stompers")</f>
        <v>Lasalle Stompers</v>
      </c>
      <c r="H455" s="26">
        <f t="shared" ca="1" si="1"/>
        <v>0</v>
      </c>
      <c r="I455" s="26">
        <f t="shared" ca="1" si="2"/>
        <v>1</v>
      </c>
      <c r="J455" s="86">
        <f t="shared" ca="1" si="3"/>
        <v>45117</v>
      </c>
      <c r="R455" s="26"/>
    </row>
    <row r="456" spans="1:18" ht="15.75" customHeight="1">
      <c r="A456" s="26">
        <f ca="1">IFERROR(__xludf.DUMMYFUNCTION("""COMPUTED_VALUE"""),19311)</f>
        <v>19311</v>
      </c>
      <c r="B456" s="86">
        <f ca="1">IFERROR(__xludf.DUMMYFUNCTION("""COMPUTED_VALUE"""),45117.8074884259)</f>
        <v>45117.807488425897</v>
      </c>
      <c r="C456" s="1" t="str">
        <f ca="1">IFERROR(__xludf.DUMMYFUNCTION("""COMPUTED_VALUE"""),"completed")</f>
        <v>completed</v>
      </c>
      <c r="D456" s="26">
        <f ca="1">IFERROR(__xludf.DUMMYFUNCTION("""COMPUTED_VALUE"""),15)</f>
        <v>15</v>
      </c>
      <c r="E456" s="1" t="str">
        <f ca="1">IFERROR(__xludf.DUMMYFUNCTION("""COMPUTED_VALUE"""),"Lasalle Stompers")</f>
        <v>Lasalle Stompers</v>
      </c>
      <c r="F456" s="87" t="str">
        <f t="shared" ca="1" si="0"/>
        <v>2023</v>
      </c>
      <c r="G456" s="1" t="str">
        <f ca="1">IFERROR(__xludf.DUMMYFUNCTION("""COMPUTED_VALUE"""),"Lasalle Stompers")</f>
        <v>Lasalle Stompers</v>
      </c>
      <c r="H456" s="26">
        <f t="shared" ca="1" si="1"/>
        <v>15</v>
      </c>
      <c r="I456" s="26">
        <f t="shared" ca="1" si="2"/>
        <v>1</v>
      </c>
      <c r="J456" s="86">
        <f t="shared" ca="1" si="3"/>
        <v>45117</v>
      </c>
      <c r="R456" s="26"/>
    </row>
    <row r="457" spans="1:18" ht="15.75" customHeight="1">
      <c r="A457" s="26">
        <f ca="1">IFERROR(__xludf.DUMMYFUNCTION("""COMPUTED_VALUE"""),19310)</f>
        <v>19310</v>
      </c>
      <c r="B457" s="86">
        <f ca="1">IFERROR(__xludf.DUMMYFUNCTION("""COMPUTED_VALUE"""),45117.6788310185)</f>
        <v>45117.6788310185</v>
      </c>
      <c r="C457" s="1" t="str">
        <f ca="1">IFERROR(__xludf.DUMMYFUNCTION("""COMPUTED_VALUE"""),"completed")</f>
        <v>completed</v>
      </c>
      <c r="D457" s="26">
        <f ca="1">IFERROR(__xludf.DUMMYFUNCTION("""COMPUTED_VALUE"""),35)</f>
        <v>35</v>
      </c>
      <c r="E457" s="1" t="str">
        <f ca="1">IFERROR(__xludf.DUMMYFUNCTION("""COMPUTED_VALUE"""),"Lasalle Stompers")</f>
        <v>Lasalle Stompers</v>
      </c>
      <c r="F457" s="87" t="str">
        <f t="shared" ca="1" si="0"/>
        <v>2023</v>
      </c>
      <c r="G457" s="1" t="str">
        <f ca="1">IFERROR(__xludf.DUMMYFUNCTION("""COMPUTED_VALUE"""),"Kingsville Minor Baseball Assoc.")</f>
        <v>Kingsville Minor Baseball Assoc.</v>
      </c>
      <c r="H457" s="26">
        <f t="shared" ca="1" si="1"/>
        <v>35</v>
      </c>
      <c r="I457" s="26">
        <f t="shared" ca="1" si="2"/>
        <v>1</v>
      </c>
      <c r="J457" s="86">
        <f t="shared" ca="1" si="3"/>
        <v>45117</v>
      </c>
      <c r="R457" s="26"/>
    </row>
    <row r="458" spans="1:18" ht="15.75" customHeight="1">
      <c r="A458" s="26">
        <f ca="1">IFERROR(__xludf.DUMMYFUNCTION("""COMPUTED_VALUE"""),19309)</f>
        <v>19309</v>
      </c>
      <c r="B458" s="86">
        <f ca="1">IFERROR(__xludf.DUMMYFUNCTION("""COMPUTED_VALUE"""),45117.5263541666)</f>
        <v>45117.526354166599</v>
      </c>
      <c r="C458" s="1" t="str">
        <f ca="1">IFERROR(__xludf.DUMMYFUNCTION("""COMPUTED_VALUE"""),"completed")</f>
        <v>completed</v>
      </c>
      <c r="D458" s="26">
        <f ca="1">IFERROR(__xludf.DUMMYFUNCTION("""COMPUTED_VALUE"""),25)</f>
        <v>25</v>
      </c>
      <c r="E458" s="1" t="str">
        <f ca="1">IFERROR(__xludf.DUMMYFUNCTION("""COMPUTED_VALUE"""),"Kingsville Minor Baseball Assoc.")</f>
        <v>Kingsville Minor Baseball Assoc.</v>
      </c>
      <c r="F458" s="87" t="str">
        <f t="shared" ca="1" si="0"/>
        <v>2023</v>
      </c>
      <c r="G458" s="1" t="str">
        <f ca="1">IFERROR(__xludf.DUMMYFUNCTION("""COMPUTED_VALUE"""),"Kingsville Minor Baseball Assoc.")</f>
        <v>Kingsville Minor Baseball Assoc.</v>
      </c>
      <c r="H458" s="26">
        <f t="shared" ca="1" si="1"/>
        <v>25</v>
      </c>
      <c r="I458" s="26">
        <f t="shared" ca="1" si="2"/>
        <v>1</v>
      </c>
      <c r="J458" s="86">
        <f t="shared" ca="1" si="3"/>
        <v>45117</v>
      </c>
      <c r="R458" s="26"/>
    </row>
    <row r="459" spans="1:18" ht="15.75" customHeight="1">
      <c r="A459" s="26">
        <f ca="1">IFERROR(__xludf.DUMMYFUNCTION("""COMPUTED_VALUE"""),19308)</f>
        <v>19308</v>
      </c>
      <c r="B459" s="86">
        <f ca="1">IFERROR(__xludf.DUMMYFUNCTION("""COMPUTED_VALUE"""),45117.5234953703)</f>
        <v>45117.523495370297</v>
      </c>
      <c r="C459" s="1" t="str">
        <f ca="1">IFERROR(__xludf.DUMMYFUNCTION("""COMPUTED_VALUE"""),"completed")</f>
        <v>completed</v>
      </c>
      <c r="D459" s="26">
        <f ca="1">IFERROR(__xludf.DUMMYFUNCTION("""COMPUTED_VALUE"""),25)</f>
        <v>25</v>
      </c>
      <c r="E459" s="1" t="str">
        <f ca="1">IFERROR(__xludf.DUMMYFUNCTION("""COMPUTED_VALUE"""),"Kingsville Minor Baseball Assoc.")</f>
        <v>Kingsville Minor Baseball Assoc.</v>
      </c>
      <c r="F459" s="87" t="str">
        <f t="shared" ca="1" si="0"/>
        <v>2023</v>
      </c>
      <c r="G459" s="1" t="str">
        <f ca="1">IFERROR(__xludf.DUMMYFUNCTION("""COMPUTED_VALUE"""),"Lasalle Stompers")</f>
        <v>Lasalle Stompers</v>
      </c>
      <c r="H459" s="26">
        <f t="shared" ca="1" si="1"/>
        <v>25</v>
      </c>
      <c r="I459" s="26">
        <f t="shared" ca="1" si="2"/>
        <v>1</v>
      </c>
      <c r="J459" s="86">
        <f t="shared" ca="1" si="3"/>
        <v>45117</v>
      </c>
      <c r="R459" s="26"/>
    </row>
    <row r="460" spans="1:18" ht="15.75" customHeight="1">
      <c r="A460" s="26">
        <f ca="1">IFERROR(__xludf.DUMMYFUNCTION("""COMPUTED_VALUE"""),19307)</f>
        <v>19307</v>
      </c>
      <c r="B460" s="86">
        <f ca="1">IFERROR(__xludf.DUMMYFUNCTION("""COMPUTED_VALUE"""),45117.3444675925)</f>
        <v>45117.344467592498</v>
      </c>
      <c r="C460" s="1" t="str">
        <f ca="1">IFERROR(__xludf.DUMMYFUNCTION("""COMPUTED_VALUE"""),"draftpics-created")</f>
        <v>draftpics-created</v>
      </c>
      <c r="D460" s="26">
        <f ca="1">IFERROR(__xludf.DUMMYFUNCTION("""COMPUTED_VALUE"""),18)</f>
        <v>18</v>
      </c>
      <c r="E460" s="1" t="str">
        <f ca="1">IFERROR(__xludf.DUMMYFUNCTION("""COMPUTED_VALUE"""),"Lasalle Stompers")</f>
        <v>Lasalle Stompers</v>
      </c>
      <c r="F460" s="87" t="str">
        <f t="shared" ca="1" si="0"/>
        <v>2023</v>
      </c>
      <c r="G460" s="1" t="str">
        <f ca="1">IFERROR(__xludf.DUMMYFUNCTION("""COMPUTED_VALUE"""),"Lasalle Stompers")</f>
        <v>Lasalle Stompers</v>
      </c>
      <c r="H460" s="26">
        <f t="shared" ca="1" si="1"/>
        <v>18</v>
      </c>
      <c r="I460" s="26">
        <f t="shared" ca="1" si="2"/>
        <v>1</v>
      </c>
      <c r="J460" s="86">
        <f t="shared" ca="1" si="3"/>
        <v>45117</v>
      </c>
      <c r="R460" s="26"/>
    </row>
    <row r="461" spans="1:18" ht="15.75" customHeight="1">
      <c r="A461" s="26">
        <f ca="1">IFERROR(__xludf.DUMMYFUNCTION("""COMPUTED_VALUE"""),19306)</f>
        <v>19306</v>
      </c>
      <c r="B461" s="86">
        <f ca="1">IFERROR(__xludf.DUMMYFUNCTION("""COMPUTED_VALUE"""),45117.1169560185)</f>
        <v>45117.116956018501</v>
      </c>
      <c r="C461" s="1" t="str">
        <f ca="1">IFERROR(__xludf.DUMMYFUNCTION("""COMPUTED_VALUE"""),"completed")</f>
        <v>completed</v>
      </c>
      <c r="D461" s="26">
        <f ca="1">IFERROR(__xludf.DUMMYFUNCTION("""COMPUTED_VALUE"""),25)</f>
        <v>25</v>
      </c>
      <c r="E461" s="1" t="str">
        <f ca="1">IFERROR(__xludf.DUMMYFUNCTION("""COMPUTED_VALUE"""),"Lasalle Stompers")</f>
        <v>Lasalle Stompers</v>
      </c>
      <c r="F461" s="87" t="str">
        <f t="shared" ca="1" si="0"/>
        <v>2023</v>
      </c>
      <c r="G461" s="1" t="str">
        <f ca="1">IFERROR(__xludf.DUMMYFUNCTION("""COMPUTED_VALUE"""),"Lasalle Stompers")</f>
        <v>Lasalle Stompers</v>
      </c>
      <c r="H461" s="26">
        <f t="shared" ca="1" si="1"/>
        <v>25</v>
      </c>
      <c r="I461" s="26">
        <f t="shared" ca="1" si="2"/>
        <v>1</v>
      </c>
      <c r="J461" s="86">
        <f t="shared" ca="1" si="3"/>
        <v>45117</v>
      </c>
      <c r="R461" s="26"/>
    </row>
    <row r="462" spans="1:18" ht="15.75" customHeight="1">
      <c r="A462" s="26">
        <f ca="1">IFERROR(__xludf.DUMMYFUNCTION("""COMPUTED_VALUE"""),19305)</f>
        <v>19305</v>
      </c>
      <c r="B462" s="86">
        <f ca="1">IFERROR(__xludf.DUMMYFUNCTION("""COMPUTED_VALUE"""),45117.0531712963)</f>
        <v>45117.053171296298</v>
      </c>
      <c r="C462" s="1" t="str">
        <f ca="1">IFERROR(__xludf.DUMMYFUNCTION("""COMPUTED_VALUE"""),"completed")</f>
        <v>completed</v>
      </c>
      <c r="D462" s="26">
        <f ca="1">IFERROR(__xludf.DUMMYFUNCTION("""COMPUTED_VALUE"""),40)</f>
        <v>40</v>
      </c>
      <c r="E462" s="1" t="str">
        <f ca="1">IFERROR(__xludf.DUMMYFUNCTION("""COMPUTED_VALUE"""),"Lasalle Stompers")</f>
        <v>Lasalle Stompers</v>
      </c>
      <c r="F462" s="87" t="str">
        <f t="shared" ca="1" si="0"/>
        <v>2023</v>
      </c>
      <c r="G462" s="1" t="str">
        <f ca="1">IFERROR(__xludf.DUMMYFUNCTION("""COMPUTED_VALUE"""),"Lasalle Stompers")</f>
        <v>Lasalle Stompers</v>
      </c>
      <c r="H462" s="26">
        <f t="shared" ca="1" si="1"/>
        <v>40</v>
      </c>
      <c r="I462" s="26">
        <f t="shared" ca="1" si="2"/>
        <v>1</v>
      </c>
      <c r="J462" s="86">
        <f t="shared" ca="1" si="3"/>
        <v>45117</v>
      </c>
      <c r="R462" s="26"/>
    </row>
    <row r="463" spans="1:18" ht="15.75" customHeight="1">
      <c r="A463" s="26">
        <f ca="1">IFERROR(__xludf.DUMMYFUNCTION("""COMPUTED_VALUE"""),19304)</f>
        <v>19304</v>
      </c>
      <c r="B463" s="86">
        <f ca="1">IFERROR(__xludf.DUMMYFUNCTION("""COMPUTED_VALUE"""),45116.9486689814)</f>
        <v>45116.9486689814</v>
      </c>
      <c r="C463" s="1" t="str">
        <f ca="1">IFERROR(__xludf.DUMMYFUNCTION("""COMPUTED_VALUE"""),"completed")</f>
        <v>completed</v>
      </c>
      <c r="D463" s="26">
        <f ca="1">IFERROR(__xludf.DUMMYFUNCTION("""COMPUTED_VALUE"""),20)</f>
        <v>20</v>
      </c>
      <c r="E463" s="1" t="str">
        <f ca="1">IFERROR(__xludf.DUMMYFUNCTION("""COMPUTED_VALUE"""),"Lasalle Stompers")</f>
        <v>Lasalle Stompers</v>
      </c>
      <c r="F463" s="87" t="str">
        <f t="shared" ca="1" si="0"/>
        <v>2023</v>
      </c>
      <c r="G463" s="1" t="str">
        <f ca="1">IFERROR(__xludf.DUMMYFUNCTION("""COMPUTED_VALUE"""),"Lasalle Stompers")</f>
        <v>Lasalle Stompers</v>
      </c>
      <c r="H463" s="26">
        <f t="shared" ca="1" si="1"/>
        <v>20</v>
      </c>
      <c r="I463" s="26">
        <f t="shared" ca="1" si="2"/>
        <v>1</v>
      </c>
      <c r="J463" s="86">
        <f t="shared" ca="1" si="3"/>
        <v>45116</v>
      </c>
      <c r="R463" s="26"/>
    </row>
    <row r="464" spans="1:18" ht="15.75" customHeight="1">
      <c r="A464" s="26">
        <f ca="1">IFERROR(__xludf.DUMMYFUNCTION("""COMPUTED_VALUE"""),19303)</f>
        <v>19303</v>
      </c>
      <c r="B464" s="86">
        <f ca="1">IFERROR(__xludf.DUMMYFUNCTION("""COMPUTED_VALUE"""),45116.7567013888)</f>
        <v>45116.756701388797</v>
      </c>
      <c r="C464" s="1" t="str">
        <f ca="1">IFERROR(__xludf.DUMMYFUNCTION("""COMPUTED_VALUE"""),"completed")</f>
        <v>completed</v>
      </c>
      <c r="D464" s="26">
        <f ca="1">IFERROR(__xludf.DUMMYFUNCTION("""COMPUTED_VALUE"""),73)</f>
        <v>73</v>
      </c>
      <c r="E464" s="1" t="str">
        <f ca="1">IFERROR(__xludf.DUMMYFUNCTION("""COMPUTED_VALUE"""),"Lasalle Stompers")</f>
        <v>Lasalle Stompers</v>
      </c>
      <c r="F464" s="87" t="str">
        <f t="shared" ca="1" si="0"/>
        <v>2023</v>
      </c>
      <c r="G464" s="1" t="str">
        <f ca="1">IFERROR(__xludf.DUMMYFUNCTION("""COMPUTED_VALUE"""),"Lasalle Stompers")</f>
        <v>Lasalle Stompers</v>
      </c>
      <c r="H464" s="26">
        <f t="shared" ca="1" si="1"/>
        <v>73</v>
      </c>
      <c r="I464" s="26">
        <f t="shared" ca="1" si="2"/>
        <v>1</v>
      </c>
      <c r="J464" s="86">
        <f t="shared" ca="1" si="3"/>
        <v>45116</v>
      </c>
      <c r="R464" s="26"/>
    </row>
    <row r="465" spans="1:18" ht="15.75" customHeight="1">
      <c r="A465" s="26">
        <f ca="1">IFERROR(__xludf.DUMMYFUNCTION("""COMPUTED_VALUE"""),19302)</f>
        <v>19302</v>
      </c>
      <c r="B465" s="86">
        <f ca="1">IFERROR(__xludf.DUMMYFUNCTION("""COMPUTED_VALUE"""),45116.7509722222)</f>
        <v>45116.750972222202</v>
      </c>
      <c r="C465" s="1" t="str">
        <f ca="1">IFERROR(__xludf.DUMMYFUNCTION("""COMPUTED_VALUE"""),"completed")</f>
        <v>completed</v>
      </c>
      <c r="D465" s="26">
        <f ca="1">IFERROR(__xludf.DUMMYFUNCTION("""COMPUTED_VALUE"""),73)</f>
        <v>73</v>
      </c>
      <c r="E465" s="1" t="str">
        <f ca="1">IFERROR(__xludf.DUMMYFUNCTION("""COMPUTED_VALUE"""),"Lasalle Stompers")</f>
        <v>Lasalle Stompers</v>
      </c>
      <c r="F465" s="87" t="str">
        <f t="shared" ca="1" si="0"/>
        <v>2023</v>
      </c>
      <c r="G465" s="1" t="str">
        <f ca="1">IFERROR(__xludf.DUMMYFUNCTION("""COMPUTED_VALUE"""),"Lasalle Stompers")</f>
        <v>Lasalle Stompers</v>
      </c>
      <c r="H465" s="26">
        <f t="shared" ca="1" si="1"/>
        <v>73</v>
      </c>
      <c r="I465" s="26">
        <f t="shared" ca="1" si="2"/>
        <v>1</v>
      </c>
      <c r="J465" s="86">
        <f t="shared" ca="1" si="3"/>
        <v>45116</v>
      </c>
      <c r="R465" s="26"/>
    </row>
    <row r="466" spans="1:18" ht="15.75" customHeight="1">
      <c r="A466" s="26">
        <f ca="1">IFERROR(__xludf.DUMMYFUNCTION("""COMPUTED_VALUE"""),19301)</f>
        <v>19301</v>
      </c>
      <c r="B466" s="86">
        <f ca="1">IFERROR(__xludf.DUMMYFUNCTION("""COMPUTED_VALUE"""),45116.7460532407)</f>
        <v>45116.746053240699</v>
      </c>
      <c r="C466" s="1" t="str">
        <f ca="1">IFERROR(__xludf.DUMMYFUNCTION("""COMPUTED_VALUE"""),"completed")</f>
        <v>completed</v>
      </c>
      <c r="D466" s="26">
        <f ca="1">IFERROR(__xludf.DUMMYFUNCTION("""COMPUTED_VALUE"""),46)</f>
        <v>46</v>
      </c>
      <c r="E466" s="1" t="str">
        <f ca="1">IFERROR(__xludf.DUMMYFUNCTION("""COMPUTED_VALUE"""),"Lasalle Stompers")</f>
        <v>Lasalle Stompers</v>
      </c>
      <c r="F466" s="87" t="str">
        <f t="shared" ca="1" si="0"/>
        <v>2023</v>
      </c>
      <c r="G466" s="1" t="str">
        <f ca="1">IFERROR(__xludf.DUMMYFUNCTION("""COMPUTED_VALUE"""),"Lasalle Stompers")</f>
        <v>Lasalle Stompers</v>
      </c>
      <c r="H466" s="26">
        <f t="shared" ca="1" si="1"/>
        <v>46</v>
      </c>
      <c r="I466" s="26">
        <f t="shared" ca="1" si="2"/>
        <v>1</v>
      </c>
      <c r="J466" s="86">
        <f t="shared" ca="1" si="3"/>
        <v>45116</v>
      </c>
      <c r="R466" s="26"/>
    </row>
    <row r="467" spans="1:18" ht="15.75" customHeight="1">
      <c r="A467" s="26">
        <f ca="1">IFERROR(__xludf.DUMMYFUNCTION("""COMPUTED_VALUE"""),19300)</f>
        <v>19300</v>
      </c>
      <c r="B467" s="86">
        <f ca="1">IFERROR(__xludf.DUMMYFUNCTION("""COMPUTED_VALUE"""),45116.7174537037)</f>
        <v>45116.717453703699</v>
      </c>
      <c r="C467" s="1" t="str">
        <f ca="1">IFERROR(__xludf.DUMMYFUNCTION("""COMPUTED_VALUE"""),"completed")</f>
        <v>completed</v>
      </c>
      <c r="D467" s="26">
        <f ca="1">IFERROR(__xludf.DUMMYFUNCTION("""COMPUTED_VALUE"""),52)</f>
        <v>52</v>
      </c>
      <c r="E467" s="1" t="str">
        <f ca="1">IFERROR(__xludf.DUMMYFUNCTION("""COMPUTED_VALUE"""),"Lasalle Stompers")</f>
        <v>Lasalle Stompers</v>
      </c>
      <c r="F467" s="87" t="str">
        <f t="shared" ca="1" si="0"/>
        <v>2023</v>
      </c>
      <c r="G467" s="1" t="str">
        <f ca="1">IFERROR(__xludf.DUMMYFUNCTION("""COMPUTED_VALUE"""),"Lasalle Stompers")</f>
        <v>Lasalle Stompers</v>
      </c>
      <c r="H467" s="26">
        <f t="shared" ca="1" si="1"/>
        <v>52</v>
      </c>
      <c r="I467" s="26">
        <f t="shared" ca="1" si="2"/>
        <v>1</v>
      </c>
      <c r="J467" s="86">
        <f t="shared" ca="1" si="3"/>
        <v>45116</v>
      </c>
      <c r="R467" s="26"/>
    </row>
    <row r="468" spans="1:18" ht="15.75" customHeight="1">
      <c r="A468" s="26">
        <f ca="1">IFERROR(__xludf.DUMMYFUNCTION("""COMPUTED_VALUE"""),19299)</f>
        <v>19299</v>
      </c>
      <c r="B468" s="86">
        <f ca="1">IFERROR(__xludf.DUMMYFUNCTION("""COMPUTED_VALUE"""),45116.5695486111)</f>
        <v>45116.5695486111</v>
      </c>
      <c r="C468" s="1" t="str">
        <f ca="1">IFERROR(__xludf.DUMMYFUNCTION("""COMPUTED_VALUE"""),"completed")</f>
        <v>completed</v>
      </c>
      <c r="D468" s="26">
        <f ca="1">IFERROR(__xludf.DUMMYFUNCTION("""COMPUTED_VALUE"""),40)</f>
        <v>40</v>
      </c>
      <c r="E468" s="1" t="str">
        <f ca="1">IFERROR(__xludf.DUMMYFUNCTION("""COMPUTED_VALUE"""),"Lasalle Stompers")</f>
        <v>Lasalle Stompers</v>
      </c>
      <c r="F468" s="87" t="str">
        <f t="shared" ca="1" si="0"/>
        <v>2023</v>
      </c>
      <c r="G468" s="1" t="str">
        <f ca="1">IFERROR(__xludf.DUMMYFUNCTION("""COMPUTED_VALUE"""),"Kingsville Minor Baseball Assoc.")</f>
        <v>Kingsville Minor Baseball Assoc.</v>
      </c>
      <c r="H468" s="26">
        <f t="shared" ca="1" si="1"/>
        <v>40</v>
      </c>
      <c r="I468" s="26">
        <f t="shared" ca="1" si="2"/>
        <v>1</v>
      </c>
      <c r="J468" s="86">
        <f t="shared" ca="1" si="3"/>
        <v>45116</v>
      </c>
      <c r="R468" s="26"/>
    </row>
    <row r="469" spans="1:18" ht="15.75" customHeight="1">
      <c r="A469" s="26">
        <f ca="1">IFERROR(__xludf.DUMMYFUNCTION("""COMPUTED_VALUE"""),19298)</f>
        <v>19298</v>
      </c>
      <c r="B469" s="86">
        <f ca="1">IFERROR(__xludf.DUMMYFUNCTION("""COMPUTED_VALUE"""),45116.5110532407)</f>
        <v>45116.511053240698</v>
      </c>
      <c r="C469" s="1" t="str">
        <f ca="1">IFERROR(__xludf.DUMMYFUNCTION("""COMPUTED_VALUE"""),"completed")</f>
        <v>completed</v>
      </c>
      <c r="D469" s="26">
        <f ca="1">IFERROR(__xludf.DUMMYFUNCTION("""COMPUTED_VALUE"""),25)</f>
        <v>25</v>
      </c>
      <c r="E469" s="1" t="str">
        <f ca="1">IFERROR(__xludf.DUMMYFUNCTION("""COMPUTED_VALUE"""),"Kingsville Minor Baseball Assoc.")</f>
        <v>Kingsville Minor Baseball Assoc.</v>
      </c>
      <c r="F469" s="87" t="str">
        <f t="shared" ca="1" si="0"/>
        <v>2023</v>
      </c>
      <c r="G469" s="1" t="str">
        <f ca="1">IFERROR(__xludf.DUMMYFUNCTION("""COMPUTED_VALUE"""),"Lasalle Stompers")</f>
        <v>Lasalle Stompers</v>
      </c>
      <c r="H469" s="26">
        <f t="shared" ca="1" si="1"/>
        <v>25</v>
      </c>
      <c r="I469" s="26">
        <f t="shared" ca="1" si="2"/>
        <v>1</v>
      </c>
      <c r="J469" s="86">
        <f t="shared" ca="1" si="3"/>
        <v>45116</v>
      </c>
      <c r="R469" s="26"/>
    </row>
    <row r="470" spans="1:18" ht="15.75" customHeight="1">
      <c r="A470" s="26">
        <f ca="1">IFERROR(__xludf.DUMMYFUNCTION("""COMPUTED_VALUE"""),19297)</f>
        <v>19297</v>
      </c>
      <c r="B470" s="86">
        <f ca="1">IFERROR(__xludf.DUMMYFUNCTION("""COMPUTED_VALUE"""),45116.0487152777)</f>
        <v>45116.048715277699</v>
      </c>
      <c r="C470" s="1" t="str">
        <f ca="1">IFERROR(__xludf.DUMMYFUNCTION("""COMPUTED_VALUE"""),"completed")</f>
        <v>completed</v>
      </c>
      <c r="D470" s="26">
        <f ca="1">IFERROR(__xludf.DUMMYFUNCTION("""COMPUTED_VALUE"""),25)</f>
        <v>25</v>
      </c>
      <c r="E470" s="1" t="str">
        <f ca="1">IFERROR(__xludf.DUMMYFUNCTION("""COMPUTED_VALUE"""),"Lasalle Stompers")</f>
        <v>Lasalle Stompers</v>
      </c>
      <c r="F470" s="87" t="str">
        <f t="shared" ca="1" si="0"/>
        <v>2023</v>
      </c>
      <c r="G470" s="1" t="str">
        <f ca="1">IFERROR(__xludf.DUMMYFUNCTION("""COMPUTED_VALUE"""),"Kingsville Minor Baseball Assoc.")</f>
        <v>Kingsville Minor Baseball Assoc.</v>
      </c>
      <c r="H470" s="26">
        <f t="shared" ca="1" si="1"/>
        <v>25</v>
      </c>
      <c r="I470" s="26">
        <f t="shared" ca="1" si="2"/>
        <v>1</v>
      </c>
      <c r="J470" s="86">
        <f t="shared" ca="1" si="3"/>
        <v>45116</v>
      </c>
      <c r="R470" s="26"/>
    </row>
    <row r="471" spans="1:18" ht="15.75" customHeight="1">
      <c r="A471" s="26">
        <f ca="1">IFERROR(__xludf.DUMMYFUNCTION("""COMPUTED_VALUE"""),19296)</f>
        <v>19296</v>
      </c>
      <c r="B471" s="86">
        <f ca="1">IFERROR(__xludf.DUMMYFUNCTION("""COMPUTED_VALUE"""),45115.8725694444)</f>
        <v>45115.8725694444</v>
      </c>
      <c r="C471" s="1" t="str">
        <f ca="1">IFERROR(__xludf.DUMMYFUNCTION("""COMPUTED_VALUE"""),"completed")</f>
        <v>completed</v>
      </c>
      <c r="D471" s="26">
        <f ca="1">IFERROR(__xludf.DUMMYFUNCTION("""COMPUTED_VALUE"""),25)</f>
        <v>25</v>
      </c>
      <c r="E471" s="1" t="str">
        <f ca="1">IFERROR(__xludf.DUMMYFUNCTION("""COMPUTED_VALUE"""),"Kingsville Minor Baseball Assoc.")</f>
        <v>Kingsville Minor Baseball Assoc.</v>
      </c>
      <c r="F471" s="87" t="str">
        <f t="shared" ca="1" si="0"/>
        <v>2023</v>
      </c>
      <c r="G471" s="1" t="str">
        <f ca="1">IFERROR(__xludf.DUMMYFUNCTION("""COMPUTED_VALUE"""),"Lasalle Stompers")</f>
        <v>Lasalle Stompers</v>
      </c>
      <c r="H471" s="26">
        <f t="shared" ca="1" si="1"/>
        <v>25</v>
      </c>
      <c r="I471" s="26">
        <f t="shared" ca="1" si="2"/>
        <v>1</v>
      </c>
      <c r="J471" s="86">
        <f t="shared" ca="1" si="3"/>
        <v>45115</v>
      </c>
      <c r="R471" s="26"/>
    </row>
    <row r="472" spans="1:18" ht="15.75" customHeight="1">
      <c r="A472" s="26">
        <f ca="1">IFERROR(__xludf.DUMMYFUNCTION("""COMPUTED_VALUE"""),19295)</f>
        <v>19295</v>
      </c>
      <c r="B472" s="86">
        <f ca="1">IFERROR(__xludf.DUMMYFUNCTION("""COMPUTED_VALUE"""),45115.6840972222)</f>
        <v>45115.684097222198</v>
      </c>
      <c r="C472" s="1" t="str">
        <f ca="1">IFERROR(__xludf.DUMMYFUNCTION("""COMPUTED_VALUE"""),"completed")</f>
        <v>completed</v>
      </c>
      <c r="D472" s="26">
        <f ca="1">IFERROR(__xludf.DUMMYFUNCTION("""COMPUTED_VALUE"""),40)</f>
        <v>40</v>
      </c>
      <c r="E472" s="1" t="str">
        <f ca="1">IFERROR(__xludf.DUMMYFUNCTION("""COMPUTED_VALUE"""),"Lasalle Stompers")</f>
        <v>Lasalle Stompers</v>
      </c>
      <c r="F472" s="87" t="str">
        <f t="shared" ca="1" si="0"/>
        <v>2023</v>
      </c>
      <c r="G472" s="1" t="str">
        <f ca="1">IFERROR(__xludf.DUMMYFUNCTION("""COMPUTED_VALUE"""),"Lasalle Stompers")</f>
        <v>Lasalle Stompers</v>
      </c>
      <c r="H472" s="26">
        <f t="shared" ca="1" si="1"/>
        <v>40</v>
      </c>
      <c r="I472" s="26">
        <f t="shared" ca="1" si="2"/>
        <v>1</v>
      </c>
      <c r="J472" s="86">
        <f t="shared" ca="1" si="3"/>
        <v>45115</v>
      </c>
      <c r="R472" s="26"/>
    </row>
    <row r="473" spans="1:18" ht="15.75" customHeight="1">
      <c r="A473" s="26">
        <f ca="1">IFERROR(__xludf.DUMMYFUNCTION("""COMPUTED_VALUE"""),19294)</f>
        <v>19294</v>
      </c>
      <c r="B473" s="86">
        <f ca="1">IFERROR(__xludf.DUMMYFUNCTION("""COMPUTED_VALUE"""),45115.61)</f>
        <v>45115.61</v>
      </c>
      <c r="C473" s="1" t="str">
        <f ca="1">IFERROR(__xludf.DUMMYFUNCTION("""COMPUTED_VALUE"""),"completed")</f>
        <v>completed</v>
      </c>
      <c r="D473" s="26">
        <f ca="1">IFERROR(__xludf.DUMMYFUNCTION("""COMPUTED_VALUE"""),51)</f>
        <v>51</v>
      </c>
      <c r="E473" s="1" t="str">
        <f ca="1">IFERROR(__xludf.DUMMYFUNCTION("""COMPUTED_VALUE"""),"Lasalle Stompers")</f>
        <v>Lasalle Stompers</v>
      </c>
      <c r="F473" s="87" t="str">
        <f t="shared" ca="1" si="0"/>
        <v>2023</v>
      </c>
      <c r="G473" s="1" t="str">
        <f ca="1">IFERROR(__xludf.DUMMYFUNCTION("""COMPUTED_VALUE"""),"Lasalle Stompers")</f>
        <v>Lasalle Stompers</v>
      </c>
      <c r="H473" s="26">
        <f t="shared" ca="1" si="1"/>
        <v>51</v>
      </c>
      <c r="I473" s="26">
        <f t="shared" ca="1" si="2"/>
        <v>1</v>
      </c>
      <c r="J473" s="86">
        <f t="shared" ca="1" si="3"/>
        <v>45115</v>
      </c>
      <c r="R473" s="26"/>
    </row>
    <row r="474" spans="1:18" ht="15.75" customHeight="1">
      <c r="A474" s="26">
        <f ca="1">IFERROR(__xludf.DUMMYFUNCTION("""COMPUTED_VALUE"""),19293)</f>
        <v>19293</v>
      </c>
      <c r="B474" s="86">
        <f ca="1">IFERROR(__xludf.DUMMYFUNCTION("""COMPUTED_VALUE"""),45115.5138310185)</f>
        <v>45115.513831018499</v>
      </c>
      <c r="C474" s="1" t="str">
        <f ca="1">IFERROR(__xludf.DUMMYFUNCTION("""COMPUTED_VALUE"""),"completed")</f>
        <v>completed</v>
      </c>
      <c r="D474" s="26">
        <f ca="1">IFERROR(__xludf.DUMMYFUNCTION("""COMPUTED_VALUE"""),30)</f>
        <v>30</v>
      </c>
      <c r="E474" s="1" t="str">
        <f ca="1">IFERROR(__xludf.DUMMYFUNCTION("""COMPUTED_VALUE"""),"Lasalle Stompers")</f>
        <v>Lasalle Stompers</v>
      </c>
      <c r="F474" s="87" t="str">
        <f t="shared" ca="1" si="0"/>
        <v>2023</v>
      </c>
      <c r="G474" s="1" t="str">
        <f ca="1">IFERROR(__xludf.DUMMYFUNCTION("""COMPUTED_VALUE"""),"Lasalle Stompers")</f>
        <v>Lasalle Stompers</v>
      </c>
      <c r="H474" s="26">
        <f t="shared" ca="1" si="1"/>
        <v>30</v>
      </c>
      <c r="I474" s="26">
        <f t="shared" ca="1" si="2"/>
        <v>1</v>
      </c>
      <c r="J474" s="86">
        <f t="shared" ca="1" si="3"/>
        <v>45115</v>
      </c>
      <c r="R474" s="26"/>
    </row>
    <row r="475" spans="1:18" ht="15.75" customHeight="1">
      <c r="A475" s="26">
        <f ca="1">IFERROR(__xludf.DUMMYFUNCTION("""COMPUTED_VALUE"""),19292)</f>
        <v>19292</v>
      </c>
      <c r="B475" s="86">
        <f ca="1">IFERROR(__xludf.DUMMYFUNCTION("""COMPUTED_VALUE"""),45115.0946412037)</f>
        <v>45115.094641203701</v>
      </c>
      <c r="C475" s="1" t="str">
        <f ca="1">IFERROR(__xludf.DUMMYFUNCTION("""COMPUTED_VALUE"""),"completed")</f>
        <v>completed</v>
      </c>
      <c r="D475" s="26">
        <f ca="1">IFERROR(__xludf.DUMMYFUNCTION("""COMPUTED_VALUE"""),35)</f>
        <v>35</v>
      </c>
      <c r="E475" s="1" t="str">
        <f ca="1">IFERROR(__xludf.DUMMYFUNCTION("""COMPUTED_VALUE"""),"Lasalle Stompers")</f>
        <v>Lasalle Stompers</v>
      </c>
      <c r="F475" s="87" t="str">
        <f t="shared" ca="1" si="0"/>
        <v>2023</v>
      </c>
      <c r="G475" s="1" t="str">
        <f ca="1">IFERROR(__xludf.DUMMYFUNCTION("""COMPUTED_VALUE"""),"Lasalle Stompers")</f>
        <v>Lasalle Stompers</v>
      </c>
      <c r="H475" s="26">
        <f t="shared" ca="1" si="1"/>
        <v>35</v>
      </c>
      <c r="I475" s="26">
        <f t="shared" ca="1" si="2"/>
        <v>1</v>
      </c>
      <c r="J475" s="86">
        <f t="shared" ca="1" si="3"/>
        <v>45115</v>
      </c>
      <c r="R475" s="26"/>
    </row>
    <row r="476" spans="1:18" ht="15.75" customHeight="1">
      <c r="A476" s="26">
        <f ca="1">IFERROR(__xludf.DUMMYFUNCTION("""COMPUTED_VALUE"""),19291)</f>
        <v>19291</v>
      </c>
      <c r="B476" s="86">
        <f ca="1">IFERROR(__xludf.DUMMYFUNCTION("""COMPUTED_VALUE"""),45114.8858912037)</f>
        <v>45114.885891203703</v>
      </c>
      <c r="C476" s="1" t="str">
        <f ca="1">IFERROR(__xludf.DUMMYFUNCTION("""COMPUTED_VALUE"""),"completed")</f>
        <v>completed</v>
      </c>
      <c r="D476" s="26">
        <f ca="1">IFERROR(__xludf.DUMMYFUNCTION("""COMPUTED_VALUE"""),35)</f>
        <v>35</v>
      </c>
      <c r="E476" s="1" t="str">
        <f ca="1">IFERROR(__xludf.DUMMYFUNCTION("""COMPUTED_VALUE"""),"Lasalle Stompers")</f>
        <v>Lasalle Stompers</v>
      </c>
      <c r="F476" s="87" t="str">
        <f t="shared" ca="1" si="0"/>
        <v>2023</v>
      </c>
      <c r="G476" s="1" t="str">
        <f ca="1">IFERROR(__xludf.DUMMYFUNCTION("""COMPUTED_VALUE"""),"Lasalle Stompers")</f>
        <v>Lasalle Stompers</v>
      </c>
      <c r="H476" s="26">
        <f t="shared" ca="1" si="1"/>
        <v>35</v>
      </c>
      <c r="I476" s="26">
        <f t="shared" ca="1" si="2"/>
        <v>1</v>
      </c>
      <c r="J476" s="86">
        <f t="shared" ca="1" si="3"/>
        <v>45114</v>
      </c>
      <c r="R476" s="26"/>
    </row>
    <row r="477" spans="1:18" ht="15.75" customHeight="1">
      <c r="A477" s="26">
        <f ca="1">IFERROR(__xludf.DUMMYFUNCTION("""COMPUTED_VALUE"""),19290)</f>
        <v>19290</v>
      </c>
      <c r="B477" s="86">
        <f ca="1">IFERROR(__xludf.DUMMYFUNCTION("""COMPUTED_VALUE"""),45114.8840509259)</f>
        <v>45114.884050925903</v>
      </c>
      <c r="C477" s="1" t="str">
        <f ca="1">IFERROR(__xludf.DUMMYFUNCTION("""COMPUTED_VALUE"""),"completed")</f>
        <v>completed</v>
      </c>
      <c r="D477" s="26">
        <f ca="1">IFERROR(__xludf.DUMMYFUNCTION("""COMPUTED_VALUE"""),35)</f>
        <v>35</v>
      </c>
      <c r="E477" s="1" t="str">
        <f ca="1">IFERROR(__xludf.DUMMYFUNCTION("""COMPUTED_VALUE"""),"Lasalle Stompers")</f>
        <v>Lasalle Stompers</v>
      </c>
      <c r="F477" s="87" t="str">
        <f t="shared" ca="1" si="0"/>
        <v>2023</v>
      </c>
      <c r="G477" s="1" t="str">
        <f ca="1">IFERROR(__xludf.DUMMYFUNCTION("""COMPUTED_VALUE"""),"Lasalle Stompers")</f>
        <v>Lasalle Stompers</v>
      </c>
      <c r="H477" s="26">
        <f t="shared" ca="1" si="1"/>
        <v>35</v>
      </c>
      <c r="I477" s="26">
        <f t="shared" ca="1" si="2"/>
        <v>1</v>
      </c>
      <c r="J477" s="86">
        <f t="shared" ca="1" si="3"/>
        <v>45114</v>
      </c>
      <c r="R477" s="26"/>
    </row>
    <row r="478" spans="1:18" ht="15.75" customHeight="1">
      <c r="A478" s="26">
        <f ca="1">IFERROR(__xludf.DUMMYFUNCTION("""COMPUTED_VALUE"""),19288)</f>
        <v>19288</v>
      </c>
      <c r="B478" s="86">
        <f ca="1">IFERROR(__xludf.DUMMYFUNCTION("""COMPUTED_VALUE"""),45114.5311226851)</f>
        <v>45114.531122685097</v>
      </c>
      <c r="C478" s="1" t="str">
        <f ca="1">IFERROR(__xludf.DUMMYFUNCTION("""COMPUTED_VALUE"""),"completed")</f>
        <v>completed</v>
      </c>
      <c r="D478" s="26">
        <f ca="1">IFERROR(__xludf.DUMMYFUNCTION("""COMPUTED_VALUE"""),35)</f>
        <v>35</v>
      </c>
      <c r="E478" s="1" t="str">
        <f ca="1">IFERROR(__xludf.DUMMYFUNCTION("""COMPUTED_VALUE"""),"Lasalle Stompers")</f>
        <v>Lasalle Stompers</v>
      </c>
      <c r="F478" s="87" t="str">
        <f t="shared" ca="1" si="0"/>
        <v>2023</v>
      </c>
      <c r="G478" s="1" t="str">
        <f ca="1">IFERROR(__xludf.DUMMYFUNCTION("""COMPUTED_VALUE"""),"Lasalle Stompers")</f>
        <v>Lasalle Stompers</v>
      </c>
      <c r="H478" s="26">
        <f t="shared" ca="1" si="1"/>
        <v>35</v>
      </c>
      <c r="I478" s="26">
        <f t="shared" ca="1" si="2"/>
        <v>1</v>
      </c>
      <c r="J478" s="86">
        <f t="shared" ca="1" si="3"/>
        <v>45114</v>
      </c>
      <c r="R478" s="26"/>
    </row>
    <row r="479" spans="1:18" ht="15.75" customHeight="1">
      <c r="A479" s="26">
        <f ca="1">IFERROR(__xludf.DUMMYFUNCTION("""COMPUTED_VALUE"""),19287)</f>
        <v>19287</v>
      </c>
      <c r="B479" s="86">
        <f ca="1">IFERROR(__xludf.DUMMYFUNCTION("""COMPUTED_VALUE"""),45114.4907638888)</f>
        <v>45114.490763888803</v>
      </c>
      <c r="C479" s="1" t="str">
        <f ca="1">IFERROR(__xludf.DUMMYFUNCTION("""COMPUTED_VALUE"""),"completed")</f>
        <v>completed</v>
      </c>
      <c r="D479" s="26">
        <f ca="1">IFERROR(__xludf.DUMMYFUNCTION("""COMPUTED_VALUE"""),25)</f>
        <v>25</v>
      </c>
      <c r="E479" s="1" t="str">
        <f ca="1">IFERROR(__xludf.DUMMYFUNCTION("""COMPUTED_VALUE"""),"Lasalle Stompers")</f>
        <v>Lasalle Stompers</v>
      </c>
      <c r="F479" s="87" t="str">
        <f t="shared" ca="1" si="0"/>
        <v>2023</v>
      </c>
      <c r="G479" s="1" t="str">
        <f ca="1">IFERROR(__xludf.DUMMYFUNCTION("""COMPUTED_VALUE"""),"Kingsville Soccer Association")</f>
        <v>Kingsville Soccer Association</v>
      </c>
      <c r="H479" s="26">
        <f t="shared" ca="1" si="1"/>
        <v>25</v>
      </c>
      <c r="I479" s="26">
        <f t="shared" ca="1" si="2"/>
        <v>1</v>
      </c>
      <c r="J479" s="86">
        <f t="shared" ca="1" si="3"/>
        <v>45114</v>
      </c>
      <c r="R479" s="26"/>
    </row>
    <row r="480" spans="1:18" ht="15.75" customHeight="1">
      <c r="A480" s="26">
        <f ca="1">IFERROR(__xludf.DUMMYFUNCTION("""COMPUTED_VALUE"""),19286)</f>
        <v>19286</v>
      </c>
      <c r="B480" s="86">
        <f ca="1">IFERROR(__xludf.DUMMYFUNCTION("""COMPUTED_VALUE"""),45114.106875)</f>
        <v>45114.106874999998</v>
      </c>
      <c r="C480" s="1" t="str">
        <f ca="1">IFERROR(__xludf.DUMMYFUNCTION("""COMPUTED_VALUE"""),"completed")</f>
        <v>completed</v>
      </c>
      <c r="D480" s="26">
        <f ca="1">IFERROR(__xludf.DUMMYFUNCTION("""COMPUTED_VALUE"""),96)</f>
        <v>96</v>
      </c>
      <c r="E480" s="1" t="str">
        <f ca="1">IFERROR(__xludf.DUMMYFUNCTION("""COMPUTED_VALUE"""),"Kingsville Soccer Association")</f>
        <v>Kingsville Soccer Association</v>
      </c>
      <c r="F480" s="87" t="str">
        <f t="shared" ca="1" si="0"/>
        <v>2023</v>
      </c>
      <c r="G480" s="1" t="str">
        <f ca="1">IFERROR(__xludf.DUMMYFUNCTION("""COMPUTED_VALUE"""),"Lasalle Stompers")</f>
        <v>Lasalle Stompers</v>
      </c>
      <c r="H480" s="26">
        <f t="shared" ca="1" si="1"/>
        <v>96</v>
      </c>
      <c r="I480" s="26">
        <f t="shared" ca="1" si="2"/>
        <v>1</v>
      </c>
      <c r="J480" s="86">
        <f t="shared" ca="1" si="3"/>
        <v>45114</v>
      </c>
      <c r="R480" s="26"/>
    </row>
    <row r="481" spans="1:18" ht="15.75" customHeight="1">
      <c r="A481" s="26">
        <f ca="1">IFERROR(__xludf.DUMMYFUNCTION("""COMPUTED_VALUE"""),19282)</f>
        <v>19282</v>
      </c>
      <c r="B481" s="86">
        <f ca="1">IFERROR(__xludf.DUMMYFUNCTION("""COMPUTED_VALUE"""),45113.8042592592)</f>
        <v>45113.804259259203</v>
      </c>
      <c r="C481" s="1" t="str">
        <f ca="1">IFERROR(__xludf.DUMMYFUNCTION("""COMPUTED_VALUE"""),"completed")</f>
        <v>completed</v>
      </c>
      <c r="D481" s="26">
        <f ca="1">IFERROR(__xludf.DUMMYFUNCTION("""COMPUTED_VALUE"""),45)</f>
        <v>45</v>
      </c>
      <c r="E481" s="1" t="str">
        <f ca="1">IFERROR(__xludf.DUMMYFUNCTION("""COMPUTED_VALUE"""),"Lasalle Stompers")</f>
        <v>Lasalle Stompers</v>
      </c>
      <c r="F481" s="87" t="str">
        <f t="shared" ca="1" si="0"/>
        <v>2023</v>
      </c>
      <c r="G481" s="1" t="str">
        <f ca="1">IFERROR(__xludf.DUMMYFUNCTION("""COMPUTED_VALUE"""),"Lasalle Stompers")</f>
        <v>Lasalle Stompers</v>
      </c>
      <c r="H481" s="26">
        <f t="shared" ca="1" si="1"/>
        <v>45</v>
      </c>
      <c r="I481" s="26">
        <f t="shared" ca="1" si="2"/>
        <v>1</v>
      </c>
      <c r="J481" s="86">
        <f t="shared" ca="1" si="3"/>
        <v>45113</v>
      </c>
      <c r="R481" s="26"/>
    </row>
    <row r="482" spans="1:18" ht="15.75" customHeight="1">
      <c r="A482" s="26">
        <f ca="1">IFERROR(__xludf.DUMMYFUNCTION("""COMPUTED_VALUE"""),19281)</f>
        <v>19281</v>
      </c>
      <c r="B482" s="86">
        <f ca="1">IFERROR(__xludf.DUMMYFUNCTION("""COMPUTED_VALUE"""),45113.8010185185)</f>
        <v>45113.801018518498</v>
      </c>
      <c r="C482" s="1" t="str">
        <f ca="1">IFERROR(__xludf.DUMMYFUNCTION("""COMPUTED_VALUE"""),"completed")</f>
        <v>completed</v>
      </c>
      <c r="D482" s="26">
        <f ca="1">IFERROR(__xludf.DUMMYFUNCTION("""COMPUTED_VALUE"""),45)</f>
        <v>45</v>
      </c>
      <c r="E482" s="1" t="str">
        <f ca="1">IFERROR(__xludf.DUMMYFUNCTION("""COMPUTED_VALUE"""),"Lasalle Stompers")</f>
        <v>Lasalle Stompers</v>
      </c>
      <c r="F482" s="87" t="str">
        <f t="shared" ca="1" si="0"/>
        <v>2023</v>
      </c>
      <c r="G482" s="1" t="str">
        <f ca="1">IFERROR(__xludf.DUMMYFUNCTION("""COMPUTED_VALUE"""),"Lasalle Stompers")</f>
        <v>Lasalle Stompers</v>
      </c>
      <c r="H482" s="26">
        <f t="shared" ca="1" si="1"/>
        <v>45</v>
      </c>
      <c r="I482" s="26">
        <f t="shared" ca="1" si="2"/>
        <v>1</v>
      </c>
      <c r="J482" s="86">
        <f t="shared" ca="1" si="3"/>
        <v>45113</v>
      </c>
      <c r="R482" s="26"/>
    </row>
    <row r="483" spans="1:18" ht="15.75" customHeight="1">
      <c r="A483" s="26">
        <f ca="1">IFERROR(__xludf.DUMMYFUNCTION("""COMPUTED_VALUE"""),19278)</f>
        <v>19278</v>
      </c>
      <c r="B483" s="86">
        <f ca="1">IFERROR(__xludf.DUMMYFUNCTION("""COMPUTED_VALUE"""),45113.5198148148)</f>
        <v>45113.519814814797</v>
      </c>
      <c r="C483" s="1" t="str">
        <f ca="1">IFERROR(__xludf.DUMMYFUNCTION("""COMPUTED_VALUE"""),"completed")</f>
        <v>completed</v>
      </c>
      <c r="D483" s="26">
        <f ca="1">IFERROR(__xludf.DUMMYFUNCTION("""COMPUTED_VALUE"""),25)</f>
        <v>25</v>
      </c>
      <c r="E483" s="1" t="str">
        <f ca="1">IFERROR(__xludf.DUMMYFUNCTION("""COMPUTED_VALUE"""),"Lasalle Stompers")</f>
        <v>Lasalle Stompers</v>
      </c>
      <c r="F483" s="87" t="str">
        <f t="shared" ca="1" si="0"/>
        <v>2023</v>
      </c>
      <c r="G483" s="1" t="str">
        <f ca="1">IFERROR(__xludf.DUMMYFUNCTION("""COMPUTED_VALUE"""),"Lasalle Stompers")</f>
        <v>Lasalle Stompers</v>
      </c>
      <c r="H483" s="26">
        <f t="shared" ca="1" si="1"/>
        <v>25</v>
      </c>
      <c r="I483" s="26">
        <f t="shared" ca="1" si="2"/>
        <v>1</v>
      </c>
      <c r="J483" s="86">
        <f t="shared" ca="1" si="3"/>
        <v>45113</v>
      </c>
      <c r="R483" s="26"/>
    </row>
    <row r="484" spans="1:18" ht="15.75" customHeight="1">
      <c r="A484" s="26">
        <f ca="1">IFERROR(__xludf.DUMMYFUNCTION("""COMPUTED_VALUE"""),19277)</f>
        <v>19277</v>
      </c>
      <c r="B484" s="86">
        <f ca="1">IFERROR(__xludf.DUMMYFUNCTION("""COMPUTED_VALUE"""),45113.0202546296)</f>
        <v>45113.020254629599</v>
      </c>
      <c r="C484" s="1" t="str">
        <f ca="1">IFERROR(__xludf.DUMMYFUNCTION("""COMPUTED_VALUE"""),"completed")</f>
        <v>completed</v>
      </c>
      <c r="D484" s="26">
        <f ca="1">IFERROR(__xludf.DUMMYFUNCTION("""COMPUTED_VALUE"""),18)</f>
        <v>18</v>
      </c>
      <c r="E484" s="1" t="str">
        <f ca="1">IFERROR(__xludf.DUMMYFUNCTION("""COMPUTED_VALUE"""),"Lasalle Stompers")</f>
        <v>Lasalle Stompers</v>
      </c>
      <c r="F484" s="87" t="str">
        <f t="shared" ca="1" si="0"/>
        <v>2023</v>
      </c>
      <c r="G484" s="1" t="str">
        <f ca="1">IFERROR(__xludf.DUMMYFUNCTION("""COMPUTED_VALUE"""),"Lasalle Stompers")</f>
        <v>Lasalle Stompers</v>
      </c>
      <c r="H484" s="26">
        <f t="shared" ca="1" si="1"/>
        <v>18</v>
      </c>
      <c r="I484" s="26">
        <f t="shared" ca="1" si="2"/>
        <v>1</v>
      </c>
      <c r="J484" s="86">
        <f t="shared" ca="1" si="3"/>
        <v>45113</v>
      </c>
      <c r="R484" s="26"/>
    </row>
    <row r="485" spans="1:18" ht="15.75" customHeight="1">
      <c r="A485" s="26">
        <f ca="1">IFERROR(__xludf.DUMMYFUNCTION("""COMPUTED_VALUE"""),19276)</f>
        <v>19276</v>
      </c>
      <c r="B485" s="86">
        <f ca="1">IFERROR(__xludf.DUMMYFUNCTION("""COMPUTED_VALUE"""),45113.0149305555)</f>
        <v>45113.014930555502</v>
      </c>
      <c r="C485" s="1" t="str">
        <f ca="1">IFERROR(__xludf.DUMMYFUNCTION("""COMPUTED_VALUE"""),"completed")</f>
        <v>completed</v>
      </c>
      <c r="D485" s="26">
        <f ca="1">IFERROR(__xludf.DUMMYFUNCTION("""COMPUTED_VALUE"""),25)</f>
        <v>25</v>
      </c>
      <c r="E485" s="1" t="str">
        <f ca="1">IFERROR(__xludf.DUMMYFUNCTION("""COMPUTED_VALUE"""),"Lasalle Stompers")</f>
        <v>Lasalle Stompers</v>
      </c>
      <c r="F485" s="87" t="str">
        <f t="shared" ca="1" si="0"/>
        <v>2023</v>
      </c>
      <c r="G485" s="1" t="str">
        <f ca="1">IFERROR(__xludf.DUMMYFUNCTION("""COMPUTED_VALUE"""),"Trophy Boys")</f>
        <v>Trophy Boys</v>
      </c>
      <c r="H485" s="26">
        <f t="shared" ca="1" si="1"/>
        <v>25</v>
      </c>
      <c r="I485" s="26">
        <f t="shared" ca="1" si="2"/>
        <v>1</v>
      </c>
      <c r="J485" s="86">
        <f t="shared" ca="1" si="3"/>
        <v>45113</v>
      </c>
      <c r="R485" s="26"/>
    </row>
    <row r="486" spans="1:18" ht="15.75" customHeight="1">
      <c r="A486" s="26">
        <f ca="1">IFERROR(__xludf.DUMMYFUNCTION("""COMPUTED_VALUE"""),19275)</f>
        <v>19275</v>
      </c>
      <c r="B486" s="86">
        <f ca="1">IFERROR(__xludf.DUMMYFUNCTION("""COMPUTED_VALUE"""),45112.9443287037)</f>
        <v>45112.944328703699</v>
      </c>
      <c r="C486" s="1" t="str">
        <f ca="1">IFERROR(__xludf.DUMMYFUNCTION("""COMPUTED_VALUE"""),"completed")</f>
        <v>completed</v>
      </c>
      <c r="D486" s="26">
        <f ca="1">IFERROR(__xludf.DUMMYFUNCTION("""COMPUTED_VALUE"""),25)</f>
        <v>25</v>
      </c>
      <c r="E486" s="1" t="str">
        <f ca="1">IFERROR(__xludf.DUMMYFUNCTION("""COMPUTED_VALUE"""),"Trophy Boys")</f>
        <v>Trophy Boys</v>
      </c>
      <c r="F486" s="87" t="str">
        <f t="shared" ca="1" si="0"/>
        <v>2023</v>
      </c>
      <c r="G486" s="1" t="str">
        <f ca="1">IFERROR(__xludf.DUMMYFUNCTION("""COMPUTED_VALUE"""),"Lasalle Stompers")</f>
        <v>Lasalle Stompers</v>
      </c>
      <c r="H486" s="26">
        <f t="shared" ca="1" si="1"/>
        <v>25</v>
      </c>
      <c r="I486" s="26">
        <f t="shared" ca="1" si="2"/>
        <v>1</v>
      </c>
      <c r="J486" s="86">
        <f t="shared" ca="1" si="3"/>
        <v>45112</v>
      </c>
      <c r="R486" s="26"/>
    </row>
    <row r="487" spans="1:18" ht="15.75" customHeight="1">
      <c r="A487" s="26">
        <f ca="1">IFERROR(__xludf.DUMMYFUNCTION("""COMPUTED_VALUE"""),19274)</f>
        <v>19274</v>
      </c>
      <c r="B487" s="86">
        <f ca="1">IFERROR(__xludf.DUMMYFUNCTION("""COMPUTED_VALUE"""),45112.8813541666)</f>
        <v>45112.881354166602</v>
      </c>
      <c r="C487" s="1" t="str">
        <f ca="1">IFERROR(__xludf.DUMMYFUNCTION("""COMPUTED_VALUE"""),"completed")</f>
        <v>completed</v>
      </c>
      <c r="D487" s="26">
        <f ca="1">IFERROR(__xludf.DUMMYFUNCTION("""COMPUTED_VALUE"""),25)</f>
        <v>25</v>
      </c>
      <c r="E487" s="1" t="str">
        <f ca="1">IFERROR(__xludf.DUMMYFUNCTION("""COMPUTED_VALUE"""),"Lasalle Stompers")</f>
        <v>Lasalle Stompers</v>
      </c>
      <c r="F487" s="87" t="str">
        <f t="shared" ca="1" si="0"/>
        <v>2023</v>
      </c>
      <c r="G487" s="1" t="str">
        <f ca="1">IFERROR(__xludf.DUMMYFUNCTION("""COMPUTED_VALUE"""),"Lasalle Stompers")</f>
        <v>Lasalle Stompers</v>
      </c>
      <c r="H487" s="26">
        <f t="shared" ca="1" si="1"/>
        <v>25</v>
      </c>
      <c r="I487" s="26">
        <f t="shared" ca="1" si="2"/>
        <v>1</v>
      </c>
      <c r="J487" s="86">
        <f t="shared" ca="1" si="3"/>
        <v>45112</v>
      </c>
      <c r="R487" s="26"/>
    </row>
    <row r="488" spans="1:18" ht="15.75" customHeight="1">
      <c r="A488" s="26">
        <f ca="1">IFERROR(__xludf.DUMMYFUNCTION("""COMPUTED_VALUE"""),19267)</f>
        <v>19267</v>
      </c>
      <c r="B488" s="86">
        <f ca="1">IFERROR(__xludf.DUMMYFUNCTION("""COMPUTED_VALUE"""),45112.8107175926)</f>
        <v>45112.810717592598</v>
      </c>
      <c r="C488" s="1" t="str">
        <f ca="1">IFERROR(__xludf.DUMMYFUNCTION("""COMPUTED_VALUE"""),"completed")</f>
        <v>completed</v>
      </c>
      <c r="D488" s="26">
        <f ca="1">IFERROR(__xludf.DUMMYFUNCTION("""COMPUTED_VALUE"""),28)</f>
        <v>28</v>
      </c>
      <c r="E488" s="1" t="str">
        <f ca="1">IFERROR(__xludf.DUMMYFUNCTION("""COMPUTED_VALUE"""),"Lasalle Stompers")</f>
        <v>Lasalle Stompers</v>
      </c>
      <c r="F488" s="87" t="str">
        <f t="shared" ca="1" si="0"/>
        <v>2023</v>
      </c>
      <c r="G488" s="1" t="str">
        <f ca="1">IFERROR(__xludf.DUMMYFUNCTION("""COMPUTED_VALUE"""),"Lasalle Stompers")</f>
        <v>Lasalle Stompers</v>
      </c>
      <c r="H488" s="26">
        <f t="shared" ca="1" si="1"/>
        <v>28</v>
      </c>
      <c r="I488" s="26">
        <f t="shared" ca="1" si="2"/>
        <v>1</v>
      </c>
      <c r="J488" s="86">
        <f t="shared" ca="1" si="3"/>
        <v>45112</v>
      </c>
      <c r="R488" s="26"/>
    </row>
    <row r="489" spans="1:18" ht="15.75" customHeight="1">
      <c r="A489" s="26">
        <f ca="1">IFERROR(__xludf.DUMMYFUNCTION("""COMPUTED_VALUE"""),19266)</f>
        <v>19266</v>
      </c>
      <c r="B489" s="86">
        <f ca="1">IFERROR(__xludf.DUMMYFUNCTION("""COMPUTED_VALUE"""),45112.8094444444)</f>
        <v>45112.8094444444</v>
      </c>
      <c r="C489" s="1" t="str">
        <f ca="1">IFERROR(__xludf.DUMMYFUNCTION("""COMPUTED_VALUE"""),"completed")</f>
        <v>completed</v>
      </c>
      <c r="D489" s="26">
        <f ca="1">IFERROR(__xludf.DUMMYFUNCTION("""COMPUTED_VALUE"""),28)</f>
        <v>28</v>
      </c>
      <c r="E489" s="1" t="str">
        <f ca="1">IFERROR(__xludf.DUMMYFUNCTION("""COMPUTED_VALUE"""),"Lasalle Stompers")</f>
        <v>Lasalle Stompers</v>
      </c>
      <c r="F489" s="87" t="str">
        <f t="shared" ca="1" si="0"/>
        <v>2023</v>
      </c>
      <c r="G489" s="1" t="str">
        <f ca="1">IFERROR(__xludf.DUMMYFUNCTION("""COMPUTED_VALUE"""),"Lasalle Stompers")</f>
        <v>Lasalle Stompers</v>
      </c>
      <c r="H489" s="26">
        <f t="shared" ca="1" si="1"/>
        <v>28</v>
      </c>
      <c r="I489" s="26">
        <f t="shared" ca="1" si="2"/>
        <v>1</v>
      </c>
      <c r="J489" s="86">
        <f t="shared" ca="1" si="3"/>
        <v>45112</v>
      </c>
      <c r="R489" s="26"/>
    </row>
    <row r="490" spans="1:18" ht="15.75" customHeight="1">
      <c r="A490" s="26">
        <f ca="1">IFERROR(__xludf.DUMMYFUNCTION("""COMPUTED_VALUE"""),19265)</f>
        <v>19265</v>
      </c>
      <c r="B490" s="86">
        <f ca="1">IFERROR(__xludf.DUMMYFUNCTION("""COMPUTED_VALUE"""),45112.682974537)</f>
        <v>45112.682974536998</v>
      </c>
      <c r="C490" s="1" t="str">
        <f ca="1">IFERROR(__xludf.DUMMYFUNCTION("""COMPUTED_VALUE"""),"completed")</f>
        <v>completed</v>
      </c>
      <c r="D490" s="26">
        <f ca="1">IFERROR(__xludf.DUMMYFUNCTION("""COMPUTED_VALUE"""),43)</f>
        <v>43</v>
      </c>
      <c r="E490" s="1" t="str">
        <f ca="1">IFERROR(__xludf.DUMMYFUNCTION("""COMPUTED_VALUE"""),"Lasalle Stompers")</f>
        <v>Lasalle Stompers</v>
      </c>
      <c r="F490" s="87" t="str">
        <f t="shared" ca="1" si="0"/>
        <v>2023</v>
      </c>
      <c r="G490" s="1" t="str">
        <f ca="1">IFERROR(__xludf.DUMMYFUNCTION("""COMPUTED_VALUE"""),"Lasalle Stompers")</f>
        <v>Lasalle Stompers</v>
      </c>
      <c r="H490" s="26">
        <f t="shared" ca="1" si="1"/>
        <v>43</v>
      </c>
      <c r="I490" s="26">
        <f t="shared" ca="1" si="2"/>
        <v>1</v>
      </c>
      <c r="J490" s="86">
        <f t="shared" ca="1" si="3"/>
        <v>45112</v>
      </c>
      <c r="R490" s="26"/>
    </row>
    <row r="491" spans="1:18" ht="15.75" customHeight="1">
      <c r="A491" s="26">
        <f ca="1">IFERROR(__xludf.DUMMYFUNCTION("""COMPUTED_VALUE"""),19264)</f>
        <v>19264</v>
      </c>
      <c r="B491" s="86">
        <f ca="1">IFERROR(__xludf.DUMMYFUNCTION("""COMPUTED_VALUE"""),45112.6772569444)</f>
        <v>45112.6772569444</v>
      </c>
      <c r="C491" s="1" t="str">
        <f ca="1">IFERROR(__xludf.DUMMYFUNCTION("""COMPUTED_VALUE"""),"completed")</f>
        <v>completed</v>
      </c>
      <c r="D491" s="26">
        <f ca="1">IFERROR(__xludf.DUMMYFUNCTION("""COMPUTED_VALUE"""),18)</f>
        <v>18</v>
      </c>
      <c r="E491" s="1" t="str">
        <f ca="1">IFERROR(__xludf.DUMMYFUNCTION("""COMPUTED_VALUE"""),"Lasalle Stompers")</f>
        <v>Lasalle Stompers</v>
      </c>
      <c r="F491" s="87" t="str">
        <f t="shared" ca="1" si="0"/>
        <v>2023</v>
      </c>
      <c r="G491" s="1" t="str">
        <f ca="1">IFERROR(__xludf.DUMMYFUNCTION("""COMPUTED_VALUE"""),"Lasalle Stompers")</f>
        <v>Lasalle Stompers</v>
      </c>
      <c r="H491" s="26">
        <f t="shared" ca="1" si="1"/>
        <v>18</v>
      </c>
      <c r="I491" s="26">
        <f t="shared" ca="1" si="2"/>
        <v>1</v>
      </c>
      <c r="J491" s="86">
        <f t="shared" ca="1" si="3"/>
        <v>45112</v>
      </c>
      <c r="R491" s="26"/>
    </row>
    <row r="492" spans="1:18" ht="15.75" customHeight="1">
      <c r="A492" s="26">
        <f ca="1">IFERROR(__xludf.DUMMYFUNCTION("""COMPUTED_VALUE"""),19263)</f>
        <v>19263</v>
      </c>
      <c r="B492" s="86">
        <f ca="1">IFERROR(__xludf.DUMMYFUNCTION("""COMPUTED_VALUE"""),45112.6751041666)</f>
        <v>45112.675104166599</v>
      </c>
      <c r="C492" s="1" t="str">
        <f ca="1">IFERROR(__xludf.DUMMYFUNCTION("""COMPUTED_VALUE"""),"completed")</f>
        <v>completed</v>
      </c>
      <c r="D492" s="26">
        <f ca="1">IFERROR(__xludf.DUMMYFUNCTION("""COMPUTED_VALUE"""),18)</f>
        <v>18</v>
      </c>
      <c r="E492" s="1" t="str">
        <f ca="1">IFERROR(__xludf.DUMMYFUNCTION("""COMPUTED_VALUE"""),"Lasalle Stompers")</f>
        <v>Lasalle Stompers</v>
      </c>
      <c r="F492" s="87" t="str">
        <f t="shared" ca="1" si="0"/>
        <v>2023</v>
      </c>
      <c r="G492" s="1" t="str">
        <f ca="1">IFERROR(__xludf.DUMMYFUNCTION("""COMPUTED_VALUE"""),"Lasalle Stompers")</f>
        <v>Lasalle Stompers</v>
      </c>
      <c r="H492" s="26">
        <f t="shared" ca="1" si="1"/>
        <v>18</v>
      </c>
      <c r="I492" s="26">
        <f t="shared" ca="1" si="2"/>
        <v>1</v>
      </c>
      <c r="J492" s="86">
        <f t="shared" ca="1" si="3"/>
        <v>45112</v>
      </c>
      <c r="R492" s="26"/>
    </row>
    <row r="493" spans="1:18" ht="15.75" customHeight="1">
      <c r="A493" s="26">
        <f ca="1">IFERROR(__xludf.DUMMYFUNCTION("""COMPUTED_VALUE"""),19261)</f>
        <v>19261</v>
      </c>
      <c r="B493" s="86">
        <f ca="1">IFERROR(__xludf.DUMMYFUNCTION("""COMPUTED_VALUE"""),45111.9888773148)</f>
        <v>45111.988877314798</v>
      </c>
      <c r="C493" s="1" t="str">
        <f ca="1">IFERROR(__xludf.DUMMYFUNCTION("""COMPUTED_VALUE"""),"completed")</f>
        <v>completed</v>
      </c>
      <c r="D493" s="26">
        <f ca="1">IFERROR(__xludf.DUMMYFUNCTION("""COMPUTED_VALUE"""),15)</f>
        <v>15</v>
      </c>
      <c r="E493" s="1" t="str">
        <f ca="1">IFERROR(__xludf.DUMMYFUNCTION("""COMPUTED_VALUE"""),"Lasalle Stompers")</f>
        <v>Lasalle Stompers</v>
      </c>
      <c r="F493" s="87" t="str">
        <f t="shared" ca="1" si="0"/>
        <v>2023</v>
      </c>
      <c r="G493" s="1" t="str">
        <f ca="1">IFERROR(__xludf.DUMMYFUNCTION("""COMPUTED_VALUE"""),"Lasalle Stompers")</f>
        <v>Lasalle Stompers</v>
      </c>
      <c r="H493" s="26">
        <f t="shared" ca="1" si="1"/>
        <v>15</v>
      </c>
      <c r="I493" s="26">
        <f t="shared" ca="1" si="2"/>
        <v>1</v>
      </c>
      <c r="J493" s="86">
        <f t="shared" ca="1" si="3"/>
        <v>45111</v>
      </c>
      <c r="R493" s="26"/>
    </row>
    <row r="494" spans="1:18" ht="15.75" customHeight="1">
      <c r="A494" s="26">
        <f ca="1">IFERROR(__xludf.DUMMYFUNCTION("""COMPUTED_VALUE"""),19260)</f>
        <v>19260</v>
      </c>
      <c r="B494" s="86">
        <f ca="1">IFERROR(__xludf.DUMMYFUNCTION("""COMPUTED_VALUE"""),45110.9144212963)</f>
        <v>45110.9144212963</v>
      </c>
      <c r="C494" s="1" t="str">
        <f ca="1">IFERROR(__xludf.DUMMYFUNCTION("""COMPUTED_VALUE"""),"completed")</f>
        <v>completed</v>
      </c>
      <c r="D494" s="26">
        <f ca="1">IFERROR(__xludf.DUMMYFUNCTION("""COMPUTED_VALUE"""),28)</f>
        <v>28</v>
      </c>
      <c r="E494" s="1" t="str">
        <f ca="1">IFERROR(__xludf.DUMMYFUNCTION("""COMPUTED_VALUE"""),"Lasalle Stompers")</f>
        <v>Lasalle Stompers</v>
      </c>
      <c r="F494" s="87" t="str">
        <f t="shared" ca="1" si="0"/>
        <v>2023</v>
      </c>
      <c r="G494" s="1" t="str">
        <f ca="1">IFERROR(__xludf.DUMMYFUNCTION("""COMPUTED_VALUE"""),"Lasalle Stompers")</f>
        <v>Lasalle Stompers</v>
      </c>
      <c r="H494" s="26">
        <f t="shared" ca="1" si="1"/>
        <v>28</v>
      </c>
      <c r="I494" s="26">
        <f t="shared" ca="1" si="2"/>
        <v>1</v>
      </c>
      <c r="J494" s="86">
        <f t="shared" ca="1" si="3"/>
        <v>45110</v>
      </c>
      <c r="R494" s="26"/>
    </row>
    <row r="495" spans="1:18" ht="15.75" customHeight="1">
      <c r="A495" s="26">
        <f ca="1">IFERROR(__xludf.DUMMYFUNCTION("""COMPUTED_VALUE"""),19259)</f>
        <v>19259</v>
      </c>
      <c r="B495" s="86">
        <f ca="1">IFERROR(__xludf.DUMMYFUNCTION("""COMPUTED_VALUE"""),45110.9128703703)</f>
        <v>45110.912870370303</v>
      </c>
      <c r="C495" s="1" t="str">
        <f ca="1">IFERROR(__xludf.DUMMYFUNCTION("""COMPUTED_VALUE"""),"completed")</f>
        <v>completed</v>
      </c>
      <c r="D495" s="26">
        <f ca="1">IFERROR(__xludf.DUMMYFUNCTION("""COMPUTED_VALUE"""),28)</f>
        <v>28</v>
      </c>
      <c r="E495" s="1" t="str">
        <f ca="1">IFERROR(__xludf.DUMMYFUNCTION("""COMPUTED_VALUE"""),"Lasalle Stompers")</f>
        <v>Lasalle Stompers</v>
      </c>
      <c r="F495" s="87" t="str">
        <f t="shared" ca="1" si="0"/>
        <v>2023</v>
      </c>
      <c r="G495" s="1" t="str">
        <f ca="1">IFERROR(__xludf.DUMMYFUNCTION("""COMPUTED_VALUE"""),"Lasalle Stompers")</f>
        <v>Lasalle Stompers</v>
      </c>
      <c r="H495" s="26">
        <f t="shared" ca="1" si="1"/>
        <v>28</v>
      </c>
      <c r="I495" s="26">
        <f t="shared" ca="1" si="2"/>
        <v>1</v>
      </c>
      <c r="J495" s="86">
        <f t="shared" ca="1" si="3"/>
        <v>45110</v>
      </c>
      <c r="R495" s="26"/>
    </row>
    <row r="496" spans="1:18" ht="15.75" customHeight="1">
      <c r="A496" s="26">
        <f ca="1">IFERROR(__xludf.DUMMYFUNCTION("""COMPUTED_VALUE"""),19258)</f>
        <v>19258</v>
      </c>
      <c r="B496" s="86">
        <f ca="1">IFERROR(__xludf.DUMMYFUNCTION("""COMPUTED_VALUE"""),45110.8465393518)</f>
        <v>45110.846539351798</v>
      </c>
      <c r="C496" s="1" t="str">
        <f ca="1">IFERROR(__xludf.DUMMYFUNCTION("""COMPUTED_VALUE"""),"completed")</f>
        <v>completed</v>
      </c>
      <c r="D496" s="26">
        <f ca="1">IFERROR(__xludf.DUMMYFUNCTION("""COMPUTED_VALUE"""),51)</f>
        <v>51</v>
      </c>
      <c r="E496" s="1" t="str">
        <f ca="1">IFERROR(__xludf.DUMMYFUNCTION("""COMPUTED_VALUE"""),"Lasalle Stompers")</f>
        <v>Lasalle Stompers</v>
      </c>
      <c r="F496" s="87" t="str">
        <f t="shared" ca="1" si="0"/>
        <v>2023</v>
      </c>
      <c r="G496" s="1" t="str">
        <f ca="1">IFERROR(__xludf.DUMMYFUNCTION("""COMPUTED_VALUE"""),"Lasalle Stompers")</f>
        <v>Lasalle Stompers</v>
      </c>
      <c r="H496" s="26">
        <f t="shared" ca="1" si="1"/>
        <v>51</v>
      </c>
      <c r="I496" s="26">
        <f t="shared" ca="1" si="2"/>
        <v>1</v>
      </c>
      <c r="J496" s="86">
        <f t="shared" ca="1" si="3"/>
        <v>45110</v>
      </c>
      <c r="R496" s="26"/>
    </row>
    <row r="497" spans="1:18" ht="15.75" customHeight="1">
      <c r="A497" s="26">
        <f ca="1">IFERROR(__xludf.DUMMYFUNCTION("""COMPUTED_VALUE"""),19257)</f>
        <v>19257</v>
      </c>
      <c r="B497" s="86">
        <f ca="1">IFERROR(__xludf.DUMMYFUNCTION("""COMPUTED_VALUE"""),45110.8007754629)</f>
        <v>45110.8007754629</v>
      </c>
      <c r="C497" s="1" t="str">
        <f ca="1">IFERROR(__xludf.DUMMYFUNCTION("""COMPUTED_VALUE"""),"completed")</f>
        <v>completed</v>
      </c>
      <c r="D497" s="26">
        <f ca="1">IFERROR(__xludf.DUMMYFUNCTION("""COMPUTED_VALUE"""),25)</f>
        <v>25</v>
      </c>
      <c r="E497" s="1" t="str">
        <f ca="1">IFERROR(__xludf.DUMMYFUNCTION("""COMPUTED_VALUE"""),"Lasalle Stompers")</f>
        <v>Lasalle Stompers</v>
      </c>
      <c r="F497" s="87" t="str">
        <f t="shared" ca="1" si="0"/>
        <v>2023</v>
      </c>
      <c r="G497" s="1" t="str">
        <f ca="1">IFERROR(__xludf.DUMMYFUNCTION("""COMPUTED_VALUE"""),"Lasalle Stompers")</f>
        <v>Lasalle Stompers</v>
      </c>
      <c r="H497" s="26">
        <f t="shared" ca="1" si="1"/>
        <v>25</v>
      </c>
      <c r="I497" s="26">
        <f t="shared" ca="1" si="2"/>
        <v>1</v>
      </c>
      <c r="J497" s="86">
        <f t="shared" ca="1" si="3"/>
        <v>45110</v>
      </c>
      <c r="R497" s="26"/>
    </row>
    <row r="498" spans="1:18" ht="15.75" customHeight="1">
      <c r="A498" s="26">
        <f ca="1">IFERROR(__xludf.DUMMYFUNCTION("""COMPUTED_VALUE"""),19256)</f>
        <v>19256</v>
      </c>
      <c r="B498" s="86">
        <f ca="1">IFERROR(__xludf.DUMMYFUNCTION("""COMPUTED_VALUE"""),45110.7368981481)</f>
        <v>45110.736898148098</v>
      </c>
      <c r="C498" s="1" t="str">
        <f ca="1">IFERROR(__xludf.DUMMYFUNCTION("""COMPUTED_VALUE"""),"completed")</f>
        <v>completed</v>
      </c>
      <c r="D498" s="26">
        <f ca="1">IFERROR(__xludf.DUMMYFUNCTION("""COMPUTED_VALUE"""),15)</f>
        <v>15</v>
      </c>
      <c r="E498" s="1" t="str">
        <f ca="1">IFERROR(__xludf.DUMMYFUNCTION("""COMPUTED_VALUE"""),"Lasalle Stompers")</f>
        <v>Lasalle Stompers</v>
      </c>
      <c r="F498" s="87" t="str">
        <f t="shared" ca="1" si="0"/>
        <v>2023</v>
      </c>
      <c r="G498" s="1" t="str">
        <f ca="1">IFERROR(__xludf.DUMMYFUNCTION("""COMPUTED_VALUE"""),"Harrow Baseball")</f>
        <v>Harrow Baseball</v>
      </c>
      <c r="H498" s="26">
        <f t="shared" ca="1" si="1"/>
        <v>15</v>
      </c>
      <c r="I498" s="26">
        <f t="shared" ca="1" si="2"/>
        <v>1</v>
      </c>
      <c r="J498" s="86">
        <f t="shared" ca="1" si="3"/>
        <v>45110</v>
      </c>
      <c r="R498" s="26"/>
    </row>
    <row r="499" spans="1:18" ht="15.75" customHeight="1">
      <c r="A499" s="26">
        <f ca="1">IFERROR(__xludf.DUMMYFUNCTION("""COMPUTED_VALUE"""),19255)</f>
        <v>19255</v>
      </c>
      <c r="B499" s="86">
        <f ca="1">IFERROR(__xludf.DUMMYFUNCTION("""COMPUTED_VALUE"""),45110.600949074)</f>
        <v>45110.600949074003</v>
      </c>
      <c r="C499" s="1" t="str">
        <f ca="1">IFERROR(__xludf.DUMMYFUNCTION("""COMPUTED_VALUE"""),"on-hold")</f>
        <v>on-hold</v>
      </c>
      <c r="D499" s="26">
        <f ca="1">IFERROR(__xludf.DUMMYFUNCTION("""COMPUTED_VALUE"""),0)</f>
        <v>0</v>
      </c>
      <c r="E499" s="1" t="str">
        <f ca="1">IFERROR(__xludf.DUMMYFUNCTION("""COMPUTED_VALUE"""),"Harrow Baseball")</f>
        <v>Harrow Baseball</v>
      </c>
      <c r="F499" s="87" t="str">
        <f t="shared" ca="1" si="0"/>
        <v>2023</v>
      </c>
      <c r="G499" s="1" t="str">
        <f ca="1">IFERROR(__xludf.DUMMYFUNCTION("""COMPUTED_VALUE"""),"Harrow Baseball")</f>
        <v>Harrow Baseball</v>
      </c>
      <c r="H499" s="26">
        <f t="shared" ca="1" si="1"/>
        <v>0</v>
      </c>
      <c r="I499" s="26">
        <f t="shared" ca="1" si="2"/>
        <v>1</v>
      </c>
      <c r="J499" s="86">
        <f t="shared" ca="1" si="3"/>
        <v>45110</v>
      </c>
      <c r="R499" s="26"/>
    </row>
    <row r="500" spans="1:18" ht="15.75" customHeight="1">
      <c r="A500" s="26">
        <f ca="1">IFERROR(__xludf.DUMMYFUNCTION("""COMPUTED_VALUE"""),19254)</f>
        <v>19254</v>
      </c>
      <c r="B500" s="86">
        <f ca="1">IFERROR(__xludf.DUMMYFUNCTION("""COMPUTED_VALUE"""),45110.5991087963)</f>
        <v>45110.599108796298</v>
      </c>
      <c r="C500" s="1" t="str">
        <f ca="1">IFERROR(__xludf.DUMMYFUNCTION("""COMPUTED_VALUE"""),"on-hold")</f>
        <v>on-hold</v>
      </c>
      <c r="D500" s="26">
        <f ca="1">IFERROR(__xludf.DUMMYFUNCTION("""COMPUTED_VALUE"""),0)</f>
        <v>0</v>
      </c>
      <c r="E500" s="1" t="str">
        <f ca="1">IFERROR(__xludf.DUMMYFUNCTION("""COMPUTED_VALUE"""),"Harrow Baseball")</f>
        <v>Harrow Baseball</v>
      </c>
      <c r="F500" s="87" t="str">
        <f t="shared" ca="1" si="0"/>
        <v>2023</v>
      </c>
      <c r="G500" s="1" t="str">
        <f ca="1">IFERROR(__xludf.DUMMYFUNCTION("""COMPUTED_VALUE"""),"KingsVille Travel Baseball")</f>
        <v>KingsVille Travel Baseball</v>
      </c>
      <c r="H500" s="26">
        <f t="shared" ca="1" si="1"/>
        <v>0</v>
      </c>
      <c r="I500" s="26">
        <f t="shared" ca="1" si="2"/>
        <v>1</v>
      </c>
      <c r="J500" s="86">
        <f t="shared" ca="1" si="3"/>
        <v>45110</v>
      </c>
      <c r="R500" s="26"/>
    </row>
    <row r="501" spans="1:18" ht="15.75" customHeight="1">
      <c r="A501" s="26">
        <f ca="1">IFERROR(__xludf.DUMMYFUNCTION("""COMPUTED_VALUE"""),19253)</f>
        <v>19253</v>
      </c>
      <c r="B501" s="86">
        <f ca="1">IFERROR(__xludf.DUMMYFUNCTION("""COMPUTED_VALUE"""),45110.5711226851)</f>
        <v>45110.571122685098</v>
      </c>
      <c r="C501" s="1" t="str">
        <f ca="1">IFERROR(__xludf.DUMMYFUNCTION("""COMPUTED_VALUE"""),"completed")</f>
        <v>completed</v>
      </c>
      <c r="D501" s="26">
        <f ca="1">IFERROR(__xludf.DUMMYFUNCTION("""COMPUTED_VALUE"""),25)</f>
        <v>25</v>
      </c>
      <c r="E501" s="1" t="str">
        <f ca="1">IFERROR(__xludf.DUMMYFUNCTION("""COMPUTED_VALUE"""),"KingsVille Travel Baseball")</f>
        <v>KingsVille Travel Baseball</v>
      </c>
      <c r="F501" s="87" t="str">
        <f t="shared" ca="1" si="0"/>
        <v>2023</v>
      </c>
      <c r="G501" s="1" t="str">
        <f ca="1">IFERROR(__xludf.DUMMYFUNCTION("""COMPUTED_VALUE"""),"KingsVille Minor Baseball")</f>
        <v>KingsVille Minor Baseball</v>
      </c>
      <c r="H501" s="26">
        <f t="shared" ca="1" si="1"/>
        <v>25</v>
      </c>
      <c r="I501" s="26">
        <f t="shared" ca="1" si="2"/>
        <v>1</v>
      </c>
      <c r="J501" s="86">
        <f t="shared" ca="1" si="3"/>
        <v>45110</v>
      </c>
      <c r="R501" s="26"/>
    </row>
    <row r="502" spans="1:18" ht="15.75" customHeight="1">
      <c r="A502" s="26">
        <f ca="1">IFERROR(__xludf.DUMMYFUNCTION("""COMPUTED_VALUE"""),19252)</f>
        <v>19252</v>
      </c>
      <c r="B502" s="86">
        <f ca="1">IFERROR(__xludf.DUMMYFUNCTION("""COMPUTED_VALUE"""),45110.149849537)</f>
        <v>45110.149849537003</v>
      </c>
      <c r="C502" s="1" t="str">
        <f ca="1">IFERROR(__xludf.DUMMYFUNCTION("""COMPUTED_VALUE"""),"completed")</f>
        <v>completed</v>
      </c>
      <c r="D502" s="26">
        <f ca="1">IFERROR(__xludf.DUMMYFUNCTION("""COMPUTED_VALUE"""),18)</f>
        <v>18</v>
      </c>
      <c r="E502" s="1" t="str">
        <f ca="1">IFERROR(__xludf.DUMMYFUNCTION("""COMPUTED_VALUE"""),"KingsVille Minor Baseball")</f>
        <v>KingsVille Minor Baseball</v>
      </c>
      <c r="F502" s="87" t="str">
        <f t="shared" ca="1" si="0"/>
        <v>2023</v>
      </c>
      <c r="G502" s="1" t="str">
        <f ca="1">IFERROR(__xludf.DUMMYFUNCTION("""COMPUTED_VALUE"""),"KMBA")</f>
        <v>KMBA</v>
      </c>
      <c r="H502" s="26">
        <f t="shared" ca="1" si="1"/>
        <v>18</v>
      </c>
      <c r="I502" s="26">
        <f t="shared" ca="1" si="2"/>
        <v>1</v>
      </c>
      <c r="J502" s="86">
        <f t="shared" ca="1" si="3"/>
        <v>45110</v>
      </c>
      <c r="R502" s="26"/>
    </row>
    <row r="503" spans="1:18" ht="15.75" customHeight="1">
      <c r="A503" s="26">
        <f ca="1">IFERROR(__xludf.DUMMYFUNCTION("""COMPUTED_VALUE"""),19251)</f>
        <v>19251</v>
      </c>
      <c r="B503" s="86">
        <f ca="1">IFERROR(__xludf.DUMMYFUNCTION("""COMPUTED_VALUE"""),45110.0968055555)</f>
        <v>45110.096805555499</v>
      </c>
      <c r="C503" s="1" t="str">
        <f ca="1">IFERROR(__xludf.DUMMYFUNCTION("""COMPUTED_VALUE"""),"completed")</f>
        <v>completed</v>
      </c>
      <c r="D503" s="26">
        <f ca="1">IFERROR(__xludf.DUMMYFUNCTION("""COMPUTED_VALUE"""),25)</f>
        <v>25</v>
      </c>
      <c r="E503" s="1" t="str">
        <f ca="1">IFERROR(__xludf.DUMMYFUNCTION("""COMPUTED_VALUE"""),"KMBA")</f>
        <v>KMBA</v>
      </c>
      <c r="F503" s="87" t="str">
        <f t="shared" ca="1" si="0"/>
        <v>2023</v>
      </c>
      <c r="G503" s="1" t="str">
        <f ca="1">IFERROR(__xludf.DUMMYFUNCTION("""COMPUTED_VALUE"""),"Lasalle Stompers")</f>
        <v>Lasalle Stompers</v>
      </c>
      <c r="H503" s="26">
        <f t="shared" ca="1" si="1"/>
        <v>25</v>
      </c>
      <c r="I503" s="26">
        <f t="shared" ca="1" si="2"/>
        <v>1</v>
      </c>
      <c r="J503" s="86">
        <f t="shared" ca="1" si="3"/>
        <v>45110</v>
      </c>
      <c r="R503" s="26"/>
    </row>
    <row r="504" spans="1:18" ht="15.75" customHeight="1">
      <c r="A504" s="26">
        <f ca="1">IFERROR(__xludf.DUMMYFUNCTION("""COMPUTED_VALUE"""),19250)</f>
        <v>19250</v>
      </c>
      <c r="B504" s="86">
        <f ca="1">IFERROR(__xludf.DUMMYFUNCTION("""COMPUTED_VALUE"""),45109.1795486111)</f>
        <v>45109.1795486111</v>
      </c>
      <c r="C504" s="1" t="str">
        <f ca="1">IFERROR(__xludf.DUMMYFUNCTION("""COMPUTED_VALUE"""),"completed")</f>
        <v>completed</v>
      </c>
      <c r="D504" s="26">
        <f ca="1">IFERROR(__xludf.DUMMYFUNCTION("""COMPUTED_VALUE"""),18)</f>
        <v>18</v>
      </c>
      <c r="E504" s="1" t="str">
        <f ca="1">IFERROR(__xludf.DUMMYFUNCTION("""COMPUTED_VALUE"""),"Lasalle Stompers")</f>
        <v>Lasalle Stompers</v>
      </c>
      <c r="F504" s="87" t="str">
        <f t="shared" ca="1" si="0"/>
        <v>2023</v>
      </c>
      <c r="G504" s="1" t="str">
        <f ca="1">IFERROR(__xludf.DUMMYFUNCTION("""COMPUTED_VALUE"""),"Lasalle Stompers")</f>
        <v>Lasalle Stompers</v>
      </c>
      <c r="H504" s="26">
        <f t="shared" ca="1" si="1"/>
        <v>18</v>
      </c>
      <c r="I504" s="26">
        <f t="shared" ca="1" si="2"/>
        <v>1</v>
      </c>
      <c r="J504" s="86">
        <f t="shared" ca="1" si="3"/>
        <v>45109</v>
      </c>
      <c r="R504" s="26"/>
    </row>
    <row r="505" spans="1:18" ht="15.75" customHeight="1">
      <c r="A505" s="26">
        <f ca="1">IFERROR(__xludf.DUMMYFUNCTION("""COMPUTED_VALUE"""),19249)</f>
        <v>19249</v>
      </c>
      <c r="B505" s="86">
        <f ca="1">IFERROR(__xludf.DUMMYFUNCTION("""COMPUTED_VALUE"""),45109.1776504629)</f>
        <v>45109.177650462902</v>
      </c>
      <c r="C505" s="1" t="str">
        <f ca="1">IFERROR(__xludf.DUMMYFUNCTION("""COMPUTED_VALUE"""),"completed")</f>
        <v>completed</v>
      </c>
      <c r="D505" s="26">
        <f ca="1">IFERROR(__xludf.DUMMYFUNCTION("""COMPUTED_VALUE"""),18)</f>
        <v>18</v>
      </c>
      <c r="E505" s="1" t="str">
        <f ca="1">IFERROR(__xludf.DUMMYFUNCTION("""COMPUTED_VALUE"""),"Lasalle Stompers")</f>
        <v>Lasalle Stompers</v>
      </c>
      <c r="F505" s="87" t="str">
        <f t="shared" ca="1" si="0"/>
        <v>2023</v>
      </c>
      <c r="G505" s="1" t="str">
        <f ca="1">IFERROR(__xludf.DUMMYFUNCTION("""COMPUTED_VALUE"""),"Kingsville Soccer Association")</f>
        <v>Kingsville Soccer Association</v>
      </c>
      <c r="H505" s="26">
        <f t="shared" ca="1" si="1"/>
        <v>18</v>
      </c>
      <c r="I505" s="26">
        <f t="shared" ca="1" si="2"/>
        <v>1</v>
      </c>
      <c r="J505" s="86">
        <f t="shared" ca="1" si="3"/>
        <v>45109</v>
      </c>
      <c r="R505" s="26"/>
    </row>
    <row r="506" spans="1:18" ht="15.75" customHeight="1">
      <c r="A506" s="26">
        <f ca="1">IFERROR(__xludf.DUMMYFUNCTION("""COMPUTED_VALUE"""),19248)</f>
        <v>19248</v>
      </c>
      <c r="B506" s="86">
        <f ca="1">IFERROR(__xludf.DUMMYFUNCTION("""COMPUTED_VALUE"""),45109.0732638888)</f>
        <v>45109.0732638888</v>
      </c>
      <c r="C506" s="1" t="str">
        <f ca="1">IFERROR(__xludf.DUMMYFUNCTION("""COMPUTED_VALUE"""),"completed")</f>
        <v>completed</v>
      </c>
      <c r="D506" s="26">
        <f ca="1">IFERROR(__xludf.DUMMYFUNCTION("""COMPUTED_VALUE"""),26)</f>
        <v>26</v>
      </c>
      <c r="E506" s="1" t="str">
        <f ca="1">IFERROR(__xludf.DUMMYFUNCTION("""COMPUTED_VALUE"""),"Kingsville Soccer Association")</f>
        <v>Kingsville Soccer Association</v>
      </c>
      <c r="F506" s="87" t="str">
        <f t="shared" ca="1" si="0"/>
        <v>2023</v>
      </c>
      <c r="G506" s="1" t="str">
        <f ca="1">IFERROR(__xludf.DUMMYFUNCTION("""COMPUTED_VALUE"""),"Tecumseh Rangers Baseball")</f>
        <v>Tecumseh Rangers Baseball</v>
      </c>
      <c r="H506" s="26">
        <f t="shared" ca="1" si="1"/>
        <v>26</v>
      </c>
      <c r="I506" s="26">
        <f t="shared" ca="1" si="2"/>
        <v>1</v>
      </c>
      <c r="J506" s="86">
        <f t="shared" ca="1" si="3"/>
        <v>45109</v>
      </c>
      <c r="R506" s="26"/>
    </row>
    <row r="507" spans="1:18" ht="15.75" customHeight="1">
      <c r="A507" s="26">
        <f ca="1">IFERROR(__xludf.DUMMYFUNCTION("""COMPUTED_VALUE"""),19247)</f>
        <v>19247</v>
      </c>
      <c r="B507" s="86">
        <f ca="1">IFERROR(__xludf.DUMMYFUNCTION("""COMPUTED_VALUE"""),45108.9123958333)</f>
        <v>45108.9123958333</v>
      </c>
      <c r="C507" s="1" t="str">
        <f ca="1">IFERROR(__xludf.DUMMYFUNCTION("""COMPUTED_VALUE"""),"completed")</f>
        <v>completed</v>
      </c>
      <c r="D507" s="26">
        <f ca="1">IFERROR(__xludf.DUMMYFUNCTION("""COMPUTED_VALUE"""),26)</f>
        <v>26</v>
      </c>
      <c r="E507" s="1" t="str">
        <f ca="1">IFERROR(__xludf.DUMMYFUNCTION("""COMPUTED_VALUE"""),"Tecumseh Rangers Baseball")</f>
        <v>Tecumseh Rangers Baseball</v>
      </c>
      <c r="F507" s="87" t="str">
        <f t="shared" ca="1" si="0"/>
        <v>2023</v>
      </c>
      <c r="G507" s="1" t="str">
        <f ca="1">IFERROR(__xludf.DUMMYFUNCTION("""COMPUTED_VALUE"""),"Lasalle Stompers")</f>
        <v>Lasalle Stompers</v>
      </c>
      <c r="H507" s="26">
        <f t="shared" ca="1" si="1"/>
        <v>26</v>
      </c>
      <c r="I507" s="26">
        <f t="shared" ca="1" si="2"/>
        <v>1</v>
      </c>
      <c r="J507" s="86">
        <f t="shared" ca="1" si="3"/>
        <v>45108</v>
      </c>
      <c r="R507" s="26"/>
    </row>
    <row r="508" spans="1:18" ht="15.75" customHeight="1">
      <c r="A508" s="26">
        <f ca="1">IFERROR(__xludf.DUMMYFUNCTION("""COMPUTED_VALUE"""),19246)</f>
        <v>19246</v>
      </c>
      <c r="B508" s="86">
        <f ca="1">IFERROR(__xludf.DUMMYFUNCTION("""COMPUTED_VALUE"""),45108.8331597222)</f>
        <v>45108.833159722199</v>
      </c>
      <c r="C508" s="1" t="str">
        <f ca="1">IFERROR(__xludf.DUMMYFUNCTION("""COMPUTED_VALUE"""),"completed")</f>
        <v>completed</v>
      </c>
      <c r="D508" s="26">
        <f ca="1">IFERROR(__xludf.DUMMYFUNCTION("""COMPUTED_VALUE"""),20)</f>
        <v>20</v>
      </c>
      <c r="E508" s="1" t="str">
        <f ca="1">IFERROR(__xludf.DUMMYFUNCTION("""COMPUTED_VALUE"""),"Lasalle Stompers")</f>
        <v>Lasalle Stompers</v>
      </c>
      <c r="F508" s="87" t="str">
        <f t="shared" ca="1" si="0"/>
        <v>2023</v>
      </c>
      <c r="G508" s="1" t="str">
        <f ca="1">IFERROR(__xludf.DUMMYFUNCTION("""COMPUTED_VALUE"""),"LSSC")</f>
        <v>LSSC</v>
      </c>
      <c r="H508" s="26">
        <f t="shared" ca="1" si="1"/>
        <v>20</v>
      </c>
      <c r="I508" s="26">
        <f t="shared" ca="1" si="2"/>
        <v>1</v>
      </c>
      <c r="J508" s="86">
        <f t="shared" ca="1" si="3"/>
        <v>45108</v>
      </c>
      <c r="R508" s="26"/>
    </row>
    <row r="509" spans="1:18" ht="15.75" customHeight="1">
      <c r="A509" s="26">
        <f ca="1">IFERROR(__xludf.DUMMYFUNCTION("""COMPUTED_VALUE"""),19245)</f>
        <v>19245</v>
      </c>
      <c r="B509" s="86">
        <f ca="1">IFERROR(__xludf.DUMMYFUNCTION("""COMPUTED_VALUE"""),45108.7327777777)</f>
        <v>45108.732777777703</v>
      </c>
      <c r="C509" s="1" t="str">
        <f ca="1">IFERROR(__xludf.DUMMYFUNCTION("""COMPUTED_VALUE"""),"completed")</f>
        <v>completed</v>
      </c>
      <c r="D509" s="26">
        <f ca="1">IFERROR(__xludf.DUMMYFUNCTION("""COMPUTED_VALUE"""),18)</f>
        <v>18</v>
      </c>
      <c r="E509" s="1" t="str">
        <f ca="1">IFERROR(__xludf.DUMMYFUNCTION("""COMPUTED_VALUE"""),"LSSC")</f>
        <v>LSSC</v>
      </c>
      <c r="F509" s="87" t="str">
        <f t="shared" ca="1" si="0"/>
        <v>2023</v>
      </c>
      <c r="G509" s="1" t="str">
        <f ca="1">IFERROR(__xludf.DUMMYFUNCTION("""COMPUTED_VALUE"""),"LSSC")</f>
        <v>LSSC</v>
      </c>
      <c r="H509" s="26">
        <f t="shared" ca="1" si="1"/>
        <v>18</v>
      </c>
      <c r="I509" s="26">
        <f t="shared" ca="1" si="2"/>
        <v>1</v>
      </c>
      <c r="J509" s="86">
        <f t="shared" ca="1" si="3"/>
        <v>45108</v>
      </c>
      <c r="R509" s="26"/>
    </row>
    <row r="510" spans="1:18" ht="15.75" customHeight="1">
      <c r="A510" s="26">
        <f ca="1">IFERROR(__xludf.DUMMYFUNCTION("""COMPUTED_VALUE"""),19243)</f>
        <v>19243</v>
      </c>
      <c r="B510" s="86">
        <f ca="1">IFERROR(__xludf.DUMMYFUNCTION("""COMPUTED_VALUE"""),45108.5554398148)</f>
        <v>45108.555439814802</v>
      </c>
      <c r="C510" s="1" t="str">
        <f ca="1">IFERROR(__xludf.DUMMYFUNCTION("""COMPUTED_VALUE"""),"completed")</f>
        <v>completed</v>
      </c>
      <c r="D510" s="26">
        <f ca="1">IFERROR(__xludf.DUMMYFUNCTION("""COMPUTED_VALUE"""),15)</f>
        <v>15</v>
      </c>
      <c r="E510" s="1" t="str">
        <f ca="1">IFERROR(__xludf.DUMMYFUNCTION("""COMPUTED_VALUE"""),"LSSC")</f>
        <v>LSSC</v>
      </c>
      <c r="F510" s="87" t="str">
        <f t="shared" ca="1" si="0"/>
        <v>2023</v>
      </c>
      <c r="G510" s="1" t="str">
        <f ca="1">IFERROR(__xludf.DUMMYFUNCTION("""COMPUTED_VALUE"""),"LSSC")</f>
        <v>LSSC</v>
      </c>
      <c r="H510" s="26">
        <f t="shared" ca="1" si="1"/>
        <v>15</v>
      </c>
      <c r="I510" s="26">
        <f t="shared" ca="1" si="2"/>
        <v>1</v>
      </c>
      <c r="J510" s="86">
        <f t="shared" ca="1" si="3"/>
        <v>45108</v>
      </c>
      <c r="R510" s="26"/>
    </row>
    <row r="511" spans="1:18" ht="15.75" customHeight="1">
      <c r="A511" s="26">
        <f ca="1">IFERROR(__xludf.DUMMYFUNCTION("""COMPUTED_VALUE"""),19242)</f>
        <v>19242</v>
      </c>
      <c r="B511" s="86">
        <f ca="1">IFERROR(__xludf.DUMMYFUNCTION("""COMPUTED_VALUE"""),45108.1211111111)</f>
        <v>45108.121111111097</v>
      </c>
      <c r="C511" s="1" t="str">
        <f ca="1">IFERROR(__xludf.DUMMYFUNCTION("""COMPUTED_VALUE"""),"draftpics-created")</f>
        <v>draftpics-created</v>
      </c>
      <c r="D511" s="26">
        <f ca="1">IFERROR(__xludf.DUMMYFUNCTION("""COMPUTED_VALUE"""),70)</f>
        <v>70</v>
      </c>
      <c r="E511" s="1" t="str">
        <f ca="1">IFERROR(__xludf.DUMMYFUNCTION("""COMPUTED_VALUE"""),"LSSC")</f>
        <v>LSSC</v>
      </c>
      <c r="F511" s="87" t="str">
        <f t="shared" ca="1" si="0"/>
        <v>2023</v>
      </c>
      <c r="G511" s="1" t="str">
        <f ca="1">IFERROR(__xludf.DUMMYFUNCTION("""COMPUTED_VALUE"""),"WMHA")</f>
        <v>WMHA</v>
      </c>
      <c r="H511" s="26">
        <f t="shared" ca="1" si="1"/>
        <v>70</v>
      </c>
      <c r="I511" s="26">
        <f t="shared" ca="1" si="2"/>
        <v>1</v>
      </c>
      <c r="J511" s="86">
        <f t="shared" ca="1" si="3"/>
        <v>45108</v>
      </c>
      <c r="R511" s="26"/>
    </row>
    <row r="512" spans="1:18" ht="15.75" customHeight="1">
      <c r="A512" s="26">
        <f ca="1">IFERROR(__xludf.DUMMYFUNCTION("""COMPUTED_VALUE"""),19241)</f>
        <v>19241</v>
      </c>
      <c r="B512" s="86">
        <f ca="1">IFERROR(__xludf.DUMMYFUNCTION("""COMPUTED_VALUE"""),45108.1029166666)</f>
        <v>45108.102916666598</v>
      </c>
      <c r="C512" s="1" t="str">
        <f ca="1">IFERROR(__xludf.DUMMYFUNCTION("""COMPUTED_VALUE"""),"completed")</f>
        <v>completed</v>
      </c>
      <c r="D512" s="26">
        <f ca="1">IFERROR(__xludf.DUMMYFUNCTION("""COMPUTED_VALUE"""),40)</f>
        <v>40</v>
      </c>
      <c r="E512" s="1" t="str">
        <f ca="1">IFERROR(__xludf.DUMMYFUNCTION("""COMPUTED_VALUE"""),"WMHA")</f>
        <v>WMHA</v>
      </c>
      <c r="F512" s="87" t="str">
        <f t="shared" ca="1" si="0"/>
        <v>2023</v>
      </c>
      <c r="G512" s="1" t="str">
        <f ca="1">IFERROR(__xludf.DUMMYFUNCTION("""COMPUTED_VALUE"""),"LSSC")</f>
        <v>LSSC</v>
      </c>
      <c r="H512" s="26">
        <f t="shared" ca="1" si="1"/>
        <v>40</v>
      </c>
      <c r="I512" s="26">
        <f t="shared" ca="1" si="2"/>
        <v>1</v>
      </c>
      <c r="J512" s="86">
        <f t="shared" ca="1" si="3"/>
        <v>45108</v>
      </c>
      <c r="R512" s="26"/>
    </row>
    <row r="513" spans="1:18" ht="15.75" customHeight="1">
      <c r="A513" s="26">
        <f ca="1">IFERROR(__xludf.DUMMYFUNCTION("""COMPUTED_VALUE"""),19240)</f>
        <v>19240</v>
      </c>
      <c r="B513" s="86">
        <f ca="1">IFERROR(__xludf.DUMMYFUNCTION("""COMPUTED_VALUE"""),45107.8225925925)</f>
        <v>45107.8225925925</v>
      </c>
      <c r="C513" s="1" t="str">
        <f ca="1">IFERROR(__xludf.DUMMYFUNCTION("""COMPUTED_VALUE"""),"completed")</f>
        <v>completed</v>
      </c>
      <c r="D513" s="26">
        <f ca="1">IFERROR(__xludf.DUMMYFUNCTION("""COMPUTED_VALUE"""),18)</f>
        <v>18</v>
      </c>
      <c r="E513" s="1" t="str">
        <f ca="1">IFERROR(__xludf.DUMMYFUNCTION("""COMPUTED_VALUE"""),"LSSC")</f>
        <v>LSSC</v>
      </c>
      <c r="F513" s="87" t="str">
        <f t="shared" ca="1" si="0"/>
        <v>2023</v>
      </c>
      <c r="G513" s="1" t="str">
        <f ca="1">IFERROR(__xludf.DUMMYFUNCTION("""COMPUTED_VALUE"""),"Lasalle Stompers")</f>
        <v>Lasalle Stompers</v>
      </c>
      <c r="H513" s="26">
        <f t="shared" ca="1" si="1"/>
        <v>18</v>
      </c>
      <c r="I513" s="26">
        <f t="shared" ca="1" si="2"/>
        <v>1</v>
      </c>
      <c r="J513" s="86">
        <f t="shared" ca="1" si="3"/>
        <v>45107</v>
      </c>
      <c r="R513" s="26"/>
    </row>
    <row r="514" spans="1:18" ht="15.75" customHeight="1">
      <c r="A514" s="26">
        <f ca="1">IFERROR(__xludf.DUMMYFUNCTION("""COMPUTED_VALUE"""),19239)</f>
        <v>19239</v>
      </c>
      <c r="B514" s="86">
        <f ca="1">IFERROR(__xludf.DUMMYFUNCTION("""COMPUTED_VALUE"""),45107.7123032407)</f>
        <v>45107.712303240703</v>
      </c>
      <c r="C514" s="1" t="str">
        <f ca="1">IFERROR(__xludf.DUMMYFUNCTION("""COMPUTED_VALUE"""),"completed")</f>
        <v>completed</v>
      </c>
      <c r="D514" s="26">
        <f ca="1">IFERROR(__xludf.DUMMYFUNCTION("""COMPUTED_VALUE"""),25)</f>
        <v>25</v>
      </c>
      <c r="E514" s="1" t="str">
        <f ca="1">IFERROR(__xludf.DUMMYFUNCTION("""COMPUTED_VALUE"""),"Lasalle Stompers")</f>
        <v>Lasalle Stompers</v>
      </c>
      <c r="F514" s="87" t="str">
        <f t="shared" ca="1" si="0"/>
        <v>2023</v>
      </c>
      <c r="G514" s="1" t="str">
        <f ca="1">IFERROR(__xludf.DUMMYFUNCTION("""COMPUTED_VALUE"""),"Lasalle Stompers")</f>
        <v>Lasalle Stompers</v>
      </c>
      <c r="H514" s="26">
        <f t="shared" ca="1" si="1"/>
        <v>25</v>
      </c>
      <c r="I514" s="26">
        <f t="shared" ca="1" si="2"/>
        <v>1</v>
      </c>
      <c r="J514" s="86">
        <f t="shared" ca="1" si="3"/>
        <v>45107</v>
      </c>
      <c r="R514" s="26"/>
    </row>
    <row r="515" spans="1:18" ht="15.75" customHeight="1">
      <c r="A515" s="26">
        <f ca="1">IFERROR(__xludf.DUMMYFUNCTION("""COMPUTED_VALUE"""),19238)</f>
        <v>19238</v>
      </c>
      <c r="B515" s="86">
        <f ca="1">IFERROR(__xludf.DUMMYFUNCTION("""COMPUTED_VALUE"""),45107.7107754629)</f>
        <v>45107.710775462903</v>
      </c>
      <c r="C515" s="1" t="str">
        <f ca="1">IFERROR(__xludf.DUMMYFUNCTION("""COMPUTED_VALUE"""),"completed")</f>
        <v>completed</v>
      </c>
      <c r="D515" s="26">
        <f ca="1">IFERROR(__xludf.DUMMYFUNCTION("""COMPUTED_VALUE"""),25)</f>
        <v>25</v>
      </c>
      <c r="E515" s="1" t="str">
        <f ca="1">IFERROR(__xludf.DUMMYFUNCTION("""COMPUTED_VALUE"""),"Lasalle Stompers")</f>
        <v>Lasalle Stompers</v>
      </c>
      <c r="F515" s="87" t="str">
        <f t="shared" ca="1" si="0"/>
        <v>2023</v>
      </c>
      <c r="G515" s="1" t="str">
        <f ca="1">IFERROR(__xludf.DUMMYFUNCTION("""COMPUTED_VALUE"""),"Lasalle Stompers")</f>
        <v>Lasalle Stompers</v>
      </c>
      <c r="H515" s="26">
        <f t="shared" ca="1" si="1"/>
        <v>25</v>
      </c>
      <c r="I515" s="26">
        <f t="shared" ca="1" si="2"/>
        <v>1</v>
      </c>
      <c r="J515" s="86">
        <f t="shared" ca="1" si="3"/>
        <v>45107</v>
      </c>
      <c r="R515" s="26"/>
    </row>
    <row r="516" spans="1:18" ht="15.75" customHeight="1">
      <c r="A516" s="26">
        <f ca="1">IFERROR(__xludf.DUMMYFUNCTION("""COMPUTED_VALUE"""),19237)</f>
        <v>19237</v>
      </c>
      <c r="B516" s="86">
        <f ca="1">IFERROR(__xludf.DUMMYFUNCTION("""COMPUTED_VALUE"""),45107.6824189814)</f>
        <v>45107.6824189814</v>
      </c>
      <c r="C516" s="1" t="str">
        <f ca="1">IFERROR(__xludf.DUMMYFUNCTION("""COMPUTED_VALUE"""),"completed")</f>
        <v>completed</v>
      </c>
      <c r="D516" s="26">
        <f ca="1">IFERROR(__xludf.DUMMYFUNCTION("""COMPUTED_VALUE"""),30)</f>
        <v>30</v>
      </c>
      <c r="E516" s="1" t="str">
        <f ca="1">IFERROR(__xludf.DUMMYFUNCTION("""COMPUTED_VALUE"""),"Lasalle Stompers")</f>
        <v>Lasalle Stompers</v>
      </c>
      <c r="F516" s="87" t="str">
        <f t="shared" ca="1" si="0"/>
        <v>2023</v>
      </c>
      <c r="G516" s="1" t="str">
        <f ca="1">IFERROR(__xludf.DUMMYFUNCTION("""COMPUTED_VALUE"""),"Lasalle Stompers")</f>
        <v>Lasalle Stompers</v>
      </c>
      <c r="H516" s="26">
        <f t="shared" ca="1" si="1"/>
        <v>30</v>
      </c>
      <c r="I516" s="26">
        <f t="shared" ca="1" si="2"/>
        <v>1</v>
      </c>
      <c r="J516" s="86">
        <f t="shared" ca="1" si="3"/>
        <v>45107</v>
      </c>
      <c r="R516" s="26"/>
    </row>
    <row r="517" spans="1:18" ht="15.75" customHeight="1">
      <c r="A517" s="26">
        <f ca="1">IFERROR(__xludf.DUMMYFUNCTION("""COMPUTED_VALUE"""),19236)</f>
        <v>19236</v>
      </c>
      <c r="B517" s="86">
        <f ca="1">IFERROR(__xludf.DUMMYFUNCTION("""COMPUTED_VALUE"""),45106.8501388888)</f>
        <v>45106.850138888803</v>
      </c>
      <c r="C517" s="1" t="str">
        <f ca="1">IFERROR(__xludf.DUMMYFUNCTION("""COMPUTED_VALUE"""),"completed")</f>
        <v>completed</v>
      </c>
      <c r="D517" s="26">
        <f ca="1">IFERROR(__xludf.DUMMYFUNCTION("""COMPUTED_VALUE"""),26)</f>
        <v>26</v>
      </c>
      <c r="E517" s="1" t="str">
        <f ca="1">IFERROR(__xludf.DUMMYFUNCTION("""COMPUTED_VALUE"""),"Lasalle Stompers")</f>
        <v>Lasalle Stompers</v>
      </c>
      <c r="F517" s="87" t="str">
        <f t="shared" ca="1" si="0"/>
        <v>2023</v>
      </c>
      <c r="G517" s="1" t="str">
        <f ca="1">IFERROR(__xludf.DUMMYFUNCTION("""COMPUTED_VALUE"""),"Lasalle Stompers")</f>
        <v>Lasalle Stompers</v>
      </c>
      <c r="H517" s="26">
        <f t="shared" ca="1" si="1"/>
        <v>26</v>
      </c>
      <c r="I517" s="26">
        <f t="shared" ca="1" si="2"/>
        <v>1</v>
      </c>
      <c r="J517" s="86">
        <f t="shared" ca="1" si="3"/>
        <v>45106</v>
      </c>
      <c r="R517" s="26"/>
    </row>
    <row r="518" spans="1:18" ht="15.75" customHeight="1">
      <c r="A518" s="26">
        <f ca="1">IFERROR(__xludf.DUMMYFUNCTION("""COMPUTED_VALUE"""),19235)</f>
        <v>19235</v>
      </c>
      <c r="B518" s="86">
        <f ca="1">IFERROR(__xludf.DUMMYFUNCTION("""COMPUTED_VALUE"""),45106.8467939814)</f>
        <v>45106.8467939814</v>
      </c>
      <c r="C518" s="1" t="str">
        <f ca="1">IFERROR(__xludf.DUMMYFUNCTION("""COMPUTED_VALUE"""),"completed")</f>
        <v>completed</v>
      </c>
      <c r="D518" s="26">
        <f ca="1">IFERROR(__xludf.DUMMYFUNCTION("""COMPUTED_VALUE"""),26)</f>
        <v>26</v>
      </c>
      <c r="E518" s="1" t="str">
        <f ca="1">IFERROR(__xludf.DUMMYFUNCTION("""COMPUTED_VALUE"""),"Lasalle Stompers")</f>
        <v>Lasalle Stompers</v>
      </c>
      <c r="F518" s="87" t="str">
        <f t="shared" ca="1" si="0"/>
        <v>2023</v>
      </c>
      <c r="G518" s="1" t="str">
        <f ca="1">IFERROR(__xludf.DUMMYFUNCTION("""COMPUTED_VALUE"""),"Lasalle Stompers")</f>
        <v>Lasalle Stompers</v>
      </c>
      <c r="H518" s="26">
        <f t="shared" ca="1" si="1"/>
        <v>26</v>
      </c>
      <c r="I518" s="26">
        <f t="shared" ca="1" si="2"/>
        <v>1</v>
      </c>
      <c r="J518" s="86">
        <f t="shared" ca="1" si="3"/>
        <v>45106</v>
      </c>
      <c r="R518" s="26"/>
    </row>
    <row r="519" spans="1:18" ht="15.75" customHeight="1">
      <c r="A519" s="26">
        <f ca="1">IFERROR(__xludf.DUMMYFUNCTION("""COMPUTED_VALUE"""),19234)</f>
        <v>19234</v>
      </c>
      <c r="B519" s="86">
        <f ca="1">IFERROR(__xludf.DUMMYFUNCTION("""COMPUTED_VALUE"""),45106.5751388888)</f>
        <v>45106.575138888802</v>
      </c>
      <c r="C519" s="1" t="str">
        <f ca="1">IFERROR(__xludf.DUMMYFUNCTION("""COMPUTED_VALUE"""),"completed")</f>
        <v>completed</v>
      </c>
      <c r="D519" s="26">
        <f ca="1">IFERROR(__xludf.DUMMYFUNCTION("""COMPUTED_VALUE"""),26)</f>
        <v>26</v>
      </c>
      <c r="E519" s="1" t="str">
        <f ca="1">IFERROR(__xludf.DUMMYFUNCTION("""COMPUTED_VALUE"""),"Lasalle Stompers")</f>
        <v>Lasalle Stompers</v>
      </c>
      <c r="F519" s="87" t="str">
        <f t="shared" ca="1" si="0"/>
        <v>2023</v>
      </c>
      <c r="G519" s="1" t="str">
        <f ca="1">IFERROR(__xludf.DUMMYFUNCTION("""COMPUTED_VALUE"""),"Lasalle Stompers")</f>
        <v>Lasalle Stompers</v>
      </c>
      <c r="H519" s="26">
        <f t="shared" ca="1" si="1"/>
        <v>26</v>
      </c>
      <c r="I519" s="26">
        <f t="shared" ca="1" si="2"/>
        <v>1</v>
      </c>
      <c r="J519" s="86">
        <f t="shared" ca="1" si="3"/>
        <v>45106</v>
      </c>
      <c r="R519" s="26"/>
    </row>
    <row r="520" spans="1:18" ht="15.75" customHeight="1">
      <c r="A520" s="26">
        <f ca="1">IFERROR(__xludf.DUMMYFUNCTION("""COMPUTED_VALUE"""),19233)</f>
        <v>19233</v>
      </c>
      <c r="B520" s="86">
        <f ca="1">IFERROR(__xludf.DUMMYFUNCTION("""COMPUTED_VALUE"""),45106.5728472222)</f>
        <v>45106.572847222204</v>
      </c>
      <c r="C520" s="1" t="str">
        <f ca="1">IFERROR(__xludf.DUMMYFUNCTION("""COMPUTED_VALUE"""),"completed")</f>
        <v>completed</v>
      </c>
      <c r="D520" s="26">
        <f ca="1">IFERROR(__xludf.DUMMYFUNCTION("""COMPUTED_VALUE"""),26)</f>
        <v>26</v>
      </c>
      <c r="E520" s="1" t="str">
        <f ca="1">IFERROR(__xludf.DUMMYFUNCTION("""COMPUTED_VALUE"""),"Lasalle Stompers")</f>
        <v>Lasalle Stompers</v>
      </c>
      <c r="F520" s="87" t="str">
        <f t="shared" ca="1" si="0"/>
        <v>2023</v>
      </c>
      <c r="G520" s="1" t="str">
        <f ca="1">IFERROR(__xludf.DUMMYFUNCTION("""COMPUTED_VALUE"""),"Lasalle Stompers")</f>
        <v>Lasalle Stompers</v>
      </c>
      <c r="H520" s="26">
        <f t="shared" ca="1" si="1"/>
        <v>26</v>
      </c>
      <c r="I520" s="26">
        <f t="shared" ca="1" si="2"/>
        <v>1</v>
      </c>
      <c r="J520" s="86">
        <f t="shared" ca="1" si="3"/>
        <v>45106</v>
      </c>
      <c r="R520" s="26"/>
    </row>
    <row r="521" spans="1:18" ht="15.75" customHeight="1">
      <c r="A521" s="26">
        <f ca="1">IFERROR(__xludf.DUMMYFUNCTION("""COMPUTED_VALUE"""),19232)</f>
        <v>19232</v>
      </c>
      <c r="B521" s="86">
        <f ca="1">IFERROR(__xludf.DUMMYFUNCTION("""COMPUTED_VALUE"""),45106.5111111111)</f>
        <v>45106.511111111096</v>
      </c>
      <c r="C521" s="1" t="str">
        <f ca="1">IFERROR(__xludf.DUMMYFUNCTION("""COMPUTED_VALUE"""),"completed")</f>
        <v>completed</v>
      </c>
      <c r="D521" s="26">
        <f ca="1">IFERROR(__xludf.DUMMYFUNCTION("""COMPUTED_VALUE"""),25)</f>
        <v>25</v>
      </c>
      <c r="E521" s="1" t="str">
        <f ca="1">IFERROR(__xludf.DUMMYFUNCTION("""COMPUTED_VALUE"""),"Lasalle Stompers")</f>
        <v>Lasalle Stompers</v>
      </c>
      <c r="F521" s="87" t="str">
        <f t="shared" ca="1" si="0"/>
        <v>2023</v>
      </c>
      <c r="G521" s="1" t="str">
        <f ca="1">IFERROR(__xludf.DUMMYFUNCTION("""COMPUTED_VALUE"""),"Kingsville Soccer Association")</f>
        <v>Kingsville Soccer Association</v>
      </c>
      <c r="H521" s="26">
        <f t="shared" ca="1" si="1"/>
        <v>25</v>
      </c>
      <c r="I521" s="26">
        <f t="shared" ca="1" si="2"/>
        <v>1</v>
      </c>
      <c r="J521" s="86">
        <f t="shared" ca="1" si="3"/>
        <v>45106</v>
      </c>
      <c r="R521" s="26"/>
    </row>
    <row r="522" spans="1:18" ht="15.75" customHeight="1">
      <c r="A522" s="26">
        <f ca="1">IFERROR(__xludf.DUMMYFUNCTION("""COMPUTED_VALUE"""),19231)</f>
        <v>19231</v>
      </c>
      <c r="B522" s="86">
        <f ca="1">IFERROR(__xludf.DUMMYFUNCTION("""COMPUTED_VALUE"""),45106.0057407407)</f>
        <v>45106.0057407407</v>
      </c>
      <c r="C522" s="1" t="str">
        <f ca="1">IFERROR(__xludf.DUMMYFUNCTION("""COMPUTED_VALUE"""),"completed")</f>
        <v>completed</v>
      </c>
      <c r="D522" s="26">
        <f ca="1">IFERROR(__xludf.DUMMYFUNCTION("""COMPUTED_VALUE"""),25)</f>
        <v>25</v>
      </c>
      <c r="E522" s="1" t="str">
        <f ca="1">IFERROR(__xludf.DUMMYFUNCTION("""COMPUTED_VALUE"""),"Kingsville Soccer Association")</f>
        <v>Kingsville Soccer Association</v>
      </c>
      <c r="F522" s="87" t="str">
        <f t="shared" ca="1" si="0"/>
        <v>2023</v>
      </c>
      <c r="G522" s="1" t="str">
        <f ca="1">IFERROR(__xludf.DUMMYFUNCTION("""COMPUTED_VALUE"""),"Lasalle Stompers")</f>
        <v>Lasalle Stompers</v>
      </c>
      <c r="H522" s="26">
        <f t="shared" ca="1" si="1"/>
        <v>25</v>
      </c>
      <c r="I522" s="26">
        <f t="shared" ca="1" si="2"/>
        <v>1</v>
      </c>
      <c r="J522" s="86">
        <f t="shared" ca="1" si="3"/>
        <v>45106</v>
      </c>
      <c r="R522" s="26"/>
    </row>
    <row r="523" spans="1:18" ht="15.75" customHeight="1">
      <c r="A523" s="26">
        <f ca="1">IFERROR(__xludf.DUMMYFUNCTION("""COMPUTED_VALUE"""),19230)</f>
        <v>19230</v>
      </c>
      <c r="B523" s="86">
        <f ca="1">IFERROR(__xludf.DUMMYFUNCTION("""COMPUTED_VALUE"""),45105.967511574)</f>
        <v>45105.967511574003</v>
      </c>
      <c r="C523" s="1" t="str">
        <f ca="1">IFERROR(__xludf.DUMMYFUNCTION("""COMPUTED_VALUE"""),"completed")</f>
        <v>completed</v>
      </c>
      <c r="D523" s="26">
        <f ca="1">IFERROR(__xludf.DUMMYFUNCTION("""COMPUTED_VALUE"""),0)</f>
        <v>0</v>
      </c>
      <c r="E523" s="1" t="str">
        <f ca="1">IFERROR(__xludf.DUMMYFUNCTION("""COMPUTED_VALUE"""),"Lasalle Stompers")</f>
        <v>Lasalle Stompers</v>
      </c>
      <c r="F523" s="87" t="str">
        <f t="shared" ca="1" si="0"/>
        <v>2023</v>
      </c>
      <c r="G523" s="1" t="str">
        <f ca="1">IFERROR(__xludf.DUMMYFUNCTION("""COMPUTED_VALUE"""),"Lasalle Stompers")</f>
        <v>Lasalle Stompers</v>
      </c>
      <c r="H523" s="26">
        <f t="shared" ca="1" si="1"/>
        <v>0</v>
      </c>
      <c r="I523" s="26">
        <f t="shared" ca="1" si="2"/>
        <v>1</v>
      </c>
      <c r="J523" s="86">
        <f t="shared" ca="1" si="3"/>
        <v>45105</v>
      </c>
      <c r="R523" s="26"/>
    </row>
    <row r="524" spans="1:18" ht="15.75" customHeight="1">
      <c r="A524" s="26">
        <f ca="1">IFERROR(__xludf.DUMMYFUNCTION("""COMPUTED_VALUE"""),19229)</f>
        <v>19229</v>
      </c>
      <c r="B524" s="86">
        <f ca="1">IFERROR(__xludf.DUMMYFUNCTION("""COMPUTED_VALUE"""),45105.9659837963)</f>
        <v>45105.965983796297</v>
      </c>
      <c r="C524" s="1" t="str">
        <f ca="1">IFERROR(__xludf.DUMMYFUNCTION("""COMPUTED_VALUE"""),"completed")</f>
        <v>completed</v>
      </c>
      <c r="D524" s="26">
        <f ca="1">IFERROR(__xludf.DUMMYFUNCTION("""COMPUTED_VALUE"""),65)</f>
        <v>65</v>
      </c>
      <c r="E524" s="1" t="str">
        <f ca="1">IFERROR(__xludf.DUMMYFUNCTION("""COMPUTED_VALUE"""),"Lasalle Stompers")</f>
        <v>Lasalle Stompers</v>
      </c>
      <c r="F524" s="87" t="str">
        <f t="shared" ca="1" si="0"/>
        <v>2023</v>
      </c>
      <c r="G524" s="1" t="str">
        <f ca="1">IFERROR(__xludf.DUMMYFUNCTION("""COMPUTED_VALUE"""),"LSSC")</f>
        <v>LSSC</v>
      </c>
      <c r="H524" s="26">
        <f t="shared" ca="1" si="1"/>
        <v>65</v>
      </c>
      <c r="I524" s="26">
        <f t="shared" ca="1" si="2"/>
        <v>1</v>
      </c>
      <c r="J524" s="86">
        <f t="shared" ca="1" si="3"/>
        <v>45105</v>
      </c>
      <c r="R524" s="26"/>
    </row>
    <row r="525" spans="1:18" ht="15.75" customHeight="1">
      <c r="A525" s="26">
        <f ca="1">IFERROR(__xludf.DUMMYFUNCTION("""COMPUTED_VALUE"""),19228)</f>
        <v>19228</v>
      </c>
      <c r="B525" s="86">
        <f ca="1">IFERROR(__xludf.DUMMYFUNCTION("""COMPUTED_VALUE"""),45105.9555902777)</f>
        <v>45105.955590277699</v>
      </c>
      <c r="C525" s="1" t="str">
        <f ca="1">IFERROR(__xludf.DUMMYFUNCTION("""COMPUTED_VALUE"""),"completed")</f>
        <v>completed</v>
      </c>
      <c r="D525" s="26">
        <f ca="1">IFERROR(__xludf.DUMMYFUNCTION("""COMPUTED_VALUE"""),25)</f>
        <v>25</v>
      </c>
      <c r="E525" s="1" t="str">
        <f ca="1">IFERROR(__xludf.DUMMYFUNCTION("""COMPUTED_VALUE"""),"LSSC")</f>
        <v>LSSC</v>
      </c>
      <c r="F525" s="87" t="str">
        <f t="shared" ca="1" si="0"/>
        <v>2023</v>
      </c>
      <c r="G525" s="1" t="str">
        <f ca="1">IFERROR(__xludf.DUMMYFUNCTION("""COMPUTED_VALUE"""),"Lasalle Stompers")</f>
        <v>Lasalle Stompers</v>
      </c>
      <c r="H525" s="26">
        <f t="shared" ca="1" si="1"/>
        <v>25</v>
      </c>
      <c r="I525" s="26">
        <f t="shared" ca="1" si="2"/>
        <v>1</v>
      </c>
      <c r="J525" s="86">
        <f t="shared" ca="1" si="3"/>
        <v>45105</v>
      </c>
      <c r="R525" s="26"/>
    </row>
    <row r="526" spans="1:18" ht="15.75" customHeight="1">
      <c r="A526" s="26">
        <f ca="1">IFERROR(__xludf.DUMMYFUNCTION("""COMPUTED_VALUE"""),19227)</f>
        <v>19227</v>
      </c>
      <c r="B526" s="86">
        <f ca="1">IFERROR(__xludf.DUMMYFUNCTION("""COMPUTED_VALUE"""),45105.823136574)</f>
        <v>45105.823136573999</v>
      </c>
      <c r="C526" s="1" t="str">
        <f ca="1">IFERROR(__xludf.DUMMYFUNCTION("""COMPUTED_VALUE"""),"completed")</f>
        <v>completed</v>
      </c>
      <c r="D526" s="26">
        <f ca="1">IFERROR(__xludf.DUMMYFUNCTION("""COMPUTED_VALUE"""),53)</f>
        <v>53</v>
      </c>
      <c r="E526" s="1" t="str">
        <f ca="1">IFERROR(__xludf.DUMMYFUNCTION("""COMPUTED_VALUE"""),"Lasalle Stompers")</f>
        <v>Lasalle Stompers</v>
      </c>
      <c r="F526" s="87" t="str">
        <f t="shared" ca="1" si="0"/>
        <v>2023</v>
      </c>
      <c r="G526" s="1" t="str">
        <f ca="1">IFERROR(__xludf.DUMMYFUNCTION("""COMPUTED_VALUE"""),"Lasalle Stompers")</f>
        <v>Lasalle Stompers</v>
      </c>
      <c r="H526" s="26">
        <f t="shared" ca="1" si="1"/>
        <v>53</v>
      </c>
      <c r="I526" s="26">
        <f t="shared" ca="1" si="2"/>
        <v>1</v>
      </c>
      <c r="J526" s="86">
        <f t="shared" ca="1" si="3"/>
        <v>45105</v>
      </c>
      <c r="R526" s="26"/>
    </row>
    <row r="527" spans="1:18" ht="15.75" customHeight="1">
      <c r="A527" s="26">
        <f ca="1">IFERROR(__xludf.DUMMYFUNCTION("""COMPUTED_VALUE"""),19226)</f>
        <v>19226</v>
      </c>
      <c r="B527" s="86">
        <f ca="1">IFERROR(__xludf.DUMMYFUNCTION("""COMPUTED_VALUE"""),45105.5896527777)</f>
        <v>45105.5896527777</v>
      </c>
      <c r="C527" s="1" t="str">
        <f ca="1">IFERROR(__xludf.DUMMYFUNCTION("""COMPUTED_VALUE"""),"completed")</f>
        <v>completed</v>
      </c>
      <c r="D527" s="26">
        <f ca="1">IFERROR(__xludf.DUMMYFUNCTION("""COMPUTED_VALUE"""),0)</f>
        <v>0</v>
      </c>
      <c r="E527" s="1" t="str">
        <f ca="1">IFERROR(__xludf.DUMMYFUNCTION("""COMPUTED_VALUE"""),"Lasalle Stompers")</f>
        <v>Lasalle Stompers</v>
      </c>
      <c r="F527" s="87" t="str">
        <f t="shared" ca="1" si="0"/>
        <v>2023</v>
      </c>
      <c r="G527" s="1" t="str">
        <f ca="1">IFERROR(__xludf.DUMMYFUNCTION("""COMPUTED_VALUE"""),"Lasalle Stompers")</f>
        <v>Lasalle Stompers</v>
      </c>
      <c r="H527" s="26">
        <f t="shared" ca="1" si="1"/>
        <v>0</v>
      </c>
      <c r="I527" s="26">
        <f t="shared" ca="1" si="2"/>
        <v>1</v>
      </c>
      <c r="J527" s="86">
        <f t="shared" ca="1" si="3"/>
        <v>45105</v>
      </c>
      <c r="R527" s="26"/>
    </row>
    <row r="528" spans="1:18" ht="15.75" customHeight="1">
      <c r="A528" s="26">
        <f ca="1">IFERROR(__xludf.DUMMYFUNCTION("""COMPUTED_VALUE"""),19225)</f>
        <v>19225</v>
      </c>
      <c r="B528" s="86">
        <f ca="1">IFERROR(__xludf.DUMMYFUNCTION("""COMPUTED_VALUE"""),45105.5883101851)</f>
        <v>45105.5883101851</v>
      </c>
      <c r="C528" s="1" t="str">
        <f ca="1">IFERROR(__xludf.DUMMYFUNCTION("""COMPUTED_VALUE"""),"completed")</f>
        <v>completed</v>
      </c>
      <c r="D528" s="26">
        <f ca="1">IFERROR(__xludf.DUMMYFUNCTION("""COMPUTED_VALUE"""),81)</f>
        <v>81</v>
      </c>
      <c r="E528" s="1" t="str">
        <f ca="1">IFERROR(__xludf.DUMMYFUNCTION("""COMPUTED_VALUE"""),"Lasalle Stompers")</f>
        <v>Lasalle Stompers</v>
      </c>
      <c r="F528" s="87" t="str">
        <f t="shared" ca="1" si="0"/>
        <v>2023</v>
      </c>
      <c r="G528" s="1" t="str">
        <f ca="1">IFERROR(__xludf.DUMMYFUNCTION("""COMPUTED_VALUE"""),"Lasalle Stompers")</f>
        <v>Lasalle Stompers</v>
      </c>
      <c r="H528" s="26">
        <f t="shared" ca="1" si="1"/>
        <v>81</v>
      </c>
      <c r="I528" s="26">
        <f t="shared" ca="1" si="2"/>
        <v>1</v>
      </c>
      <c r="J528" s="86">
        <f t="shared" ca="1" si="3"/>
        <v>45105</v>
      </c>
      <c r="R528" s="26"/>
    </row>
    <row r="529" spans="1:18" ht="15.75" customHeight="1">
      <c r="A529" s="26">
        <f ca="1">IFERROR(__xludf.DUMMYFUNCTION("""COMPUTED_VALUE"""),19224)</f>
        <v>19224</v>
      </c>
      <c r="B529" s="86">
        <f ca="1">IFERROR(__xludf.DUMMYFUNCTION("""COMPUTED_VALUE"""),45105.5796180555)</f>
        <v>45105.579618055497</v>
      </c>
      <c r="C529" s="1" t="str">
        <f ca="1">IFERROR(__xludf.DUMMYFUNCTION("""COMPUTED_VALUE"""),"completed")</f>
        <v>completed</v>
      </c>
      <c r="D529" s="26">
        <f ca="1">IFERROR(__xludf.DUMMYFUNCTION("""COMPUTED_VALUE"""),134)</f>
        <v>134</v>
      </c>
      <c r="E529" s="1" t="str">
        <f ca="1">IFERROR(__xludf.DUMMYFUNCTION("""COMPUTED_VALUE"""),"Lasalle Stompers")</f>
        <v>Lasalle Stompers</v>
      </c>
      <c r="F529" s="87" t="str">
        <f t="shared" ca="1" si="0"/>
        <v>2023</v>
      </c>
      <c r="G529" s="1" t="str">
        <f ca="1">IFERROR(__xludf.DUMMYFUNCTION("""COMPUTED_VALUE"""),"Lasalle Stompers")</f>
        <v>Lasalle Stompers</v>
      </c>
      <c r="H529" s="26">
        <f t="shared" ca="1" si="1"/>
        <v>134</v>
      </c>
      <c r="I529" s="26">
        <f t="shared" ca="1" si="2"/>
        <v>1</v>
      </c>
      <c r="J529" s="86">
        <f t="shared" ca="1" si="3"/>
        <v>45105</v>
      </c>
      <c r="R529" s="26"/>
    </row>
    <row r="530" spans="1:18" ht="15.75" customHeight="1">
      <c r="A530" s="26">
        <f ca="1">IFERROR(__xludf.DUMMYFUNCTION("""COMPUTED_VALUE"""),19223)</f>
        <v>19223</v>
      </c>
      <c r="B530" s="86">
        <f ca="1">IFERROR(__xludf.DUMMYFUNCTION("""COMPUTED_VALUE"""),45105.5157986111)</f>
        <v>45105.515798611101</v>
      </c>
      <c r="C530" s="1" t="str">
        <f ca="1">IFERROR(__xludf.DUMMYFUNCTION("""COMPUTED_VALUE"""),"completed")</f>
        <v>completed</v>
      </c>
      <c r="D530" s="26">
        <f ca="1">IFERROR(__xludf.DUMMYFUNCTION("""COMPUTED_VALUE"""),25)</f>
        <v>25</v>
      </c>
      <c r="E530" s="1" t="str">
        <f ca="1">IFERROR(__xludf.DUMMYFUNCTION("""COMPUTED_VALUE"""),"Lasalle Stompers")</f>
        <v>Lasalle Stompers</v>
      </c>
      <c r="F530" s="87" t="str">
        <f t="shared" ca="1" si="0"/>
        <v>2023</v>
      </c>
      <c r="G530" s="1" t="str">
        <f ca="1">IFERROR(__xludf.DUMMYFUNCTION("""COMPUTED_VALUE"""),"Lasalle Turbo Blasters")</f>
        <v>Lasalle Turbo Blasters</v>
      </c>
      <c r="H530" s="26">
        <f t="shared" ca="1" si="1"/>
        <v>25</v>
      </c>
      <c r="I530" s="26">
        <f t="shared" ca="1" si="2"/>
        <v>1</v>
      </c>
      <c r="J530" s="86">
        <f t="shared" ca="1" si="3"/>
        <v>45105</v>
      </c>
      <c r="R530" s="26"/>
    </row>
    <row r="531" spans="1:18" ht="15.75" customHeight="1">
      <c r="A531" s="26">
        <f ca="1">IFERROR(__xludf.DUMMYFUNCTION("""COMPUTED_VALUE"""),19222)</f>
        <v>19222</v>
      </c>
      <c r="B531" s="86">
        <f ca="1">IFERROR(__xludf.DUMMYFUNCTION("""COMPUTED_VALUE"""),45105.1554166666)</f>
        <v>45105.155416666603</v>
      </c>
      <c r="C531" s="1" t="str">
        <f ca="1">IFERROR(__xludf.DUMMYFUNCTION("""COMPUTED_VALUE"""),"completed")</f>
        <v>completed</v>
      </c>
      <c r="D531" s="26">
        <f ca="1">IFERROR(__xludf.DUMMYFUNCTION("""COMPUTED_VALUE"""),20)</f>
        <v>20</v>
      </c>
      <c r="E531" s="1" t="str">
        <f ca="1">IFERROR(__xludf.DUMMYFUNCTION("""COMPUTED_VALUE"""),"Lasalle Turbo Blasters")</f>
        <v>Lasalle Turbo Blasters</v>
      </c>
      <c r="F531" s="87" t="str">
        <f t="shared" ca="1" si="0"/>
        <v>2023</v>
      </c>
      <c r="G531" s="1" t="str">
        <f ca="1">IFERROR(__xludf.DUMMYFUNCTION("""COMPUTED_VALUE"""),"Lasalle Stompers")</f>
        <v>Lasalle Stompers</v>
      </c>
      <c r="H531" s="26">
        <f t="shared" ca="1" si="1"/>
        <v>20</v>
      </c>
      <c r="I531" s="26">
        <f t="shared" ca="1" si="2"/>
        <v>1</v>
      </c>
      <c r="J531" s="86">
        <f t="shared" ca="1" si="3"/>
        <v>45105</v>
      </c>
      <c r="R531" s="26"/>
    </row>
    <row r="532" spans="1:18" ht="15.75" customHeight="1">
      <c r="A532" s="26">
        <f ca="1">IFERROR(__xludf.DUMMYFUNCTION("""COMPUTED_VALUE"""),19221)</f>
        <v>19221</v>
      </c>
      <c r="B532" s="86">
        <f ca="1">IFERROR(__xludf.DUMMYFUNCTION("""COMPUTED_VALUE"""),45105.0587384259)</f>
        <v>45105.058738425898</v>
      </c>
      <c r="C532" s="1" t="str">
        <f ca="1">IFERROR(__xludf.DUMMYFUNCTION("""COMPUTED_VALUE"""),"refunded")</f>
        <v>refunded</v>
      </c>
      <c r="D532" s="26">
        <f ca="1">IFERROR(__xludf.DUMMYFUNCTION("""COMPUTED_VALUE"""),15)</f>
        <v>15</v>
      </c>
      <c r="E532" s="1" t="str">
        <f ca="1">IFERROR(__xludf.DUMMYFUNCTION("""COMPUTED_VALUE"""),"Lasalle Stompers")</f>
        <v>Lasalle Stompers</v>
      </c>
      <c r="F532" s="87" t="str">
        <f t="shared" ca="1" si="0"/>
        <v>2023</v>
      </c>
      <c r="G532" s="1" t="str">
        <f ca="1">IFERROR(__xludf.DUMMYFUNCTION("""COMPUTED_VALUE"""),"Lasalle Stompers")</f>
        <v>Lasalle Stompers</v>
      </c>
      <c r="H532" s="26">
        <f t="shared" ca="1" si="1"/>
        <v>15</v>
      </c>
      <c r="I532" s="26">
        <f t="shared" ca="1" si="2"/>
        <v>1</v>
      </c>
      <c r="J532" s="86">
        <f t="shared" ca="1" si="3"/>
        <v>45105</v>
      </c>
      <c r="R532" s="26"/>
    </row>
    <row r="533" spans="1:18" ht="15.75" customHeight="1">
      <c r="A533" s="26">
        <f ca="1">IFERROR(__xludf.DUMMYFUNCTION("""COMPUTED_VALUE"""),19220)</f>
        <v>19220</v>
      </c>
      <c r="B533" s="86">
        <f ca="1">IFERROR(__xludf.DUMMYFUNCTION("""COMPUTED_VALUE"""),45104.8626157407)</f>
        <v>45104.862615740698</v>
      </c>
      <c r="C533" s="1" t="str">
        <f ca="1">IFERROR(__xludf.DUMMYFUNCTION("""COMPUTED_VALUE"""),"completed")</f>
        <v>completed</v>
      </c>
      <c r="D533" s="26">
        <f ca="1">IFERROR(__xludf.DUMMYFUNCTION("""COMPUTED_VALUE"""),25)</f>
        <v>25</v>
      </c>
      <c r="E533" s="1" t="str">
        <f ca="1">IFERROR(__xludf.DUMMYFUNCTION("""COMPUTED_VALUE"""),"Lasalle Stompers")</f>
        <v>Lasalle Stompers</v>
      </c>
      <c r="F533" s="87" t="str">
        <f t="shared" ca="1" si="0"/>
        <v>2023</v>
      </c>
      <c r="G533" s="1" t="str">
        <f ca="1">IFERROR(__xludf.DUMMYFUNCTION("""COMPUTED_VALUE"""),"Lasalle Stompers")</f>
        <v>Lasalle Stompers</v>
      </c>
      <c r="H533" s="26">
        <f t="shared" ca="1" si="1"/>
        <v>25</v>
      </c>
      <c r="I533" s="26">
        <f t="shared" ca="1" si="2"/>
        <v>1</v>
      </c>
      <c r="J533" s="86">
        <f t="shared" ca="1" si="3"/>
        <v>45104</v>
      </c>
      <c r="R533" s="26"/>
    </row>
    <row r="534" spans="1:18" ht="15.75" customHeight="1">
      <c r="A534" s="26">
        <f ca="1">IFERROR(__xludf.DUMMYFUNCTION("""COMPUTED_VALUE"""),19219)</f>
        <v>19219</v>
      </c>
      <c r="B534" s="86">
        <f ca="1">IFERROR(__xludf.DUMMYFUNCTION("""COMPUTED_VALUE"""),45104.8302314814)</f>
        <v>45104.830231481399</v>
      </c>
      <c r="C534" s="1" t="str">
        <f ca="1">IFERROR(__xludf.DUMMYFUNCTION("""COMPUTED_VALUE"""),"completed")</f>
        <v>completed</v>
      </c>
      <c r="D534" s="26">
        <f ca="1">IFERROR(__xludf.DUMMYFUNCTION("""COMPUTED_VALUE"""),18)</f>
        <v>18</v>
      </c>
      <c r="E534" s="1" t="str">
        <f ca="1">IFERROR(__xludf.DUMMYFUNCTION("""COMPUTED_VALUE"""),"Lasalle Stompers")</f>
        <v>Lasalle Stompers</v>
      </c>
      <c r="F534" s="87" t="str">
        <f t="shared" ca="1" si="0"/>
        <v>2023</v>
      </c>
      <c r="G534" s="1" t="str">
        <f ca="1">IFERROR(__xludf.DUMMYFUNCTION("""COMPUTED_VALUE"""),"Lasalle Stompers")</f>
        <v>Lasalle Stompers</v>
      </c>
      <c r="H534" s="26">
        <f t="shared" ca="1" si="1"/>
        <v>18</v>
      </c>
      <c r="I534" s="26">
        <f t="shared" ca="1" si="2"/>
        <v>1</v>
      </c>
      <c r="J534" s="86">
        <f t="shared" ca="1" si="3"/>
        <v>45104</v>
      </c>
      <c r="R534" s="26"/>
    </row>
    <row r="535" spans="1:18" ht="15.75" customHeight="1">
      <c r="A535" s="26">
        <f ca="1">IFERROR(__xludf.DUMMYFUNCTION("""COMPUTED_VALUE"""),19218)</f>
        <v>19218</v>
      </c>
      <c r="B535" s="86">
        <f ca="1">IFERROR(__xludf.DUMMYFUNCTION("""COMPUTED_VALUE"""),45104.7433217592)</f>
        <v>45104.743321759197</v>
      </c>
      <c r="C535" s="1" t="str">
        <f ca="1">IFERROR(__xludf.DUMMYFUNCTION("""COMPUTED_VALUE"""),"completed")</f>
        <v>completed</v>
      </c>
      <c r="D535" s="26">
        <f ca="1">IFERROR(__xludf.DUMMYFUNCTION("""COMPUTED_VALUE"""),25)</f>
        <v>25</v>
      </c>
      <c r="E535" s="1" t="str">
        <f ca="1">IFERROR(__xludf.DUMMYFUNCTION("""COMPUTED_VALUE"""),"Lasalle Stompers")</f>
        <v>Lasalle Stompers</v>
      </c>
      <c r="F535" s="87" t="str">
        <f t="shared" ca="1" si="0"/>
        <v>2023</v>
      </c>
      <c r="G535" s="1" t="str">
        <f ca="1">IFERROR(__xludf.DUMMYFUNCTION("""COMPUTED_VALUE"""),"Lasalle Stompers")</f>
        <v>Lasalle Stompers</v>
      </c>
      <c r="H535" s="26">
        <f t="shared" ca="1" si="1"/>
        <v>25</v>
      </c>
      <c r="I535" s="26">
        <f t="shared" ca="1" si="2"/>
        <v>1</v>
      </c>
      <c r="J535" s="86">
        <f t="shared" ca="1" si="3"/>
        <v>45104</v>
      </c>
      <c r="R535" s="26"/>
    </row>
    <row r="536" spans="1:18" ht="15.75" customHeight="1">
      <c r="A536" s="26">
        <f ca="1">IFERROR(__xludf.DUMMYFUNCTION("""COMPUTED_VALUE"""),19217)</f>
        <v>19217</v>
      </c>
      <c r="B536" s="86">
        <f ca="1">IFERROR(__xludf.DUMMYFUNCTION("""COMPUTED_VALUE"""),45104.7291087962)</f>
        <v>45104.7291087962</v>
      </c>
      <c r="C536" s="1" t="str">
        <f ca="1">IFERROR(__xludf.DUMMYFUNCTION("""COMPUTED_VALUE"""),"completed")</f>
        <v>completed</v>
      </c>
      <c r="D536" s="26">
        <f ca="1">IFERROR(__xludf.DUMMYFUNCTION("""COMPUTED_VALUE"""),35)</f>
        <v>35</v>
      </c>
      <c r="E536" s="1" t="str">
        <f ca="1">IFERROR(__xludf.DUMMYFUNCTION("""COMPUTED_VALUE"""),"Lasalle Stompers")</f>
        <v>Lasalle Stompers</v>
      </c>
      <c r="F536" s="87" t="str">
        <f t="shared" ca="1" si="0"/>
        <v>2023</v>
      </c>
      <c r="G536" s="1" t="str">
        <f ca="1">IFERROR(__xludf.DUMMYFUNCTION("""COMPUTED_VALUE"""),"Lasalle Stompers")</f>
        <v>Lasalle Stompers</v>
      </c>
      <c r="H536" s="26">
        <f t="shared" ca="1" si="1"/>
        <v>35</v>
      </c>
      <c r="I536" s="26">
        <f t="shared" ca="1" si="2"/>
        <v>1</v>
      </c>
      <c r="J536" s="86">
        <f t="shared" ca="1" si="3"/>
        <v>45104</v>
      </c>
      <c r="R536" s="26"/>
    </row>
    <row r="537" spans="1:18" ht="15.75" customHeight="1">
      <c r="A537" s="26">
        <f ca="1">IFERROR(__xludf.DUMMYFUNCTION("""COMPUTED_VALUE"""),19216)</f>
        <v>19216</v>
      </c>
      <c r="B537" s="86">
        <f ca="1">IFERROR(__xludf.DUMMYFUNCTION("""COMPUTED_VALUE"""),45104.6110069444)</f>
        <v>45104.611006944397</v>
      </c>
      <c r="C537" s="1" t="str">
        <f ca="1">IFERROR(__xludf.DUMMYFUNCTION("""COMPUTED_VALUE"""),"cancelled")</f>
        <v>cancelled</v>
      </c>
      <c r="D537" s="26">
        <f ca="1">IFERROR(__xludf.DUMMYFUNCTION("""COMPUTED_VALUE"""),26)</f>
        <v>26</v>
      </c>
      <c r="E537" s="1" t="str">
        <f ca="1">IFERROR(__xludf.DUMMYFUNCTION("""COMPUTED_VALUE"""),"Lasalle Stompers")</f>
        <v>Lasalle Stompers</v>
      </c>
      <c r="F537" s="87" t="str">
        <f t="shared" ca="1" si="0"/>
        <v>2023</v>
      </c>
      <c r="G537" s="1" t="str">
        <f ca="1">IFERROR(__xludf.DUMMYFUNCTION("""COMPUTED_VALUE"""),"Lasalle Stompers")</f>
        <v>Lasalle Stompers</v>
      </c>
      <c r="H537" s="26">
        <f t="shared" ca="1" si="1"/>
        <v>26</v>
      </c>
      <c r="I537" s="26">
        <f t="shared" ca="1" si="2"/>
        <v>1</v>
      </c>
      <c r="J537" s="86">
        <f t="shared" ca="1" si="3"/>
        <v>45104</v>
      </c>
      <c r="R537" s="26"/>
    </row>
    <row r="538" spans="1:18" ht="15.75" customHeight="1">
      <c r="A538" s="26">
        <f ca="1">IFERROR(__xludf.DUMMYFUNCTION("""COMPUTED_VALUE"""),19215)</f>
        <v>19215</v>
      </c>
      <c r="B538" s="86">
        <f ca="1">IFERROR(__xludf.DUMMYFUNCTION("""COMPUTED_VALUE"""),45104.4677430555)</f>
        <v>45104.467743055502</v>
      </c>
      <c r="C538" s="1" t="str">
        <f ca="1">IFERROR(__xludf.DUMMYFUNCTION("""COMPUTED_VALUE"""),"completed")</f>
        <v>completed</v>
      </c>
      <c r="D538" s="26">
        <f ca="1">IFERROR(__xludf.DUMMYFUNCTION("""COMPUTED_VALUE"""),53)</f>
        <v>53</v>
      </c>
      <c r="E538" s="1" t="str">
        <f ca="1">IFERROR(__xludf.DUMMYFUNCTION("""COMPUTED_VALUE"""),"Lasalle Stompers")</f>
        <v>Lasalle Stompers</v>
      </c>
      <c r="F538" s="87" t="str">
        <f t="shared" ca="1" si="0"/>
        <v>2023</v>
      </c>
      <c r="G538" s="1" t="str">
        <f ca="1">IFERROR(__xludf.DUMMYFUNCTION("""COMPUTED_VALUE"""),"Lasalle Stompers")</f>
        <v>Lasalle Stompers</v>
      </c>
      <c r="H538" s="26">
        <f t="shared" ca="1" si="1"/>
        <v>53</v>
      </c>
      <c r="I538" s="26">
        <f t="shared" ca="1" si="2"/>
        <v>1</v>
      </c>
      <c r="J538" s="86">
        <f t="shared" ca="1" si="3"/>
        <v>45104</v>
      </c>
      <c r="R538" s="26"/>
    </row>
    <row r="539" spans="1:18" ht="15.75" customHeight="1">
      <c r="A539" s="26">
        <f ca="1">IFERROR(__xludf.DUMMYFUNCTION("""COMPUTED_VALUE"""),19214)</f>
        <v>19214</v>
      </c>
      <c r="B539" s="86">
        <f ca="1">IFERROR(__xludf.DUMMYFUNCTION("""COMPUTED_VALUE"""),45104.1419328703)</f>
        <v>45104.141932870298</v>
      </c>
      <c r="C539" s="1" t="str">
        <f ca="1">IFERROR(__xludf.DUMMYFUNCTION("""COMPUTED_VALUE"""),"completed")</f>
        <v>completed</v>
      </c>
      <c r="D539" s="26">
        <f ca="1">IFERROR(__xludf.DUMMYFUNCTION("""COMPUTED_VALUE"""),25)</f>
        <v>25</v>
      </c>
      <c r="E539" s="1" t="str">
        <f ca="1">IFERROR(__xludf.DUMMYFUNCTION("""COMPUTED_VALUE"""),"Lasalle Stompers")</f>
        <v>Lasalle Stompers</v>
      </c>
      <c r="F539" s="87" t="str">
        <f t="shared" ca="1" si="0"/>
        <v>2023</v>
      </c>
      <c r="G539" s="1" t="str">
        <f ca="1">IFERROR(__xludf.DUMMYFUNCTION("""COMPUTED_VALUE"""),"Lasalle Stompers")</f>
        <v>Lasalle Stompers</v>
      </c>
      <c r="H539" s="26">
        <f t="shared" ca="1" si="1"/>
        <v>25</v>
      </c>
      <c r="I539" s="26">
        <f t="shared" ca="1" si="2"/>
        <v>1</v>
      </c>
      <c r="J539" s="86">
        <f t="shared" ca="1" si="3"/>
        <v>45104</v>
      </c>
      <c r="R539" s="26"/>
    </row>
    <row r="540" spans="1:18" ht="15.75" customHeight="1">
      <c r="A540" s="26">
        <f ca="1">IFERROR(__xludf.DUMMYFUNCTION("""COMPUTED_VALUE"""),19213)</f>
        <v>19213</v>
      </c>
      <c r="B540" s="86">
        <f ca="1">IFERROR(__xludf.DUMMYFUNCTION("""COMPUTED_VALUE"""),45104.0233564814)</f>
        <v>45104.023356481397</v>
      </c>
      <c r="C540" s="1" t="str">
        <f ca="1">IFERROR(__xludf.DUMMYFUNCTION("""COMPUTED_VALUE"""),"completed")</f>
        <v>completed</v>
      </c>
      <c r="D540" s="26">
        <f ca="1">IFERROR(__xludf.DUMMYFUNCTION("""COMPUTED_VALUE"""),0)</f>
        <v>0</v>
      </c>
      <c r="E540" s="1" t="str">
        <f ca="1">IFERROR(__xludf.DUMMYFUNCTION("""COMPUTED_VALUE"""),"Lasalle Stompers")</f>
        <v>Lasalle Stompers</v>
      </c>
      <c r="F540" s="87" t="str">
        <f t="shared" ca="1" si="0"/>
        <v>2023</v>
      </c>
      <c r="G540" s="1" t="str">
        <f ca="1">IFERROR(__xludf.DUMMYFUNCTION("""COMPUTED_VALUE"""),"Lasalle Stompers")</f>
        <v>Lasalle Stompers</v>
      </c>
      <c r="H540" s="26">
        <f t="shared" ca="1" si="1"/>
        <v>0</v>
      </c>
      <c r="I540" s="26">
        <f t="shared" ca="1" si="2"/>
        <v>1</v>
      </c>
      <c r="J540" s="86">
        <f t="shared" ca="1" si="3"/>
        <v>45104</v>
      </c>
      <c r="R540" s="26"/>
    </row>
    <row r="541" spans="1:18" ht="15.75" customHeight="1">
      <c r="A541" s="26">
        <f ca="1">IFERROR(__xludf.DUMMYFUNCTION("""COMPUTED_VALUE"""),19212)</f>
        <v>19212</v>
      </c>
      <c r="B541" s="86">
        <f ca="1">IFERROR(__xludf.DUMMYFUNCTION("""COMPUTED_VALUE"""),45104.0078472222)</f>
        <v>45104.007847222201</v>
      </c>
      <c r="C541" s="1" t="str">
        <f ca="1">IFERROR(__xludf.DUMMYFUNCTION("""COMPUTED_VALUE"""),"completed")</f>
        <v>completed</v>
      </c>
      <c r="D541" s="26">
        <f ca="1">IFERROR(__xludf.DUMMYFUNCTION("""COMPUTED_VALUE"""),20)</f>
        <v>20</v>
      </c>
      <c r="E541" s="1" t="str">
        <f ca="1">IFERROR(__xludf.DUMMYFUNCTION("""COMPUTED_VALUE"""),"Lasalle Stompers")</f>
        <v>Lasalle Stompers</v>
      </c>
      <c r="F541" s="87" t="str">
        <f t="shared" ca="1" si="0"/>
        <v>2023</v>
      </c>
      <c r="G541" s="1" t="str">
        <f ca="1">IFERROR(__xludf.DUMMYFUNCTION("""COMPUTED_VALUE"""),"Lasalle Stompers")</f>
        <v>Lasalle Stompers</v>
      </c>
      <c r="H541" s="26">
        <f t="shared" ca="1" si="1"/>
        <v>20</v>
      </c>
      <c r="I541" s="26">
        <f t="shared" ca="1" si="2"/>
        <v>1</v>
      </c>
      <c r="J541" s="86">
        <f t="shared" ca="1" si="3"/>
        <v>45104</v>
      </c>
      <c r="R541" s="26"/>
    </row>
    <row r="542" spans="1:18" ht="15.75" customHeight="1">
      <c r="A542" s="26">
        <f ca="1">IFERROR(__xludf.DUMMYFUNCTION("""COMPUTED_VALUE"""),19211)</f>
        <v>19211</v>
      </c>
      <c r="B542" s="86">
        <f ca="1">IFERROR(__xludf.DUMMYFUNCTION("""COMPUTED_VALUE"""),45103.9755208333)</f>
        <v>45103.975520833301</v>
      </c>
      <c r="C542" s="1" t="str">
        <f ca="1">IFERROR(__xludf.DUMMYFUNCTION("""COMPUTED_VALUE"""),"completed")</f>
        <v>completed</v>
      </c>
      <c r="D542" s="26">
        <f ca="1">IFERROR(__xludf.DUMMYFUNCTION("""COMPUTED_VALUE"""),22)</f>
        <v>22</v>
      </c>
      <c r="E542" s="1" t="str">
        <f ca="1">IFERROR(__xludf.DUMMYFUNCTION("""COMPUTED_VALUE"""),"Lasalle Stompers")</f>
        <v>Lasalle Stompers</v>
      </c>
      <c r="F542" s="87" t="str">
        <f t="shared" ca="1" si="0"/>
        <v>2023</v>
      </c>
      <c r="G542" s="1" t="str">
        <f ca="1">IFERROR(__xludf.DUMMYFUNCTION("""COMPUTED_VALUE"""),"Lasalle Stompers")</f>
        <v>Lasalle Stompers</v>
      </c>
      <c r="H542" s="26">
        <f t="shared" ca="1" si="1"/>
        <v>22</v>
      </c>
      <c r="I542" s="26">
        <f t="shared" ca="1" si="2"/>
        <v>1</v>
      </c>
      <c r="J542" s="86">
        <f t="shared" ca="1" si="3"/>
        <v>45103</v>
      </c>
      <c r="R542" s="26"/>
    </row>
    <row r="543" spans="1:18" ht="15.75" customHeight="1">
      <c r="A543" s="26">
        <f ca="1">IFERROR(__xludf.DUMMYFUNCTION("""COMPUTED_VALUE"""),19210)</f>
        <v>19210</v>
      </c>
      <c r="B543" s="86">
        <f ca="1">IFERROR(__xludf.DUMMYFUNCTION("""COMPUTED_VALUE"""),45103.9527546296)</f>
        <v>45103.952754629601</v>
      </c>
      <c r="C543" s="1" t="str">
        <f ca="1">IFERROR(__xludf.DUMMYFUNCTION("""COMPUTED_VALUE"""),"completed")</f>
        <v>completed</v>
      </c>
      <c r="D543" s="26">
        <f ca="1">IFERROR(__xludf.DUMMYFUNCTION("""COMPUTED_VALUE"""),78)</f>
        <v>78</v>
      </c>
      <c r="E543" s="1" t="str">
        <f ca="1">IFERROR(__xludf.DUMMYFUNCTION("""COMPUTED_VALUE"""),"Lasalle Stompers")</f>
        <v>Lasalle Stompers</v>
      </c>
      <c r="F543" s="87" t="str">
        <f t="shared" ca="1" si="0"/>
        <v>2023</v>
      </c>
      <c r="G543" s="1" t="str">
        <f ca="1">IFERROR(__xludf.DUMMYFUNCTION("""COMPUTED_VALUE"""),"Lasalle Stompers")</f>
        <v>Lasalle Stompers</v>
      </c>
      <c r="H543" s="26">
        <f t="shared" ca="1" si="1"/>
        <v>78</v>
      </c>
      <c r="I543" s="26">
        <f t="shared" ca="1" si="2"/>
        <v>1</v>
      </c>
      <c r="J543" s="86">
        <f t="shared" ca="1" si="3"/>
        <v>45103</v>
      </c>
      <c r="R543" s="26"/>
    </row>
    <row r="544" spans="1:18" ht="15.75" customHeight="1">
      <c r="A544" s="26">
        <f ca="1">IFERROR(__xludf.DUMMYFUNCTION("""COMPUTED_VALUE"""),19209)</f>
        <v>19209</v>
      </c>
      <c r="B544" s="86">
        <f ca="1">IFERROR(__xludf.DUMMYFUNCTION("""COMPUTED_VALUE"""),45103.8734606481)</f>
        <v>45103.873460648101</v>
      </c>
      <c r="C544" s="1" t="str">
        <f ca="1">IFERROR(__xludf.DUMMYFUNCTION("""COMPUTED_VALUE"""),"completed")</f>
        <v>completed</v>
      </c>
      <c r="D544" s="26">
        <f ca="1">IFERROR(__xludf.DUMMYFUNCTION("""COMPUTED_VALUE"""),25)</f>
        <v>25</v>
      </c>
      <c r="E544" s="1" t="str">
        <f ca="1">IFERROR(__xludf.DUMMYFUNCTION("""COMPUTED_VALUE"""),"Lasalle Stompers")</f>
        <v>Lasalle Stompers</v>
      </c>
      <c r="F544" s="87" t="str">
        <f t="shared" ca="1" si="0"/>
        <v>2023</v>
      </c>
      <c r="G544" s="1" t="str">
        <f ca="1">IFERROR(__xludf.DUMMYFUNCTION("""COMPUTED_VALUE"""),"Lasalle Stompers")</f>
        <v>Lasalle Stompers</v>
      </c>
      <c r="H544" s="26">
        <f t="shared" ca="1" si="1"/>
        <v>25</v>
      </c>
      <c r="I544" s="26">
        <f t="shared" ca="1" si="2"/>
        <v>1</v>
      </c>
      <c r="J544" s="86">
        <f t="shared" ca="1" si="3"/>
        <v>45103</v>
      </c>
      <c r="R544" s="26"/>
    </row>
    <row r="545" spans="1:18" ht="15.75" customHeight="1">
      <c r="A545" s="26">
        <f ca="1">IFERROR(__xludf.DUMMYFUNCTION("""COMPUTED_VALUE"""),19208)</f>
        <v>19208</v>
      </c>
      <c r="B545" s="86">
        <f ca="1">IFERROR(__xludf.DUMMYFUNCTION("""COMPUTED_VALUE"""),45103.8694560185)</f>
        <v>45103.869456018503</v>
      </c>
      <c r="C545" s="1" t="str">
        <f ca="1">IFERROR(__xludf.DUMMYFUNCTION("""COMPUTED_VALUE"""),"completed")</f>
        <v>completed</v>
      </c>
      <c r="D545" s="26">
        <f ca="1">IFERROR(__xludf.DUMMYFUNCTION("""COMPUTED_VALUE"""),25)</f>
        <v>25</v>
      </c>
      <c r="E545" s="1" t="str">
        <f ca="1">IFERROR(__xludf.DUMMYFUNCTION("""COMPUTED_VALUE"""),"Lasalle Stompers")</f>
        <v>Lasalle Stompers</v>
      </c>
      <c r="F545" s="87" t="str">
        <f t="shared" ca="1" si="0"/>
        <v>2023</v>
      </c>
      <c r="G545" s="1" t="str">
        <f ca="1">IFERROR(__xludf.DUMMYFUNCTION("""COMPUTED_VALUE"""),"Lasalle Stompers")</f>
        <v>Lasalle Stompers</v>
      </c>
      <c r="H545" s="26">
        <f t="shared" ca="1" si="1"/>
        <v>25</v>
      </c>
      <c r="I545" s="26">
        <f t="shared" ca="1" si="2"/>
        <v>1</v>
      </c>
      <c r="J545" s="86">
        <f t="shared" ca="1" si="3"/>
        <v>45103</v>
      </c>
      <c r="R545" s="26"/>
    </row>
    <row r="546" spans="1:18" ht="15.75" customHeight="1">
      <c r="A546" s="26">
        <f ca="1">IFERROR(__xludf.DUMMYFUNCTION("""COMPUTED_VALUE"""),19207)</f>
        <v>19207</v>
      </c>
      <c r="B546" s="86">
        <f ca="1">IFERROR(__xludf.DUMMYFUNCTION("""COMPUTED_VALUE"""),45103.8088541666)</f>
        <v>45103.8088541666</v>
      </c>
      <c r="C546" s="1" t="str">
        <f ca="1">IFERROR(__xludf.DUMMYFUNCTION("""COMPUTED_VALUE"""),"completed")</f>
        <v>completed</v>
      </c>
      <c r="D546" s="26">
        <f ca="1">IFERROR(__xludf.DUMMYFUNCTION("""COMPUTED_VALUE"""),26)</f>
        <v>26</v>
      </c>
      <c r="E546" s="1" t="str">
        <f ca="1">IFERROR(__xludf.DUMMYFUNCTION("""COMPUTED_VALUE"""),"Lasalle Stompers")</f>
        <v>Lasalle Stompers</v>
      </c>
      <c r="F546" s="87" t="str">
        <f t="shared" ca="1" si="0"/>
        <v>2023</v>
      </c>
      <c r="G546" s="1" t="str">
        <f ca="1">IFERROR(__xludf.DUMMYFUNCTION("""COMPUTED_VALUE"""),"KingsVille Minor Baseball")</f>
        <v>KingsVille Minor Baseball</v>
      </c>
      <c r="H546" s="26">
        <f t="shared" ca="1" si="1"/>
        <v>26</v>
      </c>
      <c r="I546" s="26">
        <f t="shared" ca="1" si="2"/>
        <v>1</v>
      </c>
      <c r="J546" s="86">
        <f t="shared" ca="1" si="3"/>
        <v>45103</v>
      </c>
      <c r="R546" s="26"/>
    </row>
    <row r="547" spans="1:18" ht="15.75" customHeight="1">
      <c r="A547" s="26">
        <f ca="1">IFERROR(__xludf.DUMMYFUNCTION("""COMPUTED_VALUE"""),19206)</f>
        <v>19206</v>
      </c>
      <c r="B547" s="86">
        <f ca="1">IFERROR(__xludf.DUMMYFUNCTION("""COMPUTED_VALUE"""),45103.7033217592)</f>
        <v>45103.703321759203</v>
      </c>
      <c r="C547" s="1" t="str">
        <f ca="1">IFERROR(__xludf.DUMMYFUNCTION("""COMPUTED_VALUE"""),"completed")</f>
        <v>completed</v>
      </c>
      <c r="D547" s="26">
        <f ca="1">IFERROR(__xludf.DUMMYFUNCTION("""COMPUTED_VALUE"""),15)</f>
        <v>15</v>
      </c>
      <c r="E547" s="1" t="str">
        <f ca="1">IFERROR(__xludf.DUMMYFUNCTION("""COMPUTED_VALUE"""),"KingsVille Minor Baseball")</f>
        <v>KingsVille Minor Baseball</v>
      </c>
      <c r="F547" s="87" t="str">
        <f t="shared" ca="1" si="0"/>
        <v>2023</v>
      </c>
      <c r="G547" s="1" t="str">
        <f ca="1">IFERROR(__xludf.DUMMYFUNCTION("""COMPUTED_VALUE"""),"Lasalle Stompers")</f>
        <v>Lasalle Stompers</v>
      </c>
      <c r="H547" s="26">
        <f t="shared" ca="1" si="1"/>
        <v>15</v>
      </c>
      <c r="I547" s="26">
        <f t="shared" ca="1" si="2"/>
        <v>1</v>
      </c>
      <c r="J547" s="86">
        <f t="shared" ca="1" si="3"/>
        <v>45103</v>
      </c>
      <c r="R547" s="26"/>
    </row>
    <row r="548" spans="1:18" ht="15.75" customHeight="1">
      <c r="A548" s="26">
        <f ca="1">IFERROR(__xludf.DUMMYFUNCTION("""COMPUTED_VALUE"""),19205)</f>
        <v>19205</v>
      </c>
      <c r="B548" s="86">
        <f ca="1">IFERROR(__xludf.DUMMYFUNCTION("""COMPUTED_VALUE"""),45103.6571180555)</f>
        <v>45103.657118055497</v>
      </c>
      <c r="C548" s="1" t="str">
        <f ca="1">IFERROR(__xludf.DUMMYFUNCTION("""COMPUTED_VALUE"""),"completed")</f>
        <v>completed</v>
      </c>
      <c r="D548" s="26">
        <f ca="1">IFERROR(__xludf.DUMMYFUNCTION("""COMPUTED_VALUE"""),20)</f>
        <v>20</v>
      </c>
      <c r="E548" s="1" t="str">
        <f ca="1">IFERROR(__xludf.DUMMYFUNCTION("""COMPUTED_VALUE"""),"Lasalle Stompers")</f>
        <v>Lasalle Stompers</v>
      </c>
      <c r="F548" s="87" t="str">
        <f t="shared" ca="1" si="0"/>
        <v>2023</v>
      </c>
      <c r="G548" s="1" t="str">
        <f ca="1">IFERROR(__xludf.DUMMYFUNCTION("""COMPUTED_VALUE"""),"Lasalle Stompers")</f>
        <v>Lasalle Stompers</v>
      </c>
      <c r="H548" s="26">
        <f t="shared" ca="1" si="1"/>
        <v>20</v>
      </c>
      <c r="I548" s="26">
        <f t="shared" ca="1" si="2"/>
        <v>1</v>
      </c>
      <c r="J548" s="86">
        <f t="shared" ca="1" si="3"/>
        <v>45103</v>
      </c>
      <c r="R548" s="26"/>
    </row>
    <row r="549" spans="1:18" ht="15.75" customHeight="1">
      <c r="A549" s="26">
        <f ca="1">IFERROR(__xludf.DUMMYFUNCTION("""COMPUTED_VALUE"""),19204)</f>
        <v>19204</v>
      </c>
      <c r="B549" s="86">
        <f ca="1">IFERROR(__xludf.DUMMYFUNCTION("""COMPUTED_VALUE"""),45103.6499768518)</f>
        <v>45103.649976851797</v>
      </c>
      <c r="C549" s="1" t="str">
        <f ca="1">IFERROR(__xludf.DUMMYFUNCTION("""COMPUTED_VALUE"""),"completed")</f>
        <v>completed</v>
      </c>
      <c r="D549" s="26">
        <f ca="1">IFERROR(__xludf.DUMMYFUNCTION("""COMPUTED_VALUE"""),25)</f>
        <v>25</v>
      </c>
      <c r="E549" s="1" t="str">
        <f ca="1">IFERROR(__xludf.DUMMYFUNCTION("""COMPUTED_VALUE"""),"Lasalle Stompers")</f>
        <v>Lasalle Stompers</v>
      </c>
      <c r="F549" s="87" t="str">
        <f t="shared" ca="1" si="0"/>
        <v>2023</v>
      </c>
      <c r="G549" s="1" t="str">
        <f ca="1">IFERROR(__xludf.DUMMYFUNCTION("""COMPUTED_VALUE"""),"Lasalle Stompers")</f>
        <v>Lasalle Stompers</v>
      </c>
      <c r="H549" s="26">
        <f t="shared" ca="1" si="1"/>
        <v>25</v>
      </c>
      <c r="I549" s="26">
        <f t="shared" ca="1" si="2"/>
        <v>1</v>
      </c>
      <c r="J549" s="86">
        <f t="shared" ca="1" si="3"/>
        <v>45103</v>
      </c>
      <c r="R549" s="26"/>
    </row>
    <row r="550" spans="1:18" ht="15.75" customHeight="1">
      <c r="A550" s="26">
        <f ca="1">IFERROR(__xludf.DUMMYFUNCTION("""COMPUTED_VALUE"""),19203)</f>
        <v>19203</v>
      </c>
      <c r="B550" s="86">
        <f ca="1">IFERROR(__xludf.DUMMYFUNCTION("""COMPUTED_VALUE"""),45103.5592129629)</f>
        <v>45103.5592129629</v>
      </c>
      <c r="C550" s="1" t="str">
        <f ca="1">IFERROR(__xludf.DUMMYFUNCTION("""COMPUTED_VALUE"""),"completed")</f>
        <v>completed</v>
      </c>
      <c r="D550" s="26">
        <f ca="1">IFERROR(__xludf.DUMMYFUNCTION("""COMPUTED_VALUE"""),0)</f>
        <v>0</v>
      </c>
      <c r="E550" s="1" t="str">
        <f ca="1">IFERROR(__xludf.DUMMYFUNCTION("""COMPUTED_VALUE"""),"Lasalle Stompers")</f>
        <v>Lasalle Stompers</v>
      </c>
      <c r="F550" s="87" t="str">
        <f t="shared" ca="1" si="0"/>
        <v>2023</v>
      </c>
      <c r="G550" s="1" t="str">
        <f ca="1">IFERROR(__xludf.DUMMYFUNCTION("""COMPUTED_VALUE"""),"Lasalle Stompers")</f>
        <v>Lasalle Stompers</v>
      </c>
      <c r="H550" s="26">
        <f t="shared" ca="1" si="1"/>
        <v>0</v>
      </c>
      <c r="I550" s="26">
        <f t="shared" ca="1" si="2"/>
        <v>1</v>
      </c>
      <c r="J550" s="86">
        <f t="shared" ca="1" si="3"/>
        <v>45103</v>
      </c>
      <c r="R550" s="26"/>
    </row>
    <row r="551" spans="1:18" ht="15.75" customHeight="1">
      <c r="A551" s="26">
        <f ca="1">IFERROR(__xludf.DUMMYFUNCTION("""COMPUTED_VALUE"""),19202)</f>
        <v>19202</v>
      </c>
      <c r="B551" s="86">
        <f ca="1">IFERROR(__xludf.DUMMYFUNCTION("""COMPUTED_VALUE"""),45103.5577893518)</f>
        <v>45103.557789351798</v>
      </c>
      <c r="C551" s="1" t="str">
        <f ca="1">IFERROR(__xludf.DUMMYFUNCTION("""COMPUTED_VALUE"""),"completed")</f>
        <v>completed</v>
      </c>
      <c r="D551" s="26">
        <f ca="1">IFERROR(__xludf.DUMMYFUNCTION("""COMPUTED_VALUE"""),18)</f>
        <v>18</v>
      </c>
      <c r="E551" s="1" t="str">
        <f ca="1">IFERROR(__xludf.DUMMYFUNCTION("""COMPUTED_VALUE"""),"Lasalle Stompers")</f>
        <v>Lasalle Stompers</v>
      </c>
      <c r="F551" s="87" t="str">
        <f t="shared" ca="1" si="0"/>
        <v>2023</v>
      </c>
      <c r="G551" s="1" t="str">
        <f ca="1">IFERROR(__xludf.DUMMYFUNCTION("""COMPUTED_VALUE"""),"Lasalle Stompers")</f>
        <v>Lasalle Stompers</v>
      </c>
      <c r="H551" s="26">
        <f t="shared" ca="1" si="1"/>
        <v>18</v>
      </c>
      <c r="I551" s="26">
        <f t="shared" ca="1" si="2"/>
        <v>1</v>
      </c>
      <c r="J551" s="86">
        <f t="shared" ca="1" si="3"/>
        <v>45103</v>
      </c>
      <c r="R551" s="26"/>
    </row>
    <row r="552" spans="1:18" ht="15.75" customHeight="1">
      <c r="A552" s="26">
        <f ca="1">IFERROR(__xludf.DUMMYFUNCTION("""COMPUTED_VALUE"""),19201)</f>
        <v>19201</v>
      </c>
      <c r="B552" s="86">
        <f ca="1">IFERROR(__xludf.DUMMYFUNCTION("""COMPUTED_VALUE"""),45103.0638194444)</f>
        <v>45103.063819444404</v>
      </c>
      <c r="C552" s="1" t="str">
        <f ca="1">IFERROR(__xludf.DUMMYFUNCTION("""COMPUTED_VALUE"""),"completed")</f>
        <v>completed</v>
      </c>
      <c r="D552" s="26">
        <f ca="1">IFERROR(__xludf.DUMMYFUNCTION("""COMPUTED_VALUE"""),15)</f>
        <v>15</v>
      </c>
      <c r="E552" s="1" t="str">
        <f ca="1">IFERROR(__xludf.DUMMYFUNCTION("""COMPUTED_VALUE"""),"Lasalle Stompers")</f>
        <v>Lasalle Stompers</v>
      </c>
      <c r="F552" s="87" t="str">
        <f t="shared" ca="1" si="0"/>
        <v>2023</v>
      </c>
      <c r="G552" s="1" t="str">
        <f ca="1">IFERROR(__xludf.DUMMYFUNCTION("""COMPUTED_VALUE"""),"Lasalle Stompers")</f>
        <v>Lasalle Stompers</v>
      </c>
      <c r="H552" s="26">
        <f t="shared" ca="1" si="1"/>
        <v>15</v>
      </c>
      <c r="I552" s="26">
        <f t="shared" ca="1" si="2"/>
        <v>1</v>
      </c>
      <c r="J552" s="86">
        <f t="shared" ca="1" si="3"/>
        <v>45103</v>
      </c>
      <c r="R552" s="26"/>
    </row>
    <row r="553" spans="1:18" ht="15.75" customHeight="1">
      <c r="A553" s="26">
        <f ca="1">IFERROR(__xludf.DUMMYFUNCTION("""COMPUTED_VALUE"""),19200)</f>
        <v>19200</v>
      </c>
      <c r="B553" s="86">
        <f ca="1">IFERROR(__xludf.DUMMYFUNCTION("""COMPUTED_VALUE"""),45103.0346180555)</f>
        <v>45103.034618055499</v>
      </c>
      <c r="C553" s="1" t="str">
        <f ca="1">IFERROR(__xludf.DUMMYFUNCTION("""COMPUTED_VALUE"""),"refunded")</f>
        <v>refunded</v>
      </c>
      <c r="D553" s="26">
        <f ca="1">IFERROR(__xludf.DUMMYFUNCTION("""COMPUTED_VALUE"""),25)</f>
        <v>25</v>
      </c>
      <c r="E553" s="1" t="str">
        <f ca="1">IFERROR(__xludf.DUMMYFUNCTION("""COMPUTED_VALUE"""),"Lasalle Stompers")</f>
        <v>Lasalle Stompers</v>
      </c>
      <c r="F553" s="87" t="str">
        <f t="shared" ca="1" si="0"/>
        <v>2023</v>
      </c>
      <c r="G553" s="1" t="str">
        <f ca="1">IFERROR(__xludf.DUMMYFUNCTION("""COMPUTED_VALUE"""),"Lasalle Stompers")</f>
        <v>Lasalle Stompers</v>
      </c>
      <c r="H553" s="26">
        <f t="shared" ca="1" si="1"/>
        <v>25</v>
      </c>
      <c r="I553" s="26">
        <f t="shared" ca="1" si="2"/>
        <v>1</v>
      </c>
      <c r="J553" s="86">
        <f t="shared" ca="1" si="3"/>
        <v>45103</v>
      </c>
      <c r="R553" s="26"/>
    </row>
    <row r="554" spans="1:18" ht="15.75" customHeight="1">
      <c r="A554" s="26">
        <f ca="1">IFERROR(__xludf.DUMMYFUNCTION("""COMPUTED_VALUE"""),19199)</f>
        <v>19199</v>
      </c>
      <c r="B554" s="86">
        <f ca="1">IFERROR(__xludf.DUMMYFUNCTION("""COMPUTED_VALUE"""),45102.9907407407)</f>
        <v>45102.990740740701</v>
      </c>
      <c r="C554" s="1" t="str">
        <f ca="1">IFERROR(__xludf.DUMMYFUNCTION("""COMPUTED_VALUE"""),"completed")</f>
        <v>completed</v>
      </c>
      <c r="D554" s="26">
        <f ca="1">IFERROR(__xludf.DUMMYFUNCTION("""COMPUTED_VALUE"""),52)</f>
        <v>52</v>
      </c>
      <c r="E554" s="1" t="str">
        <f ca="1">IFERROR(__xludf.DUMMYFUNCTION("""COMPUTED_VALUE"""),"Lasalle Stompers")</f>
        <v>Lasalle Stompers</v>
      </c>
      <c r="F554" s="87" t="str">
        <f t="shared" ca="1" si="0"/>
        <v>2023</v>
      </c>
      <c r="G554" s="1" t="str">
        <f ca="1">IFERROR(__xludf.DUMMYFUNCTION("""COMPUTED_VALUE"""),"Lasalle Stompers")</f>
        <v>Lasalle Stompers</v>
      </c>
      <c r="H554" s="26">
        <f t="shared" ca="1" si="1"/>
        <v>52</v>
      </c>
      <c r="I554" s="26">
        <f t="shared" ca="1" si="2"/>
        <v>1</v>
      </c>
      <c r="J554" s="86">
        <f t="shared" ca="1" si="3"/>
        <v>45102</v>
      </c>
      <c r="R554" s="26"/>
    </row>
    <row r="555" spans="1:18" ht="15.75" customHeight="1">
      <c r="A555" s="26">
        <f ca="1">IFERROR(__xludf.DUMMYFUNCTION("""COMPUTED_VALUE"""),19198)</f>
        <v>19198</v>
      </c>
      <c r="B555" s="86">
        <f ca="1">IFERROR(__xludf.DUMMYFUNCTION("""COMPUTED_VALUE"""),45102.9892824074)</f>
        <v>45102.989282407398</v>
      </c>
      <c r="C555" s="1" t="str">
        <f ca="1">IFERROR(__xludf.DUMMYFUNCTION("""COMPUTED_VALUE"""),"completed")</f>
        <v>completed</v>
      </c>
      <c r="D555" s="26">
        <f ca="1">IFERROR(__xludf.DUMMYFUNCTION("""COMPUTED_VALUE"""),35)</f>
        <v>35</v>
      </c>
      <c r="E555" s="1" t="str">
        <f ca="1">IFERROR(__xludf.DUMMYFUNCTION("""COMPUTED_VALUE"""),"Lasalle Stompers")</f>
        <v>Lasalle Stompers</v>
      </c>
      <c r="F555" s="87" t="str">
        <f t="shared" ca="1" si="0"/>
        <v>2023</v>
      </c>
      <c r="G555" s="1" t="str">
        <f ca="1">IFERROR(__xludf.DUMMYFUNCTION("""COMPUTED_VALUE"""),"Lasalle Stompers")</f>
        <v>Lasalle Stompers</v>
      </c>
      <c r="H555" s="26">
        <f t="shared" ca="1" si="1"/>
        <v>35</v>
      </c>
      <c r="I555" s="26">
        <f t="shared" ca="1" si="2"/>
        <v>1</v>
      </c>
      <c r="J555" s="86">
        <f t="shared" ca="1" si="3"/>
        <v>45102</v>
      </c>
      <c r="R555" s="26"/>
    </row>
    <row r="556" spans="1:18" ht="15.75" customHeight="1">
      <c r="A556" s="26">
        <f ca="1">IFERROR(__xludf.DUMMYFUNCTION("""COMPUTED_VALUE"""),19197)</f>
        <v>19197</v>
      </c>
      <c r="B556" s="86">
        <f ca="1">IFERROR(__xludf.DUMMYFUNCTION("""COMPUTED_VALUE"""),45102.8746527777)</f>
        <v>45102.874652777697</v>
      </c>
      <c r="C556" s="1" t="str">
        <f ca="1">IFERROR(__xludf.DUMMYFUNCTION("""COMPUTED_VALUE"""),"completed")</f>
        <v>completed</v>
      </c>
      <c r="D556" s="26">
        <f ca="1">IFERROR(__xludf.DUMMYFUNCTION("""COMPUTED_VALUE"""),53)</f>
        <v>53</v>
      </c>
      <c r="E556" s="1" t="str">
        <f ca="1">IFERROR(__xludf.DUMMYFUNCTION("""COMPUTED_VALUE"""),"Lasalle Stompers")</f>
        <v>Lasalle Stompers</v>
      </c>
      <c r="F556" s="87" t="str">
        <f t="shared" ca="1" si="0"/>
        <v>2023</v>
      </c>
      <c r="G556" s="1" t="str">
        <f ca="1">IFERROR(__xludf.DUMMYFUNCTION("""COMPUTED_VALUE"""),"Lasalle Stompers")</f>
        <v>Lasalle Stompers</v>
      </c>
      <c r="H556" s="26">
        <f t="shared" ca="1" si="1"/>
        <v>53</v>
      </c>
      <c r="I556" s="26">
        <f t="shared" ca="1" si="2"/>
        <v>1</v>
      </c>
      <c r="J556" s="86">
        <f t="shared" ca="1" si="3"/>
        <v>45102</v>
      </c>
      <c r="R556" s="26"/>
    </row>
    <row r="557" spans="1:18" ht="15.75" customHeight="1">
      <c r="A557" s="26">
        <f ca="1">IFERROR(__xludf.DUMMYFUNCTION("""COMPUTED_VALUE"""),19196)</f>
        <v>19196</v>
      </c>
      <c r="B557" s="86">
        <f ca="1">IFERROR(__xludf.DUMMYFUNCTION("""COMPUTED_VALUE"""),45102.8727314814)</f>
        <v>45102.872731481402</v>
      </c>
      <c r="C557" s="1" t="str">
        <f ca="1">IFERROR(__xludf.DUMMYFUNCTION("""COMPUTED_VALUE"""),"completed")</f>
        <v>completed</v>
      </c>
      <c r="D557" s="26">
        <f ca="1">IFERROR(__xludf.DUMMYFUNCTION("""COMPUTED_VALUE"""),15)</f>
        <v>15</v>
      </c>
      <c r="E557" s="1" t="str">
        <f ca="1">IFERROR(__xludf.DUMMYFUNCTION("""COMPUTED_VALUE"""),"Lasalle Stompers")</f>
        <v>Lasalle Stompers</v>
      </c>
      <c r="F557" s="87" t="str">
        <f t="shared" ca="1" si="0"/>
        <v>2023</v>
      </c>
      <c r="G557" s="1" t="str">
        <f ca="1">IFERROR(__xludf.DUMMYFUNCTION("""COMPUTED_VALUE"""),"Lasalle Stompers")</f>
        <v>Lasalle Stompers</v>
      </c>
      <c r="H557" s="26">
        <f t="shared" ca="1" si="1"/>
        <v>15</v>
      </c>
      <c r="I557" s="26">
        <f t="shared" ca="1" si="2"/>
        <v>1</v>
      </c>
      <c r="J557" s="86">
        <f t="shared" ca="1" si="3"/>
        <v>45102</v>
      </c>
      <c r="R557" s="26"/>
    </row>
    <row r="558" spans="1:18" ht="15.75" customHeight="1">
      <c r="A558" s="26">
        <f ca="1">IFERROR(__xludf.DUMMYFUNCTION("""COMPUTED_VALUE"""),19195)</f>
        <v>19195</v>
      </c>
      <c r="B558" s="86">
        <f ca="1">IFERROR(__xludf.DUMMYFUNCTION("""COMPUTED_VALUE"""),45102.8706597222)</f>
        <v>45102.870659722197</v>
      </c>
      <c r="C558" s="1" t="str">
        <f ca="1">IFERROR(__xludf.DUMMYFUNCTION("""COMPUTED_VALUE"""),"completed")</f>
        <v>completed</v>
      </c>
      <c r="D558" s="26">
        <f ca="1">IFERROR(__xludf.DUMMYFUNCTION("""COMPUTED_VALUE"""),15)</f>
        <v>15</v>
      </c>
      <c r="E558" s="1" t="str">
        <f ca="1">IFERROR(__xludf.DUMMYFUNCTION("""COMPUTED_VALUE"""),"Lasalle Stompers")</f>
        <v>Lasalle Stompers</v>
      </c>
      <c r="F558" s="87" t="str">
        <f t="shared" ca="1" si="0"/>
        <v>2023</v>
      </c>
      <c r="G558" s="1" t="str">
        <f ca="1">IFERROR(__xludf.DUMMYFUNCTION("""COMPUTED_VALUE"""),"Lasalle Stompers")</f>
        <v>Lasalle Stompers</v>
      </c>
      <c r="H558" s="26">
        <f t="shared" ca="1" si="1"/>
        <v>15</v>
      </c>
      <c r="I558" s="26">
        <f t="shared" ca="1" si="2"/>
        <v>1</v>
      </c>
      <c r="J558" s="86">
        <f t="shared" ca="1" si="3"/>
        <v>45102</v>
      </c>
      <c r="R558" s="26"/>
    </row>
    <row r="559" spans="1:18" ht="15.75" customHeight="1">
      <c r="A559" s="26">
        <f ca="1">IFERROR(__xludf.DUMMYFUNCTION("""COMPUTED_VALUE"""),19194)</f>
        <v>19194</v>
      </c>
      <c r="B559" s="86">
        <f ca="1">IFERROR(__xludf.DUMMYFUNCTION("""COMPUTED_VALUE"""),45102.7992939813)</f>
        <v>45102.799293981399</v>
      </c>
      <c r="C559" s="1" t="str">
        <f ca="1">IFERROR(__xludf.DUMMYFUNCTION("""COMPUTED_VALUE"""),"completed")</f>
        <v>completed</v>
      </c>
      <c r="D559" s="26">
        <f ca="1">IFERROR(__xludf.DUMMYFUNCTION("""COMPUTED_VALUE"""),28)</f>
        <v>28</v>
      </c>
      <c r="E559" s="1" t="str">
        <f ca="1">IFERROR(__xludf.DUMMYFUNCTION("""COMPUTED_VALUE"""),"Lasalle Stompers")</f>
        <v>Lasalle Stompers</v>
      </c>
      <c r="F559" s="87" t="str">
        <f t="shared" ca="1" si="0"/>
        <v>2023</v>
      </c>
      <c r="G559" s="1" t="str">
        <f ca="1">IFERROR(__xludf.DUMMYFUNCTION("""COMPUTED_VALUE"""),"Lasalle Stompers")</f>
        <v>Lasalle Stompers</v>
      </c>
      <c r="H559" s="26">
        <f t="shared" ca="1" si="1"/>
        <v>28</v>
      </c>
      <c r="I559" s="26">
        <f t="shared" ca="1" si="2"/>
        <v>1</v>
      </c>
      <c r="J559" s="86">
        <f t="shared" ca="1" si="3"/>
        <v>45102</v>
      </c>
      <c r="R559" s="26"/>
    </row>
    <row r="560" spans="1:18" ht="15.75" customHeight="1">
      <c r="A560" s="26">
        <f ca="1">IFERROR(__xludf.DUMMYFUNCTION("""COMPUTED_VALUE"""),19193)</f>
        <v>19193</v>
      </c>
      <c r="B560" s="86">
        <f ca="1">IFERROR(__xludf.DUMMYFUNCTION("""COMPUTED_VALUE"""),45102.631261574)</f>
        <v>45102.631261574003</v>
      </c>
      <c r="C560" s="1" t="str">
        <f ca="1">IFERROR(__xludf.DUMMYFUNCTION("""COMPUTED_VALUE"""),"completed")</f>
        <v>completed</v>
      </c>
      <c r="D560" s="26">
        <f ca="1">IFERROR(__xludf.DUMMYFUNCTION("""COMPUTED_VALUE"""),26)</f>
        <v>26</v>
      </c>
      <c r="E560" s="1" t="str">
        <f ca="1">IFERROR(__xludf.DUMMYFUNCTION("""COMPUTED_VALUE"""),"Lasalle Stompers")</f>
        <v>Lasalle Stompers</v>
      </c>
      <c r="F560" s="87" t="str">
        <f t="shared" ca="1" si="0"/>
        <v>2023</v>
      </c>
      <c r="G560" s="1" t="str">
        <f ca="1">IFERROR(__xludf.DUMMYFUNCTION("""COMPUTED_VALUE"""),"Lasalle Stompers")</f>
        <v>Lasalle Stompers</v>
      </c>
      <c r="H560" s="26">
        <f t="shared" ca="1" si="1"/>
        <v>26</v>
      </c>
      <c r="I560" s="26">
        <f t="shared" ca="1" si="2"/>
        <v>1</v>
      </c>
      <c r="J560" s="86">
        <f t="shared" ca="1" si="3"/>
        <v>45102</v>
      </c>
      <c r="R560" s="26"/>
    </row>
    <row r="561" spans="1:18" ht="15.75" customHeight="1">
      <c r="A561" s="26">
        <f ca="1">IFERROR(__xludf.DUMMYFUNCTION("""COMPUTED_VALUE"""),19192)</f>
        <v>19192</v>
      </c>
      <c r="B561" s="86">
        <f ca="1">IFERROR(__xludf.DUMMYFUNCTION("""COMPUTED_VALUE"""),45102.6086921296)</f>
        <v>45102.608692129601</v>
      </c>
      <c r="C561" s="1" t="str">
        <f ca="1">IFERROR(__xludf.DUMMYFUNCTION("""COMPUTED_VALUE"""),"completed")</f>
        <v>completed</v>
      </c>
      <c r="D561" s="26">
        <f ca="1">IFERROR(__xludf.DUMMYFUNCTION("""COMPUTED_VALUE"""),15)</f>
        <v>15</v>
      </c>
      <c r="E561" s="1" t="str">
        <f ca="1">IFERROR(__xludf.DUMMYFUNCTION("""COMPUTED_VALUE"""),"Lasalle Stompers")</f>
        <v>Lasalle Stompers</v>
      </c>
      <c r="F561" s="87" t="str">
        <f t="shared" ca="1" si="0"/>
        <v>2023</v>
      </c>
      <c r="G561" s="1" t="str">
        <f ca="1">IFERROR(__xludf.DUMMYFUNCTION("""COMPUTED_VALUE"""),"Lasalle Stompers")</f>
        <v>Lasalle Stompers</v>
      </c>
      <c r="H561" s="26">
        <f t="shared" ca="1" si="1"/>
        <v>15</v>
      </c>
      <c r="I561" s="26">
        <f t="shared" ca="1" si="2"/>
        <v>1</v>
      </c>
      <c r="J561" s="86">
        <f t="shared" ca="1" si="3"/>
        <v>45102</v>
      </c>
      <c r="R561" s="26"/>
    </row>
    <row r="562" spans="1:18" ht="15.75" customHeight="1">
      <c r="A562" s="26">
        <f ca="1">IFERROR(__xludf.DUMMYFUNCTION("""COMPUTED_VALUE"""),19191)</f>
        <v>19191</v>
      </c>
      <c r="B562" s="86">
        <f ca="1">IFERROR(__xludf.DUMMYFUNCTION("""COMPUTED_VALUE"""),45102.6081134259)</f>
        <v>45102.6081134259</v>
      </c>
      <c r="C562" s="1" t="str">
        <f ca="1">IFERROR(__xludf.DUMMYFUNCTION("""COMPUTED_VALUE"""),"completed")</f>
        <v>completed</v>
      </c>
      <c r="D562" s="26">
        <f ca="1">IFERROR(__xludf.DUMMYFUNCTION("""COMPUTED_VALUE"""),28)</f>
        <v>28</v>
      </c>
      <c r="E562" s="1" t="str">
        <f ca="1">IFERROR(__xludf.DUMMYFUNCTION("""COMPUTED_VALUE"""),"Lasalle Stompers")</f>
        <v>Lasalle Stompers</v>
      </c>
      <c r="F562" s="87" t="str">
        <f t="shared" ca="1" si="0"/>
        <v>2023</v>
      </c>
      <c r="G562" s="1" t="str">
        <f ca="1">IFERROR(__xludf.DUMMYFUNCTION("""COMPUTED_VALUE"""),"Lasalle Stompers")</f>
        <v>Lasalle Stompers</v>
      </c>
      <c r="H562" s="26">
        <f t="shared" ca="1" si="1"/>
        <v>28</v>
      </c>
      <c r="I562" s="26">
        <f t="shared" ca="1" si="2"/>
        <v>1</v>
      </c>
      <c r="J562" s="86">
        <f t="shared" ca="1" si="3"/>
        <v>45102</v>
      </c>
      <c r="R562" s="26"/>
    </row>
    <row r="563" spans="1:18" ht="15.75" customHeight="1">
      <c r="A563" s="26">
        <f ca="1">IFERROR(__xludf.DUMMYFUNCTION("""COMPUTED_VALUE"""),19190)</f>
        <v>19190</v>
      </c>
      <c r="B563" s="86">
        <f ca="1">IFERROR(__xludf.DUMMYFUNCTION("""COMPUTED_VALUE"""),45102.6072106481)</f>
        <v>45102.607210648101</v>
      </c>
      <c r="C563" s="1" t="str">
        <f ca="1">IFERROR(__xludf.DUMMYFUNCTION("""COMPUTED_VALUE"""),"completed")</f>
        <v>completed</v>
      </c>
      <c r="D563" s="26">
        <f ca="1">IFERROR(__xludf.DUMMYFUNCTION("""COMPUTED_VALUE"""),25)</f>
        <v>25</v>
      </c>
      <c r="E563" s="1" t="str">
        <f ca="1">IFERROR(__xludf.DUMMYFUNCTION("""COMPUTED_VALUE"""),"Lasalle Stompers")</f>
        <v>Lasalle Stompers</v>
      </c>
      <c r="F563" s="87" t="str">
        <f t="shared" ca="1" si="0"/>
        <v>2023</v>
      </c>
      <c r="G563" s="1" t="str">
        <f ca="1">IFERROR(__xludf.DUMMYFUNCTION("""COMPUTED_VALUE"""),"Lasalle Stompers")</f>
        <v>Lasalle Stompers</v>
      </c>
      <c r="H563" s="26">
        <f t="shared" ca="1" si="1"/>
        <v>25</v>
      </c>
      <c r="I563" s="26">
        <f t="shared" ca="1" si="2"/>
        <v>1</v>
      </c>
      <c r="J563" s="86">
        <f t="shared" ca="1" si="3"/>
        <v>45102</v>
      </c>
      <c r="R563" s="26"/>
    </row>
    <row r="564" spans="1:18" ht="15.75" customHeight="1">
      <c r="A564" s="26">
        <f ca="1">IFERROR(__xludf.DUMMYFUNCTION("""COMPUTED_VALUE"""),19189)</f>
        <v>19189</v>
      </c>
      <c r="B564" s="86">
        <f ca="1">IFERROR(__xludf.DUMMYFUNCTION("""COMPUTED_VALUE"""),45102.5978935185)</f>
        <v>45102.597893518498</v>
      </c>
      <c r="C564" s="1" t="str">
        <f ca="1">IFERROR(__xludf.DUMMYFUNCTION("""COMPUTED_VALUE"""),"completed")</f>
        <v>completed</v>
      </c>
      <c r="D564" s="26">
        <f ca="1">IFERROR(__xludf.DUMMYFUNCTION("""COMPUTED_VALUE"""),26)</f>
        <v>26</v>
      </c>
      <c r="E564" s="1" t="str">
        <f ca="1">IFERROR(__xludf.DUMMYFUNCTION("""COMPUTED_VALUE"""),"Lasalle Stompers")</f>
        <v>Lasalle Stompers</v>
      </c>
      <c r="F564" s="87" t="str">
        <f t="shared" ca="1" si="0"/>
        <v>2023</v>
      </c>
      <c r="G564" s="1" t="str">
        <f ca="1">IFERROR(__xludf.DUMMYFUNCTION("""COMPUTED_VALUE"""),"House League")</f>
        <v>House League</v>
      </c>
      <c r="H564" s="26">
        <f t="shared" ca="1" si="1"/>
        <v>26</v>
      </c>
      <c r="I564" s="26">
        <f t="shared" ca="1" si="2"/>
        <v>1</v>
      </c>
      <c r="J564" s="86">
        <f t="shared" ca="1" si="3"/>
        <v>45102</v>
      </c>
      <c r="R564" s="26"/>
    </row>
    <row r="565" spans="1:18" ht="15.75" customHeight="1">
      <c r="A565" s="26">
        <f ca="1">IFERROR(__xludf.DUMMYFUNCTION("""COMPUTED_VALUE"""),19188)</f>
        <v>19188</v>
      </c>
      <c r="B565" s="86">
        <f ca="1">IFERROR(__xludf.DUMMYFUNCTION("""COMPUTED_VALUE"""),45102.5951388888)</f>
        <v>45102.595138888799</v>
      </c>
      <c r="C565" s="1" t="str">
        <f ca="1">IFERROR(__xludf.DUMMYFUNCTION("""COMPUTED_VALUE"""),"completed")</f>
        <v>completed</v>
      </c>
      <c r="D565" s="26">
        <f ca="1">IFERROR(__xludf.DUMMYFUNCTION("""COMPUTED_VALUE"""),35)</f>
        <v>35</v>
      </c>
      <c r="E565" s="1" t="str">
        <f ca="1">IFERROR(__xludf.DUMMYFUNCTION("""COMPUTED_VALUE"""),"House League")</f>
        <v>House League</v>
      </c>
      <c r="F565" s="87" t="str">
        <f t="shared" ca="1" si="0"/>
        <v>2023</v>
      </c>
      <c r="G565" s="1" t="str">
        <f ca="1">IFERROR(__xludf.DUMMYFUNCTION("""COMPUTED_VALUE"""),"Lasalle Stompers")</f>
        <v>Lasalle Stompers</v>
      </c>
      <c r="H565" s="26">
        <f t="shared" ca="1" si="1"/>
        <v>35</v>
      </c>
      <c r="I565" s="26">
        <f t="shared" ca="1" si="2"/>
        <v>1</v>
      </c>
      <c r="J565" s="86">
        <f t="shared" ca="1" si="3"/>
        <v>45102</v>
      </c>
      <c r="R565" s="26"/>
    </row>
    <row r="566" spans="1:18" ht="15.75" customHeight="1">
      <c r="A566" s="26">
        <f ca="1">IFERROR(__xludf.DUMMYFUNCTION("""COMPUTED_VALUE"""),19187)</f>
        <v>19187</v>
      </c>
      <c r="B566" s="86">
        <f ca="1">IFERROR(__xludf.DUMMYFUNCTION("""COMPUTED_VALUE"""),45102.5868171296)</f>
        <v>45102.586817129602</v>
      </c>
      <c r="C566" s="1" t="str">
        <f ca="1">IFERROR(__xludf.DUMMYFUNCTION("""COMPUTED_VALUE"""),"completed")</f>
        <v>completed</v>
      </c>
      <c r="D566" s="26">
        <f ca="1">IFERROR(__xludf.DUMMYFUNCTION("""COMPUTED_VALUE"""),35)</f>
        <v>35</v>
      </c>
      <c r="E566" s="1" t="str">
        <f ca="1">IFERROR(__xludf.DUMMYFUNCTION("""COMPUTED_VALUE"""),"Lasalle Stompers")</f>
        <v>Lasalle Stompers</v>
      </c>
      <c r="F566" s="87" t="str">
        <f t="shared" ca="1" si="0"/>
        <v>2023</v>
      </c>
      <c r="G566" s="1" t="str">
        <f ca="1">IFERROR(__xludf.DUMMYFUNCTION("""COMPUTED_VALUE"""),"Lasalle Stompers")</f>
        <v>Lasalle Stompers</v>
      </c>
      <c r="H566" s="26">
        <f t="shared" ca="1" si="1"/>
        <v>35</v>
      </c>
      <c r="I566" s="26">
        <f t="shared" ca="1" si="2"/>
        <v>1</v>
      </c>
      <c r="J566" s="86">
        <f t="shared" ca="1" si="3"/>
        <v>45102</v>
      </c>
      <c r="R566" s="26"/>
    </row>
    <row r="567" spans="1:18" ht="15.75" customHeight="1">
      <c r="A567" s="26">
        <f ca="1">IFERROR(__xludf.DUMMYFUNCTION("""COMPUTED_VALUE"""),19186)</f>
        <v>19186</v>
      </c>
      <c r="B567" s="86">
        <f ca="1">IFERROR(__xludf.DUMMYFUNCTION("""COMPUTED_VALUE"""),45102.5854976851)</f>
        <v>45102.585497685097</v>
      </c>
      <c r="C567" s="1" t="str">
        <f ca="1">IFERROR(__xludf.DUMMYFUNCTION("""COMPUTED_VALUE"""),"completed")</f>
        <v>completed</v>
      </c>
      <c r="D567" s="26">
        <f ca="1">IFERROR(__xludf.DUMMYFUNCTION("""COMPUTED_VALUE"""),35)</f>
        <v>35</v>
      </c>
      <c r="E567" s="1" t="str">
        <f ca="1">IFERROR(__xludf.DUMMYFUNCTION("""COMPUTED_VALUE"""),"Lasalle Stompers")</f>
        <v>Lasalle Stompers</v>
      </c>
      <c r="F567" s="87" t="str">
        <f t="shared" ca="1" si="0"/>
        <v>2023</v>
      </c>
      <c r="G567" s="1" t="str">
        <f ca="1">IFERROR(__xludf.DUMMYFUNCTION("""COMPUTED_VALUE"""),"Lasalle Stompers")</f>
        <v>Lasalle Stompers</v>
      </c>
      <c r="H567" s="26">
        <f t="shared" ca="1" si="1"/>
        <v>35</v>
      </c>
      <c r="I567" s="26">
        <f t="shared" ca="1" si="2"/>
        <v>1</v>
      </c>
      <c r="J567" s="86">
        <f t="shared" ca="1" si="3"/>
        <v>45102</v>
      </c>
      <c r="R567" s="26"/>
    </row>
    <row r="568" spans="1:18" ht="15.75" customHeight="1">
      <c r="A568" s="26">
        <f ca="1">IFERROR(__xludf.DUMMYFUNCTION("""COMPUTED_VALUE"""),19185)</f>
        <v>19185</v>
      </c>
      <c r="B568" s="86">
        <f ca="1">IFERROR(__xludf.DUMMYFUNCTION("""COMPUTED_VALUE"""),45102.5846643518)</f>
        <v>45102.584664351802</v>
      </c>
      <c r="C568" s="1" t="str">
        <f ca="1">IFERROR(__xludf.DUMMYFUNCTION("""COMPUTED_VALUE"""),"completed")</f>
        <v>completed</v>
      </c>
      <c r="D568" s="26">
        <f ca="1">IFERROR(__xludf.DUMMYFUNCTION("""COMPUTED_VALUE"""),15)</f>
        <v>15</v>
      </c>
      <c r="E568" s="1" t="str">
        <f ca="1">IFERROR(__xludf.DUMMYFUNCTION("""COMPUTED_VALUE"""),"Lasalle Stompers")</f>
        <v>Lasalle Stompers</v>
      </c>
      <c r="F568" s="87" t="str">
        <f t="shared" ca="1" si="0"/>
        <v>2023</v>
      </c>
      <c r="G568" s="1" t="str">
        <f ca="1">IFERROR(__xludf.DUMMYFUNCTION("""COMPUTED_VALUE"""),"Lasalle Stompers")</f>
        <v>Lasalle Stompers</v>
      </c>
      <c r="H568" s="26">
        <f t="shared" ca="1" si="1"/>
        <v>15</v>
      </c>
      <c r="I568" s="26">
        <f t="shared" ca="1" si="2"/>
        <v>1</v>
      </c>
      <c r="J568" s="86">
        <f t="shared" ca="1" si="3"/>
        <v>45102</v>
      </c>
      <c r="R568" s="26"/>
    </row>
    <row r="569" spans="1:18" ht="15.75" customHeight="1">
      <c r="A569" s="26">
        <f ca="1">IFERROR(__xludf.DUMMYFUNCTION("""COMPUTED_VALUE"""),19184)</f>
        <v>19184</v>
      </c>
      <c r="B569" s="86">
        <f ca="1">IFERROR(__xludf.DUMMYFUNCTION("""COMPUTED_VALUE"""),45102.5833333333)</f>
        <v>45102.583333333299</v>
      </c>
      <c r="C569" s="1" t="str">
        <f ca="1">IFERROR(__xludf.DUMMYFUNCTION("""COMPUTED_VALUE"""),"completed")</f>
        <v>completed</v>
      </c>
      <c r="D569" s="26">
        <f ca="1">IFERROR(__xludf.DUMMYFUNCTION("""COMPUTED_VALUE"""),35)</f>
        <v>35</v>
      </c>
      <c r="E569" s="1" t="str">
        <f ca="1">IFERROR(__xludf.DUMMYFUNCTION("""COMPUTED_VALUE"""),"Lasalle Stompers")</f>
        <v>Lasalle Stompers</v>
      </c>
      <c r="F569" s="87" t="str">
        <f t="shared" ca="1" si="0"/>
        <v>2023</v>
      </c>
      <c r="G569" s="1" t="str">
        <f ca="1">IFERROR(__xludf.DUMMYFUNCTION("""COMPUTED_VALUE"""),"Lasalle Stompers")</f>
        <v>Lasalle Stompers</v>
      </c>
      <c r="H569" s="26">
        <f t="shared" ca="1" si="1"/>
        <v>35</v>
      </c>
      <c r="I569" s="26">
        <f t="shared" ca="1" si="2"/>
        <v>1</v>
      </c>
      <c r="J569" s="86">
        <f t="shared" ca="1" si="3"/>
        <v>45102</v>
      </c>
      <c r="R569" s="26"/>
    </row>
    <row r="570" spans="1:18" ht="15.75" customHeight="1">
      <c r="A570" s="26">
        <f ca="1">IFERROR(__xludf.DUMMYFUNCTION("""COMPUTED_VALUE"""),19183)</f>
        <v>19183</v>
      </c>
      <c r="B570" s="86">
        <f ca="1">IFERROR(__xludf.DUMMYFUNCTION("""COMPUTED_VALUE"""),45102.5736805555)</f>
        <v>45102.573680555499</v>
      </c>
      <c r="C570" s="1" t="str">
        <f ca="1">IFERROR(__xludf.DUMMYFUNCTION("""COMPUTED_VALUE"""),"completed")</f>
        <v>completed</v>
      </c>
      <c r="D570" s="26">
        <f ca="1">IFERROR(__xludf.DUMMYFUNCTION("""COMPUTED_VALUE"""),25)</f>
        <v>25</v>
      </c>
      <c r="E570" s="1" t="str">
        <f ca="1">IFERROR(__xludf.DUMMYFUNCTION("""COMPUTED_VALUE"""),"Lasalle Stompers")</f>
        <v>Lasalle Stompers</v>
      </c>
      <c r="F570" s="87" t="str">
        <f t="shared" ca="1" si="0"/>
        <v>2023</v>
      </c>
      <c r="G570" s="1" t="str">
        <f ca="1">IFERROR(__xludf.DUMMYFUNCTION("""COMPUTED_VALUE"""),"Lasalle Stompers")</f>
        <v>Lasalle Stompers</v>
      </c>
      <c r="H570" s="26">
        <f t="shared" ca="1" si="1"/>
        <v>25</v>
      </c>
      <c r="I570" s="26">
        <f t="shared" ca="1" si="2"/>
        <v>1</v>
      </c>
      <c r="J570" s="86">
        <f t="shared" ca="1" si="3"/>
        <v>45102</v>
      </c>
      <c r="R570" s="26"/>
    </row>
    <row r="571" spans="1:18" ht="15.75" customHeight="1">
      <c r="A571" s="26">
        <f ca="1">IFERROR(__xludf.DUMMYFUNCTION("""COMPUTED_VALUE"""),19182)</f>
        <v>19182</v>
      </c>
      <c r="B571" s="86">
        <f ca="1">IFERROR(__xludf.DUMMYFUNCTION("""COMPUTED_VALUE"""),45102.5555439814)</f>
        <v>45102.555543981398</v>
      </c>
      <c r="C571" s="1" t="str">
        <f ca="1">IFERROR(__xludf.DUMMYFUNCTION("""COMPUTED_VALUE"""),"completed")</f>
        <v>completed</v>
      </c>
      <c r="D571" s="26">
        <f ca="1">IFERROR(__xludf.DUMMYFUNCTION("""COMPUTED_VALUE"""),25)</f>
        <v>25</v>
      </c>
      <c r="E571" s="1" t="str">
        <f ca="1">IFERROR(__xludf.DUMMYFUNCTION("""COMPUTED_VALUE"""),"Lasalle Stompers")</f>
        <v>Lasalle Stompers</v>
      </c>
      <c r="F571" s="87" t="str">
        <f t="shared" ca="1" si="0"/>
        <v>2023</v>
      </c>
      <c r="G571" s="1" t="str">
        <f ca="1">IFERROR(__xludf.DUMMYFUNCTION("""COMPUTED_VALUE"""),"Lasalle Stompers")</f>
        <v>Lasalle Stompers</v>
      </c>
      <c r="H571" s="26">
        <f t="shared" ca="1" si="1"/>
        <v>25</v>
      </c>
      <c r="I571" s="26">
        <f t="shared" ca="1" si="2"/>
        <v>1</v>
      </c>
      <c r="J571" s="86">
        <f t="shared" ca="1" si="3"/>
        <v>45102</v>
      </c>
      <c r="R571" s="26"/>
    </row>
    <row r="572" spans="1:18" ht="15.75" customHeight="1">
      <c r="A572" s="26">
        <f ca="1">IFERROR(__xludf.DUMMYFUNCTION("""COMPUTED_VALUE"""),19181)</f>
        <v>19181</v>
      </c>
      <c r="B572" s="86">
        <f ca="1">IFERROR(__xludf.DUMMYFUNCTION("""COMPUTED_VALUE"""),45102.554224537)</f>
        <v>45102.554224537002</v>
      </c>
      <c r="C572" s="1" t="str">
        <f ca="1">IFERROR(__xludf.DUMMYFUNCTION("""COMPUTED_VALUE"""),"completed")</f>
        <v>completed</v>
      </c>
      <c r="D572" s="26">
        <f ca="1">IFERROR(__xludf.DUMMYFUNCTION("""COMPUTED_VALUE"""),25)</f>
        <v>25</v>
      </c>
      <c r="E572" s="1" t="str">
        <f ca="1">IFERROR(__xludf.DUMMYFUNCTION("""COMPUTED_VALUE"""),"Lasalle Stompers")</f>
        <v>Lasalle Stompers</v>
      </c>
      <c r="F572" s="87" t="str">
        <f t="shared" ca="1" si="0"/>
        <v>2023</v>
      </c>
      <c r="G572" s="1" t="str">
        <f ca="1">IFERROR(__xludf.DUMMYFUNCTION("""COMPUTED_VALUE"""),"Lasalle Stompers")</f>
        <v>Lasalle Stompers</v>
      </c>
      <c r="H572" s="26">
        <f t="shared" ca="1" si="1"/>
        <v>25</v>
      </c>
      <c r="I572" s="26">
        <f t="shared" ca="1" si="2"/>
        <v>1</v>
      </c>
      <c r="J572" s="86">
        <f t="shared" ca="1" si="3"/>
        <v>45102</v>
      </c>
      <c r="R572" s="26"/>
    </row>
    <row r="573" spans="1:18" ht="15.75" customHeight="1">
      <c r="A573" s="26">
        <f ca="1">IFERROR(__xludf.DUMMYFUNCTION("""COMPUTED_VALUE"""),19180)</f>
        <v>19180</v>
      </c>
      <c r="B573" s="86">
        <f ca="1">IFERROR(__xludf.DUMMYFUNCTION("""COMPUTED_VALUE"""),45102.5509837962)</f>
        <v>45102.550983796202</v>
      </c>
      <c r="C573" s="1" t="str">
        <f ca="1">IFERROR(__xludf.DUMMYFUNCTION("""COMPUTED_VALUE"""),"completed")</f>
        <v>completed</v>
      </c>
      <c r="D573" s="26">
        <f ca="1">IFERROR(__xludf.DUMMYFUNCTION("""COMPUTED_VALUE"""),28)</f>
        <v>28</v>
      </c>
      <c r="E573" s="1" t="str">
        <f ca="1">IFERROR(__xludf.DUMMYFUNCTION("""COMPUTED_VALUE"""),"Lasalle Stompers")</f>
        <v>Lasalle Stompers</v>
      </c>
      <c r="F573" s="87" t="str">
        <f t="shared" ca="1" si="0"/>
        <v>2023</v>
      </c>
      <c r="G573" s="1" t="str">
        <f ca="1">IFERROR(__xludf.DUMMYFUNCTION("""COMPUTED_VALUE"""),"Lasalle Stompers")</f>
        <v>Lasalle Stompers</v>
      </c>
      <c r="H573" s="26">
        <f t="shared" ca="1" si="1"/>
        <v>28</v>
      </c>
      <c r="I573" s="26">
        <f t="shared" ca="1" si="2"/>
        <v>1</v>
      </c>
      <c r="J573" s="86">
        <f t="shared" ca="1" si="3"/>
        <v>45102</v>
      </c>
      <c r="R573" s="26"/>
    </row>
    <row r="574" spans="1:18" ht="15.75" customHeight="1">
      <c r="A574" s="26">
        <f ca="1">IFERROR(__xludf.DUMMYFUNCTION("""COMPUTED_VALUE"""),19179)</f>
        <v>19179</v>
      </c>
      <c r="B574" s="86">
        <f ca="1">IFERROR(__xludf.DUMMYFUNCTION("""COMPUTED_VALUE"""),45102.5497800925)</f>
        <v>45102.5497800925</v>
      </c>
      <c r="C574" s="1" t="str">
        <f ca="1">IFERROR(__xludf.DUMMYFUNCTION("""COMPUTED_VALUE"""),"completed")</f>
        <v>completed</v>
      </c>
      <c r="D574" s="26">
        <f ca="1">IFERROR(__xludf.DUMMYFUNCTION("""COMPUTED_VALUE"""),55)</f>
        <v>55</v>
      </c>
      <c r="E574" s="1" t="str">
        <f ca="1">IFERROR(__xludf.DUMMYFUNCTION("""COMPUTED_VALUE"""),"Lasalle Stompers")</f>
        <v>Lasalle Stompers</v>
      </c>
      <c r="F574" s="87" t="str">
        <f t="shared" ca="1" si="0"/>
        <v>2023</v>
      </c>
      <c r="G574" s="1" t="str">
        <f ca="1">IFERROR(__xludf.DUMMYFUNCTION("""COMPUTED_VALUE"""),"Lasalle Stompers")</f>
        <v>Lasalle Stompers</v>
      </c>
      <c r="H574" s="26">
        <f t="shared" ca="1" si="1"/>
        <v>55</v>
      </c>
      <c r="I574" s="26">
        <f t="shared" ca="1" si="2"/>
        <v>1</v>
      </c>
      <c r="J574" s="86">
        <f t="shared" ca="1" si="3"/>
        <v>45102</v>
      </c>
      <c r="R574" s="26"/>
    </row>
    <row r="575" spans="1:18" ht="15.75" customHeight="1">
      <c r="A575" s="26">
        <f ca="1">IFERROR(__xludf.DUMMYFUNCTION("""COMPUTED_VALUE"""),19178)</f>
        <v>19178</v>
      </c>
      <c r="B575" s="86">
        <f ca="1">IFERROR(__xludf.DUMMYFUNCTION("""COMPUTED_VALUE"""),45102.5278009259)</f>
        <v>45102.527800925898</v>
      </c>
      <c r="C575" s="1" t="str">
        <f ca="1">IFERROR(__xludf.DUMMYFUNCTION("""COMPUTED_VALUE"""),"completed")</f>
        <v>completed</v>
      </c>
      <c r="D575" s="26">
        <f ca="1">IFERROR(__xludf.DUMMYFUNCTION("""COMPUTED_VALUE"""),20)</f>
        <v>20</v>
      </c>
      <c r="E575" s="1" t="str">
        <f ca="1">IFERROR(__xludf.DUMMYFUNCTION("""COMPUTED_VALUE"""),"Lasalle Stompers")</f>
        <v>Lasalle Stompers</v>
      </c>
      <c r="F575" s="87" t="str">
        <f t="shared" ca="1" si="0"/>
        <v>2023</v>
      </c>
      <c r="G575" s="1" t="str">
        <f ca="1">IFERROR(__xludf.DUMMYFUNCTION("""COMPUTED_VALUE"""),"Lasalle Stompers")</f>
        <v>Lasalle Stompers</v>
      </c>
      <c r="H575" s="26">
        <f t="shared" ca="1" si="1"/>
        <v>20</v>
      </c>
      <c r="I575" s="26">
        <f t="shared" ca="1" si="2"/>
        <v>1</v>
      </c>
      <c r="J575" s="86">
        <f t="shared" ca="1" si="3"/>
        <v>45102</v>
      </c>
      <c r="R575" s="26"/>
    </row>
    <row r="576" spans="1:18" ht="15.75" customHeight="1">
      <c r="A576" s="26">
        <f ca="1">IFERROR(__xludf.DUMMYFUNCTION("""COMPUTED_VALUE"""),19177)</f>
        <v>19177</v>
      </c>
      <c r="B576" s="86">
        <f ca="1">IFERROR(__xludf.DUMMYFUNCTION("""COMPUTED_VALUE"""),45102.5265393518)</f>
        <v>45102.526539351798</v>
      </c>
      <c r="C576" s="1" t="str">
        <f ca="1">IFERROR(__xludf.DUMMYFUNCTION("""COMPUTED_VALUE"""),"completed")</f>
        <v>completed</v>
      </c>
      <c r="D576" s="26">
        <f ca="1">IFERROR(__xludf.DUMMYFUNCTION("""COMPUTED_VALUE"""),20)</f>
        <v>20</v>
      </c>
      <c r="E576" s="1" t="str">
        <f ca="1">IFERROR(__xludf.DUMMYFUNCTION("""COMPUTED_VALUE"""),"Lasalle Stompers")</f>
        <v>Lasalle Stompers</v>
      </c>
      <c r="F576" s="87" t="str">
        <f t="shared" ca="1" si="0"/>
        <v>2023</v>
      </c>
      <c r="G576" s="1" t="str">
        <f ca="1">IFERROR(__xludf.DUMMYFUNCTION("""COMPUTED_VALUE"""),"Lasalle Stompers")</f>
        <v>Lasalle Stompers</v>
      </c>
      <c r="H576" s="26">
        <f t="shared" ca="1" si="1"/>
        <v>20</v>
      </c>
      <c r="I576" s="26">
        <f t="shared" ca="1" si="2"/>
        <v>1</v>
      </c>
      <c r="J576" s="86">
        <f t="shared" ca="1" si="3"/>
        <v>45102</v>
      </c>
      <c r="R576" s="26"/>
    </row>
    <row r="577" spans="1:18" ht="15.75" customHeight="1">
      <c r="A577" s="26">
        <f ca="1">IFERROR(__xludf.DUMMYFUNCTION("""COMPUTED_VALUE"""),19176)</f>
        <v>19176</v>
      </c>
      <c r="B577" s="86">
        <f ca="1">IFERROR(__xludf.DUMMYFUNCTION("""COMPUTED_VALUE"""),45102.5220601851)</f>
        <v>45102.522060185103</v>
      </c>
      <c r="C577" s="1" t="str">
        <f ca="1">IFERROR(__xludf.DUMMYFUNCTION("""COMPUTED_VALUE"""),"completed")</f>
        <v>completed</v>
      </c>
      <c r="D577" s="26">
        <f ca="1">IFERROR(__xludf.DUMMYFUNCTION("""COMPUTED_VALUE"""),35)</f>
        <v>35</v>
      </c>
      <c r="E577" s="1" t="str">
        <f ca="1">IFERROR(__xludf.DUMMYFUNCTION("""COMPUTED_VALUE"""),"Lasalle Stompers")</f>
        <v>Lasalle Stompers</v>
      </c>
      <c r="F577" s="87" t="str">
        <f t="shared" ca="1" si="0"/>
        <v>2023</v>
      </c>
      <c r="G577" s="1" t="str">
        <f ca="1">IFERROR(__xludf.DUMMYFUNCTION("""COMPUTED_VALUE"""),"Lasalle Stompers")</f>
        <v>Lasalle Stompers</v>
      </c>
      <c r="H577" s="26">
        <f t="shared" ca="1" si="1"/>
        <v>35</v>
      </c>
      <c r="I577" s="26">
        <f t="shared" ca="1" si="2"/>
        <v>1</v>
      </c>
      <c r="J577" s="86">
        <f t="shared" ca="1" si="3"/>
        <v>45102</v>
      </c>
      <c r="R577" s="26"/>
    </row>
    <row r="578" spans="1:18" ht="15.75" customHeight="1">
      <c r="A578" s="26">
        <f ca="1">IFERROR(__xludf.DUMMYFUNCTION("""COMPUTED_VALUE"""),19175)</f>
        <v>19175</v>
      </c>
      <c r="B578" s="86">
        <f ca="1">IFERROR(__xludf.DUMMYFUNCTION("""COMPUTED_VALUE"""),45102.5052777777)</f>
        <v>45102.505277777702</v>
      </c>
      <c r="C578" s="1" t="str">
        <f ca="1">IFERROR(__xludf.DUMMYFUNCTION("""COMPUTED_VALUE"""),"completed")</f>
        <v>completed</v>
      </c>
      <c r="D578" s="26">
        <f ca="1">IFERROR(__xludf.DUMMYFUNCTION("""COMPUTED_VALUE"""),18)</f>
        <v>18</v>
      </c>
      <c r="E578" s="1" t="str">
        <f ca="1">IFERROR(__xludf.DUMMYFUNCTION("""COMPUTED_VALUE"""),"Lasalle Stompers")</f>
        <v>Lasalle Stompers</v>
      </c>
      <c r="F578" s="87" t="str">
        <f t="shared" ca="1" si="0"/>
        <v>2023</v>
      </c>
      <c r="G578" s="1" t="str">
        <f ca="1">IFERROR(__xludf.DUMMYFUNCTION("""COMPUTED_VALUE"""),"Lasalle Stompers")</f>
        <v>Lasalle Stompers</v>
      </c>
      <c r="H578" s="26">
        <f t="shared" ca="1" si="1"/>
        <v>18</v>
      </c>
      <c r="I578" s="26">
        <f t="shared" ca="1" si="2"/>
        <v>1</v>
      </c>
      <c r="J578" s="86">
        <f t="shared" ca="1" si="3"/>
        <v>45102</v>
      </c>
      <c r="R578" s="26"/>
    </row>
    <row r="579" spans="1:18" ht="15.75" customHeight="1">
      <c r="A579" s="26">
        <f ca="1">IFERROR(__xludf.DUMMYFUNCTION("""COMPUTED_VALUE"""),19174)</f>
        <v>19174</v>
      </c>
      <c r="B579" s="86">
        <f ca="1">IFERROR(__xludf.DUMMYFUNCTION("""COMPUTED_VALUE"""),45102.2677546296)</f>
        <v>45102.267754629604</v>
      </c>
      <c r="C579" s="1" t="str">
        <f ca="1">IFERROR(__xludf.DUMMYFUNCTION("""COMPUTED_VALUE"""),"completed")</f>
        <v>completed</v>
      </c>
      <c r="D579" s="26">
        <f ca="1">IFERROR(__xludf.DUMMYFUNCTION("""COMPUTED_VALUE"""),80)</f>
        <v>80</v>
      </c>
      <c r="E579" s="1" t="str">
        <f ca="1">IFERROR(__xludf.DUMMYFUNCTION("""COMPUTED_VALUE"""),"Lasalle Stompers")</f>
        <v>Lasalle Stompers</v>
      </c>
      <c r="F579" s="87" t="str">
        <f t="shared" ca="1" si="0"/>
        <v>2023</v>
      </c>
      <c r="G579" s="1" t="str">
        <f ca="1">IFERROR(__xludf.DUMMYFUNCTION("""COMPUTED_VALUE"""),"LSSC")</f>
        <v>LSSC</v>
      </c>
      <c r="H579" s="26">
        <f t="shared" ca="1" si="1"/>
        <v>80</v>
      </c>
      <c r="I579" s="26">
        <f t="shared" ca="1" si="2"/>
        <v>1</v>
      </c>
      <c r="J579" s="86">
        <f t="shared" ca="1" si="3"/>
        <v>45102</v>
      </c>
      <c r="R579" s="26"/>
    </row>
    <row r="580" spans="1:18" ht="15.75" customHeight="1">
      <c r="A580" s="26">
        <f ca="1">IFERROR(__xludf.DUMMYFUNCTION("""COMPUTED_VALUE"""),19173)</f>
        <v>19173</v>
      </c>
      <c r="B580" s="86">
        <f ca="1">IFERROR(__xludf.DUMMYFUNCTION("""COMPUTED_VALUE"""),45102.22625)</f>
        <v>45102.22625</v>
      </c>
      <c r="C580" s="1" t="str">
        <f ca="1">IFERROR(__xludf.DUMMYFUNCTION("""COMPUTED_VALUE"""),"completed")</f>
        <v>completed</v>
      </c>
      <c r="D580" s="26">
        <f ca="1">IFERROR(__xludf.DUMMYFUNCTION("""COMPUTED_VALUE"""),28)</f>
        <v>28</v>
      </c>
      <c r="E580" s="1" t="str">
        <f ca="1">IFERROR(__xludf.DUMMYFUNCTION("""COMPUTED_VALUE"""),"LSSC")</f>
        <v>LSSC</v>
      </c>
      <c r="F580" s="87" t="str">
        <f t="shared" ca="1" si="0"/>
        <v>2023</v>
      </c>
      <c r="G580" s="1" t="str">
        <f ca="1">IFERROR(__xludf.DUMMYFUNCTION("""COMPUTED_VALUE"""),"Lasalle Stompers")</f>
        <v>Lasalle Stompers</v>
      </c>
      <c r="H580" s="26">
        <f t="shared" ca="1" si="1"/>
        <v>28</v>
      </c>
      <c r="I580" s="26">
        <f t="shared" ca="1" si="2"/>
        <v>1</v>
      </c>
      <c r="J580" s="86">
        <f t="shared" ca="1" si="3"/>
        <v>45102</v>
      </c>
      <c r="R580" s="26"/>
    </row>
    <row r="581" spans="1:18" ht="15.75" customHeight="1">
      <c r="A581" s="26">
        <f ca="1">IFERROR(__xludf.DUMMYFUNCTION("""COMPUTED_VALUE"""),19172)</f>
        <v>19172</v>
      </c>
      <c r="B581" s="86">
        <f ca="1">IFERROR(__xludf.DUMMYFUNCTION("""COMPUTED_VALUE"""),45102.1354861111)</f>
        <v>45102.135486111103</v>
      </c>
      <c r="C581" s="1" t="str">
        <f ca="1">IFERROR(__xludf.DUMMYFUNCTION("""COMPUTED_VALUE"""),"completed")</f>
        <v>completed</v>
      </c>
      <c r="D581" s="26">
        <f ca="1">IFERROR(__xludf.DUMMYFUNCTION("""COMPUTED_VALUE"""),20)</f>
        <v>20</v>
      </c>
      <c r="E581" s="1" t="str">
        <f ca="1">IFERROR(__xludf.DUMMYFUNCTION("""COMPUTED_VALUE"""),"Lasalle Stompers")</f>
        <v>Lasalle Stompers</v>
      </c>
      <c r="F581" s="87" t="str">
        <f t="shared" ca="1" si="0"/>
        <v>2023</v>
      </c>
      <c r="G581" s="1" t="str">
        <f ca="1">IFERROR(__xludf.DUMMYFUNCTION("""COMPUTED_VALUE"""),"Lasalle Stompers")</f>
        <v>Lasalle Stompers</v>
      </c>
      <c r="H581" s="26">
        <f t="shared" ca="1" si="1"/>
        <v>20</v>
      </c>
      <c r="I581" s="26">
        <f t="shared" ca="1" si="2"/>
        <v>1</v>
      </c>
      <c r="J581" s="86">
        <f t="shared" ca="1" si="3"/>
        <v>45102</v>
      </c>
      <c r="R581" s="26"/>
    </row>
    <row r="582" spans="1:18" ht="15.75" customHeight="1">
      <c r="A582" s="26">
        <f ca="1">IFERROR(__xludf.DUMMYFUNCTION("""COMPUTED_VALUE"""),19171)</f>
        <v>19171</v>
      </c>
      <c r="B582" s="86">
        <f ca="1">IFERROR(__xludf.DUMMYFUNCTION("""COMPUTED_VALUE"""),45102.1337037037)</f>
        <v>45102.133703703701</v>
      </c>
      <c r="C582" s="1" t="str">
        <f ca="1">IFERROR(__xludf.DUMMYFUNCTION("""COMPUTED_VALUE"""),"completed")</f>
        <v>completed</v>
      </c>
      <c r="D582" s="26">
        <f ca="1">IFERROR(__xludf.DUMMYFUNCTION("""COMPUTED_VALUE"""),20)</f>
        <v>20</v>
      </c>
      <c r="E582" s="1" t="str">
        <f ca="1">IFERROR(__xludf.DUMMYFUNCTION("""COMPUTED_VALUE"""),"Lasalle Stompers")</f>
        <v>Lasalle Stompers</v>
      </c>
      <c r="F582" s="87" t="str">
        <f t="shared" ca="1" si="0"/>
        <v>2023</v>
      </c>
      <c r="G582" s="1" t="str">
        <f ca="1">IFERROR(__xludf.DUMMYFUNCTION("""COMPUTED_VALUE"""),"Lasalle Stompers")</f>
        <v>Lasalle Stompers</v>
      </c>
      <c r="H582" s="26">
        <f t="shared" ca="1" si="1"/>
        <v>20</v>
      </c>
      <c r="I582" s="26">
        <f t="shared" ca="1" si="2"/>
        <v>1</v>
      </c>
      <c r="J582" s="86">
        <f t="shared" ca="1" si="3"/>
        <v>45102</v>
      </c>
      <c r="R582" s="26"/>
    </row>
    <row r="583" spans="1:18" ht="15.75" customHeight="1">
      <c r="A583" s="26">
        <f ca="1">IFERROR(__xludf.DUMMYFUNCTION("""COMPUTED_VALUE"""),19170)</f>
        <v>19170</v>
      </c>
      <c r="B583" s="86">
        <f ca="1">IFERROR(__xludf.DUMMYFUNCTION("""COMPUTED_VALUE"""),45102.1325694444)</f>
        <v>45102.132569444402</v>
      </c>
      <c r="C583" s="1" t="str">
        <f ca="1">IFERROR(__xludf.DUMMYFUNCTION("""COMPUTED_VALUE"""),"completed")</f>
        <v>completed</v>
      </c>
      <c r="D583" s="26">
        <f ca="1">IFERROR(__xludf.DUMMYFUNCTION("""COMPUTED_VALUE"""),20)</f>
        <v>20</v>
      </c>
      <c r="E583" s="1" t="str">
        <f ca="1">IFERROR(__xludf.DUMMYFUNCTION("""COMPUTED_VALUE"""),"Lasalle Stompers")</f>
        <v>Lasalle Stompers</v>
      </c>
      <c r="F583" s="87" t="str">
        <f t="shared" ca="1" si="0"/>
        <v>2023</v>
      </c>
      <c r="G583" s="1" t="str">
        <f ca="1">IFERROR(__xludf.DUMMYFUNCTION("""COMPUTED_VALUE"""),"Lasalle Stompers Timbits")</f>
        <v>Lasalle Stompers Timbits</v>
      </c>
      <c r="H583" s="26">
        <f t="shared" ca="1" si="1"/>
        <v>20</v>
      </c>
      <c r="I583" s="26">
        <f t="shared" ca="1" si="2"/>
        <v>1</v>
      </c>
      <c r="J583" s="86">
        <f t="shared" ca="1" si="3"/>
        <v>45102</v>
      </c>
      <c r="R583" s="26"/>
    </row>
    <row r="584" spans="1:18" ht="15.75" customHeight="1">
      <c r="A584" s="26">
        <f ca="1">IFERROR(__xludf.DUMMYFUNCTION("""COMPUTED_VALUE"""),19169)</f>
        <v>19169</v>
      </c>
      <c r="B584" s="86">
        <f ca="1">IFERROR(__xludf.DUMMYFUNCTION("""COMPUTED_VALUE"""),45102.0320486111)</f>
        <v>45102.032048611101</v>
      </c>
      <c r="C584" s="1" t="str">
        <f ca="1">IFERROR(__xludf.DUMMYFUNCTION("""COMPUTED_VALUE"""),"completed")</f>
        <v>completed</v>
      </c>
      <c r="D584" s="26">
        <f ca="1">IFERROR(__xludf.DUMMYFUNCTION("""COMPUTED_VALUE"""),25)</f>
        <v>25</v>
      </c>
      <c r="E584" s="1" t="str">
        <f ca="1">IFERROR(__xludf.DUMMYFUNCTION("""COMPUTED_VALUE"""),"Lasalle Stompers Timbits")</f>
        <v>Lasalle Stompers Timbits</v>
      </c>
      <c r="F584" s="87" t="str">
        <f t="shared" ca="1" si="0"/>
        <v>2023</v>
      </c>
      <c r="G584" s="1" t="str">
        <f ca="1">IFERROR(__xludf.DUMMYFUNCTION("""COMPUTED_VALUE"""),"Lasalle Stompers")</f>
        <v>Lasalle Stompers</v>
      </c>
      <c r="H584" s="26">
        <f t="shared" ca="1" si="1"/>
        <v>25</v>
      </c>
      <c r="I584" s="26">
        <f t="shared" ca="1" si="2"/>
        <v>1</v>
      </c>
      <c r="J584" s="86">
        <f t="shared" ca="1" si="3"/>
        <v>45102</v>
      </c>
      <c r="R584" s="26"/>
    </row>
    <row r="585" spans="1:18" ht="15.75" customHeight="1">
      <c r="A585" s="26">
        <f ca="1">IFERROR(__xludf.DUMMYFUNCTION("""COMPUTED_VALUE"""),19168)</f>
        <v>19168</v>
      </c>
      <c r="B585" s="86">
        <f ca="1">IFERROR(__xludf.DUMMYFUNCTION("""COMPUTED_VALUE"""),45101.8528703703)</f>
        <v>45101.852870370298</v>
      </c>
      <c r="C585" s="1" t="str">
        <f ca="1">IFERROR(__xludf.DUMMYFUNCTION("""COMPUTED_VALUE"""),"completed")</f>
        <v>completed</v>
      </c>
      <c r="D585" s="26">
        <f ca="1">IFERROR(__xludf.DUMMYFUNCTION("""COMPUTED_VALUE"""),26)</f>
        <v>26</v>
      </c>
      <c r="E585" s="1" t="str">
        <f ca="1">IFERROR(__xludf.DUMMYFUNCTION("""COMPUTED_VALUE"""),"Lasalle Stompers")</f>
        <v>Lasalle Stompers</v>
      </c>
      <c r="F585" s="87" t="str">
        <f t="shared" ca="1" si="0"/>
        <v>2023</v>
      </c>
      <c r="G585" s="1" t="str">
        <f ca="1">IFERROR(__xludf.DUMMYFUNCTION("""COMPUTED_VALUE"""),"Lasalle Stompers")</f>
        <v>Lasalle Stompers</v>
      </c>
      <c r="H585" s="26">
        <f t="shared" ca="1" si="1"/>
        <v>26</v>
      </c>
      <c r="I585" s="26">
        <f t="shared" ca="1" si="2"/>
        <v>1</v>
      </c>
      <c r="J585" s="86">
        <f t="shared" ca="1" si="3"/>
        <v>45101</v>
      </c>
      <c r="R585" s="26"/>
    </row>
    <row r="586" spans="1:18" ht="15.75" customHeight="1">
      <c r="A586" s="26">
        <f ca="1">IFERROR(__xludf.DUMMYFUNCTION("""COMPUTED_VALUE"""),19167)</f>
        <v>19167</v>
      </c>
      <c r="B586" s="86">
        <f ca="1">IFERROR(__xludf.DUMMYFUNCTION("""COMPUTED_VALUE"""),45101.8480439814)</f>
        <v>45101.848043981401</v>
      </c>
      <c r="C586" s="1" t="str">
        <f ca="1">IFERROR(__xludf.DUMMYFUNCTION("""COMPUTED_VALUE"""),"completed")</f>
        <v>completed</v>
      </c>
      <c r="D586" s="26">
        <f ca="1">IFERROR(__xludf.DUMMYFUNCTION("""COMPUTED_VALUE"""),26)</f>
        <v>26</v>
      </c>
      <c r="E586" s="1" t="str">
        <f ca="1">IFERROR(__xludf.DUMMYFUNCTION("""COMPUTED_VALUE"""),"Lasalle Stompers")</f>
        <v>Lasalle Stompers</v>
      </c>
      <c r="F586" s="87" t="str">
        <f t="shared" ca="1" si="0"/>
        <v>2023</v>
      </c>
      <c r="G586" s="1" t="str">
        <f ca="1">IFERROR(__xludf.DUMMYFUNCTION("""COMPUTED_VALUE"""),"Lasalle Stompers")</f>
        <v>Lasalle Stompers</v>
      </c>
      <c r="H586" s="26">
        <f t="shared" ca="1" si="1"/>
        <v>26</v>
      </c>
      <c r="I586" s="26">
        <f t="shared" ca="1" si="2"/>
        <v>1</v>
      </c>
      <c r="J586" s="86">
        <f t="shared" ca="1" si="3"/>
        <v>45101</v>
      </c>
      <c r="R586" s="26"/>
    </row>
    <row r="587" spans="1:18" ht="15.75" customHeight="1">
      <c r="A587" s="26">
        <f ca="1">IFERROR(__xludf.DUMMYFUNCTION("""COMPUTED_VALUE"""),19166)</f>
        <v>19166</v>
      </c>
      <c r="B587" s="86">
        <f ca="1">IFERROR(__xludf.DUMMYFUNCTION("""COMPUTED_VALUE"""),45101.8143171296)</f>
        <v>45101.814317129603</v>
      </c>
      <c r="C587" s="1" t="str">
        <f ca="1">IFERROR(__xludf.DUMMYFUNCTION("""COMPUTED_VALUE"""),"completed")</f>
        <v>completed</v>
      </c>
      <c r="D587" s="26">
        <f ca="1">IFERROR(__xludf.DUMMYFUNCTION("""COMPUTED_VALUE"""),18)</f>
        <v>18</v>
      </c>
      <c r="E587" s="1" t="str">
        <f ca="1">IFERROR(__xludf.DUMMYFUNCTION("""COMPUTED_VALUE"""),"Lasalle Stompers")</f>
        <v>Lasalle Stompers</v>
      </c>
      <c r="F587" s="87" t="str">
        <f t="shared" ca="1" si="0"/>
        <v>2023</v>
      </c>
      <c r="G587" s="1" t="str">
        <f ca="1">IFERROR(__xludf.DUMMYFUNCTION("""COMPUTED_VALUE"""),"Lasalle Stompers")</f>
        <v>Lasalle Stompers</v>
      </c>
      <c r="H587" s="26">
        <f t="shared" ca="1" si="1"/>
        <v>18</v>
      </c>
      <c r="I587" s="26">
        <f t="shared" ca="1" si="2"/>
        <v>1</v>
      </c>
      <c r="J587" s="86">
        <f t="shared" ca="1" si="3"/>
        <v>45101</v>
      </c>
      <c r="R587" s="26"/>
    </row>
    <row r="588" spans="1:18" ht="15.75" customHeight="1">
      <c r="A588" s="26">
        <f ca="1">IFERROR(__xludf.DUMMYFUNCTION("""COMPUTED_VALUE"""),19165)</f>
        <v>19165</v>
      </c>
      <c r="B588" s="86">
        <f ca="1">IFERROR(__xludf.DUMMYFUNCTION("""COMPUTED_VALUE"""),45101.811412037)</f>
        <v>45101.811412037001</v>
      </c>
      <c r="C588" s="1" t="str">
        <f ca="1">IFERROR(__xludf.DUMMYFUNCTION("""COMPUTED_VALUE"""),"completed")</f>
        <v>completed</v>
      </c>
      <c r="D588" s="26">
        <f ca="1">IFERROR(__xludf.DUMMYFUNCTION("""COMPUTED_VALUE"""),33)</f>
        <v>33</v>
      </c>
      <c r="E588" s="1" t="str">
        <f ca="1">IFERROR(__xludf.DUMMYFUNCTION("""COMPUTED_VALUE"""),"Lasalle Stompers")</f>
        <v>Lasalle Stompers</v>
      </c>
      <c r="F588" s="87" t="str">
        <f t="shared" ca="1" si="0"/>
        <v>2023</v>
      </c>
      <c r="G588" s="1" t="str">
        <f ca="1">IFERROR(__xludf.DUMMYFUNCTION("""COMPUTED_VALUE"""),"Lasalle Stompers")</f>
        <v>Lasalle Stompers</v>
      </c>
      <c r="H588" s="26">
        <f t="shared" ca="1" si="1"/>
        <v>33</v>
      </c>
      <c r="I588" s="26">
        <f t="shared" ca="1" si="2"/>
        <v>1</v>
      </c>
      <c r="J588" s="86">
        <f t="shared" ca="1" si="3"/>
        <v>45101</v>
      </c>
      <c r="R588" s="26"/>
    </row>
    <row r="589" spans="1:18" ht="15.75" customHeight="1">
      <c r="A589" s="26">
        <f ca="1">IFERROR(__xludf.DUMMYFUNCTION("""COMPUTED_VALUE"""),19164)</f>
        <v>19164</v>
      </c>
      <c r="B589" s="86">
        <f ca="1">IFERROR(__xludf.DUMMYFUNCTION("""COMPUTED_VALUE"""),45101.774537037)</f>
        <v>45101.774537037003</v>
      </c>
      <c r="C589" s="1" t="str">
        <f ca="1">IFERROR(__xludf.DUMMYFUNCTION("""COMPUTED_VALUE"""),"completed")</f>
        <v>completed</v>
      </c>
      <c r="D589" s="26">
        <f ca="1">IFERROR(__xludf.DUMMYFUNCTION("""COMPUTED_VALUE"""),18)</f>
        <v>18</v>
      </c>
      <c r="E589" s="1" t="str">
        <f ca="1">IFERROR(__xludf.DUMMYFUNCTION("""COMPUTED_VALUE"""),"Lasalle Stompers")</f>
        <v>Lasalle Stompers</v>
      </c>
      <c r="F589" s="87" t="str">
        <f t="shared" ca="1" si="0"/>
        <v>2023</v>
      </c>
      <c r="G589" s="1" t="str">
        <f ca="1">IFERROR(__xludf.DUMMYFUNCTION("""COMPUTED_VALUE"""),"Lasalle Stompers")</f>
        <v>Lasalle Stompers</v>
      </c>
      <c r="H589" s="26">
        <f t="shared" ca="1" si="1"/>
        <v>18</v>
      </c>
      <c r="I589" s="26">
        <f t="shared" ca="1" si="2"/>
        <v>1</v>
      </c>
      <c r="J589" s="86">
        <f t="shared" ca="1" si="3"/>
        <v>45101</v>
      </c>
      <c r="R589" s="26"/>
    </row>
    <row r="590" spans="1:18" ht="15.75" customHeight="1">
      <c r="A590" s="26">
        <f ca="1">IFERROR(__xludf.DUMMYFUNCTION("""COMPUTED_VALUE"""),19163)</f>
        <v>19163</v>
      </c>
      <c r="B590" s="86">
        <f ca="1">IFERROR(__xludf.DUMMYFUNCTION("""COMPUTED_VALUE"""),45101.7140277777)</f>
        <v>45101.7140277777</v>
      </c>
      <c r="C590" s="1" t="str">
        <f ca="1">IFERROR(__xludf.DUMMYFUNCTION("""COMPUTED_VALUE"""),"completed")</f>
        <v>completed</v>
      </c>
      <c r="D590" s="26">
        <f ca="1">IFERROR(__xludf.DUMMYFUNCTION("""COMPUTED_VALUE"""),26)</f>
        <v>26</v>
      </c>
      <c r="E590" s="1" t="str">
        <f ca="1">IFERROR(__xludf.DUMMYFUNCTION("""COMPUTED_VALUE"""),"Lasalle Stompers")</f>
        <v>Lasalle Stompers</v>
      </c>
      <c r="F590" s="87" t="str">
        <f t="shared" ca="1" si="0"/>
        <v>2023</v>
      </c>
      <c r="G590" s="1" t="str">
        <f ca="1">IFERROR(__xludf.DUMMYFUNCTION("""COMPUTED_VALUE"""),"Lasalle Stompers")</f>
        <v>Lasalle Stompers</v>
      </c>
      <c r="H590" s="26">
        <f t="shared" ca="1" si="1"/>
        <v>26</v>
      </c>
      <c r="I590" s="26">
        <f t="shared" ca="1" si="2"/>
        <v>1</v>
      </c>
      <c r="J590" s="86">
        <f t="shared" ca="1" si="3"/>
        <v>45101</v>
      </c>
      <c r="R590" s="26"/>
    </row>
    <row r="591" spans="1:18" ht="15.75" customHeight="1">
      <c r="A591" s="26">
        <f ca="1">IFERROR(__xludf.DUMMYFUNCTION("""COMPUTED_VALUE"""),19162)</f>
        <v>19162</v>
      </c>
      <c r="B591" s="86">
        <f ca="1">IFERROR(__xludf.DUMMYFUNCTION("""COMPUTED_VALUE"""),45101.7130902777)</f>
        <v>45101.713090277699</v>
      </c>
      <c r="C591" s="1" t="str">
        <f ca="1">IFERROR(__xludf.DUMMYFUNCTION("""COMPUTED_VALUE"""),"completed")</f>
        <v>completed</v>
      </c>
      <c r="D591" s="26">
        <f ca="1">IFERROR(__xludf.DUMMYFUNCTION("""COMPUTED_VALUE"""),25)</f>
        <v>25</v>
      </c>
      <c r="E591" s="1" t="str">
        <f ca="1">IFERROR(__xludf.DUMMYFUNCTION("""COMPUTED_VALUE"""),"Lasalle Stompers")</f>
        <v>Lasalle Stompers</v>
      </c>
      <c r="F591" s="87" t="str">
        <f t="shared" ca="1" si="0"/>
        <v>2023</v>
      </c>
      <c r="G591" s="1" t="str">
        <f ca="1">IFERROR(__xludf.DUMMYFUNCTION("""COMPUTED_VALUE"""),"Lasalle Stompers")</f>
        <v>Lasalle Stompers</v>
      </c>
      <c r="H591" s="26">
        <f t="shared" ca="1" si="1"/>
        <v>25</v>
      </c>
      <c r="I591" s="26">
        <f t="shared" ca="1" si="2"/>
        <v>1</v>
      </c>
      <c r="J591" s="86">
        <f t="shared" ca="1" si="3"/>
        <v>45101</v>
      </c>
      <c r="R591" s="26"/>
    </row>
    <row r="592" spans="1:18" ht="15.75" customHeight="1">
      <c r="A592" s="26">
        <f ca="1">IFERROR(__xludf.DUMMYFUNCTION("""COMPUTED_VALUE"""),19161)</f>
        <v>19161</v>
      </c>
      <c r="B592" s="86">
        <f ca="1">IFERROR(__xludf.DUMMYFUNCTION("""COMPUTED_VALUE"""),45101.6893287037)</f>
        <v>45101.689328703702</v>
      </c>
      <c r="C592" s="1" t="str">
        <f ca="1">IFERROR(__xludf.DUMMYFUNCTION("""COMPUTED_VALUE"""),"completed")</f>
        <v>completed</v>
      </c>
      <c r="D592" s="26">
        <f ca="1">IFERROR(__xludf.DUMMYFUNCTION("""COMPUTED_VALUE"""),35)</f>
        <v>35</v>
      </c>
      <c r="E592" s="1" t="str">
        <f ca="1">IFERROR(__xludf.DUMMYFUNCTION("""COMPUTED_VALUE"""),"Lasalle Stompers")</f>
        <v>Lasalle Stompers</v>
      </c>
      <c r="F592" s="87" t="str">
        <f t="shared" ca="1" si="0"/>
        <v>2023</v>
      </c>
      <c r="G592" s="1" t="str">
        <f ca="1">IFERROR(__xludf.DUMMYFUNCTION("""COMPUTED_VALUE"""),"Lasalle Stompers")</f>
        <v>Lasalle Stompers</v>
      </c>
      <c r="H592" s="26">
        <f t="shared" ca="1" si="1"/>
        <v>35</v>
      </c>
      <c r="I592" s="26">
        <f t="shared" ca="1" si="2"/>
        <v>1</v>
      </c>
      <c r="J592" s="86">
        <f t="shared" ca="1" si="3"/>
        <v>45101</v>
      </c>
      <c r="R592" s="26"/>
    </row>
    <row r="593" spans="1:18" ht="15.75" customHeight="1">
      <c r="A593" s="26">
        <f ca="1">IFERROR(__xludf.DUMMYFUNCTION("""COMPUTED_VALUE"""),19160)</f>
        <v>19160</v>
      </c>
      <c r="B593" s="86">
        <f ca="1">IFERROR(__xludf.DUMMYFUNCTION("""COMPUTED_VALUE"""),45101.6880555555)</f>
        <v>45101.688055555504</v>
      </c>
      <c r="C593" s="1" t="str">
        <f ca="1">IFERROR(__xludf.DUMMYFUNCTION("""COMPUTED_VALUE"""),"completed")</f>
        <v>completed</v>
      </c>
      <c r="D593" s="26">
        <f ca="1">IFERROR(__xludf.DUMMYFUNCTION("""COMPUTED_VALUE"""),25)</f>
        <v>25</v>
      </c>
      <c r="E593" s="1" t="str">
        <f ca="1">IFERROR(__xludf.DUMMYFUNCTION("""COMPUTED_VALUE"""),"Lasalle Stompers")</f>
        <v>Lasalle Stompers</v>
      </c>
      <c r="F593" s="87" t="str">
        <f t="shared" ca="1" si="0"/>
        <v>2023</v>
      </c>
      <c r="G593" s="1" t="str">
        <f ca="1">IFERROR(__xludf.DUMMYFUNCTION("""COMPUTED_VALUE"""),"Lasalle Stompers")</f>
        <v>Lasalle Stompers</v>
      </c>
      <c r="H593" s="26">
        <f t="shared" ca="1" si="1"/>
        <v>25</v>
      </c>
      <c r="I593" s="26">
        <f t="shared" ca="1" si="2"/>
        <v>1</v>
      </c>
      <c r="J593" s="86">
        <f t="shared" ca="1" si="3"/>
        <v>45101</v>
      </c>
      <c r="R593" s="26"/>
    </row>
    <row r="594" spans="1:18" ht="15.75" customHeight="1">
      <c r="A594" s="26">
        <f ca="1">IFERROR(__xludf.DUMMYFUNCTION("""COMPUTED_VALUE"""),19159)</f>
        <v>19159</v>
      </c>
      <c r="B594" s="86">
        <f ca="1">IFERROR(__xludf.DUMMYFUNCTION("""COMPUTED_VALUE"""),45101.684224537)</f>
        <v>45101.684224536999</v>
      </c>
      <c r="C594" s="1" t="str">
        <f ca="1">IFERROR(__xludf.DUMMYFUNCTION("""COMPUTED_VALUE"""),"completed")</f>
        <v>completed</v>
      </c>
      <c r="D594" s="26">
        <f ca="1">IFERROR(__xludf.DUMMYFUNCTION("""COMPUTED_VALUE"""),20)</f>
        <v>20</v>
      </c>
      <c r="E594" s="1" t="str">
        <f ca="1">IFERROR(__xludf.DUMMYFUNCTION("""COMPUTED_VALUE"""),"Lasalle Stompers")</f>
        <v>Lasalle Stompers</v>
      </c>
      <c r="F594" s="87" t="str">
        <f t="shared" ca="1" si="0"/>
        <v>2023</v>
      </c>
      <c r="G594" s="1" t="str">
        <f ca="1">IFERROR(__xludf.DUMMYFUNCTION("""COMPUTED_VALUE"""),"Lasalle Stompers")</f>
        <v>Lasalle Stompers</v>
      </c>
      <c r="H594" s="26">
        <f t="shared" ca="1" si="1"/>
        <v>20</v>
      </c>
      <c r="I594" s="26">
        <f t="shared" ca="1" si="2"/>
        <v>1</v>
      </c>
      <c r="J594" s="86">
        <f t="shared" ca="1" si="3"/>
        <v>45101</v>
      </c>
      <c r="R594" s="26"/>
    </row>
    <row r="595" spans="1:18" ht="15.75" customHeight="1">
      <c r="A595" s="26">
        <f ca="1">IFERROR(__xludf.DUMMYFUNCTION("""COMPUTED_VALUE"""),19158)</f>
        <v>19158</v>
      </c>
      <c r="B595" s="86">
        <f ca="1">IFERROR(__xludf.DUMMYFUNCTION("""COMPUTED_VALUE"""),45101.6814004629)</f>
        <v>45101.681400462898</v>
      </c>
      <c r="C595" s="1" t="str">
        <f ca="1">IFERROR(__xludf.DUMMYFUNCTION("""COMPUTED_VALUE"""),"completed")</f>
        <v>completed</v>
      </c>
      <c r="D595" s="26">
        <f ca="1">IFERROR(__xludf.DUMMYFUNCTION("""COMPUTED_VALUE"""),40)</f>
        <v>40</v>
      </c>
      <c r="E595" s="1" t="str">
        <f ca="1">IFERROR(__xludf.DUMMYFUNCTION("""COMPUTED_VALUE"""),"Lasalle Stompers")</f>
        <v>Lasalle Stompers</v>
      </c>
      <c r="F595" s="87" t="str">
        <f t="shared" ca="1" si="0"/>
        <v>2023</v>
      </c>
      <c r="G595" s="1" t="str">
        <f ca="1">IFERROR(__xludf.DUMMYFUNCTION("""COMPUTED_VALUE"""),"LMHA")</f>
        <v>LMHA</v>
      </c>
      <c r="H595" s="26">
        <f t="shared" ca="1" si="1"/>
        <v>40</v>
      </c>
      <c r="I595" s="26">
        <f t="shared" ca="1" si="2"/>
        <v>1</v>
      </c>
      <c r="J595" s="86">
        <f t="shared" ca="1" si="3"/>
        <v>45101</v>
      </c>
      <c r="R595" s="26"/>
    </row>
    <row r="596" spans="1:18" ht="15.75" customHeight="1">
      <c r="A596" s="26">
        <f ca="1">IFERROR(__xludf.DUMMYFUNCTION("""COMPUTED_VALUE"""),19157)</f>
        <v>19157</v>
      </c>
      <c r="B596" s="86">
        <f ca="1">IFERROR(__xludf.DUMMYFUNCTION("""COMPUTED_VALUE"""),45101.6805555555)</f>
        <v>45101.680555555497</v>
      </c>
      <c r="C596" s="1" t="str">
        <f ca="1">IFERROR(__xludf.DUMMYFUNCTION("""COMPUTED_VALUE"""),"completed")</f>
        <v>completed</v>
      </c>
      <c r="D596" s="26">
        <f ca="1">IFERROR(__xludf.DUMMYFUNCTION("""COMPUTED_VALUE"""),18)</f>
        <v>18</v>
      </c>
      <c r="E596" s="1" t="str">
        <f ca="1">IFERROR(__xludf.DUMMYFUNCTION("""COMPUTED_VALUE"""),"LMHA")</f>
        <v>LMHA</v>
      </c>
      <c r="F596" s="87" t="str">
        <f t="shared" ca="1" si="0"/>
        <v>2023</v>
      </c>
      <c r="G596" s="1" t="str">
        <f ca="1">IFERROR(__xludf.DUMMYFUNCTION("""COMPUTED_VALUE"""),"Lasalle Stompers")</f>
        <v>Lasalle Stompers</v>
      </c>
      <c r="H596" s="26">
        <f t="shared" ca="1" si="1"/>
        <v>18</v>
      </c>
      <c r="I596" s="26">
        <f t="shared" ca="1" si="2"/>
        <v>1</v>
      </c>
      <c r="J596" s="86">
        <f t="shared" ca="1" si="3"/>
        <v>45101</v>
      </c>
      <c r="R596" s="26"/>
    </row>
    <row r="597" spans="1:18" ht="15.75" customHeight="1">
      <c r="A597" s="26">
        <f ca="1">IFERROR(__xludf.DUMMYFUNCTION("""COMPUTED_VALUE"""),19156)</f>
        <v>19156</v>
      </c>
      <c r="B597" s="86">
        <f ca="1">IFERROR(__xludf.DUMMYFUNCTION("""COMPUTED_VALUE"""),45101.6799537037)</f>
        <v>45101.6799537037</v>
      </c>
      <c r="C597" s="1" t="str">
        <f ca="1">IFERROR(__xludf.DUMMYFUNCTION("""COMPUTED_VALUE"""),"completed")</f>
        <v>completed</v>
      </c>
      <c r="D597" s="26">
        <f ca="1">IFERROR(__xludf.DUMMYFUNCTION("""COMPUTED_VALUE"""),25)</f>
        <v>25</v>
      </c>
      <c r="E597" s="1" t="str">
        <f ca="1">IFERROR(__xludf.DUMMYFUNCTION("""COMPUTED_VALUE"""),"Lasalle Stompers")</f>
        <v>Lasalle Stompers</v>
      </c>
      <c r="F597" s="87" t="str">
        <f t="shared" ca="1" si="0"/>
        <v>2023</v>
      </c>
      <c r="G597" s="1" t="str">
        <f ca="1">IFERROR(__xludf.DUMMYFUNCTION("""COMPUTED_VALUE"""),"Lasalle Stompers")</f>
        <v>Lasalle Stompers</v>
      </c>
      <c r="H597" s="26">
        <f t="shared" ca="1" si="1"/>
        <v>25</v>
      </c>
      <c r="I597" s="26">
        <f t="shared" ca="1" si="2"/>
        <v>1</v>
      </c>
      <c r="J597" s="86">
        <f t="shared" ca="1" si="3"/>
        <v>45101</v>
      </c>
      <c r="R597" s="26"/>
    </row>
    <row r="598" spans="1:18" ht="15.75" customHeight="1">
      <c r="A598" s="26">
        <f ca="1">IFERROR(__xludf.DUMMYFUNCTION("""COMPUTED_VALUE"""),19155)</f>
        <v>19155</v>
      </c>
      <c r="B598" s="86">
        <f ca="1">IFERROR(__xludf.DUMMYFUNCTION("""COMPUTED_VALUE"""),45101.6740624999)</f>
        <v>45101.6740624999</v>
      </c>
      <c r="C598" s="1" t="str">
        <f ca="1">IFERROR(__xludf.DUMMYFUNCTION("""COMPUTED_VALUE"""),"completed")</f>
        <v>completed</v>
      </c>
      <c r="D598" s="26">
        <f ca="1">IFERROR(__xludf.DUMMYFUNCTION("""COMPUTED_VALUE"""),25)</f>
        <v>25</v>
      </c>
      <c r="E598" s="1" t="str">
        <f ca="1">IFERROR(__xludf.DUMMYFUNCTION("""COMPUTED_VALUE"""),"Lasalle Stompers")</f>
        <v>Lasalle Stompers</v>
      </c>
      <c r="F598" s="87" t="str">
        <f t="shared" ca="1" si="0"/>
        <v>2023</v>
      </c>
      <c r="G598" s="1" t="str">
        <f ca="1">IFERROR(__xludf.DUMMYFUNCTION("""COMPUTED_VALUE"""),"Lasalle Stompers")</f>
        <v>Lasalle Stompers</v>
      </c>
      <c r="H598" s="26">
        <f t="shared" ca="1" si="1"/>
        <v>25</v>
      </c>
      <c r="I598" s="26">
        <f t="shared" ca="1" si="2"/>
        <v>1</v>
      </c>
      <c r="J598" s="86">
        <f t="shared" ca="1" si="3"/>
        <v>45101</v>
      </c>
      <c r="R598" s="26"/>
    </row>
    <row r="599" spans="1:18" ht="15.75" customHeight="1">
      <c r="A599" s="26">
        <f ca="1">IFERROR(__xludf.DUMMYFUNCTION("""COMPUTED_VALUE"""),19154)</f>
        <v>19154</v>
      </c>
      <c r="B599" s="86">
        <f ca="1">IFERROR(__xludf.DUMMYFUNCTION("""COMPUTED_VALUE"""),45101.6666203703)</f>
        <v>45101.666620370299</v>
      </c>
      <c r="C599" s="1" t="str">
        <f ca="1">IFERROR(__xludf.DUMMYFUNCTION("""COMPUTED_VALUE"""),"completed")</f>
        <v>completed</v>
      </c>
      <c r="D599" s="26">
        <f ca="1">IFERROR(__xludf.DUMMYFUNCTION("""COMPUTED_VALUE"""),15)</f>
        <v>15</v>
      </c>
      <c r="E599" s="1" t="str">
        <f ca="1">IFERROR(__xludf.DUMMYFUNCTION("""COMPUTED_VALUE"""),"Lasalle Stompers")</f>
        <v>Lasalle Stompers</v>
      </c>
      <c r="F599" s="87" t="str">
        <f t="shared" ca="1" si="0"/>
        <v>2023</v>
      </c>
      <c r="G599" s="1" t="str">
        <f ca="1">IFERROR(__xludf.DUMMYFUNCTION("""COMPUTED_VALUE"""),"Lasalle Stompers")</f>
        <v>Lasalle Stompers</v>
      </c>
      <c r="H599" s="26">
        <f t="shared" ca="1" si="1"/>
        <v>15</v>
      </c>
      <c r="I599" s="26">
        <f t="shared" ca="1" si="2"/>
        <v>1</v>
      </c>
      <c r="J599" s="86">
        <f t="shared" ca="1" si="3"/>
        <v>45101</v>
      </c>
      <c r="R599" s="26"/>
    </row>
    <row r="600" spans="1:18" ht="15.75" customHeight="1">
      <c r="A600" s="26">
        <f ca="1">IFERROR(__xludf.DUMMYFUNCTION("""COMPUTED_VALUE"""),19153)</f>
        <v>19153</v>
      </c>
      <c r="B600" s="86">
        <f ca="1">IFERROR(__xludf.DUMMYFUNCTION("""COMPUTED_VALUE"""),45101.6664467592)</f>
        <v>45101.666446759198</v>
      </c>
      <c r="C600" s="1" t="str">
        <f ca="1">IFERROR(__xludf.DUMMYFUNCTION("""COMPUTED_VALUE"""),"completed")</f>
        <v>completed</v>
      </c>
      <c r="D600" s="26">
        <f ca="1">IFERROR(__xludf.DUMMYFUNCTION("""COMPUTED_VALUE"""),25)</f>
        <v>25</v>
      </c>
      <c r="E600" s="1" t="str">
        <f ca="1">IFERROR(__xludf.DUMMYFUNCTION("""COMPUTED_VALUE"""),"Lasalle Stompers")</f>
        <v>Lasalle Stompers</v>
      </c>
      <c r="F600" s="87" t="str">
        <f t="shared" ca="1" si="0"/>
        <v>2023</v>
      </c>
      <c r="G600" s="1" t="str">
        <f ca="1">IFERROR(__xludf.DUMMYFUNCTION("""COMPUTED_VALUE"""),"Lasalle Stompers")</f>
        <v>Lasalle Stompers</v>
      </c>
      <c r="H600" s="26">
        <f t="shared" ca="1" si="1"/>
        <v>25</v>
      </c>
      <c r="I600" s="26">
        <f t="shared" ca="1" si="2"/>
        <v>1</v>
      </c>
      <c r="J600" s="86">
        <f t="shared" ca="1" si="3"/>
        <v>45101</v>
      </c>
      <c r="R600" s="26"/>
    </row>
    <row r="601" spans="1:18" ht="15.75" customHeight="1">
      <c r="A601" s="26">
        <f ca="1">IFERROR(__xludf.DUMMYFUNCTION("""COMPUTED_VALUE"""),19152)</f>
        <v>19152</v>
      </c>
      <c r="B601" s="86">
        <f ca="1">IFERROR(__xludf.DUMMYFUNCTION("""COMPUTED_VALUE"""),45101.6636342592)</f>
        <v>45101.663634259203</v>
      </c>
      <c r="C601" s="1" t="str">
        <f ca="1">IFERROR(__xludf.DUMMYFUNCTION("""COMPUTED_VALUE"""),"completed")</f>
        <v>completed</v>
      </c>
      <c r="D601" s="26">
        <f ca="1">IFERROR(__xludf.DUMMYFUNCTION("""COMPUTED_VALUE"""),48)</f>
        <v>48</v>
      </c>
      <c r="E601" s="1" t="str">
        <f ca="1">IFERROR(__xludf.DUMMYFUNCTION("""COMPUTED_VALUE"""),"Lasalle Stompers")</f>
        <v>Lasalle Stompers</v>
      </c>
      <c r="F601" s="87" t="str">
        <f t="shared" ca="1" si="0"/>
        <v>2023</v>
      </c>
      <c r="G601" s="1" t="str">
        <f ca="1">IFERROR(__xludf.DUMMYFUNCTION("""COMPUTED_VALUE"""),"Lasalle Stompers")</f>
        <v>Lasalle Stompers</v>
      </c>
      <c r="H601" s="26">
        <f t="shared" ca="1" si="1"/>
        <v>48</v>
      </c>
      <c r="I601" s="26">
        <f t="shared" ca="1" si="2"/>
        <v>1</v>
      </c>
      <c r="J601" s="86">
        <f t="shared" ca="1" si="3"/>
        <v>45101</v>
      </c>
      <c r="R601" s="26"/>
    </row>
    <row r="602" spans="1:18" ht="15.75" customHeight="1">
      <c r="A602" s="26">
        <f ca="1">IFERROR(__xludf.DUMMYFUNCTION("""COMPUTED_VALUE"""),19151)</f>
        <v>19151</v>
      </c>
      <c r="B602" s="86">
        <f ca="1">IFERROR(__xludf.DUMMYFUNCTION("""COMPUTED_VALUE"""),45101.6504282407)</f>
        <v>45101.650428240697</v>
      </c>
      <c r="C602" s="1" t="str">
        <f ca="1">IFERROR(__xludf.DUMMYFUNCTION("""COMPUTED_VALUE"""),"completed")</f>
        <v>completed</v>
      </c>
      <c r="D602" s="26">
        <f ca="1">IFERROR(__xludf.DUMMYFUNCTION("""COMPUTED_VALUE"""),18)</f>
        <v>18</v>
      </c>
      <c r="E602" s="1" t="str">
        <f ca="1">IFERROR(__xludf.DUMMYFUNCTION("""COMPUTED_VALUE"""),"Lasalle Stompers")</f>
        <v>Lasalle Stompers</v>
      </c>
      <c r="F602" s="87" t="str">
        <f t="shared" ca="1" si="0"/>
        <v>2023</v>
      </c>
      <c r="G602" s="1" t="str">
        <f ca="1">IFERROR(__xludf.DUMMYFUNCTION("""COMPUTED_VALUE"""),"Lasalle Stompers")</f>
        <v>Lasalle Stompers</v>
      </c>
      <c r="H602" s="26">
        <f t="shared" ca="1" si="1"/>
        <v>18</v>
      </c>
      <c r="I602" s="26">
        <f t="shared" ca="1" si="2"/>
        <v>1</v>
      </c>
      <c r="J602" s="86">
        <f t="shared" ca="1" si="3"/>
        <v>45101</v>
      </c>
      <c r="R602" s="26"/>
    </row>
    <row r="603" spans="1:18" ht="15.75" customHeight="1">
      <c r="A603" s="26">
        <f ca="1">IFERROR(__xludf.DUMMYFUNCTION("""COMPUTED_VALUE"""),19150)</f>
        <v>19150</v>
      </c>
      <c r="B603" s="86">
        <f ca="1">IFERROR(__xludf.DUMMYFUNCTION("""COMPUTED_VALUE"""),45101.6486805555)</f>
        <v>45101.648680555503</v>
      </c>
      <c r="C603" s="1" t="str">
        <f ca="1">IFERROR(__xludf.DUMMYFUNCTION("""COMPUTED_VALUE"""),"completed")</f>
        <v>completed</v>
      </c>
      <c r="D603" s="26">
        <f ca="1">IFERROR(__xludf.DUMMYFUNCTION("""COMPUTED_VALUE"""),48)</f>
        <v>48</v>
      </c>
      <c r="E603" s="1" t="str">
        <f ca="1">IFERROR(__xludf.DUMMYFUNCTION("""COMPUTED_VALUE"""),"Lasalle Stompers")</f>
        <v>Lasalle Stompers</v>
      </c>
      <c r="F603" s="87" t="str">
        <f t="shared" ca="1" si="0"/>
        <v>2023</v>
      </c>
      <c r="G603" s="1" t="str">
        <f ca="1">IFERROR(__xludf.DUMMYFUNCTION("""COMPUTED_VALUE"""),"Lasalle Stompers")</f>
        <v>Lasalle Stompers</v>
      </c>
      <c r="H603" s="26">
        <f t="shared" ca="1" si="1"/>
        <v>48</v>
      </c>
      <c r="I603" s="26">
        <f t="shared" ca="1" si="2"/>
        <v>1</v>
      </c>
      <c r="J603" s="86">
        <f t="shared" ca="1" si="3"/>
        <v>45101</v>
      </c>
      <c r="R603" s="26"/>
    </row>
    <row r="604" spans="1:18" ht="15.75" customHeight="1">
      <c r="A604" s="26">
        <f ca="1">IFERROR(__xludf.DUMMYFUNCTION("""COMPUTED_VALUE"""),19149)</f>
        <v>19149</v>
      </c>
      <c r="B604" s="86">
        <f ca="1">IFERROR(__xludf.DUMMYFUNCTION("""COMPUTED_VALUE"""),45101.6484837962)</f>
        <v>45101.648483796198</v>
      </c>
      <c r="C604" s="1" t="str">
        <f ca="1">IFERROR(__xludf.DUMMYFUNCTION("""COMPUTED_VALUE"""),"completed")</f>
        <v>completed</v>
      </c>
      <c r="D604" s="26">
        <f ca="1">IFERROR(__xludf.DUMMYFUNCTION("""COMPUTED_VALUE"""),18)</f>
        <v>18</v>
      </c>
      <c r="E604" s="1" t="str">
        <f ca="1">IFERROR(__xludf.DUMMYFUNCTION("""COMPUTED_VALUE"""),"Lasalle Stompers")</f>
        <v>Lasalle Stompers</v>
      </c>
      <c r="F604" s="87" t="str">
        <f t="shared" ca="1" si="0"/>
        <v>2023</v>
      </c>
      <c r="G604" s="1" t="str">
        <f ca="1">IFERROR(__xludf.DUMMYFUNCTION("""COMPUTED_VALUE"""),"Lasalle Stompers")</f>
        <v>Lasalle Stompers</v>
      </c>
      <c r="H604" s="26">
        <f t="shared" ca="1" si="1"/>
        <v>18</v>
      </c>
      <c r="I604" s="26">
        <f t="shared" ca="1" si="2"/>
        <v>1</v>
      </c>
      <c r="J604" s="86">
        <f t="shared" ca="1" si="3"/>
        <v>45101</v>
      </c>
      <c r="R604" s="26"/>
    </row>
    <row r="605" spans="1:18" ht="15.75" customHeight="1">
      <c r="A605" s="26">
        <f ca="1">IFERROR(__xludf.DUMMYFUNCTION("""COMPUTED_VALUE"""),19148)</f>
        <v>19148</v>
      </c>
      <c r="B605" s="86">
        <f ca="1">IFERROR(__xludf.DUMMYFUNCTION("""COMPUTED_VALUE"""),45101.6471875)</f>
        <v>45101.647187499999</v>
      </c>
      <c r="C605" s="1" t="str">
        <f ca="1">IFERROR(__xludf.DUMMYFUNCTION("""COMPUTED_VALUE"""),"completed")</f>
        <v>completed</v>
      </c>
      <c r="D605" s="26">
        <f ca="1">IFERROR(__xludf.DUMMYFUNCTION("""COMPUTED_VALUE"""),18)</f>
        <v>18</v>
      </c>
      <c r="E605" s="1" t="str">
        <f ca="1">IFERROR(__xludf.DUMMYFUNCTION("""COMPUTED_VALUE"""),"Lasalle Stompers")</f>
        <v>Lasalle Stompers</v>
      </c>
      <c r="F605" s="87" t="str">
        <f t="shared" ca="1" si="0"/>
        <v>2023</v>
      </c>
      <c r="G605" s="1" t="str">
        <f ca="1">IFERROR(__xludf.DUMMYFUNCTION("""COMPUTED_VALUE"""),"Lasalle Stompers")</f>
        <v>Lasalle Stompers</v>
      </c>
      <c r="H605" s="26">
        <f t="shared" ca="1" si="1"/>
        <v>18</v>
      </c>
      <c r="I605" s="26">
        <f t="shared" ca="1" si="2"/>
        <v>1</v>
      </c>
      <c r="J605" s="86">
        <f t="shared" ca="1" si="3"/>
        <v>45101</v>
      </c>
      <c r="R605" s="26"/>
    </row>
    <row r="606" spans="1:18" ht="15.75" customHeight="1">
      <c r="A606" s="26">
        <f ca="1">IFERROR(__xludf.DUMMYFUNCTION("""COMPUTED_VALUE"""),19147)</f>
        <v>19147</v>
      </c>
      <c r="B606" s="86">
        <f ca="1">IFERROR(__xludf.DUMMYFUNCTION("""COMPUTED_VALUE"""),45101.6438425925)</f>
        <v>45101.643842592501</v>
      </c>
      <c r="C606" s="1" t="str">
        <f ca="1">IFERROR(__xludf.DUMMYFUNCTION("""COMPUTED_VALUE"""),"completed")</f>
        <v>completed</v>
      </c>
      <c r="D606" s="26">
        <f ca="1">IFERROR(__xludf.DUMMYFUNCTION("""COMPUTED_VALUE"""),0)</f>
        <v>0</v>
      </c>
      <c r="E606" s="1" t="str">
        <f ca="1">IFERROR(__xludf.DUMMYFUNCTION("""COMPUTED_VALUE"""),"Lasalle Stompers")</f>
        <v>Lasalle Stompers</v>
      </c>
      <c r="F606" s="87" t="str">
        <f t="shared" ca="1" si="0"/>
        <v>2023</v>
      </c>
      <c r="G606" s="1" t="str">
        <f ca="1">IFERROR(__xludf.DUMMYFUNCTION("""COMPUTED_VALUE"""),"Lasalle Stompers")</f>
        <v>Lasalle Stompers</v>
      </c>
      <c r="H606" s="26">
        <f t="shared" ca="1" si="1"/>
        <v>0</v>
      </c>
      <c r="I606" s="26">
        <f t="shared" ca="1" si="2"/>
        <v>1</v>
      </c>
      <c r="J606" s="86">
        <f t="shared" ca="1" si="3"/>
        <v>45101</v>
      </c>
      <c r="R606" s="26"/>
    </row>
    <row r="607" spans="1:18" ht="15.75" customHeight="1">
      <c r="A607" s="26">
        <f ca="1">IFERROR(__xludf.DUMMYFUNCTION("""COMPUTED_VALUE"""),19146)</f>
        <v>19146</v>
      </c>
      <c r="B607" s="86">
        <f ca="1">IFERROR(__xludf.DUMMYFUNCTION("""COMPUTED_VALUE"""),45101.6422685185)</f>
        <v>45101.642268518503</v>
      </c>
      <c r="C607" s="1" t="str">
        <f ca="1">IFERROR(__xludf.DUMMYFUNCTION("""COMPUTED_VALUE"""),"completed")</f>
        <v>completed</v>
      </c>
      <c r="D607" s="26">
        <f ca="1">IFERROR(__xludf.DUMMYFUNCTION("""COMPUTED_VALUE"""),30)</f>
        <v>30</v>
      </c>
      <c r="E607" s="1" t="str">
        <f ca="1">IFERROR(__xludf.DUMMYFUNCTION("""COMPUTED_VALUE"""),"Lasalle Stompers")</f>
        <v>Lasalle Stompers</v>
      </c>
      <c r="F607" s="87" t="str">
        <f t="shared" ca="1" si="0"/>
        <v>2023</v>
      </c>
      <c r="G607" s="1" t="str">
        <f ca="1">IFERROR(__xludf.DUMMYFUNCTION("""COMPUTED_VALUE"""),"Lasalle Stompers")</f>
        <v>Lasalle Stompers</v>
      </c>
      <c r="H607" s="26">
        <f t="shared" ca="1" si="1"/>
        <v>30</v>
      </c>
      <c r="I607" s="26">
        <f t="shared" ca="1" si="2"/>
        <v>1</v>
      </c>
      <c r="J607" s="86">
        <f t="shared" ca="1" si="3"/>
        <v>45101</v>
      </c>
      <c r="R607" s="26"/>
    </row>
    <row r="608" spans="1:18" ht="15.75" customHeight="1">
      <c r="A608" s="26">
        <f ca="1">IFERROR(__xludf.DUMMYFUNCTION("""COMPUTED_VALUE"""),19145)</f>
        <v>19145</v>
      </c>
      <c r="B608" s="86">
        <f ca="1">IFERROR(__xludf.DUMMYFUNCTION("""COMPUTED_VALUE"""),45101.6386689814)</f>
        <v>45101.638668981403</v>
      </c>
      <c r="C608" s="1" t="str">
        <f ca="1">IFERROR(__xludf.DUMMYFUNCTION("""COMPUTED_VALUE"""),"completed")</f>
        <v>completed</v>
      </c>
      <c r="D608" s="26">
        <f ca="1">IFERROR(__xludf.DUMMYFUNCTION("""COMPUTED_VALUE"""),22)</f>
        <v>22</v>
      </c>
      <c r="E608" s="1" t="str">
        <f ca="1">IFERROR(__xludf.DUMMYFUNCTION("""COMPUTED_VALUE"""),"Lasalle Stompers")</f>
        <v>Lasalle Stompers</v>
      </c>
      <c r="F608" s="87" t="str">
        <f t="shared" ca="1" si="0"/>
        <v>2023</v>
      </c>
      <c r="G608" s="1" t="str">
        <f ca="1">IFERROR(__xludf.DUMMYFUNCTION("""COMPUTED_VALUE"""),"Lasalle Stompers")</f>
        <v>Lasalle Stompers</v>
      </c>
      <c r="H608" s="26">
        <f t="shared" ca="1" si="1"/>
        <v>22</v>
      </c>
      <c r="I608" s="26">
        <f t="shared" ca="1" si="2"/>
        <v>1</v>
      </c>
      <c r="J608" s="86">
        <f t="shared" ca="1" si="3"/>
        <v>45101</v>
      </c>
      <c r="R608" s="26"/>
    </row>
    <row r="609" spans="1:18" ht="15.75" customHeight="1">
      <c r="A609" s="26">
        <f ca="1">IFERROR(__xludf.DUMMYFUNCTION("""COMPUTED_VALUE"""),19144)</f>
        <v>19144</v>
      </c>
      <c r="B609" s="86">
        <f ca="1">IFERROR(__xludf.DUMMYFUNCTION("""COMPUTED_VALUE"""),45101.6332638888)</f>
        <v>45101.633263888798</v>
      </c>
      <c r="C609" s="1" t="str">
        <f ca="1">IFERROR(__xludf.DUMMYFUNCTION("""COMPUTED_VALUE"""),"refunded")</f>
        <v>refunded</v>
      </c>
      <c r="D609" s="26">
        <f ca="1">IFERROR(__xludf.DUMMYFUNCTION("""COMPUTED_VALUE"""),22)</f>
        <v>22</v>
      </c>
      <c r="E609" s="1" t="str">
        <f ca="1">IFERROR(__xludf.DUMMYFUNCTION("""COMPUTED_VALUE"""),"Lasalle Stompers")</f>
        <v>Lasalle Stompers</v>
      </c>
      <c r="F609" s="87" t="str">
        <f t="shared" ca="1" si="0"/>
        <v>2023</v>
      </c>
      <c r="G609" s="1" t="str">
        <f ca="1">IFERROR(__xludf.DUMMYFUNCTION("""COMPUTED_VALUE"""),"Lasalle Stompers")</f>
        <v>Lasalle Stompers</v>
      </c>
      <c r="H609" s="26">
        <f t="shared" ca="1" si="1"/>
        <v>22</v>
      </c>
      <c r="I609" s="26">
        <f t="shared" ca="1" si="2"/>
        <v>1</v>
      </c>
      <c r="J609" s="86">
        <f t="shared" ca="1" si="3"/>
        <v>45101</v>
      </c>
      <c r="R609" s="26"/>
    </row>
    <row r="610" spans="1:18" ht="15.75" customHeight="1">
      <c r="A610" s="26">
        <f ca="1">IFERROR(__xludf.DUMMYFUNCTION("""COMPUTED_VALUE"""),19143)</f>
        <v>19143</v>
      </c>
      <c r="B610" s="86">
        <f ca="1">IFERROR(__xludf.DUMMYFUNCTION("""COMPUTED_VALUE"""),45101.6330787037)</f>
        <v>45101.6330787037</v>
      </c>
      <c r="C610" s="1" t="str">
        <f ca="1">IFERROR(__xludf.DUMMYFUNCTION("""COMPUTED_VALUE"""),"completed")</f>
        <v>completed</v>
      </c>
      <c r="D610" s="26">
        <f ca="1">IFERROR(__xludf.DUMMYFUNCTION("""COMPUTED_VALUE"""),25)</f>
        <v>25</v>
      </c>
      <c r="E610" s="1" t="str">
        <f ca="1">IFERROR(__xludf.DUMMYFUNCTION("""COMPUTED_VALUE"""),"Lasalle Stompers")</f>
        <v>Lasalle Stompers</v>
      </c>
      <c r="F610" s="87" t="str">
        <f t="shared" ca="1" si="0"/>
        <v>2023</v>
      </c>
      <c r="G610" s="1" t="str">
        <f ca="1">IFERROR(__xludf.DUMMYFUNCTION("""COMPUTED_VALUE"""),"Lasalle Stompers")</f>
        <v>Lasalle Stompers</v>
      </c>
      <c r="H610" s="26">
        <f t="shared" ca="1" si="1"/>
        <v>25</v>
      </c>
      <c r="I610" s="26">
        <f t="shared" ca="1" si="2"/>
        <v>1</v>
      </c>
      <c r="J610" s="86">
        <f t="shared" ca="1" si="3"/>
        <v>45101</v>
      </c>
      <c r="R610" s="26"/>
    </row>
    <row r="611" spans="1:18" ht="15.75" customHeight="1">
      <c r="A611" s="26">
        <f ca="1">IFERROR(__xludf.DUMMYFUNCTION("""COMPUTED_VALUE"""),19142)</f>
        <v>19142</v>
      </c>
      <c r="B611" s="86">
        <f ca="1">IFERROR(__xludf.DUMMYFUNCTION("""COMPUTED_VALUE"""),45101.629537037)</f>
        <v>45101.629537036999</v>
      </c>
      <c r="C611" s="1" t="str">
        <f ca="1">IFERROR(__xludf.DUMMYFUNCTION("""COMPUTED_VALUE"""),"completed")</f>
        <v>completed</v>
      </c>
      <c r="D611" s="26">
        <f ca="1">IFERROR(__xludf.DUMMYFUNCTION("""COMPUTED_VALUE"""),25)</f>
        <v>25</v>
      </c>
      <c r="E611" s="1" t="str">
        <f ca="1">IFERROR(__xludf.DUMMYFUNCTION("""COMPUTED_VALUE"""),"Lasalle Stompers")</f>
        <v>Lasalle Stompers</v>
      </c>
      <c r="F611" s="87" t="str">
        <f t="shared" ca="1" si="0"/>
        <v>2023</v>
      </c>
      <c r="G611" s="1" t="str">
        <f ca="1">IFERROR(__xludf.DUMMYFUNCTION("""COMPUTED_VALUE"""),"Lasalle Stompers")</f>
        <v>Lasalle Stompers</v>
      </c>
      <c r="H611" s="26">
        <f t="shared" ca="1" si="1"/>
        <v>25</v>
      </c>
      <c r="I611" s="26">
        <f t="shared" ca="1" si="2"/>
        <v>1</v>
      </c>
      <c r="J611" s="86">
        <f t="shared" ca="1" si="3"/>
        <v>45101</v>
      </c>
      <c r="R611" s="26"/>
    </row>
    <row r="612" spans="1:18" ht="15.75" customHeight="1">
      <c r="A612" s="26">
        <f ca="1">IFERROR(__xludf.DUMMYFUNCTION("""COMPUTED_VALUE"""),19141)</f>
        <v>19141</v>
      </c>
      <c r="B612" s="86">
        <f ca="1">IFERROR(__xludf.DUMMYFUNCTION("""COMPUTED_VALUE"""),45101.6285532407)</f>
        <v>45101.628553240698</v>
      </c>
      <c r="C612" s="1" t="str">
        <f ca="1">IFERROR(__xludf.DUMMYFUNCTION("""COMPUTED_VALUE"""),"completed")</f>
        <v>completed</v>
      </c>
      <c r="D612" s="26">
        <f ca="1">IFERROR(__xludf.DUMMYFUNCTION("""COMPUTED_VALUE"""),25)</f>
        <v>25</v>
      </c>
      <c r="E612" s="1" t="str">
        <f ca="1">IFERROR(__xludf.DUMMYFUNCTION("""COMPUTED_VALUE"""),"Lasalle Stompers")</f>
        <v>Lasalle Stompers</v>
      </c>
      <c r="F612" s="87" t="str">
        <f t="shared" ca="1" si="0"/>
        <v>2023</v>
      </c>
      <c r="G612" s="1" t="str">
        <f ca="1">IFERROR(__xludf.DUMMYFUNCTION("""COMPUTED_VALUE"""),"Lasalle Stompers")</f>
        <v>Lasalle Stompers</v>
      </c>
      <c r="H612" s="26">
        <f t="shared" ca="1" si="1"/>
        <v>25</v>
      </c>
      <c r="I612" s="26">
        <f t="shared" ca="1" si="2"/>
        <v>1</v>
      </c>
      <c r="J612" s="86">
        <f t="shared" ca="1" si="3"/>
        <v>45101</v>
      </c>
      <c r="R612" s="26"/>
    </row>
    <row r="613" spans="1:18" ht="15.75" customHeight="1">
      <c r="A613" s="26">
        <f ca="1">IFERROR(__xludf.DUMMYFUNCTION("""COMPUTED_VALUE"""),19140)</f>
        <v>19140</v>
      </c>
      <c r="B613" s="86">
        <f ca="1">IFERROR(__xludf.DUMMYFUNCTION("""COMPUTED_VALUE"""),45101.6184259259)</f>
        <v>45101.618425925903</v>
      </c>
      <c r="C613" s="1" t="str">
        <f ca="1">IFERROR(__xludf.DUMMYFUNCTION("""COMPUTED_VALUE"""),"completed")</f>
        <v>completed</v>
      </c>
      <c r="D613" s="26">
        <f ca="1">IFERROR(__xludf.DUMMYFUNCTION("""COMPUTED_VALUE"""),0)</f>
        <v>0</v>
      </c>
      <c r="E613" s="1" t="str">
        <f ca="1">IFERROR(__xludf.DUMMYFUNCTION("""COMPUTED_VALUE"""),"Lasalle Stompers")</f>
        <v>Lasalle Stompers</v>
      </c>
      <c r="F613" s="87" t="str">
        <f t="shared" ca="1" si="0"/>
        <v>2023</v>
      </c>
      <c r="G613" s="1" t="str">
        <f ca="1">IFERROR(__xludf.DUMMYFUNCTION("""COMPUTED_VALUE"""),"Lasalle Stompers")</f>
        <v>Lasalle Stompers</v>
      </c>
      <c r="H613" s="26">
        <f t="shared" ca="1" si="1"/>
        <v>0</v>
      </c>
      <c r="I613" s="26">
        <f t="shared" ca="1" si="2"/>
        <v>1</v>
      </c>
      <c r="J613" s="86">
        <f t="shared" ca="1" si="3"/>
        <v>45101</v>
      </c>
      <c r="R613" s="26"/>
    </row>
    <row r="614" spans="1:18" ht="15.75" customHeight="1">
      <c r="A614" s="26">
        <f ca="1">IFERROR(__xludf.DUMMYFUNCTION("""COMPUTED_VALUE"""),19139)</f>
        <v>19139</v>
      </c>
      <c r="B614" s="86">
        <f ca="1">IFERROR(__xludf.DUMMYFUNCTION("""COMPUTED_VALUE"""),45101.6143287037)</f>
        <v>45101.614328703698</v>
      </c>
      <c r="C614" s="1" t="str">
        <f ca="1">IFERROR(__xludf.DUMMYFUNCTION("""COMPUTED_VALUE"""),"completed")</f>
        <v>completed</v>
      </c>
      <c r="D614" s="26">
        <f ca="1">IFERROR(__xludf.DUMMYFUNCTION("""COMPUTED_VALUE"""),25)</f>
        <v>25</v>
      </c>
      <c r="E614" s="1" t="str">
        <f ca="1">IFERROR(__xludf.DUMMYFUNCTION("""COMPUTED_VALUE"""),"Lasalle Stompers")</f>
        <v>Lasalle Stompers</v>
      </c>
      <c r="F614" s="87" t="str">
        <f t="shared" ca="1" si="0"/>
        <v>2023</v>
      </c>
      <c r="G614" s="1" t="str">
        <f ca="1">IFERROR(__xludf.DUMMYFUNCTION("""COMPUTED_VALUE"""),"Lasalle Stompers")</f>
        <v>Lasalle Stompers</v>
      </c>
      <c r="H614" s="26">
        <f t="shared" ca="1" si="1"/>
        <v>25</v>
      </c>
      <c r="I614" s="26">
        <f t="shared" ca="1" si="2"/>
        <v>1</v>
      </c>
      <c r="J614" s="86">
        <f t="shared" ca="1" si="3"/>
        <v>45101</v>
      </c>
      <c r="R614" s="26"/>
    </row>
    <row r="615" spans="1:18" ht="15.75" customHeight="1">
      <c r="A615" s="26">
        <f ca="1">IFERROR(__xludf.DUMMYFUNCTION("""COMPUTED_VALUE"""),19138)</f>
        <v>19138</v>
      </c>
      <c r="B615" s="86">
        <f ca="1">IFERROR(__xludf.DUMMYFUNCTION("""COMPUTED_VALUE"""),45101.607824074)</f>
        <v>45101.607824074003</v>
      </c>
      <c r="C615" s="1" t="str">
        <f ca="1">IFERROR(__xludf.DUMMYFUNCTION("""COMPUTED_VALUE"""),"completed")</f>
        <v>completed</v>
      </c>
      <c r="D615" s="26">
        <f ca="1">IFERROR(__xludf.DUMMYFUNCTION("""COMPUTED_VALUE"""),28)</f>
        <v>28</v>
      </c>
      <c r="E615" s="1" t="str">
        <f ca="1">IFERROR(__xludf.DUMMYFUNCTION("""COMPUTED_VALUE"""),"Lasalle Stompers")</f>
        <v>Lasalle Stompers</v>
      </c>
      <c r="F615" s="87" t="str">
        <f t="shared" ca="1" si="0"/>
        <v>2023</v>
      </c>
      <c r="G615" s="1" t="str">
        <f ca="1">IFERROR(__xludf.DUMMYFUNCTION("""COMPUTED_VALUE"""),"Lasalle Stompers")</f>
        <v>Lasalle Stompers</v>
      </c>
      <c r="H615" s="26">
        <f t="shared" ca="1" si="1"/>
        <v>28</v>
      </c>
      <c r="I615" s="26">
        <f t="shared" ca="1" si="2"/>
        <v>1</v>
      </c>
      <c r="J615" s="86">
        <f t="shared" ca="1" si="3"/>
        <v>45101</v>
      </c>
      <c r="R615" s="26"/>
    </row>
    <row r="616" spans="1:18" ht="15.75" customHeight="1">
      <c r="A616" s="26">
        <f ca="1">IFERROR(__xludf.DUMMYFUNCTION("""COMPUTED_VALUE"""),19137)</f>
        <v>19137</v>
      </c>
      <c r="B616" s="86">
        <f ca="1">IFERROR(__xludf.DUMMYFUNCTION("""COMPUTED_VALUE"""),45101.5956134259)</f>
        <v>45101.595613425903</v>
      </c>
      <c r="C616" s="1" t="str">
        <f ca="1">IFERROR(__xludf.DUMMYFUNCTION("""COMPUTED_VALUE"""),"completed")</f>
        <v>completed</v>
      </c>
      <c r="D616" s="26">
        <f ca="1">IFERROR(__xludf.DUMMYFUNCTION("""COMPUTED_VALUE"""),25)</f>
        <v>25</v>
      </c>
      <c r="E616" s="1" t="str">
        <f ca="1">IFERROR(__xludf.DUMMYFUNCTION("""COMPUTED_VALUE"""),"Lasalle Stompers")</f>
        <v>Lasalle Stompers</v>
      </c>
      <c r="F616" s="87" t="str">
        <f t="shared" ca="1" si="0"/>
        <v>2023</v>
      </c>
      <c r="G616" s="1" t="str">
        <f ca="1">IFERROR(__xludf.DUMMYFUNCTION("""COMPUTED_VALUE"""),"Lasalle Stompers")</f>
        <v>Lasalle Stompers</v>
      </c>
      <c r="H616" s="26">
        <f t="shared" ca="1" si="1"/>
        <v>25</v>
      </c>
      <c r="I616" s="26">
        <f t="shared" ca="1" si="2"/>
        <v>1</v>
      </c>
      <c r="J616" s="86">
        <f t="shared" ca="1" si="3"/>
        <v>45101</v>
      </c>
      <c r="R616" s="26"/>
    </row>
    <row r="617" spans="1:18" ht="15.75" customHeight="1">
      <c r="A617" s="26">
        <f ca="1">IFERROR(__xludf.DUMMYFUNCTION("""COMPUTED_VALUE"""),19136)</f>
        <v>19136</v>
      </c>
      <c r="B617" s="86">
        <f ca="1">IFERROR(__xludf.DUMMYFUNCTION("""COMPUTED_VALUE"""),45101.5693055555)</f>
        <v>45101.569305555502</v>
      </c>
      <c r="C617" s="1" t="str">
        <f ca="1">IFERROR(__xludf.DUMMYFUNCTION("""COMPUTED_VALUE"""),"completed")</f>
        <v>completed</v>
      </c>
      <c r="D617" s="26">
        <f ca="1">IFERROR(__xludf.DUMMYFUNCTION("""COMPUTED_VALUE"""),20)</f>
        <v>20</v>
      </c>
      <c r="E617" s="1" t="str">
        <f ca="1">IFERROR(__xludf.DUMMYFUNCTION("""COMPUTED_VALUE"""),"Lasalle Stompers")</f>
        <v>Lasalle Stompers</v>
      </c>
      <c r="F617" s="87" t="str">
        <f t="shared" ca="1" si="0"/>
        <v>2023</v>
      </c>
      <c r="G617" s="1" t="str">
        <f ca="1">IFERROR(__xludf.DUMMYFUNCTION("""COMPUTED_VALUE"""),"Lasalle Stompers")</f>
        <v>Lasalle Stompers</v>
      </c>
      <c r="H617" s="26">
        <f t="shared" ca="1" si="1"/>
        <v>20</v>
      </c>
      <c r="I617" s="26">
        <f t="shared" ca="1" si="2"/>
        <v>1</v>
      </c>
      <c r="J617" s="86">
        <f t="shared" ca="1" si="3"/>
        <v>45101</v>
      </c>
      <c r="R617" s="26"/>
    </row>
    <row r="618" spans="1:18" ht="15.75" customHeight="1">
      <c r="A618" s="26">
        <f ca="1">IFERROR(__xludf.DUMMYFUNCTION("""COMPUTED_VALUE"""),19135)</f>
        <v>19135</v>
      </c>
      <c r="B618" s="86">
        <f ca="1">IFERROR(__xludf.DUMMYFUNCTION("""COMPUTED_VALUE"""),45101.5664699074)</f>
        <v>45101.566469907397</v>
      </c>
      <c r="C618" s="1" t="str">
        <f ca="1">IFERROR(__xludf.DUMMYFUNCTION("""COMPUTED_VALUE"""),"completed")</f>
        <v>completed</v>
      </c>
      <c r="D618" s="26">
        <f ca="1">IFERROR(__xludf.DUMMYFUNCTION("""COMPUTED_VALUE"""),20)</f>
        <v>20</v>
      </c>
      <c r="E618" s="1" t="str">
        <f ca="1">IFERROR(__xludf.DUMMYFUNCTION("""COMPUTED_VALUE"""),"Lasalle Stompers")</f>
        <v>Lasalle Stompers</v>
      </c>
      <c r="F618" s="87" t="str">
        <f t="shared" ca="1" si="0"/>
        <v>2023</v>
      </c>
      <c r="G618" s="1" t="str">
        <f ca="1">IFERROR(__xludf.DUMMYFUNCTION("""COMPUTED_VALUE"""),"Lasalle Stompers")</f>
        <v>Lasalle Stompers</v>
      </c>
      <c r="H618" s="26">
        <f t="shared" ca="1" si="1"/>
        <v>20</v>
      </c>
      <c r="I618" s="26">
        <f t="shared" ca="1" si="2"/>
        <v>1</v>
      </c>
      <c r="J618" s="86">
        <f t="shared" ca="1" si="3"/>
        <v>45101</v>
      </c>
      <c r="R618" s="26"/>
    </row>
    <row r="619" spans="1:18" ht="15.75" customHeight="1">
      <c r="A619" s="26">
        <f ca="1">IFERROR(__xludf.DUMMYFUNCTION("""COMPUTED_VALUE"""),19134)</f>
        <v>19134</v>
      </c>
      <c r="B619" s="86">
        <f ca="1">IFERROR(__xludf.DUMMYFUNCTION("""COMPUTED_VALUE"""),45101.5481481481)</f>
        <v>45101.548148148097</v>
      </c>
      <c r="C619" s="1" t="str">
        <f ca="1">IFERROR(__xludf.DUMMYFUNCTION("""COMPUTED_VALUE"""),"completed")</f>
        <v>completed</v>
      </c>
      <c r="D619" s="26">
        <f ca="1">IFERROR(__xludf.DUMMYFUNCTION("""COMPUTED_VALUE"""),25)</f>
        <v>25</v>
      </c>
      <c r="E619" s="1" t="str">
        <f ca="1">IFERROR(__xludf.DUMMYFUNCTION("""COMPUTED_VALUE"""),"Lasalle Stompers")</f>
        <v>Lasalle Stompers</v>
      </c>
      <c r="F619" s="87" t="str">
        <f t="shared" ca="1" si="0"/>
        <v>2023</v>
      </c>
      <c r="G619" s="1" t="str">
        <f ca="1">IFERROR(__xludf.DUMMYFUNCTION("""COMPUTED_VALUE"""),"Lasalle Stompers")</f>
        <v>Lasalle Stompers</v>
      </c>
      <c r="H619" s="26">
        <f t="shared" ca="1" si="1"/>
        <v>25</v>
      </c>
      <c r="I619" s="26">
        <f t="shared" ca="1" si="2"/>
        <v>1</v>
      </c>
      <c r="J619" s="86">
        <f t="shared" ca="1" si="3"/>
        <v>45101</v>
      </c>
      <c r="R619" s="26"/>
    </row>
    <row r="620" spans="1:18" ht="15.75" customHeight="1">
      <c r="A620" s="26">
        <f ca="1">IFERROR(__xludf.DUMMYFUNCTION("""COMPUTED_VALUE"""),19133)</f>
        <v>19133</v>
      </c>
      <c r="B620" s="86">
        <f ca="1">IFERROR(__xludf.DUMMYFUNCTION("""COMPUTED_VALUE"""),45101.5398379629)</f>
        <v>45101.539837962897</v>
      </c>
      <c r="C620" s="1" t="str">
        <f ca="1">IFERROR(__xludf.DUMMYFUNCTION("""COMPUTED_VALUE"""),"completed")</f>
        <v>completed</v>
      </c>
      <c r="D620" s="26">
        <f ca="1">IFERROR(__xludf.DUMMYFUNCTION("""COMPUTED_VALUE"""),25)</f>
        <v>25</v>
      </c>
      <c r="E620" s="1" t="str">
        <f ca="1">IFERROR(__xludf.DUMMYFUNCTION("""COMPUTED_VALUE"""),"Lasalle Stompers")</f>
        <v>Lasalle Stompers</v>
      </c>
      <c r="F620" s="87" t="str">
        <f t="shared" ca="1" si="0"/>
        <v>2023</v>
      </c>
      <c r="G620" s="1" t="str">
        <f ca="1">IFERROR(__xludf.DUMMYFUNCTION("""COMPUTED_VALUE"""),"LSSC")</f>
        <v>LSSC</v>
      </c>
      <c r="H620" s="26">
        <f t="shared" ca="1" si="1"/>
        <v>25</v>
      </c>
      <c r="I620" s="26">
        <f t="shared" ca="1" si="2"/>
        <v>1</v>
      </c>
      <c r="J620" s="86">
        <f t="shared" ca="1" si="3"/>
        <v>45101</v>
      </c>
      <c r="R620" s="26"/>
    </row>
    <row r="621" spans="1:18" ht="15.75" customHeight="1">
      <c r="A621" s="26">
        <f ca="1">IFERROR(__xludf.DUMMYFUNCTION("""COMPUTED_VALUE"""),19132)</f>
        <v>19132</v>
      </c>
      <c r="B621" s="86">
        <f ca="1">IFERROR(__xludf.DUMMYFUNCTION("""COMPUTED_VALUE"""),45101.5389236111)</f>
        <v>45101.5389236111</v>
      </c>
      <c r="C621" s="1" t="str">
        <f ca="1">IFERROR(__xludf.DUMMYFUNCTION("""COMPUTED_VALUE"""),"completed")</f>
        <v>completed</v>
      </c>
      <c r="D621" s="26">
        <f ca="1">IFERROR(__xludf.DUMMYFUNCTION("""COMPUTED_VALUE"""),25)</f>
        <v>25</v>
      </c>
      <c r="E621" s="1" t="str">
        <f ca="1">IFERROR(__xludf.DUMMYFUNCTION("""COMPUTED_VALUE"""),"LSSC")</f>
        <v>LSSC</v>
      </c>
      <c r="F621" s="87" t="str">
        <f t="shared" ca="1" si="0"/>
        <v>2023</v>
      </c>
      <c r="G621" s="1" t="str">
        <f ca="1">IFERROR(__xludf.DUMMYFUNCTION("""COMPUTED_VALUE"""),"LSSC")</f>
        <v>LSSC</v>
      </c>
      <c r="H621" s="26">
        <f t="shared" ca="1" si="1"/>
        <v>25</v>
      </c>
      <c r="I621" s="26">
        <f t="shared" ca="1" si="2"/>
        <v>1</v>
      </c>
      <c r="J621" s="86">
        <f t="shared" ca="1" si="3"/>
        <v>45101</v>
      </c>
      <c r="R621" s="26"/>
    </row>
    <row r="622" spans="1:18" ht="15.75" customHeight="1">
      <c r="A622" s="26">
        <f ca="1">IFERROR(__xludf.DUMMYFUNCTION("""COMPUTED_VALUE"""),19131)</f>
        <v>19131</v>
      </c>
      <c r="B622" s="86">
        <f ca="1">IFERROR(__xludf.DUMMYFUNCTION("""COMPUTED_VALUE"""),45101.538761574)</f>
        <v>45101.538761573996</v>
      </c>
      <c r="C622" s="1" t="str">
        <f ca="1">IFERROR(__xludf.DUMMYFUNCTION("""COMPUTED_VALUE"""),"completed")</f>
        <v>completed</v>
      </c>
      <c r="D622" s="26">
        <f ca="1">IFERROR(__xludf.DUMMYFUNCTION("""COMPUTED_VALUE"""),33)</f>
        <v>33</v>
      </c>
      <c r="E622" s="1" t="str">
        <f ca="1">IFERROR(__xludf.DUMMYFUNCTION("""COMPUTED_VALUE"""),"LSSC")</f>
        <v>LSSC</v>
      </c>
      <c r="F622" s="87" t="str">
        <f t="shared" ca="1" si="0"/>
        <v>2023</v>
      </c>
      <c r="G622" s="1" t="str">
        <f ca="1">IFERROR(__xludf.DUMMYFUNCTION("""COMPUTED_VALUE"""),"Lasalle Stompers")</f>
        <v>Lasalle Stompers</v>
      </c>
      <c r="H622" s="26">
        <f t="shared" ca="1" si="1"/>
        <v>33</v>
      </c>
      <c r="I622" s="26">
        <f t="shared" ca="1" si="2"/>
        <v>1</v>
      </c>
      <c r="J622" s="86">
        <f t="shared" ca="1" si="3"/>
        <v>45101</v>
      </c>
      <c r="R622" s="26"/>
    </row>
    <row r="623" spans="1:18" ht="15.75" customHeight="1">
      <c r="A623" s="26">
        <f ca="1">IFERROR(__xludf.DUMMYFUNCTION("""COMPUTED_VALUE"""),19130)</f>
        <v>19130</v>
      </c>
      <c r="B623" s="86">
        <f ca="1">IFERROR(__xludf.DUMMYFUNCTION("""COMPUTED_VALUE"""),45101.5362962963)</f>
        <v>45101.536296296297</v>
      </c>
      <c r="C623" s="1" t="str">
        <f ca="1">IFERROR(__xludf.DUMMYFUNCTION("""COMPUTED_VALUE"""),"completed")</f>
        <v>completed</v>
      </c>
      <c r="D623" s="26">
        <f ca="1">IFERROR(__xludf.DUMMYFUNCTION("""COMPUTED_VALUE"""),20)</f>
        <v>20</v>
      </c>
      <c r="E623" s="1" t="str">
        <f ca="1">IFERROR(__xludf.DUMMYFUNCTION("""COMPUTED_VALUE"""),"Lasalle Stompers")</f>
        <v>Lasalle Stompers</v>
      </c>
      <c r="F623" s="87" t="str">
        <f t="shared" ca="1" si="0"/>
        <v>2023</v>
      </c>
      <c r="G623" s="1" t="str">
        <f ca="1">IFERROR(__xludf.DUMMYFUNCTION("""COMPUTED_VALUE"""),"Lasalle Stompers")</f>
        <v>Lasalle Stompers</v>
      </c>
      <c r="H623" s="26">
        <f t="shared" ca="1" si="1"/>
        <v>20</v>
      </c>
      <c r="I623" s="26">
        <f t="shared" ca="1" si="2"/>
        <v>1</v>
      </c>
      <c r="J623" s="86">
        <f t="shared" ca="1" si="3"/>
        <v>45101</v>
      </c>
      <c r="R623" s="26"/>
    </row>
    <row r="624" spans="1:18" ht="15.75" customHeight="1">
      <c r="A624" s="26">
        <f ca="1">IFERROR(__xludf.DUMMYFUNCTION("""COMPUTED_VALUE"""),19129)</f>
        <v>19129</v>
      </c>
      <c r="B624" s="86">
        <f ca="1">IFERROR(__xludf.DUMMYFUNCTION("""COMPUTED_VALUE"""),45101.5341319444)</f>
        <v>45101.534131944398</v>
      </c>
      <c r="C624" s="1" t="str">
        <f ca="1">IFERROR(__xludf.DUMMYFUNCTION("""COMPUTED_VALUE"""),"completed")</f>
        <v>completed</v>
      </c>
      <c r="D624" s="26">
        <f ca="1">IFERROR(__xludf.DUMMYFUNCTION("""COMPUTED_VALUE"""),25)</f>
        <v>25</v>
      </c>
      <c r="E624" s="1" t="str">
        <f ca="1">IFERROR(__xludf.DUMMYFUNCTION("""COMPUTED_VALUE"""),"Lasalle Stompers")</f>
        <v>Lasalle Stompers</v>
      </c>
      <c r="F624" s="87" t="str">
        <f t="shared" ca="1" si="0"/>
        <v>2023</v>
      </c>
      <c r="G624" s="1" t="str">
        <f ca="1">IFERROR(__xludf.DUMMYFUNCTION("""COMPUTED_VALUE"""),"Lasalle Stompers")</f>
        <v>Lasalle Stompers</v>
      </c>
      <c r="H624" s="26">
        <f t="shared" ca="1" si="1"/>
        <v>25</v>
      </c>
      <c r="I624" s="26">
        <f t="shared" ca="1" si="2"/>
        <v>1</v>
      </c>
      <c r="J624" s="86">
        <f t="shared" ca="1" si="3"/>
        <v>45101</v>
      </c>
      <c r="R624" s="26"/>
    </row>
    <row r="625" spans="1:18" ht="15.75" customHeight="1">
      <c r="A625" s="26">
        <f ca="1">IFERROR(__xludf.DUMMYFUNCTION("""COMPUTED_VALUE"""),19128)</f>
        <v>19128</v>
      </c>
      <c r="B625" s="86">
        <f ca="1">IFERROR(__xludf.DUMMYFUNCTION("""COMPUTED_VALUE"""),45101.5334259259)</f>
        <v>45101.533425925903</v>
      </c>
      <c r="C625" s="1" t="str">
        <f ca="1">IFERROR(__xludf.DUMMYFUNCTION("""COMPUTED_VALUE"""),"completed")</f>
        <v>completed</v>
      </c>
      <c r="D625" s="26">
        <f ca="1">IFERROR(__xludf.DUMMYFUNCTION("""COMPUTED_VALUE"""),35)</f>
        <v>35</v>
      </c>
      <c r="E625" s="1" t="str">
        <f ca="1">IFERROR(__xludf.DUMMYFUNCTION("""COMPUTED_VALUE"""),"Lasalle Stompers")</f>
        <v>Lasalle Stompers</v>
      </c>
      <c r="F625" s="87" t="str">
        <f t="shared" ca="1" si="0"/>
        <v>2023</v>
      </c>
      <c r="G625" s="1" t="str">
        <f ca="1">IFERROR(__xludf.DUMMYFUNCTION("""COMPUTED_VALUE"""),"LSSC")</f>
        <v>LSSC</v>
      </c>
      <c r="H625" s="26">
        <f t="shared" ca="1" si="1"/>
        <v>35</v>
      </c>
      <c r="I625" s="26">
        <f t="shared" ca="1" si="2"/>
        <v>1</v>
      </c>
      <c r="J625" s="86">
        <f t="shared" ca="1" si="3"/>
        <v>45101</v>
      </c>
      <c r="R625" s="26"/>
    </row>
    <row r="626" spans="1:18" ht="15.75" customHeight="1">
      <c r="A626" s="26">
        <f ca="1">IFERROR(__xludf.DUMMYFUNCTION("""COMPUTED_VALUE"""),19127)</f>
        <v>19127</v>
      </c>
      <c r="B626" s="86">
        <f ca="1">IFERROR(__xludf.DUMMYFUNCTION("""COMPUTED_VALUE"""),45101.5311805555)</f>
        <v>45101.531180555503</v>
      </c>
      <c r="C626" s="1" t="str">
        <f ca="1">IFERROR(__xludf.DUMMYFUNCTION("""COMPUTED_VALUE"""),"completed")</f>
        <v>completed</v>
      </c>
      <c r="D626" s="26">
        <f ca="1">IFERROR(__xludf.DUMMYFUNCTION("""COMPUTED_VALUE"""),25)</f>
        <v>25</v>
      </c>
      <c r="E626" s="1" t="str">
        <f ca="1">IFERROR(__xludf.DUMMYFUNCTION("""COMPUTED_VALUE"""),"LSSC")</f>
        <v>LSSC</v>
      </c>
      <c r="F626" s="87" t="str">
        <f t="shared" ca="1" si="0"/>
        <v>2023</v>
      </c>
      <c r="G626" s="1" t="str">
        <f ca="1">IFERROR(__xludf.DUMMYFUNCTION("""COMPUTED_VALUE"""),"Lasalle Stompers")</f>
        <v>Lasalle Stompers</v>
      </c>
      <c r="H626" s="26">
        <f t="shared" ca="1" si="1"/>
        <v>25</v>
      </c>
      <c r="I626" s="26">
        <f t="shared" ca="1" si="2"/>
        <v>1</v>
      </c>
      <c r="J626" s="86">
        <f t="shared" ca="1" si="3"/>
        <v>45101</v>
      </c>
      <c r="R626" s="26"/>
    </row>
    <row r="627" spans="1:18" ht="15.75" customHeight="1">
      <c r="A627" s="26">
        <f ca="1">IFERROR(__xludf.DUMMYFUNCTION("""COMPUTED_VALUE"""),19126)</f>
        <v>19126</v>
      </c>
      <c r="B627" s="86">
        <f ca="1">IFERROR(__xludf.DUMMYFUNCTION("""COMPUTED_VALUE"""),45101.5295486111)</f>
        <v>45101.529548611099</v>
      </c>
      <c r="C627" s="1" t="str">
        <f ca="1">IFERROR(__xludf.DUMMYFUNCTION("""COMPUTED_VALUE"""),"completed")</f>
        <v>completed</v>
      </c>
      <c r="D627" s="26">
        <f ca="1">IFERROR(__xludf.DUMMYFUNCTION("""COMPUTED_VALUE"""),25)</f>
        <v>25</v>
      </c>
      <c r="E627" s="1" t="str">
        <f ca="1">IFERROR(__xludf.DUMMYFUNCTION("""COMPUTED_VALUE"""),"Lasalle Stompers")</f>
        <v>Lasalle Stompers</v>
      </c>
      <c r="F627" s="87" t="str">
        <f t="shared" ca="1" si="0"/>
        <v>2023</v>
      </c>
      <c r="G627" s="1" t="str">
        <f ca="1">IFERROR(__xludf.DUMMYFUNCTION("""COMPUTED_VALUE"""),"Lasalle Stompers")</f>
        <v>Lasalle Stompers</v>
      </c>
      <c r="H627" s="26">
        <f t="shared" ca="1" si="1"/>
        <v>25</v>
      </c>
      <c r="I627" s="26">
        <f t="shared" ca="1" si="2"/>
        <v>1</v>
      </c>
      <c r="J627" s="86">
        <f t="shared" ca="1" si="3"/>
        <v>45101</v>
      </c>
      <c r="R627" s="26"/>
    </row>
    <row r="628" spans="1:18" ht="15.75" customHeight="1">
      <c r="A628" s="26">
        <f ca="1">IFERROR(__xludf.DUMMYFUNCTION("""COMPUTED_VALUE"""),19125)</f>
        <v>19125</v>
      </c>
      <c r="B628" s="86">
        <f ca="1">IFERROR(__xludf.DUMMYFUNCTION("""COMPUTED_VALUE"""),45101.5277430555)</f>
        <v>45101.5277430555</v>
      </c>
      <c r="C628" s="1" t="str">
        <f ca="1">IFERROR(__xludf.DUMMYFUNCTION("""COMPUTED_VALUE"""),"completed")</f>
        <v>completed</v>
      </c>
      <c r="D628" s="26">
        <f ca="1">IFERROR(__xludf.DUMMYFUNCTION("""COMPUTED_VALUE"""),48)</f>
        <v>48</v>
      </c>
      <c r="E628" s="1" t="str">
        <f ca="1">IFERROR(__xludf.DUMMYFUNCTION("""COMPUTED_VALUE"""),"Lasalle Stompers")</f>
        <v>Lasalle Stompers</v>
      </c>
      <c r="F628" s="87" t="str">
        <f t="shared" ca="1" si="0"/>
        <v>2023</v>
      </c>
      <c r="G628" s="1" t="str">
        <f ca="1">IFERROR(__xludf.DUMMYFUNCTION("""COMPUTED_VALUE"""),"Lasalle Stompers")</f>
        <v>Lasalle Stompers</v>
      </c>
      <c r="H628" s="26">
        <f t="shared" ca="1" si="1"/>
        <v>48</v>
      </c>
      <c r="I628" s="26">
        <f t="shared" ca="1" si="2"/>
        <v>1</v>
      </c>
      <c r="J628" s="86">
        <f t="shared" ca="1" si="3"/>
        <v>45101</v>
      </c>
      <c r="R628" s="26"/>
    </row>
    <row r="629" spans="1:18" ht="15.75" customHeight="1">
      <c r="A629" s="26">
        <f ca="1">IFERROR(__xludf.DUMMYFUNCTION("""COMPUTED_VALUE"""),19124)</f>
        <v>19124</v>
      </c>
      <c r="B629" s="86">
        <f ca="1">IFERROR(__xludf.DUMMYFUNCTION("""COMPUTED_VALUE"""),45101.5264351851)</f>
        <v>45101.5264351851</v>
      </c>
      <c r="C629" s="1" t="str">
        <f ca="1">IFERROR(__xludf.DUMMYFUNCTION("""COMPUTED_VALUE"""),"completed")</f>
        <v>completed</v>
      </c>
      <c r="D629" s="26">
        <f ca="1">IFERROR(__xludf.DUMMYFUNCTION("""COMPUTED_VALUE"""),18)</f>
        <v>18</v>
      </c>
      <c r="E629" s="1" t="str">
        <f ca="1">IFERROR(__xludf.DUMMYFUNCTION("""COMPUTED_VALUE"""),"Lasalle Stompers")</f>
        <v>Lasalle Stompers</v>
      </c>
      <c r="F629" s="87" t="str">
        <f t="shared" ca="1" si="0"/>
        <v>2023</v>
      </c>
      <c r="G629" s="1" t="str">
        <f ca="1">IFERROR(__xludf.DUMMYFUNCTION("""COMPUTED_VALUE"""),"Lasalle Stompers")</f>
        <v>Lasalle Stompers</v>
      </c>
      <c r="H629" s="26">
        <f t="shared" ca="1" si="1"/>
        <v>18</v>
      </c>
      <c r="I629" s="26">
        <f t="shared" ca="1" si="2"/>
        <v>1</v>
      </c>
      <c r="J629" s="86">
        <f t="shared" ca="1" si="3"/>
        <v>45101</v>
      </c>
      <c r="R629" s="26"/>
    </row>
    <row r="630" spans="1:18" ht="15.75" customHeight="1">
      <c r="A630" s="26">
        <f ca="1">IFERROR(__xludf.DUMMYFUNCTION("""COMPUTED_VALUE"""),19123)</f>
        <v>19123</v>
      </c>
      <c r="B630" s="86">
        <f ca="1">IFERROR(__xludf.DUMMYFUNCTION("""COMPUTED_VALUE"""),45101.5243402777)</f>
        <v>45101.524340277698</v>
      </c>
      <c r="C630" s="1" t="str">
        <f ca="1">IFERROR(__xludf.DUMMYFUNCTION("""COMPUTED_VALUE"""),"completed")</f>
        <v>completed</v>
      </c>
      <c r="D630" s="26">
        <f ca="1">IFERROR(__xludf.DUMMYFUNCTION("""COMPUTED_VALUE"""),25)</f>
        <v>25</v>
      </c>
      <c r="E630" s="1" t="str">
        <f ca="1">IFERROR(__xludf.DUMMYFUNCTION("""COMPUTED_VALUE"""),"Lasalle Stompers")</f>
        <v>Lasalle Stompers</v>
      </c>
      <c r="F630" s="87" t="str">
        <f t="shared" ca="1" si="0"/>
        <v>2023</v>
      </c>
      <c r="G630" s="1" t="str">
        <f ca="1">IFERROR(__xludf.DUMMYFUNCTION("""COMPUTED_VALUE"""),"Lasalle Stompers")</f>
        <v>Lasalle Stompers</v>
      </c>
      <c r="H630" s="26">
        <f t="shared" ca="1" si="1"/>
        <v>25</v>
      </c>
      <c r="I630" s="26">
        <f t="shared" ca="1" si="2"/>
        <v>1</v>
      </c>
      <c r="J630" s="86">
        <f t="shared" ca="1" si="3"/>
        <v>45101</v>
      </c>
      <c r="R630" s="26"/>
    </row>
    <row r="631" spans="1:18" ht="15.75" customHeight="1">
      <c r="A631" s="26">
        <f ca="1">IFERROR(__xludf.DUMMYFUNCTION("""COMPUTED_VALUE"""),19122)</f>
        <v>19122</v>
      </c>
      <c r="B631" s="86">
        <f ca="1">IFERROR(__xludf.DUMMYFUNCTION("""COMPUTED_VALUE"""),45101.5212268518)</f>
        <v>45101.521226851801</v>
      </c>
      <c r="C631" s="1" t="str">
        <f ca="1">IFERROR(__xludf.DUMMYFUNCTION("""COMPUTED_VALUE"""),"completed")</f>
        <v>completed</v>
      </c>
      <c r="D631" s="26">
        <f ca="1">IFERROR(__xludf.DUMMYFUNCTION("""COMPUTED_VALUE"""),20)</f>
        <v>20</v>
      </c>
      <c r="E631" s="1" t="str">
        <f ca="1">IFERROR(__xludf.DUMMYFUNCTION("""COMPUTED_VALUE"""),"Lasalle Stompers")</f>
        <v>Lasalle Stompers</v>
      </c>
      <c r="F631" s="87" t="str">
        <f t="shared" ca="1" si="0"/>
        <v>2023</v>
      </c>
      <c r="G631" s="1" t="str">
        <f ca="1">IFERROR(__xludf.DUMMYFUNCTION("""COMPUTED_VALUE"""),"Lasalle Stompers")</f>
        <v>Lasalle Stompers</v>
      </c>
      <c r="H631" s="26">
        <f t="shared" ca="1" si="1"/>
        <v>20</v>
      </c>
      <c r="I631" s="26">
        <f t="shared" ca="1" si="2"/>
        <v>1</v>
      </c>
      <c r="J631" s="86">
        <f t="shared" ca="1" si="3"/>
        <v>45101</v>
      </c>
      <c r="R631" s="26"/>
    </row>
    <row r="632" spans="1:18" ht="15.75" customHeight="1">
      <c r="A632" s="26">
        <f ca="1">IFERROR(__xludf.DUMMYFUNCTION("""COMPUTED_VALUE"""),19121)</f>
        <v>19121</v>
      </c>
      <c r="B632" s="86">
        <f ca="1">IFERROR(__xludf.DUMMYFUNCTION("""COMPUTED_VALUE"""),45101.5157175925)</f>
        <v>45101.515717592498</v>
      </c>
      <c r="C632" s="1" t="str">
        <f ca="1">IFERROR(__xludf.DUMMYFUNCTION("""COMPUTED_VALUE"""),"failed")</f>
        <v>failed</v>
      </c>
      <c r="D632" s="26">
        <f ca="1">IFERROR(__xludf.DUMMYFUNCTION("""COMPUTED_VALUE"""),18)</f>
        <v>18</v>
      </c>
      <c r="E632" s="1" t="str">
        <f ca="1">IFERROR(__xludf.DUMMYFUNCTION("""COMPUTED_VALUE"""),"Lasalle Stompers")</f>
        <v>Lasalle Stompers</v>
      </c>
      <c r="F632" s="87" t="str">
        <f t="shared" ca="1" si="0"/>
        <v>2023</v>
      </c>
      <c r="G632" s="1" t="str">
        <f ca="1">IFERROR(__xludf.DUMMYFUNCTION("""COMPUTED_VALUE"""),"Lasalle Stompers")</f>
        <v>Lasalle Stompers</v>
      </c>
      <c r="H632" s="26">
        <f t="shared" ca="1" si="1"/>
        <v>18</v>
      </c>
      <c r="I632" s="26">
        <f t="shared" ca="1" si="2"/>
        <v>1</v>
      </c>
      <c r="J632" s="86">
        <f t="shared" ca="1" si="3"/>
        <v>45101</v>
      </c>
      <c r="R632" s="26"/>
    </row>
    <row r="633" spans="1:18" ht="15.75" customHeight="1">
      <c r="A633" s="26">
        <f ca="1">IFERROR(__xludf.DUMMYFUNCTION("""COMPUTED_VALUE"""),19120)</f>
        <v>19120</v>
      </c>
      <c r="B633" s="86">
        <f ca="1">IFERROR(__xludf.DUMMYFUNCTION("""COMPUTED_VALUE"""),45101.515162037)</f>
        <v>45101.515162037002</v>
      </c>
      <c r="C633" s="1" t="str">
        <f ca="1">IFERROR(__xludf.DUMMYFUNCTION("""COMPUTED_VALUE"""),"completed")</f>
        <v>completed</v>
      </c>
      <c r="D633" s="26">
        <f ca="1">IFERROR(__xludf.DUMMYFUNCTION("""COMPUTED_VALUE"""),28)</f>
        <v>28</v>
      </c>
      <c r="E633" s="1" t="str">
        <f ca="1">IFERROR(__xludf.DUMMYFUNCTION("""COMPUTED_VALUE"""),"Lasalle Stompers")</f>
        <v>Lasalle Stompers</v>
      </c>
      <c r="F633" s="87" t="str">
        <f t="shared" ca="1" si="0"/>
        <v>2023</v>
      </c>
      <c r="G633" s="1" t="str">
        <f ca="1">IFERROR(__xludf.DUMMYFUNCTION("""COMPUTED_VALUE"""),"Lasalle Stompers")</f>
        <v>Lasalle Stompers</v>
      </c>
      <c r="H633" s="26">
        <f t="shared" ca="1" si="1"/>
        <v>28</v>
      </c>
      <c r="I633" s="26">
        <f t="shared" ca="1" si="2"/>
        <v>1</v>
      </c>
      <c r="J633" s="86">
        <f t="shared" ca="1" si="3"/>
        <v>45101</v>
      </c>
      <c r="R633" s="26"/>
    </row>
    <row r="634" spans="1:18" ht="15.75" customHeight="1">
      <c r="A634" s="26">
        <f ca="1">IFERROR(__xludf.DUMMYFUNCTION("""COMPUTED_VALUE"""),19119)</f>
        <v>19119</v>
      </c>
      <c r="B634" s="86">
        <f ca="1">IFERROR(__xludf.DUMMYFUNCTION("""COMPUTED_VALUE"""),45101.512824074)</f>
        <v>45101.512824074001</v>
      </c>
      <c r="C634" s="1" t="str">
        <f ca="1">IFERROR(__xludf.DUMMYFUNCTION("""COMPUTED_VALUE"""),"completed")</f>
        <v>completed</v>
      </c>
      <c r="D634" s="26">
        <f ca="1">IFERROR(__xludf.DUMMYFUNCTION("""COMPUTED_VALUE"""),28)</f>
        <v>28</v>
      </c>
      <c r="E634" s="1" t="str">
        <f ca="1">IFERROR(__xludf.DUMMYFUNCTION("""COMPUTED_VALUE"""),"Lasalle Stompers")</f>
        <v>Lasalle Stompers</v>
      </c>
      <c r="F634" s="87" t="str">
        <f t="shared" ca="1" si="0"/>
        <v>2023</v>
      </c>
      <c r="G634" s="1" t="str">
        <f ca="1">IFERROR(__xludf.DUMMYFUNCTION("""COMPUTED_VALUE"""),"LSSC")</f>
        <v>LSSC</v>
      </c>
      <c r="H634" s="26">
        <f t="shared" ca="1" si="1"/>
        <v>28</v>
      </c>
      <c r="I634" s="26">
        <f t="shared" ca="1" si="2"/>
        <v>1</v>
      </c>
      <c r="J634" s="86">
        <f t="shared" ca="1" si="3"/>
        <v>45101</v>
      </c>
      <c r="R634" s="26"/>
    </row>
    <row r="635" spans="1:18" ht="15.75" customHeight="1">
      <c r="A635" s="26">
        <f ca="1">IFERROR(__xludf.DUMMYFUNCTION("""COMPUTED_VALUE"""),19118)</f>
        <v>19118</v>
      </c>
      <c r="B635" s="86">
        <f ca="1">IFERROR(__xludf.DUMMYFUNCTION("""COMPUTED_VALUE"""),45101.5029861111)</f>
        <v>45101.502986111103</v>
      </c>
      <c r="C635" s="1" t="str">
        <f ca="1">IFERROR(__xludf.DUMMYFUNCTION("""COMPUTED_VALUE"""),"completed")</f>
        <v>completed</v>
      </c>
      <c r="D635" s="26">
        <f ca="1">IFERROR(__xludf.DUMMYFUNCTION("""COMPUTED_VALUE"""),0)</f>
        <v>0</v>
      </c>
      <c r="E635" s="1" t="str">
        <f ca="1">IFERROR(__xludf.DUMMYFUNCTION("""COMPUTED_VALUE"""),"LSSC")</f>
        <v>LSSC</v>
      </c>
      <c r="F635" s="87" t="str">
        <f t="shared" ca="1" si="0"/>
        <v>2023</v>
      </c>
      <c r="G635" s="1" t="str">
        <f ca="1">IFERROR(__xludf.DUMMYFUNCTION("""COMPUTED_VALUE"""),"Lasalle Stompers")</f>
        <v>Lasalle Stompers</v>
      </c>
      <c r="H635" s="26">
        <f t="shared" ca="1" si="1"/>
        <v>0</v>
      </c>
      <c r="I635" s="26">
        <f t="shared" ca="1" si="2"/>
        <v>1</v>
      </c>
      <c r="J635" s="86">
        <f t="shared" ca="1" si="3"/>
        <v>45101</v>
      </c>
      <c r="R635" s="26"/>
    </row>
    <row r="636" spans="1:18" ht="15.75" customHeight="1">
      <c r="A636" s="26">
        <f ca="1">IFERROR(__xludf.DUMMYFUNCTION("""COMPUTED_VALUE"""),19117)</f>
        <v>19117</v>
      </c>
      <c r="B636" s="86">
        <f ca="1">IFERROR(__xludf.DUMMYFUNCTION("""COMPUTED_VALUE"""),45101.4916087962)</f>
        <v>45101.491608796197</v>
      </c>
      <c r="C636" s="1" t="str">
        <f ca="1">IFERROR(__xludf.DUMMYFUNCTION("""COMPUTED_VALUE"""),"completed")</f>
        <v>completed</v>
      </c>
      <c r="D636" s="26">
        <f ca="1">IFERROR(__xludf.DUMMYFUNCTION("""COMPUTED_VALUE"""),25)</f>
        <v>25</v>
      </c>
      <c r="E636" s="1" t="str">
        <f ca="1">IFERROR(__xludf.DUMMYFUNCTION("""COMPUTED_VALUE"""),"Lasalle Stompers")</f>
        <v>Lasalle Stompers</v>
      </c>
      <c r="F636" s="87" t="str">
        <f t="shared" ca="1" si="0"/>
        <v>2023</v>
      </c>
      <c r="G636" s="1" t="str">
        <f ca="1">IFERROR(__xludf.DUMMYFUNCTION("""COMPUTED_VALUE"""),"Lasalle Stompers")</f>
        <v>Lasalle Stompers</v>
      </c>
      <c r="H636" s="26">
        <f t="shared" ca="1" si="1"/>
        <v>25</v>
      </c>
      <c r="I636" s="26">
        <f t="shared" ca="1" si="2"/>
        <v>1</v>
      </c>
      <c r="J636" s="86">
        <f t="shared" ca="1" si="3"/>
        <v>45101</v>
      </c>
      <c r="R636" s="26"/>
    </row>
    <row r="637" spans="1:18" ht="15.75" customHeight="1">
      <c r="A637" s="26">
        <f ca="1">IFERROR(__xludf.DUMMYFUNCTION("""COMPUTED_VALUE"""),19116)</f>
        <v>19116</v>
      </c>
      <c r="B637" s="86">
        <f ca="1">IFERROR(__xludf.DUMMYFUNCTION("""COMPUTED_VALUE"""),45101.4865972222)</f>
        <v>45101.486597222203</v>
      </c>
      <c r="C637" s="1" t="str">
        <f ca="1">IFERROR(__xludf.DUMMYFUNCTION("""COMPUTED_VALUE"""),"completed")</f>
        <v>completed</v>
      </c>
      <c r="D637" s="26">
        <f ca="1">IFERROR(__xludf.DUMMYFUNCTION("""COMPUTED_VALUE"""),25)</f>
        <v>25</v>
      </c>
      <c r="E637" s="1" t="str">
        <f ca="1">IFERROR(__xludf.DUMMYFUNCTION("""COMPUTED_VALUE"""),"Lasalle Stompers")</f>
        <v>Lasalle Stompers</v>
      </c>
      <c r="F637" s="87" t="str">
        <f t="shared" ca="1" si="0"/>
        <v>2023</v>
      </c>
      <c r="G637" s="1" t="str">
        <f ca="1">IFERROR(__xludf.DUMMYFUNCTION("""COMPUTED_VALUE"""),"Lasalle Stompers")</f>
        <v>Lasalle Stompers</v>
      </c>
      <c r="H637" s="26">
        <f t="shared" ca="1" si="1"/>
        <v>25</v>
      </c>
      <c r="I637" s="26">
        <f t="shared" ca="1" si="2"/>
        <v>1</v>
      </c>
      <c r="J637" s="86">
        <f t="shared" ca="1" si="3"/>
        <v>45101</v>
      </c>
      <c r="R637" s="26"/>
    </row>
    <row r="638" spans="1:18" ht="15.75" customHeight="1">
      <c r="A638" s="26">
        <f ca="1">IFERROR(__xludf.DUMMYFUNCTION("""COMPUTED_VALUE"""),19115)</f>
        <v>19115</v>
      </c>
      <c r="B638" s="86">
        <f ca="1">IFERROR(__xludf.DUMMYFUNCTION("""COMPUTED_VALUE"""),45101.0816782407)</f>
        <v>45101.081678240698</v>
      </c>
      <c r="C638" s="1" t="str">
        <f ca="1">IFERROR(__xludf.DUMMYFUNCTION("""COMPUTED_VALUE"""),"completed")</f>
        <v>completed</v>
      </c>
      <c r="D638" s="26">
        <f ca="1">IFERROR(__xludf.DUMMYFUNCTION("""COMPUTED_VALUE"""),68)</f>
        <v>68</v>
      </c>
      <c r="E638" s="1" t="str">
        <f ca="1">IFERROR(__xludf.DUMMYFUNCTION("""COMPUTED_VALUE"""),"Lasalle Stompers")</f>
        <v>Lasalle Stompers</v>
      </c>
      <c r="F638" s="87" t="str">
        <f t="shared" ca="1" si="0"/>
        <v>2023</v>
      </c>
      <c r="G638" s="1" t="str">
        <f ca="1">IFERROR(__xludf.DUMMYFUNCTION("""COMPUTED_VALUE"""),"Lasalle Stompers")</f>
        <v>Lasalle Stompers</v>
      </c>
      <c r="H638" s="26">
        <f t="shared" ca="1" si="1"/>
        <v>68</v>
      </c>
      <c r="I638" s="26">
        <f t="shared" ca="1" si="2"/>
        <v>1</v>
      </c>
      <c r="J638" s="86">
        <f t="shared" ca="1" si="3"/>
        <v>45101</v>
      </c>
      <c r="R638" s="26"/>
    </row>
    <row r="639" spans="1:18" ht="15.75" customHeight="1">
      <c r="A639" s="26">
        <f ca="1">IFERROR(__xludf.DUMMYFUNCTION("""COMPUTED_VALUE"""),19110)</f>
        <v>19110</v>
      </c>
      <c r="B639" s="86">
        <f ca="1">IFERROR(__xludf.DUMMYFUNCTION("""COMPUTED_VALUE"""),45100.9995138888)</f>
        <v>45100.999513888797</v>
      </c>
      <c r="C639" s="1" t="str">
        <f ca="1">IFERROR(__xludf.DUMMYFUNCTION("""COMPUTED_VALUE"""),"refunded")</f>
        <v>refunded</v>
      </c>
      <c r="D639" s="26">
        <f ca="1">IFERROR(__xludf.DUMMYFUNCTION("""COMPUTED_VALUE"""),15)</f>
        <v>15</v>
      </c>
      <c r="E639" s="1" t="str">
        <f ca="1">IFERROR(__xludf.DUMMYFUNCTION("""COMPUTED_VALUE"""),"Lasalle Stompers")</f>
        <v>Lasalle Stompers</v>
      </c>
      <c r="F639" s="87" t="str">
        <f t="shared" ca="1" si="0"/>
        <v>2023</v>
      </c>
      <c r="G639" s="1" t="str">
        <f ca="1">IFERROR(__xludf.DUMMYFUNCTION("""COMPUTED_VALUE"""),"Lasalle Stompers")</f>
        <v>Lasalle Stompers</v>
      </c>
      <c r="H639" s="26">
        <f t="shared" ca="1" si="1"/>
        <v>15</v>
      </c>
      <c r="I639" s="26">
        <f t="shared" ca="1" si="2"/>
        <v>1</v>
      </c>
      <c r="J639" s="86">
        <f t="shared" ca="1" si="3"/>
        <v>45100</v>
      </c>
      <c r="R639" s="26"/>
    </row>
    <row r="640" spans="1:18" ht="15.75" customHeight="1">
      <c r="A640" s="26">
        <f ca="1">IFERROR(__xludf.DUMMYFUNCTION("""COMPUTED_VALUE"""),19109)</f>
        <v>19109</v>
      </c>
      <c r="B640" s="86">
        <f ca="1">IFERROR(__xludf.DUMMYFUNCTION("""COMPUTED_VALUE"""),45100.97125)</f>
        <v>45100.971250000002</v>
      </c>
      <c r="C640" s="1" t="str">
        <f ca="1">IFERROR(__xludf.DUMMYFUNCTION("""COMPUTED_VALUE"""),"completed")</f>
        <v>completed</v>
      </c>
      <c r="D640" s="26">
        <f ca="1">IFERROR(__xludf.DUMMYFUNCTION("""COMPUTED_VALUE"""),26)</f>
        <v>26</v>
      </c>
      <c r="E640" s="1" t="str">
        <f ca="1">IFERROR(__xludf.DUMMYFUNCTION("""COMPUTED_VALUE"""),"Lasalle Stompers")</f>
        <v>Lasalle Stompers</v>
      </c>
      <c r="F640" s="87" t="str">
        <f t="shared" ca="1" si="0"/>
        <v>2023</v>
      </c>
      <c r="G640" s="1" t="str">
        <f ca="1">IFERROR(__xludf.DUMMYFUNCTION("""COMPUTED_VALUE"""),"Lasalle Stompers")</f>
        <v>Lasalle Stompers</v>
      </c>
      <c r="H640" s="26">
        <f t="shared" ca="1" si="1"/>
        <v>26</v>
      </c>
      <c r="I640" s="26">
        <f t="shared" ca="1" si="2"/>
        <v>1</v>
      </c>
      <c r="J640" s="86">
        <f t="shared" ca="1" si="3"/>
        <v>45100</v>
      </c>
      <c r="R640" s="26"/>
    </row>
    <row r="641" spans="1:18" ht="15.75" customHeight="1">
      <c r="A641" s="26">
        <f ca="1">IFERROR(__xludf.DUMMYFUNCTION("""COMPUTED_VALUE"""),19108)</f>
        <v>19108</v>
      </c>
      <c r="B641" s="86">
        <f ca="1">IFERROR(__xludf.DUMMYFUNCTION("""COMPUTED_VALUE"""),45100.8725578703)</f>
        <v>45100.872557870302</v>
      </c>
      <c r="C641" s="1" t="str">
        <f ca="1">IFERROR(__xludf.DUMMYFUNCTION("""COMPUTED_VALUE"""),"completed")</f>
        <v>completed</v>
      </c>
      <c r="D641" s="26">
        <f ca="1">IFERROR(__xludf.DUMMYFUNCTION("""COMPUTED_VALUE"""),25)</f>
        <v>25</v>
      </c>
      <c r="E641" s="1" t="str">
        <f ca="1">IFERROR(__xludf.DUMMYFUNCTION("""COMPUTED_VALUE"""),"Lasalle Stompers")</f>
        <v>Lasalle Stompers</v>
      </c>
      <c r="F641" s="87" t="str">
        <f t="shared" ca="1" si="0"/>
        <v>2023</v>
      </c>
      <c r="G641" s="1" t="str">
        <f ca="1">IFERROR(__xludf.DUMMYFUNCTION("""COMPUTED_VALUE"""),"Lasalle Stompers")</f>
        <v>Lasalle Stompers</v>
      </c>
      <c r="H641" s="26">
        <f t="shared" ca="1" si="1"/>
        <v>25</v>
      </c>
      <c r="I641" s="26">
        <f t="shared" ca="1" si="2"/>
        <v>1</v>
      </c>
      <c r="J641" s="86">
        <f t="shared" ca="1" si="3"/>
        <v>45100</v>
      </c>
      <c r="R641" s="26"/>
    </row>
    <row r="642" spans="1:18" ht="15.75" customHeight="1">
      <c r="A642" s="26">
        <f ca="1">IFERROR(__xludf.DUMMYFUNCTION("""COMPUTED_VALUE"""),19105)</f>
        <v>19105</v>
      </c>
      <c r="B642" s="86">
        <f ca="1">IFERROR(__xludf.DUMMYFUNCTION("""COMPUTED_VALUE"""),45100.7067592592)</f>
        <v>45100.706759259199</v>
      </c>
      <c r="C642" s="1" t="str">
        <f ca="1">IFERROR(__xludf.DUMMYFUNCTION("""COMPUTED_VALUE"""),"completed")</f>
        <v>completed</v>
      </c>
      <c r="D642" s="26">
        <f ca="1">IFERROR(__xludf.DUMMYFUNCTION("""COMPUTED_VALUE"""),20)</f>
        <v>20</v>
      </c>
      <c r="E642" s="1" t="str">
        <f ca="1">IFERROR(__xludf.DUMMYFUNCTION("""COMPUTED_VALUE"""),"Lasalle Stompers")</f>
        <v>Lasalle Stompers</v>
      </c>
      <c r="F642" s="87" t="str">
        <f t="shared" ca="1" si="0"/>
        <v>2023</v>
      </c>
      <c r="G642" s="1" t="str">
        <f ca="1">IFERROR(__xludf.DUMMYFUNCTION("""COMPUTED_VALUE"""),"Lasalle Stompers")</f>
        <v>Lasalle Stompers</v>
      </c>
      <c r="H642" s="26">
        <f t="shared" ca="1" si="1"/>
        <v>20</v>
      </c>
      <c r="I642" s="26">
        <f t="shared" ca="1" si="2"/>
        <v>1</v>
      </c>
      <c r="J642" s="86">
        <f t="shared" ca="1" si="3"/>
        <v>45100</v>
      </c>
      <c r="R642" s="26"/>
    </row>
    <row r="643" spans="1:18" ht="15.75" customHeight="1">
      <c r="A643" s="26">
        <f ca="1">IFERROR(__xludf.DUMMYFUNCTION("""COMPUTED_VALUE"""),19104)</f>
        <v>19104</v>
      </c>
      <c r="B643" s="86">
        <f ca="1">IFERROR(__xludf.DUMMYFUNCTION("""COMPUTED_VALUE"""),45100.6937962963)</f>
        <v>45100.693796296298</v>
      </c>
      <c r="C643" s="1" t="str">
        <f ca="1">IFERROR(__xludf.DUMMYFUNCTION("""COMPUTED_VALUE"""),"completed")</f>
        <v>completed</v>
      </c>
      <c r="D643" s="26">
        <f ca="1">IFERROR(__xludf.DUMMYFUNCTION("""COMPUTED_VALUE"""),15)</f>
        <v>15</v>
      </c>
      <c r="E643" s="1" t="str">
        <f ca="1">IFERROR(__xludf.DUMMYFUNCTION("""COMPUTED_VALUE"""),"Lasalle Stompers")</f>
        <v>Lasalle Stompers</v>
      </c>
      <c r="F643" s="87" t="str">
        <f t="shared" ca="1" si="0"/>
        <v>2023</v>
      </c>
      <c r="G643" s="1" t="str">
        <f ca="1">IFERROR(__xludf.DUMMYFUNCTION("""COMPUTED_VALUE"""),"Lasalle Stompers")</f>
        <v>Lasalle Stompers</v>
      </c>
      <c r="H643" s="26">
        <f t="shared" ca="1" si="1"/>
        <v>15</v>
      </c>
      <c r="I643" s="26">
        <f t="shared" ca="1" si="2"/>
        <v>1</v>
      </c>
      <c r="J643" s="86">
        <f t="shared" ca="1" si="3"/>
        <v>45100</v>
      </c>
      <c r="R643" s="26"/>
    </row>
    <row r="644" spans="1:18" ht="15.75" customHeight="1">
      <c r="A644" s="26">
        <f ca="1">IFERROR(__xludf.DUMMYFUNCTION("""COMPUTED_VALUE"""),19103)</f>
        <v>19103</v>
      </c>
      <c r="B644" s="86">
        <f ca="1">IFERROR(__xludf.DUMMYFUNCTION("""COMPUTED_VALUE"""),45100.6086921296)</f>
        <v>45100.608692129601</v>
      </c>
      <c r="C644" s="1" t="str">
        <f ca="1">IFERROR(__xludf.DUMMYFUNCTION("""COMPUTED_VALUE"""),"completed")</f>
        <v>completed</v>
      </c>
      <c r="D644" s="26">
        <f ca="1">IFERROR(__xludf.DUMMYFUNCTION("""COMPUTED_VALUE"""),26)</f>
        <v>26</v>
      </c>
      <c r="E644" s="1" t="str">
        <f ca="1">IFERROR(__xludf.DUMMYFUNCTION("""COMPUTED_VALUE"""),"Lasalle Stompers")</f>
        <v>Lasalle Stompers</v>
      </c>
      <c r="F644" s="87" t="str">
        <f t="shared" ca="1" si="0"/>
        <v>2023</v>
      </c>
      <c r="G644" s="1" t="str">
        <f ca="1">IFERROR(__xludf.DUMMYFUNCTION("""COMPUTED_VALUE"""),"LSSC")</f>
        <v>LSSC</v>
      </c>
      <c r="H644" s="26">
        <f t="shared" ca="1" si="1"/>
        <v>26</v>
      </c>
      <c r="I644" s="26">
        <f t="shared" ca="1" si="2"/>
        <v>1</v>
      </c>
      <c r="J644" s="86">
        <f t="shared" ca="1" si="3"/>
        <v>45100</v>
      </c>
      <c r="R644" s="26"/>
    </row>
    <row r="645" spans="1:18" ht="15.75" customHeight="1">
      <c r="A645" s="26">
        <f ca="1">IFERROR(__xludf.DUMMYFUNCTION("""COMPUTED_VALUE"""),19102)</f>
        <v>19102</v>
      </c>
      <c r="B645" s="86">
        <f ca="1">IFERROR(__xludf.DUMMYFUNCTION("""COMPUTED_VALUE"""),45100.5532407407)</f>
        <v>45100.553240740701</v>
      </c>
      <c r="C645" s="1" t="str">
        <f ca="1">IFERROR(__xludf.DUMMYFUNCTION("""COMPUTED_VALUE"""),"completed")</f>
        <v>completed</v>
      </c>
      <c r="D645" s="26">
        <f ca="1">IFERROR(__xludf.DUMMYFUNCTION("""COMPUTED_VALUE"""),25)</f>
        <v>25</v>
      </c>
      <c r="E645" s="1" t="str">
        <f ca="1">IFERROR(__xludf.DUMMYFUNCTION("""COMPUTED_VALUE"""),"LSSC")</f>
        <v>LSSC</v>
      </c>
      <c r="F645" s="87" t="str">
        <f t="shared" ca="1" si="0"/>
        <v>2023</v>
      </c>
      <c r="G645" s="1" t="str">
        <f ca="1">IFERROR(__xludf.DUMMYFUNCTION("""COMPUTED_VALUE"""),"Lasalle Stompers")</f>
        <v>Lasalle Stompers</v>
      </c>
      <c r="H645" s="26">
        <f t="shared" ca="1" si="1"/>
        <v>25</v>
      </c>
      <c r="I645" s="26">
        <f t="shared" ca="1" si="2"/>
        <v>1</v>
      </c>
      <c r="J645" s="86">
        <f t="shared" ca="1" si="3"/>
        <v>45100</v>
      </c>
      <c r="R645" s="26"/>
    </row>
    <row r="646" spans="1:18" ht="15.75" customHeight="1">
      <c r="A646" s="26">
        <f ca="1">IFERROR(__xludf.DUMMYFUNCTION("""COMPUTED_VALUE"""),19101)</f>
        <v>19101</v>
      </c>
      <c r="B646" s="86">
        <f ca="1">IFERROR(__xludf.DUMMYFUNCTION("""COMPUTED_VALUE"""),45100.5277314814)</f>
        <v>45100.527731481401</v>
      </c>
      <c r="C646" s="1" t="str">
        <f ca="1">IFERROR(__xludf.DUMMYFUNCTION("""COMPUTED_VALUE"""),"completed")</f>
        <v>completed</v>
      </c>
      <c r="D646" s="26">
        <f ca="1">IFERROR(__xludf.DUMMYFUNCTION("""COMPUTED_VALUE"""),18)</f>
        <v>18</v>
      </c>
      <c r="E646" s="1" t="str">
        <f ca="1">IFERROR(__xludf.DUMMYFUNCTION("""COMPUTED_VALUE"""),"Lasalle Stompers")</f>
        <v>Lasalle Stompers</v>
      </c>
      <c r="F646" s="87" t="str">
        <f t="shared" ca="1" si="0"/>
        <v>2023</v>
      </c>
      <c r="G646" s="1" t="str">
        <f ca="1">IFERROR(__xludf.DUMMYFUNCTION("""COMPUTED_VALUE"""),"Lasalle Stompers")</f>
        <v>Lasalle Stompers</v>
      </c>
      <c r="H646" s="26">
        <f t="shared" ca="1" si="1"/>
        <v>18</v>
      </c>
      <c r="I646" s="26">
        <f t="shared" ca="1" si="2"/>
        <v>1</v>
      </c>
      <c r="J646" s="86">
        <f t="shared" ca="1" si="3"/>
        <v>45100</v>
      </c>
      <c r="R646" s="26"/>
    </row>
    <row r="647" spans="1:18" ht="15.75" customHeight="1">
      <c r="A647" s="26">
        <f ca="1">IFERROR(__xludf.DUMMYFUNCTION("""COMPUTED_VALUE"""),19100)</f>
        <v>19100</v>
      </c>
      <c r="B647" s="86">
        <f ca="1">IFERROR(__xludf.DUMMYFUNCTION("""COMPUTED_VALUE"""),45100.114386574)</f>
        <v>45100.114386574001</v>
      </c>
      <c r="C647" s="1" t="str">
        <f ca="1">IFERROR(__xludf.DUMMYFUNCTION("""COMPUTED_VALUE"""),"completed")</f>
        <v>completed</v>
      </c>
      <c r="D647" s="26">
        <f ca="1">IFERROR(__xludf.DUMMYFUNCTION("""COMPUTED_VALUE"""),55)</f>
        <v>55</v>
      </c>
      <c r="E647" s="1" t="str">
        <f ca="1">IFERROR(__xludf.DUMMYFUNCTION("""COMPUTED_VALUE"""),"Lasalle Stompers")</f>
        <v>Lasalle Stompers</v>
      </c>
      <c r="F647" s="87" t="str">
        <f t="shared" ca="1" si="0"/>
        <v>2023</v>
      </c>
      <c r="G647" s="1" t="str">
        <f ca="1">IFERROR(__xludf.DUMMYFUNCTION("""COMPUTED_VALUE"""),"Lasalle Stompers")</f>
        <v>Lasalle Stompers</v>
      </c>
      <c r="H647" s="26">
        <f t="shared" ca="1" si="1"/>
        <v>55</v>
      </c>
      <c r="I647" s="26">
        <f t="shared" ca="1" si="2"/>
        <v>1</v>
      </c>
      <c r="J647" s="86">
        <f t="shared" ca="1" si="3"/>
        <v>45100</v>
      </c>
      <c r="R647" s="26"/>
    </row>
    <row r="648" spans="1:18" ht="15.75" customHeight="1">
      <c r="A648" s="26">
        <f ca="1">IFERROR(__xludf.DUMMYFUNCTION("""COMPUTED_VALUE"""),19099)</f>
        <v>19099</v>
      </c>
      <c r="B648" s="86">
        <f ca="1">IFERROR(__xludf.DUMMYFUNCTION("""COMPUTED_VALUE"""),45100.0616782407)</f>
        <v>45100.061678240701</v>
      </c>
      <c r="C648" s="1" t="str">
        <f ca="1">IFERROR(__xludf.DUMMYFUNCTION("""COMPUTED_VALUE"""),"completed")</f>
        <v>completed</v>
      </c>
      <c r="D648" s="26">
        <f ca="1">IFERROR(__xludf.DUMMYFUNCTION("""COMPUTED_VALUE"""),43)</f>
        <v>43</v>
      </c>
      <c r="E648" s="1" t="str">
        <f ca="1">IFERROR(__xludf.DUMMYFUNCTION("""COMPUTED_VALUE"""),"Lasalle Stompers")</f>
        <v>Lasalle Stompers</v>
      </c>
      <c r="F648" s="87" t="str">
        <f t="shared" ca="1" si="0"/>
        <v>2023</v>
      </c>
      <c r="G648" s="1" t="str">
        <f ca="1">IFERROR(__xludf.DUMMYFUNCTION("""COMPUTED_VALUE"""),"Lasalle Stompers")</f>
        <v>Lasalle Stompers</v>
      </c>
      <c r="H648" s="26">
        <f t="shared" ca="1" si="1"/>
        <v>43</v>
      </c>
      <c r="I648" s="26">
        <f t="shared" ca="1" si="2"/>
        <v>1</v>
      </c>
      <c r="J648" s="86">
        <f t="shared" ca="1" si="3"/>
        <v>45100</v>
      </c>
      <c r="R648" s="26"/>
    </row>
    <row r="649" spans="1:18" ht="15.75" customHeight="1">
      <c r="A649" s="26">
        <f ca="1">IFERROR(__xludf.DUMMYFUNCTION("""COMPUTED_VALUE"""),19098)</f>
        <v>19098</v>
      </c>
      <c r="B649" s="86">
        <f ca="1">IFERROR(__xludf.DUMMYFUNCTION("""COMPUTED_VALUE"""),45100.0036111111)</f>
        <v>45100.003611111097</v>
      </c>
      <c r="C649" s="1" t="str">
        <f ca="1">IFERROR(__xludf.DUMMYFUNCTION("""COMPUTED_VALUE"""),"completed")</f>
        <v>completed</v>
      </c>
      <c r="D649" s="26">
        <f ca="1">IFERROR(__xludf.DUMMYFUNCTION("""COMPUTED_VALUE"""),15)</f>
        <v>15</v>
      </c>
      <c r="E649" s="1" t="str">
        <f ca="1">IFERROR(__xludf.DUMMYFUNCTION("""COMPUTED_VALUE"""),"Lasalle Stompers")</f>
        <v>Lasalle Stompers</v>
      </c>
      <c r="F649" s="87" t="str">
        <f t="shared" ca="1" si="0"/>
        <v>2023</v>
      </c>
      <c r="G649" s="1" t="str">
        <f ca="1">IFERROR(__xludf.DUMMYFUNCTION("""COMPUTED_VALUE"""),"Lasalle Stompers")</f>
        <v>Lasalle Stompers</v>
      </c>
      <c r="H649" s="26">
        <f t="shared" ca="1" si="1"/>
        <v>15</v>
      </c>
      <c r="I649" s="26">
        <f t="shared" ca="1" si="2"/>
        <v>1</v>
      </c>
      <c r="J649" s="86">
        <f t="shared" ca="1" si="3"/>
        <v>45100</v>
      </c>
      <c r="R649" s="26"/>
    </row>
    <row r="650" spans="1:18" ht="15.75" customHeight="1">
      <c r="A650" s="26">
        <f ca="1">IFERROR(__xludf.DUMMYFUNCTION("""COMPUTED_VALUE"""),19097)</f>
        <v>19097</v>
      </c>
      <c r="B650" s="86">
        <f ca="1">IFERROR(__xludf.DUMMYFUNCTION("""COMPUTED_VALUE"""),45099.9395486111)</f>
        <v>45099.939548611103</v>
      </c>
      <c r="C650" s="1" t="str">
        <f ca="1">IFERROR(__xludf.DUMMYFUNCTION("""COMPUTED_VALUE"""),"completed")</f>
        <v>completed</v>
      </c>
      <c r="D650" s="26">
        <f ca="1">IFERROR(__xludf.DUMMYFUNCTION("""COMPUTED_VALUE"""),15)</f>
        <v>15</v>
      </c>
      <c r="E650" s="1" t="str">
        <f ca="1">IFERROR(__xludf.DUMMYFUNCTION("""COMPUTED_VALUE"""),"Lasalle Stompers")</f>
        <v>Lasalle Stompers</v>
      </c>
      <c r="F650" s="87" t="str">
        <f t="shared" ca="1" si="0"/>
        <v>2023</v>
      </c>
      <c r="G650" s="1" t="str">
        <f ca="1">IFERROR(__xludf.DUMMYFUNCTION("""COMPUTED_VALUE"""),"Lasalle Stompers")</f>
        <v>Lasalle Stompers</v>
      </c>
      <c r="H650" s="26">
        <f t="shared" ca="1" si="1"/>
        <v>15</v>
      </c>
      <c r="I650" s="26">
        <f t="shared" ca="1" si="2"/>
        <v>1</v>
      </c>
      <c r="J650" s="86">
        <f t="shared" ca="1" si="3"/>
        <v>45099</v>
      </c>
      <c r="R650" s="26"/>
    </row>
    <row r="651" spans="1:18" ht="15.75" customHeight="1">
      <c r="A651" s="26">
        <f ca="1">IFERROR(__xludf.DUMMYFUNCTION("""COMPUTED_VALUE"""),19096)</f>
        <v>19096</v>
      </c>
      <c r="B651" s="86">
        <f ca="1">IFERROR(__xludf.DUMMYFUNCTION("""COMPUTED_VALUE"""),45099.9354513888)</f>
        <v>45099.935451388803</v>
      </c>
      <c r="C651" s="1" t="str">
        <f ca="1">IFERROR(__xludf.DUMMYFUNCTION("""COMPUTED_VALUE"""),"completed")</f>
        <v>completed</v>
      </c>
      <c r="D651" s="26">
        <f ca="1">IFERROR(__xludf.DUMMYFUNCTION("""COMPUTED_VALUE"""),0)</f>
        <v>0</v>
      </c>
      <c r="E651" s="1" t="str">
        <f ca="1">IFERROR(__xludf.DUMMYFUNCTION("""COMPUTED_VALUE"""),"Lasalle Stompers")</f>
        <v>Lasalle Stompers</v>
      </c>
      <c r="F651" s="87" t="str">
        <f t="shared" ca="1" si="0"/>
        <v>2023</v>
      </c>
      <c r="G651" s="1" t="str">
        <f ca="1">IFERROR(__xludf.DUMMYFUNCTION("""COMPUTED_VALUE"""),"Lasalle Stompers")</f>
        <v>Lasalle Stompers</v>
      </c>
      <c r="H651" s="26">
        <f t="shared" ca="1" si="1"/>
        <v>0</v>
      </c>
      <c r="I651" s="26">
        <f t="shared" ca="1" si="2"/>
        <v>1</v>
      </c>
      <c r="J651" s="86">
        <f t="shared" ca="1" si="3"/>
        <v>45099</v>
      </c>
      <c r="R651" s="26"/>
    </row>
    <row r="652" spans="1:18" ht="15.75" customHeight="1">
      <c r="A652" s="26">
        <f ca="1">IFERROR(__xludf.DUMMYFUNCTION("""COMPUTED_VALUE"""),19095)</f>
        <v>19095</v>
      </c>
      <c r="B652" s="86">
        <f ca="1">IFERROR(__xludf.DUMMYFUNCTION("""COMPUTED_VALUE"""),45099.9320717592)</f>
        <v>45099.932071759198</v>
      </c>
      <c r="C652" s="1" t="str">
        <f ca="1">IFERROR(__xludf.DUMMYFUNCTION("""COMPUTED_VALUE"""),"completed")</f>
        <v>completed</v>
      </c>
      <c r="D652" s="26">
        <f ca="1">IFERROR(__xludf.DUMMYFUNCTION("""COMPUTED_VALUE"""),26)</f>
        <v>26</v>
      </c>
      <c r="E652" s="1" t="str">
        <f ca="1">IFERROR(__xludf.DUMMYFUNCTION("""COMPUTED_VALUE"""),"Lasalle Stompers")</f>
        <v>Lasalle Stompers</v>
      </c>
      <c r="F652" s="87" t="str">
        <f t="shared" ca="1" si="0"/>
        <v>2023</v>
      </c>
      <c r="G652" s="1" t="str">
        <f ca="1">IFERROR(__xludf.DUMMYFUNCTION("""COMPUTED_VALUE"""),"Lasalle Stompers")</f>
        <v>Lasalle Stompers</v>
      </c>
      <c r="H652" s="26">
        <f t="shared" ca="1" si="1"/>
        <v>26</v>
      </c>
      <c r="I652" s="26">
        <f t="shared" ca="1" si="2"/>
        <v>1</v>
      </c>
      <c r="J652" s="86">
        <f t="shared" ca="1" si="3"/>
        <v>45099</v>
      </c>
      <c r="R652" s="26"/>
    </row>
    <row r="653" spans="1:18" ht="15.75" customHeight="1">
      <c r="A653" s="26">
        <f ca="1">IFERROR(__xludf.DUMMYFUNCTION("""COMPUTED_VALUE"""),19094)</f>
        <v>19094</v>
      </c>
      <c r="B653" s="86">
        <f ca="1">IFERROR(__xludf.DUMMYFUNCTION("""COMPUTED_VALUE"""),45099.9235069444)</f>
        <v>45099.923506944397</v>
      </c>
      <c r="C653" s="1" t="str">
        <f ca="1">IFERROR(__xludf.DUMMYFUNCTION("""COMPUTED_VALUE"""),"completed")</f>
        <v>completed</v>
      </c>
      <c r="D653" s="26">
        <f ca="1">IFERROR(__xludf.DUMMYFUNCTION("""COMPUTED_VALUE"""),45)</f>
        <v>45</v>
      </c>
      <c r="E653" s="1" t="str">
        <f ca="1">IFERROR(__xludf.DUMMYFUNCTION("""COMPUTED_VALUE"""),"Lasalle Stompers")</f>
        <v>Lasalle Stompers</v>
      </c>
      <c r="F653" s="87" t="str">
        <f t="shared" ca="1" si="0"/>
        <v>2023</v>
      </c>
      <c r="G653" s="1" t="str">
        <f ca="1">IFERROR(__xludf.DUMMYFUNCTION("""COMPUTED_VALUE"""),"Lasalle Stompers")</f>
        <v>Lasalle Stompers</v>
      </c>
      <c r="H653" s="26">
        <f t="shared" ca="1" si="1"/>
        <v>45</v>
      </c>
      <c r="I653" s="26">
        <f t="shared" ca="1" si="2"/>
        <v>1</v>
      </c>
      <c r="J653" s="86">
        <f t="shared" ca="1" si="3"/>
        <v>45099</v>
      </c>
      <c r="R653" s="26"/>
    </row>
    <row r="654" spans="1:18" ht="15.75" customHeight="1">
      <c r="A654" s="26">
        <f ca="1">IFERROR(__xludf.DUMMYFUNCTION("""COMPUTED_VALUE"""),19093)</f>
        <v>19093</v>
      </c>
      <c r="B654" s="86">
        <f ca="1">IFERROR(__xludf.DUMMYFUNCTION("""COMPUTED_VALUE"""),45099.9167708333)</f>
        <v>45099.916770833297</v>
      </c>
      <c r="C654" s="1" t="str">
        <f ca="1">IFERROR(__xludf.DUMMYFUNCTION("""COMPUTED_VALUE"""),"completed")</f>
        <v>completed</v>
      </c>
      <c r="D654" s="26">
        <f ca="1">IFERROR(__xludf.DUMMYFUNCTION("""COMPUTED_VALUE"""),35)</f>
        <v>35</v>
      </c>
      <c r="E654" s="1" t="str">
        <f ca="1">IFERROR(__xludf.DUMMYFUNCTION("""COMPUTED_VALUE"""),"Lasalle Stompers")</f>
        <v>Lasalle Stompers</v>
      </c>
      <c r="F654" s="87" t="str">
        <f t="shared" ca="1" si="0"/>
        <v>2023</v>
      </c>
      <c r="G654" s="1" t="str">
        <f ca="1">IFERROR(__xludf.DUMMYFUNCTION("""COMPUTED_VALUE"""),"Lasalle Stompers")</f>
        <v>Lasalle Stompers</v>
      </c>
      <c r="H654" s="26">
        <f t="shared" ca="1" si="1"/>
        <v>35</v>
      </c>
      <c r="I654" s="26">
        <f t="shared" ca="1" si="2"/>
        <v>1</v>
      </c>
      <c r="J654" s="86">
        <f t="shared" ca="1" si="3"/>
        <v>45099</v>
      </c>
      <c r="R654" s="26"/>
    </row>
    <row r="655" spans="1:18" ht="15.75" customHeight="1">
      <c r="A655" s="26">
        <f ca="1">IFERROR(__xludf.DUMMYFUNCTION("""COMPUTED_VALUE"""),19092)</f>
        <v>19092</v>
      </c>
      <c r="B655" s="86">
        <f ca="1">IFERROR(__xludf.DUMMYFUNCTION("""COMPUTED_VALUE"""),45099.8787268518)</f>
        <v>45099.878726851799</v>
      </c>
      <c r="C655" s="1" t="str">
        <f ca="1">IFERROR(__xludf.DUMMYFUNCTION("""COMPUTED_VALUE"""),"completed")</f>
        <v>completed</v>
      </c>
      <c r="D655" s="26">
        <f ca="1">IFERROR(__xludf.DUMMYFUNCTION("""COMPUTED_VALUE"""),28)</f>
        <v>28</v>
      </c>
      <c r="E655" s="1" t="str">
        <f ca="1">IFERROR(__xludf.DUMMYFUNCTION("""COMPUTED_VALUE"""),"Lasalle Stompers")</f>
        <v>Lasalle Stompers</v>
      </c>
      <c r="F655" s="87" t="str">
        <f t="shared" ca="1" si="0"/>
        <v>2023</v>
      </c>
      <c r="G655" s="1" t="str">
        <f ca="1">IFERROR(__xludf.DUMMYFUNCTION("""COMPUTED_VALUE"""),"KingsVille Minor Baseball")</f>
        <v>KingsVille Minor Baseball</v>
      </c>
      <c r="H655" s="26">
        <f t="shared" ca="1" si="1"/>
        <v>28</v>
      </c>
      <c r="I655" s="26">
        <f t="shared" ca="1" si="2"/>
        <v>1</v>
      </c>
      <c r="J655" s="86">
        <f t="shared" ca="1" si="3"/>
        <v>45099</v>
      </c>
      <c r="R655" s="26"/>
    </row>
    <row r="656" spans="1:18" ht="15.75" customHeight="1">
      <c r="A656" s="26">
        <f ca="1">IFERROR(__xludf.DUMMYFUNCTION("""COMPUTED_VALUE"""),19090)</f>
        <v>19090</v>
      </c>
      <c r="B656" s="86">
        <f ca="1">IFERROR(__xludf.DUMMYFUNCTION("""COMPUTED_VALUE"""),45099.8348726851)</f>
        <v>45099.834872685104</v>
      </c>
      <c r="C656" s="1" t="str">
        <f ca="1">IFERROR(__xludf.DUMMYFUNCTION("""COMPUTED_VALUE"""),"completed")</f>
        <v>completed</v>
      </c>
      <c r="D656" s="26">
        <f ca="1">IFERROR(__xludf.DUMMYFUNCTION("""COMPUTED_VALUE"""),25)</f>
        <v>25</v>
      </c>
      <c r="E656" s="1" t="str">
        <f ca="1">IFERROR(__xludf.DUMMYFUNCTION("""COMPUTED_VALUE"""),"KingsVille Minor Baseball")</f>
        <v>KingsVille Minor Baseball</v>
      </c>
      <c r="F656" s="87" t="str">
        <f t="shared" ca="1" si="0"/>
        <v>2023</v>
      </c>
      <c r="G656" s="1" t="str">
        <f ca="1">IFERROR(__xludf.DUMMYFUNCTION("""COMPUTED_VALUE"""),"Lasalle Stompers")</f>
        <v>Lasalle Stompers</v>
      </c>
      <c r="H656" s="26">
        <f t="shared" ca="1" si="1"/>
        <v>25</v>
      </c>
      <c r="I656" s="26">
        <f t="shared" ca="1" si="2"/>
        <v>1</v>
      </c>
      <c r="J656" s="86">
        <f t="shared" ca="1" si="3"/>
        <v>45099</v>
      </c>
      <c r="R656" s="26"/>
    </row>
    <row r="657" spans="1:18" ht="15.75" customHeight="1">
      <c r="A657" s="26">
        <f ca="1">IFERROR(__xludf.DUMMYFUNCTION("""COMPUTED_VALUE"""),19089)</f>
        <v>19089</v>
      </c>
      <c r="B657" s="86">
        <f ca="1">IFERROR(__xludf.DUMMYFUNCTION("""COMPUTED_VALUE"""),45099.7831018518)</f>
        <v>45099.783101851797</v>
      </c>
      <c r="C657" s="1" t="str">
        <f ca="1">IFERROR(__xludf.DUMMYFUNCTION("""COMPUTED_VALUE"""),"completed")</f>
        <v>completed</v>
      </c>
      <c r="D657" s="26">
        <f ca="1">IFERROR(__xludf.DUMMYFUNCTION("""COMPUTED_VALUE"""),18)</f>
        <v>18</v>
      </c>
      <c r="E657" s="1" t="str">
        <f ca="1">IFERROR(__xludf.DUMMYFUNCTION("""COMPUTED_VALUE"""),"Lasalle Stompers")</f>
        <v>Lasalle Stompers</v>
      </c>
      <c r="F657" s="87" t="str">
        <f t="shared" ca="1" si="0"/>
        <v>2023</v>
      </c>
      <c r="G657" s="1" t="str">
        <f ca="1">IFERROR(__xludf.DUMMYFUNCTION("""COMPUTED_VALUE"""),"Lasalle Stompers")</f>
        <v>Lasalle Stompers</v>
      </c>
      <c r="H657" s="26">
        <f t="shared" ca="1" si="1"/>
        <v>18</v>
      </c>
      <c r="I657" s="26">
        <f t="shared" ca="1" si="2"/>
        <v>1</v>
      </c>
      <c r="J657" s="86">
        <f t="shared" ca="1" si="3"/>
        <v>45099</v>
      </c>
      <c r="R657" s="26"/>
    </row>
    <row r="658" spans="1:18" ht="15.75" customHeight="1">
      <c r="A658" s="26">
        <f ca="1">IFERROR(__xludf.DUMMYFUNCTION("""COMPUTED_VALUE"""),19088)</f>
        <v>19088</v>
      </c>
      <c r="B658" s="86">
        <f ca="1">IFERROR(__xludf.DUMMYFUNCTION("""COMPUTED_VALUE"""),45099.7387152777)</f>
        <v>45099.738715277701</v>
      </c>
      <c r="C658" s="1" t="str">
        <f ca="1">IFERROR(__xludf.DUMMYFUNCTION("""COMPUTED_VALUE"""),"completed")</f>
        <v>completed</v>
      </c>
      <c r="D658" s="26">
        <f ca="1">IFERROR(__xludf.DUMMYFUNCTION("""COMPUTED_VALUE"""),25)</f>
        <v>25</v>
      </c>
      <c r="E658" s="1" t="str">
        <f ca="1">IFERROR(__xludf.DUMMYFUNCTION("""COMPUTED_VALUE"""),"Lasalle Stompers")</f>
        <v>Lasalle Stompers</v>
      </c>
      <c r="F658" s="87" t="str">
        <f t="shared" ca="1" si="0"/>
        <v>2023</v>
      </c>
      <c r="G658" s="1" t="str">
        <f ca="1">IFERROR(__xludf.DUMMYFUNCTION("""COMPUTED_VALUE"""),"Lasalle Stompers")</f>
        <v>Lasalle Stompers</v>
      </c>
      <c r="H658" s="26">
        <f t="shared" ca="1" si="1"/>
        <v>25</v>
      </c>
      <c r="I658" s="26">
        <f t="shared" ca="1" si="2"/>
        <v>1</v>
      </c>
      <c r="J658" s="86">
        <f t="shared" ca="1" si="3"/>
        <v>45099</v>
      </c>
      <c r="R658" s="26"/>
    </row>
    <row r="659" spans="1:18" ht="15.75" customHeight="1">
      <c r="A659" s="26">
        <f ca="1">IFERROR(__xludf.DUMMYFUNCTION("""COMPUTED_VALUE"""),19087)</f>
        <v>19087</v>
      </c>
      <c r="B659" s="86">
        <f ca="1">IFERROR(__xludf.DUMMYFUNCTION("""COMPUTED_VALUE"""),45099.7023263887)</f>
        <v>45099.702326388797</v>
      </c>
      <c r="C659" s="1" t="str">
        <f ca="1">IFERROR(__xludf.DUMMYFUNCTION("""COMPUTED_VALUE"""),"completed")</f>
        <v>completed</v>
      </c>
      <c r="D659" s="26">
        <f ca="1">IFERROR(__xludf.DUMMYFUNCTION("""COMPUTED_VALUE"""),26)</f>
        <v>26</v>
      </c>
      <c r="E659" s="1" t="str">
        <f ca="1">IFERROR(__xludf.DUMMYFUNCTION("""COMPUTED_VALUE"""),"Lasalle Stompers")</f>
        <v>Lasalle Stompers</v>
      </c>
      <c r="F659" s="87" t="str">
        <f t="shared" ca="1" si="0"/>
        <v>2023</v>
      </c>
      <c r="G659" s="1" t="str">
        <f ca="1">IFERROR(__xludf.DUMMYFUNCTION("""COMPUTED_VALUE"""),"LSSC")</f>
        <v>LSSC</v>
      </c>
      <c r="H659" s="26">
        <f t="shared" ca="1" si="1"/>
        <v>26</v>
      </c>
      <c r="I659" s="26">
        <f t="shared" ca="1" si="2"/>
        <v>1</v>
      </c>
      <c r="J659" s="86">
        <f t="shared" ca="1" si="3"/>
        <v>45099</v>
      </c>
      <c r="R659" s="26"/>
    </row>
    <row r="660" spans="1:18" ht="15.75" customHeight="1">
      <c r="A660" s="26">
        <f ca="1">IFERROR(__xludf.DUMMYFUNCTION("""COMPUTED_VALUE"""),19086)</f>
        <v>19086</v>
      </c>
      <c r="B660" s="86">
        <f ca="1">IFERROR(__xludf.DUMMYFUNCTION("""COMPUTED_VALUE"""),45099.6921064814)</f>
        <v>45099.692106481401</v>
      </c>
      <c r="C660" s="1" t="str">
        <f ca="1">IFERROR(__xludf.DUMMYFUNCTION("""COMPUTED_VALUE"""),"completed")</f>
        <v>completed</v>
      </c>
      <c r="D660" s="26">
        <f ca="1">IFERROR(__xludf.DUMMYFUNCTION("""COMPUTED_VALUE"""),28)</f>
        <v>28</v>
      </c>
      <c r="E660" s="1" t="str">
        <f ca="1">IFERROR(__xludf.DUMMYFUNCTION("""COMPUTED_VALUE"""),"LSSC")</f>
        <v>LSSC</v>
      </c>
      <c r="F660" s="87" t="str">
        <f t="shared" ca="1" si="0"/>
        <v>2023</v>
      </c>
      <c r="G660" s="1" t="str">
        <f ca="1">IFERROR(__xludf.DUMMYFUNCTION("""COMPUTED_VALUE"""),"Lasalle Stompers")</f>
        <v>Lasalle Stompers</v>
      </c>
      <c r="H660" s="26">
        <f t="shared" ca="1" si="1"/>
        <v>28</v>
      </c>
      <c r="I660" s="26">
        <f t="shared" ca="1" si="2"/>
        <v>1</v>
      </c>
      <c r="J660" s="86">
        <f t="shared" ca="1" si="3"/>
        <v>45099</v>
      </c>
      <c r="R660" s="26"/>
    </row>
    <row r="661" spans="1:18" ht="15.75" customHeight="1">
      <c r="A661" s="26">
        <f ca="1">IFERROR(__xludf.DUMMYFUNCTION("""COMPUTED_VALUE"""),19085)</f>
        <v>19085</v>
      </c>
      <c r="B661" s="86">
        <f ca="1">IFERROR(__xludf.DUMMYFUNCTION("""COMPUTED_VALUE"""),45099.6630787037)</f>
        <v>45099.663078703699</v>
      </c>
      <c r="C661" s="1" t="str">
        <f ca="1">IFERROR(__xludf.DUMMYFUNCTION("""COMPUTED_VALUE"""),"completed")</f>
        <v>completed</v>
      </c>
      <c r="D661" s="26">
        <f ca="1">IFERROR(__xludf.DUMMYFUNCTION("""COMPUTED_VALUE"""),28)</f>
        <v>28</v>
      </c>
      <c r="E661" s="1" t="str">
        <f ca="1">IFERROR(__xludf.DUMMYFUNCTION("""COMPUTED_VALUE"""),"Lasalle Stompers")</f>
        <v>Lasalle Stompers</v>
      </c>
      <c r="F661" s="87" t="str">
        <f t="shared" ca="1" si="0"/>
        <v>2023</v>
      </c>
      <c r="G661" s="1" t="str">
        <f ca="1">IFERROR(__xludf.DUMMYFUNCTION("""COMPUTED_VALUE"""),"Lasalle Stompers")</f>
        <v>Lasalle Stompers</v>
      </c>
      <c r="H661" s="26">
        <f t="shared" ca="1" si="1"/>
        <v>28</v>
      </c>
      <c r="I661" s="26">
        <f t="shared" ca="1" si="2"/>
        <v>1</v>
      </c>
      <c r="J661" s="86">
        <f t="shared" ca="1" si="3"/>
        <v>45099</v>
      </c>
      <c r="R661" s="26"/>
    </row>
    <row r="662" spans="1:18" ht="15.75" customHeight="1">
      <c r="A662" s="26">
        <f ca="1">IFERROR(__xludf.DUMMYFUNCTION("""COMPUTED_VALUE"""),19084)</f>
        <v>19084</v>
      </c>
      <c r="B662" s="86">
        <f ca="1">IFERROR(__xludf.DUMMYFUNCTION("""COMPUTED_VALUE"""),45099.6617129629)</f>
        <v>45099.661712962901</v>
      </c>
      <c r="C662" s="1" t="str">
        <f ca="1">IFERROR(__xludf.DUMMYFUNCTION("""COMPUTED_VALUE"""),"completed")</f>
        <v>completed</v>
      </c>
      <c r="D662" s="26">
        <f ca="1">IFERROR(__xludf.DUMMYFUNCTION("""COMPUTED_VALUE"""),28)</f>
        <v>28</v>
      </c>
      <c r="E662" s="1" t="str">
        <f ca="1">IFERROR(__xludf.DUMMYFUNCTION("""COMPUTED_VALUE"""),"Lasalle Stompers")</f>
        <v>Lasalle Stompers</v>
      </c>
      <c r="F662" s="87" t="str">
        <f t="shared" ca="1" si="0"/>
        <v>2023</v>
      </c>
      <c r="G662" s="1" t="str">
        <f ca="1">IFERROR(__xludf.DUMMYFUNCTION("""COMPUTED_VALUE"""),"Lasalle Stompers")</f>
        <v>Lasalle Stompers</v>
      </c>
      <c r="H662" s="26">
        <f t="shared" ca="1" si="1"/>
        <v>28</v>
      </c>
      <c r="I662" s="26">
        <f t="shared" ca="1" si="2"/>
        <v>1</v>
      </c>
      <c r="J662" s="86">
        <f t="shared" ca="1" si="3"/>
        <v>45099</v>
      </c>
      <c r="R662" s="26"/>
    </row>
    <row r="663" spans="1:18" ht="15.75" customHeight="1">
      <c r="A663" s="26">
        <f ca="1">IFERROR(__xludf.DUMMYFUNCTION("""COMPUTED_VALUE"""),19083)</f>
        <v>19083</v>
      </c>
      <c r="B663" s="86">
        <f ca="1">IFERROR(__xludf.DUMMYFUNCTION("""COMPUTED_VALUE"""),45099.6149305555)</f>
        <v>45099.614930555501</v>
      </c>
      <c r="C663" s="1" t="str">
        <f ca="1">IFERROR(__xludf.DUMMYFUNCTION("""COMPUTED_VALUE"""),"completed")</f>
        <v>completed</v>
      </c>
      <c r="D663" s="26">
        <f ca="1">IFERROR(__xludf.DUMMYFUNCTION("""COMPUTED_VALUE"""),25)</f>
        <v>25</v>
      </c>
      <c r="E663" s="1" t="str">
        <f ca="1">IFERROR(__xludf.DUMMYFUNCTION("""COMPUTED_VALUE"""),"Lasalle Stompers")</f>
        <v>Lasalle Stompers</v>
      </c>
      <c r="F663" s="87" t="str">
        <f t="shared" ca="1" si="0"/>
        <v>2023</v>
      </c>
      <c r="G663" s="1" t="str">
        <f ca="1">IFERROR(__xludf.DUMMYFUNCTION("""COMPUTED_VALUE"""),"Lasalle Stompers")</f>
        <v>Lasalle Stompers</v>
      </c>
      <c r="H663" s="26">
        <f t="shared" ca="1" si="1"/>
        <v>25</v>
      </c>
      <c r="I663" s="26">
        <f t="shared" ca="1" si="2"/>
        <v>1</v>
      </c>
      <c r="J663" s="86">
        <f t="shared" ca="1" si="3"/>
        <v>45099</v>
      </c>
      <c r="R663" s="26"/>
    </row>
    <row r="664" spans="1:18" ht="15.75" customHeight="1">
      <c r="A664" s="26">
        <f ca="1">IFERROR(__xludf.DUMMYFUNCTION("""COMPUTED_VALUE"""),19082)</f>
        <v>19082</v>
      </c>
      <c r="B664" s="86">
        <f ca="1">IFERROR(__xludf.DUMMYFUNCTION("""COMPUTED_VALUE"""),45099.6016435185)</f>
        <v>45099.601643518501</v>
      </c>
      <c r="C664" s="1" t="str">
        <f ca="1">IFERROR(__xludf.DUMMYFUNCTION("""COMPUTED_VALUE"""),"completed")</f>
        <v>completed</v>
      </c>
      <c r="D664" s="26">
        <f ca="1">IFERROR(__xludf.DUMMYFUNCTION("""COMPUTED_VALUE"""),35)</f>
        <v>35</v>
      </c>
      <c r="E664" s="1" t="str">
        <f ca="1">IFERROR(__xludf.DUMMYFUNCTION("""COMPUTED_VALUE"""),"Lasalle Stompers")</f>
        <v>Lasalle Stompers</v>
      </c>
      <c r="F664" s="87" t="str">
        <f t="shared" ca="1" si="0"/>
        <v>2023</v>
      </c>
      <c r="G664" s="1" t="str">
        <f ca="1">IFERROR(__xludf.DUMMYFUNCTION("""COMPUTED_VALUE"""),"Lasalle Stompers")</f>
        <v>Lasalle Stompers</v>
      </c>
      <c r="H664" s="26">
        <f t="shared" ca="1" si="1"/>
        <v>35</v>
      </c>
      <c r="I664" s="26">
        <f t="shared" ca="1" si="2"/>
        <v>1</v>
      </c>
      <c r="J664" s="86">
        <f t="shared" ca="1" si="3"/>
        <v>45099</v>
      </c>
      <c r="R664" s="26"/>
    </row>
    <row r="665" spans="1:18" ht="15.75" customHeight="1">
      <c r="A665" s="26">
        <f ca="1">IFERROR(__xludf.DUMMYFUNCTION("""COMPUTED_VALUE"""),19081)</f>
        <v>19081</v>
      </c>
      <c r="B665" s="86">
        <f ca="1">IFERROR(__xludf.DUMMYFUNCTION("""COMPUTED_VALUE"""),45099.5768287037)</f>
        <v>45099.576828703699</v>
      </c>
      <c r="C665" s="1" t="str">
        <f ca="1">IFERROR(__xludf.DUMMYFUNCTION("""COMPUTED_VALUE"""),"completed")</f>
        <v>completed</v>
      </c>
      <c r="D665" s="26">
        <f ca="1">IFERROR(__xludf.DUMMYFUNCTION("""COMPUTED_VALUE"""),50)</f>
        <v>50</v>
      </c>
      <c r="E665" s="1" t="str">
        <f ca="1">IFERROR(__xludf.DUMMYFUNCTION("""COMPUTED_VALUE"""),"Lasalle Stompers")</f>
        <v>Lasalle Stompers</v>
      </c>
      <c r="F665" s="87" t="str">
        <f t="shared" ca="1" si="0"/>
        <v>2023</v>
      </c>
      <c r="G665" s="1" t="str">
        <f ca="1">IFERROR(__xludf.DUMMYFUNCTION("""COMPUTED_VALUE"""),"Lasalle Stompers")</f>
        <v>Lasalle Stompers</v>
      </c>
      <c r="H665" s="26">
        <f t="shared" ca="1" si="1"/>
        <v>50</v>
      </c>
      <c r="I665" s="26">
        <f t="shared" ca="1" si="2"/>
        <v>1</v>
      </c>
      <c r="J665" s="86">
        <f t="shared" ca="1" si="3"/>
        <v>45099</v>
      </c>
      <c r="R665" s="26"/>
    </row>
    <row r="666" spans="1:18" ht="15.75" customHeight="1">
      <c r="A666" s="26">
        <f ca="1">IFERROR(__xludf.DUMMYFUNCTION("""COMPUTED_VALUE"""),19080)</f>
        <v>19080</v>
      </c>
      <c r="B666" s="86">
        <f ca="1">IFERROR(__xludf.DUMMYFUNCTION("""COMPUTED_VALUE"""),45099.5732523148)</f>
        <v>45099.573252314804</v>
      </c>
      <c r="C666" s="1" t="str">
        <f ca="1">IFERROR(__xludf.DUMMYFUNCTION("""COMPUTED_VALUE"""),"completed")</f>
        <v>completed</v>
      </c>
      <c r="D666" s="26">
        <f ca="1">IFERROR(__xludf.DUMMYFUNCTION("""COMPUTED_VALUE"""),53)</f>
        <v>53</v>
      </c>
      <c r="E666" s="1" t="str">
        <f ca="1">IFERROR(__xludf.DUMMYFUNCTION("""COMPUTED_VALUE"""),"Lasalle Stompers")</f>
        <v>Lasalle Stompers</v>
      </c>
      <c r="F666" s="87" t="str">
        <f t="shared" ca="1" si="0"/>
        <v>2023</v>
      </c>
      <c r="G666" s="1" t="str">
        <f ca="1">IFERROR(__xludf.DUMMYFUNCTION("""COMPUTED_VALUE"""),"Lasalle Stompers")</f>
        <v>Lasalle Stompers</v>
      </c>
      <c r="H666" s="26">
        <f t="shared" ca="1" si="1"/>
        <v>53</v>
      </c>
      <c r="I666" s="26">
        <f t="shared" ca="1" si="2"/>
        <v>1</v>
      </c>
      <c r="J666" s="86">
        <f t="shared" ca="1" si="3"/>
        <v>45099</v>
      </c>
      <c r="R666" s="26"/>
    </row>
    <row r="667" spans="1:18" ht="15.75" customHeight="1">
      <c r="A667" s="26">
        <f ca="1">IFERROR(__xludf.DUMMYFUNCTION("""COMPUTED_VALUE"""),19079)</f>
        <v>19079</v>
      </c>
      <c r="B667" s="86">
        <f ca="1">IFERROR(__xludf.DUMMYFUNCTION("""COMPUTED_VALUE"""),45099.5655902777)</f>
        <v>45099.5655902777</v>
      </c>
      <c r="C667" s="1" t="str">
        <f ca="1">IFERROR(__xludf.DUMMYFUNCTION("""COMPUTED_VALUE"""),"completed")</f>
        <v>completed</v>
      </c>
      <c r="D667" s="26">
        <f ca="1">IFERROR(__xludf.DUMMYFUNCTION("""COMPUTED_VALUE"""),15)</f>
        <v>15</v>
      </c>
      <c r="E667" s="1" t="str">
        <f ca="1">IFERROR(__xludf.DUMMYFUNCTION("""COMPUTED_VALUE"""),"Lasalle Stompers")</f>
        <v>Lasalle Stompers</v>
      </c>
      <c r="F667" s="87" t="str">
        <f t="shared" ca="1" si="0"/>
        <v>2023</v>
      </c>
      <c r="G667" s="1" t="str">
        <f ca="1">IFERROR(__xludf.DUMMYFUNCTION("""COMPUTED_VALUE"""),"Lasalle Stompers")</f>
        <v>Lasalle Stompers</v>
      </c>
      <c r="H667" s="26">
        <f t="shared" ca="1" si="1"/>
        <v>15</v>
      </c>
      <c r="I667" s="26">
        <f t="shared" ca="1" si="2"/>
        <v>1</v>
      </c>
      <c r="J667" s="86">
        <f t="shared" ca="1" si="3"/>
        <v>45099</v>
      </c>
      <c r="R667" s="26"/>
    </row>
    <row r="668" spans="1:18" ht="15.75" customHeight="1">
      <c r="A668" s="26">
        <f ca="1">IFERROR(__xludf.DUMMYFUNCTION("""COMPUTED_VALUE"""),19078)</f>
        <v>19078</v>
      </c>
      <c r="B668" s="86">
        <f ca="1">IFERROR(__xludf.DUMMYFUNCTION("""COMPUTED_VALUE"""),45099.5552430555)</f>
        <v>45099.555243055504</v>
      </c>
      <c r="C668" s="1" t="str">
        <f ca="1">IFERROR(__xludf.DUMMYFUNCTION("""COMPUTED_VALUE"""),"completed")</f>
        <v>completed</v>
      </c>
      <c r="D668" s="26">
        <f ca="1">IFERROR(__xludf.DUMMYFUNCTION("""COMPUTED_VALUE"""),20)</f>
        <v>20</v>
      </c>
      <c r="E668" s="1" t="str">
        <f ca="1">IFERROR(__xludf.DUMMYFUNCTION("""COMPUTED_VALUE"""),"Lasalle Stompers")</f>
        <v>Lasalle Stompers</v>
      </c>
      <c r="F668" s="87" t="str">
        <f t="shared" ca="1" si="0"/>
        <v>2023</v>
      </c>
      <c r="G668" s="1" t="str">
        <f ca="1">IFERROR(__xludf.DUMMYFUNCTION("""COMPUTED_VALUE"""),"Lasalle Stompers")</f>
        <v>Lasalle Stompers</v>
      </c>
      <c r="H668" s="26">
        <f t="shared" ca="1" si="1"/>
        <v>20</v>
      </c>
      <c r="I668" s="26">
        <f t="shared" ca="1" si="2"/>
        <v>1</v>
      </c>
      <c r="J668" s="86">
        <f t="shared" ca="1" si="3"/>
        <v>45099</v>
      </c>
      <c r="R668" s="26"/>
    </row>
    <row r="669" spans="1:18" ht="15.75" customHeight="1">
      <c r="A669" s="26">
        <f ca="1">IFERROR(__xludf.DUMMYFUNCTION("""COMPUTED_VALUE"""),19077)</f>
        <v>19077</v>
      </c>
      <c r="B669" s="86">
        <f ca="1">IFERROR(__xludf.DUMMYFUNCTION("""COMPUTED_VALUE"""),45099.5471643518)</f>
        <v>45099.547164351803</v>
      </c>
      <c r="C669" s="1" t="str">
        <f ca="1">IFERROR(__xludf.DUMMYFUNCTION("""COMPUTED_VALUE"""),"completed")</f>
        <v>completed</v>
      </c>
      <c r="D669" s="26">
        <f ca="1">IFERROR(__xludf.DUMMYFUNCTION("""COMPUTED_VALUE"""),35)</f>
        <v>35</v>
      </c>
      <c r="E669" s="1" t="str">
        <f ca="1">IFERROR(__xludf.DUMMYFUNCTION("""COMPUTED_VALUE"""),"Lasalle Stompers")</f>
        <v>Lasalle Stompers</v>
      </c>
      <c r="F669" s="87" t="str">
        <f t="shared" ca="1" si="0"/>
        <v>2023</v>
      </c>
      <c r="G669" s="1" t="str">
        <f ca="1">IFERROR(__xludf.DUMMYFUNCTION("""COMPUTED_VALUE"""),"Lasalle Stompers")</f>
        <v>Lasalle Stompers</v>
      </c>
      <c r="H669" s="26">
        <f t="shared" ca="1" si="1"/>
        <v>35</v>
      </c>
      <c r="I669" s="26">
        <f t="shared" ca="1" si="2"/>
        <v>1</v>
      </c>
      <c r="J669" s="86">
        <f t="shared" ca="1" si="3"/>
        <v>45099</v>
      </c>
      <c r="R669" s="26"/>
    </row>
    <row r="670" spans="1:18" ht="15.75" customHeight="1">
      <c r="A670" s="26">
        <f ca="1">IFERROR(__xludf.DUMMYFUNCTION("""COMPUTED_VALUE"""),19076)</f>
        <v>19076</v>
      </c>
      <c r="B670" s="86">
        <f ca="1">IFERROR(__xludf.DUMMYFUNCTION("""COMPUTED_VALUE"""),45099.5426504629)</f>
        <v>45099.542650462899</v>
      </c>
      <c r="C670" s="1" t="str">
        <f ca="1">IFERROR(__xludf.DUMMYFUNCTION("""COMPUTED_VALUE"""),"completed")</f>
        <v>completed</v>
      </c>
      <c r="D670" s="26">
        <f ca="1">IFERROR(__xludf.DUMMYFUNCTION("""COMPUTED_VALUE"""),0)</f>
        <v>0</v>
      </c>
      <c r="E670" s="1" t="str">
        <f ca="1">IFERROR(__xludf.DUMMYFUNCTION("""COMPUTED_VALUE"""),"Lasalle Stompers")</f>
        <v>Lasalle Stompers</v>
      </c>
      <c r="F670" s="87" t="str">
        <f t="shared" ca="1" si="0"/>
        <v>2023</v>
      </c>
      <c r="G670" s="1" t="str">
        <f ca="1">IFERROR(__xludf.DUMMYFUNCTION("""COMPUTED_VALUE"""),"Lasalle Stompers")</f>
        <v>Lasalle Stompers</v>
      </c>
      <c r="H670" s="26">
        <f t="shared" ca="1" si="1"/>
        <v>0</v>
      </c>
      <c r="I670" s="26">
        <f t="shared" ca="1" si="2"/>
        <v>1</v>
      </c>
      <c r="J670" s="86">
        <f t="shared" ca="1" si="3"/>
        <v>45099</v>
      </c>
      <c r="R670" s="26"/>
    </row>
    <row r="671" spans="1:18" ht="15.75" customHeight="1">
      <c r="A671" s="26">
        <f ca="1">IFERROR(__xludf.DUMMYFUNCTION("""COMPUTED_VALUE"""),19075)</f>
        <v>19075</v>
      </c>
      <c r="B671" s="86">
        <f ca="1">IFERROR(__xludf.DUMMYFUNCTION("""COMPUTED_VALUE"""),45099.5198958333)</f>
        <v>45099.519895833299</v>
      </c>
      <c r="C671" s="1" t="str">
        <f ca="1">IFERROR(__xludf.DUMMYFUNCTION("""COMPUTED_VALUE"""),"completed")</f>
        <v>completed</v>
      </c>
      <c r="D671" s="26">
        <f ca="1">IFERROR(__xludf.DUMMYFUNCTION("""COMPUTED_VALUE"""),28)</f>
        <v>28</v>
      </c>
      <c r="E671" s="1" t="str">
        <f ca="1">IFERROR(__xludf.DUMMYFUNCTION("""COMPUTED_VALUE"""),"Lasalle Stompers")</f>
        <v>Lasalle Stompers</v>
      </c>
      <c r="F671" s="87" t="str">
        <f t="shared" ca="1" si="0"/>
        <v>2023</v>
      </c>
      <c r="G671" s="1" t="str">
        <f ca="1">IFERROR(__xludf.DUMMYFUNCTION("""COMPUTED_VALUE"""),"LSSC")</f>
        <v>LSSC</v>
      </c>
      <c r="H671" s="26">
        <f t="shared" ca="1" si="1"/>
        <v>28</v>
      </c>
      <c r="I671" s="26">
        <f t="shared" ca="1" si="2"/>
        <v>1</v>
      </c>
      <c r="J671" s="86">
        <f t="shared" ca="1" si="3"/>
        <v>45099</v>
      </c>
      <c r="R671" s="26"/>
    </row>
    <row r="672" spans="1:18" ht="15.75" customHeight="1">
      <c r="A672" s="26">
        <f ca="1">IFERROR(__xludf.DUMMYFUNCTION("""COMPUTED_VALUE"""),19074)</f>
        <v>19074</v>
      </c>
      <c r="B672" s="86">
        <f ca="1">IFERROR(__xludf.DUMMYFUNCTION("""COMPUTED_VALUE"""),45099.5197800925)</f>
        <v>45099.519780092502</v>
      </c>
      <c r="C672" s="1" t="str">
        <f ca="1">IFERROR(__xludf.DUMMYFUNCTION("""COMPUTED_VALUE"""),"completed")</f>
        <v>completed</v>
      </c>
      <c r="D672" s="26">
        <f ca="1">IFERROR(__xludf.DUMMYFUNCTION("""COMPUTED_VALUE"""),28)</f>
        <v>28</v>
      </c>
      <c r="E672" s="1" t="str">
        <f ca="1">IFERROR(__xludf.DUMMYFUNCTION("""COMPUTED_VALUE"""),"LSSC")</f>
        <v>LSSC</v>
      </c>
      <c r="F672" s="87" t="str">
        <f t="shared" ca="1" si="0"/>
        <v>2023</v>
      </c>
      <c r="G672" s="1" t="str">
        <f ca="1">IFERROR(__xludf.DUMMYFUNCTION("""COMPUTED_VALUE"""),"Lasalle Stompers")</f>
        <v>Lasalle Stompers</v>
      </c>
      <c r="H672" s="26">
        <f t="shared" ca="1" si="1"/>
        <v>28</v>
      </c>
      <c r="I672" s="26">
        <f t="shared" ca="1" si="2"/>
        <v>1</v>
      </c>
      <c r="J672" s="86">
        <f t="shared" ca="1" si="3"/>
        <v>45099</v>
      </c>
      <c r="R672" s="26"/>
    </row>
    <row r="673" spans="1:18" ht="15.75" customHeight="1">
      <c r="A673" s="26">
        <f ca="1">IFERROR(__xludf.DUMMYFUNCTION("""COMPUTED_VALUE"""),19073)</f>
        <v>19073</v>
      </c>
      <c r="B673" s="86">
        <f ca="1">IFERROR(__xludf.DUMMYFUNCTION("""COMPUTED_VALUE"""),45099.0707407407)</f>
        <v>45099.070740740703</v>
      </c>
      <c r="C673" s="1" t="str">
        <f ca="1">IFERROR(__xludf.DUMMYFUNCTION("""COMPUTED_VALUE"""),"completed")</f>
        <v>completed</v>
      </c>
      <c r="D673" s="26">
        <f ca="1">IFERROR(__xludf.DUMMYFUNCTION("""COMPUTED_VALUE"""),30)</f>
        <v>30</v>
      </c>
      <c r="E673" s="1" t="str">
        <f ca="1">IFERROR(__xludf.DUMMYFUNCTION("""COMPUTED_VALUE"""),"Lasalle Stompers")</f>
        <v>Lasalle Stompers</v>
      </c>
      <c r="F673" s="87" t="str">
        <f t="shared" ca="1" si="0"/>
        <v>2023</v>
      </c>
      <c r="G673" s="1" t="str">
        <f ca="1">IFERROR(__xludf.DUMMYFUNCTION("""COMPUTED_VALUE"""),"Lasalle Stompers")</f>
        <v>Lasalle Stompers</v>
      </c>
      <c r="H673" s="26">
        <f t="shared" ca="1" si="1"/>
        <v>30</v>
      </c>
      <c r="I673" s="26">
        <f t="shared" ca="1" si="2"/>
        <v>1</v>
      </c>
      <c r="J673" s="86">
        <f t="shared" ca="1" si="3"/>
        <v>45099</v>
      </c>
      <c r="R673" s="26"/>
    </row>
    <row r="674" spans="1:18" ht="15.75" customHeight="1">
      <c r="A674" s="26">
        <f ca="1">IFERROR(__xludf.DUMMYFUNCTION("""COMPUTED_VALUE"""),19072)</f>
        <v>19072</v>
      </c>
      <c r="B674" s="86">
        <f ca="1">IFERROR(__xludf.DUMMYFUNCTION("""COMPUTED_VALUE"""),45099.0282175926)</f>
        <v>45099.028217592597</v>
      </c>
      <c r="C674" s="1" t="str">
        <f ca="1">IFERROR(__xludf.DUMMYFUNCTION("""COMPUTED_VALUE"""),"completed")</f>
        <v>completed</v>
      </c>
      <c r="D674" s="26">
        <f ca="1">IFERROR(__xludf.DUMMYFUNCTION("""COMPUTED_VALUE"""),30)</f>
        <v>30</v>
      </c>
      <c r="E674" s="1" t="str">
        <f ca="1">IFERROR(__xludf.DUMMYFUNCTION("""COMPUTED_VALUE"""),"Lasalle Stompers")</f>
        <v>Lasalle Stompers</v>
      </c>
      <c r="F674" s="87" t="str">
        <f t="shared" ca="1" si="0"/>
        <v>2023</v>
      </c>
      <c r="G674" s="1" t="str">
        <f ca="1">IFERROR(__xludf.DUMMYFUNCTION("""COMPUTED_VALUE"""),"Lasalle Stompers")</f>
        <v>Lasalle Stompers</v>
      </c>
      <c r="H674" s="26">
        <f t="shared" ca="1" si="1"/>
        <v>30</v>
      </c>
      <c r="I674" s="26">
        <f t="shared" ca="1" si="2"/>
        <v>1</v>
      </c>
      <c r="J674" s="86">
        <f t="shared" ca="1" si="3"/>
        <v>45099</v>
      </c>
      <c r="R674" s="26"/>
    </row>
    <row r="675" spans="1:18" ht="15.75" customHeight="1">
      <c r="A675" s="26">
        <f ca="1">IFERROR(__xludf.DUMMYFUNCTION("""COMPUTED_VALUE"""),19071)</f>
        <v>19071</v>
      </c>
      <c r="B675" s="86">
        <f ca="1">IFERROR(__xludf.DUMMYFUNCTION("""COMPUTED_VALUE"""),45098.9667361111)</f>
        <v>45098.966736111099</v>
      </c>
      <c r="C675" s="1" t="str">
        <f ca="1">IFERROR(__xludf.DUMMYFUNCTION("""COMPUTED_VALUE"""),"completed")</f>
        <v>completed</v>
      </c>
      <c r="D675" s="26">
        <f ca="1">IFERROR(__xludf.DUMMYFUNCTION("""COMPUTED_VALUE"""),25)</f>
        <v>25</v>
      </c>
      <c r="E675" s="1" t="str">
        <f ca="1">IFERROR(__xludf.DUMMYFUNCTION("""COMPUTED_VALUE"""),"Lasalle Stompers")</f>
        <v>Lasalle Stompers</v>
      </c>
      <c r="F675" s="87" t="str">
        <f t="shared" ca="1" si="0"/>
        <v>2023</v>
      </c>
      <c r="G675" s="1" t="str">
        <f ca="1">IFERROR(__xludf.DUMMYFUNCTION("""COMPUTED_VALUE"""),"Lasalle Stompers")</f>
        <v>Lasalle Stompers</v>
      </c>
      <c r="H675" s="26">
        <f t="shared" ca="1" si="1"/>
        <v>25</v>
      </c>
      <c r="I675" s="26">
        <f t="shared" ca="1" si="2"/>
        <v>1</v>
      </c>
      <c r="J675" s="86">
        <f t="shared" ca="1" si="3"/>
        <v>45098</v>
      </c>
      <c r="R675" s="26"/>
    </row>
    <row r="676" spans="1:18" ht="15.75" customHeight="1">
      <c r="A676" s="26">
        <f ca="1">IFERROR(__xludf.DUMMYFUNCTION("""COMPUTED_VALUE"""),19070)</f>
        <v>19070</v>
      </c>
      <c r="B676" s="86">
        <f ca="1">IFERROR(__xludf.DUMMYFUNCTION("""COMPUTED_VALUE"""),45098.956261574)</f>
        <v>45098.956261574</v>
      </c>
      <c r="C676" s="1" t="str">
        <f ca="1">IFERROR(__xludf.DUMMYFUNCTION("""COMPUTED_VALUE"""),"completed")</f>
        <v>completed</v>
      </c>
      <c r="D676" s="26">
        <f ca="1">IFERROR(__xludf.DUMMYFUNCTION("""COMPUTED_VALUE"""),25)</f>
        <v>25</v>
      </c>
      <c r="E676" s="1" t="str">
        <f ca="1">IFERROR(__xludf.DUMMYFUNCTION("""COMPUTED_VALUE"""),"Lasalle Stompers")</f>
        <v>Lasalle Stompers</v>
      </c>
      <c r="F676" s="87" t="str">
        <f t="shared" ca="1" si="0"/>
        <v>2023</v>
      </c>
      <c r="G676" s="1" t="str">
        <f ca="1">IFERROR(__xludf.DUMMYFUNCTION("""COMPUTED_VALUE"""),"Lasalle Stompers")</f>
        <v>Lasalle Stompers</v>
      </c>
      <c r="H676" s="26">
        <f t="shared" ca="1" si="1"/>
        <v>25</v>
      </c>
      <c r="I676" s="26">
        <f t="shared" ca="1" si="2"/>
        <v>1</v>
      </c>
      <c r="J676" s="86">
        <f t="shared" ca="1" si="3"/>
        <v>45098</v>
      </c>
      <c r="R676" s="26"/>
    </row>
    <row r="677" spans="1:18" ht="15.75" customHeight="1">
      <c r="A677" s="26">
        <f ca="1">IFERROR(__xludf.DUMMYFUNCTION("""COMPUTED_VALUE"""),19069)</f>
        <v>19069</v>
      </c>
      <c r="B677" s="86">
        <f ca="1">IFERROR(__xludf.DUMMYFUNCTION("""COMPUTED_VALUE"""),45098.9538541666)</f>
        <v>45098.953854166597</v>
      </c>
      <c r="C677" s="1" t="str">
        <f ca="1">IFERROR(__xludf.DUMMYFUNCTION("""COMPUTED_VALUE"""),"completed")</f>
        <v>completed</v>
      </c>
      <c r="D677" s="26">
        <f ca="1">IFERROR(__xludf.DUMMYFUNCTION("""COMPUTED_VALUE"""),56)</f>
        <v>56</v>
      </c>
      <c r="E677" s="1" t="str">
        <f ca="1">IFERROR(__xludf.DUMMYFUNCTION("""COMPUTED_VALUE"""),"Lasalle Stompers")</f>
        <v>Lasalle Stompers</v>
      </c>
      <c r="F677" s="87" t="str">
        <f t="shared" ca="1" si="0"/>
        <v>2023</v>
      </c>
      <c r="G677" s="1" t="str">
        <f ca="1">IFERROR(__xludf.DUMMYFUNCTION("""COMPUTED_VALUE"""),"Lasalle Stompers")</f>
        <v>Lasalle Stompers</v>
      </c>
      <c r="H677" s="26">
        <f t="shared" ca="1" si="1"/>
        <v>56</v>
      </c>
      <c r="I677" s="26">
        <f t="shared" ca="1" si="2"/>
        <v>1</v>
      </c>
      <c r="J677" s="86">
        <f t="shared" ca="1" si="3"/>
        <v>45098</v>
      </c>
      <c r="R677" s="26"/>
    </row>
    <row r="678" spans="1:18" ht="15.75" customHeight="1">
      <c r="A678" s="26">
        <f ca="1">IFERROR(__xludf.DUMMYFUNCTION("""COMPUTED_VALUE"""),19068)</f>
        <v>19068</v>
      </c>
      <c r="B678" s="86">
        <f ca="1">IFERROR(__xludf.DUMMYFUNCTION("""COMPUTED_VALUE"""),45098.9219444444)</f>
        <v>45098.921944444402</v>
      </c>
      <c r="C678" s="1" t="str">
        <f ca="1">IFERROR(__xludf.DUMMYFUNCTION("""COMPUTED_VALUE"""),"completed")</f>
        <v>completed</v>
      </c>
      <c r="D678" s="26">
        <f ca="1">IFERROR(__xludf.DUMMYFUNCTION("""COMPUTED_VALUE"""),25)</f>
        <v>25</v>
      </c>
      <c r="E678" s="1" t="str">
        <f ca="1">IFERROR(__xludf.DUMMYFUNCTION("""COMPUTED_VALUE"""),"Lasalle Stompers")</f>
        <v>Lasalle Stompers</v>
      </c>
      <c r="F678" s="87" t="str">
        <f t="shared" ca="1" si="0"/>
        <v>2023</v>
      </c>
      <c r="G678" s="1" t="str">
        <f ca="1">IFERROR(__xludf.DUMMYFUNCTION("""COMPUTED_VALUE"""),"Lasalle Stompers")</f>
        <v>Lasalle Stompers</v>
      </c>
      <c r="H678" s="26">
        <f t="shared" ca="1" si="1"/>
        <v>25</v>
      </c>
      <c r="I678" s="26">
        <f t="shared" ca="1" si="2"/>
        <v>1</v>
      </c>
      <c r="J678" s="86">
        <f t="shared" ca="1" si="3"/>
        <v>45098</v>
      </c>
      <c r="R678" s="26"/>
    </row>
    <row r="679" spans="1:18" ht="15.75" customHeight="1">
      <c r="A679" s="26">
        <f ca="1">IFERROR(__xludf.DUMMYFUNCTION("""COMPUTED_VALUE"""),19067)</f>
        <v>19067</v>
      </c>
      <c r="B679" s="86">
        <f ca="1">IFERROR(__xludf.DUMMYFUNCTION("""COMPUTED_VALUE"""),45098.9105787037)</f>
        <v>45098.910578703697</v>
      </c>
      <c r="C679" s="1" t="str">
        <f ca="1">IFERROR(__xludf.DUMMYFUNCTION("""COMPUTED_VALUE"""),"completed")</f>
        <v>completed</v>
      </c>
      <c r="D679" s="26">
        <f ca="1">IFERROR(__xludf.DUMMYFUNCTION("""COMPUTED_VALUE"""),25)</f>
        <v>25</v>
      </c>
      <c r="E679" s="1" t="str">
        <f ca="1">IFERROR(__xludf.DUMMYFUNCTION("""COMPUTED_VALUE"""),"Lasalle Stompers")</f>
        <v>Lasalle Stompers</v>
      </c>
      <c r="F679" s="87" t="str">
        <f t="shared" ca="1" si="0"/>
        <v>2023</v>
      </c>
      <c r="G679" s="1" t="str">
        <f ca="1">IFERROR(__xludf.DUMMYFUNCTION("""COMPUTED_VALUE"""),"KMBA")</f>
        <v>KMBA</v>
      </c>
      <c r="H679" s="26">
        <f t="shared" ca="1" si="1"/>
        <v>25</v>
      </c>
      <c r="I679" s="26">
        <f t="shared" ca="1" si="2"/>
        <v>1</v>
      </c>
      <c r="J679" s="86">
        <f t="shared" ca="1" si="3"/>
        <v>45098</v>
      </c>
      <c r="R679" s="26"/>
    </row>
    <row r="680" spans="1:18" ht="15.75" customHeight="1">
      <c r="A680" s="26">
        <f ca="1">IFERROR(__xludf.DUMMYFUNCTION("""COMPUTED_VALUE"""),19066)</f>
        <v>19066</v>
      </c>
      <c r="B680" s="86">
        <f ca="1">IFERROR(__xludf.DUMMYFUNCTION("""COMPUTED_VALUE"""),45098.6995717592)</f>
        <v>45098.6995717592</v>
      </c>
      <c r="C680" s="1" t="str">
        <f ca="1">IFERROR(__xludf.DUMMYFUNCTION("""COMPUTED_VALUE"""),"completed")</f>
        <v>completed</v>
      </c>
      <c r="D680" s="26">
        <f ca="1">IFERROR(__xludf.DUMMYFUNCTION("""COMPUTED_VALUE"""),0)</f>
        <v>0</v>
      </c>
      <c r="E680" s="1" t="str">
        <f ca="1">IFERROR(__xludf.DUMMYFUNCTION("""COMPUTED_VALUE"""),"KMBA")</f>
        <v>KMBA</v>
      </c>
      <c r="F680" s="87" t="str">
        <f t="shared" ca="1" si="0"/>
        <v>2023</v>
      </c>
      <c r="G680" s="1" t="str">
        <f ca="1">IFERROR(__xludf.DUMMYFUNCTION("""COMPUTED_VALUE"""),"Lasalle Stompers")</f>
        <v>Lasalle Stompers</v>
      </c>
      <c r="H680" s="26">
        <f t="shared" ca="1" si="1"/>
        <v>0</v>
      </c>
      <c r="I680" s="26">
        <f t="shared" ca="1" si="2"/>
        <v>1</v>
      </c>
      <c r="J680" s="86">
        <f t="shared" ca="1" si="3"/>
        <v>45098</v>
      </c>
      <c r="R680" s="26"/>
    </row>
    <row r="681" spans="1:18" ht="15.75" customHeight="1">
      <c r="A681" s="26">
        <f ca="1">IFERROR(__xludf.DUMMYFUNCTION("""COMPUTED_VALUE"""),19065)</f>
        <v>19065</v>
      </c>
      <c r="B681" s="86">
        <f ca="1">IFERROR(__xludf.DUMMYFUNCTION("""COMPUTED_VALUE"""),45098.1003703703)</f>
        <v>45098.100370370303</v>
      </c>
      <c r="C681" s="1" t="str">
        <f ca="1">IFERROR(__xludf.DUMMYFUNCTION("""COMPUTED_VALUE"""),"completed")</f>
        <v>completed</v>
      </c>
      <c r="D681" s="26">
        <f ca="1">IFERROR(__xludf.DUMMYFUNCTION("""COMPUTED_VALUE"""),20)</f>
        <v>20</v>
      </c>
      <c r="E681" s="1" t="str">
        <f ca="1">IFERROR(__xludf.DUMMYFUNCTION("""COMPUTED_VALUE"""),"Lasalle Stompers")</f>
        <v>Lasalle Stompers</v>
      </c>
      <c r="F681" s="87" t="str">
        <f t="shared" ca="1" si="0"/>
        <v>2023</v>
      </c>
      <c r="G681" s="1" t="str">
        <f ca="1">IFERROR(__xludf.DUMMYFUNCTION("""COMPUTED_VALUE"""),"Lasalle Stompers")</f>
        <v>Lasalle Stompers</v>
      </c>
      <c r="H681" s="26">
        <f t="shared" ca="1" si="1"/>
        <v>20</v>
      </c>
      <c r="I681" s="26">
        <f t="shared" ca="1" si="2"/>
        <v>1</v>
      </c>
      <c r="J681" s="86">
        <f t="shared" ca="1" si="3"/>
        <v>45098</v>
      </c>
      <c r="R681" s="26"/>
    </row>
    <row r="682" spans="1:18" ht="15.75" customHeight="1">
      <c r="A682" s="26">
        <f ca="1">IFERROR(__xludf.DUMMYFUNCTION("""COMPUTED_VALUE"""),19064)</f>
        <v>19064</v>
      </c>
      <c r="B682" s="86">
        <f ca="1">IFERROR(__xludf.DUMMYFUNCTION("""COMPUTED_VALUE"""),45098.0989930555)</f>
        <v>45098.098993055501</v>
      </c>
      <c r="C682" s="1" t="str">
        <f ca="1">IFERROR(__xludf.DUMMYFUNCTION("""COMPUTED_VALUE"""),"completed")</f>
        <v>completed</v>
      </c>
      <c r="D682" s="26">
        <f ca="1">IFERROR(__xludf.DUMMYFUNCTION("""COMPUTED_VALUE"""),20)</f>
        <v>20</v>
      </c>
      <c r="E682" s="1" t="str">
        <f ca="1">IFERROR(__xludf.DUMMYFUNCTION("""COMPUTED_VALUE"""),"Lasalle Stompers")</f>
        <v>Lasalle Stompers</v>
      </c>
      <c r="F682" s="87" t="str">
        <f t="shared" ca="1" si="0"/>
        <v>2023</v>
      </c>
      <c r="G682" s="1" t="str">
        <f ca="1">IFERROR(__xludf.DUMMYFUNCTION("""COMPUTED_VALUE"""),"Lasalle Stompers")</f>
        <v>Lasalle Stompers</v>
      </c>
      <c r="H682" s="26">
        <f t="shared" ca="1" si="1"/>
        <v>20</v>
      </c>
      <c r="I682" s="26">
        <f t="shared" ca="1" si="2"/>
        <v>1</v>
      </c>
      <c r="J682" s="86">
        <f t="shared" ca="1" si="3"/>
        <v>45098</v>
      </c>
      <c r="R682" s="26"/>
    </row>
    <row r="683" spans="1:18" ht="15.75" customHeight="1">
      <c r="A683" s="26">
        <f ca="1">IFERROR(__xludf.DUMMYFUNCTION("""COMPUTED_VALUE"""),19063)</f>
        <v>19063</v>
      </c>
      <c r="B683" s="86">
        <f ca="1">IFERROR(__xludf.DUMMYFUNCTION("""COMPUTED_VALUE"""),45098.0782523148)</f>
        <v>45098.078252314801</v>
      </c>
      <c r="C683" s="1" t="str">
        <f ca="1">IFERROR(__xludf.DUMMYFUNCTION("""COMPUTED_VALUE"""),"completed")</f>
        <v>completed</v>
      </c>
      <c r="D683" s="26">
        <f ca="1">IFERROR(__xludf.DUMMYFUNCTION("""COMPUTED_VALUE"""),15)</f>
        <v>15</v>
      </c>
      <c r="E683" s="1" t="str">
        <f ca="1">IFERROR(__xludf.DUMMYFUNCTION("""COMPUTED_VALUE"""),"Lasalle Stompers")</f>
        <v>Lasalle Stompers</v>
      </c>
      <c r="F683" s="87" t="str">
        <f t="shared" ca="1" si="0"/>
        <v>2023</v>
      </c>
      <c r="G683" s="1" t="str">
        <f ca="1">IFERROR(__xludf.DUMMYFUNCTION("""COMPUTED_VALUE"""),"Lasalle Stompers")</f>
        <v>Lasalle Stompers</v>
      </c>
      <c r="H683" s="26">
        <f t="shared" ca="1" si="1"/>
        <v>15</v>
      </c>
      <c r="I683" s="26">
        <f t="shared" ca="1" si="2"/>
        <v>1</v>
      </c>
      <c r="J683" s="86">
        <f t="shared" ca="1" si="3"/>
        <v>45098</v>
      </c>
      <c r="R683" s="26"/>
    </row>
    <row r="684" spans="1:18" ht="15.75" customHeight="1">
      <c r="A684" s="26">
        <f ca="1">IFERROR(__xludf.DUMMYFUNCTION("""COMPUTED_VALUE"""),19062)</f>
        <v>19062</v>
      </c>
      <c r="B684" s="86">
        <f ca="1">IFERROR(__xludf.DUMMYFUNCTION("""COMPUTED_VALUE"""),45097.9183449074)</f>
        <v>45097.918344907397</v>
      </c>
      <c r="C684" s="1" t="str">
        <f ca="1">IFERROR(__xludf.DUMMYFUNCTION("""COMPUTED_VALUE"""),"completed")</f>
        <v>completed</v>
      </c>
      <c r="D684" s="26">
        <f ca="1">IFERROR(__xludf.DUMMYFUNCTION("""COMPUTED_VALUE"""),28)</f>
        <v>28</v>
      </c>
      <c r="E684" s="1" t="str">
        <f ca="1">IFERROR(__xludf.DUMMYFUNCTION("""COMPUTED_VALUE"""),"Lasalle Stompers")</f>
        <v>Lasalle Stompers</v>
      </c>
      <c r="F684" s="87" t="str">
        <f t="shared" ca="1" si="0"/>
        <v>2023</v>
      </c>
      <c r="G684" s="1" t="str">
        <f ca="1">IFERROR(__xludf.DUMMYFUNCTION("""COMPUTED_VALUE"""),"Lasalle Stompers")</f>
        <v>Lasalle Stompers</v>
      </c>
      <c r="H684" s="26">
        <f t="shared" ca="1" si="1"/>
        <v>28</v>
      </c>
      <c r="I684" s="26">
        <f t="shared" ca="1" si="2"/>
        <v>1</v>
      </c>
      <c r="J684" s="86">
        <f t="shared" ca="1" si="3"/>
        <v>45097</v>
      </c>
      <c r="R684" s="26"/>
    </row>
    <row r="685" spans="1:18" ht="15.75" customHeight="1">
      <c r="A685" s="26">
        <f ca="1">IFERROR(__xludf.DUMMYFUNCTION("""COMPUTED_VALUE"""),19061)</f>
        <v>19061</v>
      </c>
      <c r="B685" s="86">
        <f ca="1">IFERROR(__xludf.DUMMYFUNCTION("""COMPUTED_VALUE"""),45097.9043171296)</f>
        <v>45097.9043171296</v>
      </c>
      <c r="C685" s="1" t="str">
        <f ca="1">IFERROR(__xludf.DUMMYFUNCTION("""COMPUTED_VALUE"""),"completed")</f>
        <v>completed</v>
      </c>
      <c r="D685" s="26">
        <f ca="1">IFERROR(__xludf.DUMMYFUNCTION("""COMPUTED_VALUE"""),15)</f>
        <v>15</v>
      </c>
      <c r="E685" s="1" t="str">
        <f ca="1">IFERROR(__xludf.DUMMYFUNCTION("""COMPUTED_VALUE"""),"Lasalle Stompers")</f>
        <v>Lasalle Stompers</v>
      </c>
      <c r="F685" s="87" t="str">
        <f t="shared" ca="1" si="0"/>
        <v>2023</v>
      </c>
      <c r="G685" s="1" t="str">
        <f ca="1">IFERROR(__xludf.DUMMYFUNCTION("""COMPUTED_VALUE"""),"Lasalle Stompers")</f>
        <v>Lasalle Stompers</v>
      </c>
      <c r="H685" s="26">
        <f t="shared" ca="1" si="1"/>
        <v>15</v>
      </c>
      <c r="I685" s="26">
        <f t="shared" ca="1" si="2"/>
        <v>1</v>
      </c>
      <c r="J685" s="86">
        <f t="shared" ca="1" si="3"/>
        <v>45097</v>
      </c>
      <c r="R685" s="26"/>
    </row>
    <row r="686" spans="1:18" ht="15.75" customHeight="1">
      <c r="A686" s="26">
        <f ca="1">IFERROR(__xludf.DUMMYFUNCTION("""COMPUTED_VALUE"""),19060)</f>
        <v>19060</v>
      </c>
      <c r="B686" s="86">
        <f ca="1">IFERROR(__xludf.DUMMYFUNCTION("""COMPUTED_VALUE"""),45097.8824074074)</f>
        <v>45097.8824074074</v>
      </c>
      <c r="C686" s="1" t="str">
        <f ca="1">IFERROR(__xludf.DUMMYFUNCTION("""COMPUTED_VALUE"""),"completed")</f>
        <v>completed</v>
      </c>
      <c r="D686" s="26">
        <f ca="1">IFERROR(__xludf.DUMMYFUNCTION("""COMPUTED_VALUE"""),53)</f>
        <v>53</v>
      </c>
      <c r="E686" s="1" t="str">
        <f ca="1">IFERROR(__xludf.DUMMYFUNCTION("""COMPUTED_VALUE"""),"Lasalle Stompers")</f>
        <v>Lasalle Stompers</v>
      </c>
      <c r="F686" s="87" t="str">
        <f t="shared" ca="1" si="0"/>
        <v>2023</v>
      </c>
      <c r="G686" s="1" t="str">
        <f ca="1">IFERROR(__xludf.DUMMYFUNCTION("""COMPUTED_VALUE"""),"KingsVille Minor Baseball")</f>
        <v>KingsVille Minor Baseball</v>
      </c>
      <c r="H686" s="26">
        <f t="shared" ca="1" si="1"/>
        <v>53</v>
      </c>
      <c r="I686" s="26">
        <f t="shared" ca="1" si="2"/>
        <v>1</v>
      </c>
      <c r="J686" s="86">
        <f t="shared" ca="1" si="3"/>
        <v>45097</v>
      </c>
      <c r="R686" s="26"/>
    </row>
    <row r="687" spans="1:18" ht="15.75" customHeight="1">
      <c r="A687" s="26">
        <f ca="1">IFERROR(__xludf.DUMMYFUNCTION("""COMPUTED_VALUE"""),19057)</f>
        <v>19057</v>
      </c>
      <c r="B687" s="86">
        <f ca="1">IFERROR(__xludf.DUMMYFUNCTION("""COMPUTED_VALUE"""),45097.6551041666)</f>
        <v>45097.655104166603</v>
      </c>
      <c r="C687" s="1" t="str">
        <f ca="1">IFERROR(__xludf.DUMMYFUNCTION("""COMPUTED_VALUE"""),"completed")</f>
        <v>completed</v>
      </c>
      <c r="D687" s="26">
        <f ca="1">IFERROR(__xludf.DUMMYFUNCTION("""COMPUTED_VALUE"""),18)</f>
        <v>18</v>
      </c>
      <c r="E687" s="1" t="str">
        <f ca="1">IFERROR(__xludf.DUMMYFUNCTION("""COMPUTED_VALUE"""),"KingsVille Minor Baseball")</f>
        <v>KingsVille Minor Baseball</v>
      </c>
      <c r="F687" s="87" t="str">
        <f t="shared" ca="1" si="0"/>
        <v>2023</v>
      </c>
      <c r="G687" s="1" t="str">
        <f ca="1">IFERROR(__xludf.DUMMYFUNCTION("""COMPUTED_VALUE"""),"Riverside Royals")</f>
        <v>Riverside Royals</v>
      </c>
      <c r="H687" s="26">
        <f t="shared" ca="1" si="1"/>
        <v>18</v>
      </c>
      <c r="I687" s="26">
        <f t="shared" ca="1" si="2"/>
        <v>1</v>
      </c>
      <c r="J687" s="86">
        <f t="shared" ca="1" si="3"/>
        <v>45097</v>
      </c>
      <c r="R687" s="26"/>
    </row>
    <row r="688" spans="1:18" ht="15.75" customHeight="1">
      <c r="A688" s="26">
        <f ca="1">IFERROR(__xludf.DUMMYFUNCTION("""COMPUTED_VALUE"""),19052)</f>
        <v>19052</v>
      </c>
      <c r="B688" s="86">
        <f ca="1">IFERROR(__xludf.DUMMYFUNCTION("""COMPUTED_VALUE"""),45097.6292592592)</f>
        <v>45097.6292592592</v>
      </c>
      <c r="C688" s="1" t="str">
        <f ca="1">IFERROR(__xludf.DUMMYFUNCTION("""COMPUTED_VALUE"""),"completed")</f>
        <v>completed</v>
      </c>
      <c r="D688" s="26">
        <f ca="1">IFERROR(__xludf.DUMMYFUNCTION("""COMPUTED_VALUE"""),25)</f>
        <v>25</v>
      </c>
      <c r="E688" s="1" t="str">
        <f ca="1">IFERROR(__xludf.DUMMYFUNCTION("""COMPUTED_VALUE"""),"Riverside Royals")</f>
        <v>Riverside Royals</v>
      </c>
      <c r="F688" s="87" t="str">
        <f t="shared" ca="1" si="0"/>
        <v>2023</v>
      </c>
      <c r="G688" s="1" t="str">
        <f ca="1">IFERROR(__xludf.DUMMYFUNCTION("""COMPUTED_VALUE"""),"Lasalle Stompers")</f>
        <v>Lasalle Stompers</v>
      </c>
      <c r="H688" s="26">
        <f t="shared" ca="1" si="1"/>
        <v>25</v>
      </c>
      <c r="I688" s="26">
        <f t="shared" ca="1" si="2"/>
        <v>1</v>
      </c>
      <c r="J688" s="86">
        <f t="shared" ca="1" si="3"/>
        <v>45097</v>
      </c>
      <c r="R688" s="26"/>
    </row>
    <row r="689" spans="1:18" ht="15.75" customHeight="1">
      <c r="A689" s="26">
        <f ca="1">IFERROR(__xludf.DUMMYFUNCTION("""COMPUTED_VALUE"""),19049)</f>
        <v>19049</v>
      </c>
      <c r="B689" s="86">
        <f ca="1">IFERROR(__xludf.DUMMYFUNCTION("""COMPUTED_VALUE"""),45097.5143402777)</f>
        <v>45097.514340277703</v>
      </c>
      <c r="C689" s="1" t="str">
        <f ca="1">IFERROR(__xludf.DUMMYFUNCTION("""COMPUTED_VALUE"""),"completed")</f>
        <v>completed</v>
      </c>
      <c r="D689" s="26">
        <f ca="1">IFERROR(__xludf.DUMMYFUNCTION("""COMPUTED_VALUE"""),25)</f>
        <v>25</v>
      </c>
      <c r="E689" s="1" t="str">
        <f ca="1">IFERROR(__xludf.DUMMYFUNCTION("""COMPUTED_VALUE"""),"Lasalle Stompers")</f>
        <v>Lasalle Stompers</v>
      </c>
      <c r="F689" s="87" t="str">
        <f t="shared" ca="1" si="0"/>
        <v>2023</v>
      </c>
      <c r="G689" s="1" t="str">
        <f ca="1">IFERROR(__xludf.DUMMYFUNCTION("""COMPUTED_VALUE"""),"KMBA")</f>
        <v>KMBA</v>
      </c>
      <c r="H689" s="26">
        <f t="shared" ca="1" si="1"/>
        <v>25</v>
      </c>
      <c r="I689" s="26">
        <f t="shared" ca="1" si="2"/>
        <v>1</v>
      </c>
      <c r="J689" s="86">
        <f t="shared" ca="1" si="3"/>
        <v>45097</v>
      </c>
      <c r="R689" s="26"/>
    </row>
    <row r="690" spans="1:18" ht="15.75" customHeight="1">
      <c r="A690" s="26">
        <f ca="1">IFERROR(__xludf.DUMMYFUNCTION("""COMPUTED_VALUE"""),19048)</f>
        <v>19048</v>
      </c>
      <c r="B690" s="86">
        <f ca="1">IFERROR(__xludf.DUMMYFUNCTION("""COMPUTED_VALUE"""),45097.2614583333)</f>
        <v>45097.261458333298</v>
      </c>
      <c r="C690" s="1" t="str">
        <f ca="1">IFERROR(__xludf.DUMMYFUNCTION("""COMPUTED_VALUE"""),"completed")</f>
        <v>completed</v>
      </c>
      <c r="D690" s="26">
        <f ca="1">IFERROR(__xludf.DUMMYFUNCTION("""COMPUTED_VALUE"""),30)</f>
        <v>30</v>
      </c>
      <c r="E690" s="1" t="str">
        <f ca="1">IFERROR(__xludf.DUMMYFUNCTION("""COMPUTED_VALUE"""),"KMBA")</f>
        <v>KMBA</v>
      </c>
      <c r="F690" s="87" t="str">
        <f t="shared" ca="1" si="0"/>
        <v>2023</v>
      </c>
      <c r="G690" s="1" t="str">
        <f ca="1">IFERROR(__xludf.DUMMYFUNCTION("""COMPUTED_VALUE"""),"KMBA")</f>
        <v>KMBA</v>
      </c>
      <c r="H690" s="26">
        <f t="shared" ca="1" si="1"/>
        <v>30</v>
      </c>
      <c r="I690" s="26">
        <f t="shared" ca="1" si="2"/>
        <v>1</v>
      </c>
      <c r="J690" s="86">
        <f t="shared" ca="1" si="3"/>
        <v>45097</v>
      </c>
      <c r="R690" s="26"/>
    </row>
    <row r="691" spans="1:18" ht="15.75" customHeight="1">
      <c r="A691" s="26">
        <f ca="1">IFERROR(__xludf.DUMMYFUNCTION("""COMPUTED_VALUE"""),19047)</f>
        <v>19047</v>
      </c>
      <c r="B691" s="86">
        <f ca="1">IFERROR(__xludf.DUMMYFUNCTION("""COMPUTED_VALUE"""),45097.2585648148)</f>
        <v>45097.258564814802</v>
      </c>
      <c r="C691" s="1" t="str">
        <f ca="1">IFERROR(__xludf.DUMMYFUNCTION("""COMPUTED_VALUE"""),"completed")</f>
        <v>completed</v>
      </c>
      <c r="D691" s="26">
        <f ca="1">IFERROR(__xludf.DUMMYFUNCTION("""COMPUTED_VALUE"""),25)</f>
        <v>25</v>
      </c>
      <c r="E691" s="1" t="str">
        <f ca="1">IFERROR(__xludf.DUMMYFUNCTION("""COMPUTED_VALUE"""),"KMBA")</f>
        <v>KMBA</v>
      </c>
      <c r="F691" s="87" t="str">
        <f t="shared" ca="1" si="0"/>
        <v>2023</v>
      </c>
      <c r="G691" s="1" t="str">
        <f ca="1">IFERROR(__xludf.DUMMYFUNCTION("""COMPUTED_VALUE"""),"KMBA")</f>
        <v>KMBA</v>
      </c>
      <c r="H691" s="26">
        <f t="shared" ca="1" si="1"/>
        <v>25</v>
      </c>
      <c r="I691" s="26">
        <f t="shared" ca="1" si="2"/>
        <v>1</v>
      </c>
      <c r="J691" s="86">
        <f t="shared" ca="1" si="3"/>
        <v>45097</v>
      </c>
      <c r="R691" s="26"/>
    </row>
    <row r="692" spans="1:18" ht="15.75" customHeight="1">
      <c r="A692" s="26">
        <f ca="1">IFERROR(__xludf.DUMMYFUNCTION("""COMPUTED_VALUE"""),19046)</f>
        <v>19046</v>
      </c>
      <c r="B692" s="86">
        <f ca="1">IFERROR(__xludf.DUMMYFUNCTION("""COMPUTED_VALUE"""),45097.2564004629)</f>
        <v>45097.256400462902</v>
      </c>
      <c r="C692" s="1" t="str">
        <f ca="1">IFERROR(__xludf.DUMMYFUNCTION("""COMPUTED_VALUE"""),"completed")</f>
        <v>completed</v>
      </c>
      <c r="D692" s="26">
        <f ca="1">IFERROR(__xludf.DUMMYFUNCTION("""COMPUTED_VALUE"""),25)</f>
        <v>25</v>
      </c>
      <c r="E692" s="1" t="str">
        <f ca="1">IFERROR(__xludf.DUMMYFUNCTION("""COMPUTED_VALUE"""),"KMBA")</f>
        <v>KMBA</v>
      </c>
      <c r="F692" s="87" t="str">
        <f t="shared" ca="1" si="0"/>
        <v>2023</v>
      </c>
      <c r="G692" s="1" t="str">
        <f ca="1">IFERROR(__xludf.DUMMYFUNCTION("""COMPUTED_VALUE"""),"Lasalle Stompers")</f>
        <v>Lasalle Stompers</v>
      </c>
      <c r="H692" s="26">
        <f t="shared" ca="1" si="1"/>
        <v>25</v>
      </c>
      <c r="I692" s="26">
        <f t="shared" ca="1" si="2"/>
        <v>1</v>
      </c>
      <c r="J692" s="86">
        <f t="shared" ca="1" si="3"/>
        <v>45097</v>
      </c>
      <c r="R692" s="26"/>
    </row>
    <row r="693" spans="1:18" ht="15.75" customHeight="1">
      <c r="A693" s="26">
        <f ca="1">IFERROR(__xludf.DUMMYFUNCTION("""COMPUTED_VALUE"""),19045)</f>
        <v>19045</v>
      </c>
      <c r="B693" s="86">
        <f ca="1">IFERROR(__xludf.DUMMYFUNCTION("""COMPUTED_VALUE"""),45097.1373379629)</f>
        <v>45097.1373379629</v>
      </c>
      <c r="C693" s="1" t="str">
        <f ca="1">IFERROR(__xludf.DUMMYFUNCTION("""COMPUTED_VALUE"""),"completed")</f>
        <v>completed</v>
      </c>
      <c r="D693" s="26">
        <f ca="1">IFERROR(__xludf.DUMMYFUNCTION("""COMPUTED_VALUE"""),55)</f>
        <v>55</v>
      </c>
      <c r="E693" s="1" t="str">
        <f ca="1">IFERROR(__xludf.DUMMYFUNCTION("""COMPUTED_VALUE"""),"Lasalle Stompers")</f>
        <v>Lasalle Stompers</v>
      </c>
      <c r="F693" s="87" t="str">
        <f t="shared" ca="1" si="0"/>
        <v>2023</v>
      </c>
      <c r="G693" s="1" t="str">
        <f ca="1">IFERROR(__xludf.DUMMYFUNCTION("""COMPUTED_VALUE"""),"Lasalle Stompers")</f>
        <v>Lasalle Stompers</v>
      </c>
      <c r="H693" s="26">
        <f t="shared" ca="1" si="1"/>
        <v>55</v>
      </c>
      <c r="I693" s="26">
        <f t="shared" ca="1" si="2"/>
        <v>1</v>
      </c>
      <c r="J693" s="86">
        <f t="shared" ca="1" si="3"/>
        <v>45097</v>
      </c>
      <c r="R693" s="26"/>
    </row>
    <row r="694" spans="1:18" ht="15.75" customHeight="1">
      <c r="A694" s="26">
        <f ca="1">IFERROR(__xludf.DUMMYFUNCTION("""COMPUTED_VALUE"""),19044)</f>
        <v>19044</v>
      </c>
      <c r="B694" s="86">
        <f ca="1">IFERROR(__xludf.DUMMYFUNCTION("""COMPUTED_VALUE"""),45097.0370717592)</f>
        <v>45097.037071759201</v>
      </c>
      <c r="C694" s="1" t="str">
        <f ca="1">IFERROR(__xludf.DUMMYFUNCTION("""COMPUTED_VALUE"""),"completed")</f>
        <v>completed</v>
      </c>
      <c r="D694" s="26">
        <f ca="1">IFERROR(__xludf.DUMMYFUNCTION("""COMPUTED_VALUE"""),25)</f>
        <v>25</v>
      </c>
      <c r="E694" s="1" t="str">
        <f ca="1">IFERROR(__xludf.DUMMYFUNCTION("""COMPUTED_VALUE"""),"Lasalle Stompers")</f>
        <v>Lasalle Stompers</v>
      </c>
      <c r="F694" s="87" t="str">
        <f t="shared" ca="1" si="0"/>
        <v>2023</v>
      </c>
      <c r="G694" s="1" t="str">
        <f ca="1">IFERROR(__xludf.DUMMYFUNCTION("""COMPUTED_VALUE"""),"LSSC")</f>
        <v>LSSC</v>
      </c>
      <c r="H694" s="26">
        <f t="shared" ca="1" si="1"/>
        <v>25</v>
      </c>
      <c r="I694" s="26">
        <f t="shared" ca="1" si="2"/>
        <v>1</v>
      </c>
      <c r="J694" s="86">
        <f t="shared" ca="1" si="3"/>
        <v>45097</v>
      </c>
      <c r="R694" s="26"/>
    </row>
    <row r="695" spans="1:18" ht="15.75" customHeight="1">
      <c r="A695" s="26">
        <f ca="1">IFERROR(__xludf.DUMMYFUNCTION("""COMPUTED_VALUE"""),19043)</f>
        <v>19043</v>
      </c>
      <c r="B695" s="86">
        <f ca="1">IFERROR(__xludf.DUMMYFUNCTION("""COMPUTED_VALUE"""),45097.0096527777)</f>
        <v>45097.009652777699</v>
      </c>
      <c r="C695" s="1" t="str">
        <f ca="1">IFERROR(__xludf.DUMMYFUNCTION("""COMPUTED_VALUE"""),"completed")</f>
        <v>completed</v>
      </c>
      <c r="D695" s="26">
        <f ca="1">IFERROR(__xludf.DUMMYFUNCTION("""COMPUTED_VALUE"""),25)</f>
        <v>25</v>
      </c>
      <c r="E695" s="1" t="str">
        <f ca="1">IFERROR(__xludf.DUMMYFUNCTION("""COMPUTED_VALUE"""),"LSSC")</f>
        <v>LSSC</v>
      </c>
      <c r="F695" s="87" t="str">
        <f t="shared" ca="1" si="0"/>
        <v>2023</v>
      </c>
      <c r="G695" s="1" t="str">
        <f ca="1">IFERROR(__xludf.DUMMYFUNCTION("""COMPUTED_VALUE"""),"Lasalle Stompers")</f>
        <v>Lasalle Stompers</v>
      </c>
      <c r="H695" s="26">
        <f t="shared" ca="1" si="1"/>
        <v>25</v>
      </c>
      <c r="I695" s="26">
        <f t="shared" ca="1" si="2"/>
        <v>1</v>
      </c>
      <c r="J695" s="86">
        <f t="shared" ca="1" si="3"/>
        <v>45097</v>
      </c>
      <c r="R695" s="26"/>
    </row>
    <row r="696" spans="1:18" ht="15.75" customHeight="1">
      <c r="A696" s="26">
        <f ca="1">IFERROR(__xludf.DUMMYFUNCTION("""COMPUTED_VALUE"""),19042)</f>
        <v>19042</v>
      </c>
      <c r="B696" s="86">
        <f ca="1">IFERROR(__xludf.DUMMYFUNCTION("""COMPUTED_VALUE"""),45097.0032523148)</f>
        <v>45097.003252314797</v>
      </c>
      <c r="C696" s="1" t="str">
        <f ca="1">IFERROR(__xludf.DUMMYFUNCTION("""COMPUTED_VALUE"""),"completed")</f>
        <v>completed</v>
      </c>
      <c r="D696" s="26">
        <f ca="1">IFERROR(__xludf.DUMMYFUNCTION("""COMPUTED_VALUE"""),15)</f>
        <v>15</v>
      </c>
      <c r="E696" s="1" t="str">
        <f ca="1">IFERROR(__xludf.DUMMYFUNCTION("""COMPUTED_VALUE"""),"Lasalle Stompers")</f>
        <v>Lasalle Stompers</v>
      </c>
      <c r="F696" s="87" t="str">
        <f t="shared" ca="1" si="0"/>
        <v>2023</v>
      </c>
      <c r="G696" s="1" t="str">
        <f ca="1">IFERROR(__xludf.DUMMYFUNCTION("""COMPUTED_VALUE"""),"Lasalle Stompers")</f>
        <v>Lasalle Stompers</v>
      </c>
      <c r="H696" s="26">
        <f t="shared" ca="1" si="1"/>
        <v>15</v>
      </c>
      <c r="I696" s="26">
        <f t="shared" ca="1" si="2"/>
        <v>1</v>
      </c>
      <c r="J696" s="86">
        <f t="shared" ca="1" si="3"/>
        <v>45097</v>
      </c>
      <c r="R696" s="26"/>
    </row>
    <row r="697" spans="1:18" ht="15.75" customHeight="1">
      <c r="A697" s="26">
        <f ca="1">IFERROR(__xludf.DUMMYFUNCTION("""COMPUTED_VALUE"""),19041)</f>
        <v>19041</v>
      </c>
      <c r="B697" s="86">
        <f ca="1">IFERROR(__xludf.DUMMYFUNCTION("""COMPUTED_VALUE"""),45097.0024537037)</f>
        <v>45097.002453703702</v>
      </c>
      <c r="C697" s="1" t="str">
        <f ca="1">IFERROR(__xludf.DUMMYFUNCTION("""COMPUTED_VALUE"""),"completed")</f>
        <v>completed</v>
      </c>
      <c r="D697" s="26">
        <f ca="1">IFERROR(__xludf.DUMMYFUNCTION("""COMPUTED_VALUE"""),25)</f>
        <v>25</v>
      </c>
      <c r="E697" s="1" t="str">
        <f ca="1">IFERROR(__xludf.DUMMYFUNCTION("""COMPUTED_VALUE"""),"Lasalle Stompers")</f>
        <v>Lasalle Stompers</v>
      </c>
      <c r="F697" s="87" t="str">
        <f t="shared" ca="1" si="0"/>
        <v>2023</v>
      </c>
      <c r="G697" s="1" t="str">
        <f ca="1">IFERROR(__xludf.DUMMYFUNCTION("""COMPUTED_VALUE"""),"Lasalle Stompers")</f>
        <v>Lasalle Stompers</v>
      </c>
      <c r="H697" s="26">
        <f t="shared" ca="1" si="1"/>
        <v>25</v>
      </c>
      <c r="I697" s="26">
        <f t="shared" ca="1" si="2"/>
        <v>1</v>
      </c>
      <c r="J697" s="86">
        <f t="shared" ca="1" si="3"/>
        <v>45097</v>
      </c>
      <c r="R697" s="26"/>
    </row>
    <row r="698" spans="1:18" ht="15.75" customHeight="1">
      <c r="A698" s="26">
        <f ca="1">IFERROR(__xludf.DUMMYFUNCTION("""COMPUTED_VALUE"""),19040)</f>
        <v>19040</v>
      </c>
      <c r="B698" s="86">
        <f ca="1">IFERROR(__xludf.DUMMYFUNCTION("""COMPUTED_VALUE"""),45096.9769444444)</f>
        <v>45096.976944444403</v>
      </c>
      <c r="C698" s="1" t="str">
        <f ca="1">IFERROR(__xludf.DUMMYFUNCTION("""COMPUTED_VALUE"""),"completed")</f>
        <v>completed</v>
      </c>
      <c r="D698" s="26">
        <f ca="1">IFERROR(__xludf.DUMMYFUNCTION("""COMPUTED_VALUE"""),53)</f>
        <v>53</v>
      </c>
      <c r="E698" s="1" t="str">
        <f ca="1">IFERROR(__xludf.DUMMYFUNCTION("""COMPUTED_VALUE"""),"Lasalle Stompers")</f>
        <v>Lasalle Stompers</v>
      </c>
      <c r="F698" s="87" t="str">
        <f t="shared" ca="1" si="0"/>
        <v>2023</v>
      </c>
      <c r="G698" s="1" t="str">
        <f ca="1">IFERROR(__xludf.DUMMYFUNCTION("""COMPUTED_VALUE"""),"Lasalle Stompers")</f>
        <v>Lasalle Stompers</v>
      </c>
      <c r="H698" s="26">
        <f t="shared" ca="1" si="1"/>
        <v>53</v>
      </c>
      <c r="I698" s="26">
        <f t="shared" ca="1" si="2"/>
        <v>1</v>
      </c>
      <c r="J698" s="86">
        <f t="shared" ca="1" si="3"/>
        <v>45096</v>
      </c>
      <c r="R698" s="26"/>
    </row>
    <row r="699" spans="1:18" ht="15.75" customHeight="1">
      <c r="A699" s="26">
        <f ca="1">IFERROR(__xludf.DUMMYFUNCTION("""COMPUTED_VALUE"""),19039)</f>
        <v>19039</v>
      </c>
      <c r="B699" s="86">
        <f ca="1">IFERROR(__xludf.DUMMYFUNCTION("""COMPUTED_VALUE"""),45096.9753472222)</f>
        <v>45096.9753472222</v>
      </c>
      <c r="C699" s="1" t="str">
        <f ca="1">IFERROR(__xludf.DUMMYFUNCTION("""COMPUTED_VALUE"""),"completed")</f>
        <v>completed</v>
      </c>
      <c r="D699" s="26">
        <f ca="1">IFERROR(__xludf.DUMMYFUNCTION("""COMPUTED_VALUE"""),25)</f>
        <v>25</v>
      </c>
      <c r="E699" s="1" t="str">
        <f ca="1">IFERROR(__xludf.DUMMYFUNCTION("""COMPUTED_VALUE"""),"Lasalle Stompers")</f>
        <v>Lasalle Stompers</v>
      </c>
      <c r="F699" s="87" t="str">
        <f t="shared" ca="1" si="0"/>
        <v>2023</v>
      </c>
      <c r="G699" s="1" t="str">
        <f ca="1">IFERROR(__xludf.DUMMYFUNCTION("""COMPUTED_VALUE"""),"Lasalle Stompers")</f>
        <v>Lasalle Stompers</v>
      </c>
      <c r="H699" s="26">
        <f t="shared" ca="1" si="1"/>
        <v>25</v>
      </c>
      <c r="I699" s="26">
        <f t="shared" ca="1" si="2"/>
        <v>1</v>
      </c>
      <c r="J699" s="86">
        <f t="shared" ca="1" si="3"/>
        <v>45096</v>
      </c>
      <c r="R699" s="26"/>
    </row>
    <row r="700" spans="1:18" ht="15.75" customHeight="1">
      <c r="A700" s="26">
        <f ca="1">IFERROR(__xludf.DUMMYFUNCTION("""COMPUTED_VALUE"""),19038)</f>
        <v>19038</v>
      </c>
      <c r="B700" s="86">
        <f ca="1">IFERROR(__xludf.DUMMYFUNCTION("""COMPUTED_VALUE"""),45096.9752546296)</f>
        <v>45096.9752546296</v>
      </c>
      <c r="C700" s="1" t="str">
        <f ca="1">IFERROR(__xludf.DUMMYFUNCTION("""COMPUTED_VALUE"""),"completed")</f>
        <v>completed</v>
      </c>
      <c r="D700" s="26">
        <f ca="1">IFERROR(__xludf.DUMMYFUNCTION("""COMPUTED_VALUE"""),15)</f>
        <v>15</v>
      </c>
      <c r="E700" s="1" t="str">
        <f ca="1">IFERROR(__xludf.DUMMYFUNCTION("""COMPUTED_VALUE"""),"Lasalle Stompers")</f>
        <v>Lasalle Stompers</v>
      </c>
      <c r="F700" s="87" t="str">
        <f t="shared" ca="1" si="0"/>
        <v>2023</v>
      </c>
      <c r="G700" s="1" t="str">
        <f ca="1">IFERROR(__xludf.DUMMYFUNCTION("""COMPUTED_VALUE"""),"Lasalle Stompers")</f>
        <v>Lasalle Stompers</v>
      </c>
      <c r="H700" s="26">
        <f t="shared" ca="1" si="1"/>
        <v>15</v>
      </c>
      <c r="I700" s="26">
        <f t="shared" ca="1" si="2"/>
        <v>1</v>
      </c>
      <c r="J700" s="86">
        <f t="shared" ca="1" si="3"/>
        <v>45096</v>
      </c>
      <c r="R700" s="26"/>
    </row>
    <row r="701" spans="1:18" ht="15.75" customHeight="1">
      <c r="A701" s="26">
        <f ca="1">IFERROR(__xludf.DUMMYFUNCTION("""COMPUTED_VALUE"""),19037)</f>
        <v>19037</v>
      </c>
      <c r="B701" s="86">
        <f ca="1">IFERROR(__xludf.DUMMYFUNCTION("""COMPUTED_VALUE"""),45096.972199074)</f>
        <v>45096.972199074</v>
      </c>
      <c r="C701" s="1" t="str">
        <f ca="1">IFERROR(__xludf.DUMMYFUNCTION("""COMPUTED_VALUE"""),"completed")</f>
        <v>completed</v>
      </c>
      <c r="D701" s="26">
        <f ca="1">IFERROR(__xludf.DUMMYFUNCTION("""COMPUTED_VALUE"""),35)</f>
        <v>35</v>
      </c>
      <c r="E701" s="1" t="str">
        <f ca="1">IFERROR(__xludf.DUMMYFUNCTION("""COMPUTED_VALUE"""),"Lasalle Stompers")</f>
        <v>Lasalle Stompers</v>
      </c>
      <c r="F701" s="87" t="str">
        <f t="shared" ca="1" si="0"/>
        <v>2023</v>
      </c>
      <c r="G701" s="1" t="str">
        <f ca="1">IFERROR(__xludf.DUMMYFUNCTION("""COMPUTED_VALUE"""),"Lasalle Stompers")</f>
        <v>Lasalle Stompers</v>
      </c>
      <c r="H701" s="26">
        <f t="shared" ca="1" si="1"/>
        <v>35</v>
      </c>
      <c r="I701" s="26">
        <f t="shared" ca="1" si="2"/>
        <v>1</v>
      </c>
      <c r="J701" s="86">
        <f t="shared" ca="1" si="3"/>
        <v>45096</v>
      </c>
      <c r="R701" s="26"/>
    </row>
    <row r="702" spans="1:18" ht="15.75" customHeight="1">
      <c r="A702" s="26">
        <f ca="1">IFERROR(__xludf.DUMMYFUNCTION("""COMPUTED_VALUE"""),19036)</f>
        <v>19036</v>
      </c>
      <c r="B702" s="86">
        <f ca="1">IFERROR(__xludf.DUMMYFUNCTION("""COMPUTED_VALUE"""),45096.9703935185)</f>
        <v>45096.970393518503</v>
      </c>
      <c r="C702" s="1" t="str">
        <f ca="1">IFERROR(__xludf.DUMMYFUNCTION("""COMPUTED_VALUE"""),"completed")</f>
        <v>completed</v>
      </c>
      <c r="D702" s="26">
        <f ca="1">IFERROR(__xludf.DUMMYFUNCTION("""COMPUTED_VALUE"""),25)</f>
        <v>25</v>
      </c>
      <c r="E702" s="1" t="str">
        <f ca="1">IFERROR(__xludf.DUMMYFUNCTION("""COMPUTED_VALUE"""),"Lasalle Stompers")</f>
        <v>Lasalle Stompers</v>
      </c>
      <c r="F702" s="87" t="str">
        <f t="shared" ca="1" si="0"/>
        <v>2023</v>
      </c>
      <c r="G702" s="1" t="str">
        <f ca="1">IFERROR(__xludf.DUMMYFUNCTION("""COMPUTED_VALUE"""),"Lasalle Stompers")</f>
        <v>Lasalle Stompers</v>
      </c>
      <c r="H702" s="26">
        <f t="shared" ca="1" si="1"/>
        <v>25</v>
      </c>
      <c r="I702" s="26">
        <f t="shared" ca="1" si="2"/>
        <v>1</v>
      </c>
      <c r="J702" s="86">
        <f t="shared" ca="1" si="3"/>
        <v>45096</v>
      </c>
      <c r="R702" s="26"/>
    </row>
    <row r="703" spans="1:18" ht="15.75" customHeight="1">
      <c r="A703" s="26">
        <f ca="1">IFERROR(__xludf.DUMMYFUNCTION("""COMPUTED_VALUE"""),19035)</f>
        <v>19035</v>
      </c>
      <c r="B703" s="86">
        <f ca="1">IFERROR(__xludf.DUMMYFUNCTION("""COMPUTED_VALUE"""),45096.9635879629)</f>
        <v>45096.963587962899</v>
      </c>
      <c r="C703" s="1" t="str">
        <f ca="1">IFERROR(__xludf.DUMMYFUNCTION("""COMPUTED_VALUE"""),"completed")</f>
        <v>completed</v>
      </c>
      <c r="D703" s="26">
        <f ca="1">IFERROR(__xludf.DUMMYFUNCTION("""COMPUTED_VALUE"""),45)</f>
        <v>45</v>
      </c>
      <c r="E703" s="1" t="str">
        <f ca="1">IFERROR(__xludf.DUMMYFUNCTION("""COMPUTED_VALUE"""),"Lasalle Stompers")</f>
        <v>Lasalle Stompers</v>
      </c>
      <c r="F703" s="87" t="str">
        <f t="shared" ca="1" si="0"/>
        <v>2023</v>
      </c>
      <c r="G703" s="1" t="str">
        <f ca="1">IFERROR(__xludf.DUMMYFUNCTION("""COMPUTED_VALUE"""),"Lasalle Stompers")</f>
        <v>Lasalle Stompers</v>
      </c>
      <c r="H703" s="26">
        <f t="shared" ca="1" si="1"/>
        <v>45</v>
      </c>
      <c r="I703" s="26">
        <f t="shared" ca="1" si="2"/>
        <v>1</v>
      </c>
      <c r="J703" s="86">
        <f t="shared" ca="1" si="3"/>
        <v>45096</v>
      </c>
      <c r="R703" s="26"/>
    </row>
    <row r="704" spans="1:18" ht="15.75" customHeight="1">
      <c r="A704" s="26">
        <f ca="1">IFERROR(__xludf.DUMMYFUNCTION("""COMPUTED_VALUE"""),19034)</f>
        <v>19034</v>
      </c>
      <c r="B704" s="86">
        <f ca="1">IFERROR(__xludf.DUMMYFUNCTION("""COMPUTED_VALUE"""),45096.9603819444)</f>
        <v>45096.960381944402</v>
      </c>
      <c r="C704" s="1" t="str">
        <f ca="1">IFERROR(__xludf.DUMMYFUNCTION("""COMPUTED_VALUE"""),"completed")</f>
        <v>completed</v>
      </c>
      <c r="D704" s="26">
        <f ca="1">IFERROR(__xludf.DUMMYFUNCTION("""COMPUTED_VALUE"""),25)</f>
        <v>25</v>
      </c>
      <c r="E704" s="1" t="str">
        <f ca="1">IFERROR(__xludf.DUMMYFUNCTION("""COMPUTED_VALUE"""),"Lasalle Stompers")</f>
        <v>Lasalle Stompers</v>
      </c>
      <c r="F704" s="87" t="str">
        <f t="shared" ca="1" si="0"/>
        <v>2023</v>
      </c>
      <c r="G704" s="1" t="str">
        <f ca="1">IFERROR(__xludf.DUMMYFUNCTION("""COMPUTED_VALUE"""),"Lasalle Stompers")</f>
        <v>Lasalle Stompers</v>
      </c>
      <c r="H704" s="26">
        <f t="shared" ca="1" si="1"/>
        <v>25</v>
      </c>
      <c r="I704" s="26">
        <f t="shared" ca="1" si="2"/>
        <v>1</v>
      </c>
      <c r="J704" s="86">
        <f t="shared" ca="1" si="3"/>
        <v>45096</v>
      </c>
      <c r="R704" s="26"/>
    </row>
    <row r="705" spans="1:18" ht="15.75" customHeight="1">
      <c r="A705" s="26">
        <f ca="1">IFERROR(__xludf.DUMMYFUNCTION("""COMPUTED_VALUE"""),19033)</f>
        <v>19033</v>
      </c>
      <c r="B705" s="86">
        <f ca="1">IFERROR(__xludf.DUMMYFUNCTION("""COMPUTED_VALUE"""),45096.96)</f>
        <v>45096.959999999999</v>
      </c>
      <c r="C705" s="1" t="str">
        <f ca="1">IFERROR(__xludf.DUMMYFUNCTION("""COMPUTED_VALUE"""),"completed")</f>
        <v>completed</v>
      </c>
      <c r="D705" s="26">
        <f ca="1">IFERROR(__xludf.DUMMYFUNCTION("""COMPUTED_VALUE"""),25)</f>
        <v>25</v>
      </c>
      <c r="E705" s="1" t="str">
        <f ca="1">IFERROR(__xludf.DUMMYFUNCTION("""COMPUTED_VALUE"""),"Lasalle Stompers")</f>
        <v>Lasalle Stompers</v>
      </c>
      <c r="F705" s="87" t="str">
        <f t="shared" ca="1" si="0"/>
        <v>2023</v>
      </c>
      <c r="G705" s="1" t="str">
        <f ca="1">IFERROR(__xludf.DUMMYFUNCTION("""COMPUTED_VALUE"""),"Lasalle Stompers")</f>
        <v>Lasalle Stompers</v>
      </c>
      <c r="H705" s="26">
        <f t="shared" ca="1" si="1"/>
        <v>25</v>
      </c>
      <c r="I705" s="26">
        <f t="shared" ca="1" si="2"/>
        <v>1</v>
      </c>
      <c r="J705" s="86">
        <f t="shared" ca="1" si="3"/>
        <v>45096</v>
      </c>
      <c r="R705" s="26"/>
    </row>
    <row r="706" spans="1:18" ht="15.75" customHeight="1">
      <c r="A706" s="26">
        <f ca="1">IFERROR(__xludf.DUMMYFUNCTION("""COMPUTED_VALUE"""),19032)</f>
        <v>19032</v>
      </c>
      <c r="B706" s="86">
        <f ca="1">IFERROR(__xludf.DUMMYFUNCTION("""COMPUTED_VALUE"""),45096.9595023148)</f>
        <v>45096.959502314799</v>
      </c>
      <c r="C706" s="1" t="str">
        <f ca="1">IFERROR(__xludf.DUMMYFUNCTION("""COMPUTED_VALUE"""),"completed")</f>
        <v>completed</v>
      </c>
      <c r="D706" s="26">
        <f ca="1">IFERROR(__xludf.DUMMYFUNCTION("""COMPUTED_VALUE"""),28)</f>
        <v>28</v>
      </c>
      <c r="E706" s="1" t="str">
        <f ca="1">IFERROR(__xludf.DUMMYFUNCTION("""COMPUTED_VALUE"""),"Lasalle Stompers")</f>
        <v>Lasalle Stompers</v>
      </c>
      <c r="F706" s="87" t="str">
        <f t="shared" ca="1" si="0"/>
        <v>2023</v>
      </c>
      <c r="G706" s="1" t="str">
        <f ca="1">IFERROR(__xludf.DUMMYFUNCTION("""COMPUTED_VALUE"""),"Lasalle Stompers")</f>
        <v>Lasalle Stompers</v>
      </c>
      <c r="H706" s="26">
        <f t="shared" ca="1" si="1"/>
        <v>28</v>
      </c>
      <c r="I706" s="26">
        <f t="shared" ca="1" si="2"/>
        <v>1</v>
      </c>
      <c r="J706" s="86">
        <f t="shared" ca="1" si="3"/>
        <v>45096</v>
      </c>
      <c r="R706" s="26"/>
    </row>
    <row r="707" spans="1:18" ht="15.75" customHeight="1">
      <c r="A707" s="26">
        <f ca="1">IFERROR(__xludf.DUMMYFUNCTION("""COMPUTED_VALUE"""),19031)</f>
        <v>19031</v>
      </c>
      <c r="B707" s="86">
        <f ca="1">IFERROR(__xludf.DUMMYFUNCTION("""COMPUTED_VALUE"""),45096.9577893518)</f>
        <v>45096.9577893518</v>
      </c>
      <c r="C707" s="1" t="str">
        <f ca="1">IFERROR(__xludf.DUMMYFUNCTION("""COMPUTED_VALUE"""),"completed")</f>
        <v>completed</v>
      </c>
      <c r="D707" s="26">
        <f ca="1">IFERROR(__xludf.DUMMYFUNCTION("""COMPUTED_VALUE"""),25)</f>
        <v>25</v>
      </c>
      <c r="E707" s="1" t="str">
        <f ca="1">IFERROR(__xludf.DUMMYFUNCTION("""COMPUTED_VALUE"""),"Lasalle Stompers")</f>
        <v>Lasalle Stompers</v>
      </c>
      <c r="F707" s="87" t="str">
        <f t="shared" ca="1" si="0"/>
        <v>2023</v>
      </c>
      <c r="G707" s="1" t="str">
        <f ca="1">IFERROR(__xludf.DUMMYFUNCTION("""COMPUTED_VALUE"""),"Lasalle Stompers")</f>
        <v>Lasalle Stompers</v>
      </c>
      <c r="H707" s="26">
        <f t="shared" ca="1" si="1"/>
        <v>25</v>
      </c>
      <c r="I707" s="26">
        <f t="shared" ca="1" si="2"/>
        <v>1</v>
      </c>
      <c r="J707" s="86">
        <f t="shared" ca="1" si="3"/>
        <v>45096</v>
      </c>
      <c r="R707" s="26"/>
    </row>
    <row r="708" spans="1:18" ht="15.75" customHeight="1">
      <c r="A708" s="26">
        <f ca="1">IFERROR(__xludf.DUMMYFUNCTION("""COMPUTED_VALUE"""),19030)</f>
        <v>19030</v>
      </c>
      <c r="B708" s="86">
        <f ca="1">IFERROR(__xludf.DUMMYFUNCTION("""COMPUTED_VALUE"""),45096.9272916666)</f>
        <v>45096.927291666601</v>
      </c>
      <c r="C708" s="1" t="str">
        <f ca="1">IFERROR(__xludf.DUMMYFUNCTION("""COMPUTED_VALUE"""),"completed")</f>
        <v>completed</v>
      </c>
      <c r="D708" s="26">
        <f ca="1">IFERROR(__xludf.DUMMYFUNCTION("""COMPUTED_VALUE"""),26)</f>
        <v>26</v>
      </c>
      <c r="E708" s="1" t="str">
        <f ca="1">IFERROR(__xludf.DUMMYFUNCTION("""COMPUTED_VALUE"""),"Lasalle Stompers")</f>
        <v>Lasalle Stompers</v>
      </c>
      <c r="F708" s="87" t="str">
        <f t="shared" ca="1" si="0"/>
        <v>2023</v>
      </c>
      <c r="G708" s="1" t="str">
        <f ca="1">IFERROR(__xludf.DUMMYFUNCTION("""COMPUTED_VALUE"""),"Lasalle Stompers")</f>
        <v>Lasalle Stompers</v>
      </c>
      <c r="H708" s="26">
        <f t="shared" ca="1" si="1"/>
        <v>26</v>
      </c>
      <c r="I708" s="26">
        <f t="shared" ca="1" si="2"/>
        <v>1</v>
      </c>
      <c r="J708" s="86">
        <f t="shared" ca="1" si="3"/>
        <v>45096</v>
      </c>
      <c r="R708" s="26"/>
    </row>
    <row r="709" spans="1:18" ht="15.75" customHeight="1">
      <c r="A709" s="26">
        <f ca="1">IFERROR(__xludf.DUMMYFUNCTION("""COMPUTED_VALUE"""),19029)</f>
        <v>19029</v>
      </c>
      <c r="B709" s="86">
        <f ca="1">IFERROR(__xludf.DUMMYFUNCTION("""COMPUTED_VALUE"""),45096.9258217592)</f>
        <v>45096.9258217592</v>
      </c>
      <c r="C709" s="1" t="str">
        <f ca="1">IFERROR(__xludf.DUMMYFUNCTION("""COMPUTED_VALUE"""),"completed")</f>
        <v>completed</v>
      </c>
      <c r="D709" s="26">
        <f ca="1">IFERROR(__xludf.DUMMYFUNCTION("""COMPUTED_VALUE"""),15)</f>
        <v>15</v>
      </c>
      <c r="E709" s="1" t="str">
        <f ca="1">IFERROR(__xludf.DUMMYFUNCTION("""COMPUTED_VALUE"""),"Lasalle Stompers")</f>
        <v>Lasalle Stompers</v>
      </c>
      <c r="F709" s="87" t="str">
        <f t="shared" ca="1" si="0"/>
        <v>2023</v>
      </c>
      <c r="G709" s="1" t="str">
        <f ca="1">IFERROR(__xludf.DUMMYFUNCTION("""COMPUTED_VALUE"""),"Lasalle Stompers")</f>
        <v>Lasalle Stompers</v>
      </c>
      <c r="H709" s="26">
        <f t="shared" ca="1" si="1"/>
        <v>15</v>
      </c>
      <c r="I709" s="26">
        <f t="shared" ca="1" si="2"/>
        <v>1</v>
      </c>
      <c r="J709" s="86">
        <f t="shared" ca="1" si="3"/>
        <v>45096</v>
      </c>
      <c r="R709" s="26"/>
    </row>
    <row r="710" spans="1:18" ht="15.75" customHeight="1">
      <c r="A710" s="26">
        <f ca="1">IFERROR(__xludf.DUMMYFUNCTION("""COMPUTED_VALUE"""),19028)</f>
        <v>19028</v>
      </c>
      <c r="B710" s="86">
        <f ca="1">IFERROR(__xludf.DUMMYFUNCTION("""COMPUTED_VALUE"""),45096.9207754629)</f>
        <v>45096.920775462902</v>
      </c>
      <c r="C710" s="1" t="str">
        <f ca="1">IFERROR(__xludf.DUMMYFUNCTION("""COMPUTED_VALUE"""),"completed")</f>
        <v>completed</v>
      </c>
      <c r="D710" s="26">
        <f ca="1">IFERROR(__xludf.DUMMYFUNCTION("""COMPUTED_VALUE"""),25)</f>
        <v>25</v>
      </c>
      <c r="E710" s="1" t="str">
        <f ca="1">IFERROR(__xludf.DUMMYFUNCTION("""COMPUTED_VALUE"""),"Lasalle Stompers")</f>
        <v>Lasalle Stompers</v>
      </c>
      <c r="F710" s="87" t="str">
        <f t="shared" ca="1" si="0"/>
        <v>2023</v>
      </c>
      <c r="G710" s="1" t="str">
        <f ca="1">IFERROR(__xludf.DUMMYFUNCTION("""COMPUTED_VALUE"""),"KingsVille Minor Baseball")</f>
        <v>KingsVille Minor Baseball</v>
      </c>
      <c r="H710" s="26">
        <f t="shared" ca="1" si="1"/>
        <v>25</v>
      </c>
      <c r="I710" s="26">
        <f t="shared" ca="1" si="2"/>
        <v>1</v>
      </c>
      <c r="J710" s="86">
        <f t="shared" ca="1" si="3"/>
        <v>45096</v>
      </c>
      <c r="R710" s="26"/>
    </row>
    <row r="711" spans="1:18" ht="15.75" customHeight="1">
      <c r="A711" s="26">
        <f ca="1">IFERROR(__xludf.DUMMYFUNCTION("""COMPUTED_VALUE"""),19027)</f>
        <v>19027</v>
      </c>
      <c r="B711" s="86">
        <f ca="1">IFERROR(__xludf.DUMMYFUNCTION("""COMPUTED_VALUE"""),45096.4796180555)</f>
        <v>45096.479618055499</v>
      </c>
      <c r="C711" s="1" t="str">
        <f ca="1">IFERROR(__xludf.DUMMYFUNCTION("""COMPUTED_VALUE"""),"pending")</f>
        <v>pending</v>
      </c>
      <c r="D711" s="26">
        <f ca="1">IFERROR(__xludf.DUMMYFUNCTION("""COMPUTED_VALUE"""),580)</f>
        <v>580</v>
      </c>
      <c r="E711" s="1"/>
      <c r="F711" s="87" t="str">
        <f t="shared" ca="1" si="0"/>
        <v>2023</v>
      </c>
      <c r="G711" s="1" t="str">
        <f ca="1">IFERROR(__xludf.DUMMYFUNCTION("""COMPUTED_VALUE"""),"KingsVille Minor Baseball")</f>
        <v>KingsVille Minor Baseball</v>
      </c>
      <c r="H711" s="26">
        <f t="shared" ca="1" si="1"/>
        <v>580</v>
      </c>
      <c r="I711" s="26">
        <f t="shared" ca="1" si="2"/>
        <v>1</v>
      </c>
      <c r="J711" s="86">
        <f t="shared" ca="1" si="3"/>
        <v>45096</v>
      </c>
      <c r="R711" s="26"/>
    </row>
    <row r="712" spans="1:18" ht="15.75" customHeight="1">
      <c r="A712" s="26">
        <f ca="1">IFERROR(__xludf.DUMMYFUNCTION("""COMPUTED_VALUE"""),19023)</f>
        <v>19023</v>
      </c>
      <c r="B712" s="86">
        <f ca="1">IFERROR(__xludf.DUMMYFUNCTION("""COMPUTED_VALUE"""),45096.4430555555)</f>
        <v>45096.443055555501</v>
      </c>
      <c r="C712" s="1" t="str">
        <f ca="1">IFERROR(__xludf.DUMMYFUNCTION("""COMPUTED_VALUE"""),"completed")</f>
        <v>completed</v>
      </c>
      <c r="D712" s="26">
        <f ca="1">IFERROR(__xludf.DUMMYFUNCTION("""COMPUTED_VALUE"""),25)</f>
        <v>25</v>
      </c>
      <c r="E712" s="1" t="str">
        <f ca="1">IFERROR(__xludf.DUMMYFUNCTION("""COMPUTED_VALUE"""),"KingsVille Minor Baseball")</f>
        <v>KingsVille Minor Baseball</v>
      </c>
      <c r="F712" s="87" t="str">
        <f t="shared" ca="1" si="0"/>
        <v>2023</v>
      </c>
      <c r="G712" s="1" t="str">
        <f ca="1">IFERROR(__xludf.DUMMYFUNCTION("""COMPUTED_VALUE"""),"KingsVille Minor Baseball")</f>
        <v>KingsVille Minor Baseball</v>
      </c>
      <c r="H712" s="26">
        <f t="shared" ca="1" si="1"/>
        <v>25</v>
      </c>
      <c r="I712" s="26">
        <f t="shared" ca="1" si="2"/>
        <v>1</v>
      </c>
      <c r="J712" s="86">
        <f t="shared" ca="1" si="3"/>
        <v>45096</v>
      </c>
      <c r="R712" s="26"/>
    </row>
    <row r="713" spans="1:18" ht="15.75" customHeight="1">
      <c r="A713" s="26">
        <f ca="1">IFERROR(__xludf.DUMMYFUNCTION("""COMPUTED_VALUE"""),19021)</f>
        <v>19021</v>
      </c>
      <c r="B713" s="86">
        <f ca="1">IFERROR(__xludf.DUMMYFUNCTION("""COMPUTED_VALUE"""),45095.8380902777)</f>
        <v>45095.838090277699</v>
      </c>
      <c r="C713" s="1" t="str">
        <f ca="1">IFERROR(__xludf.DUMMYFUNCTION("""COMPUTED_VALUE"""),"completed")</f>
        <v>completed</v>
      </c>
      <c r="D713" s="26">
        <f ca="1">IFERROR(__xludf.DUMMYFUNCTION("""COMPUTED_VALUE"""),0)</f>
        <v>0</v>
      </c>
      <c r="E713" s="1" t="str">
        <f ca="1">IFERROR(__xludf.DUMMYFUNCTION("""COMPUTED_VALUE"""),"KingsVille Minor Baseball")</f>
        <v>KingsVille Minor Baseball</v>
      </c>
      <c r="F713" s="87" t="str">
        <f t="shared" ca="1" si="0"/>
        <v>2023</v>
      </c>
      <c r="G713" s="1" t="str">
        <f ca="1">IFERROR(__xludf.DUMMYFUNCTION("""COMPUTED_VALUE"""),"Kingsville Soccer Association")</f>
        <v>Kingsville Soccer Association</v>
      </c>
      <c r="H713" s="26">
        <f t="shared" ca="1" si="1"/>
        <v>0</v>
      </c>
      <c r="I713" s="26">
        <f t="shared" ca="1" si="2"/>
        <v>1</v>
      </c>
      <c r="J713" s="86">
        <f t="shared" ca="1" si="3"/>
        <v>45095</v>
      </c>
      <c r="R713" s="26"/>
    </row>
    <row r="714" spans="1:18" ht="15.75" customHeight="1">
      <c r="A714" s="26">
        <f ca="1">IFERROR(__xludf.DUMMYFUNCTION("""COMPUTED_VALUE"""),19020)</f>
        <v>19020</v>
      </c>
      <c r="B714" s="86">
        <f ca="1">IFERROR(__xludf.DUMMYFUNCTION("""COMPUTED_VALUE"""),45095.7687268518)</f>
        <v>45095.768726851798</v>
      </c>
      <c r="C714" s="1" t="str">
        <f ca="1">IFERROR(__xludf.DUMMYFUNCTION("""COMPUTED_VALUE"""),"completed")</f>
        <v>completed</v>
      </c>
      <c r="D714" s="26">
        <f ca="1">IFERROR(__xludf.DUMMYFUNCTION("""COMPUTED_VALUE"""),0)</f>
        <v>0</v>
      </c>
      <c r="E714" s="1" t="str">
        <f ca="1">IFERROR(__xludf.DUMMYFUNCTION("""COMPUTED_VALUE"""),"KingsVille Minor Baseball")</f>
        <v>KingsVille Minor Baseball</v>
      </c>
      <c r="F714" s="87" t="str">
        <f t="shared" ca="1" si="0"/>
        <v>2023</v>
      </c>
      <c r="G714" s="1" t="str">
        <f ca="1">IFERROR(__xludf.DUMMYFUNCTION("""COMPUTED_VALUE"""),"Kingsville Soccer Association")</f>
        <v>Kingsville Soccer Association</v>
      </c>
      <c r="H714" s="26">
        <f t="shared" ca="1" si="1"/>
        <v>0</v>
      </c>
      <c r="I714" s="26">
        <f t="shared" ca="1" si="2"/>
        <v>1</v>
      </c>
      <c r="J714" s="86">
        <f t="shared" ca="1" si="3"/>
        <v>45095</v>
      </c>
      <c r="R714" s="26"/>
    </row>
    <row r="715" spans="1:18" ht="15.75" customHeight="1">
      <c r="A715" s="26">
        <f ca="1">IFERROR(__xludf.DUMMYFUNCTION("""COMPUTED_VALUE"""),18997)</f>
        <v>18997</v>
      </c>
      <c r="B715" s="86">
        <f ca="1">IFERROR(__xludf.DUMMYFUNCTION("""COMPUTED_VALUE"""),45094.8623032407)</f>
        <v>45094.862303240698</v>
      </c>
      <c r="C715" s="1" t="str">
        <f ca="1">IFERROR(__xludf.DUMMYFUNCTION("""COMPUTED_VALUE"""),"failed")</f>
        <v>failed</v>
      </c>
      <c r="D715" s="26">
        <f ca="1">IFERROR(__xludf.DUMMYFUNCTION("""COMPUTED_VALUE"""),18)</f>
        <v>18</v>
      </c>
      <c r="E715" s="1" t="str">
        <f ca="1">IFERROR(__xludf.DUMMYFUNCTION("""COMPUTED_VALUE"""),"Kingsville Soccer Association")</f>
        <v>Kingsville Soccer Association</v>
      </c>
      <c r="F715" s="87" t="str">
        <f t="shared" ca="1" si="0"/>
        <v>2023</v>
      </c>
      <c r="G715" s="1" t="str">
        <f ca="1">IFERROR(__xludf.DUMMYFUNCTION("""COMPUTED_VALUE"""),"Kingsville Soccer Association")</f>
        <v>Kingsville Soccer Association</v>
      </c>
      <c r="H715" s="26">
        <f t="shared" ca="1" si="1"/>
        <v>18</v>
      </c>
      <c r="I715" s="26">
        <f t="shared" ca="1" si="2"/>
        <v>1</v>
      </c>
      <c r="J715" s="86">
        <f t="shared" ca="1" si="3"/>
        <v>45094</v>
      </c>
      <c r="R715" s="26"/>
    </row>
    <row r="716" spans="1:18" ht="15.75" customHeight="1">
      <c r="A716" s="26">
        <f ca="1">IFERROR(__xludf.DUMMYFUNCTION("""COMPUTED_VALUE"""),18996)</f>
        <v>18996</v>
      </c>
      <c r="B716" s="86">
        <f ca="1">IFERROR(__xludf.DUMMYFUNCTION("""COMPUTED_VALUE"""),45094.6241782407)</f>
        <v>45094.624178240701</v>
      </c>
      <c r="C716" s="1" t="str">
        <f ca="1">IFERROR(__xludf.DUMMYFUNCTION("""COMPUTED_VALUE"""),"completed")</f>
        <v>completed</v>
      </c>
      <c r="D716" s="26">
        <f ca="1">IFERROR(__xludf.DUMMYFUNCTION("""COMPUTED_VALUE"""),43)</f>
        <v>43</v>
      </c>
      <c r="E716" s="1" t="str">
        <f ca="1">IFERROR(__xludf.DUMMYFUNCTION("""COMPUTED_VALUE"""),"Kingsville Soccer Association")</f>
        <v>Kingsville Soccer Association</v>
      </c>
      <c r="F716" s="87" t="str">
        <f t="shared" ca="1" si="0"/>
        <v>2023</v>
      </c>
      <c r="G716" s="1" t="str">
        <f ca="1">IFERROR(__xludf.DUMMYFUNCTION("""COMPUTED_VALUE"""),"KMBA")</f>
        <v>KMBA</v>
      </c>
      <c r="H716" s="26">
        <f t="shared" ca="1" si="1"/>
        <v>43</v>
      </c>
      <c r="I716" s="26">
        <f t="shared" ca="1" si="2"/>
        <v>1</v>
      </c>
      <c r="J716" s="86">
        <f t="shared" ca="1" si="3"/>
        <v>45094</v>
      </c>
      <c r="R716" s="26"/>
    </row>
    <row r="717" spans="1:18" ht="15.75" customHeight="1">
      <c r="A717" s="26">
        <f ca="1">IFERROR(__xludf.DUMMYFUNCTION("""COMPUTED_VALUE"""),18994)</f>
        <v>18994</v>
      </c>
      <c r="B717" s="86">
        <f ca="1">IFERROR(__xludf.DUMMYFUNCTION("""COMPUTED_VALUE"""),45093.1391782407)</f>
        <v>45093.139178240701</v>
      </c>
      <c r="C717" s="1" t="str">
        <f ca="1">IFERROR(__xludf.DUMMYFUNCTION("""COMPUTED_VALUE"""),"completed")</f>
        <v>completed</v>
      </c>
      <c r="D717" s="26">
        <f ca="1">IFERROR(__xludf.DUMMYFUNCTION("""COMPUTED_VALUE"""),18)</f>
        <v>18</v>
      </c>
      <c r="E717" s="1" t="str">
        <f ca="1">IFERROR(__xludf.DUMMYFUNCTION("""COMPUTED_VALUE"""),"Kingsville Soccer Association")</f>
        <v>Kingsville Soccer Association</v>
      </c>
      <c r="F717" s="87" t="str">
        <f t="shared" ca="1" si="0"/>
        <v>2023</v>
      </c>
      <c r="G717" s="1" t="str">
        <f ca="1">IFERROR(__xludf.DUMMYFUNCTION("""COMPUTED_VALUE"""),"KMBA")</f>
        <v>KMBA</v>
      </c>
      <c r="H717" s="26">
        <f t="shared" ca="1" si="1"/>
        <v>18</v>
      </c>
      <c r="I717" s="26">
        <f t="shared" ca="1" si="2"/>
        <v>1</v>
      </c>
      <c r="J717" s="86">
        <f t="shared" ca="1" si="3"/>
        <v>45093</v>
      </c>
      <c r="R717" s="26"/>
    </row>
    <row r="718" spans="1:18" ht="15.75" customHeight="1">
      <c r="A718" s="26">
        <f ca="1">IFERROR(__xludf.DUMMYFUNCTION("""COMPUTED_VALUE"""),18993)</f>
        <v>18993</v>
      </c>
      <c r="B718" s="86">
        <f ca="1">IFERROR(__xludf.DUMMYFUNCTION("""COMPUTED_VALUE"""),45093.119085648)</f>
        <v>45093.119085648097</v>
      </c>
      <c r="C718" s="1" t="str">
        <f ca="1">IFERROR(__xludf.DUMMYFUNCTION("""COMPUTED_VALUE"""),"completed")</f>
        <v>completed</v>
      </c>
      <c r="D718" s="26">
        <f ca="1">IFERROR(__xludf.DUMMYFUNCTION("""COMPUTED_VALUE"""),65)</f>
        <v>65</v>
      </c>
      <c r="E718" s="1" t="str">
        <f ca="1">IFERROR(__xludf.DUMMYFUNCTION("""COMPUTED_VALUE"""),"KMBA")</f>
        <v>KMBA</v>
      </c>
      <c r="F718" s="87" t="str">
        <f t="shared" ca="1" si="0"/>
        <v>2023</v>
      </c>
      <c r="G718" s="1" t="str">
        <f ca="1">IFERROR(__xludf.DUMMYFUNCTION("""COMPUTED_VALUE"""),"W.M.H.A")</f>
        <v>W.M.H.A</v>
      </c>
      <c r="H718" s="26">
        <f t="shared" ca="1" si="1"/>
        <v>65</v>
      </c>
      <c r="I718" s="26">
        <f t="shared" ca="1" si="2"/>
        <v>1</v>
      </c>
      <c r="J718" s="86">
        <f t="shared" ca="1" si="3"/>
        <v>45093</v>
      </c>
      <c r="R718" s="26"/>
    </row>
    <row r="719" spans="1:18" ht="15.75" customHeight="1">
      <c r="A719" s="26">
        <f ca="1">IFERROR(__xludf.DUMMYFUNCTION("""COMPUTED_VALUE"""),18992)</f>
        <v>18992</v>
      </c>
      <c r="B719" s="86">
        <f ca="1">IFERROR(__xludf.DUMMYFUNCTION("""COMPUTED_VALUE"""),45093.0457754629)</f>
        <v>45093.045775462902</v>
      </c>
      <c r="C719" s="1" t="str">
        <f ca="1">IFERROR(__xludf.DUMMYFUNCTION("""COMPUTED_VALUE"""),"completed")</f>
        <v>completed</v>
      </c>
      <c r="D719" s="26">
        <f ca="1">IFERROR(__xludf.DUMMYFUNCTION("""COMPUTED_VALUE"""),25)</f>
        <v>25</v>
      </c>
      <c r="E719" s="1" t="str">
        <f ca="1">IFERROR(__xludf.DUMMYFUNCTION("""COMPUTED_VALUE"""),"KMBA")</f>
        <v>KMBA</v>
      </c>
      <c r="F719" s="87" t="str">
        <f t="shared" ca="1" si="0"/>
        <v>2023</v>
      </c>
      <c r="G719" s="1" t="str">
        <f ca="1">IFERROR(__xludf.DUMMYFUNCTION("""COMPUTED_VALUE"""),"W.M.H.A")</f>
        <v>W.M.H.A</v>
      </c>
      <c r="H719" s="26">
        <f t="shared" ca="1" si="1"/>
        <v>25</v>
      </c>
      <c r="I719" s="26">
        <f t="shared" ca="1" si="2"/>
        <v>1</v>
      </c>
      <c r="J719" s="86">
        <f t="shared" ca="1" si="3"/>
        <v>45093</v>
      </c>
      <c r="R719" s="26"/>
    </row>
    <row r="720" spans="1:18" ht="15.75" customHeight="1">
      <c r="A720" s="26">
        <f ca="1">IFERROR(__xludf.DUMMYFUNCTION("""COMPUTED_VALUE"""),18982)</f>
        <v>18982</v>
      </c>
      <c r="B720" s="86">
        <f ca="1">IFERROR(__xludf.DUMMYFUNCTION("""COMPUTED_VALUE"""),45090.8027777777)</f>
        <v>45090.802777777702</v>
      </c>
      <c r="C720" s="1" t="str">
        <f ca="1">IFERROR(__xludf.DUMMYFUNCTION("""COMPUTED_VALUE"""),"completed")</f>
        <v>completed</v>
      </c>
      <c r="D720" s="26">
        <f ca="1">IFERROR(__xludf.DUMMYFUNCTION("""COMPUTED_VALUE"""),25)</f>
        <v>25</v>
      </c>
      <c r="E720" s="1"/>
      <c r="F720" s="87" t="str">
        <f t="shared" ca="1" si="0"/>
        <v>2023</v>
      </c>
      <c r="G720" s="1" t="str">
        <f ca="1">IFERROR(__xludf.DUMMYFUNCTION("""COMPUTED_VALUE"""),"South Point Stars")</f>
        <v>South Point Stars</v>
      </c>
      <c r="H720" s="26">
        <f t="shared" ca="1" si="1"/>
        <v>25</v>
      </c>
      <c r="I720" s="26">
        <f t="shared" ca="1" si="2"/>
        <v>1</v>
      </c>
      <c r="J720" s="86">
        <f t="shared" ca="1" si="3"/>
        <v>45090</v>
      </c>
      <c r="R720" s="26"/>
    </row>
    <row r="721" spans="1:18" ht="15.75" customHeight="1">
      <c r="A721" s="26">
        <f ca="1">IFERROR(__xludf.DUMMYFUNCTION("""COMPUTED_VALUE"""),18981)</f>
        <v>18981</v>
      </c>
      <c r="B721" s="86">
        <f ca="1">IFERROR(__xludf.DUMMYFUNCTION("""COMPUTED_VALUE"""),45090.6112847222)</f>
        <v>45090.611284722203</v>
      </c>
      <c r="C721" s="1" t="str">
        <f ca="1">IFERROR(__xludf.DUMMYFUNCTION("""COMPUTED_VALUE"""),"completed")</f>
        <v>completed</v>
      </c>
      <c r="D721" s="26">
        <f ca="1">IFERROR(__xludf.DUMMYFUNCTION("""COMPUTED_VALUE"""),35)</f>
        <v>35</v>
      </c>
      <c r="E721" s="1"/>
      <c r="F721" s="87" t="str">
        <f t="shared" ca="1" si="0"/>
        <v>2023</v>
      </c>
      <c r="G721" s="1" t="str">
        <f ca="1">IFERROR(__xludf.DUMMYFUNCTION("""COMPUTED_VALUE"""),"W.M.H.A")</f>
        <v>W.M.H.A</v>
      </c>
      <c r="H721" s="26">
        <f t="shared" ca="1" si="1"/>
        <v>35</v>
      </c>
      <c r="I721" s="26">
        <f t="shared" ca="1" si="2"/>
        <v>1</v>
      </c>
      <c r="J721" s="86">
        <f t="shared" ca="1" si="3"/>
        <v>45090</v>
      </c>
      <c r="R721" s="26"/>
    </row>
    <row r="722" spans="1:18" ht="15.75" customHeight="1">
      <c r="A722" s="26">
        <f ca="1">IFERROR(__xludf.DUMMYFUNCTION("""COMPUTED_VALUE"""),18980)</f>
        <v>18980</v>
      </c>
      <c r="B722" s="86">
        <f ca="1">IFERROR(__xludf.DUMMYFUNCTION("""COMPUTED_VALUE"""),45090.5025462962)</f>
        <v>45090.5025462962</v>
      </c>
      <c r="C722" s="1" t="str">
        <f ca="1">IFERROR(__xludf.DUMMYFUNCTION("""COMPUTED_VALUE"""),"completed")</f>
        <v>completed</v>
      </c>
      <c r="D722" s="26">
        <f ca="1">IFERROR(__xludf.DUMMYFUNCTION("""COMPUTED_VALUE"""),25)</f>
        <v>25</v>
      </c>
      <c r="E722" s="1"/>
      <c r="F722" s="87" t="str">
        <f t="shared" ca="1" si="0"/>
        <v>2023</v>
      </c>
      <c r="G722" s="1" t="str">
        <f ca="1">IFERROR(__xludf.DUMMYFUNCTION("""COMPUTED_VALUE"""),"W.M.H.A")</f>
        <v>W.M.H.A</v>
      </c>
      <c r="H722" s="26">
        <f t="shared" ca="1" si="1"/>
        <v>25</v>
      </c>
      <c r="I722" s="26">
        <f t="shared" ca="1" si="2"/>
        <v>1</v>
      </c>
      <c r="J722" s="86">
        <f t="shared" ca="1" si="3"/>
        <v>45090</v>
      </c>
      <c r="R722" s="26"/>
    </row>
    <row r="723" spans="1:18" ht="15.75" customHeight="1">
      <c r="A723" s="26">
        <f ca="1">IFERROR(__xludf.DUMMYFUNCTION("""COMPUTED_VALUE"""),18979)</f>
        <v>18979</v>
      </c>
      <c r="B723" s="86">
        <f ca="1">IFERROR(__xludf.DUMMYFUNCTION("""COMPUTED_VALUE"""),45090.4998263888)</f>
        <v>45090.499826388797</v>
      </c>
      <c r="C723" s="1" t="str">
        <f ca="1">IFERROR(__xludf.DUMMYFUNCTION("""COMPUTED_VALUE"""),"completed")</f>
        <v>completed</v>
      </c>
      <c r="D723" s="26">
        <f ca="1">IFERROR(__xludf.DUMMYFUNCTION("""COMPUTED_VALUE"""),25)</f>
        <v>25</v>
      </c>
      <c r="E723" s="1"/>
      <c r="F723" s="87" t="str">
        <f t="shared" ca="1" si="0"/>
        <v>2023</v>
      </c>
      <c r="G723" s="1" t="str">
        <f ca="1">IFERROR(__xludf.DUMMYFUNCTION("""COMPUTED_VALUE"""),"W.M.H.A")</f>
        <v>W.M.H.A</v>
      </c>
      <c r="H723" s="26">
        <f t="shared" ca="1" si="1"/>
        <v>25</v>
      </c>
      <c r="I723" s="26">
        <f t="shared" ca="1" si="2"/>
        <v>1</v>
      </c>
      <c r="J723" s="86">
        <f t="shared" ca="1" si="3"/>
        <v>45090</v>
      </c>
      <c r="R723" s="26"/>
    </row>
    <row r="724" spans="1:18" ht="15.75" customHeight="1">
      <c r="A724" s="26">
        <f ca="1">IFERROR(__xludf.DUMMYFUNCTION("""COMPUTED_VALUE"""),18978)</f>
        <v>18978</v>
      </c>
      <c r="B724" s="86">
        <f ca="1">IFERROR(__xludf.DUMMYFUNCTION("""COMPUTED_VALUE"""),45090.0734722222)</f>
        <v>45090.073472222197</v>
      </c>
      <c r="C724" s="1" t="str">
        <f ca="1">IFERROR(__xludf.DUMMYFUNCTION("""COMPUTED_VALUE"""),"completed")</f>
        <v>completed</v>
      </c>
      <c r="D724" s="26">
        <f ca="1">IFERROR(__xludf.DUMMYFUNCTION("""COMPUTED_VALUE"""),30)</f>
        <v>30</v>
      </c>
      <c r="E724" s="1"/>
      <c r="F724" s="87" t="str">
        <f t="shared" ca="1" si="0"/>
        <v>2023</v>
      </c>
      <c r="G724" s="1" t="str">
        <f ca="1">IFERROR(__xludf.DUMMYFUNCTION("""COMPUTED_VALUE"""),"W.M.H.A")</f>
        <v>W.M.H.A</v>
      </c>
      <c r="H724" s="26">
        <f t="shared" ca="1" si="1"/>
        <v>30</v>
      </c>
      <c r="I724" s="26">
        <f t="shared" ca="1" si="2"/>
        <v>1</v>
      </c>
      <c r="J724" s="86">
        <f t="shared" ca="1" si="3"/>
        <v>45090</v>
      </c>
      <c r="R724" s="26"/>
    </row>
    <row r="725" spans="1:18" ht="15.75" customHeight="1">
      <c r="A725" s="26">
        <f ca="1">IFERROR(__xludf.DUMMYFUNCTION("""COMPUTED_VALUE"""),18977)</f>
        <v>18977</v>
      </c>
      <c r="B725" s="86">
        <f ca="1">IFERROR(__xludf.DUMMYFUNCTION("""COMPUTED_VALUE"""),45090.0709259259)</f>
        <v>45090.070925925902</v>
      </c>
      <c r="C725" s="1" t="str">
        <f ca="1">IFERROR(__xludf.DUMMYFUNCTION("""COMPUTED_VALUE"""),"completed")</f>
        <v>completed</v>
      </c>
      <c r="D725" s="26">
        <f ca="1">IFERROR(__xludf.DUMMYFUNCTION("""COMPUTED_VALUE"""),26)</f>
        <v>26</v>
      </c>
      <c r="E725" s="1"/>
      <c r="F725" s="87" t="str">
        <f t="shared" ca="1" si="0"/>
        <v>2023</v>
      </c>
      <c r="G725" s="1" t="str">
        <f ca="1">IFERROR(__xludf.DUMMYFUNCTION("""COMPUTED_VALUE"""),"South Point Stars")</f>
        <v>South Point Stars</v>
      </c>
      <c r="H725" s="26">
        <f t="shared" ca="1" si="1"/>
        <v>26</v>
      </c>
      <c r="I725" s="26">
        <f t="shared" ca="1" si="2"/>
        <v>1</v>
      </c>
      <c r="J725" s="86">
        <f t="shared" ca="1" si="3"/>
        <v>45090</v>
      </c>
      <c r="R725" s="26"/>
    </row>
    <row r="726" spans="1:18" ht="15.75" customHeight="1">
      <c r="A726" s="26">
        <f ca="1">IFERROR(__xludf.DUMMYFUNCTION("""COMPUTED_VALUE"""),18976)</f>
        <v>18976</v>
      </c>
      <c r="B726" s="86">
        <f ca="1">IFERROR(__xludf.DUMMYFUNCTION("""COMPUTED_VALUE"""),45090.0682754629)</f>
        <v>45090.068275462902</v>
      </c>
      <c r="C726" s="1" t="str">
        <f ca="1">IFERROR(__xludf.DUMMYFUNCTION("""COMPUTED_VALUE"""),"completed")</f>
        <v>completed</v>
      </c>
      <c r="D726" s="26">
        <f ca="1">IFERROR(__xludf.DUMMYFUNCTION("""COMPUTED_VALUE"""),26)</f>
        <v>26</v>
      </c>
      <c r="E726" s="1"/>
      <c r="F726" s="87" t="str">
        <f t="shared" ca="1" si="0"/>
        <v>2023</v>
      </c>
      <c r="G726" s="1" t="str">
        <f ca="1">IFERROR(__xludf.DUMMYFUNCTION("""COMPUTED_VALUE"""),"South Point Stars")</f>
        <v>South Point Stars</v>
      </c>
      <c r="H726" s="26">
        <f t="shared" ca="1" si="1"/>
        <v>26</v>
      </c>
      <c r="I726" s="26">
        <f t="shared" ca="1" si="2"/>
        <v>1</v>
      </c>
      <c r="J726" s="86">
        <f t="shared" ca="1" si="3"/>
        <v>45090</v>
      </c>
      <c r="R726" s="26"/>
    </row>
    <row r="727" spans="1:18" ht="15.75" customHeight="1">
      <c r="A727" s="26">
        <f ca="1">IFERROR(__xludf.DUMMYFUNCTION("""COMPUTED_VALUE"""),18974)</f>
        <v>18974</v>
      </c>
      <c r="B727" s="86">
        <f ca="1">IFERROR(__xludf.DUMMYFUNCTION("""COMPUTED_VALUE"""),45089.6498958333)</f>
        <v>45089.649895833303</v>
      </c>
      <c r="C727" s="1" t="str">
        <f ca="1">IFERROR(__xludf.DUMMYFUNCTION("""COMPUTED_VALUE"""),"completed")</f>
        <v>completed</v>
      </c>
      <c r="D727" s="26">
        <f ca="1">IFERROR(__xludf.DUMMYFUNCTION("""COMPUTED_VALUE"""),35)</f>
        <v>35</v>
      </c>
      <c r="E727" s="1"/>
      <c r="F727" s="87" t="str">
        <f t="shared" ca="1" si="0"/>
        <v>2023</v>
      </c>
      <c r="G727" s="1" t="str">
        <f ca="1">IFERROR(__xludf.DUMMYFUNCTION("""COMPUTED_VALUE"""),"South Point Stars")</f>
        <v>South Point Stars</v>
      </c>
      <c r="H727" s="26">
        <f t="shared" ca="1" si="1"/>
        <v>35</v>
      </c>
      <c r="I727" s="26">
        <f t="shared" ca="1" si="2"/>
        <v>1</v>
      </c>
      <c r="J727" s="86">
        <f t="shared" ca="1" si="3"/>
        <v>45089</v>
      </c>
      <c r="R727" s="26"/>
    </row>
    <row r="728" spans="1:18" ht="15.75" customHeight="1">
      <c r="A728" s="26">
        <f ca="1">IFERROR(__xludf.DUMMYFUNCTION("""COMPUTED_VALUE"""),18973)</f>
        <v>18973</v>
      </c>
      <c r="B728" s="86">
        <f ca="1">IFERROR(__xludf.DUMMYFUNCTION("""COMPUTED_VALUE"""),45089.0867013888)</f>
        <v>45089.086701388798</v>
      </c>
      <c r="C728" s="1" t="str">
        <f ca="1">IFERROR(__xludf.DUMMYFUNCTION("""COMPUTED_VALUE"""),"completed")</f>
        <v>completed</v>
      </c>
      <c r="D728" s="26">
        <f ca="1">IFERROR(__xludf.DUMMYFUNCTION("""COMPUTED_VALUE"""),25)</f>
        <v>25</v>
      </c>
      <c r="E728" s="1"/>
      <c r="F728" s="87" t="str">
        <f t="shared" ca="1" si="0"/>
        <v>2023</v>
      </c>
      <c r="G728" s="1" t="str">
        <f ca="1">IFERROR(__xludf.DUMMYFUNCTION("""COMPUTED_VALUE"""),"South Point Stars")</f>
        <v>South Point Stars</v>
      </c>
      <c r="H728" s="26">
        <f t="shared" ca="1" si="1"/>
        <v>25</v>
      </c>
      <c r="I728" s="26">
        <f t="shared" ca="1" si="2"/>
        <v>1</v>
      </c>
      <c r="J728" s="86">
        <f t="shared" ca="1" si="3"/>
        <v>45089</v>
      </c>
      <c r="R728" s="26"/>
    </row>
    <row r="729" spans="1:18" ht="15.75" customHeight="1">
      <c r="A729" s="26">
        <f ca="1">IFERROR(__xludf.DUMMYFUNCTION("""COMPUTED_VALUE"""),18972)</f>
        <v>18972</v>
      </c>
      <c r="B729" s="86">
        <f ca="1">IFERROR(__xludf.DUMMYFUNCTION("""COMPUTED_VALUE"""),45088.996886574)</f>
        <v>45088.996886574001</v>
      </c>
      <c r="C729" s="1" t="str">
        <f ca="1">IFERROR(__xludf.DUMMYFUNCTION("""COMPUTED_VALUE"""),"completed")</f>
        <v>completed</v>
      </c>
      <c r="D729" s="26">
        <f ca="1">IFERROR(__xludf.DUMMYFUNCTION("""COMPUTED_VALUE"""),26)</f>
        <v>26</v>
      </c>
      <c r="E729" s="1"/>
      <c r="F729" s="87" t="str">
        <f t="shared" ca="1" si="0"/>
        <v>2023</v>
      </c>
      <c r="G729" s="1" t="str">
        <f ca="1">IFERROR(__xludf.DUMMYFUNCTION("""COMPUTED_VALUE"""),"South Point Stars")</f>
        <v>South Point Stars</v>
      </c>
      <c r="H729" s="26">
        <f t="shared" ca="1" si="1"/>
        <v>26</v>
      </c>
      <c r="I729" s="26">
        <f t="shared" ca="1" si="2"/>
        <v>1</v>
      </c>
      <c r="J729" s="86">
        <f t="shared" ca="1" si="3"/>
        <v>45088</v>
      </c>
      <c r="R729" s="26"/>
    </row>
    <row r="730" spans="1:18" ht="15.75" customHeight="1">
      <c r="A730" s="26">
        <f ca="1">IFERROR(__xludf.DUMMYFUNCTION("""COMPUTED_VALUE"""),18971)</f>
        <v>18971</v>
      </c>
      <c r="B730" s="86">
        <f ca="1">IFERROR(__xludf.DUMMYFUNCTION("""COMPUTED_VALUE"""),45088.9301504629)</f>
        <v>45088.930150462897</v>
      </c>
      <c r="C730" s="1" t="str">
        <f ca="1">IFERROR(__xludf.DUMMYFUNCTION("""COMPUTED_VALUE"""),"completed")</f>
        <v>completed</v>
      </c>
      <c r="D730" s="26">
        <f ca="1">IFERROR(__xludf.DUMMYFUNCTION("""COMPUTED_VALUE"""),71)</f>
        <v>71</v>
      </c>
      <c r="E730" s="1"/>
      <c r="F730" s="87" t="str">
        <f t="shared" ca="1" si="0"/>
        <v>2023</v>
      </c>
      <c r="G730" s="1" t="str">
        <f ca="1">IFERROR(__xludf.DUMMYFUNCTION("""COMPUTED_VALUE"""),"South Point Stars")</f>
        <v>South Point Stars</v>
      </c>
      <c r="H730" s="26">
        <f t="shared" ca="1" si="1"/>
        <v>71</v>
      </c>
      <c r="I730" s="26">
        <f t="shared" ca="1" si="2"/>
        <v>1</v>
      </c>
      <c r="J730" s="86">
        <f t="shared" ca="1" si="3"/>
        <v>45088</v>
      </c>
      <c r="R730" s="26"/>
    </row>
    <row r="731" spans="1:18" ht="15.75" customHeight="1">
      <c r="A731" s="26">
        <f ca="1">IFERROR(__xludf.DUMMYFUNCTION("""COMPUTED_VALUE"""),18970)</f>
        <v>18970</v>
      </c>
      <c r="B731" s="86">
        <f ca="1">IFERROR(__xludf.DUMMYFUNCTION("""COMPUTED_VALUE"""),45088.5435532407)</f>
        <v>45088.543553240699</v>
      </c>
      <c r="C731" s="1" t="str">
        <f ca="1">IFERROR(__xludf.DUMMYFUNCTION("""COMPUTED_VALUE"""),"completed")</f>
        <v>completed</v>
      </c>
      <c r="D731" s="26">
        <f ca="1">IFERROR(__xludf.DUMMYFUNCTION("""COMPUTED_VALUE"""),25)</f>
        <v>25</v>
      </c>
      <c r="E731" s="1"/>
      <c r="F731" s="87" t="str">
        <f t="shared" ca="1" si="0"/>
        <v>2023</v>
      </c>
      <c r="G731" s="1" t="str">
        <f ca="1">IFERROR(__xludf.DUMMYFUNCTION("""COMPUTED_VALUE"""),"South Point Stars")</f>
        <v>South Point Stars</v>
      </c>
      <c r="H731" s="26">
        <f t="shared" ca="1" si="1"/>
        <v>25</v>
      </c>
      <c r="I731" s="26">
        <f t="shared" ca="1" si="2"/>
        <v>1</v>
      </c>
      <c r="J731" s="86">
        <f t="shared" ca="1" si="3"/>
        <v>45088</v>
      </c>
      <c r="R731" s="26"/>
    </row>
    <row r="732" spans="1:18" ht="15.75" customHeight="1">
      <c r="A732" s="26">
        <f ca="1">IFERROR(__xludf.DUMMYFUNCTION("""COMPUTED_VALUE"""),18969)</f>
        <v>18969</v>
      </c>
      <c r="B732" s="86">
        <f ca="1">IFERROR(__xludf.DUMMYFUNCTION("""COMPUTED_VALUE"""),45087.7358912037)</f>
        <v>45087.735891203702</v>
      </c>
      <c r="C732" s="1" t="str">
        <f ca="1">IFERROR(__xludf.DUMMYFUNCTION("""COMPUTED_VALUE"""),"completed")</f>
        <v>completed</v>
      </c>
      <c r="D732" s="26">
        <f ca="1">IFERROR(__xludf.DUMMYFUNCTION("""COMPUTED_VALUE"""),25)</f>
        <v>25</v>
      </c>
      <c r="E732" s="1"/>
      <c r="F732" s="87" t="str">
        <f t="shared" ca="1" si="0"/>
        <v>2023</v>
      </c>
      <c r="G732" s="1" t="str">
        <f ca="1">IFERROR(__xludf.DUMMYFUNCTION("""COMPUTED_VALUE"""),"W.M.H.A")</f>
        <v>W.M.H.A</v>
      </c>
      <c r="H732" s="26">
        <f t="shared" ca="1" si="1"/>
        <v>25</v>
      </c>
      <c r="I732" s="26">
        <f t="shared" ca="1" si="2"/>
        <v>1</v>
      </c>
      <c r="J732" s="86">
        <f t="shared" ca="1" si="3"/>
        <v>45087</v>
      </c>
      <c r="R732" s="26"/>
    </row>
    <row r="733" spans="1:18" ht="15.75" customHeight="1">
      <c r="A733" s="26">
        <f ca="1">IFERROR(__xludf.DUMMYFUNCTION("""COMPUTED_VALUE"""),18968)</f>
        <v>18968</v>
      </c>
      <c r="B733" s="86">
        <f ca="1">IFERROR(__xludf.DUMMYFUNCTION("""COMPUTED_VALUE"""),45087.6015277777)</f>
        <v>45087.601527777697</v>
      </c>
      <c r="C733" s="1" t="str">
        <f ca="1">IFERROR(__xludf.DUMMYFUNCTION("""COMPUTED_VALUE"""),"completed")</f>
        <v>completed</v>
      </c>
      <c r="D733" s="26">
        <f ca="1">IFERROR(__xludf.DUMMYFUNCTION("""COMPUTED_VALUE"""),28)</f>
        <v>28</v>
      </c>
      <c r="E733" s="1"/>
      <c r="F733" s="87" t="str">
        <f t="shared" ca="1" si="0"/>
        <v>2023</v>
      </c>
      <c r="G733" s="1" t="str">
        <f ca="1">IFERROR(__xludf.DUMMYFUNCTION("""COMPUTED_VALUE"""),"W.M.H.A")</f>
        <v>W.M.H.A</v>
      </c>
      <c r="H733" s="26">
        <f t="shared" ca="1" si="1"/>
        <v>28</v>
      </c>
      <c r="I733" s="26">
        <f t="shared" ca="1" si="2"/>
        <v>1</v>
      </c>
      <c r="J733" s="86">
        <f t="shared" ca="1" si="3"/>
        <v>45087</v>
      </c>
      <c r="R733" s="26"/>
    </row>
    <row r="734" spans="1:18" ht="15.75" customHeight="1">
      <c r="A734" s="26">
        <f ca="1">IFERROR(__xludf.DUMMYFUNCTION("""COMPUTED_VALUE"""),18967)</f>
        <v>18967</v>
      </c>
      <c r="B734" s="86">
        <f ca="1">IFERROR(__xludf.DUMMYFUNCTION("""COMPUTED_VALUE"""),45087.5996064814)</f>
        <v>45087.599606481403</v>
      </c>
      <c r="C734" s="1" t="str">
        <f ca="1">IFERROR(__xludf.DUMMYFUNCTION("""COMPUTED_VALUE"""),"completed")</f>
        <v>completed</v>
      </c>
      <c r="D734" s="26">
        <f ca="1">IFERROR(__xludf.DUMMYFUNCTION("""COMPUTED_VALUE"""),28)</f>
        <v>28</v>
      </c>
      <c r="E734" s="1"/>
      <c r="F734" s="87" t="str">
        <f t="shared" ca="1" si="0"/>
        <v>2023</v>
      </c>
      <c r="G734" s="1" t="str">
        <f ca="1">IFERROR(__xludf.DUMMYFUNCTION("""COMPUTED_VALUE"""),"South Point Stars")</f>
        <v>South Point Stars</v>
      </c>
      <c r="H734" s="26">
        <f t="shared" ca="1" si="1"/>
        <v>28</v>
      </c>
      <c r="I734" s="26">
        <f t="shared" ca="1" si="2"/>
        <v>1</v>
      </c>
      <c r="J734" s="86">
        <f t="shared" ca="1" si="3"/>
        <v>45087</v>
      </c>
      <c r="R734" s="26"/>
    </row>
    <row r="735" spans="1:18" ht="15.75" customHeight="1">
      <c r="A735" s="26">
        <f ca="1">IFERROR(__xludf.DUMMYFUNCTION("""COMPUTED_VALUE"""),18966)</f>
        <v>18966</v>
      </c>
      <c r="B735" s="86">
        <f ca="1">IFERROR(__xludf.DUMMYFUNCTION("""COMPUTED_VALUE"""),45087.5977777777)</f>
        <v>45087.597777777701</v>
      </c>
      <c r="C735" s="1" t="str">
        <f ca="1">IFERROR(__xludf.DUMMYFUNCTION("""COMPUTED_VALUE"""),"completed")</f>
        <v>completed</v>
      </c>
      <c r="D735" s="26">
        <f ca="1">IFERROR(__xludf.DUMMYFUNCTION("""COMPUTED_VALUE"""),28)</f>
        <v>28</v>
      </c>
      <c r="E735" s="1"/>
      <c r="F735" s="87" t="str">
        <f t="shared" ca="1" si="0"/>
        <v>2023</v>
      </c>
      <c r="G735" s="1" t="str">
        <f ca="1">IFERROR(__xludf.DUMMYFUNCTION("""COMPUTED_VALUE"""),"South Point Stars")</f>
        <v>South Point Stars</v>
      </c>
      <c r="H735" s="26">
        <f t="shared" ca="1" si="1"/>
        <v>28</v>
      </c>
      <c r="I735" s="26">
        <f t="shared" ca="1" si="2"/>
        <v>1</v>
      </c>
      <c r="J735" s="86">
        <f t="shared" ca="1" si="3"/>
        <v>45087</v>
      </c>
      <c r="R735" s="26"/>
    </row>
    <row r="736" spans="1:18" ht="15.75" customHeight="1">
      <c r="A736" s="26">
        <f ca="1">IFERROR(__xludf.DUMMYFUNCTION("""COMPUTED_VALUE"""),18965)</f>
        <v>18965</v>
      </c>
      <c r="B736" s="86">
        <f ca="1">IFERROR(__xludf.DUMMYFUNCTION("""COMPUTED_VALUE"""),45086.8025925925)</f>
        <v>45086.802592592503</v>
      </c>
      <c r="C736" s="1" t="str">
        <f ca="1">IFERROR(__xludf.DUMMYFUNCTION("""COMPUTED_VALUE"""),"completed")</f>
        <v>completed</v>
      </c>
      <c r="D736" s="26">
        <f ca="1">IFERROR(__xludf.DUMMYFUNCTION("""COMPUTED_VALUE"""),20)</f>
        <v>20</v>
      </c>
      <c r="E736" s="1"/>
      <c r="F736" s="87" t="str">
        <f t="shared" ca="1" si="0"/>
        <v>2023</v>
      </c>
      <c r="G736" s="1" t="str">
        <f ca="1">IFERROR(__xludf.DUMMYFUNCTION("""COMPUTED_VALUE"""),"W.M.H.A")</f>
        <v>W.M.H.A</v>
      </c>
      <c r="H736" s="26">
        <f t="shared" ca="1" si="1"/>
        <v>20</v>
      </c>
      <c r="I736" s="26">
        <f t="shared" ca="1" si="2"/>
        <v>1</v>
      </c>
      <c r="J736" s="86">
        <f t="shared" ca="1" si="3"/>
        <v>45086</v>
      </c>
      <c r="R736" s="26"/>
    </row>
    <row r="737" spans="1:18" ht="15.75" customHeight="1">
      <c r="A737" s="26">
        <f ca="1">IFERROR(__xludf.DUMMYFUNCTION("""COMPUTED_VALUE"""),18964)</f>
        <v>18964</v>
      </c>
      <c r="B737" s="86">
        <f ca="1">IFERROR(__xludf.DUMMYFUNCTION("""COMPUTED_VALUE"""),45086.770949074)</f>
        <v>45086.770949074002</v>
      </c>
      <c r="C737" s="1" t="str">
        <f ca="1">IFERROR(__xludf.DUMMYFUNCTION("""COMPUTED_VALUE"""),"completed")</f>
        <v>completed</v>
      </c>
      <c r="D737" s="26">
        <f ca="1">IFERROR(__xludf.DUMMYFUNCTION("""COMPUTED_VALUE"""),20)</f>
        <v>20</v>
      </c>
      <c r="E737" s="1"/>
      <c r="F737" s="87" t="str">
        <f t="shared" ca="1" si="0"/>
        <v>2023</v>
      </c>
      <c r="G737" s="1" t="str">
        <f ca="1">IFERROR(__xludf.DUMMYFUNCTION("""COMPUTED_VALUE"""),"W.M.H.A")</f>
        <v>W.M.H.A</v>
      </c>
      <c r="H737" s="26">
        <f t="shared" ca="1" si="1"/>
        <v>20</v>
      </c>
      <c r="I737" s="26">
        <f t="shared" ca="1" si="2"/>
        <v>1</v>
      </c>
      <c r="J737" s="86">
        <f t="shared" ca="1" si="3"/>
        <v>45086</v>
      </c>
      <c r="R737" s="26"/>
    </row>
    <row r="738" spans="1:18" ht="15.75" customHeight="1">
      <c r="A738" s="26">
        <f ca="1">IFERROR(__xludf.DUMMYFUNCTION("""COMPUTED_VALUE"""),18963)</f>
        <v>18963</v>
      </c>
      <c r="B738" s="86">
        <f ca="1">IFERROR(__xludf.DUMMYFUNCTION("""COMPUTED_VALUE"""),45086.5673379629)</f>
        <v>45086.567337962901</v>
      </c>
      <c r="C738" s="1" t="str">
        <f ca="1">IFERROR(__xludf.DUMMYFUNCTION("""COMPUTED_VALUE"""),"completed")</f>
        <v>completed</v>
      </c>
      <c r="D738" s="26">
        <f ca="1">IFERROR(__xludf.DUMMYFUNCTION("""COMPUTED_VALUE"""),20)</f>
        <v>20</v>
      </c>
      <c r="E738" s="1"/>
      <c r="F738" s="87" t="str">
        <f t="shared" ca="1" si="0"/>
        <v>2023</v>
      </c>
      <c r="G738" s="1" t="str">
        <f ca="1">IFERROR(__xludf.DUMMYFUNCTION("""COMPUTED_VALUE"""),"W.M.H.A")</f>
        <v>W.M.H.A</v>
      </c>
      <c r="H738" s="26">
        <f t="shared" ca="1" si="1"/>
        <v>20</v>
      </c>
      <c r="I738" s="26">
        <f t="shared" ca="1" si="2"/>
        <v>1</v>
      </c>
      <c r="J738" s="86">
        <f t="shared" ca="1" si="3"/>
        <v>45086</v>
      </c>
      <c r="R738" s="26"/>
    </row>
    <row r="739" spans="1:18" ht="15.75" customHeight="1">
      <c r="A739" s="26">
        <f ca="1">IFERROR(__xludf.DUMMYFUNCTION("""COMPUTED_VALUE"""),18962)</f>
        <v>18962</v>
      </c>
      <c r="B739" s="86">
        <f ca="1">IFERROR(__xludf.DUMMYFUNCTION("""COMPUTED_VALUE"""),45086.5634027777)</f>
        <v>45086.563402777698</v>
      </c>
      <c r="C739" s="1" t="str">
        <f ca="1">IFERROR(__xludf.DUMMYFUNCTION("""COMPUTED_VALUE"""),"completed")</f>
        <v>completed</v>
      </c>
      <c r="D739" s="26">
        <f ca="1">IFERROR(__xludf.DUMMYFUNCTION("""COMPUTED_VALUE"""),25)</f>
        <v>25</v>
      </c>
      <c r="E739" s="1"/>
      <c r="F739" s="87" t="str">
        <f t="shared" ca="1" si="0"/>
        <v>2023</v>
      </c>
      <c r="G739" s="1" t="str">
        <f ca="1">IFERROR(__xludf.DUMMYFUNCTION("""COMPUTED_VALUE"""),"W.M.H.A")</f>
        <v>W.M.H.A</v>
      </c>
      <c r="H739" s="26">
        <f t="shared" ca="1" si="1"/>
        <v>25</v>
      </c>
      <c r="I739" s="26">
        <f t="shared" ca="1" si="2"/>
        <v>1</v>
      </c>
      <c r="J739" s="86">
        <f t="shared" ca="1" si="3"/>
        <v>45086</v>
      </c>
      <c r="R739" s="26"/>
    </row>
    <row r="740" spans="1:18" ht="15.75" customHeight="1">
      <c r="A740" s="26">
        <f ca="1">IFERROR(__xludf.DUMMYFUNCTION("""COMPUTED_VALUE"""),18961)</f>
        <v>18961</v>
      </c>
      <c r="B740" s="86">
        <f ca="1">IFERROR(__xludf.DUMMYFUNCTION("""COMPUTED_VALUE"""),45086.1748842592)</f>
        <v>45086.174884259199</v>
      </c>
      <c r="C740" s="1" t="str">
        <f ca="1">IFERROR(__xludf.DUMMYFUNCTION("""COMPUTED_VALUE"""),"completed")</f>
        <v>completed</v>
      </c>
      <c r="D740" s="26">
        <f ca="1">IFERROR(__xludf.DUMMYFUNCTION("""COMPUTED_VALUE"""),26)</f>
        <v>26</v>
      </c>
      <c r="E740" s="1"/>
      <c r="F740" s="87" t="str">
        <f t="shared" ca="1" si="0"/>
        <v>2023</v>
      </c>
      <c r="G740" s="1" t="str">
        <f ca="1">IFERROR(__xludf.DUMMYFUNCTION("""COMPUTED_VALUE"""),"W.M.H.A")</f>
        <v>W.M.H.A</v>
      </c>
      <c r="H740" s="26">
        <f t="shared" ca="1" si="1"/>
        <v>26</v>
      </c>
      <c r="I740" s="26">
        <f t="shared" ca="1" si="2"/>
        <v>1</v>
      </c>
      <c r="J740" s="86">
        <f t="shared" ca="1" si="3"/>
        <v>45086</v>
      </c>
      <c r="R740" s="26"/>
    </row>
    <row r="741" spans="1:18" ht="15.75" customHeight="1">
      <c r="A741" s="26">
        <f ca="1">IFERROR(__xludf.DUMMYFUNCTION("""COMPUTED_VALUE"""),18960)</f>
        <v>18960</v>
      </c>
      <c r="B741" s="86">
        <f ca="1">IFERROR(__xludf.DUMMYFUNCTION("""COMPUTED_VALUE"""),45086.1732407407)</f>
        <v>45086.173240740703</v>
      </c>
      <c r="C741" s="1" t="str">
        <f ca="1">IFERROR(__xludf.DUMMYFUNCTION("""COMPUTED_VALUE"""),"completed")</f>
        <v>completed</v>
      </c>
      <c r="D741" s="26">
        <f ca="1">IFERROR(__xludf.DUMMYFUNCTION("""COMPUTED_VALUE"""),26)</f>
        <v>26</v>
      </c>
      <c r="E741" s="1"/>
      <c r="F741" s="87" t="str">
        <f t="shared" ca="1" si="0"/>
        <v>2023</v>
      </c>
      <c r="G741" s="1" t="str">
        <f ca="1">IFERROR(__xludf.DUMMYFUNCTION("""COMPUTED_VALUE"""),"W.M.H.A")</f>
        <v>W.M.H.A</v>
      </c>
      <c r="H741" s="26">
        <f t="shared" ca="1" si="1"/>
        <v>26</v>
      </c>
      <c r="I741" s="26">
        <f t="shared" ca="1" si="2"/>
        <v>1</v>
      </c>
      <c r="J741" s="86">
        <f t="shared" ca="1" si="3"/>
        <v>45086</v>
      </c>
      <c r="R741" s="26"/>
    </row>
    <row r="742" spans="1:18" ht="15.75" customHeight="1">
      <c r="A742" s="26">
        <f ca="1">IFERROR(__xludf.DUMMYFUNCTION("""COMPUTED_VALUE"""),18959)</f>
        <v>18959</v>
      </c>
      <c r="B742" s="86">
        <f ca="1">IFERROR(__xludf.DUMMYFUNCTION("""COMPUTED_VALUE"""),45086.0895138888)</f>
        <v>45086.089513888801</v>
      </c>
      <c r="C742" s="1" t="str">
        <f ca="1">IFERROR(__xludf.DUMMYFUNCTION("""COMPUTED_VALUE"""),"completed")</f>
        <v>completed</v>
      </c>
      <c r="D742" s="26">
        <f ca="1">IFERROR(__xludf.DUMMYFUNCTION("""COMPUTED_VALUE"""),48)</f>
        <v>48</v>
      </c>
      <c r="E742" s="1"/>
      <c r="F742" s="87" t="str">
        <f t="shared" ca="1" si="0"/>
        <v>2023</v>
      </c>
      <c r="G742" s="1" t="str">
        <f ca="1">IFERROR(__xludf.DUMMYFUNCTION("""COMPUTED_VALUE"""),"W.M.H.A")</f>
        <v>W.M.H.A</v>
      </c>
      <c r="H742" s="26">
        <f t="shared" ca="1" si="1"/>
        <v>48</v>
      </c>
      <c r="I742" s="26">
        <f t="shared" ca="1" si="2"/>
        <v>1</v>
      </c>
      <c r="J742" s="86">
        <f t="shared" ca="1" si="3"/>
        <v>45086</v>
      </c>
      <c r="R742" s="26"/>
    </row>
    <row r="743" spans="1:18" ht="15.75" customHeight="1">
      <c r="A743" s="26">
        <f ca="1">IFERROR(__xludf.DUMMYFUNCTION("""COMPUTED_VALUE"""),18958)</f>
        <v>18958</v>
      </c>
      <c r="B743" s="86">
        <f ca="1">IFERROR(__xludf.DUMMYFUNCTION("""COMPUTED_VALUE"""),45085.996261574)</f>
        <v>45085.996261574001</v>
      </c>
      <c r="C743" s="1" t="str">
        <f ca="1">IFERROR(__xludf.DUMMYFUNCTION("""COMPUTED_VALUE"""),"completed")</f>
        <v>completed</v>
      </c>
      <c r="D743" s="26">
        <f ca="1">IFERROR(__xludf.DUMMYFUNCTION("""COMPUTED_VALUE"""),42)</f>
        <v>42</v>
      </c>
      <c r="E743" s="1"/>
      <c r="F743" s="87" t="str">
        <f t="shared" ca="1" si="0"/>
        <v>2023</v>
      </c>
      <c r="G743" s="1" t="str">
        <f ca="1">IFERROR(__xludf.DUMMYFUNCTION("""COMPUTED_VALUE"""),"W.M.H.A")</f>
        <v>W.M.H.A</v>
      </c>
      <c r="H743" s="26">
        <f t="shared" ca="1" si="1"/>
        <v>42</v>
      </c>
      <c r="I743" s="26">
        <f t="shared" ca="1" si="2"/>
        <v>1</v>
      </c>
      <c r="J743" s="86">
        <f t="shared" ca="1" si="3"/>
        <v>45085</v>
      </c>
      <c r="R743" s="26"/>
    </row>
    <row r="744" spans="1:18" ht="15.75" customHeight="1">
      <c r="A744" s="26">
        <f ca="1">IFERROR(__xludf.DUMMYFUNCTION("""COMPUTED_VALUE"""),18957)</f>
        <v>18957</v>
      </c>
      <c r="B744" s="86">
        <f ca="1">IFERROR(__xludf.DUMMYFUNCTION("""COMPUTED_VALUE"""),45085.991724537)</f>
        <v>45085.991724537002</v>
      </c>
      <c r="C744" s="1" t="str">
        <f ca="1">IFERROR(__xludf.DUMMYFUNCTION("""COMPUTED_VALUE"""),"completed")</f>
        <v>completed</v>
      </c>
      <c r="D744" s="26">
        <f ca="1">IFERROR(__xludf.DUMMYFUNCTION("""COMPUTED_VALUE"""),42)</f>
        <v>42</v>
      </c>
      <c r="E744" s="1"/>
      <c r="F744" s="87" t="str">
        <f t="shared" ca="1" si="0"/>
        <v>2023</v>
      </c>
      <c r="G744" s="1" t="str">
        <f ca="1">IFERROR(__xludf.DUMMYFUNCTION("""COMPUTED_VALUE"""),"W.M.H.A")</f>
        <v>W.M.H.A</v>
      </c>
      <c r="H744" s="26">
        <f t="shared" ca="1" si="1"/>
        <v>42</v>
      </c>
      <c r="I744" s="26">
        <f t="shared" ca="1" si="2"/>
        <v>1</v>
      </c>
      <c r="J744" s="86">
        <f t="shared" ca="1" si="3"/>
        <v>45085</v>
      </c>
      <c r="R744" s="26"/>
    </row>
    <row r="745" spans="1:18" ht="15.75" customHeight="1">
      <c r="A745" s="26">
        <f ca="1">IFERROR(__xludf.DUMMYFUNCTION("""COMPUTED_VALUE"""),18956)</f>
        <v>18956</v>
      </c>
      <c r="B745" s="86">
        <f ca="1">IFERROR(__xludf.DUMMYFUNCTION("""COMPUTED_VALUE"""),45085.8524768518)</f>
        <v>45085.852476851796</v>
      </c>
      <c r="C745" s="1" t="str">
        <f ca="1">IFERROR(__xludf.DUMMYFUNCTION("""COMPUTED_VALUE"""),"completed")</f>
        <v>completed</v>
      </c>
      <c r="D745" s="26">
        <f ca="1">IFERROR(__xludf.DUMMYFUNCTION("""COMPUTED_VALUE"""),22)</f>
        <v>22</v>
      </c>
      <c r="E745" s="1"/>
      <c r="F745" s="87" t="str">
        <f t="shared" ca="1" si="0"/>
        <v>2023</v>
      </c>
      <c r="G745" s="1" t="str">
        <f ca="1">IFERROR(__xludf.DUMMYFUNCTION("""COMPUTED_VALUE"""),"W.M.H.A")</f>
        <v>W.M.H.A</v>
      </c>
      <c r="H745" s="26">
        <f t="shared" ca="1" si="1"/>
        <v>22</v>
      </c>
      <c r="I745" s="26">
        <f t="shared" ca="1" si="2"/>
        <v>1</v>
      </c>
      <c r="J745" s="86">
        <f t="shared" ca="1" si="3"/>
        <v>45085</v>
      </c>
      <c r="R745" s="26"/>
    </row>
    <row r="746" spans="1:18" ht="15.75" customHeight="1">
      <c r="A746" s="26">
        <f ca="1">IFERROR(__xludf.DUMMYFUNCTION("""COMPUTED_VALUE"""),18955)</f>
        <v>18955</v>
      </c>
      <c r="B746" s="86">
        <f ca="1">IFERROR(__xludf.DUMMYFUNCTION("""COMPUTED_VALUE"""),45085.8460185185)</f>
        <v>45085.846018518503</v>
      </c>
      <c r="C746" s="1" t="str">
        <f ca="1">IFERROR(__xludf.DUMMYFUNCTION("""COMPUTED_VALUE"""),"completed")</f>
        <v>completed</v>
      </c>
      <c r="D746" s="26">
        <f ca="1">IFERROR(__xludf.DUMMYFUNCTION("""COMPUTED_VALUE"""),42)</f>
        <v>42</v>
      </c>
      <c r="E746" s="1"/>
      <c r="F746" s="87" t="str">
        <f t="shared" ca="1" si="0"/>
        <v>2023</v>
      </c>
      <c r="G746" s="1" t="str">
        <f ca="1">IFERROR(__xludf.DUMMYFUNCTION("""COMPUTED_VALUE"""),"W.M.H.A")</f>
        <v>W.M.H.A</v>
      </c>
      <c r="H746" s="26">
        <f t="shared" ca="1" si="1"/>
        <v>42</v>
      </c>
      <c r="I746" s="26">
        <f t="shared" ca="1" si="2"/>
        <v>1</v>
      </c>
      <c r="J746" s="86">
        <f t="shared" ca="1" si="3"/>
        <v>45085</v>
      </c>
      <c r="R746" s="26"/>
    </row>
    <row r="747" spans="1:18" ht="15.75" customHeight="1">
      <c r="A747" s="26">
        <f ca="1">IFERROR(__xludf.DUMMYFUNCTION("""COMPUTED_VALUE"""),18954)</f>
        <v>18954</v>
      </c>
      <c r="B747" s="86">
        <f ca="1">IFERROR(__xludf.DUMMYFUNCTION("""COMPUTED_VALUE"""),45085.084537037)</f>
        <v>45085.084537037001</v>
      </c>
      <c r="C747" s="1" t="str">
        <f ca="1">IFERROR(__xludf.DUMMYFUNCTION("""COMPUTED_VALUE"""),"completed")</f>
        <v>completed</v>
      </c>
      <c r="D747" s="26">
        <f ca="1">IFERROR(__xludf.DUMMYFUNCTION("""COMPUTED_VALUE"""),28)</f>
        <v>28</v>
      </c>
      <c r="E747" s="1"/>
      <c r="F747" s="87" t="str">
        <f t="shared" ca="1" si="0"/>
        <v>2023</v>
      </c>
      <c r="G747" s="1" t="str">
        <f ca="1">IFERROR(__xludf.DUMMYFUNCTION("""COMPUTED_VALUE"""),"W.M.H.A")</f>
        <v>W.M.H.A</v>
      </c>
      <c r="H747" s="26">
        <f t="shared" ca="1" si="1"/>
        <v>28</v>
      </c>
      <c r="I747" s="26">
        <f t="shared" ca="1" si="2"/>
        <v>1</v>
      </c>
      <c r="J747" s="86">
        <f t="shared" ca="1" si="3"/>
        <v>45085</v>
      </c>
      <c r="R747" s="26"/>
    </row>
    <row r="748" spans="1:18" ht="15.75" customHeight="1">
      <c r="A748" s="26">
        <f ca="1">IFERROR(__xludf.DUMMYFUNCTION("""COMPUTED_VALUE"""),18953)</f>
        <v>18953</v>
      </c>
      <c r="B748" s="86">
        <f ca="1">IFERROR(__xludf.DUMMYFUNCTION("""COMPUTED_VALUE"""),45085.0525347222)</f>
        <v>45085.052534722199</v>
      </c>
      <c r="C748" s="1" t="str">
        <f ca="1">IFERROR(__xludf.DUMMYFUNCTION("""COMPUTED_VALUE"""),"completed")</f>
        <v>completed</v>
      </c>
      <c r="D748" s="26">
        <f ca="1">IFERROR(__xludf.DUMMYFUNCTION("""COMPUTED_VALUE"""),20)</f>
        <v>20</v>
      </c>
      <c r="E748" s="1"/>
      <c r="F748" s="87" t="str">
        <f t="shared" ca="1" si="0"/>
        <v>2023</v>
      </c>
      <c r="G748" s="1" t="str">
        <f ca="1">IFERROR(__xludf.DUMMYFUNCTION("""COMPUTED_VALUE"""),"W.M.H.A")</f>
        <v>W.M.H.A</v>
      </c>
      <c r="H748" s="26">
        <f t="shared" ca="1" si="1"/>
        <v>20</v>
      </c>
      <c r="I748" s="26">
        <f t="shared" ca="1" si="2"/>
        <v>1</v>
      </c>
      <c r="J748" s="86">
        <f t="shared" ca="1" si="3"/>
        <v>45085</v>
      </c>
      <c r="R748" s="26"/>
    </row>
    <row r="749" spans="1:18" ht="15.75" customHeight="1">
      <c r="A749" s="26">
        <f ca="1">IFERROR(__xludf.DUMMYFUNCTION("""COMPUTED_VALUE"""),18952)</f>
        <v>18952</v>
      </c>
      <c r="B749" s="86">
        <f ca="1">IFERROR(__xludf.DUMMYFUNCTION("""COMPUTED_VALUE"""),45085.050636574)</f>
        <v>45085.050636574</v>
      </c>
      <c r="C749" s="1" t="str">
        <f ca="1">IFERROR(__xludf.DUMMYFUNCTION("""COMPUTED_VALUE"""),"completed")</f>
        <v>completed</v>
      </c>
      <c r="D749" s="26">
        <f ca="1">IFERROR(__xludf.DUMMYFUNCTION("""COMPUTED_VALUE"""),40)</f>
        <v>40</v>
      </c>
      <c r="E749" s="1"/>
      <c r="F749" s="87" t="str">
        <f t="shared" ca="1" si="0"/>
        <v>2023</v>
      </c>
      <c r="G749" s="1" t="str">
        <f ca="1">IFERROR(__xludf.DUMMYFUNCTION("""COMPUTED_VALUE"""),"W.M.H.A")</f>
        <v>W.M.H.A</v>
      </c>
      <c r="H749" s="26">
        <f t="shared" ca="1" si="1"/>
        <v>40</v>
      </c>
      <c r="I749" s="26">
        <f t="shared" ca="1" si="2"/>
        <v>1</v>
      </c>
      <c r="J749" s="86">
        <f t="shared" ca="1" si="3"/>
        <v>45085</v>
      </c>
      <c r="R749" s="26"/>
    </row>
    <row r="750" spans="1:18" ht="15.75" customHeight="1">
      <c r="A750" s="26">
        <f ca="1">IFERROR(__xludf.DUMMYFUNCTION("""COMPUTED_VALUE"""),18951)</f>
        <v>18951</v>
      </c>
      <c r="B750" s="86">
        <f ca="1">IFERROR(__xludf.DUMMYFUNCTION("""COMPUTED_VALUE"""),45085.0412731481)</f>
        <v>45085.041273148097</v>
      </c>
      <c r="C750" s="1" t="str">
        <f ca="1">IFERROR(__xludf.DUMMYFUNCTION("""COMPUTED_VALUE"""),"completed")</f>
        <v>completed</v>
      </c>
      <c r="D750" s="26">
        <f ca="1">IFERROR(__xludf.DUMMYFUNCTION("""COMPUTED_VALUE"""),28)</f>
        <v>28</v>
      </c>
      <c r="E750" s="1"/>
      <c r="F750" s="87" t="str">
        <f t="shared" ca="1" si="0"/>
        <v>2023</v>
      </c>
      <c r="G750" s="1" t="str">
        <f ca="1">IFERROR(__xludf.DUMMYFUNCTION("""COMPUTED_VALUE"""),"W.M.H.A")</f>
        <v>W.M.H.A</v>
      </c>
      <c r="H750" s="26">
        <f t="shared" ca="1" si="1"/>
        <v>28</v>
      </c>
      <c r="I750" s="26">
        <f t="shared" ca="1" si="2"/>
        <v>1</v>
      </c>
      <c r="J750" s="86">
        <f t="shared" ca="1" si="3"/>
        <v>45085</v>
      </c>
      <c r="R750" s="26"/>
    </row>
    <row r="751" spans="1:18" ht="15.75" customHeight="1">
      <c r="A751" s="26">
        <f ca="1">IFERROR(__xludf.DUMMYFUNCTION("""COMPUTED_VALUE"""),18950)</f>
        <v>18950</v>
      </c>
      <c r="B751" s="86">
        <f ca="1">IFERROR(__xludf.DUMMYFUNCTION("""COMPUTED_VALUE"""),45084.9805092592)</f>
        <v>45084.9805092592</v>
      </c>
      <c r="C751" s="1" t="str">
        <f ca="1">IFERROR(__xludf.DUMMYFUNCTION("""COMPUTED_VALUE"""),"completed")</f>
        <v>completed</v>
      </c>
      <c r="D751" s="26">
        <f ca="1">IFERROR(__xludf.DUMMYFUNCTION("""COMPUTED_VALUE"""),53)</f>
        <v>53</v>
      </c>
      <c r="E751" s="1"/>
      <c r="F751" s="87" t="str">
        <f t="shared" ca="1" si="0"/>
        <v>2023</v>
      </c>
      <c r="G751" s="1" t="str">
        <f ca="1">IFERROR(__xludf.DUMMYFUNCTION("""COMPUTED_VALUE"""),"W.M.H.A")</f>
        <v>W.M.H.A</v>
      </c>
      <c r="H751" s="26">
        <f t="shared" ca="1" si="1"/>
        <v>53</v>
      </c>
      <c r="I751" s="26">
        <f t="shared" ca="1" si="2"/>
        <v>1</v>
      </c>
      <c r="J751" s="86">
        <f t="shared" ca="1" si="3"/>
        <v>45084</v>
      </c>
      <c r="R751" s="26"/>
    </row>
    <row r="752" spans="1:18" ht="15.75" customHeight="1">
      <c r="A752" s="26">
        <f ca="1">IFERROR(__xludf.DUMMYFUNCTION("""COMPUTED_VALUE"""),18949)</f>
        <v>18949</v>
      </c>
      <c r="B752" s="86">
        <f ca="1">IFERROR(__xludf.DUMMYFUNCTION("""COMPUTED_VALUE"""),45084.9786458333)</f>
        <v>45084.978645833296</v>
      </c>
      <c r="C752" s="1" t="str">
        <f ca="1">IFERROR(__xludf.DUMMYFUNCTION("""COMPUTED_VALUE"""),"completed")</f>
        <v>completed</v>
      </c>
      <c r="D752" s="26">
        <f ca="1">IFERROR(__xludf.DUMMYFUNCTION("""COMPUTED_VALUE"""),53)</f>
        <v>53</v>
      </c>
      <c r="E752" s="1"/>
      <c r="F752" s="87" t="str">
        <f t="shared" ca="1" si="0"/>
        <v>2023</v>
      </c>
      <c r="G752" s="1" t="str">
        <f ca="1">IFERROR(__xludf.DUMMYFUNCTION("""COMPUTED_VALUE"""),"W.M.H.A")</f>
        <v>W.M.H.A</v>
      </c>
      <c r="H752" s="26">
        <f t="shared" ca="1" si="1"/>
        <v>53</v>
      </c>
      <c r="I752" s="26">
        <f t="shared" ca="1" si="2"/>
        <v>1</v>
      </c>
      <c r="J752" s="86">
        <f t="shared" ca="1" si="3"/>
        <v>45084</v>
      </c>
      <c r="R752" s="26"/>
    </row>
    <row r="753" spans="1:18" ht="15.75" customHeight="1">
      <c r="A753" s="26">
        <f ca="1">IFERROR(__xludf.DUMMYFUNCTION("""COMPUTED_VALUE"""),18948)</f>
        <v>18948</v>
      </c>
      <c r="B753" s="86">
        <f ca="1">IFERROR(__xludf.DUMMYFUNCTION("""COMPUTED_VALUE"""),45084.9568634259)</f>
        <v>45084.956863425898</v>
      </c>
      <c r="C753" s="1" t="str">
        <f ca="1">IFERROR(__xludf.DUMMYFUNCTION("""COMPUTED_VALUE"""),"completed")</f>
        <v>completed</v>
      </c>
      <c r="D753" s="26">
        <f ca="1">IFERROR(__xludf.DUMMYFUNCTION("""COMPUTED_VALUE"""),30)</f>
        <v>30</v>
      </c>
      <c r="E753" s="1"/>
      <c r="F753" s="87" t="str">
        <f t="shared" ca="1" si="0"/>
        <v>2023</v>
      </c>
      <c r="G753" s="1" t="str">
        <f ca="1">IFERROR(__xludf.DUMMYFUNCTION("""COMPUTED_VALUE"""),"W.M.H.A")</f>
        <v>W.M.H.A</v>
      </c>
      <c r="H753" s="26">
        <f t="shared" ca="1" si="1"/>
        <v>30</v>
      </c>
      <c r="I753" s="26">
        <f t="shared" ca="1" si="2"/>
        <v>1</v>
      </c>
      <c r="J753" s="86">
        <f t="shared" ca="1" si="3"/>
        <v>45084</v>
      </c>
      <c r="R753" s="26"/>
    </row>
    <row r="754" spans="1:18" ht="15.75" customHeight="1">
      <c r="A754" s="26">
        <f ca="1">IFERROR(__xludf.DUMMYFUNCTION("""COMPUTED_VALUE"""),18947)</f>
        <v>18947</v>
      </c>
      <c r="B754" s="86">
        <f ca="1">IFERROR(__xludf.DUMMYFUNCTION("""COMPUTED_VALUE"""),45084.9556134259)</f>
        <v>45084.955613425896</v>
      </c>
      <c r="C754" s="1" t="str">
        <f ca="1">IFERROR(__xludf.DUMMYFUNCTION("""COMPUTED_VALUE"""),"completed")</f>
        <v>completed</v>
      </c>
      <c r="D754" s="26">
        <f ca="1">IFERROR(__xludf.DUMMYFUNCTION("""COMPUTED_VALUE"""),55)</f>
        <v>55</v>
      </c>
      <c r="E754" s="1"/>
      <c r="F754" s="87" t="str">
        <f t="shared" ca="1" si="0"/>
        <v>2023</v>
      </c>
      <c r="G754" s="1" t="str">
        <f ca="1">IFERROR(__xludf.DUMMYFUNCTION("""COMPUTED_VALUE"""),"W.M.H.A")</f>
        <v>W.M.H.A</v>
      </c>
      <c r="H754" s="26">
        <f t="shared" ca="1" si="1"/>
        <v>55</v>
      </c>
      <c r="I754" s="26">
        <f t="shared" ca="1" si="2"/>
        <v>1</v>
      </c>
      <c r="J754" s="86">
        <f t="shared" ca="1" si="3"/>
        <v>45084</v>
      </c>
      <c r="R754" s="26"/>
    </row>
    <row r="755" spans="1:18" ht="15.75" customHeight="1">
      <c r="A755" s="26">
        <f ca="1">IFERROR(__xludf.DUMMYFUNCTION("""COMPUTED_VALUE"""),18946)</f>
        <v>18946</v>
      </c>
      <c r="B755" s="86">
        <f ca="1">IFERROR(__xludf.DUMMYFUNCTION("""COMPUTED_VALUE"""),45084.9530208333)</f>
        <v>45084.953020833302</v>
      </c>
      <c r="C755" s="1" t="str">
        <f ca="1">IFERROR(__xludf.DUMMYFUNCTION("""COMPUTED_VALUE"""),"completed")</f>
        <v>completed</v>
      </c>
      <c r="D755" s="26">
        <f ca="1">IFERROR(__xludf.DUMMYFUNCTION("""COMPUTED_VALUE"""),55)</f>
        <v>55</v>
      </c>
      <c r="E755" s="1"/>
      <c r="F755" s="87" t="str">
        <f t="shared" ca="1" si="0"/>
        <v>2023</v>
      </c>
      <c r="G755" s="1" t="str">
        <f ca="1">IFERROR(__xludf.DUMMYFUNCTION("""COMPUTED_VALUE"""),"W.M.H.A")</f>
        <v>W.M.H.A</v>
      </c>
      <c r="H755" s="26">
        <f t="shared" ca="1" si="1"/>
        <v>55</v>
      </c>
      <c r="I755" s="26">
        <f t="shared" ca="1" si="2"/>
        <v>1</v>
      </c>
      <c r="J755" s="86">
        <f t="shared" ca="1" si="3"/>
        <v>45084</v>
      </c>
      <c r="R755" s="26"/>
    </row>
    <row r="756" spans="1:18" ht="15.75" customHeight="1">
      <c r="A756" s="26">
        <f ca="1">IFERROR(__xludf.DUMMYFUNCTION("""COMPUTED_VALUE"""),18945)</f>
        <v>18945</v>
      </c>
      <c r="B756" s="86">
        <f ca="1">IFERROR(__xludf.DUMMYFUNCTION("""COMPUTED_VALUE"""),45084.9528935185)</f>
        <v>45084.952893518501</v>
      </c>
      <c r="C756" s="1" t="str">
        <f ca="1">IFERROR(__xludf.DUMMYFUNCTION("""COMPUTED_VALUE"""),"completed")</f>
        <v>completed</v>
      </c>
      <c r="D756" s="26">
        <f ca="1">IFERROR(__xludf.DUMMYFUNCTION("""COMPUTED_VALUE"""),15)</f>
        <v>15</v>
      </c>
      <c r="E756" s="1"/>
      <c r="F756" s="87" t="str">
        <f t="shared" ca="1" si="0"/>
        <v>2023</v>
      </c>
      <c r="G756" s="1" t="str">
        <f ca="1">IFERROR(__xludf.DUMMYFUNCTION("""COMPUTED_VALUE"""),"W.M.H.A")</f>
        <v>W.M.H.A</v>
      </c>
      <c r="H756" s="26">
        <f t="shared" ca="1" si="1"/>
        <v>15</v>
      </c>
      <c r="I756" s="26">
        <f t="shared" ca="1" si="2"/>
        <v>1</v>
      </c>
      <c r="J756" s="86">
        <f t="shared" ca="1" si="3"/>
        <v>45084</v>
      </c>
      <c r="R756" s="26"/>
    </row>
    <row r="757" spans="1:18" ht="15.75" customHeight="1">
      <c r="A757" s="26">
        <f ca="1">IFERROR(__xludf.DUMMYFUNCTION("""COMPUTED_VALUE"""),18944)</f>
        <v>18944</v>
      </c>
      <c r="B757" s="86">
        <f ca="1">IFERROR(__xludf.DUMMYFUNCTION("""COMPUTED_VALUE"""),45084.837199074)</f>
        <v>45084.837199073998</v>
      </c>
      <c r="C757" s="1" t="str">
        <f ca="1">IFERROR(__xludf.DUMMYFUNCTION("""COMPUTED_VALUE"""),"completed")</f>
        <v>completed</v>
      </c>
      <c r="D757" s="26">
        <f ca="1">IFERROR(__xludf.DUMMYFUNCTION("""COMPUTED_VALUE"""),25)</f>
        <v>25</v>
      </c>
      <c r="E757" s="1"/>
      <c r="F757" s="87" t="str">
        <f t="shared" ca="1" si="0"/>
        <v>2023</v>
      </c>
      <c r="G757" s="1" t="str">
        <f ca="1">IFERROR(__xludf.DUMMYFUNCTION("""COMPUTED_VALUE"""),"W.M.H.A")</f>
        <v>W.M.H.A</v>
      </c>
      <c r="H757" s="26">
        <f t="shared" ca="1" si="1"/>
        <v>25</v>
      </c>
      <c r="I757" s="26">
        <f t="shared" ca="1" si="2"/>
        <v>1</v>
      </c>
      <c r="J757" s="86">
        <f t="shared" ca="1" si="3"/>
        <v>45084</v>
      </c>
      <c r="R757" s="26"/>
    </row>
    <row r="758" spans="1:18" ht="15.75" customHeight="1">
      <c r="A758" s="26">
        <f ca="1">IFERROR(__xludf.DUMMYFUNCTION("""COMPUTED_VALUE"""),18943)</f>
        <v>18943</v>
      </c>
      <c r="B758" s="86">
        <f ca="1">IFERROR(__xludf.DUMMYFUNCTION("""COMPUTED_VALUE"""),45084.6997337962)</f>
        <v>45084.699733796297</v>
      </c>
      <c r="C758" s="1" t="str">
        <f ca="1">IFERROR(__xludf.DUMMYFUNCTION("""COMPUTED_VALUE"""),"completed")</f>
        <v>completed</v>
      </c>
      <c r="D758" s="26">
        <f ca="1">IFERROR(__xludf.DUMMYFUNCTION("""COMPUTED_VALUE"""),20)</f>
        <v>20</v>
      </c>
      <c r="E758" s="1"/>
      <c r="F758" s="87" t="str">
        <f t="shared" ca="1" si="0"/>
        <v>2023</v>
      </c>
      <c r="G758" s="1" t="str">
        <f ca="1">IFERROR(__xludf.DUMMYFUNCTION("""COMPUTED_VALUE"""),"South Point Stars")</f>
        <v>South Point Stars</v>
      </c>
      <c r="H758" s="26">
        <f t="shared" ca="1" si="1"/>
        <v>20</v>
      </c>
      <c r="I758" s="26">
        <f t="shared" ca="1" si="2"/>
        <v>1</v>
      </c>
      <c r="J758" s="86">
        <f t="shared" ca="1" si="3"/>
        <v>45084</v>
      </c>
      <c r="R758" s="26"/>
    </row>
    <row r="759" spans="1:18" ht="15.75" customHeight="1">
      <c r="A759" s="26">
        <f ca="1">IFERROR(__xludf.DUMMYFUNCTION("""COMPUTED_VALUE"""),18942)</f>
        <v>18942</v>
      </c>
      <c r="B759" s="86">
        <f ca="1">IFERROR(__xludf.DUMMYFUNCTION("""COMPUTED_VALUE"""),45084.6960185185)</f>
        <v>45084.696018518502</v>
      </c>
      <c r="C759" s="1" t="str">
        <f ca="1">IFERROR(__xludf.DUMMYFUNCTION("""COMPUTED_VALUE"""),"completed")</f>
        <v>completed</v>
      </c>
      <c r="D759" s="26">
        <f ca="1">IFERROR(__xludf.DUMMYFUNCTION("""COMPUTED_VALUE"""),28)</f>
        <v>28</v>
      </c>
      <c r="E759" s="1"/>
      <c r="F759" s="87" t="str">
        <f t="shared" ca="1" si="0"/>
        <v>2023</v>
      </c>
      <c r="G759" s="1" t="str">
        <f ca="1">IFERROR(__xludf.DUMMYFUNCTION("""COMPUTED_VALUE"""),"W.M.H.A")</f>
        <v>W.M.H.A</v>
      </c>
      <c r="H759" s="26">
        <f t="shared" ca="1" si="1"/>
        <v>28</v>
      </c>
      <c r="I759" s="26">
        <f t="shared" ca="1" si="2"/>
        <v>1</v>
      </c>
      <c r="J759" s="86">
        <f t="shared" ca="1" si="3"/>
        <v>45084</v>
      </c>
      <c r="R759" s="26"/>
    </row>
    <row r="760" spans="1:18" ht="15.75" customHeight="1">
      <c r="A760" s="26">
        <f ca="1">IFERROR(__xludf.DUMMYFUNCTION("""COMPUTED_VALUE"""),18941)</f>
        <v>18941</v>
      </c>
      <c r="B760" s="86">
        <f ca="1">IFERROR(__xludf.DUMMYFUNCTION("""COMPUTED_VALUE"""),45084.6538194444)</f>
        <v>45084.6538194444</v>
      </c>
      <c r="C760" s="1" t="str">
        <f ca="1">IFERROR(__xludf.DUMMYFUNCTION("""COMPUTED_VALUE"""),"completed")</f>
        <v>completed</v>
      </c>
      <c r="D760" s="26">
        <f ca="1">IFERROR(__xludf.DUMMYFUNCTION("""COMPUTED_VALUE"""),25)</f>
        <v>25</v>
      </c>
      <c r="E760" s="1"/>
      <c r="F760" s="87" t="str">
        <f t="shared" ca="1" si="0"/>
        <v>2023</v>
      </c>
      <c r="G760" s="1" t="str">
        <f ca="1">IFERROR(__xludf.DUMMYFUNCTION("""COMPUTED_VALUE"""),"W.M.H.A")</f>
        <v>W.M.H.A</v>
      </c>
      <c r="H760" s="26">
        <f t="shared" ca="1" si="1"/>
        <v>25</v>
      </c>
      <c r="I760" s="26">
        <f t="shared" ca="1" si="2"/>
        <v>1</v>
      </c>
      <c r="J760" s="86">
        <f t="shared" ca="1" si="3"/>
        <v>45084</v>
      </c>
      <c r="R760" s="26"/>
    </row>
    <row r="761" spans="1:18" ht="15.75" customHeight="1">
      <c r="A761" s="26">
        <f ca="1">IFERROR(__xludf.DUMMYFUNCTION("""COMPUTED_VALUE"""),18940)</f>
        <v>18940</v>
      </c>
      <c r="B761" s="86">
        <f ca="1">IFERROR(__xludf.DUMMYFUNCTION("""COMPUTED_VALUE"""),45084.6530555555)</f>
        <v>45084.6530555555</v>
      </c>
      <c r="C761" s="1" t="str">
        <f ca="1">IFERROR(__xludf.DUMMYFUNCTION("""COMPUTED_VALUE"""),"completed")</f>
        <v>completed</v>
      </c>
      <c r="D761" s="26">
        <f ca="1">IFERROR(__xludf.DUMMYFUNCTION("""COMPUTED_VALUE"""),28)</f>
        <v>28</v>
      </c>
      <c r="E761" s="1"/>
      <c r="F761" s="87" t="str">
        <f t="shared" ca="1" si="0"/>
        <v>2023</v>
      </c>
      <c r="G761" s="1" t="str">
        <f ca="1">IFERROR(__xludf.DUMMYFUNCTION("""COMPUTED_VALUE"""),"W.M.H.A")</f>
        <v>W.M.H.A</v>
      </c>
      <c r="H761" s="26">
        <f t="shared" ca="1" si="1"/>
        <v>28</v>
      </c>
      <c r="I761" s="26">
        <f t="shared" ca="1" si="2"/>
        <v>1</v>
      </c>
      <c r="J761" s="86">
        <f t="shared" ca="1" si="3"/>
        <v>45084</v>
      </c>
      <c r="R761" s="26"/>
    </row>
    <row r="762" spans="1:18" ht="15.75" customHeight="1">
      <c r="A762" s="26">
        <f ca="1">IFERROR(__xludf.DUMMYFUNCTION("""COMPUTED_VALUE"""),18939)</f>
        <v>18939</v>
      </c>
      <c r="B762" s="86">
        <f ca="1">IFERROR(__xludf.DUMMYFUNCTION("""COMPUTED_VALUE"""),45084.6183333333)</f>
        <v>45084.618333333303</v>
      </c>
      <c r="C762" s="1" t="str">
        <f ca="1">IFERROR(__xludf.DUMMYFUNCTION("""COMPUTED_VALUE"""),"completed")</f>
        <v>completed</v>
      </c>
      <c r="D762" s="26">
        <f ca="1">IFERROR(__xludf.DUMMYFUNCTION("""COMPUTED_VALUE"""),22)</f>
        <v>22</v>
      </c>
      <c r="E762" s="1"/>
      <c r="F762" s="87" t="str">
        <f t="shared" ca="1" si="0"/>
        <v>2023</v>
      </c>
      <c r="G762" s="1" t="str">
        <f ca="1">IFERROR(__xludf.DUMMYFUNCTION("""COMPUTED_VALUE"""),"W.M.H.A")</f>
        <v>W.M.H.A</v>
      </c>
      <c r="H762" s="26">
        <f t="shared" ca="1" si="1"/>
        <v>22</v>
      </c>
      <c r="I762" s="26">
        <f t="shared" ca="1" si="2"/>
        <v>1</v>
      </c>
      <c r="J762" s="86">
        <f t="shared" ca="1" si="3"/>
        <v>45084</v>
      </c>
      <c r="R762" s="26"/>
    </row>
    <row r="763" spans="1:18" ht="15.75" customHeight="1">
      <c r="A763" s="26">
        <f ca="1">IFERROR(__xludf.DUMMYFUNCTION("""COMPUTED_VALUE"""),18938)</f>
        <v>18938</v>
      </c>
      <c r="B763" s="86">
        <f ca="1">IFERROR(__xludf.DUMMYFUNCTION("""COMPUTED_VALUE"""),45084.5587847222)</f>
        <v>45084.558784722198</v>
      </c>
      <c r="C763" s="1" t="str">
        <f ca="1">IFERROR(__xludf.DUMMYFUNCTION("""COMPUTED_VALUE"""),"completed")</f>
        <v>completed</v>
      </c>
      <c r="D763" s="26">
        <f ca="1">IFERROR(__xludf.DUMMYFUNCTION("""COMPUTED_VALUE"""),53)</f>
        <v>53</v>
      </c>
      <c r="E763" s="1"/>
      <c r="F763" s="87" t="str">
        <f t="shared" ca="1" si="0"/>
        <v>2023</v>
      </c>
      <c r="G763" s="1" t="str">
        <f ca="1">IFERROR(__xludf.DUMMYFUNCTION("""COMPUTED_VALUE"""),"South Point Stars")</f>
        <v>South Point Stars</v>
      </c>
      <c r="H763" s="26">
        <f t="shared" ca="1" si="1"/>
        <v>53</v>
      </c>
      <c r="I763" s="26">
        <f t="shared" ca="1" si="2"/>
        <v>1</v>
      </c>
      <c r="J763" s="86">
        <f t="shared" ca="1" si="3"/>
        <v>45084</v>
      </c>
      <c r="R763" s="26"/>
    </row>
    <row r="764" spans="1:18" ht="15.75" customHeight="1">
      <c r="A764" s="26">
        <f ca="1">IFERROR(__xludf.DUMMYFUNCTION("""COMPUTED_VALUE"""),18937)</f>
        <v>18937</v>
      </c>
      <c r="B764" s="86">
        <f ca="1">IFERROR(__xludf.DUMMYFUNCTION("""COMPUTED_VALUE"""),45084.4795601851)</f>
        <v>45084.4795601851</v>
      </c>
      <c r="C764" s="1" t="str">
        <f ca="1">IFERROR(__xludf.DUMMYFUNCTION("""COMPUTED_VALUE"""),"completed")</f>
        <v>completed</v>
      </c>
      <c r="D764" s="26">
        <f ca="1">IFERROR(__xludf.DUMMYFUNCTION("""COMPUTED_VALUE"""),54)</f>
        <v>54</v>
      </c>
      <c r="E764" s="1"/>
      <c r="F764" s="87" t="str">
        <f t="shared" ca="1" si="0"/>
        <v>2023</v>
      </c>
      <c r="G764" s="1" t="str">
        <f ca="1">IFERROR(__xludf.DUMMYFUNCTION("""COMPUTED_VALUE"""),"W.M.H.A")</f>
        <v>W.M.H.A</v>
      </c>
      <c r="H764" s="26">
        <f t="shared" ca="1" si="1"/>
        <v>54</v>
      </c>
      <c r="I764" s="26">
        <f t="shared" ca="1" si="2"/>
        <v>1</v>
      </c>
      <c r="J764" s="86">
        <f t="shared" ca="1" si="3"/>
        <v>45084</v>
      </c>
      <c r="R764" s="26"/>
    </row>
    <row r="765" spans="1:18" ht="15.75" customHeight="1">
      <c r="A765" s="26">
        <f ca="1">IFERROR(__xludf.DUMMYFUNCTION("""COMPUTED_VALUE"""),18936)</f>
        <v>18936</v>
      </c>
      <c r="B765" s="86">
        <f ca="1">IFERROR(__xludf.DUMMYFUNCTION("""COMPUTED_VALUE"""),45083.7140046296)</f>
        <v>45083.714004629597</v>
      </c>
      <c r="C765" s="1" t="str">
        <f ca="1">IFERROR(__xludf.DUMMYFUNCTION("""COMPUTED_VALUE"""),"completed")</f>
        <v>completed</v>
      </c>
      <c r="D765" s="26">
        <f ca="1">IFERROR(__xludf.DUMMYFUNCTION("""COMPUTED_VALUE"""),25)</f>
        <v>25</v>
      </c>
      <c r="E765" s="1"/>
      <c r="F765" s="87" t="str">
        <f t="shared" ca="1" si="0"/>
        <v>2023</v>
      </c>
      <c r="G765" s="1" t="str">
        <f ca="1">IFERROR(__xludf.DUMMYFUNCTION("""COMPUTED_VALUE"""),"South Point Stars")</f>
        <v>South Point Stars</v>
      </c>
      <c r="H765" s="26">
        <f t="shared" ca="1" si="1"/>
        <v>25</v>
      </c>
      <c r="I765" s="26">
        <f t="shared" ca="1" si="2"/>
        <v>1</v>
      </c>
      <c r="J765" s="86">
        <f t="shared" ca="1" si="3"/>
        <v>45083</v>
      </c>
      <c r="R765" s="26"/>
    </row>
    <row r="766" spans="1:18" ht="15.75" customHeight="1">
      <c r="A766" s="26">
        <f ca="1">IFERROR(__xludf.DUMMYFUNCTION("""COMPUTED_VALUE"""),18935)</f>
        <v>18935</v>
      </c>
      <c r="B766" s="86">
        <f ca="1">IFERROR(__xludf.DUMMYFUNCTION("""COMPUTED_VALUE"""),45083.6804861111)</f>
        <v>45083.680486111101</v>
      </c>
      <c r="C766" s="1" t="str">
        <f ca="1">IFERROR(__xludf.DUMMYFUNCTION("""COMPUTED_VALUE"""),"completed")</f>
        <v>completed</v>
      </c>
      <c r="D766" s="26">
        <f ca="1">IFERROR(__xludf.DUMMYFUNCTION("""COMPUTED_VALUE"""),18)</f>
        <v>18</v>
      </c>
      <c r="E766" s="1"/>
      <c r="F766" s="87" t="str">
        <f t="shared" ca="1" si="0"/>
        <v>2023</v>
      </c>
      <c r="G766" s="1" t="str">
        <f ca="1">IFERROR(__xludf.DUMMYFUNCTION("""COMPUTED_VALUE"""),"W.M.H.A")</f>
        <v>W.M.H.A</v>
      </c>
      <c r="H766" s="26">
        <f t="shared" ca="1" si="1"/>
        <v>18</v>
      </c>
      <c r="I766" s="26">
        <f t="shared" ca="1" si="2"/>
        <v>1</v>
      </c>
      <c r="J766" s="86">
        <f t="shared" ca="1" si="3"/>
        <v>45083</v>
      </c>
      <c r="R766" s="26"/>
    </row>
    <row r="767" spans="1:18" ht="15.75" customHeight="1">
      <c r="A767" s="26">
        <f ca="1">IFERROR(__xludf.DUMMYFUNCTION("""COMPUTED_VALUE"""),18934)</f>
        <v>18934</v>
      </c>
      <c r="B767" s="86">
        <f ca="1">IFERROR(__xludf.DUMMYFUNCTION("""COMPUTED_VALUE"""),45083.4217592592)</f>
        <v>45083.421759259203</v>
      </c>
      <c r="C767" s="1" t="str">
        <f ca="1">IFERROR(__xludf.DUMMYFUNCTION("""COMPUTED_VALUE"""),"completed")</f>
        <v>completed</v>
      </c>
      <c r="D767" s="26">
        <f ca="1">IFERROR(__xludf.DUMMYFUNCTION("""COMPUTED_VALUE"""),25)</f>
        <v>25</v>
      </c>
      <c r="E767" s="1"/>
      <c r="F767" s="87" t="str">
        <f t="shared" ca="1" si="0"/>
        <v>2023</v>
      </c>
      <c r="G767" s="1" t="str">
        <f ca="1">IFERROR(__xludf.DUMMYFUNCTION("""COMPUTED_VALUE"""),"W.M.H.A")</f>
        <v>W.M.H.A</v>
      </c>
      <c r="H767" s="26">
        <f t="shared" ca="1" si="1"/>
        <v>25</v>
      </c>
      <c r="I767" s="26">
        <f t="shared" ca="1" si="2"/>
        <v>1</v>
      </c>
      <c r="J767" s="86">
        <f t="shared" ca="1" si="3"/>
        <v>45083</v>
      </c>
      <c r="R767" s="26"/>
    </row>
    <row r="768" spans="1:18" ht="15.75" customHeight="1">
      <c r="A768" s="26">
        <f ca="1">IFERROR(__xludf.DUMMYFUNCTION("""COMPUTED_VALUE"""),18933)</f>
        <v>18933</v>
      </c>
      <c r="B768" s="86">
        <f ca="1">IFERROR(__xludf.DUMMYFUNCTION("""COMPUTED_VALUE"""),45082.7003356481)</f>
        <v>45082.7003356481</v>
      </c>
      <c r="C768" s="1" t="str">
        <f ca="1">IFERROR(__xludf.DUMMYFUNCTION("""COMPUTED_VALUE"""),"completed")</f>
        <v>completed</v>
      </c>
      <c r="D768" s="26">
        <f ca="1">IFERROR(__xludf.DUMMYFUNCTION("""COMPUTED_VALUE"""),25)</f>
        <v>25</v>
      </c>
      <c r="E768" s="1"/>
      <c r="F768" s="87" t="str">
        <f t="shared" ca="1" si="0"/>
        <v>2023</v>
      </c>
      <c r="G768" s="1" t="str">
        <f ca="1">IFERROR(__xludf.DUMMYFUNCTION("""COMPUTED_VALUE"""),"W.M.H.A")</f>
        <v>W.M.H.A</v>
      </c>
      <c r="H768" s="26">
        <f t="shared" ca="1" si="1"/>
        <v>25</v>
      </c>
      <c r="I768" s="26">
        <f t="shared" ca="1" si="2"/>
        <v>1</v>
      </c>
      <c r="J768" s="86">
        <f t="shared" ca="1" si="3"/>
        <v>45082</v>
      </c>
      <c r="R768" s="26"/>
    </row>
    <row r="769" spans="1:18" ht="15.75" customHeight="1">
      <c r="A769" s="26">
        <f ca="1">IFERROR(__xludf.DUMMYFUNCTION("""COMPUTED_VALUE"""),18932)</f>
        <v>18932</v>
      </c>
      <c r="B769" s="86">
        <f ca="1">IFERROR(__xludf.DUMMYFUNCTION("""COMPUTED_VALUE"""),45082.0355439814)</f>
        <v>45082.035543981401</v>
      </c>
      <c r="C769" s="1" t="str">
        <f ca="1">IFERROR(__xludf.DUMMYFUNCTION("""COMPUTED_VALUE"""),"completed")</f>
        <v>completed</v>
      </c>
      <c r="D769" s="26">
        <f ca="1">IFERROR(__xludf.DUMMYFUNCTION("""COMPUTED_VALUE"""),26)</f>
        <v>26</v>
      </c>
      <c r="E769" s="1"/>
      <c r="F769" s="87" t="str">
        <f t="shared" ca="1" si="0"/>
        <v>2023</v>
      </c>
      <c r="G769" s="1" t="str">
        <f ca="1">IFERROR(__xludf.DUMMYFUNCTION("""COMPUTED_VALUE"""),"W.M.H.A")</f>
        <v>W.M.H.A</v>
      </c>
      <c r="H769" s="26">
        <f t="shared" ca="1" si="1"/>
        <v>26</v>
      </c>
      <c r="I769" s="26">
        <f t="shared" ca="1" si="2"/>
        <v>1</v>
      </c>
      <c r="J769" s="86">
        <f t="shared" ca="1" si="3"/>
        <v>45082</v>
      </c>
      <c r="R769" s="26"/>
    </row>
    <row r="770" spans="1:18" ht="15.75" customHeight="1">
      <c r="A770" s="26">
        <f ca="1">IFERROR(__xludf.DUMMYFUNCTION("""COMPUTED_VALUE"""),18931)</f>
        <v>18931</v>
      </c>
      <c r="B770" s="86">
        <f ca="1">IFERROR(__xludf.DUMMYFUNCTION("""COMPUTED_VALUE"""),45081.5591782407)</f>
        <v>45081.559178240699</v>
      </c>
      <c r="C770" s="1" t="str">
        <f ca="1">IFERROR(__xludf.DUMMYFUNCTION("""COMPUTED_VALUE"""),"completed")</f>
        <v>completed</v>
      </c>
      <c r="D770" s="26">
        <f ca="1">IFERROR(__xludf.DUMMYFUNCTION("""COMPUTED_VALUE"""),25)</f>
        <v>25</v>
      </c>
      <c r="E770" s="1"/>
      <c r="F770" s="87" t="str">
        <f t="shared" ca="1" si="0"/>
        <v>2023</v>
      </c>
      <c r="G770" s="1" t="str">
        <f ca="1">IFERROR(__xludf.DUMMYFUNCTION("""COMPUTED_VALUE"""),"W.M.H.A")</f>
        <v>W.M.H.A</v>
      </c>
      <c r="H770" s="26">
        <f t="shared" ca="1" si="1"/>
        <v>25</v>
      </c>
      <c r="I770" s="26">
        <f t="shared" ca="1" si="2"/>
        <v>1</v>
      </c>
      <c r="J770" s="86">
        <f t="shared" ca="1" si="3"/>
        <v>45081</v>
      </c>
      <c r="R770" s="26"/>
    </row>
    <row r="771" spans="1:18" ht="15.75" customHeight="1">
      <c r="A771" s="26">
        <f ca="1">IFERROR(__xludf.DUMMYFUNCTION("""COMPUTED_VALUE"""),18930)</f>
        <v>18930</v>
      </c>
      <c r="B771" s="86">
        <f ca="1">IFERROR(__xludf.DUMMYFUNCTION("""COMPUTED_VALUE"""),45081.5540046296)</f>
        <v>45081.554004629601</v>
      </c>
      <c r="C771" s="1" t="str">
        <f ca="1">IFERROR(__xludf.DUMMYFUNCTION("""COMPUTED_VALUE"""),"completed")</f>
        <v>completed</v>
      </c>
      <c r="D771" s="26">
        <f ca="1">IFERROR(__xludf.DUMMYFUNCTION("""COMPUTED_VALUE"""),38)</f>
        <v>38</v>
      </c>
      <c r="E771" s="1"/>
      <c r="F771" s="87" t="str">
        <f t="shared" ca="1" si="0"/>
        <v>2023</v>
      </c>
      <c r="G771" s="1" t="str">
        <f ca="1">IFERROR(__xludf.DUMMYFUNCTION("""COMPUTED_VALUE"""),"W.M.H.A")</f>
        <v>W.M.H.A</v>
      </c>
      <c r="H771" s="26">
        <f t="shared" ca="1" si="1"/>
        <v>38</v>
      </c>
      <c r="I771" s="26">
        <f t="shared" ca="1" si="2"/>
        <v>1</v>
      </c>
      <c r="J771" s="86">
        <f t="shared" ca="1" si="3"/>
        <v>45081</v>
      </c>
      <c r="R771" s="26"/>
    </row>
    <row r="772" spans="1:18" ht="15.75" customHeight="1">
      <c r="A772" s="26">
        <f ca="1">IFERROR(__xludf.DUMMYFUNCTION("""COMPUTED_VALUE"""),18929)</f>
        <v>18929</v>
      </c>
      <c r="B772" s="86">
        <f ca="1">IFERROR(__xludf.DUMMYFUNCTION("""COMPUTED_VALUE"""),45081.1114814814)</f>
        <v>45081.111481481399</v>
      </c>
      <c r="C772" s="1" t="str">
        <f ca="1">IFERROR(__xludf.DUMMYFUNCTION("""COMPUTED_VALUE"""),"completed")</f>
        <v>completed</v>
      </c>
      <c r="D772" s="26">
        <f ca="1">IFERROR(__xludf.DUMMYFUNCTION("""COMPUTED_VALUE"""),25)</f>
        <v>25</v>
      </c>
      <c r="E772" s="1"/>
      <c r="F772" s="87" t="str">
        <f t="shared" ca="1" si="0"/>
        <v>2023</v>
      </c>
      <c r="G772" s="1" t="str">
        <f ca="1">IFERROR(__xludf.DUMMYFUNCTION("""COMPUTED_VALUE"""),"W.M.H.A")</f>
        <v>W.M.H.A</v>
      </c>
      <c r="H772" s="26">
        <f t="shared" ca="1" si="1"/>
        <v>25</v>
      </c>
      <c r="I772" s="26">
        <f t="shared" ca="1" si="2"/>
        <v>1</v>
      </c>
      <c r="J772" s="86">
        <f t="shared" ca="1" si="3"/>
        <v>45081</v>
      </c>
      <c r="R772" s="26"/>
    </row>
    <row r="773" spans="1:18" ht="15.75" customHeight="1">
      <c r="A773" s="26">
        <f ca="1">IFERROR(__xludf.DUMMYFUNCTION("""COMPUTED_VALUE"""),18928)</f>
        <v>18928</v>
      </c>
      <c r="B773" s="86">
        <f ca="1">IFERROR(__xludf.DUMMYFUNCTION("""COMPUTED_VALUE"""),45080.9670833333)</f>
        <v>45080.9670833333</v>
      </c>
      <c r="C773" s="1" t="str">
        <f ca="1">IFERROR(__xludf.DUMMYFUNCTION("""COMPUTED_VALUE"""),"completed")</f>
        <v>completed</v>
      </c>
      <c r="D773" s="26">
        <f ca="1">IFERROR(__xludf.DUMMYFUNCTION("""COMPUTED_VALUE"""),26)</f>
        <v>26</v>
      </c>
      <c r="E773" s="1"/>
      <c r="F773" s="87" t="str">
        <f t="shared" ca="1" si="0"/>
        <v>2023</v>
      </c>
      <c r="G773" s="1" t="str">
        <f ca="1">IFERROR(__xludf.DUMMYFUNCTION("""COMPUTED_VALUE"""),"W.M.H.A")</f>
        <v>W.M.H.A</v>
      </c>
      <c r="H773" s="26">
        <f t="shared" ca="1" si="1"/>
        <v>26</v>
      </c>
      <c r="I773" s="26">
        <f t="shared" ca="1" si="2"/>
        <v>1</v>
      </c>
      <c r="J773" s="86">
        <f t="shared" ca="1" si="3"/>
        <v>45080</v>
      </c>
      <c r="R773" s="26"/>
    </row>
    <row r="774" spans="1:18" ht="15.75" customHeight="1">
      <c r="A774" s="26">
        <f ca="1">IFERROR(__xludf.DUMMYFUNCTION("""COMPUTED_VALUE"""),18927)</f>
        <v>18927</v>
      </c>
      <c r="B774" s="86">
        <f ca="1">IFERROR(__xludf.DUMMYFUNCTION("""COMPUTED_VALUE"""),45080.7864699074)</f>
        <v>45080.786469907398</v>
      </c>
      <c r="C774" s="1" t="str">
        <f ca="1">IFERROR(__xludf.DUMMYFUNCTION("""COMPUTED_VALUE"""),"completed")</f>
        <v>completed</v>
      </c>
      <c r="D774" s="26">
        <f ca="1">IFERROR(__xludf.DUMMYFUNCTION("""COMPUTED_VALUE"""),55)</f>
        <v>55</v>
      </c>
      <c r="E774" s="1"/>
      <c r="F774" s="87" t="str">
        <f t="shared" ca="1" si="0"/>
        <v>2023</v>
      </c>
      <c r="G774" s="1" t="str">
        <f ca="1">IFERROR(__xludf.DUMMYFUNCTION("""COMPUTED_VALUE"""),"W.M.H.A")</f>
        <v>W.M.H.A</v>
      </c>
      <c r="H774" s="26">
        <f t="shared" ca="1" si="1"/>
        <v>55</v>
      </c>
      <c r="I774" s="26">
        <f t="shared" ca="1" si="2"/>
        <v>1</v>
      </c>
      <c r="J774" s="86">
        <f t="shared" ca="1" si="3"/>
        <v>45080</v>
      </c>
      <c r="R774" s="26"/>
    </row>
    <row r="775" spans="1:18" ht="15.75" customHeight="1">
      <c r="A775" s="26">
        <f ca="1">IFERROR(__xludf.DUMMYFUNCTION("""COMPUTED_VALUE"""),18926)</f>
        <v>18926</v>
      </c>
      <c r="B775" s="86">
        <f ca="1">IFERROR(__xludf.DUMMYFUNCTION("""COMPUTED_VALUE"""),45080.7765856481)</f>
        <v>45080.776585648098</v>
      </c>
      <c r="C775" s="1" t="str">
        <f ca="1">IFERROR(__xludf.DUMMYFUNCTION("""COMPUTED_VALUE"""),"completed")</f>
        <v>completed</v>
      </c>
      <c r="D775" s="26">
        <f ca="1">IFERROR(__xludf.DUMMYFUNCTION("""COMPUTED_VALUE"""),20)</f>
        <v>20</v>
      </c>
      <c r="E775" s="1"/>
      <c r="F775" s="87" t="str">
        <f t="shared" ca="1" si="0"/>
        <v>2023</v>
      </c>
      <c r="G775" s="1" t="str">
        <f ca="1">IFERROR(__xludf.DUMMYFUNCTION("""COMPUTED_VALUE"""),"W.M.H.A")</f>
        <v>W.M.H.A</v>
      </c>
      <c r="H775" s="26">
        <f t="shared" ca="1" si="1"/>
        <v>20</v>
      </c>
      <c r="I775" s="26">
        <f t="shared" ca="1" si="2"/>
        <v>1</v>
      </c>
      <c r="J775" s="86">
        <f t="shared" ca="1" si="3"/>
        <v>45080</v>
      </c>
      <c r="R775" s="26"/>
    </row>
    <row r="776" spans="1:18" ht="15.75" customHeight="1">
      <c r="A776" s="26">
        <f ca="1">IFERROR(__xludf.DUMMYFUNCTION("""COMPUTED_VALUE"""),18925)</f>
        <v>18925</v>
      </c>
      <c r="B776" s="86">
        <f ca="1">IFERROR(__xludf.DUMMYFUNCTION("""COMPUTED_VALUE"""),45080.7598379629)</f>
        <v>45080.759837962898</v>
      </c>
      <c r="C776" s="1" t="str">
        <f ca="1">IFERROR(__xludf.DUMMYFUNCTION("""COMPUTED_VALUE"""),"completed")</f>
        <v>completed</v>
      </c>
      <c r="D776" s="26">
        <f ca="1">IFERROR(__xludf.DUMMYFUNCTION("""COMPUTED_VALUE"""),26)</f>
        <v>26</v>
      </c>
      <c r="E776" s="1"/>
      <c r="F776" s="87" t="str">
        <f t="shared" ca="1" si="0"/>
        <v>2023</v>
      </c>
      <c r="G776" s="1" t="str">
        <f ca="1">IFERROR(__xludf.DUMMYFUNCTION("""COMPUTED_VALUE"""),"W.M.H.A")</f>
        <v>W.M.H.A</v>
      </c>
      <c r="H776" s="26">
        <f t="shared" ca="1" si="1"/>
        <v>26</v>
      </c>
      <c r="I776" s="26">
        <f t="shared" ca="1" si="2"/>
        <v>1</v>
      </c>
      <c r="J776" s="86">
        <f t="shared" ca="1" si="3"/>
        <v>45080</v>
      </c>
      <c r="R776" s="26"/>
    </row>
    <row r="777" spans="1:18" ht="15.75" customHeight="1">
      <c r="A777" s="26">
        <f ca="1">IFERROR(__xludf.DUMMYFUNCTION("""COMPUTED_VALUE"""),18924)</f>
        <v>18924</v>
      </c>
      <c r="B777" s="86">
        <f ca="1">IFERROR(__xludf.DUMMYFUNCTION("""COMPUTED_VALUE"""),45080.7383333333)</f>
        <v>45080.738333333298</v>
      </c>
      <c r="C777" s="1" t="str">
        <f ca="1">IFERROR(__xludf.DUMMYFUNCTION("""COMPUTED_VALUE"""),"completed")</f>
        <v>completed</v>
      </c>
      <c r="D777" s="26">
        <f ca="1">IFERROR(__xludf.DUMMYFUNCTION("""COMPUTED_VALUE"""),18)</f>
        <v>18</v>
      </c>
      <c r="E777" s="1"/>
      <c r="F777" s="87" t="str">
        <f t="shared" ca="1" si="0"/>
        <v>2023</v>
      </c>
      <c r="G777" s="1" t="str">
        <f ca="1">IFERROR(__xludf.DUMMYFUNCTION("""COMPUTED_VALUE"""),"W.M.H.A")</f>
        <v>W.M.H.A</v>
      </c>
      <c r="H777" s="26">
        <f t="shared" ca="1" si="1"/>
        <v>18</v>
      </c>
      <c r="I777" s="26">
        <f t="shared" ca="1" si="2"/>
        <v>1</v>
      </c>
      <c r="J777" s="86">
        <f t="shared" ca="1" si="3"/>
        <v>45080</v>
      </c>
      <c r="R777" s="26"/>
    </row>
    <row r="778" spans="1:18" ht="15.75" customHeight="1">
      <c r="A778" s="26">
        <f ca="1">IFERROR(__xludf.DUMMYFUNCTION("""COMPUTED_VALUE"""),18923)</f>
        <v>18923</v>
      </c>
      <c r="B778" s="86">
        <f ca="1">IFERROR(__xludf.DUMMYFUNCTION("""COMPUTED_VALUE"""),45080.7025925925)</f>
        <v>45080.702592592497</v>
      </c>
      <c r="C778" s="1" t="str">
        <f ca="1">IFERROR(__xludf.DUMMYFUNCTION("""COMPUTED_VALUE"""),"completed")</f>
        <v>completed</v>
      </c>
      <c r="D778" s="26">
        <f ca="1">IFERROR(__xludf.DUMMYFUNCTION("""COMPUTED_VALUE"""),55)</f>
        <v>55</v>
      </c>
      <c r="E778" s="1"/>
      <c r="F778" s="87" t="str">
        <f t="shared" ca="1" si="0"/>
        <v>2023</v>
      </c>
      <c r="G778" s="1" t="str">
        <f ca="1">IFERROR(__xludf.DUMMYFUNCTION("""COMPUTED_VALUE"""),"W.M.H.A")</f>
        <v>W.M.H.A</v>
      </c>
      <c r="H778" s="26">
        <f t="shared" ca="1" si="1"/>
        <v>55</v>
      </c>
      <c r="I778" s="26">
        <f t="shared" ca="1" si="2"/>
        <v>1</v>
      </c>
      <c r="J778" s="86">
        <f t="shared" ca="1" si="3"/>
        <v>45080</v>
      </c>
      <c r="R778" s="26"/>
    </row>
    <row r="779" spans="1:18" ht="15.75" customHeight="1">
      <c r="A779" s="26">
        <f ca="1">IFERROR(__xludf.DUMMYFUNCTION("""COMPUTED_VALUE"""),18922)</f>
        <v>18922</v>
      </c>
      <c r="B779" s="86">
        <f ca="1">IFERROR(__xludf.DUMMYFUNCTION("""COMPUTED_VALUE"""),45080.7015972222)</f>
        <v>45080.7015972222</v>
      </c>
      <c r="C779" s="1" t="str">
        <f ca="1">IFERROR(__xludf.DUMMYFUNCTION("""COMPUTED_VALUE"""),"completed")</f>
        <v>completed</v>
      </c>
      <c r="D779" s="26">
        <f ca="1">IFERROR(__xludf.DUMMYFUNCTION("""COMPUTED_VALUE"""),50)</f>
        <v>50</v>
      </c>
      <c r="E779" s="1"/>
      <c r="F779" s="87" t="str">
        <f t="shared" ca="1" si="0"/>
        <v>2023</v>
      </c>
      <c r="G779" s="1" t="str">
        <f ca="1">IFERROR(__xludf.DUMMYFUNCTION("""COMPUTED_VALUE"""),"W.M.H.A")</f>
        <v>W.M.H.A</v>
      </c>
      <c r="H779" s="26">
        <f t="shared" ca="1" si="1"/>
        <v>50</v>
      </c>
      <c r="I779" s="26">
        <f t="shared" ca="1" si="2"/>
        <v>1</v>
      </c>
      <c r="J779" s="86">
        <f t="shared" ca="1" si="3"/>
        <v>45080</v>
      </c>
      <c r="R779" s="26"/>
    </row>
    <row r="780" spans="1:18" ht="15.75" customHeight="1">
      <c r="A780" s="26">
        <f ca="1">IFERROR(__xludf.DUMMYFUNCTION("""COMPUTED_VALUE"""),18921)</f>
        <v>18921</v>
      </c>
      <c r="B780" s="86">
        <f ca="1">IFERROR(__xludf.DUMMYFUNCTION("""COMPUTED_VALUE"""),45080.6790046296)</f>
        <v>45080.679004629601</v>
      </c>
      <c r="C780" s="1" t="str">
        <f ca="1">IFERROR(__xludf.DUMMYFUNCTION("""COMPUTED_VALUE"""),"completed")</f>
        <v>completed</v>
      </c>
      <c r="D780" s="26">
        <f ca="1">IFERROR(__xludf.DUMMYFUNCTION("""COMPUTED_VALUE"""),41)</f>
        <v>41</v>
      </c>
      <c r="E780" s="1"/>
      <c r="F780" s="87" t="str">
        <f t="shared" ca="1" si="0"/>
        <v>2023</v>
      </c>
      <c r="G780" s="1" t="str">
        <f ca="1">IFERROR(__xludf.DUMMYFUNCTION("""COMPUTED_VALUE"""),"W.M.H.A")</f>
        <v>W.M.H.A</v>
      </c>
      <c r="H780" s="26">
        <f t="shared" ca="1" si="1"/>
        <v>41</v>
      </c>
      <c r="I780" s="26">
        <f t="shared" ca="1" si="2"/>
        <v>1</v>
      </c>
      <c r="J780" s="86">
        <f t="shared" ca="1" si="3"/>
        <v>45080</v>
      </c>
      <c r="R780" s="26"/>
    </row>
    <row r="781" spans="1:18" ht="15.75" customHeight="1">
      <c r="A781" s="26">
        <f ca="1">IFERROR(__xludf.DUMMYFUNCTION("""COMPUTED_VALUE"""),18920)</f>
        <v>18920</v>
      </c>
      <c r="B781" s="86">
        <f ca="1">IFERROR(__xludf.DUMMYFUNCTION("""COMPUTED_VALUE"""),45080.6263310185)</f>
        <v>45080.626331018502</v>
      </c>
      <c r="C781" s="1" t="str">
        <f ca="1">IFERROR(__xludf.DUMMYFUNCTION("""COMPUTED_VALUE"""),"completed")</f>
        <v>completed</v>
      </c>
      <c r="D781" s="26">
        <f ca="1">IFERROR(__xludf.DUMMYFUNCTION("""COMPUTED_VALUE"""),26)</f>
        <v>26</v>
      </c>
      <c r="E781" s="1"/>
      <c r="F781" s="87" t="str">
        <f t="shared" ca="1" si="0"/>
        <v>2023</v>
      </c>
      <c r="G781" s="1" t="str">
        <f ca="1">IFERROR(__xludf.DUMMYFUNCTION("""COMPUTED_VALUE"""),"W.M.H.A")</f>
        <v>W.M.H.A</v>
      </c>
      <c r="H781" s="26">
        <f t="shared" ca="1" si="1"/>
        <v>26</v>
      </c>
      <c r="I781" s="26">
        <f t="shared" ca="1" si="2"/>
        <v>1</v>
      </c>
      <c r="J781" s="86">
        <f t="shared" ca="1" si="3"/>
        <v>45080</v>
      </c>
      <c r="R781" s="26"/>
    </row>
    <row r="782" spans="1:18" ht="15.75" customHeight="1">
      <c r="A782" s="26">
        <f ca="1">IFERROR(__xludf.DUMMYFUNCTION("""COMPUTED_VALUE"""),18919)</f>
        <v>18919</v>
      </c>
      <c r="B782" s="86">
        <f ca="1">IFERROR(__xludf.DUMMYFUNCTION("""COMPUTED_VALUE"""),45080.6184027777)</f>
        <v>45080.618402777698</v>
      </c>
      <c r="C782" s="1" t="str">
        <f ca="1">IFERROR(__xludf.DUMMYFUNCTION("""COMPUTED_VALUE"""),"completed")</f>
        <v>completed</v>
      </c>
      <c r="D782" s="26">
        <f ca="1">IFERROR(__xludf.DUMMYFUNCTION("""COMPUTED_VALUE"""),35)</f>
        <v>35</v>
      </c>
      <c r="E782" s="1"/>
      <c r="F782" s="87" t="str">
        <f t="shared" ca="1" si="0"/>
        <v>2023</v>
      </c>
      <c r="G782" s="1" t="str">
        <f ca="1">IFERROR(__xludf.DUMMYFUNCTION("""COMPUTED_VALUE"""),"W.M.H.A")</f>
        <v>W.M.H.A</v>
      </c>
      <c r="H782" s="26">
        <f t="shared" ca="1" si="1"/>
        <v>35</v>
      </c>
      <c r="I782" s="26">
        <f t="shared" ca="1" si="2"/>
        <v>1</v>
      </c>
      <c r="J782" s="86">
        <f t="shared" ca="1" si="3"/>
        <v>45080</v>
      </c>
      <c r="R782" s="26"/>
    </row>
    <row r="783" spans="1:18" ht="15.75" customHeight="1">
      <c r="A783" s="26">
        <f ca="1">IFERROR(__xludf.DUMMYFUNCTION("""COMPUTED_VALUE"""),18918)</f>
        <v>18918</v>
      </c>
      <c r="B783" s="86">
        <f ca="1">IFERROR(__xludf.DUMMYFUNCTION("""COMPUTED_VALUE"""),45080.6035648148)</f>
        <v>45080.603564814803</v>
      </c>
      <c r="C783" s="1" t="str">
        <f ca="1">IFERROR(__xludf.DUMMYFUNCTION("""COMPUTED_VALUE"""),"completed")</f>
        <v>completed</v>
      </c>
      <c r="D783" s="26">
        <f ca="1">IFERROR(__xludf.DUMMYFUNCTION("""COMPUTED_VALUE"""),15)</f>
        <v>15</v>
      </c>
      <c r="E783" s="1"/>
      <c r="F783" s="87" t="str">
        <f t="shared" ca="1" si="0"/>
        <v>2023</v>
      </c>
      <c r="G783" s="1" t="str">
        <f ca="1">IFERROR(__xludf.DUMMYFUNCTION("""COMPUTED_VALUE"""),"W.M.H.A")</f>
        <v>W.M.H.A</v>
      </c>
      <c r="H783" s="26">
        <f t="shared" ca="1" si="1"/>
        <v>15</v>
      </c>
      <c r="I783" s="26">
        <f t="shared" ca="1" si="2"/>
        <v>1</v>
      </c>
      <c r="J783" s="86">
        <f t="shared" ca="1" si="3"/>
        <v>45080</v>
      </c>
      <c r="R783" s="26"/>
    </row>
    <row r="784" spans="1:18" ht="15.75" customHeight="1">
      <c r="A784" s="26">
        <f ca="1">IFERROR(__xludf.DUMMYFUNCTION("""COMPUTED_VALUE"""),18917)</f>
        <v>18917</v>
      </c>
      <c r="B784" s="86">
        <f ca="1">IFERROR(__xludf.DUMMYFUNCTION("""COMPUTED_VALUE"""),45080.5824652777)</f>
        <v>45080.582465277701</v>
      </c>
      <c r="C784" s="1" t="str">
        <f ca="1">IFERROR(__xludf.DUMMYFUNCTION("""COMPUTED_VALUE"""),"completed")</f>
        <v>completed</v>
      </c>
      <c r="D784" s="26">
        <f ca="1">IFERROR(__xludf.DUMMYFUNCTION("""COMPUTED_VALUE"""),73)</f>
        <v>73</v>
      </c>
      <c r="E784" s="1"/>
      <c r="F784" s="87" t="str">
        <f t="shared" ca="1" si="0"/>
        <v>2023</v>
      </c>
      <c r="G784" s="1" t="str">
        <f ca="1">IFERROR(__xludf.DUMMYFUNCTION("""COMPUTED_VALUE"""),"W.M.H.A")</f>
        <v>W.M.H.A</v>
      </c>
      <c r="H784" s="26">
        <f t="shared" ca="1" si="1"/>
        <v>73</v>
      </c>
      <c r="I784" s="26">
        <f t="shared" ca="1" si="2"/>
        <v>1</v>
      </c>
      <c r="J784" s="86">
        <f t="shared" ca="1" si="3"/>
        <v>45080</v>
      </c>
      <c r="R784" s="26"/>
    </row>
    <row r="785" spans="1:18" ht="15.75" customHeight="1">
      <c r="A785" s="26">
        <f ca="1">IFERROR(__xludf.DUMMYFUNCTION("""COMPUTED_VALUE"""),18916)</f>
        <v>18916</v>
      </c>
      <c r="B785" s="86">
        <f ca="1">IFERROR(__xludf.DUMMYFUNCTION("""COMPUTED_VALUE"""),45080.5714004629)</f>
        <v>45080.571400462897</v>
      </c>
      <c r="C785" s="1" t="str">
        <f ca="1">IFERROR(__xludf.DUMMYFUNCTION("""COMPUTED_VALUE"""),"completed")</f>
        <v>completed</v>
      </c>
      <c r="D785" s="26">
        <f ca="1">IFERROR(__xludf.DUMMYFUNCTION("""COMPUTED_VALUE"""),25)</f>
        <v>25</v>
      </c>
      <c r="E785" s="1"/>
      <c r="F785" s="87" t="str">
        <f t="shared" ca="1" si="0"/>
        <v>2023</v>
      </c>
      <c r="G785" s="1" t="str">
        <f ca="1">IFERROR(__xludf.DUMMYFUNCTION("""COMPUTED_VALUE"""),"W.M.H.A")</f>
        <v>W.M.H.A</v>
      </c>
      <c r="H785" s="26">
        <f t="shared" ca="1" si="1"/>
        <v>25</v>
      </c>
      <c r="I785" s="26">
        <f t="shared" ca="1" si="2"/>
        <v>1</v>
      </c>
      <c r="J785" s="86">
        <f t="shared" ca="1" si="3"/>
        <v>45080</v>
      </c>
      <c r="R785" s="26"/>
    </row>
    <row r="786" spans="1:18" ht="15.75" customHeight="1">
      <c r="A786" s="26">
        <f ca="1">IFERROR(__xludf.DUMMYFUNCTION("""COMPUTED_VALUE"""),18915)</f>
        <v>18915</v>
      </c>
      <c r="B786" s="86">
        <f ca="1">IFERROR(__xludf.DUMMYFUNCTION("""COMPUTED_VALUE"""),45080.5701504629)</f>
        <v>45080.570150462903</v>
      </c>
      <c r="C786" s="1" t="str">
        <f ca="1">IFERROR(__xludf.DUMMYFUNCTION("""COMPUTED_VALUE"""),"completed")</f>
        <v>completed</v>
      </c>
      <c r="D786" s="26">
        <f ca="1">IFERROR(__xludf.DUMMYFUNCTION("""COMPUTED_VALUE"""),20)</f>
        <v>20</v>
      </c>
      <c r="E786" s="1"/>
      <c r="F786" s="87" t="str">
        <f t="shared" ca="1" si="0"/>
        <v>2023</v>
      </c>
      <c r="G786" s="1" t="str">
        <f ca="1">IFERROR(__xludf.DUMMYFUNCTION("""COMPUTED_VALUE"""),"W.M.H.A")</f>
        <v>W.M.H.A</v>
      </c>
      <c r="H786" s="26">
        <f t="shared" ca="1" si="1"/>
        <v>20</v>
      </c>
      <c r="I786" s="26">
        <f t="shared" ca="1" si="2"/>
        <v>1</v>
      </c>
      <c r="J786" s="86">
        <f t="shared" ca="1" si="3"/>
        <v>45080</v>
      </c>
      <c r="R786" s="26"/>
    </row>
    <row r="787" spans="1:18" ht="15.75" customHeight="1">
      <c r="A787" s="26">
        <f ca="1">IFERROR(__xludf.DUMMYFUNCTION("""COMPUTED_VALUE"""),18914)</f>
        <v>18914</v>
      </c>
      <c r="B787" s="86">
        <f ca="1">IFERROR(__xludf.DUMMYFUNCTION("""COMPUTED_VALUE"""),45080.5687847222)</f>
        <v>45080.5687847222</v>
      </c>
      <c r="C787" s="1" t="str">
        <f ca="1">IFERROR(__xludf.DUMMYFUNCTION("""COMPUTED_VALUE"""),"completed")</f>
        <v>completed</v>
      </c>
      <c r="D787" s="26">
        <f ca="1">IFERROR(__xludf.DUMMYFUNCTION("""COMPUTED_VALUE"""),28)</f>
        <v>28</v>
      </c>
      <c r="E787" s="1"/>
      <c r="F787" s="87" t="str">
        <f t="shared" ca="1" si="0"/>
        <v>2023</v>
      </c>
      <c r="G787" s="1" t="str">
        <f ca="1">IFERROR(__xludf.DUMMYFUNCTION("""COMPUTED_VALUE"""),"W.M.H.A")</f>
        <v>W.M.H.A</v>
      </c>
      <c r="H787" s="26">
        <f t="shared" ca="1" si="1"/>
        <v>28</v>
      </c>
      <c r="I787" s="26">
        <f t="shared" ca="1" si="2"/>
        <v>1</v>
      </c>
      <c r="J787" s="86">
        <f t="shared" ca="1" si="3"/>
        <v>45080</v>
      </c>
      <c r="R787" s="26"/>
    </row>
    <row r="788" spans="1:18" ht="15.75" customHeight="1">
      <c r="A788" s="26">
        <f ca="1">IFERROR(__xludf.DUMMYFUNCTION("""COMPUTED_VALUE"""),18913)</f>
        <v>18913</v>
      </c>
      <c r="B788" s="86">
        <f ca="1">IFERROR(__xludf.DUMMYFUNCTION("""COMPUTED_VALUE"""),45080.5658101851)</f>
        <v>45080.5658101851</v>
      </c>
      <c r="C788" s="1" t="str">
        <f ca="1">IFERROR(__xludf.DUMMYFUNCTION("""COMPUTED_VALUE"""),"completed")</f>
        <v>completed</v>
      </c>
      <c r="D788" s="26">
        <f ca="1">IFERROR(__xludf.DUMMYFUNCTION("""COMPUTED_VALUE"""),28)</f>
        <v>28</v>
      </c>
      <c r="E788" s="1"/>
      <c r="F788" s="87" t="str">
        <f t="shared" ca="1" si="0"/>
        <v>2023</v>
      </c>
      <c r="G788" s="1" t="str">
        <f ca="1">IFERROR(__xludf.DUMMYFUNCTION("""COMPUTED_VALUE"""),"W.M.H.A")</f>
        <v>W.M.H.A</v>
      </c>
      <c r="H788" s="26">
        <f t="shared" ca="1" si="1"/>
        <v>28</v>
      </c>
      <c r="I788" s="26">
        <f t="shared" ca="1" si="2"/>
        <v>1</v>
      </c>
      <c r="J788" s="86">
        <f t="shared" ca="1" si="3"/>
        <v>45080</v>
      </c>
      <c r="R788" s="26"/>
    </row>
    <row r="789" spans="1:18" ht="15.75" customHeight="1">
      <c r="A789" s="26">
        <f ca="1">IFERROR(__xludf.DUMMYFUNCTION("""COMPUTED_VALUE"""),18912)</f>
        <v>18912</v>
      </c>
      <c r="B789" s="86">
        <f ca="1">IFERROR(__xludf.DUMMYFUNCTION("""COMPUTED_VALUE"""),45080.5651388888)</f>
        <v>45080.5651388888</v>
      </c>
      <c r="C789" s="1" t="str">
        <f ca="1">IFERROR(__xludf.DUMMYFUNCTION("""COMPUTED_VALUE"""),"completed")</f>
        <v>completed</v>
      </c>
      <c r="D789" s="26">
        <f ca="1">IFERROR(__xludf.DUMMYFUNCTION("""COMPUTED_VALUE"""),20)</f>
        <v>20</v>
      </c>
      <c r="E789" s="1"/>
      <c r="F789" s="87" t="str">
        <f t="shared" ca="1" si="0"/>
        <v>2023</v>
      </c>
      <c r="G789" s="1" t="str">
        <f ca="1">IFERROR(__xludf.DUMMYFUNCTION("""COMPUTED_VALUE"""),"W.M.H.A")</f>
        <v>W.M.H.A</v>
      </c>
      <c r="H789" s="26">
        <f t="shared" ca="1" si="1"/>
        <v>20</v>
      </c>
      <c r="I789" s="26">
        <f t="shared" ca="1" si="2"/>
        <v>1</v>
      </c>
      <c r="J789" s="86">
        <f t="shared" ca="1" si="3"/>
        <v>45080</v>
      </c>
      <c r="R789" s="26"/>
    </row>
    <row r="790" spans="1:18" ht="15.75" customHeight="1">
      <c r="A790" s="26">
        <f ca="1">IFERROR(__xludf.DUMMYFUNCTION("""COMPUTED_VALUE"""),18911)</f>
        <v>18911</v>
      </c>
      <c r="B790" s="86">
        <f ca="1">IFERROR(__xludf.DUMMYFUNCTION("""COMPUTED_VALUE"""),45080.5647685185)</f>
        <v>45080.564768518503</v>
      </c>
      <c r="C790" s="1" t="str">
        <f ca="1">IFERROR(__xludf.DUMMYFUNCTION("""COMPUTED_VALUE"""),"completed")</f>
        <v>completed</v>
      </c>
      <c r="D790" s="26">
        <f ca="1">IFERROR(__xludf.DUMMYFUNCTION("""COMPUTED_VALUE"""),18)</f>
        <v>18</v>
      </c>
      <c r="E790" s="1"/>
      <c r="F790" s="87" t="str">
        <f t="shared" ca="1" si="0"/>
        <v>2023</v>
      </c>
      <c r="G790" s="1" t="str">
        <f ca="1">IFERROR(__xludf.DUMMYFUNCTION("""COMPUTED_VALUE"""),"W.M.H.A")</f>
        <v>W.M.H.A</v>
      </c>
      <c r="H790" s="26">
        <f t="shared" ca="1" si="1"/>
        <v>18</v>
      </c>
      <c r="I790" s="26">
        <f t="shared" ca="1" si="2"/>
        <v>1</v>
      </c>
      <c r="J790" s="86">
        <f t="shared" ca="1" si="3"/>
        <v>45080</v>
      </c>
      <c r="R790" s="26"/>
    </row>
    <row r="791" spans="1:18" ht="15.75" customHeight="1">
      <c r="A791" s="26">
        <f ca="1">IFERROR(__xludf.DUMMYFUNCTION("""COMPUTED_VALUE"""),18910)</f>
        <v>18910</v>
      </c>
      <c r="B791" s="86">
        <f ca="1">IFERROR(__xludf.DUMMYFUNCTION("""COMPUTED_VALUE"""),45080.5626967592)</f>
        <v>45080.562696759203</v>
      </c>
      <c r="C791" s="1" t="str">
        <f ca="1">IFERROR(__xludf.DUMMYFUNCTION("""COMPUTED_VALUE"""),"completed")</f>
        <v>completed</v>
      </c>
      <c r="D791" s="26">
        <f ca="1">IFERROR(__xludf.DUMMYFUNCTION("""COMPUTED_VALUE"""),45)</f>
        <v>45</v>
      </c>
      <c r="E791" s="1"/>
      <c r="F791" s="87" t="str">
        <f t="shared" ca="1" si="0"/>
        <v>2023</v>
      </c>
      <c r="G791" s="1" t="str">
        <f ca="1">IFERROR(__xludf.DUMMYFUNCTION("""COMPUTED_VALUE"""),"W.M.H.A")</f>
        <v>W.M.H.A</v>
      </c>
      <c r="H791" s="26">
        <f t="shared" ca="1" si="1"/>
        <v>45</v>
      </c>
      <c r="I791" s="26">
        <f t="shared" ca="1" si="2"/>
        <v>1</v>
      </c>
      <c r="J791" s="86">
        <f t="shared" ca="1" si="3"/>
        <v>45080</v>
      </c>
      <c r="R791" s="26"/>
    </row>
    <row r="792" spans="1:18" ht="15.75" customHeight="1">
      <c r="A792" s="26">
        <f ca="1">IFERROR(__xludf.DUMMYFUNCTION("""COMPUTED_VALUE"""),18909)</f>
        <v>18909</v>
      </c>
      <c r="B792" s="86">
        <f ca="1">IFERROR(__xludf.DUMMYFUNCTION("""COMPUTED_VALUE"""),45080.5601273148)</f>
        <v>45080.560127314799</v>
      </c>
      <c r="C792" s="1" t="str">
        <f ca="1">IFERROR(__xludf.DUMMYFUNCTION("""COMPUTED_VALUE"""),"completed")</f>
        <v>completed</v>
      </c>
      <c r="D792" s="26">
        <f ca="1">IFERROR(__xludf.DUMMYFUNCTION("""COMPUTED_VALUE"""),25)</f>
        <v>25</v>
      </c>
      <c r="E792" s="1"/>
      <c r="F792" s="87" t="str">
        <f t="shared" ca="1" si="0"/>
        <v>2023</v>
      </c>
      <c r="G792" s="1" t="str">
        <f ca="1">IFERROR(__xludf.DUMMYFUNCTION("""COMPUTED_VALUE"""),"W.M.H.A")</f>
        <v>W.M.H.A</v>
      </c>
      <c r="H792" s="26">
        <f t="shared" ca="1" si="1"/>
        <v>25</v>
      </c>
      <c r="I792" s="26">
        <f t="shared" ca="1" si="2"/>
        <v>1</v>
      </c>
      <c r="J792" s="86">
        <f t="shared" ca="1" si="3"/>
        <v>45080</v>
      </c>
      <c r="R792" s="26"/>
    </row>
    <row r="793" spans="1:18" ht="15.75" customHeight="1">
      <c r="A793" s="26">
        <f ca="1">IFERROR(__xludf.DUMMYFUNCTION("""COMPUTED_VALUE"""),18908)</f>
        <v>18908</v>
      </c>
      <c r="B793" s="86">
        <f ca="1">IFERROR(__xludf.DUMMYFUNCTION("""COMPUTED_VALUE"""),45080.5585185185)</f>
        <v>45080.558518518497</v>
      </c>
      <c r="C793" s="1" t="str">
        <f ca="1">IFERROR(__xludf.DUMMYFUNCTION("""COMPUTED_VALUE"""),"completed")</f>
        <v>completed</v>
      </c>
      <c r="D793" s="26">
        <f ca="1">IFERROR(__xludf.DUMMYFUNCTION("""COMPUTED_VALUE"""),25)</f>
        <v>25</v>
      </c>
      <c r="E793" s="1"/>
      <c r="F793" s="87" t="str">
        <f t="shared" ca="1" si="0"/>
        <v>2023</v>
      </c>
      <c r="G793" s="1" t="str">
        <f ca="1">IFERROR(__xludf.DUMMYFUNCTION("""COMPUTED_VALUE"""),"W.M.H.A")</f>
        <v>W.M.H.A</v>
      </c>
      <c r="H793" s="26">
        <f t="shared" ca="1" si="1"/>
        <v>25</v>
      </c>
      <c r="I793" s="26">
        <f t="shared" ca="1" si="2"/>
        <v>1</v>
      </c>
      <c r="J793" s="86">
        <f t="shared" ca="1" si="3"/>
        <v>45080</v>
      </c>
      <c r="R793" s="26"/>
    </row>
    <row r="794" spans="1:18" ht="15.75" customHeight="1">
      <c r="A794" s="26">
        <f ca="1">IFERROR(__xludf.DUMMYFUNCTION("""COMPUTED_VALUE"""),18907)</f>
        <v>18907</v>
      </c>
      <c r="B794" s="86">
        <f ca="1">IFERROR(__xludf.DUMMYFUNCTION("""COMPUTED_VALUE"""),45080.5555439814)</f>
        <v>45080.555543981398</v>
      </c>
      <c r="C794" s="1" t="str">
        <f ca="1">IFERROR(__xludf.DUMMYFUNCTION("""COMPUTED_VALUE"""),"completed")</f>
        <v>completed</v>
      </c>
      <c r="D794" s="26">
        <f ca="1">IFERROR(__xludf.DUMMYFUNCTION("""COMPUTED_VALUE"""),25)</f>
        <v>25</v>
      </c>
      <c r="E794" s="1"/>
      <c r="F794" s="87" t="str">
        <f t="shared" ca="1" si="0"/>
        <v>2023</v>
      </c>
      <c r="G794" s="1" t="str">
        <f ca="1">IFERROR(__xludf.DUMMYFUNCTION("""COMPUTED_VALUE"""),"W.M.H.A")</f>
        <v>W.M.H.A</v>
      </c>
      <c r="H794" s="26">
        <f t="shared" ca="1" si="1"/>
        <v>25</v>
      </c>
      <c r="I794" s="26">
        <f t="shared" ca="1" si="2"/>
        <v>1</v>
      </c>
      <c r="J794" s="86">
        <f t="shared" ca="1" si="3"/>
        <v>45080</v>
      </c>
      <c r="R794" s="26"/>
    </row>
    <row r="795" spans="1:18" ht="15.75" customHeight="1">
      <c r="A795" s="26">
        <f ca="1">IFERROR(__xludf.DUMMYFUNCTION("""COMPUTED_VALUE"""),18906)</f>
        <v>18906</v>
      </c>
      <c r="B795" s="86">
        <f ca="1">IFERROR(__xludf.DUMMYFUNCTION("""COMPUTED_VALUE"""),45080.5445254629)</f>
        <v>45080.544525462901</v>
      </c>
      <c r="C795" s="1" t="str">
        <f ca="1">IFERROR(__xludf.DUMMYFUNCTION("""COMPUTED_VALUE"""),"completed")</f>
        <v>completed</v>
      </c>
      <c r="D795" s="26">
        <f ca="1">IFERROR(__xludf.DUMMYFUNCTION("""COMPUTED_VALUE"""),26)</f>
        <v>26</v>
      </c>
      <c r="E795" s="1"/>
      <c r="F795" s="87" t="str">
        <f t="shared" ca="1" si="0"/>
        <v>2023</v>
      </c>
      <c r="G795" s="1" t="str">
        <f ca="1">IFERROR(__xludf.DUMMYFUNCTION("""COMPUTED_VALUE"""),"W.M.H.A")</f>
        <v>W.M.H.A</v>
      </c>
      <c r="H795" s="26">
        <f t="shared" ca="1" si="1"/>
        <v>26</v>
      </c>
      <c r="I795" s="26">
        <f t="shared" ca="1" si="2"/>
        <v>1</v>
      </c>
      <c r="J795" s="86">
        <f t="shared" ca="1" si="3"/>
        <v>45080</v>
      </c>
      <c r="R795" s="26"/>
    </row>
    <row r="796" spans="1:18" ht="15.75" customHeight="1">
      <c r="A796" s="26">
        <f ca="1">IFERROR(__xludf.DUMMYFUNCTION("""COMPUTED_VALUE"""),18905)</f>
        <v>18905</v>
      </c>
      <c r="B796" s="86">
        <f ca="1">IFERROR(__xludf.DUMMYFUNCTION("""COMPUTED_VALUE"""),45080.5441550925)</f>
        <v>45080.544155092502</v>
      </c>
      <c r="C796" s="1" t="str">
        <f ca="1">IFERROR(__xludf.DUMMYFUNCTION("""COMPUTED_VALUE"""),"completed")</f>
        <v>completed</v>
      </c>
      <c r="D796" s="26">
        <f ca="1">IFERROR(__xludf.DUMMYFUNCTION("""COMPUTED_VALUE"""),26)</f>
        <v>26</v>
      </c>
      <c r="E796" s="1"/>
      <c r="F796" s="87" t="str">
        <f t="shared" ca="1" si="0"/>
        <v>2023</v>
      </c>
      <c r="G796" s="1" t="str">
        <f ca="1">IFERROR(__xludf.DUMMYFUNCTION("""COMPUTED_VALUE"""),"W.M.H.A")</f>
        <v>W.M.H.A</v>
      </c>
      <c r="H796" s="26">
        <f t="shared" ca="1" si="1"/>
        <v>26</v>
      </c>
      <c r="I796" s="26">
        <f t="shared" ca="1" si="2"/>
        <v>1</v>
      </c>
      <c r="J796" s="86">
        <f t="shared" ca="1" si="3"/>
        <v>45080</v>
      </c>
      <c r="R796" s="26"/>
    </row>
    <row r="797" spans="1:18" ht="15.75" customHeight="1">
      <c r="A797" s="26">
        <f ca="1">IFERROR(__xludf.DUMMYFUNCTION("""COMPUTED_VALUE"""),18904)</f>
        <v>18904</v>
      </c>
      <c r="B797" s="86">
        <f ca="1">IFERROR(__xludf.DUMMYFUNCTION("""COMPUTED_VALUE"""),45080.5434375)</f>
        <v>45080.543437499997</v>
      </c>
      <c r="C797" s="1" t="str">
        <f ca="1">IFERROR(__xludf.DUMMYFUNCTION("""COMPUTED_VALUE"""),"completed")</f>
        <v>completed</v>
      </c>
      <c r="D797" s="26">
        <f ca="1">IFERROR(__xludf.DUMMYFUNCTION("""COMPUTED_VALUE"""),56)</f>
        <v>56</v>
      </c>
      <c r="E797" s="1"/>
      <c r="F797" s="87" t="str">
        <f t="shared" ca="1" si="0"/>
        <v>2023</v>
      </c>
      <c r="G797" s="1" t="str">
        <f ca="1">IFERROR(__xludf.DUMMYFUNCTION("""COMPUTED_VALUE"""),"W.M.H.A")</f>
        <v>W.M.H.A</v>
      </c>
      <c r="H797" s="26">
        <f t="shared" ca="1" si="1"/>
        <v>56</v>
      </c>
      <c r="I797" s="26">
        <f t="shared" ca="1" si="2"/>
        <v>1</v>
      </c>
      <c r="J797" s="86">
        <f t="shared" ca="1" si="3"/>
        <v>45080</v>
      </c>
      <c r="R797" s="26"/>
    </row>
    <row r="798" spans="1:18" ht="15.75" customHeight="1">
      <c r="A798" s="26">
        <f ca="1">IFERROR(__xludf.DUMMYFUNCTION("""COMPUTED_VALUE"""),18903)</f>
        <v>18903</v>
      </c>
      <c r="B798" s="86">
        <f ca="1">IFERROR(__xludf.DUMMYFUNCTION("""COMPUTED_VALUE"""),45080.5104629629)</f>
        <v>45080.510462962899</v>
      </c>
      <c r="C798" s="1" t="str">
        <f ca="1">IFERROR(__xludf.DUMMYFUNCTION("""COMPUTED_VALUE"""),"completed")</f>
        <v>completed</v>
      </c>
      <c r="D798" s="26">
        <f ca="1">IFERROR(__xludf.DUMMYFUNCTION("""COMPUTED_VALUE"""),25)</f>
        <v>25</v>
      </c>
      <c r="E798" s="1"/>
      <c r="F798" s="87" t="str">
        <f t="shared" ca="1" si="0"/>
        <v>2023</v>
      </c>
      <c r="G798" s="1" t="str">
        <f ca="1">IFERROR(__xludf.DUMMYFUNCTION("""COMPUTED_VALUE"""),"W.M.H.A")</f>
        <v>W.M.H.A</v>
      </c>
      <c r="H798" s="26">
        <f t="shared" ca="1" si="1"/>
        <v>25</v>
      </c>
      <c r="I798" s="26">
        <f t="shared" ca="1" si="2"/>
        <v>1</v>
      </c>
      <c r="J798" s="86">
        <f t="shared" ca="1" si="3"/>
        <v>45080</v>
      </c>
      <c r="R798" s="26"/>
    </row>
    <row r="799" spans="1:18" ht="15.75" customHeight="1">
      <c r="A799" s="26">
        <f ca="1">IFERROR(__xludf.DUMMYFUNCTION("""COMPUTED_VALUE"""),18902)</f>
        <v>18902</v>
      </c>
      <c r="B799" s="86">
        <f ca="1">IFERROR(__xludf.DUMMYFUNCTION("""COMPUTED_VALUE"""),45080.4922337962)</f>
        <v>45080.492233796198</v>
      </c>
      <c r="C799" s="1" t="str">
        <f ca="1">IFERROR(__xludf.DUMMYFUNCTION("""COMPUTED_VALUE"""),"completed")</f>
        <v>completed</v>
      </c>
      <c r="D799" s="26">
        <f ca="1">IFERROR(__xludf.DUMMYFUNCTION("""COMPUTED_VALUE"""),50)</f>
        <v>50</v>
      </c>
      <c r="E799" s="1"/>
      <c r="F799" s="87" t="str">
        <f t="shared" ca="1" si="0"/>
        <v>2023</v>
      </c>
      <c r="G799" s="1" t="str">
        <f ca="1">IFERROR(__xludf.DUMMYFUNCTION("""COMPUTED_VALUE"""),"W.M.H.A")</f>
        <v>W.M.H.A</v>
      </c>
      <c r="H799" s="26">
        <f t="shared" ca="1" si="1"/>
        <v>50</v>
      </c>
      <c r="I799" s="26">
        <f t="shared" ca="1" si="2"/>
        <v>1</v>
      </c>
      <c r="J799" s="86">
        <f t="shared" ca="1" si="3"/>
        <v>45080</v>
      </c>
      <c r="R799" s="26"/>
    </row>
    <row r="800" spans="1:18" ht="15.75" customHeight="1">
      <c r="A800" s="26">
        <f ca="1">IFERROR(__xludf.DUMMYFUNCTION("""COMPUTED_VALUE"""),18901)</f>
        <v>18901</v>
      </c>
      <c r="B800" s="86">
        <f ca="1">IFERROR(__xludf.DUMMYFUNCTION("""COMPUTED_VALUE"""),45080.480787037)</f>
        <v>45080.480787036999</v>
      </c>
      <c r="C800" s="1" t="str">
        <f ca="1">IFERROR(__xludf.DUMMYFUNCTION("""COMPUTED_VALUE"""),"completed")</f>
        <v>completed</v>
      </c>
      <c r="D800" s="26">
        <f ca="1">IFERROR(__xludf.DUMMYFUNCTION("""COMPUTED_VALUE"""),25)</f>
        <v>25</v>
      </c>
      <c r="E800" s="1"/>
      <c r="F800" s="87" t="str">
        <f t="shared" ca="1" si="0"/>
        <v>2023</v>
      </c>
      <c r="G800" s="1" t="str">
        <f ca="1">IFERROR(__xludf.DUMMYFUNCTION("""COMPUTED_VALUE"""),"W.M.H.A")</f>
        <v>W.M.H.A</v>
      </c>
      <c r="H800" s="26">
        <f t="shared" ca="1" si="1"/>
        <v>25</v>
      </c>
      <c r="I800" s="26">
        <f t="shared" ca="1" si="2"/>
        <v>1</v>
      </c>
      <c r="J800" s="86">
        <f t="shared" ca="1" si="3"/>
        <v>45080</v>
      </c>
      <c r="R800" s="26"/>
    </row>
    <row r="801" spans="1:18" ht="15.75" customHeight="1">
      <c r="A801" s="26">
        <f ca="1">IFERROR(__xludf.DUMMYFUNCTION("""COMPUTED_VALUE"""),18900)</f>
        <v>18900</v>
      </c>
      <c r="B801" s="86">
        <f ca="1">IFERROR(__xludf.DUMMYFUNCTION("""COMPUTED_VALUE"""),45080.0497916666)</f>
        <v>45080.049791666599</v>
      </c>
      <c r="C801" s="1" t="str">
        <f ca="1">IFERROR(__xludf.DUMMYFUNCTION("""COMPUTED_VALUE"""),"completed")</f>
        <v>completed</v>
      </c>
      <c r="D801" s="26">
        <f ca="1">IFERROR(__xludf.DUMMYFUNCTION("""COMPUTED_VALUE"""),20)</f>
        <v>20</v>
      </c>
      <c r="E801" s="1"/>
      <c r="F801" s="87" t="str">
        <f t="shared" ca="1" si="0"/>
        <v>2023</v>
      </c>
      <c r="G801" s="1" t="str">
        <f ca="1">IFERROR(__xludf.DUMMYFUNCTION("""COMPUTED_VALUE"""),"W.M.H.A")</f>
        <v>W.M.H.A</v>
      </c>
      <c r="H801" s="26">
        <f t="shared" ca="1" si="1"/>
        <v>20</v>
      </c>
      <c r="I801" s="26">
        <f t="shared" ca="1" si="2"/>
        <v>1</v>
      </c>
      <c r="J801" s="86">
        <f t="shared" ca="1" si="3"/>
        <v>45080</v>
      </c>
      <c r="R801" s="26"/>
    </row>
    <row r="802" spans="1:18" ht="15.75" customHeight="1">
      <c r="A802" s="26">
        <f ca="1">IFERROR(__xludf.DUMMYFUNCTION("""COMPUTED_VALUE"""),18899)</f>
        <v>18899</v>
      </c>
      <c r="B802" s="86">
        <f ca="1">IFERROR(__xludf.DUMMYFUNCTION("""COMPUTED_VALUE"""),45080.0462268518)</f>
        <v>45080.046226851802</v>
      </c>
      <c r="C802" s="1" t="str">
        <f ca="1">IFERROR(__xludf.DUMMYFUNCTION("""COMPUTED_VALUE"""),"completed")</f>
        <v>completed</v>
      </c>
      <c r="D802" s="26">
        <f ca="1">IFERROR(__xludf.DUMMYFUNCTION("""COMPUTED_VALUE"""),20)</f>
        <v>20</v>
      </c>
      <c r="E802" s="1"/>
      <c r="F802" s="87" t="str">
        <f t="shared" ca="1" si="0"/>
        <v>2023</v>
      </c>
      <c r="G802" s="1" t="str">
        <f ca="1">IFERROR(__xludf.DUMMYFUNCTION("""COMPUTED_VALUE"""),"W.M.H.A")</f>
        <v>W.M.H.A</v>
      </c>
      <c r="H802" s="26">
        <f t="shared" ca="1" si="1"/>
        <v>20</v>
      </c>
      <c r="I802" s="26">
        <f t="shared" ca="1" si="2"/>
        <v>1</v>
      </c>
      <c r="J802" s="86">
        <f t="shared" ca="1" si="3"/>
        <v>45080</v>
      </c>
      <c r="R802" s="26"/>
    </row>
    <row r="803" spans="1:18" ht="15.75" customHeight="1">
      <c r="A803" s="26">
        <f ca="1">IFERROR(__xludf.DUMMYFUNCTION("""COMPUTED_VALUE"""),18898)</f>
        <v>18898</v>
      </c>
      <c r="B803" s="86">
        <f ca="1">IFERROR(__xludf.DUMMYFUNCTION("""COMPUTED_VALUE"""),45080.0445717592)</f>
        <v>45080.044571759201</v>
      </c>
      <c r="C803" s="1" t="str">
        <f ca="1">IFERROR(__xludf.DUMMYFUNCTION("""COMPUTED_VALUE"""),"completed")</f>
        <v>completed</v>
      </c>
      <c r="D803" s="26">
        <f ca="1">IFERROR(__xludf.DUMMYFUNCTION("""COMPUTED_VALUE"""),20)</f>
        <v>20</v>
      </c>
      <c r="E803" s="1"/>
      <c r="F803" s="87" t="str">
        <f t="shared" ca="1" si="0"/>
        <v>2023</v>
      </c>
      <c r="G803" s="1" t="str">
        <f ca="1">IFERROR(__xludf.DUMMYFUNCTION("""COMPUTED_VALUE"""),"W.M.H.A")</f>
        <v>W.M.H.A</v>
      </c>
      <c r="H803" s="26">
        <f t="shared" ca="1" si="1"/>
        <v>20</v>
      </c>
      <c r="I803" s="26">
        <f t="shared" ca="1" si="2"/>
        <v>1</v>
      </c>
      <c r="J803" s="86">
        <f t="shared" ca="1" si="3"/>
        <v>45080</v>
      </c>
      <c r="R803" s="26"/>
    </row>
    <row r="804" spans="1:18" ht="15.75" customHeight="1">
      <c r="A804" s="26">
        <f ca="1">IFERROR(__xludf.DUMMYFUNCTION("""COMPUTED_VALUE"""),18897)</f>
        <v>18897</v>
      </c>
      <c r="B804" s="86">
        <f ca="1">IFERROR(__xludf.DUMMYFUNCTION("""COMPUTED_VALUE"""),45079.9172916666)</f>
        <v>45079.917291666599</v>
      </c>
      <c r="C804" s="1" t="str">
        <f ca="1">IFERROR(__xludf.DUMMYFUNCTION("""COMPUTED_VALUE"""),"completed")</f>
        <v>completed</v>
      </c>
      <c r="D804" s="26">
        <f ca="1">IFERROR(__xludf.DUMMYFUNCTION("""COMPUTED_VALUE"""),20)</f>
        <v>20</v>
      </c>
      <c r="E804" s="1"/>
      <c r="F804" s="87" t="str">
        <f t="shared" ca="1" si="0"/>
        <v>2023</v>
      </c>
      <c r="G804" s="1" t="str">
        <f ca="1">IFERROR(__xludf.DUMMYFUNCTION("""COMPUTED_VALUE"""),"W.M.H.A")</f>
        <v>W.M.H.A</v>
      </c>
      <c r="H804" s="26">
        <f t="shared" ca="1" si="1"/>
        <v>20</v>
      </c>
      <c r="I804" s="26">
        <f t="shared" ca="1" si="2"/>
        <v>1</v>
      </c>
      <c r="J804" s="86">
        <f t="shared" ca="1" si="3"/>
        <v>45079</v>
      </c>
      <c r="R804" s="26"/>
    </row>
    <row r="805" spans="1:18" ht="15.75" customHeight="1">
      <c r="A805" s="26">
        <f ca="1">IFERROR(__xludf.DUMMYFUNCTION("""COMPUTED_VALUE"""),18882)</f>
        <v>18882</v>
      </c>
      <c r="B805" s="86">
        <f ca="1">IFERROR(__xludf.DUMMYFUNCTION("""COMPUTED_VALUE"""),45079.1097800925)</f>
        <v>45079.109780092498</v>
      </c>
      <c r="C805" s="1" t="str">
        <f ca="1">IFERROR(__xludf.DUMMYFUNCTION("""COMPUTED_VALUE"""),"completed")</f>
        <v>completed</v>
      </c>
      <c r="D805" s="26">
        <f ca="1">IFERROR(__xludf.DUMMYFUNCTION("""COMPUTED_VALUE"""),20)</f>
        <v>20</v>
      </c>
      <c r="E805" s="1"/>
      <c r="F805" s="87" t="str">
        <f t="shared" ca="1" si="0"/>
        <v>2023</v>
      </c>
      <c r="G805" s="1" t="str">
        <f ca="1">IFERROR(__xludf.DUMMYFUNCTION("""COMPUTED_VALUE"""),"W.M.H.A")</f>
        <v>W.M.H.A</v>
      </c>
      <c r="H805" s="26">
        <f t="shared" ca="1" si="1"/>
        <v>20</v>
      </c>
      <c r="I805" s="26">
        <f t="shared" ca="1" si="2"/>
        <v>1</v>
      </c>
      <c r="J805" s="86">
        <f t="shared" ca="1" si="3"/>
        <v>45079</v>
      </c>
      <c r="R805" s="26"/>
    </row>
    <row r="806" spans="1:18" ht="15.75" customHeight="1">
      <c r="A806" s="26">
        <f ca="1">IFERROR(__xludf.DUMMYFUNCTION("""COMPUTED_VALUE"""),18881)</f>
        <v>18881</v>
      </c>
      <c r="B806" s="86">
        <f ca="1">IFERROR(__xludf.DUMMYFUNCTION("""COMPUTED_VALUE"""),45078.9763657407)</f>
        <v>45078.976365740702</v>
      </c>
      <c r="C806" s="1" t="str">
        <f ca="1">IFERROR(__xludf.DUMMYFUNCTION("""COMPUTED_VALUE"""),"completed")</f>
        <v>completed</v>
      </c>
      <c r="D806" s="26">
        <f ca="1">IFERROR(__xludf.DUMMYFUNCTION("""COMPUTED_VALUE"""),30)</f>
        <v>30</v>
      </c>
      <c r="E806" s="1"/>
      <c r="F806" s="87" t="str">
        <f t="shared" ca="1" si="0"/>
        <v>2023</v>
      </c>
      <c r="G806" s="1" t="str">
        <f ca="1">IFERROR(__xludf.DUMMYFUNCTION("""COMPUTED_VALUE"""),"W.M.H.A")</f>
        <v>W.M.H.A</v>
      </c>
      <c r="H806" s="26">
        <f t="shared" ca="1" si="1"/>
        <v>30</v>
      </c>
      <c r="I806" s="26">
        <f t="shared" ca="1" si="2"/>
        <v>1</v>
      </c>
      <c r="J806" s="86">
        <f t="shared" ca="1" si="3"/>
        <v>45078</v>
      </c>
      <c r="R806" s="26"/>
    </row>
    <row r="807" spans="1:18" ht="15.75" customHeight="1">
      <c r="A807" s="26">
        <f ca="1">IFERROR(__xludf.DUMMYFUNCTION("""COMPUTED_VALUE"""),18879)</f>
        <v>18879</v>
      </c>
      <c r="B807" s="86">
        <f ca="1">IFERROR(__xludf.DUMMYFUNCTION("""COMPUTED_VALUE"""),45078.8281712962)</f>
        <v>45078.828171296198</v>
      </c>
      <c r="C807" s="1" t="str">
        <f ca="1">IFERROR(__xludf.DUMMYFUNCTION("""COMPUTED_VALUE"""),"completed")</f>
        <v>completed</v>
      </c>
      <c r="D807" s="26">
        <f ca="1">IFERROR(__xludf.DUMMYFUNCTION("""COMPUTED_VALUE"""),20)</f>
        <v>20</v>
      </c>
      <c r="E807" s="1"/>
      <c r="F807" s="87" t="str">
        <f t="shared" ca="1" si="0"/>
        <v>2023</v>
      </c>
      <c r="G807" s="1" t="str">
        <f ca="1">IFERROR(__xludf.DUMMYFUNCTION("""COMPUTED_VALUE"""),"W.M.H.A")</f>
        <v>W.M.H.A</v>
      </c>
      <c r="H807" s="26">
        <f t="shared" ca="1" si="1"/>
        <v>20</v>
      </c>
      <c r="I807" s="26">
        <f t="shared" ca="1" si="2"/>
        <v>1</v>
      </c>
      <c r="J807" s="86">
        <f t="shared" ca="1" si="3"/>
        <v>45078</v>
      </c>
      <c r="R807" s="26"/>
    </row>
    <row r="808" spans="1:18" ht="15.75" customHeight="1">
      <c r="A808" s="26">
        <f ca="1">IFERROR(__xludf.DUMMYFUNCTION("""COMPUTED_VALUE"""),18878)</f>
        <v>18878</v>
      </c>
      <c r="B808" s="86">
        <f ca="1">IFERROR(__xludf.DUMMYFUNCTION("""COMPUTED_VALUE"""),45078.6728009259)</f>
        <v>45078.672800925902</v>
      </c>
      <c r="C808" s="1" t="str">
        <f ca="1">IFERROR(__xludf.DUMMYFUNCTION("""COMPUTED_VALUE"""),"completed")</f>
        <v>completed</v>
      </c>
      <c r="D808" s="26">
        <f ca="1">IFERROR(__xludf.DUMMYFUNCTION("""COMPUTED_VALUE"""),25)</f>
        <v>25</v>
      </c>
      <c r="E808" s="1"/>
      <c r="F808" s="87" t="str">
        <f t="shared" ca="1" si="0"/>
        <v>2023</v>
      </c>
      <c r="G808" s="1" t="str">
        <f ca="1">IFERROR(__xludf.DUMMYFUNCTION("""COMPUTED_VALUE"""),"W.M.H.A")</f>
        <v>W.M.H.A</v>
      </c>
      <c r="H808" s="26">
        <f t="shared" ca="1" si="1"/>
        <v>25</v>
      </c>
      <c r="I808" s="26">
        <f t="shared" ca="1" si="2"/>
        <v>1</v>
      </c>
      <c r="J808" s="86">
        <f t="shared" ca="1" si="3"/>
        <v>45078</v>
      </c>
      <c r="R808" s="26"/>
    </row>
    <row r="809" spans="1:18" ht="15.75" customHeight="1">
      <c r="A809" s="26">
        <f ca="1">IFERROR(__xludf.DUMMYFUNCTION("""COMPUTED_VALUE"""),18877)</f>
        <v>18877</v>
      </c>
      <c r="B809" s="86">
        <f ca="1">IFERROR(__xludf.DUMMYFUNCTION("""COMPUTED_VALUE"""),45078.6396643518)</f>
        <v>45078.639664351802</v>
      </c>
      <c r="C809" s="1" t="str">
        <f ca="1">IFERROR(__xludf.DUMMYFUNCTION("""COMPUTED_VALUE"""),"completed")</f>
        <v>completed</v>
      </c>
      <c r="D809" s="26">
        <f ca="1">IFERROR(__xludf.DUMMYFUNCTION("""COMPUTED_VALUE"""),15)</f>
        <v>15</v>
      </c>
      <c r="E809" s="1"/>
      <c r="F809" s="87" t="str">
        <f t="shared" ca="1" si="0"/>
        <v>2023</v>
      </c>
      <c r="G809" s="1" t="str">
        <f ca="1">IFERROR(__xludf.DUMMYFUNCTION("""COMPUTED_VALUE"""),"W.M.H.A")</f>
        <v>W.M.H.A</v>
      </c>
      <c r="H809" s="26">
        <f t="shared" ca="1" si="1"/>
        <v>15</v>
      </c>
      <c r="I809" s="26">
        <f t="shared" ca="1" si="2"/>
        <v>1</v>
      </c>
      <c r="J809" s="86">
        <f t="shared" ca="1" si="3"/>
        <v>45078</v>
      </c>
      <c r="R809" s="26"/>
    </row>
    <row r="810" spans="1:18" ht="15.75" customHeight="1">
      <c r="A810" s="26">
        <f ca="1">IFERROR(__xludf.DUMMYFUNCTION("""COMPUTED_VALUE"""),18876)</f>
        <v>18876</v>
      </c>
      <c r="B810" s="86">
        <f ca="1">IFERROR(__xludf.DUMMYFUNCTION("""COMPUTED_VALUE"""),45078.5400925925)</f>
        <v>45078.540092592499</v>
      </c>
      <c r="C810" s="1" t="str">
        <f ca="1">IFERROR(__xludf.DUMMYFUNCTION("""COMPUTED_VALUE"""),"completed")</f>
        <v>completed</v>
      </c>
      <c r="D810" s="26">
        <f ca="1">IFERROR(__xludf.DUMMYFUNCTION("""COMPUTED_VALUE"""),25)</f>
        <v>25</v>
      </c>
      <c r="E810" s="1"/>
      <c r="F810" s="87" t="str">
        <f t="shared" ca="1" si="0"/>
        <v>2023</v>
      </c>
      <c r="G810" s="1" t="str">
        <f ca="1">IFERROR(__xludf.DUMMYFUNCTION("""COMPUTED_VALUE"""),"W.M.H.A")</f>
        <v>W.M.H.A</v>
      </c>
      <c r="H810" s="26">
        <f t="shared" ca="1" si="1"/>
        <v>25</v>
      </c>
      <c r="I810" s="26">
        <f t="shared" ca="1" si="2"/>
        <v>1</v>
      </c>
      <c r="J810" s="86">
        <f t="shared" ca="1" si="3"/>
        <v>45078</v>
      </c>
      <c r="R810" s="26"/>
    </row>
    <row r="811" spans="1:18" ht="15.75" customHeight="1">
      <c r="A811" s="26">
        <f ca="1">IFERROR(__xludf.DUMMYFUNCTION("""COMPUTED_VALUE"""),18875)</f>
        <v>18875</v>
      </c>
      <c r="B811" s="86">
        <f ca="1">IFERROR(__xludf.DUMMYFUNCTION("""COMPUTED_VALUE"""),45078.5284259259)</f>
        <v>45078.528425925899</v>
      </c>
      <c r="C811" s="1" t="str">
        <f ca="1">IFERROR(__xludf.DUMMYFUNCTION("""COMPUTED_VALUE"""),"completed")</f>
        <v>completed</v>
      </c>
      <c r="D811" s="26">
        <f ca="1">IFERROR(__xludf.DUMMYFUNCTION("""COMPUTED_VALUE"""),15)</f>
        <v>15</v>
      </c>
      <c r="E811" s="1"/>
      <c r="F811" s="87" t="str">
        <f t="shared" ca="1" si="0"/>
        <v>2023</v>
      </c>
      <c r="G811" s="1" t="str">
        <f ca="1">IFERROR(__xludf.DUMMYFUNCTION("""COMPUTED_VALUE"""),"W.M.H.A")</f>
        <v>W.M.H.A</v>
      </c>
      <c r="H811" s="26">
        <f t="shared" ca="1" si="1"/>
        <v>15</v>
      </c>
      <c r="I811" s="26">
        <f t="shared" ca="1" si="2"/>
        <v>1</v>
      </c>
      <c r="J811" s="86">
        <f t="shared" ca="1" si="3"/>
        <v>45078</v>
      </c>
      <c r="R811" s="26"/>
    </row>
    <row r="812" spans="1:18" ht="15.75" customHeight="1">
      <c r="A812" s="26">
        <f ca="1">IFERROR(__xludf.DUMMYFUNCTION("""COMPUTED_VALUE"""),18874)</f>
        <v>18874</v>
      </c>
      <c r="B812" s="86">
        <f ca="1">IFERROR(__xludf.DUMMYFUNCTION("""COMPUTED_VALUE"""),45078.0841319444)</f>
        <v>45078.084131944401</v>
      </c>
      <c r="C812" s="1" t="str">
        <f ca="1">IFERROR(__xludf.DUMMYFUNCTION("""COMPUTED_VALUE"""),"completed")</f>
        <v>completed</v>
      </c>
      <c r="D812" s="26">
        <f ca="1">IFERROR(__xludf.DUMMYFUNCTION("""COMPUTED_VALUE"""),25)</f>
        <v>25</v>
      </c>
      <c r="E812" s="1"/>
      <c r="F812" s="87" t="str">
        <f t="shared" ca="1" si="0"/>
        <v>2023</v>
      </c>
      <c r="G812" s="1" t="str">
        <f ca="1">IFERROR(__xludf.DUMMYFUNCTION("""COMPUTED_VALUE"""),"W.M.H.A")</f>
        <v>W.M.H.A</v>
      </c>
      <c r="H812" s="26">
        <f t="shared" ca="1" si="1"/>
        <v>25</v>
      </c>
      <c r="I812" s="26">
        <f t="shared" ca="1" si="2"/>
        <v>1</v>
      </c>
      <c r="J812" s="86">
        <f t="shared" ca="1" si="3"/>
        <v>45078</v>
      </c>
      <c r="R812" s="26"/>
    </row>
    <row r="813" spans="1:18" ht="15.75" customHeight="1">
      <c r="A813" s="26">
        <f ca="1">IFERROR(__xludf.DUMMYFUNCTION("""COMPUTED_VALUE"""),18873)</f>
        <v>18873</v>
      </c>
      <c r="B813" s="86">
        <f ca="1">IFERROR(__xludf.DUMMYFUNCTION("""COMPUTED_VALUE"""),45078.0507754629)</f>
        <v>45078.0507754629</v>
      </c>
      <c r="C813" s="1" t="str">
        <f ca="1">IFERROR(__xludf.DUMMYFUNCTION("""COMPUTED_VALUE"""),"completed")</f>
        <v>completed</v>
      </c>
      <c r="D813" s="26">
        <f ca="1">IFERROR(__xludf.DUMMYFUNCTION("""COMPUTED_VALUE"""),28)</f>
        <v>28</v>
      </c>
      <c r="E813" s="1"/>
      <c r="F813" s="87" t="str">
        <f t="shared" ca="1" si="0"/>
        <v>2023</v>
      </c>
      <c r="G813" s="1" t="str">
        <f ca="1">IFERROR(__xludf.DUMMYFUNCTION("""COMPUTED_VALUE"""),"W.M.H.A")</f>
        <v>W.M.H.A</v>
      </c>
      <c r="H813" s="26">
        <f t="shared" ca="1" si="1"/>
        <v>28</v>
      </c>
      <c r="I813" s="26">
        <f t="shared" ca="1" si="2"/>
        <v>1</v>
      </c>
      <c r="J813" s="86">
        <f t="shared" ca="1" si="3"/>
        <v>45078</v>
      </c>
      <c r="R813" s="26"/>
    </row>
    <row r="814" spans="1:18" ht="15.75" customHeight="1">
      <c r="A814" s="26">
        <f ca="1">IFERROR(__xludf.DUMMYFUNCTION("""COMPUTED_VALUE"""),18872)</f>
        <v>18872</v>
      </c>
      <c r="B814" s="86">
        <f ca="1">IFERROR(__xludf.DUMMYFUNCTION("""COMPUTED_VALUE"""),45077.9849189814)</f>
        <v>45077.984918981398</v>
      </c>
      <c r="C814" s="1" t="str">
        <f ca="1">IFERROR(__xludf.DUMMYFUNCTION("""COMPUTED_VALUE"""),"completed")</f>
        <v>completed</v>
      </c>
      <c r="D814" s="26">
        <f ca="1">IFERROR(__xludf.DUMMYFUNCTION("""COMPUTED_VALUE"""),44)</f>
        <v>44</v>
      </c>
      <c r="E814" s="1"/>
      <c r="F814" s="87" t="str">
        <f t="shared" ca="1" si="0"/>
        <v>2023</v>
      </c>
      <c r="G814" s="1" t="str">
        <f ca="1">IFERROR(__xludf.DUMMYFUNCTION("""COMPUTED_VALUE"""),"W.M.H.A")</f>
        <v>W.M.H.A</v>
      </c>
      <c r="H814" s="26">
        <f t="shared" ca="1" si="1"/>
        <v>44</v>
      </c>
      <c r="I814" s="26">
        <f t="shared" ca="1" si="2"/>
        <v>1</v>
      </c>
      <c r="J814" s="86">
        <f t="shared" ca="1" si="3"/>
        <v>45077</v>
      </c>
      <c r="R814" s="26"/>
    </row>
    <row r="815" spans="1:18" ht="15.75" customHeight="1">
      <c r="A815" s="26">
        <f ca="1">IFERROR(__xludf.DUMMYFUNCTION("""COMPUTED_VALUE"""),18871)</f>
        <v>18871</v>
      </c>
      <c r="B815" s="86">
        <f ca="1">IFERROR(__xludf.DUMMYFUNCTION("""COMPUTED_VALUE"""),45077.969537037)</f>
        <v>45077.969537037003</v>
      </c>
      <c r="C815" s="1" t="str">
        <f ca="1">IFERROR(__xludf.DUMMYFUNCTION("""COMPUTED_VALUE"""),"completed")</f>
        <v>completed</v>
      </c>
      <c r="D815" s="26">
        <f ca="1">IFERROR(__xludf.DUMMYFUNCTION("""COMPUTED_VALUE"""),25)</f>
        <v>25</v>
      </c>
      <c r="E815" s="1"/>
      <c r="F815" s="87" t="str">
        <f t="shared" ca="1" si="0"/>
        <v>2023</v>
      </c>
      <c r="G815" s="1" t="str">
        <f ca="1">IFERROR(__xludf.DUMMYFUNCTION("""COMPUTED_VALUE"""),"W.M.H.A")</f>
        <v>W.M.H.A</v>
      </c>
      <c r="H815" s="26">
        <f t="shared" ca="1" si="1"/>
        <v>25</v>
      </c>
      <c r="I815" s="26">
        <f t="shared" ca="1" si="2"/>
        <v>1</v>
      </c>
      <c r="J815" s="86">
        <f t="shared" ca="1" si="3"/>
        <v>45077</v>
      </c>
      <c r="R815" s="26"/>
    </row>
    <row r="816" spans="1:18" ht="15.75" customHeight="1">
      <c r="A816" s="26">
        <f ca="1">IFERROR(__xludf.DUMMYFUNCTION("""COMPUTED_VALUE"""),18870)</f>
        <v>18870</v>
      </c>
      <c r="B816" s="86">
        <f ca="1">IFERROR(__xludf.DUMMYFUNCTION("""COMPUTED_VALUE"""),45077.9689583333)</f>
        <v>45077.968958333302</v>
      </c>
      <c r="C816" s="1" t="str">
        <f ca="1">IFERROR(__xludf.DUMMYFUNCTION("""COMPUTED_VALUE"""),"completed")</f>
        <v>completed</v>
      </c>
      <c r="D816" s="26">
        <f ca="1">IFERROR(__xludf.DUMMYFUNCTION("""COMPUTED_VALUE"""),20)</f>
        <v>20</v>
      </c>
      <c r="E816" s="1"/>
      <c r="F816" s="87" t="str">
        <f t="shared" ca="1" si="0"/>
        <v>2023</v>
      </c>
      <c r="G816" s="1" t="str">
        <f ca="1">IFERROR(__xludf.DUMMYFUNCTION("""COMPUTED_VALUE"""),"W.M.H.A")</f>
        <v>W.M.H.A</v>
      </c>
      <c r="H816" s="26">
        <f t="shared" ca="1" si="1"/>
        <v>20</v>
      </c>
      <c r="I816" s="26">
        <f t="shared" ca="1" si="2"/>
        <v>1</v>
      </c>
      <c r="J816" s="86">
        <f t="shared" ca="1" si="3"/>
        <v>45077</v>
      </c>
      <c r="R816" s="26"/>
    </row>
    <row r="817" spans="1:18" ht="15.75" customHeight="1">
      <c r="A817" s="26">
        <f ca="1">IFERROR(__xludf.DUMMYFUNCTION("""COMPUTED_VALUE"""),18869)</f>
        <v>18869</v>
      </c>
      <c r="B817" s="86">
        <f ca="1">IFERROR(__xludf.DUMMYFUNCTION("""COMPUTED_VALUE"""),45077.939699074)</f>
        <v>45077.939699073999</v>
      </c>
      <c r="C817" s="1" t="str">
        <f ca="1">IFERROR(__xludf.DUMMYFUNCTION("""COMPUTED_VALUE"""),"completed")</f>
        <v>completed</v>
      </c>
      <c r="D817" s="26">
        <f ca="1">IFERROR(__xludf.DUMMYFUNCTION("""COMPUTED_VALUE"""),28)</f>
        <v>28</v>
      </c>
      <c r="E817" s="1"/>
      <c r="F817" s="87" t="str">
        <f t="shared" ca="1" si="0"/>
        <v>2023</v>
      </c>
      <c r="G817" s="1" t="str">
        <f ca="1">IFERROR(__xludf.DUMMYFUNCTION("""COMPUTED_VALUE"""),"Select Option")</f>
        <v>Select Option</v>
      </c>
      <c r="H817" s="26">
        <f t="shared" ca="1" si="1"/>
        <v>28</v>
      </c>
      <c r="I817" s="26">
        <f t="shared" ca="1" si="2"/>
        <v>1</v>
      </c>
      <c r="J817" s="86">
        <f t="shared" ca="1" si="3"/>
        <v>45077</v>
      </c>
      <c r="R817" s="26"/>
    </row>
    <row r="818" spans="1:18" ht="15.75" customHeight="1">
      <c r="A818" s="26">
        <f ca="1">IFERROR(__xludf.DUMMYFUNCTION("""COMPUTED_VALUE"""),18868)</f>
        <v>18868</v>
      </c>
      <c r="B818" s="86">
        <f ca="1">IFERROR(__xludf.DUMMYFUNCTION("""COMPUTED_VALUE"""),45077.9375231481)</f>
        <v>45077.937523148103</v>
      </c>
      <c r="C818" s="1" t="str">
        <f ca="1">IFERROR(__xludf.DUMMYFUNCTION("""COMPUTED_VALUE"""),"completed")</f>
        <v>completed</v>
      </c>
      <c r="D818" s="26">
        <f ca="1">IFERROR(__xludf.DUMMYFUNCTION("""COMPUTED_VALUE"""),35)</f>
        <v>35</v>
      </c>
      <c r="E818" s="1"/>
      <c r="F818" s="87" t="str">
        <f t="shared" ca="1" si="0"/>
        <v>2023</v>
      </c>
      <c r="G818" s="1" t="str">
        <f ca="1">IFERROR(__xludf.DUMMYFUNCTION("""COMPUTED_VALUE"""),"W.M.H.A")</f>
        <v>W.M.H.A</v>
      </c>
      <c r="H818" s="26">
        <f t="shared" ca="1" si="1"/>
        <v>35</v>
      </c>
      <c r="I818" s="26">
        <f t="shared" ca="1" si="2"/>
        <v>1</v>
      </c>
      <c r="J818" s="86">
        <f t="shared" ca="1" si="3"/>
        <v>45077</v>
      </c>
      <c r="R818" s="26"/>
    </row>
    <row r="819" spans="1:18" ht="15.75" customHeight="1">
      <c r="A819" s="26">
        <f ca="1">IFERROR(__xludf.DUMMYFUNCTION("""COMPUTED_VALUE"""),18867)</f>
        <v>18867</v>
      </c>
      <c r="B819" s="86">
        <f ca="1">IFERROR(__xludf.DUMMYFUNCTION("""COMPUTED_VALUE"""),45077.9222337963)</f>
        <v>45077.9222337963</v>
      </c>
      <c r="C819" s="1" t="str">
        <f ca="1">IFERROR(__xludf.DUMMYFUNCTION("""COMPUTED_VALUE"""),"completed")</f>
        <v>completed</v>
      </c>
      <c r="D819" s="26">
        <f ca="1">IFERROR(__xludf.DUMMYFUNCTION("""COMPUTED_VALUE"""),50)</f>
        <v>50</v>
      </c>
      <c r="E819" s="1"/>
      <c r="F819" s="87" t="str">
        <f t="shared" ca="1" si="0"/>
        <v>2023</v>
      </c>
      <c r="G819" s="1" t="str">
        <f ca="1">IFERROR(__xludf.DUMMYFUNCTION("""COMPUTED_VALUE"""),"W.M.H.A")</f>
        <v>W.M.H.A</v>
      </c>
      <c r="H819" s="26">
        <f t="shared" ca="1" si="1"/>
        <v>50</v>
      </c>
      <c r="I819" s="26">
        <f t="shared" ca="1" si="2"/>
        <v>1</v>
      </c>
      <c r="J819" s="86">
        <f t="shared" ca="1" si="3"/>
        <v>45077</v>
      </c>
      <c r="R819" s="26"/>
    </row>
    <row r="820" spans="1:18" ht="15.75" customHeight="1">
      <c r="A820" s="26">
        <f ca="1">IFERROR(__xludf.DUMMYFUNCTION("""COMPUTED_VALUE"""),18866)</f>
        <v>18866</v>
      </c>
      <c r="B820" s="86">
        <f ca="1">IFERROR(__xludf.DUMMYFUNCTION("""COMPUTED_VALUE"""),45077.9220601851)</f>
        <v>45077.922060185098</v>
      </c>
      <c r="C820" s="1" t="str">
        <f ca="1">IFERROR(__xludf.DUMMYFUNCTION("""COMPUTED_VALUE"""),"completed")</f>
        <v>completed</v>
      </c>
      <c r="D820" s="26">
        <f ca="1">IFERROR(__xludf.DUMMYFUNCTION("""COMPUTED_VALUE"""),28)</f>
        <v>28</v>
      </c>
      <c r="E820" s="1"/>
      <c r="F820" s="87" t="str">
        <f t="shared" ca="1" si="0"/>
        <v>2023</v>
      </c>
      <c r="G820" s="1" t="str">
        <f ca="1">IFERROR(__xludf.DUMMYFUNCTION("""COMPUTED_VALUE"""),"W.M.H.A")</f>
        <v>W.M.H.A</v>
      </c>
      <c r="H820" s="26">
        <f t="shared" ca="1" si="1"/>
        <v>28</v>
      </c>
      <c r="I820" s="26">
        <f t="shared" ca="1" si="2"/>
        <v>1</v>
      </c>
      <c r="J820" s="86">
        <f t="shared" ca="1" si="3"/>
        <v>45077</v>
      </c>
      <c r="R820" s="26"/>
    </row>
    <row r="821" spans="1:18" ht="15.75" customHeight="1">
      <c r="A821" s="26">
        <f ca="1">IFERROR(__xludf.DUMMYFUNCTION("""COMPUTED_VALUE"""),18865)</f>
        <v>18865</v>
      </c>
      <c r="B821" s="86">
        <f ca="1">IFERROR(__xludf.DUMMYFUNCTION("""COMPUTED_VALUE"""),45077.9208564814)</f>
        <v>45077.920856481403</v>
      </c>
      <c r="C821" s="1" t="str">
        <f ca="1">IFERROR(__xludf.DUMMYFUNCTION("""COMPUTED_VALUE"""),"completed")</f>
        <v>completed</v>
      </c>
      <c r="D821" s="26">
        <f ca="1">IFERROR(__xludf.DUMMYFUNCTION("""COMPUTED_VALUE"""),25)</f>
        <v>25</v>
      </c>
      <c r="E821" s="1"/>
      <c r="F821" s="87" t="str">
        <f t="shared" ca="1" si="0"/>
        <v>2023</v>
      </c>
      <c r="G821" s="1" t="str">
        <f ca="1">IFERROR(__xludf.DUMMYFUNCTION("""COMPUTED_VALUE"""),"W.M.H.A")</f>
        <v>W.M.H.A</v>
      </c>
      <c r="H821" s="26">
        <f t="shared" ca="1" si="1"/>
        <v>25</v>
      </c>
      <c r="I821" s="26">
        <f t="shared" ca="1" si="2"/>
        <v>1</v>
      </c>
      <c r="J821" s="86">
        <f t="shared" ca="1" si="3"/>
        <v>45077</v>
      </c>
      <c r="R821" s="26"/>
    </row>
    <row r="822" spans="1:18" ht="15.75" customHeight="1">
      <c r="A822" s="26">
        <f ca="1">IFERROR(__xludf.DUMMYFUNCTION("""COMPUTED_VALUE"""),18864)</f>
        <v>18864</v>
      </c>
      <c r="B822" s="86">
        <f ca="1">IFERROR(__xludf.DUMMYFUNCTION("""COMPUTED_VALUE"""),45077.9200810185)</f>
        <v>45077.920081018499</v>
      </c>
      <c r="C822" s="1" t="str">
        <f ca="1">IFERROR(__xludf.DUMMYFUNCTION("""COMPUTED_VALUE"""),"completed")</f>
        <v>completed</v>
      </c>
      <c r="D822" s="26">
        <f ca="1">IFERROR(__xludf.DUMMYFUNCTION("""COMPUTED_VALUE"""),25)</f>
        <v>25</v>
      </c>
      <c r="E822" s="1"/>
      <c r="F822" s="87" t="str">
        <f t="shared" ca="1" si="0"/>
        <v>2023</v>
      </c>
      <c r="G822" s="1" t="str">
        <f ca="1">IFERROR(__xludf.DUMMYFUNCTION("""COMPUTED_VALUE"""),"W.M.H.A")</f>
        <v>W.M.H.A</v>
      </c>
      <c r="H822" s="26">
        <f t="shared" ca="1" si="1"/>
        <v>25</v>
      </c>
      <c r="I822" s="26">
        <f t="shared" ca="1" si="2"/>
        <v>1</v>
      </c>
      <c r="J822" s="86">
        <f t="shared" ca="1" si="3"/>
        <v>45077</v>
      </c>
      <c r="R822" s="26"/>
    </row>
    <row r="823" spans="1:18" ht="15.75" customHeight="1">
      <c r="A823" s="26">
        <f ca="1">IFERROR(__xludf.DUMMYFUNCTION("""COMPUTED_VALUE"""),18863)</f>
        <v>18863</v>
      </c>
      <c r="B823" s="86">
        <f ca="1">IFERROR(__xludf.DUMMYFUNCTION("""COMPUTED_VALUE"""),45077.9174999999)</f>
        <v>45077.917499999901</v>
      </c>
      <c r="C823" s="1" t="str">
        <f ca="1">IFERROR(__xludf.DUMMYFUNCTION("""COMPUTED_VALUE"""),"completed")</f>
        <v>completed</v>
      </c>
      <c r="D823" s="26">
        <f ca="1">IFERROR(__xludf.DUMMYFUNCTION("""COMPUTED_VALUE"""),25)</f>
        <v>25</v>
      </c>
      <c r="E823" s="1"/>
      <c r="F823" s="87" t="str">
        <f t="shared" ca="1" si="0"/>
        <v>2023</v>
      </c>
      <c r="G823" s="1" t="str">
        <f ca="1">IFERROR(__xludf.DUMMYFUNCTION("""COMPUTED_VALUE"""),"W.M.H.A")</f>
        <v>W.M.H.A</v>
      </c>
      <c r="H823" s="26">
        <f t="shared" ca="1" si="1"/>
        <v>25</v>
      </c>
      <c r="I823" s="26">
        <f t="shared" ca="1" si="2"/>
        <v>1</v>
      </c>
      <c r="J823" s="86">
        <f t="shared" ca="1" si="3"/>
        <v>45077</v>
      </c>
      <c r="R823" s="26"/>
    </row>
    <row r="824" spans="1:18" ht="15.75" customHeight="1">
      <c r="A824" s="26">
        <f ca="1">IFERROR(__xludf.DUMMYFUNCTION("""COMPUTED_VALUE"""),18862)</f>
        <v>18862</v>
      </c>
      <c r="B824" s="86">
        <f ca="1">IFERROR(__xludf.DUMMYFUNCTION("""COMPUTED_VALUE"""),45077.9150231481)</f>
        <v>45077.915023148104</v>
      </c>
      <c r="C824" s="1" t="str">
        <f ca="1">IFERROR(__xludf.DUMMYFUNCTION("""COMPUTED_VALUE"""),"completed")</f>
        <v>completed</v>
      </c>
      <c r="D824" s="26">
        <f ca="1">IFERROR(__xludf.DUMMYFUNCTION("""COMPUTED_VALUE"""),25)</f>
        <v>25</v>
      </c>
      <c r="E824" s="1"/>
      <c r="F824" s="87" t="str">
        <f t="shared" ca="1" si="0"/>
        <v>2023</v>
      </c>
      <c r="G824" s="1" t="str">
        <f ca="1">IFERROR(__xludf.DUMMYFUNCTION("""COMPUTED_VALUE"""),"W.M.H.A")</f>
        <v>W.M.H.A</v>
      </c>
      <c r="H824" s="26">
        <f t="shared" ca="1" si="1"/>
        <v>25</v>
      </c>
      <c r="I824" s="26">
        <f t="shared" ca="1" si="2"/>
        <v>1</v>
      </c>
      <c r="J824" s="86">
        <f t="shared" ca="1" si="3"/>
        <v>45077</v>
      </c>
      <c r="R824" s="26"/>
    </row>
    <row r="825" spans="1:18" ht="15.75" customHeight="1">
      <c r="A825" s="26">
        <f ca="1">IFERROR(__xludf.DUMMYFUNCTION("""COMPUTED_VALUE"""),18861)</f>
        <v>18861</v>
      </c>
      <c r="B825" s="86">
        <f ca="1">IFERROR(__xludf.DUMMYFUNCTION("""COMPUTED_VALUE"""),45077.8716782407)</f>
        <v>45077.871678240699</v>
      </c>
      <c r="C825" s="1" t="str">
        <f ca="1">IFERROR(__xludf.DUMMYFUNCTION("""COMPUTED_VALUE"""),"completed")</f>
        <v>completed</v>
      </c>
      <c r="D825" s="26">
        <f ca="1">IFERROR(__xludf.DUMMYFUNCTION("""COMPUTED_VALUE"""),26)</f>
        <v>26</v>
      </c>
      <c r="E825" s="1"/>
      <c r="F825" s="87" t="str">
        <f t="shared" ca="1" si="0"/>
        <v>2023</v>
      </c>
      <c r="G825" s="1" t="str">
        <f ca="1">IFERROR(__xludf.DUMMYFUNCTION("""COMPUTED_VALUE"""),"W.M.H.A")</f>
        <v>W.M.H.A</v>
      </c>
      <c r="H825" s="26">
        <f t="shared" ca="1" si="1"/>
        <v>26</v>
      </c>
      <c r="I825" s="26">
        <f t="shared" ca="1" si="2"/>
        <v>1</v>
      </c>
      <c r="J825" s="86">
        <f t="shared" ca="1" si="3"/>
        <v>45077</v>
      </c>
      <c r="R825" s="26"/>
    </row>
    <row r="826" spans="1:18" ht="15.75" customHeight="1">
      <c r="A826" s="26">
        <f ca="1">IFERROR(__xludf.DUMMYFUNCTION("""COMPUTED_VALUE"""),18860)</f>
        <v>18860</v>
      </c>
      <c r="B826" s="86">
        <f ca="1">IFERROR(__xludf.DUMMYFUNCTION("""COMPUTED_VALUE"""),45076.541261574)</f>
        <v>45076.541261573999</v>
      </c>
      <c r="C826" s="1" t="str">
        <f ca="1">IFERROR(__xludf.DUMMYFUNCTION("""COMPUTED_VALUE"""),"completed")</f>
        <v>completed</v>
      </c>
      <c r="D826" s="26">
        <f ca="1">IFERROR(__xludf.DUMMYFUNCTION("""COMPUTED_VALUE"""),20)</f>
        <v>20</v>
      </c>
      <c r="E826" s="1"/>
      <c r="F826" s="87" t="str">
        <f t="shared" ca="1" si="0"/>
        <v>2023</v>
      </c>
      <c r="G826" s="1" t="str">
        <f ca="1">IFERROR(__xludf.DUMMYFUNCTION("""COMPUTED_VALUE"""),"W.M.H.A")</f>
        <v>W.M.H.A</v>
      </c>
      <c r="H826" s="26">
        <f t="shared" ca="1" si="1"/>
        <v>20</v>
      </c>
      <c r="I826" s="26">
        <f t="shared" ca="1" si="2"/>
        <v>1</v>
      </c>
      <c r="J826" s="86">
        <f t="shared" ca="1" si="3"/>
        <v>45076</v>
      </c>
      <c r="R826" s="26"/>
    </row>
    <row r="827" spans="1:18" ht="15.75" customHeight="1">
      <c r="A827" s="26">
        <f ca="1">IFERROR(__xludf.DUMMYFUNCTION("""COMPUTED_VALUE"""),18850)</f>
        <v>18850</v>
      </c>
      <c r="B827" s="86">
        <f ca="1">IFERROR(__xludf.DUMMYFUNCTION("""COMPUTED_VALUE"""),45074.9671064814)</f>
        <v>45074.967106481403</v>
      </c>
      <c r="C827" s="1" t="str">
        <f ca="1">IFERROR(__xludf.DUMMYFUNCTION("""COMPUTED_VALUE"""),"completed")</f>
        <v>completed</v>
      </c>
      <c r="D827" s="26">
        <f ca="1">IFERROR(__xludf.DUMMYFUNCTION("""COMPUTED_VALUE"""),47)</f>
        <v>47</v>
      </c>
      <c r="E827" s="1"/>
      <c r="F827" s="87" t="str">
        <f t="shared" ca="1" si="0"/>
        <v>2023</v>
      </c>
      <c r="G827" s="1" t="str">
        <f ca="1">IFERROR(__xludf.DUMMYFUNCTION("""COMPUTED_VALUE"""),"W.M.H.A")</f>
        <v>W.M.H.A</v>
      </c>
      <c r="H827" s="26">
        <f t="shared" ca="1" si="1"/>
        <v>47</v>
      </c>
      <c r="I827" s="26">
        <f t="shared" ca="1" si="2"/>
        <v>1</v>
      </c>
      <c r="J827" s="86">
        <f t="shared" ca="1" si="3"/>
        <v>45074</v>
      </c>
      <c r="R827" s="26"/>
    </row>
    <row r="828" spans="1:18" ht="15.75" customHeight="1">
      <c r="A828" s="26">
        <f ca="1">IFERROR(__xludf.DUMMYFUNCTION("""COMPUTED_VALUE"""),18849)</f>
        <v>18849</v>
      </c>
      <c r="B828" s="86">
        <f ca="1">IFERROR(__xludf.DUMMYFUNCTION("""COMPUTED_VALUE"""),45074.9179629629)</f>
        <v>45074.9179629629</v>
      </c>
      <c r="C828" s="1" t="str">
        <f ca="1">IFERROR(__xludf.DUMMYFUNCTION("""COMPUTED_VALUE"""),"completed")</f>
        <v>completed</v>
      </c>
      <c r="D828" s="26">
        <f ca="1">IFERROR(__xludf.DUMMYFUNCTION("""COMPUTED_VALUE"""),47)</f>
        <v>47</v>
      </c>
      <c r="E828" s="1"/>
      <c r="F828" s="87" t="str">
        <f t="shared" ca="1" si="0"/>
        <v>2023</v>
      </c>
      <c r="G828" s="1" t="str">
        <f ca="1">IFERROR(__xludf.DUMMYFUNCTION("""COMPUTED_VALUE"""),"W.M.H.A")</f>
        <v>W.M.H.A</v>
      </c>
      <c r="H828" s="26">
        <f t="shared" ca="1" si="1"/>
        <v>47</v>
      </c>
      <c r="I828" s="26">
        <f t="shared" ca="1" si="2"/>
        <v>1</v>
      </c>
      <c r="J828" s="86">
        <f t="shared" ca="1" si="3"/>
        <v>45074</v>
      </c>
      <c r="R828" s="26"/>
    </row>
    <row r="829" spans="1:18" ht="15.75" customHeight="1">
      <c r="A829" s="26">
        <f ca="1">IFERROR(__xludf.DUMMYFUNCTION("""COMPUTED_VALUE"""),18848)</f>
        <v>18848</v>
      </c>
      <c r="B829" s="86">
        <f ca="1">IFERROR(__xludf.DUMMYFUNCTION("""COMPUTED_VALUE"""),45074.8874884259)</f>
        <v>45074.887488425898</v>
      </c>
      <c r="C829" s="1" t="str">
        <f ca="1">IFERROR(__xludf.DUMMYFUNCTION("""COMPUTED_VALUE"""),"completed")</f>
        <v>completed</v>
      </c>
      <c r="D829" s="26">
        <f ca="1">IFERROR(__xludf.DUMMYFUNCTION("""COMPUTED_VALUE"""),30)</f>
        <v>30</v>
      </c>
      <c r="E829" s="1"/>
      <c r="F829" s="87" t="str">
        <f t="shared" ca="1" si="0"/>
        <v>2023</v>
      </c>
      <c r="G829" s="1" t="str">
        <f ca="1">IFERROR(__xludf.DUMMYFUNCTION("""COMPUTED_VALUE"""),"W.M.H.A")</f>
        <v>W.M.H.A</v>
      </c>
      <c r="H829" s="26">
        <f t="shared" ca="1" si="1"/>
        <v>30</v>
      </c>
      <c r="I829" s="26">
        <f t="shared" ca="1" si="2"/>
        <v>1</v>
      </c>
      <c r="J829" s="86">
        <f t="shared" ca="1" si="3"/>
        <v>45074</v>
      </c>
      <c r="R829" s="26"/>
    </row>
    <row r="830" spans="1:18" ht="15.75" customHeight="1">
      <c r="A830" s="26">
        <f ca="1">IFERROR(__xludf.DUMMYFUNCTION("""COMPUTED_VALUE"""),18847)</f>
        <v>18847</v>
      </c>
      <c r="B830" s="86">
        <f ca="1">IFERROR(__xludf.DUMMYFUNCTION("""COMPUTED_VALUE"""),45074.8847800925)</f>
        <v>45074.8847800925</v>
      </c>
      <c r="C830" s="1" t="str">
        <f ca="1">IFERROR(__xludf.DUMMYFUNCTION("""COMPUTED_VALUE"""),"completed")</f>
        <v>completed</v>
      </c>
      <c r="D830" s="26">
        <f ca="1">IFERROR(__xludf.DUMMYFUNCTION("""COMPUTED_VALUE"""),55)</f>
        <v>55</v>
      </c>
      <c r="E830" s="1"/>
      <c r="F830" s="87" t="str">
        <f t="shared" ca="1" si="0"/>
        <v>2023</v>
      </c>
      <c r="G830" s="1" t="str">
        <f ca="1">IFERROR(__xludf.DUMMYFUNCTION("""COMPUTED_VALUE"""),"W.M.H.A")</f>
        <v>W.M.H.A</v>
      </c>
      <c r="H830" s="26">
        <f t="shared" ca="1" si="1"/>
        <v>55</v>
      </c>
      <c r="I830" s="26">
        <f t="shared" ca="1" si="2"/>
        <v>1</v>
      </c>
      <c r="J830" s="86">
        <f t="shared" ca="1" si="3"/>
        <v>45074</v>
      </c>
      <c r="R830" s="26"/>
    </row>
    <row r="831" spans="1:18" ht="15.75" customHeight="1">
      <c r="A831" s="26">
        <f ca="1">IFERROR(__xludf.DUMMYFUNCTION("""COMPUTED_VALUE"""),18846)</f>
        <v>18846</v>
      </c>
      <c r="B831" s="86">
        <f ca="1">IFERROR(__xludf.DUMMYFUNCTION("""COMPUTED_VALUE"""),45074.8823611111)</f>
        <v>45074.8823611111</v>
      </c>
      <c r="C831" s="1" t="str">
        <f ca="1">IFERROR(__xludf.DUMMYFUNCTION("""COMPUTED_VALUE"""),"completed")</f>
        <v>completed</v>
      </c>
      <c r="D831" s="26">
        <f ca="1">IFERROR(__xludf.DUMMYFUNCTION("""COMPUTED_VALUE"""),55)</f>
        <v>55</v>
      </c>
      <c r="E831" s="1"/>
      <c r="F831" s="87" t="str">
        <f t="shared" ca="1" si="0"/>
        <v>2023</v>
      </c>
      <c r="G831" s="1" t="str">
        <f ca="1">IFERROR(__xludf.DUMMYFUNCTION("""COMPUTED_VALUE"""),"W.M.H.A")</f>
        <v>W.M.H.A</v>
      </c>
      <c r="H831" s="26">
        <f t="shared" ca="1" si="1"/>
        <v>55</v>
      </c>
      <c r="I831" s="26">
        <f t="shared" ca="1" si="2"/>
        <v>1</v>
      </c>
      <c r="J831" s="86">
        <f t="shared" ca="1" si="3"/>
        <v>45074</v>
      </c>
      <c r="R831" s="26"/>
    </row>
    <row r="832" spans="1:18" ht="15.75" customHeight="1">
      <c r="A832" s="26">
        <f ca="1">IFERROR(__xludf.DUMMYFUNCTION("""COMPUTED_VALUE"""),18845)</f>
        <v>18845</v>
      </c>
      <c r="B832" s="86">
        <f ca="1">IFERROR(__xludf.DUMMYFUNCTION("""COMPUTED_VALUE"""),45074.6523611111)</f>
        <v>45074.652361111097</v>
      </c>
      <c r="C832" s="1" t="str">
        <f ca="1">IFERROR(__xludf.DUMMYFUNCTION("""COMPUTED_VALUE"""),"draftpics-created")</f>
        <v>draftpics-created</v>
      </c>
      <c r="D832" s="26">
        <f ca="1">IFERROR(__xludf.DUMMYFUNCTION("""COMPUTED_VALUE"""),15)</f>
        <v>15</v>
      </c>
      <c r="E832" s="1"/>
      <c r="F832" s="87" t="str">
        <f t="shared" ca="1" si="0"/>
        <v>2023</v>
      </c>
      <c r="G832" s="1" t="str">
        <f ca="1">IFERROR(__xludf.DUMMYFUNCTION("""COMPUTED_VALUE"""),"W.M.H.A")</f>
        <v>W.M.H.A</v>
      </c>
      <c r="H832" s="26">
        <f t="shared" ca="1" si="1"/>
        <v>15</v>
      </c>
      <c r="I832" s="26">
        <f t="shared" ca="1" si="2"/>
        <v>1</v>
      </c>
      <c r="J832" s="86">
        <f t="shared" ca="1" si="3"/>
        <v>45074</v>
      </c>
      <c r="R832" s="26"/>
    </row>
    <row r="833" spans="1:18" ht="15.75" customHeight="1">
      <c r="A833" s="26">
        <f ca="1">IFERROR(__xludf.DUMMYFUNCTION("""COMPUTED_VALUE"""),18844)</f>
        <v>18844</v>
      </c>
      <c r="B833" s="86">
        <f ca="1">IFERROR(__xludf.DUMMYFUNCTION("""COMPUTED_VALUE"""),45074.6476736111)</f>
        <v>45074.6476736111</v>
      </c>
      <c r="C833" s="1" t="str">
        <f ca="1">IFERROR(__xludf.DUMMYFUNCTION("""COMPUTED_VALUE"""),"completed")</f>
        <v>completed</v>
      </c>
      <c r="D833" s="26">
        <f ca="1">IFERROR(__xludf.DUMMYFUNCTION("""COMPUTED_VALUE"""),15)</f>
        <v>15</v>
      </c>
      <c r="E833" s="1"/>
      <c r="F833" s="87" t="str">
        <f t="shared" ca="1" si="0"/>
        <v>2023</v>
      </c>
      <c r="G833" s="1" t="str">
        <f ca="1">IFERROR(__xludf.DUMMYFUNCTION("""COMPUTED_VALUE"""),"W.M.H.A")</f>
        <v>W.M.H.A</v>
      </c>
      <c r="H833" s="26">
        <f t="shared" ca="1" si="1"/>
        <v>15</v>
      </c>
      <c r="I833" s="26">
        <f t="shared" ca="1" si="2"/>
        <v>1</v>
      </c>
      <c r="J833" s="86">
        <f t="shared" ca="1" si="3"/>
        <v>45074</v>
      </c>
      <c r="R833" s="26"/>
    </row>
    <row r="834" spans="1:18" ht="15.75" customHeight="1">
      <c r="A834" s="26">
        <f ca="1">IFERROR(__xludf.DUMMYFUNCTION("""COMPUTED_VALUE"""),18843)</f>
        <v>18843</v>
      </c>
      <c r="B834" s="86">
        <f ca="1">IFERROR(__xludf.DUMMYFUNCTION("""COMPUTED_VALUE"""),45073.9950925925)</f>
        <v>45073.9950925925</v>
      </c>
      <c r="C834" s="1" t="str">
        <f ca="1">IFERROR(__xludf.DUMMYFUNCTION("""COMPUTED_VALUE"""),"completed")</f>
        <v>completed</v>
      </c>
      <c r="D834" s="26">
        <f ca="1">IFERROR(__xludf.DUMMYFUNCTION("""COMPUTED_VALUE"""),28)</f>
        <v>28</v>
      </c>
      <c r="E834" s="1"/>
      <c r="F834" s="87" t="str">
        <f t="shared" ca="1" si="0"/>
        <v>2023</v>
      </c>
      <c r="G834" s="1" t="str">
        <f ca="1">IFERROR(__xludf.DUMMYFUNCTION("""COMPUTED_VALUE"""),"W.M.H.A")</f>
        <v>W.M.H.A</v>
      </c>
      <c r="H834" s="26">
        <f t="shared" ca="1" si="1"/>
        <v>28</v>
      </c>
      <c r="I834" s="26">
        <f t="shared" ca="1" si="2"/>
        <v>1</v>
      </c>
      <c r="J834" s="86">
        <f t="shared" ca="1" si="3"/>
        <v>45073</v>
      </c>
      <c r="R834" s="26"/>
    </row>
    <row r="835" spans="1:18" ht="15.75" customHeight="1">
      <c r="A835" s="26">
        <f ca="1">IFERROR(__xludf.DUMMYFUNCTION("""COMPUTED_VALUE"""),18842)</f>
        <v>18842</v>
      </c>
      <c r="B835" s="86">
        <f ca="1">IFERROR(__xludf.DUMMYFUNCTION("""COMPUTED_VALUE"""),45073.5324884259)</f>
        <v>45073.532488425903</v>
      </c>
      <c r="C835" s="1" t="str">
        <f ca="1">IFERROR(__xludf.DUMMYFUNCTION("""COMPUTED_VALUE"""),"completed")</f>
        <v>completed</v>
      </c>
      <c r="D835" s="26">
        <f ca="1">IFERROR(__xludf.DUMMYFUNCTION("""COMPUTED_VALUE"""),25)</f>
        <v>25</v>
      </c>
      <c r="E835" s="1"/>
      <c r="F835" s="87" t="str">
        <f t="shared" ca="1" si="0"/>
        <v>2023</v>
      </c>
      <c r="G835" s="1" t="str">
        <f ca="1">IFERROR(__xludf.DUMMYFUNCTION("""COMPUTED_VALUE"""),"W.M.H.A")</f>
        <v>W.M.H.A</v>
      </c>
      <c r="H835" s="26">
        <f t="shared" ca="1" si="1"/>
        <v>25</v>
      </c>
      <c r="I835" s="26">
        <f t="shared" ca="1" si="2"/>
        <v>1</v>
      </c>
      <c r="J835" s="86">
        <f t="shared" ca="1" si="3"/>
        <v>45073</v>
      </c>
      <c r="R835" s="26"/>
    </row>
    <row r="836" spans="1:18" ht="15.75" customHeight="1">
      <c r="A836" s="26">
        <f ca="1">IFERROR(__xludf.DUMMYFUNCTION("""COMPUTED_VALUE"""),18841)</f>
        <v>18841</v>
      </c>
      <c r="B836" s="86">
        <f ca="1">IFERROR(__xludf.DUMMYFUNCTION("""COMPUTED_VALUE"""),45073.0533217592)</f>
        <v>45073.053321759202</v>
      </c>
      <c r="C836" s="1" t="str">
        <f ca="1">IFERROR(__xludf.DUMMYFUNCTION("""COMPUTED_VALUE"""),"completed")</f>
        <v>completed</v>
      </c>
      <c r="D836" s="26">
        <f ca="1">IFERROR(__xludf.DUMMYFUNCTION("""COMPUTED_VALUE"""),25)</f>
        <v>25</v>
      </c>
      <c r="E836" s="1"/>
      <c r="F836" s="87" t="str">
        <f t="shared" ca="1" si="0"/>
        <v>2023</v>
      </c>
      <c r="G836" s="1" t="str">
        <f ca="1">IFERROR(__xludf.DUMMYFUNCTION("""COMPUTED_VALUE"""),"W.M.H.A")</f>
        <v>W.M.H.A</v>
      </c>
      <c r="H836" s="26">
        <f t="shared" ca="1" si="1"/>
        <v>25</v>
      </c>
      <c r="I836" s="26">
        <f t="shared" ca="1" si="2"/>
        <v>1</v>
      </c>
      <c r="J836" s="86">
        <f t="shared" ca="1" si="3"/>
        <v>45073</v>
      </c>
      <c r="R836" s="26"/>
    </row>
    <row r="837" spans="1:18" ht="15.75" customHeight="1">
      <c r="A837" s="26">
        <f ca="1">IFERROR(__xludf.DUMMYFUNCTION("""COMPUTED_VALUE"""),18840)</f>
        <v>18840</v>
      </c>
      <c r="B837" s="86">
        <f ca="1">IFERROR(__xludf.DUMMYFUNCTION("""COMPUTED_VALUE"""),45072.9919212963)</f>
        <v>45072.9919212963</v>
      </c>
      <c r="C837" s="1" t="str">
        <f ca="1">IFERROR(__xludf.DUMMYFUNCTION("""COMPUTED_VALUE"""),"completed")</f>
        <v>completed</v>
      </c>
      <c r="D837" s="26">
        <f ca="1">IFERROR(__xludf.DUMMYFUNCTION("""COMPUTED_VALUE"""),56)</f>
        <v>56</v>
      </c>
      <c r="E837" s="1"/>
      <c r="F837" s="87" t="str">
        <f t="shared" ca="1" si="0"/>
        <v>2023</v>
      </c>
      <c r="G837" s="1" t="str">
        <f ca="1">IFERROR(__xludf.DUMMYFUNCTION("""COMPUTED_VALUE"""),"W.M.H.A")</f>
        <v>W.M.H.A</v>
      </c>
      <c r="H837" s="26">
        <f t="shared" ca="1" si="1"/>
        <v>56</v>
      </c>
      <c r="I837" s="26">
        <f t="shared" ca="1" si="2"/>
        <v>1</v>
      </c>
      <c r="J837" s="86">
        <f t="shared" ca="1" si="3"/>
        <v>45072</v>
      </c>
      <c r="R837" s="26"/>
    </row>
    <row r="838" spans="1:18" ht="15.75" customHeight="1">
      <c r="A838" s="26">
        <f ca="1">IFERROR(__xludf.DUMMYFUNCTION("""COMPUTED_VALUE"""),18839)</f>
        <v>18839</v>
      </c>
      <c r="B838" s="86">
        <f ca="1">IFERROR(__xludf.DUMMYFUNCTION("""COMPUTED_VALUE"""),45072.9858680555)</f>
        <v>45072.985868055497</v>
      </c>
      <c r="C838" s="1" t="str">
        <f ca="1">IFERROR(__xludf.DUMMYFUNCTION("""COMPUTED_VALUE"""),"completed")</f>
        <v>completed</v>
      </c>
      <c r="D838" s="26">
        <f ca="1">IFERROR(__xludf.DUMMYFUNCTION("""COMPUTED_VALUE"""),28)</f>
        <v>28</v>
      </c>
      <c r="E838" s="1"/>
      <c r="F838" s="87" t="str">
        <f t="shared" ca="1" si="0"/>
        <v>2023</v>
      </c>
      <c r="G838" s="1" t="str">
        <f ca="1">IFERROR(__xludf.DUMMYFUNCTION("""COMPUTED_VALUE"""),"W.M.H.A")</f>
        <v>W.M.H.A</v>
      </c>
      <c r="H838" s="26">
        <f t="shared" ca="1" si="1"/>
        <v>28</v>
      </c>
      <c r="I838" s="26">
        <f t="shared" ca="1" si="2"/>
        <v>1</v>
      </c>
      <c r="J838" s="86">
        <f t="shared" ca="1" si="3"/>
        <v>45072</v>
      </c>
      <c r="R838" s="26"/>
    </row>
    <row r="839" spans="1:18" ht="15.75" customHeight="1">
      <c r="A839" s="26">
        <f ca="1">IFERROR(__xludf.DUMMYFUNCTION("""COMPUTED_VALUE"""),18838)</f>
        <v>18838</v>
      </c>
      <c r="B839" s="86">
        <f ca="1">IFERROR(__xludf.DUMMYFUNCTION("""COMPUTED_VALUE"""),45072.9840162037)</f>
        <v>45072.9840162037</v>
      </c>
      <c r="C839" s="1" t="str">
        <f ca="1">IFERROR(__xludf.DUMMYFUNCTION("""COMPUTED_VALUE"""),"completed")</f>
        <v>completed</v>
      </c>
      <c r="D839" s="26">
        <f ca="1">IFERROR(__xludf.DUMMYFUNCTION("""COMPUTED_VALUE"""),28)</f>
        <v>28</v>
      </c>
      <c r="E839" s="1"/>
      <c r="F839" s="87" t="str">
        <f t="shared" ca="1" si="0"/>
        <v>2023</v>
      </c>
      <c r="G839" s="1" t="str">
        <f ca="1">IFERROR(__xludf.DUMMYFUNCTION("""COMPUTED_VALUE"""),"W.M.H.A")</f>
        <v>W.M.H.A</v>
      </c>
      <c r="H839" s="26">
        <f t="shared" ca="1" si="1"/>
        <v>28</v>
      </c>
      <c r="I839" s="26">
        <f t="shared" ca="1" si="2"/>
        <v>1</v>
      </c>
      <c r="J839" s="86">
        <f t="shared" ca="1" si="3"/>
        <v>45072</v>
      </c>
      <c r="R839" s="26"/>
    </row>
    <row r="840" spans="1:18" ht="15.75" customHeight="1">
      <c r="A840" s="26">
        <f ca="1">IFERROR(__xludf.DUMMYFUNCTION("""COMPUTED_VALUE"""),18837)</f>
        <v>18837</v>
      </c>
      <c r="B840" s="86">
        <f ca="1">IFERROR(__xludf.DUMMYFUNCTION("""COMPUTED_VALUE"""),45072.9463541666)</f>
        <v>45072.946354166597</v>
      </c>
      <c r="C840" s="1" t="str">
        <f ca="1">IFERROR(__xludf.DUMMYFUNCTION("""COMPUTED_VALUE"""),"completed")</f>
        <v>completed</v>
      </c>
      <c r="D840" s="26">
        <f ca="1">IFERROR(__xludf.DUMMYFUNCTION("""COMPUTED_VALUE"""),25)</f>
        <v>25</v>
      </c>
      <c r="E840" s="1"/>
      <c r="F840" s="87" t="str">
        <f t="shared" ca="1" si="0"/>
        <v>2023</v>
      </c>
      <c r="G840" s="1" t="str">
        <f ca="1">IFERROR(__xludf.DUMMYFUNCTION("""COMPUTED_VALUE"""),"W.M.H.A")</f>
        <v>W.M.H.A</v>
      </c>
      <c r="H840" s="26">
        <f t="shared" ca="1" si="1"/>
        <v>25</v>
      </c>
      <c r="I840" s="26">
        <f t="shared" ca="1" si="2"/>
        <v>1</v>
      </c>
      <c r="J840" s="86">
        <f t="shared" ca="1" si="3"/>
        <v>45072</v>
      </c>
      <c r="R840" s="26"/>
    </row>
    <row r="841" spans="1:18" ht="15.75" customHeight="1">
      <c r="A841" s="26">
        <f ca="1">IFERROR(__xludf.DUMMYFUNCTION("""COMPUTED_VALUE"""),18836)</f>
        <v>18836</v>
      </c>
      <c r="B841" s="86">
        <f ca="1">IFERROR(__xludf.DUMMYFUNCTION("""COMPUTED_VALUE"""),45072.9328472222)</f>
        <v>45072.932847222197</v>
      </c>
      <c r="C841" s="1" t="str">
        <f ca="1">IFERROR(__xludf.DUMMYFUNCTION("""COMPUTED_VALUE"""),"completed")</f>
        <v>completed</v>
      </c>
      <c r="D841" s="26">
        <f ca="1">IFERROR(__xludf.DUMMYFUNCTION("""COMPUTED_VALUE"""),25)</f>
        <v>25</v>
      </c>
      <c r="E841" s="1"/>
      <c r="F841" s="87" t="str">
        <f t="shared" ca="1" si="0"/>
        <v>2023</v>
      </c>
      <c r="G841" s="1" t="str">
        <f ca="1">IFERROR(__xludf.DUMMYFUNCTION("""COMPUTED_VALUE"""),"W.M.H.A")</f>
        <v>W.M.H.A</v>
      </c>
      <c r="H841" s="26">
        <f t="shared" ca="1" si="1"/>
        <v>25</v>
      </c>
      <c r="I841" s="26">
        <f t="shared" ca="1" si="2"/>
        <v>1</v>
      </c>
      <c r="J841" s="86">
        <f t="shared" ca="1" si="3"/>
        <v>45072</v>
      </c>
      <c r="R841" s="26"/>
    </row>
    <row r="842" spans="1:18" ht="15.75" customHeight="1">
      <c r="A842" s="26">
        <f ca="1">IFERROR(__xludf.DUMMYFUNCTION("""COMPUTED_VALUE"""),18835)</f>
        <v>18835</v>
      </c>
      <c r="B842" s="86">
        <f ca="1">IFERROR(__xludf.DUMMYFUNCTION("""COMPUTED_VALUE"""),45072.93125)</f>
        <v>45072.931250000001</v>
      </c>
      <c r="C842" s="1" t="str">
        <f ca="1">IFERROR(__xludf.DUMMYFUNCTION("""COMPUTED_VALUE"""),"completed")</f>
        <v>completed</v>
      </c>
      <c r="D842" s="26">
        <f ca="1">IFERROR(__xludf.DUMMYFUNCTION("""COMPUTED_VALUE"""),55)</f>
        <v>55</v>
      </c>
      <c r="E842" s="1"/>
      <c r="F842" s="87" t="str">
        <f t="shared" ca="1" si="0"/>
        <v>2023</v>
      </c>
      <c r="G842" s="1" t="str">
        <f ca="1">IFERROR(__xludf.DUMMYFUNCTION("""COMPUTED_VALUE"""),"W.M.H.A")</f>
        <v>W.M.H.A</v>
      </c>
      <c r="H842" s="26">
        <f t="shared" ca="1" si="1"/>
        <v>55</v>
      </c>
      <c r="I842" s="26">
        <f t="shared" ca="1" si="2"/>
        <v>1</v>
      </c>
      <c r="J842" s="86">
        <f t="shared" ca="1" si="3"/>
        <v>45072</v>
      </c>
      <c r="R842" s="26"/>
    </row>
    <row r="843" spans="1:18" ht="15.75" customHeight="1">
      <c r="A843" s="26">
        <f ca="1">IFERROR(__xludf.DUMMYFUNCTION("""COMPUTED_VALUE"""),18834)</f>
        <v>18834</v>
      </c>
      <c r="B843" s="86">
        <f ca="1">IFERROR(__xludf.DUMMYFUNCTION("""COMPUTED_VALUE"""),45072.8348842592)</f>
        <v>45072.834884259202</v>
      </c>
      <c r="C843" s="1" t="str">
        <f ca="1">IFERROR(__xludf.DUMMYFUNCTION("""COMPUTED_VALUE"""),"completed")</f>
        <v>completed</v>
      </c>
      <c r="D843" s="26">
        <f ca="1">IFERROR(__xludf.DUMMYFUNCTION("""COMPUTED_VALUE"""),25)</f>
        <v>25</v>
      </c>
      <c r="E843" s="1"/>
      <c r="F843" s="87" t="str">
        <f t="shared" ca="1" si="0"/>
        <v>2023</v>
      </c>
      <c r="G843" s="1" t="str">
        <f ca="1">IFERROR(__xludf.DUMMYFUNCTION("""COMPUTED_VALUE"""),"W.M.H.A")</f>
        <v>W.M.H.A</v>
      </c>
      <c r="H843" s="26">
        <f t="shared" ca="1" si="1"/>
        <v>25</v>
      </c>
      <c r="I843" s="26">
        <f t="shared" ca="1" si="2"/>
        <v>1</v>
      </c>
      <c r="J843" s="86">
        <f t="shared" ca="1" si="3"/>
        <v>45072</v>
      </c>
      <c r="R843" s="26"/>
    </row>
    <row r="844" spans="1:18" ht="15.75" customHeight="1">
      <c r="A844" s="26">
        <f ca="1">IFERROR(__xludf.DUMMYFUNCTION("""COMPUTED_VALUE"""),18833)</f>
        <v>18833</v>
      </c>
      <c r="B844" s="86">
        <f ca="1">IFERROR(__xludf.DUMMYFUNCTION("""COMPUTED_VALUE"""),45072.7862037037)</f>
        <v>45072.786203703698</v>
      </c>
      <c r="C844" s="1" t="str">
        <f ca="1">IFERROR(__xludf.DUMMYFUNCTION("""COMPUTED_VALUE"""),"completed")</f>
        <v>completed</v>
      </c>
      <c r="D844" s="26">
        <f ca="1">IFERROR(__xludf.DUMMYFUNCTION("""COMPUTED_VALUE"""),25)</f>
        <v>25</v>
      </c>
      <c r="E844" s="1"/>
      <c r="F844" s="87" t="str">
        <f t="shared" ca="1" si="0"/>
        <v>2023</v>
      </c>
      <c r="G844" s="1" t="str">
        <f ca="1">IFERROR(__xludf.DUMMYFUNCTION("""COMPUTED_VALUE"""),"W.M.H.A")</f>
        <v>W.M.H.A</v>
      </c>
      <c r="H844" s="26">
        <f t="shared" ca="1" si="1"/>
        <v>25</v>
      </c>
      <c r="I844" s="26">
        <f t="shared" ca="1" si="2"/>
        <v>1</v>
      </c>
      <c r="J844" s="86">
        <f t="shared" ca="1" si="3"/>
        <v>45072</v>
      </c>
      <c r="R844" s="26"/>
    </row>
    <row r="845" spans="1:18" ht="15.75" customHeight="1">
      <c r="A845" s="26">
        <f ca="1">IFERROR(__xludf.DUMMYFUNCTION("""COMPUTED_VALUE"""),18832)</f>
        <v>18832</v>
      </c>
      <c r="B845" s="86">
        <f ca="1">IFERROR(__xludf.DUMMYFUNCTION("""COMPUTED_VALUE"""),45072.7652083333)</f>
        <v>45072.765208333301</v>
      </c>
      <c r="C845" s="1" t="str">
        <f ca="1">IFERROR(__xludf.DUMMYFUNCTION("""COMPUTED_VALUE"""),"completed")</f>
        <v>completed</v>
      </c>
      <c r="D845" s="26">
        <f ca="1">IFERROR(__xludf.DUMMYFUNCTION("""COMPUTED_VALUE"""),56)</f>
        <v>56</v>
      </c>
      <c r="E845" s="1"/>
      <c r="F845" s="87" t="str">
        <f t="shared" ca="1" si="0"/>
        <v>2023</v>
      </c>
      <c r="G845" s="1" t="str">
        <f ca="1">IFERROR(__xludf.DUMMYFUNCTION("""COMPUTED_VALUE"""),"W.M.H.A")</f>
        <v>W.M.H.A</v>
      </c>
      <c r="H845" s="26">
        <f t="shared" ca="1" si="1"/>
        <v>56</v>
      </c>
      <c r="I845" s="26">
        <f t="shared" ca="1" si="2"/>
        <v>1</v>
      </c>
      <c r="J845" s="86">
        <f t="shared" ca="1" si="3"/>
        <v>45072</v>
      </c>
      <c r="R845" s="26"/>
    </row>
    <row r="846" spans="1:18" ht="15.75" customHeight="1">
      <c r="A846" s="26">
        <f ca="1">IFERROR(__xludf.DUMMYFUNCTION("""COMPUTED_VALUE"""),18830)</f>
        <v>18830</v>
      </c>
      <c r="B846" s="86">
        <f ca="1">IFERROR(__xludf.DUMMYFUNCTION("""COMPUTED_VALUE"""),45072.6810069444)</f>
        <v>45072.681006944404</v>
      </c>
      <c r="C846" s="1" t="str">
        <f ca="1">IFERROR(__xludf.DUMMYFUNCTION("""COMPUTED_VALUE"""),"completed")</f>
        <v>completed</v>
      </c>
      <c r="D846" s="26">
        <f ca="1">IFERROR(__xludf.DUMMYFUNCTION("""COMPUTED_VALUE"""),83)</f>
        <v>83</v>
      </c>
      <c r="E846" s="1"/>
      <c r="F846" s="87" t="str">
        <f t="shared" ca="1" si="0"/>
        <v>2023</v>
      </c>
      <c r="G846" s="1" t="str">
        <f ca="1">IFERROR(__xludf.DUMMYFUNCTION("""COMPUTED_VALUE"""),"W.M.H.A")</f>
        <v>W.M.H.A</v>
      </c>
      <c r="H846" s="26">
        <f t="shared" ca="1" si="1"/>
        <v>83</v>
      </c>
      <c r="I846" s="26">
        <f t="shared" ca="1" si="2"/>
        <v>1</v>
      </c>
      <c r="J846" s="86">
        <f t="shared" ca="1" si="3"/>
        <v>45072</v>
      </c>
      <c r="R846" s="26"/>
    </row>
    <row r="847" spans="1:18" ht="15.75" customHeight="1">
      <c r="A847" s="26">
        <f ca="1">IFERROR(__xludf.DUMMYFUNCTION("""COMPUTED_VALUE"""),18829)</f>
        <v>18829</v>
      </c>
      <c r="B847" s="86">
        <f ca="1">IFERROR(__xludf.DUMMYFUNCTION("""COMPUTED_VALUE"""),45072.0463078703)</f>
        <v>45072.046307870303</v>
      </c>
      <c r="C847" s="1" t="str">
        <f ca="1">IFERROR(__xludf.DUMMYFUNCTION("""COMPUTED_VALUE"""),"completed")</f>
        <v>completed</v>
      </c>
      <c r="D847" s="26">
        <f ca="1">IFERROR(__xludf.DUMMYFUNCTION("""COMPUTED_VALUE"""),28)</f>
        <v>28</v>
      </c>
      <c r="E847" s="1"/>
      <c r="F847" s="87" t="str">
        <f t="shared" ca="1" si="0"/>
        <v>2023</v>
      </c>
      <c r="G847" s="1" t="str">
        <f ca="1">IFERROR(__xludf.DUMMYFUNCTION("""COMPUTED_VALUE"""),"W.M.H.A")</f>
        <v>W.M.H.A</v>
      </c>
      <c r="H847" s="26">
        <f t="shared" ca="1" si="1"/>
        <v>28</v>
      </c>
      <c r="I847" s="26">
        <f t="shared" ca="1" si="2"/>
        <v>1</v>
      </c>
      <c r="J847" s="86">
        <f t="shared" ca="1" si="3"/>
        <v>45072</v>
      </c>
      <c r="R847" s="26"/>
    </row>
    <row r="848" spans="1:18" ht="15.75" customHeight="1">
      <c r="A848" s="26">
        <f ca="1">IFERROR(__xludf.DUMMYFUNCTION("""COMPUTED_VALUE"""),18828)</f>
        <v>18828</v>
      </c>
      <c r="B848" s="86">
        <f ca="1">IFERROR(__xludf.DUMMYFUNCTION("""COMPUTED_VALUE"""),45071.9003703703)</f>
        <v>45071.900370370298</v>
      </c>
      <c r="C848" s="1" t="str">
        <f ca="1">IFERROR(__xludf.DUMMYFUNCTION("""COMPUTED_VALUE"""),"completed")</f>
        <v>completed</v>
      </c>
      <c r="D848" s="26">
        <f ca="1">IFERROR(__xludf.DUMMYFUNCTION("""COMPUTED_VALUE"""),25)</f>
        <v>25</v>
      </c>
      <c r="E848" s="1"/>
      <c r="F848" s="87" t="str">
        <f t="shared" ca="1" si="0"/>
        <v>2023</v>
      </c>
      <c r="G848" s="1" t="str">
        <f ca="1">IFERROR(__xludf.DUMMYFUNCTION("""COMPUTED_VALUE"""),"W.M.H.A")</f>
        <v>W.M.H.A</v>
      </c>
      <c r="H848" s="26">
        <f t="shared" ca="1" si="1"/>
        <v>25</v>
      </c>
      <c r="I848" s="26">
        <f t="shared" ca="1" si="2"/>
        <v>1</v>
      </c>
      <c r="J848" s="86">
        <f t="shared" ca="1" si="3"/>
        <v>45071</v>
      </c>
      <c r="R848" s="26"/>
    </row>
    <row r="849" spans="1:18" ht="15.75" customHeight="1">
      <c r="A849" s="26">
        <f ca="1">IFERROR(__xludf.DUMMYFUNCTION("""COMPUTED_VALUE"""),18827)</f>
        <v>18827</v>
      </c>
      <c r="B849" s="86">
        <f ca="1">IFERROR(__xludf.DUMMYFUNCTION("""COMPUTED_VALUE"""),45071.7630555555)</f>
        <v>45071.763055555501</v>
      </c>
      <c r="C849" s="1" t="str">
        <f ca="1">IFERROR(__xludf.DUMMYFUNCTION("""COMPUTED_VALUE"""),"completed")</f>
        <v>completed</v>
      </c>
      <c r="D849" s="26">
        <f ca="1">IFERROR(__xludf.DUMMYFUNCTION("""COMPUTED_VALUE"""),25)</f>
        <v>25</v>
      </c>
      <c r="E849" s="1"/>
      <c r="F849" s="87" t="str">
        <f t="shared" ca="1" si="0"/>
        <v>2023</v>
      </c>
      <c r="G849" s="1" t="str">
        <f ca="1">IFERROR(__xludf.DUMMYFUNCTION("""COMPUTED_VALUE"""),"W.M.H.A")</f>
        <v>W.M.H.A</v>
      </c>
      <c r="H849" s="26">
        <f t="shared" ca="1" si="1"/>
        <v>25</v>
      </c>
      <c r="I849" s="26">
        <f t="shared" ca="1" si="2"/>
        <v>1</v>
      </c>
      <c r="J849" s="86">
        <f t="shared" ca="1" si="3"/>
        <v>45071</v>
      </c>
      <c r="R849" s="26"/>
    </row>
    <row r="850" spans="1:18" ht="15.75" customHeight="1">
      <c r="A850" s="26">
        <f ca="1">IFERROR(__xludf.DUMMYFUNCTION("""COMPUTED_VALUE"""),18826)</f>
        <v>18826</v>
      </c>
      <c r="B850" s="86">
        <f ca="1">IFERROR(__xludf.DUMMYFUNCTION("""COMPUTED_VALUE"""),45071.7320833333)</f>
        <v>45071.7320833333</v>
      </c>
      <c r="C850" s="1" t="str">
        <f ca="1">IFERROR(__xludf.DUMMYFUNCTION("""COMPUTED_VALUE"""),"completed")</f>
        <v>completed</v>
      </c>
      <c r="D850" s="26">
        <f ca="1">IFERROR(__xludf.DUMMYFUNCTION("""COMPUTED_VALUE"""),20)</f>
        <v>20</v>
      </c>
      <c r="E850" s="1"/>
      <c r="F850" s="87" t="str">
        <f t="shared" ca="1" si="0"/>
        <v>2023</v>
      </c>
      <c r="G850" s="1" t="str">
        <f ca="1">IFERROR(__xludf.DUMMYFUNCTION("""COMPUTED_VALUE"""),"W.M.H.A")</f>
        <v>W.M.H.A</v>
      </c>
      <c r="H850" s="26">
        <f t="shared" ca="1" si="1"/>
        <v>20</v>
      </c>
      <c r="I850" s="26">
        <f t="shared" ca="1" si="2"/>
        <v>1</v>
      </c>
      <c r="J850" s="86">
        <f t="shared" ca="1" si="3"/>
        <v>45071</v>
      </c>
      <c r="R850" s="26"/>
    </row>
    <row r="851" spans="1:18" ht="15.75" customHeight="1">
      <c r="A851" s="26">
        <f ca="1">IFERROR(__xludf.DUMMYFUNCTION("""COMPUTED_VALUE"""),18825)</f>
        <v>18825</v>
      </c>
      <c r="B851" s="86">
        <f ca="1">IFERROR(__xludf.DUMMYFUNCTION("""COMPUTED_VALUE"""),45071.6831597222)</f>
        <v>45071.683159722197</v>
      </c>
      <c r="C851" s="1" t="str">
        <f ca="1">IFERROR(__xludf.DUMMYFUNCTION("""COMPUTED_VALUE"""),"completed")</f>
        <v>completed</v>
      </c>
      <c r="D851" s="26">
        <f ca="1">IFERROR(__xludf.DUMMYFUNCTION("""COMPUTED_VALUE"""),25)</f>
        <v>25</v>
      </c>
      <c r="E851" s="1"/>
      <c r="F851" s="87" t="str">
        <f t="shared" ca="1" si="0"/>
        <v>2023</v>
      </c>
      <c r="G851" s="1" t="str">
        <f ca="1">IFERROR(__xludf.DUMMYFUNCTION("""COMPUTED_VALUE"""),"W.M.H.A")</f>
        <v>W.M.H.A</v>
      </c>
      <c r="H851" s="26">
        <f t="shared" ca="1" si="1"/>
        <v>25</v>
      </c>
      <c r="I851" s="26">
        <f t="shared" ca="1" si="2"/>
        <v>1</v>
      </c>
      <c r="J851" s="86">
        <f t="shared" ca="1" si="3"/>
        <v>45071</v>
      </c>
      <c r="R851" s="26"/>
    </row>
    <row r="852" spans="1:18" ht="15.75" customHeight="1">
      <c r="A852" s="26">
        <f ca="1">IFERROR(__xludf.DUMMYFUNCTION("""COMPUTED_VALUE"""),18824)</f>
        <v>18824</v>
      </c>
      <c r="B852" s="86">
        <f ca="1">IFERROR(__xludf.DUMMYFUNCTION("""COMPUTED_VALUE"""),45071.629699074)</f>
        <v>45071.629699074001</v>
      </c>
      <c r="C852" s="1" t="str">
        <f ca="1">IFERROR(__xludf.DUMMYFUNCTION("""COMPUTED_VALUE"""),"completed")</f>
        <v>completed</v>
      </c>
      <c r="D852" s="26">
        <f ca="1">IFERROR(__xludf.DUMMYFUNCTION("""COMPUTED_VALUE"""),28)</f>
        <v>28</v>
      </c>
      <c r="E852" s="1"/>
      <c r="F852" s="87" t="str">
        <f t="shared" ca="1" si="0"/>
        <v>2023</v>
      </c>
      <c r="G852" s="1" t="str">
        <f ca="1">IFERROR(__xludf.DUMMYFUNCTION("""COMPUTED_VALUE"""),"W.M.H.A")</f>
        <v>W.M.H.A</v>
      </c>
      <c r="H852" s="26">
        <f t="shared" ca="1" si="1"/>
        <v>28</v>
      </c>
      <c r="I852" s="26">
        <f t="shared" ca="1" si="2"/>
        <v>1</v>
      </c>
      <c r="J852" s="86">
        <f t="shared" ca="1" si="3"/>
        <v>45071</v>
      </c>
      <c r="R852" s="26"/>
    </row>
    <row r="853" spans="1:18" ht="15.75" customHeight="1">
      <c r="A853" s="26">
        <f ca="1">IFERROR(__xludf.DUMMYFUNCTION("""COMPUTED_VALUE"""),18823)</f>
        <v>18823</v>
      </c>
      <c r="B853" s="86">
        <f ca="1">IFERROR(__xludf.DUMMYFUNCTION("""COMPUTED_VALUE"""),45071.58)</f>
        <v>45071.58</v>
      </c>
      <c r="C853" s="1" t="str">
        <f ca="1">IFERROR(__xludf.DUMMYFUNCTION("""COMPUTED_VALUE"""),"completed")</f>
        <v>completed</v>
      </c>
      <c r="D853" s="26">
        <f ca="1">IFERROR(__xludf.DUMMYFUNCTION("""COMPUTED_VALUE"""),25)</f>
        <v>25</v>
      </c>
      <c r="E853" s="1"/>
      <c r="F853" s="87" t="str">
        <f t="shared" ca="1" si="0"/>
        <v>2023</v>
      </c>
      <c r="G853" s="1" t="str">
        <f ca="1">IFERROR(__xludf.DUMMYFUNCTION("""COMPUTED_VALUE"""),"W.M.H.A")</f>
        <v>W.M.H.A</v>
      </c>
      <c r="H853" s="26">
        <f t="shared" ca="1" si="1"/>
        <v>25</v>
      </c>
      <c r="I853" s="26">
        <f t="shared" ca="1" si="2"/>
        <v>1</v>
      </c>
      <c r="J853" s="86">
        <f t="shared" ca="1" si="3"/>
        <v>45071</v>
      </c>
      <c r="R853" s="26"/>
    </row>
    <row r="854" spans="1:18" ht="15.75" customHeight="1">
      <c r="A854" s="26">
        <f ca="1">IFERROR(__xludf.DUMMYFUNCTION("""COMPUTED_VALUE"""),18822)</f>
        <v>18822</v>
      </c>
      <c r="B854" s="86">
        <f ca="1">IFERROR(__xludf.DUMMYFUNCTION("""COMPUTED_VALUE"""),45071.5766898148)</f>
        <v>45071.576689814799</v>
      </c>
      <c r="C854" s="1" t="str">
        <f ca="1">IFERROR(__xludf.DUMMYFUNCTION("""COMPUTED_VALUE"""),"completed")</f>
        <v>completed</v>
      </c>
      <c r="D854" s="26">
        <f ca="1">IFERROR(__xludf.DUMMYFUNCTION("""COMPUTED_VALUE"""),25)</f>
        <v>25</v>
      </c>
      <c r="E854" s="1"/>
      <c r="F854" s="87" t="str">
        <f t="shared" ca="1" si="0"/>
        <v>2023</v>
      </c>
      <c r="G854" s="1" t="str">
        <f ca="1">IFERROR(__xludf.DUMMYFUNCTION("""COMPUTED_VALUE"""),"W.M.H.A")</f>
        <v>W.M.H.A</v>
      </c>
      <c r="H854" s="26">
        <f t="shared" ca="1" si="1"/>
        <v>25</v>
      </c>
      <c r="I854" s="26">
        <f t="shared" ca="1" si="2"/>
        <v>1</v>
      </c>
      <c r="J854" s="86">
        <f t="shared" ca="1" si="3"/>
        <v>45071</v>
      </c>
      <c r="R854" s="26"/>
    </row>
    <row r="855" spans="1:18" ht="15.75" customHeight="1">
      <c r="A855" s="26">
        <f ca="1">IFERROR(__xludf.DUMMYFUNCTION("""COMPUTED_VALUE"""),18821)</f>
        <v>18821</v>
      </c>
      <c r="B855" s="86">
        <f ca="1">IFERROR(__xludf.DUMMYFUNCTION("""COMPUTED_VALUE"""),45071.1233101851)</f>
        <v>45071.123310185103</v>
      </c>
      <c r="C855" s="1" t="str">
        <f ca="1">IFERROR(__xludf.DUMMYFUNCTION("""COMPUTED_VALUE"""),"completed")</f>
        <v>completed</v>
      </c>
      <c r="D855" s="26">
        <f ca="1">IFERROR(__xludf.DUMMYFUNCTION("""COMPUTED_VALUE"""),46)</f>
        <v>46</v>
      </c>
      <c r="E855" s="1"/>
      <c r="F855" s="87" t="str">
        <f t="shared" ca="1" si="0"/>
        <v>2023</v>
      </c>
      <c r="G855" s="1" t="str">
        <f ca="1">IFERROR(__xludf.DUMMYFUNCTION("""COMPUTED_VALUE"""),"W.M.H.A")</f>
        <v>W.M.H.A</v>
      </c>
      <c r="H855" s="26">
        <f t="shared" ca="1" si="1"/>
        <v>46</v>
      </c>
      <c r="I855" s="26">
        <f t="shared" ca="1" si="2"/>
        <v>1</v>
      </c>
      <c r="J855" s="86">
        <f t="shared" ca="1" si="3"/>
        <v>45071</v>
      </c>
      <c r="R855" s="26"/>
    </row>
    <row r="856" spans="1:18" ht="15.75" customHeight="1">
      <c r="A856" s="26">
        <f ca="1">IFERROR(__xludf.DUMMYFUNCTION("""COMPUTED_VALUE"""),18820)</f>
        <v>18820</v>
      </c>
      <c r="B856" s="86">
        <f ca="1">IFERROR(__xludf.DUMMYFUNCTION("""COMPUTED_VALUE"""),45071.1143634259)</f>
        <v>45071.114363425899</v>
      </c>
      <c r="C856" s="1" t="str">
        <f ca="1">IFERROR(__xludf.DUMMYFUNCTION("""COMPUTED_VALUE"""),"completed")</f>
        <v>completed</v>
      </c>
      <c r="D856" s="26">
        <f ca="1">IFERROR(__xludf.DUMMYFUNCTION("""COMPUTED_VALUE"""),30)</f>
        <v>30</v>
      </c>
      <c r="E856" s="1"/>
      <c r="F856" s="87" t="str">
        <f t="shared" ca="1" si="0"/>
        <v>2023</v>
      </c>
      <c r="G856" s="1" t="str">
        <f ca="1">IFERROR(__xludf.DUMMYFUNCTION("""COMPUTED_VALUE"""),"W.M.H.A")</f>
        <v>W.M.H.A</v>
      </c>
      <c r="H856" s="26">
        <f t="shared" ca="1" si="1"/>
        <v>30</v>
      </c>
      <c r="I856" s="26">
        <f t="shared" ca="1" si="2"/>
        <v>1</v>
      </c>
      <c r="J856" s="86">
        <f t="shared" ca="1" si="3"/>
        <v>45071</v>
      </c>
      <c r="R856" s="26"/>
    </row>
    <row r="857" spans="1:18" ht="15.75" customHeight="1">
      <c r="A857" s="26">
        <f ca="1">IFERROR(__xludf.DUMMYFUNCTION("""COMPUTED_VALUE"""),18819)</f>
        <v>18819</v>
      </c>
      <c r="B857" s="86">
        <f ca="1">IFERROR(__xludf.DUMMYFUNCTION("""COMPUTED_VALUE"""),45071.0889699074)</f>
        <v>45071.088969907403</v>
      </c>
      <c r="C857" s="1" t="str">
        <f ca="1">IFERROR(__xludf.DUMMYFUNCTION("""COMPUTED_VALUE"""),"draftpics-created")</f>
        <v>draftpics-created</v>
      </c>
      <c r="D857" s="26">
        <f ca="1">IFERROR(__xludf.DUMMYFUNCTION("""COMPUTED_VALUE"""),35)</f>
        <v>35</v>
      </c>
      <c r="E857" s="1"/>
      <c r="F857" s="87" t="str">
        <f t="shared" ca="1" si="0"/>
        <v>2023</v>
      </c>
      <c r="G857" s="1" t="str">
        <f ca="1">IFERROR(__xludf.DUMMYFUNCTION("""COMPUTED_VALUE"""),"W.M.H.A")</f>
        <v>W.M.H.A</v>
      </c>
      <c r="H857" s="26">
        <f t="shared" ca="1" si="1"/>
        <v>35</v>
      </c>
      <c r="I857" s="26">
        <f t="shared" ca="1" si="2"/>
        <v>1</v>
      </c>
      <c r="J857" s="86">
        <f t="shared" ca="1" si="3"/>
        <v>45071</v>
      </c>
      <c r="R857" s="26"/>
    </row>
    <row r="858" spans="1:18" ht="15.75" customHeight="1">
      <c r="A858" s="26">
        <f ca="1">IFERROR(__xludf.DUMMYFUNCTION("""COMPUTED_VALUE"""),18818)</f>
        <v>18818</v>
      </c>
      <c r="B858" s="86">
        <f ca="1">IFERROR(__xludf.DUMMYFUNCTION("""COMPUTED_VALUE"""),45071.0880208333)</f>
        <v>45071.088020833296</v>
      </c>
      <c r="C858" s="1" t="str">
        <f ca="1">IFERROR(__xludf.DUMMYFUNCTION("""COMPUTED_VALUE"""),"completed")</f>
        <v>completed</v>
      </c>
      <c r="D858" s="26">
        <f ca="1">IFERROR(__xludf.DUMMYFUNCTION("""COMPUTED_VALUE"""),18)</f>
        <v>18</v>
      </c>
      <c r="E858" s="1"/>
      <c r="F858" s="87" t="str">
        <f t="shared" ca="1" si="0"/>
        <v>2023</v>
      </c>
      <c r="G858" s="1" t="str">
        <f ca="1">IFERROR(__xludf.DUMMYFUNCTION("""COMPUTED_VALUE"""),"W.M.H.A")</f>
        <v>W.M.H.A</v>
      </c>
      <c r="H858" s="26">
        <f t="shared" ca="1" si="1"/>
        <v>18</v>
      </c>
      <c r="I858" s="26">
        <f t="shared" ca="1" si="2"/>
        <v>1</v>
      </c>
      <c r="J858" s="86">
        <f t="shared" ca="1" si="3"/>
        <v>45071</v>
      </c>
      <c r="R858" s="26"/>
    </row>
    <row r="859" spans="1:18" ht="15.75" customHeight="1">
      <c r="A859" s="26">
        <f ca="1">IFERROR(__xludf.DUMMYFUNCTION("""COMPUTED_VALUE"""),18817)</f>
        <v>18817</v>
      </c>
      <c r="B859" s="86">
        <f ca="1">IFERROR(__xludf.DUMMYFUNCTION("""COMPUTED_VALUE"""),45071.0846875)</f>
        <v>45071.084687499999</v>
      </c>
      <c r="C859" s="1" t="str">
        <f ca="1">IFERROR(__xludf.DUMMYFUNCTION("""COMPUTED_VALUE"""),"completed")</f>
        <v>completed</v>
      </c>
      <c r="D859" s="26">
        <f ca="1">IFERROR(__xludf.DUMMYFUNCTION("""COMPUTED_VALUE"""),18)</f>
        <v>18</v>
      </c>
      <c r="E859" s="1"/>
      <c r="F859" s="87" t="str">
        <f t="shared" ca="1" si="0"/>
        <v>2023</v>
      </c>
      <c r="G859" s="1" t="str">
        <f ca="1">IFERROR(__xludf.DUMMYFUNCTION("""COMPUTED_VALUE"""),"W.M.H.A")</f>
        <v>W.M.H.A</v>
      </c>
      <c r="H859" s="26">
        <f t="shared" ca="1" si="1"/>
        <v>18</v>
      </c>
      <c r="I859" s="26">
        <f t="shared" ca="1" si="2"/>
        <v>1</v>
      </c>
      <c r="J859" s="86">
        <f t="shared" ca="1" si="3"/>
        <v>45071</v>
      </c>
      <c r="R859" s="26"/>
    </row>
    <row r="860" spans="1:18" ht="15.75" customHeight="1">
      <c r="A860" s="26">
        <f ca="1">IFERROR(__xludf.DUMMYFUNCTION("""COMPUTED_VALUE"""),18816)</f>
        <v>18816</v>
      </c>
      <c r="B860" s="86">
        <f ca="1">IFERROR(__xludf.DUMMYFUNCTION("""COMPUTED_VALUE"""),45071.0429050925)</f>
        <v>45071.042905092501</v>
      </c>
      <c r="C860" s="1" t="str">
        <f ca="1">IFERROR(__xludf.DUMMYFUNCTION("""COMPUTED_VALUE"""),"completed")</f>
        <v>completed</v>
      </c>
      <c r="D860" s="26">
        <f ca="1">IFERROR(__xludf.DUMMYFUNCTION("""COMPUTED_VALUE"""),20)</f>
        <v>20</v>
      </c>
      <c r="E860" s="1"/>
      <c r="F860" s="87" t="str">
        <f t="shared" ca="1" si="0"/>
        <v>2023</v>
      </c>
      <c r="G860" s="1" t="str">
        <f ca="1">IFERROR(__xludf.DUMMYFUNCTION("""COMPUTED_VALUE"""),"W.M.H.A")</f>
        <v>W.M.H.A</v>
      </c>
      <c r="H860" s="26">
        <f t="shared" ca="1" si="1"/>
        <v>20</v>
      </c>
      <c r="I860" s="26">
        <f t="shared" ca="1" si="2"/>
        <v>1</v>
      </c>
      <c r="J860" s="86">
        <f t="shared" ca="1" si="3"/>
        <v>45071</v>
      </c>
      <c r="R860" s="26"/>
    </row>
    <row r="861" spans="1:18" ht="15.75" customHeight="1">
      <c r="A861" s="26">
        <f ca="1">IFERROR(__xludf.DUMMYFUNCTION("""COMPUTED_VALUE"""),18815)</f>
        <v>18815</v>
      </c>
      <c r="B861" s="86">
        <f ca="1">IFERROR(__xludf.DUMMYFUNCTION("""COMPUTED_VALUE"""),45071.0401041666)</f>
        <v>45071.040104166597</v>
      </c>
      <c r="C861" s="1" t="str">
        <f ca="1">IFERROR(__xludf.DUMMYFUNCTION("""COMPUTED_VALUE"""),"completed")</f>
        <v>completed</v>
      </c>
      <c r="D861" s="26">
        <f ca="1">IFERROR(__xludf.DUMMYFUNCTION("""COMPUTED_VALUE"""),22)</f>
        <v>22</v>
      </c>
      <c r="E861" s="1"/>
      <c r="F861" s="87" t="str">
        <f t="shared" ca="1" si="0"/>
        <v>2023</v>
      </c>
      <c r="G861" s="1" t="str">
        <f ca="1">IFERROR(__xludf.DUMMYFUNCTION("""COMPUTED_VALUE"""),"W.M.H.A")</f>
        <v>W.M.H.A</v>
      </c>
      <c r="H861" s="26">
        <f t="shared" ca="1" si="1"/>
        <v>22</v>
      </c>
      <c r="I861" s="26">
        <f t="shared" ca="1" si="2"/>
        <v>1</v>
      </c>
      <c r="J861" s="86">
        <f t="shared" ca="1" si="3"/>
        <v>45071</v>
      </c>
      <c r="R861" s="26"/>
    </row>
    <row r="862" spans="1:18" ht="15.75" customHeight="1">
      <c r="A862" s="26">
        <f ca="1">IFERROR(__xludf.DUMMYFUNCTION("""COMPUTED_VALUE"""),18814)</f>
        <v>18814</v>
      </c>
      <c r="B862" s="86">
        <f ca="1">IFERROR(__xludf.DUMMYFUNCTION("""COMPUTED_VALUE"""),45071.0390393518)</f>
        <v>45071.039039351803</v>
      </c>
      <c r="C862" s="1" t="str">
        <f ca="1">IFERROR(__xludf.DUMMYFUNCTION("""COMPUTED_VALUE"""),"draftpics-created")</f>
        <v>draftpics-created</v>
      </c>
      <c r="D862" s="26">
        <f ca="1">IFERROR(__xludf.DUMMYFUNCTION("""COMPUTED_VALUE"""),22)</f>
        <v>22</v>
      </c>
      <c r="E862" s="1"/>
      <c r="F862" s="87" t="str">
        <f t="shared" ca="1" si="0"/>
        <v>2023</v>
      </c>
      <c r="G862" s="1" t="str">
        <f ca="1">IFERROR(__xludf.DUMMYFUNCTION("""COMPUTED_VALUE"""),"W.M.H.A")</f>
        <v>W.M.H.A</v>
      </c>
      <c r="H862" s="26">
        <f t="shared" ca="1" si="1"/>
        <v>22</v>
      </c>
      <c r="I862" s="26">
        <f t="shared" ca="1" si="2"/>
        <v>1</v>
      </c>
      <c r="J862" s="86">
        <f t="shared" ca="1" si="3"/>
        <v>45071</v>
      </c>
      <c r="R862" s="26"/>
    </row>
    <row r="863" spans="1:18" ht="15.75" customHeight="1">
      <c r="A863" s="26">
        <f ca="1">IFERROR(__xludf.DUMMYFUNCTION("""COMPUTED_VALUE"""),18813)</f>
        <v>18813</v>
      </c>
      <c r="B863" s="86">
        <f ca="1">IFERROR(__xludf.DUMMYFUNCTION("""COMPUTED_VALUE"""),45071.0114814814)</f>
        <v>45071.011481481401</v>
      </c>
      <c r="C863" s="1" t="str">
        <f ca="1">IFERROR(__xludf.DUMMYFUNCTION("""COMPUTED_VALUE"""),"completed")</f>
        <v>completed</v>
      </c>
      <c r="D863" s="26">
        <f ca="1">IFERROR(__xludf.DUMMYFUNCTION("""COMPUTED_VALUE"""),40)</f>
        <v>40</v>
      </c>
      <c r="E863" s="1"/>
      <c r="F863" s="87" t="str">
        <f t="shared" ca="1" si="0"/>
        <v>2023</v>
      </c>
      <c r="G863" s="1" t="str">
        <f ca="1">IFERROR(__xludf.DUMMYFUNCTION("""COMPUTED_VALUE"""),"W.M.H.A")</f>
        <v>W.M.H.A</v>
      </c>
      <c r="H863" s="26">
        <f t="shared" ca="1" si="1"/>
        <v>40</v>
      </c>
      <c r="I863" s="26">
        <f t="shared" ca="1" si="2"/>
        <v>1</v>
      </c>
      <c r="J863" s="86">
        <f t="shared" ca="1" si="3"/>
        <v>45071</v>
      </c>
      <c r="R863" s="26"/>
    </row>
    <row r="864" spans="1:18" ht="15.75" customHeight="1">
      <c r="A864" s="26">
        <f ca="1">IFERROR(__xludf.DUMMYFUNCTION("""COMPUTED_VALUE"""),18812)</f>
        <v>18812</v>
      </c>
      <c r="B864" s="86">
        <f ca="1">IFERROR(__xludf.DUMMYFUNCTION("""COMPUTED_VALUE"""),45070.9987962962)</f>
        <v>45070.998796296197</v>
      </c>
      <c r="C864" s="1" t="str">
        <f ca="1">IFERROR(__xludf.DUMMYFUNCTION("""COMPUTED_VALUE"""),"completed")</f>
        <v>completed</v>
      </c>
      <c r="D864" s="26">
        <f ca="1">IFERROR(__xludf.DUMMYFUNCTION("""COMPUTED_VALUE"""),25)</f>
        <v>25</v>
      </c>
      <c r="E864" s="1"/>
      <c r="F864" s="87" t="str">
        <f t="shared" ca="1" si="0"/>
        <v>2023</v>
      </c>
      <c r="G864" s="1" t="str">
        <f ca="1">IFERROR(__xludf.DUMMYFUNCTION("""COMPUTED_VALUE"""),"W.M.H.A")</f>
        <v>W.M.H.A</v>
      </c>
      <c r="H864" s="26">
        <f t="shared" ca="1" si="1"/>
        <v>25</v>
      </c>
      <c r="I864" s="26">
        <f t="shared" ca="1" si="2"/>
        <v>1</v>
      </c>
      <c r="J864" s="86">
        <f t="shared" ca="1" si="3"/>
        <v>45070</v>
      </c>
      <c r="R864" s="26"/>
    </row>
    <row r="865" spans="1:18" ht="15.75" customHeight="1">
      <c r="A865" s="26">
        <f ca="1">IFERROR(__xludf.DUMMYFUNCTION("""COMPUTED_VALUE"""),18811)</f>
        <v>18811</v>
      </c>
      <c r="B865" s="86">
        <f ca="1">IFERROR(__xludf.DUMMYFUNCTION("""COMPUTED_VALUE"""),45070.9383333333)</f>
        <v>45070.938333333303</v>
      </c>
      <c r="C865" s="1" t="str">
        <f ca="1">IFERROR(__xludf.DUMMYFUNCTION("""COMPUTED_VALUE"""),"completed")</f>
        <v>completed</v>
      </c>
      <c r="D865" s="26">
        <f ca="1">IFERROR(__xludf.DUMMYFUNCTION("""COMPUTED_VALUE"""),20)</f>
        <v>20</v>
      </c>
      <c r="E865" s="1"/>
      <c r="F865" s="87" t="str">
        <f t="shared" ca="1" si="0"/>
        <v>2023</v>
      </c>
      <c r="G865" s="1" t="str">
        <f ca="1">IFERROR(__xludf.DUMMYFUNCTION("""COMPUTED_VALUE"""),"Sun County Panthers Hockey")</f>
        <v>Sun County Panthers Hockey</v>
      </c>
      <c r="H865" s="26">
        <f t="shared" ca="1" si="1"/>
        <v>20</v>
      </c>
      <c r="I865" s="26">
        <f t="shared" ca="1" si="2"/>
        <v>1</v>
      </c>
      <c r="J865" s="86">
        <f t="shared" ca="1" si="3"/>
        <v>45070</v>
      </c>
      <c r="R865" s="26"/>
    </row>
    <row r="866" spans="1:18" ht="15.75" customHeight="1">
      <c r="A866" s="26">
        <f ca="1">IFERROR(__xludf.DUMMYFUNCTION("""COMPUTED_VALUE"""),18810)</f>
        <v>18810</v>
      </c>
      <c r="B866" s="86">
        <f ca="1">IFERROR(__xludf.DUMMYFUNCTION("""COMPUTED_VALUE"""),45070.0716319444)</f>
        <v>45070.071631944404</v>
      </c>
      <c r="C866" s="1" t="str">
        <f ca="1">IFERROR(__xludf.DUMMYFUNCTION("""COMPUTED_VALUE"""),"completed")</f>
        <v>completed</v>
      </c>
      <c r="D866" s="26">
        <f ca="1">IFERROR(__xludf.DUMMYFUNCTION("""COMPUTED_VALUE"""),25)</f>
        <v>25</v>
      </c>
      <c r="E866" s="1"/>
      <c r="F866" s="87" t="str">
        <f t="shared" ca="1" si="0"/>
        <v>2023</v>
      </c>
      <c r="G866" s="1" t="str">
        <f ca="1">IFERROR(__xludf.DUMMYFUNCTION("""COMPUTED_VALUE"""),"Lakeshore Lightning Hockey")</f>
        <v>Lakeshore Lightning Hockey</v>
      </c>
      <c r="H866" s="26">
        <f t="shared" ca="1" si="1"/>
        <v>25</v>
      </c>
      <c r="I866" s="26">
        <f t="shared" ca="1" si="2"/>
        <v>1</v>
      </c>
      <c r="J866" s="86">
        <f t="shared" ca="1" si="3"/>
        <v>45070</v>
      </c>
      <c r="R866" s="26"/>
    </row>
    <row r="867" spans="1:18" ht="15.75" customHeight="1">
      <c r="A867" s="26">
        <f ca="1">IFERROR(__xludf.DUMMYFUNCTION("""COMPUTED_VALUE"""),18809)</f>
        <v>18809</v>
      </c>
      <c r="B867" s="86">
        <f ca="1">IFERROR(__xludf.DUMMYFUNCTION("""COMPUTED_VALUE"""),45070.0702893518)</f>
        <v>45070.070289351803</v>
      </c>
      <c r="C867" s="1" t="str">
        <f ca="1">IFERROR(__xludf.DUMMYFUNCTION("""COMPUTED_VALUE"""),"completed")</f>
        <v>completed</v>
      </c>
      <c r="D867" s="26">
        <f ca="1">IFERROR(__xludf.DUMMYFUNCTION("""COMPUTED_VALUE"""),45)</f>
        <v>45</v>
      </c>
      <c r="E867" s="1"/>
      <c r="F867" s="87" t="str">
        <f t="shared" ca="1" si="0"/>
        <v>2023</v>
      </c>
      <c r="G867" s="1" t="str">
        <f ca="1">IFERROR(__xludf.DUMMYFUNCTION("""COMPUTED_VALUE"""),"Sun County Panthers Hockey")</f>
        <v>Sun County Panthers Hockey</v>
      </c>
      <c r="H867" s="26">
        <f t="shared" ca="1" si="1"/>
        <v>45</v>
      </c>
      <c r="I867" s="26">
        <f t="shared" ca="1" si="2"/>
        <v>1</v>
      </c>
      <c r="J867" s="86">
        <f t="shared" ca="1" si="3"/>
        <v>45070</v>
      </c>
      <c r="R867" s="26"/>
    </row>
    <row r="868" spans="1:18" ht="15.75" customHeight="1">
      <c r="A868" s="26">
        <f ca="1">IFERROR(__xludf.DUMMYFUNCTION("""COMPUTED_VALUE"""),18808)</f>
        <v>18808</v>
      </c>
      <c r="B868" s="86">
        <f ca="1">IFERROR(__xludf.DUMMYFUNCTION("""COMPUTED_VALUE"""),45070.0264699074)</f>
        <v>45070.026469907403</v>
      </c>
      <c r="C868" s="1" t="str">
        <f ca="1">IFERROR(__xludf.DUMMYFUNCTION("""COMPUTED_VALUE"""),"completed")</f>
        <v>completed</v>
      </c>
      <c r="D868" s="26">
        <f ca="1">IFERROR(__xludf.DUMMYFUNCTION("""COMPUTED_VALUE"""),42.5)</f>
        <v>42.5</v>
      </c>
      <c r="E868" s="1"/>
      <c r="F868" s="87" t="str">
        <f t="shared" ca="1" si="0"/>
        <v>2023</v>
      </c>
      <c r="G868" s="1" t="str">
        <f ca="1">IFERROR(__xludf.DUMMYFUNCTION("""COMPUTED_VALUE"""),"W.M.H.A")</f>
        <v>W.M.H.A</v>
      </c>
      <c r="H868" s="26">
        <f t="shared" ca="1" si="1"/>
        <v>42.5</v>
      </c>
      <c r="I868" s="26">
        <f t="shared" ca="1" si="2"/>
        <v>1</v>
      </c>
      <c r="J868" s="86">
        <f t="shared" ca="1" si="3"/>
        <v>45070</v>
      </c>
      <c r="R868" s="26"/>
    </row>
    <row r="869" spans="1:18" ht="15.75" customHeight="1">
      <c r="A869" s="26">
        <f ca="1">IFERROR(__xludf.DUMMYFUNCTION("""COMPUTED_VALUE"""),18807)</f>
        <v>18807</v>
      </c>
      <c r="B869" s="86">
        <f ca="1">IFERROR(__xludf.DUMMYFUNCTION("""COMPUTED_VALUE"""),45069.8960416666)</f>
        <v>45069.896041666601</v>
      </c>
      <c r="C869" s="1" t="str">
        <f ca="1">IFERROR(__xludf.DUMMYFUNCTION("""COMPUTED_VALUE"""),"completed")</f>
        <v>completed</v>
      </c>
      <c r="D869" s="26">
        <f ca="1">IFERROR(__xludf.DUMMYFUNCTION("""COMPUTED_VALUE"""),22)</f>
        <v>22</v>
      </c>
      <c r="E869" s="1"/>
      <c r="F869" s="87" t="str">
        <f t="shared" ca="1" si="0"/>
        <v>2023</v>
      </c>
      <c r="G869" s="1" t="str">
        <f ca="1">IFERROR(__xludf.DUMMYFUNCTION("""COMPUTED_VALUE"""),"W.M.F.A Football")</f>
        <v>W.M.F.A Football</v>
      </c>
      <c r="H869" s="26">
        <f t="shared" ca="1" si="1"/>
        <v>22</v>
      </c>
      <c r="I869" s="26">
        <f t="shared" ca="1" si="2"/>
        <v>1</v>
      </c>
      <c r="J869" s="86">
        <f t="shared" ca="1" si="3"/>
        <v>45069</v>
      </c>
      <c r="R869" s="26"/>
    </row>
    <row r="870" spans="1:18" ht="15.75" customHeight="1">
      <c r="A870" s="26">
        <f ca="1">IFERROR(__xludf.DUMMYFUNCTION("""COMPUTED_VALUE"""),18806)</f>
        <v>18806</v>
      </c>
      <c r="B870" s="86">
        <f ca="1">IFERROR(__xludf.DUMMYFUNCTION("""COMPUTED_VALUE"""),45069.876724537)</f>
        <v>45069.876724537004</v>
      </c>
      <c r="C870" s="1" t="str">
        <f ca="1">IFERROR(__xludf.DUMMYFUNCTION("""COMPUTED_VALUE"""),"completed")</f>
        <v>completed</v>
      </c>
      <c r="D870" s="26">
        <f ca="1">IFERROR(__xludf.DUMMYFUNCTION("""COMPUTED_VALUE"""),76.5)</f>
        <v>76.5</v>
      </c>
      <c r="E870" s="1"/>
      <c r="F870" s="87" t="str">
        <f t="shared" ca="1" si="0"/>
        <v>2023</v>
      </c>
      <c r="G870" s="1" t="str">
        <f ca="1">IFERROR(__xludf.DUMMYFUNCTION("""COMPUTED_VALUE"""),"Lakeshore Lightning Hockey")</f>
        <v>Lakeshore Lightning Hockey</v>
      </c>
      <c r="H870" s="26">
        <f t="shared" ca="1" si="1"/>
        <v>76.5</v>
      </c>
      <c r="I870" s="26">
        <f t="shared" ca="1" si="2"/>
        <v>1</v>
      </c>
      <c r="J870" s="86">
        <f t="shared" ca="1" si="3"/>
        <v>45069</v>
      </c>
      <c r="R870" s="26"/>
    </row>
    <row r="871" spans="1:18" ht="15.75" customHeight="1">
      <c r="A871" s="26">
        <f ca="1">IFERROR(__xludf.DUMMYFUNCTION("""COMPUTED_VALUE"""),18805)</f>
        <v>18805</v>
      </c>
      <c r="B871" s="86">
        <f ca="1">IFERROR(__xludf.DUMMYFUNCTION("""COMPUTED_VALUE"""),45069.8087731481)</f>
        <v>45069.808773148099</v>
      </c>
      <c r="C871" s="1" t="str">
        <f ca="1">IFERROR(__xludf.DUMMYFUNCTION("""COMPUTED_VALUE"""),"completed")</f>
        <v>completed</v>
      </c>
      <c r="D871" s="26">
        <f ca="1">IFERROR(__xludf.DUMMYFUNCTION("""COMPUTED_VALUE"""),60)</f>
        <v>60</v>
      </c>
      <c r="E871" s="1"/>
      <c r="F871" s="87" t="str">
        <f t="shared" ca="1" si="0"/>
        <v>2023</v>
      </c>
      <c r="G871" s="1" t="str">
        <f ca="1">IFERROR(__xludf.DUMMYFUNCTION("""COMPUTED_VALUE"""),"Lakeshore Lightning Hockey")</f>
        <v>Lakeshore Lightning Hockey</v>
      </c>
      <c r="H871" s="26">
        <f t="shared" ca="1" si="1"/>
        <v>60</v>
      </c>
      <c r="I871" s="26">
        <f t="shared" ca="1" si="2"/>
        <v>1</v>
      </c>
      <c r="J871" s="86">
        <f t="shared" ca="1" si="3"/>
        <v>45069</v>
      </c>
      <c r="R871" s="26"/>
    </row>
    <row r="872" spans="1:18" ht="15.75" customHeight="1">
      <c r="A872" s="26">
        <f ca="1">IFERROR(__xludf.DUMMYFUNCTION("""COMPUTED_VALUE"""),18804)</f>
        <v>18804</v>
      </c>
      <c r="B872" s="86">
        <f ca="1">IFERROR(__xludf.DUMMYFUNCTION("""COMPUTED_VALUE"""),45069.7768518518)</f>
        <v>45069.776851851799</v>
      </c>
      <c r="C872" s="1" t="str">
        <f ca="1">IFERROR(__xludf.DUMMYFUNCTION("""COMPUTED_VALUE"""),"completed")</f>
        <v>completed</v>
      </c>
      <c r="D872" s="26">
        <f ca="1">IFERROR(__xludf.DUMMYFUNCTION("""COMPUTED_VALUE"""),53)</f>
        <v>53</v>
      </c>
      <c r="E872" s="1"/>
      <c r="F872" s="87" t="str">
        <f t="shared" ca="1" si="0"/>
        <v>2023</v>
      </c>
      <c r="G872" s="1" t="str">
        <f ca="1">IFERROR(__xludf.DUMMYFUNCTION("""COMPUTED_VALUE"""),"Lakeshore Lightning Hockey")</f>
        <v>Lakeshore Lightning Hockey</v>
      </c>
      <c r="H872" s="26">
        <f t="shared" ca="1" si="1"/>
        <v>53</v>
      </c>
      <c r="I872" s="26">
        <f t="shared" ca="1" si="2"/>
        <v>1</v>
      </c>
      <c r="J872" s="86">
        <f t="shared" ca="1" si="3"/>
        <v>45069</v>
      </c>
      <c r="R872" s="26"/>
    </row>
    <row r="873" spans="1:18" ht="15.75" customHeight="1">
      <c r="A873" s="26">
        <f ca="1">IFERROR(__xludf.DUMMYFUNCTION("""COMPUTED_VALUE"""),18803)</f>
        <v>18803</v>
      </c>
      <c r="B873" s="86">
        <f ca="1">IFERROR(__xludf.DUMMYFUNCTION("""COMPUTED_VALUE"""),45069.7332175925)</f>
        <v>45069.733217592497</v>
      </c>
      <c r="C873" s="1" t="str">
        <f ca="1">IFERROR(__xludf.DUMMYFUNCTION("""COMPUTED_VALUE"""),"completed")</f>
        <v>completed</v>
      </c>
      <c r="D873" s="26">
        <f ca="1">IFERROR(__xludf.DUMMYFUNCTION("""COMPUTED_VALUE"""),55)</f>
        <v>55</v>
      </c>
      <c r="E873" s="1"/>
      <c r="F873" s="87" t="str">
        <f t="shared" ca="1" si="0"/>
        <v>2023</v>
      </c>
      <c r="G873" s="1" t="str">
        <f ca="1">IFERROR(__xludf.DUMMYFUNCTION("""COMPUTED_VALUE"""),"Lakeshore Lightning Hockey")</f>
        <v>Lakeshore Lightning Hockey</v>
      </c>
      <c r="H873" s="26">
        <f t="shared" ca="1" si="1"/>
        <v>55</v>
      </c>
      <c r="I873" s="26">
        <f t="shared" ca="1" si="2"/>
        <v>1</v>
      </c>
      <c r="J873" s="86">
        <f t="shared" ca="1" si="3"/>
        <v>45069</v>
      </c>
      <c r="R873" s="26"/>
    </row>
    <row r="874" spans="1:18" ht="15.75" customHeight="1">
      <c r="A874" s="26">
        <f ca="1">IFERROR(__xludf.DUMMYFUNCTION("""COMPUTED_VALUE"""),18802)</f>
        <v>18802</v>
      </c>
      <c r="B874" s="86">
        <f ca="1">IFERROR(__xludf.DUMMYFUNCTION("""COMPUTED_VALUE"""),45069.6154398148)</f>
        <v>45069.615439814799</v>
      </c>
      <c r="C874" s="1" t="str">
        <f ca="1">IFERROR(__xludf.DUMMYFUNCTION("""COMPUTED_VALUE"""),"completed")</f>
        <v>completed</v>
      </c>
      <c r="D874" s="26">
        <f ca="1">IFERROR(__xludf.DUMMYFUNCTION("""COMPUTED_VALUE"""),25)</f>
        <v>25</v>
      </c>
      <c r="E874" s="1"/>
      <c r="F874" s="87" t="str">
        <f t="shared" ca="1" si="0"/>
        <v>2023</v>
      </c>
      <c r="G874" s="1" t="str">
        <f ca="1">IFERROR(__xludf.DUMMYFUNCTION("""COMPUTED_VALUE"""),"Lakeshore Lightning Hockey")</f>
        <v>Lakeshore Lightning Hockey</v>
      </c>
      <c r="H874" s="26">
        <f t="shared" ca="1" si="1"/>
        <v>25</v>
      </c>
      <c r="I874" s="26">
        <f t="shared" ca="1" si="2"/>
        <v>1</v>
      </c>
      <c r="J874" s="86">
        <f t="shared" ca="1" si="3"/>
        <v>45069</v>
      </c>
      <c r="R874" s="26"/>
    </row>
    <row r="875" spans="1:18" ht="15.75" customHeight="1">
      <c r="A875" s="26">
        <f ca="1">IFERROR(__xludf.DUMMYFUNCTION("""COMPUTED_VALUE"""),18801)</f>
        <v>18801</v>
      </c>
      <c r="B875" s="86">
        <f ca="1">IFERROR(__xludf.DUMMYFUNCTION("""COMPUTED_VALUE"""),45069.5780092592)</f>
        <v>45069.578009259203</v>
      </c>
      <c r="C875" s="1" t="str">
        <f ca="1">IFERROR(__xludf.DUMMYFUNCTION("""COMPUTED_VALUE"""),"completed")</f>
        <v>completed</v>
      </c>
      <c r="D875" s="26">
        <f ca="1">IFERROR(__xludf.DUMMYFUNCTION("""COMPUTED_VALUE"""),18)</f>
        <v>18</v>
      </c>
      <c r="E875" s="1"/>
      <c r="F875" s="87" t="str">
        <f t="shared" ca="1" si="0"/>
        <v>2023</v>
      </c>
      <c r="G875" s="1" t="str">
        <f ca="1">IFERROR(__xludf.DUMMYFUNCTION("""COMPUTED_VALUE"""),"Lakeshore Lightning Hockey")</f>
        <v>Lakeshore Lightning Hockey</v>
      </c>
      <c r="H875" s="26">
        <f t="shared" ca="1" si="1"/>
        <v>18</v>
      </c>
      <c r="I875" s="26">
        <f t="shared" ca="1" si="2"/>
        <v>1</v>
      </c>
      <c r="J875" s="86">
        <f t="shared" ca="1" si="3"/>
        <v>45069</v>
      </c>
      <c r="R875" s="26"/>
    </row>
    <row r="876" spans="1:18" ht="15.75" customHeight="1">
      <c r="A876" s="26">
        <f ca="1">IFERROR(__xludf.DUMMYFUNCTION("""COMPUTED_VALUE"""),18800)</f>
        <v>18800</v>
      </c>
      <c r="B876" s="86">
        <f ca="1">IFERROR(__xludf.DUMMYFUNCTION("""COMPUTED_VALUE"""),45068.9771180555)</f>
        <v>45068.977118055504</v>
      </c>
      <c r="C876" s="1" t="str">
        <f ca="1">IFERROR(__xludf.DUMMYFUNCTION("""COMPUTED_VALUE"""),"completed")</f>
        <v>completed</v>
      </c>
      <c r="D876" s="26">
        <f ca="1">IFERROR(__xludf.DUMMYFUNCTION("""COMPUTED_VALUE"""),100)</f>
        <v>100</v>
      </c>
      <c r="E876" s="1"/>
      <c r="F876" s="87" t="str">
        <f t="shared" ca="1" si="0"/>
        <v>2023</v>
      </c>
      <c r="G876" s="1" t="str">
        <f ca="1">IFERROR(__xludf.DUMMYFUNCTION("""COMPUTED_VALUE"""),"Lakeshore Lightning Hockey")</f>
        <v>Lakeshore Lightning Hockey</v>
      </c>
      <c r="H876" s="26">
        <f t="shared" ca="1" si="1"/>
        <v>100</v>
      </c>
      <c r="I876" s="26">
        <f t="shared" ca="1" si="2"/>
        <v>1</v>
      </c>
      <c r="J876" s="86">
        <f t="shared" ca="1" si="3"/>
        <v>45068</v>
      </c>
      <c r="R876" s="26"/>
    </row>
    <row r="877" spans="1:18" ht="15.75" customHeight="1">
      <c r="A877" s="26">
        <f ca="1">IFERROR(__xludf.DUMMYFUNCTION("""COMPUTED_VALUE"""),18799)</f>
        <v>18799</v>
      </c>
      <c r="B877" s="86">
        <f ca="1">IFERROR(__xludf.DUMMYFUNCTION("""COMPUTED_VALUE"""),45068.7253125)</f>
        <v>45068.725312499999</v>
      </c>
      <c r="C877" s="1" t="str">
        <f ca="1">IFERROR(__xludf.DUMMYFUNCTION("""COMPUTED_VALUE"""),"completed")</f>
        <v>completed</v>
      </c>
      <c r="D877" s="26">
        <f ca="1">IFERROR(__xludf.DUMMYFUNCTION("""COMPUTED_VALUE"""),25)</f>
        <v>25</v>
      </c>
      <c r="E877" s="1"/>
      <c r="F877" s="87" t="str">
        <f t="shared" ca="1" si="0"/>
        <v>2023</v>
      </c>
      <c r="G877" s="1" t="str">
        <f ca="1">IFERROR(__xludf.DUMMYFUNCTION("""COMPUTED_VALUE"""),"Lakeshore Lightning Hockey")</f>
        <v>Lakeshore Lightning Hockey</v>
      </c>
      <c r="H877" s="26">
        <f t="shared" ca="1" si="1"/>
        <v>25</v>
      </c>
      <c r="I877" s="26">
        <f t="shared" ca="1" si="2"/>
        <v>1</v>
      </c>
      <c r="J877" s="86">
        <f t="shared" ca="1" si="3"/>
        <v>45068</v>
      </c>
      <c r="R877" s="26"/>
    </row>
    <row r="878" spans="1:18" ht="15.75" customHeight="1">
      <c r="A878" s="26">
        <f ca="1">IFERROR(__xludf.DUMMYFUNCTION("""COMPUTED_VALUE"""),18798)</f>
        <v>18798</v>
      </c>
      <c r="B878" s="86">
        <f ca="1">IFERROR(__xludf.DUMMYFUNCTION("""COMPUTED_VALUE"""),45068.1342361111)</f>
        <v>45068.134236111102</v>
      </c>
      <c r="C878" s="1" t="str">
        <f ca="1">IFERROR(__xludf.DUMMYFUNCTION("""COMPUTED_VALUE"""),"completed")</f>
        <v>completed</v>
      </c>
      <c r="D878" s="26">
        <f ca="1">IFERROR(__xludf.DUMMYFUNCTION("""COMPUTED_VALUE"""),28)</f>
        <v>28</v>
      </c>
      <c r="E878" s="1"/>
      <c r="F878" s="87" t="str">
        <f t="shared" ca="1" si="0"/>
        <v>2023</v>
      </c>
      <c r="G878" s="1" t="str">
        <f ca="1">IFERROR(__xludf.DUMMYFUNCTION("""COMPUTED_VALUE"""),"Lakeshore Lightning Hockey")</f>
        <v>Lakeshore Lightning Hockey</v>
      </c>
      <c r="H878" s="26">
        <f t="shared" ca="1" si="1"/>
        <v>28</v>
      </c>
      <c r="I878" s="26">
        <f t="shared" ca="1" si="2"/>
        <v>1</v>
      </c>
      <c r="J878" s="86">
        <f t="shared" ca="1" si="3"/>
        <v>45068</v>
      </c>
      <c r="R878" s="26"/>
    </row>
    <row r="879" spans="1:18" ht="15.75" customHeight="1">
      <c r="A879" s="26">
        <f ca="1">IFERROR(__xludf.DUMMYFUNCTION("""COMPUTED_VALUE"""),18797)</f>
        <v>18797</v>
      </c>
      <c r="B879" s="86">
        <f ca="1">IFERROR(__xludf.DUMMYFUNCTION("""COMPUTED_VALUE"""),45067.7252199074)</f>
        <v>45067.725219907399</v>
      </c>
      <c r="C879" s="1" t="str">
        <f ca="1">IFERROR(__xludf.DUMMYFUNCTION("""COMPUTED_VALUE"""),"completed")</f>
        <v>completed</v>
      </c>
      <c r="D879" s="26">
        <f ca="1">IFERROR(__xludf.DUMMYFUNCTION("""COMPUTED_VALUE"""),25)</f>
        <v>25</v>
      </c>
      <c r="E879" s="1"/>
      <c r="F879" s="87" t="str">
        <f t="shared" ca="1" si="0"/>
        <v>2023</v>
      </c>
      <c r="G879" s="1" t="str">
        <f ca="1">IFERROR(__xludf.DUMMYFUNCTION("""COMPUTED_VALUE"""),"Lakeshore Lightning Hockey")</f>
        <v>Lakeshore Lightning Hockey</v>
      </c>
      <c r="H879" s="26">
        <f t="shared" ca="1" si="1"/>
        <v>25</v>
      </c>
      <c r="I879" s="26">
        <f t="shared" ca="1" si="2"/>
        <v>1</v>
      </c>
      <c r="J879" s="86">
        <f t="shared" ca="1" si="3"/>
        <v>45067</v>
      </c>
      <c r="R879" s="26"/>
    </row>
    <row r="880" spans="1:18" ht="15.75" customHeight="1">
      <c r="A880" s="26">
        <f ca="1">IFERROR(__xludf.DUMMYFUNCTION("""COMPUTED_VALUE"""),18796)</f>
        <v>18796</v>
      </c>
      <c r="B880" s="86">
        <f ca="1">IFERROR(__xludf.DUMMYFUNCTION("""COMPUTED_VALUE"""),45067.0231481481)</f>
        <v>45067.023148148102</v>
      </c>
      <c r="C880" s="1" t="str">
        <f ca="1">IFERROR(__xludf.DUMMYFUNCTION("""COMPUTED_VALUE"""),"completed")</f>
        <v>completed</v>
      </c>
      <c r="D880" s="26">
        <f ca="1">IFERROR(__xludf.DUMMYFUNCTION("""COMPUTED_VALUE"""),20)</f>
        <v>20</v>
      </c>
      <c r="E880" s="1"/>
      <c r="F880" s="87" t="str">
        <f t="shared" ca="1" si="0"/>
        <v>2023</v>
      </c>
      <c r="G880" s="1" t="str">
        <f ca="1">IFERROR(__xludf.DUMMYFUNCTION("""COMPUTED_VALUE"""),"Lakeshore Lightning Hockey")</f>
        <v>Lakeshore Lightning Hockey</v>
      </c>
      <c r="H880" s="26">
        <f t="shared" ca="1" si="1"/>
        <v>20</v>
      </c>
      <c r="I880" s="26">
        <f t="shared" ca="1" si="2"/>
        <v>1</v>
      </c>
      <c r="J880" s="86">
        <f t="shared" ca="1" si="3"/>
        <v>45067</v>
      </c>
      <c r="R880" s="26"/>
    </row>
    <row r="881" spans="1:18" ht="15.75" customHeight="1">
      <c r="A881" s="26">
        <f ca="1">IFERROR(__xludf.DUMMYFUNCTION("""COMPUTED_VALUE"""),18795)</f>
        <v>18795</v>
      </c>
      <c r="B881" s="86">
        <f ca="1">IFERROR(__xludf.DUMMYFUNCTION("""COMPUTED_VALUE"""),45067.0208796296)</f>
        <v>45067.020879629599</v>
      </c>
      <c r="C881" s="1" t="str">
        <f ca="1">IFERROR(__xludf.DUMMYFUNCTION("""COMPUTED_VALUE"""),"refunded")</f>
        <v>refunded</v>
      </c>
      <c r="D881" s="26">
        <f ca="1">IFERROR(__xludf.DUMMYFUNCTION("""COMPUTED_VALUE"""),20)</f>
        <v>20</v>
      </c>
      <c r="E881" s="1"/>
      <c r="F881" s="87" t="str">
        <f t="shared" ca="1" si="0"/>
        <v>2023</v>
      </c>
      <c r="G881" s="1" t="str">
        <f ca="1">IFERROR(__xludf.DUMMYFUNCTION("""COMPUTED_VALUE"""),"Lakeshore Lightning Hockey")</f>
        <v>Lakeshore Lightning Hockey</v>
      </c>
      <c r="H881" s="26">
        <f t="shared" ca="1" si="1"/>
        <v>20</v>
      </c>
      <c r="I881" s="26">
        <f t="shared" ca="1" si="2"/>
        <v>1</v>
      </c>
      <c r="J881" s="86">
        <f t="shared" ca="1" si="3"/>
        <v>45067</v>
      </c>
      <c r="R881" s="26"/>
    </row>
    <row r="882" spans="1:18" ht="15.75" customHeight="1">
      <c r="A882" s="26">
        <f ca="1">IFERROR(__xludf.DUMMYFUNCTION("""COMPUTED_VALUE"""),18794)</f>
        <v>18794</v>
      </c>
      <c r="B882" s="86">
        <f ca="1">IFERROR(__xludf.DUMMYFUNCTION("""COMPUTED_VALUE"""),45066.9022106481)</f>
        <v>45066.902210648099</v>
      </c>
      <c r="C882" s="1" t="str">
        <f ca="1">IFERROR(__xludf.DUMMYFUNCTION("""COMPUTED_VALUE"""),"completed")</f>
        <v>completed</v>
      </c>
      <c r="D882" s="26">
        <f ca="1">IFERROR(__xludf.DUMMYFUNCTION("""COMPUTED_VALUE"""),53)</f>
        <v>53</v>
      </c>
      <c r="E882" s="1"/>
      <c r="F882" s="87" t="str">
        <f t="shared" ca="1" si="0"/>
        <v>2023</v>
      </c>
      <c r="G882" s="1" t="str">
        <f ca="1">IFERROR(__xludf.DUMMYFUNCTION("""COMPUTED_VALUE"""),"Lakeshore Lightning Hockey")</f>
        <v>Lakeshore Lightning Hockey</v>
      </c>
      <c r="H882" s="26">
        <f t="shared" ca="1" si="1"/>
        <v>53</v>
      </c>
      <c r="I882" s="26">
        <f t="shared" ca="1" si="2"/>
        <v>1</v>
      </c>
      <c r="J882" s="86">
        <f t="shared" ca="1" si="3"/>
        <v>45066</v>
      </c>
      <c r="R882" s="26"/>
    </row>
    <row r="883" spans="1:18" ht="15.75" customHeight="1">
      <c r="A883" s="26">
        <f ca="1">IFERROR(__xludf.DUMMYFUNCTION("""COMPUTED_VALUE"""),18793)</f>
        <v>18793</v>
      </c>
      <c r="B883" s="86">
        <f ca="1">IFERROR(__xludf.DUMMYFUNCTION("""COMPUTED_VALUE"""),45066.9003587962)</f>
        <v>45066.9003587962</v>
      </c>
      <c r="C883" s="1" t="str">
        <f ca="1">IFERROR(__xludf.DUMMYFUNCTION("""COMPUTED_VALUE"""),"completed")</f>
        <v>completed</v>
      </c>
      <c r="D883" s="26">
        <f ca="1">IFERROR(__xludf.DUMMYFUNCTION("""COMPUTED_VALUE"""),53)</f>
        <v>53</v>
      </c>
      <c r="E883" s="1"/>
      <c r="F883" s="87" t="str">
        <f t="shared" ca="1" si="0"/>
        <v>2023</v>
      </c>
      <c r="G883" s="1" t="str">
        <f ca="1">IFERROR(__xludf.DUMMYFUNCTION("""COMPUTED_VALUE"""),"Lakeshore Lightning Hockey")</f>
        <v>Lakeshore Lightning Hockey</v>
      </c>
      <c r="H883" s="26">
        <f t="shared" ca="1" si="1"/>
        <v>53</v>
      </c>
      <c r="I883" s="26">
        <f t="shared" ca="1" si="2"/>
        <v>1</v>
      </c>
      <c r="J883" s="86">
        <f t="shared" ca="1" si="3"/>
        <v>45066</v>
      </c>
      <c r="R883" s="26"/>
    </row>
    <row r="884" spans="1:18" ht="15.75" customHeight="1">
      <c r="A884" s="26">
        <f ca="1">IFERROR(__xludf.DUMMYFUNCTION("""COMPUTED_VALUE"""),18792)</f>
        <v>18792</v>
      </c>
      <c r="B884" s="86">
        <f ca="1">IFERROR(__xludf.DUMMYFUNCTION("""COMPUTED_VALUE"""),45066.7879282407)</f>
        <v>45066.787928240701</v>
      </c>
      <c r="C884" s="1" t="str">
        <f ca="1">IFERROR(__xludf.DUMMYFUNCTION("""COMPUTED_VALUE"""),"completed")</f>
        <v>completed</v>
      </c>
      <c r="D884" s="26">
        <f ca="1">IFERROR(__xludf.DUMMYFUNCTION("""COMPUTED_VALUE"""),55)</f>
        <v>55</v>
      </c>
      <c r="E884" s="1"/>
      <c r="F884" s="87" t="str">
        <f t="shared" ca="1" si="0"/>
        <v>2023</v>
      </c>
      <c r="G884" s="1" t="str">
        <f ca="1">IFERROR(__xludf.DUMMYFUNCTION("""COMPUTED_VALUE"""),"Lakeshore Lightning Hockey")</f>
        <v>Lakeshore Lightning Hockey</v>
      </c>
      <c r="H884" s="26">
        <f t="shared" ca="1" si="1"/>
        <v>55</v>
      </c>
      <c r="I884" s="26">
        <f t="shared" ca="1" si="2"/>
        <v>1</v>
      </c>
      <c r="J884" s="86">
        <f t="shared" ca="1" si="3"/>
        <v>45066</v>
      </c>
      <c r="R884" s="26"/>
    </row>
    <row r="885" spans="1:18" ht="15.75" customHeight="1">
      <c r="A885" s="26">
        <f ca="1">IFERROR(__xludf.DUMMYFUNCTION("""COMPUTED_VALUE"""),18791)</f>
        <v>18791</v>
      </c>
      <c r="B885" s="86">
        <f ca="1">IFERROR(__xludf.DUMMYFUNCTION("""COMPUTED_VALUE"""),45066.7020254629)</f>
        <v>45066.702025462902</v>
      </c>
      <c r="C885" s="1" t="str">
        <f ca="1">IFERROR(__xludf.DUMMYFUNCTION("""COMPUTED_VALUE"""),"completed")</f>
        <v>completed</v>
      </c>
      <c r="D885" s="26">
        <f ca="1">IFERROR(__xludf.DUMMYFUNCTION("""COMPUTED_VALUE"""),28)</f>
        <v>28</v>
      </c>
      <c r="E885" s="1"/>
      <c r="F885" s="87" t="str">
        <f t="shared" ca="1" si="0"/>
        <v>2023</v>
      </c>
      <c r="G885" s="1" t="str">
        <f ca="1">IFERROR(__xludf.DUMMYFUNCTION("""COMPUTED_VALUE"""),"Lakeshore Lightning Hockey")</f>
        <v>Lakeshore Lightning Hockey</v>
      </c>
      <c r="H885" s="26">
        <f t="shared" ca="1" si="1"/>
        <v>28</v>
      </c>
      <c r="I885" s="26">
        <f t="shared" ca="1" si="2"/>
        <v>1</v>
      </c>
      <c r="J885" s="86">
        <f t="shared" ca="1" si="3"/>
        <v>45066</v>
      </c>
      <c r="R885" s="26"/>
    </row>
    <row r="886" spans="1:18" ht="15.75" customHeight="1">
      <c r="A886" s="26">
        <f ca="1">IFERROR(__xludf.DUMMYFUNCTION("""COMPUTED_VALUE"""),18790)</f>
        <v>18790</v>
      </c>
      <c r="B886" s="86">
        <f ca="1">IFERROR(__xludf.DUMMYFUNCTION("""COMPUTED_VALUE"""),45066.5158912037)</f>
        <v>45066.5158912037</v>
      </c>
      <c r="C886" s="1" t="str">
        <f ca="1">IFERROR(__xludf.DUMMYFUNCTION("""COMPUTED_VALUE"""),"completed")</f>
        <v>completed</v>
      </c>
      <c r="D886" s="26">
        <f ca="1">IFERROR(__xludf.DUMMYFUNCTION("""COMPUTED_VALUE"""),25)</f>
        <v>25</v>
      </c>
      <c r="E886" s="1"/>
      <c r="F886" s="87" t="str">
        <f t="shared" ca="1" si="0"/>
        <v>2023</v>
      </c>
      <c r="G886" s="1" t="str">
        <f ca="1">IFERROR(__xludf.DUMMYFUNCTION("""COMPUTED_VALUE"""),"Lakeshore Lightning Hockey")</f>
        <v>Lakeshore Lightning Hockey</v>
      </c>
      <c r="H886" s="26">
        <f t="shared" ca="1" si="1"/>
        <v>25</v>
      </c>
      <c r="I886" s="26">
        <f t="shared" ca="1" si="2"/>
        <v>1</v>
      </c>
      <c r="J886" s="86">
        <f t="shared" ca="1" si="3"/>
        <v>45066</v>
      </c>
      <c r="R886" s="26"/>
    </row>
    <row r="887" spans="1:18" ht="15.75" customHeight="1">
      <c r="A887" s="26">
        <f ca="1">IFERROR(__xludf.DUMMYFUNCTION("""COMPUTED_VALUE"""),18789)</f>
        <v>18789</v>
      </c>
      <c r="B887" s="86">
        <f ca="1">IFERROR(__xludf.DUMMYFUNCTION("""COMPUTED_VALUE"""),45066.2054513888)</f>
        <v>45066.2054513888</v>
      </c>
      <c r="C887" s="1" t="str">
        <f ca="1">IFERROR(__xludf.DUMMYFUNCTION("""COMPUTED_VALUE"""),"completed")</f>
        <v>completed</v>
      </c>
      <c r="D887" s="26">
        <f ca="1">IFERROR(__xludf.DUMMYFUNCTION("""COMPUTED_VALUE"""),30)</f>
        <v>30</v>
      </c>
      <c r="E887" s="1"/>
      <c r="F887" s="87" t="str">
        <f t="shared" ca="1" si="0"/>
        <v>2023</v>
      </c>
      <c r="G887" s="1" t="str">
        <f ca="1">IFERROR(__xludf.DUMMYFUNCTION("""COMPUTED_VALUE"""),"Lakeshore Lightning Hockey")</f>
        <v>Lakeshore Lightning Hockey</v>
      </c>
      <c r="H887" s="26">
        <f t="shared" ca="1" si="1"/>
        <v>30</v>
      </c>
      <c r="I887" s="26">
        <f t="shared" ca="1" si="2"/>
        <v>1</v>
      </c>
      <c r="J887" s="86">
        <f t="shared" ca="1" si="3"/>
        <v>45066</v>
      </c>
      <c r="R887" s="26"/>
    </row>
    <row r="888" spans="1:18" ht="15.75" customHeight="1">
      <c r="A888" s="26">
        <f ca="1">IFERROR(__xludf.DUMMYFUNCTION("""COMPUTED_VALUE"""),18783)</f>
        <v>18783</v>
      </c>
      <c r="B888" s="86">
        <f ca="1">IFERROR(__xludf.DUMMYFUNCTION("""COMPUTED_VALUE"""),45065.710636574)</f>
        <v>45065.710636573996</v>
      </c>
      <c r="C888" s="1" t="str">
        <f ca="1">IFERROR(__xludf.DUMMYFUNCTION("""COMPUTED_VALUE"""),"completed")</f>
        <v>completed</v>
      </c>
      <c r="D888" s="26">
        <f ca="1">IFERROR(__xludf.DUMMYFUNCTION("""COMPUTED_VALUE"""),20)</f>
        <v>20</v>
      </c>
      <c r="E888" s="1"/>
      <c r="F888" s="87" t="str">
        <f t="shared" ca="1" si="0"/>
        <v>2023</v>
      </c>
      <c r="G888" s="1" t="str">
        <f ca="1">IFERROR(__xludf.DUMMYFUNCTION("""COMPUTED_VALUE"""),"WMFA")</f>
        <v>WMFA</v>
      </c>
      <c r="H888" s="26">
        <f t="shared" ca="1" si="1"/>
        <v>20</v>
      </c>
      <c r="I888" s="26">
        <f t="shared" ca="1" si="2"/>
        <v>1</v>
      </c>
      <c r="J888" s="86">
        <f t="shared" ca="1" si="3"/>
        <v>45065</v>
      </c>
      <c r="R888" s="26"/>
    </row>
    <row r="889" spans="1:18" ht="15.75" customHeight="1">
      <c r="A889" s="26">
        <f ca="1">IFERROR(__xludf.DUMMYFUNCTION("""COMPUTED_VALUE"""),18782)</f>
        <v>18782</v>
      </c>
      <c r="B889" s="86">
        <f ca="1">IFERROR(__xludf.DUMMYFUNCTION("""COMPUTED_VALUE"""),45065.6644444444)</f>
        <v>45065.664444444403</v>
      </c>
      <c r="C889" s="1" t="str">
        <f ca="1">IFERROR(__xludf.DUMMYFUNCTION("""COMPUTED_VALUE"""),"completed")</f>
        <v>completed</v>
      </c>
      <c r="D889" s="26">
        <f ca="1">IFERROR(__xludf.DUMMYFUNCTION("""COMPUTED_VALUE"""),20)</f>
        <v>20</v>
      </c>
      <c r="E889" s="1"/>
      <c r="F889" s="87" t="str">
        <f t="shared" ca="1" si="0"/>
        <v>2023</v>
      </c>
      <c r="G889" s="1" t="str">
        <f ca="1">IFERROR(__xludf.DUMMYFUNCTION("""COMPUTED_VALUE"""),"WMFA")</f>
        <v>WMFA</v>
      </c>
      <c r="H889" s="26">
        <f t="shared" ca="1" si="1"/>
        <v>20</v>
      </c>
      <c r="I889" s="26">
        <f t="shared" ca="1" si="2"/>
        <v>1</v>
      </c>
      <c r="J889" s="86">
        <f t="shared" ca="1" si="3"/>
        <v>45065</v>
      </c>
      <c r="R889" s="26"/>
    </row>
    <row r="890" spans="1:18" ht="15.75" customHeight="1">
      <c r="A890" s="26">
        <f ca="1">IFERROR(__xludf.DUMMYFUNCTION("""COMPUTED_VALUE"""),18781)</f>
        <v>18781</v>
      </c>
      <c r="B890" s="86">
        <f ca="1">IFERROR(__xludf.DUMMYFUNCTION("""COMPUTED_VALUE"""),45065.6198263888)</f>
        <v>45065.6198263888</v>
      </c>
      <c r="C890" s="1" t="str">
        <f ca="1">IFERROR(__xludf.DUMMYFUNCTION("""COMPUTED_VALUE"""),"completed")</f>
        <v>completed</v>
      </c>
      <c r="D890" s="26">
        <f ca="1">IFERROR(__xludf.DUMMYFUNCTION("""COMPUTED_VALUE"""),25)</f>
        <v>25</v>
      </c>
      <c r="E890" s="1"/>
      <c r="F890" s="87" t="str">
        <f t="shared" ca="1" si="0"/>
        <v>2023</v>
      </c>
      <c r="G890" s="1" t="str">
        <f ca="1">IFERROR(__xludf.DUMMYFUNCTION("""COMPUTED_VALUE"""),"WMFA")</f>
        <v>WMFA</v>
      </c>
      <c r="H890" s="26">
        <f t="shared" ca="1" si="1"/>
        <v>25</v>
      </c>
      <c r="I890" s="26">
        <f t="shared" ca="1" si="2"/>
        <v>1</v>
      </c>
      <c r="J890" s="86">
        <f t="shared" ca="1" si="3"/>
        <v>45065</v>
      </c>
      <c r="R890" s="26"/>
    </row>
    <row r="891" spans="1:18" ht="15.75" customHeight="1">
      <c r="A891" s="26">
        <f ca="1">IFERROR(__xludf.DUMMYFUNCTION("""COMPUTED_VALUE"""),18780)</f>
        <v>18780</v>
      </c>
      <c r="B891" s="86">
        <f ca="1">IFERROR(__xludf.DUMMYFUNCTION("""COMPUTED_VALUE"""),45065.0071180555)</f>
        <v>45065.007118055502</v>
      </c>
      <c r="C891" s="1" t="str">
        <f ca="1">IFERROR(__xludf.DUMMYFUNCTION("""COMPUTED_VALUE"""),"completed")</f>
        <v>completed</v>
      </c>
      <c r="D891" s="26">
        <f ca="1">IFERROR(__xludf.DUMMYFUNCTION("""COMPUTED_VALUE"""),18)</f>
        <v>18</v>
      </c>
      <c r="E891" s="1"/>
      <c r="F891" s="87" t="str">
        <f t="shared" ca="1" si="0"/>
        <v>2023</v>
      </c>
      <c r="G891" s="1" t="str">
        <f ca="1">IFERROR(__xludf.DUMMYFUNCTION("""COMPUTED_VALUE"""),"WMFA")</f>
        <v>WMFA</v>
      </c>
      <c r="H891" s="26">
        <f t="shared" ca="1" si="1"/>
        <v>18</v>
      </c>
      <c r="I891" s="26">
        <f t="shared" ca="1" si="2"/>
        <v>1</v>
      </c>
      <c r="J891" s="86">
        <f t="shared" ca="1" si="3"/>
        <v>45065</v>
      </c>
      <c r="R891" s="26"/>
    </row>
    <row r="892" spans="1:18" ht="15.75" customHeight="1">
      <c r="A892" s="26">
        <f ca="1">IFERROR(__xludf.DUMMYFUNCTION("""COMPUTED_VALUE"""),18779)</f>
        <v>18779</v>
      </c>
      <c r="B892" s="86">
        <f ca="1">IFERROR(__xludf.DUMMYFUNCTION("""COMPUTED_VALUE"""),45064.8069907407)</f>
        <v>45064.806990740697</v>
      </c>
      <c r="C892" s="1" t="str">
        <f ca="1">IFERROR(__xludf.DUMMYFUNCTION("""COMPUTED_VALUE"""),"completed")</f>
        <v>completed</v>
      </c>
      <c r="D892" s="26">
        <f ca="1">IFERROR(__xludf.DUMMYFUNCTION("""COMPUTED_VALUE"""),18)</f>
        <v>18</v>
      </c>
      <c r="E892" s="1"/>
      <c r="F892" s="87" t="str">
        <f t="shared" ca="1" si="0"/>
        <v>2023</v>
      </c>
      <c r="G892" s="1" t="str">
        <f ca="1">IFERROR(__xludf.DUMMYFUNCTION("""COMPUTED_VALUE"""),"WMFA")</f>
        <v>WMFA</v>
      </c>
      <c r="H892" s="26">
        <f t="shared" ca="1" si="1"/>
        <v>18</v>
      </c>
      <c r="I892" s="26">
        <f t="shared" ca="1" si="2"/>
        <v>1</v>
      </c>
      <c r="J892" s="86">
        <f t="shared" ca="1" si="3"/>
        <v>45064</v>
      </c>
      <c r="R892" s="26"/>
    </row>
    <row r="893" spans="1:18" ht="15.75" customHeight="1">
      <c r="A893" s="26">
        <f ca="1">IFERROR(__xludf.DUMMYFUNCTION("""COMPUTED_VALUE"""),18778)</f>
        <v>18778</v>
      </c>
      <c r="B893" s="86">
        <f ca="1">IFERROR(__xludf.DUMMYFUNCTION("""COMPUTED_VALUE"""),45064.7295254629)</f>
        <v>45064.729525462899</v>
      </c>
      <c r="C893" s="1" t="str">
        <f ca="1">IFERROR(__xludf.DUMMYFUNCTION("""COMPUTED_VALUE"""),"completed")</f>
        <v>completed</v>
      </c>
      <c r="D893" s="26">
        <f ca="1">IFERROR(__xludf.DUMMYFUNCTION("""COMPUTED_VALUE"""),15)</f>
        <v>15</v>
      </c>
      <c r="E893" s="1"/>
      <c r="F893" s="87" t="str">
        <f t="shared" ca="1" si="0"/>
        <v>2023</v>
      </c>
      <c r="G893" s="1" t="str">
        <f ca="1">IFERROR(__xludf.DUMMYFUNCTION("""COMPUTED_VALUE"""),"WMFA")</f>
        <v>WMFA</v>
      </c>
      <c r="H893" s="26">
        <f t="shared" ca="1" si="1"/>
        <v>15</v>
      </c>
      <c r="I893" s="26">
        <f t="shared" ca="1" si="2"/>
        <v>1</v>
      </c>
      <c r="J893" s="86">
        <f t="shared" ca="1" si="3"/>
        <v>45064</v>
      </c>
      <c r="R893" s="26"/>
    </row>
    <row r="894" spans="1:18" ht="15.75" customHeight="1">
      <c r="A894" s="26">
        <f ca="1">IFERROR(__xludf.DUMMYFUNCTION("""COMPUTED_VALUE"""),18777)</f>
        <v>18777</v>
      </c>
      <c r="B894" s="86">
        <f ca="1">IFERROR(__xludf.DUMMYFUNCTION("""COMPUTED_VALUE"""),45064.726099537)</f>
        <v>45064.726099537002</v>
      </c>
      <c r="C894" s="1" t="str">
        <f ca="1">IFERROR(__xludf.DUMMYFUNCTION("""COMPUTED_VALUE"""),"completed")</f>
        <v>completed</v>
      </c>
      <c r="D894" s="26">
        <f ca="1">IFERROR(__xludf.DUMMYFUNCTION("""COMPUTED_VALUE"""),15)</f>
        <v>15</v>
      </c>
      <c r="E894" s="1"/>
      <c r="F894" s="87" t="str">
        <f t="shared" ca="1" si="0"/>
        <v>2023</v>
      </c>
      <c r="G894" s="1" t="str">
        <f ca="1">IFERROR(__xludf.DUMMYFUNCTION("""COMPUTED_VALUE"""),"WMFA")</f>
        <v>WMFA</v>
      </c>
      <c r="H894" s="26">
        <f t="shared" ca="1" si="1"/>
        <v>15</v>
      </c>
      <c r="I894" s="26">
        <f t="shared" ca="1" si="2"/>
        <v>1</v>
      </c>
      <c r="J894" s="86">
        <f t="shared" ca="1" si="3"/>
        <v>45064</v>
      </c>
      <c r="R894" s="26"/>
    </row>
    <row r="895" spans="1:18" ht="15.75" customHeight="1">
      <c r="A895" s="26">
        <f ca="1">IFERROR(__xludf.DUMMYFUNCTION("""COMPUTED_VALUE"""),18776)</f>
        <v>18776</v>
      </c>
      <c r="B895" s="86">
        <f ca="1">IFERROR(__xludf.DUMMYFUNCTION("""COMPUTED_VALUE"""),45064.7005787037)</f>
        <v>45064.700578703698</v>
      </c>
      <c r="C895" s="1" t="str">
        <f ca="1">IFERROR(__xludf.DUMMYFUNCTION("""COMPUTED_VALUE"""),"completed")</f>
        <v>completed</v>
      </c>
      <c r="D895" s="26">
        <f ca="1">IFERROR(__xludf.DUMMYFUNCTION("""COMPUTED_VALUE"""),25)</f>
        <v>25</v>
      </c>
      <c r="E895" s="1"/>
      <c r="F895" s="87" t="str">
        <f t="shared" ca="1" si="0"/>
        <v>2023</v>
      </c>
      <c r="G895" s="1" t="str">
        <f ca="1">IFERROR(__xludf.DUMMYFUNCTION("""COMPUTED_VALUE"""),"WMFA")</f>
        <v>WMFA</v>
      </c>
      <c r="H895" s="26">
        <f t="shared" ca="1" si="1"/>
        <v>25</v>
      </c>
      <c r="I895" s="26">
        <f t="shared" ca="1" si="2"/>
        <v>1</v>
      </c>
      <c r="J895" s="86">
        <f t="shared" ca="1" si="3"/>
        <v>45064</v>
      </c>
      <c r="R895" s="26"/>
    </row>
    <row r="896" spans="1:18" ht="15.75" customHeight="1">
      <c r="A896" s="26">
        <f ca="1">IFERROR(__xludf.DUMMYFUNCTION("""COMPUTED_VALUE"""),18775)</f>
        <v>18775</v>
      </c>
      <c r="B896" s="86">
        <f ca="1">IFERROR(__xludf.DUMMYFUNCTION("""COMPUTED_VALUE"""),45064.1208449074)</f>
        <v>45064.120844907397</v>
      </c>
      <c r="C896" s="1" t="str">
        <f ca="1">IFERROR(__xludf.DUMMYFUNCTION("""COMPUTED_VALUE"""),"completed")</f>
        <v>completed</v>
      </c>
      <c r="D896" s="26">
        <f ca="1">IFERROR(__xludf.DUMMYFUNCTION("""COMPUTED_VALUE"""),63)</f>
        <v>63</v>
      </c>
      <c r="E896" s="1"/>
      <c r="F896" s="87" t="str">
        <f t="shared" ca="1" si="0"/>
        <v>2023</v>
      </c>
      <c r="G896" s="1" t="str">
        <f ca="1">IFERROR(__xludf.DUMMYFUNCTION("""COMPUTED_VALUE"""),"WMFA")</f>
        <v>WMFA</v>
      </c>
      <c r="H896" s="26">
        <f t="shared" ca="1" si="1"/>
        <v>63</v>
      </c>
      <c r="I896" s="26">
        <f t="shared" ca="1" si="2"/>
        <v>1</v>
      </c>
      <c r="J896" s="86">
        <f t="shared" ca="1" si="3"/>
        <v>45064</v>
      </c>
      <c r="R896" s="26"/>
    </row>
    <row r="897" spans="1:18" ht="15.75" customHeight="1">
      <c r="A897" s="26">
        <f ca="1">IFERROR(__xludf.DUMMYFUNCTION("""COMPUTED_VALUE"""),18770)</f>
        <v>18770</v>
      </c>
      <c r="B897" s="86">
        <f ca="1">IFERROR(__xludf.DUMMYFUNCTION("""COMPUTED_VALUE"""),45064.0795023148)</f>
        <v>45064.079502314802</v>
      </c>
      <c r="C897" s="1" t="str">
        <f ca="1">IFERROR(__xludf.DUMMYFUNCTION("""COMPUTED_VALUE"""),"completed")</f>
        <v>completed</v>
      </c>
      <c r="D897" s="26">
        <f ca="1">IFERROR(__xludf.DUMMYFUNCTION("""COMPUTED_VALUE"""),25)</f>
        <v>25</v>
      </c>
      <c r="E897" s="1"/>
      <c r="F897" s="87" t="str">
        <f t="shared" ca="1" si="0"/>
        <v>2023</v>
      </c>
      <c r="G897" s="1" t="str">
        <f ca="1">IFERROR(__xludf.DUMMYFUNCTION("""COMPUTED_VALUE"""),"WMFA")</f>
        <v>WMFA</v>
      </c>
      <c r="H897" s="26">
        <f t="shared" ca="1" si="1"/>
        <v>25</v>
      </c>
      <c r="I897" s="26">
        <f t="shared" ca="1" si="2"/>
        <v>1</v>
      </c>
      <c r="J897" s="86">
        <f t="shared" ca="1" si="3"/>
        <v>45064</v>
      </c>
      <c r="R897" s="26"/>
    </row>
    <row r="898" spans="1:18" ht="15.75" customHeight="1">
      <c r="A898" s="26">
        <f ca="1">IFERROR(__xludf.DUMMYFUNCTION("""COMPUTED_VALUE"""),18769)</f>
        <v>18769</v>
      </c>
      <c r="B898" s="86">
        <f ca="1">IFERROR(__xludf.DUMMYFUNCTION("""COMPUTED_VALUE"""),45063.9330324074)</f>
        <v>45063.933032407404</v>
      </c>
      <c r="C898" s="1" t="str">
        <f ca="1">IFERROR(__xludf.DUMMYFUNCTION("""COMPUTED_VALUE"""),"completed")</f>
        <v>completed</v>
      </c>
      <c r="D898" s="26">
        <f ca="1">IFERROR(__xludf.DUMMYFUNCTION("""COMPUTED_VALUE"""),25)</f>
        <v>25</v>
      </c>
      <c r="E898" s="1"/>
      <c r="F898" s="87" t="str">
        <f t="shared" ca="1" si="0"/>
        <v>2023</v>
      </c>
      <c r="G898" s="1" t="str">
        <f ca="1">IFERROR(__xludf.DUMMYFUNCTION("""COMPUTED_VALUE"""),"WMFA")</f>
        <v>WMFA</v>
      </c>
      <c r="H898" s="26">
        <f t="shared" ca="1" si="1"/>
        <v>25</v>
      </c>
      <c r="I898" s="26">
        <f t="shared" ca="1" si="2"/>
        <v>1</v>
      </c>
      <c r="J898" s="86">
        <f t="shared" ca="1" si="3"/>
        <v>45063</v>
      </c>
      <c r="R898" s="26"/>
    </row>
    <row r="899" spans="1:18" ht="15.75" customHeight="1">
      <c r="A899" s="26">
        <f ca="1">IFERROR(__xludf.DUMMYFUNCTION("""COMPUTED_VALUE"""),18768)</f>
        <v>18768</v>
      </c>
      <c r="B899" s="86">
        <f ca="1">IFERROR(__xludf.DUMMYFUNCTION("""COMPUTED_VALUE"""),45063.8785185185)</f>
        <v>45063.878518518497</v>
      </c>
      <c r="C899" s="1" t="str">
        <f ca="1">IFERROR(__xludf.DUMMYFUNCTION("""COMPUTED_VALUE"""),"completed")</f>
        <v>completed</v>
      </c>
      <c r="D899" s="26">
        <f ca="1">IFERROR(__xludf.DUMMYFUNCTION("""COMPUTED_VALUE"""),45)</f>
        <v>45</v>
      </c>
      <c r="E899" s="1"/>
      <c r="F899" s="87" t="str">
        <f t="shared" ca="1" si="0"/>
        <v>2023</v>
      </c>
      <c r="G899" s="1" t="str">
        <f ca="1">IFERROR(__xludf.DUMMYFUNCTION("""COMPUTED_VALUE"""),"South Point Stars")</f>
        <v>South Point Stars</v>
      </c>
      <c r="H899" s="26">
        <f t="shared" ca="1" si="1"/>
        <v>45</v>
      </c>
      <c r="I899" s="26">
        <f t="shared" ca="1" si="2"/>
        <v>1</v>
      </c>
      <c r="J899" s="86">
        <f t="shared" ca="1" si="3"/>
        <v>45063</v>
      </c>
      <c r="R899" s="26"/>
    </row>
    <row r="900" spans="1:18" ht="15.75" customHeight="1">
      <c r="A900" s="26">
        <f ca="1">IFERROR(__xludf.DUMMYFUNCTION("""COMPUTED_VALUE"""),18767)</f>
        <v>18767</v>
      </c>
      <c r="B900" s="86">
        <f ca="1">IFERROR(__xludf.DUMMYFUNCTION("""COMPUTED_VALUE"""),45063.7828009259)</f>
        <v>45063.782800925903</v>
      </c>
      <c r="C900" s="1" t="str">
        <f ca="1">IFERROR(__xludf.DUMMYFUNCTION("""COMPUTED_VALUE"""),"completed")</f>
        <v>completed</v>
      </c>
      <c r="D900" s="26">
        <f ca="1">IFERROR(__xludf.DUMMYFUNCTION("""COMPUTED_VALUE"""),56)</f>
        <v>56</v>
      </c>
      <c r="E900" s="1"/>
      <c r="F900" s="87" t="str">
        <f t="shared" ca="1" si="0"/>
        <v>2023</v>
      </c>
      <c r="G900" s="1" t="str">
        <f ca="1">IFERROR(__xludf.DUMMYFUNCTION("""COMPUTED_VALUE"""),"WMFA")</f>
        <v>WMFA</v>
      </c>
      <c r="H900" s="26">
        <f t="shared" ca="1" si="1"/>
        <v>56</v>
      </c>
      <c r="I900" s="26">
        <f t="shared" ca="1" si="2"/>
        <v>1</v>
      </c>
      <c r="J900" s="86">
        <f t="shared" ca="1" si="3"/>
        <v>45063</v>
      </c>
      <c r="R900" s="26"/>
    </row>
    <row r="901" spans="1:18" ht="15.75" customHeight="1">
      <c r="A901" s="26">
        <f ca="1">IFERROR(__xludf.DUMMYFUNCTION("""COMPUTED_VALUE"""),18766)</f>
        <v>18766</v>
      </c>
      <c r="B901" s="86">
        <f ca="1">IFERROR(__xludf.DUMMYFUNCTION("""COMPUTED_VALUE"""),45063.7615856481)</f>
        <v>45063.761585648099</v>
      </c>
      <c r="C901" s="1" t="str">
        <f ca="1">IFERROR(__xludf.DUMMYFUNCTION("""COMPUTED_VALUE"""),"completed")</f>
        <v>completed</v>
      </c>
      <c r="D901" s="26">
        <f ca="1">IFERROR(__xludf.DUMMYFUNCTION("""COMPUTED_VALUE"""),25)</f>
        <v>25</v>
      </c>
      <c r="E901" s="1"/>
      <c r="F901" s="87" t="str">
        <f t="shared" ca="1" si="0"/>
        <v>2023</v>
      </c>
      <c r="G901" s="1" t="str">
        <f ca="1">IFERROR(__xludf.DUMMYFUNCTION("""COMPUTED_VALUE"""),"Windsor AAA Zone Hockey")</f>
        <v>Windsor AAA Zone Hockey</v>
      </c>
      <c r="H901" s="26">
        <f t="shared" ca="1" si="1"/>
        <v>25</v>
      </c>
      <c r="I901" s="26">
        <f t="shared" ca="1" si="2"/>
        <v>1</v>
      </c>
      <c r="J901" s="86">
        <f t="shared" ca="1" si="3"/>
        <v>45063</v>
      </c>
      <c r="R901" s="26"/>
    </row>
    <row r="902" spans="1:18" ht="15.75" customHeight="1">
      <c r="A902" s="26">
        <f ca="1">IFERROR(__xludf.DUMMYFUNCTION("""COMPUTED_VALUE"""),18765)</f>
        <v>18765</v>
      </c>
      <c r="B902" s="86">
        <f ca="1">IFERROR(__xludf.DUMMYFUNCTION("""COMPUTED_VALUE"""),45063.7461805555)</f>
        <v>45063.746180555499</v>
      </c>
      <c r="C902" s="1" t="str">
        <f ca="1">IFERROR(__xludf.DUMMYFUNCTION("""COMPUTED_VALUE"""),"completed")</f>
        <v>completed</v>
      </c>
      <c r="D902" s="26">
        <f ca="1">IFERROR(__xludf.DUMMYFUNCTION("""COMPUTED_VALUE"""),22)</f>
        <v>22</v>
      </c>
      <c r="E902" s="1"/>
      <c r="F902" s="87" t="str">
        <f t="shared" ca="1" si="0"/>
        <v>2023</v>
      </c>
      <c r="G902" s="1" t="str">
        <f ca="1">IFERROR(__xludf.DUMMYFUNCTION("""COMPUTED_VALUE"""),"WMFA")</f>
        <v>WMFA</v>
      </c>
      <c r="H902" s="26">
        <f t="shared" ca="1" si="1"/>
        <v>22</v>
      </c>
      <c r="I902" s="26">
        <f t="shared" ca="1" si="2"/>
        <v>1</v>
      </c>
      <c r="J902" s="86">
        <f t="shared" ca="1" si="3"/>
        <v>45063</v>
      </c>
      <c r="R902" s="26"/>
    </row>
    <row r="903" spans="1:18" ht="15.75" customHeight="1">
      <c r="A903" s="26">
        <f ca="1">IFERROR(__xludf.DUMMYFUNCTION("""COMPUTED_VALUE"""),18764)</f>
        <v>18764</v>
      </c>
      <c r="B903" s="86">
        <f ca="1">IFERROR(__xludf.DUMMYFUNCTION("""COMPUTED_VALUE"""),45063.7171180555)</f>
        <v>45063.717118055501</v>
      </c>
      <c r="C903" s="1" t="str">
        <f ca="1">IFERROR(__xludf.DUMMYFUNCTION("""COMPUTED_VALUE"""),"completed")</f>
        <v>completed</v>
      </c>
      <c r="D903" s="26">
        <f ca="1">IFERROR(__xludf.DUMMYFUNCTION("""COMPUTED_VALUE"""),15)</f>
        <v>15</v>
      </c>
      <c r="E903" s="1"/>
      <c r="F903" s="87" t="str">
        <f t="shared" ca="1" si="0"/>
        <v>2023</v>
      </c>
      <c r="G903" s="1" t="str">
        <f ca="1">IFERROR(__xludf.DUMMYFUNCTION("""COMPUTED_VALUE"""),"WMFA")</f>
        <v>WMFA</v>
      </c>
      <c r="H903" s="26">
        <f t="shared" ca="1" si="1"/>
        <v>15</v>
      </c>
      <c r="I903" s="26">
        <f t="shared" ca="1" si="2"/>
        <v>1</v>
      </c>
      <c r="J903" s="86">
        <f t="shared" ca="1" si="3"/>
        <v>45063</v>
      </c>
      <c r="R903" s="26"/>
    </row>
    <row r="904" spans="1:18" ht="15.75" customHeight="1">
      <c r="A904" s="26">
        <f ca="1">IFERROR(__xludf.DUMMYFUNCTION("""COMPUTED_VALUE"""),18763)</f>
        <v>18763</v>
      </c>
      <c r="B904" s="86">
        <f ca="1">IFERROR(__xludf.DUMMYFUNCTION("""COMPUTED_VALUE"""),45063.696724537)</f>
        <v>45063.696724537003</v>
      </c>
      <c r="C904" s="1" t="str">
        <f ca="1">IFERROR(__xludf.DUMMYFUNCTION("""COMPUTED_VALUE"""),"completed")</f>
        <v>completed</v>
      </c>
      <c r="D904" s="26">
        <f ca="1">IFERROR(__xludf.DUMMYFUNCTION("""COMPUTED_VALUE"""),26)</f>
        <v>26</v>
      </c>
      <c r="E904" s="1"/>
      <c r="F904" s="87" t="str">
        <f t="shared" ca="1" si="0"/>
        <v>2023</v>
      </c>
      <c r="G904" s="1" t="str">
        <f ca="1">IFERROR(__xludf.DUMMYFUNCTION("""COMPUTED_VALUE"""),"WMFA")</f>
        <v>WMFA</v>
      </c>
      <c r="H904" s="26">
        <f t="shared" ca="1" si="1"/>
        <v>26</v>
      </c>
      <c r="I904" s="26">
        <f t="shared" ca="1" si="2"/>
        <v>1</v>
      </c>
      <c r="J904" s="86">
        <f t="shared" ca="1" si="3"/>
        <v>45063</v>
      </c>
      <c r="R904" s="26"/>
    </row>
    <row r="905" spans="1:18" ht="15.75" customHeight="1">
      <c r="A905" s="26">
        <f ca="1">IFERROR(__xludf.DUMMYFUNCTION("""COMPUTED_VALUE"""),18762)</f>
        <v>18762</v>
      </c>
      <c r="B905" s="86">
        <f ca="1">IFERROR(__xludf.DUMMYFUNCTION("""COMPUTED_VALUE"""),45063.6925578703)</f>
        <v>45063.692557870301</v>
      </c>
      <c r="C905" s="1" t="str">
        <f ca="1">IFERROR(__xludf.DUMMYFUNCTION("""COMPUTED_VALUE"""),"completed")</f>
        <v>completed</v>
      </c>
      <c r="D905" s="26">
        <f ca="1">IFERROR(__xludf.DUMMYFUNCTION("""COMPUTED_VALUE"""),25)</f>
        <v>25</v>
      </c>
      <c r="E905" s="1"/>
      <c r="F905" s="87" t="str">
        <f t="shared" ca="1" si="0"/>
        <v>2023</v>
      </c>
      <c r="G905" s="1" t="str">
        <f ca="1">IFERROR(__xludf.DUMMYFUNCTION("""COMPUTED_VALUE"""),"WMFA")</f>
        <v>WMFA</v>
      </c>
      <c r="H905" s="26">
        <f t="shared" ca="1" si="1"/>
        <v>25</v>
      </c>
      <c r="I905" s="26">
        <f t="shared" ca="1" si="2"/>
        <v>1</v>
      </c>
      <c r="J905" s="86">
        <f t="shared" ca="1" si="3"/>
        <v>45063</v>
      </c>
      <c r="R905" s="26"/>
    </row>
    <row r="906" spans="1:18" ht="15.75" customHeight="1">
      <c r="A906" s="26">
        <f ca="1">IFERROR(__xludf.DUMMYFUNCTION("""COMPUTED_VALUE"""),18761)</f>
        <v>18761</v>
      </c>
      <c r="B906" s="86">
        <f ca="1">IFERROR(__xludf.DUMMYFUNCTION("""COMPUTED_VALUE"""),45063.6898379629)</f>
        <v>45063.689837962898</v>
      </c>
      <c r="C906" s="1" t="str">
        <f ca="1">IFERROR(__xludf.DUMMYFUNCTION("""COMPUTED_VALUE"""),"completed")</f>
        <v>completed</v>
      </c>
      <c r="D906" s="26">
        <f ca="1">IFERROR(__xludf.DUMMYFUNCTION("""COMPUTED_VALUE"""),61)</f>
        <v>61</v>
      </c>
      <c r="E906" s="1"/>
      <c r="F906" s="87" t="str">
        <f t="shared" ca="1" si="0"/>
        <v>2023</v>
      </c>
      <c r="G906" s="1" t="str">
        <f ca="1">IFERROR(__xludf.DUMMYFUNCTION("""COMPUTED_VALUE"""),"WMFA")</f>
        <v>WMFA</v>
      </c>
      <c r="H906" s="26">
        <f t="shared" ca="1" si="1"/>
        <v>61</v>
      </c>
      <c r="I906" s="26">
        <f t="shared" ca="1" si="2"/>
        <v>1</v>
      </c>
      <c r="J906" s="86">
        <f t="shared" ca="1" si="3"/>
        <v>45063</v>
      </c>
      <c r="R906" s="26"/>
    </row>
    <row r="907" spans="1:18" ht="15.75" customHeight="1">
      <c r="A907" s="26">
        <f ca="1">IFERROR(__xludf.DUMMYFUNCTION("""COMPUTED_VALUE"""),18760)</f>
        <v>18760</v>
      </c>
      <c r="B907" s="86">
        <f ca="1">IFERROR(__xludf.DUMMYFUNCTION("""COMPUTED_VALUE"""),45063.6628703703)</f>
        <v>45063.662870370303</v>
      </c>
      <c r="C907" s="1" t="str">
        <f ca="1">IFERROR(__xludf.DUMMYFUNCTION("""COMPUTED_VALUE"""),"completed")</f>
        <v>completed</v>
      </c>
      <c r="D907" s="26">
        <f ca="1">IFERROR(__xludf.DUMMYFUNCTION("""COMPUTED_VALUE"""),25)</f>
        <v>25</v>
      </c>
      <c r="E907" s="1"/>
      <c r="F907" s="87" t="str">
        <f t="shared" ca="1" si="0"/>
        <v>2023</v>
      </c>
      <c r="G907" s="1" t="str">
        <f ca="1">IFERROR(__xludf.DUMMYFUNCTION("""COMPUTED_VALUE"""),"Windsor AAA Zone Hockey")</f>
        <v>Windsor AAA Zone Hockey</v>
      </c>
      <c r="H907" s="26">
        <f t="shared" ca="1" si="1"/>
        <v>25</v>
      </c>
      <c r="I907" s="26">
        <f t="shared" ca="1" si="2"/>
        <v>1</v>
      </c>
      <c r="J907" s="86">
        <f t="shared" ca="1" si="3"/>
        <v>45063</v>
      </c>
      <c r="R907" s="26"/>
    </row>
    <row r="908" spans="1:18" ht="15.75" customHeight="1">
      <c r="A908" s="26">
        <f ca="1">IFERROR(__xludf.DUMMYFUNCTION("""COMPUTED_VALUE"""),18759)</f>
        <v>18759</v>
      </c>
      <c r="B908" s="86">
        <f ca="1">IFERROR(__xludf.DUMMYFUNCTION("""COMPUTED_VALUE"""),45063.6459606481)</f>
        <v>45063.6459606481</v>
      </c>
      <c r="C908" s="1" t="str">
        <f ca="1">IFERROR(__xludf.DUMMYFUNCTION("""COMPUTED_VALUE"""),"completed")</f>
        <v>completed</v>
      </c>
      <c r="D908" s="26">
        <f ca="1">IFERROR(__xludf.DUMMYFUNCTION("""COMPUTED_VALUE"""),25)</f>
        <v>25</v>
      </c>
      <c r="E908" s="1"/>
      <c r="F908" s="87" t="str">
        <f t="shared" ca="1" si="0"/>
        <v>2023</v>
      </c>
      <c r="G908" s="1" t="str">
        <f ca="1">IFERROR(__xludf.DUMMYFUNCTION("""COMPUTED_VALUE"""),"WMFA")</f>
        <v>WMFA</v>
      </c>
      <c r="H908" s="26">
        <f t="shared" ca="1" si="1"/>
        <v>25</v>
      </c>
      <c r="I908" s="26">
        <f t="shared" ca="1" si="2"/>
        <v>1</v>
      </c>
      <c r="J908" s="86">
        <f t="shared" ca="1" si="3"/>
        <v>45063</v>
      </c>
      <c r="R908" s="26"/>
    </row>
    <row r="909" spans="1:18" ht="15.75" customHeight="1">
      <c r="A909" s="26">
        <f ca="1">IFERROR(__xludf.DUMMYFUNCTION("""COMPUTED_VALUE"""),18758)</f>
        <v>18758</v>
      </c>
      <c r="B909" s="86">
        <f ca="1">IFERROR(__xludf.DUMMYFUNCTION("""COMPUTED_VALUE"""),45063.1078935185)</f>
        <v>45063.1078935185</v>
      </c>
      <c r="C909" s="1" t="str">
        <f ca="1">IFERROR(__xludf.DUMMYFUNCTION("""COMPUTED_VALUE"""),"completed")</f>
        <v>completed</v>
      </c>
      <c r="D909" s="26">
        <f ca="1">IFERROR(__xludf.DUMMYFUNCTION("""COMPUTED_VALUE"""),20)</f>
        <v>20</v>
      </c>
      <c r="E909" s="1"/>
      <c r="F909" s="87" t="str">
        <f t="shared" ca="1" si="0"/>
        <v>2023</v>
      </c>
      <c r="G909" s="1" t="str">
        <f ca="1">IFERROR(__xludf.DUMMYFUNCTION("""COMPUTED_VALUE"""),"WMFA")</f>
        <v>WMFA</v>
      </c>
      <c r="H909" s="26">
        <f t="shared" ca="1" si="1"/>
        <v>20</v>
      </c>
      <c r="I909" s="26">
        <f t="shared" ca="1" si="2"/>
        <v>1</v>
      </c>
      <c r="J909" s="86">
        <f t="shared" ca="1" si="3"/>
        <v>45063</v>
      </c>
      <c r="R909" s="26"/>
    </row>
    <row r="910" spans="1:18" ht="15.75" customHeight="1">
      <c r="A910" s="26">
        <f ca="1">IFERROR(__xludf.DUMMYFUNCTION("""COMPUTED_VALUE"""),18756)</f>
        <v>18756</v>
      </c>
      <c r="B910" s="86">
        <f ca="1">IFERROR(__xludf.DUMMYFUNCTION("""COMPUTED_VALUE"""),45063.0374074074)</f>
        <v>45063.037407407399</v>
      </c>
      <c r="C910" s="1" t="str">
        <f ca="1">IFERROR(__xludf.DUMMYFUNCTION("""COMPUTED_VALUE"""),"draftpics-created")</f>
        <v>draftpics-created</v>
      </c>
      <c r="D910" s="26">
        <f ca="1">IFERROR(__xludf.DUMMYFUNCTION("""COMPUTED_VALUE"""),53)</f>
        <v>53</v>
      </c>
      <c r="E910" s="1"/>
      <c r="F910" s="87" t="str">
        <f t="shared" ca="1" si="0"/>
        <v>2023</v>
      </c>
      <c r="G910" s="1" t="str">
        <f ca="1">IFERROR(__xludf.DUMMYFUNCTION("""COMPUTED_VALUE"""),"WMFA")</f>
        <v>WMFA</v>
      </c>
      <c r="H910" s="26">
        <f t="shared" ca="1" si="1"/>
        <v>53</v>
      </c>
      <c r="I910" s="26">
        <f t="shared" ca="1" si="2"/>
        <v>1</v>
      </c>
      <c r="J910" s="86">
        <f t="shared" ca="1" si="3"/>
        <v>45063</v>
      </c>
      <c r="R910" s="26"/>
    </row>
    <row r="911" spans="1:18" ht="15.75" customHeight="1">
      <c r="A911" s="26">
        <f ca="1">IFERROR(__xludf.DUMMYFUNCTION("""COMPUTED_VALUE"""),18755)</f>
        <v>18755</v>
      </c>
      <c r="B911" s="86">
        <f ca="1">IFERROR(__xludf.DUMMYFUNCTION("""COMPUTED_VALUE"""),45063.0052199074)</f>
        <v>45063.005219907398</v>
      </c>
      <c r="C911" s="1" t="str">
        <f ca="1">IFERROR(__xludf.DUMMYFUNCTION("""COMPUTED_VALUE"""),"completed")</f>
        <v>completed</v>
      </c>
      <c r="D911" s="26">
        <f ca="1">IFERROR(__xludf.DUMMYFUNCTION("""COMPUTED_VALUE"""),20)</f>
        <v>20</v>
      </c>
      <c r="E911" s="1"/>
      <c r="F911" s="87" t="str">
        <f t="shared" ca="1" si="0"/>
        <v>2023</v>
      </c>
      <c r="G911" s="1" t="str">
        <f ca="1">IFERROR(__xludf.DUMMYFUNCTION("""COMPUTED_VALUE"""),"WMFA")</f>
        <v>WMFA</v>
      </c>
      <c r="H911" s="26">
        <f t="shared" ca="1" si="1"/>
        <v>20</v>
      </c>
      <c r="I911" s="26">
        <f t="shared" ca="1" si="2"/>
        <v>1</v>
      </c>
      <c r="J911" s="86">
        <f t="shared" ca="1" si="3"/>
        <v>45063</v>
      </c>
      <c r="R911" s="26"/>
    </row>
    <row r="912" spans="1:18" ht="15.75" customHeight="1">
      <c r="A912" s="26">
        <f ca="1">IFERROR(__xludf.DUMMYFUNCTION("""COMPUTED_VALUE"""),18754)</f>
        <v>18754</v>
      </c>
      <c r="B912" s="86">
        <f ca="1">IFERROR(__xludf.DUMMYFUNCTION("""COMPUTED_VALUE"""),45063.0023842592)</f>
        <v>45063.002384259198</v>
      </c>
      <c r="C912" s="1" t="str">
        <f ca="1">IFERROR(__xludf.DUMMYFUNCTION("""COMPUTED_VALUE"""),"completed")</f>
        <v>completed</v>
      </c>
      <c r="D912" s="26">
        <f ca="1">IFERROR(__xludf.DUMMYFUNCTION("""COMPUTED_VALUE"""),20)</f>
        <v>20</v>
      </c>
      <c r="E912" s="1"/>
      <c r="F912" s="87" t="str">
        <f t="shared" ca="1" si="0"/>
        <v>2023</v>
      </c>
      <c r="G912" s="1" t="str">
        <f ca="1">IFERROR(__xludf.DUMMYFUNCTION("""COMPUTED_VALUE"""),"WMFA")</f>
        <v>WMFA</v>
      </c>
      <c r="H912" s="26">
        <f t="shared" ca="1" si="1"/>
        <v>20</v>
      </c>
      <c r="I912" s="26">
        <f t="shared" ca="1" si="2"/>
        <v>1</v>
      </c>
      <c r="J912" s="86">
        <f t="shared" ca="1" si="3"/>
        <v>45063</v>
      </c>
      <c r="R912" s="26"/>
    </row>
    <row r="913" spans="1:18" ht="15.75" customHeight="1">
      <c r="A913" s="26">
        <f ca="1">IFERROR(__xludf.DUMMYFUNCTION("""COMPUTED_VALUE"""),18753)</f>
        <v>18753</v>
      </c>
      <c r="B913" s="86">
        <f ca="1">IFERROR(__xludf.DUMMYFUNCTION("""COMPUTED_VALUE"""),45062.6091550925)</f>
        <v>45062.609155092498</v>
      </c>
      <c r="C913" s="1" t="str">
        <f ca="1">IFERROR(__xludf.DUMMYFUNCTION("""COMPUTED_VALUE"""),"completed")</f>
        <v>completed</v>
      </c>
      <c r="D913" s="26">
        <f ca="1">IFERROR(__xludf.DUMMYFUNCTION("""COMPUTED_VALUE"""),25)</f>
        <v>25</v>
      </c>
      <c r="E913" s="1"/>
      <c r="F913" s="87" t="str">
        <f t="shared" ca="1" si="0"/>
        <v>2023</v>
      </c>
      <c r="G913" s="1" t="str">
        <f ca="1">IFERROR(__xludf.DUMMYFUNCTION("""COMPUTED_VALUE"""),"WMFA")</f>
        <v>WMFA</v>
      </c>
      <c r="H913" s="26">
        <f t="shared" ca="1" si="1"/>
        <v>25</v>
      </c>
      <c r="I913" s="26">
        <f t="shared" ca="1" si="2"/>
        <v>1</v>
      </c>
      <c r="J913" s="86">
        <f t="shared" ca="1" si="3"/>
        <v>45062</v>
      </c>
      <c r="R913" s="26"/>
    </row>
    <row r="914" spans="1:18" ht="15.75" customHeight="1">
      <c r="A914" s="26">
        <f ca="1">IFERROR(__xludf.DUMMYFUNCTION("""COMPUTED_VALUE"""),18752)</f>
        <v>18752</v>
      </c>
      <c r="B914" s="86">
        <f ca="1">IFERROR(__xludf.DUMMYFUNCTION("""COMPUTED_VALUE"""),45062.4510416666)</f>
        <v>45062.451041666602</v>
      </c>
      <c r="C914" s="1" t="str">
        <f ca="1">IFERROR(__xludf.DUMMYFUNCTION("""COMPUTED_VALUE"""),"completed")</f>
        <v>completed</v>
      </c>
      <c r="D914" s="26">
        <f ca="1">IFERROR(__xludf.DUMMYFUNCTION("""COMPUTED_VALUE"""),85)</f>
        <v>85</v>
      </c>
      <c r="E914" s="1"/>
      <c r="F914" s="87" t="str">
        <f t="shared" ca="1" si="0"/>
        <v>2023</v>
      </c>
      <c r="G914" s="1" t="str">
        <f ca="1">IFERROR(__xludf.DUMMYFUNCTION("""COMPUTED_VALUE"""),"WMFA")</f>
        <v>WMFA</v>
      </c>
      <c r="H914" s="26">
        <f t="shared" ca="1" si="1"/>
        <v>85</v>
      </c>
      <c r="I914" s="26">
        <f t="shared" ca="1" si="2"/>
        <v>1</v>
      </c>
      <c r="J914" s="86">
        <f t="shared" ca="1" si="3"/>
        <v>45062</v>
      </c>
      <c r="R914" s="26"/>
    </row>
    <row r="915" spans="1:18" ht="15.75" customHeight="1">
      <c r="A915" s="26">
        <f ca="1">IFERROR(__xludf.DUMMYFUNCTION("""COMPUTED_VALUE"""),18751)</f>
        <v>18751</v>
      </c>
      <c r="B915" s="86">
        <f ca="1">IFERROR(__xludf.DUMMYFUNCTION("""COMPUTED_VALUE"""),45062.0399421296)</f>
        <v>45062.039942129602</v>
      </c>
      <c r="C915" s="1" t="str">
        <f ca="1">IFERROR(__xludf.DUMMYFUNCTION("""COMPUTED_VALUE"""),"completed")</f>
        <v>completed</v>
      </c>
      <c r="D915" s="26">
        <f ca="1">IFERROR(__xludf.DUMMYFUNCTION("""COMPUTED_VALUE"""),53)</f>
        <v>53</v>
      </c>
      <c r="E915" s="1"/>
      <c r="F915" s="87" t="str">
        <f t="shared" ca="1" si="0"/>
        <v>2023</v>
      </c>
      <c r="G915" s="1" t="str">
        <f ca="1">IFERROR(__xludf.DUMMYFUNCTION("""COMPUTED_VALUE"""),"WMFA")</f>
        <v>WMFA</v>
      </c>
      <c r="H915" s="26">
        <f t="shared" ca="1" si="1"/>
        <v>53</v>
      </c>
      <c r="I915" s="26">
        <f t="shared" ca="1" si="2"/>
        <v>1</v>
      </c>
      <c r="J915" s="86">
        <f t="shared" ca="1" si="3"/>
        <v>45062</v>
      </c>
      <c r="R915" s="26"/>
    </row>
    <row r="916" spans="1:18" ht="15.75" customHeight="1">
      <c r="A916" s="26">
        <f ca="1">IFERROR(__xludf.DUMMYFUNCTION("""COMPUTED_VALUE"""),18750)</f>
        <v>18750</v>
      </c>
      <c r="B916" s="86">
        <f ca="1">IFERROR(__xludf.DUMMYFUNCTION("""COMPUTED_VALUE"""),45061.9263541666)</f>
        <v>45061.926354166601</v>
      </c>
      <c r="C916" s="1" t="str">
        <f ca="1">IFERROR(__xludf.DUMMYFUNCTION("""COMPUTED_VALUE"""),"completed")</f>
        <v>completed</v>
      </c>
      <c r="D916" s="26">
        <f ca="1">IFERROR(__xludf.DUMMYFUNCTION("""COMPUTED_VALUE"""),25)</f>
        <v>25</v>
      </c>
      <c r="E916" s="1"/>
      <c r="F916" s="87" t="str">
        <f t="shared" ca="1" si="0"/>
        <v>2023</v>
      </c>
      <c r="G916" s="1" t="str">
        <f ca="1">IFERROR(__xludf.DUMMYFUNCTION("""COMPUTED_VALUE"""),"WMFA")</f>
        <v>WMFA</v>
      </c>
      <c r="H916" s="26">
        <f t="shared" ca="1" si="1"/>
        <v>25</v>
      </c>
      <c r="I916" s="26">
        <f t="shared" ca="1" si="2"/>
        <v>1</v>
      </c>
      <c r="J916" s="86">
        <f t="shared" ca="1" si="3"/>
        <v>45061</v>
      </c>
      <c r="R916" s="26"/>
    </row>
    <row r="917" spans="1:18" ht="15.75" customHeight="1">
      <c r="A917" s="26">
        <f ca="1">IFERROR(__xludf.DUMMYFUNCTION("""COMPUTED_VALUE"""),18749)</f>
        <v>18749</v>
      </c>
      <c r="B917" s="86">
        <f ca="1">IFERROR(__xludf.DUMMYFUNCTION("""COMPUTED_VALUE"""),45061.8915856481)</f>
        <v>45061.891585648104</v>
      </c>
      <c r="C917" s="1" t="str">
        <f ca="1">IFERROR(__xludf.DUMMYFUNCTION("""COMPUTED_VALUE"""),"completed")</f>
        <v>completed</v>
      </c>
      <c r="D917" s="26">
        <f ca="1">IFERROR(__xludf.DUMMYFUNCTION("""COMPUTED_VALUE"""),28)</f>
        <v>28</v>
      </c>
      <c r="E917" s="1"/>
      <c r="F917" s="87" t="str">
        <f t="shared" ca="1" si="0"/>
        <v>2023</v>
      </c>
      <c r="G917" s="1" t="str">
        <f ca="1">IFERROR(__xludf.DUMMYFUNCTION("""COMPUTED_VALUE"""),"WMFA")</f>
        <v>WMFA</v>
      </c>
      <c r="H917" s="26">
        <f t="shared" ca="1" si="1"/>
        <v>28</v>
      </c>
      <c r="I917" s="26">
        <f t="shared" ca="1" si="2"/>
        <v>1</v>
      </c>
      <c r="J917" s="86">
        <f t="shared" ca="1" si="3"/>
        <v>45061</v>
      </c>
      <c r="R917" s="26"/>
    </row>
    <row r="918" spans="1:18" ht="15.75" customHeight="1">
      <c r="A918" s="26">
        <f ca="1">IFERROR(__xludf.DUMMYFUNCTION("""COMPUTED_VALUE"""),18689)</f>
        <v>18689</v>
      </c>
      <c r="B918" s="86">
        <f ca="1">IFERROR(__xludf.DUMMYFUNCTION("""COMPUTED_VALUE"""),45060.984699074)</f>
        <v>45060.984699073997</v>
      </c>
      <c r="C918" s="1" t="str">
        <f ca="1">IFERROR(__xludf.DUMMYFUNCTION("""COMPUTED_VALUE"""),"completed")</f>
        <v>completed</v>
      </c>
      <c r="D918" s="26">
        <f ca="1">IFERROR(__xludf.DUMMYFUNCTION("""COMPUTED_VALUE"""),48)</f>
        <v>48</v>
      </c>
      <c r="E918" s="1"/>
      <c r="F918" s="87" t="str">
        <f t="shared" ca="1" si="0"/>
        <v>2023</v>
      </c>
      <c r="G918" s="1" t="str">
        <f ca="1">IFERROR(__xludf.DUMMYFUNCTION("""COMPUTED_VALUE"""),"WMFA")</f>
        <v>WMFA</v>
      </c>
      <c r="H918" s="26">
        <f t="shared" ca="1" si="1"/>
        <v>48</v>
      </c>
      <c r="I918" s="26">
        <f t="shared" ca="1" si="2"/>
        <v>1</v>
      </c>
      <c r="J918" s="86">
        <f t="shared" ca="1" si="3"/>
        <v>45060</v>
      </c>
      <c r="R918" s="26"/>
    </row>
    <row r="919" spans="1:18" ht="15.75" customHeight="1">
      <c r="A919" s="26">
        <f ca="1">IFERROR(__xludf.DUMMYFUNCTION("""COMPUTED_VALUE"""),18688)</f>
        <v>18688</v>
      </c>
      <c r="B919" s="86">
        <f ca="1">IFERROR(__xludf.DUMMYFUNCTION("""COMPUTED_VALUE"""),45060.9815162037)</f>
        <v>45060.981516203698</v>
      </c>
      <c r="C919" s="1" t="str">
        <f ca="1">IFERROR(__xludf.DUMMYFUNCTION("""COMPUTED_VALUE"""),"completed")</f>
        <v>completed</v>
      </c>
      <c r="D919" s="26">
        <f ca="1">IFERROR(__xludf.DUMMYFUNCTION("""COMPUTED_VALUE"""),48)</f>
        <v>48</v>
      </c>
      <c r="E919" s="1"/>
      <c r="F919" s="87" t="str">
        <f t="shared" ca="1" si="0"/>
        <v>2023</v>
      </c>
      <c r="G919" s="1" t="str">
        <f ca="1">IFERROR(__xludf.DUMMYFUNCTION("""COMPUTED_VALUE"""),"WMFA")</f>
        <v>WMFA</v>
      </c>
      <c r="H919" s="26">
        <f t="shared" ca="1" si="1"/>
        <v>48</v>
      </c>
      <c r="I919" s="26">
        <f t="shared" ca="1" si="2"/>
        <v>1</v>
      </c>
      <c r="J919" s="86">
        <f t="shared" ca="1" si="3"/>
        <v>45060</v>
      </c>
      <c r="R919" s="26"/>
    </row>
    <row r="920" spans="1:18" ht="15.75" customHeight="1">
      <c r="A920" s="26">
        <f ca="1">IFERROR(__xludf.DUMMYFUNCTION("""COMPUTED_VALUE"""),18687)</f>
        <v>18687</v>
      </c>
      <c r="B920" s="86">
        <f ca="1">IFERROR(__xludf.DUMMYFUNCTION("""COMPUTED_VALUE"""),45060.8115509259)</f>
        <v>45060.811550925901</v>
      </c>
      <c r="C920" s="1" t="str">
        <f ca="1">IFERROR(__xludf.DUMMYFUNCTION("""COMPUTED_VALUE"""),"completed")</f>
        <v>completed</v>
      </c>
      <c r="D920" s="26">
        <f ca="1">IFERROR(__xludf.DUMMYFUNCTION("""COMPUTED_VALUE"""),54)</f>
        <v>54</v>
      </c>
      <c r="E920" s="1"/>
      <c r="F920" s="87" t="str">
        <f t="shared" ca="1" si="0"/>
        <v>2023</v>
      </c>
      <c r="G920" s="1" t="str">
        <f ca="1">IFERROR(__xludf.DUMMYFUNCTION("""COMPUTED_VALUE"""),"Lakeshore Lightning Hockey")</f>
        <v>Lakeshore Lightning Hockey</v>
      </c>
      <c r="H920" s="26">
        <f t="shared" ca="1" si="1"/>
        <v>54</v>
      </c>
      <c r="I920" s="26">
        <f t="shared" ca="1" si="2"/>
        <v>1</v>
      </c>
      <c r="J920" s="86">
        <f t="shared" ca="1" si="3"/>
        <v>45060</v>
      </c>
      <c r="R920" s="26"/>
    </row>
    <row r="921" spans="1:18" ht="15.75" customHeight="1">
      <c r="A921" s="26">
        <f ca="1">IFERROR(__xludf.DUMMYFUNCTION("""COMPUTED_VALUE"""),18686)</f>
        <v>18686</v>
      </c>
      <c r="B921" s="86">
        <f ca="1">IFERROR(__xludf.DUMMYFUNCTION("""COMPUTED_VALUE"""),45059.078136574)</f>
        <v>45059.078136573997</v>
      </c>
      <c r="C921" s="1" t="str">
        <f ca="1">IFERROR(__xludf.DUMMYFUNCTION("""COMPUTED_VALUE"""),"completed")</f>
        <v>completed</v>
      </c>
      <c r="D921" s="26">
        <f ca="1">IFERROR(__xludf.DUMMYFUNCTION("""COMPUTED_VALUE"""),20)</f>
        <v>20</v>
      </c>
      <c r="E921" s="1"/>
      <c r="F921" s="87" t="str">
        <f t="shared" ca="1" si="0"/>
        <v>2023</v>
      </c>
      <c r="G921" s="1" t="str">
        <f ca="1">IFERROR(__xludf.DUMMYFUNCTION("""COMPUTED_VALUE"""),"Lakeshore Lightning Hockey")</f>
        <v>Lakeshore Lightning Hockey</v>
      </c>
      <c r="H921" s="26">
        <f t="shared" ca="1" si="1"/>
        <v>20</v>
      </c>
      <c r="I921" s="26">
        <f t="shared" ca="1" si="2"/>
        <v>1</v>
      </c>
      <c r="J921" s="86">
        <f t="shared" ca="1" si="3"/>
        <v>45059</v>
      </c>
      <c r="R921" s="26"/>
    </row>
    <row r="922" spans="1:18" ht="15.75" customHeight="1">
      <c r="A922" s="26">
        <f ca="1">IFERROR(__xludf.DUMMYFUNCTION("""COMPUTED_VALUE"""),18685)</f>
        <v>18685</v>
      </c>
      <c r="B922" s="86">
        <f ca="1">IFERROR(__xludf.DUMMYFUNCTION("""COMPUTED_VALUE"""),45059.0586574074)</f>
        <v>45059.058657407397</v>
      </c>
      <c r="C922" s="1" t="str">
        <f ca="1">IFERROR(__xludf.DUMMYFUNCTION("""COMPUTED_VALUE"""),"completed")</f>
        <v>completed</v>
      </c>
      <c r="D922" s="26">
        <f ca="1">IFERROR(__xludf.DUMMYFUNCTION("""COMPUTED_VALUE"""),30)</f>
        <v>30</v>
      </c>
      <c r="E922" s="1"/>
      <c r="F922" s="87" t="str">
        <f t="shared" ca="1" si="0"/>
        <v>2023</v>
      </c>
      <c r="G922" s="1" t="str">
        <f ca="1">IFERROR(__xludf.DUMMYFUNCTION("""COMPUTED_VALUE"""),"Lakeshore Lightning Hockey")</f>
        <v>Lakeshore Lightning Hockey</v>
      </c>
      <c r="H922" s="26">
        <f t="shared" ca="1" si="1"/>
        <v>30</v>
      </c>
      <c r="I922" s="26">
        <f t="shared" ca="1" si="2"/>
        <v>1</v>
      </c>
      <c r="J922" s="86">
        <f t="shared" ca="1" si="3"/>
        <v>45059</v>
      </c>
      <c r="R922" s="26"/>
    </row>
    <row r="923" spans="1:18" ht="15.75" customHeight="1">
      <c r="A923" s="26">
        <f ca="1">IFERROR(__xludf.DUMMYFUNCTION("""COMPUTED_VALUE"""),18684)</f>
        <v>18684</v>
      </c>
      <c r="B923" s="86">
        <f ca="1">IFERROR(__xludf.DUMMYFUNCTION("""COMPUTED_VALUE"""),45058.127511574)</f>
        <v>45058.127511573999</v>
      </c>
      <c r="C923" s="1" t="str">
        <f ca="1">IFERROR(__xludf.DUMMYFUNCTION("""COMPUTED_VALUE"""),"completed")</f>
        <v>completed</v>
      </c>
      <c r="D923" s="26">
        <f ca="1">IFERROR(__xludf.DUMMYFUNCTION("""COMPUTED_VALUE"""),25)</f>
        <v>25</v>
      </c>
      <c r="E923" s="1"/>
      <c r="F923" s="87" t="str">
        <f t="shared" ca="1" si="0"/>
        <v>2023</v>
      </c>
      <c r="G923" s="1" t="str">
        <f ca="1">IFERROR(__xludf.DUMMYFUNCTION("""COMPUTED_VALUE"""),"Lakeshore Lightning Hockey")</f>
        <v>Lakeshore Lightning Hockey</v>
      </c>
      <c r="H923" s="26">
        <f t="shared" ca="1" si="1"/>
        <v>25</v>
      </c>
      <c r="I923" s="26">
        <f t="shared" ca="1" si="2"/>
        <v>1</v>
      </c>
      <c r="J923" s="86">
        <f t="shared" ca="1" si="3"/>
        <v>45058</v>
      </c>
      <c r="R923" s="26"/>
    </row>
    <row r="924" spans="1:18" ht="15.75" customHeight="1">
      <c r="A924" s="26">
        <f ca="1">IFERROR(__xludf.DUMMYFUNCTION("""COMPUTED_VALUE"""),18683)</f>
        <v>18683</v>
      </c>
      <c r="B924" s="86">
        <f ca="1">IFERROR(__xludf.DUMMYFUNCTION("""COMPUTED_VALUE"""),45058.1153009259)</f>
        <v>45058.1153009259</v>
      </c>
      <c r="C924" s="1" t="str">
        <f ca="1">IFERROR(__xludf.DUMMYFUNCTION("""COMPUTED_VALUE"""),"completed")</f>
        <v>completed</v>
      </c>
      <c r="D924" s="26">
        <f ca="1">IFERROR(__xludf.DUMMYFUNCTION("""COMPUTED_VALUE"""),25)</f>
        <v>25</v>
      </c>
      <c r="E924" s="1"/>
      <c r="F924" s="87" t="str">
        <f t="shared" ca="1" si="0"/>
        <v>2023</v>
      </c>
      <c r="G924" s="1" t="str">
        <f ca="1">IFERROR(__xludf.DUMMYFUNCTION("""COMPUTED_VALUE"""),"Lakeshore Lightning Hockey")</f>
        <v>Lakeshore Lightning Hockey</v>
      </c>
      <c r="H924" s="26">
        <f t="shared" ca="1" si="1"/>
        <v>25</v>
      </c>
      <c r="I924" s="26">
        <f t="shared" ca="1" si="2"/>
        <v>1</v>
      </c>
      <c r="J924" s="86">
        <f t="shared" ca="1" si="3"/>
        <v>45058</v>
      </c>
      <c r="R924" s="26"/>
    </row>
    <row r="925" spans="1:18" ht="15.75" customHeight="1">
      <c r="A925" s="26">
        <f ca="1">IFERROR(__xludf.DUMMYFUNCTION("""COMPUTED_VALUE"""),18682)</f>
        <v>18682</v>
      </c>
      <c r="B925" s="86">
        <f ca="1">IFERROR(__xludf.DUMMYFUNCTION("""COMPUTED_VALUE"""),45058.0876504629)</f>
        <v>45058.087650462898</v>
      </c>
      <c r="C925" s="1" t="str">
        <f ca="1">IFERROR(__xludf.DUMMYFUNCTION("""COMPUTED_VALUE"""),"completed")</f>
        <v>completed</v>
      </c>
      <c r="D925" s="26">
        <f ca="1">IFERROR(__xludf.DUMMYFUNCTION("""COMPUTED_VALUE"""),25)</f>
        <v>25</v>
      </c>
      <c r="E925" s="1"/>
      <c r="F925" s="87" t="str">
        <f t="shared" ca="1" si="0"/>
        <v>2023</v>
      </c>
      <c r="G925" s="1" t="str">
        <f ca="1">IFERROR(__xludf.DUMMYFUNCTION("""COMPUTED_VALUE"""),"Lakeshore Lightning Hockey")</f>
        <v>Lakeshore Lightning Hockey</v>
      </c>
      <c r="H925" s="26">
        <f t="shared" ca="1" si="1"/>
        <v>25</v>
      </c>
      <c r="I925" s="26">
        <f t="shared" ca="1" si="2"/>
        <v>1</v>
      </c>
      <c r="J925" s="86">
        <f t="shared" ca="1" si="3"/>
        <v>45058</v>
      </c>
      <c r="R925" s="26"/>
    </row>
    <row r="926" spans="1:18" ht="15.75" customHeight="1">
      <c r="A926" s="26">
        <f ca="1">IFERROR(__xludf.DUMMYFUNCTION("""COMPUTED_VALUE"""),18681)</f>
        <v>18681</v>
      </c>
      <c r="B926" s="86">
        <f ca="1">IFERROR(__xludf.DUMMYFUNCTION("""COMPUTED_VALUE"""),45058.0774652777)</f>
        <v>45058.077465277704</v>
      </c>
      <c r="C926" s="1" t="str">
        <f ca="1">IFERROR(__xludf.DUMMYFUNCTION("""COMPUTED_VALUE"""),"completed")</f>
        <v>completed</v>
      </c>
      <c r="D926" s="26">
        <f ca="1">IFERROR(__xludf.DUMMYFUNCTION("""COMPUTED_VALUE"""),25)</f>
        <v>25</v>
      </c>
      <c r="E926" s="1"/>
      <c r="F926" s="87" t="str">
        <f t="shared" ca="1" si="0"/>
        <v>2023</v>
      </c>
      <c r="G926" s="1" t="str">
        <f ca="1">IFERROR(__xludf.DUMMYFUNCTION("""COMPUTED_VALUE"""),"Lakeshore Lightning Hockey")</f>
        <v>Lakeshore Lightning Hockey</v>
      </c>
      <c r="H926" s="26">
        <f t="shared" ca="1" si="1"/>
        <v>25</v>
      </c>
      <c r="I926" s="26">
        <f t="shared" ca="1" si="2"/>
        <v>1</v>
      </c>
      <c r="J926" s="86">
        <f t="shared" ca="1" si="3"/>
        <v>45058</v>
      </c>
      <c r="R926" s="26"/>
    </row>
    <row r="927" spans="1:18" ht="15.75" customHeight="1">
      <c r="A927" s="26">
        <f ca="1">IFERROR(__xludf.DUMMYFUNCTION("""COMPUTED_VALUE"""),18680)</f>
        <v>18680</v>
      </c>
      <c r="B927" s="86">
        <f ca="1">IFERROR(__xludf.DUMMYFUNCTION("""COMPUTED_VALUE"""),45058.0494907407)</f>
        <v>45058.049490740697</v>
      </c>
      <c r="C927" s="1" t="str">
        <f ca="1">IFERROR(__xludf.DUMMYFUNCTION("""COMPUTED_VALUE"""),"completed")</f>
        <v>completed</v>
      </c>
      <c r="D927" s="26">
        <f ca="1">IFERROR(__xludf.DUMMYFUNCTION("""COMPUTED_VALUE"""),25)</f>
        <v>25</v>
      </c>
      <c r="E927" s="1"/>
      <c r="F927" s="87" t="str">
        <f t="shared" ca="1" si="0"/>
        <v>2023</v>
      </c>
      <c r="G927" s="1" t="str">
        <f ca="1">IFERROR(__xludf.DUMMYFUNCTION("""COMPUTED_VALUE"""),"Lakeshore Lightning Hockey")</f>
        <v>Lakeshore Lightning Hockey</v>
      </c>
      <c r="H927" s="26">
        <f t="shared" ca="1" si="1"/>
        <v>25</v>
      </c>
      <c r="I927" s="26">
        <f t="shared" ca="1" si="2"/>
        <v>1</v>
      </c>
      <c r="J927" s="86">
        <f t="shared" ca="1" si="3"/>
        <v>45058</v>
      </c>
      <c r="R927" s="26"/>
    </row>
    <row r="928" spans="1:18" ht="15.75" customHeight="1">
      <c r="A928" s="26">
        <f ca="1">IFERROR(__xludf.DUMMYFUNCTION("""COMPUTED_VALUE"""),18679)</f>
        <v>18679</v>
      </c>
      <c r="B928" s="86">
        <f ca="1">IFERROR(__xludf.DUMMYFUNCTION("""COMPUTED_VALUE"""),45058.014224537)</f>
        <v>45058.014224537001</v>
      </c>
      <c r="C928" s="1" t="str">
        <f ca="1">IFERROR(__xludf.DUMMYFUNCTION("""COMPUTED_VALUE"""),"completed")</f>
        <v>completed</v>
      </c>
      <c r="D928" s="26">
        <f ca="1">IFERROR(__xludf.DUMMYFUNCTION("""COMPUTED_VALUE"""),25)</f>
        <v>25</v>
      </c>
      <c r="E928" s="1"/>
      <c r="F928" s="87" t="str">
        <f t="shared" ca="1" si="0"/>
        <v>2023</v>
      </c>
      <c r="G928" s="1" t="str">
        <f ca="1">IFERROR(__xludf.DUMMYFUNCTION("""COMPUTED_VALUE"""),"Lakeshore Lightning Hockey")</f>
        <v>Lakeshore Lightning Hockey</v>
      </c>
      <c r="H928" s="26">
        <f t="shared" ca="1" si="1"/>
        <v>25</v>
      </c>
      <c r="I928" s="26">
        <f t="shared" ca="1" si="2"/>
        <v>1</v>
      </c>
      <c r="J928" s="86">
        <f t="shared" ca="1" si="3"/>
        <v>45058</v>
      </c>
      <c r="R928" s="26"/>
    </row>
    <row r="929" spans="1:18" ht="15.75" customHeight="1">
      <c r="A929" s="26">
        <f ca="1">IFERROR(__xludf.DUMMYFUNCTION("""COMPUTED_VALUE"""),18678)</f>
        <v>18678</v>
      </c>
      <c r="B929" s="86">
        <f ca="1">IFERROR(__xludf.DUMMYFUNCTION("""COMPUTED_VALUE"""),45057.9633680555)</f>
        <v>45057.963368055498</v>
      </c>
      <c r="C929" s="1" t="str">
        <f ca="1">IFERROR(__xludf.DUMMYFUNCTION("""COMPUTED_VALUE"""),"completed")</f>
        <v>completed</v>
      </c>
      <c r="D929" s="26">
        <f ca="1">IFERROR(__xludf.DUMMYFUNCTION("""COMPUTED_VALUE"""),55)</f>
        <v>55</v>
      </c>
      <c r="E929" s="1"/>
      <c r="F929" s="87" t="str">
        <f t="shared" ca="1" si="0"/>
        <v>2023</v>
      </c>
      <c r="G929" s="1" t="str">
        <f ca="1">IFERROR(__xludf.DUMMYFUNCTION("""COMPUTED_VALUE"""),"Lakeshore Lightning Hockey")</f>
        <v>Lakeshore Lightning Hockey</v>
      </c>
      <c r="H929" s="26">
        <f t="shared" ca="1" si="1"/>
        <v>55</v>
      </c>
      <c r="I929" s="26">
        <f t="shared" ca="1" si="2"/>
        <v>1</v>
      </c>
      <c r="J929" s="86">
        <f t="shared" ca="1" si="3"/>
        <v>45057</v>
      </c>
      <c r="R929" s="26"/>
    </row>
    <row r="930" spans="1:18" ht="15.75" customHeight="1">
      <c r="A930" s="26">
        <f ca="1">IFERROR(__xludf.DUMMYFUNCTION("""COMPUTED_VALUE"""),18677)</f>
        <v>18677</v>
      </c>
      <c r="B930" s="86">
        <f ca="1">IFERROR(__xludf.DUMMYFUNCTION("""COMPUTED_VALUE"""),45057.9471759259)</f>
        <v>45057.947175925903</v>
      </c>
      <c r="C930" s="1" t="str">
        <f ca="1">IFERROR(__xludf.DUMMYFUNCTION("""COMPUTED_VALUE"""),"completed")</f>
        <v>completed</v>
      </c>
      <c r="D930" s="26">
        <f ca="1">IFERROR(__xludf.DUMMYFUNCTION("""COMPUTED_VALUE"""),53)</f>
        <v>53</v>
      </c>
      <c r="E930" s="1"/>
      <c r="F930" s="87" t="str">
        <f t="shared" ca="1" si="0"/>
        <v>2023</v>
      </c>
      <c r="G930" s="1" t="str">
        <f ca="1">IFERROR(__xludf.DUMMYFUNCTION("""COMPUTED_VALUE"""),"Lakeshore Lightning Hockey")</f>
        <v>Lakeshore Lightning Hockey</v>
      </c>
      <c r="H930" s="26">
        <f t="shared" ca="1" si="1"/>
        <v>53</v>
      </c>
      <c r="I930" s="26">
        <f t="shared" ca="1" si="2"/>
        <v>1</v>
      </c>
      <c r="J930" s="86">
        <f t="shared" ca="1" si="3"/>
        <v>45057</v>
      </c>
      <c r="R930" s="26"/>
    </row>
    <row r="931" spans="1:18" ht="15.75" customHeight="1">
      <c r="A931" s="26">
        <f ca="1">IFERROR(__xludf.DUMMYFUNCTION("""COMPUTED_VALUE"""),18676)</f>
        <v>18676</v>
      </c>
      <c r="B931" s="86">
        <f ca="1">IFERROR(__xludf.DUMMYFUNCTION("""COMPUTED_VALUE"""),45057.9465972222)</f>
        <v>45057.946597222202</v>
      </c>
      <c r="C931" s="1" t="str">
        <f ca="1">IFERROR(__xludf.DUMMYFUNCTION("""COMPUTED_VALUE"""),"completed")</f>
        <v>completed</v>
      </c>
      <c r="D931" s="26">
        <f ca="1">IFERROR(__xludf.DUMMYFUNCTION("""COMPUTED_VALUE"""),35)</f>
        <v>35</v>
      </c>
      <c r="E931" s="1"/>
      <c r="F931" s="87" t="str">
        <f t="shared" ca="1" si="0"/>
        <v>2023</v>
      </c>
      <c r="G931" s="1" t="str">
        <f ca="1">IFERROR(__xludf.DUMMYFUNCTION("""COMPUTED_VALUE"""),"Lakeshore Lightning Hockey")</f>
        <v>Lakeshore Lightning Hockey</v>
      </c>
      <c r="H931" s="26">
        <f t="shared" ca="1" si="1"/>
        <v>35</v>
      </c>
      <c r="I931" s="26">
        <f t="shared" ca="1" si="2"/>
        <v>1</v>
      </c>
      <c r="J931" s="86">
        <f t="shared" ca="1" si="3"/>
        <v>45057</v>
      </c>
      <c r="R931" s="26"/>
    </row>
    <row r="932" spans="1:18" ht="15.75" customHeight="1">
      <c r="A932" s="26">
        <f ca="1">IFERROR(__xludf.DUMMYFUNCTION("""COMPUTED_VALUE"""),18675)</f>
        <v>18675</v>
      </c>
      <c r="B932" s="86">
        <f ca="1">IFERROR(__xludf.DUMMYFUNCTION("""COMPUTED_VALUE"""),45057.9382060185)</f>
        <v>45057.938206018502</v>
      </c>
      <c r="C932" s="1" t="str">
        <f ca="1">IFERROR(__xludf.DUMMYFUNCTION("""COMPUTED_VALUE"""),"completed")</f>
        <v>completed</v>
      </c>
      <c r="D932" s="26">
        <f ca="1">IFERROR(__xludf.DUMMYFUNCTION("""COMPUTED_VALUE"""),25)</f>
        <v>25</v>
      </c>
      <c r="E932" s="1"/>
      <c r="F932" s="87" t="str">
        <f t="shared" ca="1" si="0"/>
        <v>2023</v>
      </c>
      <c r="G932" s="1" t="str">
        <f ca="1">IFERROR(__xludf.DUMMYFUNCTION("""COMPUTED_VALUE"""),"Lakeshore Lightning Hockey")</f>
        <v>Lakeshore Lightning Hockey</v>
      </c>
      <c r="H932" s="26">
        <f t="shared" ca="1" si="1"/>
        <v>25</v>
      </c>
      <c r="I932" s="26">
        <f t="shared" ca="1" si="2"/>
        <v>1</v>
      </c>
      <c r="J932" s="86">
        <f t="shared" ca="1" si="3"/>
        <v>45057</v>
      </c>
      <c r="R932" s="26"/>
    </row>
    <row r="933" spans="1:18" ht="15.75" customHeight="1">
      <c r="A933" s="26">
        <f ca="1">IFERROR(__xludf.DUMMYFUNCTION("""COMPUTED_VALUE"""),18674)</f>
        <v>18674</v>
      </c>
      <c r="B933" s="86">
        <f ca="1">IFERROR(__xludf.DUMMYFUNCTION("""COMPUTED_VALUE"""),45057.9363194444)</f>
        <v>45057.936319444401</v>
      </c>
      <c r="C933" s="1" t="str">
        <f ca="1">IFERROR(__xludf.DUMMYFUNCTION("""COMPUTED_VALUE"""),"completed")</f>
        <v>completed</v>
      </c>
      <c r="D933" s="26">
        <f ca="1">IFERROR(__xludf.DUMMYFUNCTION("""COMPUTED_VALUE"""),25)</f>
        <v>25</v>
      </c>
      <c r="E933" s="1"/>
      <c r="F933" s="87" t="str">
        <f t="shared" ca="1" si="0"/>
        <v>2023</v>
      </c>
      <c r="G933" s="1" t="str">
        <f ca="1">IFERROR(__xludf.DUMMYFUNCTION("""COMPUTED_VALUE"""),"Lakeshore Lightning Hockey")</f>
        <v>Lakeshore Lightning Hockey</v>
      </c>
      <c r="H933" s="26">
        <f t="shared" ca="1" si="1"/>
        <v>25</v>
      </c>
      <c r="I933" s="26">
        <f t="shared" ca="1" si="2"/>
        <v>1</v>
      </c>
      <c r="J933" s="86">
        <f t="shared" ca="1" si="3"/>
        <v>45057</v>
      </c>
      <c r="R933" s="26"/>
    </row>
    <row r="934" spans="1:18" ht="15.75" customHeight="1">
      <c r="A934" s="26">
        <f ca="1">IFERROR(__xludf.DUMMYFUNCTION("""COMPUTED_VALUE"""),18673)</f>
        <v>18673</v>
      </c>
      <c r="B934" s="86">
        <f ca="1">IFERROR(__xludf.DUMMYFUNCTION("""COMPUTED_VALUE"""),45057.9285648148)</f>
        <v>45057.9285648148</v>
      </c>
      <c r="C934" s="1" t="str">
        <f ca="1">IFERROR(__xludf.DUMMYFUNCTION("""COMPUTED_VALUE"""),"completed")</f>
        <v>completed</v>
      </c>
      <c r="D934" s="26">
        <f ca="1">IFERROR(__xludf.DUMMYFUNCTION("""COMPUTED_VALUE"""),25)</f>
        <v>25</v>
      </c>
      <c r="E934" s="1"/>
      <c r="F934" s="87" t="str">
        <f t="shared" ca="1" si="0"/>
        <v>2023</v>
      </c>
      <c r="G934" s="1" t="str">
        <f ca="1">IFERROR(__xludf.DUMMYFUNCTION("""COMPUTED_VALUE"""),"Lakeshore Lightning Hockey")</f>
        <v>Lakeshore Lightning Hockey</v>
      </c>
      <c r="H934" s="26">
        <f t="shared" ca="1" si="1"/>
        <v>25</v>
      </c>
      <c r="I934" s="26">
        <f t="shared" ca="1" si="2"/>
        <v>1</v>
      </c>
      <c r="J934" s="86">
        <f t="shared" ca="1" si="3"/>
        <v>45057</v>
      </c>
      <c r="R934" s="26"/>
    </row>
    <row r="935" spans="1:18" ht="15.75" customHeight="1">
      <c r="A935" s="26">
        <f ca="1">IFERROR(__xludf.DUMMYFUNCTION("""COMPUTED_VALUE"""),18672)</f>
        <v>18672</v>
      </c>
      <c r="B935" s="86">
        <f ca="1">IFERROR(__xludf.DUMMYFUNCTION("""COMPUTED_VALUE"""),45057.9277199074)</f>
        <v>45057.927719907399</v>
      </c>
      <c r="C935" s="1" t="str">
        <f ca="1">IFERROR(__xludf.DUMMYFUNCTION("""COMPUTED_VALUE"""),"completed")</f>
        <v>completed</v>
      </c>
      <c r="D935" s="26">
        <f ca="1">IFERROR(__xludf.DUMMYFUNCTION("""COMPUTED_VALUE"""),28)</f>
        <v>28</v>
      </c>
      <c r="E935" s="1"/>
      <c r="F935" s="87" t="str">
        <f t="shared" ca="1" si="0"/>
        <v>2023</v>
      </c>
      <c r="G935" s="1" t="str">
        <f ca="1">IFERROR(__xludf.DUMMYFUNCTION("""COMPUTED_VALUE"""),"Lakeshore Lightning Hockey")</f>
        <v>Lakeshore Lightning Hockey</v>
      </c>
      <c r="H935" s="26">
        <f t="shared" ca="1" si="1"/>
        <v>28</v>
      </c>
      <c r="I935" s="26">
        <f t="shared" ca="1" si="2"/>
        <v>1</v>
      </c>
      <c r="J935" s="86">
        <f t="shared" ca="1" si="3"/>
        <v>45057</v>
      </c>
      <c r="R935" s="26"/>
    </row>
    <row r="936" spans="1:18" ht="15.75" customHeight="1">
      <c r="A936" s="26">
        <f ca="1">IFERROR(__xludf.DUMMYFUNCTION("""COMPUTED_VALUE"""),18671)</f>
        <v>18671</v>
      </c>
      <c r="B936" s="86">
        <f ca="1">IFERROR(__xludf.DUMMYFUNCTION("""COMPUTED_VALUE"""),45057.9277083333)</f>
        <v>45057.9277083333</v>
      </c>
      <c r="C936" s="1" t="str">
        <f ca="1">IFERROR(__xludf.DUMMYFUNCTION("""COMPUTED_VALUE"""),"completed")</f>
        <v>completed</v>
      </c>
      <c r="D936" s="26">
        <f ca="1">IFERROR(__xludf.DUMMYFUNCTION("""COMPUTED_VALUE"""),25)</f>
        <v>25</v>
      </c>
      <c r="E936" s="1"/>
      <c r="F936" s="87" t="str">
        <f t="shared" ca="1" si="0"/>
        <v>2023</v>
      </c>
      <c r="G936" s="1" t="str">
        <f ca="1">IFERROR(__xludf.DUMMYFUNCTION("""COMPUTED_VALUE"""),"Lakeshore Lightning Hockey")</f>
        <v>Lakeshore Lightning Hockey</v>
      </c>
      <c r="H936" s="26">
        <f t="shared" ca="1" si="1"/>
        <v>25</v>
      </c>
      <c r="I936" s="26">
        <f t="shared" ca="1" si="2"/>
        <v>1</v>
      </c>
      <c r="J936" s="86">
        <f t="shared" ca="1" si="3"/>
        <v>45057</v>
      </c>
      <c r="R936" s="26"/>
    </row>
    <row r="937" spans="1:18" ht="15.75" customHeight="1">
      <c r="A937" s="26">
        <f ca="1">IFERROR(__xludf.DUMMYFUNCTION("""COMPUTED_VALUE"""),18670)</f>
        <v>18670</v>
      </c>
      <c r="B937" s="86">
        <f ca="1">IFERROR(__xludf.DUMMYFUNCTION("""COMPUTED_VALUE"""),45057.9225347222)</f>
        <v>45057.922534722202</v>
      </c>
      <c r="C937" s="1" t="str">
        <f ca="1">IFERROR(__xludf.DUMMYFUNCTION("""COMPUTED_VALUE"""),"completed")</f>
        <v>completed</v>
      </c>
      <c r="D937" s="26">
        <f ca="1">IFERROR(__xludf.DUMMYFUNCTION("""COMPUTED_VALUE"""),28)</f>
        <v>28</v>
      </c>
      <c r="E937" s="1"/>
      <c r="F937" s="87" t="str">
        <f t="shared" ca="1" si="0"/>
        <v>2023</v>
      </c>
      <c r="G937" s="1" t="str">
        <f ca="1">IFERROR(__xludf.DUMMYFUNCTION("""COMPUTED_VALUE"""),"Lakeshore Lightning Hockey")</f>
        <v>Lakeshore Lightning Hockey</v>
      </c>
      <c r="H937" s="26">
        <f t="shared" ca="1" si="1"/>
        <v>28</v>
      </c>
      <c r="I937" s="26">
        <f t="shared" ca="1" si="2"/>
        <v>1</v>
      </c>
      <c r="J937" s="86">
        <f t="shared" ca="1" si="3"/>
        <v>45057</v>
      </c>
      <c r="R937" s="26"/>
    </row>
    <row r="938" spans="1:18" ht="15.75" customHeight="1">
      <c r="A938" s="26">
        <f ca="1">IFERROR(__xludf.DUMMYFUNCTION("""COMPUTED_VALUE"""),18669)</f>
        <v>18669</v>
      </c>
      <c r="B938" s="86">
        <f ca="1">IFERROR(__xludf.DUMMYFUNCTION("""COMPUTED_VALUE"""),45057.9210185185)</f>
        <v>45057.9210185185</v>
      </c>
      <c r="C938" s="1" t="str">
        <f ca="1">IFERROR(__xludf.DUMMYFUNCTION("""COMPUTED_VALUE"""),"completed")</f>
        <v>completed</v>
      </c>
      <c r="D938" s="26">
        <f ca="1">IFERROR(__xludf.DUMMYFUNCTION("""COMPUTED_VALUE"""),81)</f>
        <v>81</v>
      </c>
      <c r="E938" s="1"/>
      <c r="F938" s="87" t="str">
        <f t="shared" ca="1" si="0"/>
        <v>2023</v>
      </c>
      <c r="G938" s="1" t="str">
        <f ca="1">IFERROR(__xludf.DUMMYFUNCTION("""COMPUTED_VALUE"""),"Lakeshore Lightning Hockey")</f>
        <v>Lakeshore Lightning Hockey</v>
      </c>
      <c r="H938" s="26">
        <f t="shared" ca="1" si="1"/>
        <v>81</v>
      </c>
      <c r="I938" s="26">
        <f t="shared" ca="1" si="2"/>
        <v>1</v>
      </c>
      <c r="J938" s="86">
        <f t="shared" ca="1" si="3"/>
        <v>45057</v>
      </c>
      <c r="R938" s="26"/>
    </row>
    <row r="939" spans="1:18" ht="15.75" customHeight="1">
      <c r="A939" s="26">
        <f ca="1">IFERROR(__xludf.DUMMYFUNCTION("""COMPUTED_VALUE"""),18668)</f>
        <v>18668</v>
      </c>
      <c r="B939" s="86">
        <f ca="1">IFERROR(__xludf.DUMMYFUNCTION("""COMPUTED_VALUE"""),45057.9181018518)</f>
        <v>45057.918101851799</v>
      </c>
      <c r="C939" s="1" t="str">
        <f ca="1">IFERROR(__xludf.DUMMYFUNCTION("""COMPUTED_VALUE"""),"completed")</f>
        <v>completed</v>
      </c>
      <c r="D939" s="26">
        <f ca="1">IFERROR(__xludf.DUMMYFUNCTION("""COMPUTED_VALUE"""),28)</f>
        <v>28</v>
      </c>
      <c r="E939" s="1"/>
      <c r="F939" s="87" t="str">
        <f t="shared" ca="1" si="0"/>
        <v>2023</v>
      </c>
      <c r="G939" s="1" t="str">
        <f ca="1">IFERROR(__xludf.DUMMYFUNCTION("""COMPUTED_VALUE"""),"Lakeshore Lightning Hockey")</f>
        <v>Lakeshore Lightning Hockey</v>
      </c>
      <c r="H939" s="26">
        <f t="shared" ca="1" si="1"/>
        <v>28</v>
      </c>
      <c r="I939" s="26">
        <f t="shared" ca="1" si="2"/>
        <v>1</v>
      </c>
      <c r="J939" s="86">
        <f t="shared" ca="1" si="3"/>
        <v>45057</v>
      </c>
      <c r="R939" s="26"/>
    </row>
    <row r="940" spans="1:18" ht="15.75" customHeight="1">
      <c r="A940" s="26">
        <f ca="1">IFERROR(__xludf.DUMMYFUNCTION("""COMPUTED_VALUE"""),18667)</f>
        <v>18667</v>
      </c>
      <c r="B940" s="86">
        <f ca="1">IFERROR(__xludf.DUMMYFUNCTION("""COMPUTED_VALUE"""),45057.9175810185)</f>
        <v>45057.917581018497</v>
      </c>
      <c r="C940" s="1" t="str">
        <f ca="1">IFERROR(__xludf.DUMMYFUNCTION("""COMPUTED_VALUE"""),"completed")</f>
        <v>completed</v>
      </c>
      <c r="D940" s="26">
        <f ca="1">IFERROR(__xludf.DUMMYFUNCTION("""COMPUTED_VALUE"""),20)</f>
        <v>20</v>
      </c>
      <c r="E940" s="1"/>
      <c r="F940" s="87" t="str">
        <f t="shared" ca="1" si="0"/>
        <v>2023</v>
      </c>
      <c r="G940" s="1" t="str">
        <f ca="1">IFERROR(__xludf.DUMMYFUNCTION("""COMPUTED_VALUE"""),"Windsor AAA Zone Hockey")</f>
        <v>Windsor AAA Zone Hockey</v>
      </c>
      <c r="H940" s="26">
        <f t="shared" ca="1" si="1"/>
        <v>20</v>
      </c>
      <c r="I940" s="26">
        <f t="shared" ca="1" si="2"/>
        <v>1</v>
      </c>
      <c r="J940" s="86">
        <f t="shared" ca="1" si="3"/>
        <v>45057</v>
      </c>
      <c r="R940" s="26"/>
    </row>
    <row r="941" spans="1:18" ht="15.75" customHeight="1">
      <c r="A941" s="26">
        <f ca="1">IFERROR(__xludf.DUMMYFUNCTION("""COMPUTED_VALUE"""),18666)</f>
        <v>18666</v>
      </c>
      <c r="B941" s="86">
        <f ca="1">IFERROR(__xludf.DUMMYFUNCTION("""COMPUTED_VALUE"""),45057.9110648148)</f>
        <v>45057.911064814798</v>
      </c>
      <c r="C941" s="1" t="str">
        <f ca="1">IFERROR(__xludf.DUMMYFUNCTION("""COMPUTED_VALUE"""),"draftpics-created")</f>
        <v>draftpics-created</v>
      </c>
      <c r="D941" s="26">
        <f ca="1">IFERROR(__xludf.DUMMYFUNCTION("""COMPUTED_VALUE"""),25)</f>
        <v>25</v>
      </c>
      <c r="E941" s="1"/>
      <c r="F941" s="87" t="str">
        <f t="shared" ca="1" si="0"/>
        <v>2023</v>
      </c>
      <c r="G941" s="1" t="str">
        <f ca="1">IFERROR(__xludf.DUMMYFUNCTION("""COMPUTED_VALUE"""),"Lakeshore Lightning Hockey")</f>
        <v>Lakeshore Lightning Hockey</v>
      </c>
      <c r="H941" s="26">
        <f t="shared" ca="1" si="1"/>
        <v>25</v>
      </c>
      <c r="I941" s="26">
        <f t="shared" ca="1" si="2"/>
        <v>1</v>
      </c>
      <c r="J941" s="86">
        <f t="shared" ca="1" si="3"/>
        <v>45057</v>
      </c>
      <c r="R941" s="26"/>
    </row>
    <row r="942" spans="1:18" ht="15.75" customHeight="1">
      <c r="A942" s="26">
        <f ca="1">IFERROR(__xludf.DUMMYFUNCTION("""COMPUTED_VALUE"""),18665)</f>
        <v>18665</v>
      </c>
      <c r="B942" s="86">
        <f ca="1">IFERROR(__xludf.DUMMYFUNCTION("""COMPUTED_VALUE"""),45057.900636574)</f>
        <v>45057.900636573999</v>
      </c>
      <c r="C942" s="1" t="str">
        <f ca="1">IFERROR(__xludf.DUMMYFUNCTION("""COMPUTED_VALUE"""),"completed")</f>
        <v>completed</v>
      </c>
      <c r="D942" s="26">
        <f ca="1">IFERROR(__xludf.DUMMYFUNCTION("""COMPUTED_VALUE"""),55)</f>
        <v>55</v>
      </c>
      <c r="E942" s="1"/>
      <c r="F942" s="87" t="str">
        <f t="shared" ca="1" si="0"/>
        <v>2023</v>
      </c>
      <c r="G942" s="1" t="str">
        <f ca="1">IFERROR(__xludf.DUMMYFUNCTION("""COMPUTED_VALUE"""),"Lakeshore Lightning Hockey")</f>
        <v>Lakeshore Lightning Hockey</v>
      </c>
      <c r="H942" s="26">
        <f t="shared" ca="1" si="1"/>
        <v>55</v>
      </c>
      <c r="I942" s="26">
        <f t="shared" ca="1" si="2"/>
        <v>1</v>
      </c>
      <c r="J942" s="86">
        <f t="shared" ca="1" si="3"/>
        <v>45057</v>
      </c>
      <c r="R942" s="26"/>
    </row>
    <row r="943" spans="1:18" ht="15.75" customHeight="1">
      <c r="A943" s="26">
        <f ca="1">IFERROR(__xludf.DUMMYFUNCTION("""COMPUTED_VALUE"""),18664)</f>
        <v>18664</v>
      </c>
      <c r="B943" s="86">
        <f ca="1">IFERROR(__xludf.DUMMYFUNCTION("""COMPUTED_VALUE"""),45057.8307060185)</f>
        <v>45057.830706018503</v>
      </c>
      <c r="C943" s="1" t="str">
        <f ca="1">IFERROR(__xludf.DUMMYFUNCTION("""COMPUTED_VALUE"""),"completed")</f>
        <v>completed</v>
      </c>
      <c r="D943" s="26">
        <f ca="1">IFERROR(__xludf.DUMMYFUNCTION("""COMPUTED_VALUE"""),26)</f>
        <v>26</v>
      </c>
      <c r="E943" s="1"/>
      <c r="F943" s="87" t="str">
        <f t="shared" ca="1" si="0"/>
        <v>2023</v>
      </c>
      <c r="G943" s="1" t="str">
        <f ca="1">IFERROR(__xludf.DUMMYFUNCTION("""COMPUTED_VALUE"""),"Lakeshore Lightning Hockey")</f>
        <v>Lakeshore Lightning Hockey</v>
      </c>
      <c r="H943" s="26">
        <f t="shared" ca="1" si="1"/>
        <v>26</v>
      </c>
      <c r="I943" s="26">
        <f t="shared" ca="1" si="2"/>
        <v>1</v>
      </c>
      <c r="J943" s="86">
        <f t="shared" ca="1" si="3"/>
        <v>45057</v>
      </c>
      <c r="R943" s="26"/>
    </row>
    <row r="944" spans="1:18" ht="15.75" customHeight="1">
      <c r="A944" s="26">
        <f ca="1">IFERROR(__xludf.DUMMYFUNCTION("""COMPUTED_VALUE"""),18663)</f>
        <v>18663</v>
      </c>
      <c r="B944" s="86">
        <f ca="1">IFERROR(__xludf.DUMMYFUNCTION("""COMPUTED_VALUE"""),45057.6673379629)</f>
        <v>45057.667337962899</v>
      </c>
      <c r="C944" s="1" t="str">
        <f ca="1">IFERROR(__xludf.DUMMYFUNCTION("""COMPUTED_VALUE"""),"completed")</f>
        <v>completed</v>
      </c>
      <c r="D944" s="26">
        <f ca="1">IFERROR(__xludf.DUMMYFUNCTION("""COMPUTED_VALUE"""),15)</f>
        <v>15</v>
      </c>
      <c r="E944" s="1"/>
      <c r="F944" s="87" t="str">
        <f t="shared" ca="1" si="0"/>
        <v>2023</v>
      </c>
      <c r="G944" s="1" t="str">
        <f ca="1">IFERROR(__xludf.DUMMYFUNCTION("""COMPUTED_VALUE"""),"Lakeshore Lightning Hockey")</f>
        <v>Lakeshore Lightning Hockey</v>
      </c>
      <c r="H944" s="26">
        <f t="shared" ca="1" si="1"/>
        <v>15</v>
      </c>
      <c r="I944" s="26">
        <f t="shared" ca="1" si="2"/>
        <v>1</v>
      </c>
      <c r="J944" s="86">
        <f t="shared" ca="1" si="3"/>
        <v>45057</v>
      </c>
      <c r="R944" s="26"/>
    </row>
    <row r="945" spans="1:18" ht="15.75" customHeight="1">
      <c r="A945" s="26">
        <f ca="1">IFERROR(__xludf.DUMMYFUNCTION("""COMPUTED_VALUE"""),18662)</f>
        <v>18662</v>
      </c>
      <c r="B945" s="86">
        <f ca="1">IFERROR(__xludf.DUMMYFUNCTION("""COMPUTED_VALUE"""),45057.6601041666)</f>
        <v>45057.6601041666</v>
      </c>
      <c r="C945" s="1" t="str">
        <f ca="1">IFERROR(__xludf.DUMMYFUNCTION("""COMPUTED_VALUE"""),"completed")</f>
        <v>completed</v>
      </c>
      <c r="D945" s="26">
        <f ca="1">IFERROR(__xludf.DUMMYFUNCTION("""COMPUTED_VALUE"""),28)</f>
        <v>28</v>
      </c>
      <c r="E945" s="1"/>
      <c r="F945" s="87" t="str">
        <f t="shared" ca="1" si="0"/>
        <v>2023</v>
      </c>
      <c r="G945" s="1" t="str">
        <f ca="1">IFERROR(__xludf.DUMMYFUNCTION("""COMPUTED_VALUE"""),"WMFA")</f>
        <v>WMFA</v>
      </c>
      <c r="H945" s="26">
        <f t="shared" ca="1" si="1"/>
        <v>28</v>
      </c>
      <c r="I945" s="26">
        <f t="shared" ca="1" si="2"/>
        <v>1</v>
      </c>
      <c r="J945" s="86">
        <f t="shared" ca="1" si="3"/>
        <v>45057</v>
      </c>
      <c r="R945" s="26"/>
    </row>
    <row r="946" spans="1:18" ht="15.75" customHeight="1">
      <c r="A946" s="26">
        <f ca="1">IFERROR(__xludf.DUMMYFUNCTION("""COMPUTED_VALUE"""),18661)</f>
        <v>18661</v>
      </c>
      <c r="B946" s="86">
        <f ca="1">IFERROR(__xludf.DUMMYFUNCTION("""COMPUTED_VALUE"""),45057.6142476851)</f>
        <v>45057.614247685102</v>
      </c>
      <c r="C946" s="1" t="str">
        <f ca="1">IFERROR(__xludf.DUMMYFUNCTION("""COMPUTED_VALUE"""),"completed")</f>
        <v>completed</v>
      </c>
      <c r="D946" s="26">
        <f ca="1">IFERROR(__xludf.DUMMYFUNCTION("""COMPUTED_VALUE"""),55)</f>
        <v>55</v>
      </c>
      <c r="E946" s="1"/>
      <c r="F946" s="87" t="str">
        <f t="shared" ca="1" si="0"/>
        <v>2023</v>
      </c>
      <c r="G946" s="1" t="str">
        <f ca="1">IFERROR(__xludf.DUMMYFUNCTION("""COMPUTED_VALUE"""),"Lakeshore Lightning Hockey")</f>
        <v>Lakeshore Lightning Hockey</v>
      </c>
      <c r="H946" s="26">
        <f t="shared" ca="1" si="1"/>
        <v>55</v>
      </c>
      <c r="I946" s="26">
        <f t="shared" ca="1" si="2"/>
        <v>1</v>
      </c>
      <c r="J946" s="86">
        <f t="shared" ca="1" si="3"/>
        <v>45057</v>
      </c>
      <c r="R946" s="26"/>
    </row>
    <row r="947" spans="1:18" ht="15.75" customHeight="1">
      <c r="A947" s="26">
        <f ca="1">IFERROR(__xludf.DUMMYFUNCTION("""COMPUTED_VALUE"""),18660)</f>
        <v>18660</v>
      </c>
      <c r="B947" s="86">
        <f ca="1">IFERROR(__xludf.DUMMYFUNCTION("""COMPUTED_VALUE"""),45057.4401504629)</f>
        <v>45057.440150462899</v>
      </c>
      <c r="C947" s="1" t="str">
        <f ca="1">IFERROR(__xludf.DUMMYFUNCTION("""COMPUTED_VALUE"""),"completed")</f>
        <v>completed</v>
      </c>
      <c r="D947" s="26">
        <f ca="1">IFERROR(__xludf.DUMMYFUNCTION("""COMPUTED_VALUE"""),25)</f>
        <v>25</v>
      </c>
      <c r="E947" s="1"/>
      <c r="F947" s="87" t="str">
        <f t="shared" ca="1" si="0"/>
        <v>2023</v>
      </c>
      <c r="G947" s="1" t="str">
        <f ca="1">IFERROR(__xludf.DUMMYFUNCTION("""COMPUTED_VALUE"""),"Lakeshore Lightning Hockey")</f>
        <v>Lakeshore Lightning Hockey</v>
      </c>
      <c r="H947" s="26">
        <f t="shared" ca="1" si="1"/>
        <v>25</v>
      </c>
      <c r="I947" s="26">
        <f t="shared" ca="1" si="2"/>
        <v>1</v>
      </c>
      <c r="J947" s="86">
        <f t="shared" ca="1" si="3"/>
        <v>45057</v>
      </c>
      <c r="R947" s="26"/>
    </row>
    <row r="948" spans="1:18" ht="15.75" customHeight="1">
      <c r="A948" s="26">
        <f ca="1">IFERROR(__xludf.DUMMYFUNCTION("""COMPUTED_VALUE"""),18659)</f>
        <v>18659</v>
      </c>
      <c r="B948" s="86">
        <f ca="1">IFERROR(__xludf.DUMMYFUNCTION("""COMPUTED_VALUE"""),45057.4003819444)</f>
        <v>45057.400381944397</v>
      </c>
      <c r="C948" s="1" t="str">
        <f ca="1">IFERROR(__xludf.DUMMYFUNCTION("""COMPUTED_VALUE"""),"draftpics-created")</f>
        <v>draftpics-created</v>
      </c>
      <c r="D948" s="26">
        <f ca="1">IFERROR(__xludf.DUMMYFUNCTION("""COMPUTED_VALUE"""),20)</f>
        <v>20</v>
      </c>
      <c r="E948" s="1"/>
      <c r="F948" s="87" t="str">
        <f t="shared" ca="1" si="0"/>
        <v>2023</v>
      </c>
      <c r="G948" s="1" t="str">
        <f ca="1">IFERROR(__xludf.DUMMYFUNCTION("""COMPUTED_VALUE"""),"WMFA")</f>
        <v>WMFA</v>
      </c>
      <c r="H948" s="26">
        <f t="shared" ca="1" si="1"/>
        <v>20</v>
      </c>
      <c r="I948" s="26">
        <f t="shared" ca="1" si="2"/>
        <v>1</v>
      </c>
      <c r="J948" s="86">
        <f t="shared" ca="1" si="3"/>
        <v>45057</v>
      </c>
      <c r="R948" s="26"/>
    </row>
    <row r="949" spans="1:18" ht="15.75" customHeight="1">
      <c r="A949" s="26">
        <f ca="1">IFERROR(__xludf.DUMMYFUNCTION("""COMPUTED_VALUE"""),18658)</f>
        <v>18658</v>
      </c>
      <c r="B949" s="86">
        <f ca="1">IFERROR(__xludf.DUMMYFUNCTION("""COMPUTED_VALUE"""),45057.1592939814)</f>
        <v>45057.1592939814</v>
      </c>
      <c r="C949" s="1" t="str">
        <f ca="1">IFERROR(__xludf.DUMMYFUNCTION("""COMPUTED_VALUE"""),"completed")</f>
        <v>completed</v>
      </c>
      <c r="D949" s="26">
        <f ca="1">IFERROR(__xludf.DUMMYFUNCTION("""COMPUTED_VALUE"""),28)</f>
        <v>28</v>
      </c>
      <c r="E949" s="1"/>
      <c r="F949" s="87" t="str">
        <f t="shared" ca="1" si="0"/>
        <v>2023</v>
      </c>
      <c r="G949" s="1" t="str">
        <f ca="1">IFERROR(__xludf.DUMMYFUNCTION("""COMPUTED_VALUE"""),"Lakeshore Lightning Hockey")</f>
        <v>Lakeshore Lightning Hockey</v>
      </c>
      <c r="H949" s="26">
        <f t="shared" ca="1" si="1"/>
        <v>28</v>
      </c>
      <c r="I949" s="26">
        <f t="shared" ca="1" si="2"/>
        <v>1</v>
      </c>
      <c r="J949" s="86">
        <f t="shared" ca="1" si="3"/>
        <v>45057</v>
      </c>
      <c r="R949" s="26"/>
    </row>
    <row r="950" spans="1:18" ht="15.75" customHeight="1">
      <c r="A950" s="26">
        <f ca="1">IFERROR(__xludf.DUMMYFUNCTION("""COMPUTED_VALUE"""),18657)</f>
        <v>18657</v>
      </c>
      <c r="B950" s="86">
        <f ca="1">IFERROR(__xludf.DUMMYFUNCTION("""COMPUTED_VALUE"""),45057.1042824074)</f>
        <v>45057.104282407403</v>
      </c>
      <c r="C950" s="1" t="str">
        <f ca="1">IFERROR(__xludf.DUMMYFUNCTION("""COMPUTED_VALUE"""),"completed")</f>
        <v>completed</v>
      </c>
      <c r="D950" s="26">
        <f ca="1">IFERROR(__xludf.DUMMYFUNCTION("""COMPUTED_VALUE"""),18)</f>
        <v>18</v>
      </c>
      <c r="E950" s="1"/>
      <c r="F950" s="87" t="str">
        <f t="shared" ca="1" si="0"/>
        <v>2023</v>
      </c>
      <c r="G950" s="1" t="str">
        <f ca="1">IFERROR(__xludf.DUMMYFUNCTION("""COMPUTED_VALUE"""),"WMFA")</f>
        <v>WMFA</v>
      </c>
      <c r="H950" s="26">
        <f t="shared" ca="1" si="1"/>
        <v>18</v>
      </c>
      <c r="I950" s="26">
        <f t="shared" ca="1" si="2"/>
        <v>1</v>
      </c>
      <c r="J950" s="86">
        <f t="shared" ca="1" si="3"/>
        <v>45057</v>
      </c>
      <c r="R950" s="26"/>
    </row>
    <row r="951" spans="1:18" ht="15.75" customHeight="1">
      <c r="A951" s="26">
        <f ca="1">IFERROR(__xludf.DUMMYFUNCTION("""COMPUTED_VALUE"""),18656)</f>
        <v>18656</v>
      </c>
      <c r="B951" s="86">
        <f ca="1">IFERROR(__xludf.DUMMYFUNCTION("""COMPUTED_VALUE"""),45056.9919791666)</f>
        <v>45056.991979166603</v>
      </c>
      <c r="C951" s="1" t="str">
        <f ca="1">IFERROR(__xludf.DUMMYFUNCTION("""COMPUTED_VALUE"""),"completed")</f>
        <v>completed</v>
      </c>
      <c r="D951" s="26">
        <f ca="1">IFERROR(__xludf.DUMMYFUNCTION("""COMPUTED_VALUE"""),25)</f>
        <v>25</v>
      </c>
      <c r="E951" s="1"/>
      <c r="F951" s="87" t="str">
        <f t="shared" ca="1" si="0"/>
        <v>2023</v>
      </c>
      <c r="G951" s="1" t="str">
        <f ca="1">IFERROR(__xludf.DUMMYFUNCTION("""COMPUTED_VALUE"""),"WMFA")</f>
        <v>WMFA</v>
      </c>
      <c r="H951" s="26">
        <f t="shared" ca="1" si="1"/>
        <v>25</v>
      </c>
      <c r="I951" s="26">
        <f t="shared" ca="1" si="2"/>
        <v>1</v>
      </c>
      <c r="J951" s="86">
        <f t="shared" ca="1" si="3"/>
        <v>45056</v>
      </c>
      <c r="R951" s="26"/>
    </row>
    <row r="952" spans="1:18" ht="15.75" customHeight="1">
      <c r="A952" s="26">
        <f ca="1">IFERROR(__xludf.DUMMYFUNCTION("""COMPUTED_VALUE"""),18655)</f>
        <v>18655</v>
      </c>
      <c r="B952" s="86">
        <f ca="1">IFERROR(__xludf.DUMMYFUNCTION("""COMPUTED_VALUE"""),45056.9881018518)</f>
        <v>45056.988101851799</v>
      </c>
      <c r="C952" s="1" t="str">
        <f ca="1">IFERROR(__xludf.DUMMYFUNCTION("""COMPUTED_VALUE"""),"completed")</f>
        <v>completed</v>
      </c>
      <c r="D952" s="26">
        <f ca="1">IFERROR(__xludf.DUMMYFUNCTION("""COMPUTED_VALUE"""),0)</f>
        <v>0</v>
      </c>
      <c r="E952" s="1"/>
      <c r="F952" s="87" t="str">
        <f t="shared" ca="1" si="0"/>
        <v>2023</v>
      </c>
      <c r="G952" s="1" t="str">
        <f ca="1">IFERROR(__xludf.DUMMYFUNCTION("""COMPUTED_VALUE"""),"Lakeshore Lightning Hockey")</f>
        <v>Lakeshore Lightning Hockey</v>
      </c>
      <c r="H952" s="26">
        <f t="shared" ca="1" si="1"/>
        <v>0</v>
      </c>
      <c r="I952" s="26">
        <f t="shared" ca="1" si="2"/>
        <v>1</v>
      </c>
      <c r="J952" s="86">
        <f t="shared" ca="1" si="3"/>
        <v>45056</v>
      </c>
      <c r="R952" s="26"/>
    </row>
    <row r="953" spans="1:18" ht="15.75" customHeight="1">
      <c r="A953" s="26">
        <f ca="1">IFERROR(__xludf.DUMMYFUNCTION("""COMPUTED_VALUE"""),18654)</f>
        <v>18654</v>
      </c>
      <c r="B953" s="86">
        <f ca="1">IFERROR(__xludf.DUMMYFUNCTION("""COMPUTED_VALUE"""),45056.9864583333)</f>
        <v>45056.986458333296</v>
      </c>
      <c r="C953" s="1" t="str">
        <f ca="1">IFERROR(__xludf.DUMMYFUNCTION("""COMPUTED_VALUE"""),"completed")</f>
        <v>completed</v>
      </c>
      <c r="D953" s="26">
        <f ca="1">IFERROR(__xludf.DUMMYFUNCTION("""COMPUTED_VALUE"""),0)</f>
        <v>0</v>
      </c>
      <c r="E953" s="1"/>
      <c r="F953" s="87" t="str">
        <f t="shared" ca="1" si="0"/>
        <v>2023</v>
      </c>
      <c r="G953" s="1" t="str">
        <f ca="1">IFERROR(__xludf.DUMMYFUNCTION("""COMPUTED_VALUE"""),"Lakeshore Lightning Hockey")</f>
        <v>Lakeshore Lightning Hockey</v>
      </c>
      <c r="H953" s="26">
        <f t="shared" ca="1" si="1"/>
        <v>0</v>
      </c>
      <c r="I953" s="26">
        <f t="shared" ca="1" si="2"/>
        <v>1</v>
      </c>
      <c r="J953" s="86">
        <f t="shared" ca="1" si="3"/>
        <v>45056</v>
      </c>
      <c r="R953" s="26"/>
    </row>
    <row r="954" spans="1:18" ht="15.75" customHeight="1">
      <c r="A954" s="26">
        <f ca="1">IFERROR(__xludf.DUMMYFUNCTION("""COMPUTED_VALUE"""),18653)</f>
        <v>18653</v>
      </c>
      <c r="B954" s="86">
        <f ca="1">IFERROR(__xludf.DUMMYFUNCTION("""COMPUTED_VALUE"""),45056.9852314814)</f>
        <v>45056.985231481398</v>
      </c>
      <c r="C954" s="1" t="str">
        <f ca="1">IFERROR(__xludf.DUMMYFUNCTION("""COMPUTED_VALUE"""),"completed")</f>
        <v>completed</v>
      </c>
      <c r="D954" s="26">
        <f ca="1">IFERROR(__xludf.DUMMYFUNCTION("""COMPUTED_VALUE"""),0)</f>
        <v>0</v>
      </c>
      <c r="E954" s="1"/>
      <c r="F954" s="87" t="str">
        <f t="shared" ca="1" si="0"/>
        <v>2023</v>
      </c>
      <c r="G954" s="1" t="str">
        <f ca="1">IFERROR(__xludf.DUMMYFUNCTION("""COMPUTED_VALUE"""),"Lakeshore Lightning Hockey")</f>
        <v>Lakeshore Lightning Hockey</v>
      </c>
      <c r="H954" s="26">
        <f t="shared" ca="1" si="1"/>
        <v>0</v>
      </c>
      <c r="I954" s="26">
        <f t="shared" ca="1" si="2"/>
        <v>1</v>
      </c>
      <c r="J954" s="86">
        <f t="shared" ca="1" si="3"/>
        <v>45056</v>
      </c>
      <c r="R954" s="26"/>
    </row>
    <row r="955" spans="1:18" ht="15.75" customHeight="1">
      <c r="A955" s="26">
        <f ca="1">IFERROR(__xludf.DUMMYFUNCTION("""COMPUTED_VALUE"""),18652)</f>
        <v>18652</v>
      </c>
      <c r="B955" s="86">
        <f ca="1">IFERROR(__xludf.DUMMYFUNCTION("""COMPUTED_VALUE"""),45056.9784953703)</f>
        <v>45056.978495370298</v>
      </c>
      <c r="C955" s="1" t="str">
        <f ca="1">IFERROR(__xludf.DUMMYFUNCTION("""COMPUTED_VALUE"""),"completed")</f>
        <v>completed</v>
      </c>
      <c r="D955" s="26">
        <f ca="1">IFERROR(__xludf.DUMMYFUNCTION("""COMPUTED_VALUE"""),25)</f>
        <v>25</v>
      </c>
      <c r="E955" s="1"/>
      <c r="F955" s="87" t="str">
        <f t="shared" ca="1" si="0"/>
        <v>2023</v>
      </c>
      <c r="G955" s="1" t="str">
        <f ca="1">IFERROR(__xludf.DUMMYFUNCTION("""COMPUTED_VALUE"""),"WMFA")</f>
        <v>WMFA</v>
      </c>
      <c r="H955" s="26">
        <f t="shared" ca="1" si="1"/>
        <v>25</v>
      </c>
      <c r="I955" s="26">
        <f t="shared" ca="1" si="2"/>
        <v>1</v>
      </c>
      <c r="J955" s="86">
        <f t="shared" ca="1" si="3"/>
        <v>45056</v>
      </c>
      <c r="R955" s="26"/>
    </row>
    <row r="956" spans="1:18" ht="15.75" customHeight="1">
      <c r="A956" s="26">
        <f ca="1">IFERROR(__xludf.DUMMYFUNCTION("""COMPUTED_VALUE"""),18651)</f>
        <v>18651</v>
      </c>
      <c r="B956" s="86">
        <f ca="1">IFERROR(__xludf.DUMMYFUNCTION("""COMPUTED_VALUE"""),45056.977662037)</f>
        <v>45056.977662037003</v>
      </c>
      <c r="C956" s="1" t="str">
        <f ca="1">IFERROR(__xludf.DUMMYFUNCTION("""COMPUTED_VALUE"""),"completed")</f>
        <v>completed</v>
      </c>
      <c r="D956" s="26">
        <f ca="1">IFERROR(__xludf.DUMMYFUNCTION("""COMPUTED_VALUE"""),25)</f>
        <v>25</v>
      </c>
      <c r="E956" s="1"/>
      <c r="F956" s="87" t="str">
        <f t="shared" ca="1" si="0"/>
        <v>2023</v>
      </c>
      <c r="G956" s="1" t="str">
        <f ca="1">IFERROR(__xludf.DUMMYFUNCTION("""COMPUTED_VALUE"""),"WMFA")</f>
        <v>WMFA</v>
      </c>
      <c r="H956" s="26">
        <f t="shared" ca="1" si="1"/>
        <v>25</v>
      </c>
      <c r="I956" s="26">
        <f t="shared" ca="1" si="2"/>
        <v>1</v>
      </c>
      <c r="J956" s="86">
        <f t="shared" ca="1" si="3"/>
        <v>45056</v>
      </c>
      <c r="R956" s="26"/>
    </row>
    <row r="957" spans="1:18" ht="15.75" customHeight="1">
      <c r="A957" s="26">
        <f ca="1">IFERROR(__xludf.DUMMYFUNCTION("""COMPUTED_VALUE"""),18650)</f>
        <v>18650</v>
      </c>
      <c r="B957" s="86">
        <f ca="1">IFERROR(__xludf.DUMMYFUNCTION("""COMPUTED_VALUE"""),45056.9716203703)</f>
        <v>45056.971620370299</v>
      </c>
      <c r="C957" s="1" t="str">
        <f ca="1">IFERROR(__xludf.DUMMYFUNCTION("""COMPUTED_VALUE"""),"completed")</f>
        <v>completed</v>
      </c>
      <c r="D957" s="26">
        <f ca="1">IFERROR(__xludf.DUMMYFUNCTION("""COMPUTED_VALUE"""),25)</f>
        <v>25</v>
      </c>
      <c r="E957" s="1"/>
      <c r="F957" s="87" t="str">
        <f t="shared" ca="1" si="0"/>
        <v>2023</v>
      </c>
      <c r="G957" s="1" t="str">
        <f ca="1">IFERROR(__xludf.DUMMYFUNCTION("""COMPUTED_VALUE"""),"South Point Stars")</f>
        <v>South Point Stars</v>
      </c>
      <c r="H957" s="26">
        <f t="shared" ca="1" si="1"/>
        <v>25</v>
      </c>
      <c r="I957" s="26">
        <f t="shared" ca="1" si="2"/>
        <v>1</v>
      </c>
      <c r="J957" s="86">
        <f t="shared" ca="1" si="3"/>
        <v>45056</v>
      </c>
      <c r="R957" s="26"/>
    </row>
    <row r="958" spans="1:18" ht="15.75" customHeight="1">
      <c r="A958" s="26">
        <f ca="1">IFERROR(__xludf.DUMMYFUNCTION("""COMPUTED_VALUE"""),18649)</f>
        <v>18649</v>
      </c>
      <c r="B958" s="86">
        <f ca="1">IFERROR(__xludf.DUMMYFUNCTION("""COMPUTED_VALUE"""),45056.9640046296)</f>
        <v>45056.964004629597</v>
      </c>
      <c r="C958" s="1" t="str">
        <f ca="1">IFERROR(__xludf.DUMMYFUNCTION("""COMPUTED_VALUE"""),"completed")</f>
        <v>completed</v>
      </c>
      <c r="D958" s="26">
        <f ca="1">IFERROR(__xludf.DUMMYFUNCTION("""COMPUTED_VALUE"""),35)</f>
        <v>35</v>
      </c>
      <c r="E958" s="1"/>
      <c r="F958" s="87" t="str">
        <f t="shared" ca="1" si="0"/>
        <v>2023</v>
      </c>
      <c r="G958" s="1" t="str">
        <f ca="1">IFERROR(__xludf.DUMMYFUNCTION("""COMPUTED_VALUE"""),"Lakeshore Lightning Hockey")</f>
        <v>Lakeshore Lightning Hockey</v>
      </c>
      <c r="H958" s="26">
        <f t="shared" ca="1" si="1"/>
        <v>35</v>
      </c>
      <c r="I958" s="26">
        <f t="shared" ca="1" si="2"/>
        <v>1</v>
      </c>
      <c r="J958" s="86">
        <f t="shared" ca="1" si="3"/>
        <v>45056</v>
      </c>
      <c r="R958" s="26"/>
    </row>
    <row r="959" spans="1:18" ht="15.75" customHeight="1">
      <c r="A959" s="26">
        <f ca="1">IFERROR(__xludf.DUMMYFUNCTION("""COMPUTED_VALUE"""),18648)</f>
        <v>18648</v>
      </c>
      <c r="B959" s="86">
        <f ca="1">IFERROR(__xludf.DUMMYFUNCTION("""COMPUTED_VALUE"""),45056.9625)</f>
        <v>45056.962500000001</v>
      </c>
      <c r="C959" s="1" t="str">
        <f ca="1">IFERROR(__xludf.DUMMYFUNCTION("""COMPUTED_VALUE"""),"completed")</f>
        <v>completed</v>
      </c>
      <c r="D959" s="26">
        <f ca="1">IFERROR(__xludf.DUMMYFUNCTION("""COMPUTED_VALUE"""),25)</f>
        <v>25</v>
      </c>
      <c r="E959" s="1"/>
      <c r="F959" s="87" t="str">
        <f t="shared" ca="1" si="0"/>
        <v>2023</v>
      </c>
      <c r="G959" s="1" t="str">
        <f ca="1">IFERROR(__xludf.DUMMYFUNCTION("""COMPUTED_VALUE"""),"Lakeshore Lightning Hockey")</f>
        <v>Lakeshore Lightning Hockey</v>
      </c>
      <c r="H959" s="26">
        <f t="shared" ca="1" si="1"/>
        <v>25</v>
      </c>
      <c r="I959" s="26">
        <f t="shared" ca="1" si="2"/>
        <v>1</v>
      </c>
      <c r="J959" s="86">
        <f t="shared" ca="1" si="3"/>
        <v>45056</v>
      </c>
      <c r="R959" s="26"/>
    </row>
    <row r="960" spans="1:18" ht="15.75" customHeight="1">
      <c r="A960" s="26">
        <f ca="1">IFERROR(__xludf.DUMMYFUNCTION("""COMPUTED_VALUE"""),18647)</f>
        <v>18647</v>
      </c>
      <c r="B960" s="86">
        <f ca="1">IFERROR(__xludf.DUMMYFUNCTION("""COMPUTED_VALUE"""),45056.9401851851)</f>
        <v>45056.9401851851</v>
      </c>
      <c r="C960" s="1" t="str">
        <f ca="1">IFERROR(__xludf.DUMMYFUNCTION("""COMPUTED_VALUE"""),"completed")</f>
        <v>completed</v>
      </c>
      <c r="D960" s="26">
        <f ca="1">IFERROR(__xludf.DUMMYFUNCTION("""COMPUTED_VALUE"""),25)</f>
        <v>25</v>
      </c>
      <c r="E960" s="1"/>
      <c r="F960" s="87" t="str">
        <f t="shared" ca="1" si="0"/>
        <v>2023</v>
      </c>
      <c r="G960" s="1" t="str">
        <f ca="1">IFERROR(__xludf.DUMMYFUNCTION("""COMPUTED_VALUE"""),"Lakeshore Lightning Hockey")</f>
        <v>Lakeshore Lightning Hockey</v>
      </c>
      <c r="H960" s="26">
        <f t="shared" ca="1" si="1"/>
        <v>25</v>
      </c>
      <c r="I960" s="26">
        <f t="shared" ca="1" si="2"/>
        <v>1</v>
      </c>
      <c r="J960" s="86">
        <f t="shared" ca="1" si="3"/>
        <v>45056</v>
      </c>
      <c r="R960" s="26"/>
    </row>
    <row r="961" spans="1:18" ht="15.75" customHeight="1">
      <c r="A961" s="26">
        <f ca="1">IFERROR(__xludf.DUMMYFUNCTION("""COMPUTED_VALUE"""),18646)</f>
        <v>18646</v>
      </c>
      <c r="B961" s="86">
        <f ca="1">IFERROR(__xludf.DUMMYFUNCTION("""COMPUTED_VALUE"""),45056.9337962962)</f>
        <v>45056.933796296202</v>
      </c>
      <c r="C961" s="1" t="str">
        <f ca="1">IFERROR(__xludf.DUMMYFUNCTION("""COMPUTED_VALUE"""),"completed")</f>
        <v>completed</v>
      </c>
      <c r="D961" s="26">
        <f ca="1">IFERROR(__xludf.DUMMYFUNCTION("""COMPUTED_VALUE"""),25)</f>
        <v>25</v>
      </c>
      <c r="E961" s="1"/>
      <c r="F961" s="87" t="str">
        <f t="shared" ca="1" si="0"/>
        <v>2023</v>
      </c>
      <c r="G961" s="1" t="str">
        <f ca="1">IFERROR(__xludf.DUMMYFUNCTION("""COMPUTED_VALUE"""),"Lakeshore Lightning Hockey")</f>
        <v>Lakeshore Lightning Hockey</v>
      </c>
      <c r="H961" s="26">
        <f t="shared" ca="1" si="1"/>
        <v>25</v>
      </c>
      <c r="I961" s="26">
        <f t="shared" ca="1" si="2"/>
        <v>1</v>
      </c>
      <c r="J961" s="86">
        <f t="shared" ca="1" si="3"/>
        <v>45056</v>
      </c>
      <c r="R961" s="26"/>
    </row>
    <row r="962" spans="1:18" ht="15.75" customHeight="1">
      <c r="A962" s="26">
        <f ca="1">IFERROR(__xludf.DUMMYFUNCTION("""COMPUTED_VALUE"""),18645)</f>
        <v>18645</v>
      </c>
      <c r="B962" s="86">
        <f ca="1">IFERROR(__xludf.DUMMYFUNCTION("""COMPUTED_VALUE"""),45056.9327662037)</f>
        <v>45056.932766203703</v>
      </c>
      <c r="C962" s="1" t="str">
        <f ca="1">IFERROR(__xludf.DUMMYFUNCTION("""COMPUTED_VALUE"""),"completed")</f>
        <v>completed</v>
      </c>
      <c r="D962" s="26">
        <f ca="1">IFERROR(__xludf.DUMMYFUNCTION("""COMPUTED_VALUE"""),25)</f>
        <v>25</v>
      </c>
      <c r="E962" s="1"/>
      <c r="F962" s="87" t="str">
        <f t="shared" ca="1" si="0"/>
        <v>2023</v>
      </c>
      <c r="G962" s="1" t="str">
        <f ca="1">IFERROR(__xludf.DUMMYFUNCTION("""COMPUTED_VALUE"""),"Lakeshore Lightning Hockey")</f>
        <v>Lakeshore Lightning Hockey</v>
      </c>
      <c r="H962" s="26">
        <f t="shared" ca="1" si="1"/>
        <v>25</v>
      </c>
      <c r="I962" s="26">
        <f t="shared" ca="1" si="2"/>
        <v>1</v>
      </c>
      <c r="J962" s="86">
        <f t="shared" ca="1" si="3"/>
        <v>45056</v>
      </c>
      <c r="R962" s="26"/>
    </row>
    <row r="963" spans="1:18" ht="15.75" customHeight="1">
      <c r="A963" s="26">
        <f ca="1">IFERROR(__xludf.DUMMYFUNCTION("""COMPUTED_VALUE"""),18644)</f>
        <v>18644</v>
      </c>
      <c r="B963" s="86">
        <f ca="1">IFERROR(__xludf.DUMMYFUNCTION("""COMPUTED_VALUE"""),45056.920324074)</f>
        <v>45056.920324074003</v>
      </c>
      <c r="C963" s="1" t="str">
        <f ca="1">IFERROR(__xludf.DUMMYFUNCTION("""COMPUTED_VALUE"""),"completed")</f>
        <v>completed</v>
      </c>
      <c r="D963" s="26">
        <f ca="1">IFERROR(__xludf.DUMMYFUNCTION("""COMPUTED_VALUE"""),20)</f>
        <v>20</v>
      </c>
      <c r="E963" s="1"/>
      <c r="F963" s="87" t="str">
        <f t="shared" ca="1" si="0"/>
        <v>2023</v>
      </c>
      <c r="G963" s="1" t="str">
        <f ca="1">IFERROR(__xludf.DUMMYFUNCTION("""COMPUTED_VALUE"""),"Lakeshore Lightning Hockey")</f>
        <v>Lakeshore Lightning Hockey</v>
      </c>
      <c r="H963" s="26">
        <f t="shared" ca="1" si="1"/>
        <v>20</v>
      </c>
      <c r="I963" s="26">
        <f t="shared" ca="1" si="2"/>
        <v>1</v>
      </c>
      <c r="J963" s="86">
        <f t="shared" ca="1" si="3"/>
        <v>45056</v>
      </c>
      <c r="R963" s="26"/>
    </row>
    <row r="964" spans="1:18" ht="15.75" customHeight="1">
      <c r="A964" s="26">
        <f ca="1">IFERROR(__xludf.DUMMYFUNCTION("""COMPUTED_VALUE"""),18643)</f>
        <v>18643</v>
      </c>
      <c r="B964" s="86">
        <f ca="1">IFERROR(__xludf.DUMMYFUNCTION("""COMPUTED_VALUE"""),45056.913761574)</f>
        <v>45056.913761573996</v>
      </c>
      <c r="C964" s="1" t="str">
        <f ca="1">IFERROR(__xludf.DUMMYFUNCTION("""COMPUTED_VALUE"""),"completed")</f>
        <v>completed</v>
      </c>
      <c r="D964" s="26">
        <f ca="1">IFERROR(__xludf.DUMMYFUNCTION("""COMPUTED_VALUE"""),25)</f>
        <v>25</v>
      </c>
      <c r="E964" s="1"/>
      <c r="F964" s="87" t="str">
        <f t="shared" ca="1" si="0"/>
        <v>2023</v>
      </c>
      <c r="G964" s="1" t="str">
        <f ca="1">IFERROR(__xludf.DUMMYFUNCTION("""COMPUTED_VALUE"""),"Lasalle Stompers")</f>
        <v>Lasalle Stompers</v>
      </c>
      <c r="H964" s="26">
        <f t="shared" ca="1" si="1"/>
        <v>25</v>
      </c>
      <c r="I964" s="26">
        <f t="shared" ca="1" si="2"/>
        <v>1</v>
      </c>
      <c r="J964" s="86">
        <f t="shared" ca="1" si="3"/>
        <v>45056</v>
      </c>
      <c r="R964" s="26"/>
    </row>
    <row r="965" spans="1:18" ht="15.75" customHeight="1">
      <c r="A965" s="26">
        <f ca="1">IFERROR(__xludf.DUMMYFUNCTION("""COMPUTED_VALUE"""),18642)</f>
        <v>18642</v>
      </c>
      <c r="B965" s="86">
        <f ca="1">IFERROR(__xludf.DUMMYFUNCTION("""COMPUTED_VALUE"""),45056.8669675925)</f>
        <v>45056.866967592498</v>
      </c>
      <c r="C965" s="1" t="str">
        <f ca="1">IFERROR(__xludf.DUMMYFUNCTION("""COMPUTED_VALUE"""),"completed")</f>
        <v>completed</v>
      </c>
      <c r="D965" s="26">
        <f ca="1">IFERROR(__xludf.DUMMYFUNCTION("""COMPUTED_VALUE"""),15)</f>
        <v>15</v>
      </c>
      <c r="E965" s="1"/>
      <c r="F965" s="87" t="str">
        <f t="shared" ca="1" si="0"/>
        <v>2023</v>
      </c>
      <c r="G965" s="1" t="str">
        <f ca="1">IFERROR(__xludf.DUMMYFUNCTION("""COMPUTED_VALUE"""),"Lakeshore Lightning Hockey")</f>
        <v>Lakeshore Lightning Hockey</v>
      </c>
      <c r="H965" s="26">
        <f t="shared" ca="1" si="1"/>
        <v>15</v>
      </c>
      <c r="I965" s="26">
        <f t="shared" ca="1" si="2"/>
        <v>1</v>
      </c>
      <c r="J965" s="86">
        <f t="shared" ca="1" si="3"/>
        <v>45056</v>
      </c>
      <c r="R965" s="26"/>
    </row>
    <row r="966" spans="1:18" ht="15.75" customHeight="1">
      <c r="A966" s="26">
        <f ca="1">IFERROR(__xludf.DUMMYFUNCTION("""COMPUTED_VALUE"""),18641)</f>
        <v>18641</v>
      </c>
      <c r="B966" s="86">
        <f ca="1">IFERROR(__xludf.DUMMYFUNCTION("""COMPUTED_VALUE"""),45056.0194907407)</f>
        <v>45056.019490740699</v>
      </c>
      <c r="C966" s="1" t="str">
        <f ca="1">IFERROR(__xludf.DUMMYFUNCTION("""COMPUTED_VALUE"""),"completed")</f>
        <v>completed</v>
      </c>
      <c r="D966" s="26">
        <f ca="1">IFERROR(__xludf.DUMMYFUNCTION("""COMPUTED_VALUE"""),55)</f>
        <v>55</v>
      </c>
      <c r="E966" s="1"/>
      <c r="F966" s="87" t="str">
        <f t="shared" ca="1" si="0"/>
        <v>2023</v>
      </c>
      <c r="G966" s="1" t="str">
        <f ca="1">IFERROR(__xludf.DUMMYFUNCTION("""COMPUTED_VALUE"""),"Lakeshore Lightning Hockey")</f>
        <v>Lakeshore Lightning Hockey</v>
      </c>
      <c r="H966" s="26">
        <f t="shared" ca="1" si="1"/>
        <v>55</v>
      </c>
      <c r="I966" s="26">
        <f t="shared" ca="1" si="2"/>
        <v>1</v>
      </c>
      <c r="J966" s="86">
        <f t="shared" ca="1" si="3"/>
        <v>45056</v>
      </c>
      <c r="R966" s="26"/>
    </row>
    <row r="967" spans="1:18" ht="15.75" customHeight="1">
      <c r="A967" s="26">
        <f ca="1">IFERROR(__xludf.DUMMYFUNCTION("""COMPUTED_VALUE"""),18640)</f>
        <v>18640</v>
      </c>
      <c r="B967" s="86">
        <f ca="1">IFERROR(__xludf.DUMMYFUNCTION("""COMPUTED_VALUE"""),45055.9971296295)</f>
        <v>45055.997129629599</v>
      </c>
      <c r="C967" s="1" t="str">
        <f ca="1">IFERROR(__xludf.DUMMYFUNCTION("""COMPUTED_VALUE"""),"completed")</f>
        <v>completed</v>
      </c>
      <c r="D967" s="26">
        <f ca="1">IFERROR(__xludf.DUMMYFUNCTION("""COMPUTED_VALUE"""),28)</f>
        <v>28</v>
      </c>
      <c r="E967" s="1"/>
      <c r="F967" s="87" t="str">
        <f t="shared" ca="1" si="0"/>
        <v>2023</v>
      </c>
      <c r="G967" s="1" t="str">
        <f ca="1">IFERROR(__xludf.DUMMYFUNCTION("""COMPUTED_VALUE"""),"Lakeshore Lightning Hockey")</f>
        <v>Lakeshore Lightning Hockey</v>
      </c>
      <c r="H967" s="26">
        <f t="shared" ca="1" si="1"/>
        <v>28</v>
      </c>
      <c r="I967" s="26">
        <f t="shared" ca="1" si="2"/>
        <v>1</v>
      </c>
      <c r="J967" s="86">
        <f t="shared" ca="1" si="3"/>
        <v>45055</v>
      </c>
      <c r="R967" s="26"/>
    </row>
    <row r="968" spans="1:18" ht="15.75" customHeight="1">
      <c r="A968" s="26">
        <f ca="1">IFERROR(__xludf.DUMMYFUNCTION("""COMPUTED_VALUE"""),18639)</f>
        <v>18639</v>
      </c>
      <c r="B968" s="86">
        <f ca="1">IFERROR(__xludf.DUMMYFUNCTION("""COMPUTED_VALUE"""),45055.973761574)</f>
        <v>45055.973761574001</v>
      </c>
      <c r="C968" s="1" t="str">
        <f ca="1">IFERROR(__xludf.DUMMYFUNCTION("""COMPUTED_VALUE"""),"completed")</f>
        <v>completed</v>
      </c>
      <c r="D968" s="26">
        <f ca="1">IFERROR(__xludf.DUMMYFUNCTION("""COMPUTED_VALUE"""),83)</f>
        <v>83</v>
      </c>
      <c r="E968" s="1"/>
      <c r="F968" s="87" t="str">
        <f t="shared" ca="1" si="0"/>
        <v>2023</v>
      </c>
      <c r="G968" s="1" t="str">
        <f ca="1">IFERROR(__xludf.DUMMYFUNCTION("""COMPUTED_VALUE"""),"Lakeshore Lightning Hockey")</f>
        <v>Lakeshore Lightning Hockey</v>
      </c>
      <c r="H968" s="26">
        <f t="shared" ca="1" si="1"/>
        <v>83</v>
      </c>
      <c r="I968" s="26">
        <f t="shared" ca="1" si="2"/>
        <v>1</v>
      </c>
      <c r="J968" s="86">
        <f t="shared" ca="1" si="3"/>
        <v>45055</v>
      </c>
      <c r="R968" s="26"/>
    </row>
    <row r="969" spans="1:18" ht="15.75" customHeight="1">
      <c r="A969" s="26">
        <f ca="1">IFERROR(__xludf.DUMMYFUNCTION("""COMPUTED_VALUE"""),18638)</f>
        <v>18638</v>
      </c>
      <c r="B969" s="86">
        <f ca="1">IFERROR(__xludf.DUMMYFUNCTION("""COMPUTED_VALUE"""),45055.9631134259)</f>
        <v>45055.963113425903</v>
      </c>
      <c r="C969" s="1" t="str">
        <f ca="1">IFERROR(__xludf.DUMMYFUNCTION("""COMPUTED_VALUE"""),"completed")</f>
        <v>completed</v>
      </c>
      <c r="D969" s="26">
        <f ca="1">IFERROR(__xludf.DUMMYFUNCTION("""COMPUTED_VALUE"""),20)</f>
        <v>20</v>
      </c>
      <c r="E969" s="1"/>
      <c r="F969" s="87" t="str">
        <f t="shared" ca="1" si="0"/>
        <v>2023</v>
      </c>
      <c r="G969" s="1" t="str">
        <f ca="1">IFERROR(__xludf.DUMMYFUNCTION("""COMPUTED_VALUE"""),"Lakeshore Lightning Hockey")</f>
        <v>Lakeshore Lightning Hockey</v>
      </c>
      <c r="H969" s="26">
        <f t="shared" ca="1" si="1"/>
        <v>20</v>
      </c>
      <c r="I969" s="26">
        <f t="shared" ca="1" si="2"/>
        <v>1</v>
      </c>
      <c r="J969" s="86">
        <f t="shared" ca="1" si="3"/>
        <v>45055</v>
      </c>
      <c r="R969" s="26"/>
    </row>
    <row r="970" spans="1:18" ht="15.75" customHeight="1">
      <c r="A970" s="26">
        <f ca="1">IFERROR(__xludf.DUMMYFUNCTION("""COMPUTED_VALUE"""),18637)</f>
        <v>18637</v>
      </c>
      <c r="B970" s="86">
        <f ca="1">IFERROR(__xludf.DUMMYFUNCTION("""COMPUTED_VALUE"""),45055.9603356481)</f>
        <v>45055.960335648102</v>
      </c>
      <c r="C970" s="1" t="str">
        <f ca="1">IFERROR(__xludf.DUMMYFUNCTION("""COMPUTED_VALUE"""),"completed")</f>
        <v>completed</v>
      </c>
      <c r="D970" s="26">
        <f ca="1">IFERROR(__xludf.DUMMYFUNCTION("""COMPUTED_VALUE"""),25)</f>
        <v>25</v>
      </c>
      <c r="E970" s="1"/>
      <c r="F970" s="87" t="str">
        <f t="shared" ca="1" si="0"/>
        <v>2023</v>
      </c>
      <c r="G970" s="1" t="str">
        <f ca="1">IFERROR(__xludf.DUMMYFUNCTION("""COMPUTED_VALUE"""),"Lakeshore Lightning Hockey")</f>
        <v>Lakeshore Lightning Hockey</v>
      </c>
      <c r="H970" s="26">
        <f t="shared" ca="1" si="1"/>
        <v>25</v>
      </c>
      <c r="I970" s="26">
        <f t="shared" ca="1" si="2"/>
        <v>1</v>
      </c>
      <c r="J970" s="86">
        <f t="shared" ca="1" si="3"/>
        <v>45055</v>
      </c>
      <c r="R970" s="26"/>
    </row>
    <row r="971" spans="1:18" ht="15.75" customHeight="1">
      <c r="A971" s="26">
        <f ca="1">IFERROR(__xludf.DUMMYFUNCTION("""COMPUTED_VALUE"""),18636)</f>
        <v>18636</v>
      </c>
      <c r="B971" s="86">
        <f ca="1">IFERROR(__xludf.DUMMYFUNCTION("""COMPUTED_VALUE"""),45055.9563888888)</f>
        <v>45055.956388888801</v>
      </c>
      <c r="C971" s="1" t="str">
        <f ca="1">IFERROR(__xludf.DUMMYFUNCTION("""COMPUTED_VALUE"""),"on-hold")</f>
        <v>on-hold</v>
      </c>
      <c r="D971" s="26">
        <f ca="1">IFERROR(__xludf.DUMMYFUNCTION("""COMPUTED_VALUE"""),25)</f>
        <v>25</v>
      </c>
      <c r="E971" s="1"/>
      <c r="F971" s="87" t="str">
        <f t="shared" ca="1" si="0"/>
        <v>2023</v>
      </c>
      <c r="G971" s="1" t="str">
        <f ca="1">IFERROR(__xludf.DUMMYFUNCTION("""COMPUTED_VALUE"""),"Lakeshore Lightning Hockey")</f>
        <v>Lakeshore Lightning Hockey</v>
      </c>
      <c r="H971" s="26">
        <f t="shared" ca="1" si="1"/>
        <v>25</v>
      </c>
      <c r="I971" s="26">
        <f t="shared" ca="1" si="2"/>
        <v>1</v>
      </c>
      <c r="J971" s="86">
        <f t="shared" ca="1" si="3"/>
        <v>45055</v>
      </c>
      <c r="R971" s="26"/>
    </row>
    <row r="972" spans="1:18" ht="15.75" customHeight="1">
      <c r="A972" s="26">
        <f ca="1">IFERROR(__xludf.DUMMYFUNCTION("""COMPUTED_VALUE"""),18635)</f>
        <v>18635</v>
      </c>
      <c r="B972" s="86">
        <f ca="1">IFERROR(__xludf.DUMMYFUNCTION("""COMPUTED_VALUE"""),45055.9303587962)</f>
        <v>45055.930358796199</v>
      </c>
      <c r="C972" s="1" t="str">
        <f ca="1">IFERROR(__xludf.DUMMYFUNCTION("""COMPUTED_VALUE"""),"draftpics-created")</f>
        <v>draftpics-created</v>
      </c>
      <c r="D972" s="26">
        <f ca="1">IFERROR(__xludf.DUMMYFUNCTION("""COMPUTED_VALUE"""),35)</f>
        <v>35</v>
      </c>
      <c r="E972" s="1"/>
      <c r="F972" s="87" t="str">
        <f t="shared" ca="1" si="0"/>
        <v>2023</v>
      </c>
      <c r="G972" s="1" t="str">
        <f ca="1">IFERROR(__xludf.DUMMYFUNCTION("""COMPUTED_VALUE"""),"Lakeshore Lightning Hockey")</f>
        <v>Lakeshore Lightning Hockey</v>
      </c>
      <c r="H972" s="26">
        <f t="shared" ca="1" si="1"/>
        <v>35</v>
      </c>
      <c r="I972" s="26">
        <f t="shared" ca="1" si="2"/>
        <v>1</v>
      </c>
      <c r="J972" s="86">
        <f t="shared" ca="1" si="3"/>
        <v>45055</v>
      </c>
      <c r="R972" s="26"/>
    </row>
    <row r="973" spans="1:18" ht="15.75" customHeight="1">
      <c r="A973" s="26">
        <f ca="1">IFERROR(__xludf.DUMMYFUNCTION("""COMPUTED_VALUE"""),18634)</f>
        <v>18634</v>
      </c>
      <c r="B973" s="86">
        <f ca="1">IFERROR(__xludf.DUMMYFUNCTION("""COMPUTED_VALUE"""),45055.9278587963)</f>
        <v>45055.927858796298</v>
      </c>
      <c r="C973" s="1" t="str">
        <f ca="1">IFERROR(__xludf.DUMMYFUNCTION("""COMPUTED_VALUE"""),"completed")</f>
        <v>completed</v>
      </c>
      <c r="D973" s="26">
        <f ca="1">IFERROR(__xludf.DUMMYFUNCTION("""COMPUTED_VALUE"""),20)</f>
        <v>20</v>
      </c>
      <c r="E973" s="1"/>
      <c r="F973" s="87" t="str">
        <f t="shared" ca="1" si="0"/>
        <v>2023</v>
      </c>
      <c r="G973" s="1" t="str">
        <f ca="1">IFERROR(__xludf.DUMMYFUNCTION("""COMPUTED_VALUE"""),"Lakeshore Lightning Hockey")</f>
        <v>Lakeshore Lightning Hockey</v>
      </c>
      <c r="H973" s="26">
        <f t="shared" ca="1" si="1"/>
        <v>20</v>
      </c>
      <c r="I973" s="26">
        <f t="shared" ca="1" si="2"/>
        <v>1</v>
      </c>
      <c r="J973" s="86">
        <f t="shared" ca="1" si="3"/>
        <v>45055</v>
      </c>
      <c r="R973" s="26"/>
    </row>
    <row r="974" spans="1:18" ht="15.75" customHeight="1">
      <c r="A974" s="26">
        <f ca="1">IFERROR(__xludf.DUMMYFUNCTION("""COMPUTED_VALUE"""),18633)</f>
        <v>18633</v>
      </c>
      <c r="B974" s="86">
        <f ca="1">IFERROR(__xludf.DUMMYFUNCTION("""COMPUTED_VALUE"""),45055.9184953703)</f>
        <v>45055.918495370301</v>
      </c>
      <c r="C974" s="1" t="str">
        <f ca="1">IFERROR(__xludf.DUMMYFUNCTION("""COMPUTED_VALUE"""),"completed")</f>
        <v>completed</v>
      </c>
      <c r="D974" s="26">
        <f ca="1">IFERROR(__xludf.DUMMYFUNCTION("""COMPUTED_VALUE"""),25)</f>
        <v>25</v>
      </c>
      <c r="E974" s="1"/>
      <c r="F974" s="87" t="str">
        <f t="shared" ca="1" si="0"/>
        <v>2023</v>
      </c>
      <c r="G974" s="1" t="str">
        <f ca="1">IFERROR(__xludf.DUMMYFUNCTION("""COMPUTED_VALUE"""),"WMFA")</f>
        <v>WMFA</v>
      </c>
      <c r="H974" s="26">
        <f t="shared" ca="1" si="1"/>
        <v>25</v>
      </c>
      <c r="I974" s="26">
        <f t="shared" ca="1" si="2"/>
        <v>1</v>
      </c>
      <c r="J974" s="86">
        <f t="shared" ca="1" si="3"/>
        <v>45055</v>
      </c>
      <c r="R974" s="26"/>
    </row>
    <row r="975" spans="1:18" ht="15.75" customHeight="1">
      <c r="A975" s="26">
        <f ca="1">IFERROR(__xludf.DUMMYFUNCTION("""COMPUTED_VALUE"""),18632)</f>
        <v>18632</v>
      </c>
      <c r="B975" s="86">
        <f ca="1">IFERROR(__xludf.DUMMYFUNCTION("""COMPUTED_VALUE"""),45055.9171527777)</f>
        <v>45055.9171527777</v>
      </c>
      <c r="C975" s="1" t="str">
        <f ca="1">IFERROR(__xludf.DUMMYFUNCTION("""COMPUTED_VALUE"""),"completed")</f>
        <v>completed</v>
      </c>
      <c r="D975" s="26">
        <f ca="1">IFERROR(__xludf.DUMMYFUNCTION("""COMPUTED_VALUE"""),15)</f>
        <v>15</v>
      </c>
      <c r="E975" s="1"/>
      <c r="F975" s="87" t="str">
        <f t="shared" ca="1" si="0"/>
        <v>2023</v>
      </c>
      <c r="G975" s="1" t="str">
        <f ca="1">IFERROR(__xludf.DUMMYFUNCTION("""COMPUTED_VALUE"""),"Lakeshore Lightning Hockey")</f>
        <v>Lakeshore Lightning Hockey</v>
      </c>
      <c r="H975" s="26">
        <f t="shared" ca="1" si="1"/>
        <v>15</v>
      </c>
      <c r="I975" s="26">
        <f t="shared" ca="1" si="2"/>
        <v>1</v>
      </c>
      <c r="J975" s="86">
        <f t="shared" ca="1" si="3"/>
        <v>45055</v>
      </c>
      <c r="R975" s="26"/>
    </row>
    <row r="976" spans="1:18" ht="15.75" customHeight="1">
      <c r="A976" s="26">
        <f ca="1">IFERROR(__xludf.DUMMYFUNCTION("""COMPUTED_VALUE"""),18631)</f>
        <v>18631</v>
      </c>
      <c r="B976" s="86">
        <f ca="1">IFERROR(__xludf.DUMMYFUNCTION("""COMPUTED_VALUE"""),45055.9169328703)</f>
        <v>45055.916932870299</v>
      </c>
      <c r="C976" s="1" t="str">
        <f ca="1">IFERROR(__xludf.DUMMYFUNCTION("""COMPUTED_VALUE"""),"draftpics-created")</f>
        <v>draftpics-created</v>
      </c>
      <c r="D976" s="26">
        <f ca="1">IFERROR(__xludf.DUMMYFUNCTION("""COMPUTED_VALUE"""),25)</f>
        <v>25</v>
      </c>
      <c r="E976" s="1"/>
      <c r="F976" s="87" t="str">
        <f t="shared" ca="1" si="0"/>
        <v>2023</v>
      </c>
      <c r="G976" s="1" t="str">
        <f ca="1">IFERROR(__xludf.DUMMYFUNCTION("""COMPUTED_VALUE"""),"Lakeshore Lightning Hockey")</f>
        <v>Lakeshore Lightning Hockey</v>
      </c>
      <c r="H976" s="26">
        <f t="shared" ca="1" si="1"/>
        <v>25</v>
      </c>
      <c r="I976" s="26">
        <f t="shared" ca="1" si="2"/>
        <v>1</v>
      </c>
      <c r="J976" s="86">
        <f t="shared" ca="1" si="3"/>
        <v>45055</v>
      </c>
      <c r="R976" s="26"/>
    </row>
    <row r="977" spans="1:18" ht="15.75" customHeight="1">
      <c r="A977" s="26">
        <f ca="1">IFERROR(__xludf.DUMMYFUNCTION("""COMPUTED_VALUE"""),18630)</f>
        <v>18630</v>
      </c>
      <c r="B977" s="86">
        <f ca="1">IFERROR(__xludf.DUMMYFUNCTION("""COMPUTED_VALUE"""),45055.911875)</f>
        <v>45055.911874999998</v>
      </c>
      <c r="C977" s="1" t="str">
        <f ca="1">IFERROR(__xludf.DUMMYFUNCTION("""COMPUTED_VALUE"""),"completed")</f>
        <v>completed</v>
      </c>
      <c r="D977" s="26">
        <f ca="1">IFERROR(__xludf.DUMMYFUNCTION("""COMPUTED_VALUE"""),20)</f>
        <v>20</v>
      </c>
      <c r="E977" s="1"/>
      <c r="F977" s="87" t="str">
        <f t="shared" ca="1" si="0"/>
        <v>2023</v>
      </c>
      <c r="G977" s="1" t="str">
        <f ca="1">IFERROR(__xludf.DUMMYFUNCTION("""COMPUTED_VALUE"""),"Lakeshore Lightning Hockey")</f>
        <v>Lakeshore Lightning Hockey</v>
      </c>
      <c r="H977" s="26">
        <f t="shared" ca="1" si="1"/>
        <v>20</v>
      </c>
      <c r="I977" s="26">
        <f t="shared" ca="1" si="2"/>
        <v>1</v>
      </c>
      <c r="J977" s="86">
        <f t="shared" ca="1" si="3"/>
        <v>45055</v>
      </c>
      <c r="R977" s="26"/>
    </row>
    <row r="978" spans="1:18" ht="15.75" customHeight="1">
      <c r="A978" s="26">
        <f ca="1">IFERROR(__xludf.DUMMYFUNCTION("""COMPUTED_VALUE"""),18628)</f>
        <v>18628</v>
      </c>
      <c r="B978" s="86">
        <f ca="1">IFERROR(__xludf.DUMMYFUNCTION("""COMPUTED_VALUE"""),45055.9076736111)</f>
        <v>45055.907673611102</v>
      </c>
      <c r="C978" s="1" t="str">
        <f ca="1">IFERROR(__xludf.DUMMYFUNCTION("""COMPUTED_VALUE"""),"completed")</f>
        <v>completed</v>
      </c>
      <c r="D978" s="26">
        <f ca="1">IFERROR(__xludf.DUMMYFUNCTION("""COMPUTED_VALUE"""),25)</f>
        <v>25</v>
      </c>
      <c r="E978" s="1"/>
      <c r="F978" s="87" t="str">
        <f t="shared" ca="1" si="0"/>
        <v>2023</v>
      </c>
      <c r="G978" s="1" t="str">
        <f ca="1">IFERROR(__xludf.DUMMYFUNCTION("""COMPUTED_VALUE"""),"Lakeshore Lightning Hockey")</f>
        <v>Lakeshore Lightning Hockey</v>
      </c>
      <c r="H978" s="26">
        <f t="shared" ca="1" si="1"/>
        <v>25</v>
      </c>
      <c r="I978" s="26">
        <f t="shared" ca="1" si="2"/>
        <v>1</v>
      </c>
      <c r="J978" s="86">
        <f t="shared" ca="1" si="3"/>
        <v>45055</v>
      </c>
      <c r="R978" s="26"/>
    </row>
    <row r="979" spans="1:18" ht="15.75" customHeight="1">
      <c r="A979" s="26">
        <f ca="1">IFERROR(__xludf.DUMMYFUNCTION("""COMPUTED_VALUE"""),18627)</f>
        <v>18627</v>
      </c>
      <c r="B979" s="86">
        <f ca="1">IFERROR(__xludf.DUMMYFUNCTION("""COMPUTED_VALUE"""),45055.8985300925)</f>
        <v>45055.898530092498</v>
      </c>
      <c r="C979" s="1" t="str">
        <f ca="1">IFERROR(__xludf.DUMMYFUNCTION("""COMPUTED_VALUE"""),"draftpics-created")</f>
        <v>draftpics-created</v>
      </c>
      <c r="D979" s="26">
        <f ca="1">IFERROR(__xludf.DUMMYFUNCTION("""COMPUTED_VALUE"""),38)</f>
        <v>38</v>
      </c>
      <c r="E979" s="1"/>
      <c r="F979" s="87" t="str">
        <f t="shared" ca="1" si="0"/>
        <v>2023</v>
      </c>
      <c r="G979" s="1" t="str">
        <f ca="1">IFERROR(__xludf.DUMMYFUNCTION("""COMPUTED_VALUE"""),"Lakeshore Lightning Hockey")</f>
        <v>Lakeshore Lightning Hockey</v>
      </c>
      <c r="H979" s="26">
        <f t="shared" ca="1" si="1"/>
        <v>38</v>
      </c>
      <c r="I979" s="26">
        <f t="shared" ca="1" si="2"/>
        <v>1</v>
      </c>
      <c r="J979" s="86">
        <f t="shared" ca="1" si="3"/>
        <v>45055</v>
      </c>
      <c r="R979" s="26"/>
    </row>
    <row r="980" spans="1:18" ht="15.75" customHeight="1">
      <c r="A980" s="26">
        <f ca="1">IFERROR(__xludf.DUMMYFUNCTION("""COMPUTED_VALUE"""),18626)</f>
        <v>18626</v>
      </c>
      <c r="B980" s="86">
        <f ca="1">IFERROR(__xludf.DUMMYFUNCTION("""COMPUTED_VALUE"""),45055.8892476851)</f>
        <v>45055.889247685103</v>
      </c>
      <c r="C980" s="1" t="str">
        <f ca="1">IFERROR(__xludf.DUMMYFUNCTION("""COMPUTED_VALUE"""),"completed")</f>
        <v>completed</v>
      </c>
      <c r="D980" s="26">
        <f ca="1">IFERROR(__xludf.DUMMYFUNCTION("""COMPUTED_VALUE"""),18)</f>
        <v>18</v>
      </c>
      <c r="E980" s="1"/>
      <c r="F980" s="87" t="str">
        <f t="shared" ca="1" si="0"/>
        <v>2023</v>
      </c>
      <c r="G980" s="1" t="str">
        <f ca="1">IFERROR(__xludf.DUMMYFUNCTION("""COMPUTED_VALUE"""),"Lakeshore Lightning Hockey")</f>
        <v>Lakeshore Lightning Hockey</v>
      </c>
      <c r="H980" s="26">
        <f t="shared" ca="1" si="1"/>
        <v>18</v>
      </c>
      <c r="I980" s="26">
        <f t="shared" ca="1" si="2"/>
        <v>1</v>
      </c>
      <c r="J980" s="86">
        <f t="shared" ca="1" si="3"/>
        <v>45055</v>
      </c>
      <c r="R980" s="26"/>
    </row>
    <row r="981" spans="1:18" ht="15.75" customHeight="1">
      <c r="A981" s="26">
        <f ca="1">IFERROR(__xludf.DUMMYFUNCTION("""COMPUTED_VALUE"""),18625)</f>
        <v>18625</v>
      </c>
      <c r="B981" s="86">
        <f ca="1">IFERROR(__xludf.DUMMYFUNCTION("""COMPUTED_VALUE"""),45055.8733217592)</f>
        <v>45055.873321759202</v>
      </c>
      <c r="C981" s="1" t="str">
        <f ca="1">IFERROR(__xludf.DUMMYFUNCTION("""COMPUTED_VALUE"""),"completed")</f>
        <v>completed</v>
      </c>
      <c r="D981" s="26">
        <f ca="1">IFERROR(__xludf.DUMMYFUNCTION("""COMPUTED_VALUE"""),28)</f>
        <v>28</v>
      </c>
      <c r="E981" s="1"/>
      <c r="F981" s="87" t="str">
        <f t="shared" ca="1" si="0"/>
        <v>2023</v>
      </c>
      <c r="G981" s="1" t="str">
        <f ca="1">IFERROR(__xludf.DUMMYFUNCTION("""COMPUTED_VALUE"""),"Lakeshore Lightning Hockey")</f>
        <v>Lakeshore Lightning Hockey</v>
      </c>
      <c r="H981" s="26">
        <f t="shared" ca="1" si="1"/>
        <v>28</v>
      </c>
      <c r="I981" s="26">
        <f t="shared" ca="1" si="2"/>
        <v>1</v>
      </c>
      <c r="J981" s="86">
        <f t="shared" ca="1" si="3"/>
        <v>45055</v>
      </c>
      <c r="R981" s="26"/>
    </row>
    <row r="982" spans="1:18" ht="15.75" customHeight="1">
      <c r="A982" s="26">
        <f ca="1">IFERROR(__xludf.DUMMYFUNCTION("""COMPUTED_VALUE"""),18624)</f>
        <v>18624</v>
      </c>
      <c r="B982" s="86">
        <f ca="1">IFERROR(__xludf.DUMMYFUNCTION("""COMPUTED_VALUE"""),45055.8587152777)</f>
        <v>45055.858715277704</v>
      </c>
      <c r="C982" s="1" t="str">
        <f ca="1">IFERROR(__xludf.DUMMYFUNCTION("""COMPUTED_VALUE"""),"completed")</f>
        <v>completed</v>
      </c>
      <c r="D982" s="26">
        <f ca="1">IFERROR(__xludf.DUMMYFUNCTION("""COMPUTED_VALUE"""),18)</f>
        <v>18</v>
      </c>
      <c r="E982" s="1"/>
      <c r="F982" s="87" t="str">
        <f t="shared" ca="1" si="0"/>
        <v>2023</v>
      </c>
      <c r="G982" s="1" t="str">
        <f ca="1">IFERROR(__xludf.DUMMYFUNCTION("""COMPUTED_VALUE"""),"Lakeshore Lightning Hockey")</f>
        <v>Lakeshore Lightning Hockey</v>
      </c>
      <c r="H982" s="26">
        <f t="shared" ca="1" si="1"/>
        <v>18</v>
      </c>
      <c r="I982" s="26">
        <f t="shared" ca="1" si="2"/>
        <v>1</v>
      </c>
      <c r="J982" s="86">
        <f t="shared" ca="1" si="3"/>
        <v>45055</v>
      </c>
      <c r="R982" s="26"/>
    </row>
    <row r="983" spans="1:18" ht="15.75" customHeight="1">
      <c r="A983" s="26">
        <f ca="1">IFERROR(__xludf.DUMMYFUNCTION("""COMPUTED_VALUE"""),18623)</f>
        <v>18623</v>
      </c>
      <c r="B983" s="86">
        <f ca="1">IFERROR(__xludf.DUMMYFUNCTION("""COMPUTED_VALUE"""),45055.7917013888)</f>
        <v>45055.7917013888</v>
      </c>
      <c r="C983" s="1" t="str">
        <f ca="1">IFERROR(__xludf.DUMMYFUNCTION("""COMPUTED_VALUE"""),"draftpics-created")</f>
        <v>draftpics-created</v>
      </c>
      <c r="D983" s="26">
        <f ca="1">IFERROR(__xludf.DUMMYFUNCTION("""COMPUTED_VALUE"""),20)</f>
        <v>20</v>
      </c>
      <c r="E983" s="1"/>
      <c r="F983" s="87" t="str">
        <f t="shared" ca="1" si="0"/>
        <v>2023</v>
      </c>
      <c r="G983" s="1" t="str">
        <f ca="1">IFERROR(__xludf.DUMMYFUNCTION("""COMPUTED_VALUE"""),"Lakeshore Lightning Hockey")</f>
        <v>Lakeshore Lightning Hockey</v>
      </c>
      <c r="H983" s="26">
        <f t="shared" ca="1" si="1"/>
        <v>20</v>
      </c>
      <c r="I983" s="26">
        <f t="shared" ca="1" si="2"/>
        <v>1</v>
      </c>
      <c r="J983" s="86">
        <f t="shared" ca="1" si="3"/>
        <v>45055</v>
      </c>
      <c r="R983" s="26"/>
    </row>
    <row r="984" spans="1:18" ht="15.75" customHeight="1">
      <c r="A984" s="26">
        <f ca="1">IFERROR(__xludf.DUMMYFUNCTION("""COMPUTED_VALUE"""),18622)</f>
        <v>18622</v>
      </c>
      <c r="B984" s="86">
        <f ca="1">IFERROR(__xludf.DUMMYFUNCTION("""COMPUTED_VALUE"""),45055.5997569444)</f>
        <v>45055.599756944401</v>
      </c>
      <c r="C984" s="1" t="str">
        <f ca="1">IFERROR(__xludf.DUMMYFUNCTION("""COMPUTED_VALUE"""),"completed")</f>
        <v>completed</v>
      </c>
      <c r="D984" s="26">
        <f ca="1">IFERROR(__xludf.DUMMYFUNCTION("""COMPUTED_VALUE"""),25)</f>
        <v>25</v>
      </c>
      <c r="E984" s="1"/>
      <c r="F984" s="87" t="str">
        <f t="shared" ca="1" si="0"/>
        <v>2023</v>
      </c>
      <c r="G984" s="1" t="str">
        <f ca="1">IFERROR(__xludf.DUMMYFUNCTION("""COMPUTED_VALUE"""),"Lakeshore Lightning Hockey")</f>
        <v>Lakeshore Lightning Hockey</v>
      </c>
      <c r="H984" s="26">
        <f t="shared" ca="1" si="1"/>
        <v>25</v>
      </c>
      <c r="I984" s="26">
        <f t="shared" ca="1" si="2"/>
        <v>1</v>
      </c>
      <c r="J984" s="86">
        <f t="shared" ca="1" si="3"/>
        <v>45055</v>
      </c>
      <c r="R984" s="26"/>
    </row>
    <row r="985" spans="1:18" ht="15.75" customHeight="1">
      <c r="A985" s="26">
        <f ca="1">IFERROR(__xludf.DUMMYFUNCTION("""COMPUTED_VALUE"""),18615)</f>
        <v>18615</v>
      </c>
      <c r="B985" s="86">
        <f ca="1">IFERROR(__xludf.DUMMYFUNCTION("""COMPUTED_VALUE"""),45055.0862037037)</f>
        <v>45055.0862037037</v>
      </c>
      <c r="C985" s="1" t="str">
        <f ca="1">IFERROR(__xludf.DUMMYFUNCTION("""COMPUTED_VALUE"""),"completed")</f>
        <v>completed</v>
      </c>
      <c r="D985" s="26">
        <f ca="1">IFERROR(__xludf.DUMMYFUNCTION("""COMPUTED_VALUE"""),25)</f>
        <v>25</v>
      </c>
      <c r="E985" s="1"/>
      <c r="F985" s="87" t="str">
        <f t="shared" ca="1" si="0"/>
        <v>2023</v>
      </c>
      <c r="G985" s="1" t="str">
        <f ca="1">IFERROR(__xludf.DUMMYFUNCTION("""COMPUTED_VALUE"""),"Lakeshore Lightning Hockey")</f>
        <v>Lakeshore Lightning Hockey</v>
      </c>
      <c r="H985" s="26">
        <f t="shared" ca="1" si="1"/>
        <v>25</v>
      </c>
      <c r="I985" s="26">
        <f t="shared" ca="1" si="2"/>
        <v>1</v>
      </c>
      <c r="J985" s="86">
        <f t="shared" ca="1" si="3"/>
        <v>45055</v>
      </c>
      <c r="R985" s="26"/>
    </row>
    <row r="986" spans="1:18" ht="15.75" customHeight="1">
      <c r="A986" s="26">
        <f ca="1">IFERROR(__xludf.DUMMYFUNCTION("""COMPUTED_VALUE"""),18462)</f>
        <v>18462</v>
      </c>
      <c r="B986" s="86">
        <f ca="1">IFERROR(__xludf.DUMMYFUNCTION("""COMPUTED_VALUE"""),45051.6161458333)</f>
        <v>45051.616145833301</v>
      </c>
      <c r="C986" s="1" t="str">
        <f ca="1">IFERROR(__xludf.DUMMYFUNCTION("""COMPUTED_VALUE"""),"completed")</f>
        <v>completed</v>
      </c>
      <c r="D986" s="26">
        <f ca="1">IFERROR(__xludf.DUMMYFUNCTION("""COMPUTED_VALUE"""),0)</f>
        <v>0</v>
      </c>
      <c r="E986" s="1"/>
      <c r="F986" s="87" t="str">
        <f t="shared" ca="1" si="0"/>
        <v>2023</v>
      </c>
      <c r="G986" s="1" t="str">
        <f ca="1">IFERROR(__xludf.DUMMYFUNCTION("""COMPUTED_VALUE"""),"Lakeshore Lightning Hockey")</f>
        <v>Lakeshore Lightning Hockey</v>
      </c>
      <c r="H986" s="26">
        <f t="shared" ca="1" si="1"/>
        <v>0</v>
      </c>
      <c r="I986" s="26">
        <f t="shared" ca="1" si="2"/>
        <v>1</v>
      </c>
      <c r="J986" s="86">
        <f t="shared" ca="1" si="3"/>
        <v>45051</v>
      </c>
      <c r="R986" s="26"/>
    </row>
    <row r="987" spans="1:18" ht="15.75" customHeight="1">
      <c r="A987" s="26">
        <f ca="1">IFERROR(__xludf.DUMMYFUNCTION("""COMPUTED_VALUE"""),18406)</f>
        <v>18406</v>
      </c>
      <c r="B987" s="86">
        <f ca="1">IFERROR(__xludf.DUMMYFUNCTION("""COMPUTED_VALUE"""),45047.6876388888)</f>
        <v>45047.687638888798</v>
      </c>
      <c r="C987" s="1" t="str">
        <f ca="1">IFERROR(__xludf.DUMMYFUNCTION("""COMPUTED_VALUE"""),"completed")</f>
        <v>completed</v>
      </c>
      <c r="D987" s="26">
        <f ca="1">IFERROR(__xludf.DUMMYFUNCTION("""COMPUTED_VALUE"""),420)</f>
        <v>420</v>
      </c>
      <c r="E987" s="1"/>
      <c r="F987" s="87" t="str">
        <f t="shared" ca="1" si="0"/>
        <v>2023</v>
      </c>
      <c r="G987" s="1" t="str">
        <f ca="1">IFERROR(__xludf.DUMMYFUNCTION("""COMPUTED_VALUE"""),"Lakeshore Lightning Hockey")</f>
        <v>Lakeshore Lightning Hockey</v>
      </c>
      <c r="H987" s="26">
        <f t="shared" ca="1" si="1"/>
        <v>420</v>
      </c>
      <c r="I987" s="26">
        <f t="shared" ca="1" si="2"/>
        <v>1</v>
      </c>
      <c r="J987" s="86">
        <f t="shared" ca="1" si="3"/>
        <v>45047</v>
      </c>
      <c r="R987" s="26"/>
    </row>
    <row r="988" spans="1:18" ht="15.75" customHeight="1">
      <c r="A988" s="26">
        <f ca="1">IFERROR(__xludf.DUMMYFUNCTION("""COMPUTED_VALUE"""),18405)</f>
        <v>18405</v>
      </c>
      <c r="B988" s="86">
        <f ca="1">IFERROR(__xludf.DUMMYFUNCTION("""COMPUTED_VALUE"""),45047.6070486111)</f>
        <v>45047.607048611098</v>
      </c>
      <c r="C988" s="1" t="str">
        <f ca="1">IFERROR(__xludf.DUMMYFUNCTION("""COMPUTED_VALUE"""),"completed")</f>
        <v>completed</v>
      </c>
      <c r="D988" s="26">
        <f ca="1">IFERROR(__xludf.DUMMYFUNCTION("""COMPUTED_VALUE"""),420)</f>
        <v>420</v>
      </c>
      <c r="E988" s="1"/>
      <c r="F988" s="87" t="str">
        <f t="shared" ca="1" si="0"/>
        <v>2023</v>
      </c>
      <c r="G988" s="1" t="str">
        <f ca="1">IFERROR(__xludf.DUMMYFUNCTION("""COMPUTED_VALUE"""),"Lakeshore Lightning Hockey")</f>
        <v>Lakeshore Lightning Hockey</v>
      </c>
      <c r="H988" s="26">
        <f t="shared" ca="1" si="1"/>
        <v>420</v>
      </c>
      <c r="I988" s="26">
        <f t="shared" ca="1" si="2"/>
        <v>1</v>
      </c>
      <c r="J988" s="86">
        <f t="shared" ca="1" si="3"/>
        <v>45047</v>
      </c>
      <c r="R988" s="26"/>
    </row>
    <row r="989" spans="1:18" ht="15.75" customHeight="1">
      <c r="A989" s="26">
        <f ca="1">IFERROR(__xludf.DUMMYFUNCTION("""COMPUTED_VALUE"""),18404)</f>
        <v>18404</v>
      </c>
      <c r="B989" s="86">
        <f ca="1">IFERROR(__xludf.DUMMYFUNCTION("""COMPUTED_VALUE"""),45046.0813310185)</f>
        <v>45046.081331018497</v>
      </c>
      <c r="C989" s="1" t="str">
        <f ca="1">IFERROR(__xludf.DUMMYFUNCTION("""COMPUTED_VALUE"""),"completed")</f>
        <v>completed</v>
      </c>
      <c r="D989" s="26">
        <f ca="1">IFERROR(__xludf.DUMMYFUNCTION("""COMPUTED_VALUE"""),85)</f>
        <v>85</v>
      </c>
      <c r="E989" s="1"/>
      <c r="F989" s="87" t="str">
        <f t="shared" ca="1" si="0"/>
        <v>2023</v>
      </c>
      <c r="G989" s="1" t="str">
        <f ca="1">IFERROR(__xludf.DUMMYFUNCTION("""COMPUTED_VALUE"""),"South Point Stars")</f>
        <v>South Point Stars</v>
      </c>
      <c r="H989" s="26">
        <f t="shared" ca="1" si="1"/>
        <v>85</v>
      </c>
      <c r="I989" s="26">
        <f t="shared" ca="1" si="2"/>
        <v>1</v>
      </c>
      <c r="J989" s="86">
        <f t="shared" ca="1" si="3"/>
        <v>45046</v>
      </c>
      <c r="R989" s="26"/>
    </row>
    <row r="990" spans="1:18" ht="15.75" customHeight="1">
      <c r="A990" s="26">
        <f ca="1">IFERROR(__xludf.DUMMYFUNCTION("""COMPUTED_VALUE"""),18142)</f>
        <v>18142</v>
      </c>
      <c r="B990" s="86">
        <f ca="1">IFERROR(__xludf.DUMMYFUNCTION("""COMPUTED_VALUE"""),45024.0966203703)</f>
        <v>45024.096620370299</v>
      </c>
      <c r="C990" s="1" t="str">
        <f ca="1">IFERROR(__xludf.DUMMYFUNCTION("""COMPUTED_VALUE"""),"completed")</f>
        <v>completed</v>
      </c>
      <c r="D990" s="26">
        <f ca="1">IFERROR(__xludf.DUMMYFUNCTION("""COMPUTED_VALUE"""),28)</f>
        <v>28</v>
      </c>
      <c r="E990" s="1"/>
      <c r="F990" s="87" t="str">
        <f t="shared" ca="1" si="0"/>
        <v>2023</v>
      </c>
      <c r="G990" s="1" t="str">
        <f ca="1">IFERROR(__xludf.DUMMYFUNCTION("""COMPUTED_VALUE"""),"Lakeshore Lightning Hockey")</f>
        <v>Lakeshore Lightning Hockey</v>
      </c>
      <c r="H990" s="26">
        <f t="shared" ca="1" si="1"/>
        <v>28</v>
      </c>
      <c r="I990" s="26">
        <f t="shared" ca="1" si="2"/>
        <v>1</v>
      </c>
      <c r="J990" s="86">
        <f t="shared" ca="1" si="3"/>
        <v>45024</v>
      </c>
      <c r="R990" s="26"/>
    </row>
    <row r="991" spans="1:18" ht="15.75" customHeight="1">
      <c r="A991" s="26">
        <f ca="1">IFERROR(__xludf.DUMMYFUNCTION("""COMPUTED_VALUE"""),18140)</f>
        <v>18140</v>
      </c>
      <c r="B991" s="86">
        <f ca="1">IFERROR(__xludf.DUMMYFUNCTION("""COMPUTED_VALUE"""),45023.7810185185)</f>
        <v>45023.781018518501</v>
      </c>
      <c r="C991" s="1" t="str">
        <f ca="1">IFERROR(__xludf.DUMMYFUNCTION("""COMPUTED_VALUE"""),"draftpics-created")</f>
        <v>draftpics-created</v>
      </c>
      <c r="D991" s="26">
        <f ca="1">IFERROR(__xludf.DUMMYFUNCTION("""COMPUTED_VALUE"""),25)</f>
        <v>25</v>
      </c>
      <c r="E991" s="1"/>
      <c r="F991" s="87" t="str">
        <f t="shared" ca="1" si="0"/>
        <v>2023</v>
      </c>
      <c r="G991" s="1" t="str">
        <f ca="1">IFERROR(__xludf.DUMMYFUNCTION("""COMPUTED_VALUE"""),"WMFA")</f>
        <v>WMFA</v>
      </c>
      <c r="H991" s="26">
        <f t="shared" ca="1" si="1"/>
        <v>25</v>
      </c>
      <c r="I991" s="26">
        <f t="shared" ca="1" si="2"/>
        <v>1</v>
      </c>
      <c r="J991" s="86">
        <f t="shared" ca="1" si="3"/>
        <v>45023</v>
      </c>
      <c r="R991" s="26"/>
    </row>
    <row r="992" spans="1:18" ht="15.75" customHeight="1">
      <c r="A992" s="26">
        <f ca="1">IFERROR(__xludf.DUMMYFUNCTION("""COMPUTED_VALUE"""),18137)</f>
        <v>18137</v>
      </c>
      <c r="B992" s="86">
        <f ca="1">IFERROR(__xludf.DUMMYFUNCTION("""COMPUTED_VALUE"""),45022.1207407407)</f>
        <v>45022.120740740698</v>
      </c>
      <c r="C992" s="1" t="str">
        <f ca="1">IFERROR(__xludf.DUMMYFUNCTION("""COMPUTED_VALUE"""),"completed")</f>
        <v>completed</v>
      </c>
      <c r="D992" s="26">
        <f ca="1">IFERROR(__xludf.DUMMYFUNCTION("""COMPUTED_VALUE"""),825)</f>
        <v>825</v>
      </c>
      <c r="E992" s="1"/>
      <c r="F992" s="87" t="str">
        <f t="shared" ca="1" si="0"/>
        <v>2023</v>
      </c>
      <c r="G992" s="1" t="str">
        <f ca="1">IFERROR(__xludf.DUMMYFUNCTION("""COMPUTED_VALUE"""),"Lakeshore Lightning Hockey")</f>
        <v>Lakeshore Lightning Hockey</v>
      </c>
      <c r="H992" s="26">
        <f t="shared" ca="1" si="1"/>
        <v>825</v>
      </c>
      <c r="I992" s="26">
        <f t="shared" ca="1" si="2"/>
        <v>1</v>
      </c>
      <c r="J992" s="86">
        <f t="shared" ca="1" si="3"/>
        <v>45022</v>
      </c>
      <c r="R992" s="26"/>
    </row>
    <row r="993" spans="1:18" ht="15.75" customHeight="1">
      <c r="A993" s="26">
        <f ca="1">IFERROR(__xludf.DUMMYFUNCTION("""COMPUTED_VALUE"""),18127)</f>
        <v>18127</v>
      </c>
      <c r="B993" s="86">
        <f ca="1">IFERROR(__xludf.DUMMYFUNCTION("""COMPUTED_VALUE"""),45015.6373842592)</f>
        <v>45015.6373842592</v>
      </c>
      <c r="C993" s="1" t="str">
        <f ca="1">IFERROR(__xludf.DUMMYFUNCTION("""COMPUTED_VALUE"""),"completed")</f>
        <v>completed</v>
      </c>
      <c r="D993" s="26">
        <f ca="1">IFERROR(__xludf.DUMMYFUNCTION("""COMPUTED_VALUE"""),0)</f>
        <v>0</v>
      </c>
      <c r="E993" s="1"/>
      <c r="F993" s="87" t="str">
        <f t="shared" ca="1" si="0"/>
        <v>2023</v>
      </c>
      <c r="G993" s="1" t="str">
        <f ca="1">IFERROR(__xludf.DUMMYFUNCTION("""COMPUTED_VALUE"""),"Lakeshore Lightning Hockey")</f>
        <v>Lakeshore Lightning Hockey</v>
      </c>
      <c r="H993" s="26">
        <f t="shared" ca="1" si="1"/>
        <v>0</v>
      </c>
      <c r="I993" s="26">
        <f t="shared" ca="1" si="2"/>
        <v>1</v>
      </c>
      <c r="J993" s="86">
        <f t="shared" ca="1" si="3"/>
        <v>45015</v>
      </c>
      <c r="R993" s="26"/>
    </row>
    <row r="994" spans="1:18" ht="15.75" customHeight="1">
      <c r="A994" s="26">
        <f ca="1">IFERROR(__xludf.DUMMYFUNCTION("""COMPUTED_VALUE"""),18125)</f>
        <v>18125</v>
      </c>
      <c r="B994" s="86">
        <f ca="1">IFERROR(__xludf.DUMMYFUNCTION("""COMPUTED_VALUE"""),45015.5753356481)</f>
        <v>45015.5753356481</v>
      </c>
      <c r="C994" s="1" t="str">
        <f ca="1">IFERROR(__xludf.DUMMYFUNCTION("""COMPUTED_VALUE"""),"completed")</f>
        <v>completed</v>
      </c>
      <c r="D994" s="26">
        <f ca="1">IFERROR(__xludf.DUMMYFUNCTION("""COMPUTED_VALUE"""),0)</f>
        <v>0</v>
      </c>
      <c r="E994" s="1"/>
      <c r="F994" s="87" t="str">
        <f t="shared" ca="1" si="0"/>
        <v>2023</v>
      </c>
      <c r="G994" s="1" t="str">
        <f ca="1">IFERROR(__xludf.DUMMYFUNCTION("""COMPUTED_VALUE"""),"Lakeshore Lightning Hockey")</f>
        <v>Lakeshore Lightning Hockey</v>
      </c>
      <c r="H994" s="26">
        <f t="shared" ca="1" si="1"/>
        <v>0</v>
      </c>
      <c r="I994" s="26">
        <f t="shared" ca="1" si="2"/>
        <v>1</v>
      </c>
      <c r="J994" s="86">
        <f t="shared" ca="1" si="3"/>
        <v>45015</v>
      </c>
      <c r="R994" s="26"/>
    </row>
    <row r="995" spans="1:18" ht="15.75" customHeight="1">
      <c r="A995" s="26">
        <f ca="1">IFERROR(__xludf.DUMMYFUNCTION("""COMPUTED_VALUE"""),18124)</f>
        <v>18124</v>
      </c>
      <c r="B995" s="86">
        <f ca="1">IFERROR(__xludf.DUMMYFUNCTION("""COMPUTED_VALUE"""),45014.7748842592)</f>
        <v>45014.774884259197</v>
      </c>
      <c r="C995" s="1" t="str">
        <f ca="1">IFERROR(__xludf.DUMMYFUNCTION("""COMPUTED_VALUE"""),"completed")</f>
        <v>completed</v>
      </c>
      <c r="D995" s="26">
        <f ca="1">IFERROR(__xludf.DUMMYFUNCTION("""COMPUTED_VALUE"""),25)</f>
        <v>25</v>
      </c>
      <c r="E995" s="1"/>
      <c r="F995" s="87" t="str">
        <f t="shared" ca="1" si="0"/>
        <v>2023</v>
      </c>
      <c r="G995" s="1" t="str">
        <f ca="1">IFERROR(__xludf.DUMMYFUNCTION("""COMPUTED_VALUE"""),"Windsor Wildcats Hockey")</f>
        <v>Windsor Wildcats Hockey</v>
      </c>
      <c r="H995" s="26">
        <f t="shared" ca="1" si="1"/>
        <v>25</v>
      </c>
      <c r="I995" s="26">
        <f t="shared" ca="1" si="2"/>
        <v>1</v>
      </c>
      <c r="J995" s="86">
        <f t="shared" ca="1" si="3"/>
        <v>45014</v>
      </c>
      <c r="R995" s="26"/>
    </row>
    <row r="996" spans="1:18" ht="15.75" customHeight="1">
      <c r="A996" s="26">
        <f ca="1">IFERROR(__xludf.DUMMYFUNCTION("""COMPUTED_VALUE"""),18123)</f>
        <v>18123</v>
      </c>
      <c r="B996" s="86">
        <f ca="1">IFERROR(__xludf.DUMMYFUNCTION("""COMPUTED_VALUE"""),45012.9704513888)</f>
        <v>45012.970451388799</v>
      </c>
      <c r="C996" s="1" t="str">
        <f ca="1">IFERROR(__xludf.DUMMYFUNCTION("""COMPUTED_VALUE"""),"draftpics-created")</f>
        <v>draftpics-created</v>
      </c>
      <c r="D996" s="26">
        <f ca="1">IFERROR(__xludf.DUMMYFUNCTION("""COMPUTED_VALUE"""),55)</f>
        <v>55</v>
      </c>
      <c r="E996" s="1"/>
      <c r="F996" s="87" t="str">
        <f t="shared" ca="1" si="0"/>
        <v>2023</v>
      </c>
      <c r="G996" s="1" t="str">
        <f ca="1">IFERROR(__xludf.DUMMYFUNCTION("""COMPUTED_VALUE"""),"Lakeshore Lightning Hockey")</f>
        <v>Lakeshore Lightning Hockey</v>
      </c>
      <c r="H996" s="26">
        <f t="shared" ca="1" si="1"/>
        <v>55</v>
      </c>
      <c r="I996" s="26">
        <f t="shared" ca="1" si="2"/>
        <v>1</v>
      </c>
      <c r="J996" s="86">
        <f t="shared" ca="1" si="3"/>
        <v>45012</v>
      </c>
      <c r="R996" s="26"/>
    </row>
    <row r="997" spans="1:18" ht="15.75" customHeight="1">
      <c r="A997" s="26">
        <f ca="1">IFERROR(__xludf.DUMMYFUNCTION("""COMPUTED_VALUE"""),18122)</f>
        <v>18122</v>
      </c>
      <c r="B997" s="86">
        <f ca="1">IFERROR(__xludf.DUMMYFUNCTION("""COMPUTED_VALUE"""),45012.5794212962)</f>
        <v>45012.579421296199</v>
      </c>
      <c r="C997" s="1" t="str">
        <f ca="1">IFERROR(__xludf.DUMMYFUNCTION("""COMPUTED_VALUE"""),"completed")</f>
        <v>completed</v>
      </c>
      <c r="D997" s="26">
        <f ca="1">IFERROR(__xludf.DUMMYFUNCTION("""COMPUTED_VALUE"""),25)</f>
        <v>25</v>
      </c>
      <c r="E997" s="1"/>
      <c r="F997" s="87" t="str">
        <f t="shared" ca="1" si="0"/>
        <v>2023</v>
      </c>
      <c r="G997" s="1" t="str">
        <f ca="1">IFERROR(__xludf.DUMMYFUNCTION("""COMPUTED_VALUE"""),"Windsor Wildcats Hockey")</f>
        <v>Windsor Wildcats Hockey</v>
      </c>
      <c r="H997" s="26">
        <f t="shared" ca="1" si="1"/>
        <v>25</v>
      </c>
      <c r="I997" s="26">
        <f t="shared" ca="1" si="2"/>
        <v>1</v>
      </c>
      <c r="J997" s="86">
        <f t="shared" ca="1" si="3"/>
        <v>45012</v>
      </c>
      <c r="R997" s="26"/>
    </row>
    <row r="998" spans="1:18" ht="15.75" customHeight="1">
      <c r="A998" s="26">
        <f ca="1">IFERROR(__xludf.DUMMYFUNCTION("""COMPUTED_VALUE"""),18117)</f>
        <v>18117</v>
      </c>
      <c r="B998" s="86">
        <f ca="1">IFERROR(__xludf.DUMMYFUNCTION("""COMPUTED_VALUE"""),45011.9423379629)</f>
        <v>45011.942337962901</v>
      </c>
      <c r="C998" s="1" t="str">
        <f ca="1">IFERROR(__xludf.DUMMYFUNCTION("""COMPUTED_VALUE"""),"completed")</f>
        <v>completed</v>
      </c>
      <c r="D998" s="26">
        <f ca="1">IFERROR(__xludf.DUMMYFUNCTION("""COMPUTED_VALUE"""),15)</f>
        <v>15</v>
      </c>
      <c r="E998" s="1"/>
      <c r="F998" s="87" t="str">
        <f t="shared" ca="1" si="0"/>
        <v>2023</v>
      </c>
      <c r="G998" s="1" t="str">
        <f ca="1">IFERROR(__xludf.DUMMYFUNCTION("""COMPUTED_VALUE"""),"Lakeshore Lightning Hockey")</f>
        <v>Lakeshore Lightning Hockey</v>
      </c>
      <c r="H998" s="26">
        <f t="shared" ca="1" si="1"/>
        <v>15</v>
      </c>
      <c r="I998" s="26">
        <f t="shared" ca="1" si="2"/>
        <v>1</v>
      </c>
      <c r="J998" s="86">
        <f t="shared" ca="1" si="3"/>
        <v>45011</v>
      </c>
      <c r="R998" s="26"/>
    </row>
    <row r="999" spans="1:18" ht="15.75" customHeight="1">
      <c r="A999" s="26">
        <f ca="1">IFERROR(__xludf.DUMMYFUNCTION("""COMPUTED_VALUE"""),18116)</f>
        <v>18116</v>
      </c>
      <c r="B999" s="86">
        <f ca="1">IFERROR(__xludf.DUMMYFUNCTION("""COMPUTED_VALUE"""),45011.6937268518)</f>
        <v>45011.693726851801</v>
      </c>
      <c r="C999" s="1" t="str">
        <f ca="1">IFERROR(__xludf.DUMMYFUNCTION("""COMPUTED_VALUE"""),"completed")</f>
        <v>completed</v>
      </c>
      <c r="D999" s="26">
        <f ca="1">IFERROR(__xludf.DUMMYFUNCTION("""COMPUTED_VALUE"""),15)</f>
        <v>15</v>
      </c>
      <c r="E999" s="1"/>
      <c r="F999" s="87" t="str">
        <f t="shared" ca="1" si="0"/>
        <v>2023</v>
      </c>
      <c r="G999" s="1" t="str">
        <f ca="1">IFERROR(__xludf.DUMMYFUNCTION("""COMPUTED_VALUE"""),"Lakeshore Lightning Hockey")</f>
        <v>Lakeshore Lightning Hockey</v>
      </c>
      <c r="H999" s="26">
        <f t="shared" ca="1" si="1"/>
        <v>15</v>
      </c>
      <c r="I999" s="26">
        <f t="shared" ca="1" si="2"/>
        <v>1</v>
      </c>
      <c r="J999" s="86">
        <f t="shared" ca="1" si="3"/>
        <v>45011</v>
      </c>
      <c r="R999" s="26"/>
    </row>
    <row r="1000" spans="1:18" ht="15.75" customHeight="1">
      <c r="A1000" s="26">
        <f ca="1">IFERROR(__xludf.DUMMYFUNCTION("""COMPUTED_VALUE"""),18115)</f>
        <v>18115</v>
      </c>
      <c r="B1000" s="86">
        <f ca="1">IFERROR(__xludf.DUMMYFUNCTION("""COMPUTED_VALUE"""),45011.6907638888)</f>
        <v>45011.690763888801</v>
      </c>
      <c r="C1000" s="1" t="str">
        <f ca="1">IFERROR(__xludf.DUMMYFUNCTION("""COMPUTED_VALUE"""),"completed")</f>
        <v>completed</v>
      </c>
      <c r="D1000" s="26">
        <f ca="1">IFERROR(__xludf.DUMMYFUNCTION("""COMPUTED_VALUE"""),15)</f>
        <v>15</v>
      </c>
      <c r="E1000" s="1"/>
      <c r="F1000" s="87" t="str">
        <f t="shared" ca="1" si="0"/>
        <v>2023</v>
      </c>
      <c r="G1000" s="1" t="str">
        <f ca="1">IFERROR(__xludf.DUMMYFUNCTION("""COMPUTED_VALUE"""),"WMFA")</f>
        <v>WMFA</v>
      </c>
      <c r="H1000" s="26">
        <f t="shared" ca="1" si="1"/>
        <v>15</v>
      </c>
      <c r="I1000" s="26">
        <f t="shared" ca="1" si="2"/>
        <v>1</v>
      </c>
      <c r="J1000" s="86">
        <f t="shared" ca="1" si="3"/>
        <v>45011</v>
      </c>
      <c r="R1000" s="26"/>
    </row>
    <row r="1001" spans="1:18" ht="15.75" customHeight="1">
      <c r="A1001" s="26">
        <f ca="1">IFERROR(__xludf.DUMMYFUNCTION("""COMPUTED_VALUE"""),18114)</f>
        <v>18114</v>
      </c>
      <c r="B1001" s="86">
        <f ca="1">IFERROR(__xludf.DUMMYFUNCTION("""COMPUTED_VALUE"""),45011.6872106481)</f>
        <v>45011.687210648102</v>
      </c>
      <c r="C1001" s="1" t="str">
        <f ca="1">IFERROR(__xludf.DUMMYFUNCTION("""COMPUTED_VALUE"""),"completed")</f>
        <v>completed</v>
      </c>
      <c r="D1001" s="26">
        <f ca="1">IFERROR(__xludf.DUMMYFUNCTION("""COMPUTED_VALUE"""),85)</f>
        <v>85</v>
      </c>
      <c r="E1001" s="1"/>
      <c r="F1001" s="87" t="str">
        <f t="shared" ca="1" si="0"/>
        <v>2023</v>
      </c>
      <c r="G1001" s="1" t="str">
        <f ca="1">IFERROR(__xludf.DUMMYFUNCTION("""COMPUTED_VALUE"""),"Lakeshore Lightning Hockey")</f>
        <v>Lakeshore Lightning Hockey</v>
      </c>
      <c r="H1001" s="26">
        <f t="shared" ca="1" si="1"/>
        <v>85</v>
      </c>
      <c r="I1001" s="26">
        <f t="shared" ca="1" si="2"/>
        <v>1</v>
      </c>
      <c r="J1001" s="86">
        <f t="shared" ca="1" si="3"/>
        <v>45011</v>
      </c>
      <c r="R1001" s="26"/>
    </row>
    <row r="1002" spans="1:18" ht="15.75" customHeight="1">
      <c r="A1002" s="26">
        <f ca="1">IFERROR(__xludf.DUMMYFUNCTION("""COMPUTED_VALUE"""),18113)</f>
        <v>18113</v>
      </c>
      <c r="B1002" s="86">
        <f ca="1">IFERROR(__xludf.DUMMYFUNCTION("""COMPUTED_VALUE"""),45011.5205092592)</f>
        <v>45011.5205092592</v>
      </c>
      <c r="C1002" s="1" t="str">
        <f ca="1">IFERROR(__xludf.DUMMYFUNCTION("""COMPUTED_VALUE"""),"completed")</f>
        <v>completed</v>
      </c>
      <c r="D1002" s="26">
        <f ca="1">IFERROR(__xludf.DUMMYFUNCTION("""COMPUTED_VALUE"""),28)</f>
        <v>28</v>
      </c>
      <c r="E1002" s="1"/>
      <c r="F1002" s="87" t="str">
        <f t="shared" ca="1" si="0"/>
        <v>2023</v>
      </c>
      <c r="G1002" s="1" t="str">
        <f ca="1">IFERROR(__xludf.DUMMYFUNCTION("""COMPUTED_VALUE"""),"Lakeshore Lightning Hockey")</f>
        <v>Lakeshore Lightning Hockey</v>
      </c>
      <c r="H1002" s="26">
        <f t="shared" ca="1" si="1"/>
        <v>28</v>
      </c>
      <c r="I1002" s="26">
        <f t="shared" ca="1" si="2"/>
        <v>1</v>
      </c>
      <c r="J1002" s="86">
        <f t="shared" ca="1" si="3"/>
        <v>45011</v>
      </c>
      <c r="R1002" s="26"/>
    </row>
    <row r="1003" spans="1:18" ht="15.75" customHeight="1">
      <c r="A1003" s="26">
        <f ca="1">IFERROR(__xludf.DUMMYFUNCTION("""COMPUTED_VALUE"""),18111)</f>
        <v>18111</v>
      </c>
      <c r="B1003" s="86">
        <f ca="1">IFERROR(__xludf.DUMMYFUNCTION("""COMPUTED_VALUE"""),45011.1336111111)</f>
        <v>45011.133611111101</v>
      </c>
      <c r="C1003" s="1" t="str">
        <f ca="1">IFERROR(__xludf.DUMMYFUNCTION("""COMPUTED_VALUE"""),"completed")</f>
        <v>completed</v>
      </c>
      <c r="D1003" s="26">
        <f ca="1">IFERROR(__xludf.DUMMYFUNCTION("""COMPUTED_VALUE"""),566)</f>
        <v>566</v>
      </c>
      <c r="E1003" s="1"/>
      <c r="F1003" s="87" t="str">
        <f t="shared" ca="1" si="0"/>
        <v>2023</v>
      </c>
      <c r="G1003" s="1" t="str">
        <f ca="1">IFERROR(__xludf.DUMMYFUNCTION("""COMPUTED_VALUE"""),"Lasalle Stompers")</f>
        <v>Lasalle Stompers</v>
      </c>
      <c r="H1003" s="26">
        <f t="shared" ca="1" si="1"/>
        <v>566</v>
      </c>
      <c r="I1003" s="26">
        <f t="shared" ca="1" si="2"/>
        <v>1</v>
      </c>
      <c r="J1003" s="86">
        <f t="shared" ca="1" si="3"/>
        <v>45011</v>
      </c>
      <c r="R1003" s="26"/>
    </row>
    <row r="1004" spans="1:18" ht="15.75" customHeight="1">
      <c r="A1004" s="26">
        <f ca="1">IFERROR(__xludf.DUMMYFUNCTION("""COMPUTED_VALUE"""),18109)</f>
        <v>18109</v>
      </c>
      <c r="B1004" s="86">
        <f ca="1">IFERROR(__xludf.DUMMYFUNCTION("""COMPUTED_VALUE"""),45010.0561921296)</f>
        <v>45010.056192129603</v>
      </c>
      <c r="C1004" s="1" t="str">
        <f ca="1">IFERROR(__xludf.DUMMYFUNCTION("""COMPUTED_VALUE"""),"completed")</f>
        <v>completed</v>
      </c>
      <c r="D1004" s="26">
        <f ca="1">IFERROR(__xludf.DUMMYFUNCTION("""COMPUTED_VALUE"""),45)</f>
        <v>45</v>
      </c>
      <c r="E1004" s="1"/>
      <c r="F1004" s="87" t="str">
        <f t="shared" ca="1" si="0"/>
        <v>2023</v>
      </c>
      <c r="G1004" s="1" t="str">
        <f ca="1">IFERROR(__xludf.DUMMYFUNCTION("""COMPUTED_VALUE"""),"Lakeshore Lightning Hockey")</f>
        <v>Lakeshore Lightning Hockey</v>
      </c>
      <c r="H1004" s="26">
        <f t="shared" ca="1" si="1"/>
        <v>45</v>
      </c>
      <c r="I1004" s="26">
        <f t="shared" ca="1" si="2"/>
        <v>1</v>
      </c>
      <c r="J1004" s="86">
        <f t="shared" ca="1" si="3"/>
        <v>45010</v>
      </c>
      <c r="R1004" s="26"/>
    </row>
    <row r="1005" spans="1:18" ht="15.75" customHeight="1">
      <c r="A1005" s="26">
        <f ca="1">IFERROR(__xludf.DUMMYFUNCTION("""COMPUTED_VALUE"""),18108)</f>
        <v>18108</v>
      </c>
      <c r="B1005" s="86">
        <f ca="1">IFERROR(__xludf.DUMMYFUNCTION("""COMPUTED_VALUE"""),45010.0447337963)</f>
        <v>45010.044733796298</v>
      </c>
      <c r="C1005" s="1" t="str">
        <f ca="1">IFERROR(__xludf.DUMMYFUNCTION("""COMPUTED_VALUE"""),"completed")</f>
        <v>completed</v>
      </c>
      <c r="D1005" s="26">
        <f ca="1">IFERROR(__xludf.DUMMYFUNCTION("""COMPUTED_VALUE"""),28)</f>
        <v>28</v>
      </c>
      <c r="E1005" s="1"/>
      <c r="F1005" s="87" t="str">
        <f t="shared" ca="1" si="0"/>
        <v>2023</v>
      </c>
      <c r="G1005" s="1" t="str">
        <f ca="1">IFERROR(__xludf.DUMMYFUNCTION("""COMPUTED_VALUE"""),"Lakeshore Lightning Hockey")</f>
        <v>Lakeshore Lightning Hockey</v>
      </c>
      <c r="H1005" s="26">
        <f t="shared" ca="1" si="1"/>
        <v>28</v>
      </c>
      <c r="I1005" s="26">
        <f t="shared" ca="1" si="2"/>
        <v>1</v>
      </c>
      <c r="J1005" s="86">
        <f t="shared" ca="1" si="3"/>
        <v>45010</v>
      </c>
      <c r="R1005" s="26"/>
    </row>
    <row r="1006" spans="1:18" ht="15.75" customHeight="1">
      <c r="A1006" s="26">
        <f ca="1">IFERROR(__xludf.DUMMYFUNCTION("""COMPUTED_VALUE"""),18107)</f>
        <v>18107</v>
      </c>
      <c r="B1006" s="86">
        <f ca="1">IFERROR(__xludf.DUMMYFUNCTION("""COMPUTED_VALUE"""),45009.1029282407)</f>
        <v>45009.102928240703</v>
      </c>
      <c r="C1006" s="1" t="str">
        <f ca="1">IFERROR(__xludf.DUMMYFUNCTION("""COMPUTED_VALUE"""),"completed")</f>
        <v>completed</v>
      </c>
      <c r="D1006" s="26">
        <f ca="1">IFERROR(__xludf.DUMMYFUNCTION("""COMPUTED_VALUE"""),25)</f>
        <v>25</v>
      </c>
      <c r="E1006" s="1"/>
      <c r="F1006" s="87" t="str">
        <f t="shared" ca="1" si="0"/>
        <v>2023</v>
      </c>
      <c r="G1006" s="1" t="str">
        <f ca="1">IFERROR(__xludf.DUMMYFUNCTION("""COMPUTED_VALUE"""),"Windsor AAA Zone Hockey")</f>
        <v>Windsor AAA Zone Hockey</v>
      </c>
      <c r="H1006" s="26">
        <f t="shared" ca="1" si="1"/>
        <v>25</v>
      </c>
      <c r="I1006" s="26">
        <f t="shared" ca="1" si="2"/>
        <v>1</v>
      </c>
      <c r="J1006" s="86">
        <f t="shared" ca="1" si="3"/>
        <v>45009</v>
      </c>
      <c r="R1006" s="26"/>
    </row>
    <row r="1007" spans="1:18" ht="15.75" customHeight="1">
      <c r="A1007" s="26">
        <f ca="1">IFERROR(__xludf.DUMMYFUNCTION("""COMPUTED_VALUE"""),18106)</f>
        <v>18106</v>
      </c>
      <c r="B1007" s="86">
        <f ca="1">IFERROR(__xludf.DUMMYFUNCTION("""COMPUTED_VALUE"""),45008.531099537)</f>
        <v>45008.531099537002</v>
      </c>
      <c r="C1007" s="1" t="str">
        <f ca="1">IFERROR(__xludf.DUMMYFUNCTION("""COMPUTED_VALUE"""),"completed")</f>
        <v>completed</v>
      </c>
      <c r="D1007" s="26">
        <f ca="1">IFERROR(__xludf.DUMMYFUNCTION("""COMPUTED_VALUE"""),25)</f>
        <v>25</v>
      </c>
      <c r="E1007" s="1"/>
      <c r="F1007" s="87" t="str">
        <f t="shared" ca="1" si="0"/>
        <v>2023</v>
      </c>
      <c r="G1007" s="1" t="str">
        <f ca="1">IFERROR(__xludf.DUMMYFUNCTION("""COMPUTED_VALUE"""),"Lakeshore Lightning Hockey")</f>
        <v>Lakeshore Lightning Hockey</v>
      </c>
      <c r="H1007" s="26">
        <f t="shared" ca="1" si="1"/>
        <v>25</v>
      </c>
      <c r="I1007" s="26">
        <f t="shared" ca="1" si="2"/>
        <v>1</v>
      </c>
      <c r="J1007" s="86">
        <f t="shared" ca="1" si="3"/>
        <v>45008</v>
      </c>
      <c r="R1007" s="26"/>
    </row>
    <row r="1008" spans="1:18" ht="15.75" customHeight="1">
      <c r="A1008" s="26">
        <f ca="1">IFERROR(__xludf.DUMMYFUNCTION("""COMPUTED_VALUE"""),18104)</f>
        <v>18104</v>
      </c>
      <c r="B1008" s="86">
        <f ca="1">IFERROR(__xludf.DUMMYFUNCTION("""COMPUTED_VALUE"""),45007.9386805555)</f>
        <v>45007.938680555497</v>
      </c>
      <c r="C1008" s="1" t="str">
        <f ca="1">IFERROR(__xludf.DUMMYFUNCTION("""COMPUTED_VALUE"""),"completed")</f>
        <v>completed</v>
      </c>
      <c r="D1008" s="26">
        <f ca="1">IFERROR(__xludf.DUMMYFUNCTION("""COMPUTED_VALUE"""),200)</f>
        <v>200</v>
      </c>
      <c r="E1008" s="1"/>
      <c r="F1008" s="87" t="str">
        <f t="shared" ca="1" si="0"/>
        <v>2023</v>
      </c>
      <c r="G1008" s="1" t="str">
        <f ca="1">IFERROR(__xludf.DUMMYFUNCTION("""COMPUTED_VALUE"""),"Lasalle Stompers")</f>
        <v>Lasalle Stompers</v>
      </c>
      <c r="H1008" s="26">
        <f t="shared" ca="1" si="1"/>
        <v>200</v>
      </c>
      <c r="I1008" s="26">
        <f t="shared" ca="1" si="2"/>
        <v>1</v>
      </c>
      <c r="J1008" s="86">
        <f t="shared" ca="1" si="3"/>
        <v>45007</v>
      </c>
      <c r="R1008" s="26"/>
    </row>
    <row r="1009" spans="1:18" ht="15.75" customHeight="1">
      <c r="A1009" s="26">
        <f ca="1">IFERROR(__xludf.DUMMYFUNCTION("""COMPUTED_VALUE"""),18099)</f>
        <v>18099</v>
      </c>
      <c r="B1009" s="86">
        <f ca="1">IFERROR(__xludf.DUMMYFUNCTION("""COMPUTED_VALUE"""),45006.7673032407)</f>
        <v>45006.767303240696</v>
      </c>
      <c r="C1009" s="1" t="str">
        <f ca="1">IFERROR(__xludf.DUMMYFUNCTION("""COMPUTED_VALUE"""),"completed")</f>
        <v>completed</v>
      </c>
      <c r="D1009" s="26">
        <f ca="1">IFERROR(__xludf.DUMMYFUNCTION("""COMPUTED_VALUE"""),50)</f>
        <v>50</v>
      </c>
      <c r="E1009" s="1"/>
      <c r="F1009" s="87" t="str">
        <f t="shared" ca="1" si="0"/>
        <v>2023</v>
      </c>
      <c r="G1009" s="1" t="str">
        <f ca="1">IFERROR(__xludf.DUMMYFUNCTION("""COMPUTED_VALUE"""),"Lakeshore Lightning Hockey")</f>
        <v>Lakeshore Lightning Hockey</v>
      </c>
      <c r="H1009" s="26">
        <f t="shared" ca="1" si="1"/>
        <v>50</v>
      </c>
      <c r="I1009" s="26">
        <f t="shared" ca="1" si="2"/>
        <v>1</v>
      </c>
      <c r="J1009" s="86">
        <f t="shared" ca="1" si="3"/>
        <v>45006</v>
      </c>
      <c r="R1009" s="26"/>
    </row>
    <row r="1010" spans="1:18" ht="15.75" customHeight="1">
      <c r="A1010" s="26">
        <f ca="1">IFERROR(__xludf.DUMMYFUNCTION("""COMPUTED_VALUE"""),18098)</f>
        <v>18098</v>
      </c>
      <c r="B1010" s="86">
        <f ca="1">IFERROR(__xludf.DUMMYFUNCTION("""COMPUTED_VALUE"""),45005.9552777777)</f>
        <v>45005.955277777699</v>
      </c>
      <c r="C1010" s="1" t="str">
        <f ca="1">IFERROR(__xludf.DUMMYFUNCTION("""COMPUTED_VALUE"""),"completed")</f>
        <v>completed</v>
      </c>
      <c r="D1010" s="26">
        <f ca="1">IFERROR(__xludf.DUMMYFUNCTION("""COMPUTED_VALUE"""),100)</f>
        <v>100</v>
      </c>
      <c r="E1010" s="1"/>
      <c r="F1010" s="87" t="str">
        <f t="shared" ca="1" si="0"/>
        <v>2023</v>
      </c>
      <c r="G1010" s="1" t="str">
        <f ca="1">IFERROR(__xludf.DUMMYFUNCTION("""COMPUTED_VALUE"""),"Lakeshore Lightning Hockey")</f>
        <v>Lakeshore Lightning Hockey</v>
      </c>
      <c r="H1010" s="26">
        <f t="shared" ca="1" si="1"/>
        <v>100</v>
      </c>
      <c r="I1010" s="26">
        <f t="shared" ca="1" si="2"/>
        <v>1</v>
      </c>
      <c r="J1010" s="86">
        <f t="shared" ca="1" si="3"/>
        <v>45005</v>
      </c>
      <c r="R1010" s="26"/>
    </row>
    <row r="1011" spans="1:18" ht="15.75" customHeight="1">
      <c r="A1011" s="26">
        <f ca="1">IFERROR(__xludf.DUMMYFUNCTION("""COMPUTED_VALUE"""),18097)</f>
        <v>18097</v>
      </c>
      <c r="B1011" s="86">
        <f ca="1">IFERROR(__xludf.DUMMYFUNCTION("""COMPUTED_VALUE"""),45004.6776504629)</f>
        <v>45004.677650462902</v>
      </c>
      <c r="C1011" s="1" t="str">
        <f ca="1">IFERROR(__xludf.DUMMYFUNCTION("""COMPUTED_VALUE"""),"completed")</f>
        <v>completed</v>
      </c>
      <c r="D1011" s="26">
        <f ca="1">IFERROR(__xludf.DUMMYFUNCTION("""COMPUTED_VALUE"""),130.5)</f>
        <v>130.5</v>
      </c>
      <c r="E1011" s="1"/>
      <c r="F1011" s="87" t="str">
        <f t="shared" ca="1" si="0"/>
        <v>2023</v>
      </c>
      <c r="G1011" s="1" t="str">
        <f ca="1">IFERROR(__xludf.DUMMYFUNCTION("""COMPUTED_VALUE"""),"Lakeshore Lightning Hockey")</f>
        <v>Lakeshore Lightning Hockey</v>
      </c>
      <c r="H1011" s="26">
        <f t="shared" ca="1" si="1"/>
        <v>130.5</v>
      </c>
      <c r="I1011" s="26">
        <f t="shared" ca="1" si="2"/>
        <v>1</v>
      </c>
      <c r="J1011" s="86">
        <f t="shared" ca="1" si="3"/>
        <v>45004</v>
      </c>
      <c r="R1011" s="26"/>
    </row>
    <row r="1012" spans="1:18" ht="15.75" customHeight="1">
      <c r="A1012" s="26">
        <f ca="1">IFERROR(__xludf.DUMMYFUNCTION("""COMPUTED_VALUE"""),18095)</f>
        <v>18095</v>
      </c>
      <c r="B1012" s="86">
        <f ca="1">IFERROR(__xludf.DUMMYFUNCTION("""COMPUTED_VALUE"""),45003.9733449073)</f>
        <v>45003.973344907397</v>
      </c>
      <c r="C1012" s="1" t="str">
        <f ca="1">IFERROR(__xludf.DUMMYFUNCTION("""COMPUTED_VALUE"""),"completed")</f>
        <v>completed</v>
      </c>
      <c r="D1012" s="26">
        <f ca="1">IFERROR(__xludf.DUMMYFUNCTION("""COMPUTED_VALUE"""),55)</f>
        <v>55</v>
      </c>
      <c r="E1012" s="1"/>
      <c r="F1012" s="87" t="str">
        <f t="shared" ca="1" si="0"/>
        <v>2023</v>
      </c>
      <c r="G1012" s="1" t="str">
        <f ca="1">IFERROR(__xludf.DUMMYFUNCTION("""COMPUTED_VALUE"""),"W.M.H.A")</f>
        <v>W.M.H.A</v>
      </c>
      <c r="H1012" s="26">
        <f t="shared" ca="1" si="1"/>
        <v>55</v>
      </c>
      <c r="I1012" s="26">
        <f t="shared" ca="1" si="2"/>
        <v>1</v>
      </c>
      <c r="J1012" s="86">
        <f t="shared" ca="1" si="3"/>
        <v>45003</v>
      </c>
      <c r="R1012" s="26"/>
    </row>
    <row r="1013" spans="1:18" ht="15.75" customHeight="1">
      <c r="A1013" s="26">
        <f ca="1">IFERROR(__xludf.DUMMYFUNCTION("""COMPUTED_VALUE"""),18094)</f>
        <v>18094</v>
      </c>
      <c r="B1013" s="86">
        <f ca="1">IFERROR(__xludf.DUMMYFUNCTION("""COMPUTED_VALUE"""),45003.8164699074)</f>
        <v>45003.816469907397</v>
      </c>
      <c r="C1013" s="1" t="str">
        <f ca="1">IFERROR(__xludf.DUMMYFUNCTION("""COMPUTED_VALUE"""),"completed")</f>
        <v>completed</v>
      </c>
      <c r="D1013" s="26">
        <f ca="1">IFERROR(__xludf.DUMMYFUNCTION("""COMPUTED_VALUE"""),68)</f>
        <v>68</v>
      </c>
      <c r="E1013" s="1"/>
      <c r="F1013" s="87" t="str">
        <f t="shared" ca="1" si="0"/>
        <v>2023</v>
      </c>
      <c r="G1013" s="1" t="str">
        <f ca="1">IFERROR(__xludf.DUMMYFUNCTION("""COMPUTED_VALUE"""),"W.M.H.A")</f>
        <v>W.M.H.A</v>
      </c>
      <c r="H1013" s="26">
        <f t="shared" ca="1" si="1"/>
        <v>68</v>
      </c>
      <c r="I1013" s="26">
        <f t="shared" ca="1" si="2"/>
        <v>1</v>
      </c>
      <c r="J1013" s="86">
        <f t="shared" ca="1" si="3"/>
        <v>45003</v>
      </c>
      <c r="R1013" s="26"/>
    </row>
    <row r="1014" spans="1:18" ht="15.75" customHeight="1">
      <c r="A1014" s="26">
        <f ca="1">IFERROR(__xludf.DUMMYFUNCTION("""COMPUTED_VALUE"""),18093)</f>
        <v>18093</v>
      </c>
      <c r="B1014" s="86">
        <f ca="1">IFERROR(__xludf.DUMMYFUNCTION("""COMPUTED_VALUE"""),45003.7470254629)</f>
        <v>45003.747025462901</v>
      </c>
      <c r="C1014" s="1" t="str">
        <f ca="1">IFERROR(__xludf.DUMMYFUNCTION("""COMPUTED_VALUE"""),"completed")</f>
        <v>completed</v>
      </c>
      <c r="D1014" s="26">
        <f ca="1">IFERROR(__xludf.DUMMYFUNCTION("""COMPUTED_VALUE"""),53)</f>
        <v>53</v>
      </c>
      <c r="E1014" s="1"/>
      <c r="F1014" s="87" t="str">
        <f t="shared" ca="1" si="0"/>
        <v>2023</v>
      </c>
      <c r="G1014" s="1" t="str">
        <f ca="1">IFERROR(__xludf.DUMMYFUNCTION("""COMPUTED_VALUE"""),"Lakeshore Lightning Hockey")</f>
        <v>Lakeshore Lightning Hockey</v>
      </c>
      <c r="H1014" s="26">
        <f t="shared" ca="1" si="1"/>
        <v>53</v>
      </c>
      <c r="I1014" s="26">
        <f t="shared" ca="1" si="2"/>
        <v>1</v>
      </c>
      <c r="J1014" s="86">
        <f t="shared" ca="1" si="3"/>
        <v>45003</v>
      </c>
      <c r="R1014" s="26"/>
    </row>
    <row r="1015" spans="1:18" ht="15.75" customHeight="1">
      <c r="A1015" s="26">
        <f ca="1">IFERROR(__xludf.DUMMYFUNCTION("""COMPUTED_VALUE"""),18062)</f>
        <v>18062</v>
      </c>
      <c r="B1015" s="86">
        <f ca="1">IFERROR(__xludf.DUMMYFUNCTION("""COMPUTED_VALUE"""),44999.6713194444)</f>
        <v>44999.671319444402</v>
      </c>
      <c r="C1015" s="1" t="str">
        <f ca="1">IFERROR(__xludf.DUMMYFUNCTION("""COMPUTED_VALUE"""),"completed")</f>
        <v>completed</v>
      </c>
      <c r="D1015" s="26">
        <f ca="1">IFERROR(__xludf.DUMMYFUNCTION("""COMPUTED_VALUE"""),35)</f>
        <v>35</v>
      </c>
      <c r="E1015" s="1"/>
      <c r="F1015" s="87" t="str">
        <f t="shared" ca="1" si="0"/>
        <v>2023</v>
      </c>
      <c r="G1015" s="1" t="str">
        <f ca="1">IFERROR(__xludf.DUMMYFUNCTION("""COMPUTED_VALUE"""),"Lakeshore Lightning Hockey")</f>
        <v>Lakeshore Lightning Hockey</v>
      </c>
      <c r="H1015" s="26">
        <f t="shared" ca="1" si="1"/>
        <v>35</v>
      </c>
      <c r="I1015" s="26">
        <f t="shared" ca="1" si="2"/>
        <v>1</v>
      </c>
      <c r="J1015" s="86">
        <f t="shared" ca="1" si="3"/>
        <v>44999</v>
      </c>
      <c r="R1015" s="26"/>
    </row>
    <row r="1016" spans="1:18" ht="15.75" customHeight="1">
      <c r="A1016" s="26">
        <f ca="1">IFERROR(__xludf.DUMMYFUNCTION("""COMPUTED_VALUE"""),18061)</f>
        <v>18061</v>
      </c>
      <c r="B1016" s="86">
        <f ca="1">IFERROR(__xludf.DUMMYFUNCTION("""COMPUTED_VALUE"""),44998.5799652777)</f>
        <v>44998.579965277699</v>
      </c>
      <c r="C1016" s="1" t="str">
        <f ca="1">IFERROR(__xludf.DUMMYFUNCTION("""COMPUTED_VALUE"""),"completed")</f>
        <v>completed</v>
      </c>
      <c r="D1016" s="26">
        <f ca="1">IFERROR(__xludf.DUMMYFUNCTION("""COMPUTED_VALUE"""),100)</f>
        <v>100</v>
      </c>
      <c r="E1016" s="1"/>
      <c r="F1016" s="87" t="str">
        <f t="shared" ca="1" si="0"/>
        <v>2023</v>
      </c>
      <c r="G1016" s="1" t="str">
        <f ca="1">IFERROR(__xludf.DUMMYFUNCTION("""COMPUTED_VALUE"""),"WMFA")</f>
        <v>WMFA</v>
      </c>
      <c r="H1016" s="26">
        <f t="shared" ca="1" si="1"/>
        <v>100</v>
      </c>
      <c r="I1016" s="26">
        <f t="shared" ca="1" si="2"/>
        <v>1</v>
      </c>
      <c r="J1016" s="86">
        <f t="shared" ca="1" si="3"/>
        <v>44998</v>
      </c>
      <c r="R1016" s="26"/>
    </row>
    <row r="1017" spans="1:18" ht="15.75" customHeight="1">
      <c r="A1017" s="26">
        <f ca="1">IFERROR(__xludf.DUMMYFUNCTION("""COMPUTED_VALUE"""),18057)</f>
        <v>18057</v>
      </c>
      <c r="B1017" s="86">
        <f ca="1">IFERROR(__xludf.DUMMYFUNCTION("""COMPUTED_VALUE"""),44995.8387499999)</f>
        <v>44995.838749999901</v>
      </c>
      <c r="C1017" s="1" t="str">
        <f ca="1">IFERROR(__xludf.DUMMYFUNCTION("""COMPUTED_VALUE"""),"completed")</f>
        <v>completed</v>
      </c>
      <c r="D1017" s="26">
        <f ca="1">IFERROR(__xludf.DUMMYFUNCTION("""COMPUTED_VALUE"""),55)</f>
        <v>55</v>
      </c>
      <c r="E1017" s="1"/>
      <c r="F1017" s="87" t="str">
        <f t="shared" ca="1" si="0"/>
        <v>2023</v>
      </c>
      <c r="G1017" s="1" t="str">
        <f ca="1">IFERROR(__xludf.DUMMYFUNCTION("""COMPUTED_VALUE"""),"Lakeshore Lightning Hockey")</f>
        <v>Lakeshore Lightning Hockey</v>
      </c>
      <c r="H1017" s="26">
        <f t="shared" ca="1" si="1"/>
        <v>55</v>
      </c>
      <c r="I1017" s="26">
        <f t="shared" ca="1" si="2"/>
        <v>1</v>
      </c>
      <c r="J1017" s="86">
        <f t="shared" ca="1" si="3"/>
        <v>44995</v>
      </c>
      <c r="R1017" s="26"/>
    </row>
    <row r="1018" spans="1:18" ht="15.75" customHeight="1">
      <c r="A1018" s="26">
        <f ca="1">IFERROR(__xludf.DUMMYFUNCTION("""COMPUTED_VALUE"""),18056)</f>
        <v>18056</v>
      </c>
      <c r="B1018" s="86">
        <f ca="1">IFERROR(__xludf.DUMMYFUNCTION("""COMPUTED_VALUE"""),44995.8352083333)</f>
        <v>44995.835208333301</v>
      </c>
      <c r="C1018" s="1" t="str">
        <f ca="1">IFERROR(__xludf.DUMMYFUNCTION("""COMPUTED_VALUE"""),"completed")</f>
        <v>completed</v>
      </c>
      <c r="D1018" s="26">
        <f ca="1">IFERROR(__xludf.DUMMYFUNCTION("""COMPUTED_VALUE"""),55)</f>
        <v>55</v>
      </c>
      <c r="E1018" s="1"/>
      <c r="F1018" s="87" t="str">
        <f t="shared" ca="1" si="0"/>
        <v>2023</v>
      </c>
      <c r="G1018" s="1" t="str">
        <f ca="1">IFERROR(__xludf.DUMMYFUNCTION("""COMPUTED_VALUE"""),"W.M.H.A")</f>
        <v>W.M.H.A</v>
      </c>
      <c r="H1018" s="26">
        <f t="shared" ca="1" si="1"/>
        <v>55</v>
      </c>
      <c r="I1018" s="26">
        <f t="shared" ca="1" si="2"/>
        <v>1</v>
      </c>
      <c r="J1018" s="86">
        <f t="shared" ca="1" si="3"/>
        <v>44995</v>
      </c>
      <c r="R1018" s="26"/>
    </row>
    <row r="1019" spans="1:18" ht="15.75" customHeight="1">
      <c r="A1019" s="26">
        <f ca="1">IFERROR(__xludf.DUMMYFUNCTION("""COMPUTED_VALUE"""),18055)</f>
        <v>18055</v>
      </c>
      <c r="B1019" s="86">
        <f ca="1">IFERROR(__xludf.DUMMYFUNCTION("""COMPUTED_VALUE"""),44995.1430208333)</f>
        <v>44995.143020833297</v>
      </c>
      <c r="C1019" s="1" t="str">
        <f ca="1">IFERROR(__xludf.DUMMYFUNCTION("""COMPUTED_VALUE"""),"completed")</f>
        <v>completed</v>
      </c>
      <c r="D1019" s="26">
        <f ca="1">IFERROR(__xludf.DUMMYFUNCTION("""COMPUTED_VALUE"""),40)</f>
        <v>40</v>
      </c>
      <c r="E1019" s="1"/>
      <c r="F1019" s="87" t="str">
        <f t="shared" ca="1" si="0"/>
        <v>2023</v>
      </c>
      <c r="G1019" s="1" t="str">
        <f ca="1">IFERROR(__xludf.DUMMYFUNCTION("""COMPUTED_VALUE"""),"W.M.H.A")</f>
        <v>W.M.H.A</v>
      </c>
      <c r="H1019" s="26">
        <f t="shared" ca="1" si="1"/>
        <v>40</v>
      </c>
      <c r="I1019" s="26">
        <f t="shared" ca="1" si="2"/>
        <v>1</v>
      </c>
      <c r="J1019" s="86">
        <f t="shared" ca="1" si="3"/>
        <v>44995</v>
      </c>
      <c r="R1019" s="26"/>
    </row>
    <row r="1020" spans="1:18" ht="15.75" customHeight="1">
      <c r="A1020" s="26">
        <f ca="1">IFERROR(__xludf.DUMMYFUNCTION("""COMPUTED_VALUE"""),18054)</f>
        <v>18054</v>
      </c>
      <c r="B1020" s="86">
        <f ca="1">IFERROR(__xludf.DUMMYFUNCTION("""COMPUTED_VALUE"""),44995.115949074)</f>
        <v>44995.115949074003</v>
      </c>
      <c r="C1020" s="1" t="str">
        <f ca="1">IFERROR(__xludf.DUMMYFUNCTION("""COMPUTED_VALUE"""),"completed")</f>
        <v>completed</v>
      </c>
      <c r="D1020" s="26">
        <f ca="1">IFERROR(__xludf.DUMMYFUNCTION("""COMPUTED_VALUE"""),43)</f>
        <v>43</v>
      </c>
      <c r="E1020" s="1"/>
      <c r="F1020" s="87" t="str">
        <f t="shared" ca="1" si="0"/>
        <v>2023</v>
      </c>
      <c r="G1020" s="1" t="str">
        <f ca="1">IFERROR(__xludf.DUMMYFUNCTION("""COMPUTED_VALUE"""),"W.M.H.A")</f>
        <v>W.M.H.A</v>
      </c>
      <c r="H1020" s="26">
        <f t="shared" ca="1" si="1"/>
        <v>43</v>
      </c>
      <c r="I1020" s="26">
        <f t="shared" ca="1" si="2"/>
        <v>1</v>
      </c>
      <c r="J1020" s="86">
        <f t="shared" ca="1" si="3"/>
        <v>44995</v>
      </c>
      <c r="R1020" s="26"/>
    </row>
    <row r="1021" spans="1:18" ht="15.75" customHeight="1">
      <c r="A1021" s="26">
        <f ca="1">IFERROR(__xludf.DUMMYFUNCTION("""COMPUTED_VALUE"""),18053)</f>
        <v>18053</v>
      </c>
      <c r="B1021" s="86">
        <f ca="1">IFERROR(__xludf.DUMMYFUNCTION("""COMPUTED_VALUE"""),44994.7508564814)</f>
        <v>44994.750856481398</v>
      </c>
      <c r="C1021" s="1" t="str">
        <f ca="1">IFERROR(__xludf.DUMMYFUNCTION("""COMPUTED_VALUE"""),"completed")</f>
        <v>completed</v>
      </c>
      <c r="D1021" s="26">
        <f ca="1">IFERROR(__xludf.DUMMYFUNCTION("""COMPUTED_VALUE"""),25)</f>
        <v>25</v>
      </c>
      <c r="E1021" s="1"/>
      <c r="F1021" s="87" t="str">
        <f t="shared" ca="1" si="0"/>
        <v>2023</v>
      </c>
      <c r="G1021" s="1" t="str">
        <f ca="1">IFERROR(__xludf.DUMMYFUNCTION("""COMPUTED_VALUE"""),"WMFA")</f>
        <v>WMFA</v>
      </c>
      <c r="H1021" s="26">
        <f t="shared" ca="1" si="1"/>
        <v>25</v>
      </c>
      <c r="I1021" s="26">
        <f t="shared" ca="1" si="2"/>
        <v>1</v>
      </c>
      <c r="J1021" s="86">
        <f t="shared" ca="1" si="3"/>
        <v>44994</v>
      </c>
      <c r="R1021" s="26"/>
    </row>
    <row r="1022" spans="1:18" ht="15.75" customHeight="1">
      <c r="A1022" s="26">
        <f ca="1">IFERROR(__xludf.DUMMYFUNCTION("""COMPUTED_VALUE"""),18052)</f>
        <v>18052</v>
      </c>
      <c r="B1022" s="86">
        <f ca="1">IFERROR(__xludf.DUMMYFUNCTION("""COMPUTED_VALUE"""),44994.7490277777)</f>
        <v>44994.749027777703</v>
      </c>
      <c r="C1022" s="1" t="str">
        <f ca="1">IFERROR(__xludf.DUMMYFUNCTION("""COMPUTED_VALUE"""),"completed")</f>
        <v>completed</v>
      </c>
      <c r="D1022" s="26">
        <f ca="1">IFERROR(__xludf.DUMMYFUNCTION("""COMPUTED_VALUE"""),25)</f>
        <v>25</v>
      </c>
      <c r="E1022" s="1"/>
      <c r="F1022" s="87" t="str">
        <f t="shared" ca="1" si="0"/>
        <v>2023</v>
      </c>
      <c r="G1022" s="1" t="str">
        <f ca="1">IFERROR(__xludf.DUMMYFUNCTION("""COMPUTED_VALUE"""),"Lakeshore Lightning Hockey")</f>
        <v>Lakeshore Lightning Hockey</v>
      </c>
      <c r="H1022" s="26">
        <f t="shared" ca="1" si="1"/>
        <v>25</v>
      </c>
      <c r="I1022" s="26">
        <f t="shared" ca="1" si="2"/>
        <v>1</v>
      </c>
      <c r="J1022" s="86">
        <f t="shared" ca="1" si="3"/>
        <v>44994</v>
      </c>
      <c r="R1022" s="26"/>
    </row>
    <row r="1023" spans="1:18" ht="15.75" customHeight="1">
      <c r="A1023" s="26">
        <f ca="1">IFERROR(__xludf.DUMMYFUNCTION("""COMPUTED_VALUE"""),18047)</f>
        <v>18047</v>
      </c>
      <c r="B1023" s="86">
        <f ca="1">IFERROR(__xludf.DUMMYFUNCTION("""COMPUTED_VALUE"""),44993.9847222222)</f>
        <v>44993.984722222202</v>
      </c>
      <c r="C1023" s="1" t="str">
        <f ca="1">IFERROR(__xludf.DUMMYFUNCTION("""COMPUTED_VALUE"""),"completed")</f>
        <v>completed</v>
      </c>
      <c r="D1023" s="26">
        <f ca="1">IFERROR(__xludf.DUMMYFUNCTION("""COMPUTED_VALUE"""),50)</f>
        <v>50</v>
      </c>
      <c r="E1023" s="1"/>
      <c r="F1023" s="87" t="str">
        <f t="shared" ca="1" si="0"/>
        <v>2023</v>
      </c>
      <c r="G1023" s="1" t="str">
        <f ca="1">IFERROR(__xludf.DUMMYFUNCTION("""COMPUTED_VALUE"""),"W.M.H.A")</f>
        <v>W.M.H.A</v>
      </c>
      <c r="H1023" s="26">
        <f t="shared" ca="1" si="1"/>
        <v>50</v>
      </c>
      <c r="I1023" s="26">
        <f t="shared" ca="1" si="2"/>
        <v>1</v>
      </c>
      <c r="J1023" s="86">
        <f t="shared" ca="1" si="3"/>
        <v>44993</v>
      </c>
      <c r="R1023" s="26"/>
    </row>
    <row r="1024" spans="1:18" ht="15.75" customHeight="1">
      <c r="A1024" s="26">
        <f ca="1">IFERROR(__xludf.DUMMYFUNCTION("""COMPUTED_VALUE"""),18043)</f>
        <v>18043</v>
      </c>
      <c r="B1024" s="86">
        <f ca="1">IFERROR(__xludf.DUMMYFUNCTION("""COMPUTED_VALUE"""),44993.6133912037)</f>
        <v>44993.613391203697</v>
      </c>
      <c r="C1024" s="1" t="str">
        <f ca="1">IFERROR(__xludf.DUMMYFUNCTION("""COMPUTED_VALUE"""),"completed")</f>
        <v>completed</v>
      </c>
      <c r="D1024" s="26">
        <f ca="1">IFERROR(__xludf.DUMMYFUNCTION("""COMPUTED_VALUE"""),15)</f>
        <v>15</v>
      </c>
      <c r="E1024" s="1"/>
      <c r="F1024" s="87" t="str">
        <f t="shared" ca="1" si="0"/>
        <v>2023</v>
      </c>
      <c r="G1024" s="1" t="str">
        <f ca="1">IFERROR(__xludf.DUMMYFUNCTION("""COMPUTED_VALUE"""),"W.M.H.A")</f>
        <v>W.M.H.A</v>
      </c>
      <c r="H1024" s="26">
        <f t="shared" ca="1" si="1"/>
        <v>15</v>
      </c>
      <c r="I1024" s="26">
        <f t="shared" ca="1" si="2"/>
        <v>1</v>
      </c>
      <c r="J1024" s="86">
        <f t="shared" ca="1" si="3"/>
        <v>44993</v>
      </c>
      <c r="R1024" s="26"/>
    </row>
    <row r="1025" spans="1:18" ht="15.75" customHeight="1">
      <c r="A1025" s="26">
        <f ca="1">IFERROR(__xludf.DUMMYFUNCTION("""COMPUTED_VALUE"""),18042)</f>
        <v>18042</v>
      </c>
      <c r="B1025" s="86">
        <f ca="1">IFERROR(__xludf.DUMMYFUNCTION("""COMPUTED_VALUE"""),44993.6120717592)</f>
        <v>44993.612071759198</v>
      </c>
      <c r="C1025" s="1" t="str">
        <f ca="1">IFERROR(__xludf.DUMMYFUNCTION("""COMPUTED_VALUE"""),"completed")</f>
        <v>completed</v>
      </c>
      <c r="D1025" s="26">
        <f ca="1">IFERROR(__xludf.DUMMYFUNCTION("""COMPUTED_VALUE"""),35)</f>
        <v>35</v>
      </c>
      <c r="E1025" s="1"/>
      <c r="F1025" s="87" t="str">
        <f t="shared" ca="1" si="0"/>
        <v>2023</v>
      </c>
      <c r="G1025" s="1" t="str">
        <f ca="1">IFERROR(__xludf.DUMMYFUNCTION("""COMPUTED_VALUE"""),"W.M.H.A")</f>
        <v>W.M.H.A</v>
      </c>
      <c r="H1025" s="26">
        <f t="shared" ca="1" si="1"/>
        <v>35</v>
      </c>
      <c r="I1025" s="26">
        <f t="shared" ca="1" si="2"/>
        <v>1</v>
      </c>
      <c r="J1025" s="86">
        <f t="shared" ca="1" si="3"/>
        <v>44993</v>
      </c>
      <c r="R1025" s="26"/>
    </row>
    <row r="1026" spans="1:18" ht="15.75" customHeight="1">
      <c r="A1026" s="26">
        <f ca="1">IFERROR(__xludf.DUMMYFUNCTION("""COMPUTED_VALUE"""),18041)</f>
        <v>18041</v>
      </c>
      <c r="B1026" s="86">
        <f ca="1">IFERROR(__xludf.DUMMYFUNCTION("""COMPUTED_VALUE"""),44993.0822453703)</f>
        <v>44993.0822453703</v>
      </c>
      <c r="C1026" s="1" t="str">
        <f ca="1">IFERROR(__xludf.DUMMYFUNCTION("""COMPUTED_VALUE"""),"completed")</f>
        <v>completed</v>
      </c>
      <c r="D1026" s="26">
        <f ca="1">IFERROR(__xludf.DUMMYFUNCTION("""COMPUTED_VALUE"""),86)</f>
        <v>86</v>
      </c>
      <c r="E1026" s="1"/>
      <c r="F1026" s="87" t="str">
        <f t="shared" ca="1" si="0"/>
        <v>2023</v>
      </c>
      <c r="G1026" s="1" t="str">
        <f ca="1">IFERROR(__xludf.DUMMYFUNCTION("""COMPUTED_VALUE"""),"W.M.H.A")</f>
        <v>W.M.H.A</v>
      </c>
      <c r="H1026" s="26">
        <f t="shared" ca="1" si="1"/>
        <v>86</v>
      </c>
      <c r="I1026" s="26">
        <f t="shared" ca="1" si="2"/>
        <v>1</v>
      </c>
      <c r="J1026" s="86">
        <f t="shared" ca="1" si="3"/>
        <v>44993</v>
      </c>
      <c r="R1026" s="26"/>
    </row>
    <row r="1027" spans="1:18" ht="15.75" customHeight="1">
      <c r="A1027" s="26">
        <f ca="1">IFERROR(__xludf.DUMMYFUNCTION("""COMPUTED_VALUE"""),18040)</f>
        <v>18040</v>
      </c>
      <c r="B1027" s="86">
        <f ca="1">IFERROR(__xludf.DUMMYFUNCTION("""COMPUTED_VALUE"""),44992.8132754629)</f>
        <v>44992.813275462897</v>
      </c>
      <c r="C1027" s="1" t="str">
        <f ca="1">IFERROR(__xludf.DUMMYFUNCTION("""COMPUTED_VALUE"""),"completed")</f>
        <v>completed</v>
      </c>
      <c r="D1027" s="26">
        <f ca="1">IFERROR(__xludf.DUMMYFUNCTION("""COMPUTED_VALUE"""),40)</f>
        <v>40</v>
      </c>
      <c r="E1027" s="1"/>
      <c r="F1027" s="87" t="str">
        <f t="shared" ca="1" si="0"/>
        <v>2023</v>
      </c>
      <c r="G1027" s="1" t="str">
        <f ca="1">IFERROR(__xludf.DUMMYFUNCTION("""COMPUTED_VALUE"""),"W.M.H.A")</f>
        <v>W.M.H.A</v>
      </c>
      <c r="H1027" s="26">
        <f t="shared" ca="1" si="1"/>
        <v>40</v>
      </c>
      <c r="I1027" s="26">
        <f t="shared" ca="1" si="2"/>
        <v>1</v>
      </c>
      <c r="J1027" s="86">
        <f t="shared" ca="1" si="3"/>
        <v>44992</v>
      </c>
      <c r="R1027" s="26"/>
    </row>
    <row r="1028" spans="1:18" ht="15.75" customHeight="1">
      <c r="A1028" s="26">
        <f ca="1">IFERROR(__xludf.DUMMYFUNCTION("""COMPUTED_VALUE"""),18039)</f>
        <v>18039</v>
      </c>
      <c r="B1028" s="86">
        <f ca="1">IFERROR(__xludf.DUMMYFUNCTION("""COMPUTED_VALUE"""),44992.7861111111)</f>
        <v>44992.786111111098</v>
      </c>
      <c r="C1028" s="1" t="str">
        <f ca="1">IFERROR(__xludf.DUMMYFUNCTION("""COMPUTED_VALUE"""),"completed")</f>
        <v>completed</v>
      </c>
      <c r="D1028" s="26">
        <f ca="1">IFERROR(__xludf.DUMMYFUNCTION("""COMPUTED_VALUE"""),15)</f>
        <v>15</v>
      </c>
      <c r="E1028" s="1"/>
      <c r="F1028" s="87" t="str">
        <f t="shared" ca="1" si="0"/>
        <v>2023</v>
      </c>
      <c r="G1028" s="1" t="str">
        <f ca="1">IFERROR(__xludf.DUMMYFUNCTION("""COMPUTED_VALUE"""),"W.M.H.A")</f>
        <v>W.M.H.A</v>
      </c>
      <c r="H1028" s="26">
        <f t="shared" ca="1" si="1"/>
        <v>15</v>
      </c>
      <c r="I1028" s="26">
        <f t="shared" ca="1" si="2"/>
        <v>1</v>
      </c>
      <c r="J1028" s="86">
        <f t="shared" ca="1" si="3"/>
        <v>44992</v>
      </c>
      <c r="R1028" s="26"/>
    </row>
    <row r="1029" spans="1:18" ht="15.75" customHeight="1">
      <c r="A1029" s="26">
        <f ca="1">IFERROR(__xludf.DUMMYFUNCTION("""COMPUTED_VALUE"""),18038)</f>
        <v>18038</v>
      </c>
      <c r="B1029" s="86">
        <f ca="1">IFERROR(__xludf.DUMMYFUNCTION("""COMPUTED_VALUE"""),44991.9710300925)</f>
        <v>44991.9710300925</v>
      </c>
      <c r="C1029" s="1" t="str">
        <f ca="1">IFERROR(__xludf.DUMMYFUNCTION("""COMPUTED_VALUE"""),"completed")</f>
        <v>completed</v>
      </c>
      <c r="D1029" s="26">
        <f ca="1">IFERROR(__xludf.DUMMYFUNCTION("""COMPUTED_VALUE"""),25)</f>
        <v>25</v>
      </c>
      <c r="E1029" s="1"/>
      <c r="F1029" s="87" t="str">
        <f t="shared" ca="1" si="0"/>
        <v>2023</v>
      </c>
      <c r="G1029" s="1" t="str">
        <f ca="1">IFERROR(__xludf.DUMMYFUNCTION("""COMPUTED_VALUE"""),"W.M.H.A")</f>
        <v>W.M.H.A</v>
      </c>
      <c r="H1029" s="26">
        <f t="shared" ca="1" si="1"/>
        <v>25</v>
      </c>
      <c r="I1029" s="26">
        <f t="shared" ca="1" si="2"/>
        <v>1</v>
      </c>
      <c r="J1029" s="86">
        <f t="shared" ca="1" si="3"/>
        <v>44991</v>
      </c>
      <c r="R1029" s="26"/>
    </row>
    <row r="1030" spans="1:18" ht="15.75" customHeight="1">
      <c r="A1030" s="26">
        <f ca="1">IFERROR(__xludf.DUMMYFUNCTION("""COMPUTED_VALUE"""),18037)</f>
        <v>18037</v>
      </c>
      <c r="B1030" s="86">
        <f ca="1">IFERROR(__xludf.DUMMYFUNCTION("""COMPUTED_VALUE"""),44991.8935069444)</f>
        <v>44991.893506944398</v>
      </c>
      <c r="C1030" s="1" t="str">
        <f ca="1">IFERROR(__xludf.DUMMYFUNCTION("""COMPUTED_VALUE"""),"completed")</f>
        <v>completed</v>
      </c>
      <c r="D1030" s="26">
        <f ca="1">IFERROR(__xludf.DUMMYFUNCTION("""COMPUTED_VALUE"""),15)</f>
        <v>15</v>
      </c>
      <c r="E1030" s="1"/>
      <c r="F1030" s="87" t="str">
        <f t="shared" ca="1" si="0"/>
        <v>2023</v>
      </c>
      <c r="G1030" s="1" t="str">
        <f ca="1">IFERROR(__xludf.DUMMYFUNCTION("""COMPUTED_VALUE"""),"W.M.H.A")</f>
        <v>W.M.H.A</v>
      </c>
      <c r="H1030" s="26">
        <f t="shared" ca="1" si="1"/>
        <v>15</v>
      </c>
      <c r="I1030" s="26">
        <f t="shared" ca="1" si="2"/>
        <v>1</v>
      </c>
      <c r="J1030" s="86">
        <f t="shared" ca="1" si="3"/>
        <v>44991</v>
      </c>
      <c r="R1030" s="26"/>
    </row>
    <row r="1031" spans="1:18" ht="15.75" customHeight="1">
      <c r="A1031" s="26">
        <f ca="1">IFERROR(__xludf.DUMMYFUNCTION("""COMPUTED_VALUE"""),18036)</f>
        <v>18036</v>
      </c>
      <c r="B1031" s="86">
        <f ca="1">IFERROR(__xludf.DUMMYFUNCTION("""COMPUTED_VALUE"""),44991.6265509259)</f>
        <v>44991.626550925903</v>
      </c>
      <c r="C1031" s="1" t="str">
        <f ca="1">IFERROR(__xludf.DUMMYFUNCTION("""COMPUTED_VALUE"""),"completed")</f>
        <v>completed</v>
      </c>
      <c r="D1031" s="26">
        <f ca="1">IFERROR(__xludf.DUMMYFUNCTION("""COMPUTED_VALUE"""),15)</f>
        <v>15</v>
      </c>
      <c r="E1031" s="1"/>
      <c r="F1031" s="87" t="str">
        <f t="shared" ca="1" si="0"/>
        <v>2023</v>
      </c>
      <c r="G1031" s="1" t="str">
        <f ca="1">IFERROR(__xludf.DUMMYFUNCTION("""COMPUTED_VALUE"""),"W.M.H.A")</f>
        <v>W.M.H.A</v>
      </c>
      <c r="H1031" s="26">
        <f t="shared" ca="1" si="1"/>
        <v>15</v>
      </c>
      <c r="I1031" s="26">
        <f t="shared" ca="1" si="2"/>
        <v>1</v>
      </c>
      <c r="J1031" s="86">
        <f t="shared" ca="1" si="3"/>
        <v>44991</v>
      </c>
      <c r="R1031" s="26"/>
    </row>
    <row r="1032" spans="1:18" ht="15.75" customHeight="1">
      <c r="A1032" s="26">
        <f ca="1">IFERROR(__xludf.DUMMYFUNCTION("""COMPUTED_VALUE"""),18035)</f>
        <v>18035</v>
      </c>
      <c r="B1032" s="86">
        <f ca="1">IFERROR(__xludf.DUMMYFUNCTION("""COMPUTED_VALUE"""),44991.5380902777)</f>
        <v>44991.538090277703</v>
      </c>
      <c r="C1032" s="1" t="str">
        <f ca="1">IFERROR(__xludf.DUMMYFUNCTION("""COMPUTED_VALUE"""),"completed")</f>
        <v>completed</v>
      </c>
      <c r="D1032" s="26">
        <f ca="1">IFERROR(__xludf.DUMMYFUNCTION("""COMPUTED_VALUE"""),15)</f>
        <v>15</v>
      </c>
      <c r="E1032" s="1"/>
      <c r="F1032" s="87" t="str">
        <f t="shared" ca="1" si="0"/>
        <v>2023</v>
      </c>
      <c r="G1032" s="1" t="str">
        <f ca="1">IFERROR(__xludf.DUMMYFUNCTION("""COMPUTED_VALUE"""),"W.M.H.A")</f>
        <v>W.M.H.A</v>
      </c>
      <c r="H1032" s="26">
        <f t="shared" ca="1" si="1"/>
        <v>15</v>
      </c>
      <c r="I1032" s="26">
        <f t="shared" ca="1" si="2"/>
        <v>1</v>
      </c>
      <c r="J1032" s="86">
        <f t="shared" ca="1" si="3"/>
        <v>44991</v>
      </c>
      <c r="R1032" s="26"/>
    </row>
    <row r="1033" spans="1:18" ht="15.75" customHeight="1">
      <c r="A1033" s="26">
        <f ca="1">IFERROR(__xludf.DUMMYFUNCTION("""COMPUTED_VALUE"""),18034)</f>
        <v>18034</v>
      </c>
      <c r="B1033" s="86">
        <f ca="1">IFERROR(__xludf.DUMMYFUNCTION("""COMPUTED_VALUE"""),44991.5359837963)</f>
        <v>44991.535983796297</v>
      </c>
      <c r="C1033" s="1" t="str">
        <f ca="1">IFERROR(__xludf.DUMMYFUNCTION("""COMPUTED_VALUE"""),"completed")</f>
        <v>completed</v>
      </c>
      <c r="D1033" s="26">
        <f ca="1">IFERROR(__xludf.DUMMYFUNCTION("""COMPUTED_VALUE"""),35)</f>
        <v>35</v>
      </c>
      <c r="E1033" s="1"/>
      <c r="F1033" s="87" t="str">
        <f t="shared" ca="1" si="0"/>
        <v>2023</v>
      </c>
      <c r="G1033" s="1" t="str">
        <f ca="1">IFERROR(__xludf.DUMMYFUNCTION("""COMPUTED_VALUE"""),"W.M.H.A")</f>
        <v>W.M.H.A</v>
      </c>
      <c r="H1033" s="26">
        <f t="shared" ca="1" si="1"/>
        <v>35</v>
      </c>
      <c r="I1033" s="26">
        <f t="shared" ca="1" si="2"/>
        <v>1</v>
      </c>
      <c r="J1033" s="86">
        <f t="shared" ca="1" si="3"/>
        <v>44991</v>
      </c>
      <c r="R1033" s="26"/>
    </row>
    <row r="1034" spans="1:18" ht="15.75" customHeight="1">
      <c r="A1034" s="26">
        <f ca="1">IFERROR(__xludf.DUMMYFUNCTION("""COMPUTED_VALUE"""),18033)</f>
        <v>18033</v>
      </c>
      <c r="B1034" s="86">
        <f ca="1">IFERROR(__xludf.DUMMYFUNCTION("""COMPUTED_VALUE"""),44991.1289699074)</f>
        <v>44991.128969907397</v>
      </c>
      <c r="C1034" s="1" t="str">
        <f ca="1">IFERROR(__xludf.DUMMYFUNCTION("""COMPUTED_VALUE"""),"completed")</f>
        <v>completed</v>
      </c>
      <c r="D1034" s="26">
        <f ca="1">IFERROR(__xludf.DUMMYFUNCTION("""COMPUTED_VALUE"""),18)</f>
        <v>18</v>
      </c>
      <c r="E1034" s="1"/>
      <c r="F1034" s="87" t="str">
        <f t="shared" ca="1" si="0"/>
        <v>2023</v>
      </c>
      <c r="G1034" s="1" t="str">
        <f ca="1">IFERROR(__xludf.DUMMYFUNCTION("""COMPUTED_VALUE"""),"W.M.H.A")</f>
        <v>W.M.H.A</v>
      </c>
      <c r="H1034" s="26">
        <f t="shared" ca="1" si="1"/>
        <v>18</v>
      </c>
      <c r="I1034" s="26">
        <f t="shared" ca="1" si="2"/>
        <v>1</v>
      </c>
      <c r="J1034" s="86">
        <f t="shared" ca="1" si="3"/>
        <v>44991</v>
      </c>
      <c r="R1034" s="26"/>
    </row>
    <row r="1035" spans="1:18" ht="15.75" customHeight="1">
      <c r="A1035" s="26">
        <f ca="1">IFERROR(__xludf.DUMMYFUNCTION("""COMPUTED_VALUE"""),18032)</f>
        <v>18032</v>
      </c>
      <c r="B1035" s="86">
        <f ca="1">IFERROR(__xludf.DUMMYFUNCTION("""COMPUTED_VALUE"""),44991.0786458333)</f>
        <v>44991.078645833302</v>
      </c>
      <c r="C1035" s="1" t="str">
        <f ca="1">IFERROR(__xludf.DUMMYFUNCTION("""COMPUTED_VALUE"""),"completed")</f>
        <v>completed</v>
      </c>
      <c r="D1035" s="26">
        <f ca="1">IFERROR(__xludf.DUMMYFUNCTION("""COMPUTED_VALUE"""),33)</f>
        <v>33</v>
      </c>
      <c r="E1035" s="1"/>
      <c r="F1035" s="87" t="str">
        <f t="shared" ca="1" si="0"/>
        <v>2023</v>
      </c>
      <c r="G1035" s="1" t="str">
        <f ca="1">IFERROR(__xludf.DUMMYFUNCTION("""COMPUTED_VALUE"""),"W.M.H.A")</f>
        <v>W.M.H.A</v>
      </c>
      <c r="H1035" s="26">
        <f t="shared" ca="1" si="1"/>
        <v>33</v>
      </c>
      <c r="I1035" s="26">
        <f t="shared" ca="1" si="2"/>
        <v>1</v>
      </c>
      <c r="J1035" s="86">
        <f t="shared" ca="1" si="3"/>
        <v>44991</v>
      </c>
      <c r="R1035" s="26"/>
    </row>
    <row r="1036" spans="1:18" ht="15.75" customHeight="1">
      <c r="A1036" s="26">
        <f ca="1">IFERROR(__xludf.DUMMYFUNCTION("""COMPUTED_VALUE"""),18031)</f>
        <v>18031</v>
      </c>
      <c r="B1036" s="86">
        <f ca="1">IFERROR(__xludf.DUMMYFUNCTION("""COMPUTED_VALUE"""),44989.8387962962)</f>
        <v>44989.838796296201</v>
      </c>
      <c r="C1036" s="1" t="str">
        <f ca="1">IFERROR(__xludf.DUMMYFUNCTION("""COMPUTED_VALUE"""),"completed")</f>
        <v>completed</v>
      </c>
      <c r="D1036" s="26">
        <f ca="1">IFERROR(__xludf.DUMMYFUNCTION("""COMPUTED_VALUE"""),15)</f>
        <v>15</v>
      </c>
      <c r="E1036" s="1"/>
      <c r="F1036" s="87" t="str">
        <f t="shared" ca="1" si="0"/>
        <v>2023</v>
      </c>
      <c r="G1036" s="1" t="str">
        <f ca="1">IFERROR(__xludf.DUMMYFUNCTION("""COMPUTED_VALUE"""),"W.M.H.A")</f>
        <v>W.M.H.A</v>
      </c>
      <c r="H1036" s="26">
        <f t="shared" ca="1" si="1"/>
        <v>15</v>
      </c>
      <c r="I1036" s="26">
        <f t="shared" ca="1" si="2"/>
        <v>1</v>
      </c>
      <c r="J1036" s="86">
        <f t="shared" ca="1" si="3"/>
        <v>44989</v>
      </c>
      <c r="R1036" s="26"/>
    </row>
    <row r="1037" spans="1:18" ht="15.75" customHeight="1">
      <c r="A1037" s="26">
        <f ca="1">IFERROR(__xludf.DUMMYFUNCTION("""COMPUTED_VALUE"""),18030)</f>
        <v>18030</v>
      </c>
      <c r="B1037" s="86">
        <f ca="1">IFERROR(__xludf.DUMMYFUNCTION("""COMPUTED_VALUE"""),44989.0932754629)</f>
        <v>44989.093275462903</v>
      </c>
      <c r="C1037" s="1" t="str">
        <f ca="1">IFERROR(__xludf.DUMMYFUNCTION("""COMPUTED_VALUE"""),"completed")</f>
        <v>completed</v>
      </c>
      <c r="D1037" s="26">
        <f ca="1">IFERROR(__xludf.DUMMYFUNCTION("""COMPUTED_VALUE"""),80)</f>
        <v>80</v>
      </c>
      <c r="E1037" s="1"/>
      <c r="F1037" s="87" t="str">
        <f t="shared" ca="1" si="0"/>
        <v>2023</v>
      </c>
      <c r="G1037" s="1" t="str">
        <f ca="1">IFERROR(__xludf.DUMMYFUNCTION("""COMPUTED_VALUE"""),"W.M.H.A")</f>
        <v>W.M.H.A</v>
      </c>
      <c r="H1037" s="26">
        <f t="shared" ca="1" si="1"/>
        <v>80</v>
      </c>
      <c r="I1037" s="26">
        <f t="shared" ca="1" si="2"/>
        <v>1</v>
      </c>
      <c r="J1037" s="86">
        <f t="shared" ca="1" si="3"/>
        <v>44989</v>
      </c>
      <c r="R1037" s="26"/>
    </row>
    <row r="1038" spans="1:18" ht="15.75" customHeight="1">
      <c r="A1038" s="26">
        <f ca="1">IFERROR(__xludf.DUMMYFUNCTION("""COMPUTED_VALUE"""),18029)</f>
        <v>18029</v>
      </c>
      <c r="B1038" s="86">
        <f ca="1">IFERROR(__xludf.DUMMYFUNCTION("""COMPUTED_VALUE"""),44988.7056018518)</f>
        <v>44988.705601851798</v>
      </c>
      <c r="C1038" s="1" t="str">
        <f ca="1">IFERROR(__xludf.DUMMYFUNCTION("""COMPUTED_VALUE"""),"completed")</f>
        <v>completed</v>
      </c>
      <c r="D1038" s="26">
        <f ca="1">IFERROR(__xludf.DUMMYFUNCTION("""COMPUTED_VALUE"""),42)</f>
        <v>42</v>
      </c>
      <c r="E1038" s="1"/>
      <c r="F1038" s="87" t="str">
        <f t="shared" ca="1" si="0"/>
        <v>2023</v>
      </c>
      <c r="G1038" s="1" t="str">
        <f ca="1">IFERROR(__xludf.DUMMYFUNCTION("""COMPUTED_VALUE"""),"W.M.H.A")</f>
        <v>W.M.H.A</v>
      </c>
      <c r="H1038" s="26">
        <f t="shared" ca="1" si="1"/>
        <v>42</v>
      </c>
      <c r="I1038" s="26">
        <f t="shared" ca="1" si="2"/>
        <v>1</v>
      </c>
      <c r="J1038" s="86">
        <f t="shared" ca="1" si="3"/>
        <v>44988</v>
      </c>
      <c r="R1038" s="26"/>
    </row>
    <row r="1039" spans="1:18" ht="15.75" customHeight="1">
      <c r="A1039" s="26">
        <f ca="1">IFERROR(__xludf.DUMMYFUNCTION("""COMPUTED_VALUE"""),18025)</f>
        <v>18025</v>
      </c>
      <c r="B1039" s="86">
        <f ca="1">IFERROR(__xludf.DUMMYFUNCTION("""COMPUTED_VALUE"""),44986.6871527777)</f>
        <v>44986.687152777697</v>
      </c>
      <c r="C1039" s="1" t="str">
        <f ca="1">IFERROR(__xludf.DUMMYFUNCTION("""COMPUTED_VALUE"""),"completed")</f>
        <v>completed</v>
      </c>
      <c r="D1039" s="26">
        <f ca="1">IFERROR(__xludf.DUMMYFUNCTION("""COMPUTED_VALUE"""),30)</f>
        <v>30</v>
      </c>
      <c r="E1039" s="1"/>
      <c r="F1039" s="87" t="str">
        <f t="shared" ca="1" si="0"/>
        <v>2023</v>
      </c>
      <c r="G1039" s="1" t="str">
        <f ca="1">IFERROR(__xludf.DUMMYFUNCTION("""COMPUTED_VALUE"""),"W.M.H.A")</f>
        <v>W.M.H.A</v>
      </c>
      <c r="H1039" s="26">
        <f t="shared" ca="1" si="1"/>
        <v>30</v>
      </c>
      <c r="I1039" s="26">
        <f t="shared" ca="1" si="2"/>
        <v>1</v>
      </c>
      <c r="J1039" s="86">
        <f t="shared" ca="1" si="3"/>
        <v>44986</v>
      </c>
      <c r="R1039" s="26"/>
    </row>
    <row r="1040" spans="1:18" ht="15.75" customHeight="1">
      <c r="A1040" s="26">
        <f ca="1">IFERROR(__xludf.DUMMYFUNCTION("""COMPUTED_VALUE"""),18012)</f>
        <v>18012</v>
      </c>
      <c r="B1040" s="86">
        <f ca="1">IFERROR(__xludf.DUMMYFUNCTION("""COMPUTED_VALUE"""),44985.9580208333)</f>
        <v>44985.958020833299</v>
      </c>
      <c r="C1040" s="1" t="str">
        <f ca="1">IFERROR(__xludf.DUMMYFUNCTION("""COMPUTED_VALUE"""),"completed")</f>
        <v>completed</v>
      </c>
      <c r="D1040" s="26">
        <f ca="1">IFERROR(__xludf.DUMMYFUNCTION("""COMPUTED_VALUE"""),33)</f>
        <v>33</v>
      </c>
      <c r="E1040" s="1"/>
      <c r="F1040" s="87" t="str">
        <f t="shared" ca="1" si="0"/>
        <v>2023</v>
      </c>
      <c r="G1040" s="1" t="str">
        <f ca="1">IFERROR(__xludf.DUMMYFUNCTION("""COMPUTED_VALUE"""),"W.M.H.A")</f>
        <v>W.M.H.A</v>
      </c>
      <c r="H1040" s="26">
        <f t="shared" ca="1" si="1"/>
        <v>33</v>
      </c>
      <c r="I1040" s="26">
        <f t="shared" ca="1" si="2"/>
        <v>1</v>
      </c>
      <c r="J1040" s="86">
        <f t="shared" ca="1" si="3"/>
        <v>44985</v>
      </c>
      <c r="R1040" s="26"/>
    </row>
    <row r="1041" spans="1:18" ht="15.75" customHeight="1">
      <c r="A1041" s="26">
        <f ca="1">IFERROR(__xludf.DUMMYFUNCTION("""COMPUTED_VALUE"""),18011)</f>
        <v>18011</v>
      </c>
      <c r="B1041" s="86">
        <f ca="1">IFERROR(__xludf.DUMMYFUNCTION("""COMPUTED_VALUE"""),44985.1236689814)</f>
        <v>44985.123668981403</v>
      </c>
      <c r="C1041" s="1" t="str">
        <f ca="1">IFERROR(__xludf.DUMMYFUNCTION("""COMPUTED_VALUE"""),"completed")</f>
        <v>completed</v>
      </c>
      <c r="D1041" s="26">
        <f ca="1">IFERROR(__xludf.DUMMYFUNCTION("""COMPUTED_VALUE"""),15)</f>
        <v>15</v>
      </c>
      <c r="E1041" s="1"/>
      <c r="F1041" s="87" t="str">
        <f t="shared" ca="1" si="0"/>
        <v>2023</v>
      </c>
      <c r="G1041" s="1" t="str">
        <f ca="1">IFERROR(__xludf.DUMMYFUNCTION("""COMPUTED_VALUE"""),"W.M.H.A")</f>
        <v>W.M.H.A</v>
      </c>
      <c r="H1041" s="26">
        <f t="shared" ca="1" si="1"/>
        <v>15</v>
      </c>
      <c r="I1041" s="26">
        <f t="shared" ca="1" si="2"/>
        <v>1</v>
      </c>
      <c r="J1041" s="86">
        <f t="shared" ca="1" si="3"/>
        <v>44985</v>
      </c>
      <c r="R1041" s="26"/>
    </row>
    <row r="1042" spans="1:18" ht="15.75" customHeight="1">
      <c r="A1042" s="26">
        <f ca="1">IFERROR(__xludf.DUMMYFUNCTION("""COMPUTED_VALUE"""),18010)</f>
        <v>18010</v>
      </c>
      <c r="B1042" s="86">
        <f ca="1">IFERROR(__xludf.DUMMYFUNCTION("""COMPUTED_VALUE"""),44985.1182291666)</f>
        <v>44985.118229166597</v>
      </c>
      <c r="C1042" s="1" t="str">
        <f ca="1">IFERROR(__xludf.DUMMYFUNCTION("""COMPUTED_VALUE"""),"completed")</f>
        <v>completed</v>
      </c>
      <c r="D1042" s="26">
        <f ca="1">IFERROR(__xludf.DUMMYFUNCTION("""COMPUTED_VALUE"""),15)</f>
        <v>15</v>
      </c>
      <c r="E1042" s="1"/>
      <c r="F1042" s="87" t="str">
        <f t="shared" ca="1" si="0"/>
        <v>2023</v>
      </c>
      <c r="G1042" s="1" t="str">
        <f ca="1">IFERROR(__xludf.DUMMYFUNCTION("""COMPUTED_VALUE"""),"W.M.H.A")</f>
        <v>W.M.H.A</v>
      </c>
      <c r="H1042" s="26">
        <f t="shared" ca="1" si="1"/>
        <v>15</v>
      </c>
      <c r="I1042" s="26">
        <f t="shared" ca="1" si="2"/>
        <v>1</v>
      </c>
      <c r="J1042" s="86">
        <f t="shared" ca="1" si="3"/>
        <v>44985</v>
      </c>
      <c r="R1042" s="26"/>
    </row>
    <row r="1043" spans="1:18" ht="15.75" customHeight="1">
      <c r="A1043" s="26">
        <f ca="1">IFERROR(__xludf.DUMMYFUNCTION("""COMPUTED_VALUE"""),18009)</f>
        <v>18009</v>
      </c>
      <c r="B1043" s="86">
        <f ca="1">IFERROR(__xludf.DUMMYFUNCTION("""COMPUTED_VALUE"""),44984.6783796296)</f>
        <v>44984.6783796296</v>
      </c>
      <c r="C1043" s="1" t="str">
        <f ca="1">IFERROR(__xludf.DUMMYFUNCTION("""COMPUTED_VALUE"""),"completed")</f>
        <v>completed</v>
      </c>
      <c r="D1043" s="26">
        <f ca="1">IFERROR(__xludf.DUMMYFUNCTION("""COMPUTED_VALUE"""),15)</f>
        <v>15</v>
      </c>
      <c r="E1043" s="1"/>
      <c r="F1043" s="87" t="str">
        <f t="shared" ca="1" si="0"/>
        <v>2023</v>
      </c>
      <c r="G1043" s="1" t="str">
        <f ca="1">IFERROR(__xludf.DUMMYFUNCTION("""COMPUTED_VALUE"""),"W.M.H.A")</f>
        <v>W.M.H.A</v>
      </c>
      <c r="H1043" s="26">
        <f t="shared" ca="1" si="1"/>
        <v>15</v>
      </c>
      <c r="I1043" s="26">
        <f t="shared" ca="1" si="2"/>
        <v>1</v>
      </c>
      <c r="J1043" s="86">
        <f t="shared" ca="1" si="3"/>
        <v>44984</v>
      </c>
      <c r="R1043" s="26"/>
    </row>
    <row r="1044" spans="1:18" ht="15.75" customHeight="1">
      <c r="A1044" s="26">
        <f ca="1">IFERROR(__xludf.DUMMYFUNCTION("""COMPUTED_VALUE"""),18008)</f>
        <v>18008</v>
      </c>
      <c r="B1044" s="86">
        <f ca="1">IFERROR(__xludf.DUMMYFUNCTION("""COMPUTED_VALUE"""),44984.6557060185)</f>
        <v>44984.6557060185</v>
      </c>
      <c r="C1044" s="1" t="str">
        <f ca="1">IFERROR(__xludf.DUMMYFUNCTION("""COMPUTED_VALUE"""),"completed")</f>
        <v>completed</v>
      </c>
      <c r="D1044" s="26">
        <f ca="1">IFERROR(__xludf.DUMMYFUNCTION("""COMPUTED_VALUE"""),35)</f>
        <v>35</v>
      </c>
      <c r="E1044" s="1"/>
      <c r="F1044" s="87" t="str">
        <f t="shared" ca="1" si="0"/>
        <v>2023</v>
      </c>
      <c r="G1044" s="1" t="str">
        <f ca="1">IFERROR(__xludf.DUMMYFUNCTION("""COMPUTED_VALUE"""),"W.M.H.A")</f>
        <v>W.M.H.A</v>
      </c>
      <c r="H1044" s="26">
        <f t="shared" ca="1" si="1"/>
        <v>35</v>
      </c>
      <c r="I1044" s="26">
        <f t="shared" ca="1" si="2"/>
        <v>1</v>
      </c>
      <c r="J1044" s="86">
        <f t="shared" ca="1" si="3"/>
        <v>44984</v>
      </c>
      <c r="R1044" s="26"/>
    </row>
    <row r="1045" spans="1:18" ht="15.75" customHeight="1">
      <c r="A1045" s="26">
        <f ca="1">IFERROR(__xludf.DUMMYFUNCTION("""COMPUTED_VALUE"""),18007)</f>
        <v>18007</v>
      </c>
      <c r="B1045" s="86">
        <f ca="1">IFERROR(__xludf.DUMMYFUNCTION("""COMPUTED_VALUE"""),44984.6376273148)</f>
        <v>44984.637627314798</v>
      </c>
      <c r="C1045" s="1" t="str">
        <f ca="1">IFERROR(__xludf.DUMMYFUNCTION("""COMPUTED_VALUE"""),"completed")</f>
        <v>completed</v>
      </c>
      <c r="D1045" s="26">
        <f ca="1">IFERROR(__xludf.DUMMYFUNCTION("""COMPUTED_VALUE"""),25)</f>
        <v>25</v>
      </c>
      <c r="E1045" s="1"/>
      <c r="F1045" s="87" t="str">
        <f t="shared" ca="1" si="0"/>
        <v>2023</v>
      </c>
      <c r="G1045" s="1" t="str">
        <f ca="1">IFERROR(__xludf.DUMMYFUNCTION("""COMPUTED_VALUE"""),"W.M.H.A")</f>
        <v>W.M.H.A</v>
      </c>
      <c r="H1045" s="26">
        <f t="shared" ca="1" si="1"/>
        <v>25</v>
      </c>
      <c r="I1045" s="26">
        <f t="shared" ca="1" si="2"/>
        <v>1</v>
      </c>
      <c r="J1045" s="86">
        <f t="shared" ca="1" si="3"/>
        <v>44984</v>
      </c>
      <c r="R1045" s="26"/>
    </row>
    <row r="1046" spans="1:18" ht="15.75" customHeight="1">
      <c r="A1046" s="26">
        <f ca="1">IFERROR(__xludf.DUMMYFUNCTION("""COMPUTED_VALUE"""),18006)</f>
        <v>18006</v>
      </c>
      <c r="B1046" s="86">
        <f ca="1">IFERROR(__xludf.DUMMYFUNCTION("""COMPUTED_VALUE"""),44984.6323148148)</f>
        <v>44984.6323148148</v>
      </c>
      <c r="C1046" s="1" t="str">
        <f ca="1">IFERROR(__xludf.DUMMYFUNCTION("""COMPUTED_VALUE"""),"completed")</f>
        <v>completed</v>
      </c>
      <c r="D1046" s="26">
        <f ca="1">IFERROR(__xludf.DUMMYFUNCTION("""COMPUTED_VALUE"""),25)</f>
        <v>25</v>
      </c>
      <c r="E1046" s="1"/>
      <c r="F1046" s="87" t="str">
        <f t="shared" ca="1" si="0"/>
        <v>2023</v>
      </c>
      <c r="G1046" s="1" t="str">
        <f ca="1">IFERROR(__xludf.DUMMYFUNCTION("""COMPUTED_VALUE"""),"W.M.H.A")</f>
        <v>W.M.H.A</v>
      </c>
      <c r="H1046" s="26">
        <f t="shared" ca="1" si="1"/>
        <v>25</v>
      </c>
      <c r="I1046" s="26">
        <f t="shared" ca="1" si="2"/>
        <v>1</v>
      </c>
      <c r="J1046" s="86">
        <f t="shared" ca="1" si="3"/>
        <v>44984</v>
      </c>
      <c r="R1046" s="26"/>
    </row>
    <row r="1047" spans="1:18" ht="15.75" customHeight="1">
      <c r="A1047" s="26">
        <f ca="1">IFERROR(__xludf.DUMMYFUNCTION("""COMPUTED_VALUE"""),18005)</f>
        <v>18005</v>
      </c>
      <c r="B1047" s="86">
        <f ca="1">IFERROR(__xludf.DUMMYFUNCTION("""COMPUTED_VALUE"""),44984.5724305555)</f>
        <v>44984.572430555498</v>
      </c>
      <c r="C1047" s="1" t="str">
        <f ca="1">IFERROR(__xludf.DUMMYFUNCTION("""COMPUTED_VALUE"""),"completed")</f>
        <v>completed</v>
      </c>
      <c r="D1047" s="26">
        <f ca="1">IFERROR(__xludf.DUMMYFUNCTION("""COMPUTED_VALUE"""),30)</f>
        <v>30</v>
      </c>
      <c r="E1047" s="1"/>
      <c r="F1047" s="87" t="str">
        <f t="shared" ca="1" si="0"/>
        <v>2023</v>
      </c>
      <c r="G1047" s="1" t="str">
        <f ca="1">IFERROR(__xludf.DUMMYFUNCTION("""COMPUTED_VALUE"""),"W.M.H.A")</f>
        <v>W.M.H.A</v>
      </c>
      <c r="H1047" s="26">
        <f t="shared" ca="1" si="1"/>
        <v>30</v>
      </c>
      <c r="I1047" s="26">
        <f t="shared" ca="1" si="2"/>
        <v>1</v>
      </c>
      <c r="J1047" s="86">
        <f t="shared" ca="1" si="3"/>
        <v>44984</v>
      </c>
      <c r="R1047" s="26"/>
    </row>
    <row r="1048" spans="1:18" ht="15.75" customHeight="1">
      <c r="A1048" s="26">
        <f ca="1">IFERROR(__xludf.DUMMYFUNCTION("""COMPUTED_VALUE"""),18004)</f>
        <v>18004</v>
      </c>
      <c r="B1048" s="86">
        <f ca="1">IFERROR(__xludf.DUMMYFUNCTION("""COMPUTED_VALUE"""),44984.0879861111)</f>
        <v>44984.087986111103</v>
      </c>
      <c r="C1048" s="1" t="str">
        <f ca="1">IFERROR(__xludf.DUMMYFUNCTION("""COMPUTED_VALUE"""),"completed")</f>
        <v>completed</v>
      </c>
      <c r="D1048" s="26">
        <f ca="1">IFERROR(__xludf.DUMMYFUNCTION("""COMPUTED_VALUE"""),15)</f>
        <v>15</v>
      </c>
      <c r="E1048" s="1"/>
      <c r="F1048" s="87" t="str">
        <f t="shared" ca="1" si="0"/>
        <v>2023</v>
      </c>
      <c r="G1048" s="1" t="str">
        <f ca="1">IFERROR(__xludf.DUMMYFUNCTION("""COMPUTED_VALUE"""),"W.M.H.A")</f>
        <v>W.M.H.A</v>
      </c>
      <c r="H1048" s="26">
        <f t="shared" ca="1" si="1"/>
        <v>15</v>
      </c>
      <c r="I1048" s="26">
        <f t="shared" ca="1" si="2"/>
        <v>1</v>
      </c>
      <c r="J1048" s="86">
        <f t="shared" ca="1" si="3"/>
        <v>44984</v>
      </c>
      <c r="R1048" s="26"/>
    </row>
    <row r="1049" spans="1:18" ht="15.75" customHeight="1">
      <c r="A1049" s="26">
        <f ca="1">IFERROR(__xludf.DUMMYFUNCTION("""COMPUTED_VALUE"""),18003)</f>
        <v>18003</v>
      </c>
      <c r="B1049" s="86">
        <f ca="1">IFERROR(__xludf.DUMMYFUNCTION("""COMPUTED_VALUE"""),44983.7659259259)</f>
        <v>44983.765925925902</v>
      </c>
      <c r="C1049" s="1" t="str">
        <f ca="1">IFERROR(__xludf.DUMMYFUNCTION("""COMPUTED_VALUE"""),"completed")</f>
        <v>completed</v>
      </c>
      <c r="D1049" s="26">
        <f ca="1">IFERROR(__xludf.DUMMYFUNCTION("""COMPUTED_VALUE"""),15)</f>
        <v>15</v>
      </c>
      <c r="E1049" s="1"/>
      <c r="F1049" s="87" t="str">
        <f t="shared" ca="1" si="0"/>
        <v>2023</v>
      </c>
      <c r="G1049" s="1" t="str">
        <f ca="1">IFERROR(__xludf.DUMMYFUNCTION("""COMPUTED_VALUE"""),"Lakeshore Lightning Hockey")</f>
        <v>Lakeshore Lightning Hockey</v>
      </c>
      <c r="H1049" s="26">
        <f t="shared" ca="1" si="1"/>
        <v>15</v>
      </c>
      <c r="I1049" s="26">
        <f t="shared" ca="1" si="2"/>
        <v>1</v>
      </c>
      <c r="J1049" s="86">
        <f t="shared" ca="1" si="3"/>
        <v>44983</v>
      </c>
      <c r="R1049" s="26"/>
    </row>
    <row r="1050" spans="1:18" ht="15.75" customHeight="1">
      <c r="A1050" s="26">
        <f ca="1">IFERROR(__xludf.DUMMYFUNCTION("""COMPUTED_VALUE"""),18001)</f>
        <v>18001</v>
      </c>
      <c r="B1050" s="86">
        <f ca="1">IFERROR(__xludf.DUMMYFUNCTION("""COMPUTED_VALUE"""),44982.9544097222)</f>
        <v>44982.954409722202</v>
      </c>
      <c r="C1050" s="1" t="str">
        <f ca="1">IFERROR(__xludf.DUMMYFUNCTION("""COMPUTED_VALUE"""),"completed")</f>
        <v>completed</v>
      </c>
      <c r="D1050" s="26">
        <f ca="1">IFERROR(__xludf.DUMMYFUNCTION("""COMPUTED_VALUE"""),28)</f>
        <v>28</v>
      </c>
      <c r="E1050" s="1"/>
      <c r="F1050" s="87" t="str">
        <f t="shared" ca="1" si="0"/>
        <v>2023</v>
      </c>
      <c r="G1050" s="1" t="str">
        <f ca="1">IFERROR(__xludf.DUMMYFUNCTION("""COMPUTED_VALUE"""),"W.M.H.A")</f>
        <v>W.M.H.A</v>
      </c>
      <c r="H1050" s="26">
        <f t="shared" ca="1" si="1"/>
        <v>28</v>
      </c>
      <c r="I1050" s="26">
        <f t="shared" ca="1" si="2"/>
        <v>1</v>
      </c>
      <c r="J1050" s="86">
        <f t="shared" ca="1" si="3"/>
        <v>44982</v>
      </c>
      <c r="R1050" s="26"/>
    </row>
    <row r="1051" spans="1:18" ht="15.75" customHeight="1">
      <c r="A1051" s="26">
        <f ca="1">IFERROR(__xludf.DUMMYFUNCTION("""COMPUTED_VALUE"""),18000)</f>
        <v>18000</v>
      </c>
      <c r="B1051" s="86">
        <f ca="1">IFERROR(__xludf.DUMMYFUNCTION("""COMPUTED_VALUE"""),44982.7301504629)</f>
        <v>44982.730150462899</v>
      </c>
      <c r="C1051" s="1" t="str">
        <f ca="1">IFERROR(__xludf.DUMMYFUNCTION("""COMPUTED_VALUE"""),"completed")</f>
        <v>completed</v>
      </c>
      <c r="D1051" s="26">
        <f ca="1">IFERROR(__xludf.DUMMYFUNCTION("""COMPUTED_VALUE"""),30)</f>
        <v>30</v>
      </c>
      <c r="E1051" s="1"/>
      <c r="F1051" s="87" t="str">
        <f t="shared" ca="1" si="0"/>
        <v>2023</v>
      </c>
      <c r="G1051" s="1" t="str">
        <f ca="1">IFERROR(__xludf.DUMMYFUNCTION("""COMPUTED_VALUE"""),"W.M.H.A")</f>
        <v>W.M.H.A</v>
      </c>
      <c r="H1051" s="26">
        <f t="shared" ca="1" si="1"/>
        <v>30</v>
      </c>
      <c r="I1051" s="26">
        <f t="shared" ca="1" si="2"/>
        <v>1</v>
      </c>
      <c r="J1051" s="86">
        <f t="shared" ca="1" si="3"/>
        <v>44982</v>
      </c>
      <c r="R1051" s="26"/>
    </row>
    <row r="1052" spans="1:18" ht="15.75" customHeight="1">
      <c r="A1052" s="26">
        <f ca="1">IFERROR(__xludf.DUMMYFUNCTION("""COMPUTED_VALUE"""),17998)</f>
        <v>17998</v>
      </c>
      <c r="B1052" s="86">
        <f ca="1">IFERROR(__xludf.DUMMYFUNCTION("""COMPUTED_VALUE"""),44982.0810416666)</f>
        <v>44982.081041666599</v>
      </c>
      <c r="C1052" s="1" t="str">
        <f ca="1">IFERROR(__xludf.DUMMYFUNCTION("""COMPUTED_VALUE"""),"completed")</f>
        <v>completed</v>
      </c>
      <c r="D1052" s="26">
        <f ca="1">IFERROR(__xludf.DUMMYFUNCTION("""COMPUTED_VALUE"""),25)</f>
        <v>25</v>
      </c>
      <c r="E1052" s="1"/>
      <c r="F1052" s="87" t="str">
        <f t="shared" ca="1" si="0"/>
        <v>2023</v>
      </c>
      <c r="G1052" s="1" t="str">
        <f ca="1">IFERROR(__xludf.DUMMYFUNCTION("""COMPUTED_VALUE"""),"W.M.H.A")</f>
        <v>W.M.H.A</v>
      </c>
      <c r="H1052" s="26">
        <f t="shared" ca="1" si="1"/>
        <v>25</v>
      </c>
      <c r="I1052" s="26">
        <f t="shared" ca="1" si="2"/>
        <v>1</v>
      </c>
      <c r="J1052" s="86">
        <f t="shared" ca="1" si="3"/>
        <v>44982</v>
      </c>
      <c r="R1052" s="26"/>
    </row>
    <row r="1053" spans="1:18" ht="15.75" customHeight="1">
      <c r="A1053" s="26">
        <f ca="1">IFERROR(__xludf.DUMMYFUNCTION("""COMPUTED_VALUE"""),17997)</f>
        <v>17997</v>
      </c>
      <c r="B1053" s="86">
        <f ca="1">IFERROR(__xludf.DUMMYFUNCTION("""COMPUTED_VALUE"""),44981.9060300925)</f>
        <v>44981.906030092498</v>
      </c>
      <c r="C1053" s="1" t="str">
        <f ca="1">IFERROR(__xludf.DUMMYFUNCTION("""COMPUTED_VALUE"""),"completed")</f>
        <v>completed</v>
      </c>
      <c r="D1053" s="26">
        <f ca="1">IFERROR(__xludf.DUMMYFUNCTION("""COMPUTED_VALUE"""),28)</f>
        <v>28</v>
      </c>
      <c r="E1053" s="1"/>
      <c r="F1053" s="87" t="str">
        <f t="shared" ca="1" si="0"/>
        <v>2023</v>
      </c>
      <c r="G1053" s="1" t="str">
        <f ca="1">IFERROR(__xludf.DUMMYFUNCTION("""COMPUTED_VALUE"""),"W.M.H.A")</f>
        <v>W.M.H.A</v>
      </c>
      <c r="H1053" s="26">
        <f t="shared" ca="1" si="1"/>
        <v>28</v>
      </c>
      <c r="I1053" s="26">
        <f t="shared" ca="1" si="2"/>
        <v>1</v>
      </c>
      <c r="J1053" s="86">
        <f t="shared" ca="1" si="3"/>
        <v>44981</v>
      </c>
      <c r="R1053" s="26"/>
    </row>
    <row r="1054" spans="1:18" ht="15.75" customHeight="1">
      <c r="A1054" s="26">
        <f ca="1">IFERROR(__xludf.DUMMYFUNCTION("""COMPUTED_VALUE"""),17996)</f>
        <v>17996</v>
      </c>
      <c r="B1054" s="86">
        <f ca="1">IFERROR(__xludf.DUMMYFUNCTION("""COMPUTED_VALUE"""),44980.1377314814)</f>
        <v>44980.137731481402</v>
      </c>
      <c r="C1054" s="1" t="str">
        <f ca="1">IFERROR(__xludf.DUMMYFUNCTION("""COMPUTED_VALUE"""),"completed")</f>
        <v>completed</v>
      </c>
      <c r="D1054" s="26">
        <f ca="1">IFERROR(__xludf.DUMMYFUNCTION("""COMPUTED_VALUE"""),43)</f>
        <v>43</v>
      </c>
      <c r="E1054" s="1"/>
      <c r="F1054" s="87" t="str">
        <f t="shared" ca="1" si="0"/>
        <v>2023</v>
      </c>
      <c r="G1054" s="1" t="str">
        <f ca="1">IFERROR(__xludf.DUMMYFUNCTION("""COMPUTED_VALUE"""),"Lakeshore Lightning Hockey")</f>
        <v>Lakeshore Lightning Hockey</v>
      </c>
      <c r="H1054" s="26">
        <f t="shared" ca="1" si="1"/>
        <v>43</v>
      </c>
      <c r="I1054" s="26">
        <f t="shared" ca="1" si="2"/>
        <v>1</v>
      </c>
      <c r="J1054" s="86">
        <f t="shared" ca="1" si="3"/>
        <v>44980</v>
      </c>
      <c r="R1054" s="26"/>
    </row>
    <row r="1055" spans="1:18" ht="15.75" customHeight="1">
      <c r="A1055" s="26">
        <f ca="1">IFERROR(__xludf.DUMMYFUNCTION("""COMPUTED_VALUE"""),17995)</f>
        <v>17995</v>
      </c>
      <c r="B1055" s="86">
        <f ca="1">IFERROR(__xludf.DUMMYFUNCTION("""COMPUTED_VALUE"""),44979.806886574)</f>
        <v>44979.806886573999</v>
      </c>
      <c r="C1055" s="1" t="str">
        <f ca="1">IFERROR(__xludf.DUMMYFUNCTION("""COMPUTED_VALUE"""),"completed")</f>
        <v>completed</v>
      </c>
      <c r="D1055" s="26">
        <f ca="1">IFERROR(__xludf.DUMMYFUNCTION("""COMPUTED_VALUE"""),24)</f>
        <v>24</v>
      </c>
      <c r="E1055" s="1"/>
      <c r="F1055" s="87" t="str">
        <f t="shared" ca="1" si="0"/>
        <v>2023</v>
      </c>
      <c r="G1055" s="1" t="str">
        <f ca="1">IFERROR(__xludf.DUMMYFUNCTION("""COMPUTED_VALUE"""),"W.M.H.A")</f>
        <v>W.M.H.A</v>
      </c>
      <c r="H1055" s="26">
        <f t="shared" ca="1" si="1"/>
        <v>24</v>
      </c>
      <c r="I1055" s="26">
        <f t="shared" ca="1" si="2"/>
        <v>1</v>
      </c>
      <c r="J1055" s="86">
        <f t="shared" ca="1" si="3"/>
        <v>44979</v>
      </c>
      <c r="R1055" s="26"/>
    </row>
    <row r="1056" spans="1:18" ht="15.75" customHeight="1">
      <c r="A1056" s="26">
        <f ca="1">IFERROR(__xludf.DUMMYFUNCTION("""COMPUTED_VALUE"""),17994)</f>
        <v>17994</v>
      </c>
      <c r="B1056" s="86">
        <f ca="1">IFERROR(__xludf.DUMMYFUNCTION("""COMPUTED_VALUE"""),44979.6295138888)</f>
        <v>44979.629513888802</v>
      </c>
      <c r="C1056" s="1" t="str">
        <f ca="1">IFERROR(__xludf.DUMMYFUNCTION("""COMPUTED_VALUE"""),"completed")</f>
        <v>completed</v>
      </c>
      <c r="D1056" s="26">
        <f ca="1">IFERROR(__xludf.DUMMYFUNCTION("""COMPUTED_VALUE"""),64)</f>
        <v>64</v>
      </c>
      <c r="E1056" s="1"/>
      <c r="F1056" s="87" t="str">
        <f t="shared" ca="1" si="0"/>
        <v>2023</v>
      </c>
      <c r="G1056" s="1" t="str">
        <f ca="1">IFERROR(__xludf.DUMMYFUNCTION("""COMPUTED_VALUE"""),"W.M.H.A")</f>
        <v>W.M.H.A</v>
      </c>
      <c r="H1056" s="26">
        <f t="shared" ca="1" si="1"/>
        <v>64</v>
      </c>
      <c r="I1056" s="26">
        <f t="shared" ca="1" si="2"/>
        <v>1</v>
      </c>
      <c r="J1056" s="86">
        <f t="shared" ca="1" si="3"/>
        <v>44979</v>
      </c>
      <c r="R1056" s="26"/>
    </row>
    <row r="1057" spans="1:18" ht="15.75" customHeight="1">
      <c r="A1057" s="26">
        <f ca="1">IFERROR(__xludf.DUMMYFUNCTION("""COMPUTED_VALUE"""),17993)</f>
        <v>17993</v>
      </c>
      <c r="B1057" s="86">
        <f ca="1">IFERROR(__xludf.DUMMYFUNCTION("""COMPUTED_VALUE"""),44978.6941087962)</f>
        <v>44978.694108796197</v>
      </c>
      <c r="C1057" s="1" t="str">
        <f ca="1">IFERROR(__xludf.DUMMYFUNCTION("""COMPUTED_VALUE"""),"completed")</f>
        <v>completed</v>
      </c>
      <c r="D1057" s="26">
        <f ca="1">IFERROR(__xludf.DUMMYFUNCTION("""COMPUTED_VALUE"""),28)</f>
        <v>28</v>
      </c>
      <c r="E1057" s="1"/>
      <c r="F1057" s="87" t="str">
        <f t="shared" ca="1" si="0"/>
        <v>2023</v>
      </c>
      <c r="G1057" s="1" t="str">
        <f ca="1">IFERROR(__xludf.DUMMYFUNCTION("""COMPUTED_VALUE"""),"W.M.H.A")</f>
        <v>W.M.H.A</v>
      </c>
      <c r="H1057" s="26">
        <f t="shared" ca="1" si="1"/>
        <v>28</v>
      </c>
      <c r="I1057" s="26">
        <f t="shared" ca="1" si="2"/>
        <v>1</v>
      </c>
      <c r="J1057" s="86">
        <f t="shared" ca="1" si="3"/>
        <v>44978</v>
      </c>
      <c r="R1057" s="26"/>
    </row>
    <row r="1058" spans="1:18" ht="15.75" customHeight="1">
      <c r="A1058" s="26">
        <f ca="1">IFERROR(__xludf.DUMMYFUNCTION("""COMPUTED_VALUE"""),17992)</f>
        <v>17992</v>
      </c>
      <c r="B1058" s="86">
        <f ca="1">IFERROR(__xludf.DUMMYFUNCTION("""COMPUTED_VALUE"""),44978.6099652777)</f>
        <v>44978.609965277697</v>
      </c>
      <c r="C1058" s="1" t="str">
        <f ca="1">IFERROR(__xludf.DUMMYFUNCTION("""COMPUTED_VALUE"""),"completed")</f>
        <v>completed</v>
      </c>
      <c r="D1058" s="26">
        <f ca="1">IFERROR(__xludf.DUMMYFUNCTION("""COMPUTED_VALUE"""),79)</f>
        <v>79</v>
      </c>
      <c r="E1058" s="1"/>
      <c r="F1058" s="87" t="str">
        <f t="shared" ca="1" si="0"/>
        <v>2023</v>
      </c>
      <c r="G1058" s="1" t="str">
        <f ca="1">IFERROR(__xludf.DUMMYFUNCTION("""COMPUTED_VALUE"""),"W.M.H.A")</f>
        <v>W.M.H.A</v>
      </c>
      <c r="H1058" s="26">
        <f t="shared" ca="1" si="1"/>
        <v>79</v>
      </c>
      <c r="I1058" s="26">
        <f t="shared" ca="1" si="2"/>
        <v>1</v>
      </c>
      <c r="J1058" s="86">
        <f t="shared" ca="1" si="3"/>
        <v>44978</v>
      </c>
      <c r="R1058" s="26"/>
    </row>
    <row r="1059" spans="1:18" ht="15.75" customHeight="1">
      <c r="A1059" s="26">
        <f ca="1">IFERROR(__xludf.DUMMYFUNCTION("""COMPUTED_VALUE"""),17956)</f>
        <v>17956</v>
      </c>
      <c r="B1059" s="86">
        <f ca="1">IFERROR(__xludf.DUMMYFUNCTION("""COMPUTED_VALUE"""),44977.6139236111)</f>
        <v>44977.613923611098</v>
      </c>
      <c r="C1059" s="1" t="str">
        <f ca="1">IFERROR(__xludf.DUMMYFUNCTION("""COMPUTED_VALUE"""),"completed")</f>
        <v>completed</v>
      </c>
      <c r="D1059" s="26">
        <f ca="1">IFERROR(__xludf.DUMMYFUNCTION("""COMPUTED_VALUE"""),57)</f>
        <v>57</v>
      </c>
      <c r="E1059" s="1"/>
      <c r="F1059" s="87" t="str">
        <f t="shared" ca="1" si="0"/>
        <v>2023</v>
      </c>
      <c r="G1059" s="1" t="str">
        <f ca="1">IFERROR(__xludf.DUMMYFUNCTION("""COMPUTED_VALUE"""),"W.M.H.A")</f>
        <v>W.M.H.A</v>
      </c>
      <c r="H1059" s="26">
        <f t="shared" ca="1" si="1"/>
        <v>57</v>
      </c>
      <c r="I1059" s="26">
        <f t="shared" ca="1" si="2"/>
        <v>1</v>
      </c>
      <c r="J1059" s="86">
        <f t="shared" ca="1" si="3"/>
        <v>44977</v>
      </c>
      <c r="R1059" s="26"/>
    </row>
    <row r="1060" spans="1:18" ht="15.75" customHeight="1">
      <c r="A1060" s="26">
        <f ca="1">IFERROR(__xludf.DUMMYFUNCTION("""COMPUTED_VALUE"""),17955)</f>
        <v>17955</v>
      </c>
      <c r="B1060" s="86">
        <f ca="1">IFERROR(__xludf.DUMMYFUNCTION("""COMPUTED_VALUE"""),44977.550474537)</f>
        <v>44977.550474536998</v>
      </c>
      <c r="C1060" s="1" t="str">
        <f ca="1">IFERROR(__xludf.DUMMYFUNCTION("""COMPUTED_VALUE"""),"completed")</f>
        <v>completed</v>
      </c>
      <c r="D1060" s="26">
        <f ca="1">IFERROR(__xludf.DUMMYFUNCTION("""COMPUTED_VALUE"""),18)</f>
        <v>18</v>
      </c>
      <c r="E1060" s="1"/>
      <c r="F1060" s="87" t="str">
        <f t="shared" ca="1" si="0"/>
        <v>2023</v>
      </c>
      <c r="G1060" s="1" t="str">
        <f ca="1">IFERROR(__xludf.DUMMYFUNCTION("""COMPUTED_VALUE"""),"W.M.H.A")</f>
        <v>W.M.H.A</v>
      </c>
      <c r="H1060" s="26">
        <f t="shared" ca="1" si="1"/>
        <v>18</v>
      </c>
      <c r="I1060" s="26">
        <f t="shared" ca="1" si="2"/>
        <v>1</v>
      </c>
      <c r="J1060" s="86">
        <f t="shared" ca="1" si="3"/>
        <v>44977</v>
      </c>
      <c r="R1060" s="26"/>
    </row>
    <row r="1061" spans="1:18" ht="15.75" customHeight="1">
      <c r="A1061" s="26">
        <f ca="1">IFERROR(__xludf.DUMMYFUNCTION("""COMPUTED_VALUE"""),17954)</f>
        <v>17954</v>
      </c>
      <c r="B1061" s="86">
        <f ca="1">IFERROR(__xludf.DUMMYFUNCTION("""COMPUTED_VALUE"""),44977.5491087962)</f>
        <v>44977.5491087962</v>
      </c>
      <c r="C1061" s="1" t="str">
        <f ca="1">IFERROR(__xludf.DUMMYFUNCTION("""COMPUTED_VALUE"""),"completed")</f>
        <v>completed</v>
      </c>
      <c r="D1061" s="26">
        <f ca="1">IFERROR(__xludf.DUMMYFUNCTION("""COMPUTED_VALUE"""),18)</f>
        <v>18</v>
      </c>
      <c r="E1061" s="1"/>
      <c r="F1061" s="87" t="str">
        <f t="shared" ca="1" si="0"/>
        <v>2023</v>
      </c>
      <c r="G1061" s="1" t="str">
        <f ca="1">IFERROR(__xludf.DUMMYFUNCTION("""COMPUTED_VALUE"""),"W.M.H.A")</f>
        <v>W.M.H.A</v>
      </c>
      <c r="H1061" s="26">
        <f t="shared" ca="1" si="1"/>
        <v>18</v>
      </c>
      <c r="I1061" s="26">
        <f t="shared" ca="1" si="2"/>
        <v>1</v>
      </c>
      <c r="J1061" s="86">
        <f t="shared" ca="1" si="3"/>
        <v>44977</v>
      </c>
      <c r="R1061" s="26"/>
    </row>
    <row r="1062" spans="1:18" ht="15.75" customHeight="1">
      <c r="A1062" s="26">
        <f ca="1">IFERROR(__xludf.DUMMYFUNCTION("""COMPUTED_VALUE"""),17953)</f>
        <v>17953</v>
      </c>
      <c r="B1062" s="86">
        <f ca="1">IFERROR(__xludf.DUMMYFUNCTION("""COMPUTED_VALUE"""),44977.134699074)</f>
        <v>44977.134699073998</v>
      </c>
      <c r="C1062" s="1" t="str">
        <f ca="1">IFERROR(__xludf.DUMMYFUNCTION("""COMPUTED_VALUE"""),"completed")</f>
        <v>completed</v>
      </c>
      <c r="D1062" s="26">
        <f ca="1">IFERROR(__xludf.DUMMYFUNCTION("""COMPUTED_VALUE"""),24)</f>
        <v>24</v>
      </c>
      <c r="E1062" s="1"/>
      <c r="F1062" s="87" t="str">
        <f t="shared" ca="1" si="0"/>
        <v>2023</v>
      </c>
      <c r="G1062" s="1" t="str">
        <f ca="1">IFERROR(__xludf.DUMMYFUNCTION("""COMPUTED_VALUE"""),"Lakeshore Lightning Hockey")</f>
        <v>Lakeshore Lightning Hockey</v>
      </c>
      <c r="H1062" s="26">
        <f t="shared" ca="1" si="1"/>
        <v>24</v>
      </c>
      <c r="I1062" s="26">
        <f t="shared" ca="1" si="2"/>
        <v>1</v>
      </c>
      <c r="J1062" s="86">
        <f t="shared" ca="1" si="3"/>
        <v>44977</v>
      </c>
      <c r="R1062" s="26"/>
    </row>
    <row r="1063" spans="1:18" ht="15.75" customHeight="1">
      <c r="A1063" s="26">
        <f ca="1">IFERROR(__xludf.DUMMYFUNCTION("""COMPUTED_VALUE"""),17949)</f>
        <v>17949</v>
      </c>
      <c r="B1063" s="86">
        <f ca="1">IFERROR(__xludf.DUMMYFUNCTION("""COMPUTED_VALUE"""),44977.0744328703)</f>
        <v>44977.0744328703</v>
      </c>
      <c r="C1063" s="1" t="str">
        <f ca="1">IFERROR(__xludf.DUMMYFUNCTION("""COMPUTED_VALUE"""),"completed")</f>
        <v>completed</v>
      </c>
      <c r="D1063" s="26">
        <f ca="1">IFERROR(__xludf.DUMMYFUNCTION("""COMPUTED_VALUE"""),24)</f>
        <v>24</v>
      </c>
      <c r="E1063" s="1"/>
      <c r="F1063" s="87" t="str">
        <f t="shared" ca="1" si="0"/>
        <v>2023</v>
      </c>
      <c r="G1063" s="1" t="str">
        <f ca="1">IFERROR(__xludf.DUMMYFUNCTION("""COMPUTED_VALUE"""),"W.M.H.A")</f>
        <v>W.M.H.A</v>
      </c>
      <c r="H1063" s="26">
        <f t="shared" ca="1" si="1"/>
        <v>24</v>
      </c>
      <c r="I1063" s="26">
        <f t="shared" ca="1" si="2"/>
        <v>1</v>
      </c>
      <c r="J1063" s="86">
        <f t="shared" ca="1" si="3"/>
        <v>44977</v>
      </c>
      <c r="R1063" s="26"/>
    </row>
    <row r="1064" spans="1:18" ht="15.75" customHeight="1">
      <c r="A1064" s="26">
        <f ca="1">IFERROR(__xludf.DUMMYFUNCTION("""COMPUTED_VALUE"""),17923)</f>
        <v>17923</v>
      </c>
      <c r="B1064" s="86">
        <f ca="1">IFERROR(__xludf.DUMMYFUNCTION("""COMPUTED_VALUE"""),44977.0161342592)</f>
        <v>44977.016134259196</v>
      </c>
      <c r="C1064" s="1" t="str">
        <f ca="1">IFERROR(__xludf.DUMMYFUNCTION("""COMPUTED_VALUE"""),"completed")</f>
        <v>completed</v>
      </c>
      <c r="D1064" s="26">
        <f ca="1">IFERROR(__xludf.DUMMYFUNCTION("""COMPUTED_VALUE"""),68)</f>
        <v>68</v>
      </c>
      <c r="E1064" s="1"/>
      <c r="F1064" s="87" t="str">
        <f t="shared" ca="1" si="0"/>
        <v>2023</v>
      </c>
      <c r="G1064" s="1" t="str">
        <f ca="1">IFERROR(__xludf.DUMMYFUNCTION("""COMPUTED_VALUE"""),"W.M.H.A")</f>
        <v>W.M.H.A</v>
      </c>
      <c r="H1064" s="26">
        <f t="shared" ca="1" si="1"/>
        <v>68</v>
      </c>
      <c r="I1064" s="26">
        <f t="shared" ca="1" si="2"/>
        <v>1</v>
      </c>
      <c r="J1064" s="86">
        <f t="shared" ca="1" si="3"/>
        <v>44977</v>
      </c>
      <c r="R1064" s="26"/>
    </row>
    <row r="1065" spans="1:18" ht="15.75" customHeight="1">
      <c r="A1065" s="26">
        <f ca="1">IFERROR(__xludf.DUMMYFUNCTION("""COMPUTED_VALUE"""),17874)</f>
        <v>17874</v>
      </c>
      <c r="B1065" s="86">
        <f ca="1">IFERROR(__xludf.DUMMYFUNCTION("""COMPUTED_VALUE"""),44976.8454050925)</f>
        <v>44976.845405092499</v>
      </c>
      <c r="C1065" s="1" t="str">
        <f ca="1">IFERROR(__xludf.DUMMYFUNCTION("""COMPUTED_VALUE"""),"completed")</f>
        <v>completed</v>
      </c>
      <c r="D1065" s="26">
        <f ca="1">IFERROR(__xludf.DUMMYFUNCTION("""COMPUTED_VALUE"""),46)</f>
        <v>46</v>
      </c>
      <c r="E1065" s="1"/>
      <c r="F1065" s="87" t="str">
        <f t="shared" ca="1" si="0"/>
        <v>2023</v>
      </c>
      <c r="G1065" s="1" t="str">
        <f ca="1">IFERROR(__xludf.DUMMYFUNCTION("""COMPUTED_VALUE"""),"W.M.H.A")</f>
        <v>W.M.H.A</v>
      </c>
      <c r="H1065" s="26">
        <f t="shared" ca="1" si="1"/>
        <v>46</v>
      </c>
      <c r="I1065" s="26">
        <f t="shared" ca="1" si="2"/>
        <v>1</v>
      </c>
      <c r="J1065" s="86">
        <f t="shared" ca="1" si="3"/>
        <v>44976</v>
      </c>
      <c r="R1065" s="26"/>
    </row>
    <row r="1066" spans="1:18" ht="15.75" customHeight="1">
      <c r="A1066" s="26">
        <f ca="1">IFERROR(__xludf.DUMMYFUNCTION("""COMPUTED_VALUE"""),17873)</f>
        <v>17873</v>
      </c>
      <c r="B1066" s="86">
        <f ca="1">IFERROR(__xludf.DUMMYFUNCTION("""COMPUTED_VALUE"""),44976.845162037)</f>
        <v>44976.845162037003</v>
      </c>
      <c r="C1066" s="1" t="str">
        <f ca="1">IFERROR(__xludf.DUMMYFUNCTION("""COMPUTED_VALUE"""),"completed")</f>
        <v>completed</v>
      </c>
      <c r="D1066" s="26">
        <f ca="1">IFERROR(__xludf.DUMMYFUNCTION("""COMPUTED_VALUE"""),30)</f>
        <v>30</v>
      </c>
      <c r="E1066" s="1"/>
      <c r="F1066" s="87" t="str">
        <f t="shared" ca="1" si="0"/>
        <v>2023</v>
      </c>
      <c r="G1066" s="1" t="str">
        <f ca="1">IFERROR(__xludf.DUMMYFUNCTION("""COMPUTED_VALUE"""),"W.M.H.A")</f>
        <v>W.M.H.A</v>
      </c>
      <c r="H1066" s="26">
        <f t="shared" ca="1" si="1"/>
        <v>30</v>
      </c>
      <c r="I1066" s="26">
        <f t="shared" ca="1" si="2"/>
        <v>1</v>
      </c>
      <c r="J1066" s="86">
        <f t="shared" ca="1" si="3"/>
        <v>44976</v>
      </c>
      <c r="R1066" s="26"/>
    </row>
    <row r="1067" spans="1:18" ht="15.75" customHeight="1">
      <c r="A1067" s="26">
        <f ca="1">IFERROR(__xludf.DUMMYFUNCTION("""COMPUTED_VALUE"""),17872)</f>
        <v>17872</v>
      </c>
      <c r="B1067" s="86">
        <f ca="1">IFERROR(__xludf.DUMMYFUNCTION("""COMPUTED_VALUE"""),44976.5667592592)</f>
        <v>44976.5667592592</v>
      </c>
      <c r="C1067" s="1" t="str">
        <f ca="1">IFERROR(__xludf.DUMMYFUNCTION("""COMPUTED_VALUE"""),"completed")</f>
        <v>completed</v>
      </c>
      <c r="D1067" s="26">
        <f ca="1">IFERROR(__xludf.DUMMYFUNCTION("""COMPUTED_VALUE"""),48)</f>
        <v>48</v>
      </c>
      <c r="E1067" s="1"/>
      <c r="F1067" s="87" t="str">
        <f t="shared" ca="1" si="0"/>
        <v>2023</v>
      </c>
      <c r="G1067" s="1" t="str">
        <f ca="1">IFERROR(__xludf.DUMMYFUNCTION("""COMPUTED_VALUE"""),"W.M.H.A")</f>
        <v>W.M.H.A</v>
      </c>
      <c r="H1067" s="26">
        <f t="shared" ca="1" si="1"/>
        <v>48</v>
      </c>
      <c r="I1067" s="26">
        <f t="shared" ca="1" si="2"/>
        <v>1</v>
      </c>
      <c r="J1067" s="86">
        <f t="shared" ca="1" si="3"/>
        <v>44976</v>
      </c>
      <c r="R1067" s="26"/>
    </row>
    <row r="1068" spans="1:18" ht="15.75" customHeight="1">
      <c r="A1068" s="26">
        <f ca="1">IFERROR(__xludf.DUMMYFUNCTION("""COMPUTED_VALUE"""),17871)</f>
        <v>17871</v>
      </c>
      <c r="B1068" s="86">
        <f ca="1">IFERROR(__xludf.DUMMYFUNCTION("""COMPUTED_VALUE"""),44975.9422106481)</f>
        <v>44975.9422106481</v>
      </c>
      <c r="C1068" s="1" t="str">
        <f ca="1">IFERROR(__xludf.DUMMYFUNCTION("""COMPUTED_VALUE"""),"completed")</f>
        <v>completed</v>
      </c>
      <c r="D1068" s="26">
        <f ca="1">IFERROR(__xludf.DUMMYFUNCTION("""COMPUTED_VALUE"""),25)</f>
        <v>25</v>
      </c>
      <c r="E1068" s="1"/>
      <c r="F1068" s="87" t="str">
        <f t="shared" ca="1" si="0"/>
        <v>2023</v>
      </c>
      <c r="G1068" s="1" t="str">
        <f ca="1">IFERROR(__xludf.DUMMYFUNCTION("""COMPUTED_VALUE"""),"W.M.H.A")</f>
        <v>W.M.H.A</v>
      </c>
      <c r="H1068" s="26">
        <f t="shared" ca="1" si="1"/>
        <v>25</v>
      </c>
      <c r="I1068" s="26">
        <f t="shared" ca="1" si="2"/>
        <v>1</v>
      </c>
      <c r="J1068" s="86">
        <f t="shared" ca="1" si="3"/>
        <v>44975</v>
      </c>
      <c r="R1068" s="26"/>
    </row>
    <row r="1069" spans="1:18" ht="15.75" customHeight="1">
      <c r="A1069" s="26">
        <f ca="1">IFERROR(__xludf.DUMMYFUNCTION("""COMPUTED_VALUE"""),17870)</f>
        <v>17870</v>
      </c>
      <c r="B1069" s="86">
        <f ca="1">IFERROR(__xludf.DUMMYFUNCTION("""COMPUTED_VALUE"""),44975.9033796295)</f>
        <v>44975.903379629599</v>
      </c>
      <c r="C1069" s="1" t="str">
        <f ca="1">IFERROR(__xludf.DUMMYFUNCTION("""COMPUTED_VALUE"""),"completed")</f>
        <v>completed</v>
      </c>
      <c r="D1069" s="26">
        <f ca="1">IFERROR(__xludf.DUMMYFUNCTION("""COMPUTED_VALUE"""),35)</f>
        <v>35</v>
      </c>
      <c r="E1069" s="1"/>
      <c r="F1069" s="87" t="str">
        <f t="shared" ca="1" si="0"/>
        <v>2023</v>
      </c>
      <c r="G1069" s="1" t="str">
        <f ca="1">IFERROR(__xludf.DUMMYFUNCTION("""COMPUTED_VALUE"""),"W.M.H.A")</f>
        <v>W.M.H.A</v>
      </c>
      <c r="H1069" s="26">
        <f t="shared" ca="1" si="1"/>
        <v>35</v>
      </c>
      <c r="I1069" s="26">
        <f t="shared" ca="1" si="2"/>
        <v>1</v>
      </c>
      <c r="J1069" s="86">
        <f t="shared" ca="1" si="3"/>
        <v>44975</v>
      </c>
      <c r="R1069" s="26"/>
    </row>
    <row r="1070" spans="1:18" ht="15.75" customHeight="1">
      <c r="A1070" s="26">
        <f ca="1">IFERROR(__xludf.DUMMYFUNCTION("""COMPUTED_VALUE"""),17869)</f>
        <v>17869</v>
      </c>
      <c r="B1070" s="86">
        <f ca="1">IFERROR(__xludf.DUMMYFUNCTION("""COMPUTED_VALUE"""),44975.8582175925)</f>
        <v>44975.858217592497</v>
      </c>
      <c r="C1070" s="1" t="str">
        <f ca="1">IFERROR(__xludf.DUMMYFUNCTION("""COMPUTED_VALUE"""),"completed")</f>
        <v>completed</v>
      </c>
      <c r="D1070" s="26">
        <f ca="1">IFERROR(__xludf.DUMMYFUNCTION("""COMPUTED_VALUE"""),15)</f>
        <v>15</v>
      </c>
      <c r="E1070" s="1"/>
      <c r="F1070" s="87" t="str">
        <f t="shared" ca="1" si="0"/>
        <v>2023</v>
      </c>
      <c r="G1070" s="1" t="str">
        <f ca="1">IFERROR(__xludf.DUMMYFUNCTION("""COMPUTED_VALUE"""),"W.M.H.A")</f>
        <v>W.M.H.A</v>
      </c>
      <c r="H1070" s="26">
        <f t="shared" ca="1" si="1"/>
        <v>15</v>
      </c>
      <c r="I1070" s="26">
        <f t="shared" ca="1" si="2"/>
        <v>1</v>
      </c>
      <c r="J1070" s="86">
        <f t="shared" ca="1" si="3"/>
        <v>44975</v>
      </c>
      <c r="R1070" s="26"/>
    </row>
    <row r="1071" spans="1:18" ht="15.75" customHeight="1">
      <c r="A1071" s="26">
        <f ca="1">IFERROR(__xludf.DUMMYFUNCTION("""COMPUTED_VALUE"""),17868)</f>
        <v>17868</v>
      </c>
      <c r="B1071" s="86">
        <f ca="1">IFERROR(__xludf.DUMMYFUNCTION("""COMPUTED_VALUE"""),44975.8568171296)</f>
        <v>44975.856817129599</v>
      </c>
      <c r="C1071" s="1" t="str">
        <f ca="1">IFERROR(__xludf.DUMMYFUNCTION("""COMPUTED_VALUE"""),"completed")</f>
        <v>completed</v>
      </c>
      <c r="D1071" s="26">
        <f ca="1">IFERROR(__xludf.DUMMYFUNCTION("""COMPUTED_VALUE"""),15)</f>
        <v>15</v>
      </c>
      <c r="E1071" s="1"/>
      <c r="F1071" s="87" t="str">
        <f t="shared" ca="1" si="0"/>
        <v>2023</v>
      </c>
      <c r="G1071" s="1" t="str">
        <f ca="1">IFERROR(__xludf.DUMMYFUNCTION("""COMPUTED_VALUE"""),"W.M.H.A")</f>
        <v>W.M.H.A</v>
      </c>
      <c r="H1071" s="26">
        <f t="shared" ca="1" si="1"/>
        <v>15</v>
      </c>
      <c r="I1071" s="26">
        <f t="shared" ca="1" si="2"/>
        <v>1</v>
      </c>
      <c r="J1071" s="86">
        <f t="shared" ca="1" si="3"/>
        <v>44975</v>
      </c>
      <c r="R1071" s="26"/>
    </row>
    <row r="1072" spans="1:18" ht="15.75" customHeight="1">
      <c r="A1072" s="26">
        <f ca="1">IFERROR(__xludf.DUMMYFUNCTION("""COMPUTED_VALUE"""),17867)</f>
        <v>17867</v>
      </c>
      <c r="B1072" s="86">
        <f ca="1">IFERROR(__xludf.DUMMYFUNCTION("""COMPUTED_VALUE"""),44975.8550231481)</f>
        <v>44975.855023148099</v>
      </c>
      <c r="C1072" s="1" t="str">
        <f ca="1">IFERROR(__xludf.DUMMYFUNCTION("""COMPUTED_VALUE"""),"completed")</f>
        <v>completed</v>
      </c>
      <c r="D1072" s="26">
        <f ca="1">IFERROR(__xludf.DUMMYFUNCTION("""COMPUTED_VALUE"""),15)</f>
        <v>15</v>
      </c>
      <c r="E1072" s="1"/>
      <c r="F1072" s="87" t="str">
        <f t="shared" ca="1" si="0"/>
        <v>2023</v>
      </c>
      <c r="G1072" s="1" t="str">
        <f ca="1">IFERROR(__xludf.DUMMYFUNCTION("""COMPUTED_VALUE"""),"W.M.H.A")</f>
        <v>W.M.H.A</v>
      </c>
      <c r="H1072" s="26">
        <f t="shared" ca="1" si="1"/>
        <v>15</v>
      </c>
      <c r="I1072" s="26">
        <f t="shared" ca="1" si="2"/>
        <v>1</v>
      </c>
      <c r="J1072" s="86">
        <f t="shared" ca="1" si="3"/>
        <v>44975</v>
      </c>
      <c r="R1072" s="26"/>
    </row>
    <row r="1073" spans="1:18" ht="15.75" customHeight="1">
      <c r="A1073" s="26">
        <f ca="1">IFERROR(__xludf.DUMMYFUNCTION("""COMPUTED_VALUE"""),17866)</f>
        <v>17866</v>
      </c>
      <c r="B1073" s="86">
        <f ca="1">IFERROR(__xludf.DUMMYFUNCTION("""COMPUTED_VALUE"""),44975.8508912037)</f>
        <v>44975.8508912037</v>
      </c>
      <c r="C1073" s="1" t="str">
        <f ca="1">IFERROR(__xludf.DUMMYFUNCTION("""COMPUTED_VALUE"""),"completed")</f>
        <v>completed</v>
      </c>
      <c r="D1073" s="26">
        <f ca="1">IFERROR(__xludf.DUMMYFUNCTION("""COMPUTED_VALUE"""),18)</f>
        <v>18</v>
      </c>
      <c r="E1073" s="1"/>
      <c r="F1073" s="87" t="str">
        <f t="shared" ca="1" si="0"/>
        <v>2023</v>
      </c>
      <c r="G1073" s="1" t="str">
        <f ca="1">IFERROR(__xludf.DUMMYFUNCTION("""COMPUTED_VALUE"""),"W.M.H.A")</f>
        <v>W.M.H.A</v>
      </c>
      <c r="H1073" s="26">
        <f t="shared" ca="1" si="1"/>
        <v>18</v>
      </c>
      <c r="I1073" s="26">
        <f t="shared" ca="1" si="2"/>
        <v>1</v>
      </c>
      <c r="J1073" s="86">
        <f t="shared" ca="1" si="3"/>
        <v>44975</v>
      </c>
      <c r="R1073" s="26"/>
    </row>
    <row r="1074" spans="1:18" ht="15.75" customHeight="1">
      <c r="A1074" s="26">
        <f ca="1">IFERROR(__xludf.DUMMYFUNCTION("""COMPUTED_VALUE"""),17865)</f>
        <v>17865</v>
      </c>
      <c r="B1074" s="86">
        <f ca="1">IFERROR(__xludf.DUMMYFUNCTION("""COMPUTED_VALUE"""),44975.8284606481)</f>
        <v>44975.828460648103</v>
      </c>
      <c r="C1074" s="1" t="str">
        <f ca="1">IFERROR(__xludf.DUMMYFUNCTION("""COMPUTED_VALUE"""),"completed")</f>
        <v>completed</v>
      </c>
      <c r="D1074" s="26">
        <f ca="1">IFERROR(__xludf.DUMMYFUNCTION("""COMPUTED_VALUE"""),43)</f>
        <v>43</v>
      </c>
      <c r="E1074" s="1"/>
      <c r="F1074" s="87" t="str">
        <f t="shared" ca="1" si="0"/>
        <v>2023</v>
      </c>
      <c r="G1074" s="1" t="str">
        <f ca="1">IFERROR(__xludf.DUMMYFUNCTION("""COMPUTED_VALUE"""),"W.M.H.A")</f>
        <v>W.M.H.A</v>
      </c>
      <c r="H1074" s="26">
        <f t="shared" ca="1" si="1"/>
        <v>43</v>
      </c>
      <c r="I1074" s="26">
        <f t="shared" ca="1" si="2"/>
        <v>1</v>
      </c>
      <c r="J1074" s="86">
        <f t="shared" ca="1" si="3"/>
        <v>44975</v>
      </c>
      <c r="R1074" s="26"/>
    </row>
    <row r="1075" spans="1:18" ht="15.75" customHeight="1">
      <c r="A1075" s="26">
        <f ca="1">IFERROR(__xludf.DUMMYFUNCTION("""COMPUTED_VALUE"""),17864)</f>
        <v>17864</v>
      </c>
      <c r="B1075" s="86">
        <f ca="1">IFERROR(__xludf.DUMMYFUNCTION("""COMPUTED_VALUE"""),44975.8235532407)</f>
        <v>44975.823553240698</v>
      </c>
      <c r="C1075" s="1" t="str">
        <f ca="1">IFERROR(__xludf.DUMMYFUNCTION("""COMPUTED_VALUE"""),"completed")</f>
        <v>completed</v>
      </c>
      <c r="D1075" s="26">
        <f ca="1">IFERROR(__xludf.DUMMYFUNCTION("""COMPUTED_VALUE"""),80)</f>
        <v>80</v>
      </c>
      <c r="E1075" s="1"/>
      <c r="F1075" s="87" t="str">
        <f t="shared" ca="1" si="0"/>
        <v>2023</v>
      </c>
      <c r="G1075" s="1" t="str">
        <f ca="1">IFERROR(__xludf.DUMMYFUNCTION("""COMPUTED_VALUE"""),"W.M.H.A")</f>
        <v>W.M.H.A</v>
      </c>
      <c r="H1075" s="26">
        <f t="shared" ca="1" si="1"/>
        <v>80</v>
      </c>
      <c r="I1075" s="26">
        <f t="shared" ca="1" si="2"/>
        <v>1</v>
      </c>
      <c r="J1075" s="86">
        <f t="shared" ca="1" si="3"/>
        <v>44975</v>
      </c>
      <c r="R1075" s="26"/>
    </row>
    <row r="1076" spans="1:18" ht="15.75" customHeight="1">
      <c r="A1076" s="26">
        <f ca="1">IFERROR(__xludf.DUMMYFUNCTION("""COMPUTED_VALUE"""),17863)</f>
        <v>17863</v>
      </c>
      <c r="B1076" s="86">
        <f ca="1">IFERROR(__xludf.DUMMYFUNCTION("""COMPUTED_VALUE"""),44975.8022453703)</f>
        <v>44975.802245370302</v>
      </c>
      <c r="C1076" s="1" t="str">
        <f ca="1">IFERROR(__xludf.DUMMYFUNCTION("""COMPUTED_VALUE"""),"completed")</f>
        <v>completed</v>
      </c>
      <c r="D1076" s="26">
        <f ca="1">IFERROR(__xludf.DUMMYFUNCTION("""COMPUTED_VALUE"""),35)</f>
        <v>35</v>
      </c>
      <c r="E1076" s="1"/>
      <c r="F1076" s="87" t="str">
        <f t="shared" ca="1" si="0"/>
        <v>2023</v>
      </c>
      <c r="G1076" s="1" t="str">
        <f ca="1">IFERROR(__xludf.DUMMYFUNCTION("""COMPUTED_VALUE"""),"W.M.H.A")</f>
        <v>W.M.H.A</v>
      </c>
      <c r="H1076" s="26">
        <f t="shared" ca="1" si="1"/>
        <v>35</v>
      </c>
      <c r="I1076" s="26">
        <f t="shared" ca="1" si="2"/>
        <v>1</v>
      </c>
      <c r="J1076" s="86">
        <f t="shared" ca="1" si="3"/>
        <v>44975</v>
      </c>
      <c r="R1076" s="26"/>
    </row>
    <row r="1077" spans="1:18" ht="15.75" customHeight="1">
      <c r="A1077" s="26">
        <f ca="1">IFERROR(__xludf.DUMMYFUNCTION("""COMPUTED_VALUE"""),17862)</f>
        <v>17862</v>
      </c>
      <c r="B1077" s="86">
        <f ca="1">IFERROR(__xludf.DUMMYFUNCTION("""COMPUTED_VALUE"""),44975.7871759259)</f>
        <v>44975.7871759259</v>
      </c>
      <c r="C1077" s="1" t="str">
        <f ca="1">IFERROR(__xludf.DUMMYFUNCTION("""COMPUTED_VALUE"""),"completed")</f>
        <v>completed</v>
      </c>
      <c r="D1077" s="26">
        <f ca="1">IFERROR(__xludf.DUMMYFUNCTION("""COMPUTED_VALUE"""),24)</f>
        <v>24</v>
      </c>
      <c r="E1077" s="1"/>
      <c r="F1077" s="87" t="str">
        <f t="shared" ca="1" si="0"/>
        <v>2023</v>
      </c>
      <c r="G1077" s="1" t="str">
        <f ca="1">IFERROR(__xludf.DUMMYFUNCTION("""COMPUTED_VALUE"""),"Lakeshore Lightning Hockey")</f>
        <v>Lakeshore Lightning Hockey</v>
      </c>
      <c r="H1077" s="26">
        <f t="shared" ca="1" si="1"/>
        <v>24</v>
      </c>
      <c r="I1077" s="26">
        <f t="shared" ca="1" si="2"/>
        <v>1</v>
      </c>
      <c r="J1077" s="86">
        <f t="shared" ca="1" si="3"/>
        <v>44975</v>
      </c>
      <c r="R1077" s="26"/>
    </row>
    <row r="1078" spans="1:18" ht="15.75" customHeight="1">
      <c r="A1078" s="26">
        <f ca="1">IFERROR(__xludf.DUMMYFUNCTION("""COMPUTED_VALUE"""),17861)</f>
        <v>17861</v>
      </c>
      <c r="B1078" s="86">
        <f ca="1">IFERROR(__xludf.DUMMYFUNCTION("""COMPUTED_VALUE"""),44975.7596064814)</f>
        <v>44975.759606481399</v>
      </c>
      <c r="C1078" s="1" t="str">
        <f ca="1">IFERROR(__xludf.DUMMYFUNCTION("""COMPUTED_VALUE"""),"completed")</f>
        <v>completed</v>
      </c>
      <c r="D1078" s="26">
        <f ca="1">IFERROR(__xludf.DUMMYFUNCTION("""COMPUTED_VALUE"""),49)</f>
        <v>49</v>
      </c>
      <c r="E1078" s="1"/>
      <c r="F1078" s="87" t="str">
        <f t="shared" ca="1" si="0"/>
        <v>2023</v>
      </c>
      <c r="G1078" s="1" t="str">
        <f ca="1">IFERROR(__xludf.DUMMYFUNCTION("""COMPUTED_VALUE"""),"W.M.H.A")</f>
        <v>W.M.H.A</v>
      </c>
      <c r="H1078" s="26">
        <f t="shared" ca="1" si="1"/>
        <v>49</v>
      </c>
      <c r="I1078" s="26">
        <f t="shared" ca="1" si="2"/>
        <v>1</v>
      </c>
      <c r="J1078" s="86">
        <f t="shared" ca="1" si="3"/>
        <v>44975</v>
      </c>
      <c r="R1078" s="26"/>
    </row>
    <row r="1079" spans="1:18" ht="15.75" customHeight="1">
      <c r="A1079" s="26">
        <f ca="1">IFERROR(__xludf.DUMMYFUNCTION("""COMPUTED_VALUE"""),17860)</f>
        <v>17860</v>
      </c>
      <c r="B1079" s="86">
        <f ca="1">IFERROR(__xludf.DUMMYFUNCTION("""COMPUTED_VALUE"""),44975.753599537)</f>
        <v>44975.753599536998</v>
      </c>
      <c r="C1079" s="1" t="str">
        <f ca="1">IFERROR(__xludf.DUMMYFUNCTION("""COMPUTED_VALUE"""),"completed")</f>
        <v>completed</v>
      </c>
      <c r="D1079" s="26">
        <f ca="1">IFERROR(__xludf.DUMMYFUNCTION("""COMPUTED_VALUE"""),49)</f>
        <v>49</v>
      </c>
      <c r="E1079" s="1"/>
      <c r="F1079" s="87" t="str">
        <f t="shared" ca="1" si="0"/>
        <v>2023</v>
      </c>
      <c r="G1079" s="1" t="str">
        <f ca="1">IFERROR(__xludf.DUMMYFUNCTION("""COMPUTED_VALUE"""),"Windsor AAA Zone Hockey")</f>
        <v>Windsor AAA Zone Hockey</v>
      </c>
      <c r="H1079" s="26">
        <f t="shared" ca="1" si="1"/>
        <v>49</v>
      </c>
      <c r="I1079" s="26">
        <f t="shared" ca="1" si="2"/>
        <v>1</v>
      </c>
      <c r="J1079" s="86">
        <f t="shared" ca="1" si="3"/>
        <v>44975</v>
      </c>
      <c r="R1079" s="26"/>
    </row>
    <row r="1080" spans="1:18" ht="15.75" customHeight="1">
      <c r="A1080" s="26">
        <f ca="1">IFERROR(__xludf.DUMMYFUNCTION("""COMPUTED_VALUE"""),17859)</f>
        <v>17859</v>
      </c>
      <c r="B1080" s="86">
        <f ca="1">IFERROR(__xludf.DUMMYFUNCTION("""COMPUTED_VALUE"""),44975.7388773148)</f>
        <v>44975.738877314798</v>
      </c>
      <c r="C1080" s="1" t="str">
        <f ca="1">IFERROR(__xludf.DUMMYFUNCTION("""COMPUTED_VALUE"""),"completed")</f>
        <v>completed</v>
      </c>
      <c r="D1080" s="26">
        <f ca="1">IFERROR(__xludf.DUMMYFUNCTION("""COMPUTED_VALUE"""),18)</f>
        <v>18</v>
      </c>
      <c r="E1080" s="1"/>
      <c r="F1080" s="87" t="str">
        <f t="shared" ca="1" si="0"/>
        <v>2023</v>
      </c>
      <c r="G1080" s="1" t="str">
        <f ca="1">IFERROR(__xludf.DUMMYFUNCTION("""COMPUTED_VALUE"""),"Windsor AAA Zone Hockey")</f>
        <v>Windsor AAA Zone Hockey</v>
      </c>
      <c r="H1080" s="26">
        <f t="shared" ca="1" si="1"/>
        <v>18</v>
      </c>
      <c r="I1080" s="26">
        <f t="shared" ca="1" si="2"/>
        <v>1</v>
      </c>
      <c r="J1080" s="86">
        <f t="shared" ca="1" si="3"/>
        <v>44975</v>
      </c>
      <c r="R1080" s="26"/>
    </row>
    <row r="1081" spans="1:18" ht="15.75" customHeight="1">
      <c r="A1081" s="26">
        <f ca="1">IFERROR(__xludf.DUMMYFUNCTION("""COMPUTED_VALUE"""),17858)</f>
        <v>17858</v>
      </c>
      <c r="B1081" s="86">
        <f ca="1">IFERROR(__xludf.DUMMYFUNCTION("""COMPUTED_VALUE"""),44975.7201041666)</f>
        <v>44975.720104166598</v>
      </c>
      <c r="C1081" s="1" t="str">
        <f ca="1">IFERROR(__xludf.DUMMYFUNCTION("""COMPUTED_VALUE"""),"completed")</f>
        <v>completed</v>
      </c>
      <c r="D1081" s="26">
        <f ca="1">IFERROR(__xludf.DUMMYFUNCTION("""COMPUTED_VALUE"""),15)</f>
        <v>15</v>
      </c>
      <c r="E1081" s="1"/>
      <c r="F1081" s="87" t="str">
        <f t="shared" ca="1" si="0"/>
        <v>2023</v>
      </c>
      <c r="G1081" s="1" t="str">
        <f ca="1">IFERROR(__xludf.DUMMYFUNCTION("""COMPUTED_VALUE"""),"W.M.H.A")</f>
        <v>W.M.H.A</v>
      </c>
      <c r="H1081" s="26">
        <f t="shared" ca="1" si="1"/>
        <v>15</v>
      </c>
      <c r="I1081" s="26">
        <f t="shared" ca="1" si="2"/>
        <v>1</v>
      </c>
      <c r="J1081" s="86">
        <f t="shared" ca="1" si="3"/>
        <v>44975</v>
      </c>
      <c r="R1081" s="26"/>
    </row>
    <row r="1082" spans="1:18" ht="15.75" customHeight="1">
      <c r="A1082" s="26">
        <f ca="1">IFERROR(__xludf.DUMMYFUNCTION("""COMPUTED_VALUE"""),17857)</f>
        <v>17857</v>
      </c>
      <c r="B1082" s="86">
        <f ca="1">IFERROR(__xludf.DUMMYFUNCTION("""COMPUTED_VALUE"""),44975.7197685185)</f>
        <v>44975.719768518502</v>
      </c>
      <c r="C1082" s="1" t="str">
        <f ca="1">IFERROR(__xludf.DUMMYFUNCTION("""COMPUTED_VALUE"""),"completed")</f>
        <v>completed</v>
      </c>
      <c r="D1082" s="26">
        <f ca="1">IFERROR(__xludf.DUMMYFUNCTION("""COMPUTED_VALUE"""),24)</f>
        <v>24</v>
      </c>
      <c r="E1082" s="1"/>
      <c r="F1082" s="87" t="str">
        <f t="shared" ca="1" si="0"/>
        <v>2023</v>
      </c>
      <c r="G1082" s="1" t="str">
        <f ca="1">IFERROR(__xludf.DUMMYFUNCTION("""COMPUTED_VALUE"""),"W.M.H.A")</f>
        <v>W.M.H.A</v>
      </c>
      <c r="H1082" s="26">
        <f t="shared" ca="1" si="1"/>
        <v>24</v>
      </c>
      <c r="I1082" s="26">
        <f t="shared" ca="1" si="2"/>
        <v>1</v>
      </c>
      <c r="J1082" s="86">
        <f t="shared" ca="1" si="3"/>
        <v>44975</v>
      </c>
      <c r="R1082" s="26"/>
    </row>
    <row r="1083" spans="1:18" ht="15.75" customHeight="1">
      <c r="A1083" s="26">
        <f ca="1">IFERROR(__xludf.DUMMYFUNCTION("""COMPUTED_VALUE"""),17856)</f>
        <v>17856</v>
      </c>
      <c r="B1083" s="86">
        <f ca="1">IFERROR(__xludf.DUMMYFUNCTION("""COMPUTED_VALUE"""),44975.7161342592)</f>
        <v>44975.716134259201</v>
      </c>
      <c r="C1083" s="1" t="str">
        <f ca="1">IFERROR(__xludf.DUMMYFUNCTION("""COMPUTED_VALUE"""),"completed")</f>
        <v>completed</v>
      </c>
      <c r="D1083" s="26">
        <f ca="1">IFERROR(__xludf.DUMMYFUNCTION("""COMPUTED_VALUE"""),25)</f>
        <v>25</v>
      </c>
      <c r="E1083" s="1"/>
      <c r="F1083" s="87" t="str">
        <f t="shared" ca="1" si="0"/>
        <v>2023</v>
      </c>
      <c r="G1083" s="1" t="str">
        <f ca="1">IFERROR(__xludf.DUMMYFUNCTION("""COMPUTED_VALUE"""),"W.M.H.A")</f>
        <v>W.M.H.A</v>
      </c>
      <c r="H1083" s="26">
        <f t="shared" ca="1" si="1"/>
        <v>25</v>
      </c>
      <c r="I1083" s="26">
        <f t="shared" ca="1" si="2"/>
        <v>1</v>
      </c>
      <c r="J1083" s="86">
        <f t="shared" ca="1" si="3"/>
        <v>44975</v>
      </c>
      <c r="R1083" s="26"/>
    </row>
    <row r="1084" spans="1:18" ht="15.75" customHeight="1">
      <c r="A1084" s="26">
        <f ca="1">IFERROR(__xludf.DUMMYFUNCTION("""COMPUTED_VALUE"""),17855)</f>
        <v>17855</v>
      </c>
      <c r="B1084" s="86">
        <f ca="1">IFERROR(__xludf.DUMMYFUNCTION("""COMPUTED_VALUE"""),44975.7127893518)</f>
        <v>44975.712789351797</v>
      </c>
      <c r="C1084" s="1" t="str">
        <f ca="1">IFERROR(__xludf.DUMMYFUNCTION("""COMPUTED_VALUE"""),"completed")</f>
        <v>completed</v>
      </c>
      <c r="D1084" s="26">
        <f ca="1">IFERROR(__xludf.DUMMYFUNCTION("""COMPUTED_VALUE"""),25)</f>
        <v>25</v>
      </c>
      <c r="E1084" s="1"/>
      <c r="F1084" s="87" t="str">
        <f t="shared" ca="1" si="0"/>
        <v>2023</v>
      </c>
      <c r="G1084" s="1" t="str">
        <f ca="1">IFERROR(__xludf.DUMMYFUNCTION("""COMPUTED_VALUE"""),"W.M.H.A")</f>
        <v>W.M.H.A</v>
      </c>
      <c r="H1084" s="26">
        <f t="shared" ca="1" si="1"/>
        <v>25</v>
      </c>
      <c r="I1084" s="26">
        <f t="shared" ca="1" si="2"/>
        <v>1</v>
      </c>
      <c r="J1084" s="86">
        <f t="shared" ca="1" si="3"/>
        <v>44975</v>
      </c>
      <c r="R1084" s="26"/>
    </row>
    <row r="1085" spans="1:18" ht="15.75" customHeight="1">
      <c r="A1085" s="26">
        <f ca="1">IFERROR(__xludf.DUMMYFUNCTION("""COMPUTED_VALUE"""),17854)</f>
        <v>17854</v>
      </c>
      <c r="B1085" s="86">
        <f ca="1">IFERROR(__xludf.DUMMYFUNCTION("""COMPUTED_VALUE"""),44975.7126273148)</f>
        <v>44975.712627314802</v>
      </c>
      <c r="C1085" s="1" t="str">
        <f ca="1">IFERROR(__xludf.DUMMYFUNCTION("""COMPUTED_VALUE"""),"completed")</f>
        <v>completed</v>
      </c>
      <c r="D1085" s="26">
        <f ca="1">IFERROR(__xludf.DUMMYFUNCTION("""COMPUTED_VALUE"""),30)</f>
        <v>30</v>
      </c>
      <c r="E1085" s="1"/>
      <c r="F1085" s="87" t="str">
        <f t="shared" ca="1" si="0"/>
        <v>2023</v>
      </c>
      <c r="G1085" s="1" t="str">
        <f ca="1">IFERROR(__xludf.DUMMYFUNCTION("""COMPUTED_VALUE"""),"Lakeshore Lightning Hockey")</f>
        <v>Lakeshore Lightning Hockey</v>
      </c>
      <c r="H1085" s="26">
        <f t="shared" ca="1" si="1"/>
        <v>30</v>
      </c>
      <c r="I1085" s="26">
        <f t="shared" ca="1" si="2"/>
        <v>1</v>
      </c>
      <c r="J1085" s="86">
        <f t="shared" ca="1" si="3"/>
        <v>44975</v>
      </c>
      <c r="R1085" s="26"/>
    </row>
    <row r="1086" spans="1:18" ht="15.75" customHeight="1">
      <c r="A1086" s="26">
        <f ca="1">IFERROR(__xludf.DUMMYFUNCTION("""COMPUTED_VALUE"""),17853)</f>
        <v>17853</v>
      </c>
      <c r="B1086" s="86">
        <f ca="1">IFERROR(__xludf.DUMMYFUNCTION("""COMPUTED_VALUE"""),44975.7106018518)</f>
        <v>44975.710601851802</v>
      </c>
      <c r="C1086" s="1" t="str">
        <f ca="1">IFERROR(__xludf.DUMMYFUNCTION("""COMPUTED_VALUE"""),"completed")</f>
        <v>completed</v>
      </c>
      <c r="D1086" s="26">
        <f ca="1">IFERROR(__xludf.DUMMYFUNCTION("""COMPUTED_VALUE"""),25)</f>
        <v>25</v>
      </c>
      <c r="E1086" s="1"/>
      <c r="F1086" s="87" t="str">
        <f t="shared" ca="1" si="0"/>
        <v>2023</v>
      </c>
      <c r="G1086" s="1" t="str">
        <f ca="1">IFERROR(__xludf.DUMMYFUNCTION("""COMPUTED_VALUE"""),"WMFA")</f>
        <v>WMFA</v>
      </c>
      <c r="H1086" s="26">
        <f t="shared" ca="1" si="1"/>
        <v>25</v>
      </c>
      <c r="I1086" s="26">
        <f t="shared" ca="1" si="2"/>
        <v>1</v>
      </c>
      <c r="J1086" s="86">
        <f t="shared" ca="1" si="3"/>
        <v>44975</v>
      </c>
      <c r="R1086" s="26"/>
    </row>
    <row r="1087" spans="1:18" ht="15.75" customHeight="1">
      <c r="A1087" s="26">
        <f ca="1">IFERROR(__xludf.DUMMYFUNCTION("""COMPUTED_VALUE"""),17852)</f>
        <v>17852</v>
      </c>
      <c r="B1087" s="86">
        <f ca="1">IFERROR(__xludf.DUMMYFUNCTION("""COMPUTED_VALUE"""),44975.7089699074)</f>
        <v>44975.708969907399</v>
      </c>
      <c r="C1087" s="1" t="str">
        <f ca="1">IFERROR(__xludf.DUMMYFUNCTION("""COMPUTED_VALUE"""),"completed")</f>
        <v>completed</v>
      </c>
      <c r="D1087" s="26">
        <f ca="1">IFERROR(__xludf.DUMMYFUNCTION("""COMPUTED_VALUE"""),25)</f>
        <v>25</v>
      </c>
      <c r="E1087" s="1"/>
      <c r="F1087" s="87" t="str">
        <f t="shared" ca="1" si="0"/>
        <v>2023</v>
      </c>
      <c r="G1087" s="1" t="str">
        <f ca="1">IFERROR(__xludf.DUMMYFUNCTION("""COMPUTED_VALUE"""),"Lakeshore Lightning Hockey")</f>
        <v>Lakeshore Lightning Hockey</v>
      </c>
      <c r="H1087" s="26">
        <f t="shared" ca="1" si="1"/>
        <v>25</v>
      </c>
      <c r="I1087" s="26">
        <f t="shared" ca="1" si="2"/>
        <v>1</v>
      </c>
      <c r="J1087" s="86">
        <f t="shared" ca="1" si="3"/>
        <v>44975</v>
      </c>
      <c r="R1087" s="26"/>
    </row>
    <row r="1088" spans="1:18" ht="15.75" customHeight="1">
      <c r="A1088" s="26">
        <f ca="1">IFERROR(__xludf.DUMMYFUNCTION("""COMPUTED_VALUE"""),17851)</f>
        <v>17851</v>
      </c>
      <c r="B1088" s="86">
        <f ca="1">IFERROR(__xludf.DUMMYFUNCTION("""COMPUTED_VALUE"""),44975.6961111111)</f>
        <v>44975.696111111101</v>
      </c>
      <c r="C1088" s="1" t="str">
        <f ca="1">IFERROR(__xludf.DUMMYFUNCTION("""COMPUTED_VALUE"""),"completed")</f>
        <v>completed</v>
      </c>
      <c r="D1088" s="26">
        <f ca="1">IFERROR(__xludf.DUMMYFUNCTION("""COMPUTED_VALUE"""),47)</f>
        <v>47</v>
      </c>
      <c r="E1088" s="1"/>
      <c r="F1088" s="87" t="str">
        <f t="shared" ca="1" si="0"/>
        <v>2023</v>
      </c>
      <c r="G1088" s="1" t="str">
        <f ca="1">IFERROR(__xludf.DUMMYFUNCTION("""COMPUTED_VALUE"""),"Lakeshore Lightning Hockey")</f>
        <v>Lakeshore Lightning Hockey</v>
      </c>
      <c r="H1088" s="26">
        <f t="shared" ca="1" si="1"/>
        <v>47</v>
      </c>
      <c r="I1088" s="26">
        <f t="shared" ca="1" si="2"/>
        <v>1</v>
      </c>
      <c r="J1088" s="86">
        <f t="shared" ca="1" si="3"/>
        <v>44975</v>
      </c>
      <c r="R1088" s="26"/>
    </row>
    <row r="1089" spans="1:18" ht="15.75" customHeight="1">
      <c r="A1089" s="26">
        <f ca="1">IFERROR(__xludf.DUMMYFUNCTION("""COMPUTED_VALUE"""),17850)</f>
        <v>17850</v>
      </c>
      <c r="B1089" s="86">
        <f ca="1">IFERROR(__xludf.DUMMYFUNCTION("""COMPUTED_VALUE"""),44975.6839699074)</f>
        <v>44975.683969907397</v>
      </c>
      <c r="C1089" s="1" t="str">
        <f ca="1">IFERROR(__xludf.DUMMYFUNCTION("""COMPUTED_VALUE"""),"completed")</f>
        <v>completed</v>
      </c>
      <c r="D1089" s="26">
        <f ca="1">IFERROR(__xludf.DUMMYFUNCTION("""COMPUTED_VALUE"""),15)</f>
        <v>15</v>
      </c>
      <c r="E1089" s="1"/>
      <c r="F1089" s="87" t="str">
        <f t="shared" ca="1" si="0"/>
        <v>2023</v>
      </c>
      <c r="G1089" s="1" t="str">
        <f ca="1">IFERROR(__xludf.DUMMYFUNCTION("""COMPUTED_VALUE"""),"WMFA")</f>
        <v>WMFA</v>
      </c>
      <c r="H1089" s="26">
        <f t="shared" ca="1" si="1"/>
        <v>15</v>
      </c>
      <c r="I1089" s="26">
        <f t="shared" ca="1" si="2"/>
        <v>1</v>
      </c>
      <c r="J1089" s="86">
        <f t="shared" ca="1" si="3"/>
        <v>44975</v>
      </c>
      <c r="R1089" s="26"/>
    </row>
    <row r="1090" spans="1:18" ht="15.75" customHeight="1">
      <c r="A1090" s="26">
        <f ca="1">IFERROR(__xludf.DUMMYFUNCTION("""COMPUTED_VALUE"""),17849)</f>
        <v>17849</v>
      </c>
      <c r="B1090" s="86">
        <f ca="1">IFERROR(__xludf.DUMMYFUNCTION("""COMPUTED_VALUE"""),44975.6792824074)</f>
        <v>44975.6792824074</v>
      </c>
      <c r="C1090" s="1" t="str">
        <f ca="1">IFERROR(__xludf.DUMMYFUNCTION("""COMPUTED_VALUE"""),"completed")</f>
        <v>completed</v>
      </c>
      <c r="D1090" s="26">
        <f ca="1">IFERROR(__xludf.DUMMYFUNCTION("""COMPUTED_VALUE"""),39)</f>
        <v>39</v>
      </c>
      <c r="E1090" s="1"/>
      <c r="F1090" s="87" t="str">
        <f t="shared" ca="1" si="0"/>
        <v>2023</v>
      </c>
      <c r="G1090" s="1" t="str">
        <f ca="1">IFERROR(__xludf.DUMMYFUNCTION("""COMPUTED_VALUE"""),"W.M.H.A")</f>
        <v>W.M.H.A</v>
      </c>
      <c r="H1090" s="26">
        <f t="shared" ca="1" si="1"/>
        <v>39</v>
      </c>
      <c r="I1090" s="26">
        <f t="shared" ca="1" si="2"/>
        <v>1</v>
      </c>
      <c r="J1090" s="86">
        <f t="shared" ca="1" si="3"/>
        <v>44975</v>
      </c>
      <c r="R1090" s="26"/>
    </row>
    <row r="1091" spans="1:18" ht="15.75" customHeight="1">
      <c r="A1091" s="26">
        <f ca="1">IFERROR(__xludf.DUMMYFUNCTION("""COMPUTED_VALUE"""),17848)</f>
        <v>17848</v>
      </c>
      <c r="B1091" s="86">
        <f ca="1">IFERROR(__xludf.DUMMYFUNCTION("""COMPUTED_VALUE"""),44975.672037037)</f>
        <v>44975.672037037002</v>
      </c>
      <c r="C1091" s="1" t="str">
        <f ca="1">IFERROR(__xludf.DUMMYFUNCTION("""COMPUTED_VALUE"""),"completed")</f>
        <v>completed</v>
      </c>
      <c r="D1091" s="26">
        <f ca="1">IFERROR(__xludf.DUMMYFUNCTION("""COMPUTED_VALUE"""),55)</f>
        <v>55</v>
      </c>
      <c r="E1091" s="1"/>
      <c r="F1091" s="87" t="str">
        <f t="shared" ca="1" si="0"/>
        <v>2023</v>
      </c>
      <c r="G1091" s="1" t="str">
        <f ca="1">IFERROR(__xludf.DUMMYFUNCTION("""COMPUTED_VALUE"""),"Lakeshore Lightning Hockey")</f>
        <v>Lakeshore Lightning Hockey</v>
      </c>
      <c r="H1091" s="26">
        <f t="shared" ca="1" si="1"/>
        <v>55</v>
      </c>
      <c r="I1091" s="26">
        <f t="shared" ca="1" si="2"/>
        <v>1</v>
      </c>
      <c r="J1091" s="86">
        <f t="shared" ca="1" si="3"/>
        <v>44975</v>
      </c>
      <c r="R1091" s="26"/>
    </row>
    <row r="1092" spans="1:18" ht="15.75" customHeight="1">
      <c r="A1092" s="26">
        <f ca="1">IFERROR(__xludf.DUMMYFUNCTION("""COMPUTED_VALUE"""),17847)</f>
        <v>17847</v>
      </c>
      <c r="B1092" s="86">
        <f ca="1">IFERROR(__xludf.DUMMYFUNCTION("""COMPUTED_VALUE"""),44975.6704513888)</f>
        <v>44975.670451388803</v>
      </c>
      <c r="C1092" s="1" t="str">
        <f ca="1">IFERROR(__xludf.DUMMYFUNCTION("""COMPUTED_VALUE"""),"completed")</f>
        <v>completed</v>
      </c>
      <c r="D1092" s="26">
        <f ca="1">IFERROR(__xludf.DUMMYFUNCTION("""COMPUTED_VALUE"""),116)</f>
        <v>116</v>
      </c>
      <c r="E1092" s="1"/>
      <c r="F1092" s="87" t="str">
        <f t="shared" ca="1" si="0"/>
        <v>2023</v>
      </c>
      <c r="G1092" s="1" t="str">
        <f ca="1">IFERROR(__xludf.DUMMYFUNCTION("""COMPUTED_VALUE"""),"Lakeshore Lightning Hockey")</f>
        <v>Lakeshore Lightning Hockey</v>
      </c>
      <c r="H1092" s="26">
        <f t="shared" ca="1" si="1"/>
        <v>116</v>
      </c>
      <c r="I1092" s="26">
        <f t="shared" ca="1" si="2"/>
        <v>1</v>
      </c>
      <c r="J1092" s="86">
        <f t="shared" ca="1" si="3"/>
        <v>44975</v>
      </c>
      <c r="R1092" s="26"/>
    </row>
    <row r="1093" spans="1:18" ht="15.75" customHeight="1">
      <c r="A1093" s="26">
        <f ca="1">IFERROR(__xludf.DUMMYFUNCTION("""COMPUTED_VALUE"""),17846)</f>
        <v>17846</v>
      </c>
      <c r="B1093" s="86">
        <f ca="1">IFERROR(__xludf.DUMMYFUNCTION("""COMPUTED_VALUE"""),44975.6628935185)</f>
        <v>44975.6628935185</v>
      </c>
      <c r="C1093" s="1" t="str">
        <f ca="1">IFERROR(__xludf.DUMMYFUNCTION("""COMPUTED_VALUE"""),"completed")</f>
        <v>completed</v>
      </c>
      <c r="D1093" s="26">
        <f ca="1">IFERROR(__xludf.DUMMYFUNCTION("""COMPUTED_VALUE"""),25)</f>
        <v>25</v>
      </c>
      <c r="E1093" s="1"/>
      <c r="F1093" s="87" t="str">
        <f t="shared" ca="1" si="0"/>
        <v>2023</v>
      </c>
      <c r="G1093" s="1" t="str">
        <f ca="1">IFERROR(__xludf.DUMMYFUNCTION("""COMPUTED_VALUE"""),"Lakeshore Lightning Hockey")</f>
        <v>Lakeshore Lightning Hockey</v>
      </c>
      <c r="H1093" s="26">
        <f t="shared" ca="1" si="1"/>
        <v>25</v>
      </c>
      <c r="I1093" s="26">
        <f t="shared" ca="1" si="2"/>
        <v>1</v>
      </c>
      <c r="J1093" s="86">
        <f t="shared" ca="1" si="3"/>
        <v>44975</v>
      </c>
      <c r="R1093" s="26"/>
    </row>
    <row r="1094" spans="1:18" ht="15.75" customHeight="1">
      <c r="A1094" s="26">
        <f ca="1">IFERROR(__xludf.DUMMYFUNCTION("""COMPUTED_VALUE"""),17845)</f>
        <v>17845</v>
      </c>
      <c r="B1094" s="86">
        <f ca="1">IFERROR(__xludf.DUMMYFUNCTION("""COMPUTED_VALUE"""),44975.6619444444)</f>
        <v>44975.6619444444</v>
      </c>
      <c r="C1094" s="1" t="str">
        <f ca="1">IFERROR(__xludf.DUMMYFUNCTION("""COMPUTED_VALUE"""),"completed")</f>
        <v>completed</v>
      </c>
      <c r="D1094" s="26">
        <f ca="1">IFERROR(__xludf.DUMMYFUNCTION("""COMPUTED_VALUE"""),28)</f>
        <v>28</v>
      </c>
      <c r="E1094" s="1"/>
      <c r="F1094" s="87" t="str">
        <f t="shared" ca="1" si="0"/>
        <v>2023</v>
      </c>
      <c r="G1094" s="1" t="str">
        <f ca="1">IFERROR(__xludf.DUMMYFUNCTION("""COMPUTED_VALUE"""),"Lakeshore Lightning Hockey")</f>
        <v>Lakeshore Lightning Hockey</v>
      </c>
      <c r="H1094" s="26">
        <f t="shared" ca="1" si="1"/>
        <v>28</v>
      </c>
      <c r="I1094" s="26">
        <f t="shared" ca="1" si="2"/>
        <v>1</v>
      </c>
      <c r="J1094" s="86">
        <f t="shared" ca="1" si="3"/>
        <v>44975</v>
      </c>
      <c r="R1094" s="26"/>
    </row>
    <row r="1095" spans="1:18" ht="15.75" customHeight="1">
      <c r="A1095" s="26">
        <f ca="1">IFERROR(__xludf.DUMMYFUNCTION("""COMPUTED_VALUE"""),17844)</f>
        <v>17844</v>
      </c>
      <c r="B1095" s="86">
        <f ca="1">IFERROR(__xludf.DUMMYFUNCTION("""COMPUTED_VALUE"""),44975.6582986111)</f>
        <v>44975.658298611103</v>
      </c>
      <c r="C1095" s="1" t="str">
        <f ca="1">IFERROR(__xludf.DUMMYFUNCTION("""COMPUTED_VALUE"""),"completed")</f>
        <v>completed</v>
      </c>
      <c r="D1095" s="26">
        <f ca="1">IFERROR(__xludf.DUMMYFUNCTION("""COMPUTED_VALUE"""),45)</f>
        <v>45</v>
      </c>
      <c r="E1095" s="1"/>
      <c r="F1095" s="87" t="str">
        <f t="shared" ca="1" si="0"/>
        <v>2023</v>
      </c>
      <c r="G1095" s="1" t="str">
        <f ca="1">IFERROR(__xludf.DUMMYFUNCTION("""COMPUTED_VALUE"""),"Lakeshore Lightning Hockey")</f>
        <v>Lakeshore Lightning Hockey</v>
      </c>
      <c r="H1095" s="26">
        <f t="shared" ca="1" si="1"/>
        <v>45</v>
      </c>
      <c r="I1095" s="26">
        <f t="shared" ca="1" si="2"/>
        <v>1</v>
      </c>
      <c r="J1095" s="86">
        <f t="shared" ca="1" si="3"/>
        <v>44975</v>
      </c>
      <c r="R1095" s="26"/>
    </row>
    <row r="1096" spans="1:18" ht="15.75" customHeight="1">
      <c r="A1096" s="26">
        <f ca="1">IFERROR(__xludf.DUMMYFUNCTION("""COMPUTED_VALUE"""),17843)</f>
        <v>17843</v>
      </c>
      <c r="B1096" s="86">
        <f ca="1">IFERROR(__xludf.DUMMYFUNCTION("""COMPUTED_VALUE"""),44975.6526736111)</f>
        <v>44975.652673611097</v>
      </c>
      <c r="C1096" s="1" t="str">
        <f ca="1">IFERROR(__xludf.DUMMYFUNCTION("""COMPUTED_VALUE"""),"completed")</f>
        <v>completed</v>
      </c>
      <c r="D1096" s="26">
        <f ca="1">IFERROR(__xludf.DUMMYFUNCTION("""COMPUTED_VALUE"""),28)</f>
        <v>28</v>
      </c>
      <c r="E1096" s="1"/>
      <c r="F1096" s="87" t="str">
        <f t="shared" ca="1" si="0"/>
        <v>2023</v>
      </c>
      <c r="G1096" s="1" t="str">
        <f ca="1">IFERROR(__xludf.DUMMYFUNCTION("""COMPUTED_VALUE"""),"Lakeshore Lightning Hockey")</f>
        <v>Lakeshore Lightning Hockey</v>
      </c>
      <c r="H1096" s="26">
        <f t="shared" ca="1" si="1"/>
        <v>28</v>
      </c>
      <c r="I1096" s="26">
        <f t="shared" ca="1" si="2"/>
        <v>1</v>
      </c>
      <c r="J1096" s="86">
        <f t="shared" ca="1" si="3"/>
        <v>44975</v>
      </c>
      <c r="R1096" s="26"/>
    </row>
    <row r="1097" spans="1:18" ht="15.75" customHeight="1">
      <c r="A1097" s="26">
        <f ca="1">IFERROR(__xludf.DUMMYFUNCTION("""COMPUTED_VALUE"""),17842)</f>
        <v>17842</v>
      </c>
      <c r="B1097" s="86">
        <f ca="1">IFERROR(__xludf.DUMMYFUNCTION("""COMPUTED_VALUE"""),44975.6516550925)</f>
        <v>44975.651655092501</v>
      </c>
      <c r="C1097" s="1" t="str">
        <f ca="1">IFERROR(__xludf.DUMMYFUNCTION("""COMPUTED_VALUE"""),"completed")</f>
        <v>completed</v>
      </c>
      <c r="D1097" s="26">
        <f ca="1">IFERROR(__xludf.DUMMYFUNCTION("""COMPUTED_VALUE"""),25)</f>
        <v>25</v>
      </c>
      <c r="E1097" s="1"/>
      <c r="F1097" s="87" t="str">
        <f t="shared" ca="1" si="0"/>
        <v>2023</v>
      </c>
      <c r="G1097" s="1" t="str">
        <f ca="1">IFERROR(__xludf.DUMMYFUNCTION("""COMPUTED_VALUE"""),"Lakeshore Lightning Hockey")</f>
        <v>Lakeshore Lightning Hockey</v>
      </c>
      <c r="H1097" s="26">
        <f t="shared" ca="1" si="1"/>
        <v>25</v>
      </c>
      <c r="I1097" s="26">
        <f t="shared" ca="1" si="2"/>
        <v>1</v>
      </c>
      <c r="J1097" s="86">
        <f t="shared" ca="1" si="3"/>
        <v>44975</v>
      </c>
      <c r="R1097" s="26"/>
    </row>
    <row r="1098" spans="1:18" ht="15.75" customHeight="1">
      <c r="A1098" s="26">
        <f ca="1">IFERROR(__xludf.DUMMYFUNCTION("""COMPUTED_VALUE"""),17841)</f>
        <v>17841</v>
      </c>
      <c r="B1098" s="86">
        <f ca="1">IFERROR(__xludf.DUMMYFUNCTION("""COMPUTED_VALUE"""),44975.6503935185)</f>
        <v>44975.650393518503</v>
      </c>
      <c r="C1098" s="1" t="str">
        <f ca="1">IFERROR(__xludf.DUMMYFUNCTION("""COMPUTED_VALUE"""),"completed")</f>
        <v>completed</v>
      </c>
      <c r="D1098" s="26">
        <f ca="1">IFERROR(__xludf.DUMMYFUNCTION("""COMPUTED_VALUE"""),28)</f>
        <v>28</v>
      </c>
      <c r="E1098" s="1"/>
      <c r="F1098" s="87" t="str">
        <f t="shared" ca="1" si="0"/>
        <v>2023</v>
      </c>
      <c r="G1098" s="1" t="str">
        <f ca="1">IFERROR(__xludf.DUMMYFUNCTION("""COMPUTED_VALUE"""),"Lakeshore Lightning Hockey")</f>
        <v>Lakeshore Lightning Hockey</v>
      </c>
      <c r="H1098" s="26">
        <f t="shared" ca="1" si="1"/>
        <v>28</v>
      </c>
      <c r="I1098" s="26">
        <f t="shared" ca="1" si="2"/>
        <v>1</v>
      </c>
      <c r="J1098" s="86">
        <f t="shared" ca="1" si="3"/>
        <v>44975</v>
      </c>
      <c r="R1098" s="26"/>
    </row>
    <row r="1099" spans="1:18" ht="15.75" customHeight="1">
      <c r="A1099" s="26">
        <f ca="1">IFERROR(__xludf.DUMMYFUNCTION("""COMPUTED_VALUE"""),17840)</f>
        <v>17840</v>
      </c>
      <c r="B1099" s="86">
        <f ca="1">IFERROR(__xludf.DUMMYFUNCTION("""COMPUTED_VALUE"""),44975.6472569444)</f>
        <v>44975.647256944401</v>
      </c>
      <c r="C1099" s="1" t="str">
        <f ca="1">IFERROR(__xludf.DUMMYFUNCTION("""COMPUTED_VALUE"""),"completed")</f>
        <v>completed</v>
      </c>
      <c r="D1099" s="26">
        <f ca="1">IFERROR(__xludf.DUMMYFUNCTION("""COMPUTED_VALUE"""),28)</f>
        <v>28</v>
      </c>
      <c r="E1099" s="1"/>
      <c r="F1099" s="87" t="str">
        <f t="shared" ca="1" si="0"/>
        <v>2023</v>
      </c>
      <c r="G1099" s="1" t="str">
        <f ca="1">IFERROR(__xludf.DUMMYFUNCTION("""COMPUTED_VALUE"""),"Lakeshore Lightning Hockey")</f>
        <v>Lakeshore Lightning Hockey</v>
      </c>
      <c r="H1099" s="26">
        <f t="shared" ca="1" si="1"/>
        <v>28</v>
      </c>
      <c r="I1099" s="26">
        <f t="shared" ca="1" si="2"/>
        <v>1</v>
      </c>
      <c r="J1099" s="86">
        <f t="shared" ca="1" si="3"/>
        <v>44975</v>
      </c>
      <c r="R1099" s="26"/>
    </row>
    <row r="1100" spans="1:18" ht="15.75" customHeight="1">
      <c r="A1100" s="26">
        <f ca="1">IFERROR(__xludf.DUMMYFUNCTION("""COMPUTED_VALUE"""),17839)</f>
        <v>17839</v>
      </c>
      <c r="B1100" s="86">
        <f ca="1">IFERROR(__xludf.DUMMYFUNCTION("""COMPUTED_VALUE"""),44975.6461342592)</f>
        <v>44975.646134259201</v>
      </c>
      <c r="C1100" s="1" t="str">
        <f ca="1">IFERROR(__xludf.DUMMYFUNCTION("""COMPUTED_VALUE"""),"completed")</f>
        <v>completed</v>
      </c>
      <c r="D1100" s="26">
        <f ca="1">IFERROR(__xludf.DUMMYFUNCTION("""COMPUTED_VALUE"""),60)</f>
        <v>60</v>
      </c>
      <c r="E1100" s="1"/>
      <c r="F1100" s="87" t="str">
        <f t="shared" ca="1" si="0"/>
        <v>2023</v>
      </c>
      <c r="G1100" s="1" t="str">
        <f ca="1">IFERROR(__xludf.DUMMYFUNCTION("""COMPUTED_VALUE"""),"Lakeshore Lightning Hockey")</f>
        <v>Lakeshore Lightning Hockey</v>
      </c>
      <c r="H1100" s="26">
        <f t="shared" ca="1" si="1"/>
        <v>60</v>
      </c>
      <c r="I1100" s="26">
        <f t="shared" ca="1" si="2"/>
        <v>1</v>
      </c>
      <c r="J1100" s="86">
        <f t="shared" ca="1" si="3"/>
        <v>44975</v>
      </c>
      <c r="R1100" s="26"/>
    </row>
    <row r="1101" spans="1:18" ht="15.75" customHeight="1">
      <c r="A1101" s="26">
        <f ca="1">IFERROR(__xludf.DUMMYFUNCTION("""COMPUTED_VALUE"""),17838)</f>
        <v>17838</v>
      </c>
      <c r="B1101" s="86">
        <f ca="1">IFERROR(__xludf.DUMMYFUNCTION("""COMPUTED_VALUE"""),44975.6282291666)</f>
        <v>44975.628229166599</v>
      </c>
      <c r="C1101" s="1" t="str">
        <f ca="1">IFERROR(__xludf.DUMMYFUNCTION("""COMPUTED_VALUE"""),"completed")</f>
        <v>completed</v>
      </c>
      <c r="D1101" s="26">
        <f ca="1">IFERROR(__xludf.DUMMYFUNCTION("""COMPUTED_VALUE"""),28)</f>
        <v>28</v>
      </c>
      <c r="E1101" s="1"/>
      <c r="F1101" s="87" t="str">
        <f t="shared" ca="1" si="0"/>
        <v>2023</v>
      </c>
      <c r="G1101" s="1" t="str">
        <f ca="1">IFERROR(__xludf.DUMMYFUNCTION("""COMPUTED_VALUE"""),"Lakeshore Lightning Hockey")</f>
        <v>Lakeshore Lightning Hockey</v>
      </c>
      <c r="H1101" s="26">
        <f t="shared" ca="1" si="1"/>
        <v>28</v>
      </c>
      <c r="I1101" s="26">
        <f t="shared" ca="1" si="2"/>
        <v>1</v>
      </c>
      <c r="J1101" s="86">
        <f t="shared" ca="1" si="3"/>
        <v>44975</v>
      </c>
      <c r="R1101" s="26"/>
    </row>
    <row r="1102" spans="1:18" ht="15.75" customHeight="1">
      <c r="A1102" s="26">
        <f ca="1">IFERROR(__xludf.DUMMYFUNCTION("""COMPUTED_VALUE"""),17837)</f>
        <v>17837</v>
      </c>
      <c r="B1102" s="86">
        <f ca="1">IFERROR(__xludf.DUMMYFUNCTION("""COMPUTED_VALUE"""),44975.6279976851)</f>
        <v>44975.6279976851</v>
      </c>
      <c r="C1102" s="1" t="str">
        <f ca="1">IFERROR(__xludf.DUMMYFUNCTION("""COMPUTED_VALUE"""),"completed")</f>
        <v>completed</v>
      </c>
      <c r="D1102" s="26">
        <f ca="1">IFERROR(__xludf.DUMMYFUNCTION("""COMPUTED_VALUE"""),55)</f>
        <v>55</v>
      </c>
      <c r="E1102" s="1"/>
      <c r="F1102" s="87" t="str">
        <f t="shared" ca="1" si="0"/>
        <v>2023</v>
      </c>
      <c r="G1102" s="1" t="str">
        <f ca="1">IFERROR(__xludf.DUMMYFUNCTION("""COMPUTED_VALUE"""),"Lakeshore Lightning Hockey")</f>
        <v>Lakeshore Lightning Hockey</v>
      </c>
      <c r="H1102" s="26">
        <f t="shared" ca="1" si="1"/>
        <v>55</v>
      </c>
      <c r="I1102" s="26">
        <f t="shared" ca="1" si="2"/>
        <v>1</v>
      </c>
      <c r="J1102" s="86">
        <f t="shared" ca="1" si="3"/>
        <v>44975</v>
      </c>
      <c r="R1102" s="26"/>
    </row>
    <row r="1103" spans="1:18" ht="15.75" customHeight="1">
      <c r="A1103" s="26">
        <f ca="1">IFERROR(__xludf.DUMMYFUNCTION("""COMPUTED_VALUE"""),17836)</f>
        <v>17836</v>
      </c>
      <c r="B1103" s="86">
        <f ca="1">IFERROR(__xludf.DUMMYFUNCTION("""COMPUTED_VALUE"""),44975.6151851851)</f>
        <v>44975.615185185103</v>
      </c>
      <c r="C1103" s="1" t="str">
        <f ca="1">IFERROR(__xludf.DUMMYFUNCTION("""COMPUTED_VALUE"""),"completed")</f>
        <v>completed</v>
      </c>
      <c r="D1103" s="26">
        <f ca="1">IFERROR(__xludf.DUMMYFUNCTION("""COMPUTED_VALUE"""),36)</f>
        <v>36</v>
      </c>
      <c r="E1103" s="1"/>
      <c r="F1103" s="87" t="str">
        <f t="shared" ca="1" si="0"/>
        <v>2023</v>
      </c>
      <c r="G1103" s="1" t="str">
        <f ca="1">IFERROR(__xludf.DUMMYFUNCTION("""COMPUTED_VALUE"""),"Lakeshore Lightning Hockey")</f>
        <v>Lakeshore Lightning Hockey</v>
      </c>
      <c r="H1103" s="26">
        <f t="shared" ca="1" si="1"/>
        <v>36</v>
      </c>
      <c r="I1103" s="26">
        <f t="shared" ca="1" si="2"/>
        <v>1</v>
      </c>
      <c r="J1103" s="86">
        <f t="shared" ca="1" si="3"/>
        <v>44975</v>
      </c>
      <c r="R1103" s="26"/>
    </row>
    <row r="1104" spans="1:18" ht="15.75" customHeight="1">
      <c r="A1104" s="26">
        <f ca="1">IFERROR(__xludf.DUMMYFUNCTION("""COMPUTED_VALUE"""),17835)</f>
        <v>17835</v>
      </c>
      <c r="B1104" s="86">
        <f ca="1">IFERROR(__xludf.DUMMYFUNCTION("""COMPUTED_VALUE"""),44975.6110300925)</f>
        <v>44975.611030092499</v>
      </c>
      <c r="C1104" s="1" t="str">
        <f ca="1">IFERROR(__xludf.DUMMYFUNCTION("""COMPUTED_VALUE"""),"completed")</f>
        <v>completed</v>
      </c>
      <c r="D1104" s="26">
        <f ca="1">IFERROR(__xludf.DUMMYFUNCTION("""COMPUTED_VALUE"""),20)</f>
        <v>20</v>
      </c>
      <c r="E1104" s="1"/>
      <c r="F1104" s="87" t="str">
        <f t="shared" ca="1" si="0"/>
        <v>2023</v>
      </c>
      <c r="G1104" s="1" t="str">
        <f ca="1">IFERROR(__xludf.DUMMYFUNCTION("""COMPUTED_VALUE"""),"Lakeshore Lightning Hockey")</f>
        <v>Lakeshore Lightning Hockey</v>
      </c>
      <c r="H1104" s="26">
        <f t="shared" ca="1" si="1"/>
        <v>20</v>
      </c>
      <c r="I1104" s="26">
        <f t="shared" ca="1" si="2"/>
        <v>1</v>
      </c>
      <c r="J1104" s="86">
        <f t="shared" ca="1" si="3"/>
        <v>44975</v>
      </c>
      <c r="R1104" s="26"/>
    </row>
    <row r="1105" spans="1:18" ht="15.75" customHeight="1">
      <c r="A1105" s="26">
        <f ca="1">IFERROR(__xludf.DUMMYFUNCTION("""COMPUTED_VALUE"""),17834)</f>
        <v>17834</v>
      </c>
      <c r="B1105" s="86">
        <f ca="1">IFERROR(__xludf.DUMMYFUNCTION("""COMPUTED_VALUE"""),44975.609537037)</f>
        <v>44975.609537037002</v>
      </c>
      <c r="C1105" s="1" t="str">
        <f ca="1">IFERROR(__xludf.DUMMYFUNCTION("""COMPUTED_VALUE"""),"completed")</f>
        <v>completed</v>
      </c>
      <c r="D1105" s="26">
        <f ca="1">IFERROR(__xludf.DUMMYFUNCTION("""COMPUTED_VALUE"""),25)</f>
        <v>25</v>
      </c>
      <c r="E1105" s="1"/>
      <c r="F1105" s="87" t="str">
        <f t="shared" ca="1" si="0"/>
        <v>2023</v>
      </c>
      <c r="G1105" s="1" t="str">
        <f ca="1">IFERROR(__xludf.DUMMYFUNCTION("""COMPUTED_VALUE"""),"Lakeshore Lightning Hockey")</f>
        <v>Lakeshore Lightning Hockey</v>
      </c>
      <c r="H1105" s="26">
        <f t="shared" ca="1" si="1"/>
        <v>25</v>
      </c>
      <c r="I1105" s="26">
        <f t="shared" ca="1" si="2"/>
        <v>1</v>
      </c>
      <c r="J1105" s="86">
        <f t="shared" ca="1" si="3"/>
        <v>44975</v>
      </c>
      <c r="R1105" s="26"/>
    </row>
    <row r="1106" spans="1:18" ht="15.75" customHeight="1">
      <c r="A1106" s="26">
        <f ca="1">IFERROR(__xludf.DUMMYFUNCTION("""COMPUTED_VALUE"""),17833)</f>
        <v>17833</v>
      </c>
      <c r="B1106" s="86">
        <f ca="1">IFERROR(__xludf.DUMMYFUNCTION("""COMPUTED_VALUE"""),44975.6070949074)</f>
        <v>44975.607094907398</v>
      </c>
      <c r="C1106" s="1" t="str">
        <f ca="1">IFERROR(__xludf.DUMMYFUNCTION("""COMPUTED_VALUE"""),"completed")</f>
        <v>completed</v>
      </c>
      <c r="D1106" s="26">
        <f ca="1">IFERROR(__xludf.DUMMYFUNCTION("""COMPUTED_VALUE"""),124)</f>
        <v>124</v>
      </c>
      <c r="E1106" s="1"/>
      <c r="F1106" s="87" t="str">
        <f t="shared" ca="1" si="0"/>
        <v>2023</v>
      </c>
      <c r="G1106" s="1" t="str">
        <f ca="1">IFERROR(__xludf.DUMMYFUNCTION("""COMPUTED_VALUE"""),"Lakeshore Lightning Hockey")</f>
        <v>Lakeshore Lightning Hockey</v>
      </c>
      <c r="H1106" s="26">
        <f t="shared" ca="1" si="1"/>
        <v>124</v>
      </c>
      <c r="I1106" s="26">
        <f t="shared" ca="1" si="2"/>
        <v>1</v>
      </c>
      <c r="J1106" s="86">
        <f t="shared" ca="1" si="3"/>
        <v>44975</v>
      </c>
      <c r="R1106" s="26"/>
    </row>
    <row r="1107" spans="1:18" ht="15.75" customHeight="1">
      <c r="A1107" s="26">
        <f ca="1">IFERROR(__xludf.DUMMYFUNCTION("""COMPUTED_VALUE"""),17832)</f>
        <v>17832</v>
      </c>
      <c r="B1107" s="86">
        <f ca="1">IFERROR(__xludf.DUMMYFUNCTION("""COMPUTED_VALUE"""),44975.5973958333)</f>
        <v>44975.597395833298</v>
      </c>
      <c r="C1107" s="1" t="str">
        <f ca="1">IFERROR(__xludf.DUMMYFUNCTION("""COMPUTED_VALUE"""),"completed")</f>
        <v>completed</v>
      </c>
      <c r="D1107" s="26">
        <f ca="1">IFERROR(__xludf.DUMMYFUNCTION("""COMPUTED_VALUE"""),74)</f>
        <v>74</v>
      </c>
      <c r="E1107" s="1"/>
      <c r="F1107" s="87" t="str">
        <f t="shared" ca="1" si="0"/>
        <v>2023</v>
      </c>
      <c r="G1107" s="1" t="str">
        <f ca="1">IFERROR(__xludf.DUMMYFUNCTION("""COMPUTED_VALUE"""),"Lakeshore Lightning Hockey")</f>
        <v>Lakeshore Lightning Hockey</v>
      </c>
      <c r="H1107" s="26">
        <f t="shared" ca="1" si="1"/>
        <v>74</v>
      </c>
      <c r="I1107" s="26">
        <f t="shared" ca="1" si="2"/>
        <v>1</v>
      </c>
      <c r="J1107" s="86">
        <f t="shared" ca="1" si="3"/>
        <v>44975</v>
      </c>
      <c r="R1107" s="26"/>
    </row>
    <row r="1108" spans="1:18" ht="15.75" customHeight="1">
      <c r="A1108" s="26">
        <f ca="1">IFERROR(__xludf.DUMMYFUNCTION("""COMPUTED_VALUE"""),17831)</f>
        <v>17831</v>
      </c>
      <c r="B1108" s="86">
        <f ca="1">IFERROR(__xludf.DUMMYFUNCTION("""COMPUTED_VALUE"""),44975.5952199074)</f>
        <v>44975.595219907402</v>
      </c>
      <c r="C1108" s="1" t="str">
        <f ca="1">IFERROR(__xludf.DUMMYFUNCTION("""COMPUTED_VALUE"""),"completed")</f>
        <v>completed</v>
      </c>
      <c r="D1108" s="26">
        <f ca="1">IFERROR(__xludf.DUMMYFUNCTION("""COMPUTED_VALUE"""),25)</f>
        <v>25</v>
      </c>
      <c r="E1108" s="1"/>
      <c r="F1108" s="87" t="str">
        <f t="shared" ca="1" si="0"/>
        <v>2023</v>
      </c>
      <c r="G1108" s="1" t="str">
        <f ca="1">IFERROR(__xludf.DUMMYFUNCTION("""COMPUTED_VALUE"""),"Lakeshore Lightning Hockey")</f>
        <v>Lakeshore Lightning Hockey</v>
      </c>
      <c r="H1108" s="26">
        <f t="shared" ca="1" si="1"/>
        <v>25</v>
      </c>
      <c r="I1108" s="26">
        <f t="shared" ca="1" si="2"/>
        <v>1</v>
      </c>
      <c r="J1108" s="86">
        <f t="shared" ca="1" si="3"/>
        <v>44975</v>
      </c>
      <c r="R1108" s="26"/>
    </row>
    <row r="1109" spans="1:18" ht="15.75" customHeight="1">
      <c r="A1109" s="26">
        <f ca="1">IFERROR(__xludf.DUMMYFUNCTION("""COMPUTED_VALUE"""),17830)</f>
        <v>17830</v>
      </c>
      <c r="B1109" s="86">
        <f ca="1">IFERROR(__xludf.DUMMYFUNCTION("""COMPUTED_VALUE"""),44975.5950231481)</f>
        <v>44975.595023148097</v>
      </c>
      <c r="C1109" s="1" t="str">
        <f ca="1">IFERROR(__xludf.DUMMYFUNCTION("""COMPUTED_VALUE"""),"completed")</f>
        <v>completed</v>
      </c>
      <c r="D1109" s="26">
        <f ca="1">IFERROR(__xludf.DUMMYFUNCTION("""COMPUTED_VALUE"""),22)</f>
        <v>22</v>
      </c>
      <c r="E1109" s="1"/>
      <c r="F1109" s="87" t="str">
        <f t="shared" ca="1" si="0"/>
        <v>2023</v>
      </c>
      <c r="G1109" s="1" t="str">
        <f ca="1">IFERROR(__xludf.DUMMYFUNCTION("""COMPUTED_VALUE"""),"WMFA")</f>
        <v>WMFA</v>
      </c>
      <c r="H1109" s="26">
        <f t="shared" ca="1" si="1"/>
        <v>22</v>
      </c>
      <c r="I1109" s="26">
        <f t="shared" ca="1" si="2"/>
        <v>1</v>
      </c>
      <c r="J1109" s="86">
        <f t="shared" ca="1" si="3"/>
        <v>44975</v>
      </c>
      <c r="R1109" s="26"/>
    </row>
    <row r="1110" spans="1:18" ht="15.75" customHeight="1">
      <c r="A1110" s="26">
        <f ca="1">IFERROR(__xludf.DUMMYFUNCTION("""COMPUTED_VALUE"""),17829)</f>
        <v>17829</v>
      </c>
      <c r="B1110" s="86">
        <f ca="1">IFERROR(__xludf.DUMMYFUNCTION("""COMPUTED_VALUE"""),44975.5929398148)</f>
        <v>44975.5929398148</v>
      </c>
      <c r="C1110" s="1" t="str">
        <f ca="1">IFERROR(__xludf.DUMMYFUNCTION("""COMPUTED_VALUE"""),"completed")</f>
        <v>completed</v>
      </c>
      <c r="D1110" s="26">
        <f ca="1">IFERROR(__xludf.DUMMYFUNCTION("""COMPUTED_VALUE"""),25)</f>
        <v>25</v>
      </c>
      <c r="E1110" s="1"/>
      <c r="F1110" s="87" t="str">
        <f t="shared" ca="1" si="0"/>
        <v>2023</v>
      </c>
      <c r="G1110" s="1" t="str">
        <f ca="1">IFERROR(__xludf.DUMMYFUNCTION("""COMPUTED_VALUE"""),"Lakeshore Lightning Hockey")</f>
        <v>Lakeshore Lightning Hockey</v>
      </c>
      <c r="H1110" s="26">
        <f t="shared" ca="1" si="1"/>
        <v>25</v>
      </c>
      <c r="I1110" s="26">
        <f t="shared" ca="1" si="2"/>
        <v>1</v>
      </c>
      <c r="J1110" s="86">
        <f t="shared" ca="1" si="3"/>
        <v>44975</v>
      </c>
      <c r="R1110" s="26"/>
    </row>
    <row r="1111" spans="1:18" ht="15.75" customHeight="1">
      <c r="A1111" s="26">
        <f ca="1">IFERROR(__xludf.DUMMYFUNCTION("""COMPUTED_VALUE"""),17828)</f>
        <v>17828</v>
      </c>
      <c r="B1111" s="86">
        <f ca="1">IFERROR(__xludf.DUMMYFUNCTION("""COMPUTED_VALUE"""),44975.5894097222)</f>
        <v>44975.589409722197</v>
      </c>
      <c r="C1111" s="1" t="str">
        <f ca="1">IFERROR(__xludf.DUMMYFUNCTION("""COMPUTED_VALUE"""),"completed")</f>
        <v>completed</v>
      </c>
      <c r="D1111" s="26">
        <f ca="1">IFERROR(__xludf.DUMMYFUNCTION("""COMPUTED_VALUE"""),55)</f>
        <v>55</v>
      </c>
      <c r="E1111" s="1"/>
      <c r="F1111" s="87" t="str">
        <f t="shared" ca="1" si="0"/>
        <v>2023</v>
      </c>
      <c r="G1111" s="1" t="str">
        <f ca="1">IFERROR(__xludf.DUMMYFUNCTION("""COMPUTED_VALUE"""),"Lakeshore Lightning Hockey")</f>
        <v>Lakeshore Lightning Hockey</v>
      </c>
      <c r="H1111" s="26">
        <f t="shared" ca="1" si="1"/>
        <v>55</v>
      </c>
      <c r="I1111" s="26">
        <f t="shared" ca="1" si="2"/>
        <v>1</v>
      </c>
      <c r="J1111" s="86">
        <f t="shared" ca="1" si="3"/>
        <v>44975</v>
      </c>
      <c r="R1111" s="26"/>
    </row>
    <row r="1112" spans="1:18" ht="15.75" customHeight="1">
      <c r="A1112" s="26">
        <f ca="1">IFERROR(__xludf.DUMMYFUNCTION("""COMPUTED_VALUE"""),17827)</f>
        <v>17827</v>
      </c>
      <c r="B1112" s="86">
        <f ca="1">IFERROR(__xludf.DUMMYFUNCTION("""COMPUTED_VALUE"""),44975.585787037)</f>
        <v>44975.585787037002</v>
      </c>
      <c r="C1112" s="1" t="str">
        <f ca="1">IFERROR(__xludf.DUMMYFUNCTION("""COMPUTED_VALUE"""),"completed")</f>
        <v>completed</v>
      </c>
      <c r="D1112" s="26">
        <f ca="1">IFERROR(__xludf.DUMMYFUNCTION("""COMPUTED_VALUE"""),30)</f>
        <v>30</v>
      </c>
      <c r="E1112" s="1"/>
      <c r="F1112" s="87" t="str">
        <f t="shared" ca="1" si="0"/>
        <v>2023</v>
      </c>
      <c r="G1112" s="1" t="str">
        <f ca="1">IFERROR(__xludf.DUMMYFUNCTION("""COMPUTED_VALUE"""),"W.M.H.A")</f>
        <v>W.M.H.A</v>
      </c>
      <c r="H1112" s="26">
        <f t="shared" ca="1" si="1"/>
        <v>30</v>
      </c>
      <c r="I1112" s="26">
        <f t="shared" ca="1" si="2"/>
        <v>1</v>
      </c>
      <c r="J1112" s="86">
        <f t="shared" ca="1" si="3"/>
        <v>44975</v>
      </c>
      <c r="R1112" s="26"/>
    </row>
    <row r="1113" spans="1:18" ht="15.75" customHeight="1">
      <c r="A1113" s="26">
        <f ca="1">IFERROR(__xludf.DUMMYFUNCTION("""COMPUTED_VALUE"""),17826)</f>
        <v>17826</v>
      </c>
      <c r="B1113" s="86">
        <f ca="1">IFERROR(__xludf.DUMMYFUNCTION("""COMPUTED_VALUE"""),44975.5802314814)</f>
        <v>44975.580231481399</v>
      </c>
      <c r="C1113" s="1" t="str">
        <f ca="1">IFERROR(__xludf.DUMMYFUNCTION("""COMPUTED_VALUE"""),"completed")</f>
        <v>completed</v>
      </c>
      <c r="D1113" s="26">
        <f ca="1">IFERROR(__xludf.DUMMYFUNCTION("""COMPUTED_VALUE"""),55)</f>
        <v>55</v>
      </c>
      <c r="E1113" s="1"/>
      <c r="F1113" s="87" t="str">
        <f t="shared" ca="1" si="0"/>
        <v>2023</v>
      </c>
      <c r="G1113" s="1" t="str">
        <f ca="1">IFERROR(__xludf.DUMMYFUNCTION("""COMPUTED_VALUE"""),"Lakeshore Lightning Hockey")</f>
        <v>Lakeshore Lightning Hockey</v>
      </c>
      <c r="H1113" s="26">
        <f t="shared" ca="1" si="1"/>
        <v>55</v>
      </c>
      <c r="I1113" s="26">
        <f t="shared" ca="1" si="2"/>
        <v>1</v>
      </c>
      <c r="J1113" s="86">
        <f t="shared" ca="1" si="3"/>
        <v>44975</v>
      </c>
      <c r="R1113" s="26"/>
    </row>
    <row r="1114" spans="1:18" ht="15.75" customHeight="1">
      <c r="A1114" s="26">
        <f ca="1">IFERROR(__xludf.DUMMYFUNCTION("""COMPUTED_VALUE"""),17825)</f>
        <v>17825</v>
      </c>
      <c r="B1114" s="86">
        <f ca="1">IFERROR(__xludf.DUMMYFUNCTION("""COMPUTED_VALUE"""),44975.5758912037)</f>
        <v>44975.575891203698</v>
      </c>
      <c r="C1114" s="1" t="str">
        <f ca="1">IFERROR(__xludf.DUMMYFUNCTION("""COMPUTED_VALUE"""),"completed")</f>
        <v>completed</v>
      </c>
      <c r="D1114" s="26">
        <f ca="1">IFERROR(__xludf.DUMMYFUNCTION("""COMPUTED_VALUE"""),28)</f>
        <v>28</v>
      </c>
      <c r="E1114" s="1"/>
      <c r="F1114" s="87" t="str">
        <f t="shared" ca="1" si="0"/>
        <v>2023</v>
      </c>
      <c r="G1114" s="1" t="str">
        <f ca="1">IFERROR(__xludf.DUMMYFUNCTION("""COMPUTED_VALUE"""),"Lakeshore Lightning Hockey")</f>
        <v>Lakeshore Lightning Hockey</v>
      </c>
      <c r="H1114" s="26">
        <f t="shared" ca="1" si="1"/>
        <v>28</v>
      </c>
      <c r="I1114" s="26">
        <f t="shared" ca="1" si="2"/>
        <v>1</v>
      </c>
      <c r="J1114" s="86">
        <f t="shared" ca="1" si="3"/>
        <v>44975</v>
      </c>
      <c r="R1114" s="26"/>
    </row>
    <row r="1115" spans="1:18" ht="15.75" customHeight="1">
      <c r="A1115" s="26">
        <f ca="1">IFERROR(__xludf.DUMMYFUNCTION("""COMPUTED_VALUE"""),17824)</f>
        <v>17824</v>
      </c>
      <c r="B1115" s="86">
        <f ca="1">IFERROR(__xludf.DUMMYFUNCTION("""COMPUTED_VALUE"""),44975.5578125)</f>
        <v>44975.557812500003</v>
      </c>
      <c r="C1115" s="1" t="str">
        <f ca="1">IFERROR(__xludf.DUMMYFUNCTION("""COMPUTED_VALUE"""),"completed")</f>
        <v>completed</v>
      </c>
      <c r="D1115" s="26">
        <f ca="1">IFERROR(__xludf.DUMMYFUNCTION("""COMPUTED_VALUE"""),25)</f>
        <v>25</v>
      </c>
      <c r="E1115" s="1"/>
      <c r="F1115" s="87" t="str">
        <f t="shared" ca="1" si="0"/>
        <v>2023</v>
      </c>
      <c r="G1115" s="1" t="str">
        <f ca="1">IFERROR(__xludf.DUMMYFUNCTION("""COMPUTED_VALUE"""),"W.M.H.A")</f>
        <v>W.M.H.A</v>
      </c>
      <c r="H1115" s="26">
        <f t="shared" ca="1" si="1"/>
        <v>25</v>
      </c>
      <c r="I1115" s="26">
        <f t="shared" ca="1" si="2"/>
        <v>1</v>
      </c>
      <c r="J1115" s="86">
        <f t="shared" ca="1" si="3"/>
        <v>44975</v>
      </c>
      <c r="R1115" s="26"/>
    </row>
    <row r="1116" spans="1:18" ht="15.75" customHeight="1">
      <c r="A1116" s="26">
        <f ca="1">IFERROR(__xludf.DUMMYFUNCTION("""COMPUTED_VALUE"""),17823)</f>
        <v>17823</v>
      </c>
      <c r="B1116" s="86">
        <f ca="1">IFERROR(__xludf.DUMMYFUNCTION("""COMPUTED_VALUE"""),44975.5390972222)</f>
        <v>44975.539097222201</v>
      </c>
      <c r="C1116" s="1" t="str">
        <f ca="1">IFERROR(__xludf.DUMMYFUNCTION("""COMPUTED_VALUE"""),"completed")</f>
        <v>completed</v>
      </c>
      <c r="D1116" s="26">
        <f ca="1">IFERROR(__xludf.DUMMYFUNCTION("""COMPUTED_VALUE"""),25)</f>
        <v>25</v>
      </c>
      <c r="E1116" s="1"/>
      <c r="F1116" s="87" t="str">
        <f t="shared" ca="1" si="0"/>
        <v>2023</v>
      </c>
      <c r="G1116" s="1" t="str">
        <f ca="1">IFERROR(__xludf.DUMMYFUNCTION("""COMPUTED_VALUE"""),"Lakeshore Lightning Hockey")</f>
        <v>Lakeshore Lightning Hockey</v>
      </c>
      <c r="H1116" s="26">
        <f t="shared" ca="1" si="1"/>
        <v>25</v>
      </c>
      <c r="I1116" s="26">
        <f t="shared" ca="1" si="2"/>
        <v>1</v>
      </c>
      <c r="J1116" s="86">
        <f t="shared" ca="1" si="3"/>
        <v>44975</v>
      </c>
      <c r="R1116" s="26"/>
    </row>
    <row r="1117" spans="1:18" ht="15.75" customHeight="1">
      <c r="A1117" s="26">
        <f ca="1">IFERROR(__xludf.DUMMYFUNCTION("""COMPUTED_VALUE"""),17822)</f>
        <v>17822</v>
      </c>
      <c r="B1117" s="86">
        <f ca="1">IFERROR(__xludf.DUMMYFUNCTION("""COMPUTED_VALUE"""),44975.537974537)</f>
        <v>44975.537974537001</v>
      </c>
      <c r="C1117" s="1" t="str">
        <f ca="1">IFERROR(__xludf.DUMMYFUNCTION("""COMPUTED_VALUE"""),"completed")</f>
        <v>completed</v>
      </c>
      <c r="D1117" s="26">
        <f ca="1">IFERROR(__xludf.DUMMYFUNCTION("""COMPUTED_VALUE"""),25)</f>
        <v>25</v>
      </c>
      <c r="E1117" s="1"/>
      <c r="F1117" s="87" t="str">
        <f t="shared" ca="1" si="0"/>
        <v>2023</v>
      </c>
      <c r="G1117" s="1" t="str">
        <f ca="1">IFERROR(__xludf.DUMMYFUNCTION("""COMPUTED_VALUE"""),"W.M.H.A")</f>
        <v>W.M.H.A</v>
      </c>
      <c r="H1117" s="26">
        <f t="shared" ca="1" si="1"/>
        <v>25</v>
      </c>
      <c r="I1117" s="26">
        <f t="shared" ca="1" si="2"/>
        <v>1</v>
      </c>
      <c r="J1117" s="86">
        <f t="shared" ca="1" si="3"/>
        <v>44975</v>
      </c>
      <c r="R1117" s="26"/>
    </row>
    <row r="1118" spans="1:18" ht="15.75" customHeight="1">
      <c r="A1118" s="26">
        <f ca="1">IFERROR(__xludf.DUMMYFUNCTION("""COMPUTED_VALUE"""),17821)</f>
        <v>17821</v>
      </c>
      <c r="B1118" s="86">
        <f ca="1">IFERROR(__xludf.DUMMYFUNCTION("""COMPUTED_VALUE"""),44975.5260300925)</f>
        <v>44975.5260300925</v>
      </c>
      <c r="C1118" s="1" t="str">
        <f ca="1">IFERROR(__xludf.DUMMYFUNCTION("""COMPUTED_VALUE"""),"completed")</f>
        <v>completed</v>
      </c>
      <c r="D1118" s="26">
        <f ca="1">IFERROR(__xludf.DUMMYFUNCTION("""COMPUTED_VALUE"""),25)</f>
        <v>25</v>
      </c>
      <c r="E1118" s="1"/>
      <c r="F1118" s="87" t="str">
        <f t="shared" ca="1" si="0"/>
        <v>2023</v>
      </c>
      <c r="G1118" s="1" t="str">
        <f ca="1">IFERROR(__xludf.DUMMYFUNCTION("""COMPUTED_VALUE"""),"Lakeshore Lightning Hockey")</f>
        <v>Lakeshore Lightning Hockey</v>
      </c>
      <c r="H1118" s="26">
        <f t="shared" ca="1" si="1"/>
        <v>25</v>
      </c>
      <c r="I1118" s="26">
        <f t="shared" ca="1" si="2"/>
        <v>1</v>
      </c>
      <c r="J1118" s="86">
        <f t="shared" ca="1" si="3"/>
        <v>44975</v>
      </c>
      <c r="R1118" s="26"/>
    </row>
    <row r="1119" spans="1:18" ht="15.75" customHeight="1">
      <c r="A1119" s="26">
        <f ca="1">IFERROR(__xludf.DUMMYFUNCTION("""COMPUTED_VALUE"""),17820)</f>
        <v>17820</v>
      </c>
      <c r="B1119" s="86">
        <f ca="1">IFERROR(__xludf.DUMMYFUNCTION("""COMPUTED_VALUE"""),44975.1577314814)</f>
        <v>44975.157731481399</v>
      </c>
      <c r="C1119" s="1" t="str">
        <f ca="1">IFERROR(__xludf.DUMMYFUNCTION("""COMPUTED_VALUE"""),"completed")</f>
        <v>completed</v>
      </c>
      <c r="D1119" s="26">
        <f ca="1">IFERROR(__xludf.DUMMYFUNCTION("""COMPUTED_VALUE"""),24)</f>
        <v>24</v>
      </c>
      <c r="E1119" s="1"/>
      <c r="F1119" s="87" t="str">
        <f t="shared" ca="1" si="0"/>
        <v>2023</v>
      </c>
      <c r="G1119" s="1" t="str">
        <f ca="1">IFERROR(__xludf.DUMMYFUNCTION("""COMPUTED_VALUE"""),"W.M.H.A")</f>
        <v>W.M.H.A</v>
      </c>
      <c r="H1119" s="26">
        <f t="shared" ca="1" si="1"/>
        <v>24</v>
      </c>
      <c r="I1119" s="26">
        <f t="shared" ca="1" si="2"/>
        <v>1</v>
      </c>
      <c r="J1119" s="86">
        <f t="shared" ca="1" si="3"/>
        <v>44975</v>
      </c>
      <c r="R1119" s="26"/>
    </row>
    <row r="1120" spans="1:18" ht="15.75" customHeight="1">
      <c r="A1120" s="26">
        <f ca="1">IFERROR(__xludf.DUMMYFUNCTION("""COMPUTED_VALUE"""),17819)</f>
        <v>17819</v>
      </c>
      <c r="B1120" s="86">
        <f ca="1">IFERROR(__xludf.DUMMYFUNCTION("""COMPUTED_VALUE"""),44975.1037499999)</f>
        <v>44975.1037499999</v>
      </c>
      <c r="C1120" s="1" t="str">
        <f ca="1">IFERROR(__xludf.DUMMYFUNCTION("""COMPUTED_VALUE"""),"completed")</f>
        <v>completed</v>
      </c>
      <c r="D1120" s="26">
        <f ca="1">IFERROR(__xludf.DUMMYFUNCTION("""COMPUTED_VALUE"""),20)</f>
        <v>20</v>
      </c>
      <c r="E1120" s="1"/>
      <c r="F1120" s="87" t="str">
        <f t="shared" ca="1" si="0"/>
        <v>2023</v>
      </c>
      <c r="G1120" s="1" t="str">
        <f ca="1">IFERROR(__xludf.DUMMYFUNCTION("""COMPUTED_VALUE"""),"WMFA")</f>
        <v>WMFA</v>
      </c>
      <c r="H1120" s="26">
        <f t="shared" ca="1" si="1"/>
        <v>20</v>
      </c>
      <c r="I1120" s="26">
        <f t="shared" ca="1" si="2"/>
        <v>1</v>
      </c>
      <c r="J1120" s="86">
        <f t="shared" ca="1" si="3"/>
        <v>44975</v>
      </c>
      <c r="R1120" s="26"/>
    </row>
    <row r="1121" spans="1:18" ht="15.75" customHeight="1">
      <c r="A1121" s="26">
        <f ca="1">IFERROR(__xludf.DUMMYFUNCTION("""COMPUTED_VALUE"""),17818)</f>
        <v>17818</v>
      </c>
      <c r="B1121" s="86">
        <f ca="1">IFERROR(__xludf.DUMMYFUNCTION("""COMPUTED_VALUE"""),44975.0799189814)</f>
        <v>44975.079918981399</v>
      </c>
      <c r="C1121" s="1" t="str">
        <f ca="1">IFERROR(__xludf.DUMMYFUNCTION("""COMPUTED_VALUE"""),"completed")</f>
        <v>completed</v>
      </c>
      <c r="D1121" s="26">
        <f ca="1">IFERROR(__xludf.DUMMYFUNCTION("""COMPUTED_VALUE"""),15)</f>
        <v>15</v>
      </c>
      <c r="E1121" s="1"/>
      <c r="F1121" s="87" t="str">
        <f t="shared" ca="1" si="0"/>
        <v>2023</v>
      </c>
      <c r="G1121" s="1" t="str">
        <f ca="1">IFERROR(__xludf.DUMMYFUNCTION("""COMPUTED_VALUE"""),"Lakeshore Lightning Hockey")</f>
        <v>Lakeshore Lightning Hockey</v>
      </c>
      <c r="H1121" s="26">
        <f t="shared" ca="1" si="1"/>
        <v>15</v>
      </c>
      <c r="I1121" s="26">
        <f t="shared" ca="1" si="2"/>
        <v>1</v>
      </c>
      <c r="J1121" s="86">
        <f t="shared" ca="1" si="3"/>
        <v>44975</v>
      </c>
      <c r="R1121" s="26"/>
    </row>
    <row r="1122" spans="1:18" ht="15.75" customHeight="1">
      <c r="A1122" s="26">
        <f ca="1">IFERROR(__xludf.DUMMYFUNCTION("""COMPUTED_VALUE"""),17817)</f>
        <v>17817</v>
      </c>
      <c r="B1122" s="86">
        <f ca="1">IFERROR(__xludf.DUMMYFUNCTION("""COMPUTED_VALUE"""),44975.0789583333)</f>
        <v>44975.078958333303</v>
      </c>
      <c r="C1122" s="1" t="str">
        <f ca="1">IFERROR(__xludf.DUMMYFUNCTION("""COMPUTED_VALUE"""),"completed")</f>
        <v>completed</v>
      </c>
      <c r="D1122" s="26">
        <f ca="1">IFERROR(__xludf.DUMMYFUNCTION("""COMPUTED_VALUE"""),24)</f>
        <v>24</v>
      </c>
      <c r="E1122" s="1"/>
      <c r="F1122" s="87" t="str">
        <f t="shared" ca="1" si="0"/>
        <v>2023</v>
      </c>
      <c r="G1122" s="1" t="str">
        <f ca="1">IFERROR(__xludf.DUMMYFUNCTION("""COMPUTED_VALUE"""),"W.M.H.A")</f>
        <v>W.M.H.A</v>
      </c>
      <c r="H1122" s="26">
        <f t="shared" ca="1" si="1"/>
        <v>24</v>
      </c>
      <c r="I1122" s="26">
        <f t="shared" ca="1" si="2"/>
        <v>1</v>
      </c>
      <c r="J1122" s="86">
        <f t="shared" ca="1" si="3"/>
        <v>44975</v>
      </c>
      <c r="R1122" s="26"/>
    </row>
    <row r="1123" spans="1:18" ht="15.75" customHeight="1">
      <c r="A1123" s="26">
        <f ca="1">IFERROR(__xludf.DUMMYFUNCTION("""COMPUTED_VALUE"""),17816)</f>
        <v>17816</v>
      </c>
      <c r="B1123" s="86">
        <f ca="1">IFERROR(__xludf.DUMMYFUNCTION("""COMPUTED_VALUE"""),44975.0748958333)</f>
        <v>44975.074895833299</v>
      </c>
      <c r="C1123" s="1" t="str">
        <f ca="1">IFERROR(__xludf.DUMMYFUNCTION("""COMPUTED_VALUE"""),"completed")</f>
        <v>completed</v>
      </c>
      <c r="D1123" s="26">
        <f ca="1">IFERROR(__xludf.DUMMYFUNCTION("""COMPUTED_VALUE"""),24)</f>
        <v>24</v>
      </c>
      <c r="E1123" s="1"/>
      <c r="F1123" s="87" t="str">
        <f t="shared" ca="1" si="0"/>
        <v>2023</v>
      </c>
      <c r="G1123" s="1" t="str">
        <f ca="1">IFERROR(__xludf.DUMMYFUNCTION("""COMPUTED_VALUE"""),"South Point Stars")</f>
        <v>South Point Stars</v>
      </c>
      <c r="H1123" s="26">
        <f t="shared" ca="1" si="1"/>
        <v>24</v>
      </c>
      <c r="I1123" s="26">
        <f t="shared" ca="1" si="2"/>
        <v>1</v>
      </c>
      <c r="J1123" s="86">
        <f t="shared" ca="1" si="3"/>
        <v>44975</v>
      </c>
      <c r="R1123" s="26"/>
    </row>
    <row r="1124" spans="1:18" ht="15.75" customHeight="1">
      <c r="A1124" s="26">
        <f ca="1">IFERROR(__xludf.DUMMYFUNCTION("""COMPUTED_VALUE"""),17815)</f>
        <v>17815</v>
      </c>
      <c r="B1124" s="86">
        <f ca="1">IFERROR(__xludf.DUMMYFUNCTION("""COMPUTED_VALUE"""),44975.0712731481)</f>
        <v>44975.071273148104</v>
      </c>
      <c r="C1124" s="1" t="str">
        <f ca="1">IFERROR(__xludf.DUMMYFUNCTION("""COMPUTED_VALUE"""),"completed")</f>
        <v>completed</v>
      </c>
      <c r="D1124" s="26">
        <f ca="1">IFERROR(__xludf.DUMMYFUNCTION("""COMPUTED_VALUE"""),20)</f>
        <v>20</v>
      </c>
      <c r="E1124" s="1"/>
      <c r="F1124" s="87" t="str">
        <f t="shared" ca="1" si="0"/>
        <v>2023</v>
      </c>
      <c r="G1124" s="1" t="str">
        <f ca="1">IFERROR(__xludf.DUMMYFUNCTION("""COMPUTED_VALUE"""),"Lakeshore Lightning Hockey")</f>
        <v>Lakeshore Lightning Hockey</v>
      </c>
      <c r="H1124" s="26">
        <f t="shared" ca="1" si="1"/>
        <v>20</v>
      </c>
      <c r="I1124" s="26">
        <f t="shared" ca="1" si="2"/>
        <v>1</v>
      </c>
      <c r="J1124" s="86">
        <f t="shared" ca="1" si="3"/>
        <v>44975</v>
      </c>
      <c r="R1124" s="26"/>
    </row>
    <row r="1125" spans="1:18" ht="15.75" customHeight="1">
      <c r="A1125" s="26">
        <f ca="1">IFERROR(__xludf.DUMMYFUNCTION("""COMPUTED_VALUE"""),17814)</f>
        <v>17814</v>
      </c>
      <c r="B1125" s="86">
        <f ca="1">IFERROR(__xludf.DUMMYFUNCTION("""COMPUTED_VALUE"""),44975.0702199074)</f>
        <v>44975.0702199074</v>
      </c>
      <c r="C1125" s="1" t="str">
        <f ca="1">IFERROR(__xludf.DUMMYFUNCTION("""COMPUTED_VALUE"""),"completed")</f>
        <v>completed</v>
      </c>
      <c r="D1125" s="26">
        <f ca="1">IFERROR(__xludf.DUMMYFUNCTION("""COMPUTED_VALUE"""),45)</f>
        <v>45</v>
      </c>
      <c r="E1125" s="1"/>
      <c r="F1125" s="87" t="str">
        <f t="shared" ca="1" si="0"/>
        <v>2023</v>
      </c>
      <c r="G1125" s="1" t="str">
        <f ca="1">IFERROR(__xludf.DUMMYFUNCTION("""COMPUTED_VALUE"""),"W.M.H.A")</f>
        <v>W.M.H.A</v>
      </c>
      <c r="H1125" s="26">
        <f t="shared" ca="1" si="1"/>
        <v>45</v>
      </c>
      <c r="I1125" s="26">
        <f t="shared" ca="1" si="2"/>
        <v>1</v>
      </c>
      <c r="J1125" s="86">
        <f t="shared" ca="1" si="3"/>
        <v>44975</v>
      </c>
      <c r="R1125" s="26"/>
    </row>
    <row r="1126" spans="1:18" ht="15.75" customHeight="1">
      <c r="A1126" s="26">
        <f ca="1">IFERROR(__xludf.DUMMYFUNCTION("""COMPUTED_VALUE"""),17813)</f>
        <v>17813</v>
      </c>
      <c r="B1126" s="86">
        <f ca="1">IFERROR(__xludf.DUMMYFUNCTION("""COMPUTED_VALUE"""),44975.0698032407)</f>
        <v>44975.069803240702</v>
      </c>
      <c r="C1126" s="1" t="str">
        <f ca="1">IFERROR(__xludf.DUMMYFUNCTION("""COMPUTED_VALUE"""),"completed")</f>
        <v>completed</v>
      </c>
      <c r="D1126" s="26">
        <f ca="1">IFERROR(__xludf.DUMMYFUNCTION("""COMPUTED_VALUE"""),38)</f>
        <v>38</v>
      </c>
      <c r="E1126" s="1"/>
      <c r="F1126" s="87" t="str">
        <f t="shared" ca="1" si="0"/>
        <v>2023</v>
      </c>
      <c r="G1126" s="1" t="str">
        <f ca="1">IFERROR(__xludf.DUMMYFUNCTION("""COMPUTED_VALUE"""),"Lakeshore Lightning Hockey")</f>
        <v>Lakeshore Lightning Hockey</v>
      </c>
      <c r="H1126" s="26">
        <f t="shared" ca="1" si="1"/>
        <v>38</v>
      </c>
      <c r="I1126" s="26">
        <f t="shared" ca="1" si="2"/>
        <v>1</v>
      </c>
      <c r="J1126" s="86">
        <f t="shared" ca="1" si="3"/>
        <v>44975</v>
      </c>
      <c r="R1126" s="26"/>
    </row>
    <row r="1127" spans="1:18" ht="15.75" customHeight="1">
      <c r="A1127" s="26">
        <f ca="1">IFERROR(__xludf.DUMMYFUNCTION("""COMPUTED_VALUE"""),17812)</f>
        <v>17812</v>
      </c>
      <c r="B1127" s="86">
        <f ca="1">IFERROR(__xludf.DUMMYFUNCTION("""COMPUTED_VALUE"""),44975.0654282407)</f>
        <v>44975.065428240698</v>
      </c>
      <c r="C1127" s="1" t="str">
        <f ca="1">IFERROR(__xludf.DUMMYFUNCTION("""COMPUTED_VALUE"""),"completed")</f>
        <v>completed</v>
      </c>
      <c r="D1127" s="26">
        <f ca="1">IFERROR(__xludf.DUMMYFUNCTION("""COMPUTED_VALUE"""),45)</f>
        <v>45</v>
      </c>
      <c r="E1127" s="1"/>
      <c r="F1127" s="87" t="str">
        <f t="shared" ca="1" si="0"/>
        <v>2023</v>
      </c>
      <c r="G1127" s="1" t="str">
        <f ca="1">IFERROR(__xludf.DUMMYFUNCTION("""COMPUTED_VALUE"""),"W.M.H.A")</f>
        <v>W.M.H.A</v>
      </c>
      <c r="H1127" s="26">
        <f t="shared" ca="1" si="1"/>
        <v>45</v>
      </c>
      <c r="I1127" s="26">
        <f t="shared" ca="1" si="2"/>
        <v>1</v>
      </c>
      <c r="J1127" s="86">
        <f t="shared" ca="1" si="3"/>
        <v>44975</v>
      </c>
      <c r="R1127" s="26"/>
    </row>
    <row r="1128" spans="1:18" ht="15.75" customHeight="1">
      <c r="A1128" s="26">
        <f ca="1">IFERROR(__xludf.DUMMYFUNCTION("""COMPUTED_VALUE"""),17811)</f>
        <v>17811</v>
      </c>
      <c r="B1128" s="86">
        <f ca="1">IFERROR(__xludf.DUMMYFUNCTION("""COMPUTED_VALUE"""),44975.065011574)</f>
        <v>44975.065011573999</v>
      </c>
      <c r="C1128" s="1" t="str">
        <f ca="1">IFERROR(__xludf.DUMMYFUNCTION("""COMPUTED_VALUE"""),"completed")</f>
        <v>completed</v>
      </c>
      <c r="D1128" s="26">
        <f ca="1">IFERROR(__xludf.DUMMYFUNCTION("""COMPUTED_VALUE"""),40)</f>
        <v>40</v>
      </c>
      <c r="E1128" s="1"/>
      <c r="F1128" s="87" t="str">
        <f t="shared" ca="1" si="0"/>
        <v>2023</v>
      </c>
      <c r="G1128" s="1" t="str">
        <f ca="1">IFERROR(__xludf.DUMMYFUNCTION("""COMPUTED_VALUE"""),"Lakeshore Lightning Hockey")</f>
        <v>Lakeshore Lightning Hockey</v>
      </c>
      <c r="H1128" s="26">
        <f t="shared" ca="1" si="1"/>
        <v>40</v>
      </c>
      <c r="I1128" s="26">
        <f t="shared" ca="1" si="2"/>
        <v>1</v>
      </c>
      <c r="J1128" s="86">
        <f t="shared" ca="1" si="3"/>
        <v>44975</v>
      </c>
      <c r="R1128" s="26"/>
    </row>
    <row r="1129" spans="1:18" ht="15.75" customHeight="1">
      <c r="A1129" s="26">
        <f ca="1">IFERROR(__xludf.DUMMYFUNCTION("""COMPUTED_VALUE"""),17810)</f>
        <v>17810</v>
      </c>
      <c r="B1129" s="86">
        <f ca="1">IFERROR(__xludf.DUMMYFUNCTION("""COMPUTED_VALUE"""),44975.0610532407)</f>
        <v>44975.061053240701</v>
      </c>
      <c r="C1129" s="1" t="str">
        <f ca="1">IFERROR(__xludf.DUMMYFUNCTION("""COMPUTED_VALUE"""),"completed")</f>
        <v>completed</v>
      </c>
      <c r="D1129" s="26">
        <f ca="1">IFERROR(__xludf.DUMMYFUNCTION("""COMPUTED_VALUE"""),22)</f>
        <v>22</v>
      </c>
      <c r="E1129" s="1"/>
      <c r="F1129" s="87" t="str">
        <f t="shared" ca="1" si="0"/>
        <v>2023</v>
      </c>
      <c r="G1129" s="1" t="str">
        <f ca="1">IFERROR(__xludf.DUMMYFUNCTION("""COMPUTED_VALUE"""),"Kingsville Soccer Association")</f>
        <v>Kingsville Soccer Association</v>
      </c>
      <c r="H1129" s="26">
        <f t="shared" ca="1" si="1"/>
        <v>22</v>
      </c>
      <c r="I1129" s="26">
        <f t="shared" ca="1" si="2"/>
        <v>1</v>
      </c>
      <c r="J1129" s="86">
        <f t="shared" ca="1" si="3"/>
        <v>44975</v>
      </c>
      <c r="R1129" s="26"/>
    </row>
    <row r="1130" spans="1:18" ht="15.75" customHeight="1">
      <c r="A1130" s="26">
        <f ca="1">IFERROR(__xludf.DUMMYFUNCTION("""COMPUTED_VALUE"""),17809)</f>
        <v>17809</v>
      </c>
      <c r="B1130" s="86">
        <f ca="1">IFERROR(__xludf.DUMMYFUNCTION("""COMPUTED_VALUE"""),44975.0595254629)</f>
        <v>44975.059525462901</v>
      </c>
      <c r="C1130" s="1" t="str">
        <f ca="1">IFERROR(__xludf.DUMMYFUNCTION("""COMPUTED_VALUE"""),"completed")</f>
        <v>completed</v>
      </c>
      <c r="D1130" s="26">
        <f ca="1">IFERROR(__xludf.DUMMYFUNCTION("""COMPUTED_VALUE"""),22)</f>
        <v>22</v>
      </c>
      <c r="E1130" s="1"/>
      <c r="F1130" s="87" t="str">
        <f t="shared" ca="1" si="0"/>
        <v>2023</v>
      </c>
      <c r="G1130" s="1" t="str">
        <f ca="1">IFERROR(__xludf.DUMMYFUNCTION("""COMPUTED_VALUE"""),"WMFA")</f>
        <v>WMFA</v>
      </c>
      <c r="H1130" s="26">
        <f t="shared" ca="1" si="1"/>
        <v>22</v>
      </c>
      <c r="I1130" s="26">
        <f t="shared" ca="1" si="2"/>
        <v>1</v>
      </c>
      <c r="J1130" s="86">
        <f t="shared" ca="1" si="3"/>
        <v>44975</v>
      </c>
      <c r="R1130" s="26"/>
    </row>
    <row r="1131" spans="1:18" ht="15.75" customHeight="1">
      <c r="A1131" s="26">
        <f ca="1">IFERROR(__xludf.DUMMYFUNCTION("""COMPUTED_VALUE"""),17808)</f>
        <v>17808</v>
      </c>
      <c r="B1131" s="86">
        <f ca="1">IFERROR(__xludf.DUMMYFUNCTION("""COMPUTED_VALUE"""),44975.0525578703)</f>
        <v>44975.052557870302</v>
      </c>
      <c r="C1131" s="1" t="str">
        <f ca="1">IFERROR(__xludf.DUMMYFUNCTION("""COMPUTED_VALUE"""),"completed")</f>
        <v>completed</v>
      </c>
      <c r="D1131" s="26">
        <f ca="1">IFERROR(__xludf.DUMMYFUNCTION("""COMPUTED_VALUE"""),15)</f>
        <v>15</v>
      </c>
      <c r="E1131" s="1"/>
      <c r="F1131" s="87" t="str">
        <f t="shared" ca="1" si="0"/>
        <v>2023</v>
      </c>
      <c r="G1131" s="1" t="str">
        <f ca="1">IFERROR(__xludf.DUMMYFUNCTION("""COMPUTED_VALUE"""),"WMFA")</f>
        <v>WMFA</v>
      </c>
      <c r="H1131" s="26">
        <f t="shared" ca="1" si="1"/>
        <v>15</v>
      </c>
      <c r="I1131" s="26">
        <f t="shared" ca="1" si="2"/>
        <v>1</v>
      </c>
      <c r="J1131" s="86">
        <f t="shared" ca="1" si="3"/>
        <v>44975</v>
      </c>
      <c r="R1131" s="26"/>
    </row>
    <row r="1132" spans="1:18" ht="15.75" customHeight="1">
      <c r="A1132" s="26">
        <f ca="1">IFERROR(__xludf.DUMMYFUNCTION("""COMPUTED_VALUE"""),17807)</f>
        <v>17807</v>
      </c>
      <c r="B1132" s="86">
        <f ca="1">IFERROR(__xludf.DUMMYFUNCTION("""COMPUTED_VALUE"""),44975.0509722222)</f>
        <v>44975.050972222198</v>
      </c>
      <c r="C1132" s="1" t="str">
        <f ca="1">IFERROR(__xludf.DUMMYFUNCTION("""COMPUTED_VALUE"""),"completed")</f>
        <v>completed</v>
      </c>
      <c r="D1132" s="26">
        <f ca="1">IFERROR(__xludf.DUMMYFUNCTION("""COMPUTED_VALUE"""),25)</f>
        <v>25</v>
      </c>
      <c r="E1132" s="1"/>
      <c r="F1132" s="87" t="str">
        <f t="shared" ca="1" si="0"/>
        <v>2023</v>
      </c>
      <c r="G1132" s="1" t="str">
        <f ca="1">IFERROR(__xludf.DUMMYFUNCTION("""COMPUTED_VALUE"""),"W.M.H.A")</f>
        <v>W.M.H.A</v>
      </c>
      <c r="H1132" s="26">
        <f t="shared" ca="1" si="1"/>
        <v>25</v>
      </c>
      <c r="I1132" s="26">
        <f t="shared" ca="1" si="2"/>
        <v>1</v>
      </c>
      <c r="J1132" s="86">
        <f t="shared" ca="1" si="3"/>
        <v>44975</v>
      </c>
      <c r="R1132" s="26"/>
    </row>
    <row r="1133" spans="1:18" ht="15.75" customHeight="1">
      <c r="A1133" s="26">
        <f ca="1">IFERROR(__xludf.DUMMYFUNCTION("""COMPUTED_VALUE"""),17806)</f>
        <v>17806</v>
      </c>
      <c r="B1133" s="86">
        <f ca="1">IFERROR(__xludf.DUMMYFUNCTION("""COMPUTED_VALUE"""),44975.0496759259)</f>
        <v>44975.049675925897</v>
      </c>
      <c r="C1133" s="1" t="str">
        <f ca="1">IFERROR(__xludf.DUMMYFUNCTION("""COMPUTED_VALUE"""),"completed")</f>
        <v>completed</v>
      </c>
      <c r="D1133" s="26">
        <f ca="1">IFERROR(__xludf.DUMMYFUNCTION("""COMPUTED_VALUE"""),15)</f>
        <v>15</v>
      </c>
      <c r="E1133" s="1"/>
      <c r="F1133" s="87" t="str">
        <f t="shared" ca="1" si="0"/>
        <v>2023</v>
      </c>
      <c r="G1133" s="1" t="str">
        <f ca="1">IFERROR(__xludf.DUMMYFUNCTION("""COMPUTED_VALUE"""),"Kingsville Soccer Association")</f>
        <v>Kingsville Soccer Association</v>
      </c>
      <c r="H1133" s="26">
        <f t="shared" ca="1" si="1"/>
        <v>15</v>
      </c>
      <c r="I1133" s="26">
        <f t="shared" ca="1" si="2"/>
        <v>1</v>
      </c>
      <c r="J1133" s="86">
        <f t="shared" ca="1" si="3"/>
        <v>44975</v>
      </c>
      <c r="R1133" s="26"/>
    </row>
    <row r="1134" spans="1:18" ht="15.75" customHeight="1">
      <c r="A1134" s="26">
        <f ca="1">IFERROR(__xludf.DUMMYFUNCTION("""COMPUTED_VALUE"""),17805)</f>
        <v>17805</v>
      </c>
      <c r="B1134" s="86">
        <f ca="1">IFERROR(__xludf.DUMMYFUNCTION("""COMPUTED_VALUE"""),44975.045474537)</f>
        <v>44975.045474537001</v>
      </c>
      <c r="C1134" s="1" t="str">
        <f ca="1">IFERROR(__xludf.DUMMYFUNCTION("""COMPUTED_VALUE"""),"completed")</f>
        <v>completed</v>
      </c>
      <c r="D1134" s="26">
        <f ca="1">IFERROR(__xludf.DUMMYFUNCTION("""COMPUTED_VALUE"""),35)</f>
        <v>35</v>
      </c>
      <c r="E1134" s="1"/>
      <c r="F1134" s="87" t="str">
        <f t="shared" ca="1" si="0"/>
        <v>2023</v>
      </c>
      <c r="G1134" s="1" t="str">
        <f ca="1">IFERROR(__xludf.DUMMYFUNCTION("""COMPUTED_VALUE"""),"W.M.H.A")</f>
        <v>W.M.H.A</v>
      </c>
      <c r="H1134" s="26">
        <f t="shared" ca="1" si="1"/>
        <v>35</v>
      </c>
      <c r="I1134" s="26">
        <f t="shared" ca="1" si="2"/>
        <v>1</v>
      </c>
      <c r="J1134" s="86">
        <f t="shared" ca="1" si="3"/>
        <v>44975</v>
      </c>
      <c r="R1134" s="26"/>
    </row>
    <row r="1135" spans="1:18" ht="15.75" customHeight="1">
      <c r="A1135" s="26">
        <f ca="1">IFERROR(__xludf.DUMMYFUNCTION("""COMPUTED_VALUE"""),17804)</f>
        <v>17804</v>
      </c>
      <c r="B1135" s="86">
        <f ca="1">IFERROR(__xludf.DUMMYFUNCTION("""COMPUTED_VALUE"""),44975.0448379629)</f>
        <v>44975.044837962902</v>
      </c>
      <c r="C1135" s="1" t="str">
        <f ca="1">IFERROR(__xludf.DUMMYFUNCTION("""COMPUTED_VALUE"""),"completed")</f>
        <v>completed</v>
      </c>
      <c r="D1135" s="26">
        <f ca="1">IFERROR(__xludf.DUMMYFUNCTION("""COMPUTED_VALUE"""),24)</f>
        <v>24</v>
      </c>
      <c r="E1135" s="1"/>
      <c r="F1135" s="87" t="str">
        <f t="shared" ca="1" si="0"/>
        <v>2023</v>
      </c>
      <c r="G1135" s="1" t="str">
        <f ca="1">IFERROR(__xludf.DUMMYFUNCTION("""COMPUTED_VALUE"""),"W.M.H.A")</f>
        <v>W.M.H.A</v>
      </c>
      <c r="H1135" s="26">
        <f t="shared" ca="1" si="1"/>
        <v>24</v>
      </c>
      <c r="I1135" s="26">
        <f t="shared" ca="1" si="2"/>
        <v>1</v>
      </c>
      <c r="J1135" s="86">
        <f t="shared" ca="1" si="3"/>
        <v>44975</v>
      </c>
      <c r="R1135" s="26"/>
    </row>
    <row r="1136" spans="1:18" ht="15.75" customHeight="1">
      <c r="A1136" s="26">
        <f ca="1">IFERROR(__xludf.DUMMYFUNCTION("""COMPUTED_VALUE"""),17803)</f>
        <v>17803</v>
      </c>
      <c r="B1136" s="86">
        <f ca="1">IFERROR(__xludf.DUMMYFUNCTION("""COMPUTED_VALUE"""),44975.0424537037)</f>
        <v>44975.042453703703</v>
      </c>
      <c r="C1136" s="1" t="str">
        <f ca="1">IFERROR(__xludf.DUMMYFUNCTION("""COMPUTED_VALUE"""),"completed")</f>
        <v>completed</v>
      </c>
      <c r="D1136" s="26">
        <f ca="1">IFERROR(__xludf.DUMMYFUNCTION("""COMPUTED_VALUE"""),35)</f>
        <v>35</v>
      </c>
      <c r="E1136" s="1"/>
      <c r="F1136" s="87" t="str">
        <f t="shared" ca="1" si="0"/>
        <v>2023</v>
      </c>
      <c r="G1136" s="1" t="str">
        <f ca="1">IFERROR(__xludf.DUMMYFUNCTION("""COMPUTED_VALUE"""),"Lakeshore Lightning Hockey")</f>
        <v>Lakeshore Lightning Hockey</v>
      </c>
      <c r="H1136" s="26">
        <f t="shared" ca="1" si="1"/>
        <v>35</v>
      </c>
      <c r="I1136" s="26">
        <f t="shared" ca="1" si="2"/>
        <v>1</v>
      </c>
      <c r="J1136" s="86">
        <f t="shared" ca="1" si="3"/>
        <v>44975</v>
      </c>
      <c r="R1136" s="26"/>
    </row>
    <row r="1137" spans="1:18" ht="15.75" customHeight="1">
      <c r="A1137" s="26">
        <f ca="1">IFERROR(__xludf.DUMMYFUNCTION("""COMPUTED_VALUE"""),17802)</f>
        <v>17802</v>
      </c>
      <c r="B1137" s="86">
        <f ca="1">IFERROR(__xludf.DUMMYFUNCTION("""COMPUTED_VALUE"""),44975.0379861111)</f>
        <v>44975.0379861111</v>
      </c>
      <c r="C1137" s="1" t="str">
        <f ca="1">IFERROR(__xludf.DUMMYFUNCTION("""COMPUTED_VALUE"""),"completed")</f>
        <v>completed</v>
      </c>
      <c r="D1137" s="26">
        <f ca="1">IFERROR(__xludf.DUMMYFUNCTION("""COMPUTED_VALUE"""),55)</f>
        <v>55</v>
      </c>
      <c r="E1137" s="1"/>
      <c r="F1137" s="87" t="str">
        <f t="shared" ca="1" si="0"/>
        <v>2023</v>
      </c>
      <c r="G1137" s="1" t="str">
        <f ca="1">IFERROR(__xludf.DUMMYFUNCTION("""COMPUTED_VALUE"""),"W.M.H.A")</f>
        <v>W.M.H.A</v>
      </c>
      <c r="H1137" s="26">
        <f t="shared" ca="1" si="1"/>
        <v>55</v>
      </c>
      <c r="I1137" s="26">
        <f t="shared" ca="1" si="2"/>
        <v>1</v>
      </c>
      <c r="J1137" s="86">
        <f t="shared" ca="1" si="3"/>
        <v>44975</v>
      </c>
      <c r="R1137" s="26"/>
    </row>
    <row r="1138" spans="1:18" ht="15.75" customHeight="1">
      <c r="A1138" s="26">
        <f ca="1">IFERROR(__xludf.DUMMYFUNCTION("""COMPUTED_VALUE"""),17801)</f>
        <v>17801</v>
      </c>
      <c r="B1138" s="86">
        <f ca="1">IFERROR(__xludf.DUMMYFUNCTION("""COMPUTED_VALUE"""),44975.0343402777)</f>
        <v>44975.0343402777</v>
      </c>
      <c r="C1138" s="1" t="str">
        <f ca="1">IFERROR(__xludf.DUMMYFUNCTION("""COMPUTED_VALUE"""),"completed")</f>
        <v>completed</v>
      </c>
      <c r="D1138" s="26">
        <f ca="1">IFERROR(__xludf.DUMMYFUNCTION("""COMPUTED_VALUE"""),35)</f>
        <v>35</v>
      </c>
      <c r="E1138" s="1"/>
      <c r="F1138" s="87" t="str">
        <f t="shared" ca="1" si="0"/>
        <v>2023</v>
      </c>
      <c r="G1138" s="1" t="str">
        <f ca="1">IFERROR(__xludf.DUMMYFUNCTION("""COMPUTED_VALUE"""),"Lakeshore Lightning Hockey")</f>
        <v>Lakeshore Lightning Hockey</v>
      </c>
      <c r="H1138" s="26">
        <f t="shared" ca="1" si="1"/>
        <v>35</v>
      </c>
      <c r="I1138" s="26">
        <f t="shared" ca="1" si="2"/>
        <v>1</v>
      </c>
      <c r="J1138" s="86">
        <f t="shared" ca="1" si="3"/>
        <v>44975</v>
      </c>
      <c r="R1138" s="26"/>
    </row>
    <row r="1139" spans="1:18" ht="15.75" customHeight="1">
      <c r="A1139" s="26">
        <f ca="1">IFERROR(__xludf.DUMMYFUNCTION("""COMPUTED_VALUE"""),17800)</f>
        <v>17800</v>
      </c>
      <c r="B1139" s="86">
        <f ca="1">IFERROR(__xludf.DUMMYFUNCTION("""COMPUTED_VALUE"""),44975.0281481481)</f>
        <v>44975.0281481481</v>
      </c>
      <c r="C1139" s="1" t="str">
        <f ca="1">IFERROR(__xludf.DUMMYFUNCTION("""COMPUTED_VALUE"""),"completed")</f>
        <v>completed</v>
      </c>
      <c r="D1139" s="26">
        <f ca="1">IFERROR(__xludf.DUMMYFUNCTION("""COMPUTED_VALUE"""),124)</f>
        <v>124</v>
      </c>
      <c r="E1139" s="1"/>
      <c r="F1139" s="87" t="str">
        <f t="shared" ca="1" si="0"/>
        <v>2023</v>
      </c>
      <c r="G1139" s="1" t="str">
        <f ca="1">IFERROR(__xludf.DUMMYFUNCTION("""COMPUTED_VALUE"""),"W.M.H.A")</f>
        <v>W.M.H.A</v>
      </c>
      <c r="H1139" s="26">
        <f t="shared" ca="1" si="1"/>
        <v>124</v>
      </c>
      <c r="I1139" s="26">
        <f t="shared" ca="1" si="2"/>
        <v>1</v>
      </c>
      <c r="J1139" s="86">
        <f t="shared" ca="1" si="3"/>
        <v>44975</v>
      </c>
      <c r="R1139" s="26"/>
    </row>
    <row r="1140" spans="1:18" ht="15.75" customHeight="1">
      <c r="A1140" s="26">
        <f ca="1">IFERROR(__xludf.DUMMYFUNCTION("""COMPUTED_VALUE"""),17799)</f>
        <v>17799</v>
      </c>
      <c r="B1140" s="86">
        <f ca="1">IFERROR(__xludf.DUMMYFUNCTION("""COMPUTED_VALUE"""),44975.010636574)</f>
        <v>44975.010636573999</v>
      </c>
      <c r="C1140" s="1" t="str">
        <f ca="1">IFERROR(__xludf.DUMMYFUNCTION("""COMPUTED_VALUE"""),"completed")</f>
        <v>completed</v>
      </c>
      <c r="D1140" s="26">
        <f ca="1">IFERROR(__xludf.DUMMYFUNCTION("""COMPUTED_VALUE"""),25)</f>
        <v>25</v>
      </c>
      <c r="E1140" s="1"/>
      <c r="F1140" s="87" t="str">
        <f t="shared" ca="1" si="0"/>
        <v>2023</v>
      </c>
      <c r="G1140" s="1" t="str">
        <f ca="1">IFERROR(__xludf.DUMMYFUNCTION("""COMPUTED_VALUE"""),"W.M.H.A")</f>
        <v>W.M.H.A</v>
      </c>
      <c r="H1140" s="26">
        <f t="shared" ca="1" si="1"/>
        <v>25</v>
      </c>
      <c r="I1140" s="26">
        <f t="shared" ca="1" si="2"/>
        <v>1</v>
      </c>
      <c r="J1140" s="86">
        <f t="shared" ca="1" si="3"/>
        <v>44975</v>
      </c>
      <c r="R1140" s="26"/>
    </row>
    <row r="1141" spans="1:18" ht="15.75" customHeight="1">
      <c r="A1141" s="26">
        <f ca="1">IFERROR(__xludf.DUMMYFUNCTION("""COMPUTED_VALUE"""),17798)</f>
        <v>17798</v>
      </c>
      <c r="B1141" s="86">
        <f ca="1">IFERROR(__xludf.DUMMYFUNCTION("""COMPUTED_VALUE"""),44975.0099074074)</f>
        <v>44975.009907407402</v>
      </c>
      <c r="C1141" s="1" t="str">
        <f ca="1">IFERROR(__xludf.DUMMYFUNCTION("""COMPUTED_VALUE"""),"completed")</f>
        <v>completed</v>
      </c>
      <c r="D1141" s="26">
        <f ca="1">IFERROR(__xludf.DUMMYFUNCTION("""COMPUTED_VALUE"""),24)</f>
        <v>24</v>
      </c>
      <c r="E1141" s="1"/>
      <c r="F1141" s="87" t="str">
        <f t="shared" ca="1" si="0"/>
        <v>2023</v>
      </c>
      <c r="G1141" s="1" t="str">
        <f ca="1">IFERROR(__xludf.DUMMYFUNCTION("""COMPUTED_VALUE"""),"W.M.H.A")</f>
        <v>W.M.H.A</v>
      </c>
      <c r="H1141" s="26">
        <f t="shared" ca="1" si="1"/>
        <v>24</v>
      </c>
      <c r="I1141" s="26">
        <f t="shared" ca="1" si="2"/>
        <v>1</v>
      </c>
      <c r="J1141" s="86">
        <f t="shared" ca="1" si="3"/>
        <v>44975</v>
      </c>
      <c r="R1141" s="26"/>
    </row>
    <row r="1142" spans="1:18" ht="15.75" customHeight="1">
      <c r="A1142" s="26">
        <f ca="1">IFERROR(__xludf.DUMMYFUNCTION("""COMPUTED_VALUE"""),17797)</f>
        <v>17797</v>
      </c>
      <c r="B1142" s="86">
        <f ca="1">IFERROR(__xludf.DUMMYFUNCTION("""COMPUTED_VALUE"""),44975.0093402777)</f>
        <v>44975.009340277698</v>
      </c>
      <c r="C1142" s="1" t="str">
        <f ca="1">IFERROR(__xludf.DUMMYFUNCTION("""COMPUTED_VALUE"""),"completed")</f>
        <v>completed</v>
      </c>
      <c r="D1142" s="26">
        <f ca="1">IFERROR(__xludf.DUMMYFUNCTION("""COMPUTED_VALUE"""),25)</f>
        <v>25</v>
      </c>
      <c r="E1142" s="1"/>
      <c r="F1142" s="87" t="str">
        <f t="shared" ca="1" si="0"/>
        <v>2023</v>
      </c>
      <c r="G1142" s="1" t="str">
        <f ca="1">IFERROR(__xludf.DUMMYFUNCTION("""COMPUTED_VALUE"""),"W.M.H.A")</f>
        <v>W.M.H.A</v>
      </c>
      <c r="H1142" s="26">
        <f t="shared" ca="1" si="1"/>
        <v>25</v>
      </c>
      <c r="I1142" s="26">
        <f t="shared" ca="1" si="2"/>
        <v>1</v>
      </c>
      <c r="J1142" s="86">
        <f t="shared" ca="1" si="3"/>
        <v>44975</v>
      </c>
      <c r="R1142" s="26"/>
    </row>
    <row r="1143" spans="1:18" ht="15.75" customHeight="1">
      <c r="A1143" s="26">
        <f ca="1">IFERROR(__xludf.DUMMYFUNCTION("""COMPUTED_VALUE"""),17796)</f>
        <v>17796</v>
      </c>
      <c r="B1143" s="86">
        <f ca="1">IFERROR(__xludf.DUMMYFUNCTION("""COMPUTED_VALUE"""),44975.0057407407)</f>
        <v>44975.0057407407</v>
      </c>
      <c r="C1143" s="1" t="str">
        <f ca="1">IFERROR(__xludf.DUMMYFUNCTION("""COMPUTED_VALUE"""),"completed")</f>
        <v>completed</v>
      </c>
      <c r="D1143" s="26">
        <f ca="1">IFERROR(__xludf.DUMMYFUNCTION("""COMPUTED_VALUE"""),100)</f>
        <v>100</v>
      </c>
      <c r="E1143" s="1"/>
      <c r="F1143" s="87" t="str">
        <f t="shared" ca="1" si="0"/>
        <v>2023</v>
      </c>
      <c r="G1143" s="1" t="str">
        <f ca="1">IFERROR(__xludf.DUMMYFUNCTION("""COMPUTED_VALUE"""),"W.M.H.A")</f>
        <v>W.M.H.A</v>
      </c>
      <c r="H1143" s="26">
        <f t="shared" ca="1" si="1"/>
        <v>100</v>
      </c>
      <c r="I1143" s="26">
        <f t="shared" ca="1" si="2"/>
        <v>1</v>
      </c>
      <c r="J1143" s="86">
        <f t="shared" ca="1" si="3"/>
        <v>44975</v>
      </c>
      <c r="R1143" s="26"/>
    </row>
    <row r="1144" spans="1:18" ht="15.75" customHeight="1">
      <c r="A1144" s="26">
        <f ca="1">IFERROR(__xludf.DUMMYFUNCTION("""COMPUTED_VALUE"""),17795)</f>
        <v>17795</v>
      </c>
      <c r="B1144" s="86">
        <f ca="1">IFERROR(__xludf.DUMMYFUNCTION("""COMPUTED_VALUE"""),44974.9897106481)</f>
        <v>44974.9897106481</v>
      </c>
      <c r="C1144" s="1" t="str">
        <f ca="1">IFERROR(__xludf.DUMMYFUNCTION("""COMPUTED_VALUE"""),"completed")</f>
        <v>completed</v>
      </c>
      <c r="D1144" s="26">
        <f ca="1">IFERROR(__xludf.DUMMYFUNCTION("""COMPUTED_VALUE"""),110)</f>
        <v>110</v>
      </c>
      <c r="E1144" s="1"/>
      <c r="F1144" s="87" t="str">
        <f t="shared" ca="1" si="0"/>
        <v>2023</v>
      </c>
      <c r="G1144" s="1" t="str">
        <f ca="1">IFERROR(__xludf.DUMMYFUNCTION("""COMPUTED_VALUE"""),"W.M.H.A")</f>
        <v>W.M.H.A</v>
      </c>
      <c r="H1144" s="26">
        <f t="shared" ca="1" si="1"/>
        <v>110</v>
      </c>
      <c r="I1144" s="26">
        <f t="shared" ca="1" si="2"/>
        <v>1</v>
      </c>
      <c r="J1144" s="86">
        <f t="shared" ca="1" si="3"/>
        <v>44974</v>
      </c>
      <c r="R1144" s="26"/>
    </row>
    <row r="1145" spans="1:18" ht="15.75" customHeight="1">
      <c r="A1145" s="26">
        <f ca="1">IFERROR(__xludf.DUMMYFUNCTION("""COMPUTED_VALUE"""),17794)</f>
        <v>17794</v>
      </c>
      <c r="B1145" s="86">
        <f ca="1">IFERROR(__xludf.DUMMYFUNCTION("""COMPUTED_VALUE"""),44974.9883680555)</f>
        <v>44974.988368055499</v>
      </c>
      <c r="C1145" s="1" t="str">
        <f ca="1">IFERROR(__xludf.DUMMYFUNCTION("""COMPUTED_VALUE"""),"completed")</f>
        <v>completed</v>
      </c>
      <c r="D1145" s="26">
        <f ca="1">IFERROR(__xludf.DUMMYFUNCTION("""COMPUTED_VALUE"""),43)</f>
        <v>43</v>
      </c>
      <c r="E1145" s="1"/>
      <c r="F1145" s="87" t="str">
        <f t="shared" ca="1" si="0"/>
        <v>2023</v>
      </c>
      <c r="G1145" s="1" t="str">
        <f ca="1">IFERROR(__xludf.DUMMYFUNCTION("""COMPUTED_VALUE"""),"Lakeshore Lightning Hockey")</f>
        <v>Lakeshore Lightning Hockey</v>
      </c>
      <c r="H1145" s="26">
        <f t="shared" ca="1" si="1"/>
        <v>43</v>
      </c>
      <c r="I1145" s="26">
        <f t="shared" ca="1" si="2"/>
        <v>1</v>
      </c>
      <c r="J1145" s="86">
        <f t="shared" ca="1" si="3"/>
        <v>44974</v>
      </c>
      <c r="R1145" s="26"/>
    </row>
    <row r="1146" spans="1:18" ht="15.75" customHeight="1">
      <c r="A1146" s="26">
        <f ca="1">IFERROR(__xludf.DUMMYFUNCTION("""COMPUTED_VALUE"""),17793)</f>
        <v>17793</v>
      </c>
      <c r="B1146" s="86">
        <f ca="1">IFERROR(__xludf.DUMMYFUNCTION("""COMPUTED_VALUE"""),44974.9810763888)</f>
        <v>44974.981076388802</v>
      </c>
      <c r="C1146" s="1" t="str">
        <f ca="1">IFERROR(__xludf.DUMMYFUNCTION("""COMPUTED_VALUE"""),"completed")</f>
        <v>completed</v>
      </c>
      <c r="D1146" s="26">
        <f ca="1">IFERROR(__xludf.DUMMYFUNCTION("""COMPUTED_VALUE"""),25)</f>
        <v>25</v>
      </c>
      <c r="E1146" s="1"/>
      <c r="F1146" s="87" t="str">
        <f t="shared" ca="1" si="0"/>
        <v>2023</v>
      </c>
      <c r="G1146" s="1" t="str">
        <f ca="1">IFERROR(__xludf.DUMMYFUNCTION("""COMPUTED_VALUE"""),"W.M.H.A")</f>
        <v>W.M.H.A</v>
      </c>
      <c r="H1146" s="26">
        <f t="shared" ca="1" si="1"/>
        <v>25</v>
      </c>
      <c r="I1146" s="26">
        <f t="shared" ca="1" si="2"/>
        <v>1</v>
      </c>
      <c r="J1146" s="86">
        <f t="shared" ca="1" si="3"/>
        <v>44974</v>
      </c>
      <c r="R1146" s="26"/>
    </row>
    <row r="1147" spans="1:18" ht="15.75" customHeight="1">
      <c r="A1147" s="26">
        <f ca="1">IFERROR(__xludf.DUMMYFUNCTION("""COMPUTED_VALUE"""),17792)</f>
        <v>17792</v>
      </c>
      <c r="B1147" s="86">
        <f ca="1">IFERROR(__xludf.DUMMYFUNCTION("""COMPUTED_VALUE"""),44974.9778009259)</f>
        <v>44974.977800925903</v>
      </c>
      <c r="C1147" s="1" t="str">
        <f ca="1">IFERROR(__xludf.DUMMYFUNCTION("""COMPUTED_VALUE"""),"completed")</f>
        <v>completed</v>
      </c>
      <c r="D1147" s="26">
        <f ca="1">IFERROR(__xludf.DUMMYFUNCTION("""COMPUTED_VALUE"""),25)</f>
        <v>25</v>
      </c>
      <c r="E1147" s="1"/>
      <c r="F1147" s="87" t="str">
        <f t="shared" ca="1" si="0"/>
        <v>2023</v>
      </c>
      <c r="G1147" s="1" t="str">
        <f ca="1">IFERROR(__xludf.DUMMYFUNCTION("""COMPUTED_VALUE"""),"W.M.H.A")</f>
        <v>W.M.H.A</v>
      </c>
      <c r="H1147" s="26">
        <f t="shared" ca="1" si="1"/>
        <v>25</v>
      </c>
      <c r="I1147" s="26">
        <f t="shared" ca="1" si="2"/>
        <v>1</v>
      </c>
      <c r="J1147" s="86">
        <f t="shared" ca="1" si="3"/>
        <v>44974</v>
      </c>
      <c r="R1147" s="26"/>
    </row>
    <row r="1148" spans="1:18" ht="15.75" customHeight="1">
      <c r="A1148" s="26">
        <f ca="1">IFERROR(__xludf.DUMMYFUNCTION("""COMPUTED_VALUE"""),17791)</f>
        <v>17791</v>
      </c>
      <c r="B1148" s="86">
        <f ca="1">IFERROR(__xludf.DUMMYFUNCTION("""COMPUTED_VALUE"""),44974.9730787037)</f>
        <v>44974.973078703697</v>
      </c>
      <c r="C1148" s="1" t="str">
        <f ca="1">IFERROR(__xludf.DUMMYFUNCTION("""COMPUTED_VALUE"""),"completed")</f>
        <v>completed</v>
      </c>
      <c r="D1148" s="26">
        <f ca="1">IFERROR(__xludf.DUMMYFUNCTION("""COMPUTED_VALUE"""),25)</f>
        <v>25</v>
      </c>
      <c r="E1148" s="1"/>
      <c r="F1148" s="87" t="str">
        <f t="shared" ca="1" si="0"/>
        <v>2023</v>
      </c>
      <c r="G1148" s="1" t="str">
        <f ca="1">IFERROR(__xludf.DUMMYFUNCTION("""COMPUTED_VALUE"""),"W.M.H.A")</f>
        <v>W.M.H.A</v>
      </c>
      <c r="H1148" s="26">
        <f t="shared" ca="1" si="1"/>
        <v>25</v>
      </c>
      <c r="I1148" s="26">
        <f t="shared" ca="1" si="2"/>
        <v>1</v>
      </c>
      <c r="J1148" s="86">
        <f t="shared" ca="1" si="3"/>
        <v>44974</v>
      </c>
      <c r="R1148" s="26"/>
    </row>
    <row r="1149" spans="1:18" ht="15.75" customHeight="1">
      <c r="A1149" s="26">
        <f ca="1">IFERROR(__xludf.DUMMYFUNCTION("""COMPUTED_VALUE"""),17790)</f>
        <v>17790</v>
      </c>
      <c r="B1149" s="86">
        <f ca="1">IFERROR(__xludf.DUMMYFUNCTION("""COMPUTED_VALUE"""),44974.9707523148)</f>
        <v>44974.970752314803</v>
      </c>
      <c r="C1149" s="1" t="str">
        <f ca="1">IFERROR(__xludf.DUMMYFUNCTION("""COMPUTED_VALUE"""),"completed")</f>
        <v>completed</v>
      </c>
      <c r="D1149" s="26">
        <f ca="1">IFERROR(__xludf.DUMMYFUNCTION("""COMPUTED_VALUE"""),25)</f>
        <v>25</v>
      </c>
      <c r="E1149" s="1"/>
      <c r="F1149" s="87" t="str">
        <f t="shared" ca="1" si="0"/>
        <v>2023</v>
      </c>
      <c r="G1149" s="1" t="str">
        <f ca="1">IFERROR(__xludf.DUMMYFUNCTION("""COMPUTED_VALUE"""),"W.M.H.A")</f>
        <v>W.M.H.A</v>
      </c>
      <c r="H1149" s="26">
        <f t="shared" ca="1" si="1"/>
        <v>25</v>
      </c>
      <c r="I1149" s="26">
        <f t="shared" ca="1" si="2"/>
        <v>1</v>
      </c>
      <c r="J1149" s="86">
        <f t="shared" ca="1" si="3"/>
        <v>44974</v>
      </c>
      <c r="R1149" s="26"/>
    </row>
    <row r="1150" spans="1:18" ht="15.75" customHeight="1">
      <c r="A1150" s="26">
        <f ca="1">IFERROR(__xludf.DUMMYFUNCTION("""COMPUTED_VALUE"""),17789)</f>
        <v>17789</v>
      </c>
      <c r="B1150" s="86">
        <f ca="1">IFERROR(__xludf.DUMMYFUNCTION("""COMPUTED_VALUE"""),44974.9704861111)</f>
        <v>44974.970486111102</v>
      </c>
      <c r="C1150" s="1" t="str">
        <f ca="1">IFERROR(__xludf.DUMMYFUNCTION("""COMPUTED_VALUE"""),"completed")</f>
        <v>completed</v>
      </c>
      <c r="D1150" s="26">
        <f ca="1">IFERROR(__xludf.DUMMYFUNCTION("""COMPUTED_VALUE"""),15)</f>
        <v>15</v>
      </c>
      <c r="E1150" s="1"/>
      <c r="F1150" s="87" t="str">
        <f t="shared" ca="1" si="0"/>
        <v>2023</v>
      </c>
      <c r="G1150" s="1" t="str">
        <f ca="1">IFERROR(__xludf.DUMMYFUNCTION("""COMPUTED_VALUE"""),"WMFA")</f>
        <v>WMFA</v>
      </c>
      <c r="H1150" s="26">
        <f t="shared" ca="1" si="1"/>
        <v>15</v>
      </c>
      <c r="I1150" s="26">
        <f t="shared" ca="1" si="2"/>
        <v>1</v>
      </c>
      <c r="J1150" s="86">
        <f t="shared" ca="1" si="3"/>
        <v>44974</v>
      </c>
      <c r="R1150" s="26"/>
    </row>
    <row r="1151" spans="1:18" ht="15.75" customHeight="1">
      <c r="A1151" s="26">
        <f ca="1">IFERROR(__xludf.DUMMYFUNCTION("""COMPUTED_VALUE"""),17788)</f>
        <v>17788</v>
      </c>
      <c r="B1151" s="86">
        <f ca="1">IFERROR(__xludf.DUMMYFUNCTION("""COMPUTED_VALUE"""),44974.9704282407)</f>
        <v>44974.970428240696</v>
      </c>
      <c r="C1151" s="1" t="str">
        <f ca="1">IFERROR(__xludf.DUMMYFUNCTION("""COMPUTED_VALUE"""),"completed")</f>
        <v>completed</v>
      </c>
      <c r="D1151" s="26">
        <f ca="1">IFERROR(__xludf.DUMMYFUNCTION("""COMPUTED_VALUE"""),24)</f>
        <v>24</v>
      </c>
      <c r="E1151" s="1"/>
      <c r="F1151" s="87" t="str">
        <f t="shared" ca="1" si="0"/>
        <v>2023</v>
      </c>
      <c r="G1151" s="1" t="str">
        <f ca="1">IFERROR(__xludf.DUMMYFUNCTION("""COMPUTED_VALUE"""),"Lakeshore Lightning Hockey")</f>
        <v>Lakeshore Lightning Hockey</v>
      </c>
      <c r="H1151" s="26">
        <f t="shared" ca="1" si="1"/>
        <v>24</v>
      </c>
      <c r="I1151" s="26">
        <f t="shared" ca="1" si="2"/>
        <v>1</v>
      </c>
      <c r="J1151" s="86">
        <f t="shared" ca="1" si="3"/>
        <v>44974</v>
      </c>
      <c r="R1151" s="26"/>
    </row>
    <row r="1152" spans="1:18" ht="15.75" customHeight="1">
      <c r="A1152" s="26">
        <f ca="1">IFERROR(__xludf.DUMMYFUNCTION("""COMPUTED_VALUE"""),17787)</f>
        <v>17787</v>
      </c>
      <c r="B1152" s="86">
        <f ca="1">IFERROR(__xludf.DUMMYFUNCTION("""COMPUTED_VALUE"""),44974.9685416666)</f>
        <v>44974.968541666603</v>
      </c>
      <c r="C1152" s="1" t="str">
        <f ca="1">IFERROR(__xludf.DUMMYFUNCTION("""COMPUTED_VALUE"""),"completed")</f>
        <v>completed</v>
      </c>
      <c r="D1152" s="26">
        <f ca="1">IFERROR(__xludf.DUMMYFUNCTION("""COMPUTED_VALUE"""),24)</f>
        <v>24</v>
      </c>
      <c r="E1152" s="1"/>
      <c r="F1152" s="87" t="str">
        <f t="shared" ca="1" si="0"/>
        <v>2023</v>
      </c>
      <c r="G1152" s="1" t="str">
        <f ca="1">IFERROR(__xludf.DUMMYFUNCTION("""COMPUTED_VALUE"""),"Lakeshore Lightning Hockey")</f>
        <v>Lakeshore Lightning Hockey</v>
      </c>
      <c r="H1152" s="26">
        <f t="shared" ca="1" si="1"/>
        <v>24</v>
      </c>
      <c r="I1152" s="26">
        <f t="shared" ca="1" si="2"/>
        <v>1</v>
      </c>
      <c r="J1152" s="86">
        <f t="shared" ca="1" si="3"/>
        <v>44974</v>
      </c>
      <c r="R1152" s="26"/>
    </row>
    <row r="1153" spans="1:18" ht="15.75" customHeight="1">
      <c r="A1153" s="26">
        <f ca="1">IFERROR(__xludf.DUMMYFUNCTION("""COMPUTED_VALUE"""),17786)</f>
        <v>17786</v>
      </c>
      <c r="B1153" s="86">
        <f ca="1">IFERROR(__xludf.DUMMYFUNCTION("""COMPUTED_VALUE"""),44974.9674189814)</f>
        <v>44974.967418981403</v>
      </c>
      <c r="C1153" s="1" t="str">
        <f ca="1">IFERROR(__xludf.DUMMYFUNCTION("""COMPUTED_VALUE"""),"completed")</f>
        <v>completed</v>
      </c>
      <c r="D1153" s="26">
        <f ca="1">IFERROR(__xludf.DUMMYFUNCTION("""COMPUTED_VALUE"""),24)</f>
        <v>24</v>
      </c>
      <c r="E1153" s="1"/>
      <c r="F1153" s="87" t="str">
        <f t="shared" ca="1" si="0"/>
        <v>2023</v>
      </c>
      <c r="G1153" s="1" t="str">
        <f ca="1">IFERROR(__xludf.DUMMYFUNCTION("""COMPUTED_VALUE"""),"Lakeshore Lightning Hockey")</f>
        <v>Lakeshore Lightning Hockey</v>
      </c>
      <c r="H1153" s="26">
        <f t="shared" ca="1" si="1"/>
        <v>24</v>
      </c>
      <c r="I1153" s="26">
        <f t="shared" ca="1" si="2"/>
        <v>1</v>
      </c>
      <c r="J1153" s="86">
        <f t="shared" ca="1" si="3"/>
        <v>44974</v>
      </c>
      <c r="R1153" s="26"/>
    </row>
    <row r="1154" spans="1:18" ht="15.75" customHeight="1">
      <c r="A1154" s="26">
        <f ca="1">IFERROR(__xludf.DUMMYFUNCTION("""COMPUTED_VALUE"""),17785)</f>
        <v>17785</v>
      </c>
      <c r="B1154" s="86">
        <f ca="1">IFERROR(__xludf.DUMMYFUNCTION("""COMPUTED_VALUE"""),44974.9612962963)</f>
        <v>44974.9612962963</v>
      </c>
      <c r="C1154" s="1" t="str">
        <f ca="1">IFERROR(__xludf.DUMMYFUNCTION("""COMPUTED_VALUE"""),"completed")</f>
        <v>completed</v>
      </c>
      <c r="D1154" s="26">
        <f ca="1">IFERROR(__xludf.DUMMYFUNCTION("""COMPUTED_VALUE"""),24)</f>
        <v>24</v>
      </c>
      <c r="E1154" s="1"/>
      <c r="F1154" s="87" t="str">
        <f t="shared" ca="1" si="0"/>
        <v>2023</v>
      </c>
      <c r="G1154" s="1" t="str">
        <f ca="1">IFERROR(__xludf.DUMMYFUNCTION("""COMPUTED_VALUE"""),"Lakeshore Lightning Hockey")</f>
        <v>Lakeshore Lightning Hockey</v>
      </c>
      <c r="H1154" s="26">
        <f t="shared" ca="1" si="1"/>
        <v>24</v>
      </c>
      <c r="I1154" s="26">
        <f t="shared" ca="1" si="2"/>
        <v>1</v>
      </c>
      <c r="J1154" s="86">
        <f t="shared" ca="1" si="3"/>
        <v>44974</v>
      </c>
      <c r="R1154" s="26"/>
    </row>
    <row r="1155" spans="1:18" ht="15.75" customHeight="1">
      <c r="A1155" s="26">
        <f ca="1">IFERROR(__xludf.DUMMYFUNCTION("""COMPUTED_VALUE"""),17784)</f>
        <v>17784</v>
      </c>
      <c r="B1155" s="86">
        <f ca="1">IFERROR(__xludf.DUMMYFUNCTION("""COMPUTED_VALUE"""),44974.9233217592)</f>
        <v>44974.923321759197</v>
      </c>
      <c r="C1155" s="1" t="str">
        <f ca="1">IFERROR(__xludf.DUMMYFUNCTION("""COMPUTED_VALUE"""),"completed")</f>
        <v>completed</v>
      </c>
      <c r="D1155" s="26">
        <f ca="1">IFERROR(__xludf.DUMMYFUNCTION("""COMPUTED_VALUE"""),39)</f>
        <v>39</v>
      </c>
      <c r="E1155" s="1"/>
      <c r="F1155" s="87" t="str">
        <f t="shared" ca="1" si="0"/>
        <v>2023</v>
      </c>
      <c r="G1155" s="1" t="str">
        <f ca="1">IFERROR(__xludf.DUMMYFUNCTION("""COMPUTED_VALUE"""),"W.M.H.A")</f>
        <v>W.M.H.A</v>
      </c>
      <c r="H1155" s="26">
        <f t="shared" ca="1" si="1"/>
        <v>39</v>
      </c>
      <c r="I1155" s="26">
        <f t="shared" ca="1" si="2"/>
        <v>1</v>
      </c>
      <c r="J1155" s="86">
        <f t="shared" ca="1" si="3"/>
        <v>44974</v>
      </c>
      <c r="R1155" s="26"/>
    </row>
    <row r="1156" spans="1:18" ht="15.75" customHeight="1">
      <c r="A1156" s="26">
        <f ca="1">IFERROR(__xludf.DUMMYFUNCTION("""COMPUTED_VALUE"""),17783)</f>
        <v>17783</v>
      </c>
      <c r="B1156" s="86">
        <f ca="1">IFERROR(__xludf.DUMMYFUNCTION("""COMPUTED_VALUE"""),44974.8713888888)</f>
        <v>44974.871388888801</v>
      </c>
      <c r="C1156" s="1" t="str">
        <f ca="1">IFERROR(__xludf.DUMMYFUNCTION("""COMPUTED_VALUE"""),"completed")</f>
        <v>completed</v>
      </c>
      <c r="D1156" s="26">
        <f ca="1">IFERROR(__xludf.DUMMYFUNCTION("""COMPUTED_VALUE"""),55)</f>
        <v>55</v>
      </c>
      <c r="E1156" s="1"/>
      <c r="F1156" s="87" t="str">
        <f t="shared" ca="1" si="0"/>
        <v>2023</v>
      </c>
      <c r="G1156" s="1" t="str">
        <f ca="1">IFERROR(__xludf.DUMMYFUNCTION("""COMPUTED_VALUE"""),"WMFA")</f>
        <v>WMFA</v>
      </c>
      <c r="H1156" s="26">
        <f t="shared" ca="1" si="1"/>
        <v>55</v>
      </c>
      <c r="I1156" s="26">
        <f t="shared" ca="1" si="2"/>
        <v>1</v>
      </c>
      <c r="J1156" s="86">
        <f t="shared" ca="1" si="3"/>
        <v>44974</v>
      </c>
      <c r="R1156" s="26"/>
    </row>
    <row r="1157" spans="1:18" ht="15.75" customHeight="1">
      <c r="A1157" s="26">
        <f ca="1">IFERROR(__xludf.DUMMYFUNCTION("""COMPUTED_VALUE"""),17782)</f>
        <v>17782</v>
      </c>
      <c r="B1157" s="86">
        <f ca="1">IFERROR(__xludf.DUMMYFUNCTION("""COMPUTED_VALUE"""),44974.8666782407)</f>
        <v>44974.866678240702</v>
      </c>
      <c r="C1157" s="1" t="str">
        <f ca="1">IFERROR(__xludf.DUMMYFUNCTION("""COMPUTED_VALUE"""),"completed")</f>
        <v>completed</v>
      </c>
      <c r="D1157" s="26">
        <f ca="1">IFERROR(__xludf.DUMMYFUNCTION("""COMPUTED_VALUE"""),25)</f>
        <v>25</v>
      </c>
      <c r="E1157" s="1"/>
      <c r="F1157" s="87" t="str">
        <f t="shared" ca="1" si="0"/>
        <v>2023</v>
      </c>
      <c r="G1157" s="1" t="str">
        <f ca="1">IFERROR(__xludf.DUMMYFUNCTION("""COMPUTED_VALUE"""),"W.M.H.A")</f>
        <v>W.M.H.A</v>
      </c>
      <c r="H1157" s="26">
        <f t="shared" ca="1" si="1"/>
        <v>25</v>
      </c>
      <c r="I1157" s="26">
        <f t="shared" ca="1" si="2"/>
        <v>1</v>
      </c>
      <c r="J1157" s="86">
        <f t="shared" ca="1" si="3"/>
        <v>44974</v>
      </c>
      <c r="R1157" s="26"/>
    </row>
    <row r="1158" spans="1:18" ht="15.75" customHeight="1">
      <c r="A1158" s="26">
        <f ca="1">IFERROR(__xludf.DUMMYFUNCTION("""COMPUTED_VALUE"""),17781)</f>
        <v>17781</v>
      </c>
      <c r="B1158" s="86">
        <f ca="1">IFERROR(__xludf.DUMMYFUNCTION("""COMPUTED_VALUE"""),44974.8635416666)</f>
        <v>44974.8635416666</v>
      </c>
      <c r="C1158" s="1" t="str">
        <f ca="1">IFERROR(__xludf.DUMMYFUNCTION("""COMPUTED_VALUE"""),"completed")</f>
        <v>completed</v>
      </c>
      <c r="D1158" s="26">
        <f ca="1">IFERROR(__xludf.DUMMYFUNCTION("""COMPUTED_VALUE"""),25)</f>
        <v>25</v>
      </c>
      <c r="E1158" s="1"/>
      <c r="F1158" s="87" t="str">
        <f t="shared" ca="1" si="0"/>
        <v>2023</v>
      </c>
      <c r="G1158" s="1" t="str">
        <f ca="1">IFERROR(__xludf.DUMMYFUNCTION("""COMPUTED_VALUE"""),"W.M.H.A")</f>
        <v>W.M.H.A</v>
      </c>
      <c r="H1158" s="26">
        <f t="shared" ca="1" si="1"/>
        <v>25</v>
      </c>
      <c r="I1158" s="26">
        <f t="shared" ca="1" si="2"/>
        <v>1</v>
      </c>
      <c r="J1158" s="86">
        <f t="shared" ca="1" si="3"/>
        <v>44974</v>
      </c>
      <c r="R1158" s="26"/>
    </row>
    <row r="1159" spans="1:18" ht="15.75" customHeight="1">
      <c r="A1159" s="26">
        <f ca="1">IFERROR(__xludf.DUMMYFUNCTION("""COMPUTED_VALUE"""),17780)</f>
        <v>17780</v>
      </c>
      <c r="B1159" s="86">
        <f ca="1">IFERROR(__xludf.DUMMYFUNCTION("""COMPUTED_VALUE"""),44974.8618402777)</f>
        <v>44974.861840277699</v>
      </c>
      <c r="C1159" s="1" t="str">
        <f ca="1">IFERROR(__xludf.DUMMYFUNCTION("""COMPUTED_VALUE"""),"completed")</f>
        <v>completed</v>
      </c>
      <c r="D1159" s="26">
        <f ca="1">IFERROR(__xludf.DUMMYFUNCTION("""COMPUTED_VALUE"""),55)</f>
        <v>55</v>
      </c>
      <c r="E1159" s="1"/>
      <c r="F1159" s="87" t="str">
        <f t="shared" ca="1" si="0"/>
        <v>2023</v>
      </c>
      <c r="G1159" s="1" t="str">
        <f ca="1">IFERROR(__xludf.DUMMYFUNCTION("""COMPUTED_VALUE"""),"Lakeshore Lightning Hockey")</f>
        <v>Lakeshore Lightning Hockey</v>
      </c>
      <c r="H1159" s="26">
        <f t="shared" ca="1" si="1"/>
        <v>55</v>
      </c>
      <c r="I1159" s="26">
        <f t="shared" ca="1" si="2"/>
        <v>1</v>
      </c>
      <c r="J1159" s="86">
        <f t="shared" ca="1" si="3"/>
        <v>44974</v>
      </c>
      <c r="R1159" s="26"/>
    </row>
    <row r="1160" spans="1:18" ht="15.75" customHeight="1">
      <c r="A1160" s="26">
        <f ca="1">IFERROR(__xludf.DUMMYFUNCTION("""COMPUTED_VALUE"""),17779)</f>
        <v>17779</v>
      </c>
      <c r="B1160" s="86">
        <f ca="1">IFERROR(__xludf.DUMMYFUNCTION("""COMPUTED_VALUE"""),44974.856261574)</f>
        <v>44974.856261574001</v>
      </c>
      <c r="C1160" s="1" t="str">
        <f ca="1">IFERROR(__xludf.DUMMYFUNCTION("""COMPUTED_VALUE"""),"failed")</f>
        <v>failed</v>
      </c>
      <c r="D1160" s="26">
        <f ca="1">IFERROR(__xludf.DUMMYFUNCTION("""COMPUTED_VALUE"""),55)</f>
        <v>55</v>
      </c>
      <c r="E1160" s="1"/>
      <c r="F1160" s="87" t="str">
        <f t="shared" ca="1" si="0"/>
        <v>2023</v>
      </c>
      <c r="G1160" s="1" t="str">
        <f ca="1">IFERROR(__xludf.DUMMYFUNCTION("""COMPUTED_VALUE"""),"Lakeshore Lightning Hockey")</f>
        <v>Lakeshore Lightning Hockey</v>
      </c>
      <c r="H1160" s="26">
        <f t="shared" ca="1" si="1"/>
        <v>55</v>
      </c>
      <c r="I1160" s="26">
        <f t="shared" ca="1" si="2"/>
        <v>1</v>
      </c>
      <c r="J1160" s="86">
        <f t="shared" ca="1" si="3"/>
        <v>44974</v>
      </c>
      <c r="R1160" s="26"/>
    </row>
    <row r="1161" spans="1:18" ht="15.75" customHeight="1">
      <c r="A1161" s="26">
        <f ca="1">IFERROR(__xludf.DUMMYFUNCTION("""COMPUTED_VALUE"""),17778)</f>
        <v>17778</v>
      </c>
      <c r="B1161" s="86">
        <f ca="1">IFERROR(__xludf.DUMMYFUNCTION("""COMPUTED_VALUE"""),44974.7938541666)</f>
        <v>44974.793854166601</v>
      </c>
      <c r="C1161" s="1" t="str">
        <f ca="1">IFERROR(__xludf.DUMMYFUNCTION("""COMPUTED_VALUE"""),"completed")</f>
        <v>completed</v>
      </c>
      <c r="D1161" s="26">
        <f ca="1">IFERROR(__xludf.DUMMYFUNCTION("""COMPUTED_VALUE"""),35)</f>
        <v>35</v>
      </c>
      <c r="E1161" s="1"/>
      <c r="F1161" s="87" t="str">
        <f t="shared" ca="1" si="0"/>
        <v>2023</v>
      </c>
      <c r="G1161" s="1" t="str">
        <f ca="1">IFERROR(__xludf.DUMMYFUNCTION("""COMPUTED_VALUE"""),"Lakeshore Lightning Hockey")</f>
        <v>Lakeshore Lightning Hockey</v>
      </c>
      <c r="H1161" s="26">
        <f t="shared" ca="1" si="1"/>
        <v>35</v>
      </c>
      <c r="I1161" s="26">
        <f t="shared" ca="1" si="2"/>
        <v>1</v>
      </c>
      <c r="J1161" s="86">
        <f t="shared" ca="1" si="3"/>
        <v>44974</v>
      </c>
      <c r="R1161" s="26"/>
    </row>
    <row r="1162" spans="1:18" ht="15.75" customHeight="1">
      <c r="A1162" s="26">
        <f ca="1">IFERROR(__xludf.DUMMYFUNCTION("""COMPUTED_VALUE"""),17777)</f>
        <v>17777</v>
      </c>
      <c r="B1162" s="86">
        <f ca="1">IFERROR(__xludf.DUMMYFUNCTION("""COMPUTED_VALUE"""),44974.7821180555)</f>
        <v>44974.782118055497</v>
      </c>
      <c r="C1162" s="1" t="str">
        <f ca="1">IFERROR(__xludf.DUMMYFUNCTION("""COMPUTED_VALUE"""),"completed")</f>
        <v>completed</v>
      </c>
      <c r="D1162" s="26">
        <f ca="1">IFERROR(__xludf.DUMMYFUNCTION("""COMPUTED_VALUE"""),80)</f>
        <v>80</v>
      </c>
      <c r="E1162" s="1"/>
      <c r="F1162" s="87" t="str">
        <f t="shared" ca="1" si="0"/>
        <v>2023</v>
      </c>
      <c r="G1162" s="1" t="str">
        <f ca="1">IFERROR(__xludf.DUMMYFUNCTION("""COMPUTED_VALUE"""),"W.M.H.A")</f>
        <v>W.M.H.A</v>
      </c>
      <c r="H1162" s="26">
        <f t="shared" ca="1" si="1"/>
        <v>80</v>
      </c>
      <c r="I1162" s="26">
        <f t="shared" ca="1" si="2"/>
        <v>1</v>
      </c>
      <c r="J1162" s="86">
        <f t="shared" ca="1" si="3"/>
        <v>44974</v>
      </c>
      <c r="R1162" s="26"/>
    </row>
    <row r="1163" spans="1:18" ht="15.75" customHeight="1">
      <c r="A1163" s="26">
        <f ca="1">IFERROR(__xludf.DUMMYFUNCTION("""COMPUTED_VALUE"""),17776)</f>
        <v>17776</v>
      </c>
      <c r="B1163" s="86">
        <f ca="1">IFERROR(__xludf.DUMMYFUNCTION("""COMPUTED_VALUE"""),44974.7802662037)</f>
        <v>44974.780266203699</v>
      </c>
      <c r="C1163" s="1" t="str">
        <f ca="1">IFERROR(__xludf.DUMMYFUNCTION("""COMPUTED_VALUE"""),"completed")</f>
        <v>completed</v>
      </c>
      <c r="D1163" s="26">
        <f ca="1">IFERROR(__xludf.DUMMYFUNCTION("""COMPUTED_VALUE"""),67)</f>
        <v>67</v>
      </c>
      <c r="E1163" s="1"/>
      <c r="F1163" s="87" t="str">
        <f t="shared" ca="1" si="0"/>
        <v>2023</v>
      </c>
      <c r="G1163" s="1" t="str">
        <f ca="1">IFERROR(__xludf.DUMMYFUNCTION("""COMPUTED_VALUE"""),"Lakeshore Lightning Hockey")</f>
        <v>Lakeshore Lightning Hockey</v>
      </c>
      <c r="H1163" s="26">
        <f t="shared" ca="1" si="1"/>
        <v>67</v>
      </c>
      <c r="I1163" s="26">
        <f t="shared" ca="1" si="2"/>
        <v>1</v>
      </c>
      <c r="J1163" s="86">
        <f t="shared" ca="1" si="3"/>
        <v>44974</v>
      </c>
      <c r="R1163" s="26"/>
    </row>
    <row r="1164" spans="1:18" ht="15.75" customHeight="1">
      <c r="A1164" s="26">
        <f ca="1">IFERROR(__xludf.DUMMYFUNCTION("""COMPUTED_VALUE"""),17775)</f>
        <v>17775</v>
      </c>
      <c r="B1164" s="86">
        <f ca="1">IFERROR(__xludf.DUMMYFUNCTION("""COMPUTED_VALUE"""),44974.5203935184)</f>
        <v>44974.520393518498</v>
      </c>
      <c r="C1164" s="1" t="str">
        <f ca="1">IFERROR(__xludf.DUMMYFUNCTION("""COMPUTED_VALUE"""),"completed")</f>
        <v>completed</v>
      </c>
      <c r="D1164" s="26">
        <f ca="1">IFERROR(__xludf.DUMMYFUNCTION("""COMPUTED_VALUE"""),15)</f>
        <v>15</v>
      </c>
      <c r="E1164" s="1"/>
      <c r="F1164" s="87" t="str">
        <f t="shared" ca="1" si="0"/>
        <v>2023</v>
      </c>
      <c r="G1164" s="1" t="str">
        <f ca="1">IFERROR(__xludf.DUMMYFUNCTION("""COMPUTED_VALUE"""),"W.M.H.A")</f>
        <v>W.M.H.A</v>
      </c>
      <c r="H1164" s="26">
        <f t="shared" ca="1" si="1"/>
        <v>15</v>
      </c>
      <c r="I1164" s="26">
        <f t="shared" ca="1" si="2"/>
        <v>1</v>
      </c>
      <c r="J1164" s="86">
        <f t="shared" ca="1" si="3"/>
        <v>44974</v>
      </c>
      <c r="R1164" s="26"/>
    </row>
    <row r="1165" spans="1:18" ht="15.75" customHeight="1">
      <c r="A1165" s="26">
        <f ca="1">IFERROR(__xludf.DUMMYFUNCTION("""COMPUTED_VALUE"""),17774)</f>
        <v>17774</v>
      </c>
      <c r="B1165" s="86">
        <f ca="1">IFERROR(__xludf.DUMMYFUNCTION("""COMPUTED_VALUE"""),44974.4678356481)</f>
        <v>44974.467835648102</v>
      </c>
      <c r="C1165" s="1" t="str">
        <f ca="1">IFERROR(__xludf.DUMMYFUNCTION("""COMPUTED_VALUE"""),"completed")</f>
        <v>completed</v>
      </c>
      <c r="D1165" s="26">
        <f ca="1">IFERROR(__xludf.DUMMYFUNCTION("""COMPUTED_VALUE"""),60)</f>
        <v>60</v>
      </c>
      <c r="E1165" s="1"/>
      <c r="F1165" s="87" t="str">
        <f t="shared" ca="1" si="0"/>
        <v>2023</v>
      </c>
      <c r="G1165" s="1" t="str">
        <f ca="1">IFERROR(__xludf.DUMMYFUNCTION("""COMPUTED_VALUE"""),"Lakeshore Lightning Hockey")</f>
        <v>Lakeshore Lightning Hockey</v>
      </c>
      <c r="H1165" s="26">
        <f t="shared" ca="1" si="1"/>
        <v>60</v>
      </c>
      <c r="I1165" s="26">
        <f t="shared" ca="1" si="2"/>
        <v>1</v>
      </c>
      <c r="J1165" s="86">
        <f t="shared" ca="1" si="3"/>
        <v>44974</v>
      </c>
      <c r="R1165" s="26"/>
    </row>
    <row r="1166" spans="1:18" ht="15.75" customHeight="1">
      <c r="A1166" s="26">
        <f ca="1">IFERROR(__xludf.DUMMYFUNCTION("""COMPUTED_VALUE"""),17773)</f>
        <v>17773</v>
      </c>
      <c r="B1166" s="86">
        <f ca="1">IFERROR(__xludf.DUMMYFUNCTION("""COMPUTED_VALUE"""),44974.4339351851)</f>
        <v>44974.433935185101</v>
      </c>
      <c r="C1166" s="1" t="str">
        <f ca="1">IFERROR(__xludf.DUMMYFUNCTION("""COMPUTED_VALUE"""),"completed")</f>
        <v>completed</v>
      </c>
      <c r="D1166" s="26">
        <f ca="1">IFERROR(__xludf.DUMMYFUNCTION("""COMPUTED_VALUE"""),25)</f>
        <v>25</v>
      </c>
      <c r="E1166" s="1"/>
      <c r="F1166" s="87" t="str">
        <f t="shared" ca="1" si="0"/>
        <v>2023</v>
      </c>
      <c r="G1166" s="1" t="str">
        <f ca="1">IFERROR(__xludf.DUMMYFUNCTION("""COMPUTED_VALUE"""),"Lakeshore Lightning Hockey")</f>
        <v>Lakeshore Lightning Hockey</v>
      </c>
      <c r="H1166" s="26">
        <f t="shared" ca="1" si="1"/>
        <v>25</v>
      </c>
      <c r="I1166" s="26">
        <f t="shared" ca="1" si="2"/>
        <v>1</v>
      </c>
      <c r="J1166" s="86">
        <f t="shared" ca="1" si="3"/>
        <v>44974</v>
      </c>
      <c r="R1166" s="26"/>
    </row>
    <row r="1167" spans="1:18" ht="15.75" customHeight="1">
      <c r="A1167" s="26">
        <f ca="1">IFERROR(__xludf.DUMMYFUNCTION("""COMPUTED_VALUE"""),17772)</f>
        <v>17772</v>
      </c>
      <c r="B1167" s="86">
        <f ca="1">IFERROR(__xludf.DUMMYFUNCTION("""COMPUTED_VALUE"""),44974.2616782407)</f>
        <v>44974.261678240699</v>
      </c>
      <c r="C1167" s="1" t="str">
        <f ca="1">IFERROR(__xludf.DUMMYFUNCTION("""COMPUTED_VALUE"""),"completed")</f>
        <v>completed</v>
      </c>
      <c r="D1167" s="26">
        <f ca="1">IFERROR(__xludf.DUMMYFUNCTION("""COMPUTED_VALUE"""),25)</f>
        <v>25</v>
      </c>
      <c r="E1167" s="1"/>
      <c r="F1167" s="87" t="str">
        <f t="shared" ca="1" si="0"/>
        <v>2023</v>
      </c>
      <c r="G1167" s="1" t="str">
        <f ca="1">IFERROR(__xludf.DUMMYFUNCTION("""COMPUTED_VALUE"""),"Lakeshore Lightning Hockey")</f>
        <v>Lakeshore Lightning Hockey</v>
      </c>
      <c r="H1167" s="26">
        <f t="shared" ca="1" si="1"/>
        <v>25</v>
      </c>
      <c r="I1167" s="26">
        <f t="shared" ca="1" si="2"/>
        <v>1</v>
      </c>
      <c r="J1167" s="86">
        <f t="shared" ca="1" si="3"/>
        <v>44974</v>
      </c>
      <c r="R1167" s="26"/>
    </row>
    <row r="1168" spans="1:18" ht="15.75" customHeight="1">
      <c r="A1168" s="26">
        <f ca="1">IFERROR(__xludf.DUMMYFUNCTION("""COMPUTED_VALUE"""),17771)</f>
        <v>17771</v>
      </c>
      <c r="B1168" s="86">
        <f ca="1">IFERROR(__xludf.DUMMYFUNCTION("""COMPUTED_VALUE"""),44974.2577199074)</f>
        <v>44974.2577199074</v>
      </c>
      <c r="C1168" s="1" t="str">
        <f ca="1">IFERROR(__xludf.DUMMYFUNCTION("""COMPUTED_VALUE"""),"completed")</f>
        <v>completed</v>
      </c>
      <c r="D1168" s="26">
        <f ca="1">IFERROR(__xludf.DUMMYFUNCTION("""COMPUTED_VALUE"""),25)</f>
        <v>25</v>
      </c>
      <c r="E1168" s="1"/>
      <c r="F1168" s="87" t="str">
        <f t="shared" ca="1" si="0"/>
        <v>2023</v>
      </c>
      <c r="G1168" s="1" t="str">
        <f ca="1">IFERROR(__xludf.DUMMYFUNCTION("""COMPUTED_VALUE"""),"Sun County Panthers Hockey")</f>
        <v>Sun County Panthers Hockey</v>
      </c>
      <c r="H1168" s="26">
        <f t="shared" ca="1" si="1"/>
        <v>25</v>
      </c>
      <c r="I1168" s="26">
        <f t="shared" ca="1" si="2"/>
        <v>1</v>
      </c>
      <c r="J1168" s="86">
        <f t="shared" ca="1" si="3"/>
        <v>44974</v>
      </c>
      <c r="R1168" s="26"/>
    </row>
    <row r="1169" spans="1:18" ht="15.75" customHeight="1">
      <c r="A1169" s="26">
        <f ca="1">IFERROR(__xludf.DUMMYFUNCTION("""COMPUTED_VALUE"""),17770)</f>
        <v>17770</v>
      </c>
      <c r="B1169" s="86">
        <f ca="1">IFERROR(__xludf.DUMMYFUNCTION("""COMPUTED_VALUE"""),44974.0719212963)</f>
        <v>44974.071921296301</v>
      </c>
      <c r="C1169" s="1" t="str">
        <f ca="1">IFERROR(__xludf.DUMMYFUNCTION("""COMPUTED_VALUE"""),"completed")</f>
        <v>completed</v>
      </c>
      <c r="D1169" s="26">
        <f ca="1">IFERROR(__xludf.DUMMYFUNCTION("""COMPUTED_VALUE"""),55)</f>
        <v>55</v>
      </c>
      <c r="E1169" s="1"/>
      <c r="F1169" s="87" t="str">
        <f t="shared" ca="1" si="0"/>
        <v>2023</v>
      </c>
      <c r="G1169" s="1" t="str">
        <f ca="1">IFERROR(__xludf.DUMMYFUNCTION("""COMPUTED_VALUE"""),"Lakeshore Lightning Hockey")</f>
        <v>Lakeshore Lightning Hockey</v>
      </c>
      <c r="H1169" s="26">
        <f t="shared" ca="1" si="1"/>
        <v>55</v>
      </c>
      <c r="I1169" s="26">
        <f t="shared" ca="1" si="2"/>
        <v>1</v>
      </c>
      <c r="J1169" s="86">
        <f t="shared" ca="1" si="3"/>
        <v>44974</v>
      </c>
      <c r="R1169" s="26"/>
    </row>
    <row r="1170" spans="1:18" ht="15.75" customHeight="1">
      <c r="A1170" s="26">
        <f ca="1">IFERROR(__xludf.DUMMYFUNCTION("""COMPUTED_VALUE"""),17769)</f>
        <v>17769</v>
      </c>
      <c r="B1170" s="86">
        <f ca="1">IFERROR(__xludf.DUMMYFUNCTION("""COMPUTED_VALUE"""),44974.0678819444)</f>
        <v>44974.0678819444</v>
      </c>
      <c r="C1170" s="1" t="str">
        <f ca="1">IFERROR(__xludf.DUMMYFUNCTION("""COMPUTED_VALUE"""),"completed")</f>
        <v>completed</v>
      </c>
      <c r="D1170" s="26">
        <f ca="1">IFERROR(__xludf.DUMMYFUNCTION("""COMPUTED_VALUE"""),22)</f>
        <v>22</v>
      </c>
      <c r="E1170" s="1"/>
      <c r="F1170" s="87" t="str">
        <f t="shared" ca="1" si="0"/>
        <v>2023</v>
      </c>
      <c r="G1170" s="1" t="str">
        <f ca="1">IFERROR(__xludf.DUMMYFUNCTION("""COMPUTED_VALUE"""),"Lakeshore Lightning Hockey")</f>
        <v>Lakeshore Lightning Hockey</v>
      </c>
      <c r="H1170" s="26">
        <f t="shared" ca="1" si="1"/>
        <v>22</v>
      </c>
      <c r="I1170" s="26">
        <f t="shared" ca="1" si="2"/>
        <v>1</v>
      </c>
      <c r="J1170" s="86">
        <f t="shared" ca="1" si="3"/>
        <v>44974</v>
      </c>
      <c r="R1170" s="26"/>
    </row>
    <row r="1171" spans="1:18" ht="15.75" customHeight="1">
      <c r="A1171" s="26">
        <f ca="1">IFERROR(__xludf.DUMMYFUNCTION("""COMPUTED_VALUE"""),17768)</f>
        <v>17768</v>
      </c>
      <c r="B1171" s="86">
        <f ca="1">IFERROR(__xludf.DUMMYFUNCTION("""COMPUTED_VALUE"""),44974.0659953703)</f>
        <v>44974.0659953703</v>
      </c>
      <c r="C1171" s="1" t="str">
        <f ca="1">IFERROR(__xludf.DUMMYFUNCTION("""COMPUTED_VALUE"""),"completed")</f>
        <v>completed</v>
      </c>
      <c r="D1171" s="26">
        <f ca="1">IFERROR(__xludf.DUMMYFUNCTION("""COMPUTED_VALUE"""),15)</f>
        <v>15</v>
      </c>
      <c r="E1171" s="1"/>
      <c r="F1171" s="87" t="str">
        <f t="shared" ca="1" si="0"/>
        <v>2023</v>
      </c>
      <c r="G1171" s="1" t="str">
        <f ca="1">IFERROR(__xludf.DUMMYFUNCTION("""COMPUTED_VALUE"""),"W.M.H.A")</f>
        <v>W.M.H.A</v>
      </c>
      <c r="H1171" s="26">
        <f t="shared" ca="1" si="1"/>
        <v>15</v>
      </c>
      <c r="I1171" s="26">
        <f t="shared" ca="1" si="2"/>
        <v>1</v>
      </c>
      <c r="J1171" s="86">
        <f t="shared" ca="1" si="3"/>
        <v>44974</v>
      </c>
      <c r="R1171" s="26"/>
    </row>
    <row r="1172" spans="1:18" ht="15.75" customHeight="1">
      <c r="A1172" s="26">
        <f ca="1">IFERROR(__xludf.DUMMYFUNCTION("""COMPUTED_VALUE"""),17767)</f>
        <v>17767</v>
      </c>
      <c r="B1172" s="86">
        <f ca="1">IFERROR(__xludf.DUMMYFUNCTION("""COMPUTED_VALUE"""),44974.0655324074)</f>
        <v>44974.065532407403</v>
      </c>
      <c r="C1172" s="1" t="str">
        <f ca="1">IFERROR(__xludf.DUMMYFUNCTION("""COMPUTED_VALUE"""),"completed")</f>
        <v>completed</v>
      </c>
      <c r="D1172" s="26">
        <f ca="1">IFERROR(__xludf.DUMMYFUNCTION("""COMPUTED_VALUE"""),22)</f>
        <v>22</v>
      </c>
      <c r="E1172" s="1"/>
      <c r="F1172" s="87" t="str">
        <f t="shared" ca="1" si="0"/>
        <v>2023</v>
      </c>
      <c r="G1172" s="1" t="str">
        <f ca="1">IFERROR(__xludf.DUMMYFUNCTION("""COMPUTED_VALUE"""),"Lakeshore Lightning Hockey")</f>
        <v>Lakeshore Lightning Hockey</v>
      </c>
      <c r="H1172" s="26">
        <f t="shared" ca="1" si="1"/>
        <v>22</v>
      </c>
      <c r="I1172" s="26">
        <f t="shared" ca="1" si="2"/>
        <v>1</v>
      </c>
      <c r="J1172" s="86">
        <f t="shared" ca="1" si="3"/>
        <v>44974</v>
      </c>
      <c r="R1172" s="26"/>
    </row>
    <row r="1173" spans="1:18" ht="15.75" customHeight="1">
      <c r="A1173" s="26">
        <f ca="1">IFERROR(__xludf.DUMMYFUNCTION("""COMPUTED_VALUE"""),17766)</f>
        <v>17766</v>
      </c>
      <c r="B1173" s="86">
        <f ca="1">IFERROR(__xludf.DUMMYFUNCTION("""COMPUTED_VALUE"""),44974.0573032407)</f>
        <v>44974.057303240697</v>
      </c>
      <c r="C1173" s="1" t="str">
        <f ca="1">IFERROR(__xludf.DUMMYFUNCTION("""COMPUTED_VALUE"""),"completed")</f>
        <v>completed</v>
      </c>
      <c r="D1173" s="26">
        <f ca="1">IFERROR(__xludf.DUMMYFUNCTION("""COMPUTED_VALUE"""),28)</f>
        <v>28</v>
      </c>
      <c r="E1173" s="1"/>
      <c r="F1173" s="87" t="str">
        <f t="shared" ca="1" si="0"/>
        <v>2023</v>
      </c>
      <c r="G1173" s="1" t="str">
        <f ca="1">IFERROR(__xludf.DUMMYFUNCTION("""COMPUTED_VALUE"""),"Lakeshore Lightning Hockey")</f>
        <v>Lakeshore Lightning Hockey</v>
      </c>
      <c r="H1173" s="26">
        <f t="shared" ca="1" si="1"/>
        <v>28</v>
      </c>
      <c r="I1173" s="26">
        <f t="shared" ca="1" si="2"/>
        <v>1</v>
      </c>
      <c r="J1173" s="86">
        <f t="shared" ca="1" si="3"/>
        <v>44974</v>
      </c>
      <c r="R1173" s="26"/>
    </row>
    <row r="1174" spans="1:18" ht="15.75" customHeight="1">
      <c r="A1174" s="26">
        <f ca="1">IFERROR(__xludf.DUMMYFUNCTION("""COMPUTED_VALUE"""),17765)</f>
        <v>17765</v>
      </c>
      <c r="B1174" s="86">
        <f ca="1">IFERROR(__xludf.DUMMYFUNCTION("""COMPUTED_VALUE"""),44974.0565162037)</f>
        <v>44974.056516203702</v>
      </c>
      <c r="C1174" s="1" t="str">
        <f ca="1">IFERROR(__xludf.DUMMYFUNCTION("""COMPUTED_VALUE"""),"completed")</f>
        <v>completed</v>
      </c>
      <c r="D1174" s="26">
        <f ca="1">IFERROR(__xludf.DUMMYFUNCTION("""COMPUTED_VALUE"""),15)</f>
        <v>15</v>
      </c>
      <c r="E1174" s="1"/>
      <c r="F1174" s="87" t="str">
        <f t="shared" ca="1" si="0"/>
        <v>2023</v>
      </c>
      <c r="G1174" s="1" t="str">
        <f ca="1">IFERROR(__xludf.DUMMYFUNCTION("""COMPUTED_VALUE"""),"Lakeshore Lightning Hockey")</f>
        <v>Lakeshore Lightning Hockey</v>
      </c>
      <c r="H1174" s="26">
        <f t="shared" ca="1" si="1"/>
        <v>15</v>
      </c>
      <c r="I1174" s="26">
        <f t="shared" ca="1" si="2"/>
        <v>1</v>
      </c>
      <c r="J1174" s="86">
        <f t="shared" ca="1" si="3"/>
        <v>44974</v>
      </c>
      <c r="R1174" s="26"/>
    </row>
    <row r="1175" spans="1:18" ht="15.75" customHeight="1">
      <c r="A1175" s="26">
        <f ca="1">IFERROR(__xludf.DUMMYFUNCTION("""COMPUTED_VALUE"""),17764)</f>
        <v>17764</v>
      </c>
      <c r="B1175" s="86">
        <f ca="1">IFERROR(__xludf.DUMMYFUNCTION("""COMPUTED_VALUE"""),44974.0536458333)</f>
        <v>44974.053645833301</v>
      </c>
      <c r="C1175" s="1" t="str">
        <f ca="1">IFERROR(__xludf.DUMMYFUNCTION("""COMPUTED_VALUE"""),"completed")</f>
        <v>completed</v>
      </c>
      <c r="D1175" s="26">
        <f ca="1">IFERROR(__xludf.DUMMYFUNCTION("""COMPUTED_VALUE"""),40)</f>
        <v>40</v>
      </c>
      <c r="E1175" s="1"/>
      <c r="F1175" s="87" t="str">
        <f t="shared" ca="1" si="0"/>
        <v>2023</v>
      </c>
      <c r="G1175" s="1" t="str">
        <f ca="1">IFERROR(__xludf.DUMMYFUNCTION("""COMPUTED_VALUE"""),"WMFA")</f>
        <v>WMFA</v>
      </c>
      <c r="H1175" s="26">
        <f t="shared" ca="1" si="1"/>
        <v>40</v>
      </c>
      <c r="I1175" s="26">
        <f t="shared" ca="1" si="2"/>
        <v>1</v>
      </c>
      <c r="J1175" s="86">
        <f t="shared" ca="1" si="3"/>
        <v>44974</v>
      </c>
      <c r="R1175" s="26"/>
    </row>
    <row r="1176" spans="1:18" ht="15.75" customHeight="1">
      <c r="A1176" s="26">
        <f ca="1">IFERROR(__xludf.DUMMYFUNCTION("""COMPUTED_VALUE"""),17763)</f>
        <v>17763</v>
      </c>
      <c r="B1176" s="86">
        <f ca="1">IFERROR(__xludf.DUMMYFUNCTION("""COMPUTED_VALUE"""),44974.0436574073)</f>
        <v>44974.043657407397</v>
      </c>
      <c r="C1176" s="1" t="str">
        <f ca="1">IFERROR(__xludf.DUMMYFUNCTION("""COMPUTED_VALUE"""),"completed")</f>
        <v>completed</v>
      </c>
      <c r="D1176" s="26">
        <f ca="1">IFERROR(__xludf.DUMMYFUNCTION("""COMPUTED_VALUE"""),42)</f>
        <v>42</v>
      </c>
      <c r="E1176" s="1"/>
      <c r="F1176" s="87" t="str">
        <f t="shared" ca="1" si="0"/>
        <v>2023</v>
      </c>
      <c r="G1176" s="1" t="str">
        <f ca="1">IFERROR(__xludf.DUMMYFUNCTION("""COMPUTED_VALUE"""),"WMFA")</f>
        <v>WMFA</v>
      </c>
      <c r="H1176" s="26">
        <f t="shared" ca="1" si="1"/>
        <v>42</v>
      </c>
      <c r="I1176" s="26">
        <f t="shared" ca="1" si="2"/>
        <v>1</v>
      </c>
      <c r="J1176" s="86">
        <f t="shared" ca="1" si="3"/>
        <v>44974</v>
      </c>
      <c r="R1176" s="26"/>
    </row>
    <row r="1177" spans="1:18" ht="15.75" customHeight="1">
      <c r="A1177" s="26">
        <f ca="1">IFERROR(__xludf.DUMMYFUNCTION("""COMPUTED_VALUE"""),17762)</f>
        <v>17762</v>
      </c>
      <c r="B1177" s="86">
        <f ca="1">IFERROR(__xludf.DUMMYFUNCTION("""COMPUTED_VALUE"""),44974.0428587962)</f>
        <v>44974.042858796201</v>
      </c>
      <c r="C1177" s="1" t="str">
        <f ca="1">IFERROR(__xludf.DUMMYFUNCTION("""COMPUTED_VALUE"""),"completed")</f>
        <v>completed</v>
      </c>
      <c r="D1177" s="26">
        <f ca="1">IFERROR(__xludf.DUMMYFUNCTION("""COMPUTED_VALUE"""),0)</f>
        <v>0</v>
      </c>
      <c r="E1177" s="1"/>
      <c r="F1177" s="87" t="str">
        <f t="shared" ca="1" si="0"/>
        <v>2023</v>
      </c>
      <c r="G1177" s="1" t="str">
        <f ca="1">IFERROR(__xludf.DUMMYFUNCTION("""COMPUTED_VALUE"""),"Lakeshore Lightning Hockey")</f>
        <v>Lakeshore Lightning Hockey</v>
      </c>
      <c r="H1177" s="26">
        <f t="shared" ca="1" si="1"/>
        <v>0</v>
      </c>
      <c r="I1177" s="26">
        <f t="shared" ca="1" si="2"/>
        <v>1</v>
      </c>
      <c r="J1177" s="86">
        <f t="shared" ca="1" si="3"/>
        <v>44974</v>
      </c>
      <c r="R1177" s="26"/>
    </row>
    <row r="1178" spans="1:18" ht="15.75" customHeight="1">
      <c r="A1178" s="26">
        <f ca="1">IFERROR(__xludf.DUMMYFUNCTION("""COMPUTED_VALUE"""),17761)</f>
        <v>17761</v>
      </c>
      <c r="B1178" s="86">
        <f ca="1">IFERROR(__xludf.DUMMYFUNCTION("""COMPUTED_VALUE"""),44974.0411689814)</f>
        <v>44974.041168981399</v>
      </c>
      <c r="C1178" s="1" t="str">
        <f ca="1">IFERROR(__xludf.DUMMYFUNCTION("""COMPUTED_VALUE"""),"completed")</f>
        <v>completed</v>
      </c>
      <c r="D1178" s="26">
        <f ca="1">IFERROR(__xludf.DUMMYFUNCTION("""COMPUTED_VALUE"""),28)</f>
        <v>28</v>
      </c>
      <c r="E1178" s="1"/>
      <c r="F1178" s="87" t="str">
        <f t="shared" ca="1" si="0"/>
        <v>2023</v>
      </c>
      <c r="G1178" s="1" t="str">
        <f ca="1">IFERROR(__xludf.DUMMYFUNCTION("""COMPUTED_VALUE"""),"Lakeshore Lightning Hockey")</f>
        <v>Lakeshore Lightning Hockey</v>
      </c>
      <c r="H1178" s="26">
        <f t="shared" ca="1" si="1"/>
        <v>28</v>
      </c>
      <c r="I1178" s="26">
        <f t="shared" ca="1" si="2"/>
        <v>1</v>
      </c>
      <c r="J1178" s="86">
        <f t="shared" ca="1" si="3"/>
        <v>44974</v>
      </c>
      <c r="R1178" s="26"/>
    </row>
    <row r="1179" spans="1:18" ht="15.75" customHeight="1">
      <c r="A1179" s="26">
        <f ca="1">IFERROR(__xludf.DUMMYFUNCTION("""COMPUTED_VALUE"""),17760)</f>
        <v>17760</v>
      </c>
      <c r="B1179" s="86">
        <f ca="1">IFERROR(__xludf.DUMMYFUNCTION("""COMPUTED_VALUE"""),44974.0162384259)</f>
        <v>44974.016238425902</v>
      </c>
      <c r="C1179" s="1" t="str">
        <f ca="1">IFERROR(__xludf.DUMMYFUNCTION("""COMPUTED_VALUE"""),"completed")</f>
        <v>completed</v>
      </c>
      <c r="D1179" s="26">
        <f ca="1">IFERROR(__xludf.DUMMYFUNCTION("""COMPUTED_VALUE"""),55)</f>
        <v>55</v>
      </c>
      <c r="E1179" s="1"/>
      <c r="F1179" s="87" t="str">
        <f t="shared" ca="1" si="0"/>
        <v>2023</v>
      </c>
      <c r="G1179" s="1" t="str">
        <f ca="1">IFERROR(__xludf.DUMMYFUNCTION("""COMPUTED_VALUE"""),"Lakeshore Lightning Hockey")</f>
        <v>Lakeshore Lightning Hockey</v>
      </c>
      <c r="H1179" s="26">
        <f t="shared" ca="1" si="1"/>
        <v>55</v>
      </c>
      <c r="I1179" s="26">
        <f t="shared" ca="1" si="2"/>
        <v>1</v>
      </c>
      <c r="J1179" s="86">
        <f t="shared" ca="1" si="3"/>
        <v>44974</v>
      </c>
      <c r="R1179" s="26"/>
    </row>
    <row r="1180" spans="1:18" ht="15.75" customHeight="1">
      <c r="A1180" s="26">
        <f ca="1">IFERROR(__xludf.DUMMYFUNCTION("""COMPUTED_VALUE"""),17759)</f>
        <v>17759</v>
      </c>
      <c r="B1180" s="86">
        <f ca="1">IFERROR(__xludf.DUMMYFUNCTION("""COMPUTED_VALUE"""),44974.0137847222)</f>
        <v>44974.013784722199</v>
      </c>
      <c r="C1180" s="1" t="str">
        <f ca="1">IFERROR(__xludf.DUMMYFUNCTION("""COMPUTED_VALUE"""),"completed")</f>
        <v>completed</v>
      </c>
      <c r="D1180" s="26">
        <f ca="1">IFERROR(__xludf.DUMMYFUNCTION("""COMPUTED_VALUE"""),25)</f>
        <v>25</v>
      </c>
      <c r="E1180" s="1"/>
      <c r="F1180" s="87" t="str">
        <f t="shared" ca="1" si="0"/>
        <v>2023</v>
      </c>
      <c r="G1180" s="1" t="str">
        <f ca="1">IFERROR(__xludf.DUMMYFUNCTION("""COMPUTED_VALUE"""),"W.M.H.A")</f>
        <v>W.M.H.A</v>
      </c>
      <c r="H1180" s="26">
        <f t="shared" ca="1" si="1"/>
        <v>25</v>
      </c>
      <c r="I1180" s="26">
        <f t="shared" ca="1" si="2"/>
        <v>1</v>
      </c>
      <c r="J1180" s="86">
        <f t="shared" ca="1" si="3"/>
        <v>44974</v>
      </c>
      <c r="R1180" s="26"/>
    </row>
    <row r="1181" spans="1:18" ht="15.75" customHeight="1">
      <c r="A1181" s="26">
        <f ca="1">IFERROR(__xludf.DUMMYFUNCTION("""COMPUTED_VALUE"""),17758)</f>
        <v>17758</v>
      </c>
      <c r="B1181" s="86">
        <f ca="1">IFERROR(__xludf.DUMMYFUNCTION("""COMPUTED_VALUE"""),44974.0085300925)</f>
        <v>44974.008530092498</v>
      </c>
      <c r="C1181" s="1" t="str">
        <f ca="1">IFERROR(__xludf.DUMMYFUNCTION("""COMPUTED_VALUE"""),"completed")</f>
        <v>completed</v>
      </c>
      <c r="D1181" s="26">
        <f ca="1">IFERROR(__xludf.DUMMYFUNCTION("""COMPUTED_VALUE"""),25)</f>
        <v>25</v>
      </c>
      <c r="E1181" s="1"/>
      <c r="F1181" s="87" t="str">
        <f t="shared" ca="1" si="0"/>
        <v>2023</v>
      </c>
      <c r="G1181" s="1" t="str">
        <f ca="1">IFERROR(__xludf.DUMMYFUNCTION("""COMPUTED_VALUE"""),"W.M.H.A")</f>
        <v>W.M.H.A</v>
      </c>
      <c r="H1181" s="26">
        <f t="shared" ca="1" si="1"/>
        <v>25</v>
      </c>
      <c r="I1181" s="26">
        <f t="shared" ca="1" si="2"/>
        <v>1</v>
      </c>
      <c r="J1181" s="86">
        <f t="shared" ca="1" si="3"/>
        <v>44974</v>
      </c>
      <c r="R1181" s="26"/>
    </row>
    <row r="1182" spans="1:18" ht="15.75" customHeight="1">
      <c r="A1182" s="26">
        <f ca="1">IFERROR(__xludf.DUMMYFUNCTION("""COMPUTED_VALUE"""),17757)</f>
        <v>17757</v>
      </c>
      <c r="B1182" s="86">
        <f ca="1">IFERROR(__xludf.DUMMYFUNCTION("""COMPUTED_VALUE"""),44974.0051273148)</f>
        <v>44974.005127314798</v>
      </c>
      <c r="C1182" s="1" t="str">
        <f ca="1">IFERROR(__xludf.DUMMYFUNCTION("""COMPUTED_VALUE"""),"completed")</f>
        <v>completed</v>
      </c>
      <c r="D1182" s="26">
        <f ca="1">IFERROR(__xludf.DUMMYFUNCTION("""COMPUTED_VALUE"""),55)</f>
        <v>55</v>
      </c>
      <c r="E1182" s="1"/>
      <c r="F1182" s="87" t="str">
        <f t="shared" ca="1" si="0"/>
        <v>2023</v>
      </c>
      <c r="G1182" s="1" t="str">
        <f ca="1">IFERROR(__xludf.DUMMYFUNCTION("""COMPUTED_VALUE"""),"W.M.H.A")</f>
        <v>W.M.H.A</v>
      </c>
      <c r="H1182" s="26">
        <f t="shared" ca="1" si="1"/>
        <v>55</v>
      </c>
      <c r="I1182" s="26">
        <f t="shared" ca="1" si="2"/>
        <v>1</v>
      </c>
      <c r="J1182" s="86">
        <f t="shared" ca="1" si="3"/>
        <v>44974</v>
      </c>
      <c r="R1182" s="26"/>
    </row>
    <row r="1183" spans="1:18" ht="15.75" customHeight="1">
      <c r="A1183" s="26">
        <f ca="1">IFERROR(__xludf.DUMMYFUNCTION("""COMPUTED_VALUE"""),17756)</f>
        <v>17756</v>
      </c>
      <c r="B1183" s="86">
        <f ca="1">IFERROR(__xludf.DUMMYFUNCTION("""COMPUTED_VALUE"""),44974.002199074)</f>
        <v>44974.002199073999</v>
      </c>
      <c r="C1183" s="1" t="str">
        <f ca="1">IFERROR(__xludf.DUMMYFUNCTION("""COMPUTED_VALUE"""),"completed")</f>
        <v>completed</v>
      </c>
      <c r="D1183" s="26">
        <f ca="1">IFERROR(__xludf.DUMMYFUNCTION("""COMPUTED_VALUE"""),28)</f>
        <v>28</v>
      </c>
      <c r="E1183" s="1"/>
      <c r="F1183" s="87" t="str">
        <f t="shared" ca="1" si="0"/>
        <v>2023</v>
      </c>
      <c r="G1183" s="1" t="str">
        <f ca="1">IFERROR(__xludf.DUMMYFUNCTION("""COMPUTED_VALUE"""),"W.M.H.A")</f>
        <v>W.M.H.A</v>
      </c>
      <c r="H1183" s="26">
        <f t="shared" ca="1" si="1"/>
        <v>28</v>
      </c>
      <c r="I1183" s="26">
        <f t="shared" ca="1" si="2"/>
        <v>1</v>
      </c>
      <c r="J1183" s="86">
        <f t="shared" ca="1" si="3"/>
        <v>44974</v>
      </c>
      <c r="R1183" s="26"/>
    </row>
    <row r="1184" spans="1:18" ht="15.75" customHeight="1">
      <c r="A1184" s="26">
        <f ca="1">IFERROR(__xludf.DUMMYFUNCTION("""COMPUTED_VALUE"""),17755)</f>
        <v>17755</v>
      </c>
      <c r="B1184" s="86">
        <f ca="1">IFERROR(__xludf.DUMMYFUNCTION("""COMPUTED_VALUE"""),44973.9826388888)</f>
        <v>44973.982638888803</v>
      </c>
      <c r="C1184" s="1" t="str">
        <f ca="1">IFERROR(__xludf.DUMMYFUNCTION("""COMPUTED_VALUE"""),"completed")</f>
        <v>completed</v>
      </c>
      <c r="D1184" s="26">
        <f ca="1">IFERROR(__xludf.DUMMYFUNCTION("""COMPUTED_VALUE"""),83)</f>
        <v>83</v>
      </c>
      <c r="E1184" s="1"/>
      <c r="F1184" s="87" t="str">
        <f t="shared" ca="1" si="0"/>
        <v>2023</v>
      </c>
      <c r="G1184" s="1" t="str">
        <f ca="1">IFERROR(__xludf.DUMMYFUNCTION("""COMPUTED_VALUE"""),"W.M.H.A")</f>
        <v>W.M.H.A</v>
      </c>
      <c r="H1184" s="26">
        <f t="shared" ca="1" si="1"/>
        <v>83</v>
      </c>
      <c r="I1184" s="26">
        <f t="shared" ca="1" si="2"/>
        <v>1</v>
      </c>
      <c r="J1184" s="86">
        <f t="shared" ca="1" si="3"/>
        <v>44973</v>
      </c>
      <c r="R1184" s="26"/>
    </row>
    <row r="1185" spans="1:18" ht="15.75" customHeight="1">
      <c r="A1185" s="26">
        <f ca="1">IFERROR(__xludf.DUMMYFUNCTION("""COMPUTED_VALUE"""),17754)</f>
        <v>17754</v>
      </c>
      <c r="B1185" s="86">
        <f ca="1">IFERROR(__xludf.DUMMYFUNCTION("""COMPUTED_VALUE"""),44973.9822453703)</f>
        <v>44973.982245370302</v>
      </c>
      <c r="C1185" s="1" t="str">
        <f ca="1">IFERROR(__xludf.DUMMYFUNCTION("""COMPUTED_VALUE"""),"completed")</f>
        <v>completed</v>
      </c>
      <c r="D1185" s="26">
        <f ca="1">IFERROR(__xludf.DUMMYFUNCTION("""COMPUTED_VALUE"""),55)</f>
        <v>55</v>
      </c>
      <c r="E1185" s="1"/>
      <c r="F1185" s="87" t="str">
        <f t="shared" ca="1" si="0"/>
        <v>2023</v>
      </c>
      <c r="G1185" s="1" t="str">
        <f ca="1">IFERROR(__xludf.DUMMYFUNCTION("""COMPUTED_VALUE"""),"WMFA")</f>
        <v>WMFA</v>
      </c>
      <c r="H1185" s="26">
        <f t="shared" ca="1" si="1"/>
        <v>55</v>
      </c>
      <c r="I1185" s="26">
        <f t="shared" ca="1" si="2"/>
        <v>1</v>
      </c>
      <c r="J1185" s="86">
        <f t="shared" ca="1" si="3"/>
        <v>44973</v>
      </c>
      <c r="R1185" s="26"/>
    </row>
    <row r="1186" spans="1:18" ht="15.75" customHeight="1">
      <c r="A1186" s="26">
        <f ca="1">IFERROR(__xludf.DUMMYFUNCTION("""COMPUTED_VALUE"""),17753)</f>
        <v>17753</v>
      </c>
      <c r="B1186" s="86">
        <f ca="1">IFERROR(__xludf.DUMMYFUNCTION("""COMPUTED_VALUE"""),44973.965787037)</f>
        <v>44973.965787036999</v>
      </c>
      <c r="C1186" s="1" t="str">
        <f ca="1">IFERROR(__xludf.DUMMYFUNCTION("""COMPUTED_VALUE"""),"completed")</f>
        <v>completed</v>
      </c>
      <c r="D1186" s="26">
        <f ca="1">IFERROR(__xludf.DUMMYFUNCTION("""COMPUTED_VALUE"""),39)</f>
        <v>39</v>
      </c>
      <c r="E1186" s="1"/>
      <c r="F1186" s="87" t="str">
        <f t="shared" ca="1" si="0"/>
        <v>2023</v>
      </c>
      <c r="G1186" s="1" t="str">
        <f ca="1">IFERROR(__xludf.DUMMYFUNCTION("""COMPUTED_VALUE"""),"WMFA")</f>
        <v>WMFA</v>
      </c>
      <c r="H1186" s="26">
        <f t="shared" ca="1" si="1"/>
        <v>39</v>
      </c>
      <c r="I1186" s="26">
        <f t="shared" ca="1" si="2"/>
        <v>1</v>
      </c>
      <c r="J1186" s="86">
        <f t="shared" ca="1" si="3"/>
        <v>44973</v>
      </c>
      <c r="R1186" s="26"/>
    </row>
    <row r="1187" spans="1:18" ht="15.75" customHeight="1">
      <c r="A1187" s="26">
        <f ca="1">IFERROR(__xludf.DUMMYFUNCTION("""COMPUTED_VALUE"""),17752)</f>
        <v>17752</v>
      </c>
      <c r="B1187" s="86">
        <f ca="1">IFERROR(__xludf.DUMMYFUNCTION("""COMPUTED_VALUE"""),44973.960324074)</f>
        <v>44973.960324074003</v>
      </c>
      <c r="C1187" s="1" t="str">
        <f ca="1">IFERROR(__xludf.DUMMYFUNCTION("""COMPUTED_VALUE"""),"completed")</f>
        <v>completed</v>
      </c>
      <c r="D1187" s="26">
        <f ca="1">IFERROR(__xludf.DUMMYFUNCTION("""COMPUTED_VALUE"""),35)</f>
        <v>35</v>
      </c>
      <c r="E1187" s="1"/>
      <c r="F1187" s="87" t="str">
        <f t="shared" ca="1" si="0"/>
        <v>2023</v>
      </c>
      <c r="G1187" s="1" t="str">
        <f ca="1">IFERROR(__xludf.DUMMYFUNCTION("""COMPUTED_VALUE"""),"Lakeshore Lightning Hockey")</f>
        <v>Lakeshore Lightning Hockey</v>
      </c>
      <c r="H1187" s="26">
        <f t="shared" ca="1" si="1"/>
        <v>35</v>
      </c>
      <c r="I1187" s="26">
        <f t="shared" ca="1" si="2"/>
        <v>1</v>
      </c>
      <c r="J1187" s="86">
        <f t="shared" ca="1" si="3"/>
        <v>44973</v>
      </c>
      <c r="R1187" s="26"/>
    </row>
    <row r="1188" spans="1:18" ht="15.75" customHeight="1">
      <c r="A1188" s="26">
        <f ca="1">IFERROR(__xludf.DUMMYFUNCTION("""COMPUTED_VALUE"""),17751)</f>
        <v>17751</v>
      </c>
      <c r="B1188" s="86">
        <f ca="1">IFERROR(__xludf.DUMMYFUNCTION("""COMPUTED_VALUE"""),44973.9345023148)</f>
        <v>44973.934502314798</v>
      </c>
      <c r="C1188" s="1" t="str">
        <f ca="1">IFERROR(__xludf.DUMMYFUNCTION("""COMPUTED_VALUE"""),"completed")</f>
        <v>completed</v>
      </c>
      <c r="D1188" s="26">
        <f ca="1">IFERROR(__xludf.DUMMYFUNCTION("""COMPUTED_VALUE"""),43)</f>
        <v>43</v>
      </c>
      <c r="E1188" s="1"/>
      <c r="F1188" s="87" t="str">
        <f t="shared" ca="1" si="0"/>
        <v>2023</v>
      </c>
      <c r="G1188" s="1" t="str">
        <f ca="1">IFERROR(__xludf.DUMMYFUNCTION("""COMPUTED_VALUE"""),"Lakeshore Lightning Hockey")</f>
        <v>Lakeshore Lightning Hockey</v>
      </c>
      <c r="H1188" s="26">
        <f t="shared" ca="1" si="1"/>
        <v>43</v>
      </c>
      <c r="I1188" s="26">
        <f t="shared" ca="1" si="2"/>
        <v>1</v>
      </c>
      <c r="J1188" s="86">
        <f t="shared" ca="1" si="3"/>
        <v>44973</v>
      </c>
      <c r="R1188" s="26"/>
    </row>
    <row r="1189" spans="1:18" ht="15.75" customHeight="1">
      <c r="A1189" s="26">
        <f ca="1">IFERROR(__xludf.DUMMYFUNCTION("""COMPUTED_VALUE"""),17750)</f>
        <v>17750</v>
      </c>
      <c r="B1189" s="86">
        <f ca="1">IFERROR(__xludf.DUMMYFUNCTION("""COMPUTED_VALUE"""),44973.9294907407)</f>
        <v>44973.929490740702</v>
      </c>
      <c r="C1189" s="1" t="str">
        <f ca="1">IFERROR(__xludf.DUMMYFUNCTION("""COMPUTED_VALUE"""),"completed")</f>
        <v>completed</v>
      </c>
      <c r="D1189" s="26">
        <f ca="1">IFERROR(__xludf.DUMMYFUNCTION("""COMPUTED_VALUE"""),55)</f>
        <v>55</v>
      </c>
      <c r="E1189" s="1"/>
      <c r="F1189" s="87" t="str">
        <f t="shared" ca="1" si="0"/>
        <v>2023</v>
      </c>
      <c r="G1189" s="1" t="str">
        <f ca="1">IFERROR(__xludf.DUMMYFUNCTION("""COMPUTED_VALUE"""),"Lakeshore Lightning Hockey")</f>
        <v>Lakeshore Lightning Hockey</v>
      </c>
      <c r="H1189" s="26">
        <f t="shared" ca="1" si="1"/>
        <v>55</v>
      </c>
      <c r="I1189" s="26">
        <f t="shared" ca="1" si="2"/>
        <v>1</v>
      </c>
      <c r="J1189" s="86">
        <f t="shared" ca="1" si="3"/>
        <v>44973</v>
      </c>
      <c r="R1189" s="26"/>
    </row>
    <row r="1190" spans="1:18" ht="15.75" customHeight="1">
      <c r="A1190" s="26">
        <f ca="1">IFERROR(__xludf.DUMMYFUNCTION("""COMPUTED_VALUE"""),17749)</f>
        <v>17749</v>
      </c>
      <c r="B1190" s="86">
        <f ca="1">IFERROR(__xludf.DUMMYFUNCTION("""COMPUTED_VALUE"""),44973.9135763888)</f>
        <v>44973.913576388797</v>
      </c>
      <c r="C1190" s="1" t="str">
        <f ca="1">IFERROR(__xludf.DUMMYFUNCTION("""COMPUTED_VALUE"""),"completed")</f>
        <v>completed</v>
      </c>
      <c r="D1190" s="26">
        <f ca="1">IFERROR(__xludf.DUMMYFUNCTION("""COMPUTED_VALUE"""),25)</f>
        <v>25</v>
      </c>
      <c r="E1190" s="1"/>
      <c r="F1190" s="87" t="str">
        <f t="shared" ca="1" si="0"/>
        <v>2023</v>
      </c>
      <c r="G1190" s="1" t="str">
        <f ca="1">IFERROR(__xludf.DUMMYFUNCTION("""COMPUTED_VALUE"""),"Lakeshore Lightning Hockey")</f>
        <v>Lakeshore Lightning Hockey</v>
      </c>
      <c r="H1190" s="26">
        <f t="shared" ca="1" si="1"/>
        <v>25</v>
      </c>
      <c r="I1190" s="26">
        <f t="shared" ca="1" si="2"/>
        <v>1</v>
      </c>
      <c r="J1190" s="86">
        <f t="shared" ca="1" si="3"/>
        <v>44973</v>
      </c>
      <c r="R1190" s="26"/>
    </row>
    <row r="1191" spans="1:18" ht="15.75" customHeight="1">
      <c r="A1191" s="26">
        <f ca="1">IFERROR(__xludf.DUMMYFUNCTION("""COMPUTED_VALUE"""),17748)</f>
        <v>17748</v>
      </c>
      <c r="B1191" s="86">
        <f ca="1">IFERROR(__xludf.DUMMYFUNCTION("""COMPUTED_VALUE"""),44973.8987268518)</f>
        <v>44973.898726851803</v>
      </c>
      <c r="C1191" s="1" t="str">
        <f ca="1">IFERROR(__xludf.DUMMYFUNCTION("""COMPUTED_VALUE"""),"completed")</f>
        <v>completed</v>
      </c>
      <c r="D1191" s="26">
        <f ca="1">IFERROR(__xludf.DUMMYFUNCTION("""COMPUTED_VALUE"""),25)</f>
        <v>25</v>
      </c>
      <c r="E1191" s="1"/>
      <c r="F1191" s="87" t="str">
        <f t="shared" ca="1" si="0"/>
        <v>2023</v>
      </c>
      <c r="G1191" s="1" t="str">
        <f ca="1">IFERROR(__xludf.DUMMYFUNCTION("""COMPUTED_VALUE"""),"South Point Stars")</f>
        <v>South Point Stars</v>
      </c>
      <c r="H1191" s="26">
        <f t="shared" ca="1" si="1"/>
        <v>25</v>
      </c>
      <c r="I1191" s="26">
        <f t="shared" ca="1" si="2"/>
        <v>1</v>
      </c>
      <c r="J1191" s="86">
        <f t="shared" ca="1" si="3"/>
        <v>44973</v>
      </c>
      <c r="R1191" s="26"/>
    </row>
    <row r="1192" spans="1:18" ht="15.75" customHeight="1">
      <c r="A1192" s="26">
        <f ca="1">IFERROR(__xludf.DUMMYFUNCTION("""COMPUTED_VALUE"""),17747)</f>
        <v>17747</v>
      </c>
      <c r="B1192" s="86">
        <f ca="1">IFERROR(__xludf.DUMMYFUNCTION("""COMPUTED_VALUE"""),44973.8030671296)</f>
        <v>44973.8030671296</v>
      </c>
      <c r="C1192" s="1" t="str">
        <f ca="1">IFERROR(__xludf.DUMMYFUNCTION("""COMPUTED_VALUE"""),"completed")</f>
        <v>completed</v>
      </c>
      <c r="D1192" s="26">
        <f ca="1">IFERROR(__xludf.DUMMYFUNCTION("""COMPUTED_VALUE"""),18)</f>
        <v>18</v>
      </c>
      <c r="E1192" s="1"/>
      <c r="F1192" s="87" t="str">
        <f t="shared" ca="1" si="0"/>
        <v>2023</v>
      </c>
      <c r="G1192" s="1" t="str">
        <f ca="1">IFERROR(__xludf.DUMMYFUNCTION("""COMPUTED_VALUE"""),"W.M.H.A")</f>
        <v>W.M.H.A</v>
      </c>
      <c r="H1192" s="26">
        <f t="shared" ca="1" si="1"/>
        <v>18</v>
      </c>
      <c r="I1192" s="26">
        <f t="shared" ca="1" si="2"/>
        <v>1</v>
      </c>
      <c r="J1192" s="86">
        <f t="shared" ca="1" si="3"/>
        <v>44973</v>
      </c>
      <c r="R1192" s="26"/>
    </row>
    <row r="1193" spans="1:18" ht="15.75" customHeight="1">
      <c r="A1193" s="26">
        <f ca="1">IFERROR(__xludf.DUMMYFUNCTION("""COMPUTED_VALUE"""),17746)</f>
        <v>17746</v>
      </c>
      <c r="B1193" s="86">
        <f ca="1">IFERROR(__xludf.DUMMYFUNCTION("""COMPUTED_VALUE"""),44973.7998726851)</f>
        <v>44973.7998726851</v>
      </c>
      <c r="C1193" s="1" t="str">
        <f ca="1">IFERROR(__xludf.DUMMYFUNCTION("""COMPUTED_VALUE"""),"completed")</f>
        <v>completed</v>
      </c>
      <c r="D1193" s="26">
        <f ca="1">IFERROR(__xludf.DUMMYFUNCTION("""COMPUTED_VALUE"""),22)</f>
        <v>22</v>
      </c>
      <c r="E1193" s="1"/>
      <c r="F1193" s="87" t="str">
        <f t="shared" ca="1" si="0"/>
        <v>2023</v>
      </c>
      <c r="G1193" s="1" t="str">
        <f ca="1">IFERROR(__xludf.DUMMYFUNCTION("""COMPUTED_VALUE"""),"Lakeshore Lightning Hockey")</f>
        <v>Lakeshore Lightning Hockey</v>
      </c>
      <c r="H1193" s="26">
        <f t="shared" ca="1" si="1"/>
        <v>22</v>
      </c>
      <c r="I1193" s="26">
        <f t="shared" ca="1" si="2"/>
        <v>1</v>
      </c>
      <c r="J1193" s="86">
        <f t="shared" ca="1" si="3"/>
        <v>44973</v>
      </c>
      <c r="R1193" s="26"/>
    </row>
    <row r="1194" spans="1:18" ht="15.75" customHeight="1">
      <c r="A1194" s="26">
        <f ca="1">IFERROR(__xludf.DUMMYFUNCTION("""COMPUTED_VALUE"""),17745)</f>
        <v>17745</v>
      </c>
      <c r="B1194" s="86">
        <f ca="1">IFERROR(__xludf.DUMMYFUNCTION("""COMPUTED_VALUE"""),44973.7963078703)</f>
        <v>44973.796307870303</v>
      </c>
      <c r="C1194" s="1" t="str">
        <f ca="1">IFERROR(__xludf.DUMMYFUNCTION("""COMPUTED_VALUE"""),"completed")</f>
        <v>completed</v>
      </c>
      <c r="D1194" s="26">
        <f ca="1">IFERROR(__xludf.DUMMYFUNCTION("""COMPUTED_VALUE"""),42)</f>
        <v>42</v>
      </c>
      <c r="E1194" s="1"/>
      <c r="F1194" s="87" t="str">
        <f t="shared" ca="1" si="0"/>
        <v>2023</v>
      </c>
      <c r="G1194" s="1" t="str">
        <f ca="1">IFERROR(__xludf.DUMMYFUNCTION("""COMPUTED_VALUE"""),"Lakeshore Lightning Hockey")</f>
        <v>Lakeshore Lightning Hockey</v>
      </c>
      <c r="H1194" s="26">
        <f t="shared" ca="1" si="1"/>
        <v>42</v>
      </c>
      <c r="I1194" s="26">
        <f t="shared" ca="1" si="2"/>
        <v>1</v>
      </c>
      <c r="J1194" s="86">
        <f t="shared" ca="1" si="3"/>
        <v>44973</v>
      </c>
      <c r="R1194" s="26"/>
    </row>
    <row r="1195" spans="1:18" ht="15.75" customHeight="1">
      <c r="A1195" s="26">
        <f ca="1">IFERROR(__xludf.DUMMYFUNCTION("""COMPUTED_VALUE"""),17744)</f>
        <v>17744</v>
      </c>
      <c r="B1195" s="86">
        <f ca="1">IFERROR(__xludf.DUMMYFUNCTION("""COMPUTED_VALUE"""),44973.7699421296)</f>
        <v>44973.769942129598</v>
      </c>
      <c r="C1195" s="1" t="str">
        <f ca="1">IFERROR(__xludf.DUMMYFUNCTION("""COMPUTED_VALUE"""),"completed")</f>
        <v>completed</v>
      </c>
      <c r="D1195" s="26">
        <f ca="1">IFERROR(__xludf.DUMMYFUNCTION("""COMPUTED_VALUE"""),25)</f>
        <v>25</v>
      </c>
      <c r="E1195" s="1"/>
      <c r="F1195" s="87" t="str">
        <f t="shared" ca="1" si="0"/>
        <v>2023</v>
      </c>
      <c r="G1195" s="1" t="str">
        <f ca="1">IFERROR(__xludf.DUMMYFUNCTION("""COMPUTED_VALUE"""),"W.M.H.A")</f>
        <v>W.M.H.A</v>
      </c>
      <c r="H1195" s="26">
        <f t="shared" ca="1" si="1"/>
        <v>25</v>
      </c>
      <c r="I1195" s="26">
        <f t="shared" ca="1" si="2"/>
        <v>1</v>
      </c>
      <c r="J1195" s="86">
        <f t="shared" ca="1" si="3"/>
        <v>44973</v>
      </c>
      <c r="R1195" s="26"/>
    </row>
    <row r="1196" spans="1:18" ht="15.75" customHeight="1">
      <c r="A1196" s="26">
        <f ca="1">IFERROR(__xludf.DUMMYFUNCTION("""COMPUTED_VALUE"""),17743)</f>
        <v>17743</v>
      </c>
      <c r="B1196" s="86">
        <f ca="1">IFERROR(__xludf.DUMMYFUNCTION("""COMPUTED_VALUE"""),44973.7500462962)</f>
        <v>44973.750046296198</v>
      </c>
      <c r="C1196" s="1" t="str">
        <f ca="1">IFERROR(__xludf.DUMMYFUNCTION("""COMPUTED_VALUE"""),"completed")</f>
        <v>completed</v>
      </c>
      <c r="D1196" s="26">
        <f ca="1">IFERROR(__xludf.DUMMYFUNCTION("""COMPUTED_VALUE"""),45)</f>
        <v>45</v>
      </c>
      <c r="E1196" s="1"/>
      <c r="F1196" s="87" t="str">
        <f t="shared" ca="1" si="0"/>
        <v>2023</v>
      </c>
      <c r="G1196" s="1" t="str">
        <f ca="1">IFERROR(__xludf.DUMMYFUNCTION("""COMPUTED_VALUE"""),"W.M.H.A")</f>
        <v>W.M.H.A</v>
      </c>
      <c r="H1196" s="26">
        <f t="shared" ca="1" si="1"/>
        <v>45</v>
      </c>
      <c r="I1196" s="26">
        <f t="shared" ca="1" si="2"/>
        <v>1</v>
      </c>
      <c r="J1196" s="86">
        <f t="shared" ca="1" si="3"/>
        <v>44973</v>
      </c>
      <c r="R1196" s="26"/>
    </row>
    <row r="1197" spans="1:18" ht="15.75" customHeight="1">
      <c r="A1197" s="26">
        <f ca="1">IFERROR(__xludf.DUMMYFUNCTION("""COMPUTED_VALUE"""),17742)</f>
        <v>17742</v>
      </c>
      <c r="B1197" s="86">
        <f ca="1">IFERROR(__xludf.DUMMYFUNCTION("""COMPUTED_VALUE"""),44973.7403703703)</f>
        <v>44973.740370370302</v>
      </c>
      <c r="C1197" s="1" t="str">
        <f ca="1">IFERROR(__xludf.DUMMYFUNCTION("""COMPUTED_VALUE"""),"completed")</f>
        <v>completed</v>
      </c>
      <c r="D1197" s="26">
        <f ca="1">IFERROR(__xludf.DUMMYFUNCTION("""COMPUTED_VALUE"""),25)</f>
        <v>25</v>
      </c>
      <c r="E1197" s="1"/>
      <c r="F1197" s="87" t="str">
        <f t="shared" ca="1" si="0"/>
        <v>2023</v>
      </c>
      <c r="G1197" s="1" t="str">
        <f ca="1">IFERROR(__xludf.DUMMYFUNCTION("""COMPUTED_VALUE"""),"W.M.H.A")</f>
        <v>W.M.H.A</v>
      </c>
      <c r="H1197" s="26">
        <f t="shared" ca="1" si="1"/>
        <v>25</v>
      </c>
      <c r="I1197" s="26">
        <f t="shared" ca="1" si="2"/>
        <v>1</v>
      </c>
      <c r="J1197" s="86">
        <f t="shared" ca="1" si="3"/>
        <v>44973</v>
      </c>
      <c r="R1197" s="26"/>
    </row>
    <row r="1198" spans="1:18" ht="15.75" customHeight="1">
      <c r="A1198" s="26">
        <f ca="1">IFERROR(__xludf.DUMMYFUNCTION("""COMPUTED_VALUE"""),17741)</f>
        <v>17741</v>
      </c>
      <c r="B1198" s="86">
        <f ca="1">IFERROR(__xludf.DUMMYFUNCTION("""COMPUTED_VALUE"""),44973.6863310185)</f>
        <v>44973.6863310185</v>
      </c>
      <c r="C1198" s="1" t="str">
        <f ca="1">IFERROR(__xludf.DUMMYFUNCTION("""COMPUTED_VALUE"""),"completed")</f>
        <v>completed</v>
      </c>
      <c r="D1198" s="26">
        <f ca="1">IFERROR(__xludf.DUMMYFUNCTION("""COMPUTED_VALUE"""),24)</f>
        <v>24</v>
      </c>
      <c r="E1198" s="1"/>
      <c r="F1198" s="87" t="str">
        <f t="shared" ca="1" si="0"/>
        <v>2023</v>
      </c>
      <c r="G1198" s="1" t="str">
        <f ca="1">IFERROR(__xludf.DUMMYFUNCTION("""COMPUTED_VALUE"""),"WMFA")</f>
        <v>WMFA</v>
      </c>
      <c r="H1198" s="26">
        <f t="shared" ca="1" si="1"/>
        <v>24</v>
      </c>
      <c r="I1198" s="26">
        <f t="shared" ca="1" si="2"/>
        <v>1</v>
      </c>
      <c r="J1198" s="86">
        <f t="shared" ca="1" si="3"/>
        <v>44973</v>
      </c>
      <c r="R1198" s="26"/>
    </row>
    <row r="1199" spans="1:18" ht="15.75" customHeight="1">
      <c r="A1199" s="26">
        <f ca="1">IFERROR(__xludf.DUMMYFUNCTION("""COMPUTED_VALUE"""),17740)</f>
        <v>17740</v>
      </c>
      <c r="B1199" s="86">
        <f ca="1">IFERROR(__xludf.DUMMYFUNCTION("""COMPUTED_VALUE"""),44973.6742013888)</f>
        <v>44973.6742013888</v>
      </c>
      <c r="C1199" s="1" t="str">
        <f ca="1">IFERROR(__xludf.DUMMYFUNCTION("""COMPUTED_VALUE"""),"completed")</f>
        <v>completed</v>
      </c>
      <c r="D1199" s="26">
        <f ca="1">IFERROR(__xludf.DUMMYFUNCTION("""COMPUTED_VALUE"""),0)</f>
        <v>0</v>
      </c>
      <c r="E1199" s="1"/>
      <c r="F1199" s="87" t="str">
        <f t="shared" ca="1" si="0"/>
        <v>2023</v>
      </c>
      <c r="G1199" s="1" t="str">
        <f ca="1">IFERROR(__xludf.DUMMYFUNCTION("""COMPUTED_VALUE"""),"Lakeshore Lightning Hockey")</f>
        <v>Lakeshore Lightning Hockey</v>
      </c>
      <c r="H1199" s="26">
        <f t="shared" ca="1" si="1"/>
        <v>0</v>
      </c>
      <c r="I1199" s="26">
        <f t="shared" ca="1" si="2"/>
        <v>1</v>
      </c>
      <c r="J1199" s="86">
        <f t="shared" ca="1" si="3"/>
        <v>44973</v>
      </c>
      <c r="R1199" s="26"/>
    </row>
    <row r="1200" spans="1:18" ht="15.75" customHeight="1">
      <c r="A1200" s="26">
        <f ca="1">IFERROR(__xludf.DUMMYFUNCTION("""COMPUTED_VALUE"""),17739)</f>
        <v>17739</v>
      </c>
      <c r="B1200" s="86">
        <f ca="1">IFERROR(__xludf.DUMMYFUNCTION("""COMPUTED_VALUE"""),44973.6291550925)</f>
        <v>44973.629155092502</v>
      </c>
      <c r="C1200" s="1" t="str">
        <f ca="1">IFERROR(__xludf.DUMMYFUNCTION("""COMPUTED_VALUE"""),"completed")</f>
        <v>completed</v>
      </c>
      <c r="D1200" s="26">
        <f ca="1">IFERROR(__xludf.DUMMYFUNCTION("""COMPUTED_VALUE"""),25)</f>
        <v>25</v>
      </c>
      <c r="E1200" s="1"/>
      <c r="F1200" s="87" t="str">
        <f t="shared" ca="1" si="0"/>
        <v>2023</v>
      </c>
      <c r="G1200" s="1" t="str">
        <f ca="1">IFERROR(__xludf.DUMMYFUNCTION("""COMPUTED_VALUE"""),"Lakeshore Lightning Hockey")</f>
        <v>Lakeshore Lightning Hockey</v>
      </c>
      <c r="H1200" s="26">
        <f t="shared" ca="1" si="1"/>
        <v>25</v>
      </c>
      <c r="I1200" s="26">
        <f t="shared" ca="1" si="2"/>
        <v>1</v>
      </c>
      <c r="J1200" s="86">
        <f t="shared" ca="1" si="3"/>
        <v>44973</v>
      </c>
      <c r="R1200" s="26"/>
    </row>
    <row r="1201" spans="1:18" ht="15.75" customHeight="1">
      <c r="A1201" s="26">
        <f ca="1">IFERROR(__xludf.DUMMYFUNCTION("""COMPUTED_VALUE"""),17738)</f>
        <v>17738</v>
      </c>
      <c r="B1201" s="86">
        <f ca="1">IFERROR(__xludf.DUMMYFUNCTION("""COMPUTED_VALUE"""),44973.6281134259)</f>
        <v>44973.628113425897</v>
      </c>
      <c r="C1201" s="1" t="str">
        <f ca="1">IFERROR(__xludf.DUMMYFUNCTION("""COMPUTED_VALUE"""),"completed")</f>
        <v>completed</v>
      </c>
      <c r="D1201" s="26">
        <f ca="1">IFERROR(__xludf.DUMMYFUNCTION("""COMPUTED_VALUE"""),25)</f>
        <v>25</v>
      </c>
      <c r="E1201" s="1"/>
      <c r="F1201" s="87" t="str">
        <f t="shared" ca="1" si="0"/>
        <v>2023</v>
      </c>
      <c r="G1201" s="1" t="str">
        <f ca="1">IFERROR(__xludf.DUMMYFUNCTION("""COMPUTED_VALUE"""),"W.M.H.A")</f>
        <v>W.M.H.A</v>
      </c>
      <c r="H1201" s="26">
        <f t="shared" ca="1" si="1"/>
        <v>25</v>
      </c>
      <c r="I1201" s="26">
        <f t="shared" ca="1" si="2"/>
        <v>1</v>
      </c>
      <c r="J1201" s="86">
        <f t="shared" ca="1" si="3"/>
        <v>44973</v>
      </c>
      <c r="R1201" s="26"/>
    </row>
    <row r="1202" spans="1:18" ht="15.75" customHeight="1">
      <c r="A1202" s="26">
        <f ca="1">IFERROR(__xludf.DUMMYFUNCTION("""COMPUTED_VALUE"""),17737)</f>
        <v>17737</v>
      </c>
      <c r="B1202" s="86">
        <f ca="1">IFERROR(__xludf.DUMMYFUNCTION("""COMPUTED_VALUE"""),44973.6214236111)</f>
        <v>44973.621423611097</v>
      </c>
      <c r="C1202" s="1" t="str">
        <f ca="1">IFERROR(__xludf.DUMMYFUNCTION("""COMPUTED_VALUE"""),"completed")</f>
        <v>completed</v>
      </c>
      <c r="D1202" s="26">
        <f ca="1">IFERROR(__xludf.DUMMYFUNCTION("""COMPUTED_VALUE"""),18)</f>
        <v>18</v>
      </c>
      <c r="E1202" s="1"/>
      <c r="F1202" s="87" t="str">
        <f t="shared" ca="1" si="0"/>
        <v>2023</v>
      </c>
      <c r="G1202" s="1" t="str">
        <f ca="1">IFERROR(__xludf.DUMMYFUNCTION("""COMPUTED_VALUE"""),"Lakeshore Lightning Hockey")</f>
        <v>Lakeshore Lightning Hockey</v>
      </c>
      <c r="H1202" s="26">
        <f t="shared" ca="1" si="1"/>
        <v>18</v>
      </c>
      <c r="I1202" s="26">
        <f t="shared" ca="1" si="2"/>
        <v>1</v>
      </c>
      <c r="J1202" s="86">
        <f t="shared" ca="1" si="3"/>
        <v>44973</v>
      </c>
      <c r="R1202" s="26"/>
    </row>
    <row r="1203" spans="1:18" ht="15.75" customHeight="1">
      <c r="A1203" s="26">
        <f ca="1">IFERROR(__xludf.DUMMYFUNCTION("""COMPUTED_VALUE"""),17736)</f>
        <v>17736</v>
      </c>
      <c r="B1203" s="86">
        <f ca="1">IFERROR(__xludf.DUMMYFUNCTION("""COMPUTED_VALUE"""),44973.5303472222)</f>
        <v>44973.5303472222</v>
      </c>
      <c r="C1203" s="1" t="str">
        <f ca="1">IFERROR(__xludf.DUMMYFUNCTION("""COMPUTED_VALUE"""),"completed")</f>
        <v>completed</v>
      </c>
      <c r="D1203" s="26">
        <f ca="1">IFERROR(__xludf.DUMMYFUNCTION("""COMPUTED_VALUE"""),18)</f>
        <v>18</v>
      </c>
      <c r="E1203" s="1"/>
      <c r="F1203" s="87" t="str">
        <f t="shared" ca="1" si="0"/>
        <v>2023</v>
      </c>
      <c r="G1203" s="1" t="str">
        <f ca="1">IFERROR(__xludf.DUMMYFUNCTION("""COMPUTED_VALUE"""),"W.M.H.A")</f>
        <v>W.M.H.A</v>
      </c>
      <c r="H1203" s="26">
        <f t="shared" ca="1" si="1"/>
        <v>18</v>
      </c>
      <c r="I1203" s="26">
        <f t="shared" ca="1" si="2"/>
        <v>1</v>
      </c>
      <c r="J1203" s="86">
        <f t="shared" ca="1" si="3"/>
        <v>44973</v>
      </c>
      <c r="R1203" s="26"/>
    </row>
    <row r="1204" spans="1:18" ht="15.75" customHeight="1">
      <c r="A1204" s="26">
        <f ca="1">IFERROR(__xludf.DUMMYFUNCTION("""COMPUTED_VALUE"""),17735)</f>
        <v>17735</v>
      </c>
      <c r="B1204" s="86">
        <f ca="1">IFERROR(__xludf.DUMMYFUNCTION("""COMPUTED_VALUE"""),44973.5289814814)</f>
        <v>44973.528981481402</v>
      </c>
      <c r="C1204" s="1" t="str">
        <f ca="1">IFERROR(__xludf.DUMMYFUNCTION("""COMPUTED_VALUE"""),"completed")</f>
        <v>completed</v>
      </c>
      <c r="D1204" s="26">
        <f ca="1">IFERROR(__xludf.DUMMYFUNCTION("""COMPUTED_VALUE"""),48)</f>
        <v>48</v>
      </c>
      <c r="E1204" s="1"/>
      <c r="F1204" s="87" t="str">
        <f t="shared" ca="1" si="0"/>
        <v>2023</v>
      </c>
      <c r="G1204" s="1" t="str">
        <f ca="1">IFERROR(__xludf.DUMMYFUNCTION("""COMPUTED_VALUE"""),"Lakeshore Lightning Hockey")</f>
        <v>Lakeshore Lightning Hockey</v>
      </c>
      <c r="H1204" s="26">
        <f t="shared" ca="1" si="1"/>
        <v>48</v>
      </c>
      <c r="I1204" s="26">
        <f t="shared" ca="1" si="2"/>
        <v>1</v>
      </c>
      <c r="J1204" s="86">
        <f t="shared" ca="1" si="3"/>
        <v>44973</v>
      </c>
      <c r="R1204" s="26"/>
    </row>
    <row r="1205" spans="1:18" ht="15.75" customHeight="1">
      <c r="A1205" s="26">
        <f ca="1">IFERROR(__xludf.DUMMYFUNCTION("""COMPUTED_VALUE"""),17734)</f>
        <v>17734</v>
      </c>
      <c r="B1205" s="86">
        <f ca="1">IFERROR(__xludf.DUMMYFUNCTION("""COMPUTED_VALUE"""),44973.1485648148)</f>
        <v>44973.148564814801</v>
      </c>
      <c r="C1205" s="1" t="str">
        <f ca="1">IFERROR(__xludf.DUMMYFUNCTION("""COMPUTED_VALUE"""),"completed")</f>
        <v>completed</v>
      </c>
      <c r="D1205" s="26">
        <f ca="1">IFERROR(__xludf.DUMMYFUNCTION("""COMPUTED_VALUE"""),35)</f>
        <v>35</v>
      </c>
      <c r="E1205" s="1"/>
      <c r="F1205" s="87" t="str">
        <f t="shared" ca="1" si="0"/>
        <v>2023</v>
      </c>
      <c r="G1205" s="1" t="str">
        <f ca="1">IFERROR(__xludf.DUMMYFUNCTION("""COMPUTED_VALUE"""),"Lakeshore Lightning Hockey")</f>
        <v>Lakeshore Lightning Hockey</v>
      </c>
      <c r="H1205" s="26">
        <f t="shared" ca="1" si="1"/>
        <v>35</v>
      </c>
      <c r="I1205" s="26">
        <f t="shared" ca="1" si="2"/>
        <v>1</v>
      </c>
      <c r="J1205" s="86">
        <f t="shared" ca="1" si="3"/>
        <v>44973</v>
      </c>
      <c r="R1205" s="26"/>
    </row>
    <row r="1206" spans="1:18" ht="15.75" customHeight="1">
      <c r="A1206" s="26">
        <f ca="1">IFERROR(__xludf.DUMMYFUNCTION("""COMPUTED_VALUE"""),17733)</f>
        <v>17733</v>
      </c>
      <c r="B1206" s="86">
        <f ca="1">IFERROR(__xludf.DUMMYFUNCTION("""COMPUTED_VALUE"""),44973.1441319444)</f>
        <v>44973.144131944398</v>
      </c>
      <c r="C1206" s="1" t="str">
        <f ca="1">IFERROR(__xludf.DUMMYFUNCTION("""COMPUTED_VALUE"""),"completed")</f>
        <v>completed</v>
      </c>
      <c r="D1206" s="26">
        <f ca="1">IFERROR(__xludf.DUMMYFUNCTION("""COMPUTED_VALUE"""),15)</f>
        <v>15</v>
      </c>
      <c r="E1206" s="1"/>
      <c r="F1206" s="87" t="str">
        <f t="shared" ca="1" si="0"/>
        <v>2023</v>
      </c>
      <c r="G1206" s="1" t="str">
        <f ca="1">IFERROR(__xludf.DUMMYFUNCTION("""COMPUTED_VALUE"""),"W.M.H.A")</f>
        <v>W.M.H.A</v>
      </c>
      <c r="H1206" s="26">
        <f t="shared" ca="1" si="1"/>
        <v>15</v>
      </c>
      <c r="I1206" s="26">
        <f t="shared" ca="1" si="2"/>
        <v>1</v>
      </c>
      <c r="J1206" s="86">
        <f t="shared" ca="1" si="3"/>
        <v>44973</v>
      </c>
      <c r="R1206" s="26"/>
    </row>
    <row r="1207" spans="1:18" ht="15.75" customHeight="1">
      <c r="A1207" s="26">
        <f ca="1">IFERROR(__xludf.DUMMYFUNCTION("""COMPUTED_VALUE"""),17732)</f>
        <v>17732</v>
      </c>
      <c r="B1207" s="86">
        <f ca="1">IFERROR(__xludf.DUMMYFUNCTION("""COMPUTED_VALUE"""),44973.1418055555)</f>
        <v>44973.141805555497</v>
      </c>
      <c r="C1207" s="1" t="str">
        <f ca="1">IFERROR(__xludf.DUMMYFUNCTION("""COMPUTED_VALUE"""),"completed")</f>
        <v>completed</v>
      </c>
      <c r="D1207" s="26">
        <f ca="1">IFERROR(__xludf.DUMMYFUNCTION("""COMPUTED_VALUE"""),37)</f>
        <v>37</v>
      </c>
      <c r="E1207" s="1"/>
      <c r="F1207" s="87" t="str">
        <f t="shared" ca="1" si="0"/>
        <v>2023</v>
      </c>
      <c r="G1207" s="1" t="str">
        <f ca="1">IFERROR(__xludf.DUMMYFUNCTION("""COMPUTED_VALUE"""),"Lakeshore Lightning Hockey")</f>
        <v>Lakeshore Lightning Hockey</v>
      </c>
      <c r="H1207" s="26">
        <f t="shared" ca="1" si="1"/>
        <v>37</v>
      </c>
      <c r="I1207" s="26">
        <f t="shared" ca="1" si="2"/>
        <v>1</v>
      </c>
      <c r="J1207" s="86">
        <f t="shared" ca="1" si="3"/>
        <v>44973</v>
      </c>
      <c r="R1207" s="26"/>
    </row>
    <row r="1208" spans="1:18" ht="15.75" customHeight="1">
      <c r="A1208" s="26">
        <f ca="1">IFERROR(__xludf.DUMMYFUNCTION("""COMPUTED_VALUE"""),17731)</f>
        <v>17731</v>
      </c>
      <c r="B1208" s="86">
        <f ca="1">IFERROR(__xludf.DUMMYFUNCTION("""COMPUTED_VALUE"""),44973.1371643518)</f>
        <v>44973.1371643518</v>
      </c>
      <c r="C1208" s="1" t="str">
        <f ca="1">IFERROR(__xludf.DUMMYFUNCTION("""COMPUTED_VALUE"""),"completed")</f>
        <v>completed</v>
      </c>
      <c r="D1208" s="26">
        <f ca="1">IFERROR(__xludf.DUMMYFUNCTION("""COMPUTED_VALUE"""),37)</f>
        <v>37</v>
      </c>
      <c r="E1208" s="1"/>
      <c r="F1208" s="87" t="str">
        <f t="shared" ca="1" si="0"/>
        <v>2023</v>
      </c>
      <c r="G1208" s="1" t="str">
        <f ca="1">IFERROR(__xludf.DUMMYFUNCTION("""COMPUTED_VALUE"""),"WMFA")</f>
        <v>WMFA</v>
      </c>
      <c r="H1208" s="26">
        <f t="shared" ca="1" si="1"/>
        <v>37</v>
      </c>
      <c r="I1208" s="26">
        <f t="shared" ca="1" si="2"/>
        <v>1</v>
      </c>
      <c r="J1208" s="86">
        <f t="shared" ca="1" si="3"/>
        <v>44973</v>
      </c>
      <c r="R1208" s="26"/>
    </row>
    <row r="1209" spans="1:18" ht="15.75" customHeight="1">
      <c r="A1209" s="26">
        <f ca="1">IFERROR(__xludf.DUMMYFUNCTION("""COMPUTED_VALUE"""),17730)</f>
        <v>17730</v>
      </c>
      <c r="B1209" s="86">
        <f ca="1">IFERROR(__xludf.DUMMYFUNCTION("""COMPUTED_VALUE"""),44973.1000347222)</f>
        <v>44973.1000347222</v>
      </c>
      <c r="C1209" s="1" t="str">
        <f ca="1">IFERROR(__xludf.DUMMYFUNCTION("""COMPUTED_VALUE"""),"completed")</f>
        <v>completed</v>
      </c>
      <c r="D1209" s="26">
        <f ca="1">IFERROR(__xludf.DUMMYFUNCTION("""COMPUTED_VALUE"""),43)</f>
        <v>43</v>
      </c>
      <c r="E1209" s="1"/>
      <c r="F1209" s="87" t="str">
        <f t="shared" ca="1" si="0"/>
        <v>2023</v>
      </c>
      <c r="G1209" s="1" t="str">
        <f ca="1">IFERROR(__xludf.DUMMYFUNCTION("""COMPUTED_VALUE"""),"Lakeshore Lightning Hockey")</f>
        <v>Lakeshore Lightning Hockey</v>
      </c>
      <c r="H1209" s="26">
        <f t="shared" ca="1" si="1"/>
        <v>43</v>
      </c>
      <c r="I1209" s="26">
        <f t="shared" ca="1" si="2"/>
        <v>1</v>
      </c>
      <c r="J1209" s="86">
        <f t="shared" ca="1" si="3"/>
        <v>44973</v>
      </c>
      <c r="R1209" s="26"/>
    </row>
    <row r="1210" spans="1:18" ht="15.75" customHeight="1">
      <c r="A1210" s="26">
        <f ca="1">IFERROR(__xludf.DUMMYFUNCTION("""COMPUTED_VALUE"""),17729)</f>
        <v>17729</v>
      </c>
      <c r="B1210" s="86">
        <f ca="1">IFERROR(__xludf.DUMMYFUNCTION("""COMPUTED_VALUE"""),44973.0997337963)</f>
        <v>44973.099733796298</v>
      </c>
      <c r="C1210" s="1" t="str">
        <f ca="1">IFERROR(__xludf.DUMMYFUNCTION("""COMPUTED_VALUE"""),"completed")</f>
        <v>completed</v>
      </c>
      <c r="D1210" s="26">
        <f ca="1">IFERROR(__xludf.DUMMYFUNCTION("""COMPUTED_VALUE"""),107)</f>
        <v>107</v>
      </c>
      <c r="E1210" s="1"/>
      <c r="F1210" s="87" t="str">
        <f t="shared" ca="1" si="0"/>
        <v>2023</v>
      </c>
      <c r="G1210" s="1" t="str">
        <f ca="1">IFERROR(__xludf.DUMMYFUNCTION("""COMPUTED_VALUE"""),"Lakeshore Lightning Hockey")</f>
        <v>Lakeshore Lightning Hockey</v>
      </c>
      <c r="H1210" s="26">
        <f t="shared" ca="1" si="1"/>
        <v>107</v>
      </c>
      <c r="I1210" s="26">
        <f t="shared" ca="1" si="2"/>
        <v>1</v>
      </c>
      <c r="J1210" s="86">
        <f t="shared" ca="1" si="3"/>
        <v>44973</v>
      </c>
      <c r="R1210" s="26"/>
    </row>
    <row r="1211" spans="1:18" ht="15.75" customHeight="1">
      <c r="A1211" s="26">
        <f ca="1">IFERROR(__xludf.DUMMYFUNCTION("""COMPUTED_VALUE"""),17728)</f>
        <v>17728</v>
      </c>
      <c r="B1211" s="86">
        <f ca="1">IFERROR(__xludf.DUMMYFUNCTION("""COMPUTED_VALUE"""),44973.0972800925)</f>
        <v>44973.097280092501</v>
      </c>
      <c r="C1211" s="1" t="str">
        <f ca="1">IFERROR(__xludf.DUMMYFUNCTION("""COMPUTED_VALUE"""),"completed")</f>
        <v>completed</v>
      </c>
      <c r="D1211" s="26">
        <f ca="1">IFERROR(__xludf.DUMMYFUNCTION("""COMPUTED_VALUE"""),25)</f>
        <v>25</v>
      </c>
      <c r="E1211" s="1"/>
      <c r="F1211" s="87" t="str">
        <f t="shared" ca="1" si="0"/>
        <v>2023</v>
      </c>
      <c r="G1211" s="1" t="str">
        <f ca="1">IFERROR(__xludf.DUMMYFUNCTION("""COMPUTED_VALUE"""),"Lakeshore Lightning Hockey")</f>
        <v>Lakeshore Lightning Hockey</v>
      </c>
      <c r="H1211" s="26">
        <f t="shared" ca="1" si="1"/>
        <v>25</v>
      </c>
      <c r="I1211" s="26">
        <f t="shared" ca="1" si="2"/>
        <v>1</v>
      </c>
      <c r="J1211" s="86">
        <f t="shared" ca="1" si="3"/>
        <v>44973</v>
      </c>
      <c r="R1211" s="26"/>
    </row>
    <row r="1212" spans="1:18" ht="15.75" customHeight="1">
      <c r="A1212" s="26">
        <f ca="1">IFERROR(__xludf.DUMMYFUNCTION("""COMPUTED_VALUE"""),17727)</f>
        <v>17727</v>
      </c>
      <c r="B1212" s="86">
        <f ca="1">IFERROR(__xludf.DUMMYFUNCTION("""COMPUTED_VALUE"""),44973.0856712963)</f>
        <v>44973.0856712963</v>
      </c>
      <c r="C1212" s="1" t="str">
        <f ca="1">IFERROR(__xludf.DUMMYFUNCTION("""COMPUTED_VALUE"""),"completed")</f>
        <v>completed</v>
      </c>
      <c r="D1212" s="26">
        <f ca="1">IFERROR(__xludf.DUMMYFUNCTION("""COMPUTED_VALUE"""),25)</f>
        <v>25</v>
      </c>
      <c r="E1212" s="1"/>
      <c r="F1212" s="87" t="str">
        <f t="shared" ca="1" si="0"/>
        <v>2023</v>
      </c>
      <c r="G1212" s="1" t="str">
        <f ca="1">IFERROR(__xludf.DUMMYFUNCTION("""COMPUTED_VALUE"""),"W.M.H.A")</f>
        <v>W.M.H.A</v>
      </c>
      <c r="H1212" s="26">
        <f t="shared" ca="1" si="1"/>
        <v>25</v>
      </c>
      <c r="I1212" s="26">
        <f t="shared" ca="1" si="2"/>
        <v>1</v>
      </c>
      <c r="J1212" s="86">
        <f t="shared" ca="1" si="3"/>
        <v>44973</v>
      </c>
      <c r="R1212" s="26"/>
    </row>
    <row r="1213" spans="1:18" ht="15.75" customHeight="1">
      <c r="A1213" s="26">
        <f ca="1">IFERROR(__xludf.DUMMYFUNCTION("""COMPUTED_VALUE"""),17726)</f>
        <v>17726</v>
      </c>
      <c r="B1213" s="86">
        <f ca="1">IFERROR(__xludf.DUMMYFUNCTION("""COMPUTED_VALUE"""),44973.0763888888)</f>
        <v>44973.076388888803</v>
      </c>
      <c r="C1213" s="1" t="str">
        <f ca="1">IFERROR(__xludf.DUMMYFUNCTION("""COMPUTED_VALUE"""),"completed")</f>
        <v>completed</v>
      </c>
      <c r="D1213" s="26">
        <f ca="1">IFERROR(__xludf.DUMMYFUNCTION("""COMPUTED_VALUE"""),56)</f>
        <v>56</v>
      </c>
      <c r="E1213" s="1"/>
      <c r="F1213" s="87" t="str">
        <f t="shared" ca="1" si="0"/>
        <v>2023</v>
      </c>
      <c r="G1213" s="1" t="str">
        <f ca="1">IFERROR(__xludf.DUMMYFUNCTION("""COMPUTED_VALUE"""),"W.M.H.A")</f>
        <v>W.M.H.A</v>
      </c>
      <c r="H1213" s="26">
        <f t="shared" ca="1" si="1"/>
        <v>56</v>
      </c>
      <c r="I1213" s="26">
        <f t="shared" ca="1" si="2"/>
        <v>1</v>
      </c>
      <c r="J1213" s="86">
        <f t="shared" ca="1" si="3"/>
        <v>44973</v>
      </c>
      <c r="R1213" s="26"/>
    </row>
    <row r="1214" spans="1:18" ht="15.75" customHeight="1">
      <c r="A1214" s="26">
        <f ca="1">IFERROR(__xludf.DUMMYFUNCTION("""COMPUTED_VALUE"""),17725)</f>
        <v>17725</v>
      </c>
      <c r="B1214" s="86">
        <f ca="1">IFERROR(__xludf.DUMMYFUNCTION("""COMPUTED_VALUE"""),44973.0441203703)</f>
        <v>44973.044120370301</v>
      </c>
      <c r="C1214" s="1" t="str">
        <f ca="1">IFERROR(__xludf.DUMMYFUNCTION("""COMPUTED_VALUE"""),"completed")</f>
        <v>completed</v>
      </c>
      <c r="D1214" s="26">
        <f ca="1">IFERROR(__xludf.DUMMYFUNCTION("""COMPUTED_VALUE"""),24)</f>
        <v>24</v>
      </c>
      <c r="E1214" s="1"/>
      <c r="F1214" s="87" t="str">
        <f t="shared" ca="1" si="0"/>
        <v>2023</v>
      </c>
      <c r="G1214" s="1" t="str">
        <f ca="1">IFERROR(__xludf.DUMMYFUNCTION("""COMPUTED_VALUE"""),"W.M.H.A")</f>
        <v>W.M.H.A</v>
      </c>
      <c r="H1214" s="26">
        <f t="shared" ca="1" si="1"/>
        <v>24</v>
      </c>
      <c r="I1214" s="26">
        <f t="shared" ca="1" si="2"/>
        <v>1</v>
      </c>
      <c r="J1214" s="86">
        <f t="shared" ca="1" si="3"/>
        <v>44973</v>
      </c>
      <c r="R1214" s="26"/>
    </row>
    <row r="1215" spans="1:18" ht="15.75" customHeight="1">
      <c r="A1215" s="26">
        <f ca="1">IFERROR(__xludf.DUMMYFUNCTION("""COMPUTED_VALUE"""),17724)</f>
        <v>17724</v>
      </c>
      <c r="B1215" s="86">
        <f ca="1">IFERROR(__xludf.DUMMYFUNCTION("""COMPUTED_VALUE"""),44973.0414583333)</f>
        <v>44973.041458333297</v>
      </c>
      <c r="C1215" s="1" t="str">
        <f ca="1">IFERROR(__xludf.DUMMYFUNCTION("""COMPUTED_VALUE"""),"completed")</f>
        <v>completed</v>
      </c>
      <c r="D1215" s="26">
        <f ca="1">IFERROR(__xludf.DUMMYFUNCTION("""COMPUTED_VALUE"""),24)</f>
        <v>24</v>
      </c>
      <c r="E1215" s="1"/>
      <c r="F1215" s="87" t="str">
        <f t="shared" ca="1" si="0"/>
        <v>2023</v>
      </c>
      <c r="G1215" s="1" t="str">
        <f ca="1">IFERROR(__xludf.DUMMYFUNCTION("""COMPUTED_VALUE"""),"Lakeshore Lightning Hockey")</f>
        <v>Lakeshore Lightning Hockey</v>
      </c>
      <c r="H1215" s="26">
        <f t="shared" ca="1" si="1"/>
        <v>24</v>
      </c>
      <c r="I1215" s="26">
        <f t="shared" ca="1" si="2"/>
        <v>1</v>
      </c>
      <c r="J1215" s="86">
        <f t="shared" ca="1" si="3"/>
        <v>44973</v>
      </c>
      <c r="R1215" s="26"/>
    </row>
    <row r="1216" spans="1:18" ht="15.75" customHeight="1">
      <c r="A1216" s="26">
        <f ca="1">IFERROR(__xludf.DUMMYFUNCTION("""COMPUTED_VALUE"""),17723)</f>
        <v>17723</v>
      </c>
      <c r="B1216" s="86">
        <f ca="1">IFERROR(__xludf.DUMMYFUNCTION("""COMPUTED_VALUE"""),44973.0405902777)</f>
        <v>44973.040590277698</v>
      </c>
      <c r="C1216" s="1" t="str">
        <f ca="1">IFERROR(__xludf.DUMMYFUNCTION("""COMPUTED_VALUE"""),"completed")</f>
        <v>completed</v>
      </c>
      <c r="D1216" s="26">
        <f ca="1">IFERROR(__xludf.DUMMYFUNCTION("""COMPUTED_VALUE"""),25)</f>
        <v>25</v>
      </c>
      <c r="E1216" s="1"/>
      <c r="F1216" s="87" t="str">
        <f t="shared" ca="1" si="0"/>
        <v>2023</v>
      </c>
      <c r="G1216" s="1" t="str">
        <f ca="1">IFERROR(__xludf.DUMMYFUNCTION("""COMPUTED_VALUE"""),"W.M.H.A")</f>
        <v>W.M.H.A</v>
      </c>
      <c r="H1216" s="26">
        <f t="shared" ca="1" si="1"/>
        <v>25</v>
      </c>
      <c r="I1216" s="26">
        <f t="shared" ca="1" si="2"/>
        <v>1</v>
      </c>
      <c r="J1216" s="86">
        <f t="shared" ca="1" si="3"/>
        <v>44973</v>
      </c>
      <c r="R1216" s="26"/>
    </row>
    <row r="1217" spans="1:18" ht="15.75" customHeight="1">
      <c r="A1217" s="26">
        <f ca="1">IFERROR(__xludf.DUMMYFUNCTION("""COMPUTED_VALUE"""),17722)</f>
        <v>17722</v>
      </c>
      <c r="B1217" s="86">
        <f ca="1">IFERROR(__xludf.DUMMYFUNCTION("""COMPUTED_VALUE"""),44973.037199074)</f>
        <v>44973.037199074002</v>
      </c>
      <c r="C1217" s="1" t="str">
        <f ca="1">IFERROR(__xludf.DUMMYFUNCTION("""COMPUTED_VALUE"""),"completed")</f>
        <v>completed</v>
      </c>
      <c r="D1217" s="26">
        <f ca="1">IFERROR(__xludf.DUMMYFUNCTION("""COMPUTED_VALUE"""),25)</f>
        <v>25</v>
      </c>
      <c r="E1217" s="1"/>
      <c r="F1217" s="87" t="str">
        <f t="shared" ca="1" si="0"/>
        <v>2023</v>
      </c>
      <c r="G1217" s="1" t="str">
        <f ca="1">IFERROR(__xludf.DUMMYFUNCTION("""COMPUTED_VALUE"""),"W.M.H.A")</f>
        <v>W.M.H.A</v>
      </c>
      <c r="H1217" s="26">
        <f t="shared" ca="1" si="1"/>
        <v>25</v>
      </c>
      <c r="I1217" s="26">
        <f t="shared" ca="1" si="2"/>
        <v>1</v>
      </c>
      <c r="J1217" s="86">
        <f t="shared" ca="1" si="3"/>
        <v>44973</v>
      </c>
      <c r="R1217" s="26"/>
    </row>
    <row r="1218" spans="1:18" ht="15.75" customHeight="1">
      <c r="A1218" s="26">
        <f ca="1">IFERROR(__xludf.DUMMYFUNCTION("""COMPUTED_VALUE"""),17721)</f>
        <v>17721</v>
      </c>
      <c r="B1218" s="86">
        <f ca="1">IFERROR(__xludf.DUMMYFUNCTION("""COMPUTED_VALUE"""),44973.0369675925)</f>
        <v>44973.036967592503</v>
      </c>
      <c r="C1218" s="1" t="str">
        <f ca="1">IFERROR(__xludf.DUMMYFUNCTION("""COMPUTED_VALUE"""),"completed")</f>
        <v>completed</v>
      </c>
      <c r="D1218" s="26">
        <f ca="1">IFERROR(__xludf.DUMMYFUNCTION("""COMPUTED_VALUE"""),25)</f>
        <v>25</v>
      </c>
      <c r="E1218" s="1"/>
      <c r="F1218" s="87" t="str">
        <f t="shared" ca="1" si="0"/>
        <v>2023</v>
      </c>
      <c r="G1218" s="1" t="str">
        <f ca="1">IFERROR(__xludf.DUMMYFUNCTION("""COMPUTED_VALUE"""),"Lakeshore Lightning Hockey")</f>
        <v>Lakeshore Lightning Hockey</v>
      </c>
      <c r="H1218" s="26">
        <f t="shared" ca="1" si="1"/>
        <v>25</v>
      </c>
      <c r="I1218" s="26">
        <f t="shared" ca="1" si="2"/>
        <v>1</v>
      </c>
      <c r="J1218" s="86">
        <f t="shared" ca="1" si="3"/>
        <v>44973</v>
      </c>
      <c r="R1218" s="26"/>
    </row>
    <row r="1219" spans="1:18" ht="15.75" customHeight="1">
      <c r="A1219" s="26">
        <f ca="1">IFERROR(__xludf.DUMMYFUNCTION("""COMPUTED_VALUE"""),17720)</f>
        <v>17720</v>
      </c>
      <c r="B1219" s="86">
        <f ca="1">IFERROR(__xludf.DUMMYFUNCTION("""COMPUTED_VALUE"""),44973.0344444444)</f>
        <v>44973.034444444398</v>
      </c>
      <c r="C1219" s="1" t="str">
        <f ca="1">IFERROR(__xludf.DUMMYFUNCTION("""COMPUTED_VALUE"""),"completed")</f>
        <v>completed</v>
      </c>
      <c r="D1219" s="26">
        <f ca="1">IFERROR(__xludf.DUMMYFUNCTION("""COMPUTED_VALUE"""),60)</f>
        <v>60</v>
      </c>
      <c r="E1219" s="1"/>
      <c r="F1219" s="87" t="str">
        <f t="shared" ca="1" si="0"/>
        <v>2023</v>
      </c>
      <c r="G1219" s="1" t="str">
        <f ca="1">IFERROR(__xludf.DUMMYFUNCTION("""COMPUTED_VALUE"""),"Lakeshore Lightning Hockey")</f>
        <v>Lakeshore Lightning Hockey</v>
      </c>
      <c r="H1219" s="26">
        <f t="shared" ca="1" si="1"/>
        <v>60</v>
      </c>
      <c r="I1219" s="26">
        <f t="shared" ca="1" si="2"/>
        <v>1</v>
      </c>
      <c r="J1219" s="86">
        <f t="shared" ca="1" si="3"/>
        <v>44973</v>
      </c>
      <c r="R1219" s="26"/>
    </row>
    <row r="1220" spans="1:18" ht="15.75" customHeight="1">
      <c r="A1220" s="26">
        <f ca="1">IFERROR(__xludf.DUMMYFUNCTION("""COMPUTED_VALUE"""),17719)</f>
        <v>17719</v>
      </c>
      <c r="B1220" s="86">
        <f ca="1">IFERROR(__xludf.DUMMYFUNCTION("""COMPUTED_VALUE"""),44973.0334837962)</f>
        <v>44973.0334837962</v>
      </c>
      <c r="C1220" s="1" t="str">
        <f ca="1">IFERROR(__xludf.DUMMYFUNCTION("""COMPUTED_VALUE"""),"failed")</f>
        <v>failed</v>
      </c>
      <c r="D1220" s="26">
        <f ca="1">IFERROR(__xludf.DUMMYFUNCTION("""COMPUTED_VALUE"""),25)</f>
        <v>25</v>
      </c>
      <c r="E1220" s="1"/>
      <c r="F1220" s="87" t="str">
        <f t="shared" ca="1" si="0"/>
        <v>2023</v>
      </c>
      <c r="G1220" s="1" t="str">
        <f ca="1">IFERROR(__xludf.DUMMYFUNCTION("""COMPUTED_VALUE"""),"Lakeshore Lightning Hockey")</f>
        <v>Lakeshore Lightning Hockey</v>
      </c>
      <c r="H1220" s="26">
        <f t="shared" ca="1" si="1"/>
        <v>25</v>
      </c>
      <c r="I1220" s="26">
        <f t="shared" ca="1" si="2"/>
        <v>1</v>
      </c>
      <c r="J1220" s="86">
        <f t="shared" ca="1" si="3"/>
        <v>44973</v>
      </c>
      <c r="R1220" s="26"/>
    </row>
    <row r="1221" spans="1:18" ht="15.75" customHeight="1">
      <c r="A1221" s="26">
        <f ca="1">IFERROR(__xludf.DUMMYFUNCTION("""COMPUTED_VALUE"""),17718)</f>
        <v>17718</v>
      </c>
      <c r="B1221" s="86">
        <f ca="1">IFERROR(__xludf.DUMMYFUNCTION("""COMPUTED_VALUE"""),44973.0285416666)</f>
        <v>44973.028541666601</v>
      </c>
      <c r="C1221" s="1" t="str">
        <f ca="1">IFERROR(__xludf.DUMMYFUNCTION("""COMPUTED_VALUE"""),"completed")</f>
        <v>completed</v>
      </c>
      <c r="D1221" s="26">
        <f ca="1">IFERROR(__xludf.DUMMYFUNCTION("""COMPUTED_VALUE"""),24)</f>
        <v>24</v>
      </c>
      <c r="E1221" s="1"/>
      <c r="F1221" s="87" t="str">
        <f t="shared" ca="1" si="0"/>
        <v>2023</v>
      </c>
      <c r="G1221" s="1" t="str">
        <f ca="1">IFERROR(__xludf.DUMMYFUNCTION("""COMPUTED_VALUE"""),"W.M.H.A")</f>
        <v>W.M.H.A</v>
      </c>
      <c r="H1221" s="26">
        <f t="shared" ca="1" si="1"/>
        <v>24</v>
      </c>
      <c r="I1221" s="26">
        <f t="shared" ca="1" si="2"/>
        <v>1</v>
      </c>
      <c r="J1221" s="86">
        <f t="shared" ca="1" si="3"/>
        <v>44973</v>
      </c>
      <c r="R1221" s="26"/>
    </row>
    <row r="1222" spans="1:18" ht="15.75" customHeight="1">
      <c r="A1222" s="26">
        <f ca="1">IFERROR(__xludf.DUMMYFUNCTION("""COMPUTED_VALUE"""),17717)</f>
        <v>17717</v>
      </c>
      <c r="B1222" s="86">
        <f ca="1">IFERROR(__xludf.DUMMYFUNCTION("""COMPUTED_VALUE"""),44973.0177314814)</f>
        <v>44973.017731481399</v>
      </c>
      <c r="C1222" s="1" t="str">
        <f ca="1">IFERROR(__xludf.DUMMYFUNCTION("""COMPUTED_VALUE"""),"completed")</f>
        <v>completed</v>
      </c>
      <c r="D1222" s="26">
        <f ca="1">IFERROR(__xludf.DUMMYFUNCTION("""COMPUTED_VALUE"""),58)</f>
        <v>58</v>
      </c>
      <c r="E1222" s="1"/>
      <c r="F1222" s="87" t="str">
        <f t="shared" ca="1" si="0"/>
        <v>2023</v>
      </c>
      <c r="G1222" s="1" t="str">
        <f ca="1">IFERROR(__xludf.DUMMYFUNCTION("""COMPUTED_VALUE"""),"W.M.H.A")</f>
        <v>W.M.H.A</v>
      </c>
      <c r="H1222" s="26">
        <f t="shared" ca="1" si="1"/>
        <v>58</v>
      </c>
      <c r="I1222" s="26">
        <f t="shared" ca="1" si="2"/>
        <v>1</v>
      </c>
      <c r="J1222" s="86">
        <f t="shared" ca="1" si="3"/>
        <v>44973</v>
      </c>
      <c r="R1222" s="26"/>
    </row>
    <row r="1223" spans="1:18" ht="15.75" customHeight="1">
      <c r="A1223" s="26">
        <f ca="1">IFERROR(__xludf.DUMMYFUNCTION("""COMPUTED_VALUE"""),17716)</f>
        <v>17716</v>
      </c>
      <c r="B1223" s="86">
        <f ca="1">IFERROR(__xludf.DUMMYFUNCTION("""COMPUTED_VALUE"""),44973.0162037037)</f>
        <v>44973.016203703701</v>
      </c>
      <c r="C1223" s="1" t="str">
        <f ca="1">IFERROR(__xludf.DUMMYFUNCTION("""COMPUTED_VALUE"""),"completed")</f>
        <v>completed</v>
      </c>
      <c r="D1223" s="26">
        <f ca="1">IFERROR(__xludf.DUMMYFUNCTION("""COMPUTED_VALUE"""),10)</f>
        <v>10</v>
      </c>
      <c r="E1223" s="1"/>
      <c r="F1223" s="87" t="str">
        <f t="shared" ca="1" si="0"/>
        <v>2023</v>
      </c>
      <c r="G1223" s="1" t="str">
        <f ca="1">IFERROR(__xludf.DUMMYFUNCTION("""COMPUTED_VALUE"""),"W.M.H.A")</f>
        <v>W.M.H.A</v>
      </c>
      <c r="H1223" s="26">
        <f t="shared" ca="1" si="1"/>
        <v>10</v>
      </c>
      <c r="I1223" s="26">
        <f t="shared" ca="1" si="2"/>
        <v>1</v>
      </c>
      <c r="J1223" s="86">
        <f t="shared" ca="1" si="3"/>
        <v>44973</v>
      </c>
      <c r="R1223" s="26"/>
    </row>
    <row r="1224" spans="1:18" ht="15.75" customHeight="1">
      <c r="A1224" s="26">
        <f ca="1">IFERROR(__xludf.DUMMYFUNCTION("""COMPUTED_VALUE"""),17715)</f>
        <v>17715</v>
      </c>
      <c r="B1224" s="86">
        <f ca="1">IFERROR(__xludf.DUMMYFUNCTION("""COMPUTED_VALUE"""),44973.0142939814)</f>
        <v>44973.014293981403</v>
      </c>
      <c r="C1224" s="1" t="str">
        <f ca="1">IFERROR(__xludf.DUMMYFUNCTION("""COMPUTED_VALUE"""),"completed")</f>
        <v>completed</v>
      </c>
      <c r="D1224" s="26">
        <f ca="1">IFERROR(__xludf.DUMMYFUNCTION("""COMPUTED_VALUE"""),45)</f>
        <v>45</v>
      </c>
      <c r="E1224" s="1"/>
      <c r="F1224" s="87" t="str">
        <f t="shared" ca="1" si="0"/>
        <v>2023</v>
      </c>
      <c r="G1224" s="1" t="str">
        <f ca="1">IFERROR(__xludf.DUMMYFUNCTION("""COMPUTED_VALUE"""),"W.M.H.A")</f>
        <v>W.M.H.A</v>
      </c>
      <c r="H1224" s="26">
        <f t="shared" ca="1" si="1"/>
        <v>45</v>
      </c>
      <c r="I1224" s="26">
        <f t="shared" ca="1" si="2"/>
        <v>1</v>
      </c>
      <c r="J1224" s="86">
        <f t="shared" ca="1" si="3"/>
        <v>44973</v>
      </c>
      <c r="R1224" s="26"/>
    </row>
    <row r="1225" spans="1:18" ht="15.75" customHeight="1">
      <c r="A1225" s="26">
        <f ca="1">IFERROR(__xludf.DUMMYFUNCTION("""COMPUTED_VALUE"""),17714)</f>
        <v>17714</v>
      </c>
      <c r="B1225" s="86">
        <f ca="1">IFERROR(__xludf.DUMMYFUNCTION("""COMPUTED_VALUE"""),44973.0135416666)</f>
        <v>44973.013541666602</v>
      </c>
      <c r="C1225" s="1" t="str">
        <f ca="1">IFERROR(__xludf.DUMMYFUNCTION("""COMPUTED_VALUE"""),"completed")</f>
        <v>completed</v>
      </c>
      <c r="D1225" s="26">
        <f ca="1">IFERROR(__xludf.DUMMYFUNCTION("""COMPUTED_VALUE"""),35)</f>
        <v>35</v>
      </c>
      <c r="E1225" s="1"/>
      <c r="F1225" s="87" t="str">
        <f t="shared" ca="1" si="0"/>
        <v>2023</v>
      </c>
      <c r="G1225" s="1" t="str">
        <f ca="1">IFERROR(__xludf.DUMMYFUNCTION("""COMPUTED_VALUE"""),"Sun County Panthers Hockey")</f>
        <v>Sun County Panthers Hockey</v>
      </c>
      <c r="H1225" s="26">
        <f t="shared" ca="1" si="1"/>
        <v>35</v>
      </c>
      <c r="I1225" s="26">
        <f t="shared" ca="1" si="2"/>
        <v>1</v>
      </c>
      <c r="J1225" s="86">
        <f t="shared" ca="1" si="3"/>
        <v>44973</v>
      </c>
      <c r="R1225" s="26"/>
    </row>
    <row r="1226" spans="1:18" ht="15.75" customHeight="1">
      <c r="A1226" s="26">
        <f ca="1">IFERROR(__xludf.DUMMYFUNCTION("""COMPUTED_VALUE"""),17713)</f>
        <v>17713</v>
      </c>
      <c r="B1226" s="86">
        <f ca="1">IFERROR(__xludf.DUMMYFUNCTION("""COMPUTED_VALUE"""),44973.0082407407)</f>
        <v>44973.008240740703</v>
      </c>
      <c r="C1226" s="1" t="str">
        <f ca="1">IFERROR(__xludf.DUMMYFUNCTION("""COMPUTED_VALUE"""),"completed")</f>
        <v>completed</v>
      </c>
      <c r="D1226" s="26">
        <f ca="1">IFERROR(__xludf.DUMMYFUNCTION("""COMPUTED_VALUE"""),24)</f>
        <v>24</v>
      </c>
      <c r="E1226" s="1"/>
      <c r="F1226" s="87" t="str">
        <f t="shared" ca="1" si="0"/>
        <v>2023</v>
      </c>
      <c r="G1226" s="1" t="str">
        <f ca="1">IFERROR(__xludf.DUMMYFUNCTION("""COMPUTED_VALUE"""),"W.M.H.A")</f>
        <v>W.M.H.A</v>
      </c>
      <c r="H1226" s="26">
        <f t="shared" ca="1" si="1"/>
        <v>24</v>
      </c>
      <c r="I1226" s="26">
        <f t="shared" ca="1" si="2"/>
        <v>1</v>
      </c>
      <c r="J1226" s="86">
        <f t="shared" ca="1" si="3"/>
        <v>44973</v>
      </c>
      <c r="R1226" s="26"/>
    </row>
    <row r="1227" spans="1:18" ht="15.75" customHeight="1">
      <c r="A1227" s="26">
        <f ca="1">IFERROR(__xludf.DUMMYFUNCTION("""COMPUTED_VALUE"""),17712)</f>
        <v>17712</v>
      </c>
      <c r="B1227" s="86">
        <f ca="1">IFERROR(__xludf.DUMMYFUNCTION("""COMPUTED_VALUE"""),44973.0050347222)</f>
        <v>44973.005034722199</v>
      </c>
      <c r="C1227" s="1" t="str">
        <f ca="1">IFERROR(__xludf.DUMMYFUNCTION("""COMPUTED_VALUE"""),"completed")</f>
        <v>completed</v>
      </c>
      <c r="D1227" s="26">
        <f ca="1">IFERROR(__xludf.DUMMYFUNCTION("""COMPUTED_VALUE"""),25)</f>
        <v>25</v>
      </c>
      <c r="E1227" s="1"/>
      <c r="F1227" s="87" t="str">
        <f t="shared" ca="1" si="0"/>
        <v>2023</v>
      </c>
      <c r="G1227" s="1" t="str">
        <f ca="1">IFERROR(__xludf.DUMMYFUNCTION("""COMPUTED_VALUE"""),"W.M.H.A")</f>
        <v>W.M.H.A</v>
      </c>
      <c r="H1227" s="26">
        <f t="shared" ca="1" si="1"/>
        <v>25</v>
      </c>
      <c r="I1227" s="26">
        <f t="shared" ca="1" si="2"/>
        <v>1</v>
      </c>
      <c r="J1227" s="86">
        <f t="shared" ca="1" si="3"/>
        <v>44973</v>
      </c>
      <c r="R1227" s="26"/>
    </row>
    <row r="1228" spans="1:18" ht="15.75" customHeight="1">
      <c r="A1228" s="26">
        <f ca="1">IFERROR(__xludf.DUMMYFUNCTION("""COMPUTED_VALUE"""),17711)</f>
        <v>17711</v>
      </c>
      <c r="B1228" s="86">
        <f ca="1">IFERROR(__xludf.DUMMYFUNCTION("""COMPUTED_VALUE"""),44973.0046064814)</f>
        <v>44973.004606481401</v>
      </c>
      <c r="C1228" s="1" t="str">
        <f ca="1">IFERROR(__xludf.DUMMYFUNCTION("""COMPUTED_VALUE"""),"completed")</f>
        <v>completed</v>
      </c>
      <c r="D1228" s="26">
        <f ca="1">IFERROR(__xludf.DUMMYFUNCTION("""COMPUTED_VALUE"""),28)</f>
        <v>28</v>
      </c>
      <c r="E1228" s="1"/>
      <c r="F1228" s="87" t="str">
        <f t="shared" ca="1" si="0"/>
        <v>2023</v>
      </c>
      <c r="G1228" s="1" t="str">
        <f ca="1">IFERROR(__xludf.DUMMYFUNCTION("""COMPUTED_VALUE"""),"Lakeshore Lightning Hockey")</f>
        <v>Lakeshore Lightning Hockey</v>
      </c>
      <c r="H1228" s="26">
        <f t="shared" ca="1" si="1"/>
        <v>28</v>
      </c>
      <c r="I1228" s="26">
        <f t="shared" ca="1" si="2"/>
        <v>1</v>
      </c>
      <c r="J1228" s="86">
        <f t="shared" ca="1" si="3"/>
        <v>44973</v>
      </c>
      <c r="R1228" s="26"/>
    </row>
    <row r="1229" spans="1:18" ht="15.75" customHeight="1">
      <c r="A1229" s="26">
        <f ca="1">IFERROR(__xludf.DUMMYFUNCTION("""COMPUTED_VALUE"""),17710)</f>
        <v>17710</v>
      </c>
      <c r="B1229" s="86">
        <f ca="1">IFERROR(__xludf.DUMMYFUNCTION("""COMPUTED_VALUE"""),44973.0028356481)</f>
        <v>44973.002835648098</v>
      </c>
      <c r="C1229" s="1" t="str">
        <f ca="1">IFERROR(__xludf.DUMMYFUNCTION("""COMPUTED_VALUE"""),"completed")</f>
        <v>completed</v>
      </c>
      <c r="D1229" s="26">
        <f ca="1">IFERROR(__xludf.DUMMYFUNCTION("""COMPUTED_VALUE"""),35)</f>
        <v>35</v>
      </c>
      <c r="E1229" s="1"/>
      <c r="F1229" s="87" t="str">
        <f t="shared" ca="1" si="0"/>
        <v>2023</v>
      </c>
      <c r="G1229" s="1" t="str">
        <f ca="1">IFERROR(__xludf.DUMMYFUNCTION("""COMPUTED_VALUE"""),"Lakeshore Lightning Hockey")</f>
        <v>Lakeshore Lightning Hockey</v>
      </c>
      <c r="H1229" s="26">
        <f t="shared" ca="1" si="1"/>
        <v>35</v>
      </c>
      <c r="I1229" s="26">
        <f t="shared" ca="1" si="2"/>
        <v>1</v>
      </c>
      <c r="J1229" s="86">
        <f t="shared" ca="1" si="3"/>
        <v>44973</v>
      </c>
      <c r="R1229" s="26"/>
    </row>
    <row r="1230" spans="1:18" ht="15.75" customHeight="1">
      <c r="A1230" s="26">
        <f ca="1">IFERROR(__xludf.DUMMYFUNCTION("""COMPUTED_VALUE"""),17709)</f>
        <v>17709</v>
      </c>
      <c r="B1230" s="86">
        <f ca="1">IFERROR(__xludf.DUMMYFUNCTION("""COMPUTED_VALUE"""),44973.0008912037)</f>
        <v>44973.000891203701</v>
      </c>
      <c r="C1230" s="1" t="str">
        <f ca="1">IFERROR(__xludf.DUMMYFUNCTION("""COMPUTED_VALUE"""),"completed")</f>
        <v>completed</v>
      </c>
      <c r="D1230" s="26">
        <f ca="1">IFERROR(__xludf.DUMMYFUNCTION("""COMPUTED_VALUE"""),35)</f>
        <v>35</v>
      </c>
      <c r="E1230" s="1"/>
      <c r="F1230" s="87" t="str">
        <f t="shared" ca="1" si="0"/>
        <v>2023</v>
      </c>
      <c r="G1230" s="1" t="str">
        <f ca="1">IFERROR(__xludf.DUMMYFUNCTION("""COMPUTED_VALUE"""),"Select Option")</f>
        <v>Select Option</v>
      </c>
      <c r="H1230" s="26">
        <f t="shared" ca="1" si="1"/>
        <v>35</v>
      </c>
      <c r="I1230" s="26">
        <f t="shared" ca="1" si="2"/>
        <v>1</v>
      </c>
      <c r="J1230" s="86">
        <f t="shared" ca="1" si="3"/>
        <v>44973</v>
      </c>
      <c r="R1230" s="26"/>
    </row>
    <row r="1231" spans="1:18" ht="15.75" customHeight="1">
      <c r="A1231" s="26">
        <f ca="1">IFERROR(__xludf.DUMMYFUNCTION("""COMPUTED_VALUE"""),17708)</f>
        <v>17708</v>
      </c>
      <c r="B1231" s="86">
        <f ca="1">IFERROR(__xludf.DUMMYFUNCTION("""COMPUTED_VALUE"""),44972.9983333333)</f>
        <v>44972.9983333333</v>
      </c>
      <c r="C1231" s="1" t="str">
        <f ca="1">IFERROR(__xludf.DUMMYFUNCTION("""COMPUTED_VALUE"""),"completed")</f>
        <v>completed</v>
      </c>
      <c r="D1231" s="26">
        <f ca="1">IFERROR(__xludf.DUMMYFUNCTION("""COMPUTED_VALUE"""),18)</f>
        <v>18</v>
      </c>
      <c r="E1231" s="1"/>
      <c r="F1231" s="87" t="str">
        <f t="shared" ca="1" si="0"/>
        <v>2023</v>
      </c>
      <c r="G1231" s="1" t="str">
        <f ca="1">IFERROR(__xludf.DUMMYFUNCTION("""COMPUTED_VALUE"""),"South Point Stars")</f>
        <v>South Point Stars</v>
      </c>
      <c r="H1231" s="26">
        <f t="shared" ca="1" si="1"/>
        <v>18</v>
      </c>
      <c r="I1231" s="26">
        <f t="shared" ca="1" si="2"/>
        <v>1</v>
      </c>
      <c r="J1231" s="86">
        <f t="shared" ca="1" si="3"/>
        <v>44972</v>
      </c>
      <c r="R1231" s="26"/>
    </row>
    <row r="1232" spans="1:18" ht="15.75" customHeight="1">
      <c r="A1232" s="26">
        <f ca="1">IFERROR(__xludf.DUMMYFUNCTION("""COMPUTED_VALUE"""),17707)</f>
        <v>17707</v>
      </c>
      <c r="B1232" s="86">
        <f ca="1">IFERROR(__xludf.DUMMYFUNCTION("""COMPUTED_VALUE"""),44972.9964351851)</f>
        <v>44972.996435185101</v>
      </c>
      <c r="C1232" s="1" t="str">
        <f ca="1">IFERROR(__xludf.DUMMYFUNCTION("""COMPUTED_VALUE"""),"completed")</f>
        <v>completed</v>
      </c>
      <c r="D1232" s="26">
        <f ca="1">IFERROR(__xludf.DUMMYFUNCTION("""COMPUTED_VALUE"""),18)</f>
        <v>18</v>
      </c>
      <c r="E1232" s="1"/>
      <c r="F1232" s="87" t="str">
        <f t="shared" ca="1" si="0"/>
        <v>2023</v>
      </c>
      <c r="G1232" s="1" t="str">
        <f ca="1">IFERROR(__xludf.DUMMYFUNCTION("""COMPUTED_VALUE"""),"WMFA")</f>
        <v>WMFA</v>
      </c>
      <c r="H1232" s="26">
        <f t="shared" ca="1" si="1"/>
        <v>18</v>
      </c>
      <c r="I1232" s="26">
        <f t="shared" ca="1" si="2"/>
        <v>1</v>
      </c>
      <c r="J1232" s="86">
        <f t="shared" ca="1" si="3"/>
        <v>44972</v>
      </c>
      <c r="R1232" s="26"/>
    </row>
    <row r="1233" spans="1:18" ht="15.75" customHeight="1">
      <c r="A1233" s="26">
        <f ca="1">IFERROR(__xludf.DUMMYFUNCTION("""COMPUTED_VALUE"""),17706)</f>
        <v>17706</v>
      </c>
      <c r="B1233" s="86">
        <f ca="1">IFERROR(__xludf.DUMMYFUNCTION("""COMPUTED_VALUE"""),44972.9915393518)</f>
        <v>44972.991539351802</v>
      </c>
      <c r="C1233" s="1" t="str">
        <f ca="1">IFERROR(__xludf.DUMMYFUNCTION("""COMPUTED_VALUE"""),"completed")</f>
        <v>completed</v>
      </c>
      <c r="D1233" s="26">
        <f ca="1">IFERROR(__xludf.DUMMYFUNCTION("""COMPUTED_VALUE"""),24)</f>
        <v>24</v>
      </c>
      <c r="E1233" s="1"/>
      <c r="F1233" s="87" t="str">
        <f t="shared" ca="1" si="0"/>
        <v>2023</v>
      </c>
      <c r="G1233" s="1" t="str">
        <f ca="1">IFERROR(__xludf.DUMMYFUNCTION("""COMPUTED_VALUE"""),"Select Option")</f>
        <v>Select Option</v>
      </c>
      <c r="H1233" s="26">
        <f t="shared" ca="1" si="1"/>
        <v>24</v>
      </c>
      <c r="I1233" s="26">
        <f t="shared" ca="1" si="2"/>
        <v>1</v>
      </c>
      <c r="J1233" s="86">
        <f t="shared" ca="1" si="3"/>
        <v>44972</v>
      </c>
      <c r="R1233" s="26"/>
    </row>
    <row r="1234" spans="1:18" ht="15.75" customHeight="1">
      <c r="A1234" s="26">
        <f ca="1">IFERROR(__xludf.DUMMYFUNCTION("""COMPUTED_VALUE"""),17705)</f>
        <v>17705</v>
      </c>
      <c r="B1234" s="86">
        <f ca="1">IFERROR(__xludf.DUMMYFUNCTION("""COMPUTED_VALUE"""),44972.9909027777)</f>
        <v>44972.990902777703</v>
      </c>
      <c r="C1234" s="1" t="str">
        <f ca="1">IFERROR(__xludf.DUMMYFUNCTION("""COMPUTED_VALUE"""),"completed")</f>
        <v>completed</v>
      </c>
      <c r="D1234" s="26">
        <f ca="1">IFERROR(__xludf.DUMMYFUNCTION("""COMPUTED_VALUE"""),24)</f>
        <v>24</v>
      </c>
      <c r="E1234" s="1"/>
      <c r="F1234" s="87" t="str">
        <f t="shared" ca="1" si="0"/>
        <v>2023</v>
      </c>
      <c r="G1234" s="1" t="str">
        <f ca="1">IFERROR(__xludf.DUMMYFUNCTION("""COMPUTED_VALUE"""),"Lakeshore Lightning Hockey")</f>
        <v>Lakeshore Lightning Hockey</v>
      </c>
      <c r="H1234" s="26">
        <f t="shared" ca="1" si="1"/>
        <v>24</v>
      </c>
      <c r="I1234" s="26">
        <f t="shared" ca="1" si="2"/>
        <v>1</v>
      </c>
      <c r="J1234" s="86">
        <f t="shared" ca="1" si="3"/>
        <v>44972</v>
      </c>
      <c r="R1234" s="26"/>
    </row>
    <row r="1235" spans="1:18" ht="15.75" customHeight="1">
      <c r="A1235" s="26">
        <f ca="1">IFERROR(__xludf.DUMMYFUNCTION("""COMPUTED_VALUE"""),17704)</f>
        <v>17704</v>
      </c>
      <c r="B1235" s="86">
        <f ca="1">IFERROR(__xludf.DUMMYFUNCTION("""COMPUTED_VALUE"""),44972.9890509259)</f>
        <v>44972.989050925898</v>
      </c>
      <c r="C1235" s="1" t="str">
        <f ca="1">IFERROR(__xludf.DUMMYFUNCTION("""COMPUTED_VALUE"""),"completed")</f>
        <v>completed</v>
      </c>
      <c r="D1235" s="26">
        <f ca="1">IFERROR(__xludf.DUMMYFUNCTION("""COMPUTED_VALUE"""),18)</f>
        <v>18</v>
      </c>
      <c r="E1235" s="1"/>
      <c r="F1235" s="87" t="str">
        <f t="shared" ca="1" si="0"/>
        <v>2023</v>
      </c>
      <c r="G1235" s="1" t="str">
        <f ca="1">IFERROR(__xludf.DUMMYFUNCTION("""COMPUTED_VALUE"""),"Lakeshore Lightning Hockey")</f>
        <v>Lakeshore Lightning Hockey</v>
      </c>
      <c r="H1235" s="26">
        <f t="shared" ca="1" si="1"/>
        <v>18</v>
      </c>
      <c r="I1235" s="26">
        <f t="shared" ca="1" si="2"/>
        <v>1</v>
      </c>
      <c r="J1235" s="86">
        <f t="shared" ca="1" si="3"/>
        <v>44972</v>
      </c>
      <c r="R1235" s="26"/>
    </row>
    <row r="1236" spans="1:18" ht="15.75" customHeight="1">
      <c r="A1236" s="26">
        <f ca="1">IFERROR(__xludf.DUMMYFUNCTION("""COMPUTED_VALUE"""),17703)</f>
        <v>17703</v>
      </c>
      <c r="B1236" s="86">
        <f ca="1">IFERROR(__xludf.DUMMYFUNCTION("""COMPUTED_VALUE"""),44972.9888773148)</f>
        <v>44972.988877314798</v>
      </c>
      <c r="C1236" s="1" t="str">
        <f ca="1">IFERROR(__xludf.DUMMYFUNCTION("""COMPUTED_VALUE"""),"completed")</f>
        <v>completed</v>
      </c>
      <c r="D1236" s="26">
        <f ca="1">IFERROR(__xludf.DUMMYFUNCTION("""COMPUTED_VALUE"""),25)</f>
        <v>25</v>
      </c>
      <c r="E1236" s="1"/>
      <c r="F1236" s="87" t="str">
        <f t="shared" ca="1" si="0"/>
        <v>2023</v>
      </c>
      <c r="G1236" s="1" t="str">
        <f ca="1">IFERROR(__xludf.DUMMYFUNCTION("""COMPUTED_VALUE"""),"Lakeshore Lightning Hockey")</f>
        <v>Lakeshore Lightning Hockey</v>
      </c>
      <c r="H1236" s="26">
        <f t="shared" ca="1" si="1"/>
        <v>25</v>
      </c>
      <c r="I1236" s="26">
        <f t="shared" ca="1" si="2"/>
        <v>1</v>
      </c>
      <c r="J1236" s="86">
        <f t="shared" ca="1" si="3"/>
        <v>44972</v>
      </c>
      <c r="R1236" s="26"/>
    </row>
    <row r="1237" spans="1:18" ht="15.75" customHeight="1">
      <c r="A1237" s="26">
        <f ca="1">IFERROR(__xludf.DUMMYFUNCTION("""COMPUTED_VALUE"""),17702)</f>
        <v>17702</v>
      </c>
      <c r="B1237" s="86">
        <f ca="1">IFERROR(__xludf.DUMMYFUNCTION("""COMPUTED_VALUE"""),44972.9851851851)</f>
        <v>44972.985185185098</v>
      </c>
      <c r="C1237" s="1" t="str">
        <f ca="1">IFERROR(__xludf.DUMMYFUNCTION("""COMPUTED_VALUE"""),"completed")</f>
        <v>completed</v>
      </c>
      <c r="D1237" s="26">
        <f ca="1">IFERROR(__xludf.DUMMYFUNCTION("""COMPUTED_VALUE"""),92)</f>
        <v>92</v>
      </c>
      <c r="E1237" s="1"/>
      <c r="F1237" s="87" t="str">
        <f t="shared" ca="1" si="0"/>
        <v>2023</v>
      </c>
      <c r="G1237" s="1" t="str">
        <f ca="1">IFERROR(__xludf.DUMMYFUNCTION("""COMPUTED_VALUE"""),"Lakeshore Lightning Hockey")</f>
        <v>Lakeshore Lightning Hockey</v>
      </c>
      <c r="H1237" s="26">
        <f t="shared" ca="1" si="1"/>
        <v>92</v>
      </c>
      <c r="I1237" s="26">
        <f t="shared" ca="1" si="2"/>
        <v>1</v>
      </c>
      <c r="J1237" s="86">
        <f t="shared" ca="1" si="3"/>
        <v>44972</v>
      </c>
      <c r="R1237" s="26"/>
    </row>
    <row r="1238" spans="1:18" ht="15.75" customHeight="1">
      <c r="A1238" s="26">
        <f ca="1">IFERROR(__xludf.DUMMYFUNCTION("""COMPUTED_VALUE"""),17701)</f>
        <v>17701</v>
      </c>
      <c r="B1238" s="86">
        <f ca="1">IFERROR(__xludf.DUMMYFUNCTION("""COMPUTED_VALUE"""),44972.9849537037)</f>
        <v>44972.984953703701</v>
      </c>
      <c r="C1238" s="1" t="str">
        <f ca="1">IFERROR(__xludf.DUMMYFUNCTION("""COMPUTED_VALUE"""),"completed")</f>
        <v>completed</v>
      </c>
      <c r="D1238" s="26">
        <f ca="1">IFERROR(__xludf.DUMMYFUNCTION("""COMPUTED_VALUE"""),50)</f>
        <v>50</v>
      </c>
      <c r="E1238" s="1"/>
      <c r="F1238" s="87" t="str">
        <f t="shared" ca="1" si="0"/>
        <v>2023</v>
      </c>
      <c r="G1238" s="1" t="str">
        <f ca="1">IFERROR(__xludf.DUMMYFUNCTION("""COMPUTED_VALUE"""),"Lakeshore Lightning Hockey")</f>
        <v>Lakeshore Lightning Hockey</v>
      </c>
      <c r="H1238" s="26">
        <f t="shared" ca="1" si="1"/>
        <v>50</v>
      </c>
      <c r="I1238" s="26">
        <f t="shared" ca="1" si="2"/>
        <v>1</v>
      </c>
      <c r="J1238" s="86">
        <f t="shared" ca="1" si="3"/>
        <v>44972</v>
      </c>
      <c r="R1238" s="26"/>
    </row>
    <row r="1239" spans="1:18" ht="15.75" customHeight="1">
      <c r="A1239" s="26">
        <f ca="1">IFERROR(__xludf.DUMMYFUNCTION("""COMPUTED_VALUE"""),17700)</f>
        <v>17700</v>
      </c>
      <c r="B1239" s="86">
        <f ca="1">IFERROR(__xludf.DUMMYFUNCTION("""COMPUTED_VALUE"""),44972.9848032407)</f>
        <v>44972.984803240703</v>
      </c>
      <c r="C1239" s="1" t="str">
        <f ca="1">IFERROR(__xludf.DUMMYFUNCTION("""COMPUTED_VALUE"""),"draftpics-created")</f>
        <v>draftpics-created</v>
      </c>
      <c r="D1239" s="26">
        <f ca="1">IFERROR(__xludf.DUMMYFUNCTION("""COMPUTED_VALUE"""),55)</f>
        <v>55</v>
      </c>
      <c r="E1239" s="1"/>
      <c r="F1239" s="87" t="str">
        <f t="shared" ca="1" si="0"/>
        <v>2023</v>
      </c>
      <c r="G1239" s="1" t="str">
        <f ca="1">IFERROR(__xludf.DUMMYFUNCTION("""COMPUTED_VALUE"""),"Windsor Aquatic Club")</f>
        <v>Windsor Aquatic Club</v>
      </c>
      <c r="H1239" s="26">
        <f t="shared" ca="1" si="1"/>
        <v>55</v>
      </c>
      <c r="I1239" s="26">
        <f t="shared" ca="1" si="2"/>
        <v>1</v>
      </c>
      <c r="J1239" s="86">
        <f t="shared" ca="1" si="3"/>
        <v>44972</v>
      </c>
      <c r="R1239" s="26"/>
    </row>
    <row r="1240" spans="1:18" ht="15.75" customHeight="1">
      <c r="A1240" s="26">
        <f ca="1">IFERROR(__xludf.DUMMYFUNCTION("""COMPUTED_VALUE"""),17699)</f>
        <v>17699</v>
      </c>
      <c r="B1240" s="86">
        <f ca="1">IFERROR(__xludf.DUMMYFUNCTION("""COMPUTED_VALUE"""),44972.9833333333)</f>
        <v>44972.983333333301</v>
      </c>
      <c r="C1240" s="1" t="str">
        <f ca="1">IFERROR(__xludf.DUMMYFUNCTION("""COMPUTED_VALUE"""),"completed")</f>
        <v>completed</v>
      </c>
      <c r="D1240" s="26">
        <f ca="1">IFERROR(__xludf.DUMMYFUNCTION("""COMPUTED_VALUE"""),55)</f>
        <v>55</v>
      </c>
      <c r="E1240" s="1"/>
      <c r="F1240" s="87" t="str">
        <f t="shared" ca="1" si="0"/>
        <v>2023</v>
      </c>
      <c r="G1240" s="1" t="str">
        <f ca="1">IFERROR(__xludf.DUMMYFUNCTION("""COMPUTED_VALUE"""),"South Point Stars")</f>
        <v>South Point Stars</v>
      </c>
      <c r="H1240" s="26">
        <f t="shared" ca="1" si="1"/>
        <v>55</v>
      </c>
      <c r="I1240" s="26">
        <f t="shared" ca="1" si="2"/>
        <v>1</v>
      </c>
      <c r="J1240" s="86">
        <f t="shared" ca="1" si="3"/>
        <v>44972</v>
      </c>
      <c r="R1240" s="26"/>
    </row>
    <row r="1241" spans="1:18" ht="15.75" customHeight="1">
      <c r="A1241" s="26">
        <f ca="1">IFERROR(__xludf.DUMMYFUNCTION("""COMPUTED_VALUE"""),17698)</f>
        <v>17698</v>
      </c>
      <c r="B1241" s="86">
        <f ca="1">IFERROR(__xludf.DUMMYFUNCTION("""COMPUTED_VALUE"""),44972.9783796296)</f>
        <v>44972.978379629603</v>
      </c>
      <c r="C1241" s="1" t="str">
        <f ca="1">IFERROR(__xludf.DUMMYFUNCTION("""COMPUTED_VALUE"""),"completed")</f>
        <v>completed</v>
      </c>
      <c r="D1241" s="26">
        <f ca="1">IFERROR(__xludf.DUMMYFUNCTION("""COMPUTED_VALUE"""),110)</f>
        <v>110</v>
      </c>
      <c r="E1241" s="1"/>
      <c r="F1241" s="87" t="str">
        <f t="shared" ca="1" si="0"/>
        <v>2023</v>
      </c>
      <c r="G1241" s="1" t="str">
        <f ca="1">IFERROR(__xludf.DUMMYFUNCTION("""COMPUTED_VALUE"""),"Windsor Aquatic Club")</f>
        <v>Windsor Aquatic Club</v>
      </c>
      <c r="H1241" s="26">
        <f t="shared" ca="1" si="1"/>
        <v>110</v>
      </c>
      <c r="I1241" s="26">
        <f t="shared" ca="1" si="2"/>
        <v>1</v>
      </c>
      <c r="J1241" s="86">
        <f t="shared" ca="1" si="3"/>
        <v>44972</v>
      </c>
      <c r="R1241" s="26"/>
    </row>
    <row r="1242" spans="1:18" ht="15.75" customHeight="1">
      <c r="A1242" s="26">
        <f ca="1">IFERROR(__xludf.DUMMYFUNCTION("""COMPUTED_VALUE"""),17697)</f>
        <v>17697</v>
      </c>
      <c r="B1242" s="86">
        <f ca="1">IFERROR(__xludf.DUMMYFUNCTION("""COMPUTED_VALUE"""),44972.9733449073)</f>
        <v>44972.973344907397</v>
      </c>
      <c r="C1242" s="1" t="str">
        <f ca="1">IFERROR(__xludf.DUMMYFUNCTION("""COMPUTED_VALUE"""),"completed")</f>
        <v>completed</v>
      </c>
      <c r="D1242" s="26">
        <f ca="1">IFERROR(__xludf.DUMMYFUNCTION("""COMPUTED_VALUE"""),20)</f>
        <v>20</v>
      </c>
      <c r="E1242" s="1"/>
      <c r="F1242" s="87" t="str">
        <f t="shared" ca="1" si="0"/>
        <v>2023</v>
      </c>
      <c r="G1242" s="1" t="str">
        <f ca="1">IFERROR(__xludf.DUMMYFUNCTION("""COMPUTED_VALUE"""),"Windsor Aquatic Club")</f>
        <v>Windsor Aquatic Club</v>
      </c>
      <c r="H1242" s="26">
        <f t="shared" ca="1" si="1"/>
        <v>20</v>
      </c>
      <c r="I1242" s="26">
        <f t="shared" ca="1" si="2"/>
        <v>1</v>
      </c>
      <c r="J1242" s="86">
        <f t="shared" ca="1" si="3"/>
        <v>44972</v>
      </c>
      <c r="R1242" s="26"/>
    </row>
    <row r="1243" spans="1:18" ht="15.75" customHeight="1">
      <c r="A1243" s="26">
        <f ca="1">IFERROR(__xludf.DUMMYFUNCTION("""COMPUTED_VALUE"""),17696)</f>
        <v>17696</v>
      </c>
      <c r="B1243" s="86">
        <f ca="1">IFERROR(__xludf.DUMMYFUNCTION("""COMPUTED_VALUE"""),44972.971875)</f>
        <v>44972.971875000003</v>
      </c>
      <c r="C1243" s="1" t="str">
        <f ca="1">IFERROR(__xludf.DUMMYFUNCTION("""COMPUTED_VALUE"""),"completed")</f>
        <v>completed</v>
      </c>
      <c r="D1243" s="26">
        <f ca="1">IFERROR(__xludf.DUMMYFUNCTION("""COMPUTED_VALUE"""),55)</f>
        <v>55</v>
      </c>
      <c r="E1243" s="1"/>
      <c r="F1243" s="87" t="str">
        <f t="shared" ca="1" si="0"/>
        <v>2023</v>
      </c>
      <c r="G1243" s="1" t="str">
        <f ca="1">IFERROR(__xludf.DUMMYFUNCTION("""COMPUTED_VALUE"""),"Windsor Aquatic Club")</f>
        <v>Windsor Aquatic Club</v>
      </c>
      <c r="H1243" s="26">
        <f t="shared" ca="1" si="1"/>
        <v>55</v>
      </c>
      <c r="I1243" s="26">
        <f t="shared" ca="1" si="2"/>
        <v>1</v>
      </c>
      <c r="J1243" s="86">
        <f t="shared" ca="1" si="3"/>
        <v>44972</v>
      </c>
      <c r="R1243" s="26"/>
    </row>
    <row r="1244" spans="1:18" ht="15.75" customHeight="1">
      <c r="A1244" s="26">
        <f ca="1">IFERROR(__xludf.DUMMYFUNCTION("""COMPUTED_VALUE"""),17695)</f>
        <v>17695</v>
      </c>
      <c r="B1244" s="86">
        <f ca="1">IFERROR(__xludf.DUMMYFUNCTION("""COMPUTED_VALUE"""),44972.9712152777)</f>
        <v>44972.971215277699</v>
      </c>
      <c r="C1244" s="1" t="str">
        <f ca="1">IFERROR(__xludf.DUMMYFUNCTION("""COMPUTED_VALUE"""),"completed")</f>
        <v>completed</v>
      </c>
      <c r="D1244" s="26">
        <f ca="1">IFERROR(__xludf.DUMMYFUNCTION("""COMPUTED_VALUE"""),53)</f>
        <v>53</v>
      </c>
      <c r="E1244" s="1"/>
      <c r="F1244" s="87" t="str">
        <f t="shared" ca="1" si="0"/>
        <v>2023</v>
      </c>
      <c r="G1244" s="1" t="str">
        <f ca="1">IFERROR(__xludf.DUMMYFUNCTION("""COMPUTED_VALUE"""),"South Point Stars")</f>
        <v>South Point Stars</v>
      </c>
      <c r="H1244" s="26">
        <f t="shared" ca="1" si="1"/>
        <v>53</v>
      </c>
      <c r="I1244" s="26">
        <f t="shared" ca="1" si="2"/>
        <v>1</v>
      </c>
      <c r="J1244" s="86">
        <f t="shared" ca="1" si="3"/>
        <v>44972</v>
      </c>
      <c r="R1244" s="26"/>
    </row>
    <row r="1245" spans="1:18" ht="15.75" customHeight="1">
      <c r="A1245" s="26">
        <f ca="1">IFERROR(__xludf.DUMMYFUNCTION("""COMPUTED_VALUE"""),17694)</f>
        <v>17694</v>
      </c>
      <c r="B1245" s="86">
        <f ca="1">IFERROR(__xludf.DUMMYFUNCTION("""COMPUTED_VALUE"""),44972.9526157407)</f>
        <v>44972.952615740702</v>
      </c>
      <c r="C1245" s="1" t="str">
        <f ca="1">IFERROR(__xludf.DUMMYFUNCTION("""COMPUTED_VALUE"""),"completed")</f>
        <v>completed</v>
      </c>
      <c r="D1245" s="26">
        <f ca="1">IFERROR(__xludf.DUMMYFUNCTION("""COMPUTED_VALUE"""),24)</f>
        <v>24</v>
      </c>
      <c r="E1245" s="1"/>
      <c r="F1245" s="87" t="str">
        <f t="shared" ca="1" si="0"/>
        <v>2023</v>
      </c>
      <c r="G1245" s="1" t="str">
        <f ca="1">IFERROR(__xludf.DUMMYFUNCTION("""COMPUTED_VALUE"""),"Windsor Aquatic Club")</f>
        <v>Windsor Aquatic Club</v>
      </c>
      <c r="H1245" s="26">
        <f t="shared" ca="1" si="1"/>
        <v>24</v>
      </c>
      <c r="I1245" s="26">
        <f t="shared" ca="1" si="2"/>
        <v>1</v>
      </c>
      <c r="J1245" s="86">
        <f t="shared" ca="1" si="3"/>
        <v>44972</v>
      </c>
      <c r="R1245" s="26"/>
    </row>
    <row r="1246" spans="1:18" ht="15.75" customHeight="1">
      <c r="A1246" s="26">
        <f ca="1">IFERROR(__xludf.DUMMYFUNCTION("""COMPUTED_VALUE"""),17693)</f>
        <v>17693</v>
      </c>
      <c r="B1246" s="86">
        <f ca="1">IFERROR(__xludf.DUMMYFUNCTION("""COMPUTED_VALUE"""),44972.9257291666)</f>
        <v>44972.9257291666</v>
      </c>
      <c r="C1246" s="1" t="str">
        <f ca="1">IFERROR(__xludf.DUMMYFUNCTION("""COMPUTED_VALUE"""),"completed")</f>
        <v>completed</v>
      </c>
      <c r="D1246" s="26">
        <f ca="1">IFERROR(__xludf.DUMMYFUNCTION("""COMPUTED_VALUE"""),24)</f>
        <v>24</v>
      </c>
      <c r="E1246" s="1"/>
      <c r="F1246" s="87" t="str">
        <f t="shared" ca="1" si="0"/>
        <v>2023</v>
      </c>
      <c r="G1246" s="1" t="str">
        <f ca="1">IFERROR(__xludf.DUMMYFUNCTION("""COMPUTED_VALUE"""),"Windsor Aquatic Club")</f>
        <v>Windsor Aquatic Club</v>
      </c>
      <c r="H1246" s="26">
        <f t="shared" ca="1" si="1"/>
        <v>24</v>
      </c>
      <c r="I1246" s="26">
        <f t="shared" ca="1" si="2"/>
        <v>1</v>
      </c>
      <c r="J1246" s="86">
        <f t="shared" ca="1" si="3"/>
        <v>44972</v>
      </c>
      <c r="R1246" s="26"/>
    </row>
    <row r="1247" spans="1:18" ht="15.75" customHeight="1">
      <c r="A1247" s="26">
        <f ca="1">IFERROR(__xludf.DUMMYFUNCTION("""COMPUTED_VALUE"""),17692)</f>
        <v>17692</v>
      </c>
      <c r="B1247" s="86">
        <f ca="1">IFERROR(__xludf.DUMMYFUNCTION("""COMPUTED_VALUE"""),44972.9097222222)</f>
        <v>44972.909722222197</v>
      </c>
      <c r="C1247" s="1" t="str">
        <f ca="1">IFERROR(__xludf.DUMMYFUNCTION("""COMPUTED_VALUE"""),"completed")</f>
        <v>completed</v>
      </c>
      <c r="D1247" s="26">
        <f ca="1">IFERROR(__xludf.DUMMYFUNCTION("""COMPUTED_VALUE"""),25)</f>
        <v>25</v>
      </c>
      <c r="E1247" s="1"/>
      <c r="F1247" s="87" t="str">
        <f t="shared" ca="1" si="0"/>
        <v>2023</v>
      </c>
      <c r="G1247" s="1" t="str">
        <f ca="1">IFERROR(__xludf.DUMMYFUNCTION("""COMPUTED_VALUE"""),"Windsor Aquatic Club")</f>
        <v>Windsor Aquatic Club</v>
      </c>
      <c r="H1247" s="26">
        <f t="shared" ca="1" si="1"/>
        <v>25</v>
      </c>
      <c r="I1247" s="26">
        <f t="shared" ca="1" si="2"/>
        <v>1</v>
      </c>
      <c r="J1247" s="86">
        <f t="shared" ca="1" si="3"/>
        <v>44972</v>
      </c>
      <c r="R1247" s="26"/>
    </row>
    <row r="1248" spans="1:18" ht="15.75" customHeight="1">
      <c r="A1248" s="26">
        <f ca="1">IFERROR(__xludf.DUMMYFUNCTION("""COMPUTED_VALUE"""),17691)</f>
        <v>17691</v>
      </c>
      <c r="B1248" s="86">
        <f ca="1">IFERROR(__xludf.DUMMYFUNCTION("""COMPUTED_VALUE"""),44972.8998726851)</f>
        <v>44972.899872685099</v>
      </c>
      <c r="C1248" s="1" t="str">
        <f ca="1">IFERROR(__xludf.DUMMYFUNCTION("""COMPUTED_VALUE"""),"completed")</f>
        <v>completed</v>
      </c>
      <c r="D1248" s="26">
        <f ca="1">IFERROR(__xludf.DUMMYFUNCTION("""COMPUTED_VALUE"""),24)</f>
        <v>24</v>
      </c>
      <c r="E1248" s="1"/>
      <c r="F1248" s="87" t="str">
        <f t="shared" ca="1" si="0"/>
        <v>2023</v>
      </c>
      <c r="G1248" s="1" t="str">
        <f ca="1">IFERROR(__xludf.DUMMYFUNCTION("""COMPUTED_VALUE"""),"Windsor Aquatic Club")</f>
        <v>Windsor Aquatic Club</v>
      </c>
      <c r="H1248" s="26">
        <f t="shared" ca="1" si="1"/>
        <v>24</v>
      </c>
      <c r="I1248" s="26">
        <f t="shared" ca="1" si="2"/>
        <v>1</v>
      </c>
      <c r="J1248" s="86">
        <f t="shared" ca="1" si="3"/>
        <v>44972</v>
      </c>
      <c r="R1248" s="26"/>
    </row>
    <row r="1249" spans="1:18" ht="15.75" customHeight="1">
      <c r="A1249" s="26">
        <f ca="1">IFERROR(__xludf.DUMMYFUNCTION("""COMPUTED_VALUE"""),17690)</f>
        <v>17690</v>
      </c>
      <c r="B1249" s="86">
        <f ca="1">IFERROR(__xludf.DUMMYFUNCTION("""COMPUTED_VALUE"""),44972.8744097222)</f>
        <v>44972.874409722201</v>
      </c>
      <c r="C1249" s="1" t="str">
        <f ca="1">IFERROR(__xludf.DUMMYFUNCTION("""COMPUTED_VALUE"""),"completed")</f>
        <v>completed</v>
      </c>
      <c r="D1249" s="26">
        <f ca="1">IFERROR(__xludf.DUMMYFUNCTION("""COMPUTED_VALUE"""),48)</f>
        <v>48</v>
      </c>
      <c r="E1249" s="1"/>
      <c r="F1249" s="87" t="str">
        <f t="shared" ca="1" si="0"/>
        <v>2023</v>
      </c>
      <c r="G1249" s="1" t="str">
        <f ca="1">IFERROR(__xludf.DUMMYFUNCTION("""COMPUTED_VALUE"""),"South Point Stars")</f>
        <v>South Point Stars</v>
      </c>
      <c r="H1249" s="26">
        <f t="shared" ca="1" si="1"/>
        <v>48</v>
      </c>
      <c r="I1249" s="26">
        <f t="shared" ca="1" si="2"/>
        <v>1</v>
      </c>
      <c r="J1249" s="86">
        <f t="shared" ca="1" si="3"/>
        <v>44972</v>
      </c>
      <c r="R1249" s="26"/>
    </row>
    <row r="1250" spans="1:18" ht="15.75" customHeight="1">
      <c r="A1250" s="26">
        <f ca="1">IFERROR(__xludf.DUMMYFUNCTION("""COMPUTED_VALUE"""),17689)</f>
        <v>17689</v>
      </c>
      <c r="B1250" s="86">
        <f ca="1">IFERROR(__xludf.DUMMYFUNCTION("""COMPUTED_VALUE"""),44972.8705324074)</f>
        <v>44972.870532407404</v>
      </c>
      <c r="C1250" s="1" t="str">
        <f ca="1">IFERROR(__xludf.DUMMYFUNCTION("""COMPUTED_VALUE"""),"completed")</f>
        <v>completed</v>
      </c>
      <c r="D1250" s="26">
        <f ca="1">IFERROR(__xludf.DUMMYFUNCTION("""COMPUTED_VALUE"""),48)</f>
        <v>48</v>
      </c>
      <c r="E1250" s="1"/>
      <c r="F1250" s="87" t="str">
        <f t="shared" ca="1" si="0"/>
        <v>2023</v>
      </c>
      <c r="G1250" s="1" t="str">
        <f ca="1">IFERROR(__xludf.DUMMYFUNCTION("""COMPUTED_VALUE"""),"Windsor Aquatic Club")</f>
        <v>Windsor Aquatic Club</v>
      </c>
      <c r="H1250" s="26">
        <f t="shared" ca="1" si="1"/>
        <v>48</v>
      </c>
      <c r="I1250" s="26">
        <f t="shared" ca="1" si="2"/>
        <v>1</v>
      </c>
      <c r="J1250" s="86">
        <f t="shared" ca="1" si="3"/>
        <v>44972</v>
      </c>
      <c r="R1250" s="26"/>
    </row>
    <row r="1251" spans="1:18" ht="15.75" customHeight="1">
      <c r="A1251" s="26">
        <f ca="1">IFERROR(__xludf.DUMMYFUNCTION("""COMPUTED_VALUE"""),17688)</f>
        <v>17688</v>
      </c>
      <c r="B1251" s="86">
        <f ca="1">IFERROR(__xludf.DUMMYFUNCTION("""COMPUTED_VALUE"""),44972.866886574)</f>
        <v>44972.866886573996</v>
      </c>
      <c r="C1251" s="1" t="str">
        <f ca="1">IFERROR(__xludf.DUMMYFUNCTION("""COMPUTED_VALUE"""),"completed")</f>
        <v>completed</v>
      </c>
      <c r="D1251" s="26">
        <f ca="1">IFERROR(__xludf.DUMMYFUNCTION("""COMPUTED_VALUE"""),20)</f>
        <v>20</v>
      </c>
      <c r="E1251" s="1"/>
      <c r="F1251" s="87" t="str">
        <f t="shared" ca="1" si="0"/>
        <v>2023</v>
      </c>
      <c r="G1251" s="1" t="str">
        <f ca="1">IFERROR(__xludf.DUMMYFUNCTION("""COMPUTED_VALUE"""),"W.M.H.A")</f>
        <v>W.M.H.A</v>
      </c>
      <c r="H1251" s="26">
        <f t="shared" ca="1" si="1"/>
        <v>20</v>
      </c>
      <c r="I1251" s="26">
        <f t="shared" ca="1" si="2"/>
        <v>1</v>
      </c>
      <c r="J1251" s="86">
        <f t="shared" ca="1" si="3"/>
        <v>44972</v>
      </c>
      <c r="R1251" s="26"/>
    </row>
    <row r="1252" spans="1:18" ht="15.75" customHeight="1">
      <c r="A1252" s="26">
        <f ca="1">IFERROR(__xludf.DUMMYFUNCTION("""COMPUTED_VALUE"""),17685)</f>
        <v>17685</v>
      </c>
      <c r="B1252" s="86">
        <f ca="1">IFERROR(__xludf.DUMMYFUNCTION("""COMPUTED_VALUE"""),44972.7305671296)</f>
        <v>44972.730567129598</v>
      </c>
      <c r="C1252" s="1" t="str">
        <f ca="1">IFERROR(__xludf.DUMMYFUNCTION("""COMPUTED_VALUE"""),"completed")</f>
        <v>completed</v>
      </c>
      <c r="D1252" s="26">
        <f ca="1">IFERROR(__xludf.DUMMYFUNCTION("""COMPUTED_VALUE"""),20)</f>
        <v>20</v>
      </c>
      <c r="E1252" s="1"/>
      <c r="F1252" s="87" t="str">
        <f t="shared" ca="1" si="0"/>
        <v>2023</v>
      </c>
      <c r="G1252" s="1" t="str">
        <f ca="1">IFERROR(__xludf.DUMMYFUNCTION("""COMPUTED_VALUE"""),"W.M.H.A")</f>
        <v>W.M.H.A</v>
      </c>
      <c r="H1252" s="26">
        <f t="shared" ca="1" si="1"/>
        <v>20</v>
      </c>
      <c r="I1252" s="26">
        <f t="shared" ca="1" si="2"/>
        <v>1</v>
      </c>
      <c r="J1252" s="86">
        <f t="shared" ca="1" si="3"/>
        <v>44972</v>
      </c>
      <c r="R1252" s="26"/>
    </row>
    <row r="1253" spans="1:18" ht="15.75" customHeight="1">
      <c r="A1253" s="26">
        <f ca="1">IFERROR(__xludf.DUMMYFUNCTION("""COMPUTED_VALUE"""),17684)</f>
        <v>17684</v>
      </c>
      <c r="B1253" s="86">
        <f ca="1">IFERROR(__xludf.DUMMYFUNCTION("""COMPUTED_VALUE"""),44972.6666203703)</f>
        <v>44972.666620370299</v>
      </c>
      <c r="C1253" s="1" t="str">
        <f ca="1">IFERROR(__xludf.DUMMYFUNCTION("""COMPUTED_VALUE"""),"completed")</f>
        <v>completed</v>
      </c>
      <c r="D1253" s="26">
        <f ca="1">IFERROR(__xludf.DUMMYFUNCTION("""COMPUTED_VALUE"""),55)</f>
        <v>55</v>
      </c>
      <c r="E1253" s="1"/>
      <c r="F1253" s="87" t="str">
        <f t="shared" ca="1" si="0"/>
        <v>2023</v>
      </c>
      <c r="G1253" s="1" t="str">
        <f ca="1">IFERROR(__xludf.DUMMYFUNCTION("""COMPUTED_VALUE"""),"Lakeshore Lightning Hockey")</f>
        <v>Lakeshore Lightning Hockey</v>
      </c>
      <c r="H1253" s="26">
        <f t="shared" ca="1" si="1"/>
        <v>55</v>
      </c>
      <c r="I1253" s="26">
        <f t="shared" ca="1" si="2"/>
        <v>1</v>
      </c>
      <c r="J1253" s="86">
        <f t="shared" ca="1" si="3"/>
        <v>44972</v>
      </c>
      <c r="R1253" s="26"/>
    </row>
    <row r="1254" spans="1:18" ht="15.75" customHeight="1">
      <c r="A1254" s="26">
        <f ca="1">IFERROR(__xludf.DUMMYFUNCTION("""COMPUTED_VALUE"""),17683)</f>
        <v>17683</v>
      </c>
      <c r="B1254" s="86">
        <f ca="1">IFERROR(__xludf.DUMMYFUNCTION("""COMPUTED_VALUE"""),44972.6662037037)</f>
        <v>44972.666203703702</v>
      </c>
      <c r="C1254" s="1" t="str">
        <f ca="1">IFERROR(__xludf.DUMMYFUNCTION("""COMPUTED_VALUE"""),"completed")</f>
        <v>completed</v>
      </c>
      <c r="D1254" s="26">
        <f ca="1">IFERROR(__xludf.DUMMYFUNCTION("""COMPUTED_VALUE"""),15)</f>
        <v>15</v>
      </c>
      <c r="E1254" s="1"/>
      <c r="F1254" s="87" t="str">
        <f t="shared" ca="1" si="0"/>
        <v>2023</v>
      </c>
      <c r="G1254" s="1" t="str">
        <f ca="1">IFERROR(__xludf.DUMMYFUNCTION("""COMPUTED_VALUE"""),"W.M.H.A")</f>
        <v>W.M.H.A</v>
      </c>
      <c r="H1254" s="26">
        <f t="shared" ca="1" si="1"/>
        <v>15</v>
      </c>
      <c r="I1254" s="26">
        <f t="shared" ca="1" si="2"/>
        <v>1</v>
      </c>
      <c r="J1254" s="86">
        <f t="shared" ca="1" si="3"/>
        <v>44972</v>
      </c>
      <c r="R1254" s="26"/>
    </row>
    <row r="1255" spans="1:18" ht="15.75" customHeight="1">
      <c r="A1255" s="26">
        <f ca="1">IFERROR(__xludf.DUMMYFUNCTION("""COMPUTED_VALUE"""),17680)</f>
        <v>17680</v>
      </c>
      <c r="B1255" s="86">
        <f ca="1">IFERROR(__xludf.DUMMYFUNCTION("""COMPUTED_VALUE"""),44972.5767824074)</f>
        <v>44972.576782407399</v>
      </c>
      <c r="C1255" s="1" t="str">
        <f ca="1">IFERROR(__xludf.DUMMYFUNCTION("""COMPUTED_VALUE"""),"completed")</f>
        <v>completed</v>
      </c>
      <c r="D1255" s="26">
        <f ca="1">IFERROR(__xludf.DUMMYFUNCTION("""COMPUTED_VALUE"""),25)</f>
        <v>25</v>
      </c>
      <c r="E1255" s="1"/>
      <c r="F1255" s="87" t="str">
        <f t="shared" ca="1" si="0"/>
        <v>2023</v>
      </c>
      <c r="G1255" s="1" t="str">
        <f ca="1">IFERROR(__xludf.DUMMYFUNCTION("""COMPUTED_VALUE"""),"W.M.H.A")</f>
        <v>W.M.H.A</v>
      </c>
      <c r="H1255" s="26">
        <f t="shared" ca="1" si="1"/>
        <v>25</v>
      </c>
      <c r="I1255" s="26">
        <f t="shared" ca="1" si="2"/>
        <v>1</v>
      </c>
      <c r="J1255" s="86">
        <f t="shared" ca="1" si="3"/>
        <v>44972</v>
      </c>
      <c r="R1255" s="26"/>
    </row>
    <row r="1256" spans="1:18" ht="15.75" customHeight="1">
      <c r="A1256" s="26">
        <f ca="1">IFERROR(__xludf.DUMMYFUNCTION("""COMPUTED_VALUE"""),17679)</f>
        <v>17679</v>
      </c>
      <c r="B1256" s="86">
        <f ca="1">IFERROR(__xludf.DUMMYFUNCTION("""COMPUTED_VALUE"""),44972.565474537)</f>
        <v>44972.565474536997</v>
      </c>
      <c r="C1256" s="1" t="str">
        <f ca="1">IFERROR(__xludf.DUMMYFUNCTION("""COMPUTED_VALUE"""),"completed")</f>
        <v>completed</v>
      </c>
      <c r="D1256" s="26">
        <f ca="1">IFERROR(__xludf.DUMMYFUNCTION("""COMPUTED_VALUE"""),15)</f>
        <v>15</v>
      </c>
      <c r="E1256" s="1"/>
      <c r="F1256" s="87" t="str">
        <f t="shared" ca="1" si="0"/>
        <v>2023</v>
      </c>
      <c r="G1256" s="1" t="str">
        <f ca="1">IFERROR(__xludf.DUMMYFUNCTION("""COMPUTED_VALUE"""),"W.M.H.A")</f>
        <v>W.M.H.A</v>
      </c>
      <c r="H1256" s="26">
        <f t="shared" ca="1" si="1"/>
        <v>15</v>
      </c>
      <c r="I1256" s="26">
        <f t="shared" ca="1" si="2"/>
        <v>1</v>
      </c>
      <c r="J1256" s="86">
        <f t="shared" ca="1" si="3"/>
        <v>44972</v>
      </c>
      <c r="R1256" s="26"/>
    </row>
    <row r="1257" spans="1:18" ht="15.75" customHeight="1">
      <c r="A1257" s="26">
        <f ca="1">IFERROR(__xludf.DUMMYFUNCTION("""COMPUTED_VALUE"""),17678)</f>
        <v>17678</v>
      </c>
      <c r="B1257" s="86">
        <f ca="1">IFERROR(__xludf.DUMMYFUNCTION("""COMPUTED_VALUE"""),44972.5586805555)</f>
        <v>44972.558680555499</v>
      </c>
      <c r="C1257" s="1" t="str">
        <f ca="1">IFERROR(__xludf.DUMMYFUNCTION("""COMPUTED_VALUE"""),"completed")</f>
        <v>completed</v>
      </c>
      <c r="D1257" s="26">
        <f ca="1">IFERROR(__xludf.DUMMYFUNCTION("""COMPUTED_VALUE"""),40)</f>
        <v>40</v>
      </c>
      <c r="E1257" s="1"/>
      <c r="F1257" s="87" t="str">
        <f t="shared" ca="1" si="0"/>
        <v>2023</v>
      </c>
      <c r="G1257" s="1" t="str">
        <f ca="1">IFERROR(__xludf.DUMMYFUNCTION("""COMPUTED_VALUE"""),"W.M.H.A")</f>
        <v>W.M.H.A</v>
      </c>
      <c r="H1257" s="26">
        <f t="shared" ca="1" si="1"/>
        <v>40</v>
      </c>
      <c r="I1257" s="26">
        <f t="shared" ca="1" si="2"/>
        <v>1</v>
      </c>
      <c r="J1257" s="86">
        <f t="shared" ca="1" si="3"/>
        <v>44972</v>
      </c>
      <c r="R1257" s="26"/>
    </row>
    <row r="1258" spans="1:18" ht="15.75" customHeight="1">
      <c r="A1258" s="26">
        <f ca="1">IFERROR(__xludf.DUMMYFUNCTION("""COMPUTED_VALUE"""),17676)</f>
        <v>17676</v>
      </c>
      <c r="B1258" s="86">
        <f ca="1">IFERROR(__xludf.DUMMYFUNCTION("""COMPUTED_VALUE"""),44972.1496643518)</f>
        <v>44972.149664351797</v>
      </c>
      <c r="C1258" s="1" t="str">
        <f ca="1">IFERROR(__xludf.DUMMYFUNCTION("""COMPUTED_VALUE"""),"completed")</f>
        <v>completed</v>
      </c>
      <c r="D1258" s="26">
        <f ca="1">IFERROR(__xludf.DUMMYFUNCTION("""COMPUTED_VALUE"""),38)</f>
        <v>38</v>
      </c>
      <c r="E1258" s="1"/>
      <c r="F1258" s="87" t="str">
        <f t="shared" ca="1" si="0"/>
        <v>2023</v>
      </c>
      <c r="G1258" s="1" t="str">
        <f ca="1">IFERROR(__xludf.DUMMYFUNCTION("""COMPUTED_VALUE"""),"Kingsville Minor Baseball Assoc.")</f>
        <v>Kingsville Minor Baseball Assoc.</v>
      </c>
      <c r="H1258" s="26">
        <f t="shared" ca="1" si="1"/>
        <v>38</v>
      </c>
      <c r="I1258" s="26">
        <f t="shared" ca="1" si="2"/>
        <v>1</v>
      </c>
      <c r="J1258" s="86">
        <f t="shared" ca="1" si="3"/>
        <v>44972</v>
      </c>
      <c r="R1258" s="26"/>
    </row>
    <row r="1259" spans="1:18" ht="15.75" customHeight="1">
      <c r="A1259" s="26">
        <f ca="1">IFERROR(__xludf.DUMMYFUNCTION("""COMPUTED_VALUE"""),17674)</f>
        <v>17674</v>
      </c>
      <c r="B1259" s="86">
        <f ca="1">IFERROR(__xludf.DUMMYFUNCTION("""COMPUTED_VALUE"""),44971.0789467592)</f>
        <v>44971.078946759197</v>
      </c>
      <c r="C1259" s="1" t="str">
        <f ca="1">IFERROR(__xludf.DUMMYFUNCTION("""COMPUTED_VALUE"""),"completed")</f>
        <v>completed</v>
      </c>
      <c r="D1259" s="26">
        <f ca="1">IFERROR(__xludf.DUMMYFUNCTION("""COMPUTED_VALUE"""),30)</f>
        <v>30</v>
      </c>
      <c r="E1259" s="1"/>
      <c r="F1259" s="87" t="str">
        <f t="shared" ca="1" si="0"/>
        <v>2023</v>
      </c>
      <c r="G1259" s="1" t="str">
        <f ca="1">IFERROR(__xludf.DUMMYFUNCTION("""COMPUTED_VALUE"""),"W.M.H.A")</f>
        <v>W.M.H.A</v>
      </c>
      <c r="H1259" s="26">
        <f t="shared" ca="1" si="1"/>
        <v>30</v>
      </c>
      <c r="I1259" s="26">
        <f t="shared" ca="1" si="2"/>
        <v>1</v>
      </c>
      <c r="J1259" s="86">
        <f t="shared" ca="1" si="3"/>
        <v>44971</v>
      </c>
      <c r="R1259" s="26"/>
    </row>
    <row r="1260" spans="1:18" ht="15.75" customHeight="1">
      <c r="A1260" s="26">
        <f ca="1">IFERROR(__xludf.DUMMYFUNCTION("""COMPUTED_VALUE"""),17673)</f>
        <v>17673</v>
      </c>
      <c r="B1260" s="86">
        <f ca="1">IFERROR(__xludf.DUMMYFUNCTION("""COMPUTED_VALUE"""),44970.9054050925)</f>
        <v>44970.905405092497</v>
      </c>
      <c r="C1260" s="1" t="str">
        <f ca="1">IFERROR(__xludf.DUMMYFUNCTION("""COMPUTED_VALUE"""),"completed")</f>
        <v>completed</v>
      </c>
      <c r="D1260" s="26">
        <f ca="1">IFERROR(__xludf.DUMMYFUNCTION("""COMPUTED_VALUE"""),43)</f>
        <v>43</v>
      </c>
      <c r="E1260" s="1"/>
      <c r="F1260" s="87" t="str">
        <f t="shared" ca="1" si="0"/>
        <v>2023</v>
      </c>
      <c r="G1260" s="1" t="str">
        <f ca="1">IFERROR(__xludf.DUMMYFUNCTION("""COMPUTED_VALUE"""),"Windsor Aquatic Club")</f>
        <v>Windsor Aquatic Club</v>
      </c>
      <c r="H1260" s="26">
        <f t="shared" ca="1" si="1"/>
        <v>43</v>
      </c>
      <c r="I1260" s="26">
        <f t="shared" ca="1" si="2"/>
        <v>1</v>
      </c>
      <c r="J1260" s="86">
        <f t="shared" ca="1" si="3"/>
        <v>44970</v>
      </c>
      <c r="R1260" s="26"/>
    </row>
    <row r="1261" spans="1:18" ht="15.75" customHeight="1">
      <c r="A1261" s="26">
        <f ca="1">IFERROR(__xludf.DUMMYFUNCTION("""COMPUTED_VALUE"""),17592)</f>
        <v>17592</v>
      </c>
      <c r="B1261" s="86">
        <f ca="1">IFERROR(__xludf.DUMMYFUNCTION("""COMPUTED_VALUE"""),44950.7698958333)</f>
        <v>44950.769895833299</v>
      </c>
      <c r="C1261" s="1" t="str">
        <f ca="1">IFERROR(__xludf.DUMMYFUNCTION("""COMPUTED_VALUE"""),"completed")</f>
        <v>completed</v>
      </c>
      <c r="D1261" s="26">
        <f ca="1">IFERROR(__xludf.DUMMYFUNCTION("""COMPUTED_VALUE"""),13.5)</f>
        <v>13.5</v>
      </c>
      <c r="E1261" s="1"/>
      <c r="F1261" s="87" t="str">
        <f t="shared" ca="1" si="0"/>
        <v>2023</v>
      </c>
      <c r="G1261" s="1" t="str">
        <f ca="1">IFERROR(__xludf.DUMMYFUNCTION("""COMPUTED_VALUE"""),"W.M.H.A")</f>
        <v>W.M.H.A</v>
      </c>
      <c r="H1261" s="26">
        <f t="shared" ca="1" si="1"/>
        <v>13.5</v>
      </c>
      <c r="I1261" s="26">
        <f t="shared" ca="1" si="2"/>
        <v>1</v>
      </c>
      <c r="J1261" s="86">
        <f t="shared" ca="1" si="3"/>
        <v>44950</v>
      </c>
      <c r="R1261" s="26"/>
    </row>
    <row r="1262" spans="1:18" ht="15.75" customHeight="1">
      <c r="A1262" s="26">
        <f ca="1">IFERROR(__xludf.DUMMYFUNCTION("""COMPUTED_VALUE"""),17591)</f>
        <v>17591</v>
      </c>
      <c r="B1262" s="86">
        <f ca="1">IFERROR(__xludf.DUMMYFUNCTION("""COMPUTED_VALUE"""),44950.6095138888)</f>
        <v>44950.609513888798</v>
      </c>
      <c r="C1262" s="1" t="str">
        <f ca="1">IFERROR(__xludf.DUMMYFUNCTION("""COMPUTED_VALUE"""),"completed")</f>
        <v>completed</v>
      </c>
      <c r="D1262" s="26">
        <f ca="1">IFERROR(__xludf.DUMMYFUNCTION("""COMPUTED_VALUE"""),30)</f>
        <v>30</v>
      </c>
      <c r="E1262" s="1"/>
      <c r="F1262" s="87" t="str">
        <f t="shared" ca="1" si="0"/>
        <v>2023</v>
      </c>
      <c r="G1262" s="1" t="str">
        <f ca="1">IFERROR(__xludf.DUMMYFUNCTION("""COMPUTED_VALUE"""),"Windsor Aquatic Club")</f>
        <v>Windsor Aquatic Club</v>
      </c>
      <c r="H1262" s="26">
        <f t="shared" ca="1" si="1"/>
        <v>30</v>
      </c>
      <c r="I1262" s="26">
        <f t="shared" ca="1" si="2"/>
        <v>1</v>
      </c>
      <c r="J1262" s="86">
        <f t="shared" ca="1" si="3"/>
        <v>44950</v>
      </c>
      <c r="R1262" s="26"/>
    </row>
    <row r="1263" spans="1:18" ht="15.75" customHeight="1">
      <c r="A1263" s="26">
        <f ca="1">IFERROR(__xludf.DUMMYFUNCTION("""COMPUTED_VALUE"""),17549)</f>
        <v>17549</v>
      </c>
      <c r="B1263" s="86">
        <f ca="1">IFERROR(__xludf.DUMMYFUNCTION("""COMPUTED_VALUE"""),44948.0410763888)</f>
        <v>44948.041076388799</v>
      </c>
      <c r="C1263" s="1" t="str">
        <f ca="1">IFERROR(__xludf.DUMMYFUNCTION("""COMPUTED_VALUE"""),"completed")</f>
        <v>completed</v>
      </c>
      <c r="D1263" s="26">
        <f ca="1">IFERROR(__xludf.DUMMYFUNCTION("""COMPUTED_VALUE"""),35)</f>
        <v>35</v>
      </c>
      <c r="E1263" s="1"/>
      <c r="F1263" s="87" t="str">
        <f t="shared" ca="1" si="0"/>
        <v>2023</v>
      </c>
      <c r="G1263" s="1" t="str">
        <f ca="1">IFERROR(__xludf.DUMMYFUNCTION("""COMPUTED_VALUE"""),"Sun County Panthers Hockey")</f>
        <v>Sun County Panthers Hockey</v>
      </c>
      <c r="H1263" s="26">
        <f t="shared" ca="1" si="1"/>
        <v>35</v>
      </c>
      <c r="I1263" s="26">
        <f t="shared" ca="1" si="2"/>
        <v>1</v>
      </c>
      <c r="J1263" s="86">
        <f t="shared" ca="1" si="3"/>
        <v>44948</v>
      </c>
      <c r="R1263" s="26"/>
    </row>
    <row r="1264" spans="1:18" ht="15.75" customHeight="1">
      <c r="A1264" s="26">
        <f ca="1">IFERROR(__xludf.DUMMYFUNCTION("""COMPUTED_VALUE"""),17540)</f>
        <v>17540</v>
      </c>
      <c r="B1264" s="86">
        <f ca="1">IFERROR(__xludf.DUMMYFUNCTION("""COMPUTED_VALUE"""),44944.7327199074)</f>
        <v>44944.732719907399</v>
      </c>
      <c r="C1264" s="1" t="str">
        <f ca="1">IFERROR(__xludf.DUMMYFUNCTION("""COMPUTED_VALUE"""),"completed")</f>
        <v>completed</v>
      </c>
      <c r="D1264" s="26">
        <f ca="1">IFERROR(__xludf.DUMMYFUNCTION("""COMPUTED_VALUE"""),0)</f>
        <v>0</v>
      </c>
      <c r="E1264" s="1"/>
      <c r="F1264" s="87" t="str">
        <f t="shared" ca="1" si="0"/>
        <v>2023</v>
      </c>
      <c r="G1264" s="1" t="str">
        <f ca="1">IFERROR(__xludf.DUMMYFUNCTION("""COMPUTED_VALUE"""),"Windsor Aquatic Club")</f>
        <v>Windsor Aquatic Club</v>
      </c>
      <c r="H1264" s="26">
        <f t="shared" ca="1" si="1"/>
        <v>0</v>
      </c>
      <c r="I1264" s="26">
        <f t="shared" ca="1" si="2"/>
        <v>1</v>
      </c>
      <c r="J1264" s="86">
        <f t="shared" ca="1" si="3"/>
        <v>44944</v>
      </c>
      <c r="R1264" s="26"/>
    </row>
    <row r="1265" spans="1:18" ht="15.75" customHeight="1">
      <c r="A1265" s="26">
        <f ca="1">IFERROR(__xludf.DUMMYFUNCTION("""COMPUTED_VALUE"""),17539)</f>
        <v>17539</v>
      </c>
      <c r="B1265" s="86">
        <f ca="1">IFERROR(__xludf.DUMMYFUNCTION("""COMPUTED_VALUE"""),44943.9325347222)</f>
        <v>44943.932534722197</v>
      </c>
      <c r="C1265" s="1" t="str">
        <f ca="1">IFERROR(__xludf.DUMMYFUNCTION("""COMPUTED_VALUE"""),"completed")</f>
        <v>completed</v>
      </c>
      <c r="D1265" s="26">
        <f ca="1">IFERROR(__xludf.DUMMYFUNCTION("""COMPUTED_VALUE"""),49)</f>
        <v>49</v>
      </c>
      <c r="E1265" s="1"/>
      <c r="F1265" s="87" t="str">
        <f t="shared" ca="1" si="0"/>
        <v>2023</v>
      </c>
      <c r="G1265" s="1" t="str">
        <f ca="1">IFERROR(__xludf.DUMMYFUNCTION("""COMPUTED_VALUE"""),"Windsor Aquatic Club")</f>
        <v>Windsor Aquatic Club</v>
      </c>
      <c r="H1265" s="26">
        <f t="shared" ca="1" si="1"/>
        <v>49</v>
      </c>
      <c r="I1265" s="26">
        <f t="shared" ca="1" si="2"/>
        <v>1</v>
      </c>
      <c r="J1265" s="86">
        <f t="shared" ca="1" si="3"/>
        <v>44943</v>
      </c>
      <c r="R1265" s="26"/>
    </row>
    <row r="1266" spans="1:18" ht="15.75" customHeight="1">
      <c r="A1266" s="26">
        <f ca="1">IFERROR(__xludf.DUMMYFUNCTION("""COMPUTED_VALUE"""),17538)</f>
        <v>17538</v>
      </c>
      <c r="B1266" s="86">
        <f ca="1">IFERROR(__xludf.DUMMYFUNCTION("""COMPUTED_VALUE"""),44943.8784606481)</f>
        <v>44943.878460648099</v>
      </c>
      <c r="C1266" s="1" t="str">
        <f ca="1">IFERROR(__xludf.DUMMYFUNCTION("""COMPUTED_VALUE"""),"completed")</f>
        <v>completed</v>
      </c>
      <c r="D1266" s="26">
        <f ca="1">IFERROR(__xludf.DUMMYFUNCTION("""COMPUTED_VALUE"""),25)</f>
        <v>25</v>
      </c>
      <c r="E1266" s="1"/>
      <c r="F1266" s="87" t="str">
        <f t="shared" ca="1" si="0"/>
        <v>2023</v>
      </c>
      <c r="G1266" s="1" t="str">
        <f ca="1">IFERROR(__xludf.DUMMYFUNCTION("""COMPUTED_VALUE"""),"Windsor Aquatic Club")</f>
        <v>Windsor Aquatic Club</v>
      </c>
      <c r="H1266" s="26">
        <f t="shared" ca="1" si="1"/>
        <v>25</v>
      </c>
      <c r="I1266" s="26">
        <f t="shared" ca="1" si="2"/>
        <v>1</v>
      </c>
      <c r="J1266" s="86">
        <f t="shared" ca="1" si="3"/>
        <v>44943</v>
      </c>
      <c r="R1266" s="26"/>
    </row>
    <row r="1267" spans="1:18" ht="15.75" customHeight="1">
      <c r="A1267" s="26">
        <f ca="1">IFERROR(__xludf.DUMMYFUNCTION("""COMPUTED_VALUE"""),17536)</f>
        <v>17536</v>
      </c>
      <c r="B1267" s="86">
        <f ca="1">IFERROR(__xludf.DUMMYFUNCTION("""COMPUTED_VALUE"""),44942.6911111111)</f>
        <v>44942.691111111097</v>
      </c>
      <c r="C1267" s="1" t="str">
        <f ca="1">IFERROR(__xludf.DUMMYFUNCTION("""COMPUTED_VALUE"""),"completed")</f>
        <v>completed</v>
      </c>
      <c r="D1267" s="26">
        <f ca="1">IFERROR(__xludf.DUMMYFUNCTION("""COMPUTED_VALUE"""),48)</f>
        <v>48</v>
      </c>
      <c r="E1267" s="1"/>
      <c r="F1267" s="87" t="str">
        <f t="shared" ca="1" si="0"/>
        <v>2023</v>
      </c>
      <c r="G1267" s="1" t="str">
        <f ca="1">IFERROR(__xludf.DUMMYFUNCTION("""COMPUTED_VALUE"""),"Windsor Aquatic Club")</f>
        <v>Windsor Aquatic Club</v>
      </c>
      <c r="H1267" s="26">
        <f t="shared" ca="1" si="1"/>
        <v>48</v>
      </c>
      <c r="I1267" s="26">
        <f t="shared" ca="1" si="2"/>
        <v>1</v>
      </c>
      <c r="J1267" s="86">
        <f t="shared" ca="1" si="3"/>
        <v>44942</v>
      </c>
      <c r="R1267" s="26"/>
    </row>
    <row r="1268" spans="1:18" ht="15.75" customHeight="1">
      <c r="A1268" s="26">
        <f ca="1">IFERROR(__xludf.DUMMYFUNCTION("""COMPUTED_VALUE"""),17533)</f>
        <v>17533</v>
      </c>
      <c r="B1268" s="86">
        <f ca="1">IFERROR(__xludf.DUMMYFUNCTION("""COMPUTED_VALUE"""),44941.9509722222)</f>
        <v>44941.950972222199</v>
      </c>
      <c r="C1268" s="1" t="str">
        <f ca="1">IFERROR(__xludf.DUMMYFUNCTION("""COMPUTED_VALUE"""),"completed")</f>
        <v>completed</v>
      </c>
      <c r="D1268" s="26">
        <f ca="1">IFERROR(__xludf.DUMMYFUNCTION("""COMPUTED_VALUE"""),83)</f>
        <v>83</v>
      </c>
      <c r="E1268" s="1"/>
      <c r="F1268" s="87" t="str">
        <f t="shared" ca="1" si="0"/>
        <v>2023</v>
      </c>
      <c r="G1268" s="1" t="str">
        <f ca="1">IFERROR(__xludf.DUMMYFUNCTION("""COMPUTED_VALUE"""),"Sun County Panthers Hockey")</f>
        <v>Sun County Panthers Hockey</v>
      </c>
      <c r="H1268" s="26">
        <f t="shared" ca="1" si="1"/>
        <v>83</v>
      </c>
      <c r="I1268" s="26">
        <f t="shared" ca="1" si="2"/>
        <v>1</v>
      </c>
      <c r="J1268" s="86">
        <f t="shared" ca="1" si="3"/>
        <v>44941</v>
      </c>
      <c r="R1268" s="26"/>
    </row>
    <row r="1269" spans="1:18" ht="15.75" customHeight="1">
      <c r="A1269" s="26">
        <f ca="1">IFERROR(__xludf.DUMMYFUNCTION("""COMPUTED_VALUE"""),17532)</f>
        <v>17532</v>
      </c>
      <c r="B1269" s="86">
        <f ca="1">IFERROR(__xludf.DUMMYFUNCTION("""COMPUTED_VALUE"""),44940.5618287037)</f>
        <v>44940.5618287037</v>
      </c>
      <c r="C1269" s="1" t="str">
        <f ca="1">IFERROR(__xludf.DUMMYFUNCTION("""COMPUTED_VALUE"""),"completed")</f>
        <v>completed</v>
      </c>
      <c r="D1269" s="26">
        <f ca="1">IFERROR(__xludf.DUMMYFUNCTION("""COMPUTED_VALUE"""),20)</f>
        <v>20</v>
      </c>
      <c r="E1269" s="1"/>
      <c r="F1269" s="87" t="str">
        <f t="shared" ca="1" si="0"/>
        <v>2023</v>
      </c>
      <c r="G1269" s="1" t="str">
        <f ca="1">IFERROR(__xludf.DUMMYFUNCTION("""COMPUTED_VALUE"""),"Windsor Aquatic Club")</f>
        <v>Windsor Aquatic Club</v>
      </c>
      <c r="H1269" s="26">
        <f t="shared" ca="1" si="1"/>
        <v>20</v>
      </c>
      <c r="I1269" s="26">
        <f t="shared" ca="1" si="2"/>
        <v>1</v>
      </c>
      <c r="J1269" s="86">
        <f t="shared" ca="1" si="3"/>
        <v>44940</v>
      </c>
      <c r="R1269" s="26"/>
    </row>
    <row r="1270" spans="1:18" ht="15.75" customHeight="1">
      <c r="A1270" s="26">
        <f ca="1">IFERROR(__xludf.DUMMYFUNCTION("""COMPUTED_VALUE"""),17446)</f>
        <v>17446</v>
      </c>
      <c r="B1270" s="86">
        <f ca="1">IFERROR(__xludf.DUMMYFUNCTION("""COMPUTED_VALUE"""),44936.1610416666)</f>
        <v>44936.161041666601</v>
      </c>
      <c r="C1270" s="1" t="str">
        <f ca="1">IFERROR(__xludf.DUMMYFUNCTION("""COMPUTED_VALUE"""),"completed")</f>
        <v>completed</v>
      </c>
      <c r="D1270" s="26">
        <f ca="1">IFERROR(__xludf.DUMMYFUNCTION("""COMPUTED_VALUE"""),60)</f>
        <v>60</v>
      </c>
      <c r="E1270" s="1"/>
      <c r="F1270" s="87" t="str">
        <f t="shared" ca="1" si="0"/>
        <v>2023</v>
      </c>
      <c r="G1270" s="1" t="str">
        <f ca="1">IFERROR(__xludf.DUMMYFUNCTION("""COMPUTED_VALUE"""),"Windsor Aquatic Club")</f>
        <v>Windsor Aquatic Club</v>
      </c>
      <c r="H1270" s="26">
        <f t="shared" ca="1" si="1"/>
        <v>60</v>
      </c>
      <c r="I1270" s="26">
        <f t="shared" ca="1" si="2"/>
        <v>1</v>
      </c>
      <c r="J1270" s="86">
        <f t="shared" ca="1" si="3"/>
        <v>44936</v>
      </c>
      <c r="R1270" s="26"/>
    </row>
    <row r="1271" spans="1:18" ht="15.75" customHeight="1">
      <c r="A1271" s="26">
        <f ca="1">IFERROR(__xludf.DUMMYFUNCTION("""COMPUTED_VALUE"""),17428)</f>
        <v>17428</v>
      </c>
      <c r="B1271" s="86">
        <f ca="1">IFERROR(__xludf.DUMMYFUNCTION("""COMPUTED_VALUE"""),44934.8524768518)</f>
        <v>44934.852476851796</v>
      </c>
      <c r="C1271" s="1" t="str">
        <f ca="1">IFERROR(__xludf.DUMMYFUNCTION("""COMPUTED_VALUE"""),"completed")</f>
        <v>completed</v>
      </c>
      <c r="D1271" s="26">
        <f ca="1">IFERROR(__xludf.DUMMYFUNCTION("""COMPUTED_VALUE"""),39)</f>
        <v>39</v>
      </c>
      <c r="E1271" s="1"/>
      <c r="F1271" s="87" t="str">
        <f t="shared" ca="1" si="0"/>
        <v>2023</v>
      </c>
      <c r="G1271" s="1" t="str">
        <f ca="1">IFERROR(__xludf.DUMMYFUNCTION("""COMPUTED_VALUE"""),"Windsor Aquatic Club")</f>
        <v>Windsor Aquatic Club</v>
      </c>
      <c r="H1271" s="26">
        <f t="shared" ca="1" si="1"/>
        <v>39</v>
      </c>
      <c r="I1271" s="26">
        <f t="shared" ca="1" si="2"/>
        <v>1</v>
      </c>
      <c r="J1271" s="86">
        <f t="shared" ca="1" si="3"/>
        <v>44934</v>
      </c>
      <c r="R1271" s="26"/>
    </row>
    <row r="1272" spans="1:18" ht="15.75" customHeight="1">
      <c r="A1272" s="26">
        <f ca="1">IFERROR(__xludf.DUMMYFUNCTION("""COMPUTED_VALUE"""),17192)</f>
        <v>17192</v>
      </c>
      <c r="B1272" s="86">
        <f ca="1">IFERROR(__xludf.DUMMYFUNCTION("""COMPUTED_VALUE"""),44927.6313310185)</f>
        <v>44927.6313310185</v>
      </c>
      <c r="C1272" s="1" t="str">
        <f ca="1">IFERROR(__xludf.DUMMYFUNCTION("""COMPUTED_VALUE"""),"completed")</f>
        <v>completed</v>
      </c>
      <c r="D1272" s="26">
        <f ca="1">IFERROR(__xludf.DUMMYFUNCTION("""COMPUTED_VALUE"""),20)</f>
        <v>20</v>
      </c>
      <c r="E1272" s="1"/>
      <c r="F1272" s="87" t="str">
        <f t="shared" ca="1" si="0"/>
        <v>2023</v>
      </c>
      <c r="G1272" s="1" t="str">
        <f ca="1">IFERROR(__xludf.DUMMYFUNCTION("""COMPUTED_VALUE"""),"Windsor Aquatic Club")</f>
        <v>Windsor Aquatic Club</v>
      </c>
      <c r="H1272" s="26">
        <f t="shared" ca="1" si="1"/>
        <v>20</v>
      </c>
      <c r="I1272" s="26">
        <f t="shared" ca="1" si="2"/>
        <v>1</v>
      </c>
      <c r="J1272" s="86">
        <f t="shared" ca="1" si="3"/>
        <v>44927</v>
      </c>
      <c r="R1272" s="26"/>
    </row>
    <row r="1273" spans="1:18" ht="15.75" customHeight="1">
      <c r="A1273" s="26">
        <f ca="1">IFERROR(__xludf.DUMMYFUNCTION("""COMPUTED_VALUE"""),17189)</f>
        <v>17189</v>
      </c>
      <c r="B1273" s="86">
        <f ca="1">IFERROR(__xludf.DUMMYFUNCTION("""COMPUTED_VALUE"""),44923.0342476851)</f>
        <v>44923.0342476851</v>
      </c>
      <c r="C1273" s="1" t="str">
        <f ca="1">IFERROR(__xludf.DUMMYFUNCTION("""COMPUTED_VALUE"""),"completed")</f>
        <v>completed</v>
      </c>
      <c r="D1273" s="26">
        <f ca="1">IFERROR(__xludf.DUMMYFUNCTION("""COMPUTED_VALUE"""),64)</f>
        <v>64</v>
      </c>
      <c r="E1273" s="1"/>
      <c r="F1273" s="87" t="str">
        <f t="shared" ca="1" si="0"/>
        <v>2022</v>
      </c>
      <c r="G1273" s="1" t="str">
        <f ca="1">IFERROR(__xludf.DUMMYFUNCTION("""COMPUTED_VALUE"""),"Essex Thunder Minor Hockey")</f>
        <v>Essex Thunder Minor Hockey</v>
      </c>
      <c r="H1273" s="26">
        <f t="shared" ca="1" si="1"/>
        <v>64</v>
      </c>
      <c r="I1273" s="26">
        <f t="shared" ca="1" si="2"/>
        <v>1</v>
      </c>
      <c r="J1273" s="86">
        <f t="shared" ca="1" si="3"/>
        <v>44923</v>
      </c>
      <c r="R1273" s="26"/>
    </row>
    <row r="1274" spans="1:18" ht="15.75" customHeight="1">
      <c r="A1274" s="26">
        <f ca="1">IFERROR(__xludf.DUMMYFUNCTION("""COMPUTED_VALUE"""),17070)</f>
        <v>17070</v>
      </c>
      <c r="B1274" s="86">
        <f ca="1">IFERROR(__xludf.DUMMYFUNCTION("""COMPUTED_VALUE"""),44918.1505787037)</f>
        <v>44918.150578703702</v>
      </c>
      <c r="C1274" s="1" t="str">
        <f ca="1">IFERROR(__xludf.DUMMYFUNCTION("""COMPUTED_VALUE"""),"completed")</f>
        <v>completed</v>
      </c>
      <c r="D1274" s="26">
        <f ca="1">IFERROR(__xludf.DUMMYFUNCTION("""COMPUTED_VALUE"""),47)</f>
        <v>47</v>
      </c>
      <c r="E1274" s="1"/>
      <c r="F1274" s="87" t="str">
        <f t="shared" ca="1" si="0"/>
        <v>2022</v>
      </c>
      <c r="G1274" s="1" t="str">
        <f ca="1">IFERROR(__xludf.DUMMYFUNCTION("""COMPUTED_VALUE"""),"Lakeshore Lightning Hockey")</f>
        <v>Lakeshore Lightning Hockey</v>
      </c>
      <c r="H1274" s="26">
        <f t="shared" ca="1" si="1"/>
        <v>47</v>
      </c>
      <c r="I1274" s="26">
        <f t="shared" ca="1" si="2"/>
        <v>1</v>
      </c>
      <c r="J1274" s="86">
        <f t="shared" ca="1" si="3"/>
        <v>44918</v>
      </c>
      <c r="R1274" s="26"/>
    </row>
    <row r="1275" spans="1:18" ht="15.75" customHeight="1">
      <c r="A1275" s="26">
        <f ca="1">IFERROR(__xludf.DUMMYFUNCTION("""COMPUTED_VALUE"""),17029)</f>
        <v>17029</v>
      </c>
      <c r="B1275" s="86">
        <f ca="1">IFERROR(__xludf.DUMMYFUNCTION("""COMPUTED_VALUE"""),44915.2612384259)</f>
        <v>44915.261238425897</v>
      </c>
      <c r="C1275" s="1" t="str">
        <f ca="1">IFERROR(__xludf.DUMMYFUNCTION("""COMPUTED_VALUE"""),"completed")</f>
        <v>completed</v>
      </c>
      <c r="D1275" s="26">
        <f ca="1">IFERROR(__xludf.DUMMYFUNCTION("""COMPUTED_VALUE"""),68)</f>
        <v>68</v>
      </c>
      <c r="E1275" s="1"/>
      <c r="F1275" s="87" t="str">
        <f t="shared" ca="1" si="0"/>
        <v>2022</v>
      </c>
      <c r="G1275" s="1" t="str">
        <f ca="1">IFERROR(__xludf.DUMMYFUNCTION("""COMPUTED_VALUE"""),"Windsor Aquatic Club")</f>
        <v>Windsor Aquatic Club</v>
      </c>
      <c r="H1275" s="26">
        <f t="shared" ca="1" si="1"/>
        <v>68</v>
      </c>
      <c r="I1275" s="26">
        <f t="shared" ca="1" si="2"/>
        <v>1</v>
      </c>
      <c r="J1275" s="86">
        <f t="shared" ca="1" si="3"/>
        <v>44915</v>
      </c>
      <c r="R1275" s="26"/>
    </row>
    <row r="1276" spans="1:18" ht="15.75" customHeight="1">
      <c r="A1276" s="26">
        <f ca="1">IFERROR(__xludf.DUMMYFUNCTION("""COMPUTED_VALUE"""),17028)</f>
        <v>17028</v>
      </c>
      <c r="B1276" s="86">
        <f ca="1">IFERROR(__xludf.DUMMYFUNCTION("""COMPUTED_VALUE"""),44915.2591550925)</f>
        <v>44915.259155092499</v>
      </c>
      <c r="C1276" s="1" t="str">
        <f ca="1">IFERROR(__xludf.DUMMYFUNCTION("""COMPUTED_VALUE"""),"completed")</f>
        <v>completed</v>
      </c>
      <c r="D1276" s="26">
        <f ca="1">IFERROR(__xludf.DUMMYFUNCTION("""COMPUTED_VALUE"""),68)</f>
        <v>68</v>
      </c>
      <c r="E1276" s="1"/>
      <c r="F1276" s="87" t="str">
        <f t="shared" ca="1" si="0"/>
        <v>2022</v>
      </c>
      <c r="G1276" s="1" t="str">
        <f ca="1">IFERROR(__xludf.DUMMYFUNCTION("""COMPUTED_VALUE"""),"Windsor Aquatic Club")</f>
        <v>Windsor Aquatic Club</v>
      </c>
      <c r="H1276" s="26">
        <f t="shared" ca="1" si="1"/>
        <v>68</v>
      </c>
      <c r="I1276" s="26">
        <f t="shared" ca="1" si="2"/>
        <v>1</v>
      </c>
      <c r="J1276" s="86">
        <f t="shared" ca="1" si="3"/>
        <v>44915</v>
      </c>
      <c r="R1276" s="26"/>
    </row>
    <row r="1277" spans="1:18" ht="15.75" customHeight="1">
      <c r="A1277" s="26">
        <f ca="1">IFERROR(__xludf.DUMMYFUNCTION("""COMPUTED_VALUE"""),17027)</f>
        <v>17027</v>
      </c>
      <c r="B1277" s="86">
        <f ca="1">IFERROR(__xludf.DUMMYFUNCTION("""COMPUTED_VALUE"""),44914.026099537)</f>
        <v>44914.026099536997</v>
      </c>
      <c r="C1277" s="1" t="str">
        <f ca="1">IFERROR(__xludf.DUMMYFUNCTION("""COMPUTED_VALUE"""),"completed")</f>
        <v>completed</v>
      </c>
      <c r="D1277" s="26">
        <f ca="1">IFERROR(__xludf.DUMMYFUNCTION("""COMPUTED_VALUE"""),28)</f>
        <v>28</v>
      </c>
      <c r="E1277" s="1"/>
      <c r="F1277" s="87" t="str">
        <f t="shared" ca="1" si="0"/>
        <v>2022</v>
      </c>
      <c r="G1277" s="1" t="str">
        <f ca="1">IFERROR(__xludf.DUMMYFUNCTION("""COMPUTED_VALUE"""),"Windsor Aquatic Club")</f>
        <v>Windsor Aquatic Club</v>
      </c>
      <c r="H1277" s="26">
        <f t="shared" ca="1" si="1"/>
        <v>28</v>
      </c>
      <c r="I1277" s="26">
        <f t="shared" ca="1" si="2"/>
        <v>1</v>
      </c>
      <c r="J1277" s="86">
        <f t="shared" ca="1" si="3"/>
        <v>44914</v>
      </c>
      <c r="R1277" s="26"/>
    </row>
    <row r="1278" spans="1:18" ht="15.75" customHeight="1">
      <c r="A1278" s="26">
        <f ca="1">IFERROR(__xludf.DUMMYFUNCTION("""COMPUTED_VALUE"""),17026)</f>
        <v>17026</v>
      </c>
      <c r="B1278" s="86">
        <f ca="1">IFERROR(__xludf.DUMMYFUNCTION("""COMPUTED_VALUE"""),44913.9942361111)</f>
        <v>44913.994236111103</v>
      </c>
      <c r="C1278" s="1" t="str">
        <f ca="1">IFERROR(__xludf.DUMMYFUNCTION("""COMPUTED_VALUE"""),"completed")</f>
        <v>completed</v>
      </c>
      <c r="D1278" s="26">
        <f ca="1">IFERROR(__xludf.DUMMYFUNCTION("""COMPUTED_VALUE"""),0)</f>
        <v>0</v>
      </c>
      <c r="E1278" s="1"/>
      <c r="F1278" s="87" t="str">
        <f t="shared" ca="1" si="0"/>
        <v>2022</v>
      </c>
      <c r="G1278" s="1" t="str">
        <f ca="1">IFERROR(__xludf.DUMMYFUNCTION("""COMPUTED_VALUE"""),"Windsor Aquatic Club")</f>
        <v>Windsor Aquatic Club</v>
      </c>
      <c r="H1278" s="26">
        <f t="shared" ca="1" si="1"/>
        <v>0</v>
      </c>
      <c r="I1278" s="26">
        <f t="shared" ca="1" si="2"/>
        <v>1</v>
      </c>
      <c r="J1278" s="86">
        <f t="shared" ca="1" si="3"/>
        <v>44913</v>
      </c>
      <c r="R1278" s="26"/>
    </row>
    <row r="1279" spans="1:18" ht="15.75" customHeight="1">
      <c r="A1279" s="26">
        <f ca="1">IFERROR(__xludf.DUMMYFUNCTION("""COMPUTED_VALUE"""),17025)</f>
        <v>17025</v>
      </c>
      <c r="B1279" s="86">
        <f ca="1">IFERROR(__xludf.DUMMYFUNCTION("""COMPUTED_VALUE"""),44913.9887731481)</f>
        <v>44913.988773148099</v>
      </c>
      <c r="C1279" s="1" t="str">
        <f ca="1">IFERROR(__xludf.DUMMYFUNCTION("""COMPUTED_VALUE"""),"completed")</f>
        <v>completed</v>
      </c>
      <c r="D1279" s="26">
        <f ca="1">IFERROR(__xludf.DUMMYFUNCTION("""COMPUTED_VALUE"""),0)</f>
        <v>0</v>
      </c>
      <c r="E1279" s="1"/>
      <c r="F1279" s="87" t="str">
        <f t="shared" ca="1" si="0"/>
        <v>2022</v>
      </c>
      <c r="G1279" s="1" t="str">
        <f ca="1">IFERROR(__xludf.DUMMYFUNCTION("""COMPUTED_VALUE"""),"Windsor Aquatic Club")</f>
        <v>Windsor Aquatic Club</v>
      </c>
      <c r="H1279" s="26">
        <f t="shared" ca="1" si="1"/>
        <v>0</v>
      </c>
      <c r="I1279" s="26">
        <f t="shared" ca="1" si="2"/>
        <v>1</v>
      </c>
      <c r="J1279" s="86">
        <f t="shared" ca="1" si="3"/>
        <v>44913</v>
      </c>
      <c r="R1279" s="26"/>
    </row>
    <row r="1280" spans="1:18" ht="15.75" customHeight="1">
      <c r="A1280" s="26">
        <f ca="1">IFERROR(__xludf.DUMMYFUNCTION("""COMPUTED_VALUE"""),17015)</f>
        <v>17015</v>
      </c>
      <c r="B1280" s="86">
        <f ca="1">IFERROR(__xludf.DUMMYFUNCTION("""COMPUTED_VALUE"""),44913.8964814814)</f>
        <v>44913.896481481403</v>
      </c>
      <c r="C1280" s="1" t="str">
        <f ca="1">IFERROR(__xludf.DUMMYFUNCTION("""COMPUTED_VALUE"""),"completed")</f>
        <v>completed</v>
      </c>
      <c r="D1280" s="26">
        <f ca="1">IFERROR(__xludf.DUMMYFUNCTION("""COMPUTED_VALUE"""),100)</f>
        <v>100</v>
      </c>
      <c r="E1280" s="1"/>
      <c r="F1280" s="87" t="str">
        <f t="shared" ca="1" si="0"/>
        <v>2022</v>
      </c>
      <c r="G1280" s="1" t="str">
        <f ca="1">IFERROR(__xludf.DUMMYFUNCTION("""COMPUTED_VALUE"""),"Windsor Aquatic Club")</f>
        <v>Windsor Aquatic Club</v>
      </c>
      <c r="H1280" s="26">
        <f t="shared" ca="1" si="1"/>
        <v>100</v>
      </c>
      <c r="I1280" s="26">
        <f t="shared" ca="1" si="2"/>
        <v>1</v>
      </c>
      <c r="J1280" s="86">
        <f t="shared" ca="1" si="3"/>
        <v>44913</v>
      </c>
      <c r="R1280" s="26"/>
    </row>
    <row r="1281" spans="1:18" ht="15.75" customHeight="1">
      <c r="A1281" s="26">
        <f ca="1">IFERROR(__xludf.DUMMYFUNCTION("""COMPUTED_VALUE"""),17014)</f>
        <v>17014</v>
      </c>
      <c r="B1281" s="86">
        <f ca="1">IFERROR(__xludf.DUMMYFUNCTION("""COMPUTED_VALUE"""),44913.8542013888)</f>
        <v>44913.8542013888</v>
      </c>
      <c r="C1281" s="1" t="str">
        <f ca="1">IFERROR(__xludf.DUMMYFUNCTION("""COMPUTED_VALUE"""),"completed")</f>
        <v>completed</v>
      </c>
      <c r="D1281" s="26">
        <f ca="1">IFERROR(__xludf.DUMMYFUNCTION("""COMPUTED_VALUE"""),46)</f>
        <v>46</v>
      </c>
      <c r="E1281" s="1"/>
      <c r="F1281" s="87" t="str">
        <f t="shared" ca="1" si="0"/>
        <v>2022</v>
      </c>
      <c r="G1281" s="1" t="str">
        <f ca="1">IFERROR(__xludf.DUMMYFUNCTION("""COMPUTED_VALUE"""),"Windsor Aquatic Club")</f>
        <v>Windsor Aquatic Club</v>
      </c>
      <c r="H1281" s="26">
        <f t="shared" ca="1" si="1"/>
        <v>46</v>
      </c>
      <c r="I1281" s="26">
        <f t="shared" ca="1" si="2"/>
        <v>1</v>
      </c>
      <c r="J1281" s="86">
        <f t="shared" ca="1" si="3"/>
        <v>44913</v>
      </c>
      <c r="R1281" s="26"/>
    </row>
    <row r="1282" spans="1:18" ht="15.75" customHeight="1">
      <c r="A1282" s="26">
        <f ca="1">IFERROR(__xludf.DUMMYFUNCTION("""COMPUTED_VALUE"""),16976)</f>
        <v>16976</v>
      </c>
      <c r="B1282" s="86">
        <f ca="1">IFERROR(__xludf.DUMMYFUNCTION("""COMPUTED_VALUE"""),44910.1828009259)</f>
        <v>44910.182800925897</v>
      </c>
      <c r="C1282" s="1" t="str">
        <f ca="1">IFERROR(__xludf.DUMMYFUNCTION("""COMPUTED_VALUE"""),"completed")</f>
        <v>completed</v>
      </c>
      <c r="D1282" s="26">
        <f ca="1">IFERROR(__xludf.DUMMYFUNCTION("""COMPUTED_VALUE"""),0)</f>
        <v>0</v>
      </c>
      <c r="E1282" s="1"/>
      <c r="F1282" s="87" t="str">
        <f t="shared" ca="1" si="0"/>
        <v>2022</v>
      </c>
      <c r="G1282" s="1" t="str">
        <f ca="1">IFERROR(__xludf.DUMMYFUNCTION("""COMPUTED_VALUE"""),"Windsor Aquatic Club")</f>
        <v>Windsor Aquatic Club</v>
      </c>
      <c r="H1282" s="26">
        <f t="shared" ca="1" si="1"/>
        <v>0</v>
      </c>
      <c r="I1282" s="26">
        <f t="shared" ca="1" si="2"/>
        <v>1</v>
      </c>
      <c r="J1282" s="86">
        <f t="shared" ca="1" si="3"/>
        <v>44910</v>
      </c>
      <c r="R1282" s="26"/>
    </row>
    <row r="1283" spans="1:18" ht="15.75" customHeight="1">
      <c r="A1283" s="26">
        <f ca="1">IFERROR(__xludf.DUMMYFUNCTION("""COMPUTED_VALUE"""),16975)</f>
        <v>16975</v>
      </c>
      <c r="B1283" s="86">
        <f ca="1">IFERROR(__xludf.DUMMYFUNCTION("""COMPUTED_VALUE"""),44909.9431597222)</f>
        <v>44909.943159722199</v>
      </c>
      <c r="C1283" s="1" t="str">
        <f ca="1">IFERROR(__xludf.DUMMYFUNCTION("""COMPUTED_VALUE"""),"completed")</f>
        <v>completed</v>
      </c>
      <c r="D1283" s="26">
        <f ca="1">IFERROR(__xludf.DUMMYFUNCTION("""COMPUTED_VALUE"""),28)</f>
        <v>28</v>
      </c>
      <c r="E1283" s="1"/>
      <c r="F1283" s="87" t="str">
        <f t="shared" ca="1" si="0"/>
        <v>2022</v>
      </c>
      <c r="G1283" s="1" t="str">
        <f ca="1">IFERROR(__xludf.DUMMYFUNCTION("""COMPUTED_VALUE"""),"Windsor Aquatic Club")</f>
        <v>Windsor Aquatic Club</v>
      </c>
      <c r="H1283" s="26">
        <f t="shared" ca="1" si="1"/>
        <v>28</v>
      </c>
      <c r="I1283" s="26">
        <f t="shared" ca="1" si="2"/>
        <v>1</v>
      </c>
      <c r="J1283" s="86">
        <f t="shared" ca="1" si="3"/>
        <v>44909</v>
      </c>
      <c r="R1283" s="26"/>
    </row>
    <row r="1284" spans="1:18" ht="15.75" customHeight="1">
      <c r="A1284" s="26">
        <f ca="1">IFERROR(__xludf.DUMMYFUNCTION("""COMPUTED_VALUE"""),16952)</f>
        <v>16952</v>
      </c>
      <c r="B1284" s="86">
        <f ca="1">IFERROR(__xludf.DUMMYFUNCTION("""COMPUTED_VALUE"""),44908.5688194444)</f>
        <v>44908.568819444401</v>
      </c>
      <c r="C1284" s="1" t="str">
        <f ca="1">IFERROR(__xludf.DUMMYFUNCTION("""COMPUTED_VALUE"""),"completed")</f>
        <v>completed</v>
      </c>
      <c r="D1284" s="26">
        <f ca="1">IFERROR(__xludf.DUMMYFUNCTION("""COMPUTED_VALUE"""),60)</f>
        <v>60</v>
      </c>
      <c r="E1284" s="1"/>
      <c r="F1284" s="87" t="str">
        <f t="shared" ca="1" si="0"/>
        <v>2022</v>
      </c>
      <c r="G1284" s="1" t="str">
        <f ca="1">IFERROR(__xludf.DUMMYFUNCTION("""COMPUTED_VALUE"""),"W.M.H.A")</f>
        <v>W.M.H.A</v>
      </c>
      <c r="H1284" s="26">
        <f t="shared" ca="1" si="1"/>
        <v>60</v>
      </c>
      <c r="I1284" s="26">
        <f t="shared" ca="1" si="2"/>
        <v>1</v>
      </c>
      <c r="J1284" s="86">
        <f t="shared" ca="1" si="3"/>
        <v>44908</v>
      </c>
      <c r="R1284" s="26"/>
    </row>
    <row r="1285" spans="1:18" ht="15.75" customHeight="1">
      <c r="A1285" s="26">
        <f ca="1">IFERROR(__xludf.DUMMYFUNCTION("""COMPUTED_VALUE"""),16941)</f>
        <v>16941</v>
      </c>
      <c r="B1285" s="86">
        <f ca="1">IFERROR(__xludf.DUMMYFUNCTION("""COMPUTED_VALUE"""),44905.7482291666)</f>
        <v>44905.748229166602</v>
      </c>
      <c r="C1285" s="1" t="str">
        <f ca="1">IFERROR(__xludf.DUMMYFUNCTION("""COMPUTED_VALUE"""),"completed")</f>
        <v>completed</v>
      </c>
      <c r="D1285" s="26">
        <f ca="1">IFERROR(__xludf.DUMMYFUNCTION("""COMPUTED_VALUE"""),25)</f>
        <v>25</v>
      </c>
      <c r="E1285" s="1"/>
      <c r="F1285" s="87" t="str">
        <f t="shared" ca="1" si="0"/>
        <v>2022</v>
      </c>
      <c r="G1285" s="1" t="str">
        <f ca="1">IFERROR(__xludf.DUMMYFUNCTION("""COMPUTED_VALUE"""),"Windsor Aquatic Club")</f>
        <v>Windsor Aquatic Club</v>
      </c>
      <c r="H1285" s="26">
        <f t="shared" ca="1" si="1"/>
        <v>25</v>
      </c>
      <c r="I1285" s="26">
        <f t="shared" ca="1" si="2"/>
        <v>1</v>
      </c>
      <c r="J1285" s="86">
        <f t="shared" ca="1" si="3"/>
        <v>44905</v>
      </c>
      <c r="R1285" s="26"/>
    </row>
    <row r="1286" spans="1:18" ht="15.75" customHeight="1">
      <c r="A1286" s="26">
        <f ca="1">IFERROR(__xludf.DUMMYFUNCTION("""COMPUTED_VALUE"""),16938)</f>
        <v>16938</v>
      </c>
      <c r="B1286" s="86">
        <f ca="1">IFERROR(__xludf.DUMMYFUNCTION("""COMPUTED_VALUE"""),44903.2918287037)</f>
        <v>44903.291828703703</v>
      </c>
      <c r="C1286" s="1" t="str">
        <f ca="1">IFERROR(__xludf.DUMMYFUNCTION("""COMPUTED_VALUE"""),"completed")</f>
        <v>completed</v>
      </c>
      <c r="D1286" s="26">
        <f ca="1">IFERROR(__xludf.DUMMYFUNCTION("""COMPUTED_VALUE"""),24)</f>
        <v>24</v>
      </c>
      <c r="E1286" s="1"/>
      <c r="F1286" s="87" t="str">
        <f t="shared" ca="1" si="0"/>
        <v>2022</v>
      </c>
      <c r="G1286" s="1" t="str">
        <f ca="1">IFERROR(__xludf.DUMMYFUNCTION("""COMPUTED_VALUE"""),"Lakeshore Lightning Hockey")</f>
        <v>Lakeshore Lightning Hockey</v>
      </c>
      <c r="H1286" s="26">
        <f t="shared" ca="1" si="1"/>
        <v>24</v>
      </c>
      <c r="I1286" s="26">
        <f t="shared" ca="1" si="2"/>
        <v>1</v>
      </c>
      <c r="J1286" s="86">
        <f t="shared" ca="1" si="3"/>
        <v>44903</v>
      </c>
      <c r="R1286" s="26"/>
    </row>
    <row r="1287" spans="1:18" ht="15.75" customHeight="1">
      <c r="A1287" s="26">
        <f ca="1">IFERROR(__xludf.DUMMYFUNCTION("""COMPUTED_VALUE"""),16937)</f>
        <v>16937</v>
      </c>
      <c r="B1287" s="86">
        <f ca="1">IFERROR(__xludf.DUMMYFUNCTION("""COMPUTED_VALUE"""),44903.2833796296)</f>
        <v>44903.283379629604</v>
      </c>
      <c r="C1287" s="1" t="str">
        <f ca="1">IFERROR(__xludf.DUMMYFUNCTION("""COMPUTED_VALUE"""),"completed")</f>
        <v>completed</v>
      </c>
      <c r="D1287" s="26">
        <f ca="1">IFERROR(__xludf.DUMMYFUNCTION("""COMPUTED_VALUE"""),0)</f>
        <v>0</v>
      </c>
      <c r="E1287" s="1"/>
      <c r="F1287" s="87" t="str">
        <f t="shared" ca="1" si="0"/>
        <v>2022</v>
      </c>
      <c r="G1287" s="1" t="str">
        <f ca="1">IFERROR(__xludf.DUMMYFUNCTION("""COMPUTED_VALUE"""),"Lakeshore Lightning Hockey")</f>
        <v>Lakeshore Lightning Hockey</v>
      </c>
      <c r="H1287" s="26">
        <f t="shared" ca="1" si="1"/>
        <v>0</v>
      </c>
      <c r="I1287" s="26">
        <f t="shared" ca="1" si="2"/>
        <v>1</v>
      </c>
      <c r="J1287" s="86">
        <f t="shared" ca="1" si="3"/>
        <v>44903</v>
      </c>
      <c r="R1287" s="26"/>
    </row>
    <row r="1288" spans="1:18" ht="15.75" customHeight="1">
      <c r="A1288" s="26">
        <f ca="1">IFERROR(__xludf.DUMMYFUNCTION("""COMPUTED_VALUE"""),16935)</f>
        <v>16935</v>
      </c>
      <c r="B1288" s="86">
        <f ca="1">IFERROR(__xludf.DUMMYFUNCTION("""COMPUTED_VALUE"""),44900.9291087962)</f>
        <v>44900.929108796197</v>
      </c>
      <c r="C1288" s="1" t="str">
        <f ca="1">IFERROR(__xludf.DUMMYFUNCTION("""COMPUTED_VALUE"""),"completed")</f>
        <v>completed</v>
      </c>
      <c r="D1288" s="26">
        <f ca="1">IFERROR(__xludf.DUMMYFUNCTION("""COMPUTED_VALUE"""),22)</f>
        <v>22</v>
      </c>
      <c r="E1288" s="1"/>
      <c r="F1288" s="87" t="str">
        <f t="shared" ca="1" si="0"/>
        <v>2022</v>
      </c>
      <c r="G1288" s="1" t="str">
        <f ca="1">IFERROR(__xludf.DUMMYFUNCTION("""COMPUTED_VALUE"""),"Windsor Aquatic Club")</f>
        <v>Windsor Aquatic Club</v>
      </c>
      <c r="H1288" s="26">
        <f t="shared" ca="1" si="1"/>
        <v>22</v>
      </c>
      <c r="I1288" s="26">
        <f t="shared" ca="1" si="2"/>
        <v>1</v>
      </c>
      <c r="J1288" s="86">
        <f t="shared" ca="1" si="3"/>
        <v>44900</v>
      </c>
      <c r="R1288" s="26"/>
    </row>
    <row r="1289" spans="1:18" ht="15.75" customHeight="1">
      <c r="A1289" s="26">
        <f ca="1">IFERROR(__xludf.DUMMYFUNCTION("""COMPUTED_VALUE"""),16934)</f>
        <v>16934</v>
      </c>
      <c r="B1289" s="86">
        <f ca="1">IFERROR(__xludf.DUMMYFUNCTION("""COMPUTED_VALUE"""),44900.1277893518)</f>
        <v>44900.127789351798</v>
      </c>
      <c r="C1289" s="1" t="str">
        <f ca="1">IFERROR(__xludf.DUMMYFUNCTION("""COMPUTED_VALUE"""),"completed")</f>
        <v>completed</v>
      </c>
      <c r="D1289" s="26">
        <f ca="1">IFERROR(__xludf.DUMMYFUNCTION("""COMPUTED_VALUE"""),20)</f>
        <v>20</v>
      </c>
      <c r="E1289" s="1"/>
      <c r="F1289" s="87" t="str">
        <f t="shared" ca="1" si="0"/>
        <v>2022</v>
      </c>
      <c r="G1289" s="1" t="str">
        <f ca="1">IFERROR(__xludf.DUMMYFUNCTION("""COMPUTED_VALUE"""),"W.M.H.A")</f>
        <v>W.M.H.A</v>
      </c>
      <c r="H1289" s="26">
        <f t="shared" ca="1" si="1"/>
        <v>20</v>
      </c>
      <c r="I1289" s="26">
        <f t="shared" ca="1" si="2"/>
        <v>1</v>
      </c>
      <c r="J1289" s="86">
        <f t="shared" ca="1" si="3"/>
        <v>44900</v>
      </c>
      <c r="R1289" s="26"/>
    </row>
    <row r="1290" spans="1:18" ht="15.75" customHeight="1">
      <c r="A1290" s="26">
        <f ca="1">IFERROR(__xludf.DUMMYFUNCTION("""COMPUTED_VALUE"""),16933)</f>
        <v>16933</v>
      </c>
      <c r="B1290" s="86">
        <f ca="1">IFERROR(__xludf.DUMMYFUNCTION("""COMPUTED_VALUE"""),44898.1274884259)</f>
        <v>44898.127488425896</v>
      </c>
      <c r="C1290" s="1" t="str">
        <f ca="1">IFERROR(__xludf.DUMMYFUNCTION("""COMPUTED_VALUE"""),"completed")</f>
        <v>completed</v>
      </c>
      <c r="D1290" s="26">
        <f ca="1">IFERROR(__xludf.DUMMYFUNCTION("""COMPUTED_VALUE"""),25)</f>
        <v>25</v>
      </c>
      <c r="E1290" s="1"/>
      <c r="F1290" s="87" t="str">
        <f t="shared" ca="1" si="0"/>
        <v>2022</v>
      </c>
      <c r="G1290" s="1" t="str">
        <f ca="1">IFERROR(__xludf.DUMMYFUNCTION("""COMPUTED_VALUE"""),"WMFA")</f>
        <v>WMFA</v>
      </c>
      <c r="H1290" s="26">
        <f t="shared" ca="1" si="1"/>
        <v>25</v>
      </c>
      <c r="I1290" s="26">
        <f t="shared" ca="1" si="2"/>
        <v>1</v>
      </c>
      <c r="J1290" s="86">
        <f t="shared" ca="1" si="3"/>
        <v>44898</v>
      </c>
      <c r="R1290" s="26"/>
    </row>
    <row r="1291" spans="1:18" ht="15.75" customHeight="1">
      <c r="A1291" s="26">
        <f ca="1">IFERROR(__xludf.DUMMYFUNCTION("""COMPUTED_VALUE"""),16895)</f>
        <v>16895</v>
      </c>
      <c r="B1291" s="86">
        <f ca="1">IFERROR(__xludf.DUMMYFUNCTION("""COMPUTED_VALUE"""),44897.0706134259)</f>
        <v>44897.070613425902</v>
      </c>
      <c r="C1291" s="1" t="str">
        <f ca="1">IFERROR(__xludf.DUMMYFUNCTION("""COMPUTED_VALUE"""),"completed")</f>
        <v>completed</v>
      </c>
      <c r="D1291" s="26">
        <f ca="1">IFERROR(__xludf.DUMMYFUNCTION("""COMPUTED_VALUE"""),49)</f>
        <v>49</v>
      </c>
      <c r="E1291" s="1"/>
      <c r="F1291" s="87" t="str">
        <f t="shared" ca="1" si="0"/>
        <v>2022</v>
      </c>
      <c r="G1291" s="1" t="str">
        <f ca="1">IFERROR(__xludf.DUMMYFUNCTION("""COMPUTED_VALUE"""),"W.M.H.A")</f>
        <v>W.M.H.A</v>
      </c>
      <c r="H1291" s="26">
        <f t="shared" ca="1" si="1"/>
        <v>49</v>
      </c>
      <c r="I1291" s="26">
        <f t="shared" ca="1" si="2"/>
        <v>1</v>
      </c>
      <c r="J1291" s="86">
        <f t="shared" ca="1" si="3"/>
        <v>44897</v>
      </c>
      <c r="R1291" s="26"/>
    </row>
    <row r="1292" spans="1:18" ht="15.75" customHeight="1">
      <c r="A1292" s="26">
        <f ca="1">IFERROR(__xludf.DUMMYFUNCTION("""COMPUTED_VALUE"""),16894)</f>
        <v>16894</v>
      </c>
      <c r="B1292" s="86">
        <f ca="1">IFERROR(__xludf.DUMMYFUNCTION("""COMPUTED_VALUE"""),44896.7169212963)</f>
        <v>44896.716921296298</v>
      </c>
      <c r="C1292" s="1" t="str">
        <f ca="1">IFERROR(__xludf.DUMMYFUNCTION("""COMPUTED_VALUE"""),"completed")</f>
        <v>completed</v>
      </c>
      <c r="D1292" s="26">
        <f ca="1">IFERROR(__xludf.DUMMYFUNCTION("""COMPUTED_VALUE"""),25)</f>
        <v>25</v>
      </c>
      <c r="E1292" s="1"/>
      <c r="F1292" s="87" t="str">
        <f t="shared" ca="1" si="0"/>
        <v>2022</v>
      </c>
      <c r="G1292" s="1" t="str">
        <f ca="1">IFERROR(__xludf.DUMMYFUNCTION("""COMPUTED_VALUE"""),"W.M.H.A")</f>
        <v>W.M.H.A</v>
      </c>
      <c r="H1292" s="26">
        <f t="shared" ca="1" si="1"/>
        <v>25</v>
      </c>
      <c r="I1292" s="26">
        <f t="shared" ca="1" si="2"/>
        <v>1</v>
      </c>
      <c r="J1292" s="86">
        <f t="shared" ca="1" si="3"/>
        <v>44896</v>
      </c>
      <c r="R1292" s="26"/>
    </row>
    <row r="1293" spans="1:18" ht="15.75" customHeight="1">
      <c r="A1293" s="26">
        <f ca="1">IFERROR(__xludf.DUMMYFUNCTION("""COMPUTED_VALUE"""),16863)</f>
        <v>16863</v>
      </c>
      <c r="B1293" s="86">
        <f ca="1">IFERROR(__xludf.DUMMYFUNCTION("""COMPUTED_VALUE"""),44896.0233333333)</f>
        <v>44896.023333333302</v>
      </c>
      <c r="C1293" s="1" t="str">
        <f ca="1">IFERROR(__xludf.DUMMYFUNCTION("""COMPUTED_VALUE"""),"completed")</f>
        <v>completed</v>
      </c>
      <c r="D1293" s="26">
        <f ca="1">IFERROR(__xludf.DUMMYFUNCTION("""COMPUTED_VALUE"""),35)</f>
        <v>35</v>
      </c>
      <c r="E1293" s="1"/>
      <c r="F1293" s="87" t="str">
        <f t="shared" ca="1" si="0"/>
        <v>2022</v>
      </c>
      <c r="G1293" s="1" t="str">
        <f ca="1">IFERROR(__xludf.DUMMYFUNCTION("""COMPUTED_VALUE"""),"W.M.H.A")</f>
        <v>W.M.H.A</v>
      </c>
      <c r="H1293" s="26">
        <f t="shared" ca="1" si="1"/>
        <v>35</v>
      </c>
      <c r="I1293" s="26">
        <f t="shared" ca="1" si="2"/>
        <v>1</v>
      </c>
      <c r="J1293" s="86">
        <f t="shared" ca="1" si="3"/>
        <v>44896</v>
      </c>
      <c r="R1293" s="26"/>
    </row>
    <row r="1294" spans="1:18" ht="15.75" customHeight="1">
      <c r="A1294" s="26">
        <f ca="1">IFERROR(__xludf.DUMMYFUNCTION("""COMPUTED_VALUE"""),16857)</f>
        <v>16857</v>
      </c>
      <c r="B1294" s="86">
        <f ca="1">IFERROR(__xludf.DUMMYFUNCTION("""COMPUTED_VALUE"""),44895.0996527777)</f>
        <v>44895.099652777702</v>
      </c>
      <c r="C1294" s="1" t="str">
        <f ca="1">IFERROR(__xludf.DUMMYFUNCTION("""COMPUTED_VALUE"""),"completed")</f>
        <v>completed</v>
      </c>
      <c r="D1294" s="26">
        <f ca="1">IFERROR(__xludf.DUMMYFUNCTION("""COMPUTED_VALUE"""),63)</f>
        <v>63</v>
      </c>
      <c r="E1294" s="1"/>
      <c r="F1294" s="87" t="str">
        <f t="shared" ca="1" si="0"/>
        <v>2022</v>
      </c>
      <c r="G1294" s="1" t="str">
        <f ca="1">IFERROR(__xludf.DUMMYFUNCTION("""COMPUTED_VALUE"""),"Essex Thunder Minor Hockey")</f>
        <v>Essex Thunder Minor Hockey</v>
      </c>
      <c r="H1294" s="26">
        <f t="shared" ca="1" si="1"/>
        <v>63</v>
      </c>
      <c r="I1294" s="26">
        <f t="shared" ca="1" si="2"/>
        <v>1</v>
      </c>
      <c r="J1294" s="86">
        <f t="shared" ca="1" si="3"/>
        <v>44895</v>
      </c>
      <c r="R1294" s="26"/>
    </row>
    <row r="1295" spans="1:18" ht="15.75" customHeight="1">
      <c r="A1295" s="26">
        <f ca="1">IFERROR(__xludf.DUMMYFUNCTION("""COMPUTED_VALUE"""),16854)</f>
        <v>16854</v>
      </c>
      <c r="B1295" s="86">
        <f ca="1">IFERROR(__xludf.DUMMYFUNCTION("""COMPUTED_VALUE"""),44894.6852083333)</f>
        <v>44894.6852083333</v>
      </c>
      <c r="C1295" s="1" t="str">
        <f ca="1">IFERROR(__xludf.DUMMYFUNCTION("""COMPUTED_VALUE"""),"completed")</f>
        <v>completed</v>
      </c>
      <c r="D1295" s="26">
        <f ca="1">IFERROR(__xludf.DUMMYFUNCTION("""COMPUTED_VALUE"""),25)</f>
        <v>25</v>
      </c>
      <c r="E1295" s="1"/>
      <c r="F1295" s="87" t="str">
        <f t="shared" ca="1" si="0"/>
        <v>2022</v>
      </c>
      <c r="G1295" s="1" t="str">
        <f ca="1">IFERROR(__xludf.DUMMYFUNCTION("""COMPUTED_VALUE"""),"Essex Thunder Minor Hockey")</f>
        <v>Essex Thunder Minor Hockey</v>
      </c>
      <c r="H1295" s="26">
        <f t="shared" ca="1" si="1"/>
        <v>25</v>
      </c>
      <c r="I1295" s="26">
        <f t="shared" ca="1" si="2"/>
        <v>1</v>
      </c>
      <c r="J1295" s="86">
        <f t="shared" ca="1" si="3"/>
        <v>44894</v>
      </c>
      <c r="R1295" s="26"/>
    </row>
    <row r="1296" spans="1:18" ht="15.75" customHeight="1">
      <c r="A1296" s="26">
        <f ca="1">IFERROR(__xludf.DUMMYFUNCTION("""COMPUTED_VALUE"""),16853)</f>
        <v>16853</v>
      </c>
      <c r="B1296" s="86">
        <f ca="1">IFERROR(__xludf.DUMMYFUNCTION("""COMPUTED_VALUE"""),44894.5223958333)</f>
        <v>44894.522395833301</v>
      </c>
      <c r="C1296" s="1" t="str">
        <f ca="1">IFERROR(__xludf.DUMMYFUNCTION("""COMPUTED_VALUE"""),"completed")</f>
        <v>completed</v>
      </c>
      <c r="D1296" s="26">
        <f ca="1">IFERROR(__xludf.DUMMYFUNCTION("""COMPUTED_VALUE"""),50)</f>
        <v>50</v>
      </c>
      <c r="E1296" s="1"/>
      <c r="F1296" s="87" t="str">
        <f t="shared" ca="1" si="0"/>
        <v>2022</v>
      </c>
      <c r="G1296" s="1" t="str">
        <f ca="1">IFERROR(__xludf.DUMMYFUNCTION("""COMPUTED_VALUE"""),"Lakeshore Lightning Hockey")</f>
        <v>Lakeshore Lightning Hockey</v>
      </c>
      <c r="H1296" s="26">
        <f t="shared" ca="1" si="1"/>
        <v>50</v>
      </c>
      <c r="I1296" s="26">
        <f t="shared" ca="1" si="2"/>
        <v>1</v>
      </c>
      <c r="J1296" s="86">
        <f t="shared" ca="1" si="3"/>
        <v>44894</v>
      </c>
      <c r="R1296" s="26"/>
    </row>
    <row r="1297" spans="1:18" ht="15.75" customHeight="1">
      <c r="A1297" s="26">
        <f ca="1">IFERROR(__xludf.DUMMYFUNCTION("""COMPUTED_VALUE"""),16851)</f>
        <v>16851</v>
      </c>
      <c r="B1297" s="86">
        <f ca="1">IFERROR(__xludf.DUMMYFUNCTION("""COMPUTED_VALUE"""),44894.0959027777)</f>
        <v>44894.095902777699</v>
      </c>
      <c r="C1297" s="1" t="str">
        <f ca="1">IFERROR(__xludf.DUMMYFUNCTION("""COMPUTED_VALUE"""),"completed")</f>
        <v>completed</v>
      </c>
      <c r="D1297" s="26">
        <f ca="1">IFERROR(__xludf.DUMMYFUNCTION("""COMPUTED_VALUE"""),92)</f>
        <v>92</v>
      </c>
      <c r="E1297" s="1"/>
      <c r="F1297" s="87" t="str">
        <f t="shared" ca="1" si="0"/>
        <v>2022</v>
      </c>
      <c r="G1297" s="1" t="str">
        <f ca="1">IFERROR(__xludf.DUMMYFUNCTION("""COMPUTED_VALUE"""),"Essex Thunder Minor Hockey")</f>
        <v>Essex Thunder Minor Hockey</v>
      </c>
      <c r="H1297" s="26">
        <f t="shared" ca="1" si="1"/>
        <v>92</v>
      </c>
      <c r="I1297" s="26">
        <f t="shared" ca="1" si="2"/>
        <v>1</v>
      </c>
      <c r="J1297" s="86">
        <f t="shared" ca="1" si="3"/>
        <v>44894</v>
      </c>
      <c r="R1297" s="26"/>
    </row>
    <row r="1298" spans="1:18" ht="15.75" customHeight="1">
      <c r="A1298" s="26">
        <f ca="1">IFERROR(__xludf.DUMMYFUNCTION("""COMPUTED_VALUE"""),16850)</f>
        <v>16850</v>
      </c>
      <c r="B1298" s="86">
        <f ca="1">IFERROR(__xludf.DUMMYFUNCTION("""COMPUTED_VALUE"""),44893.8871412037)</f>
        <v>44893.887141203697</v>
      </c>
      <c r="C1298" s="1" t="str">
        <f ca="1">IFERROR(__xludf.DUMMYFUNCTION("""COMPUTED_VALUE"""),"completed")</f>
        <v>completed</v>
      </c>
      <c r="D1298" s="26">
        <f ca="1">IFERROR(__xludf.DUMMYFUNCTION("""COMPUTED_VALUE"""),55)</f>
        <v>55</v>
      </c>
      <c r="E1298" s="1"/>
      <c r="F1298" s="87" t="str">
        <f t="shared" ca="1" si="0"/>
        <v>2022</v>
      </c>
      <c r="G1298" s="1" t="str">
        <f ca="1">IFERROR(__xludf.DUMMYFUNCTION("""COMPUTED_VALUE"""),"W.M.H.A")</f>
        <v>W.M.H.A</v>
      </c>
      <c r="H1298" s="26">
        <f t="shared" ca="1" si="1"/>
        <v>55</v>
      </c>
      <c r="I1298" s="26">
        <f t="shared" ca="1" si="2"/>
        <v>1</v>
      </c>
      <c r="J1298" s="86">
        <f t="shared" ca="1" si="3"/>
        <v>44893</v>
      </c>
      <c r="R1298" s="26"/>
    </row>
    <row r="1299" spans="1:18" ht="15.75" customHeight="1">
      <c r="A1299" s="26">
        <f ca="1">IFERROR(__xludf.DUMMYFUNCTION("""COMPUTED_VALUE"""),16849)</f>
        <v>16849</v>
      </c>
      <c r="B1299" s="86">
        <f ca="1">IFERROR(__xludf.DUMMYFUNCTION("""COMPUTED_VALUE"""),44893.8561921296)</f>
        <v>44893.856192129599</v>
      </c>
      <c r="C1299" s="1" t="str">
        <f ca="1">IFERROR(__xludf.DUMMYFUNCTION("""COMPUTED_VALUE"""),"completed")</f>
        <v>completed</v>
      </c>
      <c r="D1299" s="26">
        <f ca="1">IFERROR(__xludf.DUMMYFUNCTION("""COMPUTED_VALUE"""),74)</f>
        <v>74</v>
      </c>
      <c r="E1299" s="1"/>
      <c r="F1299" s="87" t="str">
        <f t="shared" ca="1" si="0"/>
        <v>2022</v>
      </c>
      <c r="G1299" s="1" t="str">
        <f ca="1">IFERROR(__xludf.DUMMYFUNCTION("""COMPUTED_VALUE"""),"Lakeshore Lightning Hockey")</f>
        <v>Lakeshore Lightning Hockey</v>
      </c>
      <c r="H1299" s="26">
        <f t="shared" ca="1" si="1"/>
        <v>74</v>
      </c>
      <c r="I1299" s="26">
        <f t="shared" ca="1" si="2"/>
        <v>1</v>
      </c>
      <c r="J1299" s="86">
        <f t="shared" ca="1" si="3"/>
        <v>44893</v>
      </c>
      <c r="R1299" s="26"/>
    </row>
    <row r="1300" spans="1:18" ht="15.75" customHeight="1">
      <c r="A1300" s="26">
        <f ca="1">IFERROR(__xludf.DUMMYFUNCTION("""COMPUTED_VALUE"""),16847)</f>
        <v>16847</v>
      </c>
      <c r="B1300" s="86">
        <f ca="1">IFERROR(__xludf.DUMMYFUNCTION("""COMPUTED_VALUE"""),44893.0674305555)</f>
        <v>44893.0674305555</v>
      </c>
      <c r="C1300" s="1" t="str">
        <f ca="1">IFERROR(__xludf.DUMMYFUNCTION("""COMPUTED_VALUE"""),"completed")</f>
        <v>completed</v>
      </c>
      <c r="D1300" s="26">
        <f ca="1">IFERROR(__xludf.DUMMYFUNCTION("""COMPUTED_VALUE"""),25)</f>
        <v>25</v>
      </c>
      <c r="E1300" s="1"/>
      <c r="F1300" s="87" t="str">
        <f t="shared" ca="1" si="0"/>
        <v>2022</v>
      </c>
      <c r="G1300" s="1" t="str">
        <f ca="1">IFERROR(__xludf.DUMMYFUNCTION("""COMPUTED_VALUE"""),"W.M.H.A")</f>
        <v>W.M.H.A</v>
      </c>
      <c r="H1300" s="26">
        <f t="shared" ca="1" si="1"/>
        <v>25</v>
      </c>
      <c r="I1300" s="26">
        <f t="shared" ca="1" si="2"/>
        <v>1</v>
      </c>
      <c r="J1300" s="86">
        <f t="shared" ca="1" si="3"/>
        <v>44893</v>
      </c>
      <c r="R1300" s="26"/>
    </row>
    <row r="1301" spans="1:18" ht="15.75" customHeight="1">
      <c r="A1301" s="26">
        <f ca="1">IFERROR(__xludf.DUMMYFUNCTION("""COMPUTED_VALUE"""),16846)</f>
        <v>16846</v>
      </c>
      <c r="B1301" s="86">
        <f ca="1">IFERROR(__xludf.DUMMYFUNCTION("""COMPUTED_VALUE"""),44892.9624074074)</f>
        <v>44892.962407407402</v>
      </c>
      <c r="C1301" s="1" t="str">
        <f ca="1">IFERROR(__xludf.DUMMYFUNCTION("""COMPUTED_VALUE"""),"completed")</f>
        <v>completed</v>
      </c>
      <c r="D1301" s="26">
        <f ca="1">IFERROR(__xludf.DUMMYFUNCTION("""COMPUTED_VALUE"""),25)</f>
        <v>25</v>
      </c>
      <c r="E1301" s="1"/>
      <c r="F1301" s="87" t="str">
        <f t="shared" ca="1" si="0"/>
        <v>2022</v>
      </c>
      <c r="G1301" s="1" t="str">
        <f ca="1">IFERROR(__xludf.DUMMYFUNCTION("""COMPUTED_VALUE"""),"Windsor Aquatic Club")</f>
        <v>Windsor Aquatic Club</v>
      </c>
      <c r="H1301" s="26">
        <f t="shared" ca="1" si="1"/>
        <v>25</v>
      </c>
      <c r="I1301" s="26">
        <f t="shared" ca="1" si="2"/>
        <v>1</v>
      </c>
      <c r="J1301" s="86">
        <f t="shared" ca="1" si="3"/>
        <v>44892</v>
      </c>
      <c r="R1301" s="26"/>
    </row>
    <row r="1302" spans="1:18" ht="15.75" customHeight="1">
      <c r="A1302" s="26">
        <f ca="1">IFERROR(__xludf.DUMMYFUNCTION("""COMPUTED_VALUE"""),16845)</f>
        <v>16845</v>
      </c>
      <c r="B1302" s="86">
        <f ca="1">IFERROR(__xludf.DUMMYFUNCTION("""COMPUTED_VALUE"""),44892.9345949074)</f>
        <v>44892.934594907398</v>
      </c>
      <c r="C1302" s="1" t="str">
        <f ca="1">IFERROR(__xludf.DUMMYFUNCTION("""COMPUTED_VALUE"""),"completed")</f>
        <v>completed</v>
      </c>
      <c r="D1302" s="26">
        <f ca="1">IFERROR(__xludf.DUMMYFUNCTION("""COMPUTED_VALUE"""),49)</f>
        <v>49</v>
      </c>
      <c r="E1302" s="1"/>
      <c r="F1302" s="87" t="str">
        <f t="shared" ca="1" si="0"/>
        <v>2022</v>
      </c>
      <c r="G1302" s="1" t="str">
        <f ca="1">IFERROR(__xludf.DUMMYFUNCTION("""COMPUTED_VALUE"""),"W.M.H.A")</f>
        <v>W.M.H.A</v>
      </c>
      <c r="H1302" s="26">
        <f t="shared" ca="1" si="1"/>
        <v>49</v>
      </c>
      <c r="I1302" s="26">
        <f t="shared" ca="1" si="2"/>
        <v>1</v>
      </c>
      <c r="J1302" s="86">
        <f t="shared" ca="1" si="3"/>
        <v>44892</v>
      </c>
      <c r="R1302" s="26"/>
    </row>
    <row r="1303" spans="1:18" ht="15.75" customHeight="1">
      <c r="A1303" s="26">
        <f ca="1">IFERROR(__xludf.DUMMYFUNCTION("""COMPUTED_VALUE"""),16839)</f>
        <v>16839</v>
      </c>
      <c r="B1303" s="86">
        <f ca="1">IFERROR(__xludf.DUMMYFUNCTION("""COMPUTED_VALUE"""),44891.8220138888)</f>
        <v>44891.822013888799</v>
      </c>
      <c r="C1303" s="1" t="str">
        <f ca="1">IFERROR(__xludf.DUMMYFUNCTION("""COMPUTED_VALUE"""),"completed")</f>
        <v>completed</v>
      </c>
      <c r="D1303" s="26">
        <f ca="1">IFERROR(__xludf.DUMMYFUNCTION("""COMPUTED_VALUE"""),25)</f>
        <v>25</v>
      </c>
      <c r="E1303" s="1"/>
      <c r="F1303" s="87" t="str">
        <f t="shared" ca="1" si="0"/>
        <v>2022</v>
      </c>
      <c r="G1303" s="1" t="str">
        <f ca="1">IFERROR(__xludf.DUMMYFUNCTION("""COMPUTED_VALUE"""),"Windsor Aquatic Club")</f>
        <v>Windsor Aquatic Club</v>
      </c>
      <c r="H1303" s="26">
        <f t="shared" ca="1" si="1"/>
        <v>25</v>
      </c>
      <c r="I1303" s="26">
        <f t="shared" ca="1" si="2"/>
        <v>1</v>
      </c>
      <c r="J1303" s="86">
        <f t="shared" ca="1" si="3"/>
        <v>44891</v>
      </c>
      <c r="R1303" s="26"/>
    </row>
    <row r="1304" spans="1:18" ht="15.75" customHeight="1">
      <c r="A1304" s="26">
        <f ca="1">IFERROR(__xludf.DUMMYFUNCTION("""COMPUTED_VALUE"""),16838)</f>
        <v>16838</v>
      </c>
      <c r="B1304" s="86">
        <f ca="1">IFERROR(__xludf.DUMMYFUNCTION("""COMPUTED_VALUE"""),44891.8058912037)</f>
        <v>44891.805891203701</v>
      </c>
      <c r="C1304" s="1" t="str">
        <f ca="1">IFERROR(__xludf.DUMMYFUNCTION("""COMPUTED_VALUE"""),"completed")</f>
        <v>completed</v>
      </c>
      <c r="D1304" s="26">
        <f ca="1">IFERROR(__xludf.DUMMYFUNCTION("""COMPUTED_VALUE"""),0)</f>
        <v>0</v>
      </c>
      <c r="E1304" s="1"/>
      <c r="F1304" s="87" t="str">
        <f t="shared" ca="1" si="0"/>
        <v>2022</v>
      </c>
      <c r="G1304" s="1" t="str">
        <f ca="1">IFERROR(__xludf.DUMMYFUNCTION("""COMPUTED_VALUE"""),"Essex Thunder Minor Hockey")</f>
        <v>Essex Thunder Minor Hockey</v>
      </c>
      <c r="H1304" s="26">
        <f t="shared" ca="1" si="1"/>
        <v>0</v>
      </c>
      <c r="I1304" s="26">
        <f t="shared" ca="1" si="2"/>
        <v>1</v>
      </c>
      <c r="J1304" s="86">
        <f t="shared" ca="1" si="3"/>
        <v>44891</v>
      </c>
      <c r="R1304" s="26"/>
    </row>
    <row r="1305" spans="1:18" ht="15.75" customHeight="1">
      <c r="A1305" s="26">
        <f ca="1">IFERROR(__xludf.DUMMYFUNCTION("""COMPUTED_VALUE"""),16837)</f>
        <v>16837</v>
      </c>
      <c r="B1305" s="86">
        <f ca="1">IFERROR(__xludf.DUMMYFUNCTION("""COMPUTED_VALUE"""),44891.8036226851)</f>
        <v>44891.803622685104</v>
      </c>
      <c r="C1305" s="1" t="str">
        <f ca="1">IFERROR(__xludf.DUMMYFUNCTION("""COMPUTED_VALUE"""),"completed")</f>
        <v>completed</v>
      </c>
      <c r="D1305" s="26">
        <f ca="1">IFERROR(__xludf.DUMMYFUNCTION("""COMPUTED_VALUE"""),47)</f>
        <v>47</v>
      </c>
      <c r="E1305" s="1"/>
      <c r="F1305" s="87" t="str">
        <f t="shared" ca="1" si="0"/>
        <v>2022</v>
      </c>
      <c r="G1305" s="1" t="str">
        <f ca="1">IFERROR(__xludf.DUMMYFUNCTION("""COMPUTED_VALUE"""),"W.M.H.A")</f>
        <v>W.M.H.A</v>
      </c>
      <c r="H1305" s="26">
        <f t="shared" ca="1" si="1"/>
        <v>47</v>
      </c>
      <c r="I1305" s="26">
        <f t="shared" ca="1" si="2"/>
        <v>1</v>
      </c>
      <c r="J1305" s="86">
        <f t="shared" ca="1" si="3"/>
        <v>44891</v>
      </c>
      <c r="R1305" s="26"/>
    </row>
    <row r="1306" spans="1:18" ht="15.75" customHeight="1">
      <c r="A1306" s="26">
        <f ca="1">IFERROR(__xludf.DUMMYFUNCTION("""COMPUTED_VALUE"""),16836)</f>
        <v>16836</v>
      </c>
      <c r="B1306" s="86">
        <f ca="1">IFERROR(__xludf.DUMMYFUNCTION("""COMPUTED_VALUE"""),44890.8984837962)</f>
        <v>44890.898483796198</v>
      </c>
      <c r="C1306" s="1" t="str">
        <f ca="1">IFERROR(__xludf.DUMMYFUNCTION("""COMPUTED_VALUE"""),"completed")</f>
        <v>completed</v>
      </c>
      <c r="D1306" s="26">
        <f ca="1">IFERROR(__xludf.DUMMYFUNCTION("""COMPUTED_VALUE"""),25)</f>
        <v>25</v>
      </c>
      <c r="E1306" s="1" t="str">
        <f ca="1">IFERROR(__xludf.DUMMYFUNCTION("""COMPUTED_VALUE"""),"W.M.H.A")</f>
        <v>W.M.H.A</v>
      </c>
      <c r="F1306" s="87" t="str">
        <f t="shared" ca="1" si="0"/>
        <v>2022</v>
      </c>
      <c r="G1306" s="1" t="str">
        <f ca="1">IFERROR(__xludf.DUMMYFUNCTION("""COMPUTED_VALUE"""),"W.M.H.A")</f>
        <v>W.M.H.A</v>
      </c>
      <c r="H1306" s="26">
        <f t="shared" ca="1" si="1"/>
        <v>25</v>
      </c>
      <c r="I1306" s="26">
        <f t="shared" ca="1" si="2"/>
        <v>1</v>
      </c>
      <c r="J1306" s="86">
        <f t="shared" ca="1" si="3"/>
        <v>44890</v>
      </c>
      <c r="R1306" s="26"/>
    </row>
    <row r="1307" spans="1:18" ht="15.75" customHeight="1">
      <c r="A1307" s="26">
        <f ca="1">IFERROR(__xludf.DUMMYFUNCTION("""COMPUTED_VALUE"""),16835)</f>
        <v>16835</v>
      </c>
      <c r="B1307" s="86">
        <f ca="1">IFERROR(__xludf.DUMMYFUNCTION("""COMPUTED_VALUE"""),44890.8920601851)</f>
        <v>44890.892060185099</v>
      </c>
      <c r="C1307" s="1" t="str">
        <f ca="1">IFERROR(__xludf.DUMMYFUNCTION("""COMPUTED_VALUE"""),"completed")</f>
        <v>completed</v>
      </c>
      <c r="D1307" s="26">
        <f ca="1">IFERROR(__xludf.DUMMYFUNCTION("""COMPUTED_VALUE"""),25)</f>
        <v>25</v>
      </c>
      <c r="E1307" s="1" t="str">
        <f ca="1">IFERROR(__xludf.DUMMYFUNCTION("""COMPUTED_VALUE"""),"W.M.H.A")</f>
        <v>W.M.H.A</v>
      </c>
      <c r="F1307" s="87" t="str">
        <f t="shared" ca="1" si="0"/>
        <v>2022</v>
      </c>
      <c r="G1307" s="1" t="str">
        <f ca="1">IFERROR(__xludf.DUMMYFUNCTION("""COMPUTED_VALUE"""),"Windsor Hawks U11")</f>
        <v>Windsor Hawks U11</v>
      </c>
      <c r="H1307" s="26">
        <f t="shared" ca="1" si="1"/>
        <v>25</v>
      </c>
      <c r="I1307" s="26">
        <f t="shared" ca="1" si="2"/>
        <v>1</v>
      </c>
      <c r="J1307" s="86">
        <f t="shared" ca="1" si="3"/>
        <v>44890</v>
      </c>
      <c r="R1307" s="26"/>
    </row>
    <row r="1308" spans="1:18" ht="15.75" customHeight="1">
      <c r="A1308" s="26">
        <f ca="1">IFERROR(__xludf.DUMMYFUNCTION("""COMPUTED_VALUE"""),16834)</f>
        <v>16834</v>
      </c>
      <c r="B1308" s="86">
        <f ca="1">IFERROR(__xludf.DUMMYFUNCTION("""COMPUTED_VALUE"""),44890.8338078703)</f>
        <v>44890.833807870302</v>
      </c>
      <c r="C1308" s="1" t="str">
        <f ca="1">IFERROR(__xludf.DUMMYFUNCTION("""COMPUTED_VALUE"""),"completed")</f>
        <v>completed</v>
      </c>
      <c r="D1308" s="26">
        <f ca="1">IFERROR(__xludf.DUMMYFUNCTION("""COMPUTED_VALUE"""),25)</f>
        <v>25</v>
      </c>
      <c r="E1308" s="1" t="str">
        <f ca="1">IFERROR(__xludf.DUMMYFUNCTION("""COMPUTED_VALUE"""),"South Point Stars")</f>
        <v>South Point Stars</v>
      </c>
      <c r="F1308" s="87" t="str">
        <f t="shared" ca="1" si="0"/>
        <v>2022</v>
      </c>
      <c r="G1308" s="1" t="str">
        <f ca="1">IFERROR(__xludf.DUMMYFUNCTION("""COMPUTED_VALUE"""),"Windsor Hawks U11")</f>
        <v>Windsor Hawks U11</v>
      </c>
      <c r="H1308" s="26">
        <f t="shared" ca="1" si="1"/>
        <v>25</v>
      </c>
      <c r="I1308" s="26">
        <f t="shared" ca="1" si="2"/>
        <v>1</v>
      </c>
      <c r="J1308" s="86">
        <f t="shared" ca="1" si="3"/>
        <v>44890</v>
      </c>
      <c r="R1308" s="26"/>
    </row>
    <row r="1309" spans="1:18" ht="15.75" customHeight="1">
      <c r="A1309" s="26">
        <f ca="1">IFERROR(__xludf.DUMMYFUNCTION("""COMPUTED_VALUE"""),16833)</f>
        <v>16833</v>
      </c>
      <c r="B1309" s="86">
        <f ca="1">IFERROR(__xludf.DUMMYFUNCTION("""COMPUTED_VALUE"""),44890.7862962963)</f>
        <v>44890.786296296297</v>
      </c>
      <c r="C1309" s="1" t="str">
        <f ca="1">IFERROR(__xludf.DUMMYFUNCTION("""COMPUTED_VALUE"""),"completed")</f>
        <v>completed</v>
      </c>
      <c r="D1309" s="26">
        <f ca="1">IFERROR(__xludf.DUMMYFUNCTION("""COMPUTED_VALUE"""),90)</f>
        <v>90</v>
      </c>
      <c r="E1309" s="1" t="str">
        <f ca="1">IFERROR(__xludf.DUMMYFUNCTION("""COMPUTED_VALUE"""),"W.M.H.A")</f>
        <v>W.M.H.A</v>
      </c>
      <c r="F1309" s="87" t="str">
        <f t="shared" ca="1" si="0"/>
        <v>2022</v>
      </c>
      <c r="G1309" s="1" t="str">
        <f ca="1">IFERROR(__xludf.DUMMYFUNCTION("""COMPUTED_VALUE"""),"Harrow Minor Baseball")</f>
        <v>Harrow Minor Baseball</v>
      </c>
      <c r="H1309" s="26">
        <f t="shared" ca="1" si="1"/>
        <v>90</v>
      </c>
      <c r="I1309" s="26">
        <f t="shared" ca="1" si="2"/>
        <v>1</v>
      </c>
      <c r="J1309" s="86">
        <f t="shared" ca="1" si="3"/>
        <v>44890</v>
      </c>
      <c r="R1309" s="26"/>
    </row>
    <row r="1310" spans="1:18" ht="15.75" customHeight="1">
      <c r="A1310" s="26">
        <f ca="1">IFERROR(__xludf.DUMMYFUNCTION("""COMPUTED_VALUE"""),16832)</f>
        <v>16832</v>
      </c>
      <c r="B1310" s="86">
        <f ca="1">IFERROR(__xludf.DUMMYFUNCTION("""COMPUTED_VALUE"""),44890.688912037)</f>
        <v>44890.688912037003</v>
      </c>
      <c r="C1310" s="1" t="str">
        <f ca="1">IFERROR(__xludf.DUMMYFUNCTION("""COMPUTED_VALUE"""),"completed")</f>
        <v>completed</v>
      </c>
      <c r="D1310" s="26">
        <f ca="1">IFERROR(__xludf.DUMMYFUNCTION("""COMPUTED_VALUE"""),25)</f>
        <v>25</v>
      </c>
      <c r="E1310" s="1" t="str">
        <f ca="1">IFERROR(__xludf.DUMMYFUNCTION("""COMPUTED_VALUE"""),"W.M.H.A")</f>
        <v>W.M.H.A</v>
      </c>
      <c r="F1310" s="87" t="str">
        <f t="shared" ca="1" si="0"/>
        <v>2022</v>
      </c>
      <c r="G1310" s="1" t="str">
        <f ca="1">IFERROR(__xludf.DUMMYFUNCTION("""COMPUTED_VALUE"""),"Lakeshore Lightning Hockey")</f>
        <v>Lakeshore Lightning Hockey</v>
      </c>
      <c r="H1310" s="26">
        <f t="shared" ca="1" si="1"/>
        <v>25</v>
      </c>
      <c r="I1310" s="26">
        <f t="shared" ca="1" si="2"/>
        <v>1</v>
      </c>
      <c r="J1310" s="86">
        <f t="shared" ca="1" si="3"/>
        <v>44890</v>
      </c>
      <c r="R1310" s="26"/>
    </row>
    <row r="1311" spans="1:18" ht="15.75" customHeight="1">
      <c r="A1311" s="26">
        <f ca="1">IFERROR(__xludf.DUMMYFUNCTION("""COMPUTED_VALUE"""),16826)</f>
        <v>16826</v>
      </c>
      <c r="B1311" s="86">
        <f ca="1">IFERROR(__xludf.DUMMYFUNCTION("""COMPUTED_VALUE"""),44890.1186921296)</f>
        <v>44890.118692129603</v>
      </c>
      <c r="C1311" s="1" t="str">
        <f ca="1">IFERROR(__xludf.DUMMYFUNCTION("""COMPUTED_VALUE"""),"completed")</f>
        <v>completed</v>
      </c>
      <c r="D1311" s="26">
        <f ca="1">IFERROR(__xludf.DUMMYFUNCTION("""COMPUTED_VALUE"""),86)</f>
        <v>86</v>
      </c>
      <c r="E1311" s="1" t="str">
        <f ca="1">IFERROR(__xludf.DUMMYFUNCTION("""COMPUTED_VALUE"""),"W.M.H.A")</f>
        <v>W.M.H.A</v>
      </c>
      <c r="F1311" s="87" t="str">
        <f t="shared" ca="1" si="0"/>
        <v>2022</v>
      </c>
      <c r="G1311" s="1" t="str">
        <f ca="1">IFERROR(__xludf.DUMMYFUNCTION("""COMPUTED_VALUE"""),"Lakeshore Lightning Hockey")</f>
        <v>Lakeshore Lightning Hockey</v>
      </c>
      <c r="H1311" s="26">
        <f t="shared" ca="1" si="1"/>
        <v>86</v>
      </c>
      <c r="I1311" s="26">
        <f t="shared" ca="1" si="2"/>
        <v>1</v>
      </c>
      <c r="J1311" s="86">
        <f t="shared" ca="1" si="3"/>
        <v>44890</v>
      </c>
      <c r="R1311" s="26"/>
    </row>
    <row r="1312" spans="1:18" ht="15.75" customHeight="1">
      <c r="A1312" s="26">
        <f ca="1">IFERROR(__xludf.DUMMYFUNCTION("""COMPUTED_VALUE"""),16825)</f>
        <v>16825</v>
      </c>
      <c r="B1312" s="86">
        <f ca="1">IFERROR(__xludf.DUMMYFUNCTION("""COMPUTED_VALUE"""),44890.0991666666)</f>
        <v>44890.099166666601</v>
      </c>
      <c r="C1312" s="1" t="str">
        <f ca="1">IFERROR(__xludf.DUMMYFUNCTION("""COMPUTED_VALUE"""),"completed")</f>
        <v>completed</v>
      </c>
      <c r="D1312" s="26">
        <f ca="1">IFERROR(__xludf.DUMMYFUNCTION("""COMPUTED_VALUE"""),79)</f>
        <v>79</v>
      </c>
      <c r="E1312" s="1" t="str">
        <f ca="1">IFERROR(__xludf.DUMMYFUNCTION("""COMPUTED_VALUE"""),"W.M.H.A")</f>
        <v>W.M.H.A</v>
      </c>
      <c r="F1312" s="87" t="str">
        <f t="shared" ca="1" si="0"/>
        <v>2022</v>
      </c>
      <c r="G1312" s="1" t="str">
        <f ca="1">IFERROR(__xludf.DUMMYFUNCTION("""COMPUTED_VALUE"""),"Harrow Minor Baseball")</f>
        <v>Harrow Minor Baseball</v>
      </c>
      <c r="H1312" s="26">
        <f t="shared" ca="1" si="1"/>
        <v>79</v>
      </c>
      <c r="I1312" s="26">
        <f t="shared" ca="1" si="2"/>
        <v>1</v>
      </c>
      <c r="J1312" s="86">
        <f t="shared" ca="1" si="3"/>
        <v>44890</v>
      </c>
      <c r="R1312" s="26"/>
    </row>
    <row r="1313" spans="1:18" ht="15.75" customHeight="1">
      <c r="A1313" s="26">
        <f ca="1">IFERROR(__xludf.DUMMYFUNCTION("""COMPUTED_VALUE"""),16824)</f>
        <v>16824</v>
      </c>
      <c r="B1313" s="86">
        <f ca="1">IFERROR(__xludf.DUMMYFUNCTION("""COMPUTED_VALUE"""),44890.0271527777)</f>
        <v>44890.0271527777</v>
      </c>
      <c r="C1313" s="1" t="str">
        <f ca="1">IFERROR(__xludf.DUMMYFUNCTION("""COMPUTED_VALUE"""),"completed")</f>
        <v>completed</v>
      </c>
      <c r="D1313" s="26">
        <f ca="1">IFERROR(__xludf.DUMMYFUNCTION("""COMPUTED_VALUE"""),25)</f>
        <v>25</v>
      </c>
      <c r="E1313" s="1" t="str">
        <f ca="1">IFERROR(__xludf.DUMMYFUNCTION("""COMPUTED_VALUE"""),"South Point Stars")</f>
        <v>South Point Stars</v>
      </c>
      <c r="F1313" s="87" t="str">
        <f t="shared" ca="1" si="0"/>
        <v>2022</v>
      </c>
      <c r="G1313" s="1" t="str">
        <f ca="1">IFERROR(__xludf.DUMMYFUNCTION("""COMPUTED_VALUE"""),"Harrow Minor Baseball")</f>
        <v>Harrow Minor Baseball</v>
      </c>
      <c r="H1313" s="26">
        <f t="shared" ca="1" si="1"/>
        <v>25</v>
      </c>
      <c r="I1313" s="26">
        <f t="shared" ca="1" si="2"/>
        <v>1</v>
      </c>
      <c r="J1313" s="86">
        <f t="shared" ca="1" si="3"/>
        <v>44890</v>
      </c>
      <c r="R1313" s="26"/>
    </row>
    <row r="1314" spans="1:18" ht="15.75" customHeight="1">
      <c r="A1314" s="26">
        <f ca="1">IFERROR(__xludf.DUMMYFUNCTION("""COMPUTED_VALUE"""),16823)</f>
        <v>16823</v>
      </c>
      <c r="B1314" s="86">
        <f ca="1">IFERROR(__xludf.DUMMYFUNCTION("""COMPUTED_VALUE"""),44890.0249074074)</f>
        <v>44890.024907407402</v>
      </c>
      <c r="C1314" s="1" t="str">
        <f ca="1">IFERROR(__xludf.DUMMYFUNCTION("""COMPUTED_VALUE"""),"completed")</f>
        <v>completed</v>
      </c>
      <c r="D1314" s="26">
        <f ca="1">IFERROR(__xludf.DUMMYFUNCTION("""COMPUTED_VALUE"""),25)</f>
        <v>25</v>
      </c>
      <c r="E1314" s="1" t="str">
        <f ca="1">IFERROR(__xludf.DUMMYFUNCTION("""COMPUTED_VALUE"""),"South Point Stars")</f>
        <v>South Point Stars</v>
      </c>
      <c r="F1314" s="87" t="str">
        <f t="shared" ca="1" si="0"/>
        <v>2022</v>
      </c>
      <c r="G1314" s="1" t="str">
        <f ca="1">IFERROR(__xludf.DUMMYFUNCTION("""COMPUTED_VALUE"""),"Harrow Minor Baseball")</f>
        <v>Harrow Minor Baseball</v>
      </c>
      <c r="H1314" s="26">
        <f t="shared" ca="1" si="1"/>
        <v>25</v>
      </c>
      <c r="I1314" s="26">
        <f t="shared" ca="1" si="2"/>
        <v>1</v>
      </c>
      <c r="J1314" s="86">
        <f t="shared" ca="1" si="3"/>
        <v>44890</v>
      </c>
      <c r="R1314" s="26"/>
    </row>
    <row r="1315" spans="1:18" ht="15.75" customHeight="1">
      <c r="A1315" s="26">
        <f ca="1">IFERROR(__xludf.DUMMYFUNCTION("""COMPUTED_VALUE"""),16822)</f>
        <v>16822</v>
      </c>
      <c r="B1315" s="86">
        <f ca="1">IFERROR(__xludf.DUMMYFUNCTION("""COMPUTED_VALUE"""),44889.9936111111)</f>
        <v>44889.993611111102</v>
      </c>
      <c r="C1315" s="1" t="str">
        <f ca="1">IFERROR(__xludf.DUMMYFUNCTION("""COMPUTED_VALUE"""),"completed")</f>
        <v>completed</v>
      </c>
      <c r="D1315" s="26">
        <f ca="1">IFERROR(__xludf.DUMMYFUNCTION("""COMPUTED_VALUE"""),25)</f>
        <v>25</v>
      </c>
      <c r="E1315" s="1" t="str">
        <f ca="1">IFERROR(__xludf.DUMMYFUNCTION("""COMPUTED_VALUE"""),"South Point Stars")</f>
        <v>South Point Stars</v>
      </c>
      <c r="F1315" s="87" t="str">
        <f t="shared" ca="1" si="0"/>
        <v>2022</v>
      </c>
      <c r="G1315" s="1" t="str">
        <f ca="1">IFERROR(__xludf.DUMMYFUNCTION("""COMPUTED_VALUE"""),"Essex Thunder Minor Hockey")</f>
        <v>Essex Thunder Minor Hockey</v>
      </c>
      <c r="H1315" s="26">
        <f t="shared" ca="1" si="1"/>
        <v>25</v>
      </c>
      <c r="I1315" s="26">
        <f t="shared" ca="1" si="2"/>
        <v>1</v>
      </c>
      <c r="J1315" s="86">
        <f t="shared" ca="1" si="3"/>
        <v>44889</v>
      </c>
      <c r="R1315" s="26"/>
    </row>
    <row r="1316" spans="1:18" ht="15.75" customHeight="1">
      <c r="A1316" s="26">
        <f ca="1">IFERROR(__xludf.DUMMYFUNCTION("""COMPUTED_VALUE"""),16821)</f>
        <v>16821</v>
      </c>
      <c r="B1316" s="86">
        <f ca="1">IFERROR(__xludf.DUMMYFUNCTION("""COMPUTED_VALUE"""),44889.9928356481)</f>
        <v>44889.992835648103</v>
      </c>
      <c r="C1316" s="1" t="str">
        <f ca="1">IFERROR(__xludf.DUMMYFUNCTION("""COMPUTED_VALUE"""),"completed")</f>
        <v>completed</v>
      </c>
      <c r="D1316" s="26">
        <f ca="1">IFERROR(__xludf.DUMMYFUNCTION("""COMPUTED_VALUE"""),25)</f>
        <v>25</v>
      </c>
      <c r="E1316" s="1" t="str">
        <f ca="1">IFERROR(__xludf.DUMMYFUNCTION("""COMPUTED_VALUE"""),"South Point Stars")</f>
        <v>South Point Stars</v>
      </c>
      <c r="F1316" s="87" t="str">
        <f t="shared" ca="1" si="0"/>
        <v>2022</v>
      </c>
      <c r="G1316" s="1" t="str">
        <f ca="1">IFERROR(__xludf.DUMMYFUNCTION("""COMPUTED_VALUE"""),"Essex Thunder Minor Hockey")</f>
        <v>Essex Thunder Minor Hockey</v>
      </c>
      <c r="H1316" s="26">
        <f t="shared" ca="1" si="1"/>
        <v>25</v>
      </c>
      <c r="I1316" s="26">
        <f t="shared" ca="1" si="2"/>
        <v>1</v>
      </c>
      <c r="J1316" s="86">
        <f t="shared" ca="1" si="3"/>
        <v>44889</v>
      </c>
      <c r="R1316" s="26"/>
    </row>
    <row r="1317" spans="1:18" ht="15.75" customHeight="1">
      <c r="A1317" s="26">
        <f ca="1">IFERROR(__xludf.DUMMYFUNCTION("""COMPUTED_VALUE"""),16820)</f>
        <v>16820</v>
      </c>
      <c r="B1317" s="86">
        <f ca="1">IFERROR(__xludf.DUMMYFUNCTION("""COMPUTED_VALUE"""),44889.990625)</f>
        <v>44889.990624999999</v>
      </c>
      <c r="C1317" s="1" t="str">
        <f ca="1">IFERROR(__xludf.DUMMYFUNCTION("""COMPUTED_VALUE"""),"completed")</f>
        <v>completed</v>
      </c>
      <c r="D1317" s="26">
        <f ca="1">IFERROR(__xludf.DUMMYFUNCTION("""COMPUTED_VALUE"""),25)</f>
        <v>25</v>
      </c>
      <c r="E1317" s="1" t="str">
        <f ca="1">IFERROR(__xludf.DUMMYFUNCTION("""COMPUTED_VALUE"""),"South Point Stars")</f>
        <v>South Point Stars</v>
      </c>
      <c r="F1317" s="87" t="str">
        <f t="shared" ca="1" si="0"/>
        <v>2022</v>
      </c>
      <c r="G1317" s="1" t="str">
        <f ca="1">IFERROR(__xludf.DUMMYFUNCTION("""COMPUTED_VALUE"""),"Windsor Wildcats Hockey")</f>
        <v>Windsor Wildcats Hockey</v>
      </c>
      <c r="H1317" s="26">
        <f t="shared" ca="1" si="1"/>
        <v>25</v>
      </c>
      <c r="I1317" s="26">
        <f t="shared" ca="1" si="2"/>
        <v>1</v>
      </c>
      <c r="J1317" s="86">
        <f t="shared" ca="1" si="3"/>
        <v>44889</v>
      </c>
      <c r="R1317" s="26"/>
    </row>
    <row r="1318" spans="1:18" ht="15.75" customHeight="1">
      <c r="A1318" s="26">
        <f ca="1">IFERROR(__xludf.DUMMYFUNCTION("""COMPUTED_VALUE"""),16819)</f>
        <v>16819</v>
      </c>
      <c r="B1318" s="86">
        <f ca="1">IFERROR(__xludf.DUMMYFUNCTION("""COMPUTED_VALUE"""),44889.9112268518)</f>
        <v>44889.9112268518</v>
      </c>
      <c r="C1318" s="1" t="str">
        <f ca="1">IFERROR(__xludf.DUMMYFUNCTION("""COMPUTED_VALUE"""),"completed")</f>
        <v>completed</v>
      </c>
      <c r="D1318" s="26">
        <f ca="1">IFERROR(__xludf.DUMMYFUNCTION("""COMPUTED_VALUE"""),25)</f>
        <v>25</v>
      </c>
      <c r="E1318" s="1" t="str">
        <f ca="1">IFERROR(__xludf.DUMMYFUNCTION("""COMPUTED_VALUE"""),"South Point Stars")</f>
        <v>South Point Stars</v>
      </c>
      <c r="F1318" s="87" t="str">
        <f t="shared" ca="1" si="0"/>
        <v>2022</v>
      </c>
      <c r="G1318" s="1" t="str">
        <f ca="1">IFERROR(__xludf.DUMMYFUNCTION("""COMPUTED_VALUE"""),"W.M.H.A")</f>
        <v>W.M.H.A</v>
      </c>
      <c r="H1318" s="26">
        <f t="shared" ca="1" si="1"/>
        <v>25</v>
      </c>
      <c r="I1318" s="26">
        <f t="shared" ca="1" si="2"/>
        <v>1</v>
      </c>
      <c r="J1318" s="86">
        <f t="shared" ca="1" si="3"/>
        <v>44889</v>
      </c>
      <c r="R1318" s="26"/>
    </row>
    <row r="1319" spans="1:18" ht="15.75" customHeight="1">
      <c r="A1319" s="26">
        <f ca="1">IFERROR(__xludf.DUMMYFUNCTION("""COMPUTED_VALUE"""),16818)</f>
        <v>16818</v>
      </c>
      <c r="B1319" s="86">
        <f ca="1">IFERROR(__xludf.DUMMYFUNCTION("""COMPUTED_VALUE"""),44889.8631828703)</f>
        <v>44889.8631828703</v>
      </c>
      <c r="C1319" s="1" t="str">
        <f ca="1">IFERROR(__xludf.DUMMYFUNCTION("""COMPUTED_VALUE"""),"completed")</f>
        <v>completed</v>
      </c>
      <c r="D1319" s="26">
        <f ca="1">IFERROR(__xludf.DUMMYFUNCTION("""COMPUTED_VALUE"""),25)</f>
        <v>25</v>
      </c>
      <c r="E1319" s="1" t="str">
        <f ca="1">IFERROR(__xludf.DUMMYFUNCTION("""COMPUTED_VALUE"""),"South Point Stars")</f>
        <v>South Point Stars</v>
      </c>
      <c r="F1319" s="87" t="str">
        <f t="shared" ca="1" si="0"/>
        <v>2022</v>
      </c>
      <c r="G1319" s="1" t="str">
        <f ca="1">IFERROR(__xludf.DUMMYFUNCTION("""COMPUTED_VALUE"""),"Windsor AAA Zone Hockey")</f>
        <v>Windsor AAA Zone Hockey</v>
      </c>
      <c r="H1319" s="26">
        <f t="shared" ca="1" si="1"/>
        <v>25</v>
      </c>
      <c r="I1319" s="26">
        <f t="shared" ca="1" si="2"/>
        <v>1</v>
      </c>
      <c r="J1319" s="86">
        <f t="shared" ca="1" si="3"/>
        <v>44889</v>
      </c>
      <c r="R1319" s="26"/>
    </row>
    <row r="1320" spans="1:18" ht="15.75" customHeight="1">
      <c r="A1320" s="26">
        <f ca="1">IFERROR(__xludf.DUMMYFUNCTION("""COMPUTED_VALUE"""),16817)</f>
        <v>16817</v>
      </c>
      <c r="B1320" s="86">
        <f ca="1">IFERROR(__xludf.DUMMYFUNCTION("""COMPUTED_VALUE"""),44889.8183217592)</f>
        <v>44889.818321759201</v>
      </c>
      <c r="C1320" s="1" t="str">
        <f ca="1">IFERROR(__xludf.DUMMYFUNCTION("""COMPUTED_VALUE"""),"completed")</f>
        <v>completed</v>
      </c>
      <c r="D1320" s="26">
        <f ca="1">IFERROR(__xludf.DUMMYFUNCTION("""COMPUTED_VALUE"""),43)</f>
        <v>43</v>
      </c>
      <c r="E1320" s="1" t="str">
        <f ca="1">IFERROR(__xludf.DUMMYFUNCTION("""COMPUTED_VALUE"""),"W.M.H.A")</f>
        <v>W.M.H.A</v>
      </c>
      <c r="F1320" s="87" t="str">
        <f t="shared" ca="1" si="0"/>
        <v>2022</v>
      </c>
      <c r="G1320" s="1" t="str">
        <f ca="1">IFERROR(__xludf.DUMMYFUNCTION("""COMPUTED_VALUE"""),"W.M.H.A")</f>
        <v>W.M.H.A</v>
      </c>
      <c r="H1320" s="26">
        <f t="shared" ca="1" si="1"/>
        <v>43</v>
      </c>
      <c r="I1320" s="26">
        <f t="shared" ca="1" si="2"/>
        <v>1</v>
      </c>
      <c r="J1320" s="86">
        <f t="shared" ca="1" si="3"/>
        <v>44889</v>
      </c>
      <c r="R1320" s="26"/>
    </row>
    <row r="1321" spans="1:18" ht="15.75" customHeight="1">
      <c r="A1321" s="26">
        <f ca="1">IFERROR(__xludf.DUMMYFUNCTION("""COMPUTED_VALUE"""),16816)</f>
        <v>16816</v>
      </c>
      <c r="B1321" s="86">
        <f ca="1">IFERROR(__xludf.DUMMYFUNCTION("""COMPUTED_VALUE"""),44889.5958101851)</f>
        <v>44889.595810185099</v>
      </c>
      <c r="C1321" s="1" t="str">
        <f ca="1">IFERROR(__xludf.DUMMYFUNCTION("""COMPUTED_VALUE"""),"completed")</f>
        <v>completed</v>
      </c>
      <c r="D1321" s="26">
        <f ca="1">IFERROR(__xludf.DUMMYFUNCTION("""COMPUTED_VALUE"""),28)</f>
        <v>28</v>
      </c>
      <c r="E1321" s="1" t="str">
        <f ca="1">IFERROR(__xludf.DUMMYFUNCTION("""COMPUTED_VALUE"""),"W.M.H.A")</f>
        <v>W.M.H.A</v>
      </c>
      <c r="F1321" s="87" t="str">
        <f t="shared" ca="1" si="0"/>
        <v>2022</v>
      </c>
      <c r="G1321" s="1" t="str">
        <f ca="1">IFERROR(__xludf.DUMMYFUNCTION("""COMPUTED_VALUE"""),"W.M.H.A")</f>
        <v>W.M.H.A</v>
      </c>
      <c r="H1321" s="26">
        <f t="shared" ca="1" si="1"/>
        <v>28</v>
      </c>
      <c r="I1321" s="26">
        <f t="shared" ca="1" si="2"/>
        <v>1</v>
      </c>
      <c r="J1321" s="86">
        <f t="shared" ca="1" si="3"/>
        <v>44889</v>
      </c>
      <c r="R1321" s="26"/>
    </row>
    <row r="1322" spans="1:18" ht="15.75" customHeight="1">
      <c r="A1322" s="26">
        <f ca="1">IFERROR(__xludf.DUMMYFUNCTION("""COMPUTED_VALUE"""),16815)</f>
        <v>16815</v>
      </c>
      <c r="B1322" s="86">
        <f ca="1">IFERROR(__xludf.DUMMYFUNCTION("""COMPUTED_VALUE"""),44889.5446643518)</f>
        <v>44889.544664351801</v>
      </c>
      <c r="C1322" s="1" t="str">
        <f ca="1">IFERROR(__xludf.DUMMYFUNCTION("""COMPUTED_VALUE"""),"completed")</f>
        <v>completed</v>
      </c>
      <c r="D1322" s="26">
        <f ca="1">IFERROR(__xludf.DUMMYFUNCTION("""COMPUTED_VALUE"""),25)</f>
        <v>25</v>
      </c>
      <c r="E1322" s="1" t="str">
        <f ca="1">IFERROR(__xludf.DUMMYFUNCTION("""COMPUTED_VALUE"""),"South Point Stars")</f>
        <v>South Point Stars</v>
      </c>
      <c r="F1322" s="87" t="str">
        <f t="shared" ca="1" si="0"/>
        <v>2022</v>
      </c>
      <c r="G1322" s="1" t="str">
        <f ca="1">IFERROR(__xludf.DUMMYFUNCTION("""COMPUTED_VALUE"""),"W.M.H.A")</f>
        <v>W.M.H.A</v>
      </c>
      <c r="H1322" s="26">
        <f t="shared" ca="1" si="1"/>
        <v>25</v>
      </c>
      <c r="I1322" s="26">
        <f t="shared" ca="1" si="2"/>
        <v>1</v>
      </c>
      <c r="J1322" s="86">
        <f t="shared" ca="1" si="3"/>
        <v>44889</v>
      </c>
      <c r="R1322" s="26"/>
    </row>
    <row r="1323" spans="1:18" ht="15.75" customHeight="1">
      <c r="A1323" s="26">
        <f ca="1">IFERROR(__xludf.DUMMYFUNCTION("""COMPUTED_VALUE"""),16812)</f>
        <v>16812</v>
      </c>
      <c r="B1323" s="86">
        <f ca="1">IFERROR(__xludf.DUMMYFUNCTION("""COMPUTED_VALUE"""),44889.1807407407)</f>
        <v>44889.180740740703</v>
      </c>
      <c r="C1323" s="1" t="str">
        <f ca="1">IFERROR(__xludf.DUMMYFUNCTION("""COMPUTED_VALUE"""),"completed")</f>
        <v>completed</v>
      </c>
      <c r="D1323" s="26">
        <f ca="1">IFERROR(__xludf.DUMMYFUNCTION("""COMPUTED_VALUE"""),25)</f>
        <v>25</v>
      </c>
      <c r="E1323" s="1" t="str">
        <f ca="1">IFERROR(__xludf.DUMMYFUNCTION("""COMPUTED_VALUE"""),"South Point Stars")</f>
        <v>South Point Stars</v>
      </c>
      <c r="F1323" s="87" t="str">
        <f t="shared" ca="1" si="0"/>
        <v>2022</v>
      </c>
      <c r="G1323" s="1" t="str">
        <f ca="1">IFERROR(__xludf.DUMMYFUNCTION("""COMPUTED_VALUE"""),"W.M.H.A")</f>
        <v>W.M.H.A</v>
      </c>
      <c r="H1323" s="26">
        <f t="shared" ca="1" si="1"/>
        <v>25</v>
      </c>
      <c r="I1323" s="26">
        <f t="shared" ca="1" si="2"/>
        <v>1</v>
      </c>
      <c r="J1323" s="86">
        <f t="shared" ca="1" si="3"/>
        <v>44889</v>
      </c>
      <c r="R1323" s="26"/>
    </row>
    <row r="1324" spans="1:18" ht="15.75" customHeight="1">
      <c r="A1324" s="26">
        <f ca="1">IFERROR(__xludf.DUMMYFUNCTION("""COMPUTED_VALUE"""),16811)</f>
        <v>16811</v>
      </c>
      <c r="B1324" s="86">
        <f ca="1">IFERROR(__xludf.DUMMYFUNCTION("""COMPUTED_VALUE"""),44889.1467013888)</f>
        <v>44889.146701388803</v>
      </c>
      <c r="C1324" s="1" t="str">
        <f ca="1">IFERROR(__xludf.DUMMYFUNCTION("""COMPUTED_VALUE"""),"completed")</f>
        <v>completed</v>
      </c>
      <c r="D1324" s="26">
        <f ca="1">IFERROR(__xludf.DUMMYFUNCTION("""COMPUTED_VALUE"""),76)</f>
        <v>76</v>
      </c>
      <c r="E1324" s="1" t="str">
        <f ca="1">IFERROR(__xludf.DUMMYFUNCTION("""COMPUTED_VALUE"""),"W.M.H.A")</f>
        <v>W.M.H.A</v>
      </c>
      <c r="F1324" s="87" t="str">
        <f t="shared" ca="1" si="0"/>
        <v>2022</v>
      </c>
      <c r="G1324" s="1" t="str">
        <f ca="1">IFERROR(__xludf.DUMMYFUNCTION("""COMPUTED_VALUE"""),"W.M.H.A")</f>
        <v>W.M.H.A</v>
      </c>
      <c r="H1324" s="26">
        <f t="shared" ca="1" si="1"/>
        <v>76</v>
      </c>
      <c r="I1324" s="26">
        <f t="shared" ca="1" si="2"/>
        <v>1</v>
      </c>
      <c r="J1324" s="86">
        <f t="shared" ca="1" si="3"/>
        <v>44889</v>
      </c>
      <c r="R1324" s="26"/>
    </row>
    <row r="1325" spans="1:18" ht="15.75" customHeight="1">
      <c r="A1325" s="26">
        <f ca="1">IFERROR(__xludf.DUMMYFUNCTION("""COMPUTED_VALUE"""),16810)</f>
        <v>16810</v>
      </c>
      <c r="B1325" s="86">
        <f ca="1">IFERROR(__xludf.DUMMYFUNCTION("""COMPUTED_VALUE"""),44889.1224421296)</f>
        <v>44889.122442129599</v>
      </c>
      <c r="C1325" s="1" t="str">
        <f ca="1">IFERROR(__xludf.DUMMYFUNCTION("""COMPUTED_VALUE"""),"completed")</f>
        <v>completed</v>
      </c>
      <c r="D1325" s="26">
        <f ca="1">IFERROR(__xludf.DUMMYFUNCTION("""COMPUTED_VALUE"""),15)</f>
        <v>15</v>
      </c>
      <c r="E1325" s="1" t="str">
        <f ca="1">IFERROR(__xludf.DUMMYFUNCTION("""COMPUTED_VALUE"""),"W.M.H.A")</f>
        <v>W.M.H.A</v>
      </c>
      <c r="F1325" s="87" t="str">
        <f t="shared" ca="1" si="0"/>
        <v>2022</v>
      </c>
      <c r="G1325" s="1" t="str">
        <f ca="1">IFERROR(__xludf.DUMMYFUNCTION("""COMPUTED_VALUE"""),"W.M.H.A")</f>
        <v>W.M.H.A</v>
      </c>
      <c r="H1325" s="26">
        <f t="shared" ca="1" si="1"/>
        <v>15</v>
      </c>
      <c r="I1325" s="26">
        <f t="shared" ca="1" si="2"/>
        <v>1</v>
      </c>
      <c r="J1325" s="86">
        <f t="shared" ca="1" si="3"/>
        <v>44889</v>
      </c>
      <c r="R1325" s="26"/>
    </row>
    <row r="1326" spans="1:18" ht="15.75" customHeight="1">
      <c r="A1326" s="26">
        <f ca="1">IFERROR(__xludf.DUMMYFUNCTION("""COMPUTED_VALUE"""),16809)</f>
        <v>16809</v>
      </c>
      <c r="B1326" s="86">
        <f ca="1">IFERROR(__xludf.DUMMYFUNCTION("""COMPUTED_VALUE"""),44889.0269907407)</f>
        <v>44889.026990740698</v>
      </c>
      <c r="C1326" s="1" t="str">
        <f ca="1">IFERROR(__xludf.DUMMYFUNCTION("""COMPUTED_VALUE"""),"completed")</f>
        <v>completed</v>
      </c>
      <c r="D1326" s="26">
        <f ca="1">IFERROR(__xludf.DUMMYFUNCTION("""COMPUTED_VALUE"""),30)</f>
        <v>30</v>
      </c>
      <c r="E1326" s="1" t="str">
        <f ca="1">IFERROR(__xludf.DUMMYFUNCTION("""COMPUTED_VALUE"""),"W.M.H.A")</f>
        <v>W.M.H.A</v>
      </c>
      <c r="F1326" s="87" t="str">
        <f t="shared" ca="1" si="0"/>
        <v>2022</v>
      </c>
      <c r="G1326" s="1" t="str">
        <f ca="1">IFERROR(__xludf.DUMMYFUNCTION("""COMPUTED_VALUE"""),"Windsor AAA Zone Hockey")</f>
        <v>Windsor AAA Zone Hockey</v>
      </c>
      <c r="H1326" s="26">
        <f t="shared" ca="1" si="1"/>
        <v>30</v>
      </c>
      <c r="I1326" s="26">
        <f t="shared" ca="1" si="2"/>
        <v>1</v>
      </c>
      <c r="J1326" s="86">
        <f t="shared" ca="1" si="3"/>
        <v>44889</v>
      </c>
      <c r="R1326" s="26"/>
    </row>
    <row r="1327" spans="1:18" ht="15.75" customHeight="1">
      <c r="A1327" s="26">
        <f ca="1">IFERROR(__xludf.DUMMYFUNCTION("""COMPUTED_VALUE"""),16807)</f>
        <v>16807</v>
      </c>
      <c r="B1327" s="86">
        <f ca="1">IFERROR(__xludf.DUMMYFUNCTION("""COMPUTED_VALUE"""),44889.0066550925)</f>
        <v>44889.006655092497</v>
      </c>
      <c r="C1327" s="1" t="str">
        <f ca="1">IFERROR(__xludf.DUMMYFUNCTION("""COMPUTED_VALUE"""),"completed")</f>
        <v>completed</v>
      </c>
      <c r="D1327" s="26">
        <f ca="1">IFERROR(__xludf.DUMMYFUNCTION("""COMPUTED_VALUE"""),25)</f>
        <v>25</v>
      </c>
      <c r="E1327" s="1" t="str">
        <f ca="1">IFERROR(__xludf.DUMMYFUNCTION("""COMPUTED_VALUE"""),"W.M.H.A")</f>
        <v>W.M.H.A</v>
      </c>
      <c r="F1327" s="87" t="str">
        <f t="shared" ca="1" si="0"/>
        <v>2022</v>
      </c>
      <c r="G1327" s="1" t="str">
        <f ca="1">IFERROR(__xludf.DUMMYFUNCTION("""COMPUTED_VALUE"""),"Lakeshore Lightning Hockey")</f>
        <v>Lakeshore Lightning Hockey</v>
      </c>
      <c r="H1327" s="26">
        <f t="shared" ca="1" si="1"/>
        <v>25</v>
      </c>
      <c r="I1327" s="26">
        <f t="shared" ca="1" si="2"/>
        <v>1</v>
      </c>
      <c r="J1327" s="86">
        <f t="shared" ca="1" si="3"/>
        <v>44889</v>
      </c>
      <c r="R1327" s="26"/>
    </row>
    <row r="1328" spans="1:18" ht="15.75" customHeight="1">
      <c r="A1328" s="26">
        <f ca="1">IFERROR(__xludf.DUMMYFUNCTION("""COMPUTED_VALUE"""),16806)</f>
        <v>16806</v>
      </c>
      <c r="B1328" s="86">
        <f ca="1">IFERROR(__xludf.DUMMYFUNCTION("""COMPUTED_VALUE"""),44889.0050231481)</f>
        <v>44889.0050231481</v>
      </c>
      <c r="C1328" s="1" t="str">
        <f ca="1">IFERROR(__xludf.DUMMYFUNCTION("""COMPUTED_VALUE"""),"completed")</f>
        <v>completed</v>
      </c>
      <c r="D1328" s="26">
        <f ca="1">IFERROR(__xludf.DUMMYFUNCTION("""COMPUTED_VALUE"""),25)</f>
        <v>25</v>
      </c>
      <c r="E1328" s="1" t="str">
        <f ca="1">IFERROR(__xludf.DUMMYFUNCTION("""COMPUTED_VALUE"""),"W.M.H.A")</f>
        <v>W.M.H.A</v>
      </c>
      <c r="F1328" s="87" t="str">
        <f t="shared" ca="1" si="0"/>
        <v>2022</v>
      </c>
      <c r="G1328" s="1" t="str">
        <f ca="1">IFERROR(__xludf.DUMMYFUNCTION("""COMPUTED_VALUE"""),"W.M.H.A")</f>
        <v>W.M.H.A</v>
      </c>
      <c r="H1328" s="26">
        <f t="shared" ca="1" si="1"/>
        <v>25</v>
      </c>
      <c r="I1328" s="26">
        <f t="shared" ca="1" si="2"/>
        <v>1</v>
      </c>
      <c r="J1328" s="86">
        <f t="shared" ca="1" si="3"/>
        <v>44889</v>
      </c>
      <c r="R1328" s="26"/>
    </row>
    <row r="1329" spans="1:18" ht="15.75" customHeight="1">
      <c r="A1329" s="26">
        <f ca="1">IFERROR(__xludf.DUMMYFUNCTION("""COMPUTED_VALUE"""),16805)</f>
        <v>16805</v>
      </c>
      <c r="B1329" s="86">
        <f ca="1">IFERROR(__xludf.DUMMYFUNCTION("""COMPUTED_VALUE"""),44888.9971412037)</f>
        <v>44888.997141203698</v>
      </c>
      <c r="C1329" s="1" t="str">
        <f ca="1">IFERROR(__xludf.DUMMYFUNCTION("""COMPUTED_VALUE"""),"completed")</f>
        <v>completed</v>
      </c>
      <c r="D1329" s="26">
        <f ca="1">IFERROR(__xludf.DUMMYFUNCTION("""COMPUTED_VALUE"""),55)</f>
        <v>55</v>
      </c>
      <c r="E1329" s="1" t="str">
        <f ca="1">IFERROR(__xludf.DUMMYFUNCTION("""COMPUTED_VALUE"""),"W.M.H.A")</f>
        <v>W.M.H.A</v>
      </c>
      <c r="F1329" s="87" t="str">
        <f t="shared" ca="1" si="0"/>
        <v>2022</v>
      </c>
      <c r="G1329" s="1" t="str">
        <f ca="1">IFERROR(__xludf.DUMMYFUNCTION("""COMPUTED_VALUE"""),"W.M.H.A")</f>
        <v>W.M.H.A</v>
      </c>
      <c r="H1329" s="26">
        <f t="shared" ca="1" si="1"/>
        <v>55</v>
      </c>
      <c r="I1329" s="26">
        <f t="shared" ca="1" si="2"/>
        <v>1</v>
      </c>
      <c r="J1329" s="86">
        <f t="shared" ca="1" si="3"/>
        <v>44888</v>
      </c>
      <c r="R1329" s="26"/>
    </row>
    <row r="1330" spans="1:18" ht="15.75" customHeight="1">
      <c r="A1330" s="26">
        <f ca="1">IFERROR(__xludf.DUMMYFUNCTION("""COMPUTED_VALUE"""),16804)</f>
        <v>16804</v>
      </c>
      <c r="B1330" s="86">
        <f ca="1">IFERROR(__xludf.DUMMYFUNCTION("""COMPUTED_VALUE"""),44888.9948611111)</f>
        <v>44888.994861111103</v>
      </c>
      <c r="C1330" s="1" t="str">
        <f ca="1">IFERROR(__xludf.DUMMYFUNCTION("""COMPUTED_VALUE"""),"completed")</f>
        <v>completed</v>
      </c>
      <c r="D1330" s="26">
        <f ca="1">IFERROR(__xludf.DUMMYFUNCTION("""COMPUTED_VALUE"""),15)</f>
        <v>15</v>
      </c>
      <c r="E1330" s="1" t="str">
        <f ca="1">IFERROR(__xludf.DUMMYFUNCTION("""COMPUTED_VALUE"""),"W.M.H.A")</f>
        <v>W.M.H.A</v>
      </c>
      <c r="F1330" s="87" t="str">
        <f t="shared" ca="1" si="0"/>
        <v>2022</v>
      </c>
      <c r="G1330" s="1" t="str">
        <f ca="1">IFERROR(__xludf.DUMMYFUNCTION("""COMPUTED_VALUE"""),"Windsor AAA Zone Hockey")</f>
        <v>Windsor AAA Zone Hockey</v>
      </c>
      <c r="H1330" s="26">
        <f t="shared" ca="1" si="1"/>
        <v>15</v>
      </c>
      <c r="I1330" s="26">
        <f t="shared" ca="1" si="2"/>
        <v>1</v>
      </c>
      <c r="J1330" s="86">
        <f t="shared" ca="1" si="3"/>
        <v>44888</v>
      </c>
      <c r="R1330" s="26"/>
    </row>
    <row r="1331" spans="1:18" ht="15.75" customHeight="1">
      <c r="A1331" s="26">
        <f ca="1">IFERROR(__xludf.DUMMYFUNCTION("""COMPUTED_VALUE"""),16803)</f>
        <v>16803</v>
      </c>
      <c r="B1331" s="86">
        <f ca="1">IFERROR(__xludf.DUMMYFUNCTION("""COMPUTED_VALUE"""),44888.9938888888)</f>
        <v>44888.993888888799</v>
      </c>
      <c r="C1331" s="1" t="str">
        <f ca="1">IFERROR(__xludf.DUMMYFUNCTION("""COMPUTED_VALUE"""),"completed")</f>
        <v>completed</v>
      </c>
      <c r="D1331" s="26">
        <f ca="1">IFERROR(__xludf.DUMMYFUNCTION("""COMPUTED_VALUE"""),44)</f>
        <v>44</v>
      </c>
      <c r="E1331" s="1" t="str">
        <f ca="1">IFERROR(__xludf.DUMMYFUNCTION("""COMPUTED_VALUE"""),"W.M.H.A")</f>
        <v>W.M.H.A</v>
      </c>
      <c r="F1331" s="87" t="str">
        <f t="shared" ca="1" si="0"/>
        <v>2022</v>
      </c>
      <c r="G1331" s="1" t="str">
        <f ca="1">IFERROR(__xludf.DUMMYFUNCTION("""COMPUTED_VALUE"""),"Windsor AAA Zone Hockey")</f>
        <v>Windsor AAA Zone Hockey</v>
      </c>
      <c r="H1331" s="26">
        <f t="shared" ca="1" si="1"/>
        <v>44</v>
      </c>
      <c r="I1331" s="26">
        <f t="shared" ca="1" si="2"/>
        <v>1</v>
      </c>
      <c r="J1331" s="86">
        <f t="shared" ca="1" si="3"/>
        <v>44888</v>
      </c>
      <c r="R1331" s="26"/>
    </row>
    <row r="1332" spans="1:18" ht="15.75" customHeight="1">
      <c r="A1332" s="26">
        <f ca="1">IFERROR(__xludf.DUMMYFUNCTION("""COMPUTED_VALUE"""),16802)</f>
        <v>16802</v>
      </c>
      <c r="B1332" s="86">
        <f ca="1">IFERROR(__xludf.DUMMYFUNCTION("""COMPUTED_VALUE"""),44888.9825810185)</f>
        <v>44888.982581018499</v>
      </c>
      <c r="C1332" s="1" t="str">
        <f ca="1">IFERROR(__xludf.DUMMYFUNCTION("""COMPUTED_VALUE"""),"completed")</f>
        <v>completed</v>
      </c>
      <c r="D1332" s="26">
        <f ca="1">IFERROR(__xludf.DUMMYFUNCTION("""COMPUTED_VALUE"""),100)</f>
        <v>100</v>
      </c>
      <c r="E1332" s="1" t="str">
        <f ca="1">IFERROR(__xludf.DUMMYFUNCTION("""COMPUTED_VALUE"""),"W.M.H.A")</f>
        <v>W.M.H.A</v>
      </c>
      <c r="F1332" s="87" t="str">
        <f t="shared" ca="1" si="0"/>
        <v>2022</v>
      </c>
      <c r="G1332" s="1" t="str">
        <f ca="1">IFERROR(__xludf.DUMMYFUNCTION("""COMPUTED_VALUE"""),"Windsor AAA Zone Hockey")</f>
        <v>Windsor AAA Zone Hockey</v>
      </c>
      <c r="H1332" s="26">
        <f t="shared" ca="1" si="1"/>
        <v>100</v>
      </c>
      <c r="I1332" s="26">
        <f t="shared" ca="1" si="2"/>
        <v>1</v>
      </c>
      <c r="J1332" s="86">
        <f t="shared" ca="1" si="3"/>
        <v>44888</v>
      </c>
      <c r="R1332" s="26"/>
    </row>
    <row r="1333" spans="1:18" ht="15.75" customHeight="1">
      <c r="A1333" s="26">
        <f ca="1">IFERROR(__xludf.DUMMYFUNCTION("""COMPUTED_VALUE"""),16801)</f>
        <v>16801</v>
      </c>
      <c r="B1333" s="86">
        <f ca="1">IFERROR(__xludf.DUMMYFUNCTION("""COMPUTED_VALUE"""),44888.9754976851)</f>
        <v>44888.975497685104</v>
      </c>
      <c r="C1333" s="1" t="str">
        <f ca="1">IFERROR(__xludf.DUMMYFUNCTION("""COMPUTED_VALUE"""),"completed")</f>
        <v>completed</v>
      </c>
      <c r="D1333" s="26">
        <f ca="1">IFERROR(__xludf.DUMMYFUNCTION("""COMPUTED_VALUE"""),35)</f>
        <v>35</v>
      </c>
      <c r="E1333" s="1" t="str">
        <f ca="1">IFERROR(__xludf.DUMMYFUNCTION("""COMPUTED_VALUE"""),"W.M.H.A")</f>
        <v>W.M.H.A</v>
      </c>
      <c r="F1333" s="87" t="str">
        <f t="shared" ca="1" si="0"/>
        <v>2022</v>
      </c>
      <c r="G1333" s="1" t="str">
        <f ca="1">IFERROR(__xludf.DUMMYFUNCTION("""COMPUTED_VALUE"""),"Windsor AAA Zone Hockey")</f>
        <v>Windsor AAA Zone Hockey</v>
      </c>
      <c r="H1333" s="26">
        <f t="shared" ca="1" si="1"/>
        <v>35</v>
      </c>
      <c r="I1333" s="26">
        <f t="shared" ca="1" si="2"/>
        <v>1</v>
      </c>
      <c r="J1333" s="86">
        <f t="shared" ca="1" si="3"/>
        <v>44888</v>
      </c>
      <c r="R1333" s="26"/>
    </row>
    <row r="1334" spans="1:18" ht="15.75" customHeight="1">
      <c r="A1334" s="26">
        <f ca="1">IFERROR(__xludf.DUMMYFUNCTION("""COMPUTED_VALUE"""),16800)</f>
        <v>16800</v>
      </c>
      <c r="B1334" s="86">
        <f ca="1">IFERROR(__xludf.DUMMYFUNCTION("""COMPUTED_VALUE"""),44888.9699884259)</f>
        <v>44888.969988425903</v>
      </c>
      <c r="C1334" s="1" t="str">
        <f ca="1">IFERROR(__xludf.DUMMYFUNCTION("""COMPUTED_VALUE"""),"completed")</f>
        <v>completed</v>
      </c>
      <c r="D1334" s="26">
        <f ca="1">IFERROR(__xludf.DUMMYFUNCTION("""COMPUTED_VALUE"""),24)</f>
        <v>24</v>
      </c>
      <c r="E1334" s="1" t="str">
        <f ca="1">IFERROR(__xludf.DUMMYFUNCTION("""COMPUTED_VALUE"""),"W.M.H.A")</f>
        <v>W.M.H.A</v>
      </c>
      <c r="F1334" s="87" t="str">
        <f t="shared" ca="1" si="0"/>
        <v>2022</v>
      </c>
      <c r="G1334" s="1" t="str">
        <f ca="1">IFERROR(__xludf.DUMMYFUNCTION("""COMPUTED_VALUE"""),"Erie North Shore Minor Hockey")</f>
        <v>Erie North Shore Minor Hockey</v>
      </c>
      <c r="H1334" s="26">
        <f t="shared" ca="1" si="1"/>
        <v>24</v>
      </c>
      <c r="I1334" s="26">
        <f t="shared" ca="1" si="2"/>
        <v>1</v>
      </c>
      <c r="J1334" s="86">
        <f t="shared" ca="1" si="3"/>
        <v>44888</v>
      </c>
      <c r="R1334" s="26"/>
    </row>
    <row r="1335" spans="1:18" ht="15.75" customHeight="1">
      <c r="A1335" s="26">
        <f ca="1">IFERROR(__xludf.DUMMYFUNCTION("""COMPUTED_VALUE"""),16799)</f>
        <v>16799</v>
      </c>
      <c r="B1335" s="86">
        <f ca="1">IFERROR(__xludf.DUMMYFUNCTION("""COMPUTED_VALUE"""),44888.9680555555)</f>
        <v>44888.968055555502</v>
      </c>
      <c r="C1335" s="1" t="str">
        <f ca="1">IFERROR(__xludf.DUMMYFUNCTION("""COMPUTED_VALUE"""),"completed")</f>
        <v>completed</v>
      </c>
      <c r="D1335" s="26">
        <f ca="1">IFERROR(__xludf.DUMMYFUNCTION("""COMPUTED_VALUE"""),24)</f>
        <v>24</v>
      </c>
      <c r="E1335" s="1" t="str">
        <f ca="1">IFERROR(__xludf.DUMMYFUNCTION("""COMPUTED_VALUE"""),"W.M.H.A")</f>
        <v>W.M.H.A</v>
      </c>
      <c r="F1335" s="87" t="str">
        <f t="shared" ca="1" si="0"/>
        <v>2022</v>
      </c>
      <c r="G1335" s="1" t="str">
        <f ca="1">IFERROR(__xludf.DUMMYFUNCTION("""COMPUTED_VALUE"""),"W.M.H.A")</f>
        <v>W.M.H.A</v>
      </c>
      <c r="H1335" s="26">
        <f t="shared" ca="1" si="1"/>
        <v>24</v>
      </c>
      <c r="I1335" s="26">
        <f t="shared" ca="1" si="2"/>
        <v>1</v>
      </c>
      <c r="J1335" s="86">
        <f t="shared" ca="1" si="3"/>
        <v>44888</v>
      </c>
      <c r="R1335" s="26"/>
    </row>
    <row r="1336" spans="1:18" ht="15.75" customHeight="1">
      <c r="A1336" s="26">
        <f ca="1">IFERROR(__xludf.DUMMYFUNCTION("""COMPUTED_VALUE"""),16798)</f>
        <v>16798</v>
      </c>
      <c r="B1336" s="86">
        <f ca="1">IFERROR(__xludf.DUMMYFUNCTION("""COMPUTED_VALUE"""),44888.967349537)</f>
        <v>44888.967349537001</v>
      </c>
      <c r="C1336" s="1" t="str">
        <f ca="1">IFERROR(__xludf.DUMMYFUNCTION("""COMPUTED_VALUE"""),"completed")</f>
        <v>completed</v>
      </c>
      <c r="D1336" s="26">
        <f ca="1">IFERROR(__xludf.DUMMYFUNCTION("""COMPUTED_VALUE"""),28)</f>
        <v>28</v>
      </c>
      <c r="E1336" s="1" t="str">
        <f ca="1">IFERROR(__xludf.DUMMYFUNCTION("""COMPUTED_VALUE"""),"W.M.H.A")</f>
        <v>W.M.H.A</v>
      </c>
      <c r="F1336" s="87" t="str">
        <f t="shared" ca="1" si="0"/>
        <v>2022</v>
      </c>
      <c r="G1336" s="1" t="str">
        <f ca="1">IFERROR(__xludf.DUMMYFUNCTION("""COMPUTED_VALUE"""),"W.M.H.A")</f>
        <v>W.M.H.A</v>
      </c>
      <c r="H1336" s="26">
        <f t="shared" ca="1" si="1"/>
        <v>28</v>
      </c>
      <c r="I1336" s="26">
        <f t="shared" ca="1" si="2"/>
        <v>1</v>
      </c>
      <c r="J1336" s="86">
        <f t="shared" ca="1" si="3"/>
        <v>44888</v>
      </c>
      <c r="R1336" s="26"/>
    </row>
    <row r="1337" spans="1:18" ht="15.75" customHeight="1">
      <c r="A1337" s="26">
        <f ca="1">IFERROR(__xludf.DUMMYFUNCTION("""COMPUTED_VALUE"""),16797)</f>
        <v>16797</v>
      </c>
      <c r="B1337" s="86">
        <f ca="1">IFERROR(__xludf.DUMMYFUNCTION("""COMPUTED_VALUE"""),44888.9657175926)</f>
        <v>44888.965717592597</v>
      </c>
      <c r="C1337" s="1" t="str">
        <f ca="1">IFERROR(__xludf.DUMMYFUNCTION("""COMPUTED_VALUE"""),"completed")</f>
        <v>completed</v>
      </c>
      <c r="D1337" s="26">
        <f ca="1">IFERROR(__xludf.DUMMYFUNCTION("""COMPUTED_VALUE"""),25)</f>
        <v>25</v>
      </c>
      <c r="E1337" s="1" t="str">
        <f ca="1">IFERROR(__xludf.DUMMYFUNCTION("""COMPUTED_VALUE"""),"W.M.H.A")</f>
        <v>W.M.H.A</v>
      </c>
      <c r="F1337" s="87" t="str">
        <f t="shared" ca="1" si="0"/>
        <v>2022</v>
      </c>
      <c r="G1337" s="1" t="str">
        <f ca="1">IFERROR(__xludf.DUMMYFUNCTION("""COMPUTED_VALUE"""),"Windsor AAA Zone Hockey")</f>
        <v>Windsor AAA Zone Hockey</v>
      </c>
      <c r="H1337" s="26">
        <f t="shared" ca="1" si="1"/>
        <v>25</v>
      </c>
      <c r="I1337" s="26">
        <f t="shared" ca="1" si="2"/>
        <v>1</v>
      </c>
      <c r="J1337" s="86">
        <f t="shared" ca="1" si="3"/>
        <v>44888</v>
      </c>
      <c r="R1337" s="26"/>
    </row>
    <row r="1338" spans="1:18" ht="15.75" customHeight="1">
      <c r="A1338" s="26">
        <f ca="1">IFERROR(__xludf.DUMMYFUNCTION("""COMPUTED_VALUE"""),16796)</f>
        <v>16796</v>
      </c>
      <c r="B1338" s="86">
        <f ca="1">IFERROR(__xludf.DUMMYFUNCTION("""COMPUTED_VALUE"""),44888.9653472222)</f>
        <v>44888.965347222198</v>
      </c>
      <c r="C1338" s="1" t="str">
        <f ca="1">IFERROR(__xludf.DUMMYFUNCTION("""COMPUTED_VALUE"""),"completed")</f>
        <v>completed</v>
      </c>
      <c r="D1338" s="26">
        <f ca="1">IFERROR(__xludf.DUMMYFUNCTION("""COMPUTED_VALUE"""),25)</f>
        <v>25</v>
      </c>
      <c r="E1338" s="1" t="str">
        <f ca="1">IFERROR(__xludf.DUMMYFUNCTION("""COMPUTED_VALUE"""),"W.M.H.A")</f>
        <v>W.M.H.A</v>
      </c>
      <c r="F1338" s="87" t="str">
        <f t="shared" ca="1" si="0"/>
        <v>2022</v>
      </c>
      <c r="G1338" s="1" t="str">
        <f ca="1">IFERROR(__xludf.DUMMYFUNCTION("""COMPUTED_VALUE"""),"Windsor AAA Zone Hockey")</f>
        <v>Windsor AAA Zone Hockey</v>
      </c>
      <c r="H1338" s="26">
        <f t="shared" ca="1" si="1"/>
        <v>25</v>
      </c>
      <c r="I1338" s="26">
        <f t="shared" ca="1" si="2"/>
        <v>1</v>
      </c>
      <c r="J1338" s="86">
        <f t="shared" ca="1" si="3"/>
        <v>44888</v>
      </c>
      <c r="R1338" s="26"/>
    </row>
    <row r="1339" spans="1:18" ht="15.75" customHeight="1">
      <c r="A1339" s="26">
        <f ca="1">IFERROR(__xludf.DUMMYFUNCTION("""COMPUTED_VALUE"""),16795)</f>
        <v>16795</v>
      </c>
      <c r="B1339" s="86">
        <f ca="1">IFERROR(__xludf.DUMMYFUNCTION("""COMPUTED_VALUE"""),44888.9638541666)</f>
        <v>44888.963854166599</v>
      </c>
      <c r="C1339" s="1" t="str">
        <f ca="1">IFERROR(__xludf.DUMMYFUNCTION("""COMPUTED_VALUE"""),"completed")</f>
        <v>completed</v>
      </c>
      <c r="D1339" s="26">
        <f ca="1">IFERROR(__xludf.DUMMYFUNCTION("""COMPUTED_VALUE"""),30)</f>
        <v>30</v>
      </c>
      <c r="E1339" s="1" t="str">
        <f ca="1">IFERROR(__xludf.DUMMYFUNCTION("""COMPUTED_VALUE"""),"W.M.H.A")</f>
        <v>W.M.H.A</v>
      </c>
      <c r="F1339" s="87" t="str">
        <f t="shared" ca="1" si="0"/>
        <v>2022</v>
      </c>
      <c r="G1339" s="1" t="str">
        <f ca="1">IFERROR(__xludf.DUMMYFUNCTION("""COMPUTED_VALUE"""),"Windsor Wildcats Hockey")</f>
        <v>Windsor Wildcats Hockey</v>
      </c>
      <c r="H1339" s="26">
        <f t="shared" ca="1" si="1"/>
        <v>30</v>
      </c>
      <c r="I1339" s="26">
        <f t="shared" ca="1" si="2"/>
        <v>1</v>
      </c>
      <c r="J1339" s="86">
        <f t="shared" ca="1" si="3"/>
        <v>44888</v>
      </c>
      <c r="R1339" s="26"/>
    </row>
    <row r="1340" spans="1:18" ht="15.75" customHeight="1">
      <c r="A1340" s="26">
        <f ca="1">IFERROR(__xludf.DUMMYFUNCTION("""COMPUTED_VALUE"""),16794)</f>
        <v>16794</v>
      </c>
      <c r="B1340" s="86">
        <f ca="1">IFERROR(__xludf.DUMMYFUNCTION("""COMPUTED_VALUE"""),44888.9622569444)</f>
        <v>44888.962256944404</v>
      </c>
      <c r="C1340" s="1" t="str">
        <f ca="1">IFERROR(__xludf.DUMMYFUNCTION("""COMPUTED_VALUE"""),"completed")</f>
        <v>completed</v>
      </c>
      <c r="D1340" s="26">
        <f ca="1">IFERROR(__xludf.DUMMYFUNCTION("""COMPUTED_VALUE"""),25)</f>
        <v>25</v>
      </c>
      <c r="E1340" s="1" t="str">
        <f ca="1">IFERROR(__xludf.DUMMYFUNCTION("""COMPUTED_VALUE"""),"W.M.H.A")</f>
        <v>W.M.H.A</v>
      </c>
      <c r="F1340" s="87" t="str">
        <f t="shared" ca="1" si="0"/>
        <v>2022</v>
      </c>
      <c r="G1340" s="1" t="str">
        <f ca="1">IFERROR(__xludf.DUMMYFUNCTION("""COMPUTED_VALUE"""),"Windsor Wildcats Hockey")</f>
        <v>Windsor Wildcats Hockey</v>
      </c>
      <c r="H1340" s="26">
        <f t="shared" ca="1" si="1"/>
        <v>25</v>
      </c>
      <c r="I1340" s="26">
        <f t="shared" ca="1" si="2"/>
        <v>1</v>
      </c>
      <c r="J1340" s="86">
        <f t="shared" ca="1" si="3"/>
        <v>44888</v>
      </c>
      <c r="R1340" s="26"/>
    </row>
    <row r="1341" spans="1:18" ht="15.75" customHeight="1">
      <c r="A1341" s="26">
        <f ca="1">IFERROR(__xludf.DUMMYFUNCTION("""COMPUTED_VALUE"""),16793)</f>
        <v>16793</v>
      </c>
      <c r="B1341" s="86">
        <f ca="1">IFERROR(__xludf.DUMMYFUNCTION("""COMPUTED_VALUE"""),44888.9609027777)</f>
        <v>44888.960902777697</v>
      </c>
      <c r="C1341" s="1" t="str">
        <f ca="1">IFERROR(__xludf.DUMMYFUNCTION("""COMPUTED_VALUE"""),"completed")</f>
        <v>completed</v>
      </c>
      <c r="D1341" s="26">
        <f ca="1">IFERROR(__xludf.DUMMYFUNCTION("""COMPUTED_VALUE"""),55)</f>
        <v>55</v>
      </c>
      <c r="E1341" s="1" t="str">
        <f ca="1">IFERROR(__xludf.DUMMYFUNCTION("""COMPUTED_VALUE"""),"W.M.H.A")</f>
        <v>W.M.H.A</v>
      </c>
      <c r="F1341" s="87" t="str">
        <f t="shared" ca="1" si="0"/>
        <v>2022</v>
      </c>
      <c r="G1341" s="1" t="str">
        <f ca="1">IFERROR(__xludf.DUMMYFUNCTION("""COMPUTED_VALUE"""),"Windsor Wildcats Hockey")</f>
        <v>Windsor Wildcats Hockey</v>
      </c>
      <c r="H1341" s="26">
        <f t="shared" ca="1" si="1"/>
        <v>55</v>
      </c>
      <c r="I1341" s="26">
        <f t="shared" ca="1" si="2"/>
        <v>1</v>
      </c>
      <c r="J1341" s="86">
        <f t="shared" ca="1" si="3"/>
        <v>44888</v>
      </c>
      <c r="R1341" s="26"/>
    </row>
    <row r="1342" spans="1:18" ht="15.75" customHeight="1">
      <c r="A1342" s="26">
        <f ca="1">IFERROR(__xludf.DUMMYFUNCTION("""COMPUTED_VALUE"""),16792)</f>
        <v>16792</v>
      </c>
      <c r="B1342" s="86">
        <f ca="1">IFERROR(__xludf.DUMMYFUNCTION("""COMPUTED_VALUE"""),44888.9503009259)</f>
        <v>44888.950300925899</v>
      </c>
      <c r="C1342" s="1" t="str">
        <f ca="1">IFERROR(__xludf.DUMMYFUNCTION("""COMPUTED_VALUE"""),"completed")</f>
        <v>completed</v>
      </c>
      <c r="D1342" s="26">
        <f ca="1">IFERROR(__xludf.DUMMYFUNCTION("""COMPUTED_VALUE"""),39)</f>
        <v>39</v>
      </c>
      <c r="E1342" s="1" t="str">
        <f ca="1">IFERROR(__xludf.DUMMYFUNCTION("""COMPUTED_VALUE"""),"W.M.H.A")</f>
        <v>W.M.H.A</v>
      </c>
      <c r="F1342" s="87" t="str">
        <f t="shared" ca="1" si="0"/>
        <v>2022</v>
      </c>
      <c r="G1342" s="1" t="str">
        <f ca="1">IFERROR(__xludf.DUMMYFUNCTION("""COMPUTED_VALUE"""),"South Point Stars")</f>
        <v>South Point Stars</v>
      </c>
      <c r="H1342" s="26">
        <f t="shared" ca="1" si="1"/>
        <v>39</v>
      </c>
      <c r="I1342" s="26">
        <f t="shared" ca="1" si="2"/>
        <v>1</v>
      </c>
      <c r="J1342" s="86">
        <f t="shared" ca="1" si="3"/>
        <v>44888</v>
      </c>
      <c r="R1342" s="26"/>
    </row>
    <row r="1343" spans="1:18" ht="15.75" customHeight="1">
      <c r="A1343" s="26">
        <f ca="1">IFERROR(__xludf.DUMMYFUNCTION("""COMPUTED_VALUE"""),16791)</f>
        <v>16791</v>
      </c>
      <c r="B1343" s="86">
        <f ca="1">IFERROR(__xludf.DUMMYFUNCTION("""COMPUTED_VALUE"""),44888.9485648148)</f>
        <v>44888.948564814797</v>
      </c>
      <c r="C1343" s="1" t="str">
        <f ca="1">IFERROR(__xludf.DUMMYFUNCTION("""COMPUTED_VALUE"""),"completed")</f>
        <v>completed</v>
      </c>
      <c r="D1343" s="26">
        <f ca="1">IFERROR(__xludf.DUMMYFUNCTION("""COMPUTED_VALUE"""),24)</f>
        <v>24</v>
      </c>
      <c r="E1343" s="1" t="str">
        <f ca="1">IFERROR(__xludf.DUMMYFUNCTION("""COMPUTED_VALUE"""),"W.M.H.A")</f>
        <v>W.M.H.A</v>
      </c>
      <c r="F1343" s="87" t="str">
        <f t="shared" ca="1" si="0"/>
        <v>2022</v>
      </c>
      <c r="G1343" s="1" t="str">
        <f ca="1">IFERROR(__xludf.DUMMYFUNCTION("""COMPUTED_VALUE"""),"Windsor Wildcats Hockey")</f>
        <v>Windsor Wildcats Hockey</v>
      </c>
      <c r="H1343" s="26">
        <f t="shared" ca="1" si="1"/>
        <v>24</v>
      </c>
      <c r="I1343" s="26">
        <f t="shared" ca="1" si="2"/>
        <v>1</v>
      </c>
      <c r="J1343" s="86">
        <f t="shared" ca="1" si="3"/>
        <v>44888</v>
      </c>
      <c r="R1343" s="26"/>
    </row>
    <row r="1344" spans="1:18" ht="15.75" customHeight="1">
      <c r="A1344" s="26">
        <f ca="1">IFERROR(__xludf.DUMMYFUNCTION("""COMPUTED_VALUE"""),16790)</f>
        <v>16790</v>
      </c>
      <c r="B1344" s="86">
        <f ca="1">IFERROR(__xludf.DUMMYFUNCTION("""COMPUTED_VALUE"""),44888.9352314814)</f>
        <v>44888.935231481402</v>
      </c>
      <c r="C1344" s="1" t="str">
        <f ca="1">IFERROR(__xludf.DUMMYFUNCTION("""COMPUTED_VALUE"""),"completed")</f>
        <v>completed</v>
      </c>
      <c r="D1344" s="26">
        <f ca="1">IFERROR(__xludf.DUMMYFUNCTION("""COMPUTED_VALUE"""),53)</f>
        <v>53</v>
      </c>
      <c r="E1344" s="1" t="str">
        <f ca="1">IFERROR(__xludf.DUMMYFUNCTION("""COMPUTED_VALUE"""),"W.M.H.A")</f>
        <v>W.M.H.A</v>
      </c>
      <c r="F1344" s="87" t="str">
        <f t="shared" ca="1" si="0"/>
        <v>2022</v>
      </c>
      <c r="G1344" s="1" t="str">
        <f ca="1">IFERROR(__xludf.DUMMYFUNCTION("""COMPUTED_VALUE"""),"Windsor Wildcats Hockey")</f>
        <v>Windsor Wildcats Hockey</v>
      </c>
      <c r="H1344" s="26">
        <f t="shared" ca="1" si="1"/>
        <v>53</v>
      </c>
      <c r="I1344" s="26">
        <f t="shared" ca="1" si="2"/>
        <v>1</v>
      </c>
      <c r="J1344" s="86">
        <f t="shared" ca="1" si="3"/>
        <v>44888</v>
      </c>
      <c r="R1344" s="26"/>
    </row>
    <row r="1345" spans="1:18" ht="15.75" customHeight="1">
      <c r="A1345" s="26">
        <f ca="1">IFERROR(__xludf.DUMMYFUNCTION("""COMPUTED_VALUE"""),16789)</f>
        <v>16789</v>
      </c>
      <c r="B1345" s="86">
        <f ca="1">IFERROR(__xludf.DUMMYFUNCTION("""COMPUTED_VALUE"""),44888.9209027777)</f>
        <v>44888.920902777703</v>
      </c>
      <c r="C1345" s="1" t="str">
        <f ca="1">IFERROR(__xludf.DUMMYFUNCTION("""COMPUTED_VALUE"""),"completed")</f>
        <v>completed</v>
      </c>
      <c r="D1345" s="26">
        <f ca="1">IFERROR(__xludf.DUMMYFUNCTION("""COMPUTED_VALUE"""),57)</f>
        <v>57</v>
      </c>
      <c r="E1345" s="1" t="str">
        <f ca="1">IFERROR(__xludf.DUMMYFUNCTION("""COMPUTED_VALUE"""),"W.M.H.A")</f>
        <v>W.M.H.A</v>
      </c>
      <c r="F1345" s="87" t="str">
        <f t="shared" ca="1" si="0"/>
        <v>2022</v>
      </c>
      <c r="G1345" s="1" t="str">
        <f ca="1">IFERROR(__xludf.DUMMYFUNCTION("""COMPUTED_VALUE"""),"Erie North Shore Minor Hockey")</f>
        <v>Erie North Shore Minor Hockey</v>
      </c>
      <c r="H1345" s="26">
        <f t="shared" ca="1" si="1"/>
        <v>57</v>
      </c>
      <c r="I1345" s="26">
        <f t="shared" ca="1" si="2"/>
        <v>1</v>
      </c>
      <c r="J1345" s="86">
        <f t="shared" ca="1" si="3"/>
        <v>44888</v>
      </c>
      <c r="R1345" s="26"/>
    </row>
    <row r="1346" spans="1:18" ht="15.75" customHeight="1">
      <c r="A1346" s="26">
        <f ca="1">IFERROR(__xludf.DUMMYFUNCTION("""COMPUTED_VALUE"""),16788)</f>
        <v>16788</v>
      </c>
      <c r="B1346" s="86">
        <f ca="1">IFERROR(__xludf.DUMMYFUNCTION("""COMPUTED_VALUE"""),44888.8861458333)</f>
        <v>44888.886145833298</v>
      </c>
      <c r="C1346" s="1" t="str">
        <f ca="1">IFERROR(__xludf.DUMMYFUNCTION("""COMPUTED_VALUE"""),"completed")</f>
        <v>completed</v>
      </c>
      <c r="D1346" s="26">
        <f ca="1">IFERROR(__xludf.DUMMYFUNCTION("""COMPUTED_VALUE"""),40)</f>
        <v>40</v>
      </c>
      <c r="E1346" s="1" t="str">
        <f ca="1">IFERROR(__xludf.DUMMYFUNCTION("""COMPUTED_VALUE"""),"South Point Stars")</f>
        <v>South Point Stars</v>
      </c>
      <c r="F1346" s="87" t="str">
        <f t="shared" ca="1" si="0"/>
        <v>2022</v>
      </c>
      <c r="G1346" s="1" t="str">
        <f ca="1">IFERROR(__xludf.DUMMYFUNCTION("""COMPUTED_VALUE"""),"Erie North Shore Minor Hockey")</f>
        <v>Erie North Shore Minor Hockey</v>
      </c>
      <c r="H1346" s="26">
        <f t="shared" ca="1" si="1"/>
        <v>40</v>
      </c>
      <c r="I1346" s="26">
        <f t="shared" ca="1" si="2"/>
        <v>1</v>
      </c>
      <c r="J1346" s="86">
        <f t="shared" ca="1" si="3"/>
        <v>44888</v>
      </c>
      <c r="R1346" s="26"/>
    </row>
    <row r="1347" spans="1:18" ht="15.75" customHeight="1">
      <c r="A1347" s="26">
        <f ca="1">IFERROR(__xludf.DUMMYFUNCTION("""COMPUTED_VALUE"""),16787)</f>
        <v>16787</v>
      </c>
      <c r="B1347" s="86">
        <f ca="1">IFERROR(__xludf.DUMMYFUNCTION("""COMPUTED_VALUE"""),44888.8451157407)</f>
        <v>44888.845115740703</v>
      </c>
      <c r="C1347" s="1" t="str">
        <f ca="1">IFERROR(__xludf.DUMMYFUNCTION("""COMPUTED_VALUE"""),"completed")</f>
        <v>completed</v>
      </c>
      <c r="D1347" s="26">
        <f ca="1">IFERROR(__xludf.DUMMYFUNCTION("""COMPUTED_VALUE"""),24)</f>
        <v>24</v>
      </c>
      <c r="E1347" s="1" t="str">
        <f ca="1">IFERROR(__xludf.DUMMYFUNCTION("""COMPUTED_VALUE"""),"W.M.H.A")</f>
        <v>W.M.H.A</v>
      </c>
      <c r="F1347" s="87" t="str">
        <f t="shared" ca="1" si="0"/>
        <v>2022</v>
      </c>
      <c r="G1347" s="1" t="str">
        <f ca="1">IFERROR(__xludf.DUMMYFUNCTION("""COMPUTED_VALUE"""),"Erie North Shore Minor Hockey")</f>
        <v>Erie North Shore Minor Hockey</v>
      </c>
      <c r="H1347" s="26">
        <f t="shared" ca="1" si="1"/>
        <v>24</v>
      </c>
      <c r="I1347" s="26">
        <f t="shared" ca="1" si="2"/>
        <v>1</v>
      </c>
      <c r="J1347" s="86">
        <f t="shared" ca="1" si="3"/>
        <v>44888</v>
      </c>
      <c r="R1347" s="26"/>
    </row>
    <row r="1348" spans="1:18" ht="15.75" customHeight="1">
      <c r="A1348" s="26">
        <f ca="1">IFERROR(__xludf.DUMMYFUNCTION("""COMPUTED_VALUE"""),16786)</f>
        <v>16786</v>
      </c>
      <c r="B1348" s="86">
        <f ca="1">IFERROR(__xludf.DUMMYFUNCTION("""COMPUTED_VALUE"""),44888.8435185185)</f>
        <v>44888.843518518501</v>
      </c>
      <c r="C1348" s="1" t="str">
        <f ca="1">IFERROR(__xludf.DUMMYFUNCTION("""COMPUTED_VALUE"""),"completed")</f>
        <v>completed</v>
      </c>
      <c r="D1348" s="26">
        <f ca="1">IFERROR(__xludf.DUMMYFUNCTION("""COMPUTED_VALUE"""),24)</f>
        <v>24</v>
      </c>
      <c r="E1348" s="1" t="str">
        <f ca="1">IFERROR(__xludf.DUMMYFUNCTION("""COMPUTED_VALUE"""),"W.M.H.A")</f>
        <v>W.M.H.A</v>
      </c>
      <c r="F1348" s="87" t="str">
        <f t="shared" ca="1" si="0"/>
        <v>2022</v>
      </c>
      <c r="G1348" s="1" t="str">
        <f ca="1">IFERROR(__xludf.DUMMYFUNCTION("""COMPUTED_VALUE"""),"Erie North Shore Minor Hockey")</f>
        <v>Erie North Shore Minor Hockey</v>
      </c>
      <c r="H1348" s="26">
        <f t="shared" ca="1" si="1"/>
        <v>24</v>
      </c>
      <c r="I1348" s="26">
        <f t="shared" ca="1" si="2"/>
        <v>1</v>
      </c>
      <c r="J1348" s="86">
        <f t="shared" ca="1" si="3"/>
        <v>44888</v>
      </c>
      <c r="R1348" s="26"/>
    </row>
    <row r="1349" spans="1:18" ht="15.75" customHeight="1">
      <c r="A1349" s="26">
        <f ca="1">IFERROR(__xludf.DUMMYFUNCTION("""COMPUTED_VALUE"""),16785)</f>
        <v>16785</v>
      </c>
      <c r="B1349" s="86">
        <f ca="1">IFERROR(__xludf.DUMMYFUNCTION("""COMPUTED_VALUE"""),44888.8184027777)</f>
        <v>44888.818402777702</v>
      </c>
      <c r="C1349" s="1" t="str">
        <f ca="1">IFERROR(__xludf.DUMMYFUNCTION("""COMPUTED_VALUE"""),"completed")</f>
        <v>completed</v>
      </c>
      <c r="D1349" s="26">
        <f ca="1">IFERROR(__xludf.DUMMYFUNCTION("""COMPUTED_VALUE"""),24)</f>
        <v>24</v>
      </c>
      <c r="E1349" s="1" t="str">
        <f ca="1">IFERROR(__xludf.DUMMYFUNCTION("""COMPUTED_VALUE"""),"W.M.H.A")</f>
        <v>W.M.H.A</v>
      </c>
      <c r="F1349" s="87" t="str">
        <f t="shared" ca="1" si="0"/>
        <v>2022</v>
      </c>
      <c r="G1349" s="1" t="str">
        <f ca="1">IFERROR(__xludf.DUMMYFUNCTION("""COMPUTED_VALUE"""),"Windsor AAA Zone Hockey")</f>
        <v>Windsor AAA Zone Hockey</v>
      </c>
      <c r="H1349" s="26">
        <f t="shared" ca="1" si="1"/>
        <v>24</v>
      </c>
      <c r="I1349" s="26">
        <f t="shared" ca="1" si="2"/>
        <v>1</v>
      </c>
      <c r="J1349" s="86">
        <f t="shared" ca="1" si="3"/>
        <v>44888</v>
      </c>
      <c r="R1349" s="26"/>
    </row>
    <row r="1350" spans="1:18" ht="15.75" customHeight="1">
      <c r="A1350" s="26">
        <f ca="1">IFERROR(__xludf.DUMMYFUNCTION("""COMPUTED_VALUE"""),16784)</f>
        <v>16784</v>
      </c>
      <c r="B1350" s="86">
        <f ca="1">IFERROR(__xludf.DUMMYFUNCTION("""COMPUTED_VALUE"""),44888.7856828703)</f>
        <v>44888.785682870301</v>
      </c>
      <c r="C1350" s="1" t="str">
        <f ca="1">IFERROR(__xludf.DUMMYFUNCTION("""COMPUTED_VALUE"""),"completed")</f>
        <v>completed</v>
      </c>
      <c r="D1350" s="26">
        <f ca="1">IFERROR(__xludf.DUMMYFUNCTION("""COMPUTED_VALUE"""),22)</f>
        <v>22</v>
      </c>
      <c r="E1350" s="1" t="str">
        <f ca="1">IFERROR(__xludf.DUMMYFUNCTION("""COMPUTED_VALUE"""),"W.M.H.A")</f>
        <v>W.M.H.A</v>
      </c>
      <c r="F1350" s="87" t="str">
        <f t="shared" ca="1" si="0"/>
        <v>2022</v>
      </c>
      <c r="G1350" s="1" t="str">
        <f ca="1">IFERROR(__xludf.DUMMYFUNCTION("""COMPUTED_VALUE"""),"Erie North Shore Minor Hockey")</f>
        <v>Erie North Shore Minor Hockey</v>
      </c>
      <c r="H1350" s="26">
        <f t="shared" ca="1" si="1"/>
        <v>22</v>
      </c>
      <c r="I1350" s="26">
        <f t="shared" ca="1" si="2"/>
        <v>1</v>
      </c>
      <c r="J1350" s="86">
        <f t="shared" ca="1" si="3"/>
        <v>44888</v>
      </c>
      <c r="R1350" s="26"/>
    </row>
    <row r="1351" spans="1:18" ht="15.75" customHeight="1">
      <c r="A1351" s="26">
        <f ca="1">IFERROR(__xludf.DUMMYFUNCTION("""COMPUTED_VALUE"""),16783)</f>
        <v>16783</v>
      </c>
      <c r="B1351" s="86">
        <f ca="1">IFERROR(__xludf.DUMMYFUNCTION("""COMPUTED_VALUE"""),44888.6352199074)</f>
        <v>44888.635219907403</v>
      </c>
      <c r="C1351" s="1" t="str">
        <f ca="1">IFERROR(__xludf.DUMMYFUNCTION("""COMPUTED_VALUE"""),"completed")</f>
        <v>completed</v>
      </c>
      <c r="D1351" s="26">
        <f ca="1">IFERROR(__xludf.DUMMYFUNCTION("""COMPUTED_VALUE"""),50)</f>
        <v>50</v>
      </c>
      <c r="E1351" s="1" t="str">
        <f ca="1">IFERROR(__xludf.DUMMYFUNCTION("""COMPUTED_VALUE"""),"South Point Stars")</f>
        <v>South Point Stars</v>
      </c>
      <c r="F1351" s="87" t="str">
        <f t="shared" ca="1" si="0"/>
        <v>2022</v>
      </c>
      <c r="G1351" s="1" t="str">
        <f ca="1">IFERROR(__xludf.DUMMYFUNCTION("""COMPUTED_VALUE"""),"Erie North Shore Minor Hockey")</f>
        <v>Erie North Shore Minor Hockey</v>
      </c>
      <c r="H1351" s="26">
        <f t="shared" ca="1" si="1"/>
        <v>50</v>
      </c>
      <c r="I1351" s="26">
        <f t="shared" ca="1" si="2"/>
        <v>1</v>
      </c>
      <c r="J1351" s="86">
        <f t="shared" ca="1" si="3"/>
        <v>44888</v>
      </c>
      <c r="R1351" s="26"/>
    </row>
    <row r="1352" spans="1:18" ht="15.75" customHeight="1">
      <c r="A1352" s="26">
        <f ca="1">IFERROR(__xludf.DUMMYFUNCTION("""COMPUTED_VALUE"""),16782)</f>
        <v>16782</v>
      </c>
      <c r="B1352" s="86">
        <f ca="1">IFERROR(__xludf.DUMMYFUNCTION("""COMPUTED_VALUE"""),44888.6015625)</f>
        <v>44888.6015625</v>
      </c>
      <c r="C1352" s="1" t="str">
        <f ca="1">IFERROR(__xludf.DUMMYFUNCTION("""COMPUTED_VALUE"""),"completed")</f>
        <v>completed</v>
      </c>
      <c r="D1352" s="26">
        <f ca="1">IFERROR(__xludf.DUMMYFUNCTION("""COMPUTED_VALUE"""),55)</f>
        <v>55</v>
      </c>
      <c r="E1352" s="1" t="str">
        <f ca="1">IFERROR(__xludf.DUMMYFUNCTION("""COMPUTED_VALUE"""),"W.M.H.A")</f>
        <v>W.M.H.A</v>
      </c>
      <c r="F1352" s="87" t="str">
        <f t="shared" ca="1" si="0"/>
        <v>2022</v>
      </c>
      <c r="G1352" s="1" t="str">
        <f ca="1">IFERROR(__xludf.DUMMYFUNCTION("""COMPUTED_VALUE"""),"Erie North Shore Minor Hockey")</f>
        <v>Erie North Shore Minor Hockey</v>
      </c>
      <c r="H1352" s="26">
        <f t="shared" ca="1" si="1"/>
        <v>55</v>
      </c>
      <c r="I1352" s="26">
        <f t="shared" ca="1" si="2"/>
        <v>1</v>
      </c>
      <c r="J1352" s="86">
        <f t="shared" ca="1" si="3"/>
        <v>44888</v>
      </c>
      <c r="R1352" s="26"/>
    </row>
    <row r="1353" spans="1:18" ht="15.75" customHeight="1">
      <c r="A1353" s="26">
        <f ca="1">IFERROR(__xludf.DUMMYFUNCTION("""COMPUTED_VALUE"""),16781)</f>
        <v>16781</v>
      </c>
      <c r="B1353" s="86">
        <f ca="1">IFERROR(__xludf.DUMMYFUNCTION("""COMPUTED_VALUE"""),44888.5722685185)</f>
        <v>44888.572268518503</v>
      </c>
      <c r="C1353" s="1" t="str">
        <f ca="1">IFERROR(__xludf.DUMMYFUNCTION("""COMPUTED_VALUE"""),"completed")</f>
        <v>completed</v>
      </c>
      <c r="D1353" s="26">
        <f ca="1">IFERROR(__xludf.DUMMYFUNCTION("""COMPUTED_VALUE"""),53)</f>
        <v>53</v>
      </c>
      <c r="E1353" s="1" t="str">
        <f ca="1">IFERROR(__xludf.DUMMYFUNCTION("""COMPUTED_VALUE"""),"South Point Stars")</f>
        <v>South Point Stars</v>
      </c>
      <c r="F1353" s="87" t="str">
        <f t="shared" ca="1" si="0"/>
        <v>2022</v>
      </c>
      <c r="G1353" s="1" t="str">
        <f ca="1">IFERROR(__xludf.DUMMYFUNCTION("""COMPUTED_VALUE"""),"Erie North Shore Minor Hockey")</f>
        <v>Erie North Shore Minor Hockey</v>
      </c>
      <c r="H1353" s="26">
        <f t="shared" ca="1" si="1"/>
        <v>53</v>
      </c>
      <c r="I1353" s="26">
        <f t="shared" ca="1" si="2"/>
        <v>1</v>
      </c>
      <c r="J1353" s="86">
        <f t="shared" ca="1" si="3"/>
        <v>44888</v>
      </c>
      <c r="R1353" s="26"/>
    </row>
    <row r="1354" spans="1:18" ht="15.75" customHeight="1">
      <c r="A1354" s="26">
        <f ca="1">IFERROR(__xludf.DUMMYFUNCTION("""COMPUTED_VALUE"""),16780)</f>
        <v>16780</v>
      </c>
      <c r="B1354" s="86">
        <f ca="1">IFERROR(__xludf.DUMMYFUNCTION("""COMPUTED_VALUE"""),44888.5364699074)</f>
        <v>44888.536469907398</v>
      </c>
      <c r="C1354" s="1" t="str">
        <f ca="1">IFERROR(__xludf.DUMMYFUNCTION("""COMPUTED_VALUE"""),"completed")</f>
        <v>completed</v>
      </c>
      <c r="D1354" s="26">
        <f ca="1">IFERROR(__xludf.DUMMYFUNCTION("""COMPUTED_VALUE"""),59)</f>
        <v>59</v>
      </c>
      <c r="E1354" s="1" t="str">
        <f ca="1">IFERROR(__xludf.DUMMYFUNCTION("""COMPUTED_VALUE"""),"W.M.H.A")</f>
        <v>W.M.H.A</v>
      </c>
      <c r="F1354" s="87" t="str">
        <f t="shared" ca="1" si="0"/>
        <v>2022</v>
      </c>
      <c r="G1354" s="1" t="str">
        <f ca="1">IFERROR(__xludf.DUMMYFUNCTION("""COMPUTED_VALUE"""),"Erie North Shore Minor Hockey")</f>
        <v>Erie North Shore Minor Hockey</v>
      </c>
      <c r="H1354" s="26">
        <f t="shared" ca="1" si="1"/>
        <v>59</v>
      </c>
      <c r="I1354" s="26">
        <f t="shared" ca="1" si="2"/>
        <v>1</v>
      </c>
      <c r="J1354" s="86">
        <f t="shared" ca="1" si="3"/>
        <v>44888</v>
      </c>
      <c r="R1354" s="26"/>
    </row>
    <row r="1355" spans="1:18" ht="15.75" customHeight="1">
      <c r="A1355" s="26">
        <f ca="1">IFERROR(__xludf.DUMMYFUNCTION("""COMPUTED_VALUE"""),16779)</f>
        <v>16779</v>
      </c>
      <c r="B1355" s="86">
        <f ca="1">IFERROR(__xludf.DUMMYFUNCTION("""COMPUTED_VALUE"""),44888.1651504629)</f>
        <v>44888.165150462897</v>
      </c>
      <c r="C1355" s="1" t="str">
        <f ca="1">IFERROR(__xludf.DUMMYFUNCTION("""COMPUTED_VALUE"""),"completed")</f>
        <v>completed</v>
      </c>
      <c r="D1355" s="26">
        <f ca="1">IFERROR(__xludf.DUMMYFUNCTION("""COMPUTED_VALUE"""),68)</f>
        <v>68</v>
      </c>
      <c r="E1355" s="1" t="str">
        <f ca="1">IFERROR(__xludf.DUMMYFUNCTION("""COMPUTED_VALUE"""),"W.M.H.A")</f>
        <v>W.M.H.A</v>
      </c>
      <c r="F1355" s="87" t="str">
        <f t="shared" ca="1" si="0"/>
        <v>2022</v>
      </c>
      <c r="G1355" s="1" t="str">
        <f ca="1">IFERROR(__xludf.DUMMYFUNCTION("""COMPUTED_VALUE"""),"Erie North Shore Minor Hockey")</f>
        <v>Erie North Shore Minor Hockey</v>
      </c>
      <c r="H1355" s="26">
        <f t="shared" ca="1" si="1"/>
        <v>68</v>
      </c>
      <c r="I1355" s="26">
        <f t="shared" ca="1" si="2"/>
        <v>1</v>
      </c>
      <c r="J1355" s="86">
        <f t="shared" ca="1" si="3"/>
        <v>44888</v>
      </c>
      <c r="R1355" s="26"/>
    </row>
    <row r="1356" spans="1:18" ht="15.75" customHeight="1">
      <c r="A1356" s="26">
        <f ca="1">IFERROR(__xludf.DUMMYFUNCTION("""COMPUTED_VALUE"""),16778)</f>
        <v>16778</v>
      </c>
      <c r="B1356" s="86">
        <f ca="1">IFERROR(__xludf.DUMMYFUNCTION("""COMPUTED_VALUE"""),44888.1568055555)</f>
        <v>44888.156805555504</v>
      </c>
      <c r="C1356" s="1" t="str">
        <f ca="1">IFERROR(__xludf.DUMMYFUNCTION("""COMPUTED_VALUE"""),"completed")</f>
        <v>completed</v>
      </c>
      <c r="D1356" s="26">
        <f ca="1">IFERROR(__xludf.DUMMYFUNCTION("""COMPUTED_VALUE"""),24)</f>
        <v>24</v>
      </c>
      <c r="E1356" s="1" t="str">
        <f ca="1">IFERROR(__xludf.DUMMYFUNCTION("""COMPUTED_VALUE"""),"W.M.H.A")</f>
        <v>W.M.H.A</v>
      </c>
      <c r="F1356" s="87" t="str">
        <f t="shared" ca="1" si="0"/>
        <v>2022</v>
      </c>
      <c r="G1356" s="1" t="str">
        <f ca="1">IFERROR(__xludf.DUMMYFUNCTION("""COMPUTED_VALUE"""),"Windsor Wildcats Hockey")</f>
        <v>Windsor Wildcats Hockey</v>
      </c>
      <c r="H1356" s="26">
        <f t="shared" ca="1" si="1"/>
        <v>24</v>
      </c>
      <c r="I1356" s="26">
        <f t="shared" ca="1" si="2"/>
        <v>1</v>
      </c>
      <c r="J1356" s="86">
        <f t="shared" ca="1" si="3"/>
        <v>44888</v>
      </c>
      <c r="R1356" s="26"/>
    </row>
    <row r="1357" spans="1:18" ht="15.75" customHeight="1">
      <c r="A1357" s="26">
        <f ca="1">IFERROR(__xludf.DUMMYFUNCTION("""COMPUTED_VALUE"""),16777)</f>
        <v>16777</v>
      </c>
      <c r="B1357" s="86">
        <f ca="1">IFERROR(__xludf.DUMMYFUNCTION("""COMPUTED_VALUE"""),44888.1548958333)</f>
        <v>44888.154895833301</v>
      </c>
      <c r="C1357" s="1" t="str">
        <f ca="1">IFERROR(__xludf.DUMMYFUNCTION("""COMPUTED_VALUE"""),"completed")</f>
        <v>completed</v>
      </c>
      <c r="D1357" s="26">
        <f ca="1">IFERROR(__xludf.DUMMYFUNCTION("""COMPUTED_VALUE"""),45)</f>
        <v>45</v>
      </c>
      <c r="E1357" s="1" t="str">
        <f ca="1">IFERROR(__xludf.DUMMYFUNCTION("""COMPUTED_VALUE"""),"W.M.H.A")</f>
        <v>W.M.H.A</v>
      </c>
      <c r="F1357" s="87" t="str">
        <f t="shared" ca="1" si="0"/>
        <v>2022</v>
      </c>
      <c r="G1357" s="1" t="str">
        <f ca="1">IFERROR(__xludf.DUMMYFUNCTION("""COMPUTED_VALUE"""),"Erie North Shore Minor Hockey")</f>
        <v>Erie North Shore Minor Hockey</v>
      </c>
      <c r="H1357" s="26">
        <f t="shared" ca="1" si="1"/>
        <v>45</v>
      </c>
      <c r="I1357" s="26">
        <f t="shared" ca="1" si="2"/>
        <v>1</v>
      </c>
      <c r="J1357" s="86">
        <f t="shared" ca="1" si="3"/>
        <v>44888</v>
      </c>
      <c r="R1357" s="26"/>
    </row>
    <row r="1358" spans="1:18" ht="15.75" customHeight="1">
      <c r="A1358" s="26">
        <f ca="1">IFERROR(__xludf.DUMMYFUNCTION("""COMPUTED_VALUE"""),16776)</f>
        <v>16776</v>
      </c>
      <c r="B1358" s="86">
        <f ca="1">IFERROR(__xludf.DUMMYFUNCTION("""COMPUTED_VALUE"""),44888.0786805555)</f>
        <v>44888.078680555504</v>
      </c>
      <c r="C1358" s="1" t="str">
        <f ca="1">IFERROR(__xludf.DUMMYFUNCTION("""COMPUTED_VALUE"""),"completed")</f>
        <v>completed</v>
      </c>
      <c r="D1358" s="26">
        <f ca="1">IFERROR(__xludf.DUMMYFUNCTION("""COMPUTED_VALUE"""),20)</f>
        <v>20</v>
      </c>
      <c r="E1358" s="1" t="str">
        <f ca="1">IFERROR(__xludf.DUMMYFUNCTION("""COMPUTED_VALUE"""),"W.M.H.A")</f>
        <v>W.M.H.A</v>
      </c>
      <c r="F1358" s="87" t="str">
        <f t="shared" ca="1" si="0"/>
        <v>2022</v>
      </c>
      <c r="G1358" s="1" t="str">
        <f ca="1">IFERROR(__xludf.DUMMYFUNCTION("""COMPUTED_VALUE"""),"Erie North Shore Minor Hockey")</f>
        <v>Erie North Shore Minor Hockey</v>
      </c>
      <c r="H1358" s="26">
        <f t="shared" ca="1" si="1"/>
        <v>20</v>
      </c>
      <c r="I1358" s="26">
        <f t="shared" ca="1" si="2"/>
        <v>1</v>
      </c>
      <c r="J1358" s="86">
        <f t="shared" ca="1" si="3"/>
        <v>44888</v>
      </c>
      <c r="R1358" s="26"/>
    </row>
    <row r="1359" spans="1:18" ht="15.75" customHeight="1">
      <c r="A1359" s="26">
        <f ca="1">IFERROR(__xludf.DUMMYFUNCTION("""COMPUTED_VALUE"""),16775)</f>
        <v>16775</v>
      </c>
      <c r="B1359" s="86">
        <f ca="1">IFERROR(__xludf.DUMMYFUNCTION("""COMPUTED_VALUE"""),44888.0761342592)</f>
        <v>44888.076134259201</v>
      </c>
      <c r="C1359" s="1" t="str">
        <f ca="1">IFERROR(__xludf.DUMMYFUNCTION("""COMPUTED_VALUE"""),"completed")</f>
        <v>completed</v>
      </c>
      <c r="D1359" s="26">
        <f ca="1">IFERROR(__xludf.DUMMYFUNCTION("""COMPUTED_VALUE"""),35)</f>
        <v>35</v>
      </c>
      <c r="E1359" s="1" t="str">
        <f ca="1">IFERROR(__xludf.DUMMYFUNCTION("""COMPUTED_VALUE"""),"W.M.H.A")</f>
        <v>W.M.H.A</v>
      </c>
      <c r="F1359" s="87" t="str">
        <f t="shared" ca="1" si="0"/>
        <v>2022</v>
      </c>
      <c r="G1359" s="1" t="str">
        <f ca="1">IFERROR(__xludf.DUMMYFUNCTION("""COMPUTED_VALUE"""),"Erie North Shore Minor Hockey")</f>
        <v>Erie North Shore Minor Hockey</v>
      </c>
      <c r="H1359" s="26">
        <f t="shared" ca="1" si="1"/>
        <v>35</v>
      </c>
      <c r="I1359" s="26">
        <f t="shared" ca="1" si="2"/>
        <v>1</v>
      </c>
      <c r="J1359" s="86">
        <f t="shared" ca="1" si="3"/>
        <v>44888</v>
      </c>
      <c r="R1359" s="26"/>
    </row>
    <row r="1360" spans="1:18" ht="15.75" customHeight="1">
      <c r="A1360" s="26">
        <f ca="1">IFERROR(__xludf.DUMMYFUNCTION("""COMPUTED_VALUE"""),16774)</f>
        <v>16774</v>
      </c>
      <c r="B1360" s="86">
        <f ca="1">IFERROR(__xludf.DUMMYFUNCTION("""COMPUTED_VALUE"""),44888.0733564814)</f>
        <v>44888.0733564814</v>
      </c>
      <c r="C1360" s="1" t="str">
        <f ca="1">IFERROR(__xludf.DUMMYFUNCTION("""COMPUTED_VALUE"""),"completed")</f>
        <v>completed</v>
      </c>
      <c r="D1360" s="26">
        <f ca="1">IFERROR(__xludf.DUMMYFUNCTION("""COMPUTED_VALUE"""),20)</f>
        <v>20</v>
      </c>
      <c r="E1360" s="1" t="str">
        <f ca="1">IFERROR(__xludf.DUMMYFUNCTION("""COMPUTED_VALUE"""),"W.M.H.A")</f>
        <v>W.M.H.A</v>
      </c>
      <c r="F1360" s="87" t="str">
        <f t="shared" ca="1" si="0"/>
        <v>2022</v>
      </c>
      <c r="G1360" s="1" t="str">
        <f ca="1">IFERROR(__xludf.DUMMYFUNCTION("""COMPUTED_VALUE"""),"W.M.H.A")</f>
        <v>W.M.H.A</v>
      </c>
      <c r="H1360" s="26">
        <f t="shared" ca="1" si="1"/>
        <v>20</v>
      </c>
      <c r="I1360" s="26">
        <f t="shared" ca="1" si="2"/>
        <v>1</v>
      </c>
      <c r="J1360" s="86">
        <f t="shared" ca="1" si="3"/>
        <v>44888</v>
      </c>
      <c r="R1360" s="26"/>
    </row>
    <row r="1361" spans="1:18" ht="15.75" customHeight="1">
      <c r="A1361" s="26">
        <f ca="1">IFERROR(__xludf.DUMMYFUNCTION("""COMPUTED_VALUE"""),16773)</f>
        <v>16773</v>
      </c>
      <c r="B1361" s="86">
        <f ca="1">IFERROR(__xludf.DUMMYFUNCTION("""COMPUTED_VALUE"""),44888.069537037)</f>
        <v>44888.069537037001</v>
      </c>
      <c r="C1361" s="1" t="str">
        <f ca="1">IFERROR(__xludf.DUMMYFUNCTION("""COMPUTED_VALUE"""),"completed")</f>
        <v>completed</v>
      </c>
      <c r="D1361" s="26">
        <f ca="1">IFERROR(__xludf.DUMMYFUNCTION("""COMPUTED_VALUE"""),49)</f>
        <v>49</v>
      </c>
      <c r="E1361" s="1" t="str">
        <f ca="1">IFERROR(__xludf.DUMMYFUNCTION("""COMPUTED_VALUE"""),"W.M.H.A")</f>
        <v>W.M.H.A</v>
      </c>
      <c r="F1361" s="87" t="str">
        <f t="shared" ca="1" si="0"/>
        <v>2022</v>
      </c>
      <c r="G1361" s="1" t="str">
        <f ca="1">IFERROR(__xludf.DUMMYFUNCTION("""COMPUTED_VALUE"""),"Erie North Shore Minor Hockey")</f>
        <v>Erie North Shore Minor Hockey</v>
      </c>
      <c r="H1361" s="26">
        <f t="shared" ca="1" si="1"/>
        <v>49</v>
      </c>
      <c r="I1361" s="26">
        <f t="shared" ca="1" si="2"/>
        <v>1</v>
      </c>
      <c r="J1361" s="86">
        <f t="shared" ca="1" si="3"/>
        <v>44888</v>
      </c>
      <c r="R1361" s="26"/>
    </row>
    <row r="1362" spans="1:18" ht="15.75" customHeight="1">
      <c r="A1362" s="26">
        <f ca="1">IFERROR(__xludf.DUMMYFUNCTION("""COMPUTED_VALUE"""),16772)</f>
        <v>16772</v>
      </c>
      <c r="B1362" s="86">
        <f ca="1">IFERROR(__xludf.DUMMYFUNCTION("""COMPUTED_VALUE"""),44888.0658217592)</f>
        <v>44888.065821759199</v>
      </c>
      <c r="C1362" s="1" t="str">
        <f ca="1">IFERROR(__xludf.DUMMYFUNCTION("""COMPUTED_VALUE"""),"completed")</f>
        <v>completed</v>
      </c>
      <c r="D1362" s="26">
        <f ca="1">IFERROR(__xludf.DUMMYFUNCTION("""COMPUTED_VALUE"""),58)</f>
        <v>58</v>
      </c>
      <c r="E1362" s="1" t="str">
        <f ca="1">IFERROR(__xludf.DUMMYFUNCTION("""COMPUTED_VALUE"""),"W.M.H.A")</f>
        <v>W.M.H.A</v>
      </c>
      <c r="F1362" s="87" t="str">
        <f t="shared" ca="1" si="0"/>
        <v>2022</v>
      </c>
      <c r="G1362" s="1" t="str">
        <f ca="1">IFERROR(__xludf.DUMMYFUNCTION("""COMPUTED_VALUE"""),"Erie North Shore Minor Hockey")</f>
        <v>Erie North Shore Minor Hockey</v>
      </c>
      <c r="H1362" s="26">
        <f t="shared" ca="1" si="1"/>
        <v>58</v>
      </c>
      <c r="I1362" s="26">
        <f t="shared" ca="1" si="2"/>
        <v>1</v>
      </c>
      <c r="J1362" s="86">
        <f t="shared" ca="1" si="3"/>
        <v>44888</v>
      </c>
      <c r="R1362" s="26"/>
    </row>
    <row r="1363" spans="1:18" ht="15.75" customHeight="1">
      <c r="A1363" s="26">
        <f ca="1">IFERROR(__xludf.DUMMYFUNCTION("""COMPUTED_VALUE"""),16771)</f>
        <v>16771</v>
      </c>
      <c r="B1363" s="86">
        <f ca="1">IFERROR(__xludf.DUMMYFUNCTION("""COMPUTED_VALUE"""),44888.065474537)</f>
        <v>44888.065474536997</v>
      </c>
      <c r="C1363" s="1" t="str">
        <f ca="1">IFERROR(__xludf.DUMMYFUNCTION("""COMPUTED_VALUE"""),"completed")</f>
        <v>completed</v>
      </c>
      <c r="D1363" s="26">
        <f ca="1">IFERROR(__xludf.DUMMYFUNCTION("""COMPUTED_VALUE"""),25)</f>
        <v>25</v>
      </c>
      <c r="E1363" s="1" t="str">
        <f ca="1">IFERROR(__xludf.DUMMYFUNCTION("""COMPUTED_VALUE"""),"W.M.H.A")</f>
        <v>W.M.H.A</v>
      </c>
      <c r="F1363" s="87" t="str">
        <f t="shared" ca="1" si="0"/>
        <v>2022</v>
      </c>
      <c r="G1363" s="1" t="str">
        <f ca="1">IFERROR(__xludf.DUMMYFUNCTION("""COMPUTED_VALUE"""),"Erie North Shore Minor Hockey")</f>
        <v>Erie North Shore Minor Hockey</v>
      </c>
      <c r="H1363" s="26">
        <f t="shared" ca="1" si="1"/>
        <v>25</v>
      </c>
      <c r="I1363" s="26">
        <f t="shared" ca="1" si="2"/>
        <v>1</v>
      </c>
      <c r="J1363" s="86">
        <f t="shared" ca="1" si="3"/>
        <v>44888</v>
      </c>
      <c r="R1363" s="26"/>
    </row>
    <row r="1364" spans="1:18" ht="15.75" customHeight="1">
      <c r="A1364" s="26">
        <f ca="1">IFERROR(__xludf.DUMMYFUNCTION("""COMPUTED_VALUE"""),16770)</f>
        <v>16770</v>
      </c>
      <c r="B1364" s="86">
        <f ca="1">IFERROR(__xludf.DUMMYFUNCTION("""COMPUTED_VALUE"""),44888.0629398148)</f>
        <v>44888.062939814801</v>
      </c>
      <c r="C1364" s="1" t="str">
        <f ca="1">IFERROR(__xludf.DUMMYFUNCTION("""COMPUTED_VALUE"""),"completed")</f>
        <v>completed</v>
      </c>
      <c r="D1364" s="26">
        <f ca="1">IFERROR(__xludf.DUMMYFUNCTION("""COMPUTED_VALUE"""),24)</f>
        <v>24</v>
      </c>
      <c r="E1364" s="1" t="str">
        <f ca="1">IFERROR(__xludf.DUMMYFUNCTION("""COMPUTED_VALUE"""),"W.M.H.A")</f>
        <v>W.M.H.A</v>
      </c>
      <c r="F1364" s="87" t="str">
        <f t="shared" ca="1" si="0"/>
        <v>2022</v>
      </c>
      <c r="G1364" s="1" t="str">
        <f ca="1">IFERROR(__xludf.DUMMYFUNCTION("""COMPUTED_VALUE"""),"Erie North Shore Minor Hockey")</f>
        <v>Erie North Shore Minor Hockey</v>
      </c>
      <c r="H1364" s="26">
        <f t="shared" ca="1" si="1"/>
        <v>24</v>
      </c>
      <c r="I1364" s="26">
        <f t="shared" ca="1" si="2"/>
        <v>1</v>
      </c>
      <c r="J1364" s="86">
        <f t="shared" ca="1" si="3"/>
        <v>44888</v>
      </c>
      <c r="R1364" s="26"/>
    </row>
    <row r="1365" spans="1:18" ht="15.75" customHeight="1">
      <c r="A1365" s="26">
        <f ca="1">IFERROR(__xludf.DUMMYFUNCTION("""COMPUTED_VALUE"""),16769)</f>
        <v>16769</v>
      </c>
      <c r="B1365" s="86">
        <f ca="1">IFERROR(__xludf.DUMMYFUNCTION("""COMPUTED_VALUE"""),44888.0572916666)</f>
        <v>44888.057291666599</v>
      </c>
      <c r="C1365" s="1" t="str">
        <f ca="1">IFERROR(__xludf.DUMMYFUNCTION("""COMPUTED_VALUE"""),"completed")</f>
        <v>completed</v>
      </c>
      <c r="D1365" s="26">
        <f ca="1">IFERROR(__xludf.DUMMYFUNCTION("""COMPUTED_VALUE"""),25)</f>
        <v>25</v>
      </c>
      <c r="E1365" s="1" t="str">
        <f ca="1">IFERROR(__xludf.DUMMYFUNCTION("""COMPUTED_VALUE"""),"W.M.H.A")</f>
        <v>W.M.H.A</v>
      </c>
      <c r="F1365" s="87" t="str">
        <f t="shared" ca="1" si="0"/>
        <v>2022</v>
      </c>
      <c r="G1365" s="1" t="str">
        <f ca="1">IFERROR(__xludf.DUMMYFUNCTION("""COMPUTED_VALUE"""),"Erie North Shore Minor Hockey")</f>
        <v>Erie North Shore Minor Hockey</v>
      </c>
      <c r="H1365" s="26">
        <f t="shared" ca="1" si="1"/>
        <v>25</v>
      </c>
      <c r="I1365" s="26">
        <f t="shared" ca="1" si="2"/>
        <v>1</v>
      </c>
      <c r="J1365" s="86">
        <f t="shared" ca="1" si="3"/>
        <v>44888</v>
      </c>
      <c r="R1365" s="26"/>
    </row>
    <row r="1366" spans="1:18" ht="15.75" customHeight="1">
      <c r="A1366" s="26">
        <f ca="1">IFERROR(__xludf.DUMMYFUNCTION("""COMPUTED_VALUE"""),16768)</f>
        <v>16768</v>
      </c>
      <c r="B1366" s="86">
        <f ca="1">IFERROR(__xludf.DUMMYFUNCTION("""COMPUTED_VALUE"""),44888.0479861111)</f>
        <v>44888.047986111102</v>
      </c>
      <c r="C1366" s="1" t="str">
        <f ca="1">IFERROR(__xludf.DUMMYFUNCTION("""COMPUTED_VALUE"""),"completed")</f>
        <v>completed</v>
      </c>
      <c r="D1366" s="26">
        <f ca="1">IFERROR(__xludf.DUMMYFUNCTION("""COMPUTED_VALUE"""),35)</f>
        <v>35</v>
      </c>
      <c r="E1366" s="1" t="str">
        <f ca="1">IFERROR(__xludf.DUMMYFUNCTION("""COMPUTED_VALUE"""),"W.M.H.A")</f>
        <v>W.M.H.A</v>
      </c>
      <c r="F1366" s="87" t="str">
        <f t="shared" ca="1" si="0"/>
        <v>2022</v>
      </c>
      <c r="G1366" s="1" t="str">
        <f ca="1">IFERROR(__xludf.DUMMYFUNCTION("""COMPUTED_VALUE"""),"Erie North Shore Minor Hockey")</f>
        <v>Erie North Shore Minor Hockey</v>
      </c>
      <c r="H1366" s="26">
        <f t="shared" ca="1" si="1"/>
        <v>35</v>
      </c>
      <c r="I1366" s="26">
        <f t="shared" ca="1" si="2"/>
        <v>1</v>
      </c>
      <c r="J1366" s="86">
        <f t="shared" ca="1" si="3"/>
        <v>44888</v>
      </c>
      <c r="R1366" s="26"/>
    </row>
    <row r="1367" spans="1:18" ht="15.75" customHeight="1">
      <c r="A1367" s="26">
        <f ca="1">IFERROR(__xludf.DUMMYFUNCTION("""COMPUTED_VALUE"""),16767)</f>
        <v>16767</v>
      </c>
      <c r="B1367" s="86">
        <f ca="1">IFERROR(__xludf.DUMMYFUNCTION("""COMPUTED_VALUE"""),44888.0450578703)</f>
        <v>44888.045057870302</v>
      </c>
      <c r="C1367" s="1" t="str">
        <f ca="1">IFERROR(__xludf.DUMMYFUNCTION("""COMPUTED_VALUE"""),"completed")</f>
        <v>completed</v>
      </c>
      <c r="D1367" s="26">
        <f ca="1">IFERROR(__xludf.DUMMYFUNCTION("""COMPUTED_VALUE"""),35)</f>
        <v>35</v>
      </c>
      <c r="E1367" s="1" t="str">
        <f ca="1">IFERROR(__xludf.DUMMYFUNCTION("""COMPUTED_VALUE"""),"W.M.H.A")</f>
        <v>W.M.H.A</v>
      </c>
      <c r="F1367" s="87" t="str">
        <f t="shared" ca="1" si="0"/>
        <v>2022</v>
      </c>
      <c r="G1367" s="1" t="str">
        <f ca="1">IFERROR(__xludf.DUMMYFUNCTION("""COMPUTED_VALUE"""),"Erie North Shore Minor Hockey")</f>
        <v>Erie North Shore Minor Hockey</v>
      </c>
      <c r="H1367" s="26">
        <f t="shared" ca="1" si="1"/>
        <v>35</v>
      </c>
      <c r="I1367" s="26">
        <f t="shared" ca="1" si="2"/>
        <v>1</v>
      </c>
      <c r="J1367" s="86">
        <f t="shared" ca="1" si="3"/>
        <v>44888</v>
      </c>
      <c r="R1367" s="26"/>
    </row>
    <row r="1368" spans="1:18" ht="15.75" customHeight="1">
      <c r="A1368" s="26">
        <f ca="1">IFERROR(__xludf.DUMMYFUNCTION("""COMPUTED_VALUE"""),16766)</f>
        <v>16766</v>
      </c>
      <c r="B1368" s="86">
        <f ca="1">IFERROR(__xludf.DUMMYFUNCTION("""COMPUTED_VALUE"""),44888.041886574)</f>
        <v>44888.041886573999</v>
      </c>
      <c r="C1368" s="1" t="str">
        <f ca="1">IFERROR(__xludf.DUMMYFUNCTION("""COMPUTED_VALUE"""),"completed")</f>
        <v>completed</v>
      </c>
      <c r="D1368" s="26">
        <f ca="1">IFERROR(__xludf.DUMMYFUNCTION("""COMPUTED_VALUE"""),35)</f>
        <v>35</v>
      </c>
      <c r="E1368" s="1" t="str">
        <f ca="1">IFERROR(__xludf.DUMMYFUNCTION("""COMPUTED_VALUE"""),"W.M.H.A")</f>
        <v>W.M.H.A</v>
      </c>
      <c r="F1368" s="87" t="str">
        <f t="shared" ca="1" si="0"/>
        <v>2022</v>
      </c>
      <c r="G1368" s="1" t="str">
        <f ca="1">IFERROR(__xludf.DUMMYFUNCTION("""COMPUTED_VALUE"""),"Erie North Shore Minor Hockey")</f>
        <v>Erie North Shore Minor Hockey</v>
      </c>
      <c r="H1368" s="26">
        <f t="shared" ca="1" si="1"/>
        <v>35</v>
      </c>
      <c r="I1368" s="26">
        <f t="shared" ca="1" si="2"/>
        <v>1</v>
      </c>
      <c r="J1368" s="86">
        <f t="shared" ca="1" si="3"/>
        <v>44888</v>
      </c>
      <c r="R1368" s="26"/>
    </row>
    <row r="1369" spans="1:18" ht="15.75" customHeight="1">
      <c r="A1369" s="26">
        <f ca="1">IFERROR(__xludf.DUMMYFUNCTION("""COMPUTED_VALUE"""),16765)</f>
        <v>16765</v>
      </c>
      <c r="B1369" s="86">
        <f ca="1">IFERROR(__xludf.DUMMYFUNCTION("""COMPUTED_VALUE"""),44888.0414236111)</f>
        <v>44888.041423611103</v>
      </c>
      <c r="C1369" s="1" t="str">
        <f ca="1">IFERROR(__xludf.DUMMYFUNCTION("""COMPUTED_VALUE"""),"completed")</f>
        <v>completed</v>
      </c>
      <c r="D1369" s="26">
        <f ca="1">IFERROR(__xludf.DUMMYFUNCTION("""COMPUTED_VALUE"""),35)</f>
        <v>35</v>
      </c>
      <c r="E1369" s="1" t="str">
        <f ca="1">IFERROR(__xludf.DUMMYFUNCTION("""COMPUTED_VALUE"""),"W.M.H.A")</f>
        <v>W.M.H.A</v>
      </c>
      <c r="F1369" s="87" t="str">
        <f t="shared" ca="1" si="0"/>
        <v>2022</v>
      </c>
      <c r="G1369" s="1" t="str">
        <f ca="1">IFERROR(__xludf.DUMMYFUNCTION("""COMPUTED_VALUE"""),"Erie North Shore Minor Hockey")</f>
        <v>Erie North Shore Minor Hockey</v>
      </c>
      <c r="H1369" s="26">
        <f t="shared" ca="1" si="1"/>
        <v>35</v>
      </c>
      <c r="I1369" s="26">
        <f t="shared" ca="1" si="2"/>
        <v>1</v>
      </c>
      <c r="J1369" s="86">
        <f t="shared" ca="1" si="3"/>
        <v>44888</v>
      </c>
      <c r="R1369" s="26"/>
    </row>
    <row r="1370" spans="1:18" ht="15.75" customHeight="1">
      <c r="A1370" s="26">
        <f ca="1">IFERROR(__xludf.DUMMYFUNCTION("""COMPUTED_VALUE"""),16764)</f>
        <v>16764</v>
      </c>
      <c r="B1370" s="86">
        <f ca="1">IFERROR(__xludf.DUMMYFUNCTION("""COMPUTED_VALUE"""),44888.0397453703)</f>
        <v>44888.039745370297</v>
      </c>
      <c r="C1370" s="1" t="str">
        <f ca="1">IFERROR(__xludf.DUMMYFUNCTION("""COMPUTED_VALUE"""),"completed")</f>
        <v>completed</v>
      </c>
      <c r="D1370" s="26">
        <f ca="1">IFERROR(__xludf.DUMMYFUNCTION("""COMPUTED_VALUE"""),25)</f>
        <v>25</v>
      </c>
      <c r="E1370" s="1" t="str">
        <f ca="1">IFERROR(__xludf.DUMMYFUNCTION("""COMPUTED_VALUE"""),"W.M.H.A")</f>
        <v>W.M.H.A</v>
      </c>
      <c r="F1370" s="87" t="str">
        <f t="shared" ca="1" si="0"/>
        <v>2022</v>
      </c>
      <c r="G1370" s="1" t="str">
        <f ca="1">IFERROR(__xludf.DUMMYFUNCTION("""COMPUTED_VALUE"""),"Erie North Shore Minor Hockey")</f>
        <v>Erie North Shore Minor Hockey</v>
      </c>
      <c r="H1370" s="26">
        <f t="shared" ca="1" si="1"/>
        <v>25</v>
      </c>
      <c r="I1370" s="26">
        <f t="shared" ca="1" si="2"/>
        <v>1</v>
      </c>
      <c r="J1370" s="86">
        <f t="shared" ca="1" si="3"/>
        <v>44888</v>
      </c>
      <c r="R1370" s="26"/>
    </row>
    <row r="1371" spans="1:18" ht="15.75" customHeight="1">
      <c r="A1371" s="26">
        <f ca="1">IFERROR(__xludf.DUMMYFUNCTION("""COMPUTED_VALUE"""),16763)</f>
        <v>16763</v>
      </c>
      <c r="B1371" s="86">
        <f ca="1">IFERROR(__xludf.DUMMYFUNCTION("""COMPUTED_VALUE"""),44888.0395949074)</f>
        <v>44888.039594907401</v>
      </c>
      <c r="C1371" s="1" t="str">
        <f ca="1">IFERROR(__xludf.DUMMYFUNCTION("""COMPUTED_VALUE"""),"completed")</f>
        <v>completed</v>
      </c>
      <c r="D1371" s="26">
        <f ca="1">IFERROR(__xludf.DUMMYFUNCTION("""COMPUTED_VALUE"""),35)</f>
        <v>35</v>
      </c>
      <c r="E1371" s="1" t="str">
        <f ca="1">IFERROR(__xludf.DUMMYFUNCTION("""COMPUTED_VALUE"""),"W.M.H.A")</f>
        <v>W.M.H.A</v>
      </c>
      <c r="F1371" s="87" t="str">
        <f t="shared" ca="1" si="0"/>
        <v>2022</v>
      </c>
      <c r="G1371" s="1" t="str">
        <f ca="1">IFERROR(__xludf.DUMMYFUNCTION("""COMPUTED_VALUE"""),"Erie North Shore Minor Hockey")</f>
        <v>Erie North Shore Minor Hockey</v>
      </c>
      <c r="H1371" s="26">
        <f t="shared" ca="1" si="1"/>
        <v>35</v>
      </c>
      <c r="I1371" s="26">
        <f t="shared" ca="1" si="2"/>
        <v>1</v>
      </c>
      <c r="J1371" s="86">
        <f t="shared" ca="1" si="3"/>
        <v>44888</v>
      </c>
      <c r="R1371" s="26"/>
    </row>
    <row r="1372" spans="1:18" ht="15.75" customHeight="1">
      <c r="A1372" s="26">
        <f ca="1">IFERROR(__xludf.DUMMYFUNCTION("""COMPUTED_VALUE"""),16762)</f>
        <v>16762</v>
      </c>
      <c r="B1372" s="86">
        <f ca="1">IFERROR(__xludf.DUMMYFUNCTION("""COMPUTED_VALUE"""),44888.0382060185)</f>
        <v>44888.0382060185</v>
      </c>
      <c r="C1372" s="1" t="str">
        <f ca="1">IFERROR(__xludf.DUMMYFUNCTION("""COMPUTED_VALUE"""),"completed")</f>
        <v>completed</v>
      </c>
      <c r="D1372" s="26">
        <f ca="1">IFERROR(__xludf.DUMMYFUNCTION("""COMPUTED_VALUE"""),20)</f>
        <v>20</v>
      </c>
      <c r="E1372" s="1" t="str">
        <f ca="1">IFERROR(__xludf.DUMMYFUNCTION("""COMPUTED_VALUE"""),"W.M.H.A")</f>
        <v>W.M.H.A</v>
      </c>
      <c r="F1372" s="87" t="str">
        <f t="shared" ca="1" si="0"/>
        <v>2022</v>
      </c>
      <c r="G1372" s="1" t="str">
        <f ca="1">IFERROR(__xludf.DUMMYFUNCTION("""COMPUTED_VALUE"""),"Erie North Shore Minor Hockey")</f>
        <v>Erie North Shore Minor Hockey</v>
      </c>
      <c r="H1372" s="26">
        <f t="shared" ca="1" si="1"/>
        <v>20</v>
      </c>
      <c r="I1372" s="26">
        <f t="shared" ca="1" si="2"/>
        <v>1</v>
      </c>
      <c r="J1372" s="86">
        <f t="shared" ca="1" si="3"/>
        <v>44888</v>
      </c>
      <c r="R1372" s="26"/>
    </row>
    <row r="1373" spans="1:18" ht="15.75" customHeight="1">
      <c r="A1373" s="26">
        <f ca="1">IFERROR(__xludf.DUMMYFUNCTION("""COMPUTED_VALUE"""),16761)</f>
        <v>16761</v>
      </c>
      <c r="B1373" s="86">
        <f ca="1">IFERROR(__xludf.DUMMYFUNCTION("""COMPUTED_VALUE"""),44888.0361226851)</f>
        <v>44888.036122685102</v>
      </c>
      <c r="C1373" s="1" t="str">
        <f ca="1">IFERROR(__xludf.DUMMYFUNCTION("""COMPUTED_VALUE"""),"completed")</f>
        <v>completed</v>
      </c>
      <c r="D1373" s="26">
        <f ca="1">IFERROR(__xludf.DUMMYFUNCTION("""COMPUTED_VALUE"""),42)</f>
        <v>42</v>
      </c>
      <c r="E1373" s="1" t="str">
        <f ca="1">IFERROR(__xludf.DUMMYFUNCTION("""COMPUTED_VALUE"""),"W.M.H.A")</f>
        <v>W.M.H.A</v>
      </c>
      <c r="F1373" s="87" t="str">
        <f t="shared" ca="1" si="0"/>
        <v>2022</v>
      </c>
      <c r="G1373" s="1" t="str">
        <f ca="1">IFERROR(__xludf.DUMMYFUNCTION("""COMPUTED_VALUE"""),"Erie North Shore Minor Hockey")</f>
        <v>Erie North Shore Minor Hockey</v>
      </c>
      <c r="H1373" s="26">
        <f t="shared" ca="1" si="1"/>
        <v>42</v>
      </c>
      <c r="I1373" s="26">
        <f t="shared" ca="1" si="2"/>
        <v>1</v>
      </c>
      <c r="J1373" s="86">
        <f t="shared" ca="1" si="3"/>
        <v>44888</v>
      </c>
      <c r="R1373" s="26"/>
    </row>
    <row r="1374" spans="1:18" ht="15.75" customHeight="1">
      <c r="A1374" s="26">
        <f ca="1">IFERROR(__xludf.DUMMYFUNCTION("""COMPUTED_VALUE"""),16760)</f>
        <v>16760</v>
      </c>
      <c r="B1374" s="86">
        <f ca="1">IFERROR(__xludf.DUMMYFUNCTION("""COMPUTED_VALUE"""),44888.0350925925)</f>
        <v>44888.035092592501</v>
      </c>
      <c r="C1374" s="1" t="str">
        <f ca="1">IFERROR(__xludf.DUMMYFUNCTION("""COMPUTED_VALUE"""),"completed")</f>
        <v>completed</v>
      </c>
      <c r="D1374" s="26">
        <f ca="1">IFERROR(__xludf.DUMMYFUNCTION("""COMPUTED_VALUE"""),88)</f>
        <v>88</v>
      </c>
      <c r="E1374" s="1" t="str">
        <f ca="1">IFERROR(__xludf.DUMMYFUNCTION("""COMPUTED_VALUE"""),"W.M.H.A")</f>
        <v>W.M.H.A</v>
      </c>
      <c r="F1374" s="87" t="str">
        <f t="shared" ca="1" si="0"/>
        <v>2022</v>
      </c>
      <c r="G1374" s="1" t="str">
        <f ca="1">IFERROR(__xludf.DUMMYFUNCTION("""COMPUTED_VALUE"""),"Erie North Shore Minor Hockey")</f>
        <v>Erie North Shore Minor Hockey</v>
      </c>
      <c r="H1374" s="26">
        <f t="shared" ca="1" si="1"/>
        <v>88</v>
      </c>
      <c r="I1374" s="26">
        <f t="shared" ca="1" si="2"/>
        <v>1</v>
      </c>
      <c r="J1374" s="86">
        <f t="shared" ca="1" si="3"/>
        <v>44888</v>
      </c>
      <c r="R1374" s="26"/>
    </row>
    <row r="1375" spans="1:18" ht="15.75" customHeight="1">
      <c r="A1375" s="26">
        <f ca="1">IFERROR(__xludf.DUMMYFUNCTION("""COMPUTED_VALUE"""),16759)</f>
        <v>16759</v>
      </c>
      <c r="B1375" s="86">
        <f ca="1">IFERROR(__xludf.DUMMYFUNCTION("""COMPUTED_VALUE"""),44888.0328125)</f>
        <v>44888.032812500001</v>
      </c>
      <c r="C1375" s="1" t="str">
        <f ca="1">IFERROR(__xludf.DUMMYFUNCTION("""COMPUTED_VALUE"""),"completed")</f>
        <v>completed</v>
      </c>
      <c r="D1375" s="26">
        <f ca="1">IFERROR(__xludf.DUMMYFUNCTION("""COMPUTED_VALUE"""),25)</f>
        <v>25</v>
      </c>
      <c r="E1375" s="1" t="str">
        <f ca="1">IFERROR(__xludf.DUMMYFUNCTION("""COMPUTED_VALUE"""),"W.M.H.A")</f>
        <v>W.M.H.A</v>
      </c>
      <c r="F1375" s="87" t="str">
        <f t="shared" ca="1" si="0"/>
        <v>2022</v>
      </c>
      <c r="G1375" s="1" t="str">
        <f ca="1">IFERROR(__xludf.DUMMYFUNCTION("""COMPUTED_VALUE"""),"Erie North Shore Minor Hockey")</f>
        <v>Erie North Shore Minor Hockey</v>
      </c>
      <c r="H1375" s="26">
        <f t="shared" ca="1" si="1"/>
        <v>25</v>
      </c>
      <c r="I1375" s="26">
        <f t="shared" ca="1" si="2"/>
        <v>1</v>
      </c>
      <c r="J1375" s="86">
        <f t="shared" ca="1" si="3"/>
        <v>44888</v>
      </c>
      <c r="R1375" s="26"/>
    </row>
    <row r="1376" spans="1:18" ht="15.75" customHeight="1">
      <c r="A1376" s="26">
        <f ca="1">IFERROR(__xludf.DUMMYFUNCTION("""COMPUTED_VALUE"""),16758)</f>
        <v>16758</v>
      </c>
      <c r="B1376" s="86">
        <f ca="1">IFERROR(__xludf.DUMMYFUNCTION("""COMPUTED_VALUE"""),44888.03125)</f>
        <v>44888.03125</v>
      </c>
      <c r="C1376" s="1" t="str">
        <f ca="1">IFERROR(__xludf.DUMMYFUNCTION("""COMPUTED_VALUE"""),"completed")</f>
        <v>completed</v>
      </c>
      <c r="D1376" s="26">
        <f ca="1">IFERROR(__xludf.DUMMYFUNCTION("""COMPUTED_VALUE"""),35)</f>
        <v>35</v>
      </c>
      <c r="E1376" s="1" t="str">
        <f ca="1">IFERROR(__xludf.DUMMYFUNCTION("""COMPUTED_VALUE"""),"W.M.H.A")</f>
        <v>W.M.H.A</v>
      </c>
      <c r="F1376" s="87" t="str">
        <f t="shared" ca="1" si="0"/>
        <v>2022</v>
      </c>
      <c r="G1376" s="1" t="str">
        <f ca="1">IFERROR(__xludf.DUMMYFUNCTION("""COMPUTED_VALUE"""),"Erie North Shore Minor Hockey")</f>
        <v>Erie North Shore Minor Hockey</v>
      </c>
      <c r="H1376" s="26">
        <f t="shared" ca="1" si="1"/>
        <v>35</v>
      </c>
      <c r="I1376" s="26">
        <f t="shared" ca="1" si="2"/>
        <v>1</v>
      </c>
      <c r="J1376" s="86">
        <f t="shared" ca="1" si="3"/>
        <v>44888</v>
      </c>
      <c r="R1376" s="26"/>
    </row>
    <row r="1377" spans="1:18" ht="15.75" customHeight="1">
      <c r="A1377" s="26">
        <f ca="1">IFERROR(__xludf.DUMMYFUNCTION("""COMPUTED_VALUE"""),16757)</f>
        <v>16757</v>
      </c>
      <c r="B1377" s="86">
        <f ca="1">IFERROR(__xludf.DUMMYFUNCTION("""COMPUTED_VALUE"""),44888.0280092592)</f>
        <v>44888.0280092592</v>
      </c>
      <c r="C1377" s="1" t="str">
        <f ca="1">IFERROR(__xludf.DUMMYFUNCTION("""COMPUTED_VALUE"""),"completed")</f>
        <v>completed</v>
      </c>
      <c r="D1377" s="26">
        <f ca="1">IFERROR(__xludf.DUMMYFUNCTION("""COMPUTED_VALUE"""),35)</f>
        <v>35</v>
      </c>
      <c r="E1377" s="1" t="str">
        <f ca="1">IFERROR(__xludf.DUMMYFUNCTION("""COMPUTED_VALUE"""),"W.M.H.A")</f>
        <v>W.M.H.A</v>
      </c>
      <c r="F1377" s="87" t="str">
        <f t="shared" ca="1" si="0"/>
        <v>2022</v>
      </c>
      <c r="G1377" s="1" t="str">
        <f ca="1">IFERROR(__xludf.DUMMYFUNCTION("""COMPUTED_VALUE"""),"Erie North Shore Minor Hockey")</f>
        <v>Erie North Shore Minor Hockey</v>
      </c>
      <c r="H1377" s="26">
        <f t="shared" ca="1" si="1"/>
        <v>35</v>
      </c>
      <c r="I1377" s="26">
        <f t="shared" ca="1" si="2"/>
        <v>1</v>
      </c>
      <c r="J1377" s="86">
        <f t="shared" ca="1" si="3"/>
        <v>44888</v>
      </c>
      <c r="R1377" s="26"/>
    </row>
    <row r="1378" spans="1:18" ht="15.75" customHeight="1">
      <c r="A1378" s="26">
        <f ca="1">IFERROR(__xludf.DUMMYFUNCTION("""COMPUTED_VALUE"""),16756)</f>
        <v>16756</v>
      </c>
      <c r="B1378" s="86">
        <f ca="1">IFERROR(__xludf.DUMMYFUNCTION("""COMPUTED_VALUE"""),44888.0280092592)</f>
        <v>44888.0280092592</v>
      </c>
      <c r="C1378" s="1" t="str">
        <f ca="1">IFERROR(__xludf.DUMMYFUNCTION("""COMPUTED_VALUE"""),"completed")</f>
        <v>completed</v>
      </c>
      <c r="D1378" s="26">
        <f ca="1">IFERROR(__xludf.DUMMYFUNCTION("""COMPUTED_VALUE"""),24)</f>
        <v>24</v>
      </c>
      <c r="E1378" s="1" t="str">
        <f ca="1">IFERROR(__xludf.DUMMYFUNCTION("""COMPUTED_VALUE"""),"W.M.H.A")</f>
        <v>W.M.H.A</v>
      </c>
      <c r="F1378" s="87" t="str">
        <f t="shared" ca="1" si="0"/>
        <v>2022</v>
      </c>
      <c r="G1378" s="1" t="str">
        <f ca="1">IFERROR(__xludf.DUMMYFUNCTION("""COMPUTED_VALUE"""),"Erie North Shore Minor Hockey")</f>
        <v>Erie North Shore Minor Hockey</v>
      </c>
      <c r="H1378" s="26">
        <f t="shared" ca="1" si="1"/>
        <v>24</v>
      </c>
      <c r="I1378" s="26">
        <f t="shared" ca="1" si="2"/>
        <v>1</v>
      </c>
      <c r="J1378" s="86">
        <f t="shared" ca="1" si="3"/>
        <v>44888</v>
      </c>
      <c r="R1378" s="26"/>
    </row>
    <row r="1379" spans="1:18" ht="15.75" customHeight="1">
      <c r="A1379" s="26">
        <f ca="1">IFERROR(__xludf.DUMMYFUNCTION("""COMPUTED_VALUE"""),16755)</f>
        <v>16755</v>
      </c>
      <c r="B1379" s="86">
        <f ca="1">IFERROR(__xludf.DUMMYFUNCTION("""COMPUTED_VALUE"""),44888.0180439813)</f>
        <v>44888.018043981399</v>
      </c>
      <c r="C1379" s="1" t="str">
        <f ca="1">IFERROR(__xludf.DUMMYFUNCTION("""COMPUTED_VALUE"""),"completed")</f>
        <v>completed</v>
      </c>
      <c r="D1379" s="26">
        <f ca="1">IFERROR(__xludf.DUMMYFUNCTION("""COMPUTED_VALUE"""),0)</f>
        <v>0</v>
      </c>
      <c r="E1379" s="1" t="str">
        <f ca="1">IFERROR(__xludf.DUMMYFUNCTION("""COMPUTED_VALUE"""),"W.M.H.A")</f>
        <v>W.M.H.A</v>
      </c>
      <c r="F1379" s="87" t="str">
        <f t="shared" ca="1" si="0"/>
        <v>2022</v>
      </c>
      <c r="G1379" s="1" t="str">
        <f ca="1">IFERROR(__xludf.DUMMYFUNCTION("""COMPUTED_VALUE"""),"Erie North Shore Minor Hockey")</f>
        <v>Erie North Shore Minor Hockey</v>
      </c>
      <c r="H1379" s="26">
        <f t="shared" ca="1" si="1"/>
        <v>0</v>
      </c>
      <c r="I1379" s="26">
        <f t="shared" ca="1" si="2"/>
        <v>1</v>
      </c>
      <c r="J1379" s="86">
        <f t="shared" ca="1" si="3"/>
        <v>44888</v>
      </c>
      <c r="R1379" s="26"/>
    </row>
    <row r="1380" spans="1:18" ht="15.75" customHeight="1">
      <c r="A1380" s="26">
        <f ca="1">IFERROR(__xludf.DUMMYFUNCTION("""COMPUTED_VALUE"""),16754)</f>
        <v>16754</v>
      </c>
      <c r="B1380" s="86">
        <f ca="1">IFERROR(__xludf.DUMMYFUNCTION("""COMPUTED_VALUE"""),44888.0099768518)</f>
        <v>44888.009976851798</v>
      </c>
      <c r="C1380" s="1" t="str">
        <f ca="1">IFERROR(__xludf.DUMMYFUNCTION("""COMPUTED_VALUE"""),"completed")</f>
        <v>completed</v>
      </c>
      <c r="D1380" s="26">
        <f ca="1">IFERROR(__xludf.DUMMYFUNCTION("""COMPUTED_VALUE"""),45)</f>
        <v>45</v>
      </c>
      <c r="E1380" s="1" t="str">
        <f ca="1">IFERROR(__xludf.DUMMYFUNCTION("""COMPUTED_VALUE"""),"W.M.H.A")</f>
        <v>W.M.H.A</v>
      </c>
      <c r="F1380" s="87" t="str">
        <f t="shared" ca="1" si="0"/>
        <v>2022</v>
      </c>
      <c r="G1380" s="1" t="str">
        <f ca="1">IFERROR(__xludf.DUMMYFUNCTION("""COMPUTED_VALUE"""),"Erie North Shore Minor Hockey")</f>
        <v>Erie North Shore Minor Hockey</v>
      </c>
      <c r="H1380" s="26">
        <f t="shared" ca="1" si="1"/>
        <v>45</v>
      </c>
      <c r="I1380" s="26">
        <f t="shared" ca="1" si="2"/>
        <v>1</v>
      </c>
      <c r="J1380" s="86">
        <f t="shared" ca="1" si="3"/>
        <v>44888</v>
      </c>
      <c r="R1380" s="26"/>
    </row>
    <row r="1381" spans="1:18" ht="15.75" customHeight="1">
      <c r="A1381" s="26">
        <f ca="1">IFERROR(__xludf.DUMMYFUNCTION("""COMPUTED_VALUE"""),16753)</f>
        <v>16753</v>
      </c>
      <c r="B1381" s="86">
        <f ca="1">IFERROR(__xludf.DUMMYFUNCTION("""COMPUTED_VALUE"""),44888.0080092592)</f>
        <v>44888.008009259203</v>
      </c>
      <c r="C1381" s="1" t="str">
        <f ca="1">IFERROR(__xludf.DUMMYFUNCTION("""COMPUTED_VALUE"""),"completed")</f>
        <v>completed</v>
      </c>
      <c r="D1381" s="26">
        <f ca="1">IFERROR(__xludf.DUMMYFUNCTION("""COMPUTED_VALUE"""),55)</f>
        <v>55</v>
      </c>
      <c r="E1381" s="1" t="str">
        <f ca="1">IFERROR(__xludf.DUMMYFUNCTION("""COMPUTED_VALUE"""),"W.M.H.A")</f>
        <v>W.M.H.A</v>
      </c>
      <c r="F1381" s="87" t="str">
        <f t="shared" ca="1" si="0"/>
        <v>2022</v>
      </c>
      <c r="G1381" s="1" t="str">
        <f ca="1">IFERROR(__xludf.DUMMYFUNCTION("""COMPUTED_VALUE"""),"Erie North Shore Minor Hockey")</f>
        <v>Erie North Shore Minor Hockey</v>
      </c>
      <c r="H1381" s="26">
        <f t="shared" ca="1" si="1"/>
        <v>55</v>
      </c>
      <c r="I1381" s="26">
        <f t="shared" ca="1" si="2"/>
        <v>1</v>
      </c>
      <c r="J1381" s="86">
        <f t="shared" ca="1" si="3"/>
        <v>44888</v>
      </c>
      <c r="R1381" s="26"/>
    </row>
    <row r="1382" spans="1:18" ht="15.75" customHeight="1">
      <c r="A1382" s="26">
        <f ca="1">IFERROR(__xludf.DUMMYFUNCTION("""COMPUTED_VALUE"""),16752)</f>
        <v>16752</v>
      </c>
      <c r="B1382" s="86">
        <f ca="1">IFERROR(__xludf.DUMMYFUNCTION("""COMPUTED_VALUE"""),44888.0065393518)</f>
        <v>44888.006539351802</v>
      </c>
      <c r="C1382" s="1" t="str">
        <f ca="1">IFERROR(__xludf.DUMMYFUNCTION("""COMPUTED_VALUE"""),"completed")</f>
        <v>completed</v>
      </c>
      <c r="D1382" s="26">
        <f ca="1">IFERROR(__xludf.DUMMYFUNCTION("""COMPUTED_VALUE"""),35)</f>
        <v>35</v>
      </c>
      <c r="E1382" s="1" t="str">
        <f ca="1">IFERROR(__xludf.DUMMYFUNCTION("""COMPUTED_VALUE"""),"W.M.H.A")</f>
        <v>W.M.H.A</v>
      </c>
      <c r="F1382" s="87" t="str">
        <f t="shared" ca="1" si="0"/>
        <v>2022</v>
      </c>
      <c r="G1382" s="1" t="str">
        <f ca="1">IFERROR(__xludf.DUMMYFUNCTION("""COMPUTED_VALUE"""),"Erie North Shore Minor Hockey")</f>
        <v>Erie North Shore Minor Hockey</v>
      </c>
      <c r="H1382" s="26">
        <f t="shared" ca="1" si="1"/>
        <v>35</v>
      </c>
      <c r="I1382" s="26">
        <f t="shared" ca="1" si="2"/>
        <v>1</v>
      </c>
      <c r="J1382" s="86">
        <f t="shared" ca="1" si="3"/>
        <v>44888</v>
      </c>
      <c r="R1382" s="26"/>
    </row>
    <row r="1383" spans="1:18" ht="15.75" customHeight="1">
      <c r="A1383" s="26">
        <f ca="1">IFERROR(__xludf.DUMMYFUNCTION("""COMPUTED_VALUE"""),16751)</f>
        <v>16751</v>
      </c>
      <c r="B1383" s="86">
        <f ca="1">IFERROR(__xludf.DUMMYFUNCTION("""COMPUTED_VALUE"""),44888.00375)</f>
        <v>44888.003750000003</v>
      </c>
      <c r="C1383" s="1" t="str">
        <f ca="1">IFERROR(__xludf.DUMMYFUNCTION("""COMPUTED_VALUE"""),"completed")</f>
        <v>completed</v>
      </c>
      <c r="D1383" s="26">
        <f ca="1">IFERROR(__xludf.DUMMYFUNCTION("""COMPUTED_VALUE"""),35)</f>
        <v>35</v>
      </c>
      <c r="E1383" s="1" t="str">
        <f ca="1">IFERROR(__xludf.DUMMYFUNCTION("""COMPUTED_VALUE"""),"W.M.H.A")</f>
        <v>W.M.H.A</v>
      </c>
      <c r="F1383" s="87" t="str">
        <f t="shared" ca="1" si="0"/>
        <v>2022</v>
      </c>
      <c r="G1383" s="1" t="str">
        <f ca="1">IFERROR(__xludf.DUMMYFUNCTION("""COMPUTED_VALUE"""),"Erie North Shore Minor Hockey")</f>
        <v>Erie North Shore Minor Hockey</v>
      </c>
      <c r="H1383" s="26">
        <f t="shared" ca="1" si="1"/>
        <v>35</v>
      </c>
      <c r="I1383" s="26">
        <f t="shared" ca="1" si="2"/>
        <v>1</v>
      </c>
      <c r="J1383" s="86">
        <f t="shared" ca="1" si="3"/>
        <v>44888</v>
      </c>
      <c r="R1383" s="26"/>
    </row>
    <row r="1384" spans="1:18" ht="15.75" customHeight="1">
      <c r="A1384" s="26">
        <f ca="1">IFERROR(__xludf.DUMMYFUNCTION("""COMPUTED_VALUE"""),16750)</f>
        <v>16750</v>
      </c>
      <c r="B1384" s="86">
        <f ca="1">IFERROR(__xludf.DUMMYFUNCTION("""COMPUTED_VALUE"""),44887.9990277777)</f>
        <v>44887.999027777703</v>
      </c>
      <c r="C1384" s="1" t="str">
        <f ca="1">IFERROR(__xludf.DUMMYFUNCTION("""COMPUTED_VALUE"""),"completed")</f>
        <v>completed</v>
      </c>
      <c r="D1384" s="26">
        <f ca="1">IFERROR(__xludf.DUMMYFUNCTION("""COMPUTED_VALUE"""),25)</f>
        <v>25</v>
      </c>
      <c r="E1384" s="1" t="str">
        <f ca="1">IFERROR(__xludf.DUMMYFUNCTION("""COMPUTED_VALUE"""),"W.M.H.A")</f>
        <v>W.M.H.A</v>
      </c>
      <c r="F1384" s="87" t="str">
        <f t="shared" ca="1" si="0"/>
        <v>2022</v>
      </c>
      <c r="G1384" s="1" t="str">
        <f ca="1">IFERROR(__xludf.DUMMYFUNCTION("""COMPUTED_VALUE"""),"Erie North Shore Minor Hockey")</f>
        <v>Erie North Shore Minor Hockey</v>
      </c>
      <c r="H1384" s="26">
        <f t="shared" ca="1" si="1"/>
        <v>25</v>
      </c>
      <c r="I1384" s="26">
        <f t="shared" ca="1" si="2"/>
        <v>1</v>
      </c>
      <c r="J1384" s="86">
        <f t="shared" ca="1" si="3"/>
        <v>44887</v>
      </c>
      <c r="R1384" s="26"/>
    </row>
    <row r="1385" spans="1:18" ht="15.75" customHeight="1">
      <c r="A1385" s="26">
        <f ca="1">IFERROR(__xludf.DUMMYFUNCTION("""COMPUTED_VALUE"""),16749)</f>
        <v>16749</v>
      </c>
      <c r="B1385" s="86">
        <f ca="1">IFERROR(__xludf.DUMMYFUNCTION("""COMPUTED_VALUE"""),44887.9981944444)</f>
        <v>44887.998194444401</v>
      </c>
      <c r="C1385" s="1" t="str">
        <f ca="1">IFERROR(__xludf.DUMMYFUNCTION("""COMPUTED_VALUE"""),"completed")</f>
        <v>completed</v>
      </c>
      <c r="D1385" s="26">
        <f ca="1">IFERROR(__xludf.DUMMYFUNCTION("""COMPUTED_VALUE"""),15)</f>
        <v>15</v>
      </c>
      <c r="E1385" s="1" t="str">
        <f ca="1">IFERROR(__xludf.DUMMYFUNCTION("""COMPUTED_VALUE"""),"W.M.H.A")</f>
        <v>W.M.H.A</v>
      </c>
      <c r="F1385" s="87" t="str">
        <f t="shared" ca="1" si="0"/>
        <v>2022</v>
      </c>
      <c r="G1385" s="1" t="str">
        <f ca="1">IFERROR(__xludf.DUMMYFUNCTION("""COMPUTED_VALUE"""),"Erie North Shore Minor Hockey")</f>
        <v>Erie North Shore Minor Hockey</v>
      </c>
      <c r="H1385" s="26">
        <f t="shared" ca="1" si="1"/>
        <v>15</v>
      </c>
      <c r="I1385" s="26">
        <f t="shared" ca="1" si="2"/>
        <v>1</v>
      </c>
      <c r="J1385" s="86">
        <f t="shared" ca="1" si="3"/>
        <v>44887</v>
      </c>
      <c r="R1385" s="26"/>
    </row>
    <row r="1386" spans="1:18" ht="15.75" customHeight="1">
      <c r="A1386" s="26">
        <f ca="1">IFERROR(__xludf.DUMMYFUNCTION("""COMPUTED_VALUE"""),16748)</f>
        <v>16748</v>
      </c>
      <c r="B1386" s="86">
        <f ca="1">IFERROR(__xludf.DUMMYFUNCTION("""COMPUTED_VALUE"""),44887.9901736111)</f>
        <v>44887.990173611099</v>
      </c>
      <c r="C1386" s="1" t="str">
        <f ca="1">IFERROR(__xludf.DUMMYFUNCTION("""COMPUTED_VALUE"""),"completed")</f>
        <v>completed</v>
      </c>
      <c r="D1386" s="26">
        <f ca="1">IFERROR(__xludf.DUMMYFUNCTION("""COMPUTED_VALUE"""),25)</f>
        <v>25</v>
      </c>
      <c r="E1386" s="1" t="str">
        <f ca="1">IFERROR(__xludf.DUMMYFUNCTION("""COMPUTED_VALUE"""),"W.M.H.A")</f>
        <v>W.M.H.A</v>
      </c>
      <c r="F1386" s="87" t="str">
        <f t="shared" ca="1" si="0"/>
        <v>2022</v>
      </c>
      <c r="G1386" s="1" t="str">
        <f ca="1">IFERROR(__xludf.DUMMYFUNCTION("""COMPUTED_VALUE"""),"Erie North Shore Minor Hockey")</f>
        <v>Erie North Shore Minor Hockey</v>
      </c>
      <c r="H1386" s="26">
        <f t="shared" ca="1" si="1"/>
        <v>25</v>
      </c>
      <c r="I1386" s="26">
        <f t="shared" ca="1" si="2"/>
        <v>1</v>
      </c>
      <c r="J1386" s="86">
        <f t="shared" ca="1" si="3"/>
        <v>44887</v>
      </c>
      <c r="R1386" s="26"/>
    </row>
    <row r="1387" spans="1:18" ht="15.75" customHeight="1">
      <c r="A1387" s="26">
        <f ca="1">IFERROR(__xludf.DUMMYFUNCTION("""COMPUTED_VALUE"""),16747)</f>
        <v>16747</v>
      </c>
      <c r="B1387" s="86">
        <f ca="1">IFERROR(__xludf.DUMMYFUNCTION("""COMPUTED_VALUE"""),44887.9896875)</f>
        <v>44887.989687499998</v>
      </c>
      <c r="C1387" s="1" t="str">
        <f ca="1">IFERROR(__xludf.DUMMYFUNCTION("""COMPUTED_VALUE"""),"completed")</f>
        <v>completed</v>
      </c>
      <c r="D1387" s="26">
        <f ca="1">IFERROR(__xludf.DUMMYFUNCTION("""COMPUTED_VALUE"""),53)</f>
        <v>53</v>
      </c>
      <c r="E1387" s="1" t="str">
        <f ca="1">IFERROR(__xludf.DUMMYFUNCTION("""COMPUTED_VALUE"""),"W.M.H.A")</f>
        <v>W.M.H.A</v>
      </c>
      <c r="F1387" s="87" t="str">
        <f t="shared" ca="1" si="0"/>
        <v>2022</v>
      </c>
      <c r="G1387" s="1" t="str">
        <f ca="1">IFERROR(__xludf.DUMMYFUNCTION("""COMPUTED_VALUE"""),"Erie North Shore Minor Hockey")</f>
        <v>Erie North Shore Minor Hockey</v>
      </c>
      <c r="H1387" s="26">
        <f t="shared" ca="1" si="1"/>
        <v>53</v>
      </c>
      <c r="I1387" s="26">
        <f t="shared" ca="1" si="2"/>
        <v>1</v>
      </c>
      <c r="J1387" s="86">
        <f t="shared" ca="1" si="3"/>
        <v>44887</v>
      </c>
      <c r="R1387" s="26"/>
    </row>
    <row r="1388" spans="1:18" ht="15.75" customHeight="1">
      <c r="A1388" s="26">
        <f ca="1">IFERROR(__xludf.DUMMYFUNCTION("""COMPUTED_VALUE"""),16746)</f>
        <v>16746</v>
      </c>
      <c r="B1388" s="86">
        <f ca="1">IFERROR(__xludf.DUMMYFUNCTION("""COMPUTED_VALUE"""),44887.9865972222)</f>
        <v>44887.986597222203</v>
      </c>
      <c r="C1388" s="1" t="str">
        <f ca="1">IFERROR(__xludf.DUMMYFUNCTION("""COMPUTED_VALUE"""),"completed")</f>
        <v>completed</v>
      </c>
      <c r="D1388" s="26">
        <f ca="1">IFERROR(__xludf.DUMMYFUNCTION("""COMPUTED_VALUE"""),35)</f>
        <v>35</v>
      </c>
      <c r="E1388" s="1" t="str">
        <f ca="1">IFERROR(__xludf.DUMMYFUNCTION("""COMPUTED_VALUE"""),"W.M.H.A")</f>
        <v>W.M.H.A</v>
      </c>
      <c r="F1388" s="87" t="str">
        <f t="shared" ca="1" si="0"/>
        <v>2022</v>
      </c>
      <c r="G1388" s="1" t="str">
        <f ca="1">IFERROR(__xludf.DUMMYFUNCTION("""COMPUTED_VALUE"""),"Erie North Shore Minor Hockey")</f>
        <v>Erie North Shore Minor Hockey</v>
      </c>
      <c r="H1388" s="26">
        <f t="shared" ca="1" si="1"/>
        <v>35</v>
      </c>
      <c r="I1388" s="26">
        <f t="shared" ca="1" si="2"/>
        <v>1</v>
      </c>
      <c r="J1388" s="86">
        <f t="shared" ca="1" si="3"/>
        <v>44887</v>
      </c>
      <c r="R1388" s="26"/>
    </row>
    <row r="1389" spans="1:18" ht="15.75" customHeight="1">
      <c r="A1389" s="26">
        <f ca="1">IFERROR(__xludf.DUMMYFUNCTION("""COMPUTED_VALUE"""),16745)</f>
        <v>16745</v>
      </c>
      <c r="B1389" s="86">
        <f ca="1">IFERROR(__xludf.DUMMYFUNCTION("""COMPUTED_VALUE"""),44887.9851736111)</f>
        <v>44887.985173611101</v>
      </c>
      <c r="C1389" s="1" t="str">
        <f ca="1">IFERROR(__xludf.DUMMYFUNCTION("""COMPUTED_VALUE"""),"completed")</f>
        <v>completed</v>
      </c>
      <c r="D1389" s="26">
        <f ca="1">IFERROR(__xludf.DUMMYFUNCTION("""COMPUTED_VALUE"""),53)</f>
        <v>53</v>
      </c>
      <c r="E1389" s="1" t="str">
        <f ca="1">IFERROR(__xludf.DUMMYFUNCTION("""COMPUTED_VALUE"""),"W.M.H.A")</f>
        <v>W.M.H.A</v>
      </c>
      <c r="F1389" s="87" t="str">
        <f t="shared" ca="1" si="0"/>
        <v>2022</v>
      </c>
      <c r="G1389" s="1" t="str">
        <f ca="1">IFERROR(__xludf.DUMMYFUNCTION("""COMPUTED_VALUE"""),"Erie North Shore Minor Hockey")</f>
        <v>Erie North Shore Minor Hockey</v>
      </c>
      <c r="H1389" s="26">
        <f t="shared" ca="1" si="1"/>
        <v>53</v>
      </c>
      <c r="I1389" s="26">
        <f t="shared" ca="1" si="2"/>
        <v>1</v>
      </c>
      <c r="J1389" s="86">
        <f t="shared" ca="1" si="3"/>
        <v>44887</v>
      </c>
      <c r="R1389" s="26"/>
    </row>
    <row r="1390" spans="1:18" ht="15.75" customHeight="1">
      <c r="A1390" s="26">
        <f ca="1">IFERROR(__xludf.DUMMYFUNCTION("""COMPUTED_VALUE"""),16744)</f>
        <v>16744</v>
      </c>
      <c r="B1390" s="86">
        <f ca="1">IFERROR(__xludf.DUMMYFUNCTION("""COMPUTED_VALUE"""),44887.9838078703)</f>
        <v>44887.983807870303</v>
      </c>
      <c r="C1390" s="1" t="str">
        <f ca="1">IFERROR(__xludf.DUMMYFUNCTION("""COMPUTED_VALUE"""),"completed")</f>
        <v>completed</v>
      </c>
      <c r="D1390" s="26">
        <f ca="1">IFERROR(__xludf.DUMMYFUNCTION("""COMPUTED_VALUE"""),25)</f>
        <v>25</v>
      </c>
      <c r="E1390" s="1" t="str">
        <f ca="1">IFERROR(__xludf.DUMMYFUNCTION("""COMPUTED_VALUE"""),"W.M.H.A")</f>
        <v>W.M.H.A</v>
      </c>
      <c r="F1390" s="87" t="str">
        <f t="shared" ca="1" si="0"/>
        <v>2022</v>
      </c>
      <c r="G1390" s="1" t="str">
        <f ca="1">IFERROR(__xludf.DUMMYFUNCTION("""COMPUTED_VALUE"""),"Erie North Shore Minor Hockey")</f>
        <v>Erie North Shore Minor Hockey</v>
      </c>
      <c r="H1390" s="26">
        <f t="shared" ca="1" si="1"/>
        <v>25</v>
      </c>
      <c r="I1390" s="26">
        <f t="shared" ca="1" si="2"/>
        <v>1</v>
      </c>
      <c r="J1390" s="86">
        <f t="shared" ca="1" si="3"/>
        <v>44887</v>
      </c>
      <c r="R1390" s="26"/>
    </row>
    <row r="1391" spans="1:18" ht="15.75" customHeight="1">
      <c r="A1391" s="26">
        <f ca="1">IFERROR(__xludf.DUMMYFUNCTION("""COMPUTED_VALUE"""),16743)</f>
        <v>16743</v>
      </c>
      <c r="B1391" s="86">
        <f ca="1">IFERROR(__xludf.DUMMYFUNCTION("""COMPUTED_VALUE"""),44887.9770833333)</f>
        <v>44887.977083333302</v>
      </c>
      <c r="C1391" s="1" t="str">
        <f ca="1">IFERROR(__xludf.DUMMYFUNCTION("""COMPUTED_VALUE"""),"completed")</f>
        <v>completed</v>
      </c>
      <c r="D1391" s="26">
        <f ca="1">IFERROR(__xludf.DUMMYFUNCTION("""COMPUTED_VALUE"""),28)</f>
        <v>28</v>
      </c>
      <c r="E1391" s="1" t="str">
        <f ca="1">IFERROR(__xludf.DUMMYFUNCTION("""COMPUTED_VALUE"""),"W.M.H.A")</f>
        <v>W.M.H.A</v>
      </c>
      <c r="F1391" s="87" t="str">
        <f t="shared" ca="1" si="0"/>
        <v>2022</v>
      </c>
      <c r="G1391" s="1" t="str">
        <f ca="1">IFERROR(__xludf.DUMMYFUNCTION("""COMPUTED_VALUE"""),"Erie North Shore Minor Hockey")</f>
        <v>Erie North Shore Minor Hockey</v>
      </c>
      <c r="H1391" s="26">
        <f t="shared" ca="1" si="1"/>
        <v>28</v>
      </c>
      <c r="I1391" s="26">
        <f t="shared" ca="1" si="2"/>
        <v>1</v>
      </c>
      <c r="J1391" s="86">
        <f t="shared" ca="1" si="3"/>
        <v>44887</v>
      </c>
      <c r="R1391" s="26"/>
    </row>
    <row r="1392" spans="1:18" ht="15.75" customHeight="1">
      <c r="A1392" s="26">
        <f ca="1">IFERROR(__xludf.DUMMYFUNCTION("""COMPUTED_VALUE"""),16742)</f>
        <v>16742</v>
      </c>
      <c r="B1392" s="86">
        <f ca="1">IFERROR(__xludf.DUMMYFUNCTION("""COMPUTED_VALUE"""),44887.9762268518)</f>
        <v>44887.976226851802</v>
      </c>
      <c r="C1392" s="1" t="str">
        <f ca="1">IFERROR(__xludf.DUMMYFUNCTION("""COMPUTED_VALUE"""),"completed")</f>
        <v>completed</v>
      </c>
      <c r="D1392" s="26">
        <f ca="1">IFERROR(__xludf.DUMMYFUNCTION("""COMPUTED_VALUE"""),44)</f>
        <v>44</v>
      </c>
      <c r="E1392" s="1" t="str">
        <f ca="1">IFERROR(__xludf.DUMMYFUNCTION("""COMPUTED_VALUE"""),"W.M.H.A")</f>
        <v>W.M.H.A</v>
      </c>
      <c r="F1392" s="87" t="str">
        <f t="shared" ca="1" si="0"/>
        <v>2022</v>
      </c>
      <c r="G1392" s="1" t="str">
        <f ca="1">IFERROR(__xludf.DUMMYFUNCTION("""COMPUTED_VALUE"""),"Erie North Shore Minor Hockey")</f>
        <v>Erie North Shore Minor Hockey</v>
      </c>
      <c r="H1392" s="26">
        <f t="shared" ca="1" si="1"/>
        <v>44</v>
      </c>
      <c r="I1392" s="26">
        <f t="shared" ca="1" si="2"/>
        <v>1</v>
      </c>
      <c r="J1392" s="86">
        <f t="shared" ca="1" si="3"/>
        <v>44887</v>
      </c>
      <c r="R1392" s="26"/>
    </row>
    <row r="1393" spans="1:18" ht="15.75" customHeight="1">
      <c r="A1393" s="26">
        <f ca="1">IFERROR(__xludf.DUMMYFUNCTION("""COMPUTED_VALUE"""),16741)</f>
        <v>16741</v>
      </c>
      <c r="B1393" s="86">
        <f ca="1">IFERROR(__xludf.DUMMYFUNCTION("""COMPUTED_VALUE"""),44887.9759953703)</f>
        <v>44887.975995370303</v>
      </c>
      <c r="C1393" s="1" t="str">
        <f ca="1">IFERROR(__xludf.DUMMYFUNCTION("""COMPUTED_VALUE"""),"completed")</f>
        <v>completed</v>
      </c>
      <c r="D1393" s="26">
        <f ca="1">IFERROR(__xludf.DUMMYFUNCTION("""COMPUTED_VALUE"""),24)</f>
        <v>24</v>
      </c>
      <c r="E1393" s="1" t="str">
        <f ca="1">IFERROR(__xludf.DUMMYFUNCTION("""COMPUTED_VALUE"""),"W.M.H.A")</f>
        <v>W.M.H.A</v>
      </c>
      <c r="F1393" s="87" t="str">
        <f t="shared" ca="1" si="0"/>
        <v>2022</v>
      </c>
      <c r="G1393" s="1" t="str">
        <f ca="1">IFERROR(__xludf.DUMMYFUNCTION("""COMPUTED_VALUE"""),"Erie North Shore Minor Hockey")</f>
        <v>Erie North Shore Minor Hockey</v>
      </c>
      <c r="H1393" s="26">
        <f t="shared" ca="1" si="1"/>
        <v>24</v>
      </c>
      <c r="I1393" s="26">
        <f t="shared" ca="1" si="2"/>
        <v>1</v>
      </c>
      <c r="J1393" s="86">
        <f t="shared" ca="1" si="3"/>
        <v>44887</v>
      </c>
      <c r="R1393" s="26"/>
    </row>
    <row r="1394" spans="1:18" ht="15.75" customHeight="1">
      <c r="A1394" s="26">
        <f ca="1">IFERROR(__xludf.DUMMYFUNCTION("""COMPUTED_VALUE"""),16740)</f>
        <v>16740</v>
      </c>
      <c r="B1394" s="86">
        <f ca="1">IFERROR(__xludf.DUMMYFUNCTION("""COMPUTED_VALUE"""),44887.973761574)</f>
        <v>44887.973761574001</v>
      </c>
      <c r="C1394" s="1" t="str">
        <f ca="1">IFERROR(__xludf.DUMMYFUNCTION("""COMPUTED_VALUE"""),"completed")</f>
        <v>completed</v>
      </c>
      <c r="D1394" s="26">
        <f ca="1">IFERROR(__xludf.DUMMYFUNCTION("""COMPUTED_VALUE"""),55)</f>
        <v>55</v>
      </c>
      <c r="E1394" s="1" t="str">
        <f ca="1">IFERROR(__xludf.DUMMYFUNCTION("""COMPUTED_VALUE"""),"W.M.H.A")</f>
        <v>W.M.H.A</v>
      </c>
      <c r="F1394" s="87" t="str">
        <f t="shared" ca="1" si="0"/>
        <v>2022</v>
      </c>
      <c r="G1394" s="1" t="str">
        <f ca="1">IFERROR(__xludf.DUMMYFUNCTION("""COMPUTED_VALUE"""),"Windsor AAA Zone Hockey")</f>
        <v>Windsor AAA Zone Hockey</v>
      </c>
      <c r="H1394" s="26">
        <f t="shared" ca="1" si="1"/>
        <v>55</v>
      </c>
      <c r="I1394" s="26">
        <f t="shared" ca="1" si="2"/>
        <v>1</v>
      </c>
      <c r="J1394" s="86">
        <f t="shared" ca="1" si="3"/>
        <v>44887</v>
      </c>
      <c r="R1394" s="26"/>
    </row>
    <row r="1395" spans="1:18" ht="15.75" customHeight="1">
      <c r="A1395" s="26">
        <f ca="1">IFERROR(__xludf.DUMMYFUNCTION("""COMPUTED_VALUE"""),16739)</f>
        <v>16739</v>
      </c>
      <c r="B1395" s="86">
        <f ca="1">IFERROR(__xludf.DUMMYFUNCTION("""COMPUTED_VALUE"""),44887.9705208333)</f>
        <v>44887.970520833303</v>
      </c>
      <c r="C1395" s="1" t="str">
        <f ca="1">IFERROR(__xludf.DUMMYFUNCTION("""COMPUTED_VALUE"""),"completed")</f>
        <v>completed</v>
      </c>
      <c r="D1395" s="26">
        <f ca="1">IFERROR(__xludf.DUMMYFUNCTION("""COMPUTED_VALUE"""),25)</f>
        <v>25</v>
      </c>
      <c r="E1395" s="1" t="str">
        <f ca="1">IFERROR(__xludf.DUMMYFUNCTION("""COMPUTED_VALUE"""),"W.M.H.A")</f>
        <v>W.M.H.A</v>
      </c>
      <c r="F1395" s="87" t="str">
        <f t="shared" ca="1" si="0"/>
        <v>2022</v>
      </c>
      <c r="G1395" s="1" t="str">
        <f ca="1">IFERROR(__xludf.DUMMYFUNCTION("""COMPUTED_VALUE"""),"Erie North Shore Minor Hockey")</f>
        <v>Erie North Shore Minor Hockey</v>
      </c>
      <c r="H1395" s="26">
        <f t="shared" ca="1" si="1"/>
        <v>25</v>
      </c>
      <c r="I1395" s="26">
        <f t="shared" ca="1" si="2"/>
        <v>1</v>
      </c>
      <c r="J1395" s="86">
        <f t="shared" ca="1" si="3"/>
        <v>44887</v>
      </c>
      <c r="R1395" s="26"/>
    </row>
    <row r="1396" spans="1:18" ht="15.75" customHeight="1">
      <c r="A1396" s="26">
        <f ca="1">IFERROR(__xludf.DUMMYFUNCTION("""COMPUTED_VALUE"""),16738)</f>
        <v>16738</v>
      </c>
      <c r="B1396" s="86">
        <f ca="1">IFERROR(__xludf.DUMMYFUNCTION("""COMPUTED_VALUE"""),44887.970324074)</f>
        <v>44887.970324073998</v>
      </c>
      <c r="C1396" s="1" t="str">
        <f ca="1">IFERROR(__xludf.DUMMYFUNCTION("""COMPUTED_VALUE"""),"completed")</f>
        <v>completed</v>
      </c>
      <c r="D1396" s="26">
        <f ca="1">IFERROR(__xludf.DUMMYFUNCTION("""COMPUTED_VALUE"""),35)</f>
        <v>35</v>
      </c>
      <c r="E1396" s="1" t="str">
        <f ca="1">IFERROR(__xludf.DUMMYFUNCTION("""COMPUTED_VALUE"""),"W.M.H.A")</f>
        <v>W.M.H.A</v>
      </c>
      <c r="F1396" s="87" t="str">
        <f t="shared" ca="1" si="0"/>
        <v>2022</v>
      </c>
      <c r="G1396" s="1" t="str">
        <f ca="1">IFERROR(__xludf.DUMMYFUNCTION("""COMPUTED_VALUE"""),"Erie North Shore Minor Hockey")</f>
        <v>Erie North Shore Minor Hockey</v>
      </c>
      <c r="H1396" s="26">
        <f t="shared" ca="1" si="1"/>
        <v>35</v>
      </c>
      <c r="I1396" s="26">
        <f t="shared" ca="1" si="2"/>
        <v>1</v>
      </c>
      <c r="J1396" s="86">
        <f t="shared" ca="1" si="3"/>
        <v>44887</v>
      </c>
      <c r="R1396" s="26"/>
    </row>
    <row r="1397" spans="1:18" ht="15.75" customHeight="1">
      <c r="A1397" s="26">
        <f ca="1">IFERROR(__xludf.DUMMYFUNCTION("""COMPUTED_VALUE"""),16737)</f>
        <v>16737</v>
      </c>
      <c r="B1397" s="86">
        <f ca="1">IFERROR(__xludf.DUMMYFUNCTION("""COMPUTED_VALUE"""),44887.9685185185)</f>
        <v>44887.968518518501</v>
      </c>
      <c r="C1397" s="1" t="str">
        <f ca="1">IFERROR(__xludf.DUMMYFUNCTION("""COMPUTED_VALUE"""),"completed")</f>
        <v>completed</v>
      </c>
      <c r="D1397" s="26">
        <f ca="1">IFERROR(__xludf.DUMMYFUNCTION("""COMPUTED_VALUE"""),25)</f>
        <v>25</v>
      </c>
      <c r="E1397" s="1" t="str">
        <f ca="1">IFERROR(__xludf.DUMMYFUNCTION("""COMPUTED_VALUE"""),"W.M.H.A")</f>
        <v>W.M.H.A</v>
      </c>
      <c r="F1397" s="87" t="str">
        <f t="shared" ca="1" si="0"/>
        <v>2022</v>
      </c>
      <c r="G1397" s="1" t="str">
        <f ca="1">IFERROR(__xludf.DUMMYFUNCTION("""COMPUTED_VALUE"""),"Erie North Shore Minor Hockey")</f>
        <v>Erie North Shore Minor Hockey</v>
      </c>
      <c r="H1397" s="26">
        <f t="shared" ca="1" si="1"/>
        <v>25</v>
      </c>
      <c r="I1397" s="26">
        <f t="shared" ca="1" si="2"/>
        <v>1</v>
      </c>
      <c r="J1397" s="86">
        <f t="shared" ca="1" si="3"/>
        <v>44887</v>
      </c>
      <c r="R1397" s="26"/>
    </row>
    <row r="1398" spans="1:18" ht="15.75" customHeight="1">
      <c r="A1398" s="26">
        <f ca="1">IFERROR(__xludf.DUMMYFUNCTION("""COMPUTED_VALUE"""),16736)</f>
        <v>16736</v>
      </c>
      <c r="B1398" s="86">
        <f ca="1">IFERROR(__xludf.DUMMYFUNCTION("""COMPUTED_VALUE"""),44887.967824074)</f>
        <v>44887.967824074003</v>
      </c>
      <c r="C1398" s="1" t="str">
        <f ca="1">IFERROR(__xludf.DUMMYFUNCTION("""COMPUTED_VALUE"""),"completed")</f>
        <v>completed</v>
      </c>
      <c r="D1398" s="26">
        <f ca="1">IFERROR(__xludf.DUMMYFUNCTION("""COMPUTED_VALUE"""),35)</f>
        <v>35</v>
      </c>
      <c r="E1398" s="1" t="str">
        <f ca="1">IFERROR(__xludf.DUMMYFUNCTION("""COMPUTED_VALUE"""),"W.M.H.A")</f>
        <v>W.M.H.A</v>
      </c>
      <c r="F1398" s="87" t="str">
        <f t="shared" ca="1" si="0"/>
        <v>2022</v>
      </c>
      <c r="G1398" s="1" t="str">
        <f ca="1">IFERROR(__xludf.DUMMYFUNCTION("""COMPUTED_VALUE"""),"Erie North Shore Minor Hockey")</f>
        <v>Erie North Shore Minor Hockey</v>
      </c>
      <c r="H1398" s="26">
        <f t="shared" ca="1" si="1"/>
        <v>35</v>
      </c>
      <c r="I1398" s="26">
        <f t="shared" ca="1" si="2"/>
        <v>1</v>
      </c>
      <c r="J1398" s="86">
        <f t="shared" ca="1" si="3"/>
        <v>44887</v>
      </c>
      <c r="R1398" s="26"/>
    </row>
    <row r="1399" spans="1:18" ht="15.75" customHeight="1">
      <c r="A1399" s="26">
        <f ca="1">IFERROR(__xludf.DUMMYFUNCTION("""COMPUTED_VALUE"""),16735)</f>
        <v>16735</v>
      </c>
      <c r="B1399" s="86">
        <f ca="1">IFERROR(__xludf.DUMMYFUNCTION("""COMPUTED_VALUE"""),44887.9423611111)</f>
        <v>44887.942361111098</v>
      </c>
      <c r="C1399" s="1" t="str">
        <f ca="1">IFERROR(__xludf.DUMMYFUNCTION("""COMPUTED_VALUE"""),"completed")</f>
        <v>completed</v>
      </c>
      <c r="D1399" s="26">
        <f ca="1">IFERROR(__xludf.DUMMYFUNCTION("""COMPUTED_VALUE"""),39)</f>
        <v>39</v>
      </c>
      <c r="E1399" s="1" t="str">
        <f ca="1">IFERROR(__xludf.DUMMYFUNCTION("""COMPUTED_VALUE"""),"W.M.H.A")</f>
        <v>W.M.H.A</v>
      </c>
      <c r="F1399" s="87" t="str">
        <f t="shared" ca="1" si="0"/>
        <v>2022</v>
      </c>
      <c r="G1399" s="1" t="str">
        <f ca="1">IFERROR(__xludf.DUMMYFUNCTION("""COMPUTED_VALUE"""),"Windsor AAA Zone Hockey")</f>
        <v>Windsor AAA Zone Hockey</v>
      </c>
      <c r="H1399" s="26">
        <f t="shared" ca="1" si="1"/>
        <v>39</v>
      </c>
      <c r="I1399" s="26">
        <f t="shared" ca="1" si="2"/>
        <v>1</v>
      </c>
      <c r="J1399" s="86">
        <f t="shared" ca="1" si="3"/>
        <v>44887</v>
      </c>
      <c r="R1399" s="26"/>
    </row>
    <row r="1400" spans="1:18" ht="15.75" customHeight="1">
      <c r="A1400" s="26">
        <f ca="1">IFERROR(__xludf.DUMMYFUNCTION("""COMPUTED_VALUE"""),16734)</f>
        <v>16734</v>
      </c>
      <c r="B1400" s="86">
        <f ca="1">IFERROR(__xludf.DUMMYFUNCTION("""COMPUTED_VALUE"""),44887.9423148148)</f>
        <v>44887.942314814798</v>
      </c>
      <c r="C1400" s="1" t="str">
        <f ca="1">IFERROR(__xludf.DUMMYFUNCTION("""COMPUTED_VALUE"""),"completed")</f>
        <v>completed</v>
      </c>
      <c r="D1400" s="26">
        <f ca="1">IFERROR(__xludf.DUMMYFUNCTION("""COMPUTED_VALUE"""),63)</f>
        <v>63</v>
      </c>
      <c r="E1400" s="1" t="str">
        <f ca="1">IFERROR(__xludf.DUMMYFUNCTION("""COMPUTED_VALUE"""),"W.M.H.A")</f>
        <v>W.M.H.A</v>
      </c>
      <c r="F1400" s="87" t="str">
        <f t="shared" ca="1" si="0"/>
        <v>2022</v>
      </c>
      <c r="G1400" s="1" t="str">
        <f ca="1">IFERROR(__xludf.DUMMYFUNCTION("""COMPUTED_VALUE"""),"Erie North Shore Minor Hockey")</f>
        <v>Erie North Shore Minor Hockey</v>
      </c>
      <c r="H1400" s="26">
        <f t="shared" ca="1" si="1"/>
        <v>63</v>
      </c>
      <c r="I1400" s="26">
        <f t="shared" ca="1" si="2"/>
        <v>1</v>
      </c>
      <c r="J1400" s="86">
        <f t="shared" ca="1" si="3"/>
        <v>44887</v>
      </c>
      <c r="R1400" s="26"/>
    </row>
    <row r="1401" spans="1:18" ht="15.75" customHeight="1">
      <c r="A1401" s="26">
        <f ca="1">IFERROR(__xludf.DUMMYFUNCTION("""COMPUTED_VALUE"""),16733)</f>
        <v>16733</v>
      </c>
      <c r="B1401" s="86">
        <f ca="1">IFERROR(__xludf.DUMMYFUNCTION("""COMPUTED_VALUE"""),44887.9376157407)</f>
        <v>44887.937615740702</v>
      </c>
      <c r="C1401" s="1" t="str">
        <f ca="1">IFERROR(__xludf.DUMMYFUNCTION("""COMPUTED_VALUE"""),"completed")</f>
        <v>completed</v>
      </c>
      <c r="D1401" s="26">
        <f ca="1">IFERROR(__xludf.DUMMYFUNCTION("""COMPUTED_VALUE"""),42)</f>
        <v>42</v>
      </c>
      <c r="E1401" s="1" t="str">
        <f ca="1">IFERROR(__xludf.DUMMYFUNCTION("""COMPUTED_VALUE"""),"W.M.H.A")</f>
        <v>W.M.H.A</v>
      </c>
      <c r="F1401" s="87" t="str">
        <f t="shared" ca="1" si="0"/>
        <v>2022</v>
      </c>
      <c r="G1401" s="1" t="str">
        <f ca="1">IFERROR(__xludf.DUMMYFUNCTION("""COMPUTED_VALUE"""),"Erie North Shore Minor Hockey")</f>
        <v>Erie North Shore Minor Hockey</v>
      </c>
      <c r="H1401" s="26">
        <f t="shared" ca="1" si="1"/>
        <v>42</v>
      </c>
      <c r="I1401" s="26">
        <f t="shared" ca="1" si="2"/>
        <v>1</v>
      </c>
      <c r="J1401" s="86">
        <f t="shared" ca="1" si="3"/>
        <v>44887</v>
      </c>
      <c r="R1401" s="26"/>
    </row>
    <row r="1402" spans="1:18" ht="15.75" customHeight="1">
      <c r="A1402" s="26">
        <f ca="1">IFERROR(__xludf.DUMMYFUNCTION("""COMPUTED_VALUE"""),16732)</f>
        <v>16732</v>
      </c>
      <c r="B1402" s="86">
        <f ca="1">IFERROR(__xludf.DUMMYFUNCTION("""COMPUTED_VALUE"""),44887.914849537)</f>
        <v>44887.914849537003</v>
      </c>
      <c r="C1402" s="1" t="str">
        <f ca="1">IFERROR(__xludf.DUMMYFUNCTION("""COMPUTED_VALUE"""),"completed")</f>
        <v>completed</v>
      </c>
      <c r="D1402" s="26">
        <f ca="1">IFERROR(__xludf.DUMMYFUNCTION("""COMPUTED_VALUE"""),18)</f>
        <v>18</v>
      </c>
      <c r="E1402" s="1" t="str">
        <f ca="1">IFERROR(__xludf.DUMMYFUNCTION("""COMPUTED_VALUE"""),"W.M.H.A")</f>
        <v>W.M.H.A</v>
      </c>
      <c r="F1402" s="87" t="str">
        <f t="shared" ca="1" si="0"/>
        <v>2022</v>
      </c>
      <c r="G1402" s="1" t="str">
        <f ca="1">IFERROR(__xludf.DUMMYFUNCTION("""COMPUTED_VALUE"""),"Erie North Shore Minor Hockey")</f>
        <v>Erie North Shore Minor Hockey</v>
      </c>
      <c r="H1402" s="26">
        <f t="shared" ca="1" si="1"/>
        <v>18</v>
      </c>
      <c r="I1402" s="26">
        <f t="shared" ca="1" si="2"/>
        <v>1</v>
      </c>
      <c r="J1402" s="86">
        <f t="shared" ca="1" si="3"/>
        <v>44887</v>
      </c>
      <c r="R1402" s="26"/>
    </row>
    <row r="1403" spans="1:18" ht="15.75" customHeight="1">
      <c r="A1403" s="26">
        <f ca="1">IFERROR(__xludf.DUMMYFUNCTION("""COMPUTED_VALUE"""),16730)</f>
        <v>16730</v>
      </c>
      <c r="B1403" s="86">
        <f ca="1">IFERROR(__xludf.DUMMYFUNCTION("""COMPUTED_VALUE"""),44887.8599189814)</f>
        <v>44887.859918981398</v>
      </c>
      <c r="C1403" s="1" t="str">
        <f ca="1">IFERROR(__xludf.DUMMYFUNCTION("""COMPUTED_VALUE"""),"completed")</f>
        <v>completed</v>
      </c>
      <c r="D1403" s="26">
        <f ca="1">IFERROR(__xludf.DUMMYFUNCTION("""COMPUTED_VALUE"""),15)</f>
        <v>15</v>
      </c>
      <c r="E1403" s="1" t="str">
        <f ca="1">IFERROR(__xludf.DUMMYFUNCTION("""COMPUTED_VALUE"""),"W.M.H.A")</f>
        <v>W.M.H.A</v>
      </c>
      <c r="F1403" s="87" t="str">
        <f t="shared" ca="1" si="0"/>
        <v>2022</v>
      </c>
      <c r="G1403" s="1" t="str">
        <f ca="1">IFERROR(__xludf.DUMMYFUNCTION("""COMPUTED_VALUE"""),"Erie North Shore Minor Hockey")</f>
        <v>Erie North Shore Minor Hockey</v>
      </c>
      <c r="H1403" s="26">
        <f t="shared" ca="1" si="1"/>
        <v>15</v>
      </c>
      <c r="I1403" s="26">
        <f t="shared" ca="1" si="2"/>
        <v>1</v>
      </c>
      <c r="J1403" s="86">
        <f t="shared" ca="1" si="3"/>
        <v>44887</v>
      </c>
      <c r="R1403" s="26"/>
    </row>
    <row r="1404" spans="1:18" ht="15.75" customHeight="1">
      <c r="A1404" s="26">
        <f ca="1">IFERROR(__xludf.DUMMYFUNCTION("""COMPUTED_VALUE"""),16729)</f>
        <v>16729</v>
      </c>
      <c r="B1404" s="86">
        <f ca="1">IFERROR(__xludf.DUMMYFUNCTION("""COMPUTED_VALUE"""),44887.8222800925)</f>
        <v>44887.8222800925</v>
      </c>
      <c r="C1404" s="1" t="str">
        <f ca="1">IFERROR(__xludf.DUMMYFUNCTION("""COMPUTED_VALUE"""),"completed")</f>
        <v>completed</v>
      </c>
      <c r="D1404" s="26">
        <f ca="1">IFERROR(__xludf.DUMMYFUNCTION("""COMPUTED_VALUE"""),35)</f>
        <v>35</v>
      </c>
      <c r="E1404" s="1" t="str">
        <f ca="1">IFERROR(__xludf.DUMMYFUNCTION("""COMPUTED_VALUE"""),"W.M.H.A")</f>
        <v>W.M.H.A</v>
      </c>
      <c r="F1404" s="87" t="str">
        <f t="shared" ca="1" si="0"/>
        <v>2022</v>
      </c>
      <c r="G1404" s="1" t="str">
        <f ca="1">IFERROR(__xludf.DUMMYFUNCTION("""COMPUTED_VALUE"""),"Windsor AAA Zone Hockey")</f>
        <v>Windsor AAA Zone Hockey</v>
      </c>
      <c r="H1404" s="26">
        <f t="shared" ca="1" si="1"/>
        <v>35</v>
      </c>
      <c r="I1404" s="26">
        <f t="shared" ca="1" si="2"/>
        <v>1</v>
      </c>
      <c r="J1404" s="86">
        <f t="shared" ca="1" si="3"/>
        <v>44887</v>
      </c>
      <c r="R1404" s="26"/>
    </row>
    <row r="1405" spans="1:18" ht="15.75" customHeight="1">
      <c r="A1405" s="26">
        <f ca="1">IFERROR(__xludf.DUMMYFUNCTION("""COMPUTED_VALUE"""),16728)</f>
        <v>16728</v>
      </c>
      <c r="B1405" s="86">
        <f ca="1">IFERROR(__xludf.DUMMYFUNCTION("""COMPUTED_VALUE"""),44887.7709953703)</f>
        <v>44887.770995370302</v>
      </c>
      <c r="C1405" s="1" t="str">
        <f ca="1">IFERROR(__xludf.DUMMYFUNCTION("""COMPUTED_VALUE"""),"completed")</f>
        <v>completed</v>
      </c>
      <c r="D1405" s="26">
        <f ca="1">IFERROR(__xludf.DUMMYFUNCTION("""COMPUTED_VALUE"""),47)</f>
        <v>47</v>
      </c>
      <c r="E1405" s="1" t="str">
        <f ca="1">IFERROR(__xludf.DUMMYFUNCTION("""COMPUTED_VALUE"""),"Select Option")</f>
        <v>Select Option</v>
      </c>
      <c r="F1405" s="87" t="str">
        <f t="shared" ca="1" si="0"/>
        <v>2022</v>
      </c>
      <c r="G1405" s="1" t="str">
        <f ca="1">IFERROR(__xludf.DUMMYFUNCTION("""COMPUTED_VALUE"""),"Erie North Shore Minor Hockey")</f>
        <v>Erie North Shore Minor Hockey</v>
      </c>
      <c r="H1405" s="26">
        <f t="shared" ca="1" si="1"/>
        <v>47</v>
      </c>
      <c r="I1405" s="26">
        <f t="shared" ca="1" si="2"/>
        <v>1</v>
      </c>
      <c r="J1405" s="86">
        <f t="shared" ca="1" si="3"/>
        <v>44887</v>
      </c>
      <c r="R1405" s="26"/>
    </row>
    <row r="1406" spans="1:18" ht="15.75" customHeight="1">
      <c r="A1406" s="26">
        <f ca="1">IFERROR(__xludf.DUMMYFUNCTION("""COMPUTED_VALUE"""),16727)</f>
        <v>16727</v>
      </c>
      <c r="B1406" s="86">
        <f ca="1">IFERROR(__xludf.DUMMYFUNCTION("""COMPUTED_VALUE"""),44887.7308564814)</f>
        <v>44887.730856481401</v>
      </c>
      <c r="C1406" s="1" t="str">
        <f ca="1">IFERROR(__xludf.DUMMYFUNCTION("""COMPUTED_VALUE"""),"completed")</f>
        <v>completed</v>
      </c>
      <c r="D1406" s="26">
        <f ca="1">IFERROR(__xludf.DUMMYFUNCTION("""COMPUTED_VALUE"""),55)</f>
        <v>55</v>
      </c>
      <c r="E1406" s="1" t="str">
        <f ca="1">IFERROR(__xludf.DUMMYFUNCTION("""COMPUTED_VALUE"""),"W.M.H.A")</f>
        <v>W.M.H.A</v>
      </c>
      <c r="F1406" s="87" t="str">
        <f t="shared" ca="1" si="0"/>
        <v>2022</v>
      </c>
      <c r="G1406" s="1" t="str">
        <f ca="1">IFERROR(__xludf.DUMMYFUNCTION("""COMPUTED_VALUE"""),"Erie North Shore Minor Hockey")</f>
        <v>Erie North Shore Minor Hockey</v>
      </c>
      <c r="H1406" s="26">
        <f t="shared" ca="1" si="1"/>
        <v>55</v>
      </c>
      <c r="I1406" s="26">
        <f t="shared" ca="1" si="2"/>
        <v>1</v>
      </c>
      <c r="J1406" s="86">
        <f t="shared" ca="1" si="3"/>
        <v>44887</v>
      </c>
      <c r="R1406" s="26"/>
    </row>
    <row r="1407" spans="1:18" ht="15.75" customHeight="1">
      <c r="A1407" s="26">
        <f ca="1">IFERROR(__xludf.DUMMYFUNCTION("""COMPUTED_VALUE"""),16726)</f>
        <v>16726</v>
      </c>
      <c r="B1407" s="86">
        <f ca="1">IFERROR(__xludf.DUMMYFUNCTION("""COMPUTED_VALUE"""),44887.7294444444)</f>
        <v>44887.729444444398</v>
      </c>
      <c r="C1407" s="1" t="str">
        <f ca="1">IFERROR(__xludf.DUMMYFUNCTION("""COMPUTED_VALUE"""),"completed")</f>
        <v>completed</v>
      </c>
      <c r="D1407" s="26">
        <f ca="1">IFERROR(__xludf.DUMMYFUNCTION("""COMPUTED_VALUE"""),28)</f>
        <v>28</v>
      </c>
      <c r="E1407" s="1" t="str">
        <f ca="1">IFERROR(__xludf.DUMMYFUNCTION("""COMPUTED_VALUE"""),"W.M.H.A")</f>
        <v>W.M.H.A</v>
      </c>
      <c r="F1407" s="87" t="str">
        <f t="shared" ca="1" si="0"/>
        <v>2022</v>
      </c>
      <c r="G1407" s="1" t="str">
        <f ca="1">IFERROR(__xludf.DUMMYFUNCTION("""COMPUTED_VALUE"""),"Erie North Shore Minor Hockey")</f>
        <v>Erie North Shore Minor Hockey</v>
      </c>
      <c r="H1407" s="26">
        <f t="shared" ca="1" si="1"/>
        <v>28</v>
      </c>
      <c r="I1407" s="26">
        <f t="shared" ca="1" si="2"/>
        <v>1</v>
      </c>
      <c r="J1407" s="86">
        <f t="shared" ca="1" si="3"/>
        <v>44887</v>
      </c>
      <c r="R1407" s="26"/>
    </row>
    <row r="1408" spans="1:18" ht="15.75" customHeight="1">
      <c r="A1408" s="26">
        <f ca="1">IFERROR(__xludf.DUMMYFUNCTION("""COMPUTED_VALUE"""),16725)</f>
        <v>16725</v>
      </c>
      <c r="B1408" s="86">
        <f ca="1">IFERROR(__xludf.DUMMYFUNCTION("""COMPUTED_VALUE"""),44887.693449074)</f>
        <v>44887.693449074002</v>
      </c>
      <c r="C1408" s="1" t="str">
        <f ca="1">IFERROR(__xludf.DUMMYFUNCTION("""COMPUTED_VALUE"""),"completed")</f>
        <v>completed</v>
      </c>
      <c r="D1408" s="26">
        <f ca="1">IFERROR(__xludf.DUMMYFUNCTION("""COMPUTED_VALUE"""),35)</f>
        <v>35</v>
      </c>
      <c r="E1408" s="1" t="str">
        <f ca="1">IFERROR(__xludf.DUMMYFUNCTION("""COMPUTED_VALUE"""),"W.M.H.A")</f>
        <v>W.M.H.A</v>
      </c>
      <c r="F1408" s="87" t="str">
        <f t="shared" ca="1" si="0"/>
        <v>2022</v>
      </c>
      <c r="G1408" s="1" t="str">
        <f ca="1">IFERROR(__xludf.DUMMYFUNCTION("""COMPUTED_VALUE"""),"Erie North Shore Minor Hockey")</f>
        <v>Erie North Shore Minor Hockey</v>
      </c>
      <c r="H1408" s="26">
        <f t="shared" ca="1" si="1"/>
        <v>35</v>
      </c>
      <c r="I1408" s="26">
        <f t="shared" ca="1" si="2"/>
        <v>1</v>
      </c>
      <c r="J1408" s="86">
        <f t="shared" ca="1" si="3"/>
        <v>44887</v>
      </c>
      <c r="R1408" s="26"/>
    </row>
    <row r="1409" spans="1:18" ht="15.75" customHeight="1">
      <c r="A1409" s="26">
        <f ca="1">IFERROR(__xludf.DUMMYFUNCTION("""COMPUTED_VALUE"""),16724)</f>
        <v>16724</v>
      </c>
      <c r="B1409" s="86">
        <f ca="1">IFERROR(__xludf.DUMMYFUNCTION("""COMPUTED_VALUE"""),44887.6917592592)</f>
        <v>44887.6917592592</v>
      </c>
      <c r="C1409" s="1" t="str">
        <f ca="1">IFERROR(__xludf.DUMMYFUNCTION("""COMPUTED_VALUE"""),"completed")</f>
        <v>completed</v>
      </c>
      <c r="D1409" s="26">
        <f ca="1">IFERROR(__xludf.DUMMYFUNCTION("""COMPUTED_VALUE"""),42)</f>
        <v>42</v>
      </c>
      <c r="E1409" s="1" t="str">
        <f ca="1">IFERROR(__xludf.DUMMYFUNCTION("""COMPUTED_VALUE"""),"W.M.H.A")</f>
        <v>W.M.H.A</v>
      </c>
      <c r="F1409" s="87" t="str">
        <f t="shared" ca="1" si="0"/>
        <v>2022</v>
      </c>
      <c r="G1409" s="1" t="str">
        <f ca="1">IFERROR(__xludf.DUMMYFUNCTION("""COMPUTED_VALUE"""),"Erie North Shore Minor Hockey")</f>
        <v>Erie North Shore Minor Hockey</v>
      </c>
      <c r="H1409" s="26">
        <f t="shared" ca="1" si="1"/>
        <v>42</v>
      </c>
      <c r="I1409" s="26">
        <f t="shared" ca="1" si="2"/>
        <v>1</v>
      </c>
      <c r="J1409" s="86">
        <f t="shared" ca="1" si="3"/>
        <v>44887</v>
      </c>
      <c r="R1409" s="26"/>
    </row>
    <row r="1410" spans="1:18" ht="15.75" customHeight="1">
      <c r="A1410" s="26">
        <f ca="1">IFERROR(__xludf.DUMMYFUNCTION("""COMPUTED_VALUE"""),16723)</f>
        <v>16723</v>
      </c>
      <c r="B1410" s="86">
        <f ca="1">IFERROR(__xludf.DUMMYFUNCTION("""COMPUTED_VALUE"""),44887.5391782407)</f>
        <v>44887.539178240702</v>
      </c>
      <c r="C1410" s="1" t="str">
        <f ca="1">IFERROR(__xludf.DUMMYFUNCTION("""COMPUTED_VALUE"""),"completed")</f>
        <v>completed</v>
      </c>
      <c r="D1410" s="26">
        <f ca="1">IFERROR(__xludf.DUMMYFUNCTION("""COMPUTED_VALUE"""),35)</f>
        <v>35</v>
      </c>
      <c r="E1410" s="1" t="str">
        <f ca="1">IFERROR(__xludf.DUMMYFUNCTION("""COMPUTED_VALUE"""),"W.M.H.A")</f>
        <v>W.M.H.A</v>
      </c>
      <c r="F1410" s="87" t="str">
        <f t="shared" ca="1" si="0"/>
        <v>2022</v>
      </c>
      <c r="G1410" s="1" t="str">
        <f ca="1">IFERROR(__xludf.DUMMYFUNCTION("""COMPUTED_VALUE"""),"Erie North Shore Minor Hockey")</f>
        <v>Erie North Shore Minor Hockey</v>
      </c>
      <c r="H1410" s="26">
        <f t="shared" ca="1" si="1"/>
        <v>35</v>
      </c>
      <c r="I1410" s="26">
        <f t="shared" ca="1" si="2"/>
        <v>1</v>
      </c>
      <c r="J1410" s="86">
        <f t="shared" ca="1" si="3"/>
        <v>44887</v>
      </c>
      <c r="R1410" s="26"/>
    </row>
    <row r="1411" spans="1:18" ht="15.75" customHeight="1">
      <c r="A1411" s="26">
        <f ca="1">IFERROR(__xludf.DUMMYFUNCTION("""COMPUTED_VALUE"""),16719)</f>
        <v>16719</v>
      </c>
      <c r="B1411" s="86">
        <f ca="1">IFERROR(__xludf.DUMMYFUNCTION("""COMPUTED_VALUE"""),44887.1381597222)</f>
        <v>44887.138159722199</v>
      </c>
      <c r="C1411" s="1" t="str">
        <f ca="1">IFERROR(__xludf.DUMMYFUNCTION("""COMPUTED_VALUE"""),"completed")</f>
        <v>completed</v>
      </c>
      <c r="D1411" s="26">
        <f ca="1">IFERROR(__xludf.DUMMYFUNCTION("""COMPUTED_VALUE"""),20)</f>
        <v>20</v>
      </c>
      <c r="E1411" s="1" t="str">
        <f ca="1">IFERROR(__xludf.DUMMYFUNCTION("""COMPUTED_VALUE"""),"W.M.H.A")</f>
        <v>W.M.H.A</v>
      </c>
      <c r="F1411" s="87" t="str">
        <f t="shared" ca="1" si="0"/>
        <v>2022</v>
      </c>
      <c r="G1411" s="1" t="str">
        <f ca="1">IFERROR(__xludf.DUMMYFUNCTION("""COMPUTED_VALUE"""),"Erie North Shore Minor Hockey")</f>
        <v>Erie North Shore Minor Hockey</v>
      </c>
      <c r="H1411" s="26">
        <f t="shared" ca="1" si="1"/>
        <v>20</v>
      </c>
      <c r="I1411" s="26">
        <f t="shared" ca="1" si="2"/>
        <v>1</v>
      </c>
      <c r="J1411" s="86">
        <f t="shared" ca="1" si="3"/>
        <v>44887</v>
      </c>
      <c r="R1411" s="26"/>
    </row>
    <row r="1412" spans="1:18" ht="15.75" customHeight="1">
      <c r="A1412" s="26">
        <f ca="1">IFERROR(__xludf.DUMMYFUNCTION("""COMPUTED_VALUE"""),16718)</f>
        <v>16718</v>
      </c>
      <c r="B1412" s="86">
        <f ca="1">IFERROR(__xludf.DUMMYFUNCTION("""COMPUTED_VALUE"""),44887.0967476851)</f>
        <v>44887.0967476851</v>
      </c>
      <c r="C1412" s="1" t="str">
        <f ca="1">IFERROR(__xludf.DUMMYFUNCTION("""COMPUTED_VALUE"""),"completed")</f>
        <v>completed</v>
      </c>
      <c r="D1412" s="26">
        <f ca="1">IFERROR(__xludf.DUMMYFUNCTION("""COMPUTED_VALUE"""),35)</f>
        <v>35</v>
      </c>
      <c r="E1412" s="1" t="str">
        <f ca="1">IFERROR(__xludf.DUMMYFUNCTION("""COMPUTED_VALUE"""),"W.M.H.A")</f>
        <v>W.M.H.A</v>
      </c>
      <c r="F1412" s="87" t="str">
        <f t="shared" ca="1" si="0"/>
        <v>2022</v>
      </c>
      <c r="G1412" s="1" t="str">
        <f ca="1">IFERROR(__xludf.DUMMYFUNCTION("""COMPUTED_VALUE"""),"Erie North Shore Minor Hockey")</f>
        <v>Erie North Shore Minor Hockey</v>
      </c>
      <c r="H1412" s="26">
        <f t="shared" ca="1" si="1"/>
        <v>35</v>
      </c>
      <c r="I1412" s="26">
        <f t="shared" ca="1" si="2"/>
        <v>1</v>
      </c>
      <c r="J1412" s="86">
        <f t="shared" ca="1" si="3"/>
        <v>44887</v>
      </c>
      <c r="R1412" s="26"/>
    </row>
    <row r="1413" spans="1:18" ht="15.75" customHeight="1">
      <c r="A1413" s="26">
        <f ca="1">IFERROR(__xludf.DUMMYFUNCTION("""COMPUTED_VALUE"""),16717)</f>
        <v>16717</v>
      </c>
      <c r="B1413" s="86">
        <f ca="1">IFERROR(__xludf.DUMMYFUNCTION("""COMPUTED_VALUE"""),44887.0500578703)</f>
        <v>44887.050057870299</v>
      </c>
      <c r="C1413" s="1" t="str">
        <f ca="1">IFERROR(__xludf.DUMMYFUNCTION("""COMPUTED_VALUE"""),"completed")</f>
        <v>completed</v>
      </c>
      <c r="D1413" s="26">
        <f ca="1">IFERROR(__xludf.DUMMYFUNCTION("""COMPUTED_VALUE"""),10)</f>
        <v>10</v>
      </c>
      <c r="E1413" s="1" t="str">
        <f ca="1">IFERROR(__xludf.DUMMYFUNCTION("""COMPUTED_VALUE"""),"W.M.H.A")</f>
        <v>W.M.H.A</v>
      </c>
      <c r="F1413" s="87" t="str">
        <f t="shared" ca="1" si="0"/>
        <v>2022</v>
      </c>
      <c r="G1413" s="1" t="str">
        <f ca="1">IFERROR(__xludf.DUMMYFUNCTION("""COMPUTED_VALUE"""),"Erie North Shore Minor Hockey")</f>
        <v>Erie North Shore Minor Hockey</v>
      </c>
      <c r="H1413" s="26">
        <f t="shared" ca="1" si="1"/>
        <v>10</v>
      </c>
      <c r="I1413" s="26">
        <f t="shared" ca="1" si="2"/>
        <v>1</v>
      </c>
      <c r="J1413" s="86">
        <f t="shared" ca="1" si="3"/>
        <v>44887</v>
      </c>
      <c r="R1413" s="26"/>
    </row>
    <row r="1414" spans="1:18" ht="15.75" customHeight="1">
      <c r="A1414" s="26">
        <f ca="1">IFERROR(__xludf.DUMMYFUNCTION("""COMPUTED_VALUE"""),16716)</f>
        <v>16716</v>
      </c>
      <c r="B1414" s="86">
        <f ca="1">IFERROR(__xludf.DUMMYFUNCTION("""COMPUTED_VALUE"""),44887.0412037037)</f>
        <v>44887.041203703702</v>
      </c>
      <c r="C1414" s="1" t="str">
        <f ca="1">IFERROR(__xludf.DUMMYFUNCTION("""COMPUTED_VALUE"""),"completed")</f>
        <v>completed</v>
      </c>
      <c r="D1414" s="26">
        <f ca="1">IFERROR(__xludf.DUMMYFUNCTION("""COMPUTED_VALUE"""),20)</f>
        <v>20</v>
      </c>
      <c r="E1414" s="1" t="str">
        <f ca="1">IFERROR(__xludf.DUMMYFUNCTION("""COMPUTED_VALUE"""),"W.M.H.A")</f>
        <v>W.M.H.A</v>
      </c>
      <c r="F1414" s="87" t="str">
        <f t="shared" ca="1" si="0"/>
        <v>2022</v>
      </c>
      <c r="G1414" s="1" t="str">
        <f ca="1">IFERROR(__xludf.DUMMYFUNCTION("""COMPUTED_VALUE"""),"Erie North Shore Minor Hockey")</f>
        <v>Erie North Shore Minor Hockey</v>
      </c>
      <c r="H1414" s="26">
        <f t="shared" ca="1" si="1"/>
        <v>20</v>
      </c>
      <c r="I1414" s="26">
        <f t="shared" ca="1" si="2"/>
        <v>1</v>
      </c>
      <c r="J1414" s="86">
        <f t="shared" ca="1" si="3"/>
        <v>44887</v>
      </c>
      <c r="R1414" s="26"/>
    </row>
    <row r="1415" spans="1:18" ht="15.75" customHeight="1">
      <c r="A1415" s="26">
        <f ca="1">IFERROR(__xludf.DUMMYFUNCTION("""COMPUTED_VALUE"""),16715)</f>
        <v>16715</v>
      </c>
      <c r="B1415" s="86">
        <f ca="1">IFERROR(__xludf.DUMMYFUNCTION("""COMPUTED_VALUE"""),44887.0270138888)</f>
        <v>44887.027013888801</v>
      </c>
      <c r="C1415" s="1" t="str">
        <f ca="1">IFERROR(__xludf.DUMMYFUNCTION("""COMPUTED_VALUE"""),"completed")</f>
        <v>completed</v>
      </c>
      <c r="D1415" s="26">
        <f ca="1">IFERROR(__xludf.DUMMYFUNCTION("""COMPUTED_VALUE"""),49)</f>
        <v>49</v>
      </c>
      <c r="E1415" s="1" t="str">
        <f ca="1">IFERROR(__xludf.DUMMYFUNCTION("""COMPUTED_VALUE"""),"W.M.H.A")</f>
        <v>W.M.H.A</v>
      </c>
      <c r="F1415" s="87" t="str">
        <f t="shared" ca="1" si="0"/>
        <v>2022</v>
      </c>
      <c r="G1415" s="1" t="str">
        <f ca="1">IFERROR(__xludf.DUMMYFUNCTION("""COMPUTED_VALUE"""),"Erie North Shore Minor Hockey")</f>
        <v>Erie North Shore Minor Hockey</v>
      </c>
      <c r="H1415" s="26">
        <f t="shared" ca="1" si="1"/>
        <v>49</v>
      </c>
      <c r="I1415" s="26">
        <f t="shared" ca="1" si="2"/>
        <v>1</v>
      </c>
      <c r="J1415" s="86">
        <f t="shared" ca="1" si="3"/>
        <v>44887</v>
      </c>
      <c r="R1415" s="26"/>
    </row>
    <row r="1416" spans="1:18" ht="15.75" customHeight="1">
      <c r="A1416" s="26">
        <f ca="1">IFERROR(__xludf.DUMMYFUNCTION("""COMPUTED_VALUE"""),16714)</f>
        <v>16714</v>
      </c>
      <c r="B1416" s="86">
        <f ca="1">IFERROR(__xludf.DUMMYFUNCTION("""COMPUTED_VALUE"""),44887.0134143518)</f>
        <v>44887.013414351801</v>
      </c>
      <c r="C1416" s="1" t="str">
        <f ca="1">IFERROR(__xludf.DUMMYFUNCTION("""COMPUTED_VALUE"""),"completed")</f>
        <v>completed</v>
      </c>
      <c r="D1416" s="26">
        <f ca="1">IFERROR(__xludf.DUMMYFUNCTION("""COMPUTED_VALUE"""),15)</f>
        <v>15</v>
      </c>
      <c r="E1416" s="1" t="str">
        <f ca="1">IFERROR(__xludf.DUMMYFUNCTION("""COMPUTED_VALUE"""),"W.M.H.A")</f>
        <v>W.M.H.A</v>
      </c>
      <c r="F1416" s="87" t="str">
        <f t="shared" ca="1" si="0"/>
        <v>2022</v>
      </c>
      <c r="G1416" s="1" t="str">
        <f ca="1">IFERROR(__xludf.DUMMYFUNCTION("""COMPUTED_VALUE"""),"Erie North Shore Minor Hockey")</f>
        <v>Erie North Shore Minor Hockey</v>
      </c>
      <c r="H1416" s="26">
        <f t="shared" ca="1" si="1"/>
        <v>15</v>
      </c>
      <c r="I1416" s="26">
        <f t="shared" ca="1" si="2"/>
        <v>1</v>
      </c>
      <c r="J1416" s="86">
        <f t="shared" ca="1" si="3"/>
        <v>44887</v>
      </c>
      <c r="R1416" s="26"/>
    </row>
    <row r="1417" spans="1:18" ht="15.75" customHeight="1">
      <c r="A1417" s="26">
        <f ca="1">IFERROR(__xludf.DUMMYFUNCTION("""COMPUTED_VALUE"""),16713)</f>
        <v>16713</v>
      </c>
      <c r="B1417" s="86">
        <f ca="1">IFERROR(__xludf.DUMMYFUNCTION("""COMPUTED_VALUE"""),44886.9997453703)</f>
        <v>44886.999745370304</v>
      </c>
      <c r="C1417" s="1" t="str">
        <f ca="1">IFERROR(__xludf.DUMMYFUNCTION("""COMPUTED_VALUE"""),"completed")</f>
        <v>completed</v>
      </c>
      <c r="D1417" s="26">
        <f ca="1">IFERROR(__xludf.DUMMYFUNCTION("""COMPUTED_VALUE"""),25)</f>
        <v>25</v>
      </c>
      <c r="E1417" s="1" t="str">
        <f ca="1">IFERROR(__xludf.DUMMYFUNCTION("""COMPUTED_VALUE"""),"W.M.H.A")</f>
        <v>W.M.H.A</v>
      </c>
      <c r="F1417" s="87" t="str">
        <f t="shared" ca="1" si="0"/>
        <v>2022</v>
      </c>
      <c r="G1417" s="1" t="str">
        <f ca="1">IFERROR(__xludf.DUMMYFUNCTION("""COMPUTED_VALUE"""),"Erie North Shore Minor Hockey")</f>
        <v>Erie North Shore Minor Hockey</v>
      </c>
      <c r="H1417" s="26">
        <f t="shared" ca="1" si="1"/>
        <v>25</v>
      </c>
      <c r="I1417" s="26">
        <f t="shared" ca="1" si="2"/>
        <v>1</v>
      </c>
      <c r="J1417" s="86">
        <f t="shared" ca="1" si="3"/>
        <v>44886</v>
      </c>
      <c r="R1417" s="26"/>
    </row>
    <row r="1418" spans="1:18" ht="15.75" customHeight="1">
      <c r="A1418" s="26">
        <f ca="1">IFERROR(__xludf.DUMMYFUNCTION("""COMPUTED_VALUE"""),16712)</f>
        <v>16712</v>
      </c>
      <c r="B1418" s="86">
        <f ca="1">IFERROR(__xludf.DUMMYFUNCTION("""COMPUTED_VALUE"""),44886.9995486111)</f>
        <v>44886.9995486111</v>
      </c>
      <c r="C1418" s="1" t="str">
        <f ca="1">IFERROR(__xludf.DUMMYFUNCTION("""COMPUTED_VALUE"""),"completed")</f>
        <v>completed</v>
      </c>
      <c r="D1418" s="26">
        <f ca="1">IFERROR(__xludf.DUMMYFUNCTION("""COMPUTED_VALUE"""),59)</f>
        <v>59</v>
      </c>
      <c r="E1418" s="1" t="str">
        <f ca="1">IFERROR(__xludf.DUMMYFUNCTION("""COMPUTED_VALUE"""),"W.M.H.A")</f>
        <v>W.M.H.A</v>
      </c>
      <c r="F1418" s="87" t="str">
        <f t="shared" ca="1" si="0"/>
        <v>2022</v>
      </c>
      <c r="G1418" s="1" t="str">
        <f ca="1">IFERROR(__xludf.DUMMYFUNCTION("""COMPUTED_VALUE"""),"Erie North Shore Minor Hockey")</f>
        <v>Erie North Shore Minor Hockey</v>
      </c>
      <c r="H1418" s="26">
        <f t="shared" ca="1" si="1"/>
        <v>59</v>
      </c>
      <c r="I1418" s="26">
        <f t="shared" ca="1" si="2"/>
        <v>1</v>
      </c>
      <c r="J1418" s="86">
        <f t="shared" ca="1" si="3"/>
        <v>44886</v>
      </c>
      <c r="R1418" s="26"/>
    </row>
    <row r="1419" spans="1:18" ht="15.75" customHeight="1">
      <c r="A1419" s="26">
        <f ca="1">IFERROR(__xludf.DUMMYFUNCTION("""COMPUTED_VALUE"""),16711)</f>
        <v>16711</v>
      </c>
      <c r="B1419" s="86">
        <f ca="1">IFERROR(__xludf.DUMMYFUNCTION("""COMPUTED_VALUE"""),44886.993912037)</f>
        <v>44886.993912037004</v>
      </c>
      <c r="C1419" s="1" t="str">
        <f ca="1">IFERROR(__xludf.DUMMYFUNCTION("""COMPUTED_VALUE"""),"completed")</f>
        <v>completed</v>
      </c>
      <c r="D1419" s="26">
        <f ca="1">IFERROR(__xludf.DUMMYFUNCTION("""COMPUTED_VALUE"""),20)</f>
        <v>20</v>
      </c>
      <c r="E1419" s="1" t="str">
        <f ca="1">IFERROR(__xludf.DUMMYFUNCTION("""COMPUTED_VALUE"""),"W.M.H.A")</f>
        <v>W.M.H.A</v>
      </c>
      <c r="F1419" s="87" t="str">
        <f t="shared" ca="1" si="0"/>
        <v>2022</v>
      </c>
      <c r="G1419" s="1" t="str">
        <f ca="1">IFERROR(__xludf.DUMMYFUNCTION("""COMPUTED_VALUE"""),"Erie North Shore Minor Hockey")</f>
        <v>Erie North Shore Minor Hockey</v>
      </c>
      <c r="H1419" s="26">
        <f t="shared" ca="1" si="1"/>
        <v>20</v>
      </c>
      <c r="I1419" s="26">
        <f t="shared" ca="1" si="2"/>
        <v>1</v>
      </c>
      <c r="J1419" s="86">
        <f t="shared" ca="1" si="3"/>
        <v>44886</v>
      </c>
      <c r="R1419" s="26"/>
    </row>
    <row r="1420" spans="1:18" ht="15.75" customHeight="1">
      <c r="A1420" s="26">
        <f ca="1">IFERROR(__xludf.DUMMYFUNCTION("""COMPUTED_VALUE"""),16710)</f>
        <v>16710</v>
      </c>
      <c r="B1420" s="86">
        <f ca="1">IFERROR(__xludf.DUMMYFUNCTION("""COMPUTED_VALUE"""),44886.9909837962)</f>
        <v>44886.990983796197</v>
      </c>
      <c r="C1420" s="1" t="str">
        <f ca="1">IFERROR(__xludf.DUMMYFUNCTION("""COMPUTED_VALUE"""),"completed")</f>
        <v>completed</v>
      </c>
      <c r="D1420" s="26">
        <f ca="1">IFERROR(__xludf.DUMMYFUNCTION("""COMPUTED_VALUE"""),91)</f>
        <v>91</v>
      </c>
      <c r="E1420" s="1" t="str">
        <f ca="1">IFERROR(__xludf.DUMMYFUNCTION("""COMPUTED_VALUE"""),"W.M.H.A")</f>
        <v>W.M.H.A</v>
      </c>
      <c r="F1420" s="87" t="str">
        <f t="shared" ca="1" si="0"/>
        <v>2022</v>
      </c>
      <c r="G1420" s="1" t="str">
        <f ca="1">IFERROR(__xludf.DUMMYFUNCTION("""COMPUTED_VALUE"""),"Erie North Shore Minor Hockey")</f>
        <v>Erie North Shore Minor Hockey</v>
      </c>
      <c r="H1420" s="26">
        <f t="shared" ca="1" si="1"/>
        <v>91</v>
      </c>
      <c r="I1420" s="26">
        <f t="shared" ca="1" si="2"/>
        <v>1</v>
      </c>
      <c r="J1420" s="86">
        <f t="shared" ca="1" si="3"/>
        <v>44886</v>
      </c>
      <c r="R1420" s="26"/>
    </row>
    <row r="1421" spans="1:18" ht="15.75" customHeight="1">
      <c r="A1421" s="26">
        <f ca="1">IFERROR(__xludf.DUMMYFUNCTION("""COMPUTED_VALUE"""),16709)</f>
        <v>16709</v>
      </c>
      <c r="B1421" s="86">
        <f ca="1">IFERROR(__xludf.DUMMYFUNCTION("""COMPUTED_VALUE"""),44886.9887268518)</f>
        <v>44886.9887268518</v>
      </c>
      <c r="C1421" s="1" t="str">
        <f ca="1">IFERROR(__xludf.DUMMYFUNCTION("""COMPUTED_VALUE"""),"completed")</f>
        <v>completed</v>
      </c>
      <c r="D1421" s="26">
        <f ca="1">IFERROR(__xludf.DUMMYFUNCTION("""COMPUTED_VALUE"""),35)</f>
        <v>35</v>
      </c>
      <c r="E1421" s="1" t="str">
        <f ca="1">IFERROR(__xludf.DUMMYFUNCTION("""COMPUTED_VALUE"""),"W.M.H.A")</f>
        <v>W.M.H.A</v>
      </c>
      <c r="F1421" s="87" t="str">
        <f t="shared" ca="1" si="0"/>
        <v>2022</v>
      </c>
      <c r="G1421" s="1" t="str">
        <f ca="1">IFERROR(__xludf.DUMMYFUNCTION("""COMPUTED_VALUE"""),"Erie North Shore Minor Hockey")</f>
        <v>Erie North Shore Minor Hockey</v>
      </c>
      <c r="H1421" s="26">
        <f t="shared" ca="1" si="1"/>
        <v>35</v>
      </c>
      <c r="I1421" s="26">
        <f t="shared" ca="1" si="2"/>
        <v>1</v>
      </c>
      <c r="J1421" s="86">
        <f t="shared" ca="1" si="3"/>
        <v>44886</v>
      </c>
      <c r="R1421" s="26"/>
    </row>
    <row r="1422" spans="1:18" ht="15.75" customHeight="1">
      <c r="A1422" s="26">
        <f ca="1">IFERROR(__xludf.DUMMYFUNCTION("""COMPUTED_VALUE"""),16708)</f>
        <v>16708</v>
      </c>
      <c r="B1422" s="86">
        <f ca="1">IFERROR(__xludf.DUMMYFUNCTION("""COMPUTED_VALUE"""),44886.9841435185)</f>
        <v>44886.984143518501</v>
      </c>
      <c r="C1422" s="1" t="str">
        <f ca="1">IFERROR(__xludf.DUMMYFUNCTION("""COMPUTED_VALUE"""),"completed")</f>
        <v>completed</v>
      </c>
      <c r="D1422" s="26">
        <f ca="1">IFERROR(__xludf.DUMMYFUNCTION("""COMPUTED_VALUE"""),10)</f>
        <v>10</v>
      </c>
      <c r="E1422" s="1" t="str">
        <f ca="1">IFERROR(__xludf.DUMMYFUNCTION("""COMPUTED_VALUE"""),"W.M.H.A")</f>
        <v>W.M.H.A</v>
      </c>
      <c r="F1422" s="87" t="str">
        <f t="shared" ca="1" si="0"/>
        <v>2022</v>
      </c>
      <c r="G1422" s="1" t="str">
        <f ca="1">IFERROR(__xludf.DUMMYFUNCTION("""COMPUTED_VALUE"""),"Erie North Shore Minor Hockey")</f>
        <v>Erie North Shore Minor Hockey</v>
      </c>
      <c r="H1422" s="26">
        <f t="shared" ca="1" si="1"/>
        <v>10</v>
      </c>
      <c r="I1422" s="26">
        <f t="shared" ca="1" si="2"/>
        <v>1</v>
      </c>
      <c r="J1422" s="86">
        <f t="shared" ca="1" si="3"/>
        <v>44886</v>
      </c>
      <c r="R1422" s="26"/>
    </row>
    <row r="1423" spans="1:18" ht="15.75" customHeight="1">
      <c r="A1423" s="26">
        <f ca="1">IFERROR(__xludf.DUMMYFUNCTION("""COMPUTED_VALUE"""),16707)</f>
        <v>16707</v>
      </c>
      <c r="B1423" s="86">
        <f ca="1">IFERROR(__xludf.DUMMYFUNCTION("""COMPUTED_VALUE"""),44886.98125)</f>
        <v>44886.981249999997</v>
      </c>
      <c r="C1423" s="1" t="str">
        <f ca="1">IFERROR(__xludf.DUMMYFUNCTION("""COMPUTED_VALUE"""),"completed")</f>
        <v>completed</v>
      </c>
      <c r="D1423" s="26">
        <f ca="1">IFERROR(__xludf.DUMMYFUNCTION("""COMPUTED_VALUE"""),40)</f>
        <v>40</v>
      </c>
      <c r="E1423" s="1" t="str">
        <f ca="1">IFERROR(__xludf.DUMMYFUNCTION("""COMPUTED_VALUE"""),"W.M.H.A")</f>
        <v>W.M.H.A</v>
      </c>
      <c r="F1423" s="87" t="str">
        <f t="shared" ca="1" si="0"/>
        <v>2022</v>
      </c>
      <c r="G1423" s="1" t="str">
        <f ca="1">IFERROR(__xludf.DUMMYFUNCTION("""COMPUTED_VALUE"""),"Erie North Shore Minor Hockey")</f>
        <v>Erie North Shore Minor Hockey</v>
      </c>
      <c r="H1423" s="26">
        <f t="shared" ca="1" si="1"/>
        <v>40</v>
      </c>
      <c r="I1423" s="26">
        <f t="shared" ca="1" si="2"/>
        <v>1</v>
      </c>
      <c r="J1423" s="86">
        <f t="shared" ca="1" si="3"/>
        <v>44886</v>
      </c>
      <c r="R1423" s="26"/>
    </row>
    <row r="1424" spans="1:18" ht="15.75" customHeight="1">
      <c r="A1424" s="26">
        <f ca="1">IFERROR(__xludf.DUMMYFUNCTION("""COMPUTED_VALUE"""),16706)</f>
        <v>16706</v>
      </c>
      <c r="B1424" s="86">
        <f ca="1">IFERROR(__xludf.DUMMYFUNCTION("""COMPUTED_VALUE"""),44886.9764930555)</f>
        <v>44886.976493055503</v>
      </c>
      <c r="C1424" s="1" t="str">
        <f ca="1">IFERROR(__xludf.DUMMYFUNCTION("""COMPUTED_VALUE"""),"completed")</f>
        <v>completed</v>
      </c>
      <c r="D1424" s="26">
        <f ca="1">IFERROR(__xludf.DUMMYFUNCTION("""COMPUTED_VALUE"""),25)</f>
        <v>25</v>
      </c>
      <c r="E1424" s="1" t="str">
        <f ca="1">IFERROR(__xludf.DUMMYFUNCTION("""COMPUTED_VALUE"""),"W.M.H.A")</f>
        <v>W.M.H.A</v>
      </c>
      <c r="F1424" s="87" t="str">
        <f t="shared" ca="1" si="0"/>
        <v>2022</v>
      </c>
      <c r="G1424" s="1" t="str">
        <f ca="1">IFERROR(__xludf.DUMMYFUNCTION("""COMPUTED_VALUE"""),"Erie North Shore Minor Hockey")</f>
        <v>Erie North Shore Minor Hockey</v>
      </c>
      <c r="H1424" s="26">
        <f t="shared" ca="1" si="1"/>
        <v>25</v>
      </c>
      <c r="I1424" s="26">
        <f t="shared" ca="1" si="2"/>
        <v>1</v>
      </c>
      <c r="J1424" s="86">
        <f t="shared" ca="1" si="3"/>
        <v>44886</v>
      </c>
      <c r="R1424" s="26"/>
    </row>
    <row r="1425" spans="1:18" ht="15.75" customHeight="1">
      <c r="A1425" s="26">
        <f ca="1">IFERROR(__xludf.DUMMYFUNCTION("""COMPUTED_VALUE"""),16705)</f>
        <v>16705</v>
      </c>
      <c r="B1425" s="86">
        <f ca="1">IFERROR(__xludf.DUMMYFUNCTION("""COMPUTED_VALUE"""),44886.9713773148)</f>
        <v>44886.971377314803</v>
      </c>
      <c r="C1425" s="1" t="str">
        <f ca="1">IFERROR(__xludf.DUMMYFUNCTION("""COMPUTED_VALUE"""),"completed")</f>
        <v>completed</v>
      </c>
      <c r="D1425" s="26">
        <f ca="1">IFERROR(__xludf.DUMMYFUNCTION("""COMPUTED_VALUE"""),41)</f>
        <v>41</v>
      </c>
      <c r="E1425" s="1" t="str">
        <f ca="1">IFERROR(__xludf.DUMMYFUNCTION("""COMPUTED_VALUE"""),"W.M.H.A")</f>
        <v>W.M.H.A</v>
      </c>
      <c r="F1425" s="87" t="str">
        <f t="shared" ca="1" si="0"/>
        <v>2022</v>
      </c>
      <c r="G1425" s="1" t="str">
        <f ca="1">IFERROR(__xludf.DUMMYFUNCTION("""COMPUTED_VALUE"""),"Erie North Shore Minor Hockey")</f>
        <v>Erie North Shore Minor Hockey</v>
      </c>
      <c r="H1425" s="26">
        <f t="shared" ca="1" si="1"/>
        <v>41</v>
      </c>
      <c r="I1425" s="26">
        <f t="shared" ca="1" si="2"/>
        <v>1</v>
      </c>
      <c r="J1425" s="86">
        <f t="shared" ca="1" si="3"/>
        <v>44886</v>
      </c>
      <c r="R1425" s="26"/>
    </row>
    <row r="1426" spans="1:18" ht="15.75" customHeight="1">
      <c r="A1426" s="26">
        <f ca="1">IFERROR(__xludf.DUMMYFUNCTION("""COMPUTED_VALUE"""),16704)</f>
        <v>16704</v>
      </c>
      <c r="B1426" s="86">
        <f ca="1">IFERROR(__xludf.DUMMYFUNCTION("""COMPUTED_VALUE"""),44886.9589930555)</f>
        <v>44886.958993055501</v>
      </c>
      <c r="C1426" s="1" t="str">
        <f ca="1">IFERROR(__xludf.DUMMYFUNCTION("""COMPUTED_VALUE"""),"completed")</f>
        <v>completed</v>
      </c>
      <c r="D1426" s="26">
        <f ca="1">IFERROR(__xludf.DUMMYFUNCTION("""COMPUTED_VALUE"""),15)</f>
        <v>15</v>
      </c>
      <c r="E1426" s="1" t="str">
        <f ca="1">IFERROR(__xludf.DUMMYFUNCTION("""COMPUTED_VALUE"""),"W.M.H.A")</f>
        <v>W.M.H.A</v>
      </c>
      <c r="F1426" s="87" t="str">
        <f t="shared" ca="1" si="0"/>
        <v>2022</v>
      </c>
      <c r="G1426" s="1" t="str">
        <f ca="1">IFERROR(__xludf.DUMMYFUNCTION("""COMPUTED_VALUE"""),"Erie North Shore Minor Hockey")</f>
        <v>Erie North Shore Minor Hockey</v>
      </c>
      <c r="H1426" s="26">
        <f t="shared" ca="1" si="1"/>
        <v>15</v>
      </c>
      <c r="I1426" s="26">
        <f t="shared" ca="1" si="2"/>
        <v>1</v>
      </c>
      <c r="J1426" s="86">
        <f t="shared" ca="1" si="3"/>
        <v>44886</v>
      </c>
      <c r="R1426" s="26"/>
    </row>
    <row r="1427" spans="1:18" ht="15.75" customHeight="1">
      <c r="A1427" s="26">
        <f ca="1">IFERROR(__xludf.DUMMYFUNCTION("""COMPUTED_VALUE"""),16703)</f>
        <v>16703</v>
      </c>
      <c r="B1427" s="86">
        <f ca="1">IFERROR(__xludf.DUMMYFUNCTION("""COMPUTED_VALUE"""),44886.9569212962)</f>
        <v>44886.956921296201</v>
      </c>
      <c r="C1427" s="1" t="str">
        <f ca="1">IFERROR(__xludf.DUMMYFUNCTION("""COMPUTED_VALUE"""),"completed")</f>
        <v>completed</v>
      </c>
      <c r="D1427" s="26">
        <f ca="1">IFERROR(__xludf.DUMMYFUNCTION("""COMPUTED_VALUE"""),52)</f>
        <v>52</v>
      </c>
      <c r="E1427" s="1" t="str">
        <f ca="1">IFERROR(__xludf.DUMMYFUNCTION("""COMPUTED_VALUE"""),"W.M.H.A")</f>
        <v>W.M.H.A</v>
      </c>
      <c r="F1427" s="87" t="str">
        <f t="shared" ca="1" si="0"/>
        <v>2022</v>
      </c>
      <c r="G1427" s="1" t="str">
        <f ca="1">IFERROR(__xludf.DUMMYFUNCTION("""COMPUTED_VALUE"""),"Erie North Shore Minor Hockey")</f>
        <v>Erie North Shore Minor Hockey</v>
      </c>
      <c r="H1427" s="26">
        <f t="shared" ca="1" si="1"/>
        <v>52</v>
      </c>
      <c r="I1427" s="26">
        <f t="shared" ca="1" si="2"/>
        <v>1</v>
      </c>
      <c r="J1427" s="86">
        <f t="shared" ca="1" si="3"/>
        <v>44886</v>
      </c>
      <c r="R1427" s="26"/>
    </row>
    <row r="1428" spans="1:18" ht="15.75" customHeight="1">
      <c r="A1428" s="26">
        <f ca="1">IFERROR(__xludf.DUMMYFUNCTION("""COMPUTED_VALUE"""),16702)</f>
        <v>16702</v>
      </c>
      <c r="B1428" s="86">
        <f ca="1">IFERROR(__xludf.DUMMYFUNCTION("""COMPUTED_VALUE"""),44886.9491666666)</f>
        <v>44886.9491666666</v>
      </c>
      <c r="C1428" s="1" t="str">
        <f ca="1">IFERROR(__xludf.DUMMYFUNCTION("""COMPUTED_VALUE"""),"completed")</f>
        <v>completed</v>
      </c>
      <c r="D1428" s="26">
        <f ca="1">IFERROR(__xludf.DUMMYFUNCTION("""COMPUTED_VALUE"""),18)</f>
        <v>18</v>
      </c>
      <c r="E1428" s="1" t="str">
        <f ca="1">IFERROR(__xludf.DUMMYFUNCTION("""COMPUTED_VALUE"""),"W.M.H.A")</f>
        <v>W.M.H.A</v>
      </c>
      <c r="F1428" s="87" t="str">
        <f t="shared" ca="1" si="0"/>
        <v>2022</v>
      </c>
      <c r="G1428" s="1" t="str">
        <f ca="1">IFERROR(__xludf.DUMMYFUNCTION("""COMPUTED_VALUE"""),"Erie North Shore Minor Hockey")</f>
        <v>Erie North Shore Minor Hockey</v>
      </c>
      <c r="H1428" s="26">
        <f t="shared" ca="1" si="1"/>
        <v>18</v>
      </c>
      <c r="I1428" s="26">
        <f t="shared" ca="1" si="2"/>
        <v>1</v>
      </c>
      <c r="J1428" s="86">
        <f t="shared" ca="1" si="3"/>
        <v>44886</v>
      </c>
      <c r="R1428" s="26"/>
    </row>
    <row r="1429" spans="1:18" ht="15.75" customHeight="1">
      <c r="A1429" s="26">
        <f ca="1">IFERROR(__xludf.DUMMYFUNCTION("""COMPUTED_VALUE"""),16701)</f>
        <v>16701</v>
      </c>
      <c r="B1429" s="86">
        <f ca="1">IFERROR(__xludf.DUMMYFUNCTION("""COMPUTED_VALUE"""),44886.9472916666)</f>
        <v>44886.947291666598</v>
      </c>
      <c r="C1429" s="1" t="str">
        <f ca="1">IFERROR(__xludf.DUMMYFUNCTION("""COMPUTED_VALUE"""),"completed")</f>
        <v>completed</v>
      </c>
      <c r="D1429" s="26">
        <f ca="1">IFERROR(__xludf.DUMMYFUNCTION("""COMPUTED_VALUE"""),35)</f>
        <v>35</v>
      </c>
      <c r="E1429" s="1" t="str">
        <f ca="1">IFERROR(__xludf.DUMMYFUNCTION("""COMPUTED_VALUE"""),"W.M.H.A")</f>
        <v>W.M.H.A</v>
      </c>
      <c r="F1429" s="87" t="str">
        <f t="shared" ca="1" si="0"/>
        <v>2022</v>
      </c>
      <c r="G1429" s="1" t="str">
        <f ca="1">IFERROR(__xludf.DUMMYFUNCTION("""COMPUTED_VALUE"""),"Erie North Shore Minor Hockey")</f>
        <v>Erie North Shore Minor Hockey</v>
      </c>
      <c r="H1429" s="26">
        <f t="shared" ca="1" si="1"/>
        <v>35</v>
      </c>
      <c r="I1429" s="26">
        <f t="shared" ca="1" si="2"/>
        <v>1</v>
      </c>
      <c r="J1429" s="86">
        <f t="shared" ca="1" si="3"/>
        <v>44886</v>
      </c>
      <c r="R1429" s="26"/>
    </row>
    <row r="1430" spans="1:18" ht="15.75" customHeight="1">
      <c r="A1430" s="26">
        <f ca="1">IFERROR(__xludf.DUMMYFUNCTION("""COMPUTED_VALUE"""),16700)</f>
        <v>16700</v>
      </c>
      <c r="B1430" s="86">
        <f ca="1">IFERROR(__xludf.DUMMYFUNCTION("""COMPUTED_VALUE"""),44886.9406944444)</f>
        <v>44886.940694444398</v>
      </c>
      <c r="C1430" s="1" t="str">
        <f ca="1">IFERROR(__xludf.DUMMYFUNCTION("""COMPUTED_VALUE"""),"completed")</f>
        <v>completed</v>
      </c>
      <c r="D1430" s="26">
        <f ca="1">IFERROR(__xludf.DUMMYFUNCTION("""COMPUTED_VALUE"""),42)</f>
        <v>42</v>
      </c>
      <c r="E1430" s="1" t="str">
        <f ca="1">IFERROR(__xludf.DUMMYFUNCTION("""COMPUTED_VALUE"""),"W.M.H.A")</f>
        <v>W.M.H.A</v>
      </c>
      <c r="F1430" s="87" t="str">
        <f t="shared" ca="1" si="0"/>
        <v>2022</v>
      </c>
      <c r="G1430" s="1" t="str">
        <f ca="1">IFERROR(__xludf.DUMMYFUNCTION("""COMPUTED_VALUE"""),"Erie North Shore Minor Hockey")</f>
        <v>Erie North Shore Minor Hockey</v>
      </c>
      <c r="H1430" s="26">
        <f t="shared" ca="1" si="1"/>
        <v>42</v>
      </c>
      <c r="I1430" s="26">
        <f t="shared" ca="1" si="2"/>
        <v>1</v>
      </c>
      <c r="J1430" s="86">
        <f t="shared" ca="1" si="3"/>
        <v>44886</v>
      </c>
      <c r="R1430" s="26"/>
    </row>
    <row r="1431" spans="1:18" ht="15.75" customHeight="1">
      <c r="A1431" s="26">
        <f ca="1">IFERROR(__xludf.DUMMYFUNCTION("""COMPUTED_VALUE"""),16699)</f>
        <v>16699</v>
      </c>
      <c r="B1431" s="86">
        <f ca="1">IFERROR(__xludf.DUMMYFUNCTION("""COMPUTED_VALUE"""),44886.9317129629)</f>
        <v>44886.931712962898</v>
      </c>
      <c r="C1431" s="1" t="str">
        <f ca="1">IFERROR(__xludf.DUMMYFUNCTION("""COMPUTED_VALUE"""),"completed")</f>
        <v>completed</v>
      </c>
      <c r="D1431" s="26">
        <f ca="1">IFERROR(__xludf.DUMMYFUNCTION("""COMPUTED_VALUE"""),35)</f>
        <v>35</v>
      </c>
      <c r="E1431" s="1" t="str">
        <f ca="1">IFERROR(__xludf.DUMMYFUNCTION("""COMPUTED_VALUE"""),"W.M.H.A")</f>
        <v>W.M.H.A</v>
      </c>
      <c r="F1431" s="87" t="str">
        <f t="shared" ca="1" si="0"/>
        <v>2022</v>
      </c>
      <c r="G1431" s="1" t="str">
        <f ca="1">IFERROR(__xludf.DUMMYFUNCTION("""COMPUTED_VALUE"""),"Erie North Shore Minor Hockey")</f>
        <v>Erie North Shore Minor Hockey</v>
      </c>
      <c r="H1431" s="26">
        <f t="shared" ca="1" si="1"/>
        <v>35</v>
      </c>
      <c r="I1431" s="26">
        <f t="shared" ca="1" si="2"/>
        <v>1</v>
      </c>
      <c r="J1431" s="86">
        <f t="shared" ca="1" si="3"/>
        <v>44886</v>
      </c>
      <c r="R1431" s="26"/>
    </row>
    <row r="1432" spans="1:18" ht="15.75" customHeight="1">
      <c r="A1432" s="26">
        <f ca="1">IFERROR(__xludf.DUMMYFUNCTION("""COMPUTED_VALUE"""),16698)</f>
        <v>16698</v>
      </c>
      <c r="B1432" s="86">
        <f ca="1">IFERROR(__xludf.DUMMYFUNCTION("""COMPUTED_VALUE"""),44886.8970833333)</f>
        <v>44886.897083333301</v>
      </c>
      <c r="C1432" s="1" t="str">
        <f ca="1">IFERROR(__xludf.DUMMYFUNCTION("""COMPUTED_VALUE"""),"completed")</f>
        <v>completed</v>
      </c>
      <c r="D1432" s="26">
        <f ca="1">IFERROR(__xludf.DUMMYFUNCTION("""COMPUTED_VALUE"""),65)</f>
        <v>65</v>
      </c>
      <c r="E1432" s="1" t="str">
        <f ca="1">IFERROR(__xludf.DUMMYFUNCTION("""COMPUTED_VALUE"""),"W.M.H.A")</f>
        <v>W.M.H.A</v>
      </c>
      <c r="F1432" s="87" t="str">
        <f t="shared" ca="1" si="0"/>
        <v>2022</v>
      </c>
      <c r="G1432" s="1" t="str">
        <f ca="1">IFERROR(__xludf.DUMMYFUNCTION("""COMPUTED_VALUE"""),"Erie North Shore Minor Hockey")</f>
        <v>Erie North Shore Minor Hockey</v>
      </c>
      <c r="H1432" s="26">
        <f t="shared" ca="1" si="1"/>
        <v>65</v>
      </c>
      <c r="I1432" s="26">
        <f t="shared" ca="1" si="2"/>
        <v>1</v>
      </c>
      <c r="J1432" s="86">
        <f t="shared" ca="1" si="3"/>
        <v>44886</v>
      </c>
      <c r="R1432" s="26"/>
    </row>
    <row r="1433" spans="1:18" ht="15.75" customHeight="1">
      <c r="A1433" s="26">
        <f ca="1">IFERROR(__xludf.DUMMYFUNCTION("""COMPUTED_VALUE"""),16697)</f>
        <v>16697</v>
      </c>
      <c r="B1433" s="86">
        <f ca="1">IFERROR(__xludf.DUMMYFUNCTION("""COMPUTED_VALUE"""),44886.8808449074)</f>
        <v>44886.880844907399</v>
      </c>
      <c r="C1433" s="1" t="str">
        <f ca="1">IFERROR(__xludf.DUMMYFUNCTION("""COMPUTED_VALUE"""),"completed")</f>
        <v>completed</v>
      </c>
      <c r="D1433" s="26">
        <f ca="1">IFERROR(__xludf.DUMMYFUNCTION("""COMPUTED_VALUE"""),53)</f>
        <v>53</v>
      </c>
      <c r="E1433" s="1" t="str">
        <f ca="1">IFERROR(__xludf.DUMMYFUNCTION("""COMPUTED_VALUE"""),"W.M.H.A")</f>
        <v>W.M.H.A</v>
      </c>
      <c r="F1433" s="87" t="str">
        <f t="shared" ca="1" si="0"/>
        <v>2022</v>
      </c>
      <c r="G1433" s="1" t="str">
        <f ca="1">IFERROR(__xludf.DUMMYFUNCTION("""COMPUTED_VALUE"""),"Erie North Shore Minor Hockey")</f>
        <v>Erie North Shore Minor Hockey</v>
      </c>
      <c r="H1433" s="26">
        <f t="shared" ca="1" si="1"/>
        <v>53</v>
      </c>
      <c r="I1433" s="26">
        <f t="shared" ca="1" si="2"/>
        <v>1</v>
      </c>
      <c r="J1433" s="86">
        <f t="shared" ca="1" si="3"/>
        <v>44886</v>
      </c>
      <c r="R1433" s="26"/>
    </row>
    <row r="1434" spans="1:18" ht="15.75" customHeight="1">
      <c r="A1434" s="26">
        <f ca="1">IFERROR(__xludf.DUMMYFUNCTION("""COMPUTED_VALUE"""),16696)</f>
        <v>16696</v>
      </c>
      <c r="B1434" s="86">
        <f ca="1">IFERROR(__xludf.DUMMYFUNCTION("""COMPUTED_VALUE"""),44886.860636574)</f>
        <v>44886.860636573998</v>
      </c>
      <c r="C1434" s="1" t="str">
        <f ca="1">IFERROR(__xludf.DUMMYFUNCTION("""COMPUTED_VALUE"""),"completed")</f>
        <v>completed</v>
      </c>
      <c r="D1434" s="26">
        <f ca="1">IFERROR(__xludf.DUMMYFUNCTION("""COMPUTED_VALUE"""),35)</f>
        <v>35</v>
      </c>
      <c r="E1434" s="1" t="str">
        <f ca="1">IFERROR(__xludf.DUMMYFUNCTION("""COMPUTED_VALUE"""),"W.M.H.A")</f>
        <v>W.M.H.A</v>
      </c>
      <c r="F1434" s="87" t="str">
        <f t="shared" ca="1" si="0"/>
        <v>2022</v>
      </c>
      <c r="G1434" s="1" t="str">
        <f ca="1">IFERROR(__xludf.DUMMYFUNCTION("""COMPUTED_VALUE"""),"Erie North Shore Minor Hockey")</f>
        <v>Erie North Shore Minor Hockey</v>
      </c>
      <c r="H1434" s="26">
        <f t="shared" ca="1" si="1"/>
        <v>35</v>
      </c>
      <c r="I1434" s="26">
        <f t="shared" ca="1" si="2"/>
        <v>1</v>
      </c>
      <c r="J1434" s="86">
        <f t="shared" ca="1" si="3"/>
        <v>44886</v>
      </c>
      <c r="R1434" s="26"/>
    </row>
    <row r="1435" spans="1:18" ht="15.75" customHeight="1">
      <c r="A1435" s="26">
        <f ca="1">IFERROR(__xludf.DUMMYFUNCTION("""COMPUTED_VALUE"""),16695)</f>
        <v>16695</v>
      </c>
      <c r="B1435" s="86">
        <f ca="1">IFERROR(__xludf.DUMMYFUNCTION("""COMPUTED_VALUE"""),44886.8599074074)</f>
        <v>44886.859907407401</v>
      </c>
      <c r="C1435" s="1" t="str">
        <f ca="1">IFERROR(__xludf.DUMMYFUNCTION("""COMPUTED_VALUE"""),"completed")</f>
        <v>completed</v>
      </c>
      <c r="D1435" s="26">
        <f ca="1">IFERROR(__xludf.DUMMYFUNCTION("""COMPUTED_VALUE"""),53)</f>
        <v>53</v>
      </c>
      <c r="E1435" s="1" t="str">
        <f ca="1">IFERROR(__xludf.DUMMYFUNCTION("""COMPUTED_VALUE"""),"W.M.H.A")</f>
        <v>W.M.H.A</v>
      </c>
      <c r="F1435" s="87" t="str">
        <f t="shared" ca="1" si="0"/>
        <v>2022</v>
      </c>
      <c r="G1435" s="1" t="str">
        <f ca="1">IFERROR(__xludf.DUMMYFUNCTION("""COMPUTED_VALUE"""),"Erie North Shore Minor Hockey")</f>
        <v>Erie North Shore Minor Hockey</v>
      </c>
      <c r="H1435" s="26">
        <f t="shared" ca="1" si="1"/>
        <v>53</v>
      </c>
      <c r="I1435" s="26">
        <f t="shared" ca="1" si="2"/>
        <v>1</v>
      </c>
      <c r="J1435" s="86">
        <f t="shared" ca="1" si="3"/>
        <v>44886</v>
      </c>
      <c r="R1435" s="26"/>
    </row>
    <row r="1436" spans="1:18" ht="15.75" customHeight="1">
      <c r="A1436" s="26">
        <f ca="1">IFERROR(__xludf.DUMMYFUNCTION("""COMPUTED_VALUE"""),16694)</f>
        <v>16694</v>
      </c>
      <c r="B1436" s="86">
        <f ca="1">IFERROR(__xludf.DUMMYFUNCTION("""COMPUTED_VALUE"""),44886.8565162037)</f>
        <v>44886.856516203698</v>
      </c>
      <c r="C1436" s="1" t="str">
        <f ca="1">IFERROR(__xludf.DUMMYFUNCTION("""COMPUTED_VALUE"""),"completed")</f>
        <v>completed</v>
      </c>
      <c r="D1436" s="26">
        <f ca="1">IFERROR(__xludf.DUMMYFUNCTION("""COMPUTED_VALUE"""),53)</f>
        <v>53</v>
      </c>
      <c r="E1436" s="1" t="str">
        <f ca="1">IFERROR(__xludf.DUMMYFUNCTION("""COMPUTED_VALUE"""),"W.M.H.A")</f>
        <v>W.M.H.A</v>
      </c>
      <c r="F1436" s="87" t="str">
        <f t="shared" ca="1" si="0"/>
        <v>2022</v>
      </c>
      <c r="G1436" s="1" t="str">
        <f ca="1">IFERROR(__xludf.DUMMYFUNCTION("""COMPUTED_VALUE"""),"Erie North Shore Minor Hockey")</f>
        <v>Erie North Shore Minor Hockey</v>
      </c>
      <c r="H1436" s="26">
        <f t="shared" ca="1" si="1"/>
        <v>53</v>
      </c>
      <c r="I1436" s="26">
        <f t="shared" ca="1" si="2"/>
        <v>1</v>
      </c>
      <c r="J1436" s="86">
        <f t="shared" ca="1" si="3"/>
        <v>44886</v>
      </c>
      <c r="R1436" s="26"/>
    </row>
    <row r="1437" spans="1:18" ht="15.75" customHeight="1">
      <c r="A1437" s="26">
        <f ca="1">IFERROR(__xludf.DUMMYFUNCTION("""COMPUTED_VALUE"""),16693)</f>
        <v>16693</v>
      </c>
      <c r="B1437" s="86">
        <f ca="1">IFERROR(__xludf.DUMMYFUNCTION("""COMPUTED_VALUE"""),44886.8480208333)</f>
        <v>44886.848020833299</v>
      </c>
      <c r="C1437" s="1" t="str">
        <f ca="1">IFERROR(__xludf.DUMMYFUNCTION("""COMPUTED_VALUE"""),"completed")</f>
        <v>completed</v>
      </c>
      <c r="D1437" s="26">
        <f ca="1">IFERROR(__xludf.DUMMYFUNCTION("""COMPUTED_VALUE"""),75)</f>
        <v>75</v>
      </c>
      <c r="E1437" s="1" t="str">
        <f ca="1">IFERROR(__xludf.DUMMYFUNCTION("""COMPUTED_VALUE"""),"W.M.H.A")</f>
        <v>W.M.H.A</v>
      </c>
      <c r="F1437" s="87" t="str">
        <f t="shared" ca="1" si="0"/>
        <v>2022</v>
      </c>
      <c r="G1437" s="1" t="str">
        <f ca="1">IFERROR(__xludf.DUMMYFUNCTION("""COMPUTED_VALUE"""),"Erie North Shore Minor Hockey")</f>
        <v>Erie North Shore Minor Hockey</v>
      </c>
      <c r="H1437" s="26">
        <f t="shared" ca="1" si="1"/>
        <v>75</v>
      </c>
      <c r="I1437" s="26">
        <f t="shared" ca="1" si="2"/>
        <v>1</v>
      </c>
      <c r="J1437" s="86">
        <f t="shared" ca="1" si="3"/>
        <v>44886</v>
      </c>
      <c r="R1437" s="26"/>
    </row>
    <row r="1438" spans="1:18" ht="15.75" customHeight="1">
      <c r="A1438" s="26">
        <f ca="1">IFERROR(__xludf.DUMMYFUNCTION("""COMPUTED_VALUE"""),16692)</f>
        <v>16692</v>
      </c>
      <c r="B1438" s="86">
        <f ca="1">IFERROR(__xludf.DUMMYFUNCTION("""COMPUTED_VALUE"""),44886.8464236111)</f>
        <v>44886.846423611103</v>
      </c>
      <c r="C1438" s="1" t="str">
        <f ca="1">IFERROR(__xludf.DUMMYFUNCTION("""COMPUTED_VALUE"""),"completed")</f>
        <v>completed</v>
      </c>
      <c r="D1438" s="26">
        <f ca="1">IFERROR(__xludf.DUMMYFUNCTION("""COMPUTED_VALUE"""),35)</f>
        <v>35</v>
      </c>
      <c r="E1438" s="1" t="str">
        <f ca="1">IFERROR(__xludf.DUMMYFUNCTION("""COMPUTED_VALUE"""),"W.M.H.A")</f>
        <v>W.M.H.A</v>
      </c>
      <c r="F1438" s="87" t="str">
        <f t="shared" ca="1" si="0"/>
        <v>2022</v>
      </c>
      <c r="G1438" s="1" t="str">
        <f ca="1">IFERROR(__xludf.DUMMYFUNCTION("""COMPUTED_VALUE"""),"Erie North Shore Minor Hockey")</f>
        <v>Erie North Shore Minor Hockey</v>
      </c>
      <c r="H1438" s="26">
        <f t="shared" ca="1" si="1"/>
        <v>35</v>
      </c>
      <c r="I1438" s="26">
        <f t="shared" ca="1" si="2"/>
        <v>1</v>
      </c>
      <c r="J1438" s="86">
        <f t="shared" ca="1" si="3"/>
        <v>44886</v>
      </c>
      <c r="R1438" s="26"/>
    </row>
    <row r="1439" spans="1:18" ht="15.75" customHeight="1">
      <c r="A1439" s="26">
        <f ca="1">IFERROR(__xludf.DUMMYFUNCTION("""COMPUTED_VALUE"""),16691)</f>
        <v>16691</v>
      </c>
      <c r="B1439" s="86">
        <f ca="1">IFERROR(__xludf.DUMMYFUNCTION("""COMPUTED_VALUE"""),44886.8454398148)</f>
        <v>44886.845439814802</v>
      </c>
      <c r="C1439" s="1" t="str">
        <f ca="1">IFERROR(__xludf.DUMMYFUNCTION("""COMPUTED_VALUE"""),"completed")</f>
        <v>completed</v>
      </c>
      <c r="D1439" s="26">
        <f ca="1">IFERROR(__xludf.DUMMYFUNCTION("""COMPUTED_VALUE"""),55)</f>
        <v>55</v>
      </c>
      <c r="E1439" s="1" t="str">
        <f ca="1">IFERROR(__xludf.DUMMYFUNCTION("""COMPUTED_VALUE"""),"W.M.H.A")</f>
        <v>W.M.H.A</v>
      </c>
      <c r="F1439" s="87" t="str">
        <f t="shared" ca="1" si="0"/>
        <v>2022</v>
      </c>
      <c r="G1439" s="1" t="str">
        <f ca="1">IFERROR(__xludf.DUMMYFUNCTION("""COMPUTED_VALUE"""),"Erie North Shore Minor Hockey")</f>
        <v>Erie North Shore Minor Hockey</v>
      </c>
      <c r="H1439" s="26">
        <f t="shared" ca="1" si="1"/>
        <v>55</v>
      </c>
      <c r="I1439" s="26">
        <f t="shared" ca="1" si="2"/>
        <v>1</v>
      </c>
      <c r="J1439" s="86">
        <f t="shared" ca="1" si="3"/>
        <v>44886</v>
      </c>
      <c r="R1439" s="26"/>
    </row>
    <row r="1440" spans="1:18" ht="15.75" customHeight="1">
      <c r="A1440" s="26">
        <f ca="1">IFERROR(__xludf.DUMMYFUNCTION("""COMPUTED_VALUE"""),16690)</f>
        <v>16690</v>
      </c>
      <c r="B1440" s="86">
        <f ca="1">IFERROR(__xludf.DUMMYFUNCTION("""COMPUTED_VALUE"""),44886.8126388888)</f>
        <v>44886.812638888798</v>
      </c>
      <c r="C1440" s="1" t="str">
        <f ca="1">IFERROR(__xludf.DUMMYFUNCTION("""COMPUTED_VALUE"""),"completed")</f>
        <v>completed</v>
      </c>
      <c r="D1440" s="26">
        <f ca="1">IFERROR(__xludf.DUMMYFUNCTION("""COMPUTED_VALUE"""),65)</f>
        <v>65</v>
      </c>
      <c r="E1440" s="1" t="str">
        <f ca="1">IFERROR(__xludf.DUMMYFUNCTION("""COMPUTED_VALUE"""),"W.M.H.A")</f>
        <v>W.M.H.A</v>
      </c>
      <c r="F1440" s="87" t="str">
        <f t="shared" ca="1" si="0"/>
        <v>2022</v>
      </c>
      <c r="G1440" s="1" t="str">
        <f ca="1">IFERROR(__xludf.DUMMYFUNCTION("""COMPUTED_VALUE"""),"Erie North Shore Minor Hockey")</f>
        <v>Erie North Shore Minor Hockey</v>
      </c>
      <c r="H1440" s="26">
        <f t="shared" ca="1" si="1"/>
        <v>65</v>
      </c>
      <c r="I1440" s="26">
        <f t="shared" ca="1" si="2"/>
        <v>1</v>
      </c>
      <c r="J1440" s="86">
        <f t="shared" ca="1" si="3"/>
        <v>44886</v>
      </c>
      <c r="R1440" s="26"/>
    </row>
    <row r="1441" spans="1:18" ht="15.75" customHeight="1">
      <c r="A1441" s="26">
        <f ca="1">IFERROR(__xludf.DUMMYFUNCTION("""COMPUTED_VALUE"""),16689)</f>
        <v>16689</v>
      </c>
      <c r="B1441" s="86">
        <f ca="1">IFERROR(__xludf.DUMMYFUNCTION("""COMPUTED_VALUE"""),44886.8012847222)</f>
        <v>44886.801284722198</v>
      </c>
      <c r="C1441" s="1" t="str">
        <f ca="1">IFERROR(__xludf.DUMMYFUNCTION("""COMPUTED_VALUE"""),"failed")</f>
        <v>failed</v>
      </c>
      <c r="D1441" s="26">
        <f ca="1">IFERROR(__xludf.DUMMYFUNCTION("""COMPUTED_VALUE"""),35)</f>
        <v>35</v>
      </c>
      <c r="E1441" s="1" t="str">
        <f ca="1">IFERROR(__xludf.DUMMYFUNCTION("""COMPUTED_VALUE"""),"W.M.H.A")</f>
        <v>W.M.H.A</v>
      </c>
      <c r="F1441" s="87" t="str">
        <f t="shared" ca="1" si="0"/>
        <v>2022</v>
      </c>
      <c r="G1441" s="1" t="str">
        <f ca="1">IFERROR(__xludf.DUMMYFUNCTION("""COMPUTED_VALUE"""),"Erie North Shore Minor Hockey")</f>
        <v>Erie North Shore Minor Hockey</v>
      </c>
      <c r="H1441" s="26">
        <f t="shared" ca="1" si="1"/>
        <v>35</v>
      </c>
      <c r="I1441" s="26">
        <f t="shared" ca="1" si="2"/>
        <v>1</v>
      </c>
      <c r="J1441" s="86">
        <f t="shared" ca="1" si="3"/>
        <v>44886</v>
      </c>
      <c r="R1441" s="26"/>
    </row>
    <row r="1442" spans="1:18" ht="15.75" customHeight="1">
      <c r="A1442" s="26">
        <f ca="1">IFERROR(__xludf.DUMMYFUNCTION("""COMPUTED_VALUE"""),16688)</f>
        <v>16688</v>
      </c>
      <c r="B1442" s="86">
        <f ca="1">IFERROR(__xludf.DUMMYFUNCTION("""COMPUTED_VALUE"""),44886.7962384259)</f>
        <v>44886.796238425901</v>
      </c>
      <c r="C1442" s="1" t="str">
        <f ca="1">IFERROR(__xludf.DUMMYFUNCTION("""COMPUTED_VALUE"""),"completed")</f>
        <v>completed</v>
      </c>
      <c r="D1442" s="26">
        <f ca="1">IFERROR(__xludf.DUMMYFUNCTION("""COMPUTED_VALUE"""),35)</f>
        <v>35</v>
      </c>
      <c r="E1442" s="1" t="str">
        <f ca="1">IFERROR(__xludf.DUMMYFUNCTION("""COMPUTED_VALUE"""),"W.M.H.A")</f>
        <v>W.M.H.A</v>
      </c>
      <c r="F1442" s="87" t="str">
        <f t="shared" ca="1" si="0"/>
        <v>2022</v>
      </c>
      <c r="G1442" s="1" t="str">
        <f ca="1">IFERROR(__xludf.DUMMYFUNCTION("""COMPUTED_VALUE"""),"Erie North Shore Minor Hockey")</f>
        <v>Erie North Shore Minor Hockey</v>
      </c>
      <c r="H1442" s="26">
        <f t="shared" ca="1" si="1"/>
        <v>35</v>
      </c>
      <c r="I1442" s="26">
        <f t="shared" ca="1" si="2"/>
        <v>1</v>
      </c>
      <c r="J1442" s="86">
        <f t="shared" ca="1" si="3"/>
        <v>44886</v>
      </c>
      <c r="R1442" s="26"/>
    </row>
    <row r="1443" spans="1:18" ht="15.75" customHeight="1">
      <c r="A1443" s="26">
        <f ca="1">IFERROR(__xludf.DUMMYFUNCTION("""COMPUTED_VALUE"""),16687)</f>
        <v>16687</v>
      </c>
      <c r="B1443" s="86">
        <f ca="1">IFERROR(__xludf.DUMMYFUNCTION("""COMPUTED_VALUE"""),44886.7717476851)</f>
        <v>44886.771747685103</v>
      </c>
      <c r="C1443" s="1" t="str">
        <f ca="1">IFERROR(__xludf.DUMMYFUNCTION("""COMPUTED_VALUE"""),"completed")</f>
        <v>completed</v>
      </c>
      <c r="D1443" s="26">
        <f ca="1">IFERROR(__xludf.DUMMYFUNCTION("""COMPUTED_VALUE"""),35)</f>
        <v>35</v>
      </c>
      <c r="E1443" s="1" t="str">
        <f ca="1">IFERROR(__xludf.DUMMYFUNCTION("""COMPUTED_VALUE"""),"W.M.H.A")</f>
        <v>W.M.H.A</v>
      </c>
      <c r="F1443" s="87" t="str">
        <f t="shared" ca="1" si="0"/>
        <v>2022</v>
      </c>
      <c r="G1443" s="1" t="str">
        <f ca="1">IFERROR(__xludf.DUMMYFUNCTION("""COMPUTED_VALUE"""),"Erie North Shore Minor Hockey")</f>
        <v>Erie North Shore Minor Hockey</v>
      </c>
      <c r="H1443" s="26">
        <f t="shared" ca="1" si="1"/>
        <v>35</v>
      </c>
      <c r="I1443" s="26">
        <f t="shared" ca="1" si="2"/>
        <v>1</v>
      </c>
      <c r="J1443" s="86">
        <f t="shared" ca="1" si="3"/>
        <v>44886</v>
      </c>
      <c r="R1443" s="26"/>
    </row>
    <row r="1444" spans="1:18" ht="15.75" customHeight="1">
      <c r="A1444" s="26">
        <f ca="1">IFERROR(__xludf.DUMMYFUNCTION("""COMPUTED_VALUE"""),16686)</f>
        <v>16686</v>
      </c>
      <c r="B1444" s="86">
        <f ca="1">IFERROR(__xludf.DUMMYFUNCTION("""COMPUTED_VALUE"""),44886.629699074)</f>
        <v>44886.629699074001</v>
      </c>
      <c r="C1444" s="1" t="str">
        <f ca="1">IFERROR(__xludf.DUMMYFUNCTION("""COMPUTED_VALUE"""),"completed")</f>
        <v>completed</v>
      </c>
      <c r="D1444" s="26">
        <f ca="1">IFERROR(__xludf.DUMMYFUNCTION("""COMPUTED_VALUE"""),55)</f>
        <v>55</v>
      </c>
      <c r="E1444" s="1" t="str">
        <f ca="1">IFERROR(__xludf.DUMMYFUNCTION("""COMPUTED_VALUE"""),"W.M.H.A")</f>
        <v>W.M.H.A</v>
      </c>
      <c r="F1444" s="87" t="str">
        <f t="shared" ca="1" si="0"/>
        <v>2022</v>
      </c>
      <c r="G1444" s="1" t="str">
        <f ca="1">IFERROR(__xludf.DUMMYFUNCTION("""COMPUTED_VALUE"""),"Erie North Shore Minor Hockey")</f>
        <v>Erie North Shore Minor Hockey</v>
      </c>
      <c r="H1444" s="26">
        <f t="shared" ca="1" si="1"/>
        <v>55</v>
      </c>
      <c r="I1444" s="26">
        <f t="shared" ca="1" si="2"/>
        <v>1</v>
      </c>
      <c r="J1444" s="86">
        <f t="shared" ca="1" si="3"/>
        <v>44886</v>
      </c>
      <c r="R1444" s="26"/>
    </row>
    <row r="1445" spans="1:18" ht="15.75" customHeight="1">
      <c r="A1445" s="26">
        <f ca="1">IFERROR(__xludf.DUMMYFUNCTION("""COMPUTED_VALUE"""),16685)</f>
        <v>16685</v>
      </c>
      <c r="B1445" s="86">
        <f ca="1">IFERROR(__xludf.DUMMYFUNCTION("""COMPUTED_VALUE"""),44886.6187152777)</f>
        <v>44886.618715277698</v>
      </c>
      <c r="C1445" s="1" t="str">
        <f ca="1">IFERROR(__xludf.DUMMYFUNCTION("""COMPUTED_VALUE"""),"completed")</f>
        <v>completed</v>
      </c>
      <c r="D1445" s="26">
        <f ca="1">IFERROR(__xludf.DUMMYFUNCTION("""COMPUTED_VALUE"""),20)</f>
        <v>20</v>
      </c>
      <c r="E1445" s="1" t="str">
        <f ca="1">IFERROR(__xludf.DUMMYFUNCTION("""COMPUTED_VALUE"""),"W.M.H.A")</f>
        <v>W.M.H.A</v>
      </c>
      <c r="F1445" s="87" t="str">
        <f t="shared" ca="1" si="0"/>
        <v>2022</v>
      </c>
      <c r="G1445" s="1" t="str">
        <f ca="1">IFERROR(__xludf.DUMMYFUNCTION("""COMPUTED_VALUE"""),"Erie North Shore Minor Hockey")</f>
        <v>Erie North Shore Minor Hockey</v>
      </c>
      <c r="H1445" s="26">
        <f t="shared" ca="1" si="1"/>
        <v>20</v>
      </c>
      <c r="I1445" s="26">
        <f t="shared" ca="1" si="2"/>
        <v>1</v>
      </c>
      <c r="J1445" s="86">
        <f t="shared" ca="1" si="3"/>
        <v>44886</v>
      </c>
      <c r="R1445" s="26"/>
    </row>
    <row r="1446" spans="1:18" ht="15.75" customHeight="1">
      <c r="A1446" s="26">
        <f ca="1">IFERROR(__xludf.DUMMYFUNCTION("""COMPUTED_VALUE"""),16684)</f>
        <v>16684</v>
      </c>
      <c r="B1446" s="86">
        <f ca="1">IFERROR(__xludf.DUMMYFUNCTION("""COMPUTED_VALUE"""),44886.6156018518)</f>
        <v>44886.615601851801</v>
      </c>
      <c r="C1446" s="1" t="str">
        <f ca="1">IFERROR(__xludf.DUMMYFUNCTION("""COMPUTED_VALUE"""),"completed")</f>
        <v>completed</v>
      </c>
      <c r="D1446" s="26">
        <f ca="1">IFERROR(__xludf.DUMMYFUNCTION("""COMPUTED_VALUE"""),15)</f>
        <v>15</v>
      </c>
      <c r="E1446" s="1" t="str">
        <f ca="1">IFERROR(__xludf.DUMMYFUNCTION("""COMPUTED_VALUE"""),"W.M.H.A")</f>
        <v>W.M.H.A</v>
      </c>
      <c r="F1446" s="87" t="str">
        <f t="shared" ca="1" si="0"/>
        <v>2022</v>
      </c>
      <c r="G1446" s="1" t="str">
        <f ca="1">IFERROR(__xludf.DUMMYFUNCTION("""COMPUTED_VALUE"""),"Erie North Shore Minor Hockey")</f>
        <v>Erie North Shore Minor Hockey</v>
      </c>
      <c r="H1446" s="26">
        <f t="shared" ca="1" si="1"/>
        <v>15</v>
      </c>
      <c r="I1446" s="26">
        <f t="shared" ca="1" si="2"/>
        <v>1</v>
      </c>
      <c r="J1446" s="86">
        <f t="shared" ca="1" si="3"/>
        <v>44886</v>
      </c>
      <c r="R1446" s="26"/>
    </row>
    <row r="1447" spans="1:18" ht="15.75" customHeight="1">
      <c r="A1447" s="26">
        <f ca="1">IFERROR(__xludf.DUMMYFUNCTION("""COMPUTED_VALUE"""),16654)</f>
        <v>16654</v>
      </c>
      <c r="B1447" s="86">
        <f ca="1">IFERROR(__xludf.DUMMYFUNCTION("""COMPUTED_VALUE"""),44886.5348032407)</f>
        <v>44886.534803240698</v>
      </c>
      <c r="C1447" s="1" t="str">
        <f ca="1">IFERROR(__xludf.DUMMYFUNCTION("""COMPUTED_VALUE"""),"completed")</f>
        <v>completed</v>
      </c>
      <c r="D1447" s="26">
        <f ca="1">IFERROR(__xludf.DUMMYFUNCTION("""COMPUTED_VALUE"""),87)</f>
        <v>87</v>
      </c>
      <c r="E1447" s="1" t="str">
        <f ca="1">IFERROR(__xludf.DUMMYFUNCTION("""COMPUTED_VALUE"""),"W.M.H.A")</f>
        <v>W.M.H.A</v>
      </c>
      <c r="F1447" s="87" t="str">
        <f t="shared" ca="1" si="0"/>
        <v>2022</v>
      </c>
      <c r="G1447" s="1" t="str">
        <f ca="1">IFERROR(__xludf.DUMMYFUNCTION("""COMPUTED_VALUE"""),"Erie North Shore Minor Hockey")</f>
        <v>Erie North Shore Minor Hockey</v>
      </c>
      <c r="H1447" s="26">
        <f t="shared" ca="1" si="1"/>
        <v>87</v>
      </c>
      <c r="I1447" s="26">
        <f t="shared" ca="1" si="2"/>
        <v>1</v>
      </c>
      <c r="J1447" s="86">
        <f t="shared" ca="1" si="3"/>
        <v>44886</v>
      </c>
      <c r="R1447" s="26"/>
    </row>
    <row r="1448" spans="1:18" ht="15.75" customHeight="1">
      <c r="A1448" s="26">
        <f ca="1">IFERROR(__xludf.DUMMYFUNCTION("""COMPUTED_VALUE"""),16652)</f>
        <v>16652</v>
      </c>
      <c r="B1448" s="86">
        <f ca="1">IFERROR(__xludf.DUMMYFUNCTION("""COMPUTED_VALUE"""),44886.4836458333)</f>
        <v>44886.483645833301</v>
      </c>
      <c r="C1448" s="1" t="str">
        <f ca="1">IFERROR(__xludf.DUMMYFUNCTION("""COMPUTED_VALUE"""),"completed")</f>
        <v>completed</v>
      </c>
      <c r="D1448" s="26">
        <f ca="1">IFERROR(__xludf.DUMMYFUNCTION("""COMPUTED_VALUE"""),25)</f>
        <v>25</v>
      </c>
      <c r="E1448" s="1" t="str">
        <f ca="1">IFERROR(__xludf.DUMMYFUNCTION("""COMPUTED_VALUE"""),"W.M.H.A")</f>
        <v>W.M.H.A</v>
      </c>
      <c r="F1448" s="87" t="str">
        <f t="shared" ca="1" si="0"/>
        <v>2022</v>
      </c>
      <c r="G1448" s="1" t="str">
        <f ca="1">IFERROR(__xludf.DUMMYFUNCTION("""COMPUTED_VALUE"""),"Erie North Shore Minor Hockey")</f>
        <v>Erie North Shore Minor Hockey</v>
      </c>
      <c r="H1448" s="26">
        <f t="shared" ca="1" si="1"/>
        <v>25</v>
      </c>
      <c r="I1448" s="26">
        <f t="shared" ca="1" si="2"/>
        <v>1</v>
      </c>
      <c r="J1448" s="86">
        <f t="shared" ca="1" si="3"/>
        <v>44886</v>
      </c>
      <c r="R1448" s="26"/>
    </row>
    <row r="1449" spans="1:18" ht="15.75" customHeight="1">
      <c r="A1449" s="26">
        <f ca="1">IFERROR(__xludf.DUMMYFUNCTION("""COMPUTED_VALUE"""),16630)</f>
        <v>16630</v>
      </c>
      <c r="B1449" s="86">
        <f ca="1">IFERROR(__xludf.DUMMYFUNCTION("""COMPUTED_VALUE"""),44885.9098842592)</f>
        <v>44885.909884259199</v>
      </c>
      <c r="C1449" s="1" t="str">
        <f ca="1">IFERROR(__xludf.DUMMYFUNCTION("""COMPUTED_VALUE"""),"completed")</f>
        <v>completed</v>
      </c>
      <c r="D1449" s="26">
        <f ca="1">IFERROR(__xludf.DUMMYFUNCTION("""COMPUTED_VALUE"""),20)</f>
        <v>20</v>
      </c>
      <c r="E1449" s="1" t="str">
        <f ca="1">IFERROR(__xludf.DUMMYFUNCTION("""COMPUTED_VALUE"""),"W.M.H.A")</f>
        <v>W.M.H.A</v>
      </c>
      <c r="F1449" s="87" t="str">
        <f t="shared" ca="1" si="0"/>
        <v>2022</v>
      </c>
      <c r="G1449" s="1" t="str">
        <f ca="1">IFERROR(__xludf.DUMMYFUNCTION("""COMPUTED_VALUE"""),"Erie North Shore Minor Hockey")</f>
        <v>Erie North Shore Minor Hockey</v>
      </c>
      <c r="H1449" s="26">
        <f t="shared" ca="1" si="1"/>
        <v>20</v>
      </c>
      <c r="I1449" s="26">
        <f t="shared" ca="1" si="2"/>
        <v>1</v>
      </c>
      <c r="J1449" s="86">
        <f t="shared" ca="1" si="3"/>
        <v>44885</v>
      </c>
      <c r="R1449" s="26"/>
    </row>
    <row r="1450" spans="1:18" ht="15.75" customHeight="1">
      <c r="A1450" s="26">
        <f ca="1">IFERROR(__xludf.DUMMYFUNCTION("""COMPUTED_VALUE"""),16621)</f>
        <v>16621</v>
      </c>
      <c r="B1450" s="86">
        <f ca="1">IFERROR(__xludf.DUMMYFUNCTION("""COMPUTED_VALUE"""),44885.6595717592)</f>
        <v>44885.659571759199</v>
      </c>
      <c r="C1450" s="1" t="str">
        <f ca="1">IFERROR(__xludf.DUMMYFUNCTION("""COMPUTED_VALUE"""),"completed")</f>
        <v>completed</v>
      </c>
      <c r="D1450" s="26">
        <f ca="1">IFERROR(__xludf.DUMMYFUNCTION("""COMPUTED_VALUE"""),0)</f>
        <v>0</v>
      </c>
      <c r="E1450" s="1" t="str">
        <f ca="1">IFERROR(__xludf.DUMMYFUNCTION("""COMPUTED_VALUE"""),"W.M.H.A")</f>
        <v>W.M.H.A</v>
      </c>
      <c r="F1450" s="87" t="str">
        <f t="shared" ca="1" si="0"/>
        <v>2022</v>
      </c>
      <c r="G1450" s="1" t="str">
        <f ca="1">IFERROR(__xludf.DUMMYFUNCTION("""COMPUTED_VALUE"""),"Erie North Shore Minor Hockey")</f>
        <v>Erie North Shore Minor Hockey</v>
      </c>
      <c r="H1450" s="26">
        <f t="shared" ca="1" si="1"/>
        <v>0</v>
      </c>
      <c r="I1450" s="26">
        <f t="shared" ca="1" si="2"/>
        <v>1</v>
      </c>
      <c r="J1450" s="86">
        <f t="shared" ca="1" si="3"/>
        <v>44885</v>
      </c>
      <c r="R1450" s="26"/>
    </row>
    <row r="1451" spans="1:18" ht="15.75" customHeight="1">
      <c r="A1451" s="26">
        <f ca="1">IFERROR(__xludf.DUMMYFUNCTION("""COMPUTED_VALUE"""),16604)</f>
        <v>16604</v>
      </c>
      <c r="B1451" s="86">
        <f ca="1">IFERROR(__xludf.DUMMYFUNCTION("""COMPUTED_VALUE"""),44883.6161226851)</f>
        <v>44883.616122685104</v>
      </c>
      <c r="C1451" s="1" t="str">
        <f ca="1">IFERROR(__xludf.DUMMYFUNCTION("""COMPUTED_VALUE"""),"completed")</f>
        <v>completed</v>
      </c>
      <c r="D1451" s="26">
        <f ca="1">IFERROR(__xludf.DUMMYFUNCTION("""COMPUTED_VALUE"""),15)</f>
        <v>15</v>
      </c>
      <c r="E1451" s="1" t="str">
        <f ca="1">IFERROR(__xludf.DUMMYFUNCTION("""COMPUTED_VALUE"""),"W.M.H.A")</f>
        <v>W.M.H.A</v>
      </c>
      <c r="F1451" s="87" t="str">
        <f t="shared" ca="1" si="0"/>
        <v>2022</v>
      </c>
      <c r="G1451" s="1" t="str">
        <f ca="1">IFERROR(__xludf.DUMMYFUNCTION("""COMPUTED_VALUE"""),"Erie North Shore Minor Hockey")</f>
        <v>Erie North Shore Minor Hockey</v>
      </c>
      <c r="H1451" s="26">
        <f t="shared" ca="1" si="1"/>
        <v>15</v>
      </c>
      <c r="I1451" s="26">
        <f t="shared" ca="1" si="2"/>
        <v>1</v>
      </c>
      <c r="J1451" s="86">
        <f t="shared" ca="1" si="3"/>
        <v>44883</v>
      </c>
      <c r="R1451" s="26"/>
    </row>
    <row r="1452" spans="1:18" ht="15.75" customHeight="1">
      <c r="A1452" s="26">
        <f ca="1">IFERROR(__xludf.DUMMYFUNCTION("""COMPUTED_VALUE"""),16603)</f>
        <v>16603</v>
      </c>
      <c r="B1452" s="86">
        <f ca="1">IFERROR(__xludf.DUMMYFUNCTION("""COMPUTED_VALUE"""),44883.615162037)</f>
        <v>44883.615162037</v>
      </c>
      <c r="C1452" s="1" t="str">
        <f ca="1">IFERROR(__xludf.DUMMYFUNCTION("""COMPUTED_VALUE"""),"completed")</f>
        <v>completed</v>
      </c>
      <c r="D1452" s="26">
        <f ca="1">IFERROR(__xludf.DUMMYFUNCTION("""COMPUTED_VALUE"""),143)</f>
        <v>143</v>
      </c>
      <c r="E1452" s="1" t="str">
        <f ca="1">IFERROR(__xludf.DUMMYFUNCTION("""COMPUTED_VALUE"""),"W.M.H.A")</f>
        <v>W.M.H.A</v>
      </c>
      <c r="F1452" s="87" t="str">
        <f t="shared" ca="1" si="0"/>
        <v>2022</v>
      </c>
      <c r="G1452" s="1" t="str">
        <f ca="1">IFERROR(__xludf.DUMMYFUNCTION("""COMPUTED_VALUE"""),"Erie North Shore Minor Hockey")</f>
        <v>Erie North Shore Minor Hockey</v>
      </c>
      <c r="H1452" s="26">
        <f t="shared" ca="1" si="1"/>
        <v>143</v>
      </c>
      <c r="I1452" s="26">
        <f t="shared" ca="1" si="2"/>
        <v>1</v>
      </c>
      <c r="J1452" s="86">
        <f t="shared" ca="1" si="3"/>
        <v>44883</v>
      </c>
      <c r="R1452" s="26"/>
    </row>
    <row r="1453" spans="1:18" ht="15.75" customHeight="1">
      <c r="A1453" s="26">
        <f ca="1">IFERROR(__xludf.DUMMYFUNCTION("""COMPUTED_VALUE"""),16602)</f>
        <v>16602</v>
      </c>
      <c r="B1453" s="86">
        <f ca="1">IFERROR(__xludf.DUMMYFUNCTION("""COMPUTED_VALUE"""),44883.5905208333)</f>
        <v>44883.590520833299</v>
      </c>
      <c r="C1453" s="1" t="str">
        <f ca="1">IFERROR(__xludf.DUMMYFUNCTION("""COMPUTED_VALUE"""),"completed")</f>
        <v>completed</v>
      </c>
      <c r="D1453" s="26">
        <f ca="1">IFERROR(__xludf.DUMMYFUNCTION("""COMPUTED_VALUE"""),60)</f>
        <v>60</v>
      </c>
      <c r="E1453" s="1" t="str">
        <f ca="1">IFERROR(__xludf.DUMMYFUNCTION("""COMPUTED_VALUE"""),"Sun County Panthers Hockey")</f>
        <v>Sun County Panthers Hockey</v>
      </c>
      <c r="F1453" s="87" t="str">
        <f t="shared" ca="1" si="0"/>
        <v>2022</v>
      </c>
      <c r="G1453" s="1" t="str">
        <f ca="1">IFERROR(__xludf.DUMMYFUNCTION("""COMPUTED_VALUE"""),"Erie North Shore Minor Hockey")</f>
        <v>Erie North Shore Minor Hockey</v>
      </c>
      <c r="H1453" s="26">
        <f t="shared" ca="1" si="1"/>
        <v>60</v>
      </c>
      <c r="I1453" s="26">
        <f t="shared" ca="1" si="2"/>
        <v>1</v>
      </c>
      <c r="J1453" s="86">
        <f t="shared" ca="1" si="3"/>
        <v>44883</v>
      </c>
      <c r="R1453" s="26"/>
    </row>
    <row r="1454" spans="1:18" ht="15.75" customHeight="1">
      <c r="A1454" s="26">
        <f ca="1">IFERROR(__xludf.DUMMYFUNCTION("""COMPUTED_VALUE"""),16564)</f>
        <v>16564</v>
      </c>
      <c r="B1454" s="86">
        <f ca="1">IFERROR(__xludf.DUMMYFUNCTION("""COMPUTED_VALUE"""),44882.9969328703)</f>
        <v>44882.996932870301</v>
      </c>
      <c r="C1454" s="1" t="str">
        <f ca="1">IFERROR(__xludf.DUMMYFUNCTION("""COMPUTED_VALUE"""),"completed")</f>
        <v>completed</v>
      </c>
      <c r="D1454" s="26">
        <f ca="1">IFERROR(__xludf.DUMMYFUNCTION("""COMPUTED_VALUE"""),35)</f>
        <v>35</v>
      </c>
      <c r="E1454" s="1" t="str">
        <f ca="1">IFERROR(__xludf.DUMMYFUNCTION("""COMPUTED_VALUE"""),"Lakeshore Lightning Hockey")</f>
        <v>Lakeshore Lightning Hockey</v>
      </c>
      <c r="F1454" s="87" t="str">
        <f t="shared" ca="1" si="0"/>
        <v>2022</v>
      </c>
      <c r="G1454" s="1" t="str">
        <f ca="1">IFERROR(__xludf.DUMMYFUNCTION("""COMPUTED_VALUE"""),"Erie North Shore Minor Hockey")</f>
        <v>Erie North Shore Minor Hockey</v>
      </c>
      <c r="H1454" s="26">
        <f t="shared" ca="1" si="1"/>
        <v>35</v>
      </c>
      <c r="I1454" s="26">
        <f t="shared" ca="1" si="2"/>
        <v>1</v>
      </c>
      <c r="J1454" s="86">
        <f t="shared" ca="1" si="3"/>
        <v>44882</v>
      </c>
      <c r="R1454" s="26"/>
    </row>
    <row r="1455" spans="1:18" ht="15.75" customHeight="1">
      <c r="A1455" s="26">
        <f ca="1">IFERROR(__xludf.DUMMYFUNCTION("""COMPUTED_VALUE"""),16560)</f>
        <v>16560</v>
      </c>
      <c r="B1455" s="86">
        <f ca="1">IFERROR(__xludf.DUMMYFUNCTION("""COMPUTED_VALUE"""),44881.7752777777)</f>
        <v>44881.775277777699</v>
      </c>
      <c r="C1455" s="1" t="str">
        <f ca="1">IFERROR(__xludf.DUMMYFUNCTION("""COMPUTED_VALUE"""),"completed")</f>
        <v>completed</v>
      </c>
      <c r="D1455" s="26">
        <f ca="1">IFERROR(__xludf.DUMMYFUNCTION("""COMPUTED_VALUE"""),83)</f>
        <v>83</v>
      </c>
      <c r="E1455" s="1" t="str">
        <f ca="1">IFERROR(__xludf.DUMMYFUNCTION("""COMPUTED_VALUE"""),"Sun County Panthers Hockey")</f>
        <v>Sun County Panthers Hockey</v>
      </c>
      <c r="F1455" s="87" t="str">
        <f t="shared" ca="1" si="0"/>
        <v>2022</v>
      </c>
      <c r="G1455" s="1" t="str">
        <f ca="1">IFERROR(__xludf.DUMMYFUNCTION("""COMPUTED_VALUE"""),"Erie North Shore Minor Hockey")</f>
        <v>Erie North Shore Minor Hockey</v>
      </c>
      <c r="H1455" s="26">
        <f t="shared" ca="1" si="1"/>
        <v>83</v>
      </c>
      <c r="I1455" s="26">
        <f t="shared" ca="1" si="2"/>
        <v>1</v>
      </c>
      <c r="J1455" s="86">
        <f t="shared" ca="1" si="3"/>
        <v>44881</v>
      </c>
      <c r="R1455" s="26"/>
    </row>
    <row r="1456" spans="1:18" ht="15.75" customHeight="1">
      <c r="A1456" s="26">
        <f ca="1">IFERROR(__xludf.DUMMYFUNCTION("""COMPUTED_VALUE"""),16554)</f>
        <v>16554</v>
      </c>
      <c r="B1456" s="86">
        <f ca="1">IFERROR(__xludf.DUMMYFUNCTION("""COMPUTED_VALUE"""),44880.1631018518)</f>
        <v>44880.163101851802</v>
      </c>
      <c r="C1456" s="1" t="str">
        <f ca="1">IFERROR(__xludf.DUMMYFUNCTION("""COMPUTED_VALUE"""),"completed")</f>
        <v>completed</v>
      </c>
      <c r="D1456" s="26">
        <f ca="1">IFERROR(__xludf.DUMMYFUNCTION("""COMPUTED_VALUE"""),0)</f>
        <v>0</v>
      </c>
      <c r="E1456" s="1" t="str">
        <f ca="1">IFERROR(__xludf.DUMMYFUNCTION("""COMPUTED_VALUE"""),"W.M.H.A")</f>
        <v>W.M.H.A</v>
      </c>
      <c r="F1456" s="87" t="str">
        <f t="shared" ca="1" si="0"/>
        <v>2022</v>
      </c>
      <c r="G1456" s="1" t="str">
        <f ca="1">IFERROR(__xludf.DUMMYFUNCTION("""COMPUTED_VALUE"""),"Erie North Shore Minor Hockey")</f>
        <v>Erie North Shore Minor Hockey</v>
      </c>
      <c r="H1456" s="26">
        <f t="shared" ca="1" si="1"/>
        <v>0</v>
      </c>
      <c r="I1456" s="26">
        <f t="shared" ca="1" si="2"/>
        <v>1</v>
      </c>
      <c r="J1456" s="86">
        <f t="shared" ca="1" si="3"/>
        <v>44880</v>
      </c>
      <c r="R1456" s="26"/>
    </row>
    <row r="1457" spans="1:18" ht="15.75" customHeight="1">
      <c r="A1457" s="26">
        <f ca="1">IFERROR(__xludf.DUMMYFUNCTION("""COMPUTED_VALUE"""),16552)</f>
        <v>16552</v>
      </c>
      <c r="B1457" s="86">
        <f ca="1">IFERROR(__xludf.DUMMYFUNCTION("""COMPUTED_VALUE"""),44878.2043402777)</f>
        <v>44878.204340277698</v>
      </c>
      <c r="C1457" s="1" t="str">
        <f ca="1">IFERROR(__xludf.DUMMYFUNCTION("""COMPUTED_VALUE"""),"completed")</f>
        <v>completed</v>
      </c>
      <c r="D1457" s="26">
        <f ca="1">IFERROR(__xludf.DUMMYFUNCTION("""COMPUTED_VALUE"""),47)</f>
        <v>47</v>
      </c>
      <c r="E1457" s="1" t="str">
        <f ca="1">IFERROR(__xludf.DUMMYFUNCTION("""COMPUTED_VALUE"""),"W.M.F.A Football")</f>
        <v>W.M.F.A Football</v>
      </c>
      <c r="F1457" s="87" t="str">
        <f t="shared" ca="1" si="0"/>
        <v>2022</v>
      </c>
      <c r="G1457" s="1" t="str">
        <f ca="1">IFERROR(__xludf.DUMMYFUNCTION("""COMPUTED_VALUE"""),"Erie North Shore Minor Hockey")</f>
        <v>Erie North Shore Minor Hockey</v>
      </c>
      <c r="H1457" s="26">
        <f t="shared" ca="1" si="1"/>
        <v>47</v>
      </c>
      <c r="I1457" s="26">
        <f t="shared" ca="1" si="2"/>
        <v>1</v>
      </c>
      <c r="J1457" s="86">
        <f t="shared" ca="1" si="3"/>
        <v>44878</v>
      </c>
      <c r="R1457" s="26"/>
    </row>
    <row r="1458" spans="1:18" ht="15.75" customHeight="1">
      <c r="A1458" s="26">
        <f ca="1">IFERROR(__xludf.DUMMYFUNCTION("""COMPUTED_VALUE"""),16546)</f>
        <v>16546</v>
      </c>
      <c r="B1458" s="86">
        <f ca="1">IFERROR(__xludf.DUMMYFUNCTION("""COMPUTED_VALUE"""),44877.8097337963)</f>
        <v>44877.809733796297</v>
      </c>
      <c r="C1458" s="1" t="str">
        <f ca="1">IFERROR(__xludf.DUMMYFUNCTION("""COMPUTED_VALUE"""),"completed")</f>
        <v>completed</v>
      </c>
      <c r="D1458" s="26">
        <f ca="1">IFERROR(__xludf.DUMMYFUNCTION("""COMPUTED_VALUE"""),25)</f>
        <v>25</v>
      </c>
      <c r="E1458" s="1" t="str">
        <f ca="1">IFERROR(__xludf.DUMMYFUNCTION("""COMPUTED_VALUE"""),"Lakeshore Lightning Hockey")</f>
        <v>Lakeshore Lightning Hockey</v>
      </c>
      <c r="F1458" s="87" t="str">
        <f t="shared" ca="1" si="0"/>
        <v>2022</v>
      </c>
      <c r="G1458" s="1" t="str">
        <f ca="1">IFERROR(__xludf.DUMMYFUNCTION("""COMPUTED_VALUE"""),"Erie North Shore Minor Hockey")</f>
        <v>Erie North Shore Minor Hockey</v>
      </c>
      <c r="H1458" s="26">
        <f t="shared" ca="1" si="1"/>
        <v>25</v>
      </c>
      <c r="I1458" s="26">
        <f t="shared" ca="1" si="2"/>
        <v>1</v>
      </c>
      <c r="J1458" s="86">
        <f t="shared" ca="1" si="3"/>
        <v>44877</v>
      </c>
      <c r="R1458" s="26"/>
    </row>
    <row r="1459" spans="1:18" ht="15.75" customHeight="1">
      <c r="A1459" s="26">
        <f ca="1">IFERROR(__xludf.DUMMYFUNCTION("""COMPUTED_VALUE"""),16545)</f>
        <v>16545</v>
      </c>
      <c r="B1459" s="86">
        <f ca="1">IFERROR(__xludf.DUMMYFUNCTION("""COMPUTED_VALUE"""),44877.8095138888)</f>
        <v>44877.809513888802</v>
      </c>
      <c r="C1459" s="1" t="str">
        <f ca="1">IFERROR(__xludf.DUMMYFUNCTION("""COMPUTED_VALUE"""),"completed")</f>
        <v>completed</v>
      </c>
      <c r="D1459" s="26">
        <f ca="1">IFERROR(__xludf.DUMMYFUNCTION("""COMPUTED_VALUE"""),25)</f>
        <v>25</v>
      </c>
      <c r="E1459" s="1" t="str">
        <f ca="1">IFERROR(__xludf.DUMMYFUNCTION("""COMPUTED_VALUE"""),"Lakeshore Lightning Hockey")</f>
        <v>Lakeshore Lightning Hockey</v>
      </c>
      <c r="F1459" s="87" t="str">
        <f t="shared" ca="1" si="0"/>
        <v>2022</v>
      </c>
      <c r="G1459" s="1" t="str">
        <f ca="1">IFERROR(__xludf.DUMMYFUNCTION("""COMPUTED_VALUE"""),"Erie North Shore Minor Hockey")</f>
        <v>Erie North Shore Minor Hockey</v>
      </c>
      <c r="H1459" s="26">
        <f t="shared" ca="1" si="1"/>
        <v>25</v>
      </c>
      <c r="I1459" s="26">
        <f t="shared" ca="1" si="2"/>
        <v>1</v>
      </c>
      <c r="J1459" s="86">
        <f t="shared" ca="1" si="3"/>
        <v>44877</v>
      </c>
      <c r="R1459" s="26"/>
    </row>
    <row r="1460" spans="1:18" ht="15.75" customHeight="1">
      <c r="A1460" s="26">
        <f ca="1">IFERROR(__xludf.DUMMYFUNCTION("""COMPUTED_VALUE"""),16544)</f>
        <v>16544</v>
      </c>
      <c r="B1460" s="86">
        <f ca="1">IFERROR(__xludf.DUMMYFUNCTION("""COMPUTED_VALUE"""),44877.8030324074)</f>
        <v>44877.803032407399</v>
      </c>
      <c r="C1460" s="1" t="str">
        <f ca="1">IFERROR(__xludf.DUMMYFUNCTION("""COMPUTED_VALUE"""),"completed")</f>
        <v>completed</v>
      </c>
      <c r="D1460" s="26">
        <f ca="1">IFERROR(__xludf.DUMMYFUNCTION("""COMPUTED_VALUE"""),25)</f>
        <v>25</v>
      </c>
      <c r="E1460" s="1" t="str">
        <f ca="1">IFERROR(__xludf.DUMMYFUNCTION("""COMPUTED_VALUE"""),"Lakeshore Lightning Hockey")</f>
        <v>Lakeshore Lightning Hockey</v>
      </c>
      <c r="F1460" s="87" t="str">
        <f t="shared" ca="1" si="0"/>
        <v>2022</v>
      </c>
      <c r="G1460" s="1" t="str">
        <f ca="1">IFERROR(__xludf.DUMMYFUNCTION("""COMPUTED_VALUE"""),"Erie North Shore Minor Hockey")</f>
        <v>Erie North Shore Minor Hockey</v>
      </c>
      <c r="H1460" s="26">
        <f t="shared" ca="1" si="1"/>
        <v>25</v>
      </c>
      <c r="I1460" s="26">
        <f t="shared" ca="1" si="2"/>
        <v>1</v>
      </c>
      <c r="J1460" s="86">
        <f t="shared" ca="1" si="3"/>
        <v>44877</v>
      </c>
      <c r="R1460" s="26"/>
    </row>
    <row r="1461" spans="1:18" ht="15.75" customHeight="1">
      <c r="A1461" s="26">
        <f ca="1">IFERROR(__xludf.DUMMYFUNCTION("""COMPUTED_VALUE"""),16543)</f>
        <v>16543</v>
      </c>
      <c r="B1461" s="86">
        <f ca="1">IFERROR(__xludf.DUMMYFUNCTION("""COMPUTED_VALUE"""),44877.795787037)</f>
        <v>44877.795787037001</v>
      </c>
      <c r="C1461" s="1" t="str">
        <f ca="1">IFERROR(__xludf.DUMMYFUNCTION("""COMPUTED_VALUE"""),"completed")</f>
        <v>completed</v>
      </c>
      <c r="D1461" s="26">
        <f ca="1">IFERROR(__xludf.DUMMYFUNCTION("""COMPUTED_VALUE"""),25)</f>
        <v>25</v>
      </c>
      <c r="E1461" s="1" t="str">
        <f ca="1">IFERROR(__xludf.DUMMYFUNCTION("""COMPUTED_VALUE"""),"Lakeshore Lightning Hockey")</f>
        <v>Lakeshore Lightning Hockey</v>
      </c>
      <c r="F1461" s="87" t="str">
        <f t="shared" ca="1" si="0"/>
        <v>2022</v>
      </c>
      <c r="G1461" s="1" t="str">
        <f ca="1">IFERROR(__xludf.DUMMYFUNCTION("""COMPUTED_VALUE"""),"Erie North Shore Minor Hockey")</f>
        <v>Erie North Shore Minor Hockey</v>
      </c>
      <c r="H1461" s="26">
        <f t="shared" ca="1" si="1"/>
        <v>25</v>
      </c>
      <c r="I1461" s="26">
        <f t="shared" ca="1" si="2"/>
        <v>1</v>
      </c>
      <c r="J1461" s="86">
        <f t="shared" ca="1" si="3"/>
        <v>44877</v>
      </c>
      <c r="R1461" s="26"/>
    </row>
    <row r="1462" spans="1:18" ht="15.75" customHeight="1">
      <c r="A1462" s="26">
        <f ca="1">IFERROR(__xludf.DUMMYFUNCTION("""COMPUTED_VALUE"""),16542)</f>
        <v>16542</v>
      </c>
      <c r="B1462" s="86">
        <f ca="1">IFERROR(__xludf.DUMMYFUNCTION("""COMPUTED_VALUE"""),44877.7954976851)</f>
        <v>44877.795497685103</v>
      </c>
      <c r="C1462" s="1" t="str">
        <f ca="1">IFERROR(__xludf.DUMMYFUNCTION("""COMPUTED_VALUE"""),"completed")</f>
        <v>completed</v>
      </c>
      <c r="D1462" s="26">
        <f ca="1">IFERROR(__xludf.DUMMYFUNCTION("""COMPUTED_VALUE"""),46)</f>
        <v>46</v>
      </c>
      <c r="E1462" s="1" t="str">
        <f ca="1">IFERROR(__xludf.DUMMYFUNCTION("""COMPUTED_VALUE"""),"Lakeshore Lightning Hockey")</f>
        <v>Lakeshore Lightning Hockey</v>
      </c>
      <c r="F1462" s="87" t="str">
        <f t="shared" ca="1" si="0"/>
        <v>2022</v>
      </c>
      <c r="G1462" s="1" t="str">
        <f ca="1">IFERROR(__xludf.DUMMYFUNCTION("""COMPUTED_VALUE"""),"Erie North Shore Minor Hockey")</f>
        <v>Erie North Shore Minor Hockey</v>
      </c>
      <c r="H1462" s="26">
        <f t="shared" ca="1" si="1"/>
        <v>46</v>
      </c>
      <c r="I1462" s="26">
        <f t="shared" ca="1" si="2"/>
        <v>1</v>
      </c>
      <c r="J1462" s="86">
        <f t="shared" ca="1" si="3"/>
        <v>44877</v>
      </c>
      <c r="R1462" s="26"/>
    </row>
    <row r="1463" spans="1:18" ht="15.75" customHeight="1">
      <c r="A1463" s="26">
        <f ca="1">IFERROR(__xludf.DUMMYFUNCTION("""COMPUTED_VALUE"""),16541)</f>
        <v>16541</v>
      </c>
      <c r="B1463" s="86">
        <f ca="1">IFERROR(__xludf.DUMMYFUNCTION("""COMPUTED_VALUE"""),44877.7871759259)</f>
        <v>44877.7871759259</v>
      </c>
      <c r="C1463" s="1" t="str">
        <f ca="1">IFERROR(__xludf.DUMMYFUNCTION("""COMPUTED_VALUE"""),"completed")</f>
        <v>completed</v>
      </c>
      <c r="D1463" s="26">
        <f ca="1">IFERROR(__xludf.DUMMYFUNCTION("""COMPUTED_VALUE"""),25)</f>
        <v>25</v>
      </c>
      <c r="E1463" s="1" t="str">
        <f ca="1">IFERROR(__xludf.DUMMYFUNCTION("""COMPUTED_VALUE"""),"Lakeshore Lightning Hockey")</f>
        <v>Lakeshore Lightning Hockey</v>
      </c>
      <c r="F1463" s="87" t="str">
        <f t="shared" ca="1" si="0"/>
        <v>2022</v>
      </c>
      <c r="G1463" s="1" t="str">
        <f ca="1">IFERROR(__xludf.DUMMYFUNCTION("""COMPUTED_VALUE"""),"Erie North Shore Minor Hockey")</f>
        <v>Erie North Shore Minor Hockey</v>
      </c>
      <c r="H1463" s="26">
        <f t="shared" ca="1" si="1"/>
        <v>25</v>
      </c>
      <c r="I1463" s="26">
        <f t="shared" ca="1" si="2"/>
        <v>1</v>
      </c>
      <c r="J1463" s="86">
        <f t="shared" ca="1" si="3"/>
        <v>44877</v>
      </c>
      <c r="R1463" s="26"/>
    </row>
    <row r="1464" spans="1:18" ht="15.75" customHeight="1">
      <c r="A1464" s="26">
        <f ca="1">IFERROR(__xludf.DUMMYFUNCTION("""COMPUTED_VALUE"""),16540)</f>
        <v>16540</v>
      </c>
      <c r="B1464" s="86">
        <f ca="1">IFERROR(__xludf.DUMMYFUNCTION("""COMPUTED_VALUE"""),44877.7840856481)</f>
        <v>44877.784085648098</v>
      </c>
      <c r="C1464" s="1" t="str">
        <f ca="1">IFERROR(__xludf.DUMMYFUNCTION("""COMPUTED_VALUE"""),"completed")</f>
        <v>completed</v>
      </c>
      <c r="D1464" s="26">
        <f ca="1">IFERROR(__xludf.DUMMYFUNCTION("""COMPUTED_VALUE"""),35)</f>
        <v>35</v>
      </c>
      <c r="E1464" s="1" t="str">
        <f ca="1">IFERROR(__xludf.DUMMYFUNCTION("""COMPUTED_VALUE"""),"Lakeshore Lightning Hockey")</f>
        <v>Lakeshore Lightning Hockey</v>
      </c>
      <c r="F1464" s="87" t="str">
        <f t="shared" ca="1" si="0"/>
        <v>2022</v>
      </c>
      <c r="G1464" s="1" t="str">
        <f ca="1">IFERROR(__xludf.DUMMYFUNCTION("""COMPUTED_VALUE"""),"Erie North Shore Minor Hockey")</f>
        <v>Erie North Shore Minor Hockey</v>
      </c>
      <c r="H1464" s="26">
        <f t="shared" ca="1" si="1"/>
        <v>35</v>
      </c>
      <c r="I1464" s="26">
        <f t="shared" ca="1" si="2"/>
        <v>1</v>
      </c>
      <c r="J1464" s="86">
        <f t="shared" ca="1" si="3"/>
        <v>44877</v>
      </c>
      <c r="R1464" s="26"/>
    </row>
    <row r="1465" spans="1:18" ht="15.75" customHeight="1">
      <c r="A1465" s="26">
        <f ca="1">IFERROR(__xludf.DUMMYFUNCTION("""COMPUTED_VALUE"""),16539)</f>
        <v>16539</v>
      </c>
      <c r="B1465" s="86">
        <f ca="1">IFERROR(__xludf.DUMMYFUNCTION("""COMPUTED_VALUE"""),44877.7671180555)</f>
        <v>44877.767118055497</v>
      </c>
      <c r="C1465" s="1" t="str">
        <f ca="1">IFERROR(__xludf.DUMMYFUNCTION("""COMPUTED_VALUE"""),"completed")</f>
        <v>completed</v>
      </c>
      <c r="D1465" s="26">
        <f ca="1">IFERROR(__xludf.DUMMYFUNCTION("""COMPUTED_VALUE"""),25)</f>
        <v>25</v>
      </c>
      <c r="E1465" s="1" t="str">
        <f ca="1">IFERROR(__xludf.DUMMYFUNCTION("""COMPUTED_VALUE"""),"Lakeshore Lightning Hockey")</f>
        <v>Lakeshore Lightning Hockey</v>
      </c>
      <c r="F1465" s="87" t="str">
        <f t="shared" ca="1" si="0"/>
        <v>2022</v>
      </c>
      <c r="G1465" s="1" t="str">
        <f ca="1">IFERROR(__xludf.DUMMYFUNCTION("""COMPUTED_VALUE"""),"Erie North Shore Minor Hockey")</f>
        <v>Erie North Shore Minor Hockey</v>
      </c>
      <c r="H1465" s="26">
        <f t="shared" ca="1" si="1"/>
        <v>25</v>
      </c>
      <c r="I1465" s="26">
        <f t="shared" ca="1" si="2"/>
        <v>1</v>
      </c>
      <c r="J1465" s="86">
        <f t="shared" ca="1" si="3"/>
        <v>44877</v>
      </c>
      <c r="R1465" s="26"/>
    </row>
    <row r="1466" spans="1:18" ht="15.75" customHeight="1">
      <c r="A1466" s="26">
        <f ca="1">IFERROR(__xludf.DUMMYFUNCTION("""COMPUTED_VALUE"""),16538)</f>
        <v>16538</v>
      </c>
      <c r="B1466" s="86">
        <f ca="1">IFERROR(__xludf.DUMMYFUNCTION("""COMPUTED_VALUE"""),44877.7639583333)</f>
        <v>44877.7639583333</v>
      </c>
      <c r="C1466" s="1" t="str">
        <f ca="1">IFERROR(__xludf.DUMMYFUNCTION("""COMPUTED_VALUE"""),"completed")</f>
        <v>completed</v>
      </c>
      <c r="D1466" s="26">
        <f ca="1">IFERROR(__xludf.DUMMYFUNCTION("""COMPUTED_VALUE"""),25)</f>
        <v>25</v>
      </c>
      <c r="E1466" s="1" t="str">
        <f ca="1">IFERROR(__xludf.DUMMYFUNCTION("""COMPUTED_VALUE"""),"Lakeshore Lightning Hockey")</f>
        <v>Lakeshore Lightning Hockey</v>
      </c>
      <c r="F1466" s="87" t="str">
        <f t="shared" ca="1" si="0"/>
        <v>2022</v>
      </c>
      <c r="G1466" s="1" t="str">
        <f ca="1">IFERROR(__xludf.DUMMYFUNCTION("""COMPUTED_VALUE"""),"Erie North Shore Minor Hockey")</f>
        <v>Erie North Shore Minor Hockey</v>
      </c>
      <c r="H1466" s="26">
        <f t="shared" ca="1" si="1"/>
        <v>25</v>
      </c>
      <c r="I1466" s="26">
        <f t="shared" ca="1" si="2"/>
        <v>1</v>
      </c>
      <c r="J1466" s="86">
        <f t="shared" ca="1" si="3"/>
        <v>44877</v>
      </c>
      <c r="R1466" s="26"/>
    </row>
    <row r="1467" spans="1:18" ht="15.75" customHeight="1">
      <c r="A1467" s="26">
        <f ca="1">IFERROR(__xludf.DUMMYFUNCTION("""COMPUTED_VALUE"""),16537)</f>
        <v>16537</v>
      </c>
      <c r="B1467" s="86">
        <f ca="1">IFERROR(__xludf.DUMMYFUNCTION("""COMPUTED_VALUE"""),44877.7342592592)</f>
        <v>44877.734259259203</v>
      </c>
      <c r="C1467" s="1" t="str">
        <f ca="1">IFERROR(__xludf.DUMMYFUNCTION("""COMPUTED_VALUE"""),"completed")</f>
        <v>completed</v>
      </c>
      <c r="D1467" s="26">
        <f ca="1">IFERROR(__xludf.DUMMYFUNCTION("""COMPUTED_VALUE"""),24)</f>
        <v>24</v>
      </c>
      <c r="E1467" s="1" t="str">
        <f ca="1">IFERROR(__xludf.DUMMYFUNCTION("""COMPUTED_VALUE"""),"Lakeshore Lightning Hockey")</f>
        <v>Lakeshore Lightning Hockey</v>
      </c>
      <c r="F1467" s="87" t="str">
        <f t="shared" ca="1" si="0"/>
        <v>2022</v>
      </c>
      <c r="G1467" s="1" t="str">
        <f ca="1">IFERROR(__xludf.DUMMYFUNCTION("""COMPUTED_VALUE"""),"Erie North Shore Minor Hockey")</f>
        <v>Erie North Shore Minor Hockey</v>
      </c>
      <c r="H1467" s="26">
        <f t="shared" ca="1" si="1"/>
        <v>24</v>
      </c>
      <c r="I1467" s="26">
        <f t="shared" ca="1" si="2"/>
        <v>1</v>
      </c>
      <c r="J1467" s="86">
        <f t="shared" ca="1" si="3"/>
        <v>44877</v>
      </c>
      <c r="R1467" s="26"/>
    </row>
    <row r="1468" spans="1:18" ht="15.75" customHeight="1">
      <c r="A1468" s="26">
        <f ca="1">IFERROR(__xludf.DUMMYFUNCTION("""COMPUTED_VALUE"""),16536)</f>
        <v>16536</v>
      </c>
      <c r="B1468" s="86">
        <f ca="1">IFERROR(__xludf.DUMMYFUNCTION("""COMPUTED_VALUE"""),44877.6542129629)</f>
        <v>44877.654212962902</v>
      </c>
      <c r="C1468" s="1" t="str">
        <f ca="1">IFERROR(__xludf.DUMMYFUNCTION("""COMPUTED_VALUE"""),"completed")</f>
        <v>completed</v>
      </c>
      <c r="D1468" s="26">
        <f ca="1">IFERROR(__xludf.DUMMYFUNCTION("""COMPUTED_VALUE"""),49)</f>
        <v>49</v>
      </c>
      <c r="E1468" s="1" t="str">
        <f ca="1">IFERROR(__xludf.DUMMYFUNCTION("""COMPUTED_VALUE"""),"Lakeshore Lightning Hockey")</f>
        <v>Lakeshore Lightning Hockey</v>
      </c>
      <c r="F1468" s="87" t="str">
        <f t="shared" ca="1" si="0"/>
        <v>2022</v>
      </c>
      <c r="G1468" s="1" t="str">
        <f ca="1">IFERROR(__xludf.DUMMYFUNCTION("""COMPUTED_VALUE"""),"Erie North Shore Minor Hockey")</f>
        <v>Erie North Shore Minor Hockey</v>
      </c>
      <c r="H1468" s="26">
        <f t="shared" ca="1" si="1"/>
        <v>49</v>
      </c>
      <c r="I1468" s="26">
        <f t="shared" ca="1" si="2"/>
        <v>1</v>
      </c>
      <c r="J1468" s="86">
        <f t="shared" ca="1" si="3"/>
        <v>44877</v>
      </c>
      <c r="R1468" s="26"/>
    </row>
    <row r="1469" spans="1:18" ht="15.75" customHeight="1">
      <c r="A1469" s="26">
        <f ca="1">IFERROR(__xludf.DUMMYFUNCTION("""COMPUTED_VALUE"""),16535)</f>
        <v>16535</v>
      </c>
      <c r="B1469" s="86">
        <f ca="1">IFERROR(__xludf.DUMMYFUNCTION("""COMPUTED_VALUE"""),44877.6442361111)</f>
        <v>44877.644236111097</v>
      </c>
      <c r="C1469" s="1" t="str">
        <f ca="1">IFERROR(__xludf.DUMMYFUNCTION("""COMPUTED_VALUE"""),"completed")</f>
        <v>completed</v>
      </c>
      <c r="D1469" s="26">
        <f ca="1">IFERROR(__xludf.DUMMYFUNCTION("""COMPUTED_VALUE"""),25)</f>
        <v>25</v>
      </c>
      <c r="E1469" s="1" t="str">
        <f ca="1">IFERROR(__xludf.DUMMYFUNCTION("""COMPUTED_VALUE"""),"Lakeshore Lightning Hockey")</f>
        <v>Lakeshore Lightning Hockey</v>
      </c>
      <c r="F1469" s="87" t="str">
        <f t="shared" ca="1" si="0"/>
        <v>2022</v>
      </c>
      <c r="G1469" s="1" t="str">
        <f ca="1">IFERROR(__xludf.DUMMYFUNCTION("""COMPUTED_VALUE"""),"Erie North Shore Minor Hockey")</f>
        <v>Erie North Shore Minor Hockey</v>
      </c>
      <c r="H1469" s="26">
        <f t="shared" ca="1" si="1"/>
        <v>25</v>
      </c>
      <c r="I1469" s="26">
        <f t="shared" ca="1" si="2"/>
        <v>1</v>
      </c>
      <c r="J1469" s="86">
        <f t="shared" ca="1" si="3"/>
        <v>44877</v>
      </c>
      <c r="R1469" s="26"/>
    </row>
    <row r="1470" spans="1:18" ht="15.75" customHeight="1">
      <c r="A1470" s="26">
        <f ca="1">IFERROR(__xludf.DUMMYFUNCTION("""COMPUTED_VALUE"""),16534)</f>
        <v>16534</v>
      </c>
      <c r="B1470" s="86">
        <f ca="1">IFERROR(__xludf.DUMMYFUNCTION("""COMPUTED_VALUE"""),44877.2701967592)</f>
        <v>44877.2701967592</v>
      </c>
      <c r="C1470" s="1" t="str">
        <f ca="1">IFERROR(__xludf.DUMMYFUNCTION("""COMPUTED_VALUE"""),"completed")</f>
        <v>completed</v>
      </c>
      <c r="D1470" s="26">
        <f ca="1">IFERROR(__xludf.DUMMYFUNCTION("""COMPUTED_VALUE"""),25)</f>
        <v>25</v>
      </c>
      <c r="E1470" s="1" t="str">
        <f ca="1">IFERROR(__xludf.DUMMYFUNCTION("""COMPUTED_VALUE"""),"Lakeshore Lightning Hockey")</f>
        <v>Lakeshore Lightning Hockey</v>
      </c>
      <c r="F1470" s="87" t="str">
        <f t="shared" ca="1" si="0"/>
        <v>2022</v>
      </c>
      <c r="G1470" s="1" t="str">
        <f ca="1">IFERROR(__xludf.DUMMYFUNCTION("""COMPUTED_VALUE"""),"Erie North Shore Minor Hockey")</f>
        <v>Erie North Shore Minor Hockey</v>
      </c>
      <c r="H1470" s="26">
        <f t="shared" ca="1" si="1"/>
        <v>25</v>
      </c>
      <c r="I1470" s="26">
        <f t="shared" ca="1" si="2"/>
        <v>1</v>
      </c>
      <c r="J1470" s="86">
        <f t="shared" ca="1" si="3"/>
        <v>44877</v>
      </c>
      <c r="R1470" s="26"/>
    </row>
    <row r="1471" spans="1:18" ht="15.75" customHeight="1">
      <c r="A1471" s="26">
        <f ca="1">IFERROR(__xludf.DUMMYFUNCTION("""COMPUTED_VALUE"""),16458)</f>
        <v>16458</v>
      </c>
      <c r="B1471" s="86">
        <f ca="1">IFERROR(__xludf.DUMMYFUNCTION("""COMPUTED_VALUE"""),44876.8075462962)</f>
        <v>44876.807546296201</v>
      </c>
      <c r="C1471" s="1" t="str">
        <f ca="1">IFERROR(__xludf.DUMMYFUNCTION("""COMPUTED_VALUE"""),"completed")</f>
        <v>completed</v>
      </c>
      <c r="D1471" s="26">
        <f ca="1">IFERROR(__xludf.DUMMYFUNCTION("""COMPUTED_VALUE"""),40)</f>
        <v>40</v>
      </c>
      <c r="E1471" s="1" t="str">
        <f ca="1">IFERROR(__xludf.DUMMYFUNCTION("""COMPUTED_VALUE"""),"Lakeshore Lightning Hockey")</f>
        <v>Lakeshore Lightning Hockey</v>
      </c>
      <c r="F1471" s="87" t="str">
        <f t="shared" ca="1" si="0"/>
        <v>2022</v>
      </c>
      <c r="G1471" s="1" t="str">
        <f ca="1">IFERROR(__xludf.DUMMYFUNCTION("""COMPUTED_VALUE"""),"Erie North Shore Minor Hockey")</f>
        <v>Erie North Shore Minor Hockey</v>
      </c>
      <c r="H1471" s="26">
        <f t="shared" ca="1" si="1"/>
        <v>40</v>
      </c>
      <c r="I1471" s="26">
        <f t="shared" ca="1" si="2"/>
        <v>1</v>
      </c>
      <c r="J1471" s="86">
        <f t="shared" ca="1" si="3"/>
        <v>44876</v>
      </c>
      <c r="R1471" s="26"/>
    </row>
    <row r="1472" spans="1:18" ht="15.75" customHeight="1">
      <c r="A1472" s="26">
        <f ca="1">IFERROR(__xludf.DUMMYFUNCTION("""COMPUTED_VALUE"""),16444)</f>
        <v>16444</v>
      </c>
      <c r="B1472" s="86">
        <f ca="1">IFERROR(__xludf.DUMMYFUNCTION("""COMPUTED_VALUE"""),44875.8023958333)</f>
        <v>44875.8023958333</v>
      </c>
      <c r="C1472" s="1" t="str">
        <f ca="1">IFERROR(__xludf.DUMMYFUNCTION("""COMPUTED_VALUE"""),"completed")</f>
        <v>completed</v>
      </c>
      <c r="D1472" s="26">
        <f ca="1">IFERROR(__xludf.DUMMYFUNCTION("""COMPUTED_VALUE"""),25)</f>
        <v>25</v>
      </c>
      <c r="E1472" s="1" t="str">
        <f ca="1">IFERROR(__xludf.DUMMYFUNCTION("""COMPUTED_VALUE"""),"Lakeshore Lightning Hockey")</f>
        <v>Lakeshore Lightning Hockey</v>
      </c>
      <c r="F1472" s="87" t="str">
        <f t="shared" ca="1" si="0"/>
        <v>2022</v>
      </c>
      <c r="G1472" s="1" t="str">
        <f ca="1">IFERROR(__xludf.DUMMYFUNCTION("""COMPUTED_VALUE"""),"Erie North Shore Minor Hockey")</f>
        <v>Erie North Shore Minor Hockey</v>
      </c>
      <c r="H1472" s="26">
        <f t="shared" ca="1" si="1"/>
        <v>25</v>
      </c>
      <c r="I1472" s="26">
        <f t="shared" ca="1" si="2"/>
        <v>1</v>
      </c>
      <c r="J1472" s="86">
        <f t="shared" ca="1" si="3"/>
        <v>44875</v>
      </c>
      <c r="R1472" s="26"/>
    </row>
    <row r="1473" spans="1:18" ht="15.75" customHeight="1">
      <c r="A1473" s="26">
        <f ca="1">IFERROR(__xludf.DUMMYFUNCTION("""COMPUTED_VALUE"""),16443)</f>
        <v>16443</v>
      </c>
      <c r="B1473" s="86">
        <f ca="1">IFERROR(__xludf.DUMMYFUNCTION("""COMPUTED_VALUE"""),44875.8006597222)</f>
        <v>44875.800659722197</v>
      </c>
      <c r="C1473" s="1" t="str">
        <f ca="1">IFERROR(__xludf.DUMMYFUNCTION("""COMPUTED_VALUE"""),"completed")</f>
        <v>completed</v>
      </c>
      <c r="D1473" s="26">
        <f ca="1">IFERROR(__xludf.DUMMYFUNCTION("""COMPUTED_VALUE"""),25)</f>
        <v>25</v>
      </c>
      <c r="E1473" s="1" t="str">
        <f ca="1">IFERROR(__xludf.DUMMYFUNCTION("""COMPUTED_VALUE"""),"Lakeshore Lightning Hockey")</f>
        <v>Lakeshore Lightning Hockey</v>
      </c>
      <c r="F1473" s="87" t="str">
        <f t="shared" ca="1" si="0"/>
        <v>2022</v>
      </c>
      <c r="G1473" s="1" t="str">
        <f ca="1">IFERROR(__xludf.DUMMYFUNCTION("""COMPUTED_VALUE"""),"Erie North Shore Minor Hockey")</f>
        <v>Erie North Shore Minor Hockey</v>
      </c>
      <c r="H1473" s="26">
        <f t="shared" ca="1" si="1"/>
        <v>25</v>
      </c>
      <c r="I1473" s="26">
        <f t="shared" ca="1" si="2"/>
        <v>1</v>
      </c>
      <c r="J1473" s="86">
        <f t="shared" ca="1" si="3"/>
        <v>44875</v>
      </c>
      <c r="R1473" s="26"/>
    </row>
    <row r="1474" spans="1:18" ht="15.75" customHeight="1">
      <c r="A1474" s="26">
        <f ca="1">IFERROR(__xludf.DUMMYFUNCTION("""COMPUTED_VALUE"""),16442)</f>
        <v>16442</v>
      </c>
      <c r="B1474" s="86">
        <f ca="1">IFERROR(__xludf.DUMMYFUNCTION("""COMPUTED_VALUE"""),44875.502824074)</f>
        <v>44875.502824073999</v>
      </c>
      <c r="C1474" s="1" t="str">
        <f ca="1">IFERROR(__xludf.DUMMYFUNCTION("""COMPUTED_VALUE"""),"completed")</f>
        <v>completed</v>
      </c>
      <c r="D1474" s="26">
        <f ca="1">IFERROR(__xludf.DUMMYFUNCTION("""COMPUTED_VALUE"""),25)</f>
        <v>25</v>
      </c>
      <c r="E1474" s="1" t="str">
        <f ca="1">IFERROR(__xludf.DUMMYFUNCTION("""COMPUTED_VALUE"""),"Lakeshore Lightning Hockey")</f>
        <v>Lakeshore Lightning Hockey</v>
      </c>
      <c r="F1474" s="87" t="str">
        <f t="shared" ca="1" si="0"/>
        <v>2022</v>
      </c>
      <c r="G1474" s="1" t="str">
        <f ca="1">IFERROR(__xludf.DUMMYFUNCTION("""COMPUTED_VALUE"""),"Erie North Shore Minor Hockey")</f>
        <v>Erie North Shore Minor Hockey</v>
      </c>
      <c r="H1474" s="26">
        <f t="shared" ca="1" si="1"/>
        <v>25</v>
      </c>
      <c r="I1474" s="26">
        <f t="shared" ca="1" si="2"/>
        <v>1</v>
      </c>
      <c r="J1474" s="86">
        <f t="shared" ca="1" si="3"/>
        <v>44875</v>
      </c>
      <c r="R1474" s="26"/>
    </row>
    <row r="1475" spans="1:18" ht="15.75" customHeight="1">
      <c r="A1475" s="26">
        <f ca="1">IFERROR(__xludf.DUMMYFUNCTION("""COMPUTED_VALUE"""),16431)</f>
        <v>16431</v>
      </c>
      <c r="B1475" s="86">
        <f ca="1">IFERROR(__xludf.DUMMYFUNCTION("""COMPUTED_VALUE"""),44874.8909837963)</f>
        <v>44874.8909837963</v>
      </c>
      <c r="C1475" s="1" t="str">
        <f ca="1">IFERROR(__xludf.DUMMYFUNCTION("""COMPUTED_VALUE"""),"completed")</f>
        <v>completed</v>
      </c>
      <c r="D1475" s="26">
        <f ca="1">IFERROR(__xludf.DUMMYFUNCTION("""COMPUTED_VALUE"""),25)</f>
        <v>25</v>
      </c>
      <c r="E1475" s="1" t="str">
        <f ca="1">IFERROR(__xludf.DUMMYFUNCTION("""COMPUTED_VALUE"""),"Lakeshore Lightning Hockey")</f>
        <v>Lakeshore Lightning Hockey</v>
      </c>
      <c r="F1475" s="87" t="str">
        <f t="shared" ca="1" si="0"/>
        <v>2022</v>
      </c>
      <c r="G1475" s="1" t="str">
        <f ca="1">IFERROR(__xludf.DUMMYFUNCTION("""COMPUTED_VALUE"""),"Erie North Shore Minor Hockey")</f>
        <v>Erie North Shore Minor Hockey</v>
      </c>
      <c r="H1475" s="26">
        <f t="shared" ca="1" si="1"/>
        <v>25</v>
      </c>
      <c r="I1475" s="26">
        <f t="shared" ca="1" si="2"/>
        <v>1</v>
      </c>
      <c r="J1475" s="86">
        <f t="shared" ca="1" si="3"/>
        <v>44874</v>
      </c>
      <c r="R1475" s="26"/>
    </row>
    <row r="1476" spans="1:18" ht="15.75" customHeight="1">
      <c r="A1476" s="26">
        <f ca="1">IFERROR(__xludf.DUMMYFUNCTION("""COMPUTED_VALUE"""),16397)</f>
        <v>16397</v>
      </c>
      <c r="B1476" s="86">
        <f ca="1">IFERROR(__xludf.DUMMYFUNCTION("""COMPUTED_VALUE"""),44865.1146296296)</f>
        <v>44865.114629629599</v>
      </c>
      <c r="C1476" s="1" t="str">
        <f ca="1">IFERROR(__xludf.DUMMYFUNCTION("""COMPUTED_VALUE"""),"completed")</f>
        <v>completed</v>
      </c>
      <c r="D1476" s="26">
        <f ca="1">IFERROR(__xludf.DUMMYFUNCTION("""COMPUTED_VALUE"""),35)</f>
        <v>35</v>
      </c>
      <c r="E1476" s="1"/>
      <c r="F1476" s="87" t="str">
        <f t="shared" ca="1" si="0"/>
        <v>2022</v>
      </c>
      <c r="G1476" s="1" t="str">
        <f ca="1">IFERROR(__xludf.DUMMYFUNCTION("""COMPUTED_VALUE"""),"Erie North Shore Minor Hockey")</f>
        <v>Erie North Shore Minor Hockey</v>
      </c>
      <c r="H1476" s="26">
        <f t="shared" ca="1" si="1"/>
        <v>35</v>
      </c>
      <c r="I1476" s="26">
        <f t="shared" ca="1" si="2"/>
        <v>1</v>
      </c>
      <c r="J1476" s="86">
        <f t="shared" ca="1" si="3"/>
        <v>44865</v>
      </c>
      <c r="R1476" s="26"/>
    </row>
    <row r="1477" spans="1:18" ht="15.75" customHeight="1">
      <c r="A1477" s="26">
        <f ca="1">IFERROR(__xludf.DUMMYFUNCTION("""COMPUTED_VALUE"""),16395)</f>
        <v>16395</v>
      </c>
      <c r="B1477" s="86">
        <f ca="1">IFERROR(__xludf.DUMMYFUNCTION("""COMPUTED_VALUE"""),44864.8988310185)</f>
        <v>44864.898831018501</v>
      </c>
      <c r="C1477" s="1" t="str">
        <f ca="1">IFERROR(__xludf.DUMMYFUNCTION("""COMPUTED_VALUE"""),"completed")</f>
        <v>completed</v>
      </c>
      <c r="D1477" s="26">
        <f ca="1">IFERROR(__xludf.DUMMYFUNCTION("""COMPUTED_VALUE"""),18)</f>
        <v>18</v>
      </c>
      <c r="E1477" s="1"/>
      <c r="F1477" s="87" t="str">
        <f t="shared" ca="1" si="0"/>
        <v>2022</v>
      </c>
      <c r="G1477" s="1" t="str">
        <f ca="1">IFERROR(__xludf.DUMMYFUNCTION("""COMPUTED_VALUE"""),"Erie North Shore Minor Hockey")</f>
        <v>Erie North Shore Minor Hockey</v>
      </c>
      <c r="H1477" s="26">
        <f t="shared" ca="1" si="1"/>
        <v>18</v>
      </c>
      <c r="I1477" s="26">
        <f t="shared" ca="1" si="2"/>
        <v>1</v>
      </c>
      <c r="J1477" s="86">
        <f t="shared" ca="1" si="3"/>
        <v>44864</v>
      </c>
      <c r="R1477" s="26"/>
    </row>
    <row r="1478" spans="1:18" ht="15.75" customHeight="1">
      <c r="A1478" s="26">
        <f ca="1">IFERROR(__xludf.DUMMYFUNCTION("""COMPUTED_VALUE"""),16394)</f>
        <v>16394</v>
      </c>
      <c r="B1478" s="86">
        <f ca="1">IFERROR(__xludf.DUMMYFUNCTION("""COMPUTED_VALUE"""),44864.8334027777)</f>
        <v>44864.833402777702</v>
      </c>
      <c r="C1478" s="1" t="str">
        <f ca="1">IFERROR(__xludf.DUMMYFUNCTION("""COMPUTED_VALUE"""),"completed")</f>
        <v>completed</v>
      </c>
      <c r="D1478" s="26">
        <f ca="1">IFERROR(__xludf.DUMMYFUNCTION("""COMPUTED_VALUE"""),55)</f>
        <v>55</v>
      </c>
      <c r="E1478" s="1"/>
      <c r="F1478" s="87" t="str">
        <f t="shared" ca="1" si="0"/>
        <v>2022</v>
      </c>
      <c r="G1478" s="1" t="str">
        <f ca="1">IFERROR(__xludf.DUMMYFUNCTION("""COMPUTED_VALUE"""),"Erie North Shore Minor Hockey")</f>
        <v>Erie North Shore Minor Hockey</v>
      </c>
      <c r="H1478" s="26">
        <f t="shared" ca="1" si="1"/>
        <v>55</v>
      </c>
      <c r="I1478" s="26">
        <f t="shared" ca="1" si="2"/>
        <v>1</v>
      </c>
      <c r="J1478" s="86">
        <f t="shared" ca="1" si="3"/>
        <v>44864</v>
      </c>
      <c r="R1478" s="26"/>
    </row>
    <row r="1479" spans="1:18" ht="15.75" customHeight="1">
      <c r="A1479" s="26">
        <f ca="1">IFERROR(__xludf.DUMMYFUNCTION("""COMPUTED_VALUE"""),16393)</f>
        <v>16393</v>
      </c>
      <c r="B1479" s="86">
        <f ca="1">IFERROR(__xludf.DUMMYFUNCTION("""COMPUTED_VALUE"""),44864.8105439814)</f>
        <v>44864.810543981403</v>
      </c>
      <c r="C1479" s="1" t="str">
        <f ca="1">IFERROR(__xludf.DUMMYFUNCTION("""COMPUTED_VALUE"""),"completed")</f>
        <v>completed</v>
      </c>
      <c r="D1479" s="26">
        <f ca="1">IFERROR(__xludf.DUMMYFUNCTION("""COMPUTED_VALUE"""),47)</f>
        <v>47</v>
      </c>
      <c r="E1479" s="1"/>
      <c r="F1479" s="87" t="str">
        <f t="shared" ca="1" si="0"/>
        <v>2022</v>
      </c>
      <c r="G1479" s="1" t="str">
        <f ca="1">IFERROR(__xludf.DUMMYFUNCTION("""COMPUTED_VALUE"""),"Erie North Shore Minor Hockey")</f>
        <v>Erie North Shore Minor Hockey</v>
      </c>
      <c r="H1479" s="26">
        <f t="shared" ca="1" si="1"/>
        <v>47</v>
      </c>
      <c r="I1479" s="26">
        <f t="shared" ca="1" si="2"/>
        <v>1</v>
      </c>
      <c r="J1479" s="86">
        <f t="shared" ca="1" si="3"/>
        <v>44864</v>
      </c>
      <c r="R1479" s="26"/>
    </row>
    <row r="1480" spans="1:18" ht="15.75" customHeight="1">
      <c r="A1480" s="26">
        <f ca="1">IFERROR(__xludf.DUMMYFUNCTION("""COMPUTED_VALUE"""),16392)</f>
        <v>16392</v>
      </c>
      <c r="B1480" s="86">
        <f ca="1">IFERROR(__xludf.DUMMYFUNCTION("""COMPUTED_VALUE"""),44864.8095138888)</f>
        <v>44864.809513888802</v>
      </c>
      <c r="C1480" s="1" t="str">
        <f ca="1">IFERROR(__xludf.DUMMYFUNCTION("""COMPUTED_VALUE"""),"completed")</f>
        <v>completed</v>
      </c>
      <c r="D1480" s="26">
        <f ca="1">IFERROR(__xludf.DUMMYFUNCTION("""COMPUTED_VALUE"""),47)</f>
        <v>47</v>
      </c>
      <c r="E1480" s="1"/>
      <c r="F1480" s="87" t="str">
        <f t="shared" ca="1" si="0"/>
        <v>2022</v>
      </c>
      <c r="G1480" s="1" t="str">
        <f ca="1">IFERROR(__xludf.DUMMYFUNCTION("""COMPUTED_VALUE"""),"Erie North Shore Minor Hockey")</f>
        <v>Erie North Shore Minor Hockey</v>
      </c>
      <c r="H1480" s="26">
        <f t="shared" ca="1" si="1"/>
        <v>47</v>
      </c>
      <c r="I1480" s="26">
        <f t="shared" ca="1" si="2"/>
        <v>1</v>
      </c>
      <c r="J1480" s="86">
        <f t="shared" ca="1" si="3"/>
        <v>44864</v>
      </c>
      <c r="R1480" s="26"/>
    </row>
    <row r="1481" spans="1:18" ht="15.75" customHeight="1">
      <c r="A1481" s="26">
        <f ca="1">IFERROR(__xludf.DUMMYFUNCTION("""COMPUTED_VALUE"""),16391)</f>
        <v>16391</v>
      </c>
      <c r="B1481" s="86">
        <f ca="1">IFERROR(__xludf.DUMMYFUNCTION("""COMPUTED_VALUE"""),44864.7108217592)</f>
        <v>44864.710821759203</v>
      </c>
      <c r="C1481" s="1" t="str">
        <f ca="1">IFERROR(__xludf.DUMMYFUNCTION("""COMPUTED_VALUE"""),"completed")</f>
        <v>completed</v>
      </c>
      <c r="D1481" s="26">
        <f ca="1">IFERROR(__xludf.DUMMYFUNCTION("""COMPUTED_VALUE"""),15)</f>
        <v>15</v>
      </c>
      <c r="E1481" s="1"/>
      <c r="F1481" s="87" t="str">
        <f t="shared" ca="1" si="0"/>
        <v>2022</v>
      </c>
      <c r="G1481" s="1" t="str">
        <f ca="1">IFERROR(__xludf.DUMMYFUNCTION("""COMPUTED_VALUE"""),"Erie North Shore Minor Hockey")</f>
        <v>Erie North Shore Minor Hockey</v>
      </c>
      <c r="H1481" s="26">
        <f t="shared" ca="1" si="1"/>
        <v>15</v>
      </c>
      <c r="I1481" s="26">
        <f t="shared" ca="1" si="2"/>
        <v>1</v>
      </c>
      <c r="J1481" s="86">
        <f t="shared" ca="1" si="3"/>
        <v>44864</v>
      </c>
      <c r="R1481" s="26"/>
    </row>
    <row r="1482" spans="1:18" ht="15.75" customHeight="1">
      <c r="A1482" s="26">
        <f ca="1">IFERROR(__xludf.DUMMYFUNCTION("""COMPUTED_VALUE"""),16390)</f>
        <v>16390</v>
      </c>
      <c r="B1482" s="86">
        <f ca="1">IFERROR(__xludf.DUMMYFUNCTION("""COMPUTED_VALUE"""),44864.6842129629)</f>
        <v>44864.6842129629</v>
      </c>
      <c r="C1482" s="1" t="str">
        <f ca="1">IFERROR(__xludf.DUMMYFUNCTION("""COMPUTED_VALUE"""),"completed")</f>
        <v>completed</v>
      </c>
      <c r="D1482" s="26">
        <f ca="1">IFERROR(__xludf.DUMMYFUNCTION("""COMPUTED_VALUE"""),15)</f>
        <v>15</v>
      </c>
      <c r="E1482" s="1"/>
      <c r="F1482" s="87" t="str">
        <f t="shared" ca="1" si="0"/>
        <v>2022</v>
      </c>
      <c r="G1482" s="1" t="str">
        <f ca="1">IFERROR(__xludf.DUMMYFUNCTION("""COMPUTED_VALUE"""),"Erie North Shore Minor Hockey")</f>
        <v>Erie North Shore Minor Hockey</v>
      </c>
      <c r="H1482" s="26">
        <f t="shared" ca="1" si="1"/>
        <v>15</v>
      </c>
      <c r="I1482" s="26">
        <f t="shared" ca="1" si="2"/>
        <v>1</v>
      </c>
      <c r="J1482" s="86">
        <f t="shared" ca="1" si="3"/>
        <v>44864</v>
      </c>
      <c r="R1482" s="26"/>
    </row>
    <row r="1483" spans="1:18" ht="15.75" customHeight="1">
      <c r="A1483" s="26">
        <f ca="1">IFERROR(__xludf.DUMMYFUNCTION("""COMPUTED_VALUE"""),16388)</f>
        <v>16388</v>
      </c>
      <c r="B1483" s="86">
        <f ca="1">IFERROR(__xludf.DUMMYFUNCTION("""COMPUTED_VALUE"""),44863.6607407407)</f>
        <v>44863.660740740699</v>
      </c>
      <c r="C1483" s="1" t="str">
        <f ca="1">IFERROR(__xludf.DUMMYFUNCTION("""COMPUTED_VALUE"""),"completed")</f>
        <v>completed</v>
      </c>
      <c r="D1483" s="26">
        <f ca="1">IFERROR(__xludf.DUMMYFUNCTION("""COMPUTED_VALUE"""),24)</f>
        <v>24</v>
      </c>
      <c r="E1483" s="1"/>
      <c r="F1483" s="87" t="str">
        <f t="shared" ca="1" si="0"/>
        <v>2022</v>
      </c>
      <c r="G1483" s="1" t="str">
        <f ca="1">IFERROR(__xludf.DUMMYFUNCTION("""COMPUTED_VALUE"""),"Erie North Shore Minor Hockey")</f>
        <v>Erie North Shore Minor Hockey</v>
      </c>
      <c r="H1483" s="26">
        <f t="shared" ca="1" si="1"/>
        <v>24</v>
      </c>
      <c r="I1483" s="26">
        <f t="shared" ca="1" si="2"/>
        <v>1</v>
      </c>
      <c r="J1483" s="86">
        <f t="shared" ca="1" si="3"/>
        <v>44863</v>
      </c>
      <c r="R1483" s="26"/>
    </row>
    <row r="1484" spans="1:18" ht="15.75" customHeight="1">
      <c r="A1484" s="26">
        <f ca="1">IFERROR(__xludf.DUMMYFUNCTION("""COMPUTED_VALUE"""),16387)</f>
        <v>16387</v>
      </c>
      <c r="B1484" s="86">
        <f ca="1">IFERROR(__xludf.DUMMYFUNCTION("""COMPUTED_VALUE"""),44863.603287037)</f>
        <v>44863.603287037004</v>
      </c>
      <c r="C1484" s="1" t="str">
        <f ca="1">IFERROR(__xludf.DUMMYFUNCTION("""COMPUTED_VALUE"""),"completed")</f>
        <v>completed</v>
      </c>
      <c r="D1484" s="26">
        <f ca="1">IFERROR(__xludf.DUMMYFUNCTION("""COMPUTED_VALUE"""),55)</f>
        <v>55</v>
      </c>
      <c r="E1484" s="1"/>
      <c r="F1484" s="87" t="str">
        <f t="shared" ca="1" si="0"/>
        <v>2022</v>
      </c>
      <c r="G1484" s="1" t="str">
        <f ca="1">IFERROR(__xludf.DUMMYFUNCTION("""COMPUTED_VALUE"""),"Erie North Shore Minor Hockey")</f>
        <v>Erie North Shore Minor Hockey</v>
      </c>
      <c r="H1484" s="26">
        <f t="shared" ca="1" si="1"/>
        <v>55</v>
      </c>
      <c r="I1484" s="26">
        <f t="shared" ca="1" si="2"/>
        <v>1</v>
      </c>
      <c r="J1484" s="86">
        <f t="shared" ca="1" si="3"/>
        <v>44863</v>
      </c>
      <c r="R1484" s="26"/>
    </row>
    <row r="1485" spans="1:18" ht="15.75" customHeight="1">
      <c r="A1485" s="26">
        <f ca="1">IFERROR(__xludf.DUMMYFUNCTION("""COMPUTED_VALUE"""),16386)</f>
        <v>16386</v>
      </c>
      <c r="B1485" s="86">
        <f ca="1">IFERROR(__xludf.DUMMYFUNCTION("""COMPUTED_VALUE"""),44863.0983680555)</f>
        <v>44863.0983680555</v>
      </c>
      <c r="C1485" s="1" t="str">
        <f ca="1">IFERROR(__xludf.DUMMYFUNCTION("""COMPUTED_VALUE"""),"completed")</f>
        <v>completed</v>
      </c>
      <c r="D1485" s="26">
        <f ca="1">IFERROR(__xludf.DUMMYFUNCTION("""COMPUTED_VALUE"""),37)</f>
        <v>37</v>
      </c>
      <c r="E1485" s="1"/>
      <c r="F1485" s="87" t="str">
        <f t="shared" ca="1" si="0"/>
        <v>2022</v>
      </c>
      <c r="G1485" s="1" t="str">
        <f ca="1">IFERROR(__xludf.DUMMYFUNCTION("""COMPUTED_VALUE"""),"Erie North Shore Minor Hockey")</f>
        <v>Erie North Shore Minor Hockey</v>
      </c>
      <c r="H1485" s="26">
        <f t="shared" ca="1" si="1"/>
        <v>37</v>
      </c>
      <c r="I1485" s="26">
        <f t="shared" ca="1" si="2"/>
        <v>1</v>
      </c>
      <c r="J1485" s="86">
        <f t="shared" ca="1" si="3"/>
        <v>44863</v>
      </c>
      <c r="R1485" s="26"/>
    </row>
    <row r="1486" spans="1:18" ht="15.75" customHeight="1">
      <c r="A1486" s="26">
        <f ca="1">IFERROR(__xludf.DUMMYFUNCTION("""COMPUTED_VALUE"""),16385)</f>
        <v>16385</v>
      </c>
      <c r="B1486" s="86">
        <f ca="1">IFERROR(__xludf.DUMMYFUNCTION("""COMPUTED_VALUE"""),44862.0356018518)</f>
        <v>44862.0356018518</v>
      </c>
      <c r="C1486" s="1" t="str">
        <f ca="1">IFERROR(__xludf.DUMMYFUNCTION("""COMPUTED_VALUE"""),"completed")</f>
        <v>completed</v>
      </c>
      <c r="D1486" s="26">
        <f ca="1">IFERROR(__xludf.DUMMYFUNCTION("""COMPUTED_VALUE"""),55)</f>
        <v>55</v>
      </c>
      <c r="E1486" s="1"/>
      <c r="F1486" s="87" t="str">
        <f t="shared" ca="1" si="0"/>
        <v>2022</v>
      </c>
      <c r="G1486" s="1" t="str">
        <f ca="1">IFERROR(__xludf.DUMMYFUNCTION("""COMPUTED_VALUE"""),"Erie North Shore Minor Hockey")</f>
        <v>Erie North Shore Minor Hockey</v>
      </c>
      <c r="H1486" s="26">
        <f t="shared" ca="1" si="1"/>
        <v>55</v>
      </c>
      <c r="I1486" s="26">
        <f t="shared" ca="1" si="2"/>
        <v>1</v>
      </c>
      <c r="J1486" s="86">
        <f t="shared" ca="1" si="3"/>
        <v>44862</v>
      </c>
      <c r="R1486" s="26"/>
    </row>
    <row r="1487" spans="1:18" ht="15.75" customHeight="1">
      <c r="A1487" s="26">
        <f ca="1">IFERROR(__xludf.DUMMYFUNCTION("""COMPUTED_VALUE"""),16384)</f>
        <v>16384</v>
      </c>
      <c r="B1487" s="86">
        <f ca="1">IFERROR(__xludf.DUMMYFUNCTION("""COMPUTED_VALUE"""),44862.0256597222)</f>
        <v>44862.025659722203</v>
      </c>
      <c r="C1487" s="1" t="str">
        <f ca="1">IFERROR(__xludf.DUMMYFUNCTION("""COMPUTED_VALUE"""),"completed")</f>
        <v>completed</v>
      </c>
      <c r="D1487" s="26">
        <f ca="1">IFERROR(__xludf.DUMMYFUNCTION("""COMPUTED_VALUE"""),18)</f>
        <v>18</v>
      </c>
      <c r="E1487" s="1"/>
      <c r="F1487" s="87" t="str">
        <f t="shared" ca="1" si="0"/>
        <v>2022</v>
      </c>
      <c r="G1487" s="1" t="str">
        <f ca="1">IFERROR(__xludf.DUMMYFUNCTION("""COMPUTED_VALUE"""),"Erie North Shore Minor Hockey")</f>
        <v>Erie North Shore Minor Hockey</v>
      </c>
      <c r="H1487" s="26">
        <f t="shared" ca="1" si="1"/>
        <v>18</v>
      </c>
      <c r="I1487" s="26">
        <f t="shared" ca="1" si="2"/>
        <v>1</v>
      </c>
      <c r="J1487" s="86">
        <f t="shared" ca="1" si="3"/>
        <v>44862</v>
      </c>
      <c r="R1487" s="26"/>
    </row>
    <row r="1488" spans="1:18" ht="15.75" customHeight="1">
      <c r="A1488" s="26">
        <f ca="1">IFERROR(__xludf.DUMMYFUNCTION("""COMPUTED_VALUE"""),16383)</f>
        <v>16383</v>
      </c>
      <c r="B1488" s="86">
        <f ca="1">IFERROR(__xludf.DUMMYFUNCTION("""COMPUTED_VALUE"""),44861.9773032407)</f>
        <v>44861.977303240703</v>
      </c>
      <c r="C1488" s="1" t="str">
        <f ca="1">IFERROR(__xludf.DUMMYFUNCTION("""COMPUTED_VALUE"""),"completed")</f>
        <v>completed</v>
      </c>
      <c r="D1488" s="26">
        <f ca="1">IFERROR(__xludf.DUMMYFUNCTION("""COMPUTED_VALUE"""),81)</f>
        <v>81</v>
      </c>
      <c r="E1488" s="1"/>
      <c r="F1488" s="87" t="str">
        <f t="shared" ca="1" si="0"/>
        <v>2022</v>
      </c>
      <c r="G1488" s="1" t="str">
        <f ca="1">IFERROR(__xludf.DUMMYFUNCTION("""COMPUTED_VALUE"""),"Erie North Shore Minor Hockey")</f>
        <v>Erie North Shore Minor Hockey</v>
      </c>
      <c r="H1488" s="26">
        <f t="shared" ca="1" si="1"/>
        <v>81</v>
      </c>
      <c r="I1488" s="26">
        <f t="shared" ca="1" si="2"/>
        <v>1</v>
      </c>
      <c r="J1488" s="86">
        <f t="shared" ca="1" si="3"/>
        <v>44861</v>
      </c>
      <c r="R1488" s="26"/>
    </row>
    <row r="1489" spans="1:18" ht="15.75" customHeight="1">
      <c r="A1489" s="26">
        <f ca="1">IFERROR(__xludf.DUMMYFUNCTION("""COMPUTED_VALUE"""),16382)</f>
        <v>16382</v>
      </c>
      <c r="B1489" s="86">
        <f ca="1">IFERROR(__xludf.DUMMYFUNCTION("""COMPUTED_VALUE"""),44861.9634027777)</f>
        <v>44861.963402777699</v>
      </c>
      <c r="C1489" s="1" t="str">
        <f ca="1">IFERROR(__xludf.DUMMYFUNCTION("""COMPUTED_VALUE"""),"completed")</f>
        <v>completed</v>
      </c>
      <c r="D1489" s="26">
        <f ca="1">IFERROR(__xludf.DUMMYFUNCTION("""COMPUTED_VALUE"""),43)</f>
        <v>43</v>
      </c>
      <c r="E1489" s="1"/>
      <c r="F1489" s="87" t="str">
        <f t="shared" ca="1" si="0"/>
        <v>2022</v>
      </c>
      <c r="G1489" s="1" t="str">
        <f ca="1">IFERROR(__xludf.DUMMYFUNCTION("""COMPUTED_VALUE"""),"Erie North Shore Minor Hockey")</f>
        <v>Erie North Shore Minor Hockey</v>
      </c>
      <c r="H1489" s="26">
        <f t="shared" ca="1" si="1"/>
        <v>43</v>
      </c>
      <c r="I1489" s="26">
        <f t="shared" ca="1" si="2"/>
        <v>1</v>
      </c>
      <c r="J1489" s="86">
        <f t="shared" ca="1" si="3"/>
        <v>44861</v>
      </c>
      <c r="R1489" s="26"/>
    </row>
    <row r="1490" spans="1:18" ht="15.75" customHeight="1">
      <c r="A1490" s="26">
        <f ca="1">IFERROR(__xludf.DUMMYFUNCTION("""COMPUTED_VALUE"""),16381)</f>
        <v>16381</v>
      </c>
      <c r="B1490" s="86">
        <f ca="1">IFERROR(__xludf.DUMMYFUNCTION("""COMPUTED_VALUE"""),44861.9326273148)</f>
        <v>44861.932627314804</v>
      </c>
      <c r="C1490" s="1" t="str">
        <f ca="1">IFERROR(__xludf.DUMMYFUNCTION("""COMPUTED_VALUE"""),"completed")</f>
        <v>completed</v>
      </c>
      <c r="D1490" s="26">
        <f ca="1">IFERROR(__xludf.DUMMYFUNCTION("""COMPUTED_VALUE"""),25)</f>
        <v>25</v>
      </c>
      <c r="E1490" s="1"/>
      <c r="F1490" s="87" t="str">
        <f t="shared" ca="1" si="0"/>
        <v>2022</v>
      </c>
      <c r="G1490" s="1" t="str">
        <f ca="1">IFERROR(__xludf.DUMMYFUNCTION("""COMPUTED_VALUE"""),"Erie North Shore Minor Hockey")</f>
        <v>Erie North Shore Minor Hockey</v>
      </c>
      <c r="H1490" s="26">
        <f t="shared" ca="1" si="1"/>
        <v>25</v>
      </c>
      <c r="I1490" s="26">
        <f t="shared" ca="1" si="2"/>
        <v>1</v>
      </c>
      <c r="J1490" s="86">
        <f t="shared" ca="1" si="3"/>
        <v>44861</v>
      </c>
      <c r="R1490" s="26"/>
    </row>
    <row r="1491" spans="1:18" ht="15.75" customHeight="1">
      <c r="A1491" s="26">
        <f ca="1">IFERROR(__xludf.DUMMYFUNCTION("""COMPUTED_VALUE"""),16380)</f>
        <v>16380</v>
      </c>
      <c r="B1491" s="86">
        <f ca="1">IFERROR(__xludf.DUMMYFUNCTION("""COMPUTED_VALUE"""),44861.9265856481)</f>
        <v>44861.9265856481</v>
      </c>
      <c r="C1491" s="1" t="str">
        <f ca="1">IFERROR(__xludf.DUMMYFUNCTION("""COMPUTED_VALUE"""),"completed")</f>
        <v>completed</v>
      </c>
      <c r="D1491" s="26">
        <f ca="1">IFERROR(__xludf.DUMMYFUNCTION("""COMPUTED_VALUE"""),60)</f>
        <v>60</v>
      </c>
      <c r="E1491" s="1"/>
      <c r="F1491" s="87" t="str">
        <f t="shared" ca="1" si="0"/>
        <v>2022</v>
      </c>
      <c r="G1491" s="1" t="str">
        <f ca="1">IFERROR(__xludf.DUMMYFUNCTION("""COMPUTED_VALUE"""),"Erie North Shore Minor Hockey")</f>
        <v>Erie North Shore Minor Hockey</v>
      </c>
      <c r="H1491" s="26">
        <f t="shared" ca="1" si="1"/>
        <v>60</v>
      </c>
      <c r="I1491" s="26">
        <f t="shared" ca="1" si="2"/>
        <v>1</v>
      </c>
      <c r="J1491" s="86">
        <f t="shared" ca="1" si="3"/>
        <v>44861</v>
      </c>
      <c r="R1491" s="26"/>
    </row>
    <row r="1492" spans="1:18" ht="15.75" customHeight="1">
      <c r="A1492" s="26">
        <f ca="1">IFERROR(__xludf.DUMMYFUNCTION("""COMPUTED_VALUE"""),16379)</f>
        <v>16379</v>
      </c>
      <c r="B1492" s="86">
        <f ca="1">IFERROR(__xludf.DUMMYFUNCTION("""COMPUTED_VALUE"""),44861.8889004629)</f>
        <v>44861.888900462902</v>
      </c>
      <c r="C1492" s="1" t="str">
        <f ca="1">IFERROR(__xludf.DUMMYFUNCTION("""COMPUTED_VALUE"""),"completed")</f>
        <v>completed</v>
      </c>
      <c r="D1492" s="26">
        <f ca="1">IFERROR(__xludf.DUMMYFUNCTION("""COMPUTED_VALUE"""),77)</f>
        <v>77</v>
      </c>
      <c r="E1492" s="1"/>
      <c r="F1492" s="87" t="str">
        <f t="shared" ca="1" si="0"/>
        <v>2022</v>
      </c>
      <c r="G1492" s="1" t="str">
        <f ca="1">IFERROR(__xludf.DUMMYFUNCTION("""COMPUTED_VALUE"""),"Erie North Shore Minor Hockey")</f>
        <v>Erie North Shore Minor Hockey</v>
      </c>
      <c r="H1492" s="26">
        <f t="shared" ca="1" si="1"/>
        <v>77</v>
      </c>
      <c r="I1492" s="26">
        <f t="shared" ca="1" si="2"/>
        <v>1</v>
      </c>
      <c r="J1492" s="86">
        <f t="shared" ca="1" si="3"/>
        <v>44861</v>
      </c>
      <c r="R1492" s="26"/>
    </row>
    <row r="1493" spans="1:18" ht="15.75" customHeight="1">
      <c r="A1493" s="26">
        <f ca="1">IFERROR(__xludf.DUMMYFUNCTION("""COMPUTED_VALUE"""),16378)</f>
        <v>16378</v>
      </c>
      <c r="B1493" s="86">
        <f ca="1">IFERROR(__xludf.DUMMYFUNCTION("""COMPUTED_VALUE"""),44861.8836921296)</f>
        <v>44861.883692129602</v>
      </c>
      <c r="C1493" s="1" t="str">
        <f ca="1">IFERROR(__xludf.DUMMYFUNCTION("""COMPUTED_VALUE"""),"completed")</f>
        <v>completed</v>
      </c>
      <c r="D1493" s="26">
        <f ca="1">IFERROR(__xludf.DUMMYFUNCTION("""COMPUTED_VALUE"""),15)</f>
        <v>15</v>
      </c>
      <c r="E1493" s="1"/>
      <c r="F1493" s="87" t="str">
        <f t="shared" ca="1" si="0"/>
        <v>2022</v>
      </c>
      <c r="G1493" s="1" t="str">
        <f ca="1">IFERROR(__xludf.DUMMYFUNCTION("""COMPUTED_VALUE"""),"Erie North Shore Minor Hockey")</f>
        <v>Erie North Shore Minor Hockey</v>
      </c>
      <c r="H1493" s="26">
        <f t="shared" ca="1" si="1"/>
        <v>15</v>
      </c>
      <c r="I1493" s="26">
        <f t="shared" ca="1" si="2"/>
        <v>1</v>
      </c>
      <c r="J1493" s="86">
        <f t="shared" ca="1" si="3"/>
        <v>44861</v>
      </c>
      <c r="R1493" s="26"/>
    </row>
    <row r="1494" spans="1:18" ht="15.75" customHeight="1">
      <c r="A1494" s="26">
        <f ca="1">IFERROR(__xludf.DUMMYFUNCTION("""COMPUTED_VALUE"""),16377)</f>
        <v>16377</v>
      </c>
      <c r="B1494" s="86">
        <f ca="1">IFERROR(__xludf.DUMMYFUNCTION("""COMPUTED_VALUE"""),44861.8592708333)</f>
        <v>44861.859270833302</v>
      </c>
      <c r="C1494" s="1" t="str">
        <f ca="1">IFERROR(__xludf.DUMMYFUNCTION("""COMPUTED_VALUE"""),"failed")</f>
        <v>failed</v>
      </c>
      <c r="D1494" s="26">
        <f ca="1">IFERROR(__xludf.DUMMYFUNCTION("""COMPUTED_VALUE"""),25)</f>
        <v>25</v>
      </c>
      <c r="E1494" s="1"/>
      <c r="F1494" s="87" t="str">
        <f t="shared" ca="1" si="0"/>
        <v>2022</v>
      </c>
      <c r="G1494" s="1" t="str">
        <f ca="1">IFERROR(__xludf.DUMMYFUNCTION("""COMPUTED_VALUE"""),"Erie North Shore Minor Hockey")</f>
        <v>Erie North Shore Minor Hockey</v>
      </c>
      <c r="H1494" s="26">
        <f t="shared" ca="1" si="1"/>
        <v>25</v>
      </c>
      <c r="I1494" s="26">
        <f t="shared" ca="1" si="2"/>
        <v>1</v>
      </c>
      <c r="J1494" s="86">
        <f t="shared" ca="1" si="3"/>
        <v>44861</v>
      </c>
      <c r="R1494" s="26"/>
    </row>
    <row r="1495" spans="1:18" ht="15.75" customHeight="1">
      <c r="A1495" s="26">
        <f ca="1">IFERROR(__xludf.DUMMYFUNCTION("""COMPUTED_VALUE"""),16376)</f>
        <v>16376</v>
      </c>
      <c r="B1495" s="86">
        <f ca="1">IFERROR(__xludf.DUMMYFUNCTION("""COMPUTED_VALUE"""),44861.8562384259)</f>
        <v>44861.856238425898</v>
      </c>
      <c r="C1495" s="1" t="str">
        <f ca="1">IFERROR(__xludf.DUMMYFUNCTION("""COMPUTED_VALUE"""),"completed")</f>
        <v>completed</v>
      </c>
      <c r="D1495" s="26">
        <f ca="1">IFERROR(__xludf.DUMMYFUNCTION("""COMPUTED_VALUE"""),83)</f>
        <v>83</v>
      </c>
      <c r="E1495" s="1"/>
      <c r="F1495" s="87" t="str">
        <f t="shared" ca="1" si="0"/>
        <v>2022</v>
      </c>
      <c r="G1495" s="1" t="str">
        <f ca="1">IFERROR(__xludf.DUMMYFUNCTION("""COMPUTED_VALUE"""),"Erie North Shore Minor Hockey")</f>
        <v>Erie North Shore Minor Hockey</v>
      </c>
      <c r="H1495" s="26">
        <f t="shared" ca="1" si="1"/>
        <v>83</v>
      </c>
      <c r="I1495" s="26">
        <f t="shared" ca="1" si="2"/>
        <v>1</v>
      </c>
      <c r="J1495" s="86">
        <f t="shared" ca="1" si="3"/>
        <v>44861</v>
      </c>
      <c r="R1495" s="26"/>
    </row>
    <row r="1496" spans="1:18" ht="15.75" customHeight="1">
      <c r="A1496" s="26">
        <f ca="1">IFERROR(__xludf.DUMMYFUNCTION("""COMPUTED_VALUE"""),16375)</f>
        <v>16375</v>
      </c>
      <c r="B1496" s="86">
        <f ca="1">IFERROR(__xludf.DUMMYFUNCTION("""COMPUTED_VALUE"""),44861.8133333333)</f>
        <v>44861.813333333303</v>
      </c>
      <c r="C1496" s="1" t="str">
        <f ca="1">IFERROR(__xludf.DUMMYFUNCTION("""COMPUTED_VALUE"""),"completed")</f>
        <v>completed</v>
      </c>
      <c r="D1496" s="26">
        <f ca="1">IFERROR(__xludf.DUMMYFUNCTION("""COMPUTED_VALUE"""),28)</f>
        <v>28</v>
      </c>
      <c r="E1496" s="1"/>
      <c r="F1496" s="87" t="str">
        <f t="shared" ca="1" si="0"/>
        <v>2022</v>
      </c>
      <c r="G1496" s="1" t="str">
        <f ca="1">IFERROR(__xludf.DUMMYFUNCTION("""COMPUTED_VALUE"""),"Erie North Shore Minor Hockey")</f>
        <v>Erie North Shore Minor Hockey</v>
      </c>
      <c r="H1496" s="26">
        <f t="shared" ca="1" si="1"/>
        <v>28</v>
      </c>
      <c r="I1496" s="26">
        <f t="shared" ca="1" si="2"/>
        <v>1</v>
      </c>
      <c r="J1496" s="86">
        <f t="shared" ca="1" si="3"/>
        <v>44861</v>
      </c>
      <c r="R1496" s="26"/>
    </row>
    <row r="1497" spans="1:18" ht="15.75" customHeight="1">
      <c r="A1497" s="26">
        <f ca="1">IFERROR(__xludf.DUMMYFUNCTION("""COMPUTED_VALUE"""),16374)</f>
        <v>16374</v>
      </c>
      <c r="B1497" s="86">
        <f ca="1">IFERROR(__xludf.DUMMYFUNCTION("""COMPUTED_VALUE"""),44861.6667129629)</f>
        <v>44861.666712962899</v>
      </c>
      <c r="C1497" s="1" t="str">
        <f ca="1">IFERROR(__xludf.DUMMYFUNCTION("""COMPUTED_VALUE"""),"completed")</f>
        <v>completed</v>
      </c>
      <c r="D1497" s="26">
        <f ca="1">IFERROR(__xludf.DUMMYFUNCTION("""COMPUTED_VALUE"""),58)</f>
        <v>58</v>
      </c>
      <c r="E1497" s="1"/>
      <c r="F1497" s="87" t="str">
        <f t="shared" ca="1" si="0"/>
        <v>2022</v>
      </c>
      <c r="G1497" s="1" t="str">
        <f ca="1">IFERROR(__xludf.DUMMYFUNCTION("""COMPUTED_VALUE"""),"Erie North Shore Minor Hockey")</f>
        <v>Erie North Shore Minor Hockey</v>
      </c>
      <c r="H1497" s="26">
        <f t="shared" ca="1" si="1"/>
        <v>58</v>
      </c>
      <c r="I1497" s="26">
        <f t="shared" ca="1" si="2"/>
        <v>1</v>
      </c>
      <c r="J1497" s="86">
        <f t="shared" ca="1" si="3"/>
        <v>44861</v>
      </c>
      <c r="R1497" s="26"/>
    </row>
    <row r="1498" spans="1:18" ht="15.75" customHeight="1">
      <c r="A1498" s="26">
        <f ca="1">IFERROR(__xludf.DUMMYFUNCTION("""COMPUTED_VALUE"""),16373)</f>
        <v>16373</v>
      </c>
      <c r="B1498" s="86">
        <f ca="1">IFERROR(__xludf.DUMMYFUNCTION("""COMPUTED_VALUE"""),44861.6359143518)</f>
        <v>44861.635914351798</v>
      </c>
      <c r="C1498" s="1" t="str">
        <f ca="1">IFERROR(__xludf.DUMMYFUNCTION("""COMPUTED_VALUE"""),"completed")</f>
        <v>completed</v>
      </c>
      <c r="D1498" s="26">
        <f ca="1">IFERROR(__xludf.DUMMYFUNCTION("""COMPUTED_VALUE"""),24)</f>
        <v>24</v>
      </c>
      <c r="E1498" s="1"/>
      <c r="F1498" s="87" t="str">
        <f t="shared" ca="1" si="0"/>
        <v>2022</v>
      </c>
      <c r="G1498" s="1" t="str">
        <f ca="1">IFERROR(__xludf.DUMMYFUNCTION("""COMPUTED_VALUE"""),"Erie North Shore Minor Hockey")</f>
        <v>Erie North Shore Minor Hockey</v>
      </c>
      <c r="H1498" s="26">
        <f t="shared" ca="1" si="1"/>
        <v>24</v>
      </c>
      <c r="I1498" s="26">
        <f t="shared" ca="1" si="2"/>
        <v>1</v>
      </c>
      <c r="J1498" s="86">
        <f t="shared" ca="1" si="3"/>
        <v>44861</v>
      </c>
      <c r="R1498" s="26"/>
    </row>
    <row r="1499" spans="1:18" ht="15.75" customHeight="1">
      <c r="A1499" s="26">
        <f ca="1">IFERROR(__xludf.DUMMYFUNCTION("""COMPUTED_VALUE"""),16370)</f>
        <v>16370</v>
      </c>
      <c r="B1499" s="86">
        <f ca="1">IFERROR(__xludf.DUMMYFUNCTION("""COMPUTED_VALUE"""),44860.5756018518)</f>
        <v>44860.5756018518</v>
      </c>
      <c r="C1499" s="1" t="str">
        <f ca="1">IFERROR(__xludf.DUMMYFUNCTION("""COMPUTED_VALUE"""),"completed")</f>
        <v>completed</v>
      </c>
      <c r="D1499" s="26">
        <f ca="1">IFERROR(__xludf.DUMMYFUNCTION("""COMPUTED_VALUE"""),25)</f>
        <v>25</v>
      </c>
      <c r="E1499" s="1"/>
      <c r="F1499" s="87" t="str">
        <f t="shared" ca="1" si="0"/>
        <v>2022</v>
      </c>
      <c r="G1499" s="1" t="str">
        <f ca="1">IFERROR(__xludf.DUMMYFUNCTION("""COMPUTED_VALUE"""),"Erie North Shore Minor Hockey")</f>
        <v>Erie North Shore Minor Hockey</v>
      </c>
      <c r="H1499" s="26">
        <f t="shared" ca="1" si="1"/>
        <v>25</v>
      </c>
      <c r="I1499" s="26">
        <f t="shared" ca="1" si="2"/>
        <v>1</v>
      </c>
      <c r="J1499" s="86">
        <f t="shared" ca="1" si="3"/>
        <v>44860</v>
      </c>
      <c r="R1499" s="26"/>
    </row>
    <row r="1500" spans="1:18" ht="15.75" customHeight="1">
      <c r="A1500" s="26">
        <f ca="1">IFERROR(__xludf.DUMMYFUNCTION("""COMPUTED_VALUE"""),16369)</f>
        <v>16369</v>
      </c>
      <c r="B1500" s="86">
        <f ca="1">IFERROR(__xludf.DUMMYFUNCTION("""COMPUTED_VALUE"""),44860.5720833333)</f>
        <v>44860.572083333303</v>
      </c>
      <c r="C1500" s="1" t="str">
        <f ca="1">IFERROR(__xludf.DUMMYFUNCTION("""COMPUTED_VALUE"""),"completed")</f>
        <v>completed</v>
      </c>
      <c r="D1500" s="26">
        <f ca="1">IFERROR(__xludf.DUMMYFUNCTION("""COMPUTED_VALUE"""),25)</f>
        <v>25</v>
      </c>
      <c r="E1500" s="1"/>
      <c r="F1500" s="87" t="str">
        <f t="shared" ca="1" si="0"/>
        <v>2022</v>
      </c>
      <c r="G1500" s="1" t="str">
        <f ca="1">IFERROR(__xludf.DUMMYFUNCTION("""COMPUTED_VALUE"""),"Erie North Shore Minor Hockey")</f>
        <v>Erie North Shore Minor Hockey</v>
      </c>
      <c r="H1500" s="26">
        <f t="shared" ca="1" si="1"/>
        <v>25</v>
      </c>
      <c r="I1500" s="26">
        <f t="shared" ca="1" si="2"/>
        <v>1</v>
      </c>
      <c r="J1500" s="86">
        <f t="shared" ca="1" si="3"/>
        <v>44860</v>
      </c>
      <c r="R1500" s="26"/>
    </row>
    <row r="1501" spans="1:18" ht="15.75" customHeight="1">
      <c r="A1501" s="26">
        <f ca="1">IFERROR(__xludf.DUMMYFUNCTION("""COMPUTED_VALUE"""),16368)</f>
        <v>16368</v>
      </c>
      <c r="B1501" s="86">
        <f ca="1">IFERROR(__xludf.DUMMYFUNCTION("""COMPUTED_VALUE"""),44858.6533912037)</f>
        <v>44858.653391203698</v>
      </c>
      <c r="C1501" s="1" t="str">
        <f ca="1">IFERROR(__xludf.DUMMYFUNCTION("""COMPUTED_VALUE"""),"completed")</f>
        <v>completed</v>
      </c>
      <c r="D1501" s="26">
        <f ca="1">IFERROR(__xludf.DUMMYFUNCTION("""COMPUTED_VALUE"""),35)</f>
        <v>35</v>
      </c>
      <c r="E1501" s="1"/>
      <c r="F1501" s="87" t="str">
        <f t="shared" ca="1" si="0"/>
        <v>2022</v>
      </c>
      <c r="G1501" s="1" t="str">
        <f ca="1">IFERROR(__xludf.DUMMYFUNCTION("""COMPUTED_VALUE"""),"Erie North Shore Minor Hockey")</f>
        <v>Erie North Shore Minor Hockey</v>
      </c>
      <c r="H1501" s="26">
        <f t="shared" ca="1" si="1"/>
        <v>35</v>
      </c>
      <c r="I1501" s="26">
        <f t="shared" ca="1" si="2"/>
        <v>1</v>
      </c>
      <c r="J1501" s="86">
        <f t="shared" ca="1" si="3"/>
        <v>44858</v>
      </c>
      <c r="R1501" s="26"/>
    </row>
    <row r="1502" spans="1:18" ht="15.75" customHeight="1">
      <c r="A1502" s="26">
        <f ca="1">IFERROR(__xludf.DUMMYFUNCTION("""COMPUTED_VALUE"""),16367)</f>
        <v>16367</v>
      </c>
      <c r="B1502" s="86">
        <f ca="1">IFERROR(__xludf.DUMMYFUNCTION("""COMPUTED_VALUE"""),44857.5085185185)</f>
        <v>44857.508518518502</v>
      </c>
      <c r="C1502" s="1" t="str">
        <f ca="1">IFERROR(__xludf.DUMMYFUNCTION("""COMPUTED_VALUE"""),"completed")</f>
        <v>completed</v>
      </c>
      <c r="D1502" s="26">
        <f ca="1">IFERROR(__xludf.DUMMYFUNCTION("""COMPUTED_VALUE"""),55)</f>
        <v>55</v>
      </c>
      <c r="E1502" s="1"/>
      <c r="F1502" s="87" t="str">
        <f t="shared" ca="1" si="0"/>
        <v>2022</v>
      </c>
      <c r="G1502" s="1" t="str">
        <f ca="1">IFERROR(__xludf.DUMMYFUNCTION("""COMPUTED_VALUE"""),"Erie North Shore Minor Hockey")</f>
        <v>Erie North Shore Minor Hockey</v>
      </c>
      <c r="H1502" s="26">
        <f t="shared" ca="1" si="1"/>
        <v>55</v>
      </c>
      <c r="I1502" s="26">
        <f t="shared" ca="1" si="2"/>
        <v>1</v>
      </c>
      <c r="J1502" s="86">
        <f t="shared" ca="1" si="3"/>
        <v>44857</v>
      </c>
      <c r="R1502" s="26"/>
    </row>
    <row r="1503" spans="1:18" ht="15.75" customHeight="1">
      <c r="A1503" s="26">
        <f ca="1">IFERROR(__xludf.DUMMYFUNCTION("""COMPUTED_VALUE"""),16366)</f>
        <v>16366</v>
      </c>
      <c r="B1503" s="86">
        <f ca="1">IFERROR(__xludf.DUMMYFUNCTION("""COMPUTED_VALUE"""),44854.9848032407)</f>
        <v>44854.984803240703</v>
      </c>
      <c r="C1503" s="1" t="str">
        <f ca="1">IFERROR(__xludf.DUMMYFUNCTION("""COMPUTED_VALUE"""),"completed")</f>
        <v>completed</v>
      </c>
      <c r="D1503" s="26">
        <f ca="1">IFERROR(__xludf.DUMMYFUNCTION("""COMPUTED_VALUE"""),55)</f>
        <v>55</v>
      </c>
      <c r="E1503" s="1"/>
      <c r="F1503" s="87" t="str">
        <f t="shared" ca="1" si="0"/>
        <v>2022</v>
      </c>
      <c r="G1503" s="1" t="str">
        <f ca="1">IFERROR(__xludf.DUMMYFUNCTION("""COMPUTED_VALUE"""),"Erie North Shore Minor Hockey")</f>
        <v>Erie North Shore Minor Hockey</v>
      </c>
      <c r="H1503" s="26">
        <f t="shared" ca="1" si="1"/>
        <v>55</v>
      </c>
      <c r="I1503" s="26">
        <f t="shared" ca="1" si="2"/>
        <v>1</v>
      </c>
      <c r="J1503" s="86">
        <f t="shared" ca="1" si="3"/>
        <v>44854</v>
      </c>
      <c r="R1503" s="26"/>
    </row>
    <row r="1504" spans="1:18" ht="15.75" customHeight="1">
      <c r="A1504" s="26">
        <f ca="1">IFERROR(__xludf.DUMMYFUNCTION("""COMPUTED_VALUE"""),16364)</f>
        <v>16364</v>
      </c>
      <c r="B1504" s="86">
        <f ca="1">IFERROR(__xludf.DUMMYFUNCTION("""COMPUTED_VALUE"""),44851.5199189814)</f>
        <v>44851.519918981401</v>
      </c>
      <c r="C1504" s="1" t="str">
        <f ca="1">IFERROR(__xludf.DUMMYFUNCTION("""COMPUTED_VALUE"""),"completed")</f>
        <v>completed</v>
      </c>
      <c r="D1504" s="26">
        <f ca="1">IFERROR(__xludf.DUMMYFUNCTION("""COMPUTED_VALUE"""),103)</f>
        <v>103</v>
      </c>
      <c r="E1504" s="1"/>
      <c r="F1504" s="87" t="str">
        <f t="shared" ca="1" si="0"/>
        <v>2022</v>
      </c>
      <c r="G1504" s="1" t="str">
        <f ca="1">IFERROR(__xludf.DUMMYFUNCTION("""COMPUTED_VALUE"""),"W.M.H.A")</f>
        <v>W.M.H.A</v>
      </c>
      <c r="H1504" s="26">
        <f t="shared" ca="1" si="1"/>
        <v>103</v>
      </c>
      <c r="I1504" s="26">
        <f t="shared" ca="1" si="2"/>
        <v>1</v>
      </c>
      <c r="J1504" s="86">
        <f t="shared" ca="1" si="3"/>
        <v>44851</v>
      </c>
      <c r="R1504" s="26"/>
    </row>
    <row r="1505" spans="1:18" ht="15.75" customHeight="1">
      <c r="A1505" s="26">
        <f ca="1">IFERROR(__xludf.DUMMYFUNCTION("""COMPUTED_VALUE"""),16363)</f>
        <v>16363</v>
      </c>
      <c r="B1505" s="86">
        <f ca="1">IFERROR(__xludf.DUMMYFUNCTION("""COMPUTED_VALUE"""),44850.6606828703)</f>
        <v>44850.660682870301</v>
      </c>
      <c r="C1505" s="1" t="str">
        <f ca="1">IFERROR(__xludf.DUMMYFUNCTION("""COMPUTED_VALUE"""),"completed")</f>
        <v>completed</v>
      </c>
      <c r="D1505" s="26">
        <f ca="1">IFERROR(__xludf.DUMMYFUNCTION("""COMPUTED_VALUE"""),28)</f>
        <v>28</v>
      </c>
      <c r="E1505" s="1"/>
      <c r="F1505" s="87" t="str">
        <f t="shared" ca="1" si="0"/>
        <v>2022</v>
      </c>
      <c r="G1505" s="1" t="str">
        <f ca="1">IFERROR(__xludf.DUMMYFUNCTION("""COMPUTED_VALUE"""),"Erie North Shore Minor Hockey")</f>
        <v>Erie North Shore Minor Hockey</v>
      </c>
      <c r="H1505" s="26">
        <f t="shared" ca="1" si="1"/>
        <v>28</v>
      </c>
      <c r="I1505" s="26">
        <f t="shared" ca="1" si="2"/>
        <v>1</v>
      </c>
      <c r="J1505" s="86">
        <f t="shared" ca="1" si="3"/>
        <v>44850</v>
      </c>
      <c r="R1505" s="26"/>
    </row>
    <row r="1506" spans="1:18" ht="15.75" customHeight="1">
      <c r="A1506" s="26">
        <f ca="1">IFERROR(__xludf.DUMMYFUNCTION("""COMPUTED_VALUE"""),16361)</f>
        <v>16361</v>
      </c>
      <c r="B1506" s="86">
        <f ca="1">IFERROR(__xludf.DUMMYFUNCTION("""COMPUTED_VALUE"""),44850.5234837962)</f>
        <v>44850.523483796198</v>
      </c>
      <c r="C1506" s="1" t="str">
        <f ca="1">IFERROR(__xludf.DUMMYFUNCTION("""COMPUTED_VALUE"""),"completed")</f>
        <v>completed</v>
      </c>
      <c r="D1506" s="26">
        <f ca="1">IFERROR(__xludf.DUMMYFUNCTION("""COMPUTED_VALUE"""),15)</f>
        <v>15</v>
      </c>
      <c r="E1506" s="1"/>
      <c r="F1506" s="87" t="str">
        <f t="shared" ca="1" si="0"/>
        <v>2022</v>
      </c>
      <c r="G1506" s="1" t="str">
        <f ca="1">IFERROR(__xludf.DUMMYFUNCTION("""COMPUTED_VALUE"""),"Erie North Shore Minor Hockey")</f>
        <v>Erie North Shore Minor Hockey</v>
      </c>
      <c r="H1506" s="26">
        <f t="shared" ca="1" si="1"/>
        <v>15</v>
      </c>
      <c r="I1506" s="26">
        <f t="shared" ca="1" si="2"/>
        <v>1</v>
      </c>
      <c r="J1506" s="86">
        <f t="shared" ca="1" si="3"/>
        <v>44850</v>
      </c>
      <c r="R1506" s="26"/>
    </row>
    <row r="1507" spans="1:18" ht="15.75" customHeight="1">
      <c r="A1507" s="26">
        <f ca="1">IFERROR(__xludf.DUMMYFUNCTION("""COMPUTED_VALUE"""),16360)</f>
        <v>16360</v>
      </c>
      <c r="B1507" s="86">
        <f ca="1">IFERROR(__xludf.DUMMYFUNCTION("""COMPUTED_VALUE"""),44848.5922222222)</f>
        <v>44848.5922222222</v>
      </c>
      <c r="C1507" s="1" t="str">
        <f ca="1">IFERROR(__xludf.DUMMYFUNCTION("""COMPUTED_VALUE"""),"completed")</f>
        <v>completed</v>
      </c>
      <c r="D1507" s="26">
        <f ca="1">IFERROR(__xludf.DUMMYFUNCTION("""COMPUTED_VALUE"""),48)</f>
        <v>48</v>
      </c>
      <c r="E1507" s="1"/>
      <c r="F1507" s="87" t="str">
        <f t="shared" ca="1" si="0"/>
        <v>2022</v>
      </c>
      <c r="G1507" s="1" t="str">
        <f ca="1">IFERROR(__xludf.DUMMYFUNCTION("""COMPUTED_VALUE"""),"Erie North Shore Minor Hockey")</f>
        <v>Erie North Shore Minor Hockey</v>
      </c>
      <c r="H1507" s="26">
        <f t="shared" ca="1" si="1"/>
        <v>48</v>
      </c>
      <c r="I1507" s="26">
        <f t="shared" ca="1" si="2"/>
        <v>1</v>
      </c>
      <c r="J1507" s="86">
        <f t="shared" ca="1" si="3"/>
        <v>44848</v>
      </c>
      <c r="R1507" s="26"/>
    </row>
    <row r="1508" spans="1:18" ht="15.75" customHeight="1">
      <c r="A1508" s="26">
        <f ca="1">IFERROR(__xludf.DUMMYFUNCTION("""COMPUTED_VALUE"""),16359)</f>
        <v>16359</v>
      </c>
      <c r="B1508" s="86">
        <f ca="1">IFERROR(__xludf.DUMMYFUNCTION("""COMPUTED_VALUE"""),44848.5888541666)</f>
        <v>44848.588854166599</v>
      </c>
      <c r="C1508" s="1" t="str">
        <f ca="1">IFERROR(__xludf.DUMMYFUNCTION("""COMPUTED_VALUE"""),"completed")</f>
        <v>completed</v>
      </c>
      <c r="D1508" s="26">
        <f ca="1">IFERROR(__xludf.DUMMYFUNCTION("""COMPUTED_VALUE"""),48)</f>
        <v>48</v>
      </c>
      <c r="E1508" s="1"/>
      <c r="F1508" s="87" t="str">
        <f t="shared" ca="1" si="0"/>
        <v>2022</v>
      </c>
      <c r="G1508" s="1" t="str">
        <f ca="1">IFERROR(__xludf.DUMMYFUNCTION("""COMPUTED_VALUE"""),"Erie North Shore Minor Hockey")</f>
        <v>Erie North Shore Minor Hockey</v>
      </c>
      <c r="H1508" s="26">
        <f t="shared" ca="1" si="1"/>
        <v>48</v>
      </c>
      <c r="I1508" s="26">
        <f t="shared" ca="1" si="2"/>
        <v>1</v>
      </c>
      <c r="J1508" s="86">
        <f t="shared" ca="1" si="3"/>
        <v>44848</v>
      </c>
      <c r="R1508" s="26"/>
    </row>
    <row r="1509" spans="1:18" ht="15.75" customHeight="1">
      <c r="A1509" s="26">
        <f ca="1">IFERROR(__xludf.DUMMYFUNCTION("""COMPUTED_VALUE"""),16354)</f>
        <v>16354</v>
      </c>
      <c r="B1509" s="86">
        <f ca="1">IFERROR(__xludf.DUMMYFUNCTION("""COMPUTED_VALUE"""),44846.5542708333)</f>
        <v>44846.554270833301</v>
      </c>
      <c r="C1509" s="1" t="str">
        <f ca="1">IFERROR(__xludf.DUMMYFUNCTION("""COMPUTED_VALUE"""),"completed")</f>
        <v>completed</v>
      </c>
      <c r="D1509" s="26">
        <f ca="1">IFERROR(__xludf.DUMMYFUNCTION("""COMPUTED_VALUE"""),22)</f>
        <v>22</v>
      </c>
      <c r="E1509" s="1"/>
      <c r="F1509" s="87" t="str">
        <f t="shared" ca="1" si="0"/>
        <v>2022</v>
      </c>
      <c r="G1509" s="1" t="str">
        <f ca="1">IFERROR(__xludf.DUMMYFUNCTION("""COMPUTED_VALUE"""),"Erie North Shore Minor Hockey")</f>
        <v>Erie North Shore Minor Hockey</v>
      </c>
      <c r="H1509" s="26">
        <f t="shared" ca="1" si="1"/>
        <v>22</v>
      </c>
      <c r="I1509" s="26">
        <f t="shared" ca="1" si="2"/>
        <v>1</v>
      </c>
      <c r="J1509" s="86">
        <f t="shared" ca="1" si="3"/>
        <v>44846</v>
      </c>
      <c r="R1509" s="26"/>
    </row>
    <row r="1510" spans="1:18" ht="15.75" customHeight="1">
      <c r="A1510" s="26">
        <f ca="1">IFERROR(__xludf.DUMMYFUNCTION("""COMPUTED_VALUE"""),16353)</f>
        <v>16353</v>
      </c>
      <c r="B1510" s="86">
        <f ca="1">IFERROR(__xludf.DUMMYFUNCTION("""COMPUTED_VALUE"""),44846.1059837962)</f>
        <v>44846.105983796297</v>
      </c>
      <c r="C1510" s="1" t="str">
        <f ca="1">IFERROR(__xludf.DUMMYFUNCTION("""COMPUTED_VALUE"""),"completed")</f>
        <v>completed</v>
      </c>
      <c r="D1510" s="26">
        <f ca="1">IFERROR(__xludf.DUMMYFUNCTION("""COMPUTED_VALUE"""),45)</f>
        <v>45</v>
      </c>
      <c r="E1510" s="1"/>
      <c r="F1510" s="87" t="str">
        <f t="shared" ca="1" si="0"/>
        <v>2022</v>
      </c>
      <c r="G1510" s="1" t="str">
        <f ca="1">IFERROR(__xludf.DUMMYFUNCTION("""COMPUTED_VALUE"""),"Erie North Shore Minor Hockey")</f>
        <v>Erie North Shore Minor Hockey</v>
      </c>
      <c r="H1510" s="26">
        <f t="shared" ca="1" si="1"/>
        <v>45</v>
      </c>
      <c r="I1510" s="26">
        <f t="shared" ca="1" si="2"/>
        <v>1</v>
      </c>
      <c r="J1510" s="86">
        <f t="shared" ca="1" si="3"/>
        <v>44846</v>
      </c>
      <c r="R1510" s="26"/>
    </row>
    <row r="1511" spans="1:18" ht="15.75" customHeight="1">
      <c r="A1511" s="26">
        <f ca="1">IFERROR(__xludf.DUMMYFUNCTION("""COMPUTED_VALUE"""),16352)</f>
        <v>16352</v>
      </c>
      <c r="B1511" s="86">
        <f ca="1">IFERROR(__xludf.DUMMYFUNCTION("""COMPUTED_VALUE"""),44846.1046643518)</f>
        <v>44846.104664351798</v>
      </c>
      <c r="C1511" s="1" t="str">
        <f ca="1">IFERROR(__xludf.DUMMYFUNCTION("""COMPUTED_VALUE"""),"completed")</f>
        <v>completed</v>
      </c>
      <c r="D1511" s="26">
        <f ca="1">IFERROR(__xludf.DUMMYFUNCTION("""COMPUTED_VALUE"""),45)</f>
        <v>45</v>
      </c>
      <c r="E1511" s="1"/>
      <c r="F1511" s="87" t="str">
        <f t="shared" ca="1" si="0"/>
        <v>2022</v>
      </c>
      <c r="G1511" s="1" t="str">
        <f ca="1">IFERROR(__xludf.DUMMYFUNCTION("""COMPUTED_VALUE"""),"Erie North Shore Minor Hockey")</f>
        <v>Erie North Shore Minor Hockey</v>
      </c>
      <c r="H1511" s="26">
        <f t="shared" ca="1" si="1"/>
        <v>45</v>
      </c>
      <c r="I1511" s="26">
        <f t="shared" ca="1" si="2"/>
        <v>1</v>
      </c>
      <c r="J1511" s="86">
        <f t="shared" ca="1" si="3"/>
        <v>44846</v>
      </c>
      <c r="R1511" s="26"/>
    </row>
    <row r="1512" spans="1:18" ht="15.75" customHeight="1">
      <c r="A1512" s="26">
        <f ca="1">IFERROR(__xludf.DUMMYFUNCTION("""COMPUTED_VALUE"""),16351)</f>
        <v>16351</v>
      </c>
      <c r="B1512" s="86">
        <f ca="1">IFERROR(__xludf.DUMMYFUNCTION("""COMPUTED_VALUE"""),44846.1016666666)</f>
        <v>44846.101666666596</v>
      </c>
      <c r="C1512" s="1" t="str">
        <f ca="1">IFERROR(__xludf.DUMMYFUNCTION("""COMPUTED_VALUE"""),"completed")</f>
        <v>completed</v>
      </c>
      <c r="D1512" s="26">
        <f ca="1">IFERROR(__xludf.DUMMYFUNCTION("""COMPUTED_VALUE"""),58)</f>
        <v>58</v>
      </c>
      <c r="E1512" s="1"/>
      <c r="F1512" s="87" t="str">
        <f t="shared" ca="1" si="0"/>
        <v>2022</v>
      </c>
      <c r="G1512" s="1" t="str">
        <f ca="1">IFERROR(__xludf.DUMMYFUNCTION("""COMPUTED_VALUE"""),"Erie North Shore Minor Hockey")</f>
        <v>Erie North Shore Minor Hockey</v>
      </c>
      <c r="H1512" s="26">
        <f t="shared" ca="1" si="1"/>
        <v>58</v>
      </c>
      <c r="I1512" s="26">
        <f t="shared" ca="1" si="2"/>
        <v>1</v>
      </c>
      <c r="J1512" s="86">
        <f t="shared" ca="1" si="3"/>
        <v>44846</v>
      </c>
      <c r="R1512" s="26"/>
    </row>
    <row r="1513" spans="1:18" ht="15.75" customHeight="1">
      <c r="A1513" s="26">
        <f ca="1">IFERROR(__xludf.DUMMYFUNCTION("""COMPUTED_VALUE"""),16349)</f>
        <v>16349</v>
      </c>
      <c r="B1513" s="86">
        <f ca="1">IFERROR(__xludf.DUMMYFUNCTION("""COMPUTED_VALUE"""),44845.0260532407)</f>
        <v>44845.026053240697</v>
      </c>
      <c r="C1513" s="1" t="str">
        <f ca="1">IFERROR(__xludf.DUMMYFUNCTION("""COMPUTED_VALUE"""),"completed")</f>
        <v>completed</v>
      </c>
      <c r="D1513" s="26">
        <f ca="1">IFERROR(__xludf.DUMMYFUNCTION("""COMPUTED_VALUE"""),25)</f>
        <v>25</v>
      </c>
      <c r="E1513" s="1"/>
      <c r="F1513" s="87" t="str">
        <f t="shared" ca="1" si="0"/>
        <v>2022</v>
      </c>
      <c r="G1513" s="1" t="str">
        <f ca="1">IFERROR(__xludf.DUMMYFUNCTION("""COMPUTED_VALUE"""),"Erie North Shore Minor Hockey")</f>
        <v>Erie North Shore Minor Hockey</v>
      </c>
      <c r="H1513" s="26">
        <f t="shared" ca="1" si="1"/>
        <v>25</v>
      </c>
      <c r="I1513" s="26">
        <f t="shared" ca="1" si="2"/>
        <v>1</v>
      </c>
      <c r="J1513" s="86">
        <f t="shared" ca="1" si="3"/>
        <v>44845</v>
      </c>
      <c r="R1513" s="26"/>
    </row>
    <row r="1514" spans="1:18" ht="15.75" customHeight="1">
      <c r="A1514" s="26">
        <f ca="1">IFERROR(__xludf.DUMMYFUNCTION("""COMPUTED_VALUE"""),16348)</f>
        <v>16348</v>
      </c>
      <c r="B1514" s="86">
        <f ca="1">IFERROR(__xludf.DUMMYFUNCTION("""COMPUTED_VALUE"""),44844.9203472222)</f>
        <v>44844.9203472222</v>
      </c>
      <c r="C1514" s="1" t="str">
        <f ca="1">IFERROR(__xludf.DUMMYFUNCTION("""COMPUTED_VALUE"""),"completed")</f>
        <v>completed</v>
      </c>
      <c r="D1514" s="26">
        <f ca="1">IFERROR(__xludf.DUMMYFUNCTION("""COMPUTED_VALUE"""),25)</f>
        <v>25</v>
      </c>
      <c r="E1514" s="1"/>
      <c r="F1514" s="87" t="str">
        <f t="shared" ca="1" si="0"/>
        <v>2022</v>
      </c>
      <c r="G1514" s="1" t="str">
        <f ca="1">IFERROR(__xludf.DUMMYFUNCTION("""COMPUTED_VALUE"""),"Erie North Shore Minor Hockey")</f>
        <v>Erie North Shore Minor Hockey</v>
      </c>
      <c r="H1514" s="26">
        <f t="shared" ca="1" si="1"/>
        <v>25</v>
      </c>
      <c r="I1514" s="26">
        <f t="shared" ca="1" si="2"/>
        <v>1</v>
      </c>
      <c r="J1514" s="86">
        <f t="shared" ca="1" si="3"/>
        <v>44844</v>
      </c>
      <c r="R1514" s="26"/>
    </row>
    <row r="1515" spans="1:18" ht="15.75" customHeight="1">
      <c r="A1515" s="26">
        <f ca="1">IFERROR(__xludf.DUMMYFUNCTION("""COMPUTED_VALUE"""),16347)</f>
        <v>16347</v>
      </c>
      <c r="B1515" s="86">
        <f ca="1">IFERROR(__xludf.DUMMYFUNCTION("""COMPUTED_VALUE"""),44844.8554861111)</f>
        <v>44844.855486111097</v>
      </c>
      <c r="C1515" s="1" t="str">
        <f ca="1">IFERROR(__xludf.DUMMYFUNCTION("""COMPUTED_VALUE"""),"completed")</f>
        <v>completed</v>
      </c>
      <c r="D1515" s="26">
        <f ca="1">IFERROR(__xludf.DUMMYFUNCTION("""COMPUTED_VALUE"""),25)</f>
        <v>25</v>
      </c>
      <c r="E1515" s="1"/>
      <c r="F1515" s="87" t="str">
        <f t="shared" ca="1" si="0"/>
        <v>2022</v>
      </c>
      <c r="G1515" s="1" t="str">
        <f ca="1">IFERROR(__xludf.DUMMYFUNCTION("""COMPUTED_VALUE"""),"Erie North Shore Minor Hockey")</f>
        <v>Erie North Shore Minor Hockey</v>
      </c>
      <c r="H1515" s="26">
        <f t="shared" ca="1" si="1"/>
        <v>25</v>
      </c>
      <c r="I1515" s="26">
        <f t="shared" ca="1" si="2"/>
        <v>1</v>
      </c>
      <c r="J1515" s="86">
        <f t="shared" ca="1" si="3"/>
        <v>44844</v>
      </c>
      <c r="R1515" s="26"/>
    </row>
    <row r="1516" spans="1:18" ht="15.75" customHeight="1">
      <c r="A1516" s="26">
        <f ca="1">IFERROR(__xludf.DUMMYFUNCTION("""COMPUTED_VALUE"""),16346)</f>
        <v>16346</v>
      </c>
      <c r="B1516" s="86">
        <f ca="1">IFERROR(__xludf.DUMMYFUNCTION("""COMPUTED_VALUE"""),44844.0965624999)</f>
        <v>44844.096562499901</v>
      </c>
      <c r="C1516" s="1" t="str">
        <f ca="1">IFERROR(__xludf.DUMMYFUNCTION("""COMPUTED_VALUE"""),"completed")</f>
        <v>completed</v>
      </c>
      <c r="D1516" s="26">
        <f ca="1">IFERROR(__xludf.DUMMYFUNCTION("""COMPUTED_VALUE"""),40)</f>
        <v>40</v>
      </c>
      <c r="E1516" s="1"/>
      <c r="F1516" s="87" t="str">
        <f t="shared" ca="1" si="0"/>
        <v>2022</v>
      </c>
      <c r="G1516" s="1" t="str">
        <f ca="1">IFERROR(__xludf.DUMMYFUNCTION("""COMPUTED_VALUE"""),"Erie North Shore Minor Hockey")</f>
        <v>Erie North Shore Minor Hockey</v>
      </c>
      <c r="H1516" s="26">
        <f t="shared" ca="1" si="1"/>
        <v>40</v>
      </c>
      <c r="I1516" s="26">
        <f t="shared" ca="1" si="2"/>
        <v>1</v>
      </c>
      <c r="J1516" s="86">
        <f t="shared" ca="1" si="3"/>
        <v>44844</v>
      </c>
      <c r="R1516" s="26"/>
    </row>
    <row r="1517" spans="1:18" ht="15.75" customHeight="1">
      <c r="A1517" s="26">
        <f ca="1">IFERROR(__xludf.DUMMYFUNCTION("""COMPUTED_VALUE"""),16344)</f>
        <v>16344</v>
      </c>
      <c r="B1517" s="86">
        <f ca="1">IFERROR(__xludf.DUMMYFUNCTION("""COMPUTED_VALUE"""),44840.965787037)</f>
        <v>44840.965787036999</v>
      </c>
      <c r="C1517" s="1" t="str">
        <f ca="1">IFERROR(__xludf.DUMMYFUNCTION("""COMPUTED_VALUE"""),"completed")</f>
        <v>completed</v>
      </c>
      <c r="D1517" s="26">
        <f ca="1">IFERROR(__xludf.DUMMYFUNCTION("""COMPUTED_VALUE"""),35)</f>
        <v>35</v>
      </c>
      <c r="E1517" s="1"/>
      <c r="F1517" s="87" t="str">
        <f t="shared" ca="1" si="0"/>
        <v>2022</v>
      </c>
      <c r="G1517" s="1" t="str">
        <f ca="1">IFERROR(__xludf.DUMMYFUNCTION("""COMPUTED_VALUE"""),"Erie North Shore Minor Hockey")</f>
        <v>Erie North Shore Minor Hockey</v>
      </c>
      <c r="H1517" s="26">
        <f t="shared" ca="1" si="1"/>
        <v>35</v>
      </c>
      <c r="I1517" s="26">
        <f t="shared" ca="1" si="2"/>
        <v>1</v>
      </c>
      <c r="J1517" s="86">
        <f t="shared" ca="1" si="3"/>
        <v>44840</v>
      </c>
      <c r="R1517" s="26"/>
    </row>
    <row r="1518" spans="1:18" ht="15.75" customHeight="1">
      <c r="A1518" s="26">
        <f ca="1">IFERROR(__xludf.DUMMYFUNCTION("""COMPUTED_VALUE"""),16343)</f>
        <v>16343</v>
      </c>
      <c r="B1518" s="86">
        <f ca="1">IFERROR(__xludf.DUMMYFUNCTION("""COMPUTED_VALUE"""),44840.9644907407)</f>
        <v>44840.964490740698</v>
      </c>
      <c r="C1518" s="1" t="str">
        <f ca="1">IFERROR(__xludf.DUMMYFUNCTION("""COMPUTED_VALUE"""),"completed")</f>
        <v>completed</v>
      </c>
      <c r="D1518" s="26">
        <f ca="1">IFERROR(__xludf.DUMMYFUNCTION("""COMPUTED_VALUE"""),55)</f>
        <v>55</v>
      </c>
      <c r="E1518" s="1"/>
      <c r="F1518" s="87" t="str">
        <f t="shared" ca="1" si="0"/>
        <v>2022</v>
      </c>
      <c r="G1518" s="1" t="str">
        <f ca="1">IFERROR(__xludf.DUMMYFUNCTION("""COMPUTED_VALUE"""),"Erie North Shore Minor Hockey")</f>
        <v>Erie North Shore Minor Hockey</v>
      </c>
      <c r="H1518" s="26">
        <f t="shared" ca="1" si="1"/>
        <v>55</v>
      </c>
      <c r="I1518" s="26">
        <f t="shared" ca="1" si="2"/>
        <v>1</v>
      </c>
      <c r="J1518" s="86">
        <f t="shared" ca="1" si="3"/>
        <v>44840</v>
      </c>
      <c r="R1518" s="26"/>
    </row>
    <row r="1519" spans="1:18" ht="15.75" customHeight="1">
      <c r="A1519" s="26">
        <f ca="1">IFERROR(__xludf.DUMMYFUNCTION("""COMPUTED_VALUE"""),16342)</f>
        <v>16342</v>
      </c>
      <c r="B1519" s="86">
        <f ca="1">IFERROR(__xludf.DUMMYFUNCTION("""COMPUTED_VALUE"""),44840.964224537)</f>
        <v>44840.964224536998</v>
      </c>
      <c r="C1519" s="1" t="str">
        <f ca="1">IFERROR(__xludf.DUMMYFUNCTION("""COMPUTED_VALUE"""),"completed")</f>
        <v>completed</v>
      </c>
      <c r="D1519" s="26">
        <f ca="1">IFERROR(__xludf.DUMMYFUNCTION("""COMPUTED_VALUE"""),85)</f>
        <v>85</v>
      </c>
      <c r="E1519" s="1"/>
      <c r="F1519" s="87" t="str">
        <f t="shared" ca="1" si="0"/>
        <v>2022</v>
      </c>
      <c r="G1519" s="1" t="str">
        <f ca="1">IFERROR(__xludf.DUMMYFUNCTION("""COMPUTED_VALUE"""),"Erie North Shore Minor Hockey")</f>
        <v>Erie North Shore Minor Hockey</v>
      </c>
      <c r="H1519" s="26">
        <f t="shared" ca="1" si="1"/>
        <v>85</v>
      </c>
      <c r="I1519" s="26">
        <f t="shared" ca="1" si="2"/>
        <v>1</v>
      </c>
      <c r="J1519" s="86">
        <f t="shared" ca="1" si="3"/>
        <v>44840</v>
      </c>
      <c r="R1519" s="26"/>
    </row>
    <row r="1520" spans="1:18" ht="15.75" customHeight="1">
      <c r="A1520" s="26">
        <f ca="1">IFERROR(__xludf.DUMMYFUNCTION("""COMPUTED_VALUE"""),16341)</f>
        <v>16341</v>
      </c>
      <c r="B1520" s="86">
        <f ca="1">IFERROR(__xludf.DUMMYFUNCTION("""COMPUTED_VALUE"""),44839.7667708333)</f>
        <v>44839.766770833303</v>
      </c>
      <c r="C1520" s="1" t="str">
        <f ca="1">IFERROR(__xludf.DUMMYFUNCTION("""COMPUTED_VALUE"""),"completed")</f>
        <v>completed</v>
      </c>
      <c r="D1520" s="26">
        <f ca="1">IFERROR(__xludf.DUMMYFUNCTION("""COMPUTED_VALUE"""),25)</f>
        <v>25</v>
      </c>
      <c r="E1520" s="1"/>
      <c r="F1520" s="87" t="str">
        <f t="shared" ca="1" si="0"/>
        <v>2022</v>
      </c>
      <c r="G1520" s="1" t="str">
        <f ca="1">IFERROR(__xludf.DUMMYFUNCTION("""COMPUTED_VALUE"""),"Erie North Shore Minor Hockey")</f>
        <v>Erie North Shore Minor Hockey</v>
      </c>
      <c r="H1520" s="26">
        <f t="shared" ca="1" si="1"/>
        <v>25</v>
      </c>
      <c r="I1520" s="26">
        <f t="shared" ca="1" si="2"/>
        <v>1</v>
      </c>
      <c r="J1520" s="86">
        <f t="shared" ca="1" si="3"/>
        <v>44839</v>
      </c>
      <c r="R1520" s="26"/>
    </row>
    <row r="1521" spans="1:18" ht="15.75" customHeight="1">
      <c r="A1521" s="26">
        <f ca="1">IFERROR(__xludf.DUMMYFUNCTION("""COMPUTED_VALUE"""),16340)</f>
        <v>16340</v>
      </c>
      <c r="B1521" s="86">
        <f ca="1">IFERROR(__xludf.DUMMYFUNCTION("""COMPUTED_VALUE"""),44837.593136574)</f>
        <v>44837.593136574003</v>
      </c>
      <c r="C1521" s="1" t="str">
        <f ca="1">IFERROR(__xludf.DUMMYFUNCTION("""COMPUTED_VALUE"""),"completed")</f>
        <v>completed</v>
      </c>
      <c r="D1521" s="26">
        <f ca="1">IFERROR(__xludf.DUMMYFUNCTION("""COMPUTED_VALUE"""),28)</f>
        <v>28</v>
      </c>
      <c r="E1521" s="1"/>
      <c r="F1521" s="87" t="str">
        <f t="shared" ca="1" si="0"/>
        <v>2022</v>
      </c>
      <c r="G1521" s="1" t="str">
        <f ca="1">IFERROR(__xludf.DUMMYFUNCTION("""COMPUTED_VALUE"""),"Erie North Shore Minor Hockey")</f>
        <v>Erie North Shore Minor Hockey</v>
      </c>
      <c r="H1521" s="26">
        <f t="shared" ca="1" si="1"/>
        <v>28</v>
      </c>
      <c r="I1521" s="26">
        <f t="shared" ca="1" si="2"/>
        <v>1</v>
      </c>
      <c r="J1521" s="86">
        <f t="shared" ca="1" si="3"/>
        <v>44837</v>
      </c>
      <c r="R1521" s="26"/>
    </row>
    <row r="1522" spans="1:18" ht="15.75" customHeight="1">
      <c r="A1522" s="26">
        <f ca="1">IFERROR(__xludf.DUMMYFUNCTION("""COMPUTED_VALUE"""),16339)</f>
        <v>16339</v>
      </c>
      <c r="B1522" s="86">
        <f ca="1">IFERROR(__xludf.DUMMYFUNCTION("""COMPUTED_VALUE"""),44835.3434143518)</f>
        <v>44835.343414351802</v>
      </c>
      <c r="C1522" s="1" t="str">
        <f ca="1">IFERROR(__xludf.DUMMYFUNCTION("""COMPUTED_VALUE"""),"completed")</f>
        <v>completed</v>
      </c>
      <c r="D1522" s="26">
        <f ca="1">IFERROR(__xludf.DUMMYFUNCTION("""COMPUTED_VALUE"""),15)</f>
        <v>15</v>
      </c>
      <c r="E1522" s="1"/>
      <c r="F1522" s="87" t="str">
        <f t="shared" ca="1" si="0"/>
        <v>2022</v>
      </c>
      <c r="G1522" s="1" t="str">
        <f ca="1">IFERROR(__xludf.DUMMYFUNCTION("""COMPUTED_VALUE"""),"Erie North Shore Minor Hockey")</f>
        <v>Erie North Shore Minor Hockey</v>
      </c>
      <c r="H1522" s="26">
        <f t="shared" ca="1" si="1"/>
        <v>15</v>
      </c>
      <c r="I1522" s="26">
        <f t="shared" ca="1" si="2"/>
        <v>1</v>
      </c>
      <c r="J1522" s="86">
        <f t="shared" ca="1" si="3"/>
        <v>44835</v>
      </c>
      <c r="R1522" s="26"/>
    </row>
    <row r="1523" spans="1:18" ht="15.75" customHeight="1">
      <c r="A1523" s="26">
        <f ca="1">IFERROR(__xludf.DUMMYFUNCTION("""COMPUTED_VALUE"""),16337)</f>
        <v>16337</v>
      </c>
      <c r="B1523" s="86">
        <f ca="1">IFERROR(__xludf.DUMMYFUNCTION("""COMPUTED_VALUE"""),44834.4916087962)</f>
        <v>44834.491608796197</v>
      </c>
      <c r="C1523" s="1" t="str">
        <f ca="1">IFERROR(__xludf.DUMMYFUNCTION("""COMPUTED_VALUE"""),"completed")</f>
        <v>completed</v>
      </c>
      <c r="D1523" s="26">
        <f ca="1">IFERROR(__xludf.DUMMYFUNCTION("""COMPUTED_VALUE"""),53)</f>
        <v>53</v>
      </c>
      <c r="E1523" s="1"/>
      <c r="F1523" s="87" t="str">
        <f t="shared" ca="1" si="0"/>
        <v>2022</v>
      </c>
      <c r="G1523" s="1" t="str">
        <f ca="1">IFERROR(__xludf.DUMMYFUNCTION("""COMPUTED_VALUE"""),"Erie North Shore Minor Hockey")</f>
        <v>Erie North Shore Minor Hockey</v>
      </c>
      <c r="H1523" s="26">
        <f t="shared" ca="1" si="1"/>
        <v>53</v>
      </c>
      <c r="I1523" s="26">
        <f t="shared" ca="1" si="2"/>
        <v>1</v>
      </c>
      <c r="J1523" s="86">
        <f t="shared" ca="1" si="3"/>
        <v>44834</v>
      </c>
      <c r="R1523" s="26"/>
    </row>
    <row r="1524" spans="1:18" ht="15.75" customHeight="1">
      <c r="A1524" s="26">
        <f ca="1">IFERROR(__xludf.DUMMYFUNCTION("""COMPUTED_VALUE"""),16336)</f>
        <v>16336</v>
      </c>
      <c r="B1524" s="86">
        <f ca="1">IFERROR(__xludf.DUMMYFUNCTION("""COMPUTED_VALUE"""),44834.1304629629)</f>
        <v>44834.130462962901</v>
      </c>
      <c r="C1524" s="1" t="str">
        <f ca="1">IFERROR(__xludf.DUMMYFUNCTION("""COMPUTED_VALUE"""),"completed")</f>
        <v>completed</v>
      </c>
      <c r="D1524" s="26">
        <f ca="1">IFERROR(__xludf.DUMMYFUNCTION("""COMPUTED_VALUE"""),33)</f>
        <v>33</v>
      </c>
      <c r="E1524" s="1"/>
      <c r="F1524" s="87" t="str">
        <f t="shared" ca="1" si="0"/>
        <v>2022</v>
      </c>
      <c r="G1524" s="1" t="str">
        <f ca="1">IFERROR(__xludf.DUMMYFUNCTION("""COMPUTED_VALUE"""),"Erie North Shore Minor Hockey")</f>
        <v>Erie North Shore Minor Hockey</v>
      </c>
      <c r="H1524" s="26">
        <f t="shared" ca="1" si="1"/>
        <v>33</v>
      </c>
      <c r="I1524" s="26">
        <f t="shared" ca="1" si="2"/>
        <v>1</v>
      </c>
      <c r="J1524" s="86">
        <f t="shared" ca="1" si="3"/>
        <v>44834</v>
      </c>
      <c r="R1524" s="26"/>
    </row>
    <row r="1525" spans="1:18" ht="15.75" customHeight="1">
      <c r="A1525" s="26">
        <f ca="1">IFERROR(__xludf.DUMMYFUNCTION("""COMPUTED_VALUE"""),16335)</f>
        <v>16335</v>
      </c>
      <c r="B1525" s="86">
        <f ca="1">IFERROR(__xludf.DUMMYFUNCTION("""COMPUTED_VALUE"""),44834.001886574)</f>
        <v>44834.001886573998</v>
      </c>
      <c r="C1525" s="1" t="str">
        <f ca="1">IFERROR(__xludf.DUMMYFUNCTION("""COMPUTED_VALUE"""),"completed")</f>
        <v>completed</v>
      </c>
      <c r="D1525" s="26">
        <f ca="1">IFERROR(__xludf.DUMMYFUNCTION("""COMPUTED_VALUE"""),18)</f>
        <v>18</v>
      </c>
      <c r="E1525" s="1"/>
      <c r="F1525" s="87" t="str">
        <f t="shared" ca="1" si="0"/>
        <v>2022</v>
      </c>
      <c r="G1525" s="1" t="str">
        <f ca="1">IFERROR(__xludf.DUMMYFUNCTION("""COMPUTED_VALUE"""),"Erie North Shore Minor Hockey")</f>
        <v>Erie North Shore Minor Hockey</v>
      </c>
      <c r="H1525" s="26">
        <f t="shared" ca="1" si="1"/>
        <v>18</v>
      </c>
      <c r="I1525" s="26">
        <f t="shared" ca="1" si="2"/>
        <v>1</v>
      </c>
      <c r="J1525" s="86">
        <f t="shared" ca="1" si="3"/>
        <v>44834</v>
      </c>
      <c r="R1525" s="26"/>
    </row>
    <row r="1526" spans="1:18" ht="15.75" customHeight="1">
      <c r="A1526" s="26">
        <f ca="1">IFERROR(__xludf.DUMMYFUNCTION("""COMPUTED_VALUE"""),16334)</f>
        <v>16334</v>
      </c>
      <c r="B1526" s="86">
        <f ca="1">IFERROR(__xludf.DUMMYFUNCTION("""COMPUTED_VALUE"""),44832.9316782407)</f>
        <v>44832.931678240697</v>
      </c>
      <c r="C1526" s="1" t="str">
        <f ca="1">IFERROR(__xludf.DUMMYFUNCTION("""COMPUTED_VALUE"""),"completed")</f>
        <v>completed</v>
      </c>
      <c r="D1526" s="26">
        <f ca="1">IFERROR(__xludf.DUMMYFUNCTION("""COMPUTED_VALUE"""),24)</f>
        <v>24</v>
      </c>
      <c r="E1526" s="1"/>
      <c r="F1526" s="87" t="str">
        <f t="shared" ca="1" si="0"/>
        <v>2022</v>
      </c>
      <c r="G1526" s="1" t="str">
        <f ca="1">IFERROR(__xludf.DUMMYFUNCTION("""COMPUTED_VALUE"""),"Erie North Shore Minor Hockey")</f>
        <v>Erie North Shore Minor Hockey</v>
      </c>
      <c r="H1526" s="26">
        <f t="shared" ca="1" si="1"/>
        <v>24</v>
      </c>
      <c r="I1526" s="26">
        <f t="shared" ca="1" si="2"/>
        <v>1</v>
      </c>
      <c r="J1526" s="86">
        <f t="shared" ca="1" si="3"/>
        <v>44832</v>
      </c>
      <c r="R1526" s="26"/>
    </row>
    <row r="1527" spans="1:18" ht="15.75" customHeight="1">
      <c r="A1527" s="26">
        <f ca="1">IFERROR(__xludf.DUMMYFUNCTION("""COMPUTED_VALUE"""),16333)</f>
        <v>16333</v>
      </c>
      <c r="B1527" s="86">
        <f ca="1">IFERROR(__xludf.DUMMYFUNCTION("""COMPUTED_VALUE"""),44832.6452546296)</f>
        <v>44832.645254629599</v>
      </c>
      <c r="C1527" s="1" t="str">
        <f ca="1">IFERROR(__xludf.DUMMYFUNCTION("""COMPUTED_VALUE"""),"completed")</f>
        <v>completed</v>
      </c>
      <c r="D1527" s="26">
        <f ca="1">IFERROR(__xludf.DUMMYFUNCTION("""COMPUTED_VALUE"""),25)</f>
        <v>25</v>
      </c>
      <c r="E1527" s="1"/>
      <c r="F1527" s="87" t="str">
        <f t="shared" ca="1" si="0"/>
        <v>2022</v>
      </c>
      <c r="G1527" s="1" t="str">
        <f ca="1">IFERROR(__xludf.DUMMYFUNCTION("""COMPUTED_VALUE"""),"Erie North Shore Minor Hockey")</f>
        <v>Erie North Shore Minor Hockey</v>
      </c>
      <c r="H1527" s="26">
        <f t="shared" ca="1" si="1"/>
        <v>25</v>
      </c>
      <c r="I1527" s="26">
        <f t="shared" ca="1" si="2"/>
        <v>1</v>
      </c>
      <c r="J1527" s="86">
        <f t="shared" ca="1" si="3"/>
        <v>44832</v>
      </c>
      <c r="R1527" s="26"/>
    </row>
    <row r="1528" spans="1:18" ht="15.75" customHeight="1">
      <c r="A1528" s="26">
        <f ca="1">IFERROR(__xludf.DUMMYFUNCTION("""COMPUTED_VALUE"""),16332)</f>
        <v>16332</v>
      </c>
      <c r="B1528" s="86">
        <f ca="1">IFERROR(__xludf.DUMMYFUNCTION("""COMPUTED_VALUE"""),44832.6428124999)</f>
        <v>44832.6428124999</v>
      </c>
      <c r="C1528" s="1" t="str">
        <f ca="1">IFERROR(__xludf.DUMMYFUNCTION("""COMPUTED_VALUE"""),"completed")</f>
        <v>completed</v>
      </c>
      <c r="D1528" s="26">
        <f ca="1">IFERROR(__xludf.DUMMYFUNCTION("""COMPUTED_VALUE"""),25)</f>
        <v>25</v>
      </c>
      <c r="E1528" s="1"/>
      <c r="F1528" s="87" t="str">
        <f t="shared" ca="1" si="0"/>
        <v>2022</v>
      </c>
      <c r="G1528" s="1" t="str">
        <f ca="1">IFERROR(__xludf.DUMMYFUNCTION("""COMPUTED_VALUE"""),"Erie North Shore Minor Hockey")</f>
        <v>Erie North Shore Minor Hockey</v>
      </c>
      <c r="H1528" s="26">
        <f t="shared" ca="1" si="1"/>
        <v>25</v>
      </c>
      <c r="I1528" s="26">
        <f t="shared" ca="1" si="2"/>
        <v>1</v>
      </c>
      <c r="J1528" s="86">
        <f t="shared" ca="1" si="3"/>
        <v>44832</v>
      </c>
      <c r="R1528" s="26"/>
    </row>
    <row r="1529" spans="1:18" ht="15.75" customHeight="1">
      <c r="A1529" s="26">
        <f ca="1">IFERROR(__xludf.DUMMYFUNCTION("""COMPUTED_VALUE"""),16331)</f>
        <v>16331</v>
      </c>
      <c r="B1529" s="86">
        <f ca="1">IFERROR(__xludf.DUMMYFUNCTION("""COMPUTED_VALUE"""),44832.5762268518)</f>
        <v>44832.576226851801</v>
      </c>
      <c r="C1529" s="1" t="str">
        <f ca="1">IFERROR(__xludf.DUMMYFUNCTION("""COMPUTED_VALUE"""),"completed")</f>
        <v>completed</v>
      </c>
      <c r="D1529" s="26">
        <f ca="1">IFERROR(__xludf.DUMMYFUNCTION("""COMPUTED_VALUE"""),25)</f>
        <v>25</v>
      </c>
      <c r="E1529" s="1"/>
      <c r="F1529" s="87" t="str">
        <f t="shared" ca="1" si="0"/>
        <v>2022</v>
      </c>
      <c r="G1529" s="1" t="str">
        <f ca="1">IFERROR(__xludf.DUMMYFUNCTION("""COMPUTED_VALUE"""),"Erie North Shore Minor Hockey")</f>
        <v>Erie North Shore Minor Hockey</v>
      </c>
      <c r="H1529" s="26">
        <f t="shared" ca="1" si="1"/>
        <v>25</v>
      </c>
      <c r="I1529" s="26">
        <f t="shared" ca="1" si="2"/>
        <v>1</v>
      </c>
      <c r="J1529" s="86">
        <f t="shared" ca="1" si="3"/>
        <v>44832</v>
      </c>
      <c r="R1529" s="26"/>
    </row>
    <row r="1530" spans="1:18" ht="15.75" customHeight="1">
      <c r="A1530" s="26">
        <f ca="1">IFERROR(__xludf.DUMMYFUNCTION("""COMPUTED_VALUE"""),16330)</f>
        <v>16330</v>
      </c>
      <c r="B1530" s="86">
        <f ca="1">IFERROR(__xludf.DUMMYFUNCTION("""COMPUTED_VALUE"""),44832.5379166666)</f>
        <v>44832.537916666603</v>
      </c>
      <c r="C1530" s="1" t="str">
        <f ca="1">IFERROR(__xludf.DUMMYFUNCTION("""COMPUTED_VALUE"""),"completed")</f>
        <v>completed</v>
      </c>
      <c r="D1530" s="26">
        <f ca="1">IFERROR(__xludf.DUMMYFUNCTION("""COMPUTED_VALUE"""),35)</f>
        <v>35</v>
      </c>
      <c r="E1530" s="1"/>
      <c r="F1530" s="87" t="str">
        <f t="shared" ca="1" si="0"/>
        <v>2022</v>
      </c>
      <c r="G1530" s="1" t="str">
        <f ca="1">IFERROR(__xludf.DUMMYFUNCTION("""COMPUTED_VALUE"""),"Erie North Shore Minor Hockey")</f>
        <v>Erie North Shore Minor Hockey</v>
      </c>
      <c r="H1530" s="26">
        <f t="shared" ca="1" si="1"/>
        <v>35</v>
      </c>
      <c r="I1530" s="26">
        <f t="shared" ca="1" si="2"/>
        <v>1</v>
      </c>
      <c r="J1530" s="86">
        <f t="shared" ca="1" si="3"/>
        <v>44832</v>
      </c>
      <c r="R1530" s="26"/>
    </row>
    <row r="1531" spans="1:18" ht="15.75" customHeight="1">
      <c r="A1531" s="26">
        <f ca="1">IFERROR(__xludf.DUMMYFUNCTION("""COMPUTED_VALUE"""),16329)</f>
        <v>16329</v>
      </c>
      <c r="B1531" s="86">
        <f ca="1">IFERROR(__xludf.DUMMYFUNCTION("""COMPUTED_VALUE"""),44832.4998958333)</f>
        <v>44832.499895833302</v>
      </c>
      <c r="C1531" s="1" t="str">
        <f ca="1">IFERROR(__xludf.DUMMYFUNCTION("""COMPUTED_VALUE"""),"completed")</f>
        <v>completed</v>
      </c>
      <c r="D1531" s="26">
        <f ca="1">IFERROR(__xludf.DUMMYFUNCTION("""COMPUTED_VALUE"""),35)</f>
        <v>35</v>
      </c>
      <c r="E1531" s="1"/>
      <c r="F1531" s="87" t="str">
        <f t="shared" ca="1" si="0"/>
        <v>2022</v>
      </c>
      <c r="G1531" s="1" t="str">
        <f ca="1">IFERROR(__xludf.DUMMYFUNCTION("""COMPUTED_VALUE"""),"Erie North Shore Minor Hockey")</f>
        <v>Erie North Shore Minor Hockey</v>
      </c>
      <c r="H1531" s="26">
        <f t="shared" ca="1" si="1"/>
        <v>35</v>
      </c>
      <c r="I1531" s="26">
        <f t="shared" ca="1" si="2"/>
        <v>1</v>
      </c>
      <c r="J1531" s="86">
        <f t="shared" ca="1" si="3"/>
        <v>44832</v>
      </c>
      <c r="R1531" s="26"/>
    </row>
    <row r="1532" spans="1:18" ht="15.75" customHeight="1">
      <c r="A1532" s="26">
        <f ca="1">IFERROR(__xludf.DUMMYFUNCTION("""COMPUTED_VALUE"""),16327)</f>
        <v>16327</v>
      </c>
      <c r="B1532" s="86">
        <f ca="1">IFERROR(__xludf.DUMMYFUNCTION("""COMPUTED_VALUE"""),44831.4670486111)</f>
        <v>44831.467048611099</v>
      </c>
      <c r="C1532" s="1" t="str">
        <f ca="1">IFERROR(__xludf.DUMMYFUNCTION("""COMPUTED_VALUE"""),"completed")</f>
        <v>completed</v>
      </c>
      <c r="D1532" s="26">
        <f ca="1">IFERROR(__xludf.DUMMYFUNCTION("""COMPUTED_VALUE"""),18)</f>
        <v>18</v>
      </c>
      <c r="E1532" s="1"/>
      <c r="F1532" s="87" t="str">
        <f t="shared" ca="1" si="0"/>
        <v>2022</v>
      </c>
      <c r="G1532" s="1" t="str">
        <f ca="1">IFERROR(__xludf.DUMMYFUNCTION("""COMPUTED_VALUE"""),"Erie North Shore Minor Hockey")</f>
        <v>Erie North Shore Minor Hockey</v>
      </c>
      <c r="H1532" s="26">
        <f t="shared" ca="1" si="1"/>
        <v>18</v>
      </c>
      <c r="I1532" s="26">
        <f t="shared" ca="1" si="2"/>
        <v>1</v>
      </c>
      <c r="J1532" s="86">
        <f t="shared" ca="1" si="3"/>
        <v>44831</v>
      </c>
      <c r="R1532" s="26"/>
    </row>
    <row r="1533" spans="1:18" ht="15.75" customHeight="1">
      <c r="A1533" s="26">
        <f ca="1">IFERROR(__xludf.DUMMYFUNCTION("""COMPUTED_VALUE"""),16326)</f>
        <v>16326</v>
      </c>
      <c r="B1533" s="86">
        <f ca="1">IFERROR(__xludf.DUMMYFUNCTION("""COMPUTED_VALUE"""),44831.0854398148)</f>
        <v>44831.0854398148</v>
      </c>
      <c r="C1533" s="1" t="str">
        <f ca="1">IFERROR(__xludf.DUMMYFUNCTION("""COMPUTED_VALUE"""),"completed")</f>
        <v>completed</v>
      </c>
      <c r="D1533" s="26">
        <f ca="1">IFERROR(__xludf.DUMMYFUNCTION("""COMPUTED_VALUE"""),38)</f>
        <v>38</v>
      </c>
      <c r="E1533" s="1"/>
      <c r="F1533" s="87" t="str">
        <f t="shared" ca="1" si="0"/>
        <v>2022</v>
      </c>
      <c r="G1533" s="1" t="str">
        <f ca="1">IFERROR(__xludf.DUMMYFUNCTION("""COMPUTED_VALUE"""),"Erie North Shore Minor Hockey")</f>
        <v>Erie North Shore Minor Hockey</v>
      </c>
      <c r="H1533" s="26">
        <f t="shared" ca="1" si="1"/>
        <v>38</v>
      </c>
      <c r="I1533" s="26">
        <f t="shared" ca="1" si="2"/>
        <v>1</v>
      </c>
      <c r="J1533" s="86">
        <f t="shared" ca="1" si="3"/>
        <v>44831</v>
      </c>
      <c r="R1533" s="26"/>
    </row>
    <row r="1534" spans="1:18" ht="15.75" customHeight="1">
      <c r="A1534" s="26">
        <f ca="1">IFERROR(__xludf.DUMMYFUNCTION("""COMPUTED_VALUE"""),16325)</f>
        <v>16325</v>
      </c>
      <c r="B1534" s="86">
        <f ca="1">IFERROR(__xludf.DUMMYFUNCTION("""COMPUTED_VALUE"""),44831.0812731481)</f>
        <v>44831.081273148098</v>
      </c>
      <c r="C1534" s="1" t="str">
        <f ca="1">IFERROR(__xludf.DUMMYFUNCTION("""COMPUTED_VALUE"""),"completed")</f>
        <v>completed</v>
      </c>
      <c r="D1534" s="26">
        <f ca="1">IFERROR(__xludf.DUMMYFUNCTION("""COMPUTED_VALUE"""),48)</f>
        <v>48</v>
      </c>
      <c r="E1534" s="1"/>
      <c r="F1534" s="87" t="str">
        <f t="shared" ca="1" si="0"/>
        <v>2022</v>
      </c>
      <c r="G1534" s="1" t="str">
        <f ca="1">IFERROR(__xludf.DUMMYFUNCTION("""COMPUTED_VALUE"""),"Erie North Shore Minor Hockey")</f>
        <v>Erie North Shore Minor Hockey</v>
      </c>
      <c r="H1534" s="26">
        <f t="shared" ca="1" si="1"/>
        <v>48</v>
      </c>
      <c r="I1534" s="26">
        <f t="shared" ca="1" si="2"/>
        <v>1</v>
      </c>
      <c r="J1534" s="86">
        <f t="shared" ca="1" si="3"/>
        <v>44831</v>
      </c>
      <c r="R1534" s="26"/>
    </row>
    <row r="1535" spans="1:18" ht="15.75" customHeight="1">
      <c r="A1535" s="26">
        <f ca="1">IFERROR(__xludf.DUMMYFUNCTION("""COMPUTED_VALUE"""),16324)</f>
        <v>16324</v>
      </c>
      <c r="B1535" s="86">
        <f ca="1">IFERROR(__xludf.DUMMYFUNCTION("""COMPUTED_VALUE"""),44831.0793171296)</f>
        <v>44831.079317129603</v>
      </c>
      <c r="C1535" s="1" t="str">
        <f ca="1">IFERROR(__xludf.DUMMYFUNCTION("""COMPUTED_VALUE"""),"completed")</f>
        <v>completed</v>
      </c>
      <c r="D1535" s="26">
        <f ca="1">IFERROR(__xludf.DUMMYFUNCTION("""COMPUTED_VALUE"""),48)</f>
        <v>48</v>
      </c>
      <c r="E1535" s="1"/>
      <c r="F1535" s="87" t="str">
        <f t="shared" ca="1" si="0"/>
        <v>2022</v>
      </c>
      <c r="G1535" s="1" t="str">
        <f ca="1">IFERROR(__xludf.DUMMYFUNCTION("""COMPUTED_VALUE"""),"Erie North Shore Minor Hockey")</f>
        <v>Erie North Shore Minor Hockey</v>
      </c>
      <c r="H1535" s="26">
        <f t="shared" ca="1" si="1"/>
        <v>48</v>
      </c>
      <c r="I1535" s="26">
        <f t="shared" ca="1" si="2"/>
        <v>1</v>
      </c>
      <c r="J1535" s="86">
        <f t="shared" ca="1" si="3"/>
        <v>44831</v>
      </c>
      <c r="R1535" s="26"/>
    </row>
    <row r="1536" spans="1:18" ht="15.75" customHeight="1">
      <c r="A1536" s="26">
        <f ca="1">IFERROR(__xludf.DUMMYFUNCTION("""COMPUTED_VALUE"""),16321)</f>
        <v>16321</v>
      </c>
      <c r="B1536" s="86">
        <f ca="1">IFERROR(__xludf.DUMMYFUNCTION("""COMPUTED_VALUE"""),44831.0472800925)</f>
        <v>44831.047280092498</v>
      </c>
      <c r="C1536" s="1" t="str">
        <f ca="1">IFERROR(__xludf.DUMMYFUNCTION("""COMPUTED_VALUE"""),"completed")</f>
        <v>completed</v>
      </c>
      <c r="D1536" s="26">
        <f ca="1">IFERROR(__xludf.DUMMYFUNCTION("""COMPUTED_VALUE"""),44)</f>
        <v>44</v>
      </c>
      <c r="E1536" s="1"/>
      <c r="F1536" s="87" t="str">
        <f t="shared" ca="1" si="0"/>
        <v>2022</v>
      </c>
      <c r="G1536" s="1" t="str">
        <f ca="1">IFERROR(__xludf.DUMMYFUNCTION("""COMPUTED_VALUE"""),"Erie North Shore Minor Hockey")</f>
        <v>Erie North Shore Minor Hockey</v>
      </c>
      <c r="H1536" s="26">
        <f t="shared" ca="1" si="1"/>
        <v>44</v>
      </c>
      <c r="I1536" s="26">
        <f t="shared" ca="1" si="2"/>
        <v>1</v>
      </c>
      <c r="J1536" s="86">
        <f t="shared" ca="1" si="3"/>
        <v>44831</v>
      </c>
      <c r="R1536" s="26"/>
    </row>
    <row r="1537" spans="1:18" ht="15.75" customHeight="1">
      <c r="A1537" s="26">
        <f ca="1">IFERROR(__xludf.DUMMYFUNCTION("""COMPUTED_VALUE"""),16300)</f>
        <v>16300</v>
      </c>
      <c r="B1537" s="86">
        <f ca="1">IFERROR(__xludf.DUMMYFUNCTION("""COMPUTED_VALUE"""),44830.681724537)</f>
        <v>44830.681724536997</v>
      </c>
      <c r="C1537" s="1" t="str">
        <f ca="1">IFERROR(__xludf.DUMMYFUNCTION("""COMPUTED_VALUE"""),"completed")</f>
        <v>completed</v>
      </c>
      <c r="D1537" s="26">
        <f ca="1">IFERROR(__xludf.DUMMYFUNCTION("""COMPUTED_VALUE"""),68)</f>
        <v>68</v>
      </c>
      <c r="E1537" s="1"/>
      <c r="F1537" s="87" t="str">
        <f t="shared" ca="1" si="0"/>
        <v>2022</v>
      </c>
      <c r="G1537" s="1" t="str">
        <f ca="1">IFERROR(__xludf.DUMMYFUNCTION("""COMPUTED_VALUE"""),"W.M.H.A")</f>
        <v>W.M.H.A</v>
      </c>
      <c r="H1537" s="26">
        <f t="shared" ca="1" si="1"/>
        <v>68</v>
      </c>
      <c r="I1537" s="26">
        <f t="shared" ca="1" si="2"/>
        <v>1</v>
      </c>
      <c r="J1537" s="86">
        <f t="shared" ca="1" si="3"/>
        <v>44830</v>
      </c>
      <c r="R1537" s="26"/>
    </row>
    <row r="1538" spans="1:18" ht="15.75" customHeight="1">
      <c r="A1538" s="26">
        <f ca="1">IFERROR(__xludf.DUMMYFUNCTION("""COMPUTED_VALUE"""),16298)</f>
        <v>16298</v>
      </c>
      <c r="B1538" s="86">
        <f ca="1">IFERROR(__xludf.DUMMYFUNCTION("""COMPUTED_VALUE"""),44830.0513425925)</f>
        <v>44830.051342592502</v>
      </c>
      <c r="C1538" s="1" t="str">
        <f ca="1">IFERROR(__xludf.DUMMYFUNCTION("""COMPUTED_VALUE"""),"completed")</f>
        <v>completed</v>
      </c>
      <c r="D1538" s="26">
        <f ca="1">IFERROR(__xludf.DUMMYFUNCTION("""COMPUTED_VALUE"""),100)</f>
        <v>100</v>
      </c>
      <c r="E1538" s="1"/>
      <c r="F1538" s="87" t="str">
        <f t="shared" ca="1" si="0"/>
        <v>2022</v>
      </c>
      <c r="G1538" s="1" t="str">
        <f ca="1">IFERROR(__xludf.DUMMYFUNCTION("""COMPUTED_VALUE"""),"Erie North Shore Minor Hockey")</f>
        <v>Erie North Shore Minor Hockey</v>
      </c>
      <c r="H1538" s="26">
        <f t="shared" ca="1" si="1"/>
        <v>100</v>
      </c>
      <c r="I1538" s="26">
        <f t="shared" ca="1" si="2"/>
        <v>1</v>
      </c>
      <c r="J1538" s="86">
        <f t="shared" ca="1" si="3"/>
        <v>44830</v>
      </c>
      <c r="R1538" s="26"/>
    </row>
    <row r="1539" spans="1:18" ht="15.75" customHeight="1">
      <c r="A1539" s="26">
        <f ca="1">IFERROR(__xludf.DUMMYFUNCTION("""COMPUTED_VALUE"""),16297)</f>
        <v>16297</v>
      </c>
      <c r="B1539" s="86">
        <f ca="1">IFERROR(__xludf.DUMMYFUNCTION("""COMPUTED_VALUE"""),44830.0482291666)</f>
        <v>44830.048229166598</v>
      </c>
      <c r="C1539" s="1" t="str">
        <f ca="1">IFERROR(__xludf.DUMMYFUNCTION("""COMPUTED_VALUE"""),"completed")</f>
        <v>completed</v>
      </c>
      <c r="D1539" s="26">
        <f ca="1">IFERROR(__xludf.DUMMYFUNCTION("""COMPUTED_VALUE"""),99)</f>
        <v>99</v>
      </c>
      <c r="E1539" s="1"/>
      <c r="F1539" s="87" t="str">
        <f t="shared" ca="1" si="0"/>
        <v>2022</v>
      </c>
      <c r="G1539" s="1" t="str">
        <f ca="1">IFERROR(__xludf.DUMMYFUNCTION("""COMPUTED_VALUE"""),"Erie North Shore Minor Hockey")</f>
        <v>Erie North Shore Minor Hockey</v>
      </c>
      <c r="H1539" s="26">
        <f t="shared" ca="1" si="1"/>
        <v>99</v>
      </c>
      <c r="I1539" s="26">
        <f t="shared" ca="1" si="2"/>
        <v>1</v>
      </c>
      <c r="J1539" s="86">
        <f t="shared" ca="1" si="3"/>
        <v>44830</v>
      </c>
      <c r="R1539" s="26"/>
    </row>
    <row r="1540" spans="1:18" ht="15.75" customHeight="1">
      <c r="A1540" s="26">
        <f ca="1">IFERROR(__xludf.DUMMYFUNCTION("""COMPUTED_VALUE"""),16296)</f>
        <v>16296</v>
      </c>
      <c r="B1540" s="86">
        <f ca="1">IFERROR(__xludf.DUMMYFUNCTION("""COMPUTED_VALUE"""),44830.0366319444)</f>
        <v>44830.0366319444</v>
      </c>
      <c r="C1540" s="1" t="str">
        <f ca="1">IFERROR(__xludf.DUMMYFUNCTION("""COMPUTED_VALUE"""),"failed")</f>
        <v>failed</v>
      </c>
      <c r="D1540" s="26">
        <f ca="1">IFERROR(__xludf.DUMMYFUNCTION("""COMPUTED_VALUE"""),73)</f>
        <v>73</v>
      </c>
      <c r="E1540" s="1"/>
      <c r="F1540" s="87" t="str">
        <f t="shared" ca="1" si="0"/>
        <v>2022</v>
      </c>
      <c r="G1540" s="1" t="str">
        <f ca="1">IFERROR(__xludf.DUMMYFUNCTION("""COMPUTED_VALUE"""),"Erie North Shore Minor Hockey")</f>
        <v>Erie North Shore Minor Hockey</v>
      </c>
      <c r="H1540" s="26">
        <f t="shared" ca="1" si="1"/>
        <v>73</v>
      </c>
      <c r="I1540" s="26">
        <f t="shared" ca="1" si="2"/>
        <v>1</v>
      </c>
      <c r="J1540" s="86">
        <f t="shared" ca="1" si="3"/>
        <v>44830</v>
      </c>
      <c r="R1540" s="26"/>
    </row>
    <row r="1541" spans="1:18" ht="15.75" customHeight="1">
      <c r="A1541" s="26">
        <f ca="1">IFERROR(__xludf.DUMMYFUNCTION("""COMPUTED_VALUE"""),16295)</f>
        <v>16295</v>
      </c>
      <c r="B1541" s="86">
        <f ca="1">IFERROR(__xludf.DUMMYFUNCTION("""COMPUTED_VALUE"""),44830.0108217592)</f>
        <v>44830.010821759199</v>
      </c>
      <c r="C1541" s="1" t="str">
        <f ca="1">IFERROR(__xludf.DUMMYFUNCTION("""COMPUTED_VALUE"""),"completed")</f>
        <v>completed</v>
      </c>
      <c r="D1541" s="26">
        <f ca="1">IFERROR(__xludf.DUMMYFUNCTION("""COMPUTED_VALUE"""),48)</f>
        <v>48</v>
      </c>
      <c r="E1541" s="1"/>
      <c r="F1541" s="87" t="str">
        <f t="shared" ca="1" si="0"/>
        <v>2022</v>
      </c>
      <c r="G1541" s="1" t="str">
        <f ca="1">IFERROR(__xludf.DUMMYFUNCTION("""COMPUTED_VALUE"""),"Erie North Shore Minor Hockey")</f>
        <v>Erie North Shore Minor Hockey</v>
      </c>
      <c r="H1541" s="26">
        <f t="shared" ca="1" si="1"/>
        <v>48</v>
      </c>
      <c r="I1541" s="26">
        <f t="shared" ca="1" si="2"/>
        <v>1</v>
      </c>
      <c r="J1541" s="86">
        <f t="shared" ca="1" si="3"/>
        <v>44830</v>
      </c>
      <c r="R1541" s="26"/>
    </row>
    <row r="1542" spans="1:18" ht="15.75" customHeight="1">
      <c r="A1542" s="26">
        <f ca="1">IFERROR(__xludf.DUMMYFUNCTION("""COMPUTED_VALUE"""),16294)</f>
        <v>16294</v>
      </c>
      <c r="B1542" s="86">
        <f ca="1">IFERROR(__xludf.DUMMYFUNCTION("""COMPUTED_VALUE"""),44829.7600231481)</f>
        <v>44829.760023148097</v>
      </c>
      <c r="C1542" s="1" t="str">
        <f ca="1">IFERROR(__xludf.DUMMYFUNCTION("""COMPUTED_VALUE"""),"completed")</f>
        <v>completed</v>
      </c>
      <c r="D1542" s="26">
        <f ca="1">IFERROR(__xludf.DUMMYFUNCTION("""COMPUTED_VALUE"""),40)</f>
        <v>40</v>
      </c>
      <c r="E1542" s="1"/>
      <c r="F1542" s="87" t="str">
        <f t="shared" ca="1" si="0"/>
        <v>2022</v>
      </c>
      <c r="G1542" s="1" t="str">
        <f ca="1">IFERROR(__xludf.DUMMYFUNCTION("""COMPUTED_VALUE"""),"Erie North Shore Minor Hockey")</f>
        <v>Erie North Shore Minor Hockey</v>
      </c>
      <c r="H1542" s="26">
        <f t="shared" ca="1" si="1"/>
        <v>40</v>
      </c>
      <c r="I1542" s="26">
        <f t="shared" ca="1" si="2"/>
        <v>1</v>
      </c>
      <c r="J1542" s="86">
        <f t="shared" ca="1" si="3"/>
        <v>44829</v>
      </c>
      <c r="R1542" s="26"/>
    </row>
    <row r="1543" spans="1:18" ht="15.75" customHeight="1">
      <c r="A1543" s="26">
        <f ca="1">IFERROR(__xludf.DUMMYFUNCTION("""COMPUTED_VALUE"""),16293)</f>
        <v>16293</v>
      </c>
      <c r="B1543" s="86">
        <f ca="1">IFERROR(__xludf.DUMMYFUNCTION("""COMPUTED_VALUE"""),44829.7506944444)</f>
        <v>44829.750694444403</v>
      </c>
      <c r="C1543" s="1" t="str">
        <f ca="1">IFERROR(__xludf.DUMMYFUNCTION("""COMPUTED_VALUE"""),"completed")</f>
        <v>completed</v>
      </c>
      <c r="D1543" s="26">
        <f ca="1">IFERROR(__xludf.DUMMYFUNCTION("""COMPUTED_VALUE"""),42.5)</f>
        <v>42.5</v>
      </c>
      <c r="E1543" s="1"/>
      <c r="F1543" s="87" t="str">
        <f t="shared" ca="1" si="0"/>
        <v>2022</v>
      </c>
      <c r="G1543" s="1" t="str">
        <f ca="1">IFERROR(__xludf.DUMMYFUNCTION("""COMPUTED_VALUE"""),"Erie North Shore Minor Hockey")</f>
        <v>Erie North Shore Minor Hockey</v>
      </c>
      <c r="H1543" s="26">
        <f t="shared" ca="1" si="1"/>
        <v>42.5</v>
      </c>
      <c r="I1543" s="26">
        <f t="shared" ca="1" si="2"/>
        <v>1</v>
      </c>
      <c r="J1543" s="86">
        <f t="shared" ca="1" si="3"/>
        <v>44829</v>
      </c>
      <c r="R1543" s="26"/>
    </row>
    <row r="1544" spans="1:18" ht="15.75" customHeight="1">
      <c r="A1544" s="26">
        <f ca="1">IFERROR(__xludf.DUMMYFUNCTION("""COMPUTED_VALUE"""),16292)</f>
        <v>16292</v>
      </c>
      <c r="B1544" s="86">
        <f ca="1">IFERROR(__xludf.DUMMYFUNCTION("""COMPUTED_VALUE"""),44829.7440393518)</f>
        <v>44829.744039351797</v>
      </c>
      <c r="C1544" s="1" t="str">
        <f ca="1">IFERROR(__xludf.DUMMYFUNCTION("""COMPUTED_VALUE"""),"completed")</f>
        <v>completed</v>
      </c>
      <c r="D1544" s="26">
        <f ca="1">IFERROR(__xludf.DUMMYFUNCTION("""COMPUTED_VALUE"""),25)</f>
        <v>25</v>
      </c>
      <c r="E1544" s="1"/>
      <c r="F1544" s="87" t="str">
        <f t="shared" ca="1" si="0"/>
        <v>2022</v>
      </c>
      <c r="G1544" s="1" t="str">
        <f ca="1">IFERROR(__xludf.DUMMYFUNCTION("""COMPUTED_VALUE"""),"Erie North Shore Minor Hockey")</f>
        <v>Erie North Shore Minor Hockey</v>
      </c>
      <c r="H1544" s="26">
        <f t="shared" ca="1" si="1"/>
        <v>25</v>
      </c>
      <c r="I1544" s="26">
        <f t="shared" ca="1" si="2"/>
        <v>1</v>
      </c>
      <c r="J1544" s="86">
        <f t="shared" ca="1" si="3"/>
        <v>44829</v>
      </c>
      <c r="R1544" s="26"/>
    </row>
    <row r="1545" spans="1:18" ht="15.75" customHeight="1">
      <c r="A1545" s="26">
        <f ca="1">IFERROR(__xludf.DUMMYFUNCTION("""COMPUTED_VALUE"""),16291)</f>
        <v>16291</v>
      </c>
      <c r="B1545" s="86">
        <f ca="1">IFERROR(__xludf.DUMMYFUNCTION("""COMPUTED_VALUE"""),44829.7372685185)</f>
        <v>44829.737268518496</v>
      </c>
      <c r="C1545" s="1" t="str">
        <f ca="1">IFERROR(__xludf.DUMMYFUNCTION("""COMPUTED_VALUE"""),"completed")</f>
        <v>completed</v>
      </c>
      <c r="D1545" s="26">
        <f ca="1">IFERROR(__xludf.DUMMYFUNCTION("""COMPUTED_VALUE"""),25)</f>
        <v>25</v>
      </c>
      <c r="E1545" s="1"/>
      <c r="F1545" s="87" t="str">
        <f t="shared" ca="1" si="0"/>
        <v>2022</v>
      </c>
      <c r="G1545" s="1" t="str">
        <f ca="1">IFERROR(__xludf.DUMMYFUNCTION("""COMPUTED_VALUE"""),"Erie North Shore Minor Hockey")</f>
        <v>Erie North Shore Minor Hockey</v>
      </c>
      <c r="H1545" s="26">
        <f t="shared" ca="1" si="1"/>
        <v>25</v>
      </c>
      <c r="I1545" s="26">
        <f t="shared" ca="1" si="2"/>
        <v>1</v>
      </c>
      <c r="J1545" s="86">
        <f t="shared" ca="1" si="3"/>
        <v>44829</v>
      </c>
      <c r="R1545" s="26"/>
    </row>
    <row r="1546" spans="1:18" ht="15.75" customHeight="1">
      <c r="A1546" s="26">
        <f ca="1">IFERROR(__xludf.DUMMYFUNCTION("""COMPUTED_VALUE"""),16290)</f>
        <v>16290</v>
      </c>
      <c r="B1546" s="86">
        <f ca="1">IFERROR(__xludf.DUMMYFUNCTION("""COMPUTED_VALUE"""),44829.7130902777)</f>
        <v>44829.713090277699</v>
      </c>
      <c r="C1546" s="1" t="str">
        <f ca="1">IFERROR(__xludf.DUMMYFUNCTION("""COMPUTED_VALUE"""),"completed")</f>
        <v>completed</v>
      </c>
      <c r="D1546" s="26">
        <f ca="1">IFERROR(__xludf.DUMMYFUNCTION("""COMPUTED_VALUE"""),49)</f>
        <v>49</v>
      </c>
      <c r="E1546" s="1"/>
      <c r="F1546" s="87" t="str">
        <f t="shared" ca="1" si="0"/>
        <v>2022</v>
      </c>
      <c r="G1546" s="1" t="str">
        <f ca="1">IFERROR(__xludf.DUMMYFUNCTION("""COMPUTED_VALUE"""),"Erie North Shore Minor Hockey")</f>
        <v>Erie North Shore Minor Hockey</v>
      </c>
      <c r="H1546" s="26">
        <f t="shared" ca="1" si="1"/>
        <v>49</v>
      </c>
      <c r="I1546" s="26">
        <f t="shared" ca="1" si="2"/>
        <v>1</v>
      </c>
      <c r="J1546" s="86">
        <f t="shared" ca="1" si="3"/>
        <v>44829</v>
      </c>
      <c r="R1546" s="26"/>
    </row>
    <row r="1547" spans="1:18" ht="15.75" customHeight="1">
      <c r="A1547" s="26">
        <f ca="1">IFERROR(__xludf.DUMMYFUNCTION("""COMPUTED_VALUE"""),16289)</f>
        <v>16289</v>
      </c>
      <c r="B1547" s="86">
        <f ca="1">IFERROR(__xludf.DUMMYFUNCTION("""COMPUTED_VALUE"""),44829.7067824074)</f>
        <v>44829.706782407397</v>
      </c>
      <c r="C1547" s="1" t="str">
        <f ca="1">IFERROR(__xludf.DUMMYFUNCTION("""COMPUTED_VALUE"""),"completed")</f>
        <v>completed</v>
      </c>
      <c r="D1547" s="26">
        <f ca="1">IFERROR(__xludf.DUMMYFUNCTION("""COMPUTED_VALUE"""),50)</f>
        <v>50</v>
      </c>
      <c r="E1547" s="1"/>
      <c r="F1547" s="87" t="str">
        <f t="shared" ca="1" si="0"/>
        <v>2022</v>
      </c>
      <c r="G1547" s="1" t="str">
        <f ca="1">IFERROR(__xludf.DUMMYFUNCTION("""COMPUTED_VALUE"""),"Erie North Shore Minor Hockey")</f>
        <v>Erie North Shore Minor Hockey</v>
      </c>
      <c r="H1547" s="26">
        <f t="shared" ca="1" si="1"/>
        <v>50</v>
      </c>
      <c r="I1547" s="26">
        <f t="shared" ca="1" si="2"/>
        <v>1</v>
      </c>
      <c r="J1547" s="86">
        <f t="shared" ca="1" si="3"/>
        <v>44829</v>
      </c>
      <c r="R1547" s="26"/>
    </row>
    <row r="1548" spans="1:18" ht="15.75" customHeight="1">
      <c r="A1548" s="26">
        <f ca="1">IFERROR(__xludf.DUMMYFUNCTION("""COMPUTED_VALUE"""),16288)</f>
        <v>16288</v>
      </c>
      <c r="B1548" s="86">
        <f ca="1">IFERROR(__xludf.DUMMYFUNCTION("""COMPUTED_VALUE"""),44829.703136574)</f>
        <v>44829.703136573997</v>
      </c>
      <c r="C1548" s="1" t="str">
        <f ca="1">IFERROR(__xludf.DUMMYFUNCTION("""COMPUTED_VALUE"""),"completed")</f>
        <v>completed</v>
      </c>
      <c r="D1548" s="26">
        <f ca="1">IFERROR(__xludf.DUMMYFUNCTION("""COMPUTED_VALUE"""),35)</f>
        <v>35</v>
      </c>
      <c r="E1548" s="1"/>
      <c r="F1548" s="87" t="str">
        <f t="shared" ca="1" si="0"/>
        <v>2022</v>
      </c>
      <c r="G1548" s="1" t="str">
        <f ca="1">IFERROR(__xludf.DUMMYFUNCTION("""COMPUTED_VALUE"""),"Erie North Shore Minor Hockey")</f>
        <v>Erie North Shore Minor Hockey</v>
      </c>
      <c r="H1548" s="26">
        <f t="shared" ca="1" si="1"/>
        <v>35</v>
      </c>
      <c r="I1548" s="26">
        <f t="shared" ca="1" si="2"/>
        <v>1</v>
      </c>
      <c r="J1548" s="86">
        <f t="shared" ca="1" si="3"/>
        <v>44829</v>
      </c>
      <c r="R1548" s="26"/>
    </row>
    <row r="1549" spans="1:18" ht="15.75" customHeight="1">
      <c r="A1549" s="26">
        <f ca="1">IFERROR(__xludf.DUMMYFUNCTION("""COMPUTED_VALUE"""),16287)</f>
        <v>16287</v>
      </c>
      <c r="B1549" s="86">
        <f ca="1">IFERROR(__xludf.DUMMYFUNCTION("""COMPUTED_VALUE"""),44829.7021759259)</f>
        <v>44829.702175925901</v>
      </c>
      <c r="C1549" s="1" t="str">
        <f ca="1">IFERROR(__xludf.DUMMYFUNCTION("""COMPUTED_VALUE"""),"completed")</f>
        <v>completed</v>
      </c>
      <c r="D1549" s="26">
        <f ca="1">IFERROR(__xludf.DUMMYFUNCTION("""COMPUTED_VALUE"""),30)</f>
        <v>30</v>
      </c>
      <c r="E1549" s="1"/>
      <c r="F1549" s="87" t="str">
        <f t="shared" ca="1" si="0"/>
        <v>2022</v>
      </c>
      <c r="G1549" s="1" t="str">
        <f ca="1">IFERROR(__xludf.DUMMYFUNCTION("""COMPUTED_VALUE"""),"Erie North Shore Minor Hockey")</f>
        <v>Erie North Shore Minor Hockey</v>
      </c>
      <c r="H1549" s="26">
        <f t="shared" ca="1" si="1"/>
        <v>30</v>
      </c>
      <c r="I1549" s="26">
        <f t="shared" ca="1" si="2"/>
        <v>1</v>
      </c>
      <c r="J1549" s="86">
        <f t="shared" ca="1" si="3"/>
        <v>44829</v>
      </c>
      <c r="R1549" s="26"/>
    </row>
    <row r="1550" spans="1:18" ht="15.75" customHeight="1">
      <c r="A1550" s="26">
        <f ca="1">IFERROR(__xludf.DUMMYFUNCTION("""COMPUTED_VALUE"""),16286)</f>
        <v>16286</v>
      </c>
      <c r="B1550" s="86">
        <f ca="1">IFERROR(__xludf.DUMMYFUNCTION("""COMPUTED_VALUE"""),44829.6987499999)</f>
        <v>44829.698749999901</v>
      </c>
      <c r="C1550" s="1" t="str">
        <f ca="1">IFERROR(__xludf.DUMMYFUNCTION("""COMPUTED_VALUE"""),"completed")</f>
        <v>completed</v>
      </c>
      <c r="D1550" s="26">
        <f ca="1">IFERROR(__xludf.DUMMYFUNCTION("""COMPUTED_VALUE"""),15)</f>
        <v>15</v>
      </c>
      <c r="E1550" s="1"/>
      <c r="F1550" s="87" t="str">
        <f t="shared" ca="1" si="0"/>
        <v>2022</v>
      </c>
      <c r="G1550" s="1" t="str">
        <f ca="1">IFERROR(__xludf.DUMMYFUNCTION("""COMPUTED_VALUE"""),"Erie North Shore Minor Hockey")</f>
        <v>Erie North Shore Minor Hockey</v>
      </c>
      <c r="H1550" s="26">
        <f t="shared" ca="1" si="1"/>
        <v>15</v>
      </c>
      <c r="I1550" s="26">
        <f t="shared" ca="1" si="2"/>
        <v>1</v>
      </c>
      <c r="J1550" s="86">
        <f t="shared" ca="1" si="3"/>
        <v>44829</v>
      </c>
      <c r="R1550" s="26"/>
    </row>
    <row r="1551" spans="1:18" ht="15.75" customHeight="1">
      <c r="A1551" s="26">
        <f ca="1">IFERROR(__xludf.DUMMYFUNCTION("""COMPUTED_VALUE"""),16285)</f>
        <v>16285</v>
      </c>
      <c r="B1551" s="86">
        <f ca="1">IFERROR(__xludf.DUMMYFUNCTION("""COMPUTED_VALUE"""),44829.6876736111)</f>
        <v>44829.687673611101</v>
      </c>
      <c r="C1551" s="1" t="str">
        <f ca="1">IFERROR(__xludf.DUMMYFUNCTION("""COMPUTED_VALUE"""),"completed")</f>
        <v>completed</v>
      </c>
      <c r="D1551" s="26">
        <f ca="1">IFERROR(__xludf.DUMMYFUNCTION("""COMPUTED_VALUE"""),53)</f>
        <v>53</v>
      </c>
      <c r="E1551" s="1"/>
      <c r="F1551" s="87" t="str">
        <f t="shared" ca="1" si="0"/>
        <v>2022</v>
      </c>
      <c r="G1551" s="1" t="str">
        <f ca="1">IFERROR(__xludf.DUMMYFUNCTION("""COMPUTED_VALUE"""),"Erie North Shore Minor Hockey")</f>
        <v>Erie North Shore Minor Hockey</v>
      </c>
      <c r="H1551" s="26">
        <f t="shared" ca="1" si="1"/>
        <v>53</v>
      </c>
      <c r="I1551" s="26">
        <f t="shared" ca="1" si="2"/>
        <v>1</v>
      </c>
      <c r="J1551" s="86">
        <f t="shared" ca="1" si="3"/>
        <v>44829</v>
      </c>
      <c r="R1551" s="26"/>
    </row>
    <row r="1552" spans="1:18" ht="15.75" customHeight="1">
      <c r="A1552" s="26">
        <f ca="1">IFERROR(__xludf.DUMMYFUNCTION("""COMPUTED_VALUE"""),16284)</f>
        <v>16284</v>
      </c>
      <c r="B1552" s="86">
        <f ca="1">IFERROR(__xludf.DUMMYFUNCTION("""COMPUTED_VALUE"""),44829.6858333333)</f>
        <v>44829.6858333333</v>
      </c>
      <c r="C1552" s="1" t="str">
        <f ca="1">IFERROR(__xludf.DUMMYFUNCTION("""COMPUTED_VALUE"""),"completed")</f>
        <v>completed</v>
      </c>
      <c r="D1552" s="26">
        <f ca="1">IFERROR(__xludf.DUMMYFUNCTION("""COMPUTED_VALUE"""),35)</f>
        <v>35</v>
      </c>
      <c r="E1552" s="1"/>
      <c r="F1552" s="87" t="str">
        <f t="shared" ca="1" si="0"/>
        <v>2022</v>
      </c>
      <c r="G1552" s="1" t="str">
        <f ca="1">IFERROR(__xludf.DUMMYFUNCTION("""COMPUTED_VALUE"""),"Erie North Shore Minor Hockey")</f>
        <v>Erie North Shore Minor Hockey</v>
      </c>
      <c r="H1552" s="26">
        <f t="shared" ca="1" si="1"/>
        <v>35</v>
      </c>
      <c r="I1552" s="26">
        <f t="shared" ca="1" si="2"/>
        <v>1</v>
      </c>
      <c r="J1552" s="86">
        <f t="shared" ca="1" si="3"/>
        <v>44829</v>
      </c>
      <c r="R1552" s="26"/>
    </row>
    <row r="1553" spans="1:18" ht="15.75" customHeight="1">
      <c r="A1553" s="26">
        <f ca="1">IFERROR(__xludf.DUMMYFUNCTION("""COMPUTED_VALUE"""),16283)</f>
        <v>16283</v>
      </c>
      <c r="B1553" s="86">
        <f ca="1">IFERROR(__xludf.DUMMYFUNCTION("""COMPUTED_VALUE"""),44829.6847222222)</f>
        <v>44829.684722222199</v>
      </c>
      <c r="C1553" s="1" t="str">
        <f ca="1">IFERROR(__xludf.DUMMYFUNCTION("""COMPUTED_VALUE"""),"completed")</f>
        <v>completed</v>
      </c>
      <c r="D1553" s="26">
        <f ca="1">IFERROR(__xludf.DUMMYFUNCTION("""COMPUTED_VALUE"""),58)</f>
        <v>58</v>
      </c>
      <c r="E1553" s="1"/>
      <c r="F1553" s="87" t="str">
        <f t="shared" ca="1" si="0"/>
        <v>2022</v>
      </c>
      <c r="G1553" s="1" t="str">
        <f ca="1">IFERROR(__xludf.DUMMYFUNCTION("""COMPUTED_VALUE"""),"Erie North Shore Minor Hockey")</f>
        <v>Erie North Shore Minor Hockey</v>
      </c>
      <c r="H1553" s="26">
        <f t="shared" ca="1" si="1"/>
        <v>58</v>
      </c>
      <c r="I1553" s="26">
        <f t="shared" ca="1" si="2"/>
        <v>1</v>
      </c>
      <c r="J1553" s="86">
        <f t="shared" ca="1" si="3"/>
        <v>44829</v>
      </c>
      <c r="R1553" s="26"/>
    </row>
    <row r="1554" spans="1:18" ht="15.75" customHeight="1">
      <c r="A1554" s="26">
        <f ca="1">IFERROR(__xludf.DUMMYFUNCTION("""COMPUTED_VALUE"""),16281)</f>
        <v>16281</v>
      </c>
      <c r="B1554" s="86">
        <f ca="1">IFERROR(__xludf.DUMMYFUNCTION("""COMPUTED_VALUE"""),44829.684074074)</f>
        <v>44829.684074074001</v>
      </c>
      <c r="C1554" s="1" t="str">
        <f ca="1">IFERROR(__xludf.DUMMYFUNCTION("""COMPUTED_VALUE"""),"completed")</f>
        <v>completed</v>
      </c>
      <c r="D1554" s="26">
        <f ca="1">IFERROR(__xludf.DUMMYFUNCTION("""COMPUTED_VALUE"""),18)</f>
        <v>18</v>
      </c>
      <c r="E1554" s="1"/>
      <c r="F1554" s="87" t="str">
        <f t="shared" ca="1" si="0"/>
        <v>2022</v>
      </c>
      <c r="G1554" s="1" t="str">
        <f ca="1">IFERROR(__xludf.DUMMYFUNCTION("""COMPUTED_VALUE"""),"Erie North Shore Minor Hockey")</f>
        <v>Erie North Shore Minor Hockey</v>
      </c>
      <c r="H1554" s="26">
        <f t="shared" ca="1" si="1"/>
        <v>18</v>
      </c>
      <c r="I1554" s="26">
        <f t="shared" ca="1" si="2"/>
        <v>1</v>
      </c>
      <c r="J1554" s="86">
        <f t="shared" ca="1" si="3"/>
        <v>44829</v>
      </c>
      <c r="R1554" s="26"/>
    </row>
    <row r="1555" spans="1:18" ht="15.75" customHeight="1">
      <c r="A1555" s="26">
        <f ca="1">IFERROR(__xludf.DUMMYFUNCTION("""COMPUTED_VALUE"""),16280)</f>
        <v>16280</v>
      </c>
      <c r="B1555" s="86">
        <f ca="1">IFERROR(__xludf.DUMMYFUNCTION("""COMPUTED_VALUE"""),44829.6828125)</f>
        <v>44829.682812500003</v>
      </c>
      <c r="C1555" s="1" t="str">
        <f ca="1">IFERROR(__xludf.DUMMYFUNCTION("""COMPUTED_VALUE"""),"completed")</f>
        <v>completed</v>
      </c>
      <c r="D1555" s="26">
        <f ca="1">IFERROR(__xludf.DUMMYFUNCTION("""COMPUTED_VALUE"""),15)</f>
        <v>15</v>
      </c>
      <c r="E1555" s="1"/>
      <c r="F1555" s="87" t="str">
        <f t="shared" ca="1" si="0"/>
        <v>2022</v>
      </c>
      <c r="G1555" s="1" t="str">
        <f ca="1">IFERROR(__xludf.DUMMYFUNCTION("""COMPUTED_VALUE"""),"Erie North Shore Minor Hockey")</f>
        <v>Erie North Shore Minor Hockey</v>
      </c>
      <c r="H1555" s="26">
        <f t="shared" ca="1" si="1"/>
        <v>15</v>
      </c>
      <c r="I1555" s="26">
        <f t="shared" ca="1" si="2"/>
        <v>1</v>
      </c>
      <c r="J1555" s="86">
        <f t="shared" ca="1" si="3"/>
        <v>44829</v>
      </c>
      <c r="R1555" s="26"/>
    </row>
    <row r="1556" spans="1:18" ht="15.75" customHeight="1">
      <c r="A1556" s="26">
        <f ca="1">IFERROR(__xludf.DUMMYFUNCTION("""COMPUTED_VALUE"""),16279)</f>
        <v>16279</v>
      </c>
      <c r="B1556" s="86">
        <f ca="1">IFERROR(__xludf.DUMMYFUNCTION("""COMPUTED_VALUE"""),44829.6821759259)</f>
        <v>44829.682175925896</v>
      </c>
      <c r="C1556" s="1" t="str">
        <f ca="1">IFERROR(__xludf.DUMMYFUNCTION("""COMPUTED_VALUE"""),"completed")</f>
        <v>completed</v>
      </c>
      <c r="D1556" s="26">
        <f ca="1">IFERROR(__xludf.DUMMYFUNCTION("""COMPUTED_VALUE"""),92)</f>
        <v>92</v>
      </c>
      <c r="E1556" s="1"/>
      <c r="F1556" s="87" t="str">
        <f t="shared" ca="1" si="0"/>
        <v>2022</v>
      </c>
      <c r="G1556" s="1" t="str">
        <f ca="1">IFERROR(__xludf.DUMMYFUNCTION("""COMPUTED_VALUE"""),"Erie North Shore Minor Hockey")</f>
        <v>Erie North Shore Minor Hockey</v>
      </c>
      <c r="H1556" s="26">
        <f t="shared" ca="1" si="1"/>
        <v>92</v>
      </c>
      <c r="I1556" s="26">
        <f t="shared" ca="1" si="2"/>
        <v>1</v>
      </c>
      <c r="J1556" s="86">
        <f t="shared" ca="1" si="3"/>
        <v>44829</v>
      </c>
      <c r="R1556" s="26"/>
    </row>
    <row r="1557" spans="1:18" ht="15.75" customHeight="1">
      <c r="A1557" s="26">
        <f ca="1">IFERROR(__xludf.DUMMYFUNCTION("""COMPUTED_VALUE"""),16278)</f>
        <v>16278</v>
      </c>
      <c r="B1557" s="86">
        <f ca="1">IFERROR(__xludf.DUMMYFUNCTION("""COMPUTED_VALUE"""),44829.6773148148)</f>
        <v>44829.677314814799</v>
      </c>
      <c r="C1557" s="1" t="str">
        <f ca="1">IFERROR(__xludf.DUMMYFUNCTION("""COMPUTED_VALUE"""),"completed")</f>
        <v>completed</v>
      </c>
      <c r="D1557" s="26">
        <f ca="1">IFERROR(__xludf.DUMMYFUNCTION("""COMPUTED_VALUE"""),25)</f>
        <v>25</v>
      </c>
      <c r="E1557" s="1"/>
      <c r="F1557" s="87" t="str">
        <f t="shared" ca="1" si="0"/>
        <v>2022</v>
      </c>
      <c r="G1557" s="1" t="str">
        <f ca="1">IFERROR(__xludf.DUMMYFUNCTION("""COMPUTED_VALUE"""),"Erie North Shore Minor Hockey")</f>
        <v>Erie North Shore Minor Hockey</v>
      </c>
      <c r="H1557" s="26">
        <f t="shared" ca="1" si="1"/>
        <v>25</v>
      </c>
      <c r="I1557" s="26">
        <f t="shared" ca="1" si="2"/>
        <v>1</v>
      </c>
      <c r="J1557" s="86">
        <f t="shared" ca="1" si="3"/>
        <v>44829</v>
      </c>
      <c r="R1557" s="26"/>
    </row>
    <row r="1558" spans="1:18" ht="15.75" customHeight="1">
      <c r="A1558" s="26">
        <f ca="1">IFERROR(__xludf.DUMMYFUNCTION("""COMPUTED_VALUE"""),16277)</f>
        <v>16277</v>
      </c>
      <c r="B1558" s="86">
        <f ca="1">IFERROR(__xludf.DUMMYFUNCTION("""COMPUTED_VALUE"""),44829.6759259259)</f>
        <v>44829.675925925898</v>
      </c>
      <c r="C1558" s="1" t="str">
        <f ca="1">IFERROR(__xludf.DUMMYFUNCTION("""COMPUTED_VALUE"""),"completed")</f>
        <v>completed</v>
      </c>
      <c r="D1558" s="26">
        <f ca="1">IFERROR(__xludf.DUMMYFUNCTION("""COMPUTED_VALUE"""),45)</f>
        <v>45</v>
      </c>
      <c r="E1558" s="1"/>
      <c r="F1558" s="87" t="str">
        <f t="shared" ca="1" si="0"/>
        <v>2022</v>
      </c>
      <c r="G1558" s="1" t="str">
        <f ca="1">IFERROR(__xludf.DUMMYFUNCTION("""COMPUTED_VALUE"""),"Erie North Shore Minor Hockey")</f>
        <v>Erie North Shore Minor Hockey</v>
      </c>
      <c r="H1558" s="26">
        <f t="shared" ca="1" si="1"/>
        <v>45</v>
      </c>
      <c r="I1558" s="26">
        <f t="shared" ca="1" si="2"/>
        <v>1</v>
      </c>
      <c r="J1558" s="86">
        <f t="shared" ca="1" si="3"/>
        <v>44829</v>
      </c>
      <c r="R1558" s="26"/>
    </row>
    <row r="1559" spans="1:18" ht="15.75" customHeight="1">
      <c r="A1559" s="26">
        <f ca="1">IFERROR(__xludf.DUMMYFUNCTION("""COMPUTED_VALUE"""),16276)</f>
        <v>16276</v>
      </c>
      <c r="B1559" s="86">
        <f ca="1">IFERROR(__xludf.DUMMYFUNCTION("""COMPUTED_VALUE"""),44829.6741666666)</f>
        <v>44829.674166666598</v>
      </c>
      <c r="C1559" s="1" t="str">
        <f ca="1">IFERROR(__xludf.DUMMYFUNCTION("""COMPUTED_VALUE"""),"completed")</f>
        <v>completed</v>
      </c>
      <c r="D1559" s="26">
        <f ca="1">IFERROR(__xludf.DUMMYFUNCTION("""COMPUTED_VALUE"""),45)</f>
        <v>45</v>
      </c>
      <c r="E1559" s="1"/>
      <c r="F1559" s="87" t="str">
        <f t="shared" ca="1" si="0"/>
        <v>2022</v>
      </c>
      <c r="G1559" s="1" t="str">
        <f ca="1">IFERROR(__xludf.DUMMYFUNCTION("""COMPUTED_VALUE"""),"Erie North Shore Minor Hockey")</f>
        <v>Erie North Shore Minor Hockey</v>
      </c>
      <c r="H1559" s="26">
        <f t="shared" ca="1" si="1"/>
        <v>45</v>
      </c>
      <c r="I1559" s="26">
        <f t="shared" ca="1" si="2"/>
        <v>1</v>
      </c>
      <c r="J1559" s="86">
        <f t="shared" ca="1" si="3"/>
        <v>44829</v>
      </c>
      <c r="R1559" s="26"/>
    </row>
    <row r="1560" spans="1:18" ht="15.75" customHeight="1">
      <c r="A1560" s="26">
        <f ca="1">IFERROR(__xludf.DUMMYFUNCTION("""COMPUTED_VALUE"""),16275)</f>
        <v>16275</v>
      </c>
      <c r="B1560" s="86">
        <f ca="1">IFERROR(__xludf.DUMMYFUNCTION("""COMPUTED_VALUE"""),44829.6669444444)</f>
        <v>44829.666944444398</v>
      </c>
      <c r="C1560" s="1" t="str">
        <f ca="1">IFERROR(__xludf.DUMMYFUNCTION("""COMPUTED_VALUE"""),"completed")</f>
        <v>completed</v>
      </c>
      <c r="D1560" s="26">
        <f ca="1">IFERROR(__xludf.DUMMYFUNCTION("""COMPUTED_VALUE"""),42.5)</f>
        <v>42.5</v>
      </c>
      <c r="E1560" s="1"/>
      <c r="F1560" s="87" t="str">
        <f t="shared" ca="1" si="0"/>
        <v>2022</v>
      </c>
      <c r="G1560" s="1" t="str">
        <f ca="1">IFERROR(__xludf.DUMMYFUNCTION("""COMPUTED_VALUE"""),"Erie North Shore Minor Hockey")</f>
        <v>Erie North Shore Minor Hockey</v>
      </c>
      <c r="H1560" s="26">
        <f t="shared" ca="1" si="1"/>
        <v>42.5</v>
      </c>
      <c r="I1560" s="26">
        <f t="shared" ca="1" si="2"/>
        <v>1</v>
      </c>
      <c r="J1560" s="86">
        <f t="shared" ca="1" si="3"/>
        <v>44829</v>
      </c>
      <c r="R1560" s="26"/>
    </row>
    <row r="1561" spans="1:18" ht="15.75" customHeight="1">
      <c r="A1561" s="26">
        <f ca="1">IFERROR(__xludf.DUMMYFUNCTION("""COMPUTED_VALUE"""),16274)</f>
        <v>16274</v>
      </c>
      <c r="B1561" s="86">
        <f ca="1">IFERROR(__xludf.DUMMYFUNCTION("""COMPUTED_VALUE"""),44829.6645601851)</f>
        <v>44829.664560185098</v>
      </c>
      <c r="C1561" s="1" t="str">
        <f ca="1">IFERROR(__xludf.DUMMYFUNCTION("""COMPUTED_VALUE"""),"completed")</f>
        <v>completed</v>
      </c>
      <c r="D1561" s="26">
        <f ca="1">IFERROR(__xludf.DUMMYFUNCTION("""COMPUTED_VALUE"""),25)</f>
        <v>25</v>
      </c>
      <c r="E1561" s="1"/>
      <c r="F1561" s="87" t="str">
        <f t="shared" ca="1" si="0"/>
        <v>2022</v>
      </c>
      <c r="G1561" s="1" t="str">
        <f ca="1">IFERROR(__xludf.DUMMYFUNCTION("""COMPUTED_VALUE"""),"Erie North Shore Minor Hockey")</f>
        <v>Erie North Shore Minor Hockey</v>
      </c>
      <c r="H1561" s="26">
        <f t="shared" ca="1" si="1"/>
        <v>25</v>
      </c>
      <c r="I1561" s="26">
        <f t="shared" ca="1" si="2"/>
        <v>1</v>
      </c>
      <c r="J1561" s="86">
        <f t="shared" ca="1" si="3"/>
        <v>44829</v>
      </c>
      <c r="R1561" s="26"/>
    </row>
    <row r="1562" spans="1:18" ht="15.75" customHeight="1">
      <c r="A1562" s="26">
        <f ca="1">IFERROR(__xludf.DUMMYFUNCTION("""COMPUTED_VALUE"""),16273)</f>
        <v>16273</v>
      </c>
      <c r="B1562" s="86">
        <f ca="1">IFERROR(__xludf.DUMMYFUNCTION("""COMPUTED_VALUE"""),44829.6635300925)</f>
        <v>44829.663530092497</v>
      </c>
      <c r="C1562" s="1" t="str">
        <f ca="1">IFERROR(__xludf.DUMMYFUNCTION("""COMPUTED_VALUE"""),"completed")</f>
        <v>completed</v>
      </c>
      <c r="D1562" s="26">
        <f ca="1">IFERROR(__xludf.DUMMYFUNCTION("""COMPUTED_VALUE"""),25)</f>
        <v>25</v>
      </c>
      <c r="E1562" s="1"/>
      <c r="F1562" s="87" t="str">
        <f t="shared" ca="1" si="0"/>
        <v>2022</v>
      </c>
      <c r="G1562" s="1" t="str">
        <f ca="1">IFERROR(__xludf.DUMMYFUNCTION("""COMPUTED_VALUE"""),"Erie North Shore Minor Hockey")</f>
        <v>Erie North Shore Minor Hockey</v>
      </c>
      <c r="H1562" s="26">
        <f t="shared" ca="1" si="1"/>
        <v>25</v>
      </c>
      <c r="I1562" s="26">
        <f t="shared" ca="1" si="2"/>
        <v>1</v>
      </c>
      <c r="J1562" s="86">
        <f t="shared" ca="1" si="3"/>
        <v>44829</v>
      </c>
      <c r="R1562" s="26"/>
    </row>
    <row r="1563" spans="1:18" ht="15.75" customHeight="1">
      <c r="A1563" s="26">
        <f ca="1">IFERROR(__xludf.DUMMYFUNCTION("""COMPUTED_VALUE"""),16272)</f>
        <v>16272</v>
      </c>
      <c r="B1563" s="86">
        <f ca="1">IFERROR(__xludf.DUMMYFUNCTION("""COMPUTED_VALUE"""),44829.6625694444)</f>
        <v>44829.662569444401</v>
      </c>
      <c r="C1563" s="1" t="str">
        <f ca="1">IFERROR(__xludf.DUMMYFUNCTION("""COMPUTED_VALUE"""),"completed")</f>
        <v>completed</v>
      </c>
      <c r="D1563" s="26">
        <f ca="1">IFERROR(__xludf.DUMMYFUNCTION("""COMPUTED_VALUE"""),25)</f>
        <v>25</v>
      </c>
      <c r="E1563" s="1"/>
      <c r="F1563" s="87" t="str">
        <f t="shared" ca="1" si="0"/>
        <v>2022</v>
      </c>
      <c r="G1563" s="1" t="str">
        <f ca="1">IFERROR(__xludf.DUMMYFUNCTION("""COMPUTED_VALUE"""),"Erie North Shore Minor Hockey")</f>
        <v>Erie North Shore Minor Hockey</v>
      </c>
      <c r="H1563" s="26">
        <f t="shared" ca="1" si="1"/>
        <v>25</v>
      </c>
      <c r="I1563" s="26">
        <f t="shared" ca="1" si="2"/>
        <v>1</v>
      </c>
      <c r="J1563" s="86">
        <f t="shared" ca="1" si="3"/>
        <v>44829</v>
      </c>
      <c r="R1563" s="26"/>
    </row>
    <row r="1564" spans="1:18" ht="15.75" customHeight="1">
      <c r="A1564" s="26">
        <f ca="1">IFERROR(__xludf.DUMMYFUNCTION("""COMPUTED_VALUE"""),16271)</f>
        <v>16271</v>
      </c>
      <c r="B1564" s="86">
        <f ca="1">IFERROR(__xludf.DUMMYFUNCTION("""COMPUTED_VALUE"""),44829.6554282407)</f>
        <v>44829.655428240701</v>
      </c>
      <c r="C1564" s="1" t="str">
        <f ca="1">IFERROR(__xludf.DUMMYFUNCTION("""COMPUTED_VALUE"""),"completed")</f>
        <v>completed</v>
      </c>
      <c r="D1564" s="26">
        <f ca="1">IFERROR(__xludf.DUMMYFUNCTION("""COMPUTED_VALUE"""),25)</f>
        <v>25</v>
      </c>
      <c r="E1564" s="1"/>
      <c r="F1564" s="87" t="str">
        <f t="shared" ca="1" si="0"/>
        <v>2022</v>
      </c>
      <c r="G1564" s="1" t="str">
        <f ca="1">IFERROR(__xludf.DUMMYFUNCTION("""COMPUTED_VALUE"""),"Erie North Shore Minor Hockey")</f>
        <v>Erie North Shore Minor Hockey</v>
      </c>
      <c r="H1564" s="26">
        <f t="shared" ca="1" si="1"/>
        <v>25</v>
      </c>
      <c r="I1564" s="26">
        <f t="shared" ca="1" si="2"/>
        <v>1</v>
      </c>
      <c r="J1564" s="86">
        <f t="shared" ca="1" si="3"/>
        <v>44829</v>
      </c>
      <c r="R1564" s="26"/>
    </row>
    <row r="1565" spans="1:18" ht="15.75" customHeight="1">
      <c r="A1565" s="26">
        <f ca="1">IFERROR(__xludf.DUMMYFUNCTION("""COMPUTED_VALUE"""),16270)</f>
        <v>16270</v>
      </c>
      <c r="B1565" s="86">
        <f ca="1">IFERROR(__xludf.DUMMYFUNCTION("""COMPUTED_VALUE"""),44829.6511805555)</f>
        <v>44829.651180555498</v>
      </c>
      <c r="C1565" s="1" t="str">
        <f ca="1">IFERROR(__xludf.DUMMYFUNCTION("""COMPUTED_VALUE"""),"completed")</f>
        <v>completed</v>
      </c>
      <c r="D1565" s="26">
        <f ca="1">IFERROR(__xludf.DUMMYFUNCTION("""COMPUTED_VALUE"""),46)</f>
        <v>46</v>
      </c>
      <c r="E1565" s="1"/>
      <c r="F1565" s="87" t="str">
        <f t="shared" ca="1" si="0"/>
        <v>2022</v>
      </c>
      <c r="G1565" s="1" t="str">
        <f ca="1">IFERROR(__xludf.DUMMYFUNCTION("""COMPUTED_VALUE"""),"WMFA")</f>
        <v>WMFA</v>
      </c>
      <c r="H1565" s="26">
        <f t="shared" ca="1" si="1"/>
        <v>46</v>
      </c>
      <c r="I1565" s="26">
        <f t="shared" ca="1" si="2"/>
        <v>1</v>
      </c>
      <c r="J1565" s="86">
        <f t="shared" ca="1" si="3"/>
        <v>44829</v>
      </c>
      <c r="R1565" s="26"/>
    </row>
    <row r="1566" spans="1:18" ht="15.75" customHeight="1">
      <c r="A1566" s="26">
        <f ca="1">IFERROR(__xludf.DUMMYFUNCTION("""COMPUTED_VALUE"""),16269)</f>
        <v>16269</v>
      </c>
      <c r="B1566" s="86">
        <f ca="1">IFERROR(__xludf.DUMMYFUNCTION("""COMPUTED_VALUE"""),44829.639375)</f>
        <v>44829.639374999999</v>
      </c>
      <c r="C1566" s="1" t="str">
        <f ca="1">IFERROR(__xludf.DUMMYFUNCTION("""COMPUTED_VALUE"""),"completed")</f>
        <v>completed</v>
      </c>
      <c r="D1566" s="26">
        <f ca="1">IFERROR(__xludf.DUMMYFUNCTION("""COMPUTED_VALUE"""),25)</f>
        <v>25</v>
      </c>
      <c r="E1566" s="1"/>
      <c r="F1566" s="87" t="str">
        <f t="shared" ca="1" si="0"/>
        <v>2022</v>
      </c>
      <c r="G1566" s="1" t="str">
        <f ca="1">IFERROR(__xludf.DUMMYFUNCTION("""COMPUTED_VALUE"""),"WMFA")</f>
        <v>WMFA</v>
      </c>
      <c r="H1566" s="26">
        <f t="shared" ca="1" si="1"/>
        <v>25</v>
      </c>
      <c r="I1566" s="26">
        <f t="shared" ca="1" si="2"/>
        <v>1</v>
      </c>
      <c r="J1566" s="86">
        <f t="shared" ca="1" si="3"/>
        <v>44829</v>
      </c>
      <c r="R1566" s="26"/>
    </row>
    <row r="1567" spans="1:18" ht="15.75" customHeight="1">
      <c r="A1567" s="26">
        <f ca="1">IFERROR(__xludf.DUMMYFUNCTION("""COMPUTED_VALUE"""),16268)</f>
        <v>16268</v>
      </c>
      <c r="B1567" s="86">
        <f ca="1">IFERROR(__xludf.DUMMYFUNCTION("""COMPUTED_VALUE"""),44829.6372916666)</f>
        <v>44829.637291666601</v>
      </c>
      <c r="C1567" s="1" t="str">
        <f ca="1">IFERROR(__xludf.DUMMYFUNCTION("""COMPUTED_VALUE"""),"completed")</f>
        <v>completed</v>
      </c>
      <c r="D1567" s="26">
        <f ca="1">IFERROR(__xludf.DUMMYFUNCTION("""COMPUTED_VALUE"""),25)</f>
        <v>25</v>
      </c>
      <c r="E1567" s="1"/>
      <c r="F1567" s="87" t="str">
        <f t="shared" ca="1" si="0"/>
        <v>2022</v>
      </c>
      <c r="G1567" s="1" t="str">
        <f ca="1">IFERROR(__xludf.DUMMYFUNCTION("""COMPUTED_VALUE"""),"WMFA")</f>
        <v>WMFA</v>
      </c>
      <c r="H1567" s="26">
        <f t="shared" ca="1" si="1"/>
        <v>25</v>
      </c>
      <c r="I1567" s="26">
        <f t="shared" ca="1" si="2"/>
        <v>1</v>
      </c>
      <c r="J1567" s="86">
        <f t="shared" ca="1" si="3"/>
        <v>44829</v>
      </c>
      <c r="R1567" s="26"/>
    </row>
    <row r="1568" spans="1:18" ht="15.75" customHeight="1">
      <c r="A1568" s="26">
        <f ca="1">IFERROR(__xludf.DUMMYFUNCTION("""COMPUTED_VALUE"""),16267)</f>
        <v>16267</v>
      </c>
      <c r="B1568" s="86">
        <f ca="1">IFERROR(__xludf.DUMMYFUNCTION("""COMPUTED_VALUE"""),44829.6363888888)</f>
        <v>44829.636388888801</v>
      </c>
      <c r="C1568" s="1" t="str">
        <f ca="1">IFERROR(__xludf.DUMMYFUNCTION("""COMPUTED_VALUE"""),"completed")</f>
        <v>completed</v>
      </c>
      <c r="D1568" s="26">
        <f ca="1">IFERROR(__xludf.DUMMYFUNCTION("""COMPUTED_VALUE"""),90)</f>
        <v>90</v>
      </c>
      <c r="E1568" s="1"/>
      <c r="F1568" s="87" t="str">
        <f t="shared" ca="1" si="0"/>
        <v>2022</v>
      </c>
      <c r="G1568" s="1" t="str">
        <f ca="1">IFERROR(__xludf.DUMMYFUNCTION("""COMPUTED_VALUE"""),"Erie North Shore Minor Hockey")</f>
        <v>Erie North Shore Minor Hockey</v>
      </c>
      <c r="H1568" s="26">
        <f t="shared" ca="1" si="1"/>
        <v>90</v>
      </c>
      <c r="I1568" s="26">
        <f t="shared" ca="1" si="2"/>
        <v>1</v>
      </c>
      <c r="J1568" s="86">
        <f t="shared" ca="1" si="3"/>
        <v>44829</v>
      </c>
      <c r="R1568" s="26"/>
    </row>
    <row r="1569" spans="1:18" ht="15.75" customHeight="1">
      <c r="A1569" s="26">
        <f ca="1">IFERROR(__xludf.DUMMYFUNCTION("""COMPUTED_VALUE"""),16266)</f>
        <v>16266</v>
      </c>
      <c r="B1569" s="86">
        <f ca="1">IFERROR(__xludf.DUMMYFUNCTION("""COMPUTED_VALUE"""),44829.6157291666)</f>
        <v>44829.615729166602</v>
      </c>
      <c r="C1569" s="1" t="str">
        <f ca="1">IFERROR(__xludf.DUMMYFUNCTION("""COMPUTED_VALUE"""),"completed")</f>
        <v>completed</v>
      </c>
      <c r="D1569" s="26">
        <f ca="1">IFERROR(__xludf.DUMMYFUNCTION("""COMPUTED_VALUE"""),25)</f>
        <v>25</v>
      </c>
      <c r="E1569" s="1"/>
      <c r="F1569" s="87" t="str">
        <f t="shared" ca="1" si="0"/>
        <v>2022</v>
      </c>
      <c r="G1569" s="1" t="str">
        <f ca="1">IFERROR(__xludf.DUMMYFUNCTION("""COMPUTED_VALUE"""),"Erie North Shore Minor Hockey")</f>
        <v>Erie North Shore Minor Hockey</v>
      </c>
      <c r="H1569" s="26">
        <f t="shared" ca="1" si="1"/>
        <v>25</v>
      </c>
      <c r="I1569" s="26">
        <f t="shared" ca="1" si="2"/>
        <v>1</v>
      </c>
      <c r="J1569" s="86">
        <f t="shared" ca="1" si="3"/>
        <v>44829</v>
      </c>
      <c r="R1569" s="26"/>
    </row>
    <row r="1570" spans="1:18" ht="15.75" customHeight="1">
      <c r="A1570" s="26">
        <f ca="1">IFERROR(__xludf.DUMMYFUNCTION("""COMPUTED_VALUE"""),16265)</f>
        <v>16265</v>
      </c>
      <c r="B1570" s="86">
        <f ca="1">IFERROR(__xludf.DUMMYFUNCTION("""COMPUTED_VALUE"""),44829.6132523148)</f>
        <v>44829.613252314797</v>
      </c>
      <c r="C1570" s="1" t="str">
        <f ca="1">IFERROR(__xludf.DUMMYFUNCTION("""COMPUTED_VALUE"""),"completed")</f>
        <v>completed</v>
      </c>
      <c r="D1570" s="26">
        <f ca="1">IFERROR(__xludf.DUMMYFUNCTION("""COMPUTED_VALUE"""),72)</f>
        <v>72</v>
      </c>
      <c r="E1570" s="1"/>
      <c r="F1570" s="87" t="str">
        <f t="shared" ca="1" si="0"/>
        <v>2022</v>
      </c>
      <c r="G1570" s="1" t="str">
        <f ca="1">IFERROR(__xludf.DUMMYFUNCTION("""COMPUTED_VALUE"""),"Erie North Shore Minor Hockey")</f>
        <v>Erie North Shore Minor Hockey</v>
      </c>
      <c r="H1570" s="26">
        <f t="shared" ca="1" si="1"/>
        <v>72</v>
      </c>
      <c r="I1570" s="26">
        <f t="shared" ca="1" si="2"/>
        <v>1</v>
      </c>
      <c r="J1570" s="86">
        <f t="shared" ca="1" si="3"/>
        <v>44829</v>
      </c>
      <c r="R1570" s="26"/>
    </row>
    <row r="1571" spans="1:18" ht="15.75" customHeight="1">
      <c r="A1571" s="26">
        <f ca="1">IFERROR(__xludf.DUMMYFUNCTION("""COMPUTED_VALUE"""),16264)</f>
        <v>16264</v>
      </c>
      <c r="B1571" s="86">
        <f ca="1">IFERROR(__xludf.DUMMYFUNCTION("""COMPUTED_VALUE"""),44829.6075)</f>
        <v>44829.607499999998</v>
      </c>
      <c r="C1571" s="1" t="str">
        <f ca="1">IFERROR(__xludf.DUMMYFUNCTION("""COMPUTED_VALUE"""),"completed")</f>
        <v>completed</v>
      </c>
      <c r="D1571" s="26">
        <f ca="1">IFERROR(__xludf.DUMMYFUNCTION("""COMPUTED_VALUE"""),18)</f>
        <v>18</v>
      </c>
      <c r="E1571" s="1"/>
      <c r="F1571" s="87" t="str">
        <f t="shared" ca="1" si="0"/>
        <v>2022</v>
      </c>
      <c r="G1571" s="1" t="str">
        <f ca="1">IFERROR(__xludf.DUMMYFUNCTION("""COMPUTED_VALUE"""),"Lakeshore Lightning Hockey")</f>
        <v>Lakeshore Lightning Hockey</v>
      </c>
      <c r="H1571" s="26">
        <f t="shared" ca="1" si="1"/>
        <v>18</v>
      </c>
      <c r="I1571" s="26">
        <f t="shared" ca="1" si="2"/>
        <v>1</v>
      </c>
      <c r="J1571" s="86">
        <f t="shared" ca="1" si="3"/>
        <v>44829</v>
      </c>
      <c r="R1571" s="26"/>
    </row>
    <row r="1572" spans="1:18" ht="15.75" customHeight="1">
      <c r="A1572" s="26">
        <f ca="1">IFERROR(__xludf.DUMMYFUNCTION("""COMPUTED_VALUE"""),16263)</f>
        <v>16263</v>
      </c>
      <c r="B1572" s="86">
        <f ca="1">IFERROR(__xludf.DUMMYFUNCTION("""COMPUTED_VALUE"""),44829.607199074)</f>
        <v>44829.607199074002</v>
      </c>
      <c r="C1572" s="1" t="str">
        <f ca="1">IFERROR(__xludf.DUMMYFUNCTION("""COMPUTED_VALUE"""),"completed")</f>
        <v>completed</v>
      </c>
      <c r="D1572" s="26">
        <f ca="1">IFERROR(__xludf.DUMMYFUNCTION("""COMPUTED_VALUE"""),24)</f>
        <v>24</v>
      </c>
      <c r="E1572" s="1"/>
      <c r="F1572" s="87" t="str">
        <f t="shared" ca="1" si="0"/>
        <v>2022</v>
      </c>
      <c r="G1572" s="1" t="str">
        <f ca="1">IFERROR(__xludf.DUMMYFUNCTION("""COMPUTED_VALUE"""),"Erie North Shore Minor Hockey")</f>
        <v>Erie North Shore Minor Hockey</v>
      </c>
      <c r="H1572" s="26">
        <f t="shared" ca="1" si="1"/>
        <v>24</v>
      </c>
      <c r="I1572" s="26">
        <f t="shared" ca="1" si="2"/>
        <v>1</v>
      </c>
      <c r="J1572" s="86">
        <f t="shared" ca="1" si="3"/>
        <v>44829</v>
      </c>
      <c r="R1572" s="26"/>
    </row>
    <row r="1573" spans="1:18" ht="15.75" customHeight="1">
      <c r="A1573" s="26">
        <f ca="1">IFERROR(__xludf.DUMMYFUNCTION("""COMPUTED_VALUE"""),16262)</f>
        <v>16262</v>
      </c>
      <c r="B1573" s="86">
        <f ca="1">IFERROR(__xludf.DUMMYFUNCTION("""COMPUTED_VALUE"""),44829.6058680555)</f>
        <v>44829.6058680555</v>
      </c>
      <c r="C1573" s="1" t="str">
        <f ca="1">IFERROR(__xludf.DUMMYFUNCTION("""COMPUTED_VALUE"""),"completed")</f>
        <v>completed</v>
      </c>
      <c r="D1573" s="26">
        <f ca="1">IFERROR(__xludf.DUMMYFUNCTION("""COMPUTED_VALUE"""),36)</f>
        <v>36</v>
      </c>
      <c r="E1573" s="1"/>
      <c r="F1573" s="87" t="str">
        <f t="shared" ca="1" si="0"/>
        <v>2022</v>
      </c>
      <c r="G1573" s="1" t="str">
        <f ca="1">IFERROR(__xludf.DUMMYFUNCTION("""COMPUTED_VALUE"""),"Erie North Shore Minor Hockey")</f>
        <v>Erie North Shore Minor Hockey</v>
      </c>
      <c r="H1573" s="26">
        <f t="shared" ca="1" si="1"/>
        <v>36</v>
      </c>
      <c r="I1573" s="26">
        <f t="shared" ca="1" si="2"/>
        <v>1</v>
      </c>
      <c r="J1573" s="86">
        <f t="shared" ca="1" si="3"/>
        <v>44829</v>
      </c>
      <c r="R1573" s="26"/>
    </row>
    <row r="1574" spans="1:18" ht="15.75" customHeight="1">
      <c r="A1574" s="26">
        <f ca="1">IFERROR(__xludf.DUMMYFUNCTION("""COMPUTED_VALUE"""),16261)</f>
        <v>16261</v>
      </c>
      <c r="B1574" s="86">
        <f ca="1">IFERROR(__xludf.DUMMYFUNCTION("""COMPUTED_VALUE"""),44829.6040972222)</f>
        <v>44829.604097222204</v>
      </c>
      <c r="C1574" s="1" t="str">
        <f ca="1">IFERROR(__xludf.DUMMYFUNCTION("""COMPUTED_VALUE"""),"completed")</f>
        <v>completed</v>
      </c>
      <c r="D1574" s="26">
        <f ca="1">IFERROR(__xludf.DUMMYFUNCTION("""COMPUTED_VALUE"""),50)</f>
        <v>50</v>
      </c>
      <c r="E1574" s="1"/>
      <c r="F1574" s="87" t="str">
        <f t="shared" ca="1" si="0"/>
        <v>2022</v>
      </c>
      <c r="G1574" s="1" t="str">
        <f ca="1">IFERROR(__xludf.DUMMYFUNCTION("""COMPUTED_VALUE"""),"Erie North Shore Minor Hockey")</f>
        <v>Erie North Shore Minor Hockey</v>
      </c>
      <c r="H1574" s="26">
        <f t="shared" ca="1" si="1"/>
        <v>50</v>
      </c>
      <c r="I1574" s="26">
        <f t="shared" ca="1" si="2"/>
        <v>1</v>
      </c>
      <c r="J1574" s="86">
        <f t="shared" ca="1" si="3"/>
        <v>44829</v>
      </c>
      <c r="R1574" s="26"/>
    </row>
    <row r="1575" spans="1:18" ht="15.75" customHeight="1">
      <c r="A1575" s="26">
        <f ca="1">IFERROR(__xludf.DUMMYFUNCTION("""COMPUTED_VALUE"""),16260)</f>
        <v>16260</v>
      </c>
      <c r="B1575" s="86">
        <f ca="1">IFERROR(__xludf.DUMMYFUNCTION("""COMPUTED_VALUE"""),44829.6014583333)</f>
        <v>44829.601458333302</v>
      </c>
      <c r="C1575" s="1" t="str">
        <f ca="1">IFERROR(__xludf.DUMMYFUNCTION("""COMPUTED_VALUE"""),"completed")</f>
        <v>completed</v>
      </c>
      <c r="D1575" s="26">
        <f ca="1">IFERROR(__xludf.DUMMYFUNCTION("""COMPUTED_VALUE"""),35)</f>
        <v>35</v>
      </c>
      <c r="E1575" s="1"/>
      <c r="F1575" s="87" t="str">
        <f t="shared" ca="1" si="0"/>
        <v>2022</v>
      </c>
      <c r="G1575" s="1" t="str">
        <f ca="1">IFERROR(__xludf.DUMMYFUNCTION("""COMPUTED_VALUE"""),"Erie North Shore Minor Hockey")</f>
        <v>Erie North Shore Minor Hockey</v>
      </c>
      <c r="H1575" s="26">
        <f t="shared" ca="1" si="1"/>
        <v>35</v>
      </c>
      <c r="I1575" s="26">
        <f t="shared" ca="1" si="2"/>
        <v>1</v>
      </c>
      <c r="J1575" s="86">
        <f t="shared" ca="1" si="3"/>
        <v>44829</v>
      </c>
      <c r="R1575" s="26"/>
    </row>
    <row r="1576" spans="1:18" ht="15.75" customHeight="1">
      <c r="A1576" s="26">
        <f ca="1">IFERROR(__xludf.DUMMYFUNCTION("""COMPUTED_VALUE"""),16259)</f>
        <v>16259</v>
      </c>
      <c r="B1576" s="86">
        <f ca="1">IFERROR(__xludf.DUMMYFUNCTION("""COMPUTED_VALUE"""),44829.6006134259)</f>
        <v>44829.600613425901</v>
      </c>
      <c r="C1576" s="1" t="str">
        <f ca="1">IFERROR(__xludf.DUMMYFUNCTION("""COMPUTED_VALUE"""),"completed")</f>
        <v>completed</v>
      </c>
      <c r="D1576" s="26">
        <f ca="1">IFERROR(__xludf.DUMMYFUNCTION("""COMPUTED_VALUE"""),106)</f>
        <v>106</v>
      </c>
      <c r="E1576" s="1"/>
      <c r="F1576" s="87" t="str">
        <f t="shared" ca="1" si="0"/>
        <v>2022</v>
      </c>
      <c r="G1576" s="1" t="str">
        <f ca="1">IFERROR(__xludf.DUMMYFUNCTION("""COMPUTED_VALUE"""),"Erie North Shore Minor Hockey")</f>
        <v>Erie North Shore Minor Hockey</v>
      </c>
      <c r="H1576" s="26">
        <f t="shared" ca="1" si="1"/>
        <v>106</v>
      </c>
      <c r="I1576" s="26">
        <f t="shared" ca="1" si="2"/>
        <v>1</v>
      </c>
      <c r="J1576" s="86">
        <f t="shared" ca="1" si="3"/>
        <v>44829</v>
      </c>
      <c r="R1576" s="26"/>
    </row>
    <row r="1577" spans="1:18" ht="15.75" customHeight="1">
      <c r="A1577" s="26">
        <f ca="1">IFERROR(__xludf.DUMMYFUNCTION("""COMPUTED_VALUE"""),16258)</f>
        <v>16258</v>
      </c>
      <c r="B1577" s="86">
        <f ca="1">IFERROR(__xludf.DUMMYFUNCTION("""COMPUTED_VALUE"""),44829.6004050925)</f>
        <v>44829.600405092497</v>
      </c>
      <c r="C1577" s="1" t="str">
        <f ca="1">IFERROR(__xludf.DUMMYFUNCTION("""COMPUTED_VALUE"""),"completed")</f>
        <v>completed</v>
      </c>
      <c r="D1577" s="26">
        <f ca="1">IFERROR(__xludf.DUMMYFUNCTION("""COMPUTED_VALUE"""),45)</f>
        <v>45</v>
      </c>
      <c r="E1577" s="1"/>
      <c r="F1577" s="87" t="str">
        <f t="shared" ca="1" si="0"/>
        <v>2022</v>
      </c>
      <c r="G1577" s="1" t="str">
        <f ca="1">IFERROR(__xludf.DUMMYFUNCTION("""COMPUTED_VALUE"""),"Erie North Shore Minor Hockey")</f>
        <v>Erie North Shore Minor Hockey</v>
      </c>
      <c r="H1577" s="26">
        <f t="shared" ca="1" si="1"/>
        <v>45</v>
      </c>
      <c r="I1577" s="26">
        <f t="shared" ca="1" si="2"/>
        <v>1</v>
      </c>
      <c r="J1577" s="86">
        <f t="shared" ca="1" si="3"/>
        <v>44829</v>
      </c>
      <c r="R1577" s="26"/>
    </row>
    <row r="1578" spans="1:18" ht="15.75" customHeight="1">
      <c r="A1578" s="26">
        <f ca="1">IFERROR(__xludf.DUMMYFUNCTION("""COMPUTED_VALUE"""),16257)</f>
        <v>16257</v>
      </c>
      <c r="B1578" s="86">
        <f ca="1">IFERROR(__xludf.DUMMYFUNCTION("""COMPUTED_VALUE"""),44829.6002314814)</f>
        <v>44829.600231481403</v>
      </c>
      <c r="C1578" s="1" t="str">
        <f ca="1">IFERROR(__xludf.DUMMYFUNCTION("""COMPUTED_VALUE"""),"completed")</f>
        <v>completed</v>
      </c>
      <c r="D1578" s="26">
        <f ca="1">IFERROR(__xludf.DUMMYFUNCTION("""COMPUTED_VALUE"""),25)</f>
        <v>25</v>
      </c>
      <c r="E1578" s="1"/>
      <c r="F1578" s="87" t="str">
        <f t="shared" ca="1" si="0"/>
        <v>2022</v>
      </c>
      <c r="G1578" s="1" t="str">
        <f ca="1">IFERROR(__xludf.DUMMYFUNCTION("""COMPUTED_VALUE"""),"Erie North Shore Minor Hockey")</f>
        <v>Erie North Shore Minor Hockey</v>
      </c>
      <c r="H1578" s="26">
        <f t="shared" ca="1" si="1"/>
        <v>25</v>
      </c>
      <c r="I1578" s="26">
        <f t="shared" ca="1" si="2"/>
        <v>1</v>
      </c>
      <c r="J1578" s="86">
        <f t="shared" ca="1" si="3"/>
        <v>44829</v>
      </c>
      <c r="R1578" s="26"/>
    </row>
    <row r="1579" spans="1:18" ht="15.75" customHeight="1">
      <c r="A1579" s="26">
        <f ca="1">IFERROR(__xludf.DUMMYFUNCTION("""COMPUTED_VALUE"""),16256)</f>
        <v>16256</v>
      </c>
      <c r="B1579" s="86">
        <f ca="1">IFERROR(__xludf.DUMMYFUNCTION("""COMPUTED_VALUE"""),44829.5992592592)</f>
        <v>44829.599259259201</v>
      </c>
      <c r="C1579" s="1" t="str">
        <f ca="1">IFERROR(__xludf.DUMMYFUNCTION("""COMPUTED_VALUE"""),"completed")</f>
        <v>completed</v>
      </c>
      <c r="D1579" s="26">
        <f ca="1">IFERROR(__xludf.DUMMYFUNCTION("""COMPUTED_VALUE"""),55)</f>
        <v>55</v>
      </c>
      <c r="E1579" s="1"/>
      <c r="F1579" s="87" t="str">
        <f t="shared" ca="1" si="0"/>
        <v>2022</v>
      </c>
      <c r="G1579" s="1" t="str">
        <f ca="1">IFERROR(__xludf.DUMMYFUNCTION("""COMPUTED_VALUE"""),"Lakeshore Lightning Hockey")</f>
        <v>Lakeshore Lightning Hockey</v>
      </c>
      <c r="H1579" s="26">
        <f t="shared" ca="1" si="1"/>
        <v>55</v>
      </c>
      <c r="I1579" s="26">
        <f t="shared" ca="1" si="2"/>
        <v>1</v>
      </c>
      <c r="J1579" s="86">
        <f t="shared" ca="1" si="3"/>
        <v>44829</v>
      </c>
      <c r="R1579" s="26"/>
    </row>
    <row r="1580" spans="1:18" ht="15.75" customHeight="1">
      <c r="A1580" s="26">
        <f ca="1">IFERROR(__xludf.DUMMYFUNCTION("""COMPUTED_VALUE"""),16255)</f>
        <v>16255</v>
      </c>
      <c r="B1580" s="86">
        <f ca="1">IFERROR(__xludf.DUMMYFUNCTION("""COMPUTED_VALUE"""),44829.5990162037)</f>
        <v>44829.599016203698</v>
      </c>
      <c r="C1580" s="1" t="str">
        <f ca="1">IFERROR(__xludf.DUMMYFUNCTION("""COMPUTED_VALUE"""),"completed")</f>
        <v>completed</v>
      </c>
      <c r="D1580" s="26">
        <f ca="1">IFERROR(__xludf.DUMMYFUNCTION("""COMPUTED_VALUE"""),25)</f>
        <v>25</v>
      </c>
      <c r="E1580" s="1"/>
      <c r="F1580" s="87" t="str">
        <f t="shared" ca="1" si="0"/>
        <v>2022</v>
      </c>
      <c r="G1580" s="1" t="str">
        <f ca="1">IFERROR(__xludf.DUMMYFUNCTION("""COMPUTED_VALUE"""),"Erie North Shore Minor Hockey")</f>
        <v>Erie North Shore Minor Hockey</v>
      </c>
      <c r="H1580" s="26">
        <f t="shared" ca="1" si="1"/>
        <v>25</v>
      </c>
      <c r="I1580" s="26">
        <f t="shared" ca="1" si="2"/>
        <v>1</v>
      </c>
      <c r="J1580" s="86">
        <f t="shared" ca="1" si="3"/>
        <v>44829</v>
      </c>
      <c r="R1580" s="26"/>
    </row>
    <row r="1581" spans="1:18" ht="15.75" customHeight="1">
      <c r="A1581" s="26">
        <f ca="1">IFERROR(__xludf.DUMMYFUNCTION("""COMPUTED_VALUE"""),16254)</f>
        <v>16254</v>
      </c>
      <c r="B1581" s="86">
        <f ca="1">IFERROR(__xludf.DUMMYFUNCTION("""COMPUTED_VALUE"""),44829.5839930555)</f>
        <v>44829.583993055501</v>
      </c>
      <c r="C1581" s="1" t="str">
        <f ca="1">IFERROR(__xludf.DUMMYFUNCTION("""COMPUTED_VALUE"""),"completed")</f>
        <v>completed</v>
      </c>
      <c r="D1581" s="26">
        <f ca="1">IFERROR(__xludf.DUMMYFUNCTION("""COMPUTED_VALUE"""),25)</f>
        <v>25</v>
      </c>
      <c r="E1581" s="1"/>
      <c r="F1581" s="87" t="str">
        <f t="shared" ca="1" si="0"/>
        <v>2022</v>
      </c>
      <c r="G1581" s="1" t="str">
        <f ca="1">IFERROR(__xludf.DUMMYFUNCTION("""COMPUTED_VALUE"""),"Erie North Shore Minor Hockey")</f>
        <v>Erie North Shore Minor Hockey</v>
      </c>
      <c r="H1581" s="26">
        <f t="shared" ca="1" si="1"/>
        <v>25</v>
      </c>
      <c r="I1581" s="26">
        <f t="shared" ca="1" si="2"/>
        <v>1</v>
      </c>
      <c r="J1581" s="86">
        <f t="shared" ca="1" si="3"/>
        <v>44829</v>
      </c>
      <c r="R1581" s="26"/>
    </row>
    <row r="1582" spans="1:18" ht="15.75" customHeight="1">
      <c r="A1582" s="26">
        <f ca="1">IFERROR(__xludf.DUMMYFUNCTION("""COMPUTED_VALUE"""),16253)</f>
        <v>16253</v>
      </c>
      <c r="B1582" s="86">
        <f ca="1">IFERROR(__xludf.DUMMYFUNCTION("""COMPUTED_VALUE"""),44829.579849537)</f>
        <v>44829.579849537004</v>
      </c>
      <c r="C1582" s="1" t="str">
        <f ca="1">IFERROR(__xludf.DUMMYFUNCTION("""COMPUTED_VALUE"""),"completed")</f>
        <v>completed</v>
      </c>
      <c r="D1582" s="26">
        <f ca="1">IFERROR(__xludf.DUMMYFUNCTION("""COMPUTED_VALUE"""),28)</f>
        <v>28</v>
      </c>
      <c r="E1582" s="1"/>
      <c r="F1582" s="87" t="str">
        <f t="shared" ca="1" si="0"/>
        <v>2022</v>
      </c>
      <c r="G1582" s="1" t="str">
        <f ca="1">IFERROR(__xludf.DUMMYFUNCTION("""COMPUTED_VALUE"""),"Erie North Shore Minor Hockey")</f>
        <v>Erie North Shore Minor Hockey</v>
      </c>
      <c r="H1582" s="26">
        <f t="shared" ca="1" si="1"/>
        <v>28</v>
      </c>
      <c r="I1582" s="26">
        <f t="shared" ca="1" si="2"/>
        <v>1</v>
      </c>
      <c r="J1582" s="86">
        <f t="shared" ca="1" si="3"/>
        <v>44829</v>
      </c>
      <c r="R1582" s="26"/>
    </row>
    <row r="1583" spans="1:18" ht="15.75" customHeight="1">
      <c r="A1583" s="26">
        <f ca="1">IFERROR(__xludf.DUMMYFUNCTION("""COMPUTED_VALUE"""),16252)</f>
        <v>16252</v>
      </c>
      <c r="B1583" s="86">
        <f ca="1">IFERROR(__xludf.DUMMYFUNCTION("""COMPUTED_VALUE"""),44829.5786574074)</f>
        <v>44829.578657407401</v>
      </c>
      <c r="C1583" s="1" t="str">
        <f ca="1">IFERROR(__xludf.DUMMYFUNCTION("""COMPUTED_VALUE"""),"completed")</f>
        <v>completed</v>
      </c>
      <c r="D1583" s="26">
        <f ca="1">IFERROR(__xludf.DUMMYFUNCTION("""COMPUTED_VALUE"""),25)</f>
        <v>25</v>
      </c>
      <c r="E1583" s="1"/>
      <c r="F1583" s="87" t="str">
        <f t="shared" ca="1" si="0"/>
        <v>2022</v>
      </c>
      <c r="G1583" s="1" t="str">
        <f ca="1">IFERROR(__xludf.DUMMYFUNCTION("""COMPUTED_VALUE"""),"Erie North Shore Minor Hockey")</f>
        <v>Erie North Shore Minor Hockey</v>
      </c>
      <c r="H1583" s="26">
        <f t="shared" ca="1" si="1"/>
        <v>25</v>
      </c>
      <c r="I1583" s="26">
        <f t="shared" ca="1" si="2"/>
        <v>1</v>
      </c>
      <c r="J1583" s="86">
        <f t="shared" ca="1" si="3"/>
        <v>44829</v>
      </c>
      <c r="R1583" s="26"/>
    </row>
    <row r="1584" spans="1:18" ht="15.75" customHeight="1">
      <c r="A1584" s="26">
        <f ca="1">IFERROR(__xludf.DUMMYFUNCTION("""COMPUTED_VALUE"""),16251)</f>
        <v>16251</v>
      </c>
      <c r="B1584" s="86">
        <f ca="1">IFERROR(__xludf.DUMMYFUNCTION("""COMPUTED_VALUE"""),44829.5766666666)</f>
        <v>44829.576666666602</v>
      </c>
      <c r="C1584" s="1" t="str">
        <f ca="1">IFERROR(__xludf.DUMMYFUNCTION("""COMPUTED_VALUE"""),"completed")</f>
        <v>completed</v>
      </c>
      <c r="D1584" s="26">
        <f ca="1">IFERROR(__xludf.DUMMYFUNCTION("""COMPUTED_VALUE"""),40)</f>
        <v>40</v>
      </c>
      <c r="E1584" s="1"/>
      <c r="F1584" s="87" t="str">
        <f t="shared" ca="1" si="0"/>
        <v>2022</v>
      </c>
      <c r="G1584" s="1" t="str">
        <f ca="1">IFERROR(__xludf.DUMMYFUNCTION("""COMPUTED_VALUE"""),"Erie North Shore Minor Hockey")</f>
        <v>Erie North Shore Minor Hockey</v>
      </c>
      <c r="H1584" s="26">
        <f t="shared" ca="1" si="1"/>
        <v>40</v>
      </c>
      <c r="I1584" s="26">
        <f t="shared" ca="1" si="2"/>
        <v>1</v>
      </c>
      <c r="J1584" s="86">
        <f t="shared" ca="1" si="3"/>
        <v>44829</v>
      </c>
      <c r="R1584" s="26"/>
    </row>
    <row r="1585" spans="1:18" ht="15.75" customHeight="1">
      <c r="A1585" s="26">
        <f ca="1">IFERROR(__xludf.DUMMYFUNCTION("""COMPUTED_VALUE"""),16250)</f>
        <v>16250</v>
      </c>
      <c r="B1585" s="86">
        <f ca="1">IFERROR(__xludf.DUMMYFUNCTION("""COMPUTED_VALUE"""),44829.5733217592)</f>
        <v>44829.573321759199</v>
      </c>
      <c r="C1585" s="1" t="str">
        <f ca="1">IFERROR(__xludf.DUMMYFUNCTION("""COMPUTED_VALUE"""),"completed")</f>
        <v>completed</v>
      </c>
      <c r="D1585" s="26">
        <f ca="1">IFERROR(__xludf.DUMMYFUNCTION("""COMPUTED_VALUE"""),15)</f>
        <v>15</v>
      </c>
      <c r="E1585" s="1"/>
      <c r="F1585" s="87" t="str">
        <f t="shared" ca="1" si="0"/>
        <v>2022</v>
      </c>
      <c r="G1585" s="1" t="str">
        <f ca="1">IFERROR(__xludf.DUMMYFUNCTION("""COMPUTED_VALUE"""),"Erie North Shore Minor Hockey")</f>
        <v>Erie North Shore Minor Hockey</v>
      </c>
      <c r="H1585" s="26">
        <f t="shared" ca="1" si="1"/>
        <v>15</v>
      </c>
      <c r="I1585" s="26">
        <f t="shared" ca="1" si="2"/>
        <v>1</v>
      </c>
      <c r="J1585" s="86">
        <f t="shared" ca="1" si="3"/>
        <v>44829</v>
      </c>
      <c r="R1585" s="26"/>
    </row>
    <row r="1586" spans="1:18" ht="15.75" customHeight="1">
      <c r="A1586" s="26">
        <f ca="1">IFERROR(__xludf.DUMMYFUNCTION("""COMPUTED_VALUE"""),16249)</f>
        <v>16249</v>
      </c>
      <c r="B1586" s="86">
        <f ca="1">IFERROR(__xludf.DUMMYFUNCTION("""COMPUTED_VALUE"""),44829.5729629629)</f>
        <v>44829.572962962899</v>
      </c>
      <c r="C1586" s="1" t="str">
        <f ca="1">IFERROR(__xludf.DUMMYFUNCTION("""COMPUTED_VALUE"""),"completed")</f>
        <v>completed</v>
      </c>
      <c r="D1586" s="26">
        <f ca="1">IFERROR(__xludf.DUMMYFUNCTION("""COMPUTED_VALUE"""),35)</f>
        <v>35</v>
      </c>
      <c r="E1586" s="1"/>
      <c r="F1586" s="87" t="str">
        <f t="shared" ca="1" si="0"/>
        <v>2022</v>
      </c>
      <c r="G1586" s="1" t="str">
        <f ca="1">IFERROR(__xludf.DUMMYFUNCTION("""COMPUTED_VALUE"""),"W.M.H.A")</f>
        <v>W.M.H.A</v>
      </c>
      <c r="H1586" s="26">
        <f t="shared" ca="1" si="1"/>
        <v>35</v>
      </c>
      <c r="I1586" s="26">
        <f t="shared" ca="1" si="2"/>
        <v>1</v>
      </c>
      <c r="J1586" s="86">
        <f t="shared" ca="1" si="3"/>
        <v>44829</v>
      </c>
      <c r="R1586" s="26"/>
    </row>
    <row r="1587" spans="1:18" ht="15.75" customHeight="1">
      <c r="A1587" s="26">
        <f ca="1">IFERROR(__xludf.DUMMYFUNCTION("""COMPUTED_VALUE"""),16248)</f>
        <v>16248</v>
      </c>
      <c r="B1587" s="86">
        <f ca="1">IFERROR(__xludf.DUMMYFUNCTION("""COMPUTED_VALUE"""),44829.5559953703)</f>
        <v>44829.555995370298</v>
      </c>
      <c r="C1587" s="1" t="str">
        <f ca="1">IFERROR(__xludf.DUMMYFUNCTION("""COMPUTED_VALUE"""),"completed")</f>
        <v>completed</v>
      </c>
      <c r="D1587" s="26">
        <f ca="1">IFERROR(__xludf.DUMMYFUNCTION("""COMPUTED_VALUE"""),70)</f>
        <v>70</v>
      </c>
      <c r="E1587" s="1"/>
      <c r="F1587" s="87" t="str">
        <f t="shared" ca="1" si="0"/>
        <v>2022</v>
      </c>
      <c r="G1587" s="1" t="str">
        <f ca="1">IFERROR(__xludf.DUMMYFUNCTION("""COMPUTED_VALUE"""),"W.M.H.A")</f>
        <v>W.M.H.A</v>
      </c>
      <c r="H1587" s="26">
        <f t="shared" ca="1" si="1"/>
        <v>70</v>
      </c>
      <c r="I1587" s="26">
        <f t="shared" ca="1" si="2"/>
        <v>1</v>
      </c>
      <c r="J1587" s="86">
        <f t="shared" ca="1" si="3"/>
        <v>44829</v>
      </c>
      <c r="R1587" s="26"/>
    </row>
    <row r="1588" spans="1:18" ht="15.75" customHeight="1">
      <c r="A1588" s="26">
        <f ca="1">IFERROR(__xludf.DUMMYFUNCTION("""COMPUTED_VALUE"""),16247)</f>
        <v>16247</v>
      </c>
      <c r="B1588" s="86">
        <f ca="1">IFERROR(__xludf.DUMMYFUNCTION("""COMPUTED_VALUE"""),44829.5515509259)</f>
        <v>44829.551550925898</v>
      </c>
      <c r="C1588" s="1" t="str">
        <f ca="1">IFERROR(__xludf.DUMMYFUNCTION("""COMPUTED_VALUE"""),"completed")</f>
        <v>completed</v>
      </c>
      <c r="D1588" s="26">
        <f ca="1">IFERROR(__xludf.DUMMYFUNCTION("""COMPUTED_VALUE"""),35)</f>
        <v>35</v>
      </c>
      <c r="E1588" s="1"/>
      <c r="F1588" s="87" t="str">
        <f t="shared" ca="1" si="0"/>
        <v>2022</v>
      </c>
      <c r="G1588" s="1" t="str">
        <f ca="1">IFERROR(__xludf.DUMMYFUNCTION("""COMPUTED_VALUE"""),"Erie North Shore Minor Hockey")</f>
        <v>Erie North Shore Minor Hockey</v>
      </c>
      <c r="H1588" s="26">
        <f t="shared" ca="1" si="1"/>
        <v>35</v>
      </c>
      <c r="I1588" s="26">
        <f t="shared" ca="1" si="2"/>
        <v>1</v>
      </c>
      <c r="J1588" s="86">
        <f t="shared" ca="1" si="3"/>
        <v>44829</v>
      </c>
      <c r="R1588" s="26"/>
    </row>
    <row r="1589" spans="1:18" ht="15.75" customHeight="1">
      <c r="A1589" s="26">
        <f ca="1">IFERROR(__xludf.DUMMYFUNCTION("""COMPUTED_VALUE"""),16246)</f>
        <v>16246</v>
      </c>
      <c r="B1589" s="86">
        <f ca="1">IFERROR(__xludf.DUMMYFUNCTION("""COMPUTED_VALUE"""),44829.5476967592)</f>
        <v>44829.547696759197</v>
      </c>
      <c r="C1589" s="1" t="str">
        <f ca="1">IFERROR(__xludf.DUMMYFUNCTION("""COMPUTED_VALUE"""),"completed")</f>
        <v>completed</v>
      </c>
      <c r="D1589" s="26">
        <f ca="1">IFERROR(__xludf.DUMMYFUNCTION("""COMPUTED_VALUE"""),35)</f>
        <v>35</v>
      </c>
      <c r="E1589" s="1"/>
      <c r="F1589" s="87" t="str">
        <f t="shared" ca="1" si="0"/>
        <v>2022</v>
      </c>
      <c r="G1589" s="1" t="str">
        <f ca="1">IFERROR(__xludf.DUMMYFUNCTION("""COMPUTED_VALUE"""),"Windsor AAA Zone Hockey")</f>
        <v>Windsor AAA Zone Hockey</v>
      </c>
      <c r="H1589" s="26">
        <f t="shared" ca="1" si="1"/>
        <v>35</v>
      </c>
      <c r="I1589" s="26">
        <f t="shared" ca="1" si="2"/>
        <v>1</v>
      </c>
      <c r="J1589" s="86">
        <f t="shared" ca="1" si="3"/>
        <v>44829</v>
      </c>
      <c r="R1589" s="26"/>
    </row>
    <row r="1590" spans="1:18" ht="15.75" customHeight="1">
      <c r="A1590" s="26">
        <f ca="1">IFERROR(__xludf.DUMMYFUNCTION("""COMPUTED_VALUE"""),16245)</f>
        <v>16245</v>
      </c>
      <c r="B1590" s="86">
        <f ca="1">IFERROR(__xludf.DUMMYFUNCTION("""COMPUTED_VALUE"""),44829.5473726851)</f>
        <v>44829.547372685098</v>
      </c>
      <c r="C1590" s="1" t="str">
        <f ca="1">IFERROR(__xludf.DUMMYFUNCTION("""COMPUTED_VALUE"""),"completed")</f>
        <v>completed</v>
      </c>
      <c r="D1590" s="26">
        <f ca="1">IFERROR(__xludf.DUMMYFUNCTION("""COMPUTED_VALUE"""),70)</f>
        <v>70</v>
      </c>
      <c r="E1590" s="1"/>
      <c r="F1590" s="87" t="str">
        <f t="shared" ca="1" si="0"/>
        <v>2022</v>
      </c>
      <c r="G1590" s="1" t="str">
        <f ca="1">IFERROR(__xludf.DUMMYFUNCTION("""COMPUTED_VALUE"""),"South Point Stars")</f>
        <v>South Point Stars</v>
      </c>
      <c r="H1590" s="26">
        <f t="shared" ca="1" si="1"/>
        <v>70</v>
      </c>
      <c r="I1590" s="26">
        <f t="shared" ca="1" si="2"/>
        <v>1</v>
      </c>
      <c r="J1590" s="86">
        <f t="shared" ca="1" si="3"/>
        <v>44829</v>
      </c>
      <c r="R1590" s="26"/>
    </row>
    <row r="1591" spans="1:18" ht="15.75" customHeight="1">
      <c r="A1591" s="26">
        <f ca="1">IFERROR(__xludf.DUMMYFUNCTION("""COMPUTED_VALUE"""),16244)</f>
        <v>16244</v>
      </c>
      <c r="B1591" s="86">
        <f ca="1">IFERROR(__xludf.DUMMYFUNCTION("""COMPUTED_VALUE"""),44829.5461689814)</f>
        <v>44829.546168981396</v>
      </c>
      <c r="C1591" s="1" t="str">
        <f ca="1">IFERROR(__xludf.DUMMYFUNCTION("""COMPUTED_VALUE"""),"completed")</f>
        <v>completed</v>
      </c>
      <c r="D1591" s="26">
        <f ca="1">IFERROR(__xludf.DUMMYFUNCTION("""COMPUTED_VALUE"""),25)</f>
        <v>25</v>
      </c>
      <c r="E1591" s="1"/>
      <c r="F1591" s="87" t="str">
        <f t="shared" ca="1" si="0"/>
        <v>2022</v>
      </c>
      <c r="G1591" s="1" t="str">
        <f ca="1">IFERROR(__xludf.DUMMYFUNCTION("""COMPUTED_VALUE"""),"Erie North Shore Minor Hockey")</f>
        <v>Erie North Shore Minor Hockey</v>
      </c>
      <c r="H1591" s="26">
        <f t="shared" ca="1" si="1"/>
        <v>25</v>
      </c>
      <c r="I1591" s="26">
        <f t="shared" ca="1" si="2"/>
        <v>1</v>
      </c>
      <c r="J1591" s="86">
        <f t="shared" ca="1" si="3"/>
        <v>44829</v>
      </c>
      <c r="R1591" s="26"/>
    </row>
    <row r="1592" spans="1:18" ht="15.75" customHeight="1">
      <c r="A1592" s="26">
        <f ca="1">IFERROR(__xludf.DUMMYFUNCTION("""COMPUTED_VALUE"""),16243)</f>
        <v>16243</v>
      </c>
      <c r="B1592" s="86">
        <f ca="1">IFERROR(__xludf.DUMMYFUNCTION("""COMPUTED_VALUE"""),44829.5372800926)</f>
        <v>44829.537280092598</v>
      </c>
      <c r="C1592" s="1" t="str">
        <f ca="1">IFERROR(__xludf.DUMMYFUNCTION("""COMPUTED_VALUE"""),"completed")</f>
        <v>completed</v>
      </c>
      <c r="D1592" s="26">
        <f ca="1">IFERROR(__xludf.DUMMYFUNCTION("""COMPUTED_VALUE"""),20)</f>
        <v>20</v>
      </c>
      <c r="E1592" s="1"/>
      <c r="F1592" s="87" t="str">
        <f t="shared" ca="1" si="0"/>
        <v>2022</v>
      </c>
      <c r="G1592" s="1" t="str">
        <f ca="1">IFERROR(__xludf.DUMMYFUNCTION("""COMPUTED_VALUE"""),"Erie North Shore Minor Hockey")</f>
        <v>Erie North Shore Minor Hockey</v>
      </c>
      <c r="H1592" s="26">
        <f t="shared" ca="1" si="1"/>
        <v>20</v>
      </c>
      <c r="I1592" s="26">
        <f t="shared" ca="1" si="2"/>
        <v>1</v>
      </c>
      <c r="J1592" s="86">
        <f t="shared" ca="1" si="3"/>
        <v>44829</v>
      </c>
      <c r="R1592" s="26"/>
    </row>
    <row r="1593" spans="1:18" ht="15.75" customHeight="1">
      <c r="A1593" s="26">
        <f ca="1">IFERROR(__xludf.DUMMYFUNCTION("""COMPUTED_VALUE"""),16242)</f>
        <v>16242</v>
      </c>
      <c r="B1593" s="86">
        <f ca="1">IFERROR(__xludf.DUMMYFUNCTION("""COMPUTED_VALUE"""),44829.5370833333)</f>
        <v>44829.5370833333</v>
      </c>
      <c r="C1593" s="1" t="str">
        <f ca="1">IFERROR(__xludf.DUMMYFUNCTION("""COMPUTED_VALUE"""),"completed")</f>
        <v>completed</v>
      </c>
      <c r="D1593" s="26">
        <f ca="1">IFERROR(__xludf.DUMMYFUNCTION("""COMPUTED_VALUE"""),25)</f>
        <v>25</v>
      </c>
      <c r="E1593" s="1"/>
      <c r="F1593" s="87" t="str">
        <f t="shared" ca="1" si="0"/>
        <v>2022</v>
      </c>
      <c r="G1593" s="1" t="str">
        <f ca="1">IFERROR(__xludf.DUMMYFUNCTION("""COMPUTED_VALUE"""),"Erie North Shore Minor Hockey")</f>
        <v>Erie North Shore Minor Hockey</v>
      </c>
      <c r="H1593" s="26">
        <f t="shared" ca="1" si="1"/>
        <v>25</v>
      </c>
      <c r="I1593" s="26">
        <f t="shared" ca="1" si="2"/>
        <v>1</v>
      </c>
      <c r="J1593" s="86">
        <f t="shared" ca="1" si="3"/>
        <v>44829</v>
      </c>
      <c r="R1593" s="26"/>
    </row>
    <row r="1594" spans="1:18" ht="15.75" customHeight="1">
      <c r="A1594" s="26">
        <f ca="1">IFERROR(__xludf.DUMMYFUNCTION("""COMPUTED_VALUE"""),16241)</f>
        <v>16241</v>
      </c>
      <c r="B1594" s="86">
        <f ca="1">IFERROR(__xludf.DUMMYFUNCTION("""COMPUTED_VALUE"""),44829.5347106481)</f>
        <v>44829.534710648099</v>
      </c>
      <c r="C1594" s="1" t="str">
        <f ca="1">IFERROR(__xludf.DUMMYFUNCTION("""COMPUTED_VALUE"""),"completed")</f>
        <v>completed</v>
      </c>
      <c r="D1594" s="26">
        <f ca="1">IFERROR(__xludf.DUMMYFUNCTION("""COMPUTED_VALUE"""),45)</f>
        <v>45</v>
      </c>
      <c r="E1594" s="1"/>
      <c r="F1594" s="87" t="str">
        <f t="shared" ca="1" si="0"/>
        <v>2022</v>
      </c>
      <c r="G1594" s="1" t="str">
        <f ca="1">IFERROR(__xludf.DUMMYFUNCTION("""COMPUTED_VALUE"""),"Erie North Shore Minor Hockey")</f>
        <v>Erie North Shore Minor Hockey</v>
      </c>
      <c r="H1594" s="26">
        <f t="shared" ca="1" si="1"/>
        <v>45</v>
      </c>
      <c r="I1594" s="26">
        <f t="shared" ca="1" si="2"/>
        <v>1</v>
      </c>
      <c r="J1594" s="86">
        <f t="shared" ca="1" si="3"/>
        <v>44829</v>
      </c>
      <c r="R1594" s="26"/>
    </row>
    <row r="1595" spans="1:18" ht="15.75" customHeight="1">
      <c r="A1595" s="26">
        <f ca="1">IFERROR(__xludf.DUMMYFUNCTION("""COMPUTED_VALUE"""),16240)</f>
        <v>16240</v>
      </c>
      <c r="B1595" s="86">
        <f ca="1">IFERROR(__xludf.DUMMYFUNCTION("""COMPUTED_VALUE"""),44829.5333217591)</f>
        <v>44829.533321759198</v>
      </c>
      <c r="C1595" s="1" t="str">
        <f ca="1">IFERROR(__xludf.DUMMYFUNCTION("""COMPUTED_VALUE"""),"completed")</f>
        <v>completed</v>
      </c>
      <c r="D1595" s="26">
        <f ca="1">IFERROR(__xludf.DUMMYFUNCTION("""COMPUTED_VALUE"""),53)</f>
        <v>53</v>
      </c>
      <c r="E1595" s="1"/>
      <c r="F1595" s="87" t="str">
        <f t="shared" ca="1" si="0"/>
        <v>2022</v>
      </c>
      <c r="G1595" s="1" t="str">
        <f ca="1">IFERROR(__xludf.DUMMYFUNCTION("""COMPUTED_VALUE"""),"Windsor Wildcats Hockey")</f>
        <v>Windsor Wildcats Hockey</v>
      </c>
      <c r="H1595" s="26">
        <f t="shared" ca="1" si="1"/>
        <v>53</v>
      </c>
      <c r="I1595" s="26">
        <f t="shared" ca="1" si="2"/>
        <v>1</v>
      </c>
      <c r="J1595" s="86">
        <f t="shared" ca="1" si="3"/>
        <v>44829</v>
      </c>
      <c r="R1595" s="26"/>
    </row>
    <row r="1596" spans="1:18" ht="15.75" customHeight="1">
      <c r="A1596" s="26">
        <f ca="1">IFERROR(__xludf.DUMMYFUNCTION("""COMPUTED_VALUE"""),16239)</f>
        <v>16239</v>
      </c>
      <c r="B1596" s="86">
        <f ca="1">IFERROR(__xludf.DUMMYFUNCTION("""COMPUTED_VALUE"""),44829.5247106481)</f>
        <v>44829.524710648097</v>
      </c>
      <c r="C1596" s="1" t="str">
        <f ca="1">IFERROR(__xludf.DUMMYFUNCTION("""COMPUTED_VALUE"""),"completed")</f>
        <v>completed</v>
      </c>
      <c r="D1596" s="26">
        <f ca="1">IFERROR(__xludf.DUMMYFUNCTION("""COMPUTED_VALUE"""),28)</f>
        <v>28</v>
      </c>
      <c r="E1596" s="1"/>
      <c r="F1596" s="87" t="str">
        <f t="shared" ca="1" si="0"/>
        <v>2022</v>
      </c>
      <c r="G1596" s="1" t="str">
        <f ca="1">IFERROR(__xludf.DUMMYFUNCTION("""COMPUTED_VALUE"""),"WMFA")</f>
        <v>WMFA</v>
      </c>
      <c r="H1596" s="26">
        <f t="shared" ca="1" si="1"/>
        <v>28</v>
      </c>
      <c r="I1596" s="26">
        <f t="shared" ca="1" si="2"/>
        <v>1</v>
      </c>
      <c r="J1596" s="86">
        <f t="shared" ca="1" si="3"/>
        <v>44829</v>
      </c>
      <c r="R1596" s="26"/>
    </row>
    <row r="1597" spans="1:18" ht="15.75" customHeight="1">
      <c r="A1597" s="26">
        <f ca="1">IFERROR(__xludf.DUMMYFUNCTION("""COMPUTED_VALUE"""),16238)</f>
        <v>16238</v>
      </c>
      <c r="B1597" s="86">
        <f ca="1">IFERROR(__xludf.DUMMYFUNCTION("""COMPUTED_VALUE"""),44829.5231481481)</f>
        <v>44829.523148148102</v>
      </c>
      <c r="C1597" s="1" t="str">
        <f ca="1">IFERROR(__xludf.DUMMYFUNCTION("""COMPUTED_VALUE"""),"completed")</f>
        <v>completed</v>
      </c>
      <c r="D1597" s="26">
        <f ca="1">IFERROR(__xludf.DUMMYFUNCTION("""COMPUTED_VALUE"""),20)</f>
        <v>20</v>
      </c>
      <c r="E1597" s="1"/>
      <c r="F1597" s="87" t="str">
        <f t="shared" ca="1" si="0"/>
        <v>2022</v>
      </c>
      <c r="G1597" s="1" t="str">
        <f ca="1">IFERROR(__xludf.DUMMYFUNCTION("""COMPUTED_VALUE"""),"Essex Thunder Minor Hockey")</f>
        <v>Essex Thunder Minor Hockey</v>
      </c>
      <c r="H1597" s="26">
        <f t="shared" ca="1" si="1"/>
        <v>20</v>
      </c>
      <c r="I1597" s="26">
        <f t="shared" ca="1" si="2"/>
        <v>1</v>
      </c>
      <c r="J1597" s="86">
        <f t="shared" ca="1" si="3"/>
        <v>44829</v>
      </c>
      <c r="R1597" s="26"/>
    </row>
    <row r="1598" spans="1:18" ht="15.75" customHeight="1">
      <c r="A1598" s="26">
        <f ca="1">IFERROR(__xludf.DUMMYFUNCTION("""COMPUTED_VALUE"""),16237)</f>
        <v>16237</v>
      </c>
      <c r="B1598" s="86">
        <f ca="1">IFERROR(__xludf.DUMMYFUNCTION("""COMPUTED_VALUE"""),44829.5226736111)</f>
        <v>44829.5226736111</v>
      </c>
      <c r="C1598" s="1" t="str">
        <f ca="1">IFERROR(__xludf.DUMMYFUNCTION("""COMPUTED_VALUE"""),"completed")</f>
        <v>completed</v>
      </c>
      <c r="D1598" s="26">
        <f ca="1">IFERROR(__xludf.DUMMYFUNCTION("""COMPUTED_VALUE"""),45)</f>
        <v>45</v>
      </c>
      <c r="E1598" s="1"/>
      <c r="F1598" s="87" t="str">
        <f t="shared" ca="1" si="0"/>
        <v>2022</v>
      </c>
      <c r="G1598" s="1" t="str">
        <f ca="1">IFERROR(__xludf.DUMMYFUNCTION("""COMPUTED_VALUE"""),"Tecumseh Rangers Baseball")</f>
        <v>Tecumseh Rangers Baseball</v>
      </c>
      <c r="H1598" s="26">
        <f t="shared" ca="1" si="1"/>
        <v>45</v>
      </c>
      <c r="I1598" s="26">
        <f t="shared" ca="1" si="2"/>
        <v>1</v>
      </c>
      <c r="J1598" s="86">
        <f t="shared" ca="1" si="3"/>
        <v>44829</v>
      </c>
      <c r="R1598" s="26"/>
    </row>
    <row r="1599" spans="1:18" ht="15.75" customHeight="1">
      <c r="A1599" s="26">
        <f ca="1">IFERROR(__xludf.DUMMYFUNCTION("""COMPUTED_VALUE"""),16236)</f>
        <v>16236</v>
      </c>
      <c r="B1599" s="86">
        <f ca="1">IFERROR(__xludf.DUMMYFUNCTION("""COMPUTED_VALUE"""),44829.5188773148)</f>
        <v>44829.518877314797</v>
      </c>
      <c r="C1599" s="1" t="str">
        <f ca="1">IFERROR(__xludf.DUMMYFUNCTION("""COMPUTED_VALUE"""),"completed")</f>
        <v>completed</v>
      </c>
      <c r="D1599" s="26">
        <f ca="1">IFERROR(__xludf.DUMMYFUNCTION("""COMPUTED_VALUE"""),25)</f>
        <v>25</v>
      </c>
      <c r="E1599" s="1"/>
      <c r="F1599" s="87" t="str">
        <f t="shared" ca="1" si="0"/>
        <v>2022</v>
      </c>
      <c r="G1599" s="1" t="str">
        <f ca="1">IFERROR(__xludf.DUMMYFUNCTION("""COMPUTED_VALUE"""),"Tecumseh Rangers Baseball")</f>
        <v>Tecumseh Rangers Baseball</v>
      </c>
      <c r="H1599" s="26">
        <f t="shared" ca="1" si="1"/>
        <v>25</v>
      </c>
      <c r="I1599" s="26">
        <f t="shared" ca="1" si="2"/>
        <v>1</v>
      </c>
      <c r="J1599" s="86">
        <f t="shared" ca="1" si="3"/>
        <v>44829</v>
      </c>
      <c r="R1599" s="26"/>
    </row>
    <row r="1600" spans="1:18" ht="15.75" customHeight="1">
      <c r="A1600" s="26">
        <f ca="1">IFERROR(__xludf.DUMMYFUNCTION("""COMPUTED_VALUE"""),16235)</f>
        <v>16235</v>
      </c>
      <c r="B1600" s="86">
        <f ca="1">IFERROR(__xludf.DUMMYFUNCTION("""COMPUTED_VALUE"""),44829.5123958333)</f>
        <v>44829.512395833299</v>
      </c>
      <c r="C1600" s="1" t="str">
        <f ca="1">IFERROR(__xludf.DUMMYFUNCTION("""COMPUTED_VALUE"""),"completed")</f>
        <v>completed</v>
      </c>
      <c r="D1600" s="26">
        <f ca="1">IFERROR(__xludf.DUMMYFUNCTION("""COMPUTED_VALUE"""),55)</f>
        <v>55</v>
      </c>
      <c r="E1600" s="1"/>
      <c r="F1600" s="87" t="str">
        <f t="shared" ca="1" si="0"/>
        <v>2022</v>
      </c>
      <c r="G1600" s="1" t="str">
        <f ca="1">IFERROR(__xludf.DUMMYFUNCTION("""COMPUTED_VALUE"""),"Tecumseh Rangers Baseball")</f>
        <v>Tecumseh Rangers Baseball</v>
      </c>
      <c r="H1600" s="26">
        <f t="shared" ca="1" si="1"/>
        <v>55</v>
      </c>
      <c r="I1600" s="26">
        <f t="shared" ca="1" si="2"/>
        <v>1</v>
      </c>
      <c r="J1600" s="86">
        <f t="shared" ca="1" si="3"/>
        <v>44829</v>
      </c>
      <c r="R1600" s="26"/>
    </row>
    <row r="1601" spans="1:18" ht="15.75" customHeight="1">
      <c r="A1601" s="26">
        <f ca="1">IFERROR(__xludf.DUMMYFUNCTION("""COMPUTED_VALUE"""),16234)</f>
        <v>16234</v>
      </c>
      <c r="B1601" s="86">
        <f ca="1">IFERROR(__xludf.DUMMYFUNCTION("""COMPUTED_VALUE"""),44829.5099189814)</f>
        <v>44829.509918981399</v>
      </c>
      <c r="C1601" s="1" t="str">
        <f ca="1">IFERROR(__xludf.DUMMYFUNCTION("""COMPUTED_VALUE"""),"completed")</f>
        <v>completed</v>
      </c>
      <c r="D1601" s="26">
        <f ca="1">IFERROR(__xludf.DUMMYFUNCTION("""COMPUTED_VALUE"""),25)</f>
        <v>25</v>
      </c>
      <c r="E1601" s="1"/>
      <c r="F1601" s="87" t="str">
        <f t="shared" ca="1" si="0"/>
        <v>2022</v>
      </c>
      <c r="G1601" s="1" t="str">
        <f ca="1">IFERROR(__xludf.DUMMYFUNCTION("""COMPUTED_VALUE"""),"Windsor Wildcats Baseball")</f>
        <v>Windsor Wildcats Baseball</v>
      </c>
      <c r="H1601" s="26">
        <f t="shared" ca="1" si="1"/>
        <v>25</v>
      </c>
      <c r="I1601" s="26">
        <f t="shared" ca="1" si="2"/>
        <v>1</v>
      </c>
      <c r="J1601" s="86">
        <f t="shared" ca="1" si="3"/>
        <v>44829</v>
      </c>
      <c r="R1601" s="26"/>
    </row>
    <row r="1602" spans="1:18" ht="15.75" customHeight="1">
      <c r="A1602" s="26">
        <f ca="1">IFERROR(__xludf.DUMMYFUNCTION("""COMPUTED_VALUE"""),16233)</f>
        <v>16233</v>
      </c>
      <c r="B1602" s="86">
        <f ca="1">IFERROR(__xludf.DUMMYFUNCTION("""COMPUTED_VALUE"""),44829.5094560185)</f>
        <v>44829.509456018503</v>
      </c>
      <c r="C1602" s="1" t="str">
        <f ca="1">IFERROR(__xludf.DUMMYFUNCTION("""COMPUTED_VALUE"""),"completed")</f>
        <v>completed</v>
      </c>
      <c r="D1602" s="26">
        <f ca="1">IFERROR(__xludf.DUMMYFUNCTION("""COMPUTED_VALUE"""),25)</f>
        <v>25</v>
      </c>
      <c r="E1602" s="1"/>
      <c r="F1602" s="87" t="str">
        <f t="shared" ca="1" si="0"/>
        <v>2022</v>
      </c>
      <c r="G1602" s="1" t="str">
        <f ca="1">IFERROR(__xludf.DUMMYFUNCTION("""COMPUTED_VALUE"""),"Tecumseh Rangers Baseball")</f>
        <v>Tecumseh Rangers Baseball</v>
      </c>
      <c r="H1602" s="26">
        <f t="shared" ca="1" si="1"/>
        <v>25</v>
      </c>
      <c r="I1602" s="26">
        <f t="shared" ca="1" si="2"/>
        <v>1</v>
      </c>
      <c r="J1602" s="86">
        <f t="shared" ca="1" si="3"/>
        <v>44829</v>
      </c>
      <c r="R1602" s="26"/>
    </row>
    <row r="1603" spans="1:18" ht="15.75" customHeight="1">
      <c r="A1603" s="26">
        <f ca="1">IFERROR(__xludf.DUMMYFUNCTION("""COMPUTED_VALUE"""),16232)</f>
        <v>16232</v>
      </c>
      <c r="B1603" s="86">
        <f ca="1">IFERROR(__xludf.DUMMYFUNCTION("""COMPUTED_VALUE"""),44829.5085416666)</f>
        <v>44829.508541666597</v>
      </c>
      <c r="C1603" s="1" t="str">
        <f ca="1">IFERROR(__xludf.DUMMYFUNCTION("""COMPUTED_VALUE"""),"completed")</f>
        <v>completed</v>
      </c>
      <c r="D1603" s="26">
        <f ca="1">IFERROR(__xludf.DUMMYFUNCTION("""COMPUTED_VALUE"""),25)</f>
        <v>25</v>
      </c>
      <c r="E1603" s="1"/>
      <c r="F1603" s="87" t="str">
        <f t="shared" ca="1" si="0"/>
        <v>2022</v>
      </c>
      <c r="G1603" s="1" t="str">
        <f ca="1">IFERROR(__xludf.DUMMYFUNCTION("""COMPUTED_VALUE"""),"Windsor Wildcats Baseball")</f>
        <v>Windsor Wildcats Baseball</v>
      </c>
      <c r="H1603" s="26">
        <f t="shared" ca="1" si="1"/>
        <v>25</v>
      </c>
      <c r="I1603" s="26">
        <f t="shared" ca="1" si="2"/>
        <v>1</v>
      </c>
      <c r="J1603" s="86">
        <f t="shared" ca="1" si="3"/>
        <v>44829</v>
      </c>
      <c r="R1603" s="26"/>
    </row>
    <row r="1604" spans="1:18" ht="15.75" customHeight="1">
      <c r="A1604" s="26">
        <f ca="1">IFERROR(__xludf.DUMMYFUNCTION("""COMPUTED_VALUE"""),16231)</f>
        <v>16231</v>
      </c>
      <c r="B1604" s="86">
        <f ca="1">IFERROR(__xludf.DUMMYFUNCTION("""COMPUTED_VALUE"""),44829.5085069444)</f>
        <v>44829.508506944403</v>
      </c>
      <c r="C1604" s="1" t="str">
        <f ca="1">IFERROR(__xludf.DUMMYFUNCTION("""COMPUTED_VALUE"""),"completed")</f>
        <v>completed</v>
      </c>
      <c r="D1604" s="26">
        <f ca="1">IFERROR(__xludf.DUMMYFUNCTION("""COMPUTED_VALUE"""),55)</f>
        <v>55</v>
      </c>
      <c r="E1604" s="1"/>
      <c r="F1604" s="87" t="str">
        <f t="shared" ca="1" si="0"/>
        <v>2022</v>
      </c>
      <c r="G1604" s="1" t="str">
        <f ca="1">IFERROR(__xludf.DUMMYFUNCTION("""COMPUTED_VALUE"""),"Windsor Wildcats Baseball")</f>
        <v>Windsor Wildcats Baseball</v>
      </c>
      <c r="H1604" s="26">
        <f t="shared" ca="1" si="1"/>
        <v>55</v>
      </c>
      <c r="I1604" s="26">
        <f t="shared" ca="1" si="2"/>
        <v>1</v>
      </c>
      <c r="J1604" s="86">
        <f t="shared" ca="1" si="3"/>
        <v>44829</v>
      </c>
      <c r="R1604" s="26"/>
    </row>
    <row r="1605" spans="1:18" ht="15.75" customHeight="1">
      <c r="A1605" s="26">
        <f ca="1">IFERROR(__xludf.DUMMYFUNCTION("""COMPUTED_VALUE"""),16230)</f>
        <v>16230</v>
      </c>
      <c r="B1605" s="86">
        <f ca="1">IFERROR(__xludf.DUMMYFUNCTION("""COMPUTED_VALUE"""),44829.5050347222)</f>
        <v>44829.505034722199</v>
      </c>
      <c r="C1605" s="1" t="str">
        <f ca="1">IFERROR(__xludf.DUMMYFUNCTION("""COMPUTED_VALUE"""),"completed")</f>
        <v>completed</v>
      </c>
      <c r="D1605" s="26">
        <f ca="1">IFERROR(__xludf.DUMMYFUNCTION("""COMPUTED_VALUE"""),25)</f>
        <v>25</v>
      </c>
      <c r="E1605" s="1"/>
      <c r="F1605" s="87" t="str">
        <f t="shared" ca="1" si="0"/>
        <v>2022</v>
      </c>
      <c r="G1605" s="1" t="str">
        <f ca="1">IFERROR(__xludf.DUMMYFUNCTION("""COMPUTED_VALUE"""),"Tecumseh Rangers Baseball")</f>
        <v>Tecumseh Rangers Baseball</v>
      </c>
      <c r="H1605" s="26">
        <f t="shared" ca="1" si="1"/>
        <v>25</v>
      </c>
      <c r="I1605" s="26">
        <f t="shared" ca="1" si="2"/>
        <v>1</v>
      </c>
      <c r="J1605" s="86">
        <f t="shared" ca="1" si="3"/>
        <v>44829</v>
      </c>
      <c r="R1605" s="26"/>
    </row>
    <row r="1606" spans="1:18" ht="15.75" customHeight="1">
      <c r="A1606" s="26">
        <f ca="1">IFERROR(__xludf.DUMMYFUNCTION("""COMPUTED_VALUE"""),16229)</f>
        <v>16229</v>
      </c>
      <c r="B1606" s="86">
        <f ca="1">IFERROR(__xludf.DUMMYFUNCTION("""COMPUTED_VALUE"""),44829.4760185185)</f>
        <v>44829.4760185185</v>
      </c>
      <c r="C1606" s="1" t="str">
        <f ca="1">IFERROR(__xludf.DUMMYFUNCTION("""COMPUTED_VALUE"""),"completed")</f>
        <v>completed</v>
      </c>
      <c r="D1606" s="26">
        <f ca="1">IFERROR(__xludf.DUMMYFUNCTION("""COMPUTED_VALUE"""),55)</f>
        <v>55</v>
      </c>
      <c r="E1606" s="1"/>
      <c r="F1606" s="87" t="str">
        <f t="shared" ca="1" si="0"/>
        <v>2022</v>
      </c>
      <c r="G1606" s="1" t="str">
        <f ca="1">IFERROR(__xludf.DUMMYFUNCTION("""COMPUTED_VALUE"""),"Erie North Shore Minor Hockey")</f>
        <v>Erie North Shore Minor Hockey</v>
      </c>
      <c r="H1606" s="26">
        <f t="shared" ca="1" si="1"/>
        <v>55</v>
      </c>
      <c r="I1606" s="26">
        <f t="shared" ca="1" si="2"/>
        <v>1</v>
      </c>
      <c r="J1606" s="86">
        <f t="shared" ca="1" si="3"/>
        <v>44829</v>
      </c>
      <c r="R1606" s="26"/>
    </row>
    <row r="1607" spans="1:18" ht="15.75" customHeight="1">
      <c r="A1607" s="26">
        <f ca="1">IFERROR(__xludf.DUMMYFUNCTION("""COMPUTED_VALUE"""),16228)</f>
        <v>16228</v>
      </c>
      <c r="B1607" s="86">
        <f ca="1">IFERROR(__xludf.DUMMYFUNCTION("""COMPUTED_VALUE"""),44829.1144444444)</f>
        <v>44829.1144444444</v>
      </c>
      <c r="C1607" s="1" t="str">
        <f ca="1">IFERROR(__xludf.DUMMYFUNCTION("""COMPUTED_VALUE"""),"completed")</f>
        <v>completed</v>
      </c>
      <c r="D1607" s="26">
        <f ca="1">IFERROR(__xludf.DUMMYFUNCTION("""COMPUTED_VALUE"""),55)</f>
        <v>55</v>
      </c>
      <c r="E1607" s="1"/>
      <c r="F1607" s="87" t="str">
        <f t="shared" ca="1" si="0"/>
        <v>2022</v>
      </c>
      <c r="G1607" s="1" t="str">
        <f ca="1">IFERROR(__xludf.DUMMYFUNCTION("""COMPUTED_VALUE"""),"Erie North Shore Minor Hockey")</f>
        <v>Erie North Shore Minor Hockey</v>
      </c>
      <c r="H1607" s="26">
        <f t="shared" ca="1" si="1"/>
        <v>55</v>
      </c>
      <c r="I1607" s="26">
        <f t="shared" ca="1" si="2"/>
        <v>1</v>
      </c>
      <c r="J1607" s="86">
        <f t="shared" ca="1" si="3"/>
        <v>44829</v>
      </c>
      <c r="R1607" s="26"/>
    </row>
    <row r="1608" spans="1:18" ht="15.75" customHeight="1">
      <c r="A1608" s="26">
        <f ca="1">IFERROR(__xludf.DUMMYFUNCTION("""COMPUTED_VALUE"""),16227)</f>
        <v>16227</v>
      </c>
      <c r="B1608" s="86">
        <f ca="1">IFERROR(__xludf.DUMMYFUNCTION("""COMPUTED_VALUE"""),44829.0677199074)</f>
        <v>44829.067719907398</v>
      </c>
      <c r="C1608" s="1" t="str">
        <f ca="1">IFERROR(__xludf.DUMMYFUNCTION("""COMPUTED_VALUE"""),"completed")</f>
        <v>completed</v>
      </c>
      <c r="D1608" s="26">
        <f ca="1">IFERROR(__xludf.DUMMYFUNCTION("""COMPUTED_VALUE"""),33)</f>
        <v>33</v>
      </c>
      <c r="E1608" s="1"/>
      <c r="F1608" s="87" t="str">
        <f t="shared" ca="1" si="0"/>
        <v>2022</v>
      </c>
      <c r="G1608" s="1" t="str">
        <f ca="1">IFERROR(__xludf.DUMMYFUNCTION("""COMPUTED_VALUE"""),"Tecumseh Rangers Baseball")</f>
        <v>Tecumseh Rangers Baseball</v>
      </c>
      <c r="H1608" s="26">
        <f t="shared" ca="1" si="1"/>
        <v>33</v>
      </c>
      <c r="I1608" s="26">
        <f t="shared" ca="1" si="2"/>
        <v>1</v>
      </c>
      <c r="J1608" s="86">
        <f t="shared" ca="1" si="3"/>
        <v>44829</v>
      </c>
      <c r="R1608" s="26"/>
    </row>
    <row r="1609" spans="1:18" ht="15.75" customHeight="1">
      <c r="A1609" s="26">
        <f ca="1">IFERROR(__xludf.DUMMYFUNCTION("""COMPUTED_VALUE"""),16226)</f>
        <v>16226</v>
      </c>
      <c r="B1609" s="86">
        <f ca="1">IFERROR(__xludf.DUMMYFUNCTION("""COMPUTED_VALUE"""),44829.0481481481)</f>
        <v>44829.048148148097</v>
      </c>
      <c r="C1609" s="1" t="str">
        <f ca="1">IFERROR(__xludf.DUMMYFUNCTION("""COMPUTED_VALUE"""),"completed")</f>
        <v>completed</v>
      </c>
      <c r="D1609" s="26">
        <f ca="1">IFERROR(__xludf.DUMMYFUNCTION("""COMPUTED_VALUE"""),55)</f>
        <v>55</v>
      </c>
      <c r="E1609" s="1"/>
      <c r="F1609" s="87" t="str">
        <f t="shared" ca="1" si="0"/>
        <v>2022</v>
      </c>
      <c r="G1609" s="1" t="str">
        <f ca="1">IFERROR(__xludf.DUMMYFUNCTION("""COMPUTED_VALUE"""),"Tecumseh Rangers Baseball")</f>
        <v>Tecumseh Rangers Baseball</v>
      </c>
      <c r="H1609" s="26">
        <f t="shared" ca="1" si="1"/>
        <v>55</v>
      </c>
      <c r="I1609" s="26">
        <f t="shared" ca="1" si="2"/>
        <v>1</v>
      </c>
      <c r="J1609" s="86">
        <f t="shared" ca="1" si="3"/>
        <v>44829</v>
      </c>
      <c r="R1609" s="26"/>
    </row>
    <row r="1610" spans="1:18" ht="15.75" customHeight="1">
      <c r="A1610" s="26">
        <f ca="1">IFERROR(__xludf.DUMMYFUNCTION("""COMPUTED_VALUE"""),16225)</f>
        <v>16225</v>
      </c>
      <c r="B1610" s="86">
        <f ca="1">IFERROR(__xludf.DUMMYFUNCTION("""COMPUTED_VALUE"""),44829.027037037)</f>
        <v>44829.027037036998</v>
      </c>
      <c r="C1610" s="1" t="str">
        <f ca="1">IFERROR(__xludf.DUMMYFUNCTION("""COMPUTED_VALUE"""),"completed")</f>
        <v>completed</v>
      </c>
      <c r="D1610" s="26">
        <f ca="1">IFERROR(__xludf.DUMMYFUNCTION("""COMPUTED_VALUE"""),38)</f>
        <v>38</v>
      </c>
      <c r="E1610" s="1"/>
      <c r="F1610" s="87" t="str">
        <f t="shared" ca="1" si="0"/>
        <v>2022</v>
      </c>
      <c r="G1610" s="1" t="str">
        <f ca="1">IFERROR(__xludf.DUMMYFUNCTION("""COMPUTED_VALUE"""),"Tecumseh Rangers Baseball")</f>
        <v>Tecumseh Rangers Baseball</v>
      </c>
      <c r="H1610" s="26">
        <f t="shared" ca="1" si="1"/>
        <v>38</v>
      </c>
      <c r="I1610" s="26">
        <f t="shared" ca="1" si="2"/>
        <v>1</v>
      </c>
      <c r="J1610" s="86">
        <f t="shared" ca="1" si="3"/>
        <v>44829</v>
      </c>
      <c r="R1610" s="26"/>
    </row>
    <row r="1611" spans="1:18" ht="15.75" customHeight="1">
      <c r="A1611" s="26">
        <f ca="1">IFERROR(__xludf.DUMMYFUNCTION("""COMPUTED_VALUE"""),16224)</f>
        <v>16224</v>
      </c>
      <c r="B1611" s="86">
        <f ca="1">IFERROR(__xludf.DUMMYFUNCTION("""COMPUTED_VALUE"""),44828.9817129629)</f>
        <v>44828.981712962901</v>
      </c>
      <c r="C1611" s="1" t="str">
        <f ca="1">IFERROR(__xludf.DUMMYFUNCTION("""COMPUTED_VALUE"""),"completed")</f>
        <v>completed</v>
      </c>
      <c r="D1611" s="26">
        <f ca="1">IFERROR(__xludf.DUMMYFUNCTION("""COMPUTED_VALUE"""),15)</f>
        <v>15</v>
      </c>
      <c r="E1611" s="1"/>
      <c r="F1611" s="87" t="str">
        <f t="shared" ca="1" si="0"/>
        <v>2022</v>
      </c>
      <c r="G1611" s="1" t="str">
        <f ca="1">IFERROR(__xludf.DUMMYFUNCTION("""COMPUTED_VALUE"""),"Tecumseh Rangers Baseball")</f>
        <v>Tecumseh Rangers Baseball</v>
      </c>
      <c r="H1611" s="26">
        <f t="shared" ca="1" si="1"/>
        <v>15</v>
      </c>
      <c r="I1611" s="26">
        <f t="shared" ca="1" si="2"/>
        <v>1</v>
      </c>
      <c r="J1611" s="86">
        <f t="shared" ca="1" si="3"/>
        <v>44828</v>
      </c>
      <c r="R1611" s="26"/>
    </row>
    <row r="1612" spans="1:18" ht="15.75" customHeight="1">
      <c r="A1612" s="26">
        <f ca="1">IFERROR(__xludf.DUMMYFUNCTION("""COMPUTED_VALUE"""),16223)</f>
        <v>16223</v>
      </c>
      <c r="B1612" s="86">
        <f ca="1">IFERROR(__xludf.DUMMYFUNCTION("""COMPUTED_VALUE"""),44828.9798148148)</f>
        <v>44828.979814814797</v>
      </c>
      <c r="C1612" s="1" t="str">
        <f ca="1">IFERROR(__xludf.DUMMYFUNCTION("""COMPUTED_VALUE"""),"completed")</f>
        <v>completed</v>
      </c>
      <c r="D1612" s="26">
        <f ca="1">IFERROR(__xludf.DUMMYFUNCTION("""COMPUTED_VALUE"""),15)</f>
        <v>15</v>
      </c>
      <c r="E1612" s="1"/>
      <c r="F1612" s="87" t="str">
        <f t="shared" ca="1" si="0"/>
        <v>2022</v>
      </c>
      <c r="G1612" s="1" t="str">
        <f ca="1">IFERROR(__xludf.DUMMYFUNCTION("""COMPUTED_VALUE"""),"Tecumseh Rangers Baseball")</f>
        <v>Tecumseh Rangers Baseball</v>
      </c>
      <c r="H1612" s="26">
        <f t="shared" ca="1" si="1"/>
        <v>15</v>
      </c>
      <c r="I1612" s="26">
        <f t="shared" ca="1" si="2"/>
        <v>1</v>
      </c>
      <c r="J1612" s="86">
        <f t="shared" ca="1" si="3"/>
        <v>44828</v>
      </c>
      <c r="R1612" s="26"/>
    </row>
    <row r="1613" spans="1:18" ht="15.75" customHeight="1">
      <c r="A1613" s="26">
        <f ca="1">IFERROR(__xludf.DUMMYFUNCTION("""COMPUTED_VALUE"""),16222)</f>
        <v>16222</v>
      </c>
      <c r="B1613" s="86">
        <f ca="1">IFERROR(__xludf.DUMMYFUNCTION("""COMPUTED_VALUE"""),44828.9232638888)</f>
        <v>44828.923263888799</v>
      </c>
      <c r="C1613" s="1" t="str">
        <f ca="1">IFERROR(__xludf.DUMMYFUNCTION("""COMPUTED_VALUE"""),"completed")</f>
        <v>completed</v>
      </c>
      <c r="D1613" s="26">
        <f ca="1">IFERROR(__xludf.DUMMYFUNCTION("""COMPUTED_VALUE"""),15)</f>
        <v>15</v>
      </c>
      <c r="E1613" s="1"/>
      <c r="F1613" s="87" t="str">
        <f t="shared" ca="1" si="0"/>
        <v>2022</v>
      </c>
      <c r="G1613" s="1" t="str">
        <f ca="1">IFERROR(__xludf.DUMMYFUNCTION("""COMPUTED_VALUE"""),"Tecumseh Rangers Baseball")</f>
        <v>Tecumseh Rangers Baseball</v>
      </c>
      <c r="H1613" s="26">
        <f t="shared" ca="1" si="1"/>
        <v>15</v>
      </c>
      <c r="I1613" s="26">
        <f t="shared" ca="1" si="2"/>
        <v>1</v>
      </c>
      <c r="J1613" s="86">
        <f t="shared" ca="1" si="3"/>
        <v>44828</v>
      </c>
      <c r="R1613" s="26"/>
    </row>
    <row r="1614" spans="1:18" ht="15.75" customHeight="1">
      <c r="A1614" s="26">
        <f ca="1">IFERROR(__xludf.DUMMYFUNCTION("""COMPUTED_VALUE"""),16221)</f>
        <v>16221</v>
      </c>
      <c r="B1614" s="86">
        <f ca="1">IFERROR(__xludf.DUMMYFUNCTION("""COMPUTED_VALUE"""),44828.7779861111)</f>
        <v>44828.777986111098</v>
      </c>
      <c r="C1614" s="1" t="str">
        <f ca="1">IFERROR(__xludf.DUMMYFUNCTION("""COMPUTED_VALUE"""),"completed")</f>
        <v>completed</v>
      </c>
      <c r="D1614" s="26">
        <f ca="1">IFERROR(__xludf.DUMMYFUNCTION("""COMPUTED_VALUE"""),63)</f>
        <v>63</v>
      </c>
      <c r="E1614" s="1"/>
      <c r="F1614" s="87" t="str">
        <f t="shared" ca="1" si="0"/>
        <v>2022</v>
      </c>
      <c r="G1614" s="1" t="str">
        <f ca="1">IFERROR(__xludf.DUMMYFUNCTION("""COMPUTED_VALUE"""),"Tecumseh Rangers Baseball")</f>
        <v>Tecumseh Rangers Baseball</v>
      </c>
      <c r="H1614" s="26">
        <f t="shared" ca="1" si="1"/>
        <v>63</v>
      </c>
      <c r="I1614" s="26">
        <f t="shared" ca="1" si="2"/>
        <v>1</v>
      </c>
      <c r="J1614" s="86">
        <f t="shared" ca="1" si="3"/>
        <v>44828</v>
      </c>
      <c r="R1614" s="26"/>
    </row>
    <row r="1615" spans="1:18" ht="15.75" customHeight="1">
      <c r="A1615" s="26">
        <f ca="1">IFERROR(__xludf.DUMMYFUNCTION("""COMPUTED_VALUE"""),16220)</f>
        <v>16220</v>
      </c>
      <c r="B1615" s="86">
        <f ca="1">IFERROR(__xludf.DUMMYFUNCTION("""COMPUTED_VALUE"""),44828.7605208333)</f>
        <v>44828.760520833297</v>
      </c>
      <c r="C1615" s="1" t="str">
        <f ca="1">IFERROR(__xludf.DUMMYFUNCTION("""COMPUTED_VALUE"""),"completed")</f>
        <v>completed</v>
      </c>
      <c r="D1615" s="26">
        <f ca="1">IFERROR(__xludf.DUMMYFUNCTION("""COMPUTED_VALUE"""),35)</f>
        <v>35</v>
      </c>
      <c r="E1615" s="1"/>
      <c r="F1615" s="87" t="str">
        <f t="shared" ca="1" si="0"/>
        <v>2022</v>
      </c>
      <c r="G1615" s="1" t="str">
        <f ca="1">IFERROR(__xludf.DUMMYFUNCTION("""COMPUTED_VALUE"""),"Tecumseh Rangers Baseball")</f>
        <v>Tecumseh Rangers Baseball</v>
      </c>
      <c r="H1615" s="26">
        <f t="shared" ca="1" si="1"/>
        <v>35</v>
      </c>
      <c r="I1615" s="26">
        <f t="shared" ca="1" si="2"/>
        <v>1</v>
      </c>
      <c r="J1615" s="86">
        <f t="shared" ca="1" si="3"/>
        <v>44828</v>
      </c>
      <c r="R1615" s="26"/>
    </row>
    <row r="1616" spans="1:18" ht="15.75" customHeight="1">
      <c r="A1616" s="26">
        <f ca="1">IFERROR(__xludf.DUMMYFUNCTION("""COMPUTED_VALUE"""),16219)</f>
        <v>16219</v>
      </c>
      <c r="B1616" s="86">
        <f ca="1">IFERROR(__xludf.DUMMYFUNCTION("""COMPUTED_VALUE"""),44828.71)</f>
        <v>44828.71</v>
      </c>
      <c r="C1616" s="1" t="str">
        <f ca="1">IFERROR(__xludf.DUMMYFUNCTION("""COMPUTED_VALUE"""),"completed")</f>
        <v>completed</v>
      </c>
      <c r="D1616" s="26">
        <f ca="1">IFERROR(__xludf.DUMMYFUNCTION("""COMPUTED_VALUE"""),55)</f>
        <v>55</v>
      </c>
      <c r="E1616" s="1"/>
      <c r="F1616" s="87" t="str">
        <f t="shared" ca="1" si="0"/>
        <v>2022</v>
      </c>
      <c r="G1616" s="1" t="str">
        <f ca="1">IFERROR(__xludf.DUMMYFUNCTION("""COMPUTED_VALUE"""),"Tecumseh Rangers Baseball")</f>
        <v>Tecumseh Rangers Baseball</v>
      </c>
      <c r="H1616" s="26">
        <f t="shared" ca="1" si="1"/>
        <v>55</v>
      </c>
      <c r="I1616" s="26">
        <f t="shared" ca="1" si="2"/>
        <v>1</v>
      </c>
      <c r="J1616" s="86">
        <f t="shared" ca="1" si="3"/>
        <v>44828</v>
      </c>
      <c r="R1616" s="26"/>
    </row>
    <row r="1617" spans="1:18" ht="15.75" customHeight="1">
      <c r="A1617" s="26">
        <f ca="1">IFERROR(__xludf.DUMMYFUNCTION("""COMPUTED_VALUE"""),16218)</f>
        <v>16218</v>
      </c>
      <c r="B1617" s="86">
        <f ca="1">IFERROR(__xludf.DUMMYFUNCTION("""COMPUTED_VALUE"""),44828.5909027777)</f>
        <v>44828.590902777702</v>
      </c>
      <c r="C1617" s="1" t="str">
        <f ca="1">IFERROR(__xludf.DUMMYFUNCTION("""COMPUTED_VALUE"""),"completed")</f>
        <v>completed</v>
      </c>
      <c r="D1617" s="26">
        <f ca="1">IFERROR(__xludf.DUMMYFUNCTION("""COMPUTED_VALUE"""),66)</f>
        <v>66</v>
      </c>
      <c r="E1617" s="1"/>
      <c r="F1617" s="87" t="str">
        <f t="shared" ca="1" si="0"/>
        <v>2022</v>
      </c>
      <c r="G1617" s="1" t="str">
        <f ca="1">IFERROR(__xludf.DUMMYFUNCTION("""COMPUTED_VALUE"""),"Tecumseh Rangers Baseball")</f>
        <v>Tecumseh Rangers Baseball</v>
      </c>
      <c r="H1617" s="26">
        <f t="shared" ca="1" si="1"/>
        <v>66</v>
      </c>
      <c r="I1617" s="26">
        <f t="shared" ca="1" si="2"/>
        <v>1</v>
      </c>
      <c r="J1617" s="86">
        <f t="shared" ca="1" si="3"/>
        <v>44828</v>
      </c>
      <c r="R1617" s="26"/>
    </row>
    <row r="1618" spans="1:18" ht="15.75" customHeight="1">
      <c r="A1618" s="26">
        <f ca="1">IFERROR(__xludf.DUMMYFUNCTION("""COMPUTED_VALUE"""),16217)</f>
        <v>16217</v>
      </c>
      <c r="B1618" s="86">
        <f ca="1">IFERROR(__xludf.DUMMYFUNCTION("""COMPUTED_VALUE"""),44828.0418402777)</f>
        <v>44828.0418402777</v>
      </c>
      <c r="C1618" s="1" t="str">
        <f ca="1">IFERROR(__xludf.DUMMYFUNCTION("""COMPUTED_VALUE"""),"completed")</f>
        <v>completed</v>
      </c>
      <c r="D1618" s="26">
        <f ca="1">IFERROR(__xludf.DUMMYFUNCTION("""COMPUTED_VALUE"""),18)</f>
        <v>18</v>
      </c>
      <c r="E1618" s="1"/>
      <c r="F1618" s="87" t="str">
        <f t="shared" ca="1" si="0"/>
        <v>2022</v>
      </c>
      <c r="G1618" s="1" t="str">
        <f ca="1">IFERROR(__xludf.DUMMYFUNCTION("""COMPUTED_VALUE"""),"Tecumseh Rangers Baseball")</f>
        <v>Tecumseh Rangers Baseball</v>
      </c>
      <c r="H1618" s="26">
        <f t="shared" ca="1" si="1"/>
        <v>18</v>
      </c>
      <c r="I1618" s="26">
        <f t="shared" ca="1" si="2"/>
        <v>1</v>
      </c>
      <c r="J1618" s="86">
        <f t="shared" ca="1" si="3"/>
        <v>44828</v>
      </c>
      <c r="R1618" s="26"/>
    </row>
    <row r="1619" spans="1:18" ht="15.75" customHeight="1">
      <c r="A1619" s="26">
        <f ca="1">IFERROR(__xludf.DUMMYFUNCTION("""COMPUTED_VALUE"""),16216)</f>
        <v>16216</v>
      </c>
      <c r="B1619" s="86">
        <f ca="1">IFERROR(__xludf.DUMMYFUNCTION("""COMPUTED_VALUE"""),44827.9122222222)</f>
        <v>44827.912222222199</v>
      </c>
      <c r="C1619" s="1" t="str">
        <f ca="1">IFERROR(__xludf.DUMMYFUNCTION("""COMPUTED_VALUE"""),"completed")</f>
        <v>completed</v>
      </c>
      <c r="D1619" s="26">
        <f ca="1">IFERROR(__xludf.DUMMYFUNCTION("""COMPUTED_VALUE"""),47)</f>
        <v>47</v>
      </c>
      <c r="E1619" s="1"/>
      <c r="F1619" s="87" t="str">
        <f t="shared" ca="1" si="0"/>
        <v>2022</v>
      </c>
      <c r="G1619" s="1" t="str">
        <f ca="1">IFERROR(__xludf.DUMMYFUNCTION("""COMPUTED_VALUE"""),"Erie North Shore Minor Hockey")</f>
        <v>Erie North Shore Minor Hockey</v>
      </c>
      <c r="H1619" s="26">
        <f t="shared" ca="1" si="1"/>
        <v>47</v>
      </c>
      <c r="I1619" s="26">
        <f t="shared" ca="1" si="2"/>
        <v>1</v>
      </c>
      <c r="J1619" s="86">
        <f t="shared" ca="1" si="3"/>
        <v>44827</v>
      </c>
      <c r="R1619" s="26"/>
    </row>
    <row r="1620" spans="1:18" ht="15.75" customHeight="1">
      <c r="A1620" s="26">
        <f ca="1">IFERROR(__xludf.DUMMYFUNCTION("""COMPUTED_VALUE"""),16215)</f>
        <v>16215</v>
      </c>
      <c r="B1620" s="86">
        <f ca="1">IFERROR(__xludf.DUMMYFUNCTION("""COMPUTED_VALUE"""),44827.9078009259)</f>
        <v>44827.907800925903</v>
      </c>
      <c r="C1620" s="1" t="str">
        <f ca="1">IFERROR(__xludf.DUMMYFUNCTION("""COMPUTED_VALUE"""),"completed")</f>
        <v>completed</v>
      </c>
      <c r="D1620" s="26">
        <f ca="1">IFERROR(__xludf.DUMMYFUNCTION("""COMPUTED_VALUE"""),35)</f>
        <v>35</v>
      </c>
      <c r="E1620" s="1"/>
      <c r="F1620" s="87" t="str">
        <f t="shared" ca="1" si="0"/>
        <v>2022</v>
      </c>
      <c r="G1620" s="1" t="str">
        <f ca="1">IFERROR(__xludf.DUMMYFUNCTION("""COMPUTED_VALUE"""),"Erie North Shore Minor Hockey")</f>
        <v>Erie North Shore Minor Hockey</v>
      </c>
      <c r="H1620" s="26">
        <f t="shared" ca="1" si="1"/>
        <v>35</v>
      </c>
      <c r="I1620" s="26">
        <f t="shared" ca="1" si="2"/>
        <v>1</v>
      </c>
      <c r="J1620" s="86">
        <f t="shared" ca="1" si="3"/>
        <v>44827</v>
      </c>
      <c r="R1620" s="26"/>
    </row>
    <row r="1621" spans="1:18" ht="15.75" customHeight="1">
      <c r="A1621" s="26">
        <f ca="1">IFERROR(__xludf.DUMMYFUNCTION("""COMPUTED_VALUE"""),16214)</f>
        <v>16214</v>
      </c>
      <c r="B1621" s="86">
        <f ca="1">IFERROR(__xludf.DUMMYFUNCTION("""COMPUTED_VALUE"""),44827.6588425925)</f>
        <v>44827.6588425925</v>
      </c>
      <c r="C1621" s="1" t="str">
        <f ca="1">IFERROR(__xludf.DUMMYFUNCTION("""COMPUTED_VALUE"""),"completed")</f>
        <v>completed</v>
      </c>
      <c r="D1621" s="26">
        <f ca="1">IFERROR(__xludf.DUMMYFUNCTION("""COMPUTED_VALUE"""),55)</f>
        <v>55</v>
      </c>
      <c r="E1621" s="1"/>
      <c r="F1621" s="87" t="str">
        <f t="shared" ca="1" si="0"/>
        <v>2022</v>
      </c>
      <c r="G1621" s="1" t="str">
        <f ca="1">IFERROR(__xludf.DUMMYFUNCTION("""COMPUTED_VALUE"""),"Tecumseh Rangers Baseball")</f>
        <v>Tecumseh Rangers Baseball</v>
      </c>
      <c r="H1621" s="26">
        <f t="shared" ca="1" si="1"/>
        <v>55</v>
      </c>
      <c r="I1621" s="26">
        <f t="shared" ca="1" si="2"/>
        <v>1</v>
      </c>
      <c r="J1621" s="86">
        <f t="shared" ca="1" si="3"/>
        <v>44827</v>
      </c>
      <c r="R1621" s="26"/>
    </row>
    <row r="1622" spans="1:18" ht="15.75" customHeight="1">
      <c r="A1622" s="26">
        <f ca="1">IFERROR(__xludf.DUMMYFUNCTION("""COMPUTED_VALUE"""),16213)</f>
        <v>16213</v>
      </c>
      <c r="B1622" s="86">
        <f ca="1">IFERROR(__xludf.DUMMYFUNCTION("""COMPUTED_VALUE"""),44826.9638194444)</f>
        <v>44826.963819444398</v>
      </c>
      <c r="C1622" s="1" t="str">
        <f ca="1">IFERROR(__xludf.DUMMYFUNCTION("""COMPUTED_VALUE"""),"completed")</f>
        <v>completed</v>
      </c>
      <c r="D1622" s="26">
        <f ca="1">IFERROR(__xludf.DUMMYFUNCTION("""COMPUTED_VALUE"""),86)</f>
        <v>86</v>
      </c>
      <c r="E1622" s="1"/>
      <c r="F1622" s="87" t="str">
        <f t="shared" ca="1" si="0"/>
        <v>2022</v>
      </c>
      <c r="G1622" s="1" t="str">
        <f ca="1">IFERROR(__xludf.DUMMYFUNCTION("""COMPUTED_VALUE"""),"Windsor Wildcats Baseball")</f>
        <v>Windsor Wildcats Baseball</v>
      </c>
      <c r="H1622" s="26">
        <f t="shared" ca="1" si="1"/>
        <v>86</v>
      </c>
      <c r="I1622" s="26">
        <f t="shared" ca="1" si="2"/>
        <v>1</v>
      </c>
      <c r="J1622" s="86">
        <f t="shared" ca="1" si="3"/>
        <v>44826</v>
      </c>
      <c r="R1622" s="26"/>
    </row>
    <row r="1623" spans="1:18" ht="15.75" customHeight="1">
      <c r="A1623" s="26">
        <f ca="1">IFERROR(__xludf.DUMMYFUNCTION("""COMPUTED_VALUE"""),16212)</f>
        <v>16212</v>
      </c>
      <c r="B1623" s="86">
        <f ca="1">IFERROR(__xludf.DUMMYFUNCTION("""COMPUTED_VALUE"""),44826.9076157407)</f>
        <v>44826.907615740703</v>
      </c>
      <c r="C1623" s="1" t="str">
        <f ca="1">IFERROR(__xludf.DUMMYFUNCTION("""COMPUTED_VALUE"""),"completed")</f>
        <v>completed</v>
      </c>
      <c r="D1623" s="26">
        <f ca="1">IFERROR(__xludf.DUMMYFUNCTION("""COMPUTED_VALUE"""),55)</f>
        <v>55</v>
      </c>
      <c r="E1623" s="1"/>
      <c r="F1623" s="87" t="str">
        <f t="shared" ca="1" si="0"/>
        <v>2022</v>
      </c>
      <c r="G1623" s="1" t="str">
        <f ca="1">IFERROR(__xludf.DUMMYFUNCTION("""COMPUTED_VALUE"""),"Tecumseh Rangers Baseball")</f>
        <v>Tecumseh Rangers Baseball</v>
      </c>
      <c r="H1623" s="26">
        <f t="shared" ca="1" si="1"/>
        <v>55</v>
      </c>
      <c r="I1623" s="26">
        <f t="shared" ca="1" si="2"/>
        <v>1</v>
      </c>
      <c r="J1623" s="86">
        <f t="shared" ca="1" si="3"/>
        <v>44826</v>
      </c>
      <c r="R1623" s="26"/>
    </row>
    <row r="1624" spans="1:18" ht="15.75" customHeight="1">
      <c r="A1624" s="26">
        <f ca="1">IFERROR(__xludf.DUMMYFUNCTION("""COMPUTED_VALUE"""),16211)</f>
        <v>16211</v>
      </c>
      <c r="B1624" s="86">
        <f ca="1">IFERROR(__xludf.DUMMYFUNCTION("""COMPUTED_VALUE"""),44826.8800462963)</f>
        <v>44826.880046296297</v>
      </c>
      <c r="C1624" s="1" t="str">
        <f ca="1">IFERROR(__xludf.DUMMYFUNCTION("""COMPUTED_VALUE"""),"completed")</f>
        <v>completed</v>
      </c>
      <c r="D1624" s="26">
        <f ca="1">IFERROR(__xludf.DUMMYFUNCTION("""COMPUTED_VALUE"""),35)</f>
        <v>35</v>
      </c>
      <c r="E1624" s="1"/>
      <c r="F1624" s="87" t="str">
        <f t="shared" ca="1" si="0"/>
        <v>2022</v>
      </c>
      <c r="G1624" s="1" t="str">
        <f ca="1">IFERROR(__xludf.DUMMYFUNCTION("""COMPUTED_VALUE"""),"Tecumseh Rangers Baseball")</f>
        <v>Tecumseh Rangers Baseball</v>
      </c>
      <c r="H1624" s="26">
        <f t="shared" ca="1" si="1"/>
        <v>35</v>
      </c>
      <c r="I1624" s="26">
        <f t="shared" ca="1" si="2"/>
        <v>1</v>
      </c>
      <c r="J1624" s="86">
        <f t="shared" ca="1" si="3"/>
        <v>44826</v>
      </c>
      <c r="R1624" s="26"/>
    </row>
    <row r="1625" spans="1:18" ht="15.75" customHeight="1">
      <c r="A1625" s="26">
        <f ca="1">IFERROR(__xludf.DUMMYFUNCTION("""COMPUTED_VALUE"""),16205)</f>
        <v>16205</v>
      </c>
      <c r="B1625" s="86">
        <f ca="1">IFERROR(__xludf.DUMMYFUNCTION("""COMPUTED_VALUE"""),44826.5904976851)</f>
        <v>44826.590497685102</v>
      </c>
      <c r="C1625" s="1" t="str">
        <f ca="1">IFERROR(__xludf.DUMMYFUNCTION("""COMPUTED_VALUE"""),"completed")</f>
        <v>completed</v>
      </c>
      <c r="D1625" s="26">
        <f ca="1">IFERROR(__xludf.DUMMYFUNCTION("""COMPUTED_VALUE"""),25)</f>
        <v>25</v>
      </c>
      <c r="E1625" s="1"/>
      <c r="F1625" s="87" t="str">
        <f t="shared" ca="1" si="0"/>
        <v>2022</v>
      </c>
      <c r="H1625" s="26" t="str">
        <f t="shared" si="1"/>
        <v/>
      </c>
      <c r="I1625" s="26" t="str">
        <f t="shared" si="2"/>
        <v/>
      </c>
      <c r="J1625" s="86">
        <f t="shared" ca="1" si="3"/>
        <v>44826</v>
      </c>
      <c r="R1625" s="26"/>
    </row>
    <row r="1626" spans="1:18" ht="15.75" customHeight="1">
      <c r="A1626" s="26">
        <f ca="1">IFERROR(__xludf.DUMMYFUNCTION("""COMPUTED_VALUE"""),16204)</f>
        <v>16204</v>
      </c>
      <c r="B1626" s="86">
        <f ca="1">IFERROR(__xludf.DUMMYFUNCTION("""COMPUTED_VALUE"""),44826.5179976851)</f>
        <v>44826.5179976851</v>
      </c>
      <c r="C1626" s="1" t="str">
        <f ca="1">IFERROR(__xludf.DUMMYFUNCTION("""COMPUTED_VALUE"""),"completed")</f>
        <v>completed</v>
      </c>
      <c r="D1626" s="26">
        <f ca="1">IFERROR(__xludf.DUMMYFUNCTION("""COMPUTED_VALUE"""),35)</f>
        <v>35</v>
      </c>
      <c r="E1626" s="1"/>
      <c r="F1626" s="87" t="str">
        <f t="shared" ca="1" si="0"/>
        <v>2022</v>
      </c>
      <c r="H1626" s="26" t="str">
        <f t="shared" si="1"/>
        <v/>
      </c>
      <c r="I1626" s="26" t="str">
        <f t="shared" si="2"/>
        <v/>
      </c>
      <c r="J1626" s="86">
        <f t="shared" ca="1" si="3"/>
        <v>44826</v>
      </c>
      <c r="R1626" s="26"/>
    </row>
    <row r="1627" spans="1:18" ht="15.75" customHeight="1">
      <c r="A1627" s="26">
        <f ca="1">IFERROR(__xludf.DUMMYFUNCTION("""COMPUTED_VALUE"""),16203)</f>
        <v>16203</v>
      </c>
      <c r="B1627" s="86">
        <f ca="1">IFERROR(__xludf.DUMMYFUNCTION("""COMPUTED_VALUE"""),44826.5102662037)</f>
        <v>44826.510266203702</v>
      </c>
      <c r="C1627" s="1" t="str">
        <f ca="1">IFERROR(__xludf.DUMMYFUNCTION("""COMPUTED_VALUE"""),"completed")</f>
        <v>completed</v>
      </c>
      <c r="D1627" s="26">
        <f ca="1">IFERROR(__xludf.DUMMYFUNCTION("""COMPUTED_VALUE"""),15)</f>
        <v>15</v>
      </c>
      <c r="E1627" s="1"/>
      <c r="F1627" s="87" t="str">
        <f t="shared" ca="1" si="0"/>
        <v>2022</v>
      </c>
      <c r="H1627" s="26" t="str">
        <f t="shared" si="1"/>
        <v/>
      </c>
      <c r="I1627" s="26" t="str">
        <f t="shared" si="2"/>
        <v/>
      </c>
      <c r="J1627" s="86">
        <f t="shared" ca="1" si="3"/>
        <v>44826</v>
      </c>
      <c r="R1627" s="26"/>
    </row>
    <row r="1628" spans="1:18" ht="15.75" customHeight="1">
      <c r="A1628" s="26">
        <f ca="1">IFERROR(__xludf.DUMMYFUNCTION("""COMPUTED_VALUE"""),16201)</f>
        <v>16201</v>
      </c>
      <c r="B1628" s="86">
        <f ca="1">IFERROR(__xludf.DUMMYFUNCTION("""COMPUTED_VALUE"""),44826.3966666666)</f>
        <v>44826.396666666602</v>
      </c>
      <c r="C1628" s="1" t="str">
        <f ca="1">IFERROR(__xludf.DUMMYFUNCTION("""COMPUTED_VALUE"""),"completed")</f>
        <v>completed</v>
      </c>
      <c r="D1628" s="26">
        <f ca="1">IFERROR(__xludf.DUMMYFUNCTION("""COMPUTED_VALUE"""),27.5)</f>
        <v>27.5</v>
      </c>
      <c r="E1628" s="1"/>
      <c r="F1628" s="87" t="str">
        <f t="shared" ca="1" si="0"/>
        <v>2022</v>
      </c>
      <c r="H1628" s="26" t="str">
        <f t="shared" si="1"/>
        <v/>
      </c>
      <c r="I1628" s="26" t="str">
        <f t="shared" si="2"/>
        <v/>
      </c>
      <c r="J1628" s="86">
        <f t="shared" ca="1" si="3"/>
        <v>44826</v>
      </c>
      <c r="R1628" s="26"/>
    </row>
    <row r="1629" spans="1:18" ht="15.75" customHeight="1">
      <c r="A1629" s="26">
        <f ca="1">IFERROR(__xludf.DUMMYFUNCTION("""COMPUTED_VALUE"""),16200)</f>
        <v>16200</v>
      </c>
      <c r="B1629" s="86">
        <f ca="1">IFERROR(__xludf.DUMMYFUNCTION("""COMPUTED_VALUE"""),44826.1219907407)</f>
        <v>44826.121990740699</v>
      </c>
      <c r="C1629" s="1" t="str">
        <f ca="1">IFERROR(__xludf.DUMMYFUNCTION("""COMPUTED_VALUE"""),"completed")</f>
        <v>completed</v>
      </c>
      <c r="D1629" s="26">
        <f ca="1">IFERROR(__xludf.DUMMYFUNCTION("""COMPUTED_VALUE"""),28)</f>
        <v>28</v>
      </c>
      <c r="E1629" s="1"/>
      <c r="F1629" s="87" t="str">
        <f t="shared" ca="1" si="0"/>
        <v>2022</v>
      </c>
      <c r="H1629" s="26" t="str">
        <f t="shared" si="1"/>
        <v/>
      </c>
      <c r="I1629" s="26" t="str">
        <f t="shared" si="2"/>
        <v/>
      </c>
      <c r="J1629" s="86">
        <f t="shared" ca="1" si="3"/>
        <v>44826</v>
      </c>
      <c r="R1629" s="26"/>
    </row>
    <row r="1630" spans="1:18" ht="15.75" customHeight="1">
      <c r="A1630" s="26">
        <f ca="1">IFERROR(__xludf.DUMMYFUNCTION("""COMPUTED_VALUE"""),16199)</f>
        <v>16199</v>
      </c>
      <c r="B1630" s="86">
        <f ca="1">IFERROR(__xludf.DUMMYFUNCTION("""COMPUTED_VALUE"""),44825.832349537)</f>
        <v>44825.832349536999</v>
      </c>
      <c r="C1630" s="1" t="str">
        <f ca="1">IFERROR(__xludf.DUMMYFUNCTION("""COMPUTED_VALUE"""),"completed")</f>
        <v>completed</v>
      </c>
      <c r="D1630" s="26">
        <f ca="1">IFERROR(__xludf.DUMMYFUNCTION("""COMPUTED_VALUE"""),63)</f>
        <v>63</v>
      </c>
      <c r="E1630" s="1"/>
      <c r="F1630" s="87" t="str">
        <f t="shared" ca="1" si="0"/>
        <v>2022</v>
      </c>
      <c r="H1630" s="26" t="str">
        <f t="shared" si="1"/>
        <v/>
      </c>
      <c r="I1630" s="26" t="str">
        <f t="shared" si="2"/>
        <v/>
      </c>
      <c r="J1630" s="86">
        <f t="shared" ca="1" si="3"/>
        <v>44825</v>
      </c>
      <c r="R1630" s="26"/>
    </row>
    <row r="1631" spans="1:18" ht="15.75" customHeight="1">
      <c r="A1631" s="26">
        <f ca="1">IFERROR(__xludf.DUMMYFUNCTION("""COMPUTED_VALUE"""),16198)</f>
        <v>16198</v>
      </c>
      <c r="B1631" s="86">
        <f ca="1">IFERROR(__xludf.DUMMYFUNCTION("""COMPUTED_VALUE"""),44825.8005092592)</f>
        <v>44825.800509259199</v>
      </c>
      <c r="C1631" s="1" t="str">
        <f ca="1">IFERROR(__xludf.DUMMYFUNCTION("""COMPUTED_VALUE"""),"completed")</f>
        <v>completed</v>
      </c>
      <c r="D1631" s="26">
        <f ca="1">IFERROR(__xludf.DUMMYFUNCTION("""COMPUTED_VALUE"""),55)</f>
        <v>55</v>
      </c>
      <c r="E1631" s="1"/>
      <c r="F1631" s="87" t="str">
        <f t="shared" ca="1" si="0"/>
        <v>2022</v>
      </c>
      <c r="H1631" s="26" t="str">
        <f t="shared" si="1"/>
        <v/>
      </c>
      <c r="I1631" s="26" t="str">
        <f t="shared" si="2"/>
        <v/>
      </c>
      <c r="J1631" s="86">
        <f t="shared" ca="1" si="3"/>
        <v>44825</v>
      </c>
      <c r="R1631" s="26"/>
    </row>
    <row r="1632" spans="1:18" ht="15.75" customHeight="1">
      <c r="A1632" s="26">
        <f ca="1">IFERROR(__xludf.DUMMYFUNCTION("""COMPUTED_VALUE"""),16197)</f>
        <v>16197</v>
      </c>
      <c r="B1632" s="86">
        <f ca="1">IFERROR(__xludf.DUMMYFUNCTION("""COMPUTED_VALUE"""),44825.4705787037)</f>
        <v>44825.470578703702</v>
      </c>
      <c r="C1632" s="1" t="str">
        <f ca="1">IFERROR(__xludf.DUMMYFUNCTION("""COMPUTED_VALUE"""),"completed")</f>
        <v>completed</v>
      </c>
      <c r="D1632" s="26">
        <f ca="1">IFERROR(__xludf.DUMMYFUNCTION("""COMPUTED_VALUE"""),55)</f>
        <v>55</v>
      </c>
      <c r="E1632" s="1"/>
      <c r="F1632" s="87" t="str">
        <f t="shared" ca="1" si="0"/>
        <v>2022</v>
      </c>
      <c r="H1632" s="26" t="str">
        <f t="shared" si="1"/>
        <v/>
      </c>
      <c r="I1632" s="26" t="str">
        <f t="shared" si="2"/>
        <v/>
      </c>
      <c r="J1632" s="86">
        <f t="shared" ca="1" si="3"/>
        <v>44825</v>
      </c>
      <c r="R1632" s="26"/>
    </row>
    <row r="1633" spans="1:18" ht="15.75" customHeight="1">
      <c r="A1633" s="26">
        <f ca="1">IFERROR(__xludf.DUMMYFUNCTION("""COMPUTED_VALUE"""),16196)</f>
        <v>16196</v>
      </c>
      <c r="B1633" s="86">
        <f ca="1">IFERROR(__xludf.DUMMYFUNCTION("""COMPUTED_VALUE"""),44825.0150925925)</f>
        <v>44825.015092592497</v>
      </c>
      <c r="C1633" s="1" t="str">
        <f ca="1">IFERROR(__xludf.DUMMYFUNCTION("""COMPUTED_VALUE"""),"completed")</f>
        <v>completed</v>
      </c>
      <c r="D1633" s="26">
        <f ca="1">IFERROR(__xludf.DUMMYFUNCTION("""COMPUTED_VALUE"""),35)</f>
        <v>35</v>
      </c>
      <c r="E1633" s="1"/>
      <c r="F1633" s="87" t="str">
        <f t="shared" ca="1" si="0"/>
        <v>2022</v>
      </c>
      <c r="H1633" s="26" t="str">
        <f t="shared" si="1"/>
        <v/>
      </c>
      <c r="I1633" s="26" t="str">
        <f t="shared" si="2"/>
        <v/>
      </c>
      <c r="J1633" s="86">
        <f t="shared" ca="1" si="3"/>
        <v>44825</v>
      </c>
      <c r="R1633" s="26"/>
    </row>
    <row r="1634" spans="1:18" ht="15.75" customHeight="1">
      <c r="A1634" s="26">
        <f ca="1">IFERROR(__xludf.DUMMYFUNCTION("""COMPUTED_VALUE"""),16195)</f>
        <v>16195</v>
      </c>
      <c r="B1634" s="86">
        <f ca="1">IFERROR(__xludf.DUMMYFUNCTION("""COMPUTED_VALUE"""),44824.9949999999)</f>
        <v>44824.994999999901</v>
      </c>
      <c r="C1634" s="1" t="str">
        <f ca="1">IFERROR(__xludf.DUMMYFUNCTION("""COMPUTED_VALUE"""),"completed")</f>
        <v>completed</v>
      </c>
      <c r="D1634" s="26">
        <f ca="1">IFERROR(__xludf.DUMMYFUNCTION("""COMPUTED_VALUE"""),63)</f>
        <v>63</v>
      </c>
      <c r="E1634" s="1"/>
      <c r="F1634" s="87" t="str">
        <f t="shared" ca="1" si="0"/>
        <v>2022</v>
      </c>
      <c r="H1634" s="26" t="str">
        <f t="shared" si="1"/>
        <v/>
      </c>
      <c r="I1634" s="26" t="str">
        <f t="shared" si="2"/>
        <v/>
      </c>
      <c r="J1634" s="86">
        <f t="shared" ca="1" si="3"/>
        <v>44824</v>
      </c>
      <c r="R1634" s="26"/>
    </row>
    <row r="1635" spans="1:18" ht="15.75" customHeight="1">
      <c r="A1635" s="26">
        <f ca="1">IFERROR(__xludf.DUMMYFUNCTION("""COMPUTED_VALUE"""),16194)</f>
        <v>16194</v>
      </c>
      <c r="B1635" s="86">
        <f ca="1">IFERROR(__xludf.DUMMYFUNCTION("""COMPUTED_VALUE"""),44824.7780671296)</f>
        <v>44824.778067129599</v>
      </c>
      <c r="C1635" s="1" t="str">
        <f ca="1">IFERROR(__xludf.DUMMYFUNCTION("""COMPUTED_VALUE"""),"completed")</f>
        <v>completed</v>
      </c>
      <c r="D1635" s="26">
        <f ca="1">IFERROR(__xludf.DUMMYFUNCTION("""COMPUTED_VALUE"""),42.5)</f>
        <v>42.5</v>
      </c>
      <c r="E1635" s="1"/>
      <c r="F1635" s="87" t="str">
        <f t="shared" ca="1" si="0"/>
        <v>2022</v>
      </c>
      <c r="H1635" s="26" t="str">
        <f t="shared" si="1"/>
        <v/>
      </c>
      <c r="I1635" s="26" t="str">
        <f t="shared" si="2"/>
        <v/>
      </c>
      <c r="J1635" s="86">
        <f t="shared" ca="1" si="3"/>
        <v>44824</v>
      </c>
      <c r="R1635" s="26"/>
    </row>
    <row r="1636" spans="1:18" ht="15.75" customHeight="1">
      <c r="A1636" s="26">
        <f ca="1">IFERROR(__xludf.DUMMYFUNCTION("""COMPUTED_VALUE"""),16193)</f>
        <v>16193</v>
      </c>
      <c r="B1636" s="86">
        <f ca="1">IFERROR(__xludf.DUMMYFUNCTION("""COMPUTED_VALUE"""),44824.7659837963)</f>
        <v>44824.7659837963</v>
      </c>
      <c r="C1636" s="1" t="str">
        <f ca="1">IFERROR(__xludf.DUMMYFUNCTION("""COMPUTED_VALUE"""),"completed")</f>
        <v>completed</v>
      </c>
      <c r="D1636" s="26">
        <f ca="1">IFERROR(__xludf.DUMMYFUNCTION("""COMPUTED_VALUE"""),28)</f>
        <v>28</v>
      </c>
      <c r="E1636" s="1"/>
      <c r="F1636" s="87" t="str">
        <f t="shared" ca="1" si="0"/>
        <v>2022</v>
      </c>
      <c r="H1636" s="26" t="str">
        <f t="shared" si="1"/>
        <v/>
      </c>
      <c r="I1636" s="26" t="str">
        <f t="shared" si="2"/>
        <v/>
      </c>
      <c r="J1636" s="86">
        <f t="shared" ca="1" si="3"/>
        <v>44824</v>
      </c>
      <c r="R1636" s="26"/>
    </row>
    <row r="1637" spans="1:18" ht="15.75" customHeight="1">
      <c r="A1637" s="26">
        <f ca="1">IFERROR(__xludf.DUMMYFUNCTION("""COMPUTED_VALUE"""),16192)</f>
        <v>16192</v>
      </c>
      <c r="B1637" s="86">
        <f ca="1">IFERROR(__xludf.DUMMYFUNCTION("""COMPUTED_VALUE"""),44824.7567361111)</f>
        <v>44824.7567361111</v>
      </c>
      <c r="C1637" s="1" t="str">
        <f ca="1">IFERROR(__xludf.DUMMYFUNCTION("""COMPUTED_VALUE"""),"completed")</f>
        <v>completed</v>
      </c>
      <c r="D1637" s="26">
        <f ca="1">IFERROR(__xludf.DUMMYFUNCTION("""COMPUTED_VALUE"""),55)</f>
        <v>55</v>
      </c>
      <c r="E1637" s="1"/>
      <c r="F1637" s="87" t="str">
        <f t="shared" ca="1" si="0"/>
        <v>2022</v>
      </c>
      <c r="H1637" s="26" t="str">
        <f t="shared" si="1"/>
        <v/>
      </c>
      <c r="I1637" s="26" t="str">
        <f t="shared" si="2"/>
        <v/>
      </c>
      <c r="J1637" s="86">
        <f t="shared" ca="1" si="3"/>
        <v>44824</v>
      </c>
      <c r="R1637" s="26"/>
    </row>
    <row r="1638" spans="1:18" ht="15.75" customHeight="1">
      <c r="A1638" s="26">
        <f ca="1">IFERROR(__xludf.DUMMYFUNCTION("""COMPUTED_VALUE"""),16191)</f>
        <v>16191</v>
      </c>
      <c r="B1638" s="86">
        <f ca="1">IFERROR(__xludf.DUMMYFUNCTION("""COMPUTED_VALUE"""),44824.6944212963)</f>
        <v>44824.694421296299</v>
      </c>
      <c r="C1638" s="1" t="str">
        <f ca="1">IFERROR(__xludf.DUMMYFUNCTION("""COMPUTED_VALUE"""),"completed")</f>
        <v>completed</v>
      </c>
      <c r="D1638" s="26">
        <f ca="1">IFERROR(__xludf.DUMMYFUNCTION("""COMPUTED_VALUE"""),35)</f>
        <v>35</v>
      </c>
      <c r="E1638" s="1"/>
      <c r="F1638" s="87" t="str">
        <f t="shared" ca="1" si="0"/>
        <v>2022</v>
      </c>
      <c r="H1638" s="26" t="str">
        <f t="shared" si="1"/>
        <v/>
      </c>
      <c r="I1638" s="26" t="str">
        <f t="shared" si="2"/>
        <v/>
      </c>
      <c r="J1638" s="86">
        <f t="shared" ca="1" si="3"/>
        <v>44824</v>
      </c>
      <c r="R1638" s="26"/>
    </row>
    <row r="1639" spans="1:18" ht="15.75" customHeight="1">
      <c r="A1639" s="26">
        <f ca="1">IFERROR(__xludf.DUMMYFUNCTION("""COMPUTED_VALUE"""),16190)</f>
        <v>16190</v>
      </c>
      <c r="B1639" s="86">
        <f ca="1">IFERROR(__xludf.DUMMYFUNCTION("""COMPUTED_VALUE"""),44824.5532638888)</f>
        <v>44824.553263888803</v>
      </c>
      <c r="C1639" s="1" t="str">
        <f ca="1">IFERROR(__xludf.DUMMYFUNCTION("""COMPUTED_VALUE"""),"completed")</f>
        <v>completed</v>
      </c>
      <c r="D1639" s="26">
        <f ca="1">IFERROR(__xludf.DUMMYFUNCTION("""COMPUTED_VALUE"""),15)</f>
        <v>15</v>
      </c>
      <c r="E1639" s="1"/>
      <c r="F1639" s="87" t="str">
        <f t="shared" ca="1" si="0"/>
        <v>2022</v>
      </c>
      <c r="H1639" s="26" t="str">
        <f t="shared" si="1"/>
        <v/>
      </c>
      <c r="I1639" s="26" t="str">
        <f t="shared" si="2"/>
        <v/>
      </c>
      <c r="J1639" s="86">
        <f t="shared" ca="1" si="3"/>
        <v>44824</v>
      </c>
      <c r="R1639" s="26"/>
    </row>
    <row r="1640" spans="1:18" ht="15.75" customHeight="1">
      <c r="A1640" s="26">
        <f ca="1">IFERROR(__xludf.DUMMYFUNCTION("""COMPUTED_VALUE"""),16189)</f>
        <v>16189</v>
      </c>
      <c r="B1640" s="86">
        <f ca="1">IFERROR(__xludf.DUMMYFUNCTION("""COMPUTED_VALUE"""),44824.0977893518)</f>
        <v>44824.097789351799</v>
      </c>
      <c r="C1640" s="1" t="str">
        <f ca="1">IFERROR(__xludf.DUMMYFUNCTION("""COMPUTED_VALUE"""),"completed")</f>
        <v>completed</v>
      </c>
      <c r="D1640" s="26">
        <f ca="1">IFERROR(__xludf.DUMMYFUNCTION("""COMPUTED_VALUE"""),0)</f>
        <v>0</v>
      </c>
      <c r="E1640" s="1"/>
      <c r="F1640" s="87" t="str">
        <f t="shared" ca="1" si="0"/>
        <v>2022</v>
      </c>
      <c r="H1640" s="26" t="str">
        <f t="shared" si="1"/>
        <v/>
      </c>
      <c r="I1640" s="26" t="str">
        <f t="shared" si="2"/>
        <v/>
      </c>
      <c r="J1640" s="86">
        <f t="shared" ca="1" si="3"/>
        <v>44824</v>
      </c>
      <c r="R1640" s="26"/>
    </row>
    <row r="1641" spans="1:18" ht="15.75" customHeight="1">
      <c r="A1641" s="26">
        <f ca="1">IFERROR(__xludf.DUMMYFUNCTION("""COMPUTED_VALUE"""),16188)</f>
        <v>16188</v>
      </c>
      <c r="B1641" s="86">
        <f ca="1">IFERROR(__xludf.DUMMYFUNCTION("""COMPUTED_VALUE"""),44824.0956712962)</f>
        <v>44824.0956712962</v>
      </c>
      <c r="C1641" s="1" t="str">
        <f ca="1">IFERROR(__xludf.DUMMYFUNCTION("""COMPUTED_VALUE"""),"completed")</f>
        <v>completed</v>
      </c>
      <c r="D1641" s="26">
        <f ca="1">IFERROR(__xludf.DUMMYFUNCTION("""COMPUTED_VALUE"""),0)</f>
        <v>0</v>
      </c>
      <c r="E1641" s="1"/>
      <c r="F1641" s="87" t="str">
        <f t="shared" ca="1" si="0"/>
        <v>2022</v>
      </c>
      <c r="H1641" s="26" t="str">
        <f t="shared" si="1"/>
        <v/>
      </c>
      <c r="I1641" s="26" t="str">
        <f t="shared" si="2"/>
        <v/>
      </c>
      <c r="J1641" s="86">
        <f t="shared" ca="1" si="3"/>
        <v>44824</v>
      </c>
      <c r="R1641" s="26"/>
    </row>
    <row r="1642" spans="1:18" ht="15.75" customHeight="1">
      <c r="A1642" s="26">
        <f ca="1">IFERROR(__xludf.DUMMYFUNCTION("""COMPUTED_VALUE"""),16186)</f>
        <v>16186</v>
      </c>
      <c r="B1642" s="86">
        <f ca="1">IFERROR(__xludf.DUMMYFUNCTION("""COMPUTED_VALUE"""),44824.0461458333)</f>
        <v>44824.046145833301</v>
      </c>
      <c r="C1642" s="1" t="str">
        <f ca="1">IFERROR(__xludf.DUMMYFUNCTION("""COMPUTED_VALUE"""),"completed")</f>
        <v>completed</v>
      </c>
      <c r="D1642" s="26">
        <f ca="1">IFERROR(__xludf.DUMMYFUNCTION("""COMPUTED_VALUE"""),15)</f>
        <v>15</v>
      </c>
      <c r="E1642" s="1"/>
      <c r="F1642" s="87" t="str">
        <f t="shared" ca="1" si="0"/>
        <v>2022</v>
      </c>
      <c r="H1642" s="26" t="str">
        <f t="shared" si="1"/>
        <v/>
      </c>
      <c r="I1642" s="26" t="str">
        <f t="shared" si="2"/>
        <v/>
      </c>
      <c r="J1642" s="86">
        <f t="shared" ca="1" si="3"/>
        <v>44824</v>
      </c>
      <c r="R1642" s="26"/>
    </row>
    <row r="1643" spans="1:18" ht="15.75" customHeight="1">
      <c r="A1643" s="26">
        <f ca="1">IFERROR(__xludf.DUMMYFUNCTION("""COMPUTED_VALUE"""),16185)</f>
        <v>16185</v>
      </c>
      <c r="B1643" s="86">
        <f ca="1">IFERROR(__xludf.DUMMYFUNCTION("""COMPUTED_VALUE"""),44823.8999074074)</f>
        <v>44823.899907407402</v>
      </c>
      <c r="C1643" s="1" t="str">
        <f ca="1">IFERROR(__xludf.DUMMYFUNCTION("""COMPUTED_VALUE"""),"completed")</f>
        <v>completed</v>
      </c>
      <c r="D1643" s="26">
        <f ca="1">IFERROR(__xludf.DUMMYFUNCTION("""COMPUTED_VALUE"""),35)</f>
        <v>35</v>
      </c>
      <c r="E1643" s="1"/>
      <c r="F1643" s="87" t="str">
        <f t="shared" ca="1" si="0"/>
        <v>2022</v>
      </c>
      <c r="H1643" s="26" t="str">
        <f t="shared" si="1"/>
        <v/>
      </c>
      <c r="I1643" s="26" t="str">
        <f t="shared" si="2"/>
        <v/>
      </c>
      <c r="J1643" s="86">
        <f t="shared" ca="1" si="3"/>
        <v>44823</v>
      </c>
      <c r="R1643" s="26"/>
    </row>
    <row r="1644" spans="1:18" ht="15.75" customHeight="1">
      <c r="A1644" s="26">
        <f ca="1">IFERROR(__xludf.DUMMYFUNCTION("""COMPUTED_VALUE"""),16184)</f>
        <v>16184</v>
      </c>
      <c r="B1644" s="86">
        <f ca="1">IFERROR(__xludf.DUMMYFUNCTION("""COMPUTED_VALUE"""),44823.7549421295)</f>
        <v>44823.754942129599</v>
      </c>
      <c r="C1644" s="1" t="str">
        <f ca="1">IFERROR(__xludf.DUMMYFUNCTION("""COMPUTED_VALUE"""),"completed")</f>
        <v>completed</v>
      </c>
      <c r="D1644" s="26">
        <f ca="1">IFERROR(__xludf.DUMMYFUNCTION("""COMPUTED_VALUE"""),52)</f>
        <v>52</v>
      </c>
      <c r="E1644" s="1"/>
      <c r="F1644" s="87" t="str">
        <f t="shared" ca="1" si="0"/>
        <v>2022</v>
      </c>
      <c r="H1644" s="26" t="str">
        <f t="shared" si="1"/>
        <v/>
      </c>
      <c r="I1644" s="26" t="str">
        <f t="shared" si="2"/>
        <v/>
      </c>
      <c r="J1644" s="86">
        <f t="shared" ca="1" si="3"/>
        <v>44823</v>
      </c>
      <c r="R1644" s="26"/>
    </row>
    <row r="1645" spans="1:18" ht="15.75" customHeight="1">
      <c r="A1645" s="26">
        <f ca="1">IFERROR(__xludf.DUMMYFUNCTION("""COMPUTED_VALUE"""),16183)</f>
        <v>16183</v>
      </c>
      <c r="B1645" s="86">
        <f ca="1">IFERROR(__xludf.DUMMYFUNCTION("""COMPUTED_VALUE"""),44823.7030324074)</f>
        <v>44823.7030324074</v>
      </c>
      <c r="C1645" s="1" t="str">
        <f ca="1">IFERROR(__xludf.DUMMYFUNCTION("""COMPUTED_VALUE"""),"completed")</f>
        <v>completed</v>
      </c>
      <c r="D1645" s="26">
        <f ca="1">IFERROR(__xludf.DUMMYFUNCTION("""COMPUTED_VALUE"""),15)</f>
        <v>15</v>
      </c>
      <c r="E1645" s="1"/>
      <c r="F1645" s="87" t="str">
        <f t="shared" ca="1" si="0"/>
        <v>2022</v>
      </c>
      <c r="H1645" s="26" t="str">
        <f t="shared" si="1"/>
        <v/>
      </c>
      <c r="I1645" s="26" t="str">
        <f t="shared" si="2"/>
        <v/>
      </c>
      <c r="J1645" s="86">
        <f t="shared" ca="1" si="3"/>
        <v>44823</v>
      </c>
      <c r="R1645" s="26"/>
    </row>
    <row r="1646" spans="1:18" ht="15.75" customHeight="1">
      <c r="A1646" s="26">
        <f ca="1">IFERROR(__xludf.DUMMYFUNCTION("""COMPUTED_VALUE"""),16182)</f>
        <v>16182</v>
      </c>
      <c r="B1646" s="86">
        <f ca="1">IFERROR(__xludf.DUMMYFUNCTION("""COMPUTED_VALUE"""),44823.6581944444)</f>
        <v>44823.658194444397</v>
      </c>
      <c r="C1646" s="1" t="str">
        <f ca="1">IFERROR(__xludf.DUMMYFUNCTION("""COMPUTED_VALUE"""),"completed")</f>
        <v>completed</v>
      </c>
      <c r="D1646" s="26">
        <f ca="1">IFERROR(__xludf.DUMMYFUNCTION("""COMPUTED_VALUE"""),25)</f>
        <v>25</v>
      </c>
      <c r="E1646" s="1"/>
      <c r="F1646" s="87" t="str">
        <f t="shared" ca="1" si="0"/>
        <v>2022</v>
      </c>
      <c r="H1646" s="26" t="str">
        <f t="shared" si="1"/>
        <v/>
      </c>
      <c r="I1646" s="26" t="str">
        <f t="shared" si="2"/>
        <v/>
      </c>
      <c r="J1646" s="86">
        <f t="shared" ca="1" si="3"/>
        <v>44823</v>
      </c>
      <c r="R1646" s="26"/>
    </row>
    <row r="1647" spans="1:18" ht="15.75" customHeight="1">
      <c r="A1647" s="26">
        <f ca="1">IFERROR(__xludf.DUMMYFUNCTION("""COMPUTED_VALUE"""),16181)</f>
        <v>16181</v>
      </c>
      <c r="B1647" s="86">
        <f ca="1">IFERROR(__xludf.DUMMYFUNCTION("""COMPUTED_VALUE"""),44823.4803472222)</f>
        <v>44823.480347222197</v>
      </c>
      <c r="C1647" s="1" t="str">
        <f ca="1">IFERROR(__xludf.DUMMYFUNCTION("""COMPUTED_VALUE"""),"completed")</f>
        <v>completed</v>
      </c>
      <c r="D1647" s="26">
        <f ca="1">IFERROR(__xludf.DUMMYFUNCTION("""COMPUTED_VALUE"""),84)</f>
        <v>84</v>
      </c>
      <c r="E1647" s="1"/>
      <c r="F1647" s="87" t="str">
        <f t="shared" ca="1" si="0"/>
        <v>2022</v>
      </c>
      <c r="H1647" s="26" t="str">
        <f t="shared" si="1"/>
        <v/>
      </c>
      <c r="I1647" s="26" t="str">
        <f t="shared" si="2"/>
        <v/>
      </c>
      <c r="J1647" s="86">
        <f t="shared" ca="1" si="3"/>
        <v>44823</v>
      </c>
      <c r="R1647" s="26"/>
    </row>
    <row r="1648" spans="1:18" ht="15.75" customHeight="1">
      <c r="A1648" s="26">
        <f ca="1">IFERROR(__xludf.DUMMYFUNCTION("""COMPUTED_VALUE"""),16179)</f>
        <v>16179</v>
      </c>
      <c r="B1648" s="86">
        <f ca="1">IFERROR(__xludf.DUMMYFUNCTION("""COMPUTED_VALUE"""),44823.0415277777)</f>
        <v>44823.041527777699</v>
      </c>
      <c r="C1648" s="1" t="str">
        <f ca="1">IFERROR(__xludf.DUMMYFUNCTION("""COMPUTED_VALUE"""),"completed")</f>
        <v>completed</v>
      </c>
      <c r="D1648" s="26">
        <f ca="1">IFERROR(__xludf.DUMMYFUNCTION("""COMPUTED_VALUE"""),77)</f>
        <v>77</v>
      </c>
      <c r="E1648" s="1"/>
      <c r="F1648" s="87" t="str">
        <f t="shared" ca="1" si="0"/>
        <v>2022</v>
      </c>
      <c r="H1648" s="26" t="str">
        <f t="shared" si="1"/>
        <v/>
      </c>
      <c r="I1648" s="26" t="str">
        <f t="shared" si="2"/>
        <v/>
      </c>
      <c r="J1648" s="86">
        <f t="shared" ca="1" si="3"/>
        <v>44823</v>
      </c>
      <c r="R1648" s="26"/>
    </row>
    <row r="1649" spans="1:18" ht="15.75" customHeight="1">
      <c r="A1649" s="26">
        <f ca="1">IFERROR(__xludf.DUMMYFUNCTION("""COMPUTED_VALUE"""),16177)</f>
        <v>16177</v>
      </c>
      <c r="B1649" s="86">
        <f ca="1">IFERROR(__xludf.DUMMYFUNCTION("""COMPUTED_VALUE"""),44822.8806018518)</f>
        <v>44822.880601851801</v>
      </c>
      <c r="C1649" s="1" t="str">
        <f ca="1">IFERROR(__xludf.DUMMYFUNCTION("""COMPUTED_VALUE"""),"completed")</f>
        <v>completed</v>
      </c>
      <c r="D1649" s="26">
        <f ca="1">IFERROR(__xludf.DUMMYFUNCTION("""COMPUTED_VALUE"""),89)</f>
        <v>89</v>
      </c>
      <c r="E1649" s="1"/>
      <c r="F1649" s="87" t="str">
        <f t="shared" ca="1" si="0"/>
        <v>2022</v>
      </c>
      <c r="H1649" s="26" t="str">
        <f t="shared" si="1"/>
        <v/>
      </c>
      <c r="I1649" s="26" t="str">
        <f t="shared" si="2"/>
        <v/>
      </c>
      <c r="J1649" s="86">
        <f t="shared" ca="1" si="3"/>
        <v>44822</v>
      </c>
      <c r="R1649" s="26"/>
    </row>
    <row r="1650" spans="1:18" ht="15.75" customHeight="1">
      <c r="A1650" s="26">
        <f ca="1">IFERROR(__xludf.DUMMYFUNCTION("""COMPUTED_VALUE"""),16176)</f>
        <v>16176</v>
      </c>
      <c r="B1650" s="86">
        <f ca="1">IFERROR(__xludf.DUMMYFUNCTION("""COMPUTED_VALUE"""),44822.8113773148)</f>
        <v>44822.8113773148</v>
      </c>
      <c r="C1650" s="1" t="str">
        <f ca="1">IFERROR(__xludf.DUMMYFUNCTION("""COMPUTED_VALUE"""),"completed")</f>
        <v>completed</v>
      </c>
      <c r="D1650" s="26">
        <f ca="1">IFERROR(__xludf.DUMMYFUNCTION("""COMPUTED_VALUE"""),63)</f>
        <v>63</v>
      </c>
      <c r="E1650" s="1"/>
      <c r="F1650" s="87" t="str">
        <f t="shared" ca="1" si="0"/>
        <v>2022</v>
      </c>
      <c r="H1650" s="26" t="str">
        <f t="shared" si="1"/>
        <v/>
      </c>
      <c r="I1650" s="26" t="str">
        <f t="shared" si="2"/>
        <v/>
      </c>
      <c r="J1650" s="86">
        <f t="shared" ca="1" si="3"/>
        <v>44822</v>
      </c>
      <c r="R1650" s="26"/>
    </row>
    <row r="1651" spans="1:18" ht="15.75" customHeight="1">
      <c r="A1651" s="26">
        <f ca="1">IFERROR(__xludf.DUMMYFUNCTION("""COMPUTED_VALUE"""),16175)</f>
        <v>16175</v>
      </c>
      <c r="B1651" s="86">
        <f ca="1">IFERROR(__xludf.DUMMYFUNCTION("""COMPUTED_VALUE"""),44822.8066666666)</f>
        <v>44822.806666666598</v>
      </c>
      <c r="C1651" s="1" t="str">
        <f ca="1">IFERROR(__xludf.DUMMYFUNCTION("""COMPUTED_VALUE"""),"completed")</f>
        <v>completed</v>
      </c>
      <c r="D1651" s="26">
        <f ca="1">IFERROR(__xludf.DUMMYFUNCTION("""COMPUTED_VALUE"""),18)</f>
        <v>18</v>
      </c>
      <c r="E1651" s="1"/>
      <c r="F1651" s="87" t="str">
        <f t="shared" ca="1" si="0"/>
        <v>2022</v>
      </c>
      <c r="H1651" s="26" t="str">
        <f t="shared" si="1"/>
        <v/>
      </c>
      <c r="I1651" s="26" t="str">
        <f t="shared" si="2"/>
        <v/>
      </c>
      <c r="J1651" s="86">
        <f t="shared" ca="1" si="3"/>
        <v>44822</v>
      </c>
      <c r="R1651" s="26"/>
    </row>
    <row r="1652" spans="1:18" ht="15.75" customHeight="1">
      <c r="A1652" s="26">
        <f ca="1">IFERROR(__xludf.DUMMYFUNCTION("""COMPUTED_VALUE"""),16174)</f>
        <v>16174</v>
      </c>
      <c r="B1652" s="86">
        <f ca="1">IFERROR(__xludf.DUMMYFUNCTION("""COMPUTED_VALUE"""),44822.7886689814)</f>
        <v>44822.788668981397</v>
      </c>
      <c r="C1652" s="1" t="str">
        <f ca="1">IFERROR(__xludf.DUMMYFUNCTION("""COMPUTED_VALUE"""),"completed")</f>
        <v>completed</v>
      </c>
      <c r="D1652" s="26">
        <f ca="1">IFERROR(__xludf.DUMMYFUNCTION("""COMPUTED_VALUE"""),70)</f>
        <v>70</v>
      </c>
      <c r="E1652" s="1"/>
      <c r="F1652" s="87" t="str">
        <f t="shared" ca="1" si="0"/>
        <v>2022</v>
      </c>
      <c r="H1652" s="26" t="str">
        <f t="shared" si="1"/>
        <v/>
      </c>
      <c r="I1652" s="26" t="str">
        <f t="shared" si="2"/>
        <v/>
      </c>
      <c r="J1652" s="86">
        <f t="shared" ca="1" si="3"/>
        <v>44822</v>
      </c>
      <c r="R1652" s="26"/>
    </row>
    <row r="1653" spans="1:18" ht="15.75" customHeight="1">
      <c r="A1653" s="26">
        <f ca="1">IFERROR(__xludf.DUMMYFUNCTION("""COMPUTED_VALUE"""),16173)</f>
        <v>16173</v>
      </c>
      <c r="B1653" s="86">
        <f ca="1">IFERROR(__xludf.DUMMYFUNCTION("""COMPUTED_VALUE"""),44822.7860185184)</f>
        <v>44822.786018518498</v>
      </c>
      <c r="C1653" s="1" t="str">
        <f ca="1">IFERROR(__xludf.DUMMYFUNCTION("""COMPUTED_VALUE"""),"completed")</f>
        <v>completed</v>
      </c>
      <c r="D1653" s="26">
        <f ca="1">IFERROR(__xludf.DUMMYFUNCTION("""COMPUTED_VALUE"""),0)</f>
        <v>0</v>
      </c>
      <c r="E1653" s="1"/>
      <c r="F1653" s="87" t="str">
        <f t="shared" ca="1" si="0"/>
        <v>2022</v>
      </c>
      <c r="H1653" s="26" t="str">
        <f t="shared" si="1"/>
        <v/>
      </c>
      <c r="I1653" s="26" t="str">
        <f t="shared" si="2"/>
        <v/>
      </c>
      <c r="J1653" s="86">
        <f t="shared" ca="1" si="3"/>
        <v>44822</v>
      </c>
      <c r="R1653" s="26"/>
    </row>
    <row r="1654" spans="1:18" ht="15.75" customHeight="1">
      <c r="A1654" s="26">
        <f ca="1">IFERROR(__xludf.DUMMYFUNCTION("""COMPUTED_VALUE"""),16172)</f>
        <v>16172</v>
      </c>
      <c r="B1654" s="86">
        <f ca="1">IFERROR(__xludf.DUMMYFUNCTION("""COMPUTED_VALUE"""),44822.7836226851)</f>
        <v>44822.7836226851</v>
      </c>
      <c r="C1654" s="1" t="str">
        <f ca="1">IFERROR(__xludf.DUMMYFUNCTION("""COMPUTED_VALUE"""),"completed")</f>
        <v>completed</v>
      </c>
      <c r="D1654" s="26">
        <f ca="1">IFERROR(__xludf.DUMMYFUNCTION("""COMPUTED_VALUE"""),10)</f>
        <v>10</v>
      </c>
      <c r="E1654" s="1"/>
      <c r="F1654" s="87" t="str">
        <f t="shared" ca="1" si="0"/>
        <v>2022</v>
      </c>
      <c r="H1654" s="26" t="str">
        <f t="shared" si="1"/>
        <v/>
      </c>
      <c r="I1654" s="26" t="str">
        <f t="shared" si="2"/>
        <v/>
      </c>
      <c r="J1654" s="86">
        <f t="shared" ca="1" si="3"/>
        <v>44822</v>
      </c>
      <c r="R1654" s="26"/>
    </row>
    <row r="1655" spans="1:18" ht="15.75" customHeight="1">
      <c r="A1655" s="26">
        <f ca="1">IFERROR(__xludf.DUMMYFUNCTION("""COMPUTED_VALUE"""),16171)</f>
        <v>16171</v>
      </c>
      <c r="B1655" s="86">
        <f ca="1">IFERROR(__xludf.DUMMYFUNCTION("""COMPUTED_VALUE"""),44822.7487847222)</f>
        <v>44822.7487847222</v>
      </c>
      <c r="C1655" s="1" t="str">
        <f ca="1">IFERROR(__xludf.DUMMYFUNCTION("""COMPUTED_VALUE"""),"completed")</f>
        <v>completed</v>
      </c>
      <c r="D1655" s="26">
        <f ca="1">IFERROR(__xludf.DUMMYFUNCTION("""COMPUTED_VALUE"""),55)</f>
        <v>55</v>
      </c>
      <c r="E1655" s="1"/>
      <c r="F1655" s="87" t="str">
        <f t="shared" ca="1" si="0"/>
        <v>2022</v>
      </c>
      <c r="H1655" s="26" t="str">
        <f t="shared" si="1"/>
        <v/>
      </c>
      <c r="I1655" s="26" t="str">
        <f t="shared" si="2"/>
        <v/>
      </c>
      <c r="J1655" s="86">
        <f t="shared" ca="1" si="3"/>
        <v>44822</v>
      </c>
      <c r="R1655" s="26"/>
    </row>
    <row r="1656" spans="1:18" ht="15.75" customHeight="1">
      <c r="A1656" s="26">
        <f ca="1">IFERROR(__xludf.DUMMYFUNCTION("""COMPUTED_VALUE"""),16170)</f>
        <v>16170</v>
      </c>
      <c r="B1656" s="86">
        <f ca="1">IFERROR(__xludf.DUMMYFUNCTION("""COMPUTED_VALUE"""),44822.7037037037)</f>
        <v>44822.703703703701</v>
      </c>
      <c r="C1656" s="1" t="str">
        <f ca="1">IFERROR(__xludf.DUMMYFUNCTION("""COMPUTED_VALUE"""),"completed")</f>
        <v>completed</v>
      </c>
      <c r="D1656" s="26">
        <f ca="1">IFERROR(__xludf.DUMMYFUNCTION("""COMPUTED_VALUE"""),49)</f>
        <v>49</v>
      </c>
      <c r="E1656" s="1"/>
      <c r="F1656" s="87" t="str">
        <f t="shared" ca="1" si="0"/>
        <v>2022</v>
      </c>
      <c r="H1656" s="26" t="str">
        <f t="shared" si="1"/>
        <v/>
      </c>
      <c r="I1656" s="26" t="str">
        <f t="shared" si="2"/>
        <v/>
      </c>
      <c r="J1656" s="86">
        <f t="shared" ca="1" si="3"/>
        <v>44822</v>
      </c>
      <c r="R1656" s="26"/>
    </row>
    <row r="1657" spans="1:18" ht="15.75" customHeight="1">
      <c r="A1657" s="26">
        <f ca="1">IFERROR(__xludf.DUMMYFUNCTION("""COMPUTED_VALUE"""),16169)</f>
        <v>16169</v>
      </c>
      <c r="B1657" s="86">
        <f ca="1">IFERROR(__xludf.DUMMYFUNCTION("""COMPUTED_VALUE"""),44822.7018055555)</f>
        <v>44822.701805555502</v>
      </c>
      <c r="C1657" s="1" t="str">
        <f ca="1">IFERROR(__xludf.DUMMYFUNCTION("""COMPUTED_VALUE"""),"completed")</f>
        <v>completed</v>
      </c>
      <c r="D1657" s="26">
        <f ca="1">IFERROR(__xludf.DUMMYFUNCTION("""COMPUTED_VALUE"""),35)</f>
        <v>35</v>
      </c>
      <c r="E1657" s="1"/>
      <c r="F1657" s="87" t="str">
        <f t="shared" ca="1" si="0"/>
        <v>2022</v>
      </c>
      <c r="H1657" s="26" t="str">
        <f t="shared" si="1"/>
        <v/>
      </c>
      <c r="I1657" s="26" t="str">
        <f t="shared" si="2"/>
        <v/>
      </c>
      <c r="J1657" s="86">
        <f t="shared" ca="1" si="3"/>
        <v>44822</v>
      </c>
      <c r="R1657" s="26"/>
    </row>
    <row r="1658" spans="1:18" ht="15.75" customHeight="1">
      <c r="A1658" s="26">
        <f ca="1">IFERROR(__xludf.DUMMYFUNCTION("""COMPUTED_VALUE"""),16168)</f>
        <v>16168</v>
      </c>
      <c r="B1658" s="86">
        <f ca="1">IFERROR(__xludf.DUMMYFUNCTION("""COMPUTED_VALUE"""),44822.6992824074)</f>
        <v>44822.699282407397</v>
      </c>
      <c r="C1658" s="1" t="str">
        <f ca="1">IFERROR(__xludf.DUMMYFUNCTION("""COMPUTED_VALUE"""),"completed")</f>
        <v>completed</v>
      </c>
      <c r="D1658" s="26">
        <f ca="1">IFERROR(__xludf.DUMMYFUNCTION("""COMPUTED_VALUE"""),24)</f>
        <v>24</v>
      </c>
      <c r="E1658" s="1"/>
      <c r="F1658" s="87" t="str">
        <f t="shared" ca="1" si="0"/>
        <v>2022</v>
      </c>
      <c r="H1658" s="26" t="str">
        <f t="shared" si="1"/>
        <v/>
      </c>
      <c r="I1658" s="26" t="str">
        <f t="shared" si="2"/>
        <v/>
      </c>
      <c r="J1658" s="86">
        <f t="shared" ca="1" si="3"/>
        <v>44822</v>
      </c>
      <c r="R1658" s="26"/>
    </row>
    <row r="1659" spans="1:18" ht="15.75" customHeight="1">
      <c r="A1659" s="26">
        <f ca="1">IFERROR(__xludf.DUMMYFUNCTION("""COMPUTED_VALUE"""),16167)</f>
        <v>16167</v>
      </c>
      <c r="B1659" s="86">
        <f ca="1">IFERROR(__xludf.DUMMYFUNCTION("""COMPUTED_VALUE"""),44822.6969791666)</f>
        <v>44822.696979166598</v>
      </c>
      <c r="C1659" s="1" t="str">
        <f ca="1">IFERROR(__xludf.DUMMYFUNCTION("""COMPUTED_VALUE"""),"completed")</f>
        <v>completed</v>
      </c>
      <c r="D1659" s="26">
        <f ca="1">IFERROR(__xludf.DUMMYFUNCTION("""COMPUTED_VALUE"""),63)</f>
        <v>63</v>
      </c>
      <c r="E1659" s="1"/>
      <c r="F1659" s="87" t="str">
        <f t="shared" ca="1" si="0"/>
        <v>2022</v>
      </c>
      <c r="H1659" s="26" t="str">
        <f t="shared" si="1"/>
        <v/>
      </c>
      <c r="I1659" s="26" t="str">
        <f t="shared" si="2"/>
        <v/>
      </c>
      <c r="J1659" s="86">
        <f t="shared" ca="1" si="3"/>
        <v>44822</v>
      </c>
      <c r="R1659" s="26"/>
    </row>
    <row r="1660" spans="1:18" ht="15.75" customHeight="1">
      <c r="A1660" s="26">
        <f ca="1">IFERROR(__xludf.DUMMYFUNCTION("""COMPUTED_VALUE"""),16166)</f>
        <v>16166</v>
      </c>
      <c r="B1660" s="86">
        <f ca="1">IFERROR(__xludf.DUMMYFUNCTION("""COMPUTED_VALUE"""),44822.6947453703)</f>
        <v>44822.694745370303</v>
      </c>
      <c r="C1660" s="1" t="str">
        <f ca="1">IFERROR(__xludf.DUMMYFUNCTION("""COMPUTED_VALUE"""),"completed")</f>
        <v>completed</v>
      </c>
      <c r="D1660" s="26">
        <f ca="1">IFERROR(__xludf.DUMMYFUNCTION("""COMPUTED_VALUE"""),83)</f>
        <v>83</v>
      </c>
      <c r="E1660" s="1"/>
      <c r="F1660" s="87" t="str">
        <f t="shared" ca="1" si="0"/>
        <v>2022</v>
      </c>
      <c r="H1660" s="26" t="str">
        <f t="shared" si="1"/>
        <v/>
      </c>
      <c r="I1660" s="26" t="str">
        <f t="shared" si="2"/>
        <v/>
      </c>
      <c r="J1660" s="86">
        <f t="shared" ca="1" si="3"/>
        <v>44822</v>
      </c>
      <c r="R1660" s="26"/>
    </row>
    <row r="1661" spans="1:18" ht="15.75" customHeight="1">
      <c r="A1661" s="26">
        <f ca="1">IFERROR(__xludf.DUMMYFUNCTION("""COMPUTED_VALUE"""),16165)</f>
        <v>16165</v>
      </c>
      <c r="B1661" s="86">
        <f ca="1">IFERROR(__xludf.DUMMYFUNCTION("""COMPUTED_VALUE"""),44822.6895833333)</f>
        <v>44822.689583333296</v>
      </c>
      <c r="C1661" s="1" t="str">
        <f ca="1">IFERROR(__xludf.DUMMYFUNCTION("""COMPUTED_VALUE"""),"completed")</f>
        <v>completed</v>
      </c>
      <c r="D1661" s="26">
        <f ca="1">IFERROR(__xludf.DUMMYFUNCTION("""COMPUTED_VALUE"""),28)</f>
        <v>28</v>
      </c>
      <c r="E1661" s="1"/>
      <c r="F1661" s="87" t="str">
        <f t="shared" ca="1" si="0"/>
        <v>2022</v>
      </c>
      <c r="H1661" s="26" t="str">
        <f t="shared" si="1"/>
        <v/>
      </c>
      <c r="I1661" s="26" t="str">
        <f t="shared" si="2"/>
        <v/>
      </c>
      <c r="J1661" s="86">
        <f t="shared" ca="1" si="3"/>
        <v>44822</v>
      </c>
      <c r="R1661" s="26"/>
    </row>
    <row r="1662" spans="1:18" ht="15.75" customHeight="1">
      <c r="A1662" s="26">
        <f ca="1">IFERROR(__xludf.DUMMYFUNCTION("""COMPUTED_VALUE"""),16164)</f>
        <v>16164</v>
      </c>
      <c r="B1662" s="86">
        <f ca="1">IFERROR(__xludf.DUMMYFUNCTION("""COMPUTED_VALUE"""),44822.6851388888)</f>
        <v>44822.685138888803</v>
      </c>
      <c r="C1662" s="1" t="str">
        <f ca="1">IFERROR(__xludf.DUMMYFUNCTION("""COMPUTED_VALUE"""),"completed")</f>
        <v>completed</v>
      </c>
      <c r="D1662" s="26">
        <f ca="1">IFERROR(__xludf.DUMMYFUNCTION("""COMPUTED_VALUE"""),35)</f>
        <v>35</v>
      </c>
      <c r="E1662" s="1"/>
      <c r="F1662" s="87" t="str">
        <f t="shared" ca="1" si="0"/>
        <v>2022</v>
      </c>
      <c r="H1662" s="26" t="str">
        <f t="shared" si="1"/>
        <v/>
      </c>
      <c r="I1662" s="26" t="str">
        <f t="shared" si="2"/>
        <v/>
      </c>
      <c r="J1662" s="86">
        <f t="shared" ca="1" si="3"/>
        <v>44822</v>
      </c>
      <c r="R1662" s="26"/>
    </row>
    <row r="1663" spans="1:18" ht="15.75" customHeight="1">
      <c r="A1663" s="26">
        <f ca="1">IFERROR(__xludf.DUMMYFUNCTION("""COMPUTED_VALUE"""),16163)</f>
        <v>16163</v>
      </c>
      <c r="B1663" s="86">
        <f ca="1">IFERROR(__xludf.DUMMYFUNCTION("""COMPUTED_VALUE"""),44822.6837152777)</f>
        <v>44822.683715277701</v>
      </c>
      <c r="C1663" s="1" t="str">
        <f ca="1">IFERROR(__xludf.DUMMYFUNCTION("""COMPUTED_VALUE"""),"completed")</f>
        <v>completed</v>
      </c>
      <c r="D1663" s="26">
        <f ca="1">IFERROR(__xludf.DUMMYFUNCTION("""COMPUTED_VALUE"""),25)</f>
        <v>25</v>
      </c>
      <c r="E1663" s="1"/>
      <c r="F1663" s="87" t="str">
        <f t="shared" ca="1" si="0"/>
        <v>2022</v>
      </c>
      <c r="H1663" s="26" t="str">
        <f t="shared" si="1"/>
        <v/>
      </c>
      <c r="I1663" s="26" t="str">
        <f t="shared" si="2"/>
        <v/>
      </c>
      <c r="J1663" s="86">
        <f t="shared" ca="1" si="3"/>
        <v>44822</v>
      </c>
      <c r="R1663" s="26"/>
    </row>
    <row r="1664" spans="1:18" ht="15.75" customHeight="1">
      <c r="A1664" s="26">
        <f ca="1">IFERROR(__xludf.DUMMYFUNCTION("""COMPUTED_VALUE"""),16162)</f>
        <v>16162</v>
      </c>
      <c r="B1664" s="86">
        <f ca="1">IFERROR(__xludf.DUMMYFUNCTION("""COMPUTED_VALUE"""),44822.6816087962)</f>
        <v>44822.6816087962</v>
      </c>
      <c r="C1664" s="1" t="str">
        <f ca="1">IFERROR(__xludf.DUMMYFUNCTION("""COMPUTED_VALUE"""),"completed")</f>
        <v>completed</v>
      </c>
      <c r="D1664" s="26">
        <f ca="1">IFERROR(__xludf.DUMMYFUNCTION("""COMPUTED_VALUE"""),18)</f>
        <v>18</v>
      </c>
      <c r="E1664" s="1"/>
      <c r="F1664" s="87" t="str">
        <f t="shared" ca="1" si="0"/>
        <v>2022</v>
      </c>
      <c r="H1664" s="26" t="str">
        <f t="shared" si="1"/>
        <v/>
      </c>
      <c r="I1664" s="26" t="str">
        <f t="shared" si="2"/>
        <v/>
      </c>
      <c r="J1664" s="86">
        <f t="shared" ca="1" si="3"/>
        <v>44822</v>
      </c>
      <c r="R1664" s="26"/>
    </row>
    <row r="1665" spans="1:18" ht="15.75" customHeight="1">
      <c r="A1665" s="26">
        <f ca="1">IFERROR(__xludf.DUMMYFUNCTION("""COMPUTED_VALUE"""),16161)</f>
        <v>16161</v>
      </c>
      <c r="B1665" s="86">
        <f ca="1">IFERROR(__xludf.DUMMYFUNCTION("""COMPUTED_VALUE"""),44822.6782523148)</f>
        <v>44822.678252314799</v>
      </c>
      <c r="C1665" s="1" t="str">
        <f ca="1">IFERROR(__xludf.DUMMYFUNCTION("""COMPUTED_VALUE"""),"completed")</f>
        <v>completed</v>
      </c>
      <c r="D1665" s="26">
        <f ca="1">IFERROR(__xludf.DUMMYFUNCTION("""COMPUTED_VALUE"""),25)</f>
        <v>25</v>
      </c>
      <c r="E1665" s="1"/>
      <c r="F1665" s="87" t="str">
        <f t="shared" ca="1" si="0"/>
        <v>2022</v>
      </c>
      <c r="H1665" s="26" t="str">
        <f t="shared" si="1"/>
        <v/>
      </c>
      <c r="I1665" s="26" t="str">
        <f t="shared" si="2"/>
        <v/>
      </c>
      <c r="J1665" s="86">
        <f t="shared" ca="1" si="3"/>
        <v>44822</v>
      </c>
      <c r="R1665" s="26"/>
    </row>
    <row r="1666" spans="1:18" ht="15.75" customHeight="1">
      <c r="A1666" s="26">
        <f ca="1">IFERROR(__xludf.DUMMYFUNCTION("""COMPUTED_VALUE"""),16160)</f>
        <v>16160</v>
      </c>
      <c r="B1666" s="86">
        <f ca="1">IFERROR(__xludf.DUMMYFUNCTION("""COMPUTED_VALUE"""),44822.678136574)</f>
        <v>44822.678136574003</v>
      </c>
      <c r="C1666" s="1" t="str">
        <f ca="1">IFERROR(__xludf.DUMMYFUNCTION("""COMPUTED_VALUE"""),"completed")</f>
        <v>completed</v>
      </c>
      <c r="D1666" s="26">
        <f ca="1">IFERROR(__xludf.DUMMYFUNCTION("""COMPUTED_VALUE"""),25)</f>
        <v>25</v>
      </c>
      <c r="E1666" s="1"/>
      <c r="F1666" s="87" t="str">
        <f t="shared" ca="1" si="0"/>
        <v>2022</v>
      </c>
      <c r="H1666" s="26" t="str">
        <f t="shared" si="1"/>
        <v/>
      </c>
      <c r="I1666" s="26" t="str">
        <f t="shared" si="2"/>
        <v/>
      </c>
      <c r="J1666" s="86">
        <f t="shared" ca="1" si="3"/>
        <v>44822</v>
      </c>
      <c r="R1666" s="26"/>
    </row>
    <row r="1667" spans="1:18" ht="15.75" customHeight="1">
      <c r="A1667" s="26">
        <f ca="1">IFERROR(__xludf.DUMMYFUNCTION("""COMPUTED_VALUE"""),16159)</f>
        <v>16159</v>
      </c>
      <c r="B1667" s="86">
        <f ca="1">IFERROR(__xludf.DUMMYFUNCTION("""COMPUTED_VALUE"""),44822.6771759259)</f>
        <v>44822.677175925899</v>
      </c>
      <c r="C1667" s="1" t="str">
        <f ca="1">IFERROR(__xludf.DUMMYFUNCTION("""COMPUTED_VALUE"""),"completed")</f>
        <v>completed</v>
      </c>
      <c r="D1667" s="26">
        <f ca="1">IFERROR(__xludf.DUMMYFUNCTION("""COMPUTED_VALUE"""),25)</f>
        <v>25</v>
      </c>
      <c r="E1667" s="1"/>
      <c r="F1667" s="87" t="str">
        <f t="shared" ca="1" si="0"/>
        <v>2022</v>
      </c>
      <c r="H1667" s="26" t="str">
        <f t="shared" si="1"/>
        <v/>
      </c>
      <c r="I1667" s="26" t="str">
        <f t="shared" si="2"/>
        <v/>
      </c>
      <c r="J1667" s="86">
        <f t="shared" ca="1" si="3"/>
        <v>44822</v>
      </c>
      <c r="R1667" s="26"/>
    </row>
    <row r="1668" spans="1:18" ht="15.75" customHeight="1">
      <c r="A1668" s="26">
        <f ca="1">IFERROR(__xludf.DUMMYFUNCTION("""COMPUTED_VALUE"""),16158)</f>
        <v>16158</v>
      </c>
      <c r="B1668" s="86">
        <f ca="1">IFERROR(__xludf.DUMMYFUNCTION("""COMPUTED_VALUE"""),44822.6764004629)</f>
        <v>44822.6764004629</v>
      </c>
      <c r="C1668" s="1" t="str">
        <f ca="1">IFERROR(__xludf.DUMMYFUNCTION("""COMPUTED_VALUE"""),"completed")</f>
        <v>completed</v>
      </c>
      <c r="D1668" s="26">
        <f ca="1">IFERROR(__xludf.DUMMYFUNCTION("""COMPUTED_VALUE"""),33)</f>
        <v>33</v>
      </c>
      <c r="E1668" s="1"/>
      <c r="F1668" s="87" t="str">
        <f t="shared" ca="1" si="0"/>
        <v>2022</v>
      </c>
      <c r="H1668" s="26" t="str">
        <f t="shared" si="1"/>
        <v/>
      </c>
      <c r="I1668" s="26" t="str">
        <f t="shared" si="2"/>
        <v/>
      </c>
      <c r="J1668" s="86">
        <f t="shared" ca="1" si="3"/>
        <v>44822</v>
      </c>
      <c r="R1668" s="26"/>
    </row>
    <row r="1669" spans="1:18" ht="15.75" customHeight="1">
      <c r="A1669" s="26">
        <f ca="1">IFERROR(__xludf.DUMMYFUNCTION("""COMPUTED_VALUE"""),16157)</f>
        <v>16157</v>
      </c>
      <c r="B1669" s="86">
        <f ca="1">IFERROR(__xludf.DUMMYFUNCTION("""COMPUTED_VALUE"""),44822.6623148148)</f>
        <v>44822.662314814799</v>
      </c>
      <c r="C1669" s="1" t="str">
        <f ca="1">IFERROR(__xludf.DUMMYFUNCTION("""COMPUTED_VALUE"""),"completed")</f>
        <v>completed</v>
      </c>
      <c r="D1669" s="26">
        <f ca="1">IFERROR(__xludf.DUMMYFUNCTION("""COMPUTED_VALUE"""),53)</f>
        <v>53</v>
      </c>
      <c r="E1669" s="1"/>
      <c r="F1669" s="87" t="str">
        <f t="shared" ca="1" si="0"/>
        <v>2022</v>
      </c>
      <c r="H1669" s="26" t="str">
        <f t="shared" si="1"/>
        <v/>
      </c>
      <c r="I1669" s="26" t="str">
        <f t="shared" si="2"/>
        <v/>
      </c>
      <c r="J1669" s="86">
        <f t="shared" ca="1" si="3"/>
        <v>44822</v>
      </c>
      <c r="R1669" s="26"/>
    </row>
    <row r="1670" spans="1:18" ht="15.75" customHeight="1">
      <c r="A1670" s="26">
        <f ca="1">IFERROR(__xludf.DUMMYFUNCTION("""COMPUTED_VALUE"""),16156)</f>
        <v>16156</v>
      </c>
      <c r="B1670" s="86">
        <f ca="1">IFERROR(__xludf.DUMMYFUNCTION("""COMPUTED_VALUE"""),44822.6594328703)</f>
        <v>44822.659432870299</v>
      </c>
      <c r="C1670" s="1" t="str">
        <f ca="1">IFERROR(__xludf.DUMMYFUNCTION("""COMPUTED_VALUE"""),"completed")</f>
        <v>completed</v>
      </c>
      <c r="D1670" s="26">
        <f ca="1">IFERROR(__xludf.DUMMYFUNCTION("""COMPUTED_VALUE"""),35)</f>
        <v>35</v>
      </c>
      <c r="E1670" s="1"/>
      <c r="F1670" s="87" t="str">
        <f t="shared" ca="1" si="0"/>
        <v>2022</v>
      </c>
      <c r="H1670" s="26" t="str">
        <f t="shared" si="1"/>
        <v/>
      </c>
      <c r="I1670" s="26" t="str">
        <f t="shared" si="2"/>
        <v/>
      </c>
      <c r="J1670" s="86">
        <f t="shared" ca="1" si="3"/>
        <v>44822</v>
      </c>
      <c r="R1670" s="26"/>
    </row>
    <row r="1671" spans="1:18" ht="15.75" customHeight="1">
      <c r="A1671" s="26">
        <f ca="1">IFERROR(__xludf.DUMMYFUNCTION("""COMPUTED_VALUE"""),16155)</f>
        <v>16155</v>
      </c>
      <c r="B1671" s="86">
        <f ca="1">IFERROR(__xludf.DUMMYFUNCTION("""COMPUTED_VALUE"""),44822.6584374999)</f>
        <v>44822.6584374999</v>
      </c>
      <c r="C1671" s="1" t="str">
        <f ca="1">IFERROR(__xludf.DUMMYFUNCTION("""COMPUTED_VALUE"""),"completed")</f>
        <v>completed</v>
      </c>
      <c r="D1671" s="26">
        <f ca="1">IFERROR(__xludf.DUMMYFUNCTION("""COMPUTED_VALUE"""),45)</f>
        <v>45</v>
      </c>
      <c r="E1671" s="1"/>
      <c r="F1671" s="87" t="str">
        <f t="shared" ca="1" si="0"/>
        <v>2022</v>
      </c>
      <c r="H1671" s="26" t="str">
        <f t="shared" si="1"/>
        <v/>
      </c>
      <c r="I1671" s="26" t="str">
        <f t="shared" si="2"/>
        <v/>
      </c>
      <c r="J1671" s="86">
        <f t="shared" ca="1" si="3"/>
        <v>44822</v>
      </c>
      <c r="R1671" s="26"/>
    </row>
    <row r="1672" spans="1:18" ht="15.75" customHeight="1">
      <c r="A1672" s="26">
        <f ca="1">IFERROR(__xludf.DUMMYFUNCTION("""COMPUTED_VALUE"""),16154)</f>
        <v>16154</v>
      </c>
      <c r="B1672" s="86">
        <f ca="1">IFERROR(__xludf.DUMMYFUNCTION("""COMPUTED_VALUE"""),44822.6564351851)</f>
        <v>44822.656435185098</v>
      </c>
      <c r="C1672" s="1" t="str">
        <f ca="1">IFERROR(__xludf.DUMMYFUNCTION("""COMPUTED_VALUE"""),"completed")</f>
        <v>completed</v>
      </c>
      <c r="D1672" s="26">
        <f ca="1">IFERROR(__xludf.DUMMYFUNCTION("""COMPUTED_VALUE"""),25)</f>
        <v>25</v>
      </c>
      <c r="E1672" s="1"/>
      <c r="F1672" s="87" t="str">
        <f t="shared" ca="1" si="0"/>
        <v>2022</v>
      </c>
      <c r="H1672" s="26" t="str">
        <f t="shared" si="1"/>
        <v/>
      </c>
      <c r="I1672" s="26" t="str">
        <f t="shared" si="2"/>
        <v/>
      </c>
      <c r="J1672" s="86">
        <f t="shared" ca="1" si="3"/>
        <v>44822</v>
      </c>
      <c r="R1672" s="26"/>
    </row>
    <row r="1673" spans="1:18" ht="15.75" customHeight="1">
      <c r="A1673" s="26">
        <f ca="1">IFERROR(__xludf.DUMMYFUNCTION("""COMPUTED_VALUE"""),16153)</f>
        <v>16153</v>
      </c>
      <c r="B1673" s="86">
        <f ca="1">IFERROR(__xludf.DUMMYFUNCTION("""COMPUTED_VALUE"""),44822.6546875)</f>
        <v>44822.654687499999</v>
      </c>
      <c r="C1673" s="1" t="str">
        <f ca="1">IFERROR(__xludf.DUMMYFUNCTION("""COMPUTED_VALUE"""),"completed")</f>
        <v>completed</v>
      </c>
      <c r="D1673" s="26">
        <f ca="1">IFERROR(__xludf.DUMMYFUNCTION("""COMPUTED_VALUE"""),25)</f>
        <v>25</v>
      </c>
      <c r="E1673" s="1"/>
      <c r="F1673" s="87" t="str">
        <f t="shared" ca="1" si="0"/>
        <v>2022</v>
      </c>
      <c r="H1673" s="26" t="str">
        <f t="shared" si="1"/>
        <v/>
      </c>
      <c r="I1673" s="26" t="str">
        <f t="shared" si="2"/>
        <v/>
      </c>
      <c r="J1673" s="86">
        <f t="shared" ca="1" si="3"/>
        <v>44822</v>
      </c>
      <c r="R1673" s="26"/>
    </row>
    <row r="1674" spans="1:18" ht="15.75" customHeight="1">
      <c r="A1674" s="26">
        <f ca="1">IFERROR(__xludf.DUMMYFUNCTION("""COMPUTED_VALUE"""),16152)</f>
        <v>16152</v>
      </c>
      <c r="B1674" s="86">
        <f ca="1">IFERROR(__xludf.DUMMYFUNCTION("""COMPUTED_VALUE"""),44822.6543055555)</f>
        <v>44822.654305555501</v>
      </c>
      <c r="C1674" s="1" t="str">
        <f ca="1">IFERROR(__xludf.DUMMYFUNCTION("""COMPUTED_VALUE"""),"completed")</f>
        <v>completed</v>
      </c>
      <c r="D1674" s="26">
        <f ca="1">IFERROR(__xludf.DUMMYFUNCTION("""COMPUTED_VALUE"""),150)</f>
        <v>150</v>
      </c>
      <c r="E1674" s="1"/>
      <c r="F1674" s="87" t="str">
        <f t="shared" ca="1" si="0"/>
        <v>2022</v>
      </c>
      <c r="H1674" s="26" t="str">
        <f t="shared" si="1"/>
        <v/>
      </c>
      <c r="I1674" s="26" t="str">
        <f t="shared" si="2"/>
        <v/>
      </c>
      <c r="J1674" s="86">
        <f t="shared" ca="1" si="3"/>
        <v>44822</v>
      </c>
      <c r="R1674" s="26"/>
    </row>
    <row r="1675" spans="1:18" ht="15.75" customHeight="1">
      <c r="A1675" s="26">
        <f ca="1">IFERROR(__xludf.DUMMYFUNCTION("""COMPUTED_VALUE"""),16151)</f>
        <v>16151</v>
      </c>
      <c r="B1675" s="86">
        <f ca="1">IFERROR(__xludf.DUMMYFUNCTION("""COMPUTED_VALUE"""),44822.6527546296)</f>
        <v>44822.652754629598</v>
      </c>
      <c r="C1675" s="1" t="str">
        <f ca="1">IFERROR(__xludf.DUMMYFUNCTION("""COMPUTED_VALUE"""),"completed")</f>
        <v>completed</v>
      </c>
      <c r="D1675" s="26">
        <f ca="1">IFERROR(__xludf.DUMMYFUNCTION("""COMPUTED_VALUE"""),53)</f>
        <v>53</v>
      </c>
      <c r="E1675" s="1"/>
      <c r="F1675" s="87" t="str">
        <f t="shared" ca="1" si="0"/>
        <v>2022</v>
      </c>
      <c r="H1675" s="26" t="str">
        <f t="shared" si="1"/>
        <v/>
      </c>
      <c r="I1675" s="26" t="str">
        <f t="shared" si="2"/>
        <v/>
      </c>
      <c r="J1675" s="86">
        <f t="shared" ca="1" si="3"/>
        <v>44822</v>
      </c>
      <c r="R1675" s="26"/>
    </row>
    <row r="1676" spans="1:18" ht="15.75" customHeight="1">
      <c r="A1676" s="26">
        <f ca="1">IFERROR(__xludf.DUMMYFUNCTION("""COMPUTED_VALUE"""),16150)</f>
        <v>16150</v>
      </c>
      <c r="B1676" s="86">
        <f ca="1">IFERROR(__xludf.DUMMYFUNCTION("""COMPUTED_VALUE"""),44822.6524652777)</f>
        <v>44822.652465277701</v>
      </c>
      <c r="C1676" s="1" t="str">
        <f ca="1">IFERROR(__xludf.DUMMYFUNCTION("""COMPUTED_VALUE"""),"completed")</f>
        <v>completed</v>
      </c>
      <c r="D1676" s="26">
        <f ca="1">IFERROR(__xludf.DUMMYFUNCTION("""COMPUTED_VALUE"""),15)</f>
        <v>15</v>
      </c>
      <c r="E1676" s="1"/>
      <c r="F1676" s="87" t="str">
        <f t="shared" ca="1" si="0"/>
        <v>2022</v>
      </c>
      <c r="H1676" s="26" t="str">
        <f t="shared" si="1"/>
        <v/>
      </c>
      <c r="I1676" s="26" t="str">
        <f t="shared" si="2"/>
        <v/>
      </c>
      <c r="J1676" s="86">
        <f t="shared" ca="1" si="3"/>
        <v>44822</v>
      </c>
      <c r="R1676" s="26"/>
    </row>
    <row r="1677" spans="1:18" ht="15.75" customHeight="1">
      <c r="A1677" s="26">
        <f ca="1">IFERROR(__xludf.DUMMYFUNCTION("""COMPUTED_VALUE"""),16149)</f>
        <v>16149</v>
      </c>
      <c r="B1677" s="86">
        <f ca="1">IFERROR(__xludf.DUMMYFUNCTION("""COMPUTED_VALUE"""),44822.6474074074)</f>
        <v>44822.647407407399</v>
      </c>
      <c r="C1677" s="1" t="str">
        <f ca="1">IFERROR(__xludf.DUMMYFUNCTION("""COMPUTED_VALUE"""),"completed")</f>
        <v>completed</v>
      </c>
      <c r="D1677" s="26">
        <f ca="1">IFERROR(__xludf.DUMMYFUNCTION("""COMPUTED_VALUE"""),53)</f>
        <v>53</v>
      </c>
      <c r="E1677" s="1"/>
      <c r="F1677" s="87" t="str">
        <f t="shared" ca="1" si="0"/>
        <v>2022</v>
      </c>
      <c r="H1677" s="26" t="str">
        <f t="shared" si="1"/>
        <v/>
      </c>
      <c r="I1677" s="26" t="str">
        <f t="shared" si="2"/>
        <v/>
      </c>
      <c r="J1677" s="86">
        <f t="shared" ca="1" si="3"/>
        <v>44822</v>
      </c>
      <c r="R1677" s="26"/>
    </row>
    <row r="1678" spans="1:18" ht="15.75" customHeight="1">
      <c r="A1678" s="26">
        <f ca="1">IFERROR(__xludf.DUMMYFUNCTION("""COMPUTED_VALUE"""),16148)</f>
        <v>16148</v>
      </c>
      <c r="B1678" s="86">
        <f ca="1">IFERROR(__xludf.DUMMYFUNCTION("""COMPUTED_VALUE"""),44822.636875)</f>
        <v>44822.636874999997</v>
      </c>
      <c r="C1678" s="1" t="str">
        <f ca="1">IFERROR(__xludf.DUMMYFUNCTION("""COMPUTED_VALUE"""),"completed")</f>
        <v>completed</v>
      </c>
      <c r="D1678" s="26">
        <f ca="1">IFERROR(__xludf.DUMMYFUNCTION("""COMPUTED_VALUE"""),24)</f>
        <v>24</v>
      </c>
      <c r="E1678" s="1"/>
      <c r="F1678" s="87" t="str">
        <f t="shared" ca="1" si="0"/>
        <v>2022</v>
      </c>
      <c r="H1678" s="26" t="str">
        <f t="shared" si="1"/>
        <v/>
      </c>
      <c r="I1678" s="26" t="str">
        <f t="shared" si="2"/>
        <v/>
      </c>
      <c r="J1678" s="86">
        <f t="shared" ca="1" si="3"/>
        <v>44822</v>
      </c>
      <c r="R1678" s="26"/>
    </row>
    <row r="1679" spans="1:18" ht="15.75" customHeight="1">
      <c r="A1679" s="26">
        <f ca="1">IFERROR(__xludf.DUMMYFUNCTION("""COMPUTED_VALUE"""),16147)</f>
        <v>16147</v>
      </c>
      <c r="B1679" s="86">
        <f ca="1">IFERROR(__xludf.DUMMYFUNCTION("""COMPUTED_VALUE"""),44822.6328356481)</f>
        <v>44822.632835648103</v>
      </c>
      <c r="C1679" s="1" t="str">
        <f ca="1">IFERROR(__xludf.DUMMYFUNCTION("""COMPUTED_VALUE"""),"completed")</f>
        <v>completed</v>
      </c>
      <c r="D1679" s="26">
        <f ca="1">IFERROR(__xludf.DUMMYFUNCTION("""COMPUTED_VALUE"""),35)</f>
        <v>35</v>
      </c>
      <c r="E1679" s="1"/>
      <c r="F1679" s="87" t="str">
        <f t="shared" ca="1" si="0"/>
        <v>2022</v>
      </c>
      <c r="H1679" s="26" t="str">
        <f t="shared" si="1"/>
        <v/>
      </c>
      <c r="I1679" s="26" t="str">
        <f t="shared" si="2"/>
        <v/>
      </c>
      <c r="J1679" s="86">
        <f t="shared" ca="1" si="3"/>
        <v>44822</v>
      </c>
      <c r="R1679" s="26"/>
    </row>
    <row r="1680" spans="1:18" ht="15.75" customHeight="1">
      <c r="A1680" s="26">
        <f ca="1">IFERROR(__xludf.DUMMYFUNCTION("""COMPUTED_VALUE"""),16146)</f>
        <v>16146</v>
      </c>
      <c r="B1680" s="86">
        <f ca="1">IFERROR(__xludf.DUMMYFUNCTION("""COMPUTED_VALUE"""),44822.6317592592)</f>
        <v>44822.631759259202</v>
      </c>
      <c r="C1680" s="1" t="str">
        <f ca="1">IFERROR(__xludf.DUMMYFUNCTION("""COMPUTED_VALUE"""),"completed")</f>
        <v>completed</v>
      </c>
      <c r="D1680" s="26">
        <f ca="1">IFERROR(__xludf.DUMMYFUNCTION("""COMPUTED_VALUE"""),53)</f>
        <v>53</v>
      </c>
      <c r="E1680" s="1"/>
      <c r="F1680" s="87" t="str">
        <f t="shared" ca="1" si="0"/>
        <v>2022</v>
      </c>
      <c r="H1680" s="26" t="str">
        <f t="shared" si="1"/>
        <v/>
      </c>
      <c r="I1680" s="26" t="str">
        <f t="shared" si="2"/>
        <v/>
      </c>
      <c r="J1680" s="86">
        <f t="shared" ca="1" si="3"/>
        <v>44822</v>
      </c>
      <c r="R1680" s="26"/>
    </row>
    <row r="1681" spans="1:18" ht="15.75" customHeight="1">
      <c r="A1681" s="26">
        <f ca="1">IFERROR(__xludf.DUMMYFUNCTION("""COMPUTED_VALUE"""),16145)</f>
        <v>16145</v>
      </c>
      <c r="B1681" s="86">
        <f ca="1">IFERROR(__xludf.DUMMYFUNCTION("""COMPUTED_VALUE"""),44822.6260185185)</f>
        <v>44822.626018518502</v>
      </c>
      <c r="C1681" s="1" t="str">
        <f ca="1">IFERROR(__xludf.DUMMYFUNCTION("""COMPUTED_VALUE"""),"completed")</f>
        <v>completed</v>
      </c>
      <c r="D1681" s="26">
        <f ca="1">IFERROR(__xludf.DUMMYFUNCTION("""COMPUTED_VALUE"""),49)</f>
        <v>49</v>
      </c>
      <c r="E1681" s="1"/>
      <c r="F1681" s="87" t="str">
        <f t="shared" ca="1" si="0"/>
        <v>2022</v>
      </c>
      <c r="H1681" s="26" t="str">
        <f t="shared" si="1"/>
        <v/>
      </c>
      <c r="I1681" s="26" t="str">
        <f t="shared" si="2"/>
        <v/>
      </c>
      <c r="J1681" s="86">
        <f t="shared" ca="1" si="3"/>
        <v>44822</v>
      </c>
      <c r="R1681" s="26"/>
    </row>
    <row r="1682" spans="1:18" ht="15.75" customHeight="1">
      <c r="A1682" s="26">
        <f ca="1">IFERROR(__xludf.DUMMYFUNCTION("""COMPUTED_VALUE"""),16144)</f>
        <v>16144</v>
      </c>
      <c r="B1682" s="86">
        <f ca="1">IFERROR(__xludf.DUMMYFUNCTION("""COMPUTED_VALUE"""),44822.6081018518)</f>
        <v>44822.608101851802</v>
      </c>
      <c r="C1682" s="1" t="str">
        <f ca="1">IFERROR(__xludf.DUMMYFUNCTION("""COMPUTED_VALUE"""),"completed")</f>
        <v>completed</v>
      </c>
      <c r="D1682" s="26">
        <f ca="1">IFERROR(__xludf.DUMMYFUNCTION("""COMPUTED_VALUE"""),25)</f>
        <v>25</v>
      </c>
      <c r="E1682" s="1"/>
      <c r="F1682" s="87" t="str">
        <f t="shared" ca="1" si="0"/>
        <v>2022</v>
      </c>
      <c r="H1682" s="26" t="str">
        <f t="shared" si="1"/>
        <v/>
      </c>
      <c r="I1682" s="26" t="str">
        <f t="shared" si="2"/>
        <v/>
      </c>
      <c r="J1682" s="86">
        <f t="shared" ca="1" si="3"/>
        <v>44822</v>
      </c>
      <c r="R1682" s="26"/>
    </row>
    <row r="1683" spans="1:18" ht="15.75" customHeight="1">
      <c r="A1683" s="26">
        <f ca="1">IFERROR(__xludf.DUMMYFUNCTION("""COMPUTED_VALUE"""),16143)</f>
        <v>16143</v>
      </c>
      <c r="B1683" s="86">
        <f ca="1">IFERROR(__xludf.DUMMYFUNCTION("""COMPUTED_VALUE"""),44822.6053356481)</f>
        <v>44822.605335648099</v>
      </c>
      <c r="C1683" s="1" t="str">
        <f ca="1">IFERROR(__xludf.DUMMYFUNCTION("""COMPUTED_VALUE"""),"completed")</f>
        <v>completed</v>
      </c>
      <c r="D1683" s="26">
        <f ca="1">IFERROR(__xludf.DUMMYFUNCTION("""COMPUTED_VALUE"""),18)</f>
        <v>18</v>
      </c>
      <c r="E1683" s="1"/>
      <c r="F1683" s="87" t="str">
        <f t="shared" ca="1" si="0"/>
        <v>2022</v>
      </c>
      <c r="H1683" s="26" t="str">
        <f t="shared" si="1"/>
        <v/>
      </c>
      <c r="I1683" s="26" t="str">
        <f t="shared" si="2"/>
        <v/>
      </c>
      <c r="J1683" s="86">
        <f t="shared" ca="1" si="3"/>
        <v>44822</v>
      </c>
      <c r="R1683" s="26"/>
    </row>
    <row r="1684" spans="1:18" ht="15.75" customHeight="1">
      <c r="A1684" s="26">
        <f ca="1">IFERROR(__xludf.DUMMYFUNCTION("""COMPUTED_VALUE"""),16142)</f>
        <v>16142</v>
      </c>
      <c r="B1684" s="86">
        <f ca="1">IFERROR(__xludf.DUMMYFUNCTION("""COMPUTED_VALUE"""),44822.6050694444)</f>
        <v>44822.605069444398</v>
      </c>
      <c r="C1684" s="1" t="str">
        <f ca="1">IFERROR(__xludf.DUMMYFUNCTION("""COMPUTED_VALUE"""),"completed")</f>
        <v>completed</v>
      </c>
      <c r="D1684" s="26">
        <f ca="1">IFERROR(__xludf.DUMMYFUNCTION("""COMPUTED_VALUE"""),25)</f>
        <v>25</v>
      </c>
      <c r="E1684" s="1"/>
      <c r="F1684" s="87" t="str">
        <f t="shared" ca="1" si="0"/>
        <v>2022</v>
      </c>
      <c r="H1684" s="26" t="str">
        <f t="shared" si="1"/>
        <v/>
      </c>
      <c r="I1684" s="26" t="str">
        <f t="shared" si="2"/>
        <v/>
      </c>
      <c r="J1684" s="86">
        <f t="shared" ca="1" si="3"/>
        <v>44822</v>
      </c>
      <c r="R1684" s="26"/>
    </row>
    <row r="1685" spans="1:18" ht="15.75" customHeight="1">
      <c r="A1685" s="26">
        <f ca="1">IFERROR(__xludf.DUMMYFUNCTION("""COMPUTED_VALUE"""),16141)</f>
        <v>16141</v>
      </c>
      <c r="B1685" s="86">
        <f ca="1">IFERROR(__xludf.DUMMYFUNCTION("""COMPUTED_VALUE"""),44822.6049189814)</f>
        <v>44822.6049189814</v>
      </c>
      <c r="C1685" s="1" t="str">
        <f ca="1">IFERROR(__xludf.DUMMYFUNCTION("""COMPUTED_VALUE"""),"completed")</f>
        <v>completed</v>
      </c>
      <c r="D1685" s="26">
        <f ca="1">IFERROR(__xludf.DUMMYFUNCTION("""COMPUTED_VALUE"""),67)</f>
        <v>67</v>
      </c>
      <c r="E1685" s="1"/>
      <c r="F1685" s="87" t="str">
        <f t="shared" ca="1" si="0"/>
        <v>2022</v>
      </c>
      <c r="H1685" s="26" t="str">
        <f t="shared" si="1"/>
        <v/>
      </c>
      <c r="I1685" s="26" t="str">
        <f t="shared" si="2"/>
        <v/>
      </c>
      <c r="J1685" s="86">
        <f t="shared" ca="1" si="3"/>
        <v>44822</v>
      </c>
      <c r="R1685" s="26"/>
    </row>
    <row r="1686" spans="1:18" ht="15.75" customHeight="1">
      <c r="A1686" s="26">
        <f ca="1">IFERROR(__xludf.DUMMYFUNCTION("""COMPUTED_VALUE"""),16140)</f>
        <v>16140</v>
      </c>
      <c r="B1686" s="86">
        <f ca="1">IFERROR(__xludf.DUMMYFUNCTION("""COMPUTED_VALUE"""),44822.6030208333)</f>
        <v>44822.603020833303</v>
      </c>
      <c r="C1686" s="1" t="str">
        <f ca="1">IFERROR(__xludf.DUMMYFUNCTION("""COMPUTED_VALUE"""),"completed")</f>
        <v>completed</v>
      </c>
      <c r="D1686" s="26">
        <f ca="1">IFERROR(__xludf.DUMMYFUNCTION("""COMPUTED_VALUE"""),28)</f>
        <v>28</v>
      </c>
      <c r="E1686" s="1"/>
      <c r="F1686" s="87" t="str">
        <f t="shared" ca="1" si="0"/>
        <v>2022</v>
      </c>
      <c r="H1686" s="26" t="str">
        <f t="shared" si="1"/>
        <v/>
      </c>
      <c r="I1686" s="26" t="str">
        <f t="shared" si="2"/>
        <v/>
      </c>
      <c r="J1686" s="86">
        <f t="shared" ca="1" si="3"/>
        <v>44822</v>
      </c>
      <c r="R1686" s="26"/>
    </row>
    <row r="1687" spans="1:18" ht="15.75" customHeight="1">
      <c r="A1687" s="26">
        <f ca="1">IFERROR(__xludf.DUMMYFUNCTION("""COMPUTED_VALUE"""),16139)</f>
        <v>16139</v>
      </c>
      <c r="B1687" s="86">
        <f ca="1">IFERROR(__xludf.DUMMYFUNCTION("""COMPUTED_VALUE"""),44822.5997569444)</f>
        <v>44822.599756944401</v>
      </c>
      <c r="C1687" s="1" t="str">
        <f ca="1">IFERROR(__xludf.DUMMYFUNCTION("""COMPUTED_VALUE"""),"completed")</f>
        <v>completed</v>
      </c>
      <c r="D1687" s="26">
        <f ca="1">IFERROR(__xludf.DUMMYFUNCTION("""COMPUTED_VALUE"""),25)</f>
        <v>25</v>
      </c>
      <c r="E1687" s="1"/>
      <c r="F1687" s="87" t="str">
        <f t="shared" ca="1" si="0"/>
        <v>2022</v>
      </c>
      <c r="H1687" s="26" t="str">
        <f t="shared" si="1"/>
        <v/>
      </c>
      <c r="I1687" s="26" t="str">
        <f t="shared" si="2"/>
        <v/>
      </c>
      <c r="J1687" s="86">
        <f t="shared" ca="1" si="3"/>
        <v>44822</v>
      </c>
      <c r="R1687" s="26"/>
    </row>
    <row r="1688" spans="1:18" ht="15.75" customHeight="1">
      <c r="A1688" s="26">
        <f ca="1">IFERROR(__xludf.DUMMYFUNCTION("""COMPUTED_VALUE"""),16138)</f>
        <v>16138</v>
      </c>
      <c r="B1688" s="86">
        <f ca="1">IFERROR(__xludf.DUMMYFUNCTION("""COMPUTED_VALUE"""),44822.5974421296)</f>
        <v>44822.597442129598</v>
      </c>
      <c r="C1688" s="1" t="str">
        <f ca="1">IFERROR(__xludf.DUMMYFUNCTION("""COMPUTED_VALUE"""),"completed")</f>
        <v>completed</v>
      </c>
      <c r="D1688" s="26">
        <f ca="1">IFERROR(__xludf.DUMMYFUNCTION("""COMPUTED_VALUE"""),25)</f>
        <v>25</v>
      </c>
      <c r="E1688" s="1"/>
      <c r="F1688" s="87" t="str">
        <f t="shared" ca="1" si="0"/>
        <v>2022</v>
      </c>
      <c r="H1688" s="26" t="str">
        <f t="shared" si="1"/>
        <v/>
      </c>
      <c r="I1688" s="26" t="str">
        <f t="shared" si="2"/>
        <v/>
      </c>
      <c r="J1688" s="86">
        <f t="shared" ca="1" si="3"/>
        <v>44822</v>
      </c>
      <c r="R1688" s="26"/>
    </row>
    <row r="1689" spans="1:18" ht="15.75" customHeight="1">
      <c r="A1689" s="26">
        <f ca="1">IFERROR(__xludf.DUMMYFUNCTION("""COMPUTED_VALUE"""),16137)</f>
        <v>16137</v>
      </c>
      <c r="B1689" s="86">
        <f ca="1">IFERROR(__xludf.DUMMYFUNCTION("""COMPUTED_VALUE"""),44822.5967592592)</f>
        <v>44822.596759259199</v>
      </c>
      <c r="C1689" s="1" t="str">
        <f ca="1">IFERROR(__xludf.DUMMYFUNCTION("""COMPUTED_VALUE"""),"completed")</f>
        <v>completed</v>
      </c>
      <c r="D1689" s="26">
        <f ca="1">IFERROR(__xludf.DUMMYFUNCTION("""COMPUTED_VALUE"""),25)</f>
        <v>25</v>
      </c>
      <c r="E1689" s="1"/>
      <c r="F1689" s="87" t="str">
        <f t="shared" ca="1" si="0"/>
        <v>2022</v>
      </c>
      <c r="H1689" s="26" t="str">
        <f t="shared" si="1"/>
        <v/>
      </c>
      <c r="I1689" s="26" t="str">
        <f t="shared" si="2"/>
        <v/>
      </c>
      <c r="J1689" s="86">
        <f t="shared" ca="1" si="3"/>
        <v>44822</v>
      </c>
      <c r="R1689" s="26"/>
    </row>
    <row r="1690" spans="1:18" ht="15.75" customHeight="1">
      <c r="A1690" s="26">
        <f ca="1">IFERROR(__xludf.DUMMYFUNCTION("""COMPUTED_VALUE"""),16136)</f>
        <v>16136</v>
      </c>
      <c r="B1690" s="86">
        <f ca="1">IFERROR(__xludf.DUMMYFUNCTION("""COMPUTED_VALUE"""),44822.5927199074)</f>
        <v>44822.592719907399</v>
      </c>
      <c r="C1690" s="1" t="str">
        <f ca="1">IFERROR(__xludf.DUMMYFUNCTION("""COMPUTED_VALUE"""),"completed")</f>
        <v>completed</v>
      </c>
      <c r="D1690" s="26">
        <f ca="1">IFERROR(__xludf.DUMMYFUNCTION("""COMPUTED_VALUE"""),43)</f>
        <v>43</v>
      </c>
      <c r="E1690" s="1"/>
      <c r="F1690" s="87" t="str">
        <f t="shared" ca="1" si="0"/>
        <v>2022</v>
      </c>
      <c r="H1690" s="26" t="str">
        <f t="shared" si="1"/>
        <v/>
      </c>
      <c r="I1690" s="26" t="str">
        <f t="shared" si="2"/>
        <v/>
      </c>
      <c r="J1690" s="86">
        <f t="shared" ca="1" si="3"/>
        <v>44822</v>
      </c>
      <c r="R1690" s="26"/>
    </row>
    <row r="1691" spans="1:18" ht="15.75" customHeight="1">
      <c r="A1691" s="26">
        <f ca="1">IFERROR(__xludf.DUMMYFUNCTION("""COMPUTED_VALUE"""),16135)</f>
        <v>16135</v>
      </c>
      <c r="B1691" s="86">
        <f ca="1">IFERROR(__xludf.DUMMYFUNCTION("""COMPUTED_VALUE"""),44822.5889930555)</f>
        <v>44822.588993055499</v>
      </c>
      <c r="C1691" s="1" t="str">
        <f ca="1">IFERROR(__xludf.DUMMYFUNCTION("""COMPUTED_VALUE"""),"completed")</f>
        <v>completed</v>
      </c>
      <c r="D1691" s="26">
        <f ca="1">IFERROR(__xludf.DUMMYFUNCTION("""COMPUTED_VALUE"""),65)</f>
        <v>65</v>
      </c>
      <c r="E1691" s="1"/>
      <c r="F1691" s="87" t="str">
        <f t="shared" ca="1" si="0"/>
        <v>2022</v>
      </c>
      <c r="H1691" s="26" t="str">
        <f t="shared" si="1"/>
        <v/>
      </c>
      <c r="I1691" s="26" t="str">
        <f t="shared" si="2"/>
        <v/>
      </c>
      <c r="J1691" s="86">
        <f t="shared" ca="1" si="3"/>
        <v>44822</v>
      </c>
      <c r="R1691" s="26"/>
    </row>
    <row r="1692" spans="1:18" ht="15.75" customHeight="1">
      <c r="A1692" s="26">
        <f ca="1">IFERROR(__xludf.DUMMYFUNCTION("""COMPUTED_VALUE"""),16134)</f>
        <v>16134</v>
      </c>
      <c r="B1692" s="86">
        <f ca="1">IFERROR(__xludf.DUMMYFUNCTION("""COMPUTED_VALUE"""),44822.5881249999)</f>
        <v>44822.5881249999</v>
      </c>
      <c r="C1692" s="1" t="str">
        <f ca="1">IFERROR(__xludf.DUMMYFUNCTION("""COMPUTED_VALUE"""),"completed")</f>
        <v>completed</v>
      </c>
      <c r="D1692" s="26">
        <f ca="1">IFERROR(__xludf.DUMMYFUNCTION("""COMPUTED_VALUE"""),28)</f>
        <v>28</v>
      </c>
      <c r="E1692" s="1"/>
      <c r="F1692" s="87" t="str">
        <f t="shared" ca="1" si="0"/>
        <v>2022</v>
      </c>
      <c r="H1692" s="26" t="str">
        <f t="shared" si="1"/>
        <v/>
      </c>
      <c r="I1692" s="26" t="str">
        <f t="shared" si="2"/>
        <v/>
      </c>
      <c r="J1692" s="86">
        <f t="shared" ca="1" si="3"/>
        <v>44822</v>
      </c>
      <c r="R1692" s="26"/>
    </row>
    <row r="1693" spans="1:18" ht="15.75" customHeight="1">
      <c r="A1693" s="26">
        <f ca="1">IFERROR(__xludf.DUMMYFUNCTION("""COMPUTED_VALUE"""),16133)</f>
        <v>16133</v>
      </c>
      <c r="B1693" s="86">
        <f ca="1">IFERROR(__xludf.DUMMYFUNCTION("""COMPUTED_VALUE"""),44822.5839814814)</f>
        <v>44822.583981481403</v>
      </c>
      <c r="C1693" s="1" t="str">
        <f ca="1">IFERROR(__xludf.DUMMYFUNCTION("""COMPUTED_VALUE"""),"completed")</f>
        <v>completed</v>
      </c>
      <c r="D1693" s="26">
        <f ca="1">IFERROR(__xludf.DUMMYFUNCTION("""COMPUTED_VALUE"""),57)</f>
        <v>57</v>
      </c>
      <c r="E1693" s="1"/>
      <c r="F1693" s="87" t="str">
        <f t="shared" ca="1" si="0"/>
        <v>2022</v>
      </c>
      <c r="H1693" s="26" t="str">
        <f t="shared" si="1"/>
        <v/>
      </c>
      <c r="I1693" s="26" t="str">
        <f t="shared" si="2"/>
        <v/>
      </c>
      <c r="J1693" s="86">
        <f t="shared" ca="1" si="3"/>
        <v>44822</v>
      </c>
      <c r="R1693" s="26"/>
    </row>
    <row r="1694" spans="1:18" ht="15.75" customHeight="1">
      <c r="A1694" s="26">
        <f ca="1">IFERROR(__xludf.DUMMYFUNCTION("""COMPUTED_VALUE"""),16132)</f>
        <v>16132</v>
      </c>
      <c r="B1694" s="86">
        <f ca="1">IFERROR(__xludf.DUMMYFUNCTION("""COMPUTED_VALUE"""),44822.5835300926)</f>
        <v>44822.583530092597</v>
      </c>
      <c r="C1694" s="1" t="str">
        <f ca="1">IFERROR(__xludf.DUMMYFUNCTION("""COMPUTED_VALUE"""),"completed")</f>
        <v>completed</v>
      </c>
      <c r="D1694" s="26">
        <f ca="1">IFERROR(__xludf.DUMMYFUNCTION("""COMPUTED_VALUE"""),55)</f>
        <v>55</v>
      </c>
      <c r="E1694" s="1"/>
      <c r="F1694" s="87" t="str">
        <f t="shared" ca="1" si="0"/>
        <v>2022</v>
      </c>
      <c r="H1694" s="26" t="str">
        <f t="shared" si="1"/>
        <v/>
      </c>
      <c r="I1694" s="26" t="str">
        <f t="shared" si="2"/>
        <v/>
      </c>
      <c r="J1694" s="86">
        <f t="shared" ca="1" si="3"/>
        <v>44822</v>
      </c>
      <c r="R1694" s="26"/>
    </row>
    <row r="1695" spans="1:18" ht="15.75" customHeight="1">
      <c r="A1695" s="26">
        <f ca="1">IFERROR(__xludf.DUMMYFUNCTION("""COMPUTED_VALUE"""),16131)</f>
        <v>16131</v>
      </c>
      <c r="B1695" s="86">
        <f ca="1">IFERROR(__xludf.DUMMYFUNCTION("""COMPUTED_VALUE"""),44822.5750694444)</f>
        <v>44822.5750694444</v>
      </c>
      <c r="C1695" s="1" t="str">
        <f ca="1">IFERROR(__xludf.DUMMYFUNCTION("""COMPUTED_VALUE"""),"completed")</f>
        <v>completed</v>
      </c>
      <c r="D1695" s="26">
        <f ca="1">IFERROR(__xludf.DUMMYFUNCTION("""COMPUTED_VALUE"""),45)</f>
        <v>45</v>
      </c>
      <c r="E1695" s="1"/>
      <c r="F1695" s="87" t="str">
        <f t="shared" ca="1" si="0"/>
        <v>2022</v>
      </c>
      <c r="H1695" s="26" t="str">
        <f t="shared" si="1"/>
        <v/>
      </c>
      <c r="I1695" s="26" t="str">
        <f t="shared" si="2"/>
        <v/>
      </c>
      <c r="J1695" s="86">
        <f t="shared" ca="1" si="3"/>
        <v>44822</v>
      </c>
      <c r="R1695" s="26"/>
    </row>
    <row r="1696" spans="1:18" ht="15.75" customHeight="1">
      <c r="A1696" s="26">
        <f ca="1">IFERROR(__xludf.DUMMYFUNCTION("""COMPUTED_VALUE"""),16130)</f>
        <v>16130</v>
      </c>
      <c r="B1696" s="86">
        <f ca="1">IFERROR(__xludf.DUMMYFUNCTION("""COMPUTED_VALUE"""),44822.574537037)</f>
        <v>44822.574537036999</v>
      </c>
      <c r="C1696" s="1" t="str">
        <f ca="1">IFERROR(__xludf.DUMMYFUNCTION("""COMPUTED_VALUE"""),"completed")</f>
        <v>completed</v>
      </c>
      <c r="D1696" s="26">
        <f ca="1">IFERROR(__xludf.DUMMYFUNCTION("""COMPUTED_VALUE"""),20)</f>
        <v>20</v>
      </c>
      <c r="E1696" s="1"/>
      <c r="F1696" s="87" t="str">
        <f t="shared" ca="1" si="0"/>
        <v>2022</v>
      </c>
      <c r="H1696" s="26" t="str">
        <f t="shared" si="1"/>
        <v/>
      </c>
      <c r="I1696" s="26" t="str">
        <f t="shared" si="2"/>
        <v/>
      </c>
      <c r="J1696" s="86">
        <f t="shared" ca="1" si="3"/>
        <v>44822</v>
      </c>
      <c r="R1696" s="26"/>
    </row>
    <row r="1697" spans="1:18" ht="15.75" customHeight="1">
      <c r="A1697" s="26">
        <f ca="1">IFERROR(__xludf.DUMMYFUNCTION("""COMPUTED_VALUE"""),16129)</f>
        <v>16129</v>
      </c>
      <c r="B1697" s="86">
        <f ca="1">IFERROR(__xludf.DUMMYFUNCTION("""COMPUTED_VALUE"""),44822.571574074)</f>
        <v>44822.571574073998</v>
      </c>
      <c r="C1697" s="1" t="str">
        <f ca="1">IFERROR(__xludf.DUMMYFUNCTION("""COMPUTED_VALUE"""),"completed")</f>
        <v>completed</v>
      </c>
      <c r="D1697" s="26">
        <f ca="1">IFERROR(__xludf.DUMMYFUNCTION("""COMPUTED_VALUE"""),25)</f>
        <v>25</v>
      </c>
      <c r="E1697" s="1"/>
      <c r="F1697" s="87" t="str">
        <f t="shared" ca="1" si="0"/>
        <v>2022</v>
      </c>
      <c r="H1697" s="26" t="str">
        <f t="shared" si="1"/>
        <v/>
      </c>
      <c r="I1697" s="26" t="str">
        <f t="shared" si="2"/>
        <v/>
      </c>
      <c r="J1697" s="86">
        <f t="shared" ca="1" si="3"/>
        <v>44822</v>
      </c>
      <c r="R1697" s="26"/>
    </row>
    <row r="1698" spans="1:18" ht="15.75" customHeight="1">
      <c r="A1698" s="26">
        <f ca="1">IFERROR(__xludf.DUMMYFUNCTION("""COMPUTED_VALUE"""),16128)</f>
        <v>16128</v>
      </c>
      <c r="B1698" s="86">
        <f ca="1">IFERROR(__xludf.DUMMYFUNCTION("""COMPUTED_VALUE"""),44822.5686805555)</f>
        <v>44822.568680555501</v>
      </c>
      <c r="C1698" s="1" t="str">
        <f ca="1">IFERROR(__xludf.DUMMYFUNCTION("""COMPUTED_VALUE"""),"completed")</f>
        <v>completed</v>
      </c>
      <c r="D1698" s="26">
        <f ca="1">IFERROR(__xludf.DUMMYFUNCTION("""COMPUTED_VALUE"""),35)</f>
        <v>35</v>
      </c>
      <c r="E1698" s="1"/>
      <c r="F1698" s="87" t="str">
        <f t="shared" ca="1" si="0"/>
        <v>2022</v>
      </c>
      <c r="H1698" s="26" t="str">
        <f t="shared" si="1"/>
        <v/>
      </c>
      <c r="I1698" s="26" t="str">
        <f t="shared" si="2"/>
        <v/>
      </c>
      <c r="J1698" s="86">
        <f t="shared" ca="1" si="3"/>
        <v>44822</v>
      </c>
      <c r="R1698" s="26"/>
    </row>
    <row r="1699" spans="1:18" ht="15.75" customHeight="1">
      <c r="A1699" s="26">
        <f ca="1">IFERROR(__xludf.DUMMYFUNCTION("""COMPUTED_VALUE"""),16127)</f>
        <v>16127</v>
      </c>
      <c r="B1699" s="86">
        <f ca="1">IFERROR(__xludf.DUMMYFUNCTION("""COMPUTED_VALUE"""),44822.5685763888)</f>
        <v>44822.568576388803</v>
      </c>
      <c r="C1699" s="1" t="str">
        <f ca="1">IFERROR(__xludf.DUMMYFUNCTION("""COMPUTED_VALUE"""),"refunded")</f>
        <v>refunded</v>
      </c>
      <c r="D1699" s="26">
        <f ca="1">IFERROR(__xludf.DUMMYFUNCTION("""COMPUTED_VALUE"""),64)</f>
        <v>64</v>
      </c>
      <c r="E1699" s="1"/>
      <c r="F1699" s="87" t="str">
        <f t="shared" ca="1" si="0"/>
        <v>2022</v>
      </c>
      <c r="H1699" s="26" t="str">
        <f t="shared" si="1"/>
        <v/>
      </c>
      <c r="I1699" s="26" t="str">
        <f t="shared" si="2"/>
        <v/>
      </c>
      <c r="J1699" s="86">
        <f t="shared" ca="1" si="3"/>
        <v>44822</v>
      </c>
      <c r="R1699" s="26"/>
    </row>
    <row r="1700" spans="1:18" ht="15.75" customHeight="1">
      <c r="A1700" s="26">
        <f ca="1">IFERROR(__xludf.DUMMYFUNCTION("""COMPUTED_VALUE"""),16126)</f>
        <v>16126</v>
      </c>
      <c r="B1700" s="86">
        <f ca="1">IFERROR(__xludf.DUMMYFUNCTION("""COMPUTED_VALUE"""),44822.5680787037)</f>
        <v>44822.568078703698</v>
      </c>
      <c r="C1700" s="1" t="str">
        <f ca="1">IFERROR(__xludf.DUMMYFUNCTION("""COMPUTED_VALUE"""),"completed")</f>
        <v>completed</v>
      </c>
      <c r="D1700" s="26">
        <f ca="1">IFERROR(__xludf.DUMMYFUNCTION("""COMPUTED_VALUE"""),15)</f>
        <v>15</v>
      </c>
      <c r="E1700" s="1"/>
      <c r="F1700" s="87" t="str">
        <f t="shared" ca="1" si="0"/>
        <v>2022</v>
      </c>
      <c r="H1700" s="26" t="str">
        <f t="shared" si="1"/>
        <v/>
      </c>
      <c r="I1700" s="26" t="str">
        <f t="shared" si="2"/>
        <v/>
      </c>
      <c r="J1700" s="86">
        <f t="shared" ca="1" si="3"/>
        <v>44822</v>
      </c>
      <c r="R1700" s="26"/>
    </row>
    <row r="1701" spans="1:18" ht="15.75" customHeight="1">
      <c r="A1701" s="26">
        <f ca="1">IFERROR(__xludf.DUMMYFUNCTION("""COMPUTED_VALUE"""),16125)</f>
        <v>16125</v>
      </c>
      <c r="B1701" s="86">
        <f ca="1">IFERROR(__xludf.DUMMYFUNCTION("""COMPUTED_VALUE"""),44822.564375)</f>
        <v>44822.564375000002</v>
      </c>
      <c r="C1701" s="1" t="str">
        <f ca="1">IFERROR(__xludf.DUMMYFUNCTION("""COMPUTED_VALUE"""),"completed")</f>
        <v>completed</v>
      </c>
      <c r="D1701" s="26">
        <f ca="1">IFERROR(__xludf.DUMMYFUNCTION("""COMPUTED_VALUE"""),25)</f>
        <v>25</v>
      </c>
      <c r="E1701" s="1"/>
      <c r="F1701" s="87" t="str">
        <f t="shared" ca="1" si="0"/>
        <v>2022</v>
      </c>
      <c r="H1701" s="26" t="str">
        <f t="shared" si="1"/>
        <v/>
      </c>
      <c r="I1701" s="26" t="str">
        <f t="shared" si="2"/>
        <v/>
      </c>
      <c r="J1701" s="86">
        <f t="shared" ca="1" si="3"/>
        <v>44822</v>
      </c>
      <c r="R1701" s="26"/>
    </row>
    <row r="1702" spans="1:18" ht="15.75" customHeight="1">
      <c r="A1702" s="26">
        <f ca="1">IFERROR(__xludf.DUMMYFUNCTION("""COMPUTED_VALUE"""),16124)</f>
        <v>16124</v>
      </c>
      <c r="B1702" s="86">
        <f ca="1">IFERROR(__xludf.DUMMYFUNCTION("""COMPUTED_VALUE"""),44822.5627893518)</f>
        <v>44822.562789351803</v>
      </c>
      <c r="C1702" s="1" t="str">
        <f ca="1">IFERROR(__xludf.DUMMYFUNCTION("""COMPUTED_VALUE"""),"completed")</f>
        <v>completed</v>
      </c>
      <c r="D1702" s="26">
        <f ca="1">IFERROR(__xludf.DUMMYFUNCTION("""COMPUTED_VALUE"""),25)</f>
        <v>25</v>
      </c>
      <c r="E1702" s="1"/>
      <c r="F1702" s="87" t="str">
        <f t="shared" ca="1" si="0"/>
        <v>2022</v>
      </c>
      <c r="H1702" s="26" t="str">
        <f t="shared" si="1"/>
        <v/>
      </c>
      <c r="I1702" s="26" t="str">
        <f t="shared" si="2"/>
        <v/>
      </c>
      <c r="J1702" s="86">
        <f t="shared" ca="1" si="3"/>
        <v>44822</v>
      </c>
      <c r="R1702" s="26"/>
    </row>
    <row r="1703" spans="1:18" ht="15.75" customHeight="1">
      <c r="A1703" s="26">
        <f ca="1">IFERROR(__xludf.DUMMYFUNCTION("""COMPUTED_VALUE"""),16123)</f>
        <v>16123</v>
      </c>
      <c r="B1703" s="86">
        <f ca="1">IFERROR(__xludf.DUMMYFUNCTION("""COMPUTED_VALUE"""),44822.5606944444)</f>
        <v>44822.560694444401</v>
      </c>
      <c r="C1703" s="1" t="str">
        <f ca="1">IFERROR(__xludf.DUMMYFUNCTION("""COMPUTED_VALUE"""),"completed")</f>
        <v>completed</v>
      </c>
      <c r="D1703" s="26">
        <f ca="1">IFERROR(__xludf.DUMMYFUNCTION("""COMPUTED_VALUE"""),55.2)</f>
        <v>55.2</v>
      </c>
      <c r="E1703" s="1"/>
      <c r="F1703" s="87" t="str">
        <f t="shared" ca="1" si="0"/>
        <v>2022</v>
      </c>
      <c r="H1703" s="26" t="str">
        <f t="shared" si="1"/>
        <v/>
      </c>
      <c r="I1703" s="26" t="str">
        <f t="shared" si="2"/>
        <v/>
      </c>
      <c r="J1703" s="86">
        <f t="shared" ca="1" si="3"/>
        <v>44822</v>
      </c>
      <c r="R1703" s="26"/>
    </row>
    <row r="1704" spans="1:18" ht="15.75" customHeight="1">
      <c r="A1704" s="26">
        <f ca="1">IFERROR(__xludf.DUMMYFUNCTION("""COMPUTED_VALUE"""),16122)</f>
        <v>16122</v>
      </c>
      <c r="B1704" s="86">
        <f ca="1">IFERROR(__xludf.DUMMYFUNCTION("""COMPUTED_VALUE"""),44822.5601967592)</f>
        <v>44822.560196759201</v>
      </c>
      <c r="C1704" s="1" t="str">
        <f ca="1">IFERROR(__xludf.DUMMYFUNCTION("""COMPUTED_VALUE"""),"completed")</f>
        <v>completed</v>
      </c>
      <c r="D1704" s="26">
        <f ca="1">IFERROR(__xludf.DUMMYFUNCTION("""COMPUTED_VALUE"""),43)</f>
        <v>43</v>
      </c>
      <c r="E1704" s="1"/>
      <c r="F1704" s="87" t="str">
        <f t="shared" ca="1" si="0"/>
        <v>2022</v>
      </c>
      <c r="H1704" s="26" t="str">
        <f t="shared" si="1"/>
        <v/>
      </c>
      <c r="I1704" s="26" t="str">
        <f t="shared" si="2"/>
        <v/>
      </c>
      <c r="J1704" s="86">
        <f t="shared" ca="1" si="3"/>
        <v>44822</v>
      </c>
      <c r="R1704" s="26"/>
    </row>
    <row r="1705" spans="1:18" ht="15.75" customHeight="1">
      <c r="A1705" s="26">
        <f ca="1">IFERROR(__xludf.DUMMYFUNCTION("""COMPUTED_VALUE"""),16121)</f>
        <v>16121</v>
      </c>
      <c r="B1705" s="86">
        <f ca="1">IFERROR(__xludf.DUMMYFUNCTION("""COMPUTED_VALUE"""),44822.5591203703)</f>
        <v>44822.559120370301</v>
      </c>
      <c r="C1705" s="1" t="str">
        <f ca="1">IFERROR(__xludf.DUMMYFUNCTION("""COMPUTED_VALUE"""),"completed")</f>
        <v>completed</v>
      </c>
      <c r="D1705" s="26">
        <f ca="1">IFERROR(__xludf.DUMMYFUNCTION("""COMPUTED_VALUE"""),35)</f>
        <v>35</v>
      </c>
      <c r="E1705" s="1"/>
      <c r="F1705" s="87" t="str">
        <f t="shared" ca="1" si="0"/>
        <v>2022</v>
      </c>
      <c r="H1705" s="26" t="str">
        <f t="shared" si="1"/>
        <v/>
      </c>
      <c r="I1705" s="26" t="str">
        <f t="shared" si="2"/>
        <v/>
      </c>
      <c r="J1705" s="86">
        <f t="shared" ca="1" si="3"/>
        <v>44822</v>
      </c>
      <c r="R1705" s="26"/>
    </row>
    <row r="1706" spans="1:18" ht="15.75" customHeight="1">
      <c r="A1706" s="26">
        <f ca="1">IFERROR(__xludf.DUMMYFUNCTION("""COMPUTED_VALUE"""),16120)</f>
        <v>16120</v>
      </c>
      <c r="B1706" s="86">
        <f ca="1">IFERROR(__xludf.DUMMYFUNCTION("""COMPUTED_VALUE"""),44822.5588541666)</f>
        <v>44822.5588541666</v>
      </c>
      <c r="C1706" s="1" t="str">
        <f ca="1">IFERROR(__xludf.DUMMYFUNCTION("""COMPUTED_VALUE"""),"completed")</f>
        <v>completed</v>
      </c>
      <c r="D1706" s="26">
        <f ca="1">IFERROR(__xludf.DUMMYFUNCTION("""COMPUTED_VALUE"""),53)</f>
        <v>53</v>
      </c>
      <c r="E1706" s="1"/>
      <c r="F1706" s="87" t="str">
        <f t="shared" ca="1" si="0"/>
        <v>2022</v>
      </c>
      <c r="H1706" s="26" t="str">
        <f t="shared" si="1"/>
        <v/>
      </c>
      <c r="I1706" s="26" t="str">
        <f t="shared" si="2"/>
        <v/>
      </c>
      <c r="J1706" s="86">
        <f t="shared" ca="1" si="3"/>
        <v>44822</v>
      </c>
      <c r="R1706" s="26"/>
    </row>
    <row r="1707" spans="1:18" ht="15.75" customHeight="1">
      <c r="A1707" s="26">
        <f ca="1">IFERROR(__xludf.DUMMYFUNCTION("""COMPUTED_VALUE"""),16119)</f>
        <v>16119</v>
      </c>
      <c r="B1707" s="86">
        <f ca="1">IFERROR(__xludf.DUMMYFUNCTION("""COMPUTED_VALUE"""),44822.5577083333)</f>
        <v>44822.557708333297</v>
      </c>
      <c r="C1707" s="1" t="str">
        <f ca="1">IFERROR(__xludf.DUMMYFUNCTION("""COMPUTED_VALUE"""),"completed")</f>
        <v>completed</v>
      </c>
      <c r="D1707" s="26">
        <f ca="1">IFERROR(__xludf.DUMMYFUNCTION("""COMPUTED_VALUE"""),40)</f>
        <v>40</v>
      </c>
      <c r="E1707" s="1"/>
      <c r="F1707" s="87" t="str">
        <f t="shared" ca="1" si="0"/>
        <v>2022</v>
      </c>
      <c r="H1707" s="26" t="str">
        <f t="shared" si="1"/>
        <v/>
      </c>
      <c r="I1707" s="26" t="str">
        <f t="shared" si="2"/>
        <v/>
      </c>
      <c r="J1707" s="86">
        <f t="shared" ca="1" si="3"/>
        <v>44822</v>
      </c>
      <c r="R1707" s="26"/>
    </row>
    <row r="1708" spans="1:18" ht="15.75" customHeight="1">
      <c r="A1708" s="26">
        <f ca="1">IFERROR(__xludf.DUMMYFUNCTION("""COMPUTED_VALUE"""),16118)</f>
        <v>16118</v>
      </c>
      <c r="B1708" s="86">
        <f ca="1">IFERROR(__xludf.DUMMYFUNCTION("""COMPUTED_VALUE"""),44822.5571412037)</f>
        <v>44822.557141203702</v>
      </c>
      <c r="C1708" s="1" t="str">
        <f ca="1">IFERROR(__xludf.DUMMYFUNCTION("""COMPUTED_VALUE"""),"completed")</f>
        <v>completed</v>
      </c>
      <c r="D1708" s="26">
        <f ca="1">IFERROR(__xludf.DUMMYFUNCTION("""COMPUTED_VALUE"""),28)</f>
        <v>28</v>
      </c>
      <c r="E1708" s="1"/>
      <c r="F1708" s="87" t="str">
        <f t="shared" ca="1" si="0"/>
        <v>2022</v>
      </c>
      <c r="H1708" s="26" t="str">
        <f t="shared" si="1"/>
        <v/>
      </c>
      <c r="I1708" s="26" t="str">
        <f t="shared" si="2"/>
        <v/>
      </c>
      <c r="J1708" s="86">
        <f t="shared" ca="1" si="3"/>
        <v>44822</v>
      </c>
      <c r="R1708" s="26"/>
    </row>
    <row r="1709" spans="1:18" ht="15.75" customHeight="1">
      <c r="A1709" s="26">
        <f ca="1">IFERROR(__xludf.DUMMYFUNCTION("""COMPUTED_VALUE"""),16117)</f>
        <v>16117</v>
      </c>
      <c r="B1709" s="86">
        <f ca="1">IFERROR(__xludf.DUMMYFUNCTION("""COMPUTED_VALUE"""),44822.5566550925)</f>
        <v>44822.5566550925</v>
      </c>
      <c r="C1709" s="1" t="str">
        <f ca="1">IFERROR(__xludf.DUMMYFUNCTION("""COMPUTED_VALUE"""),"completed")</f>
        <v>completed</v>
      </c>
      <c r="D1709" s="26">
        <f ca="1">IFERROR(__xludf.DUMMYFUNCTION("""COMPUTED_VALUE"""),28)</f>
        <v>28</v>
      </c>
      <c r="E1709" s="1"/>
      <c r="F1709" s="87" t="str">
        <f t="shared" ca="1" si="0"/>
        <v>2022</v>
      </c>
      <c r="H1709" s="26" t="str">
        <f t="shared" si="1"/>
        <v/>
      </c>
      <c r="I1709" s="26" t="str">
        <f t="shared" si="2"/>
        <v/>
      </c>
      <c r="J1709" s="86">
        <f t="shared" ca="1" si="3"/>
        <v>44822</v>
      </c>
      <c r="R1709" s="26"/>
    </row>
    <row r="1710" spans="1:18" ht="15.75" customHeight="1">
      <c r="A1710" s="26">
        <f ca="1">IFERROR(__xludf.DUMMYFUNCTION("""COMPUTED_VALUE"""),16116)</f>
        <v>16116</v>
      </c>
      <c r="B1710" s="86">
        <f ca="1">IFERROR(__xludf.DUMMYFUNCTION("""COMPUTED_VALUE"""),44822.5561342592)</f>
        <v>44822.556134259197</v>
      </c>
      <c r="C1710" s="1" t="str">
        <f ca="1">IFERROR(__xludf.DUMMYFUNCTION("""COMPUTED_VALUE"""),"completed")</f>
        <v>completed</v>
      </c>
      <c r="D1710" s="26">
        <f ca="1">IFERROR(__xludf.DUMMYFUNCTION("""COMPUTED_VALUE"""),25)</f>
        <v>25</v>
      </c>
      <c r="E1710" s="1"/>
      <c r="F1710" s="87" t="str">
        <f t="shared" ca="1" si="0"/>
        <v>2022</v>
      </c>
      <c r="H1710" s="26" t="str">
        <f t="shared" si="1"/>
        <v/>
      </c>
      <c r="I1710" s="26" t="str">
        <f t="shared" si="2"/>
        <v/>
      </c>
      <c r="J1710" s="86">
        <f t="shared" ca="1" si="3"/>
        <v>44822</v>
      </c>
      <c r="R1710" s="26"/>
    </row>
    <row r="1711" spans="1:18" ht="15.75" customHeight="1">
      <c r="A1711" s="26">
        <f ca="1">IFERROR(__xludf.DUMMYFUNCTION("""COMPUTED_VALUE"""),16115)</f>
        <v>16115</v>
      </c>
      <c r="B1711" s="86">
        <f ca="1">IFERROR(__xludf.DUMMYFUNCTION("""COMPUTED_VALUE"""),44822.5544444444)</f>
        <v>44822.554444444402</v>
      </c>
      <c r="C1711" s="1" t="str">
        <f ca="1">IFERROR(__xludf.DUMMYFUNCTION("""COMPUTED_VALUE"""),"completed")</f>
        <v>completed</v>
      </c>
      <c r="D1711" s="26">
        <f ca="1">IFERROR(__xludf.DUMMYFUNCTION("""COMPUTED_VALUE"""),15)</f>
        <v>15</v>
      </c>
      <c r="E1711" s="1"/>
      <c r="F1711" s="87" t="str">
        <f t="shared" ca="1" si="0"/>
        <v>2022</v>
      </c>
      <c r="H1711" s="26" t="str">
        <f t="shared" si="1"/>
        <v/>
      </c>
      <c r="I1711" s="26" t="str">
        <f t="shared" si="2"/>
        <v/>
      </c>
      <c r="J1711" s="86">
        <f t="shared" ca="1" si="3"/>
        <v>44822</v>
      </c>
      <c r="R1711" s="26"/>
    </row>
    <row r="1712" spans="1:18" ht="15.75" customHeight="1">
      <c r="A1712" s="26">
        <f ca="1">IFERROR(__xludf.DUMMYFUNCTION("""COMPUTED_VALUE"""),16114)</f>
        <v>16114</v>
      </c>
      <c r="B1712" s="86">
        <f ca="1">IFERROR(__xludf.DUMMYFUNCTION("""COMPUTED_VALUE"""),44822.5527083333)</f>
        <v>44822.5527083333</v>
      </c>
      <c r="C1712" s="1" t="str">
        <f ca="1">IFERROR(__xludf.DUMMYFUNCTION("""COMPUTED_VALUE"""),"completed")</f>
        <v>completed</v>
      </c>
      <c r="D1712" s="26">
        <f ca="1">IFERROR(__xludf.DUMMYFUNCTION("""COMPUTED_VALUE"""),25)</f>
        <v>25</v>
      </c>
      <c r="E1712" s="1"/>
      <c r="F1712" s="87" t="str">
        <f t="shared" ca="1" si="0"/>
        <v>2022</v>
      </c>
      <c r="H1712" s="26" t="str">
        <f t="shared" si="1"/>
        <v/>
      </c>
      <c r="I1712" s="26" t="str">
        <f t="shared" si="2"/>
        <v/>
      </c>
      <c r="J1712" s="86">
        <f t="shared" ca="1" si="3"/>
        <v>44822</v>
      </c>
      <c r="R1712" s="26"/>
    </row>
    <row r="1713" spans="1:18" ht="15.75" customHeight="1">
      <c r="A1713" s="26">
        <f ca="1">IFERROR(__xludf.DUMMYFUNCTION("""COMPUTED_VALUE"""),16113)</f>
        <v>16113</v>
      </c>
      <c r="B1713" s="86">
        <f ca="1">IFERROR(__xludf.DUMMYFUNCTION("""COMPUTED_VALUE"""),44822.5491782407)</f>
        <v>44822.549178240697</v>
      </c>
      <c r="C1713" s="1" t="str">
        <f ca="1">IFERROR(__xludf.DUMMYFUNCTION("""COMPUTED_VALUE"""),"completed")</f>
        <v>completed</v>
      </c>
      <c r="D1713" s="26">
        <f ca="1">IFERROR(__xludf.DUMMYFUNCTION("""COMPUTED_VALUE"""),60)</f>
        <v>60</v>
      </c>
      <c r="E1713" s="1"/>
      <c r="F1713" s="87" t="str">
        <f t="shared" ca="1" si="0"/>
        <v>2022</v>
      </c>
      <c r="H1713" s="26" t="str">
        <f t="shared" si="1"/>
        <v/>
      </c>
      <c r="I1713" s="26" t="str">
        <f t="shared" si="2"/>
        <v/>
      </c>
      <c r="J1713" s="86">
        <f t="shared" ca="1" si="3"/>
        <v>44822</v>
      </c>
      <c r="R1713" s="26"/>
    </row>
    <row r="1714" spans="1:18" ht="15.75" customHeight="1">
      <c r="A1714" s="26">
        <f ca="1">IFERROR(__xludf.DUMMYFUNCTION("""COMPUTED_VALUE"""),16112)</f>
        <v>16112</v>
      </c>
      <c r="B1714" s="86">
        <f ca="1">IFERROR(__xludf.DUMMYFUNCTION("""COMPUTED_VALUE"""),44822.5479629629)</f>
        <v>44822.547962962897</v>
      </c>
      <c r="C1714" s="1" t="str">
        <f ca="1">IFERROR(__xludf.DUMMYFUNCTION("""COMPUTED_VALUE"""),"completed")</f>
        <v>completed</v>
      </c>
      <c r="D1714" s="26">
        <f ca="1">IFERROR(__xludf.DUMMYFUNCTION("""COMPUTED_VALUE"""),55)</f>
        <v>55</v>
      </c>
      <c r="E1714" s="1"/>
      <c r="F1714" s="87" t="str">
        <f t="shared" ca="1" si="0"/>
        <v>2022</v>
      </c>
      <c r="H1714" s="26" t="str">
        <f t="shared" si="1"/>
        <v/>
      </c>
      <c r="I1714" s="26" t="str">
        <f t="shared" si="2"/>
        <v/>
      </c>
      <c r="J1714" s="86">
        <f t="shared" ca="1" si="3"/>
        <v>44822</v>
      </c>
      <c r="R1714" s="26"/>
    </row>
    <row r="1715" spans="1:18" ht="15.75" customHeight="1">
      <c r="A1715" s="26">
        <f ca="1">IFERROR(__xludf.DUMMYFUNCTION("""COMPUTED_VALUE"""),16111)</f>
        <v>16111</v>
      </c>
      <c r="B1715" s="86">
        <f ca="1">IFERROR(__xludf.DUMMYFUNCTION("""COMPUTED_VALUE"""),44822.5471875)</f>
        <v>44822.5471875</v>
      </c>
      <c r="C1715" s="1" t="str">
        <f ca="1">IFERROR(__xludf.DUMMYFUNCTION("""COMPUTED_VALUE"""),"completed")</f>
        <v>completed</v>
      </c>
      <c r="D1715" s="26">
        <f ca="1">IFERROR(__xludf.DUMMYFUNCTION("""COMPUTED_VALUE"""),59)</f>
        <v>59</v>
      </c>
      <c r="E1715" s="1"/>
      <c r="F1715" s="87" t="str">
        <f t="shared" ca="1" si="0"/>
        <v>2022</v>
      </c>
      <c r="H1715" s="26" t="str">
        <f t="shared" si="1"/>
        <v/>
      </c>
      <c r="I1715" s="26" t="str">
        <f t="shared" si="2"/>
        <v/>
      </c>
      <c r="J1715" s="86">
        <f t="shared" ca="1" si="3"/>
        <v>44822</v>
      </c>
      <c r="R1715" s="26"/>
    </row>
    <row r="1716" spans="1:18" ht="15.75" customHeight="1">
      <c r="A1716" s="26">
        <f ca="1">IFERROR(__xludf.DUMMYFUNCTION("""COMPUTED_VALUE"""),16110)</f>
        <v>16110</v>
      </c>
      <c r="B1716" s="86">
        <f ca="1">IFERROR(__xludf.DUMMYFUNCTION("""COMPUTED_VALUE"""),44822.5453472222)</f>
        <v>44822.5453472222</v>
      </c>
      <c r="C1716" s="1" t="str">
        <f ca="1">IFERROR(__xludf.DUMMYFUNCTION("""COMPUTED_VALUE"""),"completed")</f>
        <v>completed</v>
      </c>
      <c r="D1716" s="26">
        <f ca="1">IFERROR(__xludf.DUMMYFUNCTION("""COMPUTED_VALUE"""),65)</f>
        <v>65</v>
      </c>
      <c r="E1716" s="1"/>
      <c r="F1716" s="87" t="str">
        <f t="shared" ca="1" si="0"/>
        <v>2022</v>
      </c>
      <c r="H1716" s="26" t="str">
        <f t="shared" si="1"/>
        <v/>
      </c>
      <c r="I1716" s="26" t="str">
        <f t="shared" si="2"/>
        <v/>
      </c>
      <c r="J1716" s="86">
        <f t="shared" ca="1" si="3"/>
        <v>44822</v>
      </c>
      <c r="R1716" s="26"/>
    </row>
    <row r="1717" spans="1:18" ht="15.75" customHeight="1">
      <c r="A1717" s="26">
        <f ca="1">IFERROR(__xludf.DUMMYFUNCTION("""COMPUTED_VALUE"""),16109)</f>
        <v>16109</v>
      </c>
      <c r="B1717" s="86">
        <f ca="1">IFERROR(__xludf.DUMMYFUNCTION("""COMPUTED_VALUE"""),44822.5439699074)</f>
        <v>44822.543969907398</v>
      </c>
      <c r="C1717" s="1" t="str">
        <f ca="1">IFERROR(__xludf.DUMMYFUNCTION("""COMPUTED_VALUE"""),"completed")</f>
        <v>completed</v>
      </c>
      <c r="D1717" s="26">
        <f ca="1">IFERROR(__xludf.DUMMYFUNCTION("""COMPUTED_VALUE"""),25)</f>
        <v>25</v>
      </c>
      <c r="E1717" s="1"/>
      <c r="F1717" s="87" t="str">
        <f t="shared" ca="1" si="0"/>
        <v>2022</v>
      </c>
      <c r="H1717" s="26" t="str">
        <f t="shared" si="1"/>
        <v/>
      </c>
      <c r="I1717" s="26" t="str">
        <f t="shared" si="2"/>
        <v/>
      </c>
      <c r="J1717" s="86">
        <f t="shared" ca="1" si="3"/>
        <v>44822</v>
      </c>
      <c r="R1717" s="26"/>
    </row>
    <row r="1718" spans="1:18" ht="15.75" customHeight="1">
      <c r="A1718" s="26">
        <f ca="1">IFERROR(__xludf.DUMMYFUNCTION("""COMPUTED_VALUE"""),16108)</f>
        <v>16108</v>
      </c>
      <c r="B1718" s="86">
        <f ca="1">IFERROR(__xludf.DUMMYFUNCTION("""COMPUTED_VALUE"""),44822.5425231481)</f>
        <v>44822.542523148099</v>
      </c>
      <c r="C1718" s="1" t="str">
        <f ca="1">IFERROR(__xludf.DUMMYFUNCTION("""COMPUTED_VALUE"""),"completed")</f>
        <v>completed</v>
      </c>
      <c r="D1718" s="26">
        <f ca="1">IFERROR(__xludf.DUMMYFUNCTION("""COMPUTED_VALUE"""),25)</f>
        <v>25</v>
      </c>
      <c r="E1718" s="1"/>
      <c r="F1718" s="87" t="str">
        <f t="shared" ca="1" si="0"/>
        <v>2022</v>
      </c>
      <c r="H1718" s="26" t="str">
        <f t="shared" si="1"/>
        <v/>
      </c>
      <c r="I1718" s="26" t="str">
        <f t="shared" si="2"/>
        <v/>
      </c>
      <c r="J1718" s="86">
        <f t="shared" ca="1" si="3"/>
        <v>44822</v>
      </c>
      <c r="R1718" s="26"/>
    </row>
    <row r="1719" spans="1:18" ht="15.75" customHeight="1">
      <c r="A1719" s="26">
        <f ca="1">IFERROR(__xludf.DUMMYFUNCTION("""COMPUTED_VALUE"""),16107)</f>
        <v>16107</v>
      </c>
      <c r="B1719" s="86">
        <f ca="1">IFERROR(__xludf.DUMMYFUNCTION("""COMPUTED_VALUE"""),44822.5409259259)</f>
        <v>44822.540925925903</v>
      </c>
      <c r="C1719" s="1" t="str">
        <f ca="1">IFERROR(__xludf.DUMMYFUNCTION("""COMPUTED_VALUE"""),"completed")</f>
        <v>completed</v>
      </c>
      <c r="D1719" s="26">
        <f ca="1">IFERROR(__xludf.DUMMYFUNCTION("""COMPUTED_VALUE"""),53)</f>
        <v>53</v>
      </c>
      <c r="E1719" s="1"/>
      <c r="F1719" s="87" t="str">
        <f t="shared" ca="1" si="0"/>
        <v>2022</v>
      </c>
      <c r="H1719" s="26" t="str">
        <f t="shared" si="1"/>
        <v/>
      </c>
      <c r="I1719" s="26" t="str">
        <f t="shared" si="2"/>
        <v/>
      </c>
      <c r="J1719" s="86">
        <f t="shared" ca="1" si="3"/>
        <v>44822</v>
      </c>
      <c r="R1719" s="26"/>
    </row>
    <row r="1720" spans="1:18" ht="15.75" customHeight="1">
      <c r="A1720" s="26">
        <f ca="1">IFERROR(__xludf.DUMMYFUNCTION("""COMPUTED_VALUE"""),16106)</f>
        <v>16106</v>
      </c>
      <c r="B1720" s="86">
        <f ca="1">IFERROR(__xludf.DUMMYFUNCTION("""COMPUTED_VALUE"""),44822.5392361111)</f>
        <v>44822.539236111101</v>
      </c>
      <c r="C1720" s="1" t="str">
        <f ca="1">IFERROR(__xludf.DUMMYFUNCTION("""COMPUTED_VALUE"""),"completed")</f>
        <v>completed</v>
      </c>
      <c r="D1720" s="26">
        <f ca="1">IFERROR(__xludf.DUMMYFUNCTION("""COMPUTED_VALUE"""),15)</f>
        <v>15</v>
      </c>
      <c r="E1720" s="1"/>
      <c r="F1720" s="87" t="str">
        <f t="shared" ca="1" si="0"/>
        <v>2022</v>
      </c>
      <c r="H1720" s="26" t="str">
        <f t="shared" si="1"/>
        <v/>
      </c>
      <c r="I1720" s="26" t="str">
        <f t="shared" si="2"/>
        <v/>
      </c>
      <c r="J1720" s="86">
        <f t="shared" ca="1" si="3"/>
        <v>44822</v>
      </c>
      <c r="R1720" s="26"/>
    </row>
    <row r="1721" spans="1:18" ht="15.75" customHeight="1">
      <c r="A1721" s="26">
        <f ca="1">IFERROR(__xludf.DUMMYFUNCTION("""COMPUTED_VALUE"""),16105)</f>
        <v>16105</v>
      </c>
      <c r="B1721" s="86">
        <f ca="1">IFERROR(__xludf.DUMMYFUNCTION("""COMPUTED_VALUE"""),44822.5383680555)</f>
        <v>44822.538368055502</v>
      </c>
      <c r="C1721" s="1" t="str">
        <f ca="1">IFERROR(__xludf.DUMMYFUNCTION("""COMPUTED_VALUE"""),"completed")</f>
        <v>completed</v>
      </c>
      <c r="D1721" s="26">
        <f ca="1">IFERROR(__xludf.DUMMYFUNCTION("""COMPUTED_VALUE"""),18)</f>
        <v>18</v>
      </c>
      <c r="E1721" s="1"/>
      <c r="F1721" s="87" t="str">
        <f t="shared" ca="1" si="0"/>
        <v>2022</v>
      </c>
      <c r="H1721" s="26" t="str">
        <f t="shared" si="1"/>
        <v/>
      </c>
      <c r="I1721" s="26" t="str">
        <f t="shared" si="2"/>
        <v/>
      </c>
      <c r="J1721" s="86">
        <f t="shared" ca="1" si="3"/>
        <v>44822</v>
      </c>
      <c r="R1721" s="26"/>
    </row>
    <row r="1722" spans="1:18" ht="15.75" customHeight="1">
      <c r="A1722" s="26">
        <f ca="1">IFERROR(__xludf.DUMMYFUNCTION("""COMPUTED_VALUE"""),16104)</f>
        <v>16104</v>
      </c>
      <c r="B1722" s="86">
        <f ca="1">IFERROR(__xludf.DUMMYFUNCTION("""COMPUTED_VALUE"""),44822.5379398148)</f>
        <v>44822.5379398148</v>
      </c>
      <c r="C1722" s="1" t="str">
        <f ca="1">IFERROR(__xludf.DUMMYFUNCTION("""COMPUTED_VALUE"""),"completed")</f>
        <v>completed</v>
      </c>
      <c r="D1722" s="26">
        <f ca="1">IFERROR(__xludf.DUMMYFUNCTION("""COMPUTED_VALUE"""),25)</f>
        <v>25</v>
      </c>
      <c r="E1722" s="1"/>
      <c r="F1722" s="87" t="str">
        <f t="shared" ca="1" si="0"/>
        <v>2022</v>
      </c>
      <c r="H1722" s="26" t="str">
        <f t="shared" si="1"/>
        <v/>
      </c>
      <c r="I1722" s="26" t="str">
        <f t="shared" si="2"/>
        <v/>
      </c>
      <c r="J1722" s="86">
        <f t="shared" ca="1" si="3"/>
        <v>44822</v>
      </c>
      <c r="R1722" s="26"/>
    </row>
    <row r="1723" spans="1:18" ht="15.75" customHeight="1">
      <c r="A1723" s="26">
        <f ca="1">IFERROR(__xludf.DUMMYFUNCTION("""COMPUTED_VALUE"""),16103)</f>
        <v>16103</v>
      </c>
      <c r="B1723" s="86">
        <f ca="1">IFERROR(__xludf.DUMMYFUNCTION("""COMPUTED_VALUE"""),44822.5366319444)</f>
        <v>44822.5366319444</v>
      </c>
      <c r="C1723" s="1" t="str">
        <f ca="1">IFERROR(__xludf.DUMMYFUNCTION("""COMPUTED_VALUE"""),"completed")</f>
        <v>completed</v>
      </c>
      <c r="D1723" s="26">
        <f ca="1">IFERROR(__xludf.DUMMYFUNCTION("""COMPUTED_VALUE"""),35)</f>
        <v>35</v>
      </c>
      <c r="E1723" s="1"/>
      <c r="F1723" s="87" t="str">
        <f t="shared" ca="1" si="0"/>
        <v>2022</v>
      </c>
      <c r="H1723" s="26" t="str">
        <f t="shared" si="1"/>
        <v/>
      </c>
      <c r="I1723" s="26" t="str">
        <f t="shared" si="2"/>
        <v/>
      </c>
      <c r="J1723" s="86">
        <f t="shared" ca="1" si="3"/>
        <v>44822</v>
      </c>
      <c r="R1723" s="26"/>
    </row>
    <row r="1724" spans="1:18" ht="15.75" customHeight="1">
      <c r="A1724" s="26">
        <f ca="1">IFERROR(__xludf.DUMMYFUNCTION("""COMPUTED_VALUE"""),16102)</f>
        <v>16102</v>
      </c>
      <c r="B1724" s="86">
        <f ca="1">IFERROR(__xludf.DUMMYFUNCTION("""COMPUTED_VALUE"""),44822.5365393518)</f>
        <v>44822.5365393518</v>
      </c>
      <c r="C1724" s="1" t="str">
        <f ca="1">IFERROR(__xludf.DUMMYFUNCTION("""COMPUTED_VALUE"""),"completed")</f>
        <v>completed</v>
      </c>
      <c r="D1724" s="26">
        <f ca="1">IFERROR(__xludf.DUMMYFUNCTION("""COMPUTED_VALUE"""),75)</f>
        <v>75</v>
      </c>
      <c r="E1724" s="1"/>
      <c r="F1724" s="87" t="str">
        <f t="shared" ca="1" si="0"/>
        <v>2022</v>
      </c>
      <c r="H1724" s="26" t="str">
        <f t="shared" si="1"/>
        <v/>
      </c>
      <c r="I1724" s="26" t="str">
        <f t="shared" si="2"/>
        <v/>
      </c>
      <c r="J1724" s="86">
        <f t="shared" ca="1" si="3"/>
        <v>44822</v>
      </c>
      <c r="R1724" s="26"/>
    </row>
    <row r="1725" spans="1:18" ht="15.75" customHeight="1">
      <c r="A1725" s="26">
        <f ca="1">IFERROR(__xludf.DUMMYFUNCTION("""COMPUTED_VALUE"""),16101)</f>
        <v>16101</v>
      </c>
      <c r="B1725" s="86">
        <f ca="1">IFERROR(__xludf.DUMMYFUNCTION("""COMPUTED_VALUE"""),44822.532511574)</f>
        <v>44822.532511573998</v>
      </c>
      <c r="C1725" s="1" t="str">
        <f ca="1">IFERROR(__xludf.DUMMYFUNCTION("""COMPUTED_VALUE"""),"completed")</f>
        <v>completed</v>
      </c>
      <c r="D1725" s="26">
        <f ca="1">IFERROR(__xludf.DUMMYFUNCTION("""COMPUTED_VALUE"""),25)</f>
        <v>25</v>
      </c>
      <c r="E1725" s="1"/>
      <c r="F1725" s="87" t="str">
        <f t="shared" ca="1" si="0"/>
        <v>2022</v>
      </c>
      <c r="H1725" s="26" t="str">
        <f t="shared" si="1"/>
        <v/>
      </c>
      <c r="I1725" s="26" t="str">
        <f t="shared" si="2"/>
        <v/>
      </c>
      <c r="J1725" s="86">
        <f t="shared" ca="1" si="3"/>
        <v>44822</v>
      </c>
      <c r="R1725" s="26"/>
    </row>
    <row r="1726" spans="1:18" ht="15.75" customHeight="1">
      <c r="A1726" s="26">
        <f ca="1">IFERROR(__xludf.DUMMYFUNCTION("""COMPUTED_VALUE"""),16100)</f>
        <v>16100</v>
      </c>
      <c r="B1726" s="86">
        <f ca="1">IFERROR(__xludf.DUMMYFUNCTION("""COMPUTED_VALUE"""),44822.5316319444)</f>
        <v>44822.531631944403</v>
      </c>
      <c r="C1726" s="1" t="str">
        <f ca="1">IFERROR(__xludf.DUMMYFUNCTION("""COMPUTED_VALUE"""),"completed")</f>
        <v>completed</v>
      </c>
      <c r="D1726" s="26">
        <f ca="1">IFERROR(__xludf.DUMMYFUNCTION("""COMPUTED_VALUE"""),25)</f>
        <v>25</v>
      </c>
      <c r="E1726" s="1"/>
      <c r="F1726" s="87" t="str">
        <f t="shared" ca="1" si="0"/>
        <v>2022</v>
      </c>
      <c r="H1726" s="26" t="str">
        <f t="shared" si="1"/>
        <v/>
      </c>
      <c r="I1726" s="26" t="str">
        <f t="shared" si="2"/>
        <v/>
      </c>
      <c r="J1726" s="86">
        <f t="shared" ca="1" si="3"/>
        <v>44822</v>
      </c>
      <c r="R1726" s="26"/>
    </row>
    <row r="1727" spans="1:18" ht="15.75" customHeight="1">
      <c r="A1727" s="26">
        <f ca="1">IFERROR(__xludf.DUMMYFUNCTION("""COMPUTED_VALUE"""),16099)</f>
        <v>16099</v>
      </c>
      <c r="B1727" s="86">
        <f ca="1">IFERROR(__xludf.DUMMYFUNCTION("""COMPUTED_VALUE"""),44822.5308796296)</f>
        <v>44822.530879629601</v>
      </c>
      <c r="C1727" s="1" t="str">
        <f ca="1">IFERROR(__xludf.DUMMYFUNCTION("""COMPUTED_VALUE"""),"completed")</f>
        <v>completed</v>
      </c>
      <c r="D1727" s="26">
        <f ca="1">IFERROR(__xludf.DUMMYFUNCTION("""COMPUTED_VALUE"""),20)</f>
        <v>20</v>
      </c>
      <c r="E1727" s="1"/>
      <c r="F1727" s="87" t="str">
        <f t="shared" ca="1" si="0"/>
        <v>2022</v>
      </c>
      <c r="H1727" s="26" t="str">
        <f t="shared" si="1"/>
        <v/>
      </c>
      <c r="I1727" s="26" t="str">
        <f t="shared" si="2"/>
        <v/>
      </c>
      <c r="J1727" s="86">
        <f t="shared" ca="1" si="3"/>
        <v>44822</v>
      </c>
      <c r="R1727" s="26"/>
    </row>
    <row r="1728" spans="1:18" ht="15.75" customHeight="1">
      <c r="A1728" s="26">
        <f ca="1">IFERROR(__xludf.DUMMYFUNCTION("""COMPUTED_VALUE"""),16098)</f>
        <v>16098</v>
      </c>
      <c r="B1728" s="86">
        <f ca="1">IFERROR(__xludf.DUMMYFUNCTION("""COMPUTED_VALUE"""),44822.5286226851)</f>
        <v>44822.528622685102</v>
      </c>
      <c r="C1728" s="1" t="str">
        <f ca="1">IFERROR(__xludf.DUMMYFUNCTION("""COMPUTED_VALUE"""),"completed")</f>
        <v>completed</v>
      </c>
      <c r="D1728" s="26">
        <f ca="1">IFERROR(__xludf.DUMMYFUNCTION("""COMPUTED_VALUE"""),25)</f>
        <v>25</v>
      </c>
      <c r="E1728" s="1"/>
      <c r="F1728" s="87" t="str">
        <f t="shared" ca="1" si="0"/>
        <v>2022</v>
      </c>
      <c r="H1728" s="26" t="str">
        <f t="shared" si="1"/>
        <v/>
      </c>
      <c r="I1728" s="26" t="str">
        <f t="shared" si="2"/>
        <v/>
      </c>
      <c r="J1728" s="86">
        <f t="shared" ca="1" si="3"/>
        <v>44822</v>
      </c>
      <c r="R1728" s="26"/>
    </row>
    <row r="1729" spans="1:18" ht="15.75" customHeight="1">
      <c r="A1729" s="26">
        <f ca="1">IFERROR(__xludf.DUMMYFUNCTION("""COMPUTED_VALUE"""),16097)</f>
        <v>16097</v>
      </c>
      <c r="B1729" s="86">
        <f ca="1">IFERROR(__xludf.DUMMYFUNCTION("""COMPUTED_VALUE"""),44822.5281481481)</f>
        <v>44822.5281481481</v>
      </c>
      <c r="C1729" s="1" t="str">
        <f ca="1">IFERROR(__xludf.DUMMYFUNCTION("""COMPUTED_VALUE"""),"completed")</f>
        <v>completed</v>
      </c>
      <c r="D1729" s="26">
        <f ca="1">IFERROR(__xludf.DUMMYFUNCTION("""COMPUTED_VALUE"""),15)</f>
        <v>15</v>
      </c>
      <c r="E1729" s="1"/>
      <c r="F1729" s="87" t="str">
        <f t="shared" ca="1" si="0"/>
        <v>2022</v>
      </c>
      <c r="H1729" s="26" t="str">
        <f t="shared" si="1"/>
        <v/>
      </c>
      <c r="I1729" s="26" t="str">
        <f t="shared" si="2"/>
        <v/>
      </c>
      <c r="J1729" s="86">
        <f t="shared" ca="1" si="3"/>
        <v>44822</v>
      </c>
      <c r="R1729" s="26"/>
    </row>
    <row r="1730" spans="1:18" ht="15.75" customHeight="1">
      <c r="A1730" s="26">
        <f ca="1">IFERROR(__xludf.DUMMYFUNCTION("""COMPUTED_VALUE"""),16096)</f>
        <v>16096</v>
      </c>
      <c r="B1730" s="86">
        <f ca="1">IFERROR(__xludf.DUMMYFUNCTION("""COMPUTED_VALUE"""),44822.5274652777)</f>
        <v>44822.527465277701</v>
      </c>
      <c r="C1730" s="1" t="str">
        <f ca="1">IFERROR(__xludf.DUMMYFUNCTION("""COMPUTED_VALUE"""),"completed")</f>
        <v>completed</v>
      </c>
      <c r="D1730" s="26">
        <f ca="1">IFERROR(__xludf.DUMMYFUNCTION("""COMPUTED_VALUE"""),25)</f>
        <v>25</v>
      </c>
      <c r="E1730" s="1"/>
      <c r="F1730" s="87" t="str">
        <f t="shared" ca="1" si="0"/>
        <v>2022</v>
      </c>
      <c r="H1730" s="26" t="str">
        <f t="shared" si="1"/>
        <v/>
      </c>
      <c r="I1730" s="26" t="str">
        <f t="shared" si="2"/>
        <v/>
      </c>
      <c r="J1730" s="86">
        <f t="shared" ca="1" si="3"/>
        <v>44822</v>
      </c>
      <c r="R1730" s="26"/>
    </row>
    <row r="1731" spans="1:18" ht="15.75" customHeight="1">
      <c r="A1731" s="26">
        <f ca="1">IFERROR(__xludf.DUMMYFUNCTION("""COMPUTED_VALUE"""),16095)</f>
        <v>16095</v>
      </c>
      <c r="B1731" s="86">
        <f ca="1">IFERROR(__xludf.DUMMYFUNCTION("""COMPUTED_VALUE"""),44822.5274537037)</f>
        <v>44822.527453703697</v>
      </c>
      <c r="C1731" s="1" t="str">
        <f ca="1">IFERROR(__xludf.DUMMYFUNCTION("""COMPUTED_VALUE"""),"completed")</f>
        <v>completed</v>
      </c>
      <c r="D1731" s="26">
        <f ca="1">IFERROR(__xludf.DUMMYFUNCTION("""COMPUTED_VALUE"""),60.5)</f>
        <v>60.5</v>
      </c>
      <c r="E1731" s="1"/>
      <c r="F1731" s="87" t="str">
        <f t="shared" ca="1" si="0"/>
        <v>2022</v>
      </c>
      <c r="H1731" s="26" t="str">
        <f t="shared" si="1"/>
        <v/>
      </c>
      <c r="I1731" s="26" t="str">
        <f t="shared" si="2"/>
        <v/>
      </c>
      <c r="J1731" s="86">
        <f t="shared" ca="1" si="3"/>
        <v>44822</v>
      </c>
      <c r="R1731" s="26"/>
    </row>
    <row r="1732" spans="1:18" ht="15.75" customHeight="1">
      <c r="A1732" s="26">
        <f ca="1">IFERROR(__xludf.DUMMYFUNCTION("""COMPUTED_VALUE"""),16094)</f>
        <v>16094</v>
      </c>
      <c r="B1732" s="86">
        <f ca="1">IFERROR(__xludf.DUMMYFUNCTION("""COMPUTED_VALUE"""),44822.5271759259)</f>
        <v>44822.527175925898</v>
      </c>
      <c r="C1732" s="1" t="str">
        <f ca="1">IFERROR(__xludf.DUMMYFUNCTION("""COMPUTED_VALUE"""),"completed")</f>
        <v>completed</v>
      </c>
      <c r="D1732" s="26">
        <f ca="1">IFERROR(__xludf.DUMMYFUNCTION("""COMPUTED_VALUE"""),30)</f>
        <v>30</v>
      </c>
      <c r="E1732" s="1"/>
      <c r="F1732" s="87" t="str">
        <f t="shared" ca="1" si="0"/>
        <v>2022</v>
      </c>
      <c r="H1732" s="26" t="str">
        <f t="shared" si="1"/>
        <v/>
      </c>
      <c r="I1732" s="26" t="str">
        <f t="shared" si="2"/>
        <v/>
      </c>
      <c r="J1732" s="86">
        <f t="shared" ca="1" si="3"/>
        <v>44822</v>
      </c>
      <c r="R1732" s="26"/>
    </row>
    <row r="1733" spans="1:18" ht="15.75" customHeight="1">
      <c r="A1733" s="26">
        <f ca="1">IFERROR(__xludf.DUMMYFUNCTION("""COMPUTED_VALUE"""),16093)</f>
        <v>16093</v>
      </c>
      <c r="B1733" s="86">
        <f ca="1">IFERROR(__xludf.DUMMYFUNCTION("""COMPUTED_VALUE"""),44822.5249189814)</f>
        <v>44822.524918981399</v>
      </c>
      <c r="C1733" s="1" t="str">
        <f ca="1">IFERROR(__xludf.DUMMYFUNCTION("""COMPUTED_VALUE"""),"completed")</f>
        <v>completed</v>
      </c>
      <c r="D1733" s="26">
        <f ca="1">IFERROR(__xludf.DUMMYFUNCTION("""COMPUTED_VALUE"""),35)</f>
        <v>35</v>
      </c>
      <c r="E1733" s="1"/>
      <c r="F1733" s="87" t="str">
        <f t="shared" ca="1" si="0"/>
        <v>2022</v>
      </c>
      <c r="H1733" s="26" t="str">
        <f t="shared" si="1"/>
        <v/>
      </c>
      <c r="I1733" s="26" t="str">
        <f t="shared" si="2"/>
        <v/>
      </c>
      <c r="J1733" s="86">
        <f t="shared" ca="1" si="3"/>
        <v>44822</v>
      </c>
      <c r="R1733" s="26"/>
    </row>
    <row r="1734" spans="1:18" ht="15.75" customHeight="1">
      <c r="A1734" s="26">
        <f ca="1">IFERROR(__xludf.DUMMYFUNCTION("""COMPUTED_VALUE"""),16092)</f>
        <v>16092</v>
      </c>
      <c r="B1734" s="86">
        <f ca="1">IFERROR(__xludf.DUMMYFUNCTION("""COMPUTED_VALUE"""),44822.5245254629)</f>
        <v>44822.524525462897</v>
      </c>
      <c r="C1734" s="1" t="str">
        <f ca="1">IFERROR(__xludf.DUMMYFUNCTION("""COMPUTED_VALUE"""),"completed")</f>
        <v>completed</v>
      </c>
      <c r="D1734" s="26">
        <f ca="1">IFERROR(__xludf.DUMMYFUNCTION("""COMPUTED_VALUE"""),55)</f>
        <v>55</v>
      </c>
      <c r="E1734" s="1"/>
      <c r="F1734" s="87" t="str">
        <f t="shared" ca="1" si="0"/>
        <v>2022</v>
      </c>
      <c r="H1734" s="26" t="str">
        <f t="shared" si="1"/>
        <v/>
      </c>
      <c r="I1734" s="26" t="str">
        <f t="shared" si="2"/>
        <v/>
      </c>
      <c r="J1734" s="86">
        <f t="shared" ca="1" si="3"/>
        <v>44822</v>
      </c>
      <c r="R1734" s="26"/>
    </row>
    <row r="1735" spans="1:18" ht="15.75" customHeight="1">
      <c r="A1735" s="26">
        <f ca="1">IFERROR(__xludf.DUMMYFUNCTION("""COMPUTED_VALUE"""),16091)</f>
        <v>16091</v>
      </c>
      <c r="B1735" s="86">
        <f ca="1">IFERROR(__xludf.DUMMYFUNCTION("""COMPUTED_VALUE"""),44822.52375)</f>
        <v>44822.52375</v>
      </c>
      <c r="C1735" s="1" t="str">
        <f ca="1">IFERROR(__xludf.DUMMYFUNCTION("""COMPUTED_VALUE"""),"completed")</f>
        <v>completed</v>
      </c>
      <c r="D1735" s="26">
        <f ca="1">IFERROR(__xludf.DUMMYFUNCTION("""COMPUTED_VALUE"""),55)</f>
        <v>55</v>
      </c>
      <c r="E1735" s="1"/>
      <c r="F1735" s="87" t="str">
        <f t="shared" ca="1" si="0"/>
        <v>2022</v>
      </c>
      <c r="H1735" s="26" t="str">
        <f t="shared" si="1"/>
        <v/>
      </c>
      <c r="I1735" s="26" t="str">
        <f t="shared" si="2"/>
        <v/>
      </c>
      <c r="J1735" s="86">
        <f t="shared" ca="1" si="3"/>
        <v>44822</v>
      </c>
      <c r="R1735" s="26"/>
    </row>
    <row r="1736" spans="1:18" ht="15.75" customHeight="1">
      <c r="A1736" s="26">
        <f ca="1">IFERROR(__xludf.DUMMYFUNCTION("""COMPUTED_VALUE"""),16090)</f>
        <v>16090</v>
      </c>
      <c r="B1736" s="86">
        <f ca="1">IFERROR(__xludf.DUMMYFUNCTION("""COMPUTED_VALUE"""),44822.5210879629)</f>
        <v>44822.521087962901</v>
      </c>
      <c r="C1736" s="1" t="str">
        <f ca="1">IFERROR(__xludf.DUMMYFUNCTION("""COMPUTED_VALUE"""),"completed")</f>
        <v>completed</v>
      </c>
      <c r="D1736" s="26">
        <f ca="1">IFERROR(__xludf.DUMMYFUNCTION("""COMPUTED_VALUE"""),15)</f>
        <v>15</v>
      </c>
      <c r="E1736" s="1"/>
      <c r="F1736" s="87" t="str">
        <f t="shared" ca="1" si="0"/>
        <v>2022</v>
      </c>
      <c r="H1736" s="26" t="str">
        <f t="shared" si="1"/>
        <v/>
      </c>
      <c r="I1736" s="26" t="str">
        <f t="shared" si="2"/>
        <v/>
      </c>
      <c r="J1736" s="86">
        <f t="shared" ca="1" si="3"/>
        <v>44822</v>
      </c>
      <c r="R1736" s="26"/>
    </row>
    <row r="1737" spans="1:18" ht="15.75" customHeight="1">
      <c r="A1737" s="26">
        <f ca="1">IFERROR(__xludf.DUMMYFUNCTION("""COMPUTED_VALUE"""),16089)</f>
        <v>16089</v>
      </c>
      <c r="B1737" s="86">
        <f ca="1">IFERROR(__xludf.DUMMYFUNCTION("""COMPUTED_VALUE"""),44822.5199305555)</f>
        <v>44822.5199305555</v>
      </c>
      <c r="C1737" s="1" t="str">
        <f ca="1">IFERROR(__xludf.DUMMYFUNCTION("""COMPUTED_VALUE"""),"completed")</f>
        <v>completed</v>
      </c>
      <c r="D1737" s="26">
        <f ca="1">IFERROR(__xludf.DUMMYFUNCTION("""COMPUTED_VALUE"""),20)</f>
        <v>20</v>
      </c>
      <c r="E1737" s="1"/>
      <c r="F1737" s="87" t="str">
        <f t="shared" ca="1" si="0"/>
        <v>2022</v>
      </c>
      <c r="H1737" s="26" t="str">
        <f t="shared" si="1"/>
        <v/>
      </c>
      <c r="I1737" s="26" t="str">
        <f t="shared" si="2"/>
        <v/>
      </c>
      <c r="J1737" s="86">
        <f t="shared" ca="1" si="3"/>
        <v>44822</v>
      </c>
      <c r="R1737" s="26"/>
    </row>
    <row r="1738" spans="1:18" ht="15.75" customHeight="1">
      <c r="A1738" s="26">
        <f ca="1">IFERROR(__xludf.DUMMYFUNCTION("""COMPUTED_VALUE"""),16088)</f>
        <v>16088</v>
      </c>
      <c r="B1738" s="86">
        <f ca="1">IFERROR(__xludf.DUMMYFUNCTION("""COMPUTED_VALUE"""),44822.5186111111)</f>
        <v>44822.518611111103</v>
      </c>
      <c r="C1738" s="1" t="str">
        <f ca="1">IFERROR(__xludf.DUMMYFUNCTION("""COMPUTED_VALUE"""),"completed")</f>
        <v>completed</v>
      </c>
      <c r="D1738" s="26">
        <f ca="1">IFERROR(__xludf.DUMMYFUNCTION("""COMPUTED_VALUE"""),22)</f>
        <v>22</v>
      </c>
      <c r="E1738" s="1"/>
      <c r="F1738" s="87" t="str">
        <f t="shared" ca="1" si="0"/>
        <v>2022</v>
      </c>
      <c r="H1738" s="26" t="str">
        <f t="shared" si="1"/>
        <v/>
      </c>
      <c r="I1738" s="26" t="str">
        <f t="shared" si="2"/>
        <v/>
      </c>
      <c r="J1738" s="86">
        <f t="shared" ca="1" si="3"/>
        <v>44822</v>
      </c>
      <c r="R1738" s="26"/>
    </row>
    <row r="1739" spans="1:18" ht="15.75" customHeight="1">
      <c r="A1739" s="26">
        <f ca="1">IFERROR(__xludf.DUMMYFUNCTION("""COMPUTED_VALUE"""),16087)</f>
        <v>16087</v>
      </c>
      <c r="B1739" s="86">
        <f ca="1">IFERROR(__xludf.DUMMYFUNCTION("""COMPUTED_VALUE"""),44822.5149768518)</f>
        <v>44822.514976851802</v>
      </c>
      <c r="C1739" s="1" t="str">
        <f ca="1">IFERROR(__xludf.DUMMYFUNCTION("""COMPUTED_VALUE"""),"completed")</f>
        <v>completed</v>
      </c>
      <c r="D1739" s="26">
        <f ca="1">IFERROR(__xludf.DUMMYFUNCTION("""COMPUTED_VALUE"""),55)</f>
        <v>55</v>
      </c>
      <c r="E1739" s="1"/>
      <c r="F1739" s="87" t="str">
        <f t="shared" ca="1" si="0"/>
        <v>2022</v>
      </c>
      <c r="H1739" s="26" t="str">
        <f t="shared" si="1"/>
        <v/>
      </c>
      <c r="I1739" s="26" t="str">
        <f t="shared" si="2"/>
        <v/>
      </c>
      <c r="J1739" s="86">
        <f t="shared" ca="1" si="3"/>
        <v>44822</v>
      </c>
      <c r="R1739" s="26"/>
    </row>
    <row r="1740" spans="1:18" ht="15.75" customHeight="1">
      <c r="A1740" s="26">
        <f ca="1">IFERROR(__xludf.DUMMYFUNCTION("""COMPUTED_VALUE"""),16086)</f>
        <v>16086</v>
      </c>
      <c r="B1740" s="86">
        <f ca="1">IFERROR(__xludf.DUMMYFUNCTION("""COMPUTED_VALUE"""),44822.5103356481)</f>
        <v>44822.510335648098</v>
      </c>
      <c r="C1740" s="1" t="str">
        <f ca="1">IFERROR(__xludf.DUMMYFUNCTION("""COMPUTED_VALUE"""),"completed")</f>
        <v>completed</v>
      </c>
      <c r="D1740" s="26">
        <f ca="1">IFERROR(__xludf.DUMMYFUNCTION("""COMPUTED_VALUE"""),55)</f>
        <v>55</v>
      </c>
      <c r="E1740" s="1"/>
      <c r="F1740" s="87" t="str">
        <f t="shared" ca="1" si="0"/>
        <v>2022</v>
      </c>
      <c r="H1740" s="26" t="str">
        <f t="shared" si="1"/>
        <v/>
      </c>
      <c r="I1740" s="26" t="str">
        <f t="shared" si="2"/>
        <v/>
      </c>
      <c r="J1740" s="86">
        <f t="shared" ca="1" si="3"/>
        <v>44822</v>
      </c>
      <c r="R1740" s="26"/>
    </row>
    <row r="1741" spans="1:18" ht="15.75" customHeight="1">
      <c r="A1741" s="26">
        <f ca="1">IFERROR(__xludf.DUMMYFUNCTION("""COMPUTED_VALUE"""),16085)</f>
        <v>16085</v>
      </c>
      <c r="B1741" s="86">
        <f ca="1">IFERROR(__xludf.DUMMYFUNCTION("""COMPUTED_VALUE"""),44822.5063194444)</f>
        <v>44822.506319444401</v>
      </c>
      <c r="C1741" s="1" t="str">
        <f ca="1">IFERROR(__xludf.DUMMYFUNCTION("""COMPUTED_VALUE"""),"completed")</f>
        <v>completed</v>
      </c>
      <c r="D1741" s="26">
        <f ca="1">IFERROR(__xludf.DUMMYFUNCTION("""COMPUTED_VALUE"""),15)</f>
        <v>15</v>
      </c>
      <c r="E1741" s="1"/>
      <c r="F1741" s="87" t="str">
        <f t="shared" ca="1" si="0"/>
        <v>2022</v>
      </c>
      <c r="H1741" s="26" t="str">
        <f t="shared" si="1"/>
        <v/>
      </c>
      <c r="I1741" s="26" t="str">
        <f t="shared" si="2"/>
        <v/>
      </c>
      <c r="J1741" s="86">
        <f t="shared" ca="1" si="3"/>
        <v>44822</v>
      </c>
      <c r="R1741" s="26"/>
    </row>
    <row r="1742" spans="1:18" ht="15.75" customHeight="1">
      <c r="A1742" s="26">
        <f ca="1">IFERROR(__xludf.DUMMYFUNCTION("""COMPUTED_VALUE"""),16084)</f>
        <v>16084</v>
      </c>
      <c r="B1742" s="86">
        <f ca="1">IFERROR(__xludf.DUMMYFUNCTION("""COMPUTED_VALUE"""),44822.5061805555)</f>
        <v>44822.506180555501</v>
      </c>
      <c r="C1742" s="1" t="str">
        <f ca="1">IFERROR(__xludf.DUMMYFUNCTION("""COMPUTED_VALUE"""),"completed")</f>
        <v>completed</v>
      </c>
      <c r="D1742" s="26">
        <f ca="1">IFERROR(__xludf.DUMMYFUNCTION("""COMPUTED_VALUE"""),33)</f>
        <v>33</v>
      </c>
      <c r="E1742" s="1"/>
      <c r="F1742" s="87" t="str">
        <f t="shared" ca="1" si="0"/>
        <v>2022</v>
      </c>
      <c r="H1742" s="26" t="str">
        <f t="shared" si="1"/>
        <v/>
      </c>
      <c r="I1742" s="26" t="str">
        <f t="shared" si="2"/>
        <v/>
      </c>
      <c r="J1742" s="86">
        <f t="shared" ca="1" si="3"/>
        <v>44822</v>
      </c>
      <c r="R1742" s="26"/>
    </row>
    <row r="1743" spans="1:18" ht="15.75" customHeight="1">
      <c r="A1743" s="26">
        <f ca="1">IFERROR(__xludf.DUMMYFUNCTION("""COMPUTED_VALUE"""),16083)</f>
        <v>16083</v>
      </c>
      <c r="B1743" s="86">
        <f ca="1">IFERROR(__xludf.DUMMYFUNCTION("""COMPUTED_VALUE"""),44822.4984143518)</f>
        <v>44822.498414351801</v>
      </c>
      <c r="C1743" s="1" t="str">
        <f ca="1">IFERROR(__xludf.DUMMYFUNCTION("""COMPUTED_VALUE"""),"completed")</f>
        <v>completed</v>
      </c>
      <c r="D1743" s="26">
        <f ca="1">IFERROR(__xludf.DUMMYFUNCTION("""COMPUTED_VALUE"""),53)</f>
        <v>53</v>
      </c>
      <c r="E1743" s="1"/>
      <c r="F1743" s="87" t="str">
        <f t="shared" ca="1" si="0"/>
        <v>2022</v>
      </c>
      <c r="H1743" s="26" t="str">
        <f t="shared" si="1"/>
        <v/>
      </c>
      <c r="I1743" s="26" t="str">
        <f t="shared" si="2"/>
        <v/>
      </c>
      <c r="J1743" s="86">
        <f t="shared" ca="1" si="3"/>
        <v>44822</v>
      </c>
      <c r="R1743" s="26"/>
    </row>
    <row r="1744" spans="1:18" ht="15.75" customHeight="1">
      <c r="A1744" s="26">
        <f ca="1">IFERROR(__xludf.DUMMYFUNCTION("""COMPUTED_VALUE"""),16082)</f>
        <v>16082</v>
      </c>
      <c r="B1744" s="86">
        <f ca="1">IFERROR(__xludf.DUMMYFUNCTION("""COMPUTED_VALUE"""),44822.4749884259)</f>
        <v>44822.4749884259</v>
      </c>
      <c r="C1744" s="1" t="str">
        <f ca="1">IFERROR(__xludf.DUMMYFUNCTION("""COMPUTED_VALUE"""),"completed")</f>
        <v>completed</v>
      </c>
      <c r="D1744" s="26">
        <f ca="1">IFERROR(__xludf.DUMMYFUNCTION("""COMPUTED_VALUE"""),48)</f>
        <v>48</v>
      </c>
      <c r="E1744" s="1"/>
      <c r="F1744" s="87" t="str">
        <f t="shared" ca="1" si="0"/>
        <v>2022</v>
      </c>
      <c r="H1744" s="26" t="str">
        <f t="shared" si="1"/>
        <v/>
      </c>
      <c r="I1744" s="26" t="str">
        <f t="shared" si="2"/>
        <v/>
      </c>
      <c r="J1744" s="86">
        <f t="shared" ca="1" si="3"/>
        <v>44822</v>
      </c>
      <c r="R1744" s="26"/>
    </row>
    <row r="1745" spans="1:18" ht="15.75" customHeight="1">
      <c r="A1745" s="26">
        <f ca="1">IFERROR(__xludf.DUMMYFUNCTION("""COMPUTED_VALUE"""),16081)</f>
        <v>16081</v>
      </c>
      <c r="B1745" s="86">
        <f ca="1">IFERROR(__xludf.DUMMYFUNCTION("""COMPUTED_VALUE"""),44822.4648958333)</f>
        <v>44822.464895833298</v>
      </c>
      <c r="C1745" s="1" t="str">
        <f ca="1">IFERROR(__xludf.DUMMYFUNCTION("""COMPUTED_VALUE"""),"completed")</f>
        <v>completed</v>
      </c>
      <c r="D1745" s="26">
        <f ca="1">IFERROR(__xludf.DUMMYFUNCTION("""COMPUTED_VALUE"""),53)</f>
        <v>53</v>
      </c>
      <c r="E1745" s="1"/>
      <c r="F1745" s="87" t="str">
        <f t="shared" ca="1" si="0"/>
        <v>2022</v>
      </c>
      <c r="H1745" s="26" t="str">
        <f t="shared" si="1"/>
        <v/>
      </c>
      <c r="I1745" s="26" t="str">
        <f t="shared" si="2"/>
        <v/>
      </c>
      <c r="J1745" s="86">
        <f t="shared" ca="1" si="3"/>
        <v>44822</v>
      </c>
      <c r="R1745" s="26"/>
    </row>
    <row r="1746" spans="1:18" ht="15.75" customHeight="1">
      <c r="A1746" s="26">
        <f ca="1">IFERROR(__xludf.DUMMYFUNCTION("""COMPUTED_VALUE"""),16079)</f>
        <v>16079</v>
      </c>
      <c r="B1746" s="86">
        <f ca="1">IFERROR(__xludf.DUMMYFUNCTION("""COMPUTED_VALUE"""),44821.8905208333)</f>
        <v>44821.890520833302</v>
      </c>
      <c r="C1746" s="1" t="str">
        <f ca="1">IFERROR(__xludf.DUMMYFUNCTION("""COMPUTED_VALUE"""),"completed")</f>
        <v>completed</v>
      </c>
      <c r="D1746" s="26">
        <f ca="1">IFERROR(__xludf.DUMMYFUNCTION("""COMPUTED_VALUE"""),35)</f>
        <v>35</v>
      </c>
      <c r="E1746" s="1"/>
      <c r="F1746" s="87" t="str">
        <f t="shared" ca="1" si="0"/>
        <v>2022</v>
      </c>
      <c r="H1746" s="26" t="str">
        <f t="shared" si="1"/>
        <v/>
      </c>
      <c r="I1746" s="26" t="str">
        <f t="shared" si="2"/>
        <v/>
      </c>
      <c r="J1746" s="86">
        <f t="shared" ca="1" si="3"/>
        <v>44821</v>
      </c>
      <c r="R1746" s="26"/>
    </row>
    <row r="1747" spans="1:18" ht="15.75" customHeight="1">
      <c r="A1747" s="26">
        <f ca="1">IFERROR(__xludf.DUMMYFUNCTION("""COMPUTED_VALUE"""),16078)</f>
        <v>16078</v>
      </c>
      <c r="B1747" s="86">
        <f ca="1">IFERROR(__xludf.DUMMYFUNCTION("""COMPUTED_VALUE"""),44821.6296064814)</f>
        <v>44821.629606481401</v>
      </c>
      <c r="C1747" s="1" t="str">
        <f ca="1">IFERROR(__xludf.DUMMYFUNCTION("""COMPUTED_VALUE"""),"completed")</f>
        <v>completed</v>
      </c>
      <c r="D1747" s="26">
        <f ca="1">IFERROR(__xludf.DUMMYFUNCTION("""COMPUTED_VALUE"""),25)</f>
        <v>25</v>
      </c>
      <c r="E1747" s="1"/>
      <c r="F1747" s="87" t="str">
        <f t="shared" ca="1" si="0"/>
        <v>2022</v>
      </c>
      <c r="H1747" s="26" t="str">
        <f t="shared" si="1"/>
        <v/>
      </c>
      <c r="I1747" s="26" t="str">
        <f t="shared" si="2"/>
        <v/>
      </c>
      <c r="J1747" s="86">
        <f t="shared" ca="1" si="3"/>
        <v>44821</v>
      </c>
      <c r="R1747" s="26"/>
    </row>
    <row r="1748" spans="1:18" ht="15.75" customHeight="1">
      <c r="A1748" s="26">
        <f ca="1">IFERROR(__xludf.DUMMYFUNCTION("""COMPUTED_VALUE"""),16077)</f>
        <v>16077</v>
      </c>
      <c r="B1748" s="86">
        <f ca="1">IFERROR(__xludf.DUMMYFUNCTION("""COMPUTED_VALUE"""),44821.6022685185)</f>
        <v>44821.602268518502</v>
      </c>
      <c r="C1748" s="1" t="str">
        <f ca="1">IFERROR(__xludf.DUMMYFUNCTION("""COMPUTED_VALUE"""),"completed")</f>
        <v>completed</v>
      </c>
      <c r="D1748" s="26">
        <f ca="1">IFERROR(__xludf.DUMMYFUNCTION("""COMPUTED_VALUE"""),55)</f>
        <v>55</v>
      </c>
      <c r="E1748" s="1"/>
      <c r="F1748" s="87" t="str">
        <f t="shared" ca="1" si="0"/>
        <v>2022</v>
      </c>
      <c r="H1748" s="26" t="str">
        <f t="shared" si="1"/>
        <v/>
      </c>
      <c r="I1748" s="26" t="str">
        <f t="shared" si="2"/>
        <v/>
      </c>
      <c r="J1748" s="86">
        <f t="shared" ca="1" si="3"/>
        <v>44821</v>
      </c>
      <c r="R1748" s="26"/>
    </row>
    <row r="1749" spans="1:18" ht="15.75" customHeight="1">
      <c r="A1749" s="26">
        <f ca="1">IFERROR(__xludf.DUMMYFUNCTION("""COMPUTED_VALUE"""),16076)</f>
        <v>16076</v>
      </c>
      <c r="B1749" s="86">
        <f ca="1">IFERROR(__xludf.DUMMYFUNCTION("""COMPUTED_VALUE"""),44821.5190509259)</f>
        <v>44821.519050925897</v>
      </c>
      <c r="C1749" s="1" t="str">
        <f ca="1">IFERROR(__xludf.DUMMYFUNCTION("""COMPUTED_VALUE"""),"completed")</f>
        <v>completed</v>
      </c>
      <c r="D1749" s="26">
        <f ca="1">IFERROR(__xludf.DUMMYFUNCTION("""COMPUTED_VALUE"""),55)</f>
        <v>55</v>
      </c>
      <c r="E1749" s="1"/>
      <c r="F1749" s="87" t="str">
        <f t="shared" ca="1" si="0"/>
        <v>2022</v>
      </c>
      <c r="H1749" s="26" t="str">
        <f t="shared" si="1"/>
        <v/>
      </c>
      <c r="I1749" s="26" t="str">
        <f t="shared" si="2"/>
        <v/>
      </c>
      <c r="J1749" s="86">
        <f t="shared" ca="1" si="3"/>
        <v>44821</v>
      </c>
      <c r="R1749" s="26"/>
    </row>
    <row r="1750" spans="1:18" ht="15.75" customHeight="1">
      <c r="A1750" s="26">
        <f ca="1">IFERROR(__xludf.DUMMYFUNCTION("""COMPUTED_VALUE"""),16075)</f>
        <v>16075</v>
      </c>
      <c r="B1750" s="86">
        <f ca="1">IFERROR(__xludf.DUMMYFUNCTION("""COMPUTED_VALUE"""),44821.4467592592)</f>
        <v>44821.446759259197</v>
      </c>
      <c r="C1750" s="1" t="str">
        <f ca="1">IFERROR(__xludf.DUMMYFUNCTION("""COMPUTED_VALUE"""),"completed")</f>
        <v>completed</v>
      </c>
      <c r="D1750" s="26">
        <f ca="1">IFERROR(__xludf.DUMMYFUNCTION("""COMPUTED_VALUE"""),55)</f>
        <v>55</v>
      </c>
      <c r="E1750" s="1"/>
      <c r="F1750" s="87" t="str">
        <f t="shared" ca="1" si="0"/>
        <v>2022</v>
      </c>
      <c r="H1750" s="26" t="str">
        <f t="shared" si="1"/>
        <v/>
      </c>
      <c r="I1750" s="26" t="str">
        <f t="shared" si="2"/>
        <v/>
      </c>
      <c r="J1750" s="86">
        <f t="shared" ca="1" si="3"/>
        <v>44821</v>
      </c>
      <c r="R1750" s="26"/>
    </row>
    <row r="1751" spans="1:18" ht="15.75" customHeight="1">
      <c r="A1751" s="26">
        <f ca="1">IFERROR(__xludf.DUMMYFUNCTION("""COMPUTED_VALUE"""),16074)</f>
        <v>16074</v>
      </c>
      <c r="B1751" s="86">
        <f ca="1">IFERROR(__xludf.DUMMYFUNCTION("""COMPUTED_VALUE"""),44821.1460416666)</f>
        <v>44821.146041666601</v>
      </c>
      <c r="C1751" s="1" t="str">
        <f ca="1">IFERROR(__xludf.DUMMYFUNCTION("""COMPUTED_VALUE"""),"completed")</f>
        <v>completed</v>
      </c>
      <c r="D1751" s="26">
        <f ca="1">IFERROR(__xludf.DUMMYFUNCTION("""COMPUTED_VALUE"""),42.5)</f>
        <v>42.5</v>
      </c>
      <c r="E1751" s="1"/>
      <c r="F1751" s="87" t="str">
        <f t="shared" ca="1" si="0"/>
        <v>2022</v>
      </c>
      <c r="H1751" s="26" t="str">
        <f t="shared" si="1"/>
        <v/>
      </c>
      <c r="I1751" s="26" t="str">
        <f t="shared" si="2"/>
        <v/>
      </c>
      <c r="J1751" s="86">
        <f t="shared" ca="1" si="3"/>
        <v>44821</v>
      </c>
      <c r="R1751" s="26"/>
    </row>
    <row r="1752" spans="1:18" ht="15.75" customHeight="1">
      <c r="A1752" s="26">
        <f ca="1">IFERROR(__xludf.DUMMYFUNCTION("""COMPUTED_VALUE"""),16073)</f>
        <v>16073</v>
      </c>
      <c r="B1752" s="86">
        <f ca="1">IFERROR(__xludf.DUMMYFUNCTION("""COMPUTED_VALUE"""),44821.0741666666)</f>
        <v>44821.0741666666</v>
      </c>
      <c r="C1752" s="1" t="str">
        <f ca="1">IFERROR(__xludf.DUMMYFUNCTION("""COMPUTED_VALUE"""),"completed")</f>
        <v>completed</v>
      </c>
      <c r="D1752" s="26">
        <f ca="1">IFERROR(__xludf.DUMMYFUNCTION("""COMPUTED_VALUE"""),25)</f>
        <v>25</v>
      </c>
      <c r="E1752" s="1"/>
      <c r="F1752" s="87" t="str">
        <f t="shared" ca="1" si="0"/>
        <v>2022</v>
      </c>
      <c r="H1752" s="26" t="str">
        <f t="shared" si="1"/>
        <v/>
      </c>
      <c r="I1752" s="26" t="str">
        <f t="shared" si="2"/>
        <v/>
      </c>
      <c r="J1752" s="86">
        <f t="shared" ca="1" si="3"/>
        <v>44821</v>
      </c>
      <c r="R1752" s="26"/>
    </row>
    <row r="1753" spans="1:18" ht="15.75" customHeight="1">
      <c r="A1753" s="26">
        <f ca="1">IFERROR(__xludf.DUMMYFUNCTION("""COMPUTED_VALUE"""),16072)</f>
        <v>16072</v>
      </c>
      <c r="B1753" s="86">
        <f ca="1">IFERROR(__xludf.DUMMYFUNCTION("""COMPUTED_VALUE"""),44821.0579398148)</f>
        <v>44821.057939814797</v>
      </c>
      <c r="C1753" s="1" t="str">
        <f ca="1">IFERROR(__xludf.DUMMYFUNCTION("""COMPUTED_VALUE"""),"completed")</f>
        <v>completed</v>
      </c>
      <c r="D1753" s="26">
        <f ca="1">IFERROR(__xludf.DUMMYFUNCTION("""COMPUTED_VALUE"""),85)</f>
        <v>85</v>
      </c>
      <c r="E1753" s="1"/>
      <c r="F1753" s="87" t="str">
        <f t="shared" ca="1" si="0"/>
        <v>2022</v>
      </c>
      <c r="H1753" s="26" t="str">
        <f t="shared" si="1"/>
        <v/>
      </c>
      <c r="I1753" s="26" t="str">
        <f t="shared" si="2"/>
        <v/>
      </c>
      <c r="J1753" s="86">
        <f t="shared" ca="1" si="3"/>
        <v>44821</v>
      </c>
      <c r="R1753" s="26"/>
    </row>
    <row r="1754" spans="1:18" ht="15.75" customHeight="1">
      <c r="A1754" s="26">
        <f ca="1">IFERROR(__xludf.DUMMYFUNCTION("""COMPUTED_VALUE"""),16071)</f>
        <v>16071</v>
      </c>
      <c r="B1754" s="86">
        <f ca="1">IFERROR(__xludf.DUMMYFUNCTION("""COMPUTED_VALUE"""),44821.0380555555)</f>
        <v>44821.038055555502</v>
      </c>
      <c r="C1754" s="1" t="str">
        <f ca="1">IFERROR(__xludf.DUMMYFUNCTION("""COMPUTED_VALUE"""),"completed")</f>
        <v>completed</v>
      </c>
      <c r="D1754" s="26">
        <f ca="1">IFERROR(__xludf.DUMMYFUNCTION("""COMPUTED_VALUE"""),18)</f>
        <v>18</v>
      </c>
      <c r="E1754" s="1"/>
      <c r="F1754" s="87" t="str">
        <f t="shared" ca="1" si="0"/>
        <v>2022</v>
      </c>
      <c r="H1754" s="26" t="str">
        <f t="shared" si="1"/>
        <v/>
      </c>
      <c r="I1754" s="26" t="str">
        <f t="shared" si="2"/>
        <v/>
      </c>
      <c r="J1754" s="86">
        <f t="shared" ca="1" si="3"/>
        <v>44821</v>
      </c>
      <c r="R1754" s="26"/>
    </row>
    <row r="1755" spans="1:18" ht="15.75" customHeight="1">
      <c r="A1755" s="26">
        <f ca="1">IFERROR(__xludf.DUMMYFUNCTION("""COMPUTED_VALUE"""),16070)</f>
        <v>16070</v>
      </c>
      <c r="B1755" s="86">
        <f ca="1">IFERROR(__xludf.DUMMYFUNCTION("""COMPUTED_VALUE"""),44821.0281828703)</f>
        <v>44821.028182870301</v>
      </c>
      <c r="C1755" s="1" t="str">
        <f ca="1">IFERROR(__xludf.DUMMYFUNCTION("""COMPUTED_VALUE"""),"completed")</f>
        <v>completed</v>
      </c>
      <c r="D1755" s="26">
        <f ca="1">IFERROR(__xludf.DUMMYFUNCTION("""COMPUTED_VALUE"""),25)</f>
        <v>25</v>
      </c>
      <c r="E1755" s="1"/>
      <c r="F1755" s="87" t="str">
        <f t="shared" ca="1" si="0"/>
        <v>2022</v>
      </c>
      <c r="H1755" s="26" t="str">
        <f t="shared" si="1"/>
        <v/>
      </c>
      <c r="I1755" s="26" t="str">
        <f t="shared" si="2"/>
        <v/>
      </c>
      <c r="J1755" s="86">
        <f t="shared" ca="1" si="3"/>
        <v>44821</v>
      </c>
      <c r="R1755" s="26"/>
    </row>
    <row r="1756" spans="1:18" ht="15.75" customHeight="1">
      <c r="A1756" s="26">
        <f ca="1">IFERROR(__xludf.DUMMYFUNCTION("""COMPUTED_VALUE"""),16069)</f>
        <v>16069</v>
      </c>
      <c r="B1756" s="86">
        <f ca="1">IFERROR(__xludf.DUMMYFUNCTION("""COMPUTED_VALUE"""),44820.9305092592)</f>
        <v>44820.930509259197</v>
      </c>
      <c r="C1756" s="1" t="str">
        <f ca="1">IFERROR(__xludf.DUMMYFUNCTION("""COMPUTED_VALUE"""),"completed")</f>
        <v>completed</v>
      </c>
      <c r="D1756" s="26">
        <f ca="1">IFERROR(__xludf.DUMMYFUNCTION("""COMPUTED_VALUE"""),80)</f>
        <v>80</v>
      </c>
      <c r="E1756" s="1"/>
      <c r="F1756" s="87" t="str">
        <f t="shared" ca="1" si="0"/>
        <v>2022</v>
      </c>
      <c r="H1756" s="26" t="str">
        <f t="shared" si="1"/>
        <v/>
      </c>
      <c r="I1756" s="26" t="str">
        <f t="shared" si="2"/>
        <v/>
      </c>
      <c r="J1756" s="86">
        <f t="shared" ca="1" si="3"/>
        <v>44820</v>
      </c>
      <c r="R1756" s="26"/>
    </row>
    <row r="1757" spans="1:18" ht="15.75" customHeight="1">
      <c r="A1757" s="26">
        <f ca="1">IFERROR(__xludf.DUMMYFUNCTION("""COMPUTED_VALUE"""),16068)</f>
        <v>16068</v>
      </c>
      <c r="B1757" s="86">
        <f ca="1">IFERROR(__xludf.DUMMYFUNCTION("""COMPUTED_VALUE"""),44820.7959143518)</f>
        <v>44820.795914351802</v>
      </c>
      <c r="C1757" s="1" t="str">
        <f ca="1">IFERROR(__xludf.DUMMYFUNCTION("""COMPUTED_VALUE"""),"completed")</f>
        <v>completed</v>
      </c>
      <c r="D1757" s="26">
        <f ca="1">IFERROR(__xludf.DUMMYFUNCTION("""COMPUTED_VALUE"""),37)</f>
        <v>37</v>
      </c>
      <c r="E1757" s="1"/>
      <c r="F1757" s="87" t="str">
        <f t="shared" ca="1" si="0"/>
        <v>2022</v>
      </c>
      <c r="H1757" s="26" t="str">
        <f t="shared" si="1"/>
        <v/>
      </c>
      <c r="I1757" s="26" t="str">
        <f t="shared" si="2"/>
        <v/>
      </c>
      <c r="J1757" s="86">
        <f t="shared" ca="1" si="3"/>
        <v>44820</v>
      </c>
      <c r="R1757" s="26"/>
    </row>
    <row r="1758" spans="1:18" ht="15.75" customHeight="1">
      <c r="A1758" s="26">
        <f ca="1">IFERROR(__xludf.DUMMYFUNCTION("""COMPUTED_VALUE"""),16066)</f>
        <v>16066</v>
      </c>
      <c r="B1758" s="86">
        <f ca="1">IFERROR(__xludf.DUMMYFUNCTION("""COMPUTED_VALUE"""),44820.7728587962)</f>
        <v>44820.772858796197</v>
      </c>
      <c r="C1758" s="1" t="str">
        <f ca="1">IFERROR(__xludf.DUMMYFUNCTION("""COMPUTED_VALUE"""),"completed")</f>
        <v>completed</v>
      </c>
      <c r="D1758" s="26">
        <f ca="1">IFERROR(__xludf.DUMMYFUNCTION("""COMPUTED_VALUE"""),25)</f>
        <v>25</v>
      </c>
      <c r="E1758" s="1"/>
      <c r="F1758" s="87" t="str">
        <f t="shared" ca="1" si="0"/>
        <v>2022</v>
      </c>
      <c r="H1758" s="26" t="str">
        <f t="shared" si="1"/>
        <v/>
      </c>
      <c r="I1758" s="26" t="str">
        <f t="shared" si="2"/>
        <v/>
      </c>
      <c r="J1758" s="86">
        <f t="shared" ca="1" si="3"/>
        <v>44820</v>
      </c>
      <c r="R1758" s="26"/>
    </row>
    <row r="1759" spans="1:18" ht="15.75" customHeight="1">
      <c r="A1759" s="26">
        <f ca="1">IFERROR(__xludf.DUMMYFUNCTION("""COMPUTED_VALUE"""),16065)</f>
        <v>16065</v>
      </c>
      <c r="B1759" s="86">
        <f ca="1">IFERROR(__xludf.DUMMYFUNCTION("""COMPUTED_VALUE"""),44820.7695138888)</f>
        <v>44820.769513888801</v>
      </c>
      <c r="C1759" s="1" t="str">
        <f ca="1">IFERROR(__xludf.DUMMYFUNCTION("""COMPUTED_VALUE"""),"completed")</f>
        <v>completed</v>
      </c>
      <c r="D1759" s="26">
        <f ca="1">IFERROR(__xludf.DUMMYFUNCTION("""COMPUTED_VALUE"""),25)</f>
        <v>25</v>
      </c>
      <c r="E1759" s="1"/>
      <c r="F1759" s="87" t="str">
        <f t="shared" ca="1" si="0"/>
        <v>2022</v>
      </c>
      <c r="H1759" s="26" t="str">
        <f t="shared" si="1"/>
        <v/>
      </c>
      <c r="I1759" s="26" t="str">
        <f t="shared" si="2"/>
        <v/>
      </c>
      <c r="J1759" s="86">
        <f t="shared" ca="1" si="3"/>
        <v>44820</v>
      </c>
      <c r="R1759" s="26"/>
    </row>
    <row r="1760" spans="1:18" ht="15.75" customHeight="1">
      <c r="A1760" s="26">
        <f ca="1">IFERROR(__xludf.DUMMYFUNCTION("""COMPUTED_VALUE"""),16064)</f>
        <v>16064</v>
      </c>
      <c r="B1760" s="86">
        <f ca="1">IFERROR(__xludf.DUMMYFUNCTION("""COMPUTED_VALUE"""),44820.720324074)</f>
        <v>44820.720324073998</v>
      </c>
      <c r="C1760" s="1" t="str">
        <f ca="1">IFERROR(__xludf.DUMMYFUNCTION("""COMPUTED_VALUE"""),"completed")</f>
        <v>completed</v>
      </c>
      <c r="D1760" s="26">
        <f ca="1">IFERROR(__xludf.DUMMYFUNCTION("""COMPUTED_VALUE"""),42.5)</f>
        <v>42.5</v>
      </c>
      <c r="E1760" s="1"/>
      <c r="F1760" s="87" t="str">
        <f t="shared" ca="1" si="0"/>
        <v>2022</v>
      </c>
      <c r="H1760" s="26" t="str">
        <f t="shared" si="1"/>
        <v/>
      </c>
      <c r="I1760" s="26" t="str">
        <f t="shared" si="2"/>
        <v/>
      </c>
      <c r="J1760" s="86">
        <f t="shared" ca="1" si="3"/>
        <v>44820</v>
      </c>
      <c r="R1760" s="26"/>
    </row>
    <row r="1761" spans="1:18" ht="15.75" customHeight="1">
      <c r="A1761" s="26">
        <f ca="1">IFERROR(__xludf.DUMMYFUNCTION("""COMPUTED_VALUE"""),16063)</f>
        <v>16063</v>
      </c>
      <c r="B1761" s="86">
        <f ca="1">IFERROR(__xludf.DUMMYFUNCTION("""COMPUTED_VALUE"""),44820.7108449074)</f>
        <v>44820.7108449074</v>
      </c>
      <c r="C1761" s="1" t="str">
        <f ca="1">IFERROR(__xludf.DUMMYFUNCTION("""COMPUTED_VALUE"""),"completed")</f>
        <v>completed</v>
      </c>
      <c r="D1761" s="26">
        <f ca="1">IFERROR(__xludf.DUMMYFUNCTION("""COMPUTED_VALUE"""),42.5)</f>
        <v>42.5</v>
      </c>
      <c r="E1761" s="1"/>
      <c r="F1761" s="87" t="str">
        <f t="shared" ca="1" si="0"/>
        <v>2022</v>
      </c>
      <c r="H1761" s="26" t="str">
        <f t="shared" si="1"/>
        <v/>
      </c>
      <c r="I1761" s="26" t="str">
        <f t="shared" si="2"/>
        <v/>
      </c>
      <c r="J1761" s="86">
        <f t="shared" ca="1" si="3"/>
        <v>44820</v>
      </c>
      <c r="R1761" s="26"/>
    </row>
    <row r="1762" spans="1:18" ht="15.75" customHeight="1">
      <c r="A1762" s="26">
        <f ca="1">IFERROR(__xludf.DUMMYFUNCTION("""COMPUTED_VALUE"""),16062)</f>
        <v>16062</v>
      </c>
      <c r="B1762" s="86">
        <f ca="1">IFERROR(__xludf.DUMMYFUNCTION("""COMPUTED_VALUE"""),44820.710787037)</f>
        <v>44820.710787037002</v>
      </c>
      <c r="C1762" s="1" t="str">
        <f ca="1">IFERROR(__xludf.DUMMYFUNCTION("""COMPUTED_VALUE"""),"completed")</f>
        <v>completed</v>
      </c>
      <c r="D1762" s="26">
        <f ca="1">IFERROR(__xludf.DUMMYFUNCTION("""COMPUTED_VALUE"""),42.5)</f>
        <v>42.5</v>
      </c>
      <c r="E1762" s="1"/>
      <c r="F1762" s="87" t="str">
        <f t="shared" ca="1" si="0"/>
        <v>2022</v>
      </c>
      <c r="H1762" s="26" t="str">
        <f t="shared" si="1"/>
        <v/>
      </c>
      <c r="I1762" s="26" t="str">
        <f t="shared" si="2"/>
        <v/>
      </c>
      <c r="J1762" s="86">
        <f t="shared" ca="1" si="3"/>
        <v>44820</v>
      </c>
      <c r="R1762" s="26"/>
    </row>
    <row r="1763" spans="1:18" ht="15.75" customHeight="1">
      <c r="A1763" s="26">
        <f ca="1">IFERROR(__xludf.DUMMYFUNCTION("""COMPUTED_VALUE"""),15995)</f>
        <v>15995</v>
      </c>
      <c r="B1763" s="86">
        <f ca="1">IFERROR(__xludf.DUMMYFUNCTION("""COMPUTED_VALUE"""),44818.1401851851)</f>
        <v>44818.140185185097</v>
      </c>
      <c r="C1763" s="1" t="str">
        <f ca="1">IFERROR(__xludf.DUMMYFUNCTION("""COMPUTED_VALUE"""),"completed")</f>
        <v>completed</v>
      </c>
      <c r="D1763" s="26">
        <f ca="1">IFERROR(__xludf.DUMMYFUNCTION("""COMPUTED_VALUE"""),38)</f>
        <v>38</v>
      </c>
      <c r="E1763" s="1"/>
      <c r="F1763" s="87" t="str">
        <f t="shared" ca="1" si="0"/>
        <v>2022</v>
      </c>
      <c r="H1763" s="26" t="str">
        <f t="shared" si="1"/>
        <v/>
      </c>
      <c r="I1763" s="26" t="str">
        <f t="shared" si="2"/>
        <v/>
      </c>
      <c r="J1763" s="86">
        <f t="shared" ca="1" si="3"/>
        <v>44818</v>
      </c>
      <c r="R1763" s="26"/>
    </row>
    <row r="1764" spans="1:18" ht="15.75" customHeight="1">
      <c r="A1764" s="26">
        <f ca="1">IFERROR(__xludf.DUMMYFUNCTION("""COMPUTED_VALUE"""),15962)</f>
        <v>15962</v>
      </c>
      <c r="B1764" s="86">
        <f ca="1">IFERROR(__xludf.DUMMYFUNCTION("""COMPUTED_VALUE"""),44817.5480439814)</f>
        <v>44817.548043981398</v>
      </c>
      <c r="C1764" s="1" t="str">
        <f ca="1">IFERROR(__xludf.DUMMYFUNCTION("""COMPUTED_VALUE"""),"completed")</f>
        <v>completed</v>
      </c>
      <c r="D1764" s="26">
        <f ca="1">IFERROR(__xludf.DUMMYFUNCTION("""COMPUTED_VALUE"""),22)</f>
        <v>22</v>
      </c>
      <c r="E1764" s="1"/>
      <c r="F1764" s="87" t="str">
        <f t="shared" ca="1" si="0"/>
        <v>2022</v>
      </c>
      <c r="H1764" s="26" t="str">
        <f t="shared" si="1"/>
        <v/>
      </c>
      <c r="I1764" s="26" t="str">
        <f t="shared" si="2"/>
        <v/>
      </c>
      <c r="J1764" s="86">
        <f t="shared" ca="1" si="3"/>
        <v>44817</v>
      </c>
      <c r="R1764" s="26"/>
    </row>
    <row r="1765" spans="1:18" ht="15.75" customHeight="1">
      <c r="A1765" s="26">
        <f ca="1">IFERROR(__xludf.DUMMYFUNCTION("""COMPUTED_VALUE"""),15920)</f>
        <v>15920</v>
      </c>
      <c r="B1765" s="86">
        <f ca="1">IFERROR(__xludf.DUMMYFUNCTION("""COMPUTED_VALUE"""),44813.5771875)</f>
        <v>44813.577187499999</v>
      </c>
      <c r="C1765" s="1" t="str">
        <f ca="1">IFERROR(__xludf.DUMMYFUNCTION("""COMPUTED_VALUE"""),"completed")</f>
        <v>completed</v>
      </c>
      <c r="D1765" s="26">
        <f ca="1">IFERROR(__xludf.DUMMYFUNCTION("""COMPUTED_VALUE"""),375)</f>
        <v>375</v>
      </c>
      <c r="E1765" s="1"/>
      <c r="F1765" s="87" t="str">
        <f t="shared" ca="1" si="0"/>
        <v>2022</v>
      </c>
      <c r="H1765" s="26" t="str">
        <f t="shared" si="1"/>
        <v/>
      </c>
      <c r="I1765" s="26" t="str">
        <f t="shared" si="2"/>
        <v/>
      </c>
      <c r="J1765" s="86">
        <f t="shared" ca="1" si="3"/>
        <v>44813</v>
      </c>
      <c r="R1765" s="26"/>
    </row>
    <row r="1766" spans="1:18" ht="15.75" customHeight="1">
      <c r="A1766" s="26">
        <f ca="1">IFERROR(__xludf.DUMMYFUNCTION("""COMPUTED_VALUE"""),15919)</f>
        <v>15919</v>
      </c>
      <c r="B1766" s="86">
        <f ca="1">IFERROR(__xludf.DUMMYFUNCTION("""COMPUTED_VALUE"""),44811.8549074074)</f>
        <v>44811.854907407404</v>
      </c>
      <c r="C1766" s="1" t="str">
        <f ca="1">IFERROR(__xludf.DUMMYFUNCTION("""COMPUTED_VALUE"""),"completed")</f>
        <v>completed</v>
      </c>
      <c r="D1766" s="26">
        <f ca="1">IFERROR(__xludf.DUMMYFUNCTION("""COMPUTED_VALUE"""),22)</f>
        <v>22</v>
      </c>
      <c r="E1766" s="1"/>
      <c r="F1766" s="87" t="str">
        <f t="shared" ca="1" si="0"/>
        <v>2022</v>
      </c>
      <c r="H1766" s="26" t="str">
        <f t="shared" si="1"/>
        <v/>
      </c>
      <c r="I1766" s="26" t="str">
        <f t="shared" si="2"/>
        <v/>
      </c>
      <c r="J1766" s="86">
        <f t="shared" ca="1" si="3"/>
        <v>44811</v>
      </c>
      <c r="R1766" s="26"/>
    </row>
    <row r="1767" spans="1:18" ht="15.75" customHeight="1">
      <c r="A1767" s="26">
        <f ca="1">IFERROR(__xludf.DUMMYFUNCTION("""COMPUTED_VALUE"""),15884)</f>
        <v>15884</v>
      </c>
      <c r="B1767" s="86">
        <f ca="1">IFERROR(__xludf.DUMMYFUNCTION("""COMPUTED_VALUE"""),44807.917037037)</f>
        <v>44807.917037036997</v>
      </c>
      <c r="C1767" s="1" t="str">
        <f ca="1">IFERROR(__xludf.DUMMYFUNCTION("""COMPUTED_VALUE"""),"completed")</f>
        <v>completed</v>
      </c>
      <c r="D1767" s="26">
        <f ca="1">IFERROR(__xludf.DUMMYFUNCTION("""COMPUTED_VALUE"""),43)</f>
        <v>43</v>
      </c>
      <c r="E1767" s="1"/>
      <c r="F1767" s="87" t="str">
        <f t="shared" ca="1" si="0"/>
        <v>2022</v>
      </c>
      <c r="H1767" s="26" t="str">
        <f t="shared" si="1"/>
        <v/>
      </c>
      <c r="I1767" s="26" t="str">
        <f t="shared" si="2"/>
        <v/>
      </c>
      <c r="J1767" s="86">
        <f t="shared" ca="1" si="3"/>
        <v>44807</v>
      </c>
      <c r="R1767" s="26"/>
    </row>
    <row r="1768" spans="1:18" ht="15.75" customHeight="1">
      <c r="A1768" s="26">
        <f ca="1">IFERROR(__xludf.DUMMYFUNCTION("""COMPUTED_VALUE"""),15883)</f>
        <v>15883</v>
      </c>
      <c r="B1768" s="86">
        <f ca="1">IFERROR(__xludf.DUMMYFUNCTION("""COMPUTED_VALUE"""),44807.915960648)</f>
        <v>44807.915960648097</v>
      </c>
      <c r="C1768" s="1" t="str">
        <f ca="1">IFERROR(__xludf.DUMMYFUNCTION("""COMPUTED_VALUE"""),"completed")</f>
        <v>completed</v>
      </c>
      <c r="D1768" s="26">
        <f ca="1">IFERROR(__xludf.DUMMYFUNCTION("""COMPUTED_VALUE"""),43)</f>
        <v>43</v>
      </c>
      <c r="E1768" s="1"/>
      <c r="F1768" s="87" t="str">
        <f t="shared" ca="1" si="0"/>
        <v>2022</v>
      </c>
      <c r="H1768" s="26" t="str">
        <f t="shared" si="1"/>
        <v/>
      </c>
      <c r="I1768" s="26" t="str">
        <f t="shared" si="2"/>
        <v/>
      </c>
      <c r="J1768" s="86">
        <f t="shared" ca="1" si="3"/>
        <v>44807</v>
      </c>
      <c r="R1768" s="26"/>
    </row>
    <row r="1769" spans="1:18" ht="15.75" customHeight="1">
      <c r="A1769" s="26">
        <f ca="1">IFERROR(__xludf.DUMMYFUNCTION("""COMPUTED_VALUE"""),15562)</f>
        <v>15562</v>
      </c>
      <c r="B1769" s="86">
        <f ca="1">IFERROR(__xludf.DUMMYFUNCTION("""COMPUTED_VALUE"""),44782.1060763888)</f>
        <v>44782.106076388802</v>
      </c>
      <c r="C1769" s="1" t="str">
        <f ca="1">IFERROR(__xludf.DUMMYFUNCTION("""COMPUTED_VALUE"""),"completed")</f>
        <v>completed</v>
      </c>
      <c r="D1769" s="26">
        <f ca="1">IFERROR(__xludf.DUMMYFUNCTION("""COMPUTED_VALUE"""),20)</f>
        <v>20</v>
      </c>
      <c r="E1769" s="1"/>
      <c r="F1769" s="87" t="str">
        <f t="shared" ca="1" si="0"/>
        <v>2022</v>
      </c>
      <c r="H1769" s="26" t="str">
        <f t="shared" si="1"/>
        <v/>
      </c>
      <c r="I1769" s="26" t="str">
        <f t="shared" si="2"/>
        <v/>
      </c>
      <c r="J1769" s="86">
        <f t="shared" ca="1" si="3"/>
        <v>44782</v>
      </c>
      <c r="R1769" s="26"/>
    </row>
    <row r="1770" spans="1:18" ht="15.75" customHeight="1">
      <c r="A1770" s="26">
        <f ca="1">IFERROR(__xludf.DUMMYFUNCTION("""COMPUTED_VALUE"""),15561)</f>
        <v>15561</v>
      </c>
      <c r="B1770" s="86">
        <f ca="1">IFERROR(__xludf.DUMMYFUNCTION("""COMPUTED_VALUE"""),44782.0436342592)</f>
        <v>44782.0436342592</v>
      </c>
      <c r="C1770" s="1" t="str">
        <f ca="1">IFERROR(__xludf.DUMMYFUNCTION("""COMPUTED_VALUE"""),"completed")</f>
        <v>completed</v>
      </c>
      <c r="D1770" s="26">
        <f ca="1">IFERROR(__xludf.DUMMYFUNCTION("""COMPUTED_VALUE"""),47)</f>
        <v>47</v>
      </c>
      <c r="E1770" s="1"/>
      <c r="F1770" s="87" t="str">
        <f t="shared" ca="1" si="0"/>
        <v>2022</v>
      </c>
      <c r="H1770" s="26" t="str">
        <f t="shared" si="1"/>
        <v/>
      </c>
      <c r="I1770" s="26" t="str">
        <f t="shared" si="2"/>
        <v/>
      </c>
      <c r="J1770" s="86">
        <f t="shared" ca="1" si="3"/>
        <v>44782</v>
      </c>
      <c r="R1770" s="26"/>
    </row>
    <row r="1771" spans="1:18" ht="15.75" customHeight="1">
      <c r="A1771" s="26">
        <f ca="1">IFERROR(__xludf.DUMMYFUNCTION("""COMPUTED_VALUE"""),15560)</f>
        <v>15560</v>
      </c>
      <c r="B1771" s="86">
        <f ca="1">IFERROR(__xludf.DUMMYFUNCTION("""COMPUTED_VALUE"""),44781.965011574)</f>
        <v>44781.965011574001</v>
      </c>
      <c r="C1771" s="1" t="str">
        <f ca="1">IFERROR(__xludf.DUMMYFUNCTION("""COMPUTED_VALUE"""),"completed")</f>
        <v>completed</v>
      </c>
      <c r="D1771" s="26">
        <f ca="1">IFERROR(__xludf.DUMMYFUNCTION("""COMPUTED_VALUE"""),60)</f>
        <v>60</v>
      </c>
      <c r="E1771" s="1"/>
      <c r="F1771" s="87" t="str">
        <f t="shared" ca="1" si="0"/>
        <v>2022</v>
      </c>
      <c r="H1771" s="26" t="str">
        <f t="shared" si="1"/>
        <v/>
      </c>
      <c r="I1771" s="26" t="str">
        <f t="shared" si="2"/>
        <v/>
      </c>
      <c r="J1771" s="86">
        <f t="shared" ca="1" si="3"/>
        <v>44781</v>
      </c>
      <c r="R1771" s="26"/>
    </row>
    <row r="1772" spans="1:18" ht="15.75" customHeight="1">
      <c r="A1772" s="26">
        <f ca="1">IFERROR(__xludf.DUMMYFUNCTION("""COMPUTED_VALUE"""),15559)</f>
        <v>15559</v>
      </c>
      <c r="B1772" s="86">
        <f ca="1">IFERROR(__xludf.DUMMYFUNCTION("""COMPUTED_VALUE"""),44781.962511574)</f>
        <v>44781.962511573998</v>
      </c>
      <c r="C1772" s="1" t="str">
        <f ca="1">IFERROR(__xludf.DUMMYFUNCTION("""COMPUTED_VALUE"""),"completed")</f>
        <v>completed</v>
      </c>
      <c r="D1772" s="26">
        <f ca="1">IFERROR(__xludf.DUMMYFUNCTION("""COMPUTED_VALUE"""),18)</f>
        <v>18</v>
      </c>
      <c r="E1772" s="1"/>
      <c r="F1772" s="87" t="str">
        <f t="shared" ca="1" si="0"/>
        <v>2022</v>
      </c>
      <c r="H1772" s="26" t="str">
        <f t="shared" si="1"/>
        <v/>
      </c>
      <c r="I1772" s="26" t="str">
        <f t="shared" si="2"/>
        <v/>
      </c>
      <c r="J1772" s="86">
        <f t="shared" ca="1" si="3"/>
        <v>44781</v>
      </c>
      <c r="R1772" s="26"/>
    </row>
    <row r="1773" spans="1:18" ht="15.75" customHeight="1">
      <c r="A1773" s="26">
        <f ca="1">IFERROR(__xludf.DUMMYFUNCTION("""COMPUTED_VALUE"""),15558)</f>
        <v>15558</v>
      </c>
      <c r="B1773" s="86">
        <f ca="1">IFERROR(__xludf.DUMMYFUNCTION("""COMPUTED_VALUE"""),44781.9586689814)</f>
        <v>44781.958668981402</v>
      </c>
      <c r="C1773" s="1" t="str">
        <f ca="1">IFERROR(__xludf.DUMMYFUNCTION("""COMPUTED_VALUE"""),"completed")</f>
        <v>completed</v>
      </c>
      <c r="D1773" s="26">
        <f ca="1">IFERROR(__xludf.DUMMYFUNCTION("""COMPUTED_VALUE"""),22)</f>
        <v>22</v>
      </c>
      <c r="E1773" s="1"/>
      <c r="F1773" s="87" t="str">
        <f t="shared" ca="1" si="0"/>
        <v>2022</v>
      </c>
      <c r="H1773" s="26" t="str">
        <f t="shared" si="1"/>
        <v/>
      </c>
      <c r="I1773" s="26" t="str">
        <f t="shared" si="2"/>
        <v/>
      </c>
      <c r="J1773" s="86">
        <f t="shared" ca="1" si="3"/>
        <v>44781</v>
      </c>
      <c r="R1773" s="26"/>
    </row>
    <row r="1774" spans="1:18" ht="15.75" customHeight="1">
      <c r="A1774" s="26">
        <f ca="1">IFERROR(__xludf.DUMMYFUNCTION("""COMPUTED_VALUE"""),15557)</f>
        <v>15557</v>
      </c>
      <c r="B1774" s="86">
        <f ca="1">IFERROR(__xludf.DUMMYFUNCTION("""COMPUTED_VALUE"""),44781.9464236111)</f>
        <v>44781.946423611102</v>
      </c>
      <c r="C1774" s="1" t="str">
        <f ca="1">IFERROR(__xludf.DUMMYFUNCTION("""COMPUTED_VALUE"""),"completed")</f>
        <v>completed</v>
      </c>
      <c r="D1774" s="26">
        <f ca="1">IFERROR(__xludf.DUMMYFUNCTION("""COMPUTED_VALUE"""),25)</f>
        <v>25</v>
      </c>
      <c r="E1774" s="1"/>
      <c r="F1774" s="87" t="str">
        <f t="shared" ca="1" si="0"/>
        <v>2022</v>
      </c>
      <c r="H1774" s="26" t="str">
        <f t="shared" si="1"/>
        <v/>
      </c>
      <c r="I1774" s="26" t="str">
        <f t="shared" si="2"/>
        <v/>
      </c>
      <c r="J1774" s="86">
        <f t="shared" ca="1" si="3"/>
        <v>44781</v>
      </c>
      <c r="R1774" s="26"/>
    </row>
    <row r="1775" spans="1:18" ht="15.75" customHeight="1">
      <c r="A1775" s="26">
        <f ca="1">IFERROR(__xludf.DUMMYFUNCTION("""COMPUTED_VALUE"""),15556)</f>
        <v>15556</v>
      </c>
      <c r="B1775" s="86">
        <f ca="1">IFERROR(__xludf.DUMMYFUNCTION("""COMPUTED_VALUE"""),44781.9372569444)</f>
        <v>44781.937256944402</v>
      </c>
      <c r="C1775" s="1" t="str">
        <f ca="1">IFERROR(__xludf.DUMMYFUNCTION("""COMPUTED_VALUE"""),"completed")</f>
        <v>completed</v>
      </c>
      <c r="D1775" s="26">
        <f ca="1">IFERROR(__xludf.DUMMYFUNCTION("""COMPUTED_VALUE"""),55)</f>
        <v>55</v>
      </c>
      <c r="E1775" s="1"/>
      <c r="F1775" s="87" t="str">
        <f t="shared" ca="1" si="0"/>
        <v>2022</v>
      </c>
      <c r="H1775" s="26" t="str">
        <f t="shared" si="1"/>
        <v/>
      </c>
      <c r="I1775" s="26" t="str">
        <f t="shared" si="2"/>
        <v/>
      </c>
      <c r="J1775" s="86">
        <f t="shared" ca="1" si="3"/>
        <v>44781</v>
      </c>
      <c r="R1775" s="26"/>
    </row>
    <row r="1776" spans="1:18" ht="15.75" customHeight="1">
      <c r="A1776" s="26">
        <f ca="1">IFERROR(__xludf.DUMMYFUNCTION("""COMPUTED_VALUE"""),15555)</f>
        <v>15555</v>
      </c>
      <c r="B1776" s="86">
        <f ca="1">IFERROR(__xludf.DUMMYFUNCTION("""COMPUTED_VALUE"""),44781.9362384259)</f>
        <v>44781.9362384259</v>
      </c>
      <c r="C1776" s="1" t="str">
        <f ca="1">IFERROR(__xludf.DUMMYFUNCTION("""COMPUTED_VALUE"""),"completed")</f>
        <v>completed</v>
      </c>
      <c r="D1776" s="26">
        <f ca="1">IFERROR(__xludf.DUMMYFUNCTION("""COMPUTED_VALUE"""),35)</f>
        <v>35</v>
      </c>
      <c r="E1776" s="1"/>
      <c r="F1776" s="87" t="str">
        <f t="shared" ca="1" si="0"/>
        <v>2022</v>
      </c>
      <c r="H1776" s="26" t="str">
        <f t="shared" si="1"/>
        <v/>
      </c>
      <c r="I1776" s="26" t="str">
        <f t="shared" si="2"/>
        <v/>
      </c>
      <c r="J1776" s="86">
        <f t="shared" ca="1" si="3"/>
        <v>44781</v>
      </c>
      <c r="R1776" s="26"/>
    </row>
    <row r="1777" spans="1:18" ht="15.75" customHeight="1">
      <c r="A1777" s="26">
        <f ca="1">IFERROR(__xludf.DUMMYFUNCTION("""COMPUTED_VALUE"""),15554)</f>
        <v>15554</v>
      </c>
      <c r="B1777" s="86">
        <f ca="1">IFERROR(__xludf.DUMMYFUNCTION("""COMPUTED_VALUE"""),44781.9334375)</f>
        <v>44781.933437500003</v>
      </c>
      <c r="C1777" s="1" t="str">
        <f ca="1">IFERROR(__xludf.DUMMYFUNCTION("""COMPUTED_VALUE"""),"completed")</f>
        <v>completed</v>
      </c>
      <c r="D1777" s="26">
        <f ca="1">IFERROR(__xludf.DUMMYFUNCTION("""COMPUTED_VALUE"""),37)</f>
        <v>37</v>
      </c>
      <c r="E1777" s="1"/>
      <c r="F1777" s="87" t="str">
        <f t="shared" ca="1" si="0"/>
        <v>2022</v>
      </c>
      <c r="H1777" s="26" t="str">
        <f t="shared" si="1"/>
        <v/>
      </c>
      <c r="I1777" s="26" t="str">
        <f t="shared" si="2"/>
        <v/>
      </c>
      <c r="J1777" s="86">
        <f t="shared" ca="1" si="3"/>
        <v>44781</v>
      </c>
      <c r="R1777" s="26"/>
    </row>
    <row r="1778" spans="1:18" ht="15.75" customHeight="1">
      <c r="A1778" s="26">
        <f ca="1">IFERROR(__xludf.DUMMYFUNCTION("""COMPUTED_VALUE"""),15553)</f>
        <v>15553</v>
      </c>
      <c r="B1778" s="86">
        <f ca="1">IFERROR(__xludf.DUMMYFUNCTION("""COMPUTED_VALUE"""),44781.9291550925)</f>
        <v>44781.929155092497</v>
      </c>
      <c r="C1778" s="1" t="str">
        <f ca="1">IFERROR(__xludf.DUMMYFUNCTION("""COMPUTED_VALUE"""),"completed")</f>
        <v>completed</v>
      </c>
      <c r="D1778" s="26">
        <f ca="1">IFERROR(__xludf.DUMMYFUNCTION("""COMPUTED_VALUE"""),20)</f>
        <v>20</v>
      </c>
      <c r="E1778" s="1"/>
      <c r="F1778" s="87" t="str">
        <f t="shared" ca="1" si="0"/>
        <v>2022</v>
      </c>
      <c r="H1778" s="26" t="str">
        <f t="shared" si="1"/>
        <v/>
      </c>
      <c r="I1778" s="26" t="str">
        <f t="shared" si="2"/>
        <v/>
      </c>
      <c r="J1778" s="86">
        <f t="shared" ca="1" si="3"/>
        <v>44781</v>
      </c>
      <c r="R1778" s="26"/>
    </row>
    <row r="1779" spans="1:18" ht="15.75" customHeight="1">
      <c r="A1779" s="26">
        <f ca="1">IFERROR(__xludf.DUMMYFUNCTION("""COMPUTED_VALUE"""),15552)</f>
        <v>15552</v>
      </c>
      <c r="B1779" s="86">
        <f ca="1">IFERROR(__xludf.DUMMYFUNCTION("""COMPUTED_VALUE"""),44781.9277314814)</f>
        <v>44781.927731481403</v>
      </c>
      <c r="C1779" s="1" t="str">
        <f ca="1">IFERROR(__xludf.DUMMYFUNCTION("""COMPUTED_VALUE"""),"completed")</f>
        <v>completed</v>
      </c>
      <c r="D1779" s="26">
        <f ca="1">IFERROR(__xludf.DUMMYFUNCTION("""COMPUTED_VALUE"""),45)</f>
        <v>45</v>
      </c>
      <c r="E1779" s="1"/>
      <c r="F1779" s="87" t="str">
        <f t="shared" ca="1" si="0"/>
        <v>2022</v>
      </c>
      <c r="H1779" s="26" t="str">
        <f t="shared" si="1"/>
        <v/>
      </c>
      <c r="I1779" s="26" t="str">
        <f t="shared" si="2"/>
        <v/>
      </c>
      <c r="J1779" s="86">
        <f t="shared" ca="1" si="3"/>
        <v>44781</v>
      </c>
      <c r="R1779" s="26"/>
    </row>
    <row r="1780" spans="1:18" ht="15.75" customHeight="1">
      <c r="A1780" s="26">
        <f ca="1">IFERROR(__xludf.DUMMYFUNCTION("""COMPUTED_VALUE"""),15551)</f>
        <v>15551</v>
      </c>
      <c r="B1780" s="86">
        <f ca="1">IFERROR(__xludf.DUMMYFUNCTION("""COMPUTED_VALUE"""),44781.9265856481)</f>
        <v>44781.9265856481</v>
      </c>
      <c r="C1780" s="1" t="str">
        <f ca="1">IFERROR(__xludf.DUMMYFUNCTION("""COMPUTED_VALUE"""),"completed")</f>
        <v>completed</v>
      </c>
      <c r="D1780" s="26">
        <f ca="1">IFERROR(__xludf.DUMMYFUNCTION("""COMPUTED_VALUE"""),40)</f>
        <v>40</v>
      </c>
      <c r="E1780" s="1"/>
      <c r="F1780" s="87" t="str">
        <f t="shared" ca="1" si="0"/>
        <v>2022</v>
      </c>
      <c r="H1780" s="26" t="str">
        <f t="shared" si="1"/>
        <v/>
      </c>
      <c r="I1780" s="26" t="str">
        <f t="shared" si="2"/>
        <v/>
      </c>
      <c r="J1780" s="86">
        <f t="shared" ca="1" si="3"/>
        <v>44781</v>
      </c>
      <c r="R1780" s="26"/>
    </row>
    <row r="1781" spans="1:18" ht="15.75" customHeight="1">
      <c r="A1781" s="26">
        <f ca="1">IFERROR(__xludf.DUMMYFUNCTION("""COMPUTED_VALUE"""),15550)</f>
        <v>15550</v>
      </c>
      <c r="B1781" s="86">
        <f ca="1">IFERROR(__xludf.DUMMYFUNCTION("""COMPUTED_VALUE"""),44781.9263078703)</f>
        <v>44781.926307870301</v>
      </c>
      <c r="C1781" s="1" t="str">
        <f ca="1">IFERROR(__xludf.DUMMYFUNCTION("""COMPUTED_VALUE"""),"completed")</f>
        <v>completed</v>
      </c>
      <c r="D1781" s="26">
        <f ca="1">IFERROR(__xludf.DUMMYFUNCTION("""COMPUTED_VALUE"""),33)</f>
        <v>33</v>
      </c>
      <c r="E1781" s="1"/>
      <c r="F1781" s="87" t="str">
        <f t="shared" ca="1" si="0"/>
        <v>2022</v>
      </c>
      <c r="H1781" s="26" t="str">
        <f t="shared" si="1"/>
        <v/>
      </c>
      <c r="I1781" s="26" t="str">
        <f t="shared" si="2"/>
        <v/>
      </c>
      <c r="J1781" s="86">
        <f t="shared" ca="1" si="3"/>
        <v>44781</v>
      </c>
      <c r="R1781" s="26"/>
    </row>
    <row r="1782" spans="1:18" ht="15.75" customHeight="1">
      <c r="A1782" s="26">
        <f ca="1">IFERROR(__xludf.DUMMYFUNCTION("""COMPUTED_VALUE"""),15549)</f>
        <v>15549</v>
      </c>
      <c r="B1782" s="86">
        <f ca="1">IFERROR(__xludf.DUMMYFUNCTION("""COMPUTED_VALUE"""),44781.9230555555)</f>
        <v>44781.923055555497</v>
      </c>
      <c r="C1782" s="1" t="str">
        <f ca="1">IFERROR(__xludf.DUMMYFUNCTION("""COMPUTED_VALUE"""),"completed")</f>
        <v>completed</v>
      </c>
      <c r="D1782" s="26">
        <f ca="1">IFERROR(__xludf.DUMMYFUNCTION("""COMPUTED_VALUE"""),40)</f>
        <v>40</v>
      </c>
      <c r="E1782" s="1"/>
      <c r="F1782" s="87" t="str">
        <f t="shared" ca="1" si="0"/>
        <v>2022</v>
      </c>
      <c r="H1782" s="26" t="str">
        <f t="shared" si="1"/>
        <v/>
      </c>
      <c r="I1782" s="26" t="str">
        <f t="shared" si="2"/>
        <v/>
      </c>
      <c r="J1782" s="86">
        <f t="shared" ca="1" si="3"/>
        <v>44781</v>
      </c>
      <c r="R1782" s="26"/>
    </row>
    <row r="1783" spans="1:18" ht="15.75" customHeight="1">
      <c r="A1783" s="26">
        <f ca="1">IFERROR(__xludf.DUMMYFUNCTION("""COMPUTED_VALUE"""),15547)</f>
        <v>15547</v>
      </c>
      <c r="B1783" s="86">
        <f ca="1">IFERROR(__xludf.DUMMYFUNCTION("""COMPUTED_VALUE"""),44781.7421412037)</f>
        <v>44781.7421412037</v>
      </c>
      <c r="C1783" s="1" t="str">
        <f ca="1">IFERROR(__xludf.DUMMYFUNCTION("""COMPUTED_VALUE"""),"completed")</f>
        <v>completed</v>
      </c>
      <c r="D1783" s="26">
        <f ca="1">IFERROR(__xludf.DUMMYFUNCTION("""COMPUTED_VALUE"""),22)</f>
        <v>22</v>
      </c>
      <c r="E1783" s="1"/>
      <c r="F1783" s="87" t="str">
        <f t="shared" ca="1" si="0"/>
        <v>2022</v>
      </c>
      <c r="H1783" s="26" t="str">
        <f t="shared" si="1"/>
        <v/>
      </c>
      <c r="I1783" s="26" t="str">
        <f t="shared" si="2"/>
        <v/>
      </c>
      <c r="J1783" s="86">
        <f t="shared" ca="1" si="3"/>
        <v>44781</v>
      </c>
      <c r="R1783" s="26"/>
    </row>
    <row r="1784" spans="1:18" ht="15.75" customHeight="1">
      <c r="A1784" s="26">
        <f ca="1">IFERROR(__xludf.DUMMYFUNCTION("""COMPUTED_VALUE"""),15538)</f>
        <v>15538</v>
      </c>
      <c r="B1784" s="86">
        <f ca="1">IFERROR(__xludf.DUMMYFUNCTION("""COMPUTED_VALUE"""),44781.0660763888)</f>
        <v>44781.066076388801</v>
      </c>
      <c r="C1784" s="1" t="str">
        <f ca="1">IFERROR(__xludf.DUMMYFUNCTION("""COMPUTED_VALUE"""),"completed")</f>
        <v>completed</v>
      </c>
      <c r="D1784" s="26">
        <f ca="1">IFERROR(__xludf.DUMMYFUNCTION("""COMPUTED_VALUE"""),22)</f>
        <v>22</v>
      </c>
      <c r="E1784" s="1"/>
      <c r="F1784" s="87" t="str">
        <f t="shared" ca="1" si="0"/>
        <v>2022</v>
      </c>
      <c r="H1784" s="26" t="str">
        <f t="shared" si="1"/>
        <v/>
      </c>
      <c r="I1784" s="26" t="str">
        <f t="shared" si="2"/>
        <v/>
      </c>
      <c r="J1784" s="86">
        <f t="shared" ca="1" si="3"/>
        <v>44781</v>
      </c>
      <c r="R1784" s="26"/>
    </row>
    <row r="1785" spans="1:18" ht="15.75" customHeight="1">
      <c r="A1785" s="26">
        <f ca="1">IFERROR(__xludf.DUMMYFUNCTION("""COMPUTED_VALUE"""),15127)</f>
        <v>15127</v>
      </c>
      <c r="B1785" s="86">
        <f ca="1">IFERROR(__xludf.DUMMYFUNCTION("""COMPUTED_VALUE"""),44774.9800925925)</f>
        <v>44774.980092592501</v>
      </c>
      <c r="C1785" s="1" t="str">
        <f ca="1">IFERROR(__xludf.DUMMYFUNCTION("""COMPUTED_VALUE"""),"completed")</f>
        <v>completed</v>
      </c>
      <c r="D1785" s="26">
        <f ca="1">IFERROR(__xludf.DUMMYFUNCTION("""COMPUTED_VALUE"""),455)</f>
        <v>455</v>
      </c>
      <c r="E1785" s="1"/>
      <c r="F1785" s="87" t="str">
        <f t="shared" ca="1" si="0"/>
        <v>2022</v>
      </c>
      <c r="H1785" s="26" t="str">
        <f t="shared" si="1"/>
        <v/>
      </c>
      <c r="I1785" s="26" t="str">
        <f t="shared" si="2"/>
        <v/>
      </c>
      <c r="J1785" s="86">
        <f t="shared" ca="1" si="3"/>
        <v>44774</v>
      </c>
      <c r="R1785" s="26"/>
    </row>
    <row r="1786" spans="1:18" ht="15.75" customHeight="1">
      <c r="A1786" s="26">
        <f ca="1">IFERROR(__xludf.DUMMYFUNCTION("""COMPUTED_VALUE"""),14943)</f>
        <v>14943</v>
      </c>
      <c r="B1786" s="86">
        <f ca="1">IFERROR(__xludf.DUMMYFUNCTION("""COMPUTED_VALUE"""),44773.755787037)</f>
        <v>44773.755787037</v>
      </c>
      <c r="C1786" s="1" t="str">
        <f ca="1">IFERROR(__xludf.DUMMYFUNCTION("""COMPUTED_VALUE"""),"completed")</f>
        <v>completed</v>
      </c>
      <c r="D1786" s="26">
        <f ca="1">IFERROR(__xludf.DUMMYFUNCTION("""COMPUTED_VALUE"""),0)</f>
        <v>0</v>
      </c>
      <c r="E1786" s="1"/>
      <c r="F1786" s="87" t="str">
        <f t="shared" ca="1" si="0"/>
        <v>2022</v>
      </c>
      <c r="H1786" s="26" t="str">
        <f t="shared" si="1"/>
        <v/>
      </c>
      <c r="I1786" s="26" t="str">
        <f t="shared" si="2"/>
        <v/>
      </c>
      <c r="J1786" s="86">
        <f t="shared" ca="1" si="3"/>
        <v>44773</v>
      </c>
      <c r="R1786" s="26"/>
    </row>
    <row r="1787" spans="1:18" ht="15.75" customHeight="1">
      <c r="A1787" s="26">
        <f ca="1">IFERROR(__xludf.DUMMYFUNCTION("""COMPUTED_VALUE"""),14286)</f>
        <v>14286</v>
      </c>
      <c r="B1787" s="86">
        <f ca="1">IFERROR(__xludf.DUMMYFUNCTION("""COMPUTED_VALUE"""),44764.6967592592)</f>
        <v>44764.696759259197</v>
      </c>
      <c r="C1787" s="1" t="str">
        <f ca="1">IFERROR(__xludf.DUMMYFUNCTION("""COMPUTED_VALUE"""),"completed")</f>
        <v>completed</v>
      </c>
      <c r="D1787" s="26">
        <f ca="1">IFERROR(__xludf.DUMMYFUNCTION("""COMPUTED_VALUE"""),65)</f>
        <v>65</v>
      </c>
      <c r="E1787" s="1"/>
      <c r="F1787" s="87" t="str">
        <f t="shared" ca="1" si="0"/>
        <v>2022</v>
      </c>
      <c r="H1787" s="26" t="str">
        <f t="shared" si="1"/>
        <v/>
      </c>
      <c r="I1787" s="26" t="str">
        <f t="shared" si="2"/>
        <v/>
      </c>
      <c r="J1787" s="86">
        <f t="shared" ca="1" si="3"/>
        <v>44764</v>
      </c>
      <c r="R1787" s="26"/>
    </row>
    <row r="1788" spans="1:18" ht="15.75" customHeight="1">
      <c r="A1788" s="26">
        <f ca="1">IFERROR(__xludf.DUMMYFUNCTION("""COMPUTED_VALUE"""),13717)</f>
        <v>13717</v>
      </c>
      <c r="B1788" s="86">
        <f ca="1">IFERROR(__xludf.DUMMYFUNCTION("""COMPUTED_VALUE"""),44742.2088773148)</f>
        <v>44742.208877314799</v>
      </c>
      <c r="C1788" s="1" t="str">
        <f ca="1">IFERROR(__xludf.DUMMYFUNCTION("""COMPUTED_VALUE"""),"completed")</f>
        <v>completed</v>
      </c>
      <c r="D1788" s="26">
        <f ca="1">IFERROR(__xludf.DUMMYFUNCTION("""COMPUTED_VALUE"""),0)</f>
        <v>0</v>
      </c>
      <c r="E1788" s="1"/>
      <c r="F1788" s="87" t="str">
        <f t="shared" ca="1" si="0"/>
        <v>2022</v>
      </c>
      <c r="H1788" s="26" t="str">
        <f t="shared" si="1"/>
        <v/>
      </c>
      <c r="I1788" s="26" t="str">
        <f t="shared" si="2"/>
        <v/>
      </c>
      <c r="J1788" s="86">
        <f t="shared" ca="1" si="3"/>
        <v>44742</v>
      </c>
      <c r="R1788" s="26"/>
    </row>
    <row r="1789" spans="1:18" ht="15.75" customHeight="1">
      <c r="A1789" s="26">
        <f ca="1">IFERROR(__xludf.DUMMYFUNCTION("""COMPUTED_VALUE"""),13716)</f>
        <v>13716</v>
      </c>
      <c r="B1789" s="86">
        <f ca="1">IFERROR(__xludf.DUMMYFUNCTION("""COMPUTED_VALUE"""),44742.1747106481)</f>
        <v>44742.174710648098</v>
      </c>
      <c r="C1789" s="1" t="str">
        <f ca="1">IFERROR(__xludf.DUMMYFUNCTION("""COMPUTED_VALUE"""),"completed")</f>
        <v>completed</v>
      </c>
      <c r="D1789" s="26">
        <f ca="1">IFERROR(__xludf.DUMMYFUNCTION("""COMPUTED_VALUE"""),0)</f>
        <v>0</v>
      </c>
      <c r="E1789" s="1"/>
      <c r="F1789" s="87" t="str">
        <f t="shared" ca="1" si="0"/>
        <v>2022</v>
      </c>
      <c r="H1789" s="26" t="str">
        <f t="shared" si="1"/>
        <v/>
      </c>
      <c r="I1789" s="26" t="str">
        <f t="shared" si="2"/>
        <v/>
      </c>
      <c r="J1789" s="86">
        <f t="shared" ca="1" si="3"/>
        <v>44742</v>
      </c>
      <c r="R1789" s="26"/>
    </row>
    <row r="1790" spans="1:18" ht="15.75" customHeight="1">
      <c r="A1790" s="26">
        <f ca="1">IFERROR(__xludf.DUMMYFUNCTION("""COMPUTED_VALUE"""),13715)</f>
        <v>13715</v>
      </c>
      <c r="B1790" s="86">
        <f ca="1">IFERROR(__xludf.DUMMYFUNCTION("""COMPUTED_VALUE"""),44740.8637847222)</f>
        <v>44740.863784722198</v>
      </c>
      <c r="C1790" s="1" t="str">
        <f ca="1">IFERROR(__xludf.DUMMYFUNCTION("""COMPUTED_VALUE"""),"completed")</f>
        <v>completed</v>
      </c>
      <c r="D1790" s="26">
        <f ca="1">IFERROR(__xludf.DUMMYFUNCTION("""COMPUTED_VALUE"""),35)</f>
        <v>35</v>
      </c>
      <c r="E1790" s="1"/>
      <c r="F1790" s="87" t="str">
        <f t="shared" ca="1" si="0"/>
        <v>2022</v>
      </c>
      <c r="H1790" s="26" t="str">
        <f t="shared" si="1"/>
        <v/>
      </c>
      <c r="I1790" s="26" t="str">
        <f t="shared" si="2"/>
        <v/>
      </c>
      <c r="J1790" s="86">
        <f t="shared" ca="1" si="3"/>
        <v>44740</v>
      </c>
      <c r="R1790" s="26"/>
    </row>
    <row r="1791" spans="1:18" ht="15.75" customHeight="1">
      <c r="A1791" s="26">
        <f ca="1">IFERROR(__xludf.DUMMYFUNCTION("""COMPUTED_VALUE"""),13713)</f>
        <v>13713</v>
      </c>
      <c r="B1791" s="86">
        <f ca="1">IFERROR(__xludf.DUMMYFUNCTION("""COMPUTED_VALUE"""),44738.5945833333)</f>
        <v>44738.594583333303</v>
      </c>
      <c r="C1791" s="1" t="str">
        <f ca="1">IFERROR(__xludf.DUMMYFUNCTION("""COMPUTED_VALUE"""),"completed")</f>
        <v>completed</v>
      </c>
      <c r="D1791" s="26">
        <f ca="1">IFERROR(__xludf.DUMMYFUNCTION("""COMPUTED_VALUE"""),55)</f>
        <v>55</v>
      </c>
      <c r="E1791" s="1"/>
      <c r="F1791" s="87" t="str">
        <f t="shared" ca="1" si="0"/>
        <v>2022</v>
      </c>
      <c r="H1791" s="26" t="str">
        <f t="shared" si="1"/>
        <v/>
      </c>
      <c r="I1791" s="26" t="str">
        <f t="shared" si="2"/>
        <v/>
      </c>
      <c r="J1791" s="86">
        <f t="shared" ca="1" si="3"/>
        <v>44738</v>
      </c>
      <c r="R1791" s="26"/>
    </row>
    <row r="1792" spans="1:18" ht="15.75" customHeight="1">
      <c r="A1792" s="26">
        <f ca="1">IFERROR(__xludf.DUMMYFUNCTION("""COMPUTED_VALUE"""),13712)</f>
        <v>13712</v>
      </c>
      <c r="B1792" s="86">
        <f ca="1">IFERROR(__xludf.DUMMYFUNCTION("""COMPUTED_VALUE"""),44736.9364699074)</f>
        <v>44736.936469907399</v>
      </c>
      <c r="C1792" s="1" t="str">
        <f ca="1">IFERROR(__xludf.DUMMYFUNCTION("""COMPUTED_VALUE"""),"completed")</f>
        <v>completed</v>
      </c>
      <c r="D1792" s="26">
        <f ca="1">IFERROR(__xludf.DUMMYFUNCTION("""COMPUTED_VALUE"""),25)</f>
        <v>25</v>
      </c>
      <c r="E1792" s="1"/>
      <c r="F1792" s="87" t="str">
        <f t="shared" ca="1" si="0"/>
        <v>2022</v>
      </c>
      <c r="H1792" s="26" t="str">
        <f t="shared" si="1"/>
        <v/>
      </c>
      <c r="I1792" s="26" t="str">
        <f t="shared" si="2"/>
        <v/>
      </c>
      <c r="J1792" s="86">
        <f t="shared" ca="1" si="3"/>
        <v>44736</v>
      </c>
      <c r="R1792" s="26"/>
    </row>
    <row r="1793" spans="1:18" ht="15.75" customHeight="1">
      <c r="A1793" s="26">
        <f ca="1">IFERROR(__xludf.DUMMYFUNCTION("""COMPUTED_VALUE"""),13708)</f>
        <v>13708</v>
      </c>
      <c r="B1793" s="86">
        <f ca="1">IFERROR(__xludf.DUMMYFUNCTION("""COMPUTED_VALUE"""),44712.1388657407)</f>
        <v>44712.138865740701</v>
      </c>
      <c r="C1793" s="1" t="str">
        <f ca="1">IFERROR(__xludf.DUMMYFUNCTION("""COMPUTED_VALUE"""),"completed")</f>
        <v>completed</v>
      </c>
      <c r="D1793" s="26">
        <f ca="1">IFERROR(__xludf.DUMMYFUNCTION("""COMPUTED_VALUE"""),25)</f>
        <v>25</v>
      </c>
      <c r="E1793" s="1"/>
      <c r="F1793" s="87" t="str">
        <f t="shared" ca="1" si="0"/>
        <v>2022</v>
      </c>
      <c r="H1793" s="26" t="str">
        <f t="shared" si="1"/>
        <v/>
      </c>
      <c r="I1793" s="26" t="str">
        <f t="shared" si="2"/>
        <v/>
      </c>
      <c r="J1793" s="86">
        <f t="shared" ca="1" si="3"/>
        <v>44712</v>
      </c>
      <c r="R1793" s="26"/>
    </row>
    <row r="1794" spans="1:18" ht="15.75" customHeight="1">
      <c r="A1794" s="26">
        <f ca="1">IFERROR(__xludf.DUMMYFUNCTION("""COMPUTED_VALUE"""),13707)</f>
        <v>13707</v>
      </c>
      <c r="B1794" s="86">
        <f ca="1">IFERROR(__xludf.DUMMYFUNCTION("""COMPUTED_VALUE"""),44712.1345833333)</f>
        <v>44712.134583333303</v>
      </c>
      <c r="C1794" s="1" t="str">
        <f ca="1">IFERROR(__xludf.DUMMYFUNCTION("""COMPUTED_VALUE"""),"completed")</f>
        <v>completed</v>
      </c>
      <c r="D1794" s="26">
        <f ca="1">IFERROR(__xludf.DUMMYFUNCTION("""COMPUTED_VALUE"""),25)</f>
        <v>25</v>
      </c>
      <c r="E1794" s="1"/>
      <c r="F1794" s="87" t="str">
        <f t="shared" ca="1" si="0"/>
        <v>2022</v>
      </c>
      <c r="H1794" s="26" t="str">
        <f t="shared" si="1"/>
        <v/>
      </c>
      <c r="I1794" s="26" t="str">
        <f t="shared" si="2"/>
        <v/>
      </c>
      <c r="J1794" s="86">
        <f t="shared" ca="1" si="3"/>
        <v>44712</v>
      </c>
      <c r="R1794" s="26"/>
    </row>
    <row r="1795" spans="1:18" ht="15.75" customHeight="1">
      <c r="A1795" s="26">
        <f ca="1">IFERROR(__xludf.DUMMYFUNCTION("""COMPUTED_VALUE"""),13706)</f>
        <v>13706</v>
      </c>
      <c r="B1795" s="86">
        <f ca="1">IFERROR(__xludf.DUMMYFUNCTION("""COMPUTED_VALUE"""),44711.5706481481)</f>
        <v>44711.570648148103</v>
      </c>
      <c r="C1795" s="1" t="str">
        <f ca="1">IFERROR(__xludf.DUMMYFUNCTION("""COMPUTED_VALUE"""),"completed")</f>
        <v>completed</v>
      </c>
      <c r="D1795" s="26">
        <f ca="1">IFERROR(__xludf.DUMMYFUNCTION("""COMPUTED_VALUE"""),12)</f>
        <v>12</v>
      </c>
      <c r="E1795" s="1"/>
      <c r="F1795" s="87" t="str">
        <f t="shared" ca="1" si="0"/>
        <v>2022</v>
      </c>
      <c r="H1795" s="26" t="str">
        <f t="shared" si="1"/>
        <v/>
      </c>
      <c r="I1795" s="26" t="str">
        <f t="shared" si="2"/>
        <v/>
      </c>
      <c r="J1795" s="86">
        <f t="shared" ca="1" si="3"/>
        <v>44711</v>
      </c>
      <c r="R1795" s="26"/>
    </row>
    <row r="1796" spans="1:18" ht="15.75" customHeight="1">
      <c r="A1796" s="26">
        <f ca="1">IFERROR(__xludf.DUMMYFUNCTION("""COMPUTED_VALUE"""),13705)</f>
        <v>13705</v>
      </c>
      <c r="B1796" s="86">
        <f ca="1">IFERROR(__xludf.DUMMYFUNCTION("""COMPUTED_VALUE"""),44711.5690046296)</f>
        <v>44711.5690046296</v>
      </c>
      <c r="C1796" s="1" t="str">
        <f ca="1">IFERROR(__xludf.DUMMYFUNCTION("""COMPUTED_VALUE"""),"completed")</f>
        <v>completed</v>
      </c>
      <c r="D1796" s="26">
        <f ca="1">IFERROR(__xludf.DUMMYFUNCTION("""COMPUTED_VALUE"""),12)</f>
        <v>12</v>
      </c>
      <c r="E1796" s="1"/>
      <c r="F1796" s="87" t="str">
        <f t="shared" ca="1" si="0"/>
        <v>2022</v>
      </c>
      <c r="H1796" s="26" t="str">
        <f t="shared" si="1"/>
        <v/>
      </c>
      <c r="I1796" s="26" t="str">
        <f t="shared" si="2"/>
        <v/>
      </c>
      <c r="J1796" s="86">
        <f t="shared" ca="1" si="3"/>
        <v>44711</v>
      </c>
      <c r="R1796" s="26"/>
    </row>
    <row r="1797" spans="1:18" ht="15.75" customHeight="1">
      <c r="A1797" s="26">
        <f ca="1">IFERROR(__xludf.DUMMYFUNCTION("""COMPUTED_VALUE"""),13704)</f>
        <v>13704</v>
      </c>
      <c r="B1797" s="86">
        <f ca="1">IFERROR(__xludf.DUMMYFUNCTION("""COMPUTED_VALUE"""),44709.7174074074)</f>
        <v>44709.717407407399</v>
      </c>
      <c r="C1797" s="1" t="str">
        <f ca="1">IFERROR(__xludf.DUMMYFUNCTION("""COMPUTED_VALUE"""),"completed")</f>
        <v>completed</v>
      </c>
      <c r="D1797" s="26">
        <f ca="1">IFERROR(__xludf.DUMMYFUNCTION("""COMPUTED_VALUE"""),35)</f>
        <v>35</v>
      </c>
      <c r="E1797" s="1"/>
      <c r="F1797" s="87" t="str">
        <f t="shared" ca="1" si="0"/>
        <v>2022</v>
      </c>
      <c r="H1797" s="26" t="str">
        <f t="shared" si="1"/>
        <v/>
      </c>
      <c r="I1797" s="26" t="str">
        <f t="shared" si="2"/>
        <v/>
      </c>
      <c r="J1797" s="86">
        <f t="shared" ca="1" si="3"/>
        <v>44709</v>
      </c>
      <c r="R1797" s="26"/>
    </row>
    <row r="1798" spans="1:18" ht="15.75" customHeight="1">
      <c r="A1798" s="26">
        <f ca="1">IFERROR(__xludf.DUMMYFUNCTION("""COMPUTED_VALUE"""),13702)</f>
        <v>13702</v>
      </c>
      <c r="B1798" s="86">
        <f ca="1">IFERROR(__xludf.DUMMYFUNCTION("""COMPUTED_VALUE"""),44706.6762037037)</f>
        <v>44706.676203703697</v>
      </c>
      <c r="C1798" s="1" t="str">
        <f ca="1">IFERROR(__xludf.DUMMYFUNCTION("""COMPUTED_VALUE"""),"completed")</f>
        <v>completed</v>
      </c>
      <c r="D1798" s="26">
        <f ca="1">IFERROR(__xludf.DUMMYFUNCTION("""COMPUTED_VALUE"""),30)</f>
        <v>30</v>
      </c>
      <c r="E1798" s="1"/>
      <c r="F1798" s="87" t="str">
        <f t="shared" ca="1" si="0"/>
        <v>2022</v>
      </c>
      <c r="H1798" s="26" t="str">
        <f t="shared" si="1"/>
        <v/>
      </c>
      <c r="I1798" s="26" t="str">
        <f t="shared" si="2"/>
        <v/>
      </c>
      <c r="J1798" s="86">
        <f t="shared" ca="1" si="3"/>
        <v>44706</v>
      </c>
      <c r="R1798" s="26"/>
    </row>
    <row r="1799" spans="1:18" ht="15.75" customHeight="1">
      <c r="A1799" s="26">
        <f ca="1">IFERROR(__xludf.DUMMYFUNCTION("""COMPUTED_VALUE"""),13701)</f>
        <v>13701</v>
      </c>
      <c r="B1799" s="86">
        <f ca="1">IFERROR(__xludf.DUMMYFUNCTION("""COMPUTED_VALUE"""),44705.1117708333)</f>
        <v>44705.111770833297</v>
      </c>
      <c r="C1799" s="1" t="str">
        <f ca="1">IFERROR(__xludf.DUMMYFUNCTION("""COMPUTED_VALUE"""),"completed")</f>
        <v>completed</v>
      </c>
      <c r="D1799" s="26">
        <f ca="1">IFERROR(__xludf.DUMMYFUNCTION("""COMPUTED_VALUE"""),60)</f>
        <v>60</v>
      </c>
      <c r="E1799" s="1"/>
      <c r="F1799" s="87" t="str">
        <f t="shared" ca="1" si="0"/>
        <v>2022</v>
      </c>
      <c r="H1799" s="26" t="str">
        <f t="shared" si="1"/>
        <v/>
      </c>
      <c r="I1799" s="26" t="str">
        <f t="shared" si="2"/>
        <v/>
      </c>
      <c r="J1799" s="86">
        <f t="shared" ca="1" si="3"/>
        <v>44705</v>
      </c>
      <c r="R1799" s="26"/>
    </row>
    <row r="1800" spans="1:18" ht="15.75" customHeight="1">
      <c r="A1800" s="26">
        <f ca="1">IFERROR(__xludf.DUMMYFUNCTION("""COMPUTED_VALUE"""),13700)</f>
        <v>13700</v>
      </c>
      <c r="B1800" s="86">
        <f ca="1">IFERROR(__xludf.DUMMYFUNCTION("""COMPUTED_VALUE"""),44704.8187268518)</f>
        <v>44704.818726851801</v>
      </c>
      <c r="C1800" s="1" t="str">
        <f ca="1">IFERROR(__xludf.DUMMYFUNCTION("""COMPUTED_VALUE"""),"completed")</f>
        <v>completed</v>
      </c>
      <c r="D1800" s="26">
        <f ca="1">IFERROR(__xludf.DUMMYFUNCTION("""COMPUTED_VALUE"""),30)</f>
        <v>30</v>
      </c>
      <c r="E1800" s="1"/>
      <c r="F1800" s="87" t="str">
        <f t="shared" ca="1" si="0"/>
        <v>2022</v>
      </c>
      <c r="H1800" s="26" t="str">
        <f t="shared" si="1"/>
        <v/>
      </c>
      <c r="I1800" s="26" t="str">
        <f t="shared" si="2"/>
        <v/>
      </c>
      <c r="J1800" s="86">
        <f t="shared" ca="1" si="3"/>
        <v>44704</v>
      </c>
      <c r="R1800" s="26"/>
    </row>
    <row r="1801" spans="1:18" ht="15.75" customHeight="1">
      <c r="A1801" s="26">
        <f ca="1">IFERROR(__xludf.DUMMYFUNCTION("""COMPUTED_VALUE"""),13698)</f>
        <v>13698</v>
      </c>
      <c r="B1801" s="86">
        <f ca="1">IFERROR(__xludf.DUMMYFUNCTION("""COMPUTED_VALUE"""),44697.5734837962)</f>
        <v>44697.573483796201</v>
      </c>
      <c r="C1801" s="1" t="str">
        <f ca="1">IFERROR(__xludf.DUMMYFUNCTION("""COMPUTED_VALUE"""),"completed")</f>
        <v>completed</v>
      </c>
      <c r="D1801" s="26">
        <f ca="1">IFERROR(__xludf.DUMMYFUNCTION("""COMPUTED_VALUE"""),15)</f>
        <v>15</v>
      </c>
      <c r="E1801" s="1"/>
      <c r="F1801" s="87" t="str">
        <f t="shared" ca="1" si="0"/>
        <v>2022</v>
      </c>
      <c r="H1801" s="26" t="str">
        <f t="shared" si="1"/>
        <v/>
      </c>
      <c r="I1801" s="26" t="str">
        <f t="shared" si="2"/>
        <v/>
      </c>
      <c r="J1801" s="86">
        <f t="shared" ca="1" si="3"/>
        <v>44697</v>
      </c>
      <c r="R1801" s="26"/>
    </row>
    <row r="1802" spans="1:18" ht="15.75" customHeight="1">
      <c r="A1802" s="26">
        <f ca="1">IFERROR(__xludf.DUMMYFUNCTION("""COMPUTED_VALUE"""),13696)</f>
        <v>13696</v>
      </c>
      <c r="B1802" s="86">
        <f ca="1">IFERROR(__xludf.DUMMYFUNCTION("""COMPUTED_VALUE"""),44695.6557407407)</f>
        <v>44695.655740740702</v>
      </c>
      <c r="C1802" s="1" t="str">
        <f ca="1">IFERROR(__xludf.DUMMYFUNCTION("""COMPUTED_VALUE"""),"completed")</f>
        <v>completed</v>
      </c>
      <c r="D1802" s="26">
        <f ca="1">IFERROR(__xludf.DUMMYFUNCTION("""COMPUTED_VALUE"""),18)</f>
        <v>18</v>
      </c>
      <c r="E1802" s="1"/>
      <c r="F1802" s="87" t="str">
        <f t="shared" ca="1" si="0"/>
        <v>2022</v>
      </c>
      <c r="H1802" s="26" t="str">
        <f t="shared" si="1"/>
        <v/>
      </c>
      <c r="I1802" s="26" t="str">
        <f t="shared" si="2"/>
        <v/>
      </c>
      <c r="J1802" s="86">
        <f t="shared" ca="1" si="3"/>
        <v>44695</v>
      </c>
      <c r="R1802" s="26"/>
    </row>
    <row r="1803" spans="1:18" ht="15.75" customHeight="1">
      <c r="A1803" s="26">
        <f ca="1">IFERROR(__xludf.DUMMYFUNCTION("""COMPUTED_VALUE"""),13695)</f>
        <v>13695</v>
      </c>
      <c r="B1803" s="86">
        <f ca="1">IFERROR(__xludf.DUMMYFUNCTION("""COMPUTED_VALUE"""),44695.0337037037)</f>
        <v>44695.033703703702</v>
      </c>
      <c r="C1803" s="1" t="str">
        <f ca="1">IFERROR(__xludf.DUMMYFUNCTION("""COMPUTED_VALUE"""),"completed")</f>
        <v>completed</v>
      </c>
      <c r="D1803" s="26">
        <f ca="1">IFERROR(__xludf.DUMMYFUNCTION("""COMPUTED_VALUE"""),30)</f>
        <v>30</v>
      </c>
      <c r="E1803" s="1"/>
      <c r="F1803" s="87" t="str">
        <f t="shared" ca="1" si="0"/>
        <v>2022</v>
      </c>
      <c r="H1803" s="26" t="str">
        <f t="shared" si="1"/>
        <v/>
      </c>
      <c r="I1803" s="26" t="str">
        <f t="shared" si="2"/>
        <v/>
      </c>
      <c r="J1803" s="86">
        <f t="shared" ca="1" si="3"/>
        <v>44695</v>
      </c>
      <c r="R1803" s="26"/>
    </row>
    <row r="1804" spans="1:18" ht="15.75" customHeight="1">
      <c r="A1804" s="26">
        <f ca="1">IFERROR(__xludf.DUMMYFUNCTION("""COMPUTED_VALUE"""),13693)</f>
        <v>13693</v>
      </c>
      <c r="B1804" s="86">
        <f ca="1">IFERROR(__xludf.DUMMYFUNCTION("""COMPUTED_VALUE"""),44691.4393287037)</f>
        <v>44691.439328703702</v>
      </c>
      <c r="C1804" s="1" t="str">
        <f ca="1">IFERROR(__xludf.DUMMYFUNCTION("""COMPUTED_VALUE"""),"completed")</f>
        <v>completed</v>
      </c>
      <c r="D1804" s="26">
        <f ca="1">IFERROR(__xludf.DUMMYFUNCTION("""COMPUTED_VALUE"""),12)</f>
        <v>12</v>
      </c>
      <c r="E1804" s="1"/>
      <c r="F1804" s="87" t="str">
        <f t="shared" ca="1" si="0"/>
        <v>2022</v>
      </c>
      <c r="H1804" s="26" t="str">
        <f t="shared" si="1"/>
        <v/>
      </c>
      <c r="I1804" s="26" t="str">
        <f t="shared" si="2"/>
        <v/>
      </c>
      <c r="J1804" s="86">
        <f t="shared" ca="1" si="3"/>
        <v>44691</v>
      </c>
      <c r="R1804" s="26"/>
    </row>
    <row r="1805" spans="1:18" ht="15.75" customHeight="1">
      <c r="A1805" s="26">
        <f ca="1">IFERROR(__xludf.DUMMYFUNCTION("""COMPUTED_VALUE"""),13692)</f>
        <v>13692</v>
      </c>
      <c r="B1805" s="86">
        <f ca="1">IFERROR(__xludf.DUMMYFUNCTION("""COMPUTED_VALUE"""),44690.7238773148)</f>
        <v>44690.723877314798</v>
      </c>
      <c r="C1805" s="1" t="str">
        <f ca="1">IFERROR(__xludf.DUMMYFUNCTION("""COMPUTED_VALUE"""),"completed")</f>
        <v>completed</v>
      </c>
      <c r="D1805" s="26">
        <f ca="1">IFERROR(__xludf.DUMMYFUNCTION("""COMPUTED_VALUE"""),27)</f>
        <v>27</v>
      </c>
      <c r="E1805" s="1"/>
      <c r="F1805" s="87" t="str">
        <f t="shared" ca="1" si="0"/>
        <v>2022</v>
      </c>
      <c r="H1805" s="26" t="str">
        <f t="shared" si="1"/>
        <v/>
      </c>
      <c r="I1805" s="26" t="str">
        <f t="shared" si="2"/>
        <v/>
      </c>
      <c r="J1805" s="86">
        <f t="shared" ca="1" si="3"/>
        <v>44690</v>
      </c>
      <c r="R1805" s="26"/>
    </row>
    <row r="1806" spans="1:18" ht="15.75" customHeight="1">
      <c r="A1806" s="26">
        <f ca="1">IFERROR(__xludf.DUMMYFUNCTION("""COMPUTED_VALUE"""),13691)</f>
        <v>13691</v>
      </c>
      <c r="B1806" s="86">
        <f ca="1">IFERROR(__xludf.DUMMYFUNCTION("""COMPUTED_VALUE"""),44690.720162037)</f>
        <v>44690.720162037003</v>
      </c>
      <c r="C1806" s="1" t="str">
        <f ca="1">IFERROR(__xludf.DUMMYFUNCTION("""COMPUTED_VALUE"""),"completed")</f>
        <v>completed</v>
      </c>
      <c r="D1806" s="26">
        <f ca="1">IFERROR(__xludf.DUMMYFUNCTION("""COMPUTED_VALUE"""),27)</f>
        <v>27</v>
      </c>
      <c r="E1806" s="1"/>
      <c r="F1806" s="87" t="str">
        <f t="shared" ca="1" si="0"/>
        <v>2022</v>
      </c>
      <c r="H1806" s="26" t="str">
        <f t="shared" si="1"/>
        <v/>
      </c>
      <c r="I1806" s="26" t="str">
        <f t="shared" si="2"/>
        <v/>
      </c>
      <c r="J1806" s="86">
        <f t="shared" ca="1" si="3"/>
        <v>44690</v>
      </c>
      <c r="R1806" s="26"/>
    </row>
    <row r="1807" spans="1:18" ht="15.75" customHeight="1">
      <c r="A1807" s="26">
        <f ca="1">IFERROR(__xludf.DUMMYFUNCTION("""COMPUTED_VALUE"""),13690)</f>
        <v>13690</v>
      </c>
      <c r="B1807" s="86">
        <f ca="1">IFERROR(__xludf.DUMMYFUNCTION("""COMPUTED_VALUE"""),44690.0916203703)</f>
        <v>44690.091620370302</v>
      </c>
      <c r="C1807" s="1" t="str">
        <f ca="1">IFERROR(__xludf.DUMMYFUNCTION("""COMPUTED_VALUE"""),"completed")</f>
        <v>completed</v>
      </c>
      <c r="D1807" s="26">
        <f ca="1">IFERROR(__xludf.DUMMYFUNCTION("""COMPUTED_VALUE"""),44)</f>
        <v>44</v>
      </c>
      <c r="E1807" s="1"/>
      <c r="F1807" s="87" t="str">
        <f t="shared" ca="1" si="0"/>
        <v>2022</v>
      </c>
      <c r="H1807" s="26" t="str">
        <f t="shared" si="1"/>
        <v/>
      </c>
      <c r="I1807" s="26" t="str">
        <f t="shared" si="2"/>
        <v/>
      </c>
      <c r="J1807" s="86">
        <f t="shared" ca="1" si="3"/>
        <v>44690</v>
      </c>
      <c r="R1807" s="26"/>
    </row>
    <row r="1808" spans="1:18" ht="15.75" customHeight="1">
      <c r="A1808" s="26">
        <f ca="1">IFERROR(__xludf.DUMMYFUNCTION("""COMPUTED_VALUE"""),13689)</f>
        <v>13689</v>
      </c>
      <c r="B1808" s="86">
        <f ca="1">IFERROR(__xludf.DUMMYFUNCTION("""COMPUTED_VALUE"""),44689.8461805555)</f>
        <v>44689.846180555498</v>
      </c>
      <c r="C1808" s="1" t="str">
        <f ca="1">IFERROR(__xludf.DUMMYFUNCTION("""COMPUTED_VALUE"""),"completed")</f>
        <v>completed</v>
      </c>
      <c r="D1808" s="26">
        <f ca="1">IFERROR(__xludf.DUMMYFUNCTION("""COMPUTED_VALUE"""),18)</f>
        <v>18</v>
      </c>
      <c r="E1808" s="1"/>
      <c r="F1808" s="87" t="str">
        <f t="shared" ca="1" si="0"/>
        <v>2022</v>
      </c>
      <c r="H1808" s="26" t="str">
        <f t="shared" si="1"/>
        <v/>
      </c>
      <c r="I1808" s="26" t="str">
        <f t="shared" si="2"/>
        <v/>
      </c>
      <c r="J1808" s="86">
        <f t="shared" ca="1" si="3"/>
        <v>44689</v>
      </c>
      <c r="R1808" s="26"/>
    </row>
    <row r="1809" spans="1:18" ht="15.75" customHeight="1">
      <c r="A1809" s="26">
        <f ca="1">IFERROR(__xludf.DUMMYFUNCTION("""COMPUTED_VALUE"""),13688)</f>
        <v>13688</v>
      </c>
      <c r="B1809" s="86">
        <f ca="1">IFERROR(__xludf.DUMMYFUNCTION("""COMPUTED_VALUE"""),44689.0329629629)</f>
        <v>44689.032962962898</v>
      </c>
      <c r="C1809" s="1" t="str">
        <f ca="1">IFERROR(__xludf.DUMMYFUNCTION("""COMPUTED_VALUE"""),"completed")</f>
        <v>completed</v>
      </c>
      <c r="D1809" s="26">
        <f ca="1">IFERROR(__xludf.DUMMYFUNCTION("""COMPUTED_VALUE"""),25)</f>
        <v>25</v>
      </c>
      <c r="E1809" s="1"/>
      <c r="F1809" s="87" t="str">
        <f t="shared" ca="1" si="0"/>
        <v>2022</v>
      </c>
      <c r="H1809" s="26" t="str">
        <f t="shared" si="1"/>
        <v/>
      </c>
      <c r="I1809" s="26" t="str">
        <f t="shared" si="2"/>
        <v/>
      </c>
      <c r="J1809" s="86">
        <f t="shared" ca="1" si="3"/>
        <v>44689</v>
      </c>
      <c r="R1809" s="26"/>
    </row>
    <row r="1810" spans="1:18" ht="15.75" customHeight="1">
      <c r="A1810" s="26">
        <f ca="1">IFERROR(__xludf.DUMMYFUNCTION("""COMPUTED_VALUE"""),13687)</f>
        <v>13687</v>
      </c>
      <c r="B1810" s="86">
        <f ca="1">IFERROR(__xludf.DUMMYFUNCTION("""COMPUTED_VALUE"""),44689.0320254629)</f>
        <v>44689.032025462897</v>
      </c>
      <c r="C1810" s="1" t="str">
        <f ca="1">IFERROR(__xludf.DUMMYFUNCTION("""COMPUTED_VALUE"""),"completed")</f>
        <v>completed</v>
      </c>
      <c r="D1810" s="26">
        <f ca="1">IFERROR(__xludf.DUMMYFUNCTION("""COMPUTED_VALUE"""),25)</f>
        <v>25</v>
      </c>
      <c r="E1810" s="1"/>
      <c r="F1810" s="87" t="str">
        <f t="shared" ca="1" si="0"/>
        <v>2022</v>
      </c>
      <c r="H1810" s="26" t="str">
        <f t="shared" si="1"/>
        <v/>
      </c>
      <c r="I1810" s="26" t="str">
        <f t="shared" si="2"/>
        <v/>
      </c>
      <c r="J1810" s="86">
        <f t="shared" ca="1" si="3"/>
        <v>44689</v>
      </c>
      <c r="R1810" s="26"/>
    </row>
    <row r="1811" spans="1:18" ht="15.75" customHeight="1">
      <c r="A1811" s="26">
        <f ca="1">IFERROR(__xludf.DUMMYFUNCTION("""COMPUTED_VALUE"""),13686)</f>
        <v>13686</v>
      </c>
      <c r="B1811" s="86">
        <f ca="1">IFERROR(__xludf.DUMMYFUNCTION("""COMPUTED_VALUE"""),44688.8770833333)</f>
        <v>44688.877083333296</v>
      </c>
      <c r="C1811" s="1" t="str">
        <f ca="1">IFERROR(__xludf.DUMMYFUNCTION("""COMPUTED_VALUE"""),"completed")</f>
        <v>completed</v>
      </c>
      <c r="D1811" s="26">
        <f ca="1">IFERROR(__xludf.DUMMYFUNCTION("""COMPUTED_VALUE"""),25)</f>
        <v>25</v>
      </c>
      <c r="E1811" s="1"/>
      <c r="F1811" s="87" t="str">
        <f t="shared" ca="1" si="0"/>
        <v>2022</v>
      </c>
      <c r="H1811" s="26" t="str">
        <f t="shared" si="1"/>
        <v/>
      </c>
      <c r="I1811" s="26" t="str">
        <f t="shared" si="2"/>
        <v/>
      </c>
      <c r="J1811" s="86">
        <f t="shared" ca="1" si="3"/>
        <v>44688</v>
      </c>
      <c r="R1811" s="26"/>
    </row>
    <row r="1812" spans="1:18" ht="15.75" customHeight="1">
      <c r="A1812" s="26">
        <f ca="1">IFERROR(__xludf.DUMMYFUNCTION("""COMPUTED_VALUE"""),13685)</f>
        <v>13685</v>
      </c>
      <c r="B1812" s="86">
        <f ca="1">IFERROR(__xludf.DUMMYFUNCTION("""COMPUTED_VALUE"""),44688.8552314814)</f>
        <v>44688.855231481401</v>
      </c>
      <c r="C1812" s="1" t="str">
        <f ca="1">IFERROR(__xludf.DUMMYFUNCTION("""COMPUTED_VALUE"""),"completed")</f>
        <v>completed</v>
      </c>
      <c r="D1812" s="26">
        <f ca="1">IFERROR(__xludf.DUMMYFUNCTION("""COMPUTED_VALUE"""),35)</f>
        <v>35</v>
      </c>
      <c r="E1812" s="1"/>
      <c r="F1812" s="87" t="str">
        <f t="shared" ca="1" si="0"/>
        <v>2022</v>
      </c>
      <c r="H1812" s="26" t="str">
        <f t="shared" si="1"/>
        <v/>
      </c>
      <c r="I1812" s="26" t="str">
        <f t="shared" si="2"/>
        <v/>
      </c>
      <c r="J1812" s="86">
        <f t="shared" ca="1" si="3"/>
        <v>44688</v>
      </c>
      <c r="R1812" s="26"/>
    </row>
    <row r="1813" spans="1:18" ht="15.75" customHeight="1">
      <c r="A1813" s="26">
        <f ca="1">IFERROR(__xludf.DUMMYFUNCTION("""COMPUTED_VALUE"""),13684)</f>
        <v>13684</v>
      </c>
      <c r="B1813" s="86">
        <f ca="1">IFERROR(__xludf.DUMMYFUNCTION("""COMPUTED_VALUE"""),44688.8540625)</f>
        <v>44688.854062500002</v>
      </c>
      <c r="C1813" s="1" t="str">
        <f ca="1">IFERROR(__xludf.DUMMYFUNCTION("""COMPUTED_VALUE"""),"completed")</f>
        <v>completed</v>
      </c>
      <c r="D1813" s="26">
        <f ca="1">IFERROR(__xludf.DUMMYFUNCTION("""COMPUTED_VALUE"""),32)</f>
        <v>32</v>
      </c>
      <c r="E1813" s="1"/>
      <c r="F1813" s="87" t="str">
        <f t="shared" ca="1" si="0"/>
        <v>2022</v>
      </c>
      <c r="H1813" s="26" t="str">
        <f t="shared" si="1"/>
        <v/>
      </c>
      <c r="I1813" s="26" t="str">
        <f t="shared" si="2"/>
        <v/>
      </c>
      <c r="J1813" s="86">
        <f t="shared" ca="1" si="3"/>
        <v>44688</v>
      </c>
      <c r="R1813" s="26"/>
    </row>
    <row r="1814" spans="1:18" ht="15.75" customHeight="1">
      <c r="A1814" s="26">
        <f ca="1">IFERROR(__xludf.DUMMYFUNCTION("""COMPUTED_VALUE"""),13683)</f>
        <v>13683</v>
      </c>
      <c r="B1814" s="86">
        <f ca="1">IFERROR(__xludf.DUMMYFUNCTION("""COMPUTED_VALUE"""),44688.7804513887)</f>
        <v>44688.780451388797</v>
      </c>
      <c r="C1814" s="1" t="str">
        <f ca="1">IFERROR(__xludf.DUMMYFUNCTION("""COMPUTED_VALUE"""),"completed")</f>
        <v>completed</v>
      </c>
      <c r="D1814" s="26">
        <f ca="1">IFERROR(__xludf.DUMMYFUNCTION("""COMPUTED_VALUE"""),15)</f>
        <v>15</v>
      </c>
      <c r="E1814" s="1"/>
      <c r="F1814" s="87" t="str">
        <f t="shared" ca="1" si="0"/>
        <v>2022</v>
      </c>
      <c r="H1814" s="26" t="str">
        <f t="shared" si="1"/>
        <v/>
      </c>
      <c r="I1814" s="26" t="str">
        <f t="shared" si="2"/>
        <v/>
      </c>
      <c r="J1814" s="86">
        <f t="shared" ca="1" si="3"/>
        <v>44688</v>
      </c>
      <c r="R1814" s="26"/>
    </row>
    <row r="1815" spans="1:18" ht="15.75" customHeight="1">
      <c r="A1815" s="26">
        <f ca="1">IFERROR(__xludf.DUMMYFUNCTION("""COMPUTED_VALUE"""),13682)</f>
        <v>13682</v>
      </c>
      <c r="B1815" s="86">
        <f ca="1">IFERROR(__xludf.DUMMYFUNCTION("""COMPUTED_VALUE"""),44688.7773842592)</f>
        <v>44688.7773842592</v>
      </c>
      <c r="C1815" s="1" t="str">
        <f ca="1">IFERROR(__xludf.DUMMYFUNCTION("""COMPUTED_VALUE"""),"completed")</f>
        <v>completed</v>
      </c>
      <c r="D1815" s="26">
        <f ca="1">IFERROR(__xludf.DUMMYFUNCTION("""COMPUTED_VALUE"""),15)</f>
        <v>15</v>
      </c>
      <c r="E1815" s="1"/>
      <c r="F1815" s="87" t="str">
        <f t="shared" ca="1" si="0"/>
        <v>2022</v>
      </c>
      <c r="H1815" s="26" t="str">
        <f t="shared" si="1"/>
        <v/>
      </c>
      <c r="I1815" s="26" t="str">
        <f t="shared" si="2"/>
        <v/>
      </c>
      <c r="J1815" s="86">
        <f t="shared" ca="1" si="3"/>
        <v>44688</v>
      </c>
      <c r="R1815" s="26"/>
    </row>
    <row r="1816" spans="1:18" ht="15.75" customHeight="1">
      <c r="A1816" s="26">
        <f ca="1">IFERROR(__xludf.DUMMYFUNCTION("""COMPUTED_VALUE"""),13680)</f>
        <v>13680</v>
      </c>
      <c r="B1816" s="86">
        <f ca="1">IFERROR(__xludf.DUMMYFUNCTION("""COMPUTED_VALUE"""),44688.6840046296)</f>
        <v>44688.684004629598</v>
      </c>
      <c r="C1816" s="1" t="str">
        <f ca="1">IFERROR(__xludf.DUMMYFUNCTION("""COMPUTED_VALUE"""),"completed")</f>
        <v>completed</v>
      </c>
      <c r="D1816" s="26">
        <f ca="1">IFERROR(__xludf.DUMMYFUNCTION("""COMPUTED_VALUE"""),67)</f>
        <v>67</v>
      </c>
      <c r="E1816" s="1"/>
      <c r="F1816" s="87" t="str">
        <f t="shared" ca="1" si="0"/>
        <v>2022</v>
      </c>
      <c r="H1816" s="26" t="str">
        <f t="shared" si="1"/>
        <v/>
      </c>
      <c r="I1816" s="26" t="str">
        <f t="shared" si="2"/>
        <v/>
      </c>
      <c r="J1816" s="86">
        <f t="shared" ca="1" si="3"/>
        <v>44688</v>
      </c>
      <c r="R1816" s="26"/>
    </row>
    <row r="1817" spans="1:18" ht="15.75" customHeight="1">
      <c r="A1817" s="26">
        <f ca="1">IFERROR(__xludf.DUMMYFUNCTION("""COMPUTED_VALUE"""),13679)</f>
        <v>13679</v>
      </c>
      <c r="B1817" s="86">
        <f ca="1">IFERROR(__xludf.DUMMYFUNCTION("""COMPUTED_VALUE"""),44688.6426157407)</f>
        <v>44688.642615740697</v>
      </c>
      <c r="C1817" s="1" t="str">
        <f ca="1">IFERROR(__xludf.DUMMYFUNCTION("""COMPUTED_VALUE"""),"completed")</f>
        <v>completed</v>
      </c>
      <c r="D1817" s="26">
        <f ca="1">IFERROR(__xludf.DUMMYFUNCTION("""COMPUTED_VALUE"""),25)</f>
        <v>25</v>
      </c>
      <c r="E1817" s="1"/>
      <c r="F1817" s="87" t="str">
        <f t="shared" ca="1" si="0"/>
        <v>2022</v>
      </c>
      <c r="H1817" s="26" t="str">
        <f t="shared" si="1"/>
        <v/>
      </c>
      <c r="I1817" s="26" t="str">
        <f t="shared" si="2"/>
        <v/>
      </c>
      <c r="J1817" s="86">
        <f t="shared" ca="1" si="3"/>
        <v>44688</v>
      </c>
      <c r="R1817" s="26"/>
    </row>
    <row r="1818" spans="1:18" ht="15.75" customHeight="1">
      <c r="A1818" s="26">
        <f ca="1">IFERROR(__xludf.DUMMYFUNCTION("""COMPUTED_VALUE"""),13678)</f>
        <v>13678</v>
      </c>
      <c r="B1818" s="86">
        <f ca="1">IFERROR(__xludf.DUMMYFUNCTION("""COMPUTED_VALUE"""),44688.6414351851)</f>
        <v>44688.641435185098</v>
      </c>
      <c r="C1818" s="1" t="str">
        <f ca="1">IFERROR(__xludf.DUMMYFUNCTION("""COMPUTED_VALUE"""),"completed")</f>
        <v>completed</v>
      </c>
      <c r="D1818" s="26">
        <f ca="1">IFERROR(__xludf.DUMMYFUNCTION("""COMPUTED_VALUE"""),25)</f>
        <v>25</v>
      </c>
      <c r="E1818" s="1"/>
      <c r="F1818" s="87" t="str">
        <f t="shared" ca="1" si="0"/>
        <v>2022</v>
      </c>
      <c r="H1818" s="26" t="str">
        <f t="shared" si="1"/>
        <v/>
      </c>
      <c r="I1818" s="26" t="str">
        <f t="shared" si="2"/>
        <v/>
      </c>
      <c r="J1818" s="86">
        <f t="shared" ca="1" si="3"/>
        <v>44688</v>
      </c>
      <c r="R1818" s="26"/>
    </row>
    <row r="1819" spans="1:18" ht="15.75" customHeight="1">
      <c r="A1819" s="26">
        <f ca="1">IFERROR(__xludf.DUMMYFUNCTION("""COMPUTED_VALUE"""),13677)</f>
        <v>13677</v>
      </c>
      <c r="B1819" s="86">
        <f ca="1">IFERROR(__xludf.DUMMYFUNCTION("""COMPUTED_VALUE"""),44688.6386689814)</f>
        <v>44688.638668981403</v>
      </c>
      <c r="C1819" s="1" t="str">
        <f ca="1">IFERROR(__xludf.DUMMYFUNCTION("""COMPUTED_VALUE"""),"completed")</f>
        <v>completed</v>
      </c>
      <c r="D1819" s="26">
        <f ca="1">IFERROR(__xludf.DUMMYFUNCTION("""COMPUTED_VALUE"""),30)</f>
        <v>30</v>
      </c>
      <c r="E1819" s="1"/>
      <c r="F1819" s="87" t="str">
        <f t="shared" ca="1" si="0"/>
        <v>2022</v>
      </c>
      <c r="H1819" s="26" t="str">
        <f t="shared" si="1"/>
        <v/>
      </c>
      <c r="I1819" s="26" t="str">
        <f t="shared" si="2"/>
        <v/>
      </c>
      <c r="J1819" s="86">
        <f t="shared" ca="1" si="3"/>
        <v>44688</v>
      </c>
      <c r="R1819" s="26"/>
    </row>
    <row r="1820" spans="1:18" ht="15.75" customHeight="1">
      <c r="A1820" s="26">
        <f ca="1">IFERROR(__xludf.DUMMYFUNCTION("""COMPUTED_VALUE"""),13676)</f>
        <v>13676</v>
      </c>
      <c r="B1820" s="86">
        <f ca="1">IFERROR(__xludf.DUMMYFUNCTION("""COMPUTED_VALUE"""),44688.6325231481)</f>
        <v>44688.632523148102</v>
      </c>
      <c r="C1820" s="1" t="str">
        <f ca="1">IFERROR(__xludf.DUMMYFUNCTION("""COMPUTED_VALUE"""),"completed")</f>
        <v>completed</v>
      </c>
      <c r="D1820" s="26">
        <f ca="1">IFERROR(__xludf.DUMMYFUNCTION("""COMPUTED_VALUE"""),12)</f>
        <v>12</v>
      </c>
      <c r="E1820" s="1"/>
      <c r="F1820" s="87" t="str">
        <f t="shared" ca="1" si="0"/>
        <v>2022</v>
      </c>
      <c r="H1820" s="26" t="str">
        <f t="shared" si="1"/>
        <v/>
      </c>
      <c r="I1820" s="26" t="str">
        <f t="shared" si="2"/>
        <v/>
      </c>
      <c r="J1820" s="86">
        <f t="shared" ca="1" si="3"/>
        <v>44688</v>
      </c>
      <c r="R1820" s="26"/>
    </row>
    <row r="1821" spans="1:18" ht="15.75" customHeight="1">
      <c r="A1821" s="26">
        <f ca="1">IFERROR(__xludf.DUMMYFUNCTION("""COMPUTED_VALUE"""),13675)</f>
        <v>13675</v>
      </c>
      <c r="B1821" s="86">
        <f ca="1">IFERROR(__xludf.DUMMYFUNCTION("""COMPUTED_VALUE"""),44688.6312037037)</f>
        <v>44688.631203703699</v>
      </c>
      <c r="C1821" s="1" t="str">
        <f ca="1">IFERROR(__xludf.DUMMYFUNCTION("""COMPUTED_VALUE"""),"completed")</f>
        <v>completed</v>
      </c>
      <c r="D1821" s="26">
        <f ca="1">IFERROR(__xludf.DUMMYFUNCTION("""COMPUTED_VALUE"""),12)</f>
        <v>12</v>
      </c>
      <c r="E1821" s="1"/>
      <c r="F1821" s="87" t="str">
        <f t="shared" ca="1" si="0"/>
        <v>2022</v>
      </c>
      <c r="H1821" s="26" t="str">
        <f t="shared" si="1"/>
        <v/>
      </c>
      <c r="I1821" s="26" t="str">
        <f t="shared" si="2"/>
        <v/>
      </c>
      <c r="J1821" s="86">
        <f t="shared" ca="1" si="3"/>
        <v>44688</v>
      </c>
      <c r="R1821" s="26"/>
    </row>
    <row r="1822" spans="1:18" ht="15.75" customHeight="1">
      <c r="A1822" s="26">
        <f ca="1">IFERROR(__xludf.DUMMYFUNCTION("""COMPUTED_VALUE"""),13674)</f>
        <v>13674</v>
      </c>
      <c r="B1822" s="86">
        <f ca="1">IFERROR(__xludf.DUMMYFUNCTION("""COMPUTED_VALUE"""),44688.6308912037)</f>
        <v>44688.630891203698</v>
      </c>
      <c r="C1822" s="1" t="str">
        <f ca="1">IFERROR(__xludf.DUMMYFUNCTION("""COMPUTED_VALUE"""),"completed")</f>
        <v>completed</v>
      </c>
      <c r="D1822" s="26">
        <f ca="1">IFERROR(__xludf.DUMMYFUNCTION("""COMPUTED_VALUE"""),34)</f>
        <v>34</v>
      </c>
      <c r="E1822" s="1"/>
      <c r="F1822" s="87" t="str">
        <f t="shared" ca="1" si="0"/>
        <v>2022</v>
      </c>
      <c r="H1822" s="26" t="str">
        <f t="shared" si="1"/>
        <v/>
      </c>
      <c r="I1822" s="26" t="str">
        <f t="shared" si="2"/>
        <v/>
      </c>
      <c r="J1822" s="86">
        <f t="shared" ca="1" si="3"/>
        <v>44688</v>
      </c>
      <c r="R1822" s="26"/>
    </row>
    <row r="1823" spans="1:18" ht="15.75" customHeight="1">
      <c r="A1823" s="26">
        <f ca="1">IFERROR(__xludf.DUMMYFUNCTION("""COMPUTED_VALUE"""),13673)</f>
        <v>13673</v>
      </c>
      <c r="B1823" s="86">
        <f ca="1">IFERROR(__xludf.DUMMYFUNCTION("""COMPUTED_VALUE"""),44688.6283333333)</f>
        <v>44688.628333333298</v>
      </c>
      <c r="C1823" s="1" t="str">
        <f ca="1">IFERROR(__xludf.DUMMYFUNCTION("""COMPUTED_VALUE"""),"completed")</f>
        <v>completed</v>
      </c>
      <c r="D1823" s="26">
        <f ca="1">IFERROR(__xludf.DUMMYFUNCTION("""COMPUTED_VALUE"""),12)</f>
        <v>12</v>
      </c>
      <c r="E1823" s="1"/>
      <c r="F1823" s="87" t="str">
        <f t="shared" ca="1" si="0"/>
        <v>2022</v>
      </c>
      <c r="H1823" s="26" t="str">
        <f t="shared" si="1"/>
        <v/>
      </c>
      <c r="I1823" s="26" t="str">
        <f t="shared" si="2"/>
        <v/>
      </c>
      <c r="J1823" s="86">
        <f t="shared" ca="1" si="3"/>
        <v>44688</v>
      </c>
      <c r="R1823" s="26"/>
    </row>
    <row r="1824" spans="1:18" ht="15.75" customHeight="1">
      <c r="A1824" s="26">
        <f ca="1">IFERROR(__xludf.DUMMYFUNCTION("""COMPUTED_VALUE"""),13672)</f>
        <v>13672</v>
      </c>
      <c r="B1824" s="86">
        <f ca="1">IFERROR(__xludf.DUMMYFUNCTION("""COMPUTED_VALUE"""),44688.6225462963)</f>
        <v>44688.622546296298</v>
      </c>
      <c r="C1824" s="1" t="str">
        <f ca="1">IFERROR(__xludf.DUMMYFUNCTION("""COMPUTED_VALUE"""),"completed")</f>
        <v>completed</v>
      </c>
      <c r="D1824" s="26">
        <f ca="1">IFERROR(__xludf.DUMMYFUNCTION("""COMPUTED_VALUE"""),12)</f>
        <v>12</v>
      </c>
      <c r="E1824" s="1"/>
      <c r="F1824" s="87" t="str">
        <f t="shared" ca="1" si="0"/>
        <v>2022</v>
      </c>
      <c r="H1824" s="26" t="str">
        <f t="shared" si="1"/>
        <v/>
      </c>
      <c r="I1824" s="26" t="str">
        <f t="shared" si="2"/>
        <v/>
      </c>
      <c r="J1824" s="86">
        <f t="shared" ca="1" si="3"/>
        <v>44688</v>
      </c>
      <c r="R1824" s="26"/>
    </row>
    <row r="1825" spans="1:18" ht="15.75" customHeight="1">
      <c r="A1825" s="26">
        <f ca="1">IFERROR(__xludf.DUMMYFUNCTION("""COMPUTED_VALUE"""),13671)</f>
        <v>13671</v>
      </c>
      <c r="B1825" s="86">
        <f ca="1">IFERROR(__xludf.DUMMYFUNCTION("""COMPUTED_VALUE"""),44688.6191666666)</f>
        <v>44688.619166666598</v>
      </c>
      <c r="C1825" s="1" t="str">
        <f ca="1">IFERROR(__xludf.DUMMYFUNCTION("""COMPUTED_VALUE"""),"completed")</f>
        <v>completed</v>
      </c>
      <c r="D1825" s="26">
        <f ca="1">IFERROR(__xludf.DUMMYFUNCTION("""COMPUTED_VALUE"""),27)</f>
        <v>27</v>
      </c>
      <c r="E1825" s="1"/>
      <c r="F1825" s="87" t="str">
        <f t="shared" ca="1" si="0"/>
        <v>2022</v>
      </c>
      <c r="H1825" s="26" t="str">
        <f t="shared" si="1"/>
        <v/>
      </c>
      <c r="I1825" s="26" t="str">
        <f t="shared" si="2"/>
        <v/>
      </c>
      <c r="J1825" s="86">
        <f t="shared" ca="1" si="3"/>
        <v>44688</v>
      </c>
      <c r="R1825" s="26"/>
    </row>
    <row r="1826" spans="1:18" ht="15.75" customHeight="1">
      <c r="A1826" s="26">
        <f ca="1">IFERROR(__xludf.DUMMYFUNCTION("""COMPUTED_VALUE"""),13670)</f>
        <v>13670</v>
      </c>
      <c r="B1826" s="86">
        <f ca="1">IFERROR(__xludf.DUMMYFUNCTION("""COMPUTED_VALUE"""),44688.6175462963)</f>
        <v>44688.6175462963</v>
      </c>
      <c r="C1826" s="1" t="str">
        <f ca="1">IFERROR(__xludf.DUMMYFUNCTION("""COMPUTED_VALUE"""),"completed")</f>
        <v>completed</v>
      </c>
      <c r="D1826" s="26">
        <f ca="1">IFERROR(__xludf.DUMMYFUNCTION("""COMPUTED_VALUE"""),25)</f>
        <v>25</v>
      </c>
      <c r="E1826" s="1"/>
      <c r="F1826" s="87" t="str">
        <f t="shared" ca="1" si="0"/>
        <v>2022</v>
      </c>
      <c r="H1826" s="26" t="str">
        <f t="shared" si="1"/>
        <v/>
      </c>
      <c r="I1826" s="26" t="str">
        <f t="shared" si="2"/>
        <v/>
      </c>
      <c r="J1826" s="86">
        <f t="shared" ca="1" si="3"/>
        <v>44688</v>
      </c>
      <c r="R1826" s="26"/>
    </row>
    <row r="1827" spans="1:18" ht="15.75" customHeight="1">
      <c r="A1827" s="26">
        <f ca="1">IFERROR(__xludf.DUMMYFUNCTION("""COMPUTED_VALUE"""),13669)</f>
        <v>13669</v>
      </c>
      <c r="B1827" s="86">
        <f ca="1">IFERROR(__xludf.DUMMYFUNCTION("""COMPUTED_VALUE"""),44688.6160879629)</f>
        <v>44688.616087962902</v>
      </c>
      <c r="C1827" s="1" t="str">
        <f ca="1">IFERROR(__xludf.DUMMYFUNCTION("""COMPUTED_VALUE"""),"completed")</f>
        <v>completed</v>
      </c>
      <c r="D1827" s="26">
        <f ca="1">IFERROR(__xludf.DUMMYFUNCTION("""COMPUTED_VALUE"""),35)</f>
        <v>35</v>
      </c>
      <c r="E1827" s="1"/>
      <c r="F1827" s="87" t="str">
        <f t="shared" ca="1" si="0"/>
        <v>2022</v>
      </c>
      <c r="H1827" s="26" t="str">
        <f t="shared" si="1"/>
        <v/>
      </c>
      <c r="I1827" s="26" t="str">
        <f t="shared" si="2"/>
        <v/>
      </c>
      <c r="J1827" s="86">
        <f t="shared" ca="1" si="3"/>
        <v>44688</v>
      </c>
      <c r="R1827" s="26"/>
    </row>
    <row r="1828" spans="1:18" ht="15.75" customHeight="1">
      <c r="A1828" s="26">
        <f ca="1">IFERROR(__xludf.DUMMYFUNCTION("""COMPUTED_VALUE"""),13668)</f>
        <v>13668</v>
      </c>
      <c r="B1828" s="86">
        <f ca="1">IFERROR(__xludf.DUMMYFUNCTION("""COMPUTED_VALUE"""),44688.6126967592)</f>
        <v>44688.612696759199</v>
      </c>
      <c r="C1828" s="1" t="str">
        <f ca="1">IFERROR(__xludf.DUMMYFUNCTION("""COMPUTED_VALUE"""),"completed")</f>
        <v>completed</v>
      </c>
      <c r="D1828" s="26">
        <f ca="1">IFERROR(__xludf.DUMMYFUNCTION("""COMPUTED_VALUE"""),12)</f>
        <v>12</v>
      </c>
      <c r="E1828" s="1"/>
      <c r="F1828" s="87" t="str">
        <f t="shared" ca="1" si="0"/>
        <v>2022</v>
      </c>
      <c r="H1828" s="26" t="str">
        <f t="shared" si="1"/>
        <v/>
      </c>
      <c r="I1828" s="26" t="str">
        <f t="shared" si="2"/>
        <v/>
      </c>
      <c r="J1828" s="86">
        <f t="shared" ca="1" si="3"/>
        <v>44688</v>
      </c>
      <c r="R1828" s="26"/>
    </row>
    <row r="1829" spans="1:18" ht="15.75" customHeight="1">
      <c r="A1829" s="26">
        <f ca="1">IFERROR(__xludf.DUMMYFUNCTION("""COMPUTED_VALUE"""),13667)</f>
        <v>13667</v>
      </c>
      <c r="B1829" s="86">
        <f ca="1">IFERROR(__xludf.DUMMYFUNCTION("""COMPUTED_VALUE"""),44688.6075810185)</f>
        <v>44688.607581018499</v>
      </c>
      <c r="C1829" s="1" t="str">
        <f ca="1">IFERROR(__xludf.DUMMYFUNCTION("""COMPUTED_VALUE"""),"completed")</f>
        <v>completed</v>
      </c>
      <c r="D1829" s="26">
        <f ca="1">IFERROR(__xludf.DUMMYFUNCTION("""COMPUTED_VALUE"""),25)</f>
        <v>25</v>
      </c>
      <c r="E1829" s="1"/>
      <c r="F1829" s="87" t="str">
        <f t="shared" ca="1" si="0"/>
        <v>2022</v>
      </c>
      <c r="H1829" s="26" t="str">
        <f t="shared" si="1"/>
        <v/>
      </c>
      <c r="I1829" s="26" t="str">
        <f t="shared" si="2"/>
        <v/>
      </c>
      <c r="J1829" s="86">
        <f t="shared" ca="1" si="3"/>
        <v>44688</v>
      </c>
      <c r="R1829" s="26"/>
    </row>
    <row r="1830" spans="1:18" ht="15.75" customHeight="1">
      <c r="A1830" s="26">
        <f ca="1">IFERROR(__xludf.DUMMYFUNCTION("""COMPUTED_VALUE"""),13666)</f>
        <v>13666</v>
      </c>
      <c r="B1830" s="86">
        <f ca="1">IFERROR(__xludf.DUMMYFUNCTION("""COMPUTED_VALUE"""),44688.6062268518)</f>
        <v>44688.6062268518</v>
      </c>
      <c r="C1830" s="1" t="str">
        <f ca="1">IFERROR(__xludf.DUMMYFUNCTION("""COMPUTED_VALUE"""),"completed")</f>
        <v>completed</v>
      </c>
      <c r="D1830" s="26">
        <f ca="1">IFERROR(__xludf.DUMMYFUNCTION("""COMPUTED_VALUE"""),15)</f>
        <v>15</v>
      </c>
      <c r="E1830" s="1"/>
      <c r="F1830" s="87" t="str">
        <f t="shared" ca="1" si="0"/>
        <v>2022</v>
      </c>
      <c r="H1830" s="26" t="str">
        <f t="shared" si="1"/>
        <v/>
      </c>
      <c r="I1830" s="26" t="str">
        <f t="shared" si="2"/>
        <v/>
      </c>
      <c r="J1830" s="86">
        <f t="shared" ca="1" si="3"/>
        <v>44688</v>
      </c>
      <c r="R1830" s="26"/>
    </row>
    <row r="1831" spans="1:18" ht="15.75" customHeight="1">
      <c r="A1831" s="26">
        <f ca="1">IFERROR(__xludf.DUMMYFUNCTION("""COMPUTED_VALUE"""),13665)</f>
        <v>13665</v>
      </c>
      <c r="B1831" s="86">
        <f ca="1">IFERROR(__xludf.DUMMYFUNCTION("""COMPUTED_VALUE"""),44688.6045833333)</f>
        <v>44688.604583333297</v>
      </c>
      <c r="C1831" s="1" t="str">
        <f ca="1">IFERROR(__xludf.DUMMYFUNCTION("""COMPUTED_VALUE"""),"completed")</f>
        <v>completed</v>
      </c>
      <c r="D1831" s="26">
        <f ca="1">IFERROR(__xludf.DUMMYFUNCTION("""COMPUTED_VALUE"""),18)</f>
        <v>18</v>
      </c>
      <c r="E1831" s="1"/>
      <c r="F1831" s="87" t="str">
        <f t="shared" ca="1" si="0"/>
        <v>2022</v>
      </c>
      <c r="H1831" s="26" t="str">
        <f t="shared" si="1"/>
        <v/>
      </c>
      <c r="I1831" s="26" t="str">
        <f t="shared" si="2"/>
        <v/>
      </c>
      <c r="J1831" s="86">
        <f t="shared" ca="1" si="3"/>
        <v>44688</v>
      </c>
      <c r="R1831" s="26"/>
    </row>
    <row r="1832" spans="1:18" ht="15.75" customHeight="1">
      <c r="A1832" s="26">
        <f ca="1">IFERROR(__xludf.DUMMYFUNCTION("""COMPUTED_VALUE"""),13664)</f>
        <v>13664</v>
      </c>
      <c r="B1832" s="86">
        <f ca="1">IFERROR(__xludf.DUMMYFUNCTION("""COMPUTED_VALUE"""),44688.5961689813)</f>
        <v>44688.596168981399</v>
      </c>
      <c r="C1832" s="1" t="str">
        <f ca="1">IFERROR(__xludf.DUMMYFUNCTION("""COMPUTED_VALUE"""),"completed")</f>
        <v>completed</v>
      </c>
      <c r="D1832" s="26">
        <f ca="1">IFERROR(__xludf.DUMMYFUNCTION("""COMPUTED_VALUE"""),35)</f>
        <v>35</v>
      </c>
      <c r="E1832" s="1"/>
      <c r="F1832" s="87" t="str">
        <f t="shared" ca="1" si="0"/>
        <v>2022</v>
      </c>
      <c r="H1832" s="26" t="str">
        <f t="shared" si="1"/>
        <v/>
      </c>
      <c r="I1832" s="26" t="str">
        <f t="shared" si="2"/>
        <v/>
      </c>
      <c r="J1832" s="86">
        <f t="shared" ca="1" si="3"/>
        <v>44688</v>
      </c>
      <c r="R1832" s="26"/>
    </row>
    <row r="1833" spans="1:18" ht="15.75" customHeight="1">
      <c r="A1833" s="26">
        <f ca="1">IFERROR(__xludf.DUMMYFUNCTION("""COMPUTED_VALUE"""),13663)</f>
        <v>13663</v>
      </c>
      <c r="B1833" s="86">
        <f ca="1">IFERROR(__xludf.DUMMYFUNCTION("""COMPUTED_VALUE"""),44688.5957407407)</f>
        <v>44688.595740740697</v>
      </c>
      <c r="C1833" s="1" t="str">
        <f ca="1">IFERROR(__xludf.DUMMYFUNCTION("""COMPUTED_VALUE"""),"completed")</f>
        <v>completed</v>
      </c>
      <c r="D1833" s="26">
        <f ca="1">IFERROR(__xludf.DUMMYFUNCTION("""COMPUTED_VALUE"""),20)</f>
        <v>20</v>
      </c>
      <c r="E1833" s="1"/>
      <c r="F1833" s="87" t="str">
        <f t="shared" ca="1" si="0"/>
        <v>2022</v>
      </c>
      <c r="H1833" s="26" t="str">
        <f t="shared" si="1"/>
        <v/>
      </c>
      <c r="I1833" s="26" t="str">
        <f t="shared" si="2"/>
        <v/>
      </c>
      <c r="J1833" s="86">
        <f t="shared" ca="1" si="3"/>
        <v>44688</v>
      </c>
      <c r="R1833" s="26"/>
    </row>
    <row r="1834" spans="1:18" ht="15.75" customHeight="1">
      <c r="A1834" s="26">
        <f ca="1">IFERROR(__xludf.DUMMYFUNCTION("""COMPUTED_VALUE"""),13662)</f>
        <v>13662</v>
      </c>
      <c r="B1834" s="86">
        <f ca="1">IFERROR(__xludf.DUMMYFUNCTION("""COMPUTED_VALUE"""),44688.5911805555)</f>
        <v>44688.591180555501</v>
      </c>
      <c r="C1834" s="1" t="str">
        <f ca="1">IFERROR(__xludf.DUMMYFUNCTION("""COMPUTED_VALUE"""),"completed")</f>
        <v>completed</v>
      </c>
      <c r="D1834" s="26">
        <f ca="1">IFERROR(__xludf.DUMMYFUNCTION("""COMPUTED_VALUE"""),18)</f>
        <v>18</v>
      </c>
      <c r="E1834" s="1"/>
      <c r="F1834" s="87" t="str">
        <f t="shared" ca="1" si="0"/>
        <v>2022</v>
      </c>
      <c r="H1834" s="26" t="str">
        <f t="shared" si="1"/>
        <v/>
      </c>
      <c r="I1834" s="26" t="str">
        <f t="shared" si="2"/>
        <v/>
      </c>
      <c r="J1834" s="86">
        <f t="shared" ca="1" si="3"/>
        <v>44688</v>
      </c>
      <c r="R1834" s="26"/>
    </row>
    <row r="1835" spans="1:18" ht="15.75" customHeight="1">
      <c r="A1835" s="26">
        <f ca="1">IFERROR(__xludf.DUMMYFUNCTION("""COMPUTED_VALUE"""),13661)</f>
        <v>13661</v>
      </c>
      <c r="B1835" s="86">
        <f ca="1">IFERROR(__xludf.DUMMYFUNCTION("""COMPUTED_VALUE"""),44688.5889699074)</f>
        <v>44688.588969907403</v>
      </c>
      <c r="C1835" s="1" t="str">
        <f ca="1">IFERROR(__xludf.DUMMYFUNCTION("""COMPUTED_VALUE"""),"completed")</f>
        <v>completed</v>
      </c>
      <c r="D1835" s="26">
        <f ca="1">IFERROR(__xludf.DUMMYFUNCTION("""COMPUTED_VALUE"""),18)</f>
        <v>18</v>
      </c>
      <c r="E1835" s="1"/>
      <c r="F1835" s="87" t="str">
        <f t="shared" ca="1" si="0"/>
        <v>2022</v>
      </c>
      <c r="H1835" s="26" t="str">
        <f t="shared" si="1"/>
        <v/>
      </c>
      <c r="I1835" s="26" t="str">
        <f t="shared" si="2"/>
        <v/>
      </c>
      <c r="J1835" s="86">
        <f t="shared" ca="1" si="3"/>
        <v>44688</v>
      </c>
      <c r="R1835" s="26"/>
    </row>
    <row r="1836" spans="1:18" ht="15.75" customHeight="1">
      <c r="A1836" s="26">
        <f ca="1">IFERROR(__xludf.DUMMYFUNCTION("""COMPUTED_VALUE"""),13660)</f>
        <v>13660</v>
      </c>
      <c r="B1836" s="86">
        <f ca="1">IFERROR(__xludf.DUMMYFUNCTION("""COMPUTED_VALUE"""),44688.584074074)</f>
        <v>44688.584074074002</v>
      </c>
      <c r="C1836" s="1" t="str">
        <f ca="1">IFERROR(__xludf.DUMMYFUNCTION("""COMPUTED_VALUE"""),"completed")</f>
        <v>completed</v>
      </c>
      <c r="D1836" s="26">
        <f ca="1">IFERROR(__xludf.DUMMYFUNCTION("""COMPUTED_VALUE"""),55)</f>
        <v>55</v>
      </c>
      <c r="E1836" s="1"/>
      <c r="F1836" s="87" t="str">
        <f t="shared" ca="1" si="0"/>
        <v>2022</v>
      </c>
      <c r="H1836" s="26" t="str">
        <f t="shared" si="1"/>
        <v/>
      </c>
      <c r="I1836" s="26" t="str">
        <f t="shared" si="2"/>
        <v/>
      </c>
      <c r="J1836" s="86">
        <f t="shared" ca="1" si="3"/>
        <v>44688</v>
      </c>
      <c r="R1836" s="26"/>
    </row>
    <row r="1837" spans="1:18" ht="15.75" customHeight="1">
      <c r="A1837" s="26">
        <f ca="1">IFERROR(__xludf.DUMMYFUNCTION("""COMPUTED_VALUE"""),13659)</f>
        <v>13659</v>
      </c>
      <c r="B1837" s="86">
        <f ca="1">IFERROR(__xludf.DUMMYFUNCTION("""COMPUTED_VALUE"""),44688.5826273148)</f>
        <v>44688.582627314798</v>
      </c>
      <c r="C1837" s="1" t="str">
        <f ca="1">IFERROR(__xludf.DUMMYFUNCTION("""COMPUTED_VALUE"""),"completed")</f>
        <v>completed</v>
      </c>
      <c r="D1837" s="26">
        <f ca="1">IFERROR(__xludf.DUMMYFUNCTION("""COMPUTED_VALUE"""),55)</f>
        <v>55</v>
      </c>
      <c r="E1837" s="1"/>
      <c r="F1837" s="87" t="str">
        <f t="shared" ca="1" si="0"/>
        <v>2022</v>
      </c>
      <c r="H1837" s="26" t="str">
        <f t="shared" si="1"/>
        <v/>
      </c>
      <c r="I1837" s="26" t="str">
        <f t="shared" si="2"/>
        <v/>
      </c>
      <c r="J1837" s="86">
        <f t="shared" ca="1" si="3"/>
        <v>44688</v>
      </c>
      <c r="R1837" s="26"/>
    </row>
    <row r="1838" spans="1:18" ht="15.75" customHeight="1">
      <c r="A1838" s="26">
        <f ca="1">IFERROR(__xludf.DUMMYFUNCTION("""COMPUTED_VALUE"""),13658)</f>
        <v>13658</v>
      </c>
      <c r="B1838" s="86">
        <f ca="1">IFERROR(__xludf.DUMMYFUNCTION("""COMPUTED_VALUE"""),44688.5808449074)</f>
        <v>44688.580844907403</v>
      </c>
      <c r="C1838" s="1" t="str">
        <f ca="1">IFERROR(__xludf.DUMMYFUNCTION("""COMPUTED_VALUE"""),"completed")</f>
        <v>completed</v>
      </c>
      <c r="D1838" s="26">
        <f ca="1">IFERROR(__xludf.DUMMYFUNCTION("""COMPUTED_VALUE"""),15)</f>
        <v>15</v>
      </c>
      <c r="E1838" s="1"/>
      <c r="F1838" s="87" t="str">
        <f t="shared" ca="1" si="0"/>
        <v>2022</v>
      </c>
      <c r="H1838" s="26" t="str">
        <f t="shared" si="1"/>
        <v/>
      </c>
      <c r="I1838" s="26" t="str">
        <f t="shared" si="2"/>
        <v/>
      </c>
      <c r="J1838" s="86">
        <f t="shared" ca="1" si="3"/>
        <v>44688</v>
      </c>
      <c r="R1838" s="26"/>
    </row>
    <row r="1839" spans="1:18" ht="15.75" customHeight="1">
      <c r="A1839" s="26">
        <f ca="1">IFERROR(__xludf.DUMMYFUNCTION("""COMPUTED_VALUE"""),13657)</f>
        <v>13657</v>
      </c>
      <c r="B1839" s="86">
        <f ca="1">IFERROR(__xludf.DUMMYFUNCTION("""COMPUTED_VALUE"""),44688.5794328703)</f>
        <v>44688.579432870298</v>
      </c>
      <c r="C1839" s="1" t="str">
        <f ca="1">IFERROR(__xludf.DUMMYFUNCTION("""COMPUTED_VALUE"""),"completed")</f>
        <v>completed</v>
      </c>
      <c r="D1839" s="26">
        <f ca="1">IFERROR(__xludf.DUMMYFUNCTION("""COMPUTED_VALUE"""),35)</f>
        <v>35</v>
      </c>
      <c r="E1839" s="1"/>
      <c r="F1839" s="87" t="str">
        <f t="shared" ca="1" si="0"/>
        <v>2022</v>
      </c>
      <c r="H1839" s="26" t="str">
        <f t="shared" si="1"/>
        <v/>
      </c>
      <c r="I1839" s="26" t="str">
        <f t="shared" si="2"/>
        <v/>
      </c>
      <c r="J1839" s="86">
        <f t="shared" ca="1" si="3"/>
        <v>44688</v>
      </c>
      <c r="R1839" s="26"/>
    </row>
    <row r="1840" spans="1:18" ht="15.75" customHeight="1">
      <c r="A1840" s="26">
        <f ca="1">IFERROR(__xludf.DUMMYFUNCTION("""COMPUTED_VALUE"""),13656)</f>
        <v>13656</v>
      </c>
      <c r="B1840" s="86">
        <f ca="1">IFERROR(__xludf.DUMMYFUNCTION("""COMPUTED_VALUE"""),44688.5774652777)</f>
        <v>44688.577465277704</v>
      </c>
      <c r="C1840" s="1" t="str">
        <f ca="1">IFERROR(__xludf.DUMMYFUNCTION("""COMPUTED_VALUE"""),"completed")</f>
        <v>completed</v>
      </c>
      <c r="D1840" s="26">
        <f ca="1">IFERROR(__xludf.DUMMYFUNCTION("""COMPUTED_VALUE"""),35)</f>
        <v>35</v>
      </c>
      <c r="E1840" s="1"/>
      <c r="F1840" s="87" t="str">
        <f t="shared" ca="1" si="0"/>
        <v>2022</v>
      </c>
      <c r="H1840" s="26" t="str">
        <f t="shared" si="1"/>
        <v/>
      </c>
      <c r="I1840" s="26" t="str">
        <f t="shared" si="2"/>
        <v/>
      </c>
      <c r="J1840" s="86">
        <f t="shared" ca="1" si="3"/>
        <v>44688</v>
      </c>
      <c r="R1840" s="26"/>
    </row>
    <row r="1841" spans="1:18" ht="15.75" customHeight="1">
      <c r="A1841" s="26">
        <f ca="1">IFERROR(__xludf.DUMMYFUNCTION("""COMPUTED_VALUE"""),13655)</f>
        <v>13655</v>
      </c>
      <c r="B1841" s="86">
        <f ca="1">IFERROR(__xludf.DUMMYFUNCTION("""COMPUTED_VALUE"""),44688.5749074073)</f>
        <v>44688.574907407397</v>
      </c>
      <c r="C1841" s="1" t="str">
        <f ca="1">IFERROR(__xludf.DUMMYFUNCTION("""COMPUTED_VALUE"""),"completed")</f>
        <v>completed</v>
      </c>
      <c r="D1841" s="26">
        <f ca="1">IFERROR(__xludf.DUMMYFUNCTION("""COMPUTED_VALUE"""),20)</f>
        <v>20</v>
      </c>
      <c r="E1841" s="1"/>
      <c r="F1841" s="87" t="str">
        <f t="shared" ca="1" si="0"/>
        <v>2022</v>
      </c>
      <c r="H1841" s="26" t="str">
        <f t="shared" si="1"/>
        <v/>
      </c>
      <c r="I1841" s="26" t="str">
        <f t="shared" si="2"/>
        <v/>
      </c>
      <c r="J1841" s="86">
        <f t="shared" ca="1" si="3"/>
        <v>44688</v>
      </c>
      <c r="R1841" s="26"/>
    </row>
    <row r="1842" spans="1:18" ht="15.75" customHeight="1">
      <c r="A1842" s="26">
        <f ca="1">IFERROR(__xludf.DUMMYFUNCTION("""COMPUTED_VALUE"""),13654)</f>
        <v>13654</v>
      </c>
      <c r="B1842" s="86">
        <f ca="1">IFERROR(__xludf.DUMMYFUNCTION("""COMPUTED_VALUE"""),44688.5743402777)</f>
        <v>44688.574340277701</v>
      </c>
      <c r="C1842" s="1" t="str">
        <f ca="1">IFERROR(__xludf.DUMMYFUNCTION("""COMPUTED_VALUE"""),"completed")</f>
        <v>completed</v>
      </c>
      <c r="D1842" s="26">
        <f ca="1">IFERROR(__xludf.DUMMYFUNCTION("""COMPUTED_VALUE"""),20)</f>
        <v>20</v>
      </c>
      <c r="E1842" s="1"/>
      <c r="F1842" s="87" t="str">
        <f t="shared" ca="1" si="0"/>
        <v>2022</v>
      </c>
      <c r="H1842" s="26" t="str">
        <f t="shared" si="1"/>
        <v/>
      </c>
      <c r="I1842" s="26" t="str">
        <f t="shared" si="2"/>
        <v/>
      </c>
      <c r="J1842" s="86">
        <f t="shared" ca="1" si="3"/>
        <v>44688</v>
      </c>
      <c r="R1842" s="26"/>
    </row>
    <row r="1843" spans="1:18" ht="15.75" customHeight="1">
      <c r="A1843" s="26">
        <f ca="1">IFERROR(__xludf.DUMMYFUNCTION("""COMPUTED_VALUE"""),13653)</f>
        <v>13653</v>
      </c>
      <c r="B1843" s="86">
        <f ca="1">IFERROR(__xludf.DUMMYFUNCTION("""COMPUTED_VALUE"""),44688.5714467592)</f>
        <v>44688.571446759197</v>
      </c>
      <c r="C1843" s="1" t="str">
        <f ca="1">IFERROR(__xludf.DUMMYFUNCTION("""COMPUTED_VALUE"""),"completed")</f>
        <v>completed</v>
      </c>
      <c r="D1843" s="26">
        <f ca="1">IFERROR(__xludf.DUMMYFUNCTION("""COMPUTED_VALUE"""),25)</f>
        <v>25</v>
      </c>
      <c r="E1843" s="1"/>
      <c r="F1843" s="87" t="str">
        <f t="shared" ca="1" si="0"/>
        <v>2022</v>
      </c>
      <c r="H1843" s="26" t="str">
        <f t="shared" si="1"/>
        <v/>
      </c>
      <c r="I1843" s="26" t="str">
        <f t="shared" si="2"/>
        <v/>
      </c>
      <c r="J1843" s="86">
        <f t="shared" ca="1" si="3"/>
        <v>44688</v>
      </c>
      <c r="R1843" s="26"/>
    </row>
    <row r="1844" spans="1:18" ht="15.75" customHeight="1">
      <c r="A1844" s="26">
        <f ca="1">IFERROR(__xludf.DUMMYFUNCTION("""COMPUTED_VALUE"""),13652)</f>
        <v>13652</v>
      </c>
      <c r="B1844" s="86">
        <f ca="1">IFERROR(__xludf.DUMMYFUNCTION("""COMPUTED_VALUE"""),44688.5694907407)</f>
        <v>44688.569490740701</v>
      </c>
      <c r="C1844" s="1" t="str">
        <f ca="1">IFERROR(__xludf.DUMMYFUNCTION("""COMPUTED_VALUE"""),"completed")</f>
        <v>completed</v>
      </c>
      <c r="D1844" s="26">
        <f ca="1">IFERROR(__xludf.DUMMYFUNCTION("""COMPUTED_VALUE"""),30)</f>
        <v>30</v>
      </c>
      <c r="E1844" s="1"/>
      <c r="F1844" s="87" t="str">
        <f t="shared" ca="1" si="0"/>
        <v>2022</v>
      </c>
      <c r="H1844" s="26" t="str">
        <f t="shared" si="1"/>
        <v/>
      </c>
      <c r="I1844" s="26" t="str">
        <f t="shared" si="2"/>
        <v/>
      </c>
      <c r="J1844" s="86">
        <f t="shared" ca="1" si="3"/>
        <v>44688</v>
      </c>
      <c r="R1844" s="26"/>
    </row>
    <row r="1845" spans="1:18" ht="15.75" customHeight="1">
      <c r="A1845" s="26">
        <f ca="1">IFERROR(__xludf.DUMMYFUNCTION("""COMPUTED_VALUE"""),13651)</f>
        <v>13651</v>
      </c>
      <c r="B1845" s="86">
        <f ca="1">IFERROR(__xludf.DUMMYFUNCTION("""COMPUTED_VALUE"""),44688.5592592592)</f>
        <v>44688.5592592592</v>
      </c>
      <c r="C1845" s="1" t="str">
        <f ca="1">IFERROR(__xludf.DUMMYFUNCTION("""COMPUTED_VALUE"""),"completed")</f>
        <v>completed</v>
      </c>
      <c r="D1845" s="26">
        <f ca="1">IFERROR(__xludf.DUMMYFUNCTION("""COMPUTED_VALUE"""),18)</f>
        <v>18</v>
      </c>
      <c r="E1845" s="1"/>
      <c r="F1845" s="87" t="str">
        <f t="shared" ca="1" si="0"/>
        <v>2022</v>
      </c>
      <c r="H1845" s="26" t="str">
        <f t="shared" si="1"/>
        <v/>
      </c>
      <c r="I1845" s="26" t="str">
        <f t="shared" si="2"/>
        <v/>
      </c>
      <c r="J1845" s="86">
        <f t="shared" ca="1" si="3"/>
        <v>44688</v>
      </c>
      <c r="R1845" s="26"/>
    </row>
    <row r="1846" spans="1:18" ht="15.75" customHeight="1">
      <c r="A1846" s="26">
        <f ca="1">IFERROR(__xludf.DUMMYFUNCTION("""COMPUTED_VALUE"""),13650)</f>
        <v>13650</v>
      </c>
      <c r="B1846" s="86">
        <f ca="1">IFERROR(__xludf.DUMMYFUNCTION("""COMPUTED_VALUE"""),44688.5572685185)</f>
        <v>44688.557268518503</v>
      </c>
      <c r="C1846" s="1" t="str">
        <f ca="1">IFERROR(__xludf.DUMMYFUNCTION("""COMPUTED_VALUE"""),"completed")</f>
        <v>completed</v>
      </c>
      <c r="D1846" s="26">
        <f ca="1">IFERROR(__xludf.DUMMYFUNCTION("""COMPUTED_VALUE"""),18)</f>
        <v>18</v>
      </c>
      <c r="E1846" s="1"/>
      <c r="F1846" s="87" t="str">
        <f t="shared" ca="1" si="0"/>
        <v>2022</v>
      </c>
      <c r="H1846" s="26" t="str">
        <f t="shared" si="1"/>
        <v/>
      </c>
      <c r="I1846" s="26" t="str">
        <f t="shared" si="2"/>
        <v/>
      </c>
      <c r="J1846" s="86">
        <f t="shared" ca="1" si="3"/>
        <v>44688</v>
      </c>
      <c r="R1846" s="26"/>
    </row>
    <row r="1847" spans="1:18" ht="15.75" customHeight="1">
      <c r="A1847" s="26">
        <f ca="1">IFERROR(__xludf.DUMMYFUNCTION("""COMPUTED_VALUE"""),13649)</f>
        <v>13649</v>
      </c>
      <c r="B1847" s="86">
        <f ca="1">IFERROR(__xludf.DUMMYFUNCTION("""COMPUTED_VALUE"""),44688.5564814814)</f>
        <v>44688.556481481399</v>
      </c>
      <c r="C1847" s="1" t="str">
        <f ca="1">IFERROR(__xludf.DUMMYFUNCTION("""COMPUTED_VALUE"""),"completed")</f>
        <v>completed</v>
      </c>
      <c r="D1847" s="26">
        <f ca="1">IFERROR(__xludf.DUMMYFUNCTION("""COMPUTED_VALUE"""),25)</f>
        <v>25</v>
      </c>
      <c r="E1847" s="1"/>
      <c r="F1847" s="87" t="str">
        <f t="shared" ca="1" si="0"/>
        <v>2022</v>
      </c>
      <c r="H1847" s="26" t="str">
        <f t="shared" si="1"/>
        <v/>
      </c>
      <c r="I1847" s="26" t="str">
        <f t="shared" si="2"/>
        <v/>
      </c>
      <c r="J1847" s="86">
        <f t="shared" ca="1" si="3"/>
        <v>44688</v>
      </c>
      <c r="R1847" s="26"/>
    </row>
    <row r="1848" spans="1:18" ht="15.75" customHeight="1">
      <c r="A1848" s="26">
        <f ca="1">IFERROR(__xludf.DUMMYFUNCTION("""COMPUTED_VALUE"""),13648)</f>
        <v>13648</v>
      </c>
      <c r="B1848" s="86">
        <f ca="1">IFERROR(__xludf.DUMMYFUNCTION("""COMPUTED_VALUE"""),44688.5538194444)</f>
        <v>44688.553819444402</v>
      </c>
      <c r="C1848" s="1" t="str">
        <f ca="1">IFERROR(__xludf.DUMMYFUNCTION("""COMPUTED_VALUE"""),"completed")</f>
        <v>completed</v>
      </c>
      <c r="D1848" s="26">
        <f ca="1">IFERROR(__xludf.DUMMYFUNCTION("""COMPUTED_VALUE"""),32)</f>
        <v>32</v>
      </c>
      <c r="E1848" s="1"/>
      <c r="F1848" s="87" t="str">
        <f t="shared" ca="1" si="0"/>
        <v>2022</v>
      </c>
      <c r="H1848" s="26" t="str">
        <f t="shared" si="1"/>
        <v/>
      </c>
      <c r="I1848" s="26" t="str">
        <f t="shared" si="2"/>
        <v/>
      </c>
      <c r="J1848" s="86">
        <f t="shared" ca="1" si="3"/>
        <v>44688</v>
      </c>
      <c r="R1848" s="26"/>
    </row>
    <row r="1849" spans="1:18" ht="15.75" customHeight="1">
      <c r="A1849" s="26">
        <f ca="1">IFERROR(__xludf.DUMMYFUNCTION("""COMPUTED_VALUE"""),13647)</f>
        <v>13647</v>
      </c>
      <c r="B1849" s="86">
        <f ca="1">IFERROR(__xludf.DUMMYFUNCTION("""COMPUTED_VALUE"""),44688.552037037)</f>
        <v>44688.552037037</v>
      </c>
      <c r="C1849" s="1" t="str">
        <f ca="1">IFERROR(__xludf.DUMMYFUNCTION("""COMPUTED_VALUE"""),"completed")</f>
        <v>completed</v>
      </c>
      <c r="D1849" s="26">
        <f ca="1">IFERROR(__xludf.DUMMYFUNCTION("""COMPUTED_VALUE"""),20)</f>
        <v>20</v>
      </c>
      <c r="E1849" s="1"/>
      <c r="F1849" s="87" t="str">
        <f t="shared" ca="1" si="0"/>
        <v>2022</v>
      </c>
      <c r="H1849" s="26" t="str">
        <f t="shared" si="1"/>
        <v/>
      </c>
      <c r="I1849" s="26" t="str">
        <f t="shared" si="2"/>
        <v/>
      </c>
      <c r="J1849" s="86">
        <f t="shared" ca="1" si="3"/>
        <v>44688</v>
      </c>
      <c r="R1849" s="26"/>
    </row>
    <row r="1850" spans="1:18" ht="15.75" customHeight="1">
      <c r="A1850" s="26">
        <f ca="1">IFERROR(__xludf.DUMMYFUNCTION("""COMPUTED_VALUE"""),13646)</f>
        <v>13646</v>
      </c>
      <c r="B1850" s="86">
        <f ca="1">IFERROR(__xludf.DUMMYFUNCTION("""COMPUTED_VALUE"""),44688.5461226851)</f>
        <v>44688.546122685097</v>
      </c>
      <c r="C1850" s="1" t="str">
        <f ca="1">IFERROR(__xludf.DUMMYFUNCTION("""COMPUTED_VALUE"""),"completed")</f>
        <v>completed</v>
      </c>
      <c r="D1850" s="26">
        <f ca="1">IFERROR(__xludf.DUMMYFUNCTION("""COMPUTED_VALUE"""),27)</f>
        <v>27</v>
      </c>
      <c r="E1850" s="1"/>
      <c r="F1850" s="87" t="str">
        <f t="shared" ca="1" si="0"/>
        <v>2022</v>
      </c>
      <c r="H1850" s="26" t="str">
        <f t="shared" si="1"/>
        <v/>
      </c>
      <c r="I1850" s="26" t="str">
        <f t="shared" si="2"/>
        <v/>
      </c>
      <c r="J1850" s="86">
        <f t="shared" ca="1" si="3"/>
        <v>44688</v>
      </c>
      <c r="R1850" s="26"/>
    </row>
    <row r="1851" spans="1:18" ht="15.75" customHeight="1">
      <c r="A1851" s="26">
        <f ca="1">IFERROR(__xludf.DUMMYFUNCTION("""COMPUTED_VALUE"""),13645)</f>
        <v>13645</v>
      </c>
      <c r="B1851" s="86">
        <f ca="1">IFERROR(__xludf.DUMMYFUNCTION("""COMPUTED_VALUE"""),44688.5428009259)</f>
        <v>44688.542800925898</v>
      </c>
      <c r="C1851" s="1" t="str">
        <f ca="1">IFERROR(__xludf.DUMMYFUNCTION("""COMPUTED_VALUE"""),"completed")</f>
        <v>completed</v>
      </c>
      <c r="D1851" s="26">
        <f ca="1">IFERROR(__xludf.DUMMYFUNCTION("""COMPUTED_VALUE"""),27)</f>
        <v>27</v>
      </c>
      <c r="E1851" s="1"/>
      <c r="F1851" s="87" t="str">
        <f t="shared" ca="1" si="0"/>
        <v>2022</v>
      </c>
      <c r="H1851" s="26" t="str">
        <f t="shared" si="1"/>
        <v/>
      </c>
      <c r="I1851" s="26" t="str">
        <f t="shared" si="2"/>
        <v/>
      </c>
      <c r="J1851" s="86">
        <f t="shared" ca="1" si="3"/>
        <v>44688</v>
      </c>
      <c r="R1851" s="26"/>
    </row>
    <row r="1852" spans="1:18" ht="15.75" customHeight="1">
      <c r="A1852" s="26">
        <f ca="1">IFERROR(__xludf.DUMMYFUNCTION("""COMPUTED_VALUE"""),13644)</f>
        <v>13644</v>
      </c>
      <c r="B1852" s="86">
        <f ca="1">IFERROR(__xludf.DUMMYFUNCTION("""COMPUTED_VALUE"""),44688.5418634259)</f>
        <v>44688.541863425897</v>
      </c>
      <c r="C1852" s="1" t="str">
        <f ca="1">IFERROR(__xludf.DUMMYFUNCTION("""COMPUTED_VALUE"""),"completed")</f>
        <v>completed</v>
      </c>
      <c r="D1852" s="26">
        <f ca="1">IFERROR(__xludf.DUMMYFUNCTION("""COMPUTED_VALUE"""),12)</f>
        <v>12</v>
      </c>
      <c r="E1852" s="1"/>
      <c r="F1852" s="87" t="str">
        <f t="shared" ca="1" si="0"/>
        <v>2022</v>
      </c>
      <c r="H1852" s="26" t="str">
        <f t="shared" si="1"/>
        <v/>
      </c>
      <c r="I1852" s="26" t="str">
        <f t="shared" si="2"/>
        <v/>
      </c>
      <c r="J1852" s="86">
        <f t="shared" ca="1" si="3"/>
        <v>44688</v>
      </c>
      <c r="R1852" s="26"/>
    </row>
    <row r="1853" spans="1:18" ht="15.75" customHeight="1">
      <c r="A1853" s="26">
        <f ca="1">IFERROR(__xludf.DUMMYFUNCTION("""COMPUTED_VALUE"""),13643)</f>
        <v>13643</v>
      </c>
      <c r="B1853" s="86">
        <f ca="1">IFERROR(__xludf.DUMMYFUNCTION("""COMPUTED_VALUE"""),44688.5394212963)</f>
        <v>44688.5394212963</v>
      </c>
      <c r="C1853" s="1" t="str">
        <f ca="1">IFERROR(__xludf.DUMMYFUNCTION("""COMPUTED_VALUE"""),"completed")</f>
        <v>completed</v>
      </c>
      <c r="D1853" s="26">
        <f ca="1">IFERROR(__xludf.DUMMYFUNCTION("""COMPUTED_VALUE"""),25)</f>
        <v>25</v>
      </c>
      <c r="E1853" s="1"/>
      <c r="F1853" s="87" t="str">
        <f t="shared" ca="1" si="0"/>
        <v>2022</v>
      </c>
      <c r="H1853" s="26" t="str">
        <f t="shared" si="1"/>
        <v/>
      </c>
      <c r="I1853" s="26" t="str">
        <f t="shared" si="2"/>
        <v/>
      </c>
      <c r="J1853" s="86">
        <f t="shared" ca="1" si="3"/>
        <v>44688</v>
      </c>
      <c r="R1853" s="26"/>
    </row>
    <row r="1854" spans="1:18" ht="15.75" customHeight="1">
      <c r="A1854" s="26">
        <f ca="1">IFERROR(__xludf.DUMMYFUNCTION("""COMPUTED_VALUE"""),13642)</f>
        <v>13642</v>
      </c>
      <c r="B1854" s="86">
        <f ca="1">IFERROR(__xludf.DUMMYFUNCTION("""COMPUTED_VALUE"""),44688.53875)</f>
        <v>44688.53875</v>
      </c>
      <c r="C1854" s="1" t="str">
        <f ca="1">IFERROR(__xludf.DUMMYFUNCTION("""COMPUTED_VALUE"""),"completed")</f>
        <v>completed</v>
      </c>
      <c r="D1854" s="26">
        <f ca="1">IFERROR(__xludf.DUMMYFUNCTION("""COMPUTED_VALUE"""),25)</f>
        <v>25</v>
      </c>
      <c r="E1854" s="1"/>
      <c r="F1854" s="87" t="str">
        <f t="shared" ca="1" si="0"/>
        <v>2022</v>
      </c>
      <c r="H1854" s="26" t="str">
        <f t="shared" si="1"/>
        <v/>
      </c>
      <c r="I1854" s="26" t="str">
        <f t="shared" si="2"/>
        <v/>
      </c>
      <c r="J1854" s="86">
        <f t="shared" ca="1" si="3"/>
        <v>44688</v>
      </c>
      <c r="R1854" s="26"/>
    </row>
    <row r="1855" spans="1:18" ht="15.75" customHeight="1">
      <c r="A1855" s="26">
        <f ca="1">IFERROR(__xludf.DUMMYFUNCTION("""COMPUTED_VALUE"""),13641)</f>
        <v>13641</v>
      </c>
      <c r="B1855" s="86">
        <f ca="1">IFERROR(__xludf.DUMMYFUNCTION("""COMPUTED_VALUE"""),44688.5373726851)</f>
        <v>44688.537372685103</v>
      </c>
      <c r="C1855" s="1" t="str">
        <f ca="1">IFERROR(__xludf.DUMMYFUNCTION("""COMPUTED_VALUE"""),"completed")</f>
        <v>completed</v>
      </c>
      <c r="D1855" s="26">
        <f ca="1">IFERROR(__xludf.DUMMYFUNCTION("""COMPUTED_VALUE"""),25)</f>
        <v>25</v>
      </c>
      <c r="E1855" s="1"/>
      <c r="F1855" s="87" t="str">
        <f t="shared" ca="1" si="0"/>
        <v>2022</v>
      </c>
      <c r="H1855" s="26" t="str">
        <f t="shared" si="1"/>
        <v/>
      </c>
      <c r="I1855" s="26" t="str">
        <f t="shared" si="2"/>
        <v/>
      </c>
      <c r="J1855" s="86">
        <f t="shared" ca="1" si="3"/>
        <v>44688</v>
      </c>
      <c r="R1855" s="26"/>
    </row>
    <row r="1856" spans="1:18" ht="15.75" customHeight="1">
      <c r="A1856" s="26">
        <f ca="1">IFERROR(__xludf.DUMMYFUNCTION("""COMPUTED_VALUE"""),13640)</f>
        <v>13640</v>
      </c>
      <c r="B1856" s="86">
        <f ca="1">IFERROR(__xludf.DUMMYFUNCTION("""COMPUTED_VALUE"""),44688.5364930555)</f>
        <v>44688.536493055501</v>
      </c>
      <c r="C1856" s="1" t="str">
        <f ca="1">IFERROR(__xludf.DUMMYFUNCTION("""COMPUTED_VALUE"""),"completed")</f>
        <v>completed</v>
      </c>
      <c r="D1856" s="26">
        <f ca="1">IFERROR(__xludf.DUMMYFUNCTION("""COMPUTED_VALUE"""),30)</f>
        <v>30</v>
      </c>
      <c r="E1856" s="1"/>
      <c r="F1856" s="87" t="str">
        <f t="shared" ca="1" si="0"/>
        <v>2022</v>
      </c>
      <c r="H1856" s="26" t="str">
        <f t="shared" si="1"/>
        <v/>
      </c>
      <c r="I1856" s="26" t="str">
        <f t="shared" si="2"/>
        <v/>
      </c>
      <c r="J1856" s="86">
        <f t="shared" ca="1" si="3"/>
        <v>44688</v>
      </c>
      <c r="R1856" s="26"/>
    </row>
    <row r="1857" spans="1:18" ht="15.75" customHeight="1">
      <c r="A1857" s="26">
        <f ca="1">IFERROR(__xludf.DUMMYFUNCTION("""COMPUTED_VALUE"""),13639)</f>
        <v>13639</v>
      </c>
      <c r="B1857" s="86">
        <f ca="1">IFERROR(__xludf.DUMMYFUNCTION("""COMPUTED_VALUE"""),44688.5354282407)</f>
        <v>44688.535428240699</v>
      </c>
      <c r="C1857" s="1" t="str">
        <f ca="1">IFERROR(__xludf.DUMMYFUNCTION("""COMPUTED_VALUE"""),"completed")</f>
        <v>completed</v>
      </c>
      <c r="D1857" s="26">
        <f ca="1">IFERROR(__xludf.DUMMYFUNCTION("""COMPUTED_VALUE"""),32)</f>
        <v>32</v>
      </c>
      <c r="E1857" s="1"/>
      <c r="F1857" s="87" t="str">
        <f t="shared" ca="1" si="0"/>
        <v>2022</v>
      </c>
      <c r="H1857" s="26" t="str">
        <f t="shared" si="1"/>
        <v/>
      </c>
      <c r="I1857" s="26" t="str">
        <f t="shared" si="2"/>
        <v/>
      </c>
      <c r="J1857" s="86">
        <f t="shared" ca="1" si="3"/>
        <v>44688</v>
      </c>
      <c r="R1857" s="26"/>
    </row>
    <row r="1858" spans="1:18" ht="15.75" customHeight="1">
      <c r="A1858" s="26">
        <f ca="1">IFERROR(__xludf.DUMMYFUNCTION("""COMPUTED_VALUE"""),13638)</f>
        <v>13638</v>
      </c>
      <c r="B1858" s="86">
        <f ca="1">IFERROR(__xludf.DUMMYFUNCTION("""COMPUTED_VALUE"""),44688.5351851851)</f>
        <v>44688.535185185101</v>
      </c>
      <c r="C1858" s="1" t="str">
        <f ca="1">IFERROR(__xludf.DUMMYFUNCTION("""COMPUTED_VALUE"""),"completed")</f>
        <v>completed</v>
      </c>
      <c r="D1858" s="26">
        <f ca="1">IFERROR(__xludf.DUMMYFUNCTION("""COMPUTED_VALUE"""),37)</f>
        <v>37</v>
      </c>
      <c r="E1858" s="1"/>
      <c r="F1858" s="87" t="str">
        <f t="shared" ca="1" si="0"/>
        <v>2022</v>
      </c>
      <c r="H1858" s="26" t="str">
        <f t="shared" si="1"/>
        <v/>
      </c>
      <c r="I1858" s="26" t="str">
        <f t="shared" si="2"/>
        <v/>
      </c>
      <c r="J1858" s="86">
        <f t="shared" ca="1" si="3"/>
        <v>44688</v>
      </c>
      <c r="R1858" s="26"/>
    </row>
    <row r="1859" spans="1:18" ht="15.75" customHeight="1">
      <c r="A1859" s="26">
        <f ca="1">IFERROR(__xludf.DUMMYFUNCTION("""COMPUTED_VALUE"""),13637)</f>
        <v>13637</v>
      </c>
      <c r="B1859" s="86">
        <f ca="1">IFERROR(__xludf.DUMMYFUNCTION("""COMPUTED_VALUE"""),44688.5322916666)</f>
        <v>44688.532291666597</v>
      </c>
      <c r="C1859" s="1" t="str">
        <f ca="1">IFERROR(__xludf.DUMMYFUNCTION("""COMPUTED_VALUE"""),"completed")</f>
        <v>completed</v>
      </c>
      <c r="D1859" s="26">
        <f ca="1">IFERROR(__xludf.DUMMYFUNCTION("""COMPUTED_VALUE"""),20)</f>
        <v>20</v>
      </c>
      <c r="E1859" s="1"/>
      <c r="F1859" s="87" t="str">
        <f t="shared" ca="1" si="0"/>
        <v>2022</v>
      </c>
      <c r="H1859" s="26" t="str">
        <f t="shared" si="1"/>
        <v/>
      </c>
      <c r="I1859" s="26" t="str">
        <f t="shared" si="2"/>
        <v/>
      </c>
      <c r="J1859" s="86">
        <f t="shared" ca="1" si="3"/>
        <v>44688</v>
      </c>
      <c r="R1859" s="26"/>
    </row>
    <row r="1860" spans="1:18" ht="15.75" customHeight="1">
      <c r="A1860" s="26">
        <f ca="1">IFERROR(__xludf.DUMMYFUNCTION("""COMPUTED_VALUE"""),13636)</f>
        <v>13636</v>
      </c>
      <c r="B1860" s="86">
        <f ca="1">IFERROR(__xludf.DUMMYFUNCTION("""COMPUTED_VALUE"""),44688.5296759259)</f>
        <v>44688.5296759259</v>
      </c>
      <c r="C1860" s="1" t="str">
        <f ca="1">IFERROR(__xludf.DUMMYFUNCTION("""COMPUTED_VALUE"""),"completed")</f>
        <v>completed</v>
      </c>
      <c r="D1860" s="26">
        <f ca="1">IFERROR(__xludf.DUMMYFUNCTION("""COMPUTED_VALUE"""),25)</f>
        <v>25</v>
      </c>
      <c r="E1860" s="1"/>
      <c r="F1860" s="87" t="str">
        <f t="shared" ca="1" si="0"/>
        <v>2022</v>
      </c>
      <c r="H1860" s="26" t="str">
        <f t="shared" si="1"/>
        <v/>
      </c>
      <c r="I1860" s="26" t="str">
        <f t="shared" si="2"/>
        <v/>
      </c>
      <c r="J1860" s="86">
        <f t="shared" ca="1" si="3"/>
        <v>44688</v>
      </c>
      <c r="R1860" s="26"/>
    </row>
    <row r="1861" spans="1:18" ht="15.75" customHeight="1">
      <c r="A1861" s="26">
        <f ca="1">IFERROR(__xludf.DUMMYFUNCTION("""COMPUTED_VALUE"""),13635)</f>
        <v>13635</v>
      </c>
      <c r="B1861" s="86">
        <f ca="1">IFERROR(__xludf.DUMMYFUNCTION("""COMPUTED_VALUE"""),44688.5221527777)</f>
        <v>44688.522152777703</v>
      </c>
      <c r="C1861" s="1" t="str">
        <f ca="1">IFERROR(__xludf.DUMMYFUNCTION("""COMPUTED_VALUE"""),"completed")</f>
        <v>completed</v>
      </c>
      <c r="D1861" s="26">
        <f ca="1">IFERROR(__xludf.DUMMYFUNCTION("""COMPUTED_VALUE"""),35)</f>
        <v>35</v>
      </c>
      <c r="E1861" s="1"/>
      <c r="F1861" s="87" t="str">
        <f t="shared" ca="1" si="0"/>
        <v>2022</v>
      </c>
      <c r="H1861" s="26" t="str">
        <f t="shared" si="1"/>
        <v/>
      </c>
      <c r="I1861" s="26" t="str">
        <f t="shared" si="2"/>
        <v/>
      </c>
      <c r="J1861" s="86">
        <f t="shared" ca="1" si="3"/>
        <v>44688</v>
      </c>
      <c r="R1861" s="26"/>
    </row>
    <row r="1862" spans="1:18" ht="15.75" customHeight="1">
      <c r="A1862" s="26">
        <f ca="1">IFERROR(__xludf.DUMMYFUNCTION("""COMPUTED_VALUE"""),13634)</f>
        <v>13634</v>
      </c>
      <c r="B1862" s="86">
        <f ca="1">IFERROR(__xludf.DUMMYFUNCTION("""COMPUTED_VALUE"""),44688.5217939814)</f>
        <v>44688.521793981403</v>
      </c>
      <c r="C1862" s="1" t="str">
        <f ca="1">IFERROR(__xludf.DUMMYFUNCTION("""COMPUTED_VALUE"""),"completed")</f>
        <v>completed</v>
      </c>
      <c r="D1862" s="26">
        <f ca="1">IFERROR(__xludf.DUMMYFUNCTION("""COMPUTED_VALUE"""),35)</f>
        <v>35</v>
      </c>
      <c r="E1862" s="1"/>
      <c r="F1862" s="87" t="str">
        <f t="shared" ca="1" si="0"/>
        <v>2022</v>
      </c>
      <c r="H1862" s="26" t="str">
        <f t="shared" si="1"/>
        <v/>
      </c>
      <c r="I1862" s="26" t="str">
        <f t="shared" si="2"/>
        <v/>
      </c>
      <c r="J1862" s="86">
        <f t="shared" ca="1" si="3"/>
        <v>44688</v>
      </c>
      <c r="R1862" s="26"/>
    </row>
    <row r="1863" spans="1:18" ht="15.75" customHeight="1">
      <c r="A1863" s="26">
        <f ca="1">IFERROR(__xludf.DUMMYFUNCTION("""COMPUTED_VALUE"""),13633)</f>
        <v>13633</v>
      </c>
      <c r="B1863" s="86">
        <f ca="1">IFERROR(__xludf.DUMMYFUNCTION("""COMPUTED_VALUE"""),44688.52125)</f>
        <v>44688.521249999998</v>
      </c>
      <c r="C1863" s="1" t="str">
        <f ca="1">IFERROR(__xludf.DUMMYFUNCTION("""COMPUTED_VALUE"""),"completed")</f>
        <v>completed</v>
      </c>
      <c r="D1863" s="26">
        <f ca="1">IFERROR(__xludf.DUMMYFUNCTION("""COMPUTED_VALUE"""),36)</f>
        <v>36</v>
      </c>
      <c r="E1863" s="1"/>
      <c r="F1863" s="87" t="str">
        <f t="shared" ca="1" si="0"/>
        <v>2022</v>
      </c>
      <c r="H1863" s="26" t="str">
        <f t="shared" si="1"/>
        <v/>
      </c>
      <c r="I1863" s="26" t="str">
        <f t="shared" si="2"/>
        <v/>
      </c>
      <c r="J1863" s="86">
        <f t="shared" ca="1" si="3"/>
        <v>44688</v>
      </c>
      <c r="R1863" s="26"/>
    </row>
    <row r="1864" spans="1:18" ht="15.75" customHeight="1">
      <c r="A1864" s="26">
        <f ca="1">IFERROR(__xludf.DUMMYFUNCTION("""COMPUTED_VALUE"""),13632)</f>
        <v>13632</v>
      </c>
      <c r="B1864" s="86">
        <f ca="1">IFERROR(__xludf.DUMMYFUNCTION("""COMPUTED_VALUE"""),44688.5203587963)</f>
        <v>44688.520358796297</v>
      </c>
      <c r="C1864" s="1" t="str">
        <f ca="1">IFERROR(__xludf.DUMMYFUNCTION("""COMPUTED_VALUE"""),"completed")</f>
        <v>completed</v>
      </c>
      <c r="D1864" s="26">
        <f ca="1">IFERROR(__xludf.DUMMYFUNCTION("""COMPUTED_VALUE"""),20)</f>
        <v>20</v>
      </c>
      <c r="E1864" s="1"/>
      <c r="F1864" s="87" t="str">
        <f t="shared" ca="1" si="0"/>
        <v>2022</v>
      </c>
      <c r="H1864" s="26" t="str">
        <f t="shared" si="1"/>
        <v/>
      </c>
      <c r="I1864" s="26" t="str">
        <f t="shared" si="2"/>
        <v/>
      </c>
      <c r="J1864" s="86">
        <f t="shared" ca="1" si="3"/>
        <v>44688</v>
      </c>
      <c r="R1864" s="26"/>
    </row>
    <row r="1865" spans="1:18" ht="15.75" customHeight="1">
      <c r="A1865" s="26">
        <f ca="1">IFERROR(__xludf.DUMMYFUNCTION("""COMPUTED_VALUE"""),13631)</f>
        <v>13631</v>
      </c>
      <c r="B1865" s="86">
        <f ca="1">IFERROR(__xludf.DUMMYFUNCTION("""COMPUTED_VALUE"""),44688.5202430555)</f>
        <v>44688.5202430555</v>
      </c>
      <c r="C1865" s="1" t="str">
        <f ca="1">IFERROR(__xludf.DUMMYFUNCTION("""COMPUTED_VALUE"""),"completed")</f>
        <v>completed</v>
      </c>
      <c r="D1865" s="26">
        <f ca="1">IFERROR(__xludf.DUMMYFUNCTION("""COMPUTED_VALUE"""),25)</f>
        <v>25</v>
      </c>
      <c r="E1865" s="1"/>
      <c r="F1865" s="87" t="str">
        <f t="shared" ca="1" si="0"/>
        <v>2022</v>
      </c>
      <c r="H1865" s="26" t="str">
        <f t="shared" si="1"/>
        <v/>
      </c>
      <c r="I1865" s="26" t="str">
        <f t="shared" si="2"/>
        <v/>
      </c>
      <c r="J1865" s="86">
        <f t="shared" ca="1" si="3"/>
        <v>44688</v>
      </c>
      <c r="R1865" s="26"/>
    </row>
    <row r="1866" spans="1:18" ht="15.75" customHeight="1">
      <c r="A1866" s="26">
        <f ca="1">IFERROR(__xludf.DUMMYFUNCTION("""COMPUTED_VALUE"""),13630)</f>
        <v>13630</v>
      </c>
      <c r="B1866" s="86">
        <f ca="1">IFERROR(__xludf.DUMMYFUNCTION("""COMPUTED_VALUE"""),44688.5199537037)</f>
        <v>44688.519953703697</v>
      </c>
      <c r="C1866" s="1" t="str">
        <f ca="1">IFERROR(__xludf.DUMMYFUNCTION("""COMPUTED_VALUE"""),"completed")</f>
        <v>completed</v>
      </c>
      <c r="D1866" s="26">
        <f ca="1">IFERROR(__xludf.DUMMYFUNCTION("""COMPUTED_VALUE"""),25)</f>
        <v>25</v>
      </c>
      <c r="E1866" s="1"/>
      <c r="F1866" s="87" t="str">
        <f t="shared" ca="1" si="0"/>
        <v>2022</v>
      </c>
      <c r="H1866" s="26" t="str">
        <f t="shared" si="1"/>
        <v/>
      </c>
      <c r="I1866" s="26" t="str">
        <f t="shared" si="2"/>
        <v/>
      </c>
      <c r="J1866" s="86">
        <f t="shared" ca="1" si="3"/>
        <v>44688</v>
      </c>
      <c r="R1866" s="26"/>
    </row>
    <row r="1867" spans="1:18" ht="15.75" customHeight="1">
      <c r="A1867" s="26">
        <f ca="1">IFERROR(__xludf.DUMMYFUNCTION("""COMPUTED_VALUE"""),13629)</f>
        <v>13629</v>
      </c>
      <c r="B1867" s="86">
        <f ca="1">IFERROR(__xludf.DUMMYFUNCTION("""COMPUTED_VALUE"""),44688.5173263888)</f>
        <v>44688.517326388799</v>
      </c>
      <c r="C1867" s="1" t="str">
        <f ca="1">IFERROR(__xludf.DUMMYFUNCTION("""COMPUTED_VALUE"""),"completed")</f>
        <v>completed</v>
      </c>
      <c r="D1867" s="26">
        <f ca="1">IFERROR(__xludf.DUMMYFUNCTION("""COMPUTED_VALUE"""),25)</f>
        <v>25</v>
      </c>
      <c r="E1867" s="1"/>
      <c r="F1867" s="87" t="str">
        <f t="shared" ca="1" si="0"/>
        <v>2022</v>
      </c>
      <c r="H1867" s="26" t="str">
        <f t="shared" si="1"/>
        <v/>
      </c>
      <c r="I1867" s="26" t="str">
        <f t="shared" si="2"/>
        <v/>
      </c>
      <c r="J1867" s="86">
        <f t="shared" ca="1" si="3"/>
        <v>44688</v>
      </c>
      <c r="R1867" s="26"/>
    </row>
    <row r="1868" spans="1:18" ht="15.75" customHeight="1">
      <c r="A1868" s="26">
        <f ca="1">IFERROR(__xludf.DUMMYFUNCTION("""COMPUTED_VALUE"""),13628)</f>
        <v>13628</v>
      </c>
      <c r="B1868" s="86">
        <f ca="1">IFERROR(__xludf.DUMMYFUNCTION("""COMPUTED_VALUE"""),44688.4954166666)</f>
        <v>44688.495416666599</v>
      </c>
      <c r="C1868" s="1" t="str">
        <f ca="1">IFERROR(__xludf.DUMMYFUNCTION("""COMPUTED_VALUE"""),"completed")</f>
        <v>completed</v>
      </c>
      <c r="D1868" s="26">
        <f ca="1">IFERROR(__xludf.DUMMYFUNCTION("""COMPUTED_VALUE"""),40)</f>
        <v>40</v>
      </c>
      <c r="E1868" s="1"/>
      <c r="F1868" s="87" t="str">
        <f t="shared" ca="1" si="0"/>
        <v>2022</v>
      </c>
      <c r="H1868" s="26" t="str">
        <f t="shared" si="1"/>
        <v/>
      </c>
      <c r="I1868" s="26" t="str">
        <f t="shared" si="2"/>
        <v/>
      </c>
      <c r="J1868" s="86">
        <f t="shared" ca="1" si="3"/>
        <v>44688</v>
      </c>
      <c r="R1868" s="26"/>
    </row>
    <row r="1869" spans="1:18" ht="15.75" customHeight="1">
      <c r="A1869" s="26">
        <f ca="1">IFERROR(__xludf.DUMMYFUNCTION("""COMPUTED_VALUE"""),13627)</f>
        <v>13627</v>
      </c>
      <c r="B1869" s="86">
        <f ca="1">IFERROR(__xludf.DUMMYFUNCTION("""COMPUTED_VALUE"""),44688.4909375)</f>
        <v>44688.490937499999</v>
      </c>
      <c r="C1869" s="1" t="str">
        <f ca="1">IFERROR(__xludf.DUMMYFUNCTION("""COMPUTED_VALUE"""),"completed")</f>
        <v>completed</v>
      </c>
      <c r="D1869" s="26">
        <f ca="1">IFERROR(__xludf.DUMMYFUNCTION("""COMPUTED_VALUE"""),40)</f>
        <v>40</v>
      </c>
      <c r="E1869" s="1"/>
      <c r="F1869" s="87" t="str">
        <f t="shared" ca="1" si="0"/>
        <v>2022</v>
      </c>
      <c r="H1869" s="26" t="str">
        <f t="shared" si="1"/>
        <v/>
      </c>
      <c r="I1869" s="26" t="str">
        <f t="shared" si="2"/>
        <v/>
      </c>
      <c r="J1869" s="86">
        <f t="shared" ca="1" si="3"/>
        <v>44688</v>
      </c>
      <c r="R1869" s="26"/>
    </row>
    <row r="1870" spans="1:18" ht="15.75" customHeight="1">
      <c r="A1870" s="26">
        <f ca="1">IFERROR(__xludf.DUMMYFUNCTION("""COMPUTED_VALUE"""),13626)</f>
        <v>13626</v>
      </c>
      <c r="B1870" s="86">
        <f ca="1">IFERROR(__xludf.DUMMYFUNCTION("""COMPUTED_VALUE"""),44688.1704513888)</f>
        <v>44688.170451388803</v>
      </c>
      <c r="C1870" s="1" t="str">
        <f ca="1">IFERROR(__xludf.DUMMYFUNCTION("""COMPUTED_VALUE"""),"completed")</f>
        <v>completed</v>
      </c>
      <c r="D1870" s="26">
        <f ca="1">IFERROR(__xludf.DUMMYFUNCTION("""COMPUTED_VALUE"""),20)</f>
        <v>20</v>
      </c>
      <c r="E1870" s="1"/>
      <c r="F1870" s="87" t="str">
        <f t="shared" ca="1" si="0"/>
        <v>2022</v>
      </c>
      <c r="H1870" s="26" t="str">
        <f t="shared" si="1"/>
        <v/>
      </c>
      <c r="I1870" s="26" t="str">
        <f t="shared" si="2"/>
        <v/>
      </c>
      <c r="J1870" s="86">
        <f t="shared" ca="1" si="3"/>
        <v>44688</v>
      </c>
      <c r="R1870" s="26"/>
    </row>
    <row r="1871" spans="1:18" ht="15.75" customHeight="1">
      <c r="A1871" s="26">
        <f ca="1">IFERROR(__xludf.DUMMYFUNCTION("""COMPUTED_VALUE"""),13624)</f>
        <v>13624</v>
      </c>
      <c r="B1871" s="86">
        <f ca="1">IFERROR(__xludf.DUMMYFUNCTION("""COMPUTED_VALUE"""),44688.125636574)</f>
        <v>44688.125636573997</v>
      </c>
      <c r="C1871" s="1" t="str">
        <f ca="1">IFERROR(__xludf.DUMMYFUNCTION("""COMPUTED_VALUE"""),"completed")</f>
        <v>completed</v>
      </c>
      <c r="D1871" s="26">
        <f ca="1">IFERROR(__xludf.DUMMYFUNCTION("""COMPUTED_VALUE"""),45)</f>
        <v>45</v>
      </c>
      <c r="E1871" s="1"/>
      <c r="F1871" s="87" t="str">
        <f t="shared" ca="1" si="0"/>
        <v>2022</v>
      </c>
      <c r="H1871" s="26" t="str">
        <f t="shared" si="1"/>
        <v/>
      </c>
      <c r="I1871" s="26" t="str">
        <f t="shared" si="2"/>
        <v/>
      </c>
      <c r="J1871" s="86">
        <f t="shared" ca="1" si="3"/>
        <v>44688</v>
      </c>
      <c r="R1871" s="26"/>
    </row>
    <row r="1872" spans="1:18" ht="15.75" customHeight="1">
      <c r="A1872" s="26">
        <f ca="1">IFERROR(__xludf.DUMMYFUNCTION("""COMPUTED_VALUE"""),13623)</f>
        <v>13623</v>
      </c>
      <c r="B1872" s="86">
        <f ca="1">IFERROR(__xludf.DUMMYFUNCTION("""COMPUTED_VALUE"""),44688.123599537)</f>
        <v>44688.123599537001</v>
      </c>
      <c r="C1872" s="1" t="str">
        <f ca="1">IFERROR(__xludf.DUMMYFUNCTION("""COMPUTED_VALUE"""),"completed")</f>
        <v>completed</v>
      </c>
      <c r="D1872" s="26">
        <f ca="1">IFERROR(__xludf.DUMMYFUNCTION("""COMPUTED_VALUE"""),15)</f>
        <v>15</v>
      </c>
      <c r="E1872" s="1"/>
      <c r="F1872" s="87" t="str">
        <f t="shared" ca="1" si="0"/>
        <v>2022</v>
      </c>
      <c r="H1872" s="26" t="str">
        <f t="shared" si="1"/>
        <v/>
      </c>
      <c r="I1872" s="26" t="str">
        <f t="shared" si="2"/>
        <v/>
      </c>
      <c r="J1872" s="86">
        <f t="shared" ca="1" si="3"/>
        <v>44688</v>
      </c>
      <c r="R1872" s="26"/>
    </row>
    <row r="1873" spans="1:18" ht="15.75" customHeight="1">
      <c r="A1873" s="26">
        <f ca="1">IFERROR(__xludf.DUMMYFUNCTION("""COMPUTED_VALUE"""),13622)</f>
        <v>13622</v>
      </c>
      <c r="B1873" s="86">
        <f ca="1">IFERROR(__xludf.DUMMYFUNCTION("""COMPUTED_VALUE"""),44688.0520138888)</f>
        <v>44688.052013888802</v>
      </c>
      <c r="C1873" s="1" t="str">
        <f ca="1">IFERROR(__xludf.DUMMYFUNCTION("""COMPUTED_VALUE"""),"completed")</f>
        <v>completed</v>
      </c>
      <c r="D1873" s="26">
        <f ca="1">IFERROR(__xludf.DUMMYFUNCTION("""COMPUTED_VALUE"""),18)</f>
        <v>18</v>
      </c>
      <c r="E1873" s="1"/>
      <c r="F1873" s="87" t="str">
        <f t="shared" ca="1" si="0"/>
        <v>2022</v>
      </c>
      <c r="H1873" s="26" t="str">
        <f t="shared" si="1"/>
        <v/>
      </c>
      <c r="I1873" s="26" t="str">
        <f t="shared" si="2"/>
        <v/>
      </c>
      <c r="J1873" s="86">
        <f t="shared" ca="1" si="3"/>
        <v>44688</v>
      </c>
      <c r="R1873" s="26"/>
    </row>
    <row r="1874" spans="1:18" ht="15.75" customHeight="1">
      <c r="A1874" s="26">
        <f ca="1">IFERROR(__xludf.DUMMYFUNCTION("""COMPUTED_VALUE"""),13621)</f>
        <v>13621</v>
      </c>
      <c r="B1874" s="86">
        <f ca="1">IFERROR(__xludf.DUMMYFUNCTION("""COMPUTED_VALUE"""),44688.0501504629)</f>
        <v>44688.050150462899</v>
      </c>
      <c r="C1874" s="1" t="str">
        <f ca="1">IFERROR(__xludf.DUMMYFUNCTION("""COMPUTED_VALUE"""),"completed")</f>
        <v>completed</v>
      </c>
      <c r="D1874" s="26">
        <f ca="1">IFERROR(__xludf.DUMMYFUNCTION("""COMPUTED_VALUE"""),18)</f>
        <v>18</v>
      </c>
      <c r="E1874" s="1"/>
      <c r="F1874" s="87" t="str">
        <f t="shared" ca="1" si="0"/>
        <v>2022</v>
      </c>
      <c r="H1874" s="26" t="str">
        <f t="shared" si="1"/>
        <v/>
      </c>
      <c r="I1874" s="26" t="str">
        <f t="shared" si="2"/>
        <v/>
      </c>
      <c r="J1874" s="86">
        <f t="shared" ca="1" si="3"/>
        <v>44688</v>
      </c>
      <c r="R1874" s="26"/>
    </row>
    <row r="1875" spans="1:18" ht="15.75" customHeight="1">
      <c r="A1875" s="26">
        <f ca="1">IFERROR(__xludf.DUMMYFUNCTION("""COMPUTED_VALUE"""),13620)</f>
        <v>13620</v>
      </c>
      <c r="B1875" s="86">
        <f ca="1">IFERROR(__xludf.DUMMYFUNCTION("""COMPUTED_VALUE"""),44688.042199074)</f>
        <v>44688.042199074</v>
      </c>
      <c r="C1875" s="1" t="str">
        <f ca="1">IFERROR(__xludf.DUMMYFUNCTION("""COMPUTED_VALUE"""),"completed")</f>
        <v>completed</v>
      </c>
      <c r="D1875" s="26">
        <f ca="1">IFERROR(__xludf.DUMMYFUNCTION("""COMPUTED_VALUE"""),22)</f>
        <v>22</v>
      </c>
      <c r="E1875" s="1"/>
      <c r="F1875" s="87" t="str">
        <f t="shared" ca="1" si="0"/>
        <v>2022</v>
      </c>
      <c r="H1875" s="26" t="str">
        <f t="shared" si="1"/>
        <v/>
      </c>
      <c r="I1875" s="26" t="str">
        <f t="shared" si="2"/>
        <v/>
      </c>
      <c r="J1875" s="86">
        <f t="shared" ca="1" si="3"/>
        <v>44688</v>
      </c>
      <c r="R1875" s="26"/>
    </row>
    <row r="1876" spans="1:18" ht="15.75" customHeight="1">
      <c r="A1876" s="26">
        <f ca="1">IFERROR(__xludf.DUMMYFUNCTION("""COMPUTED_VALUE"""),13619)</f>
        <v>13619</v>
      </c>
      <c r="B1876" s="86">
        <f ca="1">IFERROR(__xludf.DUMMYFUNCTION("""COMPUTED_VALUE"""),44687.9621875)</f>
        <v>44687.962187500001</v>
      </c>
      <c r="C1876" s="1" t="str">
        <f ca="1">IFERROR(__xludf.DUMMYFUNCTION("""COMPUTED_VALUE"""),"completed")</f>
        <v>completed</v>
      </c>
      <c r="D1876" s="26">
        <f ca="1">IFERROR(__xludf.DUMMYFUNCTION("""COMPUTED_VALUE"""),18)</f>
        <v>18</v>
      </c>
      <c r="E1876" s="1"/>
      <c r="F1876" s="87" t="str">
        <f t="shared" ca="1" si="0"/>
        <v>2022</v>
      </c>
      <c r="H1876" s="26" t="str">
        <f t="shared" si="1"/>
        <v/>
      </c>
      <c r="I1876" s="26" t="str">
        <f t="shared" si="2"/>
        <v/>
      </c>
      <c r="J1876" s="86">
        <f t="shared" ca="1" si="3"/>
        <v>44687</v>
      </c>
      <c r="R1876" s="26"/>
    </row>
    <row r="1877" spans="1:18" ht="15.75" customHeight="1">
      <c r="A1877" s="26">
        <f ca="1">IFERROR(__xludf.DUMMYFUNCTION("""COMPUTED_VALUE"""),13618)</f>
        <v>13618</v>
      </c>
      <c r="B1877" s="86">
        <f ca="1">IFERROR(__xludf.DUMMYFUNCTION("""COMPUTED_VALUE"""),44687.9588078703)</f>
        <v>44687.958807870302</v>
      </c>
      <c r="C1877" s="1" t="str">
        <f ca="1">IFERROR(__xludf.DUMMYFUNCTION("""COMPUTED_VALUE"""),"completed")</f>
        <v>completed</v>
      </c>
      <c r="D1877" s="26">
        <f ca="1">IFERROR(__xludf.DUMMYFUNCTION("""COMPUTED_VALUE"""),12)</f>
        <v>12</v>
      </c>
      <c r="E1877" s="1"/>
      <c r="F1877" s="87" t="str">
        <f t="shared" ca="1" si="0"/>
        <v>2022</v>
      </c>
      <c r="H1877" s="26" t="str">
        <f t="shared" si="1"/>
        <v/>
      </c>
      <c r="I1877" s="26" t="str">
        <f t="shared" si="2"/>
        <v/>
      </c>
      <c r="J1877" s="86">
        <f t="shared" ca="1" si="3"/>
        <v>44687</v>
      </c>
      <c r="R1877" s="26"/>
    </row>
    <row r="1878" spans="1:18" ht="15.75" customHeight="1">
      <c r="A1878" s="26">
        <f ca="1">IFERROR(__xludf.DUMMYFUNCTION("""COMPUTED_VALUE"""),13617)</f>
        <v>13617</v>
      </c>
      <c r="B1878" s="86">
        <f ca="1">IFERROR(__xludf.DUMMYFUNCTION("""COMPUTED_VALUE"""),44687.9552546296)</f>
        <v>44687.955254629604</v>
      </c>
      <c r="C1878" s="1" t="str">
        <f ca="1">IFERROR(__xludf.DUMMYFUNCTION("""COMPUTED_VALUE"""),"completed")</f>
        <v>completed</v>
      </c>
      <c r="D1878" s="26">
        <f ca="1">IFERROR(__xludf.DUMMYFUNCTION("""COMPUTED_VALUE"""),12)</f>
        <v>12</v>
      </c>
      <c r="E1878" s="1"/>
      <c r="F1878" s="87" t="str">
        <f t="shared" ca="1" si="0"/>
        <v>2022</v>
      </c>
      <c r="H1878" s="26" t="str">
        <f t="shared" si="1"/>
        <v/>
      </c>
      <c r="I1878" s="26" t="str">
        <f t="shared" si="2"/>
        <v/>
      </c>
      <c r="J1878" s="86">
        <f t="shared" ca="1" si="3"/>
        <v>44687</v>
      </c>
      <c r="R1878" s="26"/>
    </row>
    <row r="1879" spans="1:18" ht="15.75" customHeight="1">
      <c r="A1879" s="26">
        <f ca="1">IFERROR(__xludf.DUMMYFUNCTION("""COMPUTED_VALUE"""),13616)</f>
        <v>13616</v>
      </c>
      <c r="B1879" s="86">
        <f ca="1">IFERROR(__xludf.DUMMYFUNCTION("""COMPUTED_VALUE"""),44687.9043518518)</f>
        <v>44687.904351851801</v>
      </c>
      <c r="C1879" s="1" t="str">
        <f ca="1">IFERROR(__xludf.DUMMYFUNCTION("""COMPUTED_VALUE"""),"completed")</f>
        <v>completed</v>
      </c>
      <c r="D1879" s="26">
        <f ca="1">IFERROR(__xludf.DUMMYFUNCTION("""COMPUTED_VALUE"""),25)</f>
        <v>25</v>
      </c>
      <c r="E1879" s="1"/>
      <c r="F1879" s="87" t="str">
        <f t="shared" ca="1" si="0"/>
        <v>2022</v>
      </c>
      <c r="H1879" s="26" t="str">
        <f t="shared" si="1"/>
        <v/>
      </c>
      <c r="I1879" s="26" t="str">
        <f t="shared" si="2"/>
        <v/>
      </c>
      <c r="J1879" s="86">
        <f t="shared" ca="1" si="3"/>
        <v>44687</v>
      </c>
      <c r="R1879" s="26"/>
    </row>
    <row r="1880" spans="1:18" ht="15.75" customHeight="1">
      <c r="A1880" s="26">
        <f ca="1">IFERROR(__xludf.DUMMYFUNCTION("""COMPUTED_VALUE"""),13615)</f>
        <v>13615</v>
      </c>
      <c r="B1880" s="86">
        <f ca="1">IFERROR(__xludf.DUMMYFUNCTION("""COMPUTED_VALUE"""),44687.8110532407)</f>
        <v>44687.811053240701</v>
      </c>
      <c r="C1880" s="1" t="str">
        <f ca="1">IFERROR(__xludf.DUMMYFUNCTION("""COMPUTED_VALUE"""),"completed")</f>
        <v>completed</v>
      </c>
      <c r="D1880" s="26">
        <f ca="1">IFERROR(__xludf.DUMMYFUNCTION("""COMPUTED_VALUE"""),50)</f>
        <v>50</v>
      </c>
      <c r="E1880" s="1"/>
      <c r="F1880" s="87" t="str">
        <f t="shared" ca="1" si="0"/>
        <v>2022</v>
      </c>
      <c r="H1880" s="26" t="str">
        <f t="shared" si="1"/>
        <v/>
      </c>
      <c r="I1880" s="26" t="str">
        <f t="shared" si="2"/>
        <v/>
      </c>
      <c r="J1880" s="86">
        <f t="shared" ca="1" si="3"/>
        <v>44687</v>
      </c>
      <c r="R1880" s="26"/>
    </row>
    <row r="1881" spans="1:18" ht="15.75" customHeight="1">
      <c r="A1881" s="26">
        <f ca="1">IFERROR(__xludf.DUMMYFUNCTION("""COMPUTED_VALUE"""),13614)</f>
        <v>13614</v>
      </c>
      <c r="B1881" s="86">
        <f ca="1">IFERROR(__xludf.DUMMYFUNCTION("""COMPUTED_VALUE"""),44687.5854976851)</f>
        <v>44687.585497685097</v>
      </c>
      <c r="C1881" s="1" t="str">
        <f ca="1">IFERROR(__xludf.DUMMYFUNCTION("""COMPUTED_VALUE"""),"completed")</f>
        <v>completed</v>
      </c>
      <c r="D1881" s="26">
        <f ca="1">IFERROR(__xludf.DUMMYFUNCTION("""COMPUTED_VALUE"""),20)</f>
        <v>20</v>
      </c>
      <c r="E1881" s="1"/>
      <c r="F1881" s="87" t="str">
        <f t="shared" ca="1" si="0"/>
        <v>2022</v>
      </c>
      <c r="H1881" s="26" t="str">
        <f t="shared" si="1"/>
        <v/>
      </c>
      <c r="I1881" s="26" t="str">
        <f t="shared" si="2"/>
        <v/>
      </c>
      <c r="J1881" s="86">
        <f t="shared" ca="1" si="3"/>
        <v>44687</v>
      </c>
      <c r="R1881" s="26"/>
    </row>
    <row r="1882" spans="1:18" ht="15.75" customHeight="1">
      <c r="A1882" s="26">
        <f ca="1">IFERROR(__xludf.DUMMYFUNCTION("""COMPUTED_VALUE"""),13613)</f>
        <v>13613</v>
      </c>
      <c r="B1882" s="86">
        <f ca="1">IFERROR(__xludf.DUMMYFUNCTION("""COMPUTED_VALUE"""),44687.5654398148)</f>
        <v>44687.565439814804</v>
      </c>
      <c r="C1882" s="1" t="str">
        <f ca="1">IFERROR(__xludf.DUMMYFUNCTION("""COMPUTED_VALUE"""),"completed")</f>
        <v>completed</v>
      </c>
      <c r="D1882" s="26">
        <f ca="1">IFERROR(__xludf.DUMMYFUNCTION("""COMPUTED_VALUE"""),55)</f>
        <v>55</v>
      </c>
      <c r="E1882" s="1"/>
      <c r="F1882" s="87" t="str">
        <f t="shared" ca="1" si="0"/>
        <v>2022</v>
      </c>
      <c r="H1882" s="26" t="str">
        <f t="shared" si="1"/>
        <v/>
      </c>
      <c r="I1882" s="26" t="str">
        <f t="shared" si="2"/>
        <v/>
      </c>
      <c r="J1882" s="86">
        <f t="shared" ca="1" si="3"/>
        <v>44687</v>
      </c>
      <c r="R1882" s="26"/>
    </row>
    <row r="1883" spans="1:18" ht="15.75" customHeight="1">
      <c r="A1883" s="26">
        <f ca="1">IFERROR(__xludf.DUMMYFUNCTION("""COMPUTED_VALUE"""),13612)</f>
        <v>13612</v>
      </c>
      <c r="B1883" s="86">
        <f ca="1">IFERROR(__xludf.DUMMYFUNCTION("""COMPUTED_VALUE"""),44687.5576157407)</f>
        <v>44687.557615740698</v>
      </c>
      <c r="C1883" s="1" t="str">
        <f ca="1">IFERROR(__xludf.DUMMYFUNCTION("""COMPUTED_VALUE"""),"completed")</f>
        <v>completed</v>
      </c>
      <c r="D1883" s="26">
        <f ca="1">IFERROR(__xludf.DUMMYFUNCTION("""COMPUTED_VALUE"""),27)</f>
        <v>27</v>
      </c>
      <c r="E1883" s="1"/>
      <c r="F1883" s="87" t="str">
        <f t="shared" ca="1" si="0"/>
        <v>2022</v>
      </c>
      <c r="H1883" s="26" t="str">
        <f t="shared" si="1"/>
        <v/>
      </c>
      <c r="I1883" s="26" t="str">
        <f t="shared" si="2"/>
        <v/>
      </c>
      <c r="J1883" s="86">
        <f t="shared" ca="1" si="3"/>
        <v>44687</v>
      </c>
      <c r="R1883" s="26"/>
    </row>
    <row r="1884" spans="1:18" ht="15.75" customHeight="1">
      <c r="A1884" s="26">
        <f ca="1">IFERROR(__xludf.DUMMYFUNCTION("""COMPUTED_VALUE"""),13611)</f>
        <v>13611</v>
      </c>
      <c r="B1884" s="86">
        <f ca="1">IFERROR(__xludf.DUMMYFUNCTION("""COMPUTED_VALUE"""),44687.5414814813)</f>
        <v>44687.541481481399</v>
      </c>
      <c r="C1884" s="1" t="str">
        <f ca="1">IFERROR(__xludf.DUMMYFUNCTION("""COMPUTED_VALUE"""),"completed")</f>
        <v>completed</v>
      </c>
      <c r="D1884" s="26">
        <f ca="1">IFERROR(__xludf.DUMMYFUNCTION("""COMPUTED_VALUE"""),25)</f>
        <v>25</v>
      </c>
      <c r="E1884" s="1"/>
      <c r="F1884" s="87" t="str">
        <f t="shared" ca="1" si="0"/>
        <v>2022</v>
      </c>
      <c r="H1884" s="26" t="str">
        <f t="shared" si="1"/>
        <v/>
      </c>
      <c r="I1884" s="26" t="str">
        <f t="shared" si="2"/>
        <v/>
      </c>
      <c r="J1884" s="86">
        <f t="shared" ca="1" si="3"/>
        <v>44687</v>
      </c>
      <c r="R1884" s="26"/>
    </row>
    <row r="1885" spans="1:18" ht="15.75" customHeight="1">
      <c r="A1885" s="26">
        <f ca="1">IFERROR(__xludf.DUMMYFUNCTION("""COMPUTED_VALUE"""),13590)</f>
        <v>13590</v>
      </c>
      <c r="B1885" s="86">
        <f ca="1">IFERROR(__xludf.DUMMYFUNCTION("""COMPUTED_VALUE"""),44685.6305787037)</f>
        <v>44685.630578703698</v>
      </c>
      <c r="C1885" s="1" t="str">
        <f ca="1">IFERROR(__xludf.DUMMYFUNCTION("""COMPUTED_VALUE"""),"completed")</f>
        <v>completed</v>
      </c>
      <c r="D1885" s="26">
        <f ca="1">IFERROR(__xludf.DUMMYFUNCTION("""COMPUTED_VALUE"""),31.5)</f>
        <v>31.5</v>
      </c>
      <c r="E1885" s="1"/>
      <c r="F1885" s="87" t="str">
        <f t="shared" ca="1" si="0"/>
        <v>2022</v>
      </c>
      <c r="H1885" s="26" t="str">
        <f t="shared" si="1"/>
        <v/>
      </c>
      <c r="I1885" s="26" t="str">
        <f t="shared" si="2"/>
        <v/>
      </c>
      <c r="J1885" s="86">
        <f t="shared" ca="1" si="3"/>
        <v>44685</v>
      </c>
      <c r="R1885" s="26"/>
    </row>
    <row r="1886" spans="1:18" ht="15.75" customHeight="1">
      <c r="A1886" s="26">
        <f ca="1">IFERROR(__xludf.DUMMYFUNCTION("""COMPUTED_VALUE"""),13588)</f>
        <v>13588</v>
      </c>
      <c r="B1886" s="86">
        <f ca="1">IFERROR(__xludf.DUMMYFUNCTION("""COMPUTED_VALUE"""),44684.5775462962)</f>
        <v>44684.577546296197</v>
      </c>
      <c r="C1886" s="1" t="str">
        <f ca="1">IFERROR(__xludf.DUMMYFUNCTION("""COMPUTED_VALUE"""),"completed")</f>
        <v>completed</v>
      </c>
      <c r="D1886" s="26">
        <f ca="1">IFERROR(__xludf.DUMMYFUNCTION("""COMPUTED_VALUE"""),25)</f>
        <v>25</v>
      </c>
      <c r="E1886" s="1"/>
      <c r="F1886" s="87" t="str">
        <f t="shared" ca="1" si="0"/>
        <v>2022</v>
      </c>
      <c r="H1886" s="26" t="str">
        <f t="shared" si="1"/>
        <v/>
      </c>
      <c r="I1886" s="26" t="str">
        <f t="shared" si="2"/>
        <v/>
      </c>
      <c r="J1886" s="86">
        <f t="shared" ca="1" si="3"/>
        <v>44684</v>
      </c>
      <c r="R1886" s="26"/>
    </row>
    <row r="1887" spans="1:18" ht="15.75" customHeight="1">
      <c r="A1887" s="26">
        <f ca="1">IFERROR(__xludf.DUMMYFUNCTION("""COMPUTED_VALUE"""),13587)</f>
        <v>13587</v>
      </c>
      <c r="B1887" s="86">
        <f ca="1">IFERROR(__xludf.DUMMYFUNCTION("""COMPUTED_VALUE"""),44683.0708912037)</f>
        <v>44683.070891203701</v>
      </c>
      <c r="C1887" s="1" t="str">
        <f ca="1">IFERROR(__xludf.DUMMYFUNCTION("""COMPUTED_VALUE"""),"completed")</f>
        <v>completed</v>
      </c>
      <c r="D1887" s="26">
        <f ca="1">IFERROR(__xludf.DUMMYFUNCTION("""COMPUTED_VALUE"""),20)</f>
        <v>20</v>
      </c>
      <c r="E1887" s="1"/>
      <c r="F1887" s="87" t="str">
        <f t="shared" ca="1" si="0"/>
        <v>2022</v>
      </c>
      <c r="H1887" s="26" t="str">
        <f t="shared" si="1"/>
        <v/>
      </c>
      <c r="I1887" s="26" t="str">
        <f t="shared" si="2"/>
        <v/>
      </c>
      <c r="J1887" s="86">
        <f t="shared" ca="1" si="3"/>
        <v>44683</v>
      </c>
      <c r="R1887" s="26"/>
    </row>
    <row r="1888" spans="1:18" ht="15.75" customHeight="1">
      <c r="A1888" s="26">
        <f ca="1">IFERROR(__xludf.DUMMYFUNCTION("""COMPUTED_VALUE"""),13586)</f>
        <v>13586</v>
      </c>
      <c r="B1888" s="86">
        <f ca="1">IFERROR(__xludf.DUMMYFUNCTION("""COMPUTED_VALUE"""),44682.6289699074)</f>
        <v>44682.628969907397</v>
      </c>
      <c r="C1888" s="1" t="str">
        <f ca="1">IFERROR(__xludf.DUMMYFUNCTION("""COMPUTED_VALUE"""),"completed")</f>
        <v>completed</v>
      </c>
      <c r="D1888" s="26">
        <f ca="1">IFERROR(__xludf.DUMMYFUNCTION("""COMPUTED_VALUE"""),40)</f>
        <v>40</v>
      </c>
      <c r="E1888" s="1"/>
      <c r="F1888" s="87" t="str">
        <f t="shared" ca="1" si="0"/>
        <v>2022</v>
      </c>
      <c r="H1888" s="26" t="str">
        <f t="shared" si="1"/>
        <v/>
      </c>
      <c r="I1888" s="26" t="str">
        <f t="shared" si="2"/>
        <v/>
      </c>
      <c r="J1888" s="86">
        <f t="shared" ca="1" si="3"/>
        <v>44682</v>
      </c>
      <c r="R1888" s="26"/>
    </row>
    <row r="1889" spans="1:18" ht="15.75" customHeight="1">
      <c r="A1889" s="26">
        <f ca="1">IFERROR(__xludf.DUMMYFUNCTION("""COMPUTED_VALUE"""),13585)</f>
        <v>13585</v>
      </c>
      <c r="B1889" s="86">
        <f ca="1">IFERROR(__xludf.DUMMYFUNCTION("""COMPUTED_VALUE"""),44681.8685300925)</f>
        <v>44681.868530092499</v>
      </c>
      <c r="C1889" s="1" t="str">
        <f ca="1">IFERROR(__xludf.DUMMYFUNCTION("""COMPUTED_VALUE"""),"completed")</f>
        <v>completed</v>
      </c>
      <c r="D1889" s="26">
        <f ca="1">IFERROR(__xludf.DUMMYFUNCTION("""COMPUTED_VALUE"""),34)</f>
        <v>34</v>
      </c>
      <c r="E1889" s="1"/>
      <c r="F1889" s="87" t="str">
        <f t="shared" ca="1" si="0"/>
        <v>2022</v>
      </c>
      <c r="H1889" s="26" t="str">
        <f t="shared" si="1"/>
        <v/>
      </c>
      <c r="I1889" s="26" t="str">
        <f t="shared" si="2"/>
        <v/>
      </c>
      <c r="J1889" s="86">
        <f t="shared" ca="1" si="3"/>
        <v>44681</v>
      </c>
      <c r="R1889" s="26"/>
    </row>
    <row r="1890" spans="1:18" ht="15.75" customHeight="1">
      <c r="A1890" s="26">
        <f ca="1">IFERROR(__xludf.DUMMYFUNCTION("""COMPUTED_VALUE"""),13584)</f>
        <v>13584</v>
      </c>
      <c r="B1890" s="86">
        <f ca="1">IFERROR(__xludf.DUMMYFUNCTION("""COMPUTED_VALUE"""),44681.8662268518)</f>
        <v>44681.866226851802</v>
      </c>
      <c r="C1890" s="1" t="str">
        <f ca="1">IFERROR(__xludf.DUMMYFUNCTION("""COMPUTED_VALUE"""),"completed")</f>
        <v>completed</v>
      </c>
      <c r="D1890" s="26">
        <f ca="1">IFERROR(__xludf.DUMMYFUNCTION("""COMPUTED_VALUE"""),25)</f>
        <v>25</v>
      </c>
      <c r="E1890" s="1"/>
      <c r="F1890" s="87" t="str">
        <f t="shared" ca="1" si="0"/>
        <v>2022</v>
      </c>
      <c r="H1890" s="26" t="str">
        <f t="shared" si="1"/>
        <v/>
      </c>
      <c r="I1890" s="26" t="str">
        <f t="shared" si="2"/>
        <v/>
      </c>
      <c r="J1890" s="86">
        <f t="shared" ca="1" si="3"/>
        <v>44681</v>
      </c>
      <c r="R1890" s="26"/>
    </row>
    <row r="1891" spans="1:18" ht="15.75" customHeight="1">
      <c r="A1891" s="26">
        <f ca="1">IFERROR(__xludf.DUMMYFUNCTION("""COMPUTED_VALUE"""),13583)</f>
        <v>13583</v>
      </c>
      <c r="B1891" s="86">
        <f ca="1">IFERROR(__xludf.DUMMYFUNCTION("""COMPUTED_VALUE"""),44681.8400578703)</f>
        <v>44681.8400578703</v>
      </c>
      <c r="C1891" s="1" t="str">
        <f ca="1">IFERROR(__xludf.DUMMYFUNCTION("""COMPUTED_VALUE"""),"completed")</f>
        <v>completed</v>
      </c>
      <c r="D1891" s="26">
        <f ca="1">IFERROR(__xludf.DUMMYFUNCTION("""COMPUTED_VALUE"""),37)</f>
        <v>37</v>
      </c>
      <c r="E1891" s="1"/>
      <c r="F1891" s="87" t="str">
        <f t="shared" ca="1" si="0"/>
        <v>2022</v>
      </c>
      <c r="H1891" s="26" t="str">
        <f t="shared" si="1"/>
        <v/>
      </c>
      <c r="I1891" s="26" t="str">
        <f t="shared" si="2"/>
        <v/>
      </c>
      <c r="J1891" s="86">
        <f t="shared" ca="1" si="3"/>
        <v>44681</v>
      </c>
      <c r="R1891" s="26"/>
    </row>
    <row r="1892" spans="1:18" ht="15.75" customHeight="1">
      <c r="A1892" s="26">
        <f ca="1">IFERROR(__xludf.DUMMYFUNCTION("""COMPUTED_VALUE"""),13578)</f>
        <v>13578</v>
      </c>
      <c r="B1892" s="86">
        <f ca="1">IFERROR(__xludf.DUMMYFUNCTION("""COMPUTED_VALUE"""),44681.813449074)</f>
        <v>44681.813449073998</v>
      </c>
      <c r="C1892" s="1" t="str">
        <f ca="1">IFERROR(__xludf.DUMMYFUNCTION("""COMPUTED_VALUE"""),"completed")</f>
        <v>completed</v>
      </c>
      <c r="D1892" s="26">
        <f ca="1">IFERROR(__xludf.DUMMYFUNCTION("""COMPUTED_VALUE"""),27)</f>
        <v>27</v>
      </c>
      <c r="E1892" s="1"/>
      <c r="F1892" s="87" t="str">
        <f t="shared" ca="1" si="0"/>
        <v>2022</v>
      </c>
      <c r="H1892" s="26" t="str">
        <f t="shared" si="1"/>
        <v/>
      </c>
      <c r="I1892" s="26" t="str">
        <f t="shared" si="2"/>
        <v/>
      </c>
      <c r="J1892" s="86">
        <f t="shared" ca="1" si="3"/>
        <v>44681</v>
      </c>
      <c r="R1892" s="26"/>
    </row>
    <row r="1893" spans="1:18" ht="15.75" customHeight="1">
      <c r="A1893" s="26">
        <f ca="1">IFERROR(__xludf.DUMMYFUNCTION("""COMPUTED_VALUE"""),13576)</f>
        <v>13576</v>
      </c>
      <c r="B1893" s="86">
        <f ca="1">IFERROR(__xludf.DUMMYFUNCTION("""COMPUTED_VALUE"""),44681.8017476851)</f>
        <v>44681.801747685102</v>
      </c>
      <c r="C1893" s="1" t="str">
        <f ca="1">IFERROR(__xludf.DUMMYFUNCTION("""COMPUTED_VALUE"""),"completed")</f>
        <v>completed</v>
      </c>
      <c r="D1893" s="26">
        <f ca="1">IFERROR(__xludf.DUMMYFUNCTION("""COMPUTED_VALUE"""),53)</f>
        <v>53</v>
      </c>
      <c r="E1893" s="1"/>
      <c r="F1893" s="87" t="str">
        <f t="shared" ca="1" si="0"/>
        <v>2022</v>
      </c>
      <c r="H1893" s="26" t="str">
        <f t="shared" si="1"/>
        <v/>
      </c>
      <c r="I1893" s="26" t="str">
        <f t="shared" si="2"/>
        <v/>
      </c>
      <c r="J1893" s="86">
        <f t="shared" ca="1" si="3"/>
        <v>44681</v>
      </c>
      <c r="R1893" s="26"/>
    </row>
    <row r="1894" spans="1:18" ht="15.75" customHeight="1">
      <c r="A1894" s="26">
        <f ca="1">IFERROR(__xludf.DUMMYFUNCTION("""COMPUTED_VALUE"""),13567)</f>
        <v>13567</v>
      </c>
      <c r="B1894" s="86">
        <f ca="1">IFERROR(__xludf.DUMMYFUNCTION("""COMPUTED_VALUE"""),44681.694224537)</f>
        <v>44681.694224537001</v>
      </c>
      <c r="C1894" s="1" t="str">
        <f ca="1">IFERROR(__xludf.DUMMYFUNCTION("""COMPUTED_VALUE"""),"completed")</f>
        <v>completed</v>
      </c>
      <c r="D1894" s="26">
        <f ca="1">IFERROR(__xludf.DUMMYFUNCTION("""COMPUTED_VALUE"""),34)</f>
        <v>34</v>
      </c>
      <c r="E1894" s="1"/>
      <c r="F1894" s="87" t="str">
        <f t="shared" ca="1" si="0"/>
        <v>2022</v>
      </c>
      <c r="H1894" s="26" t="str">
        <f t="shared" si="1"/>
        <v/>
      </c>
      <c r="I1894" s="26" t="str">
        <f t="shared" si="2"/>
        <v/>
      </c>
      <c r="J1894" s="86">
        <f t="shared" ca="1" si="3"/>
        <v>44681</v>
      </c>
      <c r="R1894" s="26"/>
    </row>
    <row r="1895" spans="1:18" ht="15.75" customHeight="1">
      <c r="A1895" s="26">
        <f ca="1">IFERROR(__xludf.DUMMYFUNCTION("""COMPUTED_VALUE"""),13566)</f>
        <v>13566</v>
      </c>
      <c r="B1895" s="86">
        <f ca="1">IFERROR(__xludf.DUMMYFUNCTION("""COMPUTED_VALUE"""),44681.6708101851)</f>
        <v>44681.670810185104</v>
      </c>
      <c r="C1895" s="1" t="str">
        <f ca="1">IFERROR(__xludf.DUMMYFUNCTION("""COMPUTED_VALUE"""),"completed")</f>
        <v>completed</v>
      </c>
      <c r="D1895" s="26">
        <f ca="1">IFERROR(__xludf.DUMMYFUNCTION("""COMPUTED_VALUE"""),12)</f>
        <v>12</v>
      </c>
      <c r="E1895" s="1"/>
      <c r="F1895" s="87" t="str">
        <f t="shared" ca="1" si="0"/>
        <v>2022</v>
      </c>
      <c r="H1895" s="26" t="str">
        <f t="shared" si="1"/>
        <v/>
      </c>
      <c r="I1895" s="26" t="str">
        <f t="shared" si="2"/>
        <v/>
      </c>
      <c r="J1895" s="86">
        <f t="shared" ca="1" si="3"/>
        <v>44681</v>
      </c>
      <c r="R1895" s="26"/>
    </row>
    <row r="1896" spans="1:18" ht="15.75" customHeight="1">
      <c r="A1896" s="26">
        <f ca="1">IFERROR(__xludf.DUMMYFUNCTION("""COMPUTED_VALUE"""),13565)</f>
        <v>13565</v>
      </c>
      <c r="B1896" s="86">
        <f ca="1">IFERROR(__xludf.DUMMYFUNCTION("""COMPUTED_VALUE"""),44681.6660763888)</f>
        <v>44681.666076388799</v>
      </c>
      <c r="C1896" s="1" t="str">
        <f ca="1">IFERROR(__xludf.DUMMYFUNCTION("""COMPUTED_VALUE"""),"completed")</f>
        <v>completed</v>
      </c>
      <c r="D1896" s="26">
        <f ca="1">IFERROR(__xludf.DUMMYFUNCTION("""COMPUTED_VALUE"""),201)</f>
        <v>201</v>
      </c>
      <c r="E1896" s="1"/>
      <c r="F1896" s="87" t="str">
        <f t="shared" ca="1" si="0"/>
        <v>2022</v>
      </c>
      <c r="H1896" s="26" t="str">
        <f t="shared" si="1"/>
        <v/>
      </c>
      <c r="I1896" s="26" t="str">
        <f t="shared" si="2"/>
        <v/>
      </c>
      <c r="J1896" s="86">
        <f t="shared" ca="1" si="3"/>
        <v>44681</v>
      </c>
      <c r="R1896" s="26"/>
    </row>
    <row r="1897" spans="1:18" ht="15.75" customHeight="1">
      <c r="A1897" s="26">
        <f ca="1">IFERROR(__xludf.DUMMYFUNCTION("""COMPUTED_VALUE"""),13564)</f>
        <v>13564</v>
      </c>
      <c r="B1897" s="86">
        <f ca="1">IFERROR(__xludf.DUMMYFUNCTION("""COMPUTED_VALUE"""),44681.6511805555)</f>
        <v>44681.651180555498</v>
      </c>
      <c r="C1897" s="1" t="str">
        <f ca="1">IFERROR(__xludf.DUMMYFUNCTION("""COMPUTED_VALUE"""),"completed")</f>
        <v>completed</v>
      </c>
      <c r="D1897" s="26">
        <f ca="1">IFERROR(__xludf.DUMMYFUNCTION("""COMPUTED_VALUE"""),20)</f>
        <v>20</v>
      </c>
      <c r="E1897" s="1"/>
      <c r="F1897" s="87" t="str">
        <f t="shared" ca="1" si="0"/>
        <v>2022</v>
      </c>
      <c r="H1897" s="26" t="str">
        <f t="shared" si="1"/>
        <v/>
      </c>
      <c r="I1897" s="26" t="str">
        <f t="shared" si="2"/>
        <v/>
      </c>
      <c r="J1897" s="86">
        <f t="shared" ca="1" si="3"/>
        <v>44681</v>
      </c>
      <c r="R1897" s="26"/>
    </row>
    <row r="1898" spans="1:18" ht="15.75" customHeight="1">
      <c r="A1898" s="26">
        <f ca="1">IFERROR(__xludf.DUMMYFUNCTION("""COMPUTED_VALUE"""),13563)</f>
        <v>13563</v>
      </c>
      <c r="B1898" s="86">
        <f ca="1">IFERROR(__xludf.DUMMYFUNCTION("""COMPUTED_VALUE"""),44681.6490046296)</f>
        <v>44681.649004629602</v>
      </c>
      <c r="C1898" s="1" t="str">
        <f ca="1">IFERROR(__xludf.DUMMYFUNCTION("""COMPUTED_VALUE"""),"completed")</f>
        <v>completed</v>
      </c>
      <c r="D1898" s="26">
        <f ca="1">IFERROR(__xludf.DUMMYFUNCTION("""COMPUTED_VALUE"""),30)</f>
        <v>30</v>
      </c>
      <c r="E1898" s="1"/>
      <c r="F1898" s="87" t="str">
        <f t="shared" ca="1" si="0"/>
        <v>2022</v>
      </c>
      <c r="H1898" s="26" t="str">
        <f t="shared" si="1"/>
        <v/>
      </c>
      <c r="I1898" s="26" t="str">
        <f t="shared" si="2"/>
        <v/>
      </c>
      <c r="J1898" s="86">
        <f t="shared" ca="1" si="3"/>
        <v>44681</v>
      </c>
      <c r="R1898" s="26"/>
    </row>
    <row r="1899" spans="1:18" ht="15.75" customHeight="1">
      <c r="A1899" s="26">
        <f ca="1">IFERROR(__xludf.DUMMYFUNCTION("""COMPUTED_VALUE"""),13562)</f>
        <v>13562</v>
      </c>
      <c r="B1899" s="86">
        <f ca="1">IFERROR(__xludf.DUMMYFUNCTION("""COMPUTED_VALUE"""),44681.6486111111)</f>
        <v>44681.648611111101</v>
      </c>
      <c r="C1899" s="1" t="str">
        <f ca="1">IFERROR(__xludf.DUMMYFUNCTION("""COMPUTED_VALUE"""),"completed")</f>
        <v>completed</v>
      </c>
      <c r="D1899" s="26">
        <f ca="1">IFERROR(__xludf.DUMMYFUNCTION("""COMPUTED_VALUE"""),55)</f>
        <v>55</v>
      </c>
      <c r="E1899" s="1"/>
      <c r="F1899" s="87" t="str">
        <f t="shared" ca="1" si="0"/>
        <v>2022</v>
      </c>
      <c r="H1899" s="26" t="str">
        <f t="shared" si="1"/>
        <v/>
      </c>
      <c r="I1899" s="26" t="str">
        <f t="shared" si="2"/>
        <v/>
      </c>
      <c r="J1899" s="86">
        <f t="shared" ca="1" si="3"/>
        <v>44681</v>
      </c>
      <c r="R1899" s="26"/>
    </row>
    <row r="1900" spans="1:18" ht="15.75" customHeight="1">
      <c r="A1900" s="26">
        <f ca="1">IFERROR(__xludf.DUMMYFUNCTION("""COMPUTED_VALUE"""),13561)</f>
        <v>13561</v>
      </c>
      <c r="B1900" s="86">
        <f ca="1">IFERROR(__xludf.DUMMYFUNCTION("""COMPUTED_VALUE"""),44681.6442013888)</f>
        <v>44681.644201388801</v>
      </c>
      <c r="C1900" s="1" t="str">
        <f ca="1">IFERROR(__xludf.DUMMYFUNCTION("""COMPUTED_VALUE"""),"completed")</f>
        <v>completed</v>
      </c>
      <c r="D1900" s="26">
        <f ca="1">IFERROR(__xludf.DUMMYFUNCTION("""COMPUTED_VALUE"""),30)</f>
        <v>30</v>
      </c>
      <c r="E1900" s="1"/>
      <c r="F1900" s="87" t="str">
        <f t="shared" ca="1" si="0"/>
        <v>2022</v>
      </c>
      <c r="H1900" s="26" t="str">
        <f t="shared" si="1"/>
        <v/>
      </c>
      <c r="I1900" s="26" t="str">
        <f t="shared" si="2"/>
        <v/>
      </c>
      <c r="J1900" s="86">
        <f t="shared" ca="1" si="3"/>
        <v>44681</v>
      </c>
      <c r="R1900" s="26"/>
    </row>
    <row r="1901" spans="1:18" ht="15.75" customHeight="1">
      <c r="A1901" s="26">
        <f ca="1">IFERROR(__xludf.DUMMYFUNCTION("""COMPUTED_VALUE"""),13560)</f>
        <v>13560</v>
      </c>
      <c r="B1901" s="86">
        <f ca="1">IFERROR(__xludf.DUMMYFUNCTION("""COMPUTED_VALUE"""),44681.6441782407)</f>
        <v>44681.644178240698</v>
      </c>
      <c r="C1901" s="1" t="str">
        <f ca="1">IFERROR(__xludf.DUMMYFUNCTION("""COMPUTED_VALUE"""),"completed")</f>
        <v>completed</v>
      </c>
      <c r="D1901" s="26">
        <f ca="1">IFERROR(__xludf.DUMMYFUNCTION("""COMPUTED_VALUE"""),45)</f>
        <v>45</v>
      </c>
      <c r="E1901" s="1"/>
      <c r="F1901" s="87" t="str">
        <f t="shared" ca="1" si="0"/>
        <v>2022</v>
      </c>
      <c r="H1901" s="26" t="str">
        <f t="shared" si="1"/>
        <v/>
      </c>
      <c r="I1901" s="26" t="str">
        <f t="shared" si="2"/>
        <v/>
      </c>
      <c r="J1901" s="86">
        <f t="shared" ca="1" si="3"/>
        <v>44681</v>
      </c>
      <c r="R1901" s="26"/>
    </row>
    <row r="1902" spans="1:18" ht="15.75" customHeight="1">
      <c r="A1902" s="26">
        <f ca="1">IFERROR(__xludf.DUMMYFUNCTION("""COMPUTED_VALUE"""),13559)</f>
        <v>13559</v>
      </c>
      <c r="B1902" s="86">
        <f ca="1">IFERROR(__xludf.DUMMYFUNCTION("""COMPUTED_VALUE"""),44681.6420949074)</f>
        <v>44681.642094907402</v>
      </c>
      <c r="C1902" s="1" t="str">
        <f ca="1">IFERROR(__xludf.DUMMYFUNCTION("""COMPUTED_VALUE"""),"completed")</f>
        <v>completed</v>
      </c>
      <c r="D1902" s="26">
        <f ca="1">IFERROR(__xludf.DUMMYFUNCTION("""COMPUTED_VALUE"""),30)</f>
        <v>30</v>
      </c>
      <c r="E1902" s="1"/>
      <c r="F1902" s="87" t="str">
        <f t="shared" ca="1" si="0"/>
        <v>2022</v>
      </c>
      <c r="H1902" s="26" t="str">
        <f t="shared" si="1"/>
        <v/>
      </c>
      <c r="I1902" s="26" t="str">
        <f t="shared" si="2"/>
        <v/>
      </c>
      <c r="J1902" s="86">
        <f t="shared" ca="1" si="3"/>
        <v>44681</v>
      </c>
      <c r="R1902" s="26"/>
    </row>
    <row r="1903" spans="1:18" ht="15.75" customHeight="1">
      <c r="A1903" s="26">
        <f ca="1">IFERROR(__xludf.DUMMYFUNCTION("""COMPUTED_VALUE"""),13558)</f>
        <v>13558</v>
      </c>
      <c r="B1903" s="86">
        <f ca="1">IFERROR(__xludf.DUMMYFUNCTION("""COMPUTED_VALUE"""),44681.641875)</f>
        <v>44681.641875000001</v>
      </c>
      <c r="C1903" s="1" t="str">
        <f ca="1">IFERROR(__xludf.DUMMYFUNCTION("""COMPUTED_VALUE"""),"completed")</f>
        <v>completed</v>
      </c>
      <c r="D1903" s="26">
        <f ca="1">IFERROR(__xludf.DUMMYFUNCTION("""COMPUTED_VALUE"""),77)</f>
        <v>77</v>
      </c>
      <c r="E1903" s="1"/>
      <c r="F1903" s="87" t="str">
        <f t="shared" ca="1" si="0"/>
        <v>2022</v>
      </c>
      <c r="H1903" s="26" t="str">
        <f t="shared" si="1"/>
        <v/>
      </c>
      <c r="I1903" s="26" t="str">
        <f t="shared" si="2"/>
        <v/>
      </c>
      <c r="J1903" s="86">
        <f t="shared" ca="1" si="3"/>
        <v>44681</v>
      </c>
      <c r="R1903" s="26"/>
    </row>
    <row r="1904" spans="1:18" ht="15.75" customHeight="1">
      <c r="A1904" s="26">
        <f ca="1">IFERROR(__xludf.DUMMYFUNCTION("""COMPUTED_VALUE"""),13557)</f>
        <v>13557</v>
      </c>
      <c r="B1904" s="86">
        <f ca="1">IFERROR(__xludf.DUMMYFUNCTION("""COMPUTED_VALUE"""),44681.6360069444)</f>
        <v>44681.636006944398</v>
      </c>
      <c r="C1904" s="1" t="str">
        <f ca="1">IFERROR(__xludf.DUMMYFUNCTION("""COMPUTED_VALUE"""),"completed")</f>
        <v>completed</v>
      </c>
      <c r="D1904" s="26">
        <f ca="1">IFERROR(__xludf.DUMMYFUNCTION("""COMPUTED_VALUE"""),20)</f>
        <v>20</v>
      </c>
      <c r="E1904" s="1"/>
      <c r="F1904" s="87" t="str">
        <f t="shared" ca="1" si="0"/>
        <v>2022</v>
      </c>
      <c r="H1904" s="26" t="str">
        <f t="shared" si="1"/>
        <v/>
      </c>
      <c r="I1904" s="26" t="str">
        <f t="shared" si="2"/>
        <v/>
      </c>
      <c r="J1904" s="86">
        <f t="shared" ca="1" si="3"/>
        <v>44681</v>
      </c>
      <c r="R1904" s="26"/>
    </row>
    <row r="1905" spans="1:18" ht="15.75" customHeight="1">
      <c r="A1905" s="26">
        <f ca="1">IFERROR(__xludf.DUMMYFUNCTION("""COMPUTED_VALUE"""),13556)</f>
        <v>13556</v>
      </c>
      <c r="B1905" s="86">
        <f ca="1">IFERROR(__xludf.DUMMYFUNCTION("""COMPUTED_VALUE"""),44681.6354050925)</f>
        <v>44681.6354050925</v>
      </c>
      <c r="C1905" s="1" t="str">
        <f ca="1">IFERROR(__xludf.DUMMYFUNCTION("""COMPUTED_VALUE"""),"completed")</f>
        <v>completed</v>
      </c>
      <c r="D1905" s="26">
        <f ca="1">IFERROR(__xludf.DUMMYFUNCTION("""COMPUTED_VALUE"""),52)</f>
        <v>52</v>
      </c>
      <c r="E1905" s="1"/>
      <c r="F1905" s="87" t="str">
        <f t="shared" ca="1" si="0"/>
        <v>2022</v>
      </c>
      <c r="H1905" s="26" t="str">
        <f t="shared" si="1"/>
        <v/>
      </c>
      <c r="I1905" s="26" t="str">
        <f t="shared" si="2"/>
        <v/>
      </c>
      <c r="J1905" s="86">
        <f t="shared" ca="1" si="3"/>
        <v>44681</v>
      </c>
      <c r="R1905" s="26"/>
    </row>
    <row r="1906" spans="1:18" ht="15.75" customHeight="1">
      <c r="A1906" s="26">
        <f ca="1">IFERROR(__xludf.DUMMYFUNCTION("""COMPUTED_VALUE"""),13555)</f>
        <v>13555</v>
      </c>
      <c r="B1906" s="86">
        <f ca="1">IFERROR(__xludf.DUMMYFUNCTION("""COMPUTED_VALUE"""),44681.6338078703)</f>
        <v>44681.633807870297</v>
      </c>
      <c r="C1906" s="1" t="str">
        <f ca="1">IFERROR(__xludf.DUMMYFUNCTION("""COMPUTED_VALUE"""),"completed")</f>
        <v>completed</v>
      </c>
      <c r="D1906" s="26">
        <f ca="1">IFERROR(__xludf.DUMMYFUNCTION("""COMPUTED_VALUE"""),25)</f>
        <v>25</v>
      </c>
      <c r="E1906" s="1"/>
      <c r="F1906" s="87" t="str">
        <f t="shared" ca="1" si="0"/>
        <v>2022</v>
      </c>
      <c r="H1906" s="26" t="str">
        <f t="shared" si="1"/>
        <v/>
      </c>
      <c r="I1906" s="26" t="str">
        <f t="shared" si="2"/>
        <v/>
      </c>
      <c r="J1906" s="86">
        <f t="shared" ca="1" si="3"/>
        <v>44681</v>
      </c>
      <c r="R1906" s="26"/>
    </row>
    <row r="1907" spans="1:18" ht="15.75" customHeight="1">
      <c r="A1907" s="26">
        <f ca="1">IFERROR(__xludf.DUMMYFUNCTION("""COMPUTED_VALUE"""),13554)</f>
        <v>13554</v>
      </c>
      <c r="B1907" s="86">
        <f ca="1">IFERROR(__xludf.DUMMYFUNCTION("""COMPUTED_VALUE"""),44681.6326736111)</f>
        <v>44681.6326736111</v>
      </c>
      <c r="C1907" s="1" t="str">
        <f ca="1">IFERROR(__xludf.DUMMYFUNCTION("""COMPUTED_VALUE"""),"completed")</f>
        <v>completed</v>
      </c>
      <c r="D1907" s="26">
        <f ca="1">IFERROR(__xludf.DUMMYFUNCTION("""COMPUTED_VALUE"""),27)</f>
        <v>27</v>
      </c>
      <c r="E1907" s="1"/>
      <c r="F1907" s="87" t="str">
        <f t="shared" ca="1" si="0"/>
        <v>2022</v>
      </c>
      <c r="H1907" s="26" t="str">
        <f t="shared" si="1"/>
        <v/>
      </c>
      <c r="I1907" s="26" t="str">
        <f t="shared" si="2"/>
        <v/>
      </c>
      <c r="J1907" s="86">
        <f t="shared" ca="1" si="3"/>
        <v>44681</v>
      </c>
      <c r="R1907" s="26"/>
    </row>
    <row r="1908" spans="1:18" ht="15.75" customHeight="1">
      <c r="A1908" s="26">
        <f ca="1">IFERROR(__xludf.DUMMYFUNCTION("""COMPUTED_VALUE"""),13553)</f>
        <v>13553</v>
      </c>
      <c r="B1908" s="86">
        <f ca="1">IFERROR(__xludf.DUMMYFUNCTION("""COMPUTED_VALUE"""),44681.6322222222)</f>
        <v>44681.632222222201</v>
      </c>
      <c r="C1908" s="1" t="str">
        <f ca="1">IFERROR(__xludf.DUMMYFUNCTION("""COMPUTED_VALUE"""),"completed")</f>
        <v>completed</v>
      </c>
      <c r="D1908" s="26">
        <f ca="1">IFERROR(__xludf.DUMMYFUNCTION("""COMPUTED_VALUE"""),25)</f>
        <v>25</v>
      </c>
      <c r="E1908" s="1"/>
      <c r="F1908" s="87" t="str">
        <f t="shared" ca="1" si="0"/>
        <v>2022</v>
      </c>
      <c r="H1908" s="26" t="str">
        <f t="shared" si="1"/>
        <v/>
      </c>
      <c r="I1908" s="26" t="str">
        <f t="shared" si="2"/>
        <v/>
      </c>
      <c r="J1908" s="86">
        <f t="shared" ca="1" si="3"/>
        <v>44681</v>
      </c>
      <c r="R1908" s="26"/>
    </row>
    <row r="1909" spans="1:18" ht="15.75" customHeight="1">
      <c r="A1909" s="26">
        <f ca="1">IFERROR(__xludf.DUMMYFUNCTION("""COMPUTED_VALUE"""),13552)</f>
        <v>13552</v>
      </c>
      <c r="B1909" s="86">
        <f ca="1">IFERROR(__xludf.DUMMYFUNCTION("""COMPUTED_VALUE"""),44681.6318055555)</f>
        <v>44681.631805555502</v>
      </c>
      <c r="C1909" s="1" t="str">
        <f ca="1">IFERROR(__xludf.DUMMYFUNCTION("""COMPUTED_VALUE"""),"completed")</f>
        <v>completed</v>
      </c>
      <c r="D1909" s="26">
        <f ca="1">IFERROR(__xludf.DUMMYFUNCTION("""COMPUTED_VALUE"""),20)</f>
        <v>20</v>
      </c>
      <c r="E1909" s="1"/>
      <c r="F1909" s="87" t="str">
        <f t="shared" ca="1" si="0"/>
        <v>2022</v>
      </c>
      <c r="H1909" s="26" t="str">
        <f t="shared" si="1"/>
        <v/>
      </c>
      <c r="I1909" s="26" t="str">
        <f t="shared" si="2"/>
        <v/>
      </c>
      <c r="J1909" s="86">
        <f t="shared" ca="1" si="3"/>
        <v>44681</v>
      </c>
      <c r="R1909" s="26"/>
    </row>
    <row r="1910" spans="1:18" ht="15.75" customHeight="1">
      <c r="A1910" s="26">
        <f ca="1">IFERROR(__xludf.DUMMYFUNCTION("""COMPUTED_VALUE"""),13551)</f>
        <v>13551</v>
      </c>
      <c r="B1910" s="86">
        <f ca="1">IFERROR(__xludf.DUMMYFUNCTION("""COMPUTED_VALUE"""),44681.6303935185)</f>
        <v>44681.630393518499</v>
      </c>
      <c r="C1910" s="1" t="str">
        <f ca="1">IFERROR(__xludf.DUMMYFUNCTION("""COMPUTED_VALUE"""),"completed")</f>
        <v>completed</v>
      </c>
      <c r="D1910" s="26">
        <f ca="1">IFERROR(__xludf.DUMMYFUNCTION("""COMPUTED_VALUE"""),20)</f>
        <v>20</v>
      </c>
      <c r="E1910" s="1"/>
      <c r="F1910" s="87" t="str">
        <f t="shared" ca="1" si="0"/>
        <v>2022</v>
      </c>
      <c r="H1910" s="26" t="str">
        <f t="shared" si="1"/>
        <v/>
      </c>
      <c r="I1910" s="26" t="str">
        <f t="shared" si="2"/>
        <v/>
      </c>
      <c r="J1910" s="86">
        <f t="shared" ca="1" si="3"/>
        <v>44681</v>
      </c>
      <c r="R1910" s="26"/>
    </row>
    <row r="1911" spans="1:18" ht="15.75" customHeight="1">
      <c r="A1911" s="26">
        <f ca="1">IFERROR(__xludf.DUMMYFUNCTION("""COMPUTED_VALUE"""),13550)</f>
        <v>13550</v>
      </c>
      <c r="B1911" s="86">
        <f ca="1">IFERROR(__xludf.DUMMYFUNCTION("""COMPUTED_VALUE"""),44681.6298726851)</f>
        <v>44681.629872685102</v>
      </c>
      <c r="C1911" s="1" t="str">
        <f ca="1">IFERROR(__xludf.DUMMYFUNCTION("""COMPUTED_VALUE"""),"completed")</f>
        <v>completed</v>
      </c>
      <c r="D1911" s="26">
        <f ca="1">IFERROR(__xludf.DUMMYFUNCTION("""COMPUTED_VALUE"""),25)</f>
        <v>25</v>
      </c>
      <c r="E1911" s="1"/>
      <c r="F1911" s="87" t="str">
        <f t="shared" ca="1" si="0"/>
        <v>2022</v>
      </c>
      <c r="H1911" s="26" t="str">
        <f t="shared" si="1"/>
        <v/>
      </c>
      <c r="I1911" s="26" t="str">
        <f t="shared" si="2"/>
        <v/>
      </c>
      <c r="J1911" s="86">
        <f t="shared" ca="1" si="3"/>
        <v>44681</v>
      </c>
      <c r="R1911" s="26"/>
    </row>
    <row r="1912" spans="1:18" ht="15.75" customHeight="1">
      <c r="A1912" s="26">
        <f ca="1">IFERROR(__xludf.DUMMYFUNCTION("""COMPUTED_VALUE"""),13549)</f>
        <v>13549</v>
      </c>
      <c r="B1912" s="86">
        <f ca="1">IFERROR(__xludf.DUMMYFUNCTION("""COMPUTED_VALUE"""),44681.6215046296)</f>
        <v>44681.621504629598</v>
      </c>
      <c r="C1912" s="1" t="str">
        <f ca="1">IFERROR(__xludf.DUMMYFUNCTION("""COMPUTED_VALUE"""),"completed")</f>
        <v>completed</v>
      </c>
      <c r="D1912" s="26">
        <f ca="1">IFERROR(__xludf.DUMMYFUNCTION("""COMPUTED_VALUE"""),55)</f>
        <v>55</v>
      </c>
      <c r="E1912" s="1"/>
      <c r="F1912" s="87" t="str">
        <f t="shared" ca="1" si="0"/>
        <v>2022</v>
      </c>
      <c r="H1912" s="26" t="str">
        <f t="shared" si="1"/>
        <v/>
      </c>
      <c r="I1912" s="26" t="str">
        <f t="shared" si="2"/>
        <v/>
      </c>
      <c r="J1912" s="86">
        <f t="shared" ca="1" si="3"/>
        <v>44681</v>
      </c>
      <c r="R1912" s="26"/>
    </row>
    <row r="1913" spans="1:18" ht="15.75" customHeight="1">
      <c r="A1913" s="26">
        <f ca="1">IFERROR(__xludf.DUMMYFUNCTION("""COMPUTED_VALUE"""),13548)</f>
        <v>13548</v>
      </c>
      <c r="B1913" s="86">
        <f ca="1">IFERROR(__xludf.DUMMYFUNCTION("""COMPUTED_VALUE"""),44681.6201967592)</f>
        <v>44681.620196759199</v>
      </c>
      <c r="C1913" s="1" t="str">
        <f ca="1">IFERROR(__xludf.DUMMYFUNCTION("""COMPUTED_VALUE"""),"completed")</f>
        <v>completed</v>
      </c>
      <c r="D1913" s="26">
        <f ca="1">IFERROR(__xludf.DUMMYFUNCTION("""COMPUTED_VALUE"""),18)</f>
        <v>18</v>
      </c>
      <c r="E1913" s="1"/>
      <c r="F1913" s="87" t="str">
        <f t="shared" ca="1" si="0"/>
        <v>2022</v>
      </c>
      <c r="H1913" s="26" t="str">
        <f t="shared" si="1"/>
        <v/>
      </c>
      <c r="I1913" s="26" t="str">
        <f t="shared" si="2"/>
        <v/>
      </c>
      <c r="J1913" s="86">
        <f t="shared" ca="1" si="3"/>
        <v>44681</v>
      </c>
      <c r="R1913" s="26"/>
    </row>
    <row r="1914" spans="1:18" ht="15.75" customHeight="1">
      <c r="A1914" s="26">
        <f ca="1">IFERROR(__xludf.DUMMYFUNCTION("""COMPUTED_VALUE"""),13547)</f>
        <v>13547</v>
      </c>
      <c r="B1914" s="86">
        <f ca="1">IFERROR(__xludf.DUMMYFUNCTION("""COMPUTED_VALUE"""),44681.6015972222)</f>
        <v>44681.601597222201</v>
      </c>
      <c r="C1914" s="1" t="str">
        <f ca="1">IFERROR(__xludf.DUMMYFUNCTION("""COMPUTED_VALUE"""),"completed")</f>
        <v>completed</v>
      </c>
      <c r="D1914" s="26">
        <f ca="1">IFERROR(__xludf.DUMMYFUNCTION("""COMPUTED_VALUE"""),20)</f>
        <v>20</v>
      </c>
      <c r="E1914" s="1"/>
      <c r="F1914" s="87" t="str">
        <f t="shared" ca="1" si="0"/>
        <v>2022</v>
      </c>
      <c r="H1914" s="26" t="str">
        <f t="shared" si="1"/>
        <v/>
      </c>
      <c r="I1914" s="26" t="str">
        <f t="shared" si="2"/>
        <v/>
      </c>
      <c r="J1914" s="86">
        <f t="shared" ca="1" si="3"/>
        <v>44681</v>
      </c>
      <c r="R1914" s="26"/>
    </row>
    <row r="1915" spans="1:18" ht="15.75" customHeight="1">
      <c r="A1915" s="26">
        <f ca="1">IFERROR(__xludf.DUMMYFUNCTION("""COMPUTED_VALUE"""),13546)</f>
        <v>13546</v>
      </c>
      <c r="B1915" s="86">
        <f ca="1">IFERROR(__xludf.DUMMYFUNCTION("""COMPUTED_VALUE"""),44681.6013541666)</f>
        <v>44681.601354166603</v>
      </c>
      <c r="C1915" s="1" t="str">
        <f ca="1">IFERROR(__xludf.DUMMYFUNCTION("""COMPUTED_VALUE"""),"completed")</f>
        <v>completed</v>
      </c>
      <c r="D1915" s="26">
        <f ca="1">IFERROR(__xludf.DUMMYFUNCTION("""COMPUTED_VALUE"""),12)</f>
        <v>12</v>
      </c>
      <c r="E1915" s="1"/>
      <c r="F1915" s="87" t="str">
        <f t="shared" ca="1" si="0"/>
        <v>2022</v>
      </c>
      <c r="H1915" s="26" t="str">
        <f t="shared" si="1"/>
        <v/>
      </c>
      <c r="I1915" s="26" t="str">
        <f t="shared" si="2"/>
        <v/>
      </c>
      <c r="J1915" s="86">
        <f t="shared" ca="1" si="3"/>
        <v>44681</v>
      </c>
      <c r="R1915" s="26"/>
    </row>
    <row r="1916" spans="1:18" ht="15.75" customHeight="1">
      <c r="A1916" s="26">
        <f ca="1">IFERROR(__xludf.DUMMYFUNCTION("""COMPUTED_VALUE"""),13545)</f>
        <v>13545</v>
      </c>
      <c r="B1916" s="86">
        <f ca="1">IFERROR(__xludf.DUMMYFUNCTION("""COMPUTED_VALUE"""),44681.6003472222)</f>
        <v>44681.6003472222</v>
      </c>
      <c r="C1916" s="1" t="str">
        <f ca="1">IFERROR(__xludf.DUMMYFUNCTION("""COMPUTED_VALUE"""),"completed")</f>
        <v>completed</v>
      </c>
      <c r="D1916" s="26">
        <f ca="1">IFERROR(__xludf.DUMMYFUNCTION("""COMPUTED_VALUE"""),18)</f>
        <v>18</v>
      </c>
      <c r="E1916" s="1"/>
      <c r="F1916" s="87" t="str">
        <f t="shared" ca="1" si="0"/>
        <v>2022</v>
      </c>
      <c r="H1916" s="26" t="str">
        <f t="shared" si="1"/>
        <v/>
      </c>
      <c r="I1916" s="26" t="str">
        <f t="shared" si="2"/>
        <v/>
      </c>
      <c r="J1916" s="86">
        <f t="shared" ca="1" si="3"/>
        <v>44681</v>
      </c>
      <c r="R1916" s="26"/>
    </row>
    <row r="1917" spans="1:18" ht="15.75" customHeight="1">
      <c r="A1917" s="26">
        <f ca="1">IFERROR(__xludf.DUMMYFUNCTION("""COMPUTED_VALUE"""),13544)</f>
        <v>13544</v>
      </c>
      <c r="B1917" s="86">
        <f ca="1">IFERROR(__xludf.DUMMYFUNCTION("""COMPUTED_VALUE"""),44681.5974537037)</f>
        <v>44681.597453703696</v>
      </c>
      <c r="C1917" s="1" t="str">
        <f ca="1">IFERROR(__xludf.DUMMYFUNCTION("""COMPUTED_VALUE"""),"completed")</f>
        <v>completed</v>
      </c>
      <c r="D1917" s="26">
        <f ca="1">IFERROR(__xludf.DUMMYFUNCTION("""COMPUTED_VALUE"""),18)</f>
        <v>18</v>
      </c>
      <c r="E1917" s="1"/>
      <c r="F1917" s="87" t="str">
        <f t="shared" ca="1" si="0"/>
        <v>2022</v>
      </c>
      <c r="H1917" s="26" t="str">
        <f t="shared" si="1"/>
        <v/>
      </c>
      <c r="I1917" s="26" t="str">
        <f t="shared" si="2"/>
        <v/>
      </c>
      <c r="J1917" s="86">
        <f t="shared" ca="1" si="3"/>
        <v>44681</v>
      </c>
      <c r="R1917" s="26"/>
    </row>
    <row r="1918" spans="1:18" ht="15.75" customHeight="1">
      <c r="A1918" s="26">
        <f ca="1">IFERROR(__xludf.DUMMYFUNCTION("""COMPUTED_VALUE"""),13543)</f>
        <v>13543</v>
      </c>
      <c r="B1918" s="86">
        <f ca="1">IFERROR(__xludf.DUMMYFUNCTION("""COMPUTED_VALUE"""),44681.5953356481)</f>
        <v>44681.595335648097</v>
      </c>
      <c r="C1918" s="1" t="str">
        <f ca="1">IFERROR(__xludf.DUMMYFUNCTION("""COMPUTED_VALUE"""),"completed")</f>
        <v>completed</v>
      </c>
      <c r="D1918" s="26">
        <f ca="1">IFERROR(__xludf.DUMMYFUNCTION("""COMPUTED_VALUE"""),20)</f>
        <v>20</v>
      </c>
      <c r="E1918" s="1"/>
      <c r="F1918" s="87" t="str">
        <f t="shared" ca="1" si="0"/>
        <v>2022</v>
      </c>
      <c r="H1918" s="26" t="str">
        <f t="shared" si="1"/>
        <v/>
      </c>
      <c r="I1918" s="26" t="str">
        <f t="shared" si="2"/>
        <v/>
      </c>
      <c r="J1918" s="86">
        <f t="shared" ca="1" si="3"/>
        <v>44681</v>
      </c>
      <c r="R1918" s="26"/>
    </row>
    <row r="1919" spans="1:18" ht="15.75" customHeight="1">
      <c r="A1919" s="26">
        <f ca="1">IFERROR(__xludf.DUMMYFUNCTION("""COMPUTED_VALUE"""),13542)</f>
        <v>13542</v>
      </c>
      <c r="B1919" s="86">
        <f ca="1">IFERROR(__xludf.DUMMYFUNCTION("""COMPUTED_VALUE"""),44681.5876273148)</f>
        <v>44681.587627314802</v>
      </c>
      <c r="C1919" s="1" t="str">
        <f ca="1">IFERROR(__xludf.DUMMYFUNCTION("""COMPUTED_VALUE"""),"completed")</f>
        <v>completed</v>
      </c>
      <c r="D1919" s="26">
        <f ca="1">IFERROR(__xludf.DUMMYFUNCTION("""COMPUTED_VALUE"""),25)</f>
        <v>25</v>
      </c>
      <c r="E1919" s="1"/>
      <c r="F1919" s="87" t="str">
        <f t="shared" ca="1" si="0"/>
        <v>2022</v>
      </c>
      <c r="H1919" s="26" t="str">
        <f t="shared" si="1"/>
        <v/>
      </c>
      <c r="I1919" s="26" t="str">
        <f t="shared" si="2"/>
        <v/>
      </c>
      <c r="J1919" s="86">
        <f t="shared" ca="1" si="3"/>
        <v>44681</v>
      </c>
      <c r="R1919" s="26"/>
    </row>
    <row r="1920" spans="1:18" ht="15.75" customHeight="1">
      <c r="A1920" s="26">
        <f ca="1">IFERROR(__xludf.DUMMYFUNCTION("""COMPUTED_VALUE"""),13541)</f>
        <v>13541</v>
      </c>
      <c r="B1920" s="86">
        <f ca="1">IFERROR(__xludf.DUMMYFUNCTION("""COMPUTED_VALUE"""),44681.5874537037)</f>
        <v>44681.587453703702</v>
      </c>
      <c r="C1920" s="1" t="str">
        <f ca="1">IFERROR(__xludf.DUMMYFUNCTION("""COMPUTED_VALUE"""),"completed")</f>
        <v>completed</v>
      </c>
      <c r="D1920" s="26">
        <f ca="1">IFERROR(__xludf.DUMMYFUNCTION("""COMPUTED_VALUE"""),50)</f>
        <v>50</v>
      </c>
      <c r="E1920" s="1"/>
      <c r="F1920" s="87" t="str">
        <f t="shared" ca="1" si="0"/>
        <v>2022</v>
      </c>
      <c r="H1920" s="26" t="str">
        <f t="shared" si="1"/>
        <v/>
      </c>
      <c r="I1920" s="26" t="str">
        <f t="shared" si="2"/>
        <v/>
      </c>
      <c r="J1920" s="86">
        <f t="shared" ca="1" si="3"/>
        <v>44681</v>
      </c>
      <c r="R1920" s="26"/>
    </row>
    <row r="1921" spans="1:18" ht="15.75" customHeight="1">
      <c r="A1921" s="26">
        <f ca="1">IFERROR(__xludf.DUMMYFUNCTION("""COMPUTED_VALUE"""),13540)</f>
        <v>13540</v>
      </c>
      <c r="B1921" s="86">
        <f ca="1">IFERROR(__xludf.DUMMYFUNCTION("""COMPUTED_VALUE"""),44681.5839583333)</f>
        <v>44681.5839583333</v>
      </c>
      <c r="C1921" s="1" t="str">
        <f ca="1">IFERROR(__xludf.DUMMYFUNCTION("""COMPUTED_VALUE"""),"completed")</f>
        <v>completed</v>
      </c>
      <c r="D1921" s="26">
        <f ca="1">IFERROR(__xludf.DUMMYFUNCTION("""COMPUTED_VALUE"""),12)</f>
        <v>12</v>
      </c>
      <c r="E1921" s="1"/>
      <c r="F1921" s="87" t="str">
        <f t="shared" ca="1" si="0"/>
        <v>2022</v>
      </c>
      <c r="H1921" s="26" t="str">
        <f t="shared" si="1"/>
        <v/>
      </c>
      <c r="I1921" s="26" t="str">
        <f t="shared" si="2"/>
        <v/>
      </c>
      <c r="J1921" s="86">
        <f t="shared" ca="1" si="3"/>
        <v>44681</v>
      </c>
      <c r="R1921" s="26"/>
    </row>
    <row r="1922" spans="1:18" ht="15.75" customHeight="1">
      <c r="A1922" s="26">
        <f ca="1">IFERROR(__xludf.DUMMYFUNCTION("""COMPUTED_VALUE"""),13539)</f>
        <v>13539</v>
      </c>
      <c r="B1922" s="86">
        <f ca="1">IFERROR(__xludf.DUMMYFUNCTION("""COMPUTED_VALUE"""),44681.5825462962)</f>
        <v>44681.582546296297</v>
      </c>
      <c r="C1922" s="1" t="str">
        <f ca="1">IFERROR(__xludf.DUMMYFUNCTION("""COMPUTED_VALUE"""),"completed")</f>
        <v>completed</v>
      </c>
      <c r="D1922" s="26">
        <f ca="1">IFERROR(__xludf.DUMMYFUNCTION("""COMPUTED_VALUE"""),36)</f>
        <v>36</v>
      </c>
      <c r="E1922" s="1"/>
      <c r="F1922" s="87" t="str">
        <f t="shared" ca="1" si="0"/>
        <v>2022</v>
      </c>
      <c r="H1922" s="26" t="str">
        <f t="shared" si="1"/>
        <v/>
      </c>
      <c r="I1922" s="26" t="str">
        <f t="shared" si="2"/>
        <v/>
      </c>
      <c r="J1922" s="86">
        <f t="shared" ca="1" si="3"/>
        <v>44681</v>
      </c>
      <c r="R1922" s="26"/>
    </row>
    <row r="1923" spans="1:18" ht="15.75" customHeight="1">
      <c r="A1923" s="26">
        <f ca="1">IFERROR(__xludf.DUMMYFUNCTION("""COMPUTED_VALUE"""),13538)</f>
        <v>13538</v>
      </c>
      <c r="B1923" s="86">
        <f ca="1">IFERROR(__xludf.DUMMYFUNCTION("""COMPUTED_VALUE"""),44681.5725462962)</f>
        <v>44681.5725462962</v>
      </c>
      <c r="C1923" s="1" t="str">
        <f ca="1">IFERROR(__xludf.DUMMYFUNCTION("""COMPUTED_VALUE"""),"completed")</f>
        <v>completed</v>
      </c>
      <c r="D1923" s="26">
        <f ca="1">IFERROR(__xludf.DUMMYFUNCTION("""COMPUTED_VALUE"""),15)</f>
        <v>15</v>
      </c>
      <c r="E1923" s="1"/>
      <c r="F1923" s="87" t="str">
        <f t="shared" ca="1" si="0"/>
        <v>2022</v>
      </c>
      <c r="H1923" s="26" t="str">
        <f t="shared" si="1"/>
        <v/>
      </c>
      <c r="I1923" s="26" t="str">
        <f t="shared" si="2"/>
        <v/>
      </c>
      <c r="J1923" s="86">
        <f t="shared" ca="1" si="3"/>
        <v>44681</v>
      </c>
      <c r="R1923" s="26"/>
    </row>
    <row r="1924" spans="1:18" ht="15.75" customHeight="1">
      <c r="A1924" s="26">
        <f ca="1">IFERROR(__xludf.DUMMYFUNCTION("""COMPUTED_VALUE"""),13537)</f>
        <v>13537</v>
      </c>
      <c r="B1924" s="86">
        <f ca="1">IFERROR(__xludf.DUMMYFUNCTION("""COMPUTED_VALUE"""),44681.5704050925)</f>
        <v>44681.570405092498</v>
      </c>
      <c r="C1924" s="1" t="str">
        <f ca="1">IFERROR(__xludf.DUMMYFUNCTION("""COMPUTED_VALUE"""),"completed")</f>
        <v>completed</v>
      </c>
      <c r="D1924" s="26">
        <f ca="1">IFERROR(__xludf.DUMMYFUNCTION("""COMPUTED_VALUE"""),20)</f>
        <v>20</v>
      </c>
      <c r="E1924" s="1"/>
      <c r="F1924" s="87" t="str">
        <f t="shared" ca="1" si="0"/>
        <v>2022</v>
      </c>
      <c r="H1924" s="26" t="str">
        <f t="shared" si="1"/>
        <v/>
      </c>
      <c r="I1924" s="26" t="str">
        <f t="shared" si="2"/>
        <v/>
      </c>
      <c r="J1924" s="86">
        <f t="shared" ca="1" si="3"/>
        <v>44681</v>
      </c>
      <c r="R1924" s="26"/>
    </row>
    <row r="1925" spans="1:18" ht="15.75" customHeight="1">
      <c r="A1925" s="26">
        <f ca="1">IFERROR(__xludf.DUMMYFUNCTION("""COMPUTED_VALUE"""),13536)</f>
        <v>13536</v>
      </c>
      <c r="B1925" s="86">
        <f ca="1">IFERROR(__xludf.DUMMYFUNCTION("""COMPUTED_VALUE"""),44681.5686805555)</f>
        <v>44681.568680555501</v>
      </c>
      <c r="C1925" s="1" t="str">
        <f ca="1">IFERROR(__xludf.DUMMYFUNCTION("""COMPUTED_VALUE"""),"completed")</f>
        <v>completed</v>
      </c>
      <c r="D1925" s="26">
        <f ca="1">IFERROR(__xludf.DUMMYFUNCTION("""COMPUTED_VALUE"""),35)</f>
        <v>35</v>
      </c>
      <c r="E1925" s="1"/>
      <c r="F1925" s="87" t="str">
        <f t="shared" ca="1" si="0"/>
        <v>2022</v>
      </c>
      <c r="H1925" s="26" t="str">
        <f t="shared" si="1"/>
        <v/>
      </c>
      <c r="I1925" s="26" t="str">
        <f t="shared" si="2"/>
        <v/>
      </c>
      <c r="J1925" s="86">
        <f t="shared" ca="1" si="3"/>
        <v>44681</v>
      </c>
      <c r="R1925" s="26"/>
    </row>
    <row r="1926" spans="1:18" ht="15.75" customHeight="1">
      <c r="A1926" s="26">
        <f ca="1">IFERROR(__xludf.DUMMYFUNCTION("""COMPUTED_VALUE"""),13535)</f>
        <v>13535</v>
      </c>
      <c r="B1926" s="86">
        <f ca="1">IFERROR(__xludf.DUMMYFUNCTION("""COMPUTED_VALUE"""),44681.5657060185)</f>
        <v>44681.565706018497</v>
      </c>
      <c r="C1926" s="1" t="str">
        <f ca="1">IFERROR(__xludf.DUMMYFUNCTION("""COMPUTED_VALUE"""),"completed")</f>
        <v>completed</v>
      </c>
      <c r="D1926" s="26">
        <f ca="1">IFERROR(__xludf.DUMMYFUNCTION("""COMPUTED_VALUE"""),35)</f>
        <v>35</v>
      </c>
      <c r="E1926" s="1"/>
      <c r="F1926" s="87" t="str">
        <f t="shared" ca="1" si="0"/>
        <v>2022</v>
      </c>
      <c r="H1926" s="26" t="str">
        <f t="shared" si="1"/>
        <v/>
      </c>
      <c r="I1926" s="26" t="str">
        <f t="shared" si="2"/>
        <v/>
      </c>
      <c r="J1926" s="86">
        <f t="shared" ca="1" si="3"/>
        <v>44681</v>
      </c>
      <c r="R1926" s="26"/>
    </row>
    <row r="1927" spans="1:18" ht="15.75" customHeight="1">
      <c r="A1927" s="26">
        <f ca="1">IFERROR(__xludf.DUMMYFUNCTION("""COMPUTED_VALUE"""),13534)</f>
        <v>13534</v>
      </c>
      <c r="B1927" s="86">
        <f ca="1">IFERROR(__xludf.DUMMYFUNCTION("""COMPUTED_VALUE"""),44681.5642013888)</f>
        <v>44681.564201388799</v>
      </c>
      <c r="C1927" s="1" t="str">
        <f ca="1">IFERROR(__xludf.DUMMYFUNCTION("""COMPUTED_VALUE"""),"completed")</f>
        <v>completed</v>
      </c>
      <c r="D1927" s="26">
        <f ca="1">IFERROR(__xludf.DUMMYFUNCTION("""COMPUTED_VALUE"""),35)</f>
        <v>35</v>
      </c>
      <c r="E1927" s="1"/>
      <c r="F1927" s="87" t="str">
        <f t="shared" ca="1" si="0"/>
        <v>2022</v>
      </c>
      <c r="H1927" s="26" t="str">
        <f t="shared" si="1"/>
        <v/>
      </c>
      <c r="I1927" s="26" t="str">
        <f t="shared" si="2"/>
        <v/>
      </c>
      <c r="J1927" s="86">
        <f t="shared" ca="1" si="3"/>
        <v>44681</v>
      </c>
      <c r="R1927" s="26"/>
    </row>
    <row r="1928" spans="1:18" ht="15.75" customHeight="1">
      <c r="A1928" s="26">
        <f ca="1">IFERROR(__xludf.DUMMYFUNCTION("""COMPUTED_VALUE"""),13533)</f>
        <v>13533</v>
      </c>
      <c r="B1928" s="86">
        <f ca="1">IFERROR(__xludf.DUMMYFUNCTION("""COMPUTED_VALUE"""),44681.5640625)</f>
        <v>44681.564062500001</v>
      </c>
      <c r="C1928" s="1" t="str">
        <f ca="1">IFERROR(__xludf.DUMMYFUNCTION("""COMPUTED_VALUE"""),"completed")</f>
        <v>completed</v>
      </c>
      <c r="D1928" s="26">
        <f ca="1">IFERROR(__xludf.DUMMYFUNCTION("""COMPUTED_VALUE"""),35)</f>
        <v>35</v>
      </c>
      <c r="E1928" s="1"/>
      <c r="F1928" s="87" t="str">
        <f t="shared" ca="1" si="0"/>
        <v>2022</v>
      </c>
      <c r="H1928" s="26" t="str">
        <f t="shared" si="1"/>
        <v/>
      </c>
      <c r="I1928" s="26" t="str">
        <f t="shared" si="2"/>
        <v/>
      </c>
      <c r="J1928" s="86">
        <f t="shared" ca="1" si="3"/>
        <v>44681</v>
      </c>
      <c r="R1928" s="26"/>
    </row>
    <row r="1929" spans="1:18" ht="15.75" customHeight="1">
      <c r="A1929" s="26">
        <f ca="1">IFERROR(__xludf.DUMMYFUNCTION("""COMPUTED_VALUE"""),13532)</f>
        <v>13532</v>
      </c>
      <c r="B1929" s="86">
        <f ca="1">IFERROR(__xludf.DUMMYFUNCTION("""COMPUTED_VALUE"""),44681.5628009259)</f>
        <v>44681.562800925902</v>
      </c>
      <c r="C1929" s="1" t="str">
        <f ca="1">IFERROR(__xludf.DUMMYFUNCTION("""COMPUTED_VALUE"""),"completed")</f>
        <v>completed</v>
      </c>
      <c r="D1929" s="26">
        <f ca="1">IFERROR(__xludf.DUMMYFUNCTION("""COMPUTED_VALUE"""),25)</f>
        <v>25</v>
      </c>
      <c r="E1929" s="1"/>
      <c r="F1929" s="87" t="str">
        <f t="shared" ca="1" si="0"/>
        <v>2022</v>
      </c>
      <c r="H1929" s="26" t="str">
        <f t="shared" si="1"/>
        <v/>
      </c>
      <c r="I1929" s="26" t="str">
        <f t="shared" si="2"/>
        <v/>
      </c>
      <c r="J1929" s="86">
        <f t="shared" ca="1" si="3"/>
        <v>44681</v>
      </c>
      <c r="R1929" s="26"/>
    </row>
    <row r="1930" spans="1:18" ht="15.75" customHeight="1">
      <c r="A1930" s="26">
        <f ca="1">IFERROR(__xludf.DUMMYFUNCTION("""COMPUTED_VALUE"""),13531)</f>
        <v>13531</v>
      </c>
      <c r="B1930" s="86">
        <f ca="1">IFERROR(__xludf.DUMMYFUNCTION("""COMPUTED_VALUE"""),44681.5594444444)</f>
        <v>44681.5594444444</v>
      </c>
      <c r="C1930" s="1" t="str">
        <f ca="1">IFERROR(__xludf.DUMMYFUNCTION("""COMPUTED_VALUE"""),"completed")</f>
        <v>completed</v>
      </c>
      <c r="D1930" s="26">
        <f ca="1">IFERROR(__xludf.DUMMYFUNCTION("""COMPUTED_VALUE"""),32)</f>
        <v>32</v>
      </c>
      <c r="E1930" s="1"/>
      <c r="F1930" s="87" t="str">
        <f t="shared" ca="1" si="0"/>
        <v>2022</v>
      </c>
      <c r="H1930" s="26" t="str">
        <f t="shared" si="1"/>
        <v/>
      </c>
      <c r="I1930" s="26" t="str">
        <f t="shared" si="2"/>
        <v/>
      </c>
      <c r="J1930" s="86">
        <f t="shared" ca="1" si="3"/>
        <v>44681</v>
      </c>
      <c r="R1930" s="26"/>
    </row>
    <row r="1931" spans="1:18" ht="15.75" customHeight="1">
      <c r="A1931" s="26">
        <f ca="1">IFERROR(__xludf.DUMMYFUNCTION("""COMPUTED_VALUE"""),13530)</f>
        <v>13530</v>
      </c>
      <c r="B1931" s="86">
        <f ca="1">IFERROR(__xludf.DUMMYFUNCTION("""COMPUTED_VALUE"""),44681.5591435185)</f>
        <v>44681.559143518498</v>
      </c>
      <c r="C1931" s="1" t="str">
        <f ca="1">IFERROR(__xludf.DUMMYFUNCTION("""COMPUTED_VALUE"""),"completed")</f>
        <v>completed</v>
      </c>
      <c r="D1931" s="26">
        <f ca="1">IFERROR(__xludf.DUMMYFUNCTION("""COMPUTED_VALUE"""),12)</f>
        <v>12</v>
      </c>
      <c r="E1931" s="1"/>
      <c r="F1931" s="87" t="str">
        <f t="shared" ca="1" si="0"/>
        <v>2022</v>
      </c>
      <c r="H1931" s="26" t="str">
        <f t="shared" si="1"/>
        <v/>
      </c>
      <c r="I1931" s="26" t="str">
        <f t="shared" si="2"/>
        <v/>
      </c>
      <c r="J1931" s="86">
        <f t="shared" ca="1" si="3"/>
        <v>44681</v>
      </c>
      <c r="R1931" s="26"/>
    </row>
    <row r="1932" spans="1:18" ht="15.75" customHeight="1">
      <c r="A1932" s="26">
        <f ca="1">IFERROR(__xludf.DUMMYFUNCTION("""COMPUTED_VALUE"""),13529)</f>
        <v>13529</v>
      </c>
      <c r="B1932" s="86">
        <f ca="1">IFERROR(__xludf.DUMMYFUNCTION("""COMPUTED_VALUE"""),44681.5586226851)</f>
        <v>44681.558622685101</v>
      </c>
      <c r="C1932" s="1" t="str">
        <f ca="1">IFERROR(__xludf.DUMMYFUNCTION("""COMPUTED_VALUE"""),"completed")</f>
        <v>completed</v>
      </c>
      <c r="D1932" s="26">
        <f ca="1">IFERROR(__xludf.DUMMYFUNCTION("""COMPUTED_VALUE"""),30)</f>
        <v>30</v>
      </c>
      <c r="E1932" s="1"/>
      <c r="F1932" s="87" t="str">
        <f t="shared" ca="1" si="0"/>
        <v>2022</v>
      </c>
      <c r="H1932" s="26" t="str">
        <f t="shared" si="1"/>
        <v/>
      </c>
      <c r="I1932" s="26" t="str">
        <f t="shared" si="2"/>
        <v/>
      </c>
      <c r="J1932" s="86">
        <f t="shared" ca="1" si="3"/>
        <v>44681</v>
      </c>
      <c r="R1932" s="26"/>
    </row>
    <row r="1933" spans="1:18" ht="15.75" customHeight="1">
      <c r="A1933" s="26">
        <f ca="1">IFERROR(__xludf.DUMMYFUNCTION("""COMPUTED_VALUE"""),13528)</f>
        <v>13528</v>
      </c>
      <c r="B1933" s="86">
        <f ca="1">IFERROR(__xludf.DUMMYFUNCTION("""COMPUTED_VALUE"""),44681.5581597222)</f>
        <v>44681.558159722197</v>
      </c>
      <c r="C1933" s="1" t="str">
        <f ca="1">IFERROR(__xludf.DUMMYFUNCTION("""COMPUTED_VALUE"""),"completed")</f>
        <v>completed</v>
      </c>
      <c r="D1933" s="26">
        <f ca="1">IFERROR(__xludf.DUMMYFUNCTION("""COMPUTED_VALUE"""),25)</f>
        <v>25</v>
      </c>
      <c r="E1933" s="1"/>
      <c r="F1933" s="87" t="str">
        <f t="shared" ca="1" si="0"/>
        <v>2022</v>
      </c>
      <c r="H1933" s="26" t="str">
        <f t="shared" si="1"/>
        <v/>
      </c>
      <c r="I1933" s="26" t="str">
        <f t="shared" si="2"/>
        <v/>
      </c>
      <c r="J1933" s="86">
        <f t="shared" ca="1" si="3"/>
        <v>44681</v>
      </c>
      <c r="R1933" s="26"/>
    </row>
    <row r="1934" spans="1:18" ht="15.75" customHeight="1">
      <c r="A1934" s="26">
        <f ca="1">IFERROR(__xludf.DUMMYFUNCTION("""COMPUTED_VALUE"""),13527)</f>
        <v>13527</v>
      </c>
      <c r="B1934" s="86">
        <f ca="1">IFERROR(__xludf.DUMMYFUNCTION("""COMPUTED_VALUE"""),44681.5568518518)</f>
        <v>44681.556851851798</v>
      </c>
      <c r="C1934" s="1" t="str">
        <f ca="1">IFERROR(__xludf.DUMMYFUNCTION("""COMPUTED_VALUE"""),"completed")</f>
        <v>completed</v>
      </c>
      <c r="D1934" s="26">
        <f ca="1">IFERROR(__xludf.DUMMYFUNCTION("""COMPUTED_VALUE"""),25)</f>
        <v>25</v>
      </c>
      <c r="E1934" s="1"/>
      <c r="F1934" s="87" t="str">
        <f t="shared" ca="1" si="0"/>
        <v>2022</v>
      </c>
      <c r="H1934" s="26" t="str">
        <f t="shared" si="1"/>
        <v/>
      </c>
      <c r="I1934" s="26" t="str">
        <f t="shared" si="2"/>
        <v/>
      </c>
      <c r="J1934" s="86">
        <f t="shared" ca="1" si="3"/>
        <v>44681</v>
      </c>
      <c r="R1934" s="26"/>
    </row>
    <row r="1935" spans="1:18" ht="15.75" customHeight="1">
      <c r="A1935" s="26">
        <f ca="1">IFERROR(__xludf.DUMMYFUNCTION("""COMPUTED_VALUE"""),13526)</f>
        <v>13526</v>
      </c>
      <c r="B1935" s="86">
        <f ca="1">IFERROR(__xludf.DUMMYFUNCTION("""COMPUTED_VALUE"""),44681.5567361111)</f>
        <v>44681.556736111103</v>
      </c>
      <c r="C1935" s="1" t="str">
        <f ca="1">IFERROR(__xludf.DUMMYFUNCTION("""COMPUTED_VALUE"""),"completed")</f>
        <v>completed</v>
      </c>
      <c r="D1935" s="26">
        <f ca="1">IFERROR(__xludf.DUMMYFUNCTION("""COMPUTED_VALUE"""),24)</f>
        <v>24</v>
      </c>
      <c r="E1935" s="1"/>
      <c r="F1935" s="87" t="str">
        <f t="shared" ca="1" si="0"/>
        <v>2022</v>
      </c>
      <c r="H1935" s="26" t="str">
        <f t="shared" si="1"/>
        <v/>
      </c>
      <c r="I1935" s="26" t="str">
        <f t="shared" si="2"/>
        <v/>
      </c>
      <c r="J1935" s="86">
        <f t="shared" ca="1" si="3"/>
        <v>44681</v>
      </c>
      <c r="R1935" s="26"/>
    </row>
    <row r="1936" spans="1:18" ht="15.75" customHeight="1">
      <c r="A1936" s="26">
        <f ca="1">IFERROR(__xludf.DUMMYFUNCTION("""COMPUTED_VALUE"""),13525)</f>
        <v>13525</v>
      </c>
      <c r="B1936" s="86">
        <f ca="1">IFERROR(__xludf.DUMMYFUNCTION("""COMPUTED_VALUE"""),44681.5557986111)</f>
        <v>44681.555798611102</v>
      </c>
      <c r="C1936" s="1" t="str">
        <f ca="1">IFERROR(__xludf.DUMMYFUNCTION("""COMPUTED_VALUE"""),"completed")</f>
        <v>completed</v>
      </c>
      <c r="D1936" s="26">
        <f ca="1">IFERROR(__xludf.DUMMYFUNCTION("""COMPUTED_VALUE"""),15)</f>
        <v>15</v>
      </c>
      <c r="E1936" s="1"/>
      <c r="F1936" s="87" t="str">
        <f t="shared" ca="1" si="0"/>
        <v>2022</v>
      </c>
      <c r="H1936" s="26" t="str">
        <f t="shared" si="1"/>
        <v/>
      </c>
      <c r="I1936" s="26" t="str">
        <f t="shared" si="2"/>
        <v/>
      </c>
      <c r="J1936" s="86">
        <f t="shared" ca="1" si="3"/>
        <v>44681</v>
      </c>
      <c r="R1936" s="26"/>
    </row>
    <row r="1937" spans="1:18" ht="15.75" customHeight="1">
      <c r="A1937" s="26">
        <f ca="1">IFERROR(__xludf.DUMMYFUNCTION("""COMPUTED_VALUE"""),13524)</f>
        <v>13524</v>
      </c>
      <c r="B1937" s="86">
        <f ca="1">IFERROR(__xludf.DUMMYFUNCTION("""COMPUTED_VALUE"""),44681.5545601851)</f>
        <v>44681.554560185097</v>
      </c>
      <c r="C1937" s="1" t="str">
        <f ca="1">IFERROR(__xludf.DUMMYFUNCTION("""COMPUTED_VALUE"""),"completed")</f>
        <v>completed</v>
      </c>
      <c r="D1937" s="26">
        <f ca="1">IFERROR(__xludf.DUMMYFUNCTION("""COMPUTED_VALUE"""),25)</f>
        <v>25</v>
      </c>
      <c r="E1937" s="1"/>
      <c r="F1937" s="87" t="str">
        <f t="shared" ca="1" si="0"/>
        <v>2022</v>
      </c>
      <c r="H1937" s="26" t="str">
        <f t="shared" si="1"/>
        <v/>
      </c>
      <c r="I1937" s="26" t="str">
        <f t="shared" si="2"/>
        <v/>
      </c>
      <c r="J1937" s="86">
        <f t="shared" ca="1" si="3"/>
        <v>44681</v>
      </c>
      <c r="R1937" s="26"/>
    </row>
    <row r="1938" spans="1:18" ht="15.75" customHeight="1">
      <c r="A1938" s="26">
        <f ca="1">IFERROR(__xludf.DUMMYFUNCTION("""COMPUTED_VALUE"""),13523)</f>
        <v>13523</v>
      </c>
      <c r="B1938" s="86">
        <f ca="1">IFERROR(__xludf.DUMMYFUNCTION("""COMPUTED_VALUE"""),44681.5540972222)</f>
        <v>44681.554097222201</v>
      </c>
      <c r="C1938" s="1" t="str">
        <f ca="1">IFERROR(__xludf.DUMMYFUNCTION("""COMPUTED_VALUE"""),"completed")</f>
        <v>completed</v>
      </c>
      <c r="D1938" s="26">
        <f ca="1">IFERROR(__xludf.DUMMYFUNCTION("""COMPUTED_VALUE"""),35)</f>
        <v>35</v>
      </c>
      <c r="E1938" s="1"/>
      <c r="F1938" s="87" t="str">
        <f t="shared" ca="1" si="0"/>
        <v>2022</v>
      </c>
      <c r="H1938" s="26" t="str">
        <f t="shared" si="1"/>
        <v/>
      </c>
      <c r="I1938" s="26" t="str">
        <f t="shared" si="2"/>
        <v/>
      </c>
      <c r="J1938" s="86">
        <f t="shared" ca="1" si="3"/>
        <v>44681</v>
      </c>
      <c r="R1938" s="26"/>
    </row>
    <row r="1939" spans="1:18" ht="15.75" customHeight="1">
      <c r="A1939" s="26">
        <f ca="1">IFERROR(__xludf.DUMMYFUNCTION("""COMPUTED_VALUE"""),13522)</f>
        <v>13522</v>
      </c>
      <c r="B1939" s="86">
        <f ca="1">IFERROR(__xludf.DUMMYFUNCTION("""COMPUTED_VALUE"""),44681.5529166666)</f>
        <v>44681.552916666602</v>
      </c>
      <c r="C1939" s="1" t="str">
        <f ca="1">IFERROR(__xludf.DUMMYFUNCTION("""COMPUTED_VALUE"""),"completed")</f>
        <v>completed</v>
      </c>
      <c r="D1939" s="26">
        <f ca="1">IFERROR(__xludf.DUMMYFUNCTION("""COMPUTED_VALUE"""),25)</f>
        <v>25</v>
      </c>
      <c r="E1939" s="1"/>
      <c r="F1939" s="87" t="str">
        <f t="shared" ca="1" si="0"/>
        <v>2022</v>
      </c>
      <c r="H1939" s="26" t="str">
        <f t="shared" si="1"/>
        <v/>
      </c>
      <c r="I1939" s="26" t="str">
        <f t="shared" si="2"/>
        <v/>
      </c>
      <c r="J1939" s="86">
        <f t="shared" ca="1" si="3"/>
        <v>44681</v>
      </c>
      <c r="R1939" s="26"/>
    </row>
    <row r="1940" spans="1:18" ht="15.75" customHeight="1">
      <c r="A1940" s="26">
        <f ca="1">IFERROR(__xludf.DUMMYFUNCTION("""COMPUTED_VALUE"""),13521)</f>
        <v>13521</v>
      </c>
      <c r="B1940" s="86">
        <f ca="1">IFERROR(__xludf.DUMMYFUNCTION("""COMPUTED_VALUE"""),44681.5508796296)</f>
        <v>44681.550879629598</v>
      </c>
      <c r="C1940" s="1" t="str">
        <f ca="1">IFERROR(__xludf.DUMMYFUNCTION("""COMPUTED_VALUE"""),"completed")</f>
        <v>completed</v>
      </c>
      <c r="D1940" s="26">
        <f ca="1">IFERROR(__xludf.DUMMYFUNCTION("""COMPUTED_VALUE"""),35)</f>
        <v>35</v>
      </c>
      <c r="E1940" s="1"/>
      <c r="F1940" s="87" t="str">
        <f t="shared" ca="1" si="0"/>
        <v>2022</v>
      </c>
      <c r="H1940" s="26" t="str">
        <f t="shared" si="1"/>
        <v/>
      </c>
      <c r="I1940" s="26" t="str">
        <f t="shared" si="2"/>
        <v/>
      </c>
      <c r="J1940" s="86">
        <f t="shared" ca="1" si="3"/>
        <v>44681</v>
      </c>
      <c r="R1940" s="26"/>
    </row>
    <row r="1941" spans="1:18" ht="15.75" customHeight="1">
      <c r="A1941" s="26">
        <f ca="1">IFERROR(__xludf.DUMMYFUNCTION("""COMPUTED_VALUE"""),13520)</f>
        <v>13520</v>
      </c>
      <c r="B1941" s="86">
        <f ca="1">IFERROR(__xludf.DUMMYFUNCTION("""COMPUTED_VALUE"""),44681.550324074)</f>
        <v>44681.550324074</v>
      </c>
      <c r="C1941" s="1" t="str">
        <f ca="1">IFERROR(__xludf.DUMMYFUNCTION("""COMPUTED_VALUE"""),"completed")</f>
        <v>completed</v>
      </c>
      <c r="D1941" s="26">
        <f ca="1">IFERROR(__xludf.DUMMYFUNCTION("""COMPUTED_VALUE"""),12)</f>
        <v>12</v>
      </c>
      <c r="E1941" s="1"/>
      <c r="F1941" s="87" t="str">
        <f t="shared" ca="1" si="0"/>
        <v>2022</v>
      </c>
      <c r="H1941" s="26" t="str">
        <f t="shared" si="1"/>
        <v/>
      </c>
      <c r="I1941" s="26" t="str">
        <f t="shared" si="2"/>
        <v/>
      </c>
      <c r="J1941" s="86">
        <f t="shared" ca="1" si="3"/>
        <v>44681</v>
      </c>
      <c r="R1941" s="26"/>
    </row>
    <row r="1942" spans="1:18" ht="15.75" customHeight="1">
      <c r="A1942" s="26">
        <f ca="1">IFERROR(__xludf.DUMMYFUNCTION("""COMPUTED_VALUE"""),13519)</f>
        <v>13519</v>
      </c>
      <c r="B1942" s="86">
        <f ca="1">IFERROR(__xludf.DUMMYFUNCTION("""COMPUTED_VALUE"""),44681.5477893518)</f>
        <v>44681.547789351796</v>
      </c>
      <c r="C1942" s="1" t="str">
        <f ca="1">IFERROR(__xludf.DUMMYFUNCTION("""COMPUTED_VALUE"""),"completed")</f>
        <v>completed</v>
      </c>
      <c r="D1942" s="26">
        <f ca="1">IFERROR(__xludf.DUMMYFUNCTION("""COMPUTED_VALUE"""),25)</f>
        <v>25</v>
      </c>
      <c r="E1942" s="1"/>
      <c r="F1942" s="87" t="str">
        <f t="shared" ca="1" si="0"/>
        <v>2022</v>
      </c>
      <c r="H1942" s="26" t="str">
        <f t="shared" si="1"/>
        <v/>
      </c>
      <c r="I1942" s="26" t="str">
        <f t="shared" si="2"/>
        <v/>
      </c>
      <c r="J1942" s="86">
        <f t="shared" ca="1" si="3"/>
        <v>44681</v>
      </c>
      <c r="R1942" s="26"/>
    </row>
    <row r="1943" spans="1:18" ht="15.75" customHeight="1">
      <c r="A1943" s="26">
        <f ca="1">IFERROR(__xludf.DUMMYFUNCTION("""COMPUTED_VALUE"""),13518)</f>
        <v>13518</v>
      </c>
      <c r="B1943" s="86">
        <f ca="1">IFERROR(__xludf.DUMMYFUNCTION("""COMPUTED_VALUE"""),44681.5472222222)</f>
        <v>44681.547222222202</v>
      </c>
      <c r="C1943" s="1" t="str">
        <f ca="1">IFERROR(__xludf.DUMMYFUNCTION("""COMPUTED_VALUE"""),"completed")</f>
        <v>completed</v>
      </c>
      <c r="D1943" s="26">
        <f ca="1">IFERROR(__xludf.DUMMYFUNCTION("""COMPUTED_VALUE"""),20)</f>
        <v>20</v>
      </c>
      <c r="E1943" s="1"/>
      <c r="F1943" s="87" t="str">
        <f t="shared" ca="1" si="0"/>
        <v>2022</v>
      </c>
      <c r="H1943" s="26" t="str">
        <f t="shared" si="1"/>
        <v/>
      </c>
      <c r="I1943" s="26" t="str">
        <f t="shared" si="2"/>
        <v/>
      </c>
      <c r="J1943" s="86">
        <f t="shared" ca="1" si="3"/>
        <v>44681</v>
      </c>
      <c r="R1943" s="26"/>
    </row>
    <row r="1944" spans="1:18" ht="15.75" customHeight="1">
      <c r="A1944" s="26">
        <f ca="1">IFERROR(__xludf.DUMMYFUNCTION("""COMPUTED_VALUE"""),13517)</f>
        <v>13517</v>
      </c>
      <c r="B1944" s="86">
        <f ca="1">IFERROR(__xludf.DUMMYFUNCTION("""COMPUTED_VALUE"""),44681.5448611111)</f>
        <v>44681.544861111099</v>
      </c>
      <c r="C1944" s="1" t="str">
        <f ca="1">IFERROR(__xludf.DUMMYFUNCTION("""COMPUTED_VALUE"""),"completed")</f>
        <v>completed</v>
      </c>
      <c r="D1944" s="26">
        <f ca="1">IFERROR(__xludf.DUMMYFUNCTION("""COMPUTED_VALUE"""),25)</f>
        <v>25</v>
      </c>
      <c r="E1944" s="1"/>
      <c r="F1944" s="87" t="str">
        <f t="shared" ca="1" si="0"/>
        <v>2022</v>
      </c>
      <c r="H1944" s="26" t="str">
        <f t="shared" si="1"/>
        <v/>
      </c>
      <c r="I1944" s="26" t="str">
        <f t="shared" si="2"/>
        <v/>
      </c>
      <c r="J1944" s="86">
        <f t="shared" ca="1" si="3"/>
        <v>44681</v>
      </c>
      <c r="R1944" s="26"/>
    </row>
    <row r="1945" spans="1:18" ht="15.75" customHeight="1">
      <c r="A1945" s="26">
        <f ca="1">IFERROR(__xludf.DUMMYFUNCTION("""COMPUTED_VALUE"""),13516)</f>
        <v>13516</v>
      </c>
      <c r="B1945" s="86">
        <f ca="1">IFERROR(__xludf.DUMMYFUNCTION("""COMPUTED_VALUE"""),44681.5439351851)</f>
        <v>44681.543935185102</v>
      </c>
      <c r="C1945" s="1" t="str">
        <f ca="1">IFERROR(__xludf.DUMMYFUNCTION("""COMPUTED_VALUE"""),"completed")</f>
        <v>completed</v>
      </c>
      <c r="D1945" s="26">
        <f ca="1">IFERROR(__xludf.DUMMYFUNCTION("""COMPUTED_VALUE"""),50)</f>
        <v>50</v>
      </c>
      <c r="E1945" s="1"/>
      <c r="F1945" s="87" t="str">
        <f t="shared" ca="1" si="0"/>
        <v>2022</v>
      </c>
      <c r="H1945" s="26" t="str">
        <f t="shared" si="1"/>
        <v/>
      </c>
      <c r="I1945" s="26" t="str">
        <f t="shared" si="2"/>
        <v/>
      </c>
      <c r="J1945" s="86">
        <f t="shared" ca="1" si="3"/>
        <v>44681</v>
      </c>
      <c r="R1945" s="26"/>
    </row>
    <row r="1946" spans="1:18" ht="15.75" customHeight="1">
      <c r="A1946" s="26">
        <f ca="1">IFERROR(__xludf.DUMMYFUNCTION("""COMPUTED_VALUE"""),13515)</f>
        <v>13515</v>
      </c>
      <c r="B1946" s="86">
        <f ca="1">IFERROR(__xludf.DUMMYFUNCTION("""COMPUTED_VALUE"""),44681.542349537)</f>
        <v>44681.542349536998</v>
      </c>
      <c r="C1946" s="1" t="str">
        <f ca="1">IFERROR(__xludf.DUMMYFUNCTION("""COMPUTED_VALUE"""),"completed")</f>
        <v>completed</v>
      </c>
      <c r="D1946" s="26">
        <f ca="1">IFERROR(__xludf.DUMMYFUNCTION("""COMPUTED_VALUE"""),25)</f>
        <v>25</v>
      </c>
      <c r="E1946" s="1"/>
      <c r="F1946" s="87" t="str">
        <f t="shared" ca="1" si="0"/>
        <v>2022</v>
      </c>
      <c r="H1946" s="26" t="str">
        <f t="shared" si="1"/>
        <v/>
      </c>
      <c r="I1946" s="26" t="str">
        <f t="shared" si="2"/>
        <v/>
      </c>
      <c r="J1946" s="86">
        <f t="shared" ca="1" si="3"/>
        <v>44681</v>
      </c>
      <c r="R1946" s="26"/>
    </row>
    <row r="1947" spans="1:18" ht="15.75" customHeight="1">
      <c r="A1947" s="26">
        <f ca="1">IFERROR(__xludf.DUMMYFUNCTION("""COMPUTED_VALUE"""),13514)</f>
        <v>13514</v>
      </c>
      <c r="B1947" s="86">
        <f ca="1">IFERROR(__xludf.DUMMYFUNCTION("""COMPUTED_VALUE"""),44681.542037037)</f>
        <v>44681.542037036997</v>
      </c>
      <c r="C1947" s="1" t="str">
        <f ca="1">IFERROR(__xludf.DUMMYFUNCTION("""COMPUTED_VALUE"""),"completed")</f>
        <v>completed</v>
      </c>
      <c r="D1947" s="26">
        <f ca="1">IFERROR(__xludf.DUMMYFUNCTION("""COMPUTED_VALUE"""),50)</f>
        <v>50</v>
      </c>
      <c r="E1947" s="1"/>
      <c r="F1947" s="87" t="str">
        <f t="shared" ca="1" si="0"/>
        <v>2022</v>
      </c>
      <c r="H1947" s="26" t="str">
        <f t="shared" si="1"/>
        <v/>
      </c>
      <c r="I1947" s="26" t="str">
        <f t="shared" si="2"/>
        <v/>
      </c>
      <c r="J1947" s="86">
        <f t="shared" ca="1" si="3"/>
        <v>44681</v>
      </c>
      <c r="R1947" s="26"/>
    </row>
    <row r="1948" spans="1:18" ht="15.75" customHeight="1">
      <c r="A1948" s="26">
        <f ca="1">IFERROR(__xludf.DUMMYFUNCTION("""COMPUTED_VALUE"""),13513)</f>
        <v>13513</v>
      </c>
      <c r="B1948" s="86">
        <f ca="1">IFERROR(__xludf.DUMMYFUNCTION("""COMPUTED_VALUE"""),44681.5419097222)</f>
        <v>44681.541909722197</v>
      </c>
      <c r="C1948" s="1" t="str">
        <f ca="1">IFERROR(__xludf.DUMMYFUNCTION("""COMPUTED_VALUE"""),"completed")</f>
        <v>completed</v>
      </c>
      <c r="D1948" s="26">
        <f ca="1">IFERROR(__xludf.DUMMYFUNCTION("""COMPUTED_VALUE"""),15)</f>
        <v>15</v>
      </c>
      <c r="E1948" s="1"/>
      <c r="F1948" s="87" t="str">
        <f t="shared" ca="1" si="0"/>
        <v>2022</v>
      </c>
      <c r="H1948" s="26" t="str">
        <f t="shared" si="1"/>
        <v/>
      </c>
      <c r="I1948" s="26" t="str">
        <f t="shared" si="2"/>
        <v/>
      </c>
      <c r="J1948" s="86">
        <f t="shared" ca="1" si="3"/>
        <v>44681</v>
      </c>
      <c r="R1948" s="26"/>
    </row>
    <row r="1949" spans="1:18" ht="15.75" customHeight="1">
      <c r="A1949" s="26">
        <f ca="1">IFERROR(__xludf.DUMMYFUNCTION("""COMPUTED_VALUE"""),13512)</f>
        <v>13512</v>
      </c>
      <c r="B1949" s="86">
        <f ca="1">IFERROR(__xludf.DUMMYFUNCTION("""COMPUTED_VALUE"""),44681.5408912037)</f>
        <v>44681.540891203702</v>
      </c>
      <c r="C1949" s="1" t="str">
        <f ca="1">IFERROR(__xludf.DUMMYFUNCTION("""COMPUTED_VALUE"""),"completed")</f>
        <v>completed</v>
      </c>
      <c r="D1949" s="26">
        <f ca="1">IFERROR(__xludf.DUMMYFUNCTION("""COMPUTED_VALUE"""),25)</f>
        <v>25</v>
      </c>
      <c r="E1949" s="1"/>
      <c r="F1949" s="87" t="str">
        <f t="shared" ca="1" si="0"/>
        <v>2022</v>
      </c>
      <c r="H1949" s="26" t="str">
        <f t="shared" si="1"/>
        <v/>
      </c>
      <c r="I1949" s="26" t="str">
        <f t="shared" si="2"/>
        <v/>
      </c>
      <c r="J1949" s="86">
        <f t="shared" ca="1" si="3"/>
        <v>44681</v>
      </c>
      <c r="R1949" s="26"/>
    </row>
    <row r="1950" spans="1:18" ht="15.75" customHeight="1">
      <c r="A1950" s="26">
        <f ca="1">IFERROR(__xludf.DUMMYFUNCTION("""COMPUTED_VALUE"""),13511)</f>
        <v>13511</v>
      </c>
      <c r="B1950" s="86">
        <f ca="1">IFERROR(__xludf.DUMMYFUNCTION("""COMPUTED_VALUE"""),44681.5383912037)</f>
        <v>44681.5383912037</v>
      </c>
      <c r="C1950" s="1" t="str">
        <f ca="1">IFERROR(__xludf.DUMMYFUNCTION("""COMPUTED_VALUE"""),"completed")</f>
        <v>completed</v>
      </c>
      <c r="D1950" s="26">
        <f ca="1">IFERROR(__xludf.DUMMYFUNCTION("""COMPUTED_VALUE"""),25)</f>
        <v>25</v>
      </c>
      <c r="E1950" s="1"/>
      <c r="F1950" s="87" t="str">
        <f t="shared" ca="1" si="0"/>
        <v>2022</v>
      </c>
      <c r="H1950" s="26" t="str">
        <f t="shared" si="1"/>
        <v/>
      </c>
      <c r="I1950" s="26" t="str">
        <f t="shared" si="2"/>
        <v/>
      </c>
      <c r="J1950" s="86">
        <f t="shared" ca="1" si="3"/>
        <v>44681</v>
      </c>
      <c r="R1950" s="26"/>
    </row>
    <row r="1951" spans="1:18" ht="15.75" customHeight="1">
      <c r="A1951" s="26">
        <f ca="1">IFERROR(__xludf.DUMMYFUNCTION("""COMPUTED_VALUE"""),13510)</f>
        <v>13510</v>
      </c>
      <c r="B1951" s="86">
        <f ca="1">IFERROR(__xludf.DUMMYFUNCTION("""COMPUTED_VALUE"""),44681.5381481481)</f>
        <v>44681.538148148102</v>
      </c>
      <c r="C1951" s="1" t="str">
        <f ca="1">IFERROR(__xludf.DUMMYFUNCTION("""COMPUTED_VALUE"""),"completed")</f>
        <v>completed</v>
      </c>
      <c r="D1951" s="26">
        <f ca="1">IFERROR(__xludf.DUMMYFUNCTION("""COMPUTED_VALUE"""),55)</f>
        <v>55</v>
      </c>
      <c r="E1951" s="1"/>
      <c r="F1951" s="87" t="str">
        <f t="shared" ca="1" si="0"/>
        <v>2022</v>
      </c>
      <c r="H1951" s="26" t="str">
        <f t="shared" si="1"/>
        <v/>
      </c>
      <c r="I1951" s="26" t="str">
        <f t="shared" si="2"/>
        <v/>
      </c>
      <c r="J1951" s="86">
        <f t="shared" ca="1" si="3"/>
        <v>44681</v>
      </c>
      <c r="R1951" s="26"/>
    </row>
    <row r="1952" spans="1:18" ht="15.75" customHeight="1">
      <c r="A1952" s="26">
        <f ca="1">IFERROR(__xludf.DUMMYFUNCTION("""COMPUTED_VALUE"""),13509)</f>
        <v>13509</v>
      </c>
      <c r="B1952" s="86">
        <f ca="1">IFERROR(__xludf.DUMMYFUNCTION("""COMPUTED_VALUE"""),44681.5372916666)</f>
        <v>44681.537291666602</v>
      </c>
      <c r="C1952" s="1" t="str">
        <f ca="1">IFERROR(__xludf.DUMMYFUNCTION("""COMPUTED_VALUE"""),"completed")</f>
        <v>completed</v>
      </c>
      <c r="D1952" s="26">
        <f ca="1">IFERROR(__xludf.DUMMYFUNCTION("""COMPUTED_VALUE"""),20)</f>
        <v>20</v>
      </c>
      <c r="E1952" s="1"/>
      <c r="F1952" s="87" t="str">
        <f t="shared" ca="1" si="0"/>
        <v>2022</v>
      </c>
      <c r="H1952" s="26" t="str">
        <f t="shared" si="1"/>
        <v/>
      </c>
      <c r="I1952" s="26" t="str">
        <f t="shared" si="2"/>
        <v/>
      </c>
      <c r="J1952" s="86">
        <f t="shared" ca="1" si="3"/>
        <v>44681</v>
      </c>
      <c r="R1952" s="26"/>
    </row>
    <row r="1953" spans="1:18" ht="15.75" customHeight="1">
      <c r="A1953" s="26">
        <f ca="1">IFERROR(__xludf.DUMMYFUNCTION("""COMPUTED_VALUE"""),13508)</f>
        <v>13508</v>
      </c>
      <c r="B1953" s="86">
        <f ca="1">IFERROR(__xludf.DUMMYFUNCTION("""COMPUTED_VALUE"""),44681.5370601851)</f>
        <v>44681.537060185103</v>
      </c>
      <c r="C1953" s="1" t="str">
        <f ca="1">IFERROR(__xludf.DUMMYFUNCTION("""COMPUTED_VALUE"""),"completed")</f>
        <v>completed</v>
      </c>
      <c r="D1953" s="26">
        <f ca="1">IFERROR(__xludf.DUMMYFUNCTION("""COMPUTED_VALUE"""),25)</f>
        <v>25</v>
      </c>
      <c r="E1953" s="1"/>
      <c r="F1953" s="87" t="str">
        <f t="shared" ca="1" si="0"/>
        <v>2022</v>
      </c>
      <c r="H1953" s="26" t="str">
        <f t="shared" si="1"/>
        <v/>
      </c>
      <c r="I1953" s="26" t="str">
        <f t="shared" si="2"/>
        <v/>
      </c>
      <c r="J1953" s="86">
        <f t="shared" ca="1" si="3"/>
        <v>44681</v>
      </c>
      <c r="R1953" s="26"/>
    </row>
    <row r="1954" spans="1:18" ht="15.75" customHeight="1">
      <c r="A1954" s="26">
        <f ca="1">IFERROR(__xludf.DUMMYFUNCTION("""COMPUTED_VALUE"""),13507)</f>
        <v>13507</v>
      </c>
      <c r="B1954" s="86">
        <f ca="1">IFERROR(__xludf.DUMMYFUNCTION("""COMPUTED_VALUE"""),44681.5366203703)</f>
        <v>44681.536620370302</v>
      </c>
      <c r="C1954" s="1" t="str">
        <f ca="1">IFERROR(__xludf.DUMMYFUNCTION("""COMPUTED_VALUE"""),"completed")</f>
        <v>completed</v>
      </c>
      <c r="D1954" s="26">
        <f ca="1">IFERROR(__xludf.DUMMYFUNCTION("""COMPUTED_VALUE"""),25)</f>
        <v>25</v>
      </c>
      <c r="E1954" s="1"/>
      <c r="F1954" s="87" t="str">
        <f t="shared" ca="1" si="0"/>
        <v>2022</v>
      </c>
      <c r="H1954" s="26" t="str">
        <f t="shared" si="1"/>
        <v/>
      </c>
      <c r="I1954" s="26" t="str">
        <f t="shared" si="2"/>
        <v/>
      </c>
      <c r="J1954" s="86">
        <f t="shared" ca="1" si="3"/>
        <v>44681</v>
      </c>
      <c r="R1954" s="26"/>
    </row>
    <row r="1955" spans="1:18" ht="15.75" customHeight="1">
      <c r="A1955" s="26">
        <f ca="1">IFERROR(__xludf.DUMMYFUNCTION("""COMPUTED_VALUE"""),13506)</f>
        <v>13506</v>
      </c>
      <c r="B1955" s="86">
        <f ca="1">IFERROR(__xludf.DUMMYFUNCTION("""COMPUTED_VALUE"""),44681.534386574)</f>
        <v>44681.534386574</v>
      </c>
      <c r="C1955" s="1" t="str">
        <f ca="1">IFERROR(__xludf.DUMMYFUNCTION("""COMPUTED_VALUE"""),"completed")</f>
        <v>completed</v>
      </c>
      <c r="D1955" s="26">
        <f ca="1">IFERROR(__xludf.DUMMYFUNCTION("""COMPUTED_VALUE"""),33)</f>
        <v>33</v>
      </c>
      <c r="E1955" s="1"/>
      <c r="F1955" s="87" t="str">
        <f t="shared" ca="1" si="0"/>
        <v>2022</v>
      </c>
      <c r="H1955" s="26" t="str">
        <f t="shared" si="1"/>
        <v/>
      </c>
      <c r="I1955" s="26" t="str">
        <f t="shared" si="2"/>
        <v/>
      </c>
      <c r="J1955" s="86">
        <f t="shared" ca="1" si="3"/>
        <v>44681</v>
      </c>
      <c r="R1955" s="26"/>
    </row>
    <row r="1956" spans="1:18" ht="15.75" customHeight="1">
      <c r="A1956" s="26">
        <f ca="1">IFERROR(__xludf.DUMMYFUNCTION("""COMPUTED_VALUE"""),13505)</f>
        <v>13505</v>
      </c>
      <c r="B1956" s="86">
        <f ca="1">IFERROR(__xludf.DUMMYFUNCTION("""COMPUTED_VALUE"""),44681.5321180555)</f>
        <v>44681.532118055497</v>
      </c>
      <c r="C1956" s="1" t="str">
        <f ca="1">IFERROR(__xludf.DUMMYFUNCTION("""COMPUTED_VALUE"""),"completed")</f>
        <v>completed</v>
      </c>
      <c r="D1956" s="26">
        <f ca="1">IFERROR(__xludf.DUMMYFUNCTION("""COMPUTED_VALUE"""),25)</f>
        <v>25</v>
      </c>
      <c r="E1956" s="1"/>
      <c r="F1956" s="87" t="str">
        <f t="shared" ca="1" si="0"/>
        <v>2022</v>
      </c>
      <c r="H1956" s="26" t="str">
        <f t="shared" si="1"/>
        <v/>
      </c>
      <c r="I1956" s="26" t="str">
        <f t="shared" si="2"/>
        <v/>
      </c>
      <c r="J1956" s="86">
        <f t="shared" ca="1" si="3"/>
        <v>44681</v>
      </c>
      <c r="R1956" s="26"/>
    </row>
    <row r="1957" spans="1:18" ht="15.75" customHeight="1">
      <c r="A1957" s="26">
        <f ca="1">IFERROR(__xludf.DUMMYFUNCTION("""COMPUTED_VALUE"""),13504)</f>
        <v>13504</v>
      </c>
      <c r="B1957" s="86">
        <f ca="1">IFERROR(__xludf.DUMMYFUNCTION("""COMPUTED_VALUE"""),44681.5321064814)</f>
        <v>44681.532106481398</v>
      </c>
      <c r="C1957" s="1" t="str">
        <f ca="1">IFERROR(__xludf.DUMMYFUNCTION("""COMPUTED_VALUE"""),"completed")</f>
        <v>completed</v>
      </c>
      <c r="D1957" s="26">
        <f ca="1">IFERROR(__xludf.DUMMYFUNCTION("""COMPUTED_VALUE"""),25)</f>
        <v>25</v>
      </c>
      <c r="E1957" s="1"/>
      <c r="F1957" s="87" t="str">
        <f t="shared" ca="1" si="0"/>
        <v>2022</v>
      </c>
      <c r="H1957" s="26" t="str">
        <f t="shared" si="1"/>
        <v/>
      </c>
      <c r="I1957" s="26" t="str">
        <f t="shared" si="2"/>
        <v/>
      </c>
      <c r="J1957" s="86">
        <f t="shared" ca="1" si="3"/>
        <v>44681</v>
      </c>
      <c r="R1957" s="26"/>
    </row>
    <row r="1958" spans="1:18" ht="15.75" customHeight="1">
      <c r="A1958" s="26">
        <f ca="1">IFERROR(__xludf.DUMMYFUNCTION("""COMPUTED_VALUE"""),13503)</f>
        <v>13503</v>
      </c>
      <c r="B1958" s="86">
        <f ca="1">IFERROR(__xludf.DUMMYFUNCTION("""COMPUTED_VALUE"""),44681.5307291666)</f>
        <v>44681.530729166603</v>
      </c>
      <c r="C1958" s="1" t="str">
        <f ca="1">IFERROR(__xludf.DUMMYFUNCTION("""COMPUTED_VALUE"""),"completed")</f>
        <v>completed</v>
      </c>
      <c r="D1958" s="26">
        <f ca="1">IFERROR(__xludf.DUMMYFUNCTION("""COMPUTED_VALUE"""),50)</f>
        <v>50</v>
      </c>
      <c r="E1958" s="1"/>
      <c r="F1958" s="87" t="str">
        <f t="shared" ca="1" si="0"/>
        <v>2022</v>
      </c>
      <c r="H1958" s="26" t="str">
        <f t="shared" si="1"/>
        <v/>
      </c>
      <c r="I1958" s="26" t="str">
        <f t="shared" si="2"/>
        <v/>
      </c>
      <c r="J1958" s="86">
        <f t="shared" ca="1" si="3"/>
        <v>44681</v>
      </c>
      <c r="R1958" s="26"/>
    </row>
    <row r="1959" spans="1:18" ht="15.75" customHeight="1">
      <c r="A1959" s="26">
        <f ca="1">IFERROR(__xludf.DUMMYFUNCTION("""COMPUTED_VALUE"""),13502)</f>
        <v>13502</v>
      </c>
      <c r="B1959" s="86">
        <f ca="1">IFERROR(__xludf.DUMMYFUNCTION("""COMPUTED_VALUE"""),44681.5305208333)</f>
        <v>44681.530520833301</v>
      </c>
      <c r="C1959" s="1" t="str">
        <f ca="1">IFERROR(__xludf.DUMMYFUNCTION("""COMPUTED_VALUE"""),"completed")</f>
        <v>completed</v>
      </c>
      <c r="D1959" s="26">
        <f ca="1">IFERROR(__xludf.DUMMYFUNCTION("""COMPUTED_VALUE"""),15)</f>
        <v>15</v>
      </c>
      <c r="E1959" s="1"/>
      <c r="F1959" s="87" t="str">
        <f t="shared" ca="1" si="0"/>
        <v>2022</v>
      </c>
      <c r="H1959" s="26" t="str">
        <f t="shared" si="1"/>
        <v/>
      </c>
      <c r="I1959" s="26" t="str">
        <f t="shared" si="2"/>
        <v/>
      </c>
      <c r="J1959" s="86">
        <f t="shared" ca="1" si="3"/>
        <v>44681</v>
      </c>
      <c r="R1959" s="26"/>
    </row>
    <row r="1960" spans="1:18" ht="15.75" customHeight="1">
      <c r="A1960" s="26">
        <f ca="1">IFERROR(__xludf.DUMMYFUNCTION("""COMPUTED_VALUE"""),13501)</f>
        <v>13501</v>
      </c>
      <c r="B1960" s="86">
        <f ca="1">IFERROR(__xludf.DUMMYFUNCTION("""COMPUTED_VALUE"""),44681.5301273148)</f>
        <v>44681.5301273148</v>
      </c>
      <c r="C1960" s="1" t="str">
        <f ca="1">IFERROR(__xludf.DUMMYFUNCTION("""COMPUTED_VALUE"""),"completed")</f>
        <v>completed</v>
      </c>
      <c r="D1960" s="26">
        <f ca="1">IFERROR(__xludf.DUMMYFUNCTION("""COMPUTED_VALUE"""),18)</f>
        <v>18</v>
      </c>
      <c r="E1960" s="1"/>
      <c r="F1960" s="87" t="str">
        <f t="shared" ca="1" si="0"/>
        <v>2022</v>
      </c>
      <c r="H1960" s="26" t="str">
        <f t="shared" si="1"/>
        <v/>
      </c>
      <c r="I1960" s="26" t="str">
        <f t="shared" si="2"/>
        <v/>
      </c>
      <c r="J1960" s="86">
        <f t="shared" ca="1" si="3"/>
        <v>44681</v>
      </c>
      <c r="R1960" s="26"/>
    </row>
    <row r="1961" spans="1:18" ht="15.75" customHeight="1">
      <c r="A1961" s="26">
        <f ca="1">IFERROR(__xludf.DUMMYFUNCTION("""COMPUTED_VALUE"""),13500)</f>
        <v>13500</v>
      </c>
      <c r="B1961" s="86">
        <f ca="1">IFERROR(__xludf.DUMMYFUNCTION("""COMPUTED_VALUE"""),44681.529699074)</f>
        <v>44681.529699074003</v>
      </c>
      <c r="C1961" s="1" t="str">
        <f ca="1">IFERROR(__xludf.DUMMYFUNCTION("""COMPUTED_VALUE"""),"completed")</f>
        <v>completed</v>
      </c>
      <c r="D1961" s="26">
        <f ca="1">IFERROR(__xludf.DUMMYFUNCTION("""COMPUTED_VALUE"""),38)</f>
        <v>38</v>
      </c>
      <c r="E1961" s="1"/>
      <c r="F1961" s="87" t="str">
        <f t="shared" ca="1" si="0"/>
        <v>2022</v>
      </c>
      <c r="H1961" s="26" t="str">
        <f t="shared" si="1"/>
        <v/>
      </c>
      <c r="I1961" s="26" t="str">
        <f t="shared" si="2"/>
        <v/>
      </c>
      <c r="J1961" s="86">
        <f t="shared" ca="1" si="3"/>
        <v>44681</v>
      </c>
      <c r="R1961" s="26"/>
    </row>
    <row r="1962" spans="1:18" ht="15.75" customHeight="1">
      <c r="A1962" s="26">
        <f ca="1">IFERROR(__xludf.DUMMYFUNCTION("""COMPUTED_VALUE"""),13499)</f>
        <v>13499</v>
      </c>
      <c r="B1962" s="86">
        <f ca="1">IFERROR(__xludf.DUMMYFUNCTION("""COMPUTED_VALUE"""),44681.5294212963)</f>
        <v>44681.529421296298</v>
      </c>
      <c r="C1962" s="1" t="str">
        <f ca="1">IFERROR(__xludf.DUMMYFUNCTION("""COMPUTED_VALUE"""),"completed")</f>
        <v>completed</v>
      </c>
      <c r="D1962" s="26">
        <f ca="1">IFERROR(__xludf.DUMMYFUNCTION("""COMPUTED_VALUE"""),18)</f>
        <v>18</v>
      </c>
      <c r="E1962" s="1"/>
      <c r="F1962" s="87" t="str">
        <f t="shared" ca="1" si="0"/>
        <v>2022</v>
      </c>
      <c r="H1962" s="26" t="str">
        <f t="shared" si="1"/>
        <v/>
      </c>
      <c r="I1962" s="26" t="str">
        <f t="shared" si="2"/>
        <v/>
      </c>
      <c r="J1962" s="86">
        <f t="shared" ca="1" si="3"/>
        <v>44681</v>
      </c>
      <c r="R1962" s="26"/>
    </row>
    <row r="1963" spans="1:18" ht="15.75" customHeight="1">
      <c r="A1963" s="26">
        <f ca="1">IFERROR(__xludf.DUMMYFUNCTION("""COMPUTED_VALUE"""),13498)</f>
        <v>13498</v>
      </c>
      <c r="B1963" s="86">
        <f ca="1">IFERROR(__xludf.DUMMYFUNCTION("""COMPUTED_VALUE"""),44681.5268634259)</f>
        <v>44681.526863425897</v>
      </c>
      <c r="C1963" s="1" t="str">
        <f ca="1">IFERROR(__xludf.DUMMYFUNCTION("""COMPUTED_VALUE"""),"completed")</f>
        <v>completed</v>
      </c>
      <c r="D1963" s="26">
        <f ca="1">IFERROR(__xludf.DUMMYFUNCTION("""COMPUTED_VALUE"""),12)</f>
        <v>12</v>
      </c>
      <c r="E1963" s="1"/>
      <c r="F1963" s="87" t="str">
        <f t="shared" ca="1" si="0"/>
        <v>2022</v>
      </c>
      <c r="H1963" s="26" t="str">
        <f t="shared" si="1"/>
        <v/>
      </c>
      <c r="I1963" s="26" t="str">
        <f t="shared" si="2"/>
        <v/>
      </c>
      <c r="J1963" s="86">
        <f t="shared" ca="1" si="3"/>
        <v>44681</v>
      </c>
      <c r="R1963" s="26"/>
    </row>
    <row r="1964" spans="1:18" ht="15.75" customHeight="1">
      <c r="A1964" s="26">
        <f ca="1">IFERROR(__xludf.DUMMYFUNCTION("""COMPUTED_VALUE"""),13497)</f>
        <v>13497</v>
      </c>
      <c r="B1964" s="86">
        <f ca="1">IFERROR(__xludf.DUMMYFUNCTION("""COMPUTED_VALUE"""),44681.5264930555)</f>
        <v>44681.526493055499</v>
      </c>
      <c r="C1964" s="1" t="str">
        <f ca="1">IFERROR(__xludf.DUMMYFUNCTION("""COMPUTED_VALUE"""),"completed")</f>
        <v>completed</v>
      </c>
      <c r="D1964" s="26">
        <f ca="1">IFERROR(__xludf.DUMMYFUNCTION("""COMPUTED_VALUE"""),25)</f>
        <v>25</v>
      </c>
      <c r="E1964" s="1"/>
      <c r="F1964" s="87" t="str">
        <f t="shared" ca="1" si="0"/>
        <v>2022</v>
      </c>
      <c r="H1964" s="26" t="str">
        <f t="shared" si="1"/>
        <v/>
      </c>
      <c r="I1964" s="26" t="str">
        <f t="shared" si="2"/>
        <v/>
      </c>
      <c r="J1964" s="86">
        <f t="shared" ca="1" si="3"/>
        <v>44681</v>
      </c>
      <c r="R1964" s="26"/>
    </row>
    <row r="1965" spans="1:18" ht="15.75" customHeight="1">
      <c r="A1965" s="26">
        <f ca="1">IFERROR(__xludf.DUMMYFUNCTION("""COMPUTED_VALUE"""),13496)</f>
        <v>13496</v>
      </c>
      <c r="B1965" s="86">
        <f ca="1">IFERROR(__xludf.DUMMYFUNCTION("""COMPUTED_VALUE"""),44681.5240972222)</f>
        <v>44681.524097222202</v>
      </c>
      <c r="C1965" s="1" t="str">
        <f ca="1">IFERROR(__xludf.DUMMYFUNCTION("""COMPUTED_VALUE"""),"completed")</f>
        <v>completed</v>
      </c>
      <c r="D1965" s="26">
        <f ca="1">IFERROR(__xludf.DUMMYFUNCTION("""COMPUTED_VALUE"""),55)</f>
        <v>55</v>
      </c>
      <c r="E1965" s="1"/>
      <c r="F1965" s="87" t="str">
        <f t="shared" ca="1" si="0"/>
        <v>2022</v>
      </c>
      <c r="H1965" s="26" t="str">
        <f t="shared" si="1"/>
        <v/>
      </c>
      <c r="I1965" s="26" t="str">
        <f t="shared" si="2"/>
        <v/>
      </c>
      <c r="J1965" s="86">
        <f t="shared" ca="1" si="3"/>
        <v>44681</v>
      </c>
      <c r="R1965" s="26"/>
    </row>
    <row r="1966" spans="1:18" ht="15.75" customHeight="1">
      <c r="A1966" s="26">
        <f ca="1">IFERROR(__xludf.DUMMYFUNCTION("""COMPUTED_VALUE"""),13495)</f>
        <v>13495</v>
      </c>
      <c r="B1966" s="86">
        <f ca="1">IFERROR(__xludf.DUMMYFUNCTION("""COMPUTED_VALUE"""),44681.5082407407)</f>
        <v>44681.508240740703</v>
      </c>
      <c r="C1966" s="1" t="str">
        <f ca="1">IFERROR(__xludf.DUMMYFUNCTION("""COMPUTED_VALUE"""),"completed")</f>
        <v>completed</v>
      </c>
      <c r="D1966" s="26">
        <f ca="1">IFERROR(__xludf.DUMMYFUNCTION("""COMPUTED_VALUE"""),12)</f>
        <v>12</v>
      </c>
      <c r="E1966" s="1"/>
      <c r="F1966" s="87" t="str">
        <f t="shared" ca="1" si="0"/>
        <v>2022</v>
      </c>
      <c r="H1966" s="26" t="str">
        <f t="shared" si="1"/>
        <v/>
      </c>
      <c r="I1966" s="26" t="str">
        <f t="shared" si="2"/>
        <v/>
      </c>
      <c r="J1966" s="86">
        <f t="shared" ca="1" si="3"/>
        <v>44681</v>
      </c>
      <c r="R1966" s="26"/>
    </row>
    <row r="1967" spans="1:18" ht="15.75" customHeight="1">
      <c r="A1967" s="26">
        <f ca="1">IFERROR(__xludf.DUMMYFUNCTION("""COMPUTED_VALUE"""),13494)</f>
        <v>13494</v>
      </c>
      <c r="B1967" s="86">
        <f ca="1">IFERROR(__xludf.DUMMYFUNCTION("""COMPUTED_VALUE"""),44681.1082638888)</f>
        <v>44681.108263888797</v>
      </c>
      <c r="C1967" s="1" t="str">
        <f ca="1">IFERROR(__xludf.DUMMYFUNCTION("""COMPUTED_VALUE"""),"completed")</f>
        <v>completed</v>
      </c>
      <c r="D1967" s="26">
        <f ca="1">IFERROR(__xludf.DUMMYFUNCTION("""COMPUTED_VALUE"""),20)</f>
        <v>20</v>
      </c>
      <c r="E1967" s="1"/>
      <c r="F1967" s="87" t="str">
        <f t="shared" ca="1" si="0"/>
        <v>2022</v>
      </c>
      <c r="H1967" s="26" t="str">
        <f t="shared" si="1"/>
        <v/>
      </c>
      <c r="I1967" s="26" t="str">
        <f t="shared" si="2"/>
        <v/>
      </c>
      <c r="J1967" s="86">
        <f t="shared" ca="1" si="3"/>
        <v>44681</v>
      </c>
      <c r="R1967" s="26"/>
    </row>
    <row r="1968" spans="1:18" ht="15.75" customHeight="1">
      <c r="A1968" s="26">
        <f ca="1">IFERROR(__xludf.DUMMYFUNCTION("""COMPUTED_VALUE"""),13492)</f>
        <v>13492</v>
      </c>
      <c r="B1968" s="86">
        <f ca="1">IFERROR(__xludf.DUMMYFUNCTION("""COMPUTED_VALUE"""),44680.990324074)</f>
        <v>44680.990324074002</v>
      </c>
      <c r="C1968" s="1" t="str">
        <f ca="1">IFERROR(__xludf.DUMMYFUNCTION("""COMPUTED_VALUE"""),"completed")</f>
        <v>completed</v>
      </c>
      <c r="D1968" s="26">
        <f ca="1">IFERROR(__xludf.DUMMYFUNCTION("""COMPUTED_VALUE"""),13.5)</f>
        <v>13.5</v>
      </c>
      <c r="E1968" s="1"/>
      <c r="F1968" s="87" t="str">
        <f t="shared" ca="1" si="0"/>
        <v>2022</v>
      </c>
      <c r="H1968" s="26" t="str">
        <f t="shared" si="1"/>
        <v/>
      </c>
      <c r="I1968" s="26" t="str">
        <f t="shared" si="2"/>
        <v/>
      </c>
      <c r="J1968" s="86">
        <f t="shared" ca="1" si="3"/>
        <v>44680</v>
      </c>
      <c r="R1968" s="26"/>
    </row>
    <row r="1969" spans="1:18" ht="15.75" customHeight="1">
      <c r="A1969" s="26">
        <f ca="1">IFERROR(__xludf.DUMMYFUNCTION("""COMPUTED_VALUE"""),13491)</f>
        <v>13491</v>
      </c>
      <c r="B1969" s="86">
        <f ca="1">IFERROR(__xludf.DUMMYFUNCTION("""COMPUTED_VALUE"""),44680.9881481481)</f>
        <v>44680.988148148099</v>
      </c>
      <c r="C1969" s="1" t="str">
        <f ca="1">IFERROR(__xludf.DUMMYFUNCTION("""COMPUTED_VALUE"""),"completed")</f>
        <v>completed</v>
      </c>
      <c r="D1969" s="26">
        <f ca="1">IFERROR(__xludf.DUMMYFUNCTION("""COMPUTED_VALUE"""),18)</f>
        <v>18</v>
      </c>
      <c r="E1969" s="1"/>
      <c r="F1969" s="87" t="str">
        <f t="shared" ca="1" si="0"/>
        <v>2022</v>
      </c>
      <c r="H1969" s="26" t="str">
        <f t="shared" si="1"/>
        <v/>
      </c>
      <c r="I1969" s="26" t="str">
        <f t="shared" si="2"/>
        <v/>
      </c>
      <c r="J1969" s="86">
        <f t="shared" ca="1" si="3"/>
        <v>44680</v>
      </c>
      <c r="R1969" s="26"/>
    </row>
    <row r="1970" spans="1:18" ht="15.75" customHeight="1">
      <c r="A1970" s="26">
        <f ca="1">IFERROR(__xludf.DUMMYFUNCTION("""COMPUTED_VALUE"""),13490)</f>
        <v>13490</v>
      </c>
      <c r="B1970" s="86">
        <f ca="1">IFERROR(__xludf.DUMMYFUNCTION("""COMPUTED_VALUE"""),44680.8370949074)</f>
        <v>44680.837094907401</v>
      </c>
      <c r="C1970" s="1" t="str">
        <f ca="1">IFERROR(__xludf.DUMMYFUNCTION("""COMPUTED_VALUE"""),"completed")</f>
        <v>completed</v>
      </c>
      <c r="D1970" s="26">
        <f ca="1">IFERROR(__xludf.DUMMYFUNCTION("""COMPUTED_VALUE"""),49.5)</f>
        <v>49.5</v>
      </c>
      <c r="E1970" s="1"/>
      <c r="F1970" s="87" t="str">
        <f t="shared" ca="1" si="0"/>
        <v>2022</v>
      </c>
      <c r="H1970" s="26" t="str">
        <f t="shared" si="1"/>
        <v/>
      </c>
      <c r="I1970" s="26" t="str">
        <f t="shared" si="2"/>
        <v/>
      </c>
      <c r="J1970" s="86">
        <f t="shared" ca="1" si="3"/>
        <v>44680</v>
      </c>
      <c r="R1970" s="26"/>
    </row>
    <row r="1971" spans="1:18" ht="15.75" customHeight="1">
      <c r="A1971" s="26">
        <f ca="1">IFERROR(__xludf.DUMMYFUNCTION("""COMPUTED_VALUE"""),13489)</f>
        <v>13489</v>
      </c>
      <c r="B1971" s="86">
        <f ca="1">IFERROR(__xludf.DUMMYFUNCTION("""COMPUTED_VALUE"""),44680.5090393518)</f>
        <v>44680.509039351797</v>
      </c>
      <c r="C1971" s="1" t="str">
        <f ca="1">IFERROR(__xludf.DUMMYFUNCTION("""COMPUTED_VALUE"""),"completed")</f>
        <v>completed</v>
      </c>
      <c r="D1971" s="26">
        <f ca="1">IFERROR(__xludf.DUMMYFUNCTION("""COMPUTED_VALUE"""),15)</f>
        <v>15</v>
      </c>
      <c r="E1971" s="1"/>
      <c r="F1971" s="87" t="str">
        <f t="shared" ca="1" si="0"/>
        <v>2022</v>
      </c>
      <c r="H1971" s="26" t="str">
        <f t="shared" si="1"/>
        <v/>
      </c>
      <c r="I1971" s="26" t="str">
        <f t="shared" si="2"/>
        <v/>
      </c>
      <c r="J1971" s="86">
        <f t="shared" ca="1" si="3"/>
        <v>44680</v>
      </c>
      <c r="R1971" s="26"/>
    </row>
    <row r="1972" spans="1:18" ht="15.75" customHeight="1">
      <c r="A1972" s="26">
        <f ca="1">IFERROR(__xludf.DUMMYFUNCTION("""COMPUTED_VALUE"""),13482)</f>
        <v>13482</v>
      </c>
      <c r="B1972" s="86">
        <f ca="1">IFERROR(__xludf.DUMMYFUNCTION("""COMPUTED_VALUE"""),44680.1222569444)</f>
        <v>44680.1222569444</v>
      </c>
      <c r="C1972" s="1" t="str">
        <f ca="1">IFERROR(__xludf.DUMMYFUNCTION("""COMPUTED_VALUE"""),"completed")</f>
        <v>completed</v>
      </c>
      <c r="D1972" s="26">
        <f ca="1">IFERROR(__xludf.DUMMYFUNCTION("""COMPUTED_VALUE"""),3.35)</f>
        <v>3.35</v>
      </c>
      <c r="E1972" s="1"/>
      <c r="F1972" s="87" t="str">
        <f t="shared" ca="1" si="0"/>
        <v>2022</v>
      </c>
      <c r="H1972" s="26" t="str">
        <f t="shared" si="1"/>
        <v/>
      </c>
      <c r="I1972" s="26" t="str">
        <f t="shared" si="2"/>
        <v/>
      </c>
      <c r="J1972" s="86">
        <f t="shared" ca="1" si="3"/>
        <v>44680</v>
      </c>
      <c r="R1972" s="26"/>
    </row>
    <row r="1973" spans="1:18" ht="15.75" customHeight="1">
      <c r="A1973" s="26">
        <f ca="1">IFERROR(__xludf.DUMMYFUNCTION("""COMPUTED_VALUE"""),13479)</f>
        <v>13479</v>
      </c>
      <c r="B1973" s="86">
        <f ca="1">IFERROR(__xludf.DUMMYFUNCTION("""COMPUTED_VALUE"""),44680.0470833333)</f>
        <v>44680.047083333302</v>
      </c>
      <c r="C1973" s="1" t="str">
        <f ca="1">IFERROR(__xludf.DUMMYFUNCTION("""COMPUTED_VALUE"""),"completed")</f>
        <v>completed</v>
      </c>
      <c r="D1973" s="26">
        <f ca="1">IFERROR(__xludf.DUMMYFUNCTION("""COMPUTED_VALUE"""),22.5)</f>
        <v>22.5</v>
      </c>
      <c r="E1973" s="1"/>
      <c r="F1973" s="87" t="str">
        <f t="shared" ca="1" si="0"/>
        <v>2022</v>
      </c>
      <c r="H1973" s="26" t="str">
        <f t="shared" si="1"/>
        <v/>
      </c>
      <c r="I1973" s="26" t="str">
        <f t="shared" si="2"/>
        <v/>
      </c>
      <c r="J1973" s="86">
        <f t="shared" ca="1" si="3"/>
        <v>44680</v>
      </c>
      <c r="R1973" s="26"/>
    </row>
    <row r="1974" spans="1:18" ht="15.75" customHeight="1">
      <c r="A1974" s="26">
        <f ca="1">IFERROR(__xludf.DUMMYFUNCTION("""COMPUTED_VALUE"""),13478)</f>
        <v>13478</v>
      </c>
      <c r="B1974" s="86">
        <f ca="1">IFERROR(__xludf.DUMMYFUNCTION("""COMPUTED_VALUE"""),44680.0096527777)</f>
        <v>44680.009652777699</v>
      </c>
      <c r="C1974" s="1" t="str">
        <f ca="1">IFERROR(__xludf.DUMMYFUNCTION("""COMPUTED_VALUE"""),"completed")</f>
        <v>completed</v>
      </c>
      <c r="D1974" s="26">
        <f ca="1">IFERROR(__xludf.DUMMYFUNCTION("""COMPUTED_VALUE"""),22.5)</f>
        <v>22.5</v>
      </c>
      <c r="E1974" s="1"/>
      <c r="F1974" s="87" t="str">
        <f t="shared" ca="1" si="0"/>
        <v>2022</v>
      </c>
      <c r="H1974" s="26" t="str">
        <f t="shared" si="1"/>
        <v/>
      </c>
      <c r="I1974" s="26" t="str">
        <f t="shared" si="2"/>
        <v/>
      </c>
      <c r="J1974" s="86">
        <f t="shared" ca="1" si="3"/>
        <v>44680</v>
      </c>
      <c r="R1974" s="26"/>
    </row>
    <row r="1975" spans="1:18" ht="15.75" customHeight="1">
      <c r="A1975" s="26">
        <f ca="1">IFERROR(__xludf.DUMMYFUNCTION("""COMPUTED_VALUE"""),13477)</f>
        <v>13477</v>
      </c>
      <c r="B1975" s="86">
        <f ca="1">IFERROR(__xludf.DUMMYFUNCTION("""COMPUTED_VALUE"""),44679.877511574)</f>
        <v>44679.877511573999</v>
      </c>
      <c r="C1975" s="1" t="str">
        <f ca="1">IFERROR(__xludf.DUMMYFUNCTION("""COMPUTED_VALUE"""),"completed")</f>
        <v>completed</v>
      </c>
      <c r="D1975" s="26">
        <f ca="1">IFERROR(__xludf.DUMMYFUNCTION("""COMPUTED_VALUE"""),0.75)</f>
        <v>0.75</v>
      </c>
      <c r="E1975" s="1"/>
      <c r="F1975" s="87" t="str">
        <f t="shared" ca="1" si="0"/>
        <v>2022</v>
      </c>
      <c r="H1975" s="26" t="str">
        <f t="shared" si="1"/>
        <v/>
      </c>
      <c r="I1975" s="26" t="str">
        <f t="shared" si="2"/>
        <v/>
      </c>
      <c r="J1975" s="86">
        <f t="shared" ca="1" si="3"/>
        <v>44679</v>
      </c>
      <c r="R1975" s="26"/>
    </row>
    <row r="1976" spans="1:18" ht="15.75" customHeight="1">
      <c r="A1976" s="26">
        <f ca="1">IFERROR(__xludf.DUMMYFUNCTION("""COMPUTED_VALUE"""),13474)</f>
        <v>13474</v>
      </c>
      <c r="B1976" s="86">
        <f ca="1">IFERROR(__xludf.DUMMYFUNCTION("""COMPUTED_VALUE"""),44679.7216782407)</f>
        <v>44679.721678240698</v>
      </c>
      <c r="C1976" s="1" t="str">
        <f ca="1">IFERROR(__xludf.DUMMYFUNCTION("""COMPUTED_VALUE"""),"failed")</f>
        <v>failed</v>
      </c>
      <c r="D1976" s="26">
        <f ca="1">IFERROR(__xludf.DUMMYFUNCTION("""COMPUTED_VALUE"""),22.5)</f>
        <v>22.5</v>
      </c>
      <c r="E1976" s="1"/>
      <c r="F1976" s="87" t="str">
        <f t="shared" ca="1" si="0"/>
        <v>2022</v>
      </c>
      <c r="H1976" s="26" t="str">
        <f t="shared" si="1"/>
        <v/>
      </c>
      <c r="I1976" s="26" t="str">
        <f t="shared" si="2"/>
        <v/>
      </c>
      <c r="J1976" s="86">
        <f t="shared" ca="1" si="3"/>
        <v>44679</v>
      </c>
      <c r="R1976" s="26"/>
    </row>
    <row r="1977" spans="1:18" ht="15.75" customHeight="1">
      <c r="A1977" s="26">
        <f ca="1">IFERROR(__xludf.DUMMYFUNCTION("""COMPUTED_VALUE"""),2083)</f>
        <v>2083</v>
      </c>
      <c r="B1977" s="86">
        <f ca="1">IFERROR(__xludf.DUMMYFUNCTION("""COMPUTED_VALUE"""),43405.5130324074)</f>
        <v>43405.513032407398</v>
      </c>
      <c r="C1977" s="1" t="str">
        <f ca="1">IFERROR(__xludf.DUMMYFUNCTION("""COMPUTED_VALUE"""),"completed")</f>
        <v>completed</v>
      </c>
      <c r="D1977" s="26">
        <f ca="1">IFERROR(__xludf.DUMMYFUNCTION("""COMPUTED_VALUE"""),28)</f>
        <v>28</v>
      </c>
      <c r="E1977" s="1"/>
      <c r="F1977" s="87" t="str">
        <f t="shared" ca="1" si="0"/>
        <v>2018</v>
      </c>
      <c r="H1977" s="26" t="str">
        <f t="shared" si="1"/>
        <v/>
      </c>
      <c r="I1977" s="26" t="str">
        <f t="shared" si="2"/>
        <v/>
      </c>
      <c r="J1977" s="86">
        <f t="shared" ca="1" si="3"/>
        <v>43405</v>
      </c>
      <c r="R1977" s="26"/>
    </row>
    <row r="1978" spans="1:18" ht="15.75" customHeight="1">
      <c r="A1978" s="26">
        <f ca="1">IFERROR(__xludf.DUMMYFUNCTION("""COMPUTED_VALUE"""),20617)</f>
        <v>20617</v>
      </c>
      <c r="B1978" s="86">
        <f ca="1">IFERROR(__xludf.DUMMYFUNCTION("""COMPUTED_VALUE"""),45203.0856597222)</f>
        <v>45203.085659722201</v>
      </c>
      <c r="C1978" s="1" t="str">
        <f ca="1">IFERROR(__xludf.DUMMYFUNCTION("""COMPUTED_VALUE"""),"completed")</f>
        <v>completed</v>
      </c>
      <c r="D1978" s="26">
        <f ca="1">IFERROR(__xludf.DUMMYFUNCTION("""COMPUTED_VALUE"""),25)</f>
        <v>25</v>
      </c>
      <c r="E1978" s="1" t="str">
        <f ca="1">IFERROR(__xludf.DUMMYFUNCTION("""COMPUTED_VALUE"""),"WMFA")</f>
        <v>WMFA</v>
      </c>
      <c r="F1978" s="87" t="str">
        <f t="shared" ca="1" si="0"/>
        <v>2023</v>
      </c>
      <c r="H1978" s="26" t="str">
        <f t="shared" si="1"/>
        <v/>
      </c>
      <c r="I1978" s="26" t="str">
        <f t="shared" si="2"/>
        <v/>
      </c>
      <c r="J1978" s="86">
        <f t="shared" ca="1" si="3"/>
        <v>45203</v>
      </c>
      <c r="R1978" s="26"/>
    </row>
    <row r="1979" spans="1:18" ht="15.75" customHeight="1">
      <c r="A1979" s="26">
        <f ca="1">IFERROR(__xludf.DUMMYFUNCTION("""COMPUTED_VALUE"""),20618)</f>
        <v>20618</v>
      </c>
      <c r="B1979" s="86">
        <f ca="1">IFERROR(__xludf.DUMMYFUNCTION("""COMPUTED_VALUE"""),45203.5742013888)</f>
        <v>45203.574201388801</v>
      </c>
      <c r="C1979" s="1" t="str">
        <f ca="1">IFERROR(__xludf.DUMMYFUNCTION("""COMPUTED_VALUE"""),"completed")</f>
        <v>completed</v>
      </c>
      <c r="D1979" s="26">
        <f ca="1">IFERROR(__xludf.DUMMYFUNCTION("""COMPUTED_VALUE"""),22)</f>
        <v>22</v>
      </c>
      <c r="E1979" s="1" t="str">
        <f ca="1">IFERROR(__xludf.DUMMYFUNCTION("""COMPUTED_VALUE"""),"WMFA")</f>
        <v>WMFA</v>
      </c>
      <c r="F1979" s="87" t="str">
        <f t="shared" ca="1" si="0"/>
        <v>2023</v>
      </c>
      <c r="H1979" s="26" t="str">
        <f t="shared" si="1"/>
        <v/>
      </c>
      <c r="I1979" s="26" t="str">
        <f t="shared" si="2"/>
        <v/>
      </c>
      <c r="J1979" s="86">
        <f t="shared" ca="1" si="3"/>
        <v>45203</v>
      </c>
      <c r="R1979" s="26"/>
    </row>
    <row r="1980" spans="1:18" ht="15.75" customHeight="1">
      <c r="A1980" s="26">
        <f ca="1">IFERROR(__xludf.DUMMYFUNCTION("""COMPUTED_VALUE"""),20619)</f>
        <v>20619</v>
      </c>
      <c r="B1980" s="86">
        <f ca="1">IFERROR(__xludf.DUMMYFUNCTION("""COMPUTED_VALUE"""),45203.9589004629)</f>
        <v>45203.958900462902</v>
      </c>
      <c r="C1980" s="1" t="str">
        <f ca="1">IFERROR(__xludf.DUMMYFUNCTION("""COMPUTED_VALUE"""),"completed")</f>
        <v>completed</v>
      </c>
      <c r="D1980" s="26">
        <f ca="1">IFERROR(__xludf.DUMMYFUNCTION("""COMPUTED_VALUE"""),51)</f>
        <v>51</v>
      </c>
      <c r="E1980" s="1" t="str">
        <f ca="1">IFERROR(__xludf.DUMMYFUNCTION("""COMPUTED_VALUE"""),"WMFA")</f>
        <v>WMFA</v>
      </c>
      <c r="F1980" s="87" t="str">
        <f t="shared" ca="1" si="0"/>
        <v>2023</v>
      </c>
      <c r="H1980" s="26" t="str">
        <f t="shared" si="1"/>
        <v/>
      </c>
      <c r="I1980" s="26" t="str">
        <f t="shared" si="2"/>
        <v/>
      </c>
      <c r="J1980" s="86">
        <f t="shared" ca="1" si="3"/>
        <v>45203</v>
      </c>
      <c r="R1980" s="26"/>
    </row>
    <row r="1981" spans="1:18" ht="15.75" customHeight="1">
      <c r="A1981" s="26">
        <f ca="1">IFERROR(__xludf.DUMMYFUNCTION("""COMPUTED_VALUE"""),20620)</f>
        <v>20620</v>
      </c>
      <c r="B1981" s="86">
        <f ca="1">IFERROR(__xludf.DUMMYFUNCTION("""COMPUTED_VALUE"""),45204.0300347222)</f>
        <v>45204.0300347222</v>
      </c>
      <c r="C1981" s="1" t="str">
        <f ca="1">IFERROR(__xludf.DUMMYFUNCTION("""COMPUTED_VALUE"""),"completed")</f>
        <v>completed</v>
      </c>
      <c r="D1981" s="26">
        <f ca="1">IFERROR(__xludf.DUMMYFUNCTION("""COMPUTED_VALUE"""),15)</f>
        <v>15</v>
      </c>
      <c r="E1981" s="1" t="str">
        <f ca="1">IFERROR(__xludf.DUMMYFUNCTION("""COMPUTED_VALUE"""),"WMFA")</f>
        <v>WMFA</v>
      </c>
      <c r="F1981" s="87" t="str">
        <f t="shared" ca="1" si="0"/>
        <v>2023</v>
      </c>
      <c r="H1981" s="26" t="str">
        <f t="shared" si="1"/>
        <v/>
      </c>
      <c r="I1981" s="26" t="str">
        <f t="shared" si="2"/>
        <v/>
      </c>
      <c r="J1981" s="86">
        <f t="shared" ca="1" si="3"/>
        <v>45204</v>
      </c>
      <c r="R1981" s="26"/>
    </row>
    <row r="1982" spans="1:18" ht="15.75" customHeight="1">
      <c r="A1982" s="26">
        <f ca="1">IFERROR(__xludf.DUMMYFUNCTION("""COMPUTED_VALUE"""),20621)</f>
        <v>20621</v>
      </c>
      <c r="B1982" s="86">
        <f ca="1">IFERROR(__xludf.DUMMYFUNCTION("""COMPUTED_VALUE"""),45204.0403009259)</f>
        <v>45204.040300925903</v>
      </c>
      <c r="C1982" s="1" t="str">
        <f ca="1">IFERROR(__xludf.DUMMYFUNCTION("""COMPUTED_VALUE"""),"completed")</f>
        <v>completed</v>
      </c>
      <c r="D1982" s="26">
        <f ca="1">IFERROR(__xludf.DUMMYFUNCTION("""COMPUTED_VALUE"""),18)</f>
        <v>18</v>
      </c>
      <c r="E1982" s="1" t="str">
        <f ca="1">IFERROR(__xludf.DUMMYFUNCTION("""COMPUTED_VALUE"""),"WMFA")</f>
        <v>WMFA</v>
      </c>
      <c r="F1982" s="87" t="str">
        <f t="shared" ca="1" si="0"/>
        <v>2023</v>
      </c>
      <c r="H1982" s="26" t="str">
        <f t="shared" si="1"/>
        <v/>
      </c>
      <c r="I1982" s="26" t="str">
        <f t="shared" si="2"/>
        <v/>
      </c>
      <c r="J1982" s="86">
        <f t="shared" ca="1" si="3"/>
        <v>45204</v>
      </c>
      <c r="R1982" s="26"/>
    </row>
    <row r="1983" spans="1:18" ht="15.75" customHeight="1">
      <c r="A1983" s="26">
        <f ca="1">IFERROR(__xludf.DUMMYFUNCTION("""COMPUTED_VALUE"""),20622)</f>
        <v>20622</v>
      </c>
      <c r="B1983" s="86">
        <f ca="1">IFERROR(__xludf.DUMMYFUNCTION("""COMPUTED_VALUE"""),45204.0528472222)</f>
        <v>45204.052847222199</v>
      </c>
      <c r="C1983" s="1" t="str">
        <f ca="1">IFERROR(__xludf.DUMMYFUNCTION("""COMPUTED_VALUE"""),"completed")</f>
        <v>completed</v>
      </c>
      <c r="D1983" s="26">
        <f ca="1">IFERROR(__xludf.DUMMYFUNCTION("""COMPUTED_VALUE"""),35)</f>
        <v>35</v>
      </c>
      <c r="E1983" s="1" t="str">
        <f ca="1">IFERROR(__xludf.DUMMYFUNCTION("""COMPUTED_VALUE"""),"WMFA")</f>
        <v>WMFA</v>
      </c>
      <c r="F1983" s="87" t="str">
        <f t="shared" ca="1" si="0"/>
        <v>2023</v>
      </c>
      <c r="H1983" s="26" t="str">
        <f t="shared" si="1"/>
        <v/>
      </c>
      <c r="I1983" s="26" t="str">
        <f t="shared" si="2"/>
        <v/>
      </c>
      <c r="J1983" s="86">
        <f t="shared" ca="1" si="3"/>
        <v>45204</v>
      </c>
      <c r="R1983" s="26"/>
    </row>
    <row r="1984" spans="1:18" ht="15.75" customHeight="1">
      <c r="A1984" s="26">
        <f ca="1">IFERROR(__xludf.DUMMYFUNCTION("""COMPUTED_VALUE"""),20623)</f>
        <v>20623</v>
      </c>
      <c r="B1984" s="86">
        <f ca="1">IFERROR(__xludf.DUMMYFUNCTION("""COMPUTED_VALUE"""),45204.0628472222)</f>
        <v>45204.062847222202</v>
      </c>
      <c r="C1984" s="1" t="str">
        <f ca="1">IFERROR(__xludf.DUMMYFUNCTION("""COMPUTED_VALUE"""),"completed")</f>
        <v>completed</v>
      </c>
      <c r="D1984" s="26">
        <f ca="1">IFERROR(__xludf.DUMMYFUNCTION("""COMPUTED_VALUE"""),37)</f>
        <v>37</v>
      </c>
      <c r="E1984" s="1" t="str">
        <f ca="1">IFERROR(__xludf.DUMMYFUNCTION("""COMPUTED_VALUE"""),"WMFA")</f>
        <v>WMFA</v>
      </c>
      <c r="F1984" s="87" t="str">
        <f t="shared" ca="1" si="0"/>
        <v>2023</v>
      </c>
      <c r="H1984" s="26" t="str">
        <f t="shared" si="1"/>
        <v/>
      </c>
      <c r="I1984" s="26" t="str">
        <f t="shared" si="2"/>
        <v/>
      </c>
      <c r="J1984" s="86">
        <f t="shared" ca="1" si="3"/>
        <v>45204</v>
      </c>
      <c r="R1984" s="26"/>
    </row>
    <row r="1985" spans="1:18" ht="15.75" customHeight="1">
      <c r="A1985" s="26">
        <f ca="1">IFERROR(__xludf.DUMMYFUNCTION("""COMPUTED_VALUE"""),20624)</f>
        <v>20624</v>
      </c>
      <c r="B1985" s="86">
        <f ca="1">IFERROR(__xludf.DUMMYFUNCTION("""COMPUTED_VALUE"""),45204.4400925925)</f>
        <v>45204.4400925925</v>
      </c>
      <c r="C1985" s="1" t="str">
        <f ca="1">IFERROR(__xludf.DUMMYFUNCTION("""COMPUTED_VALUE"""),"completed")</f>
        <v>completed</v>
      </c>
      <c r="D1985" s="26">
        <f ca="1">IFERROR(__xludf.DUMMYFUNCTION("""COMPUTED_VALUE"""),48)</f>
        <v>48</v>
      </c>
      <c r="E1985" s="1" t="str">
        <f ca="1">IFERROR(__xludf.DUMMYFUNCTION("""COMPUTED_VALUE"""),"WMFA")</f>
        <v>WMFA</v>
      </c>
      <c r="F1985" s="87" t="str">
        <f t="shared" ca="1" si="0"/>
        <v>2023</v>
      </c>
      <c r="H1985" s="26" t="str">
        <f t="shared" si="1"/>
        <v/>
      </c>
      <c r="I1985" s="26" t="str">
        <f t="shared" si="2"/>
        <v/>
      </c>
      <c r="J1985" s="86">
        <f t="shared" ca="1" si="3"/>
        <v>45204</v>
      </c>
      <c r="R1985" s="26"/>
    </row>
    <row r="1986" spans="1:18" ht="15.75" customHeight="1">
      <c r="A1986" s="26">
        <f ca="1">IFERROR(__xludf.DUMMYFUNCTION("""COMPUTED_VALUE"""),20625)</f>
        <v>20625</v>
      </c>
      <c r="B1986" s="86">
        <f ca="1">IFERROR(__xludf.DUMMYFUNCTION("""COMPUTED_VALUE"""),45204.4893055555)</f>
        <v>45204.4893055555</v>
      </c>
      <c r="C1986" s="1" t="str">
        <f ca="1">IFERROR(__xludf.DUMMYFUNCTION("""COMPUTED_VALUE"""),"completed")</f>
        <v>completed</v>
      </c>
      <c r="D1986" s="26">
        <f ca="1">IFERROR(__xludf.DUMMYFUNCTION("""COMPUTED_VALUE"""),55)</f>
        <v>55</v>
      </c>
      <c r="E1986" s="1" t="str">
        <f ca="1">IFERROR(__xludf.DUMMYFUNCTION("""COMPUTED_VALUE"""),"WMFA")</f>
        <v>WMFA</v>
      </c>
      <c r="F1986" s="87" t="str">
        <f t="shared" ca="1" si="0"/>
        <v>2023</v>
      </c>
      <c r="H1986" s="26" t="str">
        <f t="shared" si="1"/>
        <v/>
      </c>
      <c r="I1986" s="26" t="str">
        <f t="shared" si="2"/>
        <v/>
      </c>
      <c r="J1986" s="86">
        <f t="shared" ca="1" si="3"/>
        <v>45204</v>
      </c>
      <c r="R1986" s="26"/>
    </row>
    <row r="1987" spans="1:18" ht="15.75" customHeight="1">
      <c r="A1987" s="26">
        <f ca="1">IFERROR(__xludf.DUMMYFUNCTION("""COMPUTED_VALUE"""),20626)</f>
        <v>20626</v>
      </c>
      <c r="B1987" s="86">
        <f ca="1">IFERROR(__xludf.DUMMYFUNCTION("""COMPUTED_VALUE"""),45204.9215393518)</f>
        <v>45204.921539351802</v>
      </c>
      <c r="C1987" s="1" t="str">
        <f ca="1">IFERROR(__xludf.DUMMYFUNCTION("""COMPUTED_VALUE"""),"completed")</f>
        <v>completed</v>
      </c>
      <c r="D1987" s="26">
        <f ca="1">IFERROR(__xludf.DUMMYFUNCTION("""COMPUTED_VALUE"""),35)</f>
        <v>35</v>
      </c>
      <c r="E1987" s="1" t="str">
        <f ca="1">IFERROR(__xludf.DUMMYFUNCTION("""COMPUTED_VALUE"""),"WMFA")</f>
        <v>WMFA</v>
      </c>
      <c r="F1987" s="87" t="str">
        <f t="shared" ca="1" si="0"/>
        <v>2023</v>
      </c>
      <c r="H1987" s="26" t="str">
        <f t="shared" si="1"/>
        <v/>
      </c>
      <c r="I1987" s="26" t="str">
        <f t="shared" si="2"/>
        <v/>
      </c>
      <c r="J1987" s="86">
        <f t="shared" ca="1" si="3"/>
        <v>45204</v>
      </c>
      <c r="R1987" s="26"/>
    </row>
    <row r="1988" spans="1:18" ht="15.75" customHeight="1">
      <c r="A1988" s="26">
        <f ca="1">IFERROR(__xludf.DUMMYFUNCTION("""COMPUTED_VALUE"""),20627)</f>
        <v>20627</v>
      </c>
      <c r="B1988" s="86">
        <f ca="1">IFERROR(__xludf.DUMMYFUNCTION("""COMPUTED_VALUE"""),45204.928136574)</f>
        <v>45204.928136574003</v>
      </c>
      <c r="C1988" s="1" t="str">
        <f ca="1">IFERROR(__xludf.DUMMYFUNCTION("""COMPUTED_VALUE"""),"completed")</f>
        <v>completed</v>
      </c>
      <c r="D1988" s="26">
        <f ca="1">IFERROR(__xludf.DUMMYFUNCTION("""COMPUTED_VALUE"""),0)</f>
        <v>0</v>
      </c>
      <c r="E1988" s="1" t="str">
        <f ca="1">IFERROR(__xludf.DUMMYFUNCTION("""COMPUTED_VALUE"""),"WMFA")</f>
        <v>WMFA</v>
      </c>
      <c r="F1988" s="87" t="str">
        <f t="shared" ca="1" si="0"/>
        <v>2023</v>
      </c>
      <c r="H1988" s="26" t="str">
        <f t="shared" si="1"/>
        <v/>
      </c>
      <c r="I1988" s="26" t="str">
        <f t="shared" si="2"/>
        <v/>
      </c>
      <c r="J1988" s="86">
        <f t="shared" ca="1" si="3"/>
        <v>45204</v>
      </c>
      <c r="R1988" s="26"/>
    </row>
    <row r="1989" spans="1:18" ht="15.75" customHeight="1">
      <c r="A1989" s="26">
        <f ca="1">IFERROR(__xludf.DUMMYFUNCTION("""COMPUTED_VALUE"""),20628)</f>
        <v>20628</v>
      </c>
      <c r="B1989" s="86">
        <f ca="1">IFERROR(__xludf.DUMMYFUNCTION("""COMPUTED_VALUE"""),45204.9390277777)</f>
        <v>45204.939027777698</v>
      </c>
      <c r="C1989" s="1" t="str">
        <f ca="1">IFERROR(__xludf.DUMMYFUNCTION("""COMPUTED_VALUE"""),"completed")</f>
        <v>completed</v>
      </c>
      <c r="D1989" s="26">
        <f ca="1">IFERROR(__xludf.DUMMYFUNCTION("""COMPUTED_VALUE"""),26)</f>
        <v>26</v>
      </c>
      <c r="E1989" s="1" t="str">
        <f ca="1">IFERROR(__xludf.DUMMYFUNCTION("""COMPUTED_VALUE"""),"South Point Stars")</f>
        <v>South Point Stars</v>
      </c>
      <c r="F1989" s="87" t="str">
        <f t="shared" ca="1" si="0"/>
        <v>2023</v>
      </c>
      <c r="H1989" s="26" t="str">
        <f t="shared" si="1"/>
        <v/>
      </c>
      <c r="I1989" s="26" t="str">
        <f t="shared" si="2"/>
        <v/>
      </c>
      <c r="J1989" s="86">
        <f t="shared" ca="1" si="3"/>
        <v>45204</v>
      </c>
      <c r="R1989" s="26"/>
    </row>
    <row r="1990" spans="1:18" ht="15.75" customHeight="1">
      <c r="A1990" s="26">
        <f ca="1">IFERROR(__xludf.DUMMYFUNCTION("""COMPUTED_VALUE"""),20629)</f>
        <v>20629</v>
      </c>
      <c r="B1990" s="86">
        <f ca="1">IFERROR(__xludf.DUMMYFUNCTION("""COMPUTED_VALUE"""),45205.1271759259)</f>
        <v>45205.127175925903</v>
      </c>
      <c r="C1990" s="1" t="str">
        <f ca="1">IFERROR(__xludf.DUMMYFUNCTION("""COMPUTED_VALUE"""),"pending")</f>
        <v>pending</v>
      </c>
      <c r="D1990" s="26">
        <f ca="1">IFERROR(__xludf.DUMMYFUNCTION("""COMPUTED_VALUE"""),345)</f>
        <v>345</v>
      </c>
      <c r="E1990" s="1"/>
      <c r="F1990" s="87" t="str">
        <f t="shared" ca="1" si="0"/>
        <v>2023</v>
      </c>
      <c r="H1990" s="26" t="str">
        <f t="shared" si="1"/>
        <v/>
      </c>
      <c r="I1990" s="26" t="str">
        <f t="shared" si="2"/>
        <v/>
      </c>
      <c r="J1990" s="86">
        <f t="shared" ca="1" si="3"/>
        <v>45205</v>
      </c>
      <c r="R1990" s="26"/>
    </row>
    <row r="1991" spans="1:18" ht="15.75" customHeight="1">
      <c r="A1991" s="26">
        <f ca="1">IFERROR(__xludf.DUMMYFUNCTION("""COMPUTED_VALUE"""),20630)</f>
        <v>20630</v>
      </c>
      <c r="B1991" s="86">
        <f ca="1">IFERROR(__xludf.DUMMYFUNCTION("""COMPUTED_VALUE"""),45205.805625)</f>
        <v>45205.805625000001</v>
      </c>
      <c r="C1991" s="1" t="str">
        <f ca="1">IFERROR(__xludf.DUMMYFUNCTION("""COMPUTED_VALUE"""),"completed")</f>
        <v>completed</v>
      </c>
      <c r="D1991" s="26">
        <f ca="1">IFERROR(__xludf.DUMMYFUNCTION("""COMPUTED_VALUE"""),50)</f>
        <v>50</v>
      </c>
      <c r="E1991" s="1" t="str">
        <f ca="1">IFERROR(__xludf.DUMMYFUNCTION("""COMPUTED_VALUE"""),"WMFA")</f>
        <v>WMFA</v>
      </c>
      <c r="F1991" s="87" t="str">
        <f t="shared" ca="1" si="0"/>
        <v>2023</v>
      </c>
      <c r="H1991" s="26" t="str">
        <f t="shared" si="1"/>
        <v/>
      </c>
      <c r="I1991" s="26" t="str">
        <f t="shared" si="2"/>
        <v/>
      </c>
      <c r="J1991" s="86">
        <f t="shared" ca="1" si="3"/>
        <v>45205</v>
      </c>
      <c r="R1991" s="26"/>
    </row>
    <row r="1992" spans="1:18" ht="15.75" customHeight="1">
      <c r="A1992" s="26">
        <f ca="1">IFERROR(__xludf.DUMMYFUNCTION("""COMPUTED_VALUE"""),20693)</f>
        <v>20693</v>
      </c>
      <c r="B1992" s="86">
        <f ca="1">IFERROR(__xludf.DUMMYFUNCTION("""COMPUTED_VALUE"""),45206.847511574)</f>
        <v>45206.847511574</v>
      </c>
      <c r="C1992" s="1" t="str">
        <f ca="1">IFERROR(__xludf.DUMMYFUNCTION("""COMPUTED_VALUE"""),"completed")</f>
        <v>completed</v>
      </c>
      <c r="D1992" s="26">
        <f ca="1">IFERROR(__xludf.DUMMYFUNCTION("""COMPUTED_VALUE"""),51)</f>
        <v>51</v>
      </c>
      <c r="E1992" s="1" t="str">
        <f ca="1">IFERROR(__xludf.DUMMYFUNCTION("""COMPUTED_VALUE"""),"Windsor AAA Zone Hockey")</f>
        <v>Windsor AAA Zone Hockey</v>
      </c>
      <c r="F1992" s="87" t="str">
        <f t="shared" ca="1" si="0"/>
        <v>2023</v>
      </c>
      <c r="H1992" s="26" t="str">
        <f t="shared" si="1"/>
        <v/>
      </c>
      <c r="I1992" s="26" t="str">
        <f t="shared" si="2"/>
        <v/>
      </c>
      <c r="J1992" s="86">
        <f t="shared" ca="1" si="3"/>
        <v>45206</v>
      </c>
      <c r="R1992" s="26"/>
    </row>
    <row r="1993" spans="1:18" ht="15.75" customHeight="1">
      <c r="A1993" s="26">
        <f ca="1">IFERROR(__xludf.DUMMYFUNCTION("""COMPUTED_VALUE"""),20695)</f>
        <v>20695</v>
      </c>
      <c r="B1993" s="86">
        <f ca="1">IFERROR(__xludf.DUMMYFUNCTION("""COMPUTED_VALUE"""),45207.0596759259)</f>
        <v>45207.059675925899</v>
      </c>
      <c r="C1993" s="1" t="str">
        <f ca="1">IFERROR(__xludf.DUMMYFUNCTION("""COMPUTED_VALUE"""),"completed")</f>
        <v>completed</v>
      </c>
      <c r="D1993" s="26">
        <f ca="1">IFERROR(__xludf.DUMMYFUNCTION("""COMPUTED_VALUE"""),15)</f>
        <v>15</v>
      </c>
      <c r="E1993" s="1" t="str">
        <f ca="1">IFERROR(__xludf.DUMMYFUNCTION("""COMPUTED_VALUE"""),"WMFA")</f>
        <v>WMFA</v>
      </c>
      <c r="F1993" s="87" t="str">
        <f t="shared" ca="1" si="0"/>
        <v>2023</v>
      </c>
      <c r="H1993" s="26" t="str">
        <f t="shared" si="1"/>
        <v/>
      </c>
      <c r="I1993" s="26" t="str">
        <f t="shared" si="2"/>
        <v/>
      </c>
      <c r="J1993" s="86">
        <f t="shared" ca="1" si="3"/>
        <v>45207</v>
      </c>
      <c r="R1993" s="26"/>
    </row>
    <row r="1994" spans="1:18" ht="15.75" customHeight="1">
      <c r="A1994" s="26">
        <f ca="1">IFERROR(__xludf.DUMMYFUNCTION("""COMPUTED_VALUE"""),20694)</f>
        <v>20694</v>
      </c>
      <c r="B1994" s="86">
        <f ca="1">IFERROR(__xludf.DUMMYFUNCTION("""COMPUTED_VALUE"""),45207.0574421296)</f>
        <v>45207.057442129597</v>
      </c>
      <c r="C1994" s="1" t="str">
        <f ca="1">IFERROR(__xludf.DUMMYFUNCTION("""COMPUTED_VALUE"""),"completed")</f>
        <v>completed</v>
      </c>
      <c r="D1994" s="26">
        <f ca="1">IFERROR(__xludf.DUMMYFUNCTION("""COMPUTED_VALUE"""),59)</f>
        <v>59</v>
      </c>
      <c r="E1994" s="1" t="str">
        <f ca="1">IFERROR(__xludf.DUMMYFUNCTION("""COMPUTED_VALUE"""),"WMFA")</f>
        <v>WMFA</v>
      </c>
      <c r="F1994" s="87" t="str">
        <f t="shared" ca="1" si="0"/>
        <v>2023</v>
      </c>
      <c r="H1994" s="26" t="str">
        <f t="shared" si="1"/>
        <v/>
      </c>
      <c r="I1994" s="26" t="str">
        <f t="shared" si="2"/>
        <v/>
      </c>
      <c r="J1994" s="86">
        <f t="shared" ca="1" si="3"/>
        <v>45207</v>
      </c>
      <c r="R1994" s="26"/>
    </row>
    <row r="1995" spans="1:18" ht="15.75" customHeight="1">
      <c r="A1995" s="26">
        <f ca="1">IFERROR(__xludf.DUMMYFUNCTION("""COMPUTED_VALUE"""),20712)</f>
        <v>20712</v>
      </c>
      <c r="B1995" s="86">
        <f ca="1">IFERROR(__xludf.DUMMYFUNCTION("""COMPUTED_VALUE"""),45207.6016435185)</f>
        <v>45207.601643518501</v>
      </c>
      <c r="C1995" s="1" t="str">
        <f ca="1">IFERROR(__xludf.DUMMYFUNCTION("""COMPUTED_VALUE"""),"completed")</f>
        <v>completed</v>
      </c>
      <c r="D1995" s="26">
        <f ca="1">IFERROR(__xludf.DUMMYFUNCTION("""COMPUTED_VALUE"""),55)</f>
        <v>55</v>
      </c>
      <c r="E1995" s="1" t="str">
        <f ca="1">IFERROR(__xludf.DUMMYFUNCTION("""COMPUTED_VALUE"""),"WMFA")</f>
        <v>WMFA</v>
      </c>
      <c r="F1995" s="87" t="str">
        <f t="shared" ca="1" si="0"/>
        <v>2023</v>
      </c>
      <c r="H1995" s="26" t="str">
        <f t="shared" si="1"/>
        <v/>
      </c>
      <c r="I1995" s="26" t="str">
        <f t="shared" si="2"/>
        <v/>
      </c>
      <c r="J1995" s="86">
        <f t="shared" ca="1" si="3"/>
        <v>45207</v>
      </c>
      <c r="R1995" s="26"/>
    </row>
    <row r="1996" spans="1:18" ht="15.75" customHeight="1">
      <c r="A1996" s="26">
        <f ca="1">IFERROR(__xludf.DUMMYFUNCTION("""COMPUTED_VALUE"""),20711)</f>
        <v>20711</v>
      </c>
      <c r="B1996" s="86">
        <f ca="1">IFERROR(__xludf.DUMMYFUNCTION("""COMPUTED_VALUE"""),45207.5990162037)</f>
        <v>45207.599016203698</v>
      </c>
      <c r="C1996" s="1" t="str">
        <f ca="1">IFERROR(__xludf.DUMMYFUNCTION("""COMPUTED_VALUE"""),"completed")</f>
        <v>completed</v>
      </c>
      <c r="D1996" s="26">
        <f ca="1">IFERROR(__xludf.DUMMYFUNCTION("""COMPUTED_VALUE"""),75)</f>
        <v>75</v>
      </c>
      <c r="E1996" s="1" t="str">
        <f ca="1">IFERROR(__xludf.DUMMYFUNCTION("""COMPUTED_VALUE"""),"WMFA")</f>
        <v>WMFA</v>
      </c>
      <c r="F1996" s="87" t="str">
        <f t="shared" ca="1" si="0"/>
        <v>2023</v>
      </c>
      <c r="H1996" s="26" t="str">
        <f t="shared" si="1"/>
        <v/>
      </c>
      <c r="I1996" s="26" t="str">
        <f t="shared" si="2"/>
        <v/>
      </c>
      <c r="J1996" s="86">
        <f t="shared" ca="1" si="3"/>
        <v>45207</v>
      </c>
      <c r="R1996" s="26"/>
    </row>
    <row r="1997" spans="1:18" ht="15.75" customHeight="1">
      <c r="A1997" s="26">
        <f ca="1">IFERROR(__xludf.DUMMYFUNCTION("""COMPUTED_VALUE"""),20713)</f>
        <v>20713</v>
      </c>
      <c r="B1997" s="86">
        <f ca="1">IFERROR(__xludf.DUMMYFUNCTION("""COMPUTED_VALUE"""),45207.7891087963)</f>
        <v>45207.7891087963</v>
      </c>
      <c r="C1997" s="1" t="str">
        <f ca="1">IFERROR(__xludf.DUMMYFUNCTION("""COMPUTED_VALUE"""),"completed")</f>
        <v>completed</v>
      </c>
      <c r="D1997" s="26">
        <f ca="1">IFERROR(__xludf.DUMMYFUNCTION("""COMPUTED_VALUE"""),25)</f>
        <v>25</v>
      </c>
      <c r="E1997" s="1" t="str">
        <f ca="1">IFERROR(__xludf.DUMMYFUNCTION("""COMPUTED_VALUE"""),"WMFA")</f>
        <v>WMFA</v>
      </c>
      <c r="F1997" s="87" t="str">
        <f t="shared" ca="1" si="0"/>
        <v>2023</v>
      </c>
      <c r="H1997" s="26" t="str">
        <f t="shared" si="1"/>
        <v/>
      </c>
      <c r="I1997" s="26" t="str">
        <f t="shared" si="2"/>
        <v/>
      </c>
      <c r="J1997" s="86">
        <f t="shared" ca="1" si="3"/>
        <v>45207</v>
      </c>
      <c r="R1997" s="26"/>
    </row>
    <row r="1998" spans="1:18" ht="15.75" customHeight="1">
      <c r="A1998" s="26">
        <f ca="1">IFERROR(__xludf.DUMMYFUNCTION("""COMPUTED_VALUE"""),20714)</f>
        <v>20714</v>
      </c>
      <c r="B1998" s="86">
        <f ca="1">IFERROR(__xludf.DUMMYFUNCTION("""COMPUTED_VALUE"""),45207.8570833333)</f>
        <v>45207.8570833333</v>
      </c>
      <c r="C1998" s="1" t="str">
        <f ca="1">IFERROR(__xludf.DUMMYFUNCTION("""COMPUTED_VALUE"""),"completed")</f>
        <v>completed</v>
      </c>
      <c r="D1998" s="26">
        <f ca="1">IFERROR(__xludf.DUMMYFUNCTION("""COMPUTED_VALUE"""),259)</f>
        <v>259</v>
      </c>
      <c r="E1998" s="1" t="str">
        <f ca="1">IFERROR(__xludf.DUMMYFUNCTION("""COMPUTED_VALUE"""),"Windsor AAA Zone Hockey")</f>
        <v>Windsor AAA Zone Hockey</v>
      </c>
      <c r="F1998" s="87" t="str">
        <f t="shared" ca="1" si="0"/>
        <v>2023</v>
      </c>
      <c r="H1998" s="26" t="str">
        <f t="shared" si="1"/>
        <v/>
      </c>
      <c r="I1998" s="26" t="str">
        <f t="shared" si="2"/>
        <v/>
      </c>
      <c r="J1998" s="86">
        <f t="shared" ca="1" si="3"/>
        <v>45207</v>
      </c>
      <c r="R1998" s="26"/>
    </row>
    <row r="1999" spans="1:18" ht="15.75" customHeight="1">
      <c r="A1999" s="26">
        <f ca="1">IFERROR(__xludf.DUMMYFUNCTION("""COMPUTED_VALUE"""),20716)</f>
        <v>20716</v>
      </c>
      <c r="B1999" s="86">
        <f ca="1">IFERROR(__xludf.DUMMYFUNCTION("""COMPUTED_VALUE"""),45207.9889930555)</f>
        <v>45207.9889930555</v>
      </c>
      <c r="C1999" s="1" t="str">
        <f ca="1">IFERROR(__xludf.DUMMYFUNCTION("""COMPUTED_VALUE"""),"completed")</f>
        <v>completed</v>
      </c>
      <c r="D1999" s="26">
        <f ca="1">IFERROR(__xludf.DUMMYFUNCTION("""COMPUTED_VALUE"""),35)</f>
        <v>35</v>
      </c>
      <c r="E1999" s="1" t="str">
        <f ca="1">IFERROR(__xludf.DUMMYFUNCTION("""COMPUTED_VALUE"""),"WMFA")</f>
        <v>WMFA</v>
      </c>
      <c r="F1999" s="87" t="str">
        <f t="shared" ca="1" si="0"/>
        <v>2023</v>
      </c>
      <c r="H1999" s="26" t="str">
        <f t="shared" si="1"/>
        <v/>
      </c>
      <c r="I1999" s="26" t="str">
        <f t="shared" si="2"/>
        <v/>
      </c>
      <c r="J1999" s="86">
        <f t="shared" ca="1" si="3"/>
        <v>45207</v>
      </c>
      <c r="R1999" s="26"/>
    </row>
    <row r="2000" spans="1:18" ht="15.75" customHeight="1">
      <c r="A2000" s="26">
        <f ca="1">IFERROR(__xludf.DUMMYFUNCTION("""COMPUTED_VALUE"""),20717)</f>
        <v>20717</v>
      </c>
      <c r="B2000" s="86">
        <f ca="1">IFERROR(__xludf.DUMMYFUNCTION("""COMPUTED_VALUE"""),45208.025335648)</f>
        <v>45208.025335648097</v>
      </c>
      <c r="C2000" s="1" t="str">
        <f ca="1">IFERROR(__xludf.DUMMYFUNCTION("""COMPUTED_VALUE"""),"completed")</f>
        <v>completed</v>
      </c>
      <c r="D2000" s="26">
        <f ca="1">IFERROR(__xludf.DUMMYFUNCTION("""COMPUTED_VALUE"""),22)</f>
        <v>22</v>
      </c>
      <c r="E2000" s="1" t="str">
        <f ca="1">IFERROR(__xludf.DUMMYFUNCTION("""COMPUTED_VALUE"""),"WMFA")</f>
        <v>WMFA</v>
      </c>
      <c r="F2000" s="87" t="str">
        <f t="shared" ca="1" si="0"/>
        <v>2023</v>
      </c>
      <c r="H2000" s="26" t="str">
        <f t="shared" si="1"/>
        <v/>
      </c>
      <c r="I2000" s="26" t="str">
        <f t="shared" si="2"/>
        <v/>
      </c>
      <c r="J2000" s="86">
        <f t="shared" ca="1" si="3"/>
        <v>45208</v>
      </c>
      <c r="R2000" s="26"/>
    </row>
    <row r="2001" spans="1:18" ht="15.75" customHeight="1">
      <c r="A2001" s="26">
        <f ca="1">IFERROR(__xludf.DUMMYFUNCTION("""COMPUTED_VALUE"""),20718)</f>
        <v>20718</v>
      </c>
      <c r="B2001" s="86">
        <f ca="1">IFERROR(__xludf.DUMMYFUNCTION("""COMPUTED_VALUE"""),45209.62375)</f>
        <v>45209.623749999999</v>
      </c>
      <c r="C2001" s="1" t="str">
        <f ca="1">IFERROR(__xludf.DUMMYFUNCTION("""COMPUTED_VALUE"""),"completed")</f>
        <v>completed</v>
      </c>
      <c r="D2001" s="26">
        <f ca="1">IFERROR(__xludf.DUMMYFUNCTION("""COMPUTED_VALUE"""),25)</f>
        <v>25</v>
      </c>
      <c r="E2001" s="1" t="str">
        <f ca="1">IFERROR(__xludf.DUMMYFUNCTION("""COMPUTED_VALUE"""),"WMFA")</f>
        <v>WMFA</v>
      </c>
      <c r="F2001" s="87" t="str">
        <f t="shared" ca="1" si="0"/>
        <v>2023</v>
      </c>
      <c r="H2001" s="26" t="str">
        <f t="shared" si="1"/>
        <v/>
      </c>
      <c r="I2001" s="26" t="str">
        <f t="shared" si="2"/>
        <v/>
      </c>
      <c r="J2001" s="86">
        <f t="shared" ca="1" si="3"/>
        <v>45209</v>
      </c>
      <c r="R2001" s="26"/>
    </row>
    <row r="2002" spans="1:18" ht="15.75" customHeight="1">
      <c r="A2002" s="26">
        <f ca="1">IFERROR(__xludf.DUMMYFUNCTION("""COMPUTED_VALUE"""),20719)</f>
        <v>20719</v>
      </c>
      <c r="B2002" s="86">
        <f ca="1">IFERROR(__xludf.DUMMYFUNCTION("""COMPUTED_VALUE"""),45210.7509027777)</f>
        <v>45210.750902777698</v>
      </c>
      <c r="C2002" s="1" t="str">
        <f ca="1">IFERROR(__xludf.DUMMYFUNCTION("""COMPUTED_VALUE"""),"completed")</f>
        <v>completed</v>
      </c>
      <c r="D2002" s="26">
        <f ca="1">IFERROR(__xludf.DUMMYFUNCTION("""COMPUTED_VALUE"""),26)</f>
        <v>26</v>
      </c>
      <c r="E2002" s="1" t="str">
        <f ca="1">IFERROR(__xludf.DUMMYFUNCTION("""COMPUTED_VALUE"""),"WMFA")</f>
        <v>WMFA</v>
      </c>
      <c r="F2002" s="87" t="str">
        <f t="shared" ca="1" si="0"/>
        <v>2023</v>
      </c>
      <c r="H2002" s="26" t="str">
        <f t="shared" si="1"/>
        <v/>
      </c>
      <c r="I2002" s="26" t="str">
        <f t="shared" si="2"/>
        <v/>
      </c>
      <c r="J2002" s="86">
        <f t="shared" ca="1" si="3"/>
        <v>45210</v>
      </c>
      <c r="R2002" s="26"/>
    </row>
    <row r="2003" spans="1:18" ht="15.75" customHeight="1">
      <c r="A2003" s="26">
        <f ca="1">IFERROR(__xludf.DUMMYFUNCTION("""COMPUTED_VALUE"""),20720)</f>
        <v>20720</v>
      </c>
      <c r="B2003" s="86">
        <f ca="1">IFERROR(__xludf.DUMMYFUNCTION("""COMPUTED_VALUE"""),45211.6499074074)</f>
        <v>45211.649907407402</v>
      </c>
      <c r="C2003" s="1" t="str">
        <f ca="1">IFERROR(__xludf.DUMMYFUNCTION("""COMPUTED_VALUE"""),"completed")</f>
        <v>completed</v>
      </c>
      <c r="D2003" s="26">
        <f ca="1">IFERROR(__xludf.DUMMYFUNCTION("""COMPUTED_VALUE"""),0)</f>
        <v>0</v>
      </c>
      <c r="E2003" s="1" t="str">
        <f ca="1">IFERROR(__xludf.DUMMYFUNCTION("""COMPUTED_VALUE"""),"WMFA")</f>
        <v>WMFA</v>
      </c>
      <c r="F2003" s="87" t="str">
        <f t="shared" ca="1" si="0"/>
        <v>2023</v>
      </c>
      <c r="H2003" s="26" t="str">
        <f t="shared" si="1"/>
        <v/>
      </c>
      <c r="I2003" s="26" t="str">
        <f t="shared" si="2"/>
        <v/>
      </c>
      <c r="J2003" s="86">
        <f t="shared" ca="1" si="3"/>
        <v>45211</v>
      </c>
      <c r="R2003" s="26"/>
    </row>
    <row r="2004" spans="1:18" ht="15.75" customHeight="1">
      <c r="A2004" s="26">
        <f ca="1">IFERROR(__xludf.DUMMYFUNCTION("""COMPUTED_VALUE"""),20721)</f>
        <v>20721</v>
      </c>
      <c r="B2004" s="86">
        <f ca="1">IFERROR(__xludf.DUMMYFUNCTION("""COMPUTED_VALUE"""),45211.8971875)</f>
        <v>45211.897187499999</v>
      </c>
      <c r="C2004" s="1" t="str">
        <f ca="1">IFERROR(__xludf.DUMMYFUNCTION("""COMPUTED_VALUE"""),"completed")</f>
        <v>completed</v>
      </c>
      <c r="D2004" s="26">
        <f ca="1">IFERROR(__xludf.DUMMYFUNCTION("""COMPUTED_VALUE"""),26)</f>
        <v>26</v>
      </c>
      <c r="E2004" s="1" t="str">
        <f ca="1">IFERROR(__xludf.DUMMYFUNCTION("""COMPUTED_VALUE"""),"WMFA")</f>
        <v>WMFA</v>
      </c>
      <c r="F2004" s="87" t="str">
        <f t="shared" ca="1" si="0"/>
        <v>2023</v>
      </c>
      <c r="H2004" s="26" t="str">
        <f t="shared" si="1"/>
        <v/>
      </c>
      <c r="I2004" s="26" t="str">
        <f t="shared" si="2"/>
        <v/>
      </c>
      <c r="J2004" s="86">
        <f t="shared" ca="1" si="3"/>
        <v>45211</v>
      </c>
      <c r="R2004" s="26"/>
    </row>
    <row r="2005" spans="1:18" ht="15.75" customHeight="1">
      <c r="A2005" s="26">
        <f ca="1">IFERROR(__xludf.DUMMYFUNCTION("""COMPUTED_VALUE"""),20722)</f>
        <v>20722</v>
      </c>
      <c r="B2005" s="86">
        <f ca="1">IFERROR(__xludf.DUMMYFUNCTION("""COMPUTED_VALUE"""),45211.9291087963)</f>
        <v>45211.929108796299</v>
      </c>
      <c r="C2005" s="1" t="str">
        <f ca="1">IFERROR(__xludf.DUMMYFUNCTION("""COMPUTED_VALUE"""),"completed")</f>
        <v>completed</v>
      </c>
      <c r="D2005" s="26">
        <f ca="1">IFERROR(__xludf.DUMMYFUNCTION("""COMPUTED_VALUE"""),35)</f>
        <v>35</v>
      </c>
      <c r="E2005" s="1" t="str">
        <f ca="1">IFERROR(__xludf.DUMMYFUNCTION("""COMPUTED_VALUE"""),"WMFA")</f>
        <v>WMFA</v>
      </c>
      <c r="F2005" s="87" t="str">
        <f t="shared" ca="1" si="0"/>
        <v>2023</v>
      </c>
      <c r="H2005" s="26" t="str">
        <f t="shared" si="1"/>
        <v/>
      </c>
      <c r="I2005" s="26" t="str">
        <f t="shared" si="2"/>
        <v/>
      </c>
      <c r="J2005" s="86">
        <f t="shared" ca="1" si="3"/>
        <v>45211</v>
      </c>
      <c r="R2005" s="26"/>
    </row>
    <row r="2006" spans="1:18" ht="15.75" customHeight="1">
      <c r="A2006" s="26">
        <f ca="1">IFERROR(__xludf.DUMMYFUNCTION("""COMPUTED_VALUE"""),20723)</f>
        <v>20723</v>
      </c>
      <c r="B2006" s="86">
        <f ca="1">IFERROR(__xludf.DUMMYFUNCTION("""COMPUTED_VALUE"""),45212.6143518518)</f>
        <v>45212.6143518518</v>
      </c>
      <c r="C2006" s="1" t="str">
        <f ca="1">IFERROR(__xludf.DUMMYFUNCTION("""COMPUTED_VALUE"""),"completed")</f>
        <v>completed</v>
      </c>
      <c r="D2006" s="26">
        <f ca="1">IFERROR(__xludf.DUMMYFUNCTION("""COMPUTED_VALUE"""),63)</f>
        <v>63</v>
      </c>
      <c r="E2006" s="1" t="str">
        <f ca="1">IFERROR(__xludf.DUMMYFUNCTION("""COMPUTED_VALUE"""),"WMFA")</f>
        <v>WMFA</v>
      </c>
      <c r="F2006" s="87" t="str">
        <f t="shared" ca="1" si="0"/>
        <v>2023</v>
      </c>
      <c r="H2006" s="26" t="str">
        <f t="shared" si="1"/>
        <v/>
      </c>
      <c r="I2006" s="26" t="str">
        <f t="shared" si="2"/>
        <v/>
      </c>
      <c r="J2006" s="86">
        <f t="shared" ca="1" si="3"/>
        <v>45212</v>
      </c>
      <c r="R2006" s="26"/>
    </row>
    <row r="2007" spans="1:18" ht="15.75" customHeight="1">
      <c r="A2007" s="26">
        <f ca="1">IFERROR(__xludf.DUMMYFUNCTION("""COMPUTED_VALUE"""),20726)</f>
        <v>20726</v>
      </c>
      <c r="B2007" s="86">
        <f ca="1">IFERROR(__xludf.DUMMYFUNCTION("""COMPUTED_VALUE"""),45213.0233796296)</f>
        <v>45213.023379629602</v>
      </c>
      <c r="C2007" s="1" t="str">
        <f ca="1">IFERROR(__xludf.DUMMYFUNCTION("""COMPUTED_VALUE"""),"completed")</f>
        <v>completed</v>
      </c>
      <c r="D2007" s="26">
        <f ca="1">IFERROR(__xludf.DUMMYFUNCTION("""COMPUTED_VALUE"""),130)</f>
        <v>130</v>
      </c>
      <c r="E2007" s="1" t="str">
        <f ca="1">IFERROR(__xludf.DUMMYFUNCTION("""COMPUTED_VALUE"""),"WMFA")</f>
        <v>WMFA</v>
      </c>
      <c r="F2007" s="87" t="str">
        <f t="shared" ca="1" si="0"/>
        <v>2023</v>
      </c>
      <c r="H2007" s="26" t="str">
        <f t="shared" si="1"/>
        <v/>
      </c>
      <c r="I2007" s="26" t="str">
        <f t="shared" si="2"/>
        <v/>
      </c>
      <c r="J2007" s="86">
        <f t="shared" ca="1" si="3"/>
        <v>45213</v>
      </c>
      <c r="R2007" s="26"/>
    </row>
    <row r="2008" spans="1:18" ht="15.75" customHeight="1">
      <c r="A2008" s="26">
        <f ca="1">IFERROR(__xludf.DUMMYFUNCTION("""COMPUTED_VALUE"""),20725)</f>
        <v>20725</v>
      </c>
      <c r="B2008" s="86">
        <f ca="1">IFERROR(__xludf.DUMMYFUNCTION("""COMPUTED_VALUE"""),45213.0225925925)</f>
        <v>45213.022592592497</v>
      </c>
      <c r="C2008" s="1" t="str">
        <f ca="1">IFERROR(__xludf.DUMMYFUNCTION("""COMPUTED_VALUE"""),"completed")</f>
        <v>completed</v>
      </c>
      <c r="D2008" s="26">
        <f ca="1">IFERROR(__xludf.DUMMYFUNCTION("""COMPUTED_VALUE"""),18)</f>
        <v>18</v>
      </c>
      <c r="E2008" s="1" t="str">
        <f ca="1">IFERROR(__xludf.DUMMYFUNCTION("""COMPUTED_VALUE"""),"WMFA")</f>
        <v>WMFA</v>
      </c>
      <c r="F2008" s="87" t="str">
        <f t="shared" ca="1" si="0"/>
        <v>2023</v>
      </c>
      <c r="H2008" s="26" t="str">
        <f t="shared" si="1"/>
        <v/>
      </c>
      <c r="I2008" s="26" t="str">
        <f t="shared" si="2"/>
        <v/>
      </c>
      <c r="J2008" s="86">
        <f t="shared" ca="1" si="3"/>
        <v>45213</v>
      </c>
      <c r="R2008" s="26"/>
    </row>
    <row r="2009" spans="1:18" ht="15.75" customHeight="1">
      <c r="A2009" s="26">
        <f ca="1">IFERROR(__xludf.DUMMYFUNCTION("""COMPUTED_VALUE"""),20724)</f>
        <v>20724</v>
      </c>
      <c r="B2009" s="86">
        <f ca="1">IFERROR(__xludf.DUMMYFUNCTION("""COMPUTED_VALUE"""),45213.0205439814)</f>
        <v>45213.020543981402</v>
      </c>
      <c r="C2009" s="1" t="str">
        <f ca="1">IFERROR(__xludf.DUMMYFUNCTION("""COMPUTED_VALUE"""),"completed")</f>
        <v>completed</v>
      </c>
      <c r="D2009" s="26">
        <f ca="1">IFERROR(__xludf.DUMMYFUNCTION("""COMPUTED_VALUE"""),18)</f>
        <v>18</v>
      </c>
      <c r="E2009" s="1" t="str">
        <f ca="1">IFERROR(__xludf.DUMMYFUNCTION("""COMPUTED_VALUE"""),"WMFA")</f>
        <v>WMFA</v>
      </c>
      <c r="F2009" s="87" t="str">
        <f t="shared" ca="1" si="0"/>
        <v>2023</v>
      </c>
      <c r="H2009" s="26" t="str">
        <f t="shared" si="1"/>
        <v/>
      </c>
      <c r="I2009" s="26" t="str">
        <f t="shared" si="2"/>
        <v/>
      </c>
      <c r="J2009" s="86">
        <f t="shared" ca="1" si="3"/>
        <v>45213</v>
      </c>
      <c r="R2009" s="26"/>
    </row>
    <row r="2010" spans="1:18" ht="15.75" customHeight="1">
      <c r="A2010" s="26">
        <f ca="1">IFERROR(__xludf.DUMMYFUNCTION("""COMPUTED_VALUE"""),20747)</f>
        <v>20747</v>
      </c>
      <c r="B2010" s="86">
        <f ca="1">IFERROR(__xludf.DUMMYFUNCTION("""COMPUTED_VALUE"""),45213.1340277777)</f>
        <v>45213.134027777698</v>
      </c>
      <c r="C2010" s="1" t="str">
        <f ca="1">IFERROR(__xludf.DUMMYFUNCTION("""COMPUTED_VALUE"""),"completed")</f>
        <v>completed</v>
      </c>
      <c r="D2010" s="26">
        <f ca="1">IFERROR(__xludf.DUMMYFUNCTION("""COMPUTED_VALUE"""),37)</f>
        <v>37</v>
      </c>
      <c r="E2010" s="1" t="str">
        <f ca="1">IFERROR(__xludf.DUMMYFUNCTION("""COMPUTED_VALUE"""),"WMFA")</f>
        <v>WMFA</v>
      </c>
      <c r="F2010" s="87" t="str">
        <f t="shared" ca="1" si="0"/>
        <v>2023</v>
      </c>
      <c r="H2010" s="26" t="str">
        <f t="shared" si="1"/>
        <v/>
      </c>
      <c r="I2010" s="26" t="str">
        <f t="shared" si="2"/>
        <v/>
      </c>
      <c r="J2010" s="86">
        <f t="shared" ca="1" si="3"/>
        <v>45213</v>
      </c>
      <c r="R2010" s="26"/>
    </row>
    <row r="2011" spans="1:18" ht="15.75" customHeight="1">
      <c r="A2011" s="26">
        <f ca="1">IFERROR(__xludf.DUMMYFUNCTION("""COMPUTED_VALUE"""),20763)</f>
        <v>20763</v>
      </c>
      <c r="B2011" s="86">
        <f ca="1">IFERROR(__xludf.DUMMYFUNCTION("""COMPUTED_VALUE"""),45213.6160648148)</f>
        <v>45213.6160648148</v>
      </c>
      <c r="C2011" s="1" t="str">
        <f ca="1">IFERROR(__xludf.DUMMYFUNCTION("""COMPUTED_VALUE"""),"cancelled")</f>
        <v>cancelled</v>
      </c>
      <c r="D2011" s="26">
        <f ca="1">IFERROR(__xludf.DUMMYFUNCTION("""COMPUTED_VALUE"""),35)</f>
        <v>35</v>
      </c>
      <c r="E2011" s="1" t="str">
        <f ca="1">IFERROR(__xludf.DUMMYFUNCTION("""COMPUTED_VALUE"""),"Lakeshore Lightning Hockey")</f>
        <v>Lakeshore Lightning Hockey</v>
      </c>
      <c r="F2011" s="87" t="str">
        <f t="shared" ca="1" si="0"/>
        <v>2023</v>
      </c>
      <c r="H2011" s="26" t="str">
        <f t="shared" si="1"/>
        <v/>
      </c>
      <c r="I2011" s="26" t="str">
        <f t="shared" si="2"/>
        <v/>
      </c>
      <c r="J2011" s="86">
        <f t="shared" ca="1" si="3"/>
        <v>45213</v>
      </c>
      <c r="R2011" s="26"/>
    </row>
    <row r="2012" spans="1:18" ht="15.75" customHeight="1">
      <c r="A2012" s="26">
        <f ca="1">IFERROR(__xludf.DUMMYFUNCTION("""COMPUTED_VALUE"""),20769)</f>
        <v>20769</v>
      </c>
      <c r="B2012" s="86">
        <f ca="1">IFERROR(__xludf.DUMMYFUNCTION("""COMPUTED_VALUE"""),45213.6228819444)</f>
        <v>45213.6228819444</v>
      </c>
      <c r="C2012" s="1" t="str">
        <f ca="1">IFERROR(__xludf.DUMMYFUNCTION("""COMPUTED_VALUE"""),"completed")</f>
        <v>completed</v>
      </c>
      <c r="D2012" s="26">
        <f ca="1">IFERROR(__xludf.DUMMYFUNCTION("""COMPUTED_VALUE"""),25)</f>
        <v>25</v>
      </c>
      <c r="E2012" s="1" t="str">
        <f ca="1">IFERROR(__xludf.DUMMYFUNCTION("""COMPUTED_VALUE"""),"Lakeshore Lightning Hockey")</f>
        <v>Lakeshore Lightning Hockey</v>
      </c>
      <c r="F2012" s="87" t="str">
        <f t="shared" ca="1" si="0"/>
        <v>2023</v>
      </c>
      <c r="H2012" s="26" t="str">
        <f t="shared" si="1"/>
        <v/>
      </c>
      <c r="I2012" s="26" t="str">
        <f t="shared" si="2"/>
        <v/>
      </c>
      <c r="J2012" s="86">
        <f t="shared" ca="1" si="3"/>
        <v>45213</v>
      </c>
      <c r="R2012" s="26"/>
    </row>
    <row r="2013" spans="1:18" ht="15.75" customHeight="1">
      <c r="A2013" s="26">
        <f ca="1">IFERROR(__xludf.DUMMYFUNCTION("""COMPUTED_VALUE"""),20768)</f>
        <v>20768</v>
      </c>
      <c r="B2013" s="86">
        <f ca="1">IFERROR(__xludf.DUMMYFUNCTION("""COMPUTED_VALUE"""),45213.6227083333)</f>
        <v>45213.6227083333</v>
      </c>
      <c r="C2013" s="1" t="str">
        <f ca="1">IFERROR(__xludf.DUMMYFUNCTION("""COMPUTED_VALUE"""),"completed")</f>
        <v>completed</v>
      </c>
      <c r="D2013" s="26">
        <f ca="1">IFERROR(__xludf.DUMMYFUNCTION("""COMPUTED_VALUE"""),35)</f>
        <v>35</v>
      </c>
      <c r="E2013" s="1" t="str">
        <f ca="1">IFERROR(__xludf.DUMMYFUNCTION("""COMPUTED_VALUE"""),"Lakeshore Lightning Hockey")</f>
        <v>Lakeshore Lightning Hockey</v>
      </c>
      <c r="F2013" s="87" t="str">
        <f t="shared" ca="1" si="0"/>
        <v>2023</v>
      </c>
      <c r="H2013" s="26" t="str">
        <f t="shared" si="1"/>
        <v/>
      </c>
      <c r="I2013" s="26" t="str">
        <f t="shared" si="2"/>
        <v/>
      </c>
      <c r="J2013" s="86">
        <f t="shared" ca="1" si="3"/>
        <v>45213</v>
      </c>
      <c r="R2013" s="26"/>
    </row>
    <row r="2014" spans="1:18" ht="15.75" customHeight="1">
      <c r="A2014" s="26">
        <f ca="1">IFERROR(__xludf.DUMMYFUNCTION("""COMPUTED_VALUE"""),20767)</f>
        <v>20767</v>
      </c>
      <c r="B2014" s="86">
        <f ca="1">IFERROR(__xludf.DUMMYFUNCTION("""COMPUTED_VALUE"""),45213.6208333333)</f>
        <v>45213.620833333298</v>
      </c>
      <c r="C2014" s="1" t="str">
        <f ca="1">IFERROR(__xludf.DUMMYFUNCTION("""COMPUTED_VALUE"""),"completed")</f>
        <v>completed</v>
      </c>
      <c r="D2014" s="26">
        <f ca="1">IFERROR(__xludf.DUMMYFUNCTION("""COMPUTED_VALUE"""),25)</f>
        <v>25</v>
      </c>
      <c r="E2014" s="1" t="str">
        <f ca="1">IFERROR(__xludf.DUMMYFUNCTION("""COMPUTED_VALUE"""),"Lakeshore Lightning Hockey")</f>
        <v>Lakeshore Lightning Hockey</v>
      </c>
      <c r="F2014" s="87" t="str">
        <f t="shared" ca="1" si="0"/>
        <v>2023</v>
      </c>
      <c r="H2014" s="26" t="str">
        <f t="shared" si="1"/>
        <v/>
      </c>
      <c r="I2014" s="26" t="str">
        <f t="shared" si="2"/>
        <v/>
      </c>
      <c r="J2014" s="86">
        <f t="shared" ca="1" si="3"/>
        <v>45213</v>
      </c>
      <c r="R2014" s="26"/>
    </row>
    <row r="2015" spans="1:18" ht="15.75" customHeight="1">
      <c r="A2015" s="26">
        <f ca="1">IFERROR(__xludf.DUMMYFUNCTION("""COMPUTED_VALUE"""),20766)</f>
        <v>20766</v>
      </c>
      <c r="B2015" s="86">
        <f ca="1">IFERROR(__xludf.DUMMYFUNCTION("""COMPUTED_VALUE"""),45213.6207638888)</f>
        <v>45213.620763888801</v>
      </c>
      <c r="C2015" s="1" t="str">
        <f ca="1">IFERROR(__xludf.DUMMYFUNCTION("""COMPUTED_VALUE"""),"completed")</f>
        <v>completed</v>
      </c>
      <c r="D2015" s="26">
        <f ca="1">IFERROR(__xludf.DUMMYFUNCTION("""COMPUTED_VALUE"""),25)</f>
        <v>25</v>
      </c>
      <c r="E2015" s="1" t="str">
        <f ca="1">IFERROR(__xludf.DUMMYFUNCTION("""COMPUTED_VALUE"""),"Lakeshore Lightning Hockey")</f>
        <v>Lakeshore Lightning Hockey</v>
      </c>
      <c r="F2015" s="87" t="str">
        <f t="shared" ca="1" si="0"/>
        <v>2023</v>
      </c>
      <c r="H2015" s="26" t="str">
        <f t="shared" si="1"/>
        <v/>
      </c>
      <c r="I2015" s="26" t="str">
        <f t="shared" si="2"/>
        <v/>
      </c>
      <c r="J2015" s="86">
        <f t="shared" ca="1" si="3"/>
        <v>45213</v>
      </c>
      <c r="R2015" s="26"/>
    </row>
    <row r="2016" spans="1:18" ht="15.75" customHeight="1">
      <c r="A2016" s="26">
        <f ca="1">IFERROR(__xludf.DUMMYFUNCTION("""COMPUTED_VALUE"""),20765)</f>
        <v>20765</v>
      </c>
      <c r="B2016" s="86">
        <f ca="1">IFERROR(__xludf.DUMMYFUNCTION("""COMPUTED_VALUE"""),45213.6191087962)</f>
        <v>45213.6191087962</v>
      </c>
      <c r="C2016" s="1" t="str">
        <f ca="1">IFERROR(__xludf.DUMMYFUNCTION("""COMPUTED_VALUE"""),"completed")</f>
        <v>completed</v>
      </c>
      <c r="D2016" s="26">
        <f ca="1">IFERROR(__xludf.DUMMYFUNCTION("""COMPUTED_VALUE"""),25)</f>
        <v>25</v>
      </c>
      <c r="E2016" s="1" t="str">
        <f ca="1">IFERROR(__xludf.DUMMYFUNCTION("""COMPUTED_VALUE"""),"Lakeshore Lightning Hockey")</f>
        <v>Lakeshore Lightning Hockey</v>
      </c>
      <c r="F2016" s="87" t="str">
        <f t="shared" ca="1" si="0"/>
        <v>2023</v>
      </c>
      <c r="H2016" s="26" t="str">
        <f t="shared" si="1"/>
        <v/>
      </c>
      <c r="I2016" s="26" t="str">
        <f t="shared" si="2"/>
        <v/>
      </c>
      <c r="J2016" s="86">
        <f t="shared" ca="1" si="3"/>
        <v>45213</v>
      </c>
      <c r="R2016" s="26"/>
    </row>
    <row r="2017" spans="1:18" ht="15.75" customHeight="1">
      <c r="A2017" s="26">
        <f ca="1">IFERROR(__xludf.DUMMYFUNCTION("""COMPUTED_VALUE"""),20764)</f>
        <v>20764</v>
      </c>
      <c r="B2017" s="86">
        <f ca="1">IFERROR(__xludf.DUMMYFUNCTION("""COMPUTED_VALUE"""),45213.6174768518)</f>
        <v>45213.617476851803</v>
      </c>
      <c r="C2017" s="1" t="str">
        <f ca="1">IFERROR(__xludf.DUMMYFUNCTION("""COMPUTED_VALUE"""),"completed")</f>
        <v>completed</v>
      </c>
      <c r="D2017" s="26">
        <f ca="1">IFERROR(__xludf.DUMMYFUNCTION("""COMPUTED_VALUE"""),25)</f>
        <v>25</v>
      </c>
      <c r="E2017" s="1" t="str">
        <f ca="1">IFERROR(__xludf.DUMMYFUNCTION("""COMPUTED_VALUE"""),"Lakeshore Lightning Hockey")</f>
        <v>Lakeshore Lightning Hockey</v>
      </c>
      <c r="F2017" s="87" t="str">
        <f t="shared" ca="1" si="0"/>
        <v>2023</v>
      </c>
      <c r="H2017" s="26" t="str">
        <f t="shared" si="1"/>
        <v/>
      </c>
      <c r="I2017" s="26" t="str">
        <f t="shared" si="2"/>
        <v/>
      </c>
      <c r="J2017" s="86">
        <f t="shared" ca="1" si="3"/>
        <v>45213</v>
      </c>
      <c r="R2017" s="26"/>
    </row>
    <row r="2018" spans="1:18" ht="15.75" customHeight="1">
      <c r="A2018" s="26">
        <f ca="1">IFERROR(__xludf.DUMMYFUNCTION("""COMPUTED_VALUE"""),20772)</f>
        <v>20772</v>
      </c>
      <c r="B2018" s="86">
        <f ca="1">IFERROR(__xludf.DUMMYFUNCTION("""COMPUTED_VALUE"""),45213.6310879629)</f>
        <v>45213.631087962902</v>
      </c>
      <c r="C2018" s="1" t="str">
        <f ca="1">IFERROR(__xludf.DUMMYFUNCTION("""COMPUTED_VALUE"""),"completed")</f>
        <v>completed</v>
      </c>
      <c r="D2018" s="26">
        <f ca="1">IFERROR(__xludf.DUMMYFUNCTION("""COMPUTED_VALUE"""),51)</f>
        <v>51</v>
      </c>
      <c r="E2018" s="1" t="str">
        <f ca="1">IFERROR(__xludf.DUMMYFUNCTION("""COMPUTED_VALUE"""),"Lakeshore Lightning Hockey")</f>
        <v>Lakeshore Lightning Hockey</v>
      </c>
      <c r="F2018" s="87" t="str">
        <f t="shared" ca="1" si="0"/>
        <v>2023</v>
      </c>
      <c r="H2018" s="26" t="str">
        <f t="shared" si="1"/>
        <v/>
      </c>
      <c r="I2018" s="26" t="str">
        <f t="shared" si="2"/>
        <v/>
      </c>
      <c r="J2018" s="86">
        <f t="shared" ca="1" si="3"/>
        <v>45213</v>
      </c>
      <c r="R2018" s="26"/>
    </row>
    <row r="2019" spans="1:18" ht="15.75" customHeight="1">
      <c r="A2019" s="26">
        <f ca="1">IFERROR(__xludf.DUMMYFUNCTION("""COMPUTED_VALUE"""),20771)</f>
        <v>20771</v>
      </c>
      <c r="B2019" s="86">
        <f ca="1">IFERROR(__xludf.DUMMYFUNCTION("""COMPUTED_VALUE"""),45213.6298263888)</f>
        <v>45213.629826388802</v>
      </c>
      <c r="C2019" s="1" t="str">
        <f ca="1">IFERROR(__xludf.DUMMYFUNCTION("""COMPUTED_VALUE"""),"completed")</f>
        <v>completed</v>
      </c>
      <c r="D2019" s="26">
        <f ca="1">IFERROR(__xludf.DUMMYFUNCTION("""COMPUTED_VALUE"""),25)</f>
        <v>25</v>
      </c>
      <c r="E2019" s="1" t="str">
        <f ca="1">IFERROR(__xludf.DUMMYFUNCTION("""COMPUTED_VALUE"""),"Lakeshore Lightning Hockey")</f>
        <v>Lakeshore Lightning Hockey</v>
      </c>
      <c r="F2019" s="87" t="str">
        <f t="shared" ca="1" si="0"/>
        <v>2023</v>
      </c>
      <c r="H2019" s="26" t="str">
        <f t="shared" si="1"/>
        <v/>
      </c>
      <c r="I2019" s="26" t="str">
        <f t="shared" si="2"/>
        <v/>
      </c>
      <c r="J2019" s="86">
        <f t="shared" ca="1" si="3"/>
        <v>45213</v>
      </c>
      <c r="R2019" s="26"/>
    </row>
    <row r="2020" spans="1:18" ht="15.75" customHeight="1">
      <c r="A2020" s="26">
        <f ca="1">IFERROR(__xludf.DUMMYFUNCTION("""COMPUTED_VALUE"""),20770)</f>
        <v>20770</v>
      </c>
      <c r="B2020" s="86">
        <f ca="1">IFERROR(__xludf.DUMMYFUNCTION("""COMPUTED_VALUE"""),45213.6244328703)</f>
        <v>45213.624432870303</v>
      </c>
      <c r="C2020" s="1" t="str">
        <f ca="1">IFERROR(__xludf.DUMMYFUNCTION("""COMPUTED_VALUE"""),"cancelled")</f>
        <v>cancelled</v>
      </c>
      <c r="D2020" s="26">
        <f ca="1">IFERROR(__xludf.DUMMYFUNCTION("""COMPUTED_VALUE"""),51)</f>
        <v>51</v>
      </c>
      <c r="E2020" s="1" t="str">
        <f ca="1">IFERROR(__xludf.DUMMYFUNCTION("""COMPUTED_VALUE"""),"Lakeshore Lightning Hockey")</f>
        <v>Lakeshore Lightning Hockey</v>
      </c>
      <c r="F2020" s="87" t="str">
        <f t="shared" ca="1" si="0"/>
        <v>2023</v>
      </c>
      <c r="H2020" s="26" t="str">
        <f t="shared" si="1"/>
        <v/>
      </c>
      <c r="I2020" s="26" t="str">
        <f t="shared" si="2"/>
        <v/>
      </c>
      <c r="J2020" s="86">
        <f t="shared" ca="1" si="3"/>
        <v>45213</v>
      </c>
      <c r="R2020" s="26"/>
    </row>
    <row r="2021" spans="1:18" ht="15.75" customHeight="1">
      <c r="A2021" s="26">
        <f ca="1">IFERROR(__xludf.DUMMYFUNCTION("""COMPUTED_VALUE"""),20773)</f>
        <v>20773</v>
      </c>
      <c r="B2021" s="86">
        <f ca="1">IFERROR(__xludf.DUMMYFUNCTION("""COMPUTED_VALUE"""),45213.6376851851)</f>
        <v>45213.637685185102</v>
      </c>
      <c r="C2021" s="1" t="str">
        <f ca="1">IFERROR(__xludf.DUMMYFUNCTION("""COMPUTED_VALUE"""),"completed")</f>
        <v>completed</v>
      </c>
      <c r="D2021" s="26">
        <f ca="1">IFERROR(__xludf.DUMMYFUNCTION("""COMPUTED_VALUE"""),25)</f>
        <v>25</v>
      </c>
      <c r="E2021" s="1" t="str">
        <f ca="1">IFERROR(__xludf.DUMMYFUNCTION("""COMPUTED_VALUE"""),"Lakeshore Lightning Hockey")</f>
        <v>Lakeshore Lightning Hockey</v>
      </c>
      <c r="F2021" s="87" t="str">
        <f t="shared" ca="1" si="0"/>
        <v>2023</v>
      </c>
      <c r="H2021" s="26" t="str">
        <f t="shared" si="1"/>
        <v/>
      </c>
      <c r="I2021" s="26" t="str">
        <f t="shared" si="2"/>
        <v/>
      </c>
      <c r="J2021" s="86">
        <f t="shared" ca="1" si="3"/>
        <v>45213</v>
      </c>
      <c r="R2021" s="26"/>
    </row>
    <row r="2022" spans="1:18" ht="15.75" customHeight="1">
      <c r="A2022" s="26">
        <f ca="1">IFERROR(__xludf.DUMMYFUNCTION("""COMPUTED_VALUE"""),20774)</f>
        <v>20774</v>
      </c>
      <c r="B2022" s="86">
        <f ca="1">IFERROR(__xludf.DUMMYFUNCTION("""COMPUTED_VALUE"""),45213.6435300925)</f>
        <v>45213.6435300925</v>
      </c>
      <c r="C2022" s="1" t="str">
        <f ca="1">IFERROR(__xludf.DUMMYFUNCTION("""COMPUTED_VALUE"""),"completed")</f>
        <v>completed</v>
      </c>
      <c r="D2022" s="26">
        <f ca="1">IFERROR(__xludf.DUMMYFUNCTION("""COMPUTED_VALUE"""),26)</f>
        <v>26</v>
      </c>
      <c r="E2022" s="1" t="str">
        <f ca="1">IFERROR(__xludf.DUMMYFUNCTION("""COMPUTED_VALUE"""),"Lakeshore Lightning Hockey")</f>
        <v>Lakeshore Lightning Hockey</v>
      </c>
      <c r="F2022" s="87" t="str">
        <f t="shared" ca="1" si="0"/>
        <v>2023</v>
      </c>
      <c r="H2022" s="26" t="str">
        <f t="shared" si="1"/>
        <v/>
      </c>
      <c r="I2022" s="26" t="str">
        <f t="shared" si="2"/>
        <v/>
      </c>
      <c r="J2022" s="86">
        <f t="shared" ca="1" si="3"/>
        <v>45213</v>
      </c>
      <c r="R2022" s="26"/>
    </row>
    <row r="2023" spans="1:18" ht="15.75" customHeight="1">
      <c r="A2023" s="26">
        <f ca="1">IFERROR(__xludf.DUMMYFUNCTION("""COMPUTED_VALUE"""),20775)</f>
        <v>20775</v>
      </c>
      <c r="B2023" s="86">
        <f ca="1">IFERROR(__xludf.DUMMYFUNCTION("""COMPUTED_VALUE"""),45213.6455092592)</f>
        <v>45213.6455092592</v>
      </c>
      <c r="C2023" s="1" t="str">
        <f ca="1">IFERROR(__xludf.DUMMYFUNCTION("""COMPUTED_VALUE"""),"completed")</f>
        <v>completed</v>
      </c>
      <c r="D2023" s="26">
        <f ca="1">IFERROR(__xludf.DUMMYFUNCTION("""COMPUTED_VALUE"""),30)</f>
        <v>30</v>
      </c>
      <c r="E2023" s="1" t="str">
        <f ca="1">IFERROR(__xludf.DUMMYFUNCTION("""COMPUTED_VALUE"""),"Lakeshore Lightning Hockey")</f>
        <v>Lakeshore Lightning Hockey</v>
      </c>
      <c r="F2023" s="87" t="str">
        <f t="shared" ca="1" si="0"/>
        <v>2023</v>
      </c>
      <c r="H2023" s="26" t="str">
        <f t="shared" si="1"/>
        <v/>
      </c>
      <c r="I2023" s="26" t="str">
        <f t="shared" si="2"/>
        <v/>
      </c>
      <c r="J2023" s="86">
        <f t="shared" ca="1" si="3"/>
        <v>45213</v>
      </c>
      <c r="R2023" s="26"/>
    </row>
    <row r="2024" spans="1:18" ht="15.75" customHeight="1">
      <c r="A2024" s="26">
        <f ca="1">IFERROR(__xludf.DUMMYFUNCTION("""COMPUTED_VALUE"""),20776)</f>
        <v>20776</v>
      </c>
      <c r="B2024" s="86">
        <f ca="1">IFERROR(__xludf.DUMMYFUNCTION("""COMPUTED_VALUE"""),45213.6539351851)</f>
        <v>45213.653935185102</v>
      </c>
      <c r="C2024" s="1" t="str">
        <f ca="1">IFERROR(__xludf.DUMMYFUNCTION("""COMPUTED_VALUE"""),"completed")</f>
        <v>completed</v>
      </c>
      <c r="D2024" s="26">
        <f ca="1">IFERROR(__xludf.DUMMYFUNCTION("""COMPUTED_VALUE"""),22)</f>
        <v>22</v>
      </c>
      <c r="E2024" s="1" t="str">
        <f ca="1">IFERROR(__xludf.DUMMYFUNCTION("""COMPUTED_VALUE"""),"Lakeshore Lightning Hockey")</f>
        <v>Lakeshore Lightning Hockey</v>
      </c>
      <c r="F2024" s="87" t="str">
        <f t="shared" ca="1" si="0"/>
        <v>2023</v>
      </c>
      <c r="H2024" s="26" t="str">
        <f t="shared" si="1"/>
        <v/>
      </c>
      <c r="I2024" s="26" t="str">
        <f t="shared" si="2"/>
        <v/>
      </c>
      <c r="J2024" s="86">
        <f t="shared" ca="1" si="3"/>
        <v>45213</v>
      </c>
      <c r="R2024" s="26"/>
    </row>
    <row r="2025" spans="1:18" ht="15.75" customHeight="1">
      <c r="A2025" s="26">
        <f ca="1">IFERROR(__xludf.DUMMYFUNCTION("""COMPUTED_VALUE"""),20777)</f>
        <v>20777</v>
      </c>
      <c r="B2025" s="86">
        <f ca="1">IFERROR(__xludf.DUMMYFUNCTION("""COMPUTED_VALUE"""),45213.6648379629)</f>
        <v>45213.664837962897</v>
      </c>
      <c r="C2025" s="1" t="str">
        <f ca="1">IFERROR(__xludf.DUMMYFUNCTION("""COMPUTED_VALUE"""),"completed")</f>
        <v>completed</v>
      </c>
      <c r="D2025" s="26">
        <f ca="1">IFERROR(__xludf.DUMMYFUNCTION("""COMPUTED_VALUE"""),75)</f>
        <v>75</v>
      </c>
      <c r="E2025" s="1" t="str">
        <f ca="1">IFERROR(__xludf.DUMMYFUNCTION("""COMPUTED_VALUE"""),"Lakeshore Lightning Hockey")</f>
        <v>Lakeshore Lightning Hockey</v>
      </c>
      <c r="F2025" s="87" t="str">
        <f t="shared" ca="1" si="0"/>
        <v>2023</v>
      </c>
      <c r="H2025" s="26" t="str">
        <f t="shared" si="1"/>
        <v/>
      </c>
      <c r="I2025" s="26" t="str">
        <f t="shared" si="2"/>
        <v/>
      </c>
      <c r="J2025" s="86">
        <f t="shared" ca="1" si="3"/>
        <v>45213</v>
      </c>
      <c r="R2025" s="26"/>
    </row>
    <row r="2026" spans="1:18" ht="15.75" customHeight="1">
      <c r="A2026" s="26">
        <f ca="1">IFERROR(__xludf.DUMMYFUNCTION("""COMPUTED_VALUE"""),20778)</f>
        <v>20778</v>
      </c>
      <c r="B2026" s="86">
        <f ca="1">IFERROR(__xludf.DUMMYFUNCTION("""COMPUTED_VALUE"""),45213.6687384259)</f>
        <v>45213.668738425898</v>
      </c>
      <c r="C2026" s="1" t="str">
        <f ca="1">IFERROR(__xludf.DUMMYFUNCTION("""COMPUTED_VALUE"""),"completed")</f>
        <v>completed</v>
      </c>
      <c r="D2026" s="26">
        <f ca="1">IFERROR(__xludf.DUMMYFUNCTION("""COMPUTED_VALUE"""),18)</f>
        <v>18</v>
      </c>
      <c r="E2026" s="1" t="str">
        <f ca="1">IFERROR(__xludf.DUMMYFUNCTION("""COMPUTED_VALUE"""),"Lakeshore Lightning Hockey")</f>
        <v>Lakeshore Lightning Hockey</v>
      </c>
      <c r="F2026" s="87" t="str">
        <f t="shared" ca="1" si="0"/>
        <v>2023</v>
      </c>
      <c r="H2026" s="26" t="str">
        <f t="shared" si="1"/>
        <v/>
      </c>
      <c r="I2026" s="26" t="str">
        <f t="shared" si="2"/>
        <v/>
      </c>
      <c r="J2026" s="86">
        <f t="shared" ca="1" si="3"/>
        <v>45213</v>
      </c>
      <c r="R2026" s="26"/>
    </row>
    <row r="2027" spans="1:18" ht="15.75" customHeight="1">
      <c r="A2027" s="26">
        <f ca="1">IFERROR(__xludf.DUMMYFUNCTION("""COMPUTED_VALUE"""),20779)</f>
        <v>20779</v>
      </c>
      <c r="B2027" s="86">
        <f ca="1">IFERROR(__xludf.DUMMYFUNCTION("""COMPUTED_VALUE"""),45213.68375)</f>
        <v>45213.683749999997</v>
      </c>
      <c r="C2027" s="1" t="str">
        <f ca="1">IFERROR(__xludf.DUMMYFUNCTION("""COMPUTED_VALUE"""),"completed")</f>
        <v>completed</v>
      </c>
      <c r="D2027" s="26">
        <f ca="1">IFERROR(__xludf.DUMMYFUNCTION("""COMPUTED_VALUE"""),35)</f>
        <v>35</v>
      </c>
      <c r="E2027" s="1" t="str">
        <f ca="1">IFERROR(__xludf.DUMMYFUNCTION("""COMPUTED_VALUE"""),"Lakeshore Lightning Hockey")</f>
        <v>Lakeshore Lightning Hockey</v>
      </c>
      <c r="F2027" s="87" t="str">
        <f t="shared" ca="1" si="0"/>
        <v>2023</v>
      </c>
      <c r="H2027" s="26" t="str">
        <f t="shared" si="1"/>
        <v/>
      </c>
      <c r="I2027" s="26" t="str">
        <f t="shared" si="2"/>
        <v/>
      </c>
      <c r="J2027" s="86">
        <f t="shared" ca="1" si="3"/>
        <v>45213</v>
      </c>
      <c r="R2027" s="26"/>
    </row>
    <row r="2028" spans="1:18" ht="15.75" customHeight="1">
      <c r="A2028" s="26">
        <f ca="1">IFERROR(__xludf.DUMMYFUNCTION("""COMPUTED_VALUE"""),20780)</f>
        <v>20780</v>
      </c>
      <c r="B2028" s="86">
        <f ca="1">IFERROR(__xludf.DUMMYFUNCTION("""COMPUTED_VALUE"""),45213.7171412037)</f>
        <v>45213.717141203699</v>
      </c>
      <c r="C2028" s="1" t="str">
        <f ca="1">IFERROR(__xludf.DUMMYFUNCTION("""COMPUTED_VALUE"""),"completed")</f>
        <v>completed</v>
      </c>
      <c r="D2028" s="26">
        <f ca="1">IFERROR(__xludf.DUMMYFUNCTION("""COMPUTED_VALUE"""),26)</f>
        <v>26</v>
      </c>
      <c r="E2028" s="1" t="str">
        <f ca="1">IFERROR(__xludf.DUMMYFUNCTION("""COMPUTED_VALUE"""),"Lakeshore Lightning Hockey")</f>
        <v>Lakeshore Lightning Hockey</v>
      </c>
      <c r="F2028" s="87" t="str">
        <f t="shared" ca="1" si="0"/>
        <v>2023</v>
      </c>
      <c r="H2028" s="26" t="str">
        <f t="shared" si="1"/>
        <v/>
      </c>
      <c r="I2028" s="26" t="str">
        <f t="shared" si="2"/>
        <v/>
      </c>
      <c r="J2028" s="86">
        <f t="shared" ca="1" si="3"/>
        <v>45213</v>
      </c>
      <c r="R2028" s="26"/>
    </row>
    <row r="2029" spans="1:18" ht="15.75" customHeight="1">
      <c r="A2029" s="26">
        <f ca="1">IFERROR(__xludf.DUMMYFUNCTION("""COMPUTED_VALUE"""),20781)</f>
        <v>20781</v>
      </c>
      <c r="B2029" s="86">
        <f ca="1">IFERROR(__xludf.DUMMYFUNCTION("""COMPUTED_VALUE"""),45213.7690277777)</f>
        <v>45213.7690277777</v>
      </c>
      <c r="C2029" s="1" t="str">
        <f ca="1">IFERROR(__xludf.DUMMYFUNCTION("""COMPUTED_VALUE"""),"completed")</f>
        <v>completed</v>
      </c>
      <c r="D2029" s="26">
        <f ca="1">IFERROR(__xludf.DUMMYFUNCTION("""COMPUTED_VALUE"""),37)</f>
        <v>37</v>
      </c>
      <c r="E2029" s="1" t="str">
        <f ca="1">IFERROR(__xludf.DUMMYFUNCTION("""COMPUTED_VALUE"""),"Lakeshore Lightning Hockey")</f>
        <v>Lakeshore Lightning Hockey</v>
      </c>
      <c r="F2029" s="87" t="str">
        <f t="shared" ca="1" si="0"/>
        <v>2023</v>
      </c>
      <c r="H2029" s="26" t="str">
        <f t="shared" si="1"/>
        <v/>
      </c>
      <c r="I2029" s="26" t="str">
        <f t="shared" si="2"/>
        <v/>
      </c>
      <c r="J2029" s="86">
        <f t="shared" ca="1" si="3"/>
        <v>45213</v>
      </c>
      <c r="R2029" s="26"/>
    </row>
    <row r="2030" spans="1:18" ht="15.75" customHeight="1">
      <c r="A2030" s="26">
        <f ca="1">IFERROR(__xludf.DUMMYFUNCTION("""COMPUTED_VALUE"""),20782)</f>
        <v>20782</v>
      </c>
      <c r="B2030" s="86">
        <f ca="1">IFERROR(__xludf.DUMMYFUNCTION("""COMPUTED_VALUE"""),45213.7769907407)</f>
        <v>45213.776990740698</v>
      </c>
      <c r="C2030" s="1" t="str">
        <f ca="1">IFERROR(__xludf.DUMMYFUNCTION("""COMPUTED_VALUE"""),"completed")</f>
        <v>completed</v>
      </c>
      <c r="D2030" s="26">
        <f ca="1">IFERROR(__xludf.DUMMYFUNCTION("""COMPUTED_VALUE"""),26)</f>
        <v>26</v>
      </c>
      <c r="E2030" s="1" t="str">
        <f ca="1">IFERROR(__xludf.DUMMYFUNCTION("""COMPUTED_VALUE"""),"Lakeshore Lightning Hockey")</f>
        <v>Lakeshore Lightning Hockey</v>
      </c>
      <c r="F2030" s="87" t="str">
        <f t="shared" ca="1" si="0"/>
        <v>2023</v>
      </c>
      <c r="H2030" s="26" t="str">
        <f t="shared" si="1"/>
        <v/>
      </c>
      <c r="I2030" s="26" t="str">
        <f t="shared" si="2"/>
        <v/>
      </c>
      <c r="J2030" s="86">
        <f t="shared" ca="1" si="3"/>
        <v>45213</v>
      </c>
      <c r="R2030" s="26"/>
    </row>
    <row r="2031" spans="1:18" ht="15.75" customHeight="1">
      <c r="A2031" s="26">
        <f ca="1">IFERROR(__xludf.DUMMYFUNCTION("""COMPUTED_VALUE"""),20784)</f>
        <v>20784</v>
      </c>
      <c r="B2031" s="86">
        <f ca="1">IFERROR(__xludf.DUMMYFUNCTION("""COMPUTED_VALUE"""),45213.7834259259)</f>
        <v>45213.783425925903</v>
      </c>
      <c r="C2031" s="1" t="str">
        <f ca="1">IFERROR(__xludf.DUMMYFUNCTION("""COMPUTED_VALUE"""),"cancelled")</f>
        <v>cancelled</v>
      </c>
      <c r="D2031" s="26">
        <f ca="1">IFERROR(__xludf.DUMMYFUNCTION("""COMPUTED_VALUE"""),15)</f>
        <v>15</v>
      </c>
      <c r="E2031" s="1" t="str">
        <f ca="1">IFERROR(__xludf.DUMMYFUNCTION("""COMPUTED_VALUE"""),"Windsor AAA Zone Hockey")</f>
        <v>Windsor AAA Zone Hockey</v>
      </c>
      <c r="F2031" s="87" t="str">
        <f t="shared" ca="1" si="0"/>
        <v>2023</v>
      </c>
      <c r="H2031" s="26" t="str">
        <f t="shared" si="1"/>
        <v/>
      </c>
      <c r="I2031" s="26" t="str">
        <f t="shared" si="2"/>
        <v/>
      </c>
      <c r="J2031" s="86">
        <f t="shared" ca="1" si="3"/>
        <v>45213</v>
      </c>
      <c r="R2031" s="26"/>
    </row>
    <row r="2032" spans="1:18" ht="15.75" customHeight="1">
      <c r="A2032" s="26">
        <f ca="1">IFERROR(__xludf.DUMMYFUNCTION("""COMPUTED_VALUE"""),20783)</f>
        <v>20783</v>
      </c>
      <c r="B2032" s="86">
        <f ca="1">IFERROR(__xludf.DUMMYFUNCTION("""COMPUTED_VALUE"""),45213.779849537)</f>
        <v>45213.779849537001</v>
      </c>
      <c r="C2032" s="1" t="str">
        <f ca="1">IFERROR(__xludf.DUMMYFUNCTION("""COMPUTED_VALUE"""),"completed")</f>
        <v>completed</v>
      </c>
      <c r="D2032" s="26">
        <f ca="1">IFERROR(__xludf.DUMMYFUNCTION("""COMPUTED_VALUE"""),26)</f>
        <v>26</v>
      </c>
      <c r="E2032" s="1" t="str">
        <f ca="1">IFERROR(__xludf.DUMMYFUNCTION("""COMPUTED_VALUE"""),"Lakeshore Lightning Hockey")</f>
        <v>Lakeshore Lightning Hockey</v>
      </c>
      <c r="F2032" s="87" t="str">
        <f t="shared" ca="1" si="0"/>
        <v>2023</v>
      </c>
      <c r="H2032" s="26" t="str">
        <f t="shared" si="1"/>
        <v/>
      </c>
      <c r="I2032" s="26" t="str">
        <f t="shared" si="2"/>
        <v/>
      </c>
      <c r="J2032" s="86">
        <f t="shared" ca="1" si="3"/>
        <v>45213</v>
      </c>
      <c r="R2032" s="26"/>
    </row>
    <row r="2033" spans="1:18" ht="15.75" customHeight="1">
      <c r="A2033" s="26">
        <f ca="1">IFERROR(__xludf.DUMMYFUNCTION("""COMPUTED_VALUE"""),20786)</f>
        <v>20786</v>
      </c>
      <c r="B2033" s="86">
        <f ca="1">IFERROR(__xludf.DUMMYFUNCTION("""COMPUTED_VALUE"""),45213.7973263888)</f>
        <v>45213.797326388798</v>
      </c>
      <c r="C2033" s="1" t="str">
        <f ca="1">IFERROR(__xludf.DUMMYFUNCTION("""COMPUTED_VALUE"""),"completed")</f>
        <v>completed</v>
      </c>
      <c r="D2033" s="26">
        <f ca="1">IFERROR(__xludf.DUMMYFUNCTION("""COMPUTED_VALUE"""),35)</f>
        <v>35</v>
      </c>
      <c r="E2033" s="1" t="str">
        <f ca="1">IFERROR(__xludf.DUMMYFUNCTION("""COMPUTED_VALUE"""),"Lakeshore Lightning Hockey")</f>
        <v>Lakeshore Lightning Hockey</v>
      </c>
      <c r="F2033" s="87" t="str">
        <f t="shared" ca="1" si="0"/>
        <v>2023</v>
      </c>
      <c r="H2033" s="26" t="str">
        <f t="shared" si="1"/>
        <v/>
      </c>
      <c r="I2033" s="26" t="str">
        <f t="shared" si="2"/>
        <v/>
      </c>
      <c r="J2033" s="86">
        <f t="shared" ca="1" si="3"/>
        <v>45213</v>
      </c>
      <c r="R2033" s="26"/>
    </row>
    <row r="2034" spans="1:18" ht="15.75" customHeight="1">
      <c r="A2034" s="26">
        <f ca="1">IFERROR(__xludf.DUMMYFUNCTION("""COMPUTED_VALUE"""),20785)</f>
        <v>20785</v>
      </c>
      <c r="B2034" s="86">
        <f ca="1">IFERROR(__xludf.DUMMYFUNCTION("""COMPUTED_VALUE"""),45213.7927546296)</f>
        <v>45213.792754629598</v>
      </c>
      <c r="C2034" s="1" t="str">
        <f ca="1">IFERROR(__xludf.DUMMYFUNCTION("""COMPUTED_VALUE"""),"completed")</f>
        <v>completed</v>
      </c>
      <c r="D2034" s="26">
        <f ca="1">IFERROR(__xludf.DUMMYFUNCTION("""COMPUTED_VALUE"""),35)</f>
        <v>35</v>
      </c>
      <c r="E2034" s="1" t="str">
        <f ca="1">IFERROR(__xludf.DUMMYFUNCTION("""COMPUTED_VALUE"""),"Lakeshore Lightning Hockey")</f>
        <v>Lakeshore Lightning Hockey</v>
      </c>
      <c r="F2034" s="87" t="str">
        <f t="shared" ca="1" si="0"/>
        <v>2023</v>
      </c>
      <c r="H2034" s="26" t="str">
        <f t="shared" si="1"/>
        <v/>
      </c>
      <c r="I2034" s="26" t="str">
        <f t="shared" si="2"/>
        <v/>
      </c>
      <c r="J2034" s="86">
        <f t="shared" ca="1" si="3"/>
        <v>45213</v>
      </c>
      <c r="R2034" s="26"/>
    </row>
    <row r="2035" spans="1:18" ht="15.75" customHeight="1">
      <c r="A2035" s="26">
        <f ca="1">IFERROR(__xludf.DUMMYFUNCTION("""COMPUTED_VALUE"""),20787)</f>
        <v>20787</v>
      </c>
      <c r="B2035" s="86">
        <f ca="1">IFERROR(__xludf.DUMMYFUNCTION("""COMPUTED_VALUE"""),45213.8284837962)</f>
        <v>45213.828483796198</v>
      </c>
      <c r="C2035" s="1" t="str">
        <f ca="1">IFERROR(__xludf.DUMMYFUNCTION("""COMPUTED_VALUE"""),"completed")</f>
        <v>completed</v>
      </c>
      <c r="D2035" s="26">
        <f ca="1">IFERROR(__xludf.DUMMYFUNCTION("""COMPUTED_VALUE"""),41)</f>
        <v>41</v>
      </c>
      <c r="E2035" s="1" t="str">
        <f ca="1">IFERROR(__xludf.DUMMYFUNCTION("""COMPUTED_VALUE"""),"Lakeshore Lightning Hockey")</f>
        <v>Lakeshore Lightning Hockey</v>
      </c>
      <c r="F2035" s="87" t="str">
        <f t="shared" ca="1" si="0"/>
        <v>2023</v>
      </c>
      <c r="H2035" s="26" t="str">
        <f t="shared" si="1"/>
        <v/>
      </c>
      <c r="I2035" s="26" t="str">
        <f t="shared" si="2"/>
        <v/>
      </c>
      <c r="J2035" s="86">
        <f t="shared" ca="1" si="3"/>
        <v>45213</v>
      </c>
      <c r="R2035" s="26"/>
    </row>
    <row r="2036" spans="1:18" ht="15.75" customHeight="1">
      <c r="A2036" s="26">
        <f ca="1">IFERROR(__xludf.DUMMYFUNCTION("""COMPUTED_VALUE"""),20788)</f>
        <v>20788</v>
      </c>
      <c r="B2036" s="86">
        <f ca="1">IFERROR(__xludf.DUMMYFUNCTION("""COMPUTED_VALUE"""),45213.841875)</f>
        <v>45213.841874999998</v>
      </c>
      <c r="C2036" s="1" t="str">
        <f ca="1">IFERROR(__xludf.DUMMYFUNCTION("""COMPUTED_VALUE"""),"completed")</f>
        <v>completed</v>
      </c>
      <c r="D2036" s="26">
        <f ca="1">IFERROR(__xludf.DUMMYFUNCTION("""COMPUTED_VALUE"""),63)</f>
        <v>63</v>
      </c>
      <c r="E2036" s="1" t="str">
        <f ca="1">IFERROR(__xludf.DUMMYFUNCTION("""COMPUTED_VALUE"""),"WMFA")</f>
        <v>WMFA</v>
      </c>
      <c r="F2036" s="87" t="str">
        <f t="shared" ca="1" si="0"/>
        <v>2023</v>
      </c>
      <c r="H2036" s="26" t="str">
        <f t="shared" si="1"/>
        <v/>
      </c>
      <c r="I2036" s="26" t="str">
        <f t="shared" si="2"/>
        <v/>
      </c>
      <c r="J2036" s="86">
        <f t="shared" ca="1" si="3"/>
        <v>45213</v>
      </c>
      <c r="R2036" s="26"/>
    </row>
    <row r="2037" spans="1:18" ht="15.75" customHeight="1">
      <c r="A2037" s="26">
        <f ca="1">IFERROR(__xludf.DUMMYFUNCTION("""COMPUTED_VALUE"""),20789)</f>
        <v>20789</v>
      </c>
      <c r="B2037" s="86">
        <f ca="1">IFERROR(__xludf.DUMMYFUNCTION("""COMPUTED_VALUE"""),45213.9106712962)</f>
        <v>45213.910671296297</v>
      </c>
      <c r="C2037" s="1" t="str">
        <f ca="1">IFERROR(__xludf.DUMMYFUNCTION("""COMPUTED_VALUE"""),"completed")</f>
        <v>completed</v>
      </c>
      <c r="D2037" s="26">
        <f ca="1">IFERROR(__xludf.DUMMYFUNCTION("""COMPUTED_VALUE"""),26)</f>
        <v>26</v>
      </c>
      <c r="E2037" s="1" t="str">
        <f ca="1">IFERROR(__xludf.DUMMYFUNCTION("""COMPUTED_VALUE"""),"Lakeshore Lightning Hockey")</f>
        <v>Lakeshore Lightning Hockey</v>
      </c>
      <c r="F2037" s="87" t="str">
        <f t="shared" ca="1" si="0"/>
        <v>2023</v>
      </c>
      <c r="H2037" s="26" t="str">
        <f t="shared" si="1"/>
        <v/>
      </c>
      <c r="I2037" s="26" t="str">
        <f t="shared" si="2"/>
        <v/>
      </c>
      <c r="J2037" s="86">
        <f t="shared" ca="1" si="3"/>
        <v>45213</v>
      </c>
      <c r="R2037" s="26"/>
    </row>
    <row r="2038" spans="1:18" ht="15.75" customHeight="1">
      <c r="A2038" s="26">
        <f ca="1">IFERROR(__xludf.DUMMYFUNCTION("""COMPUTED_VALUE"""),20790)</f>
        <v>20790</v>
      </c>
      <c r="B2038" s="86">
        <f ca="1">IFERROR(__xludf.DUMMYFUNCTION("""COMPUTED_VALUE"""),45213.9808912037)</f>
        <v>45213.980891203697</v>
      </c>
      <c r="C2038" s="1" t="str">
        <f ca="1">IFERROR(__xludf.DUMMYFUNCTION("""COMPUTED_VALUE"""),"completed")</f>
        <v>completed</v>
      </c>
      <c r="D2038" s="26">
        <f ca="1">IFERROR(__xludf.DUMMYFUNCTION("""COMPUTED_VALUE"""),48)</f>
        <v>48</v>
      </c>
      <c r="E2038" s="1" t="str">
        <f ca="1">IFERROR(__xludf.DUMMYFUNCTION("""COMPUTED_VALUE"""),"Lakeshore Lightning Hockey")</f>
        <v>Lakeshore Lightning Hockey</v>
      </c>
      <c r="F2038" s="87" t="str">
        <f t="shared" ca="1" si="0"/>
        <v>2023</v>
      </c>
      <c r="H2038" s="26" t="str">
        <f t="shared" si="1"/>
        <v/>
      </c>
      <c r="I2038" s="26" t="str">
        <f t="shared" si="2"/>
        <v/>
      </c>
      <c r="J2038" s="86">
        <f t="shared" ca="1" si="3"/>
        <v>45213</v>
      </c>
      <c r="R2038" s="26"/>
    </row>
    <row r="2039" spans="1:18" ht="15.75" customHeight="1">
      <c r="A2039" s="26">
        <f ca="1">IFERROR(__xludf.DUMMYFUNCTION("""COMPUTED_VALUE"""),20791)</f>
        <v>20791</v>
      </c>
      <c r="B2039" s="86">
        <f ca="1">IFERROR(__xludf.DUMMYFUNCTION("""COMPUTED_VALUE"""),45214.0393287037)</f>
        <v>45214.0393287037</v>
      </c>
      <c r="C2039" s="1" t="str">
        <f ca="1">IFERROR(__xludf.DUMMYFUNCTION("""COMPUTED_VALUE"""),"completed")</f>
        <v>completed</v>
      </c>
      <c r="D2039" s="26">
        <f ca="1">IFERROR(__xludf.DUMMYFUNCTION("""COMPUTED_VALUE"""),15)</f>
        <v>15</v>
      </c>
      <c r="E2039" s="1" t="str">
        <f ca="1">IFERROR(__xludf.DUMMYFUNCTION("""COMPUTED_VALUE"""),"WMFA")</f>
        <v>WMFA</v>
      </c>
      <c r="F2039" s="87" t="str">
        <f t="shared" ca="1" si="0"/>
        <v>2023</v>
      </c>
      <c r="H2039" s="26" t="str">
        <f t="shared" si="1"/>
        <v/>
      </c>
      <c r="I2039" s="26" t="str">
        <f t="shared" si="2"/>
        <v/>
      </c>
      <c r="J2039" s="86">
        <f t="shared" ca="1" si="3"/>
        <v>45214</v>
      </c>
      <c r="R2039" s="26"/>
    </row>
    <row r="2040" spans="1:18" ht="15.75" customHeight="1">
      <c r="A2040" s="26">
        <f ca="1">IFERROR(__xludf.DUMMYFUNCTION("""COMPUTED_VALUE"""),20793)</f>
        <v>20793</v>
      </c>
      <c r="B2040" s="86">
        <f ca="1">IFERROR(__xludf.DUMMYFUNCTION("""COMPUTED_VALUE"""),45214.0442129629)</f>
        <v>45214.044212962901</v>
      </c>
      <c r="C2040" s="1" t="str">
        <f ca="1">IFERROR(__xludf.DUMMYFUNCTION("""COMPUTED_VALUE"""),"completed")</f>
        <v>completed</v>
      </c>
      <c r="D2040" s="26">
        <f ca="1">IFERROR(__xludf.DUMMYFUNCTION("""COMPUTED_VALUE"""),61)</f>
        <v>61</v>
      </c>
      <c r="E2040" s="1" t="str">
        <f ca="1">IFERROR(__xludf.DUMMYFUNCTION("""COMPUTED_VALUE"""),"Lakeshore Lightning Hockey")</f>
        <v>Lakeshore Lightning Hockey</v>
      </c>
      <c r="F2040" s="87" t="str">
        <f t="shared" ca="1" si="0"/>
        <v>2023</v>
      </c>
      <c r="H2040" s="26" t="str">
        <f t="shared" si="1"/>
        <v/>
      </c>
      <c r="I2040" s="26" t="str">
        <f t="shared" si="2"/>
        <v/>
      </c>
      <c r="J2040" s="86">
        <f t="shared" ca="1" si="3"/>
        <v>45214</v>
      </c>
      <c r="R2040" s="26"/>
    </row>
    <row r="2041" spans="1:18" ht="15.75" customHeight="1">
      <c r="A2041" s="26">
        <f ca="1">IFERROR(__xludf.DUMMYFUNCTION("""COMPUTED_VALUE"""),20792)</f>
        <v>20792</v>
      </c>
      <c r="B2041" s="86">
        <f ca="1">IFERROR(__xludf.DUMMYFUNCTION("""COMPUTED_VALUE"""),45214.0423148148)</f>
        <v>45214.042314814797</v>
      </c>
      <c r="C2041" s="1" t="str">
        <f ca="1">IFERROR(__xludf.DUMMYFUNCTION("""COMPUTED_VALUE"""),"completed")</f>
        <v>completed</v>
      </c>
      <c r="D2041" s="26">
        <f ca="1">IFERROR(__xludf.DUMMYFUNCTION("""COMPUTED_VALUE"""),15)</f>
        <v>15</v>
      </c>
      <c r="E2041" s="1" t="str">
        <f ca="1">IFERROR(__xludf.DUMMYFUNCTION("""COMPUTED_VALUE"""),"WMFA")</f>
        <v>WMFA</v>
      </c>
      <c r="F2041" s="87" t="str">
        <f t="shared" ca="1" si="0"/>
        <v>2023</v>
      </c>
      <c r="H2041" s="26" t="str">
        <f t="shared" si="1"/>
        <v/>
      </c>
      <c r="I2041" s="26" t="str">
        <f t="shared" si="2"/>
        <v/>
      </c>
      <c r="J2041" s="86">
        <f t="shared" ca="1" si="3"/>
        <v>45214</v>
      </c>
      <c r="R2041" s="26"/>
    </row>
    <row r="2042" spans="1:18" ht="15.75" customHeight="1">
      <c r="A2042" s="26">
        <f ca="1">IFERROR(__xludf.DUMMYFUNCTION("""COMPUTED_VALUE"""),20794)</f>
        <v>20794</v>
      </c>
      <c r="B2042" s="86">
        <f ca="1">IFERROR(__xludf.DUMMYFUNCTION("""COMPUTED_VALUE"""),45214.4413425925)</f>
        <v>45214.441342592501</v>
      </c>
      <c r="C2042" s="1" t="str">
        <f ca="1">IFERROR(__xludf.DUMMYFUNCTION("""COMPUTED_VALUE"""),"completed")</f>
        <v>completed</v>
      </c>
      <c r="D2042" s="26">
        <f ca="1">IFERROR(__xludf.DUMMYFUNCTION("""COMPUTED_VALUE"""),15)</f>
        <v>15</v>
      </c>
      <c r="E2042" s="1" t="str">
        <f ca="1">IFERROR(__xludf.DUMMYFUNCTION("""COMPUTED_VALUE"""),"WMFA")</f>
        <v>WMFA</v>
      </c>
      <c r="F2042" s="87" t="str">
        <f t="shared" ca="1" si="0"/>
        <v>2023</v>
      </c>
      <c r="H2042" s="26" t="str">
        <f t="shared" si="1"/>
        <v/>
      </c>
      <c r="I2042" s="26" t="str">
        <f t="shared" si="2"/>
        <v/>
      </c>
      <c r="J2042" s="86">
        <f t="shared" ca="1" si="3"/>
        <v>45214</v>
      </c>
      <c r="R2042" s="26"/>
    </row>
    <row r="2043" spans="1:18" ht="15.75" customHeight="1">
      <c r="A2043" s="26">
        <f ca="1">IFERROR(__xludf.DUMMYFUNCTION("""COMPUTED_VALUE"""),20795)</f>
        <v>20795</v>
      </c>
      <c r="B2043" s="86">
        <f ca="1">IFERROR(__xludf.DUMMYFUNCTION("""COMPUTED_VALUE"""),45214.5215277777)</f>
        <v>45214.521527777702</v>
      </c>
      <c r="C2043" s="1" t="str">
        <f ca="1">IFERROR(__xludf.DUMMYFUNCTION("""COMPUTED_VALUE"""),"completed")</f>
        <v>completed</v>
      </c>
      <c r="D2043" s="26">
        <f ca="1">IFERROR(__xludf.DUMMYFUNCTION("""COMPUTED_VALUE"""),22)</f>
        <v>22</v>
      </c>
      <c r="E2043" s="1" t="str">
        <f ca="1">IFERROR(__xludf.DUMMYFUNCTION("""COMPUTED_VALUE"""),"Lakeshore Lightning Hockey")</f>
        <v>Lakeshore Lightning Hockey</v>
      </c>
      <c r="F2043" s="87" t="str">
        <f t="shared" ca="1" si="0"/>
        <v>2023</v>
      </c>
      <c r="H2043" s="26" t="str">
        <f t="shared" si="1"/>
        <v/>
      </c>
      <c r="I2043" s="26" t="str">
        <f t="shared" si="2"/>
        <v/>
      </c>
      <c r="J2043" s="86">
        <f t="shared" ca="1" si="3"/>
        <v>45214</v>
      </c>
      <c r="R2043" s="26"/>
    </row>
    <row r="2044" spans="1:18" ht="15.75" customHeight="1">
      <c r="A2044" s="26">
        <f ca="1">IFERROR(__xludf.DUMMYFUNCTION("""COMPUTED_VALUE"""),20796)</f>
        <v>20796</v>
      </c>
      <c r="B2044" s="86">
        <f ca="1">IFERROR(__xludf.DUMMYFUNCTION("""COMPUTED_VALUE"""),45214.535162037)</f>
        <v>45214.535162036998</v>
      </c>
      <c r="C2044" s="1" t="str">
        <f ca="1">IFERROR(__xludf.DUMMYFUNCTION("""COMPUTED_VALUE"""),"completed")</f>
        <v>completed</v>
      </c>
      <c r="D2044" s="26">
        <f ca="1">IFERROR(__xludf.DUMMYFUNCTION("""COMPUTED_VALUE"""),15)</f>
        <v>15</v>
      </c>
      <c r="E2044" s="1" t="str">
        <f ca="1">IFERROR(__xludf.DUMMYFUNCTION("""COMPUTED_VALUE"""),"Lakeshore Lightning Hockey")</f>
        <v>Lakeshore Lightning Hockey</v>
      </c>
      <c r="F2044" s="87" t="str">
        <f t="shared" ca="1" si="0"/>
        <v>2023</v>
      </c>
      <c r="H2044" s="26" t="str">
        <f t="shared" si="1"/>
        <v/>
      </c>
      <c r="I2044" s="26" t="str">
        <f t="shared" si="2"/>
        <v/>
      </c>
      <c r="J2044" s="86">
        <f t="shared" ca="1" si="3"/>
        <v>45214</v>
      </c>
      <c r="R2044" s="26"/>
    </row>
    <row r="2045" spans="1:18" ht="15.75" customHeight="1">
      <c r="A2045" s="26">
        <f ca="1">IFERROR(__xludf.DUMMYFUNCTION("""COMPUTED_VALUE"""),20797)</f>
        <v>20797</v>
      </c>
      <c r="B2045" s="86">
        <f ca="1">IFERROR(__xludf.DUMMYFUNCTION("""COMPUTED_VALUE"""),45214.5436574073)</f>
        <v>45214.543657407397</v>
      </c>
      <c r="C2045" s="1" t="str">
        <f ca="1">IFERROR(__xludf.DUMMYFUNCTION("""COMPUTED_VALUE"""),"completed")</f>
        <v>completed</v>
      </c>
      <c r="D2045" s="26">
        <f ca="1">IFERROR(__xludf.DUMMYFUNCTION("""COMPUTED_VALUE"""),33)</f>
        <v>33</v>
      </c>
      <c r="E2045" s="1" t="str">
        <f ca="1">IFERROR(__xludf.DUMMYFUNCTION("""COMPUTED_VALUE"""),"Lakeshore Lightning Hockey")</f>
        <v>Lakeshore Lightning Hockey</v>
      </c>
      <c r="F2045" s="87" t="str">
        <f t="shared" ca="1" si="0"/>
        <v>2023</v>
      </c>
      <c r="H2045" s="26" t="str">
        <f t="shared" si="1"/>
        <v/>
      </c>
      <c r="I2045" s="26" t="str">
        <f t="shared" si="2"/>
        <v/>
      </c>
      <c r="J2045" s="86">
        <f t="shared" ca="1" si="3"/>
        <v>45214</v>
      </c>
      <c r="R2045" s="26"/>
    </row>
    <row r="2046" spans="1:18" ht="15.75" customHeight="1">
      <c r="A2046" s="26">
        <f ca="1">IFERROR(__xludf.DUMMYFUNCTION("""COMPUTED_VALUE"""),20798)</f>
        <v>20798</v>
      </c>
      <c r="B2046" s="86">
        <f ca="1">IFERROR(__xludf.DUMMYFUNCTION("""COMPUTED_VALUE"""),45214.5653472222)</f>
        <v>45214.565347222197</v>
      </c>
      <c r="C2046" s="1" t="str">
        <f ca="1">IFERROR(__xludf.DUMMYFUNCTION("""COMPUTED_VALUE"""),"completed")</f>
        <v>completed</v>
      </c>
      <c r="D2046" s="26">
        <f ca="1">IFERROR(__xludf.DUMMYFUNCTION("""COMPUTED_VALUE"""),15)</f>
        <v>15</v>
      </c>
      <c r="E2046" s="1" t="str">
        <f ca="1">IFERROR(__xludf.DUMMYFUNCTION("""COMPUTED_VALUE"""),"WMFA")</f>
        <v>WMFA</v>
      </c>
      <c r="F2046" s="87" t="str">
        <f t="shared" ca="1" si="0"/>
        <v>2023</v>
      </c>
      <c r="H2046" s="26" t="str">
        <f t="shared" si="1"/>
        <v/>
      </c>
      <c r="I2046" s="26" t="str">
        <f t="shared" si="2"/>
        <v/>
      </c>
      <c r="J2046" s="86">
        <f t="shared" ca="1" si="3"/>
        <v>45214</v>
      </c>
      <c r="R2046" s="26"/>
    </row>
    <row r="2047" spans="1:18" ht="15.75" customHeight="1">
      <c r="A2047" s="26">
        <f ca="1">IFERROR(__xludf.DUMMYFUNCTION("""COMPUTED_VALUE"""),20799)</f>
        <v>20799</v>
      </c>
      <c r="B2047" s="86">
        <f ca="1">IFERROR(__xludf.DUMMYFUNCTION("""COMPUTED_VALUE"""),45214.5963888888)</f>
        <v>45214.5963888888</v>
      </c>
      <c r="C2047" s="1" t="str">
        <f ca="1">IFERROR(__xludf.DUMMYFUNCTION("""COMPUTED_VALUE"""),"completed")</f>
        <v>completed</v>
      </c>
      <c r="D2047" s="26">
        <f ca="1">IFERROR(__xludf.DUMMYFUNCTION("""COMPUTED_VALUE"""),26)</f>
        <v>26</v>
      </c>
      <c r="E2047" s="1" t="str">
        <f ca="1">IFERROR(__xludf.DUMMYFUNCTION("""COMPUTED_VALUE"""),"WMFA")</f>
        <v>WMFA</v>
      </c>
      <c r="F2047" s="87" t="str">
        <f t="shared" ca="1" si="0"/>
        <v>2023</v>
      </c>
      <c r="H2047" s="26" t="str">
        <f t="shared" si="1"/>
        <v/>
      </c>
      <c r="I2047" s="26" t="str">
        <f t="shared" si="2"/>
        <v/>
      </c>
      <c r="J2047" s="86">
        <f t="shared" ca="1" si="3"/>
        <v>45214</v>
      </c>
      <c r="R2047" s="26"/>
    </row>
    <row r="2048" spans="1:18" ht="15.75" customHeight="1">
      <c r="A2048" s="26">
        <f ca="1">IFERROR(__xludf.DUMMYFUNCTION("""COMPUTED_VALUE"""),20800)</f>
        <v>20800</v>
      </c>
      <c r="B2048" s="86">
        <f ca="1">IFERROR(__xludf.DUMMYFUNCTION("""COMPUTED_VALUE"""),45214.6183101851)</f>
        <v>45214.618310185098</v>
      </c>
      <c r="C2048" s="1" t="str">
        <f ca="1">IFERROR(__xludf.DUMMYFUNCTION("""COMPUTED_VALUE"""),"completed")</f>
        <v>completed</v>
      </c>
      <c r="D2048" s="26">
        <f ca="1">IFERROR(__xludf.DUMMYFUNCTION("""COMPUTED_VALUE"""),53)</f>
        <v>53</v>
      </c>
      <c r="E2048" s="1" t="str">
        <f ca="1">IFERROR(__xludf.DUMMYFUNCTION("""COMPUTED_VALUE"""),"South Point Stars")</f>
        <v>South Point Stars</v>
      </c>
      <c r="F2048" s="87" t="str">
        <f t="shared" ca="1" si="0"/>
        <v>2023</v>
      </c>
      <c r="H2048" s="26" t="str">
        <f t="shared" si="1"/>
        <v/>
      </c>
      <c r="I2048" s="26" t="str">
        <f t="shared" si="2"/>
        <v/>
      </c>
      <c r="J2048" s="86">
        <f t="shared" ca="1" si="3"/>
        <v>45214</v>
      </c>
      <c r="R2048" s="26"/>
    </row>
    <row r="2049" spans="1:18" ht="15.75" customHeight="1">
      <c r="A2049" s="26">
        <f ca="1">IFERROR(__xludf.DUMMYFUNCTION("""COMPUTED_VALUE"""),20804)</f>
        <v>20804</v>
      </c>
      <c r="B2049" s="86">
        <f ca="1">IFERROR(__xludf.DUMMYFUNCTION("""COMPUTED_VALUE"""),45214.6726273148)</f>
        <v>45214.672627314802</v>
      </c>
      <c r="C2049" s="1" t="str">
        <f ca="1">IFERROR(__xludf.DUMMYFUNCTION("""COMPUTED_VALUE"""),"completed")</f>
        <v>completed</v>
      </c>
      <c r="D2049" s="26">
        <f ca="1">IFERROR(__xludf.DUMMYFUNCTION("""COMPUTED_VALUE"""),26)</f>
        <v>26</v>
      </c>
      <c r="E2049" s="1" t="str">
        <f ca="1">IFERROR(__xludf.DUMMYFUNCTION("""COMPUTED_VALUE"""),"Lakeshore Lightning Hockey")</f>
        <v>Lakeshore Lightning Hockey</v>
      </c>
      <c r="F2049" s="87" t="str">
        <f t="shared" ca="1" si="0"/>
        <v>2023</v>
      </c>
      <c r="H2049" s="26" t="str">
        <f t="shared" si="1"/>
        <v/>
      </c>
      <c r="I2049" s="26" t="str">
        <f t="shared" si="2"/>
        <v/>
      </c>
      <c r="J2049" s="86">
        <f t="shared" ca="1" si="3"/>
        <v>45214</v>
      </c>
      <c r="R2049" s="26"/>
    </row>
    <row r="2050" spans="1:18" ht="15.75" customHeight="1">
      <c r="A2050" s="26">
        <f ca="1">IFERROR(__xludf.DUMMYFUNCTION("""COMPUTED_VALUE"""),20803)</f>
        <v>20803</v>
      </c>
      <c r="B2050" s="86">
        <f ca="1">IFERROR(__xludf.DUMMYFUNCTION("""COMPUTED_VALUE"""),45214.6703472222)</f>
        <v>45214.6703472222</v>
      </c>
      <c r="C2050" s="1" t="str">
        <f ca="1">IFERROR(__xludf.DUMMYFUNCTION("""COMPUTED_VALUE"""),"completed")</f>
        <v>completed</v>
      </c>
      <c r="D2050" s="26">
        <f ca="1">IFERROR(__xludf.DUMMYFUNCTION("""COMPUTED_VALUE"""),55)</f>
        <v>55</v>
      </c>
      <c r="E2050" s="1" t="str">
        <f ca="1">IFERROR(__xludf.DUMMYFUNCTION("""COMPUTED_VALUE"""),"Lakeshore Lightning Hockey")</f>
        <v>Lakeshore Lightning Hockey</v>
      </c>
      <c r="F2050" s="87" t="str">
        <f t="shared" ca="1" si="0"/>
        <v>2023</v>
      </c>
      <c r="H2050" s="26" t="str">
        <f t="shared" si="1"/>
        <v/>
      </c>
      <c r="I2050" s="26" t="str">
        <f t="shared" si="2"/>
        <v/>
      </c>
      <c r="J2050" s="86">
        <f t="shared" ca="1" si="3"/>
        <v>45214</v>
      </c>
      <c r="R2050" s="26"/>
    </row>
    <row r="2051" spans="1:18" ht="15.75" customHeight="1">
      <c r="A2051" s="26">
        <f ca="1">IFERROR(__xludf.DUMMYFUNCTION("""COMPUTED_VALUE"""),20802)</f>
        <v>20802</v>
      </c>
      <c r="B2051" s="86">
        <f ca="1">IFERROR(__xludf.DUMMYFUNCTION("""COMPUTED_VALUE"""),45214.6703009259)</f>
        <v>45214.6703009259</v>
      </c>
      <c r="C2051" s="1" t="str">
        <f ca="1">IFERROR(__xludf.DUMMYFUNCTION("""COMPUTED_VALUE"""),"completed")</f>
        <v>completed</v>
      </c>
      <c r="D2051" s="26">
        <f ca="1">IFERROR(__xludf.DUMMYFUNCTION("""COMPUTED_VALUE"""),37)</f>
        <v>37</v>
      </c>
      <c r="E2051" s="1" t="str">
        <f ca="1">IFERROR(__xludf.DUMMYFUNCTION("""COMPUTED_VALUE"""),"Lakeshore Lightning Hockey")</f>
        <v>Lakeshore Lightning Hockey</v>
      </c>
      <c r="F2051" s="87" t="str">
        <f t="shared" ca="1" si="0"/>
        <v>2023</v>
      </c>
      <c r="H2051" s="26" t="str">
        <f t="shared" si="1"/>
        <v/>
      </c>
      <c r="I2051" s="26" t="str">
        <f t="shared" si="2"/>
        <v/>
      </c>
      <c r="J2051" s="86">
        <f t="shared" ca="1" si="3"/>
        <v>45214</v>
      </c>
      <c r="R2051" s="26"/>
    </row>
    <row r="2052" spans="1:18" ht="15.75" customHeight="1">
      <c r="A2052" s="26">
        <f ca="1">IFERROR(__xludf.DUMMYFUNCTION("""COMPUTED_VALUE"""),20801)</f>
        <v>20801</v>
      </c>
      <c r="B2052" s="86">
        <f ca="1">IFERROR(__xludf.DUMMYFUNCTION("""COMPUTED_VALUE"""),45214.6666087962)</f>
        <v>45214.6666087962</v>
      </c>
      <c r="C2052" s="1" t="str">
        <f ca="1">IFERROR(__xludf.DUMMYFUNCTION("""COMPUTED_VALUE"""),"completed")</f>
        <v>completed</v>
      </c>
      <c r="D2052" s="26">
        <f ca="1">IFERROR(__xludf.DUMMYFUNCTION("""COMPUTED_VALUE"""),35)</f>
        <v>35</v>
      </c>
      <c r="E2052" s="1" t="str">
        <f ca="1">IFERROR(__xludf.DUMMYFUNCTION("""COMPUTED_VALUE"""),"Lakeshore Lightning Hockey")</f>
        <v>Lakeshore Lightning Hockey</v>
      </c>
      <c r="F2052" s="87" t="str">
        <f t="shared" ca="1" si="0"/>
        <v>2023</v>
      </c>
      <c r="H2052" s="26" t="str">
        <f t="shared" si="1"/>
        <v/>
      </c>
      <c r="I2052" s="26" t="str">
        <f t="shared" si="2"/>
        <v/>
      </c>
      <c r="J2052" s="86">
        <f t="shared" ca="1" si="3"/>
        <v>45214</v>
      </c>
      <c r="R2052" s="26"/>
    </row>
    <row r="2053" spans="1:18" ht="15.75" customHeight="1">
      <c r="A2053" s="26">
        <f ca="1">IFERROR(__xludf.DUMMYFUNCTION("""COMPUTED_VALUE"""),20805)</f>
        <v>20805</v>
      </c>
      <c r="B2053" s="86">
        <f ca="1">IFERROR(__xludf.DUMMYFUNCTION("""COMPUTED_VALUE"""),45214.6731944444)</f>
        <v>45214.673194444404</v>
      </c>
      <c r="C2053" s="1" t="str">
        <f ca="1">IFERROR(__xludf.DUMMYFUNCTION("""COMPUTED_VALUE"""),"completed")</f>
        <v>completed</v>
      </c>
      <c r="D2053" s="26">
        <f ca="1">IFERROR(__xludf.DUMMYFUNCTION("""COMPUTED_VALUE"""),35)</f>
        <v>35</v>
      </c>
      <c r="E2053" s="1" t="str">
        <f ca="1">IFERROR(__xludf.DUMMYFUNCTION("""COMPUTED_VALUE"""),"Lakeshore Lightning Hockey")</f>
        <v>Lakeshore Lightning Hockey</v>
      </c>
      <c r="F2053" s="87" t="str">
        <f t="shared" ca="1" si="0"/>
        <v>2023</v>
      </c>
      <c r="H2053" s="26" t="str">
        <f t="shared" si="1"/>
        <v/>
      </c>
      <c r="I2053" s="26" t="str">
        <f t="shared" si="2"/>
        <v/>
      </c>
      <c r="J2053" s="86">
        <f t="shared" ca="1" si="3"/>
        <v>45214</v>
      </c>
      <c r="R2053" s="26"/>
    </row>
    <row r="2054" spans="1:18" ht="15.75" customHeight="1">
      <c r="A2054" s="26">
        <f ca="1">IFERROR(__xludf.DUMMYFUNCTION("""COMPUTED_VALUE"""),20806)</f>
        <v>20806</v>
      </c>
      <c r="B2054" s="86">
        <f ca="1">IFERROR(__xludf.DUMMYFUNCTION("""COMPUTED_VALUE"""),45214.6809953703)</f>
        <v>45214.680995370298</v>
      </c>
      <c r="C2054" s="1" t="str">
        <f ca="1">IFERROR(__xludf.DUMMYFUNCTION("""COMPUTED_VALUE"""),"completed")</f>
        <v>completed</v>
      </c>
      <c r="D2054" s="26">
        <f ca="1">IFERROR(__xludf.DUMMYFUNCTION("""COMPUTED_VALUE"""),15)</f>
        <v>15</v>
      </c>
      <c r="E2054" s="1" t="str">
        <f ca="1">IFERROR(__xludf.DUMMYFUNCTION("""COMPUTED_VALUE"""),"Lakeshore Lightning Hockey")</f>
        <v>Lakeshore Lightning Hockey</v>
      </c>
      <c r="F2054" s="87" t="str">
        <f t="shared" ca="1" si="0"/>
        <v>2023</v>
      </c>
      <c r="H2054" s="26" t="str">
        <f t="shared" si="1"/>
        <v/>
      </c>
      <c r="I2054" s="26" t="str">
        <f t="shared" si="2"/>
        <v/>
      </c>
      <c r="J2054" s="86">
        <f t="shared" ca="1" si="3"/>
        <v>45214</v>
      </c>
      <c r="R2054" s="26"/>
    </row>
    <row r="2055" spans="1:18" ht="15.75" customHeight="1">
      <c r="A2055" s="26">
        <f ca="1">IFERROR(__xludf.DUMMYFUNCTION("""COMPUTED_VALUE"""),20807)</f>
        <v>20807</v>
      </c>
      <c r="B2055" s="86">
        <f ca="1">IFERROR(__xludf.DUMMYFUNCTION("""COMPUTED_VALUE"""),45214.6908449074)</f>
        <v>45214.690844907404</v>
      </c>
      <c r="C2055" s="1" t="str">
        <f ca="1">IFERROR(__xludf.DUMMYFUNCTION("""COMPUTED_VALUE"""),"completed")</f>
        <v>completed</v>
      </c>
      <c r="D2055" s="26">
        <f ca="1">IFERROR(__xludf.DUMMYFUNCTION("""COMPUTED_VALUE"""),48)</f>
        <v>48</v>
      </c>
      <c r="E2055" s="1" t="str">
        <f ca="1">IFERROR(__xludf.DUMMYFUNCTION("""COMPUTED_VALUE"""),"Lasalle Stompers")</f>
        <v>Lasalle Stompers</v>
      </c>
      <c r="F2055" s="87" t="str">
        <f t="shared" ca="1" si="0"/>
        <v>2023</v>
      </c>
      <c r="H2055" s="26" t="str">
        <f t="shared" si="1"/>
        <v/>
      </c>
      <c r="I2055" s="26" t="str">
        <f t="shared" si="2"/>
        <v/>
      </c>
      <c r="J2055" s="86">
        <f t="shared" ca="1" si="3"/>
        <v>45214</v>
      </c>
      <c r="R2055" s="26"/>
    </row>
    <row r="2056" spans="1:18" ht="15.75" customHeight="1">
      <c r="A2056" s="26">
        <f ca="1">IFERROR(__xludf.DUMMYFUNCTION("""COMPUTED_VALUE"""),20809)</f>
        <v>20809</v>
      </c>
      <c r="B2056" s="86">
        <f ca="1">IFERROR(__xludf.DUMMYFUNCTION("""COMPUTED_VALUE"""),45214.7069328703)</f>
        <v>45214.7069328703</v>
      </c>
      <c r="C2056" s="1" t="str">
        <f ca="1">IFERROR(__xludf.DUMMYFUNCTION("""COMPUTED_VALUE"""),"completed")</f>
        <v>completed</v>
      </c>
      <c r="D2056" s="26">
        <f ca="1">IFERROR(__xludf.DUMMYFUNCTION("""COMPUTED_VALUE"""),26)</f>
        <v>26</v>
      </c>
      <c r="E2056" s="1" t="str">
        <f ca="1">IFERROR(__xludf.DUMMYFUNCTION("""COMPUTED_VALUE"""),"Lakeshore Lightning Hockey")</f>
        <v>Lakeshore Lightning Hockey</v>
      </c>
      <c r="F2056" s="87" t="str">
        <f t="shared" ca="1" si="0"/>
        <v>2023</v>
      </c>
      <c r="H2056" s="26" t="str">
        <f t="shared" si="1"/>
        <v/>
      </c>
      <c r="I2056" s="26" t="str">
        <f t="shared" si="2"/>
        <v/>
      </c>
      <c r="J2056" s="86">
        <f t="shared" ca="1" si="3"/>
        <v>45214</v>
      </c>
      <c r="R2056" s="26"/>
    </row>
    <row r="2057" spans="1:18" ht="15.75" customHeight="1">
      <c r="A2057" s="26">
        <f ca="1">IFERROR(__xludf.DUMMYFUNCTION("""COMPUTED_VALUE"""),20808)</f>
        <v>20808</v>
      </c>
      <c r="B2057" s="86">
        <f ca="1">IFERROR(__xludf.DUMMYFUNCTION("""COMPUTED_VALUE"""),45214.7047106481)</f>
        <v>45214.704710648097</v>
      </c>
      <c r="C2057" s="1" t="str">
        <f ca="1">IFERROR(__xludf.DUMMYFUNCTION("""COMPUTED_VALUE"""),"completed")</f>
        <v>completed</v>
      </c>
      <c r="D2057" s="26">
        <f ca="1">IFERROR(__xludf.DUMMYFUNCTION("""COMPUTED_VALUE"""),26)</f>
        <v>26</v>
      </c>
      <c r="E2057" s="1" t="str">
        <f ca="1">IFERROR(__xludf.DUMMYFUNCTION("""COMPUTED_VALUE"""),"Lakeshore Lightning Hockey")</f>
        <v>Lakeshore Lightning Hockey</v>
      </c>
      <c r="F2057" s="87" t="str">
        <f t="shared" ca="1" si="0"/>
        <v>2023</v>
      </c>
      <c r="H2057" s="26" t="str">
        <f t="shared" si="1"/>
        <v/>
      </c>
      <c r="I2057" s="26" t="str">
        <f t="shared" si="2"/>
        <v/>
      </c>
      <c r="J2057" s="86">
        <f t="shared" ca="1" si="3"/>
        <v>45214</v>
      </c>
      <c r="R2057" s="26"/>
    </row>
    <row r="2058" spans="1:18" ht="15.75" customHeight="1">
      <c r="A2058" s="26">
        <f ca="1">IFERROR(__xludf.DUMMYFUNCTION("""COMPUTED_VALUE"""),20810)</f>
        <v>20810</v>
      </c>
      <c r="B2058" s="86">
        <f ca="1">IFERROR(__xludf.DUMMYFUNCTION("""COMPUTED_VALUE"""),45214.7204861111)</f>
        <v>45214.720486111102</v>
      </c>
      <c r="C2058" s="1" t="str">
        <f ca="1">IFERROR(__xludf.DUMMYFUNCTION("""COMPUTED_VALUE"""),"completed")</f>
        <v>completed</v>
      </c>
      <c r="D2058" s="26">
        <f ca="1">IFERROR(__xludf.DUMMYFUNCTION("""COMPUTED_VALUE"""),56)</f>
        <v>56</v>
      </c>
      <c r="E2058" s="1" t="str">
        <f ca="1">IFERROR(__xludf.DUMMYFUNCTION("""COMPUTED_VALUE"""),"Lakeshore Lightning Hockey")</f>
        <v>Lakeshore Lightning Hockey</v>
      </c>
      <c r="F2058" s="87" t="str">
        <f t="shared" ca="1" si="0"/>
        <v>2023</v>
      </c>
      <c r="H2058" s="26" t="str">
        <f t="shared" si="1"/>
        <v/>
      </c>
      <c r="I2058" s="26" t="str">
        <f t="shared" si="2"/>
        <v/>
      </c>
      <c r="J2058" s="86">
        <f t="shared" ca="1" si="3"/>
        <v>45214</v>
      </c>
      <c r="R2058" s="26"/>
    </row>
    <row r="2059" spans="1:18" ht="15.75" customHeight="1">
      <c r="A2059" s="26">
        <f ca="1">IFERROR(__xludf.DUMMYFUNCTION("""COMPUTED_VALUE"""),20811)</f>
        <v>20811</v>
      </c>
      <c r="B2059" s="86">
        <f ca="1">IFERROR(__xludf.DUMMYFUNCTION("""COMPUTED_VALUE"""),45214.7582638888)</f>
        <v>45214.758263888798</v>
      </c>
      <c r="C2059" s="1" t="str">
        <f ca="1">IFERROR(__xludf.DUMMYFUNCTION("""COMPUTED_VALUE"""),"completed")</f>
        <v>completed</v>
      </c>
      <c r="D2059" s="26">
        <f ca="1">IFERROR(__xludf.DUMMYFUNCTION("""COMPUTED_VALUE"""),22)</f>
        <v>22</v>
      </c>
      <c r="E2059" s="1" t="str">
        <f ca="1">IFERROR(__xludf.DUMMYFUNCTION("""COMPUTED_VALUE"""),"Lakeshore Lightning Hockey")</f>
        <v>Lakeshore Lightning Hockey</v>
      </c>
      <c r="F2059" s="87" t="str">
        <f t="shared" ca="1" si="0"/>
        <v>2023</v>
      </c>
      <c r="H2059" s="26" t="str">
        <f t="shared" si="1"/>
        <v/>
      </c>
      <c r="I2059" s="26" t="str">
        <f t="shared" si="2"/>
        <v/>
      </c>
      <c r="J2059" s="86">
        <f t="shared" ca="1" si="3"/>
        <v>45214</v>
      </c>
      <c r="R2059" s="26"/>
    </row>
    <row r="2060" spans="1:18" ht="15.75" customHeight="1">
      <c r="A2060" s="26">
        <f ca="1">IFERROR(__xludf.DUMMYFUNCTION("""COMPUTED_VALUE"""),20812)</f>
        <v>20812</v>
      </c>
      <c r="B2060" s="86">
        <f ca="1">IFERROR(__xludf.DUMMYFUNCTION("""COMPUTED_VALUE"""),45214.7812384259)</f>
        <v>45214.781238425901</v>
      </c>
      <c r="C2060" s="1" t="str">
        <f ca="1">IFERROR(__xludf.DUMMYFUNCTION("""COMPUTED_VALUE"""),"completed")</f>
        <v>completed</v>
      </c>
      <c r="D2060" s="26">
        <f ca="1">IFERROR(__xludf.DUMMYFUNCTION("""COMPUTED_VALUE"""),15)</f>
        <v>15</v>
      </c>
      <c r="E2060" s="1" t="str">
        <f ca="1">IFERROR(__xludf.DUMMYFUNCTION("""COMPUTED_VALUE"""),"Lakeshore Lightning Hockey")</f>
        <v>Lakeshore Lightning Hockey</v>
      </c>
      <c r="F2060" s="87" t="str">
        <f t="shared" ca="1" si="0"/>
        <v>2023</v>
      </c>
      <c r="H2060" s="26" t="str">
        <f t="shared" si="1"/>
        <v/>
      </c>
      <c r="I2060" s="26" t="str">
        <f t="shared" si="2"/>
        <v/>
      </c>
      <c r="J2060" s="86">
        <f t="shared" ca="1" si="3"/>
        <v>45214</v>
      </c>
      <c r="R2060" s="26"/>
    </row>
    <row r="2061" spans="1:18" ht="15.75" customHeight="1">
      <c r="A2061" s="26">
        <f ca="1">IFERROR(__xludf.DUMMYFUNCTION("""COMPUTED_VALUE"""),20814)</f>
        <v>20814</v>
      </c>
      <c r="B2061" s="86">
        <f ca="1">IFERROR(__xludf.DUMMYFUNCTION("""COMPUTED_VALUE"""),45214.7877662037)</f>
        <v>45214.787766203699</v>
      </c>
      <c r="C2061" s="1" t="str">
        <f ca="1">IFERROR(__xludf.DUMMYFUNCTION("""COMPUTED_VALUE"""),"completed")</f>
        <v>completed</v>
      </c>
      <c r="D2061" s="26">
        <f ca="1">IFERROR(__xludf.DUMMYFUNCTION("""COMPUTED_VALUE"""),44)</f>
        <v>44</v>
      </c>
      <c r="E2061" s="1" t="str">
        <f ca="1">IFERROR(__xludf.DUMMYFUNCTION("""COMPUTED_VALUE"""),"Lakeshore Lightning Hockey")</f>
        <v>Lakeshore Lightning Hockey</v>
      </c>
      <c r="F2061" s="87" t="str">
        <f t="shared" ca="1" si="0"/>
        <v>2023</v>
      </c>
      <c r="H2061" s="26" t="str">
        <f t="shared" si="1"/>
        <v/>
      </c>
      <c r="I2061" s="26" t="str">
        <f t="shared" si="2"/>
        <v/>
      </c>
      <c r="J2061" s="86">
        <f t="shared" ca="1" si="3"/>
        <v>45214</v>
      </c>
      <c r="R2061" s="26"/>
    </row>
    <row r="2062" spans="1:18" ht="15.75" customHeight="1">
      <c r="A2062" s="26">
        <f ca="1">IFERROR(__xludf.DUMMYFUNCTION("""COMPUTED_VALUE"""),20813)</f>
        <v>20813</v>
      </c>
      <c r="B2062" s="86">
        <f ca="1">IFERROR(__xludf.DUMMYFUNCTION("""COMPUTED_VALUE"""),45214.7853472222)</f>
        <v>45214.785347222198</v>
      </c>
      <c r="C2062" s="1" t="str">
        <f ca="1">IFERROR(__xludf.DUMMYFUNCTION("""COMPUTED_VALUE"""),"completed")</f>
        <v>completed</v>
      </c>
      <c r="D2062" s="26">
        <f ca="1">IFERROR(__xludf.DUMMYFUNCTION("""COMPUTED_VALUE"""),35)</f>
        <v>35</v>
      </c>
      <c r="E2062" s="1" t="str">
        <f ca="1">IFERROR(__xludf.DUMMYFUNCTION("""COMPUTED_VALUE"""),"Lakeshore Lightning Hockey")</f>
        <v>Lakeshore Lightning Hockey</v>
      </c>
      <c r="F2062" s="87" t="str">
        <f t="shared" ca="1" si="0"/>
        <v>2023</v>
      </c>
      <c r="H2062" s="26" t="str">
        <f t="shared" si="1"/>
        <v/>
      </c>
      <c r="I2062" s="26" t="str">
        <f t="shared" si="2"/>
        <v/>
      </c>
      <c r="J2062" s="86">
        <f t="shared" ca="1" si="3"/>
        <v>45214</v>
      </c>
      <c r="R2062" s="26"/>
    </row>
    <row r="2063" spans="1:18" ht="15.75" customHeight="1">
      <c r="A2063" s="26">
        <f ca="1">IFERROR(__xludf.DUMMYFUNCTION("""COMPUTED_VALUE"""),20816)</f>
        <v>20816</v>
      </c>
      <c r="B2063" s="86">
        <f ca="1">IFERROR(__xludf.DUMMYFUNCTION("""COMPUTED_VALUE"""),45214.7949189814)</f>
        <v>45214.794918981403</v>
      </c>
      <c r="C2063" s="1" t="str">
        <f ca="1">IFERROR(__xludf.DUMMYFUNCTION("""COMPUTED_VALUE"""),"completed")</f>
        <v>completed</v>
      </c>
      <c r="D2063" s="26">
        <f ca="1">IFERROR(__xludf.DUMMYFUNCTION("""COMPUTED_VALUE"""),35)</f>
        <v>35</v>
      </c>
      <c r="E2063" s="1" t="str">
        <f ca="1">IFERROR(__xludf.DUMMYFUNCTION("""COMPUTED_VALUE"""),"Lakeshore Lightning Hockey")</f>
        <v>Lakeshore Lightning Hockey</v>
      </c>
      <c r="F2063" s="87" t="str">
        <f t="shared" ca="1" si="0"/>
        <v>2023</v>
      </c>
      <c r="H2063" s="26" t="str">
        <f t="shared" si="1"/>
        <v/>
      </c>
      <c r="I2063" s="26" t="str">
        <f t="shared" si="2"/>
        <v/>
      </c>
      <c r="J2063" s="86">
        <f t="shared" ca="1" si="3"/>
        <v>45214</v>
      </c>
      <c r="R2063" s="26"/>
    </row>
    <row r="2064" spans="1:18" ht="15.75" customHeight="1">
      <c r="A2064" s="26">
        <f ca="1">IFERROR(__xludf.DUMMYFUNCTION("""COMPUTED_VALUE"""),20815)</f>
        <v>20815</v>
      </c>
      <c r="B2064" s="86">
        <f ca="1">IFERROR(__xludf.DUMMYFUNCTION("""COMPUTED_VALUE"""),45214.7921875)</f>
        <v>45214.792187500003</v>
      </c>
      <c r="C2064" s="1" t="str">
        <f ca="1">IFERROR(__xludf.DUMMYFUNCTION("""COMPUTED_VALUE"""),"completed")</f>
        <v>completed</v>
      </c>
      <c r="D2064" s="26">
        <f ca="1">IFERROR(__xludf.DUMMYFUNCTION("""COMPUTED_VALUE"""),45)</f>
        <v>45</v>
      </c>
      <c r="E2064" s="1" t="str">
        <f ca="1">IFERROR(__xludf.DUMMYFUNCTION("""COMPUTED_VALUE"""),"Lakeshore Lightning Hockey")</f>
        <v>Lakeshore Lightning Hockey</v>
      </c>
      <c r="F2064" s="87" t="str">
        <f t="shared" ca="1" si="0"/>
        <v>2023</v>
      </c>
      <c r="H2064" s="26" t="str">
        <f t="shared" si="1"/>
        <v/>
      </c>
      <c r="I2064" s="26" t="str">
        <f t="shared" si="2"/>
        <v/>
      </c>
      <c r="J2064" s="86">
        <f t="shared" ca="1" si="3"/>
        <v>45214</v>
      </c>
      <c r="R2064" s="26"/>
    </row>
    <row r="2065" spans="1:18" ht="15.75" customHeight="1">
      <c r="A2065" s="26">
        <f ca="1">IFERROR(__xludf.DUMMYFUNCTION("""COMPUTED_VALUE"""),20817)</f>
        <v>20817</v>
      </c>
      <c r="B2065" s="86">
        <f ca="1">IFERROR(__xludf.DUMMYFUNCTION("""COMPUTED_VALUE"""),45214.8245949074)</f>
        <v>45214.824594907397</v>
      </c>
      <c r="C2065" s="1" t="str">
        <f ca="1">IFERROR(__xludf.DUMMYFUNCTION("""COMPUTED_VALUE"""),"completed")</f>
        <v>completed</v>
      </c>
      <c r="D2065" s="26">
        <f ca="1">IFERROR(__xludf.DUMMYFUNCTION("""COMPUTED_VALUE"""),28)</f>
        <v>28</v>
      </c>
      <c r="E2065" s="1" t="str">
        <f ca="1">IFERROR(__xludf.DUMMYFUNCTION("""COMPUTED_VALUE"""),"WMFA")</f>
        <v>WMFA</v>
      </c>
      <c r="F2065" s="87" t="str">
        <f t="shared" ca="1" si="0"/>
        <v>2023</v>
      </c>
      <c r="H2065" s="26" t="str">
        <f t="shared" si="1"/>
        <v/>
      </c>
      <c r="I2065" s="26" t="str">
        <f t="shared" si="2"/>
        <v/>
      </c>
      <c r="J2065" s="86">
        <f t="shared" ca="1" si="3"/>
        <v>45214</v>
      </c>
      <c r="R2065" s="26"/>
    </row>
    <row r="2066" spans="1:18" ht="15.75" customHeight="1">
      <c r="A2066" s="26">
        <f ca="1">IFERROR(__xludf.DUMMYFUNCTION("""COMPUTED_VALUE"""),20818)</f>
        <v>20818</v>
      </c>
      <c r="B2066" s="86">
        <f ca="1">IFERROR(__xludf.DUMMYFUNCTION("""COMPUTED_VALUE"""),45214.8491319444)</f>
        <v>45214.8491319444</v>
      </c>
      <c r="C2066" s="1" t="str">
        <f ca="1">IFERROR(__xludf.DUMMYFUNCTION("""COMPUTED_VALUE"""),"completed")</f>
        <v>completed</v>
      </c>
      <c r="D2066" s="26">
        <f ca="1">IFERROR(__xludf.DUMMYFUNCTION("""COMPUTED_VALUE"""),117)</f>
        <v>117</v>
      </c>
      <c r="E2066" s="1" t="str">
        <f ca="1">IFERROR(__xludf.DUMMYFUNCTION("""COMPUTED_VALUE"""),"Lakeshore Lightning Hockey")</f>
        <v>Lakeshore Lightning Hockey</v>
      </c>
      <c r="F2066" s="87" t="str">
        <f t="shared" ca="1" si="0"/>
        <v>2023</v>
      </c>
      <c r="H2066" s="26" t="str">
        <f t="shared" si="1"/>
        <v/>
      </c>
      <c r="I2066" s="26" t="str">
        <f t="shared" si="2"/>
        <v/>
      </c>
      <c r="J2066" s="86">
        <f t="shared" ca="1" si="3"/>
        <v>45214</v>
      </c>
      <c r="R2066" s="26"/>
    </row>
    <row r="2067" spans="1:18" ht="15.75" customHeight="1">
      <c r="A2067" s="26">
        <f ca="1">IFERROR(__xludf.DUMMYFUNCTION("""COMPUTED_VALUE"""),20819)</f>
        <v>20819</v>
      </c>
      <c r="B2067" s="86">
        <f ca="1">IFERROR(__xludf.DUMMYFUNCTION("""COMPUTED_VALUE"""),45214.8611805555)</f>
        <v>45214.861180555497</v>
      </c>
      <c r="C2067" s="1" t="str">
        <f ca="1">IFERROR(__xludf.DUMMYFUNCTION("""COMPUTED_VALUE"""),"completed")</f>
        <v>completed</v>
      </c>
      <c r="D2067" s="26">
        <f ca="1">IFERROR(__xludf.DUMMYFUNCTION("""COMPUTED_VALUE"""),37)</f>
        <v>37</v>
      </c>
      <c r="E2067" s="1" t="str">
        <f ca="1">IFERROR(__xludf.DUMMYFUNCTION("""COMPUTED_VALUE"""),"Lakeshore Lightning Hockey")</f>
        <v>Lakeshore Lightning Hockey</v>
      </c>
      <c r="F2067" s="87" t="str">
        <f t="shared" ca="1" si="0"/>
        <v>2023</v>
      </c>
      <c r="H2067" s="26" t="str">
        <f t="shared" si="1"/>
        <v/>
      </c>
      <c r="I2067" s="26" t="str">
        <f t="shared" si="2"/>
        <v/>
      </c>
      <c r="J2067" s="86">
        <f t="shared" ca="1" si="3"/>
        <v>45214</v>
      </c>
      <c r="R2067" s="26"/>
    </row>
    <row r="2068" spans="1:18" ht="15.75" customHeight="1">
      <c r="A2068" s="26">
        <f ca="1">IFERROR(__xludf.DUMMYFUNCTION("""COMPUTED_VALUE"""),20820)</f>
        <v>20820</v>
      </c>
      <c r="B2068" s="86">
        <f ca="1">IFERROR(__xludf.DUMMYFUNCTION("""COMPUTED_VALUE"""),45214.8824884259)</f>
        <v>45214.882488425901</v>
      </c>
      <c r="C2068" s="1" t="str">
        <f ca="1">IFERROR(__xludf.DUMMYFUNCTION("""COMPUTED_VALUE"""),"completed")</f>
        <v>completed</v>
      </c>
      <c r="D2068" s="26">
        <f ca="1">IFERROR(__xludf.DUMMYFUNCTION("""COMPUTED_VALUE"""),40)</f>
        <v>40</v>
      </c>
      <c r="E2068" s="1" t="str">
        <f ca="1">IFERROR(__xludf.DUMMYFUNCTION("""COMPUTED_VALUE"""),"Lakeshore Lightning Hockey")</f>
        <v>Lakeshore Lightning Hockey</v>
      </c>
      <c r="F2068" s="87" t="str">
        <f t="shared" ca="1" si="0"/>
        <v>2023</v>
      </c>
      <c r="H2068" s="26" t="str">
        <f t="shared" si="1"/>
        <v/>
      </c>
      <c r="I2068" s="26" t="str">
        <f t="shared" si="2"/>
        <v/>
      </c>
      <c r="J2068" s="86">
        <f t="shared" ca="1" si="3"/>
        <v>45214</v>
      </c>
      <c r="R2068" s="26"/>
    </row>
    <row r="2069" spans="1:18" ht="15.75" customHeight="1">
      <c r="A2069" s="26">
        <f ca="1">IFERROR(__xludf.DUMMYFUNCTION("""COMPUTED_VALUE"""),20821)</f>
        <v>20821</v>
      </c>
      <c r="B2069" s="86">
        <f ca="1">IFERROR(__xludf.DUMMYFUNCTION("""COMPUTED_VALUE"""),45214.9008101851)</f>
        <v>45214.9008101851</v>
      </c>
      <c r="C2069" s="1" t="str">
        <f ca="1">IFERROR(__xludf.DUMMYFUNCTION("""COMPUTED_VALUE"""),"completed")</f>
        <v>completed</v>
      </c>
      <c r="D2069" s="26">
        <f ca="1">IFERROR(__xludf.DUMMYFUNCTION("""COMPUTED_VALUE"""),26)</f>
        <v>26</v>
      </c>
      <c r="E2069" s="1" t="str">
        <f ca="1">IFERROR(__xludf.DUMMYFUNCTION("""COMPUTED_VALUE"""),"Lakeshore Lightning Hockey")</f>
        <v>Lakeshore Lightning Hockey</v>
      </c>
      <c r="F2069" s="87" t="str">
        <f t="shared" ca="1" si="0"/>
        <v>2023</v>
      </c>
      <c r="H2069" s="26" t="str">
        <f t="shared" si="1"/>
        <v/>
      </c>
      <c r="I2069" s="26" t="str">
        <f t="shared" si="2"/>
        <v/>
      </c>
      <c r="J2069" s="86">
        <f t="shared" ca="1" si="3"/>
        <v>45214</v>
      </c>
      <c r="R2069" s="26"/>
    </row>
    <row r="2070" spans="1:18" ht="15.75" customHeight="1">
      <c r="A2070" s="26">
        <f ca="1">IFERROR(__xludf.DUMMYFUNCTION("""COMPUTED_VALUE"""),20822)</f>
        <v>20822</v>
      </c>
      <c r="B2070" s="86">
        <f ca="1">IFERROR(__xludf.DUMMYFUNCTION("""COMPUTED_VALUE"""),45214.9108680555)</f>
        <v>45214.9108680555</v>
      </c>
      <c r="C2070" s="1" t="str">
        <f ca="1">IFERROR(__xludf.DUMMYFUNCTION("""COMPUTED_VALUE"""),"completed")</f>
        <v>completed</v>
      </c>
      <c r="D2070" s="26">
        <f ca="1">IFERROR(__xludf.DUMMYFUNCTION("""COMPUTED_VALUE"""),15)</f>
        <v>15</v>
      </c>
      <c r="E2070" s="1" t="str">
        <f ca="1">IFERROR(__xludf.DUMMYFUNCTION("""COMPUTED_VALUE"""),"Lakeshore Lightning Hockey")</f>
        <v>Lakeshore Lightning Hockey</v>
      </c>
      <c r="F2070" s="87" t="str">
        <f t="shared" ca="1" si="0"/>
        <v>2023</v>
      </c>
      <c r="H2070" s="26" t="str">
        <f t="shared" si="1"/>
        <v/>
      </c>
      <c r="I2070" s="26" t="str">
        <f t="shared" si="2"/>
        <v/>
      </c>
      <c r="J2070" s="86">
        <f t="shared" ca="1" si="3"/>
        <v>45214</v>
      </c>
      <c r="R2070" s="26"/>
    </row>
    <row r="2071" spans="1:18" ht="15.75" customHeight="1">
      <c r="A2071" s="26">
        <f ca="1">IFERROR(__xludf.DUMMYFUNCTION("""COMPUTED_VALUE"""),20823)</f>
        <v>20823</v>
      </c>
      <c r="B2071" s="86">
        <f ca="1">IFERROR(__xludf.DUMMYFUNCTION("""COMPUTED_VALUE"""),45214.9172222222)</f>
        <v>45214.917222222197</v>
      </c>
      <c r="C2071" s="1" t="str">
        <f ca="1">IFERROR(__xludf.DUMMYFUNCTION("""COMPUTED_VALUE"""),"completed")</f>
        <v>completed</v>
      </c>
      <c r="D2071" s="26">
        <f ca="1">IFERROR(__xludf.DUMMYFUNCTION("""COMPUTED_VALUE"""),18)</f>
        <v>18</v>
      </c>
      <c r="E2071" s="1" t="str">
        <f ca="1">IFERROR(__xludf.DUMMYFUNCTION("""COMPUTED_VALUE"""),"Lakeshore Lightning Hockey")</f>
        <v>Lakeshore Lightning Hockey</v>
      </c>
      <c r="F2071" s="87" t="str">
        <f t="shared" ca="1" si="0"/>
        <v>2023</v>
      </c>
      <c r="H2071" s="26" t="str">
        <f t="shared" si="1"/>
        <v/>
      </c>
      <c r="I2071" s="26" t="str">
        <f t="shared" si="2"/>
        <v/>
      </c>
      <c r="J2071" s="86">
        <f t="shared" ca="1" si="3"/>
        <v>45214</v>
      </c>
      <c r="R2071" s="26"/>
    </row>
    <row r="2072" spans="1:18" ht="15.75" customHeight="1">
      <c r="A2072" s="26">
        <f ca="1">IFERROR(__xludf.DUMMYFUNCTION("""COMPUTED_VALUE"""),20824)</f>
        <v>20824</v>
      </c>
      <c r="B2072" s="86">
        <f ca="1">IFERROR(__xludf.DUMMYFUNCTION("""COMPUTED_VALUE"""),45214.9233564814)</f>
        <v>45214.923356481399</v>
      </c>
      <c r="C2072" s="1" t="str">
        <f ca="1">IFERROR(__xludf.DUMMYFUNCTION("""COMPUTED_VALUE"""),"completed")</f>
        <v>completed</v>
      </c>
      <c r="D2072" s="26">
        <f ca="1">IFERROR(__xludf.DUMMYFUNCTION("""COMPUTED_VALUE"""),26)</f>
        <v>26</v>
      </c>
      <c r="E2072" s="1" t="str">
        <f ca="1">IFERROR(__xludf.DUMMYFUNCTION("""COMPUTED_VALUE"""),"Lakeshore Lightning Hockey")</f>
        <v>Lakeshore Lightning Hockey</v>
      </c>
      <c r="F2072" s="87" t="str">
        <f t="shared" ca="1" si="0"/>
        <v>2023</v>
      </c>
      <c r="H2072" s="26" t="str">
        <f t="shared" si="1"/>
        <v/>
      </c>
      <c r="I2072" s="26" t="str">
        <f t="shared" si="2"/>
        <v/>
      </c>
      <c r="J2072" s="86">
        <f t="shared" ca="1" si="3"/>
        <v>45214</v>
      </c>
      <c r="R2072" s="26"/>
    </row>
    <row r="2073" spans="1:18" ht="15.75" customHeight="1">
      <c r="A2073" s="26">
        <f ca="1">IFERROR(__xludf.DUMMYFUNCTION("""COMPUTED_VALUE"""),20825)</f>
        <v>20825</v>
      </c>
      <c r="B2073" s="86">
        <f ca="1">IFERROR(__xludf.DUMMYFUNCTION("""COMPUTED_VALUE"""),45215.0015625)</f>
        <v>45215.001562500001</v>
      </c>
      <c r="C2073" s="1" t="str">
        <f ca="1">IFERROR(__xludf.DUMMYFUNCTION("""COMPUTED_VALUE"""),"completed")</f>
        <v>completed</v>
      </c>
      <c r="D2073" s="26">
        <f ca="1">IFERROR(__xludf.DUMMYFUNCTION("""COMPUTED_VALUE"""),44)</f>
        <v>44</v>
      </c>
      <c r="E2073" s="1" t="str">
        <f ca="1">IFERROR(__xludf.DUMMYFUNCTION("""COMPUTED_VALUE"""),"Lakeshore Lightning Hockey")</f>
        <v>Lakeshore Lightning Hockey</v>
      </c>
      <c r="F2073" s="87" t="str">
        <f t="shared" ca="1" si="0"/>
        <v>2023</v>
      </c>
      <c r="H2073" s="26" t="str">
        <f t="shared" si="1"/>
        <v/>
      </c>
      <c r="I2073" s="26" t="str">
        <f t="shared" si="2"/>
        <v/>
      </c>
      <c r="J2073" s="86">
        <f t="shared" ca="1" si="3"/>
        <v>45215</v>
      </c>
      <c r="R2073" s="26"/>
    </row>
    <row r="2074" spans="1:18" ht="15.75" customHeight="1">
      <c r="A2074" s="26">
        <f ca="1">IFERROR(__xludf.DUMMYFUNCTION("""COMPUTED_VALUE"""),20826)</f>
        <v>20826</v>
      </c>
      <c r="B2074" s="86">
        <f ca="1">IFERROR(__xludf.DUMMYFUNCTION("""COMPUTED_VALUE"""),45215.032349537)</f>
        <v>45215.032349537003</v>
      </c>
      <c r="C2074" s="1" t="str">
        <f ca="1">IFERROR(__xludf.DUMMYFUNCTION("""COMPUTED_VALUE"""),"completed")</f>
        <v>completed</v>
      </c>
      <c r="D2074" s="26">
        <f ca="1">IFERROR(__xludf.DUMMYFUNCTION("""COMPUTED_VALUE"""),45)</f>
        <v>45</v>
      </c>
      <c r="E2074" s="1" t="str">
        <f ca="1">IFERROR(__xludf.DUMMYFUNCTION("""COMPUTED_VALUE"""),"Lakeshore Lightning Hockey")</f>
        <v>Lakeshore Lightning Hockey</v>
      </c>
      <c r="F2074" s="87" t="str">
        <f t="shared" ca="1" si="0"/>
        <v>2023</v>
      </c>
      <c r="H2074" s="26" t="str">
        <f t="shared" si="1"/>
        <v/>
      </c>
      <c r="I2074" s="26" t="str">
        <f t="shared" si="2"/>
        <v/>
      </c>
      <c r="J2074" s="86">
        <f t="shared" ca="1" si="3"/>
        <v>45215</v>
      </c>
      <c r="R2074" s="26"/>
    </row>
    <row r="2075" spans="1:18" ht="15.75" customHeight="1">
      <c r="A2075" s="26">
        <f ca="1">IFERROR(__xludf.DUMMYFUNCTION("""COMPUTED_VALUE"""),20827)</f>
        <v>20827</v>
      </c>
      <c r="B2075" s="86">
        <f ca="1">IFERROR(__xludf.DUMMYFUNCTION("""COMPUTED_VALUE"""),45215.048761574)</f>
        <v>45215.048761573998</v>
      </c>
      <c r="C2075" s="1" t="str">
        <f ca="1">IFERROR(__xludf.DUMMYFUNCTION("""COMPUTED_VALUE"""),"completed")</f>
        <v>completed</v>
      </c>
      <c r="D2075" s="26">
        <f ca="1">IFERROR(__xludf.DUMMYFUNCTION("""COMPUTED_VALUE"""),49)</f>
        <v>49</v>
      </c>
      <c r="E2075" s="1" t="str">
        <f ca="1">IFERROR(__xludf.DUMMYFUNCTION("""COMPUTED_VALUE"""),"Lakeshore Lightning Hockey")</f>
        <v>Lakeshore Lightning Hockey</v>
      </c>
      <c r="F2075" s="87" t="str">
        <f t="shared" ca="1" si="0"/>
        <v>2023</v>
      </c>
      <c r="H2075" s="26" t="str">
        <f t="shared" si="1"/>
        <v/>
      </c>
      <c r="I2075" s="26" t="str">
        <f t="shared" si="2"/>
        <v/>
      </c>
      <c r="J2075" s="86">
        <f t="shared" ca="1" si="3"/>
        <v>45215</v>
      </c>
      <c r="R2075" s="26"/>
    </row>
    <row r="2076" spans="1:18" ht="15.75" customHeight="1">
      <c r="A2076" s="26">
        <f ca="1">IFERROR(__xludf.DUMMYFUNCTION("""COMPUTED_VALUE"""),20828)</f>
        <v>20828</v>
      </c>
      <c r="B2076" s="86">
        <f ca="1">IFERROR(__xludf.DUMMYFUNCTION("""COMPUTED_VALUE"""),45215.065324074)</f>
        <v>45215.065324073999</v>
      </c>
      <c r="C2076" s="1" t="str">
        <f ca="1">IFERROR(__xludf.DUMMYFUNCTION("""COMPUTED_VALUE"""),"completed")</f>
        <v>completed</v>
      </c>
      <c r="D2076" s="26">
        <f ca="1">IFERROR(__xludf.DUMMYFUNCTION("""COMPUTED_VALUE"""),40)</f>
        <v>40</v>
      </c>
      <c r="E2076" s="1" t="str">
        <f ca="1">IFERROR(__xludf.DUMMYFUNCTION("""COMPUTED_VALUE"""),"Lakeshore Lightning Hockey")</f>
        <v>Lakeshore Lightning Hockey</v>
      </c>
      <c r="F2076" s="87" t="str">
        <f t="shared" ca="1" si="0"/>
        <v>2023</v>
      </c>
      <c r="H2076" s="26" t="str">
        <f t="shared" si="1"/>
        <v/>
      </c>
      <c r="I2076" s="26" t="str">
        <f t="shared" si="2"/>
        <v/>
      </c>
      <c r="J2076" s="86">
        <f t="shared" ca="1" si="3"/>
        <v>45215</v>
      </c>
      <c r="R2076" s="26"/>
    </row>
    <row r="2077" spans="1:18" ht="15.75" customHeight="1">
      <c r="A2077" s="26">
        <f ca="1">IFERROR(__xludf.DUMMYFUNCTION("""COMPUTED_VALUE"""),20829)</f>
        <v>20829</v>
      </c>
      <c r="B2077" s="86">
        <f ca="1">IFERROR(__xludf.DUMMYFUNCTION("""COMPUTED_VALUE"""),45215.0887962962)</f>
        <v>45215.088796296201</v>
      </c>
      <c r="C2077" s="1" t="str">
        <f ca="1">IFERROR(__xludf.DUMMYFUNCTION("""COMPUTED_VALUE"""),"completed")</f>
        <v>completed</v>
      </c>
      <c r="D2077" s="26">
        <f ca="1">IFERROR(__xludf.DUMMYFUNCTION("""COMPUTED_VALUE"""),50)</f>
        <v>50</v>
      </c>
      <c r="E2077" s="1" t="str">
        <f ca="1">IFERROR(__xludf.DUMMYFUNCTION("""COMPUTED_VALUE"""),"Lakeshore Lightning Hockey")</f>
        <v>Lakeshore Lightning Hockey</v>
      </c>
      <c r="F2077" s="87" t="str">
        <f t="shared" ca="1" si="0"/>
        <v>2023</v>
      </c>
      <c r="H2077" s="26" t="str">
        <f t="shared" si="1"/>
        <v/>
      </c>
      <c r="I2077" s="26" t="str">
        <f t="shared" si="2"/>
        <v/>
      </c>
      <c r="J2077" s="86">
        <f t="shared" ca="1" si="3"/>
        <v>45215</v>
      </c>
      <c r="R2077" s="26"/>
    </row>
    <row r="2078" spans="1:18" ht="15.75" customHeight="1">
      <c r="A2078" s="26">
        <f ca="1">IFERROR(__xludf.DUMMYFUNCTION("""COMPUTED_VALUE"""),20830)</f>
        <v>20830</v>
      </c>
      <c r="B2078" s="86">
        <f ca="1">IFERROR(__xludf.DUMMYFUNCTION("""COMPUTED_VALUE"""),45215.6199305555)</f>
        <v>45215.619930555498</v>
      </c>
      <c r="C2078" s="1" t="str">
        <f ca="1">IFERROR(__xludf.DUMMYFUNCTION("""COMPUTED_VALUE"""),"completed")</f>
        <v>completed</v>
      </c>
      <c r="D2078" s="26">
        <f ca="1">IFERROR(__xludf.DUMMYFUNCTION("""COMPUTED_VALUE"""),40)</f>
        <v>40</v>
      </c>
      <c r="E2078" s="1" t="str">
        <f ca="1">IFERROR(__xludf.DUMMYFUNCTION("""COMPUTED_VALUE"""),"Lakeshore Lightning Hockey")</f>
        <v>Lakeshore Lightning Hockey</v>
      </c>
      <c r="F2078" s="87" t="str">
        <f t="shared" ca="1" si="0"/>
        <v>2023</v>
      </c>
      <c r="H2078" s="26" t="str">
        <f t="shared" si="1"/>
        <v/>
      </c>
      <c r="I2078" s="26" t="str">
        <f t="shared" si="2"/>
        <v/>
      </c>
      <c r="J2078" s="86">
        <f t="shared" ca="1" si="3"/>
        <v>45215</v>
      </c>
      <c r="R2078" s="26"/>
    </row>
    <row r="2079" spans="1:18" ht="15.75" customHeight="1">
      <c r="A2079" s="26">
        <f ca="1">IFERROR(__xludf.DUMMYFUNCTION("""COMPUTED_VALUE"""),20831)</f>
        <v>20831</v>
      </c>
      <c r="B2079" s="86">
        <f ca="1">IFERROR(__xludf.DUMMYFUNCTION("""COMPUTED_VALUE"""),45215.7748611111)</f>
        <v>45215.774861111102</v>
      </c>
      <c r="C2079" s="1" t="str">
        <f ca="1">IFERROR(__xludf.DUMMYFUNCTION("""COMPUTED_VALUE"""),"completed")</f>
        <v>completed</v>
      </c>
      <c r="D2079" s="26">
        <f ca="1">IFERROR(__xludf.DUMMYFUNCTION("""COMPUTED_VALUE"""),33)</f>
        <v>33</v>
      </c>
      <c r="E2079" s="1" t="str">
        <f ca="1">IFERROR(__xludf.DUMMYFUNCTION("""COMPUTED_VALUE"""),"Lakeshore Lightning Hockey")</f>
        <v>Lakeshore Lightning Hockey</v>
      </c>
      <c r="F2079" s="87" t="str">
        <f t="shared" ca="1" si="0"/>
        <v>2023</v>
      </c>
      <c r="H2079" s="26" t="str">
        <f t="shared" si="1"/>
        <v/>
      </c>
      <c r="I2079" s="26" t="str">
        <f t="shared" si="2"/>
        <v/>
      </c>
      <c r="J2079" s="86">
        <f t="shared" ca="1" si="3"/>
        <v>45215</v>
      </c>
      <c r="R2079" s="26"/>
    </row>
    <row r="2080" spans="1:18" ht="15.75" customHeight="1">
      <c r="A2080" s="26">
        <f ca="1">IFERROR(__xludf.DUMMYFUNCTION("""COMPUTED_VALUE"""),20832)</f>
        <v>20832</v>
      </c>
      <c r="B2080" s="86">
        <f ca="1">IFERROR(__xludf.DUMMYFUNCTION("""COMPUTED_VALUE"""),45215.8263657407)</f>
        <v>45215.826365740701</v>
      </c>
      <c r="C2080" s="1" t="str">
        <f ca="1">IFERROR(__xludf.DUMMYFUNCTION("""COMPUTED_VALUE"""),"completed")</f>
        <v>completed</v>
      </c>
      <c r="D2080" s="26">
        <f ca="1">IFERROR(__xludf.DUMMYFUNCTION("""COMPUTED_VALUE"""),48)</f>
        <v>48</v>
      </c>
      <c r="E2080" s="1" t="str">
        <f ca="1">IFERROR(__xludf.DUMMYFUNCTION("""COMPUTED_VALUE"""),"South Point Stars")</f>
        <v>South Point Stars</v>
      </c>
      <c r="F2080" s="87" t="str">
        <f t="shared" ca="1" si="0"/>
        <v>2023</v>
      </c>
      <c r="H2080" s="26" t="str">
        <f t="shared" si="1"/>
        <v/>
      </c>
      <c r="I2080" s="26" t="str">
        <f t="shared" si="2"/>
        <v/>
      </c>
      <c r="J2080" s="86">
        <f t="shared" ca="1" si="3"/>
        <v>45215</v>
      </c>
      <c r="R2080" s="26"/>
    </row>
    <row r="2081" spans="1:18" ht="15.75" customHeight="1">
      <c r="A2081" s="26">
        <f ca="1">IFERROR(__xludf.DUMMYFUNCTION("""COMPUTED_VALUE"""),20833)</f>
        <v>20833</v>
      </c>
      <c r="B2081" s="86">
        <f ca="1">IFERROR(__xludf.DUMMYFUNCTION("""COMPUTED_VALUE"""),45215.8860185185)</f>
        <v>45215.886018518497</v>
      </c>
      <c r="C2081" s="1" t="str">
        <f ca="1">IFERROR(__xludf.DUMMYFUNCTION("""COMPUTED_VALUE"""),"completed")</f>
        <v>completed</v>
      </c>
      <c r="D2081" s="26">
        <f ca="1">IFERROR(__xludf.DUMMYFUNCTION("""COMPUTED_VALUE"""),28)</f>
        <v>28</v>
      </c>
      <c r="E2081" s="1" t="str">
        <f ca="1">IFERROR(__xludf.DUMMYFUNCTION("""COMPUTED_VALUE"""),"Lakeshore Lightning Hockey")</f>
        <v>Lakeshore Lightning Hockey</v>
      </c>
      <c r="F2081" s="87" t="str">
        <f t="shared" ca="1" si="0"/>
        <v>2023</v>
      </c>
      <c r="H2081" s="26" t="str">
        <f t="shared" si="1"/>
        <v/>
      </c>
      <c r="I2081" s="26" t="str">
        <f t="shared" si="2"/>
        <v/>
      </c>
      <c r="J2081" s="86">
        <f t="shared" ca="1" si="3"/>
        <v>45215</v>
      </c>
      <c r="R2081" s="26"/>
    </row>
    <row r="2082" spans="1:18" ht="15.75" customHeight="1">
      <c r="A2082" s="26">
        <f ca="1">IFERROR(__xludf.DUMMYFUNCTION("""COMPUTED_VALUE"""),20834)</f>
        <v>20834</v>
      </c>
      <c r="B2082" s="86">
        <f ca="1">IFERROR(__xludf.DUMMYFUNCTION("""COMPUTED_VALUE"""),45215.937199074)</f>
        <v>45215.937199073996</v>
      </c>
      <c r="C2082" s="1" t="str">
        <f ca="1">IFERROR(__xludf.DUMMYFUNCTION("""COMPUTED_VALUE"""),"completed")</f>
        <v>completed</v>
      </c>
      <c r="D2082" s="26">
        <f ca="1">IFERROR(__xludf.DUMMYFUNCTION("""COMPUTED_VALUE"""),210)</f>
        <v>210</v>
      </c>
      <c r="E2082" s="1" t="str">
        <f ca="1">IFERROR(__xludf.DUMMYFUNCTION("""COMPUTED_VALUE"""),"WMFA")</f>
        <v>WMFA</v>
      </c>
      <c r="F2082" s="87" t="str">
        <f t="shared" ca="1" si="0"/>
        <v>2023</v>
      </c>
      <c r="H2082" s="26" t="str">
        <f t="shared" si="1"/>
        <v/>
      </c>
      <c r="I2082" s="26" t="str">
        <f t="shared" si="2"/>
        <v/>
      </c>
      <c r="J2082" s="86">
        <f t="shared" ca="1" si="3"/>
        <v>45215</v>
      </c>
      <c r="R2082" s="26"/>
    </row>
    <row r="2083" spans="1:18" ht="15.75" customHeight="1">
      <c r="A2083" s="26">
        <f ca="1">IFERROR(__xludf.DUMMYFUNCTION("""COMPUTED_VALUE"""),20835)</f>
        <v>20835</v>
      </c>
      <c r="B2083" s="86">
        <f ca="1">IFERROR(__xludf.DUMMYFUNCTION("""COMPUTED_VALUE"""),45215.9881134259)</f>
        <v>45215.988113425898</v>
      </c>
      <c r="C2083" s="1" t="str">
        <f ca="1">IFERROR(__xludf.DUMMYFUNCTION("""COMPUTED_VALUE"""),"completed")</f>
        <v>completed</v>
      </c>
      <c r="D2083" s="26">
        <f ca="1">IFERROR(__xludf.DUMMYFUNCTION("""COMPUTED_VALUE"""),35)</f>
        <v>35</v>
      </c>
      <c r="E2083" s="1" t="str">
        <f ca="1">IFERROR(__xludf.DUMMYFUNCTION("""COMPUTED_VALUE"""),"Lakeshore Lightning Hockey")</f>
        <v>Lakeshore Lightning Hockey</v>
      </c>
      <c r="F2083" s="87" t="str">
        <f t="shared" ca="1" si="0"/>
        <v>2023</v>
      </c>
      <c r="H2083" s="26" t="str">
        <f t="shared" si="1"/>
        <v/>
      </c>
      <c r="I2083" s="26" t="str">
        <f t="shared" si="2"/>
        <v/>
      </c>
      <c r="J2083" s="86">
        <f t="shared" ca="1" si="3"/>
        <v>45215</v>
      </c>
      <c r="R2083" s="26"/>
    </row>
    <row r="2084" spans="1:18" ht="15.75" customHeight="1">
      <c r="A2084" s="26">
        <f ca="1">IFERROR(__xludf.DUMMYFUNCTION("""COMPUTED_VALUE"""),20837)</f>
        <v>20837</v>
      </c>
      <c r="B2084" s="86">
        <f ca="1">IFERROR(__xludf.DUMMYFUNCTION("""COMPUTED_VALUE"""),45216.032349537)</f>
        <v>45216.032349537003</v>
      </c>
      <c r="C2084" s="1" t="str">
        <f ca="1">IFERROR(__xludf.DUMMYFUNCTION("""COMPUTED_VALUE"""),"completed")</f>
        <v>completed</v>
      </c>
      <c r="D2084" s="26">
        <f ca="1">IFERROR(__xludf.DUMMYFUNCTION("""COMPUTED_VALUE"""),18)</f>
        <v>18</v>
      </c>
      <c r="E2084" s="1" t="str">
        <f ca="1">IFERROR(__xludf.DUMMYFUNCTION("""COMPUTED_VALUE"""),"Lakeshore Lightning Hockey")</f>
        <v>Lakeshore Lightning Hockey</v>
      </c>
      <c r="F2084" s="87" t="str">
        <f t="shared" ca="1" si="0"/>
        <v>2023</v>
      </c>
      <c r="H2084" s="26" t="str">
        <f t="shared" si="1"/>
        <v/>
      </c>
      <c r="I2084" s="26" t="str">
        <f t="shared" si="2"/>
        <v/>
      </c>
      <c r="J2084" s="86">
        <f t="shared" ca="1" si="3"/>
        <v>45216</v>
      </c>
      <c r="R2084" s="26"/>
    </row>
    <row r="2085" spans="1:18" ht="15.75" customHeight="1">
      <c r="A2085" s="26">
        <f ca="1">IFERROR(__xludf.DUMMYFUNCTION("""COMPUTED_VALUE"""),20836)</f>
        <v>20836</v>
      </c>
      <c r="B2085" s="86">
        <f ca="1">IFERROR(__xludf.DUMMYFUNCTION("""COMPUTED_VALUE"""),45216.0305671296)</f>
        <v>45216.030567129601</v>
      </c>
      <c r="C2085" s="1" t="str">
        <f ca="1">IFERROR(__xludf.DUMMYFUNCTION("""COMPUTED_VALUE"""),"completed")</f>
        <v>completed</v>
      </c>
      <c r="D2085" s="26">
        <f ca="1">IFERROR(__xludf.DUMMYFUNCTION("""COMPUTED_VALUE"""),18)</f>
        <v>18</v>
      </c>
      <c r="E2085" s="1" t="str">
        <f ca="1">IFERROR(__xludf.DUMMYFUNCTION("""COMPUTED_VALUE"""),"Lakeshore Lightning Hockey")</f>
        <v>Lakeshore Lightning Hockey</v>
      </c>
      <c r="F2085" s="87" t="str">
        <f t="shared" ca="1" si="0"/>
        <v>2023</v>
      </c>
      <c r="H2085" s="26" t="str">
        <f t="shared" si="1"/>
        <v/>
      </c>
      <c r="I2085" s="26" t="str">
        <f t="shared" si="2"/>
        <v/>
      </c>
      <c r="J2085" s="86">
        <f t="shared" ca="1" si="3"/>
        <v>45216</v>
      </c>
      <c r="R2085" s="26"/>
    </row>
    <row r="2086" spans="1:18" ht="15.75" customHeight="1">
      <c r="A2086" s="26">
        <f ca="1">IFERROR(__xludf.DUMMYFUNCTION("""COMPUTED_VALUE"""),20839)</f>
        <v>20839</v>
      </c>
      <c r="B2086" s="86">
        <f ca="1">IFERROR(__xludf.DUMMYFUNCTION("""COMPUTED_VALUE"""),45216.0671759259)</f>
        <v>45216.067175925898</v>
      </c>
      <c r="C2086" s="1" t="str">
        <f ca="1">IFERROR(__xludf.DUMMYFUNCTION("""COMPUTED_VALUE"""),"completed")</f>
        <v>completed</v>
      </c>
      <c r="D2086" s="26">
        <f ca="1">IFERROR(__xludf.DUMMYFUNCTION("""COMPUTED_VALUE"""),26)</f>
        <v>26</v>
      </c>
      <c r="E2086" s="1" t="str">
        <f ca="1">IFERROR(__xludf.DUMMYFUNCTION("""COMPUTED_VALUE"""),"Windsor Wildcats Hockey")</f>
        <v>Windsor Wildcats Hockey</v>
      </c>
      <c r="F2086" s="87" t="str">
        <f t="shared" ca="1" si="0"/>
        <v>2023</v>
      </c>
      <c r="H2086" s="26" t="str">
        <f t="shared" si="1"/>
        <v/>
      </c>
      <c r="I2086" s="26" t="str">
        <f t="shared" si="2"/>
        <v/>
      </c>
      <c r="J2086" s="86">
        <f t="shared" ca="1" si="3"/>
        <v>45216</v>
      </c>
      <c r="R2086" s="26"/>
    </row>
    <row r="2087" spans="1:18" ht="15.75" customHeight="1">
      <c r="A2087" s="26">
        <f ca="1">IFERROR(__xludf.DUMMYFUNCTION("""COMPUTED_VALUE"""),20838)</f>
        <v>20838</v>
      </c>
      <c r="B2087" s="86">
        <f ca="1">IFERROR(__xludf.DUMMYFUNCTION("""COMPUTED_VALUE"""),45216.0626041666)</f>
        <v>45216.062604166596</v>
      </c>
      <c r="C2087" s="1" t="str">
        <f ca="1">IFERROR(__xludf.DUMMYFUNCTION("""COMPUTED_VALUE"""),"completed")</f>
        <v>completed</v>
      </c>
      <c r="D2087" s="26">
        <f ca="1">IFERROR(__xludf.DUMMYFUNCTION("""COMPUTED_VALUE"""),24)</f>
        <v>24</v>
      </c>
      <c r="E2087" s="1" t="str">
        <f ca="1">IFERROR(__xludf.DUMMYFUNCTION("""COMPUTED_VALUE"""),"Lakeshore Lightning Hockey")</f>
        <v>Lakeshore Lightning Hockey</v>
      </c>
      <c r="F2087" s="87" t="str">
        <f t="shared" ca="1" si="0"/>
        <v>2023</v>
      </c>
      <c r="H2087" s="26" t="str">
        <f t="shared" si="1"/>
        <v/>
      </c>
      <c r="I2087" s="26" t="str">
        <f t="shared" si="2"/>
        <v/>
      </c>
      <c r="J2087" s="86">
        <f t="shared" ca="1" si="3"/>
        <v>45216</v>
      </c>
      <c r="R2087" s="26"/>
    </row>
    <row r="2088" spans="1:18" ht="15.75" customHeight="1">
      <c r="A2088" s="26">
        <f ca="1">IFERROR(__xludf.DUMMYFUNCTION("""COMPUTED_VALUE"""),20840)</f>
        <v>20840</v>
      </c>
      <c r="B2088" s="86">
        <f ca="1">IFERROR(__xludf.DUMMYFUNCTION("""COMPUTED_VALUE"""),45216.0689467592)</f>
        <v>45216.068946759202</v>
      </c>
      <c r="C2088" s="1" t="str">
        <f ca="1">IFERROR(__xludf.DUMMYFUNCTION("""COMPUTED_VALUE"""),"completed")</f>
        <v>completed</v>
      </c>
      <c r="D2088" s="26">
        <f ca="1">IFERROR(__xludf.DUMMYFUNCTION("""COMPUTED_VALUE"""),26)</f>
        <v>26</v>
      </c>
      <c r="E2088" s="1" t="str">
        <f ca="1">IFERROR(__xludf.DUMMYFUNCTION("""COMPUTED_VALUE"""),"Windsor Wildcats Hockey")</f>
        <v>Windsor Wildcats Hockey</v>
      </c>
      <c r="F2088" s="87" t="str">
        <f t="shared" ca="1" si="0"/>
        <v>2023</v>
      </c>
      <c r="H2088" s="26" t="str">
        <f t="shared" si="1"/>
        <v/>
      </c>
      <c r="I2088" s="26" t="str">
        <f t="shared" si="2"/>
        <v/>
      </c>
      <c r="J2088" s="86">
        <f t="shared" ca="1" si="3"/>
        <v>45216</v>
      </c>
      <c r="R2088" s="26"/>
    </row>
    <row r="2089" spans="1:18" ht="15.75" customHeight="1">
      <c r="A2089" s="26">
        <f ca="1">IFERROR(__xludf.DUMMYFUNCTION("""COMPUTED_VALUE"""),20841)</f>
        <v>20841</v>
      </c>
      <c r="B2089" s="86">
        <f ca="1">IFERROR(__xludf.DUMMYFUNCTION("""COMPUTED_VALUE"""),45216.136574074)</f>
        <v>45216.136574074</v>
      </c>
      <c r="C2089" s="1" t="str">
        <f ca="1">IFERROR(__xludf.DUMMYFUNCTION("""COMPUTED_VALUE"""),"completed")</f>
        <v>completed</v>
      </c>
      <c r="D2089" s="26">
        <f ca="1">IFERROR(__xludf.DUMMYFUNCTION("""COMPUTED_VALUE"""),15)</f>
        <v>15</v>
      </c>
      <c r="E2089" s="1" t="str">
        <f ca="1">IFERROR(__xludf.DUMMYFUNCTION("""COMPUTED_VALUE"""),"Lakeshore Lightning Hockey")</f>
        <v>Lakeshore Lightning Hockey</v>
      </c>
      <c r="F2089" s="87" t="str">
        <f t="shared" ca="1" si="0"/>
        <v>2023</v>
      </c>
      <c r="H2089" s="26" t="str">
        <f t="shared" si="1"/>
        <v/>
      </c>
      <c r="I2089" s="26" t="str">
        <f t="shared" si="2"/>
        <v/>
      </c>
      <c r="J2089" s="86">
        <f t="shared" ca="1" si="3"/>
        <v>45216</v>
      </c>
      <c r="R2089" s="26"/>
    </row>
    <row r="2090" spans="1:18" ht="15.75" customHeight="1">
      <c r="A2090" s="26">
        <f ca="1">IFERROR(__xludf.DUMMYFUNCTION("""COMPUTED_VALUE"""),20842)</f>
        <v>20842</v>
      </c>
      <c r="B2090" s="86">
        <f ca="1">IFERROR(__xludf.DUMMYFUNCTION("""COMPUTED_VALUE"""),45216.7739583333)</f>
        <v>45216.773958333302</v>
      </c>
      <c r="C2090" s="1" t="str">
        <f ca="1">IFERROR(__xludf.DUMMYFUNCTION("""COMPUTED_VALUE"""),"completed")</f>
        <v>completed</v>
      </c>
      <c r="D2090" s="26">
        <f ca="1">IFERROR(__xludf.DUMMYFUNCTION("""COMPUTED_VALUE"""),20)</f>
        <v>20</v>
      </c>
      <c r="E2090" s="1" t="str">
        <f ca="1">IFERROR(__xludf.DUMMYFUNCTION("""COMPUTED_VALUE"""),"Lakeshore Lightning Hockey")</f>
        <v>Lakeshore Lightning Hockey</v>
      </c>
      <c r="F2090" s="87" t="str">
        <f t="shared" ca="1" si="0"/>
        <v>2023</v>
      </c>
      <c r="H2090" s="26" t="str">
        <f t="shared" si="1"/>
        <v/>
      </c>
      <c r="I2090" s="26" t="str">
        <f t="shared" si="2"/>
        <v/>
      </c>
      <c r="J2090" s="86">
        <f t="shared" ca="1" si="3"/>
        <v>45216</v>
      </c>
      <c r="R2090" s="26"/>
    </row>
    <row r="2091" spans="1:18" ht="15.75" customHeight="1">
      <c r="A2091" s="26">
        <f ca="1">IFERROR(__xludf.DUMMYFUNCTION("""COMPUTED_VALUE"""),20843)</f>
        <v>20843</v>
      </c>
      <c r="B2091" s="86">
        <f ca="1">IFERROR(__xludf.DUMMYFUNCTION("""COMPUTED_VALUE"""),45216.8447106481)</f>
        <v>45216.844710648104</v>
      </c>
      <c r="C2091" s="1" t="str">
        <f ca="1">IFERROR(__xludf.DUMMYFUNCTION("""COMPUTED_VALUE"""),"completed")</f>
        <v>completed</v>
      </c>
      <c r="D2091" s="26">
        <f ca="1">IFERROR(__xludf.DUMMYFUNCTION("""COMPUTED_VALUE"""),15)</f>
        <v>15</v>
      </c>
      <c r="E2091" s="1" t="str">
        <f ca="1">IFERROR(__xludf.DUMMYFUNCTION("""COMPUTED_VALUE"""),"WMFA")</f>
        <v>WMFA</v>
      </c>
      <c r="F2091" s="87" t="str">
        <f t="shared" ca="1" si="0"/>
        <v>2023</v>
      </c>
      <c r="H2091" s="26" t="str">
        <f t="shared" si="1"/>
        <v/>
      </c>
      <c r="I2091" s="26" t="str">
        <f t="shared" si="2"/>
        <v/>
      </c>
      <c r="J2091" s="86">
        <f t="shared" ca="1" si="3"/>
        <v>45216</v>
      </c>
      <c r="R2091" s="26"/>
    </row>
    <row r="2092" spans="1:18" ht="15.75" customHeight="1">
      <c r="A2092" s="26">
        <f ca="1">IFERROR(__xludf.DUMMYFUNCTION("""COMPUTED_VALUE"""),20844)</f>
        <v>20844</v>
      </c>
      <c r="B2092" s="86">
        <f ca="1">IFERROR(__xludf.DUMMYFUNCTION("""COMPUTED_VALUE"""),45216.9678125)</f>
        <v>45216.967812499999</v>
      </c>
      <c r="C2092" s="1" t="str">
        <f ca="1">IFERROR(__xludf.DUMMYFUNCTION("""COMPUTED_VALUE"""),"completed")</f>
        <v>completed</v>
      </c>
      <c r="D2092" s="26">
        <f ca="1">IFERROR(__xludf.DUMMYFUNCTION("""COMPUTED_VALUE"""),33)</f>
        <v>33</v>
      </c>
      <c r="E2092" s="1" t="str">
        <f ca="1">IFERROR(__xludf.DUMMYFUNCTION("""COMPUTED_VALUE"""),"Lakeshore Lightning Hockey")</f>
        <v>Lakeshore Lightning Hockey</v>
      </c>
      <c r="F2092" s="87" t="str">
        <f t="shared" ca="1" si="0"/>
        <v>2023</v>
      </c>
      <c r="H2092" s="26" t="str">
        <f t="shared" si="1"/>
        <v/>
      </c>
      <c r="I2092" s="26" t="str">
        <f t="shared" si="2"/>
        <v/>
      </c>
      <c r="J2092" s="86">
        <f t="shared" ca="1" si="3"/>
        <v>45216</v>
      </c>
      <c r="R2092" s="26"/>
    </row>
    <row r="2093" spans="1:18" ht="15.75" customHeight="1">
      <c r="A2093" s="26">
        <f ca="1">IFERROR(__xludf.DUMMYFUNCTION("""COMPUTED_VALUE"""),20845)</f>
        <v>20845</v>
      </c>
      <c r="B2093" s="86">
        <f ca="1">IFERROR(__xludf.DUMMYFUNCTION("""COMPUTED_VALUE"""),45217.1810416666)</f>
        <v>45217.181041666598</v>
      </c>
      <c r="C2093" s="1" t="str">
        <f ca="1">IFERROR(__xludf.DUMMYFUNCTION("""COMPUTED_VALUE"""),"completed")</f>
        <v>completed</v>
      </c>
      <c r="D2093" s="26">
        <f ca="1">IFERROR(__xludf.DUMMYFUNCTION("""COMPUTED_VALUE"""),15)</f>
        <v>15</v>
      </c>
      <c r="E2093" s="1" t="str">
        <f ca="1">IFERROR(__xludf.DUMMYFUNCTION("""COMPUTED_VALUE"""),"Lakeshore Lightning Hockey")</f>
        <v>Lakeshore Lightning Hockey</v>
      </c>
      <c r="F2093" s="87" t="str">
        <f t="shared" ca="1" si="0"/>
        <v>2023</v>
      </c>
      <c r="H2093" s="26" t="str">
        <f t="shared" si="1"/>
        <v/>
      </c>
      <c r="I2093" s="26" t="str">
        <f t="shared" si="2"/>
        <v/>
      </c>
      <c r="J2093" s="86">
        <f t="shared" ca="1" si="3"/>
        <v>45217</v>
      </c>
      <c r="R2093" s="26"/>
    </row>
    <row r="2094" spans="1:18" ht="15.75" customHeight="1">
      <c r="A2094" s="26">
        <f ca="1">IFERROR(__xludf.DUMMYFUNCTION("""COMPUTED_VALUE"""),20846)</f>
        <v>20846</v>
      </c>
      <c r="B2094" s="86">
        <f ca="1">IFERROR(__xludf.DUMMYFUNCTION("""COMPUTED_VALUE"""),45217.5177083333)</f>
        <v>45217.517708333296</v>
      </c>
      <c r="C2094" s="1" t="str">
        <f ca="1">IFERROR(__xludf.DUMMYFUNCTION("""COMPUTED_VALUE"""),"completed")</f>
        <v>completed</v>
      </c>
      <c r="D2094" s="26">
        <f ca="1">IFERROR(__xludf.DUMMYFUNCTION("""COMPUTED_VALUE"""),15)</f>
        <v>15</v>
      </c>
      <c r="E2094" s="1" t="str">
        <f ca="1">IFERROR(__xludf.DUMMYFUNCTION("""COMPUTED_VALUE"""),"Lasalle Stompers")</f>
        <v>Lasalle Stompers</v>
      </c>
      <c r="F2094" s="87" t="str">
        <f t="shared" ca="1" si="0"/>
        <v>2023</v>
      </c>
      <c r="H2094" s="26" t="str">
        <f t="shared" si="1"/>
        <v/>
      </c>
      <c r="I2094" s="26" t="str">
        <f t="shared" si="2"/>
        <v/>
      </c>
      <c r="J2094" s="86">
        <f t="shared" ca="1" si="3"/>
        <v>45217</v>
      </c>
      <c r="R2094" s="26"/>
    </row>
    <row r="2095" spans="1:18" ht="15.75" customHeight="1">
      <c r="A2095" s="26">
        <f ca="1">IFERROR(__xludf.DUMMYFUNCTION("""COMPUTED_VALUE"""),20847)</f>
        <v>20847</v>
      </c>
      <c r="B2095" s="86">
        <f ca="1">IFERROR(__xludf.DUMMYFUNCTION("""COMPUTED_VALUE"""),45217.5641203703)</f>
        <v>45217.564120370298</v>
      </c>
      <c r="C2095" s="1" t="str">
        <f ca="1">IFERROR(__xludf.DUMMYFUNCTION("""COMPUTED_VALUE"""),"completed")</f>
        <v>completed</v>
      </c>
      <c r="D2095" s="26">
        <f ca="1">IFERROR(__xludf.DUMMYFUNCTION("""COMPUTED_VALUE"""),51)</f>
        <v>51</v>
      </c>
      <c r="E2095" s="1" t="str">
        <f ca="1">IFERROR(__xludf.DUMMYFUNCTION("""COMPUTED_VALUE"""),"Lakeshore Lightning Hockey")</f>
        <v>Lakeshore Lightning Hockey</v>
      </c>
      <c r="F2095" s="87" t="str">
        <f t="shared" ca="1" si="0"/>
        <v>2023</v>
      </c>
      <c r="H2095" s="26" t="str">
        <f t="shared" si="1"/>
        <v/>
      </c>
      <c r="I2095" s="26" t="str">
        <f t="shared" si="2"/>
        <v/>
      </c>
      <c r="J2095" s="86">
        <f t="shared" ca="1" si="3"/>
        <v>45217</v>
      </c>
      <c r="R2095" s="26"/>
    </row>
    <row r="2096" spans="1:18" ht="15.75" customHeight="1">
      <c r="A2096" s="26">
        <f ca="1">IFERROR(__xludf.DUMMYFUNCTION("""COMPUTED_VALUE"""),20872)</f>
        <v>20872</v>
      </c>
      <c r="B2096" s="86">
        <f ca="1">IFERROR(__xludf.DUMMYFUNCTION("""COMPUTED_VALUE"""),45217.7486574074)</f>
        <v>45217.748657407399</v>
      </c>
      <c r="C2096" s="1" t="str">
        <f ca="1">IFERROR(__xludf.DUMMYFUNCTION("""COMPUTED_VALUE"""),"completed")</f>
        <v>completed</v>
      </c>
      <c r="D2096" s="26">
        <f ca="1">IFERROR(__xludf.DUMMYFUNCTION("""COMPUTED_VALUE"""),37)</f>
        <v>37</v>
      </c>
      <c r="E2096" s="1" t="str">
        <f ca="1">IFERROR(__xludf.DUMMYFUNCTION("""COMPUTED_VALUE"""),"Lakeshore Lightning Hockey")</f>
        <v>Lakeshore Lightning Hockey</v>
      </c>
      <c r="F2096" s="87" t="str">
        <f t="shared" ca="1" si="0"/>
        <v>2023</v>
      </c>
      <c r="H2096" s="26" t="str">
        <f t="shared" si="1"/>
        <v/>
      </c>
      <c r="I2096" s="26" t="str">
        <f t="shared" si="2"/>
        <v/>
      </c>
      <c r="J2096" s="86">
        <f t="shared" ca="1" si="3"/>
        <v>45217</v>
      </c>
      <c r="R2096" s="26"/>
    </row>
    <row r="2097" spans="1:18" ht="15.75" customHeight="1">
      <c r="A2097" s="26">
        <f ca="1">IFERROR(__xludf.DUMMYFUNCTION("""COMPUTED_VALUE"""),20873)</f>
        <v>20873</v>
      </c>
      <c r="B2097" s="86">
        <f ca="1">IFERROR(__xludf.DUMMYFUNCTION("""COMPUTED_VALUE"""),45218.1153472222)</f>
        <v>45218.115347222199</v>
      </c>
      <c r="C2097" s="1" t="str">
        <f ca="1">IFERROR(__xludf.DUMMYFUNCTION("""COMPUTED_VALUE"""),"completed")</f>
        <v>completed</v>
      </c>
      <c r="D2097" s="26">
        <f ca="1">IFERROR(__xludf.DUMMYFUNCTION("""COMPUTED_VALUE"""),100)</f>
        <v>100</v>
      </c>
      <c r="E2097" s="1" t="str">
        <f ca="1">IFERROR(__xludf.DUMMYFUNCTION("""COMPUTED_VALUE"""),"Windsor AAA Zone Hockey")</f>
        <v>Windsor AAA Zone Hockey</v>
      </c>
      <c r="F2097" s="87" t="str">
        <f t="shared" ca="1" si="0"/>
        <v>2023</v>
      </c>
      <c r="H2097" s="26" t="str">
        <f t="shared" si="1"/>
        <v/>
      </c>
      <c r="I2097" s="26" t="str">
        <f t="shared" si="2"/>
        <v/>
      </c>
      <c r="J2097" s="86">
        <f t="shared" ca="1" si="3"/>
        <v>45218</v>
      </c>
      <c r="R2097" s="26"/>
    </row>
    <row r="2098" spans="1:18" ht="15.75" customHeight="1">
      <c r="A2098" s="26">
        <f ca="1">IFERROR(__xludf.DUMMYFUNCTION("""COMPUTED_VALUE"""),20875)</f>
        <v>20875</v>
      </c>
      <c r="B2098" s="86">
        <f ca="1">IFERROR(__xludf.DUMMYFUNCTION("""COMPUTED_VALUE"""),45218.4280439814)</f>
        <v>45218.428043981403</v>
      </c>
      <c r="C2098" s="1" t="str">
        <f ca="1">IFERROR(__xludf.DUMMYFUNCTION("""COMPUTED_VALUE"""),"completed")</f>
        <v>completed</v>
      </c>
      <c r="D2098" s="26">
        <f ca="1">IFERROR(__xludf.DUMMYFUNCTION("""COMPUTED_VALUE"""),50)</f>
        <v>50</v>
      </c>
      <c r="E2098" s="1" t="str">
        <f ca="1">IFERROR(__xludf.DUMMYFUNCTION("""COMPUTED_VALUE"""),"Lakeshore Lightning Hockey")</f>
        <v>Lakeshore Lightning Hockey</v>
      </c>
      <c r="F2098" s="87" t="str">
        <f t="shared" ca="1" si="0"/>
        <v>2023</v>
      </c>
      <c r="H2098" s="26" t="str">
        <f t="shared" si="1"/>
        <v/>
      </c>
      <c r="I2098" s="26" t="str">
        <f t="shared" si="2"/>
        <v/>
      </c>
      <c r="J2098" s="86">
        <f t="shared" ca="1" si="3"/>
        <v>45218</v>
      </c>
      <c r="R2098" s="26"/>
    </row>
    <row r="2099" spans="1:18" ht="15.75" customHeight="1">
      <c r="A2099" s="26">
        <f ca="1">IFERROR(__xludf.DUMMYFUNCTION("""COMPUTED_VALUE"""),20876)</f>
        <v>20876</v>
      </c>
      <c r="B2099" s="86">
        <f ca="1">IFERROR(__xludf.DUMMYFUNCTION("""COMPUTED_VALUE"""),45218.9305092592)</f>
        <v>45218.930509259197</v>
      </c>
      <c r="C2099" s="1" t="str">
        <f ca="1">IFERROR(__xludf.DUMMYFUNCTION("""COMPUTED_VALUE"""),"completed")</f>
        <v>completed</v>
      </c>
      <c r="D2099" s="26">
        <f ca="1">IFERROR(__xludf.DUMMYFUNCTION("""COMPUTED_VALUE"""),25)</f>
        <v>25</v>
      </c>
      <c r="E2099" s="1" t="str">
        <f ca="1">IFERROR(__xludf.DUMMYFUNCTION("""COMPUTED_VALUE"""),"Lasalle Stompers")</f>
        <v>Lasalle Stompers</v>
      </c>
      <c r="F2099" s="87" t="str">
        <f t="shared" ca="1" si="0"/>
        <v>2023</v>
      </c>
      <c r="H2099" s="26" t="str">
        <f t="shared" si="1"/>
        <v/>
      </c>
      <c r="I2099" s="26" t="str">
        <f t="shared" si="2"/>
        <v/>
      </c>
      <c r="J2099" s="86">
        <f t="shared" ca="1" si="3"/>
        <v>45218</v>
      </c>
      <c r="R2099" s="26"/>
    </row>
    <row r="2100" spans="1:18" ht="15.75" customHeight="1">
      <c r="A2100" s="26">
        <f ca="1">IFERROR(__xludf.DUMMYFUNCTION("""COMPUTED_VALUE"""),20877)</f>
        <v>20877</v>
      </c>
      <c r="B2100" s="86">
        <f ca="1">IFERROR(__xludf.DUMMYFUNCTION("""COMPUTED_VALUE"""),45219.0301967592)</f>
        <v>45219.030196759202</v>
      </c>
      <c r="C2100" s="1" t="str">
        <f ca="1">IFERROR(__xludf.DUMMYFUNCTION("""COMPUTED_VALUE"""),"completed")</f>
        <v>completed</v>
      </c>
      <c r="D2100" s="26">
        <f ca="1">IFERROR(__xludf.DUMMYFUNCTION("""COMPUTED_VALUE"""),60)</f>
        <v>60</v>
      </c>
      <c r="E2100" s="1" t="str">
        <f ca="1">IFERROR(__xludf.DUMMYFUNCTION("""COMPUTED_VALUE"""),"Lakeshore Lightning Hockey")</f>
        <v>Lakeshore Lightning Hockey</v>
      </c>
      <c r="F2100" s="87" t="str">
        <f t="shared" ca="1" si="0"/>
        <v>2023</v>
      </c>
      <c r="H2100" s="26" t="str">
        <f t="shared" si="1"/>
        <v/>
      </c>
      <c r="I2100" s="26" t="str">
        <f t="shared" si="2"/>
        <v/>
      </c>
      <c r="J2100" s="86">
        <f t="shared" ca="1" si="3"/>
        <v>45219</v>
      </c>
      <c r="R2100" s="26"/>
    </row>
    <row r="2101" spans="1:18" ht="15.75" customHeight="1">
      <c r="A2101" s="26">
        <f ca="1">IFERROR(__xludf.DUMMYFUNCTION("""COMPUTED_VALUE"""),20878)</f>
        <v>20878</v>
      </c>
      <c r="B2101" s="86">
        <f ca="1">IFERROR(__xludf.DUMMYFUNCTION("""COMPUTED_VALUE"""),45219.0475925925)</f>
        <v>45219.047592592498</v>
      </c>
      <c r="C2101" s="1" t="str">
        <f ca="1">IFERROR(__xludf.DUMMYFUNCTION("""COMPUTED_VALUE"""),"completed")</f>
        <v>completed</v>
      </c>
      <c r="D2101" s="26">
        <f ca="1">IFERROR(__xludf.DUMMYFUNCTION("""COMPUTED_VALUE"""),25)</f>
        <v>25</v>
      </c>
      <c r="E2101" s="1" t="str">
        <f ca="1">IFERROR(__xludf.DUMMYFUNCTION("""COMPUTED_VALUE"""),"Lakeshore Lightning Hockey")</f>
        <v>Lakeshore Lightning Hockey</v>
      </c>
      <c r="F2101" s="87" t="str">
        <f t="shared" ca="1" si="0"/>
        <v>2023</v>
      </c>
      <c r="H2101" s="26" t="str">
        <f t="shared" si="1"/>
        <v/>
      </c>
      <c r="I2101" s="26" t="str">
        <f t="shared" si="2"/>
        <v/>
      </c>
      <c r="J2101" s="86">
        <f t="shared" ca="1" si="3"/>
        <v>45219</v>
      </c>
      <c r="R2101" s="26"/>
    </row>
    <row r="2102" spans="1:18" ht="15.75" customHeight="1">
      <c r="A2102" s="26">
        <f ca="1">IFERROR(__xludf.DUMMYFUNCTION("""COMPUTED_VALUE"""),20879)</f>
        <v>20879</v>
      </c>
      <c r="B2102" s="86">
        <f ca="1">IFERROR(__xludf.DUMMYFUNCTION("""COMPUTED_VALUE"""),45219.1888078703)</f>
        <v>45219.188807870298</v>
      </c>
      <c r="C2102" s="1" t="str">
        <f ca="1">IFERROR(__xludf.DUMMYFUNCTION("""COMPUTED_VALUE"""),"completed")</f>
        <v>completed</v>
      </c>
      <c r="D2102" s="26">
        <f ca="1">IFERROR(__xludf.DUMMYFUNCTION("""COMPUTED_VALUE"""),15)</f>
        <v>15</v>
      </c>
      <c r="E2102" s="1" t="str">
        <f ca="1">IFERROR(__xludf.DUMMYFUNCTION("""COMPUTED_VALUE"""),"Lakeshore Lightning Hockey")</f>
        <v>Lakeshore Lightning Hockey</v>
      </c>
      <c r="F2102" s="87" t="str">
        <f t="shared" ca="1" si="0"/>
        <v>2023</v>
      </c>
      <c r="H2102" s="26" t="str">
        <f t="shared" si="1"/>
        <v/>
      </c>
      <c r="I2102" s="26" t="str">
        <f t="shared" si="2"/>
        <v/>
      </c>
      <c r="J2102" s="86">
        <f t="shared" ca="1" si="3"/>
        <v>45219</v>
      </c>
      <c r="R2102" s="26"/>
    </row>
    <row r="2103" spans="1:18" ht="15.75" customHeight="1">
      <c r="A2103" s="26">
        <f ca="1">IFERROR(__xludf.DUMMYFUNCTION("""COMPUTED_VALUE"""),20880)</f>
        <v>20880</v>
      </c>
      <c r="B2103" s="86">
        <f ca="1">IFERROR(__xludf.DUMMYFUNCTION("""COMPUTED_VALUE"""),45219.6701851851)</f>
        <v>45219.670185185103</v>
      </c>
      <c r="C2103" s="1" t="str">
        <f ca="1">IFERROR(__xludf.DUMMYFUNCTION("""COMPUTED_VALUE"""),"completed")</f>
        <v>completed</v>
      </c>
      <c r="D2103" s="26">
        <f ca="1">IFERROR(__xludf.DUMMYFUNCTION("""COMPUTED_VALUE"""),35)</f>
        <v>35</v>
      </c>
      <c r="E2103" s="1" t="str">
        <f ca="1">IFERROR(__xludf.DUMMYFUNCTION("""COMPUTED_VALUE"""),"W.M.H.A")</f>
        <v>W.M.H.A</v>
      </c>
      <c r="F2103" s="87" t="str">
        <f t="shared" ca="1" si="0"/>
        <v>2023</v>
      </c>
      <c r="H2103" s="26" t="str">
        <f t="shared" si="1"/>
        <v/>
      </c>
      <c r="I2103" s="26" t="str">
        <f t="shared" si="2"/>
        <v/>
      </c>
      <c r="J2103" s="86">
        <f t="shared" ca="1" si="3"/>
        <v>45219</v>
      </c>
      <c r="R2103" s="26"/>
    </row>
    <row r="2104" spans="1:18" ht="15.75" customHeight="1">
      <c r="A2104" s="26">
        <f ca="1">IFERROR(__xludf.DUMMYFUNCTION("""COMPUTED_VALUE"""),20883)</f>
        <v>20883</v>
      </c>
      <c r="B2104" s="86">
        <f ca="1">IFERROR(__xludf.DUMMYFUNCTION("""COMPUTED_VALUE"""),45220.3702314814)</f>
        <v>45220.3702314814</v>
      </c>
      <c r="C2104" s="1" t="str">
        <f ca="1">IFERROR(__xludf.DUMMYFUNCTION("""COMPUTED_VALUE"""),"completed")</f>
        <v>completed</v>
      </c>
      <c r="D2104" s="26">
        <f ca="1">IFERROR(__xludf.DUMMYFUNCTION("""COMPUTED_VALUE"""),35)</f>
        <v>35</v>
      </c>
      <c r="E2104" s="1" t="str">
        <f ca="1">IFERROR(__xludf.DUMMYFUNCTION("""COMPUTED_VALUE"""),"W.M.H.A")</f>
        <v>W.M.H.A</v>
      </c>
      <c r="F2104" s="87" t="str">
        <f t="shared" ca="1" si="0"/>
        <v>2023</v>
      </c>
      <c r="H2104" s="26" t="str">
        <f t="shared" si="1"/>
        <v/>
      </c>
      <c r="I2104" s="26" t="str">
        <f t="shared" si="2"/>
        <v/>
      </c>
      <c r="J2104" s="86">
        <f t="shared" ca="1" si="3"/>
        <v>45220</v>
      </c>
      <c r="R2104" s="26"/>
    </row>
    <row r="2105" spans="1:18" ht="15.75" customHeight="1">
      <c r="A2105" s="26">
        <f ca="1">IFERROR(__xludf.DUMMYFUNCTION("""COMPUTED_VALUE"""),20884)</f>
        <v>20884</v>
      </c>
      <c r="B2105" s="86">
        <f ca="1">IFERROR(__xludf.DUMMYFUNCTION("""COMPUTED_VALUE"""),45220.6816666666)</f>
        <v>45220.681666666598</v>
      </c>
      <c r="C2105" s="1" t="str">
        <f ca="1">IFERROR(__xludf.DUMMYFUNCTION("""COMPUTED_VALUE"""),"completed")</f>
        <v>completed</v>
      </c>
      <c r="D2105" s="26">
        <f ca="1">IFERROR(__xludf.DUMMYFUNCTION("""COMPUTED_VALUE"""),65)</f>
        <v>65</v>
      </c>
      <c r="E2105" s="1" t="str">
        <f ca="1">IFERROR(__xludf.DUMMYFUNCTION("""COMPUTED_VALUE"""),"Lakeshore Lightning Hockey")</f>
        <v>Lakeshore Lightning Hockey</v>
      </c>
      <c r="F2105" s="87" t="str">
        <f t="shared" ca="1" si="0"/>
        <v>2023</v>
      </c>
      <c r="H2105" s="26" t="str">
        <f t="shared" si="1"/>
        <v/>
      </c>
      <c r="I2105" s="26" t="str">
        <f t="shared" si="2"/>
        <v/>
      </c>
      <c r="J2105" s="86">
        <f t="shared" ca="1" si="3"/>
        <v>45220</v>
      </c>
      <c r="R2105" s="26"/>
    </row>
    <row r="2106" spans="1:18" ht="15.75" customHeight="1">
      <c r="A2106" s="26">
        <f ca="1">IFERROR(__xludf.DUMMYFUNCTION("""COMPUTED_VALUE"""),20942)</f>
        <v>20942</v>
      </c>
      <c r="B2106" s="86">
        <f ca="1">IFERROR(__xludf.DUMMYFUNCTION("""COMPUTED_VALUE"""),45220.9419560185)</f>
        <v>45220.941956018498</v>
      </c>
      <c r="C2106" s="1" t="str">
        <f ca="1">IFERROR(__xludf.DUMMYFUNCTION("""COMPUTED_VALUE"""),"completed")</f>
        <v>completed</v>
      </c>
      <c r="D2106" s="26">
        <f ca="1">IFERROR(__xludf.DUMMYFUNCTION("""COMPUTED_VALUE"""),35)</f>
        <v>35</v>
      </c>
      <c r="E2106" s="1" t="str">
        <f ca="1">IFERROR(__xludf.DUMMYFUNCTION("""COMPUTED_VALUE"""),"Lakeshore Lightning Hockey")</f>
        <v>Lakeshore Lightning Hockey</v>
      </c>
      <c r="F2106" s="87" t="str">
        <f t="shared" ca="1" si="0"/>
        <v>2023</v>
      </c>
      <c r="H2106" s="26" t="str">
        <f t="shared" si="1"/>
        <v/>
      </c>
      <c r="I2106" s="26" t="str">
        <f t="shared" si="2"/>
        <v/>
      </c>
      <c r="J2106" s="86">
        <f t="shared" ca="1" si="3"/>
        <v>45220</v>
      </c>
      <c r="R2106" s="26"/>
    </row>
    <row r="2107" spans="1:18" ht="15.75" customHeight="1">
      <c r="A2107" s="26">
        <f ca="1">IFERROR(__xludf.DUMMYFUNCTION("""COMPUTED_VALUE"""),20943)</f>
        <v>20943</v>
      </c>
      <c r="B2107" s="86">
        <f ca="1">IFERROR(__xludf.DUMMYFUNCTION("""COMPUTED_VALUE"""),45221.6330092592)</f>
        <v>45221.633009259203</v>
      </c>
      <c r="C2107" s="1" t="str">
        <f ca="1">IFERROR(__xludf.DUMMYFUNCTION("""COMPUTED_VALUE"""),"completed")</f>
        <v>completed</v>
      </c>
      <c r="D2107" s="26">
        <f ca="1">IFERROR(__xludf.DUMMYFUNCTION("""COMPUTED_VALUE"""),43)</f>
        <v>43</v>
      </c>
      <c r="E2107" s="1" t="str">
        <f ca="1">IFERROR(__xludf.DUMMYFUNCTION("""COMPUTED_VALUE"""),"WMFA")</f>
        <v>WMFA</v>
      </c>
      <c r="F2107" s="87" t="str">
        <f t="shared" ca="1" si="0"/>
        <v>2023</v>
      </c>
      <c r="H2107" s="26" t="str">
        <f t="shared" si="1"/>
        <v/>
      </c>
      <c r="I2107" s="26" t="str">
        <f t="shared" si="2"/>
        <v/>
      </c>
      <c r="J2107" s="86">
        <f t="shared" ca="1" si="3"/>
        <v>45221</v>
      </c>
      <c r="R2107" s="26"/>
    </row>
    <row r="2108" spans="1:18" ht="15.75" customHeight="1">
      <c r="A2108" s="26">
        <f ca="1">IFERROR(__xludf.DUMMYFUNCTION("""COMPUTED_VALUE"""),20944)</f>
        <v>20944</v>
      </c>
      <c r="B2108" s="86">
        <f ca="1">IFERROR(__xludf.DUMMYFUNCTION("""COMPUTED_VALUE"""),45221.7370254629)</f>
        <v>45221.737025462899</v>
      </c>
      <c r="C2108" s="1" t="str">
        <f ca="1">IFERROR(__xludf.DUMMYFUNCTION("""COMPUTED_VALUE"""),"completed")</f>
        <v>completed</v>
      </c>
      <c r="D2108" s="26">
        <f ca="1">IFERROR(__xludf.DUMMYFUNCTION("""COMPUTED_VALUE"""),35)</f>
        <v>35</v>
      </c>
      <c r="E2108" s="1" t="str">
        <f ca="1">IFERROR(__xludf.DUMMYFUNCTION("""COMPUTED_VALUE"""),"Lakeshore Lightning Hockey")</f>
        <v>Lakeshore Lightning Hockey</v>
      </c>
      <c r="F2108" s="87" t="str">
        <f t="shared" ca="1" si="0"/>
        <v>2023</v>
      </c>
      <c r="H2108" s="26" t="str">
        <f t="shared" si="1"/>
        <v/>
      </c>
      <c r="I2108" s="26" t="str">
        <f t="shared" si="2"/>
        <v/>
      </c>
      <c r="J2108" s="86">
        <f t="shared" ca="1" si="3"/>
        <v>45221</v>
      </c>
      <c r="R2108" s="26"/>
    </row>
    <row r="2109" spans="1:18" ht="15.75" customHeight="1">
      <c r="A2109" s="26">
        <f ca="1">IFERROR(__xludf.DUMMYFUNCTION("""COMPUTED_VALUE"""),20946)</f>
        <v>20946</v>
      </c>
      <c r="B2109" s="86">
        <f ca="1">IFERROR(__xludf.DUMMYFUNCTION("""COMPUTED_VALUE"""),45221.8089699074)</f>
        <v>45221.808969907397</v>
      </c>
      <c r="C2109" s="1" t="str">
        <f ca="1">IFERROR(__xludf.DUMMYFUNCTION("""COMPUTED_VALUE"""),"completed")</f>
        <v>completed</v>
      </c>
      <c r="D2109" s="26">
        <f ca="1">IFERROR(__xludf.DUMMYFUNCTION("""COMPUTED_VALUE"""),108)</f>
        <v>108</v>
      </c>
      <c r="E2109" s="1" t="str">
        <f ca="1">IFERROR(__xludf.DUMMYFUNCTION("""COMPUTED_VALUE"""),"W.M.H.A")</f>
        <v>W.M.H.A</v>
      </c>
      <c r="F2109" s="87" t="str">
        <f t="shared" ca="1" si="0"/>
        <v>2023</v>
      </c>
      <c r="H2109" s="26" t="str">
        <f t="shared" si="1"/>
        <v/>
      </c>
      <c r="I2109" s="26" t="str">
        <f t="shared" si="2"/>
        <v/>
      </c>
      <c r="J2109" s="86">
        <f t="shared" ca="1" si="3"/>
        <v>45221</v>
      </c>
      <c r="R2109" s="26"/>
    </row>
    <row r="2110" spans="1:18" ht="15.75" customHeight="1">
      <c r="A2110" s="26">
        <f ca="1">IFERROR(__xludf.DUMMYFUNCTION("""COMPUTED_VALUE"""),20945)</f>
        <v>20945</v>
      </c>
      <c r="B2110" s="86">
        <f ca="1">IFERROR(__xludf.DUMMYFUNCTION("""COMPUTED_VALUE"""),45221.8085300925)</f>
        <v>45221.808530092501</v>
      </c>
      <c r="C2110" s="1" t="str">
        <f ca="1">IFERROR(__xludf.DUMMYFUNCTION("""COMPUTED_VALUE"""),"completed")</f>
        <v>completed</v>
      </c>
      <c r="D2110" s="26">
        <f ca="1">IFERROR(__xludf.DUMMYFUNCTION("""COMPUTED_VALUE"""),53)</f>
        <v>53</v>
      </c>
      <c r="E2110" s="1" t="str">
        <f ca="1">IFERROR(__xludf.DUMMYFUNCTION("""COMPUTED_VALUE"""),"W.M.H.A")</f>
        <v>W.M.H.A</v>
      </c>
      <c r="F2110" s="87" t="str">
        <f t="shared" ca="1" si="0"/>
        <v>2023</v>
      </c>
      <c r="H2110" s="26" t="str">
        <f t="shared" si="1"/>
        <v/>
      </c>
      <c r="I2110" s="26" t="str">
        <f t="shared" si="2"/>
        <v/>
      </c>
      <c r="J2110" s="86">
        <f t="shared" ca="1" si="3"/>
        <v>45221</v>
      </c>
      <c r="R2110" s="26"/>
    </row>
    <row r="2111" spans="1:18" ht="15.75" customHeight="1">
      <c r="A2111" s="26">
        <f ca="1">IFERROR(__xludf.DUMMYFUNCTION("""COMPUTED_VALUE"""),20947)</f>
        <v>20947</v>
      </c>
      <c r="B2111" s="86">
        <f ca="1">IFERROR(__xludf.DUMMYFUNCTION("""COMPUTED_VALUE"""),45221.8159027777)</f>
        <v>45221.8159027777</v>
      </c>
      <c r="C2111" s="1" t="str">
        <f ca="1">IFERROR(__xludf.DUMMYFUNCTION("""COMPUTED_VALUE"""),"completed")</f>
        <v>completed</v>
      </c>
      <c r="D2111" s="26">
        <f ca="1">IFERROR(__xludf.DUMMYFUNCTION("""COMPUTED_VALUE"""),53)</f>
        <v>53</v>
      </c>
      <c r="E2111" s="1" t="str">
        <f ca="1">IFERROR(__xludf.DUMMYFUNCTION("""COMPUTED_VALUE"""),"W.M.H.A")</f>
        <v>W.M.H.A</v>
      </c>
      <c r="F2111" s="87" t="str">
        <f t="shared" ca="1" si="0"/>
        <v>2023</v>
      </c>
      <c r="H2111" s="26" t="str">
        <f t="shared" si="1"/>
        <v/>
      </c>
      <c r="I2111" s="26" t="str">
        <f t="shared" si="2"/>
        <v/>
      </c>
      <c r="J2111" s="86">
        <f t="shared" ca="1" si="3"/>
        <v>45221</v>
      </c>
      <c r="R2111" s="26"/>
    </row>
    <row r="2112" spans="1:18" ht="15.75" customHeight="1">
      <c r="A2112" s="26">
        <f ca="1">IFERROR(__xludf.DUMMYFUNCTION("""COMPUTED_VALUE"""),20948)</f>
        <v>20948</v>
      </c>
      <c r="B2112" s="86">
        <f ca="1">IFERROR(__xludf.DUMMYFUNCTION("""COMPUTED_VALUE"""),45221.8306018518)</f>
        <v>45221.830601851798</v>
      </c>
      <c r="C2112" s="1" t="str">
        <f ca="1">IFERROR(__xludf.DUMMYFUNCTION("""COMPUTED_VALUE"""),"completed")</f>
        <v>completed</v>
      </c>
      <c r="D2112" s="26">
        <f ca="1">IFERROR(__xludf.DUMMYFUNCTION("""COMPUTED_VALUE"""),20)</f>
        <v>20</v>
      </c>
      <c r="E2112" s="1" t="str">
        <f ca="1">IFERROR(__xludf.DUMMYFUNCTION("""COMPUTED_VALUE"""),"WMFA")</f>
        <v>WMFA</v>
      </c>
      <c r="F2112" s="87" t="str">
        <f t="shared" ca="1" si="0"/>
        <v>2023</v>
      </c>
      <c r="H2112" s="26" t="str">
        <f t="shared" si="1"/>
        <v/>
      </c>
      <c r="I2112" s="26" t="str">
        <f t="shared" si="2"/>
        <v/>
      </c>
      <c r="J2112" s="86">
        <f t="shared" ca="1" si="3"/>
        <v>45221</v>
      </c>
      <c r="R2112" s="26"/>
    </row>
    <row r="2113" spans="1:18" ht="15.75" customHeight="1">
      <c r="A2113" s="26">
        <f ca="1">IFERROR(__xludf.DUMMYFUNCTION("""COMPUTED_VALUE"""),20949)</f>
        <v>20949</v>
      </c>
      <c r="B2113" s="86">
        <f ca="1">IFERROR(__xludf.DUMMYFUNCTION("""COMPUTED_VALUE"""),45221.857199074)</f>
        <v>45221.857199074002</v>
      </c>
      <c r="C2113" s="1" t="str">
        <f ca="1">IFERROR(__xludf.DUMMYFUNCTION("""COMPUTED_VALUE"""),"completed")</f>
        <v>completed</v>
      </c>
      <c r="D2113" s="26">
        <f ca="1">IFERROR(__xludf.DUMMYFUNCTION("""COMPUTED_VALUE"""),26)</f>
        <v>26</v>
      </c>
      <c r="E2113" s="1" t="str">
        <f ca="1">IFERROR(__xludf.DUMMYFUNCTION("""COMPUTED_VALUE"""),"Lakeshore Lightning Hockey")</f>
        <v>Lakeshore Lightning Hockey</v>
      </c>
      <c r="F2113" s="87" t="str">
        <f t="shared" ca="1" si="0"/>
        <v>2023</v>
      </c>
      <c r="H2113" s="26" t="str">
        <f t="shared" si="1"/>
        <v/>
      </c>
      <c r="I2113" s="26" t="str">
        <f t="shared" si="2"/>
        <v/>
      </c>
      <c r="J2113" s="86">
        <f t="shared" ca="1" si="3"/>
        <v>45221</v>
      </c>
      <c r="R2113" s="26"/>
    </row>
    <row r="2114" spans="1:18" ht="15.75" customHeight="1">
      <c r="A2114" s="26">
        <f ca="1">IFERROR(__xludf.DUMMYFUNCTION("""COMPUTED_VALUE"""),20950)</f>
        <v>20950</v>
      </c>
      <c r="B2114" s="86">
        <f ca="1">IFERROR(__xludf.DUMMYFUNCTION("""COMPUTED_VALUE"""),45222.0417708333)</f>
        <v>45222.041770833297</v>
      </c>
      <c r="C2114" s="1" t="str">
        <f ca="1">IFERROR(__xludf.DUMMYFUNCTION("""COMPUTED_VALUE"""),"completed")</f>
        <v>completed</v>
      </c>
      <c r="D2114" s="26">
        <f ca="1">IFERROR(__xludf.DUMMYFUNCTION("""COMPUTED_VALUE"""),81)</f>
        <v>81</v>
      </c>
      <c r="E2114" s="1" t="str">
        <f ca="1">IFERROR(__xludf.DUMMYFUNCTION("""COMPUTED_VALUE"""),"W.M.H.A")</f>
        <v>W.M.H.A</v>
      </c>
      <c r="F2114" s="87" t="str">
        <f t="shared" ca="1" si="0"/>
        <v>2023</v>
      </c>
      <c r="H2114" s="26" t="str">
        <f t="shared" si="1"/>
        <v/>
      </c>
      <c r="I2114" s="26" t="str">
        <f t="shared" si="2"/>
        <v/>
      </c>
      <c r="J2114" s="86">
        <f t="shared" ca="1" si="3"/>
        <v>45222</v>
      </c>
      <c r="R2114" s="26"/>
    </row>
    <row r="2115" spans="1:18" ht="15.75" customHeight="1">
      <c r="A2115" s="26">
        <f ca="1">IFERROR(__xludf.DUMMYFUNCTION("""COMPUTED_VALUE"""),20951)</f>
        <v>20951</v>
      </c>
      <c r="B2115" s="86">
        <f ca="1">IFERROR(__xludf.DUMMYFUNCTION("""COMPUTED_VALUE"""),45222.1250231481)</f>
        <v>45222.125023148103</v>
      </c>
      <c r="C2115" s="1" t="str">
        <f ca="1">IFERROR(__xludf.DUMMYFUNCTION("""COMPUTED_VALUE"""),"completed")</f>
        <v>completed</v>
      </c>
      <c r="D2115" s="26">
        <f ca="1">IFERROR(__xludf.DUMMYFUNCTION("""COMPUTED_VALUE"""),25)</f>
        <v>25</v>
      </c>
      <c r="E2115" s="1" t="str">
        <f ca="1">IFERROR(__xludf.DUMMYFUNCTION("""COMPUTED_VALUE"""),"W.M.H.A")</f>
        <v>W.M.H.A</v>
      </c>
      <c r="F2115" s="87" t="str">
        <f t="shared" ca="1" si="0"/>
        <v>2023</v>
      </c>
      <c r="H2115" s="26" t="str">
        <f t="shared" si="1"/>
        <v/>
      </c>
      <c r="I2115" s="26" t="str">
        <f t="shared" si="2"/>
        <v/>
      </c>
      <c r="J2115" s="86">
        <f t="shared" ca="1" si="3"/>
        <v>45222</v>
      </c>
      <c r="R2115" s="26"/>
    </row>
    <row r="2116" spans="1:18" ht="15.75" customHeight="1">
      <c r="A2116" s="26">
        <f ca="1">IFERROR(__xludf.DUMMYFUNCTION("""COMPUTED_VALUE"""),20952)</f>
        <v>20952</v>
      </c>
      <c r="B2116" s="86">
        <f ca="1">IFERROR(__xludf.DUMMYFUNCTION("""COMPUTED_VALUE"""),45222.569074074)</f>
        <v>45222.569074074003</v>
      </c>
      <c r="C2116" s="1" t="str">
        <f ca="1">IFERROR(__xludf.DUMMYFUNCTION("""COMPUTED_VALUE"""),"completed")</f>
        <v>completed</v>
      </c>
      <c r="D2116" s="26">
        <f ca="1">IFERROR(__xludf.DUMMYFUNCTION("""COMPUTED_VALUE"""),25)</f>
        <v>25</v>
      </c>
      <c r="E2116" s="1" t="str">
        <f ca="1">IFERROR(__xludf.DUMMYFUNCTION("""COMPUTED_VALUE"""),"W.M.H.A")</f>
        <v>W.M.H.A</v>
      </c>
      <c r="F2116" s="87" t="str">
        <f t="shared" ca="1" si="0"/>
        <v>2023</v>
      </c>
      <c r="H2116" s="26" t="str">
        <f t="shared" si="1"/>
        <v/>
      </c>
      <c r="I2116" s="26" t="str">
        <f t="shared" si="2"/>
        <v/>
      </c>
      <c r="J2116" s="86">
        <f t="shared" ca="1" si="3"/>
        <v>45222</v>
      </c>
      <c r="R2116" s="26"/>
    </row>
    <row r="2117" spans="1:18" ht="15.75" customHeight="1">
      <c r="A2117" s="26">
        <f ca="1">IFERROR(__xludf.DUMMYFUNCTION("""COMPUTED_VALUE"""),20953)</f>
        <v>20953</v>
      </c>
      <c r="B2117" s="86">
        <f ca="1">IFERROR(__xludf.DUMMYFUNCTION("""COMPUTED_VALUE"""),45222.747199074)</f>
        <v>45222.747199074001</v>
      </c>
      <c r="C2117" s="1" t="str">
        <f ca="1">IFERROR(__xludf.DUMMYFUNCTION("""COMPUTED_VALUE"""),"completed")</f>
        <v>completed</v>
      </c>
      <c r="D2117" s="26">
        <f ca="1">IFERROR(__xludf.DUMMYFUNCTION("""COMPUTED_VALUE"""),26)</f>
        <v>26</v>
      </c>
      <c r="E2117" s="1" t="str">
        <f ca="1">IFERROR(__xludf.DUMMYFUNCTION("""COMPUTED_VALUE"""),"W.M.H.A")</f>
        <v>W.M.H.A</v>
      </c>
      <c r="F2117" s="87" t="str">
        <f t="shared" ca="1" si="0"/>
        <v>2023</v>
      </c>
      <c r="H2117" s="26" t="str">
        <f t="shared" si="1"/>
        <v/>
      </c>
      <c r="I2117" s="26" t="str">
        <f t="shared" si="2"/>
        <v/>
      </c>
      <c r="J2117" s="86">
        <f t="shared" ca="1" si="3"/>
        <v>45222</v>
      </c>
      <c r="R2117" s="26"/>
    </row>
    <row r="2118" spans="1:18" ht="15.75" customHeight="1">
      <c r="A2118" s="26">
        <f ca="1">IFERROR(__xludf.DUMMYFUNCTION("""COMPUTED_VALUE"""),20957)</f>
        <v>20957</v>
      </c>
      <c r="B2118" s="86">
        <f ca="1">IFERROR(__xludf.DUMMYFUNCTION("""COMPUTED_VALUE"""),45222.8394791666)</f>
        <v>45222.8394791666</v>
      </c>
      <c r="C2118" s="1" t="str">
        <f ca="1">IFERROR(__xludf.DUMMYFUNCTION("""COMPUTED_VALUE"""),"completed")</f>
        <v>completed</v>
      </c>
      <c r="D2118" s="26">
        <f ca="1">IFERROR(__xludf.DUMMYFUNCTION("""COMPUTED_VALUE"""),26)</f>
        <v>26</v>
      </c>
      <c r="E2118" s="1" t="str">
        <f ca="1">IFERROR(__xludf.DUMMYFUNCTION("""COMPUTED_VALUE"""),"W.M.H.A")</f>
        <v>W.M.H.A</v>
      </c>
      <c r="F2118" s="87" t="str">
        <f t="shared" ca="1" si="0"/>
        <v>2023</v>
      </c>
      <c r="H2118" s="26" t="str">
        <f t="shared" si="1"/>
        <v/>
      </c>
      <c r="I2118" s="26" t="str">
        <f t="shared" si="2"/>
        <v/>
      </c>
      <c r="J2118" s="86">
        <f t="shared" ca="1" si="3"/>
        <v>45222</v>
      </c>
      <c r="R2118" s="26"/>
    </row>
    <row r="2119" spans="1:18" ht="15.75" customHeight="1">
      <c r="A2119" s="26">
        <f ca="1">IFERROR(__xludf.DUMMYFUNCTION("""COMPUTED_VALUE"""),20956)</f>
        <v>20956</v>
      </c>
      <c r="B2119" s="86">
        <f ca="1">IFERROR(__xludf.DUMMYFUNCTION("""COMPUTED_VALUE"""),45222.8365046296)</f>
        <v>45222.836504629602</v>
      </c>
      <c r="C2119" s="1" t="str">
        <f ca="1">IFERROR(__xludf.DUMMYFUNCTION("""COMPUTED_VALUE"""),"completed")</f>
        <v>completed</v>
      </c>
      <c r="D2119" s="26">
        <f ca="1">IFERROR(__xludf.DUMMYFUNCTION("""COMPUTED_VALUE"""),20)</f>
        <v>20</v>
      </c>
      <c r="E2119" s="1" t="str">
        <f ca="1">IFERROR(__xludf.DUMMYFUNCTION("""COMPUTED_VALUE"""),"W.M.H.A")</f>
        <v>W.M.H.A</v>
      </c>
      <c r="F2119" s="87" t="str">
        <f t="shared" ca="1" si="0"/>
        <v>2023</v>
      </c>
      <c r="H2119" s="26" t="str">
        <f t="shared" si="1"/>
        <v/>
      </c>
      <c r="I2119" s="26" t="str">
        <f t="shared" si="2"/>
        <v/>
      </c>
      <c r="J2119" s="86">
        <f t="shared" ca="1" si="3"/>
        <v>45222</v>
      </c>
      <c r="R2119" s="26"/>
    </row>
    <row r="2120" spans="1:18" ht="15.75" customHeight="1">
      <c r="A2120" s="26">
        <f ca="1">IFERROR(__xludf.DUMMYFUNCTION("""COMPUTED_VALUE"""),20955)</f>
        <v>20955</v>
      </c>
      <c r="B2120" s="86">
        <f ca="1">IFERROR(__xludf.DUMMYFUNCTION("""COMPUTED_VALUE"""),45222.8350231481)</f>
        <v>45222.835023148102</v>
      </c>
      <c r="C2120" s="1" t="str">
        <f ca="1">IFERROR(__xludf.DUMMYFUNCTION("""COMPUTED_VALUE"""),"completed")</f>
        <v>completed</v>
      </c>
      <c r="D2120" s="26">
        <f ca="1">IFERROR(__xludf.DUMMYFUNCTION("""COMPUTED_VALUE"""),26)</f>
        <v>26</v>
      </c>
      <c r="E2120" s="1" t="str">
        <f ca="1">IFERROR(__xludf.DUMMYFUNCTION("""COMPUTED_VALUE"""),"W.M.H.A")</f>
        <v>W.M.H.A</v>
      </c>
      <c r="F2120" s="87" t="str">
        <f t="shared" ca="1" si="0"/>
        <v>2023</v>
      </c>
      <c r="H2120" s="26" t="str">
        <f t="shared" si="1"/>
        <v/>
      </c>
      <c r="I2120" s="26" t="str">
        <f t="shared" si="2"/>
        <v/>
      </c>
      <c r="J2120" s="86">
        <f t="shared" ca="1" si="3"/>
        <v>45222</v>
      </c>
      <c r="R2120" s="26"/>
    </row>
    <row r="2121" spans="1:18" ht="15.75" customHeight="1">
      <c r="A2121" s="26">
        <f ca="1">IFERROR(__xludf.DUMMYFUNCTION("""COMPUTED_VALUE"""),20954)</f>
        <v>20954</v>
      </c>
      <c r="B2121" s="86">
        <f ca="1">IFERROR(__xludf.DUMMYFUNCTION("""COMPUTED_VALUE"""),45222.8330902777)</f>
        <v>45222.833090277702</v>
      </c>
      <c r="C2121" s="1" t="str">
        <f ca="1">IFERROR(__xludf.DUMMYFUNCTION("""COMPUTED_VALUE"""),"cancelled")</f>
        <v>cancelled</v>
      </c>
      <c r="D2121" s="26">
        <f ca="1">IFERROR(__xludf.DUMMYFUNCTION("""COMPUTED_VALUE"""),20)</f>
        <v>20</v>
      </c>
      <c r="E2121" s="1" t="str">
        <f ca="1">IFERROR(__xludf.DUMMYFUNCTION("""COMPUTED_VALUE"""),"W.M.H.A")</f>
        <v>W.M.H.A</v>
      </c>
      <c r="F2121" s="87" t="str">
        <f t="shared" ca="1" si="0"/>
        <v>2023</v>
      </c>
      <c r="H2121" s="26" t="str">
        <f t="shared" si="1"/>
        <v/>
      </c>
      <c r="I2121" s="26" t="str">
        <f t="shared" si="2"/>
        <v/>
      </c>
      <c r="J2121" s="86">
        <f t="shared" ca="1" si="3"/>
        <v>45222</v>
      </c>
      <c r="R2121" s="26"/>
    </row>
    <row r="2122" spans="1:18" ht="15.75" customHeight="1">
      <c r="A2122" s="26">
        <f ca="1">IFERROR(__xludf.DUMMYFUNCTION("""COMPUTED_VALUE"""),20958)</f>
        <v>20958</v>
      </c>
      <c r="B2122" s="86">
        <f ca="1">IFERROR(__xludf.DUMMYFUNCTION("""COMPUTED_VALUE"""),45222.8597916666)</f>
        <v>45222.859791666597</v>
      </c>
      <c r="C2122" s="1" t="str">
        <f ca="1">IFERROR(__xludf.DUMMYFUNCTION("""COMPUTED_VALUE"""),"completed")</f>
        <v>completed</v>
      </c>
      <c r="D2122" s="26">
        <f ca="1">IFERROR(__xludf.DUMMYFUNCTION("""COMPUTED_VALUE"""),46)</f>
        <v>46</v>
      </c>
      <c r="E2122" s="1" t="str">
        <f ca="1">IFERROR(__xludf.DUMMYFUNCTION("""COMPUTED_VALUE"""),"W.M.H.A")</f>
        <v>W.M.H.A</v>
      </c>
      <c r="F2122" s="87" t="str">
        <f t="shared" ca="1" si="0"/>
        <v>2023</v>
      </c>
      <c r="H2122" s="26" t="str">
        <f t="shared" si="1"/>
        <v/>
      </c>
      <c r="I2122" s="26" t="str">
        <f t="shared" si="2"/>
        <v/>
      </c>
      <c r="J2122" s="86">
        <f t="shared" ca="1" si="3"/>
        <v>45222</v>
      </c>
      <c r="R2122" s="26"/>
    </row>
    <row r="2123" spans="1:18" ht="15.75" customHeight="1">
      <c r="A2123" s="26">
        <f ca="1">IFERROR(__xludf.DUMMYFUNCTION("""COMPUTED_VALUE"""),20960)</f>
        <v>20960</v>
      </c>
      <c r="B2123" s="86">
        <f ca="1">IFERROR(__xludf.DUMMYFUNCTION("""COMPUTED_VALUE"""),45222.8752662037)</f>
        <v>45222.8752662037</v>
      </c>
      <c r="C2123" s="1" t="str">
        <f ca="1">IFERROR(__xludf.DUMMYFUNCTION("""COMPUTED_VALUE"""),"completed")</f>
        <v>completed</v>
      </c>
      <c r="D2123" s="26">
        <f ca="1">IFERROR(__xludf.DUMMYFUNCTION("""COMPUTED_VALUE"""),35)</f>
        <v>35</v>
      </c>
      <c r="E2123" s="1" t="str">
        <f ca="1">IFERROR(__xludf.DUMMYFUNCTION("""COMPUTED_VALUE"""),"W.M.H.A")</f>
        <v>W.M.H.A</v>
      </c>
      <c r="F2123" s="87" t="str">
        <f t="shared" ca="1" si="0"/>
        <v>2023</v>
      </c>
      <c r="H2123" s="26" t="str">
        <f t="shared" si="1"/>
        <v/>
      </c>
      <c r="I2123" s="26" t="str">
        <f t="shared" si="2"/>
        <v/>
      </c>
      <c r="J2123" s="86">
        <f t="shared" ca="1" si="3"/>
        <v>45222</v>
      </c>
      <c r="R2123" s="26"/>
    </row>
    <row r="2124" spans="1:18" ht="15.75" customHeight="1">
      <c r="A2124" s="26">
        <f ca="1">IFERROR(__xludf.DUMMYFUNCTION("""COMPUTED_VALUE"""),20959)</f>
        <v>20959</v>
      </c>
      <c r="B2124" s="86">
        <f ca="1">IFERROR(__xludf.DUMMYFUNCTION("""COMPUTED_VALUE"""),45222.8750925925)</f>
        <v>45222.875092592498</v>
      </c>
      <c r="C2124" s="1" t="str">
        <f ca="1">IFERROR(__xludf.DUMMYFUNCTION("""COMPUTED_VALUE"""),"completed")</f>
        <v>completed</v>
      </c>
      <c r="D2124" s="26">
        <f ca="1">IFERROR(__xludf.DUMMYFUNCTION("""COMPUTED_VALUE"""),28)</f>
        <v>28</v>
      </c>
      <c r="E2124" s="1" t="str">
        <f ca="1">IFERROR(__xludf.DUMMYFUNCTION("""COMPUTED_VALUE"""),"W.M.H.A")</f>
        <v>W.M.H.A</v>
      </c>
      <c r="F2124" s="87" t="str">
        <f t="shared" ca="1" si="0"/>
        <v>2023</v>
      </c>
      <c r="H2124" s="26" t="str">
        <f t="shared" si="1"/>
        <v/>
      </c>
      <c r="I2124" s="26" t="str">
        <f t="shared" si="2"/>
        <v/>
      </c>
      <c r="J2124" s="86">
        <f t="shared" ca="1" si="3"/>
        <v>45222</v>
      </c>
      <c r="R2124" s="26"/>
    </row>
    <row r="2125" spans="1:18" ht="15.75" customHeight="1">
      <c r="A2125" s="26">
        <f ca="1">IFERROR(__xludf.DUMMYFUNCTION("""COMPUTED_VALUE"""),20962)</f>
        <v>20962</v>
      </c>
      <c r="B2125" s="86">
        <f ca="1">IFERROR(__xludf.DUMMYFUNCTION("""COMPUTED_VALUE"""),45222.8928009259)</f>
        <v>45222.892800925903</v>
      </c>
      <c r="C2125" s="1" t="str">
        <f ca="1">IFERROR(__xludf.DUMMYFUNCTION("""COMPUTED_VALUE"""),"completed")</f>
        <v>completed</v>
      </c>
      <c r="D2125" s="26">
        <f ca="1">IFERROR(__xludf.DUMMYFUNCTION("""COMPUTED_VALUE"""),25)</f>
        <v>25</v>
      </c>
      <c r="E2125" s="1" t="str">
        <f ca="1">IFERROR(__xludf.DUMMYFUNCTION("""COMPUTED_VALUE"""),"W.M.H.A")</f>
        <v>W.M.H.A</v>
      </c>
      <c r="F2125" s="87" t="str">
        <f t="shared" ca="1" si="0"/>
        <v>2023</v>
      </c>
      <c r="H2125" s="26" t="str">
        <f t="shared" si="1"/>
        <v/>
      </c>
      <c r="I2125" s="26" t="str">
        <f t="shared" si="2"/>
        <v/>
      </c>
      <c r="J2125" s="86">
        <f t="shared" ca="1" si="3"/>
        <v>45222</v>
      </c>
      <c r="R2125" s="26"/>
    </row>
    <row r="2126" spans="1:18" ht="15.75" customHeight="1">
      <c r="A2126" s="26">
        <f ca="1">IFERROR(__xludf.DUMMYFUNCTION("""COMPUTED_VALUE"""),20961)</f>
        <v>20961</v>
      </c>
      <c r="B2126" s="86">
        <f ca="1">IFERROR(__xludf.DUMMYFUNCTION("""COMPUTED_VALUE"""),45222.8908101851)</f>
        <v>45222.890810185098</v>
      </c>
      <c r="C2126" s="1" t="str">
        <f ca="1">IFERROR(__xludf.DUMMYFUNCTION("""COMPUTED_VALUE"""),"completed")</f>
        <v>completed</v>
      </c>
      <c r="D2126" s="26">
        <f ca="1">IFERROR(__xludf.DUMMYFUNCTION("""COMPUTED_VALUE"""),25)</f>
        <v>25</v>
      </c>
      <c r="E2126" s="1" t="str">
        <f ca="1">IFERROR(__xludf.DUMMYFUNCTION("""COMPUTED_VALUE"""),"W.M.H.A")</f>
        <v>W.M.H.A</v>
      </c>
      <c r="F2126" s="87" t="str">
        <f t="shared" ca="1" si="0"/>
        <v>2023</v>
      </c>
      <c r="H2126" s="26" t="str">
        <f t="shared" si="1"/>
        <v/>
      </c>
      <c r="I2126" s="26" t="str">
        <f t="shared" si="2"/>
        <v/>
      </c>
      <c r="J2126" s="86">
        <f t="shared" ca="1" si="3"/>
        <v>45222</v>
      </c>
      <c r="R2126" s="26"/>
    </row>
    <row r="2127" spans="1:18" ht="15.75" customHeight="1">
      <c r="A2127" s="26">
        <f ca="1">IFERROR(__xludf.DUMMYFUNCTION("""COMPUTED_VALUE"""),20963)</f>
        <v>20963</v>
      </c>
      <c r="B2127" s="86">
        <f ca="1">IFERROR(__xludf.DUMMYFUNCTION("""COMPUTED_VALUE"""),45222.8956944444)</f>
        <v>45222.8956944444</v>
      </c>
      <c r="C2127" s="1" t="str">
        <f ca="1">IFERROR(__xludf.DUMMYFUNCTION("""COMPUTED_VALUE"""),"completed")</f>
        <v>completed</v>
      </c>
      <c r="D2127" s="26">
        <f ca="1">IFERROR(__xludf.DUMMYFUNCTION("""COMPUTED_VALUE"""),26)</f>
        <v>26</v>
      </c>
      <c r="E2127" s="1" t="str">
        <f ca="1">IFERROR(__xludf.DUMMYFUNCTION("""COMPUTED_VALUE"""),"W.M.H.A")</f>
        <v>W.M.H.A</v>
      </c>
      <c r="F2127" s="87" t="str">
        <f t="shared" ca="1" si="0"/>
        <v>2023</v>
      </c>
      <c r="H2127" s="26" t="str">
        <f t="shared" si="1"/>
        <v/>
      </c>
      <c r="I2127" s="26" t="str">
        <f t="shared" si="2"/>
        <v/>
      </c>
      <c r="J2127" s="86">
        <f t="shared" ca="1" si="3"/>
        <v>45222</v>
      </c>
      <c r="R2127" s="26"/>
    </row>
    <row r="2128" spans="1:18" ht="15.75" customHeight="1">
      <c r="A2128" s="26">
        <f ca="1">IFERROR(__xludf.DUMMYFUNCTION("""COMPUTED_VALUE"""),20964)</f>
        <v>20964</v>
      </c>
      <c r="B2128" s="86">
        <f ca="1">IFERROR(__xludf.DUMMYFUNCTION("""COMPUTED_VALUE"""),45222.9092592592)</f>
        <v>45222.909259259199</v>
      </c>
      <c r="C2128" s="1" t="str">
        <f ca="1">IFERROR(__xludf.DUMMYFUNCTION("""COMPUTED_VALUE"""),"completed")</f>
        <v>completed</v>
      </c>
      <c r="D2128" s="26">
        <f ca="1">IFERROR(__xludf.DUMMYFUNCTION("""COMPUTED_VALUE"""),25)</f>
        <v>25</v>
      </c>
      <c r="E2128" s="1" t="str">
        <f ca="1">IFERROR(__xludf.DUMMYFUNCTION("""COMPUTED_VALUE"""),"W.M.H.A")</f>
        <v>W.M.H.A</v>
      </c>
      <c r="F2128" s="87" t="str">
        <f t="shared" ca="1" si="0"/>
        <v>2023</v>
      </c>
      <c r="H2128" s="26" t="str">
        <f t="shared" si="1"/>
        <v/>
      </c>
      <c r="I2128" s="26" t="str">
        <f t="shared" si="2"/>
        <v/>
      </c>
      <c r="J2128" s="86">
        <f t="shared" ca="1" si="3"/>
        <v>45222</v>
      </c>
      <c r="R2128" s="26"/>
    </row>
    <row r="2129" spans="1:18" ht="15.75" customHeight="1">
      <c r="A2129" s="26">
        <f ca="1">IFERROR(__xludf.DUMMYFUNCTION("""COMPUTED_VALUE"""),20966)</f>
        <v>20966</v>
      </c>
      <c r="B2129" s="86">
        <f ca="1">IFERROR(__xludf.DUMMYFUNCTION("""COMPUTED_VALUE"""),45222.9207407407)</f>
        <v>45222.920740740701</v>
      </c>
      <c r="C2129" s="1" t="str">
        <f ca="1">IFERROR(__xludf.DUMMYFUNCTION("""COMPUTED_VALUE"""),"completed")</f>
        <v>completed</v>
      </c>
      <c r="D2129" s="26">
        <f ca="1">IFERROR(__xludf.DUMMYFUNCTION("""COMPUTED_VALUE"""),26)</f>
        <v>26</v>
      </c>
      <c r="E2129" s="1" t="str">
        <f ca="1">IFERROR(__xludf.DUMMYFUNCTION("""COMPUTED_VALUE"""),"W.M.H.A")</f>
        <v>W.M.H.A</v>
      </c>
      <c r="F2129" s="87" t="str">
        <f t="shared" ca="1" si="0"/>
        <v>2023</v>
      </c>
      <c r="H2129" s="26" t="str">
        <f t="shared" si="1"/>
        <v/>
      </c>
      <c r="I2129" s="26" t="str">
        <f t="shared" si="2"/>
        <v/>
      </c>
      <c r="J2129" s="86">
        <f t="shared" ca="1" si="3"/>
        <v>45222</v>
      </c>
      <c r="R2129" s="26"/>
    </row>
    <row r="2130" spans="1:18" ht="15.75" customHeight="1">
      <c r="A2130" s="26">
        <f ca="1">IFERROR(__xludf.DUMMYFUNCTION("""COMPUTED_VALUE"""),20965)</f>
        <v>20965</v>
      </c>
      <c r="B2130" s="86">
        <f ca="1">IFERROR(__xludf.DUMMYFUNCTION("""COMPUTED_VALUE"""),45222.9191898148)</f>
        <v>45222.919189814798</v>
      </c>
      <c r="C2130" s="1" t="str">
        <f ca="1">IFERROR(__xludf.DUMMYFUNCTION("""COMPUTED_VALUE"""),"completed")</f>
        <v>completed</v>
      </c>
      <c r="D2130" s="26">
        <f ca="1">IFERROR(__xludf.DUMMYFUNCTION("""COMPUTED_VALUE"""),37)</f>
        <v>37</v>
      </c>
      <c r="E2130" s="1" t="str">
        <f ca="1">IFERROR(__xludf.DUMMYFUNCTION("""COMPUTED_VALUE"""),"W.M.H.A")</f>
        <v>W.M.H.A</v>
      </c>
      <c r="F2130" s="87" t="str">
        <f t="shared" ca="1" si="0"/>
        <v>2023</v>
      </c>
      <c r="H2130" s="26" t="str">
        <f t="shared" si="1"/>
        <v/>
      </c>
      <c r="I2130" s="26" t="str">
        <f t="shared" si="2"/>
        <v/>
      </c>
      <c r="J2130" s="86">
        <f t="shared" ca="1" si="3"/>
        <v>45222</v>
      </c>
      <c r="R2130" s="26"/>
    </row>
    <row r="2131" spans="1:18" ht="15.75" customHeight="1">
      <c r="A2131" s="26">
        <f ca="1">IFERROR(__xludf.DUMMYFUNCTION("""COMPUTED_VALUE"""),20967)</f>
        <v>20967</v>
      </c>
      <c r="B2131" s="86">
        <f ca="1">IFERROR(__xludf.DUMMYFUNCTION("""COMPUTED_VALUE"""),45222.9563773148)</f>
        <v>45222.956377314797</v>
      </c>
      <c r="C2131" s="1" t="str">
        <f ca="1">IFERROR(__xludf.DUMMYFUNCTION("""COMPUTED_VALUE"""),"completed")</f>
        <v>completed</v>
      </c>
      <c r="D2131" s="26">
        <f ca="1">IFERROR(__xludf.DUMMYFUNCTION("""COMPUTED_VALUE"""),54)</f>
        <v>54</v>
      </c>
      <c r="E2131" s="1" t="str">
        <f ca="1">IFERROR(__xludf.DUMMYFUNCTION("""COMPUTED_VALUE"""),"W.M.H.A")</f>
        <v>W.M.H.A</v>
      </c>
      <c r="F2131" s="87" t="str">
        <f t="shared" ca="1" si="0"/>
        <v>2023</v>
      </c>
      <c r="H2131" s="26" t="str">
        <f t="shared" si="1"/>
        <v/>
      </c>
      <c r="I2131" s="26" t="str">
        <f t="shared" si="2"/>
        <v/>
      </c>
      <c r="J2131" s="86">
        <f t="shared" ca="1" si="3"/>
        <v>45222</v>
      </c>
      <c r="R2131" s="26"/>
    </row>
    <row r="2132" spans="1:18" ht="15.75" customHeight="1">
      <c r="A2132" s="26">
        <f ca="1">IFERROR(__xludf.DUMMYFUNCTION("""COMPUTED_VALUE"""),20968)</f>
        <v>20968</v>
      </c>
      <c r="B2132" s="86">
        <f ca="1">IFERROR(__xludf.DUMMYFUNCTION("""COMPUTED_VALUE"""),45222.957824074)</f>
        <v>45222.957824074001</v>
      </c>
      <c r="C2132" s="1" t="str">
        <f ca="1">IFERROR(__xludf.DUMMYFUNCTION("""COMPUTED_VALUE"""),"completed")</f>
        <v>completed</v>
      </c>
      <c r="D2132" s="26">
        <f ca="1">IFERROR(__xludf.DUMMYFUNCTION("""COMPUTED_VALUE"""),81)</f>
        <v>81</v>
      </c>
      <c r="E2132" s="1" t="str">
        <f ca="1">IFERROR(__xludf.DUMMYFUNCTION("""COMPUTED_VALUE"""),"W.M.H.A")</f>
        <v>W.M.H.A</v>
      </c>
      <c r="F2132" s="87" t="str">
        <f t="shared" ca="1" si="0"/>
        <v>2023</v>
      </c>
      <c r="H2132" s="26" t="str">
        <f t="shared" si="1"/>
        <v/>
      </c>
      <c r="I2132" s="26" t="str">
        <f t="shared" si="2"/>
        <v/>
      </c>
      <c r="J2132" s="86">
        <f t="shared" ca="1" si="3"/>
        <v>45222</v>
      </c>
      <c r="R2132" s="26"/>
    </row>
    <row r="2133" spans="1:18" ht="15.75" customHeight="1">
      <c r="A2133" s="26">
        <f ca="1">IFERROR(__xludf.DUMMYFUNCTION("""COMPUTED_VALUE"""),20969)</f>
        <v>20969</v>
      </c>
      <c r="B2133" s="86">
        <f ca="1">IFERROR(__xludf.DUMMYFUNCTION("""COMPUTED_VALUE"""),45222.9894212963)</f>
        <v>45222.989421296297</v>
      </c>
      <c r="C2133" s="1" t="str">
        <f ca="1">IFERROR(__xludf.DUMMYFUNCTION("""COMPUTED_VALUE"""),"completed")</f>
        <v>completed</v>
      </c>
      <c r="D2133" s="26">
        <f ca="1">IFERROR(__xludf.DUMMYFUNCTION("""COMPUTED_VALUE"""),81)</f>
        <v>81</v>
      </c>
      <c r="E2133" s="1" t="str">
        <f ca="1">IFERROR(__xludf.DUMMYFUNCTION("""COMPUTED_VALUE"""),"W.M.H.A")</f>
        <v>W.M.H.A</v>
      </c>
      <c r="F2133" s="87" t="str">
        <f t="shared" ca="1" si="0"/>
        <v>2023</v>
      </c>
      <c r="H2133" s="26" t="str">
        <f t="shared" si="1"/>
        <v/>
      </c>
      <c r="I2133" s="26" t="str">
        <f t="shared" si="2"/>
        <v/>
      </c>
      <c r="J2133" s="86">
        <f t="shared" ca="1" si="3"/>
        <v>45222</v>
      </c>
      <c r="R2133" s="26"/>
    </row>
    <row r="2134" spans="1:18" ht="15.75" customHeight="1">
      <c r="A2134" s="26">
        <f ca="1">IFERROR(__xludf.DUMMYFUNCTION("""COMPUTED_VALUE"""),20970)</f>
        <v>20970</v>
      </c>
      <c r="B2134" s="86">
        <f ca="1">IFERROR(__xludf.DUMMYFUNCTION("""COMPUTED_VALUE"""),45223.016875)</f>
        <v>45223.016875000001</v>
      </c>
      <c r="C2134" s="1" t="str">
        <f ca="1">IFERROR(__xludf.DUMMYFUNCTION("""COMPUTED_VALUE"""),"cancelled")</f>
        <v>cancelled</v>
      </c>
      <c r="D2134" s="26">
        <f ca="1">IFERROR(__xludf.DUMMYFUNCTION("""COMPUTED_VALUE"""),25)</f>
        <v>25</v>
      </c>
      <c r="E2134" s="1" t="str">
        <f ca="1">IFERROR(__xludf.DUMMYFUNCTION("""COMPUTED_VALUE"""),"W.M.H.A")</f>
        <v>W.M.H.A</v>
      </c>
      <c r="F2134" s="87" t="str">
        <f t="shared" ca="1" si="0"/>
        <v>2023</v>
      </c>
      <c r="H2134" s="26" t="str">
        <f t="shared" si="1"/>
        <v/>
      </c>
      <c r="I2134" s="26" t="str">
        <f t="shared" si="2"/>
        <v/>
      </c>
      <c r="J2134" s="86">
        <f t="shared" ca="1" si="3"/>
        <v>45223</v>
      </c>
      <c r="R2134" s="26"/>
    </row>
    <row r="2135" spans="1:18" ht="15.75" customHeight="1">
      <c r="A2135" s="26">
        <f ca="1">IFERROR(__xludf.DUMMYFUNCTION("""COMPUTED_VALUE"""),20971)</f>
        <v>20971</v>
      </c>
      <c r="B2135" s="86">
        <f ca="1">IFERROR(__xludf.DUMMYFUNCTION("""COMPUTED_VALUE"""),45223.8062152777)</f>
        <v>45223.806215277698</v>
      </c>
      <c r="C2135" s="1" t="str">
        <f ca="1">IFERROR(__xludf.DUMMYFUNCTION("""COMPUTED_VALUE"""),"completed")</f>
        <v>completed</v>
      </c>
      <c r="D2135" s="26">
        <f ca="1">IFERROR(__xludf.DUMMYFUNCTION("""COMPUTED_VALUE"""),28)</f>
        <v>28</v>
      </c>
      <c r="E2135" s="1" t="str">
        <f ca="1">IFERROR(__xludf.DUMMYFUNCTION("""COMPUTED_VALUE"""),"W.M.H.A")</f>
        <v>W.M.H.A</v>
      </c>
      <c r="F2135" s="87" t="str">
        <f t="shared" ca="1" si="0"/>
        <v>2023</v>
      </c>
      <c r="H2135" s="26" t="str">
        <f t="shared" si="1"/>
        <v/>
      </c>
      <c r="I2135" s="26" t="str">
        <f t="shared" si="2"/>
        <v/>
      </c>
      <c r="J2135" s="86">
        <f t="shared" ca="1" si="3"/>
        <v>45223</v>
      </c>
      <c r="R2135" s="26"/>
    </row>
    <row r="2136" spans="1:18" ht="15.75" customHeight="1">
      <c r="A2136" s="26">
        <f ca="1">IFERROR(__xludf.DUMMYFUNCTION("""COMPUTED_VALUE"""),20972)</f>
        <v>20972</v>
      </c>
      <c r="B2136" s="86">
        <f ca="1">IFERROR(__xludf.DUMMYFUNCTION("""COMPUTED_VALUE"""),45223.8329976851)</f>
        <v>45223.832997685102</v>
      </c>
      <c r="C2136" s="1" t="str">
        <f ca="1">IFERROR(__xludf.DUMMYFUNCTION("""COMPUTED_VALUE"""),"completed")</f>
        <v>completed</v>
      </c>
      <c r="D2136" s="26">
        <f ca="1">IFERROR(__xludf.DUMMYFUNCTION("""COMPUTED_VALUE"""),83)</f>
        <v>83</v>
      </c>
      <c r="E2136" s="1" t="str">
        <f ca="1">IFERROR(__xludf.DUMMYFUNCTION("""COMPUTED_VALUE"""),"W.M.H.A")</f>
        <v>W.M.H.A</v>
      </c>
      <c r="F2136" s="87" t="str">
        <f t="shared" ca="1" si="0"/>
        <v>2023</v>
      </c>
      <c r="H2136" s="26" t="str">
        <f t="shared" si="1"/>
        <v/>
      </c>
      <c r="I2136" s="26" t="str">
        <f t="shared" si="2"/>
        <v/>
      </c>
      <c r="J2136" s="86">
        <f t="shared" ca="1" si="3"/>
        <v>45223</v>
      </c>
      <c r="R2136" s="26"/>
    </row>
    <row r="2137" spans="1:18" ht="15.75" customHeight="1">
      <c r="A2137" s="26">
        <f ca="1">IFERROR(__xludf.DUMMYFUNCTION("""COMPUTED_VALUE"""),20973)</f>
        <v>20973</v>
      </c>
      <c r="B2137" s="86">
        <f ca="1">IFERROR(__xludf.DUMMYFUNCTION("""COMPUTED_VALUE"""),45223.8400231481)</f>
        <v>45223.840023148099</v>
      </c>
      <c r="C2137" s="1" t="str">
        <f ca="1">IFERROR(__xludf.DUMMYFUNCTION("""COMPUTED_VALUE"""),"completed")</f>
        <v>completed</v>
      </c>
      <c r="D2137" s="26">
        <f ca="1">IFERROR(__xludf.DUMMYFUNCTION("""COMPUTED_VALUE"""),63)</f>
        <v>63</v>
      </c>
      <c r="E2137" s="1" t="str">
        <f ca="1">IFERROR(__xludf.DUMMYFUNCTION("""COMPUTED_VALUE"""),"W.M.H.A")</f>
        <v>W.M.H.A</v>
      </c>
      <c r="F2137" s="87" t="str">
        <f t="shared" ca="1" si="0"/>
        <v>2023</v>
      </c>
      <c r="H2137" s="26" t="str">
        <f t="shared" si="1"/>
        <v/>
      </c>
      <c r="I2137" s="26" t="str">
        <f t="shared" si="2"/>
        <v/>
      </c>
      <c r="J2137" s="86">
        <f t="shared" ca="1" si="3"/>
        <v>45223</v>
      </c>
      <c r="R2137" s="26"/>
    </row>
    <row r="2138" spans="1:18" ht="15.75" customHeight="1">
      <c r="A2138" s="26">
        <f ca="1">IFERROR(__xludf.DUMMYFUNCTION("""COMPUTED_VALUE"""),20974)</f>
        <v>20974</v>
      </c>
      <c r="B2138" s="86">
        <f ca="1">IFERROR(__xludf.DUMMYFUNCTION("""COMPUTED_VALUE"""),45223.8777893518)</f>
        <v>45223.877789351798</v>
      </c>
      <c r="C2138" s="1" t="str">
        <f ca="1">IFERROR(__xludf.DUMMYFUNCTION("""COMPUTED_VALUE"""),"completed")</f>
        <v>completed</v>
      </c>
      <c r="D2138" s="26">
        <f ca="1">IFERROR(__xludf.DUMMYFUNCTION("""COMPUTED_VALUE"""),35)</f>
        <v>35</v>
      </c>
      <c r="E2138" s="1" t="str">
        <f ca="1">IFERROR(__xludf.DUMMYFUNCTION("""COMPUTED_VALUE"""),"W.M.H.A")</f>
        <v>W.M.H.A</v>
      </c>
      <c r="F2138" s="87" t="str">
        <f t="shared" ca="1" si="0"/>
        <v>2023</v>
      </c>
      <c r="H2138" s="26" t="str">
        <f t="shared" si="1"/>
        <v/>
      </c>
      <c r="I2138" s="26" t="str">
        <f t="shared" si="2"/>
        <v/>
      </c>
      <c r="J2138" s="86">
        <f t="shared" ca="1" si="3"/>
        <v>45223</v>
      </c>
      <c r="R2138" s="26"/>
    </row>
    <row r="2139" spans="1:18" ht="15.75" customHeight="1">
      <c r="A2139" s="26">
        <f ca="1">IFERROR(__xludf.DUMMYFUNCTION("""COMPUTED_VALUE"""),20975)</f>
        <v>20975</v>
      </c>
      <c r="B2139" s="86">
        <f ca="1">IFERROR(__xludf.DUMMYFUNCTION("""COMPUTED_VALUE"""),45223.8832754629)</f>
        <v>45223.883275462897</v>
      </c>
      <c r="C2139" s="1" t="str">
        <f ca="1">IFERROR(__xludf.DUMMYFUNCTION("""COMPUTED_VALUE"""),"completed")</f>
        <v>completed</v>
      </c>
      <c r="D2139" s="26">
        <f ca="1">IFERROR(__xludf.DUMMYFUNCTION("""COMPUTED_VALUE"""),41)</f>
        <v>41</v>
      </c>
      <c r="E2139" s="1" t="str">
        <f ca="1">IFERROR(__xludf.DUMMYFUNCTION("""COMPUTED_VALUE"""),"W.M.H.A")</f>
        <v>W.M.H.A</v>
      </c>
      <c r="F2139" s="87" t="str">
        <f t="shared" ca="1" si="0"/>
        <v>2023</v>
      </c>
      <c r="H2139" s="26" t="str">
        <f t="shared" si="1"/>
        <v/>
      </c>
      <c r="I2139" s="26" t="str">
        <f t="shared" si="2"/>
        <v/>
      </c>
      <c r="J2139" s="86">
        <f t="shared" ca="1" si="3"/>
        <v>45223</v>
      </c>
      <c r="R2139" s="26"/>
    </row>
    <row r="2140" spans="1:18" ht="15.75" customHeight="1">
      <c r="A2140" s="26">
        <f ca="1">IFERROR(__xludf.DUMMYFUNCTION("""COMPUTED_VALUE"""),20976)</f>
        <v>20976</v>
      </c>
      <c r="B2140" s="86">
        <f ca="1">IFERROR(__xludf.DUMMYFUNCTION("""COMPUTED_VALUE"""),45223.8954166666)</f>
        <v>45223.895416666601</v>
      </c>
      <c r="C2140" s="1" t="str">
        <f ca="1">IFERROR(__xludf.DUMMYFUNCTION("""COMPUTED_VALUE"""),"completed")</f>
        <v>completed</v>
      </c>
      <c r="D2140" s="26">
        <f ca="1">IFERROR(__xludf.DUMMYFUNCTION("""COMPUTED_VALUE"""),18)</f>
        <v>18</v>
      </c>
      <c r="E2140" s="1" t="str">
        <f ca="1">IFERROR(__xludf.DUMMYFUNCTION("""COMPUTED_VALUE"""),"Lakeshore Lightning Hockey")</f>
        <v>Lakeshore Lightning Hockey</v>
      </c>
      <c r="F2140" s="87" t="str">
        <f t="shared" ca="1" si="0"/>
        <v>2023</v>
      </c>
      <c r="H2140" s="26" t="str">
        <f t="shared" si="1"/>
        <v/>
      </c>
      <c r="I2140" s="26" t="str">
        <f t="shared" si="2"/>
        <v/>
      </c>
      <c r="J2140" s="86">
        <f t="shared" ca="1" si="3"/>
        <v>45223</v>
      </c>
      <c r="R2140" s="26"/>
    </row>
    <row r="2141" spans="1:18" ht="15.75" customHeight="1">
      <c r="A2141" s="26">
        <f ca="1">IFERROR(__xludf.DUMMYFUNCTION("""COMPUTED_VALUE"""),20977)</f>
        <v>20977</v>
      </c>
      <c r="B2141" s="86">
        <f ca="1">IFERROR(__xludf.DUMMYFUNCTION("""COMPUTED_VALUE"""),45223.9356944444)</f>
        <v>45223.935694444401</v>
      </c>
      <c r="C2141" s="1" t="str">
        <f ca="1">IFERROR(__xludf.DUMMYFUNCTION("""COMPUTED_VALUE"""),"completed")</f>
        <v>completed</v>
      </c>
      <c r="D2141" s="26">
        <f ca="1">IFERROR(__xludf.DUMMYFUNCTION("""COMPUTED_VALUE"""),35)</f>
        <v>35</v>
      </c>
      <c r="E2141" s="1" t="str">
        <f ca="1">IFERROR(__xludf.DUMMYFUNCTION("""COMPUTED_VALUE"""),"W.M.H.A")</f>
        <v>W.M.H.A</v>
      </c>
      <c r="F2141" s="87" t="str">
        <f t="shared" ca="1" si="0"/>
        <v>2023</v>
      </c>
      <c r="H2141" s="26" t="str">
        <f t="shared" si="1"/>
        <v/>
      </c>
      <c r="I2141" s="26" t="str">
        <f t="shared" si="2"/>
        <v/>
      </c>
      <c r="J2141" s="86">
        <f t="shared" ca="1" si="3"/>
        <v>45223</v>
      </c>
      <c r="R2141" s="26"/>
    </row>
    <row r="2142" spans="1:18" ht="15.75" customHeight="1">
      <c r="A2142" s="26">
        <f ca="1">IFERROR(__xludf.DUMMYFUNCTION("""COMPUTED_VALUE"""),20978)</f>
        <v>20978</v>
      </c>
      <c r="B2142" s="86">
        <f ca="1">IFERROR(__xludf.DUMMYFUNCTION("""COMPUTED_VALUE"""),45223.9559375)</f>
        <v>45223.955937500003</v>
      </c>
      <c r="C2142" s="1" t="str">
        <f ca="1">IFERROR(__xludf.DUMMYFUNCTION("""COMPUTED_VALUE"""),"completed")</f>
        <v>completed</v>
      </c>
      <c r="D2142" s="26">
        <f ca="1">IFERROR(__xludf.DUMMYFUNCTION("""COMPUTED_VALUE"""),35)</f>
        <v>35</v>
      </c>
      <c r="E2142" s="1" t="str">
        <f ca="1">IFERROR(__xludf.DUMMYFUNCTION("""COMPUTED_VALUE"""),"W.M.H.A")</f>
        <v>W.M.H.A</v>
      </c>
      <c r="F2142" s="87" t="str">
        <f t="shared" ca="1" si="0"/>
        <v>2023</v>
      </c>
      <c r="H2142" s="26" t="str">
        <f t="shared" si="1"/>
        <v/>
      </c>
      <c r="I2142" s="26" t="str">
        <f t="shared" si="2"/>
        <v/>
      </c>
      <c r="J2142" s="86">
        <f t="shared" ca="1" si="3"/>
        <v>45223</v>
      </c>
      <c r="R2142" s="26"/>
    </row>
    <row r="2143" spans="1:18" ht="15.75" customHeight="1">
      <c r="A2143" s="26">
        <f ca="1">IFERROR(__xludf.DUMMYFUNCTION("""COMPUTED_VALUE"""),20979)</f>
        <v>20979</v>
      </c>
      <c r="B2143" s="86">
        <f ca="1">IFERROR(__xludf.DUMMYFUNCTION("""COMPUTED_VALUE"""),45223.9697569444)</f>
        <v>45223.969756944403</v>
      </c>
      <c r="C2143" s="1" t="str">
        <f ca="1">IFERROR(__xludf.DUMMYFUNCTION("""COMPUTED_VALUE"""),"completed")</f>
        <v>completed</v>
      </c>
      <c r="D2143" s="26">
        <f ca="1">IFERROR(__xludf.DUMMYFUNCTION("""COMPUTED_VALUE"""),25)</f>
        <v>25</v>
      </c>
      <c r="E2143" s="1" t="str">
        <f ca="1">IFERROR(__xludf.DUMMYFUNCTION("""COMPUTED_VALUE"""),"W.M.H.A")</f>
        <v>W.M.H.A</v>
      </c>
      <c r="F2143" s="87" t="str">
        <f t="shared" ca="1" si="0"/>
        <v>2023</v>
      </c>
      <c r="H2143" s="26" t="str">
        <f t="shared" si="1"/>
        <v/>
      </c>
      <c r="I2143" s="26" t="str">
        <f t="shared" si="2"/>
        <v/>
      </c>
      <c r="J2143" s="86">
        <f t="shared" ca="1" si="3"/>
        <v>45223</v>
      </c>
      <c r="R2143" s="26"/>
    </row>
    <row r="2144" spans="1:18" ht="15.75" customHeight="1">
      <c r="A2144" s="26">
        <f ca="1">IFERROR(__xludf.DUMMYFUNCTION("""COMPUTED_VALUE"""),20981)</f>
        <v>20981</v>
      </c>
      <c r="B2144" s="86">
        <f ca="1">IFERROR(__xludf.DUMMYFUNCTION("""COMPUTED_VALUE"""),45223.9774652777)</f>
        <v>45223.977465277698</v>
      </c>
      <c r="C2144" s="1" t="str">
        <f ca="1">IFERROR(__xludf.DUMMYFUNCTION("""COMPUTED_VALUE"""),"on-hold")</f>
        <v>on-hold</v>
      </c>
      <c r="D2144" s="26">
        <f ca="1">IFERROR(__xludf.DUMMYFUNCTION("""COMPUTED_VALUE"""),35)</f>
        <v>35</v>
      </c>
      <c r="E2144" s="1" t="str">
        <f ca="1">IFERROR(__xludf.DUMMYFUNCTION("""COMPUTED_VALUE"""),"W.M.H.A")</f>
        <v>W.M.H.A</v>
      </c>
      <c r="F2144" s="87" t="str">
        <f t="shared" ca="1" si="0"/>
        <v>2023</v>
      </c>
      <c r="H2144" s="26" t="str">
        <f t="shared" si="1"/>
        <v/>
      </c>
      <c r="I2144" s="26" t="str">
        <f t="shared" si="2"/>
        <v/>
      </c>
      <c r="J2144" s="86">
        <f t="shared" ca="1" si="3"/>
        <v>45223</v>
      </c>
      <c r="R2144" s="26"/>
    </row>
    <row r="2145" spans="1:18" ht="15.75" customHeight="1">
      <c r="A2145" s="26">
        <f ca="1">IFERROR(__xludf.DUMMYFUNCTION("""COMPUTED_VALUE"""),20980)</f>
        <v>20980</v>
      </c>
      <c r="B2145" s="86">
        <f ca="1">IFERROR(__xludf.DUMMYFUNCTION("""COMPUTED_VALUE"""),45223.9750462963)</f>
        <v>45223.975046296298</v>
      </c>
      <c r="C2145" s="1" t="str">
        <f ca="1">IFERROR(__xludf.DUMMYFUNCTION("""COMPUTED_VALUE"""),"completed")</f>
        <v>completed</v>
      </c>
      <c r="D2145" s="26">
        <f ca="1">IFERROR(__xludf.DUMMYFUNCTION("""COMPUTED_VALUE"""),26)</f>
        <v>26</v>
      </c>
      <c r="E2145" s="1" t="str">
        <f ca="1">IFERROR(__xludf.DUMMYFUNCTION("""COMPUTED_VALUE"""),"Lakeshore Lightning Hockey")</f>
        <v>Lakeshore Lightning Hockey</v>
      </c>
      <c r="F2145" s="87" t="str">
        <f t="shared" ca="1" si="0"/>
        <v>2023</v>
      </c>
      <c r="H2145" s="26" t="str">
        <f t="shared" si="1"/>
        <v/>
      </c>
      <c r="I2145" s="26" t="str">
        <f t="shared" si="2"/>
        <v/>
      </c>
      <c r="J2145" s="86">
        <f t="shared" ca="1" si="3"/>
        <v>45223</v>
      </c>
      <c r="R2145" s="26"/>
    </row>
    <row r="2146" spans="1:18" ht="15.75" customHeight="1">
      <c r="A2146" s="26">
        <f ca="1">IFERROR(__xludf.DUMMYFUNCTION("""COMPUTED_VALUE"""),20982)</f>
        <v>20982</v>
      </c>
      <c r="B2146" s="86">
        <f ca="1">IFERROR(__xludf.DUMMYFUNCTION("""COMPUTED_VALUE"""),45223.9889004629)</f>
        <v>45223.9889004629</v>
      </c>
      <c r="C2146" s="1" t="str">
        <f ca="1">IFERROR(__xludf.DUMMYFUNCTION("""COMPUTED_VALUE"""),"completed")</f>
        <v>completed</v>
      </c>
      <c r="D2146" s="26">
        <f ca="1">IFERROR(__xludf.DUMMYFUNCTION("""COMPUTED_VALUE"""),47)</f>
        <v>47</v>
      </c>
      <c r="E2146" s="1" t="str">
        <f ca="1">IFERROR(__xludf.DUMMYFUNCTION("""COMPUTED_VALUE"""),"W.M.H.A")</f>
        <v>W.M.H.A</v>
      </c>
      <c r="F2146" s="87" t="str">
        <f t="shared" ca="1" si="0"/>
        <v>2023</v>
      </c>
      <c r="H2146" s="26" t="str">
        <f t="shared" si="1"/>
        <v/>
      </c>
      <c r="I2146" s="26" t="str">
        <f t="shared" si="2"/>
        <v/>
      </c>
      <c r="J2146" s="86">
        <f t="shared" ca="1" si="3"/>
        <v>45223</v>
      </c>
      <c r="R2146" s="26"/>
    </row>
    <row r="2147" spans="1:18" ht="15.75" customHeight="1">
      <c r="A2147" s="26">
        <f ca="1">IFERROR(__xludf.DUMMYFUNCTION("""COMPUTED_VALUE"""),20983)</f>
        <v>20983</v>
      </c>
      <c r="B2147" s="86">
        <f ca="1">IFERROR(__xludf.DUMMYFUNCTION("""COMPUTED_VALUE"""),45223.9952430555)</f>
        <v>45223.995243055499</v>
      </c>
      <c r="C2147" s="1" t="str">
        <f ca="1">IFERROR(__xludf.DUMMYFUNCTION("""COMPUTED_VALUE"""),"completed")</f>
        <v>completed</v>
      </c>
      <c r="D2147" s="26">
        <f ca="1">IFERROR(__xludf.DUMMYFUNCTION("""COMPUTED_VALUE"""),25)</f>
        <v>25</v>
      </c>
      <c r="E2147" s="1" t="str">
        <f ca="1">IFERROR(__xludf.DUMMYFUNCTION("""COMPUTED_VALUE"""),"W.M.H.A")</f>
        <v>W.M.H.A</v>
      </c>
      <c r="F2147" s="87" t="str">
        <f t="shared" ca="1" si="0"/>
        <v>2023</v>
      </c>
      <c r="H2147" s="26" t="str">
        <f t="shared" si="1"/>
        <v/>
      </c>
      <c r="I2147" s="26" t="str">
        <f t="shared" si="2"/>
        <v/>
      </c>
      <c r="J2147" s="86">
        <f t="shared" ca="1" si="3"/>
        <v>45223</v>
      </c>
      <c r="R2147" s="26"/>
    </row>
    <row r="2148" spans="1:18" ht="15.75" customHeight="1">
      <c r="A2148" s="26">
        <f ca="1">IFERROR(__xludf.DUMMYFUNCTION("""COMPUTED_VALUE"""),20984)</f>
        <v>20984</v>
      </c>
      <c r="B2148" s="86">
        <f ca="1">IFERROR(__xludf.DUMMYFUNCTION("""COMPUTED_VALUE"""),45224.0026736111)</f>
        <v>45224.002673611103</v>
      </c>
      <c r="C2148" s="1" t="str">
        <f ca="1">IFERROR(__xludf.DUMMYFUNCTION("""COMPUTED_VALUE"""),"completed")</f>
        <v>completed</v>
      </c>
      <c r="D2148" s="26">
        <f ca="1">IFERROR(__xludf.DUMMYFUNCTION("""COMPUTED_VALUE"""),15)</f>
        <v>15</v>
      </c>
      <c r="E2148" s="1" t="str">
        <f ca="1">IFERROR(__xludf.DUMMYFUNCTION("""COMPUTED_VALUE"""),"W.M.H.A")</f>
        <v>W.M.H.A</v>
      </c>
      <c r="F2148" s="87" t="str">
        <f t="shared" ca="1" si="0"/>
        <v>2023</v>
      </c>
      <c r="H2148" s="26" t="str">
        <f t="shared" si="1"/>
        <v/>
      </c>
      <c r="I2148" s="26" t="str">
        <f t="shared" si="2"/>
        <v/>
      </c>
      <c r="J2148" s="86">
        <f t="shared" ca="1" si="3"/>
        <v>45224</v>
      </c>
      <c r="R2148" s="26"/>
    </row>
    <row r="2149" spans="1:18" ht="15.75" customHeight="1">
      <c r="A2149" s="26">
        <f ca="1">IFERROR(__xludf.DUMMYFUNCTION("""COMPUTED_VALUE"""),20985)</f>
        <v>20985</v>
      </c>
      <c r="B2149" s="86">
        <f ca="1">IFERROR(__xludf.DUMMYFUNCTION("""COMPUTED_VALUE"""),45224.0591203703)</f>
        <v>45224.059120370301</v>
      </c>
      <c r="C2149" s="1" t="str">
        <f ca="1">IFERROR(__xludf.DUMMYFUNCTION("""COMPUTED_VALUE"""),"completed")</f>
        <v>completed</v>
      </c>
      <c r="D2149" s="26">
        <f ca="1">IFERROR(__xludf.DUMMYFUNCTION("""COMPUTED_VALUE"""),61)</f>
        <v>61</v>
      </c>
      <c r="E2149" s="1" t="str">
        <f ca="1">IFERROR(__xludf.DUMMYFUNCTION("""COMPUTED_VALUE"""),"W.M.H.A")</f>
        <v>W.M.H.A</v>
      </c>
      <c r="F2149" s="87" t="str">
        <f t="shared" ca="1" si="0"/>
        <v>2023</v>
      </c>
      <c r="H2149" s="26" t="str">
        <f t="shared" si="1"/>
        <v/>
      </c>
      <c r="I2149" s="26" t="str">
        <f t="shared" si="2"/>
        <v/>
      </c>
      <c r="J2149" s="86">
        <f t="shared" ca="1" si="3"/>
        <v>45224</v>
      </c>
      <c r="R2149" s="26"/>
    </row>
    <row r="2150" spans="1:18" ht="15.75" customHeight="1">
      <c r="A2150" s="26">
        <f ca="1">IFERROR(__xludf.DUMMYFUNCTION("""COMPUTED_VALUE"""),20986)</f>
        <v>20986</v>
      </c>
      <c r="B2150" s="86">
        <f ca="1">IFERROR(__xludf.DUMMYFUNCTION("""COMPUTED_VALUE"""),45224.1951157407)</f>
        <v>45224.195115740702</v>
      </c>
      <c r="C2150" s="1" t="str">
        <f ca="1">IFERROR(__xludf.DUMMYFUNCTION("""COMPUTED_VALUE"""),"completed")</f>
        <v>completed</v>
      </c>
      <c r="D2150" s="26">
        <f ca="1">IFERROR(__xludf.DUMMYFUNCTION("""COMPUTED_VALUE"""),25)</f>
        <v>25</v>
      </c>
      <c r="E2150" s="1" t="str">
        <f ca="1">IFERROR(__xludf.DUMMYFUNCTION("""COMPUTED_VALUE"""),"W.M.H.A")</f>
        <v>W.M.H.A</v>
      </c>
      <c r="F2150" s="87" t="str">
        <f t="shared" ca="1" si="0"/>
        <v>2023</v>
      </c>
      <c r="H2150" s="26" t="str">
        <f t="shared" si="1"/>
        <v/>
      </c>
      <c r="I2150" s="26" t="str">
        <f t="shared" si="2"/>
        <v/>
      </c>
      <c r="J2150" s="86">
        <f t="shared" ca="1" si="3"/>
        <v>45224</v>
      </c>
      <c r="R2150" s="26"/>
    </row>
    <row r="2151" spans="1:18" ht="15.75" customHeight="1">
      <c r="A2151" s="26">
        <f ca="1">IFERROR(__xludf.DUMMYFUNCTION("""COMPUTED_VALUE"""),20987)</f>
        <v>20987</v>
      </c>
      <c r="B2151" s="86">
        <f ca="1">IFERROR(__xludf.DUMMYFUNCTION("""COMPUTED_VALUE"""),45224.4706134259)</f>
        <v>45224.470613425903</v>
      </c>
      <c r="C2151" s="1" t="str">
        <f ca="1">IFERROR(__xludf.DUMMYFUNCTION("""COMPUTED_VALUE"""),"completed")</f>
        <v>completed</v>
      </c>
      <c r="D2151" s="26">
        <f ca="1">IFERROR(__xludf.DUMMYFUNCTION("""COMPUTED_VALUE"""),50)</f>
        <v>50</v>
      </c>
      <c r="E2151" s="1" t="str">
        <f ca="1">IFERROR(__xludf.DUMMYFUNCTION("""COMPUTED_VALUE"""),"W.M.H.A")</f>
        <v>W.M.H.A</v>
      </c>
      <c r="F2151" s="87" t="str">
        <f t="shared" ca="1" si="0"/>
        <v>2023</v>
      </c>
      <c r="H2151" s="26" t="str">
        <f t="shared" si="1"/>
        <v/>
      </c>
      <c r="I2151" s="26" t="str">
        <f t="shared" si="2"/>
        <v/>
      </c>
      <c r="J2151" s="86">
        <f t="shared" ca="1" si="3"/>
        <v>45224</v>
      </c>
      <c r="R2151" s="26"/>
    </row>
    <row r="2152" spans="1:18" ht="15.75" customHeight="1">
      <c r="A2152" s="26">
        <f ca="1">IFERROR(__xludf.DUMMYFUNCTION("""COMPUTED_VALUE"""),20988)</f>
        <v>20988</v>
      </c>
      <c r="B2152" s="86">
        <f ca="1">IFERROR(__xludf.DUMMYFUNCTION("""COMPUTED_VALUE"""),45224.499074074)</f>
        <v>45224.499074074003</v>
      </c>
      <c r="C2152" s="1" t="str">
        <f ca="1">IFERROR(__xludf.DUMMYFUNCTION("""COMPUTED_VALUE"""),"completed")</f>
        <v>completed</v>
      </c>
      <c r="D2152" s="26">
        <f ca="1">IFERROR(__xludf.DUMMYFUNCTION("""COMPUTED_VALUE"""),18)</f>
        <v>18</v>
      </c>
      <c r="E2152" s="1" t="str">
        <f ca="1">IFERROR(__xludf.DUMMYFUNCTION("""COMPUTED_VALUE"""),"W.M.H.A")</f>
        <v>W.M.H.A</v>
      </c>
      <c r="F2152" s="87" t="str">
        <f t="shared" ca="1" si="0"/>
        <v>2023</v>
      </c>
      <c r="H2152" s="26" t="str">
        <f t="shared" si="1"/>
        <v/>
      </c>
      <c r="I2152" s="26" t="str">
        <f t="shared" si="2"/>
        <v/>
      </c>
      <c r="J2152" s="86">
        <f t="shared" ca="1" si="3"/>
        <v>45224</v>
      </c>
      <c r="R2152" s="26"/>
    </row>
    <row r="2153" spans="1:18" ht="15.75" customHeight="1">
      <c r="A2153" s="26">
        <f ca="1">IFERROR(__xludf.DUMMYFUNCTION("""COMPUTED_VALUE"""),20989)</f>
        <v>20989</v>
      </c>
      <c r="B2153" s="86">
        <f ca="1">IFERROR(__xludf.DUMMYFUNCTION("""COMPUTED_VALUE"""),45224.5719675925)</f>
        <v>45224.571967592499</v>
      </c>
      <c r="C2153" s="1" t="str">
        <f ca="1">IFERROR(__xludf.DUMMYFUNCTION("""COMPUTED_VALUE"""),"completed")</f>
        <v>completed</v>
      </c>
      <c r="D2153" s="26">
        <f ca="1">IFERROR(__xludf.DUMMYFUNCTION("""COMPUTED_VALUE"""),26)</f>
        <v>26</v>
      </c>
      <c r="E2153" s="1" t="str">
        <f ca="1">IFERROR(__xludf.DUMMYFUNCTION("""COMPUTED_VALUE"""),"Lakeshore Lightning Hockey")</f>
        <v>Lakeshore Lightning Hockey</v>
      </c>
      <c r="F2153" s="87" t="str">
        <f t="shared" ca="1" si="0"/>
        <v>2023</v>
      </c>
      <c r="H2153" s="26" t="str">
        <f t="shared" si="1"/>
        <v/>
      </c>
      <c r="I2153" s="26" t="str">
        <f t="shared" si="2"/>
        <v/>
      </c>
      <c r="J2153" s="86">
        <f t="shared" ca="1" si="3"/>
        <v>45224</v>
      </c>
      <c r="R2153" s="26"/>
    </row>
    <row r="2154" spans="1:18" ht="15.75" customHeight="1">
      <c r="A2154" s="26">
        <f ca="1">IFERROR(__xludf.DUMMYFUNCTION("""COMPUTED_VALUE"""),20990)</f>
        <v>20990</v>
      </c>
      <c r="B2154" s="86">
        <f ca="1">IFERROR(__xludf.DUMMYFUNCTION("""COMPUTED_VALUE"""),45224.7154166666)</f>
        <v>45224.715416666601</v>
      </c>
      <c r="C2154" s="1" t="str">
        <f ca="1">IFERROR(__xludf.DUMMYFUNCTION("""COMPUTED_VALUE"""),"completed")</f>
        <v>completed</v>
      </c>
      <c r="D2154" s="26">
        <f ca="1">IFERROR(__xludf.DUMMYFUNCTION("""COMPUTED_VALUE"""),40)</f>
        <v>40</v>
      </c>
      <c r="E2154" s="1" t="str">
        <f ca="1">IFERROR(__xludf.DUMMYFUNCTION("""COMPUTED_VALUE"""),"W.M.H.A")</f>
        <v>W.M.H.A</v>
      </c>
      <c r="F2154" s="87" t="str">
        <f t="shared" ca="1" si="0"/>
        <v>2023</v>
      </c>
      <c r="H2154" s="26" t="str">
        <f t="shared" si="1"/>
        <v/>
      </c>
      <c r="I2154" s="26" t="str">
        <f t="shared" si="2"/>
        <v/>
      </c>
      <c r="J2154" s="86">
        <f t="shared" ca="1" si="3"/>
        <v>45224</v>
      </c>
      <c r="R2154" s="26"/>
    </row>
    <row r="2155" spans="1:18" ht="15.75" customHeight="1">
      <c r="A2155" s="26">
        <f ca="1">IFERROR(__xludf.DUMMYFUNCTION("""COMPUTED_VALUE"""),20991)</f>
        <v>20991</v>
      </c>
      <c r="B2155" s="86">
        <f ca="1">IFERROR(__xludf.DUMMYFUNCTION("""COMPUTED_VALUE"""),45224.7326157407)</f>
        <v>45224.732615740701</v>
      </c>
      <c r="C2155" s="1" t="str">
        <f ca="1">IFERROR(__xludf.DUMMYFUNCTION("""COMPUTED_VALUE"""),"completed")</f>
        <v>completed</v>
      </c>
      <c r="D2155" s="26">
        <f ca="1">IFERROR(__xludf.DUMMYFUNCTION("""COMPUTED_VALUE"""),35)</f>
        <v>35</v>
      </c>
      <c r="E2155" s="1" t="str">
        <f ca="1">IFERROR(__xludf.DUMMYFUNCTION("""COMPUTED_VALUE"""),"W.M.H.A")</f>
        <v>W.M.H.A</v>
      </c>
      <c r="F2155" s="87" t="str">
        <f t="shared" ca="1" si="0"/>
        <v>2023</v>
      </c>
      <c r="H2155" s="26" t="str">
        <f t="shared" si="1"/>
        <v/>
      </c>
      <c r="I2155" s="26" t="str">
        <f t="shared" si="2"/>
        <v/>
      </c>
      <c r="J2155" s="86">
        <f t="shared" ca="1" si="3"/>
        <v>45224</v>
      </c>
      <c r="R2155" s="26"/>
    </row>
    <row r="2156" spans="1:18" ht="15.75" customHeight="1">
      <c r="A2156" s="26">
        <f ca="1">IFERROR(__xludf.DUMMYFUNCTION("""COMPUTED_VALUE"""),20992)</f>
        <v>20992</v>
      </c>
      <c r="B2156" s="86">
        <f ca="1">IFERROR(__xludf.DUMMYFUNCTION("""COMPUTED_VALUE"""),45224.8315972222)</f>
        <v>45224.831597222197</v>
      </c>
      <c r="C2156" s="1" t="str">
        <f ca="1">IFERROR(__xludf.DUMMYFUNCTION("""COMPUTED_VALUE"""),"completed")</f>
        <v>completed</v>
      </c>
      <c r="D2156" s="26">
        <f ca="1">IFERROR(__xludf.DUMMYFUNCTION("""COMPUTED_VALUE"""),25)</f>
        <v>25</v>
      </c>
      <c r="E2156" s="1" t="str">
        <f ca="1">IFERROR(__xludf.DUMMYFUNCTION("""COMPUTED_VALUE"""),"W.M.H.A")</f>
        <v>W.M.H.A</v>
      </c>
      <c r="F2156" s="87" t="str">
        <f t="shared" ca="1" si="0"/>
        <v>2023</v>
      </c>
      <c r="H2156" s="26" t="str">
        <f t="shared" si="1"/>
        <v/>
      </c>
      <c r="I2156" s="26" t="str">
        <f t="shared" si="2"/>
        <v/>
      </c>
      <c r="J2156" s="86">
        <f t="shared" ca="1" si="3"/>
        <v>45224</v>
      </c>
      <c r="R2156" s="26"/>
    </row>
    <row r="2157" spans="1:18" ht="15.75" customHeight="1">
      <c r="A2157" s="26">
        <f ca="1">IFERROR(__xludf.DUMMYFUNCTION("""COMPUTED_VALUE"""),20993)</f>
        <v>20993</v>
      </c>
      <c r="B2157" s="86">
        <f ca="1">IFERROR(__xludf.DUMMYFUNCTION("""COMPUTED_VALUE"""),45224.8439236111)</f>
        <v>45224.843923611101</v>
      </c>
      <c r="C2157" s="1" t="str">
        <f ca="1">IFERROR(__xludf.DUMMYFUNCTION("""COMPUTED_VALUE"""),"completed")</f>
        <v>completed</v>
      </c>
      <c r="D2157" s="26">
        <f ca="1">IFERROR(__xludf.DUMMYFUNCTION("""COMPUTED_VALUE"""),15)</f>
        <v>15</v>
      </c>
      <c r="E2157" s="1" t="str">
        <f ca="1">IFERROR(__xludf.DUMMYFUNCTION("""COMPUTED_VALUE"""),"W.M.H.A")</f>
        <v>W.M.H.A</v>
      </c>
      <c r="F2157" s="87" t="str">
        <f t="shared" ca="1" si="0"/>
        <v>2023</v>
      </c>
      <c r="H2157" s="26" t="str">
        <f t="shared" si="1"/>
        <v/>
      </c>
      <c r="I2157" s="26" t="str">
        <f t="shared" si="2"/>
        <v/>
      </c>
      <c r="J2157" s="86">
        <f t="shared" ca="1" si="3"/>
        <v>45224</v>
      </c>
      <c r="R2157" s="26"/>
    </row>
    <row r="2158" spans="1:18" ht="15.75" customHeight="1">
      <c r="A2158" s="26">
        <f ca="1">IFERROR(__xludf.DUMMYFUNCTION("""COMPUTED_VALUE"""),20995)</f>
        <v>20995</v>
      </c>
      <c r="B2158" s="86">
        <f ca="1">IFERROR(__xludf.DUMMYFUNCTION("""COMPUTED_VALUE"""),45224.8532754629)</f>
        <v>45224.853275462898</v>
      </c>
      <c r="C2158" s="1" t="str">
        <f ca="1">IFERROR(__xludf.DUMMYFUNCTION("""COMPUTED_VALUE"""),"completed")</f>
        <v>completed</v>
      </c>
      <c r="D2158" s="26">
        <f ca="1">IFERROR(__xludf.DUMMYFUNCTION("""COMPUTED_VALUE"""),54)</f>
        <v>54</v>
      </c>
      <c r="E2158" s="1" t="str">
        <f ca="1">IFERROR(__xludf.DUMMYFUNCTION("""COMPUTED_VALUE"""),"W.M.H.A")</f>
        <v>W.M.H.A</v>
      </c>
      <c r="F2158" s="87" t="str">
        <f t="shared" ca="1" si="0"/>
        <v>2023</v>
      </c>
      <c r="H2158" s="26" t="str">
        <f t="shared" si="1"/>
        <v/>
      </c>
      <c r="I2158" s="26" t="str">
        <f t="shared" si="2"/>
        <v/>
      </c>
      <c r="J2158" s="86">
        <f t="shared" ca="1" si="3"/>
        <v>45224</v>
      </c>
      <c r="R2158" s="26"/>
    </row>
    <row r="2159" spans="1:18" ht="15.75" customHeight="1">
      <c r="A2159" s="26">
        <f ca="1">IFERROR(__xludf.DUMMYFUNCTION("""COMPUTED_VALUE"""),20994)</f>
        <v>20994</v>
      </c>
      <c r="B2159" s="86">
        <f ca="1">IFERROR(__xludf.DUMMYFUNCTION("""COMPUTED_VALUE"""),45224.8496875)</f>
        <v>45224.849687499998</v>
      </c>
      <c r="C2159" s="1" t="str">
        <f ca="1">IFERROR(__xludf.DUMMYFUNCTION("""COMPUTED_VALUE"""),"completed")</f>
        <v>completed</v>
      </c>
      <c r="D2159" s="26">
        <f ca="1">IFERROR(__xludf.DUMMYFUNCTION("""COMPUTED_VALUE"""),58)</f>
        <v>58</v>
      </c>
      <c r="E2159" s="1" t="str">
        <f ca="1">IFERROR(__xludf.DUMMYFUNCTION("""COMPUTED_VALUE"""),"W.M.H.A")</f>
        <v>W.M.H.A</v>
      </c>
      <c r="F2159" s="87" t="str">
        <f t="shared" ca="1" si="0"/>
        <v>2023</v>
      </c>
      <c r="H2159" s="26" t="str">
        <f t="shared" si="1"/>
        <v/>
      </c>
      <c r="I2159" s="26" t="str">
        <f t="shared" si="2"/>
        <v/>
      </c>
      <c r="J2159" s="86">
        <f t="shared" ca="1" si="3"/>
        <v>45224</v>
      </c>
      <c r="R2159" s="26"/>
    </row>
    <row r="2160" spans="1:18" ht="15.75" customHeight="1">
      <c r="A2160" s="26">
        <f ca="1">IFERROR(__xludf.DUMMYFUNCTION("""COMPUTED_VALUE"""),20996)</f>
        <v>20996</v>
      </c>
      <c r="B2160" s="86">
        <f ca="1">IFERROR(__xludf.DUMMYFUNCTION("""COMPUTED_VALUE"""),45224.8731712963)</f>
        <v>45224.873171296298</v>
      </c>
      <c r="C2160" s="1" t="str">
        <f ca="1">IFERROR(__xludf.DUMMYFUNCTION("""COMPUTED_VALUE"""),"completed")</f>
        <v>completed</v>
      </c>
      <c r="D2160" s="26">
        <f ca="1">IFERROR(__xludf.DUMMYFUNCTION("""COMPUTED_VALUE"""),37)</f>
        <v>37</v>
      </c>
      <c r="E2160" s="1" t="str">
        <f ca="1">IFERROR(__xludf.DUMMYFUNCTION("""COMPUTED_VALUE"""),"W.M.H.A")</f>
        <v>W.M.H.A</v>
      </c>
      <c r="F2160" s="87" t="str">
        <f t="shared" ca="1" si="0"/>
        <v>2023</v>
      </c>
      <c r="H2160" s="26" t="str">
        <f t="shared" si="1"/>
        <v/>
      </c>
      <c r="I2160" s="26" t="str">
        <f t="shared" si="2"/>
        <v/>
      </c>
      <c r="J2160" s="86">
        <f t="shared" ca="1" si="3"/>
        <v>45224</v>
      </c>
      <c r="R2160" s="26"/>
    </row>
    <row r="2161" spans="1:18" ht="15.75" customHeight="1">
      <c r="A2161" s="26">
        <f ca="1">IFERROR(__xludf.DUMMYFUNCTION("""COMPUTED_VALUE"""),20997)</f>
        <v>20997</v>
      </c>
      <c r="B2161" s="86">
        <f ca="1">IFERROR(__xludf.DUMMYFUNCTION("""COMPUTED_VALUE"""),45224.9039814814)</f>
        <v>45224.903981481402</v>
      </c>
      <c r="C2161" s="1" t="str">
        <f ca="1">IFERROR(__xludf.DUMMYFUNCTION("""COMPUTED_VALUE"""),"completed")</f>
        <v>completed</v>
      </c>
      <c r="D2161" s="26">
        <f ca="1">IFERROR(__xludf.DUMMYFUNCTION("""COMPUTED_VALUE"""),55)</f>
        <v>55</v>
      </c>
      <c r="E2161" s="1" t="str">
        <f ca="1">IFERROR(__xludf.DUMMYFUNCTION("""COMPUTED_VALUE"""),"W.M.H.A")</f>
        <v>W.M.H.A</v>
      </c>
      <c r="F2161" s="87" t="str">
        <f t="shared" ca="1" si="0"/>
        <v>2023</v>
      </c>
      <c r="H2161" s="26" t="str">
        <f t="shared" si="1"/>
        <v/>
      </c>
      <c r="I2161" s="26" t="str">
        <f t="shared" si="2"/>
        <v/>
      </c>
      <c r="J2161" s="86">
        <f t="shared" ca="1" si="3"/>
        <v>45224</v>
      </c>
      <c r="R2161" s="26"/>
    </row>
    <row r="2162" spans="1:18" ht="15.75" customHeight="1">
      <c r="A2162" s="26">
        <f ca="1">IFERROR(__xludf.DUMMYFUNCTION("""COMPUTED_VALUE"""),20998)</f>
        <v>20998</v>
      </c>
      <c r="B2162" s="86">
        <f ca="1">IFERROR(__xludf.DUMMYFUNCTION("""COMPUTED_VALUE"""),45224.9101851851)</f>
        <v>45224.910185185101</v>
      </c>
      <c r="C2162" s="1" t="str">
        <f ca="1">IFERROR(__xludf.DUMMYFUNCTION("""COMPUTED_VALUE"""),"completed")</f>
        <v>completed</v>
      </c>
      <c r="D2162" s="26">
        <f ca="1">IFERROR(__xludf.DUMMYFUNCTION("""COMPUTED_VALUE"""),25)</f>
        <v>25</v>
      </c>
      <c r="E2162" s="1" t="str">
        <f ca="1">IFERROR(__xludf.DUMMYFUNCTION("""COMPUTED_VALUE"""),"W.M.H.A")</f>
        <v>W.M.H.A</v>
      </c>
      <c r="F2162" s="87" t="str">
        <f t="shared" ca="1" si="0"/>
        <v>2023</v>
      </c>
      <c r="H2162" s="26" t="str">
        <f t="shared" si="1"/>
        <v/>
      </c>
      <c r="I2162" s="26" t="str">
        <f t="shared" si="2"/>
        <v/>
      </c>
      <c r="J2162" s="86">
        <f t="shared" ca="1" si="3"/>
        <v>45224</v>
      </c>
      <c r="R2162" s="26"/>
    </row>
    <row r="2163" spans="1:18" ht="15.75" customHeight="1">
      <c r="A2163" s="26">
        <f ca="1">IFERROR(__xludf.DUMMYFUNCTION("""COMPUTED_VALUE"""),20999)</f>
        <v>20999</v>
      </c>
      <c r="B2163" s="86">
        <f ca="1">IFERROR(__xludf.DUMMYFUNCTION("""COMPUTED_VALUE"""),45224.9847685185)</f>
        <v>45224.984768518501</v>
      </c>
      <c r="C2163" s="1" t="str">
        <f ca="1">IFERROR(__xludf.DUMMYFUNCTION("""COMPUTED_VALUE"""),"completed")</f>
        <v>completed</v>
      </c>
      <c r="D2163" s="26">
        <f ca="1">IFERROR(__xludf.DUMMYFUNCTION("""COMPUTED_VALUE"""),18)</f>
        <v>18</v>
      </c>
      <c r="E2163" s="1" t="str">
        <f ca="1">IFERROR(__xludf.DUMMYFUNCTION("""COMPUTED_VALUE"""),"W.M.H.A")</f>
        <v>W.M.H.A</v>
      </c>
      <c r="F2163" s="87" t="str">
        <f t="shared" ca="1" si="0"/>
        <v>2023</v>
      </c>
      <c r="H2163" s="26" t="str">
        <f t="shared" si="1"/>
        <v/>
      </c>
      <c r="I2163" s="26" t="str">
        <f t="shared" si="2"/>
        <v/>
      </c>
      <c r="J2163" s="86">
        <f t="shared" ca="1" si="3"/>
        <v>45224</v>
      </c>
      <c r="R2163" s="26"/>
    </row>
    <row r="2164" spans="1:18" ht="15.75" customHeight="1">
      <c r="A2164" s="26">
        <f ca="1">IFERROR(__xludf.DUMMYFUNCTION("""COMPUTED_VALUE"""),21000)</f>
        <v>21000</v>
      </c>
      <c r="B2164" s="86">
        <f ca="1">IFERROR(__xludf.DUMMYFUNCTION("""COMPUTED_VALUE"""),45224.9915162037)</f>
        <v>45224.9915162037</v>
      </c>
      <c r="C2164" s="1" t="str">
        <f ca="1">IFERROR(__xludf.DUMMYFUNCTION("""COMPUTED_VALUE"""),"completed")</f>
        <v>completed</v>
      </c>
      <c r="D2164" s="26">
        <f ca="1">IFERROR(__xludf.DUMMYFUNCTION("""COMPUTED_VALUE"""),26)</f>
        <v>26</v>
      </c>
      <c r="E2164" s="1" t="str">
        <f ca="1">IFERROR(__xludf.DUMMYFUNCTION("""COMPUTED_VALUE"""),"W.M.H.A")</f>
        <v>W.M.H.A</v>
      </c>
      <c r="F2164" s="87" t="str">
        <f t="shared" ca="1" si="0"/>
        <v>2023</v>
      </c>
      <c r="H2164" s="26" t="str">
        <f t="shared" si="1"/>
        <v/>
      </c>
      <c r="I2164" s="26" t="str">
        <f t="shared" si="2"/>
        <v/>
      </c>
      <c r="J2164" s="86">
        <f t="shared" ca="1" si="3"/>
        <v>45224</v>
      </c>
      <c r="R2164" s="26"/>
    </row>
    <row r="2165" spans="1:18" ht="15.75" customHeight="1">
      <c r="A2165" s="26">
        <f ca="1">IFERROR(__xludf.DUMMYFUNCTION("""COMPUTED_VALUE"""),21001)</f>
        <v>21001</v>
      </c>
      <c r="B2165" s="86">
        <f ca="1">IFERROR(__xludf.DUMMYFUNCTION("""COMPUTED_VALUE"""),45224.9956944444)</f>
        <v>45224.995694444398</v>
      </c>
      <c r="C2165" s="1" t="str">
        <f ca="1">IFERROR(__xludf.DUMMYFUNCTION("""COMPUTED_VALUE"""),"completed")</f>
        <v>completed</v>
      </c>
      <c r="D2165" s="26">
        <f ca="1">IFERROR(__xludf.DUMMYFUNCTION("""COMPUTED_VALUE"""),26)</f>
        <v>26</v>
      </c>
      <c r="E2165" s="1" t="str">
        <f ca="1">IFERROR(__xludf.DUMMYFUNCTION("""COMPUTED_VALUE"""),"W.M.H.A")</f>
        <v>W.M.H.A</v>
      </c>
      <c r="F2165" s="87" t="str">
        <f t="shared" ca="1" si="0"/>
        <v>2023</v>
      </c>
      <c r="H2165" s="26" t="str">
        <f t="shared" si="1"/>
        <v/>
      </c>
      <c r="I2165" s="26" t="str">
        <f t="shared" si="2"/>
        <v/>
      </c>
      <c r="J2165" s="86">
        <f t="shared" ca="1" si="3"/>
        <v>45224</v>
      </c>
      <c r="R2165" s="26"/>
    </row>
    <row r="2166" spans="1:18" ht="15.75" customHeight="1">
      <c r="A2166" s="26">
        <f ca="1">IFERROR(__xludf.DUMMYFUNCTION("""COMPUTED_VALUE"""),21002)</f>
        <v>21002</v>
      </c>
      <c r="B2166" s="86">
        <f ca="1">IFERROR(__xludf.DUMMYFUNCTION("""COMPUTED_VALUE"""),45225.0439814814)</f>
        <v>45225.043981481402</v>
      </c>
      <c r="C2166" s="1" t="str">
        <f ca="1">IFERROR(__xludf.DUMMYFUNCTION("""COMPUTED_VALUE"""),"completed")</f>
        <v>completed</v>
      </c>
      <c r="D2166" s="26">
        <f ca="1">IFERROR(__xludf.DUMMYFUNCTION("""COMPUTED_VALUE"""),20)</f>
        <v>20</v>
      </c>
      <c r="E2166" s="1" t="str">
        <f ca="1">IFERROR(__xludf.DUMMYFUNCTION("""COMPUTED_VALUE"""),"W.M.H.A")</f>
        <v>W.M.H.A</v>
      </c>
      <c r="F2166" s="87" t="str">
        <f t="shared" ca="1" si="0"/>
        <v>2023</v>
      </c>
      <c r="H2166" s="26" t="str">
        <f t="shared" si="1"/>
        <v/>
      </c>
      <c r="I2166" s="26" t="str">
        <f t="shared" si="2"/>
        <v/>
      </c>
      <c r="J2166" s="86">
        <f t="shared" ca="1" si="3"/>
        <v>45225</v>
      </c>
      <c r="R2166" s="26"/>
    </row>
    <row r="2167" spans="1:18" ht="15.75" customHeight="1">
      <c r="A2167" s="26">
        <f ca="1">IFERROR(__xludf.DUMMYFUNCTION("""COMPUTED_VALUE"""),21003)</f>
        <v>21003</v>
      </c>
      <c r="B2167" s="86">
        <f ca="1">IFERROR(__xludf.DUMMYFUNCTION("""COMPUTED_VALUE"""),45225.0851736111)</f>
        <v>45225.0851736111</v>
      </c>
      <c r="C2167" s="1" t="str">
        <f ca="1">IFERROR(__xludf.DUMMYFUNCTION("""COMPUTED_VALUE"""),"completed")</f>
        <v>completed</v>
      </c>
      <c r="D2167" s="26">
        <f ca="1">IFERROR(__xludf.DUMMYFUNCTION("""COMPUTED_VALUE"""),25)</f>
        <v>25</v>
      </c>
      <c r="E2167" s="1" t="str">
        <f ca="1">IFERROR(__xludf.DUMMYFUNCTION("""COMPUTED_VALUE"""),"W.M.H.A")</f>
        <v>W.M.H.A</v>
      </c>
      <c r="F2167" s="87" t="str">
        <f t="shared" ca="1" si="0"/>
        <v>2023</v>
      </c>
      <c r="H2167" s="26" t="str">
        <f t="shared" si="1"/>
        <v/>
      </c>
      <c r="I2167" s="26" t="str">
        <f t="shared" si="2"/>
        <v/>
      </c>
      <c r="J2167" s="86">
        <f t="shared" ca="1" si="3"/>
        <v>45225</v>
      </c>
      <c r="R2167" s="26"/>
    </row>
    <row r="2168" spans="1:18" ht="15.75" customHeight="1">
      <c r="A2168" s="26">
        <f ca="1">IFERROR(__xludf.DUMMYFUNCTION("""COMPUTED_VALUE"""),21004)</f>
        <v>21004</v>
      </c>
      <c r="B2168" s="86">
        <f ca="1">IFERROR(__xludf.DUMMYFUNCTION("""COMPUTED_VALUE"""),45225.1583564814)</f>
        <v>45225.158356481399</v>
      </c>
      <c r="C2168" s="1" t="str">
        <f ca="1">IFERROR(__xludf.DUMMYFUNCTION("""COMPUTED_VALUE"""),"completed")</f>
        <v>completed</v>
      </c>
      <c r="D2168" s="26">
        <f ca="1">IFERROR(__xludf.DUMMYFUNCTION("""COMPUTED_VALUE"""),26)</f>
        <v>26</v>
      </c>
      <c r="E2168" s="1" t="str">
        <f ca="1">IFERROR(__xludf.DUMMYFUNCTION("""COMPUTED_VALUE"""),"Lakeshore Lightning Hockey")</f>
        <v>Lakeshore Lightning Hockey</v>
      </c>
      <c r="F2168" s="87" t="str">
        <f t="shared" ca="1" si="0"/>
        <v>2023</v>
      </c>
      <c r="H2168" s="26" t="str">
        <f t="shared" si="1"/>
        <v/>
      </c>
      <c r="I2168" s="26" t="str">
        <f t="shared" si="2"/>
        <v/>
      </c>
      <c r="J2168" s="86">
        <f t="shared" ca="1" si="3"/>
        <v>45225</v>
      </c>
      <c r="R2168" s="26"/>
    </row>
    <row r="2169" spans="1:18" ht="15.75" customHeight="1">
      <c r="A2169" s="26">
        <f ca="1">IFERROR(__xludf.DUMMYFUNCTION("""COMPUTED_VALUE"""),21005)</f>
        <v>21005</v>
      </c>
      <c r="B2169" s="86">
        <f ca="1">IFERROR(__xludf.DUMMYFUNCTION("""COMPUTED_VALUE"""),45225.2123958333)</f>
        <v>45225.212395833303</v>
      </c>
      <c r="C2169" s="1" t="str">
        <f ca="1">IFERROR(__xludf.DUMMYFUNCTION("""COMPUTED_VALUE"""),"completed")</f>
        <v>completed</v>
      </c>
      <c r="D2169" s="26">
        <f ca="1">IFERROR(__xludf.DUMMYFUNCTION("""COMPUTED_VALUE"""),61)</f>
        <v>61</v>
      </c>
      <c r="E2169" s="1" t="str">
        <f ca="1">IFERROR(__xludf.DUMMYFUNCTION("""COMPUTED_VALUE"""),"W.M.H.A")</f>
        <v>W.M.H.A</v>
      </c>
      <c r="F2169" s="87" t="str">
        <f t="shared" ca="1" si="0"/>
        <v>2023</v>
      </c>
      <c r="H2169" s="26" t="str">
        <f t="shared" si="1"/>
        <v/>
      </c>
      <c r="I2169" s="26" t="str">
        <f t="shared" si="2"/>
        <v/>
      </c>
      <c r="J2169" s="86">
        <f t="shared" ca="1" si="3"/>
        <v>45225</v>
      </c>
      <c r="R2169" s="26"/>
    </row>
    <row r="2170" spans="1:18" ht="15.75" customHeight="1">
      <c r="A2170" s="26">
        <f ca="1">IFERROR(__xludf.DUMMYFUNCTION("""COMPUTED_VALUE"""),21006)</f>
        <v>21006</v>
      </c>
      <c r="B2170" s="86">
        <f ca="1">IFERROR(__xludf.DUMMYFUNCTION("""COMPUTED_VALUE"""),45225.2284375)</f>
        <v>45225.228437500002</v>
      </c>
      <c r="C2170" s="1" t="str">
        <f ca="1">IFERROR(__xludf.DUMMYFUNCTION("""COMPUTED_VALUE"""),"completed")</f>
        <v>completed</v>
      </c>
      <c r="D2170" s="26">
        <f ca="1">IFERROR(__xludf.DUMMYFUNCTION("""COMPUTED_VALUE"""),61)</f>
        <v>61</v>
      </c>
      <c r="E2170" s="1" t="str">
        <f ca="1">IFERROR(__xludf.DUMMYFUNCTION("""COMPUTED_VALUE"""),"Windsor AAA Zone Hockey")</f>
        <v>Windsor AAA Zone Hockey</v>
      </c>
      <c r="F2170" s="87" t="str">
        <f t="shared" ca="1" si="0"/>
        <v>2023</v>
      </c>
      <c r="H2170" s="26" t="str">
        <f t="shared" si="1"/>
        <v/>
      </c>
      <c r="I2170" s="26" t="str">
        <f t="shared" si="2"/>
        <v/>
      </c>
      <c r="J2170" s="86">
        <f t="shared" ca="1" si="3"/>
        <v>45225</v>
      </c>
      <c r="R2170" s="26"/>
    </row>
    <row r="2171" spans="1:18" ht="15.75" customHeight="1">
      <c r="A2171" s="26">
        <f ca="1">IFERROR(__xludf.DUMMYFUNCTION("""COMPUTED_VALUE"""),21007)</f>
        <v>21007</v>
      </c>
      <c r="B2171" s="86">
        <f ca="1">IFERROR(__xludf.DUMMYFUNCTION("""COMPUTED_VALUE"""),45225.5621412037)</f>
        <v>45225.5621412037</v>
      </c>
      <c r="C2171" s="1" t="str">
        <f ca="1">IFERROR(__xludf.DUMMYFUNCTION("""COMPUTED_VALUE"""),"completed")</f>
        <v>completed</v>
      </c>
      <c r="D2171" s="26">
        <f ca="1">IFERROR(__xludf.DUMMYFUNCTION("""COMPUTED_VALUE"""),56)</f>
        <v>56</v>
      </c>
      <c r="E2171" s="1" t="str">
        <f ca="1">IFERROR(__xludf.DUMMYFUNCTION("""COMPUTED_VALUE"""),"Windsor AAA Zone Hockey")</f>
        <v>Windsor AAA Zone Hockey</v>
      </c>
      <c r="F2171" s="87" t="str">
        <f t="shared" ca="1" si="0"/>
        <v>2023</v>
      </c>
      <c r="H2171" s="26" t="str">
        <f t="shared" si="1"/>
        <v/>
      </c>
      <c r="I2171" s="26" t="str">
        <f t="shared" si="2"/>
        <v/>
      </c>
      <c r="J2171" s="86">
        <f t="shared" ca="1" si="3"/>
        <v>45225</v>
      </c>
      <c r="R2171" s="26"/>
    </row>
    <row r="2172" spans="1:18" ht="15.75" customHeight="1">
      <c r="A2172" s="26">
        <f ca="1">IFERROR(__xludf.DUMMYFUNCTION("""COMPUTED_VALUE"""),21008)</f>
        <v>21008</v>
      </c>
      <c r="B2172" s="86">
        <f ca="1">IFERROR(__xludf.DUMMYFUNCTION("""COMPUTED_VALUE"""),45225.8596064814)</f>
        <v>45225.859606481397</v>
      </c>
      <c r="C2172" s="1" t="str">
        <f ca="1">IFERROR(__xludf.DUMMYFUNCTION("""COMPUTED_VALUE"""),"completed")</f>
        <v>completed</v>
      </c>
      <c r="D2172" s="26">
        <f ca="1">IFERROR(__xludf.DUMMYFUNCTION("""COMPUTED_VALUE"""),25)</f>
        <v>25</v>
      </c>
      <c r="E2172" s="1" t="str">
        <f ca="1">IFERROR(__xludf.DUMMYFUNCTION("""COMPUTED_VALUE"""),"W.M.H.A")</f>
        <v>W.M.H.A</v>
      </c>
      <c r="F2172" s="87" t="str">
        <f t="shared" ca="1" si="0"/>
        <v>2023</v>
      </c>
      <c r="H2172" s="26" t="str">
        <f t="shared" si="1"/>
        <v/>
      </c>
      <c r="I2172" s="26" t="str">
        <f t="shared" si="2"/>
        <v/>
      </c>
      <c r="J2172" s="86">
        <f t="shared" ca="1" si="3"/>
        <v>45225</v>
      </c>
      <c r="R2172" s="26"/>
    </row>
    <row r="2173" spans="1:18" ht="15.75" customHeight="1">
      <c r="A2173" s="26">
        <f ca="1">IFERROR(__xludf.DUMMYFUNCTION("""COMPUTED_VALUE"""),21009)</f>
        <v>21009</v>
      </c>
      <c r="B2173" s="86">
        <f ca="1">IFERROR(__xludf.DUMMYFUNCTION("""COMPUTED_VALUE"""),45225.9113310185)</f>
        <v>45225.911331018498</v>
      </c>
      <c r="C2173" s="1" t="str">
        <f ca="1">IFERROR(__xludf.DUMMYFUNCTION("""COMPUTED_VALUE"""),"completed")</f>
        <v>completed</v>
      </c>
      <c r="D2173" s="26">
        <f ca="1">IFERROR(__xludf.DUMMYFUNCTION("""COMPUTED_VALUE"""),46)</f>
        <v>46</v>
      </c>
      <c r="E2173" s="1" t="str">
        <f ca="1">IFERROR(__xludf.DUMMYFUNCTION("""COMPUTED_VALUE"""),"W.M.H.A")</f>
        <v>W.M.H.A</v>
      </c>
      <c r="F2173" s="87" t="str">
        <f t="shared" ca="1" si="0"/>
        <v>2023</v>
      </c>
      <c r="H2173" s="26" t="str">
        <f t="shared" si="1"/>
        <v/>
      </c>
      <c r="I2173" s="26" t="str">
        <f t="shared" si="2"/>
        <v/>
      </c>
      <c r="J2173" s="86">
        <f t="shared" ca="1" si="3"/>
        <v>45225</v>
      </c>
      <c r="R2173" s="26"/>
    </row>
    <row r="2174" spans="1:18" ht="15.75" customHeight="1">
      <c r="A2174" s="26">
        <f ca="1">IFERROR(__xludf.DUMMYFUNCTION("""COMPUTED_VALUE"""),21010)</f>
        <v>21010</v>
      </c>
      <c r="B2174" s="86">
        <f ca="1">IFERROR(__xludf.DUMMYFUNCTION("""COMPUTED_VALUE"""),45225.9620833333)</f>
        <v>45225.962083333303</v>
      </c>
      <c r="C2174" s="1" t="str">
        <f ca="1">IFERROR(__xludf.DUMMYFUNCTION("""COMPUTED_VALUE"""),"completed")</f>
        <v>completed</v>
      </c>
      <c r="D2174" s="26">
        <f ca="1">IFERROR(__xludf.DUMMYFUNCTION("""COMPUTED_VALUE"""),25)</f>
        <v>25</v>
      </c>
      <c r="E2174" s="1" t="str">
        <f ca="1">IFERROR(__xludf.DUMMYFUNCTION("""COMPUTED_VALUE"""),"W.M.H.A")</f>
        <v>W.M.H.A</v>
      </c>
      <c r="F2174" s="87" t="str">
        <f t="shared" ca="1" si="0"/>
        <v>2023</v>
      </c>
      <c r="H2174" s="26" t="str">
        <f t="shared" si="1"/>
        <v/>
      </c>
      <c r="I2174" s="26" t="str">
        <f t="shared" si="2"/>
        <v/>
      </c>
      <c r="J2174" s="86">
        <f t="shared" ca="1" si="3"/>
        <v>45225</v>
      </c>
      <c r="R2174" s="26"/>
    </row>
    <row r="2175" spans="1:18" ht="15.75" customHeight="1">
      <c r="A2175" s="26">
        <f ca="1">IFERROR(__xludf.DUMMYFUNCTION("""COMPUTED_VALUE"""),21011)</f>
        <v>21011</v>
      </c>
      <c r="B2175" s="86">
        <f ca="1">IFERROR(__xludf.DUMMYFUNCTION("""COMPUTED_VALUE"""),45226.0020023148)</f>
        <v>45226.002002314803</v>
      </c>
      <c r="C2175" s="1" t="str">
        <f ca="1">IFERROR(__xludf.DUMMYFUNCTION("""COMPUTED_VALUE"""),"processing")</f>
        <v>processing</v>
      </c>
      <c r="D2175" s="26">
        <f ca="1">IFERROR(__xludf.DUMMYFUNCTION("""COMPUTED_VALUE"""),60)</f>
        <v>60</v>
      </c>
      <c r="E2175" s="1" t="str">
        <f ca="1">IFERROR(__xludf.DUMMYFUNCTION("""COMPUTED_VALUE"""),"W.M.H.A")</f>
        <v>W.M.H.A</v>
      </c>
      <c r="F2175" s="87" t="str">
        <f t="shared" ca="1" si="0"/>
        <v>2023</v>
      </c>
      <c r="H2175" s="26" t="str">
        <f t="shared" si="1"/>
        <v/>
      </c>
      <c r="I2175" s="26" t="str">
        <f t="shared" si="2"/>
        <v/>
      </c>
      <c r="J2175" s="86">
        <f t="shared" ca="1" si="3"/>
        <v>45226</v>
      </c>
      <c r="R2175" s="26"/>
    </row>
    <row r="2176" spans="1:18" ht="15.75" customHeight="1">
      <c r="A2176" s="26">
        <f ca="1">IFERROR(__xludf.DUMMYFUNCTION("""COMPUTED_VALUE"""),21015)</f>
        <v>21015</v>
      </c>
      <c r="B2176" s="86">
        <f ca="1">IFERROR(__xludf.DUMMYFUNCTION("""COMPUTED_VALUE"""),45226.5336689813)</f>
        <v>45226.533668981399</v>
      </c>
      <c r="C2176" s="1" t="str">
        <f ca="1">IFERROR(__xludf.DUMMYFUNCTION("""COMPUTED_VALUE"""),"completed")</f>
        <v>completed</v>
      </c>
      <c r="D2176" s="26">
        <f ca="1">IFERROR(__xludf.DUMMYFUNCTION("""COMPUTED_VALUE"""),22)</f>
        <v>22</v>
      </c>
      <c r="E2176" s="1" t="str">
        <f ca="1">IFERROR(__xludf.DUMMYFUNCTION("""COMPUTED_VALUE"""),"Lakeshore Lightning Hockey")</f>
        <v>Lakeshore Lightning Hockey</v>
      </c>
      <c r="F2176" s="87" t="str">
        <f t="shared" ca="1" si="0"/>
        <v>2023</v>
      </c>
      <c r="H2176" s="26" t="str">
        <f t="shared" si="1"/>
        <v/>
      </c>
      <c r="I2176" s="26" t="str">
        <f t="shared" si="2"/>
        <v/>
      </c>
      <c r="J2176" s="86">
        <f t="shared" ca="1" si="3"/>
        <v>45226</v>
      </c>
      <c r="R2176" s="26"/>
    </row>
    <row r="2177" spans="1:18" ht="15.75" customHeight="1">
      <c r="A2177" s="26">
        <f ca="1">IFERROR(__xludf.DUMMYFUNCTION("""COMPUTED_VALUE"""),21014)</f>
        <v>21014</v>
      </c>
      <c r="B2177" s="86">
        <f ca="1">IFERROR(__xludf.DUMMYFUNCTION("""COMPUTED_VALUE"""),45226.5316550925)</f>
        <v>45226.531655092498</v>
      </c>
      <c r="C2177" s="1" t="str">
        <f ca="1">IFERROR(__xludf.DUMMYFUNCTION("""COMPUTED_VALUE"""),"completed")</f>
        <v>completed</v>
      </c>
      <c r="D2177" s="26">
        <f ca="1">IFERROR(__xludf.DUMMYFUNCTION("""COMPUTED_VALUE"""),37)</f>
        <v>37</v>
      </c>
      <c r="E2177" s="1" t="str">
        <f ca="1">IFERROR(__xludf.DUMMYFUNCTION("""COMPUTED_VALUE"""),"WMFA")</f>
        <v>WMFA</v>
      </c>
      <c r="F2177" s="87" t="str">
        <f t="shared" ca="1" si="0"/>
        <v>2023</v>
      </c>
      <c r="H2177" s="26" t="str">
        <f t="shared" si="1"/>
        <v/>
      </c>
      <c r="I2177" s="26" t="str">
        <f t="shared" si="2"/>
        <v/>
      </c>
      <c r="J2177" s="86">
        <f t="shared" ca="1" si="3"/>
        <v>45226</v>
      </c>
      <c r="R2177" s="26"/>
    </row>
    <row r="2178" spans="1:18" ht="15.75" customHeight="1">
      <c r="A2178" s="26">
        <f ca="1">IFERROR(__xludf.DUMMYFUNCTION("""COMPUTED_VALUE"""),21013)</f>
        <v>21013</v>
      </c>
      <c r="B2178" s="86">
        <f ca="1">IFERROR(__xludf.DUMMYFUNCTION("""COMPUTED_VALUE"""),45226.5312731481)</f>
        <v>45226.531273148103</v>
      </c>
      <c r="C2178" s="1" t="str">
        <f ca="1">IFERROR(__xludf.DUMMYFUNCTION("""COMPUTED_VALUE"""),"completed")</f>
        <v>completed</v>
      </c>
      <c r="D2178" s="26">
        <f ca="1">IFERROR(__xludf.DUMMYFUNCTION("""COMPUTED_VALUE"""),22)</f>
        <v>22</v>
      </c>
      <c r="E2178" s="1" t="str">
        <f ca="1">IFERROR(__xludf.DUMMYFUNCTION("""COMPUTED_VALUE"""),"Lakeshore Lightning Hockey")</f>
        <v>Lakeshore Lightning Hockey</v>
      </c>
      <c r="F2178" s="87" t="str">
        <f t="shared" ca="1" si="0"/>
        <v>2023</v>
      </c>
      <c r="H2178" s="26" t="str">
        <f t="shared" si="1"/>
        <v/>
      </c>
      <c r="I2178" s="26" t="str">
        <f t="shared" si="2"/>
        <v/>
      </c>
      <c r="J2178" s="86">
        <f t="shared" ca="1" si="3"/>
        <v>45226</v>
      </c>
      <c r="R2178" s="26"/>
    </row>
    <row r="2179" spans="1:18" ht="15.75" customHeight="1">
      <c r="A2179" s="26">
        <f ca="1">IFERROR(__xludf.DUMMYFUNCTION("""COMPUTED_VALUE"""),21016)</f>
        <v>21016</v>
      </c>
      <c r="B2179" s="86">
        <f ca="1">IFERROR(__xludf.DUMMYFUNCTION("""COMPUTED_VALUE"""),45226.6084722222)</f>
        <v>45226.6084722222</v>
      </c>
      <c r="C2179" s="1" t="str">
        <f ca="1">IFERROR(__xludf.DUMMYFUNCTION("""COMPUTED_VALUE"""),"completed")</f>
        <v>completed</v>
      </c>
      <c r="D2179" s="26">
        <f ca="1">IFERROR(__xludf.DUMMYFUNCTION("""COMPUTED_VALUE"""),20)</f>
        <v>20</v>
      </c>
      <c r="E2179" s="1" t="str">
        <f ca="1">IFERROR(__xludf.DUMMYFUNCTION("""COMPUTED_VALUE"""),"Lakeshore Lightning Hockey")</f>
        <v>Lakeshore Lightning Hockey</v>
      </c>
      <c r="F2179" s="87" t="str">
        <f t="shared" ca="1" si="0"/>
        <v>2023</v>
      </c>
      <c r="H2179" s="26" t="str">
        <f t="shared" si="1"/>
        <v/>
      </c>
      <c r="I2179" s="26" t="str">
        <f t="shared" si="2"/>
        <v/>
      </c>
      <c r="J2179" s="86">
        <f t="shared" ca="1" si="3"/>
        <v>45226</v>
      </c>
      <c r="R2179" s="26"/>
    </row>
    <row r="2180" spans="1:18" ht="15.75" customHeight="1">
      <c r="A2180" s="26">
        <f ca="1">IFERROR(__xludf.DUMMYFUNCTION("""COMPUTED_VALUE"""),21017)</f>
        <v>21017</v>
      </c>
      <c r="B2180" s="86">
        <f ca="1">IFERROR(__xludf.DUMMYFUNCTION("""COMPUTED_VALUE"""),45226.6182291666)</f>
        <v>45226.618229166597</v>
      </c>
      <c r="C2180" s="1" t="str">
        <f ca="1">IFERROR(__xludf.DUMMYFUNCTION("""COMPUTED_VALUE"""),"completed")</f>
        <v>completed</v>
      </c>
      <c r="D2180" s="26">
        <f ca="1">IFERROR(__xludf.DUMMYFUNCTION("""COMPUTED_VALUE"""),48)</f>
        <v>48</v>
      </c>
      <c r="E2180" s="1" t="str">
        <f ca="1">IFERROR(__xludf.DUMMYFUNCTION("""COMPUTED_VALUE"""),"WMFA")</f>
        <v>WMFA</v>
      </c>
      <c r="F2180" s="87" t="str">
        <f t="shared" ca="1" si="0"/>
        <v>2023</v>
      </c>
      <c r="H2180" s="26" t="str">
        <f t="shared" si="1"/>
        <v/>
      </c>
      <c r="I2180" s="26" t="str">
        <f t="shared" si="2"/>
        <v/>
      </c>
      <c r="J2180" s="86">
        <f t="shared" ca="1" si="3"/>
        <v>45226</v>
      </c>
      <c r="R2180" s="26"/>
    </row>
    <row r="2181" spans="1:18" ht="15.75" customHeight="1">
      <c r="A2181" s="26">
        <f ca="1">IFERROR(__xludf.DUMMYFUNCTION("""COMPUTED_VALUE"""),21018)</f>
        <v>21018</v>
      </c>
      <c r="B2181" s="86">
        <f ca="1">IFERROR(__xludf.DUMMYFUNCTION("""COMPUTED_VALUE"""),45226.7367129629)</f>
        <v>45226.736712962898</v>
      </c>
      <c r="C2181" s="1" t="str">
        <f ca="1">IFERROR(__xludf.DUMMYFUNCTION("""COMPUTED_VALUE"""),"completed")</f>
        <v>completed</v>
      </c>
      <c r="D2181" s="26">
        <f ca="1">IFERROR(__xludf.DUMMYFUNCTION("""COMPUTED_VALUE"""),25)</f>
        <v>25</v>
      </c>
      <c r="E2181" s="1" t="str">
        <f ca="1">IFERROR(__xludf.DUMMYFUNCTION("""COMPUTED_VALUE"""),"W.M.H.A")</f>
        <v>W.M.H.A</v>
      </c>
      <c r="F2181" s="87" t="str">
        <f t="shared" ca="1" si="0"/>
        <v>2023</v>
      </c>
      <c r="H2181" s="26" t="str">
        <f t="shared" si="1"/>
        <v/>
      </c>
      <c r="I2181" s="26" t="str">
        <f t="shared" si="2"/>
        <v/>
      </c>
      <c r="J2181" s="86">
        <f t="shared" ca="1" si="3"/>
        <v>45226</v>
      </c>
      <c r="R2181" s="26"/>
    </row>
    <row r="2182" spans="1:18" ht="15.75" customHeight="1">
      <c r="A2182" s="26">
        <f ca="1">IFERROR(__xludf.DUMMYFUNCTION("""COMPUTED_VALUE"""),21019)</f>
        <v>21019</v>
      </c>
      <c r="B2182" s="86">
        <f ca="1">IFERROR(__xludf.DUMMYFUNCTION("""COMPUTED_VALUE"""),45227.5394675925)</f>
        <v>45227.539467592498</v>
      </c>
      <c r="C2182" s="1" t="str">
        <f ca="1">IFERROR(__xludf.DUMMYFUNCTION("""COMPUTED_VALUE"""),"completed")</f>
        <v>completed</v>
      </c>
      <c r="D2182" s="26">
        <f ca="1">IFERROR(__xludf.DUMMYFUNCTION("""COMPUTED_VALUE"""),20)</f>
        <v>20</v>
      </c>
      <c r="E2182" s="1" t="str">
        <f ca="1">IFERROR(__xludf.DUMMYFUNCTION("""COMPUTED_VALUE"""),"Lakeshore Lightning Hockey")</f>
        <v>Lakeshore Lightning Hockey</v>
      </c>
      <c r="F2182" s="87" t="str">
        <f t="shared" ca="1" si="0"/>
        <v>2023</v>
      </c>
      <c r="H2182" s="26" t="str">
        <f t="shared" si="1"/>
        <v/>
      </c>
      <c r="I2182" s="26" t="str">
        <f t="shared" si="2"/>
        <v/>
      </c>
      <c r="J2182" s="86">
        <f t="shared" ca="1" si="3"/>
        <v>45227</v>
      </c>
      <c r="R2182" s="26"/>
    </row>
    <row r="2183" spans="1:18" ht="15.75" customHeight="1">
      <c r="A2183" s="26">
        <f ca="1">IFERROR(__xludf.DUMMYFUNCTION("""COMPUTED_VALUE"""),21021)</f>
        <v>21021</v>
      </c>
      <c r="B2183" s="86">
        <f ca="1">IFERROR(__xludf.DUMMYFUNCTION("""COMPUTED_VALUE"""),45227.5528703703)</f>
        <v>45227.552870370302</v>
      </c>
      <c r="C2183" s="1" t="str">
        <f ca="1">IFERROR(__xludf.DUMMYFUNCTION("""COMPUTED_VALUE"""),"completed")</f>
        <v>completed</v>
      </c>
      <c r="D2183" s="26">
        <f ca="1">IFERROR(__xludf.DUMMYFUNCTION("""COMPUTED_VALUE"""),35)</f>
        <v>35</v>
      </c>
      <c r="E2183" s="1" t="str">
        <f ca="1">IFERROR(__xludf.DUMMYFUNCTION("""COMPUTED_VALUE"""),"Lakeshore Lightning Hockey")</f>
        <v>Lakeshore Lightning Hockey</v>
      </c>
      <c r="F2183" s="87" t="str">
        <f t="shared" ca="1" si="0"/>
        <v>2023</v>
      </c>
      <c r="H2183" s="26" t="str">
        <f t="shared" si="1"/>
        <v/>
      </c>
      <c r="I2183" s="26" t="str">
        <f t="shared" si="2"/>
        <v/>
      </c>
      <c r="J2183" s="86">
        <f t="shared" ca="1" si="3"/>
        <v>45227</v>
      </c>
      <c r="R2183" s="26"/>
    </row>
    <row r="2184" spans="1:18" ht="15.75" customHeight="1">
      <c r="A2184" s="26">
        <f ca="1">IFERROR(__xludf.DUMMYFUNCTION("""COMPUTED_VALUE"""),21020)</f>
        <v>21020</v>
      </c>
      <c r="B2184" s="86">
        <f ca="1">IFERROR(__xludf.DUMMYFUNCTION("""COMPUTED_VALUE"""),45227.5491666666)</f>
        <v>45227.549166666598</v>
      </c>
      <c r="C2184" s="1" t="str">
        <f ca="1">IFERROR(__xludf.DUMMYFUNCTION("""COMPUTED_VALUE"""),"completed")</f>
        <v>completed</v>
      </c>
      <c r="D2184" s="26">
        <f ca="1">IFERROR(__xludf.DUMMYFUNCTION("""COMPUTED_VALUE"""),26)</f>
        <v>26</v>
      </c>
      <c r="E2184" s="1" t="str">
        <f ca="1">IFERROR(__xludf.DUMMYFUNCTION("""COMPUTED_VALUE"""),"Lakeshore Lightning Hockey")</f>
        <v>Lakeshore Lightning Hockey</v>
      </c>
      <c r="F2184" s="87" t="str">
        <f t="shared" ca="1" si="0"/>
        <v>2023</v>
      </c>
      <c r="H2184" s="26" t="str">
        <f t="shared" si="1"/>
        <v/>
      </c>
      <c r="I2184" s="26" t="str">
        <f t="shared" si="2"/>
        <v/>
      </c>
      <c r="J2184" s="86">
        <f t="shared" ca="1" si="3"/>
        <v>45227</v>
      </c>
      <c r="R2184" s="26"/>
    </row>
    <row r="2185" spans="1:18" ht="15.75" customHeight="1">
      <c r="A2185" s="26">
        <f ca="1">IFERROR(__xludf.DUMMYFUNCTION("""COMPUTED_VALUE"""),21022)</f>
        <v>21022</v>
      </c>
      <c r="B2185" s="86">
        <f ca="1">IFERROR(__xludf.DUMMYFUNCTION("""COMPUTED_VALUE"""),45227.5551504629)</f>
        <v>45227.555150462897</v>
      </c>
      <c r="C2185" s="1" t="str">
        <f ca="1">IFERROR(__xludf.DUMMYFUNCTION("""COMPUTED_VALUE"""),"completed")</f>
        <v>completed</v>
      </c>
      <c r="D2185" s="26">
        <f ca="1">IFERROR(__xludf.DUMMYFUNCTION("""COMPUTED_VALUE"""),26)</f>
        <v>26</v>
      </c>
      <c r="E2185" s="1" t="str">
        <f ca="1">IFERROR(__xludf.DUMMYFUNCTION("""COMPUTED_VALUE"""),"Lakeshore Lightning Hockey")</f>
        <v>Lakeshore Lightning Hockey</v>
      </c>
      <c r="F2185" s="87" t="str">
        <f t="shared" ca="1" si="0"/>
        <v>2023</v>
      </c>
      <c r="H2185" s="26" t="str">
        <f t="shared" si="1"/>
        <v/>
      </c>
      <c r="I2185" s="26" t="str">
        <f t="shared" si="2"/>
        <v/>
      </c>
      <c r="J2185" s="86">
        <f t="shared" ca="1" si="3"/>
        <v>45227</v>
      </c>
      <c r="R2185" s="26"/>
    </row>
    <row r="2186" spans="1:18" ht="15.75" customHeight="1">
      <c r="A2186" s="26">
        <f ca="1">IFERROR(__xludf.DUMMYFUNCTION("""COMPUTED_VALUE"""),21023)</f>
        <v>21023</v>
      </c>
      <c r="B2186" s="86">
        <f ca="1">IFERROR(__xludf.DUMMYFUNCTION("""COMPUTED_VALUE"""),45227.5676041666)</f>
        <v>45227.567604166601</v>
      </c>
      <c r="C2186" s="1" t="str">
        <f ca="1">IFERROR(__xludf.DUMMYFUNCTION("""COMPUTED_VALUE"""),"completed")</f>
        <v>completed</v>
      </c>
      <c r="D2186" s="26">
        <f ca="1">IFERROR(__xludf.DUMMYFUNCTION("""COMPUTED_VALUE"""),25)</f>
        <v>25</v>
      </c>
      <c r="E2186" s="1" t="str">
        <f ca="1">IFERROR(__xludf.DUMMYFUNCTION("""COMPUTED_VALUE"""),"Lakeshore Lightning Hockey")</f>
        <v>Lakeshore Lightning Hockey</v>
      </c>
      <c r="F2186" s="87" t="str">
        <f t="shared" ca="1" si="0"/>
        <v>2023</v>
      </c>
      <c r="H2186" s="26" t="str">
        <f t="shared" si="1"/>
        <v/>
      </c>
      <c r="I2186" s="26" t="str">
        <f t="shared" si="2"/>
        <v/>
      </c>
      <c r="J2186" s="86">
        <f t="shared" ca="1" si="3"/>
        <v>45227</v>
      </c>
      <c r="R2186" s="26"/>
    </row>
    <row r="2187" spans="1:18" ht="15.75" customHeight="1">
      <c r="A2187" s="26">
        <f ca="1">IFERROR(__xludf.DUMMYFUNCTION("""COMPUTED_VALUE"""),21025)</f>
        <v>21025</v>
      </c>
      <c r="B2187" s="86">
        <f ca="1">IFERROR(__xludf.DUMMYFUNCTION("""COMPUTED_VALUE"""),45227.5743634259)</f>
        <v>45227.574363425898</v>
      </c>
      <c r="C2187" s="1" t="str">
        <f ca="1">IFERROR(__xludf.DUMMYFUNCTION("""COMPUTED_VALUE"""),"completed")</f>
        <v>completed</v>
      </c>
      <c r="D2187" s="26">
        <f ca="1">IFERROR(__xludf.DUMMYFUNCTION("""COMPUTED_VALUE"""),28)</f>
        <v>28</v>
      </c>
      <c r="E2187" s="1" t="str">
        <f ca="1">IFERROR(__xludf.DUMMYFUNCTION("""COMPUTED_VALUE"""),"Lakeshore Lightning Hockey")</f>
        <v>Lakeshore Lightning Hockey</v>
      </c>
      <c r="F2187" s="87" t="str">
        <f t="shared" ca="1" si="0"/>
        <v>2023</v>
      </c>
      <c r="H2187" s="26" t="str">
        <f t="shared" si="1"/>
        <v/>
      </c>
      <c r="I2187" s="26" t="str">
        <f t="shared" si="2"/>
        <v/>
      </c>
      <c r="J2187" s="86">
        <f t="shared" ca="1" si="3"/>
        <v>45227</v>
      </c>
      <c r="R2187" s="26"/>
    </row>
    <row r="2188" spans="1:18" ht="15.75" customHeight="1">
      <c r="A2188" s="26">
        <f ca="1">IFERROR(__xludf.DUMMYFUNCTION("""COMPUTED_VALUE"""),21024)</f>
        <v>21024</v>
      </c>
      <c r="B2188" s="86">
        <f ca="1">IFERROR(__xludf.DUMMYFUNCTION("""COMPUTED_VALUE"""),45227.5735648148)</f>
        <v>45227.573564814797</v>
      </c>
      <c r="C2188" s="1" t="str">
        <f ca="1">IFERROR(__xludf.DUMMYFUNCTION("""COMPUTED_VALUE"""),"completed")</f>
        <v>completed</v>
      </c>
      <c r="D2188" s="26">
        <f ca="1">IFERROR(__xludf.DUMMYFUNCTION("""COMPUTED_VALUE"""),18)</f>
        <v>18</v>
      </c>
      <c r="E2188" s="1" t="str">
        <f ca="1">IFERROR(__xludf.DUMMYFUNCTION("""COMPUTED_VALUE"""),"Lakeshore Lightning Hockey")</f>
        <v>Lakeshore Lightning Hockey</v>
      </c>
      <c r="F2188" s="87" t="str">
        <f t="shared" ca="1" si="0"/>
        <v>2023</v>
      </c>
      <c r="H2188" s="26" t="str">
        <f t="shared" si="1"/>
        <v/>
      </c>
      <c r="I2188" s="26" t="str">
        <f t="shared" si="2"/>
        <v/>
      </c>
      <c r="J2188" s="86">
        <f t="shared" ca="1" si="3"/>
        <v>45227</v>
      </c>
      <c r="R2188" s="26"/>
    </row>
    <row r="2189" spans="1:18" ht="15.75" customHeight="1">
      <c r="A2189" s="26">
        <f ca="1">IFERROR(__xludf.DUMMYFUNCTION("""COMPUTED_VALUE"""),21026)</f>
        <v>21026</v>
      </c>
      <c r="B2189" s="86">
        <f ca="1">IFERROR(__xludf.DUMMYFUNCTION("""COMPUTED_VALUE"""),45227.576412037)</f>
        <v>45227.576412037</v>
      </c>
      <c r="C2189" s="1" t="str">
        <f ca="1">IFERROR(__xludf.DUMMYFUNCTION("""COMPUTED_VALUE"""),"completed")</f>
        <v>completed</v>
      </c>
      <c r="D2189" s="26">
        <f ca="1">IFERROR(__xludf.DUMMYFUNCTION("""COMPUTED_VALUE"""),108)</f>
        <v>108</v>
      </c>
      <c r="E2189" s="1" t="str">
        <f ca="1">IFERROR(__xludf.DUMMYFUNCTION("""COMPUTED_VALUE"""),"Lakeshore Lightning Hockey")</f>
        <v>Lakeshore Lightning Hockey</v>
      </c>
      <c r="F2189" s="87" t="str">
        <f t="shared" ca="1" si="0"/>
        <v>2023</v>
      </c>
      <c r="H2189" s="26" t="str">
        <f t="shared" si="1"/>
        <v/>
      </c>
      <c r="I2189" s="26" t="str">
        <f t="shared" si="2"/>
        <v/>
      </c>
      <c r="J2189" s="86">
        <f t="shared" ca="1" si="3"/>
        <v>45227</v>
      </c>
      <c r="R2189" s="26"/>
    </row>
    <row r="2190" spans="1:18" ht="15.75" customHeight="1">
      <c r="A2190" s="26">
        <f ca="1">IFERROR(__xludf.DUMMYFUNCTION("""COMPUTED_VALUE"""),21027)</f>
        <v>21027</v>
      </c>
      <c r="B2190" s="86">
        <f ca="1">IFERROR(__xludf.DUMMYFUNCTION("""COMPUTED_VALUE"""),45227.6055439814)</f>
        <v>45227.605543981401</v>
      </c>
      <c r="C2190" s="1" t="str">
        <f ca="1">IFERROR(__xludf.DUMMYFUNCTION("""COMPUTED_VALUE"""),"completed")</f>
        <v>completed</v>
      </c>
      <c r="D2190" s="26">
        <f ca="1">IFERROR(__xludf.DUMMYFUNCTION("""COMPUTED_VALUE"""),26)</f>
        <v>26</v>
      </c>
      <c r="E2190" s="1" t="str">
        <f ca="1">IFERROR(__xludf.DUMMYFUNCTION("""COMPUTED_VALUE"""),"Lakeshore Lightning Hockey")</f>
        <v>Lakeshore Lightning Hockey</v>
      </c>
      <c r="F2190" s="87" t="str">
        <f t="shared" ca="1" si="0"/>
        <v>2023</v>
      </c>
      <c r="H2190" s="26" t="str">
        <f t="shared" si="1"/>
        <v/>
      </c>
      <c r="I2190" s="26" t="str">
        <f t="shared" si="2"/>
        <v/>
      </c>
      <c r="J2190" s="86">
        <f t="shared" ca="1" si="3"/>
        <v>45227</v>
      </c>
      <c r="R2190" s="26"/>
    </row>
    <row r="2191" spans="1:18" ht="15.75" customHeight="1">
      <c r="A2191" s="26">
        <f ca="1">IFERROR(__xludf.DUMMYFUNCTION("""COMPUTED_VALUE"""),21031)</f>
        <v>21031</v>
      </c>
      <c r="B2191" s="86">
        <f ca="1">IFERROR(__xludf.DUMMYFUNCTION("""COMPUTED_VALUE"""),45227.6501851851)</f>
        <v>45227.650185185099</v>
      </c>
      <c r="C2191" s="1" t="str">
        <f ca="1">IFERROR(__xludf.DUMMYFUNCTION("""COMPUTED_VALUE"""),"completed")</f>
        <v>completed</v>
      </c>
      <c r="D2191" s="26">
        <f ca="1">IFERROR(__xludf.DUMMYFUNCTION("""COMPUTED_VALUE"""),22)</f>
        <v>22</v>
      </c>
      <c r="E2191" s="1" t="str">
        <f ca="1">IFERROR(__xludf.DUMMYFUNCTION("""COMPUTED_VALUE"""),"Lakeshore Lightning Hockey")</f>
        <v>Lakeshore Lightning Hockey</v>
      </c>
      <c r="F2191" s="87" t="str">
        <f t="shared" ca="1" si="0"/>
        <v>2023</v>
      </c>
      <c r="H2191" s="26" t="str">
        <f t="shared" si="1"/>
        <v/>
      </c>
      <c r="I2191" s="26" t="str">
        <f t="shared" si="2"/>
        <v/>
      </c>
      <c r="J2191" s="86">
        <f t="shared" ca="1" si="3"/>
        <v>45227</v>
      </c>
      <c r="R2191" s="26"/>
    </row>
    <row r="2192" spans="1:18" ht="15.75" customHeight="1">
      <c r="A2192" s="26">
        <f ca="1">IFERROR(__xludf.DUMMYFUNCTION("""COMPUTED_VALUE"""),21030)</f>
        <v>21030</v>
      </c>
      <c r="B2192" s="86">
        <f ca="1">IFERROR(__xludf.DUMMYFUNCTION("""COMPUTED_VALUE"""),45227.6496180555)</f>
        <v>45227.649618055497</v>
      </c>
      <c r="C2192" s="1" t="str">
        <f ca="1">IFERROR(__xludf.DUMMYFUNCTION("""COMPUTED_VALUE"""),"completed")</f>
        <v>completed</v>
      </c>
      <c r="D2192" s="26">
        <f ca="1">IFERROR(__xludf.DUMMYFUNCTION("""COMPUTED_VALUE"""),20)</f>
        <v>20</v>
      </c>
      <c r="E2192" s="1" t="str">
        <f ca="1">IFERROR(__xludf.DUMMYFUNCTION("""COMPUTED_VALUE"""),"Lakeshore Lightning Hockey")</f>
        <v>Lakeshore Lightning Hockey</v>
      </c>
      <c r="F2192" s="87" t="str">
        <f t="shared" ca="1" si="0"/>
        <v>2023</v>
      </c>
      <c r="H2192" s="26" t="str">
        <f t="shared" si="1"/>
        <v/>
      </c>
      <c r="I2192" s="26" t="str">
        <f t="shared" si="2"/>
        <v/>
      </c>
      <c r="J2192" s="86">
        <f t="shared" ca="1" si="3"/>
        <v>45227</v>
      </c>
      <c r="R2192" s="26"/>
    </row>
    <row r="2193" spans="1:18" ht="15.75" customHeight="1">
      <c r="A2193" s="26">
        <f ca="1">IFERROR(__xludf.DUMMYFUNCTION("""COMPUTED_VALUE"""),21029)</f>
        <v>21029</v>
      </c>
      <c r="B2193" s="86">
        <f ca="1">IFERROR(__xludf.DUMMYFUNCTION("""COMPUTED_VALUE"""),45227.6491666666)</f>
        <v>45227.649166666597</v>
      </c>
      <c r="C2193" s="1" t="str">
        <f ca="1">IFERROR(__xludf.DUMMYFUNCTION("""COMPUTED_VALUE"""),"completed")</f>
        <v>completed</v>
      </c>
      <c r="D2193" s="26">
        <f ca="1">IFERROR(__xludf.DUMMYFUNCTION("""COMPUTED_VALUE"""),25)</f>
        <v>25</v>
      </c>
      <c r="E2193" s="1" t="str">
        <f ca="1">IFERROR(__xludf.DUMMYFUNCTION("""COMPUTED_VALUE"""),"Lakeshore Lightning Hockey")</f>
        <v>Lakeshore Lightning Hockey</v>
      </c>
      <c r="F2193" s="87" t="str">
        <f t="shared" ca="1" si="0"/>
        <v>2023</v>
      </c>
      <c r="H2193" s="26" t="str">
        <f t="shared" si="1"/>
        <v/>
      </c>
      <c r="I2193" s="26" t="str">
        <f t="shared" si="2"/>
        <v/>
      </c>
      <c r="J2193" s="86">
        <f t="shared" ca="1" si="3"/>
        <v>45227</v>
      </c>
      <c r="R2193" s="26"/>
    </row>
    <row r="2194" spans="1:18" ht="15.75" customHeight="1">
      <c r="A2194" s="26">
        <f ca="1">IFERROR(__xludf.DUMMYFUNCTION("""COMPUTED_VALUE"""),21028)</f>
        <v>21028</v>
      </c>
      <c r="B2194" s="86">
        <f ca="1">IFERROR(__xludf.DUMMYFUNCTION("""COMPUTED_VALUE"""),45227.6473148148)</f>
        <v>45227.6473148148</v>
      </c>
      <c r="C2194" s="1" t="str">
        <f ca="1">IFERROR(__xludf.DUMMYFUNCTION("""COMPUTED_VALUE"""),"completed")</f>
        <v>completed</v>
      </c>
      <c r="D2194" s="26">
        <f ca="1">IFERROR(__xludf.DUMMYFUNCTION("""COMPUTED_VALUE"""),25)</f>
        <v>25</v>
      </c>
      <c r="E2194" s="1" t="str">
        <f ca="1">IFERROR(__xludf.DUMMYFUNCTION("""COMPUTED_VALUE"""),"Lakeshore Lightning Hockey")</f>
        <v>Lakeshore Lightning Hockey</v>
      </c>
      <c r="F2194" s="87" t="str">
        <f t="shared" ca="1" si="0"/>
        <v>2023</v>
      </c>
      <c r="H2194" s="26" t="str">
        <f t="shared" si="1"/>
        <v/>
      </c>
      <c r="I2194" s="26" t="str">
        <f t="shared" si="2"/>
        <v/>
      </c>
      <c r="J2194" s="86">
        <f t="shared" ca="1" si="3"/>
        <v>45227</v>
      </c>
      <c r="R2194" s="26"/>
    </row>
    <row r="2195" spans="1:18" ht="15.75" customHeight="1">
      <c r="A2195" s="26">
        <f ca="1">IFERROR(__xludf.DUMMYFUNCTION("""COMPUTED_VALUE"""),21033)</f>
        <v>21033</v>
      </c>
      <c r="B2195" s="86">
        <f ca="1">IFERROR(__xludf.DUMMYFUNCTION("""COMPUTED_VALUE"""),45227.6570023148)</f>
        <v>45227.657002314802</v>
      </c>
      <c r="C2195" s="1" t="str">
        <f ca="1">IFERROR(__xludf.DUMMYFUNCTION("""COMPUTED_VALUE"""),"completed")</f>
        <v>completed</v>
      </c>
      <c r="D2195" s="26">
        <f ca="1">IFERROR(__xludf.DUMMYFUNCTION("""COMPUTED_VALUE"""),26)</f>
        <v>26</v>
      </c>
      <c r="E2195" s="1" t="str">
        <f ca="1">IFERROR(__xludf.DUMMYFUNCTION("""COMPUTED_VALUE"""),"Lakeshore Lightning Hockey")</f>
        <v>Lakeshore Lightning Hockey</v>
      </c>
      <c r="F2195" s="87" t="str">
        <f t="shared" ca="1" si="0"/>
        <v>2023</v>
      </c>
      <c r="H2195" s="26" t="str">
        <f t="shared" si="1"/>
        <v/>
      </c>
      <c r="I2195" s="26" t="str">
        <f t="shared" si="2"/>
        <v/>
      </c>
      <c r="J2195" s="86">
        <f t="shared" ca="1" si="3"/>
        <v>45227</v>
      </c>
      <c r="R2195" s="26"/>
    </row>
    <row r="2196" spans="1:18" ht="15.75" customHeight="1">
      <c r="A2196" s="26">
        <f ca="1">IFERROR(__xludf.DUMMYFUNCTION("""COMPUTED_VALUE"""),21032)</f>
        <v>21032</v>
      </c>
      <c r="B2196" s="86">
        <f ca="1">IFERROR(__xludf.DUMMYFUNCTION("""COMPUTED_VALUE"""),45227.655636574)</f>
        <v>45227.655636574003</v>
      </c>
      <c r="C2196" s="1" t="str">
        <f ca="1">IFERROR(__xludf.DUMMYFUNCTION("""COMPUTED_VALUE"""),"completed")</f>
        <v>completed</v>
      </c>
      <c r="D2196" s="26">
        <f ca="1">IFERROR(__xludf.DUMMYFUNCTION("""COMPUTED_VALUE"""),40)</f>
        <v>40</v>
      </c>
      <c r="E2196" s="1" t="str">
        <f ca="1">IFERROR(__xludf.DUMMYFUNCTION("""COMPUTED_VALUE"""),"Lakeshore Lightning Hockey")</f>
        <v>Lakeshore Lightning Hockey</v>
      </c>
      <c r="F2196" s="87" t="str">
        <f t="shared" ca="1" si="0"/>
        <v>2023</v>
      </c>
      <c r="H2196" s="26" t="str">
        <f t="shared" si="1"/>
        <v/>
      </c>
      <c r="I2196" s="26" t="str">
        <f t="shared" si="2"/>
        <v/>
      </c>
      <c r="J2196" s="86">
        <f t="shared" ca="1" si="3"/>
        <v>45227</v>
      </c>
      <c r="R2196" s="26"/>
    </row>
    <row r="2197" spans="1:18" ht="15.75" customHeight="1">
      <c r="A2197" s="26">
        <f ca="1">IFERROR(__xludf.DUMMYFUNCTION("""COMPUTED_VALUE"""),21034)</f>
        <v>21034</v>
      </c>
      <c r="B2197" s="86">
        <f ca="1">IFERROR(__xludf.DUMMYFUNCTION("""COMPUTED_VALUE"""),45227.6621412037)</f>
        <v>45227.662141203698</v>
      </c>
      <c r="C2197" s="1" t="str">
        <f ca="1">IFERROR(__xludf.DUMMYFUNCTION("""COMPUTED_VALUE"""),"completed")</f>
        <v>completed</v>
      </c>
      <c r="D2197" s="26">
        <f ca="1">IFERROR(__xludf.DUMMYFUNCTION("""COMPUTED_VALUE"""),18)</f>
        <v>18</v>
      </c>
      <c r="E2197" s="1" t="str">
        <f ca="1">IFERROR(__xludf.DUMMYFUNCTION("""COMPUTED_VALUE"""),"Lakeshore Lightning Hockey")</f>
        <v>Lakeshore Lightning Hockey</v>
      </c>
      <c r="F2197" s="87" t="str">
        <f t="shared" ca="1" si="0"/>
        <v>2023</v>
      </c>
      <c r="H2197" s="26" t="str">
        <f t="shared" si="1"/>
        <v/>
      </c>
      <c r="I2197" s="26" t="str">
        <f t="shared" si="2"/>
        <v/>
      </c>
      <c r="J2197" s="86">
        <f t="shared" ca="1" si="3"/>
        <v>45227</v>
      </c>
      <c r="R2197" s="26"/>
    </row>
    <row r="2198" spans="1:18" ht="15.75" customHeight="1">
      <c r="A2198" s="26">
        <f ca="1">IFERROR(__xludf.DUMMYFUNCTION("""COMPUTED_VALUE"""),21036)</f>
        <v>21036</v>
      </c>
      <c r="B2198" s="86">
        <f ca="1">IFERROR(__xludf.DUMMYFUNCTION("""COMPUTED_VALUE"""),45227.7331481481)</f>
        <v>45227.733148148101</v>
      </c>
      <c r="C2198" s="1" t="str">
        <f ca="1">IFERROR(__xludf.DUMMYFUNCTION("""COMPUTED_VALUE"""),"completed")</f>
        <v>completed</v>
      </c>
      <c r="D2198" s="26">
        <f ca="1">IFERROR(__xludf.DUMMYFUNCTION("""COMPUTED_VALUE"""),22)</f>
        <v>22</v>
      </c>
      <c r="E2198" s="1" t="str">
        <f ca="1">IFERROR(__xludf.DUMMYFUNCTION("""COMPUTED_VALUE"""),"Lakeshore Lightning Hockey")</f>
        <v>Lakeshore Lightning Hockey</v>
      </c>
      <c r="F2198" s="87" t="str">
        <f t="shared" ca="1" si="0"/>
        <v>2023</v>
      </c>
      <c r="H2198" s="26" t="str">
        <f t="shared" si="1"/>
        <v/>
      </c>
      <c r="I2198" s="26" t="str">
        <f t="shared" si="2"/>
        <v/>
      </c>
      <c r="J2198" s="86">
        <f t="shared" ca="1" si="3"/>
        <v>45227</v>
      </c>
      <c r="R2198" s="26"/>
    </row>
    <row r="2199" spans="1:18" ht="15.75" customHeight="1">
      <c r="A2199" s="26">
        <f ca="1">IFERROR(__xludf.DUMMYFUNCTION("""COMPUTED_VALUE"""),21037)</f>
        <v>21037</v>
      </c>
      <c r="B2199" s="86">
        <f ca="1">IFERROR(__xludf.DUMMYFUNCTION("""COMPUTED_VALUE"""),45227.7461921296)</f>
        <v>45227.746192129598</v>
      </c>
      <c r="C2199" s="1" t="str">
        <f ca="1">IFERROR(__xludf.DUMMYFUNCTION("""COMPUTED_VALUE"""),"completed")</f>
        <v>completed</v>
      </c>
      <c r="D2199" s="26">
        <f ca="1">IFERROR(__xludf.DUMMYFUNCTION("""COMPUTED_VALUE"""),15)</f>
        <v>15</v>
      </c>
      <c r="E2199" s="1" t="str">
        <f ca="1">IFERROR(__xludf.DUMMYFUNCTION("""COMPUTED_VALUE"""),"Lakeshore Lightning Hockey")</f>
        <v>Lakeshore Lightning Hockey</v>
      </c>
      <c r="F2199" s="87" t="str">
        <f t="shared" ca="1" si="0"/>
        <v>2023</v>
      </c>
      <c r="H2199" s="26" t="str">
        <f t="shared" si="1"/>
        <v/>
      </c>
      <c r="I2199" s="26" t="str">
        <f t="shared" si="2"/>
        <v/>
      </c>
      <c r="J2199" s="86">
        <f t="shared" ca="1" si="3"/>
        <v>45227</v>
      </c>
      <c r="R2199" s="26"/>
    </row>
    <row r="2200" spans="1:18" ht="15.75" customHeight="1">
      <c r="A2200" s="26">
        <f ca="1">IFERROR(__xludf.DUMMYFUNCTION("""COMPUTED_VALUE"""),21038)</f>
        <v>21038</v>
      </c>
      <c r="B2200" s="86">
        <f ca="1">IFERROR(__xludf.DUMMYFUNCTION("""COMPUTED_VALUE"""),45227.7665509259)</f>
        <v>45227.766550925902</v>
      </c>
      <c r="C2200" s="1" t="str">
        <f ca="1">IFERROR(__xludf.DUMMYFUNCTION("""COMPUTED_VALUE"""),"completed")</f>
        <v>completed</v>
      </c>
      <c r="D2200" s="26">
        <f ca="1">IFERROR(__xludf.DUMMYFUNCTION("""COMPUTED_VALUE"""),35)</f>
        <v>35</v>
      </c>
      <c r="E2200" s="1" t="str">
        <f ca="1">IFERROR(__xludf.DUMMYFUNCTION("""COMPUTED_VALUE"""),"WMFA")</f>
        <v>WMFA</v>
      </c>
      <c r="F2200" s="87" t="str">
        <f t="shared" ca="1" si="0"/>
        <v>2023</v>
      </c>
      <c r="H2200" s="26" t="str">
        <f t="shared" si="1"/>
        <v/>
      </c>
      <c r="I2200" s="26" t="str">
        <f t="shared" si="2"/>
        <v/>
      </c>
      <c r="J2200" s="86">
        <f t="shared" ca="1" si="3"/>
        <v>45227</v>
      </c>
      <c r="R2200" s="26"/>
    </row>
    <row r="2201" spans="1:18" ht="15.75" customHeight="1">
      <c r="A2201" s="26">
        <f ca="1">IFERROR(__xludf.DUMMYFUNCTION("""COMPUTED_VALUE"""),21044)</f>
        <v>21044</v>
      </c>
      <c r="B2201" s="86">
        <f ca="1">IFERROR(__xludf.DUMMYFUNCTION("""COMPUTED_VALUE"""),45227.8895601851)</f>
        <v>45227.889560185104</v>
      </c>
      <c r="C2201" s="1" t="str">
        <f ca="1">IFERROR(__xludf.DUMMYFUNCTION("""COMPUTED_VALUE"""),"completed")</f>
        <v>completed</v>
      </c>
      <c r="D2201" s="26">
        <f ca="1">IFERROR(__xludf.DUMMYFUNCTION("""COMPUTED_VALUE"""),28)</f>
        <v>28</v>
      </c>
      <c r="E2201" s="1" t="str">
        <f ca="1">IFERROR(__xludf.DUMMYFUNCTION("""COMPUTED_VALUE"""),"Lakeshore Lightning Hockey")</f>
        <v>Lakeshore Lightning Hockey</v>
      </c>
      <c r="F2201" s="87" t="str">
        <f t="shared" ca="1" si="0"/>
        <v>2023</v>
      </c>
      <c r="H2201" s="26" t="str">
        <f t="shared" si="1"/>
        <v/>
      </c>
      <c r="I2201" s="26" t="str">
        <f t="shared" si="2"/>
        <v/>
      </c>
      <c r="J2201" s="86">
        <f t="shared" ca="1" si="3"/>
        <v>45227</v>
      </c>
      <c r="R2201" s="26"/>
    </row>
    <row r="2202" spans="1:18" ht="15.75" customHeight="1">
      <c r="A2202" s="26">
        <f ca="1">IFERROR(__xludf.DUMMYFUNCTION("""COMPUTED_VALUE"""),21045)</f>
        <v>21045</v>
      </c>
      <c r="B2202" s="86">
        <f ca="1">IFERROR(__xludf.DUMMYFUNCTION("""COMPUTED_VALUE"""),45228.0198611111)</f>
        <v>45228.019861111097</v>
      </c>
      <c r="C2202" s="1" t="str">
        <f ca="1">IFERROR(__xludf.DUMMYFUNCTION("""COMPUTED_VALUE"""),"completed")</f>
        <v>completed</v>
      </c>
      <c r="D2202" s="26">
        <f ca="1">IFERROR(__xludf.DUMMYFUNCTION("""COMPUTED_VALUE"""),26)</f>
        <v>26</v>
      </c>
      <c r="E2202" s="1" t="str">
        <f ca="1">IFERROR(__xludf.DUMMYFUNCTION("""COMPUTED_VALUE"""),"Lakeshore Lightning Hockey")</f>
        <v>Lakeshore Lightning Hockey</v>
      </c>
      <c r="F2202" s="87" t="str">
        <f t="shared" ca="1" si="0"/>
        <v>2023</v>
      </c>
      <c r="H2202" s="26" t="str">
        <f t="shared" si="1"/>
        <v/>
      </c>
      <c r="I2202" s="26" t="str">
        <f t="shared" si="2"/>
        <v/>
      </c>
      <c r="J2202" s="86">
        <f t="shared" ca="1" si="3"/>
        <v>45228</v>
      </c>
      <c r="R2202" s="26"/>
    </row>
    <row r="2203" spans="1:18" ht="15.75" customHeight="1">
      <c r="A2203" s="26">
        <f ca="1">IFERROR(__xludf.DUMMYFUNCTION("""COMPUTED_VALUE"""),21046)</f>
        <v>21046</v>
      </c>
      <c r="B2203" s="86">
        <f ca="1">IFERROR(__xludf.DUMMYFUNCTION("""COMPUTED_VALUE"""),45228.6186805555)</f>
        <v>45228.618680555497</v>
      </c>
      <c r="C2203" s="1" t="str">
        <f ca="1">IFERROR(__xludf.DUMMYFUNCTION("""COMPUTED_VALUE"""),"completed")</f>
        <v>completed</v>
      </c>
      <c r="D2203" s="26">
        <f ca="1">IFERROR(__xludf.DUMMYFUNCTION("""COMPUTED_VALUE"""),43)</f>
        <v>43</v>
      </c>
      <c r="E2203" s="1" t="str">
        <f ca="1">IFERROR(__xludf.DUMMYFUNCTION("""COMPUTED_VALUE"""),"W.M.H.A")</f>
        <v>W.M.H.A</v>
      </c>
      <c r="F2203" s="87" t="str">
        <f t="shared" ca="1" si="0"/>
        <v>2023</v>
      </c>
      <c r="H2203" s="26" t="str">
        <f t="shared" si="1"/>
        <v/>
      </c>
      <c r="I2203" s="26" t="str">
        <f t="shared" si="2"/>
        <v/>
      </c>
      <c r="J2203" s="86">
        <f t="shared" ca="1" si="3"/>
        <v>45228</v>
      </c>
      <c r="R2203" s="26"/>
    </row>
    <row r="2204" spans="1:18" ht="15.75" customHeight="1">
      <c r="A2204" s="26">
        <f ca="1">IFERROR(__xludf.DUMMYFUNCTION("""COMPUTED_VALUE"""),21051)</f>
        <v>21051</v>
      </c>
      <c r="B2204" s="86">
        <f ca="1">IFERROR(__xludf.DUMMYFUNCTION("""COMPUTED_VALUE"""),45228.7335069444)</f>
        <v>45228.733506944402</v>
      </c>
      <c r="C2204" s="1" t="str">
        <f ca="1">IFERROR(__xludf.DUMMYFUNCTION("""COMPUTED_VALUE"""),"completed")</f>
        <v>completed</v>
      </c>
      <c r="D2204" s="26">
        <f ca="1">IFERROR(__xludf.DUMMYFUNCTION("""COMPUTED_VALUE"""),25)</f>
        <v>25</v>
      </c>
      <c r="E2204" s="1" t="str">
        <f ca="1">IFERROR(__xludf.DUMMYFUNCTION("""COMPUTED_VALUE"""),"Lakeshore Lightning Hockey")</f>
        <v>Lakeshore Lightning Hockey</v>
      </c>
      <c r="F2204" s="87" t="str">
        <f t="shared" ca="1" si="0"/>
        <v>2023</v>
      </c>
      <c r="H2204" s="26" t="str">
        <f t="shared" si="1"/>
        <v/>
      </c>
      <c r="I2204" s="26" t="str">
        <f t="shared" si="2"/>
        <v/>
      </c>
      <c r="J2204" s="86">
        <f t="shared" ca="1" si="3"/>
        <v>45228</v>
      </c>
      <c r="R2204" s="26"/>
    </row>
    <row r="2205" spans="1:18" ht="15.75" customHeight="1">
      <c r="A2205" s="26">
        <f ca="1">IFERROR(__xludf.DUMMYFUNCTION("""COMPUTED_VALUE"""),21050)</f>
        <v>21050</v>
      </c>
      <c r="B2205" s="86">
        <f ca="1">IFERROR(__xludf.DUMMYFUNCTION("""COMPUTED_VALUE"""),45228.730787037)</f>
        <v>45228.730787036999</v>
      </c>
      <c r="C2205" s="1" t="str">
        <f ca="1">IFERROR(__xludf.DUMMYFUNCTION("""COMPUTED_VALUE"""),"completed")</f>
        <v>completed</v>
      </c>
      <c r="D2205" s="26">
        <f ca="1">IFERROR(__xludf.DUMMYFUNCTION("""COMPUTED_VALUE"""),25)</f>
        <v>25</v>
      </c>
      <c r="E2205" s="1" t="str">
        <f ca="1">IFERROR(__xludf.DUMMYFUNCTION("""COMPUTED_VALUE"""),"Lakeshore Lightning Hockey")</f>
        <v>Lakeshore Lightning Hockey</v>
      </c>
      <c r="F2205" s="87" t="str">
        <f t="shared" ca="1" si="0"/>
        <v>2023</v>
      </c>
      <c r="H2205" s="26" t="str">
        <f t="shared" si="1"/>
        <v/>
      </c>
      <c r="I2205" s="26" t="str">
        <f t="shared" si="2"/>
        <v/>
      </c>
      <c r="J2205" s="86">
        <f t="shared" ca="1" si="3"/>
        <v>45228</v>
      </c>
      <c r="R2205" s="26"/>
    </row>
    <row r="2206" spans="1:18" ht="15.75" customHeight="1">
      <c r="A2206" s="26">
        <f ca="1">IFERROR(__xludf.DUMMYFUNCTION("""COMPUTED_VALUE"""),21052)</f>
        <v>21052</v>
      </c>
      <c r="B2206" s="86">
        <f ca="1">IFERROR(__xludf.DUMMYFUNCTION("""COMPUTED_VALUE"""),45228.7472453703)</f>
        <v>45228.747245370301</v>
      </c>
      <c r="C2206" s="1" t="str">
        <f ca="1">IFERROR(__xludf.DUMMYFUNCTION("""COMPUTED_VALUE"""),"completed")</f>
        <v>completed</v>
      </c>
      <c r="D2206" s="26">
        <f ca="1">IFERROR(__xludf.DUMMYFUNCTION("""COMPUTED_VALUE"""),25)</f>
        <v>25</v>
      </c>
      <c r="E2206" s="1" t="str">
        <f ca="1">IFERROR(__xludf.DUMMYFUNCTION("""COMPUTED_VALUE"""),"W.M.H.A")</f>
        <v>W.M.H.A</v>
      </c>
      <c r="F2206" s="87" t="str">
        <f t="shared" ca="1" si="0"/>
        <v>2023</v>
      </c>
      <c r="H2206" s="26" t="str">
        <f t="shared" si="1"/>
        <v/>
      </c>
      <c r="I2206" s="26" t="str">
        <f t="shared" si="2"/>
        <v/>
      </c>
      <c r="J2206" s="86">
        <f t="shared" ca="1" si="3"/>
        <v>45228</v>
      </c>
      <c r="R2206" s="26"/>
    </row>
    <row r="2207" spans="1:18" ht="15.75" customHeight="1">
      <c r="A2207" s="26">
        <f ca="1">IFERROR(__xludf.DUMMYFUNCTION("""COMPUTED_VALUE"""),21053)</f>
        <v>21053</v>
      </c>
      <c r="B2207" s="86">
        <f ca="1">IFERROR(__xludf.DUMMYFUNCTION("""COMPUTED_VALUE"""),45228.7519675925)</f>
        <v>45228.7519675925</v>
      </c>
      <c r="C2207" s="1" t="str">
        <f ca="1">IFERROR(__xludf.DUMMYFUNCTION("""COMPUTED_VALUE"""),"completed")</f>
        <v>completed</v>
      </c>
      <c r="D2207" s="26">
        <f ca="1">IFERROR(__xludf.DUMMYFUNCTION("""COMPUTED_VALUE"""),45)</f>
        <v>45</v>
      </c>
      <c r="E2207" s="1" t="str">
        <f ca="1">IFERROR(__xludf.DUMMYFUNCTION("""COMPUTED_VALUE"""),"Lakeshore Lightning Hockey")</f>
        <v>Lakeshore Lightning Hockey</v>
      </c>
      <c r="F2207" s="87" t="str">
        <f t="shared" ca="1" si="0"/>
        <v>2023</v>
      </c>
      <c r="H2207" s="26" t="str">
        <f t="shared" si="1"/>
        <v/>
      </c>
      <c r="I2207" s="26" t="str">
        <f t="shared" si="2"/>
        <v/>
      </c>
      <c r="J2207" s="86">
        <f t="shared" ca="1" si="3"/>
        <v>45228</v>
      </c>
      <c r="R2207" s="26"/>
    </row>
    <row r="2208" spans="1:18" ht="15.75" customHeight="1">
      <c r="A2208" s="26">
        <f ca="1">IFERROR(__xludf.DUMMYFUNCTION("""COMPUTED_VALUE"""),21054)</f>
        <v>21054</v>
      </c>
      <c r="B2208" s="86">
        <f ca="1">IFERROR(__xludf.DUMMYFUNCTION("""COMPUTED_VALUE"""),45228.7688425925)</f>
        <v>45228.768842592501</v>
      </c>
      <c r="C2208" s="1" t="str">
        <f ca="1">IFERROR(__xludf.DUMMYFUNCTION("""COMPUTED_VALUE"""),"completed")</f>
        <v>completed</v>
      </c>
      <c r="D2208" s="26">
        <f ca="1">IFERROR(__xludf.DUMMYFUNCTION("""COMPUTED_VALUE"""),25)</f>
        <v>25</v>
      </c>
      <c r="E2208" s="1" t="str">
        <f ca="1">IFERROR(__xludf.DUMMYFUNCTION("""COMPUTED_VALUE"""),"W.M.H.A")</f>
        <v>W.M.H.A</v>
      </c>
      <c r="F2208" s="87" t="str">
        <f t="shared" ca="1" si="0"/>
        <v>2023</v>
      </c>
      <c r="H2208" s="26" t="str">
        <f t="shared" si="1"/>
        <v/>
      </c>
      <c r="I2208" s="26" t="str">
        <f t="shared" si="2"/>
        <v/>
      </c>
      <c r="J2208" s="86">
        <f t="shared" ca="1" si="3"/>
        <v>45228</v>
      </c>
      <c r="R2208" s="26"/>
    </row>
    <row r="2209" spans="1:18" ht="15.75" customHeight="1">
      <c r="A2209" s="26">
        <f ca="1">IFERROR(__xludf.DUMMYFUNCTION("""COMPUTED_VALUE"""),21055)</f>
        <v>21055</v>
      </c>
      <c r="B2209" s="86">
        <f ca="1">IFERROR(__xludf.DUMMYFUNCTION("""COMPUTED_VALUE"""),45228.8282754629)</f>
        <v>45228.828275462904</v>
      </c>
      <c r="C2209" s="1" t="str">
        <f ca="1">IFERROR(__xludf.DUMMYFUNCTION("""COMPUTED_VALUE"""),"completed")</f>
        <v>completed</v>
      </c>
      <c r="D2209" s="26">
        <f ca="1">IFERROR(__xludf.DUMMYFUNCTION("""COMPUTED_VALUE"""),26)</f>
        <v>26</v>
      </c>
      <c r="E2209" s="1" t="str">
        <f ca="1">IFERROR(__xludf.DUMMYFUNCTION("""COMPUTED_VALUE"""),"Lakeshore Lightning Hockey")</f>
        <v>Lakeshore Lightning Hockey</v>
      </c>
      <c r="F2209" s="87" t="str">
        <f t="shared" ca="1" si="0"/>
        <v>2023</v>
      </c>
      <c r="H2209" s="26" t="str">
        <f t="shared" si="1"/>
        <v/>
      </c>
      <c r="I2209" s="26" t="str">
        <f t="shared" si="2"/>
        <v/>
      </c>
      <c r="J2209" s="86">
        <f t="shared" ca="1" si="3"/>
        <v>45228</v>
      </c>
      <c r="R2209" s="26"/>
    </row>
    <row r="2210" spans="1:18" ht="15.75" customHeight="1">
      <c r="A2210" s="26">
        <f ca="1">IFERROR(__xludf.DUMMYFUNCTION("""COMPUTED_VALUE"""),21056)</f>
        <v>21056</v>
      </c>
      <c r="B2210" s="86">
        <f ca="1">IFERROR(__xludf.DUMMYFUNCTION("""COMPUTED_VALUE"""),45228.951875)</f>
        <v>45228.951874999999</v>
      </c>
      <c r="C2210" s="1" t="str">
        <f ca="1">IFERROR(__xludf.DUMMYFUNCTION("""COMPUTED_VALUE"""),"completed")</f>
        <v>completed</v>
      </c>
      <c r="D2210" s="26">
        <f ca="1">IFERROR(__xludf.DUMMYFUNCTION("""COMPUTED_VALUE"""),37)</f>
        <v>37</v>
      </c>
      <c r="E2210" s="1" t="str">
        <f ca="1">IFERROR(__xludf.DUMMYFUNCTION("""COMPUTED_VALUE"""),"W.M.H.A")</f>
        <v>W.M.H.A</v>
      </c>
      <c r="F2210" s="87" t="str">
        <f t="shared" ca="1" si="0"/>
        <v>2023</v>
      </c>
      <c r="H2210" s="26" t="str">
        <f t="shared" si="1"/>
        <v/>
      </c>
      <c r="I2210" s="26" t="str">
        <f t="shared" si="2"/>
        <v/>
      </c>
      <c r="J2210" s="86">
        <f t="shared" ca="1" si="3"/>
        <v>45228</v>
      </c>
      <c r="R2210" s="26"/>
    </row>
    <row r="2211" spans="1:18" ht="15.75" customHeight="1">
      <c r="A2211" s="26">
        <f ca="1">IFERROR(__xludf.DUMMYFUNCTION("""COMPUTED_VALUE"""),21057)</f>
        <v>21057</v>
      </c>
      <c r="B2211" s="86">
        <f ca="1">IFERROR(__xludf.DUMMYFUNCTION("""COMPUTED_VALUE"""),45228.9846412037)</f>
        <v>45228.9846412037</v>
      </c>
      <c r="C2211" s="1" t="str">
        <f ca="1">IFERROR(__xludf.DUMMYFUNCTION("""COMPUTED_VALUE"""),"completed")</f>
        <v>completed</v>
      </c>
      <c r="D2211" s="26">
        <f ca="1">IFERROR(__xludf.DUMMYFUNCTION("""COMPUTED_VALUE"""),22)</f>
        <v>22</v>
      </c>
      <c r="E2211" s="1" t="str">
        <f ca="1">IFERROR(__xludf.DUMMYFUNCTION("""COMPUTED_VALUE"""),"WMFA")</f>
        <v>WMFA</v>
      </c>
      <c r="F2211" s="87" t="str">
        <f t="shared" ca="1" si="0"/>
        <v>2023</v>
      </c>
      <c r="H2211" s="26" t="str">
        <f t="shared" si="1"/>
        <v/>
      </c>
      <c r="I2211" s="26" t="str">
        <f t="shared" si="2"/>
        <v/>
      </c>
      <c r="J2211" s="86">
        <f t="shared" ca="1" si="3"/>
        <v>45228</v>
      </c>
      <c r="R2211" s="26"/>
    </row>
    <row r="2212" spans="1:18" ht="15.75" customHeight="1">
      <c r="A2212" s="26">
        <f ca="1">IFERROR(__xludf.DUMMYFUNCTION("""COMPUTED_VALUE"""),21058)</f>
        <v>21058</v>
      </c>
      <c r="B2212" s="86">
        <f ca="1">IFERROR(__xludf.DUMMYFUNCTION("""COMPUTED_VALUE"""),45229.1285069444)</f>
        <v>45229.128506944398</v>
      </c>
      <c r="C2212" s="1" t="str">
        <f ca="1">IFERROR(__xludf.DUMMYFUNCTION("""COMPUTED_VALUE"""),"completed")</f>
        <v>completed</v>
      </c>
      <c r="D2212" s="26">
        <f ca="1">IFERROR(__xludf.DUMMYFUNCTION("""COMPUTED_VALUE"""),25)</f>
        <v>25</v>
      </c>
      <c r="E2212" s="1" t="str">
        <f ca="1">IFERROR(__xludf.DUMMYFUNCTION("""COMPUTED_VALUE"""),"Lakeshore Lightning Hockey")</f>
        <v>Lakeshore Lightning Hockey</v>
      </c>
      <c r="F2212" s="87" t="str">
        <f t="shared" ca="1" si="0"/>
        <v>2023</v>
      </c>
      <c r="H2212" s="26" t="str">
        <f t="shared" si="1"/>
        <v/>
      </c>
      <c r="I2212" s="26" t="str">
        <f t="shared" si="2"/>
        <v/>
      </c>
      <c r="J2212" s="86">
        <f t="shared" ca="1" si="3"/>
        <v>45229</v>
      </c>
      <c r="R2212" s="26"/>
    </row>
    <row r="2213" spans="1:18" ht="15.75" customHeight="1">
      <c r="A2213" s="26">
        <f ca="1">IFERROR(__xludf.DUMMYFUNCTION("""COMPUTED_VALUE"""),21060)</f>
        <v>21060</v>
      </c>
      <c r="B2213" s="86">
        <f ca="1">IFERROR(__xludf.DUMMYFUNCTION("""COMPUTED_VALUE"""),45229.5728703703)</f>
        <v>45229.572870370299</v>
      </c>
      <c r="C2213" s="1" t="str">
        <f ca="1">IFERROR(__xludf.DUMMYFUNCTION("""COMPUTED_VALUE"""),"completed")</f>
        <v>completed</v>
      </c>
      <c r="D2213" s="26">
        <f ca="1">IFERROR(__xludf.DUMMYFUNCTION("""COMPUTED_VALUE"""),26)</f>
        <v>26</v>
      </c>
      <c r="E2213" s="1" t="str">
        <f ca="1">IFERROR(__xludf.DUMMYFUNCTION("""COMPUTED_VALUE"""),"W.M.H.A")</f>
        <v>W.M.H.A</v>
      </c>
      <c r="F2213" s="87" t="str">
        <f t="shared" ca="1" si="0"/>
        <v>2023</v>
      </c>
      <c r="H2213" s="26" t="str">
        <f t="shared" si="1"/>
        <v/>
      </c>
      <c r="I2213" s="26" t="str">
        <f t="shared" si="2"/>
        <v/>
      </c>
      <c r="J2213" s="86">
        <f t="shared" ca="1" si="3"/>
        <v>45229</v>
      </c>
      <c r="R2213" s="26"/>
    </row>
    <row r="2214" spans="1:18" ht="15.75" customHeight="1">
      <c r="A2214" s="26">
        <f ca="1">IFERROR(__xludf.DUMMYFUNCTION("""COMPUTED_VALUE"""),21059)</f>
        <v>21059</v>
      </c>
      <c r="B2214" s="86">
        <f ca="1">IFERROR(__xludf.DUMMYFUNCTION("""COMPUTED_VALUE"""),45229.5705555555)</f>
        <v>45229.570555555503</v>
      </c>
      <c r="C2214" s="1" t="str">
        <f ca="1">IFERROR(__xludf.DUMMYFUNCTION("""COMPUTED_VALUE"""),"completed")</f>
        <v>completed</v>
      </c>
      <c r="D2214" s="26">
        <f ca="1">IFERROR(__xludf.DUMMYFUNCTION("""COMPUTED_VALUE"""),25)</f>
        <v>25</v>
      </c>
      <c r="E2214" s="1" t="str">
        <f ca="1">IFERROR(__xludf.DUMMYFUNCTION("""COMPUTED_VALUE"""),"South Point Stars")</f>
        <v>South Point Stars</v>
      </c>
      <c r="F2214" s="87" t="str">
        <f t="shared" ca="1" si="0"/>
        <v>2023</v>
      </c>
      <c r="H2214" s="26" t="str">
        <f t="shared" si="1"/>
        <v/>
      </c>
      <c r="I2214" s="26" t="str">
        <f t="shared" si="2"/>
        <v/>
      </c>
      <c r="J2214" s="86">
        <f t="shared" ca="1" si="3"/>
        <v>45229</v>
      </c>
      <c r="R2214" s="26"/>
    </row>
    <row r="2215" spans="1:18" ht="15.75" customHeight="1">
      <c r="A2215" s="26">
        <f ca="1">IFERROR(__xludf.DUMMYFUNCTION("""COMPUTED_VALUE"""),21062)</f>
        <v>21062</v>
      </c>
      <c r="B2215" s="86">
        <f ca="1">IFERROR(__xludf.DUMMYFUNCTION("""COMPUTED_VALUE"""),45229.5809027777)</f>
        <v>45229.5809027777</v>
      </c>
      <c r="C2215" s="1" t="str">
        <f ca="1">IFERROR(__xludf.DUMMYFUNCTION("""COMPUTED_VALUE"""),"completed")</f>
        <v>completed</v>
      </c>
      <c r="D2215" s="26">
        <f ca="1">IFERROR(__xludf.DUMMYFUNCTION("""COMPUTED_VALUE"""),35)</f>
        <v>35</v>
      </c>
      <c r="E2215" s="1" t="str">
        <f ca="1">IFERROR(__xludf.DUMMYFUNCTION("""COMPUTED_VALUE"""),"Lakeshore Lightning Hockey")</f>
        <v>Lakeshore Lightning Hockey</v>
      </c>
      <c r="F2215" s="87" t="str">
        <f t="shared" ca="1" si="0"/>
        <v>2023</v>
      </c>
      <c r="H2215" s="26" t="str">
        <f t="shared" si="1"/>
        <v/>
      </c>
      <c r="I2215" s="26" t="str">
        <f t="shared" si="2"/>
        <v/>
      </c>
      <c r="J2215" s="86">
        <f t="shared" ca="1" si="3"/>
        <v>45229</v>
      </c>
      <c r="R2215" s="26"/>
    </row>
    <row r="2216" spans="1:18" ht="15.75" customHeight="1">
      <c r="A2216" s="26">
        <f ca="1">IFERROR(__xludf.DUMMYFUNCTION("""COMPUTED_VALUE"""),21061)</f>
        <v>21061</v>
      </c>
      <c r="B2216" s="86">
        <f ca="1">IFERROR(__xludf.DUMMYFUNCTION("""COMPUTED_VALUE"""),45229.5767824074)</f>
        <v>45229.576782407399</v>
      </c>
      <c r="C2216" s="1" t="str">
        <f ca="1">IFERROR(__xludf.DUMMYFUNCTION("""COMPUTED_VALUE"""),"completed")</f>
        <v>completed</v>
      </c>
      <c r="D2216" s="26">
        <f ca="1">IFERROR(__xludf.DUMMYFUNCTION("""COMPUTED_VALUE"""),0)</f>
        <v>0</v>
      </c>
      <c r="E2216" s="1" t="str">
        <f ca="1">IFERROR(__xludf.DUMMYFUNCTION("""COMPUTED_VALUE"""),"W.M.H.A")</f>
        <v>W.M.H.A</v>
      </c>
      <c r="F2216" s="87" t="str">
        <f t="shared" ca="1" si="0"/>
        <v>2023</v>
      </c>
      <c r="H2216" s="26" t="str">
        <f t="shared" si="1"/>
        <v/>
      </c>
      <c r="I2216" s="26" t="str">
        <f t="shared" si="2"/>
        <v/>
      </c>
      <c r="J2216" s="86">
        <f t="shared" ca="1" si="3"/>
        <v>45229</v>
      </c>
      <c r="R2216" s="26"/>
    </row>
    <row r="2217" spans="1:18" ht="15.75" customHeight="1">
      <c r="A2217" s="26">
        <f ca="1">IFERROR(__xludf.DUMMYFUNCTION("""COMPUTED_VALUE"""),21063)</f>
        <v>21063</v>
      </c>
      <c r="B2217" s="86">
        <f ca="1">IFERROR(__xludf.DUMMYFUNCTION("""COMPUTED_VALUE"""),45229.6368981481)</f>
        <v>45229.636898148099</v>
      </c>
      <c r="C2217" s="1" t="str">
        <f ca="1">IFERROR(__xludf.DUMMYFUNCTION("""COMPUTED_VALUE"""),"completed")</f>
        <v>completed</v>
      </c>
      <c r="D2217" s="26">
        <f ca="1">IFERROR(__xludf.DUMMYFUNCTION("""COMPUTED_VALUE"""),51)</f>
        <v>51</v>
      </c>
      <c r="E2217" s="1" t="str">
        <f ca="1">IFERROR(__xludf.DUMMYFUNCTION("""COMPUTED_VALUE"""),"Lakeshore Lightning Hockey")</f>
        <v>Lakeshore Lightning Hockey</v>
      </c>
      <c r="F2217" s="87" t="str">
        <f t="shared" ca="1" si="0"/>
        <v>2023</v>
      </c>
      <c r="H2217" s="26" t="str">
        <f t="shared" si="1"/>
        <v/>
      </c>
      <c r="I2217" s="26" t="str">
        <f t="shared" si="2"/>
        <v/>
      </c>
      <c r="J2217" s="86">
        <f t="shared" ca="1" si="3"/>
        <v>45229</v>
      </c>
      <c r="R2217" s="26"/>
    </row>
    <row r="2218" spans="1:18" ht="15.75" customHeight="1">
      <c r="A2218" s="26">
        <f ca="1">IFERROR(__xludf.DUMMYFUNCTION("""COMPUTED_VALUE"""),21064)</f>
        <v>21064</v>
      </c>
      <c r="B2218" s="86">
        <f ca="1">IFERROR(__xludf.DUMMYFUNCTION("""COMPUTED_VALUE"""),45229.6434606481)</f>
        <v>45229.643460648098</v>
      </c>
      <c r="C2218" s="1" t="str">
        <f ca="1">IFERROR(__xludf.DUMMYFUNCTION("""COMPUTED_VALUE"""),"completed")</f>
        <v>completed</v>
      </c>
      <c r="D2218" s="26">
        <f ca="1">IFERROR(__xludf.DUMMYFUNCTION("""COMPUTED_VALUE"""),43)</f>
        <v>43</v>
      </c>
      <c r="E2218" s="1" t="str">
        <f ca="1">IFERROR(__xludf.DUMMYFUNCTION("""COMPUTED_VALUE"""),"W.M.H.A")</f>
        <v>W.M.H.A</v>
      </c>
      <c r="F2218" s="87" t="str">
        <f t="shared" ca="1" si="0"/>
        <v>2023</v>
      </c>
      <c r="H2218" s="26" t="str">
        <f t="shared" si="1"/>
        <v/>
      </c>
      <c r="I2218" s="26" t="str">
        <f t="shared" si="2"/>
        <v/>
      </c>
      <c r="J2218" s="86">
        <f t="shared" ca="1" si="3"/>
        <v>45229</v>
      </c>
      <c r="R2218" s="26"/>
    </row>
    <row r="2219" spans="1:18" ht="15.75" customHeight="1">
      <c r="A2219" s="26">
        <f ca="1">IFERROR(__xludf.DUMMYFUNCTION("""COMPUTED_VALUE"""),21065)</f>
        <v>21065</v>
      </c>
      <c r="B2219" s="86">
        <f ca="1">IFERROR(__xludf.DUMMYFUNCTION("""COMPUTED_VALUE"""),45229.6620949074)</f>
        <v>45229.662094907399</v>
      </c>
      <c r="C2219" s="1" t="str">
        <f ca="1">IFERROR(__xludf.DUMMYFUNCTION("""COMPUTED_VALUE"""),"completed")</f>
        <v>completed</v>
      </c>
      <c r="D2219" s="26">
        <f ca="1">IFERROR(__xludf.DUMMYFUNCTION("""COMPUTED_VALUE"""),26)</f>
        <v>26</v>
      </c>
      <c r="E2219" s="1" t="str">
        <f ca="1">IFERROR(__xludf.DUMMYFUNCTION("""COMPUTED_VALUE"""),"Lakeshore Lightning Hockey")</f>
        <v>Lakeshore Lightning Hockey</v>
      </c>
      <c r="F2219" s="87" t="str">
        <f t="shared" ca="1" si="0"/>
        <v>2023</v>
      </c>
      <c r="H2219" s="26" t="str">
        <f t="shared" si="1"/>
        <v/>
      </c>
      <c r="I2219" s="26" t="str">
        <f t="shared" si="2"/>
        <v/>
      </c>
      <c r="J2219" s="86">
        <f t="shared" ca="1" si="3"/>
        <v>45229</v>
      </c>
      <c r="R2219" s="26"/>
    </row>
    <row r="2220" spans="1:18" ht="15.75" customHeight="1">
      <c r="A2220" s="26">
        <f ca="1">IFERROR(__xludf.DUMMYFUNCTION("""COMPUTED_VALUE"""),21066)</f>
        <v>21066</v>
      </c>
      <c r="B2220" s="86">
        <f ca="1">IFERROR(__xludf.DUMMYFUNCTION("""COMPUTED_VALUE"""),45229.6917939814)</f>
        <v>45229.691793981401</v>
      </c>
      <c r="C2220" s="1" t="str">
        <f ca="1">IFERROR(__xludf.DUMMYFUNCTION("""COMPUTED_VALUE"""),"completed")</f>
        <v>completed</v>
      </c>
      <c r="D2220" s="26">
        <f ca="1">IFERROR(__xludf.DUMMYFUNCTION("""COMPUTED_VALUE"""),22)</f>
        <v>22</v>
      </c>
      <c r="E2220" s="1" t="str">
        <f ca="1">IFERROR(__xludf.DUMMYFUNCTION("""COMPUTED_VALUE"""),"Kingsville Soccer Association")</f>
        <v>Kingsville Soccer Association</v>
      </c>
      <c r="F2220" s="87" t="str">
        <f t="shared" ca="1" si="0"/>
        <v>2023</v>
      </c>
      <c r="H2220" s="26" t="str">
        <f t="shared" si="1"/>
        <v/>
      </c>
      <c r="I2220" s="26" t="str">
        <f t="shared" si="2"/>
        <v/>
      </c>
      <c r="J2220" s="86">
        <f t="shared" ca="1" si="3"/>
        <v>45229</v>
      </c>
      <c r="R2220" s="26"/>
    </row>
    <row r="2221" spans="1:18" ht="15.75" customHeight="1">
      <c r="A2221" s="26">
        <f ca="1">IFERROR(__xludf.DUMMYFUNCTION("""COMPUTED_VALUE"""),21068)</f>
        <v>21068</v>
      </c>
      <c r="B2221" s="86">
        <f ca="1">IFERROR(__xludf.DUMMYFUNCTION("""COMPUTED_VALUE"""),45229.8321412037)</f>
        <v>45229.832141203697</v>
      </c>
      <c r="C2221" s="1" t="str">
        <f ca="1">IFERROR(__xludf.DUMMYFUNCTION("""COMPUTED_VALUE"""),"completed")</f>
        <v>completed</v>
      </c>
      <c r="D2221" s="26">
        <f ca="1">IFERROR(__xludf.DUMMYFUNCTION("""COMPUTED_VALUE"""),15)</f>
        <v>15</v>
      </c>
      <c r="E2221" s="1" t="str">
        <f ca="1">IFERROR(__xludf.DUMMYFUNCTION("""COMPUTED_VALUE"""),"WMFA")</f>
        <v>WMFA</v>
      </c>
      <c r="F2221" s="87" t="str">
        <f t="shared" ca="1" si="0"/>
        <v>2023</v>
      </c>
      <c r="H2221" s="26" t="str">
        <f t="shared" si="1"/>
        <v/>
      </c>
      <c r="I2221" s="26" t="str">
        <f t="shared" si="2"/>
        <v/>
      </c>
      <c r="J2221" s="86">
        <f t="shared" ca="1" si="3"/>
        <v>45229</v>
      </c>
      <c r="R2221" s="26"/>
    </row>
    <row r="2222" spans="1:18" ht="15.75" customHeight="1">
      <c r="A2222" s="26">
        <f ca="1">IFERROR(__xludf.DUMMYFUNCTION("""COMPUTED_VALUE"""),21067)</f>
        <v>21067</v>
      </c>
      <c r="B2222" s="86">
        <f ca="1">IFERROR(__xludf.DUMMYFUNCTION("""COMPUTED_VALUE"""),45229.8292592592)</f>
        <v>45229.829259259197</v>
      </c>
      <c r="C2222" s="1" t="str">
        <f ca="1">IFERROR(__xludf.DUMMYFUNCTION("""COMPUTED_VALUE"""),"completed")</f>
        <v>completed</v>
      </c>
      <c r="D2222" s="26">
        <f ca="1">IFERROR(__xludf.DUMMYFUNCTION("""COMPUTED_VALUE"""),15)</f>
        <v>15</v>
      </c>
      <c r="E2222" s="1" t="str">
        <f ca="1">IFERROR(__xludf.DUMMYFUNCTION("""COMPUTED_VALUE"""),"WMFA")</f>
        <v>WMFA</v>
      </c>
      <c r="F2222" s="87" t="str">
        <f t="shared" ca="1" si="0"/>
        <v>2023</v>
      </c>
      <c r="H2222" s="26" t="str">
        <f t="shared" si="1"/>
        <v/>
      </c>
      <c r="I2222" s="26" t="str">
        <f t="shared" si="2"/>
        <v/>
      </c>
      <c r="J2222" s="86">
        <f t="shared" ca="1" si="3"/>
        <v>45229</v>
      </c>
      <c r="R2222" s="26"/>
    </row>
    <row r="2223" spans="1:18" ht="15.75" customHeight="1">
      <c r="A2223" s="26">
        <f ca="1">IFERROR(__xludf.DUMMYFUNCTION("""COMPUTED_VALUE"""),21069)</f>
        <v>21069</v>
      </c>
      <c r="B2223" s="86">
        <f ca="1">IFERROR(__xludf.DUMMYFUNCTION("""COMPUTED_VALUE"""),45229.8607754629)</f>
        <v>45229.860775462897</v>
      </c>
      <c r="C2223" s="1" t="str">
        <f ca="1">IFERROR(__xludf.DUMMYFUNCTION("""COMPUTED_VALUE"""),"completed")</f>
        <v>completed</v>
      </c>
      <c r="D2223" s="26">
        <f ca="1">IFERROR(__xludf.DUMMYFUNCTION("""COMPUTED_VALUE"""),41)</f>
        <v>41</v>
      </c>
      <c r="E2223" s="1" t="str">
        <f ca="1">IFERROR(__xludf.DUMMYFUNCTION("""COMPUTED_VALUE"""),"W.M.H.A")</f>
        <v>W.M.H.A</v>
      </c>
      <c r="F2223" s="87" t="str">
        <f t="shared" ca="1" si="0"/>
        <v>2023</v>
      </c>
      <c r="H2223" s="26" t="str">
        <f t="shared" si="1"/>
        <v/>
      </c>
      <c r="I2223" s="26" t="str">
        <f t="shared" si="2"/>
        <v/>
      </c>
      <c r="J2223" s="86">
        <f t="shared" ca="1" si="3"/>
        <v>45229</v>
      </c>
      <c r="R2223" s="26"/>
    </row>
    <row r="2224" spans="1:18" ht="15.75" customHeight="1">
      <c r="A2224" s="26">
        <f ca="1">IFERROR(__xludf.DUMMYFUNCTION("""COMPUTED_VALUE"""),21070)</f>
        <v>21070</v>
      </c>
      <c r="B2224" s="86">
        <f ca="1">IFERROR(__xludf.DUMMYFUNCTION("""COMPUTED_VALUE"""),45229.8699074074)</f>
        <v>45229.869907407403</v>
      </c>
      <c r="C2224" s="1" t="str">
        <f ca="1">IFERROR(__xludf.DUMMYFUNCTION("""COMPUTED_VALUE"""),"completed")</f>
        <v>completed</v>
      </c>
      <c r="D2224" s="26">
        <f ca="1">IFERROR(__xludf.DUMMYFUNCTION("""COMPUTED_VALUE"""),22)</f>
        <v>22</v>
      </c>
      <c r="E2224" s="1" t="str">
        <f ca="1">IFERROR(__xludf.DUMMYFUNCTION("""COMPUTED_VALUE"""),"Kingsville Soccer Association")</f>
        <v>Kingsville Soccer Association</v>
      </c>
      <c r="F2224" s="87" t="str">
        <f t="shared" ca="1" si="0"/>
        <v>2023</v>
      </c>
      <c r="H2224" s="26" t="str">
        <f t="shared" si="1"/>
        <v/>
      </c>
      <c r="I2224" s="26" t="str">
        <f t="shared" si="2"/>
        <v/>
      </c>
      <c r="J2224" s="86">
        <f t="shared" ca="1" si="3"/>
        <v>45229</v>
      </c>
      <c r="R2224" s="26"/>
    </row>
    <row r="2225" spans="1:18" ht="15.75" customHeight="1">
      <c r="A2225" s="26">
        <f ca="1">IFERROR(__xludf.DUMMYFUNCTION("""COMPUTED_VALUE"""),21071)</f>
        <v>21071</v>
      </c>
      <c r="B2225" s="86">
        <f ca="1">IFERROR(__xludf.DUMMYFUNCTION("""COMPUTED_VALUE"""),45229.9224421296)</f>
        <v>45229.922442129602</v>
      </c>
      <c r="C2225" s="1" t="str">
        <f ca="1">IFERROR(__xludf.DUMMYFUNCTION("""COMPUTED_VALUE"""),"completed")</f>
        <v>completed</v>
      </c>
      <c r="D2225" s="26">
        <f ca="1">IFERROR(__xludf.DUMMYFUNCTION("""COMPUTED_VALUE"""),25)</f>
        <v>25</v>
      </c>
      <c r="E2225" s="1" t="str">
        <f ca="1">IFERROR(__xludf.DUMMYFUNCTION("""COMPUTED_VALUE"""),"W.M.H.A")</f>
        <v>W.M.H.A</v>
      </c>
      <c r="F2225" s="87" t="str">
        <f t="shared" ca="1" si="0"/>
        <v>2023</v>
      </c>
      <c r="H2225" s="26" t="str">
        <f t="shared" si="1"/>
        <v/>
      </c>
      <c r="I2225" s="26" t="str">
        <f t="shared" si="2"/>
        <v/>
      </c>
      <c r="J2225" s="86">
        <f t="shared" ca="1" si="3"/>
        <v>45229</v>
      </c>
      <c r="R2225" s="26"/>
    </row>
    <row r="2226" spans="1:18" ht="15.75" customHeight="1">
      <c r="A2226" s="26">
        <f ca="1">IFERROR(__xludf.DUMMYFUNCTION("""COMPUTED_VALUE"""),21072)</f>
        <v>21072</v>
      </c>
      <c r="B2226" s="86">
        <f ca="1">IFERROR(__xludf.DUMMYFUNCTION("""COMPUTED_VALUE"""),45229.9404398148)</f>
        <v>45229.940439814804</v>
      </c>
      <c r="C2226" s="1" t="str">
        <f ca="1">IFERROR(__xludf.DUMMYFUNCTION("""COMPUTED_VALUE"""),"completed")</f>
        <v>completed</v>
      </c>
      <c r="D2226" s="26">
        <f ca="1">IFERROR(__xludf.DUMMYFUNCTION("""COMPUTED_VALUE"""),26)</f>
        <v>26</v>
      </c>
      <c r="E2226" s="1" t="str">
        <f ca="1">IFERROR(__xludf.DUMMYFUNCTION("""COMPUTED_VALUE"""),"W.M.H.A")</f>
        <v>W.M.H.A</v>
      </c>
      <c r="F2226" s="87" t="str">
        <f t="shared" ca="1" si="0"/>
        <v>2023</v>
      </c>
      <c r="H2226" s="26" t="str">
        <f t="shared" si="1"/>
        <v/>
      </c>
      <c r="I2226" s="26" t="str">
        <f t="shared" si="2"/>
        <v/>
      </c>
      <c r="J2226" s="86">
        <f t="shared" ca="1" si="3"/>
        <v>45229</v>
      </c>
      <c r="R2226" s="26"/>
    </row>
    <row r="2227" spans="1:18" ht="15.75" customHeight="1">
      <c r="A2227" s="26">
        <f ca="1">IFERROR(__xludf.DUMMYFUNCTION("""COMPUTED_VALUE"""),21074)</f>
        <v>21074</v>
      </c>
      <c r="B2227" s="86">
        <f ca="1">IFERROR(__xludf.DUMMYFUNCTION("""COMPUTED_VALUE"""),45229.9571527777)</f>
        <v>45229.957152777701</v>
      </c>
      <c r="C2227" s="1" t="str">
        <f ca="1">IFERROR(__xludf.DUMMYFUNCTION("""COMPUTED_VALUE"""),"failed")</f>
        <v>failed</v>
      </c>
      <c r="D2227" s="26">
        <f ca="1">IFERROR(__xludf.DUMMYFUNCTION("""COMPUTED_VALUE"""),15)</f>
        <v>15</v>
      </c>
      <c r="E2227" s="1" t="str">
        <f ca="1">IFERROR(__xludf.DUMMYFUNCTION("""COMPUTED_VALUE"""),"Lakeshore Lightning Hockey")</f>
        <v>Lakeshore Lightning Hockey</v>
      </c>
      <c r="F2227" s="87" t="str">
        <f t="shared" ca="1" si="0"/>
        <v>2023</v>
      </c>
      <c r="H2227" s="26" t="str">
        <f t="shared" si="1"/>
        <v/>
      </c>
      <c r="I2227" s="26" t="str">
        <f t="shared" si="2"/>
        <v/>
      </c>
      <c r="J2227" s="86">
        <f t="shared" ca="1" si="3"/>
        <v>45229</v>
      </c>
      <c r="R2227" s="26"/>
    </row>
    <row r="2228" spans="1:18" ht="15.75" customHeight="1">
      <c r="A2228" s="26">
        <f ca="1">IFERROR(__xludf.DUMMYFUNCTION("""COMPUTED_VALUE"""),21073)</f>
        <v>21073</v>
      </c>
      <c r="B2228" s="86">
        <f ca="1">IFERROR(__xludf.DUMMYFUNCTION("""COMPUTED_VALUE"""),45229.9524421296)</f>
        <v>45229.952442129601</v>
      </c>
      <c r="C2228" s="1" t="str">
        <f ca="1">IFERROR(__xludf.DUMMYFUNCTION("""COMPUTED_VALUE"""),"completed")</f>
        <v>completed</v>
      </c>
      <c r="D2228" s="26">
        <f ca="1">IFERROR(__xludf.DUMMYFUNCTION("""COMPUTED_VALUE"""),35)</f>
        <v>35</v>
      </c>
      <c r="E2228" s="1" t="str">
        <f ca="1">IFERROR(__xludf.DUMMYFUNCTION("""COMPUTED_VALUE"""),"W.M.H.A")</f>
        <v>W.M.H.A</v>
      </c>
      <c r="F2228" s="87" t="str">
        <f t="shared" ca="1" si="0"/>
        <v>2023</v>
      </c>
      <c r="H2228" s="26" t="str">
        <f t="shared" si="1"/>
        <v/>
      </c>
      <c r="I2228" s="26" t="str">
        <f t="shared" si="2"/>
        <v/>
      </c>
      <c r="J2228" s="86">
        <f t="shared" ca="1" si="3"/>
        <v>45229</v>
      </c>
      <c r="R2228" s="26"/>
    </row>
    <row r="2229" spans="1:18" ht="15.75" customHeight="1">
      <c r="A2229" s="26">
        <f ca="1">IFERROR(__xludf.DUMMYFUNCTION("""COMPUTED_VALUE"""),21076)</f>
        <v>21076</v>
      </c>
      <c r="B2229" s="86">
        <f ca="1">IFERROR(__xludf.DUMMYFUNCTION("""COMPUTED_VALUE"""),45229.9626388888)</f>
        <v>45229.962638888799</v>
      </c>
      <c r="C2229" s="1" t="str">
        <f ca="1">IFERROR(__xludf.DUMMYFUNCTION("""COMPUTED_VALUE"""),"completed")</f>
        <v>completed</v>
      </c>
      <c r="D2229" s="26">
        <f ca="1">IFERROR(__xludf.DUMMYFUNCTION("""COMPUTED_VALUE"""),15)</f>
        <v>15</v>
      </c>
      <c r="E2229" s="1" t="str">
        <f ca="1">IFERROR(__xludf.DUMMYFUNCTION("""COMPUTED_VALUE"""),"Lakeshore Lightning Hockey")</f>
        <v>Lakeshore Lightning Hockey</v>
      </c>
      <c r="F2229" s="87" t="str">
        <f t="shared" ca="1" si="0"/>
        <v>2023</v>
      </c>
      <c r="H2229" s="26" t="str">
        <f t="shared" si="1"/>
        <v/>
      </c>
      <c r="I2229" s="26" t="str">
        <f t="shared" si="2"/>
        <v/>
      </c>
      <c r="J2229" s="86">
        <f t="shared" ca="1" si="3"/>
        <v>45229</v>
      </c>
      <c r="R2229" s="26"/>
    </row>
    <row r="2230" spans="1:18" ht="15.75" customHeight="1">
      <c r="A2230" s="26">
        <f ca="1">IFERROR(__xludf.DUMMYFUNCTION("""COMPUTED_VALUE"""),21075)</f>
        <v>21075</v>
      </c>
      <c r="B2230" s="86">
        <f ca="1">IFERROR(__xludf.DUMMYFUNCTION("""COMPUTED_VALUE"""),45229.9587384259)</f>
        <v>45229.958738425899</v>
      </c>
      <c r="C2230" s="1" t="str">
        <f ca="1">IFERROR(__xludf.DUMMYFUNCTION("""COMPUTED_VALUE"""),"completed")</f>
        <v>completed</v>
      </c>
      <c r="D2230" s="26">
        <f ca="1">IFERROR(__xludf.DUMMYFUNCTION("""COMPUTED_VALUE"""),50)</f>
        <v>50</v>
      </c>
      <c r="E2230" s="1" t="str">
        <f ca="1">IFERROR(__xludf.DUMMYFUNCTION("""COMPUTED_VALUE"""),"W.M.H.A")</f>
        <v>W.M.H.A</v>
      </c>
      <c r="F2230" s="87" t="str">
        <f t="shared" ca="1" si="0"/>
        <v>2023</v>
      </c>
      <c r="H2230" s="26" t="str">
        <f t="shared" si="1"/>
        <v/>
      </c>
      <c r="I2230" s="26" t="str">
        <f t="shared" si="2"/>
        <v/>
      </c>
      <c r="J2230" s="86">
        <f t="shared" ca="1" si="3"/>
        <v>45229</v>
      </c>
      <c r="R2230" s="26"/>
    </row>
    <row r="2231" spans="1:18" ht="15.75" customHeight="1">
      <c r="A2231" s="26">
        <f ca="1">IFERROR(__xludf.DUMMYFUNCTION("""COMPUTED_VALUE"""),21077)</f>
        <v>21077</v>
      </c>
      <c r="B2231" s="86">
        <f ca="1">IFERROR(__xludf.DUMMYFUNCTION("""COMPUTED_VALUE"""),45229.9703819444)</f>
        <v>45229.970381944397</v>
      </c>
      <c r="C2231" s="1" t="str">
        <f ca="1">IFERROR(__xludf.DUMMYFUNCTION("""COMPUTED_VALUE"""),"completed")</f>
        <v>completed</v>
      </c>
      <c r="D2231" s="26">
        <f ca="1">IFERROR(__xludf.DUMMYFUNCTION("""COMPUTED_VALUE"""),30)</f>
        <v>30</v>
      </c>
      <c r="E2231" s="1" t="str">
        <f ca="1">IFERROR(__xludf.DUMMYFUNCTION("""COMPUTED_VALUE"""),"W.M.H.A")</f>
        <v>W.M.H.A</v>
      </c>
      <c r="F2231" s="87" t="str">
        <f t="shared" ca="1" si="0"/>
        <v>2023</v>
      </c>
      <c r="H2231" s="26" t="str">
        <f t="shared" si="1"/>
        <v/>
      </c>
      <c r="I2231" s="26" t="str">
        <f t="shared" si="2"/>
        <v/>
      </c>
      <c r="J2231" s="86">
        <f t="shared" ca="1" si="3"/>
        <v>45229</v>
      </c>
      <c r="R2231" s="26"/>
    </row>
    <row r="2232" spans="1:18" ht="15.75" customHeight="1">
      <c r="A2232" s="26">
        <f ca="1">IFERROR(__xludf.DUMMYFUNCTION("""COMPUTED_VALUE"""),21079)</f>
        <v>21079</v>
      </c>
      <c r="B2232" s="86">
        <f ca="1">IFERROR(__xludf.DUMMYFUNCTION("""COMPUTED_VALUE"""),45229.9809953703)</f>
        <v>45229.980995370301</v>
      </c>
      <c r="C2232" s="1" t="str">
        <f ca="1">IFERROR(__xludf.DUMMYFUNCTION("""COMPUTED_VALUE"""),"completed")</f>
        <v>completed</v>
      </c>
      <c r="D2232" s="26">
        <f ca="1">IFERROR(__xludf.DUMMYFUNCTION("""COMPUTED_VALUE"""),35)</f>
        <v>35</v>
      </c>
      <c r="E2232" s="1" t="str">
        <f ca="1">IFERROR(__xludf.DUMMYFUNCTION("""COMPUTED_VALUE"""),"W.M.H.A")</f>
        <v>W.M.H.A</v>
      </c>
      <c r="F2232" s="87" t="str">
        <f t="shared" ca="1" si="0"/>
        <v>2023</v>
      </c>
      <c r="H2232" s="26" t="str">
        <f t="shared" si="1"/>
        <v/>
      </c>
      <c r="I2232" s="26" t="str">
        <f t="shared" si="2"/>
        <v/>
      </c>
      <c r="J2232" s="86">
        <f t="shared" ca="1" si="3"/>
        <v>45229</v>
      </c>
      <c r="R2232" s="26"/>
    </row>
    <row r="2233" spans="1:18" ht="15.75" customHeight="1">
      <c r="A2233" s="26">
        <f ca="1">IFERROR(__xludf.DUMMYFUNCTION("""COMPUTED_VALUE"""),21078)</f>
        <v>21078</v>
      </c>
      <c r="B2233" s="86">
        <f ca="1">IFERROR(__xludf.DUMMYFUNCTION("""COMPUTED_VALUE"""),45229.9787384259)</f>
        <v>45229.978738425903</v>
      </c>
      <c r="C2233" s="1" t="str">
        <f ca="1">IFERROR(__xludf.DUMMYFUNCTION("""COMPUTED_VALUE"""),"completed")</f>
        <v>completed</v>
      </c>
      <c r="D2233" s="26">
        <f ca="1">IFERROR(__xludf.DUMMYFUNCTION("""COMPUTED_VALUE"""),35)</f>
        <v>35</v>
      </c>
      <c r="E2233" s="1" t="str">
        <f ca="1">IFERROR(__xludf.DUMMYFUNCTION("""COMPUTED_VALUE"""),"W.M.H.A")</f>
        <v>W.M.H.A</v>
      </c>
      <c r="F2233" s="87" t="str">
        <f t="shared" ca="1" si="0"/>
        <v>2023</v>
      </c>
      <c r="H2233" s="26" t="str">
        <f t="shared" si="1"/>
        <v/>
      </c>
      <c r="I2233" s="26" t="str">
        <f t="shared" si="2"/>
        <v/>
      </c>
      <c r="J2233" s="86">
        <f t="shared" ca="1" si="3"/>
        <v>45229</v>
      </c>
      <c r="R2233" s="26"/>
    </row>
    <row r="2234" spans="1:18" ht="15.75" customHeight="1">
      <c r="A2234" s="26">
        <f ca="1">IFERROR(__xludf.DUMMYFUNCTION("""COMPUTED_VALUE"""),21080)</f>
        <v>21080</v>
      </c>
      <c r="B2234" s="86">
        <f ca="1">IFERROR(__xludf.DUMMYFUNCTION("""COMPUTED_VALUE"""),45230.0100578702)</f>
        <v>45230.010057870299</v>
      </c>
      <c r="C2234" s="1" t="str">
        <f ca="1">IFERROR(__xludf.DUMMYFUNCTION("""COMPUTED_VALUE"""),"completed")</f>
        <v>completed</v>
      </c>
      <c r="D2234" s="26">
        <f ca="1">IFERROR(__xludf.DUMMYFUNCTION("""COMPUTED_VALUE"""),25)</f>
        <v>25</v>
      </c>
      <c r="E2234" s="1" t="str">
        <f ca="1">IFERROR(__xludf.DUMMYFUNCTION("""COMPUTED_VALUE"""),"W.M.H.A")</f>
        <v>W.M.H.A</v>
      </c>
      <c r="F2234" s="87" t="str">
        <f t="shared" ca="1" si="0"/>
        <v>2023</v>
      </c>
      <c r="H2234" s="26" t="str">
        <f t="shared" si="1"/>
        <v/>
      </c>
      <c r="I2234" s="26" t="str">
        <f t="shared" si="2"/>
        <v/>
      </c>
      <c r="J2234" s="86">
        <f t="shared" ca="1" si="3"/>
        <v>45230</v>
      </c>
      <c r="R2234" s="26"/>
    </row>
    <row r="2235" spans="1:18" ht="15.75" customHeight="1">
      <c r="A2235" s="26">
        <f ca="1">IFERROR(__xludf.DUMMYFUNCTION("""COMPUTED_VALUE"""),21081)</f>
        <v>21081</v>
      </c>
      <c r="B2235" s="86">
        <f ca="1">IFERROR(__xludf.DUMMYFUNCTION("""COMPUTED_VALUE"""),45230.0161805555)</f>
        <v>45230.016180555504</v>
      </c>
      <c r="C2235" s="1" t="str">
        <f ca="1">IFERROR(__xludf.DUMMYFUNCTION("""COMPUTED_VALUE"""),"completed")</f>
        <v>completed</v>
      </c>
      <c r="D2235" s="26">
        <f ca="1">IFERROR(__xludf.DUMMYFUNCTION("""COMPUTED_VALUE"""),54)</f>
        <v>54</v>
      </c>
      <c r="E2235" s="1" t="str">
        <f ca="1">IFERROR(__xludf.DUMMYFUNCTION("""COMPUTED_VALUE"""),"W.M.H.A")</f>
        <v>W.M.H.A</v>
      </c>
      <c r="F2235" s="87" t="str">
        <f t="shared" ca="1" si="0"/>
        <v>2023</v>
      </c>
      <c r="H2235" s="26" t="str">
        <f t="shared" si="1"/>
        <v/>
      </c>
      <c r="I2235" s="26" t="str">
        <f t="shared" si="2"/>
        <v/>
      </c>
      <c r="J2235" s="86">
        <f t="shared" ca="1" si="3"/>
        <v>45230</v>
      </c>
      <c r="R2235" s="26"/>
    </row>
    <row r="2236" spans="1:18" ht="15.75" customHeight="1">
      <c r="A2236" s="26">
        <f ca="1">IFERROR(__xludf.DUMMYFUNCTION("""COMPUTED_VALUE"""),21085)</f>
        <v>21085</v>
      </c>
      <c r="B2236" s="86">
        <f ca="1">IFERROR(__xludf.DUMMYFUNCTION("""COMPUTED_VALUE"""),45230.4489351851)</f>
        <v>45230.448935185101</v>
      </c>
      <c r="C2236" s="1" t="str">
        <f ca="1">IFERROR(__xludf.DUMMYFUNCTION("""COMPUTED_VALUE"""),"completed")</f>
        <v>completed</v>
      </c>
      <c r="D2236" s="26">
        <f ca="1">IFERROR(__xludf.DUMMYFUNCTION("""COMPUTED_VALUE"""),25)</f>
        <v>25</v>
      </c>
      <c r="E2236" s="1" t="str">
        <f ca="1">IFERROR(__xludf.DUMMYFUNCTION("""COMPUTED_VALUE"""),"Lakeshore Lightning Hockey")</f>
        <v>Lakeshore Lightning Hockey</v>
      </c>
      <c r="F2236" s="87" t="str">
        <f t="shared" ca="1" si="0"/>
        <v>2023</v>
      </c>
      <c r="H2236" s="26" t="str">
        <f t="shared" si="1"/>
        <v/>
      </c>
      <c r="I2236" s="26" t="str">
        <f t="shared" si="2"/>
        <v/>
      </c>
      <c r="J2236" s="86">
        <f t="shared" ca="1" si="3"/>
        <v>45230</v>
      </c>
      <c r="R2236" s="26"/>
    </row>
    <row r="2237" spans="1:18" ht="15.75" customHeight="1">
      <c r="A2237" s="26">
        <f ca="1">IFERROR(__xludf.DUMMYFUNCTION("""COMPUTED_VALUE"""),21086)</f>
        <v>21086</v>
      </c>
      <c r="B2237" s="86">
        <f ca="1">IFERROR(__xludf.DUMMYFUNCTION("""COMPUTED_VALUE"""),45230.4532060185)</f>
        <v>45230.453206018501</v>
      </c>
      <c r="C2237" s="1" t="str">
        <f ca="1">IFERROR(__xludf.DUMMYFUNCTION("""COMPUTED_VALUE"""),"completed")</f>
        <v>completed</v>
      </c>
      <c r="D2237" s="26">
        <f ca="1">IFERROR(__xludf.DUMMYFUNCTION("""COMPUTED_VALUE"""),35)</f>
        <v>35</v>
      </c>
      <c r="E2237" s="1" t="str">
        <f ca="1">IFERROR(__xludf.DUMMYFUNCTION("""COMPUTED_VALUE"""),"W.M.H.A")</f>
        <v>W.M.H.A</v>
      </c>
      <c r="F2237" s="87" t="str">
        <f t="shared" ca="1" si="0"/>
        <v>2023</v>
      </c>
      <c r="H2237" s="26" t="str">
        <f t="shared" si="1"/>
        <v/>
      </c>
      <c r="I2237" s="26" t="str">
        <f t="shared" si="2"/>
        <v/>
      </c>
      <c r="J2237" s="86">
        <f t="shared" ca="1" si="3"/>
        <v>45230</v>
      </c>
      <c r="R2237" s="26"/>
    </row>
    <row r="2238" spans="1:18" ht="15.75" customHeight="1">
      <c r="A2238" s="26">
        <f ca="1">IFERROR(__xludf.DUMMYFUNCTION("""COMPUTED_VALUE"""),21087)</f>
        <v>21087</v>
      </c>
      <c r="B2238" s="86">
        <f ca="1">IFERROR(__xludf.DUMMYFUNCTION("""COMPUTED_VALUE"""),45230.5510069444)</f>
        <v>45230.551006944399</v>
      </c>
      <c r="C2238" s="1" t="str">
        <f ca="1">IFERROR(__xludf.DUMMYFUNCTION("""COMPUTED_VALUE"""),"completed")</f>
        <v>completed</v>
      </c>
      <c r="D2238" s="26">
        <f ca="1">IFERROR(__xludf.DUMMYFUNCTION("""COMPUTED_VALUE"""),61)</f>
        <v>61</v>
      </c>
      <c r="E2238" s="1" t="str">
        <f ca="1">IFERROR(__xludf.DUMMYFUNCTION("""COMPUTED_VALUE"""),"W.M.H.A")</f>
        <v>W.M.H.A</v>
      </c>
      <c r="F2238" s="87" t="str">
        <f t="shared" ca="1" si="0"/>
        <v>2023</v>
      </c>
      <c r="H2238" s="26" t="str">
        <f t="shared" si="1"/>
        <v/>
      </c>
      <c r="I2238" s="26" t="str">
        <f t="shared" si="2"/>
        <v/>
      </c>
      <c r="J2238" s="86">
        <f t="shared" ca="1" si="3"/>
        <v>45230</v>
      </c>
      <c r="R2238" s="26"/>
    </row>
    <row r="2239" spans="1:18" ht="15.75" customHeight="1">
      <c r="A2239" s="26">
        <f ca="1">IFERROR(__xludf.DUMMYFUNCTION("""COMPUTED_VALUE"""),21088)</f>
        <v>21088</v>
      </c>
      <c r="B2239" s="86">
        <f ca="1">IFERROR(__xludf.DUMMYFUNCTION("""COMPUTED_VALUE"""),45230.620474537)</f>
        <v>45230.620474536998</v>
      </c>
      <c r="C2239" s="1" t="str">
        <f ca="1">IFERROR(__xludf.DUMMYFUNCTION("""COMPUTED_VALUE"""),"completed")</f>
        <v>completed</v>
      </c>
      <c r="D2239" s="26">
        <f ca="1">IFERROR(__xludf.DUMMYFUNCTION("""COMPUTED_VALUE"""),25)</f>
        <v>25</v>
      </c>
      <c r="E2239" s="1" t="str">
        <f ca="1">IFERROR(__xludf.DUMMYFUNCTION("""COMPUTED_VALUE"""),"W.M.H.A")</f>
        <v>W.M.H.A</v>
      </c>
      <c r="F2239" s="87" t="str">
        <f t="shared" ca="1" si="0"/>
        <v>2023</v>
      </c>
      <c r="H2239" s="26" t="str">
        <f t="shared" si="1"/>
        <v/>
      </c>
      <c r="I2239" s="26" t="str">
        <f t="shared" si="2"/>
        <v/>
      </c>
      <c r="J2239" s="86">
        <f t="shared" ca="1" si="3"/>
        <v>45230</v>
      </c>
      <c r="R2239" s="26"/>
    </row>
    <row r="2240" spans="1:18" ht="15.75" customHeight="1">
      <c r="A2240" s="26">
        <f ca="1">IFERROR(__xludf.DUMMYFUNCTION("""COMPUTED_VALUE"""),21089)</f>
        <v>21089</v>
      </c>
      <c r="B2240" s="86">
        <f ca="1">IFERROR(__xludf.DUMMYFUNCTION("""COMPUTED_VALUE"""),45230.6520486111)</f>
        <v>45230.652048611097</v>
      </c>
      <c r="C2240" s="1" t="str">
        <f ca="1">IFERROR(__xludf.DUMMYFUNCTION("""COMPUTED_VALUE"""),"completed")</f>
        <v>completed</v>
      </c>
      <c r="D2240" s="26">
        <f ca="1">IFERROR(__xludf.DUMMYFUNCTION("""COMPUTED_VALUE"""),61)</f>
        <v>61</v>
      </c>
      <c r="E2240" s="1" t="str">
        <f ca="1">IFERROR(__xludf.DUMMYFUNCTION("""COMPUTED_VALUE"""),"W.M.H.A")</f>
        <v>W.M.H.A</v>
      </c>
      <c r="F2240" s="87" t="str">
        <f t="shared" ca="1" si="0"/>
        <v>2023</v>
      </c>
      <c r="H2240" s="26" t="str">
        <f t="shared" si="1"/>
        <v/>
      </c>
      <c r="I2240" s="26" t="str">
        <f t="shared" si="2"/>
        <v/>
      </c>
      <c r="J2240" s="86">
        <f t="shared" ca="1" si="3"/>
        <v>45230</v>
      </c>
      <c r="R2240" s="26"/>
    </row>
    <row r="2241" spans="1:18" ht="15.75" customHeight="1">
      <c r="A2241" s="26">
        <f ca="1">IFERROR(__xludf.DUMMYFUNCTION("""COMPUTED_VALUE"""),21090)</f>
        <v>21090</v>
      </c>
      <c r="B2241" s="86">
        <f ca="1">IFERROR(__xludf.DUMMYFUNCTION("""COMPUTED_VALUE"""),45230.681875)</f>
        <v>45230.681875000002</v>
      </c>
      <c r="C2241" s="1" t="str">
        <f ca="1">IFERROR(__xludf.DUMMYFUNCTION("""COMPUTED_VALUE"""),"completed")</f>
        <v>completed</v>
      </c>
      <c r="D2241" s="26">
        <f ca="1">IFERROR(__xludf.DUMMYFUNCTION("""COMPUTED_VALUE"""),25)</f>
        <v>25</v>
      </c>
      <c r="E2241" s="1" t="str">
        <f ca="1">IFERROR(__xludf.DUMMYFUNCTION("""COMPUTED_VALUE"""),"WMFA")</f>
        <v>WMFA</v>
      </c>
      <c r="F2241" s="87" t="str">
        <f t="shared" ca="1" si="0"/>
        <v>2023</v>
      </c>
      <c r="H2241" s="26" t="str">
        <f t="shared" si="1"/>
        <v/>
      </c>
      <c r="I2241" s="26" t="str">
        <f t="shared" si="2"/>
        <v/>
      </c>
      <c r="J2241" s="86">
        <f t="shared" ca="1" si="3"/>
        <v>45230</v>
      </c>
      <c r="R2241" s="26"/>
    </row>
    <row r="2242" spans="1:18" ht="15.75" customHeight="1">
      <c r="A2242" s="26">
        <f ca="1">IFERROR(__xludf.DUMMYFUNCTION("""COMPUTED_VALUE"""),21091)</f>
        <v>21091</v>
      </c>
      <c r="B2242" s="86">
        <f ca="1">IFERROR(__xludf.DUMMYFUNCTION("""COMPUTED_VALUE"""),45230.7050462962)</f>
        <v>45230.7050462962</v>
      </c>
      <c r="C2242" s="1" t="str">
        <f ca="1">IFERROR(__xludf.DUMMYFUNCTION("""COMPUTED_VALUE"""),"completed")</f>
        <v>completed</v>
      </c>
      <c r="D2242" s="26">
        <f ca="1">IFERROR(__xludf.DUMMYFUNCTION("""COMPUTED_VALUE"""),130)</f>
        <v>130</v>
      </c>
      <c r="E2242" s="1" t="str">
        <f ca="1">IFERROR(__xludf.DUMMYFUNCTION("""COMPUTED_VALUE"""),"Lakeshore Lightning Hockey")</f>
        <v>Lakeshore Lightning Hockey</v>
      </c>
      <c r="F2242" s="87" t="str">
        <f t="shared" ca="1" si="0"/>
        <v>2023</v>
      </c>
      <c r="H2242" s="26" t="str">
        <f t="shared" si="1"/>
        <v/>
      </c>
      <c r="I2242" s="26" t="str">
        <f t="shared" si="2"/>
        <v/>
      </c>
      <c r="J2242" s="86">
        <f t="shared" ca="1" si="3"/>
        <v>45230</v>
      </c>
      <c r="R2242" s="26"/>
    </row>
    <row r="2243" spans="1:18" ht="15.75" customHeight="1">
      <c r="A2243" s="26">
        <f ca="1">IFERROR(__xludf.DUMMYFUNCTION("""COMPUTED_VALUE"""),21092)</f>
        <v>21092</v>
      </c>
      <c r="B2243" s="86">
        <f ca="1">IFERROR(__xludf.DUMMYFUNCTION("""COMPUTED_VALUE"""),45230.7724305555)</f>
        <v>45230.772430555502</v>
      </c>
      <c r="C2243" s="1" t="str">
        <f ca="1">IFERROR(__xludf.DUMMYFUNCTION("""COMPUTED_VALUE"""),"completed")</f>
        <v>completed</v>
      </c>
      <c r="D2243" s="26">
        <f ca="1">IFERROR(__xludf.DUMMYFUNCTION("""COMPUTED_VALUE"""),48)</f>
        <v>48</v>
      </c>
      <c r="E2243" s="1" t="str">
        <f ca="1">IFERROR(__xludf.DUMMYFUNCTION("""COMPUTED_VALUE"""),"Lakeshore Lightning Hockey")</f>
        <v>Lakeshore Lightning Hockey</v>
      </c>
      <c r="F2243" s="87" t="str">
        <f t="shared" ca="1" si="0"/>
        <v>2023</v>
      </c>
      <c r="H2243" s="26" t="str">
        <f t="shared" si="1"/>
        <v/>
      </c>
      <c r="I2243" s="26" t="str">
        <f t="shared" si="2"/>
        <v/>
      </c>
      <c r="J2243" s="86">
        <f t="shared" ca="1" si="3"/>
        <v>45230</v>
      </c>
      <c r="R2243" s="26"/>
    </row>
    <row r="2244" spans="1:18" ht="15.75" customHeight="1">
      <c r="A2244" s="26">
        <f ca="1">IFERROR(__xludf.DUMMYFUNCTION("""COMPUTED_VALUE"""),21100)</f>
        <v>21100</v>
      </c>
      <c r="B2244" s="86">
        <f ca="1">IFERROR(__xludf.DUMMYFUNCTION("""COMPUTED_VALUE"""),45230.9482523148)</f>
        <v>45230.948252314804</v>
      </c>
      <c r="C2244" s="1" t="str">
        <f ca="1">IFERROR(__xludf.DUMMYFUNCTION("""COMPUTED_VALUE"""),"completed")</f>
        <v>completed</v>
      </c>
      <c r="D2244" s="26">
        <f ca="1">IFERROR(__xludf.DUMMYFUNCTION("""COMPUTED_VALUE"""),15)</f>
        <v>15</v>
      </c>
      <c r="E2244" s="1" t="str">
        <f ca="1">IFERROR(__xludf.DUMMYFUNCTION("""COMPUTED_VALUE"""),"Lakeshore Lightning Hockey")</f>
        <v>Lakeshore Lightning Hockey</v>
      </c>
      <c r="F2244" s="87" t="str">
        <f t="shared" ca="1" si="0"/>
        <v>2023</v>
      </c>
      <c r="H2244" s="26" t="str">
        <f t="shared" si="1"/>
        <v/>
      </c>
      <c r="I2244" s="26" t="str">
        <f t="shared" si="2"/>
        <v/>
      </c>
      <c r="J2244" s="86">
        <f t="shared" ca="1" si="3"/>
        <v>45230</v>
      </c>
      <c r="R2244" s="26"/>
    </row>
    <row r="2245" spans="1:18" ht="15.75" customHeight="1">
      <c r="A2245" s="26">
        <f ca="1">IFERROR(__xludf.DUMMYFUNCTION("""COMPUTED_VALUE"""),21101)</f>
        <v>21101</v>
      </c>
      <c r="B2245" s="86">
        <f ca="1">IFERROR(__xludf.DUMMYFUNCTION("""COMPUTED_VALUE"""),45230.9813310184)</f>
        <v>45230.981331018498</v>
      </c>
      <c r="C2245" s="1" t="str">
        <f ca="1">IFERROR(__xludf.DUMMYFUNCTION("""COMPUTED_VALUE"""),"completed")</f>
        <v>completed</v>
      </c>
      <c r="D2245" s="26">
        <f ca="1">IFERROR(__xludf.DUMMYFUNCTION("""COMPUTED_VALUE"""),25)</f>
        <v>25</v>
      </c>
      <c r="E2245" s="1" t="str">
        <f ca="1">IFERROR(__xludf.DUMMYFUNCTION("""COMPUTED_VALUE"""),"Lakeshore Lightning Hockey")</f>
        <v>Lakeshore Lightning Hockey</v>
      </c>
      <c r="F2245" s="87" t="str">
        <f t="shared" ca="1" si="0"/>
        <v>2023</v>
      </c>
      <c r="H2245" s="26" t="str">
        <f t="shared" si="1"/>
        <v/>
      </c>
      <c r="I2245" s="26" t="str">
        <f t="shared" si="2"/>
        <v/>
      </c>
      <c r="J2245" s="86">
        <f t="shared" ca="1" si="3"/>
        <v>45230</v>
      </c>
      <c r="R2245" s="26"/>
    </row>
    <row r="2246" spans="1:18" ht="15.75" customHeight="1">
      <c r="A2246" s="26">
        <f ca="1">IFERROR(__xludf.DUMMYFUNCTION("""COMPUTED_VALUE"""),21102)</f>
        <v>21102</v>
      </c>
      <c r="B2246" s="86">
        <f ca="1">IFERROR(__xludf.DUMMYFUNCTION("""COMPUTED_VALUE"""),45231.0584375)</f>
        <v>45231.058437500003</v>
      </c>
      <c r="C2246" s="1" t="str">
        <f ca="1">IFERROR(__xludf.DUMMYFUNCTION("""COMPUTED_VALUE"""),"completed")</f>
        <v>completed</v>
      </c>
      <c r="D2246" s="26">
        <f ca="1">IFERROR(__xludf.DUMMYFUNCTION("""COMPUTED_VALUE"""),25)</f>
        <v>25</v>
      </c>
      <c r="E2246" s="1" t="str">
        <f ca="1">IFERROR(__xludf.DUMMYFUNCTION("""COMPUTED_VALUE"""),"W.M.H.A")</f>
        <v>W.M.H.A</v>
      </c>
      <c r="F2246" s="87" t="str">
        <f t="shared" ca="1" si="0"/>
        <v>2023</v>
      </c>
      <c r="H2246" s="26" t="str">
        <f t="shared" si="1"/>
        <v/>
      </c>
      <c r="I2246" s="26" t="str">
        <f t="shared" si="2"/>
        <v/>
      </c>
      <c r="J2246" s="86">
        <f t="shared" ca="1" si="3"/>
        <v>45231</v>
      </c>
      <c r="R2246" s="26"/>
    </row>
    <row r="2247" spans="1:18" ht="15.75" customHeight="1">
      <c r="A2247" s="26">
        <f ca="1">IFERROR(__xludf.DUMMYFUNCTION("""COMPUTED_VALUE"""),21104)</f>
        <v>21104</v>
      </c>
      <c r="B2247" s="86">
        <f ca="1">IFERROR(__xludf.DUMMYFUNCTION("""COMPUTED_VALUE"""),45231.6092013888)</f>
        <v>45231.609201388797</v>
      </c>
      <c r="C2247" s="1" t="str">
        <f ca="1">IFERROR(__xludf.DUMMYFUNCTION("""COMPUTED_VALUE"""),"completed")</f>
        <v>completed</v>
      </c>
      <c r="D2247" s="26">
        <f ca="1">IFERROR(__xludf.DUMMYFUNCTION("""COMPUTED_VALUE"""),35)</f>
        <v>35</v>
      </c>
      <c r="E2247" s="1" t="str">
        <f ca="1">IFERROR(__xludf.DUMMYFUNCTION("""COMPUTED_VALUE"""),"WMFA")</f>
        <v>WMFA</v>
      </c>
      <c r="F2247" s="87" t="str">
        <f t="shared" ca="1" si="0"/>
        <v>2023</v>
      </c>
      <c r="H2247" s="26" t="str">
        <f t="shared" si="1"/>
        <v/>
      </c>
      <c r="I2247" s="26" t="str">
        <f t="shared" si="2"/>
        <v/>
      </c>
      <c r="J2247" s="86">
        <f t="shared" ca="1" si="3"/>
        <v>45231</v>
      </c>
      <c r="R2247" s="26"/>
    </row>
    <row r="2248" spans="1:18" ht="15.75" customHeight="1">
      <c r="A2248" s="26">
        <f ca="1">IFERROR(__xludf.DUMMYFUNCTION("""COMPUTED_VALUE"""),21105)</f>
        <v>21105</v>
      </c>
      <c r="B2248" s="86">
        <f ca="1">IFERROR(__xludf.DUMMYFUNCTION("""COMPUTED_VALUE"""),45231.6616319444)</f>
        <v>45231.6616319444</v>
      </c>
      <c r="C2248" s="1" t="str">
        <f ca="1">IFERROR(__xludf.DUMMYFUNCTION("""COMPUTED_VALUE"""),"completed")</f>
        <v>completed</v>
      </c>
      <c r="D2248" s="26">
        <f ca="1">IFERROR(__xludf.DUMMYFUNCTION("""COMPUTED_VALUE"""),35)</f>
        <v>35</v>
      </c>
      <c r="E2248" s="1" t="str">
        <f ca="1">IFERROR(__xludf.DUMMYFUNCTION("""COMPUTED_VALUE"""),"W.M.H.A")</f>
        <v>W.M.H.A</v>
      </c>
      <c r="F2248" s="87" t="str">
        <f t="shared" ca="1" si="0"/>
        <v>2023</v>
      </c>
      <c r="H2248" s="26" t="str">
        <f t="shared" si="1"/>
        <v/>
      </c>
      <c r="I2248" s="26" t="str">
        <f t="shared" si="2"/>
        <v/>
      </c>
      <c r="J2248" s="86">
        <f t="shared" ca="1" si="3"/>
        <v>45231</v>
      </c>
      <c r="R2248" s="26"/>
    </row>
    <row r="2249" spans="1:18" ht="15.75" customHeight="1">
      <c r="A2249" s="26">
        <f ca="1">IFERROR(__xludf.DUMMYFUNCTION("""COMPUTED_VALUE"""),21106)</f>
        <v>21106</v>
      </c>
      <c r="B2249" s="86">
        <f ca="1">IFERROR(__xludf.DUMMYFUNCTION("""COMPUTED_VALUE"""),45231.7063657407)</f>
        <v>45231.706365740698</v>
      </c>
      <c r="C2249" s="1" t="str">
        <f ca="1">IFERROR(__xludf.DUMMYFUNCTION("""COMPUTED_VALUE"""),"completed")</f>
        <v>completed</v>
      </c>
      <c r="D2249" s="26">
        <f ca="1">IFERROR(__xludf.DUMMYFUNCTION("""COMPUTED_VALUE"""),55)</f>
        <v>55</v>
      </c>
      <c r="E2249" s="1" t="str">
        <f ca="1">IFERROR(__xludf.DUMMYFUNCTION("""COMPUTED_VALUE"""),"W.M.H.A")</f>
        <v>W.M.H.A</v>
      </c>
      <c r="F2249" s="87" t="str">
        <f t="shared" ca="1" si="0"/>
        <v>2023</v>
      </c>
      <c r="H2249" s="26" t="str">
        <f t="shared" si="1"/>
        <v/>
      </c>
      <c r="I2249" s="26" t="str">
        <f t="shared" si="2"/>
        <v/>
      </c>
      <c r="J2249" s="86">
        <f t="shared" ca="1" si="3"/>
        <v>45231</v>
      </c>
      <c r="R2249" s="26"/>
    </row>
    <row r="2250" spans="1:18" ht="15.75" customHeight="1">
      <c r="A2250" s="26">
        <f ca="1">IFERROR(__xludf.DUMMYFUNCTION("""COMPUTED_VALUE"""),21107)</f>
        <v>21107</v>
      </c>
      <c r="B2250" s="86">
        <f ca="1">IFERROR(__xludf.DUMMYFUNCTION("""COMPUTED_VALUE"""),45231.9174768518)</f>
        <v>45231.917476851799</v>
      </c>
      <c r="C2250" s="1" t="str">
        <f ca="1">IFERROR(__xludf.DUMMYFUNCTION("""COMPUTED_VALUE"""),"completed")</f>
        <v>completed</v>
      </c>
      <c r="D2250" s="26">
        <f ca="1">IFERROR(__xludf.DUMMYFUNCTION("""COMPUTED_VALUE"""),26)</f>
        <v>26</v>
      </c>
      <c r="E2250" s="1" t="str">
        <f ca="1">IFERROR(__xludf.DUMMYFUNCTION("""COMPUTED_VALUE"""),"Lakeshore Lightning Hockey")</f>
        <v>Lakeshore Lightning Hockey</v>
      </c>
      <c r="F2250" s="87" t="str">
        <f t="shared" ca="1" si="0"/>
        <v>2023</v>
      </c>
      <c r="H2250" s="26" t="str">
        <f t="shared" si="1"/>
        <v/>
      </c>
      <c r="I2250" s="26" t="str">
        <f t="shared" si="2"/>
        <v/>
      </c>
      <c r="J2250" s="86">
        <f t="shared" ca="1" si="3"/>
        <v>45231</v>
      </c>
      <c r="R2250" s="26"/>
    </row>
    <row r="2251" spans="1:18" ht="15.75" customHeight="1">
      <c r="A2251" s="26">
        <f ca="1">IFERROR(__xludf.DUMMYFUNCTION("""COMPUTED_VALUE"""),21108)</f>
        <v>21108</v>
      </c>
      <c r="B2251" s="86">
        <f ca="1">IFERROR(__xludf.DUMMYFUNCTION("""COMPUTED_VALUE"""),45231.9258912037)</f>
        <v>45231.925891203697</v>
      </c>
      <c r="C2251" s="1" t="str">
        <f ca="1">IFERROR(__xludf.DUMMYFUNCTION("""COMPUTED_VALUE"""),"completed")</f>
        <v>completed</v>
      </c>
      <c r="D2251" s="26">
        <f ca="1">IFERROR(__xludf.DUMMYFUNCTION("""COMPUTED_VALUE"""),25)</f>
        <v>25</v>
      </c>
      <c r="E2251" s="1" t="str">
        <f ca="1">IFERROR(__xludf.DUMMYFUNCTION("""COMPUTED_VALUE"""),"Lakeshore Lightning Hockey")</f>
        <v>Lakeshore Lightning Hockey</v>
      </c>
      <c r="F2251" s="87" t="str">
        <f t="shared" ca="1" si="0"/>
        <v>2023</v>
      </c>
      <c r="H2251" s="26" t="str">
        <f t="shared" si="1"/>
        <v/>
      </c>
      <c r="I2251" s="26" t="str">
        <f t="shared" si="2"/>
        <v/>
      </c>
      <c r="J2251" s="86">
        <f t="shared" ca="1" si="3"/>
        <v>45231</v>
      </c>
      <c r="R2251" s="26"/>
    </row>
    <row r="2252" spans="1:18" ht="15.75" customHeight="1">
      <c r="A2252" s="26">
        <f ca="1">IFERROR(__xludf.DUMMYFUNCTION("""COMPUTED_VALUE"""),21109)</f>
        <v>21109</v>
      </c>
      <c r="B2252" s="86">
        <f ca="1">IFERROR(__xludf.DUMMYFUNCTION("""COMPUTED_VALUE"""),45231.930949074)</f>
        <v>45231.930949073998</v>
      </c>
      <c r="C2252" s="1" t="str">
        <f ca="1">IFERROR(__xludf.DUMMYFUNCTION("""COMPUTED_VALUE"""),"completed")</f>
        <v>completed</v>
      </c>
      <c r="D2252" s="26">
        <f ca="1">IFERROR(__xludf.DUMMYFUNCTION("""COMPUTED_VALUE"""),25)</f>
        <v>25</v>
      </c>
      <c r="E2252" s="1" t="str">
        <f ca="1">IFERROR(__xludf.DUMMYFUNCTION("""COMPUTED_VALUE"""),"Lakeshore Lightning Hockey")</f>
        <v>Lakeshore Lightning Hockey</v>
      </c>
      <c r="F2252" s="87" t="str">
        <f t="shared" ca="1" si="0"/>
        <v>2023</v>
      </c>
      <c r="H2252" s="26" t="str">
        <f t="shared" si="1"/>
        <v/>
      </c>
      <c r="I2252" s="26" t="str">
        <f t="shared" si="2"/>
        <v/>
      </c>
      <c r="J2252" s="86">
        <f t="shared" ca="1" si="3"/>
        <v>45231</v>
      </c>
      <c r="R2252" s="26"/>
    </row>
    <row r="2253" spans="1:18" ht="15.75" customHeight="1">
      <c r="A2253" s="26">
        <f ca="1">IFERROR(__xludf.DUMMYFUNCTION("""COMPUTED_VALUE"""),21110)</f>
        <v>21110</v>
      </c>
      <c r="B2253" s="86">
        <f ca="1">IFERROR(__xludf.DUMMYFUNCTION("""COMPUTED_VALUE"""),45232.8743518518)</f>
        <v>45232.874351851802</v>
      </c>
      <c r="C2253" s="1" t="str">
        <f ca="1">IFERROR(__xludf.DUMMYFUNCTION("""COMPUTED_VALUE"""),"completed")</f>
        <v>completed</v>
      </c>
      <c r="D2253" s="26">
        <f ca="1">IFERROR(__xludf.DUMMYFUNCTION("""COMPUTED_VALUE"""),25)</f>
        <v>25</v>
      </c>
      <c r="E2253" s="1" t="str">
        <f ca="1">IFERROR(__xludf.DUMMYFUNCTION("""COMPUTED_VALUE"""),"W.M.H.A")</f>
        <v>W.M.H.A</v>
      </c>
      <c r="F2253" s="87" t="str">
        <f t="shared" ca="1" si="0"/>
        <v>2023</v>
      </c>
      <c r="H2253" s="26" t="str">
        <f t="shared" si="1"/>
        <v/>
      </c>
      <c r="I2253" s="26" t="str">
        <f t="shared" si="2"/>
        <v/>
      </c>
      <c r="J2253" s="86">
        <f t="shared" ca="1" si="3"/>
        <v>45232</v>
      </c>
      <c r="R2253" s="26"/>
    </row>
    <row r="2254" spans="1:18" ht="15.75" customHeight="1">
      <c r="A2254" s="26">
        <f ca="1">IFERROR(__xludf.DUMMYFUNCTION("""COMPUTED_VALUE"""),21111)</f>
        <v>21111</v>
      </c>
      <c r="B2254" s="86">
        <f ca="1">IFERROR(__xludf.DUMMYFUNCTION("""COMPUTED_VALUE"""),45232.9682407407)</f>
        <v>45232.968240740702</v>
      </c>
      <c r="C2254" s="1" t="str">
        <f ca="1">IFERROR(__xludf.DUMMYFUNCTION("""COMPUTED_VALUE"""),"completed")</f>
        <v>completed</v>
      </c>
      <c r="D2254" s="26">
        <f ca="1">IFERROR(__xludf.DUMMYFUNCTION("""COMPUTED_VALUE"""),28)</f>
        <v>28</v>
      </c>
      <c r="E2254" s="1" t="str">
        <f ca="1">IFERROR(__xludf.DUMMYFUNCTION("""COMPUTED_VALUE"""),"Lakeshore Lightning Hockey")</f>
        <v>Lakeshore Lightning Hockey</v>
      </c>
      <c r="F2254" s="87" t="str">
        <f t="shared" ca="1" si="0"/>
        <v>2023</v>
      </c>
      <c r="H2254" s="26" t="str">
        <f t="shared" si="1"/>
        <v/>
      </c>
      <c r="I2254" s="26" t="str">
        <f t="shared" si="2"/>
        <v/>
      </c>
      <c r="J2254" s="86">
        <f t="shared" ca="1" si="3"/>
        <v>45232</v>
      </c>
      <c r="R2254" s="26"/>
    </row>
    <row r="2255" spans="1:18" ht="15.75" customHeight="1">
      <c r="A2255" s="26">
        <f ca="1">IFERROR(__xludf.DUMMYFUNCTION("""COMPUTED_VALUE"""),21112)</f>
        <v>21112</v>
      </c>
      <c r="B2255" s="86">
        <f ca="1">IFERROR(__xludf.DUMMYFUNCTION("""COMPUTED_VALUE"""),45232.9976736111)</f>
        <v>45232.997673611098</v>
      </c>
      <c r="C2255" s="1" t="str">
        <f ca="1">IFERROR(__xludf.DUMMYFUNCTION("""COMPUTED_VALUE"""),"completed")</f>
        <v>completed</v>
      </c>
      <c r="D2255" s="26">
        <f ca="1">IFERROR(__xludf.DUMMYFUNCTION("""COMPUTED_VALUE"""),22)</f>
        <v>22</v>
      </c>
      <c r="E2255" s="1" t="str">
        <f ca="1">IFERROR(__xludf.DUMMYFUNCTION("""COMPUTED_VALUE"""),"W.M.H.A")</f>
        <v>W.M.H.A</v>
      </c>
      <c r="F2255" s="87" t="str">
        <f t="shared" ca="1" si="0"/>
        <v>2023</v>
      </c>
      <c r="H2255" s="26" t="str">
        <f t="shared" si="1"/>
        <v/>
      </c>
      <c r="I2255" s="26" t="str">
        <f t="shared" si="2"/>
        <v/>
      </c>
      <c r="J2255" s="86">
        <f t="shared" ca="1" si="3"/>
        <v>45232</v>
      </c>
      <c r="R2255" s="26"/>
    </row>
    <row r="2256" spans="1:18" ht="15.75" customHeight="1">
      <c r="A2256" s="26">
        <f ca="1">IFERROR(__xludf.DUMMYFUNCTION("""COMPUTED_VALUE"""),21113)</f>
        <v>21113</v>
      </c>
      <c r="B2256" s="86">
        <f ca="1">IFERROR(__xludf.DUMMYFUNCTION("""COMPUTED_VALUE"""),45233.0467476851)</f>
        <v>45233.046747685097</v>
      </c>
      <c r="C2256" s="1" t="str">
        <f ca="1">IFERROR(__xludf.DUMMYFUNCTION("""COMPUTED_VALUE"""),"completed")</f>
        <v>completed</v>
      </c>
      <c r="D2256" s="26">
        <f ca="1">IFERROR(__xludf.DUMMYFUNCTION("""COMPUTED_VALUE"""),22)</f>
        <v>22</v>
      </c>
      <c r="E2256" s="1" t="str">
        <f ca="1">IFERROR(__xludf.DUMMYFUNCTION("""COMPUTED_VALUE"""),"Lakeshore Lightning Hockey")</f>
        <v>Lakeshore Lightning Hockey</v>
      </c>
      <c r="F2256" s="87" t="str">
        <f t="shared" ca="1" si="0"/>
        <v>2023</v>
      </c>
      <c r="H2256" s="26" t="str">
        <f t="shared" si="1"/>
        <v/>
      </c>
      <c r="I2256" s="26" t="str">
        <f t="shared" si="2"/>
        <v/>
      </c>
      <c r="J2256" s="86">
        <f t="shared" ca="1" si="3"/>
        <v>45233</v>
      </c>
      <c r="R2256" s="26"/>
    </row>
    <row r="2257" spans="1:18" ht="15.75" customHeight="1">
      <c r="A2257" s="26">
        <f ca="1">IFERROR(__xludf.DUMMYFUNCTION("""COMPUTED_VALUE"""),21114)</f>
        <v>21114</v>
      </c>
      <c r="B2257" s="86">
        <f ca="1">IFERROR(__xludf.DUMMYFUNCTION("""COMPUTED_VALUE"""),45233.6080787037)</f>
        <v>45233.608078703699</v>
      </c>
      <c r="C2257" s="1" t="str">
        <f ca="1">IFERROR(__xludf.DUMMYFUNCTION("""COMPUTED_VALUE"""),"completed")</f>
        <v>completed</v>
      </c>
      <c r="D2257" s="26">
        <f ca="1">IFERROR(__xludf.DUMMYFUNCTION("""COMPUTED_VALUE"""),48)</f>
        <v>48</v>
      </c>
      <c r="E2257" s="1" t="str">
        <f ca="1">IFERROR(__xludf.DUMMYFUNCTION("""COMPUTED_VALUE"""),"Lakeshore Lightning Hockey")</f>
        <v>Lakeshore Lightning Hockey</v>
      </c>
      <c r="F2257" s="87" t="str">
        <f t="shared" ca="1" si="0"/>
        <v>2023</v>
      </c>
      <c r="H2257" s="26" t="str">
        <f t="shared" si="1"/>
        <v/>
      </c>
      <c r="I2257" s="26" t="str">
        <f t="shared" si="2"/>
        <v/>
      </c>
      <c r="J2257" s="86">
        <f t="shared" ca="1" si="3"/>
        <v>45233</v>
      </c>
      <c r="R2257" s="26"/>
    </row>
    <row r="2258" spans="1:18" ht="15.75" customHeight="1">
      <c r="A2258" s="26">
        <f ca="1">IFERROR(__xludf.DUMMYFUNCTION("""COMPUTED_VALUE"""),21115)</f>
        <v>21115</v>
      </c>
      <c r="B2258" s="86">
        <f ca="1">IFERROR(__xludf.DUMMYFUNCTION("""COMPUTED_VALUE"""),45233.6807060185)</f>
        <v>45233.680706018502</v>
      </c>
      <c r="C2258" s="1" t="str">
        <f ca="1">IFERROR(__xludf.DUMMYFUNCTION("""COMPUTED_VALUE"""),"completed")</f>
        <v>completed</v>
      </c>
      <c r="D2258" s="26">
        <f ca="1">IFERROR(__xludf.DUMMYFUNCTION("""COMPUTED_VALUE"""),15)</f>
        <v>15</v>
      </c>
      <c r="E2258" s="1" t="str">
        <f ca="1">IFERROR(__xludf.DUMMYFUNCTION("""COMPUTED_VALUE"""),"Lakeshore Lightning Hockey")</f>
        <v>Lakeshore Lightning Hockey</v>
      </c>
      <c r="F2258" s="87" t="str">
        <f t="shared" ca="1" si="0"/>
        <v>2023</v>
      </c>
      <c r="H2258" s="26" t="str">
        <f t="shared" si="1"/>
        <v/>
      </c>
      <c r="I2258" s="26" t="str">
        <f t="shared" si="2"/>
        <v/>
      </c>
      <c r="J2258" s="86">
        <f t="shared" ca="1" si="3"/>
        <v>45233</v>
      </c>
      <c r="R2258" s="26"/>
    </row>
    <row r="2259" spans="1:18" ht="15.75" customHeight="1">
      <c r="A2259" s="26">
        <f ca="1">IFERROR(__xludf.DUMMYFUNCTION("""COMPUTED_VALUE"""),21116)</f>
        <v>21116</v>
      </c>
      <c r="B2259" s="86">
        <f ca="1">IFERROR(__xludf.DUMMYFUNCTION("""COMPUTED_VALUE"""),45233.6875231481)</f>
        <v>45233.687523148103</v>
      </c>
      <c r="C2259" s="1" t="str">
        <f ca="1">IFERROR(__xludf.DUMMYFUNCTION("""COMPUTED_VALUE"""),"completed")</f>
        <v>completed</v>
      </c>
      <c r="D2259" s="26">
        <f ca="1">IFERROR(__xludf.DUMMYFUNCTION("""COMPUTED_VALUE"""),15)</f>
        <v>15</v>
      </c>
      <c r="E2259" s="1" t="str">
        <f ca="1">IFERROR(__xludf.DUMMYFUNCTION("""COMPUTED_VALUE"""),"Sun County Panthers Hockey")</f>
        <v>Sun County Panthers Hockey</v>
      </c>
      <c r="F2259" s="87" t="str">
        <f t="shared" ca="1" si="0"/>
        <v>2023</v>
      </c>
      <c r="H2259" s="26" t="str">
        <f t="shared" si="1"/>
        <v/>
      </c>
      <c r="I2259" s="26" t="str">
        <f t="shared" si="2"/>
        <v/>
      </c>
      <c r="J2259" s="86">
        <f t="shared" ca="1" si="3"/>
        <v>45233</v>
      </c>
      <c r="R2259" s="26"/>
    </row>
    <row r="2260" spans="1:18" ht="15.75" customHeight="1">
      <c r="A2260" s="26">
        <f ca="1">IFERROR(__xludf.DUMMYFUNCTION("""COMPUTED_VALUE"""),21118)</f>
        <v>21118</v>
      </c>
      <c r="B2260" s="86">
        <f ca="1">IFERROR(__xludf.DUMMYFUNCTION("""COMPUTED_VALUE"""),45233.9359722222)</f>
        <v>45233.9359722222</v>
      </c>
      <c r="C2260" s="1" t="str">
        <f ca="1">IFERROR(__xludf.DUMMYFUNCTION("""COMPUTED_VALUE"""),"completed")</f>
        <v>completed</v>
      </c>
      <c r="D2260" s="26">
        <f ca="1">IFERROR(__xludf.DUMMYFUNCTION("""COMPUTED_VALUE"""),35)</f>
        <v>35</v>
      </c>
      <c r="E2260" s="1" t="str">
        <f ca="1">IFERROR(__xludf.DUMMYFUNCTION("""COMPUTED_VALUE"""),"Lakeshore Lightning Hockey")</f>
        <v>Lakeshore Lightning Hockey</v>
      </c>
      <c r="F2260" s="87" t="str">
        <f t="shared" ca="1" si="0"/>
        <v>2023</v>
      </c>
      <c r="H2260" s="26" t="str">
        <f t="shared" si="1"/>
        <v/>
      </c>
      <c r="I2260" s="26" t="str">
        <f t="shared" si="2"/>
        <v/>
      </c>
      <c r="J2260" s="86">
        <f t="shared" ca="1" si="3"/>
        <v>45233</v>
      </c>
      <c r="R2260" s="26"/>
    </row>
    <row r="2261" spans="1:18" ht="15.75" customHeight="1">
      <c r="A2261" s="26">
        <f ca="1">IFERROR(__xludf.DUMMYFUNCTION("""COMPUTED_VALUE"""),21117)</f>
        <v>21117</v>
      </c>
      <c r="B2261" s="86">
        <f ca="1">IFERROR(__xludf.DUMMYFUNCTION("""COMPUTED_VALUE"""),45233.9347916666)</f>
        <v>45233.934791666601</v>
      </c>
      <c r="C2261" s="1" t="str">
        <f ca="1">IFERROR(__xludf.DUMMYFUNCTION("""COMPUTED_VALUE"""),"completed")</f>
        <v>completed</v>
      </c>
      <c r="D2261" s="26">
        <f ca="1">IFERROR(__xludf.DUMMYFUNCTION("""COMPUTED_VALUE"""),35)</f>
        <v>35</v>
      </c>
      <c r="E2261" s="1" t="str">
        <f ca="1">IFERROR(__xludf.DUMMYFUNCTION("""COMPUTED_VALUE"""),"Lakeshore Lightning Hockey")</f>
        <v>Lakeshore Lightning Hockey</v>
      </c>
      <c r="F2261" s="87" t="str">
        <f t="shared" ca="1" si="0"/>
        <v>2023</v>
      </c>
      <c r="H2261" s="26" t="str">
        <f t="shared" si="1"/>
        <v/>
      </c>
      <c r="I2261" s="26" t="str">
        <f t="shared" si="2"/>
        <v/>
      </c>
      <c r="J2261" s="86">
        <f t="shared" ca="1" si="3"/>
        <v>45233</v>
      </c>
      <c r="R2261" s="26"/>
    </row>
    <row r="2262" spans="1:18" ht="15.75" customHeight="1">
      <c r="A2262" s="26">
        <f ca="1">IFERROR(__xludf.DUMMYFUNCTION("""COMPUTED_VALUE"""),21119)</f>
        <v>21119</v>
      </c>
      <c r="B2262" s="86">
        <f ca="1">IFERROR(__xludf.DUMMYFUNCTION("""COMPUTED_VALUE"""),45234.019849537)</f>
        <v>45234.019849536999</v>
      </c>
      <c r="C2262" s="1" t="str">
        <f ca="1">IFERROR(__xludf.DUMMYFUNCTION("""COMPUTED_VALUE"""),"completed")</f>
        <v>completed</v>
      </c>
      <c r="D2262" s="26">
        <f ca="1">IFERROR(__xludf.DUMMYFUNCTION("""COMPUTED_VALUE"""),22)</f>
        <v>22</v>
      </c>
      <c r="E2262" s="1" t="str">
        <f ca="1">IFERROR(__xludf.DUMMYFUNCTION("""COMPUTED_VALUE"""),"W.M.H.A")</f>
        <v>W.M.H.A</v>
      </c>
      <c r="F2262" s="87" t="str">
        <f t="shared" ca="1" si="0"/>
        <v>2023</v>
      </c>
      <c r="H2262" s="26" t="str">
        <f t="shared" si="1"/>
        <v/>
      </c>
      <c r="I2262" s="26" t="str">
        <f t="shared" si="2"/>
        <v/>
      </c>
      <c r="J2262" s="86">
        <f t="shared" ca="1" si="3"/>
        <v>45234</v>
      </c>
      <c r="R2262" s="26"/>
    </row>
    <row r="2263" spans="1:18" ht="15.75" customHeight="1">
      <c r="A2263" s="26">
        <f ca="1">IFERROR(__xludf.DUMMYFUNCTION("""COMPUTED_VALUE"""),21120)</f>
        <v>21120</v>
      </c>
      <c r="B2263" s="86">
        <f ca="1">IFERROR(__xludf.DUMMYFUNCTION("""COMPUTED_VALUE"""),45234.6886574074)</f>
        <v>45234.688657407401</v>
      </c>
      <c r="C2263" s="1" t="str">
        <f ca="1">IFERROR(__xludf.DUMMYFUNCTION("""COMPUTED_VALUE"""),"completed")</f>
        <v>completed</v>
      </c>
      <c r="D2263" s="26">
        <f ca="1">IFERROR(__xludf.DUMMYFUNCTION("""COMPUTED_VALUE"""),25)</f>
        <v>25</v>
      </c>
      <c r="E2263" s="1" t="str">
        <f ca="1">IFERROR(__xludf.DUMMYFUNCTION("""COMPUTED_VALUE"""),"Lakeshore Lightning Hockey")</f>
        <v>Lakeshore Lightning Hockey</v>
      </c>
      <c r="F2263" s="87" t="str">
        <f t="shared" ca="1" si="0"/>
        <v>2023</v>
      </c>
      <c r="H2263" s="26" t="str">
        <f t="shared" si="1"/>
        <v/>
      </c>
      <c r="I2263" s="26" t="str">
        <f t="shared" si="2"/>
        <v/>
      </c>
      <c r="J2263" s="86">
        <f t="shared" ca="1" si="3"/>
        <v>45234</v>
      </c>
      <c r="R2263" s="26"/>
    </row>
    <row r="2264" spans="1:18" ht="15.75" customHeight="1">
      <c r="A2264" s="26">
        <f ca="1">IFERROR(__xludf.DUMMYFUNCTION("""COMPUTED_VALUE"""),21145)</f>
        <v>21145</v>
      </c>
      <c r="B2264" s="86">
        <f ca="1">IFERROR(__xludf.DUMMYFUNCTION("""COMPUTED_VALUE"""),45235.0155787037)</f>
        <v>45235.0155787037</v>
      </c>
      <c r="C2264" s="1" t="str">
        <f ca="1">IFERROR(__xludf.DUMMYFUNCTION("""COMPUTED_VALUE"""),"completed")</f>
        <v>completed</v>
      </c>
      <c r="D2264" s="26">
        <f ca="1">IFERROR(__xludf.DUMMYFUNCTION("""COMPUTED_VALUE"""),42)</f>
        <v>42</v>
      </c>
      <c r="E2264" s="1" t="str">
        <f ca="1">IFERROR(__xludf.DUMMYFUNCTION("""COMPUTED_VALUE"""),"Lakeshore Lightning Hockey")</f>
        <v>Lakeshore Lightning Hockey</v>
      </c>
      <c r="F2264" s="87" t="str">
        <f t="shared" ca="1" si="0"/>
        <v>2023</v>
      </c>
      <c r="H2264" s="26" t="str">
        <f t="shared" si="1"/>
        <v/>
      </c>
      <c r="I2264" s="26" t="str">
        <f t="shared" si="2"/>
        <v/>
      </c>
      <c r="J2264" s="86">
        <f t="shared" ca="1" si="3"/>
        <v>45235</v>
      </c>
      <c r="R2264" s="26"/>
    </row>
    <row r="2265" spans="1:18" ht="15.75" customHeight="1">
      <c r="A2265" s="26">
        <f ca="1">IFERROR(__xludf.DUMMYFUNCTION("""COMPUTED_VALUE"""),21146)</f>
        <v>21146</v>
      </c>
      <c r="B2265" s="86">
        <f ca="1">IFERROR(__xludf.DUMMYFUNCTION("""COMPUTED_VALUE"""),45235.0301041666)</f>
        <v>45235.030104166603</v>
      </c>
      <c r="C2265" s="1" t="str">
        <f ca="1">IFERROR(__xludf.DUMMYFUNCTION("""COMPUTED_VALUE"""),"completed")</f>
        <v>completed</v>
      </c>
      <c r="D2265" s="26">
        <f ca="1">IFERROR(__xludf.DUMMYFUNCTION("""COMPUTED_VALUE"""),25)</f>
        <v>25</v>
      </c>
      <c r="E2265" s="1" t="str">
        <f ca="1">IFERROR(__xludf.DUMMYFUNCTION("""COMPUTED_VALUE"""),"Lakeshore Lightning Hockey")</f>
        <v>Lakeshore Lightning Hockey</v>
      </c>
      <c r="F2265" s="87" t="str">
        <f t="shared" ca="1" si="0"/>
        <v>2023</v>
      </c>
      <c r="H2265" s="26" t="str">
        <f t="shared" si="1"/>
        <v/>
      </c>
      <c r="I2265" s="26" t="str">
        <f t="shared" si="2"/>
        <v/>
      </c>
      <c r="J2265" s="86">
        <f t="shared" ca="1" si="3"/>
        <v>45235</v>
      </c>
      <c r="R2265" s="26"/>
    </row>
    <row r="2266" spans="1:18" ht="15.75" customHeight="1">
      <c r="A2266" s="26">
        <f ca="1">IFERROR(__xludf.DUMMYFUNCTION("""COMPUTED_VALUE"""),21147)</f>
        <v>21147</v>
      </c>
      <c r="B2266" s="86">
        <f ca="1">IFERROR(__xludf.DUMMYFUNCTION("""COMPUTED_VALUE"""),45235.6131597222)</f>
        <v>45235.613159722197</v>
      </c>
      <c r="C2266" s="1" t="str">
        <f ca="1">IFERROR(__xludf.DUMMYFUNCTION("""COMPUTED_VALUE"""),"completed")</f>
        <v>completed</v>
      </c>
      <c r="D2266" s="26">
        <f ca="1">IFERROR(__xludf.DUMMYFUNCTION("""COMPUTED_VALUE"""),37)</f>
        <v>37</v>
      </c>
      <c r="E2266" s="1" t="str">
        <f ca="1">IFERROR(__xludf.DUMMYFUNCTION("""COMPUTED_VALUE"""),"WMFA")</f>
        <v>WMFA</v>
      </c>
      <c r="F2266" s="87" t="str">
        <f t="shared" ca="1" si="0"/>
        <v>2023</v>
      </c>
      <c r="H2266" s="26" t="str">
        <f t="shared" si="1"/>
        <v/>
      </c>
      <c r="I2266" s="26" t="str">
        <f t="shared" si="2"/>
        <v/>
      </c>
      <c r="J2266" s="86">
        <f t="shared" ca="1" si="3"/>
        <v>45235</v>
      </c>
      <c r="R2266" s="26"/>
    </row>
    <row r="2267" spans="1:18" ht="15.75" customHeight="1">
      <c r="A2267" s="26">
        <f ca="1">IFERROR(__xludf.DUMMYFUNCTION("""COMPUTED_VALUE"""),21149)</f>
        <v>21149</v>
      </c>
      <c r="B2267" s="86">
        <f ca="1">IFERROR(__xludf.DUMMYFUNCTION("""COMPUTED_VALUE"""),45235.7183101851)</f>
        <v>45235.718310185097</v>
      </c>
      <c r="C2267" s="1" t="str">
        <f ca="1">IFERROR(__xludf.DUMMYFUNCTION("""COMPUTED_VALUE"""),"completed")</f>
        <v>completed</v>
      </c>
      <c r="D2267" s="26">
        <f ca="1">IFERROR(__xludf.DUMMYFUNCTION("""COMPUTED_VALUE"""),25)</f>
        <v>25</v>
      </c>
      <c r="E2267" s="1" t="str">
        <f ca="1">IFERROR(__xludf.DUMMYFUNCTION("""COMPUTED_VALUE"""),"WMFA")</f>
        <v>WMFA</v>
      </c>
      <c r="F2267" s="87" t="str">
        <f t="shared" ca="1" si="0"/>
        <v>2023</v>
      </c>
      <c r="H2267" s="26" t="str">
        <f t="shared" si="1"/>
        <v/>
      </c>
      <c r="I2267" s="26" t="str">
        <f t="shared" si="2"/>
        <v/>
      </c>
      <c r="J2267" s="86">
        <f t="shared" ca="1" si="3"/>
        <v>45235</v>
      </c>
      <c r="R2267" s="26"/>
    </row>
    <row r="2268" spans="1:18" ht="15.75" customHeight="1">
      <c r="A2268" s="26">
        <f ca="1">IFERROR(__xludf.DUMMYFUNCTION("""COMPUTED_VALUE"""),21151)</f>
        <v>21151</v>
      </c>
      <c r="B2268" s="86">
        <f ca="1">IFERROR(__xludf.DUMMYFUNCTION("""COMPUTED_VALUE"""),45235.843125)</f>
        <v>45235.843124999999</v>
      </c>
      <c r="C2268" s="1" t="str">
        <f ca="1">IFERROR(__xludf.DUMMYFUNCTION("""COMPUTED_VALUE"""),"completed")</f>
        <v>completed</v>
      </c>
      <c r="D2268" s="26">
        <f ca="1">IFERROR(__xludf.DUMMYFUNCTION("""COMPUTED_VALUE"""),25)</f>
        <v>25</v>
      </c>
      <c r="E2268" s="1" t="str">
        <f ca="1">IFERROR(__xludf.DUMMYFUNCTION("""COMPUTED_VALUE"""),"Lakeshore Lightning Hockey")</f>
        <v>Lakeshore Lightning Hockey</v>
      </c>
      <c r="F2268" s="87" t="str">
        <f t="shared" ca="1" si="0"/>
        <v>2023</v>
      </c>
      <c r="H2268" s="26" t="str">
        <f t="shared" si="1"/>
        <v/>
      </c>
      <c r="I2268" s="26" t="str">
        <f t="shared" si="2"/>
        <v/>
      </c>
      <c r="J2268" s="86">
        <f t="shared" ca="1" si="3"/>
        <v>45235</v>
      </c>
      <c r="R2268" s="26"/>
    </row>
    <row r="2269" spans="1:18" ht="15.75" customHeight="1">
      <c r="A2269" s="26">
        <f ca="1">IFERROR(__xludf.DUMMYFUNCTION("""COMPUTED_VALUE"""),21150)</f>
        <v>21150</v>
      </c>
      <c r="B2269" s="86">
        <f ca="1">IFERROR(__xludf.DUMMYFUNCTION("""COMPUTED_VALUE"""),45235.8406597222)</f>
        <v>45235.840659722198</v>
      </c>
      <c r="C2269" s="1" t="str">
        <f ca="1">IFERROR(__xludf.DUMMYFUNCTION("""COMPUTED_VALUE"""),"completed")</f>
        <v>completed</v>
      </c>
      <c r="D2269" s="26">
        <f ca="1">IFERROR(__xludf.DUMMYFUNCTION("""COMPUTED_VALUE"""),25)</f>
        <v>25</v>
      </c>
      <c r="E2269" s="1" t="str">
        <f ca="1">IFERROR(__xludf.DUMMYFUNCTION("""COMPUTED_VALUE"""),"Lakeshore Lightning Hockey")</f>
        <v>Lakeshore Lightning Hockey</v>
      </c>
      <c r="F2269" s="87" t="str">
        <f t="shared" ca="1" si="0"/>
        <v>2023</v>
      </c>
      <c r="H2269" s="26" t="str">
        <f t="shared" si="1"/>
        <v/>
      </c>
      <c r="I2269" s="26" t="str">
        <f t="shared" si="2"/>
        <v/>
      </c>
      <c r="J2269" s="86">
        <f t="shared" ca="1" si="3"/>
        <v>45235</v>
      </c>
      <c r="R2269" s="26"/>
    </row>
    <row r="2270" spans="1:18" ht="15.75" customHeight="1">
      <c r="A2270" s="26">
        <f ca="1">IFERROR(__xludf.DUMMYFUNCTION("""COMPUTED_VALUE"""),21152)</f>
        <v>21152</v>
      </c>
      <c r="B2270" s="86">
        <f ca="1">IFERROR(__xludf.DUMMYFUNCTION("""COMPUTED_VALUE"""),45235.8895833333)</f>
        <v>45235.889583333301</v>
      </c>
      <c r="C2270" s="1" t="str">
        <f ca="1">IFERROR(__xludf.DUMMYFUNCTION("""COMPUTED_VALUE"""),"completed")</f>
        <v>completed</v>
      </c>
      <c r="D2270" s="26">
        <f ca="1">IFERROR(__xludf.DUMMYFUNCTION("""COMPUTED_VALUE"""),26)</f>
        <v>26</v>
      </c>
      <c r="E2270" s="1" t="str">
        <f ca="1">IFERROR(__xludf.DUMMYFUNCTION("""COMPUTED_VALUE"""),"Lakeshore Lightning Hockey")</f>
        <v>Lakeshore Lightning Hockey</v>
      </c>
      <c r="F2270" s="87" t="str">
        <f t="shared" ca="1" si="0"/>
        <v>2023</v>
      </c>
      <c r="H2270" s="26" t="str">
        <f t="shared" si="1"/>
        <v/>
      </c>
      <c r="I2270" s="26" t="str">
        <f t="shared" si="2"/>
        <v/>
      </c>
      <c r="J2270" s="86">
        <f t="shared" ca="1" si="3"/>
        <v>45235</v>
      </c>
      <c r="R2270" s="26"/>
    </row>
    <row r="2271" spans="1:18" ht="15.75" customHeight="1">
      <c r="A2271" s="26">
        <f ca="1">IFERROR(__xludf.DUMMYFUNCTION("""COMPUTED_VALUE"""),21153)</f>
        <v>21153</v>
      </c>
      <c r="B2271" s="86">
        <f ca="1">IFERROR(__xludf.DUMMYFUNCTION("""COMPUTED_VALUE"""),45235.9098263888)</f>
        <v>45235.909826388801</v>
      </c>
      <c r="C2271" s="1" t="str">
        <f ca="1">IFERROR(__xludf.DUMMYFUNCTION("""COMPUTED_VALUE"""),"completed")</f>
        <v>completed</v>
      </c>
      <c r="D2271" s="26">
        <f ca="1">IFERROR(__xludf.DUMMYFUNCTION("""COMPUTED_VALUE"""),25)</f>
        <v>25</v>
      </c>
      <c r="E2271" s="1" t="str">
        <f ca="1">IFERROR(__xludf.DUMMYFUNCTION("""COMPUTED_VALUE"""),"W.M.H.A")</f>
        <v>W.M.H.A</v>
      </c>
      <c r="F2271" s="87" t="str">
        <f t="shared" ca="1" si="0"/>
        <v>2023</v>
      </c>
      <c r="H2271" s="26" t="str">
        <f t="shared" si="1"/>
        <v/>
      </c>
      <c r="I2271" s="26" t="str">
        <f t="shared" si="2"/>
        <v/>
      </c>
      <c r="J2271" s="86">
        <f t="shared" ca="1" si="3"/>
        <v>45235</v>
      </c>
      <c r="R2271" s="26"/>
    </row>
    <row r="2272" spans="1:18" ht="15.75" customHeight="1">
      <c r="A2272" s="26">
        <f ca="1">IFERROR(__xludf.DUMMYFUNCTION("""COMPUTED_VALUE"""),21154)</f>
        <v>21154</v>
      </c>
      <c r="B2272" s="86">
        <f ca="1">IFERROR(__xludf.DUMMYFUNCTION("""COMPUTED_VALUE"""),45235.9656481481)</f>
        <v>45235.9656481481</v>
      </c>
      <c r="C2272" s="1" t="str">
        <f ca="1">IFERROR(__xludf.DUMMYFUNCTION("""COMPUTED_VALUE"""),"completed")</f>
        <v>completed</v>
      </c>
      <c r="D2272" s="26">
        <f ca="1">IFERROR(__xludf.DUMMYFUNCTION("""COMPUTED_VALUE"""),26)</f>
        <v>26</v>
      </c>
      <c r="E2272" s="1" t="str">
        <f ca="1">IFERROR(__xludf.DUMMYFUNCTION("""COMPUTED_VALUE"""),"W.M.H.A")</f>
        <v>W.M.H.A</v>
      </c>
      <c r="F2272" s="87" t="str">
        <f t="shared" ca="1" si="0"/>
        <v>2023</v>
      </c>
      <c r="H2272" s="26" t="str">
        <f t="shared" si="1"/>
        <v/>
      </c>
      <c r="I2272" s="26" t="str">
        <f t="shared" si="2"/>
        <v/>
      </c>
      <c r="J2272" s="86">
        <f t="shared" ca="1" si="3"/>
        <v>45235</v>
      </c>
      <c r="R2272" s="26"/>
    </row>
    <row r="2273" spans="1:18" ht="15.75" customHeight="1">
      <c r="A2273" s="26">
        <f ca="1">IFERROR(__xludf.DUMMYFUNCTION("""COMPUTED_VALUE"""),21155)</f>
        <v>21155</v>
      </c>
      <c r="B2273" s="86">
        <f ca="1">IFERROR(__xludf.DUMMYFUNCTION("""COMPUTED_VALUE"""),45236.0324074074)</f>
        <v>45236.032407407401</v>
      </c>
      <c r="C2273" s="1" t="str">
        <f ca="1">IFERROR(__xludf.DUMMYFUNCTION("""COMPUTED_VALUE"""),"completed")</f>
        <v>completed</v>
      </c>
      <c r="D2273" s="26">
        <f ca="1">IFERROR(__xludf.DUMMYFUNCTION("""COMPUTED_VALUE"""),41)</f>
        <v>41</v>
      </c>
      <c r="E2273" s="1" t="str">
        <f ca="1">IFERROR(__xludf.DUMMYFUNCTION("""COMPUTED_VALUE"""),"W.M.H.A")</f>
        <v>W.M.H.A</v>
      </c>
      <c r="F2273" s="87" t="str">
        <f t="shared" ca="1" si="0"/>
        <v>2023</v>
      </c>
      <c r="H2273" s="26" t="str">
        <f t="shared" si="1"/>
        <v/>
      </c>
      <c r="I2273" s="26" t="str">
        <f t="shared" si="2"/>
        <v/>
      </c>
      <c r="J2273" s="86">
        <f t="shared" ca="1" si="3"/>
        <v>45236</v>
      </c>
      <c r="R2273" s="26"/>
    </row>
    <row r="2274" spans="1:18" ht="15.75" customHeight="1">
      <c r="A2274" s="26">
        <f ca="1">IFERROR(__xludf.DUMMYFUNCTION("""COMPUTED_VALUE"""),21156)</f>
        <v>21156</v>
      </c>
      <c r="B2274" s="86">
        <f ca="1">IFERROR(__xludf.DUMMYFUNCTION("""COMPUTED_VALUE"""),45236.077511574)</f>
        <v>45236.077511574003</v>
      </c>
      <c r="C2274" s="1" t="str">
        <f ca="1">IFERROR(__xludf.DUMMYFUNCTION("""COMPUTED_VALUE"""),"completed")</f>
        <v>completed</v>
      </c>
      <c r="D2274" s="26">
        <f ca="1">IFERROR(__xludf.DUMMYFUNCTION("""COMPUTED_VALUE"""),119)</f>
        <v>119</v>
      </c>
      <c r="E2274" s="1" t="str">
        <f ca="1">IFERROR(__xludf.DUMMYFUNCTION("""COMPUTED_VALUE"""),"W.M.H.A")</f>
        <v>W.M.H.A</v>
      </c>
      <c r="F2274" s="87" t="str">
        <f t="shared" ca="1" si="0"/>
        <v>2023</v>
      </c>
      <c r="H2274" s="26" t="str">
        <f t="shared" si="1"/>
        <v/>
      </c>
      <c r="I2274" s="26" t="str">
        <f t="shared" si="2"/>
        <v/>
      </c>
      <c r="J2274" s="86">
        <f t="shared" ca="1" si="3"/>
        <v>45236</v>
      </c>
      <c r="R2274" s="26"/>
    </row>
    <row r="2275" spans="1:18" ht="15.75" customHeight="1">
      <c r="A2275" s="26">
        <f ca="1">IFERROR(__xludf.DUMMYFUNCTION("""COMPUTED_VALUE"""),21157)</f>
        <v>21157</v>
      </c>
      <c r="B2275" s="86">
        <f ca="1">IFERROR(__xludf.DUMMYFUNCTION("""COMPUTED_VALUE"""),45236.5759953703)</f>
        <v>45236.575995370302</v>
      </c>
      <c r="C2275" s="1" t="str">
        <f ca="1">IFERROR(__xludf.DUMMYFUNCTION("""COMPUTED_VALUE"""),"completed")</f>
        <v>completed</v>
      </c>
      <c r="D2275" s="26">
        <f ca="1">IFERROR(__xludf.DUMMYFUNCTION("""COMPUTED_VALUE"""),35)</f>
        <v>35</v>
      </c>
      <c r="E2275" s="1" t="str">
        <f ca="1">IFERROR(__xludf.DUMMYFUNCTION("""COMPUTED_VALUE"""),"W.M.H.A")</f>
        <v>W.M.H.A</v>
      </c>
      <c r="F2275" s="87" t="str">
        <f t="shared" ca="1" si="0"/>
        <v>2023</v>
      </c>
      <c r="H2275" s="26" t="str">
        <f t="shared" si="1"/>
        <v/>
      </c>
      <c r="I2275" s="26" t="str">
        <f t="shared" si="2"/>
        <v/>
      </c>
      <c r="J2275" s="86">
        <f t="shared" ca="1" si="3"/>
        <v>45236</v>
      </c>
      <c r="R2275" s="26"/>
    </row>
    <row r="2276" spans="1:18" ht="15.75" customHeight="1">
      <c r="A2276" s="26">
        <f ca="1">IFERROR(__xludf.DUMMYFUNCTION("""COMPUTED_VALUE"""),21159)</f>
        <v>21159</v>
      </c>
      <c r="B2276" s="86">
        <f ca="1">IFERROR(__xludf.DUMMYFUNCTION("""COMPUTED_VALUE"""),45236.6241898148)</f>
        <v>45236.6241898148</v>
      </c>
      <c r="C2276" s="1" t="str">
        <f ca="1">IFERROR(__xludf.DUMMYFUNCTION("""COMPUTED_VALUE"""),"completed")</f>
        <v>completed</v>
      </c>
      <c r="D2276" s="26">
        <f ca="1">IFERROR(__xludf.DUMMYFUNCTION("""COMPUTED_VALUE"""),28)</f>
        <v>28</v>
      </c>
      <c r="E2276" s="1" t="str">
        <f ca="1">IFERROR(__xludf.DUMMYFUNCTION("""COMPUTED_VALUE"""),"WMFA")</f>
        <v>WMFA</v>
      </c>
      <c r="F2276" s="87" t="str">
        <f t="shared" ca="1" si="0"/>
        <v>2023</v>
      </c>
      <c r="H2276" s="26" t="str">
        <f t="shared" si="1"/>
        <v/>
      </c>
      <c r="I2276" s="26" t="str">
        <f t="shared" si="2"/>
        <v/>
      </c>
      <c r="J2276" s="86">
        <f t="shared" ca="1" si="3"/>
        <v>45236</v>
      </c>
      <c r="R2276" s="26"/>
    </row>
    <row r="2277" spans="1:18" ht="15.75" customHeight="1">
      <c r="A2277" s="26">
        <f ca="1">IFERROR(__xludf.DUMMYFUNCTION("""COMPUTED_VALUE"""),21158)</f>
        <v>21158</v>
      </c>
      <c r="B2277" s="86">
        <f ca="1">IFERROR(__xludf.DUMMYFUNCTION("""COMPUTED_VALUE"""),45236.6223032406)</f>
        <v>45236.6223032407</v>
      </c>
      <c r="C2277" s="1" t="str">
        <f ca="1">IFERROR(__xludf.DUMMYFUNCTION("""COMPUTED_VALUE"""),"completed")</f>
        <v>completed</v>
      </c>
      <c r="D2277" s="26">
        <f ca="1">IFERROR(__xludf.DUMMYFUNCTION("""COMPUTED_VALUE"""),28)</f>
        <v>28</v>
      </c>
      <c r="E2277" s="1" t="str">
        <f ca="1">IFERROR(__xludf.DUMMYFUNCTION("""COMPUTED_VALUE"""),"WMFA")</f>
        <v>WMFA</v>
      </c>
      <c r="F2277" s="87" t="str">
        <f t="shared" ca="1" si="0"/>
        <v>2023</v>
      </c>
      <c r="H2277" s="26" t="str">
        <f t="shared" si="1"/>
        <v/>
      </c>
      <c r="I2277" s="26" t="str">
        <f t="shared" si="2"/>
        <v/>
      </c>
      <c r="J2277" s="86">
        <f t="shared" ca="1" si="3"/>
        <v>45236</v>
      </c>
      <c r="R2277" s="26"/>
    </row>
    <row r="2278" spans="1:18" ht="15.75" customHeight="1">
      <c r="A2278" s="26">
        <f ca="1">IFERROR(__xludf.DUMMYFUNCTION("""COMPUTED_VALUE"""),21160)</f>
        <v>21160</v>
      </c>
      <c r="B2278" s="86">
        <f ca="1">IFERROR(__xludf.DUMMYFUNCTION("""COMPUTED_VALUE"""),45236.7126388888)</f>
        <v>45236.712638888799</v>
      </c>
      <c r="C2278" s="1" t="str">
        <f ca="1">IFERROR(__xludf.DUMMYFUNCTION("""COMPUTED_VALUE"""),"completed")</f>
        <v>completed</v>
      </c>
      <c r="D2278" s="26">
        <f ca="1">IFERROR(__xludf.DUMMYFUNCTION("""COMPUTED_VALUE"""),22)</f>
        <v>22</v>
      </c>
      <c r="E2278" s="1" t="str">
        <f ca="1">IFERROR(__xludf.DUMMYFUNCTION("""COMPUTED_VALUE"""),"Lakeshore Lightning Hockey")</f>
        <v>Lakeshore Lightning Hockey</v>
      </c>
      <c r="F2278" s="87" t="str">
        <f t="shared" ca="1" si="0"/>
        <v>2023</v>
      </c>
      <c r="H2278" s="26" t="str">
        <f t="shared" si="1"/>
        <v/>
      </c>
      <c r="I2278" s="26" t="str">
        <f t="shared" si="2"/>
        <v/>
      </c>
      <c r="J2278" s="86">
        <f t="shared" ca="1" si="3"/>
        <v>45236</v>
      </c>
      <c r="R2278" s="26"/>
    </row>
    <row r="2279" spans="1:18" ht="15.75" customHeight="1">
      <c r="A2279" s="26">
        <f ca="1">IFERROR(__xludf.DUMMYFUNCTION("""COMPUTED_VALUE"""),21161)</f>
        <v>21161</v>
      </c>
      <c r="B2279" s="86">
        <f ca="1">IFERROR(__xludf.DUMMYFUNCTION("""COMPUTED_VALUE"""),45236.7875462963)</f>
        <v>45236.787546296298</v>
      </c>
      <c r="C2279" s="1" t="str">
        <f ca="1">IFERROR(__xludf.DUMMYFUNCTION("""COMPUTED_VALUE"""),"completed")</f>
        <v>completed</v>
      </c>
      <c r="D2279" s="26">
        <f ca="1">IFERROR(__xludf.DUMMYFUNCTION("""COMPUTED_VALUE"""),26)</f>
        <v>26</v>
      </c>
      <c r="E2279" s="1" t="str">
        <f ca="1">IFERROR(__xludf.DUMMYFUNCTION("""COMPUTED_VALUE"""),"Lakeshore Lightning Hockey")</f>
        <v>Lakeshore Lightning Hockey</v>
      </c>
      <c r="F2279" s="87" t="str">
        <f t="shared" ca="1" si="0"/>
        <v>2023</v>
      </c>
      <c r="H2279" s="26" t="str">
        <f t="shared" si="1"/>
        <v/>
      </c>
      <c r="I2279" s="26" t="str">
        <f t="shared" si="2"/>
        <v/>
      </c>
      <c r="J2279" s="86">
        <f t="shared" ca="1" si="3"/>
        <v>45236</v>
      </c>
      <c r="R2279" s="26"/>
    </row>
    <row r="2280" spans="1:18" ht="15.75" customHeight="1">
      <c r="A2280" s="26">
        <f ca="1">IFERROR(__xludf.DUMMYFUNCTION("""COMPUTED_VALUE"""),21163)</f>
        <v>21163</v>
      </c>
      <c r="B2280" s="86">
        <f ca="1">IFERROR(__xludf.DUMMYFUNCTION("""COMPUTED_VALUE"""),45237.1025578703)</f>
        <v>45237.102557870297</v>
      </c>
      <c r="C2280" s="1" t="str">
        <f ca="1">IFERROR(__xludf.DUMMYFUNCTION("""COMPUTED_VALUE"""),"refunded")</f>
        <v>refunded</v>
      </c>
      <c r="D2280" s="26">
        <f ca="1">IFERROR(__xludf.DUMMYFUNCTION("""COMPUTED_VALUE"""),15)</f>
        <v>15</v>
      </c>
      <c r="E2280" s="1" t="str">
        <f ca="1">IFERROR(__xludf.DUMMYFUNCTION("""COMPUTED_VALUE"""),"Lakeshore Lightning Hockey")</f>
        <v>Lakeshore Lightning Hockey</v>
      </c>
      <c r="F2280" s="87" t="str">
        <f t="shared" ca="1" si="0"/>
        <v>2023</v>
      </c>
      <c r="H2280" s="26" t="str">
        <f t="shared" si="1"/>
        <v/>
      </c>
      <c r="I2280" s="26" t="str">
        <f t="shared" si="2"/>
        <v/>
      </c>
      <c r="J2280" s="86">
        <f t="shared" ca="1" si="3"/>
        <v>45237</v>
      </c>
      <c r="R2280" s="26"/>
    </row>
    <row r="2281" spans="1:18" ht="15.75" customHeight="1">
      <c r="A2281" s="26">
        <f ca="1">IFERROR(__xludf.DUMMYFUNCTION("""COMPUTED_VALUE"""),21162)</f>
        <v>21162</v>
      </c>
      <c r="B2281" s="86">
        <f ca="1">IFERROR(__xludf.DUMMYFUNCTION("""COMPUTED_VALUE"""),45237.0995717592)</f>
        <v>45237.099571759201</v>
      </c>
      <c r="C2281" s="1" t="str">
        <f ca="1">IFERROR(__xludf.DUMMYFUNCTION("""COMPUTED_VALUE"""),"completed")</f>
        <v>completed</v>
      </c>
      <c r="D2281" s="26">
        <f ca="1">IFERROR(__xludf.DUMMYFUNCTION("""COMPUTED_VALUE"""),48)</f>
        <v>48</v>
      </c>
      <c r="E2281" s="1" t="str">
        <f ca="1">IFERROR(__xludf.DUMMYFUNCTION("""COMPUTED_VALUE"""),"Lakeshore Lightning Hockey")</f>
        <v>Lakeshore Lightning Hockey</v>
      </c>
      <c r="F2281" s="87" t="str">
        <f t="shared" ca="1" si="0"/>
        <v>2023</v>
      </c>
      <c r="H2281" s="26" t="str">
        <f t="shared" si="1"/>
        <v/>
      </c>
      <c r="I2281" s="26" t="str">
        <f t="shared" si="2"/>
        <v/>
      </c>
      <c r="J2281" s="86">
        <f t="shared" ca="1" si="3"/>
        <v>45237</v>
      </c>
      <c r="R2281" s="26"/>
    </row>
    <row r="2282" spans="1:18" ht="15.75" customHeight="1">
      <c r="A2282" s="26">
        <f ca="1">IFERROR(__xludf.DUMMYFUNCTION("""COMPUTED_VALUE"""),21164)</f>
        <v>21164</v>
      </c>
      <c r="B2282" s="86">
        <f ca="1">IFERROR(__xludf.DUMMYFUNCTION("""COMPUTED_VALUE"""),45237.1266203703)</f>
        <v>45237.126620370298</v>
      </c>
      <c r="C2282" s="1" t="str">
        <f ca="1">IFERROR(__xludf.DUMMYFUNCTION("""COMPUTED_VALUE"""),"completed")</f>
        <v>completed</v>
      </c>
      <c r="D2282" s="26">
        <f ca="1">IFERROR(__xludf.DUMMYFUNCTION("""COMPUTED_VALUE"""),42)</f>
        <v>42</v>
      </c>
      <c r="E2282" s="1" t="str">
        <f ca="1">IFERROR(__xludf.DUMMYFUNCTION("""COMPUTED_VALUE"""),"South Point Stars")</f>
        <v>South Point Stars</v>
      </c>
      <c r="F2282" s="87" t="str">
        <f t="shared" ca="1" si="0"/>
        <v>2023</v>
      </c>
      <c r="H2282" s="26" t="str">
        <f t="shared" si="1"/>
        <v/>
      </c>
      <c r="I2282" s="26" t="str">
        <f t="shared" si="2"/>
        <v/>
      </c>
      <c r="J2282" s="86">
        <f t="shared" ca="1" si="3"/>
        <v>45237</v>
      </c>
      <c r="R2282" s="26"/>
    </row>
    <row r="2283" spans="1:18" ht="15.75" customHeight="1">
      <c r="A2283" s="26">
        <f ca="1">IFERROR(__xludf.DUMMYFUNCTION("""COMPUTED_VALUE"""),21165)</f>
        <v>21165</v>
      </c>
      <c r="B2283" s="86">
        <f ca="1">IFERROR(__xludf.DUMMYFUNCTION("""COMPUTED_VALUE"""),45237.5733217592)</f>
        <v>45237.573321759199</v>
      </c>
      <c r="C2283" s="1" t="str">
        <f ca="1">IFERROR(__xludf.DUMMYFUNCTION("""COMPUTED_VALUE"""),"completed")</f>
        <v>completed</v>
      </c>
      <c r="D2283" s="26">
        <f ca="1">IFERROR(__xludf.DUMMYFUNCTION("""COMPUTED_VALUE"""),26)</f>
        <v>26</v>
      </c>
      <c r="E2283" s="1" t="str">
        <f ca="1">IFERROR(__xludf.DUMMYFUNCTION("""COMPUTED_VALUE"""),"W.M.H.A")</f>
        <v>W.M.H.A</v>
      </c>
      <c r="F2283" s="87" t="str">
        <f t="shared" ca="1" si="0"/>
        <v>2023</v>
      </c>
      <c r="H2283" s="26" t="str">
        <f t="shared" si="1"/>
        <v/>
      </c>
      <c r="I2283" s="26" t="str">
        <f t="shared" si="2"/>
        <v/>
      </c>
      <c r="J2283" s="86">
        <f t="shared" ca="1" si="3"/>
        <v>45237</v>
      </c>
      <c r="R2283" s="26"/>
    </row>
    <row r="2284" spans="1:18" ht="15.75" customHeight="1">
      <c r="A2284" s="26">
        <f ca="1">IFERROR(__xludf.DUMMYFUNCTION("""COMPUTED_VALUE"""),21167)</f>
        <v>21167</v>
      </c>
      <c r="B2284" s="86">
        <f ca="1">IFERROR(__xludf.DUMMYFUNCTION("""COMPUTED_VALUE"""),45237.6337731481)</f>
        <v>45237.633773148104</v>
      </c>
      <c r="C2284" s="1" t="str">
        <f ca="1">IFERROR(__xludf.DUMMYFUNCTION("""COMPUTED_VALUE"""),"completed")</f>
        <v>completed</v>
      </c>
      <c r="D2284" s="26">
        <f ca="1">IFERROR(__xludf.DUMMYFUNCTION("""COMPUTED_VALUE"""),22)</f>
        <v>22</v>
      </c>
      <c r="E2284" s="1" t="str">
        <f ca="1">IFERROR(__xludf.DUMMYFUNCTION("""COMPUTED_VALUE"""),"Lakeshore Lightning Hockey")</f>
        <v>Lakeshore Lightning Hockey</v>
      </c>
      <c r="F2284" s="87" t="str">
        <f t="shared" ca="1" si="0"/>
        <v>2023</v>
      </c>
      <c r="H2284" s="26" t="str">
        <f t="shared" si="1"/>
        <v/>
      </c>
      <c r="I2284" s="26" t="str">
        <f t="shared" si="2"/>
        <v/>
      </c>
      <c r="J2284" s="86">
        <f t="shared" ca="1" si="3"/>
        <v>45237</v>
      </c>
      <c r="R2284" s="26"/>
    </row>
    <row r="2285" spans="1:18" ht="15.75" customHeight="1">
      <c r="A2285" s="26">
        <f ca="1">IFERROR(__xludf.DUMMYFUNCTION("""COMPUTED_VALUE"""),21166)</f>
        <v>21166</v>
      </c>
      <c r="B2285" s="86">
        <f ca="1">IFERROR(__xludf.DUMMYFUNCTION("""COMPUTED_VALUE"""),45237.6323148148)</f>
        <v>45237.6323148148</v>
      </c>
      <c r="C2285" s="1" t="str">
        <f ca="1">IFERROR(__xludf.DUMMYFUNCTION("""COMPUTED_VALUE"""),"completed")</f>
        <v>completed</v>
      </c>
      <c r="D2285" s="26">
        <f ca="1">IFERROR(__xludf.DUMMYFUNCTION("""COMPUTED_VALUE"""),22)</f>
        <v>22</v>
      </c>
      <c r="E2285" s="1" t="str">
        <f ca="1">IFERROR(__xludf.DUMMYFUNCTION("""COMPUTED_VALUE"""),"Lakeshore Lightning Hockey")</f>
        <v>Lakeshore Lightning Hockey</v>
      </c>
      <c r="F2285" s="87" t="str">
        <f t="shared" ca="1" si="0"/>
        <v>2023</v>
      </c>
      <c r="H2285" s="26" t="str">
        <f t="shared" si="1"/>
        <v/>
      </c>
      <c r="I2285" s="26" t="str">
        <f t="shared" si="2"/>
        <v/>
      </c>
      <c r="J2285" s="86">
        <f t="shared" ca="1" si="3"/>
        <v>45237</v>
      </c>
      <c r="R2285" s="26"/>
    </row>
    <row r="2286" spans="1:18" ht="15.75" customHeight="1">
      <c r="A2286" s="26">
        <f ca="1">IFERROR(__xludf.DUMMYFUNCTION("""COMPUTED_VALUE"""),21168)</f>
        <v>21168</v>
      </c>
      <c r="B2286" s="86">
        <f ca="1">IFERROR(__xludf.DUMMYFUNCTION("""COMPUTED_VALUE"""),45237.8327662037)</f>
        <v>45237.832766203697</v>
      </c>
      <c r="C2286" s="1" t="str">
        <f ca="1">IFERROR(__xludf.DUMMYFUNCTION("""COMPUTED_VALUE"""),"completed")</f>
        <v>completed</v>
      </c>
      <c r="D2286" s="26">
        <f ca="1">IFERROR(__xludf.DUMMYFUNCTION("""COMPUTED_VALUE"""),154)</f>
        <v>154</v>
      </c>
      <c r="E2286" s="1" t="str">
        <f ca="1">IFERROR(__xludf.DUMMYFUNCTION("""COMPUTED_VALUE"""),"W.M.H.A")</f>
        <v>W.M.H.A</v>
      </c>
      <c r="F2286" s="87" t="str">
        <f t="shared" ca="1" si="0"/>
        <v>2023</v>
      </c>
      <c r="H2286" s="26" t="str">
        <f t="shared" si="1"/>
        <v/>
      </c>
      <c r="I2286" s="26" t="str">
        <f t="shared" si="2"/>
        <v/>
      </c>
      <c r="J2286" s="86">
        <f t="shared" ca="1" si="3"/>
        <v>45237</v>
      </c>
      <c r="R2286" s="26"/>
    </row>
    <row r="2287" spans="1:18" ht="15.75" customHeight="1">
      <c r="A2287" s="26">
        <f ca="1">IFERROR(__xludf.DUMMYFUNCTION("""COMPUTED_VALUE"""),21169)</f>
        <v>21169</v>
      </c>
      <c r="B2287" s="86">
        <f ca="1">IFERROR(__xludf.DUMMYFUNCTION("""COMPUTED_VALUE"""),45237.9684606481)</f>
        <v>45237.968460648102</v>
      </c>
      <c r="C2287" s="1" t="str">
        <f ca="1">IFERROR(__xludf.DUMMYFUNCTION("""COMPUTED_VALUE"""),"completed")</f>
        <v>completed</v>
      </c>
      <c r="D2287" s="26">
        <f ca="1">IFERROR(__xludf.DUMMYFUNCTION("""COMPUTED_VALUE"""),25)</f>
        <v>25</v>
      </c>
      <c r="E2287" s="1" t="str">
        <f ca="1">IFERROR(__xludf.DUMMYFUNCTION("""COMPUTED_VALUE"""),"W.M.H.A")</f>
        <v>W.M.H.A</v>
      </c>
      <c r="F2287" s="87" t="str">
        <f t="shared" ca="1" si="0"/>
        <v>2023</v>
      </c>
      <c r="H2287" s="26" t="str">
        <f t="shared" si="1"/>
        <v/>
      </c>
      <c r="I2287" s="26" t="str">
        <f t="shared" si="2"/>
        <v/>
      </c>
      <c r="J2287" s="86">
        <f t="shared" ca="1" si="3"/>
        <v>45237</v>
      </c>
      <c r="R2287" s="26"/>
    </row>
    <row r="2288" spans="1:18" ht="15.75" customHeight="1">
      <c r="A2288" s="26">
        <f ca="1">IFERROR(__xludf.DUMMYFUNCTION("""COMPUTED_VALUE"""),21172)</f>
        <v>21172</v>
      </c>
      <c r="B2288" s="86">
        <f ca="1">IFERROR(__xludf.DUMMYFUNCTION("""COMPUTED_VALUE"""),45238.7495254629)</f>
        <v>45238.749525462903</v>
      </c>
      <c r="C2288" s="1" t="str">
        <f ca="1">IFERROR(__xludf.DUMMYFUNCTION("""COMPUTED_VALUE"""),"completed")</f>
        <v>completed</v>
      </c>
      <c r="D2288" s="26">
        <f ca="1">IFERROR(__xludf.DUMMYFUNCTION("""COMPUTED_VALUE"""),53)</f>
        <v>53</v>
      </c>
      <c r="E2288" s="1" t="str">
        <f ca="1">IFERROR(__xludf.DUMMYFUNCTION("""COMPUTED_VALUE"""),"W.M.H.A")</f>
        <v>W.M.H.A</v>
      </c>
      <c r="F2288" s="87" t="str">
        <f t="shared" ca="1" si="0"/>
        <v>2023</v>
      </c>
      <c r="H2288" s="26" t="str">
        <f t="shared" si="1"/>
        <v/>
      </c>
      <c r="I2288" s="26" t="str">
        <f t="shared" si="2"/>
        <v/>
      </c>
      <c r="J2288" s="86">
        <f t="shared" ca="1" si="3"/>
        <v>45238</v>
      </c>
      <c r="R2288" s="26"/>
    </row>
    <row r="2289" spans="1:18" ht="15.75" customHeight="1">
      <c r="A2289" s="26">
        <f ca="1">IFERROR(__xludf.DUMMYFUNCTION("""COMPUTED_VALUE"""),21173)</f>
        <v>21173</v>
      </c>
      <c r="B2289" s="86">
        <f ca="1">IFERROR(__xludf.DUMMYFUNCTION("""COMPUTED_VALUE"""),45238.819849537)</f>
        <v>45238.819849537002</v>
      </c>
      <c r="C2289" s="1" t="str">
        <f ca="1">IFERROR(__xludf.DUMMYFUNCTION("""COMPUTED_VALUE"""),"processing")</f>
        <v>processing</v>
      </c>
      <c r="D2289" s="26">
        <f ca="1">IFERROR(__xludf.DUMMYFUNCTION("""COMPUTED_VALUE"""),0)</f>
        <v>0</v>
      </c>
      <c r="E2289" s="1" t="str">
        <f ca="1">IFERROR(__xludf.DUMMYFUNCTION("""COMPUTED_VALUE"""),"WMFA")</f>
        <v>WMFA</v>
      </c>
      <c r="F2289" s="87" t="str">
        <f t="shared" ca="1" si="0"/>
        <v>2023</v>
      </c>
      <c r="H2289" s="26" t="str">
        <f t="shared" si="1"/>
        <v/>
      </c>
      <c r="I2289" s="26" t="str">
        <f t="shared" si="2"/>
        <v/>
      </c>
      <c r="J2289" s="86">
        <f t="shared" ca="1" si="3"/>
        <v>45238</v>
      </c>
      <c r="R2289" s="26"/>
    </row>
    <row r="2290" spans="1:18" ht="15.75" customHeight="1">
      <c r="A2290" s="26">
        <f ca="1">IFERROR(__xludf.DUMMYFUNCTION("""COMPUTED_VALUE"""),21174)</f>
        <v>21174</v>
      </c>
      <c r="B2290" s="86">
        <f ca="1">IFERROR(__xludf.DUMMYFUNCTION("""COMPUTED_VALUE"""),45238.9915393518)</f>
        <v>45238.991539351802</v>
      </c>
      <c r="C2290" s="1" t="str">
        <f ca="1">IFERROR(__xludf.DUMMYFUNCTION("""COMPUTED_VALUE"""),"completed")</f>
        <v>completed</v>
      </c>
      <c r="D2290" s="26">
        <f ca="1">IFERROR(__xludf.DUMMYFUNCTION("""COMPUTED_VALUE"""),15)</f>
        <v>15</v>
      </c>
      <c r="E2290" s="1" t="str">
        <f ca="1">IFERROR(__xludf.DUMMYFUNCTION("""COMPUTED_VALUE"""),"Lakeshore Lightning Hockey")</f>
        <v>Lakeshore Lightning Hockey</v>
      </c>
      <c r="F2290" s="87" t="str">
        <f t="shared" ca="1" si="0"/>
        <v>2023</v>
      </c>
      <c r="H2290" s="26" t="str">
        <f t="shared" si="1"/>
        <v/>
      </c>
      <c r="I2290" s="26" t="str">
        <f t="shared" si="2"/>
        <v/>
      </c>
      <c r="J2290" s="86">
        <f t="shared" ca="1" si="3"/>
        <v>45238</v>
      </c>
      <c r="R2290" s="26"/>
    </row>
    <row r="2291" spans="1:18" ht="15.75" customHeight="1">
      <c r="A2291" s="26">
        <f ca="1">IFERROR(__xludf.DUMMYFUNCTION("""COMPUTED_VALUE"""),21175)</f>
        <v>21175</v>
      </c>
      <c r="B2291" s="86">
        <f ca="1">IFERROR(__xludf.DUMMYFUNCTION("""COMPUTED_VALUE"""),45238.9933680555)</f>
        <v>45238.993368055497</v>
      </c>
      <c r="C2291" s="1" t="str">
        <f ca="1">IFERROR(__xludf.DUMMYFUNCTION("""COMPUTED_VALUE"""),"completed")</f>
        <v>completed</v>
      </c>
      <c r="D2291" s="26">
        <f ca="1">IFERROR(__xludf.DUMMYFUNCTION("""COMPUTED_VALUE"""),15)</f>
        <v>15</v>
      </c>
      <c r="E2291" s="1" t="str">
        <f ca="1">IFERROR(__xludf.DUMMYFUNCTION("""COMPUTED_VALUE"""),"Lakeshore Lightning Hockey")</f>
        <v>Lakeshore Lightning Hockey</v>
      </c>
      <c r="F2291" s="87" t="str">
        <f t="shared" ca="1" si="0"/>
        <v>2023</v>
      </c>
      <c r="H2291" s="26" t="str">
        <f t="shared" si="1"/>
        <v/>
      </c>
      <c r="I2291" s="26" t="str">
        <f t="shared" si="2"/>
        <v/>
      </c>
      <c r="J2291" s="86">
        <f t="shared" ca="1" si="3"/>
        <v>45238</v>
      </c>
      <c r="R2291" s="26"/>
    </row>
    <row r="2292" spans="1:18" ht="15.75" customHeight="1">
      <c r="A2292" s="26">
        <f ca="1">IFERROR(__xludf.DUMMYFUNCTION("""COMPUTED_VALUE"""),21176)</f>
        <v>21176</v>
      </c>
      <c r="B2292" s="86">
        <f ca="1">IFERROR(__xludf.DUMMYFUNCTION("""COMPUTED_VALUE"""),45239.0123842592)</f>
        <v>45239.0123842592</v>
      </c>
      <c r="C2292" s="1" t="str">
        <f ca="1">IFERROR(__xludf.DUMMYFUNCTION("""COMPUTED_VALUE"""),"completed")</f>
        <v>completed</v>
      </c>
      <c r="D2292" s="26">
        <f ca="1">IFERROR(__xludf.DUMMYFUNCTION("""COMPUTED_VALUE"""),26)</f>
        <v>26</v>
      </c>
      <c r="E2292" s="1" t="str">
        <f ca="1">IFERROR(__xludf.DUMMYFUNCTION("""COMPUTED_VALUE"""),"W.M.H.A")</f>
        <v>W.M.H.A</v>
      </c>
      <c r="F2292" s="87" t="str">
        <f t="shared" ca="1" si="0"/>
        <v>2023</v>
      </c>
      <c r="H2292" s="26" t="str">
        <f t="shared" si="1"/>
        <v/>
      </c>
      <c r="I2292" s="26" t="str">
        <f t="shared" si="2"/>
        <v/>
      </c>
      <c r="J2292" s="86">
        <f t="shared" ca="1" si="3"/>
        <v>45239</v>
      </c>
      <c r="R2292" s="26"/>
    </row>
    <row r="2293" spans="1:18" ht="15.75" customHeight="1">
      <c r="A2293" s="26">
        <f ca="1">IFERROR(__xludf.DUMMYFUNCTION("""COMPUTED_VALUE"""),21178)</f>
        <v>21178</v>
      </c>
      <c r="B2293" s="86">
        <f ca="1">IFERROR(__xludf.DUMMYFUNCTION("""COMPUTED_VALUE"""),45239.017199074)</f>
        <v>45239.017199073998</v>
      </c>
      <c r="C2293" s="1" t="str">
        <f ca="1">IFERROR(__xludf.DUMMYFUNCTION("""COMPUTED_VALUE"""),"completed")</f>
        <v>completed</v>
      </c>
      <c r="D2293" s="26">
        <f ca="1">IFERROR(__xludf.DUMMYFUNCTION("""COMPUTED_VALUE"""),40)</f>
        <v>40</v>
      </c>
      <c r="E2293" s="1" t="str">
        <f ca="1">IFERROR(__xludf.DUMMYFUNCTION("""COMPUTED_VALUE"""),"Lakeshore Lightning Hockey")</f>
        <v>Lakeshore Lightning Hockey</v>
      </c>
      <c r="F2293" s="87" t="str">
        <f t="shared" ca="1" si="0"/>
        <v>2023</v>
      </c>
      <c r="H2293" s="26" t="str">
        <f t="shared" si="1"/>
        <v/>
      </c>
      <c r="I2293" s="26" t="str">
        <f t="shared" si="2"/>
        <v/>
      </c>
      <c r="J2293" s="86">
        <f t="shared" ca="1" si="3"/>
        <v>45239</v>
      </c>
      <c r="R2293" s="26"/>
    </row>
    <row r="2294" spans="1:18" ht="15.75" customHeight="1">
      <c r="A2294" s="26">
        <f ca="1">IFERROR(__xludf.DUMMYFUNCTION("""COMPUTED_VALUE"""),21177)</f>
        <v>21177</v>
      </c>
      <c r="B2294" s="86">
        <f ca="1">IFERROR(__xludf.DUMMYFUNCTION("""COMPUTED_VALUE"""),45239.0147337963)</f>
        <v>45239.014733796299</v>
      </c>
      <c r="C2294" s="1" t="str">
        <f ca="1">IFERROR(__xludf.DUMMYFUNCTION("""COMPUTED_VALUE"""),"completed")</f>
        <v>completed</v>
      </c>
      <c r="D2294" s="26">
        <f ca="1">IFERROR(__xludf.DUMMYFUNCTION("""COMPUTED_VALUE"""),26)</f>
        <v>26</v>
      </c>
      <c r="E2294" s="1" t="str">
        <f ca="1">IFERROR(__xludf.DUMMYFUNCTION("""COMPUTED_VALUE"""),"W.M.H.A")</f>
        <v>W.M.H.A</v>
      </c>
      <c r="F2294" s="87" t="str">
        <f t="shared" ca="1" si="0"/>
        <v>2023</v>
      </c>
      <c r="H2294" s="26" t="str">
        <f t="shared" si="1"/>
        <v/>
      </c>
      <c r="I2294" s="26" t="str">
        <f t="shared" si="2"/>
        <v/>
      </c>
      <c r="J2294" s="86">
        <f t="shared" ca="1" si="3"/>
        <v>45239</v>
      </c>
      <c r="R2294" s="26"/>
    </row>
    <row r="2295" spans="1:18" ht="15.75" customHeight="1">
      <c r="A2295" s="26">
        <f ca="1">IFERROR(__xludf.DUMMYFUNCTION("""COMPUTED_VALUE"""),21180)</f>
        <v>21180</v>
      </c>
      <c r="B2295" s="86">
        <f ca="1">IFERROR(__xludf.DUMMYFUNCTION("""COMPUTED_VALUE"""),45239.0807523148)</f>
        <v>45239.080752314803</v>
      </c>
      <c r="C2295" s="1" t="str">
        <f ca="1">IFERROR(__xludf.DUMMYFUNCTION("""COMPUTED_VALUE"""),"completed")</f>
        <v>completed</v>
      </c>
      <c r="D2295" s="26">
        <f ca="1">IFERROR(__xludf.DUMMYFUNCTION("""COMPUTED_VALUE"""),25)</f>
        <v>25</v>
      </c>
      <c r="E2295" s="1" t="str">
        <f ca="1">IFERROR(__xludf.DUMMYFUNCTION("""COMPUTED_VALUE"""),"Lakeshore Lightning Hockey")</f>
        <v>Lakeshore Lightning Hockey</v>
      </c>
      <c r="F2295" s="87" t="str">
        <f t="shared" ca="1" si="0"/>
        <v>2023</v>
      </c>
      <c r="H2295" s="26" t="str">
        <f t="shared" si="1"/>
        <v/>
      </c>
      <c r="I2295" s="26" t="str">
        <f t="shared" si="2"/>
        <v/>
      </c>
      <c r="J2295" s="86">
        <f t="shared" ca="1" si="3"/>
        <v>45239</v>
      </c>
      <c r="R2295" s="26"/>
    </row>
    <row r="2296" spans="1:18" ht="15.75" customHeight="1">
      <c r="A2296" s="26">
        <f ca="1">IFERROR(__xludf.DUMMYFUNCTION("""COMPUTED_VALUE"""),21179)</f>
        <v>21179</v>
      </c>
      <c r="B2296" s="86">
        <f ca="1">IFERROR(__xludf.DUMMYFUNCTION("""COMPUTED_VALUE"""),45239.078912037)</f>
        <v>45239.078912037003</v>
      </c>
      <c r="C2296" s="1" t="str">
        <f ca="1">IFERROR(__xludf.DUMMYFUNCTION("""COMPUTED_VALUE"""),"completed")</f>
        <v>completed</v>
      </c>
      <c r="D2296" s="26">
        <f ca="1">IFERROR(__xludf.DUMMYFUNCTION("""COMPUTED_VALUE"""),25)</f>
        <v>25</v>
      </c>
      <c r="E2296" s="1" t="str">
        <f ca="1">IFERROR(__xludf.DUMMYFUNCTION("""COMPUTED_VALUE"""),"Lakeshore Lightning Hockey")</f>
        <v>Lakeshore Lightning Hockey</v>
      </c>
      <c r="F2296" s="87" t="str">
        <f t="shared" ca="1" si="0"/>
        <v>2023</v>
      </c>
      <c r="H2296" s="26" t="str">
        <f t="shared" si="1"/>
        <v/>
      </c>
      <c r="I2296" s="26" t="str">
        <f t="shared" si="2"/>
        <v/>
      </c>
      <c r="J2296" s="86">
        <f t="shared" ca="1" si="3"/>
        <v>45239</v>
      </c>
      <c r="R2296" s="26"/>
    </row>
    <row r="2297" spans="1:18" ht="15.75" customHeight="1">
      <c r="A2297" s="26">
        <f ca="1">IFERROR(__xludf.DUMMYFUNCTION("""COMPUTED_VALUE"""),21181)</f>
        <v>21181</v>
      </c>
      <c r="B2297" s="86">
        <f ca="1">IFERROR(__xludf.DUMMYFUNCTION("""COMPUTED_VALUE"""),45239.1296759259)</f>
        <v>45239.129675925898</v>
      </c>
      <c r="C2297" s="1" t="str">
        <f ca="1">IFERROR(__xludf.DUMMYFUNCTION("""COMPUTED_VALUE"""),"completed")</f>
        <v>completed</v>
      </c>
      <c r="D2297" s="26">
        <f ca="1">IFERROR(__xludf.DUMMYFUNCTION("""COMPUTED_VALUE"""),100)</f>
        <v>100</v>
      </c>
      <c r="E2297" s="1" t="str">
        <f ca="1">IFERROR(__xludf.DUMMYFUNCTION("""COMPUTED_VALUE"""),"W.M.H.A")</f>
        <v>W.M.H.A</v>
      </c>
      <c r="F2297" s="87" t="str">
        <f t="shared" ca="1" si="0"/>
        <v>2023</v>
      </c>
      <c r="H2297" s="26" t="str">
        <f t="shared" si="1"/>
        <v/>
      </c>
      <c r="I2297" s="26" t="str">
        <f t="shared" si="2"/>
        <v/>
      </c>
      <c r="J2297" s="86">
        <f t="shared" ca="1" si="3"/>
        <v>45239</v>
      </c>
      <c r="R2297" s="26"/>
    </row>
    <row r="2298" spans="1:18" ht="15.75" customHeight="1">
      <c r="A2298" s="26">
        <f ca="1">IFERROR(__xludf.DUMMYFUNCTION("""COMPUTED_VALUE"""),21182)</f>
        <v>21182</v>
      </c>
      <c r="B2298" s="86">
        <f ca="1">IFERROR(__xludf.DUMMYFUNCTION("""COMPUTED_VALUE"""),45239.6647685185)</f>
        <v>45239.664768518502</v>
      </c>
      <c r="C2298" s="1" t="str">
        <f ca="1">IFERROR(__xludf.DUMMYFUNCTION("""COMPUTED_VALUE"""),"completed")</f>
        <v>completed</v>
      </c>
      <c r="D2298" s="26">
        <f ca="1">IFERROR(__xludf.DUMMYFUNCTION("""COMPUTED_VALUE"""),15)</f>
        <v>15</v>
      </c>
      <c r="E2298" s="1" t="str">
        <f ca="1">IFERROR(__xludf.DUMMYFUNCTION("""COMPUTED_VALUE"""),"Lakeshore Lightning Hockey")</f>
        <v>Lakeshore Lightning Hockey</v>
      </c>
      <c r="F2298" s="87" t="str">
        <f t="shared" ca="1" si="0"/>
        <v>2023</v>
      </c>
      <c r="H2298" s="26" t="str">
        <f t="shared" si="1"/>
        <v/>
      </c>
      <c r="I2298" s="26" t="str">
        <f t="shared" si="2"/>
        <v/>
      </c>
      <c r="J2298" s="86">
        <f t="shared" ca="1" si="3"/>
        <v>45239</v>
      </c>
      <c r="R2298" s="26"/>
    </row>
    <row r="2299" spans="1:18" ht="15.75" customHeight="1">
      <c r="A2299" s="26">
        <f ca="1">IFERROR(__xludf.DUMMYFUNCTION("""COMPUTED_VALUE"""),21183)</f>
        <v>21183</v>
      </c>
      <c r="B2299" s="86">
        <f ca="1">IFERROR(__xludf.DUMMYFUNCTION("""COMPUTED_VALUE"""),45239.6966319444)</f>
        <v>45239.696631944404</v>
      </c>
      <c r="C2299" s="1" t="str">
        <f ca="1">IFERROR(__xludf.DUMMYFUNCTION("""COMPUTED_VALUE"""),"completed")</f>
        <v>completed</v>
      </c>
      <c r="D2299" s="26">
        <f ca="1">IFERROR(__xludf.DUMMYFUNCTION("""COMPUTED_VALUE"""),42)</f>
        <v>42</v>
      </c>
      <c r="E2299" s="1" t="str">
        <f ca="1">IFERROR(__xludf.DUMMYFUNCTION("""COMPUTED_VALUE"""),"WMFA")</f>
        <v>WMFA</v>
      </c>
      <c r="F2299" s="87" t="str">
        <f t="shared" ca="1" si="0"/>
        <v>2023</v>
      </c>
      <c r="H2299" s="26" t="str">
        <f t="shared" si="1"/>
        <v/>
      </c>
      <c r="I2299" s="26" t="str">
        <f t="shared" si="2"/>
        <v/>
      </c>
      <c r="J2299" s="86">
        <f t="shared" ca="1" si="3"/>
        <v>45239</v>
      </c>
      <c r="R2299" s="26"/>
    </row>
    <row r="2300" spans="1:18" ht="15.75" customHeight="1">
      <c r="A2300" s="26">
        <f ca="1">IFERROR(__xludf.DUMMYFUNCTION("""COMPUTED_VALUE"""),21184)</f>
        <v>21184</v>
      </c>
      <c r="B2300" s="86">
        <f ca="1">IFERROR(__xludf.DUMMYFUNCTION("""COMPUTED_VALUE"""),45239.7941087963)</f>
        <v>45239.794108796297</v>
      </c>
      <c r="C2300" s="1" t="str">
        <f ca="1">IFERROR(__xludf.DUMMYFUNCTION("""COMPUTED_VALUE"""),"completed")</f>
        <v>completed</v>
      </c>
      <c r="D2300" s="26">
        <f ca="1">IFERROR(__xludf.DUMMYFUNCTION("""COMPUTED_VALUE"""),55)</f>
        <v>55</v>
      </c>
      <c r="E2300" s="1" t="str">
        <f ca="1">IFERROR(__xludf.DUMMYFUNCTION("""COMPUTED_VALUE"""),"Lakeshore Lightning Hockey")</f>
        <v>Lakeshore Lightning Hockey</v>
      </c>
      <c r="F2300" s="87" t="str">
        <f t="shared" ca="1" si="0"/>
        <v>2023</v>
      </c>
      <c r="H2300" s="26" t="str">
        <f t="shared" si="1"/>
        <v/>
      </c>
      <c r="I2300" s="26" t="str">
        <f t="shared" si="2"/>
        <v/>
      </c>
      <c r="J2300" s="86">
        <f t="shared" ca="1" si="3"/>
        <v>45239</v>
      </c>
      <c r="R2300" s="26"/>
    </row>
    <row r="2301" spans="1:18" ht="15.75" customHeight="1">
      <c r="A2301" s="26">
        <f ca="1">IFERROR(__xludf.DUMMYFUNCTION("""COMPUTED_VALUE"""),21185)</f>
        <v>21185</v>
      </c>
      <c r="B2301" s="86">
        <f ca="1">IFERROR(__xludf.DUMMYFUNCTION("""COMPUTED_VALUE"""),45239.98)</f>
        <v>45239.98</v>
      </c>
      <c r="C2301" s="1" t="str">
        <f ca="1">IFERROR(__xludf.DUMMYFUNCTION("""COMPUTED_VALUE"""),"completed")</f>
        <v>completed</v>
      </c>
      <c r="D2301" s="26">
        <f ca="1">IFERROR(__xludf.DUMMYFUNCTION("""COMPUTED_VALUE"""),30)</f>
        <v>30</v>
      </c>
      <c r="E2301" s="1" t="str">
        <f ca="1">IFERROR(__xludf.DUMMYFUNCTION("""COMPUTED_VALUE"""),"Lakeshore Lightning Hockey")</f>
        <v>Lakeshore Lightning Hockey</v>
      </c>
      <c r="F2301" s="87" t="str">
        <f t="shared" ca="1" si="0"/>
        <v>2023</v>
      </c>
      <c r="H2301" s="26" t="str">
        <f t="shared" si="1"/>
        <v/>
      </c>
      <c r="I2301" s="26" t="str">
        <f t="shared" si="2"/>
        <v/>
      </c>
      <c r="J2301" s="86">
        <f t="shared" ca="1" si="3"/>
        <v>45239</v>
      </c>
      <c r="R2301" s="26"/>
    </row>
    <row r="2302" spans="1:18" ht="15.75" customHeight="1">
      <c r="A2302" s="26">
        <f ca="1">IFERROR(__xludf.DUMMYFUNCTION("""COMPUTED_VALUE"""),21186)</f>
        <v>21186</v>
      </c>
      <c r="B2302" s="86">
        <f ca="1">IFERROR(__xludf.DUMMYFUNCTION("""COMPUTED_VALUE"""),45239.9887384259)</f>
        <v>45239.988738425898</v>
      </c>
      <c r="C2302" s="1" t="str">
        <f ca="1">IFERROR(__xludf.DUMMYFUNCTION("""COMPUTED_VALUE"""),"completed")</f>
        <v>completed</v>
      </c>
      <c r="D2302" s="26">
        <f ca="1">IFERROR(__xludf.DUMMYFUNCTION("""COMPUTED_VALUE"""),46)</f>
        <v>46</v>
      </c>
      <c r="E2302" s="1" t="str">
        <f ca="1">IFERROR(__xludf.DUMMYFUNCTION("""COMPUTED_VALUE"""),"Lakeshore Lightning Hockey")</f>
        <v>Lakeshore Lightning Hockey</v>
      </c>
      <c r="F2302" s="87" t="str">
        <f t="shared" ca="1" si="0"/>
        <v>2023</v>
      </c>
      <c r="H2302" s="26" t="str">
        <f t="shared" si="1"/>
        <v/>
      </c>
      <c r="I2302" s="26" t="str">
        <f t="shared" si="2"/>
        <v/>
      </c>
      <c r="J2302" s="86">
        <f t="shared" ca="1" si="3"/>
        <v>45239</v>
      </c>
      <c r="R2302" s="26"/>
    </row>
    <row r="2303" spans="1:18" ht="15.75" customHeight="1">
      <c r="A2303" s="26">
        <f ca="1">IFERROR(__xludf.DUMMYFUNCTION("""COMPUTED_VALUE"""),21187)</f>
        <v>21187</v>
      </c>
      <c r="B2303" s="86">
        <f ca="1">IFERROR(__xludf.DUMMYFUNCTION("""COMPUTED_VALUE"""),45240.0768634259)</f>
        <v>45240.0768634259</v>
      </c>
      <c r="C2303" s="1" t="str">
        <f ca="1">IFERROR(__xludf.DUMMYFUNCTION("""COMPUTED_VALUE"""),"completed")</f>
        <v>completed</v>
      </c>
      <c r="D2303" s="26">
        <f ca="1">IFERROR(__xludf.DUMMYFUNCTION("""COMPUTED_VALUE"""),26)</f>
        <v>26</v>
      </c>
      <c r="E2303" s="1" t="str">
        <f ca="1">IFERROR(__xludf.DUMMYFUNCTION("""COMPUTED_VALUE"""),"W.M.H.A")</f>
        <v>W.M.H.A</v>
      </c>
      <c r="F2303" s="87" t="str">
        <f t="shared" ca="1" si="0"/>
        <v>2023</v>
      </c>
      <c r="H2303" s="26" t="str">
        <f t="shared" si="1"/>
        <v/>
      </c>
      <c r="I2303" s="26" t="str">
        <f t="shared" si="2"/>
        <v/>
      </c>
      <c r="J2303" s="86">
        <f t="shared" ca="1" si="3"/>
        <v>45240</v>
      </c>
      <c r="R2303" s="26"/>
    </row>
    <row r="2304" spans="1:18" ht="15.75" customHeight="1">
      <c r="A2304" s="26">
        <f ca="1">IFERROR(__xludf.DUMMYFUNCTION("""COMPUTED_VALUE"""),21203)</f>
        <v>21203</v>
      </c>
      <c r="B2304" s="86">
        <f ca="1">IFERROR(__xludf.DUMMYFUNCTION("""COMPUTED_VALUE"""),45240.8203935185)</f>
        <v>45240.820393518501</v>
      </c>
      <c r="C2304" s="1" t="str">
        <f ca="1">IFERROR(__xludf.DUMMYFUNCTION("""COMPUTED_VALUE"""),"completed")</f>
        <v>completed</v>
      </c>
      <c r="D2304" s="26">
        <f ca="1">IFERROR(__xludf.DUMMYFUNCTION("""COMPUTED_VALUE"""),48)</f>
        <v>48</v>
      </c>
      <c r="E2304" s="1" t="str">
        <f ca="1">IFERROR(__xludf.DUMMYFUNCTION("""COMPUTED_VALUE"""),"W.M.H.A")</f>
        <v>W.M.H.A</v>
      </c>
      <c r="F2304" s="87" t="str">
        <f t="shared" ca="1" si="0"/>
        <v>2023</v>
      </c>
      <c r="H2304" s="26" t="str">
        <f t="shared" si="1"/>
        <v/>
      </c>
      <c r="I2304" s="26" t="str">
        <f t="shared" si="2"/>
        <v/>
      </c>
      <c r="J2304" s="86">
        <f t="shared" ca="1" si="3"/>
        <v>45240</v>
      </c>
      <c r="R2304" s="26"/>
    </row>
    <row r="2305" spans="1:18" ht="15.75" customHeight="1">
      <c r="A2305" s="26">
        <f ca="1">IFERROR(__xludf.DUMMYFUNCTION("""COMPUTED_VALUE"""),21204)</f>
        <v>21204</v>
      </c>
      <c r="B2305" s="86">
        <f ca="1">IFERROR(__xludf.DUMMYFUNCTION("""COMPUTED_VALUE"""),45240.9052314814)</f>
        <v>45240.905231481403</v>
      </c>
      <c r="C2305" s="1" t="str">
        <f ca="1">IFERROR(__xludf.DUMMYFUNCTION("""COMPUTED_VALUE"""),"completed")</f>
        <v>completed</v>
      </c>
      <c r="D2305" s="26">
        <f ca="1">IFERROR(__xludf.DUMMYFUNCTION("""COMPUTED_VALUE"""),26)</f>
        <v>26</v>
      </c>
      <c r="E2305" s="1" t="str">
        <f ca="1">IFERROR(__xludf.DUMMYFUNCTION("""COMPUTED_VALUE"""),"W.M.H.A")</f>
        <v>W.M.H.A</v>
      </c>
      <c r="F2305" s="87" t="str">
        <f t="shared" ca="1" si="0"/>
        <v>2023</v>
      </c>
      <c r="H2305" s="26" t="str">
        <f t="shared" si="1"/>
        <v/>
      </c>
      <c r="I2305" s="26" t="str">
        <f t="shared" si="2"/>
        <v/>
      </c>
      <c r="J2305" s="86">
        <f t="shared" ca="1" si="3"/>
        <v>45240</v>
      </c>
      <c r="R2305" s="26"/>
    </row>
    <row r="2306" spans="1:18" ht="15.75" customHeight="1">
      <c r="A2306" s="26">
        <f ca="1">IFERROR(__xludf.DUMMYFUNCTION("""COMPUTED_VALUE"""),21205)</f>
        <v>21205</v>
      </c>
      <c r="B2306" s="86">
        <f ca="1">IFERROR(__xludf.DUMMYFUNCTION("""COMPUTED_VALUE"""),45241.0645949074)</f>
        <v>45241.064594907402</v>
      </c>
      <c r="C2306" s="1" t="str">
        <f ca="1">IFERROR(__xludf.DUMMYFUNCTION("""COMPUTED_VALUE"""),"completed")</f>
        <v>completed</v>
      </c>
      <c r="D2306" s="26">
        <f ca="1">IFERROR(__xludf.DUMMYFUNCTION("""COMPUTED_VALUE"""),26)</f>
        <v>26</v>
      </c>
      <c r="E2306" s="1" t="str">
        <f ca="1">IFERROR(__xludf.DUMMYFUNCTION("""COMPUTED_VALUE"""),"Lakeshore Lightning Hockey")</f>
        <v>Lakeshore Lightning Hockey</v>
      </c>
      <c r="F2306" s="87" t="str">
        <f t="shared" ca="1" si="0"/>
        <v>2023</v>
      </c>
      <c r="H2306" s="26" t="str">
        <f t="shared" si="1"/>
        <v/>
      </c>
      <c r="I2306" s="26" t="str">
        <f t="shared" si="2"/>
        <v/>
      </c>
      <c r="J2306" s="86">
        <f t="shared" ca="1" si="3"/>
        <v>45241</v>
      </c>
      <c r="R2306" s="26"/>
    </row>
    <row r="2307" spans="1:18" ht="15.75" customHeight="1">
      <c r="A2307" s="26">
        <f ca="1">IFERROR(__xludf.DUMMYFUNCTION("""COMPUTED_VALUE"""),21206)</f>
        <v>21206</v>
      </c>
      <c r="B2307" s="86">
        <f ca="1">IFERROR(__xludf.DUMMYFUNCTION("""COMPUTED_VALUE"""),45241.7240046296)</f>
        <v>45241.724004629599</v>
      </c>
      <c r="C2307" s="1" t="str">
        <f ca="1">IFERROR(__xludf.DUMMYFUNCTION("""COMPUTED_VALUE"""),"completed")</f>
        <v>completed</v>
      </c>
      <c r="D2307" s="26">
        <f ca="1">IFERROR(__xludf.DUMMYFUNCTION("""COMPUTED_VALUE"""),109)</f>
        <v>109</v>
      </c>
      <c r="E2307" s="1" t="str">
        <f ca="1">IFERROR(__xludf.DUMMYFUNCTION("""COMPUTED_VALUE"""),"W.M.H.A")</f>
        <v>W.M.H.A</v>
      </c>
      <c r="F2307" s="87" t="str">
        <f t="shared" ca="1" si="0"/>
        <v>2023</v>
      </c>
      <c r="H2307" s="26" t="str">
        <f t="shared" si="1"/>
        <v/>
      </c>
      <c r="I2307" s="26" t="str">
        <f t="shared" si="2"/>
        <v/>
      </c>
      <c r="J2307" s="86">
        <f t="shared" ca="1" si="3"/>
        <v>45241</v>
      </c>
      <c r="R2307" s="26"/>
    </row>
    <row r="2308" spans="1:18" ht="15.75" customHeight="1">
      <c r="A2308" s="26">
        <f ca="1">IFERROR(__xludf.DUMMYFUNCTION("""COMPUTED_VALUE"""),21207)</f>
        <v>21207</v>
      </c>
      <c r="B2308" s="86">
        <f ca="1">IFERROR(__xludf.DUMMYFUNCTION("""COMPUTED_VALUE"""),45241.8586458333)</f>
        <v>45241.858645833301</v>
      </c>
      <c r="C2308" s="1" t="str">
        <f ca="1">IFERROR(__xludf.DUMMYFUNCTION("""COMPUTED_VALUE"""),"completed")</f>
        <v>completed</v>
      </c>
      <c r="D2308" s="26">
        <f ca="1">IFERROR(__xludf.DUMMYFUNCTION("""COMPUTED_VALUE"""),50)</f>
        <v>50</v>
      </c>
      <c r="E2308" s="1" t="str">
        <f ca="1">IFERROR(__xludf.DUMMYFUNCTION("""COMPUTED_VALUE"""),"W.M.H.A")</f>
        <v>W.M.H.A</v>
      </c>
      <c r="F2308" s="87" t="str">
        <f t="shared" ca="1" si="0"/>
        <v>2023</v>
      </c>
      <c r="H2308" s="26" t="str">
        <f t="shared" si="1"/>
        <v/>
      </c>
      <c r="I2308" s="26" t="str">
        <f t="shared" si="2"/>
        <v/>
      </c>
      <c r="J2308" s="86">
        <f t="shared" ca="1" si="3"/>
        <v>45241</v>
      </c>
      <c r="R2308" s="26"/>
    </row>
    <row r="2309" spans="1:18" ht="15.75" customHeight="1">
      <c r="A2309" s="26">
        <f ca="1">IFERROR(__xludf.DUMMYFUNCTION("""COMPUTED_VALUE"""),21208)</f>
        <v>21208</v>
      </c>
      <c r="B2309" s="86">
        <f ca="1">IFERROR(__xludf.DUMMYFUNCTION("""COMPUTED_VALUE"""),45241.8740277777)</f>
        <v>45241.874027777703</v>
      </c>
      <c r="C2309" s="1" t="str">
        <f ca="1">IFERROR(__xludf.DUMMYFUNCTION("""COMPUTED_VALUE"""),"completed")</f>
        <v>completed</v>
      </c>
      <c r="D2309" s="26">
        <f ca="1">IFERROR(__xludf.DUMMYFUNCTION("""COMPUTED_VALUE"""),25)</f>
        <v>25</v>
      </c>
      <c r="E2309" s="1" t="str">
        <f ca="1">IFERROR(__xludf.DUMMYFUNCTION("""COMPUTED_VALUE"""),"Lakeshore Lightning Hockey")</f>
        <v>Lakeshore Lightning Hockey</v>
      </c>
      <c r="F2309" s="87" t="str">
        <f t="shared" ca="1" si="0"/>
        <v>2023</v>
      </c>
      <c r="H2309" s="26" t="str">
        <f t="shared" si="1"/>
        <v/>
      </c>
      <c r="I2309" s="26" t="str">
        <f t="shared" si="2"/>
        <v/>
      </c>
      <c r="J2309" s="86">
        <f t="shared" ca="1" si="3"/>
        <v>45241</v>
      </c>
      <c r="R2309" s="26"/>
    </row>
    <row r="2310" spans="1:18" ht="15.75" customHeight="1">
      <c r="A2310" s="26">
        <f ca="1">IFERROR(__xludf.DUMMYFUNCTION("""COMPUTED_VALUE"""),21209)</f>
        <v>21209</v>
      </c>
      <c r="B2310" s="86">
        <f ca="1">IFERROR(__xludf.DUMMYFUNCTION("""COMPUTED_VALUE"""),45241.8844907407)</f>
        <v>45241.884490740696</v>
      </c>
      <c r="C2310" s="1" t="str">
        <f ca="1">IFERROR(__xludf.DUMMYFUNCTION("""COMPUTED_VALUE"""),"completed")</f>
        <v>completed</v>
      </c>
      <c r="D2310" s="26">
        <f ca="1">IFERROR(__xludf.DUMMYFUNCTION("""COMPUTED_VALUE"""),25)</f>
        <v>25</v>
      </c>
      <c r="E2310" s="1" t="str">
        <f ca="1">IFERROR(__xludf.DUMMYFUNCTION("""COMPUTED_VALUE"""),"Lakeshore Lightning Hockey")</f>
        <v>Lakeshore Lightning Hockey</v>
      </c>
      <c r="F2310" s="87" t="str">
        <f t="shared" ca="1" si="0"/>
        <v>2023</v>
      </c>
      <c r="H2310" s="26" t="str">
        <f t="shared" si="1"/>
        <v/>
      </c>
      <c r="I2310" s="26" t="str">
        <f t="shared" si="2"/>
        <v/>
      </c>
      <c r="J2310" s="86">
        <f t="shared" ca="1" si="3"/>
        <v>45241</v>
      </c>
      <c r="R2310" s="26"/>
    </row>
    <row r="2311" spans="1:18" ht="15.75" customHeight="1">
      <c r="A2311" s="26">
        <f ca="1">IFERROR(__xludf.DUMMYFUNCTION("""COMPUTED_VALUE"""),21211)</f>
        <v>21211</v>
      </c>
      <c r="B2311" s="86">
        <f ca="1">IFERROR(__xludf.DUMMYFUNCTION("""COMPUTED_VALUE"""),45242.1504050925)</f>
        <v>45242.1504050925</v>
      </c>
      <c r="C2311" s="1" t="str">
        <f ca="1">IFERROR(__xludf.DUMMYFUNCTION("""COMPUTED_VALUE"""),"completed")</f>
        <v>completed</v>
      </c>
      <c r="D2311" s="26">
        <f ca="1">IFERROR(__xludf.DUMMYFUNCTION("""COMPUTED_VALUE"""),25)</f>
        <v>25</v>
      </c>
      <c r="E2311" s="1" t="str">
        <f ca="1">IFERROR(__xludf.DUMMYFUNCTION("""COMPUTED_VALUE"""),"Lakeshore Lightning Hockey")</f>
        <v>Lakeshore Lightning Hockey</v>
      </c>
      <c r="F2311" s="87" t="str">
        <f t="shared" ca="1" si="0"/>
        <v>2023</v>
      </c>
      <c r="H2311" s="26" t="str">
        <f t="shared" si="1"/>
        <v/>
      </c>
      <c r="I2311" s="26" t="str">
        <f t="shared" si="2"/>
        <v/>
      </c>
      <c r="J2311" s="86">
        <f t="shared" ca="1" si="3"/>
        <v>45242</v>
      </c>
      <c r="R2311" s="26"/>
    </row>
    <row r="2312" spans="1:18" ht="15.75" customHeight="1">
      <c r="A2312" s="26">
        <f ca="1">IFERROR(__xludf.DUMMYFUNCTION("""COMPUTED_VALUE"""),21287)</f>
        <v>21287</v>
      </c>
      <c r="B2312" s="86">
        <f ca="1">IFERROR(__xludf.DUMMYFUNCTION("""COMPUTED_VALUE"""),45242.6231828703)</f>
        <v>45242.623182870302</v>
      </c>
      <c r="C2312" s="1" t="str">
        <f ca="1">IFERROR(__xludf.DUMMYFUNCTION("""COMPUTED_VALUE"""),"completed")</f>
        <v>completed</v>
      </c>
      <c r="D2312" s="26">
        <f ca="1">IFERROR(__xludf.DUMMYFUNCTION("""COMPUTED_VALUE"""),35)</f>
        <v>35</v>
      </c>
      <c r="E2312" s="1" t="str">
        <f ca="1">IFERROR(__xludf.DUMMYFUNCTION("""COMPUTED_VALUE"""),"W.M.H.A")</f>
        <v>W.M.H.A</v>
      </c>
      <c r="F2312" s="87" t="str">
        <f t="shared" ca="1" si="0"/>
        <v>2023</v>
      </c>
      <c r="H2312" s="26" t="str">
        <f t="shared" si="1"/>
        <v/>
      </c>
      <c r="I2312" s="26" t="str">
        <f t="shared" si="2"/>
        <v/>
      </c>
      <c r="J2312" s="86">
        <f t="shared" ca="1" si="3"/>
        <v>45242</v>
      </c>
      <c r="R2312" s="26"/>
    </row>
    <row r="2313" spans="1:18" ht="15.75" customHeight="1">
      <c r="A2313" s="26">
        <f ca="1">IFERROR(__xludf.DUMMYFUNCTION("""COMPUTED_VALUE"""),21292)</f>
        <v>21292</v>
      </c>
      <c r="B2313" s="86">
        <f ca="1">IFERROR(__xludf.DUMMYFUNCTION("""COMPUTED_VALUE"""),45242.7560879629)</f>
        <v>45242.756087962902</v>
      </c>
      <c r="C2313" s="1" t="str">
        <f ca="1">IFERROR(__xludf.DUMMYFUNCTION("""COMPUTED_VALUE"""),"completed")</f>
        <v>completed</v>
      </c>
      <c r="D2313" s="26">
        <f ca="1">IFERROR(__xludf.DUMMYFUNCTION("""COMPUTED_VALUE"""),35)</f>
        <v>35</v>
      </c>
      <c r="E2313" s="1" t="str">
        <f ca="1">IFERROR(__xludf.DUMMYFUNCTION("""COMPUTED_VALUE"""),"W.M.H.A")</f>
        <v>W.M.H.A</v>
      </c>
      <c r="F2313" s="87" t="str">
        <f t="shared" ca="1" si="0"/>
        <v>2023</v>
      </c>
      <c r="H2313" s="26" t="str">
        <f t="shared" si="1"/>
        <v/>
      </c>
      <c r="I2313" s="26" t="str">
        <f t="shared" si="2"/>
        <v/>
      </c>
      <c r="J2313" s="86">
        <f t="shared" ca="1" si="3"/>
        <v>45242</v>
      </c>
      <c r="R2313" s="26"/>
    </row>
    <row r="2314" spans="1:18" ht="15.75" customHeight="1">
      <c r="A2314" s="26">
        <f ca="1">IFERROR(__xludf.DUMMYFUNCTION("""COMPUTED_VALUE"""),21293)</f>
        <v>21293</v>
      </c>
      <c r="B2314" s="86">
        <f ca="1">IFERROR(__xludf.DUMMYFUNCTION("""COMPUTED_VALUE"""),45242.7584837962)</f>
        <v>45242.758483796199</v>
      </c>
      <c r="C2314" s="1" t="str">
        <f ca="1">IFERROR(__xludf.DUMMYFUNCTION("""COMPUTED_VALUE"""),"completed")</f>
        <v>completed</v>
      </c>
      <c r="D2314" s="26">
        <f ca="1">IFERROR(__xludf.DUMMYFUNCTION("""COMPUTED_VALUE"""),35)</f>
        <v>35</v>
      </c>
      <c r="E2314" s="1" t="str">
        <f ca="1">IFERROR(__xludf.DUMMYFUNCTION("""COMPUTED_VALUE"""),"W.M.H.A")</f>
        <v>W.M.H.A</v>
      </c>
      <c r="F2314" s="87" t="str">
        <f t="shared" ca="1" si="0"/>
        <v>2023</v>
      </c>
      <c r="H2314" s="26" t="str">
        <f t="shared" si="1"/>
        <v/>
      </c>
      <c r="I2314" s="26" t="str">
        <f t="shared" si="2"/>
        <v/>
      </c>
      <c r="J2314" s="86">
        <f t="shared" ca="1" si="3"/>
        <v>45242</v>
      </c>
      <c r="R2314" s="26"/>
    </row>
    <row r="2315" spans="1:18" ht="15.75" customHeight="1">
      <c r="A2315" s="26">
        <f ca="1">IFERROR(__xludf.DUMMYFUNCTION("""COMPUTED_VALUE"""),21300)</f>
        <v>21300</v>
      </c>
      <c r="B2315" s="86">
        <f ca="1">IFERROR(__xludf.DUMMYFUNCTION("""COMPUTED_VALUE"""),45243.0534953703)</f>
        <v>45243.053495370303</v>
      </c>
      <c r="C2315" s="1" t="str">
        <f ca="1">IFERROR(__xludf.DUMMYFUNCTION("""COMPUTED_VALUE"""),"completed")</f>
        <v>completed</v>
      </c>
      <c r="D2315" s="26">
        <f ca="1">IFERROR(__xludf.DUMMYFUNCTION("""COMPUTED_VALUE"""),50)</f>
        <v>50</v>
      </c>
      <c r="E2315" s="1" t="str">
        <f ca="1">IFERROR(__xludf.DUMMYFUNCTION("""COMPUTED_VALUE"""),"W.M.H.A")</f>
        <v>W.M.H.A</v>
      </c>
      <c r="F2315" s="87" t="str">
        <f t="shared" ca="1" si="0"/>
        <v>2023</v>
      </c>
      <c r="H2315" s="26" t="str">
        <f t="shared" si="1"/>
        <v/>
      </c>
      <c r="I2315" s="26" t="str">
        <f t="shared" si="2"/>
        <v/>
      </c>
      <c r="J2315" s="86">
        <f t="shared" ca="1" si="3"/>
        <v>45243</v>
      </c>
      <c r="R2315" s="26"/>
    </row>
    <row r="2316" spans="1:18" ht="15.75" customHeight="1">
      <c r="A2316" s="26">
        <f ca="1">IFERROR(__xludf.DUMMYFUNCTION("""COMPUTED_VALUE"""),21365)</f>
        <v>21365</v>
      </c>
      <c r="B2316" s="86">
        <f ca="1">IFERROR(__xludf.DUMMYFUNCTION("""COMPUTED_VALUE"""),45243.5510763888)</f>
        <v>45243.551076388801</v>
      </c>
      <c r="C2316" s="1" t="str">
        <f ca="1">IFERROR(__xludf.DUMMYFUNCTION("""COMPUTED_VALUE"""),"completed")</f>
        <v>completed</v>
      </c>
      <c r="D2316" s="26">
        <f ca="1">IFERROR(__xludf.DUMMYFUNCTION("""COMPUTED_VALUE"""),44)</f>
        <v>44</v>
      </c>
      <c r="E2316" s="1" t="str">
        <f ca="1">IFERROR(__xludf.DUMMYFUNCTION("""COMPUTED_VALUE"""),"Sun County Panthers Hockey")</f>
        <v>Sun County Panthers Hockey</v>
      </c>
      <c r="F2316" s="87" t="str">
        <f t="shared" ca="1" si="0"/>
        <v>2023</v>
      </c>
      <c r="H2316" s="26" t="str">
        <f t="shared" si="1"/>
        <v/>
      </c>
      <c r="I2316" s="26" t="str">
        <f t="shared" si="2"/>
        <v/>
      </c>
      <c r="J2316" s="86">
        <f t="shared" ca="1" si="3"/>
        <v>45243</v>
      </c>
      <c r="R2316" s="26"/>
    </row>
    <row r="2317" spans="1:18" ht="15.75" customHeight="1">
      <c r="A2317" s="26">
        <f ca="1">IFERROR(__xludf.DUMMYFUNCTION("""COMPUTED_VALUE"""),21366)</f>
        <v>21366</v>
      </c>
      <c r="B2317" s="86">
        <f ca="1">IFERROR(__xludf.DUMMYFUNCTION("""COMPUTED_VALUE"""),45243.699849537)</f>
        <v>45243.699849536999</v>
      </c>
      <c r="C2317" s="1" t="str">
        <f ca="1">IFERROR(__xludf.DUMMYFUNCTION("""COMPUTED_VALUE"""),"completed")</f>
        <v>completed</v>
      </c>
      <c r="D2317" s="26">
        <f ca="1">IFERROR(__xludf.DUMMYFUNCTION("""COMPUTED_VALUE"""),35)</f>
        <v>35</v>
      </c>
      <c r="E2317" s="1" t="str">
        <f ca="1">IFERROR(__xludf.DUMMYFUNCTION("""COMPUTED_VALUE"""),"W.M.H.A")</f>
        <v>W.M.H.A</v>
      </c>
      <c r="F2317" s="87" t="str">
        <f t="shared" ca="1" si="0"/>
        <v>2023</v>
      </c>
      <c r="H2317" s="26" t="str">
        <f t="shared" si="1"/>
        <v/>
      </c>
      <c r="I2317" s="26" t="str">
        <f t="shared" si="2"/>
        <v/>
      </c>
      <c r="J2317" s="86">
        <f t="shared" ca="1" si="3"/>
        <v>45243</v>
      </c>
      <c r="R2317" s="26"/>
    </row>
    <row r="2318" spans="1:18" ht="15.75" customHeight="1">
      <c r="A2318" s="26">
        <f ca="1">IFERROR(__xludf.DUMMYFUNCTION("""COMPUTED_VALUE"""),21367)</f>
        <v>21367</v>
      </c>
      <c r="B2318" s="86">
        <f ca="1">IFERROR(__xludf.DUMMYFUNCTION("""COMPUTED_VALUE"""),45243.9648726851)</f>
        <v>45243.964872685101</v>
      </c>
      <c r="C2318" s="1" t="str">
        <f ca="1">IFERROR(__xludf.DUMMYFUNCTION("""COMPUTED_VALUE"""),"completed")</f>
        <v>completed</v>
      </c>
      <c r="D2318" s="26">
        <f ca="1">IFERROR(__xludf.DUMMYFUNCTION("""COMPUTED_VALUE"""),25)</f>
        <v>25</v>
      </c>
      <c r="E2318" s="1" t="str">
        <f ca="1">IFERROR(__xludf.DUMMYFUNCTION("""COMPUTED_VALUE"""),"W.M.H.A")</f>
        <v>W.M.H.A</v>
      </c>
      <c r="F2318" s="87" t="str">
        <f t="shared" ca="1" si="0"/>
        <v>2023</v>
      </c>
      <c r="H2318" s="26" t="str">
        <f t="shared" si="1"/>
        <v/>
      </c>
      <c r="I2318" s="26" t="str">
        <f t="shared" si="2"/>
        <v/>
      </c>
      <c r="J2318" s="86">
        <f t="shared" ca="1" si="3"/>
        <v>45243</v>
      </c>
      <c r="R2318" s="26"/>
    </row>
    <row r="2319" spans="1:18" ht="15.75" customHeight="1">
      <c r="A2319" s="26">
        <f ca="1">IFERROR(__xludf.DUMMYFUNCTION("""COMPUTED_VALUE"""),21464)</f>
        <v>21464</v>
      </c>
      <c r="B2319" s="86">
        <f ca="1">IFERROR(__xludf.DUMMYFUNCTION("""COMPUTED_VALUE"""),45244.8314930555)</f>
        <v>45244.831493055499</v>
      </c>
      <c r="C2319" s="1" t="str">
        <f ca="1">IFERROR(__xludf.DUMMYFUNCTION("""COMPUTED_VALUE"""),"completed")</f>
        <v>completed</v>
      </c>
      <c r="D2319" s="26">
        <f ca="1">IFERROR(__xludf.DUMMYFUNCTION("""COMPUTED_VALUE"""),35)</f>
        <v>35</v>
      </c>
      <c r="E2319" s="1" t="str">
        <f ca="1">IFERROR(__xludf.DUMMYFUNCTION("""COMPUTED_VALUE"""),"Lakeshore Lightning Hockey")</f>
        <v>Lakeshore Lightning Hockey</v>
      </c>
      <c r="F2319" s="87" t="str">
        <f t="shared" ca="1" si="0"/>
        <v>2023</v>
      </c>
      <c r="H2319" s="26" t="str">
        <f t="shared" si="1"/>
        <v/>
      </c>
      <c r="I2319" s="26" t="str">
        <f t="shared" si="2"/>
        <v/>
      </c>
      <c r="J2319" s="86">
        <f t="shared" ca="1" si="3"/>
        <v>45244</v>
      </c>
      <c r="R2319" s="26"/>
    </row>
    <row r="2320" spans="1:18" ht="15.75" customHeight="1">
      <c r="A2320" s="26">
        <f ca="1">IFERROR(__xludf.DUMMYFUNCTION("""COMPUTED_VALUE"""),21465)</f>
        <v>21465</v>
      </c>
      <c r="B2320" s="86">
        <f ca="1">IFERROR(__xludf.DUMMYFUNCTION("""COMPUTED_VALUE"""),45244.9744560185)</f>
        <v>45244.974456018499</v>
      </c>
      <c r="C2320" s="1" t="str">
        <f ca="1">IFERROR(__xludf.DUMMYFUNCTION("""COMPUTED_VALUE"""),"completed")</f>
        <v>completed</v>
      </c>
      <c r="D2320" s="26">
        <f ca="1">IFERROR(__xludf.DUMMYFUNCTION("""COMPUTED_VALUE"""),22)</f>
        <v>22</v>
      </c>
      <c r="E2320" s="1" t="str">
        <f ca="1">IFERROR(__xludf.DUMMYFUNCTION("""COMPUTED_VALUE"""),"Lakeshore Lightning Hockey")</f>
        <v>Lakeshore Lightning Hockey</v>
      </c>
      <c r="F2320" s="87" t="str">
        <f t="shared" ca="1" si="0"/>
        <v>2023</v>
      </c>
      <c r="H2320" s="26" t="str">
        <f t="shared" si="1"/>
        <v/>
      </c>
      <c r="I2320" s="26" t="str">
        <f t="shared" si="2"/>
        <v/>
      </c>
      <c r="J2320" s="86">
        <f t="shared" ca="1" si="3"/>
        <v>45244</v>
      </c>
      <c r="R2320" s="26"/>
    </row>
    <row r="2321" spans="1:18" ht="15.75" customHeight="1">
      <c r="A2321" s="26">
        <f ca="1">IFERROR(__xludf.DUMMYFUNCTION("""COMPUTED_VALUE"""),21472)</f>
        <v>21472</v>
      </c>
      <c r="B2321" s="86">
        <f ca="1">IFERROR(__xludf.DUMMYFUNCTION("""COMPUTED_VALUE"""),45245.7171527777)</f>
        <v>45245.717152777703</v>
      </c>
      <c r="C2321" s="1" t="str">
        <f ca="1">IFERROR(__xludf.DUMMYFUNCTION("""COMPUTED_VALUE"""),"completed")</f>
        <v>completed</v>
      </c>
      <c r="D2321" s="26">
        <f ca="1">IFERROR(__xludf.DUMMYFUNCTION("""COMPUTED_VALUE"""),25)</f>
        <v>25</v>
      </c>
      <c r="E2321" s="1" t="str">
        <f ca="1">IFERROR(__xludf.DUMMYFUNCTION("""COMPUTED_VALUE"""),"Select Option")</f>
        <v>Select Option</v>
      </c>
      <c r="F2321" s="87" t="str">
        <f t="shared" ca="1" si="0"/>
        <v>2023</v>
      </c>
      <c r="H2321" s="26" t="str">
        <f t="shared" si="1"/>
        <v/>
      </c>
      <c r="I2321" s="26" t="str">
        <f t="shared" si="2"/>
        <v/>
      </c>
      <c r="J2321" s="86">
        <f t="shared" ca="1" si="3"/>
        <v>45245</v>
      </c>
      <c r="R2321" s="26"/>
    </row>
    <row r="2322" spans="1:18" ht="15.75" customHeight="1">
      <c r="A2322" s="26">
        <f ca="1">IFERROR(__xludf.DUMMYFUNCTION("""COMPUTED_VALUE"""),21473)</f>
        <v>21473</v>
      </c>
      <c r="B2322" s="86">
        <f ca="1">IFERROR(__xludf.DUMMYFUNCTION("""COMPUTED_VALUE"""),45245.8187152777)</f>
        <v>45245.818715277703</v>
      </c>
      <c r="C2322" s="1" t="str">
        <f ca="1">IFERROR(__xludf.DUMMYFUNCTION("""COMPUTED_VALUE"""),"completed")</f>
        <v>completed</v>
      </c>
      <c r="D2322" s="26">
        <f ca="1">IFERROR(__xludf.DUMMYFUNCTION("""COMPUTED_VALUE"""),61)</f>
        <v>61</v>
      </c>
      <c r="E2322" s="1" t="str">
        <f ca="1">IFERROR(__xludf.DUMMYFUNCTION("""COMPUTED_VALUE"""),"South Point Stars")</f>
        <v>South Point Stars</v>
      </c>
      <c r="F2322" s="87" t="str">
        <f t="shared" ca="1" si="0"/>
        <v>2023</v>
      </c>
      <c r="H2322" s="26" t="str">
        <f t="shared" si="1"/>
        <v/>
      </c>
      <c r="I2322" s="26" t="str">
        <f t="shared" si="2"/>
        <v/>
      </c>
      <c r="J2322" s="86">
        <f t="shared" ca="1" si="3"/>
        <v>45245</v>
      </c>
      <c r="R2322" s="26"/>
    </row>
    <row r="2323" spans="1:18" ht="15.75" customHeight="1">
      <c r="A2323" s="26">
        <f ca="1">IFERROR(__xludf.DUMMYFUNCTION("""COMPUTED_VALUE"""),21517)</f>
        <v>21517</v>
      </c>
      <c r="B2323" s="86">
        <f ca="1">IFERROR(__xludf.DUMMYFUNCTION("""COMPUTED_VALUE"""),45248.5583101851)</f>
        <v>45248.558310185101</v>
      </c>
      <c r="C2323" s="1" t="str">
        <f ca="1">IFERROR(__xludf.DUMMYFUNCTION("""COMPUTED_VALUE"""),"completed")</f>
        <v>completed</v>
      </c>
      <c r="D2323" s="26">
        <f ca="1">IFERROR(__xludf.DUMMYFUNCTION("""COMPUTED_VALUE"""),57)</f>
        <v>57</v>
      </c>
      <c r="E2323" s="1" t="str">
        <f ca="1">IFERROR(__xludf.DUMMYFUNCTION("""COMPUTED_VALUE"""),"WMFA")</f>
        <v>WMFA</v>
      </c>
      <c r="F2323" s="87" t="str">
        <f t="shared" ca="1" si="0"/>
        <v>2023</v>
      </c>
      <c r="H2323" s="26" t="str">
        <f t="shared" si="1"/>
        <v/>
      </c>
      <c r="I2323" s="26" t="str">
        <f t="shared" si="2"/>
        <v/>
      </c>
      <c r="J2323" s="86">
        <f t="shared" ca="1" si="3"/>
        <v>45248</v>
      </c>
      <c r="R2323" s="26"/>
    </row>
    <row r="2324" spans="1:18" ht="15.75" customHeight="1">
      <c r="A2324" s="26">
        <f ca="1">IFERROR(__xludf.DUMMYFUNCTION("""COMPUTED_VALUE"""),21518)</f>
        <v>21518</v>
      </c>
      <c r="B2324" s="86">
        <f ca="1">IFERROR(__xludf.DUMMYFUNCTION("""COMPUTED_VALUE"""),45248.7285532407)</f>
        <v>45248.728553240697</v>
      </c>
      <c r="C2324" s="1" t="str">
        <f ca="1">IFERROR(__xludf.DUMMYFUNCTION("""COMPUTED_VALUE"""),"completed")</f>
        <v>completed</v>
      </c>
      <c r="D2324" s="26">
        <f ca="1">IFERROR(__xludf.DUMMYFUNCTION("""COMPUTED_VALUE"""),15)</f>
        <v>15</v>
      </c>
      <c r="E2324" s="1" t="str">
        <f ca="1">IFERROR(__xludf.DUMMYFUNCTION("""COMPUTED_VALUE"""),"Select Option")</f>
        <v>Select Option</v>
      </c>
      <c r="F2324" s="87" t="str">
        <f t="shared" ca="1" si="0"/>
        <v>2023</v>
      </c>
      <c r="H2324" s="26" t="str">
        <f t="shared" si="1"/>
        <v/>
      </c>
      <c r="I2324" s="26" t="str">
        <f t="shared" si="2"/>
        <v/>
      </c>
      <c r="J2324" s="86">
        <f t="shared" ca="1" si="3"/>
        <v>45248</v>
      </c>
      <c r="R2324" s="26"/>
    </row>
    <row r="2325" spans="1:18" ht="15.75" customHeight="1">
      <c r="A2325" s="26">
        <f ca="1">IFERROR(__xludf.DUMMYFUNCTION("""COMPUTED_VALUE"""),21525)</f>
        <v>21525</v>
      </c>
      <c r="B2325" s="86">
        <f ca="1">IFERROR(__xludf.DUMMYFUNCTION("""COMPUTED_VALUE"""),45248.9752777777)</f>
        <v>45248.975277777703</v>
      </c>
      <c r="C2325" s="1" t="str">
        <f ca="1">IFERROR(__xludf.DUMMYFUNCTION("""COMPUTED_VALUE"""),"completed")</f>
        <v>completed</v>
      </c>
      <c r="D2325" s="26">
        <f ca="1">IFERROR(__xludf.DUMMYFUNCTION("""COMPUTED_VALUE"""),35)</f>
        <v>35</v>
      </c>
      <c r="E2325" s="1" t="str">
        <f ca="1">IFERROR(__xludf.DUMMYFUNCTION("""COMPUTED_VALUE"""),"Lakeshore Lightning Hockey")</f>
        <v>Lakeshore Lightning Hockey</v>
      </c>
      <c r="F2325" s="87" t="str">
        <f t="shared" ca="1" si="0"/>
        <v>2023</v>
      </c>
      <c r="H2325" s="26" t="str">
        <f t="shared" si="1"/>
        <v/>
      </c>
      <c r="I2325" s="26" t="str">
        <f t="shared" si="2"/>
        <v/>
      </c>
      <c r="J2325" s="86">
        <f t="shared" ca="1" si="3"/>
        <v>45248</v>
      </c>
      <c r="R2325" s="26"/>
    </row>
    <row r="2326" spans="1:18" ht="15.75" customHeight="1">
      <c r="A2326" s="26">
        <f ca="1">IFERROR(__xludf.DUMMYFUNCTION("""COMPUTED_VALUE"""),21532)</f>
        <v>21532</v>
      </c>
      <c r="B2326" s="86">
        <f ca="1">IFERROR(__xludf.DUMMYFUNCTION("""COMPUTED_VALUE"""),45250.5592592592)</f>
        <v>45250.5592592592</v>
      </c>
      <c r="C2326" s="1" t="str">
        <f ca="1">IFERROR(__xludf.DUMMYFUNCTION("""COMPUTED_VALUE"""),"completed")</f>
        <v>completed</v>
      </c>
      <c r="D2326" s="26">
        <f ca="1">IFERROR(__xludf.DUMMYFUNCTION("""COMPUTED_VALUE"""),26)</f>
        <v>26</v>
      </c>
      <c r="E2326" s="1" t="str">
        <f ca="1">IFERROR(__xludf.DUMMYFUNCTION("""COMPUTED_VALUE"""),"Lakeshore Lightning Hockey")</f>
        <v>Lakeshore Lightning Hockey</v>
      </c>
      <c r="F2326" s="87" t="str">
        <f t="shared" ca="1" si="0"/>
        <v>2023</v>
      </c>
      <c r="H2326" s="26" t="str">
        <f t="shared" si="1"/>
        <v/>
      </c>
      <c r="I2326" s="26" t="str">
        <f t="shared" si="2"/>
        <v/>
      </c>
      <c r="J2326" s="86">
        <f t="shared" ca="1" si="3"/>
        <v>45250</v>
      </c>
      <c r="R2326" s="26"/>
    </row>
    <row r="2327" spans="1:18" ht="15.75" customHeight="1">
      <c r="A2327" s="26">
        <f ca="1">IFERROR(__xludf.DUMMYFUNCTION("""COMPUTED_VALUE"""),21537)</f>
        <v>21537</v>
      </c>
      <c r="B2327" s="86">
        <f ca="1">IFERROR(__xludf.DUMMYFUNCTION("""COMPUTED_VALUE"""),45251.1128819444)</f>
        <v>45251.112881944398</v>
      </c>
      <c r="C2327" s="1" t="str">
        <f ca="1">IFERROR(__xludf.DUMMYFUNCTION("""COMPUTED_VALUE"""),"completed")</f>
        <v>completed</v>
      </c>
      <c r="D2327" s="26">
        <f ca="1">IFERROR(__xludf.DUMMYFUNCTION("""COMPUTED_VALUE"""),232)</f>
        <v>232</v>
      </c>
      <c r="E2327" s="1" t="str">
        <f ca="1">IFERROR(__xludf.DUMMYFUNCTION("""COMPUTED_VALUE"""),"Lakeshore Lightning Hockey")</f>
        <v>Lakeshore Lightning Hockey</v>
      </c>
      <c r="F2327" s="87" t="str">
        <f t="shared" ca="1" si="0"/>
        <v>2023</v>
      </c>
      <c r="H2327" s="26" t="str">
        <f t="shared" si="1"/>
        <v/>
      </c>
      <c r="I2327" s="26" t="str">
        <f t="shared" si="2"/>
        <v/>
      </c>
      <c r="J2327" s="86">
        <f t="shared" ca="1" si="3"/>
        <v>45251</v>
      </c>
      <c r="R2327" s="26"/>
    </row>
    <row r="2328" spans="1:18" ht="15.75" customHeight="1">
      <c r="A2328" s="26">
        <f ca="1">IFERROR(__xludf.DUMMYFUNCTION("""COMPUTED_VALUE"""),21552)</f>
        <v>21552</v>
      </c>
      <c r="B2328" s="86">
        <f ca="1">IFERROR(__xludf.DUMMYFUNCTION("""COMPUTED_VALUE"""),45251.7502314814)</f>
        <v>45251.750231481397</v>
      </c>
      <c r="C2328" s="1" t="str">
        <f ca="1">IFERROR(__xludf.DUMMYFUNCTION("""COMPUTED_VALUE"""),"completed")</f>
        <v>completed</v>
      </c>
      <c r="D2328" s="26">
        <f ca="1">IFERROR(__xludf.DUMMYFUNCTION("""COMPUTED_VALUE"""),56)</f>
        <v>56</v>
      </c>
      <c r="E2328" s="1" t="str">
        <f ca="1">IFERROR(__xludf.DUMMYFUNCTION("""COMPUTED_VALUE"""),"Lakeshore Lightning Hockey")</f>
        <v>Lakeshore Lightning Hockey</v>
      </c>
      <c r="F2328" s="87" t="str">
        <f t="shared" ca="1" si="0"/>
        <v>2023</v>
      </c>
      <c r="H2328" s="26" t="str">
        <f t="shared" si="1"/>
        <v/>
      </c>
      <c r="I2328" s="26" t="str">
        <f t="shared" si="2"/>
        <v/>
      </c>
      <c r="J2328" s="86">
        <f t="shared" ca="1" si="3"/>
        <v>45251</v>
      </c>
      <c r="R2328" s="26"/>
    </row>
    <row r="2329" spans="1:18" ht="15.75" customHeight="1">
      <c r="A2329" s="26">
        <f ca="1">IFERROR(__xludf.DUMMYFUNCTION("""COMPUTED_VALUE"""),21555)</f>
        <v>21555</v>
      </c>
      <c r="B2329" s="86">
        <f ca="1">IFERROR(__xludf.DUMMYFUNCTION("""COMPUTED_VALUE"""),45251.8605787037)</f>
        <v>45251.860578703701</v>
      </c>
      <c r="C2329" s="1" t="str">
        <f ca="1">IFERROR(__xludf.DUMMYFUNCTION("""COMPUTED_VALUE"""),"completed")</f>
        <v>completed</v>
      </c>
      <c r="D2329" s="26">
        <f ca="1">IFERROR(__xludf.DUMMYFUNCTION("""COMPUTED_VALUE"""),25)</f>
        <v>25</v>
      </c>
      <c r="E2329" s="1" t="str">
        <f ca="1">IFERROR(__xludf.DUMMYFUNCTION("""COMPUTED_VALUE"""),"Lakeshore Lightning Hockey")</f>
        <v>Lakeshore Lightning Hockey</v>
      </c>
      <c r="F2329" s="87" t="str">
        <f t="shared" ca="1" si="0"/>
        <v>2023</v>
      </c>
      <c r="H2329" s="26" t="str">
        <f t="shared" si="1"/>
        <v/>
      </c>
      <c r="I2329" s="26" t="str">
        <f t="shared" si="2"/>
        <v/>
      </c>
      <c r="J2329" s="86">
        <f t="shared" ca="1" si="3"/>
        <v>45251</v>
      </c>
      <c r="R2329" s="26"/>
    </row>
    <row r="2330" spans="1:18" ht="15.75" customHeight="1">
      <c r="A2330" s="26">
        <f ca="1">IFERROR(__xludf.DUMMYFUNCTION("""COMPUTED_VALUE"""),21581)</f>
        <v>21581</v>
      </c>
      <c r="B2330" s="86">
        <f ca="1">IFERROR(__xludf.DUMMYFUNCTION("""COMPUTED_VALUE"""),45253.0279861111)</f>
        <v>45253.027986111098</v>
      </c>
      <c r="C2330" s="1" t="str">
        <f ca="1">IFERROR(__xludf.DUMMYFUNCTION("""COMPUTED_VALUE"""),"completed")</f>
        <v>completed</v>
      </c>
      <c r="D2330" s="26">
        <f ca="1">IFERROR(__xludf.DUMMYFUNCTION("""COMPUTED_VALUE"""),25)</f>
        <v>25</v>
      </c>
      <c r="E2330" s="1" t="str">
        <f ca="1">IFERROR(__xludf.DUMMYFUNCTION("""COMPUTED_VALUE"""),"Windsor Aquatic Club")</f>
        <v>Windsor Aquatic Club</v>
      </c>
      <c r="F2330" s="87" t="str">
        <f t="shared" ca="1" si="0"/>
        <v>2023</v>
      </c>
      <c r="H2330" s="26" t="str">
        <f t="shared" si="1"/>
        <v/>
      </c>
      <c r="I2330" s="26" t="str">
        <f t="shared" si="2"/>
        <v/>
      </c>
      <c r="J2330" s="86">
        <f t="shared" ca="1" si="3"/>
        <v>45253</v>
      </c>
      <c r="R2330" s="26"/>
    </row>
    <row r="2331" spans="1:18" ht="15.75" customHeight="1">
      <c r="A2331" s="26">
        <f ca="1">IFERROR(__xludf.DUMMYFUNCTION("""COMPUTED_VALUE"""),21582)</f>
        <v>21582</v>
      </c>
      <c r="B2331" s="86">
        <f ca="1">IFERROR(__xludf.DUMMYFUNCTION("""COMPUTED_VALUE"""),45253.1078819444)</f>
        <v>45253.107881944401</v>
      </c>
      <c r="C2331" s="1" t="str">
        <f ca="1">IFERROR(__xludf.DUMMYFUNCTION("""COMPUTED_VALUE"""),"completed")</f>
        <v>completed</v>
      </c>
      <c r="D2331" s="26">
        <f ca="1">IFERROR(__xludf.DUMMYFUNCTION("""COMPUTED_VALUE"""),103)</f>
        <v>103</v>
      </c>
      <c r="E2331" s="1" t="str">
        <f ca="1">IFERROR(__xludf.DUMMYFUNCTION("""COMPUTED_VALUE"""),"South Point Stars")</f>
        <v>South Point Stars</v>
      </c>
      <c r="F2331" s="87" t="str">
        <f t="shared" ca="1" si="0"/>
        <v>2023</v>
      </c>
      <c r="H2331" s="26" t="str">
        <f t="shared" si="1"/>
        <v/>
      </c>
      <c r="I2331" s="26" t="str">
        <f t="shared" si="2"/>
        <v/>
      </c>
      <c r="J2331" s="86">
        <f t="shared" ca="1" si="3"/>
        <v>45253</v>
      </c>
      <c r="R2331" s="26"/>
    </row>
    <row r="2332" spans="1:18" ht="15.75" customHeight="1">
      <c r="A2332" s="26">
        <f ca="1">IFERROR(__xludf.DUMMYFUNCTION("""COMPUTED_VALUE"""),21587)</f>
        <v>21587</v>
      </c>
      <c r="B2332" s="86">
        <f ca="1">IFERROR(__xludf.DUMMYFUNCTION("""COMPUTED_VALUE"""),45253.8255902777)</f>
        <v>45253.825590277702</v>
      </c>
      <c r="C2332" s="1" t="str">
        <f ca="1">IFERROR(__xludf.DUMMYFUNCTION("""COMPUTED_VALUE"""),"completed")</f>
        <v>completed</v>
      </c>
      <c r="D2332" s="26">
        <f ca="1">IFERROR(__xludf.DUMMYFUNCTION("""COMPUTED_VALUE"""),75)</f>
        <v>75</v>
      </c>
      <c r="E2332" s="1" t="str">
        <f ca="1">IFERROR(__xludf.DUMMYFUNCTION("""COMPUTED_VALUE"""),"Windsor Aquatic Club")</f>
        <v>Windsor Aquatic Club</v>
      </c>
      <c r="F2332" s="87" t="str">
        <f t="shared" ca="1" si="0"/>
        <v>2023</v>
      </c>
      <c r="H2332" s="26" t="str">
        <f t="shared" si="1"/>
        <v/>
      </c>
      <c r="I2332" s="26" t="str">
        <f t="shared" si="2"/>
        <v/>
      </c>
      <c r="J2332" s="86">
        <f t="shared" ca="1" si="3"/>
        <v>45253</v>
      </c>
      <c r="R2332" s="26"/>
    </row>
    <row r="2333" spans="1:18" ht="15.75" customHeight="1">
      <c r="A2333" s="26">
        <f ca="1">IFERROR(__xludf.DUMMYFUNCTION("""COMPUTED_VALUE"""),21586)</f>
        <v>21586</v>
      </c>
      <c r="B2333" s="86">
        <f ca="1">IFERROR(__xludf.DUMMYFUNCTION("""COMPUTED_VALUE"""),45253.8233101851)</f>
        <v>45253.8233101851</v>
      </c>
      <c r="C2333" s="1" t="str">
        <f ca="1">IFERROR(__xludf.DUMMYFUNCTION("""COMPUTED_VALUE"""),"completed")</f>
        <v>completed</v>
      </c>
      <c r="D2333" s="26">
        <f ca="1">IFERROR(__xludf.DUMMYFUNCTION("""COMPUTED_VALUE"""),55)</f>
        <v>55</v>
      </c>
      <c r="E2333" s="1" t="str">
        <f ca="1">IFERROR(__xludf.DUMMYFUNCTION("""COMPUTED_VALUE"""),"Windsor Aquatic Club")</f>
        <v>Windsor Aquatic Club</v>
      </c>
      <c r="F2333" s="87" t="str">
        <f t="shared" ca="1" si="0"/>
        <v>2023</v>
      </c>
      <c r="H2333" s="26" t="str">
        <f t="shared" si="1"/>
        <v/>
      </c>
      <c r="I2333" s="26" t="str">
        <f t="shared" si="2"/>
        <v/>
      </c>
      <c r="J2333" s="86">
        <f t="shared" ca="1" si="3"/>
        <v>45253</v>
      </c>
      <c r="R2333" s="26"/>
    </row>
    <row r="2334" spans="1:18" ht="15.75" customHeight="1">
      <c r="A2334" s="26">
        <f ca="1">IFERROR(__xludf.DUMMYFUNCTION("""COMPUTED_VALUE"""),21588)</f>
        <v>21588</v>
      </c>
      <c r="B2334" s="86">
        <f ca="1">IFERROR(__xludf.DUMMYFUNCTION("""COMPUTED_VALUE"""),45254.7285879629)</f>
        <v>45254.728587962898</v>
      </c>
      <c r="C2334" s="1" t="str">
        <f ca="1">IFERROR(__xludf.DUMMYFUNCTION("""COMPUTED_VALUE"""),"completed")</f>
        <v>completed</v>
      </c>
      <c r="D2334" s="26">
        <f ca="1">IFERROR(__xludf.DUMMYFUNCTION("""COMPUTED_VALUE"""),135)</f>
        <v>135</v>
      </c>
      <c r="E2334" s="1" t="str">
        <f ca="1">IFERROR(__xludf.DUMMYFUNCTION("""COMPUTED_VALUE"""),"Windsor Aquatic Club")</f>
        <v>Windsor Aquatic Club</v>
      </c>
      <c r="F2334" s="87" t="str">
        <f t="shared" ca="1" si="0"/>
        <v>2023</v>
      </c>
      <c r="H2334" s="26" t="str">
        <f t="shared" si="1"/>
        <v/>
      </c>
      <c r="I2334" s="26" t="str">
        <f t="shared" si="2"/>
        <v/>
      </c>
      <c r="J2334" s="86">
        <f t="shared" ca="1" si="3"/>
        <v>45254</v>
      </c>
      <c r="R2334" s="26"/>
    </row>
    <row r="2335" spans="1:18" ht="15.75" customHeight="1">
      <c r="A2335" s="26">
        <f ca="1">IFERROR(__xludf.DUMMYFUNCTION("""COMPUTED_VALUE"""),21589)</f>
        <v>21589</v>
      </c>
      <c r="B2335" s="86">
        <f ca="1">IFERROR(__xludf.DUMMYFUNCTION("""COMPUTED_VALUE"""),45256.0741666666)</f>
        <v>45256.0741666666</v>
      </c>
      <c r="C2335" s="1" t="str">
        <f ca="1">IFERROR(__xludf.DUMMYFUNCTION("""COMPUTED_VALUE"""),"completed")</f>
        <v>completed</v>
      </c>
      <c r="D2335" s="26">
        <f ca="1">IFERROR(__xludf.DUMMYFUNCTION("""COMPUTED_VALUE"""),26)</f>
        <v>26</v>
      </c>
      <c r="E2335" s="1" t="str">
        <f ca="1">IFERROR(__xludf.DUMMYFUNCTION("""COMPUTED_VALUE"""),"South Point Stars")</f>
        <v>South Point Stars</v>
      </c>
      <c r="F2335" s="87" t="str">
        <f t="shared" ca="1" si="0"/>
        <v>2023</v>
      </c>
      <c r="H2335" s="26" t="str">
        <f t="shared" si="1"/>
        <v/>
      </c>
      <c r="I2335" s="26" t="str">
        <f t="shared" si="2"/>
        <v/>
      </c>
      <c r="J2335" s="86">
        <f t="shared" ca="1" si="3"/>
        <v>45256</v>
      </c>
      <c r="R2335" s="26"/>
    </row>
    <row r="2336" spans="1:18" ht="15.75" customHeight="1">
      <c r="A2336" s="26">
        <f ca="1">IFERROR(__xludf.DUMMYFUNCTION("""COMPUTED_VALUE"""),21590)</f>
        <v>21590</v>
      </c>
      <c r="B2336" s="86">
        <f ca="1">IFERROR(__xludf.DUMMYFUNCTION("""COMPUTED_VALUE"""),45256.6525578703)</f>
        <v>45256.6525578703</v>
      </c>
      <c r="C2336" s="1" t="str">
        <f ca="1">IFERROR(__xludf.DUMMYFUNCTION("""COMPUTED_VALUE"""),"completed")</f>
        <v>completed</v>
      </c>
      <c r="D2336" s="26">
        <f ca="1">IFERROR(__xludf.DUMMYFUNCTION("""COMPUTED_VALUE"""),22)</f>
        <v>22</v>
      </c>
      <c r="E2336" s="1" t="str">
        <f ca="1">IFERROR(__xludf.DUMMYFUNCTION("""COMPUTED_VALUE"""),"Windsor Aquatic Club")</f>
        <v>Windsor Aquatic Club</v>
      </c>
      <c r="F2336" s="87" t="str">
        <f t="shared" ca="1" si="0"/>
        <v>2023</v>
      </c>
      <c r="H2336" s="26" t="str">
        <f t="shared" si="1"/>
        <v/>
      </c>
      <c r="I2336" s="26" t="str">
        <f t="shared" si="2"/>
        <v/>
      </c>
      <c r="J2336" s="86">
        <f t="shared" ca="1" si="3"/>
        <v>45256</v>
      </c>
      <c r="R2336" s="26"/>
    </row>
    <row r="2337" spans="1:18" ht="15.75" customHeight="1">
      <c r="A2337" s="26">
        <f ca="1">IFERROR(__xludf.DUMMYFUNCTION("""COMPUTED_VALUE"""),21591)</f>
        <v>21591</v>
      </c>
      <c r="B2337" s="86">
        <f ca="1">IFERROR(__xludf.DUMMYFUNCTION("""COMPUTED_VALUE"""),45257.073912037)</f>
        <v>45257.073912036998</v>
      </c>
      <c r="C2337" s="1" t="str">
        <f ca="1">IFERROR(__xludf.DUMMYFUNCTION("""COMPUTED_VALUE"""),"completed")</f>
        <v>completed</v>
      </c>
      <c r="D2337" s="26">
        <f ca="1">IFERROR(__xludf.DUMMYFUNCTION("""COMPUTED_VALUE"""),25)</f>
        <v>25</v>
      </c>
      <c r="E2337" s="1" t="str">
        <f ca="1">IFERROR(__xludf.DUMMYFUNCTION("""COMPUTED_VALUE"""),"Windsor Aquatic Club")</f>
        <v>Windsor Aquatic Club</v>
      </c>
      <c r="F2337" s="87" t="str">
        <f t="shared" ca="1" si="0"/>
        <v>2023</v>
      </c>
      <c r="H2337" s="26" t="str">
        <f t="shared" si="1"/>
        <v/>
      </c>
      <c r="I2337" s="26" t="str">
        <f t="shared" si="2"/>
        <v/>
      </c>
      <c r="J2337" s="86">
        <f t="shared" ca="1" si="3"/>
        <v>45257</v>
      </c>
      <c r="R2337" s="26"/>
    </row>
    <row r="2338" spans="1:18" ht="15.75" customHeight="1">
      <c r="A2338" s="26">
        <f ca="1">IFERROR(__xludf.DUMMYFUNCTION("""COMPUTED_VALUE"""),21593)</f>
        <v>21593</v>
      </c>
      <c r="B2338" s="86">
        <f ca="1">IFERROR(__xludf.DUMMYFUNCTION("""COMPUTED_VALUE"""),45257.0809027777)</f>
        <v>45257.0809027777</v>
      </c>
      <c r="C2338" s="1" t="str">
        <f ca="1">IFERROR(__xludf.DUMMYFUNCTION("""COMPUTED_VALUE"""),"completed")</f>
        <v>completed</v>
      </c>
      <c r="D2338" s="26">
        <f ca="1">IFERROR(__xludf.DUMMYFUNCTION("""COMPUTED_VALUE"""),45)</f>
        <v>45</v>
      </c>
      <c r="E2338" s="1" t="str">
        <f ca="1">IFERROR(__xludf.DUMMYFUNCTION("""COMPUTED_VALUE"""),"Windsor Aquatic Club")</f>
        <v>Windsor Aquatic Club</v>
      </c>
      <c r="F2338" s="87" t="str">
        <f t="shared" ca="1" si="0"/>
        <v>2023</v>
      </c>
      <c r="H2338" s="26" t="str">
        <f t="shared" si="1"/>
        <v/>
      </c>
      <c r="I2338" s="26" t="str">
        <f t="shared" si="2"/>
        <v/>
      </c>
      <c r="J2338" s="86">
        <f t="shared" ca="1" si="3"/>
        <v>45257</v>
      </c>
      <c r="R2338" s="26"/>
    </row>
    <row r="2339" spans="1:18" ht="15.75" customHeight="1">
      <c r="A2339" s="26">
        <f ca="1">IFERROR(__xludf.DUMMYFUNCTION("""COMPUTED_VALUE"""),21592)</f>
        <v>21592</v>
      </c>
      <c r="B2339" s="86">
        <f ca="1">IFERROR(__xludf.DUMMYFUNCTION("""COMPUTED_VALUE"""),45257.0761458333)</f>
        <v>45257.0761458333</v>
      </c>
      <c r="C2339" s="1" t="str">
        <f ca="1">IFERROR(__xludf.DUMMYFUNCTION("""COMPUTED_VALUE"""),"completed")</f>
        <v>completed</v>
      </c>
      <c r="D2339" s="26">
        <f ca="1">IFERROR(__xludf.DUMMYFUNCTION("""COMPUTED_VALUE"""),25)</f>
        <v>25</v>
      </c>
      <c r="E2339" s="1" t="str">
        <f ca="1">IFERROR(__xludf.DUMMYFUNCTION("""COMPUTED_VALUE"""),"Windsor Aquatic Club")</f>
        <v>Windsor Aquatic Club</v>
      </c>
      <c r="F2339" s="87" t="str">
        <f t="shared" ca="1" si="0"/>
        <v>2023</v>
      </c>
      <c r="H2339" s="26" t="str">
        <f t="shared" si="1"/>
        <v/>
      </c>
      <c r="I2339" s="26" t="str">
        <f t="shared" si="2"/>
        <v/>
      </c>
      <c r="J2339" s="86">
        <f t="shared" ca="1" si="3"/>
        <v>45257</v>
      </c>
      <c r="R2339" s="26"/>
    </row>
    <row r="2340" spans="1:18" ht="15.75" customHeight="1">
      <c r="A2340" s="26">
        <f ca="1">IFERROR(__xludf.DUMMYFUNCTION("""COMPUTED_VALUE"""),21594)</f>
        <v>21594</v>
      </c>
      <c r="B2340" s="86">
        <f ca="1">IFERROR(__xludf.DUMMYFUNCTION("""COMPUTED_VALUE"""),45257.1450347222)</f>
        <v>45257.145034722198</v>
      </c>
      <c r="C2340" s="1" t="str">
        <f ca="1">IFERROR(__xludf.DUMMYFUNCTION("""COMPUTED_VALUE"""),"completed")</f>
        <v>completed</v>
      </c>
      <c r="D2340" s="26">
        <f ca="1">IFERROR(__xludf.DUMMYFUNCTION("""COMPUTED_VALUE"""),25)</f>
        <v>25</v>
      </c>
      <c r="E2340" s="1" t="str">
        <f ca="1">IFERROR(__xludf.DUMMYFUNCTION("""COMPUTED_VALUE"""),"South Point Stars")</f>
        <v>South Point Stars</v>
      </c>
      <c r="F2340" s="87" t="str">
        <f t="shared" ca="1" si="0"/>
        <v>2023</v>
      </c>
      <c r="H2340" s="26" t="str">
        <f t="shared" si="1"/>
        <v/>
      </c>
      <c r="I2340" s="26" t="str">
        <f t="shared" si="2"/>
        <v/>
      </c>
      <c r="J2340" s="86">
        <f t="shared" ca="1" si="3"/>
        <v>45257</v>
      </c>
      <c r="R2340" s="26"/>
    </row>
    <row r="2341" spans="1:18" ht="15.75" customHeight="1">
      <c r="A2341" s="26">
        <f ca="1">IFERROR(__xludf.DUMMYFUNCTION("""COMPUTED_VALUE"""),21599)</f>
        <v>21599</v>
      </c>
      <c r="B2341" s="86">
        <f ca="1">IFERROR(__xludf.DUMMYFUNCTION("""COMPUTED_VALUE"""),45257.715636574)</f>
        <v>45257.715636574001</v>
      </c>
      <c r="C2341" s="1" t="str">
        <f ca="1">IFERROR(__xludf.DUMMYFUNCTION("""COMPUTED_VALUE"""),"completed")</f>
        <v>completed</v>
      </c>
      <c r="D2341" s="26">
        <f ca="1">IFERROR(__xludf.DUMMYFUNCTION("""COMPUTED_VALUE"""),100)</f>
        <v>100</v>
      </c>
      <c r="E2341" s="1" t="str">
        <f ca="1">IFERROR(__xludf.DUMMYFUNCTION("""COMPUTED_VALUE"""),"Windsor Aquatic Club")</f>
        <v>Windsor Aquatic Club</v>
      </c>
      <c r="F2341" s="87" t="str">
        <f t="shared" ca="1" si="0"/>
        <v>2023</v>
      </c>
      <c r="H2341" s="26" t="str">
        <f t="shared" si="1"/>
        <v/>
      </c>
      <c r="I2341" s="26" t="str">
        <f t="shared" si="2"/>
        <v/>
      </c>
      <c r="J2341" s="86">
        <f t="shared" ca="1" si="3"/>
        <v>45257</v>
      </c>
      <c r="R2341" s="26"/>
    </row>
    <row r="2342" spans="1:18" ht="15.75" customHeight="1">
      <c r="A2342" s="26">
        <f ca="1">IFERROR(__xludf.DUMMYFUNCTION("""COMPUTED_VALUE"""),21600)</f>
        <v>21600</v>
      </c>
      <c r="B2342" s="86">
        <f ca="1">IFERROR(__xludf.DUMMYFUNCTION("""COMPUTED_VALUE"""),45257.8317592592)</f>
        <v>45257.831759259199</v>
      </c>
      <c r="C2342" s="1" t="str">
        <f ca="1">IFERROR(__xludf.DUMMYFUNCTION("""COMPUTED_VALUE"""),"completed")</f>
        <v>completed</v>
      </c>
      <c r="D2342" s="26">
        <f ca="1">IFERROR(__xludf.DUMMYFUNCTION("""COMPUTED_VALUE"""),15)</f>
        <v>15</v>
      </c>
      <c r="E2342" s="1" t="str">
        <f ca="1">IFERROR(__xludf.DUMMYFUNCTION("""COMPUTED_VALUE"""),"W.M.H.A")</f>
        <v>W.M.H.A</v>
      </c>
      <c r="F2342" s="87" t="str">
        <f t="shared" ca="1" si="0"/>
        <v>2023</v>
      </c>
      <c r="H2342" s="26" t="str">
        <f t="shared" si="1"/>
        <v/>
      </c>
      <c r="I2342" s="26" t="str">
        <f t="shared" si="2"/>
        <v/>
      </c>
      <c r="J2342" s="86">
        <f t="shared" ca="1" si="3"/>
        <v>45257</v>
      </c>
      <c r="R2342" s="26"/>
    </row>
    <row r="2343" spans="1:18" ht="15.75" customHeight="1">
      <c r="A2343" s="26">
        <f ca="1">IFERROR(__xludf.DUMMYFUNCTION("""COMPUTED_VALUE"""),21601)</f>
        <v>21601</v>
      </c>
      <c r="B2343" s="86">
        <f ca="1">IFERROR(__xludf.DUMMYFUNCTION("""COMPUTED_VALUE"""),45258.0104282407)</f>
        <v>45258.010428240697</v>
      </c>
      <c r="C2343" s="1" t="str">
        <f ca="1">IFERROR(__xludf.DUMMYFUNCTION("""COMPUTED_VALUE"""),"completed")</f>
        <v>completed</v>
      </c>
      <c r="D2343" s="26">
        <f ca="1">IFERROR(__xludf.DUMMYFUNCTION("""COMPUTED_VALUE"""),50)</f>
        <v>50</v>
      </c>
      <c r="E2343" s="1" t="str">
        <f ca="1">IFERROR(__xludf.DUMMYFUNCTION("""COMPUTED_VALUE"""),"W.M.H.A")</f>
        <v>W.M.H.A</v>
      </c>
      <c r="F2343" s="87" t="str">
        <f t="shared" ca="1" si="0"/>
        <v>2023</v>
      </c>
      <c r="H2343" s="26" t="str">
        <f t="shared" si="1"/>
        <v/>
      </c>
      <c r="I2343" s="26" t="str">
        <f t="shared" si="2"/>
        <v/>
      </c>
      <c r="J2343" s="86">
        <f t="shared" ca="1" si="3"/>
        <v>45258</v>
      </c>
      <c r="R2343" s="26"/>
    </row>
    <row r="2344" spans="1:18" ht="15.75" customHeight="1">
      <c r="A2344" s="26">
        <f ca="1">IFERROR(__xludf.DUMMYFUNCTION("""COMPUTED_VALUE"""),21602)</f>
        <v>21602</v>
      </c>
      <c r="B2344" s="86">
        <f ca="1">IFERROR(__xludf.DUMMYFUNCTION("""COMPUTED_VALUE"""),45258.0601736111)</f>
        <v>45258.060173611098</v>
      </c>
      <c r="C2344" s="1" t="str">
        <f ca="1">IFERROR(__xludf.DUMMYFUNCTION("""COMPUTED_VALUE"""),"pending")</f>
        <v>pending</v>
      </c>
      <c r="D2344" s="26">
        <f ca="1">IFERROR(__xludf.DUMMYFUNCTION("""COMPUTED_VALUE"""),41)</f>
        <v>41</v>
      </c>
      <c r="E2344" s="1" t="str">
        <f ca="1">IFERROR(__xludf.DUMMYFUNCTION("""COMPUTED_VALUE"""),"Lakeshore Lightning Hockey")</f>
        <v>Lakeshore Lightning Hockey</v>
      </c>
      <c r="F2344" s="87" t="str">
        <f t="shared" ca="1" si="0"/>
        <v>2023</v>
      </c>
      <c r="H2344" s="26" t="str">
        <f t="shared" si="1"/>
        <v/>
      </c>
      <c r="I2344" s="26" t="str">
        <f t="shared" si="2"/>
        <v/>
      </c>
      <c r="J2344" s="86">
        <f t="shared" ca="1" si="3"/>
        <v>45258</v>
      </c>
      <c r="R2344" s="26"/>
    </row>
    <row r="2345" spans="1:18" ht="15.75" customHeight="1">
      <c r="A2345" s="26">
        <f ca="1">IFERROR(__xludf.DUMMYFUNCTION("""COMPUTED_VALUE"""),21603)</f>
        <v>21603</v>
      </c>
      <c r="B2345" s="86">
        <f ca="1">IFERROR(__xludf.DUMMYFUNCTION("""COMPUTED_VALUE"""),45258.064375)</f>
        <v>45258.064375000002</v>
      </c>
      <c r="C2345" s="1" t="str">
        <f ca="1">IFERROR(__xludf.DUMMYFUNCTION("""COMPUTED_VALUE"""),"completed")</f>
        <v>completed</v>
      </c>
      <c r="D2345" s="26">
        <f ca="1">IFERROR(__xludf.DUMMYFUNCTION("""COMPUTED_VALUE"""),48)</f>
        <v>48</v>
      </c>
      <c r="E2345" s="1" t="str">
        <f ca="1">IFERROR(__xludf.DUMMYFUNCTION("""COMPUTED_VALUE"""),"W.M.H.A")</f>
        <v>W.M.H.A</v>
      </c>
      <c r="F2345" s="87" t="str">
        <f t="shared" ca="1" si="0"/>
        <v>2023</v>
      </c>
      <c r="H2345" s="26" t="str">
        <f t="shared" si="1"/>
        <v/>
      </c>
      <c r="I2345" s="26" t="str">
        <f t="shared" si="2"/>
        <v/>
      </c>
      <c r="J2345" s="86">
        <f t="shared" ca="1" si="3"/>
        <v>45258</v>
      </c>
      <c r="R2345" s="26"/>
    </row>
    <row r="2346" spans="1:18" ht="15.75" customHeight="1">
      <c r="A2346" s="26">
        <f ca="1">IFERROR(__xludf.DUMMYFUNCTION("""COMPUTED_VALUE"""),21606)</f>
        <v>21606</v>
      </c>
      <c r="B2346" s="86">
        <f ca="1">IFERROR(__xludf.DUMMYFUNCTION("""COMPUTED_VALUE"""),45258.1034722222)</f>
        <v>45258.103472222203</v>
      </c>
      <c r="C2346" s="1" t="str">
        <f ca="1">IFERROR(__xludf.DUMMYFUNCTION("""COMPUTED_VALUE"""),"completed")</f>
        <v>completed</v>
      </c>
      <c r="D2346" s="26">
        <f ca="1">IFERROR(__xludf.DUMMYFUNCTION("""COMPUTED_VALUE"""),25)</f>
        <v>25</v>
      </c>
      <c r="E2346" s="1" t="str">
        <f ca="1">IFERROR(__xludf.DUMMYFUNCTION("""COMPUTED_VALUE"""),"W.M.H.A")</f>
        <v>W.M.H.A</v>
      </c>
      <c r="F2346" s="87" t="str">
        <f t="shared" ca="1" si="0"/>
        <v>2023</v>
      </c>
      <c r="H2346" s="26" t="str">
        <f t="shared" si="1"/>
        <v/>
      </c>
      <c r="I2346" s="26" t="str">
        <f t="shared" si="2"/>
        <v/>
      </c>
      <c r="J2346" s="86">
        <f t="shared" ca="1" si="3"/>
        <v>45258</v>
      </c>
      <c r="R2346" s="26"/>
    </row>
    <row r="2347" spans="1:18" ht="15.75" customHeight="1">
      <c r="A2347" s="26">
        <f ca="1">IFERROR(__xludf.DUMMYFUNCTION("""COMPUTED_VALUE"""),21607)</f>
        <v>21607</v>
      </c>
      <c r="B2347" s="86">
        <f ca="1">IFERROR(__xludf.DUMMYFUNCTION("""COMPUTED_VALUE"""),45258.105011574)</f>
        <v>45258.105011574</v>
      </c>
      <c r="C2347" s="1" t="str">
        <f ca="1">IFERROR(__xludf.DUMMYFUNCTION("""COMPUTED_VALUE"""),"completed")</f>
        <v>completed</v>
      </c>
      <c r="D2347" s="26">
        <f ca="1">IFERROR(__xludf.DUMMYFUNCTION("""COMPUTED_VALUE"""),25)</f>
        <v>25</v>
      </c>
      <c r="E2347" s="1" t="str">
        <f ca="1">IFERROR(__xludf.DUMMYFUNCTION("""COMPUTED_VALUE"""),"W.M.H.A")</f>
        <v>W.M.H.A</v>
      </c>
      <c r="F2347" s="87" t="str">
        <f t="shared" ca="1" si="0"/>
        <v>2023</v>
      </c>
      <c r="H2347" s="26" t="str">
        <f t="shared" si="1"/>
        <v/>
      </c>
      <c r="I2347" s="26" t="str">
        <f t="shared" si="2"/>
        <v/>
      </c>
      <c r="J2347" s="86">
        <f t="shared" ca="1" si="3"/>
        <v>45258</v>
      </c>
      <c r="R2347" s="26"/>
    </row>
    <row r="2348" spans="1:18" ht="15.75" customHeight="1">
      <c r="A2348" s="26">
        <f ca="1">IFERROR(__xludf.DUMMYFUNCTION("""COMPUTED_VALUE"""),21609)</f>
        <v>21609</v>
      </c>
      <c r="B2348" s="86">
        <f ca="1">IFERROR(__xludf.DUMMYFUNCTION("""COMPUTED_VALUE"""),45258.1105787037)</f>
        <v>45258.110578703701</v>
      </c>
      <c r="C2348" s="1" t="str">
        <f ca="1">IFERROR(__xludf.DUMMYFUNCTION("""COMPUTED_VALUE"""),"completed")</f>
        <v>completed</v>
      </c>
      <c r="D2348" s="26">
        <f ca="1">IFERROR(__xludf.DUMMYFUNCTION("""COMPUTED_VALUE"""),20)</f>
        <v>20</v>
      </c>
      <c r="E2348" s="1" t="str">
        <f ca="1">IFERROR(__xludf.DUMMYFUNCTION("""COMPUTED_VALUE"""),"W.M.H.A")</f>
        <v>W.M.H.A</v>
      </c>
      <c r="F2348" s="87" t="str">
        <f t="shared" ca="1" si="0"/>
        <v>2023</v>
      </c>
      <c r="H2348" s="26" t="str">
        <f t="shared" si="1"/>
        <v/>
      </c>
      <c r="I2348" s="26" t="str">
        <f t="shared" si="2"/>
        <v/>
      </c>
      <c r="J2348" s="86">
        <f t="shared" ca="1" si="3"/>
        <v>45258</v>
      </c>
      <c r="R2348" s="26"/>
    </row>
    <row r="2349" spans="1:18" ht="15.75" customHeight="1">
      <c r="A2349" s="26">
        <f ca="1">IFERROR(__xludf.DUMMYFUNCTION("""COMPUTED_VALUE"""),21611)</f>
        <v>21611</v>
      </c>
      <c r="B2349" s="86">
        <f ca="1">IFERROR(__xludf.DUMMYFUNCTION("""COMPUTED_VALUE"""),45258.1343634259)</f>
        <v>45258.134363425903</v>
      </c>
      <c r="C2349" s="1" t="str">
        <f ca="1">IFERROR(__xludf.DUMMYFUNCTION("""COMPUTED_VALUE"""),"completed")</f>
        <v>completed</v>
      </c>
      <c r="D2349" s="26">
        <f ca="1">IFERROR(__xludf.DUMMYFUNCTION("""COMPUTED_VALUE"""),35)</f>
        <v>35</v>
      </c>
      <c r="E2349" s="1" t="str">
        <f ca="1">IFERROR(__xludf.DUMMYFUNCTION("""COMPUTED_VALUE"""),"Kingsville Minor Baseball Assoc.")</f>
        <v>Kingsville Minor Baseball Assoc.</v>
      </c>
      <c r="F2349" s="87" t="str">
        <f t="shared" ca="1" si="0"/>
        <v>2023</v>
      </c>
      <c r="H2349" s="26" t="str">
        <f t="shared" si="1"/>
        <v/>
      </c>
      <c r="I2349" s="26" t="str">
        <f t="shared" si="2"/>
        <v/>
      </c>
      <c r="J2349" s="86">
        <f t="shared" ca="1" si="3"/>
        <v>45258</v>
      </c>
      <c r="R2349" s="26"/>
    </row>
    <row r="2350" spans="1:18" ht="15.75" customHeight="1">
      <c r="A2350" s="26">
        <f ca="1">IFERROR(__xludf.DUMMYFUNCTION("""COMPUTED_VALUE"""),21612)</f>
        <v>21612</v>
      </c>
      <c r="B2350" s="86">
        <f ca="1">IFERROR(__xludf.DUMMYFUNCTION("""COMPUTED_VALUE"""),45258.1933796296)</f>
        <v>45258.1933796296</v>
      </c>
      <c r="C2350" s="1" t="str">
        <f ca="1">IFERROR(__xludf.DUMMYFUNCTION("""COMPUTED_VALUE"""),"completed")</f>
        <v>completed</v>
      </c>
      <c r="D2350" s="26">
        <f ca="1">IFERROR(__xludf.DUMMYFUNCTION("""COMPUTED_VALUE"""),15)</f>
        <v>15</v>
      </c>
      <c r="E2350" s="1" t="str">
        <f ca="1">IFERROR(__xludf.DUMMYFUNCTION("""COMPUTED_VALUE"""),"W.M.H.A")</f>
        <v>W.M.H.A</v>
      </c>
      <c r="F2350" s="87" t="str">
        <f t="shared" ca="1" si="0"/>
        <v>2023</v>
      </c>
      <c r="H2350" s="26" t="str">
        <f t="shared" si="1"/>
        <v/>
      </c>
      <c r="I2350" s="26" t="str">
        <f t="shared" si="2"/>
        <v/>
      </c>
      <c r="J2350" s="86">
        <f t="shared" ca="1" si="3"/>
        <v>45258</v>
      </c>
      <c r="R2350" s="26"/>
    </row>
    <row r="2351" spans="1:18" ht="15.75" customHeight="1">
      <c r="A2351" s="26">
        <f ca="1">IFERROR(__xludf.DUMMYFUNCTION("""COMPUTED_VALUE"""),21615)</f>
        <v>21615</v>
      </c>
      <c r="B2351" s="86">
        <f ca="1">IFERROR(__xludf.DUMMYFUNCTION("""COMPUTED_VALUE"""),45259.5125462963)</f>
        <v>45259.512546296297</v>
      </c>
      <c r="C2351" s="1" t="str">
        <f ca="1">IFERROR(__xludf.DUMMYFUNCTION("""COMPUTED_VALUE"""),"completed")</f>
        <v>completed</v>
      </c>
      <c r="D2351" s="26">
        <f ca="1">IFERROR(__xludf.DUMMYFUNCTION("""COMPUTED_VALUE"""),25)</f>
        <v>25</v>
      </c>
      <c r="E2351" s="1" t="str">
        <f ca="1">IFERROR(__xludf.DUMMYFUNCTION("""COMPUTED_VALUE"""),"Windsor Aquatic Club")</f>
        <v>Windsor Aquatic Club</v>
      </c>
      <c r="F2351" s="87" t="str">
        <f t="shared" ca="1" si="0"/>
        <v>2023</v>
      </c>
      <c r="H2351" s="26" t="str">
        <f t="shared" si="1"/>
        <v/>
      </c>
      <c r="I2351" s="26" t="str">
        <f t="shared" si="2"/>
        <v/>
      </c>
      <c r="J2351" s="86">
        <f t="shared" ca="1" si="3"/>
        <v>45259</v>
      </c>
      <c r="R2351" s="26"/>
    </row>
    <row r="2352" spans="1:18" ht="15.75" customHeight="1">
      <c r="A2352" s="26">
        <f ca="1">IFERROR(__xludf.DUMMYFUNCTION("""COMPUTED_VALUE"""),21649)</f>
        <v>21649</v>
      </c>
      <c r="B2352" s="86">
        <f ca="1">IFERROR(__xludf.DUMMYFUNCTION("""COMPUTED_VALUE"""),45260.9154166666)</f>
        <v>45260.915416666598</v>
      </c>
      <c r="C2352" s="1" t="str">
        <f ca="1">IFERROR(__xludf.DUMMYFUNCTION("""COMPUTED_VALUE"""),"completed")</f>
        <v>completed</v>
      </c>
      <c r="D2352" s="26">
        <f ca="1">IFERROR(__xludf.DUMMYFUNCTION("""COMPUTED_VALUE"""),41)</f>
        <v>41</v>
      </c>
      <c r="E2352" s="1" t="str">
        <f ca="1">IFERROR(__xludf.DUMMYFUNCTION("""COMPUTED_VALUE"""),"W.M.H.A")</f>
        <v>W.M.H.A</v>
      </c>
      <c r="F2352" s="87" t="str">
        <f t="shared" ca="1" si="0"/>
        <v>2023</v>
      </c>
      <c r="H2352" s="26" t="str">
        <f t="shared" si="1"/>
        <v/>
      </c>
      <c r="I2352" s="26" t="str">
        <f t="shared" si="2"/>
        <v/>
      </c>
      <c r="J2352" s="86">
        <f t="shared" ca="1" si="3"/>
        <v>45260</v>
      </c>
      <c r="R2352" s="26"/>
    </row>
    <row r="2353" spans="1:18" ht="15.75" customHeight="1">
      <c r="A2353" s="26">
        <f ca="1">IFERROR(__xludf.DUMMYFUNCTION("""COMPUTED_VALUE"""),21650)</f>
        <v>21650</v>
      </c>
      <c r="B2353" s="86">
        <f ca="1">IFERROR(__xludf.DUMMYFUNCTION("""COMPUTED_VALUE"""),45261.1248958333)</f>
        <v>45261.124895833302</v>
      </c>
      <c r="C2353" s="1" t="str">
        <f ca="1">IFERROR(__xludf.DUMMYFUNCTION("""COMPUTED_VALUE"""),"completed")</f>
        <v>completed</v>
      </c>
      <c r="D2353" s="26">
        <f ca="1">IFERROR(__xludf.DUMMYFUNCTION("""COMPUTED_VALUE"""),76)</f>
        <v>76</v>
      </c>
      <c r="E2353" s="1"/>
      <c r="F2353" s="87" t="str">
        <f t="shared" ca="1" si="0"/>
        <v>2023</v>
      </c>
      <c r="H2353" s="26" t="str">
        <f t="shared" si="1"/>
        <v/>
      </c>
      <c r="I2353" s="26" t="str">
        <f t="shared" si="2"/>
        <v/>
      </c>
      <c r="J2353" s="86">
        <f t="shared" ca="1" si="3"/>
        <v>45261</v>
      </c>
      <c r="R2353" s="26"/>
    </row>
    <row r="2354" spans="1:18" ht="15.75" customHeight="1">
      <c r="A2354" s="26">
        <f ca="1">IFERROR(__xludf.DUMMYFUNCTION("""COMPUTED_VALUE"""),21654)</f>
        <v>21654</v>
      </c>
      <c r="B2354" s="86">
        <f ca="1">IFERROR(__xludf.DUMMYFUNCTION("""COMPUTED_VALUE"""),45261.1554976851)</f>
        <v>45261.155497685097</v>
      </c>
      <c r="C2354" s="1" t="str">
        <f ca="1">IFERROR(__xludf.DUMMYFUNCTION("""COMPUTED_VALUE"""),"completed")</f>
        <v>completed</v>
      </c>
      <c r="D2354" s="26">
        <f ca="1">IFERROR(__xludf.DUMMYFUNCTION("""COMPUTED_VALUE"""),35)</f>
        <v>35</v>
      </c>
      <c r="E2354" s="1" t="str">
        <f ca="1">IFERROR(__xludf.DUMMYFUNCTION("""COMPUTED_VALUE"""),"Windsor Aquatic Club")</f>
        <v>Windsor Aquatic Club</v>
      </c>
      <c r="F2354" s="87" t="str">
        <f t="shared" ca="1" si="0"/>
        <v>2023</v>
      </c>
      <c r="H2354" s="26" t="str">
        <f t="shared" si="1"/>
        <v/>
      </c>
      <c r="I2354" s="26" t="str">
        <f t="shared" si="2"/>
        <v/>
      </c>
      <c r="J2354" s="86">
        <f t="shared" ca="1" si="3"/>
        <v>45261</v>
      </c>
      <c r="R2354" s="26"/>
    </row>
    <row r="2355" spans="1:18" ht="15.75" customHeight="1">
      <c r="A2355" s="26">
        <f ca="1">IFERROR(__xludf.DUMMYFUNCTION("""COMPUTED_VALUE"""),21659)</f>
        <v>21659</v>
      </c>
      <c r="B2355" s="86">
        <f ca="1">IFERROR(__xludf.DUMMYFUNCTION("""COMPUTED_VALUE"""),45261.6987037037)</f>
        <v>45261.698703703703</v>
      </c>
      <c r="C2355" s="1" t="str">
        <f ca="1">IFERROR(__xludf.DUMMYFUNCTION("""COMPUTED_VALUE"""),"completed")</f>
        <v>completed</v>
      </c>
      <c r="D2355" s="26">
        <f ca="1">IFERROR(__xludf.DUMMYFUNCTION("""COMPUTED_VALUE"""),15)</f>
        <v>15</v>
      </c>
      <c r="E2355" s="1" t="str">
        <f ca="1">IFERROR(__xludf.DUMMYFUNCTION("""COMPUTED_VALUE"""),"Sun County Panthers Hockey")</f>
        <v>Sun County Panthers Hockey</v>
      </c>
      <c r="F2355" s="87" t="str">
        <f t="shared" ca="1" si="0"/>
        <v>2023</v>
      </c>
      <c r="H2355" s="26" t="str">
        <f t="shared" si="1"/>
        <v/>
      </c>
      <c r="I2355" s="26" t="str">
        <f t="shared" si="2"/>
        <v/>
      </c>
      <c r="J2355" s="86">
        <f t="shared" ca="1" si="3"/>
        <v>45261</v>
      </c>
      <c r="R2355" s="26"/>
    </row>
    <row r="2356" spans="1:18" ht="15.75" customHeight="1">
      <c r="A2356" s="26">
        <f ca="1">IFERROR(__xludf.DUMMYFUNCTION("""COMPUTED_VALUE"""),21661)</f>
        <v>21661</v>
      </c>
      <c r="B2356" s="86">
        <f ca="1">IFERROR(__xludf.DUMMYFUNCTION("""COMPUTED_VALUE"""),45262.0261921296)</f>
        <v>45262.026192129597</v>
      </c>
      <c r="C2356" s="1" t="str">
        <f ca="1">IFERROR(__xludf.DUMMYFUNCTION("""COMPUTED_VALUE"""),"completed")</f>
        <v>completed</v>
      </c>
      <c r="D2356" s="26">
        <f ca="1">IFERROR(__xludf.DUMMYFUNCTION("""COMPUTED_VALUE"""),18)</f>
        <v>18</v>
      </c>
      <c r="E2356" s="1" t="str">
        <f ca="1">IFERROR(__xludf.DUMMYFUNCTION("""COMPUTED_VALUE"""),"Windsor Aquatic Club")</f>
        <v>Windsor Aquatic Club</v>
      </c>
      <c r="F2356" s="87" t="str">
        <f t="shared" ca="1" si="0"/>
        <v>2023</v>
      </c>
      <c r="H2356" s="26" t="str">
        <f t="shared" si="1"/>
        <v/>
      </c>
      <c r="I2356" s="26" t="str">
        <f t="shared" si="2"/>
        <v/>
      </c>
      <c r="J2356" s="86">
        <f t="shared" ca="1" si="3"/>
        <v>45262</v>
      </c>
      <c r="R2356" s="26"/>
    </row>
    <row r="2357" spans="1:18" ht="15.75" customHeight="1">
      <c r="A2357" s="26">
        <f ca="1">IFERROR(__xludf.DUMMYFUNCTION("""COMPUTED_VALUE"""),21660)</f>
        <v>21660</v>
      </c>
      <c r="B2357" s="86">
        <f ca="1">IFERROR(__xludf.DUMMYFUNCTION("""COMPUTED_VALUE"""),45262.0233796296)</f>
        <v>45262.023379629602</v>
      </c>
      <c r="C2357" s="1" t="str">
        <f ca="1">IFERROR(__xludf.DUMMYFUNCTION("""COMPUTED_VALUE"""),"completed")</f>
        <v>completed</v>
      </c>
      <c r="D2357" s="26">
        <f ca="1">IFERROR(__xludf.DUMMYFUNCTION("""COMPUTED_VALUE"""),57)</f>
        <v>57</v>
      </c>
      <c r="E2357" s="1" t="str">
        <f ca="1">IFERROR(__xludf.DUMMYFUNCTION("""COMPUTED_VALUE"""),"Windsor Aquatic Club")</f>
        <v>Windsor Aquatic Club</v>
      </c>
      <c r="F2357" s="87" t="str">
        <f t="shared" ca="1" si="0"/>
        <v>2023</v>
      </c>
      <c r="H2357" s="26" t="str">
        <f t="shared" si="1"/>
        <v/>
      </c>
      <c r="I2357" s="26" t="str">
        <f t="shared" si="2"/>
        <v/>
      </c>
      <c r="J2357" s="86">
        <f t="shared" ca="1" si="3"/>
        <v>45262</v>
      </c>
      <c r="R2357" s="26"/>
    </row>
    <row r="2358" spans="1:18" ht="15.75" customHeight="1">
      <c r="A2358" s="26">
        <f ca="1">IFERROR(__xludf.DUMMYFUNCTION("""COMPUTED_VALUE"""),21666)</f>
        <v>21666</v>
      </c>
      <c r="B2358" s="86">
        <f ca="1">IFERROR(__xludf.DUMMYFUNCTION("""COMPUTED_VALUE"""),45262.0598726851)</f>
        <v>45262.059872685102</v>
      </c>
      <c r="C2358" s="1" t="str">
        <f ca="1">IFERROR(__xludf.DUMMYFUNCTION("""COMPUTED_VALUE"""),"completed")</f>
        <v>completed</v>
      </c>
      <c r="D2358" s="26">
        <f ca="1">IFERROR(__xludf.DUMMYFUNCTION("""COMPUTED_VALUE"""),76)</f>
        <v>76</v>
      </c>
      <c r="E2358" s="1" t="str">
        <f ca="1">IFERROR(__xludf.DUMMYFUNCTION("""COMPUTED_VALUE"""),"Windsor Aquatic Club")</f>
        <v>Windsor Aquatic Club</v>
      </c>
      <c r="F2358" s="87" t="str">
        <f t="shared" ca="1" si="0"/>
        <v>2023</v>
      </c>
      <c r="H2358" s="26" t="str">
        <f t="shared" si="1"/>
        <v/>
      </c>
      <c r="I2358" s="26" t="str">
        <f t="shared" si="2"/>
        <v/>
      </c>
      <c r="J2358" s="86">
        <f t="shared" ca="1" si="3"/>
        <v>45262</v>
      </c>
      <c r="R2358" s="26"/>
    </row>
    <row r="2359" spans="1:18" ht="15.75" customHeight="1">
      <c r="A2359" s="26">
        <f ca="1">IFERROR(__xludf.DUMMYFUNCTION("""COMPUTED_VALUE"""),21667)</f>
        <v>21667</v>
      </c>
      <c r="B2359" s="86">
        <f ca="1">IFERROR(__xludf.DUMMYFUNCTION("""COMPUTED_VALUE"""),45262.5172569444)</f>
        <v>45262.517256944397</v>
      </c>
      <c r="C2359" s="1" t="str">
        <f ca="1">IFERROR(__xludf.DUMMYFUNCTION("""COMPUTED_VALUE"""),"completed")</f>
        <v>completed</v>
      </c>
      <c r="D2359" s="26">
        <f ca="1">IFERROR(__xludf.DUMMYFUNCTION("""COMPUTED_VALUE"""),15)</f>
        <v>15</v>
      </c>
      <c r="E2359" s="1" t="str">
        <f ca="1">IFERROR(__xludf.DUMMYFUNCTION("""COMPUTED_VALUE"""),"Windsor Aquatic Club")</f>
        <v>Windsor Aquatic Club</v>
      </c>
      <c r="F2359" s="87" t="str">
        <f t="shared" ca="1" si="0"/>
        <v>2023</v>
      </c>
      <c r="H2359" s="26" t="str">
        <f t="shared" si="1"/>
        <v/>
      </c>
      <c r="I2359" s="26" t="str">
        <f t="shared" si="2"/>
        <v/>
      </c>
      <c r="J2359" s="86">
        <f t="shared" ca="1" si="3"/>
        <v>45262</v>
      </c>
      <c r="R2359" s="26"/>
    </row>
    <row r="2360" spans="1:18" ht="15.75" customHeight="1">
      <c r="A2360" s="26">
        <f ca="1">IFERROR(__xludf.DUMMYFUNCTION("""COMPUTED_VALUE"""),21668)</f>
        <v>21668</v>
      </c>
      <c r="B2360" s="86">
        <f ca="1">IFERROR(__xludf.DUMMYFUNCTION("""COMPUTED_VALUE"""),45262.8939467592)</f>
        <v>45262.893946759199</v>
      </c>
      <c r="C2360" s="1" t="str">
        <f ca="1">IFERROR(__xludf.DUMMYFUNCTION("""COMPUTED_VALUE"""),"completed")</f>
        <v>completed</v>
      </c>
      <c r="D2360" s="26">
        <f ca="1">IFERROR(__xludf.DUMMYFUNCTION("""COMPUTED_VALUE"""),28)</f>
        <v>28</v>
      </c>
      <c r="E2360" s="1" t="str">
        <f ca="1">IFERROR(__xludf.DUMMYFUNCTION("""COMPUTED_VALUE"""),"Sun County Panthers Hockey")</f>
        <v>Sun County Panthers Hockey</v>
      </c>
      <c r="F2360" s="87" t="str">
        <f t="shared" ca="1" si="0"/>
        <v>2023</v>
      </c>
      <c r="H2360" s="26" t="str">
        <f t="shared" si="1"/>
        <v/>
      </c>
      <c r="I2360" s="26" t="str">
        <f t="shared" si="2"/>
        <v/>
      </c>
      <c r="J2360" s="86">
        <f t="shared" ca="1" si="3"/>
        <v>45262</v>
      </c>
      <c r="R2360" s="26"/>
    </row>
    <row r="2361" spans="1:18" ht="15.75" customHeight="1">
      <c r="A2361" s="26">
        <f ca="1">IFERROR(__xludf.DUMMYFUNCTION("""COMPUTED_VALUE"""),21669)</f>
        <v>21669</v>
      </c>
      <c r="B2361" s="86">
        <f ca="1">IFERROR(__xludf.DUMMYFUNCTION("""COMPUTED_VALUE"""),45262.946412037)</f>
        <v>45262.946412037003</v>
      </c>
      <c r="C2361" s="1" t="str">
        <f ca="1">IFERROR(__xludf.DUMMYFUNCTION("""COMPUTED_VALUE"""),"completed")</f>
        <v>completed</v>
      </c>
      <c r="D2361" s="26">
        <f ca="1">IFERROR(__xludf.DUMMYFUNCTION("""COMPUTED_VALUE"""),42)</f>
        <v>42</v>
      </c>
      <c r="E2361" s="1" t="str">
        <f ca="1">IFERROR(__xludf.DUMMYFUNCTION("""COMPUTED_VALUE"""),"Windsor Aquatic Club")</f>
        <v>Windsor Aquatic Club</v>
      </c>
      <c r="F2361" s="87" t="str">
        <f t="shared" ca="1" si="0"/>
        <v>2023</v>
      </c>
      <c r="H2361" s="26" t="str">
        <f t="shared" si="1"/>
        <v/>
      </c>
      <c r="I2361" s="26" t="str">
        <f t="shared" si="2"/>
        <v/>
      </c>
      <c r="J2361" s="86">
        <f t="shared" ca="1" si="3"/>
        <v>45262</v>
      </c>
      <c r="R2361" s="26"/>
    </row>
    <row r="2362" spans="1:18" ht="15.75" customHeight="1">
      <c r="A2362" s="26">
        <f ca="1">IFERROR(__xludf.DUMMYFUNCTION("""COMPUTED_VALUE"""),21670)</f>
        <v>21670</v>
      </c>
      <c r="B2362" s="86">
        <f ca="1">IFERROR(__xludf.DUMMYFUNCTION("""COMPUTED_VALUE"""),45263.0131481481)</f>
        <v>45263.0131481481</v>
      </c>
      <c r="C2362" s="1" t="str">
        <f ca="1">IFERROR(__xludf.DUMMYFUNCTION("""COMPUTED_VALUE"""),"completed")</f>
        <v>completed</v>
      </c>
      <c r="D2362" s="26">
        <f ca="1">IFERROR(__xludf.DUMMYFUNCTION("""COMPUTED_VALUE"""),22)</f>
        <v>22</v>
      </c>
      <c r="E2362" s="1" t="str">
        <f ca="1">IFERROR(__xludf.DUMMYFUNCTION("""COMPUTED_VALUE"""),"Windsor Aquatic Club")</f>
        <v>Windsor Aquatic Club</v>
      </c>
      <c r="F2362" s="87" t="str">
        <f t="shared" ca="1" si="0"/>
        <v>2023</v>
      </c>
      <c r="H2362" s="26" t="str">
        <f t="shared" si="1"/>
        <v/>
      </c>
      <c r="I2362" s="26" t="str">
        <f t="shared" si="2"/>
        <v/>
      </c>
      <c r="J2362" s="86">
        <f t="shared" ca="1" si="3"/>
        <v>45263</v>
      </c>
      <c r="R2362" s="26"/>
    </row>
    <row r="2363" spans="1:18" ht="15.75" customHeight="1">
      <c r="A2363" s="26">
        <f ca="1">IFERROR(__xludf.DUMMYFUNCTION("""COMPUTED_VALUE"""),21671)</f>
        <v>21671</v>
      </c>
      <c r="B2363" s="86">
        <f ca="1">IFERROR(__xludf.DUMMYFUNCTION("""COMPUTED_VALUE"""),45263.0639236111)</f>
        <v>45263.063923611102</v>
      </c>
      <c r="C2363" s="1" t="str">
        <f ca="1">IFERROR(__xludf.DUMMYFUNCTION("""COMPUTED_VALUE"""),"completed")</f>
        <v>completed</v>
      </c>
      <c r="D2363" s="26">
        <f ca="1">IFERROR(__xludf.DUMMYFUNCTION("""COMPUTED_VALUE"""),25)</f>
        <v>25</v>
      </c>
      <c r="E2363" s="1" t="str">
        <f ca="1">IFERROR(__xludf.DUMMYFUNCTION("""COMPUTED_VALUE"""),"Windsor Aquatic Club")</f>
        <v>Windsor Aquatic Club</v>
      </c>
      <c r="F2363" s="87" t="str">
        <f t="shared" ca="1" si="0"/>
        <v>2023</v>
      </c>
      <c r="H2363" s="26" t="str">
        <f t="shared" si="1"/>
        <v/>
      </c>
      <c r="I2363" s="26" t="str">
        <f t="shared" si="2"/>
        <v/>
      </c>
      <c r="J2363" s="86">
        <f t="shared" ca="1" si="3"/>
        <v>45263</v>
      </c>
      <c r="R2363" s="26"/>
    </row>
    <row r="2364" spans="1:18" ht="15.75" customHeight="1">
      <c r="A2364" s="26">
        <f ca="1">IFERROR(__xludf.DUMMYFUNCTION("""COMPUTED_VALUE"""),21672)</f>
        <v>21672</v>
      </c>
      <c r="B2364" s="86">
        <f ca="1">IFERROR(__xludf.DUMMYFUNCTION("""COMPUTED_VALUE"""),45263.1270717591)</f>
        <v>45263.127071759198</v>
      </c>
      <c r="C2364" s="1" t="str">
        <f ca="1">IFERROR(__xludf.DUMMYFUNCTION("""COMPUTED_VALUE"""),"completed")</f>
        <v>completed</v>
      </c>
      <c r="D2364" s="26">
        <f ca="1">IFERROR(__xludf.DUMMYFUNCTION("""COMPUTED_VALUE"""),15)</f>
        <v>15</v>
      </c>
      <c r="E2364" s="1" t="str">
        <f ca="1">IFERROR(__xludf.DUMMYFUNCTION("""COMPUTED_VALUE"""),"Windsor Aquatic Club")</f>
        <v>Windsor Aquatic Club</v>
      </c>
      <c r="F2364" s="87" t="str">
        <f t="shared" ca="1" si="0"/>
        <v>2023</v>
      </c>
      <c r="H2364" s="26" t="str">
        <f t="shared" si="1"/>
        <v/>
      </c>
      <c r="I2364" s="26" t="str">
        <f t="shared" si="2"/>
        <v/>
      </c>
      <c r="J2364" s="86">
        <f t="shared" ca="1" si="3"/>
        <v>45263</v>
      </c>
      <c r="R2364" s="26"/>
    </row>
    <row r="2365" spans="1:18" ht="15.75" customHeight="1">
      <c r="A2365" s="26">
        <f ca="1">IFERROR(__xludf.DUMMYFUNCTION("""COMPUTED_VALUE"""),21673)</f>
        <v>21673</v>
      </c>
      <c r="B2365" s="86">
        <f ca="1">IFERROR(__xludf.DUMMYFUNCTION("""COMPUTED_VALUE"""),45264.0198958333)</f>
        <v>45264.019895833299</v>
      </c>
      <c r="C2365" s="1" t="str">
        <f ca="1">IFERROR(__xludf.DUMMYFUNCTION("""COMPUTED_VALUE"""),"completed")</f>
        <v>completed</v>
      </c>
      <c r="D2365" s="26">
        <f ca="1">IFERROR(__xludf.DUMMYFUNCTION("""COMPUTED_VALUE"""),22)</f>
        <v>22</v>
      </c>
      <c r="E2365" s="1" t="str">
        <f ca="1">IFERROR(__xludf.DUMMYFUNCTION("""COMPUTED_VALUE"""),"Essex Thunder Minor Hockey")</f>
        <v>Essex Thunder Minor Hockey</v>
      </c>
      <c r="F2365" s="87" t="str">
        <f t="shared" ca="1" si="0"/>
        <v>2023</v>
      </c>
      <c r="H2365" s="26" t="str">
        <f t="shared" si="1"/>
        <v/>
      </c>
      <c r="I2365" s="26" t="str">
        <f t="shared" si="2"/>
        <v/>
      </c>
      <c r="J2365" s="86">
        <f t="shared" ca="1" si="3"/>
        <v>45264</v>
      </c>
      <c r="R2365" s="26"/>
    </row>
    <row r="2366" spans="1:18" ht="15.75" customHeight="1">
      <c r="A2366" s="26">
        <f ca="1">IFERROR(__xludf.DUMMYFUNCTION("""COMPUTED_VALUE"""),21676)</f>
        <v>21676</v>
      </c>
      <c r="B2366" s="86">
        <f ca="1">IFERROR(__xludf.DUMMYFUNCTION("""COMPUTED_VALUE"""),45264.4140972222)</f>
        <v>45264.414097222201</v>
      </c>
      <c r="C2366" s="1" t="str">
        <f ca="1">IFERROR(__xludf.DUMMYFUNCTION("""COMPUTED_VALUE"""),"completed")</f>
        <v>completed</v>
      </c>
      <c r="D2366" s="26">
        <f ca="1">IFERROR(__xludf.DUMMYFUNCTION("""COMPUTED_VALUE"""),20)</f>
        <v>20</v>
      </c>
      <c r="E2366" s="1" t="str">
        <f ca="1">IFERROR(__xludf.DUMMYFUNCTION("""COMPUTED_VALUE"""),"Lakeshore Lightning Hockey")</f>
        <v>Lakeshore Lightning Hockey</v>
      </c>
      <c r="F2366" s="87" t="str">
        <f t="shared" ca="1" si="0"/>
        <v>2023</v>
      </c>
      <c r="H2366" s="26" t="str">
        <f t="shared" si="1"/>
        <v/>
      </c>
      <c r="I2366" s="26" t="str">
        <f t="shared" si="2"/>
        <v/>
      </c>
      <c r="J2366" s="86">
        <f t="shared" ca="1" si="3"/>
        <v>45264</v>
      </c>
      <c r="R2366" s="26"/>
    </row>
    <row r="2367" spans="1:18" ht="15.75" customHeight="1">
      <c r="A2367" s="26">
        <f ca="1">IFERROR(__xludf.DUMMYFUNCTION("""COMPUTED_VALUE"""),21677)</f>
        <v>21677</v>
      </c>
      <c r="B2367" s="86">
        <f ca="1">IFERROR(__xludf.DUMMYFUNCTION("""COMPUTED_VALUE"""),45264.6701157407)</f>
        <v>45264.670115740701</v>
      </c>
      <c r="C2367" s="1" t="str">
        <f ca="1">IFERROR(__xludf.DUMMYFUNCTION("""COMPUTED_VALUE"""),"completed")</f>
        <v>completed</v>
      </c>
      <c r="D2367" s="26">
        <f ca="1">IFERROR(__xludf.DUMMYFUNCTION("""COMPUTED_VALUE"""),15)</f>
        <v>15</v>
      </c>
      <c r="E2367" s="1" t="str">
        <f ca="1">IFERROR(__xludf.DUMMYFUNCTION("""COMPUTED_VALUE"""),"Windsor Aquatic Club")</f>
        <v>Windsor Aquatic Club</v>
      </c>
      <c r="F2367" s="87" t="str">
        <f t="shared" ca="1" si="0"/>
        <v>2023</v>
      </c>
      <c r="H2367" s="26" t="str">
        <f t="shared" si="1"/>
        <v/>
      </c>
      <c r="I2367" s="26" t="str">
        <f t="shared" si="2"/>
        <v/>
      </c>
      <c r="J2367" s="86">
        <f t="shared" ca="1" si="3"/>
        <v>45264</v>
      </c>
      <c r="R2367" s="26"/>
    </row>
    <row r="2368" spans="1:18" ht="15.75" customHeight="1">
      <c r="A2368" s="26">
        <f ca="1">IFERROR(__xludf.DUMMYFUNCTION("""COMPUTED_VALUE"""),21678)</f>
        <v>21678</v>
      </c>
      <c r="B2368" s="86">
        <f ca="1">IFERROR(__xludf.DUMMYFUNCTION("""COMPUTED_VALUE"""),45264.6919791666)</f>
        <v>45264.691979166601</v>
      </c>
      <c r="C2368" s="1" t="str">
        <f ca="1">IFERROR(__xludf.DUMMYFUNCTION("""COMPUTED_VALUE"""),"completed")</f>
        <v>completed</v>
      </c>
      <c r="D2368" s="26">
        <f ca="1">IFERROR(__xludf.DUMMYFUNCTION("""COMPUTED_VALUE"""),35)</f>
        <v>35</v>
      </c>
      <c r="E2368" s="1" t="str">
        <f ca="1">IFERROR(__xludf.DUMMYFUNCTION("""COMPUTED_VALUE"""),"Windsor Aquatic Club")</f>
        <v>Windsor Aquatic Club</v>
      </c>
      <c r="F2368" s="87" t="str">
        <f t="shared" ca="1" si="0"/>
        <v>2023</v>
      </c>
      <c r="H2368" s="26" t="str">
        <f t="shared" si="1"/>
        <v/>
      </c>
      <c r="I2368" s="26" t="str">
        <f t="shared" si="2"/>
        <v/>
      </c>
      <c r="J2368" s="86">
        <f t="shared" ca="1" si="3"/>
        <v>45264</v>
      </c>
      <c r="R2368" s="26"/>
    </row>
    <row r="2369" spans="1:18" ht="15.75" customHeight="1">
      <c r="A2369" s="26">
        <f ca="1">IFERROR(__xludf.DUMMYFUNCTION("""COMPUTED_VALUE"""),21679)</f>
        <v>21679</v>
      </c>
      <c r="B2369" s="86">
        <f ca="1">IFERROR(__xludf.DUMMYFUNCTION("""COMPUTED_VALUE"""),45264.7305671296)</f>
        <v>45264.730567129598</v>
      </c>
      <c r="C2369" s="1" t="str">
        <f ca="1">IFERROR(__xludf.DUMMYFUNCTION("""COMPUTED_VALUE"""),"completed")</f>
        <v>completed</v>
      </c>
      <c r="D2369" s="26">
        <f ca="1">IFERROR(__xludf.DUMMYFUNCTION("""COMPUTED_VALUE"""),25)</f>
        <v>25</v>
      </c>
      <c r="E2369" s="1" t="str">
        <f ca="1">IFERROR(__xludf.DUMMYFUNCTION("""COMPUTED_VALUE"""),"Windsor Aquatic Club")</f>
        <v>Windsor Aquatic Club</v>
      </c>
      <c r="F2369" s="87" t="str">
        <f t="shared" ca="1" si="0"/>
        <v>2023</v>
      </c>
      <c r="H2369" s="26" t="str">
        <f t="shared" si="1"/>
        <v/>
      </c>
      <c r="I2369" s="26" t="str">
        <f t="shared" si="2"/>
        <v/>
      </c>
      <c r="J2369" s="86">
        <f t="shared" ca="1" si="3"/>
        <v>45264</v>
      </c>
      <c r="R2369" s="26"/>
    </row>
    <row r="2370" spans="1:18" ht="15.75" customHeight="1">
      <c r="A2370" s="26">
        <f ca="1">IFERROR(__xludf.DUMMYFUNCTION("""COMPUTED_VALUE"""),21680)</f>
        <v>21680</v>
      </c>
      <c r="B2370" s="86">
        <f ca="1">IFERROR(__xludf.DUMMYFUNCTION("""COMPUTED_VALUE"""),45264.7782986111)</f>
        <v>45264.778298611098</v>
      </c>
      <c r="C2370" s="1" t="str">
        <f ca="1">IFERROR(__xludf.DUMMYFUNCTION("""COMPUTED_VALUE"""),"cancelled")</f>
        <v>cancelled</v>
      </c>
      <c r="D2370" s="26">
        <f ca="1">IFERROR(__xludf.DUMMYFUNCTION("""COMPUTED_VALUE"""),0)</f>
        <v>0</v>
      </c>
      <c r="E2370" s="1" t="str">
        <f ca="1">IFERROR(__xludf.DUMMYFUNCTION("""COMPUTED_VALUE"""),"Windsor Aquatic Club")</f>
        <v>Windsor Aquatic Club</v>
      </c>
      <c r="F2370" s="87" t="str">
        <f t="shared" ca="1" si="0"/>
        <v>2023</v>
      </c>
      <c r="H2370" s="26" t="str">
        <f t="shared" si="1"/>
        <v/>
      </c>
      <c r="I2370" s="26" t="str">
        <f t="shared" si="2"/>
        <v/>
      </c>
      <c r="J2370" s="86">
        <f t="shared" ca="1" si="3"/>
        <v>45264</v>
      </c>
      <c r="R2370" s="26"/>
    </row>
    <row r="2371" spans="1:18" ht="15.75" customHeight="1">
      <c r="A2371" s="26">
        <f ca="1">IFERROR(__xludf.DUMMYFUNCTION("""COMPUTED_VALUE"""),21681)</f>
        <v>21681</v>
      </c>
      <c r="B2371" s="86">
        <f ca="1">IFERROR(__xludf.DUMMYFUNCTION("""COMPUTED_VALUE"""),45264.7984953703)</f>
        <v>45264.798495370298</v>
      </c>
      <c r="C2371" s="1" t="str">
        <f ca="1">IFERROR(__xludf.DUMMYFUNCTION("""COMPUTED_VALUE"""),"completed")</f>
        <v>completed</v>
      </c>
      <c r="D2371" s="26">
        <f ca="1">IFERROR(__xludf.DUMMYFUNCTION("""COMPUTED_VALUE"""),55)</f>
        <v>55</v>
      </c>
      <c r="E2371" s="1" t="str">
        <f ca="1">IFERROR(__xludf.DUMMYFUNCTION("""COMPUTED_VALUE"""),"Windsor Aquatic Club")</f>
        <v>Windsor Aquatic Club</v>
      </c>
      <c r="F2371" s="87" t="str">
        <f t="shared" ca="1" si="0"/>
        <v>2023</v>
      </c>
      <c r="H2371" s="26" t="str">
        <f t="shared" si="1"/>
        <v/>
      </c>
      <c r="I2371" s="26" t="str">
        <f t="shared" si="2"/>
        <v/>
      </c>
      <c r="J2371" s="86">
        <f t="shared" ca="1" si="3"/>
        <v>45264</v>
      </c>
      <c r="R2371" s="26"/>
    </row>
    <row r="2372" spans="1:18" ht="15.75" customHeight="1">
      <c r="A2372" s="26">
        <f ca="1">IFERROR(__xludf.DUMMYFUNCTION("""COMPUTED_VALUE"""),21682)</f>
        <v>21682</v>
      </c>
      <c r="B2372" s="86">
        <f ca="1">IFERROR(__xludf.DUMMYFUNCTION("""COMPUTED_VALUE"""),45264.8902430555)</f>
        <v>45264.890243055503</v>
      </c>
      <c r="C2372" s="1" t="str">
        <f ca="1">IFERROR(__xludf.DUMMYFUNCTION("""COMPUTED_VALUE"""),"completed")</f>
        <v>completed</v>
      </c>
      <c r="D2372" s="26">
        <f ca="1">IFERROR(__xludf.DUMMYFUNCTION("""COMPUTED_VALUE"""),25)</f>
        <v>25</v>
      </c>
      <c r="E2372" s="1" t="str">
        <f ca="1">IFERROR(__xludf.DUMMYFUNCTION("""COMPUTED_VALUE"""),"Windsor Aquatic Club")</f>
        <v>Windsor Aquatic Club</v>
      </c>
      <c r="F2372" s="87" t="str">
        <f t="shared" ca="1" si="0"/>
        <v>2023</v>
      </c>
      <c r="H2372" s="26" t="str">
        <f t="shared" si="1"/>
        <v/>
      </c>
      <c r="I2372" s="26" t="str">
        <f t="shared" si="2"/>
        <v/>
      </c>
      <c r="J2372" s="86">
        <f t="shared" ca="1" si="3"/>
        <v>45264</v>
      </c>
      <c r="R2372" s="26"/>
    </row>
    <row r="2373" spans="1:18" ht="15.75" customHeight="1">
      <c r="A2373" s="26">
        <f ca="1">IFERROR(__xludf.DUMMYFUNCTION("""COMPUTED_VALUE"""),21683)</f>
        <v>21683</v>
      </c>
      <c r="B2373" s="86">
        <f ca="1">IFERROR(__xludf.DUMMYFUNCTION("""COMPUTED_VALUE"""),45264.8994097222)</f>
        <v>45264.899409722202</v>
      </c>
      <c r="C2373" s="1" t="str">
        <f ca="1">IFERROR(__xludf.DUMMYFUNCTION("""COMPUTED_VALUE"""),"completed")</f>
        <v>completed</v>
      </c>
      <c r="D2373" s="26">
        <f ca="1">IFERROR(__xludf.DUMMYFUNCTION("""COMPUTED_VALUE"""),25)</f>
        <v>25</v>
      </c>
      <c r="E2373" s="1" t="str">
        <f ca="1">IFERROR(__xludf.DUMMYFUNCTION("""COMPUTED_VALUE"""),"Windsor Aquatic Club")</f>
        <v>Windsor Aquatic Club</v>
      </c>
      <c r="F2373" s="87" t="str">
        <f t="shared" ca="1" si="0"/>
        <v>2023</v>
      </c>
      <c r="H2373" s="26" t="str">
        <f t="shared" si="1"/>
        <v/>
      </c>
      <c r="I2373" s="26" t="str">
        <f t="shared" si="2"/>
        <v/>
      </c>
      <c r="J2373" s="86">
        <f t="shared" ca="1" si="3"/>
        <v>45264</v>
      </c>
      <c r="R2373" s="26"/>
    </row>
    <row r="2374" spans="1:18" ht="15.75" customHeight="1">
      <c r="A2374" s="26">
        <f ca="1">IFERROR(__xludf.DUMMYFUNCTION("""COMPUTED_VALUE"""),21684)</f>
        <v>21684</v>
      </c>
      <c r="B2374" s="86">
        <f ca="1">IFERROR(__xludf.DUMMYFUNCTION("""COMPUTED_VALUE"""),45264.9936805555)</f>
        <v>45264.993680555497</v>
      </c>
      <c r="C2374" s="1" t="str">
        <f ca="1">IFERROR(__xludf.DUMMYFUNCTION("""COMPUTED_VALUE"""),"completed")</f>
        <v>completed</v>
      </c>
      <c r="D2374" s="26">
        <f ca="1">IFERROR(__xludf.DUMMYFUNCTION("""COMPUTED_VALUE"""),25)</f>
        <v>25</v>
      </c>
      <c r="E2374" s="1" t="str">
        <f ca="1">IFERROR(__xludf.DUMMYFUNCTION("""COMPUTED_VALUE"""),"Windsor Aquatic Club")</f>
        <v>Windsor Aquatic Club</v>
      </c>
      <c r="F2374" s="87" t="str">
        <f t="shared" ca="1" si="0"/>
        <v>2023</v>
      </c>
      <c r="H2374" s="26" t="str">
        <f t="shared" si="1"/>
        <v/>
      </c>
      <c r="I2374" s="26" t="str">
        <f t="shared" si="2"/>
        <v/>
      </c>
      <c r="J2374" s="86">
        <f t="shared" ca="1" si="3"/>
        <v>45264</v>
      </c>
      <c r="R2374" s="26"/>
    </row>
    <row r="2375" spans="1:18" ht="15.75" customHeight="1">
      <c r="A2375" s="26">
        <f ca="1">IFERROR(__xludf.DUMMYFUNCTION("""COMPUTED_VALUE"""),21685)</f>
        <v>21685</v>
      </c>
      <c r="B2375" s="86">
        <f ca="1">IFERROR(__xludf.DUMMYFUNCTION("""COMPUTED_VALUE"""),45265.585162037)</f>
        <v>45265.585162037001</v>
      </c>
      <c r="C2375" s="1" t="str">
        <f ca="1">IFERROR(__xludf.DUMMYFUNCTION("""COMPUTED_VALUE"""),"completed")</f>
        <v>completed</v>
      </c>
      <c r="D2375" s="26">
        <f ca="1">IFERROR(__xludf.DUMMYFUNCTION("""COMPUTED_VALUE"""),50)</f>
        <v>50</v>
      </c>
      <c r="E2375" s="1" t="str">
        <f ca="1">IFERROR(__xludf.DUMMYFUNCTION("""COMPUTED_VALUE"""),"Windsor Aquatic Club")</f>
        <v>Windsor Aquatic Club</v>
      </c>
      <c r="F2375" s="87" t="str">
        <f t="shared" ca="1" si="0"/>
        <v>2023</v>
      </c>
      <c r="H2375" s="26" t="str">
        <f t="shared" si="1"/>
        <v/>
      </c>
      <c r="I2375" s="26" t="str">
        <f t="shared" si="2"/>
        <v/>
      </c>
      <c r="J2375" s="86">
        <f t="shared" ca="1" si="3"/>
        <v>45265</v>
      </c>
      <c r="R2375" s="26"/>
    </row>
    <row r="2376" spans="1:18" ht="15.75" customHeight="1">
      <c r="A2376" s="26">
        <f ca="1">IFERROR(__xludf.DUMMYFUNCTION("""COMPUTED_VALUE"""),21686)</f>
        <v>21686</v>
      </c>
      <c r="B2376" s="86">
        <f ca="1">IFERROR(__xludf.DUMMYFUNCTION("""COMPUTED_VALUE"""),45265.8290625)</f>
        <v>45265.829062500001</v>
      </c>
      <c r="C2376" s="1" t="str">
        <f ca="1">IFERROR(__xludf.DUMMYFUNCTION("""COMPUTED_VALUE"""),"completed")</f>
        <v>completed</v>
      </c>
      <c r="D2376" s="26">
        <f ca="1">IFERROR(__xludf.DUMMYFUNCTION("""COMPUTED_VALUE"""),15)</f>
        <v>15</v>
      </c>
      <c r="E2376" s="1" t="str">
        <f ca="1">IFERROR(__xludf.DUMMYFUNCTION("""COMPUTED_VALUE"""),"W.M.H.A")</f>
        <v>W.M.H.A</v>
      </c>
      <c r="F2376" s="87" t="str">
        <f t="shared" ca="1" si="0"/>
        <v>2023</v>
      </c>
      <c r="H2376" s="26" t="str">
        <f t="shared" si="1"/>
        <v/>
      </c>
      <c r="I2376" s="26" t="str">
        <f t="shared" si="2"/>
        <v/>
      </c>
      <c r="J2376" s="86">
        <f t="shared" ca="1" si="3"/>
        <v>45265</v>
      </c>
      <c r="R2376" s="26"/>
    </row>
    <row r="2377" spans="1:18" ht="15.75" customHeight="1">
      <c r="A2377" s="26">
        <f ca="1">IFERROR(__xludf.DUMMYFUNCTION("""COMPUTED_VALUE"""),21688)</f>
        <v>21688</v>
      </c>
      <c r="B2377" s="86">
        <f ca="1">IFERROR(__xludf.DUMMYFUNCTION("""COMPUTED_VALUE"""),45267.0554282407)</f>
        <v>45267.055428240703</v>
      </c>
      <c r="C2377" s="1" t="str">
        <f ca="1">IFERROR(__xludf.DUMMYFUNCTION("""COMPUTED_VALUE"""),"completed")</f>
        <v>completed</v>
      </c>
      <c r="D2377" s="26">
        <f ca="1">IFERROR(__xludf.DUMMYFUNCTION("""COMPUTED_VALUE"""),25)</f>
        <v>25</v>
      </c>
      <c r="E2377" s="1" t="str">
        <f ca="1">IFERROR(__xludf.DUMMYFUNCTION("""COMPUTED_VALUE"""),"Windsor Aquatic Club")</f>
        <v>Windsor Aquatic Club</v>
      </c>
      <c r="F2377" s="87" t="str">
        <f t="shared" ca="1" si="0"/>
        <v>2023</v>
      </c>
      <c r="H2377" s="26" t="str">
        <f t="shared" si="1"/>
        <v/>
      </c>
      <c r="I2377" s="26" t="str">
        <f t="shared" si="2"/>
        <v/>
      </c>
      <c r="J2377" s="86">
        <f t="shared" ca="1" si="3"/>
        <v>45267</v>
      </c>
      <c r="R2377" s="26"/>
    </row>
    <row r="2378" spans="1:18" ht="15.75" customHeight="1">
      <c r="A2378" s="26">
        <f ca="1">IFERROR(__xludf.DUMMYFUNCTION("""COMPUTED_VALUE"""),21691)</f>
        <v>21691</v>
      </c>
      <c r="B2378" s="86">
        <f ca="1">IFERROR(__xludf.DUMMYFUNCTION("""COMPUTED_VALUE"""),45267.1765625)</f>
        <v>45267.176562499997</v>
      </c>
      <c r="C2378" s="1" t="str">
        <f ca="1">IFERROR(__xludf.DUMMYFUNCTION("""COMPUTED_VALUE"""),"processing")</f>
        <v>processing</v>
      </c>
      <c r="D2378" s="26">
        <f ca="1">IFERROR(__xludf.DUMMYFUNCTION("""COMPUTED_VALUE"""),0)</f>
        <v>0</v>
      </c>
      <c r="E2378" s="1"/>
      <c r="F2378" s="87" t="str">
        <f t="shared" ca="1" si="0"/>
        <v>2023</v>
      </c>
      <c r="H2378" s="26" t="str">
        <f t="shared" si="1"/>
        <v/>
      </c>
      <c r="I2378" s="26" t="str">
        <f t="shared" si="2"/>
        <v/>
      </c>
      <c r="J2378" s="86">
        <f t="shared" ca="1" si="3"/>
        <v>45267</v>
      </c>
      <c r="R2378" s="26"/>
    </row>
    <row r="2379" spans="1:18" ht="15.75" customHeight="1">
      <c r="A2379" s="26">
        <f ca="1">IFERROR(__xludf.DUMMYFUNCTION("""COMPUTED_VALUE"""),21692)</f>
        <v>21692</v>
      </c>
      <c r="B2379" s="86">
        <f ca="1">IFERROR(__xludf.DUMMYFUNCTION("""COMPUTED_VALUE"""),45267.233449074)</f>
        <v>45267.233449074003</v>
      </c>
      <c r="C2379" s="1" t="str">
        <f ca="1">IFERROR(__xludf.DUMMYFUNCTION("""COMPUTED_VALUE"""),"completed")</f>
        <v>completed</v>
      </c>
      <c r="D2379" s="26">
        <f ca="1">IFERROR(__xludf.DUMMYFUNCTION("""COMPUTED_VALUE"""),46)</f>
        <v>46</v>
      </c>
      <c r="E2379" s="1" t="str">
        <f ca="1">IFERROR(__xludf.DUMMYFUNCTION("""COMPUTED_VALUE"""),"Lakeshore Lightning Hockey")</f>
        <v>Lakeshore Lightning Hockey</v>
      </c>
      <c r="F2379" s="87" t="str">
        <f t="shared" ca="1" si="0"/>
        <v>2023</v>
      </c>
      <c r="H2379" s="26" t="str">
        <f t="shared" si="1"/>
        <v/>
      </c>
      <c r="I2379" s="26" t="str">
        <f t="shared" si="2"/>
        <v/>
      </c>
      <c r="J2379" s="86">
        <f t="shared" ca="1" si="3"/>
        <v>45267</v>
      </c>
      <c r="R2379" s="26"/>
    </row>
    <row r="2380" spans="1:18" ht="15.75" customHeight="1">
      <c r="A2380" s="26">
        <f ca="1">IFERROR(__xludf.DUMMYFUNCTION("""COMPUTED_VALUE"""),21694)</f>
        <v>21694</v>
      </c>
      <c r="B2380" s="86">
        <f ca="1">IFERROR(__xludf.DUMMYFUNCTION("""COMPUTED_VALUE"""),45268.1207407407)</f>
        <v>45268.120740740698</v>
      </c>
      <c r="C2380" s="1" t="str">
        <f ca="1">IFERROR(__xludf.DUMMYFUNCTION("""COMPUTED_VALUE"""),"completed")</f>
        <v>completed</v>
      </c>
      <c r="D2380" s="26">
        <f ca="1">IFERROR(__xludf.DUMMYFUNCTION("""COMPUTED_VALUE"""),55)</f>
        <v>55</v>
      </c>
      <c r="E2380" s="1" t="str">
        <f ca="1">IFERROR(__xludf.DUMMYFUNCTION("""COMPUTED_VALUE"""),"Lakeshore Lightning Hockey")</f>
        <v>Lakeshore Lightning Hockey</v>
      </c>
      <c r="F2380" s="87" t="str">
        <f t="shared" ca="1" si="0"/>
        <v>2023</v>
      </c>
      <c r="H2380" s="26" t="str">
        <f t="shared" si="1"/>
        <v/>
      </c>
      <c r="I2380" s="26" t="str">
        <f t="shared" si="2"/>
        <v/>
      </c>
      <c r="J2380" s="86">
        <f t="shared" ca="1" si="3"/>
        <v>45268</v>
      </c>
      <c r="R2380" s="26"/>
    </row>
    <row r="2381" spans="1:18" ht="15.75" customHeight="1">
      <c r="A2381" s="26">
        <f ca="1">IFERROR(__xludf.DUMMYFUNCTION("""COMPUTED_VALUE"""),21695)</f>
        <v>21695</v>
      </c>
      <c r="B2381" s="86">
        <f ca="1">IFERROR(__xludf.DUMMYFUNCTION("""COMPUTED_VALUE"""),45268.6076504629)</f>
        <v>45268.607650462902</v>
      </c>
      <c r="C2381" s="1" t="str">
        <f ca="1">IFERROR(__xludf.DUMMYFUNCTION("""COMPUTED_VALUE"""),"completed")</f>
        <v>completed</v>
      </c>
      <c r="D2381" s="26">
        <f ca="1">IFERROR(__xludf.DUMMYFUNCTION("""COMPUTED_VALUE"""),35)</f>
        <v>35</v>
      </c>
      <c r="E2381" s="1" t="str">
        <f ca="1">IFERROR(__xludf.DUMMYFUNCTION("""COMPUTED_VALUE"""),"Windsor Aquatic Club")</f>
        <v>Windsor Aquatic Club</v>
      </c>
      <c r="F2381" s="87" t="str">
        <f t="shared" ca="1" si="0"/>
        <v>2023</v>
      </c>
      <c r="H2381" s="26" t="str">
        <f t="shared" si="1"/>
        <v/>
      </c>
      <c r="I2381" s="26" t="str">
        <f t="shared" si="2"/>
        <v/>
      </c>
      <c r="J2381" s="86">
        <f t="shared" ca="1" si="3"/>
        <v>45268</v>
      </c>
      <c r="R2381" s="26"/>
    </row>
    <row r="2382" spans="1:18" ht="15.75" customHeight="1">
      <c r="A2382" s="26">
        <f ca="1">IFERROR(__xludf.DUMMYFUNCTION("""COMPUTED_VALUE"""),21699)</f>
        <v>21699</v>
      </c>
      <c r="B2382" s="86">
        <f ca="1">IFERROR(__xludf.DUMMYFUNCTION("""COMPUTED_VALUE"""),45269.5783449074)</f>
        <v>45269.578344907401</v>
      </c>
      <c r="C2382" s="1" t="str">
        <f ca="1">IFERROR(__xludf.DUMMYFUNCTION("""COMPUTED_VALUE"""),"completed")</f>
        <v>completed</v>
      </c>
      <c r="D2382" s="26">
        <f ca="1">IFERROR(__xludf.DUMMYFUNCTION("""COMPUTED_VALUE"""),25)</f>
        <v>25</v>
      </c>
      <c r="E2382" s="1" t="str">
        <f ca="1">IFERROR(__xludf.DUMMYFUNCTION("""COMPUTED_VALUE"""),"W.M.H.A")</f>
        <v>W.M.H.A</v>
      </c>
      <c r="F2382" s="87" t="str">
        <f t="shared" ca="1" si="0"/>
        <v>2023</v>
      </c>
      <c r="H2382" s="26" t="str">
        <f t="shared" si="1"/>
        <v/>
      </c>
      <c r="I2382" s="26" t="str">
        <f t="shared" si="2"/>
        <v/>
      </c>
      <c r="J2382" s="86">
        <f t="shared" ca="1" si="3"/>
        <v>45269</v>
      </c>
      <c r="R2382" s="26"/>
    </row>
    <row r="2383" spans="1:18" ht="15.75" customHeight="1">
      <c r="A2383" s="26">
        <f ca="1">IFERROR(__xludf.DUMMYFUNCTION("""COMPUTED_VALUE"""),21706)</f>
        <v>21706</v>
      </c>
      <c r="B2383" s="86">
        <f ca="1">IFERROR(__xludf.DUMMYFUNCTION("""COMPUTED_VALUE"""),45272.0044675925)</f>
        <v>45272.004467592502</v>
      </c>
      <c r="C2383" s="1" t="str">
        <f ca="1">IFERROR(__xludf.DUMMYFUNCTION("""COMPUTED_VALUE"""),"completed")</f>
        <v>completed</v>
      </c>
      <c r="D2383" s="26">
        <f ca="1">IFERROR(__xludf.DUMMYFUNCTION("""COMPUTED_VALUE"""),25)</f>
        <v>25</v>
      </c>
      <c r="E2383" s="1" t="str">
        <f ca="1">IFERROR(__xludf.DUMMYFUNCTION("""COMPUTED_VALUE"""),"WMFA")</f>
        <v>WMFA</v>
      </c>
      <c r="F2383" s="87" t="str">
        <f t="shared" ca="1" si="0"/>
        <v>2023</v>
      </c>
      <c r="H2383" s="26" t="str">
        <f t="shared" si="1"/>
        <v/>
      </c>
      <c r="I2383" s="26" t="str">
        <f t="shared" si="2"/>
        <v/>
      </c>
      <c r="J2383" s="86">
        <f t="shared" ca="1" si="3"/>
        <v>45272</v>
      </c>
      <c r="R2383" s="26"/>
    </row>
    <row r="2384" spans="1:18" ht="15.75" customHeight="1">
      <c r="A2384" s="26">
        <f ca="1">IFERROR(__xludf.DUMMYFUNCTION("""COMPUTED_VALUE"""),21721)</f>
        <v>21721</v>
      </c>
      <c r="B2384" s="86">
        <f ca="1">IFERROR(__xludf.DUMMYFUNCTION("""COMPUTED_VALUE"""),45272.0993634259)</f>
        <v>45272.099363425899</v>
      </c>
      <c r="C2384" s="1" t="str">
        <f ca="1">IFERROR(__xludf.DUMMYFUNCTION("""COMPUTED_VALUE"""),"completed")</f>
        <v>completed</v>
      </c>
      <c r="D2384" s="26">
        <f ca="1">IFERROR(__xludf.DUMMYFUNCTION("""COMPUTED_VALUE"""),0)</f>
        <v>0</v>
      </c>
      <c r="E2384" s="1" t="str">
        <f ca="1">IFERROR(__xludf.DUMMYFUNCTION("""COMPUTED_VALUE"""),"W.M.H.A")</f>
        <v>W.M.H.A</v>
      </c>
      <c r="F2384" s="87" t="str">
        <f t="shared" ca="1" si="0"/>
        <v>2023</v>
      </c>
      <c r="H2384" s="26" t="str">
        <f t="shared" si="1"/>
        <v/>
      </c>
      <c r="I2384" s="26" t="str">
        <f t="shared" si="2"/>
        <v/>
      </c>
      <c r="J2384" s="86">
        <f t="shared" ca="1" si="3"/>
        <v>45272</v>
      </c>
      <c r="R2384" s="26"/>
    </row>
    <row r="2385" spans="1:18" ht="15.75" customHeight="1">
      <c r="A2385" s="26">
        <f ca="1">IFERROR(__xludf.DUMMYFUNCTION("""COMPUTED_VALUE"""),21782)</f>
        <v>21782</v>
      </c>
      <c r="B2385" s="86">
        <f ca="1">IFERROR(__xludf.DUMMYFUNCTION("""COMPUTED_VALUE"""),45274.6010648148)</f>
        <v>45274.6010648148</v>
      </c>
      <c r="C2385" s="1" t="str">
        <f ca="1">IFERROR(__xludf.DUMMYFUNCTION("""COMPUTED_VALUE"""),"completed")</f>
        <v>completed</v>
      </c>
      <c r="D2385" s="26">
        <f ca="1">IFERROR(__xludf.DUMMYFUNCTION("""COMPUTED_VALUE"""),25)</f>
        <v>25</v>
      </c>
      <c r="E2385" s="1" t="str">
        <f ca="1">IFERROR(__xludf.DUMMYFUNCTION("""COMPUTED_VALUE"""),"W.M.H.A")</f>
        <v>W.M.H.A</v>
      </c>
      <c r="F2385" s="87" t="str">
        <f t="shared" ca="1" si="0"/>
        <v>2023</v>
      </c>
      <c r="H2385" s="26" t="str">
        <f t="shared" si="1"/>
        <v/>
      </c>
      <c r="I2385" s="26" t="str">
        <f t="shared" si="2"/>
        <v/>
      </c>
      <c r="J2385" s="86">
        <f t="shared" ca="1" si="3"/>
        <v>45274</v>
      </c>
      <c r="R2385" s="26"/>
    </row>
    <row r="2386" spans="1:18" ht="15.75" customHeight="1">
      <c r="A2386" s="26">
        <f ca="1">IFERROR(__xludf.DUMMYFUNCTION("""COMPUTED_VALUE"""),21806)</f>
        <v>21806</v>
      </c>
      <c r="B2386" s="86">
        <f ca="1">IFERROR(__xludf.DUMMYFUNCTION("""COMPUTED_VALUE"""),45276.9048032407)</f>
        <v>45276.904803240701</v>
      </c>
      <c r="C2386" s="1" t="str">
        <f ca="1">IFERROR(__xludf.DUMMYFUNCTION("""COMPUTED_VALUE"""),"completed")</f>
        <v>completed</v>
      </c>
      <c r="D2386" s="26">
        <f ca="1">IFERROR(__xludf.DUMMYFUNCTION("""COMPUTED_VALUE"""),25)</f>
        <v>25</v>
      </c>
      <c r="E2386" s="1" t="str">
        <f ca="1">IFERROR(__xludf.DUMMYFUNCTION("""COMPUTED_VALUE"""),"W.M.H.A")</f>
        <v>W.M.H.A</v>
      </c>
      <c r="F2386" s="87" t="str">
        <f t="shared" ca="1" si="0"/>
        <v>2023</v>
      </c>
      <c r="H2386" s="26" t="str">
        <f t="shared" si="1"/>
        <v/>
      </c>
      <c r="I2386" s="26" t="str">
        <f t="shared" si="2"/>
        <v/>
      </c>
      <c r="J2386" s="86">
        <f t="shared" ca="1" si="3"/>
        <v>45276</v>
      </c>
      <c r="R2386" s="26"/>
    </row>
    <row r="2387" spans="1:18" ht="15.75" customHeight="1">
      <c r="A2387" s="26">
        <f ca="1">IFERROR(__xludf.DUMMYFUNCTION("""COMPUTED_VALUE"""),21807)</f>
        <v>21807</v>
      </c>
      <c r="B2387" s="86">
        <f ca="1">IFERROR(__xludf.DUMMYFUNCTION("""COMPUTED_VALUE"""),45277.1285416666)</f>
        <v>45277.1285416666</v>
      </c>
      <c r="C2387" s="1" t="str">
        <f ca="1">IFERROR(__xludf.DUMMYFUNCTION("""COMPUTED_VALUE"""),"completed")</f>
        <v>completed</v>
      </c>
      <c r="D2387" s="26">
        <f ca="1">IFERROR(__xludf.DUMMYFUNCTION("""COMPUTED_VALUE"""),15)</f>
        <v>15</v>
      </c>
      <c r="E2387" s="1" t="str">
        <f ca="1">IFERROR(__xludf.DUMMYFUNCTION("""COMPUTED_VALUE"""),"Essex Thunder Minor Hockey")</f>
        <v>Essex Thunder Minor Hockey</v>
      </c>
      <c r="F2387" s="87" t="str">
        <f t="shared" ca="1" si="0"/>
        <v>2023</v>
      </c>
      <c r="H2387" s="26" t="str">
        <f t="shared" si="1"/>
        <v/>
      </c>
      <c r="I2387" s="26" t="str">
        <f t="shared" si="2"/>
        <v/>
      </c>
      <c r="J2387" s="86">
        <f t="shared" ca="1" si="3"/>
        <v>45277</v>
      </c>
      <c r="R2387" s="26"/>
    </row>
    <row r="2388" spans="1:18" ht="15.75" customHeight="1">
      <c r="A2388" s="26">
        <f ca="1">IFERROR(__xludf.DUMMYFUNCTION("""COMPUTED_VALUE"""),21808)</f>
        <v>21808</v>
      </c>
      <c r="B2388" s="86">
        <f ca="1">IFERROR(__xludf.DUMMYFUNCTION("""COMPUTED_VALUE"""),45277.7667708333)</f>
        <v>45277.766770833303</v>
      </c>
      <c r="C2388" s="1" t="str">
        <f ca="1">IFERROR(__xludf.DUMMYFUNCTION("""COMPUTED_VALUE"""),"completed")</f>
        <v>completed</v>
      </c>
      <c r="D2388" s="26">
        <f ca="1">IFERROR(__xludf.DUMMYFUNCTION("""COMPUTED_VALUE"""),47)</f>
        <v>47</v>
      </c>
      <c r="E2388" s="1" t="str">
        <f ca="1">IFERROR(__xludf.DUMMYFUNCTION("""COMPUTED_VALUE"""),"Essex Thunder Minor Hockey")</f>
        <v>Essex Thunder Minor Hockey</v>
      </c>
      <c r="F2388" s="87" t="str">
        <f t="shared" ca="1" si="0"/>
        <v>2023</v>
      </c>
      <c r="H2388" s="26" t="str">
        <f t="shared" si="1"/>
        <v/>
      </c>
      <c r="I2388" s="26" t="str">
        <f t="shared" si="2"/>
        <v/>
      </c>
      <c r="J2388" s="86">
        <f t="shared" ca="1" si="3"/>
        <v>45277</v>
      </c>
      <c r="R2388" s="26"/>
    </row>
    <row r="2389" spans="1:18" ht="15.75" customHeight="1">
      <c r="A2389" s="26">
        <f ca="1">IFERROR(__xludf.DUMMYFUNCTION("""COMPUTED_VALUE"""),21810)</f>
        <v>21810</v>
      </c>
      <c r="B2389" s="86">
        <f ca="1">IFERROR(__xludf.DUMMYFUNCTION("""COMPUTED_VALUE"""),45278.031261574)</f>
        <v>45278.031261573997</v>
      </c>
      <c r="C2389" s="1" t="str">
        <f ca="1">IFERROR(__xludf.DUMMYFUNCTION("""COMPUTED_VALUE"""),"completed")</f>
        <v>completed</v>
      </c>
      <c r="D2389" s="26">
        <f ca="1">IFERROR(__xludf.DUMMYFUNCTION("""COMPUTED_VALUE"""),26)</f>
        <v>26</v>
      </c>
      <c r="E2389" s="1" t="str">
        <f ca="1">IFERROR(__xludf.DUMMYFUNCTION("""COMPUTED_VALUE"""),"Lakeshore Lightning Hockey")</f>
        <v>Lakeshore Lightning Hockey</v>
      </c>
      <c r="F2389" s="87" t="str">
        <f t="shared" ca="1" si="0"/>
        <v>2023</v>
      </c>
      <c r="H2389" s="26" t="str">
        <f t="shared" si="1"/>
        <v/>
      </c>
      <c r="I2389" s="26" t="str">
        <f t="shared" si="2"/>
        <v/>
      </c>
      <c r="J2389" s="86">
        <f t="shared" ca="1" si="3"/>
        <v>45278</v>
      </c>
      <c r="R2389" s="26"/>
    </row>
    <row r="2390" spans="1:18" ht="15.75" customHeight="1">
      <c r="A2390" s="26">
        <f ca="1">IFERROR(__xludf.DUMMYFUNCTION("""COMPUTED_VALUE"""),21815)</f>
        <v>21815</v>
      </c>
      <c r="B2390" s="86">
        <f ca="1">IFERROR(__xludf.DUMMYFUNCTION("""COMPUTED_VALUE"""),45279.6643402777)</f>
        <v>45279.664340277697</v>
      </c>
      <c r="C2390" s="1" t="str">
        <f ca="1">IFERROR(__xludf.DUMMYFUNCTION("""COMPUTED_VALUE"""),"completed")</f>
        <v>completed</v>
      </c>
      <c r="D2390" s="26">
        <f ca="1">IFERROR(__xludf.DUMMYFUNCTION("""COMPUTED_VALUE"""),18)</f>
        <v>18</v>
      </c>
      <c r="E2390" s="1" t="str">
        <f ca="1">IFERROR(__xludf.DUMMYFUNCTION("""COMPUTED_VALUE"""),"Essex Thunder Minor Hockey")</f>
        <v>Essex Thunder Minor Hockey</v>
      </c>
      <c r="F2390" s="87" t="str">
        <f t="shared" ca="1" si="0"/>
        <v>2023</v>
      </c>
      <c r="H2390" s="26" t="str">
        <f t="shared" si="1"/>
        <v/>
      </c>
      <c r="I2390" s="26" t="str">
        <f t="shared" si="2"/>
        <v/>
      </c>
      <c r="J2390" s="86">
        <f t="shared" ca="1" si="3"/>
        <v>45279</v>
      </c>
      <c r="R2390" s="26"/>
    </row>
    <row r="2391" spans="1:18" ht="15.75" customHeight="1">
      <c r="A2391" s="26">
        <f ca="1">IFERROR(__xludf.DUMMYFUNCTION("""COMPUTED_VALUE"""),21814)</f>
        <v>21814</v>
      </c>
      <c r="B2391" s="86">
        <f ca="1">IFERROR(__xludf.DUMMYFUNCTION("""COMPUTED_VALUE"""),45279.5995601851)</f>
        <v>45279.599560185103</v>
      </c>
      <c r="C2391" s="1" t="str">
        <f ca="1">IFERROR(__xludf.DUMMYFUNCTION("""COMPUTED_VALUE"""),"completed")</f>
        <v>completed</v>
      </c>
      <c r="D2391" s="26">
        <f ca="1">IFERROR(__xludf.DUMMYFUNCTION("""COMPUTED_VALUE"""),22)</f>
        <v>22</v>
      </c>
      <c r="E2391" s="1" t="str">
        <f ca="1">IFERROR(__xludf.DUMMYFUNCTION("""COMPUTED_VALUE"""),"W.M.H.A")</f>
        <v>W.M.H.A</v>
      </c>
      <c r="F2391" s="87" t="str">
        <f t="shared" ca="1" si="0"/>
        <v>2023</v>
      </c>
      <c r="H2391" s="26" t="str">
        <f t="shared" si="1"/>
        <v/>
      </c>
      <c r="I2391" s="26" t="str">
        <f t="shared" si="2"/>
        <v/>
      </c>
      <c r="J2391" s="86">
        <f t="shared" ca="1" si="3"/>
        <v>45279</v>
      </c>
      <c r="R2391" s="26"/>
    </row>
    <row r="2392" spans="1:18" ht="15.75" customHeight="1">
      <c r="A2392" s="26">
        <f ca="1">IFERROR(__xludf.DUMMYFUNCTION("""COMPUTED_VALUE"""),21817)</f>
        <v>21817</v>
      </c>
      <c r="B2392" s="86">
        <f ca="1">IFERROR(__xludf.DUMMYFUNCTION("""COMPUTED_VALUE"""),45280.4756597222)</f>
        <v>45280.4756597222</v>
      </c>
      <c r="C2392" s="1" t="str">
        <f ca="1">IFERROR(__xludf.DUMMYFUNCTION("""COMPUTED_VALUE"""),"completed")</f>
        <v>completed</v>
      </c>
      <c r="D2392" s="26">
        <f ca="1">IFERROR(__xludf.DUMMYFUNCTION("""COMPUTED_VALUE"""),22)</f>
        <v>22</v>
      </c>
      <c r="E2392" s="1" t="str">
        <f ca="1">IFERROR(__xludf.DUMMYFUNCTION("""COMPUTED_VALUE"""),"Lakeshore Lightning Hockey")</f>
        <v>Lakeshore Lightning Hockey</v>
      </c>
      <c r="F2392" s="87" t="str">
        <f t="shared" ca="1" si="0"/>
        <v>2023</v>
      </c>
      <c r="H2392" s="26" t="str">
        <f t="shared" si="1"/>
        <v/>
      </c>
      <c r="I2392" s="26" t="str">
        <f t="shared" si="2"/>
        <v/>
      </c>
      <c r="J2392" s="86">
        <f t="shared" ca="1" si="3"/>
        <v>45280</v>
      </c>
      <c r="R2392" s="26"/>
    </row>
    <row r="2393" spans="1:18" ht="15.75" customHeight="1">
      <c r="A2393" s="26">
        <f ca="1">IFERROR(__xludf.DUMMYFUNCTION("""COMPUTED_VALUE"""),21826)</f>
        <v>21826</v>
      </c>
      <c r="B2393" s="86">
        <f ca="1">IFERROR(__xludf.DUMMYFUNCTION("""COMPUTED_VALUE"""),45281.5978587962)</f>
        <v>45281.597858796202</v>
      </c>
      <c r="C2393" s="1" t="str">
        <f ca="1">IFERROR(__xludf.DUMMYFUNCTION("""COMPUTED_VALUE"""),"completed")</f>
        <v>completed</v>
      </c>
      <c r="D2393" s="26">
        <f ca="1">IFERROR(__xludf.DUMMYFUNCTION("""COMPUTED_VALUE"""),26)</f>
        <v>26</v>
      </c>
      <c r="E2393" s="1" t="str">
        <f ca="1">IFERROR(__xludf.DUMMYFUNCTION("""COMPUTED_VALUE"""),"W.M.H.A")</f>
        <v>W.M.H.A</v>
      </c>
      <c r="F2393" s="87" t="str">
        <f t="shared" ca="1" si="0"/>
        <v>2023</v>
      </c>
      <c r="H2393" s="26" t="str">
        <f t="shared" si="1"/>
        <v/>
      </c>
      <c r="I2393" s="26" t="str">
        <f t="shared" si="2"/>
        <v/>
      </c>
      <c r="J2393" s="86">
        <f t="shared" ca="1" si="3"/>
        <v>45281</v>
      </c>
      <c r="R2393" s="26"/>
    </row>
    <row r="2394" spans="1:18" ht="15.75" customHeight="1">
      <c r="A2394" s="26">
        <f ca="1">IFERROR(__xludf.DUMMYFUNCTION("""COMPUTED_VALUE"""),21829)</f>
        <v>21829</v>
      </c>
      <c r="B2394" s="86">
        <f ca="1">IFERROR(__xludf.DUMMYFUNCTION("""COMPUTED_VALUE"""),45281.6581597222)</f>
        <v>45281.658159722203</v>
      </c>
      <c r="C2394" s="1" t="str">
        <f ca="1">IFERROR(__xludf.DUMMYFUNCTION("""COMPUTED_VALUE"""),"completed")</f>
        <v>completed</v>
      </c>
      <c r="D2394" s="26">
        <f ca="1">IFERROR(__xludf.DUMMYFUNCTION("""COMPUTED_VALUE"""),25)</f>
        <v>25</v>
      </c>
      <c r="E2394" s="1" t="str">
        <f ca="1">IFERROR(__xludf.DUMMYFUNCTION("""COMPUTED_VALUE"""),"Windsor Aquatic Club")</f>
        <v>Windsor Aquatic Club</v>
      </c>
      <c r="F2394" s="87" t="str">
        <f t="shared" ca="1" si="0"/>
        <v>2023</v>
      </c>
      <c r="H2394" s="26" t="str">
        <f t="shared" si="1"/>
        <v/>
      </c>
      <c r="I2394" s="26" t="str">
        <f t="shared" si="2"/>
        <v/>
      </c>
      <c r="J2394" s="86">
        <f t="shared" ca="1" si="3"/>
        <v>45281</v>
      </c>
      <c r="R2394" s="26"/>
    </row>
    <row r="2395" spans="1:18" ht="15.75" customHeight="1">
      <c r="A2395" s="26">
        <f ca="1">IFERROR(__xludf.DUMMYFUNCTION("""COMPUTED_VALUE"""),21828)</f>
        <v>21828</v>
      </c>
      <c r="B2395" s="86">
        <f ca="1">IFERROR(__xludf.DUMMYFUNCTION("""COMPUTED_VALUE"""),45281.6565509259)</f>
        <v>45281.656550925902</v>
      </c>
      <c r="C2395" s="1" t="str">
        <f ca="1">IFERROR(__xludf.DUMMYFUNCTION("""COMPUTED_VALUE"""),"completed")</f>
        <v>completed</v>
      </c>
      <c r="D2395" s="26">
        <f ca="1">IFERROR(__xludf.DUMMYFUNCTION("""COMPUTED_VALUE"""),26)</f>
        <v>26</v>
      </c>
      <c r="E2395" s="1" t="str">
        <f ca="1">IFERROR(__xludf.DUMMYFUNCTION("""COMPUTED_VALUE"""),"W.M.H.A")</f>
        <v>W.M.H.A</v>
      </c>
      <c r="F2395" s="87" t="str">
        <f t="shared" ca="1" si="0"/>
        <v>2023</v>
      </c>
      <c r="H2395" s="26" t="str">
        <f t="shared" si="1"/>
        <v/>
      </c>
      <c r="I2395" s="26" t="str">
        <f t="shared" si="2"/>
        <v/>
      </c>
      <c r="J2395" s="86">
        <f t="shared" ca="1" si="3"/>
        <v>45281</v>
      </c>
      <c r="R2395" s="26"/>
    </row>
    <row r="2396" spans="1:18" ht="15.75" customHeight="1">
      <c r="A2396" s="26">
        <f ca="1">IFERROR(__xludf.DUMMYFUNCTION("""COMPUTED_VALUE"""),21827)</f>
        <v>21827</v>
      </c>
      <c r="B2396" s="86">
        <f ca="1">IFERROR(__xludf.DUMMYFUNCTION("""COMPUTED_VALUE"""),45281.65625)</f>
        <v>45281.65625</v>
      </c>
      <c r="C2396" s="1" t="str">
        <f ca="1">IFERROR(__xludf.DUMMYFUNCTION("""COMPUTED_VALUE"""),"completed")</f>
        <v>completed</v>
      </c>
      <c r="D2396" s="26">
        <f ca="1">IFERROR(__xludf.DUMMYFUNCTION("""COMPUTED_VALUE"""),25)</f>
        <v>25</v>
      </c>
      <c r="E2396" s="1" t="str">
        <f ca="1">IFERROR(__xludf.DUMMYFUNCTION("""COMPUTED_VALUE"""),"Windsor Aquatic Club")</f>
        <v>Windsor Aquatic Club</v>
      </c>
      <c r="F2396" s="87" t="str">
        <f t="shared" ca="1" si="0"/>
        <v>2023</v>
      </c>
      <c r="H2396" s="26" t="str">
        <f t="shared" si="1"/>
        <v/>
      </c>
      <c r="I2396" s="26" t="str">
        <f t="shared" si="2"/>
        <v/>
      </c>
      <c r="J2396" s="86">
        <f t="shared" ca="1" si="3"/>
        <v>45281</v>
      </c>
      <c r="R2396" s="26"/>
    </row>
    <row r="2397" spans="1:18" ht="15.75" customHeight="1">
      <c r="A2397" s="26">
        <f ca="1">IFERROR(__xludf.DUMMYFUNCTION("""COMPUTED_VALUE"""),21837)</f>
        <v>21837</v>
      </c>
      <c r="B2397" s="86">
        <f ca="1">IFERROR(__xludf.DUMMYFUNCTION("""COMPUTED_VALUE"""),45282.1578009259)</f>
        <v>45282.157800925903</v>
      </c>
      <c r="C2397" s="1" t="str">
        <f ca="1">IFERROR(__xludf.DUMMYFUNCTION("""COMPUTED_VALUE"""),"completed")</f>
        <v>completed</v>
      </c>
      <c r="D2397" s="26">
        <f ca="1">IFERROR(__xludf.DUMMYFUNCTION("""COMPUTED_VALUE"""),35)</f>
        <v>35</v>
      </c>
      <c r="E2397" s="1" t="str">
        <f ca="1">IFERROR(__xludf.DUMMYFUNCTION("""COMPUTED_VALUE"""),"Essex Thunder Minor Hockey")</f>
        <v>Essex Thunder Minor Hockey</v>
      </c>
      <c r="F2397" s="87" t="str">
        <f t="shared" ca="1" si="0"/>
        <v>2023</v>
      </c>
      <c r="H2397" s="26" t="str">
        <f t="shared" si="1"/>
        <v/>
      </c>
      <c r="I2397" s="26" t="str">
        <f t="shared" si="2"/>
        <v/>
      </c>
      <c r="J2397" s="86">
        <f t="shared" ca="1" si="3"/>
        <v>45282</v>
      </c>
      <c r="R2397" s="26"/>
    </row>
    <row r="2398" spans="1:18" ht="15.75" customHeight="1">
      <c r="A2398" s="26">
        <f ca="1">IFERROR(__xludf.DUMMYFUNCTION("""COMPUTED_VALUE"""),21854)</f>
        <v>21854</v>
      </c>
      <c r="B2398" s="86">
        <f ca="1">IFERROR(__xludf.DUMMYFUNCTION("""COMPUTED_VALUE"""),45283.5079629629)</f>
        <v>45283.507962962904</v>
      </c>
      <c r="C2398" s="1" t="str">
        <f ca="1">IFERROR(__xludf.DUMMYFUNCTION("""COMPUTED_VALUE"""),"completed")</f>
        <v>completed</v>
      </c>
      <c r="D2398" s="26">
        <f ca="1">IFERROR(__xludf.DUMMYFUNCTION("""COMPUTED_VALUE"""),22)</f>
        <v>22</v>
      </c>
      <c r="E2398" s="1" t="str">
        <f ca="1">IFERROR(__xludf.DUMMYFUNCTION("""COMPUTED_VALUE"""),"W.M.H.A")</f>
        <v>W.M.H.A</v>
      </c>
      <c r="F2398" s="87" t="str">
        <f t="shared" ca="1" si="0"/>
        <v>2023</v>
      </c>
      <c r="H2398" s="26" t="str">
        <f t="shared" si="1"/>
        <v/>
      </c>
      <c r="I2398" s="26" t="str">
        <f t="shared" si="2"/>
        <v/>
      </c>
      <c r="J2398" s="86">
        <f t="shared" ca="1" si="3"/>
        <v>45283</v>
      </c>
      <c r="R2398" s="26"/>
    </row>
    <row r="2399" spans="1:18" ht="15.75" customHeight="1">
      <c r="A2399" s="26">
        <f ca="1">IFERROR(__xludf.DUMMYFUNCTION("""COMPUTED_VALUE"""),21874)</f>
        <v>21874</v>
      </c>
      <c r="B2399" s="86">
        <f ca="1">IFERROR(__xludf.DUMMYFUNCTION("""COMPUTED_VALUE"""),45287.8838425925)</f>
        <v>45287.883842592499</v>
      </c>
      <c r="C2399" s="1" t="str">
        <f ca="1">IFERROR(__xludf.DUMMYFUNCTION("""COMPUTED_VALUE"""),"completed")</f>
        <v>completed</v>
      </c>
      <c r="D2399" s="26">
        <f ca="1">IFERROR(__xludf.DUMMYFUNCTION("""COMPUTED_VALUE"""),53)</f>
        <v>53</v>
      </c>
      <c r="E2399" s="1" t="str">
        <f ca="1">IFERROR(__xludf.DUMMYFUNCTION("""COMPUTED_VALUE"""),"W.M.H.A")</f>
        <v>W.M.H.A</v>
      </c>
      <c r="F2399" s="87" t="str">
        <f t="shared" ca="1" si="0"/>
        <v>2023</v>
      </c>
      <c r="H2399" s="26" t="str">
        <f t="shared" si="1"/>
        <v/>
      </c>
      <c r="I2399" s="26" t="str">
        <f t="shared" si="2"/>
        <v/>
      </c>
      <c r="J2399" s="86">
        <f t="shared" ca="1" si="3"/>
        <v>45287</v>
      </c>
      <c r="R2399" s="26"/>
    </row>
    <row r="2400" spans="1:18" ht="15.75" customHeight="1">
      <c r="A2400" s="26">
        <f ca="1">IFERROR(__xludf.DUMMYFUNCTION("""COMPUTED_VALUE"""),21951)</f>
        <v>21951</v>
      </c>
      <c r="B2400" s="86">
        <f ca="1">IFERROR(__xludf.DUMMYFUNCTION("""COMPUTED_VALUE"""),45291.9240277777)</f>
        <v>45291.924027777699</v>
      </c>
      <c r="C2400" s="1" t="str">
        <f ca="1">IFERROR(__xludf.DUMMYFUNCTION("""COMPUTED_VALUE"""),"completed")</f>
        <v>completed</v>
      </c>
      <c r="D2400" s="26">
        <f ca="1">IFERROR(__xludf.DUMMYFUNCTION("""COMPUTED_VALUE"""),0)</f>
        <v>0</v>
      </c>
      <c r="E2400" s="1" t="str">
        <f ca="1">IFERROR(__xludf.DUMMYFUNCTION("""COMPUTED_VALUE"""),"Windsor Hawks U11")</f>
        <v>Windsor Hawks U11</v>
      </c>
      <c r="F2400" s="87" t="str">
        <f t="shared" ca="1" si="0"/>
        <v>2023</v>
      </c>
      <c r="H2400" s="26" t="str">
        <f t="shared" si="1"/>
        <v/>
      </c>
      <c r="I2400" s="26" t="str">
        <f t="shared" si="2"/>
        <v/>
      </c>
      <c r="J2400" s="86">
        <f t="shared" ca="1" si="3"/>
        <v>45291</v>
      </c>
      <c r="R2400" s="26"/>
    </row>
    <row r="2401" spans="1:18" ht="15.75" customHeight="1">
      <c r="A2401" s="26">
        <f ca="1">IFERROR(__xludf.DUMMYFUNCTION("""COMPUTED_VALUE"""),21975)</f>
        <v>21975</v>
      </c>
      <c r="B2401" s="86">
        <f ca="1">IFERROR(__xludf.DUMMYFUNCTION("""COMPUTED_VALUE"""),45291.9468171296)</f>
        <v>45291.946817129603</v>
      </c>
      <c r="C2401" s="1" t="str">
        <f ca="1">IFERROR(__xludf.DUMMYFUNCTION("""COMPUTED_VALUE"""),"completed")</f>
        <v>completed</v>
      </c>
      <c r="D2401" s="26">
        <f ca="1">IFERROR(__xludf.DUMMYFUNCTION("""COMPUTED_VALUE"""),0)</f>
        <v>0</v>
      </c>
      <c r="E2401" s="1" t="str">
        <f ca="1">IFERROR(__xludf.DUMMYFUNCTION("""COMPUTED_VALUE"""),"Windsor Hawks U11")</f>
        <v>Windsor Hawks U11</v>
      </c>
      <c r="F2401" s="87" t="str">
        <f t="shared" ca="1" si="0"/>
        <v>2023</v>
      </c>
      <c r="H2401" s="26" t="str">
        <f t="shared" si="1"/>
        <v/>
      </c>
      <c r="I2401" s="26" t="str">
        <f t="shared" si="2"/>
        <v/>
      </c>
      <c r="J2401" s="86">
        <f t="shared" ca="1" si="3"/>
        <v>45291</v>
      </c>
      <c r="R2401" s="26"/>
    </row>
    <row r="2402" spans="1:18" ht="15.75" customHeight="1">
      <c r="A2402" s="26">
        <f ca="1">IFERROR(__xludf.DUMMYFUNCTION("""COMPUTED_VALUE"""),22116)</f>
        <v>22116</v>
      </c>
      <c r="B2402" s="86">
        <f ca="1">IFERROR(__xludf.DUMMYFUNCTION("""COMPUTED_VALUE"""),45294.1080208333)</f>
        <v>45294.108020833301</v>
      </c>
      <c r="C2402" s="1" t="str">
        <f ca="1">IFERROR(__xludf.DUMMYFUNCTION("""COMPUTED_VALUE"""),"completed")</f>
        <v>completed</v>
      </c>
      <c r="D2402" s="26">
        <f ca="1">IFERROR(__xludf.DUMMYFUNCTION("""COMPUTED_VALUE"""),0)</f>
        <v>0</v>
      </c>
      <c r="E2402" s="1" t="str">
        <f ca="1">IFERROR(__xludf.DUMMYFUNCTION("""COMPUTED_VALUE"""),"Harrow Minor Baseball")</f>
        <v>Harrow Minor Baseball</v>
      </c>
      <c r="F2402" s="87" t="str">
        <f t="shared" ca="1" si="0"/>
        <v>2024</v>
      </c>
      <c r="H2402" s="26" t="str">
        <f t="shared" si="1"/>
        <v/>
      </c>
      <c r="I2402" s="26" t="str">
        <f t="shared" si="2"/>
        <v/>
      </c>
      <c r="J2402" s="86">
        <f t="shared" ca="1" si="3"/>
        <v>45294</v>
      </c>
      <c r="R2402" s="26"/>
    </row>
    <row r="2403" spans="1:18" ht="15.75" customHeight="1">
      <c r="A2403" s="26">
        <f ca="1">IFERROR(__xludf.DUMMYFUNCTION("""COMPUTED_VALUE"""),22117)</f>
        <v>22117</v>
      </c>
      <c r="B2403" s="86">
        <f ca="1">IFERROR(__xludf.DUMMYFUNCTION("""COMPUTED_VALUE"""),45294.7466087962)</f>
        <v>45294.746608796297</v>
      </c>
      <c r="C2403" s="1" t="str">
        <f ca="1">IFERROR(__xludf.DUMMYFUNCTION("""COMPUTED_VALUE"""),"completed")</f>
        <v>completed</v>
      </c>
      <c r="D2403" s="26">
        <f ca="1">IFERROR(__xludf.DUMMYFUNCTION("""COMPUTED_VALUE"""),26)</f>
        <v>26</v>
      </c>
      <c r="E2403" s="1" t="str">
        <f ca="1">IFERROR(__xludf.DUMMYFUNCTION("""COMPUTED_VALUE"""),"Lakeshore Lightning Hockey")</f>
        <v>Lakeshore Lightning Hockey</v>
      </c>
      <c r="F2403" s="87" t="str">
        <f t="shared" ca="1" si="0"/>
        <v>2024</v>
      </c>
      <c r="H2403" s="26" t="str">
        <f t="shared" si="1"/>
        <v/>
      </c>
      <c r="I2403" s="26" t="str">
        <f t="shared" si="2"/>
        <v/>
      </c>
      <c r="J2403" s="86">
        <f t="shared" ca="1" si="3"/>
        <v>45294</v>
      </c>
      <c r="R2403" s="26"/>
    </row>
    <row r="2404" spans="1:18" ht="15.75" customHeight="1">
      <c r="A2404" s="26">
        <f ca="1">IFERROR(__xludf.DUMMYFUNCTION("""COMPUTED_VALUE"""),22119)</f>
        <v>22119</v>
      </c>
      <c r="B2404" s="86">
        <f ca="1">IFERROR(__xludf.DUMMYFUNCTION("""COMPUTED_VALUE"""),45296.8065972222)</f>
        <v>45296.806597222203</v>
      </c>
      <c r="C2404" s="1" t="str">
        <f ca="1">IFERROR(__xludf.DUMMYFUNCTION("""COMPUTED_VALUE"""),"completed")</f>
        <v>completed</v>
      </c>
      <c r="D2404" s="26">
        <f ca="1">IFERROR(__xludf.DUMMYFUNCTION("""COMPUTED_VALUE"""),26)</f>
        <v>26</v>
      </c>
      <c r="E2404" s="1" t="str">
        <f ca="1">IFERROR(__xludf.DUMMYFUNCTION("""COMPUTED_VALUE"""),"Lakeshore Lightning Hockey")</f>
        <v>Lakeshore Lightning Hockey</v>
      </c>
      <c r="F2404" s="87" t="str">
        <f t="shared" ca="1" si="0"/>
        <v>2024</v>
      </c>
      <c r="H2404" s="26" t="str">
        <f t="shared" si="1"/>
        <v/>
      </c>
      <c r="I2404" s="26" t="str">
        <f t="shared" si="2"/>
        <v/>
      </c>
      <c r="J2404" s="86">
        <f t="shared" ca="1" si="3"/>
        <v>45296</v>
      </c>
      <c r="R2404" s="26"/>
    </row>
    <row r="2405" spans="1:18" ht="15.75" customHeight="1">
      <c r="A2405" s="26">
        <f ca="1">IFERROR(__xludf.DUMMYFUNCTION("""COMPUTED_VALUE"""),22121)</f>
        <v>22121</v>
      </c>
      <c r="B2405" s="86">
        <f ca="1">IFERROR(__xludf.DUMMYFUNCTION("""COMPUTED_VALUE"""),45297.6320254629)</f>
        <v>45297.632025462903</v>
      </c>
      <c r="C2405" s="1" t="str">
        <f ca="1">IFERROR(__xludf.DUMMYFUNCTION("""COMPUTED_VALUE"""),"pending")</f>
        <v>pending</v>
      </c>
      <c r="D2405" s="26">
        <f ca="1">IFERROR(__xludf.DUMMYFUNCTION("""COMPUTED_VALUE"""),0)</f>
        <v>0</v>
      </c>
      <c r="E2405" s="1" t="str">
        <f ca="1">IFERROR(__xludf.DUMMYFUNCTION("""COMPUTED_VALUE"""),"Harrow Minor Baseball")</f>
        <v>Harrow Minor Baseball</v>
      </c>
      <c r="F2405" s="87" t="str">
        <f t="shared" ca="1" si="0"/>
        <v>2024</v>
      </c>
      <c r="H2405" s="26" t="str">
        <f t="shared" si="1"/>
        <v/>
      </c>
      <c r="I2405" s="26" t="str">
        <f t="shared" si="2"/>
        <v/>
      </c>
      <c r="J2405" s="86">
        <f t="shared" ca="1" si="3"/>
        <v>45297</v>
      </c>
      <c r="R2405" s="26"/>
    </row>
    <row r="2406" spans="1:18" ht="15.75" customHeight="1">
      <c r="A2406" s="26">
        <f ca="1">IFERROR(__xludf.DUMMYFUNCTION("""COMPUTED_VALUE"""),22123)</f>
        <v>22123</v>
      </c>
      <c r="B2406" s="86">
        <f ca="1">IFERROR(__xludf.DUMMYFUNCTION("""COMPUTED_VALUE"""),45297.644224537)</f>
        <v>45297.644224536998</v>
      </c>
      <c r="C2406" s="1" t="str">
        <f ca="1">IFERROR(__xludf.DUMMYFUNCTION("""COMPUTED_VALUE"""),"pending")</f>
        <v>pending</v>
      </c>
      <c r="D2406" s="26">
        <f ca="1">IFERROR(__xludf.DUMMYFUNCTION("""COMPUTED_VALUE"""),0)</f>
        <v>0</v>
      </c>
      <c r="E2406" s="1" t="str">
        <f ca="1">IFERROR(__xludf.DUMMYFUNCTION("""COMPUTED_VALUE"""),"Harrow Minor Baseball")</f>
        <v>Harrow Minor Baseball</v>
      </c>
      <c r="F2406" s="87" t="str">
        <f t="shared" ca="1" si="0"/>
        <v>2024</v>
      </c>
      <c r="H2406" s="26" t="str">
        <f t="shared" si="1"/>
        <v/>
      </c>
      <c r="I2406" s="26" t="str">
        <f t="shared" si="2"/>
        <v/>
      </c>
      <c r="J2406" s="86">
        <f t="shared" ca="1" si="3"/>
        <v>45297</v>
      </c>
      <c r="R2406" s="26"/>
    </row>
    <row r="2407" spans="1:18" ht="15.75" customHeight="1">
      <c r="A2407" s="26">
        <f ca="1">IFERROR(__xludf.DUMMYFUNCTION("""COMPUTED_VALUE"""),22122)</f>
        <v>22122</v>
      </c>
      <c r="B2407" s="86">
        <f ca="1">IFERROR(__xludf.DUMMYFUNCTION("""COMPUTED_VALUE"""),45297.6441782407)</f>
        <v>45297.644178240698</v>
      </c>
      <c r="C2407" s="1" t="str">
        <f ca="1">IFERROR(__xludf.DUMMYFUNCTION("""COMPUTED_VALUE"""),"pending")</f>
        <v>pending</v>
      </c>
      <c r="D2407" s="26">
        <f ca="1">IFERROR(__xludf.DUMMYFUNCTION("""COMPUTED_VALUE"""),0)</f>
        <v>0</v>
      </c>
      <c r="E2407" s="1" t="str">
        <f ca="1">IFERROR(__xludf.DUMMYFUNCTION("""COMPUTED_VALUE"""),"Harrow Minor Baseball")</f>
        <v>Harrow Minor Baseball</v>
      </c>
      <c r="F2407" s="87" t="str">
        <f t="shared" ca="1" si="0"/>
        <v>2024</v>
      </c>
      <c r="H2407" s="26" t="str">
        <f t="shared" si="1"/>
        <v/>
      </c>
      <c r="I2407" s="26" t="str">
        <f t="shared" si="2"/>
        <v/>
      </c>
      <c r="J2407" s="86">
        <f t="shared" ca="1" si="3"/>
        <v>45297</v>
      </c>
      <c r="R2407" s="26"/>
    </row>
    <row r="2408" spans="1:18" ht="15.75" customHeight="1">
      <c r="A2408" s="26">
        <f ca="1">IFERROR(__xludf.DUMMYFUNCTION("""COMPUTED_VALUE"""),22170)</f>
        <v>22170</v>
      </c>
      <c r="B2408" s="86">
        <f ca="1">IFERROR(__xludf.DUMMYFUNCTION("""COMPUTED_VALUE"""),45298.7277314814)</f>
        <v>45298.727731481398</v>
      </c>
      <c r="C2408" s="1" t="str">
        <f ca="1">IFERROR(__xludf.DUMMYFUNCTION("""COMPUTED_VALUE"""),"completed")</f>
        <v>completed</v>
      </c>
      <c r="D2408" s="26">
        <f ca="1">IFERROR(__xludf.DUMMYFUNCTION("""COMPUTED_VALUE"""),35)</f>
        <v>35</v>
      </c>
      <c r="E2408" s="1" t="str">
        <f ca="1">IFERROR(__xludf.DUMMYFUNCTION("""COMPUTED_VALUE"""),"Essex Thunder Minor Hockey")</f>
        <v>Essex Thunder Minor Hockey</v>
      </c>
      <c r="F2408" s="87" t="str">
        <f t="shared" ca="1" si="0"/>
        <v>2024</v>
      </c>
      <c r="H2408" s="26" t="str">
        <f t="shared" si="1"/>
        <v/>
      </c>
      <c r="I2408" s="26" t="str">
        <f t="shared" si="2"/>
        <v/>
      </c>
      <c r="J2408" s="86">
        <f t="shared" ca="1" si="3"/>
        <v>45298</v>
      </c>
      <c r="R2408" s="26"/>
    </row>
    <row r="2409" spans="1:18" ht="15.75" customHeight="1">
      <c r="A2409" s="26">
        <f ca="1">IFERROR(__xludf.DUMMYFUNCTION("""COMPUTED_VALUE"""),22171)</f>
        <v>22171</v>
      </c>
      <c r="B2409" s="86">
        <f ca="1">IFERROR(__xludf.DUMMYFUNCTION("""COMPUTED_VALUE"""),45298.7323032407)</f>
        <v>45298.7323032407</v>
      </c>
      <c r="C2409" s="1" t="str">
        <f ca="1">IFERROR(__xludf.DUMMYFUNCTION("""COMPUTED_VALUE"""),"completed")</f>
        <v>completed</v>
      </c>
      <c r="D2409" s="26">
        <f ca="1">IFERROR(__xludf.DUMMYFUNCTION("""COMPUTED_VALUE"""),35)</f>
        <v>35</v>
      </c>
      <c r="E2409" s="1" t="str">
        <f ca="1">IFERROR(__xludf.DUMMYFUNCTION("""COMPUTED_VALUE"""),"Essex Thunder Minor Hockey")</f>
        <v>Essex Thunder Minor Hockey</v>
      </c>
      <c r="F2409" s="87" t="str">
        <f t="shared" ca="1" si="0"/>
        <v>2024</v>
      </c>
      <c r="H2409" s="26" t="str">
        <f t="shared" si="1"/>
        <v/>
      </c>
      <c r="I2409" s="26" t="str">
        <f t="shared" si="2"/>
        <v/>
      </c>
      <c r="J2409" s="86">
        <f t="shared" ca="1" si="3"/>
        <v>45298</v>
      </c>
      <c r="R2409" s="26"/>
    </row>
    <row r="2410" spans="1:18" ht="15.75" customHeight="1">
      <c r="A2410" s="26">
        <f ca="1">IFERROR(__xludf.DUMMYFUNCTION("""COMPUTED_VALUE"""),22173)</f>
        <v>22173</v>
      </c>
      <c r="B2410" s="86">
        <f ca="1">IFERROR(__xludf.DUMMYFUNCTION("""COMPUTED_VALUE"""),45301.5770949074)</f>
        <v>45301.577094907399</v>
      </c>
      <c r="C2410" s="1" t="str">
        <f ca="1">IFERROR(__xludf.DUMMYFUNCTION("""COMPUTED_VALUE"""),"pending")</f>
        <v>pending</v>
      </c>
      <c r="D2410" s="26">
        <f ca="1">IFERROR(__xludf.DUMMYFUNCTION("""COMPUTED_VALUE"""),0)</f>
        <v>0</v>
      </c>
      <c r="E2410" s="1" t="str">
        <f ca="1">IFERROR(__xludf.DUMMYFUNCTION("""COMPUTED_VALUE"""),"Windsor Wildcats Hockey")</f>
        <v>Windsor Wildcats Hockey</v>
      </c>
      <c r="F2410" s="87" t="str">
        <f t="shared" ca="1" si="0"/>
        <v>2024</v>
      </c>
      <c r="H2410" s="26" t="str">
        <f t="shared" si="1"/>
        <v/>
      </c>
      <c r="I2410" s="26" t="str">
        <f t="shared" si="2"/>
        <v/>
      </c>
      <c r="J2410" s="86">
        <f t="shared" ca="1" si="3"/>
        <v>45301</v>
      </c>
      <c r="R2410" s="26"/>
    </row>
    <row r="2411" spans="1:18" ht="15.75" customHeight="1">
      <c r="A2411" s="26">
        <f ca="1">IFERROR(__xludf.DUMMYFUNCTION("""COMPUTED_VALUE"""),22174)</f>
        <v>22174</v>
      </c>
      <c r="B2411" s="86">
        <f ca="1">IFERROR(__xludf.DUMMYFUNCTION("""COMPUTED_VALUE"""),45302.4299652777)</f>
        <v>45302.429965277697</v>
      </c>
      <c r="C2411" s="1" t="str">
        <f ca="1">IFERROR(__xludf.DUMMYFUNCTION("""COMPUTED_VALUE"""),"processing")</f>
        <v>processing</v>
      </c>
      <c r="D2411" s="26">
        <f ca="1">IFERROR(__xludf.DUMMYFUNCTION("""COMPUTED_VALUE"""),0)</f>
        <v>0</v>
      </c>
      <c r="E2411" s="1" t="str">
        <f ca="1">IFERROR(__xludf.DUMMYFUNCTION("""COMPUTED_VALUE"""),"W.M.H.A")</f>
        <v>W.M.H.A</v>
      </c>
      <c r="F2411" s="87" t="str">
        <f t="shared" ca="1" si="0"/>
        <v>2024</v>
      </c>
      <c r="H2411" s="26" t="str">
        <f t="shared" si="1"/>
        <v/>
      </c>
      <c r="I2411" s="26" t="str">
        <f t="shared" si="2"/>
        <v/>
      </c>
      <c r="J2411" s="86">
        <f t="shared" ca="1" si="3"/>
        <v>45302</v>
      </c>
      <c r="R2411" s="26"/>
    </row>
    <row r="2412" spans="1:18" ht="15.75" customHeight="1">
      <c r="A2412" s="26">
        <f ca="1">IFERROR(__xludf.DUMMYFUNCTION("""COMPUTED_VALUE"""),22257)</f>
        <v>22257</v>
      </c>
      <c r="B2412" s="86">
        <f ca="1">IFERROR(__xludf.DUMMYFUNCTION("""COMPUTED_VALUE"""),45304.6676504629)</f>
        <v>45304.667650462899</v>
      </c>
      <c r="C2412" s="1" t="str">
        <f ca="1">IFERROR(__xludf.DUMMYFUNCTION("""COMPUTED_VALUE"""),"completed")</f>
        <v>completed</v>
      </c>
      <c r="D2412" s="26">
        <f ca="1">IFERROR(__xludf.DUMMYFUNCTION("""COMPUTED_VALUE"""),35)</f>
        <v>35</v>
      </c>
      <c r="E2412" s="1" t="str">
        <f ca="1">IFERROR(__xludf.DUMMYFUNCTION("""COMPUTED_VALUE"""),"Windsor AAA Zone Hockey")</f>
        <v>Windsor AAA Zone Hockey</v>
      </c>
      <c r="F2412" s="87" t="str">
        <f t="shared" ca="1" si="0"/>
        <v>2024</v>
      </c>
      <c r="H2412" s="26" t="str">
        <f t="shared" si="1"/>
        <v/>
      </c>
      <c r="I2412" s="26" t="str">
        <f t="shared" si="2"/>
        <v/>
      </c>
      <c r="J2412" s="86">
        <f t="shared" ca="1" si="3"/>
        <v>45304</v>
      </c>
      <c r="R2412" s="26"/>
    </row>
    <row r="2413" spans="1:18" ht="15.75" customHeight="1">
      <c r="A2413" s="26">
        <f ca="1">IFERROR(__xludf.DUMMYFUNCTION("""COMPUTED_VALUE"""),22282)</f>
        <v>22282</v>
      </c>
      <c r="B2413" s="86">
        <f ca="1">IFERROR(__xludf.DUMMYFUNCTION("""COMPUTED_VALUE"""),45307.7706944444)</f>
        <v>45307.7706944444</v>
      </c>
      <c r="C2413" s="1" t="str">
        <f ca="1">IFERROR(__xludf.DUMMYFUNCTION("""COMPUTED_VALUE"""),"on-hold")</f>
        <v>on-hold</v>
      </c>
      <c r="D2413" s="26">
        <f ca="1">IFERROR(__xludf.DUMMYFUNCTION("""COMPUTED_VALUE"""),0)</f>
        <v>0</v>
      </c>
      <c r="E2413" s="1" t="str">
        <f ca="1">IFERROR(__xludf.DUMMYFUNCTION("""COMPUTED_VALUE"""),"W.M.H.A")</f>
        <v>W.M.H.A</v>
      </c>
      <c r="F2413" s="87" t="str">
        <f t="shared" ca="1" si="0"/>
        <v>2024</v>
      </c>
      <c r="H2413" s="26" t="str">
        <f t="shared" si="1"/>
        <v/>
      </c>
      <c r="I2413" s="26" t="str">
        <f t="shared" si="2"/>
        <v/>
      </c>
      <c r="J2413" s="86">
        <f t="shared" ca="1" si="3"/>
        <v>45307</v>
      </c>
      <c r="R2413" s="26"/>
    </row>
    <row r="2414" spans="1:18" ht="15.75" customHeight="1">
      <c r="A2414" s="26">
        <f ca="1">IFERROR(__xludf.DUMMYFUNCTION("""COMPUTED_VALUE"""),22371)</f>
        <v>22371</v>
      </c>
      <c r="B2414" s="86">
        <f ca="1">IFERROR(__xludf.DUMMYFUNCTION("""COMPUTED_VALUE"""),45314.6091898148)</f>
        <v>45314.609189814801</v>
      </c>
      <c r="C2414" s="1" t="str">
        <f ca="1">IFERROR(__xludf.DUMMYFUNCTION("""COMPUTED_VALUE"""),"completed")</f>
        <v>completed</v>
      </c>
      <c r="D2414" s="26">
        <f ca="1">IFERROR(__xludf.DUMMYFUNCTION("""COMPUTED_VALUE"""),72)</f>
        <v>72</v>
      </c>
      <c r="E2414" s="1" t="str">
        <f ca="1">IFERROR(__xludf.DUMMYFUNCTION("""COMPUTED_VALUE"""),"W.M.H.A")</f>
        <v>W.M.H.A</v>
      </c>
      <c r="F2414" s="87" t="str">
        <f t="shared" ca="1" si="0"/>
        <v>2024</v>
      </c>
      <c r="H2414" s="26" t="str">
        <f t="shared" si="1"/>
        <v/>
      </c>
      <c r="I2414" s="26" t="str">
        <f t="shared" si="2"/>
        <v/>
      </c>
      <c r="J2414" s="86">
        <f t="shared" ca="1" si="3"/>
        <v>45314</v>
      </c>
      <c r="R2414" s="26"/>
    </row>
    <row r="2415" spans="1:18" ht="15.75" customHeight="1">
      <c r="A2415" s="26">
        <f ca="1">IFERROR(__xludf.DUMMYFUNCTION("""COMPUTED_VALUE"""),22372)</f>
        <v>22372</v>
      </c>
      <c r="B2415" s="86">
        <f ca="1">IFERROR(__xludf.DUMMYFUNCTION("""COMPUTED_VALUE"""),45314.6455787037)</f>
        <v>45314.645578703698</v>
      </c>
      <c r="C2415" s="1" t="str">
        <f ca="1">IFERROR(__xludf.DUMMYFUNCTION("""COMPUTED_VALUE"""),"completed")</f>
        <v>completed</v>
      </c>
      <c r="D2415" s="26">
        <f ca="1">IFERROR(__xludf.DUMMYFUNCTION("""COMPUTED_VALUE"""),57)</f>
        <v>57</v>
      </c>
      <c r="E2415" s="1" t="str">
        <f ca="1">IFERROR(__xludf.DUMMYFUNCTION("""COMPUTED_VALUE"""),"W.M.H.A")</f>
        <v>W.M.H.A</v>
      </c>
      <c r="F2415" s="87" t="str">
        <f t="shared" ca="1" si="0"/>
        <v>2024</v>
      </c>
      <c r="H2415" s="26" t="str">
        <f t="shared" si="1"/>
        <v/>
      </c>
      <c r="I2415" s="26" t="str">
        <f t="shared" si="2"/>
        <v/>
      </c>
      <c r="J2415" s="86">
        <f t="shared" ca="1" si="3"/>
        <v>45314</v>
      </c>
      <c r="R2415" s="26"/>
    </row>
    <row r="2416" spans="1:18" ht="15.75" customHeight="1">
      <c r="A2416" s="26">
        <f ca="1">IFERROR(__xludf.DUMMYFUNCTION("""COMPUTED_VALUE"""),22374)</f>
        <v>22374</v>
      </c>
      <c r="B2416" s="86">
        <f ca="1">IFERROR(__xludf.DUMMYFUNCTION("""COMPUTED_VALUE"""),45314.7311921296)</f>
        <v>45314.731192129599</v>
      </c>
      <c r="C2416" s="1" t="str">
        <f ca="1">IFERROR(__xludf.DUMMYFUNCTION("""COMPUTED_VALUE"""),"completed")</f>
        <v>completed</v>
      </c>
      <c r="D2416" s="26">
        <f ca="1">IFERROR(__xludf.DUMMYFUNCTION("""COMPUTED_VALUE"""),26)</f>
        <v>26</v>
      </c>
      <c r="E2416" s="1" t="str">
        <f ca="1">IFERROR(__xludf.DUMMYFUNCTION("""COMPUTED_VALUE"""),"W.M.H.A")</f>
        <v>W.M.H.A</v>
      </c>
      <c r="F2416" s="87" t="str">
        <f t="shared" ca="1" si="0"/>
        <v>2024</v>
      </c>
      <c r="H2416" s="26" t="str">
        <f t="shared" si="1"/>
        <v/>
      </c>
      <c r="I2416" s="26" t="str">
        <f t="shared" si="2"/>
        <v/>
      </c>
      <c r="J2416" s="86">
        <f t="shared" ca="1" si="3"/>
        <v>45314</v>
      </c>
      <c r="R2416" s="26"/>
    </row>
    <row r="2417" spans="1:18" ht="15.75" customHeight="1">
      <c r="A2417" s="26">
        <f ca="1">IFERROR(__xludf.DUMMYFUNCTION("""COMPUTED_VALUE"""),22373)</f>
        <v>22373</v>
      </c>
      <c r="B2417" s="86">
        <f ca="1">IFERROR(__xludf.DUMMYFUNCTION("""COMPUTED_VALUE"""),45314.7294675925)</f>
        <v>45314.7294675925</v>
      </c>
      <c r="C2417" s="1" t="str">
        <f ca="1">IFERROR(__xludf.DUMMYFUNCTION("""COMPUTED_VALUE"""),"completed")</f>
        <v>completed</v>
      </c>
      <c r="D2417" s="26">
        <f ca="1">IFERROR(__xludf.DUMMYFUNCTION("""COMPUTED_VALUE"""),48)</f>
        <v>48</v>
      </c>
      <c r="E2417" s="1" t="str">
        <f ca="1">IFERROR(__xludf.DUMMYFUNCTION("""COMPUTED_VALUE"""),"W.M.H.A")</f>
        <v>W.M.H.A</v>
      </c>
      <c r="F2417" s="87" t="str">
        <f t="shared" ca="1" si="0"/>
        <v>2024</v>
      </c>
      <c r="H2417" s="26" t="str">
        <f t="shared" si="1"/>
        <v/>
      </c>
      <c r="I2417" s="26" t="str">
        <f t="shared" si="2"/>
        <v/>
      </c>
      <c r="J2417" s="86">
        <f t="shared" ca="1" si="3"/>
        <v>45314</v>
      </c>
      <c r="R2417" s="26"/>
    </row>
    <row r="2418" spans="1:18" ht="15.75" customHeight="1">
      <c r="A2418" s="26">
        <f ca="1">IFERROR(__xludf.DUMMYFUNCTION("""COMPUTED_VALUE"""),22383)</f>
        <v>22383</v>
      </c>
      <c r="B2418" s="86">
        <f ca="1">IFERROR(__xludf.DUMMYFUNCTION("""COMPUTED_VALUE"""),45315.7712847222)</f>
        <v>45315.771284722199</v>
      </c>
      <c r="C2418" s="1" t="str">
        <f ca="1">IFERROR(__xludf.DUMMYFUNCTION("""COMPUTED_VALUE"""),"completed")</f>
        <v>completed</v>
      </c>
      <c r="D2418" s="26">
        <f ca="1">IFERROR(__xludf.DUMMYFUNCTION("""COMPUTED_VALUE"""),25)</f>
        <v>25</v>
      </c>
      <c r="E2418" s="1" t="str">
        <f ca="1">IFERROR(__xludf.DUMMYFUNCTION("""COMPUTED_VALUE"""),"W.M.H.A")</f>
        <v>W.M.H.A</v>
      </c>
      <c r="F2418" s="87" t="str">
        <f t="shared" ca="1" si="0"/>
        <v>2024</v>
      </c>
      <c r="H2418" s="26" t="str">
        <f t="shared" si="1"/>
        <v/>
      </c>
      <c r="I2418" s="26" t="str">
        <f t="shared" si="2"/>
        <v/>
      </c>
      <c r="J2418" s="86">
        <f t="shared" ca="1" si="3"/>
        <v>45315</v>
      </c>
      <c r="R2418" s="26"/>
    </row>
    <row r="2419" spans="1:18" ht="15.75" customHeight="1">
      <c r="A2419" s="26">
        <f ca="1">IFERROR(__xludf.DUMMYFUNCTION("""COMPUTED_VALUE"""),22412)</f>
        <v>22412</v>
      </c>
      <c r="B2419" s="86">
        <f ca="1">IFERROR(__xludf.DUMMYFUNCTION("""COMPUTED_VALUE"""),45316.840625)</f>
        <v>45316.840624999997</v>
      </c>
      <c r="C2419" s="1" t="str">
        <f ca="1">IFERROR(__xludf.DUMMYFUNCTION("""COMPUTED_VALUE"""),"processing")</f>
        <v>processing</v>
      </c>
      <c r="D2419" s="26">
        <f ca="1">IFERROR(__xludf.DUMMYFUNCTION("""COMPUTED_VALUE"""),425)</f>
        <v>425</v>
      </c>
      <c r="E2419" s="1" t="str">
        <f ca="1">IFERROR(__xludf.DUMMYFUNCTION("""COMPUTED_VALUE"""),"Windsor AAA Zone Hockey")</f>
        <v>Windsor AAA Zone Hockey</v>
      </c>
      <c r="F2419" s="87" t="str">
        <f t="shared" ca="1" si="0"/>
        <v>2024</v>
      </c>
      <c r="H2419" s="26" t="str">
        <f t="shared" si="1"/>
        <v/>
      </c>
      <c r="I2419" s="26" t="str">
        <f t="shared" si="2"/>
        <v/>
      </c>
      <c r="J2419" s="86">
        <f t="shared" ca="1" si="3"/>
        <v>45316</v>
      </c>
      <c r="R2419" s="26"/>
    </row>
    <row r="2420" spans="1:18" ht="15.75" customHeight="1">
      <c r="A2420" s="26">
        <f ca="1">IFERROR(__xludf.DUMMYFUNCTION("""COMPUTED_VALUE"""),22415)</f>
        <v>22415</v>
      </c>
      <c r="B2420" s="86">
        <f ca="1">IFERROR(__xludf.DUMMYFUNCTION("""COMPUTED_VALUE"""),45317.9347685185)</f>
        <v>45317.934768518498</v>
      </c>
      <c r="C2420" s="1" t="str">
        <f ca="1">IFERROR(__xludf.DUMMYFUNCTION("""COMPUTED_VALUE"""),"completed")</f>
        <v>completed</v>
      </c>
      <c r="D2420" s="26">
        <f ca="1">IFERROR(__xludf.DUMMYFUNCTION("""COMPUTED_VALUE"""),28)</f>
        <v>28</v>
      </c>
      <c r="E2420" s="1" t="str">
        <f ca="1">IFERROR(__xludf.DUMMYFUNCTION("""COMPUTED_VALUE"""),"Lakeshore Lightning Hockey")</f>
        <v>Lakeshore Lightning Hockey</v>
      </c>
      <c r="F2420" s="87" t="str">
        <f t="shared" ca="1" si="0"/>
        <v>2024</v>
      </c>
      <c r="H2420" s="26" t="str">
        <f t="shared" si="1"/>
        <v/>
      </c>
      <c r="I2420" s="26" t="str">
        <f t="shared" si="2"/>
        <v/>
      </c>
      <c r="J2420" s="86">
        <f t="shared" ca="1" si="3"/>
        <v>45317</v>
      </c>
      <c r="R2420" s="26"/>
    </row>
    <row r="2421" spans="1:18" ht="15.75" customHeight="1">
      <c r="A2421" s="26">
        <f ca="1">IFERROR(__xludf.DUMMYFUNCTION("""COMPUTED_VALUE"""),22417)</f>
        <v>22417</v>
      </c>
      <c r="B2421" s="86">
        <f ca="1">IFERROR(__xludf.DUMMYFUNCTION("""COMPUTED_VALUE"""),45318.5822453703)</f>
        <v>45318.5822453703</v>
      </c>
      <c r="C2421" s="1" t="str">
        <f ca="1">IFERROR(__xludf.DUMMYFUNCTION("""COMPUTED_VALUE"""),"custom-status")</f>
        <v>custom-status</v>
      </c>
      <c r="D2421" s="26">
        <f ca="1">IFERROR(__xludf.DUMMYFUNCTION("""COMPUTED_VALUE"""),51)</f>
        <v>51</v>
      </c>
      <c r="E2421" s="1" t="str">
        <f ca="1">IFERROR(__xludf.DUMMYFUNCTION("""COMPUTED_VALUE"""),"W.M.H.A")</f>
        <v>W.M.H.A</v>
      </c>
      <c r="F2421" s="87" t="str">
        <f t="shared" ca="1" si="0"/>
        <v>2024</v>
      </c>
      <c r="H2421" s="26" t="str">
        <f t="shared" si="1"/>
        <v/>
      </c>
      <c r="I2421" s="26" t="str">
        <f t="shared" si="2"/>
        <v/>
      </c>
      <c r="J2421" s="86">
        <f t="shared" ca="1" si="3"/>
        <v>45318</v>
      </c>
      <c r="R2421" s="26"/>
    </row>
    <row r="2422" spans="1:18" ht="15.75" customHeight="1">
      <c r="A2422" s="26">
        <f ca="1">IFERROR(__xludf.DUMMYFUNCTION("""COMPUTED_VALUE"""),22443)</f>
        <v>22443</v>
      </c>
      <c r="B2422" s="86">
        <f ca="1">IFERROR(__xludf.DUMMYFUNCTION("""COMPUTED_VALUE"""),45318.6788888887)</f>
        <v>45318.678888888797</v>
      </c>
      <c r="C2422" s="1" t="str">
        <f ca="1">IFERROR(__xludf.DUMMYFUNCTION("""COMPUTED_VALUE"""),"custom-status")</f>
        <v>custom-status</v>
      </c>
      <c r="D2422" s="26">
        <f ca="1">IFERROR(__xludf.DUMMYFUNCTION("""COMPUTED_VALUE"""),48)</f>
        <v>48</v>
      </c>
      <c r="E2422" s="1" t="str">
        <f ca="1">IFERROR(__xludf.DUMMYFUNCTION("""COMPUTED_VALUE"""),"W.M.H.A")</f>
        <v>W.M.H.A</v>
      </c>
      <c r="F2422" s="87" t="str">
        <f t="shared" ca="1" si="0"/>
        <v>2024</v>
      </c>
      <c r="H2422" s="26" t="str">
        <f t="shared" si="1"/>
        <v/>
      </c>
      <c r="I2422" s="26" t="str">
        <f t="shared" si="2"/>
        <v/>
      </c>
      <c r="J2422" s="86">
        <f t="shared" ca="1" si="3"/>
        <v>45318</v>
      </c>
      <c r="R2422" s="26"/>
    </row>
    <row r="2423" spans="1:18" ht="15.75" customHeight="1">
      <c r="A2423" s="26">
        <f ca="1">IFERROR(__xludf.DUMMYFUNCTION("""COMPUTED_VALUE"""),22445)</f>
        <v>22445</v>
      </c>
      <c r="B2423" s="86">
        <f ca="1">IFERROR(__xludf.DUMMYFUNCTION("""COMPUTED_VALUE"""),45318.8193402777)</f>
        <v>45318.819340277703</v>
      </c>
      <c r="C2423" s="1" t="str">
        <f ca="1">IFERROR(__xludf.DUMMYFUNCTION("""COMPUTED_VALUE"""),"completed")</f>
        <v>completed</v>
      </c>
      <c r="D2423" s="26">
        <f ca="1">IFERROR(__xludf.DUMMYFUNCTION("""COMPUTED_VALUE"""),595)</f>
        <v>595</v>
      </c>
      <c r="E2423" s="1" t="str">
        <f ca="1">IFERROR(__xludf.DUMMYFUNCTION("""COMPUTED_VALUE"""),"Windsor AAA Zone Hockey")</f>
        <v>Windsor AAA Zone Hockey</v>
      </c>
      <c r="F2423" s="87" t="str">
        <f t="shared" ca="1" si="0"/>
        <v>2024</v>
      </c>
      <c r="H2423" s="26" t="str">
        <f t="shared" si="1"/>
        <v/>
      </c>
      <c r="I2423" s="26" t="str">
        <f t="shared" si="2"/>
        <v/>
      </c>
      <c r="J2423" s="86">
        <f t="shared" ca="1" si="3"/>
        <v>45318</v>
      </c>
      <c r="R2423" s="26"/>
    </row>
    <row r="2424" spans="1:18" ht="15.75" customHeight="1">
      <c r="A2424" s="26">
        <f ca="1">IFERROR(__xludf.DUMMYFUNCTION("""COMPUTED_VALUE"""),22446)</f>
        <v>22446</v>
      </c>
      <c r="B2424" s="86">
        <f ca="1">IFERROR(__xludf.DUMMYFUNCTION("""COMPUTED_VALUE"""),45319.4489699074)</f>
        <v>45319.448969907397</v>
      </c>
      <c r="C2424" s="1" t="str">
        <f ca="1">IFERROR(__xludf.DUMMYFUNCTION("""COMPUTED_VALUE"""),"processing")</f>
        <v>processing</v>
      </c>
      <c r="D2424" s="26">
        <f ca="1">IFERROR(__xludf.DUMMYFUNCTION("""COMPUTED_VALUE"""),0)</f>
        <v>0</v>
      </c>
      <c r="E2424" s="1" t="str">
        <f ca="1">IFERROR(__xludf.DUMMYFUNCTION("""COMPUTED_VALUE"""),"Windsor AAA Zone Hockey")</f>
        <v>Windsor AAA Zone Hockey</v>
      </c>
      <c r="F2424" s="87" t="str">
        <f t="shared" ca="1" si="0"/>
        <v>2024</v>
      </c>
      <c r="H2424" s="26" t="str">
        <f t="shared" si="1"/>
        <v/>
      </c>
      <c r="I2424" s="26" t="str">
        <f t="shared" si="2"/>
        <v/>
      </c>
      <c r="J2424" s="86">
        <f t="shared" ca="1" si="3"/>
        <v>45319</v>
      </c>
      <c r="R2424" s="26"/>
    </row>
    <row r="2425" spans="1:18" ht="15.75" customHeight="1">
      <c r="A2425" s="26">
        <f ca="1">IFERROR(__xludf.DUMMYFUNCTION("""COMPUTED_VALUE"""),22459)</f>
        <v>22459</v>
      </c>
      <c r="B2425" s="86">
        <f ca="1">IFERROR(__xludf.DUMMYFUNCTION("""COMPUTED_VALUE"""),45319.5579282407)</f>
        <v>45319.557928240698</v>
      </c>
      <c r="C2425" s="1" t="str">
        <f ca="1">IFERROR(__xludf.DUMMYFUNCTION("""COMPUTED_VALUE"""),"completed")</f>
        <v>completed</v>
      </c>
      <c r="D2425" s="26">
        <f ca="1">IFERROR(__xludf.DUMMYFUNCTION("""COMPUTED_VALUE"""),0)</f>
        <v>0</v>
      </c>
      <c r="E2425" s="1" t="str">
        <f ca="1">IFERROR(__xludf.DUMMYFUNCTION("""COMPUTED_VALUE"""),"Windsor AAA Zone Hockey")</f>
        <v>Windsor AAA Zone Hockey</v>
      </c>
      <c r="F2425" s="87" t="str">
        <f t="shared" ca="1" si="0"/>
        <v>2024</v>
      </c>
      <c r="H2425" s="26" t="str">
        <f t="shared" si="1"/>
        <v/>
      </c>
      <c r="I2425" s="26" t="str">
        <f t="shared" si="2"/>
        <v/>
      </c>
      <c r="J2425" s="86">
        <f t="shared" ca="1" si="3"/>
        <v>45319</v>
      </c>
      <c r="R2425" s="26"/>
    </row>
    <row r="2426" spans="1:18" ht="15.75" customHeight="1">
      <c r="A2426" s="26">
        <f ca="1">IFERROR(__xludf.DUMMYFUNCTION("""COMPUTED_VALUE"""),22460)</f>
        <v>22460</v>
      </c>
      <c r="B2426" s="86">
        <f ca="1">IFERROR(__xludf.DUMMYFUNCTION("""COMPUTED_VALUE"""),45319.5621759259)</f>
        <v>45319.562175925901</v>
      </c>
      <c r="C2426" s="1" t="str">
        <f ca="1">IFERROR(__xludf.DUMMYFUNCTION("""COMPUTED_VALUE"""),"completed")</f>
        <v>completed</v>
      </c>
      <c r="D2426" s="26">
        <f ca="1">IFERROR(__xludf.DUMMYFUNCTION("""COMPUTED_VALUE"""),0)</f>
        <v>0</v>
      </c>
      <c r="E2426" s="1" t="str">
        <f ca="1">IFERROR(__xludf.DUMMYFUNCTION("""COMPUTED_VALUE"""),"Windsor AAA Zone Hockey")</f>
        <v>Windsor AAA Zone Hockey</v>
      </c>
      <c r="F2426" s="87" t="str">
        <f t="shared" ca="1" si="0"/>
        <v>2024</v>
      </c>
      <c r="H2426" s="26" t="str">
        <f t="shared" si="1"/>
        <v/>
      </c>
      <c r="I2426" s="26" t="str">
        <f t="shared" si="2"/>
        <v/>
      </c>
      <c r="J2426" s="86">
        <f t="shared" ca="1" si="3"/>
        <v>45319</v>
      </c>
      <c r="R2426" s="26"/>
    </row>
    <row r="2427" spans="1:18" ht="15.75" customHeight="1">
      <c r="A2427" s="26">
        <f ca="1">IFERROR(__xludf.DUMMYFUNCTION("""COMPUTED_VALUE"""),22511)</f>
        <v>22511</v>
      </c>
      <c r="B2427" s="86">
        <f ca="1">IFERROR(__xludf.DUMMYFUNCTION("""COMPUTED_VALUE"""),45319.7055324074)</f>
        <v>45319.705532407403</v>
      </c>
      <c r="C2427" s="1" t="str">
        <f ca="1">IFERROR(__xludf.DUMMYFUNCTION("""COMPUTED_VALUE"""),"processing")</f>
        <v>processing</v>
      </c>
      <c r="D2427" s="26">
        <f ca="1">IFERROR(__xludf.DUMMYFUNCTION("""COMPUTED_VALUE"""),24)</f>
        <v>24</v>
      </c>
      <c r="E2427" s="1" t="str">
        <f ca="1">IFERROR(__xludf.DUMMYFUNCTION("""COMPUTED_VALUE"""),"Erie North Shore Minor Hockey")</f>
        <v>Erie North Shore Minor Hockey</v>
      </c>
      <c r="F2427" s="87" t="str">
        <f t="shared" ca="1" si="0"/>
        <v>2024</v>
      </c>
      <c r="H2427" s="26" t="str">
        <f t="shared" si="1"/>
        <v/>
      </c>
      <c r="I2427" s="26" t="str">
        <f t="shared" si="2"/>
        <v/>
      </c>
      <c r="J2427" s="86">
        <f t="shared" ca="1" si="3"/>
        <v>45319</v>
      </c>
      <c r="R2427" s="26"/>
    </row>
    <row r="2428" spans="1:18" ht="15.75" customHeight="1">
      <c r="A2428" s="26">
        <f ca="1">IFERROR(__xludf.DUMMYFUNCTION("""COMPUTED_VALUE"""),22512)</f>
        <v>22512</v>
      </c>
      <c r="B2428" s="86">
        <f ca="1">IFERROR(__xludf.DUMMYFUNCTION("""COMPUTED_VALUE"""),45319.7421180555)</f>
        <v>45319.742118055503</v>
      </c>
      <c r="C2428" s="1" t="str">
        <f ca="1">IFERROR(__xludf.DUMMYFUNCTION("""COMPUTED_VALUE"""),"custom-status")</f>
        <v>custom-status</v>
      </c>
      <c r="D2428" s="26">
        <f ca="1">IFERROR(__xludf.DUMMYFUNCTION("""COMPUTED_VALUE"""),45)</f>
        <v>45</v>
      </c>
      <c r="E2428" s="1" t="str">
        <f ca="1">IFERROR(__xludf.DUMMYFUNCTION("""COMPUTED_VALUE"""),"W.M.H.A")</f>
        <v>W.M.H.A</v>
      </c>
      <c r="F2428" s="87" t="str">
        <f t="shared" ca="1" si="0"/>
        <v>2024</v>
      </c>
      <c r="H2428" s="26" t="str">
        <f t="shared" si="1"/>
        <v/>
      </c>
      <c r="I2428" s="26" t="str">
        <f t="shared" si="2"/>
        <v/>
      </c>
      <c r="J2428" s="86">
        <f t="shared" ca="1" si="3"/>
        <v>45319</v>
      </c>
      <c r="R2428" s="26"/>
    </row>
    <row r="2429" spans="1:18" ht="15.75" customHeight="1">
      <c r="A2429" s="26">
        <f ca="1">IFERROR(__xludf.DUMMYFUNCTION("""COMPUTED_VALUE"""),22519)</f>
        <v>22519</v>
      </c>
      <c r="B2429" s="86">
        <f ca="1">IFERROR(__xludf.DUMMYFUNCTION("""COMPUTED_VALUE"""),45320.5355208333)</f>
        <v>45320.535520833299</v>
      </c>
      <c r="C2429" s="1" t="str">
        <f ca="1">IFERROR(__xludf.DUMMYFUNCTION("""COMPUTED_VALUE"""),"custom-status")</f>
        <v>custom-status</v>
      </c>
      <c r="D2429" s="26">
        <f ca="1">IFERROR(__xludf.DUMMYFUNCTION("""COMPUTED_VALUE"""),45)</f>
        <v>45</v>
      </c>
      <c r="E2429" s="1" t="str">
        <f ca="1">IFERROR(__xludf.DUMMYFUNCTION("""COMPUTED_VALUE"""),"W.M.H.A")</f>
        <v>W.M.H.A</v>
      </c>
      <c r="F2429" s="87" t="str">
        <f t="shared" ca="1" si="0"/>
        <v>2024</v>
      </c>
      <c r="H2429" s="26" t="str">
        <f t="shared" si="1"/>
        <v/>
      </c>
      <c r="I2429" s="26" t="str">
        <f t="shared" si="2"/>
        <v/>
      </c>
      <c r="J2429" s="86">
        <f t="shared" ca="1" si="3"/>
        <v>45320</v>
      </c>
      <c r="R2429" s="26"/>
    </row>
    <row r="2430" spans="1:18" ht="15.75" customHeight="1">
      <c r="A2430" s="26">
        <f ca="1">IFERROR(__xludf.DUMMYFUNCTION("""COMPUTED_VALUE"""),22520)</f>
        <v>22520</v>
      </c>
      <c r="B2430" s="86">
        <f ca="1">IFERROR(__xludf.DUMMYFUNCTION("""COMPUTED_VALUE"""),45320.9037037037)</f>
        <v>45320.903703703698</v>
      </c>
      <c r="C2430" s="1" t="str">
        <f ca="1">IFERROR(__xludf.DUMMYFUNCTION("""COMPUTED_VALUE"""),"processing")</f>
        <v>processing</v>
      </c>
      <c r="D2430" s="26">
        <f ca="1">IFERROR(__xludf.DUMMYFUNCTION("""COMPUTED_VALUE"""),0)</f>
        <v>0</v>
      </c>
      <c r="E2430" s="1" t="str">
        <f ca="1">IFERROR(__xludf.DUMMYFUNCTION("""COMPUTED_VALUE"""),"Windsor AAA Zone Hockey")</f>
        <v>Windsor AAA Zone Hockey</v>
      </c>
      <c r="F2430" s="87" t="str">
        <f t="shared" ca="1" si="0"/>
        <v>2024</v>
      </c>
      <c r="H2430" s="26" t="str">
        <f t="shared" si="1"/>
        <v/>
      </c>
      <c r="I2430" s="26" t="str">
        <f t="shared" si="2"/>
        <v/>
      </c>
      <c r="J2430" s="86">
        <f t="shared" ca="1" si="3"/>
        <v>45320</v>
      </c>
      <c r="R2430" s="26"/>
    </row>
    <row r="2431" spans="1:18" ht="15.75" customHeight="1">
      <c r="A2431" s="26">
        <f ca="1">IFERROR(__xludf.DUMMYFUNCTION("""COMPUTED_VALUE"""),22521)</f>
        <v>22521</v>
      </c>
      <c r="B2431" s="86">
        <f ca="1">IFERROR(__xludf.DUMMYFUNCTION("""COMPUTED_VALUE"""),45320.9248611111)</f>
        <v>45320.924861111103</v>
      </c>
      <c r="C2431" s="1" t="str">
        <f ca="1">IFERROR(__xludf.DUMMYFUNCTION("""COMPUTED_VALUE"""),"processing")</f>
        <v>processing</v>
      </c>
      <c r="D2431" s="26">
        <f ca="1">IFERROR(__xludf.DUMMYFUNCTION("""COMPUTED_VALUE"""),0)</f>
        <v>0</v>
      </c>
      <c r="E2431" s="1" t="str">
        <f ca="1">IFERROR(__xludf.DUMMYFUNCTION("""COMPUTED_VALUE"""),"Windsor AAA Zone Hockey")</f>
        <v>Windsor AAA Zone Hockey</v>
      </c>
      <c r="F2431" s="87" t="str">
        <f t="shared" ca="1" si="0"/>
        <v>2024</v>
      </c>
      <c r="H2431" s="26" t="str">
        <f t="shared" si="1"/>
        <v/>
      </c>
      <c r="I2431" s="26" t="str">
        <f t="shared" si="2"/>
        <v/>
      </c>
      <c r="J2431" s="86">
        <f t="shared" ca="1" si="3"/>
        <v>45320</v>
      </c>
      <c r="R2431" s="26"/>
    </row>
    <row r="2432" spans="1:18" ht="15.75" customHeight="1">
      <c r="A2432" s="26">
        <f ca="1">IFERROR(__xludf.DUMMYFUNCTION("""COMPUTED_VALUE"""),22522)</f>
        <v>22522</v>
      </c>
      <c r="B2432" s="86">
        <f ca="1">IFERROR(__xludf.DUMMYFUNCTION("""COMPUTED_VALUE"""),45320.9619675925)</f>
        <v>45320.961967592499</v>
      </c>
      <c r="C2432" s="1" t="str">
        <f ca="1">IFERROR(__xludf.DUMMYFUNCTION("""COMPUTED_VALUE"""),"pending")</f>
        <v>pending</v>
      </c>
      <c r="D2432" s="26">
        <f ca="1">IFERROR(__xludf.DUMMYFUNCTION("""COMPUTED_VALUE"""),0)</f>
        <v>0</v>
      </c>
      <c r="E2432" s="1" t="str">
        <f ca="1">IFERROR(__xludf.DUMMYFUNCTION("""COMPUTED_VALUE"""),"Windsor Wildcats Hockey")</f>
        <v>Windsor Wildcats Hockey</v>
      </c>
      <c r="F2432" s="87" t="str">
        <f t="shared" ca="1" si="0"/>
        <v>2024</v>
      </c>
      <c r="H2432" s="26" t="str">
        <f t="shared" si="1"/>
        <v/>
      </c>
      <c r="I2432" s="26" t="str">
        <f t="shared" si="2"/>
        <v/>
      </c>
      <c r="J2432" s="86">
        <f t="shared" ca="1" si="3"/>
        <v>45320</v>
      </c>
      <c r="R2432" s="26"/>
    </row>
    <row r="2433" spans="1:18" ht="15.75" customHeight="1">
      <c r="A2433" s="26">
        <f ca="1">IFERROR(__xludf.DUMMYFUNCTION("""COMPUTED_VALUE"""),22537)</f>
        <v>22537</v>
      </c>
      <c r="B2433" s="86">
        <f ca="1">IFERROR(__xludf.DUMMYFUNCTION("""COMPUTED_VALUE"""),45321.8419560185)</f>
        <v>45321.841956018499</v>
      </c>
      <c r="C2433" s="1" t="str">
        <f ca="1">IFERROR(__xludf.DUMMYFUNCTION("""COMPUTED_VALUE"""),"pending")</f>
        <v>pending</v>
      </c>
      <c r="D2433" s="26">
        <f ca="1">IFERROR(__xludf.DUMMYFUNCTION("""COMPUTED_VALUE"""),44)</f>
        <v>44</v>
      </c>
      <c r="E2433" s="1" t="str">
        <f ca="1">IFERROR(__xludf.DUMMYFUNCTION("""COMPUTED_VALUE"""),"Windsor Wildcats Hockey")</f>
        <v>Windsor Wildcats Hockey</v>
      </c>
      <c r="F2433" s="87" t="str">
        <f t="shared" ca="1" si="0"/>
        <v>2024</v>
      </c>
      <c r="H2433" s="26" t="str">
        <f t="shared" si="1"/>
        <v/>
      </c>
      <c r="I2433" s="26" t="str">
        <f t="shared" si="2"/>
        <v/>
      </c>
      <c r="J2433" s="86">
        <f t="shared" ca="1" si="3"/>
        <v>45321</v>
      </c>
      <c r="R2433" s="26"/>
    </row>
    <row r="2434" spans="1:18" ht="15.75" customHeight="1">
      <c r="A2434" s="26">
        <f ca="1">IFERROR(__xludf.DUMMYFUNCTION("""COMPUTED_VALUE"""),22593)</f>
        <v>22593</v>
      </c>
      <c r="B2434" s="86">
        <f ca="1">IFERROR(__xludf.DUMMYFUNCTION("""COMPUTED_VALUE"""),45321.9569444444)</f>
        <v>45321.956944444399</v>
      </c>
      <c r="C2434" s="1" t="str">
        <f ca="1">IFERROR(__xludf.DUMMYFUNCTION("""COMPUTED_VALUE"""),"pending")</f>
        <v>pending</v>
      </c>
      <c r="D2434" s="26">
        <f ca="1">IFERROR(__xludf.DUMMYFUNCTION("""COMPUTED_VALUE"""),0)</f>
        <v>0</v>
      </c>
      <c r="E2434" s="1" t="str">
        <f ca="1">IFERROR(__xludf.DUMMYFUNCTION("""COMPUTED_VALUE"""),"Windsor Wildcats Hockey")</f>
        <v>Windsor Wildcats Hockey</v>
      </c>
      <c r="F2434" s="87" t="str">
        <f t="shared" ca="1" si="0"/>
        <v>2024</v>
      </c>
      <c r="H2434" s="26" t="str">
        <f t="shared" si="1"/>
        <v/>
      </c>
      <c r="I2434" s="26" t="str">
        <f t="shared" si="2"/>
        <v/>
      </c>
      <c r="J2434" s="86">
        <f t="shared" ca="1" si="3"/>
        <v>45321</v>
      </c>
      <c r="R2434" s="26"/>
    </row>
    <row r="2435" spans="1:18" ht="15.75" customHeight="1">
      <c r="A2435" s="26">
        <f ca="1">IFERROR(__xludf.DUMMYFUNCTION("""COMPUTED_VALUE"""),22604)</f>
        <v>22604</v>
      </c>
      <c r="B2435" s="86">
        <f ca="1">IFERROR(__xludf.DUMMYFUNCTION("""COMPUTED_VALUE"""),45322.8892361111)</f>
        <v>45322.889236111099</v>
      </c>
      <c r="C2435" s="1" t="str">
        <f ca="1">IFERROR(__xludf.DUMMYFUNCTION("""COMPUTED_VALUE"""),"processing")</f>
        <v>processing</v>
      </c>
      <c r="D2435" s="26">
        <f ca="1">IFERROR(__xludf.DUMMYFUNCTION("""COMPUTED_VALUE"""),41)</f>
        <v>41</v>
      </c>
      <c r="E2435" s="1" t="str">
        <f ca="1">IFERROR(__xludf.DUMMYFUNCTION("""COMPUTED_VALUE"""),"South Point Stars")</f>
        <v>South Point Stars</v>
      </c>
      <c r="F2435" s="87" t="str">
        <f t="shared" ca="1" si="0"/>
        <v>2024</v>
      </c>
      <c r="H2435" s="26" t="str">
        <f t="shared" si="1"/>
        <v/>
      </c>
      <c r="I2435" s="26" t="str">
        <f t="shared" si="2"/>
        <v/>
      </c>
      <c r="J2435" s="86">
        <f t="shared" ca="1" si="3"/>
        <v>45322</v>
      </c>
      <c r="R2435" s="26"/>
    </row>
    <row r="2436" spans="1:18" ht="15.75" customHeight="1">
      <c r="A2436" s="26">
        <f ca="1">IFERROR(__xludf.DUMMYFUNCTION("""COMPUTED_VALUE"""),22605)</f>
        <v>22605</v>
      </c>
      <c r="B2436" s="86">
        <f ca="1">IFERROR(__xludf.DUMMYFUNCTION("""COMPUTED_VALUE"""),45322.9480787037)</f>
        <v>45322.948078703703</v>
      </c>
      <c r="C2436" s="1" t="str">
        <f ca="1">IFERROR(__xludf.DUMMYFUNCTION("""COMPUTED_VALUE"""),"failed")</f>
        <v>failed</v>
      </c>
      <c r="D2436" s="26">
        <f ca="1">IFERROR(__xludf.DUMMYFUNCTION("""COMPUTED_VALUE"""),59)</f>
        <v>59</v>
      </c>
      <c r="E2436" s="1" t="str">
        <f ca="1">IFERROR(__xludf.DUMMYFUNCTION("""COMPUTED_VALUE"""),"Windsor Wildcats Hockey")</f>
        <v>Windsor Wildcats Hockey</v>
      </c>
      <c r="F2436" s="87" t="str">
        <f t="shared" ca="1" si="0"/>
        <v>2024</v>
      </c>
      <c r="H2436" s="26" t="str">
        <f t="shared" si="1"/>
        <v/>
      </c>
      <c r="I2436" s="26" t="str">
        <f t="shared" si="2"/>
        <v/>
      </c>
      <c r="J2436" s="86">
        <f t="shared" ca="1" si="3"/>
        <v>45322</v>
      </c>
      <c r="R2436" s="26"/>
    </row>
    <row r="2437" spans="1:18" ht="15.75" customHeight="1">
      <c r="A2437" s="26">
        <f ca="1">IFERROR(__xludf.DUMMYFUNCTION("""COMPUTED_VALUE"""),22614)</f>
        <v>22614</v>
      </c>
      <c r="B2437" s="86">
        <f ca="1">IFERROR(__xludf.DUMMYFUNCTION("""COMPUTED_VALUE"""),45323.3264236111)</f>
        <v>45323.326423611099</v>
      </c>
      <c r="C2437" s="1" t="str">
        <f ca="1">IFERROR(__xludf.DUMMYFUNCTION("""COMPUTED_VALUE"""),"processing")</f>
        <v>processing</v>
      </c>
      <c r="D2437" s="26">
        <f ca="1">IFERROR(__xludf.DUMMYFUNCTION("""COMPUTED_VALUE"""),0)</f>
        <v>0</v>
      </c>
      <c r="E2437" s="1" t="str">
        <f ca="1">IFERROR(__xludf.DUMMYFUNCTION("""COMPUTED_VALUE"""),"Windsor Wildcats Hockey")</f>
        <v>Windsor Wildcats Hockey</v>
      </c>
      <c r="F2437" s="87" t="str">
        <f t="shared" ca="1" si="0"/>
        <v>2024</v>
      </c>
      <c r="H2437" s="26" t="str">
        <f t="shared" si="1"/>
        <v/>
      </c>
      <c r="I2437" s="26" t="str">
        <f t="shared" si="2"/>
        <v/>
      </c>
      <c r="J2437" s="86">
        <f t="shared" ca="1" si="3"/>
        <v>45323</v>
      </c>
      <c r="R2437" s="26"/>
    </row>
    <row r="2438" spans="1:18" ht="15.75" customHeight="1">
      <c r="A2438" s="26">
        <f ca="1">IFERROR(__xludf.DUMMYFUNCTION("""COMPUTED_VALUE"""),22615)</f>
        <v>22615</v>
      </c>
      <c r="B2438" s="86">
        <f ca="1">IFERROR(__xludf.DUMMYFUNCTION("""COMPUTED_VALUE"""),45323.6564467592)</f>
        <v>45323.656446759203</v>
      </c>
      <c r="C2438" s="1" t="str">
        <f ca="1">IFERROR(__xludf.DUMMYFUNCTION("""COMPUTED_VALUE"""),"processing")</f>
        <v>processing</v>
      </c>
      <c r="D2438" s="26">
        <f ca="1">IFERROR(__xludf.DUMMYFUNCTION("""COMPUTED_VALUE"""),25)</f>
        <v>25</v>
      </c>
      <c r="E2438" s="1" t="str">
        <f ca="1">IFERROR(__xludf.DUMMYFUNCTION("""COMPUTED_VALUE"""),"Erie North Shore Minor Hockey")</f>
        <v>Erie North Shore Minor Hockey</v>
      </c>
      <c r="F2438" s="87" t="str">
        <f t="shared" ca="1" si="0"/>
        <v>2024</v>
      </c>
      <c r="H2438" s="26" t="str">
        <f t="shared" si="1"/>
        <v/>
      </c>
      <c r="I2438" s="26" t="str">
        <f t="shared" si="2"/>
        <v/>
      </c>
      <c r="J2438" s="86">
        <f t="shared" ca="1" si="3"/>
        <v>45323</v>
      </c>
      <c r="R2438" s="26"/>
    </row>
    <row r="2439" spans="1:18" ht="15.75" customHeight="1">
      <c r="A2439" s="26">
        <f ca="1">IFERROR(__xludf.DUMMYFUNCTION("""COMPUTED_VALUE"""),22616)</f>
        <v>22616</v>
      </c>
      <c r="B2439" s="86">
        <f ca="1">IFERROR(__xludf.DUMMYFUNCTION("""COMPUTED_VALUE"""),45323.6615856481)</f>
        <v>45323.6615856481</v>
      </c>
      <c r="C2439" s="1" t="str">
        <f ca="1">IFERROR(__xludf.DUMMYFUNCTION("""COMPUTED_VALUE"""),"processing")</f>
        <v>processing</v>
      </c>
      <c r="D2439" s="26">
        <f ca="1">IFERROR(__xludf.DUMMYFUNCTION("""COMPUTED_VALUE"""),25)</f>
        <v>25</v>
      </c>
      <c r="E2439" s="1" t="str">
        <f ca="1">IFERROR(__xludf.DUMMYFUNCTION("""COMPUTED_VALUE"""),"Erie North Shore Minor Hockey")</f>
        <v>Erie North Shore Minor Hockey</v>
      </c>
      <c r="F2439" s="87" t="str">
        <f t="shared" ca="1" si="0"/>
        <v>2024</v>
      </c>
      <c r="H2439" s="26" t="str">
        <f t="shared" si="1"/>
        <v/>
      </c>
      <c r="I2439" s="26" t="str">
        <f t="shared" si="2"/>
        <v/>
      </c>
      <c r="J2439" s="86">
        <f t="shared" ca="1" si="3"/>
        <v>45323</v>
      </c>
      <c r="R2439" s="26"/>
    </row>
    <row r="2440" spans="1:18" ht="15.75" customHeight="1">
      <c r="A2440" s="26">
        <f ca="1">IFERROR(__xludf.DUMMYFUNCTION("""COMPUTED_VALUE"""),22617)</f>
        <v>22617</v>
      </c>
      <c r="B2440" s="86">
        <f ca="1">IFERROR(__xludf.DUMMYFUNCTION("""COMPUTED_VALUE"""),45323.6713194444)</f>
        <v>45323.671319444402</v>
      </c>
      <c r="C2440" s="1" t="str">
        <f ca="1">IFERROR(__xludf.DUMMYFUNCTION("""COMPUTED_VALUE"""),"processing")</f>
        <v>processing</v>
      </c>
      <c r="D2440" s="26">
        <f ca="1">IFERROR(__xludf.DUMMYFUNCTION("""COMPUTED_VALUE"""),35)</f>
        <v>35</v>
      </c>
      <c r="E2440" s="1" t="str">
        <f ca="1">IFERROR(__xludf.DUMMYFUNCTION("""COMPUTED_VALUE"""),"Erie North Shore Minor Hockey")</f>
        <v>Erie North Shore Minor Hockey</v>
      </c>
      <c r="F2440" s="87" t="str">
        <f t="shared" ca="1" si="0"/>
        <v>2024</v>
      </c>
      <c r="H2440" s="26" t="str">
        <f t="shared" si="1"/>
        <v/>
      </c>
      <c r="I2440" s="26" t="str">
        <f t="shared" si="2"/>
        <v/>
      </c>
      <c r="J2440" s="86">
        <f t="shared" ca="1" si="3"/>
        <v>45323</v>
      </c>
      <c r="R2440" s="26"/>
    </row>
    <row r="2441" spans="1:18" ht="15.75" customHeight="1">
      <c r="A2441" s="26">
        <f ca="1">IFERROR(__xludf.DUMMYFUNCTION("""COMPUTED_VALUE"""),22618)</f>
        <v>22618</v>
      </c>
      <c r="B2441" s="86">
        <f ca="1">IFERROR(__xludf.DUMMYFUNCTION("""COMPUTED_VALUE"""),45323.6761111111)</f>
        <v>45323.676111111097</v>
      </c>
      <c r="C2441" s="1" t="str">
        <f ca="1">IFERROR(__xludf.DUMMYFUNCTION("""COMPUTED_VALUE"""),"processing")</f>
        <v>processing</v>
      </c>
      <c r="D2441" s="26">
        <f ca="1">IFERROR(__xludf.DUMMYFUNCTION("""COMPUTED_VALUE"""),25)</f>
        <v>25</v>
      </c>
      <c r="E2441" s="1" t="str">
        <f ca="1">IFERROR(__xludf.DUMMYFUNCTION("""COMPUTED_VALUE"""),"Erie North Shore Minor Hockey")</f>
        <v>Erie North Shore Minor Hockey</v>
      </c>
      <c r="F2441" s="87" t="str">
        <f t="shared" ca="1" si="0"/>
        <v>2024</v>
      </c>
      <c r="H2441" s="26" t="str">
        <f t="shared" si="1"/>
        <v/>
      </c>
      <c r="I2441" s="26" t="str">
        <f t="shared" si="2"/>
        <v/>
      </c>
      <c r="J2441" s="86">
        <f t="shared" ca="1" si="3"/>
        <v>45323</v>
      </c>
      <c r="R2441" s="26"/>
    </row>
    <row r="2442" spans="1:18" ht="15.75" customHeight="1">
      <c r="A2442" s="26">
        <f ca="1">IFERROR(__xludf.DUMMYFUNCTION("""COMPUTED_VALUE"""),22620)</f>
        <v>22620</v>
      </c>
      <c r="B2442" s="86">
        <f ca="1">IFERROR(__xludf.DUMMYFUNCTION("""COMPUTED_VALUE"""),45323.743125)</f>
        <v>45323.743125000001</v>
      </c>
      <c r="C2442" s="1" t="str">
        <f ca="1">IFERROR(__xludf.DUMMYFUNCTION("""COMPUTED_VALUE"""),"processing")</f>
        <v>processing</v>
      </c>
      <c r="D2442" s="26">
        <f ca="1">IFERROR(__xludf.DUMMYFUNCTION("""COMPUTED_VALUE"""),46)</f>
        <v>46</v>
      </c>
      <c r="E2442" s="1" t="str">
        <f ca="1">IFERROR(__xludf.DUMMYFUNCTION("""COMPUTED_VALUE"""),"Windsor AAA Zone Hockey")</f>
        <v>Windsor AAA Zone Hockey</v>
      </c>
      <c r="F2442" s="87" t="str">
        <f t="shared" ca="1" si="0"/>
        <v>2024</v>
      </c>
      <c r="H2442" s="26" t="str">
        <f t="shared" si="1"/>
        <v/>
      </c>
      <c r="I2442" s="26" t="str">
        <f t="shared" si="2"/>
        <v/>
      </c>
      <c r="J2442" s="86">
        <f t="shared" ca="1" si="3"/>
        <v>45323</v>
      </c>
      <c r="R2442" s="26"/>
    </row>
    <row r="2443" spans="1:18" ht="15.75" customHeight="1">
      <c r="A2443" s="26">
        <f ca="1">IFERROR(__xludf.DUMMYFUNCTION("""COMPUTED_VALUE"""),22619)</f>
        <v>22619</v>
      </c>
      <c r="B2443" s="86">
        <f ca="1">IFERROR(__xludf.DUMMYFUNCTION("""COMPUTED_VALUE"""),45323.7424768518)</f>
        <v>45323.742476851803</v>
      </c>
      <c r="C2443" s="1" t="str">
        <f ca="1">IFERROR(__xludf.DUMMYFUNCTION("""COMPUTED_VALUE"""),"processing")</f>
        <v>processing</v>
      </c>
      <c r="D2443" s="26">
        <f ca="1">IFERROR(__xludf.DUMMYFUNCTION("""COMPUTED_VALUE"""),18)</f>
        <v>18</v>
      </c>
      <c r="E2443" s="1" t="str">
        <f ca="1">IFERROR(__xludf.DUMMYFUNCTION("""COMPUTED_VALUE"""),"Erie North Shore Minor Hockey")</f>
        <v>Erie North Shore Minor Hockey</v>
      </c>
      <c r="F2443" s="87" t="str">
        <f t="shared" ca="1" si="0"/>
        <v>2024</v>
      </c>
      <c r="H2443" s="26" t="str">
        <f t="shared" si="1"/>
        <v/>
      </c>
      <c r="I2443" s="26" t="str">
        <f t="shared" si="2"/>
        <v/>
      </c>
      <c r="J2443" s="86">
        <f t="shared" ca="1" si="3"/>
        <v>45323</v>
      </c>
      <c r="R2443" s="26"/>
    </row>
    <row r="2444" spans="1:18" ht="15.75" customHeight="1">
      <c r="A2444" s="26">
        <f ca="1">IFERROR(__xludf.DUMMYFUNCTION("""COMPUTED_VALUE"""),22621)</f>
        <v>22621</v>
      </c>
      <c r="B2444" s="86">
        <f ca="1">IFERROR(__xludf.DUMMYFUNCTION("""COMPUTED_VALUE"""),45323.7569675925)</f>
        <v>45323.756967592497</v>
      </c>
      <c r="C2444" s="1" t="str">
        <f ca="1">IFERROR(__xludf.DUMMYFUNCTION("""COMPUTED_VALUE"""),"processing")</f>
        <v>processing</v>
      </c>
      <c r="D2444" s="26">
        <f ca="1">IFERROR(__xludf.DUMMYFUNCTION("""COMPUTED_VALUE"""),45)</f>
        <v>45</v>
      </c>
      <c r="E2444" s="1" t="str">
        <f ca="1">IFERROR(__xludf.DUMMYFUNCTION("""COMPUTED_VALUE"""),"Erie North Shore Minor Hockey")</f>
        <v>Erie North Shore Minor Hockey</v>
      </c>
      <c r="F2444" s="87" t="str">
        <f t="shared" ca="1" si="0"/>
        <v>2024</v>
      </c>
      <c r="H2444" s="26" t="str">
        <f t="shared" si="1"/>
        <v/>
      </c>
      <c r="I2444" s="26" t="str">
        <f t="shared" si="2"/>
        <v/>
      </c>
      <c r="J2444" s="86">
        <f t="shared" ca="1" si="3"/>
        <v>45323</v>
      </c>
      <c r="R2444" s="26"/>
    </row>
    <row r="2445" spans="1:18" ht="15.75" customHeight="1">
      <c r="A2445" s="26">
        <f ca="1">IFERROR(__xludf.DUMMYFUNCTION("""COMPUTED_VALUE"""),22623)</f>
        <v>22623</v>
      </c>
      <c r="B2445" s="86">
        <f ca="1">IFERROR(__xludf.DUMMYFUNCTION("""COMPUTED_VALUE"""),45323.831261574)</f>
        <v>45323.831261574</v>
      </c>
      <c r="C2445" s="1" t="str">
        <f ca="1">IFERROR(__xludf.DUMMYFUNCTION("""COMPUTED_VALUE"""),"processing")</f>
        <v>processing</v>
      </c>
      <c r="D2445" s="26">
        <f ca="1">IFERROR(__xludf.DUMMYFUNCTION("""COMPUTED_VALUE"""),25)</f>
        <v>25</v>
      </c>
      <c r="E2445" s="1" t="str">
        <f ca="1">IFERROR(__xludf.DUMMYFUNCTION("""COMPUTED_VALUE"""),"Erie North Shore Minor Hockey")</f>
        <v>Erie North Shore Minor Hockey</v>
      </c>
      <c r="F2445" s="87" t="str">
        <f t="shared" ca="1" si="0"/>
        <v>2024</v>
      </c>
      <c r="H2445" s="26" t="str">
        <f t="shared" si="1"/>
        <v/>
      </c>
      <c r="I2445" s="26" t="str">
        <f t="shared" si="2"/>
        <v/>
      </c>
      <c r="J2445" s="86">
        <f t="shared" ca="1" si="3"/>
        <v>45323</v>
      </c>
      <c r="R2445" s="26"/>
    </row>
    <row r="2446" spans="1:18" ht="15.75" customHeight="1">
      <c r="A2446" s="26">
        <f ca="1">IFERROR(__xludf.DUMMYFUNCTION("""COMPUTED_VALUE"""),22622)</f>
        <v>22622</v>
      </c>
      <c r="B2446" s="86">
        <f ca="1">IFERROR(__xludf.DUMMYFUNCTION("""COMPUTED_VALUE"""),45323.8277199074)</f>
        <v>45323.8277199074</v>
      </c>
      <c r="C2446" s="1" t="str">
        <f ca="1">IFERROR(__xludf.DUMMYFUNCTION("""COMPUTED_VALUE"""),"processing")</f>
        <v>processing</v>
      </c>
      <c r="D2446" s="26">
        <f ca="1">IFERROR(__xludf.DUMMYFUNCTION("""COMPUTED_VALUE"""),26)</f>
        <v>26</v>
      </c>
      <c r="E2446" s="1" t="str">
        <f ca="1">IFERROR(__xludf.DUMMYFUNCTION("""COMPUTED_VALUE"""),"Erie North Shore Minor Hockey")</f>
        <v>Erie North Shore Minor Hockey</v>
      </c>
      <c r="F2446" s="87" t="str">
        <f t="shared" ca="1" si="0"/>
        <v>2024</v>
      </c>
      <c r="H2446" s="26" t="str">
        <f t="shared" si="1"/>
        <v/>
      </c>
      <c r="I2446" s="26" t="str">
        <f t="shared" si="2"/>
        <v/>
      </c>
      <c r="J2446" s="86">
        <f t="shared" ca="1" si="3"/>
        <v>45323</v>
      </c>
      <c r="R2446" s="26"/>
    </row>
    <row r="2447" spans="1:18" ht="15.75" customHeight="1">
      <c r="A2447" s="26">
        <f ca="1">IFERROR(__xludf.DUMMYFUNCTION("""COMPUTED_VALUE"""),22624)</f>
        <v>22624</v>
      </c>
      <c r="B2447" s="86">
        <f ca="1">IFERROR(__xludf.DUMMYFUNCTION("""COMPUTED_VALUE"""),45323.8368287037)</f>
        <v>45323.836828703701</v>
      </c>
      <c r="C2447" s="1" t="str">
        <f ca="1">IFERROR(__xludf.DUMMYFUNCTION("""COMPUTED_VALUE"""),"processing")</f>
        <v>processing</v>
      </c>
      <c r="D2447" s="26">
        <f ca="1">IFERROR(__xludf.DUMMYFUNCTION("""COMPUTED_VALUE"""),25)</f>
        <v>25</v>
      </c>
      <c r="E2447" s="1" t="str">
        <f ca="1">IFERROR(__xludf.DUMMYFUNCTION("""COMPUTED_VALUE"""),"Erie North Shore Minor Hockey")</f>
        <v>Erie North Shore Minor Hockey</v>
      </c>
      <c r="F2447" s="87" t="str">
        <f t="shared" ca="1" si="0"/>
        <v>2024</v>
      </c>
      <c r="H2447" s="26" t="str">
        <f t="shared" si="1"/>
        <v/>
      </c>
      <c r="I2447" s="26" t="str">
        <f t="shared" si="2"/>
        <v/>
      </c>
      <c r="J2447" s="86">
        <f t="shared" ca="1" si="3"/>
        <v>45323</v>
      </c>
      <c r="R2447" s="26"/>
    </row>
    <row r="2448" spans="1:18" ht="15.75" customHeight="1">
      <c r="A2448" s="26">
        <f ca="1">IFERROR(__xludf.DUMMYFUNCTION("""COMPUTED_VALUE"""),22625)</f>
        <v>22625</v>
      </c>
      <c r="B2448" s="86">
        <f ca="1">IFERROR(__xludf.DUMMYFUNCTION("""COMPUTED_VALUE"""),45323.889537037)</f>
        <v>45323.889537037001</v>
      </c>
      <c r="C2448" s="1" t="str">
        <f ca="1">IFERROR(__xludf.DUMMYFUNCTION("""COMPUTED_VALUE"""),"custom-status")</f>
        <v>custom-status</v>
      </c>
      <c r="D2448" s="26">
        <f ca="1">IFERROR(__xludf.DUMMYFUNCTION("""COMPUTED_VALUE"""),55)</f>
        <v>55</v>
      </c>
      <c r="E2448" s="1" t="str">
        <f ca="1">IFERROR(__xludf.DUMMYFUNCTION("""COMPUTED_VALUE"""),"Erie North Shore Minor Hockey")</f>
        <v>Erie North Shore Minor Hockey</v>
      </c>
      <c r="F2448" s="87" t="str">
        <f t="shared" ca="1" si="0"/>
        <v>2024</v>
      </c>
      <c r="H2448" s="26" t="str">
        <f t="shared" si="1"/>
        <v/>
      </c>
      <c r="I2448" s="26" t="str">
        <f t="shared" si="2"/>
        <v/>
      </c>
      <c r="J2448" s="86">
        <f t="shared" ca="1" si="3"/>
        <v>45323</v>
      </c>
      <c r="R2448" s="26"/>
    </row>
    <row r="2449" spans="1:18" ht="15.75" customHeight="1">
      <c r="A2449" s="26">
        <f ca="1">IFERROR(__xludf.DUMMYFUNCTION("""COMPUTED_VALUE"""),22626)</f>
        <v>22626</v>
      </c>
      <c r="B2449" s="86">
        <f ca="1">IFERROR(__xludf.DUMMYFUNCTION("""COMPUTED_VALUE"""),45323.9900694444)</f>
        <v>45323.9900694444</v>
      </c>
      <c r="C2449" s="1" t="str">
        <f ca="1">IFERROR(__xludf.DUMMYFUNCTION("""COMPUTED_VALUE"""),"processing")</f>
        <v>processing</v>
      </c>
      <c r="D2449" s="26">
        <f ca="1">IFERROR(__xludf.DUMMYFUNCTION("""COMPUTED_VALUE"""),0)</f>
        <v>0</v>
      </c>
      <c r="E2449" s="1" t="str">
        <f ca="1">IFERROR(__xludf.DUMMYFUNCTION("""COMPUTED_VALUE"""),"Windsor Wildcats Hockey")</f>
        <v>Windsor Wildcats Hockey</v>
      </c>
      <c r="F2449" s="87" t="str">
        <f t="shared" ca="1" si="0"/>
        <v>2024</v>
      </c>
      <c r="H2449" s="26" t="str">
        <f t="shared" si="1"/>
        <v/>
      </c>
      <c r="I2449" s="26" t="str">
        <f t="shared" si="2"/>
        <v/>
      </c>
      <c r="J2449" s="86">
        <f t="shared" ca="1" si="3"/>
        <v>45323</v>
      </c>
      <c r="R2449" s="26"/>
    </row>
    <row r="2450" spans="1:18" ht="15.75" customHeight="1">
      <c r="A2450" s="26">
        <f ca="1">IFERROR(__xludf.DUMMYFUNCTION("""COMPUTED_VALUE"""),22627)</f>
        <v>22627</v>
      </c>
      <c r="B2450" s="86">
        <f ca="1">IFERROR(__xludf.DUMMYFUNCTION("""COMPUTED_VALUE"""),45324.4779629629)</f>
        <v>45324.477962962897</v>
      </c>
      <c r="C2450" s="1" t="str">
        <f ca="1">IFERROR(__xludf.DUMMYFUNCTION("""COMPUTED_VALUE"""),"custom-status")</f>
        <v>custom-status</v>
      </c>
      <c r="D2450" s="26">
        <f ca="1">IFERROR(__xludf.DUMMYFUNCTION("""COMPUTED_VALUE"""),15)</f>
        <v>15</v>
      </c>
      <c r="E2450" s="1" t="str">
        <f ca="1">IFERROR(__xludf.DUMMYFUNCTION("""COMPUTED_VALUE"""),"Erie North Shore Minor Hockey")</f>
        <v>Erie North Shore Minor Hockey</v>
      </c>
      <c r="F2450" s="87" t="str">
        <f t="shared" ca="1" si="0"/>
        <v>2024</v>
      </c>
      <c r="H2450" s="26" t="str">
        <f t="shared" si="1"/>
        <v/>
      </c>
      <c r="I2450" s="26" t="str">
        <f t="shared" si="2"/>
        <v/>
      </c>
      <c r="J2450" s="86">
        <f t="shared" ca="1" si="3"/>
        <v>45324</v>
      </c>
      <c r="R2450" s="26"/>
    </row>
    <row r="2451" spans="1:18" ht="15.75" customHeight="1">
      <c r="A2451" s="26">
        <f ca="1">IFERROR(__xludf.DUMMYFUNCTION("""COMPUTED_VALUE"""),22628)</f>
        <v>22628</v>
      </c>
      <c r="B2451" s="86">
        <f ca="1">IFERROR(__xludf.DUMMYFUNCTION("""COMPUTED_VALUE"""),45324.524375)</f>
        <v>45324.524375000001</v>
      </c>
      <c r="C2451" s="1" t="str">
        <f ca="1">IFERROR(__xludf.DUMMYFUNCTION("""COMPUTED_VALUE"""),"custom-status")</f>
        <v>custom-status</v>
      </c>
      <c r="D2451" s="26">
        <f ca="1">IFERROR(__xludf.DUMMYFUNCTION("""COMPUTED_VALUE"""),70)</f>
        <v>70</v>
      </c>
      <c r="E2451" s="1" t="str">
        <f ca="1">IFERROR(__xludf.DUMMYFUNCTION("""COMPUTED_VALUE"""),"Erie North Shore Minor Hockey")</f>
        <v>Erie North Shore Minor Hockey</v>
      </c>
      <c r="F2451" s="87" t="str">
        <f t="shared" ca="1" si="0"/>
        <v>2024</v>
      </c>
      <c r="H2451" s="26" t="str">
        <f t="shared" si="1"/>
        <v/>
      </c>
      <c r="I2451" s="26" t="str">
        <f t="shared" si="2"/>
        <v/>
      </c>
      <c r="J2451" s="86">
        <f t="shared" ca="1" si="3"/>
        <v>45324</v>
      </c>
      <c r="R2451" s="26"/>
    </row>
    <row r="2452" spans="1:18" ht="15.75" customHeight="1">
      <c r="A2452" s="26">
        <f ca="1">IFERROR(__xludf.DUMMYFUNCTION("""COMPUTED_VALUE"""),22629)</f>
        <v>22629</v>
      </c>
      <c r="B2452" s="86">
        <f ca="1">IFERROR(__xludf.DUMMYFUNCTION("""COMPUTED_VALUE"""),45324.5891087962)</f>
        <v>45324.589108796201</v>
      </c>
      <c r="C2452" s="1" t="str">
        <f ca="1">IFERROR(__xludf.DUMMYFUNCTION("""COMPUTED_VALUE"""),"processing")</f>
        <v>processing</v>
      </c>
      <c r="D2452" s="26">
        <f ca="1">IFERROR(__xludf.DUMMYFUNCTION("""COMPUTED_VALUE"""),20)</f>
        <v>20</v>
      </c>
      <c r="E2452" s="1" t="str">
        <f ca="1">IFERROR(__xludf.DUMMYFUNCTION("""COMPUTED_VALUE"""),"Erie North Shore Minor Hockey")</f>
        <v>Erie North Shore Minor Hockey</v>
      </c>
      <c r="F2452" s="87" t="str">
        <f t="shared" ca="1" si="0"/>
        <v>2024</v>
      </c>
      <c r="H2452" s="26" t="str">
        <f t="shared" si="1"/>
        <v/>
      </c>
      <c r="I2452" s="26" t="str">
        <f t="shared" si="2"/>
        <v/>
      </c>
      <c r="J2452" s="86">
        <f t="shared" ca="1" si="3"/>
        <v>45324</v>
      </c>
      <c r="R2452" s="26"/>
    </row>
    <row r="2453" spans="1:18" ht="15.75" customHeight="1">
      <c r="A2453" s="26">
        <f ca="1">IFERROR(__xludf.DUMMYFUNCTION("""COMPUTED_VALUE"""),22630)</f>
        <v>22630</v>
      </c>
      <c r="B2453" s="86">
        <f ca="1">IFERROR(__xludf.DUMMYFUNCTION("""COMPUTED_VALUE"""),45324.6076273148)</f>
        <v>45324.607627314799</v>
      </c>
      <c r="C2453" s="1" t="str">
        <f ca="1">IFERROR(__xludf.DUMMYFUNCTION("""COMPUTED_VALUE"""),"processing")</f>
        <v>processing</v>
      </c>
      <c r="D2453" s="26">
        <f ca="1">IFERROR(__xludf.DUMMYFUNCTION("""COMPUTED_VALUE"""),46)</f>
        <v>46</v>
      </c>
      <c r="E2453" s="1" t="str">
        <f ca="1">IFERROR(__xludf.DUMMYFUNCTION("""COMPUTED_VALUE"""),"W.M.H.A")</f>
        <v>W.M.H.A</v>
      </c>
      <c r="F2453" s="87" t="str">
        <f t="shared" ca="1" si="0"/>
        <v>2024</v>
      </c>
      <c r="H2453" s="26" t="str">
        <f t="shared" si="1"/>
        <v/>
      </c>
      <c r="I2453" s="26" t="str">
        <f t="shared" si="2"/>
        <v/>
      </c>
      <c r="J2453" s="86">
        <f t="shared" ca="1" si="3"/>
        <v>45324</v>
      </c>
      <c r="R2453" s="26"/>
    </row>
    <row r="2454" spans="1:18" ht="15.75" customHeight="1">
      <c r="A2454" s="26">
        <f ca="1">IFERROR(__xludf.DUMMYFUNCTION("""COMPUTED_VALUE"""),22631)</f>
        <v>22631</v>
      </c>
      <c r="B2454" s="86">
        <f ca="1">IFERROR(__xludf.DUMMYFUNCTION("""COMPUTED_VALUE"""),45324.6320254629)</f>
        <v>45324.632025462903</v>
      </c>
      <c r="C2454" s="1" t="str">
        <f ca="1">IFERROR(__xludf.DUMMYFUNCTION("""COMPUTED_VALUE"""),"processing")</f>
        <v>processing</v>
      </c>
      <c r="D2454" s="26">
        <f ca="1">IFERROR(__xludf.DUMMYFUNCTION("""COMPUTED_VALUE"""),82)</f>
        <v>82</v>
      </c>
      <c r="E2454" s="1" t="str">
        <f ca="1">IFERROR(__xludf.DUMMYFUNCTION("""COMPUTED_VALUE"""),"Erie North Shore Minor Hockey")</f>
        <v>Erie North Shore Minor Hockey</v>
      </c>
      <c r="F2454" s="87" t="str">
        <f t="shared" ca="1" si="0"/>
        <v>2024</v>
      </c>
      <c r="H2454" s="26" t="str">
        <f t="shared" si="1"/>
        <v/>
      </c>
      <c r="I2454" s="26" t="str">
        <f t="shared" si="2"/>
        <v/>
      </c>
      <c r="J2454" s="86">
        <f t="shared" ca="1" si="3"/>
        <v>45324</v>
      </c>
      <c r="R2454" s="26"/>
    </row>
    <row r="2455" spans="1:18" ht="15.75" customHeight="1">
      <c r="A2455" s="26">
        <f ca="1">IFERROR(__xludf.DUMMYFUNCTION("""COMPUTED_VALUE"""),22632)</f>
        <v>22632</v>
      </c>
      <c r="B2455" s="86">
        <f ca="1">IFERROR(__xludf.DUMMYFUNCTION("""COMPUTED_VALUE"""),45324.672511574)</f>
        <v>45324.672511573997</v>
      </c>
      <c r="C2455" s="1" t="str">
        <f ca="1">IFERROR(__xludf.DUMMYFUNCTION("""COMPUTED_VALUE"""),"processing")</f>
        <v>processing</v>
      </c>
      <c r="D2455" s="26">
        <f ca="1">IFERROR(__xludf.DUMMYFUNCTION("""COMPUTED_VALUE"""),35)</f>
        <v>35</v>
      </c>
      <c r="E2455" s="1" t="str">
        <f ca="1">IFERROR(__xludf.DUMMYFUNCTION("""COMPUTED_VALUE"""),"Erie North Shore Minor Hockey")</f>
        <v>Erie North Shore Minor Hockey</v>
      </c>
      <c r="F2455" s="87" t="str">
        <f t="shared" ca="1" si="0"/>
        <v>2024</v>
      </c>
      <c r="H2455" s="26" t="str">
        <f t="shared" si="1"/>
        <v/>
      </c>
      <c r="I2455" s="26" t="str">
        <f t="shared" si="2"/>
        <v/>
      </c>
      <c r="J2455" s="86">
        <f t="shared" ca="1" si="3"/>
        <v>45324</v>
      </c>
      <c r="R2455" s="26"/>
    </row>
    <row r="2456" spans="1:18" ht="15.75" customHeight="1">
      <c r="A2456" s="26">
        <f ca="1">IFERROR(__xludf.DUMMYFUNCTION("""COMPUTED_VALUE"""),22634)</f>
        <v>22634</v>
      </c>
      <c r="B2456" s="86">
        <f ca="1">IFERROR(__xludf.DUMMYFUNCTION("""COMPUTED_VALUE"""),45324.7770254629)</f>
        <v>45324.777025462899</v>
      </c>
      <c r="C2456" s="1" t="str">
        <f ca="1">IFERROR(__xludf.DUMMYFUNCTION("""COMPUTED_VALUE"""),"custom-status")</f>
        <v>custom-status</v>
      </c>
      <c r="D2456" s="26">
        <f ca="1">IFERROR(__xludf.DUMMYFUNCTION("""COMPUTED_VALUE"""),26)</f>
        <v>26</v>
      </c>
      <c r="E2456" s="1" t="str">
        <f ca="1">IFERROR(__xludf.DUMMYFUNCTION("""COMPUTED_VALUE"""),"Erie North Shore Minor Hockey")</f>
        <v>Erie North Shore Minor Hockey</v>
      </c>
      <c r="F2456" s="87" t="str">
        <f t="shared" ca="1" si="0"/>
        <v>2024</v>
      </c>
      <c r="H2456" s="26" t="str">
        <f t="shared" si="1"/>
        <v/>
      </c>
      <c r="I2456" s="26" t="str">
        <f t="shared" si="2"/>
        <v/>
      </c>
      <c r="J2456" s="86">
        <f t="shared" ca="1" si="3"/>
        <v>45324</v>
      </c>
      <c r="R2456" s="26"/>
    </row>
    <row r="2457" spans="1:18" ht="15.75" customHeight="1">
      <c r="A2457" s="26">
        <f ca="1">IFERROR(__xludf.DUMMYFUNCTION("""COMPUTED_VALUE"""),22633)</f>
        <v>22633</v>
      </c>
      <c r="B2457" s="86">
        <f ca="1">IFERROR(__xludf.DUMMYFUNCTION("""COMPUTED_VALUE"""),45324.7762037037)</f>
        <v>45324.776203703703</v>
      </c>
      <c r="C2457" s="1" t="str">
        <f ca="1">IFERROR(__xludf.DUMMYFUNCTION("""COMPUTED_VALUE"""),"custom-status")</f>
        <v>custom-status</v>
      </c>
      <c r="D2457" s="26">
        <f ca="1">IFERROR(__xludf.DUMMYFUNCTION("""COMPUTED_VALUE"""),50)</f>
        <v>50</v>
      </c>
      <c r="E2457" s="1" t="str">
        <f ca="1">IFERROR(__xludf.DUMMYFUNCTION("""COMPUTED_VALUE"""),"Erie North Shore Minor Hockey")</f>
        <v>Erie North Shore Minor Hockey</v>
      </c>
      <c r="F2457" s="87" t="str">
        <f t="shared" ca="1" si="0"/>
        <v>2024</v>
      </c>
      <c r="H2457" s="26" t="str">
        <f t="shared" si="1"/>
        <v/>
      </c>
      <c r="I2457" s="26" t="str">
        <f t="shared" si="2"/>
        <v/>
      </c>
      <c r="J2457" s="86">
        <f t="shared" ca="1" si="3"/>
        <v>45324</v>
      </c>
      <c r="R2457" s="26"/>
    </row>
    <row r="2458" spans="1:18" ht="15.75" customHeight="1">
      <c r="A2458" s="26">
        <f ca="1">IFERROR(__xludf.DUMMYFUNCTION("""COMPUTED_VALUE"""),22636)</f>
        <v>22636</v>
      </c>
      <c r="B2458" s="86">
        <f ca="1">IFERROR(__xludf.DUMMYFUNCTION("""COMPUTED_VALUE"""),45324.7950231481)</f>
        <v>45324.795023148101</v>
      </c>
      <c r="C2458" s="1" t="str">
        <f ca="1">IFERROR(__xludf.DUMMYFUNCTION("""COMPUTED_VALUE"""),"custom-status")</f>
        <v>custom-status</v>
      </c>
      <c r="D2458" s="26">
        <f ca="1">IFERROR(__xludf.DUMMYFUNCTION("""COMPUTED_VALUE"""),15)</f>
        <v>15</v>
      </c>
      <c r="E2458" s="1" t="str">
        <f ca="1">IFERROR(__xludf.DUMMYFUNCTION("""COMPUTED_VALUE"""),"Erie North Shore Minor Hockey")</f>
        <v>Erie North Shore Minor Hockey</v>
      </c>
      <c r="F2458" s="87" t="str">
        <f t="shared" ca="1" si="0"/>
        <v>2024</v>
      </c>
      <c r="H2458" s="26" t="str">
        <f t="shared" si="1"/>
        <v/>
      </c>
      <c r="I2458" s="26" t="str">
        <f t="shared" si="2"/>
        <v/>
      </c>
      <c r="J2458" s="86">
        <f t="shared" ca="1" si="3"/>
        <v>45324</v>
      </c>
      <c r="R2458" s="26"/>
    </row>
    <row r="2459" spans="1:18" ht="15.75" customHeight="1">
      <c r="A2459" s="26">
        <f ca="1">IFERROR(__xludf.DUMMYFUNCTION("""COMPUTED_VALUE"""),22635)</f>
        <v>22635</v>
      </c>
      <c r="B2459" s="86">
        <f ca="1">IFERROR(__xludf.DUMMYFUNCTION("""COMPUTED_VALUE"""),45324.7940393518)</f>
        <v>45324.7940393518</v>
      </c>
      <c r="C2459" s="1" t="str">
        <f ca="1">IFERROR(__xludf.DUMMYFUNCTION("""COMPUTED_VALUE"""),"custom-status")</f>
        <v>custom-status</v>
      </c>
      <c r="D2459" s="26">
        <f ca="1">IFERROR(__xludf.DUMMYFUNCTION("""COMPUTED_VALUE"""),25)</f>
        <v>25</v>
      </c>
      <c r="E2459" s="1" t="str">
        <f ca="1">IFERROR(__xludf.DUMMYFUNCTION("""COMPUTED_VALUE"""),"Erie North Shore Minor Hockey")</f>
        <v>Erie North Shore Minor Hockey</v>
      </c>
      <c r="F2459" s="87" t="str">
        <f t="shared" ca="1" si="0"/>
        <v>2024</v>
      </c>
      <c r="H2459" s="26" t="str">
        <f t="shared" si="1"/>
        <v/>
      </c>
      <c r="I2459" s="26" t="str">
        <f t="shared" si="2"/>
        <v/>
      </c>
      <c r="J2459" s="86">
        <f t="shared" ca="1" si="3"/>
        <v>45324</v>
      </c>
      <c r="R2459" s="26"/>
    </row>
    <row r="2460" spans="1:18" ht="15.75" customHeight="1">
      <c r="A2460" s="26">
        <f ca="1">IFERROR(__xludf.DUMMYFUNCTION("""COMPUTED_VALUE"""),22637)</f>
        <v>22637</v>
      </c>
      <c r="B2460" s="86">
        <f ca="1">IFERROR(__xludf.DUMMYFUNCTION("""COMPUTED_VALUE"""),45324.8135879629)</f>
        <v>45324.813587962897</v>
      </c>
      <c r="C2460" s="1" t="str">
        <f ca="1">IFERROR(__xludf.DUMMYFUNCTION("""COMPUTED_VALUE"""),"custom-status")</f>
        <v>custom-status</v>
      </c>
      <c r="D2460" s="26">
        <f ca="1">IFERROR(__xludf.DUMMYFUNCTION("""COMPUTED_VALUE"""),44)</f>
        <v>44</v>
      </c>
      <c r="E2460" s="1" t="str">
        <f ca="1">IFERROR(__xludf.DUMMYFUNCTION("""COMPUTED_VALUE"""),"Erie North Shore Minor Hockey")</f>
        <v>Erie North Shore Minor Hockey</v>
      </c>
      <c r="F2460" s="87" t="str">
        <f t="shared" ca="1" si="0"/>
        <v>2024</v>
      </c>
      <c r="H2460" s="26" t="str">
        <f t="shared" si="1"/>
        <v/>
      </c>
      <c r="I2460" s="26" t="str">
        <f t="shared" si="2"/>
        <v/>
      </c>
      <c r="J2460" s="86">
        <f t="shared" ca="1" si="3"/>
        <v>45324</v>
      </c>
      <c r="R2460" s="26"/>
    </row>
    <row r="2461" spans="1:18" ht="15.75" customHeight="1">
      <c r="A2461" s="26">
        <f ca="1">IFERROR(__xludf.DUMMYFUNCTION("""COMPUTED_VALUE"""),22638)</f>
        <v>22638</v>
      </c>
      <c r="B2461" s="86">
        <f ca="1">IFERROR(__xludf.DUMMYFUNCTION("""COMPUTED_VALUE"""),45324.8232060185)</f>
        <v>45324.823206018496</v>
      </c>
      <c r="C2461" s="1" t="str">
        <f ca="1">IFERROR(__xludf.DUMMYFUNCTION("""COMPUTED_VALUE"""),"custom-status")</f>
        <v>custom-status</v>
      </c>
      <c r="D2461" s="26">
        <f ca="1">IFERROR(__xludf.DUMMYFUNCTION("""COMPUTED_VALUE"""),35)</f>
        <v>35</v>
      </c>
      <c r="E2461" s="1" t="str">
        <f ca="1">IFERROR(__xludf.DUMMYFUNCTION("""COMPUTED_VALUE"""),"Erie North Shore Minor Hockey")</f>
        <v>Erie North Shore Minor Hockey</v>
      </c>
      <c r="F2461" s="87" t="str">
        <f t="shared" ca="1" si="0"/>
        <v>2024</v>
      </c>
      <c r="H2461" s="26" t="str">
        <f t="shared" si="1"/>
        <v/>
      </c>
      <c r="I2461" s="26" t="str">
        <f t="shared" si="2"/>
        <v/>
      </c>
      <c r="J2461" s="86">
        <f t="shared" ca="1" si="3"/>
        <v>45324</v>
      </c>
      <c r="R2461" s="26"/>
    </row>
    <row r="2462" spans="1:18" ht="15.75" customHeight="1">
      <c r="A2462" s="26">
        <f ca="1">IFERROR(__xludf.DUMMYFUNCTION("""COMPUTED_VALUE"""),22639)</f>
        <v>22639</v>
      </c>
      <c r="B2462" s="86">
        <f ca="1">IFERROR(__xludf.DUMMYFUNCTION("""COMPUTED_VALUE"""),45324.829849537)</f>
        <v>45324.829849537004</v>
      </c>
      <c r="C2462" s="1" t="str">
        <f ca="1">IFERROR(__xludf.DUMMYFUNCTION("""COMPUTED_VALUE"""),"custom-status")</f>
        <v>custom-status</v>
      </c>
      <c r="D2462" s="26">
        <f ca="1">IFERROR(__xludf.DUMMYFUNCTION("""COMPUTED_VALUE"""),48)</f>
        <v>48</v>
      </c>
      <c r="E2462" s="1" t="str">
        <f ca="1">IFERROR(__xludf.DUMMYFUNCTION("""COMPUTED_VALUE"""),"Erie North Shore Minor Hockey")</f>
        <v>Erie North Shore Minor Hockey</v>
      </c>
      <c r="F2462" s="87" t="str">
        <f t="shared" ca="1" si="0"/>
        <v>2024</v>
      </c>
      <c r="H2462" s="26" t="str">
        <f t="shared" si="1"/>
        <v/>
      </c>
      <c r="I2462" s="26" t="str">
        <f t="shared" si="2"/>
        <v/>
      </c>
      <c r="J2462" s="86">
        <f t="shared" ca="1" si="3"/>
        <v>45324</v>
      </c>
      <c r="R2462" s="26"/>
    </row>
    <row r="2463" spans="1:18" ht="15.75" customHeight="1">
      <c r="A2463" s="26">
        <f ca="1">IFERROR(__xludf.DUMMYFUNCTION("""COMPUTED_VALUE"""),22640)</f>
        <v>22640</v>
      </c>
      <c r="B2463" s="86">
        <f ca="1">IFERROR(__xludf.DUMMYFUNCTION("""COMPUTED_VALUE"""),45324.9421759259)</f>
        <v>45324.942175925898</v>
      </c>
      <c r="C2463" s="1" t="str">
        <f ca="1">IFERROR(__xludf.DUMMYFUNCTION("""COMPUTED_VALUE"""),"custom-status")</f>
        <v>custom-status</v>
      </c>
      <c r="D2463" s="26">
        <f ca="1">IFERROR(__xludf.DUMMYFUNCTION("""COMPUTED_VALUE"""),56)</f>
        <v>56</v>
      </c>
      <c r="E2463" s="1" t="str">
        <f ca="1">IFERROR(__xludf.DUMMYFUNCTION("""COMPUTED_VALUE"""),"Erie North Shore Minor Hockey")</f>
        <v>Erie North Shore Minor Hockey</v>
      </c>
      <c r="F2463" s="87" t="str">
        <f t="shared" ca="1" si="0"/>
        <v>2024</v>
      </c>
      <c r="H2463" s="26" t="str">
        <f t="shared" si="1"/>
        <v/>
      </c>
      <c r="I2463" s="26" t="str">
        <f t="shared" si="2"/>
        <v/>
      </c>
      <c r="J2463" s="86">
        <f t="shared" ca="1" si="3"/>
        <v>45324</v>
      </c>
      <c r="R2463" s="26"/>
    </row>
    <row r="2464" spans="1:18" ht="15.75" customHeight="1">
      <c r="A2464" s="26">
        <f ca="1">IFERROR(__xludf.DUMMYFUNCTION("""COMPUTED_VALUE"""),22641)</f>
        <v>22641</v>
      </c>
      <c r="B2464" s="86">
        <f ca="1">IFERROR(__xludf.DUMMYFUNCTION("""COMPUTED_VALUE"""),45325.3558217592)</f>
        <v>45325.3558217592</v>
      </c>
      <c r="C2464" s="1" t="str">
        <f ca="1">IFERROR(__xludf.DUMMYFUNCTION("""COMPUTED_VALUE"""),"custom-status")</f>
        <v>custom-status</v>
      </c>
      <c r="D2464" s="26">
        <f ca="1">IFERROR(__xludf.DUMMYFUNCTION("""COMPUTED_VALUE"""),40)</f>
        <v>40</v>
      </c>
      <c r="E2464" s="1" t="str">
        <f ca="1">IFERROR(__xludf.DUMMYFUNCTION("""COMPUTED_VALUE"""),"Erie North Shore Minor Hockey")</f>
        <v>Erie North Shore Minor Hockey</v>
      </c>
      <c r="F2464" s="87" t="str">
        <f t="shared" ca="1" si="0"/>
        <v>2024</v>
      </c>
      <c r="H2464" s="26" t="str">
        <f t="shared" si="1"/>
        <v/>
      </c>
      <c r="I2464" s="26" t="str">
        <f t="shared" si="2"/>
        <v/>
      </c>
      <c r="J2464" s="86">
        <f t="shared" ca="1" si="3"/>
        <v>45325</v>
      </c>
      <c r="R2464" s="26"/>
    </row>
    <row r="2465" spans="1:18" ht="15.75" customHeight="1">
      <c r="A2465" s="26">
        <f ca="1">IFERROR(__xludf.DUMMYFUNCTION("""COMPUTED_VALUE"""),22642)</f>
        <v>22642</v>
      </c>
      <c r="B2465" s="86">
        <f ca="1">IFERROR(__xludf.DUMMYFUNCTION("""COMPUTED_VALUE"""),45325.3725694444)</f>
        <v>45325.3725694444</v>
      </c>
      <c r="C2465" s="1" t="str">
        <f ca="1">IFERROR(__xludf.DUMMYFUNCTION("""COMPUTED_VALUE"""),"completed")</f>
        <v>completed</v>
      </c>
      <c r="D2465" s="26">
        <f ca="1">IFERROR(__xludf.DUMMYFUNCTION("""COMPUTED_VALUE"""),25)</f>
        <v>25</v>
      </c>
      <c r="E2465" s="1" t="str">
        <f ca="1">IFERROR(__xludf.DUMMYFUNCTION("""COMPUTED_VALUE"""),"Erie North Shore Minor Hockey")</f>
        <v>Erie North Shore Minor Hockey</v>
      </c>
      <c r="F2465" s="87" t="str">
        <f t="shared" ca="1" si="0"/>
        <v>2024</v>
      </c>
      <c r="H2465" s="26" t="str">
        <f t="shared" si="1"/>
        <v/>
      </c>
      <c r="I2465" s="26" t="str">
        <f t="shared" si="2"/>
        <v/>
      </c>
      <c r="J2465" s="86">
        <f t="shared" ca="1" si="3"/>
        <v>45325</v>
      </c>
      <c r="R2465" s="26"/>
    </row>
    <row r="2466" spans="1:18" ht="15.75" customHeight="1">
      <c r="A2466" s="26">
        <f ca="1">IFERROR(__xludf.DUMMYFUNCTION("""COMPUTED_VALUE"""),22644)</f>
        <v>22644</v>
      </c>
      <c r="B2466" s="86">
        <f ca="1">IFERROR(__xludf.DUMMYFUNCTION("""COMPUTED_VALUE"""),45325.4162962962)</f>
        <v>45325.4162962962</v>
      </c>
      <c r="C2466" s="1" t="str">
        <f ca="1">IFERROR(__xludf.DUMMYFUNCTION("""COMPUTED_VALUE"""),"custom-status")</f>
        <v>custom-status</v>
      </c>
      <c r="D2466" s="26">
        <f ca="1">IFERROR(__xludf.DUMMYFUNCTION("""COMPUTED_VALUE"""),15)</f>
        <v>15</v>
      </c>
      <c r="E2466" s="1" t="str">
        <f ca="1">IFERROR(__xludf.DUMMYFUNCTION("""COMPUTED_VALUE"""),"Erie North Shore Minor Hockey")</f>
        <v>Erie North Shore Minor Hockey</v>
      </c>
      <c r="F2466" s="87" t="str">
        <f t="shared" ca="1" si="0"/>
        <v>2024</v>
      </c>
      <c r="H2466" s="26" t="str">
        <f t="shared" si="1"/>
        <v/>
      </c>
      <c r="I2466" s="26" t="str">
        <f t="shared" si="2"/>
        <v/>
      </c>
      <c r="J2466" s="86">
        <f t="shared" ca="1" si="3"/>
        <v>45325</v>
      </c>
      <c r="R2466" s="26"/>
    </row>
    <row r="2467" spans="1:18" ht="15.75" customHeight="1">
      <c r="A2467" s="26">
        <f ca="1">IFERROR(__xludf.DUMMYFUNCTION("""COMPUTED_VALUE"""),22643)</f>
        <v>22643</v>
      </c>
      <c r="B2467" s="86">
        <f ca="1">IFERROR(__xludf.DUMMYFUNCTION("""COMPUTED_VALUE"""),45325.4160185185)</f>
        <v>45325.416018518503</v>
      </c>
      <c r="C2467" s="1" t="str">
        <f ca="1">IFERROR(__xludf.DUMMYFUNCTION("""COMPUTED_VALUE"""),"custom-status")</f>
        <v>custom-status</v>
      </c>
      <c r="D2467" s="26">
        <f ca="1">IFERROR(__xludf.DUMMYFUNCTION("""COMPUTED_VALUE"""),25)</f>
        <v>25</v>
      </c>
      <c r="E2467" s="1" t="str">
        <f ca="1">IFERROR(__xludf.DUMMYFUNCTION("""COMPUTED_VALUE"""),"Erie North Shore Minor Hockey")</f>
        <v>Erie North Shore Minor Hockey</v>
      </c>
      <c r="F2467" s="87" t="str">
        <f t="shared" ca="1" si="0"/>
        <v>2024</v>
      </c>
      <c r="H2467" s="26" t="str">
        <f t="shared" si="1"/>
        <v/>
      </c>
      <c r="I2467" s="26" t="str">
        <f t="shared" si="2"/>
        <v/>
      </c>
      <c r="J2467" s="86">
        <f t="shared" ca="1" si="3"/>
        <v>45325</v>
      </c>
      <c r="R2467" s="26"/>
    </row>
    <row r="2468" spans="1:18" ht="15.75" customHeight="1">
      <c r="A2468" s="26">
        <f ca="1">IFERROR(__xludf.DUMMYFUNCTION("""COMPUTED_VALUE"""),22645)</f>
        <v>22645</v>
      </c>
      <c r="B2468" s="86">
        <f ca="1">IFERROR(__xludf.DUMMYFUNCTION("""COMPUTED_VALUE"""),45325.4354398148)</f>
        <v>45325.435439814799</v>
      </c>
      <c r="C2468" s="1" t="str">
        <f ca="1">IFERROR(__xludf.DUMMYFUNCTION("""COMPUTED_VALUE"""),"custom-status")</f>
        <v>custom-status</v>
      </c>
      <c r="D2468" s="26">
        <f ca="1">IFERROR(__xludf.DUMMYFUNCTION("""COMPUTED_VALUE"""),26)</f>
        <v>26</v>
      </c>
      <c r="E2468" s="1" t="str">
        <f ca="1">IFERROR(__xludf.DUMMYFUNCTION("""COMPUTED_VALUE"""),"Erie North Shore Minor Hockey")</f>
        <v>Erie North Shore Minor Hockey</v>
      </c>
      <c r="F2468" s="87" t="str">
        <f t="shared" ca="1" si="0"/>
        <v>2024</v>
      </c>
      <c r="H2468" s="26" t="str">
        <f t="shared" si="1"/>
        <v/>
      </c>
      <c r="I2468" s="26" t="str">
        <f t="shared" si="2"/>
        <v/>
      </c>
      <c r="J2468" s="86">
        <f t="shared" ca="1" si="3"/>
        <v>45325</v>
      </c>
      <c r="R2468" s="26"/>
    </row>
    <row r="2469" spans="1:18" ht="15.75" customHeight="1">
      <c r="A2469" s="26">
        <f ca="1">IFERROR(__xludf.DUMMYFUNCTION("""COMPUTED_VALUE"""),22646)</f>
        <v>22646</v>
      </c>
      <c r="B2469" s="86">
        <f ca="1">IFERROR(__xludf.DUMMYFUNCTION("""COMPUTED_VALUE"""),45325.4413310185)</f>
        <v>45325.441331018497</v>
      </c>
      <c r="C2469" s="1" t="str">
        <f ca="1">IFERROR(__xludf.DUMMYFUNCTION("""COMPUTED_VALUE"""),"custom-status")</f>
        <v>custom-status</v>
      </c>
      <c r="D2469" s="26">
        <f ca="1">IFERROR(__xludf.DUMMYFUNCTION("""COMPUTED_VALUE"""),50)</f>
        <v>50</v>
      </c>
      <c r="E2469" s="1" t="str">
        <f ca="1">IFERROR(__xludf.DUMMYFUNCTION("""COMPUTED_VALUE"""),"Erie North Shore Minor Hockey")</f>
        <v>Erie North Shore Minor Hockey</v>
      </c>
      <c r="F2469" s="87" t="str">
        <f t="shared" ca="1" si="0"/>
        <v>2024</v>
      </c>
      <c r="H2469" s="26" t="str">
        <f t="shared" si="1"/>
        <v/>
      </c>
      <c r="I2469" s="26" t="str">
        <f t="shared" si="2"/>
        <v/>
      </c>
      <c r="J2469" s="86">
        <f t="shared" ca="1" si="3"/>
        <v>45325</v>
      </c>
      <c r="R2469" s="26"/>
    </row>
    <row r="2470" spans="1:18" ht="15.75" customHeight="1">
      <c r="A2470" s="26">
        <f ca="1">IFERROR(__xludf.DUMMYFUNCTION("""COMPUTED_VALUE"""),22647)</f>
        <v>22647</v>
      </c>
      <c r="B2470" s="86">
        <f ca="1">IFERROR(__xludf.DUMMYFUNCTION("""COMPUTED_VALUE"""),45325.4556134259)</f>
        <v>45325.455613425896</v>
      </c>
      <c r="C2470" s="1" t="str">
        <f ca="1">IFERROR(__xludf.DUMMYFUNCTION("""COMPUTED_VALUE"""),"custom-status")</f>
        <v>custom-status</v>
      </c>
      <c r="D2470" s="26">
        <f ca="1">IFERROR(__xludf.DUMMYFUNCTION("""COMPUTED_VALUE"""),25)</f>
        <v>25</v>
      </c>
      <c r="E2470" s="1" t="str">
        <f ca="1">IFERROR(__xludf.DUMMYFUNCTION("""COMPUTED_VALUE"""),"Erie North Shore Minor Hockey")</f>
        <v>Erie North Shore Minor Hockey</v>
      </c>
      <c r="F2470" s="87" t="str">
        <f t="shared" ca="1" si="0"/>
        <v>2024</v>
      </c>
      <c r="H2470" s="26" t="str">
        <f t="shared" si="1"/>
        <v/>
      </c>
      <c r="I2470" s="26" t="str">
        <f t="shared" si="2"/>
        <v/>
      </c>
      <c r="J2470" s="86">
        <f t="shared" ca="1" si="3"/>
        <v>45325</v>
      </c>
      <c r="R2470" s="26"/>
    </row>
    <row r="2471" spans="1:18" ht="15.75" customHeight="1">
      <c r="A2471" s="26">
        <f ca="1">IFERROR(__xludf.DUMMYFUNCTION("""COMPUTED_VALUE"""),22649)</f>
        <v>22649</v>
      </c>
      <c r="B2471" s="86">
        <f ca="1">IFERROR(__xludf.DUMMYFUNCTION("""COMPUTED_VALUE"""),45325.4643402777)</f>
        <v>45325.4643402777</v>
      </c>
      <c r="C2471" s="1" t="str">
        <f ca="1">IFERROR(__xludf.DUMMYFUNCTION("""COMPUTED_VALUE"""),"custom-status")</f>
        <v>custom-status</v>
      </c>
      <c r="D2471" s="26">
        <f ca="1">IFERROR(__xludf.DUMMYFUNCTION("""COMPUTED_VALUE"""),28)</f>
        <v>28</v>
      </c>
      <c r="E2471" s="1" t="str">
        <f ca="1">IFERROR(__xludf.DUMMYFUNCTION("""COMPUTED_VALUE"""),"Erie North Shore Minor Hockey")</f>
        <v>Erie North Shore Minor Hockey</v>
      </c>
      <c r="F2471" s="87" t="str">
        <f t="shared" ca="1" si="0"/>
        <v>2024</v>
      </c>
      <c r="H2471" s="26" t="str">
        <f t="shared" si="1"/>
        <v/>
      </c>
      <c r="I2471" s="26" t="str">
        <f t="shared" si="2"/>
        <v/>
      </c>
      <c r="J2471" s="86">
        <f t="shared" ca="1" si="3"/>
        <v>45325</v>
      </c>
      <c r="R2471" s="26"/>
    </row>
    <row r="2472" spans="1:18" ht="15.75" customHeight="1">
      <c r="A2472" s="26">
        <f ca="1">IFERROR(__xludf.DUMMYFUNCTION("""COMPUTED_VALUE"""),22648)</f>
        <v>22648</v>
      </c>
      <c r="B2472" s="86">
        <f ca="1">IFERROR(__xludf.DUMMYFUNCTION("""COMPUTED_VALUE"""),45325.4606481481)</f>
        <v>45325.460648148102</v>
      </c>
      <c r="C2472" s="1" t="str">
        <f ca="1">IFERROR(__xludf.DUMMYFUNCTION("""COMPUTED_VALUE"""),"custom-status")</f>
        <v>custom-status</v>
      </c>
      <c r="D2472" s="26">
        <f ca="1">IFERROR(__xludf.DUMMYFUNCTION("""COMPUTED_VALUE"""),28)</f>
        <v>28</v>
      </c>
      <c r="E2472" s="1" t="str">
        <f ca="1">IFERROR(__xludf.DUMMYFUNCTION("""COMPUTED_VALUE"""),"Erie North Shore Minor Hockey")</f>
        <v>Erie North Shore Minor Hockey</v>
      </c>
      <c r="F2472" s="87" t="str">
        <f t="shared" ca="1" si="0"/>
        <v>2024</v>
      </c>
      <c r="H2472" s="26" t="str">
        <f t="shared" si="1"/>
        <v/>
      </c>
      <c r="I2472" s="26" t="str">
        <f t="shared" si="2"/>
        <v/>
      </c>
      <c r="J2472" s="86">
        <f t="shared" ca="1" si="3"/>
        <v>45325</v>
      </c>
      <c r="R2472" s="26"/>
    </row>
    <row r="2473" spans="1:18" ht="15.75" customHeight="1">
      <c r="A2473" s="26">
        <f ca="1">IFERROR(__xludf.DUMMYFUNCTION("""COMPUTED_VALUE"""),22650)</f>
        <v>22650</v>
      </c>
      <c r="B2473" s="86">
        <f ca="1">IFERROR(__xludf.DUMMYFUNCTION("""COMPUTED_VALUE"""),45325.4777083333)</f>
        <v>45325.477708333303</v>
      </c>
      <c r="C2473" s="1" t="str">
        <f ca="1">IFERROR(__xludf.DUMMYFUNCTION("""COMPUTED_VALUE"""),"custom-status")</f>
        <v>custom-status</v>
      </c>
      <c r="D2473" s="26">
        <f ca="1">IFERROR(__xludf.DUMMYFUNCTION("""COMPUTED_VALUE"""),55)</f>
        <v>55</v>
      </c>
      <c r="E2473" s="1" t="str">
        <f ca="1">IFERROR(__xludf.DUMMYFUNCTION("""COMPUTED_VALUE"""),"Erie North Shore Minor Hockey")</f>
        <v>Erie North Shore Minor Hockey</v>
      </c>
      <c r="F2473" s="87" t="str">
        <f t="shared" ca="1" si="0"/>
        <v>2024</v>
      </c>
      <c r="H2473" s="26" t="str">
        <f t="shared" si="1"/>
        <v/>
      </c>
      <c r="I2473" s="26" t="str">
        <f t="shared" si="2"/>
        <v/>
      </c>
      <c r="J2473" s="86">
        <f t="shared" ca="1" si="3"/>
        <v>45325</v>
      </c>
      <c r="R2473" s="26"/>
    </row>
    <row r="2474" spans="1:18" ht="15.75" customHeight="1">
      <c r="A2474" s="26">
        <f ca="1">IFERROR(__xludf.DUMMYFUNCTION("""COMPUTED_VALUE"""),22651)</f>
        <v>22651</v>
      </c>
      <c r="B2474" s="86">
        <f ca="1">IFERROR(__xludf.DUMMYFUNCTION("""COMPUTED_VALUE"""),45325.5142013888)</f>
        <v>45325.514201388803</v>
      </c>
      <c r="C2474" s="1" t="str">
        <f ca="1">IFERROR(__xludf.DUMMYFUNCTION("""COMPUTED_VALUE"""),"custom-status")</f>
        <v>custom-status</v>
      </c>
      <c r="D2474" s="26">
        <f ca="1">IFERROR(__xludf.DUMMYFUNCTION("""COMPUTED_VALUE"""),35)</f>
        <v>35</v>
      </c>
      <c r="E2474" s="1" t="str">
        <f ca="1">IFERROR(__xludf.DUMMYFUNCTION("""COMPUTED_VALUE"""),"Erie North Shore Minor Hockey")</f>
        <v>Erie North Shore Minor Hockey</v>
      </c>
      <c r="F2474" s="87" t="str">
        <f t="shared" ca="1" si="0"/>
        <v>2024</v>
      </c>
      <c r="H2474" s="26" t="str">
        <f t="shared" si="1"/>
        <v/>
      </c>
      <c r="I2474" s="26" t="str">
        <f t="shared" si="2"/>
        <v/>
      </c>
      <c r="J2474" s="86">
        <f t="shared" ca="1" si="3"/>
        <v>45325</v>
      </c>
      <c r="R2474" s="26"/>
    </row>
    <row r="2475" spans="1:18" ht="15.75" customHeight="1">
      <c r="A2475" s="26">
        <f ca="1">IFERROR(__xludf.DUMMYFUNCTION("""COMPUTED_VALUE"""),22653)</f>
        <v>22653</v>
      </c>
      <c r="B2475" s="86">
        <f ca="1">IFERROR(__xludf.DUMMYFUNCTION("""COMPUTED_VALUE"""),45325.5388888888)</f>
        <v>45325.538888888797</v>
      </c>
      <c r="C2475" s="1" t="str">
        <f ca="1">IFERROR(__xludf.DUMMYFUNCTION("""COMPUTED_VALUE"""),"custom-status")</f>
        <v>custom-status</v>
      </c>
      <c r="D2475" s="26">
        <f ca="1">IFERROR(__xludf.DUMMYFUNCTION("""COMPUTED_VALUE"""),15)</f>
        <v>15</v>
      </c>
      <c r="E2475" s="1" t="str">
        <f ca="1">IFERROR(__xludf.DUMMYFUNCTION("""COMPUTED_VALUE"""),"Erie North Shore Minor Hockey")</f>
        <v>Erie North Shore Minor Hockey</v>
      </c>
      <c r="F2475" s="87" t="str">
        <f t="shared" ca="1" si="0"/>
        <v>2024</v>
      </c>
      <c r="H2475" s="26" t="str">
        <f t="shared" si="1"/>
        <v/>
      </c>
      <c r="I2475" s="26" t="str">
        <f t="shared" si="2"/>
        <v/>
      </c>
      <c r="J2475" s="86">
        <f t="shared" ca="1" si="3"/>
        <v>45325</v>
      </c>
      <c r="R2475" s="26"/>
    </row>
    <row r="2476" spans="1:18" ht="15.75" customHeight="1">
      <c r="A2476" s="26">
        <f ca="1">IFERROR(__xludf.DUMMYFUNCTION("""COMPUTED_VALUE"""),22652)</f>
        <v>22652</v>
      </c>
      <c r="B2476" s="86">
        <f ca="1">IFERROR(__xludf.DUMMYFUNCTION("""COMPUTED_VALUE"""),45325.5388657407)</f>
        <v>45325.538865740702</v>
      </c>
      <c r="C2476" s="1" t="str">
        <f ca="1">IFERROR(__xludf.DUMMYFUNCTION("""COMPUTED_VALUE"""),"custom-status")</f>
        <v>custom-status</v>
      </c>
      <c r="D2476" s="26">
        <f ca="1">IFERROR(__xludf.DUMMYFUNCTION("""COMPUTED_VALUE"""),44)</f>
        <v>44</v>
      </c>
      <c r="E2476" s="1" t="str">
        <f ca="1">IFERROR(__xludf.DUMMYFUNCTION("""COMPUTED_VALUE"""),"Erie North Shore Minor Hockey")</f>
        <v>Erie North Shore Minor Hockey</v>
      </c>
      <c r="F2476" s="87" t="str">
        <f t="shared" ca="1" si="0"/>
        <v>2024</v>
      </c>
      <c r="H2476" s="26" t="str">
        <f t="shared" si="1"/>
        <v/>
      </c>
      <c r="I2476" s="26" t="str">
        <f t="shared" si="2"/>
        <v/>
      </c>
      <c r="J2476" s="86">
        <f t="shared" ca="1" si="3"/>
        <v>45325</v>
      </c>
      <c r="R2476" s="26"/>
    </row>
    <row r="2477" spans="1:18" ht="15.75" customHeight="1">
      <c r="A2477" s="26">
        <f ca="1">IFERROR(__xludf.DUMMYFUNCTION("""COMPUTED_VALUE"""),22654)</f>
        <v>22654</v>
      </c>
      <c r="B2477" s="86">
        <f ca="1">IFERROR(__xludf.DUMMYFUNCTION("""COMPUTED_VALUE"""),45325.5441550925)</f>
        <v>45325.544155092502</v>
      </c>
      <c r="C2477" s="1" t="str">
        <f ca="1">IFERROR(__xludf.DUMMYFUNCTION("""COMPUTED_VALUE"""),"custom-status")</f>
        <v>custom-status</v>
      </c>
      <c r="D2477" s="26">
        <f ca="1">IFERROR(__xludf.DUMMYFUNCTION("""COMPUTED_VALUE"""),22)</f>
        <v>22</v>
      </c>
      <c r="E2477" s="1" t="str">
        <f ca="1">IFERROR(__xludf.DUMMYFUNCTION("""COMPUTED_VALUE"""),"Erie North Shore Minor Hockey")</f>
        <v>Erie North Shore Minor Hockey</v>
      </c>
      <c r="F2477" s="87" t="str">
        <f t="shared" ca="1" si="0"/>
        <v>2024</v>
      </c>
      <c r="H2477" s="26" t="str">
        <f t="shared" si="1"/>
        <v/>
      </c>
      <c r="I2477" s="26" t="str">
        <f t="shared" si="2"/>
        <v/>
      </c>
      <c r="J2477" s="86">
        <f t="shared" ca="1" si="3"/>
        <v>45325</v>
      </c>
      <c r="R2477" s="26"/>
    </row>
    <row r="2478" spans="1:18" ht="15.75" customHeight="1">
      <c r="A2478" s="26">
        <f ca="1">IFERROR(__xludf.DUMMYFUNCTION("""COMPUTED_VALUE"""),22655)</f>
        <v>22655</v>
      </c>
      <c r="B2478" s="86">
        <f ca="1">IFERROR(__xludf.DUMMYFUNCTION("""COMPUTED_VALUE"""),45325.5484375)</f>
        <v>45325.548437500001</v>
      </c>
      <c r="C2478" s="1" t="str">
        <f ca="1">IFERROR(__xludf.DUMMYFUNCTION("""COMPUTED_VALUE"""),"custom-status")</f>
        <v>custom-status</v>
      </c>
      <c r="D2478" s="26">
        <f ca="1">IFERROR(__xludf.DUMMYFUNCTION("""COMPUTED_VALUE"""),25)</f>
        <v>25</v>
      </c>
      <c r="E2478" s="1" t="str">
        <f ca="1">IFERROR(__xludf.DUMMYFUNCTION("""COMPUTED_VALUE"""),"Erie North Shore Minor Hockey")</f>
        <v>Erie North Shore Minor Hockey</v>
      </c>
      <c r="F2478" s="87" t="str">
        <f t="shared" ca="1" si="0"/>
        <v>2024</v>
      </c>
      <c r="H2478" s="26" t="str">
        <f t="shared" si="1"/>
        <v/>
      </c>
      <c r="I2478" s="26" t="str">
        <f t="shared" si="2"/>
        <v/>
      </c>
      <c r="J2478" s="86">
        <f t="shared" ca="1" si="3"/>
        <v>45325</v>
      </c>
      <c r="R2478" s="26"/>
    </row>
    <row r="2479" spans="1:18" ht="15.75" customHeight="1">
      <c r="A2479" s="26">
        <f ca="1">IFERROR(__xludf.DUMMYFUNCTION("""COMPUTED_VALUE"""),22656)</f>
        <v>22656</v>
      </c>
      <c r="B2479" s="86">
        <f ca="1">IFERROR(__xludf.DUMMYFUNCTION("""COMPUTED_VALUE"""),45325.5614583333)</f>
        <v>45325.561458333301</v>
      </c>
      <c r="C2479" s="1" t="str">
        <f ca="1">IFERROR(__xludf.DUMMYFUNCTION("""COMPUTED_VALUE"""),"completed")</f>
        <v>completed</v>
      </c>
      <c r="D2479" s="26">
        <f ca="1">IFERROR(__xludf.DUMMYFUNCTION("""COMPUTED_VALUE"""),25)</f>
        <v>25</v>
      </c>
      <c r="E2479" s="1" t="str">
        <f ca="1">IFERROR(__xludf.DUMMYFUNCTION("""COMPUTED_VALUE"""),"Erie North Shore Minor Hockey")</f>
        <v>Erie North Shore Minor Hockey</v>
      </c>
      <c r="F2479" s="87" t="str">
        <f t="shared" ca="1" si="0"/>
        <v>2024</v>
      </c>
      <c r="H2479" s="26" t="str">
        <f t="shared" si="1"/>
        <v/>
      </c>
      <c r="I2479" s="26" t="str">
        <f t="shared" si="2"/>
        <v/>
      </c>
      <c r="J2479" s="86">
        <f t="shared" ca="1" si="3"/>
        <v>45325</v>
      </c>
      <c r="R2479" s="26"/>
    </row>
    <row r="2480" spans="1:18" ht="15.75" customHeight="1">
      <c r="A2480" s="26">
        <f ca="1">IFERROR(__xludf.DUMMYFUNCTION("""COMPUTED_VALUE"""),22657)</f>
        <v>22657</v>
      </c>
      <c r="B2480" s="86">
        <f ca="1">IFERROR(__xludf.DUMMYFUNCTION("""COMPUTED_VALUE"""),45325.5740162037)</f>
        <v>45325.574016203696</v>
      </c>
      <c r="C2480" s="1" t="str">
        <f ca="1">IFERROR(__xludf.DUMMYFUNCTION("""COMPUTED_VALUE"""),"custom-status")</f>
        <v>custom-status</v>
      </c>
      <c r="D2480" s="26">
        <f ca="1">IFERROR(__xludf.DUMMYFUNCTION("""COMPUTED_VALUE"""),28)</f>
        <v>28</v>
      </c>
      <c r="E2480" s="1" t="str">
        <f ca="1">IFERROR(__xludf.DUMMYFUNCTION("""COMPUTED_VALUE"""),"Erie North Shore Minor Hockey")</f>
        <v>Erie North Shore Minor Hockey</v>
      </c>
      <c r="F2480" s="87" t="str">
        <f t="shared" ca="1" si="0"/>
        <v>2024</v>
      </c>
      <c r="H2480" s="26" t="str">
        <f t="shared" si="1"/>
        <v/>
      </c>
      <c r="I2480" s="26" t="str">
        <f t="shared" si="2"/>
        <v/>
      </c>
      <c r="J2480" s="86">
        <f t="shared" ca="1" si="3"/>
        <v>45325</v>
      </c>
      <c r="R2480" s="26"/>
    </row>
    <row r="2481" spans="1:18" ht="15.75" customHeight="1">
      <c r="A2481" s="26">
        <f ca="1">IFERROR(__xludf.DUMMYFUNCTION("""COMPUTED_VALUE"""),22658)</f>
        <v>22658</v>
      </c>
      <c r="B2481" s="86">
        <f ca="1">IFERROR(__xludf.DUMMYFUNCTION("""COMPUTED_VALUE"""),45325.5848032407)</f>
        <v>45325.584803240701</v>
      </c>
      <c r="C2481" s="1" t="str">
        <f ca="1">IFERROR(__xludf.DUMMYFUNCTION("""COMPUTED_VALUE"""),"custom-status")</f>
        <v>custom-status</v>
      </c>
      <c r="D2481" s="26">
        <f ca="1">IFERROR(__xludf.DUMMYFUNCTION("""COMPUTED_VALUE"""),15)</f>
        <v>15</v>
      </c>
      <c r="E2481" s="1" t="str">
        <f ca="1">IFERROR(__xludf.DUMMYFUNCTION("""COMPUTED_VALUE"""),"Erie North Shore Minor Hockey")</f>
        <v>Erie North Shore Minor Hockey</v>
      </c>
      <c r="F2481" s="87" t="str">
        <f t="shared" ca="1" si="0"/>
        <v>2024</v>
      </c>
      <c r="H2481" s="26" t="str">
        <f t="shared" si="1"/>
        <v/>
      </c>
      <c r="I2481" s="26" t="str">
        <f t="shared" si="2"/>
        <v/>
      </c>
      <c r="J2481" s="86">
        <f t="shared" ca="1" si="3"/>
        <v>45325</v>
      </c>
      <c r="R2481" s="26"/>
    </row>
    <row r="2482" spans="1:18" ht="15.75" customHeight="1">
      <c r="A2482" s="26">
        <f ca="1">IFERROR(__xludf.DUMMYFUNCTION("""COMPUTED_VALUE"""),22660)</f>
        <v>22660</v>
      </c>
      <c r="B2482" s="86">
        <f ca="1">IFERROR(__xludf.DUMMYFUNCTION("""COMPUTED_VALUE"""),45325.6783564814)</f>
        <v>45325.678356481403</v>
      </c>
      <c r="C2482" s="1" t="str">
        <f ca="1">IFERROR(__xludf.DUMMYFUNCTION("""COMPUTED_VALUE"""),"custom-status")</f>
        <v>custom-status</v>
      </c>
      <c r="D2482" s="26">
        <f ca="1">IFERROR(__xludf.DUMMYFUNCTION("""COMPUTED_VALUE"""),41)</f>
        <v>41</v>
      </c>
      <c r="E2482" s="1" t="str">
        <f ca="1">IFERROR(__xludf.DUMMYFUNCTION("""COMPUTED_VALUE"""),"Erie North Shore Minor Hockey")</f>
        <v>Erie North Shore Minor Hockey</v>
      </c>
      <c r="F2482" s="87" t="str">
        <f t="shared" ca="1" si="0"/>
        <v>2024</v>
      </c>
      <c r="H2482" s="26" t="str">
        <f t="shared" si="1"/>
        <v/>
      </c>
      <c r="I2482" s="26" t="str">
        <f t="shared" si="2"/>
        <v/>
      </c>
      <c r="J2482" s="86">
        <f t="shared" ca="1" si="3"/>
        <v>45325</v>
      </c>
      <c r="R2482" s="26"/>
    </row>
    <row r="2483" spans="1:18" ht="15.75" customHeight="1">
      <c r="A2483" s="26">
        <f ca="1">IFERROR(__xludf.DUMMYFUNCTION("""COMPUTED_VALUE"""),22659)</f>
        <v>22659</v>
      </c>
      <c r="B2483" s="86">
        <f ca="1">IFERROR(__xludf.DUMMYFUNCTION("""COMPUTED_VALUE"""),45325.6730902777)</f>
        <v>45325.673090277698</v>
      </c>
      <c r="C2483" s="1" t="str">
        <f ca="1">IFERROR(__xludf.DUMMYFUNCTION("""COMPUTED_VALUE"""),"custom-status")</f>
        <v>custom-status</v>
      </c>
      <c r="D2483" s="26">
        <f ca="1">IFERROR(__xludf.DUMMYFUNCTION("""COMPUTED_VALUE"""),22)</f>
        <v>22</v>
      </c>
      <c r="E2483" s="1" t="str">
        <f ca="1">IFERROR(__xludf.DUMMYFUNCTION("""COMPUTED_VALUE"""),"Erie North Shore Minor Hockey")</f>
        <v>Erie North Shore Minor Hockey</v>
      </c>
      <c r="F2483" s="87" t="str">
        <f t="shared" ca="1" si="0"/>
        <v>2024</v>
      </c>
      <c r="H2483" s="26" t="str">
        <f t="shared" si="1"/>
        <v/>
      </c>
      <c r="I2483" s="26" t="str">
        <f t="shared" si="2"/>
        <v/>
      </c>
      <c r="J2483" s="86">
        <f t="shared" ca="1" si="3"/>
        <v>45325</v>
      </c>
      <c r="R2483" s="26"/>
    </row>
    <row r="2484" spans="1:18" ht="15.75" customHeight="1">
      <c r="A2484" s="26">
        <f ca="1">IFERROR(__xludf.DUMMYFUNCTION("""COMPUTED_VALUE"""),22661)</f>
        <v>22661</v>
      </c>
      <c r="B2484" s="86">
        <f ca="1">IFERROR(__xludf.DUMMYFUNCTION("""COMPUTED_VALUE"""),45325.6799074074)</f>
        <v>45325.679907407401</v>
      </c>
      <c r="C2484" s="1" t="str">
        <f ca="1">IFERROR(__xludf.DUMMYFUNCTION("""COMPUTED_VALUE"""),"custom-status")</f>
        <v>custom-status</v>
      </c>
      <c r="D2484" s="26">
        <f ca="1">IFERROR(__xludf.DUMMYFUNCTION("""COMPUTED_VALUE"""),26)</f>
        <v>26</v>
      </c>
      <c r="E2484" s="1" t="str">
        <f ca="1">IFERROR(__xludf.DUMMYFUNCTION("""COMPUTED_VALUE"""),"Erie North Shore Minor Hockey")</f>
        <v>Erie North Shore Minor Hockey</v>
      </c>
      <c r="F2484" s="87" t="str">
        <f t="shared" ca="1" si="0"/>
        <v>2024</v>
      </c>
      <c r="H2484" s="26" t="str">
        <f t="shared" si="1"/>
        <v/>
      </c>
      <c r="I2484" s="26" t="str">
        <f t="shared" si="2"/>
        <v/>
      </c>
      <c r="J2484" s="86">
        <f t="shared" ca="1" si="3"/>
        <v>45325</v>
      </c>
      <c r="R2484" s="26"/>
    </row>
    <row r="2485" spans="1:18" ht="15.75" customHeight="1">
      <c r="A2485" s="26">
        <f ca="1">IFERROR(__xludf.DUMMYFUNCTION("""COMPUTED_VALUE"""),22662)</f>
        <v>22662</v>
      </c>
      <c r="B2485" s="86">
        <f ca="1">IFERROR(__xludf.DUMMYFUNCTION("""COMPUTED_VALUE"""),45325.8219560185)</f>
        <v>45325.821956018503</v>
      </c>
      <c r="C2485" s="1" t="str">
        <f ca="1">IFERROR(__xludf.DUMMYFUNCTION("""COMPUTED_VALUE"""),"custom-status")</f>
        <v>custom-status</v>
      </c>
      <c r="D2485" s="26">
        <f ca="1">IFERROR(__xludf.DUMMYFUNCTION("""COMPUTED_VALUE"""),70)</f>
        <v>70</v>
      </c>
      <c r="E2485" s="1" t="str">
        <f ca="1">IFERROR(__xludf.DUMMYFUNCTION("""COMPUTED_VALUE"""),"Erie North Shore Minor Hockey")</f>
        <v>Erie North Shore Minor Hockey</v>
      </c>
      <c r="F2485" s="87" t="str">
        <f t="shared" ca="1" si="0"/>
        <v>2024</v>
      </c>
      <c r="H2485" s="26" t="str">
        <f t="shared" si="1"/>
        <v/>
      </c>
      <c r="I2485" s="26" t="str">
        <f t="shared" si="2"/>
        <v/>
      </c>
      <c r="J2485" s="86">
        <f t="shared" ca="1" si="3"/>
        <v>45325</v>
      </c>
      <c r="R2485" s="26"/>
    </row>
    <row r="2486" spans="1:18" ht="15.75" customHeight="1">
      <c r="A2486" s="26">
        <f ca="1">IFERROR(__xludf.DUMMYFUNCTION("""COMPUTED_VALUE"""),22663)</f>
        <v>22663</v>
      </c>
      <c r="B2486" s="86">
        <f ca="1">IFERROR(__xludf.DUMMYFUNCTION("""COMPUTED_VALUE"""),45325.8716319444)</f>
        <v>45325.871631944399</v>
      </c>
      <c r="C2486" s="1" t="str">
        <f ca="1">IFERROR(__xludf.DUMMYFUNCTION("""COMPUTED_VALUE"""),"custom-status")</f>
        <v>custom-status</v>
      </c>
      <c r="D2486" s="26">
        <f ca="1">IFERROR(__xludf.DUMMYFUNCTION("""COMPUTED_VALUE"""),98)</f>
        <v>98</v>
      </c>
      <c r="E2486" s="1" t="str">
        <f ca="1">IFERROR(__xludf.DUMMYFUNCTION("""COMPUTED_VALUE"""),"Erie North Shore Minor Hockey")</f>
        <v>Erie North Shore Minor Hockey</v>
      </c>
      <c r="F2486" s="87" t="str">
        <f t="shared" ca="1" si="0"/>
        <v>2024</v>
      </c>
      <c r="H2486" s="26" t="str">
        <f t="shared" si="1"/>
        <v/>
      </c>
      <c r="I2486" s="26" t="str">
        <f t="shared" si="2"/>
        <v/>
      </c>
      <c r="J2486" s="86">
        <f t="shared" ca="1" si="3"/>
        <v>45325</v>
      </c>
      <c r="R2486" s="26"/>
    </row>
    <row r="2487" spans="1:18" ht="15.75" customHeight="1">
      <c r="A2487" s="26">
        <f ca="1">IFERROR(__xludf.DUMMYFUNCTION("""COMPUTED_VALUE"""),22303)</f>
        <v>22303</v>
      </c>
      <c r="B2487" s="86">
        <f ca="1">IFERROR(__xludf.DUMMYFUNCTION("""COMPUTED_VALUE"""),45311.4128703703)</f>
        <v>45311.412870370303</v>
      </c>
      <c r="C2487" s="1" t="str">
        <f ca="1">IFERROR(__xludf.DUMMYFUNCTION("""COMPUTED_VALUE"""),"completed")</f>
        <v>completed</v>
      </c>
      <c r="D2487" s="26">
        <f ca="1">IFERROR(__xludf.DUMMYFUNCTION("""COMPUTED_VALUE"""),0)</f>
        <v>0</v>
      </c>
      <c r="E2487" s="1" t="str">
        <f ca="1">IFERROR(__xludf.DUMMYFUNCTION("""COMPUTED_VALUE"""),"Windsor AAA Zone Hockey")</f>
        <v>Windsor AAA Zone Hockey</v>
      </c>
      <c r="F2487" s="87" t="str">
        <f t="shared" ca="1" si="0"/>
        <v>2024</v>
      </c>
      <c r="H2487" s="26" t="str">
        <f t="shared" si="1"/>
        <v/>
      </c>
      <c r="I2487" s="26" t="str">
        <f t="shared" si="2"/>
        <v/>
      </c>
      <c r="J2487" s="86">
        <f t="shared" ca="1" si="3"/>
        <v>45311</v>
      </c>
      <c r="R2487" s="26"/>
    </row>
    <row r="2488" spans="1:18" ht="15.75" customHeight="1">
      <c r="A2488" s="26">
        <f ca="1">IFERROR(__xludf.DUMMYFUNCTION("""COMPUTED_VALUE"""),22664)</f>
        <v>22664</v>
      </c>
      <c r="B2488" s="86">
        <f ca="1">IFERROR(__xludf.DUMMYFUNCTION("""COMPUTED_VALUE"""),45326.3694212962)</f>
        <v>45326.3694212962</v>
      </c>
      <c r="C2488" s="1" t="str">
        <f ca="1">IFERROR(__xludf.DUMMYFUNCTION("""COMPUTED_VALUE"""),"custom-status")</f>
        <v>custom-status</v>
      </c>
      <c r="D2488" s="26">
        <f ca="1">IFERROR(__xludf.DUMMYFUNCTION("""COMPUTED_VALUE"""),22)</f>
        <v>22</v>
      </c>
      <c r="E2488" s="1" t="str">
        <f ca="1">IFERROR(__xludf.DUMMYFUNCTION("""COMPUTED_VALUE"""),"Erie North Shore Minor Hockey")</f>
        <v>Erie North Shore Minor Hockey</v>
      </c>
      <c r="F2488" s="87" t="str">
        <f t="shared" ca="1" si="0"/>
        <v>2024</v>
      </c>
      <c r="H2488" s="26" t="str">
        <f t="shared" si="1"/>
        <v/>
      </c>
      <c r="I2488" s="26" t="str">
        <f t="shared" si="2"/>
        <v/>
      </c>
      <c r="J2488" s="86">
        <f t="shared" ca="1" si="3"/>
        <v>45326</v>
      </c>
      <c r="R2488" s="26"/>
    </row>
    <row r="2489" spans="1:18" ht="15.75" customHeight="1">
      <c r="A2489" s="26">
        <f ca="1">IFERROR(__xludf.DUMMYFUNCTION("""COMPUTED_VALUE"""),22665)</f>
        <v>22665</v>
      </c>
      <c r="B2489" s="86">
        <f ca="1">IFERROR(__xludf.DUMMYFUNCTION("""COMPUTED_VALUE"""),45326.519386574)</f>
        <v>45326.519386574</v>
      </c>
      <c r="C2489" s="1" t="str">
        <f ca="1">IFERROR(__xludf.DUMMYFUNCTION("""COMPUTED_VALUE"""),"custom-status")</f>
        <v>custom-status</v>
      </c>
      <c r="D2489" s="26">
        <f ca="1">IFERROR(__xludf.DUMMYFUNCTION("""COMPUTED_VALUE"""),15)</f>
        <v>15</v>
      </c>
      <c r="E2489" s="1" t="str">
        <f ca="1">IFERROR(__xludf.DUMMYFUNCTION("""COMPUTED_VALUE"""),"Erie North Shore Minor Hockey")</f>
        <v>Erie North Shore Minor Hockey</v>
      </c>
      <c r="F2489" s="87" t="str">
        <f t="shared" ca="1" si="0"/>
        <v>2024</v>
      </c>
      <c r="H2489" s="26" t="str">
        <f t="shared" si="1"/>
        <v/>
      </c>
      <c r="I2489" s="26" t="str">
        <f t="shared" si="2"/>
        <v/>
      </c>
      <c r="J2489" s="86">
        <f t="shared" ca="1" si="3"/>
        <v>45326</v>
      </c>
      <c r="R2489" s="26"/>
    </row>
    <row r="2490" spans="1:18" ht="15.75" customHeight="1">
      <c r="A2490" s="26">
        <f ca="1">IFERROR(__xludf.DUMMYFUNCTION("""COMPUTED_VALUE"""),22667)</f>
        <v>22667</v>
      </c>
      <c r="B2490" s="86">
        <f ca="1">IFERROR(__xludf.DUMMYFUNCTION("""COMPUTED_VALUE"""),45326.5737847222)</f>
        <v>45326.573784722197</v>
      </c>
      <c r="C2490" s="1" t="str">
        <f ca="1">IFERROR(__xludf.DUMMYFUNCTION("""COMPUTED_VALUE"""),"custom-status")</f>
        <v>custom-status</v>
      </c>
      <c r="D2490" s="26">
        <f ca="1">IFERROR(__xludf.DUMMYFUNCTION("""COMPUTED_VALUE"""),26)</f>
        <v>26</v>
      </c>
      <c r="E2490" s="1" t="str">
        <f ca="1">IFERROR(__xludf.DUMMYFUNCTION("""COMPUTED_VALUE"""),"Erie North Shore Minor Hockey")</f>
        <v>Erie North Shore Minor Hockey</v>
      </c>
      <c r="F2490" s="87" t="str">
        <f t="shared" ca="1" si="0"/>
        <v>2024</v>
      </c>
      <c r="H2490" s="26" t="str">
        <f t="shared" si="1"/>
        <v/>
      </c>
      <c r="I2490" s="26" t="str">
        <f t="shared" si="2"/>
        <v/>
      </c>
      <c r="J2490" s="86">
        <f t="shared" ca="1" si="3"/>
        <v>45326</v>
      </c>
      <c r="R2490" s="26"/>
    </row>
    <row r="2491" spans="1:18" ht="15.75" customHeight="1">
      <c r="A2491" s="26">
        <f ca="1">IFERROR(__xludf.DUMMYFUNCTION("""COMPUTED_VALUE"""),22666)</f>
        <v>22666</v>
      </c>
      <c r="B2491" s="86">
        <f ca="1">IFERROR(__xludf.DUMMYFUNCTION("""COMPUTED_VALUE"""),45326.5710069444)</f>
        <v>45326.571006944403</v>
      </c>
      <c r="C2491" s="1" t="str">
        <f ca="1">IFERROR(__xludf.DUMMYFUNCTION("""COMPUTED_VALUE"""),"custom-status")</f>
        <v>custom-status</v>
      </c>
      <c r="D2491" s="26">
        <f ca="1">IFERROR(__xludf.DUMMYFUNCTION("""COMPUTED_VALUE"""),52)</f>
        <v>52</v>
      </c>
      <c r="E2491" s="1" t="str">
        <f ca="1">IFERROR(__xludf.DUMMYFUNCTION("""COMPUTED_VALUE"""),"Erie North Shore Minor Hockey")</f>
        <v>Erie North Shore Minor Hockey</v>
      </c>
      <c r="F2491" s="87" t="str">
        <f t="shared" ca="1" si="0"/>
        <v>2024</v>
      </c>
      <c r="H2491" s="26" t="str">
        <f t="shared" si="1"/>
        <v/>
      </c>
      <c r="I2491" s="26" t="str">
        <f t="shared" si="2"/>
        <v/>
      </c>
      <c r="J2491" s="86">
        <f t="shared" ca="1" si="3"/>
        <v>45326</v>
      </c>
      <c r="R2491" s="26"/>
    </row>
    <row r="2492" spans="1:18" ht="15.75" customHeight="1">
      <c r="A2492" s="26">
        <f ca="1">IFERROR(__xludf.DUMMYFUNCTION("""COMPUTED_VALUE"""),22668)</f>
        <v>22668</v>
      </c>
      <c r="B2492" s="86">
        <f ca="1">IFERROR(__xludf.DUMMYFUNCTION("""COMPUTED_VALUE"""),45326.6781712963)</f>
        <v>45326.678171296298</v>
      </c>
      <c r="C2492" s="1" t="str">
        <f ca="1">IFERROR(__xludf.DUMMYFUNCTION("""COMPUTED_VALUE"""),"custom-status")</f>
        <v>custom-status</v>
      </c>
      <c r="D2492" s="26">
        <f ca="1">IFERROR(__xludf.DUMMYFUNCTION("""COMPUTED_VALUE"""),35)</f>
        <v>35</v>
      </c>
      <c r="E2492" s="1" t="str">
        <f ca="1">IFERROR(__xludf.DUMMYFUNCTION("""COMPUTED_VALUE"""),"Windsor AAA Zone Hockey")</f>
        <v>Windsor AAA Zone Hockey</v>
      </c>
      <c r="F2492" s="87" t="str">
        <f t="shared" ca="1" si="0"/>
        <v>2024</v>
      </c>
      <c r="H2492" s="26" t="str">
        <f t="shared" si="1"/>
        <v/>
      </c>
      <c r="I2492" s="26" t="str">
        <f t="shared" si="2"/>
        <v/>
      </c>
      <c r="J2492" s="86">
        <f t="shared" ca="1" si="3"/>
        <v>45326</v>
      </c>
      <c r="R2492" s="26"/>
    </row>
    <row r="2493" spans="1:18" ht="15.75" customHeight="1">
      <c r="A2493" s="26">
        <f ca="1">IFERROR(__xludf.DUMMYFUNCTION("""COMPUTED_VALUE"""),22669)</f>
        <v>22669</v>
      </c>
      <c r="B2493" s="86">
        <f ca="1">IFERROR(__xludf.DUMMYFUNCTION("""COMPUTED_VALUE"""),45326.6914004629)</f>
        <v>45326.6914004629</v>
      </c>
      <c r="C2493" s="1" t="str">
        <f ca="1">IFERROR(__xludf.DUMMYFUNCTION("""COMPUTED_VALUE"""),"custom-status")</f>
        <v>custom-status</v>
      </c>
      <c r="D2493" s="26">
        <f ca="1">IFERROR(__xludf.DUMMYFUNCTION("""COMPUTED_VALUE"""),18)</f>
        <v>18</v>
      </c>
      <c r="E2493" s="1" t="str">
        <f ca="1">IFERROR(__xludf.DUMMYFUNCTION("""COMPUTED_VALUE"""),"Erie North Shore Minor Hockey")</f>
        <v>Erie North Shore Minor Hockey</v>
      </c>
      <c r="F2493" s="87" t="str">
        <f t="shared" ca="1" si="0"/>
        <v>2024</v>
      </c>
      <c r="H2493" s="26" t="str">
        <f t="shared" si="1"/>
        <v/>
      </c>
      <c r="I2493" s="26" t="str">
        <f t="shared" si="2"/>
        <v/>
      </c>
      <c r="J2493" s="86">
        <f t="shared" ca="1" si="3"/>
        <v>45326</v>
      </c>
      <c r="R2493" s="26"/>
    </row>
    <row r="2494" spans="1:18" ht="15.75" customHeight="1">
      <c r="A2494" s="26">
        <f ca="1">IFERROR(__xludf.DUMMYFUNCTION("""COMPUTED_VALUE"""),22670)</f>
        <v>22670</v>
      </c>
      <c r="B2494" s="86">
        <f ca="1">IFERROR(__xludf.DUMMYFUNCTION("""COMPUTED_VALUE"""),45326.7637152777)</f>
        <v>45326.763715277702</v>
      </c>
      <c r="C2494" s="1" t="str">
        <f ca="1">IFERROR(__xludf.DUMMYFUNCTION("""COMPUTED_VALUE"""),"custom-status")</f>
        <v>custom-status</v>
      </c>
      <c r="D2494" s="26">
        <f ca="1">IFERROR(__xludf.DUMMYFUNCTION("""COMPUTED_VALUE"""),61)</f>
        <v>61</v>
      </c>
      <c r="E2494" s="1" t="str">
        <f ca="1">IFERROR(__xludf.DUMMYFUNCTION("""COMPUTED_VALUE"""),"Erie North Shore Minor Hockey")</f>
        <v>Erie North Shore Minor Hockey</v>
      </c>
      <c r="F2494" s="87" t="str">
        <f t="shared" ca="1" si="0"/>
        <v>2024</v>
      </c>
      <c r="H2494" s="26" t="str">
        <f t="shared" si="1"/>
        <v/>
      </c>
      <c r="I2494" s="26" t="str">
        <f t="shared" si="2"/>
        <v/>
      </c>
      <c r="J2494" s="86">
        <f t="shared" ca="1" si="3"/>
        <v>45326</v>
      </c>
      <c r="R2494" s="26"/>
    </row>
    <row r="2495" spans="1:18" ht="15.75" customHeight="1">
      <c r="A2495" s="26">
        <f ca="1">IFERROR(__xludf.DUMMYFUNCTION("""COMPUTED_VALUE"""),22671)</f>
        <v>22671</v>
      </c>
      <c r="B2495" s="86">
        <f ca="1">IFERROR(__xludf.DUMMYFUNCTION("""COMPUTED_VALUE"""),45326.8426851851)</f>
        <v>45326.842685185104</v>
      </c>
      <c r="C2495" s="1" t="str">
        <f ca="1">IFERROR(__xludf.DUMMYFUNCTION("""COMPUTED_VALUE"""),"custom-status")</f>
        <v>custom-status</v>
      </c>
      <c r="D2495" s="26">
        <f ca="1">IFERROR(__xludf.DUMMYFUNCTION("""COMPUTED_VALUE"""),26)</f>
        <v>26</v>
      </c>
      <c r="E2495" s="1" t="str">
        <f ca="1">IFERROR(__xludf.DUMMYFUNCTION("""COMPUTED_VALUE"""),"Erie North Shore Minor Hockey")</f>
        <v>Erie North Shore Minor Hockey</v>
      </c>
      <c r="F2495" s="87" t="str">
        <f t="shared" ca="1" si="0"/>
        <v>2024</v>
      </c>
      <c r="H2495" s="26" t="str">
        <f t="shared" si="1"/>
        <v/>
      </c>
      <c r="I2495" s="26" t="str">
        <f t="shared" si="2"/>
        <v/>
      </c>
      <c r="J2495" s="86">
        <f t="shared" ca="1" si="3"/>
        <v>45326</v>
      </c>
      <c r="R2495" s="26"/>
    </row>
    <row r="2496" spans="1:18" ht="15.75" customHeight="1">
      <c r="A2496" s="26">
        <f ca="1">IFERROR(__xludf.DUMMYFUNCTION("""COMPUTED_VALUE"""),22672)</f>
        <v>22672</v>
      </c>
      <c r="B2496" s="86">
        <f ca="1">IFERROR(__xludf.DUMMYFUNCTION("""COMPUTED_VALUE"""),45326.8532754629)</f>
        <v>45326.853275462898</v>
      </c>
      <c r="C2496" s="1" t="str">
        <f ca="1">IFERROR(__xludf.DUMMYFUNCTION("""COMPUTED_VALUE"""),"custom-status")</f>
        <v>custom-status</v>
      </c>
      <c r="D2496" s="26">
        <f ca="1">IFERROR(__xludf.DUMMYFUNCTION("""COMPUTED_VALUE"""),25)</f>
        <v>25</v>
      </c>
      <c r="E2496" s="1" t="str">
        <f ca="1">IFERROR(__xludf.DUMMYFUNCTION("""COMPUTED_VALUE"""),"Erie North Shore Minor Hockey")</f>
        <v>Erie North Shore Minor Hockey</v>
      </c>
      <c r="F2496" s="87" t="str">
        <f t="shared" ca="1" si="0"/>
        <v>2024</v>
      </c>
      <c r="H2496" s="26" t="str">
        <f t="shared" si="1"/>
        <v/>
      </c>
      <c r="I2496" s="26" t="str">
        <f t="shared" si="2"/>
        <v/>
      </c>
      <c r="J2496" s="86">
        <f t="shared" ca="1" si="3"/>
        <v>45326</v>
      </c>
      <c r="R2496" s="26"/>
    </row>
    <row r="2497" spans="1:18" ht="15.75" customHeight="1">
      <c r="A2497" s="26">
        <f ca="1">IFERROR(__xludf.DUMMYFUNCTION("""COMPUTED_VALUE"""),22673)</f>
        <v>22673</v>
      </c>
      <c r="B2497" s="86">
        <f ca="1">IFERROR(__xludf.DUMMYFUNCTION("""COMPUTED_VALUE"""),45326.8702314814)</f>
        <v>45326.8702314814</v>
      </c>
      <c r="C2497" s="1" t="str">
        <f ca="1">IFERROR(__xludf.DUMMYFUNCTION("""COMPUTED_VALUE"""),"custom-status")</f>
        <v>custom-status</v>
      </c>
      <c r="D2497" s="26">
        <f ca="1">IFERROR(__xludf.DUMMYFUNCTION("""COMPUTED_VALUE"""),42)</f>
        <v>42</v>
      </c>
      <c r="E2497" s="1" t="str">
        <f ca="1">IFERROR(__xludf.DUMMYFUNCTION("""COMPUTED_VALUE"""),"Windsor AAA Zone Hockey")</f>
        <v>Windsor AAA Zone Hockey</v>
      </c>
      <c r="F2497" s="87" t="str">
        <f t="shared" ca="1" si="0"/>
        <v>2024</v>
      </c>
      <c r="H2497" s="26" t="str">
        <f t="shared" si="1"/>
        <v/>
      </c>
      <c r="I2497" s="26" t="str">
        <f t="shared" si="2"/>
        <v/>
      </c>
      <c r="J2497" s="86">
        <f t="shared" ca="1" si="3"/>
        <v>45326</v>
      </c>
      <c r="R2497" s="26"/>
    </row>
    <row r="2498" spans="1:18" ht="15.75" customHeight="1">
      <c r="A2498" s="26">
        <f ca="1">IFERROR(__xludf.DUMMYFUNCTION("""COMPUTED_VALUE"""),22674)</f>
        <v>22674</v>
      </c>
      <c r="B2498" s="86">
        <f ca="1">IFERROR(__xludf.DUMMYFUNCTION("""COMPUTED_VALUE"""),45326.8860648148)</f>
        <v>45326.886064814797</v>
      </c>
      <c r="C2498" s="1" t="str">
        <f ca="1">IFERROR(__xludf.DUMMYFUNCTION("""COMPUTED_VALUE"""),"completed")</f>
        <v>completed</v>
      </c>
      <c r="D2498" s="26">
        <f ca="1">IFERROR(__xludf.DUMMYFUNCTION("""COMPUTED_VALUE"""),25)</f>
        <v>25</v>
      </c>
      <c r="E2498" s="1" t="str">
        <f ca="1">IFERROR(__xludf.DUMMYFUNCTION("""COMPUTED_VALUE"""),"Erie North Shore Minor Hockey")</f>
        <v>Erie North Shore Minor Hockey</v>
      </c>
      <c r="F2498" s="87" t="str">
        <f t="shared" ca="1" si="0"/>
        <v>2024</v>
      </c>
      <c r="H2498" s="26" t="str">
        <f t="shared" si="1"/>
        <v/>
      </c>
      <c r="I2498" s="26" t="str">
        <f t="shared" si="2"/>
        <v/>
      </c>
      <c r="J2498" s="86">
        <f t="shared" ca="1" si="3"/>
        <v>45326</v>
      </c>
      <c r="R2498" s="26"/>
    </row>
    <row r="2499" spans="1:18" ht="15.75" customHeight="1">
      <c r="A2499" s="26">
        <f ca="1">IFERROR(__xludf.DUMMYFUNCTION("""COMPUTED_VALUE"""),22675)</f>
        <v>22675</v>
      </c>
      <c r="B2499" s="86">
        <f ca="1">IFERROR(__xludf.DUMMYFUNCTION("""COMPUTED_VALUE"""),45326.8885069444)</f>
        <v>45326.8885069444</v>
      </c>
      <c r="C2499" s="1" t="str">
        <f ca="1">IFERROR(__xludf.DUMMYFUNCTION("""COMPUTED_VALUE"""),"completed")</f>
        <v>completed</v>
      </c>
      <c r="D2499" s="26">
        <f ca="1">IFERROR(__xludf.DUMMYFUNCTION("""COMPUTED_VALUE"""),25)</f>
        <v>25</v>
      </c>
      <c r="E2499" s="1" t="str">
        <f ca="1">IFERROR(__xludf.DUMMYFUNCTION("""COMPUTED_VALUE"""),"Erie North Shore Minor Hockey")</f>
        <v>Erie North Shore Minor Hockey</v>
      </c>
      <c r="F2499" s="87" t="str">
        <f t="shared" ca="1" si="0"/>
        <v>2024</v>
      </c>
      <c r="H2499" s="26" t="str">
        <f t="shared" si="1"/>
        <v/>
      </c>
      <c r="I2499" s="26" t="str">
        <f t="shared" si="2"/>
        <v/>
      </c>
      <c r="J2499" s="86">
        <f t="shared" ca="1" si="3"/>
        <v>45326</v>
      </c>
      <c r="R2499" s="26"/>
    </row>
    <row r="2500" spans="1:18" ht="15.75" customHeight="1">
      <c r="A2500" s="26">
        <f ca="1">IFERROR(__xludf.DUMMYFUNCTION("""COMPUTED_VALUE"""),22676)</f>
        <v>22676</v>
      </c>
      <c r="B2500" s="86">
        <f ca="1">IFERROR(__xludf.DUMMYFUNCTION("""COMPUTED_VALUE"""),45327.4243287037)</f>
        <v>45327.424328703702</v>
      </c>
      <c r="C2500" s="1" t="str">
        <f ca="1">IFERROR(__xludf.DUMMYFUNCTION("""COMPUTED_VALUE"""),"custom-status")</f>
        <v>custom-status</v>
      </c>
      <c r="D2500" s="26">
        <f ca="1">IFERROR(__xludf.DUMMYFUNCTION("""COMPUTED_VALUE"""),55)</f>
        <v>55</v>
      </c>
      <c r="E2500" s="1" t="str">
        <f ca="1">IFERROR(__xludf.DUMMYFUNCTION("""COMPUTED_VALUE"""),"Erie North Shore Minor Hockey")</f>
        <v>Erie North Shore Minor Hockey</v>
      </c>
      <c r="F2500" s="87" t="str">
        <f t="shared" ca="1" si="0"/>
        <v>2024</v>
      </c>
      <c r="H2500" s="26" t="str">
        <f t="shared" si="1"/>
        <v/>
      </c>
      <c r="I2500" s="26" t="str">
        <f t="shared" si="2"/>
        <v/>
      </c>
      <c r="J2500" s="86">
        <f t="shared" ca="1" si="3"/>
        <v>45327</v>
      </c>
      <c r="R2500" s="26"/>
    </row>
    <row r="2501" spans="1:18" ht="15.75" customHeight="1">
      <c r="A2501" s="26">
        <f ca="1">IFERROR(__xludf.DUMMYFUNCTION("""COMPUTED_VALUE"""),22677)</f>
        <v>22677</v>
      </c>
      <c r="B2501" s="86">
        <f ca="1">IFERROR(__xludf.DUMMYFUNCTION("""COMPUTED_VALUE"""),45327.4417824074)</f>
        <v>45327.441782407397</v>
      </c>
      <c r="C2501" s="1" t="str">
        <f ca="1">IFERROR(__xludf.DUMMYFUNCTION("""COMPUTED_VALUE"""),"custom-status")</f>
        <v>custom-status</v>
      </c>
      <c r="D2501" s="26">
        <f ca="1">IFERROR(__xludf.DUMMYFUNCTION("""COMPUTED_VALUE"""),33)</f>
        <v>33</v>
      </c>
      <c r="E2501" s="1" t="str">
        <f ca="1">IFERROR(__xludf.DUMMYFUNCTION("""COMPUTED_VALUE"""),"Erie North Shore Minor Hockey")</f>
        <v>Erie North Shore Minor Hockey</v>
      </c>
      <c r="F2501" s="87" t="str">
        <f t="shared" ca="1" si="0"/>
        <v>2024</v>
      </c>
      <c r="H2501" s="26" t="str">
        <f t="shared" si="1"/>
        <v/>
      </c>
      <c r="I2501" s="26" t="str">
        <f t="shared" si="2"/>
        <v/>
      </c>
      <c r="J2501" s="86">
        <f t="shared" ca="1" si="3"/>
        <v>45327</v>
      </c>
      <c r="R2501" s="26"/>
    </row>
    <row r="2502" spans="1:18" ht="15.75" customHeight="1">
      <c r="A2502" s="26">
        <f ca="1">IFERROR(__xludf.DUMMYFUNCTION("""COMPUTED_VALUE"""),22678)</f>
        <v>22678</v>
      </c>
      <c r="B2502" s="86">
        <f ca="1">IFERROR(__xludf.DUMMYFUNCTION("""COMPUTED_VALUE"""),45327.4773263888)</f>
        <v>45327.477326388798</v>
      </c>
      <c r="C2502" s="1" t="str">
        <f ca="1">IFERROR(__xludf.DUMMYFUNCTION("""COMPUTED_VALUE"""),"custom-status")</f>
        <v>custom-status</v>
      </c>
      <c r="D2502" s="26">
        <f ca="1">IFERROR(__xludf.DUMMYFUNCTION("""COMPUTED_VALUE"""),51)</f>
        <v>51</v>
      </c>
      <c r="E2502" s="1" t="str">
        <f ca="1">IFERROR(__xludf.DUMMYFUNCTION("""COMPUTED_VALUE"""),"Erie North Shore Minor Hockey")</f>
        <v>Erie North Shore Minor Hockey</v>
      </c>
      <c r="F2502" s="87" t="str">
        <f t="shared" ca="1" si="0"/>
        <v>2024</v>
      </c>
      <c r="H2502" s="26" t="str">
        <f t="shared" si="1"/>
        <v/>
      </c>
      <c r="I2502" s="26" t="str">
        <f t="shared" si="2"/>
        <v/>
      </c>
      <c r="J2502" s="86">
        <f t="shared" ca="1" si="3"/>
        <v>45327</v>
      </c>
      <c r="R2502" s="26"/>
    </row>
    <row r="2503" spans="1:18" ht="15.75" customHeight="1">
      <c r="A2503" s="26">
        <f ca="1">IFERROR(__xludf.DUMMYFUNCTION("""COMPUTED_VALUE"""),22680)</f>
        <v>22680</v>
      </c>
      <c r="B2503" s="86">
        <f ca="1">IFERROR(__xludf.DUMMYFUNCTION("""COMPUTED_VALUE"""),45327.5093402777)</f>
        <v>45327.509340277698</v>
      </c>
      <c r="C2503" s="1" t="str">
        <f ca="1">IFERROR(__xludf.DUMMYFUNCTION("""COMPUTED_VALUE"""),"completed")</f>
        <v>completed</v>
      </c>
      <c r="D2503" s="26">
        <f ca="1">IFERROR(__xludf.DUMMYFUNCTION("""COMPUTED_VALUE"""),0)</f>
        <v>0</v>
      </c>
      <c r="E2503" s="1" t="str">
        <f ca="1">IFERROR(__xludf.DUMMYFUNCTION("""COMPUTED_VALUE"""),"Erie North Shore Minor Hockey")</f>
        <v>Erie North Shore Minor Hockey</v>
      </c>
      <c r="F2503" s="87" t="str">
        <f t="shared" ca="1" si="0"/>
        <v>2024</v>
      </c>
      <c r="H2503" s="26" t="str">
        <f t="shared" si="1"/>
        <v/>
      </c>
      <c r="I2503" s="26" t="str">
        <f t="shared" si="2"/>
        <v/>
      </c>
      <c r="J2503" s="86">
        <f t="shared" ca="1" si="3"/>
        <v>45327</v>
      </c>
      <c r="R2503" s="26"/>
    </row>
    <row r="2504" spans="1:18" ht="15.75" customHeight="1">
      <c r="A2504" s="26">
        <f ca="1">IFERROR(__xludf.DUMMYFUNCTION("""COMPUTED_VALUE"""),22679)</f>
        <v>22679</v>
      </c>
      <c r="B2504" s="86">
        <f ca="1">IFERROR(__xludf.DUMMYFUNCTION("""COMPUTED_VALUE"""),45327.5069560185)</f>
        <v>45327.5069560185</v>
      </c>
      <c r="C2504" s="1" t="str">
        <f ca="1">IFERROR(__xludf.DUMMYFUNCTION("""COMPUTED_VALUE"""),"custom-status")</f>
        <v>custom-status</v>
      </c>
      <c r="D2504" s="26">
        <f ca="1">IFERROR(__xludf.DUMMYFUNCTION("""COMPUTED_VALUE"""),35)</f>
        <v>35</v>
      </c>
      <c r="E2504" s="1" t="str">
        <f ca="1">IFERROR(__xludf.DUMMYFUNCTION("""COMPUTED_VALUE"""),"Erie North Shore Minor Hockey")</f>
        <v>Erie North Shore Minor Hockey</v>
      </c>
      <c r="F2504" s="87" t="str">
        <f t="shared" ca="1" si="0"/>
        <v>2024</v>
      </c>
      <c r="H2504" s="26" t="str">
        <f t="shared" si="1"/>
        <v/>
      </c>
      <c r="I2504" s="26" t="str">
        <f t="shared" si="2"/>
        <v/>
      </c>
      <c r="J2504" s="86">
        <f t="shared" ca="1" si="3"/>
        <v>45327</v>
      </c>
      <c r="R2504" s="26"/>
    </row>
    <row r="2505" spans="1:18" ht="15.75" customHeight="1">
      <c r="A2505" s="26">
        <f ca="1">IFERROR(__xludf.DUMMYFUNCTION("""COMPUTED_VALUE"""),22681)</f>
        <v>22681</v>
      </c>
      <c r="B2505" s="86">
        <f ca="1">IFERROR(__xludf.DUMMYFUNCTION("""COMPUTED_VALUE"""),45327.5550694444)</f>
        <v>45327.555069444403</v>
      </c>
      <c r="C2505" s="1" t="str">
        <f ca="1">IFERROR(__xludf.DUMMYFUNCTION("""COMPUTED_VALUE"""),"completed")</f>
        <v>completed</v>
      </c>
      <c r="D2505" s="26">
        <f ca="1">IFERROR(__xludf.DUMMYFUNCTION("""COMPUTED_VALUE"""),22)</f>
        <v>22</v>
      </c>
      <c r="E2505" s="1" t="str">
        <f ca="1">IFERROR(__xludf.DUMMYFUNCTION("""COMPUTED_VALUE"""),"Erie North Shore Minor Hockey")</f>
        <v>Erie North Shore Minor Hockey</v>
      </c>
      <c r="F2505" s="87" t="str">
        <f t="shared" ca="1" si="0"/>
        <v>2024</v>
      </c>
      <c r="H2505" s="26" t="str">
        <f t="shared" si="1"/>
        <v/>
      </c>
      <c r="I2505" s="26" t="str">
        <f t="shared" si="2"/>
        <v/>
      </c>
      <c r="J2505" s="86">
        <f t="shared" ca="1" si="3"/>
        <v>45327</v>
      </c>
      <c r="R2505" s="26"/>
    </row>
    <row r="2506" spans="1:18" ht="15.75" customHeight="1">
      <c r="A2506" s="26">
        <f ca="1">IFERROR(__xludf.DUMMYFUNCTION("""COMPUTED_VALUE"""),22682)</f>
        <v>22682</v>
      </c>
      <c r="B2506" s="86">
        <f ca="1">IFERROR(__xludf.DUMMYFUNCTION("""COMPUTED_VALUE"""),45327.6436342592)</f>
        <v>45327.643634259199</v>
      </c>
      <c r="C2506" s="1" t="str">
        <f ca="1">IFERROR(__xludf.DUMMYFUNCTION("""COMPUTED_VALUE"""),"completed")</f>
        <v>completed</v>
      </c>
      <c r="D2506" s="26">
        <f ca="1">IFERROR(__xludf.DUMMYFUNCTION("""COMPUTED_VALUE"""),33)</f>
        <v>33</v>
      </c>
      <c r="E2506" s="1" t="str">
        <f ca="1">IFERROR(__xludf.DUMMYFUNCTION("""COMPUTED_VALUE"""),"Erie North Shore Minor Hockey")</f>
        <v>Erie North Shore Minor Hockey</v>
      </c>
      <c r="F2506" s="87" t="str">
        <f t="shared" ca="1" si="0"/>
        <v>2024</v>
      </c>
      <c r="H2506" s="26" t="str">
        <f t="shared" si="1"/>
        <v/>
      </c>
      <c r="I2506" s="26" t="str">
        <f t="shared" si="2"/>
        <v/>
      </c>
      <c r="J2506" s="86">
        <f t="shared" ca="1" si="3"/>
        <v>45327</v>
      </c>
      <c r="R2506" s="26"/>
    </row>
    <row r="2507" spans="1:18" ht="15.75" customHeight="1">
      <c r="A2507" s="26">
        <f ca="1">IFERROR(__xludf.DUMMYFUNCTION("""COMPUTED_VALUE"""),22683)</f>
        <v>22683</v>
      </c>
      <c r="B2507" s="86">
        <f ca="1">IFERROR(__xludf.DUMMYFUNCTION("""COMPUTED_VALUE"""),45327.6992592592)</f>
        <v>45327.6992592592</v>
      </c>
      <c r="C2507" s="1" t="str">
        <f ca="1">IFERROR(__xludf.DUMMYFUNCTION("""COMPUTED_VALUE"""),"completed")</f>
        <v>completed</v>
      </c>
      <c r="D2507" s="26">
        <f ca="1">IFERROR(__xludf.DUMMYFUNCTION("""COMPUTED_VALUE"""),35)</f>
        <v>35</v>
      </c>
      <c r="E2507" s="1" t="str">
        <f ca="1">IFERROR(__xludf.DUMMYFUNCTION("""COMPUTED_VALUE"""),"Erie North Shore Minor Hockey")</f>
        <v>Erie North Shore Minor Hockey</v>
      </c>
      <c r="F2507" s="87" t="str">
        <f t="shared" ca="1" si="0"/>
        <v>2024</v>
      </c>
      <c r="H2507" s="26" t="str">
        <f t="shared" si="1"/>
        <v/>
      </c>
      <c r="I2507" s="26" t="str">
        <f t="shared" si="2"/>
        <v/>
      </c>
      <c r="J2507" s="86">
        <f t="shared" ca="1" si="3"/>
        <v>45327</v>
      </c>
      <c r="R2507" s="26"/>
    </row>
    <row r="2508" spans="1:18" ht="15.75" customHeight="1">
      <c r="A2508" s="26">
        <f ca="1">IFERROR(__xludf.DUMMYFUNCTION("""COMPUTED_VALUE"""),22684)</f>
        <v>22684</v>
      </c>
      <c r="B2508" s="86">
        <f ca="1">IFERROR(__xludf.DUMMYFUNCTION("""COMPUTED_VALUE"""),45327.8114236111)</f>
        <v>45327.8114236111</v>
      </c>
      <c r="C2508" s="1" t="str">
        <f ca="1">IFERROR(__xludf.DUMMYFUNCTION("""COMPUTED_VALUE"""),"custom-status")</f>
        <v>custom-status</v>
      </c>
      <c r="D2508" s="26">
        <f ca="1">IFERROR(__xludf.DUMMYFUNCTION("""COMPUTED_VALUE"""),42)</f>
        <v>42</v>
      </c>
      <c r="E2508" s="1" t="str">
        <f ca="1">IFERROR(__xludf.DUMMYFUNCTION("""COMPUTED_VALUE"""),"Erie North Shore Minor Hockey")</f>
        <v>Erie North Shore Minor Hockey</v>
      </c>
      <c r="F2508" s="87" t="str">
        <f t="shared" ca="1" si="0"/>
        <v>2024</v>
      </c>
      <c r="H2508" s="26" t="str">
        <f t="shared" si="1"/>
        <v/>
      </c>
      <c r="I2508" s="26" t="str">
        <f t="shared" si="2"/>
        <v/>
      </c>
      <c r="J2508" s="86">
        <f t="shared" ca="1" si="3"/>
        <v>45327</v>
      </c>
      <c r="R2508" s="26"/>
    </row>
    <row r="2509" spans="1:18" ht="15.75" customHeight="1">
      <c r="A2509" s="26">
        <f ca="1">IFERROR(__xludf.DUMMYFUNCTION("""COMPUTED_VALUE"""),22685)</f>
        <v>22685</v>
      </c>
      <c r="B2509" s="86">
        <f ca="1">IFERROR(__xludf.DUMMYFUNCTION("""COMPUTED_VALUE"""),45327.8163657407)</f>
        <v>45327.816365740699</v>
      </c>
      <c r="C2509" s="1" t="str">
        <f ca="1">IFERROR(__xludf.DUMMYFUNCTION("""COMPUTED_VALUE"""),"custom-status")</f>
        <v>custom-status</v>
      </c>
      <c r="D2509" s="26">
        <f ca="1">IFERROR(__xludf.DUMMYFUNCTION("""COMPUTED_VALUE"""),47)</f>
        <v>47</v>
      </c>
      <c r="E2509" s="1" t="str">
        <f ca="1">IFERROR(__xludf.DUMMYFUNCTION("""COMPUTED_VALUE"""),"Erie North Shore Minor Hockey")</f>
        <v>Erie North Shore Minor Hockey</v>
      </c>
      <c r="F2509" s="87" t="str">
        <f t="shared" ca="1" si="0"/>
        <v>2024</v>
      </c>
      <c r="H2509" s="26" t="str">
        <f t="shared" si="1"/>
        <v/>
      </c>
      <c r="I2509" s="26" t="str">
        <f t="shared" si="2"/>
        <v/>
      </c>
      <c r="J2509" s="86">
        <f t="shared" ca="1" si="3"/>
        <v>45327</v>
      </c>
      <c r="R2509" s="26"/>
    </row>
    <row r="2510" spans="1:18" ht="15.75" customHeight="1">
      <c r="A2510" s="26">
        <f ca="1">IFERROR(__xludf.DUMMYFUNCTION("""COMPUTED_VALUE"""),22687)</f>
        <v>22687</v>
      </c>
      <c r="B2510" s="86">
        <f ca="1">IFERROR(__xludf.DUMMYFUNCTION("""COMPUTED_VALUE"""),45327.8221296296)</f>
        <v>45327.822129629603</v>
      </c>
      <c r="C2510" s="1" t="str">
        <f ca="1">IFERROR(__xludf.DUMMYFUNCTION("""COMPUTED_VALUE"""),"completed")</f>
        <v>completed</v>
      </c>
      <c r="D2510" s="26">
        <f ca="1">IFERROR(__xludf.DUMMYFUNCTION("""COMPUTED_VALUE"""),120)</f>
        <v>120</v>
      </c>
      <c r="E2510" s="1" t="str">
        <f ca="1">IFERROR(__xludf.DUMMYFUNCTION("""COMPUTED_VALUE"""),"Erie North Shore Minor Hockey")</f>
        <v>Erie North Shore Minor Hockey</v>
      </c>
      <c r="F2510" s="87" t="str">
        <f t="shared" ca="1" si="0"/>
        <v>2024</v>
      </c>
      <c r="H2510" s="26" t="str">
        <f t="shared" si="1"/>
        <v/>
      </c>
      <c r="I2510" s="26" t="str">
        <f t="shared" si="2"/>
        <v/>
      </c>
      <c r="J2510" s="86">
        <f t="shared" ca="1" si="3"/>
        <v>45327</v>
      </c>
      <c r="R2510" s="26"/>
    </row>
    <row r="2511" spans="1:18" ht="15.75" customHeight="1">
      <c r="A2511" s="26">
        <f ca="1">IFERROR(__xludf.DUMMYFUNCTION("""COMPUTED_VALUE"""),22686)</f>
        <v>22686</v>
      </c>
      <c r="B2511" s="86">
        <f ca="1">IFERROR(__xludf.DUMMYFUNCTION("""COMPUTED_VALUE"""),45327.8211921296)</f>
        <v>45327.821192129602</v>
      </c>
      <c r="C2511" s="1" t="str">
        <f ca="1">IFERROR(__xludf.DUMMYFUNCTION("""COMPUTED_VALUE"""),"custom-status")</f>
        <v>custom-status</v>
      </c>
      <c r="D2511" s="26">
        <f ca="1">IFERROR(__xludf.DUMMYFUNCTION("""COMPUTED_VALUE"""),26)</f>
        <v>26</v>
      </c>
      <c r="E2511" s="1" t="str">
        <f ca="1">IFERROR(__xludf.DUMMYFUNCTION("""COMPUTED_VALUE"""),"Erie North Shore Minor Hockey")</f>
        <v>Erie North Shore Minor Hockey</v>
      </c>
      <c r="F2511" s="87" t="str">
        <f t="shared" ca="1" si="0"/>
        <v>2024</v>
      </c>
      <c r="H2511" s="26" t="str">
        <f t="shared" si="1"/>
        <v/>
      </c>
      <c r="I2511" s="26" t="str">
        <f t="shared" si="2"/>
        <v/>
      </c>
      <c r="J2511" s="86">
        <f t="shared" ca="1" si="3"/>
        <v>45327</v>
      </c>
      <c r="R2511" s="26"/>
    </row>
    <row r="2512" spans="1:18" ht="15.75" customHeight="1">
      <c r="A2512" s="26">
        <f ca="1">IFERROR(__xludf.DUMMYFUNCTION("""COMPUTED_VALUE"""),22689)</f>
        <v>22689</v>
      </c>
      <c r="B2512" s="86">
        <f ca="1">IFERROR(__xludf.DUMMYFUNCTION("""COMPUTED_VALUE"""),45327.8463888888)</f>
        <v>45327.8463888888</v>
      </c>
      <c r="C2512" s="1" t="str">
        <f ca="1">IFERROR(__xludf.DUMMYFUNCTION("""COMPUTED_VALUE"""),"custom-status")</f>
        <v>custom-status</v>
      </c>
      <c r="D2512" s="26">
        <f ca="1">IFERROR(__xludf.DUMMYFUNCTION("""COMPUTED_VALUE"""),46)</f>
        <v>46</v>
      </c>
      <c r="E2512" s="1" t="str">
        <f ca="1">IFERROR(__xludf.DUMMYFUNCTION("""COMPUTED_VALUE"""),"Erie North Shore Minor Hockey")</f>
        <v>Erie North Shore Minor Hockey</v>
      </c>
      <c r="F2512" s="87" t="str">
        <f t="shared" ca="1" si="0"/>
        <v>2024</v>
      </c>
      <c r="H2512" s="26" t="str">
        <f t="shared" si="1"/>
        <v/>
      </c>
      <c r="I2512" s="26" t="str">
        <f t="shared" si="2"/>
        <v/>
      </c>
      <c r="J2512" s="86">
        <f t="shared" ca="1" si="3"/>
        <v>45327</v>
      </c>
      <c r="R2512" s="26"/>
    </row>
    <row r="2513" spans="1:18" ht="15.75" customHeight="1">
      <c r="A2513" s="26">
        <f ca="1">IFERROR(__xludf.DUMMYFUNCTION("""COMPUTED_VALUE"""),22688)</f>
        <v>22688</v>
      </c>
      <c r="B2513" s="86">
        <f ca="1">IFERROR(__xludf.DUMMYFUNCTION("""COMPUTED_VALUE"""),45327.8463541666)</f>
        <v>45327.846354166599</v>
      </c>
      <c r="C2513" s="1" t="str">
        <f ca="1">IFERROR(__xludf.DUMMYFUNCTION("""COMPUTED_VALUE"""),"completed")</f>
        <v>completed</v>
      </c>
      <c r="D2513" s="26">
        <f ca="1">IFERROR(__xludf.DUMMYFUNCTION("""COMPUTED_VALUE"""),55)</f>
        <v>55</v>
      </c>
      <c r="E2513" s="1" t="str">
        <f ca="1">IFERROR(__xludf.DUMMYFUNCTION("""COMPUTED_VALUE"""),"Erie North Shore Minor Hockey")</f>
        <v>Erie North Shore Minor Hockey</v>
      </c>
      <c r="F2513" s="87" t="str">
        <f t="shared" ca="1" si="0"/>
        <v>2024</v>
      </c>
      <c r="H2513" s="26" t="str">
        <f t="shared" si="1"/>
        <v/>
      </c>
      <c r="I2513" s="26" t="str">
        <f t="shared" si="2"/>
        <v/>
      </c>
      <c r="J2513" s="86">
        <f t="shared" ca="1" si="3"/>
        <v>45327</v>
      </c>
      <c r="R2513" s="26"/>
    </row>
    <row r="2514" spans="1:18" ht="15.75" customHeight="1">
      <c r="A2514" s="26">
        <f ca="1">IFERROR(__xludf.DUMMYFUNCTION("""COMPUTED_VALUE"""),22690)</f>
        <v>22690</v>
      </c>
      <c r="B2514" s="86">
        <f ca="1">IFERROR(__xludf.DUMMYFUNCTION("""COMPUTED_VALUE"""),45327.8741898148)</f>
        <v>45327.8741898148</v>
      </c>
      <c r="C2514" s="1" t="str">
        <f ca="1">IFERROR(__xludf.DUMMYFUNCTION("""COMPUTED_VALUE"""),"completed")</f>
        <v>completed</v>
      </c>
      <c r="D2514" s="26">
        <f ca="1">IFERROR(__xludf.DUMMYFUNCTION("""COMPUTED_VALUE"""),25)</f>
        <v>25</v>
      </c>
      <c r="E2514" s="1" t="str">
        <f ca="1">IFERROR(__xludf.DUMMYFUNCTION("""COMPUTED_VALUE"""),"Erie North Shore Minor Hockey")</f>
        <v>Erie North Shore Minor Hockey</v>
      </c>
      <c r="F2514" s="87" t="str">
        <f t="shared" ca="1" si="0"/>
        <v>2024</v>
      </c>
      <c r="H2514" s="26" t="str">
        <f t="shared" si="1"/>
        <v/>
      </c>
      <c r="I2514" s="26" t="str">
        <f t="shared" si="2"/>
        <v/>
      </c>
      <c r="J2514" s="86">
        <f t="shared" ca="1" si="3"/>
        <v>45327</v>
      </c>
      <c r="R2514" s="26"/>
    </row>
    <row r="2515" spans="1:18" ht="15.75" customHeight="1">
      <c r="A2515" s="26">
        <f ca="1">IFERROR(__xludf.DUMMYFUNCTION("""COMPUTED_VALUE"""),22693)</f>
        <v>22693</v>
      </c>
      <c r="B2515" s="86">
        <f ca="1">IFERROR(__xludf.DUMMYFUNCTION("""COMPUTED_VALUE"""),45327.8877430555)</f>
        <v>45327.8877430555</v>
      </c>
      <c r="C2515" s="1" t="str">
        <f ca="1">IFERROR(__xludf.DUMMYFUNCTION("""COMPUTED_VALUE"""),"custom-status")</f>
        <v>custom-status</v>
      </c>
      <c r="D2515" s="26">
        <f ca="1">IFERROR(__xludf.DUMMYFUNCTION("""COMPUTED_VALUE"""),61)</f>
        <v>61</v>
      </c>
      <c r="E2515" s="1" t="str">
        <f ca="1">IFERROR(__xludf.DUMMYFUNCTION("""COMPUTED_VALUE"""),"Erie North Shore Minor Hockey")</f>
        <v>Erie North Shore Minor Hockey</v>
      </c>
      <c r="F2515" s="87" t="str">
        <f t="shared" ca="1" si="0"/>
        <v>2024</v>
      </c>
      <c r="H2515" s="26" t="str">
        <f t="shared" si="1"/>
        <v/>
      </c>
      <c r="I2515" s="26" t="str">
        <f t="shared" si="2"/>
        <v/>
      </c>
      <c r="J2515" s="86">
        <f t="shared" ca="1" si="3"/>
        <v>45327</v>
      </c>
      <c r="R2515" s="26"/>
    </row>
    <row r="2516" spans="1:18" ht="15.75" customHeight="1">
      <c r="A2516" s="26">
        <f ca="1">IFERROR(__xludf.DUMMYFUNCTION("""COMPUTED_VALUE"""),22692)</f>
        <v>22692</v>
      </c>
      <c r="B2516" s="86">
        <f ca="1">IFERROR(__xludf.DUMMYFUNCTION("""COMPUTED_VALUE"""),45327.8867939814)</f>
        <v>45327.886793981401</v>
      </c>
      <c r="C2516" s="1" t="str">
        <f ca="1">IFERROR(__xludf.DUMMYFUNCTION("""COMPUTED_VALUE"""),"custom-status")</f>
        <v>custom-status</v>
      </c>
      <c r="D2516" s="26">
        <f ca="1">IFERROR(__xludf.DUMMYFUNCTION("""COMPUTED_VALUE"""),48)</f>
        <v>48</v>
      </c>
      <c r="E2516" s="1" t="str">
        <f ca="1">IFERROR(__xludf.DUMMYFUNCTION("""COMPUTED_VALUE"""),"Erie North Shore Minor Hockey")</f>
        <v>Erie North Shore Minor Hockey</v>
      </c>
      <c r="F2516" s="87" t="str">
        <f t="shared" ca="1" si="0"/>
        <v>2024</v>
      </c>
      <c r="H2516" s="26" t="str">
        <f t="shared" si="1"/>
        <v/>
      </c>
      <c r="I2516" s="26" t="str">
        <f t="shared" si="2"/>
        <v/>
      </c>
      <c r="J2516" s="86">
        <f t="shared" ca="1" si="3"/>
        <v>45327</v>
      </c>
      <c r="R2516" s="26"/>
    </row>
    <row r="2517" spans="1:18" ht="15.75" customHeight="1">
      <c r="A2517" s="26">
        <f ca="1">IFERROR(__xludf.DUMMYFUNCTION("""COMPUTED_VALUE"""),22691)</f>
        <v>22691</v>
      </c>
      <c r="B2517" s="86">
        <f ca="1">IFERROR(__xludf.DUMMYFUNCTION("""COMPUTED_VALUE"""),45327.8830902777)</f>
        <v>45327.883090277697</v>
      </c>
      <c r="C2517" s="1" t="str">
        <f ca="1">IFERROR(__xludf.DUMMYFUNCTION("""COMPUTED_VALUE"""),"completed")</f>
        <v>completed</v>
      </c>
      <c r="D2517" s="26">
        <f ca="1">IFERROR(__xludf.DUMMYFUNCTION("""COMPUTED_VALUE"""),25)</f>
        <v>25</v>
      </c>
      <c r="E2517" s="1" t="str">
        <f ca="1">IFERROR(__xludf.DUMMYFUNCTION("""COMPUTED_VALUE"""),"Erie North Shore Minor Hockey")</f>
        <v>Erie North Shore Minor Hockey</v>
      </c>
      <c r="F2517" s="87" t="str">
        <f t="shared" ca="1" si="0"/>
        <v>2024</v>
      </c>
      <c r="H2517" s="26" t="str">
        <f t="shared" si="1"/>
        <v/>
      </c>
      <c r="I2517" s="26" t="str">
        <f t="shared" si="2"/>
        <v/>
      </c>
      <c r="J2517" s="86">
        <f t="shared" ca="1" si="3"/>
        <v>45327</v>
      </c>
      <c r="R2517" s="26"/>
    </row>
    <row r="2518" spans="1:18" ht="15.75" customHeight="1">
      <c r="A2518" s="26">
        <f ca="1">IFERROR(__xludf.DUMMYFUNCTION("""COMPUTED_VALUE"""),22694)</f>
        <v>22694</v>
      </c>
      <c r="B2518" s="86">
        <f ca="1">IFERROR(__xludf.DUMMYFUNCTION("""COMPUTED_VALUE"""),45327.8942708333)</f>
        <v>45327.894270833298</v>
      </c>
      <c r="C2518" s="1" t="str">
        <f ca="1">IFERROR(__xludf.DUMMYFUNCTION("""COMPUTED_VALUE"""),"completed")</f>
        <v>completed</v>
      </c>
      <c r="D2518" s="26">
        <f ca="1">IFERROR(__xludf.DUMMYFUNCTION("""COMPUTED_VALUE"""),22)</f>
        <v>22</v>
      </c>
      <c r="E2518" s="1" t="str">
        <f ca="1">IFERROR(__xludf.DUMMYFUNCTION("""COMPUTED_VALUE"""),"Erie North Shore Minor Hockey")</f>
        <v>Erie North Shore Minor Hockey</v>
      </c>
      <c r="F2518" s="87" t="str">
        <f t="shared" ca="1" si="0"/>
        <v>2024</v>
      </c>
      <c r="H2518" s="26" t="str">
        <f t="shared" si="1"/>
        <v/>
      </c>
      <c r="I2518" s="26" t="str">
        <f t="shared" si="2"/>
        <v/>
      </c>
      <c r="J2518" s="86">
        <f t="shared" ca="1" si="3"/>
        <v>45327</v>
      </c>
      <c r="R2518" s="26"/>
    </row>
    <row r="2519" spans="1:18" ht="15.75" customHeight="1">
      <c r="A2519" s="26">
        <f ca="1">IFERROR(__xludf.DUMMYFUNCTION("""COMPUTED_VALUE"""),22695)</f>
        <v>22695</v>
      </c>
      <c r="B2519" s="86">
        <f ca="1">IFERROR(__xludf.DUMMYFUNCTION("""COMPUTED_VALUE"""),45327.9017013888)</f>
        <v>45327.901701388801</v>
      </c>
      <c r="C2519" s="1" t="str">
        <f ca="1">IFERROR(__xludf.DUMMYFUNCTION("""COMPUTED_VALUE"""),"custom-status")</f>
        <v>custom-status</v>
      </c>
      <c r="D2519" s="26">
        <f ca="1">IFERROR(__xludf.DUMMYFUNCTION("""COMPUTED_VALUE"""),51)</f>
        <v>51</v>
      </c>
      <c r="E2519" s="1" t="str">
        <f ca="1">IFERROR(__xludf.DUMMYFUNCTION("""COMPUTED_VALUE"""),"Erie North Shore Minor Hockey")</f>
        <v>Erie North Shore Minor Hockey</v>
      </c>
      <c r="F2519" s="87" t="str">
        <f t="shared" ca="1" si="0"/>
        <v>2024</v>
      </c>
      <c r="H2519" s="26" t="str">
        <f t="shared" si="1"/>
        <v/>
      </c>
      <c r="I2519" s="26" t="str">
        <f t="shared" si="2"/>
        <v/>
      </c>
      <c r="J2519" s="86">
        <f t="shared" ca="1" si="3"/>
        <v>45327</v>
      </c>
      <c r="R2519" s="26"/>
    </row>
    <row r="2520" spans="1:18" ht="15.75" customHeight="1">
      <c r="A2520" s="26">
        <f ca="1">IFERROR(__xludf.DUMMYFUNCTION("""COMPUTED_VALUE"""),22696)</f>
        <v>22696</v>
      </c>
      <c r="B2520" s="86">
        <f ca="1">IFERROR(__xludf.DUMMYFUNCTION("""COMPUTED_VALUE"""),45327.9144675925)</f>
        <v>45327.914467592498</v>
      </c>
      <c r="C2520" s="1" t="str">
        <f ca="1">IFERROR(__xludf.DUMMYFUNCTION("""COMPUTED_VALUE"""),"custom-status")</f>
        <v>custom-status</v>
      </c>
      <c r="D2520" s="26">
        <f ca="1">IFERROR(__xludf.DUMMYFUNCTION("""COMPUTED_VALUE"""),40)</f>
        <v>40</v>
      </c>
      <c r="E2520" s="1" t="str">
        <f ca="1">IFERROR(__xludf.DUMMYFUNCTION("""COMPUTED_VALUE"""),"Erie North Shore Minor Hockey")</f>
        <v>Erie North Shore Minor Hockey</v>
      </c>
      <c r="F2520" s="87" t="str">
        <f t="shared" ca="1" si="0"/>
        <v>2024</v>
      </c>
      <c r="H2520" s="26" t="str">
        <f t="shared" si="1"/>
        <v/>
      </c>
      <c r="I2520" s="26" t="str">
        <f t="shared" si="2"/>
        <v/>
      </c>
      <c r="J2520" s="86">
        <f t="shared" ca="1" si="3"/>
        <v>45327</v>
      </c>
      <c r="R2520" s="26"/>
    </row>
    <row r="2521" spans="1:18" ht="15.75" customHeight="1">
      <c r="A2521" s="26">
        <f ca="1">IFERROR(__xludf.DUMMYFUNCTION("""COMPUTED_VALUE"""),22698)</f>
        <v>22698</v>
      </c>
      <c r="B2521" s="86">
        <f ca="1">IFERROR(__xludf.DUMMYFUNCTION("""COMPUTED_VALUE"""),45327.9247685185)</f>
        <v>45327.924768518496</v>
      </c>
      <c r="C2521" s="1" t="str">
        <f ca="1">IFERROR(__xludf.DUMMYFUNCTION("""COMPUTED_VALUE"""),"completed")</f>
        <v>completed</v>
      </c>
      <c r="D2521" s="26">
        <f ca="1">IFERROR(__xludf.DUMMYFUNCTION("""COMPUTED_VALUE"""),15)</f>
        <v>15</v>
      </c>
      <c r="E2521" s="1" t="str">
        <f ca="1">IFERROR(__xludf.DUMMYFUNCTION("""COMPUTED_VALUE"""),"Erie North Shore Minor Hockey")</f>
        <v>Erie North Shore Minor Hockey</v>
      </c>
      <c r="F2521" s="87" t="str">
        <f t="shared" ca="1" si="0"/>
        <v>2024</v>
      </c>
      <c r="H2521" s="26" t="str">
        <f t="shared" si="1"/>
        <v/>
      </c>
      <c r="I2521" s="26" t="str">
        <f t="shared" si="2"/>
        <v/>
      </c>
      <c r="J2521" s="86">
        <f t="shared" ca="1" si="3"/>
        <v>45327</v>
      </c>
      <c r="R2521" s="26"/>
    </row>
    <row r="2522" spans="1:18" ht="15.75" customHeight="1">
      <c r="A2522" s="26">
        <f ca="1">IFERROR(__xludf.DUMMYFUNCTION("""COMPUTED_VALUE"""),22697)</f>
        <v>22697</v>
      </c>
      <c r="B2522" s="86">
        <f ca="1">IFERROR(__xludf.DUMMYFUNCTION("""COMPUTED_VALUE"""),45327.9218634259)</f>
        <v>45327.921863425901</v>
      </c>
      <c r="C2522" s="1" t="str">
        <f ca="1">IFERROR(__xludf.DUMMYFUNCTION("""COMPUTED_VALUE"""),"completed")</f>
        <v>completed</v>
      </c>
      <c r="D2522" s="26">
        <f ca="1">IFERROR(__xludf.DUMMYFUNCTION("""COMPUTED_VALUE"""),15)</f>
        <v>15</v>
      </c>
      <c r="E2522" s="1" t="str">
        <f ca="1">IFERROR(__xludf.DUMMYFUNCTION("""COMPUTED_VALUE"""),"Erie North Shore Minor Hockey")</f>
        <v>Erie North Shore Minor Hockey</v>
      </c>
      <c r="F2522" s="87" t="str">
        <f t="shared" ca="1" si="0"/>
        <v>2024</v>
      </c>
      <c r="H2522" s="26" t="str">
        <f t="shared" si="1"/>
        <v/>
      </c>
      <c r="I2522" s="26" t="str">
        <f t="shared" si="2"/>
        <v/>
      </c>
      <c r="J2522" s="86">
        <f t="shared" ca="1" si="3"/>
        <v>45327</v>
      </c>
      <c r="R2522" s="26"/>
    </row>
    <row r="2523" spans="1:18" ht="15.75" customHeight="1">
      <c r="A2523" s="26">
        <f ca="1">IFERROR(__xludf.DUMMYFUNCTION("""COMPUTED_VALUE"""),22700)</f>
        <v>22700</v>
      </c>
      <c r="B2523" s="86">
        <f ca="1">IFERROR(__xludf.DUMMYFUNCTION("""COMPUTED_VALUE"""),45327.964386574)</f>
        <v>45327.964386574</v>
      </c>
      <c r="C2523" s="1" t="str">
        <f ca="1">IFERROR(__xludf.DUMMYFUNCTION("""COMPUTED_VALUE"""),"custom-status")</f>
        <v>custom-status</v>
      </c>
      <c r="D2523" s="26">
        <f ca="1">IFERROR(__xludf.DUMMYFUNCTION("""COMPUTED_VALUE"""),53)</f>
        <v>53</v>
      </c>
      <c r="E2523" s="1" t="str">
        <f ca="1">IFERROR(__xludf.DUMMYFUNCTION("""COMPUTED_VALUE"""),"Erie North Shore Minor Hockey")</f>
        <v>Erie North Shore Minor Hockey</v>
      </c>
      <c r="F2523" s="87" t="str">
        <f t="shared" ca="1" si="0"/>
        <v>2024</v>
      </c>
      <c r="H2523" s="26" t="str">
        <f t="shared" si="1"/>
        <v/>
      </c>
      <c r="I2523" s="26" t="str">
        <f t="shared" si="2"/>
        <v/>
      </c>
      <c r="J2523" s="86">
        <f t="shared" ca="1" si="3"/>
        <v>45327</v>
      </c>
      <c r="R2523" s="26"/>
    </row>
    <row r="2524" spans="1:18" ht="15.75" customHeight="1">
      <c r="A2524" s="26">
        <f ca="1">IFERROR(__xludf.DUMMYFUNCTION("""COMPUTED_VALUE"""),22699)</f>
        <v>22699</v>
      </c>
      <c r="B2524" s="86">
        <f ca="1">IFERROR(__xludf.DUMMYFUNCTION("""COMPUTED_VALUE"""),45327.9586805555)</f>
        <v>45327.958680555501</v>
      </c>
      <c r="C2524" s="1" t="str">
        <f ca="1">IFERROR(__xludf.DUMMYFUNCTION("""COMPUTED_VALUE"""),"custom-status")</f>
        <v>custom-status</v>
      </c>
      <c r="D2524" s="26">
        <f ca="1">IFERROR(__xludf.DUMMYFUNCTION("""COMPUTED_VALUE"""),46)</f>
        <v>46</v>
      </c>
      <c r="E2524" s="1" t="str">
        <f ca="1">IFERROR(__xludf.DUMMYFUNCTION("""COMPUTED_VALUE"""),"Erie North Shore Minor Hockey")</f>
        <v>Erie North Shore Minor Hockey</v>
      </c>
      <c r="F2524" s="87" t="str">
        <f t="shared" ca="1" si="0"/>
        <v>2024</v>
      </c>
      <c r="H2524" s="26" t="str">
        <f t="shared" si="1"/>
        <v/>
      </c>
      <c r="I2524" s="26" t="str">
        <f t="shared" si="2"/>
        <v/>
      </c>
      <c r="J2524" s="86">
        <f t="shared" ca="1" si="3"/>
        <v>45327</v>
      </c>
      <c r="R2524" s="26"/>
    </row>
    <row r="2525" spans="1:18" ht="15.75" customHeight="1">
      <c r="A2525" s="26">
        <f ca="1">IFERROR(__xludf.DUMMYFUNCTION("""COMPUTED_VALUE"""),22701)</f>
        <v>22701</v>
      </c>
      <c r="B2525" s="86">
        <f ca="1">IFERROR(__xludf.DUMMYFUNCTION("""COMPUTED_VALUE"""),45328.3405092592)</f>
        <v>45328.3405092592</v>
      </c>
      <c r="C2525" s="1" t="str">
        <f ca="1">IFERROR(__xludf.DUMMYFUNCTION("""COMPUTED_VALUE"""),"custom-status")</f>
        <v>custom-status</v>
      </c>
      <c r="D2525" s="26">
        <f ca="1">IFERROR(__xludf.DUMMYFUNCTION("""COMPUTED_VALUE"""),55)</f>
        <v>55</v>
      </c>
      <c r="E2525" s="1" t="str">
        <f ca="1">IFERROR(__xludf.DUMMYFUNCTION("""COMPUTED_VALUE"""),"Erie North Shore Minor Hockey")</f>
        <v>Erie North Shore Minor Hockey</v>
      </c>
      <c r="F2525" s="87" t="str">
        <f t="shared" ca="1" si="0"/>
        <v>2024</v>
      </c>
      <c r="H2525" s="26" t="str">
        <f t="shared" si="1"/>
        <v/>
      </c>
      <c r="I2525" s="26" t="str">
        <f t="shared" si="2"/>
        <v/>
      </c>
      <c r="J2525" s="86">
        <f t="shared" ca="1" si="3"/>
        <v>45328</v>
      </c>
      <c r="R2525" s="26"/>
    </row>
    <row r="2526" spans="1:18" ht="15.75" customHeight="1">
      <c r="A2526" s="26">
        <f ca="1">IFERROR(__xludf.DUMMYFUNCTION("""COMPUTED_VALUE"""),22703)</f>
        <v>22703</v>
      </c>
      <c r="B2526" s="86">
        <f ca="1">IFERROR(__xludf.DUMMYFUNCTION("""COMPUTED_VALUE"""),45328.3481944444)</f>
        <v>45328.348194444399</v>
      </c>
      <c r="C2526" s="1" t="str">
        <f ca="1">IFERROR(__xludf.DUMMYFUNCTION("""COMPUTED_VALUE"""),"custom-status")</f>
        <v>custom-status</v>
      </c>
      <c r="D2526" s="26">
        <f ca="1">IFERROR(__xludf.DUMMYFUNCTION("""COMPUTED_VALUE"""),85)</f>
        <v>85</v>
      </c>
      <c r="E2526" s="1" t="str">
        <f ca="1">IFERROR(__xludf.DUMMYFUNCTION("""COMPUTED_VALUE"""),"Erie North Shore Minor Hockey")</f>
        <v>Erie North Shore Minor Hockey</v>
      </c>
      <c r="F2526" s="87" t="str">
        <f t="shared" ca="1" si="0"/>
        <v>2024</v>
      </c>
      <c r="H2526" s="26" t="str">
        <f t="shared" si="1"/>
        <v/>
      </c>
      <c r="I2526" s="26" t="str">
        <f t="shared" si="2"/>
        <v/>
      </c>
      <c r="J2526" s="86">
        <f t="shared" ca="1" si="3"/>
        <v>45328</v>
      </c>
      <c r="R2526" s="26"/>
    </row>
    <row r="2527" spans="1:18" ht="15.75" customHeight="1">
      <c r="A2527" s="26">
        <f ca="1">IFERROR(__xludf.DUMMYFUNCTION("""COMPUTED_VALUE"""),22702)</f>
        <v>22702</v>
      </c>
      <c r="B2527" s="86">
        <f ca="1">IFERROR(__xludf.DUMMYFUNCTION("""COMPUTED_VALUE"""),45328.3480902777)</f>
        <v>45328.348090277701</v>
      </c>
      <c r="C2527" s="1" t="str">
        <f ca="1">IFERROR(__xludf.DUMMYFUNCTION("""COMPUTED_VALUE"""),"completed")</f>
        <v>completed</v>
      </c>
      <c r="D2527" s="26">
        <f ca="1">IFERROR(__xludf.DUMMYFUNCTION("""COMPUTED_VALUE"""),25)</f>
        <v>25</v>
      </c>
      <c r="E2527" s="1" t="str">
        <f ca="1">IFERROR(__xludf.DUMMYFUNCTION("""COMPUTED_VALUE"""),"Erie North Shore Minor Hockey")</f>
        <v>Erie North Shore Minor Hockey</v>
      </c>
      <c r="F2527" s="87" t="str">
        <f t="shared" ca="1" si="0"/>
        <v>2024</v>
      </c>
      <c r="H2527" s="26" t="str">
        <f t="shared" si="1"/>
        <v/>
      </c>
      <c r="I2527" s="26" t="str">
        <f t="shared" si="2"/>
        <v/>
      </c>
      <c r="J2527" s="86">
        <f t="shared" ca="1" si="3"/>
        <v>45328</v>
      </c>
      <c r="R2527" s="26"/>
    </row>
    <row r="2528" spans="1:18" ht="15.75" customHeight="1">
      <c r="A2528" s="26">
        <f ca="1">IFERROR(__xludf.DUMMYFUNCTION("""COMPUTED_VALUE"""),22704)</f>
        <v>22704</v>
      </c>
      <c r="B2528" s="86">
        <f ca="1">IFERROR(__xludf.DUMMYFUNCTION("""COMPUTED_VALUE"""),45328.4123611111)</f>
        <v>45328.412361111099</v>
      </c>
      <c r="C2528" s="1" t="str">
        <f ca="1">IFERROR(__xludf.DUMMYFUNCTION("""COMPUTED_VALUE"""),"custom-status")</f>
        <v>custom-status</v>
      </c>
      <c r="D2528" s="26">
        <f ca="1">IFERROR(__xludf.DUMMYFUNCTION("""COMPUTED_VALUE"""),61)</f>
        <v>61</v>
      </c>
      <c r="E2528" s="1" t="str">
        <f ca="1">IFERROR(__xludf.DUMMYFUNCTION("""COMPUTED_VALUE"""),"Erie North Shore Minor Hockey")</f>
        <v>Erie North Shore Minor Hockey</v>
      </c>
      <c r="F2528" s="87" t="str">
        <f t="shared" ca="1" si="0"/>
        <v>2024</v>
      </c>
      <c r="H2528" s="26" t="str">
        <f t="shared" si="1"/>
        <v/>
      </c>
      <c r="I2528" s="26" t="str">
        <f t="shared" si="2"/>
        <v/>
      </c>
      <c r="J2528" s="86">
        <f t="shared" ca="1" si="3"/>
        <v>45328</v>
      </c>
      <c r="R2528" s="26"/>
    </row>
    <row r="2529" spans="1:18" ht="15.75" customHeight="1">
      <c r="A2529" s="26">
        <f ca="1">IFERROR(__xludf.DUMMYFUNCTION("""COMPUTED_VALUE"""),22705)</f>
        <v>22705</v>
      </c>
      <c r="B2529" s="86">
        <f ca="1">IFERROR(__xludf.DUMMYFUNCTION("""COMPUTED_VALUE"""),45328.415949074)</f>
        <v>45328.415949073998</v>
      </c>
      <c r="C2529" s="1" t="str">
        <f ca="1">IFERROR(__xludf.DUMMYFUNCTION("""COMPUTED_VALUE"""),"custom-status")</f>
        <v>custom-status</v>
      </c>
      <c r="D2529" s="26">
        <f ca="1">IFERROR(__xludf.DUMMYFUNCTION("""COMPUTED_VALUE"""),61)</f>
        <v>61</v>
      </c>
      <c r="E2529" s="1" t="str">
        <f ca="1">IFERROR(__xludf.DUMMYFUNCTION("""COMPUTED_VALUE"""),"Erie North Shore Minor Hockey")</f>
        <v>Erie North Shore Minor Hockey</v>
      </c>
      <c r="F2529" s="87" t="str">
        <f t="shared" ca="1" si="0"/>
        <v>2024</v>
      </c>
      <c r="H2529" s="26" t="str">
        <f t="shared" si="1"/>
        <v/>
      </c>
      <c r="I2529" s="26" t="str">
        <f t="shared" si="2"/>
        <v/>
      </c>
      <c r="J2529" s="86">
        <f t="shared" ca="1" si="3"/>
        <v>45328</v>
      </c>
      <c r="R2529" s="26"/>
    </row>
    <row r="2530" spans="1:18" ht="15.75" customHeight="1">
      <c r="A2530" s="26">
        <f ca="1">IFERROR(__xludf.DUMMYFUNCTION("""COMPUTED_VALUE"""),22706)</f>
        <v>22706</v>
      </c>
      <c r="B2530" s="86">
        <f ca="1">IFERROR(__xludf.DUMMYFUNCTION("""COMPUTED_VALUE"""),45328.4736921295)</f>
        <v>45328.473692129599</v>
      </c>
      <c r="C2530" s="1" t="str">
        <f ca="1">IFERROR(__xludf.DUMMYFUNCTION("""COMPUTED_VALUE"""),"custom-status")</f>
        <v>custom-status</v>
      </c>
      <c r="D2530" s="26">
        <f ca="1">IFERROR(__xludf.DUMMYFUNCTION("""COMPUTED_VALUE"""),28)</f>
        <v>28</v>
      </c>
      <c r="E2530" s="1" t="str">
        <f ca="1">IFERROR(__xludf.DUMMYFUNCTION("""COMPUTED_VALUE"""),"Erie North Shore Minor Hockey")</f>
        <v>Erie North Shore Minor Hockey</v>
      </c>
      <c r="F2530" s="87" t="str">
        <f t="shared" ca="1" si="0"/>
        <v>2024</v>
      </c>
      <c r="H2530" s="26" t="str">
        <f t="shared" si="1"/>
        <v/>
      </c>
      <c r="I2530" s="26" t="str">
        <f t="shared" si="2"/>
        <v/>
      </c>
      <c r="J2530" s="86">
        <f t="shared" ca="1" si="3"/>
        <v>45328</v>
      </c>
      <c r="R2530" s="26"/>
    </row>
    <row r="2531" spans="1:18" ht="15.75" customHeight="1">
      <c r="A2531" s="26">
        <f ca="1">IFERROR(__xludf.DUMMYFUNCTION("""COMPUTED_VALUE"""),22707)</f>
        <v>22707</v>
      </c>
      <c r="B2531" s="86">
        <f ca="1">IFERROR(__xludf.DUMMYFUNCTION("""COMPUTED_VALUE"""),45328.5091550925)</f>
        <v>45328.509155092499</v>
      </c>
      <c r="C2531" s="1" t="str">
        <f ca="1">IFERROR(__xludf.DUMMYFUNCTION("""COMPUTED_VALUE"""),"completed")</f>
        <v>completed</v>
      </c>
      <c r="D2531" s="26">
        <f ca="1">IFERROR(__xludf.DUMMYFUNCTION("""COMPUTED_VALUE"""),44)</f>
        <v>44</v>
      </c>
      <c r="E2531" s="1" t="str">
        <f ca="1">IFERROR(__xludf.DUMMYFUNCTION("""COMPUTED_VALUE"""),"Erie North Shore Minor Hockey")</f>
        <v>Erie North Shore Minor Hockey</v>
      </c>
      <c r="F2531" s="87" t="str">
        <f t="shared" ca="1" si="0"/>
        <v>2024</v>
      </c>
      <c r="H2531" s="26" t="str">
        <f t="shared" si="1"/>
        <v/>
      </c>
      <c r="I2531" s="26" t="str">
        <f t="shared" si="2"/>
        <v/>
      </c>
      <c r="J2531" s="86">
        <f t="shared" ca="1" si="3"/>
        <v>45328</v>
      </c>
      <c r="R2531" s="26"/>
    </row>
    <row r="2532" spans="1:18" ht="15.75" customHeight="1">
      <c r="A2532" s="26">
        <f ca="1">IFERROR(__xludf.DUMMYFUNCTION("""COMPUTED_VALUE"""),22709)</f>
        <v>22709</v>
      </c>
      <c r="B2532" s="86">
        <f ca="1">IFERROR(__xludf.DUMMYFUNCTION("""COMPUTED_VALUE"""),45328.5818287037)</f>
        <v>45328.581828703696</v>
      </c>
      <c r="C2532" s="1" t="str">
        <f ca="1">IFERROR(__xludf.DUMMYFUNCTION("""COMPUTED_VALUE"""),"completed")</f>
        <v>completed</v>
      </c>
      <c r="D2532" s="26">
        <f ca="1">IFERROR(__xludf.DUMMYFUNCTION("""COMPUTED_VALUE"""),25)</f>
        <v>25</v>
      </c>
      <c r="E2532" s="1" t="str">
        <f ca="1">IFERROR(__xludf.DUMMYFUNCTION("""COMPUTED_VALUE"""),"Erie North Shore Minor Hockey")</f>
        <v>Erie North Shore Minor Hockey</v>
      </c>
      <c r="F2532" s="87" t="str">
        <f t="shared" ca="1" si="0"/>
        <v>2024</v>
      </c>
      <c r="H2532" s="26" t="str">
        <f t="shared" si="1"/>
        <v/>
      </c>
      <c r="I2532" s="26" t="str">
        <f t="shared" si="2"/>
        <v/>
      </c>
      <c r="J2532" s="86">
        <f t="shared" ca="1" si="3"/>
        <v>45328</v>
      </c>
      <c r="R2532" s="26"/>
    </row>
    <row r="2533" spans="1:18" ht="15.75" customHeight="1">
      <c r="A2533" s="26">
        <f ca="1">IFERROR(__xludf.DUMMYFUNCTION("""COMPUTED_VALUE"""),22708)</f>
        <v>22708</v>
      </c>
      <c r="B2533" s="86">
        <f ca="1">IFERROR(__xludf.DUMMYFUNCTION("""COMPUTED_VALUE"""),45328.579375)</f>
        <v>45328.579375000001</v>
      </c>
      <c r="C2533" s="1" t="str">
        <f ca="1">IFERROR(__xludf.DUMMYFUNCTION("""COMPUTED_VALUE"""),"completed")</f>
        <v>completed</v>
      </c>
      <c r="D2533" s="26">
        <f ca="1">IFERROR(__xludf.DUMMYFUNCTION("""COMPUTED_VALUE"""),45)</f>
        <v>45</v>
      </c>
      <c r="E2533" s="1" t="str">
        <f ca="1">IFERROR(__xludf.DUMMYFUNCTION("""COMPUTED_VALUE"""),"Erie North Shore Minor Hockey")</f>
        <v>Erie North Shore Minor Hockey</v>
      </c>
      <c r="F2533" s="87" t="str">
        <f t="shared" ca="1" si="0"/>
        <v>2024</v>
      </c>
      <c r="H2533" s="26" t="str">
        <f t="shared" si="1"/>
        <v/>
      </c>
      <c r="I2533" s="26" t="str">
        <f t="shared" si="2"/>
        <v/>
      </c>
      <c r="J2533" s="86">
        <f t="shared" ca="1" si="3"/>
        <v>45328</v>
      </c>
      <c r="R2533" s="26"/>
    </row>
    <row r="2534" spans="1:18" ht="15.75" customHeight="1">
      <c r="A2534" s="26">
        <f ca="1">IFERROR(__xludf.DUMMYFUNCTION("""COMPUTED_VALUE"""),22711)</f>
        <v>22711</v>
      </c>
      <c r="B2534" s="86">
        <f ca="1">IFERROR(__xludf.DUMMYFUNCTION("""COMPUTED_VALUE"""),45328.587974537)</f>
        <v>45328.587974536997</v>
      </c>
      <c r="C2534" s="1" t="str">
        <f ca="1">IFERROR(__xludf.DUMMYFUNCTION("""COMPUTED_VALUE"""),"completed")</f>
        <v>completed</v>
      </c>
      <c r="D2534" s="26">
        <f ca="1">IFERROR(__xludf.DUMMYFUNCTION("""COMPUTED_VALUE"""),25)</f>
        <v>25</v>
      </c>
      <c r="E2534" s="1" t="str">
        <f ca="1">IFERROR(__xludf.DUMMYFUNCTION("""COMPUTED_VALUE"""),"Erie North Shore Minor Hockey")</f>
        <v>Erie North Shore Minor Hockey</v>
      </c>
      <c r="F2534" s="87" t="str">
        <f t="shared" ca="1" si="0"/>
        <v>2024</v>
      </c>
      <c r="H2534" s="26" t="str">
        <f t="shared" si="1"/>
        <v/>
      </c>
      <c r="I2534" s="26" t="str">
        <f t="shared" si="2"/>
        <v/>
      </c>
      <c r="J2534" s="86">
        <f t="shared" ca="1" si="3"/>
        <v>45328</v>
      </c>
      <c r="R2534" s="26"/>
    </row>
    <row r="2535" spans="1:18" ht="15.75" customHeight="1">
      <c r="A2535" s="26">
        <f ca="1">IFERROR(__xludf.DUMMYFUNCTION("""COMPUTED_VALUE"""),22710)</f>
        <v>22710</v>
      </c>
      <c r="B2535" s="86">
        <f ca="1">IFERROR(__xludf.DUMMYFUNCTION("""COMPUTED_VALUE"""),45328.5862731481)</f>
        <v>45328.586273148103</v>
      </c>
      <c r="C2535" s="1" t="str">
        <f ca="1">IFERROR(__xludf.DUMMYFUNCTION("""COMPUTED_VALUE"""),"completed")</f>
        <v>completed</v>
      </c>
      <c r="D2535" s="26">
        <f ca="1">IFERROR(__xludf.DUMMYFUNCTION("""COMPUTED_VALUE"""),25)</f>
        <v>25</v>
      </c>
      <c r="E2535" s="1" t="str">
        <f ca="1">IFERROR(__xludf.DUMMYFUNCTION("""COMPUTED_VALUE"""),"Erie North Shore Minor Hockey")</f>
        <v>Erie North Shore Minor Hockey</v>
      </c>
      <c r="F2535" s="87" t="str">
        <f t="shared" ca="1" si="0"/>
        <v>2024</v>
      </c>
      <c r="H2535" s="26" t="str">
        <f t="shared" si="1"/>
        <v/>
      </c>
      <c r="I2535" s="26" t="str">
        <f t="shared" si="2"/>
        <v/>
      </c>
      <c r="J2535" s="86">
        <f t="shared" ca="1" si="3"/>
        <v>45328</v>
      </c>
      <c r="R2535" s="26"/>
    </row>
    <row r="2536" spans="1:18" ht="15.75" customHeight="1">
      <c r="A2536" s="26">
        <f ca="1">IFERROR(__xludf.DUMMYFUNCTION("""COMPUTED_VALUE"""),22712)</f>
        <v>22712</v>
      </c>
      <c r="B2536" s="86">
        <f ca="1">IFERROR(__xludf.DUMMYFUNCTION("""COMPUTED_VALUE"""),45328.5915625)</f>
        <v>45328.591562499998</v>
      </c>
      <c r="C2536" s="1" t="str">
        <f ca="1">IFERROR(__xludf.DUMMYFUNCTION("""COMPUTED_VALUE"""),"completed")</f>
        <v>completed</v>
      </c>
      <c r="D2536" s="26">
        <f ca="1">IFERROR(__xludf.DUMMYFUNCTION("""COMPUTED_VALUE"""),18)</f>
        <v>18</v>
      </c>
      <c r="E2536" s="1" t="str">
        <f ca="1">IFERROR(__xludf.DUMMYFUNCTION("""COMPUTED_VALUE"""),"Erie North Shore Minor Hockey")</f>
        <v>Erie North Shore Minor Hockey</v>
      </c>
      <c r="F2536" s="87" t="str">
        <f t="shared" ca="1" si="0"/>
        <v>2024</v>
      </c>
      <c r="H2536" s="26" t="str">
        <f t="shared" si="1"/>
        <v/>
      </c>
      <c r="I2536" s="26" t="str">
        <f t="shared" si="2"/>
        <v/>
      </c>
      <c r="J2536" s="86">
        <f t="shared" ca="1" si="3"/>
        <v>45328</v>
      </c>
      <c r="R2536" s="26"/>
    </row>
    <row r="2537" spans="1:18" ht="15.75" customHeight="1">
      <c r="A2537" s="26">
        <f ca="1">IFERROR(__xludf.DUMMYFUNCTION("""COMPUTED_VALUE"""),22713)</f>
        <v>22713</v>
      </c>
      <c r="B2537" s="86">
        <f ca="1">IFERROR(__xludf.DUMMYFUNCTION("""COMPUTED_VALUE"""),45328.7214467592)</f>
        <v>45328.721446759198</v>
      </c>
      <c r="C2537" s="1" t="str">
        <f ca="1">IFERROR(__xludf.DUMMYFUNCTION("""COMPUTED_VALUE"""),"custom-status")</f>
        <v>custom-status</v>
      </c>
      <c r="D2537" s="26">
        <f ca="1">IFERROR(__xludf.DUMMYFUNCTION("""COMPUTED_VALUE"""),55)</f>
        <v>55</v>
      </c>
      <c r="E2537" s="1" t="str">
        <f ca="1">IFERROR(__xludf.DUMMYFUNCTION("""COMPUTED_VALUE"""),"Erie North Shore Minor Hockey")</f>
        <v>Erie North Shore Minor Hockey</v>
      </c>
      <c r="F2537" s="87" t="str">
        <f t="shared" ca="1" si="0"/>
        <v>2024</v>
      </c>
      <c r="H2537" s="26" t="str">
        <f t="shared" si="1"/>
        <v/>
      </c>
      <c r="I2537" s="26" t="str">
        <f t="shared" si="2"/>
        <v/>
      </c>
      <c r="J2537" s="86">
        <f t="shared" ca="1" si="3"/>
        <v>45328</v>
      </c>
      <c r="R2537" s="26"/>
    </row>
    <row r="2538" spans="1:18" ht="15.75" customHeight="1">
      <c r="A2538" s="26">
        <f ca="1">IFERROR(__xludf.DUMMYFUNCTION("""COMPUTED_VALUE"""),22714)</f>
        <v>22714</v>
      </c>
      <c r="B2538" s="86">
        <f ca="1">IFERROR(__xludf.DUMMYFUNCTION("""COMPUTED_VALUE"""),45328.7868518518)</f>
        <v>45328.786851851801</v>
      </c>
      <c r="C2538" s="1" t="str">
        <f ca="1">IFERROR(__xludf.DUMMYFUNCTION("""COMPUTED_VALUE"""),"custom-status")</f>
        <v>custom-status</v>
      </c>
      <c r="D2538" s="26">
        <f ca="1">IFERROR(__xludf.DUMMYFUNCTION("""COMPUTED_VALUE"""),26)</f>
        <v>26</v>
      </c>
      <c r="E2538" s="1" t="str">
        <f ca="1">IFERROR(__xludf.DUMMYFUNCTION("""COMPUTED_VALUE"""),"Erie North Shore Minor Hockey")</f>
        <v>Erie North Shore Minor Hockey</v>
      </c>
      <c r="F2538" s="87" t="str">
        <f t="shared" ca="1" si="0"/>
        <v>2024</v>
      </c>
      <c r="H2538" s="26" t="str">
        <f t="shared" si="1"/>
        <v/>
      </c>
      <c r="I2538" s="26" t="str">
        <f t="shared" si="2"/>
        <v/>
      </c>
      <c r="J2538" s="86">
        <f t="shared" ca="1" si="3"/>
        <v>45328</v>
      </c>
      <c r="R2538" s="26"/>
    </row>
    <row r="2539" spans="1:18" ht="15.75" customHeight="1">
      <c r="A2539" s="26">
        <f ca="1">IFERROR(__xludf.DUMMYFUNCTION("""COMPUTED_VALUE"""),22715)</f>
        <v>22715</v>
      </c>
      <c r="B2539" s="86">
        <f ca="1">IFERROR(__xludf.DUMMYFUNCTION("""COMPUTED_VALUE"""),45328.859699074)</f>
        <v>45328.859699073997</v>
      </c>
      <c r="C2539" s="1" t="str">
        <f ca="1">IFERROR(__xludf.DUMMYFUNCTION("""COMPUTED_VALUE"""),"completed")</f>
        <v>completed</v>
      </c>
      <c r="D2539" s="26">
        <f ca="1">IFERROR(__xludf.DUMMYFUNCTION("""COMPUTED_VALUE"""),25)</f>
        <v>25</v>
      </c>
      <c r="E2539" s="1" t="str">
        <f ca="1">IFERROR(__xludf.DUMMYFUNCTION("""COMPUTED_VALUE"""),"Erie North Shore Minor Hockey")</f>
        <v>Erie North Shore Minor Hockey</v>
      </c>
      <c r="F2539" s="87" t="str">
        <f t="shared" ca="1" si="0"/>
        <v>2024</v>
      </c>
      <c r="H2539" s="26" t="str">
        <f t="shared" si="1"/>
        <v/>
      </c>
      <c r="I2539" s="26" t="str">
        <f t="shared" si="2"/>
        <v/>
      </c>
      <c r="J2539" s="86">
        <f t="shared" ca="1" si="3"/>
        <v>45328</v>
      </c>
      <c r="R2539" s="26"/>
    </row>
    <row r="2540" spans="1:18" ht="15.75" customHeight="1">
      <c r="A2540" s="26">
        <f ca="1">IFERROR(__xludf.DUMMYFUNCTION("""COMPUTED_VALUE"""),22716)</f>
        <v>22716</v>
      </c>
      <c r="B2540" s="86">
        <f ca="1">IFERROR(__xludf.DUMMYFUNCTION("""COMPUTED_VALUE"""),45328.8858449074)</f>
        <v>45328.885844907403</v>
      </c>
      <c r="C2540" s="1" t="str">
        <f ca="1">IFERROR(__xludf.DUMMYFUNCTION("""COMPUTED_VALUE"""),"completed")</f>
        <v>completed</v>
      </c>
      <c r="D2540" s="26">
        <f ca="1">IFERROR(__xludf.DUMMYFUNCTION("""COMPUTED_VALUE"""),55)</f>
        <v>55</v>
      </c>
      <c r="E2540" s="1" t="str">
        <f ca="1">IFERROR(__xludf.DUMMYFUNCTION("""COMPUTED_VALUE"""),"Erie North Shore Minor Hockey")</f>
        <v>Erie North Shore Minor Hockey</v>
      </c>
      <c r="F2540" s="87" t="str">
        <f t="shared" ca="1" si="0"/>
        <v>2024</v>
      </c>
      <c r="H2540" s="26" t="str">
        <f t="shared" si="1"/>
        <v/>
      </c>
      <c r="I2540" s="26" t="str">
        <f t="shared" si="2"/>
        <v/>
      </c>
      <c r="J2540" s="86">
        <f t="shared" ca="1" si="3"/>
        <v>45328</v>
      </c>
      <c r="R2540" s="26"/>
    </row>
    <row r="2541" spans="1:18" ht="15.75" customHeight="1">
      <c r="A2541" s="26">
        <f ca="1">IFERROR(__xludf.DUMMYFUNCTION("""COMPUTED_VALUE"""),22717)</f>
        <v>22717</v>
      </c>
      <c r="B2541" s="86">
        <f ca="1">IFERROR(__xludf.DUMMYFUNCTION("""COMPUTED_VALUE"""),45328.9050810185)</f>
        <v>45328.9050810185</v>
      </c>
      <c r="C2541" s="1" t="str">
        <f ca="1">IFERROR(__xludf.DUMMYFUNCTION("""COMPUTED_VALUE"""),"on-hold")</f>
        <v>on-hold</v>
      </c>
      <c r="D2541" s="26">
        <f ca="1">IFERROR(__xludf.DUMMYFUNCTION("""COMPUTED_VALUE"""),0)</f>
        <v>0</v>
      </c>
      <c r="E2541" s="1" t="str">
        <f ca="1">IFERROR(__xludf.DUMMYFUNCTION("""COMPUTED_VALUE"""),"Erie North Shore Minor Hockey")</f>
        <v>Erie North Shore Minor Hockey</v>
      </c>
      <c r="F2541" s="87" t="str">
        <f t="shared" ca="1" si="0"/>
        <v>2024</v>
      </c>
      <c r="H2541" s="26" t="str">
        <f t="shared" si="1"/>
        <v/>
      </c>
      <c r="I2541" s="26" t="str">
        <f t="shared" si="2"/>
        <v/>
      </c>
      <c r="J2541" s="86">
        <f t="shared" ca="1" si="3"/>
        <v>45328</v>
      </c>
      <c r="R2541" s="26"/>
    </row>
    <row r="2542" spans="1:18" ht="15.75" customHeight="1">
      <c r="A2542" s="26">
        <f ca="1">IFERROR(__xludf.DUMMYFUNCTION("""COMPUTED_VALUE"""),22718)</f>
        <v>22718</v>
      </c>
      <c r="B2542" s="86">
        <f ca="1">IFERROR(__xludf.DUMMYFUNCTION("""COMPUTED_VALUE"""),45329.3442361111)</f>
        <v>45329.344236111101</v>
      </c>
      <c r="C2542" s="1" t="str">
        <f ca="1">IFERROR(__xludf.DUMMYFUNCTION("""COMPUTED_VALUE"""),"custom-status")</f>
        <v>custom-status</v>
      </c>
      <c r="D2542" s="26">
        <f ca="1">IFERROR(__xludf.DUMMYFUNCTION("""COMPUTED_VALUE"""),37)</f>
        <v>37</v>
      </c>
      <c r="E2542" s="1" t="str">
        <f ca="1">IFERROR(__xludf.DUMMYFUNCTION("""COMPUTED_VALUE"""),"Erie North Shore Minor Hockey")</f>
        <v>Erie North Shore Minor Hockey</v>
      </c>
      <c r="F2542" s="87" t="str">
        <f t="shared" ca="1" si="0"/>
        <v>2024</v>
      </c>
      <c r="H2542" s="26" t="str">
        <f t="shared" si="1"/>
        <v/>
      </c>
      <c r="I2542" s="26" t="str">
        <f t="shared" si="2"/>
        <v/>
      </c>
      <c r="J2542" s="86">
        <f t="shared" ca="1" si="3"/>
        <v>45329</v>
      </c>
      <c r="R2542" s="26"/>
    </row>
    <row r="2543" spans="1:18" ht="15.75" customHeight="1">
      <c r="A2543" s="26">
        <f ca="1">IFERROR(__xludf.DUMMYFUNCTION("""COMPUTED_VALUE"""),22719)</f>
        <v>22719</v>
      </c>
      <c r="B2543" s="86">
        <f ca="1">IFERROR(__xludf.DUMMYFUNCTION("""COMPUTED_VALUE"""),45329.3600810185)</f>
        <v>45329.360081018502</v>
      </c>
      <c r="C2543" s="1" t="str">
        <f ca="1">IFERROR(__xludf.DUMMYFUNCTION("""COMPUTED_VALUE"""),"completed")</f>
        <v>completed</v>
      </c>
      <c r="D2543" s="26">
        <f ca="1">IFERROR(__xludf.DUMMYFUNCTION("""COMPUTED_VALUE"""),25)</f>
        <v>25</v>
      </c>
      <c r="E2543" s="1" t="str">
        <f ca="1">IFERROR(__xludf.DUMMYFUNCTION("""COMPUTED_VALUE"""),"Erie North Shore Minor Hockey")</f>
        <v>Erie North Shore Minor Hockey</v>
      </c>
      <c r="F2543" s="87" t="str">
        <f t="shared" ca="1" si="0"/>
        <v>2024</v>
      </c>
      <c r="H2543" s="26" t="str">
        <f t="shared" si="1"/>
        <v/>
      </c>
      <c r="I2543" s="26" t="str">
        <f t="shared" si="2"/>
        <v/>
      </c>
      <c r="J2543" s="86">
        <f t="shared" ca="1" si="3"/>
        <v>45329</v>
      </c>
      <c r="R2543" s="26"/>
    </row>
    <row r="2544" spans="1:18" ht="15.75" customHeight="1">
      <c r="A2544" s="26">
        <f ca="1">IFERROR(__xludf.DUMMYFUNCTION("""COMPUTED_VALUE"""),22720)</f>
        <v>22720</v>
      </c>
      <c r="B2544" s="86">
        <f ca="1">IFERROR(__xludf.DUMMYFUNCTION("""COMPUTED_VALUE"""),45329.3752083333)</f>
        <v>45329.375208333302</v>
      </c>
      <c r="C2544" s="1" t="str">
        <f ca="1">IFERROR(__xludf.DUMMYFUNCTION("""COMPUTED_VALUE"""),"custom-status")</f>
        <v>custom-status</v>
      </c>
      <c r="D2544" s="26">
        <f ca="1">IFERROR(__xludf.DUMMYFUNCTION("""COMPUTED_VALUE"""),97)</f>
        <v>97</v>
      </c>
      <c r="E2544" s="1" t="str">
        <f ca="1">IFERROR(__xludf.DUMMYFUNCTION("""COMPUTED_VALUE"""),"Erie North Shore Minor Hockey")</f>
        <v>Erie North Shore Minor Hockey</v>
      </c>
      <c r="F2544" s="87" t="str">
        <f t="shared" ca="1" si="0"/>
        <v>2024</v>
      </c>
      <c r="H2544" s="26" t="str">
        <f t="shared" si="1"/>
        <v/>
      </c>
      <c r="I2544" s="26" t="str">
        <f t="shared" si="2"/>
        <v/>
      </c>
      <c r="J2544" s="86">
        <f t="shared" ca="1" si="3"/>
        <v>45329</v>
      </c>
      <c r="R2544" s="26"/>
    </row>
    <row r="2545" spans="1:18" ht="15.75" customHeight="1">
      <c r="A2545" s="26">
        <f ca="1">IFERROR(__xludf.DUMMYFUNCTION("""COMPUTED_VALUE"""),22723)</f>
        <v>22723</v>
      </c>
      <c r="B2545" s="86">
        <f ca="1">IFERROR(__xludf.DUMMYFUNCTION("""COMPUTED_VALUE"""),45329.7493055555)</f>
        <v>45329.749305555502</v>
      </c>
      <c r="C2545" s="1" t="str">
        <f ca="1">IFERROR(__xludf.DUMMYFUNCTION("""COMPUTED_VALUE"""),"custom-status")</f>
        <v>custom-status</v>
      </c>
      <c r="D2545" s="26">
        <f ca="1">IFERROR(__xludf.DUMMYFUNCTION("""COMPUTED_VALUE"""),53)</f>
        <v>53</v>
      </c>
      <c r="E2545" s="1" t="str">
        <f ca="1">IFERROR(__xludf.DUMMYFUNCTION("""COMPUTED_VALUE"""),"Erie North Shore Minor Hockey")</f>
        <v>Erie North Shore Minor Hockey</v>
      </c>
      <c r="F2545" s="87" t="str">
        <f t="shared" ca="1" si="0"/>
        <v>2024</v>
      </c>
      <c r="H2545" s="26" t="str">
        <f t="shared" si="1"/>
        <v/>
      </c>
      <c r="I2545" s="26" t="str">
        <f t="shared" si="2"/>
        <v/>
      </c>
      <c r="J2545" s="86">
        <f t="shared" ca="1" si="3"/>
        <v>45329</v>
      </c>
      <c r="R2545" s="26"/>
    </row>
    <row r="2546" spans="1:18" ht="15.75" customHeight="1">
      <c r="A2546" s="26">
        <f ca="1">IFERROR(__xludf.DUMMYFUNCTION("""COMPUTED_VALUE"""),22724)</f>
        <v>22724</v>
      </c>
      <c r="B2546" s="86">
        <f ca="1">IFERROR(__xludf.DUMMYFUNCTION("""COMPUTED_VALUE"""),45329.8199305555)</f>
        <v>45329.819930555503</v>
      </c>
      <c r="C2546" s="1" t="str">
        <f ca="1">IFERROR(__xludf.DUMMYFUNCTION("""COMPUTED_VALUE"""),"completed")</f>
        <v>completed</v>
      </c>
      <c r="D2546" s="26">
        <f ca="1">IFERROR(__xludf.DUMMYFUNCTION("""COMPUTED_VALUE"""),35)</f>
        <v>35</v>
      </c>
      <c r="E2546" s="1" t="str">
        <f ca="1">IFERROR(__xludf.DUMMYFUNCTION("""COMPUTED_VALUE"""),"Erie North Shore Minor Hockey")</f>
        <v>Erie North Shore Minor Hockey</v>
      </c>
      <c r="F2546" s="87" t="str">
        <f t="shared" ca="1" si="0"/>
        <v>2024</v>
      </c>
      <c r="H2546" s="26" t="str">
        <f t="shared" si="1"/>
        <v/>
      </c>
      <c r="I2546" s="26" t="str">
        <f t="shared" si="2"/>
        <v/>
      </c>
      <c r="J2546" s="86">
        <f t="shared" ca="1" si="3"/>
        <v>45329</v>
      </c>
      <c r="R2546" s="26"/>
    </row>
    <row r="2547" spans="1:18" ht="15.75" customHeight="1">
      <c r="A2547" s="26">
        <f ca="1">IFERROR(__xludf.DUMMYFUNCTION("""COMPUTED_VALUE"""),22725)</f>
        <v>22725</v>
      </c>
      <c r="B2547" s="86">
        <f ca="1">IFERROR(__xludf.DUMMYFUNCTION("""COMPUTED_VALUE"""),45329.8423726851)</f>
        <v>45329.842372685103</v>
      </c>
      <c r="C2547" s="1" t="str">
        <f ca="1">IFERROR(__xludf.DUMMYFUNCTION("""COMPUTED_VALUE"""),"completed")</f>
        <v>completed</v>
      </c>
      <c r="D2547" s="26">
        <f ca="1">IFERROR(__xludf.DUMMYFUNCTION("""COMPUTED_VALUE"""),33)</f>
        <v>33</v>
      </c>
      <c r="E2547" s="1" t="str">
        <f ca="1">IFERROR(__xludf.DUMMYFUNCTION("""COMPUTED_VALUE"""),"Erie North Shore Minor Hockey")</f>
        <v>Erie North Shore Minor Hockey</v>
      </c>
      <c r="F2547" s="87" t="str">
        <f t="shared" ca="1" si="0"/>
        <v>2024</v>
      </c>
      <c r="H2547" s="26" t="str">
        <f t="shared" si="1"/>
        <v/>
      </c>
      <c r="I2547" s="26" t="str">
        <f t="shared" si="2"/>
        <v/>
      </c>
      <c r="J2547" s="86">
        <f t="shared" ca="1" si="3"/>
        <v>45329</v>
      </c>
      <c r="R2547" s="26"/>
    </row>
    <row r="2548" spans="1:18" ht="15.75" customHeight="1">
      <c r="A2548" s="26">
        <f ca="1">IFERROR(__xludf.DUMMYFUNCTION("""COMPUTED_VALUE"""),22726)</f>
        <v>22726</v>
      </c>
      <c r="B2548" s="86">
        <f ca="1">IFERROR(__xludf.DUMMYFUNCTION("""COMPUTED_VALUE"""),45329.8552893518)</f>
        <v>45329.855289351799</v>
      </c>
      <c r="C2548" s="1" t="str">
        <f ca="1">IFERROR(__xludf.DUMMYFUNCTION("""COMPUTED_VALUE"""),"completed")</f>
        <v>completed</v>
      </c>
      <c r="D2548" s="26">
        <f ca="1">IFERROR(__xludf.DUMMYFUNCTION("""COMPUTED_VALUE"""),55)</f>
        <v>55</v>
      </c>
      <c r="E2548" s="1" t="str">
        <f ca="1">IFERROR(__xludf.DUMMYFUNCTION("""COMPUTED_VALUE"""),"Erie North Shore Minor Hockey")</f>
        <v>Erie North Shore Minor Hockey</v>
      </c>
      <c r="F2548" s="87" t="str">
        <f t="shared" ca="1" si="0"/>
        <v>2024</v>
      </c>
      <c r="H2548" s="26" t="str">
        <f t="shared" si="1"/>
        <v/>
      </c>
      <c r="I2548" s="26" t="str">
        <f t="shared" si="2"/>
        <v/>
      </c>
      <c r="J2548" s="86">
        <f t="shared" ca="1" si="3"/>
        <v>45329</v>
      </c>
      <c r="R2548" s="26"/>
    </row>
    <row r="2549" spans="1:18" ht="15.75" customHeight="1">
      <c r="A2549" s="26">
        <f ca="1">IFERROR(__xludf.DUMMYFUNCTION("""COMPUTED_VALUE"""),22727)</f>
        <v>22727</v>
      </c>
      <c r="B2549" s="86">
        <f ca="1">IFERROR(__xludf.DUMMYFUNCTION("""COMPUTED_VALUE"""),45329.9075810185)</f>
        <v>45329.907581018502</v>
      </c>
      <c r="C2549" s="1" t="str">
        <f ca="1">IFERROR(__xludf.DUMMYFUNCTION("""COMPUTED_VALUE"""),"completed")</f>
        <v>completed</v>
      </c>
      <c r="D2549" s="26">
        <f ca="1">IFERROR(__xludf.DUMMYFUNCTION("""COMPUTED_VALUE"""),25)</f>
        <v>25</v>
      </c>
      <c r="E2549" s="1" t="str">
        <f ca="1">IFERROR(__xludf.DUMMYFUNCTION("""COMPUTED_VALUE"""),"Erie North Shore Minor Hockey")</f>
        <v>Erie North Shore Minor Hockey</v>
      </c>
      <c r="F2549" s="87" t="str">
        <f t="shared" ca="1" si="0"/>
        <v>2024</v>
      </c>
      <c r="H2549" s="26" t="str">
        <f t="shared" si="1"/>
        <v/>
      </c>
      <c r="I2549" s="26" t="str">
        <f t="shared" si="2"/>
        <v/>
      </c>
      <c r="J2549" s="86">
        <f t="shared" ca="1" si="3"/>
        <v>45329</v>
      </c>
      <c r="R2549" s="26"/>
    </row>
    <row r="2550" spans="1:18" ht="15.75" customHeight="1">
      <c r="A2550" s="26">
        <f ca="1">IFERROR(__xludf.DUMMYFUNCTION("""COMPUTED_VALUE"""),22728)</f>
        <v>22728</v>
      </c>
      <c r="B2550" s="86">
        <f ca="1">IFERROR(__xludf.DUMMYFUNCTION("""COMPUTED_VALUE"""),45329.9342476851)</f>
        <v>45329.934247685102</v>
      </c>
      <c r="C2550" s="1" t="str">
        <f ca="1">IFERROR(__xludf.DUMMYFUNCTION("""COMPUTED_VALUE"""),"custom-status")</f>
        <v>custom-status</v>
      </c>
      <c r="D2550" s="26">
        <f ca="1">IFERROR(__xludf.DUMMYFUNCTION("""COMPUTED_VALUE"""),22)</f>
        <v>22</v>
      </c>
      <c r="E2550" s="1" t="str">
        <f ca="1">IFERROR(__xludf.DUMMYFUNCTION("""COMPUTED_VALUE"""),"Erie North Shore Minor Hockey")</f>
        <v>Erie North Shore Minor Hockey</v>
      </c>
      <c r="F2550" s="87" t="str">
        <f t="shared" ca="1" si="0"/>
        <v>2024</v>
      </c>
      <c r="H2550" s="26" t="str">
        <f t="shared" si="1"/>
        <v/>
      </c>
      <c r="I2550" s="26" t="str">
        <f t="shared" si="2"/>
        <v/>
      </c>
      <c r="J2550" s="86">
        <f t="shared" ca="1" si="3"/>
        <v>45329</v>
      </c>
      <c r="R2550" s="26"/>
    </row>
    <row r="2551" spans="1:18" ht="15.75" customHeight="1">
      <c r="A2551" s="26">
        <f ca="1">IFERROR(__xludf.DUMMYFUNCTION("""COMPUTED_VALUE"""),22729)</f>
        <v>22729</v>
      </c>
      <c r="B2551" s="86">
        <f ca="1">IFERROR(__xludf.DUMMYFUNCTION("""COMPUTED_VALUE"""),45330.3505555555)</f>
        <v>45330.350555555502</v>
      </c>
      <c r="C2551" s="1" t="str">
        <f ca="1">IFERROR(__xludf.DUMMYFUNCTION("""COMPUTED_VALUE"""),"custom-status")</f>
        <v>custom-status</v>
      </c>
      <c r="D2551" s="26">
        <f ca="1">IFERROR(__xludf.DUMMYFUNCTION("""COMPUTED_VALUE"""),95)</f>
        <v>95</v>
      </c>
      <c r="E2551" s="1" t="str">
        <f ca="1">IFERROR(__xludf.DUMMYFUNCTION("""COMPUTED_VALUE"""),"Erie North Shore Minor Hockey")</f>
        <v>Erie North Shore Minor Hockey</v>
      </c>
      <c r="F2551" s="87" t="str">
        <f t="shared" ca="1" si="0"/>
        <v>2024</v>
      </c>
      <c r="H2551" s="26" t="str">
        <f t="shared" si="1"/>
        <v/>
      </c>
      <c r="I2551" s="26" t="str">
        <f t="shared" si="2"/>
        <v/>
      </c>
      <c r="J2551" s="86">
        <f t="shared" ca="1" si="3"/>
        <v>45330</v>
      </c>
      <c r="R2551" s="26"/>
    </row>
    <row r="2552" spans="1:18" ht="15.75" customHeight="1">
      <c r="A2552" s="26">
        <f ca="1">IFERROR(__xludf.DUMMYFUNCTION("""COMPUTED_VALUE"""),22730)</f>
        <v>22730</v>
      </c>
      <c r="B2552" s="86">
        <f ca="1">IFERROR(__xludf.DUMMYFUNCTION("""COMPUTED_VALUE"""),45330.3721759259)</f>
        <v>45330.372175925899</v>
      </c>
      <c r="C2552" s="1" t="str">
        <f ca="1">IFERROR(__xludf.DUMMYFUNCTION("""COMPUTED_VALUE"""),"custom-status")</f>
        <v>custom-status</v>
      </c>
      <c r="D2552" s="26">
        <f ca="1">IFERROR(__xludf.DUMMYFUNCTION("""COMPUTED_VALUE"""),47)</f>
        <v>47</v>
      </c>
      <c r="E2552" s="1" t="str">
        <f ca="1">IFERROR(__xludf.DUMMYFUNCTION("""COMPUTED_VALUE"""),"Erie North Shore Minor Hockey")</f>
        <v>Erie North Shore Minor Hockey</v>
      </c>
      <c r="F2552" s="87" t="str">
        <f t="shared" ca="1" si="0"/>
        <v>2024</v>
      </c>
      <c r="H2552" s="26" t="str">
        <f t="shared" si="1"/>
        <v/>
      </c>
      <c r="I2552" s="26" t="str">
        <f t="shared" si="2"/>
        <v/>
      </c>
      <c r="J2552" s="86">
        <f t="shared" ca="1" si="3"/>
        <v>45330</v>
      </c>
      <c r="R2552" s="26"/>
    </row>
    <row r="2553" spans="1:18" ht="15.75" customHeight="1">
      <c r="A2553" s="26">
        <f ca="1">IFERROR(__xludf.DUMMYFUNCTION("""COMPUTED_VALUE"""),22731)</f>
        <v>22731</v>
      </c>
      <c r="B2553" s="86">
        <f ca="1">IFERROR(__xludf.DUMMYFUNCTION("""COMPUTED_VALUE"""),45330.4131828703)</f>
        <v>45330.413182870303</v>
      </c>
      <c r="C2553" s="1" t="str">
        <f ca="1">IFERROR(__xludf.DUMMYFUNCTION("""COMPUTED_VALUE"""),"custom-status")</f>
        <v>custom-status</v>
      </c>
      <c r="D2553" s="26">
        <f ca="1">IFERROR(__xludf.DUMMYFUNCTION("""COMPUTED_VALUE"""),52)</f>
        <v>52</v>
      </c>
      <c r="E2553" s="1" t="str">
        <f ca="1">IFERROR(__xludf.DUMMYFUNCTION("""COMPUTED_VALUE"""),"Erie North Shore Minor Hockey")</f>
        <v>Erie North Shore Minor Hockey</v>
      </c>
      <c r="F2553" s="87" t="str">
        <f t="shared" ca="1" si="0"/>
        <v>2024</v>
      </c>
      <c r="H2553" s="26" t="str">
        <f t="shared" si="1"/>
        <v/>
      </c>
      <c r="I2553" s="26" t="str">
        <f t="shared" si="2"/>
        <v/>
      </c>
      <c r="J2553" s="86">
        <f t="shared" ca="1" si="3"/>
        <v>45330</v>
      </c>
      <c r="R2553" s="26"/>
    </row>
    <row r="2554" spans="1:18" ht="15.75" customHeight="1">
      <c r="A2554" s="26">
        <f ca="1">IFERROR(__xludf.DUMMYFUNCTION("""COMPUTED_VALUE"""),22732)</f>
        <v>22732</v>
      </c>
      <c r="B2554" s="86">
        <f ca="1">IFERROR(__xludf.DUMMYFUNCTION("""COMPUTED_VALUE"""),45330.4193171296)</f>
        <v>45330.419317129599</v>
      </c>
      <c r="C2554" s="1" t="str">
        <f ca="1">IFERROR(__xludf.DUMMYFUNCTION("""COMPUTED_VALUE"""),"completed")</f>
        <v>completed</v>
      </c>
      <c r="D2554" s="26">
        <f ca="1">IFERROR(__xludf.DUMMYFUNCTION("""COMPUTED_VALUE"""),94)</f>
        <v>94</v>
      </c>
      <c r="E2554" s="1" t="str">
        <f ca="1">IFERROR(__xludf.DUMMYFUNCTION("""COMPUTED_VALUE"""),"Erie North Shore Minor Hockey")</f>
        <v>Erie North Shore Minor Hockey</v>
      </c>
      <c r="F2554" s="87" t="str">
        <f t="shared" ca="1" si="0"/>
        <v>2024</v>
      </c>
      <c r="H2554" s="26" t="str">
        <f t="shared" si="1"/>
        <v/>
      </c>
      <c r="I2554" s="26" t="str">
        <f t="shared" si="2"/>
        <v/>
      </c>
      <c r="J2554" s="86">
        <f t="shared" ca="1" si="3"/>
        <v>45330</v>
      </c>
      <c r="R2554" s="26"/>
    </row>
    <row r="2555" spans="1:18" ht="15.75" customHeight="1">
      <c r="A2555" s="26">
        <f ca="1">IFERROR(__xludf.DUMMYFUNCTION("""COMPUTED_VALUE"""),22733)</f>
        <v>22733</v>
      </c>
      <c r="B2555" s="86">
        <f ca="1">IFERROR(__xludf.DUMMYFUNCTION("""COMPUTED_VALUE"""),45330.4338541666)</f>
        <v>45330.4338541666</v>
      </c>
      <c r="C2555" s="1" t="str">
        <f ca="1">IFERROR(__xludf.DUMMYFUNCTION("""COMPUTED_VALUE"""),"completed")</f>
        <v>completed</v>
      </c>
      <c r="D2555" s="26">
        <f ca="1">IFERROR(__xludf.DUMMYFUNCTION("""COMPUTED_VALUE"""),25)</f>
        <v>25</v>
      </c>
      <c r="E2555" s="1" t="str">
        <f ca="1">IFERROR(__xludf.DUMMYFUNCTION("""COMPUTED_VALUE"""),"Erie North Shore Minor Hockey")</f>
        <v>Erie North Shore Minor Hockey</v>
      </c>
      <c r="F2555" s="87" t="str">
        <f t="shared" ca="1" si="0"/>
        <v>2024</v>
      </c>
      <c r="H2555" s="26" t="str">
        <f t="shared" si="1"/>
        <v/>
      </c>
      <c r="I2555" s="26" t="str">
        <f t="shared" si="2"/>
        <v/>
      </c>
      <c r="J2555" s="86">
        <f t="shared" ca="1" si="3"/>
        <v>45330</v>
      </c>
      <c r="R2555" s="26"/>
    </row>
    <row r="2556" spans="1:18" ht="15.75" customHeight="1">
      <c r="A2556" s="26">
        <f ca="1">IFERROR(__xludf.DUMMYFUNCTION("""COMPUTED_VALUE"""),22734)</f>
        <v>22734</v>
      </c>
      <c r="B2556" s="86">
        <f ca="1">IFERROR(__xludf.DUMMYFUNCTION("""COMPUTED_VALUE"""),45330.4912384259)</f>
        <v>45330.491238425901</v>
      </c>
      <c r="C2556" s="1" t="str">
        <f ca="1">IFERROR(__xludf.DUMMYFUNCTION("""COMPUTED_VALUE"""),"completed")</f>
        <v>completed</v>
      </c>
      <c r="D2556" s="26">
        <f ca="1">IFERROR(__xludf.DUMMYFUNCTION("""COMPUTED_VALUE"""),25)</f>
        <v>25</v>
      </c>
      <c r="E2556" s="1" t="str">
        <f ca="1">IFERROR(__xludf.DUMMYFUNCTION("""COMPUTED_VALUE"""),"Erie North Shore Minor Hockey")</f>
        <v>Erie North Shore Minor Hockey</v>
      </c>
      <c r="F2556" s="87" t="str">
        <f t="shared" ca="1" si="0"/>
        <v>2024</v>
      </c>
      <c r="H2556" s="26" t="str">
        <f t="shared" si="1"/>
        <v/>
      </c>
      <c r="I2556" s="26" t="str">
        <f t="shared" si="2"/>
        <v/>
      </c>
      <c r="J2556" s="86">
        <f t="shared" ca="1" si="3"/>
        <v>45330</v>
      </c>
      <c r="R2556" s="26"/>
    </row>
    <row r="2557" spans="1:18" ht="15.75" customHeight="1">
      <c r="A2557" s="26">
        <f ca="1">IFERROR(__xludf.DUMMYFUNCTION("""COMPUTED_VALUE"""),22735)</f>
        <v>22735</v>
      </c>
      <c r="B2557" s="86">
        <f ca="1">IFERROR(__xludf.DUMMYFUNCTION("""COMPUTED_VALUE"""),45330.5867824074)</f>
        <v>45330.586782407401</v>
      </c>
      <c r="C2557" s="1" t="str">
        <f ca="1">IFERROR(__xludf.DUMMYFUNCTION("""COMPUTED_VALUE"""),"custom-status")</f>
        <v>custom-status</v>
      </c>
      <c r="D2557" s="26">
        <f ca="1">IFERROR(__xludf.DUMMYFUNCTION("""COMPUTED_VALUE"""),53)</f>
        <v>53</v>
      </c>
      <c r="E2557" s="1" t="str">
        <f ca="1">IFERROR(__xludf.DUMMYFUNCTION("""COMPUTED_VALUE"""),"Erie North Shore Minor Hockey")</f>
        <v>Erie North Shore Minor Hockey</v>
      </c>
      <c r="F2557" s="87" t="str">
        <f t="shared" ca="1" si="0"/>
        <v>2024</v>
      </c>
      <c r="H2557" s="26" t="str">
        <f t="shared" si="1"/>
        <v/>
      </c>
      <c r="I2557" s="26" t="str">
        <f t="shared" si="2"/>
        <v/>
      </c>
      <c r="J2557" s="86">
        <f t="shared" ca="1" si="3"/>
        <v>45330</v>
      </c>
      <c r="R2557" s="26"/>
    </row>
    <row r="2558" spans="1:18" ht="15.75" customHeight="1">
      <c r="A2558" s="26">
        <f ca="1">IFERROR(__xludf.DUMMYFUNCTION("""COMPUTED_VALUE"""),22740)</f>
        <v>22740</v>
      </c>
      <c r="B2558" s="86">
        <f ca="1">IFERROR(__xludf.DUMMYFUNCTION("""COMPUTED_VALUE"""),45330.7661921296)</f>
        <v>45330.766192129602</v>
      </c>
      <c r="C2558" s="1" t="str">
        <f ca="1">IFERROR(__xludf.DUMMYFUNCTION("""COMPUTED_VALUE"""),"custom-status")</f>
        <v>custom-status</v>
      </c>
      <c r="D2558" s="26">
        <f ca="1">IFERROR(__xludf.DUMMYFUNCTION("""COMPUTED_VALUE"""),25)</f>
        <v>25</v>
      </c>
      <c r="E2558" s="1" t="str">
        <f ca="1">IFERROR(__xludf.DUMMYFUNCTION("""COMPUTED_VALUE"""),"Erie North Shore Minor Hockey")</f>
        <v>Erie North Shore Minor Hockey</v>
      </c>
      <c r="F2558" s="87" t="str">
        <f t="shared" ca="1" si="0"/>
        <v>2024</v>
      </c>
      <c r="H2558" s="26" t="str">
        <f t="shared" si="1"/>
        <v/>
      </c>
      <c r="I2558" s="26" t="str">
        <f t="shared" si="2"/>
        <v/>
      </c>
      <c r="J2558" s="86">
        <f t="shared" ca="1" si="3"/>
        <v>45330</v>
      </c>
      <c r="R2558" s="26"/>
    </row>
    <row r="2559" spans="1:18" ht="15.75" customHeight="1">
      <c r="A2559" s="26">
        <f ca="1">IFERROR(__xludf.DUMMYFUNCTION("""COMPUTED_VALUE"""),22742)</f>
        <v>22742</v>
      </c>
      <c r="B2559" s="86">
        <f ca="1">IFERROR(__xludf.DUMMYFUNCTION("""COMPUTED_VALUE"""),45330.8307407407)</f>
        <v>45330.830740740697</v>
      </c>
      <c r="C2559" s="1" t="str">
        <f ca="1">IFERROR(__xludf.DUMMYFUNCTION("""COMPUTED_VALUE"""),"completed")</f>
        <v>completed</v>
      </c>
      <c r="D2559" s="26">
        <f ca="1">IFERROR(__xludf.DUMMYFUNCTION("""COMPUTED_VALUE"""),40)</f>
        <v>40</v>
      </c>
      <c r="E2559" s="1" t="str">
        <f ca="1">IFERROR(__xludf.DUMMYFUNCTION("""COMPUTED_VALUE"""),"Erie North Shore Minor Hockey")</f>
        <v>Erie North Shore Minor Hockey</v>
      </c>
      <c r="F2559" s="87" t="str">
        <f t="shared" ca="1" si="0"/>
        <v>2024</v>
      </c>
      <c r="H2559" s="26" t="str">
        <f t="shared" si="1"/>
        <v/>
      </c>
      <c r="I2559" s="26" t="str">
        <f t="shared" si="2"/>
        <v/>
      </c>
      <c r="J2559" s="86">
        <f t="shared" ca="1" si="3"/>
        <v>45330</v>
      </c>
      <c r="R2559" s="26"/>
    </row>
    <row r="2560" spans="1:18" ht="15.75" customHeight="1">
      <c r="A2560" s="26">
        <f ca="1">IFERROR(__xludf.DUMMYFUNCTION("""COMPUTED_VALUE"""),22741)</f>
        <v>22741</v>
      </c>
      <c r="B2560" s="86">
        <f ca="1">IFERROR(__xludf.DUMMYFUNCTION("""COMPUTED_VALUE"""),45330.8303125)</f>
        <v>45330.830312500002</v>
      </c>
      <c r="C2560" s="1" t="str">
        <f ca="1">IFERROR(__xludf.DUMMYFUNCTION("""COMPUTED_VALUE"""),"completed")</f>
        <v>completed</v>
      </c>
      <c r="D2560" s="26">
        <f ca="1">IFERROR(__xludf.DUMMYFUNCTION("""COMPUTED_VALUE"""),55)</f>
        <v>55</v>
      </c>
      <c r="E2560" s="1" t="str">
        <f ca="1">IFERROR(__xludf.DUMMYFUNCTION("""COMPUTED_VALUE"""),"Erie North Shore Minor Hockey")</f>
        <v>Erie North Shore Minor Hockey</v>
      </c>
      <c r="F2560" s="87" t="str">
        <f t="shared" ca="1" si="0"/>
        <v>2024</v>
      </c>
      <c r="H2560" s="26" t="str">
        <f t="shared" si="1"/>
        <v/>
      </c>
      <c r="I2560" s="26" t="str">
        <f t="shared" si="2"/>
        <v/>
      </c>
      <c r="J2560" s="86">
        <f t="shared" ca="1" si="3"/>
        <v>45330</v>
      </c>
      <c r="R2560" s="26"/>
    </row>
    <row r="2561" spans="1:18" ht="15.75" customHeight="1">
      <c r="A2561" s="26">
        <f ca="1">IFERROR(__xludf.DUMMYFUNCTION("""COMPUTED_VALUE"""),22744)</f>
        <v>22744</v>
      </c>
      <c r="B2561" s="86">
        <f ca="1">IFERROR(__xludf.DUMMYFUNCTION("""COMPUTED_VALUE"""),45330.8372685185)</f>
        <v>45330.837268518502</v>
      </c>
      <c r="C2561" s="1" t="str">
        <f ca="1">IFERROR(__xludf.DUMMYFUNCTION("""COMPUTED_VALUE"""),"completed")</f>
        <v>completed</v>
      </c>
      <c r="D2561" s="26">
        <f ca="1">IFERROR(__xludf.DUMMYFUNCTION("""COMPUTED_VALUE"""),25)</f>
        <v>25</v>
      </c>
      <c r="E2561" s="1" t="str">
        <f ca="1">IFERROR(__xludf.DUMMYFUNCTION("""COMPUTED_VALUE"""),"Erie North Shore Minor Hockey")</f>
        <v>Erie North Shore Minor Hockey</v>
      </c>
      <c r="F2561" s="87" t="str">
        <f t="shared" ca="1" si="0"/>
        <v>2024</v>
      </c>
      <c r="H2561" s="26" t="str">
        <f t="shared" si="1"/>
        <v/>
      </c>
      <c r="I2561" s="26" t="str">
        <f t="shared" si="2"/>
        <v/>
      </c>
      <c r="J2561" s="86">
        <f t="shared" ca="1" si="3"/>
        <v>45330</v>
      </c>
      <c r="R2561" s="26"/>
    </row>
    <row r="2562" spans="1:18" ht="15.75" customHeight="1">
      <c r="A2562" s="26">
        <f ca="1">IFERROR(__xludf.DUMMYFUNCTION("""COMPUTED_VALUE"""),22743)</f>
        <v>22743</v>
      </c>
      <c r="B2562" s="86">
        <f ca="1">IFERROR(__xludf.DUMMYFUNCTION("""COMPUTED_VALUE"""),45330.8338194444)</f>
        <v>45330.8338194444</v>
      </c>
      <c r="C2562" s="1" t="str">
        <f ca="1">IFERROR(__xludf.DUMMYFUNCTION("""COMPUTED_VALUE"""),"completed")</f>
        <v>completed</v>
      </c>
      <c r="D2562" s="26">
        <f ca="1">IFERROR(__xludf.DUMMYFUNCTION("""COMPUTED_VALUE"""),55)</f>
        <v>55</v>
      </c>
      <c r="E2562" s="1" t="str">
        <f ca="1">IFERROR(__xludf.DUMMYFUNCTION("""COMPUTED_VALUE"""),"Erie North Shore Minor Hockey")</f>
        <v>Erie North Shore Minor Hockey</v>
      </c>
      <c r="F2562" s="87" t="str">
        <f t="shared" ca="1" si="0"/>
        <v>2024</v>
      </c>
      <c r="H2562" s="26" t="str">
        <f t="shared" si="1"/>
        <v/>
      </c>
      <c r="I2562" s="26" t="str">
        <f t="shared" si="2"/>
        <v/>
      </c>
      <c r="J2562" s="86">
        <f t="shared" ca="1" si="3"/>
        <v>45330</v>
      </c>
      <c r="R2562" s="26"/>
    </row>
    <row r="2563" spans="1:18" ht="15.75" customHeight="1">
      <c r="A2563" s="26">
        <f ca="1">IFERROR(__xludf.DUMMYFUNCTION("""COMPUTED_VALUE"""),22746)</f>
        <v>22746</v>
      </c>
      <c r="B2563" s="86">
        <f ca="1">IFERROR(__xludf.DUMMYFUNCTION("""COMPUTED_VALUE"""),45330.8571643518)</f>
        <v>45330.857164351801</v>
      </c>
      <c r="C2563" s="1" t="str">
        <f ca="1">IFERROR(__xludf.DUMMYFUNCTION("""COMPUTED_VALUE"""),"custom-status")</f>
        <v>custom-status</v>
      </c>
      <c r="D2563" s="26">
        <f ca="1">IFERROR(__xludf.DUMMYFUNCTION("""COMPUTED_VALUE"""),26)</f>
        <v>26</v>
      </c>
      <c r="E2563" s="1" t="str">
        <f ca="1">IFERROR(__xludf.DUMMYFUNCTION("""COMPUTED_VALUE"""),"Erie North Shore Minor Hockey")</f>
        <v>Erie North Shore Minor Hockey</v>
      </c>
      <c r="F2563" s="87" t="str">
        <f t="shared" ca="1" si="0"/>
        <v>2024</v>
      </c>
      <c r="H2563" s="26" t="str">
        <f t="shared" si="1"/>
        <v/>
      </c>
      <c r="I2563" s="26" t="str">
        <f t="shared" si="2"/>
        <v/>
      </c>
      <c r="J2563" s="86">
        <f t="shared" ca="1" si="3"/>
        <v>45330</v>
      </c>
      <c r="R2563" s="26"/>
    </row>
    <row r="2564" spans="1:18" ht="15.75" customHeight="1">
      <c r="A2564" s="26">
        <f ca="1">IFERROR(__xludf.DUMMYFUNCTION("""COMPUTED_VALUE"""),22745)</f>
        <v>22745</v>
      </c>
      <c r="B2564" s="86">
        <f ca="1">IFERROR(__xludf.DUMMYFUNCTION("""COMPUTED_VALUE"""),45330.8545023148)</f>
        <v>45330.854502314804</v>
      </c>
      <c r="C2564" s="1" t="str">
        <f ca="1">IFERROR(__xludf.DUMMYFUNCTION("""COMPUTED_VALUE"""),"custom-status")</f>
        <v>custom-status</v>
      </c>
      <c r="D2564" s="26">
        <f ca="1">IFERROR(__xludf.DUMMYFUNCTION("""COMPUTED_VALUE"""),26)</f>
        <v>26</v>
      </c>
      <c r="E2564" s="1" t="str">
        <f ca="1">IFERROR(__xludf.DUMMYFUNCTION("""COMPUTED_VALUE"""),"Erie North Shore Minor Hockey")</f>
        <v>Erie North Shore Minor Hockey</v>
      </c>
      <c r="F2564" s="87" t="str">
        <f t="shared" ca="1" si="0"/>
        <v>2024</v>
      </c>
      <c r="H2564" s="26" t="str">
        <f t="shared" si="1"/>
        <v/>
      </c>
      <c r="I2564" s="26" t="str">
        <f t="shared" si="2"/>
        <v/>
      </c>
      <c r="J2564" s="86">
        <f t="shared" ca="1" si="3"/>
        <v>45330</v>
      </c>
      <c r="R2564" s="26"/>
    </row>
    <row r="2565" spans="1:18" ht="15.75" customHeight="1">
      <c r="A2565" s="26">
        <f ca="1">IFERROR(__xludf.DUMMYFUNCTION("""COMPUTED_VALUE"""),22747)</f>
        <v>22747</v>
      </c>
      <c r="B2565" s="86">
        <f ca="1">IFERROR(__xludf.DUMMYFUNCTION("""COMPUTED_VALUE"""),45331.3725231481)</f>
        <v>45331.3725231481</v>
      </c>
      <c r="C2565" s="1" t="str">
        <f ca="1">IFERROR(__xludf.DUMMYFUNCTION("""COMPUTED_VALUE"""),"completed")</f>
        <v>completed</v>
      </c>
      <c r="D2565" s="26">
        <f ca="1">IFERROR(__xludf.DUMMYFUNCTION("""COMPUTED_VALUE"""),47)</f>
        <v>47</v>
      </c>
      <c r="E2565" s="1" t="str">
        <f ca="1">IFERROR(__xludf.DUMMYFUNCTION("""COMPUTED_VALUE"""),"Erie North Shore Minor Hockey")</f>
        <v>Erie North Shore Minor Hockey</v>
      </c>
      <c r="F2565" s="87" t="str">
        <f t="shared" ca="1" si="0"/>
        <v>2024</v>
      </c>
      <c r="H2565" s="26" t="str">
        <f t="shared" si="1"/>
        <v/>
      </c>
      <c r="I2565" s="26" t="str">
        <f t="shared" si="2"/>
        <v/>
      </c>
      <c r="J2565" s="86">
        <f t="shared" ca="1" si="3"/>
        <v>45331</v>
      </c>
      <c r="R2565" s="26"/>
    </row>
    <row r="2566" spans="1:18" ht="15.75" customHeight="1">
      <c r="A2566" s="26">
        <f ca="1">IFERROR(__xludf.DUMMYFUNCTION("""COMPUTED_VALUE"""),22748)</f>
        <v>22748</v>
      </c>
      <c r="B2566" s="86">
        <f ca="1">IFERROR(__xludf.DUMMYFUNCTION("""COMPUTED_VALUE"""),45331.4053472222)</f>
        <v>45331.4053472222</v>
      </c>
      <c r="C2566" s="1" t="str">
        <f ca="1">IFERROR(__xludf.DUMMYFUNCTION("""COMPUTED_VALUE"""),"custom-status")</f>
        <v>custom-status</v>
      </c>
      <c r="D2566" s="26">
        <f ca="1">IFERROR(__xludf.DUMMYFUNCTION("""COMPUTED_VALUE"""),52)</f>
        <v>52</v>
      </c>
      <c r="E2566" s="1" t="str">
        <f ca="1">IFERROR(__xludf.DUMMYFUNCTION("""COMPUTED_VALUE"""),"Erie North Shore Minor Hockey")</f>
        <v>Erie North Shore Minor Hockey</v>
      </c>
      <c r="F2566" s="87" t="str">
        <f t="shared" ca="1" si="0"/>
        <v>2024</v>
      </c>
      <c r="H2566" s="26" t="str">
        <f t="shared" si="1"/>
        <v/>
      </c>
      <c r="I2566" s="26" t="str">
        <f t="shared" si="2"/>
        <v/>
      </c>
      <c r="J2566" s="86">
        <f t="shared" ca="1" si="3"/>
        <v>45331</v>
      </c>
      <c r="R2566" s="26"/>
    </row>
    <row r="2567" spans="1:18" ht="15.75" customHeight="1">
      <c r="A2567" s="26">
        <f ca="1">IFERROR(__xludf.DUMMYFUNCTION("""COMPUTED_VALUE"""),22764)</f>
        <v>22764</v>
      </c>
      <c r="B2567" s="86">
        <f ca="1">IFERROR(__xludf.DUMMYFUNCTION("""COMPUTED_VALUE"""),45331.532824074)</f>
        <v>45331.532824073998</v>
      </c>
      <c r="C2567" s="1" t="str">
        <f ca="1">IFERROR(__xludf.DUMMYFUNCTION("""COMPUTED_VALUE"""),"completed")</f>
        <v>completed</v>
      </c>
      <c r="D2567" s="26">
        <f ca="1">IFERROR(__xludf.DUMMYFUNCTION("""COMPUTED_VALUE"""),42)</f>
        <v>42</v>
      </c>
      <c r="E2567" s="1" t="str">
        <f ca="1">IFERROR(__xludf.DUMMYFUNCTION("""COMPUTED_VALUE"""),"Erie North Shore Minor Hockey")</f>
        <v>Erie North Shore Minor Hockey</v>
      </c>
      <c r="F2567" s="87" t="str">
        <f t="shared" ca="1" si="0"/>
        <v>2024</v>
      </c>
      <c r="H2567" s="26" t="str">
        <f t="shared" si="1"/>
        <v/>
      </c>
      <c r="I2567" s="26" t="str">
        <f t="shared" si="2"/>
        <v/>
      </c>
      <c r="J2567" s="86">
        <f t="shared" ca="1" si="3"/>
        <v>45331</v>
      </c>
      <c r="R2567" s="26"/>
    </row>
    <row r="2568" spans="1:18" ht="15.75" customHeight="1">
      <c r="A2568" s="26">
        <f ca="1">IFERROR(__xludf.DUMMYFUNCTION("""COMPUTED_VALUE"""),22768)</f>
        <v>22768</v>
      </c>
      <c r="B2568" s="86">
        <f ca="1">IFERROR(__xludf.DUMMYFUNCTION("""COMPUTED_VALUE"""),45331.7225578703)</f>
        <v>45331.7225578703</v>
      </c>
      <c r="C2568" s="1" t="str">
        <f ca="1">IFERROR(__xludf.DUMMYFUNCTION("""COMPUTED_VALUE"""),"completed")</f>
        <v>completed</v>
      </c>
      <c r="D2568" s="26">
        <f ca="1">IFERROR(__xludf.DUMMYFUNCTION("""COMPUTED_VALUE"""),25)</f>
        <v>25</v>
      </c>
      <c r="E2568" s="1" t="str">
        <f ca="1">IFERROR(__xludf.DUMMYFUNCTION("""COMPUTED_VALUE"""),"Erie North Shore Minor Hockey")</f>
        <v>Erie North Shore Minor Hockey</v>
      </c>
      <c r="F2568" s="87" t="str">
        <f t="shared" ca="1" si="0"/>
        <v>2024</v>
      </c>
      <c r="H2568" s="26" t="str">
        <f t="shared" si="1"/>
        <v/>
      </c>
      <c r="I2568" s="26" t="str">
        <f t="shared" si="2"/>
        <v/>
      </c>
      <c r="J2568" s="86">
        <f t="shared" ca="1" si="3"/>
        <v>45331</v>
      </c>
      <c r="R2568" s="26"/>
    </row>
    <row r="2569" spans="1:18" ht="15.75" customHeight="1">
      <c r="A2569" s="26">
        <f ca="1">IFERROR(__xludf.DUMMYFUNCTION("""COMPUTED_VALUE"""),22769)</f>
        <v>22769</v>
      </c>
      <c r="B2569" s="86">
        <f ca="1">IFERROR(__xludf.DUMMYFUNCTION("""COMPUTED_VALUE"""),45331.8274537037)</f>
        <v>45331.8274537037</v>
      </c>
      <c r="C2569" s="1" t="str">
        <f ca="1">IFERROR(__xludf.DUMMYFUNCTION("""COMPUTED_VALUE"""),"completed")</f>
        <v>completed</v>
      </c>
      <c r="D2569" s="26">
        <f ca="1">IFERROR(__xludf.DUMMYFUNCTION("""COMPUTED_VALUE"""),68)</f>
        <v>68</v>
      </c>
      <c r="E2569" s="1" t="str">
        <f ca="1">IFERROR(__xludf.DUMMYFUNCTION("""COMPUTED_VALUE"""),"Erie North Shore Minor Hockey")</f>
        <v>Erie North Shore Minor Hockey</v>
      </c>
      <c r="F2569" s="87" t="str">
        <f t="shared" ca="1" si="0"/>
        <v>2024</v>
      </c>
      <c r="H2569" s="26" t="str">
        <f t="shared" si="1"/>
        <v/>
      </c>
      <c r="I2569" s="26" t="str">
        <f t="shared" si="2"/>
        <v/>
      </c>
      <c r="J2569" s="86">
        <f t="shared" ca="1" si="3"/>
        <v>45331</v>
      </c>
      <c r="R2569" s="26"/>
    </row>
    <row r="2570" spans="1:18" ht="15.75" customHeight="1">
      <c r="A2570" s="26">
        <f ca="1">IFERROR(__xludf.DUMMYFUNCTION("""COMPUTED_VALUE"""),22770)</f>
        <v>22770</v>
      </c>
      <c r="B2570" s="86">
        <f ca="1">IFERROR(__xludf.DUMMYFUNCTION("""COMPUTED_VALUE"""),45332.3488194444)</f>
        <v>45332.3488194444</v>
      </c>
      <c r="C2570" s="1" t="str">
        <f ca="1">IFERROR(__xludf.DUMMYFUNCTION("""COMPUTED_VALUE"""),"completed")</f>
        <v>completed</v>
      </c>
      <c r="D2570" s="26">
        <f ca="1">IFERROR(__xludf.DUMMYFUNCTION("""COMPUTED_VALUE"""),45)</f>
        <v>45</v>
      </c>
      <c r="E2570" s="1" t="str">
        <f ca="1">IFERROR(__xludf.DUMMYFUNCTION("""COMPUTED_VALUE"""),"Erie North Shore Minor Hockey")</f>
        <v>Erie North Shore Minor Hockey</v>
      </c>
      <c r="F2570" s="87" t="str">
        <f t="shared" ca="1" si="0"/>
        <v>2024</v>
      </c>
      <c r="H2570" s="26" t="str">
        <f t="shared" si="1"/>
        <v/>
      </c>
      <c r="I2570" s="26" t="str">
        <f t="shared" si="2"/>
        <v/>
      </c>
      <c r="J2570" s="86">
        <f t="shared" ca="1" si="3"/>
        <v>45332</v>
      </c>
      <c r="R2570" s="26"/>
    </row>
    <row r="2571" spans="1:18" ht="15.75" customHeight="1">
      <c r="A2571" s="26">
        <f ca="1">IFERROR(__xludf.DUMMYFUNCTION("""COMPUTED_VALUE"""),22771)</f>
        <v>22771</v>
      </c>
      <c r="B2571" s="86">
        <f ca="1">IFERROR(__xludf.DUMMYFUNCTION("""COMPUTED_VALUE"""),45332.441724537)</f>
        <v>45332.441724536999</v>
      </c>
      <c r="C2571" s="1" t="str">
        <f ca="1">IFERROR(__xludf.DUMMYFUNCTION("""COMPUTED_VALUE"""),"completed")</f>
        <v>completed</v>
      </c>
      <c r="D2571" s="26">
        <f ca="1">IFERROR(__xludf.DUMMYFUNCTION("""COMPUTED_VALUE"""),41)</f>
        <v>41</v>
      </c>
      <c r="E2571" s="1" t="str">
        <f ca="1">IFERROR(__xludf.DUMMYFUNCTION("""COMPUTED_VALUE"""),"Erie North Shore Minor Hockey")</f>
        <v>Erie North Shore Minor Hockey</v>
      </c>
      <c r="F2571" s="87" t="str">
        <f t="shared" ca="1" si="0"/>
        <v>2024</v>
      </c>
      <c r="H2571" s="26" t="str">
        <f t="shared" si="1"/>
        <v/>
      </c>
      <c r="I2571" s="26" t="str">
        <f t="shared" si="2"/>
        <v/>
      </c>
      <c r="J2571" s="86">
        <f t="shared" ca="1" si="3"/>
        <v>45332</v>
      </c>
      <c r="R2571" s="26"/>
    </row>
    <row r="2572" spans="1:18" ht="15.75" customHeight="1">
      <c r="A2572" s="26">
        <f ca="1">IFERROR(__xludf.DUMMYFUNCTION("""COMPUTED_VALUE"""),22773)</f>
        <v>22773</v>
      </c>
      <c r="B2572" s="86">
        <f ca="1">IFERROR(__xludf.DUMMYFUNCTION("""COMPUTED_VALUE"""),45332.4778819444)</f>
        <v>45332.477881944404</v>
      </c>
      <c r="C2572" s="1" t="str">
        <f ca="1">IFERROR(__xludf.DUMMYFUNCTION("""COMPUTED_VALUE"""),"completed")</f>
        <v>completed</v>
      </c>
      <c r="D2572" s="26">
        <f ca="1">IFERROR(__xludf.DUMMYFUNCTION("""COMPUTED_VALUE"""),25)</f>
        <v>25</v>
      </c>
      <c r="E2572" s="1" t="str">
        <f ca="1">IFERROR(__xludf.DUMMYFUNCTION("""COMPUTED_VALUE"""),"Erie North Shore Minor Hockey")</f>
        <v>Erie North Shore Minor Hockey</v>
      </c>
      <c r="F2572" s="87" t="str">
        <f t="shared" ca="1" si="0"/>
        <v>2024</v>
      </c>
      <c r="H2572" s="26" t="str">
        <f t="shared" si="1"/>
        <v/>
      </c>
      <c r="I2572" s="26" t="str">
        <f t="shared" si="2"/>
        <v/>
      </c>
      <c r="J2572" s="86">
        <f t="shared" ca="1" si="3"/>
        <v>45332</v>
      </c>
      <c r="R2572" s="26"/>
    </row>
    <row r="2573" spans="1:18" ht="15.75" customHeight="1">
      <c r="A2573" s="26">
        <f ca="1">IFERROR(__xludf.DUMMYFUNCTION("""COMPUTED_VALUE"""),22772)</f>
        <v>22772</v>
      </c>
      <c r="B2573" s="86">
        <f ca="1">IFERROR(__xludf.DUMMYFUNCTION("""COMPUTED_VALUE"""),45332.4766203703)</f>
        <v>45332.476620370297</v>
      </c>
      <c r="C2573" s="1" t="str">
        <f ca="1">IFERROR(__xludf.DUMMYFUNCTION("""COMPUTED_VALUE"""),"completed")</f>
        <v>completed</v>
      </c>
      <c r="D2573" s="26">
        <f ca="1">IFERROR(__xludf.DUMMYFUNCTION("""COMPUTED_VALUE"""),35)</f>
        <v>35</v>
      </c>
      <c r="E2573" s="1" t="str">
        <f ca="1">IFERROR(__xludf.DUMMYFUNCTION("""COMPUTED_VALUE"""),"Erie North Shore Minor Hockey")</f>
        <v>Erie North Shore Minor Hockey</v>
      </c>
      <c r="F2573" s="87" t="str">
        <f t="shared" ca="1" si="0"/>
        <v>2024</v>
      </c>
      <c r="H2573" s="26" t="str">
        <f t="shared" si="1"/>
        <v/>
      </c>
      <c r="I2573" s="26" t="str">
        <f t="shared" si="2"/>
        <v/>
      </c>
      <c r="J2573" s="86">
        <f t="shared" ca="1" si="3"/>
        <v>45332</v>
      </c>
      <c r="R2573" s="26"/>
    </row>
    <row r="2574" spans="1:18" ht="15.75" customHeight="1">
      <c r="A2574" s="26">
        <f ca="1">IFERROR(__xludf.DUMMYFUNCTION("""COMPUTED_VALUE"""),22774)</f>
        <v>22774</v>
      </c>
      <c r="B2574" s="86">
        <f ca="1">IFERROR(__xludf.DUMMYFUNCTION("""COMPUTED_VALUE"""),45332.5632523148)</f>
        <v>45332.563252314802</v>
      </c>
      <c r="C2574" s="1" t="str">
        <f ca="1">IFERROR(__xludf.DUMMYFUNCTION("""COMPUTED_VALUE"""),"completed")</f>
        <v>completed</v>
      </c>
      <c r="D2574" s="26">
        <f ca="1">IFERROR(__xludf.DUMMYFUNCTION("""COMPUTED_VALUE"""),15)</f>
        <v>15</v>
      </c>
      <c r="E2574" s="1" t="str">
        <f ca="1">IFERROR(__xludf.DUMMYFUNCTION("""COMPUTED_VALUE"""),"Erie North Shore Minor Hockey")</f>
        <v>Erie North Shore Minor Hockey</v>
      </c>
      <c r="F2574" s="87" t="str">
        <f t="shared" ca="1" si="0"/>
        <v>2024</v>
      </c>
      <c r="H2574" s="26" t="str">
        <f t="shared" si="1"/>
        <v/>
      </c>
      <c r="I2574" s="26" t="str">
        <f t="shared" si="2"/>
        <v/>
      </c>
      <c r="J2574" s="86">
        <f t="shared" ca="1" si="3"/>
        <v>45332</v>
      </c>
      <c r="R2574" s="26"/>
    </row>
    <row r="2575" spans="1:18" ht="15.75" customHeight="1">
      <c r="A2575" s="26">
        <f ca="1">IFERROR(__xludf.DUMMYFUNCTION("""COMPUTED_VALUE"""),22775)</f>
        <v>22775</v>
      </c>
      <c r="B2575" s="86">
        <f ca="1">IFERROR(__xludf.DUMMYFUNCTION("""COMPUTED_VALUE"""),45332.6859375)</f>
        <v>45332.685937499999</v>
      </c>
      <c r="C2575" s="1" t="str">
        <f ca="1">IFERROR(__xludf.DUMMYFUNCTION("""COMPUTED_VALUE"""),"completed")</f>
        <v>completed</v>
      </c>
      <c r="D2575" s="26">
        <f ca="1">IFERROR(__xludf.DUMMYFUNCTION("""COMPUTED_VALUE"""),37)</f>
        <v>37</v>
      </c>
      <c r="E2575" s="1" t="str">
        <f ca="1">IFERROR(__xludf.DUMMYFUNCTION("""COMPUTED_VALUE"""),"Erie North Shore Minor Hockey")</f>
        <v>Erie North Shore Minor Hockey</v>
      </c>
      <c r="F2575" s="87" t="str">
        <f t="shared" ca="1" si="0"/>
        <v>2024</v>
      </c>
      <c r="H2575" s="26" t="str">
        <f t="shared" si="1"/>
        <v/>
      </c>
      <c r="I2575" s="26" t="str">
        <f t="shared" si="2"/>
        <v/>
      </c>
      <c r="J2575" s="86">
        <f t="shared" ca="1" si="3"/>
        <v>45332</v>
      </c>
      <c r="R2575" s="26"/>
    </row>
    <row r="2576" spans="1:18" ht="15.75" customHeight="1">
      <c r="A2576" s="26">
        <f ca="1">IFERROR(__xludf.DUMMYFUNCTION("""COMPUTED_VALUE"""),22777)</f>
        <v>22777</v>
      </c>
      <c r="B2576" s="86">
        <f ca="1">IFERROR(__xludf.DUMMYFUNCTION("""COMPUTED_VALUE"""),45332.6902430555)</f>
        <v>45332.690243055498</v>
      </c>
      <c r="C2576" s="1" t="str">
        <f ca="1">IFERROR(__xludf.DUMMYFUNCTION("""COMPUTED_VALUE"""),"completed")</f>
        <v>completed</v>
      </c>
      <c r="D2576" s="26">
        <f ca="1">IFERROR(__xludf.DUMMYFUNCTION("""COMPUTED_VALUE"""),37)</f>
        <v>37</v>
      </c>
      <c r="E2576" s="1" t="str">
        <f ca="1">IFERROR(__xludf.DUMMYFUNCTION("""COMPUTED_VALUE"""),"Erie North Shore Minor Hockey")</f>
        <v>Erie North Shore Minor Hockey</v>
      </c>
      <c r="F2576" s="87" t="str">
        <f t="shared" ca="1" si="0"/>
        <v>2024</v>
      </c>
      <c r="H2576" s="26" t="str">
        <f t="shared" si="1"/>
        <v/>
      </c>
      <c r="I2576" s="26" t="str">
        <f t="shared" si="2"/>
        <v/>
      </c>
      <c r="J2576" s="86">
        <f t="shared" ca="1" si="3"/>
        <v>45332</v>
      </c>
      <c r="R2576" s="26"/>
    </row>
    <row r="2577" spans="1:18" ht="15.75" customHeight="1">
      <c r="A2577" s="26">
        <f ca="1">IFERROR(__xludf.DUMMYFUNCTION("""COMPUTED_VALUE"""),22776)</f>
        <v>22776</v>
      </c>
      <c r="B2577" s="86">
        <f ca="1">IFERROR(__xludf.DUMMYFUNCTION("""COMPUTED_VALUE"""),45332.6880439814)</f>
        <v>45332.688043981398</v>
      </c>
      <c r="C2577" s="1" t="str">
        <f ca="1">IFERROR(__xludf.DUMMYFUNCTION("""COMPUTED_VALUE"""),"pending")</f>
        <v>pending</v>
      </c>
      <c r="D2577" s="26">
        <f ca="1">IFERROR(__xludf.DUMMYFUNCTION("""COMPUTED_VALUE"""),37)</f>
        <v>37</v>
      </c>
      <c r="E2577" s="1" t="str">
        <f ca="1">IFERROR(__xludf.DUMMYFUNCTION("""COMPUTED_VALUE"""),"Erie North Shore Minor Hockey")</f>
        <v>Erie North Shore Minor Hockey</v>
      </c>
      <c r="F2577" s="87" t="str">
        <f t="shared" ca="1" si="0"/>
        <v>2024</v>
      </c>
      <c r="H2577" s="26" t="str">
        <f t="shared" si="1"/>
        <v/>
      </c>
      <c r="I2577" s="26" t="str">
        <f t="shared" si="2"/>
        <v/>
      </c>
      <c r="J2577" s="86">
        <f t="shared" ca="1" si="3"/>
        <v>45332</v>
      </c>
      <c r="R2577" s="26"/>
    </row>
    <row r="2578" spans="1:18" ht="15.75" customHeight="1">
      <c r="A2578" s="26">
        <f ca="1">IFERROR(__xludf.DUMMYFUNCTION("""COMPUTED_VALUE"""),22778)</f>
        <v>22778</v>
      </c>
      <c r="B2578" s="86">
        <f ca="1">IFERROR(__xludf.DUMMYFUNCTION("""COMPUTED_VALUE"""),45332.7705208333)</f>
        <v>45332.770520833299</v>
      </c>
      <c r="C2578" s="1" t="str">
        <f ca="1">IFERROR(__xludf.DUMMYFUNCTION("""COMPUTED_VALUE"""),"completed")</f>
        <v>completed</v>
      </c>
      <c r="D2578" s="26">
        <f ca="1">IFERROR(__xludf.DUMMYFUNCTION("""COMPUTED_VALUE"""),46)</f>
        <v>46</v>
      </c>
      <c r="E2578" s="1" t="str">
        <f ca="1">IFERROR(__xludf.DUMMYFUNCTION("""COMPUTED_VALUE"""),"Erie North Shore Minor Hockey")</f>
        <v>Erie North Shore Minor Hockey</v>
      </c>
      <c r="F2578" s="87" t="str">
        <f t="shared" ca="1" si="0"/>
        <v>2024</v>
      </c>
      <c r="H2578" s="26" t="str">
        <f t="shared" si="1"/>
        <v/>
      </c>
      <c r="I2578" s="26" t="str">
        <f t="shared" si="2"/>
        <v/>
      </c>
      <c r="J2578" s="86">
        <f t="shared" ca="1" si="3"/>
        <v>45332</v>
      </c>
      <c r="R2578" s="26"/>
    </row>
    <row r="2579" spans="1:18" ht="15.75" customHeight="1">
      <c r="A2579" s="26">
        <f ca="1">IFERROR(__xludf.DUMMYFUNCTION("""COMPUTED_VALUE"""),22779)</f>
        <v>22779</v>
      </c>
      <c r="B2579" s="86">
        <f ca="1">IFERROR(__xludf.DUMMYFUNCTION("""COMPUTED_VALUE"""),45332.864074074)</f>
        <v>45332.864074074001</v>
      </c>
      <c r="C2579" s="1" t="str">
        <f ca="1">IFERROR(__xludf.DUMMYFUNCTION("""COMPUTED_VALUE"""),"completed")</f>
        <v>completed</v>
      </c>
      <c r="D2579" s="26">
        <f ca="1">IFERROR(__xludf.DUMMYFUNCTION("""COMPUTED_VALUE"""),35)</f>
        <v>35</v>
      </c>
      <c r="E2579" s="1" t="str">
        <f ca="1">IFERROR(__xludf.DUMMYFUNCTION("""COMPUTED_VALUE"""),"Erie North Shore Minor Hockey")</f>
        <v>Erie North Shore Minor Hockey</v>
      </c>
      <c r="F2579" s="87" t="str">
        <f t="shared" ca="1" si="0"/>
        <v>2024</v>
      </c>
      <c r="H2579" s="26" t="str">
        <f t="shared" si="1"/>
        <v/>
      </c>
      <c r="I2579" s="26" t="str">
        <f t="shared" si="2"/>
        <v/>
      </c>
      <c r="J2579" s="86">
        <f t="shared" ca="1" si="3"/>
        <v>45332</v>
      </c>
      <c r="R2579" s="26"/>
    </row>
    <row r="2580" spans="1:18" ht="15.75" customHeight="1">
      <c r="A2580" s="26">
        <f ca="1">IFERROR(__xludf.DUMMYFUNCTION("""COMPUTED_VALUE"""),22780)</f>
        <v>22780</v>
      </c>
      <c r="B2580" s="86">
        <f ca="1">IFERROR(__xludf.DUMMYFUNCTION("""COMPUTED_VALUE"""),45332.8995138888)</f>
        <v>45332.899513888799</v>
      </c>
      <c r="C2580" s="1" t="str">
        <f ca="1">IFERROR(__xludf.DUMMYFUNCTION("""COMPUTED_VALUE"""),"completed")</f>
        <v>completed</v>
      </c>
      <c r="D2580" s="26">
        <f ca="1">IFERROR(__xludf.DUMMYFUNCTION("""COMPUTED_VALUE"""),47)</f>
        <v>47</v>
      </c>
      <c r="E2580" s="1" t="str">
        <f ca="1">IFERROR(__xludf.DUMMYFUNCTION("""COMPUTED_VALUE"""),"Erie North Shore Minor Hockey")</f>
        <v>Erie North Shore Minor Hockey</v>
      </c>
      <c r="F2580" s="87" t="str">
        <f t="shared" ca="1" si="0"/>
        <v>2024</v>
      </c>
      <c r="H2580" s="26" t="str">
        <f t="shared" si="1"/>
        <v/>
      </c>
      <c r="I2580" s="26" t="str">
        <f t="shared" si="2"/>
        <v/>
      </c>
      <c r="J2580" s="86">
        <f t="shared" ca="1" si="3"/>
        <v>45332</v>
      </c>
      <c r="R2580" s="26"/>
    </row>
    <row r="2581" spans="1:18" ht="15.75" customHeight="1">
      <c r="A2581" s="26">
        <f ca="1">IFERROR(__xludf.DUMMYFUNCTION("""COMPUTED_VALUE"""),22781)</f>
        <v>22781</v>
      </c>
      <c r="B2581" s="86">
        <f ca="1">IFERROR(__xludf.DUMMYFUNCTION("""COMPUTED_VALUE"""),45333.3774421296)</f>
        <v>45333.377442129597</v>
      </c>
      <c r="C2581" s="1" t="str">
        <f ca="1">IFERROR(__xludf.DUMMYFUNCTION("""COMPUTED_VALUE"""),"completed")</f>
        <v>completed</v>
      </c>
      <c r="D2581" s="26">
        <f ca="1">IFERROR(__xludf.DUMMYFUNCTION("""COMPUTED_VALUE"""),41)</f>
        <v>41</v>
      </c>
      <c r="E2581" s="1" t="str">
        <f ca="1">IFERROR(__xludf.DUMMYFUNCTION("""COMPUTED_VALUE"""),"Erie North Shore Minor Hockey")</f>
        <v>Erie North Shore Minor Hockey</v>
      </c>
      <c r="F2581" s="87" t="str">
        <f t="shared" ca="1" si="0"/>
        <v>2024</v>
      </c>
      <c r="H2581" s="26" t="str">
        <f t="shared" si="1"/>
        <v/>
      </c>
      <c r="I2581" s="26" t="str">
        <f t="shared" si="2"/>
        <v/>
      </c>
      <c r="J2581" s="86">
        <f t="shared" ca="1" si="3"/>
        <v>45333</v>
      </c>
      <c r="R2581" s="26"/>
    </row>
    <row r="2582" spans="1:18" ht="15.75" customHeight="1">
      <c r="A2582" s="26">
        <f ca="1">IFERROR(__xludf.DUMMYFUNCTION("""COMPUTED_VALUE"""),22782)</f>
        <v>22782</v>
      </c>
      <c r="B2582" s="86">
        <f ca="1">IFERROR(__xludf.DUMMYFUNCTION("""COMPUTED_VALUE"""),45333.3867129629)</f>
        <v>45333.3867129629</v>
      </c>
      <c r="C2582" s="1" t="str">
        <f ca="1">IFERROR(__xludf.DUMMYFUNCTION("""COMPUTED_VALUE"""),"completed")</f>
        <v>completed</v>
      </c>
      <c r="D2582" s="26">
        <f ca="1">IFERROR(__xludf.DUMMYFUNCTION("""COMPUTED_VALUE"""),19.5)</f>
        <v>19.5</v>
      </c>
      <c r="E2582" s="1" t="str">
        <f ca="1">IFERROR(__xludf.DUMMYFUNCTION("""COMPUTED_VALUE"""),"Erie North Shore Minor Hockey")</f>
        <v>Erie North Shore Minor Hockey</v>
      </c>
      <c r="F2582" s="87" t="str">
        <f t="shared" ca="1" si="0"/>
        <v>2024</v>
      </c>
      <c r="H2582" s="26" t="str">
        <f t="shared" si="1"/>
        <v/>
      </c>
      <c r="I2582" s="26" t="str">
        <f t="shared" si="2"/>
        <v/>
      </c>
      <c r="J2582" s="86">
        <f t="shared" ca="1" si="3"/>
        <v>45333</v>
      </c>
      <c r="R2582" s="26"/>
    </row>
    <row r="2583" spans="1:18" ht="15.75" customHeight="1">
      <c r="A2583" s="26">
        <f ca="1">IFERROR(__xludf.DUMMYFUNCTION("""COMPUTED_VALUE"""),22784)</f>
        <v>22784</v>
      </c>
      <c r="B2583" s="86">
        <f ca="1">IFERROR(__xludf.DUMMYFUNCTION("""COMPUTED_VALUE"""),45333.3917013888)</f>
        <v>45333.391701388799</v>
      </c>
      <c r="C2583" s="1" t="str">
        <f ca="1">IFERROR(__xludf.DUMMYFUNCTION("""COMPUTED_VALUE"""),"completed")</f>
        <v>completed</v>
      </c>
      <c r="D2583" s="26">
        <f ca="1">IFERROR(__xludf.DUMMYFUNCTION("""COMPUTED_VALUE"""),18)</f>
        <v>18</v>
      </c>
      <c r="E2583" s="1" t="str">
        <f ca="1">IFERROR(__xludf.DUMMYFUNCTION("""COMPUTED_VALUE"""),"Erie North Shore Minor Hockey")</f>
        <v>Erie North Shore Minor Hockey</v>
      </c>
      <c r="F2583" s="87" t="str">
        <f t="shared" ca="1" si="0"/>
        <v>2024</v>
      </c>
      <c r="H2583" s="26" t="str">
        <f t="shared" si="1"/>
        <v/>
      </c>
      <c r="I2583" s="26" t="str">
        <f t="shared" si="2"/>
        <v/>
      </c>
      <c r="J2583" s="86">
        <f t="shared" ca="1" si="3"/>
        <v>45333</v>
      </c>
      <c r="R2583" s="26"/>
    </row>
    <row r="2584" spans="1:18" ht="15.75" customHeight="1">
      <c r="A2584" s="26">
        <f ca="1">IFERROR(__xludf.DUMMYFUNCTION("""COMPUTED_VALUE"""),22786)</f>
        <v>22786</v>
      </c>
      <c r="B2584" s="86">
        <f ca="1">IFERROR(__xludf.DUMMYFUNCTION("""COMPUTED_VALUE"""),45333.4339814814)</f>
        <v>45333.433981481401</v>
      </c>
      <c r="C2584" s="1" t="str">
        <f ca="1">IFERROR(__xludf.DUMMYFUNCTION("""COMPUTED_VALUE"""),"completed")</f>
        <v>completed</v>
      </c>
      <c r="D2584" s="26">
        <f ca="1">IFERROR(__xludf.DUMMYFUNCTION("""COMPUTED_VALUE"""),0)</f>
        <v>0</v>
      </c>
      <c r="E2584" s="1" t="str">
        <f ca="1">IFERROR(__xludf.DUMMYFUNCTION("""COMPUTED_VALUE"""),"Erie North Shore Minor Hockey")</f>
        <v>Erie North Shore Minor Hockey</v>
      </c>
      <c r="F2584" s="87" t="str">
        <f t="shared" ca="1" si="0"/>
        <v>2024</v>
      </c>
      <c r="H2584" s="26" t="str">
        <f t="shared" si="1"/>
        <v/>
      </c>
      <c r="I2584" s="26" t="str">
        <f t="shared" si="2"/>
        <v/>
      </c>
      <c r="J2584" s="86">
        <f t="shared" ca="1" si="3"/>
        <v>45333</v>
      </c>
      <c r="R2584" s="26"/>
    </row>
    <row r="2585" spans="1:18" ht="15.75" customHeight="1">
      <c r="A2585" s="26">
        <f ca="1">IFERROR(__xludf.DUMMYFUNCTION("""COMPUTED_VALUE"""),22785)</f>
        <v>22785</v>
      </c>
      <c r="B2585" s="86">
        <f ca="1">IFERROR(__xludf.DUMMYFUNCTION("""COMPUTED_VALUE"""),45333.4314236111)</f>
        <v>45333.431423611102</v>
      </c>
      <c r="C2585" s="1" t="str">
        <f ca="1">IFERROR(__xludf.DUMMYFUNCTION("""COMPUTED_VALUE"""),"completed")</f>
        <v>completed</v>
      </c>
      <c r="D2585" s="26">
        <f ca="1">IFERROR(__xludf.DUMMYFUNCTION("""COMPUTED_VALUE"""),35)</f>
        <v>35</v>
      </c>
      <c r="E2585" s="1" t="str">
        <f ca="1">IFERROR(__xludf.DUMMYFUNCTION("""COMPUTED_VALUE"""),"Erie North Shore Minor Hockey")</f>
        <v>Erie North Shore Minor Hockey</v>
      </c>
      <c r="F2585" s="87" t="str">
        <f t="shared" ca="1" si="0"/>
        <v>2024</v>
      </c>
      <c r="H2585" s="26" t="str">
        <f t="shared" si="1"/>
        <v/>
      </c>
      <c r="I2585" s="26" t="str">
        <f t="shared" si="2"/>
        <v/>
      </c>
      <c r="J2585" s="86">
        <f t="shared" ca="1" si="3"/>
        <v>45333</v>
      </c>
      <c r="R2585" s="26"/>
    </row>
    <row r="2586" spans="1:18" ht="15.75" customHeight="1">
      <c r="A2586" s="26">
        <f ca="1">IFERROR(__xludf.DUMMYFUNCTION("""COMPUTED_VALUE"""),22787)</f>
        <v>22787</v>
      </c>
      <c r="B2586" s="86">
        <f ca="1">IFERROR(__xludf.DUMMYFUNCTION("""COMPUTED_VALUE"""),45333.448449074)</f>
        <v>45333.448449074</v>
      </c>
      <c r="C2586" s="1" t="str">
        <f ca="1">IFERROR(__xludf.DUMMYFUNCTION("""COMPUTED_VALUE"""),"completed")</f>
        <v>completed</v>
      </c>
      <c r="D2586" s="26">
        <f ca="1">IFERROR(__xludf.DUMMYFUNCTION("""COMPUTED_VALUE"""),22)</f>
        <v>22</v>
      </c>
      <c r="E2586" s="1" t="str">
        <f ca="1">IFERROR(__xludf.DUMMYFUNCTION("""COMPUTED_VALUE"""),"Erie North Shore Minor Hockey")</f>
        <v>Erie North Shore Minor Hockey</v>
      </c>
      <c r="F2586" s="87" t="str">
        <f t="shared" ca="1" si="0"/>
        <v>2024</v>
      </c>
      <c r="H2586" s="26" t="str">
        <f t="shared" si="1"/>
        <v/>
      </c>
      <c r="I2586" s="26" t="str">
        <f t="shared" si="2"/>
        <v/>
      </c>
      <c r="J2586" s="86">
        <f t="shared" ca="1" si="3"/>
        <v>45333</v>
      </c>
      <c r="R2586" s="26"/>
    </row>
    <row r="2587" spans="1:18" ht="15.75" customHeight="1">
      <c r="A2587" s="26">
        <f ca="1">IFERROR(__xludf.DUMMYFUNCTION("""COMPUTED_VALUE"""),22788)</f>
        <v>22788</v>
      </c>
      <c r="B2587" s="86">
        <f ca="1">IFERROR(__xludf.DUMMYFUNCTION("""COMPUTED_VALUE"""),45333.5609606481)</f>
        <v>45333.560960648101</v>
      </c>
      <c r="C2587" s="1" t="str">
        <f ca="1">IFERROR(__xludf.DUMMYFUNCTION("""COMPUTED_VALUE"""),"completed")</f>
        <v>completed</v>
      </c>
      <c r="D2587" s="26">
        <f ca="1">IFERROR(__xludf.DUMMYFUNCTION("""COMPUTED_VALUE"""),41)</f>
        <v>41</v>
      </c>
      <c r="E2587" s="1" t="str">
        <f ca="1">IFERROR(__xludf.DUMMYFUNCTION("""COMPUTED_VALUE"""),"Erie North Shore Minor Hockey")</f>
        <v>Erie North Shore Minor Hockey</v>
      </c>
      <c r="F2587" s="87" t="str">
        <f t="shared" ca="1" si="0"/>
        <v>2024</v>
      </c>
      <c r="H2587" s="26" t="str">
        <f t="shared" si="1"/>
        <v/>
      </c>
      <c r="I2587" s="26" t="str">
        <f t="shared" si="2"/>
        <v/>
      </c>
      <c r="J2587" s="86">
        <f t="shared" ca="1" si="3"/>
        <v>45333</v>
      </c>
      <c r="R2587" s="26"/>
    </row>
    <row r="2588" spans="1:18" ht="15.75" customHeight="1">
      <c r="A2588" s="26">
        <f ca="1">IFERROR(__xludf.DUMMYFUNCTION("""COMPUTED_VALUE"""),22789)</f>
        <v>22789</v>
      </c>
      <c r="B2588" s="86">
        <f ca="1">IFERROR(__xludf.DUMMYFUNCTION("""COMPUTED_VALUE"""),45333.5721180555)</f>
        <v>45333.572118055497</v>
      </c>
      <c r="C2588" s="1" t="str">
        <f ca="1">IFERROR(__xludf.DUMMYFUNCTION("""COMPUTED_VALUE"""),"completed")</f>
        <v>completed</v>
      </c>
      <c r="D2588" s="26">
        <f ca="1">IFERROR(__xludf.DUMMYFUNCTION("""COMPUTED_VALUE"""),26)</f>
        <v>26</v>
      </c>
      <c r="E2588" s="1" t="str">
        <f ca="1">IFERROR(__xludf.DUMMYFUNCTION("""COMPUTED_VALUE"""),"Erie North Shore Minor Hockey")</f>
        <v>Erie North Shore Minor Hockey</v>
      </c>
      <c r="F2588" s="87" t="str">
        <f t="shared" ca="1" si="0"/>
        <v>2024</v>
      </c>
      <c r="H2588" s="26" t="str">
        <f t="shared" si="1"/>
        <v/>
      </c>
      <c r="I2588" s="26" t="str">
        <f t="shared" si="2"/>
        <v/>
      </c>
      <c r="J2588" s="86">
        <f t="shared" ca="1" si="3"/>
        <v>45333</v>
      </c>
      <c r="R2588" s="26"/>
    </row>
    <row r="2589" spans="1:18" ht="15.75" customHeight="1">
      <c r="A2589" s="26">
        <f ca="1">IFERROR(__xludf.DUMMYFUNCTION("""COMPUTED_VALUE"""),22790)</f>
        <v>22790</v>
      </c>
      <c r="B2589" s="86">
        <f ca="1">IFERROR(__xludf.DUMMYFUNCTION("""COMPUTED_VALUE"""),45333.6119907407)</f>
        <v>45333.611990740697</v>
      </c>
      <c r="C2589" s="1" t="str">
        <f ca="1">IFERROR(__xludf.DUMMYFUNCTION("""COMPUTED_VALUE"""),"completed")</f>
        <v>completed</v>
      </c>
      <c r="D2589" s="26">
        <f ca="1">IFERROR(__xludf.DUMMYFUNCTION("""COMPUTED_VALUE"""),46)</f>
        <v>46</v>
      </c>
      <c r="E2589" s="1" t="str">
        <f ca="1">IFERROR(__xludf.DUMMYFUNCTION("""COMPUTED_VALUE"""),"Erie North Shore Minor Hockey")</f>
        <v>Erie North Shore Minor Hockey</v>
      </c>
      <c r="F2589" s="87" t="str">
        <f t="shared" ca="1" si="0"/>
        <v>2024</v>
      </c>
      <c r="H2589" s="26" t="str">
        <f t="shared" si="1"/>
        <v/>
      </c>
      <c r="I2589" s="26" t="str">
        <f t="shared" si="2"/>
        <v/>
      </c>
      <c r="J2589" s="86">
        <f t="shared" ca="1" si="3"/>
        <v>45333</v>
      </c>
      <c r="R2589" s="26"/>
    </row>
    <row r="2590" spans="1:18" ht="15.75" customHeight="1">
      <c r="A2590" s="26">
        <f ca="1">IFERROR(__xludf.DUMMYFUNCTION("""COMPUTED_VALUE"""),22791)</f>
        <v>22791</v>
      </c>
      <c r="B2590" s="86">
        <f ca="1">IFERROR(__xludf.DUMMYFUNCTION("""COMPUTED_VALUE"""),45333.6299537037)</f>
        <v>45333.629953703698</v>
      </c>
      <c r="C2590" s="1" t="str">
        <f ca="1">IFERROR(__xludf.DUMMYFUNCTION("""COMPUTED_VALUE"""),"completed")</f>
        <v>completed</v>
      </c>
      <c r="D2590" s="26">
        <f ca="1">IFERROR(__xludf.DUMMYFUNCTION("""COMPUTED_VALUE"""),25)</f>
        <v>25</v>
      </c>
      <c r="E2590" s="1" t="str">
        <f ca="1">IFERROR(__xludf.DUMMYFUNCTION("""COMPUTED_VALUE"""),"Erie North Shore Minor Hockey")</f>
        <v>Erie North Shore Minor Hockey</v>
      </c>
      <c r="F2590" s="87" t="str">
        <f t="shared" ca="1" si="0"/>
        <v>2024</v>
      </c>
      <c r="H2590" s="26" t="str">
        <f t="shared" si="1"/>
        <v/>
      </c>
      <c r="I2590" s="26" t="str">
        <f t="shared" si="2"/>
        <v/>
      </c>
      <c r="J2590" s="86">
        <f t="shared" ca="1" si="3"/>
        <v>45333</v>
      </c>
      <c r="R2590" s="26"/>
    </row>
    <row r="2591" spans="1:18" ht="15.75" customHeight="1">
      <c r="A2591" s="26">
        <f ca="1">IFERROR(__xludf.DUMMYFUNCTION("""COMPUTED_VALUE"""),22793)</f>
        <v>22793</v>
      </c>
      <c r="B2591" s="86">
        <f ca="1">IFERROR(__xludf.DUMMYFUNCTION("""COMPUTED_VALUE"""),45333.6650694444)</f>
        <v>45333.665069444403</v>
      </c>
      <c r="C2591" s="1" t="str">
        <f ca="1">IFERROR(__xludf.DUMMYFUNCTION("""COMPUTED_VALUE"""),"completed")</f>
        <v>completed</v>
      </c>
      <c r="D2591" s="26">
        <f ca="1">IFERROR(__xludf.DUMMYFUNCTION("""COMPUTED_VALUE"""),18)</f>
        <v>18</v>
      </c>
      <c r="E2591" s="1" t="str">
        <f ca="1">IFERROR(__xludf.DUMMYFUNCTION("""COMPUTED_VALUE"""),"Erie North Shore Minor Hockey")</f>
        <v>Erie North Shore Minor Hockey</v>
      </c>
      <c r="F2591" s="87" t="str">
        <f t="shared" ca="1" si="0"/>
        <v>2024</v>
      </c>
      <c r="H2591" s="26" t="str">
        <f t="shared" si="1"/>
        <v/>
      </c>
      <c r="I2591" s="26" t="str">
        <f t="shared" si="2"/>
        <v/>
      </c>
      <c r="J2591" s="86">
        <f t="shared" ca="1" si="3"/>
        <v>45333</v>
      </c>
      <c r="R2591" s="26"/>
    </row>
    <row r="2592" spans="1:18" ht="15.75" customHeight="1">
      <c r="A2592" s="26">
        <f ca="1">IFERROR(__xludf.DUMMYFUNCTION("""COMPUTED_VALUE"""),22792)</f>
        <v>22792</v>
      </c>
      <c r="B2592" s="86">
        <f ca="1">IFERROR(__xludf.DUMMYFUNCTION("""COMPUTED_VALUE"""),45333.6624421296)</f>
        <v>45333.6624421296</v>
      </c>
      <c r="C2592" s="1" t="str">
        <f ca="1">IFERROR(__xludf.DUMMYFUNCTION("""COMPUTED_VALUE"""),"completed")</f>
        <v>completed</v>
      </c>
      <c r="D2592" s="26">
        <f ca="1">IFERROR(__xludf.DUMMYFUNCTION("""COMPUTED_VALUE"""),18)</f>
        <v>18</v>
      </c>
      <c r="E2592" s="1" t="str">
        <f ca="1">IFERROR(__xludf.DUMMYFUNCTION("""COMPUTED_VALUE"""),"Erie North Shore Minor Hockey")</f>
        <v>Erie North Shore Minor Hockey</v>
      </c>
      <c r="F2592" s="87" t="str">
        <f t="shared" ca="1" si="0"/>
        <v>2024</v>
      </c>
      <c r="H2592" s="26" t="str">
        <f t="shared" si="1"/>
        <v/>
      </c>
      <c r="I2592" s="26" t="str">
        <f t="shared" si="2"/>
        <v/>
      </c>
      <c r="J2592" s="86">
        <f t="shared" ca="1" si="3"/>
        <v>45333</v>
      </c>
      <c r="R2592" s="26"/>
    </row>
    <row r="2593" spans="1:18" ht="15.75" customHeight="1">
      <c r="A2593" s="26">
        <f ca="1">IFERROR(__xludf.DUMMYFUNCTION("""COMPUTED_VALUE"""),22794)</f>
        <v>22794</v>
      </c>
      <c r="B2593" s="86">
        <f ca="1">IFERROR(__xludf.DUMMYFUNCTION("""COMPUTED_VALUE"""),45333.8828935185)</f>
        <v>45333.882893518501</v>
      </c>
      <c r="C2593" s="1" t="str">
        <f ca="1">IFERROR(__xludf.DUMMYFUNCTION("""COMPUTED_VALUE"""),"completed")</f>
        <v>completed</v>
      </c>
      <c r="D2593" s="26">
        <f ca="1">IFERROR(__xludf.DUMMYFUNCTION("""COMPUTED_VALUE"""),37)</f>
        <v>37</v>
      </c>
      <c r="E2593" s="1" t="str">
        <f ca="1">IFERROR(__xludf.DUMMYFUNCTION("""COMPUTED_VALUE"""),"Erie North Shore Minor Hockey")</f>
        <v>Erie North Shore Minor Hockey</v>
      </c>
      <c r="F2593" s="87" t="str">
        <f t="shared" ca="1" si="0"/>
        <v>2024</v>
      </c>
      <c r="H2593" s="26" t="str">
        <f t="shared" si="1"/>
        <v/>
      </c>
      <c r="I2593" s="26" t="str">
        <f t="shared" si="2"/>
        <v/>
      </c>
      <c r="J2593" s="86">
        <f t="shared" ca="1" si="3"/>
        <v>45333</v>
      </c>
      <c r="R2593" s="26"/>
    </row>
    <row r="2594" spans="1:18" ht="15.75" customHeight="1">
      <c r="A2594" s="26">
        <f ca="1">IFERROR(__xludf.DUMMYFUNCTION("""COMPUTED_VALUE"""),22795)</f>
        <v>22795</v>
      </c>
      <c r="B2594" s="86">
        <f ca="1">IFERROR(__xludf.DUMMYFUNCTION("""COMPUTED_VALUE"""),45334.391724537)</f>
        <v>45334.391724537003</v>
      </c>
      <c r="C2594" s="1" t="str">
        <f ca="1">IFERROR(__xludf.DUMMYFUNCTION("""COMPUTED_VALUE"""),"completed")</f>
        <v>completed</v>
      </c>
      <c r="D2594" s="26">
        <f ca="1">IFERROR(__xludf.DUMMYFUNCTION("""COMPUTED_VALUE"""),56)</f>
        <v>56</v>
      </c>
      <c r="E2594" s="1" t="str">
        <f ca="1">IFERROR(__xludf.DUMMYFUNCTION("""COMPUTED_VALUE"""),"Erie North Shore Minor Hockey")</f>
        <v>Erie North Shore Minor Hockey</v>
      </c>
      <c r="F2594" s="87" t="str">
        <f t="shared" ca="1" si="0"/>
        <v>2024</v>
      </c>
      <c r="H2594" s="26" t="str">
        <f t="shared" si="1"/>
        <v/>
      </c>
      <c r="I2594" s="26" t="str">
        <f t="shared" si="2"/>
        <v/>
      </c>
      <c r="J2594" s="86">
        <f t="shared" ca="1" si="3"/>
        <v>45334</v>
      </c>
      <c r="R2594" s="26"/>
    </row>
    <row r="2595" spans="1:18" ht="15.75" customHeight="1">
      <c r="A2595" s="26">
        <f ca="1">IFERROR(__xludf.DUMMYFUNCTION("""COMPUTED_VALUE"""),22797)</f>
        <v>22797</v>
      </c>
      <c r="B2595" s="86">
        <f ca="1">IFERROR(__xludf.DUMMYFUNCTION("""COMPUTED_VALUE"""),45334.4074537037)</f>
        <v>45334.407453703701</v>
      </c>
      <c r="C2595" s="1" t="str">
        <f ca="1">IFERROR(__xludf.DUMMYFUNCTION("""COMPUTED_VALUE"""),"completed")</f>
        <v>completed</v>
      </c>
      <c r="D2595" s="26">
        <f ca="1">IFERROR(__xludf.DUMMYFUNCTION("""COMPUTED_VALUE"""),26)</f>
        <v>26</v>
      </c>
      <c r="E2595" s="1" t="str">
        <f ca="1">IFERROR(__xludf.DUMMYFUNCTION("""COMPUTED_VALUE"""),"Erie North Shore Minor Hockey")</f>
        <v>Erie North Shore Minor Hockey</v>
      </c>
      <c r="F2595" s="87" t="str">
        <f t="shared" ca="1" si="0"/>
        <v>2024</v>
      </c>
      <c r="H2595" s="26" t="str">
        <f t="shared" si="1"/>
        <v/>
      </c>
      <c r="I2595" s="26" t="str">
        <f t="shared" si="2"/>
        <v/>
      </c>
      <c r="J2595" s="86">
        <f t="shared" ca="1" si="3"/>
        <v>45334</v>
      </c>
      <c r="R2595" s="26"/>
    </row>
    <row r="2596" spans="1:18" ht="15.75" customHeight="1">
      <c r="A2596" s="26">
        <f ca="1">IFERROR(__xludf.DUMMYFUNCTION("""COMPUTED_VALUE"""),22796)</f>
        <v>22796</v>
      </c>
      <c r="B2596" s="86">
        <f ca="1">IFERROR(__xludf.DUMMYFUNCTION("""COMPUTED_VALUE"""),45334.4052430555)</f>
        <v>45334.405243055502</v>
      </c>
      <c r="C2596" s="1" t="str">
        <f ca="1">IFERROR(__xludf.DUMMYFUNCTION("""COMPUTED_VALUE"""),"completed")</f>
        <v>completed</v>
      </c>
      <c r="D2596" s="26">
        <f ca="1">IFERROR(__xludf.DUMMYFUNCTION("""COMPUTED_VALUE"""),26)</f>
        <v>26</v>
      </c>
      <c r="E2596" s="1" t="str">
        <f ca="1">IFERROR(__xludf.DUMMYFUNCTION("""COMPUTED_VALUE"""),"Erie North Shore Minor Hockey")</f>
        <v>Erie North Shore Minor Hockey</v>
      </c>
      <c r="F2596" s="87" t="str">
        <f t="shared" ca="1" si="0"/>
        <v>2024</v>
      </c>
      <c r="H2596" s="26" t="str">
        <f t="shared" si="1"/>
        <v/>
      </c>
      <c r="I2596" s="26" t="str">
        <f t="shared" si="2"/>
        <v/>
      </c>
      <c r="J2596" s="86">
        <f t="shared" ca="1" si="3"/>
        <v>45334</v>
      </c>
      <c r="R2596" s="26"/>
    </row>
    <row r="2597" spans="1:18" ht="15.75" customHeight="1">
      <c r="A2597" s="26">
        <f ca="1">IFERROR(__xludf.DUMMYFUNCTION("""COMPUTED_VALUE"""),22798)</f>
        <v>22798</v>
      </c>
      <c r="B2597" s="86">
        <f ca="1">IFERROR(__xludf.DUMMYFUNCTION("""COMPUTED_VALUE"""),45334.6029629629)</f>
        <v>45334.602962962897</v>
      </c>
      <c r="C2597" s="1" t="str">
        <f ca="1">IFERROR(__xludf.DUMMYFUNCTION("""COMPUTED_VALUE"""),"pending")</f>
        <v>pending</v>
      </c>
      <c r="D2597" s="26">
        <f ca="1">IFERROR(__xludf.DUMMYFUNCTION("""COMPUTED_VALUE"""),37)</f>
        <v>37</v>
      </c>
      <c r="E2597" s="1" t="str">
        <f ca="1">IFERROR(__xludf.DUMMYFUNCTION("""COMPUTED_VALUE"""),"W.M.H.A")</f>
        <v>W.M.H.A</v>
      </c>
      <c r="F2597" s="87" t="str">
        <f t="shared" ca="1" si="0"/>
        <v>2024</v>
      </c>
      <c r="H2597" s="26" t="str">
        <f t="shared" si="1"/>
        <v/>
      </c>
      <c r="I2597" s="26" t="str">
        <f t="shared" si="2"/>
        <v/>
      </c>
      <c r="J2597" s="86">
        <f t="shared" ca="1" si="3"/>
        <v>45334</v>
      </c>
      <c r="R2597" s="26"/>
    </row>
    <row r="2598" spans="1:18" ht="15.75" customHeight="1">
      <c r="A2598" s="26">
        <f ca="1">IFERROR(__xludf.DUMMYFUNCTION("""COMPUTED_VALUE"""),22801)</f>
        <v>22801</v>
      </c>
      <c r="B2598" s="86">
        <f ca="1">IFERROR(__xludf.DUMMYFUNCTION("""COMPUTED_VALUE"""),45335.8164004629)</f>
        <v>45335.8164004629</v>
      </c>
      <c r="C2598" s="1" t="str">
        <f ca="1">IFERROR(__xludf.DUMMYFUNCTION("""COMPUTED_VALUE"""),"completed")</f>
        <v>completed</v>
      </c>
      <c r="D2598" s="26">
        <f ca="1">IFERROR(__xludf.DUMMYFUNCTION("""COMPUTED_VALUE"""),60)</f>
        <v>60</v>
      </c>
      <c r="E2598" s="1" t="str">
        <f ca="1">IFERROR(__xludf.DUMMYFUNCTION("""COMPUTED_VALUE"""),"Erie North Shore Minor Hockey")</f>
        <v>Erie North Shore Minor Hockey</v>
      </c>
      <c r="F2598" s="87" t="str">
        <f t="shared" ca="1" si="0"/>
        <v>2024</v>
      </c>
      <c r="H2598" s="26" t="str">
        <f t="shared" si="1"/>
        <v/>
      </c>
      <c r="I2598" s="26" t="str">
        <f t="shared" si="2"/>
        <v/>
      </c>
      <c r="J2598" s="86">
        <f t="shared" ca="1" si="3"/>
        <v>45335</v>
      </c>
      <c r="R2598" s="26"/>
    </row>
    <row r="2599" spans="1:18" ht="15.75" customHeight="1">
      <c r="A2599" s="26">
        <f ca="1">IFERROR(__xludf.DUMMYFUNCTION("""COMPUTED_VALUE"""),22805)</f>
        <v>22805</v>
      </c>
      <c r="B2599" s="86">
        <f ca="1">IFERROR(__xludf.DUMMYFUNCTION("""COMPUTED_VALUE"""),45336.4022337962)</f>
        <v>45336.402233796201</v>
      </c>
      <c r="C2599" s="1" t="str">
        <f ca="1">IFERROR(__xludf.DUMMYFUNCTION("""COMPUTED_VALUE"""),"completed")</f>
        <v>completed</v>
      </c>
      <c r="D2599" s="26">
        <f ca="1">IFERROR(__xludf.DUMMYFUNCTION("""COMPUTED_VALUE"""),76)</f>
        <v>76</v>
      </c>
      <c r="E2599" s="1" t="str">
        <f ca="1">IFERROR(__xludf.DUMMYFUNCTION("""COMPUTED_VALUE"""),"Erie North Shore Minor Hockey")</f>
        <v>Erie North Shore Minor Hockey</v>
      </c>
      <c r="F2599" s="87" t="str">
        <f t="shared" ca="1" si="0"/>
        <v>2024</v>
      </c>
      <c r="H2599" s="26" t="str">
        <f t="shared" si="1"/>
        <v/>
      </c>
      <c r="I2599" s="26" t="str">
        <f t="shared" si="2"/>
        <v/>
      </c>
      <c r="J2599" s="86">
        <f t="shared" ca="1" si="3"/>
        <v>45336</v>
      </c>
      <c r="R2599" s="26"/>
    </row>
    <row r="2600" spans="1:18" ht="15.75" customHeight="1">
      <c r="A2600" s="26">
        <f ca="1">IFERROR(__xludf.DUMMYFUNCTION("""COMPUTED_VALUE"""),22806)</f>
        <v>22806</v>
      </c>
      <c r="B2600" s="86">
        <f ca="1">IFERROR(__xludf.DUMMYFUNCTION("""COMPUTED_VALUE"""),45336.4179629629)</f>
        <v>45336.4179629629</v>
      </c>
      <c r="C2600" s="1" t="str">
        <f ca="1">IFERROR(__xludf.DUMMYFUNCTION("""COMPUTED_VALUE"""),"completed")</f>
        <v>completed</v>
      </c>
      <c r="D2600" s="26">
        <f ca="1">IFERROR(__xludf.DUMMYFUNCTION("""COMPUTED_VALUE"""),22)</f>
        <v>22</v>
      </c>
      <c r="E2600" s="1" t="str">
        <f ca="1">IFERROR(__xludf.DUMMYFUNCTION("""COMPUTED_VALUE"""),"Erie North Shore Minor Hockey")</f>
        <v>Erie North Shore Minor Hockey</v>
      </c>
      <c r="F2600" s="87" t="str">
        <f t="shared" ca="1" si="0"/>
        <v>2024</v>
      </c>
      <c r="H2600" s="26" t="str">
        <f t="shared" si="1"/>
        <v/>
      </c>
      <c r="I2600" s="26" t="str">
        <f t="shared" si="2"/>
        <v/>
      </c>
      <c r="J2600" s="86">
        <f t="shared" ca="1" si="3"/>
        <v>45336</v>
      </c>
      <c r="R2600" s="26"/>
    </row>
    <row r="2601" spans="1:18" ht="15.75" customHeight="1">
      <c r="A2601" s="26">
        <f ca="1">IFERROR(__xludf.DUMMYFUNCTION("""COMPUTED_VALUE"""),22807)</f>
        <v>22807</v>
      </c>
      <c r="B2601" s="86">
        <f ca="1">IFERROR(__xludf.DUMMYFUNCTION("""COMPUTED_VALUE"""),45336.5615972222)</f>
        <v>45336.5615972222</v>
      </c>
      <c r="C2601" s="1" t="str">
        <f ca="1">IFERROR(__xludf.DUMMYFUNCTION("""COMPUTED_VALUE"""),"completed")</f>
        <v>completed</v>
      </c>
      <c r="D2601" s="26">
        <f ca="1">IFERROR(__xludf.DUMMYFUNCTION("""COMPUTED_VALUE"""),28)</f>
        <v>28</v>
      </c>
      <c r="E2601" s="1" t="str">
        <f ca="1">IFERROR(__xludf.DUMMYFUNCTION("""COMPUTED_VALUE"""),"Erie North Shore Minor Hockey")</f>
        <v>Erie North Shore Minor Hockey</v>
      </c>
      <c r="F2601" s="87" t="str">
        <f t="shared" ca="1" si="0"/>
        <v>2024</v>
      </c>
      <c r="H2601" s="26" t="str">
        <f t="shared" si="1"/>
        <v/>
      </c>
      <c r="I2601" s="26" t="str">
        <f t="shared" si="2"/>
        <v/>
      </c>
      <c r="J2601" s="86">
        <f t="shared" ca="1" si="3"/>
        <v>45336</v>
      </c>
      <c r="R2601" s="26"/>
    </row>
    <row r="2602" spans="1:18" ht="15.75" customHeight="1">
      <c r="A2602" s="26">
        <f ca="1">IFERROR(__xludf.DUMMYFUNCTION("""COMPUTED_VALUE"""),22808)</f>
        <v>22808</v>
      </c>
      <c r="B2602" s="86">
        <f ca="1">IFERROR(__xludf.DUMMYFUNCTION("""COMPUTED_VALUE"""),45336.7642592592)</f>
        <v>45336.764259259202</v>
      </c>
      <c r="C2602" s="1" t="str">
        <f ca="1">IFERROR(__xludf.DUMMYFUNCTION("""COMPUTED_VALUE"""),"completed")</f>
        <v>completed</v>
      </c>
      <c r="D2602" s="26">
        <f ca="1">IFERROR(__xludf.DUMMYFUNCTION("""COMPUTED_VALUE"""),81)</f>
        <v>81</v>
      </c>
      <c r="E2602" s="1" t="str">
        <f ca="1">IFERROR(__xludf.DUMMYFUNCTION("""COMPUTED_VALUE"""),"Erie North Shore Minor Hockey")</f>
        <v>Erie North Shore Minor Hockey</v>
      </c>
      <c r="F2602" s="87" t="str">
        <f t="shared" ca="1" si="0"/>
        <v>2024</v>
      </c>
      <c r="H2602" s="26" t="str">
        <f t="shared" si="1"/>
        <v/>
      </c>
      <c r="I2602" s="26" t="str">
        <f t="shared" si="2"/>
        <v/>
      </c>
      <c r="J2602" s="86">
        <f t="shared" ca="1" si="3"/>
        <v>45336</v>
      </c>
      <c r="R2602" s="26"/>
    </row>
    <row r="2603" spans="1:18" ht="15.75" customHeight="1">
      <c r="A2603" s="26">
        <f ca="1">IFERROR(__xludf.DUMMYFUNCTION("""COMPUTED_VALUE"""),22809)</f>
        <v>22809</v>
      </c>
      <c r="B2603" s="86">
        <f ca="1">IFERROR(__xludf.DUMMYFUNCTION("""COMPUTED_VALUE"""),45336.7797222222)</f>
        <v>45336.7797222222</v>
      </c>
      <c r="C2603" s="1" t="str">
        <f ca="1">IFERROR(__xludf.DUMMYFUNCTION("""COMPUTED_VALUE"""),"completed")</f>
        <v>completed</v>
      </c>
      <c r="D2603" s="26">
        <f ca="1">IFERROR(__xludf.DUMMYFUNCTION("""COMPUTED_VALUE"""),37)</f>
        <v>37</v>
      </c>
      <c r="E2603" s="1" t="str">
        <f ca="1">IFERROR(__xludf.DUMMYFUNCTION("""COMPUTED_VALUE"""),"Erie North Shore Minor Hockey")</f>
        <v>Erie North Shore Minor Hockey</v>
      </c>
      <c r="F2603" s="87" t="str">
        <f t="shared" ca="1" si="0"/>
        <v>2024</v>
      </c>
      <c r="H2603" s="26" t="str">
        <f t="shared" si="1"/>
        <v/>
      </c>
      <c r="I2603" s="26" t="str">
        <f t="shared" si="2"/>
        <v/>
      </c>
      <c r="J2603" s="86">
        <f t="shared" ca="1" si="3"/>
        <v>45336</v>
      </c>
      <c r="R2603" s="26"/>
    </row>
    <row r="2604" spans="1:18" ht="15.75" customHeight="1">
      <c r="A2604" s="26">
        <f ca="1">IFERROR(__xludf.DUMMYFUNCTION("""COMPUTED_VALUE"""),22812)</f>
        <v>22812</v>
      </c>
      <c r="B2604" s="86">
        <f ca="1">IFERROR(__xludf.DUMMYFUNCTION("""COMPUTED_VALUE"""),45336.9088541666)</f>
        <v>45336.908854166599</v>
      </c>
      <c r="C2604" s="1" t="str">
        <f ca="1">IFERROR(__xludf.DUMMYFUNCTION("""COMPUTED_VALUE"""),"completed")</f>
        <v>completed</v>
      </c>
      <c r="D2604" s="26">
        <f ca="1">IFERROR(__xludf.DUMMYFUNCTION("""COMPUTED_VALUE"""),47)</f>
        <v>47</v>
      </c>
      <c r="E2604" s="1" t="str">
        <f ca="1">IFERROR(__xludf.DUMMYFUNCTION("""COMPUTED_VALUE"""),"Erie North Shore Minor Hockey")</f>
        <v>Erie North Shore Minor Hockey</v>
      </c>
      <c r="F2604" s="87" t="str">
        <f t="shared" ca="1" si="0"/>
        <v>2024</v>
      </c>
      <c r="H2604" s="26" t="str">
        <f t="shared" si="1"/>
        <v/>
      </c>
      <c r="I2604" s="26" t="str">
        <f t="shared" si="2"/>
        <v/>
      </c>
      <c r="J2604" s="86">
        <f t="shared" ca="1" si="3"/>
        <v>45336</v>
      </c>
      <c r="R2604" s="26"/>
    </row>
    <row r="2605" spans="1:18" ht="15.75" customHeight="1">
      <c r="A2605" s="26">
        <f ca="1">IFERROR(__xludf.DUMMYFUNCTION("""COMPUTED_VALUE"""),22811)</f>
        <v>22811</v>
      </c>
      <c r="B2605" s="86">
        <f ca="1">IFERROR(__xludf.DUMMYFUNCTION("""COMPUTED_VALUE"""),45336.9029050925)</f>
        <v>45336.902905092502</v>
      </c>
      <c r="C2605" s="1" t="str">
        <f ca="1">IFERROR(__xludf.DUMMYFUNCTION("""COMPUTED_VALUE"""),"completed")</f>
        <v>completed</v>
      </c>
      <c r="D2605" s="26">
        <f ca="1">IFERROR(__xludf.DUMMYFUNCTION("""COMPUTED_VALUE"""),15)</f>
        <v>15</v>
      </c>
      <c r="E2605" s="1" t="str">
        <f ca="1">IFERROR(__xludf.DUMMYFUNCTION("""COMPUTED_VALUE"""),"Erie North Shore Minor Hockey")</f>
        <v>Erie North Shore Minor Hockey</v>
      </c>
      <c r="F2605" s="87" t="str">
        <f t="shared" ca="1" si="0"/>
        <v>2024</v>
      </c>
      <c r="H2605" s="26" t="str">
        <f t="shared" si="1"/>
        <v/>
      </c>
      <c r="I2605" s="26" t="str">
        <f t="shared" si="2"/>
        <v/>
      </c>
      <c r="J2605" s="86">
        <f t="shared" ca="1" si="3"/>
        <v>45336</v>
      </c>
      <c r="R2605" s="26"/>
    </row>
    <row r="2606" spans="1:18" ht="15.75" customHeight="1">
      <c r="A2606" s="26">
        <f ca="1">IFERROR(__xludf.DUMMYFUNCTION("""COMPUTED_VALUE"""),22810)</f>
        <v>22810</v>
      </c>
      <c r="B2606" s="86">
        <f ca="1">IFERROR(__xludf.DUMMYFUNCTION("""COMPUTED_VALUE"""),45336.9020601851)</f>
        <v>45336.902060185101</v>
      </c>
      <c r="C2606" s="1" t="str">
        <f ca="1">IFERROR(__xludf.DUMMYFUNCTION("""COMPUTED_VALUE"""),"completed")</f>
        <v>completed</v>
      </c>
      <c r="D2606" s="26">
        <f ca="1">IFERROR(__xludf.DUMMYFUNCTION("""COMPUTED_VALUE"""),44)</f>
        <v>44</v>
      </c>
      <c r="E2606" s="1" t="str">
        <f ca="1">IFERROR(__xludf.DUMMYFUNCTION("""COMPUTED_VALUE"""),"Erie North Shore Minor Hockey")</f>
        <v>Erie North Shore Minor Hockey</v>
      </c>
      <c r="F2606" s="87" t="str">
        <f t="shared" ca="1" si="0"/>
        <v>2024</v>
      </c>
      <c r="H2606" s="26" t="str">
        <f t="shared" si="1"/>
        <v/>
      </c>
      <c r="I2606" s="26" t="str">
        <f t="shared" si="2"/>
        <v/>
      </c>
      <c r="J2606" s="86">
        <f t="shared" ca="1" si="3"/>
        <v>45336</v>
      </c>
      <c r="R2606" s="26"/>
    </row>
    <row r="2607" spans="1:18" ht="15.75" customHeight="1">
      <c r="A2607" s="26">
        <f ca="1">IFERROR(__xludf.DUMMYFUNCTION("""COMPUTED_VALUE"""),22813)</f>
        <v>22813</v>
      </c>
      <c r="B2607" s="86">
        <f ca="1">IFERROR(__xludf.DUMMYFUNCTION("""COMPUTED_VALUE"""),45336.9234953703)</f>
        <v>45336.923495370298</v>
      </c>
      <c r="C2607" s="1" t="str">
        <f ca="1">IFERROR(__xludf.DUMMYFUNCTION("""COMPUTED_VALUE"""),"completed")</f>
        <v>completed</v>
      </c>
      <c r="D2607" s="26">
        <f ca="1">IFERROR(__xludf.DUMMYFUNCTION("""COMPUTED_VALUE"""),25)</f>
        <v>25</v>
      </c>
      <c r="E2607" s="1" t="str">
        <f ca="1">IFERROR(__xludf.DUMMYFUNCTION("""COMPUTED_VALUE"""),"Erie North Shore Minor Hockey")</f>
        <v>Erie North Shore Minor Hockey</v>
      </c>
      <c r="F2607" s="87" t="str">
        <f t="shared" ca="1" si="0"/>
        <v>2024</v>
      </c>
      <c r="H2607" s="26" t="str">
        <f t="shared" si="1"/>
        <v/>
      </c>
      <c r="I2607" s="26" t="str">
        <f t="shared" si="2"/>
        <v/>
      </c>
      <c r="J2607" s="86">
        <f t="shared" ca="1" si="3"/>
        <v>45336</v>
      </c>
      <c r="R2607" s="26"/>
    </row>
    <row r="2608" spans="1:18" ht="15.75" customHeight="1">
      <c r="A2608" s="26">
        <f ca="1">IFERROR(__xludf.DUMMYFUNCTION("""COMPUTED_VALUE"""),22814)</f>
        <v>22814</v>
      </c>
      <c r="B2608" s="86">
        <f ca="1">IFERROR(__xludf.DUMMYFUNCTION("""COMPUTED_VALUE"""),45336.9470023148)</f>
        <v>45336.947002314802</v>
      </c>
      <c r="C2608" s="1" t="str">
        <f ca="1">IFERROR(__xludf.DUMMYFUNCTION("""COMPUTED_VALUE"""),"completed")</f>
        <v>completed</v>
      </c>
      <c r="D2608" s="26">
        <f ca="1">IFERROR(__xludf.DUMMYFUNCTION("""COMPUTED_VALUE"""),46)</f>
        <v>46</v>
      </c>
      <c r="E2608" s="1" t="str">
        <f ca="1">IFERROR(__xludf.DUMMYFUNCTION("""COMPUTED_VALUE"""),"Erie North Shore Minor Hockey")</f>
        <v>Erie North Shore Minor Hockey</v>
      </c>
      <c r="F2608" s="87" t="str">
        <f t="shared" ca="1" si="0"/>
        <v>2024</v>
      </c>
      <c r="H2608" s="26" t="str">
        <f t="shared" si="1"/>
        <v/>
      </c>
      <c r="I2608" s="26" t="str">
        <f t="shared" si="2"/>
        <v/>
      </c>
      <c r="J2608" s="86">
        <f t="shared" ca="1" si="3"/>
        <v>45336</v>
      </c>
      <c r="R2608" s="26"/>
    </row>
    <row r="2609" spans="1:18" ht="15.75" customHeight="1">
      <c r="A2609" s="26">
        <f ca="1">IFERROR(__xludf.DUMMYFUNCTION("""COMPUTED_VALUE"""),22821)</f>
        <v>22821</v>
      </c>
      <c r="B2609" s="86">
        <f ca="1">IFERROR(__xludf.DUMMYFUNCTION("""COMPUTED_VALUE"""),45336.9965046296)</f>
        <v>45336.996504629598</v>
      </c>
      <c r="C2609" s="1" t="str">
        <f ca="1">IFERROR(__xludf.DUMMYFUNCTION("""COMPUTED_VALUE"""),"completed")</f>
        <v>completed</v>
      </c>
      <c r="D2609" s="26">
        <f ca="1">IFERROR(__xludf.DUMMYFUNCTION("""COMPUTED_VALUE"""),44)</f>
        <v>44</v>
      </c>
      <c r="E2609" s="1" t="str">
        <f ca="1">IFERROR(__xludf.DUMMYFUNCTION("""COMPUTED_VALUE"""),"Erie North Shore Minor Hockey")</f>
        <v>Erie North Shore Minor Hockey</v>
      </c>
      <c r="F2609" s="87" t="str">
        <f t="shared" ca="1" si="0"/>
        <v>2024</v>
      </c>
      <c r="H2609" s="26" t="str">
        <f t="shared" si="1"/>
        <v/>
      </c>
      <c r="I2609" s="26" t="str">
        <f t="shared" si="2"/>
        <v/>
      </c>
      <c r="J2609" s="86">
        <f t="shared" ca="1" si="3"/>
        <v>45336</v>
      </c>
      <c r="R2609" s="26"/>
    </row>
    <row r="2610" spans="1:18" ht="15.75" customHeight="1">
      <c r="A2610" s="26">
        <f ca="1">IFERROR(__xludf.DUMMYFUNCTION("""COMPUTED_VALUE"""),22831)</f>
        <v>22831</v>
      </c>
      <c r="B2610" s="86">
        <f ca="1">IFERROR(__xludf.DUMMYFUNCTION("""COMPUTED_VALUE"""),45337.4063194444)</f>
        <v>45337.406319444402</v>
      </c>
      <c r="C2610" s="1" t="str">
        <f ca="1">IFERROR(__xludf.DUMMYFUNCTION("""COMPUTED_VALUE"""),"completed")</f>
        <v>completed</v>
      </c>
      <c r="D2610" s="26">
        <f ca="1">IFERROR(__xludf.DUMMYFUNCTION("""COMPUTED_VALUE"""),50)</f>
        <v>50</v>
      </c>
      <c r="E2610" s="1" t="str">
        <f ca="1">IFERROR(__xludf.DUMMYFUNCTION("""COMPUTED_VALUE"""),"Erie North Shore Minor Hockey")</f>
        <v>Erie North Shore Minor Hockey</v>
      </c>
      <c r="F2610" s="87" t="str">
        <f t="shared" ca="1" si="0"/>
        <v>2024</v>
      </c>
      <c r="H2610" s="26" t="str">
        <f t="shared" si="1"/>
        <v/>
      </c>
      <c r="I2610" s="26" t="str">
        <f t="shared" si="2"/>
        <v/>
      </c>
      <c r="J2610" s="86">
        <f t="shared" ca="1" si="3"/>
        <v>45337</v>
      </c>
      <c r="R2610" s="26"/>
    </row>
    <row r="2611" spans="1:18" ht="15.75" customHeight="1">
      <c r="A2611" s="26">
        <f ca="1">IFERROR(__xludf.DUMMYFUNCTION("""COMPUTED_VALUE"""),22832)</f>
        <v>22832</v>
      </c>
      <c r="B2611" s="86">
        <f ca="1">IFERROR(__xludf.DUMMYFUNCTION("""COMPUTED_VALUE"""),45337.4153472222)</f>
        <v>45337.415347222202</v>
      </c>
      <c r="C2611" s="1" t="str">
        <f ca="1">IFERROR(__xludf.DUMMYFUNCTION("""COMPUTED_VALUE"""),"completed")</f>
        <v>completed</v>
      </c>
      <c r="D2611" s="26">
        <f ca="1">IFERROR(__xludf.DUMMYFUNCTION("""COMPUTED_VALUE"""),47)</f>
        <v>47</v>
      </c>
      <c r="E2611" s="1" t="str">
        <f ca="1">IFERROR(__xludf.DUMMYFUNCTION("""COMPUTED_VALUE"""),"Erie North Shore Minor Hockey")</f>
        <v>Erie North Shore Minor Hockey</v>
      </c>
      <c r="F2611" s="87" t="str">
        <f t="shared" ca="1" si="0"/>
        <v>2024</v>
      </c>
      <c r="H2611" s="26" t="str">
        <f t="shared" si="1"/>
        <v/>
      </c>
      <c r="I2611" s="26" t="str">
        <f t="shared" si="2"/>
        <v/>
      </c>
      <c r="J2611" s="86">
        <f t="shared" ca="1" si="3"/>
        <v>45337</v>
      </c>
      <c r="R2611" s="26"/>
    </row>
    <row r="2612" spans="1:18" ht="15.75" customHeight="1">
      <c r="A2612" s="26">
        <f ca="1">IFERROR(__xludf.DUMMYFUNCTION("""COMPUTED_VALUE"""),22833)</f>
        <v>22833</v>
      </c>
      <c r="B2612" s="86">
        <f ca="1">IFERROR(__xludf.DUMMYFUNCTION("""COMPUTED_VALUE"""),45337.4194907407)</f>
        <v>45337.4194907407</v>
      </c>
      <c r="C2612" s="1" t="str">
        <f ca="1">IFERROR(__xludf.DUMMYFUNCTION("""COMPUTED_VALUE"""),"completed")</f>
        <v>completed</v>
      </c>
      <c r="D2612" s="26">
        <f ca="1">IFERROR(__xludf.DUMMYFUNCTION("""COMPUTED_VALUE"""),47)</f>
        <v>47</v>
      </c>
      <c r="E2612" s="1" t="str">
        <f ca="1">IFERROR(__xludf.DUMMYFUNCTION("""COMPUTED_VALUE"""),"Erie North Shore Minor Hockey")</f>
        <v>Erie North Shore Minor Hockey</v>
      </c>
      <c r="F2612" s="87" t="str">
        <f t="shared" ca="1" si="0"/>
        <v>2024</v>
      </c>
      <c r="H2612" s="26" t="str">
        <f t="shared" si="1"/>
        <v/>
      </c>
      <c r="I2612" s="26" t="str">
        <f t="shared" si="2"/>
        <v/>
      </c>
      <c r="J2612" s="86">
        <f t="shared" ca="1" si="3"/>
        <v>45337</v>
      </c>
      <c r="R2612" s="26"/>
    </row>
    <row r="2613" spans="1:18" ht="15.75" customHeight="1">
      <c r="A2613" s="26">
        <f ca="1">IFERROR(__xludf.DUMMYFUNCTION("""COMPUTED_VALUE"""),22835)</f>
        <v>22835</v>
      </c>
      <c r="B2613" s="86">
        <f ca="1">IFERROR(__xludf.DUMMYFUNCTION("""COMPUTED_VALUE"""),45337.5286226851)</f>
        <v>45337.528622685102</v>
      </c>
      <c r="C2613" s="1" t="str">
        <f ca="1">IFERROR(__xludf.DUMMYFUNCTION("""COMPUTED_VALUE"""),"completed")</f>
        <v>completed</v>
      </c>
      <c r="D2613" s="26">
        <f ca="1">IFERROR(__xludf.DUMMYFUNCTION("""COMPUTED_VALUE"""),26)</f>
        <v>26</v>
      </c>
      <c r="E2613" s="1" t="str">
        <f ca="1">IFERROR(__xludf.DUMMYFUNCTION("""COMPUTED_VALUE"""),"Erie North Shore Minor Hockey")</f>
        <v>Erie North Shore Minor Hockey</v>
      </c>
      <c r="F2613" s="87" t="str">
        <f t="shared" ca="1" si="0"/>
        <v>2024</v>
      </c>
      <c r="H2613" s="26" t="str">
        <f t="shared" si="1"/>
        <v/>
      </c>
      <c r="I2613" s="26" t="str">
        <f t="shared" si="2"/>
        <v/>
      </c>
      <c r="J2613" s="86">
        <f t="shared" ca="1" si="3"/>
        <v>45337</v>
      </c>
      <c r="R2613" s="26"/>
    </row>
    <row r="2614" spans="1:18" ht="15.75" customHeight="1">
      <c r="A2614" s="26">
        <f ca="1">IFERROR(__xludf.DUMMYFUNCTION("""COMPUTED_VALUE"""),22836)</f>
        <v>22836</v>
      </c>
      <c r="B2614" s="86">
        <f ca="1">IFERROR(__xludf.DUMMYFUNCTION("""COMPUTED_VALUE"""),45337.6321296296)</f>
        <v>45337.632129629601</v>
      </c>
      <c r="C2614" s="1" t="str">
        <f ca="1">IFERROR(__xludf.DUMMYFUNCTION("""COMPUTED_VALUE"""),"completed")</f>
        <v>completed</v>
      </c>
      <c r="D2614" s="26">
        <f ca="1">IFERROR(__xludf.DUMMYFUNCTION("""COMPUTED_VALUE"""),33)</f>
        <v>33</v>
      </c>
      <c r="E2614" s="1" t="str">
        <f ca="1">IFERROR(__xludf.DUMMYFUNCTION("""COMPUTED_VALUE"""),"Erie North Shore Minor Hockey")</f>
        <v>Erie North Shore Minor Hockey</v>
      </c>
      <c r="F2614" s="87" t="str">
        <f t="shared" ca="1" si="0"/>
        <v>2024</v>
      </c>
      <c r="H2614" s="26" t="str">
        <f t="shared" si="1"/>
        <v/>
      </c>
      <c r="I2614" s="26" t="str">
        <f t="shared" si="2"/>
        <v/>
      </c>
      <c r="J2614" s="86">
        <f t="shared" ca="1" si="3"/>
        <v>45337</v>
      </c>
      <c r="R2614" s="26"/>
    </row>
    <row r="2615" spans="1:18" ht="15.75" customHeight="1">
      <c r="A2615" s="26">
        <f ca="1">IFERROR(__xludf.DUMMYFUNCTION("""COMPUTED_VALUE"""),22837)</f>
        <v>22837</v>
      </c>
      <c r="B2615" s="86">
        <f ca="1">IFERROR(__xludf.DUMMYFUNCTION("""COMPUTED_VALUE"""),45337.8233449074)</f>
        <v>45337.823344907403</v>
      </c>
      <c r="C2615" s="1" t="str">
        <f ca="1">IFERROR(__xludf.DUMMYFUNCTION("""COMPUTED_VALUE"""),"completed")</f>
        <v>completed</v>
      </c>
      <c r="D2615" s="26">
        <f ca="1">IFERROR(__xludf.DUMMYFUNCTION("""COMPUTED_VALUE"""),25)</f>
        <v>25</v>
      </c>
      <c r="E2615" s="1" t="str">
        <f ca="1">IFERROR(__xludf.DUMMYFUNCTION("""COMPUTED_VALUE"""),"Erie North Shore Minor Hockey")</f>
        <v>Erie North Shore Minor Hockey</v>
      </c>
      <c r="F2615" s="87" t="str">
        <f t="shared" ca="1" si="0"/>
        <v>2024</v>
      </c>
      <c r="H2615" s="26" t="str">
        <f t="shared" si="1"/>
        <v/>
      </c>
      <c r="I2615" s="26" t="str">
        <f t="shared" si="2"/>
        <v/>
      </c>
      <c r="J2615" s="86">
        <f t="shared" ca="1" si="3"/>
        <v>45337</v>
      </c>
      <c r="R2615" s="26"/>
    </row>
    <row r="2616" spans="1:18" ht="15.75" customHeight="1">
      <c r="A2616" s="26">
        <f ca="1">IFERROR(__xludf.DUMMYFUNCTION("""COMPUTED_VALUE"""),22838)</f>
        <v>22838</v>
      </c>
      <c r="B2616" s="86">
        <f ca="1">IFERROR(__xludf.DUMMYFUNCTION("""COMPUTED_VALUE"""),45337.8879398148)</f>
        <v>45337.887939814798</v>
      </c>
      <c r="C2616" s="1" t="str">
        <f ca="1">IFERROR(__xludf.DUMMYFUNCTION("""COMPUTED_VALUE"""),"completed")</f>
        <v>completed</v>
      </c>
      <c r="D2616" s="26">
        <f ca="1">IFERROR(__xludf.DUMMYFUNCTION("""COMPUTED_VALUE"""),26)</f>
        <v>26</v>
      </c>
      <c r="E2616" s="1" t="str">
        <f ca="1">IFERROR(__xludf.DUMMYFUNCTION("""COMPUTED_VALUE"""),"Erie North Shore Minor Hockey")</f>
        <v>Erie North Shore Minor Hockey</v>
      </c>
      <c r="F2616" s="87" t="str">
        <f t="shared" ca="1" si="0"/>
        <v>2024</v>
      </c>
      <c r="H2616" s="26" t="str">
        <f t="shared" si="1"/>
        <v/>
      </c>
      <c r="I2616" s="26" t="str">
        <f t="shared" si="2"/>
        <v/>
      </c>
      <c r="J2616" s="86">
        <f t="shared" ca="1" si="3"/>
        <v>45337</v>
      </c>
      <c r="R2616" s="26"/>
    </row>
    <row r="2617" spans="1:18" ht="15.75" customHeight="1">
      <c r="A2617" s="26">
        <f ca="1">IFERROR(__xludf.DUMMYFUNCTION("""COMPUTED_VALUE"""),22839)</f>
        <v>22839</v>
      </c>
      <c r="B2617" s="86">
        <f ca="1">IFERROR(__xludf.DUMMYFUNCTION("""COMPUTED_VALUE"""),45337.8902199074)</f>
        <v>45337.8902199074</v>
      </c>
      <c r="C2617" s="1" t="str">
        <f ca="1">IFERROR(__xludf.DUMMYFUNCTION("""COMPUTED_VALUE"""),"completed")</f>
        <v>completed</v>
      </c>
      <c r="D2617" s="26">
        <f ca="1">IFERROR(__xludf.DUMMYFUNCTION("""COMPUTED_VALUE"""),26)</f>
        <v>26</v>
      </c>
      <c r="E2617" s="1" t="str">
        <f ca="1">IFERROR(__xludf.DUMMYFUNCTION("""COMPUTED_VALUE"""),"Erie North Shore Minor Hockey")</f>
        <v>Erie North Shore Minor Hockey</v>
      </c>
      <c r="F2617" s="87" t="str">
        <f t="shared" ca="1" si="0"/>
        <v>2024</v>
      </c>
      <c r="H2617" s="26" t="str">
        <f t="shared" si="1"/>
        <v/>
      </c>
      <c r="I2617" s="26" t="str">
        <f t="shared" si="2"/>
        <v/>
      </c>
      <c r="J2617" s="86">
        <f t="shared" ca="1" si="3"/>
        <v>45337</v>
      </c>
      <c r="R2617" s="26"/>
    </row>
    <row r="2618" spans="1:18" ht="15.75" customHeight="1">
      <c r="A2618" s="26">
        <f ca="1">IFERROR(__xludf.DUMMYFUNCTION("""COMPUTED_VALUE"""),22840)</f>
        <v>22840</v>
      </c>
      <c r="B2618" s="86">
        <f ca="1">IFERROR(__xludf.DUMMYFUNCTION("""COMPUTED_VALUE"""),45338.5601157407)</f>
        <v>45338.5601157407</v>
      </c>
      <c r="C2618" s="1" t="str">
        <f ca="1">IFERROR(__xludf.DUMMYFUNCTION("""COMPUTED_VALUE"""),"completed")</f>
        <v>completed</v>
      </c>
      <c r="D2618" s="26">
        <f ca="1">IFERROR(__xludf.DUMMYFUNCTION("""COMPUTED_VALUE"""),35)</f>
        <v>35</v>
      </c>
      <c r="E2618" s="1" t="str">
        <f ca="1">IFERROR(__xludf.DUMMYFUNCTION("""COMPUTED_VALUE"""),"Erie North Shore Minor Hockey")</f>
        <v>Erie North Shore Minor Hockey</v>
      </c>
      <c r="F2618" s="87" t="str">
        <f t="shared" ca="1" si="0"/>
        <v>2024</v>
      </c>
      <c r="H2618" s="26" t="str">
        <f t="shared" si="1"/>
        <v/>
      </c>
      <c r="I2618" s="26" t="str">
        <f t="shared" si="2"/>
        <v/>
      </c>
      <c r="J2618" s="86">
        <f t="shared" ca="1" si="3"/>
        <v>45338</v>
      </c>
      <c r="R2618" s="26"/>
    </row>
    <row r="2619" spans="1:18" ht="15.75" customHeight="1">
      <c r="A2619" s="26">
        <f ca="1">IFERROR(__xludf.DUMMYFUNCTION("""COMPUTED_VALUE"""),22841)</f>
        <v>22841</v>
      </c>
      <c r="B2619" s="86">
        <f ca="1">IFERROR(__xludf.DUMMYFUNCTION("""COMPUTED_VALUE"""),45338.5667013888)</f>
        <v>45338.566701388801</v>
      </c>
      <c r="C2619" s="1" t="str">
        <f ca="1">IFERROR(__xludf.DUMMYFUNCTION("""COMPUTED_VALUE"""),"completed")</f>
        <v>completed</v>
      </c>
      <c r="D2619" s="26">
        <f ca="1">IFERROR(__xludf.DUMMYFUNCTION("""COMPUTED_VALUE"""),29.6)</f>
        <v>29.6</v>
      </c>
      <c r="E2619" s="1" t="str">
        <f ca="1">IFERROR(__xludf.DUMMYFUNCTION("""COMPUTED_VALUE"""),"Erie North Shore Minor Hockey")</f>
        <v>Erie North Shore Minor Hockey</v>
      </c>
      <c r="F2619" s="87" t="str">
        <f t="shared" ca="1" si="0"/>
        <v>2024</v>
      </c>
      <c r="H2619" s="26" t="str">
        <f t="shared" si="1"/>
        <v/>
      </c>
      <c r="I2619" s="26" t="str">
        <f t="shared" si="2"/>
        <v/>
      </c>
      <c r="J2619" s="86">
        <f t="shared" ca="1" si="3"/>
        <v>45338</v>
      </c>
      <c r="R2619" s="26"/>
    </row>
    <row r="2620" spans="1:18" ht="15.75" customHeight="1">
      <c r="A2620" s="26">
        <f ca="1">IFERROR(__xludf.DUMMYFUNCTION("""COMPUTED_VALUE"""),22843)</f>
        <v>22843</v>
      </c>
      <c r="B2620" s="86">
        <f ca="1">IFERROR(__xludf.DUMMYFUNCTION("""COMPUTED_VALUE"""),45338.7896296296)</f>
        <v>45338.789629629602</v>
      </c>
      <c r="C2620" s="1" t="str">
        <f ca="1">IFERROR(__xludf.DUMMYFUNCTION("""COMPUTED_VALUE"""),"completed")</f>
        <v>completed</v>
      </c>
      <c r="D2620" s="26">
        <f ca="1">IFERROR(__xludf.DUMMYFUNCTION("""COMPUTED_VALUE"""),25)</f>
        <v>25</v>
      </c>
      <c r="E2620" s="1" t="str">
        <f ca="1">IFERROR(__xludf.DUMMYFUNCTION("""COMPUTED_VALUE"""),"Erie North Shore Minor Hockey")</f>
        <v>Erie North Shore Minor Hockey</v>
      </c>
      <c r="F2620" s="87" t="str">
        <f t="shared" ca="1" si="0"/>
        <v>2024</v>
      </c>
      <c r="H2620" s="26" t="str">
        <f t="shared" si="1"/>
        <v/>
      </c>
      <c r="I2620" s="26" t="str">
        <f t="shared" si="2"/>
        <v/>
      </c>
      <c r="J2620" s="86">
        <f t="shared" ca="1" si="3"/>
        <v>45338</v>
      </c>
      <c r="R2620" s="26"/>
    </row>
    <row r="2621" spans="1:18" ht="15.75" customHeight="1">
      <c r="A2621" s="26">
        <f ca="1">IFERROR(__xludf.DUMMYFUNCTION("""COMPUTED_VALUE"""),22842)</f>
        <v>22842</v>
      </c>
      <c r="B2621" s="86">
        <f ca="1">IFERROR(__xludf.DUMMYFUNCTION("""COMPUTED_VALUE"""),45338.7865509259)</f>
        <v>45338.786550925899</v>
      </c>
      <c r="C2621" s="1" t="str">
        <f ca="1">IFERROR(__xludf.DUMMYFUNCTION("""COMPUTED_VALUE"""),"completed")</f>
        <v>completed</v>
      </c>
      <c r="D2621" s="26">
        <f ca="1">IFERROR(__xludf.DUMMYFUNCTION("""COMPUTED_VALUE"""),25)</f>
        <v>25</v>
      </c>
      <c r="E2621" s="1" t="str">
        <f ca="1">IFERROR(__xludf.DUMMYFUNCTION("""COMPUTED_VALUE"""),"Erie North Shore Minor Hockey")</f>
        <v>Erie North Shore Minor Hockey</v>
      </c>
      <c r="F2621" s="87" t="str">
        <f t="shared" ca="1" si="0"/>
        <v>2024</v>
      </c>
      <c r="H2621" s="26" t="str">
        <f t="shared" si="1"/>
        <v/>
      </c>
      <c r="I2621" s="26" t="str">
        <f t="shared" si="2"/>
        <v/>
      </c>
      <c r="J2621" s="86">
        <f t="shared" ca="1" si="3"/>
        <v>45338</v>
      </c>
      <c r="R2621" s="26"/>
    </row>
    <row r="2622" spans="1:18" ht="15.75" customHeight="1">
      <c r="A2622" s="26">
        <f ca="1">IFERROR(__xludf.DUMMYFUNCTION("""COMPUTED_VALUE"""),22844)</f>
        <v>22844</v>
      </c>
      <c r="B2622" s="86">
        <f ca="1">IFERROR(__xludf.DUMMYFUNCTION("""COMPUTED_VALUE"""),45339.3148726851)</f>
        <v>45339.3148726851</v>
      </c>
      <c r="C2622" s="1" t="str">
        <f ca="1">IFERROR(__xludf.DUMMYFUNCTION("""COMPUTED_VALUE"""),"completed")</f>
        <v>completed</v>
      </c>
      <c r="D2622" s="26">
        <f ca="1">IFERROR(__xludf.DUMMYFUNCTION("""COMPUTED_VALUE"""),25)</f>
        <v>25</v>
      </c>
      <c r="E2622" s="1" t="str">
        <f ca="1">IFERROR(__xludf.DUMMYFUNCTION("""COMPUTED_VALUE"""),"Erie North Shore Minor Hockey")</f>
        <v>Erie North Shore Minor Hockey</v>
      </c>
      <c r="F2622" s="87" t="str">
        <f t="shared" ca="1" si="0"/>
        <v>2024</v>
      </c>
      <c r="H2622" s="26" t="str">
        <f t="shared" si="1"/>
        <v/>
      </c>
      <c r="I2622" s="26" t="str">
        <f t="shared" si="2"/>
        <v/>
      </c>
      <c r="J2622" s="86">
        <f t="shared" ca="1" si="3"/>
        <v>45339</v>
      </c>
      <c r="R2622" s="26"/>
    </row>
    <row r="2623" spans="1:18" ht="15.75" customHeight="1">
      <c r="A2623" s="26">
        <f ca="1">IFERROR(__xludf.DUMMYFUNCTION("""COMPUTED_VALUE"""),22845)</f>
        <v>22845</v>
      </c>
      <c r="B2623" s="86">
        <f ca="1">IFERROR(__xludf.DUMMYFUNCTION("""COMPUTED_VALUE"""),45339.3558564814)</f>
        <v>45339.355856481401</v>
      </c>
      <c r="C2623" s="1" t="str">
        <f ca="1">IFERROR(__xludf.DUMMYFUNCTION("""COMPUTED_VALUE"""),"completed")</f>
        <v>completed</v>
      </c>
      <c r="D2623" s="26">
        <f ca="1">IFERROR(__xludf.DUMMYFUNCTION("""COMPUTED_VALUE"""),48)</f>
        <v>48</v>
      </c>
      <c r="E2623" s="1" t="str">
        <f ca="1">IFERROR(__xludf.DUMMYFUNCTION("""COMPUTED_VALUE"""),"Erie North Shore Minor Hockey")</f>
        <v>Erie North Shore Minor Hockey</v>
      </c>
      <c r="F2623" s="87" t="str">
        <f t="shared" ca="1" si="0"/>
        <v>2024</v>
      </c>
      <c r="H2623" s="26" t="str">
        <f t="shared" si="1"/>
        <v/>
      </c>
      <c r="I2623" s="26" t="str">
        <f t="shared" si="2"/>
        <v/>
      </c>
      <c r="J2623" s="86">
        <f t="shared" ca="1" si="3"/>
        <v>45339</v>
      </c>
      <c r="R2623" s="26"/>
    </row>
    <row r="2624" spans="1:18" ht="15.75" customHeight="1">
      <c r="A2624" s="26">
        <f ca="1">IFERROR(__xludf.DUMMYFUNCTION("""COMPUTED_VALUE"""),22846)</f>
        <v>22846</v>
      </c>
      <c r="B2624" s="86">
        <f ca="1">IFERROR(__xludf.DUMMYFUNCTION("""COMPUTED_VALUE"""),45339.5089699074)</f>
        <v>45339.508969907401</v>
      </c>
      <c r="C2624" s="1" t="str">
        <f ca="1">IFERROR(__xludf.DUMMYFUNCTION("""COMPUTED_VALUE"""),"completed")</f>
        <v>completed</v>
      </c>
      <c r="D2624" s="26">
        <f ca="1">IFERROR(__xludf.DUMMYFUNCTION("""COMPUTED_VALUE"""),101)</f>
        <v>101</v>
      </c>
      <c r="E2624" s="1" t="str">
        <f ca="1">IFERROR(__xludf.DUMMYFUNCTION("""COMPUTED_VALUE"""),"Erie North Shore Minor Hockey")</f>
        <v>Erie North Shore Minor Hockey</v>
      </c>
      <c r="F2624" s="87" t="str">
        <f t="shared" ca="1" si="0"/>
        <v>2024</v>
      </c>
      <c r="H2624" s="26" t="str">
        <f t="shared" si="1"/>
        <v/>
      </c>
      <c r="I2624" s="26" t="str">
        <f t="shared" si="2"/>
        <v/>
      </c>
      <c r="J2624" s="86">
        <f t="shared" ca="1" si="3"/>
        <v>45339</v>
      </c>
      <c r="R2624" s="26"/>
    </row>
    <row r="2625" spans="1:18" ht="15.75" customHeight="1">
      <c r="A2625" s="26">
        <f ca="1">IFERROR(__xludf.DUMMYFUNCTION("""COMPUTED_VALUE"""),22847)</f>
        <v>22847</v>
      </c>
      <c r="B2625" s="86">
        <f ca="1">IFERROR(__xludf.DUMMYFUNCTION("""COMPUTED_VALUE"""),45339.7373148148)</f>
        <v>45339.737314814804</v>
      </c>
      <c r="C2625" s="1" t="str">
        <f ca="1">IFERROR(__xludf.DUMMYFUNCTION("""COMPUTED_VALUE"""),"completed")</f>
        <v>completed</v>
      </c>
      <c r="D2625" s="26">
        <f ca="1">IFERROR(__xludf.DUMMYFUNCTION("""COMPUTED_VALUE"""),26)</f>
        <v>26</v>
      </c>
      <c r="E2625" s="1" t="str">
        <f ca="1">IFERROR(__xludf.DUMMYFUNCTION("""COMPUTED_VALUE"""),"Erie North Shore Minor Hockey")</f>
        <v>Erie North Shore Minor Hockey</v>
      </c>
      <c r="F2625" s="87" t="str">
        <f t="shared" ca="1" si="0"/>
        <v>2024</v>
      </c>
      <c r="H2625" s="26" t="str">
        <f t="shared" si="1"/>
        <v/>
      </c>
      <c r="I2625" s="26" t="str">
        <f t="shared" si="2"/>
        <v/>
      </c>
      <c r="J2625" s="86">
        <f t="shared" ca="1" si="3"/>
        <v>45339</v>
      </c>
      <c r="R2625" s="26"/>
    </row>
    <row r="2626" spans="1:18" ht="15.75" customHeight="1">
      <c r="A2626" s="26">
        <f ca="1">IFERROR(__xludf.DUMMYFUNCTION("""COMPUTED_VALUE"""),22848)</f>
        <v>22848</v>
      </c>
      <c r="B2626" s="86">
        <f ca="1">IFERROR(__xludf.DUMMYFUNCTION("""COMPUTED_VALUE"""),45339.8659837963)</f>
        <v>45339.865983796299</v>
      </c>
      <c r="C2626" s="1" t="str">
        <f ca="1">IFERROR(__xludf.DUMMYFUNCTION("""COMPUTED_VALUE"""),"completed")</f>
        <v>completed</v>
      </c>
      <c r="D2626" s="26">
        <f ca="1">IFERROR(__xludf.DUMMYFUNCTION("""COMPUTED_VALUE"""),41)</f>
        <v>41</v>
      </c>
      <c r="E2626" s="1" t="str">
        <f ca="1">IFERROR(__xludf.DUMMYFUNCTION("""COMPUTED_VALUE"""),"Erie North Shore Minor Hockey")</f>
        <v>Erie North Shore Minor Hockey</v>
      </c>
      <c r="F2626" s="87" t="str">
        <f t="shared" ca="1" si="0"/>
        <v>2024</v>
      </c>
      <c r="H2626" s="26" t="str">
        <f t="shared" si="1"/>
        <v/>
      </c>
      <c r="I2626" s="26" t="str">
        <f t="shared" si="2"/>
        <v/>
      </c>
      <c r="J2626" s="86">
        <f t="shared" ca="1" si="3"/>
        <v>45339</v>
      </c>
      <c r="R2626" s="26"/>
    </row>
    <row r="2627" spans="1:18" ht="15.75" customHeight="1">
      <c r="A2627" s="26">
        <f ca="1">IFERROR(__xludf.DUMMYFUNCTION("""COMPUTED_VALUE"""),22852)</f>
        <v>22852</v>
      </c>
      <c r="B2627" s="86">
        <f ca="1">IFERROR(__xludf.DUMMYFUNCTION("""COMPUTED_VALUE"""),45339.9822222222)</f>
        <v>45339.982222222199</v>
      </c>
      <c r="C2627" s="1" t="str">
        <f ca="1">IFERROR(__xludf.DUMMYFUNCTION("""COMPUTED_VALUE"""),"processing")</f>
        <v>processing</v>
      </c>
      <c r="D2627" s="26">
        <f ca="1">IFERROR(__xludf.DUMMYFUNCTION("""COMPUTED_VALUE"""),30)</f>
        <v>30</v>
      </c>
      <c r="E2627" s="1" t="str">
        <f ca="1">IFERROR(__xludf.DUMMYFUNCTION("""COMPUTED_VALUE"""),"Erie North Shore Minor Hockey")</f>
        <v>Erie North Shore Minor Hockey</v>
      </c>
      <c r="F2627" s="87" t="str">
        <f t="shared" ca="1" si="0"/>
        <v>2024</v>
      </c>
      <c r="H2627" s="26" t="str">
        <f t="shared" si="1"/>
        <v/>
      </c>
      <c r="I2627" s="26" t="str">
        <f t="shared" si="2"/>
        <v/>
      </c>
      <c r="J2627" s="86">
        <f t="shared" ca="1" si="3"/>
        <v>45339</v>
      </c>
      <c r="R2627" s="26"/>
    </row>
    <row r="2628" spans="1:18" ht="15.75" customHeight="1">
      <c r="A2628" s="26">
        <f ca="1">IFERROR(__xludf.DUMMYFUNCTION("""COMPUTED_VALUE"""),22854)</f>
        <v>22854</v>
      </c>
      <c r="B2628" s="86">
        <f ca="1">IFERROR(__xludf.DUMMYFUNCTION("""COMPUTED_VALUE"""),45339.9854513888)</f>
        <v>45339.985451388799</v>
      </c>
      <c r="C2628" s="1" t="str">
        <f ca="1">IFERROR(__xludf.DUMMYFUNCTION("""COMPUTED_VALUE"""),"completed")</f>
        <v>completed</v>
      </c>
      <c r="D2628" s="26">
        <f ca="1">IFERROR(__xludf.DUMMYFUNCTION("""COMPUTED_VALUE"""),309)</f>
        <v>309</v>
      </c>
      <c r="E2628" s="1"/>
      <c r="F2628" s="87" t="str">
        <f t="shared" ca="1" si="0"/>
        <v>2024</v>
      </c>
      <c r="H2628" s="26" t="str">
        <f t="shared" si="1"/>
        <v/>
      </c>
      <c r="I2628" s="26" t="str">
        <f t="shared" si="2"/>
        <v/>
      </c>
      <c r="J2628" s="86">
        <f t="shared" ca="1" si="3"/>
        <v>45339</v>
      </c>
      <c r="R2628" s="26"/>
    </row>
    <row r="2629" spans="1:18" ht="15.75" customHeight="1">
      <c r="A2629" s="26">
        <f ca="1">IFERROR(__xludf.DUMMYFUNCTION("""COMPUTED_VALUE"""),22856)</f>
        <v>22856</v>
      </c>
      <c r="B2629" s="86">
        <f ca="1">IFERROR(__xludf.DUMMYFUNCTION("""COMPUTED_VALUE"""),45340.3180324074)</f>
        <v>45340.318032407398</v>
      </c>
      <c r="C2629" s="1" t="str">
        <f ca="1">IFERROR(__xludf.DUMMYFUNCTION("""COMPUTED_VALUE"""),"completed")</f>
        <v>completed</v>
      </c>
      <c r="D2629" s="26">
        <f ca="1">IFERROR(__xludf.DUMMYFUNCTION("""COMPUTED_VALUE"""),28)</f>
        <v>28</v>
      </c>
      <c r="E2629" s="1" t="str">
        <f ca="1">IFERROR(__xludf.DUMMYFUNCTION("""COMPUTED_VALUE"""),"Erie North Shore Minor Hockey")</f>
        <v>Erie North Shore Minor Hockey</v>
      </c>
      <c r="F2629" s="87" t="str">
        <f t="shared" ca="1" si="0"/>
        <v>2024</v>
      </c>
      <c r="H2629" s="26" t="str">
        <f t="shared" si="1"/>
        <v/>
      </c>
      <c r="I2629" s="26" t="str">
        <f t="shared" si="2"/>
        <v/>
      </c>
      <c r="J2629" s="86">
        <f t="shared" ca="1" si="3"/>
        <v>45340</v>
      </c>
      <c r="R2629" s="26"/>
    </row>
    <row r="2630" spans="1:18" ht="15.75" customHeight="1">
      <c r="A2630" s="26">
        <f ca="1">IFERROR(__xludf.DUMMYFUNCTION("""COMPUTED_VALUE"""),22855)</f>
        <v>22855</v>
      </c>
      <c r="B2630" s="86">
        <f ca="1">IFERROR(__xludf.DUMMYFUNCTION("""COMPUTED_VALUE"""),45340.3165509259)</f>
        <v>45340.316550925898</v>
      </c>
      <c r="C2630" s="1" t="str">
        <f ca="1">IFERROR(__xludf.DUMMYFUNCTION("""COMPUTED_VALUE"""),"completed")</f>
        <v>completed</v>
      </c>
      <c r="D2630" s="26">
        <f ca="1">IFERROR(__xludf.DUMMYFUNCTION("""COMPUTED_VALUE"""),28)</f>
        <v>28</v>
      </c>
      <c r="E2630" s="1" t="str">
        <f ca="1">IFERROR(__xludf.DUMMYFUNCTION("""COMPUTED_VALUE"""),"Erie North Shore Minor Hockey")</f>
        <v>Erie North Shore Minor Hockey</v>
      </c>
      <c r="F2630" s="87" t="str">
        <f t="shared" ca="1" si="0"/>
        <v>2024</v>
      </c>
      <c r="H2630" s="26" t="str">
        <f t="shared" si="1"/>
        <v/>
      </c>
      <c r="I2630" s="26" t="str">
        <f t="shared" si="2"/>
        <v/>
      </c>
      <c r="J2630" s="86">
        <f t="shared" ca="1" si="3"/>
        <v>45340</v>
      </c>
      <c r="R2630" s="26"/>
    </row>
    <row r="2631" spans="1:18" ht="15.75" customHeight="1">
      <c r="A2631" s="26">
        <f ca="1">IFERROR(__xludf.DUMMYFUNCTION("""COMPUTED_VALUE"""),22857)</f>
        <v>22857</v>
      </c>
      <c r="B2631" s="86">
        <f ca="1">IFERROR(__xludf.DUMMYFUNCTION("""COMPUTED_VALUE"""),45340.4306134259)</f>
        <v>45340.430613425902</v>
      </c>
      <c r="C2631" s="1" t="str">
        <f ca="1">IFERROR(__xludf.DUMMYFUNCTION("""COMPUTED_VALUE"""),"cancelled")</f>
        <v>cancelled</v>
      </c>
      <c r="D2631" s="26">
        <f ca="1">IFERROR(__xludf.DUMMYFUNCTION("""COMPUTED_VALUE"""),26)</f>
        <v>26</v>
      </c>
      <c r="E2631" s="1" t="str">
        <f ca="1">IFERROR(__xludf.DUMMYFUNCTION("""COMPUTED_VALUE"""),"W.M.H.A")</f>
        <v>W.M.H.A</v>
      </c>
      <c r="F2631" s="87" t="str">
        <f t="shared" ca="1" si="0"/>
        <v>2024</v>
      </c>
      <c r="H2631" s="26" t="str">
        <f t="shared" si="1"/>
        <v/>
      </c>
      <c r="I2631" s="26" t="str">
        <f t="shared" si="2"/>
        <v/>
      </c>
      <c r="J2631" s="86">
        <f t="shared" ca="1" si="3"/>
        <v>45340</v>
      </c>
      <c r="R2631" s="26"/>
    </row>
    <row r="2632" spans="1:18" ht="15.75" customHeight="1">
      <c r="A2632" s="26">
        <f ca="1">IFERROR(__xludf.DUMMYFUNCTION("""COMPUTED_VALUE"""),22858)</f>
        <v>22858</v>
      </c>
      <c r="B2632" s="86">
        <f ca="1">IFERROR(__xludf.DUMMYFUNCTION("""COMPUTED_VALUE"""),45340.7085648148)</f>
        <v>45340.708564814799</v>
      </c>
      <c r="C2632" s="1" t="str">
        <f ca="1">IFERROR(__xludf.DUMMYFUNCTION("""COMPUTED_VALUE"""),"completed")</f>
        <v>completed</v>
      </c>
      <c r="D2632" s="26">
        <f ca="1">IFERROR(__xludf.DUMMYFUNCTION("""COMPUTED_VALUE"""),26)</f>
        <v>26</v>
      </c>
      <c r="E2632" s="1" t="str">
        <f ca="1">IFERROR(__xludf.DUMMYFUNCTION("""COMPUTED_VALUE"""),"Erie North Shore Minor Hockey")</f>
        <v>Erie North Shore Minor Hockey</v>
      </c>
      <c r="F2632" s="87" t="str">
        <f t="shared" ca="1" si="0"/>
        <v>2024</v>
      </c>
      <c r="H2632" s="26" t="str">
        <f t="shared" si="1"/>
        <v/>
      </c>
      <c r="I2632" s="26" t="str">
        <f t="shared" si="2"/>
        <v/>
      </c>
      <c r="J2632" s="86">
        <f t="shared" ca="1" si="3"/>
        <v>45340</v>
      </c>
      <c r="R2632" s="26"/>
    </row>
    <row r="2633" spans="1:18" ht="15.75" customHeight="1">
      <c r="A2633" s="26">
        <f ca="1">IFERROR(__xludf.DUMMYFUNCTION("""COMPUTED_VALUE"""),22859)</f>
        <v>22859</v>
      </c>
      <c r="B2633" s="86">
        <f ca="1">IFERROR(__xludf.DUMMYFUNCTION("""COMPUTED_VALUE"""),45340.7560185185)</f>
        <v>45340.756018518499</v>
      </c>
      <c r="C2633" s="1" t="str">
        <f ca="1">IFERROR(__xludf.DUMMYFUNCTION("""COMPUTED_VALUE"""),"completed")</f>
        <v>completed</v>
      </c>
      <c r="D2633" s="26">
        <f ca="1">IFERROR(__xludf.DUMMYFUNCTION("""COMPUTED_VALUE"""),40)</f>
        <v>40</v>
      </c>
      <c r="E2633" s="1" t="str">
        <f ca="1">IFERROR(__xludf.DUMMYFUNCTION("""COMPUTED_VALUE"""),"Erie North Shore Minor Hockey")</f>
        <v>Erie North Shore Minor Hockey</v>
      </c>
      <c r="F2633" s="87" t="str">
        <f t="shared" ca="1" si="0"/>
        <v>2024</v>
      </c>
      <c r="H2633" s="26" t="str">
        <f t="shared" si="1"/>
        <v/>
      </c>
      <c r="I2633" s="26" t="str">
        <f t="shared" si="2"/>
        <v/>
      </c>
      <c r="J2633" s="86">
        <f t="shared" ca="1" si="3"/>
        <v>45340</v>
      </c>
      <c r="R2633" s="26"/>
    </row>
    <row r="2634" spans="1:18" ht="15.75" customHeight="1">
      <c r="A2634" s="26">
        <f ca="1">IFERROR(__xludf.DUMMYFUNCTION("""COMPUTED_VALUE"""),22860)</f>
        <v>22860</v>
      </c>
      <c r="B2634" s="86">
        <f ca="1">IFERROR(__xludf.DUMMYFUNCTION("""COMPUTED_VALUE"""),45340.9256018518)</f>
        <v>45340.925601851799</v>
      </c>
      <c r="C2634" s="1" t="str">
        <f ca="1">IFERROR(__xludf.DUMMYFUNCTION("""COMPUTED_VALUE"""),"completed")</f>
        <v>completed</v>
      </c>
      <c r="D2634" s="26">
        <f ca="1">IFERROR(__xludf.DUMMYFUNCTION("""COMPUTED_VALUE"""),54)</f>
        <v>54</v>
      </c>
      <c r="E2634" s="1" t="str">
        <f ca="1">IFERROR(__xludf.DUMMYFUNCTION("""COMPUTED_VALUE"""),"Erie North Shore Minor Hockey")</f>
        <v>Erie North Shore Minor Hockey</v>
      </c>
      <c r="F2634" s="87" t="str">
        <f t="shared" ca="1" si="0"/>
        <v>2024</v>
      </c>
      <c r="H2634" s="26" t="str">
        <f t="shared" si="1"/>
        <v/>
      </c>
      <c r="I2634" s="26" t="str">
        <f t="shared" si="2"/>
        <v/>
      </c>
      <c r="J2634" s="86">
        <f t="shared" ca="1" si="3"/>
        <v>45340</v>
      </c>
      <c r="R2634" s="26"/>
    </row>
    <row r="2635" spans="1:18" ht="15.75" customHeight="1">
      <c r="A2635" s="26">
        <f ca="1">IFERROR(__xludf.DUMMYFUNCTION("""COMPUTED_VALUE"""),22861)</f>
        <v>22861</v>
      </c>
      <c r="B2635" s="86">
        <f ca="1">IFERROR(__xludf.DUMMYFUNCTION("""COMPUTED_VALUE"""),45340.9366666666)</f>
        <v>45340.936666666603</v>
      </c>
      <c r="C2635" s="1" t="str">
        <f ca="1">IFERROR(__xludf.DUMMYFUNCTION("""COMPUTED_VALUE"""),"completed")</f>
        <v>completed</v>
      </c>
      <c r="D2635" s="26">
        <f ca="1">IFERROR(__xludf.DUMMYFUNCTION("""COMPUTED_VALUE"""),54)</f>
        <v>54</v>
      </c>
      <c r="E2635" s="1" t="str">
        <f ca="1">IFERROR(__xludf.DUMMYFUNCTION("""COMPUTED_VALUE"""),"Erie North Shore Minor Hockey")</f>
        <v>Erie North Shore Minor Hockey</v>
      </c>
      <c r="F2635" s="87" t="str">
        <f t="shared" ca="1" si="0"/>
        <v>2024</v>
      </c>
      <c r="H2635" s="26" t="str">
        <f t="shared" si="1"/>
        <v/>
      </c>
      <c r="I2635" s="26" t="str">
        <f t="shared" si="2"/>
        <v/>
      </c>
      <c r="J2635" s="86">
        <f t="shared" ca="1" si="3"/>
        <v>45340</v>
      </c>
      <c r="R2635" s="26"/>
    </row>
    <row r="2636" spans="1:18" ht="15.75" customHeight="1">
      <c r="A2636" s="26">
        <f ca="1">IFERROR(__xludf.DUMMYFUNCTION("""COMPUTED_VALUE"""),22862)</f>
        <v>22862</v>
      </c>
      <c r="B2636" s="86">
        <f ca="1">IFERROR(__xludf.DUMMYFUNCTION("""COMPUTED_VALUE"""),45340.9605902777)</f>
        <v>45340.960590277697</v>
      </c>
      <c r="C2636" s="1" t="str">
        <f ca="1">IFERROR(__xludf.DUMMYFUNCTION("""COMPUTED_VALUE"""),"completed")</f>
        <v>completed</v>
      </c>
      <c r="D2636" s="26">
        <f ca="1">IFERROR(__xludf.DUMMYFUNCTION("""COMPUTED_VALUE"""),55)</f>
        <v>55</v>
      </c>
      <c r="E2636" s="1" t="str">
        <f ca="1">IFERROR(__xludf.DUMMYFUNCTION("""COMPUTED_VALUE"""),"Erie North Shore Minor Hockey")</f>
        <v>Erie North Shore Minor Hockey</v>
      </c>
      <c r="F2636" s="87" t="str">
        <f t="shared" ca="1" si="0"/>
        <v>2024</v>
      </c>
      <c r="H2636" s="26" t="str">
        <f t="shared" si="1"/>
        <v/>
      </c>
      <c r="I2636" s="26" t="str">
        <f t="shared" si="2"/>
        <v/>
      </c>
      <c r="J2636" s="86">
        <f t="shared" ca="1" si="3"/>
        <v>45340</v>
      </c>
      <c r="R2636" s="26"/>
    </row>
    <row r="2637" spans="1:18" ht="15.75" customHeight="1">
      <c r="A2637" s="26">
        <f ca="1">IFERROR(__xludf.DUMMYFUNCTION("""COMPUTED_VALUE"""),22863)</f>
        <v>22863</v>
      </c>
      <c r="B2637" s="86">
        <f ca="1">IFERROR(__xludf.DUMMYFUNCTION("""COMPUTED_VALUE"""),45341.3903819444)</f>
        <v>45341.390381944402</v>
      </c>
      <c r="C2637" s="1" t="str">
        <f ca="1">IFERROR(__xludf.DUMMYFUNCTION("""COMPUTED_VALUE"""),"completed")</f>
        <v>completed</v>
      </c>
      <c r="D2637" s="26">
        <f ca="1">IFERROR(__xludf.DUMMYFUNCTION("""COMPUTED_VALUE"""),28)</f>
        <v>28</v>
      </c>
      <c r="E2637" s="1" t="str">
        <f ca="1">IFERROR(__xludf.DUMMYFUNCTION("""COMPUTED_VALUE"""),"Erie North Shore Minor Hockey")</f>
        <v>Erie North Shore Minor Hockey</v>
      </c>
      <c r="F2637" s="87" t="str">
        <f t="shared" ca="1" si="0"/>
        <v>2024</v>
      </c>
      <c r="H2637" s="26" t="str">
        <f t="shared" si="1"/>
        <v/>
      </c>
      <c r="I2637" s="26" t="str">
        <f t="shared" si="2"/>
        <v/>
      </c>
      <c r="J2637" s="86">
        <f t="shared" ca="1" si="3"/>
        <v>45341</v>
      </c>
      <c r="R2637" s="26"/>
    </row>
    <row r="2638" spans="1:18" ht="15.75" customHeight="1">
      <c r="A2638" s="26">
        <f ca="1">IFERROR(__xludf.DUMMYFUNCTION("""COMPUTED_VALUE"""),22864)</f>
        <v>22864</v>
      </c>
      <c r="B2638" s="86">
        <f ca="1">IFERROR(__xludf.DUMMYFUNCTION("""COMPUTED_VALUE"""),45341.5752314814)</f>
        <v>45341.575231481402</v>
      </c>
      <c r="C2638" s="1" t="str">
        <f ca="1">IFERROR(__xludf.DUMMYFUNCTION("""COMPUTED_VALUE"""),"completed")</f>
        <v>completed</v>
      </c>
      <c r="D2638" s="26">
        <f ca="1">IFERROR(__xludf.DUMMYFUNCTION("""COMPUTED_VALUE"""),41)</f>
        <v>41</v>
      </c>
      <c r="E2638" s="1" t="str">
        <f ca="1">IFERROR(__xludf.DUMMYFUNCTION("""COMPUTED_VALUE"""),"Erie North Shore Minor Hockey")</f>
        <v>Erie North Shore Minor Hockey</v>
      </c>
      <c r="F2638" s="87" t="str">
        <f t="shared" ca="1" si="0"/>
        <v>2024</v>
      </c>
      <c r="H2638" s="26" t="str">
        <f t="shared" si="1"/>
        <v/>
      </c>
      <c r="I2638" s="26" t="str">
        <f t="shared" si="2"/>
        <v/>
      </c>
      <c r="J2638" s="86">
        <f t="shared" ca="1" si="3"/>
        <v>45341</v>
      </c>
      <c r="R2638" s="26"/>
    </row>
    <row r="2639" spans="1:18" ht="15.75" customHeight="1">
      <c r="A2639" s="26">
        <f ca="1">IFERROR(__xludf.DUMMYFUNCTION("""COMPUTED_VALUE"""),22865)</f>
        <v>22865</v>
      </c>
      <c r="B2639" s="86">
        <f ca="1">IFERROR(__xludf.DUMMYFUNCTION("""COMPUTED_VALUE"""),45341.6140046296)</f>
        <v>45341.614004629599</v>
      </c>
      <c r="C2639" s="1" t="str">
        <f ca="1">IFERROR(__xludf.DUMMYFUNCTION("""COMPUTED_VALUE"""),"completed")</f>
        <v>completed</v>
      </c>
      <c r="D2639" s="26">
        <f ca="1">IFERROR(__xludf.DUMMYFUNCTION("""COMPUTED_VALUE"""),28)</f>
        <v>28</v>
      </c>
      <c r="E2639" s="1" t="str">
        <f ca="1">IFERROR(__xludf.DUMMYFUNCTION("""COMPUTED_VALUE"""),"Erie North Shore Minor Hockey")</f>
        <v>Erie North Shore Minor Hockey</v>
      </c>
      <c r="F2639" s="87" t="str">
        <f t="shared" ca="1" si="0"/>
        <v>2024</v>
      </c>
      <c r="H2639" s="26" t="str">
        <f t="shared" si="1"/>
        <v/>
      </c>
      <c r="I2639" s="26" t="str">
        <f t="shared" si="2"/>
        <v/>
      </c>
      <c r="J2639" s="86">
        <f t="shared" ca="1" si="3"/>
        <v>45341</v>
      </c>
      <c r="R2639" s="26"/>
    </row>
    <row r="2640" spans="1:18" ht="15.75" customHeight="1">
      <c r="A2640" s="26">
        <f ca="1">IFERROR(__xludf.DUMMYFUNCTION("""COMPUTED_VALUE"""),22866)</f>
        <v>22866</v>
      </c>
      <c r="B2640" s="86">
        <f ca="1">IFERROR(__xludf.DUMMYFUNCTION("""COMPUTED_VALUE"""),45341.6787152777)</f>
        <v>45341.678715277703</v>
      </c>
      <c r="C2640" s="1" t="str">
        <f ca="1">IFERROR(__xludf.DUMMYFUNCTION("""COMPUTED_VALUE"""),"completed")</f>
        <v>completed</v>
      </c>
      <c r="D2640" s="26">
        <f ca="1">IFERROR(__xludf.DUMMYFUNCTION("""COMPUTED_VALUE"""),26)</f>
        <v>26</v>
      </c>
      <c r="E2640" s="1" t="str">
        <f ca="1">IFERROR(__xludf.DUMMYFUNCTION("""COMPUTED_VALUE"""),"Erie North Shore Minor Hockey")</f>
        <v>Erie North Shore Minor Hockey</v>
      </c>
      <c r="F2640" s="87" t="str">
        <f t="shared" ca="1" si="0"/>
        <v>2024</v>
      </c>
      <c r="H2640" s="26" t="str">
        <f t="shared" si="1"/>
        <v/>
      </c>
      <c r="I2640" s="26" t="str">
        <f t="shared" si="2"/>
        <v/>
      </c>
      <c r="J2640" s="86">
        <f t="shared" ca="1" si="3"/>
        <v>45341</v>
      </c>
      <c r="R2640" s="26"/>
    </row>
    <row r="2641" spans="1:18" ht="15.75" customHeight="1">
      <c r="A2641" s="26">
        <f ca="1">IFERROR(__xludf.DUMMYFUNCTION("""COMPUTED_VALUE"""),22867)</f>
        <v>22867</v>
      </c>
      <c r="B2641" s="86">
        <f ca="1">IFERROR(__xludf.DUMMYFUNCTION("""COMPUTED_VALUE"""),45341.6808333333)</f>
        <v>45341.680833333303</v>
      </c>
      <c r="C2641" s="1" t="str">
        <f ca="1">IFERROR(__xludf.DUMMYFUNCTION("""COMPUTED_VALUE"""),"completed")</f>
        <v>completed</v>
      </c>
      <c r="D2641" s="26">
        <f ca="1">IFERROR(__xludf.DUMMYFUNCTION("""COMPUTED_VALUE"""),25)</f>
        <v>25</v>
      </c>
      <c r="E2641" s="1" t="str">
        <f ca="1">IFERROR(__xludf.DUMMYFUNCTION("""COMPUTED_VALUE"""),"Erie North Shore Minor Hockey")</f>
        <v>Erie North Shore Minor Hockey</v>
      </c>
      <c r="F2641" s="87" t="str">
        <f t="shared" ca="1" si="0"/>
        <v>2024</v>
      </c>
      <c r="H2641" s="26" t="str">
        <f t="shared" si="1"/>
        <v/>
      </c>
      <c r="I2641" s="26" t="str">
        <f t="shared" si="2"/>
        <v/>
      </c>
      <c r="J2641" s="86">
        <f t="shared" ca="1" si="3"/>
        <v>45341</v>
      </c>
      <c r="R2641" s="26"/>
    </row>
    <row r="2642" spans="1:18" ht="15.75" customHeight="1">
      <c r="A2642" s="26">
        <f ca="1">IFERROR(__xludf.DUMMYFUNCTION("""COMPUTED_VALUE"""),22870)</f>
        <v>22870</v>
      </c>
      <c r="B2642" s="86">
        <f ca="1">IFERROR(__xludf.DUMMYFUNCTION("""COMPUTED_VALUE"""),45341.796875)</f>
        <v>45341.796875</v>
      </c>
      <c r="C2642" s="1" t="str">
        <f ca="1">IFERROR(__xludf.DUMMYFUNCTION("""COMPUTED_VALUE"""),"completed")</f>
        <v>completed</v>
      </c>
      <c r="D2642" s="26">
        <f ca="1">IFERROR(__xludf.DUMMYFUNCTION("""COMPUTED_VALUE"""),20)</f>
        <v>20</v>
      </c>
      <c r="E2642" s="1" t="str">
        <f ca="1">IFERROR(__xludf.DUMMYFUNCTION("""COMPUTED_VALUE"""),"Erie North Shore Minor Hockey")</f>
        <v>Erie North Shore Minor Hockey</v>
      </c>
      <c r="F2642" s="87" t="str">
        <f t="shared" ca="1" si="0"/>
        <v>2024</v>
      </c>
      <c r="H2642" s="26" t="str">
        <f t="shared" si="1"/>
        <v/>
      </c>
      <c r="I2642" s="26" t="str">
        <f t="shared" si="2"/>
        <v/>
      </c>
      <c r="J2642" s="86">
        <f t="shared" ca="1" si="3"/>
        <v>45341</v>
      </c>
      <c r="R2642" s="26"/>
    </row>
    <row r="2643" spans="1:18" ht="15.75" customHeight="1">
      <c r="A2643" s="26">
        <f ca="1">IFERROR(__xludf.DUMMYFUNCTION("""COMPUTED_VALUE"""),22869)</f>
        <v>22869</v>
      </c>
      <c r="B2643" s="86">
        <f ca="1">IFERROR(__xludf.DUMMYFUNCTION("""COMPUTED_VALUE"""),45341.7945023148)</f>
        <v>45341.794502314799</v>
      </c>
      <c r="C2643" s="1" t="str">
        <f ca="1">IFERROR(__xludf.DUMMYFUNCTION("""COMPUTED_VALUE"""),"completed")</f>
        <v>completed</v>
      </c>
      <c r="D2643" s="26">
        <f ca="1">IFERROR(__xludf.DUMMYFUNCTION("""COMPUTED_VALUE"""),48)</f>
        <v>48</v>
      </c>
      <c r="E2643" s="1" t="str">
        <f ca="1">IFERROR(__xludf.DUMMYFUNCTION("""COMPUTED_VALUE"""),"Erie North Shore Minor Hockey")</f>
        <v>Erie North Shore Minor Hockey</v>
      </c>
      <c r="F2643" s="87" t="str">
        <f t="shared" ca="1" si="0"/>
        <v>2024</v>
      </c>
      <c r="H2643" s="26" t="str">
        <f t="shared" si="1"/>
        <v/>
      </c>
      <c r="I2643" s="26" t="str">
        <f t="shared" si="2"/>
        <v/>
      </c>
      <c r="J2643" s="86">
        <f t="shared" ca="1" si="3"/>
        <v>45341</v>
      </c>
      <c r="R2643" s="26"/>
    </row>
    <row r="2644" spans="1:18" ht="15.75" customHeight="1">
      <c r="A2644" s="26">
        <f ca="1">IFERROR(__xludf.DUMMYFUNCTION("""COMPUTED_VALUE"""),22868)</f>
        <v>22868</v>
      </c>
      <c r="B2644" s="86">
        <f ca="1">IFERROR(__xludf.DUMMYFUNCTION("""COMPUTED_VALUE"""),45341.7944560185)</f>
        <v>45341.794456018499</v>
      </c>
      <c r="C2644" s="1" t="str">
        <f ca="1">IFERROR(__xludf.DUMMYFUNCTION("""COMPUTED_VALUE"""),"pending")</f>
        <v>pending</v>
      </c>
      <c r="D2644" s="26">
        <f ca="1">IFERROR(__xludf.DUMMYFUNCTION("""COMPUTED_VALUE"""),40)</f>
        <v>40</v>
      </c>
      <c r="E2644" s="1" t="str">
        <f ca="1">IFERROR(__xludf.DUMMYFUNCTION("""COMPUTED_VALUE"""),"Erie North Shore Minor Hockey")</f>
        <v>Erie North Shore Minor Hockey</v>
      </c>
      <c r="F2644" s="87" t="str">
        <f t="shared" ca="1" si="0"/>
        <v>2024</v>
      </c>
      <c r="H2644" s="26" t="str">
        <f t="shared" si="1"/>
        <v/>
      </c>
      <c r="I2644" s="26" t="str">
        <f t="shared" si="2"/>
        <v/>
      </c>
      <c r="J2644" s="86">
        <f t="shared" ca="1" si="3"/>
        <v>45341</v>
      </c>
      <c r="R2644" s="26"/>
    </row>
    <row r="2645" spans="1:18" ht="15.75" customHeight="1">
      <c r="A2645" s="26">
        <f ca="1">IFERROR(__xludf.DUMMYFUNCTION("""COMPUTED_VALUE"""),22871)</f>
        <v>22871</v>
      </c>
      <c r="B2645" s="86">
        <f ca="1">IFERROR(__xludf.DUMMYFUNCTION("""COMPUTED_VALUE"""),45341.8130439814)</f>
        <v>45341.813043981398</v>
      </c>
      <c r="C2645" s="1" t="str">
        <f ca="1">IFERROR(__xludf.DUMMYFUNCTION("""COMPUTED_VALUE"""),"completed")</f>
        <v>completed</v>
      </c>
      <c r="D2645" s="26">
        <f ca="1">IFERROR(__xludf.DUMMYFUNCTION("""COMPUTED_VALUE"""),24)</f>
        <v>24</v>
      </c>
      <c r="E2645" s="1" t="str">
        <f ca="1">IFERROR(__xludf.DUMMYFUNCTION("""COMPUTED_VALUE"""),"Erie North Shore Minor Hockey")</f>
        <v>Erie North Shore Minor Hockey</v>
      </c>
      <c r="F2645" s="87" t="str">
        <f t="shared" ca="1" si="0"/>
        <v>2024</v>
      </c>
      <c r="H2645" s="26" t="str">
        <f t="shared" si="1"/>
        <v/>
      </c>
      <c r="I2645" s="26" t="str">
        <f t="shared" si="2"/>
        <v/>
      </c>
      <c r="J2645" s="86">
        <f t="shared" ca="1" si="3"/>
        <v>45341</v>
      </c>
      <c r="R2645" s="26"/>
    </row>
    <row r="2646" spans="1:18" ht="15.75" customHeight="1">
      <c r="A2646" s="26">
        <f ca="1">IFERROR(__xludf.DUMMYFUNCTION("""COMPUTED_VALUE"""),22873)</f>
        <v>22873</v>
      </c>
      <c r="B2646" s="86">
        <f ca="1">IFERROR(__xludf.DUMMYFUNCTION("""COMPUTED_VALUE"""),45341.8213541666)</f>
        <v>45341.821354166597</v>
      </c>
      <c r="C2646" s="1" t="str">
        <f ca="1">IFERROR(__xludf.DUMMYFUNCTION("""COMPUTED_VALUE"""),"completed")</f>
        <v>completed</v>
      </c>
      <c r="D2646" s="26">
        <f ca="1">IFERROR(__xludf.DUMMYFUNCTION("""COMPUTED_VALUE"""),15)</f>
        <v>15</v>
      </c>
      <c r="E2646" s="1" t="str">
        <f ca="1">IFERROR(__xludf.DUMMYFUNCTION("""COMPUTED_VALUE"""),"Erie North Shore Minor Hockey")</f>
        <v>Erie North Shore Minor Hockey</v>
      </c>
      <c r="F2646" s="87" t="str">
        <f t="shared" ca="1" si="0"/>
        <v>2024</v>
      </c>
      <c r="H2646" s="26" t="str">
        <f t="shared" si="1"/>
        <v/>
      </c>
      <c r="I2646" s="26" t="str">
        <f t="shared" si="2"/>
        <v/>
      </c>
      <c r="J2646" s="86">
        <f t="shared" ca="1" si="3"/>
        <v>45341</v>
      </c>
      <c r="R2646" s="26"/>
    </row>
    <row r="2647" spans="1:18" ht="15.75" customHeight="1">
      <c r="A2647" s="26">
        <f ca="1">IFERROR(__xludf.DUMMYFUNCTION("""COMPUTED_VALUE"""),22872)</f>
        <v>22872</v>
      </c>
      <c r="B2647" s="86">
        <f ca="1">IFERROR(__xludf.DUMMYFUNCTION("""COMPUTED_VALUE"""),45341.8193518518)</f>
        <v>45341.819351851802</v>
      </c>
      <c r="C2647" s="1" t="str">
        <f ca="1">IFERROR(__xludf.DUMMYFUNCTION("""COMPUTED_VALUE"""),"completed")</f>
        <v>completed</v>
      </c>
      <c r="D2647" s="26">
        <f ca="1">IFERROR(__xludf.DUMMYFUNCTION("""COMPUTED_VALUE"""),35)</f>
        <v>35</v>
      </c>
      <c r="E2647" s="1" t="str">
        <f ca="1">IFERROR(__xludf.DUMMYFUNCTION("""COMPUTED_VALUE"""),"Erie North Shore Minor Hockey")</f>
        <v>Erie North Shore Minor Hockey</v>
      </c>
      <c r="F2647" s="87" t="str">
        <f t="shared" ca="1" si="0"/>
        <v>2024</v>
      </c>
      <c r="H2647" s="26" t="str">
        <f t="shared" si="1"/>
        <v/>
      </c>
      <c r="I2647" s="26" t="str">
        <f t="shared" si="2"/>
        <v/>
      </c>
      <c r="J2647" s="86">
        <f t="shared" ca="1" si="3"/>
        <v>45341</v>
      </c>
      <c r="R2647" s="26"/>
    </row>
    <row r="2648" spans="1:18" ht="15.75" customHeight="1">
      <c r="A2648" s="26">
        <f ca="1">IFERROR(__xludf.DUMMYFUNCTION("""COMPUTED_VALUE"""),22874)</f>
        <v>22874</v>
      </c>
      <c r="B2648" s="86">
        <f ca="1">IFERROR(__xludf.DUMMYFUNCTION("""COMPUTED_VALUE"""),45341.8338194444)</f>
        <v>45341.8338194444</v>
      </c>
      <c r="C2648" s="1" t="str">
        <f ca="1">IFERROR(__xludf.DUMMYFUNCTION("""COMPUTED_VALUE"""),"completed")</f>
        <v>completed</v>
      </c>
      <c r="D2648" s="26">
        <f ca="1">IFERROR(__xludf.DUMMYFUNCTION("""COMPUTED_VALUE"""),70)</f>
        <v>70</v>
      </c>
      <c r="E2648" s="1" t="str">
        <f ca="1">IFERROR(__xludf.DUMMYFUNCTION("""COMPUTED_VALUE"""),"Erie North Shore Minor Hockey")</f>
        <v>Erie North Shore Minor Hockey</v>
      </c>
      <c r="F2648" s="87" t="str">
        <f t="shared" ca="1" si="0"/>
        <v>2024</v>
      </c>
      <c r="H2648" s="26" t="str">
        <f t="shared" si="1"/>
        <v/>
      </c>
      <c r="I2648" s="26" t="str">
        <f t="shared" si="2"/>
        <v/>
      </c>
      <c r="J2648" s="86">
        <f t="shared" ca="1" si="3"/>
        <v>45341</v>
      </c>
      <c r="R2648" s="26"/>
    </row>
    <row r="2649" spans="1:18" ht="15.75" customHeight="1">
      <c r="A2649" s="26">
        <f ca="1">IFERROR(__xludf.DUMMYFUNCTION("""COMPUTED_VALUE"""),22875)</f>
        <v>22875</v>
      </c>
      <c r="B2649" s="86">
        <f ca="1">IFERROR(__xludf.DUMMYFUNCTION("""COMPUTED_VALUE"""),45341.8541898148)</f>
        <v>45341.854189814803</v>
      </c>
      <c r="C2649" s="1" t="str">
        <f ca="1">IFERROR(__xludf.DUMMYFUNCTION("""COMPUTED_VALUE"""),"completed")</f>
        <v>completed</v>
      </c>
      <c r="D2649" s="26">
        <f ca="1">IFERROR(__xludf.DUMMYFUNCTION("""COMPUTED_VALUE"""),51)</f>
        <v>51</v>
      </c>
      <c r="E2649" s="1" t="str">
        <f ca="1">IFERROR(__xludf.DUMMYFUNCTION("""COMPUTED_VALUE"""),"Erie North Shore Minor Hockey")</f>
        <v>Erie North Shore Minor Hockey</v>
      </c>
      <c r="F2649" s="87" t="str">
        <f t="shared" ca="1" si="0"/>
        <v>2024</v>
      </c>
      <c r="H2649" s="26" t="str">
        <f t="shared" si="1"/>
        <v/>
      </c>
      <c r="I2649" s="26" t="str">
        <f t="shared" si="2"/>
        <v/>
      </c>
      <c r="J2649" s="86">
        <f t="shared" ca="1" si="3"/>
        <v>45341</v>
      </c>
      <c r="R2649" s="26"/>
    </row>
    <row r="2650" spans="1:18" ht="15.75" customHeight="1">
      <c r="A2650" s="26">
        <f ca="1">IFERROR(__xludf.DUMMYFUNCTION("""COMPUTED_VALUE"""),22876)</f>
        <v>22876</v>
      </c>
      <c r="B2650" s="86">
        <f ca="1">IFERROR(__xludf.DUMMYFUNCTION("""COMPUTED_VALUE"""),45341.8889236111)</f>
        <v>45341.888923611099</v>
      </c>
      <c r="C2650" s="1" t="str">
        <f ca="1">IFERROR(__xludf.DUMMYFUNCTION("""COMPUTED_VALUE"""),"completed")</f>
        <v>completed</v>
      </c>
      <c r="D2650" s="26">
        <f ca="1">IFERROR(__xludf.DUMMYFUNCTION("""COMPUTED_VALUE"""),44)</f>
        <v>44</v>
      </c>
      <c r="E2650" s="1" t="str">
        <f ca="1">IFERROR(__xludf.DUMMYFUNCTION("""COMPUTED_VALUE"""),"Erie North Shore Minor Hockey")</f>
        <v>Erie North Shore Minor Hockey</v>
      </c>
      <c r="F2650" s="87" t="str">
        <f t="shared" ca="1" si="0"/>
        <v>2024</v>
      </c>
      <c r="H2650" s="26" t="str">
        <f t="shared" si="1"/>
        <v/>
      </c>
      <c r="I2650" s="26" t="str">
        <f t="shared" si="2"/>
        <v/>
      </c>
      <c r="J2650" s="86">
        <f t="shared" ca="1" si="3"/>
        <v>45341</v>
      </c>
      <c r="R2650" s="26"/>
    </row>
    <row r="2651" spans="1:18" ht="15.75" customHeight="1">
      <c r="A2651" s="26">
        <f ca="1">IFERROR(__xludf.DUMMYFUNCTION("""COMPUTED_VALUE"""),22878)</f>
        <v>22878</v>
      </c>
      <c r="B2651" s="86">
        <f ca="1">IFERROR(__xludf.DUMMYFUNCTION("""COMPUTED_VALUE"""),45341.8978009259)</f>
        <v>45341.897800925901</v>
      </c>
      <c r="C2651" s="1" t="str">
        <f ca="1">IFERROR(__xludf.DUMMYFUNCTION("""COMPUTED_VALUE"""),"completed")</f>
        <v>completed</v>
      </c>
      <c r="D2651" s="26">
        <f ca="1">IFERROR(__xludf.DUMMYFUNCTION("""COMPUTED_VALUE"""),28)</f>
        <v>28</v>
      </c>
      <c r="E2651" s="1" t="str">
        <f ca="1">IFERROR(__xludf.DUMMYFUNCTION("""COMPUTED_VALUE"""),"Erie North Shore Minor Hockey")</f>
        <v>Erie North Shore Minor Hockey</v>
      </c>
      <c r="F2651" s="87" t="str">
        <f t="shared" ca="1" si="0"/>
        <v>2024</v>
      </c>
      <c r="H2651" s="26" t="str">
        <f t="shared" si="1"/>
        <v/>
      </c>
      <c r="I2651" s="26" t="str">
        <f t="shared" si="2"/>
        <v/>
      </c>
      <c r="J2651" s="86">
        <f t="shared" ca="1" si="3"/>
        <v>45341</v>
      </c>
      <c r="R2651" s="26"/>
    </row>
    <row r="2652" spans="1:18" ht="15.75" customHeight="1">
      <c r="A2652" s="26">
        <f ca="1">IFERROR(__xludf.DUMMYFUNCTION("""COMPUTED_VALUE"""),22877)</f>
        <v>22877</v>
      </c>
      <c r="B2652" s="86">
        <f ca="1">IFERROR(__xludf.DUMMYFUNCTION("""COMPUTED_VALUE"""),45341.895625)</f>
        <v>45341.895624999997</v>
      </c>
      <c r="C2652" s="1" t="str">
        <f ca="1">IFERROR(__xludf.DUMMYFUNCTION("""COMPUTED_VALUE"""),"completed")</f>
        <v>completed</v>
      </c>
      <c r="D2652" s="26">
        <f ca="1">IFERROR(__xludf.DUMMYFUNCTION("""COMPUTED_VALUE"""),28)</f>
        <v>28</v>
      </c>
      <c r="E2652" s="1" t="str">
        <f ca="1">IFERROR(__xludf.DUMMYFUNCTION("""COMPUTED_VALUE"""),"Erie North Shore Minor Hockey")</f>
        <v>Erie North Shore Minor Hockey</v>
      </c>
      <c r="F2652" s="87" t="str">
        <f t="shared" ca="1" si="0"/>
        <v>2024</v>
      </c>
      <c r="H2652" s="26" t="str">
        <f t="shared" si="1"/>
        <v/>
      </c>
      <c r="I2652" s="26" t="str">
        <f t="shared" si="2"/>
        <v/>
      </c>
      <c r="J2652" s="86">
        <f t="shared" ca="1" si="3"/>
        <v>45341</v>
      </c>
      <c r="R2652" s="26"/>
    </row>
    <row r="2653" spans="1:18" ht="15.75" customHeight="1">
      <c r="A2653" s="26">
        <f ca="1">IFERROR(__xludf.DUMMYFUNCTION("""COMPUTED_VALUE"""),22879)</f>
        <v>22879</v>
      </c>
      <c r="B2653" s="86">
        <f ca="1">IFERROR(__xludf.DUMMYFUNCTION("""COMPUTED_VALUE"""),45341.9471412037)</f>
        <v>45341.947141203702</v>
      </c>
      <c r="C2653" s="1" t="str">
        <f ca="1">IFERROR(__xludf.DUMMYFUNCTION("""COMPUTED_VALUE"""),"completed")</f>
        <v>completed</v>
      </c>
      <c r="D2653" s="26">
        <f ca="1">IFERROR(__xludf.DUMMYFUNCTION("""COMPUTED_VALUE"""),117)</f>
        <v>117</v>
      </c>
      <c r="E2653" s="1" t="str">
        <f ca="1">IFERROR(__xludf.DUMMYFUNCTION("""COMPUTED_VALUE"""),"Erie North Shore Minor Hockey")</f>
        <v>Erie North Shore Minor Hockey</v>
      </c>
      <c r="F2653" s="87" t="str">
        <f t="shared" ca="1" si="0"/>
        <v>2024</v>
      </c>
      <c r="H2653" s="26" t="str">
        <f t="shared" si="1"/>
        <v/>
      </c>
      <c r="I2653" s="26" t="str">
        <f t="shared" si="2"/>
        <v/>
      </c>
      <c r="J2653" s="86">
        <f t="shared" ca="1" si="3"/>
        <v>45341</v>
      </c>
      <c r="R2653" s="26"/>
    </row>
    <row r="2654" spans="1:18" ht="15.75" customHeight="1">
      <c r="A2654" s="26">
        <f ca="1">IFERROR(__xludf.DUMMYFUNCTION("""COMPUTED_VALUE"""),22880)</f>
        <v>22880</v>
      </c>
      <c r="B2654" s="86">
        <f ca="1">IFERROR(__xludf.DUMMYFUNCTION("""COMPUTED_VALUE"""),45342.3086111111)</f>
        <v>45342.308611111097</v>
      </c>
      <c r="C2654" s="1" t="str">
        <f ca="1">IFERROR(__xludf.DUMMYFUNCTION("""COMPUTED_VALUE"""),"completed")</f>
        <v>completed</v>
      </c>
      <c r="D2654" s="26">
        <f ca="1">IFERROR(__xludf.DUMMYFUNCTION("""COMPUTED_VALUE"""),72)</f>
        <v>72</v>
      </c>
      <c r="E2654" s="1" t="str">
        <f ca="1">IFERROR(__xludf.DUMMYFUNCTION("""COMPUTED_VALUE"""),"Erie North Shore Minor Hockey")</f>
        <v>Erie North Shore Minor Hockey</v>
      </c>
      <c r="F2654" s="87" t="str">
        <f t="shared" ca="1" si="0"/>
        <v>2024</v>
      </c>
      <c r="H2654" s="26" t="str">
        <f t="shared" si="1"/>
        <v/>
      </c>
      <c r="I2654" s="26" t="str">
        <f t="shared" si="2"/>
        <v/>
      </c>
      <c r="J2654" s="86">
        <f t="shared" ca="1" si="3"/>
        <v>45342</v>
      </c>
      <c r="R2654" s="26"/>
    </row>
    <row r="2655" spans="1:18" ht="15.75" customHeight="1">
      <c r="A2655" s="26">
        <f ca="1">IFERROR(__xludf.DUMMYFUNCTION("""COMPUTED_VALUE"""),22881)</f>
        <v>22881</v>
      </c>
      <c r="B2655" s="86">
        <f ca="1">IFERROR(__xludf.DUMMYFUNCTION("""COMPUTED_VALUE"""),45342.6753819444)</f>
        <v>45342.675381944398</v>
      </c>
      <c r="C2655" s="1" t="str">
        <f ca="1">IFERROR(__xludf.DUMMYFUNCTION("""COMPUTED_VALUE"""),"completed")</f>
        <v>completed</v>
      </c>
      <c r="D2655" s="26">
        <f ca="1">IFERROR(__xludf.DUMMYFUNCTION("""COMPUTED_VALUE"""),25)</f>
        <v>25</v>
      </c>
      <c r="E2655" s="1" t="str">
        <f ca="1">IFERROR(__xludf.DUMMYFUNCTION("""COMPUTED_VALUE"""),"Erie North Shore Minor Hockey")</f>
        <v>Erie North Shore Minor Hockey</v>
      </c>
      <c r="F2655" s="87" t="str">
        <f t="shared" ca="1" si="0"/>
        <v>2024</v>
      </c>
      <c r="H2655" s="26" t="str">
        <f t="shared" si="1"/>
        <v/>
      </c>
      <c r="I2655" s="26" t="str">
        <f t="shared" si="2"/>
        <v/>
      </c>
      <c r="J2655" s="86">
        <f t="shared" ca="1" si="3"/>
        <v>45342</v>
      </c>
      <c r="R2655" s="26"/>
    </row>
    <row r="2656" spans="1:18" ht="15.75" customHeight="1">
      <c r="A2656" s="26">
        <f ca="1">IFERROR(__xludf.DUMMYFUNCTION("""COMPUTED_VALUE"""),22882)</f>
        <v>22882</v>
      </c>
      <c r="B2656" s="86">
        <f ca="1">IFERROR(__xludf.DUMMYFUNCTION("""COMPUTED_VALUE"""),45342.7881597222)</f>
        <v>45342.7881597222</v>
      </c>
      <c r="C2656" s="1" t="str">
        <f ca="1">IFERROR(__xludf.DUMMYFUNCTION("""COMPUTED_VALUE"""),"completed")</f>
        <v>completed</v>
      </c>
      <c r="D2656" s="26">
        <f ca="1">IFERROR(__xludf.DUMMYFUNCTION("""COMPUTED_VALUE"""),48)</f>
        <v>48</v>
      </c>
      <c r="E2656" s="1" t="str">
        <f ca="1">IFERROR(__xludf.DUMMYFUNCTION("""COMPUTED_VALUE"""),"Erie North Shore Minor Hockey")</f>
        <v>Erie North Shore Minor Hockey</v>
      </c>
      <c r="F2656" s="87" t="str">
        <f t="shared" ca="1" si="0"/>
        <v>2024</v>
      </c>
      <c r="H2656" s="26" t="str">
        <f t="shared" si="1"/>
        <v/>
      </c>
      <c r="I2656" s="26" t="str">
        <f t="shared" si="2"/>
        <v/>
      </c>
      <c r="J2656" s="86">
        <f t="shared" ca="1" si="3"/>
        <v>45342</v>
      </c>
      <c r="R2656" s="26"/>
    </row>
    <row r="2657" spans="1:18" ht="15.75" customHeight="1">
      <c r="A2657" s="26">
        <f ca="1">IFERROR(__xludf.DUMMYFUNCTION("""COMPUTED_VALUE"""),22883)</f>
        <v>22883</v>
      </c>
      <c r="B2657" s="86">
        <f ca="1">IFERROR(__xludf.DUMMYFUNCTION("""COMPUTED_VALUE"""),45342.8212731481)</f>
        <v>45342.821273148104</v>
      </c>
      <c r="C2657" s="1" t="str">
        <f ca="1">IFERROR(__xludf.DUMMYFUNCTION("""COMPUTED_VALUE"""),"completed")</f>
        <v>completed</v>
      </c>
      <c r="D2657" s="26">
        <f ca="1">IFERROR(__xludf.DUMMYFUNCTION("""COMPUTED_VALUE"""),25)</f>
        <v>25</v>
      </c>
      <c r="E2657" s="1" t="str">
        <f ca="1">IFERROR(__xludf.DUMMYFUNCTION("""COMPUTED_VALUE"""),"Erie North Shore Minor Hockey")</f>
        <v>Erie North Shore Minor Hockey</v>
      </c>
      <c r="F2657" s="87" t="str">
        <f t="shared" ca="1" si="0"/>
        <v>2024</v>
      </c>
      <c r="H2657" s="26" t="str">
        <f t="shared" si="1"/>
        <v/>
      </c>
      <c r="I2657" s="26" t="str">
        <f t="shared" si="2"/>
        <v/>
      </c>
      <c r="J2657" s="86">
        <f t="shared" ca="1" si="3"/>
        <v>45342</v>
      </c>
      <c r="R2657" s="26"/>
    </row>
    <row r="2658" spans="1:18" ht="15.75" customHeight="1">
      <c r="A2658" s="26">
        <f ca="1">IFERROR(__xludf.DUMMYFUNCTION("""COMPUTED_VALUE"""),22884)</f>
        <v>22884</v>
      </c>
      <c r="B2658" s="86">
        <f ca="1">IFERROR(__xludf.DUMMYFUNCTION("""COMPUTED_VALUE"""),45342.8885763888)</f>
        <v>45342.888576388803</v>
      </c>
      <c r="C2658" s="1" t="str">
        <f ca="1">IFERROR(__xludf.DUMMYFUNCTION("""COMPUTED_VALUE"""),"completed")</f>
        <v>completed</v>
      </c>
      <c r="D2658" s="26">
        <f ca="1">IFERROR(__xludf.DUMMYFUNCTION("""COMPUTED_VALUE"""),25)</f>
        <v>25</v>
      </c>
      <c r="E2658" s="1" t="str">
        <f ca="1">IFERROR(__xludf.DUMMYFUNCTION("""COMPUTED_VALUE"""),"Erie North Shore Minor Hockey")</f>
        <v>Erie North Shore Minor Hockey</v>
      </c>
      <c r="F2658" s="87" t="str">
        <f t="shared" ca="1" si="0"/>
        <v>2024</v>
      </c>
      <c r="H2658" s="26" t="str">
        <f t="shared" si="1"/>
        <v/>
      </c>
      <c r="I2658" s="26" t="str">
        <f t="shared" si="2"/>
        <v/>
      </c>
      <c r="J2658" s="86">
        <f t="shared" ca="1" si="3"/>
        <v>45342</v>
      </c>
      <c r="R2658" s="26"/>
    </row>
    <row r="2659" spans="1:18" ht="15.75" customHeight="1">
      <c r="A2659" s="26">
        <f ca="1">IFERROR(__xludf.DUMMYFUNCTION("""COMPUTED_VALUE"""),22885)</f>
        <v>22885</v>
      </c>
      <c r="B2659" s="86">
        <f ca="1">IFERROR(__xludf.DUMMYFUNCTION("""COMPUTED_VALUE"""),45343.0261921296)</f>
        <v>45343.026192129597</v>
      </c>
      <c r="C2659" s="1" t="str">
        <f ca="1">IFERROR(__xludf.DUMMYFUNCTION("""COMPUTED_VALUE"""),"processing")</f>
        <v>processing</v>
      </c>
      <c r="D2659" s="26">
        <f ca="1">IFERROR(__xludf.DUMMYFUNCTION("""COMPUTED_VALUE"""),0)</f>
        <v>0</v>
      </c>
      <c r="E2659" s="1" t="str">
        <f ca="1">IFERROR(__xludf.DUMMYFUNCTION("""COMPUTED_VALUE"""),"WMFA")</f>
        <v>WMFA</v>
      </c>
      <c r="F2659" s="87" t="str">
        <f t="shared" ca="1" si="0"/>
        <v>2024</v>
      </c>
      <c r="H2659" s="26" t="str">
        <f t="shared" si="1"/>
        <v/>
      </c>
      <c r="I2659" s="26" t="str">
        <f t="shared" si="2"/>
        <v/>
      </c>
      <c r="J2659" s="86">
        <f t="shared" ca="1" si="3"/>
        <v>45343</v>
      </c>
      <c r="R2659" s="26"/>
    </row>
    <row r="2660" spans="1:18" ht="15.75" customHeight="1">
      <c r="A2660" s="26">
        <f ca="1">IFERROR(__xludf.DUMMYFUNCTION("""COMPUTED_VALUE"""),22886)</f>
        <v>22886</v>
      </c>
      <c r="B2660" s="86">
        <f ca="1">IFERROR(__xludf.DUMMYFUNCTION("""COMPUTED_VALUE"""),45343.0360185184)</f>
        <v>45343.036018518498</v>
      </c>
      <c r="C2660" s="1" t="str">
        <f ca="1">IFERROR(__xludf.DUMMYFUNCTION("""COMPUTED_VALUE"""),"on-hold")</f>
        <v>on-hold</v>
      </c>
      <c r="D2660" s="26">
        <f ca="1">IFERROR(__xludf.DUMMYFUNCTION("""COMPUTED_VALUE"""),0)</f>
        <v>0</v>
      </c>
      <c r="E2660" s="1"/>
      <c r="F2660" s="87" t="str">
        <f t="shared" ca="1" si="0"/>
        <v>2024</v>
      </c>
      <c r="H2660" s="26" t="str">
        <f t="shared" si="1"/>
        <v/>
      </c>
      <c r="I2660" s="26" t="str">
        <f t="shared" si="2"/>
        <v/>
      </c>
      <c r="J2660" s="86">
        <f t="shared" ca="1" si="3"/>
        <v>45343</v>
      </c>
      <c r="R2660" s="26"/>
    </row>
    <row r="2661" spans="1:18" ht="15.75" customHeight="1">
      <c r="A2661" s="26">
        <f ca="1">IFERROR(__xludf.DUMMYFUNCTION("""COMPUTED_VALUE"""),22888)</f>
        <v>22888</v>
      </c>
      <c r="B2661" s="86">
        <f ca="1">IFERROR(__xludf.DUMMYFUNCTION("""COMPUTED_VALUE"""),45343.0611805555)</f>
        <v>45343.061180555502</v>
      </c>
      <c r="C2661" s="1" t="str">
        <f ca="1">IFERROR(__xludf.DUMMYFUNCTION("""COMPUTED_VALUE"""),"processing")</f>
        <v>processing</v>
      </c>
      <c r="D2661" s="26">
        <f ca="1">IFERROR(__xludf.DUMMYFUNCTION("""COMPUTED_VALUE"""),0)</f>
        <v>0</v>
      </c>
      <c r="E2661" s="1"/>
      <c r="F2661" s="87" t="str">
        <f t="shared" ca="1" si="0"/>
        <v>2024</v>
      </c>
      <c r="H2661" s="26" t="str">
        <f t="shared" si="1"/>
        <v/>
      </c>
      <c r="I2661" s="26" t="str">
        <f t="shared" si="2"/>
        <v/>
      </c>
      <c r="J2661" s="86">
        <f t="shared" ca="1" si="3"/>
        <v>45343</v>
      </c>
      <c r="R2661" s="26"/>
    </row>
    <row r="2662" spans="1:18" ht="15.75" customHeight="1">
      <c r="A2662" s="26">
        <f ca="1">IFERROR(__xludf.DUMMYFUNCTION("""COMPUTED_VALUE"""),22889)</f>
        <v>22889</v>
      </c>
      <c r="B2662" s="86">
        <f ca="1">IFERROR(__xludf.DUMMYFUNCTION("""COMPUTED_VALUE"""),45343.0690972222)</f>
        <v>45343.0690972222</v>
      </c>
      <c r="C2662" s="1" t="str">
        <f ca="1">IFERROR(__xludf.DUMMYFUNCTION("""COMPUTED_VALUE"""),"processing")</f>
        <v>processing</v>
      </c>
      <c r="D2662" s="26">
        <f ca="1">IFERROR(__xludf.DUMMYFUNCTION("""COMPUTED_VALUE"""),25)</f>
        <v>25</v>
      </c>
      <c r="E2662" s="1"/>
      <c r="F2662" s="87" t="str">
        <f t="shared" ca="1" si="0"/>
        <v>2024</v>
      </c>
      <c r="H2662" s="26" t="str">
        <f t="shared" si="1"/>
        <v/>
      </c>
      <c r="I2662" s="26" t="str">
        <f t="shared" si="2"/>
        <v/>
      </c>
      <c r="J2662" s="86">
        <f t="shared" ca="1" si="3"/>
        <v>45343</v>
      </c>
      <c r="R2662" s="26"/>
    </row>
    <row r="2663" spans="1:18" ht="15.75" customHeight="1">
      <c r="A2663" s="26">
        <f ca="1">IFERROR(__xludf.DUMMYFUNCTION("""COMPUTED_VALUE"""),22891)</f>
        <v>22891</v>
      </c>
      <c r="B2663" s="86">
        <f ca="1">IFERROR(__xludf.DUMMYFUNCTION("""COMPUTED_VALUE"""),45343.0876736111)</f>
        <v>45343.087673611102</v>
      </c>
      <c r="C2663" s="1" t="str">
        <f ca="1">IFERROR(__xludf.DUMMYFUNCTION("""COMPUTED_VALUE"""),"processing")</f>
        <v>processing</v>
      </c>
      <c r="D2663" s="26">
        <f ca="1">IFERROR(__xludf.DUMMYFUNCTION("""COMPUTED_VALUE"""),36)</f>
        <v>36</v>
      </c>
      <c r="E2663" s="1"/>
      <c r="F2663" s="87" t="str">
        <f t="shared" ca="1" si="0"/>
        <v>2024</v>
      </c>
      <c r="H2663" s="26" t="str">
        <f t="shared" si="1"/>
        <v/>
      </c>
      <c r="I2663" s="26" t="str">
        <f t="shared" si="2"/>
        <v/>
      </c>
      <c r="J2663" s="86">
        <f t="shared" ca="1" si="3"/>
        <v>45343</v>
      </c>
      <c r="R2663" s="26"/>
    </row>
    <row r="2664" spans="1:18" ht="15.75" customHeight="1">
      <c r="A2664" s="26">
        <f ca="1">IFERROR(__xludf.DUMMYFUNCTION("""COMPUTED_VALUE"""),22892)</f>
        <v>22892</v>
      </c>
      <c r="B2664" s="86">
        <f ca="1">IFERROR(__xludf.DUMMYFUNCTION("""COMPUTED_VALUE"""),45343.0937962963)</f>
        <v>45343.0937962963</v>
      </c>
      <c r="C2664" s="1" t="str">
        <f ca="1">IFERROR(__xludf.DUMMYFUNCTION("""COMPUTED_VALUE"""),"processing")</f>
        <v>processing</v>
      </c>
      <c r="D2664" s="26">
        <f ca="1">IFERROR(__xludf.DUMMYFUNCTION("""COMPUTED_VALUE"""),36)</f>
        <v>36</v>
      </c>
      <c r="E2664" s="1"/>
      <c r="F2664" s="87" t="str">
        <f t="shared" ca="1" si="0"/>
        <v>2024</v>
      </c>
      <c r="H2664" s="26" t="str">
        <f t="shared" si="1"/>
        <v/>
      </c>
      <c r="I2664" s="26" t="str">
        <f t="shared" si="2"/>
        <v/>
      </c>
      <c r="J2664" s="86">
        <f t="shared" ca="1" si="3"/>
        <v>45343</v>
      </c>
      <c r="R2664" s="26"/>
    </row>
    <row r="2665" spans="1:18" ht="15.75" customHeight="1">
      <c r="A2665" s="26">
        <f ca="1">IFERROR(__xludf.DUMMYFUNCTION("""COMPUTED_VALUE"""),22894)</f>
        <v>22894</v>
      </c>
      <c r="B2665" s="86">
        <f ca="1">IFERROR(__xludf.DUMMYFUNCTION("""COMPUTED_VALUE"""),45343.0980324074)</f>
        <v>45343.098032407397</v>
      </c>
      <c r="C2665" s="1" t="str">
        <f ca="1">IFERROR(__xludf.DUMMYFUNCTION("""COMPUTED_VALUE"""),"processing")</f>
        <v>processing</v>
      </c>
      <c r="D2665" s="26">
        <f ca="1">IFERROR(__xludf.DUMMYFUNCTION("""COMPUTED_VALUE"""),36)</f>
        <v>36</v>
      </c>
      <c r="E2665" s="1"/>
      <c r="F2665" s="87" t="str">
        <f t="shared" ca="1" si="0"/>
        <v>2024</v>
      </c>
      <c r="H2665" s="26" t="str">
        <f t="shared" si="1"/>
        <v/>
      </c>
      <c r="I2665" s="26" t="str">
        <f t="shared" si="2"/>
        <v/>
      </c>
      <c r="J2665" s="86">
        <f t="shared" ca="1" si="3"/>
        <v>45343</v>
      </c>
      <c r="R2665" s="26"/>
    </row>
    <row r="2666" spans="1:18" ht="15.75" customHeight="1">
      <c r="A2666" s="26">
        <f ca="1">IFERROR(__xludf.DUMMYFUNCTION("""COMPUTED_VALUE"""),22896)</f>
        <v>22896</v>
      </c>
      <c r="B2666" s="86">
        <f ca="1">IFERROR(__xludf.DUMMYFUNCTION("""COMPUTED_VALUE"""),45343.1086921296)</f>
        <v>45343.108692129601</v>
      </c>
      <c r="C2666" s="1" t="str">
        <f ca="1">IFERROR(__xludf.DUMMYFUNCTION("""COMPUTED_VALUE"""),"processing")</f>
        <v>processing</v>
      </c>
      <c r="D2666" s="26">
        <f ca="1">IFERROR(__xludf.DUMMYFUNCTION("""COMPUTED_VALUE"""),40)</f>
        <v>40</v>
      </c>
      <c r="E2666" s="1"/>
      <c r="F2666" s="87" t="str">
        <f t="shared" ca="1" si="0"/>
        <v>2024</v>
      </c>
      <c r="H2666" s="26" t="str">
        <f t="shared" si="1"/>
        <v/>
      </c>
      <c r="I2666" s="26" t="str">
        <f t="shared" si="2"/>
        <v/>
      </c>
      <c r="J2666" s="86">
        <f t="shared" ca="1" si="3"/>
        <v>45343</v>
      </c>
      <c r="R2666" s="26"/>
    </row>
    <row r="2667" spans="1:18" ht="15.75" customHeight="1">
      <c r="A2667" s="26">
        <f ca="1">IFERROR(__xludf.DUMMYFUNCTION("""COMPUTED_VALUE"""),22897)</f>
        <v>22897</v>
      </c>
      <c r="B2667" s="86">
        <f ca="1">IFERROR(__xludf.DUMMYFUNCTION("""COMPUTED_VALUE"""),45343.1153356481)</f>
        <v>45343.115335648101</v>
      </c>
      <c r="C2667" s="1" t="str">
        <f ca="1">IFERROR(__xludf.DUMMYFUNCTION("""COMPUTED_VALUE"""),"processing")</f>
        <v>processing</v>
      </c>
      <c r="D2667" s="26">
        <f ca="1">IFERROR(__xludf.DUMMYFUNCTION("""COMPUTED_VALUE"""),18)</f>
        <v>18</v>
      </c>
      <c r="E2667" s="1"/>
      <c r="F2667" s="87" t="str">
        <f t="shared" ca="1" si="0"/>
        <v>2024</v>
      </c>
      <c r="H2667" s="26" t="str">
        <f t="shared" si="1"/>
        <v/>
      </c>
      <c r="I2667" s="26" t="str">
        <f t="shared" si="2"/>
        <v/>
      </c>
      <c r="J2667" s="86">
        <f t="shared" ca="1" si="3"/>
        <v>45343</v>
      </c>
      <c r="R2667" s="26"/>
    </row>
    <row r="2668" spans="1:18" ht="15.75" customHeight="1">
      <c r="A2668" s="26">
        <f ca="1">IFERROR(__xludf.DUMMYFUNCTION("""COMPUTED_VALUE"""),22899)</f>
        <v>22899</v>
      </c>
      <c r="B2668" s="86">
        <f ca="1">IFERROR(__xludf.DUMMYFUNCTION("""COMPUTED_VALUE"""),45343.1222916666)</f>
        <v>45343.122291666601</v>
      </c>
      <c r="C2668" s="1" t="str">
        <f ca="1">IFERROR(__xludf.DUMMYFUNCTION("""COMPUTED_VALUE"""),"completed")</f>
        <v>completed</v>
      </c>
      <c r="D2668" s="26">
        <f ca="1">IFERROR(__xludf.DUMMYFUNCTION("""COMPUTED_VALUE"""),18)</f>
        <v>18</v>
      </c>
      <c r="E2668" s="1"/>
      <c r="F2668" s="87" t="str">
        <f t="shared" ca="1" si="0"/>
        <v>2024</v>
      </c>
      <c r="H2668" s="26" t="str">
        <f t="shared" si="1"/>
        <v/>
      </c>
      <c r="I2668" s="26" t="str">
        <f t="shared" si="2"/>
        <v/>
      </c>
      <c r="J2668" s="86">
        <f t="shared" ca="1" si="3"/>
        <v>45343</v>
      </c>
      <c r="R2668" s="26"/>
    </row>
    <row r="2669" spans="1:18" ht="15.75" customHeight="1">
      <c r="A2669" s="26">
        <f ca="1">IFERROR(__xludf.DUMMYFUNCTION("""COMPUTED_VALUE"""),22898)</f>
        <v>22898</v>
      </c>
      <c r="B2669" s="86">
        <f ca="1">IFERROR(__xludf.DUMMYFUNCTION("""COMPUTED_VALUE"""),45343.1176967592)</f>
        <v>45343.117696759196</v>
      </c>
      <c r="C2669" s="1" t="str">
        <f ca="1">IFERROR(__xludf.DUMMYFUNCTION("""COMPUTED_VALUE"""),"processing")</f>
        <v>processing</v>
      </c>
      <c r="D2669" s="26">
        <f ca="1">IFERROR(__xludf.DUMMYFUNCTION("""COMPUTED_VALUE"""),18)</f>
        <v>18</v>
      </c>
      <c r="E2669" s="1"/>
      <c r="F2669" s="87" t="str">
        <f t="shared" ca="1" si="0"/>
        <v>2024</v>
      </c>
      <c r="H2669" s="26" t="str">
        <f t="shared" si="1"/>
        <v/>
      </c>
      <c r="I2669" s="26" t="str">
        <f t="shared" si="2"/>
        <v/>
      </c>
      <c r="J2669" s="86">
        <f t="shared" ca="1" si="3"/>
        <v>45343</v>
      </c>
      <c r="R2669" s="26"/>
    </row>
    <row r="2670" spans="1:18" ht="15.75" customHeight="1">
      <c r="A2670" s="26">
        <f ca="1">IFERROR(__xludf.DUMMYFUNCTION("""COMPUTED_VALUE"""),22903)</f>
        <v>22903</v>
      </c>
      <c r="B2670" s="86">
        <f ca="1">IFERROR(__xludf.DUMMYFUNCTION("""COMPUTED_VALUE"""),45343.1341319444)</f>
        <v>45343.134131944404</v>
      </c>
      <c r="C2670" s="1" t="str">
        <f ca="1">IFERROR(__xludf.DUMMYFUNCTION("""COMPUTED_VALUE"""),"cancelled")</f>
        <v>cancelled</v>
      </c>
      <c r="D2670" s="26">
        <f ca="1">IFERROR(__xludf.DUMMYFUNCTION("""COMPUTED_VALUE"""),18)</f>
        <v>18</v>
      </c>
      <c r="E2670" s="1"/>
      <c r="F2670" s="87" t="str">
        <f t="shared" ca="1" si="0"/>
        <v>2024</v>
      </c>
      <c r="H2670" s="26" t="str">
        <f t="shared" si="1"/>
        <v/>
      </c>
      <c r="I2670" s="26" t="str">
        <f t="shared" si="2"/>
        <v/>
      </c>
      <c r="J2670" s="86">
        <f t="shared" ca="1" si="3"/>
        <v>45343</v>
      </c>
      <c r="R2670" s="26"/>
    </row>
    <row r="2671" spans="1:18" ht="15.75" customHeight="1">
      <c r="A2671" s="26">
        <f ca="1">IFERROR(__xludf.DUMMYFUNCTION("""COMPUTED_VALUE"""),22902)</f>
        <v>22902</v>
      </c>
      <c r="B2671" s="86">
        <f ca="1">IFERROR(__xludf.DUMMYFUNCTION("""COMPUTED_VALUE"""),45343.1331944444)</f>
        <v>45343.133194444403</v>
      </c>
      <c r="C2671" s="1" t="str">
        <f ca="1">IFERROR(__xludf.DUMMYFUNCTION("""COMPUTED_VALUE"""),"cancelled")</f>
        <v>cancelled</v>
      </c>
      <c r="D2671" s="26">
        <f ca="1">IFERROR(__xludf.DUMMYFUNCTION("""COMPUTED_VALUE"""),0)</f>
        <v>0</v>
      </c>
      <c r="E2671" s="1"/>
      <c r="F2671" s="87" t="str">
        <f t="shared" ca="1" si="0"/>
        <v>2024</v>
      </c>
      <c r="H2671" s="26" t="str">
        <f t="shared" si="1"/>
        <v/>
      </c>
      <c r="I2671" s="26" t="str">
        <f t="shared" si="2"/>
        <v/>
      </c>
      <c r="J2671" s="86">
        <f t="shared" ca="1" si="3"/>
        <v>45343</v>
      </c>
      <c r="R2671" s="26"/>
    </row>
    <row r="2672" spans="1:18" ht="15.75" customHeight="1">
      <c r="A2672" s="26">
        <f ca="1">IFERROR(__xludf.DUMMYFUNCTION("""COMPUTED_VALUE"""),22901)</f>
        <v>22901</v>
      </c>
      <c r="B2672" s="86">
        <f ca="1">IFERROR(__xludf.DUMMYFUNCTION("""COMPUTED_VALUE"""),45343.1309837963)</f>
        <v>45343.130983796298</v>
      </c>
      <c r="C2672" s="1" t="str">
        <f ca="1">IFERROR(__xludf.DUMMYFUNCTION("""COMPUTED_VALUE"""),"cancelled")</f>
        <v>cancelled</v>
      </c>
      <c r="D2672" s="26">
        <f ca="1">IFERROR(__xludf.DUMMYFUNCTION("""COMPUTED_VALUE"""),18)</f>
        <v>18</v>
      </c>
      <c r="E2672" s="1"/>
      <c r="F2672" s="87" t="str">
        <f t="shared" ca="1" si="0"/>
        <v>2024</v>
      </c>
      <c r="H2672" s="26" t="str">
        <f t="shared" si="1"/>
        <v/>
      </c>
      <c r="I2672" s="26" t="str">
        <f t="shared" si="2"/>
        <v/>
      </c>
      <c r="J2672" s="86">
        <f t="shared" ca="1" si="3"/>
        <v>45343</v>
      </c>
      <c r="R2672" s="26"/>
    </row>
    <row r="2673" spans="1:18" ht="15.75" customHeight="1">
      <c r="A2673" s="26">
        <f ca="1">IFERROR(__xludf.DUMMYFUNCTION("""COMPUTED_VALUE"""),22904)</f>
        <v>22904</v>
      </c>
      <c r="B2673" s="86">
        <f ca="1">IFERROR(__xludf.DUMMYFUNCTION("""COMPUTED_VALUE"""),45343.1393287037)</f>
        <v>45343.139328703699</v>
      </c>
      <c r="C2673" s="1" t="str">
        <f ca="1">IFERROR(__xludf.DUMMYFUNCTION("""COMPUTED_VALUE"""),"cancelled")</f>
        <v>cancelled</v>
      </c>
      <c r="D2673" s="26">
        <f ca="1">IFERROR(__xludf.DUMMYFUNCTION("""COMPUTED_VALUE"""),18)</f>
        <v>18</v>
      </c>
      <c r="E2673" s="1"/>
      <c r="F2673" s="87" t="str">
        <f t="shared" ca="1" si="0"/>
        <v>2024</v>
      </c>
      <c r="H2673" s="26" t="str">
        <f t="shared" si="1"/>
        <v/>
      </c>
      <c r="I2673" s="26" t="str">
        <f t="shared" si="2"/>
        <v/>
      </c>
      <c r="J2673" s="86">
        <f t="shared" ca="1" si="3"/>
        <v>45343</v>
      </c>
      <c r="R2673" s="26"/>
    </row>
    <row r="2674" spans="1:18" ht="15.75" customHeight="1">
      <c r="A2674" s="26">
        <f ca="1">IFERROR(__xludf.DUMMYFUNCTION("""COMPUTED_VALUE"""),22905)</f>
        <v>22905</v>
      </c>
      <c r="B2674" s="86">
        <f ca="1">IFERROR(__xludf.DUMMYFUNCTION("""COMPUTED_VALUE"""),45343.1988194444)</f>
        <v>45343.198819444398</v>
      </c>
      <c r="C2674" s="1" t="str">
        <f ca="1">IFERROR(__xludf.DUMMYFUNCTION("""COMPUTED_VALUE"""),"processing")</f>
        <v>processing</v>
      </c>
      <c r="D2674" s="26">
        <f ca="1">IFERROR(__xludf.DUMMYFUNCTION("""COMPUTED_VALUE"""),18)</f>
        <v>18</v>
      </c>
      <c r="E2674" s="1"/>
      <c r="F2674" s="87" t="str">
        <f t="shared" ca="1" si="0"/>
        <v>2024</v>
      </c>
      <c r="H2674" s="26" t="str">
        <f t="shared" si="1"/>
        <v/>
      </c>
      <c r="I2674" s="26" t="str">
        <f t="shared" si="2"/>
        <v/>
      </c>
      <c r="J2674" s="86">
        <f t="shared" ca="1" si="3"/>
        <v>45343</v>
      </c>
      <c r="R2674" s="26"/>
    </row>
    <row r="2675" spans="1:18" ht="15.75" customHeight="1">
      <c r="A2675" s="26">
        <f ca="1">IFERROR(__xludf.DUMMYFUNCTION("""COMPUTED_VALUE"""),22908)</f>
        <v>22908</v>
      </c>
      <c r="B2675" s="86">
        <f ca="1">IFERROR(__xludf.DUMMYFUNCTION("""COMPUTED_VALUE"""),45343.2061805555)</f>
        <v>45343.206180555499</v>
      </c>
      <c r="C2675" s="1" t="str">
        <f ca="1">IFERROR(__xludf.DUMMYFUNCTION("""COMPUTED_VALUE"""),"processing")</f>
        <v>processing</v>
      </c>
      <c r="D2675" s="26">
        <f ca="1">IFERROR(__xludf.DUMMYFUNCTION("""COMPUTED_VALUE"""),18)</f>
        <v>18</v>
      </c>
      <c r="E2675" s="1"/>
      <c r="F2675" s="87" t="str">
        <f t="shared" ca="1" si="0"/>
        <v>2024</v>
      </c>
      <c r="H2675" s="26" t="str">
        <f t="shared" si="1"/>
        <v/>
      </c>
      <c r="I2675" s="26" t="str">
        <f t="shared" si="2"/>
        <v/>
      </c>
      <c r="J2675" s="86">
        <f t="shared" ca="1" si="3"/>
        <v>45343</v>
      </c>
      <c r="R2675" s="26"/>
    </row>
    <row r="2676" spans="1:18" ht="15.75" customHeight="1">
      <c r="A2676" s="26">
        <f ca="1">IFERROR(__xludf.DUMMYFUNCTION("""COMPUTED_VALUE"""),22907)</f>
        <v>22907</v>
      </c>
      <c r="B2676" s="86">
        <f ca="1">IFERROR(__xludf.DUMMYFUNCTION("""COMPUTED_VALUE"""),45343.2028125)</f>
        <v>45343.2028125</v>
      </c>
      <c r="C2676" s="1" t="str">
        <f ca="1">IFERROR(__xludf.DUMMYFUNCTION("""COMPUTED_VALUE"""),"processing")</f>
        <v>processing</v>
      </c>
      <c r="D2676" s="26">
        <f ca="1">IFERROR(__xludf.DUMMYFUNCTION("""COMPUTED_VALUE"""),18)</f>
        <v>18</v>
      </c>
      <c r="E2676" s="1"/>
      <c r="F2676" s="87" t="str">
        <f t="shared" ca="1" si="0"/>
        <v>2024</v>
      </c>
      <c r="H2676" s="26" t="str">
        <f t="shared" si="1"/>
        <v/>
      </c>
      <c r="I2676" s="26" t="str">
        <f t="shared" si="2"/>
        <v/>
      </c>
      <c r="J2676" s="86">
        <f t="shared" ca="1" si="3"/>
        <v>45343</v>
      </c>
      <c r="R2676" s="26"/>
    </row>
    <row r="2677" spans="1:18" ht="15.75" customHeight="1">
      <c r="A2677" s="26">
        <f ca="1">IFERROR(__xludf.DUMMYFUNCTION("""COMPUTED_VALUE"""),22906)</f>
        <v>22906</v>
      </c>
      <c r="B2677" s="86">
        <f ca="1">IFERROR(__xludf.DUMMYFUNCTION("""COMPUTED_VALUE"""),45343.2005902777)</f>
        <v>45343.200590277702</v>
      </c>
      <c r="C2677" s="1" t="str">
        <f ca="1">IFERROR(__xludf.DUMMYFUNCTION("""COMPUTED_VALUE"""),"on-hold")</f>
        <v>on-hold</v>
      </c>
      <c r="D2677" s="26">
        <f ca="1">IFERROR(__xludf.DUMMYFUNCTION("""COMPUTED_VALUE"""),18)</f>
        <v>18</v>
      </c>
      <c r="E2677" s="1"/>
      <c r="F2677" s="87" t="str">
        <f t="shared" ca="1" si="0"/>
        <v>2024</v>
      </c>
      <c r="H2677" s="26" t="str">
        <f t="shared" si="1"/>
        <v/>
      </c>
      <c r="I2677" s="26" t="str">
        <f t="shared" si="2"/>
        <v/>
      </c>
      <c r="J2677" s="86">
        <f t="shared" ca="1" si="3"/>
        <v>45343</v>
      </c>
      <c r="R2677" s="26"/>
    </row>
    <row r="2678" spans="1:18" ht="15.75" customHeight="1">
      <c r="A2678" s="26">
        <f ca="1">IFERROR(__xludf.DUMMYFUNCTION("""COMPUTED_VALUE"""),22909)</f>
        <v>22909</v>
      </c>
      <c r="B2678" s="86">
        <f ca="1">IFERROR(__xludf.DUMMYFUNCTION("""COMPUTED_VALUE"""),45343.3108449074)</f>
        <v>45343.310844907399</v>
      </c>
      <c r="C2678" s="1" t="str">
        <f ca="1">IFERROR(__xludf.DUMMYFUNCTION("""COMPUTED_VALUE"""),"processing")</f>
        <v>processing</v>
      </c>
      <c r="D2678" s="26">
        <f ca="1">IFERROR(__xludf.DUMMYFUNCTION("""COMPUTED_VALUE"""),18)</f>
        <v>18</v>
      </c>
      <c r="E2678" s="1"/>
      <c r="F2678" s="87" t="str">
        <f t="shared" ca="1" si="0"/>
        <v>2024</v>
      </c>
      <c r="H2678" s="26" t="str">
        <f t="shared" si="1"/>
        <v/>
      </c>
      <c r="I2678" s="26" t="str">
        <f t="shared" si="2"/>
        <v/>
      </c>
      <c r="J2678" s="86">
        <f t="shared" ca="1" si="3"/>
        <v>45343</v>
      </c>
      <c r="R2678" s="26"/>
    </row>
    <row r="2679" spans="1:18" ht="15.75" customHeight="1">
      <c r="A2679" s="26">
        <f ca="1">IFERROR(__xludf.DUMMYFUNCTION("""COMPUTED_VALUE"""),22910)</f>
        <v>22910</v>
      </c>
      <c r="B2679" s="86">
        <f ca="1">IFERROR(__xludf.DUMMYFUNCTION("""COMPUTED_VALUE"""),45343.3166435185)</f>
        <v>45343.316643518498</v>
      </c>
      <c r="C2679" s="1" t="str">
        <f ca="1">IFERROR(__xludf.DUMMYFUNCTION("""COMPUTED_VALUE"""),"processing")</f>
        <v>processing</v>
      </c>
      <c r="D2679" s="26">
        <f ca="1">IFERROR(__xludf.DUMMYFUNCTION("""COMPUTED_VALUE"""),18)</f>
        <v>18</v>
      </c>
      <c r="E2679" s="1"/>
      <c r="F2679" s="87" t="str">
        <f t="shared" ca="1" si="0"/>
        <v>2024</v>
      </c>
      <c r="H2679" s="26" t="str">
        <f t="shared" si="1"/>
        <v/>
      </c>
      <c r="I2679" s="26" t="str">
        <f t="shared" si="2"/>
        <v/>
      </c>
      <c r="J2679" s="86">
        <f t="shared" ca="1" si="3"/>
        <v>45343</v>
      </c>
      <c r="R2679" s="26"/>
    </row>
    <row r="2680" spans="1:18" ht="15.75" customHeight="1">
      <c r="A2680" s="26">
        <f ca="1">IFERROR(__xludf.DUMMYFUNCTION("""COMPUTED_VALUE"""),22911)</f>
        <v>22911</v>
      </c>
      <c r="B2680" s="86">
        <f ca="1">IFERROR(__xludf.DUMMYFUNCTION("""COMPUTED_VALUE"""),45343.3224884259)</f>
        <v>45343.322488425903</v>
      </c>
      <c r="C2680" s="1" t="str">
        <f ca="1">IFERROR(__xludf.DUMMYFUNCTION("""COMPUTED_VALUE"""),"processing")</f>
        <v>processing</v>
      </c>
      <c r="D2680" s="26">
        <f ca="1">IFERROR(__xludf.DUMMYFUNCTION("""COMPUTED_VALUE"""),18)</f>
        <v>18</v>
      </c>
      <c r="E2680" s="1"/>
      <c r="F2680" s="87" t="str">
        <f t="shared" ca="1" si="0"/>
        <v>2024</v>
      </c>
      <c r="H2680" s="26" t="str">
        <f t="shared" si="1"/>
        <v/>
      </c>
      <c r="I2680" s="26" t="str">
        <f t="shared" si="2"/>
        <v/>
      </c>
      <c r="J2680" s="86">
        <f t="shared" ca="1" si="3"/>
        <v>45343</v>
      </c>
      <c r="R2680" s="26"/>
    </row>
    <row r="2681" spans="1:18" ht="15.75" customHeight="1">
      <c r="A2681" s="26">
        <f ca="1">IFERROR(__xludf.DUMMYFUNCTION("""COMPUTED_VALUE"""),22913)</f>
        <v>22913</v>
      </c>
      <c r="B2681" s="86">
        <f ca="1">IFERROR(__xludf.DUMMYFUNCTION("""COMPUTED_VALUE"""),45343.330162037)</f>
        <v>45343.330162036997</v>
      </c>
      <c r="C2681" s="1" t="str">
        <f ca="1">IFERROR(__xludf.DUMMYFUNCTION("""COMPUTED_VALUE"""),"on-hold")</f>
        <v>on-hold</v>
      </c>
      <c r="D2681" s="26">
        <f ca="1">IFERROR(__xludf.DUMMYFUNCTION("""COMPUTED_VALUE"""),20)</f>
        <v>20</v>
      </c>
      <c r="E2681" s="1"/>
      <c r="F2681" s="87" t="str">
        <f t="shared" ca="1" si="0"/>
        <v>2024</v>
      </c>
      <c r="H2681" s="26" t="str">
        <f t="shared" si="1"/>
        <v/>
      </c>
      <c r="I2681" s="26" t="str">
        <f t="shared" si="2"/>
        <v/>
      </c>
      <c r="J2681" s="86">
        <f t="shared" ca="1" si="3"/>
        <v>45343</v>
      </c>
      <c r="R2681" s="26"/>
    </row>
    <row r="2682" spans="1:18" ht="15.75" customHeight="1">
      <c r="A2682" s="26">
        <f ca="1">IFERROR(__xludf.DUMMYFUNCTION("""COMPUTED_VALUE"""),22912)</f>
        <v>22912</v>
      </c>
      <c r="B2682" s="86">
        <f ca="1">IFERROR(__xludf.DUMMYFUNCTION("""COMPUTED_VALUE"""),45343.325949074)</f>
        <v>45343.325949074002</v>
      </c>
      <c r="C2682" s="1" t="str">
        <f ca="1">IFERROR(__xludf.DUMMYFUNCTION("""COMPUTED_VALUE"""),"cancelled")</f>
        <v>cancelled</v>
      </c>
      <c r="D2682" s="26">
        <f ca="1">IFERROR(__xludf.DUMMYFUNCTION("""COMPUTED_VALUE"""),18)</f>
        <v>18</v>
      </c>
      <c r="E2682" s="1"/>
      <c r="F2682" s="87" t="str">
        <f t="shared" ca="1" si="0"/>
        <v>2024</v>
      </c>
      <c r="H2682" s="26" t="str">
        <f t="shared" si="1"/>
        <v/>
      </c>
      <c r="I2682" s="26" t="str">
        <f t="shared" si="2"/>
        <v/>
      </c>
      <c r="J2682" s="86">
        <f t="shared" ca="1" si="3"/>
        <v>45343</v>
      </c>
      <c r="R2682" s="26"/>
    </row>
    <row r="2683" spans="1:18" ht="15.75" customHeight="1">
      <c r="A2683" s="26">
        <f ca="1">IFERROR(__xludf.DUMMYFUNCTION("""COMPUTED_VALUE"""),22914)</f>
        <v>22914</v>
      </c>
      <c r="B2683" s="86">
        <f ca="1">IFERROR(__xludf.DUMMYFUNCTION("""COMPUTED_VALUE"""),45343.3426736111)</f>
        <v>45343.3426736111</v>
      </c>
      <c r="C2683" s="1" t="str">
        <f ca="1">IFERROR(__xludf.DUMMYFUNCTION("""COMPUTED_VALUE"""),"cancelled")</f>
        <v>cancelled</v>
      </c>
      <c r="D2683" s="26">
        <f ca="1">IFERROR(__xludf.DUMMYFUNCTION("""COMPUTED_VALUE"""),15)</f>
        <v>15</v>
      </c>
      <c r="E2683" s="1" t="str">
        <f ca="1">IFERROR(__xludf.DUMMYFUNCTION("""COMPUTED_VALUE"""),"WMFA")</f>
        <v>WMFA</v>
      </c>
      <c r="F2683" s="87" t="str">
        <f t="shared" ca="1" si="0"/>
        <v>2024</v>
      </c>
      <c r="H2683" s="26" t="str">
        <f t="shared" si="1"/>
        <v/>
      </c>
      <c r="I2683" s="26" t="str">
        <f t="shared" si="2"/>
        <v/>
      </c>
      <c r="J2683" s="86">
        <f t="shared" ca="1" si="3"/>
        <v>45343</v>
      </c>
      <c r="R2683" s="26"/>
    </row>
    <row r="2684" spans="1:18" ht="15.75" customHeight="1">
      <c r="A2684" s="26">
        <f ca="1">IFERROR(__xludf.DUMMYFUNCTION("""COMPUTED_VALUE"""),22916)</f>
        <v>22916</v>
      </c>
      <c r="B2684" s="86">
        <f ca="1">IFERROR(__xludf.DUMMYFUNCTION("""COMPUTED_VALUE"""),45343.3575462963)</f>
        <v>45343.357546296298</v>
      </c>
      <c r="C2684" s="1" t="str">
        <f ca="1">IFERROR(__xludf.DUMMYFUNCTION("""COMPUTED_VALUE"""),"pending")</f>
        <v>pending</v>
      </c>
      <c r="D2684" s="26">
        <f ca="1">IFERROR(__xludf.DUMMYFUNCTION("""COMPUTED_VALUE"""),15)</f>
        <v>15</v>
      </c>
      <c r="E2684" s="1" t="str">
        <f ca="1">IFERROR(__xludf.DUMMYFUNCTION("""COMPUTED_VALUE"""),"WMFA")</f>
        <v>WMFA</v>
      </c>
      <c r="F2684" s="87" t="str">
        <f t="shared" ca="1" si="0"/>
        <v>2024</v>
      </c>
      <c r="H2684" s="26" t="str">
        <f t="shared" si="1"/>
        <v/>
      </c>
      <c r="I2684" s="26" t="str">
        <f t="shared" si="2"/>
        <v/>
      </c>
      <c r="J2684" s="86">
        <f t="shared" ca="1" si="3"/>
        <v>45343</v>
      </c>
      <c r="R2684" s="26"/>
    </row>
    <row r="2685" spans="1:18" ht="15.75" customHeight="1">
      <c r="A2685" s="26">
        <f ca="1">IFERROR(__xludf.DUMMYFUNCTION("""COMPUTED_VALUE"""),22915)</f>
        <v>22915</v>
      </c>
      <c r="B2685" s="86">
        <f ca="1">IFERROR(__xludf.DUMMYFUNCTION("""COMPUTED_VALUE"""),45343.355162037)</f>
        <v>45343.355162036998</v>
      </c>
      <c r="C2685" s="1" t="str">
        <f ca="1">IFERROR(__xludf.DUMMYFUNCTION("""COMPUTED_VALUE"""),"processing")</f>
        <v>processing</v>
      </c>
      <c r="D2685" s="26">
        <f ca="1">IFERROR(__xludf.DUMMYFUNCTION("""COMPUTED_VALUE"""),18)</f>
        <v>18</v>
      </c>
      <c r="E2685" s="1"/>
      <c r="F2685" s="87" t="str">
        <f t="shared" ca="1" si="0"/>
        <v>2024</v>
      </c>
      <c r="H2685" s="26" t="str">
        <f t="shared" si="1"/>
        <v/>
      </c>
      <c r="I2685" s="26" t="str">
        <f t="shared" si="2"/>
        <v/>
      </c>
      <c r="J2685" s="86">
        <f t="shared" ca="1" si="3"/>
        <v>45343</v>
      </c>
      <c r="R2685" s="26"/>
    </row>
    <row r="2686" spans="1:18" ht="15.75" customHeight="1">
      <c r="A2686" s="26">
        <f ca="1">IFERROR(__xludf.DUMMYFUNCTION("""COMPUTED_VALUE"""),22918)</f>
        <v>22918</v>
      </c>
      <c r="B2686" s="86">
        <f ca="1">IFERROR(__xludf.DUMMYFUNCTION("""COMPUTED_VALUE"""),45343.6028125)</f>
        <v>45343.602812500001</v>
      </c>
      <c r="C2686" s="1" t="str">
        <f ca="1">IFERROR(__xludf.DUMMYFUNCTION("""COMPUTED_VALUE"""),"completed")</f>
        <v>completed</v>
      </c>
      <c r="D2686" s="26">
        <f ca="1">IFERROR(__xludf.DUMMYFUNCTION("""COMPUTED_VALUE"""),25)</f>
        <v>25</v>
      </c>
      <c r="E2686" s="1" t="str">
        <f ca="1">IFERROR(__xludf.DUMMYFUNCTION("""COMPUTED_VALUE"""),"Erie North Shore Minor Hockey")</f>
        <v>Erie North Shore Minor Hockey</v>
      </c>
      <c r="F2686" s="87" t="str">
        <f t="shared" ca="1" si="0"/>
        <v>2024</v>
      </c>
      <c r="H2686" s="26" t="str">
        <f t="shared" si="1"/>
        <v/>
      </c>
      <c r="I2686" s="26" t="str">
        <f t="shared" si="2"/>
        <v/>
      </c>
      <c r="J2686" s="86">
        <f t="shared" ca="1" si="3"/>
        <v>45343</v>
      </c>
      <c r="R2686" s="26"/>
    </row>
    <row r="2687" spans="1:18" ht="15.75" customHeight="1">
      <c r="A2687" s="26">
        <f ca="1">IFERROR(__xludf.DUMMYFUNCTION("""COMPUTED_VALUE"""),22917)</f>
        <v>22917</v>
      </c>
      <c r="B2687" s="86">
        <f ca="1">IFERROR(__xludf.DUMMYFUNCTION("""COMPUTED_VALUE"""),45343.5999537037)</f>
        <v>45343.599953703699</v>
      </c>
      <c r="C2687" s="1" t="str">
        <f ca="1">IFERROR(__xludf.DUMMYFUNCTION("""COMPUTED_VALUE"""),"completed")</f>
        <v>completed</v>
      </c>
      <c r="D2687" s="26">
        <f ca="1">IFERROR(__xludf.DUMMYFUNCTION("""COMPUTED_VALUE"""),25)</f>
        <v>25</v>
      </c>
      <c r="E2687" s="1" t="str">
        <f ca="1">IFERROR(__xludf.DUMMYFUNCTION("""COMPUTED_VALUE"""),"Erie North Shore Minor Hockey")</f>
        <v>Erie North Shore Minor Hockey</v>
      </c>
      <c r="F2687" s="87" t="str">
        <f t="shared" ca="1" si="0"/>
        <v>2024</v>
      </c>
      <c r="H2687" s="26" t="str">
        <f t="shared" si="1"/>
        <v/>
      </c>
      <c r="I2687" s="26" t="str">
        <f t="shared" si="2"/>
        <v/>
      </c>
      <c r="J2687" s="86">
        <f t="shared" ca="1" si="3"/>
        <v>45343</v>
      </c>
      <c r="R2687" s="26"/>
    </row>
    <row r="2688" spans="1:18" ht="15.75" customHeight="1">
      <c r="A2688" s="26">
        <f ca="1">IFERROR(__xludf.DUMMYFUNCTION("""COMPUTED_VALUE"""),22919)</f>
        <v>22919</v>
      </c>
      <c r="B2688" s="86">
        <f ca="1">IFERROR(__xludf.DUMMYFUNCTION("""COMPUTED_VALUE"""),45343.7723726851)</f>
        <v>45343.772372685104</v>
      </c>
      <c r="C2688" s="1" t="str">
        <f ca="1">IFERROR(__xludf.DUMMYFUNCTION("""COMPUTED_VALUE"""),"pending")</f>
        <v>pending</v>
      </c>
      <c r="D2688" s="26">
        <f ca="1">IFERROR(__xludf.DUMMYFUNCTION("""COMPUTED_VALUE"""),26)</f>
        <v>26</v>
      </c>
      <c r="E2688" s="1" t="str">
        <f ca="1">IFERROR(__xludf.DUMMYFUNCTION("""COMPUTED_VALUE"""),"Erie North Shore Minor Hockey")</f>
        <v>Erie North Shore Minor Hockey</v>
      </c>
      <c r="F2688" s="87" t="str">
        <f t="shared" ca="1" si="0"/>
        <v>2024</v>
      </c>
      <c r="H2688" s="26" t="str">
        <f t="shared" si="1"/>
        <v/>
      </c>
      <c r="I2688" s="26" t="str">
        <f t="shared" si="2"/>
        <v/>
      </c>
      <c r="J2688" s="86">
        <f t="shared" ca="1" si="3"/>
        <v>45343</v>
      </c>
      <c r="R2688" s="26"/>
    </row>
    <row r="2689" spans="1:18" ht="15.75" customHeight="1">
      <c r="A2689" s="26">
        <f ca="1">IFERROR(__xludf.DUMMYFUNCTION("""COMPUTED_VALUE"""),22931)</f>
        <v>22931</v>
      </c>
      <c r="B2689" s="86">
        <f ca="1">IFERROR(__xludf.DUMMYFUNCTION("""COMPUTED_VALUE"""),45343.9952199074)</f>
        <v>45343.995219907403</v>
      </c>
      <c r="C2689" s="1" t="str">
        <f ca="1">IFERROR(__xludf.DUMMYFUNCTION("""COMPUTED_VALUE"""),"pending")</f>
        <v>pending</v>
      </c>
      <c r="D2689" s="26">
        <f ca="1">IFERROR(__xludf.DUMMYFUNCTION("""COMPUTED_VALUE"""),18)</f>
        <v>18</v>
      </c>
      <c r="E2689" s="1"/>
      <c r="F2689" s="87" t="str">
        <f t="shared" ca="1" si="0"/>
        <v>2024</v>
      </c>
      <c r="H2689" s="26" t="str">
        <f t="shared" si="1"/>
        <v/>
      </c>
      <c r="I2689" s="26" t="str">
        <f t="shared" si="2"/>
        <v/>
      </c>
      <c r="J2689" s="86">
        <f t="shared" ca="1" si="3"/>
        <v>45343</v>
      </c>
      <c r="R2689" s="26"/>
    </row>
    <row r="2690" spans="1:18" ht="15.75" customHeight="1">
      <c r="A2690" s="26">
        <f ca="1">IFERROR(__xludf.DUMMYFUNCTION("""COMPUTED_VALUE"""),22932)</f>
        <v>22932</v>
      </c>
      <c r="B2690" s="86">
        <f ca="1">IFERROR(__xludf.DUMMYFUNCTION("""COMPUTED_VALUE"""),45344.0149652777)</f>
        <v>45344.014965277704</v>
      </c>
      <c r="C2690" s="1" t="str">
        <f ca="1">IFERROR(__xludf.DUMMYFUNCTION("""COMPUTED_VALUE"""),"pending")</f>
        <v>pending</v>
      </c>
      <c r="D2690" s="26">
        <f ca="1">IFERROR(__xludf.DUMMYFUNCTION("""COMPUTED_VALUE"""),18)</f>
        <v>18</v>
      </c>
      <c r="E2690" s="1"/>
      <c r="F2690" s="87" t="str">
        <f t="shared" ca="1" si="0"/>
        <v>2024</v>
      </c>
      <c r="H2690" s="26" t="str">
        <f t="shared" si="1"/>
        <v/>
      </c>
      <c r="I2690" s="26" t="str">
        <f t="shared" si="2"/>
        <v/>
      </c>
      <c r="J2690" s="86">
        <f t="shared" ca="1" si="3"/>
        <v>45344</v>
      </c>
      <c r="R2690" s="26"/>
    </row>
    <row r="2691" spans="1:18" ht="15.75" customHeight="1">
      <c r="A2691" s="26">
        <f ca="1">IFERROR(__xludf.DUMMYFUNCTION("""COMPUTED_VALUE"""),22933)</f>
        <v>22933</v>
      </c>
      <c r="B2691" s="86">
        <f ca="1">IFERROR(__xludf.DUMMYFUNCTION("""COMPUTED_VALUE"""),45344.0274305555)</f>
        <v>45344.027430555499</v>
      </c>
      <c r="C2691" s="1" t="str">
        <f ca="1">IFERROR(__xludf.DUMMYFUNCTION("""COMPUTED_VALUE"""),"completed")</f>
        <v>completed</v>
      </c>
      <c r="D2691" s="26">
        <f ca="1">IFERROR(__xludf.DUMMYFUNCTION("""COMPUTED_VALUE"""),22)</f>
        <v>22</v>
      </c>
      <c r="E2691" s="1" t="str">
        <f ca="1">IFERROR(__xludf.DUMMYFUNCTION("""COMPUTED_VALUE"""),"Lakeshore Lightning Hockey")</f>
        <v>Lakeshore Lightning Hockey</v>
      </c>
      <c r="F2691" s="87" t="str">
        <f t="shared" ca="1" si="0"/>
        <v>2024</v>
      </c>
      <c r="H2691" s="26" t="str">
        <f t="shared" si="1"/>
        <v/>
      </c>
      <c r="I2691" s="26" t="str">
        <f t="shared" si="2"/>
        <v/>
      </c>
      <c r="J2691" s="86">
        <f t="shared" ca="1" si="3"/>
        <v>45344</v>
      </c>
      <c r="R2691" s="26"/>
    </row>
    <row r="2692" spans="1:18" ht="15.75" customHeight="1">
      <c r="A2692" s="26">
        <f ca="1">IFERROR(__xludf.DUMMYFUNCTION("""COMPUTED_VALUE"""),22934)</f>
        <v>22934</v>
      </c>
      <c r="B2692" s="86">
        <f ca="1">IFERROR(__xludf.DUMMYFUNCTION("""COMPUTED_VALUE"""),45344.0707754629)</f>
        <v>45344.070775462897</v>
      </c>
      <c r="C2692" s="1" t="str">
        <f ca="1">IFERROR(__xludf.DUMMYFUNCTION("""COMPUTED_VALUE"""),"pending")</f>
        <v>pending</v>
      </c>
      <c r="D2692" s="26">
        <f ca="1">IFERROR(__xludf.DUMMYFUNCTION("""COMPUTED_VALUE"""),18)</f>
        <v>18</v>
      </c>
      <c r="E2692" s="1"/>
      <c r="F2692" s="87" t="str">
        <f t="shared" ca="1" si="0"/>
        <v>2024</v>
      </c>
      <c r="H2692" s="26" t="str">
        <f t="shared" si="1"/>
        <v/>
      </c>
      <c r="I2692" s="26" t="str">
        <f t="shared" si="2"/>
        <v/>
      </c>
      <c r="J2692" s="86">
        <f t="shared" ca="1" si="3"/>
        <v>45344</v>
      </c>
      <c r="R2692" s="26"/>
    </row>
    <row r="2693" spans="1:18" ht="15.75" customHeight="1">
      <c r="A2693" s="26">
        <f ca="1">IFERROR(__xludf.DUMMYFUNCTION("""COMPUTED_VALUE"""),22935)</f>
        <v>22935</v>
      </c>
      <c r="B2693" s="86">
        <f ca="1">IFERROR(__xludf.DUMMYFUNCTION("""COMPUTED_VALUE"""),45344.1058217592)</f>
        <v>45344.1058217592</v>
      </c>
      <c r="C2693" s="1" t="str">
        <f ca="1">IFERROR(__xludf.DUMMYFUNCTION("""COMPUTED_VALUE"""),"pending")</f>
        <v>pending</v>
      </c>
      <c r="D2693" s="26">
        <f ca="1">IFERROR(__xludf.DUMMYFUNCTION("""COMPUTED_VALUE"""),18)</f>
        <v>18</v>
      </c>
      <c r="E2693" s="1"/>
      <c r="F2693" s="87" t="str">
        <f t="shared" ca="1" si="0"/>
        <v>2024</v>
      </c>
      <c r="H2693" s="26" t="str">
        <f t="shared" si="1"/>
        <v/>
      </c>
      <c r="I2693" s="26" t="str">
        <f t="shared" si="2"/>
        <v/>
      </c>
      <c r="J2693" s="86">
        <f t="shared" ca="1" si="3"/>
        <v>45344</v>
      </c>
      <c r="R2693" s="26"/>
    </row>
    <row r="2694" spans="1:18" ht="15.75" customHeight="1">
      <c r="A2694" s="26">
        <f ca="1">IFERROR(__xludf.DUMMYFUNCTION("""COMPUTED_VALUE"""),22936)</f>
        <v>22936</v>
      </c>
      <c r="B2694" s="86">
        <f ca="1">IFERROR(__xludf.DUMMYFUNCTION("""COMPUTED_VALUE"""),45344.2411689814)</f>
        <v>45344.241168981403</v>
      </c>
      <c r="C2694" s="1" t="str">
        <f ca="1">IFERROR(__xludf.DUMMYFUNCTION("""COMPUTED_VALUE"""),"cancelled")</f>
        <v>cancelled</v>
      </c>
      <c r="D2694" s="26">
        <f ca="1">IFERROR(__xludf.DUMMYFUNCTION("""COMPUTED_VALUE"""),18)</f>
        <v>18</v>
      </c>
      <c r="E2694" s="1"/>
      <c r="F2694" s="87" t="str">
        <f t="shared" ca="1" si="0"/>
        <v>2024</v>
      </c>
      <c r="H2694" s="26" t="str">
        <f t="shared" si="1"/>
        <v/>
      </c>
      <c r="I2694" s="26" t="str">
        <f t="shared" si="2"/>
        <v/>
      </c>
      <c r="J2694" s="86">
        <f t="shared" ca="1" si="3"/>
        <v>45344</v>
      </c>
      <c r="R2694" s="26"/>
    </row>
    <row r="2695" spans="1:18" ht="15.75" customHeight="1">
      <c r="A2695" s="26">
        <f ca="1">IFERROR(__xludf.DUMMYFUNCTION("""COMPUTED_VALUE"""),23046)</f>
        <v>23046</v>
      </c>
      <c r="B2695" s="86">
        <f ca="1">IFERROR(__xludf.DUMMYFUNCTION("""COMPUTED_VALUE"""),45346.4936921296)</f>
        <v>45346.493692129603</v>
      </c>
      <c r="C2695" s="1" t="str">
        <f ca="1">IFERROR(__xludf.DUMMYFUNCTION("""COMPUTED_VALUE"""),"reminder-complete")</f>
        <v>reminder-complete</v>
      </c>
      <c r="D2695" s="26">
        <f ca="1">IFERROR(__xludf.DUMMYFUNCTION("""COMPUTED_VALUE"""),0)</f>
        <v>0</v>
      </c>
      <c r="E2695" s="1"/>
      <c r="F2695" s="87" t="str">
        <f t="shared" ca="1" si="0"/>
        <v>2024</v>
      </c>
      <c r="H2695" s="26" t="str">
        <f t="shared" si="1"/>
        <v/>
      </c>
      <c r="I2695" s="26" t="str">
        <f t="shared" si="2"/>
        <v/>
      </c>
      <c r="J2695" s="86">
        <f t="shared" ca="1" si="3"/>
        <v>45346</v>
      </c>
      <c r="R2695" s="26"/>
    </row>
    <row r="2696" spans="1:18" ht="15.75" customHeight="1">
      <c r="A2696" s="26">
        <f ca="1">IFERROR(__xludf.DUMMYFUNCTION("""COMPUTED_VALUE"""),22997)</f>
        <v>22997</v>
      </c>
      <c r="B2696" s="86">
        <f ca="1">IFERROR(__xludf.DUMMYFUNCTION("""COMPUTED_VALUE"""),45346.7807060185)</f>
        <v>45346.7807060185</v>
      </c>
      <c r="C2696" s="1" t="str">
        <f ca="1">IFERROR(__xludf.DUMMYFUNCTION("""COMPUTED_VALUE"""),"completed")</f>
        <v>completed</v>
      </c>
      <c r="D2696" s="26">
        <f ca="1">IFERROR(__xludf.DUMMYFUNCTION("""COMPUTED_VALUE"""),25)</f>
        <v>25</v>
      </c>
      <c r="E2696" s="1" t="str">
        <f ca="1">IFERROR(__xludf.DUMMYFUNCTION("""COMPUTED_VALUE"""),"Erie North Shore Minor Hockey")</f>
        <v>Erie North Shore Minor Hockey</v>
      </c>
      <c r="F2696" s="87" t="str">
        <f t="shared" ca="1" si="0"/>
        <v>2024</v>
      </c>
      <c r="H2696" s="26" t="str">
        <f t="shared" si="1"/>
        <v/>
      </c>
      <c r="I2696" s="26" t="str">
        <f t="shared" si="2"/>
        <v/>
      </c>
      <c r="J2696" s="86">
        <f t="shared" ca="1" si="3"/>
        <v>45346</v>
      </c>
      <c r="R2696" s="26"/>
    </row>
    <row r="2697" spans="1:18" ht="15.75" customHeight="1">
      <c r="A2697" s="26">
        <f ca="1">IFERROR(__xludf.DUMMYFUNCTION("""COMPUTED_VALUE"""),22998)</f>
        <v>22998</v>
      </c>
      <c r="B2697" s="86">
        <f ca="1">IFERROR(__xludf.DUMMYFUNCTION("""COMPUTED_VALUE"""),45346.8397337962)</f>
        <v>45346.839733796201</v>
      </c>
      <c r="C2697" s="1" t="str">
        <f ca="1">IFERROR(__xludf.DUMMYFUNCTION("""COMPUTED_VALUE"""),"completed")</f>
        <v>completed</v>
      </c>
      <c r="D2697" s="26">
        <f ca="1">IFERROR(__xludf.DUMMYFUNCTION("""COMPUTED_VALUE"""),25)</f>
        <v>25</v>
      </c>
      <c r="E2697" s="1" t="str">
        <f ca="1">IFERROR(__xludf.DUMMYFUNCTION("""COMPUTED_VALUE"""),"Erie North Shore Minor Hockey")</f>
        <v>Erie North Shore Minor Hockey</v>
      </c>
      <c r="F2697" s="87" t="str">
        <f t="shared" ca="1" si="0"/>
        <v>2024</v>
      </c>
      <c r="H2697" s="26" t="str">
        <f t="shared" si="1"/>
        <v/>
      </c>
      <c r="I2697" s="26" t="str">
        <f t="shared" si="2"/>
        <v/>
      </c>
      <c r="J2697" s="86">
        <f t="shared" ca="1" si="3"/>
        <v>45346</v>
      </c>
      <c r="R2697" s="26"/>
    </row>
    <row r="2698" spans="1:18" ht="15.75" customHeight="1">
      <c r="A2698" s="26">
        <f ca="1">IFERROR(__xludf.DUMMYFUNCTION("""COMPUTED_VALUE"""),22999)</f>
        <v>22999</v>
      </c>
      <c r="B2698" s="86">
        <f ca="1">IFERROR(__xludf.DUMMYFUNCTION("""COMPUTED_VALUE"""),45346.8499074074)</f>
        <v>45346.849907407399</v>
      </c>
      <c r="C2698" s="1" t="str">
        <f ca="1">IFERROR(__xludf.DUMMYFUNCTION("""COMPUTED_VALUE"""),"completed")</f>
        <v>completed</v>
      </c>
      <c r="D2698" s="26">
        <f ca="1">IFERROR(__xludf.DUMMYFUNCTION("""COMPUTED_VALUE"""),25)</f>
        <v>25</v>
      </c>
      <c r="E2698" s="1" t="str">
        <f ca="1">IFERROR(__xludf.DUMMYFUNCTION("""COMPUTED_VALUE"""),"Erie North Shore Minor Hockey")</f>
        <v>Erie North Shore Minor Hockey</v>
      </c>
      <c r="F2698" s="87" t="str">
        <f t="shared" ca="1" si="0"/>
        <v>2024</v>
      </c>
      <c r="H2698" s="26" t="str">
        <f t="shared" si="1"/>
        <v/>
      </c>
      <c r="I2698" s="26" t="str">
        <f t="shared" si="2"/>
        <v/>
      </c>
      <c r="J2698" s="86">
        <f t="shared" ca="1" si="3"/>
        <v>45346</v>
      </c>
      <c r="R2698" s="26"/>
    </row>
    <row r="2699" spans="1:18" ht="15.75" customHeight="1">
      <c r="A2699" s="26">
        <f ca="1">IFERROR(__xludf.DUMMYFUNCTION("""COMPUTED_VALUE"""),23066)</f>
        <v>23066</v>
      </c>
      <c r="B2699" s="86">
        <f ca="1">IFERROR(__xludf.DUMMYFUNCTION("""COMPUTED_VALUE"""),45348.3373032407)</f>
        <v>45348.337303240703</v>
      </c>
      <c r="C2699" s="1" t="str">
        <f ca="1">IFERROR(__xludf.DUMMYFUNCTION("""COMPUTED_VALUE"""),"completed")</f>
        <v>completed</v>
      </c>
      <c r="D2699" s="26">
        <f ca="1">IFERROR(__xludf.DUMMYFUNCTION("""COMPUTED_VALUE"""),25)</f>
        <v>25</v>
      </c>
      <c r="E2699" s="1" t="str">
        <f ca="1">IFERROR(__xludf.DUMMYFUNCTION("""COMPUTED_VALUE"""),"Erie North Shore Minor Hockey")</f>
        <v>Erie North Shore Minor Hockey</v>
      </c>
      <c r="F2699" s="87" t="str">
        <f t="shared" ca="1" si="0"/>
        <v>2024</v>
      </c>
      <c r="H2699" s="26" t="str">
        <f t="shared" si="1"/>
        <v/>
      </c>
      <c r="I2699" s="26" t="str">
        <f t="shared" si="2"/>
        <v/>
      </c>
      <c r="J2699" s="86">
        <f t="shared" ca="1" si="3"/>
        <v>45348</v>
      </c>
      <c r="R2699" s="26"/>
    </row>
    <row r="2700" spans="1:18" ht="15.75" customHeight="1">
      <c r="A2700" s="26">
        <f ca="1">IFERROR(__xludf.DUMMYFUNCTION("""COMPUTED_VALUE"""),23088)</f>
        <v>23088</v>
      </c>
      <c r="B2700" s="86">
        <f ca="1">IFERROR(__xludf.DUMMYFUNCTION("""COMPUTED_VALUE"""),45348.7899305555)</f>
        <v>45348.789930555497</v>
      </c>
      <c r="C2700" s="1" t="str">
        <f ca="1">IFERROR(__xludf.DUMMYFUNCTION("""COMPUTED_VALUE"""),"completed")</f>
        <v>completed</v>
      </c>
      <c r="D2700" s="26">
        <f ca="1">IFERROR(__xludf.DUMMYFUNCTION("""COMPUTED_VALUE"""),25)</f>
        <v>25</v>
      </c>
      <c r="E2700" s="1" t="str">
        <f ca="1">IFERROR(__xludf.DUMMYFUNCTION("""COMPUTED_VALUE"""),"Erie North Shore Minor Hockey")</f>
        <v>Erie North Shore Minor Hockey</v>
      </c>
      <c r="F2700" s="87" t="str">
        <f t="shared" ca="1" si="0"/>
        <v>2024</v>
      </c>
      <c r="H2700" s="26" t="str">
        <f t="shared" si="1"/>
        <v/>
      </c>
      <c r="I2700" s="26" t="str">
        <f t="shared" si="2"/>
        <v/>
      </c>
      <c r="J2700" s="86">
        <f t="shared" ca="1" si="3"/>
        <v>45348</v>
      </c>
      <c r="R2700" s="26"/>
    </row>
    <row r="2701" spans="1:18" ht="15.75" customHeight="1">
      <c r="A2701" s="26">
        <f ca="1">IFERROR(__xludf.DUMMYFUNCTION("""COMPUTED_VALUE"""),23089)</f>
        <v>23089</v>
      </c>
      <c r="B2701" s="86">
        <f ca="1">IFERROR(__xludf.DUMMYFUNCTION("""COMPUTED_VALUE"""),45349.5156481481)</f>
        <v>45349.515648148103</v>
      </c>
      <c r="C2701" s="1" t="str">
        <f ca="1">IFERROR(__xludf.DUMMYFUNCTION("""COMPUTED_VALUE"""),"completed")</f>
        <v>completed</v>
      </c>
      <c r="D2701" s="26">
        <f ca="1">IFERROR(__xludf.DUMMYFUNCTION("""COMPUTED_VALUE"""),41)</f>
        <v>41</v>
      </c>
      <c r="E2701" s="1" t="str">
        <f ca="1">IFERROR(__xludf.DUMMYFUNCTION("""COMPUTED_VALUE"""),"Erie North Shore Minor Hockey")</f>
        <v>Erie North Shore Minor Hockey</v>
      </c>
      <c r="F2701" s="87" t="str">
        <f t="shared" ca="1" si="0"/>
        <v>2024</v>
      </c>
      <c r="H2701" s="26" t="str">
        <f t="shared" si="1"/>
        <v/>
      </c>
      <c r="I2701" s="26" t="str">
        <f t="shared" si="2"/>
        <v/>
      </c>
      <c r="J2701" s="86">
        <f t="shared" ca="1" si="3"/>
        <v>45349</v>
      </c>
      <c r="R2701" s="26"/>
    </row>
    <row r="2702" spans="1:18" ht="15.75" customHeight="1">
      <c r="A2702" s="26">
        <f ca="1">IFERROR(__xludf.DUMMYFUNCTION("""COMPUTED_VALUE"""),23090)</f>
        <v>23090</v>
      </c>
      <c r="B2702" s="86">
        <f ca="1">IFERROR(__xludf.DUMMYFUNCTION("""COMPUTED_VALUE"""),45349.7800462963)</f>
        <v>45349.780046296299</v>
      </c>
      <c r="C2702" s="1" t="str">
        <f ca="1">IFERROR(__xludf.DUMMYFUNCTION("""COMPUTED_VALUE"""),"pending")</f>
        <v>pending</v>
      </c>
      <c r="D2702" s="26">
        <f ca="1">IFERROR(__xludf.DUMMYFUNCTION("""COMPUTED_VALUE"""),28)</f>
        <v>28</v>
      </c>
      <c r="E2702" s="1" t="str">
        <f ca="1">IFERROR(__xludf.DUMMYFUNCTION("""COMPUTED_VALUE"""),"Erie North Shore Minor Hockey")</f>
        <v>Erie North Shore Minor Hockey</v>
      </c>
      <c r="F2702" s="87" t="str">
        <f t="shared" ca="1" si="0"/>
        <v>2024</v>
      </c>
      <c r="H2702" s="26" t="str">
        <f t="shared" si="1"/>
        <v/>
      </c>
      <c r="I2702" s="26" t="str">
        <f t="shared" si="2"/>
        <v/>
      </c>
      <c r="J2702" s="86">
        <f t="shared" ca="1" si="3"/>
        <v>45349</v>
      </c>
      <c r="R2702" s="26"/>
    </row>
    <row r="2703" spans="1:18" ht="15.75" customHeight="1">
      <c r="A2703" s="26">
        <f ca="1">IFERROR(__xludf.DUMMYFUNCTION("""COMPUTED_VALUE"""),23092)</f>
        <v>23092</v>
      </c>
      <c r="B2703" s="86">
        <f ca="1">IFERROR(__xludf.DUMMYFUNCTION("""COMPUTED_VALUE"""),45353.8702314814)</f>
        <v>45353.8702314814</v>
      </c>
      <c r="C2703" s="1" t="str">
        <f ca="1">IFERROR(__xludf.DUMMYFUNCTION("""COMPUTED_VALUE"""),"completed")</f>
        <v>completed</v>
      </c>
      <c r="D2703" s="26">
        <f ca="1">IFERROR(__xludf.DUMMYFUNCTION("""COMPUTED_VALUE"""),25)</f>
        <v>25</v>
      </c>
      <c r="E2703" s="1" t="str">
        <f ca="1">IFERROR(__xludf.DUMMYFUNCTION("""COMPUTED_VALUE"""),"Lakeshore Lightning Hockey")</f>
        <v>Lakeshore Lightning Hockey</v>
      </c>
      <c r="F2703" s="87" t="str">
        <f t="shared" ca="1" si="0"/>
        <v>2024</v>
      </c>
      <c r="H2703" s="26" t="str">
        <f t="shared" si="1"/>
        <v/>
      </c>
      <c r="I2703" s="26" t="str">
        <f t="shared" si="2"/>
        <v/>
      </c>
      <c r="J2703" s="86">
        <f t="shared" ca="1" si="3"/>
        <v>45353</v>
      </c>
      <c r="R2703" s="26"/>
    </row>
    <row r="2704" spans="1:18" ht="15.75" customHeight="1">
      <c r="A2704" s="26">
        <f ca="1">IFERROR(__xludf.DUMMYFUNCTION("""COMPUTED_VALUE"""),23095)</f>
        <v>23095</v>
      </c>
      <c r="B2704" s="86">
        <f ca="1">IFERROR(__xludf.DUMMYFUNCTION("""COMPUTED_VALUE"""),45357.4876967592)</f>
        <v>45357.487696759199</v>
      </c>
      <c r="C2704" s="1" t="str">
        <f ca="1">IFERROR(__xludf.DUMMYFUNCTION("""COMPUTED_VALUE"""),"completed")</f>
        <v>completed</v>
      </c>
      <c r="D2704" s="26">
        <f ca="1">IFERROR(__xludf.DUMMYFUNCTION("""COMPUTED_VALUE"""),15)</f>
        <v>15</v>
      </c>
      <c r="E2704" s="1" t="str">
        <f ca="1">IFERROR(__xludf.DUMMYFUNCTION("""COMPUTED_VALUE"""),"Erie North Shore Minor Hockey")</f>
        <v>Erie North Shore Minor Hockey</v>
      </c>
      <c r="F2704" s="87" t="str">
        <f t="shared" ca="1" si="0"/>
        <v>2024</v>
      </c>
      <c r="H2704" s="26" t="str">
        <f t="shared" si="1"/>
        <v/>
      </c>
      <c r="I2704" s="26" t="str">
        <f t="shared" si="2"/>
        <v/>
      </c>
      <c r="J2704" s="86">
        <f t="shared" ca="1" si="3"/>
        <v>45357</v>
      </c>
      <c r="R2704" s="26"/>
    </row>
    <row r="2705" spans="1:18" ht="15.75" customHeight="1">
      <c r="A2705" s="26">
        <f ca="1">IFERROR(__xludf.DUMMYFUNCTION("""COMPUTED_VALUE"""),23094)</f>
        <v>23094</v>
      </c>
      <c r="B2705" s="86">
        <f ca="1">IFERROR(__xludf.DUMMYFUNCTION("""COMPUTED_VALUE"""),45357.4860879629)</f>
        <v>45357.486087962898</v>
      </c>
      <c r="C2705" s="1" t="str">
        <f ca="1">IFERROR(__xludf.DUMMYFUNCTION("""COMPUTED_VALUE"""),"completed")</f>
        <v>completed</v>
      </c>
      <c r="D2705" s="26">
        <f ca="1">IFERROR(__xludf.DUMMYFUNCTION("""COMPUTED_VALUE"""),15)</f>
        <v>15</v>
      </c>
      <c r="E2705" s="1" t="str">
        <f ca="1">IFERROR(__xludf.DUMMYFUNCTION("""COMPUTED_VALUE"""),"Erie North Shore Minor Hockey")</f>
        <v>Erie North Shore Minor Hockey</v>
      </c>
      <c r="F2705" s="87" t="str">
        <f t="shared" ca="1" si="0"/>
        <v>2024</v>
      </c>
      <c r="H2705" s="26" t="str">
        <f t="shared" si="1"/>
        <v/>
      </c>
      <c r="I2705" s="26" t="str">
        <f t="shared" si="2"/>
        <v/>
      </c>
      <c r="J2705" s="86">
        <f t="shared" ca="1" si="3"/>
        <v>45357</v>
      </c>
      <c r="R2705" s="26"/>
    </row>
    <row r="2706" spans="1:18" ht="15.75" customHeight="1">
      <c r="A2706" s="26">
        <f ca="1">IFERROR(__xludf.DUMMYFUNCTION("""COMPUTED_VALUE"""),23096)</f>
        <v>23096</v>
      </c>
      <c r="B2706" s="86">
        <f ca="1">IFERROR(__xludf.DUMMYFUNCTION("""COMPUTED_VALUE"""),45358.3387152777)</f>
        <v>45358.3387152777</v>
      </c>
      <c r="C2706" s="1" t="str">
        <f ca="1">IFERROR(__xludf.DUMMYFUNCTION("""COMPUTED_VALUE"""),"completed")</f>
        <v>completed</v>
      </c>
      <c r="D2706" s="26">
        <f ca="1">IFERROR(__xludf.DUMMYFUNCTION("""COMPUTED_VALUE"""),26)</f>
        <v>26</v>
      </c>
      <c r="E2706" s="1" t="str">
        <f ca="1">IFERROR(__xludf.DUMMYFUNCTION("""COMPUTED_VALUE"""),"Erie North Shore Minor Hockey")</f>
        <v>Erie North Shore Minor Hockey</v>
      </c>
      <c r="F2706" s="87" t="str">
        <f t="shared" ca="1" si="0"/>
        <v>2024</v>
      </c>
      <c r="H2706" s="26" t="str">
        <f t="shared" si="1"/>
        <v/>
      </c>
      <c r="I2706" s="26" t="str">
        <f t="shared" si="2"/>
        <v/>
      </c>
      <c r="J2706" s="86">
        <f t="shared" ca="1" si="3"/>
        <v>45358</v>
      </c>
      <c r="R2706" s="26"/>
    </row>
    <row r="2707" spans="1:18" ht="15.75" customHeight="1">
      <c r="A2707" s="26">
        <f ca="1">IFERROR(__xludf.DUMMYFUNCTION("""COMPUTED_VALUE"""),23097)</f>
        <v>23097</v>
      </c>
      <c r="B2707" s="86">
        <f ca="1">IFERROR(__xludf.DUMMYFUNCTION("""COMPUTED_VALUE"""),45358.4716782407)</f>
        <v>45358.471678240698</v>
      </c>
      <c r="C2707" s="1" t="str">
        <f ca="1">IFERROR(__xludf.DUMMYFUNCTION("""COMPUTED_VALUE"""),"completed")</f>
        <v>completed</v>
      </c>
      <c r="D2707" s="26">
        <f ca="1">IFERROR(__xludf.DUMMYFUNCTION("""COMPUTED_VALUE"""),39)</f>
        <v>39</v>
      </c>
      <c r="E2707" s="1" t="str">
        <f ca="1">IFERROR(__xludf.DUMMYFUNCTION("""COMPUTED_VALUE"""),"Erie North Shore Minor Hockey")</f>
        <v>Erie North Shore Minor Hockey</v>
      </c>
      <c r="F2707" s="87" t="str">
        <f t="shared" ca="1" si="0"/>
        <v>2024</v>
      </c>
      <c r="H2707" s="26" t="str">
        <f t="shared" si="1"/>
        <v/>
      </c>
      <c r="I2707" s="26" t="str">
        <f t="shared" si="2"/>
        <v/>
      </c>
      <c r="J2707" s="86">
        <f t="shared" ca="1" si="3"/>
        <v>45358</v>
      </c>
      <c r="R2707" s="26"/>
    </row>
    <row r="2708" spans="1:18" ht="15.75" customHeight="1">
      <c r="A2708" s="26">
        <f ca="1">IFERROR(__xludf.DUMMYFUNCTION("""COMPUTED_VALUE"""),23098)</f>
        <v>23098</v>
      </c>
      <c r="B2708" s="86">
        <f ca="1">IFERROR(__xludf.DUMMYFUNCTION("""COMPUTED_VALUE"""),45359.7001388888)</f>
        <v>45359.700138888802</v>
      </c>
      <c r="C2708" s="1" t="str">
        <f ca="1">IFERROR(__xludf.DUMMYFUNCTION("""COMPUTED_VALUE"""),"completed")</f>
        <v>completed</v>
      </c>
      <c r="D2708" s="26">
        <f ca="1">IFERROR(__xludf.DUMMYFUNCTION("""COMPUTED_VALUE"""),55)</f>
        <v>55</v>
      </c>
      <c r="E2708" s="1" t="str">
        <f ca="1">IFERROR(__xludf.DUMMYFUNCTION("""COMPUTED_VALUE"""),"Erie North Shore Minor Hockey")</f>
        <v>Erie North Shore Minor Hockey</v>
      </c>
      <c r="F2708" s="87" t="str">
        <f t="shared" ca="1" si="0"/>
        <v>2024</v>
      </c>
      <c r="H2708" s="26" t="str">
        <f t="shared" si="1"/>
        <v/>
      </c>
      <c r="I2708" s="26" t="str">
        <f t="shared" si="2"/>
        <v/>
      </c>
      <c r="J2708" s="86">
        <f t="shared" ca="1" si="3"/>
        <v>45359</v>
      </c>
      <c r="R2708" s="26"/>
    </row>
    <row r="2709" spans="1:18" ht="15.75" customHeight="1">
      <c r="A2709" s="26">
        <f ca="1">IFERROR(__xludf.DUMMYFUNCTION("""COMPUTED_VALUE"""),23103)</f>
        <v>23103</v>
      </c>
      <c r="B2709" s="86">
        <f ca="1">IFERROR(__xludf.DUMMYFUNCTION("""COMPUTED_VALUE"""),45360.9858680555)</f>
        <v>45360.985868055497</v>
      </c>
      <c r="C2709" s="1" t="str">
        <f ca="1">IFERROR(__xludf.DUMMYFUNCTION("""COMPUTED_VALUE"""),"completed")</f>
        <v>completed</v>
      </c>
      <c r="D2709" s="26">
        <f ca="1">IFERROR(__xludf.DUMMYFUNCTION("""COMPUTED_VALUE"""),53)</f>
        <v>53</v>
      </c>
      <c r="E2709" s="1" t="str">
        <f ca="1">IFERROR(__xludf.DUMMYFUNCTION("""COMPUTED_VALUE"""),"Erie North Shore Minor Hockey")</f>
        <v>Erie North Shore Minor Hockey</v>
      </c>
      <c r="F2709" s="87" t="str">
        <f t="shared" ca="1" si="0"/>
        <v>2024</v>
      </c>
      <c r="H2709" s="26" t="str">
        <f t="shared" si="1"/>
        <v/>
      </c>
      <c r="I2709" s="26" t="str">
        <f t="shared" si="2"/>
        <v/>
      </c>
      <c r="J2709" s="86">
        <f t="shared" ca="1" si="3"/>
        <v>45360</v>
      </c>
      <c r="R2709" s="26"/>
    </row>
    <row r="2710" spans="1:18" ht="15.75" customHeight="1">
      <c r="A2710" s="26">
        <f ca="1">IFERROR(__xludf.DUMMYFUNCTION("""COMPUTED_VALUE"""),23105)</f>
        <v>23105</v>
      </c>
      <c r="B2710" s="86">
        <f ca="1">IFERROR(__xludf.DUMMYFUNCTION("""COMPUTED_VALUE"""),45365.4091782407)</f>
        <v>45365.409178240698</v>
      </c>
      <c r="C2710" s="1" t="str">
        <f ca="1">IFERROR(__xludf.DUMMYFUNCTION("""COMPUTED_VALUE"""),"completed")</f>
        <v>completed</v>
      </c>
      <c r="D2710" s="26">
        <f ca="1">IFERROR(__xludf.DUMMYFUNCTION("""COMPUTED_VALUE"""),25)</f>
        <v>25</v>
      </c>
      <c r="E2710" s="1" t="str">
        <f ca="1">IFERROR(__xludf.DUMMYFUNCTION("""COMPUTED_VALUE"""),"W.M.H.A")</f>
        <v>W.M.H.A</v>
      </c>
      <c r="F2710" s="87" t="str">
        <f t="shared" ca="1" si="0"/>
        <v>2024</v>
      </c>
      <c r="H2710" s="26" t="str">
        <f t="shared" si="1"/>
        <v/>
      </c>
      <c r="I2710" s="26" t="str">
        <f t="shared" si="2"/>
        <v/>
      </c>
      <c r="J2710" s="86">
        <f t="shared" ca="1" si="3"/>
        <v>45365</v>
      </c>
      <c r="R2710" s="26"/>
    </row>
    <row r="2711" spans="1:18" ht="15.75" customHeight="1">
      <c r="A2711" s="26">
        <f ca="1">IFERROR(__xludf.DUMMYFUNCTION("""COMPUTED_VALUE"""),23106)</f>
        <v>23106</v>
      </c>
      <c r="B2711" s="86">
        <f ca="1">IFERROR(__xludf.DUMMYFUNCTION("""COMPUTED_VALUE"""),45367.665324074)</f>
        <v>45367.665324073998</v>
      </c>
      <c r="C2711" s="1" t="str">
        <f ca="1">IFERROR(__xludf.DUMMYFUNCTION("""COMPUTED_VALUE"""),"pending")</f>
        <v>pending</v>
      </c>
      <c r="D2711" s="26">
        <f ca="1">IFERROR(__xludf.DUMMYFUNCTION("""COMPUTED_VALUE"""),56)</f>
        <v>56</v>
      </c>
      <c r="E2711" s="1" t="str">
        <f ca="1">IFERROR(__xludf.DUMMYFUNCTION("""COMPUTED_VALUE"""),"W.M.H.A")</f>
        <v>W.M.H.A</v>
      </c>
      <c r="F2711" s="87" t="str">
        <f t="shared" ca="1" si="0"/>
        <v>2024</v>
      </c>
      <c r="H2711" s="26" t="str">
        <f t="shared" si="1"/>
        <v/>
      </c>
      <c r="I2711" s="26" t="str">
        <f t="shared" si="2"/>
        <v/>
      </c>
      <c r="J2711" s="86">
        <f t="shared" ca="1" si="3"/>
        <v>45367</v>
      </c>
      <c r="R2711" s="26"/>
    </row>
    <row r="2712" spans="1:18" ht="15.75" customHeight="1">
      <c r="A2712" s="26">
        <f ca="1">IFERROR(__xludf.DUMMYFUNCTION("""COMPUTED_VALUE"""),23107)</f>
        <v>23107</v>
      </c>
      <c r="B2712" s="86">
        <f ca="1">IFERROR(__xludf.DUMMYFUNCTION("""COMPUTED_VALUE"""),45369.5674189814)</f>
        <v>45369.567418981402</v>
      </c>
      <c r="C2712" s="1" t="str">
        <f ca="1">IFERROR(__xludf.DUMMYFUNCTION("""COMPUTED_VALUE"""),"completed")</f>
        <v>completed</v>
      </c>
      <c r="D2712" s="26">
        <f ca="1">IFERROR(__xludf.DUMMYFUNCTION("""COMPUTED_VALUE"""),25)</f>
        <v>25</v>
      </c>
      <c r="E2712" s="1" t="str">
        <f ca="1">IFERROR(__xludf.DUMMYFUNCTION("""COMPUTED_VALUE"""),"Erie North Shore Minor Hockey")</f>
        <v>Erie North Shore Minor Hockey</v>
      </c>
      <c r="F2712" s="87" t="str">
        <f t="shared" ca="1" si="0"/>
        <v>2024</v>
      </c>
      <c r="H2712" s="26" t="str">
        <f t="shared" si="1"/>
        <v/>
      </c>
      <c r="I2712" s="26" t="str">
        <f t="shared" si="2"/>
        <v/>
      </c>
      <c r="J2712" s="86">
        <f t="shared" ca="1" si="3"/>
        <v>45369</v>
      </c>
      <c r="R2712" s="26"/>
    </row>
    <row r="2713" spans="1:18" ht="15.75" customHeight="1">
      <c r="A2713" s="26">
        <f ca="1">IFERROR(__xludf.DUMMYFUNCTION("""COMPUTED_VALUE"""),23110)</f>
        <v>23110</v>
      </c>
      <c r="B2713" s="86">
        <f ca="1">IFERROR(__xludf.DUMMYFUNCTION("""COMPUTED_VALUE"""),45371.2608101851)</f>
        <v>45371.2608101851</v>
      </c>
      <c r="C2713" s="1" t="str">
        <f ca="1">IFERROR(__xludf.DUMMYFUNCTION("""COMPUTED_VALUE"""),"completed")</f>
        <v>completed</v>
      </c>
      <c r="D2713" s="26">
        <f ca="1">IFERROR(__xludf.DUMMYFUNCTION("""COMPUTED_VALUE"""),77)</f>
        <v>77</v>
      </c>
      <c r="E2713" s="1" t="str">
        <f ca="1">IFERROR(__xludf.DUMMYFUNCTION("""COMPUTED_VALUE"""),"Windsor AAA Zone Hockey")</f>
        <v>Windsor AAA Zone Hockey</v>
      </c>
      <c r="F2713" s="87" t="str">
        <f t="shared" ca="1" si="0"/>
        <v>2024</v>
      </c>
      <c r="H2713" s="26" t="str">
        <f t="shared" si="1"/>
        <v/>
      </c>
      <c r="I2713" s="26" t="str">
        <f t="shared" si="2"/>
        <v/>
      </c>
      <c r="J2713" s="86">
        <f t="shared" ca="1" si="3"/>
        <v>45371</v>
      </c>
      <c r="R2713" s="26"/>
    </row>
    <row r="2714" spans="1:18" ht="15.75" customHeight="1">
      <c r="A2714" s="26">
        <f ca="1">IFERROR(__xludf.DUMMYFUNCTION("""COMPUTED_VALUE"""),23111)</f>
        <v>23111</v>
      </c>
      <c r="B2714" s="86">
        <f ca="1">IFERROR(__xludf.DUMMYFUNCTION("""COMPUTED_VALUE"""),45371.5545023148)</f>
        <v>45371.554502314801</v>
      </c>
      <c r="C2714" s="1" t="str">
        <f ca="1">IFERROR(__xludf.DUMMYFUNCTION("""COMPUTED_VALUE"""),"pending")</f>
        <v>pending</v>
      </c>
      <c r="D2714" s="26">
        <f ca="1">IFERROR(__xludf.DUMMYFUNCTION("""COMPUTED_VALUE"""),15)</f>
        <v>15</v>
      </c>
      <c r="E2714" s="1" t="str">
        <f ca="1">IFERROR(__xludf.DUMMYFUNCTION("""COMPUTED_VALUE"""),"South Point Stars")</f>
        <v>South Point Stars</v>
      </c>
      <c r="F2714" s="87" t="str">
        <f t="shared" ca="1" si="0"/>
        <v>2024</v>
      </c>
      <c r="H2714" s="26" t="str">
        <f t="shared" si="1"/>
        <v/>
      </c>
      <c r="I2714" s="26" t="str">
        <f t="shared" si="2"/>
        <v/>
      </c>
      <c r="J2714" s="86">
        <f t="shared" ca="1" si="3"/>
        <v>45371</v>
      </c>
      <c r="R2714" s="26"/>
    </row>
    <row r="2715" spans="1:18" ht="15.75" customHeight="1">
      <c r="A2715" s="26">
        <f ca="1">IFERROR(__xludf.DUMMYFUNCTION("""COMPUTED_VALUE"""),23112)</f>
        <v>23112</v>
      </c>
      <c r="B2715" s="86">
        <f ca="1">IFERROR(__xludf.DUMMYFUNCTION("""COMPUTED_VALUE"""),45371.9295949074)</f>
        <v>45371.9295949074</v>
      </c>
      <c r="C2715" s="1" t="str">
        <f ca="1">IFERROR(__xludf.DUMMYFUNCTION("""COMPUTED_VALUE"""),"pending")</f>
        <v>pending</v>
      </c>
      <c r="D2715" s="26">
        <f ca="1">IFERROR(__xludf.DUMMYFUNCTION("""COMPUTED_VALUE"""),25)</f>
        <v>25</v>
      </c>
      <c r="E2715" s="1" t="str">
        <f ca="1">IFERROR(__xludf.DUMMYFUNCTION("""COMPUTED_VALUE"""),"Erie North Shore Minor Hockey")</f>
        <v>Erie North Shore Minor Hockey</v>
      </c>
      <c r="F2715" s="87" t="str">
        <f t="shared" ca="1" si="0"/>
        <v>2024</v>
      </c>
      <c r="H2715" s="26" t="str">
        <f t="shared" si="1"/>
        <v/>
      </c>
      <c r="I2715" s="26" t="str">
        <f t="shared" si="2"/>
        <v/>
      </c>
      <c r="J2715" s="86">
        <f t="shared" ca="1" si="3"/>
        <v>45371</v>
      </c>
      <c r="R2715" s="26"/>
    </row>
    <row r="2716" spans="1:18" ht="15.75" customHeight="1">
      <c r="A2716" s="26">
        <f ca="1">IFERROR(__xludf.DUMMYFUNCTION("""COMPUTED_VALUE"""),23113)</f>
        <v>23113</v>
      </c>
      <c r="B2716" s="86">
        <f ca="1">IFERROR(__xludf.DUMMYFUNCTION("""COMPUTED_VALUE"""),45372.2700462962)</f>
        <v>45372.270046296297</v>
      </c>
      <c r="C2716" s="1" t="str">
        <f ca="1">IFERROR(__xludf.DUMMYFUNCTION("""COMPUTED_VALUE"""),"pending")</f>
        <v>pending</v>
      </c>
      <c r="D2716" s="26">
        <f ca="1">IFERROR(__xludf.DUMMYFUNCTION("""COMPUTED_VALUE"""),15)</f>
        <v>15</v>
      </c>
      <c r="E2716" s="1" t="str">
        <f ca="1">IFERROR(__xludf.DUMMYFUNCTION("""COMPUTED_VALUE"""),"Erie North Shore Minor Hockey")</f>
        <v>Erie North Shore Minor Hockey</v>
      </c>
      <c r="F2716" s="87" t="str">
        <f t="shared" ca="1" si="0"/>
        <v>2024</v>
      </c>
      <c r="H2716" s="26" t="str">
        <f t="shared" si="1"/>
        <v/>
      </c>
      <c r="I2716" s="26" t="str">
        <f t="shared" si="2"/>
        <v/>
      </c>
      <c r="J2716" s="86">
        <f t="shared" ca="1" si="3"/>
        <v>45372</v>
      </c>
      <c r="R2716" s="26"/>
    </row>
    <row r="2717" spans="1:18" ht="15.75" customHeight="1">
      <c r="A2717" s="26">
        <f ca="1">IFERROR(__xludf.DUMMYFUNCTION("""COMPUTED_VALUE"""),23114)</f>
        <v>23114</v>
      </c>
      <c r="B2717" s="86">
        <f ca="1">IFERROR(__xludf.DUMMYFUNCTION("""COMPUTED_VALUE"""),45374.4000231481)</f>
        <v>45374.400023148097</v>
      </c>
      <c r="C2717" s="1" t="str">
        <f ca="1">IFERROR(__xludf.DUMMYFUNCTION("""COMPUTED_VALUE"""),"completed")</f>
        <v>completed</v>
      </c>
      <c r="D2717" s="26">
        <f ca="1">IFERROR(__xludf.DUMMYFUNCTION("""COMPUTED_VALUE"""),40)</f>
        <v>40</v>
      </c>
      <c r="E2717" s="1" t="str">
        <f ca="1">IFERROR(__xludf.DUMMYFUNCTION("""COMPUTED_VALUE"""),"Erie North Shore Minor Hockey")</f>
        <v>Erie North Shore Minor Hockey</v>
      </c>
      <c r="F2717" s="87" t="str">
        <f t="shared" ca="1" si="0"/>
        <v>2024</v>
      </c>
      <c r="H2717" s="26" t="str">
        <f t="shared" si="1"/>
        <v/>
      </c>
      <c r="I2717" s="26" t="str">
        <f t="shared" si="2"/>
        <v/>
      </c>
      <c r="J2717" s="86">
        <f t="shared" ca="1" si="3"/>
        <v>45374</v>
      </c>
      <c r="R2717" s="26"/>
    </row>
    <row r="2718" spans="1:18" ht="15.75" customHeight="1">
      <c r="A2718" s="26">
        <f ca="1">IFERROR(__xludf.DUMMYFUNCTION("""COMPUTED_VALUE"""),23129)</f>
        <v>23129</v>
      </c>
      <c r="B2718" s="86">
        <f ca="1">IFERROR(__xludf.DUMMYFUNCTION("""COMPUTED_VALUE"""),45381.8309375)</f>
        <v>45381.830937500003</v>
      </c>
      <c r="C2718" s="1" t="str">
        <f ca="1">IFERROR(__xludf.DUMMYFUNCTION("""COMPUTED_VALUE"""),"completed")</f>
        <v>completed</v>
      </c>
      <c r="D2718" s="26">
        <f ca="1">IFERROR(__xludf.DUMMYFUNCTION("""COMPUTED_VALUE"""),25)</f>
        <v>25</v>
      </c>
      <c r="E2718" s="1" t="str">
        <f ca="1">IFERROR(__xludf.DUMMYFUNCTION("""COMPUTED_VALUE"""),"Erie North Shore Minor Hockey")</f>
        <v>Erie North Shore Minor Hockey</v>
      </c>
      <c r="F2718" s="87" t="str">
        <f t="shared" ca="1" si="0"/>
        <v>2024</v>
      </c>
      <c r="H2718" s="26" t="str">
        <f t="shared" si="1"/>
        <v/>
      </c>
      <c r="I2718" s="26" t="str">
        <f t="shared" si="2"/>
        <v/>
      </c>
      <c r="J2718" s="86">
        <f t="shared" ca="1" si="3"/>
        <v>45381</v>
      </c>
      <c r="R2718" s="26"/>
    </row>
    <row r="2719" spans="1:18" ht="15.75" customHeight="1">
      <c r="A2719" s="26">
        <f ca="1">IFERROR(__xludf.DUMMYFUNCTION("""COMPUTED_VALUE"""),23133)</f>
        <v>23133</v>
      </c>
      <c r="B2719" s="86">
        <f ca="1">IFERROR(__xludf.DUMMYFUNCTION("""COMPUTED_VALUE"""),45383.4630208333)</f>
        <v>45383.463020833296</v>
      </c>
      <c r="C2719" s="1" t="str">
        <f ca="1">IFERROR(__xludf.DUMMYFUNCTION("""COMPUTED_VALUE"""),"completed")</f>
        <v>completed</v>
      </c>
      <c r="D2719" s="26">
        <f ca="1">IFERROR(__xludf.DUMMYFUNCTION("""COMPUTED_VALUE"""),0)</f>
        <v>0</v>
      </c>
      <c r="E2719" s="1" t="str">
        <f ca="1">IFERROR(__xludf.DUMMYFUNCTION("""COMPUTED_VALUE"""),"Windsor Wildcats Hockey")</f>
        <v>Windsor Wildcats Hockey</v>
      </c>
      <c r="F2719" s="87" t="str">
        <f t="shared" ca="1" si="0"/>
        <v>2024</v>
      </c>
      <c r="H2719" s="26" t="str">
        <f t="shared" si="1"/>
        <v/>
      </c>
      <c r="I2719" s="26" t="str">
        <f t="shared" si="2"/>
        <v/>
      </c>
      <c r="J2719" s="86">
        <f t="shared" ca="1" si="3"/>
        <v>45383</v>
      </c>
      <c r="R2719" s="26"/>
    </row>
    <row r="2720" spans="1:18" ht="15.75" customHeight="1">
      <c r="A2720" s="26">
        <f ca="1">IFERROR(__xludf.DUMMYFUNCTION("""COMPUTED_VALUE"""),23175)</f>
        <v>23175</v>
      </c>
      <c r="B2720" s="86">
        <f ca="1">IFERROR(__xludf.DUMMYFUNCTION("""COMPUTED_VALUE"""),45386.6639930555)</f>
        <v>45386.663993055503</v>
      </c>
      <c r="C2720" s="1" t="str">
        <f ca="1">IFERROR(__xludf.DUMMYFUNCTION("""COMPUTED_VALUE"""),"completed")</f>
        <v>completed</v>
      </c>
      <c r="D2720" s="26">
        <f ca="1">IFERROR(__xludf.DUMMYFUNCTION("""COMPUTED_VALUE"""),0)</f>
        <v>0</v>
      </c>
      <c r="E2720" s="1" t="str">
        <f ca="1">IFERROR(__xludf.DUMMYFUNCTION("""COMPUTED_VALUE"""),"WMFA")</f>
        <v>WMFA</v>
      </c>
      <c r="F2720" s="87" t="str">
        <f t="shared" ca="1" si="0"/>
        <v>2024</v>
      </c>
      <c r="H2720" s="26" t="str">
        <f t="shared" si="1"/>
        <v/>
      </c>
      <c r="I2720" s="26" t="str">
        <f t="shared" si="2"/>
        <v/>
      </c>
      <c r="J2720" s="86">
        <f t="shared" ca="1" si="3"/>
        <v>45386</v>
      </c>
      <c r="R2720" s="26"/>
    </row>
    <row r="2721" spans="1:18" ht="15.75" customHeight="1">
      <c r="A2721" s="26">
        <f ca="1">IFERROR(__xludf.DUMMYFUNCTION("""COMPUTED_VALUE"""),23176)</f>
        <v>23176</v>
      </c>
      <c r="B2721" s="86">
        <f ca="1">IFERROR(__xludf.DUMMYFUNCTION("""COMPUTED_VALUE"""),45386.6763194444)</f>
        <v>45386.676319444399</v>
      </c>
      <c r="C2721" s="1" t="str">
        <f ca="1">IFERROR(__xludf.DUMMYFUNCTION("""COMPUTED_VALUE"""),"completed")</f>
        <v>completed</v>
      </c>
      <c r="D2721" s="26">
        <f ca="1">IFERROR(__xludf.DUMMYFUNCTION("""COMPUTED_VALUE"""),0)</f>
        <v>0</v>
      </c>
      <c r="E2721" s="1" t="str">
        <f ca="1">IFERROR(__xludf.DUMMYFUNCTION("""COMPUTED_VALUE"""),"Essex Thunder Minor Hockey")</f>
        <v>Essex Thunder Minor Hockey</v>
      </c>
      <c r="F2721" s="87" t="str">
        <f t="shared" ca="1" si="0"/>
        <v>2024</v>
      </c>
      <c r="H2721" s="26" t="str">
        <f t="shared" si="1"/>
        <v/>
      </c>
      <c r="I2721" s="26" t="str">
        <f t="shared" si="2"/>
        <v/>
      </c>
      <c r="J2721" s="86">
        <f t="shared" ca="1" si="3"/>
        <v>45386</v>
      </c>
      <c r="R2721" s="26"/>
    </row>
    <row r="2722" spans="1:18" ht="15.75" customHeight="1">
      <c r="A2722" s="26">
        <f ca="1">IFERROR(__xludf.DUMMYFUNCTION("""COMPUTED_VALUE"""),23177)</f>
        <v>23177</v>
      </c>
      <c r="B2722" s="86">
        <f ca="1">IFERROR(__xludf.DUMMYFUNCTION("""COMPUTED_VALUE"""),45389.5323726851)</f>
        <v>45389.532372685098</v>
      </c>
      <c r="C2722" s="1" t="str">
        <f ca="1">IFERROR(__xludf.DUMMYFUNCTION("""COMPUTED_VALUE"""),"processing")</f>
        <v>processing</v>
      </c>
      <c r="D2722" s="26">
        <f ca="1">IFERROR(__xludf.DUMMYFUNCTION("""COMPUTED_VALUE"""),42)</f>
        <v>42</v>
      </c>
      <c r="E2722" s="1" t="str">
        <f ca="1">IFERROR(__xludf.DUMMYFUNCTION("""COMPUTED_VALUE"""),"Tecumseh Rangers Baseball")</f>
        <v>Tecumseh Rangers Baseball</v>
      </c>
      <c r="F2722" s="87" t="str">
        <f t="shared" ca="1" si="0"/>
        <v>2024</v>
      </c>
      <c r="H2722" s="26" t="str">
        <f t="shared" si="1"/>
        <v/>
      </c>
      <c r="I2722" s="26" t="str">
        <f t="shared" si="2"/>
        <v/>
      </c>
      <c r="J2722" s="86">
        <f t="shared" ca="1" si="3"/>
        <v>45389</v>
      </c>
      <c r="R2722" s="26"/>
    </row>
    <row r="2723" spans="1:18" ht="15.75" customHeight="1">
      <c r="A2723" s="26">
        <f ca="1">IFERROR(__xludf.DUMMYFUNCTION("""COMPUTED_VALUE"""),23179)</f>
        <v>23179</v>
      </c>
      <c r="B2723" s="86">
        <f ca="1">IFERROR(__xludf.DUMMYFUNCTION("""COMPUTED_VALUE"""),45389.535625)</f>
        <v>45389.535624999997</v>
      </c>
      <c r="C2723" s="1" t="str">
        <f ca="1">IFERROR(__xludf.DUMMYFUNCTION("""COMPUTED_VALUE"""),"completed")</f>
        <v>completed</v>
      </c>
      <c r="D2723" s="26">
        <f ca="1">IFERROR(__xludf.DUMMYFUNCTION("""COMPUTED_VALUE"""),15)</f>
        <v>15</v>
      </c>
      <c r="E2723" s="1" t="str">
        <f ca="1">IFERROR(__xludf.DUMMYFUNCTION("""COMPUTED_VALUE"""),"Tecumseh Rangers Baseball")</f>
        <v>Tecumseh Rangers Baseball</v>
      </c>
      <c r="F2723" s="87" t="str">
        <f t="shared" ca="1" si="0"/>
        <v>2024</v>
      </c>
      <c r="H2723" s="26" t="str">
        <f t="shared" si="1"/>
        <v/>
      </c>
      <c r="I2723" s="26" t="str">
        <f t="shared" si="2"/>
        <v/>
      </c>
      <c r="J2723" s="86">
        <f t="shared" ca="1" si="3"/>
        <v>45389</v>
      </c>
      <c r="R2723" s="26"/>
    </row>
    <row r="2724" spans="1:18" ht="15.75" customHeight="1">
      <c r="A2724" s="26">
        <f ca="1">IFERROR(__xludf.DUMMYFUNCTION("""COMPUTED_VALUE"""),23178)</f>
        <v>23178</v>
      </c>
      <c r="B2724" s="86">
        <f ca="1">IFERROR(__xludf.DUMMYFUNCTION("""COMPUTED_VALUE"""),45389.5344444444)</f>
        <v>45389.534444444398</v>
      </c>
      <c r="C2724" s="1" t="str">
        <f ca="1">IFERROR(__xludf.DUMMYFUNCTION("""COMPUTED_VALUE"""),"completed")</f>
        <v>completed</v>
      </c>
      <c r="D2724" s="26">
        <f ca="1">IFERROR(__xludf.DUMMYFUNCTION("""COMPUTED_VALUE"""),37)</f>
        <v>37</v>
      </c>
      <c r="E2724" s="1" t="str">
        <f ca="1">IFERROR(__xludf.DUMMYFUNCTION("""COMPUTED_VALUE"""),"Tecumseh Rangers Baseball")</f>
        <v>Tecumseh Rangers Baseball</v>
      </c>
      <c r="F2724" s="87" t="str">
        <f t="shared" ca="1" si="0"/>
        <v>2024</v>
      </c>
      <c r="H2724" s="26" t="str">
        <f t="shared" si="1"/>
        <v/>
      </c>
      <c r="I2724" s="26" t="str">
        <f t="shared" si="2"/>
        <v/>
      </c>
      <c r="J2724" s="86">
        <f t="shared" ca="1" si="3"/>
        <v>45389</v>
      </c>
      <c r="R2724" s="26"/>
    </row>
    <row r="2725" spans="1:18" ht="15.75" customHeight="1">
      <c r="A2725" s="26">
        <f ca="1">IFERROR(__xludf.DUMMYFUNCTION("""COMPUTED_VALUE"""),23180)</f>
        <v>23180</v>
      </c>
      <c r="B2725" s="86">
        <f ca="1">IFERROR(__xludf.DUMMYFUNCTION("""COMPUTED_VALUE"""),45394.2851967592)</f>
        <v>45394.2851967592</v>
      </c>
      <c r="C2725" s="1" t="str">
        <f ca="1">IFERROR(__xludf.DUMMYFUNCTION("""COMPUTED_VALUE"""),"custom-status")</f>
        <v>custom-status</v>
      </c>
      <c r="D2725" s="26">
        <f ca="1">IFERROR(__xludf.DUMMYFUNCTION("""COMPUTED_VALUE"""),45)</f>
        <v>45</v>
      </c>
      <c r="E2725" s="1" t="str">
        <f ca="1">IFERROR(__xludf.DUMMYFUNCTION("""COMPUTED_VALUE"""),"Windsor Wildcats Baseball")</f>
        <v>Windsor Wildcats Baseball</v>
      </c>
      <c r="F2725" s="87" t="str">
        <f t="shared" ca="1" si="0"/>
        <v>2024</v>
      </c>
      <c r="H2725" s="26" t="str">
        <f t="shared" si="1"/>
        <v/>
      </c>
      <c r="I2725" s="26" t="str">
        <f t="shared" si="2"/>
        <v/>
      </c>
      <c r="J2725" s="86">
        <f t="shared" ca="1" si="3"/>
        <v>45394</v>
      </c>
      <c r="R2725" s="26"/>
    </row>
    <row r="2726" spans="1:18" ht="15.75" customHeight="1">
      <c r="A2726" s="26">
        <f ca="1">IFERROR(__xludf.DUMMYFUNCTION("""COMPUTED_VALUE"""),23182)</f>
        <v>23182</v>
      </c>
      <c r="B2726" s="86">
        <f ca="1">IFERROR(__xludf.DUMMYFUNCTION("""COMPUTED_VALUE"""),45396.574224537)</f>
        <v>45396.574224536998</v>
      </c>
      <c r="C2726" s="1" t="str">
        <f ca="1">IFERROR(__xludf.DUMMYFUNCTION("""COMPUTED_VALUE"""),"completed")</f>
        <v>completed</v>
      </c>
      <c r="D2726" s="26">
        <f ca="1">IFERROR(__xludf.DUMMYFUNCTION("""COMPUTED_VALUE"""),26)</f>
        <v>26</v>
      </c>
      <c r="E2726" s="1" t="str">
        <f ca="1">IFERROR(__xludf.DUMMYFUNCTION("""COMPUTED_VALUE"""),"Tecumseh Rangers Baseball")</f>
        <v>Tecumseh Rangers Baseball</v>
      </c>
      <c r="F2726" s="87" t="str">
        <f t="shared" ca="1" si="0"/>
        <v>2024</v>
      </c>
      <c r="H2726" s="26" t="str">
        <f t="shared" si="1"/>
        <v/>
      </c>
      <c r="I2726" s="26" t="str">
        <f t="shared" si="2"/>
        <v/>
      </c>
      <c r="J2726" s="86">
        <f t="shared" ca="1" si="3"/>
        <v>45396</v>
      </c>
      <c r="R2726" s="26"/>
    </row>
    <row r="2727" spans="1:18" ht="15.75" customHeight="1">
      <c r="A2727" s="26">
        <f ca="1">IFERROR(__xludf.DUMMYFUNCTION("""COMPUTED_VALUE"""),23183)</f>
        <v>23183</v>
      </c>
      <c r="B2727" s="86">
        <f ca="1">IFERROR(__xludf.DUMMYFUNCTION("""COMPUTED_VALUE"""),45396.6354398148)</f>
        <v>45396.635439814803</v>
      </c>
      <c r="C2727" s="1" t="str">
        <f ca="1">IFERROR(__xludf.DUMMYFUNCTION("""COMPUTED_VALUE"""),"completed")</f>
        <v>completed</v>
      </c>
      <c r="D2727" s="26">
        <f ca="1">IFERROR(__xludf.DUMMYFUNCTION("""COMPUTED_VALUE"""),35)</f>
        <v>35</v>
      </c>
      <c r="E2727" s="1" t="str">
        <f ca="1">IFERROR(__xludf.DUMMYFUNCTION("""COMPUTED_VALUE"""),"Windsor Wildcats Baseball")</f>
        <v>Windsor Wildcats Baseball</v>
      </c>
      <c r="F2727" s="87" t="str">
        <f t="shared" ca="1" si="0"/>
        <v>2024</v>
      </c>
      <c r="H2727" s="26" t="str">
        <f t="shared" si="1"/>
        <v/>
      </c>
      <c r="I2727" s="26" t="str">
        <f t="shared" si="2"/>
        <v/>
      </c>
      <c r="J2727" s="86">
        <f t="shared" ca="1" si="3"/>
        <v>45396</v>
      </c>
      <c r="R2727" s="26"/>
    </row>
    <row r="2728" spans="1:18" ht="15.75" customHeight="1">
      <c r="A2728" s="26">
        <f ca="1">IFERROR(__xludf.DUMMYFUNCTION("""COMPUTED_VALUE"""),23184)</f>
        <v>23184</v>
      </c>
      <c r="B2728" s="86">
        <f ca="1">IFERROR(__xludf.DUMMYFUNCTION("""COMPUTED_VALUE"""),45396.7485879629)</f>
        <v>45396.748587962902</v>
      </c>
      <c r="C2728" s="1" t="str">
        <f ca="1">IFERROR(__xludf.DUMMYFUNCTION("""COMPUTED_VALUE"""),"pending")</f>
        <v>pending</v>
      </c>
      <c r="D2728" s="26">
        <f ca="1">IFERROR(__xludf.DUMMYFUNCTION("""COMPUTED_VALUE"""),22)</f>
        <v>22</v>
      </c>
      <c r="E2728" s="1" t="str">
        <f ca="1">IFERROR(__xludf.DUMMYFUNCTION("""COMPUTED_VALUE"""),"Windsor Wildcats Baseball")</f>
        <v>Windsor Wildcats Baseball</v>
      </c>
      <c r="F2728" s="87" t="str">
        <f t="shared" ca="1" si="0"/>
        <v>2024</v>
      </c>
      <c r="H2728" s="26" t="str">
        <f t="shared" si="1"/>
        <v/>
      </c>
      <c r="I2728" s="26" t="str">
        <f t="shared" si="2"/>
        <v/>
      </c>
      <c r="J2728" s="86">
        <f t="shared" ca="1" si="3"/>
        <v>45396</v>
      </c>
      <c r="R2728" s="26"/>
    </row>
    <row r="2729" spans="1:18" ht="15.75" customHeight="1">
      <c r="A2729" s="26">
        <f ca="1">IFERROR(__xludf.DUMMYFUNCTION("""COMPUTED_VALUE"""),23185)</f>
        <v>23185</v>
      </c>
      <c r="B2729" s="86">
        <f ca="1">IFERROR(__xludf.DUMMYFUNCTION("""COMPUTED_VALUE"""),45398.4105787037)</f>
        <v>45398.410578703697</v>
      </c>
      <c r="C2729" s="1" t="str">
        <f ca="1">IFERROR(__xludf.DUMMYFUNCTION("""COMPUTED_VALUE"""),"pending")</f>
        <v>pending</v>
      </c>
      <c r="D2729" s="26">
        <f ca="1">IFERROR(__xludf.DUMMYFUNCTION("""COMPUTED_VALUE"""),57)</f>
        <v>57</v>
      </c>
      <c r="E2729" s="1" t="str">
        <f ca="1">IFERROR(__xludf.DUMMYFUNCTION("""COMPUTED_VALUE"""),"Tecumseh Rangers Baseball")</f>
        <v>Tecumseh Rangers Baseball</v>
      </c>
      <c r="F2729" s="87" t="str">
        <f t="shared" ca="1" si="0"/>
        <v>2024</v>
      </c>
      <c r="H2729" s="26" t="str">
        <f t="shared" si="1"/>
        <v/>
      </c>
      <c r="I2729" s="26" t="str">
        <f t="shared" si="2"/>
        <v/>
      </c>
      <c r="J2729" s="86">
        <f t="shared" ca="1" si="3"/>
        <v>45398</v>
      </c>
      <c r="R2729" s="26"/>
    </row>
    <row r="2730" spans="1:18" ht="15.75" customHeight="1">
      <c r="A2730" s="26">
        <f ca="1">IFERROR(__xludf.DUMMYFUNCTION("""COMPUTED_VALUE"""),23186)</f>
        <v>23186</v>
      </c>
      <c r="B2730" s="86">
        <f ca="1">IFERROR(__xludf.DUMMYFUNCTION("""COMPUTED_VALUE"""),45398.6436458333)</f>
        <v>45398.643645833297</v>
      </c>
      <c r="C2730" s="1" t="str">
        <f ca="1">IFERROR(__xludf.DUMMYFUNCTION("""COMPUTED_VALUE"""),"pending")</f>
        <v>pending</v>
      </c>
      <c r="D2730" s="26">
        <f ca="1">IFERROR(__xludf.DUMMYFUNCTION("""COMPUTED_VALUE"""),45)</f>
        <v>45</v>
      </c>
      <c r="E2730" s="1" t="str">
        <f ca="1">IFERROR(__xludf.DUMMYFUNCTION("""COMPUTED_VALUE"""),"Erie North Shore Minor Hockey")</f>
        <v>Erie North Shore Minor Hockey</v>
      </c>
      <c r="F2730" s="87" t="str">
        <f t="shared" ca="1" si="0"/>
        <v>2024</v>
      </c>
      <c r="H2730" s="26" t="str">
        <f t="shared" si="1"/>
        <v/>
      </c>
      <c r="I2730" s="26" t="str">
        <f t="shared" si="2"/>
        <v/>
      </c>
      <c r="J2730" s="86">
        <f t="shared" ca="1" si="3"/>
        <v>45398</v>
      </c>
      <c r="R2730" s="26"/>
    </row>
    <row r="2731" spans="1:18" ht="15.75" customHeight="1">
      <c r="A2731" s="26">
        <f ca="1">IFERROR(__xludf.DUMMYFUNCTION("""COMPUTED_VALUE"""),23187)</f>
        <v>23187</v>
      </c>
      <c r="B2731" s="86">
        <f ca="1">IFERROR(__xludf.DUMMYFUNCTION("""COMPUTED_VALUE"""),45398.6454629629)</f>
        <v>45398.645462962901</v>
      </c>
      <c r="C2731" s="1" t="str">
        <f ca="1">IFERROR(__xludf.DUMMYFUNCTION("""COMPUTED_VALUE"""),"pending")</f>
        <v>pending</v>
      </c>
      <c r="D2731" s="26">
        <f ca="1">IFERROR(__xludf.DUMMYFUNCTION("""COMPUTED_VALUE"""),25)</f>
        <v>25</v>
      </c>
      <c r="E2731" s="1" t="str">
        <f ca="1">IFERROR(__xludf.DUMMYFUNCTION("""COMPUTED_VALUE"""),"Erie North Shore Minor Hockey")</f>
        <v>Erie North Shore Minor Hockey</v>
      </c>
      <c r="F2731" s="87" t="str">
        <f t="shared" ca="1" si="0"/>
        <v>2024</v>
      </c>
      <c r="H2731" s="26" t="str">
        <f t="shared" si="1"/>
        <v/>
      </c>
      <c r="I2731" s="26" t="str">
        <f t="shared" si="2"/>
        <v/>
      </c>
      <c r="J2731" s="86">
        <f t="shared" ca="1" si="3"/>
        <v>45398</v>
      </c>
      <c r="R2731" s="26"/>
    </row>
    <row r="2732" spans="1:18" ht="15.75" customHeight="1">
      <c r="A2732" s="26">
        <f ca="1">IFERROR(__xludf.DUMMYFUNCTION("""COMPUTED_VALUE"""),23188)</f>
        <v>23188</v>
      </c>
      <c r="B2732" s="86">
        <f ca="1">IFERROR(__xludf.DUMMYFUNCTION("""COMPUTED_VALUE"""),45399.746724537)</f>
        <v>45399.746724536999</v>
      </c>
      <c r="C2732" s="1" t="str">
        <f ca="1">IFERROR(__xludf.DUMMYFUNCTION("""COMPUTED_VALUE"""),"pending")</f>
        <v>pending</v>
      </c>
      <c r="D2732" s="26">
        <f ca="1">IFERROR(__xludf.DUMMYFUNCTION("""COMPUTED_VALUE"""),26)</f>
        <v>26</v>
      </c>
      <c r="E2732" s="1" t="str">
        <f ca="1">IFERROR(__xludf.DUMMYFUNCTION("""COMPUTED_VALUE"""),"Tecumseh Rangers Baseball")</f>
        <v>Tecumseh Rangers Baseball</v>
      </c>
      <c r="F2732" s="87" t="str">
        <f t="shared" ca="1" si="0"/>
        <v>2024</v>
      </c>
      <c r="H2732" s="26" t="str">
        <f t="shared" si="1"/>
        <v/>
      </c>
      <c r="I2732" s="26" t="str">
        <f t="shared" si="2"/>
        <v/>
      </c>
      <c r="J2732" s="86">
        <f t="shared" ca="1" si="3"/>
        <v>45399</v>
      </c>
      <c r="R2732" s="26"/>
    </row>
    <row r="2733" spans="1:18" ht="15.75" customHeight="1">
      <c r="A2733" s="26">
        <f ca="1">IFERROR(__xludf.DUMMYFUNCTION("""COMPUTED_VALUE"""),23189)</f>
        <v>23189</v>
      </c>
      <c r="B2733" s="86">
        <f ca="1">IFERROR(__xludf.DUMMYFUNCTION("""COMPUTED_VALUE"""),45400.4855439814)</f>
        <v>45400.485543981398</v>
      </c>
      <c r="C2733" s="1" t="str">
        <f ca="1">IFERROR(__xludf.DUMMYFUNCTION("""COMPUTED_VALUE"""),"pending")</f>
        <v>pending</v>
      </c>
      <c r="D2733" s="26">
        <f ca="1">IFERROR(__xludf.DUMMYFUNCTION("""COMPUTED_VALUE"""),53)</f>
        <v>53</v>
      </c>
      <c r="E2733" s="1" t="str">
        <f ca="1">IFERROR(__xludf.DUMMYFUNCTION("""COMPUTED_VALUE"""),"Tecumseh Rangers Baseball")</f>
        <v>Tecumseh Rangers Baseball</v>
      </c>
      <c r="F2733" s="87" t="str">
        <f t="shared" ca="1" si="0"/>
        <v>2024</v>
      </c>
      <c r="H2733" s="26" t="str">
        <f t="shared" si="1"/>
        <v/>
      </c>
      <c r="I2733" s="26" t="str">
        <f t="shared" si="2"/>
        <v/>
      </c>
      <c r="J2733" s="86">
        <f t="shared" ca="1" si="3"/>
        <v>45400</v>
      </c>
      <c r="R2733" s="26"/>
    </row>
    <row r="2734" spans="1:18" ht="15.75" customHeight="1">
      <c r="A2734" s="26">
        <f ca="1">IFERROR(__xludf.DUMMYFUNCTION("""COMPUTED_VALUE"""),23193)</f>
        <v>23193</v>
      </c>
      <c r="B2734" s="86">
        <f ca="1">IFERROR(__xludf.DUMMYFUNCTION("""COMPUTED_VALUE"""),45401.3830787037)</f>
        <v>45401.3830787037</v>
      </c>
      <c r="C2734" s="1" t="str">
        <f ca="1">IFERROR(__xludf.DUMMYFUNCTION("""COMPUTED_VALUE"""),"pending")</f>
        <v>pending</v>
      </c>
      <c r="D2734" s="26">
        <f ca="1">IFERROR(__xludf.DUMMYFUNCTION("""COMPUTED_VALUE"""),22)</f>
        <v>22</v>
      </c>
      <c r="E2734" s="1" t="str">
        <f ca="1">IFERROR(__xludf.DUMMYFUNCTION("""COMPUTED_VALUE"""),"Tecumseh Rangers Baseball")</f>
        <v>Tecumseh Rangers Baseball</v>
      </c>
      <c r="F2734" s="87" t="str">
        <f t="shared" ca="1" si="0"/>
        <v>2024</v>
      </c>
      <c r="H2734" s="26" t="str">
        <f t="shared" si="1"/>
        <v/>
      </c>
      <c r="I2734" s="26" t="str">
        <f t="shared" si="2"/>
        <v/>
      </c>
      <c r="J2734" s="86">
        <f t="shared" ca="1" si="3"/>
        <v>45401</v>
      </c>
      <c r="R2734" s="26"/>
    </row>
    <row r="2735" spans="1:18" ht="15.75" customHeight="1">
      <c r="A2735" s="26">
        <f ca="1">IFERROR(__xludf.DUMMYFUNCTION("""COMPUTED_VALUE"""),23194)</f>
        <v>23194</v>
      </c>
      <c r="B2735" s="86">
        <f ca="1">IFERROR(__xludf.DUMMYFUNCTION("""COMPUTED_VALUE"""),45402.3340509259)</f>
        <v>45402.3340509259</v>
      </c>
      <c r="C2735" s="1" t="str">
        <f ca="1">IFERROR(__xludf.DUMMYFUNCTION("""COMPUTED_VALUE"""),"pending")</f>
        <v>pending</v>
      </c>
      <c r="D2735" s="26">
        <f ca="1">IFERROR(__xludf.DUMMYFUNCTION("""COMPUTED_VALUE"""),35)</f>
        <v>35</v>
      </c>
      <c r="E2735" s="1" t="str">
        <f ca="1">IFERROR(__xludf.DUMMYFUNCTION("""COMPUTED_VALUE"""),"Tecumseh Rangers Baseball")</f>
        <v>Tecumseh Rangers Baseball</v>
      </c>
      <c r="F2735" s="87" t="str">
        <f t="shared" ca="1" si="0"/>
        <v>2024</v>
      </c>
      <c r="H2735" s="26" t="str">
        <f t="shared" si="1"/>
        <v/>
      </c>
      <c r="I2735" s="26" t="str">
        <f t="shared" si="2"/>
        <v/>
      </c>
      <c r="J2735" s="86">
        <f t="shared" ca="1" si="3"/>
        <v>45402</v>
      </c>
      <c r="R2735" s="26"/>
    </row>
    <row r="2736" spans="1:18" ht="15.75" customHeight="1">
      <c r="A2736" s="26">
        <f ca="1">IFERROR(__xludf.DUMMYFUNCTION("""COMPUTED_VALUE"""),23195)</f>
        <v>23195</v>
      </c>
      <c r="B2736" s="86">
        <f ca="1">IFERROR(__xludf.DUMMYFUNCTION("""COMPUTED_VALUE"""),45402.7003819444)</f>
        <v>45402.7003819444</v>
      </c>
      <c r="C2736" s="1" t="str">
        <f ca="1">IFERROR(__xludf.DUMMYFUNCTION("""COMPUTED_VALUE"""),"pending")</f>
        <v>pending</v>
      </c>
      <c r="D2736" s="26">
        <f ca="1">IFERROR(__xludf.DUMMYFUNCTION("""COMPUTED_VALUE"""),41)</f>
        <v>41</v>
      </c>
      <c r="E2736" s="1" t="str">
        <f ca="1">IFERROR(__xludf.DUMMYFUNCTION("""COMPUTED_VALUE"""),"Tecumseh Rangers Baseball")</f>
        <v>Tecumseh Rangers Baseball</v>
      </c>
      <c r="F2736" s="87" t="str">
        <f t="shared" ca="1" si="0"/>
        <v>2024</v>
      </c>
      <c r="H2736" s="26" t="str">
        <f t="shared" si="1"/>
        <v/>
      </c>
      <c r="I2736" s="26" t="str">
        <f t="shared" si="2"/>
        <v/>
      </c>
      <c r="J2736" s="86">
        <f t="shared" ca="1" si="3"/>
        <v>45402</v>
      </c>
      <c r="R2736" s="26"/>
    </row>
    <row r="2737" spans="1:18" ht="15.75" customHeight="1">
      <c r="A2737" s="26">
        <f ca="1">IFERROR(__xludf.DUMMYFUNCTION("""COMPUTED_VALUE"""),23208)</f>
        <v>23208</v>
      </c>
      <c r="B2737" s="86">
        <f ca="1">IFERROR(__xludf.DUMMYFUNCTION("""COMPUTED_VALUE"""),45404.3333796296)</f>
        <v>45404.333379629599</v>
      </c>
      <c r="C2737" s="1" t="str">
        <f ca="1">IFERROR(__xludf.DUMMYFUNCTION("""COMPUTED_VALUE"""),"custom-status")</f>
        <v>custom-status</v>
      </c>
      <c r="D2737" s="26">
        <f ca="1">IFERROR(__xludf.DUMMYFUNCTION("""COMPUTED_VALUE"""),28)</f>
        <v>28</v>
      </c>
      <c r="E2737" s="1" t="str">
        <f ca="1">IFERROR(__xludf.DUMMYFUNCTION("""COMPUTED_VALUE"""),"Tecumseh Rangers Baseball")</f>
        <v>Tecumseh Rangers Baseball</v>
      </c>
      <c r="F2737" s="87" t="str">
        <f t="shared" ca="1" si="0"/>
        <v>2024</v>
      </c>
      <c r="H2737" s="26" t="str">
        <f t="shared" si="1"/>
        <v/>
      </c>
      <c r="I2737" s="26" t="str">
        <f t="shared" si="2"/>
        <v/>
      </c>
      <c r="J2737" s="86">
        <f t="shared" ca="1" si="3"/>
        <v>45404</v>
      </c>
      <c r="R2737" s="26"/>
    </row>
    <row r="2738" spans="1:18" ht="15.75" customHeight="1">
      <c r="A2738" s="26">
        <f ca="1">IFERROR(__xludf.DUMMYFUNCTION("""COMPUTED_VALUE"""),23210)</f>
        <v>23210</v>
      </c>
      <c r="B2738" s="86">
        <f ca="1">IFERROR(__xludf.DUMMYFUNCTION("""COMPUTED_VALUE"""),45404.5516898148)</f>
        <v>45404.551689814798</v>
      </c>
      <c r="C2738" s="1" t="str">
        <f ca="1">IFERROR(__xludf.DUMMYFUNCTION("""COMPUTED_VALUE"""),"custom-status")</f>
        <v>custom-status</v>
      </c>
      <c r="D2738" s="26">
        <f ca="1">IFERROR(__xludf.DUMMYFUNCTION("""COMPUTED_VALUE"""),47)</f>
        <v>47</v>
      </c>
      <c r="E2738" s="1" t="str">
        <f ca="1">IFERROR(__xludf.DUMMYFUNCTION("""COMPUTED_VALUE"""),"Tecumseh Rangers Baseball")</f>
        <v>Tecumseh Rangers Baseball</v>
      </c>
      <c r="F2738" s="87" t="str">
        <f t="shared" ca="1" si="0"/>
        <v>2024</v>
      </c>
      <c r="H2738" s="26" t="str">
        <f t="shared" si="1"/>
        <v/>
      </c>
      <c r="I2738" s="26" t="str">
        <f t="shared" si="2"/>
        <v/>
      </c>
      <c r="J2738" s="86">
        <f t="shared" ca="1" si="3"/>
        <v>45404</v>
      </c>
      <c r="R2738" s="26"/>
    </row>
    <row r="2739" spans="1:18" ht="15.75" customHeight="1">
      <c r="A2739" s="26">
        <f ca="1">IFERROR(__xludf.DUMMYFUNCTION("""COMPUTED_VALUE"""),23209)</f>
        <v>23209</v>
      </c>
      <c r="B2739" s="86">
        <f ca="1">IFERROR(__xludf.DUMMYFUNCTION("""COMPUTED_VALUE"""),45404.5498148148)</f>
        <v>45404.549814814804</v>
      </c>
      <c r="C2739" s="1" t="str">
        <f ca="1">IFERROR(__xludf.DUMMYFUNCTION("""COMPUTED_VALUE"""),"custom-status")</f>
        <v>custom-status</v>
      </c>
      <c r="D2739" s="26">
        <f ca="1">IFERROR(__xludf.DUMMYFUNCTION("""COMPUTED_VALUE"""),47)</f>
        <v>47</v>
      </c>
      <c r="E2739" s="1" t="str">
        <f ca="1">IFERROR(__xludf.DUMMYFUNCTION("""COMPUTED_VALUE"""),"Tecumseh Rangers Baseball")</f>
        <v>Tecumseh Rangers Baseball</v>
      </c>
      <c r="F2739" s="87" t="str">
        <f t="shared" ca="1" si="0"/>
        <v>2024</v>
      </c>
      <c r="H2739" s="26" t="str">
        <f t="shared" si="1"/>
        <v/>
      </c>
      <c r="I2739" s="26" t="str">
        <f t="shared" si="2"/>
        <v/>
      </c>
      <c r="J2739" s="86">
        <f t="shared" ca="1" si="3"/>
        <v>45404</v>
      </c>
      <c r="R2739" s="26"/>
    </row>
    <row r="2740" spans="1:18" ht="15.75" customHeight="1">
      <c r="A2740" s="26">
        <f ca="1">IFERROR(__xludf.DUMMYFUNCTION("""COMPUTED_VALUE"""),23211)</f>
        <v>23211</v>
      </c>
      <c r="B2740" s="86">
        <f ca="1">IFERROR(__xludf.DUMMYFUNCTION("""COMPUTED_VALUE"""),45404.9131597222)</f>
        <v>45404.9131597222</v>
      </c>
      <c r="C2740" s="1" t="str">
        <f ca="1">IFERROR(__xludf.DUMMYFUNCTION("""COMPUTED_VALUE"""),"pending")</f>
        <v>pending</v>
      </c>
      <c r="D2740" s="26">
        <f ca="1">IFERROR(__xludf.DUMMYFUNCTION("""COMPUTED_VALUE"""),55)</f>
        <v>55</v>
      </c>
      <c r="E2740" s="1" t="str">
        <f ca="1">IFERROR(__xludf.DUMMYFUNCTION("""COMPUTED_VALUE"""),"Tecumseh Rangers Baseball")</f>
        <v>Tecumseh Rangers Baseball</v>
      </c>
      <c r="F2740" s="87" t="str">
        <f t="shared" ca="1" si="0"/>
        <v>2024</v>
      </c>
      <c r="H2740" s="26" t="str">
        <f t="shared" si="1"/>
        <v/>
      </c>
      <c r="I2740" s="26" t="str">
        <f t="shared" si="2"/>
        <v/>
      </c>
      <c r="J2740" s="86">
        <f t="shared" ca="1" si="3"/>
        <v>45404</v>
      </c>
      <c r="R2740" s="26"/>
    </row>
    <row r="2741" spans="1:18" ht="15.75" customHeight="1">
      <c r="A2741" s="26">
        <f ca="1">IFERROR(__xludf.DUMMYFUNCTION("""COMPUTED_VALUE"""),23212)</f>
        <v>23212</v>
      </c>
      <c r="B2741" s="86">
        <f ca="1">IFERROR(__xludf.DUMMYFUNCTION("""COMPUTED_VALUE"""),45405.4286689814)</f>
        <v>45405.428668981403</v>
      </c>
      <c r="C2741" s="1" t="str">
        <f ca="1">IFERROR(__xludf.DUMMYFUNCTION("""COMPUTED_VALUE"""),"pending")</f>
        <v>pending</v>
      </c>
      <c r="D2741" s="26">
        <f ca="1">IFERROR(__xludf.DUMMYFUNCTION("""COMPUTED_VALUE"""),35)</f>
        <v>35</v>
      </c>
      <c r="E2741" s="1" t="str">
        <f ca="1">IFERROR(__xludf.DUMMYFUNCTION("""COMPUTED_VALUE"""),"Tecumseh Rangers Baseball")</f>
        <v>Tecumseh Rangers Baseball</v>
      </c>
      <c r="F2741" s="87" t="str">
        <f t="shared" ca="1" si="0"/>
        <v>2024</v>
      </c>
      <c r="H2741" s="26" t="str">
        <f t="shared" si="1"/>
        <v/>
      </c>
      <c r="I2741" s="26" t="str">
        <f t="shared" si="2"/>
        <v/>
      </c>
      <c r="J2741" s="86">
        <f t="shared" ca="1" si="3"/>
        <v>45405</v>
      </c>
      <c r="R2741" s="26"/>
    </row>
    <row r="2742" spans="1:18" ht="15.75" customHeight="1">
      <c r="A2742" s="26">
        <f ca="1">IFERROR(__xludf.DUMMYFUNCTION("""COMPUTED_VALUE"""),23218)</f>
        <v>23218</v>
      </c>
      <c r="B2742" s="86">
        <f ca="1">IFERROR(__xludf.DUMMYFUNCTION("""COMPUTED_VALUE"""),45408.913287037)</f>
        <v>45408.913287037001</v>
      </c>
      <c r="C2742" s="1" t="str">
        <f ca="1">IFERROR(__xludf.DUMMYFUNCTION("""COMPUTED_VALUE"""),"custom-status")</f>
        <v>custom-status</v>
      </c>
      <c r="D2742" s="26">
        <f ca="1">IFERROR(__xludf.DUMMYFUNCTION("""COMPUTED_VALUE"""),54)</f>
        <v>54</v>
      </c>
      <c r="E2742" s="1" t="str">
        <f ca="1">IFERROR(__xludf.DUMMYFUNCTION("""COMPUTED_VALUE"""),"Tecumseh Rangers Baseball")</f>
        <v>Tecumseh Rangers Baseball</v>
      </c>
      <c r="F2742" s="87" t="str">
        <f t="shared" ca="1" si="0"/>
        <v>2024</v>
      </c>
      <c r="H2742" s="26" t="str">
        <f t="shared" si="1"/>
        <v/>
      </c>
      <c r="I2742" s="26" t="str">
        <f t="shared" si="2"/>
        <v/>
      </c>
      <c r="J2742" s="86">
        <f t="shared" ca="1" si="3"/>
        <v>45408</v>
      </c>
      <c r="R2742" s="26"/>
    </row>
    <row r="2743" spans="1:18" ht="15.75" customHeight="1">
      <c r="A2743" s="26">
        <f ca="1">IFERROR(__xludf.DUMMYFUNCTION("""COMPUTED_VALUE"""),23229)</f>
        <v>23229</v>
      </c>
      <c r="B2743" s="86">
        <f ca="1">IFERROR(__xludf.DUMMYFUNCTION("""COMPUTED_VALUE"""),45411.4955208333)</f>
        <v>45411.495520833298</v>
      </c>
      <c r="C2743" s="1" t="str">
        <f ca="1">IFERROR(__xludf.DUMMYFUNCTION("""COMPUTED_VALUE"""),"processing")</f>
        <v>processing</v>
      </c>
      <c r="D2743" s="26">
        <f ca="1">IFERROR(__xludf.DUMMYFUNCTION("""COMPUTED_VALUE"""),22)</f>
        <v>22</v>
      </c>
      <c r="E2743" s="1" t="str">
        <f ca="1">IFERROR(__xludf.DUMMYFUNCTION("""COMPUTED_VALUE"""),"Erie North Shore Minor Hockey")</f>
        <v>Erie North Shore Minor Hockey</v>
      </c>
      <c r="F2743" s="87" t="str">
        <f t="shared" ca="1" si="0"/>
        <v>2024</v>
      </c>
      <c r="H2743" s="26" t="str">
        <f t="shared" si="1"/>
        <v/>
      </c>
      <c r="I2743" s="26" t="str">
        <f t="shared" si="2"/>
        <v/>
      </c>
      <c r="J2743" s="86">
        <f t="shared" ca="1" si="3"/>
        <v>45411</v>
      </c>
      <c r="R2743" s="26"/>
    </row>
    <row r="2744" spans="1:18" ht="15.75" customHeight="1">
      <c r="A2744" s="26">
        <f ca="1">IFERROR(__xludf.DUMMYFUNCTION("""COMPUTED_VALUE"""),23228)</f>
        <v>23228</v>
      </c>
      <c r="B2744" s="86">
        <f ca="1">IFERROR(__xludf.DUMMYFUNCTION("""COMPUTED_VALUE"""),45411.4935879629)</f>
        <v>45411.493587962897</v>
      </c>
      <c r="C2744" s="1" t="str">
        <f ca="1">IFERROR(__xludf.DUMMYFUNCTION("""COMPUTED_VALUE"""),"processing")</f>
        <v>processing</v>
      </c>
      <c r="D2744" s="26">
        <f ca="1">IFERROR(__xludf.DUMMYFUNCTION("""COMPUTED_VALUE"""),22)</f>
        <v>22</v>
      </c>
      <c r="E2744" s="1" t="str">
        <f ca="1">IFERROR(__xludf.DUMMYFUNCTION("""COMPUTED_VALUE"""),"Erie North Shore Minor Hockey")</f>
        <v>Erie North Shore Minor Hockey</v>
      </c>
      <c r="F2744" s="87" t="str">
        <f t="shared" ca="1" si="0"/>
        <v>2024</v>
      </c>
      <c r="H2744" s="26" t="str">
        <f t="shared" si="1"/>
        <v/>
      </c>
      <c r="I2744" s="26" t="str">
        <f t="shared" si="2"/>
        <v/>
      </c>
      <c r="J2744" s="86">
        <f t="shared" ca="1" si="3"/>
        <v>45411</v>
      </c>
      <c r="R2744" s="26"/>
    </row>
    <row r="2745" spans="1:18" ht="15.75" customHeight="1">
      <c r="A2745" s="26">
        <f ca="1">IFERROR(__xludf.DUMMYFUNCTION("""COMPUTED_VALUE"""),23230)</f>
        <v>23230</v>
      </c>
      <c r="B2745" s="86">
        <f ca="1">IFERROR(__xludf.DUMMYFUNCTION("""COMPUTED_VALUE"""),45411.5372453703)</f>
        <v>45411.537245370302</v>
      </c>
      <c r="C2745" s="1" t="str">
        <f ca="1">IFERROR(__xludf.DUMMYFUNCTION("""COMPUTED_VALUE"""),"processing")</f>
        <v>processing</v>
      </c>
      <c r="D2745" s="26">
        <f ca="1">IFERROR(__xludf.DUMMYFUNCTION("""COMPUTED_VALUE"""),35)</f>
        <v>35</v>
      </c>
      <c r="E2745" s="1" t="str">
        <f ca="1">IFERROR(__xludf.DUMMYFUNCTION("""COMPUTED_VALUE"""),"Tecumseh Rangers Baseball")</f>
        <v>Tecumseh Rangers Baseball</v>
      </c>
      <c r="F2745" s="87" t="str">
        <f t="shared" ca="1" si="0"/>
        <v>2024</v>
      </c>
      <c r="H2745" s="26" t="str">
        <f t="shared" si="1"/>
        <v/>
      </c>
      <c r="I2745" s="26" t="str">
        <f t="shared" si="2"/>
        <v/>
      </c>
      <c r="J2745" s="86">
        <f t="shared" ca="1" si="3"/>
        <v>45411</v>
      </c>
      <c r="R2745" s="26"/>
    </row>
    <row r="2746" spans="1:18" ht="15.75" customHeight="1">
      <c r="A2746" s="26">
        <f ca="1">IFERROR(__xludf.DUMMYFUNCTION("""COMPUTED_VALUE"""),23231)</f>
        <v>23231</v>
      </c>
      <c r="B2746" s="86">
        <f ca="1">IFERROR(__xludf.DUMMYFUNCTION("""COMPUTED_VALUE"""),45412.3116782407)</f>
        <v>45412.311678240701</v>
      </c>
      <c r="C2746" s="1" t="str">
        <f ca="1">IFERROR(__xludf.DUMMYFUNCTION("""COMPUTED_VALUE"""),"pending")</f>
        <v>pending</v>
      </c>
      <c r="D2746" s="26">
        <f ca="1">IFERROR(__xludf.DUMMYFUNCTION("""COMPUTED_VALUE"""),0)</f>
        <v>0</v>
      </c>
      <c r="E2746" s="1"/>
      <c r="F2746" s="87" t="str">
        <f t="shared" ca="1" si="0"/>
        <v>2024</v>
      </c>
      <c r="H2746" s="26" t="str">
        <f t="shared" si="1"/>
        <v/>
      </c>
      <c r="I2746" s="26" t="str">
        <f t="shared" si="2"/>
        <v/>
      </c>
      <c r="J2746" s="86">
        <f t="shared" ca="1" si="3"/>
        <v>45412</v>
      </c>
      <c r="R2746" s="26"/>
    </row>
    <row r="2747" spans="1:18" ht="15.75" customHeight="1">
      <c r="A2747" s="26">
        <f ca="1">IFERROR(__xludf.DUMMYFUNCTION("""COMPUTED_VALUE"""),23233)</f>
        <v>23233</v>
      </c>
      <c r="B2747" s="86">
        <f ca="1">IFERROR(__xludf.DUMMYFUNCTION("""COMPUTED_VALUE"""),45413.8623842592)</f>
        <v>45413.862384259199</v>
      </c>
      <c r="C2747" s="1" t="str">
        <f ca="1">IFERROR(__xludf.DUMMYFUNCTION("""COMPUTED_VALUE"""),"pending")</f>
        <v>pending</v>
      </c>
      <c r="D2747" s="26">
        <f ca="1">IFERROR(__xludf.DUMMYFUNCTION("""COMPUTED_VALUE"""),28)</f>
        <v>28</v>
      </c>
      <c r="E2747" s="1" t="str">
        <f ca="1">IFERROR(__xludf.DUMMYFUNCTION("""COMPUTED_VALUE"""),"Windsor Wildcats Baseball")</f>
        <v>Windsor Wildcats Baseball</v>
      </c>
      <c r="F2747" s="87" t="str">
        <f t="shared" ca="1" si="0"/>
        <v>2024</v>
      </c>
      <c r="H2747" s="26" t="str">
        <f t="shared" si="1"/>
        <v/>
      </c>
      <c r="I2747" s="26" t="str">
        <f t="shared" si="2"/>
        <v/>
      </c>
      <c r="J2747" s="86">
        <f t="shared" ca="1" si="3"/>
        <v>45413</v>
      </c>
      <c r="R2747" s="26"/>
    </row>
    <row r="2748" spans="1:18" ht="15.75" customHeight="1">
      <c r="A2748" s="26">
        <f ca="1">IFERROR(__xludf.DUMMYFUNCTION("""COMPUTED_VALUE"""),23234)</f>
        <v>23234</v>
      </c>
      <c r="B2748" s="86">
        <f ca="1">IFERROR(__xludf.DUMMYFUNCTION("""COMPUTED_VALUE"""),45413.8778587962)</f>
        <v>45413.877858796201</v>
      </c>
      <c r="C2748" s="1" t="str">
        <f ca="1">IFERROR(__xludf.DUMMYFUNCTION("""COMPUTED_VALUE"""),"custom-status")</f>
        <v>custom-status</v>
      </c>
      <c r="D2748" s="26">
        <f ca="1">IFERROR(__xludf.DUMMYFUNCTION("""COMPUTED_VALUE"""),50)</f>
        <v>50</v>
      </c>
      <c r="E2748" s="1" t="str">
        <f ca="1">IFERROR(__xludf.DUMMYFUNCTION("""COMPUTED_VALUE"""),"Tecumseh Rangers Baseball")</f>
        <v>Tecumseh Rangers Baseball</v>
      </c>
      <c r="F2748" s="87" t="str">
        <f t="shared" ca="1" si="0"/>
        <v>2024</v>
      </c>
      <c r="H2748" s="26" t="str">
        <f t="shared" si="1"/>
        <v/>
      </c>
      <c r="I2748" s="26" t="str">
        <f t="shared" si="2"/>
        <v/>
      </c>
      <c r="J2748" s="86">
        <f t="shared" ca="1" si="3"/>
        <v>45413</v>
      </c>
      <c r="R2748" s="26"/>
    </row>
    <row r="2749" spans="1:18" ht="15.75" customHeight="1">
      <c r="A2749" s="26">
        <f ca="1">IFERROR(__xludf.DUMMYFUNCTION("""COMPUTED_VALUE"""),23235)</f>
        <v>23235</v>
      </c>
      <c r="B2749" s="86">
        <f ca="1">IFERROR(__xludf.DUMMYFUNCTION("""COMPUTED_VALUE"""),45413.9404513888)</f>
        <v>45413.9404513888</v>
      </c>
      <c r="C2749" s="1" t="str">
        <f ca="1">IFERROR(__xludf.DUMMYFUNCTION("""COMPUTED_VALUE"""),"pending")</f>
        <v>pending</v>
      </c>
      <c r="D2749" s="26">
        <f ca="1">IFERROR(__xludf.DUMMYFUNCTION("""COMPUTED_VALUE"""),26)</f>
        <v>26</v>
      </c>
      <c r="E2749" s="1" t="str">
        <f ca="1">IFERROR(__xludf.DUMMYFUNCTION("""COMPUTED_VALUE"""),"Tecumseh Rangers Baseball")</f>
        <v>Tecumseh Rangers Baseball</v>
      </c>
      <c r="F2749" s="87" t="str">
        <f t="shared" ca="1" si="0"/>
        <v>2024</v>
      </c>
      <c r="H2749" s="26" t="str">
        <f t="shared" si="1"/>
        <v/>
      </c>
      <c r="I2749" s="26" t="str">
        <f t="shared" si="2"/>
        <v/>
      </c>
      <c r="J2749" s="86">
        <f t="shared" ca="1" si="3"/>
        <v>45413</v>
      </c>
      <c r="R2749" s="26"/>
    </row>
    <row r="2750" spans="1:18" ht="15.75" customHeight="1">
      <c r="A2750" s="26"/>
      <c r="B2750" s="86"/>
      <c r="C2750" s="1"/>
      <c r="D2750" s="26"/>
      <c r="E2750" s="1"/>
      <c r="F2750" s="87" t="str">
        <f t="shared" si="0"/>
        <v/>
      </c>
      <c r="H2750" s="26" t="str">
        <f t="shared" si="1"/>
        <v/>
      </c>
      <c r="I2750" s="26" t="str">
        <f t="shared" si="2"/>
        <v/>
      </c>
      <c r="J2750" s="86">
        <f t="shared" si="3"/>
        <v>0</v>
      </c>
      <c r="R2750" s="26"/>
    </row>
    <row r="2751" spans="1:18" ht="15.75" customHeight="1">
      <c r="A2751" s="26"/>
      <c r="B2751" s="86"/>
      <c r="D2751" s="26"/>
      <c r="F2751" s="87" t="str">
        <f t="shared" si="0"/>
        <v/>
      </c>
      <c r="H2751" s="26" t="str">
        <f t="shared" si="1"/>
        <v/>
      </c>
      <c r="I2751" s="26" t="str">
        <f t="shared" si="2"/>
        <v/>
      </c>
      <c r="J2751" s="86">
        <f t="shared" si="3"/>
        <v>0</v>
      </c>
      <c r="R2751" s="26"/>
    </row>
    <row r="2752" spans="1:18" ht="15.75" customHeight="1">
      <c r="A2752" s="26"/>
      <c r="B2752" s="86"/>
      <c r="D2752" s="26"/>
      <c r="F2752" s="87" t="str">
        <f t="shared" si="0"/>
        <v/>
      </c>
      <c r="H2752" s="26" t="str">
        <f t="shared" si="1"/>
        <v/>
      </c>
      <c r="I2752" s="26" t="str">
        <f t="shared" si="2"/>
        <v/>
      </c>
      <c r="J2752" s="86">
        <f t="shared" si="3"/>
        <v>0</v>
      </c>
      <c r="R2752" s="26"/>
    </row>
    <row r="2753" spans="1:18" ht="15.75" customHeight="1">
      <c r="A2753" s="26"/>
      <c r="B2753" s="86"/>
      <c r="D2753" s="26"/>
      <c r="F2753" s="87" t="str">
        <f t="shared" si="0"/>
        <v/>
      </c>
      <c r="H2753" s="26" t="str">
        <f t="shared" si="1"/>
        <v/>
      </c>
      <c r="I2753" s="26" t="str">
        <f t="shared" si="2"/>
        <v/>
      </c>
      <c r="J2753" s="86">
        <f t="shared" si="3"/>
        <v>0</v>
      </c>
      <c r="R2753" s="26"/>
    </row>
    <row r="2754" spans="1:18" ht="15.75" customHeight="1">
      <c r="A2754" s="26"/>
      <c r="B2754" s="86"/>
      <c r="D2754" s="26"/>
      <c r="F2754" s="87" t="str">
        <f t="shared" si="0"/>
        <v/>
      </c>
      <c r="H2754" s="26" t="str">
        <f t="shared" si="1"/>
        <v/>
      </c>
      <c r="I2754" s="26" t="str">
        <f t="shared" si="2"/>
        <v/>
      </c>
      <c r="J2754" s="86">
        <f t="shared" si="3"/>
        <v>0</v>
      </c>
      <c r="R2754" s="26"/>
    </row>
    <row r="2755" spans="1:18" ht="15.75" customHeight="1">
      <c r="A2755" s="26"/>
      <c r="B2755" s="86"/>
      <c r="D2755" s="26"/>
      <c r="F2755" s="87" t="str">
        <f t="shared" si="0"/>
        <v/>
      </c>
      <c r="H2755" s="26" t="str">
        <f t="shared" si="1"/>
        <v/>
      </c>
      <c r="I2755" s="26" t="str">
        <f t="shared" si="2"/>
        <v/>
      </c>
      <c r="J2755" s="86">
        <f t="shared" si="3"/>
        <v>0</v>
      </c>
      <c r="R2755" s="26"/>
    </row>
    <row r="2756" spans="1:18" ht="15.75" customHeight="1">
      <c r="A2756" s="26"/>
      <c r="B2756" s="86"/>
      <c r="D2756" s="26"/>
      <c r="F2756" s="87" t="str">
        <f t="shared" si="0"/>
        <v/>
      </c>
      <c r="H2756" s="26" t="str">
        <f t="shared" si="1"/>
        <v/>
      </c>
      <c r="I2756" s="26" t="str">
        <f t="shared" si="2"/>
        <v/>
      </c>
      <c r="J2756" s="86">
        <f t="shared" si="3"/>
        <v>0</v>
      </c>
      <c r="R2756" s="26"/>
    </row>
    <row r="2757" spans="1:18" ht="15.75" customHeight="1">
      <c r="A2757" s="26"/>
      <c r="B2757" s="86"/>
      <c r="D2757" s="26"/>
      <c r="F2757" s="87" t="str">
        <f t="shared" si="0"/>
        <v/>
      </c>
      <c r="H2757" s="26" t="str">
        <f t="shared" si="1"/>
        <v/>
      </c>
      <c r="I2757" s="26" t="str">
        <f t="shared" si="2"/>
        <v/>
      </c>
      <c r="J2757" s="86">
        <f t="shared" si="3"/>
        <v>0</v>
      </c>
      <c r="R2757" s="26"/>
    </row>
    <row r="2758" spans="1:18" ht="15.75" customHeight="1">
      <c r="A2758" s="26"/>
      <c r="B2758" s="86"/>
      <c r="D2758" s="26"/>
      <c r="F2758" s="87" t="str">
        <f t="shared" si="0"/>
        <v/>
      </c>
      <c r="H2758" s="26" t="str">
        <f t="shared" si="1"/>
        <v/>
      </c>
      <c r="I2758" s="26" t="str">
        <f t="shared" si="2"/>
        <v/>
      </c>
      <c r="J2758" s="86">
        <f t="shared" si="3"/>
        <v>0</v>
      </c>
      <c r="R2758" s="26"/>
    </row>
    <row r="2759" spans="1:18" ht="15.75" customHeight="1">
      <c r="A2759" s="26"/>
      <c r="B2759" s="86"/>
      <c r="D2759" s="26"/>
      <c r="F2759" s="87" t="str">
        <f t="shared" si="0"/>
        <v/>
      </c>
      <c r="H2759" s="26" t="str">
        <f t="shared" si="1"/>
        <v/>
      </c>
      <c r="I2759" s="26" t="str">
        <f t="shared" si="2"/>
        <v/>
      </c>
      <c r="J2759" s="86">
        <f t="shared" si="3"/>
        <v>0</v>
      </c>
      <c r="R2759" s="26"/>
    </row>
    <row r="2760" spans="1:18" ht="15.75" customHeight="1">
      <c r="A2760" s="26"/>
      <c r="B2760" s="86"/>
      <c r="D2760" s="26"/>
      <c r="F2760" s="87" t="str">
        <f t="shared" si="0"/>
        <v/>
      </c>
      <c r="H2760" s="26" t="str">
        <f t="shared" si="1"/>
        <v/>
      </c>
      <c r="I2760" s="26" t="str">
        <f t="shared" si="2"/>
        <v/>
      </c>
      <c r="J2760" s="86">
        <f t="shared" si="3"/>
        <v>0</v>
      </c>
      <c r="R2760" s="26"/>
    </row>
    <row r="2761" spans="1:18" ht="15.75" customHeight="1">
      <c r="A2761" s="26"/>
      <c r="B2761" s="86"/>
      <c r="D2761" s="26"/>
      <c r="F2761" s="87" t="str">
        <f t="shared" si="0"/>
        <v/>
      </c>
      <c r="H2761" s="26" t="str">
        <f t="shared" si="1"/>
        <v/>
      </c>
      <c r="I2761" s="26" t="str">
        <f t="shared" si="2"/>
        <v/>
      </c>
      <c r="J2761" s="86">
        <f t="shared" si="3"/>
        <v>0</v>
      </c>
      <c r="R2761" s="26"/>
    </row>
    <row r="2762" spans="1:18" ht="15.75" customHeight="1">
      <c r="A2762" s="26"/>
      <c r="B2762" s="86"/>
      <c r="D2762" s="26"/>
      <c r="F2762" s="87" t="str">
        <f t="shared" si="0"/>
        <v/>
      </c>
      <c r="H2762" s="26" t="str">
        <f t="shared" si="1"/>
        <v/>
      </c>
      <c r="I2762" s="26" t="str">
        <f t="shared" si="2"/>
        <v/>
      </c>
      <c r="J2762" s="86">
        <f t="shared" si="3"/>
        <v>0</v>
      </c>
      <c r="R2762" s="26"/>
    </row>
    <row r="2763" spans="1:18" ht="15.75" customHeight="1">
      <c r="A2763" s="26"/>
      <c r="B2763" s="86"/>
      <c r="D2763" s="26"/>
      <c r="F2763" s="87" t="str">
        <f t="shared" si="0"/>
        <v/>
      </c>
      <c r="H2763" s="26" t="str">
        <f t="shared" si="1"/>
        <v/>
      </c>
      <c r="I2763" s="26" t="str">
        <f t="shared" si="2"/>
        <v/>
      </c>
      <c r="J2763" s="86">
        <f t="shared" si="3"/>
        <v>0</v>
      </c>
      <c r="R2763" s="26"/>
    </row>
    <row r="2764" spans="1:18" ht="15.75" customHeight="1">
      <c r="A2764" s="26"/>
      <c r="B2764" s="86"/>
      <c r="D2764" s="26"/>
      <c r="F2764" s="87" t="str">
        <f t="shared" si="0"/>
        <v/>
      </c>
      <c r="H2764" s="26" t="str">
        <f t="shared" si="1"/>
        <v/>
      </c>
      <c r="I2764" s="26" t="str">
        <f t="shared" si="2"/>
        <v/>
      </c>
      <c r="J2764" s="86">
        <f t="shared" si="3"/>
        <v>0</v>
      </c>
      <c r="R2764" s="26"/>
    </row>
    <row r="2765" spans="1:18" ht="15.75" customHeight="1">
      <c r="A2765" s="26"/>
      <c r="B2765" s="86"/>
      <c r="D2765" s="26"/>
      <c r="F2765" s="87" t="str">
        <f t="shared" si="0"/>
        <v/>
      </c>
      <c r="H2765" s="26" t="str">
        <f t="shared" si="1"/>
        <v/>
      </c>
      <c r="I2765" s="26" t="str">
        <f t="shared" si="2"/>
        <v/>
      </c>
      <c r="J2765" s="86">
        <f t="shared" si="3"/>
        <v>0</v>
      </c>
      <c r="R2765" s="26"/>
    </row>
    <row r="2766" spans="1:18" ht="15.75" customHeight="1">
      <c r="A2766" s="26"/>
      <c r="B2766" s="86"/>
      <c r="D2766" s="26"/>
      <c r="F2766" s="87" t="str">
        <f t="shared" si="0"/>
        <v/>
      </c>
      <c r="H2766" s="26" t="str">
        <f t="shared" si="1"/>
        <v/>
      </c>
      <c r="I2766" s="26" t="str">
        <f t="shared" si="2"/>
        <v/>
      </c>
      <c r="J2766" s="86">
        <f t="shared" si="3"/>
        <v>0</v>
      </c>
      <c r="R2766" s="26"/>
    </row>
    <row r="2767" spans="1:18" ht="15.75" customHeight="1">
      <c r="A2767" s="26"/>
      <c r="B2767" s="86"/>
      <c r="D2767" s="26"/>
      <c r="F2767" s="87" t="str">
        <f t="shared" si="0"/>
        <v/>
      </c>
      <c r="H2767" s="26" t="str">
        <f t="shared" si="1"/>
        <v/>
      </c>
      <c r="I2767" s="26" t="str">
        <f t="shared" si="2"/>
        <v/>
      </c>
      <c r="J2767" s="86">
        <f t="shared" si="3"/>
        <v>0</v>
      </c>
      <c r="R2767" s="26"/>
    </row>
    <row r="2768" spans="1:18" ht="15.75" customHeight="1">
      <c r="A2768" s="26"/>
      <c r="B2768" s="86"/>
      <c r="D2768" s="26"/>
      <c r="F2768" s="87" t="str">
        <f t="shared" si="0"/>
        <v/>
      </c>
      <c r="H2768" s="26" t="str">
        <f t="shared" si="1"/>
        <v/>
      </c>
      <c r="I2768" s="26" t="str">
        <f t="shared" si="2"/>
        <v/>
      </c>
      <c r="J2768" s="86">
        <f t="shared" si="3"/>
        <v>0</v>
      </c>
      <c r="R2768" s="26"/>
    </row>
    <row r="2769" spans="1:18" ht="15.75" customHeight="1">
      <c r="A2769" s="26"/>
      <c r="B2769" s="86"/>
      <c r="D2769" s="26"/>
      <c r="F2769" s="87" t="str">
        <f t="shared" si="0"/>
        <v/>
      </c>
      <c r="H2769" s="26" t="str">
        <f t="shared" si="1"/>
        <v/>
      </c>
      <c r="I2769" s="26" t="str">
        <f t="shared" si="2"/>
        <v/>
      </c>
      <c r="J2769" s="86">
        <f t="shared" si="3"/>
        <v>0</v>
      </c>
      <c r="R2769" s="26"/>
    </row>
    <row r="2770" spans="1:18" ht="15.75" customHeight="1">
      <c r="A2770" s="26"/>
      <c r="B2770" s="86"/>
      <c r="D2770" s="26"/>
      <c r="F2770" s="87" t="str">
        <f t="shared" si="0"/>
        <v/>
      </c>
      <c r="H2770" s="26" t="str">
        <f t="shared" si="1"/>
        <v/>
      </c>
      <c r="I2770" s="26" t="str">
        <f t="shared" si="2"/>
        <v/>
      </c>
      <c r="J2770" s="86">
        <f t="shared" si="3"/>
        <v>0</v>
      </c>
      <c r="R2770" s="26"/>
    </row>
    <row r="2771" spans="1:18" ht="15.75" customHeight="1">
      <c r="A2771" s="26"/>
      <c r="B2771" s="86"/>
      <c r="D2771" s="26"/>
      <c r="F2771" s="87" t="str">
        <f t="shared" si="0"/>
        <v/>
      </c>
      <c r="H2771" s="26" t="str">
        <f t="shared" si="1"/>
        <v/>
      </c>
      <c r="I2771" s="26" t="str">
        <f t="shared" si="2"/>
        <v/>
      </c>
      <c r="J2771" s="86">
        <f t="shared" si="3"/>
        <v>0</v>
      </c>
      <c r="R2771" s="26"/>
    </row>
    <row r="2772" spans="1:18" ht="15.75" customHeight="1">
      <c r="A2772" s="26"/>
      <c r="B2772" s="86"/>
      <c r="D2772" s="26"/>
      <c r="F2772" s="87" t="str">
        <f t="shared" si="0"/>
        <v/>
      </c>
      <c r="H2772" s="26" t="str">
        <f t="shared" si="1"/>
        <v/>
      </c>
      <c r="I2772" s="26" t="str">
        <f t="shared" si="2"/>
        <v/>
      </c>
      <c r="J2772" s="86">
        <f t="shared" si="3"/>
        <v>0</v>
      </c>
      <c r="R2772" s="26"/>
    </row>
    <row r="2773" spans="1:18" ht="15.75" customHeight="1">
      <c r="A2773" s="26"/>
      <c r="B2773" s="86"/>
      <c r="D2773" s="26"/>
      <c r="F2773" s="87" t="str">
        <f t="shared" si="0"/>
        <v/>
      </c>
      <c r="H2773" s="26" t="str">
        <f t="shared" si="1"/>
        <v/>
      </c>
      <c r="I2773" s="26" t="str">
        <f t="shared" si="2"/>
        <v/>
      </c>
      <c r="J2773" s="86">
        <f t="shared" si="3"/>
        <v>0</v>
      </c>
      <c r="R2773" s="26"/>
    </row>
    <row r="2774" spans="1:18" ht="15.75" customHeight="1">
      <c r="A2774" s="26"/>
      <c r="B2774" s="86"/>
      <c r="D2774" s="26"/>
      <c r="F2774" s="87" t="str">
        <f t="shared" si="0"/>
        <v/>
      </c>
      <c r="H2774" s="26" t="str">
        <f t="shared" si="1"/>
        <v/>
      </c>
      <c r="I2774" s="26" t="str">
        <f t="shared" si="2"/>
        <v/>
      </c>
      <c r="J2774" s="86">
        <f t="shared" si="3"/>
        <v>0</v>
      </c>
      <c r="R2774" s="26"/>
    </row>
    <row r="2775" spans="1:18" ht="15.75" customHeight="1">
      <c r="A2775" s="26"/>
      <c r="B2775" s="86"/>
      <c r="D2775" s="26"/>
      <c r="F2775" s="87" t="str">
        <f t="shared" si="0"/>
        <v/>
      </c>
      <c r="H2775" s="26" t="str">
        <f t="shared" si="1"/>
        <v/>
      </c>
      <c r="I2775" s="26" t="str">
        <f t="shared" si="2"/>
        <v/>
      </c>
      <c r="J2775" s="86">
        <f t="shared" si="3"/>
        <v>0</v>
      </c>
      <c r="R2775" s="26"/>
    </row>
    <row r="2776" spans="1:18" ht="15.75" customHeight="1">
      <c r="A2776" s="26"/>
      <c r="B2776" s="86"/>
      <c r="D2776" s="26"/>
      <c r="F2776" s="87" t="str">
        <f t="shared" si="0"/>
        <v/>
      </c>
      <c r="H2776" s="26" t="str">
        <f t="shared" si="1"/>
        <v/>
      </c>
      <c r="I2776" s="26" t="str">
        <f t="shared" si="2"/>
        <v/>
      </c>
      <c r="J2776" s="86">
        <f t="shared" si="3"/>
        <v>0</v>
      </c>
      <c r="R2776" s="26"/>
    </row>
    <row r="2777" spans="1:18" ht="15.75" customHeight="1">
      <c r="A2777" s="26"/>
      <c r="B2777" s="86"/>
      <c r="D2777" s="26"/>
      <c r="F2777" s="87" t="str">
        <f t="shared" si="0"/>
        <v/>
      </c>
      <c r="H2777" s="26" t="str">
        <f t="shared" si="1"/>
        <v/>
      </c>
      <c r="I2777" s="26" t="str">
        <f t="shared" si="2"/>
        <v/>
      </c>
      <c r="J2777" s="86">
        <f t="shared" si="3"/>
        <v>0</v>
      </c>
      <c r="R2777" s="26"/>
    </row>
    <row r="2778" spans="1:18" ht="15.75" customHeight="1">
      <c r="A2778" s="26"/>
      <c r="B2778" s="86"/>
      <c r="D2778" s="26"/>
      <c r="F2778" s="87" t="str">
        <f t="shared" si="0"/>
        <v/>
      </c>
      <c r="H2778" s="26" t="str">
        <f t="shared" si="1"/>
        <v/>
      </c>
      <c r="I2778" s="26" t="str">
        <f t="shared" si="2"/>
        <v/>
      </c>
      <c r="J2778" s="86">
        <f t="shared" si="3"/>
        <v>0</v>
      </c>
      <c r="R2778" s="26"/>
    </row>
    <row r="2779" spans="1:18" ht="15.75" customHeight="1">
      <c r="A2779" s="26"/>
      <c r="B2779" s="86"/>
      <c r="D2779" s="26"/>
      <c r="F2779" s="87" t="str">
        <f t="shared" si="0"/>
        <v/>
      </c>
      <c r="H2779" s="26" t="str">
        <f t="shared" si="1"/>
        <v/>
      </c>
      <c r="I2779" s="26" t="str">
        <f t="shared" si="2"/>
        <v/>
      </c>
      <c r="J2779" s="86">
        <f t="shared" si="3"/>
        <v>0</v>
      </c>
      <c r="R2779" s="26"/>
    </row>
    <row r="2780" spans="1:18" ht="15.75" customHeight="1">
      <c r="A2780" s="26"/>
      <c r="B2780" s="86"/>
      <c r="D2780" s="26"/>
      <c r="F2780" s="87" t="str">
        <f t="shared" si="0"/>
        <v/>
      </c>
      <c r="H2780" s="26" t="str">
        <f t="shared" si="1"/>
        <v/>
      </c>
      <c r="I2780" s="26" t="str">
        <f t="shared" si="2"/>
        <v/>
      </c>
      <c r="J2780" s="86">
        <f t="shared" si="3"/>
        <v>0</v>
      </c>
      <c r="R2780" s="26"/>
    </row>
    <row r="2781" spans="1:18" ht="15.75" customHeight="1">
      <c r="A2781" s="26"/>
      <c r="B2781" s="86"/>
      <c r="D2781" s="26"/>
      <c r="F2781" s="87" t="str">
        <f t="shared" si="0"/>
        <v/>
      </c>
      <c r="H2781" s="26" t="str">
        <f t="shared" si="1"/>
        <v/>
      </c>
      <c r="I2781" s="26" t="str">
        <f t="shared" si="2"/>
        <v/>
      </c>
      <c r="J2781" s="86">
        <f t="shared" si="3"/>
        <v>0</v>
      </c>
      <c r="R2781" s="26"/>
    </row>
    <row r="2782" spans="1:18" ht="15.75" customHeight="1">
      <c r="A2782" s="26"/>
      <c r="B2782" s="86"/>
      <c r="D2782" s="26"/>
      <c r="F2782" s="87" t="str">
        <f t="shared" si="0"/>
        <v/>
      </c>
      <c r="H2782" s="26" t="str">
        <f t="shared" si="1"/>
        <v/>
      </c>
      <c r="I2782" s="26" t="str">
        <f t="shared" si="2"/>
        <v/>
      </c>
      <c r="J2782" s="86">
        <f t="shared" si="3"/>
        <v>0</v>
      </c>
      <c r="R2782" s="26"/>
    </row>
    <row r="2783" spans="1:18" ht="15.75" customHeight="1">
      <c r="A2783" s="26"/>
      <c r="B2783" s="86"/>
      <c r="D2783" s="26"/>
      <c r="F2783" s="87" t="str">
        <f t="shared" si="0"/>
        <v/>
      </c>
      <c r="H2783" s="26" t="str">
        <f t="shared" si="1"/>
        <v/>
      </c>
      <c r="I2783" s="26" t="str">
        <f t="shared" si="2"/>
        <v/>
      </c>
      <c r="J2783" s="86">
        <f t="shared" si="3"/>
        <v>0</v>
      </c>
      <c r="R2783" s="26"/>
    </row>
    <row r="2784" spans="1:18" ht="15.75" customHeight="1">
      <c r="A2784" s="26"/>
      <c r="B2784" s="86"/>
      <c r="D2784" s="26"/>
      <c r="F2784" s="87" t="str">
        <f t="shared" si="0"/>
        <v/>
      </c>
      <c r="H2784" s="26" t="str">
        <f t="shared" si="1"/>
        <v/>
      </c>
      <c r="I2784" s="26" t="str">
        <f t="shared" si="2"/>
        <v/>
      </c>
      <c r="J2784" s="86">
        <f t="shared" si="3"/>
        <v>0</v>
      </c>
      <c r="R2784" s="26"/>
    </row>
    <row r="2785" spans="1:18" ht="15.75" customHeight="1">
      <c r="A2785" s="26"/>
      <c r="B2785" s="86"/>
      <c r="D2785" s="26"/>
      <c r="F2785" s="87" t="str">
        <f t="shared" si="0"/>
        <v/>
      </c>
      <c r="H2785" s="26" t="str">
        <f t="shared" si="1"/>
        <v/>
      </c>
      <c r="I2785" s="26" t="str">
        <f t="shared" si="2"/>
        <v/>
      </c>
      <c r="J2785" s="86">
        <f t="shared" si="3"/>
        <v>0</v>
      </c>
      <c r="R2785" s="26"/>
    </row>
    <row r="2786" spans="1:18" ht="15.75" customHeight="1">
      <c r="A2786" s="26"/>
      <c r="B2786" s="86"/>
      <c r="D2786" s="26"/>
      <c r="F2786" s="87" t="str">
        <f t="shared" si="0"/>
        <v/>
      </c>
      <c r="H2786" s="26" t="str">
        <f t="shared" si="1"/>
        <v/>
      </c>
      <c r="I2786" s="26" t="str">
        <f t="shared" si="2"/>
        <v/>
      </c>
      <c r="J2786" s="86">
        <f t="shared" si="3"/>
        <v>0</v>
      </c>
      <c r="R2786" s="26"/>
    </row>
    <row r="2787" spans="1:18" ht="15.75" customHeight="1">
      <c r="A2787" s="26"/>
      <c r="B2787" s="86"/>
      <c r="D2787" s="26"/>
      <c r="F2787" s="87" t="str">
        <f t="shared" si="0"/>
        <v/>
      </c>
      <c r="H2787" s="26" t="str">
        <f t="shared" si="1"/>
        <v/>
      </c>
      <c r="I2787" s="26" t="str">
        <f t="shared" si="2"/>
        <v/>
      </c>
      <c r="J2787" s="86">
        <f t="shared" si="3"/>
        <v>0</v>
      </c>
      <c r="R2787" s="26"/>
    </row>
    <row r="2788" spans="1:18" ht="15.75" customHeight="1">
      <c r="A2788" s="26"/>
      <c r="B2788" s="86"/>
      <c r="D2788" s="26"/>
      <c r="F2788" s="87" t="str">
        <f t="shared" si="0"/>
        <v/>
      </c>
      <c r="H2788" s="26" t="str">
        <f t="shared" si="1"/>
        <v/>
      </c>
      <c r="I2788" s="26" t="str">
        <f t="shared" si="2"/>
        <v/>
      </c>
      <c r="J2788" s="86">
        <f t="shared" si="3"/>
        <v>0</v>
      </c>
      <c r="R2788" s="26"/>
    </row>
    <row r="2789" spans="1:18" ht="15.75" customHeight="1">
      <c r="A2789" s="26"/>
      <c r="B2789" s="86"/>
      <c r="D2789" s="26"/>
      <c r="F2789" s="87" t="str">
        <f t="shared" si="0"/>
        <v/>
      </c>
      <c r="H2789" s="26" t="str">
        <f t="shared" si="1"/>
        <v/>
      </c>
      <c r="I2789" s="26" t="str">
        <f t="shared" si="2"/>
        <v/>
      </c>
      <c r="J2789" s="86">
        <f t="shared" si="3"/>
        <v>0</v>
      </c>
      <c r="R2789" s="26"/>
    </row>
    <row r="2790" spans="1:18" ht="15.75" customHeight="1">
      <c r="A2790" s="26"/>
      <c r="B2790" s="86"/>
      <c r="D2790" s="26"/>
      <c r="F2790" s="87" t="str">
        <f t="shared" si="0"/>
        <v/>
      </c>
      <c r="H2790" s="26" t="str">
        <f t="shared" si="1"/>
        <v/>
      </c>
      <c r="I2790" s="26" t="str">
        <f t="shared" si="2"/>
        <v/>
      </c>
      <c r="J2790" s="86">
        <f t="shared" si="3"/>
        <v>0</v>
      </c>
      <c r="R2790" s="26"/>
    </row>
    <row r="2791" spans="1:18" ht="15.75" customHeight="1">
      <c r="A2791" s="26"/>
      <c r="B2791" s="86"/>
      <c r="D2791" s="26"/>
      <c r="F2791" s="87" t="str">
        <f t="shared" si="0"/>
        <v/>
      </c>
      <c r="H2791" s="26" t="str">
        <f t="shared" si="1"/>
        <v/>
      </c>
      <c r="I2791" s="26" t="str">
        <f t="shared" si="2"/>
        <v/>
      </c>
      <c r="J2791" s="86">
        <f t="shared" si="3"/>
        <v>0</v>
      </c>
      <c r="R2791" s="26"/>
    </row>
    <row r="2792" spans="1:18" ht="15.75" customHeight="1">
      <c r="A2792" s="26"/>
      <c r="B2792" s="86"/>
      <c r="D2792" s="26"/>
      <c r="F2792" s="87" t="str">
        <f t="shared" si="0"/>
        <v/>
      </c>
      <c r="H2792" s="26" t="str">
        <f t="shared" si="1"/>
        <v/>
      </c>
      <c r="I2792" s="26" t="str">
        <f t="shared" si="2"/>
        <v/>
      </c>
      <c r="J2792" s="86">
        <f t="shared" si="3"/>
        <v>0</v>
      </c>
      <c r="R2792" s="26"/>
    </row>
    <row r="2793" spans="1:18" ht="15.75" customHeight="1">
      <c r="A2793" s="26"/>
      <c r="B2793" s="86"/>
      <c r="D2793" s="26"/>
      <c r="F2793" s="87" t="str">
        <f t="shared" si="0"/>
        <v/>
      </c>
      <c r="H2793" s="26" t="str">
        <f t="shared" si="1"/>
        <v/>
      </c>
      <c r="I2793" s="26" t="str">
        <f t="shared" si="2"/>
        <v/>
      </c>
      <c r="J2793" s="86">
        <f t="shared" si="3"/>
        <v>0</v>
      </c>
      <c r="R2793" s="26"/>
    </row>
    <row r="2794" spans="1:18" ht="15.75" customHeight="1">
      <c r="A2794" s="26"/>
      <c r="B2794" s="86"/>
      <c r="D2794" s="26"/>
      <c r="F2794" s="87" t="str">
        <f t="shared" si="0"/>
        <v/>
      </c>
      <c r="H2794" s="26" t="str">
        <f t="shared" si="1"/>
        <v/>
      </c>
      <c r="I2794" s="26" t="str">
        <f t="shared" si="2"/>
        <v/>
      </c>
      <c r="J2794" s="86">
        <f t="shared" si="3"/>
        <v>0</v>
      </c>
      <c r="R2794" s="26"/>
    </row>
    <row r="2795" spans="1:18" ht="15.75" customHeight="1">
      <c r="A2795" s="26"/>
      <c r="B2795" s="86"/>
      <c r="D2795" s="26"/>
      <c r="F2795" s="87" t="str">
        <f t="shared" si="0"/>
        <v/>
      </c>
      <c r="H2795" s="26" t="str">
        <f t="shared" si="1"/>
        <v/>
      </c>
      <c r="I2795" s="26" t="str">
        <f t="shared" si="2"/>
        <v/>
      </c>
      <c r="J2795" s="86">
        <f t="shared" si="3"/>
        <v>0</v>
      </c>
      <c r="R2795" s="26"/>
    </row>
    <row r="2796" spans="1:18" ht="15.75" customHeight="1">
      <c r="A2796" s="26"/>
      <c r="B2796" s="86"/>
      <c r="D2796" s="26"/>
      <c r="F2796" s="87" t="str">
        <f t="shared" si="0"/>
        <v/>
      </c>
      <c r="H2796" s="26" t="str">
        <f t="shared" si="1"/>
        <v/>
      </c>
      <c r="I2796" s="26" t="str">
        <f t="shared" si="2"/>
        <v/>
      </c>
      <c r="J2796" s="86">
        <f t="shared" si="3"/>
        <v>0</v>
      </c>
      <c r="R2796" s="26"/>
    </row>
    <row r="2797" spans="1:18" ht="15.75" customHeight="1">
      <c r="A2797" s="26"/>
      <c r="B2797" s="86"/>
      <c r="D2797" s="26"/>
      <c r="F2797" s="87" t="str">
        <f t="shared" si="0"/>
        <v/>
      </c>
      <c r="H2797" s="26" t="str">
        <f t="shared" si="1"/>
        <v/>
      </c>
      <c r="I2797" s="26" t="str">
        <f t="shared" si="2"/>
        <v/>
      </c>
      <c r="J2797" s="86">
        <f t="shared" si="3"/>
        <v>0</v>
      </c>
      <c r="R2797" s="26"/>
    </row>
    <row r="2798" spans="1:18" ht="15.75" customHeight="1">
      <c r="A2798" s="26"/>
      <c r="B2798" s="86"/>
      <c r="D2798" s="26"/>
      <c r="F2798" s="87" t="str">
        <f t="shared" si="0"/>
        <v/>
      </c>
      <c r="H2798" s="26" t="str">
        <f t="shared" si="1"/>
        <v/>
      </c>
      <c r="I2798" s="26" t="str">
        <f t="shared" si="2"/>
        <v/>
      </c>
      <c r="J2798" s="86">
        <f t="shared" si="3"/>
        <v>0</v>
      </c>
      <c r="R2798" s="26"/>
    </row>
    <row r="2799" spans="1:18" ht="15.75" customHeight="1">
      <c r="A2799" s="26"/>
      <c r="B2799" s="86"/>
      <c r="D2799" s="26"/>
      <c r="F2799" s="87" t="str">
        <f t="shared" si="0"/>
        <v/>
      </c>
      <c r="H2799" s="26" t="str">
        <f t="shared" si="1"/>
        <v/>
      </c>
      <c r="I2799" s="26" t="str">
        <f t="shared" si="2"/>
        <v/>
      </c>
      <c r="J2799" s="86">
        <f t="shared" si="3"/>
        <v>0</v>
      </c>
      <c r="R2799" s="26"/>
    </row>
    <row r="2800" spans="1:18" ht="15.75" customHeight="1">
      <c r="A2800" s="26"/>
      <c r="B2800" s="86"/>
      <c r="D2800" s="26"/>
      <c r="F2800" s="87" t="str">
        <f t="shared" si="0"/>
        <v/>
      </c>
      <c r="H2800" s="26" t="str">
        <f t="shared" si="1"/>
        <v/>
      </c>
      <c r="I2800" s="26" t="str">
        <f t="shared" si="2"/>
        <v/>
      </c>
      <c r="J2800" s="86">
        <f t="shared" si="3"/>
        <v>0</v>
      </c>
      <c r="R2800" s="26"/>
    </row>
    <row r="2801" spans="1:18" ht="15.75" customHeight="1">
      <c r="A2801" s="26"/>
      <c r="B2801" s="86"/>
      <c r="D2801" s="26"/>
      <c r="F2801" s="87" t="str">
        <f t="shared" si="0"/>
        <v/>
      </c>
      <c r="H2801" s="26" t="str">
        <f t="shared" si="1"/>
        <v/>
      </c>
      <c r="I2801" s="26" t="str">
        <f t="shared" si="2"/>
        <v/>
      </c>
      <c r="J2801" s="86">
        <f t="shared" si="3"/>
        <v>0</v>
      </c>
      <c r="R2801" s="26"/>
    </row>
    <row r="2802" spans="1:18" ht="15.75" customHeight="1">
      <c r="A2802" s="26"/>
      <c r="B2802" s="86"/>
      <c r="D2802" s="26"/>
      <c r="F2802" s="87" t="str">
        <f t="shared" si="0"/>
        <v/>
      </c>
      <c r="H2802" s="26" t="str">
        <f t="shared" si="1"/>
        <v/>
      </c>
      <c r="I2802" s="26" t="str">
        <f t="shared" si="2"/>
        <v/>
      </c>
      <c r="J2802" s="86">
        <f t="shared" si="3"/>
        <v>0</v>
      </c>
      <c r="R2802" s="26"/>
    </row>
    <row r="2803" spans="1:18" ht="15.75" customHeight="1">
      <c r="A2803" s="26"/>
      <c r="B2803" s="86"/>
      <c r="D2803" s="26"/>
      <c r="F2803" s="87" t="str">
        <f t="shared" si="0"/>
        <v/>
      </c>
      <c r="H2803" s="26" t="str">
        <f t="shared" si="1"/>
        <v/>
      </c>
      <c r="I2803" s="26" t="str">
        <f t="shared" si="2"/>
        <v/>
      </c>
      <c r="J2803" s="86">
        <f t="shared" si="3"/>
        <v>0</v>
      </c>
      <c r="R2803" s="26"/>
    </row>
    <row r="2804" spans="1:18" ht="15.75" customHeight="1">
      <c r="A2804" s="26"/>
      <c r="B2804" s="86"/>
      <c r="D2804" s="26"/>
      <c r="F2804" s="87" t="str">
        <f t="shared" si="0"/>
        <v/>
      </c>
      <c r="H2804" s="26" t="str">
        <f t="shared" si="1"/>
        <v/>
      </c>
      <c r="I2804" s="26" t="str">
        <f t="shared" si="2"/>
        <v/>
      </c>
      <c r="J2804" s="86">
        <f t="shared" si="3"/>
        <v>0</v>
      </c>
      <c r="R2804" s="26"/>
    </row>
    <row r="2805" spans="1:18" ht="15.75" customHeight="1">
      <c r="A2805" s="26"/>
      <c r="B2805" s="86"/>
      <c r="D2805" s="26"/>
      <c r="F2805" s="87" t="str">
        <f t="shared" si="0"/>
        <v/>
      </c>
      <c r="H2805" s="26" t="str">
        <f t="shared" si="1"/>
        <v/>
      </c>
      <c r="I2805" s="26" t="str">
        <f t="shared" si="2"/>
        <v/>
      </c>
      <c r="J2805" s="86">
        <f t="shared" si="3"/>
        <v>0</v>
      </c>
      <c r="R2805" s="26"/>
    </row>
    <row r="2806" spans="1:18" ht="15.75" customHeight="1">
      <c r="A2806" s="26"/>
      <c r="B2806" s="86"/>
      <c r="D2806" s="26"/>
      <c r="F2806" s="87" t="str">
        <f t="shared" si="0"/>
        <v/>
      </c>
      <c r="H2806" s="26" t="str">
        <f t="shared" si="1"/>
        <v/>
      </c>
      <c r="I2806" s="26" t="str">
        <f t="shared" si="2"/>
        <v/>
      </c>
      <c r="J2806" s="86">
        <f t="shared" si="3"/>
        <v>0</v>
      </c>
      <c r="R2806" s="26"/>
    </row>
    <row r="2807" spans="1:18" ht="15.75" customHeight="1">
      <c r="A2807" s="26"/>
      <c r="B2807" s="86"/>
      <c r="D2807" s="26"/>
      <c r="F2807" s="87" t="str">
        <f t="shared" si="0"/>
        <v/>
      </c>
      <c r="H2807" s="26" t="str">
        <f t="shared" si="1"/>
        <v/>
      </c>
      <c r="I2807" s="26" t="str">
        <f t="shared" si="2"/>
        <v/>
      </c>
      <c r="J2807" s="86">
        <f t="shared" si="3"/>
        <v>0</v>
      </c>
      <c r="R2807" s="26"/>
    </row>
    <row r="2808" spans="1:18" ht="15.75" customHeight="1">
      <c r="A2808" s="26"/>
      <c r="B2808" s="86"/>
      <c r="D2808" s="26"/>
      <c r="F2808" s="87" t="str">
        <f t="shared" si="0"/>
        <v/>
      </c>
      <c r="H2808" s="26" t="str">
        <f t="shared" si="1"/>
        <v/>
      </c>
      <c r="I2808" s="26" t="str">
        <f t="shared" si="2"/>
        <v/>
      </c>
      <c r="J2808" s="86">
        <f t="shared" si="3"/>
        <v>0</v>
      </c>
      <c r="R2808" s="26"/>
    </row>
    <row r="2809" spans="1:18" ht="15.75" customHeight="1">
      <c r="A2809" s="26"/>
      <c r="B2809" s="86"/>
      <c r="D2809" s="26"/>
      <c r="F2809" s="87" t="str">
        <f t="shared" si="0"/>
        <v/>
      </c>
      <c r="H2809" s="26" t="str">
        <f t="shared" si="1"/>
        <v/>
      </c>
      <c r="I2809" s="26" t="str">
        <f t="shared" si="2"/>
        <v/>
      </c>
      <c r="J2809" s="86">
        <f t="shared" si="3"/>
        <v>0</v>
      </c>
      <c r="R2809" s="26"/>
    </row>
    <row r="2810" spans="1:18" ht="15.75" customHeight="1">
      <c r="A2810" s="26"/>
      <c r="B2810" s="86"/>
      <c r="D2810" s="26"/>
      <c r="F2810" s="87" t="str">
        <f t="shared" si="0"/>
        <v/>
      </c>
      <c r="H2810" s="26" t="str">
        <f t="shared" si="1"/>
        <v/>
      </c>
      <c r="I2810" s="26" t="str">
        <f t="shared" si="2"/>
        <v/>
      </c>
      <c r="J2810" s="86">
        <f t="shared" si="3"/>
        <v>0</v>
      </c>
      <c r="R2810" s="26"/>
    </row>
    <row r="2811" spans="1:18" ht="15.75" customHeight="1">
      <c r="A2811" s="26"/>
      <c r="B2811" s="86"/>
      <c r="D2811" s="26"/>
      <c r="F2811" s="87" t="str">
        <f t="shared" si="0"/>
        <v/>
      </c>
      <c r="H2811" s="26" t="str">
        <f t="shared" si="1"/>
        <v/>
      </c>
      <c r="I2811" s="26" t="str">
        <f t="shared" si="2"/>
        <v/>
      </c>
      <c r="J2811" s="86">
        <f t="shared" si="3"/>
        <v>0</v>
      </c>
      <c r="R2811" s="26"/>
    </row>
    <row r="2812" spans="1:18" ht="15.75" customHeight="1">
      <c r="A2812" s="26"/>
      <c r="B2812" s="86"/>
      <c r="D2812" s="26"/>
      <c r="F2812" s="87" t="str">
        <f t="shared" si="0"/>
        <v/>
      </c>
      <c r="H2812" s="26" t="str">
        <f t="shared" si="1"/>
        <v/>
      </c>
      <c r="I2812" s="26" t="str">
        <f t="shared" si="2"/>
        <v/>
      </c>
      <c r="J2812" s="86">
        <f t="shared" si="3"/>
        <v>0</v>
      </c>
      <c r="R2812" s="26"/>
    </row>
    <row r="2813" spans="1:18" ht="15.75" customHeight="1">
      <c r="A2813" s="26"/>
      <c r="B2813" s="86"/>
      <c r="D2813" s="26"/>
      <c r="F2813" s="87" t="str">
        <f t="shared" si="0"/>
        <v/>
      </c>
      <c r="H2813" s="26" t="str">
        <f t="shared" si="1"/>
        <v/>
      </c>
      <c r="I2813" s="26" t="str">
        <f t="shared" si="2"/>
        <v/>
      </c>
      <c r="J2813" s="86">
        <f t="shared" si="3"/>
        <v>0</v>
      </c>
      <c r="R2813" s="26"/>
    </row>
    <row r="2814" spans="1:18" ht="15.75" customHeight="1">
      <c r="A2814" s="26"/>
      <c r="B2814" s="86"/>
      <c r="D2814" s="26"/>
      <c r="F2814" s="87" t="str">
        <f t="shared" si="0"/>
        <v/>
      </c>
      <c r="H2814" s="26" t="str">
        <f t="shared" si="1"/>
        <v/>
      </c>
      <c r="I2814" s="26" t="str">
        <f t="shared" si="2"/>
        <v/>
      </c>
      <c r="J2814" s="86">
        <f t="shared" si="3"/>
        <v>0</v>
      </c>
      <c r="R2814" s="26"/>
    </row>
    <row r="2815" spans="1:18" ht="15.75" customHeight="1">
      <c r="A2815" s="26"/>
      <c r="B2815" s="86"/>
      <c r="D2815" s="26"/>
      <c r="F2815" s="87" t="str">
        <f t="shared" si="0"/>
        <v/>
      </c>
      <c r="H2815" s="26" t="str">
        <f t="shared" si="1"/>
        <v/>
      </c>
      <c r="I2815" s="26" t="str">
        <f t="shared" si="2"/>
        <v/>
      </c>
      <c r="J2815" s="86">
        <f t="shared" si="3"/>
        <v>0</v>
      </c>
      <c r="R2815" s="26"/>
    </row>
    <row r="2816" spans="1:18" ht="15.75" customHeight="1">
      <c r="A2816" s="26"/>
      <c r="B2816" s="86"/>
      <c r="D2816" s="26"/>
      <c r="F2816" s="87" t="str">
        <f t="shared" si="0"/>
        <v/>
      </c>
      <c r="H2816" s="26" t="str">
        <f t="shared" si="1"/>
        <v/>
      </c>
      <c r="I2816" s="26" t="str">
        <f t="shared" si="2"/>
        <v/>
      </c>
      <c r="J2816" s="86">
        <f t="shared" si="3"/>
        <v>0</v>
      </c>
      <c r="R2816" s="26"/>
    </row>
    <row r="2817" spans="1:18" ht="15.75" customHeight="1">
      <c r="A2817" s="26"/>
      <c r="B2817" s="86"/>
      <c r="D2817" s="26"/>
      <c r="F2817" s="87" t="str">
        <f t="shared" si="0"/>
        <v/>
      </c>
      <c r="H2817" s="26" t="str">
        <f t="shared" si="1"/>
        <v/>
      </c>
      <c r="I2817" s="26" t="str">
        <f t="shared" si="2"/>
        <v/>
      </c>
      <c r="J2817" s="86">
        <f t="shared" si="3"/>
        <v>0</v>
      </c>
      <c r="R2817" s="26"/>
    </row>
    <row r="2818" spans="1:18" ht="15.75" customHeight="1">
      <c r="A2818" s="26"/>
      <c r="B2818" s="86"/>
      <c r="D2818" s="26"/>
      <c r="F2818" s="87" t="str">
        <f t="shared" si="0"/>
        <v/>
      </c>
      <c r="H2818" s="26" t="str">
        <f t="shared" si="1"/>
        <v/>
      </c>
      <c r="I2818" s="26" t="str">
        <f t="shared" si="2"/>
        <v/>
      </c>
      <c r="J2818" s="86">
        <f t="shared" si="3"/>
        <v>0</v>
      </c>
      <c r="R2818" s="26"/>
    </row>
    <row r="2819" spans="1:18" ht="15.75" customHeight="1">
      <c r="A2819" s="26"/>
      <c r="B2819" s="86"/>
      <c r="D2819" s="26"/>
      <c r="F2819" s="87" t="str">
        <f t="shared" si="0"/>
        <v/>
      </c>
      <c r="H2819" s="26" t="str">
        <f t="shared" si="1"/>
        <v/>
      </c>
      <c r="I2819" s="26" t="str">
        <f t="shared" si="2"/>
        <v/>
      </c>
      <c r="J2819" s="86">
        <f t="shared" si="3"/>
        <v>0</v>
      </c>
      <c r="R2819" s="26"/>
    </row>
    <row r="2820" spans="1:18" ht="15.75" customHeight="1">
      <c r="A2820" s="26"/>
      <c r="B2820" s="86"/>
      <c r="D2820" s="26"/>
      <c r="F2820" s="87" t="str">
        <f t="shared" si="0"/>
        <v/>
      </c>
      <c r="H2820" s="26" t="str">
        <f t="shared" si="1"/>
        <v/>
      </c>
      <c r="I2820" s="26" t="str">
        <f t="shared" si="2"/>
        <v/>
      </c>
      <c r="J2820" s="86">
        <f t="shared" si="3"/>
        <v>0</v>
      </c>
      <c r="R2820" s="26"/>
    </row>
    <row r="2821" spans="1:18" ht="15.75" customHeight="1">
      <c r="A2821" s="26"/>
      <c r="B2821" s="86"/>
      <c r="D2821" s="26"/>
      <c r="F2821" s="87" t="str">
        <f t="shared" si="0"/>
        <v/>
      </c>
      <c r="H2821" s="26" t="str">
        <f t="shared" si="1"/>
        <v/>
      </c>
      <c r="I2821" s="26" t="str">
        <f t="shared" si="2"/>
        <v/>
      </c>
      <c r="J2821" s="86">
        <f t="shared" si="3"/>
        <v>0</v>
      </c>
      <c r="R2821" s="26"/>
    </row>
    <row r="2822" spans="1:18" ht="15.75" customHeight="1">
      <c r="A2822" s="26"/>
      <c r="B2822" s="86"/>
      <c r="D2822" s="26"/>
      <c r="F2822" s="87" t="str">
        <f t="shared" si="0"/>
        <v/>
      </c>
      <c r="H2822" s="26" t="str">
        <f t="shared" si="1"/>
        <v/>
      </c>
      <c r="I2822" s="26" t="str">
        <f t="shared" si="2"/>
        <v/>
      </c>
      <c r="J2822" s="86">
        <f t="shared" si="3"/>
        <v>0</v>
      </c>
      <c r="R2822" s="26"/>
    </row>
    <row r="2823" spans="1:18" ht="15.75" customHeight="1">
      <c r="A2823" s="26"/>
      <c r="B2823" s="86"/>
      <c r="D2823" s="26"/>
      <c r="F2823" s="87" t="str">
        <f t="shared" si="0"/>
        <v/>
      </c>
      <c r="H2823" s="26" t="str">
        <f t="shared" si="1"/>
        <v/>
      </c>
      <c r="I2823" s="26" t="str">
        <f t="shared" si="2"/>
        <v/>
      </c>
      <c r="J2823" s="86">
        <f t="shared" si="3"/>
        <v>0</v>
      </c>
      <c r="R2823" s="26"/>
    </row>
    <row r="2824" spans="1:18" ht="15.75" customHeight="1">
      <c r="A2824" s="26"/>
      <c r="B2824" s="86"/>
      <c r="D2824" s="26"/>
      <c r="F2824" s="87" t="str">
        <f t="shared" si="0"/>
        <v/>
      </c>
      <c r="H2824" s="26" t="str">
        <f t="shared" si="1"/>
        <v/>
      </c>
      <c r="I2824" s="26" t="str">
        <f t="shared" si="2"/>
        <v/>
      </c>
      <c r="J2824" s="86">
        <f t="shared" si="3"/>
        <v>0</v>
      </c>
      <c r="R2824" s="26"/>
    </row>
    <row r="2825" spans="1:18" ht="15.75" customHeight="1">
      <c r="A2825" s="26"/>
      <c r="B2825" s="86"/>
      <c r="D2825" s="26"/>
      <c r="F2825" s="87" t="str">
        <f t="shared" si="0"/>
        <v/>
      </c>
      <c r="H2825" s="26" t="str">
        <f t="shared" si="1"/>
        <v/>
      </c>
      <c r="I2825" s="26" t="str">
        <f t="shared" si="2"/>
        <v/>
      </c>
      <c r="J2825" s="86">
        <f t="shared" si="3"/>
        <v>0</v>
      </c>
      <c r="R2825" s="26"/>
    </row>
    <row r="2826" spans="1:18" ht="15.75" customHeight="1">
      <c r="A2826" s="26"/>
      <c r="B2826" s="86"/>
      <c r="D2826" s="26"/>
      <c r="F2826" s="87" t="str">
        <f t="shared" si="0"/>
        <v/>
      </c>
      <c r="H2826" s="26" t="str">
        <f t="shared" si="1"/>
        <v/>
      </c>
      <c r="I2826" s="26" t="str">
        <f t="shared" si="2"/>
        <v/>
      </c>
      <c r="J2826" s="86">
        <f t="shared" si="3"/>
        <v>0</v>
      </c>
      <c r="R2826" s="26"/>
    </row>
    <row r="2827" spans="1:18" ht="15.75" customHeight="1">
      <c r="A2827" s="26"/>
      <c r="B2827" s="86"/>
      <c r="D2827" s="26"/>
      <c r="F2827" s="87" t="str">
        <f t="shared" si="0"/>
        <v/>
      </c>
      <c r="H2827" s="26" t="str">
        <f t="shared" si="1"/>
        <v/>
      </c>
      <c r="I2827" s="26" t="str">
        <f t="shared" si="2"/>
        <v/>
      </c>
      <c r="J2827" s="86">
        <f t="shared" si="3"/>
        <v>0</v>
      </c>
      <c r="R2827" s="26"/>
    </row>
    <row r="2828" spans="1:18" ht="15.75" customHeight="1">
      <c r="A2828" s="26"/>
      <c r="B2828" s="86"/>
      <c r="D2828" s="26"/>
      <c r="F2828" s="87" t="str">
        <f t="shared" si="0"/>
        <v/>
      </c>
      <c r="H2828" s="26" t="str">
        <f t="shared" si="1"/>
        <v/>
      </c>
      <c r="I2828" s="26" t="str">
        <f t="shared" si="2"/>
        <v/>
      </c>
      <c r="J2828" s="86">
        <f t="shared" si="3"/>
        <v>0</v>
      </c>
      <c r="R2828" s="26"/>
    </row>
    <row r="2829" spans="1:18" ht="15.75" customHeight="1">
      <c r="A2829" s="26"/>
      <c r="B2829" s="86"/>
      <c r="D2829" s="26"/>
      <c r="F2829" s="87" t="str">
        <f t="shared" si="0"/>
        <v/>
      </c>
      <c r="H2829" s="26" t="str">
        <f t="shared" si="1"/>
        <v/>
      </c>
      <c r="I2829" s="26" t="str">
        <f t="shared" si="2"/>
        <v/>
      </c>
      <c r="J2829" s="86">
        <f t="shared" si="3"/>
        <v>0</v>
      </c>
      <c r="R2829" s="26"/>
    </row>
    <row r="2830" spans="1:18" ht="15.75" customHeight="1">
      <c r="A2830" s="26"/>
      <c r="B2830" s="86"/>
      <c r="D2830" s="26"/>
      <c r="F2830" s="87" t="str">
        <f t="shared" si="0"/>
        <v/>
      </c>
      <c r="H2830" s="26" t="str">
        <f t="shared" si="1"/>
        <v/>
      </c>
      <c r="I2830" s="26" t="str">
        <f t="shared" si="2"/>
        <v/>
      </c>
      <c r="J2830" s="86">
        <f t="shared" si="3"/>
        <v>0</v>
      </c>
      <c r="R2830" s="26"/>
    </row>
    <row r="2831" spans="1:18" ht="15.75" customHeight="1">
      <c r="A2831" s="26"/>
      <c r="B2831" s="86"/>
      <c r="D2831" s="26"/>
      <c r="F2831" s="87" t="str">
        <f t="shared" si="0"/>
        <v/>
      </c>
      <c r="H2831" s="26" t="str">
        <f t="shared" si="1"/>
        <v/>
      </c>
      <c r="I2831" s="26" t="str">
        <f t="shared" si="2"/>
        <v/>
      </c>
      <c r="J2831" s="86">
        <f t="shared" si="3"/>
        <v>0</v>
      </c>
      <c r="R2831" s="26"/>
    </row>
    <row r="2832" spans="1:18" ht="15.75" customHeight="1">
      <c r="A2832" s="26"/>
      <c r="B2832" s="86"/>
      <c r="D2832" s="26"/>
      <c r="F2832" s="87" t="str">
        <f t="shared" si="0"/>
        <v/>
      </c>
      <c r="H2832" s="26" t="str">
        <f t="shared" si="1"/>
        <v/>
      </c>
      <c r="I2832" s="26" t="str">
        <f t="shared" si="2"/>
        <v/>
      </c>
      <c r="J2832" s="86">
        <f t="shared" si="3"/>
        <v>0</v>
      </c>
      <c r="R2832" s="26"/>
    </row>
    <row r="2833" spans="1:18" ht="15.75" customHeight="1">
      <c r="A2833" s="26"/>
      <c r="B2833" s="86"/>
      <c r="D2833" s="26"/>
      <c r="F2833" s="87" t="str">
        <f t="shared" si="0"/>
        <v/>
      </c>
      <c r="H2833" s="26" t="str">
        <f t="shared" si="1"/>
        <v/>
      </c>
      <c r="I2833" s="26" t="str">
        <f t="shared" si="2"/>
        <v/>
      </c>
      <c r="J2833" s="86">
        <f t="shared" si="3"/>
        <v>0</v>
      </c>
      <c r="R2833" s="26"/>
    </row>
    <row r="2834" spans="1:18" ht="15.75" customHeight="1">
      <c r="A2834" s="26"/>
      <c r="B2834" s="86"/>
      <c r="D2834" s="26"/>
      <c r="F2834" s="87" t="str">
        <f t="shared" si="0"/>
        <v/>
      </c>
      <c r="H2834" s="26" t="str">
        <f t="shared" si="1"/>
        <v/>
      </c>
      <c r="I2834" s="26" t="str">
        <f t="shared" si="2"/>
        <v/>
      </c>
      <c r="J2834" s="86">
        <f t="shared" si="3"/>
        <v>0</v>
      </c>
      <c r="R2834" s="26"/>
    </row>
    <row r="2835" spans="1:18" ht="15.75" customHeight="1">
      <c r="A2835" s="26"/>
      <c r="B2835" s="86"/>
      <c r="D2835" s="26"/>
      <c r="F2835" s="87" t="str">
        <f t="shared" si="0"/>
        <v/>
      </c>
      <c r="H2835" s="26" t="str">
        <f t="shared" si="1"/>
        <v/>
      </c>
      <c r="I2835" s="26" t="str">
        <f t="shared" si="2"/>
        <v/>
      </c>
      <c r="J2835" s="86">
        <f t="shared" si="3"/>
        <v>0</v>
      </c>
      <c r="R2835" s="26"/>
    </row>
    <row r="2836" spans="1:18" ht="15.75" customHeight="1">
      <c r="A2836" s="26"/>
      <c r="B2836" s="86"/>
      <c r="D2836" s="26"/>
      <c r="F2836" s="87" t="str">
        <f t="shared" si="0"/>
        <v/>
      </c>
      <c r="H2836" s="26" t="str">
        <f t="shared" si="1"/>
        <v/>
      </c>
      <c r="I2836" s="26" t="str">
        <f t="shared" si="2"/>
        <v/>
      </c>
      <c r="J2836" s="86">
        <f t="shared" si="3"/>
        <v>0</v>
      </c>
      <c r="R2836" s="26"/>
    </row>
    <row r="2837" spans="1:18" ht="15.75" customHeight="1">
      <c r="A2837" s="26"/>
      <c r="B2837" s="86"/>
      <c r="D2837" s="26"/>
      <c r="F2837" s="87" t="str">
        <f t="shared" si="0"/>
        <v/>
      </c>
      <c r="H2837" s="26" t="str">
        <f t="shared" si="1"/>
        <v/>
      </c>
      <c r="I2837" s="26" t="str">
        <f t="shared" si="2"/>
        <v/>
      </c>
      <c r="J2837" s="86">
        <f t="shared" si="3"/>
        <v>0</v>
      </c>
      <c r="R2837" s="26"/>
    </row>
    <row r="2838" spans="1:18" ht="15.75" customHeight="1">
      <c r="A2838" s="26"/>
      <c r="B2838" s="86"/>
      <c r="D2838" s="26"/>
      <c r="F2838" s="87" t="str">
        <f t="shared" si="0"/>
        <v/>
      </c>
      <c r="H2838" s="26" t="str">
        <f t="shared" si="1"/>
        <v/>
      </c>
      <c r="I2838" s="26" t="str">
        <f t="shared" si="2"/>
        <v/>
      </c>
      <c r="J2838" s="86">
        <f t="shared" si="3"/>
        <v>0</v>
      </c>
      <c r="R2838" s="26"/>
    </row>
    <row r="2839" spans="1:18" ht="15.75" customHeight="1">
      <c r="A2839" s="26"/>
      <c r="B2839" s="86"/>
      <c r="D2839" s="26"/>
      <c r="F2839" s="87" t="str">
        <f t="shared" si="0"/>
        <v/>
      </c>
      <c r="H2839" s="26" t="str">
        <f t="shared" si="1"/>
        <v/>
      </c>
      <c r="I2839" s="26" t="str">
        <f t="shared" si="2"/>
        <v/>
      </c>
      <c r="J2839" s="86">
        <f t="shared" si="3"/>
        <v>0</v>
      </c>
      <c r="R2839" s="26"/>
    </row>
    <row r="2840" spans="1:18" ht="15.75" customHeight="1">
      <c r="A2840" s="26"/>
      <c r="B2840" s="86"/>
      <c r="D2840" s="26"/>
      <c r="F2840" s="87" t="str">
        <f t="shared" si="0"/>
        <v/>
      </c>
      <c r="H2840" s="26" t="str">
        <f t="shared" si="1"/>
        <v/>
      </c>
      <c r="I2840" s="26" t="str">
        <f t="shared" si="2"/>
        <v/>
      </c>
      <c r="J2840" s="86">
        <f t="shared" si="3"/>
        <v>0</v>
      </c>
      <c r="R2840" s="26"/>
    </row>
    <row r="2841" spans="1:18" ht="15.75" customHeight="1">
      <c r="A2841" s="26"/>
      <c r="B2841" s="86"/>
      <c r="D2841" s="26"/>
      <c r="F2841" s="87" t="str">
        <f t="shared" si="0"/>
        <v/>
      </c>
      <c r="H2841" s="26" t="str">
        <f t="shared" si="1"/>
        <v/>
      </c>
      <c r="I2841" s="26" t="str">
        <f t="shared" si="2"/>
        <v/>
      </c>
      <c r="J2841" s="86">
        <f t="shared" si="3"/>
        <v>0</v>
      </c>
      <c r="R2841" s="26"/>
    </row>
    <row r="2842" spans="1:18" ht="15.75" customHeight="1">
      <c r="A2842" s="26"/>
      <c r="B2842" s="86"/>
      <c r="D2842" s="26"/>
      <c r="F2842" s="87" t="str">
        <f t="shared" si="0"/>
        <v/>
      </c>
      <c r="H2842" s="26" t="str">
        <f t="shared" si="1"/>
        <v/>
      </c>
      <c r="I2842" s="26" t="str">
        <f t="shared" si="2"/>
        <v/>
      </c>
      <c r="J2842" s="86">
        <f t="shared" si="3"/>
        <v>0</v>
      </c>
      <c r="R2842" s="26"/>
    </row>
    <row r="2843" spans="1:18" ht="15.75" customHeight="1">
      <c r="A2843" s="26"/>
      <c r="B2843" s="86"/>
      <c r="D2843" s="26"/>
      <c r="F2843" s="87" t="str">
        <f t="shared" si="0"/>
        <v/>
      </c>
      <c r="H2843" s="26" t="str">
        <f t="shared" si="1"/>
        <v/>
      </c>
      <c r="I2843" s="26" t="str">
        <f t="shared" si="2"/>
        <v/>
      </c>
      <c r="J2843" s="86">
        <f t="shared" si="3"/>
        <v>0</v>
      </c>
      <c r="R2843" s="26"/>
    </row>
    <row r="2844" spans="1:18" ht="15.75" customHeight="1">
      <c r="A2844" s="26"/>
      <c r="B2844" s="86"/>
      <c r="D2844" s="26"/>
      <c r="F2844" s="87" t="str">
        <f t="shared" si="0"/>
        <v/>
      </c>
      <c r="H2844" s="26" t="str">
        <f t="shared" si="1"/>
        <v/>
      </c>
      <c r="I2844" s="26" t="str">
        <f t="shared" si="2"/>
        <v/>
      </c>
      <c r="J2844" s="86">
        <f t="shared" si="3"/>
        <v>0</v>
      </c>
      <c r="R2844" s="26"/>
    </row>
    <row r="2845" spans="1:18" ht="15.75" customHeight="1">
      <c r="A2845" s="26"/>
      <c r="B2845" s="86"/>
      <c r="D2845" s="26"/>
      <c r="F2845" s="87" t="str">
        <f t="shared" si="0"/>
        <v/>
      </c>
      <c r="H2845" s="26" t="str">
        <f t="shared" si="1"/>
        <v/>
      </c>
      <c r="I2845" s="26" t="str">
        <f t="shared" si="2"/>
        <v/>
      </c>
      <c r="J2845" s="86">
        <f t="shared" si="3"/>
        <v>0</v>
      </c>
      <c r="R2845" s="26"/>
    </row>
    <row r="2846" spans="1:18" ht="15.75" customHeight="1">
      <c r="A2846" s="26"/>
      <c r="B2846" s="86"/>
      <c r="D2846" s="26"/>
      <c r="F2846" s="87" t="str">
        <f t="shared" si="0"/>
        <v/>
      </c>
      <c r="H2846" s="26" t="str">
        <f t="shared" si="1"/>
        <v/>
      </c>
      <c r="I2846" s="26" t="str">
        <f t="shared" si="2"/>
        <v/>
      </c>
      <c r="J2846" s="86">
        <f t="shared" si="3"/>
        <v>0</v>
      </c>
      <c r="R2846" s="26"/>
    </row>
    <row r="2847" spans="1:18" ht="15.75" customHeight="1">
      <c r="A2847" s="26"/>
      <c r="B2847" s="86"/>
      <c r="D2847" s="26"/>
      <c r="F2847" s="87" t="str">
        <f t="shared" si="0"/>
        <v/>
      </c>
      <c r="H2847" s="26" t="str">
        <f t="shared" si="1"/>
        <v/>
      </c>
      <c r="I2847" s="26" t="str">
        <f t="shared" si="2"/>
        <v/>
      </c>
      <c r="J2847" s="86">
        <f t="shared" si="3"/>
        <v>0</v>
      </c>
      <c r="R2847" s="26"/>
    </row>
    <row r="2848" spans="1:18" ht="15.75" customHeight="1">
      <c r="A2848" s="26"/>
      <c r="B2848" s="86"/>
      <c r="D2848" s="26"/>
      <c r="F2848" s="87" t="str">
        <f t="shared" si="0"/>
        <v/>
      </c>
      <c r="H2848" s="26" t="str">
        <f t="shared" si="1"/>
        <v/>
      </c>
      <c r="I2848" s="26" t="str">
        <f t="shared" si="2"/>
        <v/>
      </c>
      <c r="J2848" s="86">
        <f t="shared" si="3"/>
        <v>0</v>
      </c>
      <c r="R2848" s="26"/>
    </row>
    <row r="2849" spans="1:18" ht="15.75" customHeight="1">
      <c r="A2849" s="26"/>
      <c r="B2849" s="86"/>
      <c r="D2849" s="26"/>
      <c r="F2849" s="87" t="str">
        <f t="shared" si="0"/>
        <v/>
      </c>
      <c r="H2849" s="26" t="str">
        <f t="shared" si="1"/>
        <v/>
      </c>
      <c r="I2849" s="26" t="str">
        <f t="shared" si="2"/>
        <v/>
      </c>
      <c r="J2849" s="86">
        <f t="shared" si="3"/>
        <v>0</v>
      </c>
      <c r="R2849" s="26"/>
    </row>
    <row r="2850" spans="1:18" ht="15.75" customHeight="1">
      <c r="A2850" s="26"/>
      <c r="B2850" s="86"/>
      <c r="D2850" s="26"/>
      <c r="F2850" s="87" t="str">
        <f t="shared" si="0"/>
        <v/>
      </c>
      <c r="H2850" s="26" t="str">
        <f t="shared" si="1"/>
        <v/>
      </c>
      <c r="I2850" s="26" t="str">
        <f t="shared" si="2"/>
        <v/>
      </c>
      <c r="J2850" s="86">
        <f t="shared" si="3"/>
        <v>0</v>
      </c>
      <c r="R2850" s="26"/>
    </row>
    <row r="2851" spans="1:18" ht="15.75" customHeight="1">
      <c r="A2851" s="26"/>
      <c r="B2851" s="86"/>
      <c r="D2851" s="26"/>
      <c r="F2851" s="87" t="str">
        <f t="shared" si="0"/>
        <v/>
      </c>
      <c r="H2851" s="26" t="str">
        <f t="shared" si="1"/>
        <v/>
      </c>
      <c r="I2851" s="26" t="str">
        <f t="shared" si="2"/>
        <v/>
      </c>
      <c r="J2851" s="86">
        <f t="shared" si="3"/>
        <v>0</v>
      </c>
      <c r="R2851" s="26"/>
    </row>
    <row r="2852" spans="1:18" ht="15.75" customHeight="1">
      <c r="A2852" s="26"/>
      <c r="B2852" s="86"/>
      <c r="D2852" s="26"/>
      <c r="F2852" s="87" t="str">
        <f t="shared" si="0"/>
        <v/>
      </c>
      <c r="H2852" s="26" t="str">
        <f t="shared" si="1"/>
        <v/>
      </c>
      <c r="I2852" s="26" t="str">
        <f t="shared" si="2"/>
        <v/>
      </c>
      <c r="J2852" s="86">
        <f t="shared" si="3"/>
        <v>0</v>
      </c>
      <c r="R2852" s="26"/>
    </row>
    <row r="2853" spans="1:18" ht="15.75" customHeight="1">
      <c r="A2853" s="26"/>
      <c r="B2853" s="86"/>
      <c r="D2853" s="26"/>
      <c r="F2853" s="87" t="str">
        <f t="shared" si="0"/>
        <v/>
      </c>
      <c r="H2853" s="26" t="str">
        <f t="shared" si="1"/>
        <v/>
      </c>
      <c r="I2853" s="26" t="str">
        <f t="shared" si="2"/>
        <v/>
      </c>
      <c r="J2853" s="86">
        <f t="shared" si="3"/>
        <v>0</v>
      </c>
      <c r="R2853" s="26"/>
    </row>
    <row r="2854" spans="1:18" ht="15.75" customHeight="1">
      <c r="A2854" s="26"/>
      <c r="B2854" s="86"/>
      <c r="D2854" s="26"/>
      <c r="F2854" s="87" t="str">
        <f t="shared" si="0"/>
        <v/>
      </c>
      <c r="H2854" s="26" t="str">
        <f t="shared" si="1"/>
        <v/>
      </c>
      <c r="I2854" s="26" t="str">
        <f t="shared" si="2"/>
        <v/>
      </c>
      <c r="J2854" s="86">
        <f t="shared" si="3"/>
        <v>0</v>
      </c>
      <c r="R2854" s="26"/>
    </row>
    <row r="2855" spans="1:18" ht="15.75" customHeight="1">
      <c r="A2855" s="26"/>
      <c r="B2855" s="86"/>
      <c r="D2855" s="26"/>
      <c r="F2855" s="87" t="str">
        <f t="shared" si="0"/>
        <v/>
      </c>
      <c r="H2855" s="26" t="str">
        <f t="shared" si="1"/>
        <v/>
      </c>
      <c r="I2855" s="26" t="str">
        <f t="shared" si="2"/>
        <v/>
      </c>
      <c r="J2855" s="86">
        <f t="shared" si="3"/>
        <v>0</v>
      </c>
      <c r="R2855" s="26"/>
    </row>
    <row r="2856" spans="1:18" ht="15.75" customHeight="1">
      <c r="A2856" s="26"/>
      <c r="B2856" s="86"/>
      <c r="D2856" s="26"/>
      <c r="F2856" s="87" t="str">
        <f t="shared" si="0"/>
        <v/>
      </c>
      <c r="H2856" s="26" t="str">
        <f t="shared" si="1"/>
        <v/>
      </c>
      <c r="I2856" s="26" t="str">
        <f t="shared" si="2"/>
        <v/>
      </c>
      <c r="J2856" s="86">
        <f t="shared" si="3"/>
        <v>0</v>
      </c>
      <c r="R2856" s="26"/>
    </row>
    <row r="2857" spans="1:18" ht="15.75" customHeight="1">
      <c r="A2857" s="26"/>
      <c r="B2857" s="86"/>
      <c r="D2857" s="26"/>
      <c r="F2857" s="87" t="str">
        <f t="shared" si="0"/>
        <v/>
      </c>
      <c r="H2857" s="26" t="str">
        <f t="shared" si="1"/>
        <v/>
      </c>
      <c r="I2857" s="26" t="str">
        <f t="shared" si="2"/>
        <v/>
      </c>
      <c r="J2857" s="86">
        <f t="shared" si="3"/>
        <v>0</v>
      </c>
      <c r="R2857" s="26"/>
    </row>
    <row r="2858" spans="1:18" ht="15.75" customHeight="1">
      <c r="A2858" s="26"/>
      <c r="B2858" s="86"/>
      <c r="D2858" s="26"/>
      <c r="F2858" s="87" t="str">
        <f t="shared" si="0"/>
        <v/>
      </c>
      <c r="H2858" s="26" t="str">
        <f t="shared" si="1"/>
        <v/>
      </c>
      <c r="I2858" s="26" t="str">
        <f t="shared" si="2"/>
        <v/>
      </c>
      <c r="J2858" s="86">
        <f t="shared" si="3"/>
        <v>0</v>
      </c>
      <c r="R2858" s="26"/>
    </row>
    <row r="2859" spans="1:18" ht="15.75" customHeight="1">
      <c r="A2859" s="26"/>
      <c r="B2859" s="86"/>
      <c r="D2859" s="26"/>
      <c r="F2859" s="87" t="str">
        <f t="shared" si="0"/>
        <v/>
      </c>
      <c r="H2859" s="26" t="str">
        <f t="shared" si="1"/>
        <v/>
      </c>
      <c r="I2859" s="26" t="str">
        <f t="shared" si="2"/>
        <v/>
      </c>
      <c r="J2859" s="86">
        <f t="shared" si="3"/>
        <v>0</v>
      </c>
      <c r="R2859" s="26"/>
    </row>
    <row r="2860" spans="1:18" ht="15.75" customHeight="1">
      <c r="A2860" s="26"/>
      <c r="B2860" s="86"/>
      <c r="D2860" s="26"/>
      <c r="F2860" s="87" t="str">
        <f t="shared" si="0"/>
        <v/>
      </c>
      <c r="H2860" s="26" t="str">
        <f t="shared" si="1"/>
        <v/>
      </c>
      <c r="I2860" s="26" t="str">
        <f t="shared" si="2"/>
        <v/>
      </c>
      <c r="J2860" s="86">
        <f t="shared" si="3"/>
        <v>0</v>
      </c>
      <c r="R2860" s="26"/>
    </row>
    <row r="2861" spans="1:18" ht="15.75" customHeight="1">
      <c r="A2861" s="26"/>
      <c r="B2861" s="86"/>
      <c r="D2861" s="26"/>
      <c r="F2861" s="87" t="str">
        <f t="shared" si="0"/>
        <v/>
      </c>
      <c r="H2861" s="26" t="str">
        <f t="shared" si="1"/>
        <v/>
      </c>
      <c r="I2861" s="26" t="str">
        <f t="shared" si="2"/>
        <v/>
      </c>
      <c r="J2861" s="86">
        <f t="shared" si="3"/>
        <v>0</v>
      </c>
      <c r="R2861" s="26"/>
    </row>
    <row r="2862" spans="1:18" ht="15.75" customHeight="1">
      <c r="A2862" s="26"/>
      <c r="B2862" s="86"/>
      <c r="D2862" s="26"/>
      <c r="F2862" s="87" t="str">
        <f t="shared" si="0"/>
        <v/>
      </c>
      <c r="H2862" s="26" t="str">
        <f t="shared" si="1"/>
        <v/>
      </c>
      <c r="I2862" s="26" t="str">
        <f t="shared" si="2"/>
        <v/>
      </c>
      <c r="J2862" s="86">
        <f t="shared" si="3"/>
        <v>0</v>
      </c>
      <c r="R2862" s="26"/>
    </row>
    <row r="2863" spans="1:18" ht="15.75" customHeight="1">
      <c r="A2863" s="26"/>
      <c r="B2863" s="86"/>
      <c r="D2863" s="26"/>
      <c r="F2863" s="87" t="str">
        <f t="shared" si="0"/>
        <v/>
      </c>
      <c r="H2863" s="26" t="str">
        <f t="shared" si="1"/>
        <v/>
      </c>
      <c r="I2863" s="26" t="str">
        <f t="shared" si="2"/>
        <v/>
      </c>
      <c r="J2863" s="86">
        <f t="shared" si="3"/>
        <v>0</v>
      </c>
      <c r="R2863" s="26"/>
    </row>
    <row r="2864" spans="1:18" ht="15.75" customHeight="1">
      <c r="A2864" s="26"/>
      <c r="B2864" s="86"/>
      <c r="D2864" s="26"/>
      <c r="F2864" s="87" t="str">
        <f t="shared" si="0"/>
        <v/>
      </c>
      <c r="H2864" s="26" t="str">
        <f t="shared" si="1"/>
        <v/>
      </c>
      <c r="I2864" s="26" t="str">
        <f t="shared" si="2"/>
        <v/>
      </c>
      <c r="J2864" s="86">
        <f t="shared" si="3"/>
        <v>0</v>
      </c>
      <c r="R2864" s="26"/>
    </row>
    <row r="2865" spans="1:18" ht="15.75" customHeight="1">
      <c r="A2865" s="26"/>
      <c r="B2865" s="86"/>
      <c r="D2865" s="26"/>
      <c r="F2865" s="87" t="str">
        <f t="shared" si="0"/>
        <v/>
      </c>
      <c r="H2865" s="26" t="str">
        <f t="shared" si="1"/>
        <v/>
      </c>
      <c r="I2865" s="26" t="str">
        <f t="shared" si="2"/>
        <v/>
      </c>
      <c r="J2865" s="86">
        <f t="shared" si="3"/>
        <v>0</v>
      </c>
      <c r="R2865" s="26"/>
    </row>
    <row r="2866" spans="1:18" ht="15.75" customHeight="1">
      <c r="A2866" s="26"/>
      <c r="B2866" s="86"/>
      <c r="D2866" s="26"/>
      <c r="F2866" s="87" t="str">
        <f t="shared" si="0"/>
        <v/>
      </c>
      <c r="H2866" s="26" t="str">
        <f t="shared" si="1"/>
        <v/>
      </c>
      <c r="I2866" s="26" t="str">
        <f t="shared" si="2"/>
        <v/>
      </c>
      <c r="J2866" s="86">
        <f t="shared" si="3"/>
        <v>0</v>
      </c>
      <c r="R2866" s="26"/>
    </row>
    <row r="2867" spans="1:18" ht="15.75" customHeight="1">
      <c r="A2867" s="26"/>
      <c r="B2867" s="86"/>
      <c r="D2867" s="26"/>
      <c r="F2867" s="87" t="str">
        <f t="shared" si="0"/>
        <v/>
      </c>
      <c r="H2867" s="26" t="str">
        <f t="shared" si="1"/>
        <v/>
      </c>
      <c r="I2867" s="26" t="str">
        <f t="shared" si="2"/>
        <v/>
      </c>
      <c r="J2867" s="86">
        <f t="shared" si="3"/>
        <v>0</v>
      </c>
      <c r="R2867" s="26"/>
    </row>
    <row r="2868" spans="1:18" ht="15.75" customHeight="1">
      <c r="A2868" s="26"/>
      <c r="B2868" s="86"/>
      <c r="D2868" s="26"/>
      <c r="F2868" s="87" t="str">
        <f t="shared" si="0"/>
        <v/>
      </c>
      <c r="H2868" s="26" t="str">
        <f t="shared" si="1"/>
        <v/>
      </c>
      <c r="I2868" s="26" t="str">
        <f t="shared" si="2"/>
        <v/>
      </c>
      <c r="J2868" s="86">
        <f t="shared" si="3"/>
        <v>0</v>
      </c>
      <c r="R2868" s="26"/>
    </row>
    <row r="2869" spans="1:18" ht="15.75" customHeight="1">
      <c r="A2869" s="26"/>
      <c r="B2869" s="86"/>
      <c r="D2869" s="26"/>
      <c r="F2869" s="87" t="str">
        <f t="shared" si="0"/>
        <v/>
      </c>
      <c r="H2869" s="26" t="str">
        <f t="shared" si="1"/>
        <v/>
      </c>
      <c r="I2869" s="26" t="str">
        <f t="shared" si="2"/>
        <v/>
      </c>
      <c r="J2869" s="86">
        <f t="shared" si="3"/>
        <v>0</v>
      </c>
      <c r="R2869" s="26"/>
    </row>
    <row r="2870" spans="1:18" ht="15.75" customHeight="1">
      <c r="A2870" s="26"/>
      <c r="B2870" s="86"/>
      <c r="D2870" s="26"/>
      <c r="F2870" s="87" t="str">
        <f t="shared" si="0"/>
        <v/>
      </c>
      <c r="H2870" s="26" t="str">
        <f t="shared" si="1"/>
        <v/>
      </c>
      <c r="I2870" s="26" t="str">
        <f t="shared" si="2"/>
        <v/>
      </c>
      <c r="J2870" s="86">
        <f t="shared" si="3"/>
        <v>0</v>
      </c>
      <c r="R2870" s="26"/>
    </row>
    <row r="2871" spans="1:18" ht="15.75" customHeight="1">
      <c r="A2871" s="26"/>
      <c r="B2871" s="86"/>
      <c r="D2871" s="26"/>
      <c r="F2871" s="87" t="str">
        <f t="shared" si="0"/>
        <v/>
      </c>
      <c r="H2871" s="26" t="str">
        <f t="shared" si="1"/>
        <v/>
      </c>
      <c r="I2871" s="26" t="str">
        <f t="shared" si="2"/>
        <v/>
      </c>
      <c r="J2871" s="86">
        <f t="shared" si="3"/>
        <v>0</v>
      </c>
      <c r="R2871" s="26"/>
    </row>
    <row r="2872" spans="1:18" ht="15.75" customHeight="1">
      <c r="A2872" s="26"/>
      <c r="B2872" s="86"/>
      <c r="D2872" s="26"/>
      <c r="F2872" s="87" t="str">
        <f t="shared" si="0"/>
        <v/>
      </c>
      <c r="H2872" s="26" t="str">
        <f t="shared" si="1"/>
        <v/>
      </c>
      <c r="I2872" s="26" t="str">
        <f t="shared" si="2"/>
        <v/>
      </c>
      <c r="J2872" s="86">
        <f t="shared" si="3"/>
        <v>0</v>
      </c>
      <c r="R2872" s="26"/>
    </row>
    <row r="2873" spans="1:18" ht="15.75" customHeight="1">
      <c r="A2873" s="26"/>
      <c r="B2873" s="86"/>
      <c r="D2873" s="26"/>
      <c r="F2873" s="87" t="str">
        <f t="shared" si="0"/>
        <v/>
      </c>
      <c r="H2873" s="26" t="str">
        <f t="shared" si="1"/>
        <v/>
      </c>
      <c r="I2873" s="26" t="str">
        <f t="shared" si="2"/>
        <v/>
      </c>
      <c r="J2873" s="86">
        <f t="shared" si="3"/>
        <v>0</v>
      </c>
      <c r="R2873" s="26"/>
    </row>
    <row r="2874" spans="1:18" ht="15.75" customHeight="1">
      <c r="A2874" s="26"/>
      <c r="B2874" s="86"/>
      <c r="D2874" s="26"/>
      <c r="F2874" s="87" t="str">
        <f t="shared" si="0"/>
        <v/>
      </c>
      <c r="H2874" s="26" t="str">
        <f t="shared" si="1"/>
        <v/>
      </c>
      <c r="I2874" s="26" t="str">
        <f t="shared" si="2"/>
        <v/>
      </c>
      <c r="J2874" s="86">
        <f t="shared" si="3"/>
        <v>0</v>
      </c>
      <c r="R2874" s="26"/>
    </row>
    <row r="2875" spans="1:18" ht="15.75" customHeight="1">
      <c r="A2875" s="26"/>
      <c r="B2875" s="86"/>
      <c r="D2875" s="26"/>
      <c r="F2875" s="87" t="str">
        <f t="shared" si="0"/>
        <v/>
      </c>
      <c r="H2875" s="26" t="str">
        <f t="shared" si="1"/>
        <v/>
      </c>
      <c r="I2875" s="26" t="str">
        <f t="shared" si="2"/>
        <v/>
      </c>
      <c r="J2875" s="86">
        <f t="shared" si="3"/>
        <v>0</v>
      </c>
      <c r="R2875" s="26"/>
    </row>
    <row r="2876" spans="1:18" ht="15.75" customHeight="1">
      <c r="A2876" s="26"/>
      <c r="B2876" s="86"/>
      <c r="D2876" s="26"/>
      <c r="F2876" s="87" t="str">
        <f t="shared" si="0"/>
        <v/>
      </c>
      <c r="H2876" s="26" t="str">
        <f t="shared" si="1"/>
        <v/>
      </c>
      <c r="I2876" s="26" t="str">
        <f t="shared" si="2"/>
        <v/>
      </c>
      <c r="J2876" s="86">
        <f t="shared" si="3"/>
        <v>0</v>
      </c>
      <c r="R2876" s="26"/>
    </row>
    <row r="2877" spans="1:18" ht="15.75" customHeight="1">
      <c r="A2877" s="26"/>
      <c r="B2877" s="86"/>
      <c r="D2877" s="26"/>
      <c r="F2877" s="87" t="str">
        <f t="shared" si="0"/>
        <v/>
      </c>
      <c r="H2877" s="26" t="str">
        <f t="shared" si="1"/>
        <v/>
      </c>
      <c r="I2877" s="26" t="str">
        <f t="shared" si="2"/>
        <v/>
      </c>
      <c r="J2877" s="86">
        <f t="shared" si="3"/>
        <v>0</v>
      </c>
      <c r="R2877" s="26"/>
    </row>
    <row r="2878" spans="1:18" ht="15.75" customHeight="1">
      <c r="A2878" s="26"/>
      <c r="B2878" s="86"/>
      <c r="D2878" s="26"/>
      <c r="F2878" s="87" t="str">
        <f t="shared" si="0"/>
        <v/>
      </c>
      <c r="H2878" s="26" t="str">
        <f t="shared" si="1"/>
        <v/>
      </c>
      <c r="I2878" s="26" t="str">
        <f t="shared" si="2"/>
        <v/>
      </c>
      <c r="J2878" s="86">
        <f t="shared" si="3"/>
        <v>0</v>
      </c>
      <c r="R2878" s="26"/>
    </row>
    <row r="2879" spans="1:18" ht="15.75" customHeight="1">
      <c r="A2879" s="26"/>
      <c r="B2879" s="86"/>
      <c r="D2879" s="26"/>
      <c r="F2879" s="87" t="str">
        <f t="shared" si="0"/>
        <v/>
      </c>
      <c r="H2879" s="26" t="str">
        <f t="shared" si="1"/>
        <v/>
      </c>
      <c r="I2879" s="26" t="str">
        <f t="shared" si="2"/>
        <v/>
      </c>
      <c r="J2879" s="86">
        <f t="shared" si="3"/>
        <v>0</v>
      </c>
      <c r="R2879" s="26"/>
    </row>
    <row r="2880" spans="1:18" ht="15.75" customHeight="1">
      <c r="A2880" s="26"/>
      <c r="B2880" s="86"/>
      <c r="D2880" s="26"/>
      <c r="F2880" s="87" t="str">
        <f t="shared" si="0"/>
        <v/>
      </c>
      <c r="H2880" s="26" t="str">
        <f t="shared" si="1"/>
        <v/>
      </c>
      <c r="I2880" s="26" t="str">
        <f t="shared" si="2"/>
        <v/>
      </c>
      <c r="J2880" s="86">
        <f t="shared" si="3"/>
        <v>0</v>
      </c>
      <c r="R2880" s="26"/>
    </row>
    <row r="2881" spans="1:18" ht="15.75" customHeight="1">
      <c r="A2881" s="26"/>
      <c r="B2881" s="86"/>
      <c r="D2881" s="26"/>
      <c r="F2881" s="87" t="str">
        <f t="shared" si="0"/>
        <v/>
      </c>
      <c r="H2881" s="26" t="str">
        <f t="shared" si="1"/>
        <v/>
      </c>
      <c r="I2881" s="26" t="str">
        <f t="shared" si="2"/>
        <v/>
      </c>
      <c r="J2881" s="86">
        <f t="shared" si="3"/>
        <v>0</v>
      </c>
      <c r="R2881" s="26"/>
    </row>
    <row r="2882" spans="1:18" ht="15.75" customHeight="1">
      <c r="A2882" s="26"/>
      <c r="B2882" s="86"/>
      <c r="D2882" s="26"/>
      <c r="F2882" s="87" t="str">
        <f t="shared" si="0"/>
        <v/>
      </c>
      <c r="H2882" s="26" t="str">
        <f t="shared" si="1"/>
        <v/>
      </c>
      <c r="I2882" s="26" t="str">
        <f t="shared" si="2"/>
        <v/>
      </c>
      <c r="J2882" s="86">
        <f t="shared" si="3"/>
        <v>0</v>
      </c>
      <c r="R2882" s="26"/>
    </row>
    <row r="2883" spans="1:18" ht="15.75" customHeight="1">
      <c r="A2883" s="26"/>
      <c r="B2883" s="86"/>
      <c r="D2883" s="26"/>
      <c r="F2883" s="87" t="str">
        <f t="shared" si="0"/>
        <v/>
      </c>
      <c r="H2883" s="26" t="str">
        <f t="shared" si="1"/>
        <v/>
      </c>
      <c r="I2883" s="26" t="str">
        <f t="shared" si="2"/>
        <v/>
      </c>
      <c r="J2883" s="86">
        <f t="shared" si="3"/>
        <v>0</v>
      </c>
      <c r="R2883" s="26"/>
    </row>
    <row r="2884" spans="1:18" ht="15.75" customHeight="1">
      <c r="A2884" s="26"/>
      <c r="B2884" s="86"/>
      <c r="D2884" s="26"/>
      <c r="F2884" s="87" t="str">
        <f t="shared" si="0"/>
        <v/>
      </c>
      <c r="H2884" s="26" t="str">
        <f t="shared" si="1"/>
        <v/>
      </c>
      <c r="I2884" s="26" t="str">
        <f t="shared" si="2"/>
        <v/>
      </c>
      <c r="J2884" s="86">
        <f t="shared" si="3"/>
        <v>0</v>
      </c>
      <c r="R2884" s="26"/>
    </row>
    <row r="2885" spans="1:18" ht="15.75" customHeight="1">
      <c r="A2885" s="26"/>
      <c r="B2885" s="86"/>
      <c r="D2885" s="26"/>
      <c r="F2885" s="87" t="str">
        <f t="shared" si="0"/>
        <v/>
      </c>
      <c r="H2885" s="26" t="str">
        <f t="shared" si="1"/>
        <v/>
      </c>
      <c r="I2885" s="26" t="str">
        <f t="shared" si="2"/>
        <v/>
      </c>
      <c r="J2885" s="86">
        <f t="shared" si="3"/>
        <v>0</v>
      </c>
      <c r="R2885" s="26"/>
    </row>
    <row r="2886" spans="1:18" ht="15.75" customHeight="1">
      <c r="A2886" s="26"/>
      <c r="B2886" s="86"/>
      <c r="D2886" s="26"/>
      <c r="F2886" s="87" t="str">
        <f t="shared" si="0"/>
        <v/>
      </c>
      <c r="H2886" s="26" t="str">
        <f t="shared" si="1"/>
        <v/>
      </c>
      <c r="I2886" s="26" t="str">
        <f t="shared" si="2"/>
        <v/>
      </c>
      <c r="J2886" s="86">
        <f t="shared" si="3"/>
        <v>0</v>
      </c>
      <c r="R2886" s="26"/>
    </row>
    <row r="2887" spans="1:18" ht="15.75" customHeight="1">
      <c r="A2887" s="26"/>
      <c r="B2887" s="86"/>
      <c r="D2887" s="26"/>
      <c r="F2887" s="87" t="str">
        <f t="shared" si="0"/>
        <v/>
      </c>
      <c r="H2887" s="26" t="str">
        <f t="shared" si="1"/>
        <v/>
      </c>
      <c r="I2887" s="26" t="str">
        <f t="shared" si="2"/>
        <v/>
      </c>
      <c r="J2887" s="86">
        <f t="shared" si="3"/>
        <v>0</v>
      </c>
      <c r="R2887" s="26"/>
    </row>
    <row r="2888" spans="1:18" ht="15.75" customHeight="1">
      <c r="A2888" s="26"/>
      <c r="B2888" s="86"/>
      <c r="D2888" s="26"/>
      <c r="F2888" s="87" t="str">
        <f t="shared" si="0"/>
        <v/>
      </c>
      <c r="H2888" s="26" t="str">
        <f t="shared" si="1"/>
        <v/>
      </c>
      <c r="I2888" s="26" t="str">
        <f t="shared" si="2"/>
        <v/>
      </c>
      <c r="J2888" s="86">
        <f t="shared" si="3"/>
        <v>0</v>
      </c>
      <c r="R2888" s="26"/>
    </row>
    <row r="2889" spans="1:18" ht="15.75" customHeight="1">
      <c r="A2889" s="26"/>
      <c r="B2889" s="86"/>
      <c r="D2889" s="26"/>
      <c r="F2889" s="87" t="str">
        <f t="shared" si="0"/>
        <v/>
      </c>
      <c r="H2889" s="26" t="str">
        <f t="shared" si="1"/>
        <v/>
      </c>
      <c r="I2889" s="26" t="str">
        <f t="shared" si="2"/>
        <v/>
      </c>
      <c r="J2889" s="86">
        <f t="shared" si="3"/>
        <v>0</v>
      </c>
      <c r="R2889" s="26"/>
    </row>
    <row r="2890" spans="1:18" ht="15.75" customHeight="1">
      <c r="A2890" s="26"/>
      <c r="B2890" s="86"/>
      <c r="D2890" s="26"/>
      <c r="F2890" s="87" t="str">
        <f t="shared" si="0"/>
        <v/>
      </c>
      <c r="H2890" s="26" t="str">
        <f t="shared" si="1"/>
        <v/>
      </c>
      <c r="I2890" s="26" t="str">
        <f t="shared" si="2"/>
        <v/>
      </c>
      <c r="J2890" s="86">
        <f t="shared" si="3"/>
        <v>0</v>
      </c>
      <c r="R2890" s="26"/>
    </row>
    <row r="2891" spans="1:18" ht="15.75" customHeight="1">
      <c r="A2891" s="26"/>
      <c r="B2891" s="86"/>
      <c r="D2891" s="26"/>
      <c r="F2891" s="87" t="str">
        <f t="shared" si="0"/>
        <v/>
      </c>
      <c r="H2891" s="26" t="str">
        <f t="shared" si="1"/>
        <v/>
      </c>
      <c r="I2891" s="26" t="str">
        <f t="shared" si="2"/>
        <v/>
      </c>
      <c r="J2891" s="86">
        <f t="shared" si="3"/>
        <v>0</v>
      </c>
      <c r="R2891" s="26"/>
    </row>
    <row r="2892" spans="1:18" ht="15.75" customHeight="1">
      <c r="A2892" s="26"/>
      <c r="B2892" s="86"/>
      <c r="D2892" s="26"/>
      <c r="F2892" s="87" t="str">
        <f t="shared" si="0"/>
        <v/>
      </c>
      <c r="H2892" s="26" t="str">
        <f t="shared" si="1"/>
        <v/>
      </c>
      <c r="I2892" s="26" t="str">
        <f t="shared" si="2"/>
        <v/>
      </c>
      <c r="J2892" s="86">
        <f t="shared" si="3"/>
        <v>0</v>
      </c>
      <c r="R2892" s="26"/>
    </row>
    <row r="2893" spans="1:18" ht="15.75" customHeight="1">
      <c r="A2893" s="26"/>
      <c r="B2893" s="86"/>
      <c r="D2893" s="26"/>
      <c r="F2893" s="87" t="str">
        <f t="shared" si="0"/>
        <v/>
      </c>
      <c r="H2893" s="26" t="str">
        <f t="shared" si="1"/>
        <v/>
      </c>
      <c r="I2893" s="26" t="str">
        <f t="shared" si="2"/>
        <v/>
      </c>
      <c r="J2893" s="86">
        <f t="shared" si="3"/>
        <v>0</v>
      </c>
      <c r="R2893" s="26"/>
    </row>
    <row r="2894" spans="1:18" ht="15.75" customHeight="1">
      <c r="A2894" s="26"/>
      <c r="B2894" s="86"/>
      <c r="D2894" s="26"/>
      <c r="F2894" s="87" t="str">
        <f t="shared" si="0"/>
        <v/>
      </c>
      <c r="H2894" s="26" t="str">
        <f t="shared" si="1"/>
        <v/>
      </c>
      <c r="I2894" s="26" t="str">
        <f t="shared" si="2"/>
        <v/>
      </c>
      <c r="J2894" s="86">
        <f t="shared" si="3"/>
        <v>0</v>
      </c>
      <c r="R2894" s="26"/>
    </row>
    <row r="2895" spans="1:18" ht="15.75" customHeight="1">
      <c r="A2895" s="26"/>
      <c r="B2895" s="86"/>
      <c r="D2895" s="26"/>
      <c r="F2895" s="87" t="str">
        <f t="shared" si="0"/>
        <v/>
      </c>
      <c r="H2895" s="26" t="str">
        <f t="shared" si="1"/>
        <v/>
      </c>
      <c r="I2895" s="26" t="str">
        <f t="shared" si="2"/>
        <v/>
      </c>
      <c r="J2895" s="86">
        <f t="shared" si="3"/>
        <v>0</v>
      </c>
      <c r="R2895" s="26"/>
    </row>
    <row r="2896" spans="1:18" ht="15.75" customHeight="1">
      <c r="A2896" s="26"/>
      <c r="B2896" s="86"/>
      <c r="D2896" s="26"/>
      <c r="F2896" s="87" t="str">
        <f t="shared" si="0"/>
        <v/>
      </c>
      <c r="H2896" s="26" t="str">
        <f t="shared" si="1"/>
        <v/>
      </c>
      <c r="I2896" s="26" t="str">
        <f t="shared" si="2"/>
        <v/>
      </c>
      <c r="J2896" s="86">
        <f t="shared" si="3"/>
        <v>0</v>
      </c>
      <c r="R2896" s="26"/>
    </row>
    <row r="2897" spans="1:18" ht="15.75" customHeight="1">
      <c r="A2897" s="26"/>
      <c r="B2897" s="86"/>
      <c r="D2897" s="26"/>
      <c r="F2897" s="87" t="str">
        <f t="shared" si="0"/>
        <v/>
      </c>
      <c r="H2897" s="26" t="str">
        <f t="shared" si="1"/>
        <v/>
      </c>
      <c r="I2897" s="26" t="str">
        <f t="shared" si="2"/>
        <v/>
      </c>
      <c r="J2897" s="86">
        <f t="shared" si="3"/>
        <v>0</v>
      </c>
      <c r="R2897" s="26"/>
    </row>
    <row r="2898" spans="1:18" ht="15.75" customHeight="1">
      <c r="A2898" s="26"/>
      <c r="B2898" s="86"/>
      <c r="D2898" s="26"/>
      <c r="F2898" s="87" t="str">
        <f t="shared" si="0"/>
        <v/>
      </c>
      <c r="H2898" s="26" t="str">
        <f t="shared" si="1"/>
        <v/>
      </c>
      <c r="I2898" s="26" t="str">
        <f t="shared" si="2"/>
        <v/>
      </c>
      <c r="J2898" s="86">
        <f t="shared" si="3"/>
        <v>0</v>
      </c>
      <c r="R2898" s="26"/>
    </row>
    <row r="2899" spans="1:18" ht="15.75" customHeight="1">
      <c r="A2899" s="26"/>
      <c r="B2899" s="86"/>
      <c r="D2899" s="26"/>
      <c r="F2899" s="87" t="str">
        <f t="shared" si="0"/>
        <v/>
      </c>
      <c r="H2899" s="26" t="str">
        <f t="shared" si="1"/>
        <v/>
      </c>
      <c r="I2899" s="26" t="str">
        <f t="shared" si="2"/>
        <v/>
      </c>
      <c r="J2899" s="86">
        <f t="shared" si="3"/>
        <v>0</v>
      </c>
      <c r="R2899" s="26"/>
    </row>
    <row r="2900" spans="1:18" ht="15.75" customHeight="1">
      <c r="A2900" s="26"/>
      <c r="B2900" s="86"/>
      <c r="D2900" s="26"/>
      <c r="F2900" s="87" t="str">
        <f t="shared" si="0"/>
        <v/>
      </c>
      <c r="H2900" s="26" t="str">
        <f t="shared" si="1"/>
        <v/>
      </c>
      <c r="I2900" s="26" t="str">
        <f t="shared" si="2"/>
        <v/>
      </c>
      <c r="J2900" s="86">
        <f t="shared" si="3"/>
        <v>0</v>
      </c>
      <c r="R2900" s="26"/>
    </row>
    <row r="2901" spans="1:18" ht="15.75" customHeight="1">
      <c r="A2901" s="26"/>
      <c r="B2901" s="86"/>
      <c r="D2901" s="26"/>
      <c r="F2901" s="87" t="str">
        <f t="shared" si="0"/>
        <v/>
      </c>
      <c r="H2901" s="26" t="str">
        <f t="shared" si="1"/>
        <v/>
      </c>
      <c r="I2901" s="26" t="str">
        <f t="shared" si="2"/>
        <v/>
      </c>
      <c r="J2901" s="86">
        <f t="shared" si="3"/>
        <v>0</v>
      </c>
      <c r="R2901" s="26"/>
    </row>
    <row r="2902" spans="1:18" ht="15.75" customHeight="1">
      <c r="A2902" s="26"/>
      <c r="B2902" s="86"/>
      <c r="D2902" s="26"/>
      <c r="F2902" s="87" t="str">
        <f t="shared" si="0"/>
        <v/>
      </c>
      <c r="H2902" s="26" t="str">
        <f t="shared" si="1"/>
        <v/>
      </c>
      <c r="I2902" s="26" t="str">
        <f t="shared" si="2"/>
        <v/>
      </c>
      <c r="J2902" s="86">
        <f t="shared" si="3"/>
        <v>0</v>
      </c>
      <c r="R2902" s="26"/>
    </row>
    <row r="2903" spans="1:18" ht="15.75" customHeight="1">
      <c r="A2903" s="26"/>
      <c r="B2903" s="86"/>
      <c r="D2903" s="26"/>
      <c r="F2903" s="87" t="str">
        <f t="shared" si="0"/>
        <v/>
      </c>
      <c r="H2903" s="26" t="str">
        <f t="shared" si="1"/>
        <v/>
      </c>
      <c r="I2903" s="26" t="str">
        <f t="shared" si="2"/>
        <v/>
      </c>
      <c r="J2903" s="86">
        <f t="shared" si="3"/>
        <v>0</v>
      </c>
      <c r="R2903" s="26"/>
    </row>
    <row r="2904" spans="1:18" ht="15.75" customHeight="1">
      <c r="A2904" s="26"/>
      <c r="B2904" s="86"/>
      <c r="D2904" s="26"/>
      <c r="F2904" s="87" t="str">
        <f t="shared" si="0"/>
        <v/>
      </c>
      <c r="H2904" s="26" t="str">
        <f t="shared" si="1"/>
        <v/>
      </c>
      <c r="I2904" s="26" t="str">
        <f t="shared" si="2"/>
        <v/>
      </c>
      <c r="J2904" s="86">
        <f t="shared" si="3"/>
        <v>0</v>
      </c>
      <c r="R2904" s="26"/>
    </row>
    <row r="2905" spans="1:18" ht="15.75" customHeight="1">
      <c r="A2905" s="26"/>
      <c r="B2905" s="86"/>
      <c r="D2905" s="26"/>
      <c r="F2905" s="87" t="str">
        <f t="shared" si="0"/>
        <v/>
      </c>
      <c r="H2905" s="26" t="str">
        <f t="shared" si="1"/>
        <v/>
      </c>
      <c r="I2905" s="26" t="str">
        <f t="shared" si="2"/>
        <v/>
      </c>
      <c r="J2905" s="86">
        <f t="shared" si="3"/>
        <v>0</v>
      </c>
      <c r="R2905" s="26"/>
    </row>
    <row r="2906" spans="1:18" ht="15.75" customHeight="1">
      <c r="A2906" s="26"/>
      <c r="B2906" s="86"/>
      <c r="D2906" s="26"/>
      <c r="F2906" s="87" t="str">
        <f t="shared" si="0"/>
        <v/>
      </c>
      <c r="H2906" s="26" t="str">
        <f t="shared" si="1"/>
        <v/>
      </c>
      <c r="I2906" s="26" t="str">
        <f t="shared" si="2"/>
        <v/>
      </c>
      <c r="J2906" s="86">
        <f t="shared" si="3"/>
        <v>0</v>
      </c>
      <c r="R2906" s="26"/>
    </row>
    <row r="2907" spans="1:18" ht="15.75" customHeight="1">
      <c r="A2907" s="26"/>
      <c r="B2907" s="86"/>
      <c r="D2907" s="26"/>
      <c r="F2907" s="87" t="str">
        <f t="shared" si="0"/>
        <v/>
      </c>
      <c r="H2907" s="26" t="str">
        <f t="shared" si="1"/>
        <v/>
      </c>
      <c r="I2907" s="26" t="str">
        <f t="shared" si="2"/>
        <v/>
      </c>
      <c r="J2907" s="86">
        <f t="shared" si="3"/>
        <v>0</v>
      </c>
      <c r="R2907" s="26"/>
    </row>
    <row r="2908" spans="1:18" ht="15.75" customHeight="1">
      <c r="A2908" s="26"/>
      <c r="B2908" s="86"/>
      <c r="D2908" s="26"/>
      <c r="F2908" s="87" t="str">
        <f t="shared" si="0"/>
        <v/>
      </c>
      <c r="H2908" s="26" t="str">
        <f t="shared" si="1"/>
        <v/>
      </c>
      <c r="I2908" s="26" t="str">
        <f t="shared" si="2"/>
        <v/>
      </c>
      <c r="J2908" s="86">
        <f t="shared" si="3"/>
        <v>0</v>
      </c>
      <c r="R2908" s="26"/>
    </row>
    <row r="2909" spans="1:18" ht="15.75" customHeight="1">
      <c r="A2909" s="26"/>
      <c r="B2909" s="86"/>
      <c r="D2909" s="26"/>
      <c r="F2909" s="87" t="str">
        <f t="shared" si="0"/>
        <v/>
      </c>
      <c r="H2909" s="26" t="str">
        <f t="shared" si="1"/>
        <v/>
      </c>
      <c r="I2909" s="26" t="str">
        <f t="shared" si="2"/>
        <v/>
      </c>
      <c r="J2909" s="86">
        <f t="shared" si="3"/>
        <v>0</v>
      </c>
      <c r="R2909" s="26"/>
    </row>
    <row r="2910" spans="1:18" ht="15.75" customHeight="1">
      <c r="A2910" s="26"/>
      <c r="B2910" s="86"/>
      <c r="D2910" s="26"/>
      <c r="F2910" s="87" t="str">
        <f t="shared" si="0"/>
        <v/>
      </c>
      <c r="H2910" s="26" t="str">
        <f t="shared" si="1"/>
        <v/>
      </c>
      <c r="I2910" s="26" t="str">
        <f t="shared" si="2"/>
        <v/>
      </c>
      <c r="J2910" s="86">
        <f t="shared" si="3"/>
        <v>0</v>
      </c>
      <c r="R2910" s="26"/>
    </row>
    <row r="2911" spans="1:18" ht="15.75" customHeight="1">
      <c r="A2911" s="26"/>
      <c r="B2911" s="86"/>
      <c r="D2911" s="26"/>
      <c r="F2911" s="87" t="str">
        <f t="shared" si="0"/>
        <v/>
      </c>
      <c r="H2911" s="26" t="str">
        <f t="shared" si="1"/>
        <v/>
      </c>
      <c r="I2911" s="26" t="str">
        <f t="shared" si="2"/>
        <v/>
      </c>
      <c r="J2911" s="86">
        <f t="shared" si="3"/>
        <v>0</v>
      </c>
      <c r="R2911" s="26"/>
    </row>
    <row r="2912" spans="1:18" ht="15.75" customHeight="1">
      <c r="A2912" s="26"/>
      <c r="B2912" s="86"/>
      <c r="D2912" s="26"/>
      <c r="F2912" s="87" t="str">
        <f t="shared" si="0"/>
        <v/>
      </c>
      <c r="H2912" s="26" t="str">
        <f t="shared" si="1"/>
        <v/>
      </c>
      <c r="I2912" s="26" t="str">
        <f t="shared" si="2"/>
        <v/>
      </c>
      <c r="J2912" s="86">
        <f t="shared" si="3"/>
        <v>0</v>
      </c>
      <c r="R2912" s="26"/>
    </row>
    <row r="2913" spans="1:18" ht="15.75" customHeight="1">
      <c r="A2913" s="26"/>
      <c r="B2913" s="86"/>
      <c r="D2913" s="26"/>
      <c r="F2913" s="87" t="str">
        <f t="shared" si="0"/>
        <v/>
      </c>
      <c r="H2913" s="26" t="str">
        <f t="shared" si="1"/>
        <v/>
      </c>
      <c r="I2913" s="26" t="str">
        <f t="shared" si="2"/>
        <v/>
      </c>
      <c r="J2913" s="86">
        <f t="shared" si="3"/>
        <v>0</v>
      </c>
      <c r="R2913" s="26"/>
    </row>
    <row r="2914" spans="1:18" ht="15.75" customHeight="1">
      <c r="A2914" s="26"/>
      <c r="B2914" s="86"/>
      <c r="D2914" s="26"/>
      <c r="F2914" s="87" t="str">
        <f t="shared" si="0"/>
        <v/>
      </c>
      <c r="H2914" s="26" t="str">
        <f t="shared" si="1"/>
        <v/>
      </c>
      <c r="I2914" s="26" t="str">
        <f t="shared" si="2"/>
        <v/>
      </c>
      <c r="J2914" s="86">
        <f t="shared" si="3"/>
        <v>0</v>
      </c>
      <c r="R2914" s="26"/>
    </row>
    <row r="2915" spans="1:18" ht="15.75" customHeight="1">
      <c r="A2915" s="26"/>
      <c r="B2915" s="86"/>
      <c r="D2915" s="26"/>
      <c r="F2915" s="87" t="str">
        <f t="shared" si="0"/>
        <v/>
      </c>
      <c r="H2915" s="26" t="str">
        <f t="shared" si="1"/>
        <v/>
      </c>
      <c r="I2915" s="26" t="str">
        <f t="shared" si="2"/>
        <v/>
      </c>
      <c r="J2915" s="86">
        <f t="shared" si="3"/>
        <v>0</v>
      </c>
      <c r="R2915" s="26"/>
    </row>
    <row r="2916" spans="1:18" ht="15.75" customHeight="1">
      <c r="A2916" s="26"/>
      <c r="B2916" s="86"/>
      <c r="D2916" s="26"/>
      <c r="F2916" s="87" t="str">
        <f t="shared" si="0"/>
        <v/>
      </c>
      <c r="H2916" s="26" t="str">
        <f t="shared" si="1"/>
        <v/>
      </c>
      <c r="I2916" s="26" t="str">
        <f t="shared" si="2"/>
        <v/>
      </c>
      <c r="J2916" s="86">
        <f t="shared" si="3"/>
        <v>0</v>
      </c>
      <c r="R2916" s="26"/>
    </row>
    <row r="2917" spans="1:18" ht="15.75" customHeight="1">
      <c r="A2917" s="26"/>
      <c r="B2917" s="86"/>
      <c r="D2917" s="26"/>
      <c r="F2917" s="87" t="str">
        <f t="shared" si="0"/>
        <v/>
      </c>
      <c r="H2917" s="26" t="str">
        <f t="shared" si="1"/>
        <v/>
      </c>
      <c r="I2917" s="26" t="str">
        <f t="shared" si="2"/>
        <v/>
      </c>
      <c r="J2917" s="86">
        <f t="shared" si="3"/>
        <v>0</v>
      </c>
      <c r="R2917" s="26"/>
    </row>
    <row r="2918" spans="1:18" ht="15.75" customHeight="1">
      <c r="A2918" s="26"/>
      <c r="B2918" s="86"/>
      <c r="D2918" s="26"/>
      <c r="F2918" s="87" t="str">
        <f t="shared" si="0"/>
        <v/>
      </c>
      <c r="H2918" s="26" t="str">
        <f t="shared" si="1"/>
        <v/>
      </c>
      <c r="I2918" s="26" t="str">
        <f t="shared" si="2"/>
        <v/>
      </c>
      <c r="J2918" s="86">
        <f t="shared" si="3"/>
        <v>0</v>
      </c>
      <c r="R2918" s="26"/>
    </row>
    <row r="2919" spans="1:18" ht="15.75" customHeight="1">
      <c r="A2919" s="26"/>
      <c r="B2919" s="86"/>
      <c r="D2919" s="26"/>
      <c r="F2919" s="87" t="str">
        <f t="shared" si="0"/>
        <v/>
      </c>
      <c r="H2919" s="26" t="str">
        <f t="shared" si="1"/>
        <v/>
      </c>
      <c r="I2919" s="26" t="str">
        <f t="shared" si="2"/>
        <v/>
      </c>
      <c r="J2919" s="86">
        <f t="shared" si="3"/>
        <v>0</v>
      </c>
      <c r="R2919" s="26"/>
    </row>
    <row r="2920" spans="1:18" ht="15.75" customHeight="1">
      <c r="A2920" s="26"/>
      <c r="B2920" s="86"/>
      <c r="D2920" s="26"/>
      <c r="F2920" s="87" t="str">
        <f t="shared" si="0"/>
        <v/>
      </c>
      <c r="H2920" s="26" t="str">
        <f t="shared" si="1"/>
        <v/>
      </c>
      <c r="I2920" s="26" t="str">
        <f t="shared" si="2"/>
        <v/>
      </c>
      <c r="J2920" s="86">
        <f t="shared" si="3"/>
        <v>0</v>
      </c>
      <c r="R2920" s="26"/>
    </row>
    <row r="2921" spans="1:18" ht="15.75" customHeight="1">
      <c r="A2921" s="26"/>
      <c r="B2921" s="86"/>
      <c r="D2921" s="26"/>
      <c r="F2921" s="87" t="str">
        <f t="shared" si="0"/>
        <v/>
      </c>
      <c r="H2921" s="26" t="str">
        <f t="shared" si="1"/>
        <v/>
      </c>
      <c r="I2921" s="26" t="str">
        <f t="shared" si="2"/>
        <v/>
      </c>
      <c r="J2921" s="86">
        <f t="shared" si="3"/>
        <v>0</v>
      </c>
      <c r="R2921" s="26"/>
    </row>
    <row r="2922" spans="1:18" ht="15.75" customHeight="1">
      <c r="A2922" s="26"/>
      <c r="B2922" s="86"/>
      <c r="D2922" s="26"/>
      <c r="F2922" s="87" t="str">
        <f t="shared" si="0"/>
        <v/>
      </c>
      <c r="H2922" s="26" t="str">
        <f t="shared" si="1"/>
        <v/>
      </c>
      <c r="I2922" s="26" t="str">
        <f t="shared" si="2"/>
        <v/>
      </c>
      <c r="J2922" s="86">
        <f t="shared" si="3"/>
        <v>0</v>
      </c>
      <c r="R2922" s="26"/>
    </row>
    <row r="2923" spans="1:18" ht="15.75" customHeight="1">
      <c r="A2923" s="26"/>
      <c r="B2923" s="86"/>
      <c r="D2923" s="26"/>
      <c r="F2923" s="87" t="str">
        <f t="shared" si="0"/>
        <v/>
      </c>
      <c r="H2923" s="26" t="str">
        <f t="shared" si="1"/>
        <v/>
      </c>
      <c r="I2923" s="26" t="str">
        <f t="shared" si="2"/>
        <v/>
      </c>
      <c r="J2923" s="86">
        <f t="shared" si="3"/>
        <v>0</v>
      </c>
      <c r="R2923" s="26"/>
    </row>
    <row r="2924" spans="1:18" ht="15.75" customHeight="1">
      <c r="A2924" s="26"/>
      <c r="B2924" s="86"/>
      <c r="D2924" s="26"/>
      <c r="F2924" s="87" t="str">
        <f t="shared" si="0"/>
        <v/>
      </c>
      <c r="H2924" s="26" t="str">
        <f t="shared" si="1"/>
        <v/>
      </c>
      <c r="I2924" s="26" t="str">
        <f t="shared" si="2"/>
        <v/>
      </c>
      <c r="J2924" s="86">
        <f t="shared" si="3"/>
        <v>0</v>
      </c>
      <c r="R2924" s="26"/>
    </row>
    <row r="2925" spans="1:18" ht="15.75" customHeight="1">
      <c r="A2925" s="26"/>
      <c r="B2925" s="86"/>
      <c r="D2925" s="26"/>
      <c r="F2925" s="87" t="str">
        <f t="shared" si="0"/>
        <v/>
      </c>
      <c r="H2925" s="26" t="str">
        <f t="shared" si="1"/>
        <v/>
      </c>
      <c r="I2925" s="26" t="str">
        <f t="shared" si="2"/>
        <v/>
      </c>
      <c r="J2925" s="86">
        <f t="shared" si="3"/>
        <v>0</v>
      </c>
      <c r="R2925" s="26"/>
    </row>
    <row r="2926" spans="1:18" ht="15.75" customHeight="1">
      <c r="A2926" s="26"/>
      <c r="B2926" s="86"/>
      <c r="D2926" s="26"/>
      <c r="F2926" s="87" t="str">
        <f t="shared" si="0"/>
        <v/>
      </c>
      <c r="H2926" s="26" t="str">
        <f t="shared" si="1"/>
        <v/>
      </c>
      <c r="I2926" s="26" t="str">
        <f t="shared" si="2"/>
        <v/>
      </c>
      <c r="J2926" s="86">
        <f t="shared" si="3"/>
        <v>0</v>
      </c>
      <c r="R2926" s="26"/>
    </row>
    <row r="2927" spans="1:18" ht="15.75" customHeight="1">
      <c r="A2927" s="26"/>
      <c r="B2927" s="86"/>
      <c r="D2927" s="26"/>
      <c r="F2927" s="87" t="str">
        <f t="shared" si="0"/>
        <v/>
      </c>
      <c r="H2927" s="26" t="str">
        <f t="shared" si="1"/>
        <v/>
      </c>
      <c r="I2927" s="26" t="str">
        <f t="shared" si="2"/>
        <v/>
      </c>
      <c r="J2927" s="86">
        <f t="shared" si="3"/>
        <v>0</v>
      </c>
      <c r="R2927" s="26"/>
    </row>
    <row r="2928" spans="1:18" ht="15.75" customHeight="1">
      <c r="A2928" s="26"/>
      <c r="B2928" s="86"/>
      <c r="D2928" s="26"/>
      <c r="F2928" s="87" t="str">
        <f t="shared" si="0"/>
        <v/>
      </c>
      <c r="H2928" s="26" t="str">
        <f t="shared" si="1"/>
        <v/>
      </c>
      <c r="I2928" s="26" t="str">
        <f t="shared" si="2"/>
        <v/>
      </c>
      <c r="J2928" s="86">
        <f t="shared" si="3"/>
        <v>0</v>
      </c>
      <c r="R2928" s="26"/>
    </row>
    <row r="2929" spans="1:18" ht="15.75" customHeight="1">
      <c r="A2929" s="26"/>
      <c r="B2929" s="86"/>
      <c r="D2929" s="26"/>
      <c r="F2929" s="87" t="str">
        <f t="shared" si="0"/>
        <v/>
      </c>
      <c r="H2929" s="26" t="str">
        <f t="shared" si="1"/>
        <v/>
      </c>
      <c r="I2929" s="26" t="str">
        <f t="shared" si="2"/>
        <v/>
      </c>
      <c r="J2929" s="86">
        <f t="shared" si="3"/>
        <v>0</v>
      </c>
      <c r="R2929" s="26"/>
    </row>
    <row r="2930" spans="1:18" ht="15.75" customHeight="1">
      <c r="A2930" s="26"/>
      <c r="B2930" s="86"/>
      <c r="D2930" s="26"/>
      <c r="F2930" s="87" t="str">
        <f t="shared" si="0"/>
        <v/>
      </c>
      <c r="H2930" s="26" t="str">
        <f t="shared" si="1"/>
        <v/>
      </c>
      <c r="I2930" s="26" t="str">
        <f t="shared" si="2"/>
        <v/>
      </c>
      <c r="J2930" s="86">
        <f t="shared" si="3"/>
        <v>0</v>
      </c>
      <c r="R2930" s="26"/>
    </row>
    <row r="2931" spans="1:18" ht="15.75" customHeight="1">
      <c r="A2931" s="26"/>
      <c r="B2931" s="86"/>
      <c r="D2931" s="26"/>
      <c r="F2931" s="87" t="str">
        <f t="shared" si="0"/>
        <v/>
      </c>
      <c r="H2931" s="26" t="str">
        <f t="shared" si="1"/>
        <v/>
      </c>
      <c r="I2931" s="26" t="str">
        <f t="shared" si="2"/>
        <v/>
      </c>
      <c r="J2931" s="86">
        <f t="shared" si="3"/>
        <v>0</v>
      </c>
      <c r="R2931" s="26"/>
    </row>
    <row r="2932" spans="1:18" ht="15.75" customHeight="1">
      <c r="A2932" s="26"/>
      <c r="B2932" s="86"/>
      <c r="D2932" s="26"/>
      <c r="F2932" s="87" t="str">
        <f t="shared" si="0"/>
        <v/>
      </c>
      <c r="H2932" s="26" t="str">
        <f t="shared" si="1"/>
        <v/>
      </c>
      <c r="I2932" s="26" t="str">
        <f t="shared" si="2"/>
        <v/>
      </c>
      <c r="J2932" s="86">
        <f t="shared" si="3"/>
        <v>0</v>
      </c>
      <c r="R2932" s="26"/>
    </row>
    <row r="2933" spans="1:18" ht="15.75" customHeight="1">
      <c r="A2933" s="26"/>
      <c r="B2933" s="86"/>
      <c r="D2933" s="26"/>
      <c r="F2933" s="87" t="str">
        <f t="shared" si="0"/>
        <v/>
      </c>
      <c r="H2933" s="26" t="str">
        <f t="shared" si="1"/>
        <v/>
      </c>
      <c r="I2933" s="26" t="str">
        <f t="shared" si="2"/>
        <v/>
      </c>
      <c r="J2933" s="86">
        <f t="shared" si="3"/>
        <v>0</v>
      </c>
      <c r="R2933" s="26"/>
    </row>
    <row r="2934" spans="1:18" ht="15.75" customHeight="1">
      <c r="A2934" s="26"/>
      <c r="B2934" s="86"/>
      <c r="D2934" s="26"/>
      <c r="F2934" s="87" t="str">
        <f t="shared" si="0"/>
        <v/>
      </c>
      <c r="H2934" s="26" t="str">
        <f t="shared" si="1"/>
        <v/>
      </c>
      <c r="I2934" s="26" t="str">
        <f t="shared" si="2"/>
        <v/>
      </c>
      <c r="J2934" s="86">
        <f t="shared" si="3"/>
        <v>0</v>
      </c>
      <c r="R2934" s="26"/>
    </row>
    <row r="2935" spans="1:18" ht="15.75" customHeight="1">
      <c r="A2935" s="26"/>
      <c r="B2935" s="86"/>
      <c r="D2935" s="26"/>
      <c r="F2935" s="87" t="str">
        <f t="shared" si="0"/>
        <v/>
      </c>
      <c r="H2935" s="26" t="str">
        <f t="shared" si="1"/>
        <v/>
      </c>
      <c r="I2935" s="26" t="str">
        <f t="shared" si="2"/>
        <v/>
      </c>
      <c r="J2935" s="86">
        <f t="shared" si="3"/>
        <v>0</v>
      </c>
      <c r="R2935" s="26"/>
    </row>
    <row r="2936" spans="1:18" ht="15.75" customHeight="1">
      <c r="A2936" s="26"/>
      <c r="B2936" s="86"/>
      <c r="D2936" s="26"/>
      <c r="F2936" s="87" t="str">
        <f t="shared" si="0"/>
        <v/>
      </c>
      <c r="H2936" s="26" t="str">
        <f t="shared" si="1"/>
        <v/>
      </c>
      <c r="I2936" s="26" t="str">
        <f t="shared" si="2"/>
        <v/>
      </c>
      <c r="J2936" s="86">
        <f t="shared" si="3"/>
        <v>0</v>
      </c>
      <c r="R2936" s="26"/>
    </row>
    <row r="2937" spans="1:18" ht="15.75" customHeight="1">
      <c r="A2937" s="26"/>
      <c r="B2937" s="86"/>
      <c r="D2937" s="26"/>
      <c r="F2937" s="87" t="str">
        <f t="shared" si="0"/>
        <v/>
      </c>
      <c r="H2937" s="26" t="str">
        <f t="shared" si="1"/>
        <v/>
      </c>
      <c r="I2937" s="26" t="str">
        <f t="shared" si="2"/>
        <v/>
      </c>
      <c r="J2937" s="86">
        <f t="shared" si="3"/>
        <v>0</v>
      </c>
      <c r="R2937" s="26"/>
    </row>
    <row r="2938" spans="1:18" ht="15.75" customHeight="1">
      <c r="A2938" s="26"/>
      <c r="B2938" s="86"/>
      <c r="D2938" s="26"/>
      <c r="F2938" s="87" t="str">
        <f t="shared" si="0"/>
        <v/>
      </c>
      <c r="H2938" s="26" t="str">
        <f t="shared" si="1"/>
        <v/>
      </c>
      <c r="I2938" s="26" t="str">
        <f t="shared" si="2"/>
        <v/>
      </c>
      <c r="J2938" s="86">
        <f t="shared" si="3"/>
        <v>0</v>
      </c>
      <c r="R2938" s="26"/>
    </row>
    <row r="2939" spans="1:18" ht="15.75" customHeight="1">
      <c r="A2939" s="26"/>
      <c r="B2939" s="86"/>
      <c r="D2939" s="26"/>
      <c r="F2939" s="87" t="str">
        <f t="shared" si="0"/>
        <v/>
      </c>
      <c r="H2939" s="26" t="str">
        <f t="shared" si="1"/>
        <v/>
      </c>
      <c r="I2939" s="26" t="str">
        <f t="shared" si="2"/>
        <v/>
      </c>
      <c r="J2939" s="86">
        <f t="shared" si="3"/>
        <v>0</v>
      </c>
      <c r="R2939" s="26"/>
    </row>
    <row r="2940" spans="1:18" ht="15.75" customHeight="1">
      <c r="A2940" s="26"/>
      <c r="B2940" s="86"/>
      <c r="D2940" s="26"/>
      <c r="F2940" s="87" t="str">
        <f t="shared" si="0"/>
        <v/>
      </c>
      <c r="H2940" s="26" t="str">
        <f t="shared" si="1"/>
        <v/>
      </c>
      <c r="I2940" s="26" t="str">
        <f t="shared" si="2"/>
        <v/>
      </c>
      <c r="J2940" s="86">
        <f t="shared" si="3"/>
        <v>0</v>
      </c>
      <c r="R2940" s="26"/>
    </row>
    <row r="2941" spans="1:18" ht="15.75" customHeight="1">
      <c r="A2941" s="26"/>
      <c r="B2941" s="86"/>
      <c r="D2941" s="26"/>
      <c r="F2941" s="87" t="str">
        <f t="shared" si="0"/>
        <v/>
      </c>
      <c r="H2941" s="26" t="str">
        <f t="shared" si="1"/>
        <v/>
      </c>
      <c r="I2941" s="26" t="str">
        <f t="shared" si="2"/>
        <v/>
      </c>
      <c r="J2941" s="86">
        <f t="shared" si="3"/>
        <v>0</v>
      </c>
      <c r="R2941" s="26"/>
    </row>
    <row r="2942" spans="1:18" ht="15.75" customHeight="1">
      <c r="A2942" s="26"/>
      <c r="B2942" s="86"/>
      <c r="D2942" s="26"/>
      <c r="F2942" s="87" t="str">
        <f t="shared" si="0"/>
        <v/>
      </c>
      <c r="H2942" s="26" t="str">
        <f t="shared" si="1"/>
        <v/>
      </c>
      <c r="I2942" s="26" t="str">
        <f t="shared" si="2"/>
        <v/>
      </c>
      <c r="J2942" s="86">
        <f t="shared" si="3"/>
        <v>0</v>
      </c>
      <c r="R2942" s="26"/>
    </row>
    <row r="2943" spans="1:18" ht="15.75" customHeight="1">
      <c r="A2943" s="26"/>
      <c r="B2943" s="86"/>
      <c r="D2943" s="26"/>
      <c r="F2943" s="87" t="str">
        <f t="shared" si="0"/>
        <v/>
      </c>
      <c r="H2943" s="26" t="str">
        <f t="shared" si="1"/>
        <v/>
      </c>
      <c r="I2943" s="26" t="str">
        <f t="shared" si="2"/>
        <v/>
      </c>
      <c r="J2943" s="86">
        <f t="shared" si="3"/>
        <v>0</v>
      </c>
      <c r="R2943" s="26"/>
    </row>
    <row r="2944" spans="1:18" ht="15.75" customHeight="1">
      <c r="A2944" s="26"/>
      <c r="B2944" s="86"/>
      <c r="D2944" s="26"/>
      <c r="F2944" s="87" t="str">
        <f t="shared" si="0"/>
        <v/>
      </c>
      <c r="H2944" s="26" t="str">
        <f t="shared" si="1"/>
        <v/>
      </c>
      <c r="I2944" s="26" t="str">
        <f t="shared" si="2"/>
        <v/>
      </c>
      <c r="J2944" s="86">
        <f t="shared" si="3"/>
        <v>0</v>
      </c>
      <c r="R2944" s="26"/>
    </row>
    <row r="2945" spans="1:18" ht="15.75" customHeight="1">
      <c r="A2945" s="26"/>
      <c r="B2945" s="86"/>
      <c r="D2945" s="26"/>
      <c r="F2945" s="87" t="str">
        <f t="shared" si="0"/>
        <v/>
      </c>
      <c r="H2945" s="26" t="str">
        <f t="shared" si="1"/>
        <v/>
      </c>
      <c r="I2945" s="26" t="str">
        <f t="shared" si="2"/>
        <v/>
      </c>
      <c r="J2945" s="86">
        <f t="shared" si="3"/>
        <v>0</v>
      </c>
      <c r="R2945" s="26"/>
    </row>
    <row r="2946" spans="1:18" ht="15.75" customHeight="1">
      <c r="A2946" s="26"/>
      <c r="B2946" s="86"/>
      <c r="D2946" s="26"/>
      <c r="F2946" s="87" t="str">
        <f t="shared" si="0"/>
        <v/>
      </c>
      <c r="H2946" s="26" t="str">
        <f t="shared" si="1"/>
        <v/>
      </c>
      <c r="I2946" s="26" t="str">
        <f t="shared" si="2"/>
        <v/>
      </c>
      <c r="J2946" s="86">
        <f t="shared" si="3"/>
        <v>0</v>
      </c>
      <c r="R2946" s="26"/>
    </row>
    <row r="2947" spans="1:18" ht="15.75" customHeight="1">
      <c r="A2947" s="26"/>
      <c r="B2947" s="86"/>
      <c r="D2947" s="26"/>
      <c r="F2947" s="87" t="str">
        <f t="shared" si="0"/>
        <v/>
      </c>
      <c r="H2947" s="26" t="str">
        <f t="shared" si="1"/>
        <v/>
      </c>
      <c r="I2947" s="26" t="str">
        <f t="shared" si="2"/>
        <v/>
      </c>
      <c r="J2947" s="86">
        <f t="shared" si="3"/>
        <v>0</v>
      </c>
      <c r="R2947" s="26"/>
    </row>
    <row r="2948" spans="1:18" ht="15.75" customHeight="1">
      <c r="A2948" s="26"/>
      <c r="B2948" s="86"/>
      <c r="D2948" s="26"/>
      <c r="F2948" s="87" t="str">
        <f t="shared" si="0"/>
        <v/>
      </c>
      <c r="H2948" s="26" t="str">
        <f t="shared" si="1"/>
        <v/>
      </c>
      <c r="I2948" s="26" t="str">
        <f t="shared" si="2"/>
        <v/>
      </c>
      <c r="J2948" s="86">
        <f t="shared" si="3"/>
        <v>0</v>
      </c>
      <c r="R2948" s="26"/>
    </row>
    <row r="2949" spans="1:18" ht="15.75" customHeight="1">
      <c r="A2949" s="26"/>
      <c r="B2949" s="86"/>
      <c r="D2949" s="26"/>
      <c r="F2949" s="87" t="str">
        <f t="shared" si="0"/>
        <v/>
      </c>
      <c r="H2949" s="26" t="str">
        <f t="shared" si="1"/>
        <v/>
      </c>
      <c r="I2949" s="26" t="str">
        <f t="shared" si="2"/>
        <v/>
      </c>
      <c r="J2949" s="86">
        <f t="shared" si="3"/>
        <v>0</v>
      </c>
      <c r="R2949" s="26"/>
    </row>
    <row r="2950" spans="1:18" ht="15.75" customHeight="1">
      <c r="A2950" s="26"/>
      <c r="B2950" s="86"/>
      <c r="D2950" s="26"/>
      <c r="F2950" s="87" t="str">
        <f t="shared" si="0"/>
        <v/>
      </c>
      <c r="H2950" s="26" t="str">
        <f t="shared" si="1"/>
        <v/>
      </c>
      <c r="I2950" s="26" t="str">
        <f t="shared" si="2"/>
        <v/>
      </c>
      <c r="J2950" s="86">
        <f t="shared" si="3"/>
        <v>0</v>
      </c>
      <c r="R2950" s="26"/>
    </row>
    <row r="2951" spans="1:18" ht="15.75" customHeight="1">
      <c r="A2951" s="26"/>
      <c r="B2951" s="86"/>
      <c r="D2951" s="26"/>
      <c r="F2951" s="87" t="str">
        <f t="shared" si="0"/>
        <v/>
      </c>
      <c r="H2951" s="26" t="str">
        <f t="shared" si="1"/>
        <v/>
      </c>
      <c r="I2951" s="26" t="str">
        <f t="shared" si="2"/>
        <v/>
      </c>
      <c r="J2951" s="86">
        <f t="shared" si="3"/>
        <v>0</v>
      </c>
      <c r="R2951" s="26"/>
    </row>
    <row r="2952" spans="1:18" ht="15.75" customHeight="1">
      <c r="A2952" s="26"/>
      <c r="B2952" s="86"/>
      <c r="D2952" s="26"/>
      <c r="F2952" s="87" t="str">
        <f t="shared" si="0"/>
        <v/>
      </c>
      <c r="H2952" s="26" t="str">
        <f t="shared" si="1"/>
        <v/>
      </c>
      <c r="I2952" s="26" t="str">
        <f t="shared" si="2"/>
        <v/>
      </c>
      <c r="J2952" s="86">
        <f t="shared" si="3"/>
        <v>0</v>
      </c>
      <c r="R2952" s="26"/>
    </row>
    <row r="2953" spans="1:18" ht="15.75" customHeight="1">
      <c r="A2953" s="26"/>
      <c r="B2953" s="86"/>
      <c r="D2953" s="26"/>
      <c r="F2953" s="87" t="str">
        <f t="shared" si="0"/>
        <v/>
      </c>
      <c r="H2953" s="26" t="str">
        <f t="shared" si="1"/>
        <v/>
      </c>
      <c r="I2953" s="26" t="str">
        <f t="shared" si="2"/>
        <v/>
      </c>
      <c r="J2953" s="86">
        <f t="shared" si="3"/>
        <v>0</v>
      </c>
      <c r="R2953" s="26"/>
    </row>
    <row r="2954" spans="1:18" ht="15.75" customHeight="1">
      <c r="A2954" s="26"/>
      <c r="B2954" s="86"/>
      <c r="D2954" s="26"/>
      <c r="F2954" s="87" t="str">
        <f t="shared" si="0"/>
        <v/>
      </c>
      <c r="H2954" s="26" t="str">
        <f t="shared" si="1"/>
        <v/>
      </c>
      <c r="I2954" s="26" t="str">
        <f t="shared" si="2"/>
        <v/>
      </c>
      <c r="J2954" s="86">
        <f t="shared" si="3"/>
        <v>0</v>
      </c>
      <c r="R2954" s="26"/>
    </row>
    <row r="2955" spans="1:18" ht="15.75" customHeight="1">
      <c r="A2955" s="26"/>
      <c r="B2955" s="86"/>
      <c r="D2955" s="26"/>
      <c r="F2955" s="87" t="str">
        <f t="shared" si="0"/>
        <v/>
      </c>
      <c r="H2955" s="26" t="str">
        <f t="shared" si="1"/>
        <v/>
      </c>
      <c r="I2955" s="26" t="str">
        <f t="shared" si="2"/>
        <v/>
      </c>
      <c r="J2955" s="86">
        <f t="shared" si="3"/>
        <v>0</v>
      </c>
      <c r="R2955" s="26"/>
    </row>
    <row r="2956" spans="1:18" ht="15.75" customHeight="1">
      <c r="A2956" s="26"/>
      <c r="B2956" s="86"/>
      <c r="D2956" s="26"/>
      <c r="F2956" s="87" t="str">
        <f t="shared" si="0"/>
        <v/>
      </c>
      <c r="H2956" s="26" t="str">
        <f t="shared" si="1"/>
        <v/>
      </c>
      <c r="I2956" s="26" t="str">
        <f t="shared" si="2"/>
        <v/>
      </c>
      <c r="J2956" s="86">
        <f t="shared" si="3"/>
        <v>0</v>
      </c>
      <c r="R2956" s="26"/>
    </row>
    <row r="2957" spans="1:18" ht="15.75" customHeight="1">
      <c r="A2957" s="26"/>
      <c r="B2957" s="86"/>
      <c r="D2957" s="26"/>
      <c r="F2957" s="87" t="str">
        <f t="shared" si="0"/>
        <v/>
      </c>
      <c r="H2957" s="26" t="str">
        <f t="shared" si="1"/>
        <v/>
      </c>
      <c r="I2957" s="26" t="str">
        <f t="shared" si="2"/>
        <v/>
      </c>
      <c r="J2957" s="86">
        <f t="shared" si="3"/>
        <v>0</v>
      </c>
      <c r="R2957" s="26"/>
    </row>
    <row r="2958" spans="1:18" ht="15.75" customHeight="1">
      <c r="A2958" s="26"/>
      <c r="B2958" s="86"/>
      <c r="D2958" s="26"/>
      <c r="F2958" s="87" t="str">
        <f t="shared" si="0"/>
        <v/>
      </c>
      <c r="H2958" s="26" t="str">
        <f t="shared" si="1"/>
        <v/>
      </c>
      <c r="I2958" s="26" t="str">
        <f t="shared" si="2"/>
        <v/>
      </c>
      <c r="J2958" s="86">
        <f t="shared" si="3"/>
        <v>0</v>
      </c>
      <c r="R2958" s="26"/>
    </row>
    <row r="2959" spans="1:18" ht="15.75" customHeight="1">
      <c r="A2959" s="26"/>
      <c r="B2959" s="86"/>
      <c r="D2959" s="26"/>
      <c r="F2959" s="87" t="str">
        <f t="shared" si="0"/>
        <v/>
      </c>
      <c r="H2959" s="26" t="str">
        <f t="shared" si="1"/>
        <v/>
      </c>
      <c r="I2959" s="26" t="str">
        <f t="shared" si="2"/>
        <v/>
      </c>
      <c r="J2959" s="86">
        <f t="shared" si="3"/>
        <v>0</v>
      </c>
      <c r="R2959" s="26"/>
    </row>
    <row r="2960" spans="1:18" ht="15.75" customHeight="1">
      <c r="A2960" s="26"/>
      <c r="B2960" s="86"/>
      <c r="D2960" s="26"/>
      <c r="F2960" s="87" t="str">
        <f t="shared" si="0"/>
        <v/>
      </c>
      <c r="H2960" s="26" t="str">
        <f t="shared" si="1"/>
        <v/>
      </c>
      <c r="I2960" s="26" t="str">
        <f t="shared" si="2"/>
        <v/>
      </c>
      <c r="J2960" s="86">
        <f t="shared" si="3"/>
        <v>0</v>
      </c>
      <c r="R2960" s="26"/>
    </row>
    <row r="2961" spans="1:18" ht="15.75" customHeight="1">
      <c r="A2961" s="26"/>
      <c r="B2961" s="86"/>
      <c r="D2961" s="26"/>
      <c r="F2961" s="87" t="str">
        <f t="shared" si="0"/>
        <v/>
      </c>
      <c r="H2961" s="26" t="str">
        <f t="shared" si="1"/>
        <v/>
      </c>
      <c r="I2961" s="26" t="str">
        <f t="shared" si="2"/>
        <v/>
      </c>
      <c r="J2961" s="86">
        <f t="shared" si="3"/>
        <v>0</v>
      </c>
      <c r="R2961" s="26"/>
    </row>
    <row r="2962" spans="1:18" ht="15.75" customHeight="1">
      <c r="A2962" s="26"/>
      <c r="B2962" s="86"/>
      <c r="D2962" s="26"/>
      <c r="F2962" s="87" t="str">
        <f t="shared" si="0"/>
        <v/>
      </c>
      <c r="H2962" s="26" t="str">
        <f t="shared" si="1"/>
        <v/>
      </c>
      <c r="I2962" s="26" t="str">
        <f t="shared" si="2"/>
        <v/>
      </c>
      <c r="J2962" s="86">
        <f t="shared" si="3"/>
        <v>0</v>
      </c>
      <c r="R2962" s="26"/>
    </row>
    <row r="2963" spans="1:18" ht="15.75" customHeight="1">
      <c r="A2963" s="26"/>
      <c r="B2963" s="86"/>
      <c r="D2963" s="26"/>
      <c r="F2963" s="87" t="str">
        <f t="shared" si="0"/>
        <v/>
      </c>
      <c r="H2963" s="26" t="str">
        <f t="shared" si="1"/>
        <v/>
      </c>
      <c r="I2963" s="26" t="str">
        <f t="shared" si="2"/>
        <v/>
      </c>
      <c r="J2963" s="86">
        <f t="shared" si="3"/>
        <v>0</v>
      </c>
      <c r="R2963" s="26"/>
    </row>
    <row r="2964" spans="1:18" ht="15.75" customHeight="1">
      <c r="A2964" s="26"/>
      <c r="B2964" s="86"/>
      <c r="D2964" s="26"/>
      <c r="F2964" s="87" t="str">
        <f t="shared" si="0"/>
        <v/>
      </c>
      <c r="H2964" s="26" t="str">
        <f t="shared" si="1"/>
        <v/>
      </c>
      <c r="I2964" s="26" t="str">
        <f t="shared" si="2"/>
        <v/>
      </c>
      <c r="J2964" s="86">
        <f t="shared" si="3"/>
        <v>0</v>
      </c>
      <c r="R2964" s="26"/>
    </row>
    <row r="2965" spans="1:18" ht="15.75" customHeight="1">
      <c r="A2965" s="26"/>
      <c r="B2965" s="86"/>
      <c r="D2965" s="26"/>
      <c r="F2965" s="87" t="str">
        <f t="shared" si="0"/>
        <v/>
      </c>
      <c r="H2965" s="26" t="str">
        <f t="shared" si="1"/>
        <v/>
      </c>
      <c r="I2965" s="26" t="str">
        <f t="shared" si="2"/>
        <v/>
      </c>
      <c r="J2965" s="86">
        <f t="shared" si="3"/>
        <v>0</v>
      </c>
      <c r="R2965" s="26"/>
    </row>
    <row r="2966" spans="1:18" ht="15.75" customHeight="1">
      <c r="A2966" s="26"/>
      <c r="B2966" s="86"/>
      <c r="D2966" s="26"/>
      <c r="F2966" s="87" t="str">
        <f t="shared" si="0"/>
        <v/>
      </c>
      <c r="H2966" s="26" t="str">
        <f t="shared" si="1"/>
        <v/>
      </c>
      <c r="I2966" s="26" t="str">
        <f t="shared" si="2"/>
        <v/>
      </c>
      <c r="J2966" s="86">
        <f t="shared" si="3"/>
        <v>0</v>
      </c>
      <c r="R2966" s="26"/>
    </row>
    <row r="2967" spans="1:18" ht="15.75" customHeight="1">
      <c r="A2967" s="26"/>
      <c r="B2967" s="86"/>
      <c r="D2967" s="26"/>
      <c r="F2967" s="87" t="str">
        <f t="shared" si="0"/>
        <v/>
      </c>
      <c r="H2967" s="26" t="str">
        <f t="shared" si="1"/>
        <v/>
      </c>
      <c r="I2967" s="26" t="str">
        <f t="shared" si="2"/>
        <v/>
      </c>
      <c r="J2967" s="86">
        <f t="shared" si="3"/>
        <v>0</v>
      </c>
      <c r="R2967" s="26"/>
    </row>
    <row r="2968" spans="1:18" ht="15.75" customHeight="1">
      <c r="A2968" s="26"/>
      <c r="B2968" s="86"/>
      <c r="D2968" s="26"/>
      <c r="F2968" s="87" t="str">
        <f t="shared" si="0"/>
        <v/>
      </c>
      <c r="H2968" s="26" t="str">
        <f t="shared" si="1"/>
        <v/>
      </c>
      <c r="I2968" s="26" t="str">
        <f t="shared" si="2"/>
        <v/>
      </c>
      <c r="J2968" s="86">
        <f t="shared" si="3"/>
        <v>0</v>
      </c>
      <c r="R2968" s="26"/>
    </row>
    <row r="2969" spans="1:18" ht="15.75" customHeight="1">
      <c r="A2969" s="26"/>
      <c r="B2969" s="86"/>
      <c r="D2969" s="26"/>
      <c r="F2969" s="87" t="str">
        <f t="shared" si="0"/>
        <v/>
      </c>
      <c r="H2969" s="26" t="str">
        <f t="shared" si="1"/>
        <v/>
      </c>
      <c r="I2969" s="26" t="str">
        <f t="shared" si="2"/>
        <v/>
      </c>
      <c r="J2969" s="86">
        <f t="shared" si="3"/>
        <v>0</v>
      </c>
      <c r="R2969" s="26"/>
    </row>
    <row r="2970" spans="1:18" ht="15.75" customHeight="1">
      <c r="A2970" s="26"/>
      <c r="B2970" s="86"/>
      <c r="D2970" s="26"/>
      <c r="F2970" s="87" t="str">
        <f t="shared" si="0"/>
        <v/>
      </c>
      <c r="H2970" s="26" t="str">
        <f t="shared" si="1"/>
        <v/>
      </c>
      <c r="I2970" s="26" t="str">
        <f t="shared" si="2"/>
        <v/>
      </c>
      <c r="J2970" s="86">
        <f t="shared" si="3"/>
        <v>0</v>
      </c>
      <c r="R2970" s="26"/>
    </row>
    <row r="2971" spans="1:18" ht="15.75" customHeight="1">
      <c r="A2971" s="26"/>
      <c r="B2971" s="86"/>
      <c r="D2971" s="26"/>
      <c r="F2971" s="87" t="str">
        <f t="shared" si="0"/>
        <v/>
      </c>
      <c r="H2971" s="26" t="str">
        <f t="shared" si="1"/>
        <v/>
      </c>
      <c r="I2971" s="26" t="str">
        <f t="shared" si="2"/>
        <v/>
      </c>
      <c r="J2971" s="86">
        <f t="shared" si="3"/>
        <v>0</v>
      </c>
      <c r="R2971" s="26"/>
    </row>
    <row r="2972" spans="1:18" ht="15.75" customHeight="1">
      <c r="A2972" s="26"/>
      <c r="B2972" s="86"/>
      <c r="D2972" s="26"/>
      <c r="F2972" s="87" t="str">
        <f t="shared" si="0"/>
        <v/>
      </c>
      <c r="H2972" s="26" t="str">
        <f t="shared" si="1"/>
        <v/>
      </c>
      <c r="I2972" s="26" t="str">
        <f t="shared" si="2"/>
        <v/>
      </c>
      <c r="J2972" s="86">
        <f t="shared" si="3"/>
        <v>0</v>
      </c>
      <c r="R2972" s="26"/>
    </row>
    <row r="2973" spans="1:18" ht="15.75" customHeight="1">
      <c r="A2973" s="26"/>
      <c r="B2973" s="86"/>
      <c r="D2973" s="26"/>
      <c r="F2973" s="87" t="str">
        <f t="shared" si="0"/>
        <v/>
      </c>
      <c r="H2973" s="26" t="str">
        <f t="shared" si="1"/>
        <v/>
      </c>
      <c r="I2973" s="26" t="str">
        <f t="shared" si="2"/>
        <v/>
      </c>
      <c r="J2973" s="86">
        <f t="shared" si="3"/>
        <v>0</v>
      </c>
      <c r="R2973" s="26"/>
    </row>
    <row r="2974" spans="1:18" ht="15.75" customHeight="1">
      <c r="A2974" s="26"/>
      <c r="B2974" s="86"/>
      <c r="D2974" s="26"/>
      <c r="F2974" s="87" t="str">
        <f t="shared" si="0"/>
        <v/>
      </c>
      <c r="H2974" s="26" t="str">
        <f t="shared" si="1"/>
        <v/>
      </c>
      <c r="I2974" s="26" t="str">
        <f t="shared" si="2"/>
        <v/>
      </c>
      <c r="J2974" s="86">
        <f t="shared" si="3"/>
        <v>0</v>
      </c>
      <c r="R2974" s="26"/>
    </row>
    <row r="2975" spans="1:18" ht="15.75" customHeight="1">
      <c r="A2975" s="26"/>
      <c r="B2975" s="86"/>
      <c r="D2975" s="26"/>
      <c r="F2975" s="87" t="str">
        <f t="shared" si="0"/>
        <v/>
      </c>
      <c r="H2975" s="26" t="str">
        <f t="shared" si="1"/>
        <v/>
      </c>
      <c r="I2975" s="26" t="str">
        <f t="shared" si="2"/>
        <v/>
      </c>
      <c r="J2975" s="86">
        <f t="shared" si="3"/>
        <v>0</v>
      </c>
      <c r="R2975" s="26"/>
    </row>
    <row r="2976" spans="1:18" ht="15.75" customHeight="1">
      <c r="A2976" s="26"/>
      <c r="B2976" s="86"/>
      <c r="D2976" s="26"/>
      <c r="F2976" s="87" t="str">
        <f t="shared" si="0"/>
        <v/>
      </c>
      <c r="H2976" s="26" t="str">
        <f t="shared" si="1"/>
        <v/>
      </c>
      <c r="I2976" s="26" t="str">
        <f t="shared" si="2"/>
        <v/>
      </c>
      <c r="J2976" s="86">
        <f t="shared" si="3"/>
        <v>0</v>
      </c>
      <c r="R2976" s="26"/>
    </row>
    <row r="2977" spans="1:18" ht="15.75" customHeight="1">
      <c r="A2977" s="26"/>
      <c r="B2977" s="86"/>
      <c r="D2977" s="26"/>
      <c r="F2977" s="87" t="str">
        <f t="shared" si="0"/>
        <v/>
      </c>
      <c r="H2977" s="26" t="str">
        <f t="shared" si="1"/>
        <v/>
      </c>
      <c r="I2977" s="26" t="str">
        <f t="shared" si="2"/>
        <v/>
      </c>
      <c r="J2977" s="86">
        <f t="shared" si="3"/>
        <v>0</v>
      </c>
      <c r="R2977" s="26"/>
    </row>
    <row r="2978" spans="1:18" ht="15.75" customHeight="1">
      <c r="A2978" s="26"/>
      <c r="B2978" s="86"/>
      <c r="D2978" s="26"/>
      <c r="F2978" s="87" t="str">
        <f t="shared" si="0"/>
        <v/>
      </c>
      <c r="H2978" s="26" t="str">
        <f t="shared" si="1"/>
        <v/>
      </c>
      <c r="I2978" s="26" t="str">
        <f t="shared" si="2"/>
        <v/>
      </c>
      <c r="J2978" s="86">
        <f t="shared" si="3"/>
        <v>0</v>
      </c>
      <c r="R2978" s="26"/>
    </row>
    <row r="2979" spans="1:18" ht="15.75" customHeight="1">
      <c r="A2979" s="26"/>
      <c r="B2979" s="86"/>
      <c r="D2979" s="26"/>
      <c r="F2979" s="87" t="str">
        <f t="shared" si="0"/>
        <v/>
      </c>
      <c r="H2979" s="26" t="str">
        <f t="shared" si="1"/>
        <v/>
      </c>
      <c r="I2979" s="26" t="str">
        <f t="shared" si="2"/>
        <v/>
      </c>
      <c r="J2979" s="86">
        <f t="shared" si="3"/>
        <v>0</v>
      </c>
      <c r="R2979" s="26"/>
    </row>
    <row r="2980" spans="1:18" ht="15.75" customHeight="1">
      <c r="A2980" s="26"/>
      <c r="B2980" s="86"/>
      <c r="D2980" s="26"/>
      <c r="F2980" s="87" t="str">
        <f t="shared" si="0"/>
        <v/>
      </c>
      <c r="H2980" s="26" t="str">
        <f t="shared" si="1"/>
        <v/>
      </c>
      <c r="I2980" s="26" t="str">
        <f t="shared" si="2"/>
        <v/>
      </c>
      <c r="J2980" s="86">
        <f t="shared" si="3"/>
        <v>0</v>
      </c>
      <c r="R2980" s="26"/>
    </row>
    <row r="2981" spans="1:18" ht="15.75" customHeight="1">
      <c r="A2981" s="26"/>
      <c r="B2981" s="86"/>
      <c r="D2981" s="26"/>
      <c r="F2981" s="87" t="str">
        <f t="shared" si="0"/>
        <v/>
      </c>
      <c r="H2981" s="26" t="str">
        <f t="shared" si="1"/>
        <v/>
      </c>
      <c r="I2981" s="26" t="str">
        <f t="shared" si="2"/>
        <v/>
      </c>
      <c r="J2981" s="86">
        <f t="shared" si="3"/>
        <v>0</v>
      </c>
      <c r="R2981" s="26"/>
    </row>
    <row r="2982" spans="1:18" ht="15.75" customHeight="1">
      <c r="A2982" s="26"/>
      <c r="B2982" s="86"/>
      <c r="D2982" s="26"/>
      <c r="F2982" s="87" t="str">
        <f t="shared" si="0"/>
        <v/>
      </c>
      <c r="H2982" s="26" t="str">
        <f t="shared" si="1"/>
        <v/>
      </c>
      <c r="I2982" s="26" t="str">
        <f t="shared" si="2"/>
        <v/>
      </c>
      <c r="J2982" s="86">
        <f t="shared" si="3"/>
        <v>0</v>
      </c>
      <c r="R2982" s="26"/>
    </row>
    <row r="2983" spans="1:18" ht="15.75" customHeight="1">
      <c r="A2983" s="26"/>
      <c r="B2983" s="86"/>
      <c r="D2983" s="26"/>
      <c r="F2983" s="87" t="str">
        <f t="shared" si="0"/>
        <v/>
      </c>
      <c r="H2983" s="26" t="str">
        <f t="shared" si="1"/>
        <v/>
      </c>
      <c r="I2983" s="26" t="str">
        <f t="shared" si="2"/>
        <v/>
      </c>
      <c r="J2983" s="86">
        <f t="shared" si="3"/>
        <v>0</v>
      </c>
      <c r="R2983" s="26"/>
    </row>
    <row r="2984" spans="1:18" ht="15.75" customHeight="1">
      <c r="A2984" s="26"/>
      <c r="B2984" s="86"/>
      <c r="D2984" s="26"/>
      <c r="F2984" s="87" t="str">
        <f t="shared" si="0"/>
        <v/>
      </c>
      <c r="H2984" s="26" t="str">
        <f t="shared" si="1"/>
        <v/>
      </c>
      <c r="I2984" s="26" t="str">
        <f t="shared" si="2"/>
        <v/>
      </c>
      <c r="J2984" s="86">
        <f t="shared" si="3"/>
        <v>0</v>
      </c>
      <c r="R2984" s="26"/>
    </row>
    <row r="2985" spans="1:18" ht="15.75" customHeight="1">
      <c r="A2985" s="26"/>
      <c r="B2985" s="86"/>
      <c r="D2985" s="26"/>
      <c r="F2985" s="87" t="str">
        <f t="shared" si="0"/>
        <v/>
      </c>
      <c r="H2985" s="26" t="str">
        <f t="shared" si="1"/>
        <v/>
      </c>
      <c r="I2985" s="26" t="str">
        <f t="shared" si="2"/>
        <v/>
      </c>
      <c r="J2985" s="86">
        <f t="shared" si="3"/>
        <v>0</v>
      </c>
      <c r="R2985" s="26"/>
    </row>
    <row r="2986" spans="1:18" ht="15.75" customHeight="1">
      <c r="A2986" s="26"/>
      <c r="B2986" s="86"/>
      <c r="D2986" s="26"/>
      <c r="F2986" s="87" t="str">
        <f t="shared" si="0"/>
        <v/>
      </c>
      <c r="H2986" s="26" t="str">
        <f t="shared" si="1"/>
        <v/>
      </c>
      <c r="I2986" s="26" t="str">
        <f t="shared" si="2"/>
        <v/>
      </c>
      <c r="J2986" s="86">
        <f t="shared" si="3"/>
        <v>0</v>
      </c>
      <c r="R2986" s="26"/>
    </row>
    <row r="2987" spans="1:18" ht="15.75" customHeight="1">
      <c r="A2987" s="26"/>
      <c r="B2987" s="86"/>
      <c r="D2987" s="26"/>
      <c r="F2987" s="87" t="str">
        <f t="shared" si="0"/>
        <v/>
      </c>
      <c r="H2987" s="26" t="str">
        <f t="shared" si="1"/>
        <v/>
      </c>
      <c r="I2987" s="26" t="str">
        <f t="shared" si="2"/>
        <v/>
      </c>
      <c r="J2987" s="86">
        <f t="shared" si="3"/>
        <v>0</v>
      </c>
      <c r="R2987" s="26"/>
    </row>
    <row r="2988" spans="1:18" ht="15.75" customHeight="1">
      <c r="A2988" s="26"/>
      <c r="B2988" s="86"/>
      <c r="D2988" s="26"/>
      <c r="F2988" s="87" t="str">
        <f t="shared" si="0"/>
        <v/>
      </c>
      <c r="H2988" s="26" t="str">
        <f t="shared" si="1"/>
        <v/>
      </c>
      <c r="I2988" s="26" t="str">
        <f t="shared" si="2"/>
        <v/>
      </c>
      <c r="J2988" s="86">
        <f t="shared" si="3"/>
        <v>0</v>
      </c>
      <c r="R2988" s="26"/>
    </row>
    <row r="2989" spans="1:18" ht="15.75" customHeight="1">
      <c r="A2989" s="26"/>
      <c r="B2989" s="86"/>
      <c r="D2989" s="26"/>
      <c r="F2989" s="87" t="str">
        <f t="shared" si="0"/>
        <v/>
      </c>
      <c r="H2989" s="26" t="str">
        <f t="shared" si="1"/>
        <v/>
      </c>
      <c r="I2989" s="26" t="str">
        <f t="shared" si="2"/>
        <v/>
      </c>
      <c r="J2989" s="86">
        <f t="shared" si="3"/>
        <v>0</v>
      </c>
      <c r="R2989" s="26"/>
    </row>
    <row r="2990" spans="1:18" ht="15.75" customHeight="1">
      <c r="A2990" s="26"/>
      <c r="B2990" s="86"/>
      <c r="D2990" s="26"/>
      <c r="F2990" s="87" t="str">
        <f t="shared" si="0"/>
        <v/>
      </c>
      <c r="H2990" s="26" t="str">
        <f t="shared" si="1"/>
        <v/>
      </c>
      <c r="I2990" s="26" t="str">
        <f t="shared" si="2"/>
        <v/>
      </c>
      <c r="J2990" s="86">
        <f t="shared" si="3"/>
        <v>0</v>
      </c>
      <c r="R2990" s="26"/>
    </row>
    <row r="2991" spans="1:18" ht="15.75" customHeight="1">
      <c r="A2991" s="26"/>
      <c r="B2991" s="86"/>
      <c r="D2991" s="26"/>
      <c r="F2991" s="87" t="str">
        <f t="shared" si="0"/>
        <v/>
      </c>
      <c r="H2991" s="26" t="str">
        <f t="shared" si="1"/>
        <v/>
      </c>
      <c r="I2991" s="26" t="str">
        <f t="shared" si="2"/>
        <v/>
      </c>
      <c r="J2991" s="86">
        <f t="shared" si="3"/>
        <v>0</v>
      </c>
      <c r="R2991" s="26"/>
    </row>
    <row r="2992" spans="1:18" ht="15.75" customHeight="1">
      <c r="A2992" s="26"/>
      <c r="B2992" s="86"/>
      <c r="D2992" s="26"/>
      <c r="F2992" s="87" t="str">
        <f t="shared" si="0"/>
        <v/>
      </c>
      <c r="H2992" s="26" t="str">
        <f t="shared" si="1"/>
        <v/>
      </c>
      <c r="I2992" s="26" t="str">
        <f t="shared" si="2"/>
        <v/>
      </c>
      <c r="J2992" s="86">
        <f t="shared" si="3"/>
        <v>0</v>
      </c>
      <c r="R2992" s="26"/>
    </row>
    <row r="2993" spans="1:18" ht="15.75" customHeight="1">
      <c r="A2993" s="26"/>
      <c r="B2993" s="86"/>
      <c r="D2993" s="26"/>
      <c r="F2993" s="87" t="str">
        <f t="shared" si="0"/>
        <v/>
      </c>
      <c r="H2993" s="26" t="str">
        <f t="shared" si="1"/>
        <v/>
      </c>
      <c r="I2993" s="26" t="str">
        <f t="shared" si="2"/>
        <v/>
      </c>
      <c r="J2993" s="86">
        <f t="shared" si="3"/>
        <v>0</v>
      </c>
      <c r="R2993" s="26"/>
    </row>
    <row r="2994" spans="1:18" ht="15.75" customHeight="1">
      <c r="A2994" s="26"/>
      <c r="B2994" s="86"/>
      <c r="D2994" s="26"/>
      <c r="F2994" s="87" t="str">
        <f t="shared" si="0"/>
        <v/>
      </c>
      <c r="H2994" s="26" t="str">
        <f t="shared" si="1"/>
        <v/>
      </c>
      <c r="I2994" s="26" t="str">
        <f t="shared" si="2"/>
        <v/>
      </c>
      <c r="J2994" s="86">
        <f t="shared" si="3"/>
        <v>0</v>
      </c>
      <c r="R2994" s="26"/>
    </row>
    <row r="2995" spans="1:18" ht="15.75" customHeight="1">
      <c r="A2995" s="26"/>
      <c r="B2995" s="86"/>
      <c r="D2995" s="26"/>
      <c r="F2995" s="87" t="str">
        <f t="shared" si="0"/>
        <v/>
      </c>
      <c r="H2995" s="26" t="str">
        <f t="shared" si="1"/>
        <v/>
      </c>
      <c r="I2995" s="26" t="str">
        <f t="shared" si="2"/>
        <v/>
      </c>
      <c r="J2995" s="86">
        <f t="shared" si="3"/>
        <v>0</v>
      </c>
      <c r="R2995" s="26"/>
    </row>
    <row r="2996" spans="1:18" ht="15.75" customHeight="1">
      <c r="A2996" s="26"/>
      <c r="B2996" s="86"/>
      <c r="D2996" s="26"/>
      <c r="F2996" s="87" t="str">
        <f t="shared" si="0"/>
        <v/>
      </c>
      <c r="H2996" s="26" t="str">
        <f t="shared" si="1"/>
        <v/>
      </c>
      <c r="I2996" s="26" t="str">
        <f t="shared" si="2"/>
        <v/>
      </c>
      <c r="J2996" s="86">
        <f t="shared" si="3"/>
        <v>0</v>
      </c>
      <c r="R2996" s="26"/>
    </row>
    <row r="2997" spans="1:18" ht="15.75" customHeight="1">
      <c r="A2997" s="26"/>
      <c r="B2997" s="86"/>
      <c r="D2997" s="26"/>
      <c r="F2997" s="87" t="str">
        <f t="shared" si="0"/>
        <v/>
      </c>
      <c r="H2997" s="26" t="str">
        <f t="shared" si="1"/>
        <v/>
      </c>
      <c r="I2997" s="26" t="str">
        <f t="shared" si="2"/>
        <v/>
      </c>
      <c r="J2997" s="86">
        <f t="shared" si="3"/>
        <v>0</v>
      </c>
      <c r="R2997" s="26"/>
    </row>
    <row r="2998" spans="1:18" ht="15.75" customHeight="1">
      <c r="A2998" s="26"/>
      <c r="B2998" s="86"/>
      <c r="D2998" s="26"/>
      <c r="F2998" s="87" t="str">
        <f t="shared" si="0"/>
        <v/>
      </c>
      <c r="H2998" s="26" t="str">
        <f t="shared" si="1"/>
        <v/>
      </c>
      <c r="I2998" s="26" t="str">
        <f t="shared" si="2"/>
        <v/>
      </c>
      <c r="J2998" s="86">
        <f t="shared" si="3"/>
        <v>0</v>
      </c>
      <c r="R2998" s="26"/>
    </row>
    <row r="2999" spans="1:18" ht="15.75" customHeight="1">
      <c r="A2999" s="26"/>
      <c r="B2999" s="86"/>
      <c r="D2999" s="26"/>
      <c r="F2999" s="87" t="str">
        <f t="shared" si="0"/>
        <v/>
      </c>
      <c r="H2999" s="26" t="str">
        <f t="shared" si="1"/>
        <v/>
      </c>
      <c r="I2999" s="26" t="str">
        <f t="shared" si="2"/>
        <v/>
      </c>
      <c r="J2999" s="86">
        <f t="shared" si="3"/>
        <v>0</v>
      </c>
      <c r="R2999" s="26"/>
    </row>
    <row r="3000" spans="1:18" ht="15.75" customHeight="1">
      <c r="A3000" s="26"/>
      <c r="B3000" s="86"/>
      <c r="D3000" s="26"/>
      <c r="F3000" s="87" t="str">
        <f t="shared" si="0"/>
        <v/>
      </c>
      <c r="H3000" s="26" t="str">
        <f t="shared" si="1"/>
        <v/>
      </c>
      <c r="I3000" s="26" t="str">
        <f t="shared" si="2"/>
        <v/>
      </c>
      <c r="J3000" s="86">
        <f t="shared" si="3"/>
        <v>0</v>
      </c>
      <c r="R3000" s="26"/>
    </row>
    <row r="3001" spans="1:18" ht="15.75" customHeight="1">
      <c r="A3001" s="26"/>
      <c r="B3001" s="86"/>
      <c r="D3001" s="26"/>
      <c r="F3001" s="87" t="str">
        <f t="shared" si="0"/>
        <v/>
      </c>
      <c r="H3001" s="26" t="str">
        <f t="shared" si="1"/>
        <v/>
      </c>
      <c r="I3001" s="26" t="str">
        <f t="shared" si="2"/>
        <v/>
      </c>
      <c r="J3001" s="86">
        <f t="shared" si="3"/>
        <v>0</v>
      </c>
      <c r="R3001" s="26"/>
    </row>
    <row r="3002" spans="1:18" ht="15.75" customHeight="1">
      <c r="A3002" s="26"/>
      <c r="B3002" s="86"/>
      <c r="D3002" s="26"/>
      <c r="F3002" s="87" t="str">
        <f t="shared" si="0"/>
        <v/>
      </c>
      <c r="H3002" s="26" t="str">
        <f t="shared" si="1"/>
        <v/>
      </c>
      <c r="I3002" s="26" t="str">
        <f t="shared" si="2"/>
        <v/>
      </c>
      <c r="J3002" s="86">
        <f t="shared" si="3"/>
        <v>0</v>
      </c>
      <c r="R3002" s="26"/>
    </row>
    <row r="3003" spans="1:18" ht="15.75" customHeight="1">
      <c r="A3003" s="26"/>
      <c r="B3003" s="86"/>
      <c r="D3003" s="26"/>
      <c r="F3003" s="87" t="str">
        <f t="shared" si="0"/>
        <v/>
      </c>
      <c r="H3003" s="26" t="str">
        <f t="shared" si="1"/>
        <v/>
      </c>
      <c r="I3003" s="26" t="str">
        <f t="shared" si="2"/>
        <v/>
      </c>
      <c r="J3003" s="86">
        <f t="shared" si="3"/>
        <v>0</v>
      </c>
      <c r="R3003" s="26"/>
    </row>
    <row r="3004" spans="1:18" ht="15.75" customHeight="1">
      <c r="A3004" s="26"/>
      <c r="B3004" s="86"/>
      <c r="D3004" s="26"/>
      <c r="F3004" s="87" t="str">
        <f t="shared" si="0"/>
        <v/>
      </c>
      <c r="H3004" s="26" t="str">
        <f t="shared" si="1"/>
        <v/>
      </c>
      <c r="I3004" s="26" t="str">
        <f t="shared" si="2"/>
        <v/>
      </c>
      <c r="J3004" s="86">
        <f t="shared" si="3"/>
        <v>0</v>
      </c>
      <c r="R3004" s="26"/>
    </row>
    <row r="3005" spans="1:18" ht="15.75" customHeight="1">
      <c r="A3005" s="26"/>
      <c r="B3005" s="86"/>
      <c r="D3005" s="26"/>
      <c r="F3005" s="87" t="str">
        <f t="shared" si="0"/>
        <v/>
      </c>
      <c r="H3005" s="26" t="str">
        <f t="shared" si="1"/>
        <v/>
      </c>
      <c r="I3005" s="26" t="str">
        <f t="shared" si="2"/>
        <v/>
      </c>
      <c r="J3005" s="86">
        <f t="shared" si="3"/>
        <v>0</v>
      </c>
      <c r="R3005" s="26"/>
    </row>
    <row r="3006" spans="1:18" ht="15.75" customHeight="1">
      <c r="A3006" s="26"/>
      <c r="B3006" s="86"/>
      <c r="D3006" s="26"/>
      <c r="F3006" s="87" t="str">
        <f t="shared" si="0"/>
        <v/>
      </c>
      <c r="H3006" s="26" t="str">
        <f t="shared" si="1"/>
        <v/>
      </c>
      <c r="I3006" s="26" t="str">
        <f t="shared" si="2"/>
        <v/>
      </c>
      <c r="J3006" s="86">
        <f t="shared" si="3"/>
        <v>0</v>
      </c>
      <c r="R3006" s="26"/>
    </row>
    <row r="3007" spans="1:18" ht="15.75" customHeight="1">
      <c r="A3007" s="26"/>
      <c r="B3007" s="86"/>
      <c r="D3007" s="26"/>
      <c r="F3007" s="87" t="str">
        <f t="shared" si="0"/>
        <v/>
      </c>
      <c r="H3007" s="26" t="str">
        <f t="shared" si="1"/>
        <v/>
      </c>
      <c r="I3007" s="26" t="str">
        <f t="shared" si="2"/>
        <v/>
      </c>
      <c r="J3007" s="86">
        <f t="shared" si="3"/>
        <v>0</v>
      </c>
      <c r="R3007" s="26"/>
    </row>
    <row r="3008" spans="1:18" ht="15.75" customHeight="1">
      <c r="A3008" s="26"/>
      <c r="B3008" s="86"/>
      <c r="D3008" s="26"/>
      <c r="F3008" s="87" t="str">
        <f t="shared" si="0"/>
        <v/>
      </c>
      <c r="H3008" s="26" t="str">
        <f t="shared" si="1"/>
        <v/>
      </c>
      <c r="I3008" s="26" t="str">
        <f t="shared" si="2"/>
        <v/>
      </c>
      <c r="J3008" s="86">
        <f t="shared" si="3"/>
        <v>0</v>
      </c>
      <c r="R3008" s="26"/>
    </row>
    <row r="3009" spans="1:18" ht="15.75" customHeight="1">
      <c r="A3009" s="26"/>
      <c r="B3009" s="86"/>
      <c r="D3009" s="26"/>
      <c r="F3009" s="87" t="str">
        <f t="shared" si="0"/>
        <v/>
      </c>
      <c r="H3009" s="26" t="str">
        <f t="shared" si="1"/>
        <v/>
      </c>
      <c r="I3009" s="26" t="str">
        <f t="shared" si="2"/>
        <v/>
      </c>
      <c r="J3009" s="86">
        <f t="shared" si="3"/>
        <v>0</v>
      </c>
      <c r="R3009" s="26"/>
    </row>
    <row r="3010" spans="1:18" ht="15.75" customHeight="1">
      <c r="A3010" s="26"/>
      <c r="B3010" s="86"/>
      <c r="D3010" s="26"/>
      <c r="F3010" s="87" t="str">
        <f t="shared" si="0"/>
        <v/>
      </c>
      <c r="H3010" s="26" t="str">
        <f t="shared" si="1"/>
        <v/>
      </c>
      <c r="I3010" s="26" t="str">
        <f t="shared" si="2"/>
        <v/>
      </c>
      <c r="J3010" s="86">
        <f t="shared" si="3"/>
        <v>0</v>
      </c>
      <c r="R3010" s="26"/>
    </row>
    <row r="3011" spans="1:18" ht="15.75" customHeight="1">
      <c r="A3011" s="26"/>
      <c r="B3011" s="86"/>
      <c r="D3011" s="26"/>
      <c r="F3011" s="87" t="str">
        <f t="shared" si="0"/>
        <v/>
      </c>
      <c r="H3011" s="26" t="str">
        <f t="shared" si="1"/>
        <v/>
      </c>
      <c r="I3011" s="26" t="str">
        <f t="shared" si="2"/>
        <v/>
      </c>
      <c r="J3011" s="86">
        <f t="shared" si="3"/>
        <v>0</v>
      </c>
      <c r="R3011" s="26"/>
    </row>
    <row r="3012" spans="1:18" ht="15.75" customHeight="1">
      <c r="A3012" s="26"/>
      <c r="B3012" s="86"/>
      <c r="D3012" s="26"/>
      <c r="F3012" s="87" t="str">
        <f t="shared" si="0"/>
        <v/>
      </c>
      <c r="H3012" s="26" t="str">
        <f t="shared" si="1"/>
        <v/>
      </c>
      <c r="I3012" s="26" t="str">
        <f t="shared" si="2"/>
        <v/>
      </c>
      <c r="J3012" s="86">
        <f t="shared" si="3"/>
        <v>0</v>
      </c>
      <c r="R3012" s="26"/>
    </row>
    <row r="3013" spans="1:18" ht="15.75" customHeight="1">
      <c r="A3013" s="26"/>
      <c r="B3013" s="86"/>
      <c r="D3013" s="26"/>
      <c r="F3013" s="87" t="str">
        <f t="shared" si="0"/>
        <v/>
      </c>
      <c r="H3013" s="26" t="str">
        <f t="shared" si="1"/>
        <v/>
      </c>
      <c r="I3013" s="26" t="str">
        <f t="shared" si="2"/>
        <v/>
      </c>
      <c r="J3013" s="86">
        <f t="shared" si="3"/>
        <v>0</v>
      </c>
      <c r="R3013" s="26"/>
    </row>
    <row r="3014" spans="1:18" ht="15.75" customHeight="1">
      <c r="A3014" s="26"/>
      <c r="B3014" s="86"/>
      <c r="D3014" s="26"/>
      <c r="F3014" s="87" t="str">
        <f t="shared" si="0"/>
        <v/>
      </c>
      <c r="H3014" s="26" t="str">
        <f t="shared" si="1"/>
        <v/>
      </c>
      <c r="I3014" s="26" t="str">
        <f t="shared" si="2"/>
        <v/>
      </c>
      <c r="J3014" s="86">
        <f t="shared" si="3"/>
        <v>0</v>
      </c>
      <c r="R3014" s="26"/>
    </row>
    <row r="3015" spans="1:18" ht="15.75" customHeight="1">
      <c r="A3015" s="26"/>
      <c r="B3015" s="86"/>
      <c r="D3015" s="26"/>
      <c r="F3015" s="87" t="str">
        <f t="shared" si="0"/>
        <v/>
      </c>
      <c r="H3015" s="26" t="str">
        <f t="shared" si="1"/>
        <v/>
      </c>
      <c r="I3015" s="26" t="str">
        <f t="shared" si="2"/>
        <v/>
      </c>
      <c r="J3015" s="86">
        <f t="shared" si="3"/>
        <v>0</v>
      </c>
      <c r="R3015" s="26"/>
    </row>
    <row r="3016" spans="1:18" ht="15.75" customHeight="1">
      <c r="A3016" s="26"/>
      <c r="B3016" s="86"/>
      <c r="D3016" s="26"/>
      <c r="F3016" s="87" t="str">
        <f t="shared" si="0"/>
        <v/>
      </c>
      <c r="H3016" s="26" t="str">
        <f t="shared" si="1"/>
        <v/>
      </c>
      <c r="I3016" s="26" t="str">
        <f t="shared" si="2"/>
        <v/>
      </c>
      <c r="J3016" s="86">
        <f t="shared" si="3"/>
        <v>0</v>
      </c>
      <c r="R3016" s="26"/>
    </row>
    <row r="3017" spans="1:18" ht="15.75" customHeight="1">
      <c r="A3017" s="26"/>
      <c r="B3017" s="86"/>
      <c r="D3017" s="26"/>
      <c r="F3017" s="87" t="str">
        <f t="shared" si="0"/>
        <v/>
      </c>
      <c r="H3017" s="26" t="str">
        <f t="shared" si="1"/>
        <v/>
      </c>
      <c r="I3017" s="26" t="str">
        <f t="shared" si="2"/>
        <v/>
      </c>
      <c r="J3017" s="86">
        <f t="shared" si="3"/>
        <v>0</v>
      </c>
      <c r="R3017" s="26"/>
    </row>
    <row r="3018" spans="1:18" ht="15.75" customHeight="1">
      <c r="A3018" s="26"/>
      <c r="B3018" s="86"/>
      <c r="D3018" s="26"/>
      <c r="F3018" s="87" t="str">
        <f t="shared" si="0"/>
        <v/>
      </c>
      <c r="H3018" s="26" t="str">
        <f t="shared" si="1"/>
        <v/>
      </c>
      <c r="I3018" s="26" t="str">
        <f t="shared" si="2"/>
        <v/>
      </c>
      <c r="J3018" s="86">
        <f t="shared" si="3"/>
        <v>0</v>
      </c>
      <c r="R3018" s="26"/>
    </row>
    <row r="3019" spans="1:18" ht="15.75" customHeight="1">
      <c r="A3019" s="26"/>
      <c r="B3019" s="86"/>
      <c r="D3019" s="26"/>
      <c r="F3019" s="87" t="str">
        <f t="shared" si="0"/>
        <v/>
      </c>
      <c r="H3019" s="26" t="str">
        <f t="shared" si="1"/>
        <v/>
      </c>
      <c r="I3019" s="26" t="str">
        <f t="shared" si="2"/>
        <v/>
      </c>
      <c r="J3019" s="86">
        <f t="shared" si="3"/>
        <v>0</v>
      </c>
      <c r="R3019" s="26"/>
    </row>
    <row r="3020" spans="1:18" ht="15.75" customHeight="1">
      <c r="A3020" s="26"/>
      <c r="B3020" s="86"/>
      <c r="D3020" s="26"/>
      <c r="F3020" s="87" t="str">
        <f t="shared" si="0"/>
        <v/>
      </c>
      <c r="H3020" s="26" t="str">
        <f t="shared" si="1"/>
        <v/>
      </c>
      <c r="I3020" s="26" t="str">
        <f t="shared" si="2"/>
        <v/>
      </c>
      <c r="J3020" s="86">
        <f t="shared" si="3"/>
        <v>0</v>
      </c>
      <c r="R3020" s="26"/>
    </row>
    <row r="3021" spans="1:18" ht="15.75" customHeight="1">
      <c r="A3021" s="26"/>
      <c r="B3021" s="86"/>
      <c r="D3021" s="26"/>
      <c r="F3021" s="87" t="str">
        <f t="shared" si="0"/>
        <v/>
      </c>
      <c r="H3021" s="26" t="str">
        <f t="shared" si="1"/>
        <v/>
      </c>
      <c r="I3021" s="26" t="str">
        <f t="shared" si="2"/>
        <v/>
      </c>
      <c r="J3021" s="86">
        <f t="shared" si="3"/>
        <v>0</v>
      </c>
      <c r="R3021" s="26"/>
    </row>
    <row r="3022" spans="1:18" ht="15.75" customHeight="1">
      <c r="A3022" s="26"/>
      <c r="B3022" s="86"/>
      <c r="D3022" s="26"/>
      <c r="F3022" s="87" t="str">
        <f t="shared" si="0"/>
        <v/>
      </c>
      <c r="H3022" s="26" t="str">
        <f t="shared" si="1"/>
        <v/>
      </c>
      <c r="I3022" s="26" t="str">
        <f t="shared" si="2"/>
        <v/>
      </c>
      <c r="J3022" s="86">
        <f t="shared" si="3"/>
        <v>0</v>
      </c>
      <c r="R3022" s="26"/>
    </row>
    <row r="3023" spans="1:18" ht="15.75" customHeight="1">
      <c r="A3023" s="26"/>
      <c r="B3023" s="86"/>
      <c r="D3023" s="26"/>
      <c r="F3023" s="87" t="str">
        <f t="shared" si="0"/>
        <v/>
      </c>
      <c r="H3023" s="26" t="str">
        <f t="shared" si="1"/>
        <v/>
      </c>
      <c r="I3023" s="26" t="str">
        <f t="shared" si="2"/>
        <v/>
      </c>
      <c r="J3023" s="86">
        <f t="shared" si="3"/>
        <v>0</v>
      </c>
      <c r="R3023" s="26"/>
    </row>
    <row r="3024" spans="1:18" ht="15.75" customHeight="1">
      <c r="A3024" s="26"/>
      <c r="B3024" s="86"/>
      <c r="D3024" s="26"/>
      <c r="F3024" s="87" t="str">
        <f t="shared" si="0"/>
        <v/>
      </c>
      <c r="H3024" s="26" t="str">
        <f t="shared" si="1"/>
        <v/>
      </c>
      <c r="I3024" s="26" t="str">
        <f t="shared" si="2"/>
        <v/>
      </c>
      <c r="J3024" s="86">
        <f t="shared" si="3"/>
        <v>0</v>
      </c>
      <c r="R3024" s="26"/>
    </row>
    <row r="3025" spans="1:18" ht="15.75" customHeight="1">
      <c r="A3025" s="26"/>
      <c r="B3025" s="86"/>
      <c r="D3025" s="26"/>
      <c r="F3025" s="87" t="str">
        <f t="shared" si="0"/>
        <v/>
      </c>
      <c r="H3025" s="26" t="str">
        <f t="shared" si="1"/>
        <v/>
      </c>
      <c r="I3025" s="26" t="str">
        <f t="shared" si="2"/>
        <v/>
      </c>
      <c r="J3025" s="86">
        <f t="shared" si="3"/>
        <v>0</v>
      </c>
      <c r="R3025" s="26"/>
    </row>
    <row r="3026" spans="1:18" ht="15.75" customHeight="1">
      <c r="A3026" s="26"/>
      <c r="B3026" s="86"/>
      <c r="D3026" s="26"/>
      <c r="F3026" s="87" t="str">
        <f t="shared" si="0"/>
        <v/>
      </c>
      <c r="H3026" s="26" t="str">
        <f t="shared" si="1"/>
        <v/>
      </c>
      <c r="I3026" s="26" t="str">
        <f t="shared" si="2"/>
        <v/>
      </c>
      <c r="J3026" s="86">
        <f t="shared" si="3"/>
        <v>0</v>
      </c>
      <c r="R3026" s="26"/>
    </row>
    <row r="3027" spans="1:18" ht="15.75" customHeight="1">
      <c r="A3027" s="26"/>
      <c r="B3027" s="86"/>
      <c r="D3027" s="26"/>
      <c r="F3027" s="87" t="str">
        <f t="shared" si="0"/>
        <v/>
      </c>
      <c r="H3027" s="26" t="str">
        <f t="shared" si="1"/>
        <v/>
      </c>
      <c r="I3027" s="26" t="str">
        <f t="shared" si="2"/>
        <v/>
      </c>
      <c r="J3027" s="86">
        <f t="shared" si="3"/>
        <v>0</v>
      </c>
      <c r="R3027" s="26"/>
    </row>
    <row r="3028" spans="1:18" ht="15.75" customHeight="1">
      <c r="A3028" s="26"/>
      <c r="B3028" s="86"/>
      <c r="D3028" s="26"/>
      <c r="F3028" s="87" t="str">
        <f t="shared" si="0"/>
        <v/>
      </c>
      <c r="H3028" s="26" t="str">
        <f t="shared" si="1"/>
        <v/>
      </c>
      <c r="I3028" s="26" t="str">
        <f t="shared" si="2"/>
        <v/>
      </c>
      <c r="J3028" s="86">
        <f t="shared" si="3"/>
        <v>0</v>
      </c>
      <c r="R3028" s="26"/>
    </row>
    <row r="3029" spans="1:18" ht="15.75" customHeight="1">
      <c r="A3029" s="26"/>
      <c r="B3029" s="86"/>
      <c r="D3029" s="26"/>
      <c r="F3029" s="87" t="str">
        <f t="shared" si="0"/>
        <v/>
      </c>
      <c r="H3029" s="26" t="str">
        <f t="shared" si="1"/>
        <v/>
      </c>
      <c r="I3029" s="26" t="str">
        <f t="shared" si="2"/>
        <v/>
      </c>
      <c r="J3029" s="86">
        <f t="shared" si="3"/>
        <v>0</v>
      </c>
      <c r="R3029" s="26"/>
    </row>
    <row r="3030" spans="1:18" ht="15.75" customHeight="1">
      <c r="A3030" s="26"/>
      <c r="B3030" s="86"/>
      <c r="D3030" s="26"/>
      <c r="F3030" s="87" t="str">
        <f t="shared" si="0"/>
        <v/>
      </c>
      <c r="H3030" s="26" t="str">
        <f t="shared" si="1"/>
        <v/>
      </c>
      <c r="I3030" s="26" t="str">
        <f t="shared" si="2"/>
        <v/>
      </c>
      <c r="J3030" s="86">
        <f t="shared" si="3"/>
        <v>0</v>
      </c>
      <c r="R3030" s="26"/>
    </row>
    <row r="3031" spans="1:18" ht="15.75" customHeight="1">
      <c r="A3031" s="26"/>
      <c r="B3031" s="86"/>
      <c r="D3031" s="26"/>
      <c r="F3031" s="87" t="str">
        <f t="shared" si="0"/>
        <v/>
      </c>
      <c r="H3031" s="26" t="str">
        <f t="shared" si="1"/>
        <v/>
      </c>
      <c r="I3031" s="26" t="str">
        <f t="shared" si="2"/>
        <v/>
      </c>
      <c r="J3031" s="86">
        <f t="shared" si="3"/>
        <v>0</v>
      </c>
      <c r="R3031" s="26"/>
    </row>
    <row r="3032" spans="1:18" ht="15.75" customHeight="1">
      <c r="A3032" s="26"/>
      <c r="B3032" s="86"/>
      <c r="D3032" s="26"/>
      <c r="F3032" s="87" t="str">
        <f t="shared" si="0"/>
        <v/>
      </c>
      <c r="H3032" s="26" t="str">
        <f t="shared" si="1"/>
        <v/>
      </c>
      <c r="I3032" s="26" t="str">
        <f t="shared" si="2"/>
        <v/>
      </c>
      <c r="J3032" s="86">
        <f t="shared" si="3"/>
        <v>0</v>
      </c>
      <c r="R3032" s="26"/>
    </row>
    <row r="3033" spans="1:18" ht="15.75" customHeight="1">
      <c r="A3033" s="26"/>
      <c r="B3033" s="86"/>
      <c r="D3033" s="26"/>
      <c r="F3033" s="87" t="str">
        <f t="shared" si="0"/>
        <v/>
      </c>
      <c r="H3033" s="26" t="str">
        <f t="shared" si="1"/>
        <v/>
      </c>
      <c r="I3033" s="26" t="str">
        <f t="shared" si="2"/>
        <v/>
      </c>
      <c r="J3033" s="86">
        <f t="shared" si="3"/>
        <v>0</v>
      </c>
      <c r="R3033" s="26"/>
    </row>
    <row r="3034" spans="1:18" ht="15.75" customHeight="1">
      <c r="A3034" s="26"/>
      <c r="B3034" s="86"/>
      <c r="D3034" s="26"/>
      <c r="F3034" s="87" t="str">
        <f t="shared" si="0"/>
        <v/>
      </c>
      <c r="H3034" s="26" t="str">
        <f t="shared" si="1"/>
        <v/>
      </c>
      <c r="I3034" s="26" t="str">
        <f t="shared" si="2"/>
        <v/>
      </c>
      <c r="J3034" s="86">
        <f t="shared" si="3"/>
        <v>0</v>
      </c>
      <c r="R3034" s="26"/>
    </row>
    <row r="3035" spans="1:18" ht="15.75" customHeight="1">
      <c r="A3035" s="26"/>
      <c r="B3035" s="86"/>
      <c r="D3035" s="26"/>
      <c r="F3035" s="87" t="str">
        <f t="shared" si="0"/>
        <v/>
      </c>
      <c r="H3035" s="26" t="str">
        <f t="shared" si="1"/>
        <v/>
      </c>
      <c r="I3035" s="26" t="str">
        <f t="shared" si="2"/>
        <v/>
      </c>
      <c r="J3035" s="86">
        <f t="shared" si="3"/>
        <v>0</v>
      </c>
      <c r="R3035" s="26"/>
    </row>
    <row r="3036" spans="1:18" ht="15.75" customHeight="1">
      <c r="A3036" s="26"/>
      <c r="B3036" s="86"/>
      <c r="D3036" s="26"/>
      <c r="F3036" s="87" t="str">
        <f t="shared" si="0"/>
        <v/>
      </c>
      <c r="H3036" s="26" t="str">
        <f t="shared" si="1"/>
        <v/>
      </c>
      <c r="I3036" s="26" t="str">
        <f t="shared" si="2"/>
        <v/>
      </c>
      <c r="J3036" s="86">
        <f t="shared" si="3"/>
        <v>0</v>
      </c>
      <c r="R3036" s="26"/>
    </row>
    <row r="3037" spans="1:18" ht="15.75" customHeight="1">
      <c r="A3037" s="26"/>
      <c r="B3037" s="86"/>
      <c r="D3037" s="26"/>
      <c r="F3037" s="87" t="str">
        <f t="shared" si="0"/>
        <v/>
      </c>
      <c r="H3037" s="26" t="str">
        <f t="shared" si="1"/>
        <v/>
      </c>
      <c r="I3037" s="26" t="str">
        <f t="shared" si="2"/>
        <v/>
      </c>
      <c r="J3037" s="86">
        <f t="shared" si="3"/>
        <v>0</v>
      </c>
      <c r="R3037" s="26"/>
    </row>
    <row r="3038" spans="1:18" ht="15.75" customHeight="1">
      <c r="A3038" s="26"/>
      <c r="B3038" s="86"/>
      <c r="D3038" s="26"/>
      <c r="F3038" s="87" t="str">
        <f t="shared" si="0"/>
        <v/>
      </c>
      <c r="H3038" s="26" t="str">
        <f t="shared" si="1"/>
        <v/>
      </c>
      <c r="I3038" s="26" t="str">
        <f t="shared" si="2"/>
        <v/>
      </c>
      <c r="J3038" s="86">
        <f t="shared" si="3"/>
        <v>0</v>
      </c>
      <c r="R3038" s="26"/>
    </row>
    <row r="3039" spans="1:18" ht="15.75" customHeight="1">
      <c r="A3039" s="26"/>
      <c r="B3039" s="86"/>
      <c r="D3039" s="26"/>
      <c r="F3039" s="87" t="str">
        <f t="shared" si="0"/>
        <v/>
      </c>
      <c r="H3039" s="26" t="str">
        <f t="shared" si="1"/>
        <v/>
      </c>
      <c r="I3039" s="26" t="str">
        <f t="shared" si="2"/>
        <v/>
      </c>
      <c r="J3039" s="86">
        <f t="shared" si="3"/>
        <v>0</v>
      </c>
      <c r="R3039" s="26"/>
    </row>
    <row r="3040" spans="1:18" ht="15.75" customHeight="1">
      <c r="A3040" s="26"/>
      <c r="B3040" s="86"/>
      <c r="D3040" s="26"/>
      <c r="F3040" s="87" t="str">
        <f t="shared" si="0"/>
        <v/>
      </c>
      <c r="H3040" s="26" t="str">
        <f t="shared" si="1"/>
        <v/>
      </c>
      <c r="I3040" s="26" t="str">
        <f t="shared" si="2"/>
        <v/>
      </c>
      <c r="J3040" s="86">
        <f t="shared" si="3"/>
        <v>0</v>
      </c>
      <c r="R3040" s="26"/>
    </row>
    <row r="3041" spans="1:18" ht="15.75" customHeight="1">
      <c r="A3041" s="26"/>
      <c r="B3041" s="86"/>
      <c r="D3041" s="26"/>
      <c r="F3041" s="87" t="str">
        <f t="shared" si="0"/>
        <v/>
      </c>
      <c r="H3041" s="26" t="str">
        <f t="shared" si="1"/>
        <v/>
      </c>
      <c r="I3041" s="26" t="str">
        <f t="shared" si="2"/>
        <v/>
      </c>
      <c r="J3041" s="86">
        <f t="shared" si="3"/>
        <v>0</v>
      </c>
      <c r="R3041" s="26"/>
    </row>
    <row r="3042" spans="1:18" ht="15.75" customHeight="1">
      <c r="A3042" s="26"/>
      <c r="B3042" s="86"/>
      <c r="D3042" s="26"/>
      <c r="F3042" s="87" t="str">
        <f t="shared" si="0"/>
        <v/>
      </c>
      <c r="H3042" s="26" t="str">
        <f t="shared" si="1"/>
        <v/>
      </c>
      <c r="I3042" s="26" t="str">
        <f t="shared" si="2"/>
        <v/>
      </c>
      <c r="J3042" s="86">
        <f t="shared" si="3"/>
        <v>0</v>
      </c>
      <c r="R3042" s="26"/>
    </row>
    <row r="3043" spans="1:18" ht="15.75" customHeight="1">
      <c r="A3043" s="26"/>
      <c r="B3043" s="86"/>
      <c r="D3043" s="26"/>
      <c r="F3043" s="87" t="str">
        <f t="shared" si="0"/>
        <v/>
      </c>
      <c r="H3043" s="26" t="str">
        <f t="shared" si="1"/>
        <v/>
      </c>
      <c r="I3043" s="26" t="str">
        <f t="shared" si="2"/>
        <v/>
      </c>
      <c r="J3043" s="86">
        <f t="shared" si="3"/>
        <v>0</v>
      </c>
      <c r="R3043" s="26"/>
    </row>
    <row r="3044" spans="1:18" ht="15.75" customHeight="1">
      <c r="A3044" s="26"/>
      <c r="B3044" s="86"/>
      <c r="D3044" s="26"/>
      <c r="F3044" s="87" t="str">
        <f t="shared" si="0"/>
        <v/>
      </c>
      <c r="H3044" s="26" t="str">
        <f t="shared" si="1"/>
        <v/>
      </c>
      <c r="I3044" s="26" t="str">
        <f t="shared" si="2"/>
        <v/>
      </c>
      <c r="J3044" s="86">
        <f t="shared" si="3"/>
        <v>0</v>
      </c>
      <c r="R3044" s="26"/>
    </row>
    <row r="3045" spans="1:18" ht="15.75" customHeight="1">
      <c r="A3045" s="26"/>
      <c r="B3045" s="86"/>
      <c r="D3045" s="26"/>
      <c r="F3045" s="87" t="str">
        <f t="shared" si="0"/>
        <v/>
      </c>
      <c r="H3045" s="26" t="str">
        <f t="shared" si="1"/>
        <v/>
      </c>
      <c r="I3045" s="26" t="str">
        <f t="shared" si="2"/>
        <v/>
      </c>
      <c r="J3045" s="86">
        <f t="shared" si="3"/>
        <v>0</v>
      </c>
      <c r="R3045" s="26"/>
    </row>
    <row r="3046" spans="1:18" ht="15.75" customHeight="1">
      <c r="A3046" s="26"/>
      <c r="B3046" s="86"/>
      <c r="D3046" s="26"/>
      <c r="F3046" s="87" t="str">
        <f t="shared" si="0"/>
        <v/>
      </c>
      <c r="H3046" s="26" t="str">
        <f t="shared" si="1"/>
        <v/>
      </c>
      <c r="I3046" s="26" t="str">
        <f t="shared" si="2"/>
        <v/>
      </c>
      <c r="J3046" s="86">
        <f t="shared" si="3"/>
        <v>0</v>
      </c>
      <c r="R3046" s="26"/>
    </row>
    <row r="3047" spans="1:18" ht="15.75" customHeight="1">
      <c r="A3047" s="26"/>
      <c r="B3047" s="86"/>
      <c r="D3047" s="26"/>
      <c r="F3047" s="87" t="str">
        <f t="shared" si="0"/>
        <v/>
      </c>
      <c r="H3047" s="26" t="str">
        <f t="shared" si="1"/>
        <v/>
      </c>
      <c r="I3047" s="26" t="str">
        <f t="shared" si="2"/>
        <v/>
      </c>
      <c r="J3047" s="86">
        <f t="shared" si="3"/>
        <v>0</v>
      </c>
      <c r="R3047" s="26"/>
    </row>
    <row r="3048" spans="1:18" ht="15.75" customHeight="1">
      <c r="A3048" s="26"/>
      <c r="B3048" s="86"/>
      <c r="D3048" s="26"/>
      <c r="F3048" s="87" t="str">
        <f t="shared" si="0"/>
        <v/>
      </c>
      <c r="H3048" s="26" t="str">
        <f t="shared" si="1"/>
        <v/>
      </c>
      <c r="I3048" s="26" t="str">
        <f t="shared" si="2"/>
        <v/>
      </c>
      <c r="J3048" s="86">
        <f t="shared" si="3"/>
        <v>0</v>
      </c>
      <c r="R3048" s="26"/>
    </row>
    <row r="3049" spans="1:18" ht="15.75" customHeight="1">
      <c r="A3049" s="26"/>
      <c r="B3049" s="86"/>
      <c r="D3049" s="26"/>
      <c r="F3049" s="87" t="str">
        <f t="shared" si="0"/>
        <v/>
      </c>
      <c r="H3049" s="26" t="str">
        <f t="shared" si="1"/>
        <v/>
      </c>
      <c r="I3049" s="26" t="str">
        <f t="shared" si="2"/>
        <v/>
      </c>
      <c r="J3049" s="86">
        <f t="shared" si="3"/>
        <v>0</v>
      </c>
      <c r="R3049" s="26"/>
    </row>
    <row r="3050" spans="1:18" ht="15.75" customHeight="1">
      <c r="A3050" s="26"/>
      <c r="B3050" s="86"/>
      <c r="D3050" s="26"/>
      <c r="F3050" s="87" t="str">
        <f t="shared" si="0"/>
        <v/>
      </c>
      <c r="H3050" s="26" t="str">
        <f t="shared" si="1"/>
        <v/>
      </c>
      <c r="I3050" s="26" t="str">
        <f t="shared" si="2"/>
        <v/>
      </c>
      <c r="J3050" s="86">
        <f t="shared" si="3"/>
        <v>0</v>
      </c>
      <c r="R3050" s="26"/>
    </row>
    <row r="3051" spans="1:18" ht="15.75" customHeight="1">
      <c r="A3051" s="26"/>
      <c r="B3051" s="86"/>
      <c r="D3051" s="26"/>
      <c r="F3051" s="87" t="str">
        <f t="shared" si="0"/>
        <v/>
      </c>
      <c r="H3051" s="26" t="str">
        <f t="shared" si="1"/>
        <v/>
      </c>
      <c r="I3051" s="26" t="str">
        <f t="shared" si="2"/>
        <v/>
      </c>
      <c r="J3051" s="86">
        <f t="shared" si="3"/>
        <v>0</v>
      </c>
      <c r="R3051" s="26"/>
    </row>
    <row r="3052" spans="1:18" ht="15.75" customHeight="1">
      <c r="A3052" s="26"/>
      <c r="B3052" s="86"/>
      <c r="D3052" s="26"/>
      <c r="F3052" s="87" t="str">
        <f t="shared" si="0"/>
        <v/>
      </c>
      <c r="H3052" s="26" t="str">
        <f t="shared" si="1"/>
        <v/>
      </c>
      <c r="I3052" s="26" t="str">
        <f t="shared" si="2"/>
        <v/>
      </c>
      <c r="J3052" s="86">
        <f t="shared" si="3"/>
        <v>0</v>
      </c>
      <c r="R3052" s="26"/>
    </row>
    <row r="3053" spans="1:18" ht="15.75" customHeight="1">
      <c r="A3053" s="26"/>
      <c r="B3053" s="86"/>
      <c r="D3053" s="26"/>
      <c r="F3053" s="87" t="str">
        <f t="shared" si="0"/>
        <v/>
      </c>
      <c r="H3053" s="26" t="str">
        <f t="shared" si="1"/>
        <v/>
      </c>
      <c r="I3053" s="26" t="str">
        <f t="shared" si="2"/>
        <v/>
      </c>
      <c r="J3053" s="86">
        <f t="shared" si="3"/>
        <v>0</v>
      </c>
      <c r="R3053" s="26"/>
    </row>
    <row r="3054" spans="1:18" ht="15.75" customHeight="1">
      <c r="A3054" s="26"/>
      <c r="B3054" s="86"/>
      <c r="D3054" s="26"/>
      <c r="F3054" s="87" t="str">
        <f t="shared" si="0"/>
        <v/>
      </c>
      <c r="H3054" s="26" t="str">
        <f t="shared" si="1"/>
        <v/>
      </c>
      <c r="I3054" s="26" t="str">
        <f t="shared" si="2"/>
        <v/>
      </c>
      <c r="J3054" s="86">
        <f t="shared" si="3"/>
        <v>0</v>
      </c>
      <c r="R3054" s="26"/>
    </row>
    <row r="3055" spans="1:18" ht="15.75" customHeight="1">
      <c r="A3055" s="26"/>
      <c r="B3055" s="86"/>
      <c r="D3055" s="26"/>
      <c r="F3055" s="87" t="str">
        <f t="shared" si="0"/>
        <v/>
      </c>
      <c r="H3055" s="26" t="str">
        <f t="shared" si="1"/>
        <v/>
      </c>
      <c r="I3055" s="26" t="str">
        <f t="shared" si="2"/>
        <v/>
      </c>
      <c r="J3055" s="86">
        <f t="shared" si="3"/>
        <v>0</v>
      </c>
      <c r="R3055" s="26"/>
    </row>
    <row r="3056" spans="1:18" ht="15.75" customHeight="1">
      <c r="A3056" s="26"/>
      <c r="B3056" s="86"/>
      <c r="D3056" s="26"/>
      <c r="F3056" s="87" t="str">
        <f t="shared" si="0"/>
        <v/>
      </c>
      <c r="H3056" s="26" t="str">
        <f t="shared" si="1"/>
        <v/>
      </c>
      <c r="I3056" s="26" t="str">
        <f t="shared" si="2"/>
        <v/>
      </c>
      <c r="J3056" s="86">
        <f t="shared" si="3"/>
        <v>0</v>
      </c>
      <c r="R3056" s="26"/>
    </row>
    <row r="3057" spans="1:18" ht="15.75" customHeight="1">
      <c r="A3057" s="26"/>
      <c r="B3057" s="86"/>
      <c r="D3057" s="26"/>
      <c r="F3057" s="87" t="str">
        <f t="shared" si="0"/>
        <v/>
      </c>
      <c r="H3057" s="26" t="str">
        <f t="shared" si="1"/>
        <v/>
      </c>
      <c r="I3057" s="26" t="str">
        <f t="shared" si="2"/>
        <v/>
      </c>
      <c r="J3057" s="86">
        <f t="shared" si="3"/>
        <v>0</v>
      </c>
      <c r="R3057" s="26"/>
    </row>
    <row r="3058" spans="1:18" ht="15.75" customHeight="1">
      <c r="A3058" s="26"/>
      <c r="B3058" s="86"/>
      <c r="D3058" s="26"/>
      <c r="F3058" s="87" t="str">
        <f t="shared" si="0"/>
        <v/>
      </c>
      <c r="H3058" s="26" t="str">
        <f t="shared" si="1"/>
        <v/>
      </c>
      <c r="I3058" s="26" t="str">
        <f t="shared" si="2"/>
        <v/>
      </c>
      <c r="J3058" s="86">
        <f t="shared" si="3"/>
        <v>0</v>
      </c>
      <c r="R3058" s="26"/>
    </row>
    <row r="3059" spans="1:18" ht="15.75" customHeight="1">
      <c r="A3059" s="26"/>
      <c r="B3059" s="86"/>
      <c r="D3059" s="26"/>
      <c r="F3059" s="87" t="str">
        <f t="shared" si="0"/>
        <v/>
      </c>
      <c r="H3059" s="26" t="str">
        <f t="shared" si="1"/>
        <v/>
      </c>
      <c r="I3059" s="26" t="str">
        <f t="shared" si="2"/>
        <v/>
      </c>
      <c r="J3059" s="86">
        <f t="shared" si="3"/>
        <v>0</v>
      </c>
      <c r="R3059" s="26"/>
    </row>
    <row r="3060" spans="1:18" ht="15.75" customHeight="1">
      <c r="A3060" s="26"/>
      <c r="B3060" s="86"/>
      <c r="D3060" s="26"/>
      <c r="F3060" s="87" t="str">
        <f t="shared" si="0"/>
        <v/>
      </c>
      <c r="H3060" s="26" t="str">
        <f t="shared" si="1"/>
        <v/>
      </c>
      <c r="I3060" s="26" t="str">
        <f t="shared" si="2"/>
        <v/>
      </c>
      <c r="J3060" s="86">
        <f t="shared" si="3"/>
        <v>0</v>
      </c>
      <c r="R3060" s="26"/>
    </row>
    <row r="3061" spans="1:18" ht="15.75" customHeight="1">
      <c r="A3061" s="26"/>
      <c r="B3061" s="86"/>
      <c r="D3061" s="26"/>
      <c r="F3061" s="87" t="str">
        <f t="shared" si="0"/>
        <v/>
      </c>
      <c r="H3061" s="26" t="str">
        <f t="shared" si="1"/>
        <v/>
      </c>
      <c r="I3061" s="26" t="str">
        <f t="shared" si="2"/>
        <v/>
      </c>
      <c r="J3061" s="86">
        <f t="shared" si="3"/>
        <v>0</v>
      </c>
      <c r="R3061" s="26"/>
    </row>
    <row r="3062" spans="1:18" ht="15.75" customHeight="1">
      <c r="A3062" s="26"/>
      <c r="B3062" s="86"/>
      <c r="D3062" s="26"/>
      <c r="F3062" s="87" t="str">
        <f t="shared" si="0"/>
        <v/>
      </c>
      <c r="H3062" s="26" t="str">
        <f t="shared" si="1"/>
        <v/>
      </c>
      <c r="I3062" s="26" t="str">
        <f t="shared" si="2"/>
        <v/>
      </c>
      <c r="J3062" s="86">
        <f t="shared" si="3"/>
        <v>0</v>
      </c>
      <c r="R3062" s="26"/>
    </row>
    <row r="3063" spans="1:18" ht="15.75" customHeight="1">
      <c r="A3063" s="26"/>
      <c r="B3063" s="86"/>
      <c r="D3063" s="26"/>
      <c r="F3063" s="87" t="str">
        <f t="shared" si="0"/>
        <v/>
      </c>
      <c r="H3063" s="26" t="str">
        <f t="shared" si="1"/>
        <v/>
      </c>
      <c r="I3063" s="26" t="str">
        <f t="shared" si="2"/>
        <v/>
      </c>
      <c r="J3063" s="86">
        <f t="shared" si="3"/>
        <v>0</v>
      </c>
      <c r="R3063" s="26"/>
    </row>
    <row r="3064" spans="1:18" ht="15.75" customHeight="1">
      <c r="A3064" s="26"/>
      <c r="B3064" s="86"/>
      <c r="D3064" s="26"/>
      <c r="F3064" s="87" t="str">
        <f t="shared" si="0"/>
        <v/>
      </c>
      <c r="H3064" s="26" t="str">
        <f t="shared" si="1"/>
        <v/>
      </c>
      <c r="I3064" s="26" t="str">
        <f t="shared" si="2"/>
        <v/>
      </c>
      <c r="J3064" s="86">
        <f t="shared" si="3"/>
        <v>0</v>
      </c>
      <c r="R3064" s="26"/>
    </row>
    <row r="3065" spans="1:18" ht="15.75" customHeight="1">
      <c r="A3065" s="26"/>
      <c r="B3065" s="86"/>
      <c r="D3065" s="26"/>
      <c r="F3065" s="87" t="str">
        <f t="shared" si="0"/>
        <v/>
      </c>
      <c r="H3065" s="26" t="str">
        <f t="shared" si="1"/>
        <v/>
      </c>
      <c r="I3065" s="26" t="str">
        <f t="shared" si="2"/>
        <v/>
      </c>
      <c r="J3065" s="86">
        <f t="shared" si="3"/>
        <v>0</v>
      </c>
      <c r="R3065" s="26"/>
    </row>
    <row r="3066" spans="1:18" ht="15.75" customHeight="1">
      <c r="A3066" s="26"/>
      <c r="B3066" s="86"/>
      <c r="D3066" s="26"/>
      <c r="F3066" s="87" t="str">
        <f t="shared" si="0"/>
        <v/>
      </c>
      <c r="H3066" s="26" t="str">
        <f t="shared" si="1"/>
        <v/>
      </c>
      <c r="I3066" s="26" t="str">
        <f t="shared" si="2"/>
        <v/>
      </c>
      <c r="J3066" s="86">
        <f t="shared" si="3"/>
        <v>0</v>
      </c>
      <c r="R3066" s="26"/>
    </row>
    <row r="3067" spans="1:18" ht="15.75" customHeight="1">
      <c r="A3067" s="26"/>
      <c r="B3067" s="86"/>
      <c r="D3067" s="26"/>
      <c r="F3067" s="87" t="str">
        <f t="shared" si="0"/>
        <v/>
      </c>
      <c r="H3067" s="26" t="str">
        <f t="shared" si="1"/>
        <v/>
      </c>
      <c r="I3067" s="26" t="str">
        <f t="shared" si="2"/>
        <v/>
      </c>
      <c r="J3067" s="86">
        <f t="shared" si="3"/>
        <v>0</v>
      </c>
      <c r="R3067" s="26"/>
    </row>
    <row r="3068" spans="1:18" ht="15.75" customHeight="1">
      <c r="A3068" s="26"/>
      <c r="B3068" s="86"/>
      <c r="D3068" s="26"/>
      <c r="F3068" s="87" t="str">
        <f t="shared" si="0"/>
        <v/>
      </c>
      <c r="H3068" s="26" t="str">
        <f t="shared" si="1"/>
        <v/>
      </c>
      <c r="I3068" s="26" t="str">
        <f t="shared" si="2"/>
        <v/>
      </c>
      <c r="J3068" s="86">
        <f t="shared" si="3"/>
        <v>0</v>
      </c>
      <c r="R3068" s="26"/>
    </row>
    <row r="3069" spans="1:18" ht="15.75" customHeight="1">
      <c r="A3069" s="26"/>
      <c r="B3069" s="86"/>
      <c r="D3069" s="26"/>
      <c r="F3069" s="87" t="str">
        <f t="shared" si="0"/>
        <v/>
      </c>
      <c r="H3069" s="26" t="str">
        <f t="shared" si="1"/>
        <v/>
      </c>
      <c r="I3069" s="26" t="str">
        <f t="shared" si="2"/>
        <v/>
      </c>
      <c r="J3069" s="86">
        <f t="shared" si="3"/>
        <v>0</v>
      </c>
      <c r="R3069" s="26"/>
    </row>
    <row r="3070" spans="1:18" ht="15.75" customHeight="1">
      <c r="A3070" s="26"/>
      <c r="B3070" s="86"/>
      <c r="D3070" s="26"/>
      <c r="F3070" s="87" t="str">
        <f t="shared" si="0"/>
        <v/>
      </c>
      <c r="H3070" s="26" t="str">
        <f t="shared" si="1"/>
        <v/>
      </c>
      <c r="I3070" s="26" t="str">
        <f t="shared" si="2"/>
        <v/>
      </c>
      <c r="J3070" s="86">
        <f t="shared" si="3"/>
        <v>0</v>
      </c>
      <c r="R3070" s="26"/>
    </row>
    <row r="3071" spans="1:18" ht="15.75" customHeight="1">
      <c r="A3071" s="26"/>
      <c r="B3071" s="86"/>
      <c r="D3071" s="26"/>
      <c r="F3071" s="87" t="str">
        <f t="shared" si="0"/>
        <v/>
      </c>
      <c r="H3071" s="26" t="str">
        <f t="shared" si="1"/>
        <v/>
      </c>
      <c r="I3071" s="26" t="str">
        <f t="shared" si="2"/>
        <v/>
      </c>
      <c r="J3071" s="86">
        <f t="shared" si="3"/>
        <v>0</v>
      </c>
      <c r="R3071" s="26"/>
    </row>
    <row r="3072" spans="1:18" ht="15.75" customHeight="1">
      <c r="A3072" s="26"/>
      <c r="B3072" s="86"/>
      <c r="D3072" s="26"/>
      <c r="F3072" s="87" t="str">
        <f t="shared" si="0"/>
        <v/>
      </c>
      <c r="H3072" s="26" t="str">
        <f t="shared" si="1"/>
        <v/>
      </c>
      <c r="I3072" s="26" t="str">
        <f t="shared" si="2"/>
        <v/>
      </c>
      <c r="J3072" s="86">
        <f t="shared" si="3"/>
        <v>0</v>
      </c>
      <c r="R3072" s="26"/>
    </row>
    <row r="3073" spans="1:18" ht="15.75" customHeight="1">
      <c r="A3073" s="26"/>
      <c r="B3073" s="86"/>
      <c r="D3073" s="26"/>
      <c r="F3073" s="87" t="str">
        <f t="shared" si="0"/>
        <v/>
      </c>
      <c r="H3073" s="26" t="str">
        <f t="shared" si="1"/>
        <v/>
      </c>
      <c r="I3073" s="26" t="str">
        <f t="shared" si="2"/>
        <v/>
      </c>
      <c r="J3073" s="86">
        <f t="shared" si="3"/>
        <v>0</v>
      </c>
      <c r="R3073" s="26"/>
    </row>
    <row r="3074" spans="1:18" ht="15.75" customHeight="1">
      <c r="A3074" s="26"/>
      <c r="B3074" s="86"/>
      <c r="D3074" s="26"/>
      <c r="F3074" s="87" t="str">
        <f t="shared" si="0"/>
        <v/>
      </c>
      <c r="H3074" s="26" t="str">
        <f t="shared" si="1"/>
        <v/>
      </c>
      <c r="I3074" s="26" t="str">
        <f t="shared" si="2"/>
        <v/>
      </c>
      <c r="J3074" s="86">
        <f t="shared" si="3"/>
        <v>0</v>
      </c>
      <c r="R3074" s="26"/>
    </row>
    <row r="3075" spans="1:18" ht="15.75" customHeight="1">
      <c r="A3075" s="26"/>
      <c r="B3075" s="86"/>
      <c r="D3075" s="26"/>
      <c r="F3075" s="87" t="str">
        <f t="shared" si="0"/>
        <v/>
      </c>
      <c r="H3075" s="26" t="str">
        <f t="shared" si="1"/>
        <v/>
      </c>
      <c r="I3075" s="26" t="str">
        <f t="shared" si="2"/>
        <v/>
      </c>
      <c r="J3075" s="86">
        <f t="shared" si="3"/>
        <v>0</v>
      </c>
      <c r="R3075" s="26"/>
    </row>
    <row r="3076" spans="1:18" ht="15.75" customHeight="1">
      <c r="A3076" s="26"/>
      <c r="B3076" s="86"/>
      <c r="D3076" s="26"/>
      <c r="F3076" s="87" t="str">
        <f t="shared" si="0"/>
        <v/>
      </c>
      <c r="H3076" s="26" t="str">
        <f t="shared" si="1"/>
        <v/>
      </c>
      <c r="I3076" s="26" t="str">
        <f t="shared" si="2"/>
        <v/>
      </c>
      <c r="J3076" s="86">
        <f t="shared" si="3"/>
        <v>0</v>
      </c>
      <c r="R3076" s="26"/>
    </row>
    <row r="3077" spans="1:18" ht="15.75" customHeight="1">
      <c r="A3077" s="26"/>
      <c r="B3077" s="86"/>
      <c r="D3077" s="26"/>
      <c r="F3077" s="87" t="str">
        <f t="shared" si="0"/>
        <v/>
      </c>
      <c r="H3077" s="26" t="str">
        <f t="shared" si="1"/>
        <v/>
      </c>
      <c r="I3077" s="26" t="str">
        <f t="shared" si="2"/>
        <v/>
      </c>
      <c r="J3077" s="86">
        <f t="shared" si="3"/>
        <v>0</v>
      </c>
      <c r="R3077" s="26"/>
    </row>
    <row r="3078" spans="1:18" ht="15.75" customHeight="1">
      <c r="A3078" s="26"/>
      <c r="B3078" s="86"/>
      <c r="D3078" s="26"/>
      <c r="F3078" s="87" t="str">
        <f t="shared" si="0"/>
        <v/>
      </c>
      <c r="H3078" s="26" t="str">
        <f t="shared" si="1"/>
        <v/>
      </c>
      <c r="I3078" s="26" t="str">
        <f t="shared" si="2"/>
        <v/>
      </c>
      <c r="J3078" s="86">
        <f t="shared" si="3"/>
        <v>0</v>
      </c>
      <c r="R3078" s="26"/>
    </row>
    <row r="3079" spans="1:18" ht="15.75" customHeight="1">
      <c r="A3079" s="26"/>
      <c r="B3079" s="86"/>
      <c r="D3079" s="26"/>
      <c r="F3079" s="87" t="str">
        <f t="shared" si="0"/>
        <v/>
      </c>
      <c r="H3079" s="26" t="str">
        <f t="shared" si="1"/>
        <v/>
      </c>
      <c r="I3079" s="26" t="str">
        <f t="shared" si="2"/>
        <v/>
      </c>
      <c r="J3079" s="86">
        <f t="shared" si="3"/>
        <v>0</v>
      </c>
      <c r="R3079" s="26"/>
    </row>
    <row r="3080" spans="1:18" ht="15.75" customHeight="1">
      <c r="A3080" s="26"/>
      <c r="B3080" s="86"/>
      <c r="D3080" s="26"/>
      <c r="F3080" s="87" t="str">
        <f t="shared" si="0"/>
        <v/>
      </c>
      <c r="H3080" s="26" t="str">
        <f t="shared" si="1"/>
        <v/>
      </c>
      <c r="I3080" s="26" t="str">
        <f t="shared" si="2"/>
        <v/>
      </c>
      <c r="J3080" s="86">
        <f t="shared" si="3"/>
        <v>0</v>
      </c>
      <c r="R3080" s="26"/>
    </row>
    <row r="3081" spans="1:18" ht="15.75" customHeight="1">
      <c r="A3081" s="26"/>
      <c r="B3081" s="86"/>
      <c r="D3081" s="26"/>
      <c r="F3081" s="87" t="str">
        <f t="shared" si="0"/>
        <v/>
      </c>
      <c r="H3081" s="26" t="str">
        <f t="shared" si="1"/>
        <v/>
      </c>
      <c r="I3081" s="26" t="str">
        <f t="shared" si="2"/>
        <v/>
      </c>
      <c r="J3081" s="86">
        <f t="shared" si="3"/>
        <v>0</v>
      </c>
      <c r="R3081" s="26"/>
    </row>
    <row r="3082" spans="1:18" ht="15.75" customHeight="1">
      <c r="A3082" s="26"/>
      <c r="B3082" s="86"/>
      <c r="D3082" s="26"/>
      <c r="F3082" s="87" t="str">
        <f t="shared" si="0"/>
        <v/>
      </c>
      <c r="H3082" s="26" t="str">
        <f t="shared" si="1"/>
        <v/>
      </c>
      <c r="I3082" s="26" t="str">
        <f t="shared" si="2"/>
        <v/>
      </c>
      <c r="J3082" s="86">
        <f t="shared" si="3"/>
        <v>0</v>
      </c>
      <c r="R3082" s="26"/>
    </row>
    <row r="3083" spans="1:18" ht="15.75" customHeight="1">
      <c r="A3083" s="26"/>
      <c r="B3083" s="86"/>
      <c r="D3083" s="26"/>
      <c r="F3083" s="87" t="str">
        <f t="shared" si="0"/>
        <v/>
      </c>
      <c r="H3083" s="26" t="str">
        <f t="shared" si="1"/>
        <v/>
      </c>
      <c r="I3083" s="26" t="str">
        <f t="shared" si="2"/>
        <v/>
      </c>
      <c r="J3083" s="86">
        <f t="shared" si="3"/>
        <v>0</v>
      </c>
      <c r="R3083" s="26"/>
    </row>
    <row r="3084" spans="1:18" ht="15.75" customHeight="1">
      <c r="A3084" s="26"/>
      <c r="B3084" s="86"/>
      <c r="D3084" s="26"/>
      <c r="F3084" s="87" t="str">
        <f t="shared" si="0"/>
        <v/>
      </c>
      <c r="H3084" s="26" t="str">
        <f t="shared" si="1"/>
        <v/>
      </c>
      <c r="I3084" s="26" t="str">
        <f t="shared" si="2"/>
        <v/>
      </c>
      <c r="J3084" s="86">
        <f t="shared" si="3"/>
        <v>0</v>
      </c>
      <c r="R3084" s="26"/>
    </row>
    <row r="3085" spans="1:18" ht="15.75" customHeight="1">
      <c r="A3085" s="26"/>
      <c r="B3085" s="86"/>
      <c r="D3085" s="26"/>
      <c r="F3085" s="87" t="str">
        <f t="shared" si="0"/>
        <v/>
      </c>
      <c r="H3085" s="26" t="str">
        <f t="shared" si="1"/>
        <v/>
      </c>
      <c r="I3085" s="26" t="str">
        <f t="shared" si="2"/>
        <v/>
      </c>
      <c r="J3085" s="86">
        <f t="shared" si="3"/>
        <v>0</v>
      </c>
      <c r="R3085" s="26"/>
    </row>
    <row r="3086" spans="1:18" ht="15.75" customHeight="1">
      <c r="A3086" s="26"/>
      <c r="B3086" s="86"/>
      <c r="D3086" s="26"/>
      <c r="F3086" s="87" t="str">
        <f t="shared" si="0"/>
        <v/>
      </c>
      <c r="H3086" s="26" t="str">
        <f t="shared" si="1"/>
        <v/>
      </c>
      <c r="I3086" s="26" t="str">
        <f t="shared" si="2"/>
        <v/>
      </c>
      <c r="J3086" s="86">
        <f t="shared" si="3"/>
        <v>0</v>
      </c>
      <c r="R3086" s="26"/>
    </row>
    <row r="3087" spans="1:18" ht="15.75" customHeight="1">
      <c r="A3087" s="26"/>
      <c r="B3087" s="86"/>
      <c r="D3087" s="26"/>
      <c r="F3087" s="87" t="str">
        <f t="shared" si="0"/>
        <v/>
      </c>
      <c r="H3087" s="26" t="str">
        <f t="shared" si="1"/>
        <v/>
      </c>
      <c r="I3087" s="26" t="str">
        <f t="shared" si="2"/>
        <v/>
      </c>
      <c r="J3087" s="86">
        <f t="shared" si="3"/>
        <v>0</v>
      </c>
      <c r="R3087" s="26"/>
    </row>
    <row r="3088" spans="1:18" ht="15.75" customHeight="1">
      <c r="A3088" s="26"/>
      <c r="B3088" s="86"/>
      <c r="D3088" s="26"/>
      <c r="F3088" s="87" t="str">
        <f t="shared" si="0"/>
        <v/>
      </c>
      <c r="H3088" s="26" t="str">
        <f t="shared" si="1"/>
        <v/>
      </c>
      <c r="I3088" s="26" t="str">
        <f t="shared" si="2"/>
        <v/>
      </c>
      <c r="J3088" s="86">
        <f t="shared" si="3"/>
        <v>0</v>
      </c>
      <c r="R3088" s="26"/>
    </row>
    <row r="3089" spans="1:18" ht="15.75" customHeight="1">
      <c r="A3089" s="26"/>
      <c r="B3089" s="86"/>
      <c r="D3089" s="26"/>
      <c r="F3089" s="87" t="str">
        <f t="shared" si="0"/>
        <v/>
      </c>
      <c r="H3089" s="26" t="str">
        <f t="shared" si="1"/>
        <v/>
      </c>
      <c r="I3089" s="26" t="str">
        <f t="shared" si="2"/>
        <v/>
      </c>
      <c r="J3089" s="86">
        <f t="shared" si="3"/>
        <v>0</v>
      </c>
      <c r="R3089" s="26"/>
    </row>
    <row r="3090" spans="1:18" ht="15.75" customHeight="1">
      <c r="A3090" s="26"/>
      <c r="B3090" s="86"/>
      <c r="D3090" s="26"/>
      <c r="F3090" s="87" t="str">
        <f t="shared" si="0"/>
        <v/>
      </c>
      <c r="H3090" s="26" t="str">
        <f t="shared" si="1"/>
        <v/>
      </c>
      <c r="I3090" s="26" t="str">
        <f t="shared" si="2"/>
        <v/>
      </c>
      <c r="J3090" s="86">
        <f t="shared" si="3"/>
        <v>0</v>
      </c>
      <c r="R3090" s="26"/>
    </row>
    <row r="3091" spans="1:18" ht="15.75" customHeight="1">
      <c r="A3091" s="26"/>
      <c r="B3091" s="86"/>
      <c r="D3091" s="26"/>
      <c r="F3091" s="87" t="str">
        <f t="shared" si="0"/>
        <v/>
      </c>
      <c r="H3091" s="26" t="str">
        <f t="shared" si="1"/>
        <v/>
      </c>
      <c r="I3091" s="26" t="str">
        <f t="shared" si="2"/>
        <v/>
      </c>
      <c r="J3091" s="86">
        <f t="shared" si="3"/>
        <v>0</v>
      </c>
      <c r="R3091" s="26"/>
    </row>
    <row r="3092" spans="1:18" ht="15.75" customHeight="1">
      <c r="A3092" s="26"/>
      <c r="B3092" s="86"/>
      <c r="D3092" s="26"/>
      <c r="F3092" s="87" t="str">
        <f t="shared" si="0"/>
        <v/>
      </c>
      <c r="H3092" s="26" t="str">
        <f t="shared" si="1"/>
        <v/>
      </c>
      <c r="I3092" s="26" t="str">
        <f t="shared" si="2"/>
        <v/>
      </c>
      <c r="J3092" s="86">
        <f t="shared" si="3"/>
        <v>0</v>
      </c>
      <c r="R3092" s="26"/>
    </row>
    <row r="3093" spans="1:18" ht="15.75" customHeight="1">
      <c r="A3093" s="26"/>
      <c r="B3093" s="86"/>
      <c r="D3093" s="26"/>
      <c r="F3093" s="87" t="str">
        <f t="shared" si="0"/>
        <v/>
      </c>
      <c r="H3093" s="26" t="str">
        <f t="shared" si="1"/>
        <v/>
      </c>
      <c r="I3093" s="26" t="str">
        <f t="shared" si="2"/>
        <v/>
      </c>
      <c r="J3093" s="86">
        <f t="shared" si="3"/>
        <v>0</v>
      </c>
      <c r="R3093" s="26"/>
    </row>
    <row r="3094" spans="1:18" ht="15.75" customHeight="1">
      <c r="A3094" s="26"/>
      <c r="B3094" s="86"/>
      <c r="D3094" s="26"/>
      <c r="F3094" s="87" t="str">
        <f t="shared" si="0"/>
        <v/>
      </c>
      <c r="H3094" s="26" t="str">
        <f t="shared" si="1"/>
        <v/>
      </c>
      <c r="I3094" s="26" t="str">
        <f t="shared" si="2"/>
        <v/>
      </c>
      <c r="J3094" s="86">
        <f t="shared" si="3"/>
        <v>0</v>
      </c>
      <c r="R3094" s="26"/>
    </row>
    <row r="3095" spans="1:18" ht="15.75" customHeight="1">
      <c r="A3095" s="26"/>
      <c r="B3095" s="86"/>
      <c r="D3095" s="26"/>
      <c r="F3095" s="87" t="str">
        <f t="shared" si="0"/>
        <v/>
      </c>
      <c r="H3095" s="26" t="str">
        <f t="shared" si="1"/>
        <v/>
      </c>
      <c r="I3095" s="26" t="str">
        <f t="shared" si="2"/>
        <v/>
      </c>
      <c r="J3095" s="86">
        <f t="shared" si="3"/>
        <v>0</v>
      </c>
      <c r="R3095" s="26"/>
    </row>
    <row r="3096" spans="1:18" ht="15.75" customHeight="1">
      <c r="A3096" s="26"/>
      <c r="B3096" s="86"/>
      <c r="D3096" s="26"/>
      <c r="F3096" s="87" t="str">
        <f t="shared" si="0"/>
        <v/>
      </c>
      <c r="H3096" s="26" t="str">
        <f t="shared" si="1"/>
        <v/>
      </c>
      <c r="I3096" s="26" t="str">
        <f t="shared" si="2"/>
        <v/>
      </c>
      <c r="J3096" s="86">
        <f t="shared" si="3"/>
        <v>0</v>
      </c>
      <c r="R3096" s="26"/>
    </row>
    <row r="3097" spans="1:18" ht="15.75" customHeight="1">
      <c r="A3097" s="26"/>
      <c r="B3097" s="86"/>
      <c r="D3097" s="26"/>
      <c r="F3097" s="87" t="str">
        <f t="shared" si="0"/>
        <v/>
      </c>
      <c r="H3097" s="26" t="str">
        <f t="shared" si="1"/>
        <v/>
      </c>
      <c r="I3097" s="26" t="str">
        <f t="shared" si="2"/>
        <v/>
      </c>
      <c r="J3097" s="86">
        <f t="shared" si="3"/>
        <v>0</v>
      </c>
      <c r="R3097" s="26"/>
    </row>
    <row r="3098" spans="1:18" ht="15.75" customHeight="1">
      <c r="A3098" s="26"/>
      <c r="B3098" s="86"/>
      <c r="D3098" s="26"/>
      <c r="F3098" s="87" t="str">
        <f t="shared" si="0"/>
        <v/>
      </c>
      <c r="H3098" s="26" t="str">
        <f t="shared" si="1"/>
        <v/>
      </c>
      <c r="I3098" s="26" t="str">
        <f t="shared" si="2"/>
        <v/>
      </c>
      <c r="J3098" s="86">
        <f t="shared" si="3"/>
        <v>0</v>
      </c>
      <c r="R3098" s="26"/>
    </row>
    <row r="3099" spans="1:18" ht="15.75" customHeight="1">
      <c r="A3099" s="26"/>
      <c r="B3099" s="86"/>
      <c r="D3099" s="26"/>
      <c r="F3099" s="87" t="str">
        <f t="shared" si="0"/>
        <v/>
      </c>
      <c r="H3099" s="26" t="str">
        <f t="shared" si="1"/>
        <v/>
      </c>
      <c r="I3099" s="26" t="str">
        <f t="shared" si="2"/>
        <v/>
      </c>
      <c r="J3099" s="86">
        <f t="shared" si="3"/>
        <v>0</v>
      </c>
      <c r="R3099" s="26"/>
    </row>
    <row r="3100" spans="1:18" ht="15.75" customHeight="1">
      <c r="A3100" s="26"/>
      <c r="B3100" s="86"/>
      <c r="D3100" s="26"/>
      <c r="F3100" s="87" t="str">
        <f t="shared" si="0"/>
        <v/>
      </c>
      <c r="H3100" s="26" t="str">
        <f t="shared" si="1"/>
        <v/>
      </c>
      <c r="I3100" s="26" t="str">
        <f t="shared" si="2"/>
        <v/>
      </c>
      <c r="J3100" s="86">
        <f t="shared" si="3"/>
        <v>0</v>
      </c>
      <c r="R3100" s="26"/>
    </row>
    <row r="3101" spans="1:18" ht="15.75" customHeight="1">
      <c r="A3101" s="26"/>
      <c r="B3101" s="86"/>
      <c r="D3101" s="26"/>
      <c r="F3101" s="87" t="str">
        <f t="shared" si="0"/>
        <v/>
      </c>
      <c r="H3101" s="26" t="str">
        <f t="shared" si="1"/>
        <v/>
      </c>
      <c r="I3101" s="26" t="str">
        <f t="shared" si="2"/>
        <v/>
      </c>
      <c r="J3101" s="86">
        <f t="shared" si="3"/>
        <v>0</v>
      </c>
      <c r="R3101" s="26"/>
    </row>
    <row r="3102" spans="1:18" ht="15.75" customHeight="1">
      <c r="A3102" s="26"/>
      <c r="B3102" s="86"/>
      <c r="D3102" s="26"/>
      <c r="F3102" s="87" t="str">
        <f t="shared" si="0"/>
        <v/>
      </c>
      <c r="H3102" s="26" t="str">
        <f t="shared" si="1"/>
        <v/>
      </c>
      <c r="I3102" s="26" t="str">
        <f t="shared" si="2"/>
        <v/>
      </c>
      <c r="J3102" s="86">
        <f t="shared" si="3"/>
        <v>0</v>
      </c>
      <c r="R3102" s="26"/>
    </row>
    <row r="3103" spans="1:18" ht="15.75" customHeight="1">
      <c r="A3103" s="26"/>
      <c r="B3103" s="86"/>
      <c r="D3103" s="26"/>
      <c r="F3103" s="87" t="str">
        <f t="shared" si="0"/>
        <v/>
      </c>
      <c r="H3103" s="26" t="str">
        <f t="shared" si="1"/>
        <v/>
      </c>
      <c r="I3103" s="26" t="str">
        <f t="shared" si="2"/>
        <v/>
      </c>
      <c r="J3103" s="86">
        <f t="shared" si="3"/>
        <v>0</v>
      </c>
      <c r="R3103" s="26"/>
    </row>
    <row r="3104" spans="1:18" ht="15.75" customHeight="1">
      <c r="A3104" s="26"/>
      <c r="B3104" s="86"/>
      <c r="D3104" s="26"/>
      <c r="F3104" s="87" t="str">
        <f t="shared" si="0"/>
        <v/>
      </c>
      <c r="H3104" s="26" t="str">
        <f t="shared" si="1"/>
        <v/>
      </c>
      <c r="I3104" s="26" t="str">
        <f t="shared" si="2"/>
        <v/>
      </c>
      <c r="J3104" s="86">
        <f t="shared" si="3"/>
        <v>0</v>
      </c>
      <c r="R3104" s="26"/>
    </row>
    <row r="3105" spans="1:18" ht="15.75" customHeight="1">
      <c r="A3105" s="26"/>
      <c r="B3105" s="86"/>
      <c r="D3105" s="26"/>
      <c r="F3105" s="87" t="str">
        <f t="shared" si="0"/>
        <v/>
      </c>
      <c r="H3105" s="26" t="str">
        <f t="shared" si="1"/>
        <v/>
      </c>
      <c r="I3105" s="26" t="str">
        <f t="shared" si="2"/>
        <v/>
      </c>
      <c r="J3105" s="86">
        <f t="shared" si="3"/>
        <v>0</v>
      </c>
      <c r="R3105" s="26"/>
    </row>
    <row r="3106" spans="1:18" ht="15.75" customHeight="1">
      <c r="A3106" s="26"/>
      <c r="B3106" s="86"/>
      <c r="D3106" s="26"/>
      <c r="F3106" s="87" t="str">
        <f t="shared" si="0"/>
        <v/>
      </c>
      <c r="H3106" s="26" t="str">
        <f t="shared" si="1"/>
        <v/>
      </c>
      <c r="I3106" s="26" t="str">
        <f t="shared" si="2"/>
        <v/>
      </c>
      <c r="J3106" s="86">
        <f t="shared" si="3"/>
        <v>0</v>
      </c>
      <c r="R3106" s="26"/>
    </row>
    <row r="3107" spans="1:18" ht="15.75" customHeight="1">
      <c r="A3107" s="26"/>
      <c r="B3107" s="86"/>
      <c r="D3107" s="26"/>
      <c r="F3107" s="87" t="str">
        <f t="shared" si="0"/>
        <v/>
      </c>
      <c r="H3107" s="26" t="str">
        <f t="shared" si="1"/>
        <v/>
      </c>
      <c r="I3107" s="26" t="str">
        <f t="shared" si="2"/>
        <v/>
      </c>
      <c r="J3107" s="86">
        <f t="shared" si="3"/>
        <v>0</v>
      </c>
      <c r="R3107" s="26"/>
    </row>
    <row r="3108" spans="1:18" ht="15.75" customHeight="1">
      <c r="A3108" s="26"/>
      <c r="B3108" s="86"/>
      <c r="D3108" s="26"/>
      <c r="F3108" s="87" t="str">
        <f t="shared" si="0"/>
        <v/>
      </c>
      <c r="H3108" s="26" t="str">
        <f t="shared" si="1"/>
        <v/>
      </c>
      <c r="I3108" s="26" t="str">
        <f t="shared" si="2"/>
        <v/>
      </c>
      <c r="J3108" s="86">
        <f t="shared" si="3"/>
        <v>0</v>
      </c>
      <c r="R3108" s="26"/>
    </row>
    <row r="3109" spans="1:18" ht="15.75" customHeight="1">
      <c r="A3109" s="26"/>
      <c r="B3109" s="86"/>
      <c r="D3109" s="26"/>
      <c r="F3109" s="87" t="str">
        <f t="shared" si="0"/>
        <v/>
      </c>
      <c r="H3109" s="26" t="str">
        <f t="shared" si="1"/>
        <v/>
      </c>
      <c r="I3109" s="26" t="str">
        <f t="shared" si="2"/>
        <v/>
      </c>
      <c r="J3109" s="86">
        <f t="shared" si="3"/>
        <v>0</v>
      </c>
      <c r="R3109" s="26"/>
    </row>
    <row r="3110" spans="1:18" ht="15.75" customHeight="1">
      <c r="A3110" s="26"/>
      <c r="B3110" s="86"/>
      <c r="D3110" s="26"/>
      <c r="F3110" s="87" t="str">
        <f t="shared" si="0"/>
        <v/>
      </c>
      <c r="H3110" s="26" t="str">
        <f t="shared" si="1"/>
        <v/>
      </c>
      <c r="I3110" s="26" t="str">
        <f t="shared" si="2"/>
        <v/>
      </c>
      <c r="J3110" s="86">
        <f t="shared" si="3"/>
        <v>0</v>
      </c>
      <c r="R3110" s="26"/>
    </row>
    <row r="3111" spans="1:18" ht="15.75" customHeight="1">
      <c r="A3111" s="26"/>
      <c r="B3111" s="86"/>
      <c r="D3111" s="26"/>
      <c r="F3111" s="87" t="str">
        <f t="shared" si="0"/>
        <v/>
      </c>
      <c r="H3111" s="26" t="str">
        <f t="shared" si="1"/>
        <v/>
      </c>
      <c r="I3111" s="26" t="str">
        <f t="shared" si="2"/>
        <v/>
      </c>
      <c r="J3111" s="86">
        <f t="shared" si="3"/>
        <v>0</v>
      </c>
      <c r="R3111" s="26"/>
    </row>
    <row r="3112" spans="1:18" ht="15.75" customHeight="1">
      <c r="A3112" s="26"/>
      <c r="B3112" s="86"/>
      <c r="D3112" s="26"/>
      <c r="F3112" s="87" t="str">
        <f t="shared" si="0"/>
        <v/>
      </c>
      <c r="H3112" s="26" t="str">
        <f t="shared" si="1"/>
        <v/>
      </c>
      <c r="I3112" s="26" t="str">
        <f t="shared" si="2"/>
        <v/>
      </c>
      <c r="J3112" s="86">
        <f t="shared" si="3"/>
        <v>0</v>
      </c>
      <c r="R3112" s="26"/>
    </row>
    <row r="3113" spans="1:18" ht="15.75" customHeight="1">
      <c r="A3113" s="26"/>
      <c r="B3113" s="86"/>
      <c r="D3113" s="26"/>
      <c r="F3113" s="87" t="str">
        <f t="shared" si="0"/>
        <v/>
      </c>
      <c r="H3113" s="26" t="str">
        <f t="shared" si="1"/>
        <v/>
      </c>
      <c r="I3113" s="26" t="str">
        <f t="shared" si="2"/>
        <v/>
      </c>
      <c r="J3113" s="86">
        <f t="shared" si="3"/>
        <v>0</v>
      </c>
      <c r="R3113" s="26"/>
    </row>
    <row r="3114" spans="1:18" ht="15.75" customHeight="1">
      <c r="A3114" s="26"/>
      <c r="B3114" s="86"/>
      <c r="D3114" s="26"/>
      <c r="F3114" s="87" t="str">
        <f t="shared" si="0"/>
        <v/>
      </c>
      <c r="H3114" s="26" t="str">
        <f t="shared" si="1"/>
        <v/>
      </c>
      <c r="I3114" s="26" t="str">
        <f t="shared" si="2"/>
        <v/>
      </c>
      <c r="J3114" s="86">
        <f t="shared" si="3"/>
        <v>0</v>
      </c>
      <c r="R3114" s="26"/>
    </row>
    <row r="3115" spans="1:18" ht="15.75" customHeight="1">
      <c r="A3115" s="26"/>
      <c r="B3115" s="86"/>
      <c r="D3115" s="26"/>
      <c r="F3115" s="87" t="str">
        <f t="shared" si="0"/>
        <v/>
      </c>
      <c r="H3115" s="26" t="str">
        <f t="shared" si="1"/>
        <v/>
      </c>
      <c r="I3115" s="26" t="str">
        <f t="shared" si="2"/>
        <v/>
      </c>
      <c r="J3115" s="86">
        <f t="shared" si="3"/>
        <v>0</v>
      </c>
      <c r="R3115" s="26"/>
    </row>
    <row r="3116" spans="1:18" ht="15.75" customHeight="1">
      <c r="A3116" s="26"/>
      <c r="B3116" s="86"/>
      <c r="D3116" s="26"/>
      <c r="F3116" s="87" t="str">
        <f t="shared" si="0"/>
        <v/>
      </c>
      <c r="H3116" s="26" t="str">
        <f t="shared" si="1"/>
        <v/>
      </c>
      <c r="I3116" s="26" t="str">
        <f t="shared" si="2"/>
        <v/>
      </c>
      <c r="J3116" s="86">
        <f t="shared" si="3"/>
        <v>0</v>
      </c>
      <c r="R3116" s="26"/>
    </row>
    <row r="3117" spans="1:18" ht="15.75" customHeight="1">
      <c r="A3117" s="26"/>
      <c r="B3117" s="86"/>
      <c r="D3117" s="26"/>
      <c r="F3117" s="87" t="str">
        <f t="shared" si="0"/>
        <v/>
      </c>
      <c r="H3117" s="26" t="str">
        <f t="shared" si="1"/>
        <v/>
      </c>
      <c r="I3117" s="26" t="str">
        <f t="shared" si="2"/>
        <v/>
      </c>
      <c r="J3117" s="86">
        <f t="shared" si="3"/>
        <v>0</v>
      </c>
      <c r="R3117" s="26"/>
    </row>
    <row r="3118" spans="1:18" ht="15.75" customHeight="1">
      <c r="A3118" s="26"/>
      <c r="B3118" s="86"/>
      <c r="D3118" s="26"/>
      <c r="F3118" s="87" t="str">
        <f t="shared" si="0"/>
        <v/>
      </c>
      <c r="H3118" s="26" t="str">
        <f t="shared" si="1"/>
        <v/>
      </c>
      <c r="I3118" s="26" t="str">
        <f t="shared" si="2"/>
        <v/>
      </c>
      <c r="J3118" s="86">
        <f t="shared" si="3"/>
        <v>0</v>
      </c>
      <c r="R3118" s="26"/>
    </row>
    <row r="3119" spans="1:18" ht="15.75" customHeight="1">
      <c r="A3119" s="26"/>
      <c r="B3119" s="86"/>
      <c r="D3119" s="26"/>
      <c r="F3119" s="87" t="str">
        <f t="shared" si="0"/>
        <v/>
      </c>
      <c r="H3119" s="26" t="str">
        <f t="shared" si="1"/>
        <v/>
      </c>
      <c r="I3119" s="26" t="str">
        <f t="shared" si="2"/>
        <v/>
      </c>
      <c r="J3119" s="86">
        <f t="shared" si="3"/>
        <v>0</v>
      </c>
      <c r="R3119" s="26"/>
    </row>
    <row r="3120" spans="1:18" ht="15.75" customHeight="1">
      <c r="A3120" s="26"/>
      <c r="B3120" s="86"/>
      <c r="D3120" s="26"/>
      <c r="F3120" s="87" t="str">
        <f t="shared" si="0"/>
        <v/>
      </c>
      <c r="H3120" s="26" t="str">
        <f t="shared" si="1"/>
        <v/>
      </c>
      <c r="I3120" s="26" t="str">
        <f t="shared" si="2"/>
        <v/>
      </c>
      <c r="J3120" s="86">
        <f t="shared" si="3"/>
        <v>0</v>
      </c>
      <c r="R3120" s="26"/>
    </row>
    <row r="3121" spans="1:18" ht="15.75" customHeight="1">
      <c r="A3121" s="26"/>
      <c r="B3121" s="86"/>
      <c r="D3121" s="26"/>
      <c r="F3121" s="87" t="str">
        <f t="shared" si="0"/>
        <v/>
      </c>
      <c r="H3121" s="26" t="str">
        <f t="shared" si="1"/>
        <v/>
      </c>
      <c r="I3121" s="26" t="str">
        <f t="shared" si="2"/>
        <v/>
      </c>
      <c r="J3121" s="86">
        <f t="shared" si="3"/>
        <v>0</v>
      </c>
      <c r="R3121" s="26"/>
    </row>
    <row r="3122" spans="1:18" ht="15.75" customHeight="1">
      <c r="A3122" s="26"/>
      <c r="B3122" s="86"/>
      <c r="D3122" s="26"/>
      <c r="F3122" s="87" t="str">
        <f t="shared" si="0"/>
        <v/>
      </c>
      <c r="H3122" s="26" t="str">
        <f t="shared" si="1"/>
        <v/>
      </c>
      <c r="I3122" s="26" t="str">
        <f t="shared" si="2"/>
        <v/>
      </c>
      <c r="J3122" s="86">
        <f t="shared" si="3"/>
        <v>0</v>
      </c>
      <c r="R3122" s="26"/>
    </row>
    <row r="3123" spans="1:18" ht="15.75" customHeight="1">
      <c r="A3123" s="26"/>
      <c r="B3123" s="86"/>
      <c r="D3123" s="26"/>
      <c r="F3123" s="87" t="str">
        <f t="shared" si="0"/>
        <v/>
      </c>
      <c r="H3123" s="26" t="str">
        <f t="shared" si="1"/>
        <v/>
      </c>
      <c r="I3123" s="26" t="str">
        <f t="shared" si="2"/>
        <v/>
      </c>
      <c r="J3123" s="86">
        <f t="shared" si="3"/>
        <v>0</v>
      </c>
      <c r="R3123" s="26"/>
    </row>
    <row r="3124" spans="1:18" ht="15.75" customHeight="1">
      <c r="A3124" s="26"/>
      <c r="B3124" s="86"/>
      <c r="D3124" s="26"/>
      <c r="F3124" s="87" t="str">
        <f t="shared" si="0"/>
        <v/>
      </c>
      <c r="H3124" s="26" t="str">
        <f t="shared" si="1"/>
        <v/>
      </c>
      <c r="I3124" s="26" t="str">
        <f t="shared" si="2"/>
        <v/>
      </c>
      <c r="J3124" s="86">
        <f t="shared" si="3"/>
        <v>0</v>
      </c>
      <c r="R3124" s="26"/>
    </row>
    <row r="3125" spans="1:18" ht="15.75" customHeight="1">
      <c r="A3125" s="26"/>
      <c r="B3125" s="86"/>
      <c r="D3125" s="26"/>
      <c r="F3125" s="87" t="str">
        <f t="shared" si="0"/>
        <v/>
      </c>
      <c r="H3125" s="26" t="str">
        <f t="shared" si="1"/>
        <v/>
      </c>
      <c r="I3125" s="26" t="str">
        <f t="shared" si="2"/>
        <v/>
      </c>
      <c r="J3125" s="86">
        <f t="shared" si="3"/>
        <v>0</v>
      </c>
      <c r="R3125" s="26"/>
    </row>
    <row r="3126" spans="1:18" ht="15.75" customHeight="1">
      <c r="A3126" s="26"/>
      <c r="B3126" s="86"/>
      <c r="D3126" s="26"/>
      <c r="F3126" s="87" t="str">
        <f t="shared" si="0"/>
        <v/>
      </c>
      <c r="H3126" s="26" t="str">
        <f t="shared" si="1"/>
        <v/>
      </c>
      <c r="I3126" s="26" t="str">
        <f t="shared" si="2"/>
        <v/>
      </c>
      <c r="J3126" s="86">
        <f t="shared" si="3"/>
        <v>0</v>
      </c>
      <c r="R3126" s="26"/>
    </row>
    <row r="3127" spans="1:18" ht="15.75" customHeight="1">
      <c r="A3127" s="26"/>
      <c r="B3127" s="86"/>
      <c r="D3127" s="26"/>
      <c r="F3127" s="87" t="str">
        <f t="shared" si="0"/>
        <v/>
      </c>
      <c r="H3127" s="26" t="str">
        <f t="shared" si="1"/>
        <v/>
      </c>
      <c r="I3127" s="26" t="str">
        <f t="shared" si="2"/>
        <v/>
      </c>
      <c r="J3127" s="86">
        <f t="shared" si="3"/>
        <v>0</v>
      </c>
      <c r="R3127" s="26"/>
    </row>
    <row r="3128" spans="1:18" ht="15.75" customHeight="1">
      <c r="A3128" s="26"/>
      <c r="B3128" s="86"/>
      <c r="D3128" s="26"/>
      <c r="F3128" s="87" t="str">
        <f t="shared" si="0"/>
        <v/>
      </c>
      <c r="H3128" s="26" t="str">
        <f t="shared" si="1"/>
        <v/>
      </c>
      <c r="I3128" s="26" t="str">
        <f t="shared" si="2"/>
        <v/>
      </c>
      <c r="J3128" s="86">
        <f t="shared" si="3"/>
        <v>0</v>
      </c>
      <c r="R3128" s="26"/>
    </row>
    <row r="3129" spans="1:18" ht="15.75" customHeight="1">
      <c r="A3129" s="26"/>
      <c r="B3129" s="86"/>
      <c r="D3129" s="26"/>
      <c r="F3129" s="87" t="str">
        <f t="shared" si="0"/>
        <v/>
      </c>
      <c r="H3129" s="26" t="str">
        <f t="shared" si="1"/>
        <v/>
      </c>
      <c r="I3129" s="26" t="str">
        <f t="shared" si="2"/>
        <v/>
      </c>
      <c r="J3129" s="86">
        <f t="shared" si="3"/>
        <v>0</v>
      </c>
      <c r="R3129" s="26"/>
    </row>
    <row r="3130" spans="1:18" ht="15.75" customHeight="1">
      <c r="A3130" s="26"/>
      <c r="B3130" s="86"/>
      <c r="D3130" s="26"/>
      <c r="F3130" s="87" t="str">
        <f t="shared" si="0"/>
        <v/>
      </c>
      <c r="H3130" s="26" t="str">
        <f t="shared" si="1"/>
        <v/>
      </c>
      <c r="I3130" s="26" t="str">
        <f t="shared" si="2"/>
        <v/>
      </c>
      <c r="J3130" s="86">
        <f t="shared" si="3"/>
        <v>0</v>
      </c>
      <c r="R3130" s="26"/>
    </row>
    <row r="3131" spans="1:18" ht="15.75" customHeight="1">
      <c r="A3131" s="26"/>
      <c r="B3131" s="86"/>
      <c r="D3131" s="26"/>
      <c r="F3131" s="87" t="str">
        <f t="shared" si="0"/>
        <v/>
      </c>
      <c r="H3131" s="26" t="str">
        <f t="shared" si="1"/>
        <v/>
      </c>
      <c r="I3131" s="26" t="str">
        <f t="shared" si="2"/>
        <v/>
      </c>
      <c r="J3131" s="86">
        <f t="shared" si="3"/>
        <v>0</v>
      </c>
      <c r="R3131" s="26"/>
    </row>
    <row r="3132" spans="1:18" ht="15.75" customHeight="1">
      <c r="A3132" s="26"/>
      <c r="B3132" s="86"/>
      <c r="D3132" s="26"/>
      <c r="F3132" s="87" t="str">
        <f t="shared" si="0"/>
        <v/>
      </c>
      <c r="H3132" s="26" t="str">
        <f t="shared" si="1"/>
        <v/>
      </c>
      <c r="I3132" s="26" t="str">
        <f t="shared" si="2"/>
        <v/>
      </c>
      <c r="J3132" s="86">
        <f t="shared" si="3"/>
        <v>0</v>
      </c>
      <c r="R3132" s="26"/>
    </row>
    <row r="3133" spans="1:18" ht="15.75" customHeight="1">
      <c r="A3133" s="26"/>
      <c r="B3133" s="86"/>
      <c r="D3133" s="26"/>
      <c r="F3133" s="87" t="str">
        <f t="shared" si="0"/>
        <v/>
      </c>
      <c r="H3133" s="26" t="str">
        <f t="shared" si="1"/>
        <v/>
      </c>
      <c r="I3133" s="26" t="str">
        <f t="shared" si="2"/>
        <v/>
      </c>
      <c r="J3133" s="86">
        <f t="shared" si="3"/>
        <v>0</v>
      </c>
      <c r="R3133" s="26"/>
    </row>
    <row r="3134" spans="1:18" ht="15.75" customHeight="1">
      <c r="A3134" s="26"/>
      <c r="B3134" s="86"/>
      <c r="D3134" s="26"/>
      <c r="F3134" s="87" t="str">
        <f t="shared" si="0"/>
        <v/>
      </c>
      <c r="H3134" s="26" t="str">
        <f t="shared" si="1"/>
        <v/>
      </c>
      <c r="I3134" s="26" t="str">
        <f t="shared" si="2"/>
        <v/>
      </c>
      <c r="J3134" s="86">
        <f t="shared" si="3"/>
        <v>0</v>
      </c>
      <c r="R3134" s="26"/>
    </row>
    <row r="3135" spans="1:18" ht="15.75" customHeight="1">
      <c r="A3135" s="26"/>
      <c r="B3135" s="86"/>
      <c r="D3135" s="26"/>
      <c r="F3135" s="87" t="str">
        <f t="shared" si="0"/>
        <v/>
      </c>
      <c r="H3135" s="26" t="str">
        <f t="shared" si="1"/>
        <v/>
      </c>
      <c r="I3135" s="26" t="str">
        <f t="shared" si="2"/>
        <v/>
      </c>
      <c r="J3135" s="86">
        <f t="shared" si="3"/>
        <v>0</v>
      </c>
      <c r="R3135" s="26"/>
    </row>
    <row r="3136" spans="1:18" ht="15.75" customHeight="1">
      <c r="A3136" s="26"/>
      <c r="B3136" s="86"/>
      <c r="D3136" s="26"/>
      <c r="F3136" s="87" t="str">
        <f t="shared" si="0"/>
        <v/>
      </c>
      <c r="H3136" s="26" t="str">
        <f t="shared" si="1"/>
        <v/>
      </c>
      <c r="I3136" s="26" t="str">
        <f t="shared" si="2"/>
        <v/>
      </c>
      <c r="J3136" s="86">
        <f t="shared" si="3"/>
        <v>0</v>
      </c>
      <c r="R3136" s="26"/>
    </row>
    <row r="3137" spans="1:18" ht="15.75" customHeight="1">
      <c r="A3137" s="26"/>
      <c r="B3137" s="86"/>
      <c r="D3137" s="26"/>
      <c r="F3137" s="87" t="str">
        <f t="shared" si="0"/>
        <v/>
      </c>
      <c r="H3137" s="26" t="str">
        <f t="shared" si="1"/>
        <v/>
      </c>
      <c r="I3137" s="26" t="str">
        <f t="shared" si="2"/>
        <v/>
      </c>
      <c r="J3137" s="86">
        <f t="shared" si="3"/>
        <v>0</v>
      </c>
      <c r="R3137" s="26"/>
    </row>
    <row r="3138" spans="1:18" ht="15.75" customHeight="1">
      <c r="A3138" s="26"/>
      <c r="B3138" s="86"/>
      <c r="D3138" s="26"/>
      <c r="F3138" s="87" t="str">
        <f t="shared" si="0"/>
        <v/>
      </c>
      <c r="H3138" s="26" t="str">
        <f t="shared" si="1"/>
        <v/>
      </c>
      <c r="I3138" s="26" t="str">
        <f t="shared" si="2"/>
        <v/>
      </c>
      <c r="J3138" s="86">
        <f t="shared" si="3"/>
        <v>0</v>
      </c>
      <c r="R3138" s="26"/>
    </row>
    <row r="3139" spans="1:18" ht="15.75" customHeight="1">
      <c r="A3139" s="26"/>
      <c r="B3139" s="86"/>
      <c r="D3139" s="26"/>
      <c r="F3139" s="87" t="str">
        <f t="shared" si="0"/>
        <v/>
      </c>
      <c r="H3139" s="26" t="str">
        <f t="shared" si="1"/>
        <v/>
      </c>
      <c r="I3139" s="26" t="str">
        <f t="shared" si="2"/>
        <v/>
      </c>
      <c r="J3139" s="86">
        <f t="shared" si="3"/>
        <v>0</v>
      </c>
      <c r="R3139" s="26"/>
    </row>
    <row r="3140" spans="1:18" ht="15.75" customHeight="1">
      <c r="A3140" s="26"/>
      <c r="B3140" s="86"/>
      <c r="D3140" s="26"/>
      <c r="F3140" s="87" t="str">
        <f t="shared" si="0"/>
        <v/>
      </c>
      <c r="H3140" s="26" t="str">
        <f t="shared" si="1"/>
        <v/>
      </c>
      <c r="I3140" s="26" t="str">
        <f t="shared" si="2"/>
        <v/>
      </c>
      <c r="J3140" s="86">
        <f t="shared" si="3"/>
        <v>0</v>
      </c>
      <c r="R3140" s="26"/>
    </row>
    <row r="3141" spans="1:18" ht="15.75" customHeight="1">
      <c r="A3141" s="26"/>
      <c r="B3141" s="86"/>
      <c r="D3141" s="26"/>
      <c r="F3141" s="87" t="str">
        <f t="shared" si="0"/>
        <v/>
      </c>
      <c r="H3141" s="26" t="str">
        <f t="shared" si="1"/>
        <v/>
      </c>
      <c r="I3141" s="26" t="str">
        <f t="shared" si="2"/>
        <v/>
      </c>
      <c r="J3141" s="86">
        <f t="shared" si="3"/>
        <v>0</v>
      </c>
      <c r="R3141" s="26"/>
    </row>
    <row r="3142" spans="1:18" ht="15.75" customHeight="1">
      <c r="A3142" s="26"/>
      <c r="B3142" s="86"/>
      <c r="D3142" s="26"/>
      <c r="F3142" s="87" t="str">
        <f t="shared" si="0"/>
        <v/>
      </c>
      <c r="H3142" s="26" t="str">
        <f t="shared" si="1"/>
        <v/>
      </c>
      <c r="I3142" s="26" t="str">
        <f t="shared" si="2"/>
        <v/>
      </c>
      <c r="J3142" s="86">
        <f t="shared" si="3"/>
        <v>0</v>
      </c>
      <c r="R3142" s="26"/>
    </row>
    <row r="3143" spans="1:18" ht="15.75" customHeight="1">
      <c r="A3143" s="26"/>
      <c r="B3143" s="86"/>
      <c r="D3143" s="26"/>
      <c r="F3143" s="87" t="str">
        <f t="shared" si="0"/>
        <v/>
      </c>
      <c r="H3143" s="26" t="str">
        <f t="shared" si="1"/>
        <v/>
      </c>
      <c r="I3143" s="26" t="str">
        <f t="shared" si="2"/>
        <v/>
      </c>
      <c r="J3143" s="86">
        <f t="shared" si="3"/>
        <v>0</v>
      </c>
      <c r="R3143" s="26"/>
    </row>
    <row r="3144" spans="1:18" ht="15.75" customHeight="1">
      <c r="A3144" s="26"/>
      <c r="B3144" s="86"/>
      <c r="D3144" s="26"/>
      <c r="F3144" s="87" t="str">
        <f t="shared" si="0"/>
        <v/>
      </c>
      <c r="H3144" s="26" t="str">
        <f t="shared" si="1"/>
        <v/>
      </c>
      <c r="I3144" s="26" t="str">
        <f t="shared" si="2"/>
        <v/>
      </c>
      <c r="J3144" s="86">
        <f t="shared" si="3"/>
        <v>0</v>
      </c>
      <c r="R3144" s="26"/>
    </row>
    <row r="3145" spans="1:18" ht="15.75" customHeight="1">
      <c r="A3145" s="26"/>
      <c r="B3145" s="86"/>
      <c r="D3145" s="26"/>
      <c r="F3145" s="87" t="str">
        <f t="shared" si="0"/>
        <v/>
      </c>
      <c r="H3145" s="26" t="str">
        <f t="shared" si="1"/>
        <v/>
      </c>
      <c r="I3145" s="26" t="str">
        <f t="shared" si="2"/>
        <v/>
      </c>
      <c r="J3145" s="86">
        <f t="shared" si="3"/>
        <v>0</v>
      </c>
      <c r="R3145" s="26"/>
    </row>
    <row r="3146" spans="1:18" ht="15.75" customHeight="1">
      <c r="A3146" s="26"/>
      <c r="B3146" s="86"/>
      <c r="D3146" s="26"/>
      <c r="F3146" s="87" t="str">
        <f t="shared" si="0"/>
        <v/>
      </c>
      <c r="H3146" s="26" t="str">
        <f t="shared" si="1"/>
        <v/>
      </c>
      <c r="I3146" s="26" t="str">
        <f t="shared" si="2"/>
        <v/>
      </c>
      <c r="J3146" s="86">
        <f t="shared" si="3"/>
        <v>0</v>
      </c>
      <c r="R3146" s="26"/>
    </row>
    <row r="3147" spans="1:18" ht="15.75" customHeight="1">
      <c r="A3147" s="26"/>
      <c r="B3147" s="86"/>
      <c r="D3147" s="26"/>
      <c r="F3147" s="87" t="str">
        <f t="shared" si="0"/>
        <v/>
      </c>
      <c r="H3147" s="26" t="str">
        <f t="shared" si="1"/>
        <v/>
      </c>
      <c r="I3147" s="26" t="str">
        <f t="shared" si="2"/>
        <v/>
      </c>
      <c r="J3147" s="86">
        <f t="shared" si="3"/>
        <v>0</v>
      </c>
      <c r="R3147" s="26"/>
    </row>
    <row r="3148" spans="1:18" ht="15.75" customHeight="1">
      <c r="A3148" s="26"/>
      <c r="B3148" s="86"/>
      <c r="D3148" s="26"/>
      <c r="F3148" s="87" t="str">
        <f t="shared" si="0"/>
        <v/>
      </c>
      <c r="H3148" s="26" t="str">
        <f t="shared" si="1"/>
        <v/>
      </c>
      <c r="I3148" s="26" t="str">
        <f t="shared" si="2"/>
        <v/>
      </c>
      <c r="J3148" s="86">
        <f t="shared" si="3"/>
        <v>0</v>
      </c>
      <c r="R3148" s="26"/>
    </row>
    <row r="3149" spans="1:18" ht="15.75" customHeight="1">
      <c r="A3149" s="26"/>
      <c r="B3149" s="86"/>
      <c r="D3149" s="26"/>
      <c r="F3149" s="87" t="str">
        <f t="shared" si="0"/>
        <v/>
      </c>
      <c r="H3149" s="26" t="str">
        <f t="shared" si="1"/>
        <v/>
      </c>
      <c r="I3149" s="26" t="str">
        <f t="shared" si="2"/>
        <v/>
      </c>
      <c r="J3149" s="86">
        <f t="shared" si="3"/>
        <v>0</v>
      </c>
      <c r="R3149" s="26"/>
    </row>
    <row r="3150" spans="1:18" ht="15.75" customHeight="1">
      <c r="A3150" s="26"/>
      <c r="B3150" s="86"/>
      <c r="D3150" s="26"/>
      <c r="F3150" s="87" t="str">
        <f t="shared" si="0"/>
        <v/>
      </c>
      <c r="H3150" s="26" t="str">
        <f t="shared" si="1"/>
        <v/>
      </c>
      <c r="I3150" s="26" t="str">
        <f t="shared" si="2"/>
        <v/>
      </c>
      <c r="J3150" s="86">
        <f t="shared" si="3"/>
        <v>0</v>
      </c>
      <c r="R3150" s="26"/>
    </row>
    <row r="3151" spans="1:18" ht="15.75" customHeight="1">
      <c r="A3151" s="26"/>
      <c r="B3151" s="86"/>
      <c r="D3151" s="26"/>
      <c r="F3151" s="87" t="str">
        <f t="shared" si="0"/>
        <v/>
      </c>
      <c r="H3151" s="26" t="str">
        <f t="shared" si="1"/>
        <v/>
      </c>
      <c r="I3151" s="26" t="str">
        <f t="shared" si="2"/>
        <v/>
      </c>
      <c r="J3151" s="86">
        <f t="shared" si="3"/>
        <v>0</v>
      </c>
      <c r="R3151" s="26"/>
    </row>
    <row r="3152" spans="1:18" ht="15.75" customHeight="1">
      <c r="A3152" s="26"/>
      <c r="B3152" s="86"/>
      <c r="D3152" s="26"/>
      <c r="F3152" s="87" t="str">
        <f t="shared" si="0"/>
        <v/>
      </c>
      <c r="H3152" s="26" t="str">
        <f t="shared" si="1"/>
        <v/>
      </c>
      <c r="I3152" s="26" t="str">
        <f t="shared" si="2"/>
        <v/>
      </c>
      <c r="J3152" s="86">
        <f t="shared" si="3"/>
        <v>0</v>
      </c>
      <c r="R3152" s="26"/>
    </row>
    <row r="3153" spans="1:18" ht="15.75" customHeight="1">
      <c r="A3153" s="26"/>
      <c r="B3153" s="86"/>
      <c r="D3153" s="26"/>
      <c r="F3153" s="87" t="str">
        <f t="shared" si="0"/>
        <v/>
      </c>
      <c r="H3153" s="26" t="str">
        <f t="shared" si="1"/>
        <v/>
      </c>
      <c r="I3153" s="26" t="str">
        <f t="shared" si="2"/>
        <v/>
      </c>
      <c r="J3153" s="86">
        <f t="shared" si="3"/>
        <v>0</v>
      </c>
      <c r="R3153" s="26"/>
    </row>
    <row r="3154" spans="1:18" ht="15.75" customHeight="1">
      <c r="A3154" s="26"/>
      <c r="B3154" s="86"/>
      <c r="D3154" s="26"/>
      <c r="F3154" s="87" t="str">
        <f t="shared" si="0"/>
        <v/>
      </c>
      <c r="H3154" s="26" t="str">
        <f t="shared" si="1"/>
        <v/>
      </c>
      <c r="I3154" s="26" t="str">
        <f t="shared" si="2"/>
        <v/>
      </c>
      <c r="J3154" s="86">
        <f t="shared" si="3"/>
        <v>0</v>
      </c>
      <c r="R3154" s="26"/>
    </row>
    <row r="3155" spans="1:18" ht="15.75" customHeight="1">
      <c r="A3155" s="26"/>
      <c r="B3155" s="86"/>
      <c r="D3155" s="26"/>
      <c r="F3155" s="87" t="str">
        <f t="shared" si="0"/>
        <v/>
      </c>
      <c r="H3155" s="26" t="str">
        <f t="shared" si="1"/>
        <v/>
      </c>
      <c r="I3155" s="26" t="str">
        <f t="shared" si="2"/>
        <v/>
      </c>
      <c r="J3155" s="86">
        <f t="shared" si="3"/>
        <v>0</v>
      </c>
      <c r="R3155" s="26"/>
    </row>
    <row r="3156" spans="1:18" ht="15.75" customHeight="1">
      <c r="A3156" s="26"/>
      <c r="B3156" s="86"/>
      <c r="D3156" s="26"/>
      <c r="F3156" s="87" t="str">
        <f t="shared" si="0"/>
        <v/>
      </c>
      <c r="H3156" s="26" t="str">
        <f t="shared" si="1"/>
        <v/>
      </c>
      <c r="I3156" s="26" t="str">
        <f t="shared" si="2"/>
        <v/>
      </c>
      <c r="J3156" s="86">
        <f t="shared" si="3"/>
        <v>0</v>
      </c>
      <c r="R3156" s="26"/>
    </row>
    <row r="3157" spans="1:18" ht="15.75" customHeight="1">
      <c r="A3157" s="26"/>
      <c r="B3157" s="86"/>
      <c r="D3157" s="26"/>
      <c r="F3157" s="87" t="str">
        <f t="shared" si="0"/>
        <v/>
      </c>
      <c r="H3157" s="26" t="str">
        <f t="shared" si="1"/>
        <v/>
      </c>
      <c r="I3157" s="26" t="str">
        <f t="shared" si="2"/>
        <v/>
      </c>
      <c r="J3157" s="86">
        <f t="shared" si="3"/>
        <v>0</v>
      </c>
      <c r="R3157" s="26"/>
    </row>
    <row r="3158" spans="1:18" ht="15.75" customHeight="1">
      <c r="A3158" s="26"/>
      <c r="B3158" s="86"/>
      <c r="D3158" s="26"/>
      <c r="F3158" s="87" t="str">
        <f t="shared" si="0"/>
        <v/>
      </c>
      <c r="H3158" s="26" t="str">
        <f t="shared" si="1"/>
        <v/>
      </c>
      <c r="I3158" s="26" t="str">
        <f t="shared" si="2"/>
        <v/>
      </c>
      <c r="J3158" s="86">
        <f t="shared" si="3"/>
        <v>0</v>
      </c>
      <c r="R3158" s="26"/>
    </row>
    <row r="3159" spans="1:18" ht="15.75" customHeight="1">
      <c r="A3159" s="26"/>
      <c r="B3159" s="86"/>
      <c r="D3159" s="26"/>
      <c r="F3159" s="87" t="str">
        <f t="shared" si="0"/>
        <v/>
      </c>
      <c r="H3159" s="26" t="str">
        <f t="shared" si="1"/>
        <v/>
      </c>
      <c r="I3159" s="26" t="str">
        <f t="shared" si="2"/>
        <v/>
      </c>
      <c r="J3159" s="86">
        <f t="shared" si="3"/>
        <v>0</v>
      </c>
      <c r="R3159" s="26"/>
    </row>
    <row r="3160" spans="1:18" ht="15.75" customHeight="1">
      <c r="A3160" s="26"/>
      <c r="B3160" s="86"/>
      <c r="D3160" s="26"/>
      <c r="F3160" s="87" t="str">
        <f t="shared" si="0"/>
        <v/>
      </c>
      <c r="H3160" s="26" t="str">
        <f t="shared" si="1"/>
        <v/>
      </c>
      <c r="I3160" s="26" t="str">
        <f t="shared" si="2"/>
        <v/>
      </c>
      <c r="J3160" s="86">
        <f t="shared" si="3"/>
        <v>0</v>
      </c>
      <c r="R3160" s="26"/>
    </row>
    <row r="3161" spans="1:18" ht="15.75" customHeight="1">
      <c r="A3161" s="26"/>
      <c r="B3161" s="86"/>
      <c r="D3161" s="26"/>
      <c r="F3161" s="87" t="str">
        <f t="shared" si="0"/>
        <v/>
      </c>
      <c r="H3161" s="26" t="str">
        <f t="shared" si="1"/>
        <v/>
      </c>
      <c r="I3161" s="26" t="str">
        <f t="shared" si="2"/>
        <v/>
      </c>
      <c r="J3161" s="86">
        <f t="shared" si="3"/>
        <v>0</v>
      </c>
      <c r="R3161" s="26"/>
    </row>
    <row r="3162" spans="1:18" ht="15.75" customHeight="1">
      <c r="A3162" s="26"/>
      <c r="B3162" s="86"/>
      <c r="D3162" s="26"/>
      <c r="F3162" s="87" t="str">
        <f t="shared" si="0"/>
        <v/>
      </c>
      <c r="H3162" s="26" t="str">
        <f t="shared" si="1"/>
        <v/>
      </c>
      <c r="I3162" s="26" t="str">
        <f t="shared" si="2"/>
        <v/>
      </c>
      <c r="J3162" s="86">
        <f t="shared" si="3"/>
        <v>0</v>
      </c>
      <c r="R3162" s="26"/>
    </row>
    <row r="3163" spans="1:18" ht="15.75" customHeight="1">
      <c r="A3163" s="26"/>
      <c r="B3163" s="86"/>
      <c r="D3163" s="26"/>
      <c r="F3163" s="87" t="str">
        <f t="shared" si="0"/>
        <v/>
      </c>
      <c r="H3163" s="26" t="str">
        <f t="shared" si="1"/>
        <v/>
      </c>
      <c r="I3163" s="26" t="str">
        <f t="shared" si="2"/>
        <v/>
      </c>
      <c r="J3163" s="86">
        <f t="shared" si="3"/>
        <v>0</v>
      </c>
      <c r="R3163" s="26"/>
    </row>
    <row r="3164" spans="1:18" ht="15.75" customHeight="1">
      <c r="A3164" s="26"/>
      <c r="B3164" s="86"/>
      <c r="D3164" s="26"/>
      <c r="F3164" s="87" t="str">
        <f t="shared" si="0"/>
        <v/>
      </c>
      <c r="H3164" s="26" t="str">
        <f t="shared" si="1"/>
        <v/>
      </c>
      <c r="I3164" s="26" t="str">
        <f t="shared" si="2"/>
        <v/>
      </c>
      <c r="J3164" s="86">
        <f t="shared" si="3"/>
        <v>0</v>
      </c>
      <c r="R3164" s="26"/>
    </row>
    <row r="3165" spans="1:18" ht="15.75" customHeight="1">
      <c r="A3165" s="26"/>
      <c r="B3165" s="86"/>
      <c r="D3165" s="26"/>
      <c r="F3165" s="87" t="str">
        <f t="shared" si="0"/>
        <v/>
      </c>
      <c r="H3165" s="26" t="str">
        <f t="shared" si="1"/>
        <v/>
      </c>
      <c r="I3165" s="26" t="str">
        <f t="shared" si="2"/>
        <v/>
      </c>
      <c r="J3165" s="86">
        <f t="shared" si="3"/>
        <v>0</v>
      </c>
      <c r="R3165" s="26"/>
    </row>
    <row r="3166" spans="1:18" ht="15.75" customHeight="1">
      <c r="A3166" s="26"/>
      <c r="B3166" s="86"/>
      <c r="D3166" s="26"/>
      <c r="F3166" s="87" t="str">
        <f t="shared" si="0"/>
        <v/>
      </c>
      <c r="H3166" s="26" t="str">
        <f t="shared" si="1"/>
        <v/>
      </c>
      <c r="I3166" s="26" t="str">
        <f t="shared" si="2"/>
        <v/>
      </c>
      <c r="J3166" s="86">
        <f t="shared" si="3"/>
        <v>0</v>
      </c>
      <c r="R3166" s="26"/>
    </row>
    <row r="3167" spans="1:18" ht="15.75" customHeight="1">
      <c r="A3167" s="26"/>
      <c r="B3167" s="86"/>
      <c r="D3167" s="26"/>
      <c r="F3167" s="87" t="str">
        <f t="shared" si="0"/>
        <v/>
      </c>
      <c r="H3167" s="26" t="str">
        <f t="shared" si="1"/>
        <v/>
      </c>
      <c r="I3167" s="26" t="str">
        <f t="shared" si="2"/>
        <v/>
      </c>
      <c r="J3167" s="86">
        <f t="shared" si="3"/>
        <v>0</v>
      </c>
      <c r="R3167" s="26"/>
    </row>
    <row r="3168" spans="1:18" ht="15.75" customHeight="1">
      <c r="A3168" s="26"/>
      <c r="B3168" s="86"/>
      <c r="D3168" s="26"/>
      <c r="F3168" s="87" t="str">
        <f t="shared" si="0"/>
        <v/>
      </c>
      <c r="H3168" s="26" t="str">
        <f t="shared" si="1"/>
        <v/>
      </c>
      <c r="I3168" s="26" t="str">
        <f t="shared" si="2"/>
        <v/>
      </c>
      <c r="J3168" s="86">
        <f t="shared" si="3"/>
        <v>0</v>
      </c>
      <c r="R3168" s="26"/>
    </row>
    <row r="3169" spans="1:18" ht="15.75" customHeight="1">
      <c r="A3169" s="26"/>
      <c r="B3169" s="86"/>
      <c r="D3169" s="26"/>
      <c r="F3169" s="87" t="str">
        <f t="shared" si="0"/>
        <v/>
      </c>
      <c r="H3169" s="26" t="str">
        <f t="shared" si="1"/>
        <v/>
      </c>
      <c r="I3169" s="26" t="str">
        <f t="shared" si="2"/>
        <v/>
      </c>
      <c r="J3169" s="86">
        <f t="shared" si="3"/>
        <v>0</v>
      </c>
      <c r="R3169" s="26"/>
    </row>
    <row r="3170" spans="1:18" ht="15.75" customHeight="1">
      <c r="A3170" s="26"/>
      <c r="B3170" s="86"/>
      <c r="D3170" s="26"/>
      <c r="F3170" s="87" t="str">
        <f t="shared" si="0"/>
        <v/>
      </c>
      <c r="H3170" s="26" t="str">
        <f t="shared" si="1"/>
        <v/>
      </c>
      <c r="I3170" s="26" t="str">
        <f t="shared" si="2"/>
        <v/>
      </c>
      <c r="J3170" s="86">
        <f t="shared" si="3"/>
        <v>0</v>
      </c>
      <c r="R3170" s="26"/>
    </row>
    <row r="3171" spans="1:18" ht="15.75" customHeight="1">
      <c r="A3171" s="26"/>
      <c r="B3171" s="86"/>
      <c r="D3171" s="26"/>
      <c r="F3171" s="87" t="str">
        <f t="shared" si="0"/>
        <v/>
      </c>
      <c r="H3171" s="26" t="str">
        <f t="shared" si="1"/>
        <v/>
      </c>
      <c r="I3171" s="26" t="str">
        <f t="shared" si="2"/>
        <v/>
      </c>
      <c r="J3171" s="86">
        <f t="shared" si="3"/>
        <v>0</v>
      </c>
      <c r="R3171" s="26"/>
    </row>
    <row r="3172" spans="1:18" ht="15.75" customHeight="1">
      <c r="A3172" s="26"/>
      <c r="B3172" s="86"/>
      <c r="D3172" s="26"/>
      <c r="F3172" s="87" t="str">
        <f t="shared" si="0"/>
        <v/>
      </c>
      <c r="H3172" s="26" t="str">
        <f t="shared" si="1"/>
        <v/>
      </c>
      <c r="I3172" s="26" t="str">
        <f t="shared" si="2"/>
        <v/>
      </c>
      <c r="J3172" s="86">
        <f t="shared" si="3"/>
        <v>0</v>
      </c>
      <c r="R3172" s="26"/>
    </row>
    <row r="3173" spans="1:18" ht="15.75" customHeight="1">
      <c r="A3173" s="26"/>
      <c r="B3173" s="86"/>
      <c r="D3173" s="26"/>
      <c r="F3173" s="87" t="str">
        <f t="shared" si="0"/>
        <v/>
      </c>
      <c r="H3173" s="26" t="str">
        <f t="shared" si="1"/>
        <v/>
      </c>
      <c r="I3173" s="26" t="str">
        <f t="shared" si="2"/>
        <v/>
      </c>
      <c r="J3173" s="86">
        <f t="shared" si="3"/>
        <v>0</v>
      </c>
      <c r="R3173" s="26"/>
    </row>
    <row r="3174" spans="1:18" ht="15.75" customHeight="1">
      <c r="A3174" s="26"/>
      <c r="B3174" s="86"/>
      <c r="D3174" s="26"/>
      <c r="F3174" s="87" t="str">
        <f t="shared" si="0"/>
        <v/>
      </c>
      <c r="H3174" s="26" t="str">
        <f t="shared" si="1"/>
        <v/>
      </c>
      <c r="I3174" s="26" t="str">
        <f t="shared" si="2"/>
        <v/>
      </c>
      <c r="J3174" s="86">
        <f t="shared" si="3"/>
        <v>0</v>
      </c>
      <c r="R3174" s="26"/>
    </row>
    <row r="3175" spans="1:18" ht="15.75" customHeight="1">
      <c r="A3175" s="26"/>
      <c r="B3175" s="86"/>
      <c r="D3175" s="26"/>
      <c r="F3175" s="87" t="str">
        <f t="shared" si="0"/>
        <v/>
      </c>
      <c r="H3175" s="26" t="str">
        <f t="shared" si="1"/>
        <v/>
      </c>
      <c r="I3175" s="26" t="str">
        <f t="shared" si="2"/>
        <v/>
      </c>
      <c r="J3175" s="86">
        <f t="shared" si="3"/>
        <v>0</v>
      </c>
      <c r="R3175" s="26"/>
    </row>
    <row r="3176" spans="1:18" ht="15.75" customHeight="1">
      <c r="A3176" s="26"/>
      <c r="B3176" s="86"/>
      <c r="D3176" s="26"/>
      <c r="F3176" s="87" t="str">
        <f t="shared" si="0"/>
        <v/>
      </c>
      <c r="H3176" s="26" t="str">
        <f t="shared" si="1"/>
        <v/>
      </c>
      <c r="I3176" s="26" t="str">
        <f t="shared" si="2"/>
        <v/>
      </c>
      <c r="J3176" s="86">
        <f t="shared" si="3"/>
        <v>0</v>
      </c>
      <c r="R3176" s="26"/>
    </row>
    <row r="3177" spans="1:18" ht="15.75" customHeight="1">
      <c r="A3177" s="26"/>
      <c r="B3177" s="86"/>
      <c r="D3177" s="26"/>
      <c r="F3177" s="87" t="str">
        <f t="shared" si="0"/>
        <v/>
      </c>
      <c r="H3177" s="26" t="str">
        <f t="shared" si="1"/>
        <v/>
      </c>
      <c r="I3177" s="26" t="str">
        <f t="shared" si="2"/>
        <v/>
      </c>
      <c r="J3177" s="86">
        <f t="shared" si="3"/>
        <v>0</v>
      </c>
      <c r="R3177" s="26"/>
    </row>
    <row r="3178" spans="1:18" ht="15.75" customHeight="1">
      <c r="A3178" s="26"/>
      <c r="B3178" s="86"/>
      <c r="D3178" s="26"/>
      <c r="F3178" s="87" t="str">
        <f t="shared" si="0"/>
        <v/>
      </c>
      <c r="H3178" s="26" t="str">
        <f t="shared" si="1"/>
        <v/>
      </c>
      <c r="I3178" s="26" t="str">
        <f t="shared" si="2"/>
        <v/>
      </c>
      <c r="J3178" s="86">
        <f t="shared" si="3"/>
        <v>0</v>
      </c>
      <c r="R3178" s="26"/>
    </row>
    <row r="3179" spans="1:18" ht="15.75" customHeight="1">
      <c r="A3179" s="26"/>
      <c r="B3179" s="86"/>
      <c r="D3179" s="26"/>
      <c r="F3179" s="87" t="str">
        <f t="shared" si="0"/>
        <v/>
      </c>
      <c r="H3179" s="26" t="str">
        <f t="shared" si="1"/>
        <v/>
      </c>
      <c r="I3179" s="26" t="str">
        <f t="shared" si="2"/>
        <v/>
      </c>
      <c r="J3179" s="86">
        <f t="shared" si="3"/>
        <v>0</v>
      </c>
      <c r="R3179" s="26"/>
    </row>
    <row r="3180" spans="1:18" ht="15.75" customHeight="1">
      <c r="A3180" s="26"/>
      <c r="B3180" s="86"/>
      <c r="D3180" s="26"/>
      <c r="F3180" s="87" t="str">
        <f t="shared" si="0"/>
        <v/>
      </c>
      <c r="H3180" s="26" t="str">
        <f t="shared" si="1"/>
        <v/>
      </c>
      <c r="I3180" s="26" t="str">
        <f t="shared" si="2"/>
        <v/>
      </c>
      <c r="J3180" s="86">
        <f t="shared" si="3"/>
        <v>0</v>
      </c>
      <c r="R3180" s="26"/>
    </row>
    <row r="3181" spans="1:18" ht="15.75" customHeight="1">
      <c r="A3181" s="26"/>
      <c r="B3181" s="86"/>
      <c r="D3181" s="26"/>
      <c r="F3181" s="87" t="str">
        <f t="shared" si="0"/>
        <v/>
      </c>
      <c r="H3181" s="26" t="str">
        <f t="shared" si="1"/>
        <v/>
      </c>
      <c r="I3181" s="26" t="str">
        <f t="shared" si="2"/>
        <v/>
      </c>
      <c r="J3181" s="86">
        <f t="shared" si="3"/>
        <v>0</v>
      </c>
      <c r="R3181" s="26"/>
    </row>
    <row r="3182" spans="1:18" ht="15.75" customHeight="1">
      <c r="A3182" s="26"/>
      <c r="B3182" s="86"/>
      <c r="D3182" s="26"/>
      <c r="F3182" s="87" t="str">
        <f t="shared" si="0"/>
        <v/>
      </c>
      <c r="H3182" s="26" t="str">
        <f t="shared" si="1"/>
        <v/>
      </c>
      <c r="I3182" s="26" t="str">
        <f t="shared" si="2"/>
        <v/>
      </c>
      <c r="J3182" s="86">
        <f t="shared" si="3"/>
        <v>0</v>
      </c>
      <c r="R3182" s="26"/>
    </row>
    <row r="3183" spans="1:18" ht="15.75" customHeight="1">
      <c r="A3183" s="26"/>
      <c r="B3183" s="86"/>
      <c r="D3183" s="26"/>
      <c r="F3183" s="87" t="str">
        <f t="shared" si="0"/>
        <v/>
      </c>
      <c r="H3183" s="26" t="str">
        <f t="shared" si="1"/>
        <v/>
      </c>
      <c r="I3183" s="26" t="str">
        <f t="shared" si="2"/>
        <v/>
      </c>
      <c r="J3183" s="86">
        <f t="shared" si="3"/>
        <v>0</v>
      </c>
      <c r="R3183" s="26"/>
    </row>
    <row r="3184" spans="1:18" ht="15.75" customHeight="1">
      <c r="A3184" s="26"/>
      <c r="B3184" s="86"/>
      <c r="D3184" s="26"/>
      <c r="F3184" s="87" t="str">
        <f t="shared" si="0"/>
        <v/>
      </c>
      <c r="H3184" s="26" t="str">
        <f t="shared" si="1"/>
        <v/>
      </c>
      <c r="I3184" s="26" t="str">
        <f t="shared" si="2"/>
        <v/>
      </c>
      <c r="J3184" s="86">
        <f t="shared" si="3"/>
        <v>0</v>
      </c>
      <c r="R3184" s="26"/>
    </row>
    <row r="3185" spans="1:18" ht="15.75" customHeight="1">
      <c r="A3185" s="26"/>
      <c r="B3185" s="86"/>
      <c r="D3185" s="26"/>
      <c r="F3185" s="87" t="str">
        <f t="shared" si="0"/>
        <v/>
      </c>
      <c r="H3185" s="26" t="str">
        <f t="shared" si="1"/>
        <v/>
      </c>
      <c r="I3185" s="26" t="str">
        <f t="shared" si="2"/>
        <v/>
      </c>
      <c r="J3185" s="86">
        <f t="shared" si="3"/>
        <v>0</v>
      </c>
      <c r="R3185" s="26"/>
    </row>
    <row r="3186" spans="1:18" ht="15.75" customHeight="1">
      <c r="A3186" s="26"/>
      <c r="B3186" s="86"/>
      <c r="D3186" s="26"/>
      <c r="F3186" s="87" t="str">
        <f t="shared" si="0"/>
        <v/>
      </c>
      <c r="H3186" s="26" t="str">
        <f t="shared" si="1"/>
        <v/>
      </c>
      <c r="I3186" s="26" t="str">
        <f t="shared" si="2"/>
        <v/>
      </c>
      <c r="J3186" s="86">
        <f t="shared" si="3"/>
        <v>0</v>
      </c>
      <c r="R3186" s="26"/>
    </row>
    <row r="3187" spans="1:18" ht="15.75" customHeight="1">
      <c r="A3187" s="26"/>
      <c r="B3187" s="86"/>
      <c r="D3187" s="26"/>
      <c r="F3187" s="87" t="str">
        <f t="shared" si="0"/>
        <v/>
      </c>
      <c r="H3187" s="26" t="str">
        <f t="shared" si="1"/>
        <v/>
      </c>
      <c r="I3187" s="26" t="str">
        <f t="shared" si="2"/>
        <v/>
      </c>
      <c r="J3187" s="86">
        <f t="shared" si="3"/>
        <v>0</v>
      </c>
      <c r="R3187" s="26"/>
    </row>
    <row r="3188" spans="1:18" ht="15.75" customHeight="1">
      <c r="A3188" s="26"/>
      <c r="B3188" s="86"/>
      <c r="D3188" s="26"/>
      <c r="F3188" s="87" t="str">
        <f t="shared" si="0"/>
        <v/>
      </c>
      <c r="H3188" s="26" t="str">
        <f t="shared" si="1"/>
        <v/>
      </c>
      <c r="I3188" s="26" t="str">
        <f t="shared" si="2"/>
        <v/>
      </c>
      <c r="J3188" s="86">
        <f t="shared" si="3"/>
        <v>0</v>
      </c>
      <c r="R3188" s="26"/>
    </row>
    <row r="3189" spans="1:18" ht="15.75" customHeight="1">
      <c r="A3189" s="26"/>
      <c r="B3189" s="86"/>
      <c r="D3189" s="26"/>
      <c r="F3189" s="87" t="str">
        <f t="shared" si="0"/>
        <v/>
      </c>
      <c r="H3189" s="26" t="str">
        <f t="shared" si="1"/>
        <v/>
      </c>
      <c r="I3189" s="26" t="str">
        <f t="shared" si="2"/>
        <v/>
      </c>
      <c r="J3189" s="86">
        <f t="shared" si="3"/>
        <v>0</v>
      </c>
      <c r="R3189" s="26"/>
    </row>
    <row r="3190" spans="1:18" ht="15.75" customHeight="1">
      <c r="A3190" s="26"/>
      <c r="B3190" s="86"/>
      <c r="D3190" s="26"/>
      <c r="F3190" s="87" t="str">
        <f t="shared" si="0"/>
        <v/>
      </c>
      <c r="H3190" s="26" t="str">
        <f t="shared" si="1"/>
        <v/>
      </c>
      <c r="I3190" s="26" t="str">
        <f t="shared" si="2"/>
        <v/>
      </c>
      <c r="J3190" s="86">
        <f t="shared" si="3"/>
        <v>0</v>
      </c>
      <c r="R3190" s="26"/>
    </row>
    <row r="3191" spans="1:18" ht="15.75" customHeight="1">
      <c r="A3191" s="26"/>
      <c r="B3191" s="86"/>
      <c r="D3191" s="26"/>
      <c r="F3191" s="87" t="str">
        <f t="shared" si="0"/>
        <v/>
      </c>
      <c r="H3191" s="26" t="str">
        <f t="shared" si="1"/>
        <v/>
      </c>
      <c r="I3191" s="26" t="str">
        <f t="shared" si="2"/>
        <v/>
      </c>
      <c r="J3191" s="86">
        <f t="shared" si="3"/>
        <v>0</v>
      </c>
      <c r="R3191" s="26"/>
    </row>
    <row r="3192" spans="1:18" ht="15.75" customHeight="1">
      <c r="A3192" s="26"/>
      <c r="B3192" s="86"/>
      <c r="D3192" s="26"/>
      <c r="F3192" s="87" t="str">
        <f t="shared" si="0"/>
        <v/>
      </c>
      <c r="H3192" s="26" t="str">
        <f t="shared" si="1"/>
        <v/>
      </c>
      <c r="I3192" s="26" t="str">
        <f t="shared" si="2"/>
        <v/>
      </c>
      <c r="J3192" s="86">
        <f t="shared" si="3"/>
        <v>0</v>
      </c>
      <c r="R3192" s="26"/>
    </row>
    <row r="3193" spans="1:18" ht="15.75" customHeight="1">
      <c r="A3193" s="26"/>
      <c r="B3193" s="86"/>
      <c r="D3193" s="26"/>
      <c r="F3193" s="87" t="str">
        <f t="shared" si="0"/>
        <v/>
      </c>
      <c r="H3193" s="26" t="str">
        <f t="shared" si="1"/>
        <v/>
      </c>
      <c r="I3193" s="26" t="str">
        <f t="shared" si="2"/>
        <v/>
      </c>
      <c r="J3193" s="86">
        <f t="shared" si="3"/>
        <v>0</v>
      </c>
      <c r="R3193" s="26"/>
    </row>
    <row r="3194" spans="1:18" ht="15.75" customHeight="1">
      <c r="A3194" s="26"/>
      <c r="B3194" s="86"/>
      <c r="D3194" s="26"/>
      <c r="F3194" s="87" t="str">
        <f t="shared" si="0"/>
        <v/>
      </c>
      <c r="H3194" s="26" t="str">
        <f t="shared" si="1"/>
        <v/>
      </c>
      <c r="I3194" s="26" t="str">
        <f t="shared" si="2"/>
        <v/>
      </c>
      <c r="J3194" s="86">
        <f t="shared" si="3"/>
        <v>0</v>
      </c>
      <c r="R3194" s="26"/>
    </row>
    <row r="3195" spans="1:18" ht="15.75" customHeight="1">
      <c r="A3195" s="26"/>
      <c r="B3195" s="86"/>
      <c r="D3195" s="26"/>
      <c r="F3195" s="87" t="str">
        <f t="shared" si="0"/>
        <v/>
      </c>
      <c r="H3195" s="26" t="str">
        <f t="shared" si="1"/>
        <v/>
      </c>
      <c r="I3195" s="26" t="str">
        <f t="shared" si="2"/>
        <v/>
      </c>
      <c r="J3195" s="86">
        <f t="shared" si="3"/>
        <v>0</v>
      </c>
      <c r="R3195" s="26"/>
    </row>
    <row r="3196" spans="1:18" ht="15.75" customHeight="1">
      <c r="A3196" s="26"/>
      <c r="B3196" s="86"/>
      <c r="D3196" s="26"/>
      <c r="F3196" s="87" t="str">
        <f t="shared" si="0"/>
        <v/>
      </c>
      <c r="H3196" s="26" t="str">
        <f t="shared" si="1"/>
        <v/>
      </c>
      <c r="I3196" s="26" t="str">
        <f t="shared" si="2"/>
        <v/>
      </c>
      <c r="J3196" s="86">
        <f t="shared" si="3"/>
        <v>0</v>
      </c>
      <c r="R3196" s="26"/>
    </row>
    <row r="3197" spans="1:18" ht="15.75" customHeight="1">
      <c r="A3197" s="26"/>
      <c r="B3197" s="86"/>
      <c r="D3197" s="26"/>
      <c r="F3197" s="87" t="str">
        <f t="shared" si="0"/>
        <v/>
      </c>
      <c r="H3197" s="26" t="str">
        <f t="shared" si="1"/>
        <v/>
      </c>
      <c r="I3197" s="26" t="str">
        <f t="shared" si="2"/>
        <v/>
      </c>
      <c r="J3197" s="86">
        <f t="shared" si="3"/>
        <v>0</v>
      </c>
      <c r="R3197" s="26"/>
    </row>
    <row r="3198" spans="1:18" ht="15.75" customHeight="1">
      <c r="A3198" s="26"/>
      <c r="B3198" s="86"/>
      <c r="D3198" s="26"/>
      <c r="F3198" s="87" t="str">
        <f t="shared" si="0"/>
        <v/>
      </c>
      <c r="H3198" s="26" t="str">
        <f t="shared" si="1"/>
        <v/>
      </c>
      <c r="I3198" s="26" t="str">
        <f t="shared" si="2"/>
        <v/>
      </c>
      <c r="J3198" s="86">
        <f t="shared" si="3"/>
        <v>0</v>
      </c>
      <c r="R3198" s="26"/>
    </row>
    <row r="3199" spans="1:18" ht="15.75" customHeight="1">
      <c r="A3199" s="26"/>
      <c r="B3199" s="86"/>
      <c r="D3199" s="26"/>
      <c r="F3199" s="87" t="str">
        <f t="shared" si="0"/>
        <v/>
      </c>
      <c r="H3199" s="26" t="str">
        <f t="shared" si="1"/>
        <v/>
      </c>
      <c r="I3199" s="26" t="str">
        <f t="shared" si="2"/>
        <v/>
      </c>
      <c r="J3199" s="86">
        <f t="shared" si="3"/>
        <v>0</v>
      </c>
      <c r="R3199" s="26"/>
    </row>
    <row r="3200" spans="1:18" ht="15.75" customHeight="1">
      <c r="A3200" s="26"/>
      <c r="B3200" s="86"/>
      <c r="D3200" s="26"/>
      <c r="F3200" s="87" t="str">
        <f t="shared" si="0"/>
        <v/>
      </c>
      <c r="H3200" s="26" t="str">
        <f t="shared" si="1"/>
        <v/>
      </c>
      <c r="I3200" s="26" t="str">
        <f t="shared" si="2"/>
        <v/>
      </c>
      <c r="J3200" s="86">
        <f t="shared" si="3"/>
        <v>0</v>
      </c>
      <c r="R3200" s="26"/>
    </row>
    <row r="3201" spans="1:18" ht="15.75" customHeight="1">
      <c r="A3201" s="26"/>
      <c r="B3201" s="86"/>
      <c r="D3201" s="26"/>
      <c r="F3201" s="87" t="str">
        <f t="shared" si="0"/>
        <v/>
      </c>
      <c r="H3201" s="26" t="str">
        <f t="shared" si="1"/>
        <v/>
      </c>
      <c r="I3201" s="26" t="str">
        <f t="shared" si="2"/>
        <v/>
      </c>
      <c r="J3201" s="86">
        <f t="shared" si="3"/>
        <v>0</v>
      </c>
      <c r="R3201" s="26"/>
    </row>
    <row r="3202" spans="1:18" ht="15.75" customHeight="1">
      <c r="A3202" s="26"/>
      <c r="B3202" s="86"/>
      <c r="D3202" s="26"/>
      <c r="F3202" s="87" t="str">
        <f t="shared" si="0"/>
        <v/>
      </c>
      <c r="H3202" s="26" t="str">
        <f t="shared" si="1"/>
        <v/>
      </c>
      <c r="I3202" s="26" t="str">
        <f t="shared" si="2"/>
        <v/>
      </c>
      <c r="J3202" s="86">
        <f t="shared" si="3"/>
        <v>0</v>
      </c>
      <c r="R3202" s="26"/>
    </row>
    <row r="3203" spans="1:18" ht="15.75" customHeight="1">
      <c r="A3203" s="26"/>
      <c r="B3203" s="86"/>
      <c r="D3203" s="26"/>
      <c r="F3203" s="87" t="str">
        <f t="shared" si="0"/>
        <v/>
      </c>
      <c r="H3203" s="26" t="str">
        <f t="shared" si="1"/>
        <v/>
      </c>
      <c r="I3203" s="26" t="str">
        <f t="shared" si="2"/>
        <v/>
      </c>
      <c r="J3203" s="86">
        <f t="shared" si="3"/>
        <v>0</v>
      </c>
      <c r="R3203" s="26"/>
    </row>
    <row r="3204" spans="1:18" ht="15.75" customHeight="1">
      <c r="A3204" s="26"/>
      <c r="B3204" s="86"/>
      <c r="D3204" s="26"/>
      <c r="F3204" s="87" t="str">
        <f t="shared" si="0"/>
        <v/>
      </c>
      <c r="H3204" s="26" t="str">
        <f t="shared" si="1"/>
        <v/>
      </c>
      <c r="I3204" s="26" t="str">
        <f t="shared" si="2"/>
        <v/>
      </c>
      <c r="J3204" s="86">
        <f t="shared" si="3"/>
        <v>0</v>
      </c>
      <c r="R3204" s="26"/>
    </row>
    <row r="3205" spans="1:18" ht="15.75" customHeight="1">
      <c r="A3205" s="26"/>
      <c r="B3205" s="86"/>
      <c r="D3205" s="26"/>
      <c r="F3205" s="87" t="str">
        <f t="shared" si="0"/>
        <v/>
      </c>
      <c r="H3205" s="26" t="str">
        <f t="shared" si="1"/>
        <v/>
      </c>
      <c r="I3205" s="26" t="str">
        <f t="shared" si="2"/>
        <v/>
      </c>
      <c r="J3205" s="86">
        <f t="shared" si="3"/>
        <v>0</v>
      </c>
      <c r="R3205" s="26"/>
    </row>
    <row r="3206" spans="1:18" ht="15.75" customHeight="1">
      <c r="A3206" s="26"/>
      <c r="B3206" s="86"/>
      <c r="D3206" s="26"/>
      <c r="F3206" s="87" t="str">
        <f t="shared" si="0"/>
        <v/>
      </c>
      <c r="H3206" s="26" t="str">
        <f t="shared" si="1"/>
        <v/>
      </c>
      <c r="I3206" s="26" t="str">
        <f t="shared" si="2"/>
        <v/>
      </c>
      <c r="J3206" s="86">
        <f t="shared" si="3"/>
        <v>0</v>
      </c>
      <c r="R3206" s="26"/>
    </row>
    <row r="3207" spans="1:18" ht="15.75" customHeight="1">
      <c r="A3207" s="26"/>
      <c r="B3207" s="86"/>
      <c r="D3207" s="26"/>
      <c r="F3207" s="87" t="str">
        <f t="shared" si="0"/>
        <v/>
      </c>
      <c r="H3207" s="26" t="str">
        <f t="shared" si="1"/>
        <v/>
      </c>
      <c r="I3207" s="26" t="str">
        <f t="shared" si="2"/>
        <v/>
      </c>
      <c r="J3207" s="86">
        <f t="shared" si="3"/>
        <v>0</v>
      </c>
      <c r="R3207" s="26"/>
    </row>
    <row r="3208" spans="1:18" ht="15.75" customHeight="1">
      <c r="A3208" s="26"/>
      <c r="B3208" s="86"/>
      <c r="D3208" s="26"/>
      <c r="F3208" s="87" t="str">
        <f t="shared" si="0"/>
        <v/>
      </c>
      <c r="H3208" s="26" t="str">
        <f t="shared" si="1"/>
        <v/>
      </c>
      <c r="I3208" s="26" t="str">
        <f t="shared" si="2"/>
        <v/>
      </c>
      <c r="J3208" s="86">
        <f t="shared" si="3"/>
        <v>0</v>
      </c>
      <c r="R3208" s="26"/>
    </row>
    <row r="3209" spans="1:18" ht="15.75" customHeight="1">
      <c r="A3209" s="26"/>
      <c r="B3209" s="86"/>
      <c r="D3209" s="26"/>
      <c r="F3209" s="87" t="str">
        <f t="shared" si="0"/>
        <v/>
      </c>
      <c r="H3209" s="26" t="str">
        <f t="shared" si="1"/>
        <v/>
      </c>
      <c r="I3209" s="26" t="str">
        <f t="shared" si="2"/>
        <v/>
      </c>
      <c r="J3209" s="86">
        <f t="shared" si="3"/>
        <v>0</v>
      </c>
      <c r="R3209" s="26"/>
    </row>
    <row r="3210" spans="1:18" ht="15.75" customHeight="1">
      <c r="A3210" s="26"/>
      <c r="B3210" s="86"/>
      <c r="D3210" s="26"/>
      <c r="F3210" s="87" t="str">
        <f t="shared" si="0"/>
        <v/>
      </c>
      <c r="H3210" s="26" t="str">
        <f t="shared" si="1"/>
        <v/>
      </c>
      <c r="I3210" s="26" t="str">
        <f t="shared" si="2"/>
        <v/>
      </c>
      <c r="J3210" s="86">
        <f t="shared" si="3"/>
        <v>0</v>
      </c>
      <c r="R3210" s="26"/>
    </row>
    <row r="3211" spans="1:18" ht="15.75" customHeight="1">
      <c r="A3211" s="26"/>
      <c r="B3211" s="86"/>
      <c r="D3211" s="26"/>
      <c r="F3211" s="87" t="str">
        <f t="shared" si="0"/>
        <v/>
      </c>
      <c r="H3211" s="26" t="str">
        <f t="shared" si="1"/>
        <v/>
      </c>
      <c r="I3211" s="26" t="str">
        <f t="shared" si="2"/>
        <v/>
      </c>
      <c r="J3211" s="86">
        <f t="shared" si="3"/>
        <v>0</v>
      </c>
      <c r="R3211" s="26"/>
    </row>
    <row r="3212" spans="1:18" ht="15.75" customHeight="1">
      <c r="A3212" s="26"/>
      <c r="B3212" s="86"/>
      <c r="D3212" s="26"/>
      <c r="F3212" s="87" t="str">
        <f t="shared" si="0"/>
        <v/>
      </c>
      <c r="H3212" s="26" t="str">
        <f t="shared" si="1"/>
        <v/>
      </c>
      <c r="I3212" s="26" t="str">
        <f t="shared" si="2"/>
        <v/>
      </c>
      <c r="J3212" s="86">
        <f t="shared" si="3"/>
        <v>0</v>
      </c>
      <c r="R3212" s="26"/>
    </row>
    <row r="3213" spans="1:18" ht="15.75" customHeight="1">
      <c r="A3213" s="26"/>
      <c r="B3213" s="86"/>
      <c r="D3213" s="26"/>
      <c r="F3213" s="87" t="str">
        <f t="shared" si="0"/>
        <v/>
      </c>
      <c r="H3213" s="26" t="str">
        <f t="shared" si="1"/>
        <v/>
      </c>
      <c r="I3213" s="26" t="str">
        <f t="shared" si="2"/>
        <v/>
      </c>
      <c r="J3213" s="86">
        <f t="shared" si="3"/>
        <v>0</v>
      </c>
      <c r="R3213" s="26"/>
    </row>
    <row r="3214" spans="1:18" ht="15.75" customHeight="1">
      <c r="A3214" s="26"/>
      <c r="B3214" s="86"/>
      <c r="D3214" s="26"/>
      <c r="F3214" s="87" t="str">
        <f t="shared" si="0"/>
        <v/>
      </c>
      <c r="H3214" s="26" t="str">
        <f t="shared" si="1"/>
        <v/>
      </c>
      <c r="I3214" s="26" t="str">
        <f t="shared" si="2"/>
        <v/>
      </c>
      <c r="J3214" s="86">
        <f t="shared" si="3"/>
        <v>0</v>
      </c>
      <c r="R3214" s="26"/>
    </row>
    <row r="3215" spans="1:18" ht="15.75" customHeight="1">
      <c r="A3215" s="26"/>
      <c r="B3215" s="86"/>
      <c r="D3215" s="26"/>
      <c r="F3215" s="87" t="str">
        <f t="shared" si="0"/>
        <v/>
      </c>
      <c r="H3215" s="26" t="str">
        <f t="shared" si="1"/>
        <v/>
      </c>
      <c r="I3215" s="26" t="str">
        <f t="shared" si="2"/>
        <v/>
      </c>
      <c r="J3215" s="86">
        <f t="shared" si="3"/>
        <v>0</v>
      </c>
      <c r="R3215" s="26"/>
    </row>
    <row r="3216" spans="1:18" ht="15.75" customHeight="1">
      <c r="A3216" s="26"/>
      <c r="B3216" s="86"/>
      <c r="D3216" s="26"/>
      <c r="F3216" s="87" t="str">
        <f t="shared" si="0"/>
        <v/>
      </c>
      <c r="H3216" s="26" t="str">
        <f t="shared" si="1"/>
        <v/>
      </c>
      <c r="I3216" s="26" t="str">
        <f t="shared" si="2"/>
        <v/>
      </c>
      <c r="J3216" s="86">
        <f t="shared" si="3"/>
        <v>0</v>
      </c>
      <c r="R3216" s="26"/>
    </row>
    <row r="3217" spans="1:18" ht="15.75" customHeight="1">
      <c r="A3217" s="26"/>
      <c r="B3217" s="86"/>
      <c r="D3217" s="26"/>
      <c r="F3217" s="87" t="str">
        <f t="shared" si="0"/>
        <v/>
      </c>
      <c r="H3217" s="26" t="str">
        <f t="shared" si="1"/>
        <v/>
      </c>
      <c r="I3217" s="26" t="str">
        <f t="shared" si="2"/>
        <v/>
      </c>
      <c r="J3217" s="86">
        <f t="shared" si="3"/>
        <v>0</v>
      </c>
      <c r="R3217" s="26"/>
    </row>
    <row r="3218" spans="1:18" ht="15.75" customHeight="1">
      <c r="A3218" s="26"/>
      <c r="B3218" s="86"/>
      <c r="D3218" s="26"/>
      <c r="F3218" s="87" t="str">
        <f t="shared" si="0"/>
        <v/>
      </c>
      <c r="H3218" s="26" t="str">
        <f t="shared" si="1"/>
        <v/>
      </c>
      <c r="I3218" s="26" t="str">
        <f t="shared" si="2"/>
        <v/>
      </c>
      <c r="J3218" s="86">
        <f t="shared" si="3"/>
        <v>0</v>
      </c>
      <c r="R3218" s="26"/>
    </row>
    <row r="3219" spans="1:18" ht="15.75" customHeight="1">
      <c r="A3219" s="26"/>
      <c r="B3219" s="86"/>
      <c r="D3219" s="26"/>
      <c r="F3219" s="87" t="str">
        <f t="shared" si="0"/>
        <v/>
      </c>
      <c r="H3219" s="26" t="str">
        <f t="shared" si="1"/>
        <v/>
      </c>
      <c r="I3219" s="26" t="str">
        <f t="shared" si="2"/>
        <v/>
      </c>
      <c r="J3219" s="86">
        <f t="shared" si="3"/>
        <v>0</v>
      </c>
      <c r="R3219" s="26"/>
    </row>
    <row r="3220" spans="1:18" ht="15.75" customHeight="1">
      <c r="A3220" s="26"/>
      <c r="B3220" s="86"/>
      <c r="D3220" s="26"/>
      <c r="F3220" s="87" t="str">
        <f t="shared" si="0"/>
        <v/>
      </c>
      <c r="H3220" s="26" t="str">
        <f t="shared" si="1"/>
        <v/>
      </c>
      <c r="I3220" s="26" t="str">
        <f t="shared" si="2"/>
        <v/>
      </c>
      <c r="J3220" s="86">
        <f t="shared" si="3"/>
        <v>0</v>
      </c>
      <c r="R3220" s="26"/>
    </row>
    <row r="3221" spans="1:18" ht="15.75" customHeight="1">
      <c r="A3221" s="26"/>
      <c r="B3221" s="86"/>
      <c r="D3221" s="26"/>
      <c r="F3221" s="87" t="str">
        <f t="shared" si="0"/>
        <v/>
      </c>
      <c r="H3221" s="26" t="str">
        <f t="shared" si="1"/>
        <v/>
      </c>
      <c r="I3221" s="26" t="str">
        <f t="shared" si="2"/>
        <v/>
      </c>
      <c r="J3221" s="86">
        <f t="shared" si="3"/>
        <v>0</v>
      </c>
      <c r="R3221" s="26"/>
    </row>
    <row r="3222" spans="1:18" ht="15.75" customHeight="1">
      <c r="A3222" s="26"/>
      <c r="B3222" s="86"/>
      <c r="D3222" s="26"/>
      <c r="F3222" s="87" t="str">
        <f t="shared" si="0"/>
        <v/>
      </c>
      <c r="H3222" s="26" t="str">
        <f t="shared" si="1"/>
        <v/>
      </c>
      <c r="I3222" s="26" t="str">
        <f t="shared" si="2"/>
        <v/>
      </c>
      <c r="J3222" s="86">
        <f t="shared" si="3"/>
        <v>0</v>
      </c>
      <c r="R3222" s="26"/>
    </row>
    <row r="3223" spans="1:18" ht="15.75" customHeight="1">
      <c r="A3223" s="26"/>
      <c r="B3223" s="86"/>
      <c r="D3223" s="26"/>
      <c r="F3223" s="87" t="str">
        <f t="shared" si="0"/>
        <v/>
      </c>
      <c r="H3223" s="26" t="str">
        <f t="shared" si="1"/>
        <v/>
      </c>
      <c r="I3223" s="26" t="str">
        <f t="shared" si="2"/>
        <v/>
      </c>
      <c r="J3223" s="86">
        <f t="shared" si="3"/>
        <v>0</v>
      </c>
      <c r="R3223" s="26"/>
    </row>
    <row r="3224" spans="1:18" ht="15.75" customHeight="1">
      <c r="A3224" s="26"/>
      <c r="B3224" s="86"/>
      <c r="D3224" s="26"/>
      <c r="F3224" s="87" t="str">
        <f t="shared" si="0"/>
        <v/>
      </c>
      <c r="H3224" s="26" t="str">
        <f t="shared" si="1"/>
        <v/>
      </c>
      <c r="I3224" s="26" t="str">
        <f t="shared" si="2"/>
        <v/>
      </c>
      <c r="J3224" s="86">
        <f t="shared" si="3"/>
        <v>0</v>
      </c>
      <c r="R3224" s="26"/>
    </row>
    <row r="3225" spans="1:18" ht="15.75" customHeight="1">
      <c r="A3225" s="26"/>
      <c r="B3225" s="86"/>
      <c r="D3225" s="26"/>
      <c r="F3225" s="87" t="str">
        <f t="shared" si="0"/>
        <v/>
      </c>
      <c r="H3225" s="26" t="str">
        <f t="shared" si="1"/>
        <v/>
      </c>
      <c r="I3225" s="26" t="str">
        <f t="shared" si="2"/>
        <v/>
      </c>
      <c r="J3225" s="86">
        <f t="shared" si="3"/>
        <v>0</v>
      </c>
      <c r="R3225" s="26"/>
    </row>
    <row r="3226" spans="1:18" ht="15.75" customHeight="1">
      <c r="A3226" s="26"/>
      <c r="B3226" s="86"/>
      <c r="D3226" s="26"/>
      <c r="F3226" s="87" t="str">
        <f t="shared" si="0"/>
        <v/>
      </c>
      <c r="H3226" s="26" t="str">
        <f t="shared" si="1"/>
        <v/>
      </c>
      <c r="I3226" s="26" t="str">
        <f t="shared" si="2"/>
        <v/>
      </c>
      <c r="J3226" s="86">
        <f t="shared" si="3"/>
        <v>0</v>
      </c>
      <c r="R3226" s="26"/>
    </row>
    <row r="3227" spans="1:18" ht="15.75" customHeight="1">
      <c r="A3227" s="26"/>
      <c r="B3227" s="86"/>
      <c r="D3227" s="26"/>
      <c r="F3227" s="87" t="str">
        <f t="shared" si="0"/>
        <v/>
      </c>
      <c r="H3227" s="26" t="str">
        <f t="shared" si="1"/>
        <v/>
      </c>
      <c r="I3227" s="26" t="str">
        <f t="shared" si="2"/>
        <v/>
      </c>
      <c r="J3227" s="86">
        <f t="shared" si="3"/>
        <v>0</v>
      </c>
      <c r="R3227" s="26"/>
    </row>
    <row r="3228" spans="1:18" ht="15.75" customHeight="1">
      <c r="A3228" s="26"/>
      <c r="B3228" s="86"/>
      <c r="D3228" s="26"/>
      <c r="F3228" s="87" t="str">
        <f t="shared" si="0"/>
        <v/>
      </c>
      <c r="H3228" s="26" t="str">
        <f t="shared" si="1"/>
        <v/>
      </c>
      <c r="I3228" s="26" t="str">
        <f t="shared" si="2"/>
        <v/>
      </c>
      <c r="J3228" s="86">
        <f t="shared" si="3"/>
        <v>0</v>
      </c>
      <c r="R3228" s="26"/>
    </row>
    <row r="3229" spans="1:18" ht="15.75" customHeight="1">
      <c r="A3229" s="26"/>
      <c r="B3229" s="86"/>
      <c r="D3229" s="26"/>
      <c r="F3229" s="87" t="str">
        <f t="shared" si="0"/>
        <v/>
      </c>
      <c r="H3229" s="26" t="str">
        <f t="shared" si="1"/>
        <v/>
      </c>
      <c r="I3229" s="26" t="str">
        <f t="shared" si="2"/>
        <v/>
      </c>
      <c r="J3229" s="86">
        <f t="shared" si="3"/>
        <v>0</v>
      </c>
      <c r="R3229" s="26"/>
    </row>
    <row r="3230" spans="1:18" ht="15.75" customHeight="1">
      <c r="A3230" s="26"/>
      <c r="B3230" s="86"/>
      <c r="D3230" s="26"/>
      <c r="F3230" s="87" t="str">
        <f t="shared" si="0"/>
        <v/>
      </c>
      <c r="H3230" s="26" t="str">
        <f t="shared" si="1"/>
        <v/>
      </c>
      <c r="I3230" s="26" t="str">
        <f t="shared" si="2"/>
        <v/>
      </c>
      <c r="J3230" s="86">
        <f t="shared" si="3"/>
        <v>0</v>
      </c>
      <c r="R3230" s="26"/>
    </row>
    <row r="3231" spans="1:18" ht="15.75" customHeight="1">
      <c r="A3231" s="26"/>
      <c r="B3231" s="86"/>
      <c r="D3231" s="26"/>
      <c r="F3231" s="87" t="str">
        <f t="shared" si="0"/>
        <v/>
      </c>
      <c r="H3231" s="26" t="str">
        <f t="shared" si="1"/>
        <v/>
      </c>
      <c r="I3231" s="26" t="str">
        <f t="shared" si="2"/>
        <v/>
      </c>
      <c r="J3231" s="86">
        <f t="shared" si="3"/>
        <v>0</v>
      </c>
      <c r="R3231" s="26"/>
    </row>
    <row r="3232" spans="1:18" ht="15.75" customHeight="1">
      <c r="A3232" s="26"/>
      <c r="B3232" s="86"/>
      <c r="D3232" s="26"/>
      <c r="F3232" s="87" t="str">
        <f t="shared" si="0"/>
        <v/>
      </c>
      <c r="H3232" s="26" t="str">
        <f t="shared" si="1"/>
        <v/>
      </c>
      <c r="I3232" s="26" t="str">
        <f t="shared" si="2"/>
        <v/>
      </c>
      <c r="J3232" s="86">
        <f t="shared" si="3"/>
        <v>0</v>
      </c>
      <c r="R3232" s="26"/>
    </row>
    <row r="3233" spans="1:18" ht="15.75" customHeight="1">
      <c r="A3233" s="26"/>
      <c r="B3233" s="86"/>
      <c r="D3233" s="26"/>
      <c r="F3233" s="87" t="str">
        <f t="shared" si="0"/>
        <v/>
      </c>
      <c r="H3233" s="26" t="str">
        <f t="shared" si="1"/>
        <v/>
      </c>
      <c r="I3233" s="26" t="str">
        <f t="shared" si="2"/>
        <v/>
      </c>
      <c r="J3233" s="86">
        <f t="shared" si="3"/>
        <v>0</v>
      </c>
      <c r="R3233" s="26"/>
    </row>
    <row r="3234" spans="1:18" ht="15.75" customHeight="1">
      <c r="A3234" s="26"/>
      <c r="B3234" s="86"/>
      <c r="D3234" s="26"/>
      <c r="F3234" s="87" t="str">
        <f t="shared" si="0"/>
        <v/>
      </c>
      <c r="H3234" s="26" t="str">
        <f t="shared" si="1"/>
        <v/>
      </c>
      <c r="I3234" s="26" t="str">
        <f t="shared" si="2"/>
        <v/>
      </c>
      <c r="J3234" s="86">
        <f t="shared" si="3"/>
        <v>0</v>
      </c>
      <c r="R3234" s="26"/>
    </row>
    <row r="3235" spans="1:18" ht="15.75" customHeight="1">
      <c r="A3235" s="26"/>
      <c r="B3235" s="86"/>
      <c r="D3235" s="26"/>
      <c r="F3235" s="87" t="str">
        <f t="shared" si="0"/>
        <v/>
      </c>
      <c r="H3235" s="26" t="str">
        <f t="shared" si="1"/>
        <v/>
      </c>
      <c r="I3235" s="26" t="str">
        <f t="shared" si="2"/>
        <v/>
      </c>
      <c r="J3235" s="86">
        <f t="shared" si="3"/>
        <v>0</v>
      </c>
      <c r="R3235" s="26"/>
    </row>
    <row r="3236" spans="1:18" ht="15.75" customHeight="1">
      <c r="A3236" s="26"/>
      <c r="B3236" s="86"/>
      <c r="D3236" s="26"/>
      <c r="F3236" s="87" t="str">
        <f t="shared" si="0"/>
        <v/>
      </c>
      <c r="H3236" s="26" t="str">
        <f t="shared" si="1"/>
        <v/>
      </c>
      <c r="I3236" s="26" t="str">
        <f t="shared" si="2"/>
        <v/>
      </c>
      <c r="J3236" s="86">
        <f t="shared" si="3"/>
        <v>0</v>
      </c>
      <c r="R3236" s="26"/>
    </row>
    <row r="3237" spans="1:18" ht="15.75" customHeight="1">
      <c r="A3237" s="26"/>
      <c r="B3237" s="86"/>
      <c r="D3237" s="26"/>
      <c r="F3237" s="87" t="str">
        <f t="shared" si="0"/>
        <v/>
      </c>
      <c r="H3237" s="26" t="str">
        <f t="shared" si="1"/>
        <v/>
      </c>
      <c r="I3237" s="26" t="str">
        <f t="shared" si="2"/>
        <v/>
      </c>
      <c r="J3237" s="86">
        <f t="shared" si="3"/>
        <v>0</v>
      </c>
      <c r="R3237" s="26"/>
    </row>
    <row r="3238" spans="1:18" ht="15.75" customHeight="1">
      <c r="A3238" s="26"/>
      <c r="B3238" s="86"/>
      <c r="D3238" s="26"/>
      <c r="F3238" s="87" t="str">
        <f t="shared" si="0"/>
        <v/>
      </c>
      <c r="H3238" s="26" t="str">
        <f t="shared" si="1"/>
        <v/>
      </c>
      <c r="I3238" s="26" t="str">
        <f t="shared" si="2"/>
        <v/>
      </c>
      <c r="J3238" s="86">
        <f t="shared" si="3"/>
        <v>0</v>
      </c>
      <c r="R3238" s="26"/>
    </row>
    <row r="3239" spans="1:18" ht="15.75" customHeight="1">
      <c r="A3239" s="26"/>
      <c r="B3239" s="86"/>
      <c r="D3239" s="26"/>
      <c r="F3239" s="87" t="str">
        <f t="shared" si="0"/>
        <v/>
      </c>
      <c r="H3239" s="26" t="str">
        <f t="shared" si="1"/>
        <v/>
      </c>
      <c r="I3239" s="26" t="str">
        <f t="shared" si="2"/>
        <v/>
      </c>
      <c r="J3239" s="86">
        <f t="shared" si="3"/>
        <v>0</v>
      </c>
      <c r="R3239" s="26"/>
    </row>
    <row r="3240" spans="1:18" ht="15.75" customHeight="1">
      <c r="A3240" s="26"/>
      <c r="B3240" s="86"/>
      <c r="D3240" s="26"/>
      <c r="F3240" s="87" t="str">
        <f t="shared" si="0"/>
        <v/>
      </c>
      <c r="H3240" s="26" t="str">
        <f t="shared" si="1"/>
        <v/>
      </c>
      <c r="I3240" s="26" t="str">
        <f t="shared" si="2"/>
        <v/>
      </c>
      <c r="J3240" s="86">
        <f t="shared" si="3"/>
        <v>0</v>
      </c>
      <c r="R3240" s="26"/>
    </row>
    <row r="3241" spans="1:18" ht="15.75" customHeight="1">
      <c r="A3241" s="26"/>
      <c r="B3241" s="86"/>
      <c r="D3241" s="26"/>
      <c r="F3241" s="87" t="str">
        <f t="shared" si="0"/>
        <v/>
      </c>
      <c r="H3241" s="26" t="str">
        <f t="shared" si="1"/>
        <v/>
      </c>
      <c r="I3241" s="26" t="str">
        <f t="shared" si="2"/>
        <v/>
      </c>
      <c r="J3241" s="86">
        <f t="shared" si="3"/>
        <v>0</v>
      </c>
      <c r="R3241" s="26"/>
    </row>
    <row r="3242" spans="1:18" ht="15.75" customHeight="1">
      <c r="A3242" s="26"/>
      <c r="B3242" s="86"/>
      <c r="D3242" s="26"/>
      <c r="F3242" s="87" t="str">
        <f t="shared" si="0"/>
        <v/>
      </c>
      <c r="H3242" s="26" t="str">
        <f t="shared" si="1"/>
        <v/>
      </c>
      <c r="I3242" s="26" t="str">
        <f t="shared" si="2"/>
        <v/>
      </c>
      <c r="J3242" s="86">
        <f t="shared" si="3"/>
        <v>0</v>
      </c>
      <c r="R3242" s="26"/>
    </row>
    <row r="3243" spans="1:18" ht="15.75" customHeight="1">
      <c r="A3243" s="26"/>
      <c r="B3243" s="86"/>
      <c r="D3243" s="26"/>
      <c r="F3243" s="87" t="str">
        <f t="shared" si="0"/>
        <v/>
      </c>
      <c r="H3243" s="26" t="str">
        <f t="shared" si="1"/>
        <v/>
      </c>
      <c r="I3243" s="26" t="str">
        <f t="shared" si="2"/>
        <v/>
      </c>
      <c r="J3243" s="86">
        <f t="shared" si="3"/>
        <v>0</v>
      </c>
      <c r="R3243" s="26"/>
    </row>
    <row r="3244" spans="1:18" ht="15.75" customHeight="1">
      <c r="A3244" s="26"/>
      <c r="B3244" s="86"/>
      <c r="D3244" s="26"/>
      <c r="F3244" s="87" t="str">
        <f t="shared" si="0"/>
        <v/>
      </c>
      <c r="H3244" s="26" t="str">
        <f t="shared" si="1"/>
        <v/>
      </c>
      <c r="I3244" s="26" t="str">
        <f t="shared" si="2"/>
        <v/>
      </c>
      <c r="J3244" s="86">
        <f t="shared" si="3"/>
        <v>0</v>
      </c>
      <c r="R3244" s="26"/>
    </row>
    <row r="3245" spans="1:18" ht="15.75" customHeight="1">
      <c r="A3245" s="26"/>
      <c r="B3245" s="86"/>
      <c r="D3245" s="26"/>
      <c r="F3245" s="87" t="str">
        <f t="shared" si="0"/>
        <v/>
      </c>
      <c r="H3245" s="26" t="str">
        <f t="shared" si="1"/>
        <v/>
      </c>
      <c r="I3245" s="26" t="str">
        <f t="shared" si="2"/>
        <v/>
      </c>
      <c r="J3245" s="86">
        <f t="shared" si="3"/>
        <v>0</v>
      </c>
      <c r="R3245" s="26"/>
    </row>
    <row r="3246" spans="1:18" ht="15.75" customHeight="1">
      <c r="A3246" s="26"/>
      <c r="B3246" s="86"/>
      <c r="D3246" s="26"/>
      <c r="F3246" s="87" t="str">
        <f t="shared" si="0"/>
        <v/>
      </c>
      <c r="H3246" s="26" t="str">
        <f t="shared" si="1"/>
        <v/>
      </c>
      <c r="I3246" s="26" t="str">
        <f t="shared" si="2"/>
        <v/>
      </c>
      <c r="J3246" s="86">
        <f t="shared" si="3"/>
        <v>0</v>
      </c>
      <c r="R3246" s="26"/>
    </row>
    <row r="3247" spans="1:18" ht="15.75" customHeight="1">
      <c r="A3247" s="26"/>
      <c r="B3247" s="86"/>
      <c r="D3247" s="26"/>
      <c r="F3247" s="87" t="str">
        <f t="shared" si="0"/>
        <v/>
      </c>
      <c r="H3247" s="26" t="str">
        <f t="shared" si="1"/>
        <v/>
      </c>
      <c r="I3247" s="26" t="str">
        <f t="shared" si="2"/>
        <v/>
      </c>
      <c r="J3247" s="86">
        <f t="shared" si="3"/>
        <v>0</v>
      </c>
      <c r="R3247" s="26"/>
    </row>
    <row r="3248" spans="1:18" ht="15.75" customHeight="1">
      <c r="A3248" s="26"/>
      <c r="B3248" s="86"/>
      <c r="D3248" s="26"/>
      <c r="F3248" s="87" t="str">
        <f t="shared" si="0"/>
        <v/>
      </c>
      <c r="H3248" s="26" t="str">
        <f t="shared" si="1"/>
        <v/>
      </c>
      <c r="I3248" s="26" t="str">
        <f t="shared" si="2"/>
        <v/>
      </c>
      <c r="J3248" s="86">
        <f t="shared" si="3"/>
        <v>0</v>
      </c>
      <c r="R3248" s="26"/>
    </row>
    <row r="3249" spans="1:18" ht="15.75" customHeight="1">
      <c r="A3249" s="26"/>
      <c r="B3249" s="86"/>
      <c r="D3249" s="26"/>
      <c r="F3249" s="87" t="str">
        <f t="shared" si="0"/>
        <v/>
      </c>
      <c r="H3249" s="26" t="str">
        <f t="shared" si="1"/>
        <v/>
      </c>
      <c r="I3249" s="26" t="str">
        <f t="shared" si="2"/>
        <v/>
      </c>
      <c r="J3249" s="86">
        <f t="shared" si="3"/>
        <v>0</v>
      </c>
      <c r="R3249" s="26"/>
    </row>
    <row r="3250" spans="1:18" ht="15.75" customHeight="1">
      <c r="A3250" s="26"/>
      <c r="B3250" s="86"/>
      <c r="D3250" s="26"/>
      <c r="F3250" s="87" t="str">
        <f t="shared" si="0"/>
        <v/>
      </c>
      <c r="H3250" s="26" t="str">
        <f t="shared" si="1"/>
        <v/>
      </c>
      <c r="I3250" s="26" t="str">
        <f t="shared" si="2"/>
        <v/>
      </c>
      <c r="J3250" s="86">
        <f t="shared" si="3"/>
        <v>0</v>
      </c>
      <c r="R3250" s="26"/>
    </row>
    <row r="3251" spans="1:18" ht="15.75" customHeight="1">
      <c r="A3251" s="26"/>
      <c r="B3251" s="86"/>
      <c r="D3251" s="26"/>
      <c r="F3251" s="87" t="str">
        <f t="shared" si="0"/>
        <v/>
      </c>
      <c r="H3251" s="26" t="str">
        <f t="shared" si="1"/>
        <v/>
      </c>
      <c r="I3251" s="26" t="str">
        <f t="shared" si="2"/>
        <v/>
      </c>
      <c r="J3251" s="86">
        <f t="shared" si="3"/>
        <v>0</v>
      </c>
      <c r="R3251" s="26"/>
    </row>
    <row r="3252" spans="1:18" ht="15.75" customHeight="1">
      <c r="A3252" s="26"/>
      <c r="B3252" s="86"/>
      <c r="D3252" s="26"/>
      <c r="F3252" s="87" t="str">
        <f t="shared" si="0"/>
        <v/>
      </c>
      <c r="H3252" s="26" t="str">
        <f t="shared" si="1"/>
        <v/>
      </c>
      <c r="I3252" s="26" t="str">
        <f t="shared" si="2"/>
        <v/>
      </c>
      <c r="J3252" s="86">
        <f t="shared" si="3"/>
        <v>0</v>
      </c>
      <c r="R3252" s="26"/>
    </row>
    <row r="3253" spans="1:18" ht="15.75" customHeight="1">
      <c r="A3253" s="26"/>
      <c r="B3253" s="86"/>
      <c r="D3253" s="26"/>
      <c r="F3253" s="87" t="str">
        <f t="shared" si="0"/>
        <v/>
      </c>
      <c r="H3253" s="26" t="str">
        <f t="shared" si="1"/>
        <v/>
      </c>
      <c r="I3253" s="26" t="str">
        <f t="shared" si="2"/>
        <v/>
      </c>
      <c r="J3253" s="86">
        <f t="shared" si="3"/>
        <v>0</v>
      </c>
      <c r="R3253" s="26"/>
    </row>
    <row r="3254" spans="1:18" ht="15.75" customHeight="1">
      <c r="A3254" s="26"/>
      <c r="B3254" s="86"/>
      <c r="D3254" s="26"/>
      <c r="F3254" s="87" t="str">
        <f t="shared" si="0"/>
        <v/>
      </c>
      <c r="H3254" s="26" t="str">
        <f t="shared" si="1"/>
        <v/>
      </c>
      <c r="I3254" s="26" t="str">
        <f t="shared" si="2"/>
        <v/>
      </c>
      <c r="J3254" s="86">
        <f t="shared" si="3"/>
        <v>0</v>
      </c>
      <c r="R3254" s="26"/>
    </row>
    <row r="3255" spans="1:18" ht="15.75" customHeight="1">
      <c r="A3255" s="26"/>
      <c r="B3255" s="86"/>
      <c r="D3255" s="26"/>
      <c r="F3255" s="87" t="str">
        <f t="shared" si="0"/>
        <v/>
      </c>
      <c r="H3255" s="26" t="str">
        <f t="shared" si="1"/>
        <v/>
      </c>
      <c r="I3255" s="26" t="str">
        <f t="shared" si="2"/>
        <v/>
      </c>
      <c r="J3255" s="86">
        <f t="shared" si="3"/>
        <v>0</v>
      </c>
      <c r="R3255" s="26"/>
    </row>
    <row r="3256" spans="1:18" ht="15.75" customHeight="1">
      <c r="A3256" s="26"/>
      <c r="B3256" s="86"/>
      <c r="D3256" s="26"/>
      <c r="F3256" s="87" t="str">
        <f t="shared" si="0"/>
        <v/>
      </c>
      <c r="H3256" s="26" t="str">
        <f t="shared" si="1"/>
        <v/>
      </c>
      <c r="I3256" s="26" t="str">
        <f t="shared" si="2"/>
        <v/>
      </c>
      <c r="J3256" s="86">
        <f t="shared" si="3"/>
        <v>0</v>
      </c>
      <c r="R3256" s="26"/>
    </row>
    <row r="3257" spans="1:18" ht="15.75" customHeight="1">
      <c r="A3257" s="26"/>
      <c r="B3257" s="86"/>
      <c r="D3257" s="26"/>
      <c r="F3257" s="87" t="str">
        <f t="shared" si="0"/>
        <v/>
      </c>
      <c r="H3257" s="26" t="str">
        <f t="shared" si="1"/>
        <v/>
      </c>
      <c r="I3257" s="26" t="str">
        <f t="shared" si="2"/>
        <v/>
      </c>
      <c r="J3257" s="86">
        <f t="shared" si="3"/>
        <v>0</v>
      </c>
      <c r="R3257" s="26"/>
    </row>
    <row r="3258" spans="1:18" ht="15.75" customHeight="1">
      <c r="A3258" s="26"/>
      <c r="B3258" s="86"/>
      <c r="D3258" s="26"/>
      <c r="F3258" s="87" t="str">
        <f t="shared" si="0"/>
        <v/>
      </c>
      <c r="H3258" s="26" t="str">
        <f t="shared" si="1"/>
        <v/>
      </c>
      <c r="I3258" s="26" t="str">
        <f t="shared" si="2"/>
        <v/>
      </c>
      <c r="J3258" s="86">
        <f t="shared" si="3"/>
        <v>0</v>
      </c>
      <c r="R3258" s="26"/>
    </row>
    <row r="3259" spans="1:18" ht="15.75" customHeight="1">
      <c r="A3259" s="26"/>
      <c r="B3259" s="86"/>
      <c r="D3259" s="26"/>
      <c r="F3259" s="87" t="str">
        <f t="shared" si="0"/>
        <v/>
      </c>
      <c r="H3259" s="26" t="str">
        <f t="shared" si="1"/>
        <v/>
      </c>
      <c r="I3259" s="26" t="str">
        <f t="shared" si="2"/>
        <v/>
      </c>
      <c r="J3259" s="86">
        <f t="shared" si="3"/>
        <v>0</v>
      </c>
      <c r="R3259" s="26"/>
    </row>
    <row r="3260" spans="1:18" ht="15.75" customHeight="1">
      <c r="A3260" s="26"/>
      <c r="B3260" s="86"/>
      <c r="D3260" s="26"/>
      <c r="F3260" s="87" t="str">
        <f t="shared" si="0"/>
        <v/>
      </c>
      <c r="H3260" s="26" t="str">
        <f t="shared" si="1"/>
        <v/>
      </c>
      <c r="I3260" s="26" t="str">
        <f t="shared" si="2"/>
        <v/>
      </c>
      <c r="J3260" s="86">
        <f t="shared" si="3"/>
        <v>0</v>
      </c>
      <c r="R3260" s="26"/>
    </row>
    <row r="3261" spans="1:18" ht="15.75" customHeight="1">
      <c r="A3261" s="26"/>
      <c r="B3261" s="86"/>
      <c r="D3261" s="26"/>
      <c r="F3261" s="87" t="str">
        <f t="shared" si="0"/>
        <v/>
      </c>
      <c r="H3261" s="26" t="str">
        <f t="shared" si="1"/>
        <v/>
      </c>
      <c r="I3261" s="26" t="str">
        <f t="shared" si="2"/>
        <v/>
      </c>
      <c r="J3261" s="86">
        <f t="shared" si="3"/>
        <v>0</v>
      </c>
      <c r="R3261" s="26"/>
    </row>
    <row r="3262" spans="1:18" ht="15.75" customHeight="1">
      <c r="A3262" s="26"/>
      <c r="B3262" s="86"/>
      <c r="D3262" s="26"/>
      <c r="F3262" s="87" t="str">
        <f t="shared" si="0"/>
        <v/>
      </c>
      <c r="H3262" s="26" t="str">
        <f t="shared" si="1"/>
        <v/>
      </c>
      <c r="I3262" s="26" t="str">
        <f t="shared" si="2"/>
        <v/>
      </c>
      <c r="J3262" s="86">
        <f t="shared" si="3"/>
        <v>0</v>
      </c>
      <c r="R3262" s="26"/>
    </row>
    <row r="3263" spans="1:18" ht="15.75" customHeight="1">
      <c r="A3263" s="26"/>
      <c r="B3263" s="86"/>
      <c r="D3263" s="26"/>
      <c r="F3263" s="87" t="str">
        <f t="shared" si="0"/>
        <v/>
      </c>
      <c r="H3263" s="26" t="str">
        <f t="shared" si="1"/>
        <v/>
      </c>
      <c r="I3263" s="26" t="str">
        <f t="shared" si="2"/>
        <v/>
      </c>
      <c r="J3263" s="86">
        <f t="shared" si="3"/>
        <v>0</v>
      </c>
      <c r="R3263" s="26"/>
    </row>
    <row r="3264" spans="1:18" ht="15.75" customHeight="1">
      <c r="A3264" s="26"/>
      <c r="B3264" s="86"/>
      <c r="D3264" s="26"/>
      <c r="F3264" s="87" t="str">
        <f t="shared" si="0"/>
        <v/>
      </c>
      <c r="H3264" s="26" t="str">
        <f t="shared" si="1"/>
        <v/>
      </c>
      <c r="I3264" s="26" t="str">
        <f t="shared" si="2"/>
        <v/>
      </c>
      <c r="J3264" s="86">
        <f t="shared" si="3"/>
        <v>0</v>
      </c>
      <c r="R3264" s="26"/>
    </row>
    <row r="3265" spans="1:18" ht="15.75" customHeight="1">
      <c r="A3265" s="26"/>
      <c r="B3265" s="86"/>
      <c r="D3265" s="26"/>
      <c r="F3265" s="87" t="str">
        <f t="shared" si="0"/>
        <v/>
      </c>
      <c r="H3265" s="26" t="str">
        <f t="shared" si="1"/>
        <v/>
      </c>
      <c r="I3265" s="26" t="str">
        <f t="shared" si="2"/>
        <v/>
      </c>
      <c r="J3265" s="86">
        <f t="shared" si="3"/>
        <v>0</v>
      </c>
      <c r="R3265" s="26"/>
    </row>
    <row r="3266" spans="1:18" ht="15.75" customHeight="1">
      <c r="A3266" s="26"/>
      <c r="B3266" s="86"/>
      <c r="D3266" s="26"/>
      <c r="F3266" s="87" t="str">
        <f t="shared" si="0"/>
        <v/>
      </c>
      <c r="H3266" s="26" t="str">
        <f t="shared" si="1"/>
        <v/>
      </c>
      <c r="I3266" s="26" t="str">
        <f t="shared" si="2"/>
        <v/>
      </c>
      <c r="J3266" s="86">
        <f t="shared" si="3"/>
        <v>0</v>
      </c>
      <c r="R3266" s="26"/>
    </row>
    <row r="3267" spans="1:18" ht="15.75" customHeight="1">
      <c r="A3267" s="26"/>
      <c r="B3267" s="86"/>
      <c r="D3267" s="26"/>
      <c r="F3267" s="87" t="str">
        <f t="shared" si="0"/>
        <v/>
      </c>
      <c r="H3267" s="26" t="str">
        <f t="shared" si="1"/>
        <v/>
      </c>
      <c r="I3267" s="26" t="str">
        <f t="shared" si="2"/>
        <v/>
      </c>
      <c r="J3267" s="86">
        <f t="shared" si="3"/>
        <v>0</v>
      </c>
      <c r="R3267" s="26"/>
    </row>
    <row r="3268" spans="1:18" ht="15.75" customHeight="1">
      <c r="A3268" s="26"/>
      <c r="B3268" s="86"/>
      <c r="D3268" s="26"/>
      <c r="F3268" s="87" t="str">
        <f t="shared" si="0"/>
        <v/>
      </c>
      <c r="H3268" s="26" t="str">
        <f t="shared" si="1"/>
        <v/>
      </c>
      <c r="I3268" s="26" t="str">
        <f t="shared" si="2"/>
        <v/>
      </c>
      <c r="J3268" s="86">
        <f t="shared" si="3"/>
        <v>0</v>
      </c>
      <c r="R3268" s="26"/>
    </row>
    <row r="3269" spans="1:18" ht="15.75" customHeight="1">
      <c r="A3269" s="26"/>
      <c r="B3269" s="86"/>
      <c r="D3269" s="26"/>
      <c r="F3269" s="87" t="str">
        <f t="shared" si="0"/>
        <v/>
      </c>
      <c r="H3269" s="26" t="str">
        <f t="shared" si="1"/>
        <v/>
      </c>
      <c r="I3269" s="26" t="str">
        <f t="shared" si="2"/>
        <v/>
      </c>
      <c r="J3269" s="86">
        <f t="shared" si="3"/>
        <v>0</v>
      </c>
      <c r="R3269" s="26"/>
    </row>
    <row r="3270" spans="1:18" ht="15.75" customHeight="1">
      <c r="A3270" s="26"/>
      <c r="B3270" s="86"/>
      <c r="D3270" s="26"/>
      <c r="F3270" s="87" t="str">
        <f t="shared" si="0"/>
        <v/>
      </c>
      <c r="H3270" s="26" t="str">
        <f t="shared" si="1"/>
        <v/>
      </c>
      <c r="I3270" s="26" t="str">
        <f t="shared" si="2"/>
        <v/>
      </c>
      <c r="J3270" s="86">
        <f t="shared" si="3"/>
        <v>0</v>
      </c>
      <c r="R3270" s="26"/>
    </row>
    <row r="3271" spans="1:18" ht="15.75" customHeight="1">
      <c r="A3271" s="26"/>
      <c r="B3271" s="86"/>
      <c r="D3271" s="26"/>
      <c r="F3271" s="87" t="str">
        <f t="shared" si="0"/>
        <v/>
      </c>
      <c r="H3271" s="26" t="str">
        <f t="shared" si="1"/>
        <v/>
      </c>
      <c r="I3271" s="26" t="str">
        <f t="shared" si="2"/>
        <v/>
      </c>
      <c r="J3271" s="86">
        <f t="shared" si="3"/>
        <v>0</v>
      </c>
      <c r="R3271" s="26"/>
    </row>
    <row r="3272" spans="1:18" ht="15.75" customHeight="1">
      <c r="A3272" s="26"/>
      <c r="B3272" s="86"/>
      <c r="D3272" s="26"/>
      <c r="F3272" s="87" t="str">
        <f t="shared" si="0"/>
        <v/>
      </c>
      <c r="H3272" s="26" t="str">
        <f t="shared" si="1"/>
        <v/>
      </c>
      <c r="I3272" s="26" t="str">
        <f t="shared" si="2"/>
        <v/>
      </c>
      <c r="J3272" s="86">
        <f t="shared" si="3"/>
        <v>0</v>
      </c>
      <c r="R3272" s="26"/>
    </row>
    <row r="3273" spans="1:18" ht="15.75" customHeight="1">
      <c r="A3273" s="26"/>
      <c r="B3273" s="86"/>
      <c r="D3273" s="26"/>
      <c r="F3273" s="87" t="str">
        <f t="shared" si="0"/>
        <v/>
      </c>
      <c r="H3273" s="26" t="str">
        <f t="shared" si="1"/>
        <v/>
      </c>
      <c r="I3273" s="26" t="str">
        <f t="shared" si="2"/>
        <v/>
      </c>
      <c r="J3273" s="86">
        <f t="shared" si="3"/>
        <v>0</v>
      </c>
      <c r="R3273" s="26"/>
    </row>
    <row r="3274" spans="1:18" ht="15.75" customHeight="1">
      <c r="A3274" s="26"/>
      <c r="B3274" s="86"/>
      <c r="D3274" s="26"/>
      <c r="F3274" s="87" t="str">
        <f t="shared" si="0"/>
        <v/>
      </c>
      <c r="H3274" s="26" t="str">
        <f t="shared" si="1"/>
        <v/>
      </c>
      <c r="I3274" s="26" t="str">
        <f t="shared" si="2"/>
        <v/>
      </c>
      <c r="J3274" s="86">
        <f t="shared" si="3"/>
        <v>0</v>
      </c>
      <c r="R3274" s="26"/>
    </row>
    <row r="3275" spans="1:18" ht="15.75" customHeight="1">
      <c r="A3275" s="26"/>
      <c r="B3275" s="86"/>
      <c r="D3275" s="26"/>
      <c r="F3275" s="87" t="str">
        <f t="shared" si="0"/>
        <v/>
      </c>
      <c r="H3275" s="26" t="str">
        <f t="shared" si="1"/>
        <v/>
      </c>
      <c r="I3275" s="26" t="str">
        <f t="shared" si="2"/>
        <v/>
      </c>
      <c r="J3275" s="86">
        <f t="shared" si="3"/>
        <v>0</v>
      </c>
      <c r="R3275" s="26"/>
    </row>
    <row r="3276" spans="1:18" ht="15.75" customHeight="1">
      <c r="A3276" s="26"/>
      <c r="B3276" s="86"/>
      <c r="D3276" s="26"/>
      <c r="F3276" s="87" t="str">
        <f t="shared" si="0"/>
        <v/>
      </c>
      <c r="H3276" s="26" t="str">
        <f t="shared" si="1"/>
        <v/>
      </c>
      <c r="I3276" s="26" t="str">
        <f t="shared" si="2"/>
        <v/>
      </c>
      <c r="J3276" s="86">
        <f t="shared" si="3"/>
        <v>0</v>
      </c>
      <c r="R3276" s="26"/>
    </row>
    <row r="3277" spans="1:18" ht="15.75" customHeight="1">
      <c r="A3277" s="26"/>
      <c r="B3277" s="86"/>
      <c r="D3277" s="26"/>
      <c r="F3277" s="87" t="str">
        <f t="shared" si="0"/>
        <v/>
      </c>
      <c r="H3277" s="26" t="str">
        <f t="shared" si="1"/>
        <v/>
      </c>
      <c r="I3277" s="26" t="str">
        <f t="shared" si="2"/>
        <v/>
      </c>
      <c r="J3277" s="86">
        <f t="shared" si="3"/>
        <v>0</v>
      </c>
      <c r="R3277" s="26"/>
    </row>
    <row r="3278" spans="1:18" ht="15.75" customHeight="1">
      <c r="A3278" s="26"/>
      <c r="B3278" s="86"/>
      <c r="D3278" s="26"/>
      <c r="F3278" s="87" t="str">
        <f t="shared" si="0"/>
        <v/>
      </c>
      <c r="H3278" s="26" t="str">
        <f t="shared" si="1"/>
        <v/>
      </c>
      <c r="I3278" s="26" t="str">
        <f t="shared" si="2"/>
        <v/>
      </c>
      <c r="J3278" s="86">
        <f t="shared" si="3"/>
        <v>0</v>
      </c>
      <c r="R3278" s="26"/>
    </row>
    <row r="3279" spans="1:18" ht="15.75" customHeight="1">
      <c r="A3279" s="26"/>
      <c r="B3279" s="86"/>
      <c r="D3279" s="26"/>
      <c r="F3279" s="87" t="str">
        <f t="shared" si="0"/>
        <v/>
      </c>
      <c r="H3279" s="26" t="str">
        <f t="shared" si="1"/>
        <v/>
      </c>
      <c r="I3279" s="26" t="str">
        <f t="shared" si="2"/>
        <v/>
      </c>
      <c r="J3279" s="86">
        <f t="shared" si="3"/>
        <v>0</v>
      </c>
      <c r="R3279" s="26"/>
    </row>
    <row r="3280" spans="1:18" ht="15.75" customHeight="1">
      <c r="A3280" s="26"/>
      <c r="B3280" s="86"/>
      <c r="D3280" s="26"/>
      <c r="F3280" s="87" t="str">
        <f t="shared" si="0"/>
        <v/>
      </c>
      <c r="H3280" s="26" t="str">
        <f t="shared" si="1"/>
        <v/>
      </c>
      <c r="I3280" s="26" t="str">
        <f t="shared" si="2"/>
        <v/>
      </c>
      <c r="J3280" s="86">
        <f t="shared" si="3"/>
        <v>0</v>
      </c>
      <c r="R3280" s="26"/>
    </row>
    <row r="3281" spans="1:18" ht="15.75" customHeight="1">
      <c r="A3281" s="26"/>
      <c r="B3281" s="86"/>
      <c r="D3281" s="26"/>
      <c r="F3281" s="87" t="str">
        <f t="shared" si="0"/>
        <v/>
      </c>
      <c r="H3281" s="26" t="str">
        <f t="shared" si="1"/>
        <v/>
      </c>
      <c r="I3281" s="26" t="str">
        <f t="shared" si="2"/>
        <v/>
      </c>
      <c r="J3281" s="86">
        <f t="shared" si="3"/>
        <v>0</v>
      </c>
      <c r="R3281" s="26"/>
    </row>
    <row r="3282" spans="1:18" ht="15.75" customHeight="1">
      <c r="A3282" s="26"/>
      <c r="B3282" s="86"/>
      <c r="D3282" s="26"/>
      <c r="F3282" s="87" t="str">
        <f t="shared" si="0"/>
        <v/>
      </c>
      <c r="H3282" s="26" t="str">
        <f t="shared" si="1"/>
        <v/>
      </c>
      <c r="I3282" s="26" t="str">
        <f t="shared" si="2"/>
        <v/>
      </c>
      <c r="J3282" s="86">
        <f t="shared" si="3"/>
        <v>0</v>
      </c>
      <c r="R3282" s="26"/>
    </row>
    <row r="3283" spans="1:18" ht="15.75" customHeight="1">
      <c r="A3283" s="26"/>
      <c r="B3283" s="86"/>
      <c r="D3283" s="26"/>
      <c r="F3283" s="87" t="str">
        <f t="shared" si="0"/>
        <v/>
      </c>
      <c r="H3283" s="26" t="str">
        <f t="shared" si="1"/>
        <v/>
      </c>
      <c r="I3283" s="26" t="str">
        <f t="shared" si="2"/>
        <v/>
      </c>
      <c r="J3283" s="86">
        <f t="shared" si="3"/>
        <v>0</v>
      </c>
      <c r="R3283" s="26"/>
    </row>
    <row r="3284" spans="1:18" ht="15.75" customHeight="1">
      <c r="A3284" s="26"/>
      <c r="B3284" s="86"/>
      <c r="D3284" s="26"/>
      <c r="F3284" s="87" t="str">
        <f t="shared" si="0"/>
        <v/>
      </c>
      <c r="H3284" s="26" t="str">
        <f t="shared" si="1"/>
        <v/>
      </c>
      <c r="I3284" s="26" t="str">
        <f t="shared" si="2"/>
        <v/>
      </c>
      <c r="J3284" s="86">
        <f t="shared" si="3"/>
        <v>0</v>
      </c>
      <c r="R3284" s="26"/>
    </row>
    <row r="3285" spans="1:18" ht="15.75" customHeight="1">
      <c r="A3285" s="26"/>
      <c r="B3285" s="86"/>
      <c r="D3285" s="26"/>
      <c r="F3285" s="87" t="str">
        <f t="shared" si="0"/>
        <v/>
      </c>
      <c r="H3285" s="26" t="str">
        <f t="shared" si="1"/>
        <v/>
      </c>
      <c r="I3285" s="26" t="str">
        <f t="shared" si="2"/>
        <v/>
      </c>
      <c r="J3285" s="86">
        <f t="shared" si="3"/>
        <v>0</v>
      </c>
      <c r="R3285" s="26"/>
    </row>
    <row r="3286" spans="1:18" ht="15.75" customHeight="1">
      <c r="A3286" s="26"/>
      <c r="B3286" s="86"/>
      <c r="D3286" s="26"/>
      <c r="F3286" s="87" t="str">
        <f t="shared" si="0"/>
        <v/>
      </c>
      <c r="H3286" s="26" t="str">
        <f t="shared" si="1"/>
        <v/>
      </c>
      <c r="I3286" s="26" t="str">
        <f t="shared" si="2"/>
        <v/>
      </c>
      <c r="J3286" s="86">
        <f t="shared" si="3"/>
        <v>0</v>
      </c>
      <c r="R3286" s="26"/>
    </row>
    <row r="3287" spans="1:18" ht="15.75" customHeight="1">
      <c r="A3287" s="26"/>
      <c r="B3287" s="86"/>
      <c r="D3287" s="26"/>
      <c r="F3287" s="87" t="str">
        <f t="shared" si="0"/>
        <v/>
      </c>
      <c r="H3287" s="26" t="str">
        <f t="shared" si="1"/>
        <v/>
      </c>
      <c r="I3287" s="26" t="str">
        <f t="shared" si="2"/>
        <v/>
      </c>
      <c r="J3287" s="86">
        <f t="shared" si="3"/>
        <v>0</v>
      </c>
      <c r="R3287" s="26"/>
    </row>
    <row r="3288" spans="1:18" ht="15.75" customHeight="1">
      <c r="A3288" s="26"/>
      <c r="B3288" s="86"/>
      <c r="D3288" s="26"/>
      <c r="F3288" s="87" t="str">
        <f t="shared" si="0"/>
        <v/>
      </c>
      <c r="H3288" s="26" t="str">
        <f t="shared" si="1"/>
        <v/>
      </c>
      <c r="I3288" s="26" t="str">
        <f t="shared" si="2"/>
        <v/>
      </c>
      <c r="J3288" s="86">
        <f t="shared" si="3"/>
        <v>0</v>
      </c>
      <c r="R3288" s="26"/>
    </row>
    <row r="3289" spans="1:18" ht="15.75" customHeight="1">
      <c r="A3289" s="26"/>
      <c r="B3289" s="86"/>
      <c r="D3289" s="26"/>
      <c r="F3289" s="87" t="str">
        <f t="shared" si="0"/>
        <v/>
      </c>
      <c r="H3289" s="26" t="str">
        <f t="shared" si="1"/>
        <v/>
      </c>
      <c r="I3289" s="26" t="str">
        <f t="shared" si="2"/>
        <v/>
      </c>
      <c r="J3289" s="86">
        <f t="shared" si="3"/>
        <v>0</v>
      </c>
      <c r="R3289" s="26"/>
    </row>
    <row r="3290" spans="1:18" ht="15.75" customHeight="1">
      <c r="A3290" s="26"/>
      <c r="B3290" s="86"/>
      <c r="D3290" s="26"/>
      <c r="F3290" s="87" t="str">
        <f t="shared" si="0"/>
        <v/>
      </c>
      <c r="H3290" s="26" t="str">
        <f t="shared" si="1"/>
        <v/>
      </c>
      <c r="I3290" s="26" t="str">
        <f t="shared" si="2"/>
        <v/>
      </c>
      <c r="J3290" s="86">
        <f t="shared" si="3"/>
        <v>0</v>
      </c>
      <c r="R3290" s="26"/>
    </row>
    <row r="3291" spans="1:18" ht="15.75" customHeight="1">
      <c r="A3291" s="26"/>
      <c r="B3291" s="86"/>
      <c r="D3291" s="26"/>
      <c r="F3291" s="87" t="str">
        <f t="shared" si="0"/>
        <v/>
      </c>
      <c r="H3291" s="26" t="str">
        <f t="shared" si="1"/>
        <v/>
      </c>
      <c r="I3291" s="26" t="str">
        <f t="shared" si="2"/>
        <v/>
      </c>
      <c r="J3291" s="86">
        <f t="shared" si="3"/>
        <v>0</v>
      </c>
      <c r="R3291" s="26"/>
    </row>
    <row r="3292" spans="1:18" ht="15.75" customHeight="1">
      <c r="A3292" s="26"/>
      <c r="B3292" s="86"/>
      <c r="D3292" s="26"/>
      <c r="F3292" s="87" t="str">
        <f t="shared" si="0"/>
        <v/>
      </c>
      <c r="H3292" s="26" t="str">
        <f t="shared" si="1"/>
        <v/>
      </c>
      <c r="I3292" s="26" t="str">
        <f t="shared" si="2"/>
        <v/>
      </c>
      <c r="J3292" s="86">
        <f t="shared" si="3"/>
        <v>0</v>
      </c>
      <c r="R3292" s="26"/>
    </row>
    <row r="3293" spans="1:18" ht="15.75" customHeight="1">
      <c r="A3293" s="26"/>
      <c r="B3293" s="86"/>
      <c r="D3293" s="26"/>
      <c r="F3293" s="87" t="str">
        <f t="shared" si="0"/>
        <v/>
      </c>
      <c r="H3293" s="26" t="str">
        <f t="shared" si="1"/>
        <v/>
      </c>
      <c r="I3293" s="26" t="str">
        <f t="shared" si="2"/>
        <v/>
      </c>
      <c r="J3293" s="86">
        <f t="shared" si="3"/>
        <v>0</v>
      </c>
      <c r="R3293" s="26"/>
    </row>
    <row r="3294" spans="1:18" ht="15.75" customHeight="1">
      <c r="A3294" s="26"/>
      <c r="B3294" s="86"/>
      <c r="D3294" s="26"/>
      <c r="F3294" s="87" t="str">
        <f t="shared" si="0"/>
        <v/>
      </c>
      <c r="H3294" s="26" t="str">
        <f t="shared" si="1"/>
        <v/>
      </c>
      <c r="I3294" s="26" t="str">
        <f t="shared" si="2"/>
        <v/>
      </c>
      <c r="J3294" s="86">
        <f t="shared" si="3"/>
        <v>0</v>
      </c>
      <c r="R3294" s="26"/>
    </row>
    <row r="3295" spans="1:18" ht="15.75" customHeight="1">
      <c r="A3295" s="26"/>
      <c r="B3295" s="86"/>
      <c r="D3295" s="26"/>
      <c r="F3295" s="87" t="str">
        <f t="shared" si="0"/>
        <v/>
      </c>
      <c r="H3295" s="26" t="str">
        <f t="shared" si="1"/>
        <v/>
      </c>
      <c r="I3295" s="26" t="str">
        <f t="shared" si="2"/>
        <v/>
      </c>
      <c r="J3295" s="86">
        <f t="shared" si="3"/>
        <v>0</v>
      </c>
      <c r="R3295" s="26"/>
    </row>
    <row r="3296" spans="1:18" ht="15.75" customHeight="1">
      <c r="A3296" s="26"/>
      <c r="B3296" s="86"/>
      <c r="D3296" s="26"/>
      <c r="F3296" s="87" t="str">
        <f t="shared" si="0"/>
        <v/>
      </c>
      <c r="H3296" s="26" t="str">
        <f t="shared" si="1"/>
        <v/>
      </c>
      <c r="I3296" s="26" t="str">
        <f t="shared" si="2"/>
        <v/>
      </c>
      <c r="J3296" s="86">
        <f t="shared" si="3"/>
        <v>0</v>
      </c>
      <c r="R3296" s="26"/>
    </row>
    <row r="3297" spans="1:18" ht="15.75" customHeight="1">
      <c r="A3297" s="26"/>
      <c r="B3297" s="86"/>
      <c r="D3297" s="26"/>
      <c r="F3297" s="87" t="str">
        <f t="shared" si="0"/>
        <v/>
      </c>
      <c r="H3297" s="26" t="str">
        <f t="shared" si="1"/>
        <v/>
      </c>
      <c r="I3297" s="26" t="str">
        <f t="shared" si="2"/>
        <v/>
      </c>
      <c r="J3297" s="86">
        <f t="shared" si="3"/>
        <v>0</v>
      </c>
      <c r="R3297" s="26"/>
    </row>
    <row r="3298" spans="1:18" ht="15.75" customHeight="1">
      <c r="A3298" s="26"/>
      <c r="B3298" s="86"/>
      <c r="D3298" s="26"/>
      <c r="F3298" s="87" t="str">
        <f t="shared" si="0"/>
        <v/>
      </c>
      <c r="H3298" s="26" t="str">
        <f t="shared" si="1"/>
        <v/>
      </c>
      <c r="I3298" s="26" t="str">
        <f t="shared" si="2"/>
        <v/>
      </c>
      <c r="J3298" s="86">
        <f t="shared" si="3"/>
        <v>0</v>
      </c>
      <c r="R3298" s="26"/>
    </row>
    <row r="3299" spans="1:18" ht="15.75" customHeight="1">
      <c r="A3299" s="26"/>
      <c r="B3299" s="86"/>
      <c r="D3299" s="26"/>
      <c r="F3299" s="87" t="str">
        <f t="shared" si="0"/>
        <v/>
      </c>
      <c r="H3299" s="26" t="str">
        <f t="shared" si="1"/>
        <v/>
      </c>
      <c r="I3299" s="26" t="str">
        <f t="shared" si="2"/>
        <v/>
      </c>
      <c r="J3299" s="86">
        <f t="shared" si="3"/>
        <v>0</v>
      </c>
      <c r="R3299" s="26"/>
    </row>
    <row r="3300" spans="1:18" ht="15.75" customHeight="1">
      <c r="A3300" s="26"/>
      <c r="B3300" s="86"/>
      <c r="D3300" s="26"/>
      <c r="F3300" s="87" t="str">
        <f t="shared" si="0"/>
        <v/>
      </c>
      <c r="H3300" s="26" t="str">
        <f t="shared" si="1"/>
        <v/>
      </c>
      <c r="I3300" s="26" t="str">
        <f t="shared" si="2"/>
        <v/>
      </c>
      <c r="J3300" s="86">
        <f t="shared" si="3"/>
        <v>0</v>
      </c>
      <c r="R3300" s="26"/>
    </row>
    <row r="3301" spans="1:18" ht="15.75" customHeight="1">
      <c r="A3301" s="26"/>
      <c r="B3301" s="86"/>
      <c r="D3301" s="26"/>
      <c r="F3301" s="87" t="str">
        <f t="shared" si="0"/>
        <v/>
      </c>
      <c r="H3301" s="26" t="str">
        <f t="shared" si="1"/>
        <v/>
      </c>
      <c r="I3301" s="26" t="str">
        <f t="shared" si="2"/>
        <v/>
      </c>
      <c r="J3301" s="86">
        <f t="shared" si="3"/>
        <v>0</v>
      </c>
      <c r="R3301" s="26"/>
    </row>
    <row r="3302" spans="1:18" ht="15.75" customHeight="1">
      <c r="A3302" s="26"/>
      <c r="B3302" s="86"/>
      <c r="D3302" s="26"/>
      <c r="F3302" s="87" t="str">
        <f t="shared" si="0"/>
        <v/>
      </c>
      <c r="H3302" s="26" t="str">
        <f t="shared" si="1"/>
        <v/>
      </c>
      <c r="I3302" s="26" t="str">
        <f t="shared" si="2"/>
        <v/>
      </c>
      <c r="J3302" s="86">
        <f t="shared" si="3"/>
        <v>0</v>
      </c>
      <c r="R3302" s="26"/>
    </row>
    <row r="3303" spans="1:18" ht="15.75" customHeight="1">
      <c r="A3303" s="26"/>
      <c r="B3303" s="86"/>
      <c r="D3303" s="26"/>
      <c r="F3303" s="87" t="str">
        <f t="shared" si="0"/>
        <v/>
      </c>
      <c r="H3303" s="26" t="str">
        <f t="shared" si="1"/>
        <v/>
      </c>
      <c r="I3303" s="26" t="str">
        <f t="shared" si="2"/>
        <v/>
      </c>
      <c r="J3303" s="86">
        <f t="shared" si="3"/>
        <v>0</v>
      </c>
      <c r="R3303" s="26"/>
    </row>
    <row r="3304" spans="1:18" ht="15.75" customHeight="1">
      <c r="A3304" s="26"/>
      <c r="B3304" s="86"/>
      <c r="D3304" s="26"/>
      <c r="F3304" s="87" t="str">
        <f t="shared" si="0"/>
        <v/>
      </c>
      <c r="H3304" s="26" t="str">
        <f t="shared" si="1"/>
        <v/>
      </c>
      <c r="I3304" s="26" t="str">
        <f t="shared" si="2"/>
        <v/>
      </c>
      <c r="J3304" s="86">
        <f t="shared" si="3"/>
        <v>0</v>
      </c>
      <c r="R3304" s="26"/>
    </row>
    <row r="3305" spans="1:18" ht="15.75" customHeight="1">
      <c r="A3305" s="26"/>
      <c r="B3305" s="86"/>
      <c r="D3305" s="26"/>
      <c r="F3305" s="87" t="str">
        <f t="shared" si="0"/>
        <v/>
      </c>
      <c r="H3305" s="26" t="str">
        <f t="shared" si="1"/>
        <v/>
      </c>
      <c r="I3305" s="26" t="str">
        <f t="shared" si="2"/>
        <v/>
      </c>
      <c r="J3305" s="86">
        <f t="shared" si="3"/>
        <v>0</v>
      </c>
      <c r="R3305" s="26"/>
    </row>
    <row r="3306" spans="1:18" ht="15.75" customHeight="1">
      <c r="A3306" s="26"/>
      <c r="B3306" s="86"/>
      <c r="D3306" s="26"/>
      <c r="F3306" s="87" t="str">
        <f t="shared" si="0"/>
        <v/>
      </c>
      <c r="H3306" s="26" t="str">
        <f t="shared" si="1"/>
        <v/>
      </c>
      <c r="I3306" s="26" t="str">
        <f t="shared" si="2"/>
        <v/>
      </c>
      <c r="J3306" s="86">
        <f t="shared" si="3"/>
        <v>0</v>
      </c>
      <c r="R3306" s="26"/>
    </row>
    <row r="3307" spans="1:18" ht="15.75" customHeight="1">
      <c r="A3307" s="26"/>
      <c r="B3307" s="86"/>
      <c r="D3307" s="26"/>
      <c r="F3307" s="87" t="str">
        <f t="shared" si="0"/>
        <v/>
      </c>
      <c r="H3307" s="26" t="str">
        <f t="shared" si="1"/>
        <v/>
      </c>
      <c r="I3307" s="26" t="str">
        <f t="shared" si="2"/>
        <v/>
      </c>
      <c r="J3307" s="86">
        <f t="shared" si="3"/>
        <v>0</v>
      </c>
      <c r="R3307" s="26"/>
    </row>
    <row r="3308" spans="1:18" ht="15.75" customHeight="1">
      <c r="A3308" s="26"/>
      <c r="B3308" s="86"/>
      <c r="D3308" s="26"/>
      <c r="F3308" s="87" t="str">
        <f t="shared" si="0"/>
        <v/>
      </c>
      <c r="H3308" s="26" t="str">
        <f t="shared" si="1"/>
        <v/>
      </c>
      <c r="I3308" s="26" t="str">
        <f t="shared" si="2"/>
        <v/>
      </c>
      <c r="J3308" s="86">
        <f t="shared" si="3"/>
        <v>0</v>
      </c>
      <c r="R3308" s="26"/>
    </row>
    <row r="3309" spans="1:18" ht="15.75" customHeight="1">
      <c r="A3309" s="26"/>
      <c r="B3309" s="86"/>
      <c r="D3309" s="26"/>
      <c r="F3309" s="87" t="str">
        <f t="shared" si="0"/>
        <v/>
      </c>
      <c r="H3309" s="26" t="str">
        <f t="shared" si="1"/>
        <v/>
      </c>
      <c r="I3309" s="26" t="str">
        <f t="shared" si="2"/>
        <v/>
      </c>
      <c r="J3309" s="86">
        <f t="shared" si="3"/>
        <v>0</v>
      </c>
      <c r="R3309" s="26"/>
    </row>
    <row r="3310" spans="1:18" ht="15.75" customHeight="1">
      <c r="A3310" s="26"/>
      <c r="B3310" s="86"/>
      <c r="D3310" s="26"/>
      <c r="F3310" s="87" t="str">
        <f t="shared" si="0"/>
        <v/>
      </c>
      <c r="H3310" s="26" t="str">
        <f t="shared" si="1"/>
        <v/>
      </c>
      <c r="I3310" s="26" t="str">
        <f t="shared" si="2"/>
        <v/>
      </c>
      <c r="J3310" s="86">
        <f t="shared" si="3"/>
        <v>0</v>
      </c>
      <c r="R3310" s="26"/>
    </row>
    <row r="3311" spans="1:18" ht="15.75" customHeight="1">
      <c r="A3311" s="26"/>
      <c r="B3311" s="86"/>
      <c r="D3311" s="26"/>
      <c r="F3311" s="87" t="str">
        <f t="shared" si="0"/>
        <v/>
      </c>
      <c r="H3311" s="26" t="str">
        <f t="shared" si="1"/>
        <v/>
      </c>
      <c r="I3311" s="26" t="str">
        <f t="shared" si="2"/>
        <v/>
      </c>
      <c r="J3311" s="86">
        <f t="shared" si="3"/>
        <v>0</v>
      </c>
      <c r="R3311" s="26"/>
    </row>
    <row r="3312" spans="1:18" ht="15.75" customHeight="1">
      <c r="A3312" s="26"/>
      <c r="B3312" s="86"/>
      <c r="D3312" s="26"/>
      <c r="F3312" s="87" t="str">
        <f t="shared" si="0"/>
        <v/>
      </c>
      <c r="H3312" s="26" t="str">
        <f t="shared" si="1"/>
        <v/>
      </c>
      <c r="I3312" s="26" t="str">
        <f t="shared" si="2"/>
        <v/>
      </c>
      <c r="J3312" s="86">
        <f t="shared" si="3"/>
        <v>0</v>
      </c>
      <c r="R3312" s="26"/>
    </row>
    <row r="3313" spans="1:18" ht="15.75" customHeight="1">
      <c r="A3313" s="26"/>
      <c r="B3313" s="86"/>
      <c r="D3313" s="26"/>
      <c r="F3313" s="87" t="str">
        <f t="shared" si="0"/>
        <v/>
      </c>
      <c r="H3313" s="26" t="str">
        <f t="shared" si="1"/>
        <v/>
      </c>
      <c r="I3313" s="26" t="str">
        <f t="shared" si="2"/>
        <v/>
      </c>
      <c r="J3313" s="86">
        <f t="shared" si="3"/>
        <v>0</v>
      </c>
      <c r="R3313" s="26"/>
    </row>
    <row r="3314" spans="1:18" ht="15.75" customHeight="1">
      <c r="A3314" s="26"/>
      <c r="B3314" s="86"/>
      <c r="D3314" s="26"/>
      <c r="F3314" s="87" t="str">
        <f t="shared" si="0"/>
        <v/>
      </c>
      <c r="H3314" s="26" t="str">
        <f t="shared" si="1"/>
        <v/>
      </c>
      <c r="I3314" s="26" t="str">
        <f t="shared" si="2"/>
        <v/>
      </c>
      <c r="J3314" s="86">
        <f t="shared" si="3"/>
        <v>0</v>
      </c>
      <c r="R3314" s="26"/>
    </row>
    <row r="3315" spans="1:18" ht="15.75" customHeight="1">
      <c r="A3315" s="26"/>
      <c r="B3315" s="86"/>
      <c r="D3315" s="26"/>
      <c r="F3315" s="87" t="str">
        <f t="shared" si="0"/>
        <v/>
      </c>
      <c r="H3315" s="26" t="str">
        <f t="shared" si="1"/>
        <v/>
      </c>
      <c r="I3315" s="26" t="str">
        <f t="shared" si="2"/>
        <v/>
      </c>
      <c r="J3315" s="86">
        <f t="shared" si="3"/>
        <v>0</v>
      </c>
      <c r="R3315" s="26"/>
    </row>
    <row r="3316" spans="1:18" ht="15.75" customHeight="1">
      <c r="A3316" s="26"/>
      <c r="B3316" s="86"/>
      <c r="D3316" s="26"/>
      <c r="F3316" s="87" t="str">
        <f t="shared" si="0"/>
        <v/>
      </c>
      <c r="H3316" s="26" t="str">
        <f t="shared" si="1"/>
        <v/>
      </c>
      <c r="I3316" s="26" t="str">
        <f t="shared" si="2"/>
        <v/>
      </c>
      <c r="J3316" s="86">
        <f t="shared" si="3"/>
        <v>0</v>
      </c>
      <c r="R3316" s="26"/>
    </row>
    <row r="3317" spans="1:18" ht="15.75" customHeight="1">
      <c r="A3317" s="26"/>
      <c r="B3317" s="86"/>
      <c r="D3317" s="26"/>
      <c r="F3317" s="87" t="str">
        <f t="shared" si="0"/>
        <v/>
      </c>
      <c r="H3317" s="26" t="str">
        <f t="shared" si="1"/>
        <v/>
      </c>
      <c r="I3317" s="26" t="str">
        <f t="shared" si="2"/>
        <v/>
      </c>
      <c r="J3317" s="86">
        <f t="shared" si="3"/>
        <v>0</v>
      </c>
      <c r="R3317" s="26"/>
    </row>
    <row r="3318" spans="1:18" ht="15.75" customHeight="1">
      <c r="A3318" s="26"/>
      <c r="B3318" s="86"/>
      <c r="D3318" s="26"/>
      <c r="F3318" s="87" t="str">
        <f t="shared" si="0"/>
        <v/>
      </c>
      <c r="H3318" s="26" t="str">
        <f t="shared" si="1"/>
        <v/>
      </c>
      <c r="I3318" s="26" t="str">
        <f t="shared" si="2"/>
        <v/>
      </c>
      <c r="J3318" s="86">
        <f t="shared" si="3"/>
        <v>0</v>
      </c>
      <c r="R3318" s="26"/>
    </row>
    <row r="3319" spans="1:18" ht="15.75" customHeight="1">
      <c r="A3319" s="26"/>
      <c r="B3319" s="86"/>
      <c r="D3319" s="26"/>
      <c r="F3319" s="87" t="str">
        <f t="shared" si="0"/>
        <v/>
      </c>
      <c r="H3319" s="26" t="str">
        <f t="shared" si="1"/>
        <v/>
      </c>
      <c r="I3319" s="26" t="str">
        <f t="shared" si="2"/>
        <v/>
      </c>
      <c r="J3319" s="86">
        <f t="shared" si="3"/>
        <v>0</v>
      </c>
      <c r="R3319" s="26"/>
    </row>
    <row r="3320" spans="1:18" ht="15.75" customHeight="1">
      <c r="A3320" s="26"/>
      <c r="B3320" s="86"/>
      <c r="D3320" s="26"/>
      <c r="F3320" s="87" t="str">
        <f t="shared" si="0"/>
        <v/>
      </c>
      <c r="H3320" s="26" t="str">
        <f t="shared" si="1"/>
        <v/>
      </c>
      <c r="I3320" s="26" t="str">
        <f t="shared" si="2"/>
        <v/>
      </c>
      <c r="J3320" s="86">
        <f t="shared" si="3"/>
        <v>0</v>
      </c>
      <c r="R3320" s="26"/>
    </row>
    <row r="3321" spans="1:18" ht="15.75" customHeight="1">
      <c r="A3321" s="26"/>
      <c r="B3321" s="86"/>
      <c r="D3321" s="26"/>
      <c r="F3321" s="87" t="str">
        <f t="shared" si="0"/>
        <v/>
      </c>
      <c r="H3321" s="26" t="str">
        <f t="shared" si="1"/>
        <v/>
      </c>
      <c r="I3321" s="26" t="str">
        <f t="shared" si="2"/>
        <v/>
      </c>
      <c r="J3321" s="86">
        <f t="shared" si="3"/>
        <v>0</v>
      </c>
      <c r="R3321" s="26"/>
    </row>
    <row r="3322" spans="1:18" ht="15.75" customHeight="1">
      <c r="A3322" s="26"/>
      <c r="B3322" s="86"/>
      <c r="D3322" s="26"/>
      <c r="F3322" s="87" t="str">
        <f t="shared" si="0"/>
        <v/>
      </c>
      <c r="H3322" s="26" t="str">
        <f t="shared" si="1"/>
        <v/>
      </c>
      <c r="I3322" s="26" t="str">
        <f t="shared" si="2"/>
        <v/>
      </c>
      <c r="J3322" s="86">
        <f t="shared" si="3"/>
        <v>0</v>
      </c>
      <c r="R3322" s="26"/>
    </row>
    <row r="3323" spans="1:18" ht="15.75" customHeight="1">
      <c r="A3323" s="26"/>
      <c r="B3323" s="86"/>
      <c r="D3323" s="26"/>
      <c r="F3323" s="87" t="str">
        <f t="shared" si="0"/>
        <v/>
      </c>
      <c r="H3323" s="26" t="str">
        <f t="shared" si="1"/>
        <v/>
      </c>
      <c r="I3323" s="26" t="str">
        <f t="shared" si="2"/>
        <v/>
      </c>
      <c r="J3323" s="86">
        <f t="shared" si="3"/>
        <v>0</v>
      </c>
      <c r="R3323" s="26"/>
    </row>
    <row r="3324" spans="1:18" ht="15.75" customHeight="1">
      <c r="A3324" s="26"/>
      <c r="B3324" s="86"/>
      <c r="D3324" s="26"/>
      <c r="F3324" s="87" t="str">
        <f t="shared" si="0"/>
        <v/>
      </c>
      <c r="H3324" s="26" t="str">
        <f t="shared" si="1"/>
        <v/>
      </c>
      <c r="I3324" s="26" t="str">
        <f t="shared" si="2"/>
        <v/>
      </c>
      <c r="J3324" s="86">
        <f t="shared" si="3"/>
        <v>0</v>
      </c>
      <c r="R3324" s="26"/>
    </row>
    <row r="3325" spans="1:18" ht="15.75" customHeight="1">
      <c r="A3325" s="26"/>
      <c r="B3325" s="86"/>
      <c r="D3325" s="26"/>
      <c r="F3325" s="87" t="str">
        <f t="shared" si="0"/>
        <v/>
      </c>
      <c r="H3325" s="26" t="str">
        <f t="shared" si="1"/>
        <v/>
      </c>
      <c r="I3325" s="26" t="str">
        <f t="shared" si="2"/>
        <v/>
      </c>
      <c r="J3325" s="86">
        <f t="shared" si="3"/>
        <v>0</v>
      </c>
      <c r="R3325" s="26"/>
    </row>
    <row r="3326" spans="1:18" ht="15.75" customHeight="1">
      <c r="A3326" s="26"/>
      <c r="B3326" s="86"/>
      <c r="D3326" s="26"/>
      <c r="F3326" s="87" t="str">
        <f t="shared" si="0"/>
        <v/>
      </c>
      <c r="H3326" s="26" t="str">
        <f t="shared" si="1"/>
        <v/>
      </c>
      <c r="I3326" s="26" t="str">
        <f t="shared" si="2"/>
        <v/>
      </c>
      <c r="J3326" s="86">
        <f t="shared" si="3"/>
        <v>0</v>
      </c>
      <c r="R3326" s="26"/>
    </row>
    <row r="3327" spans="1:18" ht="15.75" customHeight="1">
      <c r="A3327" s="26"/>
      <c r="B3327" s="86"/>
      <c r="D3327" s="26"/>
      <c r="F3327" s="87" t="str">
        <f t="shared" si="0"/>
        <v/>
      </c>
      <c r="H3327" s="26" t="str">
        <f t="shared" si="1"/>
        <v/>
      </c>
      <c r="I3327" s="26" t="str">
        <f t="shared" si="2"/>
        <v/>
      </c>
      <c r="J3327" s="86">
        <f t="shared" si="3"/>
        <v>0</v>
      </c>
      <c r="R3327" s="26"/>
    </row>
    <row r="3328" spans="1:18" ht="15.75" customHeight="1">
      <c r="A3328" s="26"/>
      <c r="B3328" s="86"/>
      <c r="D3328" s="26"/>
      <c r="F3328" s="87" t="str">
        <f t="shared" si="0"/>
        <v/>
      </c>
      <c r="H3328" s="26" t="str">
        <f t="shared" si="1"/>
        <v/>
      </c>
      <c r="I3328" s="26" t="str">
        <f t="shared" si="2"/>
        <v/>
      </c>
      <c r="J3328" s="86">
        <f t="shared" si="3"/>
        <v>0</v>
      </c>
      <c r="R3328" s="26"/>
    </row>
    <row r="3329" spans="1:18" ht="15.75" customHeight="1">
      <c r="A3329" s="26"/>
      <c r="B3329" s="86"/>
      <c r="D3329" s="26"/>
      <c r="F3329" s="87" t="str">
        <f t="shared" si="0"/>
        <v/>
      </c>
      <c r="H3329" s="26" t="str">
        <f t="shared" si="1"/>
        <v/>
      </c>
      <c r="I3329" s="26" t="str">
        <f t="shared" si="2"/>
        <v/>
      </c>
      <c r="J3329" s="86">
        <f t="shared" si="3"/>
        <v>0</v>
      </c>
      <c r="R3329" s="26"/>
    </row>
    <row r="3330" spans="1:18" ht="15.75" customHeight="1">
      <c r="A3330" s="26"/>
      <c r="B3330" s="86"/>
      <c r="D3330" s="26"/>
      <c r="F3330" s="87" t="str">
        <f t="shared" si="0"/>
        <v/>
      </c>
      <c r="H3330" s="26" t="str">
        <f t="shared" si="1"/>
        <v/>
      </c>
      <c r="I3330" s="26" t="str">
        <f t="shared" si="2"/>
        <v/>
      </c>
      <c r="J3330" s="86">
        <f t="shared" si="3"/>
        <v>0</v>
      </c>
      <c r="R3330" s="26"/>
    </row>
    <row r="3331" spans="1:18" ht="15.75" customHeight="1">
      <c r="A3331" s="26"/>
      <c r="B3331" s="86"/>
      <c r="D3331" s="26"/>
      <c r="F3331" s="87" t="str">
        <f t="shared" si="0"/>
        <v/>
      </c>
      <c r="H3331" s="26" t="str">
        <f t="shared" si="1"/>
        <v/>
      </c>
      <c r="I3331" s="26" t="str">
        <f t="shared" si="2"/>
        <v/>
      </c>
      <c r="J3331" s="86">
        <f t="shared" si="3"/>
        <v>0</v>
      </c>
      <c r="R3331" s="26"/>
    </row>
    <row r="3332" spans="1:18" ht="15.75" customHeight="1">
      <c r="A3332" s="26"/>
      <c r="B3332" s="86"/>
      <c r="D3332" s="26"/>
      <c r="F3332" s="87" t="str">
        <f t="shared" si="0"/>
        <v/>
      </c>
      <c r="H3332" s="26" t="str">
        <f t="shared" si="1"/>
        <v/>
      </c>
      <c r="I3332" s="26" t="str">
        <f t="shared" si="2"/>
        <v/>
      </c>
      <c r="J3332" s="86">
        <f t="shared" si="3"/>
        <v>0</v>
      </c>
      <c r="R3332" s="26"/>
    </row>
    <row r="3333" spans="1:18" ht="15.75" customHeight="1">
      <c r="A3333" s="26"/>
      <c r="B3333" s="86"/>
      <c r="D3333" s="26"/>
      <c r="F3333" s="87" t="str">
        <f t="shared" si="0"/>
        <v/>
      </c>
      <c r="H3333" s="26" t="str">
        <f t="shared" si="1"/>
        <v/>
      </c>
      <c r="I3333" s="26" t="str">
        <f t="shared" si="2"/>
        <v/>
      </c>
      <c r="J3333" s="86">
        <f t="shared" si="3"/>
        <v>0</v>
      </c>
      <c r="R3333" s="26"/>
    </row>
    <row r="3334" spans="1:18" ht="15.75" customHeight="1">
      <c r="A3334" s="26"/>
      <c r="B3334" s="86"/>
      <c r="D3334" s="26"/>
      <c r="F3334" s="87" t="str">
        <f t="shared" si="0"/>
        <v/>
      </c>
      <c r="H3334" s="26" t="str">
        <f t="shared" si="1"/>
        <v/>
      </c>
      <c r="I3334" s="26" t="str">
        <f t="shared" si="2"/>
        <v/>
      </c>
      <c r="J3334" s="86">
        <f t="shared" si="3"/>
        <v>0</v>
      </c>
      <c r="R3334" s="26"/>
    </row>
    <row r="3335" spans="1:18" ht="15.75" customHeight="1">
      <c r="A3335" s="26"/>
      <c r="B3335" s="86"/>
      <c r="D3335" s="26"/>
      <c r="F3335" s="87" t="str">
        <f t="shared" si="0"/>
        <v/>
      </c>
      <c r="H3335" s="26" t="str">
        <f t="shared" si="1"/>
        <v/>
      </c>
      <c r="I3335" s="26" t="str">
        <f t="shared" si="2"/>
        <v/>
      </c>
      <c r="J3335" s="86">
        <f t="shared" si="3"/>
        <v>0</v>
      </c>
      <c r="R3335" s="26"/>
    </row>
    <row r="3336" spans="1:18" ht="15.75" customHeight="1">
      <c r="A3336" s="26"/>
      <c r="B3336" s="86"/>
      <c r="D3336" s="26"/>
      <c r="F3336" s="87" t="str">
        <f t="shared" si="0"/>
        <v/>
      </c>
      <c r="H3336" s="26" t="str">
        <f t="shared" si="1"/>
        <v/>
      </c>
      <c r="I3336" s="26" t="str">
        <f t="shared" si="2"/>
        <v/>
      </c>
      <c r="J3336" s="86">
        <f t="shared" si="3"/>
        <v>0</v>
      </c>
      <c r="R3336" s="26"/>
    </row>
    <row r="3337" spans="1:18" ht="15.75" customHeight="1">
      <c r="A3337" s="26"/>
      <c r="B3337" s="86"/>
      <c r="D3337" s="26"/>
      <c r="F3337" s="87" t="str">
        <f t="shared" si="0"/>
        <v/>
      </c>
      <c r="H3337" s="26" t="str">
        <f t="shared" si="1"/>
        <v/>
      </c>
      <c r="I3337" s="26" t="str">
        <f t="shared" si="2"/>
        <v/>
      </c>
      <c r="J3337" s="86">
        <f t="shared" si="3"/>
        <v>0</v>
      </c>
      <c r="R3337" s="26"/>
    </row>
    <row r="3338" spans="1:18" ht="15.75" customHeight="1">
      <c r="A3338" s="26"/>
      <c r="B3338" s="86"/>
      <c r="D3338" s="26"/>
      <c r="F3338" s="87" t="str">
        <f t="shared" si="0"/>
        <v/>
      </c>
      <c r="H3338" s="26" t="str">
        <f t="shared" si="1"/>
        <v/>
      </c>
      <c r="I3338" s="26" t="str">
        <f t="shared" si="2"/>
        <v/>
      </c>
      <c r="J3338" s="86">
        <f t="shared" si="3"/>
        <v>0</v>
      </c>
      <c r="R3338" s="26"/>
    </row>
    <row r="3339" spans="1:18" ht="15.75" customHeight="1">
      <c r="A3339" s="26"/>
      <c r="B3339" s="86"/>
      <c r="D3339" s="26"/>
      <c r="F3339" s="87" t="str">
        <f t="shared" si="0"/>
        <v/>
      </c>
      <c r="H3339" s="26" t="str">
        <f t="shared" si="1"/>
        <v/>
      </c>
      <c r="I3339" s="26" t="str">
        <f t="shared" si="2"/>
        <v/>
      </c>
      <c r="J3339" s="86">
        <f t="shared" si="3"/>
        <v>0</v>
      </c>
      <c r="R3339" s="26"/>
    </row>
    <row r="3340" spans="1:18" ht="15.75" customHeight="1">
      <c r="A3340" s="26"/>
      <c r="B3340" s="86"/>
      <c r="D3340" s="26"/>
      <c r="F3340" s="87" t="str">
        <f t="shared" si="0"/>
        <v/>
      </c>
      <c r="H3340" s="26" t="str">
        <f t="shared" si="1"/>
        <v/>
      </c>
      <c r="I3340" s="26" t="str">
        <f t="shared" si="2"/>
        <v/>
      </c>
      <c r="J3340" s="86">
        <f t="shared" si="3"/>
        <v>0</v>
      </c>
      <c r="R3340" s="26"/>
    </row>
    <row r="3341" spans="1:18" ht="15.75" customHeight="1">
      <c r="A3341" s="26"/>
      <c r="B3341" s="86"/>
      <c r="D3341" s="26"/>
      <c r="F3341" s="87" t="str">
        <f t="shared" si="0"/>
        <v/>
      </c>
      <c r="H3341" s="26" t="str">
        <f t="shared" si="1"/>
        <v/>
      </c>
      <c r="I3341" s="26" t="str">
        <f t="shared" si="2"/>
        <v/>
      </c>
      <c r="J3341" s="86">
        <f t="shared" si="3"/>
        <v>0</v>
      </c>
      <c r="R3341" s="26"/>
    </row>
    <row r="3342" spans="1:18" ht="15.75" customHeight="1">
      <c r="A3342" s="26"/>
      <c r="B3342" s="86"/>
      <c r="D3342" s="26"/>
      <c r="F3342" s="87" t="str">
        <f t="shared" si="0"/>
        <v/>
      </c>
      <c r="H3342" s="26" t="str">
        <f t="shared" si="1"/>
        <v/>
      </c>
      <c r="I3342" s="26" t="str">
        <f t="shared" si="2"/>
        <v/>
      </c>
      <c r="J3342" s="86">
        <f t="shared" si="3"/>
        <v>0</v>
      </c>
      <c r="R3342" s="26"/>
    </row>
    <row r="3343" spans="1:18" ht="15.75" customHeight="1">
      <c r="A3343" s="26"/>
      <c r="B3343" s="86"/>
      <c r="D3343" s="26"/>
      <c r="F3343" s="87" t="str">
        <f t="shared" si="0"/>
        <v/>
      </c>
      <c r="H3343" s="26" t="str">
        <f t="shared" si="1"/>
        <v/>
      </c>
      <c r="I3343" s="26" t="str">
        <f t="shared" si="2"/>
        <v/>
      </c>
      <c r="J3343" s="86">
        <f t="shared" si="3"/>
        <v>0</v>
      </c>
      <c r="R3343" s="26"/>
    </row>
    <row r="3344" spans="1:18" ht="15.75" customHeight="1">
      <c r="A3344" s="26"/>
      <c r="B3344" s="86"/>
      <c r="D3344" s="26"/>
      <c r="F3344" s="87" t="str">
        <f t="shared" si="0"/>
        <v/>
      </c>
      <c r="H3344" s="26" t="str">
        <f t="shared" si="1"/>
        <v/>
      </c>
      <c r="I3344" s="26" t="str">
        <f t="shared" si="2"/>
        <v/>
      </c>
      <c r="J3344" s="86">
        <f t="shared" si="3"/>
        <v>0</v>
      </c>
      <c r="R3344" s="26"/>
    </row>
    <row r="3345" spans="1:18" ht="15.75" customHeight="1">
      <c r="A3345" s="26"/>
      <c r="B3345" s="86"/>
      <c r="D3345" s="26"/>
      <c r="F3345" s="87" t="str">
        <f t="shared" si="0"/>
        <v/>
      </c>
      <c r="H3345" s="26" t="str">
        <f t="shared" si="1"/>
        <v/>
      </c>
      <c r="I3345" s="26" t="str">
        <f t="shared" si="2"/>
        <v/>
      </c>
      <c r="J3345" s="86">
        <f t="shared" si="3"/>
        <v>0</v>
      </c>
      <c r="R3345" s="26"/>
    </row>
    <row r="3346" spans="1:18" ht="15.75" customHeight="1">
      <c r="A3346" s="26"/>
      <c r="B3346" s="86"/>
      <c r="D3346" s="26"/>
      <c r="F3346" s="87" t="str">
        <f t="shared" si="0"/>
        <v/>
      </c>
      <c r="H3346" s="26" t="str">
        <f t="shared" si="1"/>
        <v/>
      </c>
      <c r="I3346" s="26" t="str">
        <f t="shared" si="2"/>
        <v/>
      </c>
      <c r="J3346" s="86">
        <f t="shared" si="3"/>
        <v>0</v>
      </c>
      <c r="R3346" s="26"/>
    </row>
    <row r="3347" spans="1:18" ht="15.75" customHeight="1">
      <c r="A3347" s="26"/>
      <c r="B3347" s="86"/>
      <c r="D3347" s="26"/>
      <c r="F3347" s="87" t="str">
        <f t="shared" si="0"/>
        <v/>
      </c>
      <c r="H3347" s="26" t="str">
        <f t="shared" si="1"/>
        <v/>
      </c>
      <c r="I3347" s="26" t="str">
        <f t="shared" si="2"/>
        <v/>
      </c>
      <c r="J3347" s="86">
        <f t="shared" si="3"/>
        <v>0</v>
      </c>
      <c r="R3347" s="26"/>
    </row>
    <row r="3348" spans="1:18" ht="15.75" customHeight="1">
      <c r="A3348" s="26"/>
      <c r="B3348" s="86"/>
      <c r="D3348" s="26"/>
      <c r="F3348" s="87" t="str">
        <f t="shared" si="0"/>
        <v/>
      </c>
      <c r="H3348" s="26" t="str">
        <f t="shared" si="1"/>
        <v/>
      </c>
      <c r="I3348" s="26" t="str">
        <f t="shared" si="2"/>
        <v/>
      </c>
      <c r="J3348" s="86">
        <f t="shared" si="3"/>
        <v>0</v>
      </c>
      <c r="R3348" s="26"/>
    </row>
    <row r="3349" spans="1:18" ht="15.75" customHeight="1">
      <c r="A3349" s="26"/>
      <c r="B3349" s="86"/>
      <c r="D3349" s="26"/>
      <c r="F3349" s="87" t="str">
        <f t="shared" si="0"/>
        <v/>
      </c>
      <c r="H3349" s="26" t="str">
        <f t="shared" si="1"/>
        <v/>
      </c>
      <c r="I3349" s="26" t="str">
        <f t="shared" si="2"/>
        <v/>
      </c>
      <c r="J3349" s="86">
        <f t="shared" si="3"/>
        <v>0</v>
      </c>
      <c r="R3349" s="26"/>
    </row>
    <row r="3350" spans="1:18" ht="15.75" customHeight="1">
      <c r="A3350" s="26"/>
      <c r="B3350" s="86"/>
      <c r="D3350" s="26"/>
      <c r="F3350" s="87" t="str">
        <f t="shared" si="0"/>
        <v/>
      </c>
      <c r="H3350" s="26" t="str">
        <f t="shared" si="1"/>
        <v/>
      </c>
      <c r="I3350" s="26" t="str">
        <f t="shared" si="2"/>
        <v/>
      </c>
      <c r="J3350" s="86">
        <f t="shared" si="3"/>
        <v>0</v>
      </c>
      <c r="R3350" s="26"/>
    </row>
    <row r="3351" spans="1:18" ht="15.75" customHeight="1">
      <c r="A3351" s="26"/>
      <c r="B3351" s="86"/>
      <c r="D3351" s="26"/>
      <c r="F3351" s="87" t="str">
        <f t="shared" si="0"/>
        <v/>
      </c>
      <c r="H3351" s="26" t="str">
        <f t="shared" si="1"/>
        <v/>
      </c>
      <c r="I3351" s="26" t="str">
        <f t="shared" si="2"/>
        <v/>
      </c>
      <c r="J3351" s="86">
        <f t="shared" si="3"/>
        <v>0</v>
      </c>
      <c r="R3351" s="26"/>
    </row>
    <row r="3352" spans="1:18" ht="15.75" customHeight="1">
      <c r="A3352" s="26"/>
      <c r="B3352" s="86"/>
      <c r="D3352" s="26"/>
      <c r="F3352" s="87" t="str">
        <f t="shared" si="0"/>
        <v/>
      </c>
      <c r="H3352" s="26" t="str">
        <f t="shared" si="1"/>
        <v/>
      </c>
      <c r="I3352" s="26" t="str">
        <f t="shared" si="2"/>
        <v/>
      </c>
      <c r="J3352" s="86">
        <f t="shared" si="3"/>
        <v>0</v>
      </c>
      <c r="R3352" s="26"/>
    </row>
    <row r="3353" spans="1:18" ht="15.75" customHeight="1">
      <c r="A3353" s="26"/>
      <c r="B3353" s="86"/>
      <c r="D3353" s="26"/>
      <c r="F3353" s="87" t="str">
        <f t="shared" si="0"/>
        <v/>
      </c>
      <c r="H3353" s="26" t="str">
        <f t="shared" si="1"/>
        <v/>
      </c>
      <c r="I3353" s="26" t="str">
        <f t="shared" si="2"/>
        <v/>
      </c>
      <c r="J3353" s="86">
        <f t="shared" si="3"/>
        <v>0</v>
      </c>
      <c r="R3353" s="26"/>
    </row>
    <row r="3354" spans="1:18" ht="15.75" customHeight="1">
      <c r="A3354" s="26"/>
      <c r="B3354" s="86"/>
      <c r="D3354" s="26"/>
      <c r="F3354" s="87" t="str">
        <f t="shared" si="0"/>
        <v/>
      </c>
      <c r="H3354" s="26" t="str">
        <f t="shared" si="1"/>
        <v/>
      </c>
      <c r="I3354" s="26" t="str">
        <f t="shared" si="2"/>
        <v/>
      </c>
      <c r="J3354" s="86">
        <f t="shared" si="3"/>
        <v>0</v>
      </c>
      <c r="R3354" s="26"/>
    </row>
    <row r="3355" spans="1:18" ht="15.75" customHeight="1">
      <c r="A3355" s="26"/>
      <c r="B3355" s="86"/>
      <c r="D3355" s="26"/>
      <c r="F3355" s="87" t="str">
        <f t="shared" si="0"/>
        <v/>
      </c>
      <c r="H3355" s="26" t="str">
        <f t="shared" si="1"/>
        <v/>
      </c>
      <c r="I3355" s="26" t="str">
        <f t="shared" si="2"/>
        <v/>
      </c>
      <c r="J3355" s="86">
        <f t="shared" si="3"/>
        <v>0</v>
      </c>
      <c r="R3355" s="26"/>
    </row>
    <row r="3356" spans="1:18" ht="15.75" customHeight="1">
      <c r="A3356" s="26"/>
      <c r="B3356" s="86"/>
      <c r="D3356" s="26"/>
      <c r="F3356" s="87" t="str">
        <f t="shared" si="0"/>
        <v/>
      </c>
      <c r="H3356" s="26" t="str">
        <f t="shared" si="1"/>
        <v/>
      </c>
      <c r="I3356" s="26" t="str">
        <f t="shared" si="2"/>
        <v/>
      </c>
      <c r="J3356" s="86">
        <f t="shared" si="3"/>
        <v>0</v>
      </c>
      <c r="R3356" s="26"/>
    </row>
    <row r="3357" spans="1:18" ht="15.75" customHeight="1">
      <c r="A3357" s="26"/>
      <c r="B3357" s="86"/>
      <c r="D3357" s="26"/>
      <c r="F3357" s="87" t="str">
        <f t="shared" si="0"/>
        <v/>
      </c>
      <c r="H3357" s="26" t="str">
        <f t="shared" si="1"/>
        <v/>
      </c>
      <c r="I3357" s="26" t="str">
        <f t="shared" si="2"/>
        <v/>
      </c>
      <c r="J3357" s="86">
        <f t="shared" si="3"/>
        <v>0</v>
      </c>
      <c r="R3357" s="26"/>
    </row>
    <row r="3358" spans="1:18" ht="15.75" customHeight="1">
      <c r="A3358" s="26"/>
      <c r="B3358" s="86"/>
      <c r="D3358" s="26"/>
      <c r="F3358" s="87" t="str">
        <f t="shared" si="0"/>
        <v/>
      </c>
      <c r="H3358" s="26" t="str">
        <f t="shared" si="1"/>
        <v/>
      </c>
      <c r="I3358" s="26" t="str">
        <f t="shared" si="2"/>
        <v/>
      </c>
      <c r="J3358" s="86">
        <f t="shared" si="3"/>
        <v>0</v>
      </c>
      <c r="R3358" s="26"/>
    </row>
    <row r="3359" spans="1:18" ht="15.75" customHeight="1">
      <c r="A3359" s="26"/>
      <c r="B3359" s="86"/>
      <c r="D3359" s="26"/>
      <c r="F3359" s="87" t="str">
        <f t="shared" si="0"/>
        <v/>
      </c>
      <c r="H3359" s="26" t="str">
        <f t="shared" si="1"/>
        <v/>
      </c>
      <c r="I3359" s="26" t="str">
        <f t="shared" si="2"/>
        <v/>
      </c>
      <c r="J3359" s="86">
        <f t="shared" si="3"/>
        <v>0</v>
      </c>
      <c r="R3359" s="26"/>
    </row>
    <row r="3360" spans="1:18" ht="15.75" customHeight="1">
      <c r="A3360" s="26"/>
      <c r="B3360" s="86"/>
      <c r="D3360" s="26"/>
      <c r="F3360" s="87" t="str">
        <f t="shared" si="0"/>
        <v/>
      </c>
      <c r="H3360" s="26" t="str">
        <f t="shared" si="1"/>
        <v/>
      </c>
      <c r="I3360" s="26" t="str">
        <f t="shared" si="2"/>
        <v/>
      </c>
      <c r="J3360" s="86">
        <f t="shared" si="3"/>
        <v>0</v>
      </c>
      <c r="R3360" s="26"/>
    </row>
    <row r="3361" spans="1:18" ht="15.75" customHeight="1">
      <c r="A3361" s="26"/>
      <c r="B3361" s="86"/>
      <c r="D3361" s="26"/>
      <c r="F3361" s="87" t="str">
        <f t="shared" si="0"/>
        <v/>
      </c>
      <c r="H3361" s="26" t="str">
        <f t="shared" si="1"/>
        <v/>
      </c>
      <c r="I3361" s="26" t="str">
        <f t="shared" si="2"/>
        <v/>
      </c>
      <c r="J3361" s="86">
        <f t="shared" si="3"/>
        <v>0</v>
      </c>
      <c r="R3361" s="26"/>
    </row>
    <row r="3362" spans="1:18" ht="15.75" customHeight="1">
      <c r="A3362" s="26"/>
      <c r="B3362" s="86"/>
      <c r="D3362" s="26"/>
      <c r="F3362" s="87" t="str">
        <f t="shared" si="0"/>
        <v/>
      </c>
      <c r="H3362" s="26" t="str">
        <f t="shared" si="1"/>
        <v/>
      </c>
      <c r="I3362" s="26" t="str">
        <f t="shared" si="2"/>
        <v/>
      </c>
      <c r="J3362" s="86">
        <f t="shared" si="3"/>
        <v>0</v>
      </c>
      <c r="R3362" s="26"/>
    </row>
    <row r="3363" spans="1:18" ht="15.75" customHeight="1">
      <c r="A3363" s="26"/>
      <c r="B3363" s="86"/>
      <c r="D3363" s="26"/>
      <c r="F3363" s="87" t="str">
        <f t="shared" si="0"/>
        <v/>
      </c>
      <c r="H3363" s="26" t="str">
        <f t="shared" si="1"/>
        <v/>
      </c>
      <c r="I3363" s="26" t="str">
        <f t="shared" si="2"/>
        <v/>
      </c>
      <c r="J3363" s="86">
        <f t="shared" si="3"/>
        <v>0</v>
      </c>
      <c r="R3363" s="26"/>
    </row>
    <row r="3364" spans="1:18" ht="15.75" customHeight="1">
      <c r="A3364" s="26"/>
      <c r="B3364" s="86"/>
      <c r="D3364" s="26"/>
      <c r="F3364" s="87" t="str">
        <f t="shared" si="0"/>
        <v/>
      </c>
      <c r="H3364" s="26" t="str">
        <f t="shared" si="1"/>
        <v/>
      </c>
      <c r="I3364" s="26" t="str">
        <f t="shared" si="2"/>
        <v/>
      </c>
      <c r="J3364" s="86">
        <f t="shared" si="3"/>
        <v>0</v>
      </c>
      <c r="R3364" s="26"/>
    </row>
    <row r="3365" spans="1:18" ht="15.75" customHeight="1">
      <c r="A3365" s="26"/>
      <c r="B3365" s="86"/>
      <c r="D3365" s="26"/>
      <c r="F3365" s="87" t="str">
        <f t="shared" si="0"/>
        <v/>
      </c>
      <c r="H3365" s="26" t="str">
        <f t="shared" si="1"/>
        <v/>
      </c>
      <c r="I3365" s="26" t="str">
        <f t="shared" si="2"/>
        <v/>
      </c>
      <c r="J3365" s="86">
        <f t="shared" si="3"/>
        <v>0</v>
      </c>
      <c r="R3365" s="26"/>
    </row>
    <row r="3366" spans="1:18" ht="15.75" customHeight="1">
      <c r="A3366" s="26"/>
      <c r="B3366" s="86"/>
      <c r="D3366" s="26"/>
      <c r="F3366" s="87" t="str">
        <f t="shared" si="0"/>
        <v/>
      </c>
      <c r="H3366" s="26" t="str">
        <f t="shared" si="1"/>
        <v/>
      </c>
      <c r="I3366" s="26" t="str">
        <f t="shared" si="2"/>
        <v/>
      </c>
      <c r="J3366" s="86">
        <f t="shared" si="3"/>
        <v>0</v>
      </c>
      <c r="R3366" s="26"/>
    </row>
    <row r="3367" spans="1:18" ht="15.75" customHeight="1">
      <c r="A3367" s="26"/>
      <c r="B3367" s="86"/>
      <c r="D3367" s="26"/>
      <c r="F3367" s="87" t="str">
        <f t="shared" si="0"/>
        <v/>
      </c>
      <c r="H3367" s="26" t="str">
        <f t="shared" si="1"/>
        <v/>
      </c>
      <c r="I3367" s="26" t="str">
        <f t="shared" si="2"/>
        <v/>
      </c>
      <c r="J3367" s="86">
        <f t="shared" si="3"/>
        <v>0</v>
      </c>
      <c r="R3367" s="26"/>
    </row>
    <row r="3368" spans="1:18" ht="15.75" customHeight="1">
      <c r="A3368" s="26"/>
      <c r="B3368" s="86"/>
      <c r="D3368" s="26"/>
      <c r="F3368" s="87" t="str">
        <f t="shared" si="0"/>
        <v/>
      </c>
      <c r="H3368" s="26" t="str">
        <f t="shared" si="1"/>
        <v/>
      </c>
      <c r="I3368" s="26" t="str">
        <f t="shared" si="2"/>
        <v/>
      </c>
      <c r="J3368" s="86">
        <f t="shared" si="3"/>
        <v>0</v>
      </c>
      <c r="R3368" s="26"/>
    </row>
    <row r="3369" spans="1:18" ht="15.75" customHeight="1">
      <c r="A3369" s="26"/>
      <c r="B3369" s="86"/>
      <c r="D3369" s="26"/>
      <c r="F3369" s="87" t="str">
        <f t="shared" si="0"/>
        <v/>
      </c>
      <c r="H3369" s="26" t="str">
        <f t="shared" si="1"/>
        <v/>
      </c>
      <c r="I3369" s="26" t="str">
        <f t="shared" si="2"/>
        <v/>
      </c>
      <c r="J3369" s="86">
        <f t="shared" si="3"/>
        <v>0</v>
      </c>
      <c r="R3369" s="26"/>
    </row>
    <row r="3370" spans="1:18" ht="15.75" customHeight="1">
      <c r="A3370" s="26"/>
      <c r="B3370" s="86"/>
      <c r="D3370" s="26"/>
      <c r="F3370" s="87" t="str">
        <f t="shared" si="0"/>
        <v/>
      </c>
      <c r="H3370" s="26" t="str">
        <f t="shared" si="1"/>
        <v/>
      </c>
      <c r="I3370" s="26" t="str">
        <f t="shared" si="2"/>
        <v/>
      </c>
      <c r="J3370" s="86">
        <f t="shared" si="3"/>
        <v>0</v>
      </c>
      <c r="R3370" s="26"/>
    </row>
    <row r="3371" spans="1:18" ht="15.75" customHeight="1">
      <c r="A3371" s="26"/>
      <c r="B3371" s="86"/>
      <c r="D3371" s="26"/>
      <c r="F3371" s="87" t="str">
        <f t="shared" si="0"/>
        <v/>
      </c>
      <c r="H3371" s="26" t="str">
        <f t="shared" si="1"/>
        <v/>
      </c>
      <c r="I3371" s="26" t="str">
        <f t="shared" si="2"/>
        <v/>
      </c>
      <c r="J3371" s="86">
        <f t="shared" si="3"/>
        <v>0</v>
      </c>
      <c r="R3371" s="26"/>
    </row>
    <row r="3372" spans="1:18" ht="15.75" customHeight="1">
      <c r="A3372" s="26"/>
      <c r="B3372" s="86"/>
      <c r="D3372" s="26"/>
      <c r="F3372" s="87" t="str">
        <f t="shared" si="0"/>
        <v/>
      </c>
      <c r="H3372" s="26" t="str">
        <f t="shared" si="1"/>
        <v/>
      </c>
      <c r="I3372" s="26" t="str">
        <f t="shared" si="2"/>
        <v/>
      </c>
      <c r="J3372" s="86">
        <f t="shared" si="3"/>
        <v>0</v>
      </c>
      <c r="R3372" s="26"/>
    </row>
    <row r="3373" spans="1:18" ht="15.75" customHeight="1">
      <c r="A3373" s="26"/>
      <c r="B3373" s="86"/>
      <c r="D3373" s="26"/>
      <c r="F3373" s="87" t="str">
        <f t="shared" si="0"/>
        <v/>
      </c>
      <c r="H3373" s="26" t="str">
        <f t="shared" si="1"/>
        <v/>
      </c>
      <c r="I3373" s="26" t="str">
        <f t="shared" si="2"/>
        <v/>
      </c>
      <c r="J3373" s="86">
        <f t="shared" si="3"/>
        <v>0</v>
      </c>
      <c r="R3373" s="26"/>
    </row>
    <row r="3374" spans="1:18" ht="15.75" customHeight="1">
      <c r="A3374" s="26"/>
      <c r="B3374" s="86"/>
      <c r="D3374" s="26"/>
      <c r="F3374" s="87" t="str">
        <f t="shared" si="0"/>
        <v/>
      </c>
      <c r="H3374" s="26" t="str">
        <f t="shared" si="1"/>
        <v/>
      </c>
      <c r="I3374" s="26" t="str">
        <f t="shared" si="2"/>
        <v/>
      </c>
      <c r="J3374" s="86">
        <f t="shared" si="3"/>
        <v>0</v>
      </c>
      <c r="R3374" s="26"/>
    </row>
    <row r="3375" spans="1:18" ht="15.75" customHeight="1">
      <c r="A3375" s="26"/>
      <c r="B3375" s="86"/>
      <c r="D3375" s="26"/>
      <c r="F3375" s="87" t="str">
        <f t="shared" si="0"/>
        <v/>
      </c>
      <c r="H3375" s="26" t="str">
        <f t="shared" si="1"/>
        <v/>
      </c>
      <c r="I3375" s="26" t="str">
        <f t="shared" si="2"/>
        <v/>
      </c>
      <c r="J3375" s="86">
        <f t="shared" si="3"/>
        <v>0</v>
      </c>
      <c r="R3375" s="26"/>
    </row>
    <row r="3376" spans="1:18" ht="15.75" customHeight="1">
      <c r="A3376" s="26"/>
      <c r="B3376" s="86"/>
      <c r="D3376" s="26"/>
      <c r="F3376" s="87" t="str">
        <f t="shared" si="0"/>
        <v/>
      </c>
      <c r="H3376" s="26" t="str">
        <f t="shared" si="1"/>
        <v/>
      </c>
      <c r="I3376" s="26" t="str">
        <f t="shared" si="2"/>
        <v/>
      </c>
      <c r="J3376" s="86">
        <f t="shared" si="3"/>
        <v>0</v>
      </c>
      <c r="R3376" s="26"/>
    </row>
    <row r="3377" spans="1:18" ht="15.75" customHeight="1">
      <c r="A3377" s="26"/>
      <c r="B3377" s="86"/>
      <c r="D3377" s="26"/>
      <c r="F3377" s="87" t="str">
        <f t="shared" si="0"/>
        <v/>
      </c>
      <c r="H3377" s="26" t="str">
        <f t="shared" si="1"/>
        <v/>
      </c>
      <c r="I3377" s="26" t="str">
        <f t="shared" si="2"/>
        <v/>
      </c>
      <c r="J3377" s="86">
        <f t="shared" si="3"/>
        <v>0</v>
      </c>
      <c r="R3377" s="26"/>
    </row>
    <row r="3378" spans="1:18" ht="15.75" customHeight="1">
      <c r="A3378" s="26"/>
      <c r="B3378" s="86"/>
      <c r="D3378" s="26"/>
      <c r="F3378" s="87" t="str">
        <f t="shared" si="0"/>
        <v/>
      </c>
      <c r="H3378" s="26" t="str">
        <f t="shared" si="1"/>
        <v/>
      </c>
      <c r="I3378" s="26" t="str">
        <f t="shared" si="2"/>
        <v/>
      </c>
      <c r="J3378" s="86">
        <f t="shared" si="3"/>
        <v>0</v>
      </c>
      <c r="R3378" s="26"/>
    </row>
    <row r="3379" spans="1:18" ht="15.75" customHeight="1">
      <c r="A3379" s="26"/>
      <c r="B3379" s="86"/>
      <c r="D3379" s="26"/>
      <c r="F3379" s="87" t="str">
        <f t="shared" si="0"/>
        <v/>
      </c>
      <c r="H3379" s="26" t="str">
        <f t="shared" si="1"/>
        <v/>
      </c>
      <c r="I3379" s="26" t="str">
        <f t="shared" si="2"/>
        <v/>
      </c>
      <c r="J3379" s="86">
        <f t="shared" si="3"/>
        <v>0</v>
      </c>
      <c r="R3379" s="26"/>
    </row>
    <row r="3380" spans="1:18" ht="15.75" customHeight="1">
      <c r="A3380" s="26"/>
      <c r="B3380" s="86"/>
      <c r="D3380" s="26"/>
      <c r="F3380" s="87" t="str">
        <f t="shared" si="0"/>
        <v/>
      </c>
      <c r="H3380" s="26" t="str">
        <f t="shared" si="1"/>
        <v/>
      </c>
      <c r="I3380" s="26" t="str">
        <f t="shared" si="2"/>
        <v/>
      </c>
      <c r="J3380" s="86">
        <f t="shared" si="3"/>
        <v>0</v>
      </c>
      <c r="R3380" s="26"/>
    </row>
    <row r="3381" spans="1:18" ht="15.75" customHeight="1">
      <c r="A3381" s="26"/>
      <c r="B3381" s="86"/>
      <c r="D3381" s="26"/>
      <c r="F3381" s="87" t="str">
        <f t="shared" si="0"/>
        <v/>
      </c>
      <c r="H3381" s="26" t="str">
        <f t="shared" si="1"/>
        <v/>
      </c>
      <c r="I3381" s="26" t="str">
        <f t="shared" si="2"/>
        <v/>
      </c>
      <c r="J3381" s="86">
        <f t="shared" si="3"/>
        <v>0</v>
      </c>
      <c r="R3381" s="26"/>
    </row>
    <row r="3382" spans="1:18" ht="15.75" customHeight="1">
      <c r="A3382" s="26"/>
      <c r="B3382" s="86"/>
      <c r="D3382" s="26"/>
      <c r="F3382" s="87" t="str">
        <f t="shared" si="0"/>
        <v/>
      </c>
      <c r="H3382" s="26" t="str">
        <f t="shared" si="1"/>
        <v/>
      </c>
      <c r="I3382" s="26" t="str">
        <f t="shared" si="2"/>
        <v/>
      </c>
      <c r="J3382" s="86">
        <f t="shared" si="3"/>
        <v>0</v>
      </c>
      <c r="R3382" s="26"/>
    </row>
    <row r="3383" spans="1:18" ht="15.75" customHeight="1">
      <c r="A3383" s="26"/>
      <c r="B3383" s="86"/>
      <c r="D3383" s="26"/>
      <c r="F3383" s="87" t="str">
        <f t="shared" si="0"/>
        <v/>
      </c>
      <c r="H3383" s="26" t="str">
        <f t="shared" si="1"/>
        <v/>
      </c>
      <c r="I3383" s="26" t="str">
        <f t="shared" si="2"/>
        <v/>
      </c>
      <c r="J3383" s="86">
        <f t="shared" si="3"/>
        <v>0</v>
      </c>
      <c r="R3383" s="26"/>
    </row>
    <row r="3384" spans="1:18" ht="15.75" customHeight="1">
      <c r="A3384" s="26"/>
      <c r="B3384" s="86"/>
      <c r="D3384" s="26"/>
      <c r="F3384" s="87" t="str">
        <f t="shared" si="0"/>
        <v/>
      </c>
      <c r="H3384" s="26" t="str">
        <f t="shared" si="1"/>
        <v/>
      </c>
      <c r="I3384" s="26" t="str">
        <f t="shared" si="2"/>
        <v/>
      </c>
      <c r="J3384" s="86">
        <f t="shared" si="3"/>
        <v>0</v>
      </c>
      <c r="R3384" s="26"/>
    </row>
    <row r="3385" spans="1:18" ht="15.75" customHeight="1">
      <c r="A3385" s="26"/>
      <c r="B3385" s="86"/>
      <c r="D3385" s="26"/>
      <c r="F3385" s="87" t="str">
        <f t="shared" si="0"/>
        <v/>
      </c>
      <c r="H3385" s="26" t="str">
        <f t="shared" si="1"/>
        <v/>
      </c>
      <c r="I3385" s="26" t="str">
        <f t="shared" si="2"/>
        <v/>
      </c>
      <c r="J3385" s="86">
        <f t="shared" si="3"/>
        <v>0</v>
      </c>
      <c r="R3385" s="26"/>
    </row>
    <row r="3386" spans="1:18" ht="15.75" customHeight="1">
      <c r="A3386" s="26"/>
      <c r="B3386" s="86"/>
      <c r="D3386" s="26"/>
      <c r="F3386" s="87" t="str">
        <f t="shared" si="0"/>
        <v/>
      </c>
      <c r="H3386" s="26" t="str">
        <f t="shared" si="1"/>
        <v/>
      </c>
      <c r="I3386" s="26" t="str">
        <f t="shared" si="2"/>
        <v/>
      </c>
      <c r="J3386" s="86">
        <f t="shared" si="3"/>
        <v>0</v>
      </c>
      <c r="R3386" s="26"/>
    </row>
    <row r="3387" spans="1:18" ht="15.75" customHeight="1">
      <c r="A3387" s="26"/>
      <c r="B3387" s="86"/>
      <c r="D3387" s="26"/>
      <c r="F3387" s="87" t="str">
        <f t="shared" si="0"/>
        <v/>
      </c>
      <c r="H3387" s="26" t="str">
        <f t="shared" si="1"/>
        <v/>
      </c>
      <c r="I3387" s="26" t="str">
        <f t="shared" si="2"/>
        <v/>
      </c>
      <c r="J3387" s="86">
        <f t="shared" si="3"/>
        <v>0</v>
      </c>
      <c r="R3387" s="26"/>
    </row>
    <row r="3388" spans="1:18" ht="15.75" customHeight="1">
      <c r="A3388" s="26"/>
      <c r="B3388" s="86"/>
      <c r="D3388" s="26"/>
      <c r="F3388" s="87" t="str">
        <f t="shared" si="0"/>
        <v/>
      </c>
      <c r="H3388" s="26" t="str">
        <f t="shared" si="1"/>
        <v/>
      </c>
      <c r="I3388" s="26" t="str">
        <f t="shared" si="2"/>
        <v/>
      </c>
      <c r="J3388" s="86">
        <f t="shared" si="3"/>
        <v>0</v>
      </c>
      <c r="R3388" s="26"/>
    </row>
    <row r="3389" spans="1:18" ht="15.75" customHeight="1">
      <c r="A3389" s="26"/>
      <c r="B3389" s="86"/>
      <c r="D3389" s="26"/>
      <c r="F3389" s="87" t="str">
        <f t="shared" si="0"/>
        <v/>
      </c>
      <c r="H3389" s="26" t="str">
        <f t="shared" si="1"/>
        <v/>
      </c>
      <c r="I3389" s="26" t="str">
        <f t="shared" si="2"/>
        <v/>
      </c>
      <c r="J3389" s="86">
        <f t="shared" si="3"/>
        <v>0</v>
      </c>
      <c r="R3389" s="26"/>
    </row>
    <row r="3390" spans="1:18" ht="15.75" customHeight="1">
      <c r="A3390" s="26"/>
      <c r="B3390" s="86"/>
      <c r="D3390" s="26"/>
      <c r="F3390" s="87" t="str">
        <f t="shared" si="0"/>
        <v/>
      </c>
      <c r="H3390" s="26" t="str">
        <f t="shared" si="1"/>
        <v/>
      </c>
      <c r="I3390" s="26" t="str">
        <f t="shared" si="2"/>
        <v/>
      </c>
      <c r="J3390" s="86">
        <f t="shared" si="3"/>
        <v>0</v>
      </c>
      <c r="R3390" s="26"/>
    </row>
    <row r="3391" spans="1:18" ht="15.75" customHeight="1">
      <c r="A3391" s="26"/>
      <c r="B3391" s="86"/>
      <c r="D3391" s="26"/>
      <c r="F3391" s="87" t="str">
        <f t="shared" si="0"/>
        <v/>
      </c>
      <c r="H3391" s="26" t="str">
        <f t="shared" si="1"/>
        <v/>
      </c>
      <c r="I3391" s="26" t="str">
        <f t="shared" si="2"/>
        <v/>
      </c>
      <c r="J3391" s="86">
        <f t="shared" si="3"/>
        <v>0</v>
      </c>
      <c r="R3391" s="26"/>
    </row>
    <row r="3392" spans="1:18" ht="15.75" customHeight="1">
      <c r="A3392" s="26"/>
      <c r="B3392" s="86"/>
      <c r="D3392" s="26"/>
      <c r="F3392" s="87" t="str">
        <f t="shared" si="0"/>
        <v/>
      </c>
      <c r="H3392" s="26" t="str">
        <f t="shared" si="1"/>
        <v/>
      </c>
      <c r="I3392" s="26" t="str">
        <f t="shared" si="2"/>
        <v/>
      </c>
      <c r="J3392" s="86">
        <f t="shared" si="3"/>
        <v>0</v>
      </c>
      <c r="R3392" s="26"/>
    </row>
    <row r="3393" spans="1:18" ht="15.75" customHeight="1">
      <c r="A3393" s="26"/>
      <c r="B3393" s="86"/>
      <c r="D3393" s="26"/>
      <c r="F3393" s="87" t="str">
        <f t="shared" si="0"/>
        <v/>
      </c>
      <c r="H3393" s="26" t="str">
        <f t="shared" si="1"/>
        <v/>
      </c>
      <c r="I3393" s="26" t="str">
        <f t="shared" si="2"/>
        <v/>
      </c>
      <c r="J3393" s="86">
        <f t="shared" si="3"/>
        <v>0</v>
      </c>
      <c r="R3393" s="26"/>
    </row>
    <row r="3394" spans="1:18" ht="15.75" customHeight="1">
      <c r="A3394" s="26"/>
      <c r="B3394" s="86"/>
      <c r="D3394" s="26"/>
      <c r="F3394" s="87" t="str">
        <f t="shared" si="0"/>
        <v/>
      </c>
      <c r="H3394" s="26" t="str">
        <f t="shared" si="1"/>
        <v/>
      </c>
      <c r="I3394" s="26" t="str">
        <f t="shared" si="2"/>
        <v/>
      </c>
      <c r="J3394" s="86">
        <f t="shared" si="3"/>
        <v>0</v>
      </c>
      <c r="R3394" s="26"/>
    </row>
    <row r="3395" spans="1:18" ht="15.75" customHeight="1">
      <c r="A3395" s="26"/>
      <c r="B3395" s="86"/>
      <c r="D3395" s="26"/>
      <c r="F3395" s="87" t="str">
        <f t="shared" si="0"/>
        <v/>
      </c>
      <c r="H3395" s="26" t="str">
        <f t="shared" si="1"/>
        <v/>
      </c>
      <c r="I3395" s="26" t="str">
        <f t="shared" si="2"/>
        <v/>
      </c>
      <c r="J3395" s="86">
        <f t="shared" si="3"/>
        <v>0</v>
      </c>
      <c r="R3395" s="26"/>
    </row>
    <row r="3396" spans="1:18" ht="15.75" customHeight="1">
      <c r="A3396" s="26"/>
      <c r="B3396" s="86"/>
      <c r="D3396" s="26"/>
      <c r="F3396" s="87" t="str">
        <f t="shared" si="0"/>
        <v/>
      </c>
      <c r="H3396" s="26" t="str">
        <f t="shared" si="1"/>
        <v/>
      </c>
      <c r="I3396" s="26" t="str">
        <f t="shared" si="2"/>
        <v/>
      </c>
      <c r="J3396" s="86">
        <f t="shared" si="3"/>
        <v>0</v>
      </c>
      <c r="R3396" s="26"/>
    </row>
    <row r="3397" spans="1:18" ht="15.75" customHeight="1">
      <c r="A3397" s="26"/>
      <c r="B3397" s="86"/>
      <c r="D3397" s="26"/>
      <c r="F3397" s="87" t="str">
        <f t="shared" si="0"/>
        <v/>
      </c>
      <c r="H3397" s="26" t="str">
        <f t="shared" si="1"/>
        <v/>
      </c>
      <c r="I3397" s="26" t="str">
        <f t="shared" si="2"/>
        <v/>
      </c>
      <c r="J3397" s="86">
        <f t="shared" si="3"/>
        <v>0</v>
      </c>
      <c r="R3397" s="26"/>
    </row>
    <row r="3398" spans="1:18" ht="15.75" customHeight="1">
      <c r="A3398" s="26"/>
      <c r="B3398" s="86"/>
      <c r="D3398" s="26"/>
      <c r="F3398" s="87" t="str">
        <f t="shared" si="0"/>
        <v/>
      </c>
      <c r="H3398" s="26" t="str">
        <f t="shared" si="1"/>
        <v/>
      </c>
      <c r="I3398" s="26" t="str">
        <f t="shared" si="2"/>
        <v/>
      </c>
      <c r="J3398" s="86">
        <f t="shared" si="3"/>
        <v>0</v>
      </c>
      <c r="R3398" s="26"/>
    </row>
    <row r="3399" spans="1:18" ht="15.75" customHeight="1">
      <c r="A3399" s="26"/>
      <c r="B3399" s="86"/>
      <c r="D3399" s="26"/>
      <c r="F3399" s="87" t="str">
        <f t="shared" si="0"/>
        <v/>
      </c>
      <c r="H3399" s="26" t="str">
        <f t="shared" si="1"/>
        <v/>
      </c>
      <c r="I3399" s="26" t="str">
        <f t="shared" si="2"/>
        <v/>
      </c>
      <c r="J3399" s="86">
        <f t="shared" si="3"/>
        <v>0</v>
      </c>
      <c r="R3399" s="26"/>
    </row>
    <row r="3400" spans="1:18" ht="15.75" customHeight="1">
      <c r="A3400" s="26"/>
      <c r="B3400" s="86"/>
      <c r="D3400" s="26"/>
      <c r="F3400" s="87" t="str">
        <f t="shared" si="0"/>
        <v/>
      </c>
      <c r="H3400" s="26" t="str">
        <f t="shared" si="1"/>
        <v/>
      </c>
      <c r="I3400" s="26" t="str">
        <f t="shared" si="2"/>
        <v/>
      </c>
      <c r="J3400" s="86">
        <f t="shared" si="3"/>
        <v>0</v>
      </c>
      <c r="R3400" s="26"/>
    </row>
    <row r="3401" spans="1:18" ht="15.75" customHeight="1">
      <c r="A3401" s="26"/>
      <c r="B3401" s="86"/>
      <c r="D3401" s="26"/>
      <c r="F3401" s="87" t="str">
        <f t="shared" si="0"/>
        <v/>
      </c>
      <c r="H3401" s="26" t="str">
        <f t="shared" si="1"/>
        <v/>
      </c>
      <c r="I3401" s="26" t="str">
        <f t="shared" si="2"/>
        <v/>
      </c>
      <c r="J3401" s="86">
        <f t="shared" si="3"/>
        <v>0</v>
      </c>
      <c r="R3401" s="26"/>
    </row>
    <row r="3402" spans="1:18" ht="15.75" customHeight="1">
      <c r="A3402" s="26"/>
      <c r="B3402" s="86"/>
      <c r="D3402" s="26"/>
      <c r="F3402" s="87" t="str">
        <f t="shared" si="0"/>
        <v/>
      </c>
      <c r="H3402" s="26" t="str">
        <f t="shared" si="1"/>
        <v/>
      </c>
      <c r="I3402" s="26" t="str">
        <f t="shared" si="2"/>
        <v/>
      </c>
      <c r="J3402" s="86">
        <f t="shared" si="3"/>
        <v>0</v>
      </c>
      <c r="R3402" s="26"/>
    </row>
    <row r="3403" spans="1:18" ht="15.75" customHeight="1">
      <c r="A3403" s="26"/>
      <c r="B3403" s="86"/>
      <c r="D3403" s="26"/>
      <c r="F3403" s="87" t="str">
        <f t="shared" si="0"/>
        <v/>
      </c>
      <c r="H3403" s="26" t="str">
        <f t="shared" si="1"/>
        <v/>
      </c>
      <c r="I3403" s="26" t="str">
        <f t="shared" si="2"/>
        <v/>
      </c>
      <c r="J3403" s="86">
        <f t="shared" si="3"/>
        <v>0</v>
      </c>
      <c r="R3403" s="26"/>
    </row>
    <row r="3404" spans="1:18" ht="15.75" customHeight="1">
      <c r="A3404" s="26"/>
      <c r="B3404" s="86"/>
      <c r="D3404" s="26"/>
      <c r="F3404" s="87" t="str">
        <f t="shared" si="0"/>
        <v/>
      </c>
      <c r="H3404" s="26" t="str">
        <f t="shared" si="1"/>
        <v/>
      </c>
      <c r="I3404" s="26" t="str">
        <f t="shared" si="2"/>
        <v/>
      </c>
      <c r="J3404" s="86">
        <f t="shared" si="3"/>
        <v>0</v>
      </c>
      <c r="R3404" s="26"/>
    </row>
    <row r="3405" spans="1:18" ht="15.75" customHeight="1">
      <c r="A3405" s="26"/>
      <c r="B3405" s="86"/>
      <c r="D3405" s="26"/>
      <c r="F3405" s="87" t="str">
        <f t="shared" si="0"/>
        <v/>
      </c>
      <c r="H3405" s="26" t="str">
        <f t="shared" si="1"/>
        <v/>
      </c>
      <c r="I3405" s="26" t="str">
        <f t="shared" si="2"/>
        <v/>
      </c>
      <c r="J3405" s="86">
        <f t="shared" si="3"/>
        <v>0</v>
      </c>
      <c r="R3405" s="26"/>
    </row>
    <row r="3406" spans="1:18" ht="15.75" customHeight="1">
      <c r="A3406" s="26"/>
      <c r="B3406" s="86"/>
      <c r="D3406" s="26"/>
      <c r="F3406" s="87" t="str">
        <f t="shared" si="0"/>
        <v/>
      </c>
      <c r="H3406" s="26" t="str">
        <f t="shared" si="1"/>
        <v/>
      </c>
      <c r="I3406" s="26" t="str">
        <f t="shared" si="2"/>
        <v/>
      </c>
      <c r="J3406" s="86">
        <f t="shared" si="3"/>
        <v>0</v>
      </c>
      <c r="R3406" s="26"/>
    </row>
    <row r="3407" spans="1:18" ht="15.75" customHeight="1">
      <c r="A3407" s="26"/>
      <c r="B3407" s="86"/>
      <c r="D3407" s="26"/>
      <c r="F3407" s="87" t="str">
        <f t="shared" si="0"/>
        <v/>
      </c>
      <c r="H3407" s="26" t="str">
        <f t="shared" si="1"/>
        <v/>
      </c>
      <c r="I3407" s="26" t="str">
        <f t="shared" si="2"/>
        <v/>
      </c>
      <c r="J3407" s="86">
        <f t="shared" si="3"/>
        <v>0</v>
      </c>
      <c r="R3407" s="26"/>
    </row>
    <row r="3408" spans="1:18" ht="15.75" customHeight="1">
      <c r="A3408" s="26"/>
      <c r="B3408" s="86"/>
      <c r="D3408" s="26"/>
      <c r="F3408" s="87" t="str">
        <f t="shared" si="0"/>
        <v/>
      </c>
      <c r="H3408" s="26" t="str">
        <f t="shared" si="1"/>
        <v/>
      </c>
      <c r="I3408" s="26" t="str">
        <f t="shared" si="2"/>
        <v/>
      </c>
      <c r="J3408" s="86">
        <f t="shared" si="3"/>
        <v>0</v>
      </c>
      <c r="R3408" s="26"/>
    </row>
    <row r="3409" spans="1:18" ht="15.75" customHeight="1">
      <c r="A3409" s="26"/>
      <c r="B3409" s="86"/>
      <c r="D3409" s="26"/>
      <c r="F3409" s="87" t="str">
        <f t="shared" si="0"/>
        <v/>
      </c>
      <c r="H3409" s="26" t="str">
        <f t="shared" si="1"/>
        <v/>
      </c>
      <c r="I3409" s="26" t="str">
        <f t="shared" si="2"/>
        <v/>
      </c>
      <c r="J3409" s="86">
        <f t="shared" si="3"/>
        <v>0</v>
      </c>
      <c r="R3409" s="26"/>
    </row>
    <row r="3410" spans="1:18" ht="15.75" customHeight="1">
      <c r="A3410" s="26"/>
      <c r="B3410" s="86"/>
      <c r="D3410" s="26"/>
      <c r="F3410" s="87" t="str">
        <f t="shared" si="0"/>
        <v/>
      </c>
      <c r="H3410" s="26" t="str">
        <f t="shared" si="1"/>
        <v/>
      </c>
      <c r="I3410" s="26" t="str">
        <f t="shared" si="2"/>
        <v/>
      </c>
      <c r="J3410" s="86">
        <f t="shared" si="3"/>
        <v>0</v>
      </c>
      <c r="R3410" s="26"/>
    </row>
    <row r="3411" spans="1:18" ht="15.75" customHeight="1">
      <c r="A3411" s="26"/>
      <c r="B3411" s="86"/>
      <c r="D3411" s="26"/>
      <c r="F3411" s="87" t="str">
        <f t="shared" si="0"/>
        <v/>
      </c>
      <c r="H3411" s="26" t="str">
        <f t="shared" si="1"/>
        <v/>
      </c>
      <c r="I3411" s="26" t="str">
        <f t="shared" si="2"/>
        <v/>
      </c>
      <c r="J3411" s="86">
        <f t="shared" si="3"/>
        <v>0</v>
      </c>
      <c r="R3411" s="26"/>
    </row>
    <row r="3412" spans="1:18" ht="15.75" customHeight="1">
      <c r="A3412" s="26"/>
      <c r="B3412" s="86"/>
      <c r="D3412" s="26"/>
      <c r="F3412" s="87" t="str">
        <f t="shared" si="0"/>
        <v/>
      </c>
      <c r="H3412" s="26" t="str">
        <f t="shared" si="1"/>
        <v/>
      </c>
      <c r="I3412" s="26" t="str">
        <f t="shared" si="2"/>
        <v/>
      </c>
      <c r="J3412" s="86">
        <f t="shared" si="3"/>
        <v>0</v>
      </c>
      <c r="R3412" s="26"/>
    </row>
    <row r="3413" spans="1:18" ht="15.75" customHeight="1">
      <c r="A3413" s="26"/>
      <c r="B3413" s="86"/>
      <c r="D3413" s="26"/>
      <c r="F3413" s="87" t="str">
        <f t="shared" si="0"/>
        <v/>
      </c>
      <c r="H3413" s="26" t="str">
        <f t="shared" si="1"/>
        <v/>
      </c>
      <c r="I3413" s="26" t="str">
        <f t="shared" si="2"/>
        <v/>
      </c>
      <c r="J3413" s="86">
        <f t="shared" si="3"/>
        <v>0</v>
      </c>
      <c r="R3413" s="26"/>
    </row>
    <row r="3414" spans="1:18" ht="15.75" customHeight="1">
      <c r="A3414" s="26"/>
      <c r="B3414" s="86"/>
      <c r="D3414" s="26"/>
      <c r="F3414" s="87" t="str">
        <f t="shared" si="0"/>
        <v/>
      </c>
      <c r="H3414" s="26" t="str">
        <f t="shared" si="1"/>
        <v/>
      </c>
      <c r="I3414" s="26" t="str">
        <f t="shared" si="2"/>
        <v/>
      </c>
      <c r="J3414" s="86">
        <f t="shared" si="3"/>
        <v>0</v>
      </c>
      <c r="R3414" s="26"/>
    </row>
    <row r="3415" spans="1:18" ht="15.75" customHeight="1">
      <c r="A3415" s="26"/>
      <c r="B3415" s="86"/>
      <c r="D3415" s="26"/>
      <c r="F3415" s="87" t="str">
        <f t="shared" si="0"/>
        <v/>
      </c>
      <c r="H3415" s="26" t="str">
        <f t="shared" si="1"/>
        <v/>
      </c>
      <c r="I3415" s="26" t="str">
        <f t="shared" si="2"/>
        <v/>
      </c>
      <c r="J3415" s="86">
        <f t="shared" si="3"/>
        <v>0</v>
      </c>
      <c r="R3415" s="26"/>
    </row>
    <row r="3416" spans="1:18" ht="15.75" customHeight="1">
      <c r="A3416" s="26"/>
      <c r="B3416" s="86"/>
      <c r="D3416" s="26"/>
      <c r="F3416" s="87" t="str">
        <f t="shared" si="0"/>
        <v/>
      </c>
      <c r="H3416" s="26" t="str">
        <f t="shared" si="1"/>
        <v/>
      </c>
      <c r="I3416" s="26" t="str">
        <f t="shared" si="2"/>
        <v/>
      </c>
      <c r="J3416" s="86">
        <f t="shared" si="3"/>
        <v>0</v>
      </c>
      <c r="R3416" s="26"/>
    </row>
    <row r="3417" spans="1:18" ht="15.75" customHeight="1">
      <c r="A3417" s="26"/>
      <c r="B3417" s="86"/>
      <c r="D3417" s="26"/>
      <c r="F3417" s="87" t="str">
        <f t="shared" si="0"/>
        <v/>
      </c>
      <c r="H3417" s="26" t="str">
        <f t="shared" si="1"/>
        <v/>
      </c>
      <c r="I3417" s="26" t="str">
        <f t="shared" si="2"/>
        <v/>
      </c>
      <c r="J3417" s="86">
        <f t="shared" si="3"/>
        <v>0</v>
      </c>
      <c r="R3417" s="26"/>
    </row>
    <row r="3418" spans="1:18" ht="15.75" customHeight="1">
      <c r="A3418" s="26"/>
      <c r="B3418" s="86"/>
      <c r="D3418" s="26"/>
      <c r="F3418" s="87" t="str">
        <f t="shared" si="0"/>
        <v/>
      </c>
      <c r="H3418" s="26" t="str">
        <f t="shared" si="1"/>
        <v/>
      </c>
      <c r="I3418" s="26" t="str">
        <f t="shared" si="2"/>
        <v/>
      </c>
      <c r="J3418" s="86">
        <f t="shared" si="3"/>
        <v>0</v>
      </c>
      <c r="R3418" s="26"/>
    </row>
    <row r="3419" spans="1:18" ht="15.75" customHeight="1">
      <c r="A3419" s="26"/>
      <c r="B3419" s="86"/>
      <c r="D3419" s="26"/>
      <c r="F3419" s="87" t="str">
        <f t="shared" si="0"/>
        <v/>
      </c>
      <c r="H3419" s="26" t="str">
        <f t="shared" si="1"/>
        <v/>
      </c>
      <c r="I3419" s="26" t="str">
        <f t="shared" si="2"/>
        <v/>
      </c>
      <c r="J3419" s="86">
        <f t="shared" si="3"/>
        <v>0</v>
      </c>
      <c r="R3419" s="26"/>
    </row>
    <row r="3420" spans="1:18" ht="15.75" customHeight="1">
      <c r="A3420" s="26"/>
      <c r="B3420" s="86"/>
      <c r="D3420" s="26"/>
      <c r="F3420" s="87" t="str">
        <f t="shared" si="0"/>
        <v/>
      </c>
      <c r="H3420" s="26" t="str">
        <f t="shared" si="1"/>
        <v/>
      </c>
      <c r="I3420" s="26" t="str">
        <f t="shared" si="2"/>
        <v/>
      </c>
      <c r="J3420" s="86">
        <f t="shared" si="3"/>
        <v>0</v>
      </c>
      <c r="R3420" s="26"/>
    </row>
    <row r="3421" spans="1:18" ht="15.75" customHeight="1">
      <c r="A3421" s="26"/>
      <c r="B3421" s="86"/>
      <c r="D3421" s="26"/>
      <c r="F3421" s="87" t="str">
        <f t="shared" si="0"/>
        <v/>
      </c>
      <c r="H3421" s="26" t="str">
        <f t="shared" si="1"/>
        <v/>
      </c>
      <c r="I3421" s="26" t="str">
        <f t="shared" si="2"/>
        <v/>
      </c>
      <c r="J3421" s="86">
        <f t="shared" si="3"/>
        <v>0</v>
      </c>
      <c r="R3421" s="26"/>
    </row>
    <row r="3422" spans="1:18" ht="15.75" customHeight="1">
      <c r="A3422" s="26"/>
      <c r="B3422" s="86"/>
      <c r="D3422" s="26"/>
      <c r="F3422" s="87" t="str">
        <f t="shared" si="0"/>
        <v/>
      </c>
      <c r="H3422" s="26" t="str">
        <f t="shared" si="1"/>
        <v/>
      </c>
      <c r="I3422" s="26" t="str">
        <f t="shared" si="2"/>
        <v/>
      </c>
      <c r="J3422" s="86">
        <f t="shared" si="3"/>
        <v>0</v>
      </c>
      <c r="R3422" s="26"/>
    </row>
    <row r="3423" spans="1:18" ht="15.75" customHeight="1">
      <c r="A3423" s="26"/>
      <c r="B3423" s="86"/>
      <c r="D3423" s="26"/>
      <c r="F3423" s="87" t="str">
        <f t="shared" si="0"/>
        <v/>
      </c>
      <c r="H3423" s="26" t="str">
        <f t="shared" si="1"/>
        <v/>
      </c>
      <c r="I3423" s="26" t="str">
        <f t="shared" si="2"/>
        <v/>
      </c>
      <c r="J3423" s="86">
        <f t="shared" si="3"/>
        <v>0</v>
      </c>
      <c r="R3423" s="26"/>
    </row>
    <row r="3424" spans="1:18" ht="15.75" customHeight="1">
      <c r="A3424" s="26"/>
      <c r="B3424" s="86"/>
      <c r="D3424" s="26"/>
      <c r="F3424" s="87" t="str">
        <f t="shared" si="0"/>
        <v/>
      </c>
      <c r="H3424" s="26" t="str">
        <f t="shared" si="1"/>
        <v/>
      </c>
      <c r="I3424" s="26" t="str">
        <f t="shared" si="2"/>
        <v/>
      </c>
      <c r="J3424" s="86">
        <f t="shared" si="3"/>
        <v>0</v>
      </c>
      <c r="R3424" s="26"/>
    </row>
    <row r="3425" spans="1:18" ht="15.75" customHeight="1">
      <c r="A3425" s="26"/>
      <c r="B3425" s="86"/>
      <c r="D3425" s="26"/>
      <c r="F3425" s="87" t="str">
        <f t="shared" si="0"/>
        <v/>
      </c>
      <c r="H3425" s="26" t="str">
        <f t="shared" si="1"/>
        <v/>
      </c>
      <c r="I3425" s="26" t="str">
        <f t="shared" si="2"/>
        <v/>
      </c>
      <c r="J3425" s="86">
        <f t="shared" si="3"/>
        <v>0</v>
      </c>
      <c r="R3425" s="26"/>
    </row>
    <row r="3426" spans="1:18" ht="15.75" customHeight="1">
      <c r="A3426" s="26"/>
      <c r="B3426" s="86"/>
      <c r="D3426" s="26"/>
      <c r="F3426" s="87" t="str">
        <f t="shared" si="0"/>
        <v/>
      </c>
      <c r="H3426" s="26" t="str">
        <f t="shared" si="1"/>
        <v/>
      </c>
      <c r="I3426" s="26" t="str">
        <f t="shared" si="2"/>
        <v/>
      </c>
      <c r="J3426" s="86">
        <f t="shared" si="3"/>
        <v>0</v>
      </c>
      <c r="R3426" s="26"/>
    </row>
    <row r="3427" spans="1:18" ht="15.75" customHeight="1">
      <c r="A3427" s="26"/>
      <c r="B3427" s="86"/>
      <c r="D3427" s="26"/>
      <c r="F3427" s="87" t="str">
        <f t="shared" si="0"/>
        <v/>
      </c>
      <c r="H3427" s="26" t="str">
        <f t="shared" si="1"/>
        <v/>
      </c>
      <c r="I3427" s="26" t="str">
        <f t="shared" si="2"/>
        <v/>
      </c>
      <c r="J3427" s="86">
        <f t="shared" si="3"/>
        <v>0</v>
      </c>
      <c r="R3427" s="26"/>
    </row>
    <row r="3428" spans="1:18" ht="15.75" customHeight="1">
      <c r="A3428" s="26"/>
      <c r="B3428" s="86"/>
      <c r="D3428" s="26"/>
      <c r="F3428" s="87" t="str">
        <f t="shared" si="0"/>
        <v/>
      </c>
      <c r="H3428" s="26" t="str">
        <f t="shared" si="1"/>
        <v/>
      </c>
      <c r="I3428" s="26" t="str">
        <f t="shared" si="2"/>
        <v/>
      </c>
      <c r="J3428" s="86">
        <f t="shared" si="3"/>
        <v>0</v>
      </c>
      <c r="R3428" s="26"/>
    </row>
    <row r="3429" spans="1:18" ht="15.75" customHeight="1">
      <c r="A3429" s="26"/>
      <c r="B3429" s="86"/>
      <c r="D3429" s="26"/>
      <c r="F3429" s="87" t="str">
        <f t="shared" si="0"/>
        <v/>
      </c>
      <c r="H3429" s="26" t="str">
        <f t="shared" si="1"/>
        <v/>
      </c>
      <c r="I3429" s="26" t="str">
        <f t="shared" si="2"/>
        <v/>
      </c>
      <c r="J3429" s="86">
        <f t="shared" si="3"/>
        <v>0</v>
      </c>
      <c r="R3429" s="26"/>
    </row>
    <row r="3430" spans="1:18" ht="15.75" customHeight="1">
      <c r="A3430" s="26"/>
      <c r="B3430" s="86"/>
      <c r="D3430" s="26"/>
      <c r="F3430" s="87" t="str">
        <f t="shared" si="0"/>
        <v/>
      </c>
      <c r="H3430" s="26" t="str">
        <f t="shared" si="1"/>
        <v/>
      </c>
      <c r="I3430" s="26" t="str">
        <f t="shared" si="2"/>
        <v/>
      </c>
      <c r="J3430" s="86">
        <f t="shared" si="3"/>
        <v>0</v>
      </c>
      <c r="R3430" s="26"/>
    </row>
    <row r="3431" spans="1:18" ht="15.75" customHeight="1">
      <c r="A3431" s="26"/>
      <c r="B3431" s="86"/>
      <c r="D3431" s="26"/>
      <c r="F3431" s="87" t="str">
        <f t="shared" si="0"/>
        <v/>
      </c>
      <c r="H3431" s="26" t="str">
        <f t="shared" si="1"/>
        <v/>
      </c>
      <c r="I3431" s="26" t="str">
        <f t="shared" si="2"/>
        <v/>
      </c>
      <c r="J3431" s="86">
        <f t="shared" si="3"/>
        <v>0</v>
      </c>
      <c r="R3431" s="26"/>
    </row>
    <row r="3432" spans="1:18" ht="15.75" customHeight="1">
      <c r="A3432" s="26"/>
      <c r="B3432" s="86"/>
      <c r="D3432" s="26"/>
      <c r="F3432" s="87" t="str">
        <f t="shared" si="0"/>
        <v/>
      </c>
      <c r="H3432" s="26" t="str">
        <f t="shared" si="1"/>
        <v/>
      </c>
      <c r="I3432" s="26" t="str">
        <f t="shared" si="2"/>
        <v/>
      </c>
      <c r="J3432" s="86">
        <f t="shared" si="3"/>
        <v>0</v>
      </c>
      <c r="R3432" s="26"/>
    </row>
    <row r="3433" spans="1:18" ht="15.75" customHeight="1">
      <c r="A3433" s="26"/>
      <c r="B3433" s="86"/>
      <c r="D3433" s="26"/>
      <c r="F3433" s="87" t="str">
        <f t="shared" si="0"/>
        <v/>
      </c>
      <c r="H3433" s="26" t="str">
        <f t="shared" si="1"/>
        <v/>
      </c>
      <c r="I3433" s="26" t="str">
        <f t="shared" si="2"/>
        <v/>
      </c>
      <c r="J3433" s="86">
        <f t="shared" si="3"/>
        <v>0</v>
      </c>
      <c r="R3433" s="26"/>
    </row>
    <row r="3434" spans="1:18" ht="15.75" customHeight="1">
      <c r="A3434" s="26"/>
      <c r="B3434" s="86"/>
      <c r="D3434" s="26"/>
      <c r="F3434" s="87" t="str">
        <f t="shared" si="0"/>
        <v/>
      </c>
      <c r="H3434" s="26" t="str">
        <f t="shared" si="1"/>
        <v/>
      </c>
      <c r="I3434" s="26" t="str">
        <f t="shared" si="2"/>
        <v/>
      </c>
      <c r="J3434" s="86">
        <f t="shared" si="3"/>
        <v>0</v>
      </c>
      <c r="R3434" s="26"/>
    </row>
    <row r="3435" spans="1:18" ht="15.75" customHeight="1">
      <c r="A3435" s="26"/>
      <c r="B3435" s="86"/>
      <c r="D3435" s="26"/>
      <c r="F3435" s="87" t="str">
        <f t="shared" si="0"/>
        <v/>
      </c>
      <c r="H3435" s="26" t="str">
        <f t="shared" si="1"/>
        <v/>
      </c>
      <c r="I3435" s="26" t="str">
        <f t="shared" si="2"/>
        <v/>
      </c>
      <c r="J3435" s="86">
        <f t="shared" si="3"/>
        <v>0</v>
      </c>
      <c r="R3435" s="26"/>
    </row>
    <row r="3436" spans="1:18" ht="15.75" customHeight="1">
      <c r="A3436" s="26"/>
      <c r="B3436" s="86"/>
      <c r="D3436" s="26"/>
      <c r="F3436" s="87" t="str">
        <f t="shared" si="0"/>
        <v/>
      </c>
      <c r="H3436" s="26" t="str">
        <f t="shared" si="1"/>
        <v/>
      </c>
      <c r="I3436" s="26" t="str">
        <f t="shared" si="2"/>
        <v/>
      </c>
      <c r="J3436" s="86">
        <f t="shared" si="3"/>
        <v>0</v>
      </c>
      <c r="R3436" s="26"/>
    </row>
    <row r="3437" spans="1:18" ht="15.75" customHeight="1">
      <c r="A3437" s="26"/>
      <c r="B3437" s="86"/>
      <c r="D3437" s="26"/>
      <c r="F3437" s="87" t="str">
        <f t="shared" si="0"/>
        <v/>
      </c>
      <c r="H3437" s="26" t="str">
        <f t="shared" si="1"/>
        <v/>
      </c>
      <c r="I3437" s="26" t="str">
        <f t="shared" si="2"/>
        <v/>
      </c>
      <c r="J3437" s="86">
        <f t="shared" si="3"/>
        <v>0</v>
      </c>
      <c r="R3437" s="26"/>
    </row>
    <row r="3438" spans="1:18" ht="15.75" customHeight="1">
      <c r="A3438" s="26"/>
      <c r="B3438" s="86"/>
      <c r="D3438" s="26"/>
      <c r="F3438" s="87" t="str">
        <f t="shared" si="0"/>
        <v/>
      </c>
      <c r="H3438" s="26" t="str">
        <f t="shared" si="1"/>
        <v/>
      </c>
      <c r="I3438" s="26" t="str">
        <f t="shared" si="2"/>
        <v/>
      </c>
      <c r="J3438" s="86">
        <f t="shared" si="3"/>
        <v>0</v>
      </c>
      <c r="R3438" s="26"/>
    </row>
    <row r="3439" spans="1:18" ht="15.75" customHeight="1">
      <c r="A3439" s="26"/>
      <c r="B3439" s="86"/>
      <c r="D3439" s="26"/>
      <c r="F3439" s="87" t="str">
        <f t="shared" si="0"/>
        <v/>
      </c>
      <c r="H3439" s="26" t="str">
        <f t="shared" si="1"/>
        <v/>
      </c>
      <c r="I3439" s="26" t="str">
        <f t="shared" si="2"/>
        <v/>
      </c>
      <c r="J3439" s="86">
        <f t="shared" si="3"/>
        <v>0</v>
      </c>
      <c r="R3439" s="26"/>
    </row>
    <row r="3440" spans="1:18" ht="15.75" customHeight="1">
      <c r="A3440" s="26"/>
      <c r="B3440" s="86"/>
      <c r="D3440" s="26"/>
      <c r="F3440" s="87" t="str">
        <f t="shared" si="0"/>
        <v/>
      </c>
      <c r="H3440" s="26" t="str">
        <f t="shared" si="1"/>
        <v/>
      </c>
      <c r="I3440" s="26" t="str">
        <f t="shared" si="2"/>
        <v/>
      </c>
      <c r="J3440" s="86">
        <f t="shared" si="3"/>
        <v>0</v>
      </c>
      <c r="R3440" s="26"/>
    </row>
    <row r="3441" spans="1:18" ht="15.75" customHeight="1">
      <c r="A3441" s="26"/>
      <c r="B3441" s="86"/>
      <c r="D3441" s="26"/>
      <c r="F3441" s="87" t="str">
        <f t="shared" si="0"/>
        <v/>
      </c>
      <c r="H3441" s="26" t="str">
        <f t="shared" si="1"/>
        <v/>
      </c>
      <c r="I3441" s="26" t="str">
        <f t="shared" si="2"/>
        <v/>
      </c>
      <c r="J3441" s="86">
        <f t="shared" si="3"/>
        <v>0</v>
      </c>
      <c r="R3441" s="26"/>
    </row>
    <row r="3442" spans="1:18" ht="15.75" customHeight="1">
      <c r="A3442" s="26"/>
      <c r="B3442" s="86"/>
      <c r="D3442" s="26"/>
      <c r="F3442" s="87" t="str">
        <f t="shared" si="0"/>
        <v/>
      </c>
      <c r="H3442" s="26" t="str">
        <f t="shared" si="1"/>
        <v/>
      </c>
      <c r="I3442" s="26" t="str">
        <f t="shared" si="2"/>
        <v/>
      </c>
      <c r="J3442" s="86">
        <f t="shared" si="3"/>
        <v>0</v>
      </c>
      <c r="R3442" s="26"/>
    </row>
    <row r="3443" spans="1:18" ht="15.75" customHeight="1">
      <c r="A3443" s="26"/>
      <c r="B3443" s="86"/>
      <c r="D3443" s="26"/>
      <c r="F3443" s="87" t="str">
        <f t="shared" si="0"/>
        <v/>
      </c>
      <c r="H3443" s="26" t="str">
        <f t="shared" si="1"/>
        <v/>
      </c>
      <c r="I3443" s="26" t="str">
        <f t="shared" si="2"/>
        <v/>
      </c>
      <c r="J3443" s="86">
        <f t="shared" si="3"/>
        <v>0</v>
      </c>
      <c r="R3443" s="26"/>
    </row>
    <row r="3444" spans="1:18" ht="15.75" customHeight="1">
      <c r="A3444" s="26"/>
      <c r="B3444" s="86"/>
      <c r="D3444" s="26"/>
      <c r="F3444" s="87" t="str">
        <f t="shared" si="0"/>
        <v/>
      </c>
      <c r="H3444" s="26" t="str">
        <f t="shared" si="1"/>
        <v/>
      </c>
      <c r="I3444" s="26" t="str">
        <f t="shared" si="2"/>
        <v/>
      </c>
      <c r="J3444" s="86">
        <f t="shared" si="3"/>
        <v>0</v>
      </c>
      <c r="R3444" s="26"/>
    </row>
    <row r="3445" spans="1:18" ht="15.75" customHeight="1">
      <c r="A3445" s="26"/>
      <c r="B3445" s="86"/>
      <c r="D3445" s="26"/>
      <c r="F3445" s="87" t="str">
        <f t="shared" si="0"/>
        <v/>
      </c>
      <c r="H3445" s="26" t="str">
        <f t="shared" si="1"/>
        <v/>
      </c>
      <c r="I3445" s="26" t="str">
        <f t="shared" si="2"/>
        <v/>
      </c>
      <c r="J3445" s="86">
        <f t="shared" si="3"/>
        <v>0</v>
      </c>
      <c r="R3445" s="26"/>
    </row>
    <row r="3446" spans="1:18" ht="15.75" customHeight="1">
      <c r="A3446" s="26"/>
      <c r="B3446" s="86"/>
      <c r="D3446" s="26"/>
      <c r="F3446" s="87" t="str">
        <f t="shared" si="0"/>
        <v/>
      </c>
      <c r="H3446" s="26" t="str">
        <f t="shared" si="1"/>
        <v/>
      </c>
      <c r="I3446" s="26" t="str">
        <f t="shared" si="2"/>
        <v/>
      </c>
      <c r="J3446" s="86">
        <f t="shared" si="3"/>
        <v>0</v>
      </c>
      <c r="R3446" s="26"/>
    </row>
    <row r="3447" spans="1:18" ht="15.75" customHeight="1">
      <c r="A3447" s="26"/>
      <c r="B3447" s="86"/>
      <c r="D3447" s="26"/>
      <c r="F3447" s="87" t="str">
        <f t="shared" si="0"/>
        <v/>
      </c>
      <c r="H3447" s="26" t="str">
        <f t="shared" si="1"/>
        <v/>
      </c>
      <c r="I3447" s="26" t="str">
        <f t="shared" si="2"/>
        <v/>
      </c>
      <c r="J3447" s="86">
        <f t="shared" si="3"/>
        <v>0</v>
      </c>
      <c r="R3447" s="26"/>
    </row>
    <row r="3448" spans="1:18" ht="15.75" customHeight="1">
      <c r="A3448" s="26"/>
      <c r="B3448" s="86"/>
      <c r="D3448" s="26"/>
      <c r="F3448" s="87" t="str">
        <f t="shared" si="0"/>
        <v/>
      </c>
      <c r="H3448" s="26" t="str">
        <f t="shared" si="1"/>
        <v/>
      </c>
      <c r="I3448" s="26" t="str">
        <f t="shared" si="2"/>
        <v/>
      </c>
      <c r="J3448" s="86">
        <f t="shared" si="3"/>
        <v>0</v>
      </c>
      <c r="R3448" s="26"/>
    </row>
    <row r="3449" spans="1:18" ht="15.75" customHeight="1">
      <c r="A3449" s="26"/>
      <c r="B3449" s="86"/>
      <c r="D3449" s="26"/>
      <c r="F3449" s="87" t="str">
        <f t="shared" si="0"/>
        <v/>
      </c>
      <c r="H3449" s="26" t="str">
        <f t="shared" si="1"/>
        <v/>
      </c>
      <c r="I3449" s="26" t="str">
        <f t="shared" si="2"/>
        <v/>
      </c>
      <c r="J3449" s="86">
        <f t="shared" si="3"/>
        <v>0</v>
      </c>
      <c r="R3449" s="26"/>
    </row>
    <row r="3450" spans="1:18" ht="15.75" customHeight="1">
      <c r="A3450" s="26"/>
      <c r="B3450" s="86"/>
      <c r="D3450" s="26"/>
      <c r="F3450" s="87" t="str">
        <f t="shared" si="0"/>
        <v/>
      </c>
      <c r="H3450" s="26" t="str">
        <f t="shared" si="1"/>
        <v/>
      </c>
      <c r="I3450" s="26" t="str">
        <f t="shared" si="2"/>
        <v/>
      </c>
      <c r="J3450" s="86">
        <f t="shared" si="3"/>
        <v>0</v>
      </c>
      <c r="R3450" s="26"/>
    </row>
    <row r="3451" spans="1:18" ht="15.75" customHeight="1">
      <c r="A3451" s="26"/>
      <c r="B3451" s="86"/>
      <c r="D3451" s="26"/>
      <c r="F3451" s="87" t="str">
        <f t="shared" si="0"/>
        <v/>
      </c>
      <c r="H3451" s="26" t="str">
        <f t="shared" si="1"/>
        <v/>
      </c>
      <c r="I3451" s="26" t="str">
        <f t="shared" si="2"/>
        <v/>
      </c>
      <c r="J3451" s="86">
        <f t="shared" si="3"/>
        <v>0</v>
      </c>
      <c r="R3451" s="26"/>
    </row>
    <row r="3452" spans="1:18" ht="15.75" customHeight="1">
      <c r="A3452" s="26"/>
      <c r="B3452" s="86"/>
      <c r="D3452" s="26"/>
      <c r="F3452" s="87" t="str">
        <f t="shared" si="0"/>
        <v/>
      </c>
      <c r="H3452" s="26" t="str">
        <f t="shared" si="1"/>
        <v/>
      </c>
      <c r="I3452" s="26" t="str">
        <f t="shared" si="2"/>
        <v/>
      </c>
      <c r="J3452" s="86">
        <f t="shared" si="3"/>
        <v>0</v>
      </c>
      <c r="R3452" s="26"/>
    </row>
    <row r="3453" spans="1:18" ht="15.75" customHeight="1">
      <c r="A3453" s="26"/>
      <c r="B3453" s="86"/>
      <c r="D3453" s="26"/>
      <c r="F3453" s="87" t="str">
        <f t="shared" si="0"/>
        <v/>
      </c>
      <c r="H3453" s="26" t="str">
        <f t="shared" si="1"/>
        <v/>
      </c>
      <c r="I3453" s="26" t="str">
        <f t="shared" si="2"/>
        <v/>
      </c>
      <c r="J3453" s="86">
        <f t="shared" si="3"/>
        <v>0</v>
      </c>
      <c r="R3453" s="26"/>
    </row>
    <row r="3454" spans="1:18" ht="15.75" customHeight="1">
      <c r="A3454" s="26"/>
      <c r="B3454" s="86"/>
      <c r="D3454" s="26"/>
      <c r="F3454" s="87" t="str">
        <f t="shared" si="0"/>
        <v/>
      </c>
      <c r="H3454" s="26" t="str">
        <f t="shared" si="1"/>
        <v/>
      </c>
      <c r="I3454" s="26" t="str">
        <f t="shared" si="2"/>
        <v/>
      </c>
      <c r="J3454" s="86">
        <f t="shared" si="3"/>
        <v>0</v>
      </c>
      <c r="R3454" s="26"/>
    </row>
    <row r="3455" spans="1:18" ht="15.75" customHeight="1">
      <c r="A3455" s="26"/>
      <c r="B3455" s="86"/>
      <c r="D3455" s="26"/>
      <c r="F3455" s="87" t="str">
        <f t="shared" si="0"/>
        <v/>
      </c>
      <c r="H3455" s="26" t="str">
        <f t="shared" si="1"/>
        <v/>
      </c>
      <c r="I3455" s="26" t="str">
        <f t="shared" si="2"/>
        <v/>
      </c>
      <c r="J3455" s="86">
        <f t="shared" si="3"/>
        <v>0</v>
      </c>
      <c r="R3455" s="26"/>
    </row>
    <row r="3456" spans="1:18" ht="15.75" customHeight="1">
      <c r="A3456" s="26"/>
      <c r="B3456" s="86"/>
      <c r="D3456" s="26"/>
      <c r="F3456" s="87" t="str">
        <f t="shared" si="0"/>
        <v/>
      </c>
      <c r="H3456" s="26" t="str">
        <f t="shared" si="1"/>
        <v/>
      </c>
      <c r="I3456" s="26" t="str">
        <f t="shared" si="2"/>
        <v/>
      </c>
      <c r="J3456" s="86">
        <f t="shared" si="3"/>
        <v>0</v>
      </c>
      <c r="R3456" s="26"/>
    </row>
    <row r="3457" spans="1:18" ht="15.75" customHeight="1">
      <c r="A3457" s="26"/>
      <c r="B3457" s="86"/>
      <c r="D3457" s="26"/>
      <c r="F3457" s="87" t="str">
        <f t="shared" si="0"/>
        <v/>
      </c>
      <c r="H3457" s="26" t="str">
        <f t="shared" si="1"/>
        <v/>
      </c>
      <c r="I3457" s="26" t="str">
        <f t="shared" si="2"/>
        <v/>
      </c>
      <c r="J3457" s="86">
        <f t="shared" si="3"/>
        <v>0</v>
      </c>
      <c r="R3457" s="26"/>
    </row>
    <row r="3458" spans="1:18" ht="15.75" customHeight="1">
      <c r="A3458" s="26"/>
      <c r="B3458" s="86"/>
      <c r="D3458" s="26"/>
      <c r="F3458" s="87" t="str">
        <f t="shared" si="0"/>
        <v/>
      </c>
      <c r="H3458" s="26" t="str">
        <f t="shared" si="1"/>
        <v/>
      </c>
      <c r="I3458" s="26" t="str">
        <f t="shared" si="2"/>
        <v/>
      </c>
      <c r="J3458" s="86">
        <f t="shared" si="3"/>
        <v>0</v>
      </c>
      <c r="R3458" s="26"/>
    </row>
    <row r="3459" spans="1:18" ht="15.75" customHeight="1">
      <c r="A3459" s="26"/>
      <c r="B3459" s="86"/>
      <c r="D3459" s="26"/>
      <c r="F3459" s="87" t="str">
        <f t="shared" si="0"/>
        <v/>
      </c>
      <c r="H3459" s="26" t="str">
        <f t="shared" si="1"/>
        <v/>
      </c>
      <c r="I3459" s="26" t="str">
        <f t="shared" si="2"/>
        <v/>
      </c>
      <c r="J3459" s="86">
        <f t="shared" si="3"/>
        <v>0</v>
      </c>
      <c r="R3459" s="26"/>
    </row>
    <row r="3460" spans="1:18" ht="15.75" customHeight="1">
      <c r="A3460" s="26"/>
      <c r="B3460" s="86"/>
      <c r="D3460" s="26"/>
      <c r="F3460" s="87" t="str">
        <f t="shared" si="0"/>
        <v/>
      </c>
      <c r="H3460" s="26" t="str">
        <f t="shared" si="1"/>
        <v/>
      </c>
      <c r="I3460" s="26" t="str">
        <f t="shared" si="2"/>
        <v/>
      </c>
      <c r="J3460" s="86">
        <f t="shared" si="3"/>
        <v>0</v>
      </c>
      <c r="R3460" s="26"/>
    </row>
    <row r="3461" spans="1:18" ht="15.75" customHeight="1">
      <c r="A3461" s="26"/>
      <c r="B3461" s="86"/>
      <c r="D3461" s="26"/>
      <c r="F3461" s="87" t="str">
        <f t="shared" si="0"/>
        <v/>
      </c>
      <c r="H3461" s="26" t="str">
        <f t="shared" si="1"/>
        <v/>
      </c>
      <c r="I3461" s="26" t="str">
        <f t="shared" si="2"/>
        <v/>
      </c>
      <c r="J3461" s="86">
        <f t="shared" si="3"/>
        <v>0</v>
      </c>
      <c r="R3461" s="26"/>
    </row>
    <row r="3462" spans="1:18" ht="15.75" customHeight="1">
      <c r="A3462" s="26"/>
      <c r="B3462" s="86"/>
      <c r="D3462" s="26"/>
      <c r="F3462" s="87" t="str">
        <f t="shared" si="0"/>
        <v/>
      </c>
      <c r="H3462" s="26" t="str">
        <f t="shared" si="1"/>
        <v/>
      </c>
      <c r="I3462" s="26" t="str">
        <f t="shared" si="2"/>
        <v/>
      </c>
      <c r="J3462" s="86">
        <f t="shared" si="3"/>
        <v>0</v>
      </c>
      <c r="R3462" s="26"/>
    </row>
    <row r="3463" spans="1:18" ht="15.75" customHeight="1">
      <c r="A3463" s="26"/>
      <c r="B3463" s="86"/>
      <c r="D3463" s="26"/>
      <c r="F3463" s="87" t="str">
        <f t="shared" si="0"/>
        <v/>
      </c>
      <c r="H3463" s="26" t="str">
        <f t="shared" si="1"/>
        <v/>
      </c>
      <c r="I3463" s="26" t="str">
        <f t="shared" si="2"/>
        <v/>
      </c>
      <c r="J3463" s="86">
        <f t="shared" si="3"/>
        <v>0</v>
      </c>
      <c r="R3463" s="26"/>
    </row>
    <row r="3464" spans="1:18" ht="15.75" customHeight="1">
      <c r="A3464" s="26"/>
      <c r="B3464" s="86"/>
      <c r="D3464" s="26"/>
      <c r="F3464" s="87" t="str">
        <f t="shared" si="0"/>
        <v/>
      </c>
      <c r="H3464" s="26" t="str">
        <f t="shared" si="1"/>
        <v/>
      </c>
      <c r="I3464" s="26" t="str">
        <f t="shared" si="2"/>
        <v/>
      </c>
      <c r="J3464" s="86">
        <f t="shared" si="3"/>
        <v>0</v>
      </c>
      <c r="R3464" s="26"/>
    </row>
    <row r="3465" spans="1:18" ht="15.75" customHeight="1">
      <c r="A3465" s="26"/>
      <c r="B3465" s="86"/>
      <c r="D3465" s="26"/>
      <c r="F3465" s="87" t="str">
        <f t="shared" si="0"/>
        <v/>
      </c>
      <c r="H3465" s="26" t="str">
        <f t="shared" si="1"/>
        <v/>
      </c>
      <c r="I3465" s="26" t="str">
        <f t="shared" si="2"/>
        <v/>
      </c>
      <c r="J3465" s="86">
        <f t="shared" si="3"/>
        <v>0</v>
      </c>
      <c r="R3465" s="26"/>
    </row>
    <row r="3466" spans="1:18" ht="15.75" customHeight="1">
      <c r="A3466" s="26"/>
      <c r="B3466" s="86"/>
      <c r="D3466" s="26"/>
      <c r="F3466" s="87" t="str">
        <f t="shared" si="0"/>
        <v/>
      </c>
      <c r="H3466" s="26" t="str">
        <f t="shared" si="1"/>
        <v/>
      </c>
      <c r="I3466" s="26" t="str">
        <f t="shared" si="2"/>
        <v/>
      </c>
      <c r="J3466" s="86">
        <f t="shared" si="3"/>
        <v>0</v>
      </c>
      <c r="R3466" s="26"/>
    </row>
    <row r="3467" spans="1:18" ht="15.75" customHeight="1">
      <c r="A3467" s="26"/>
      <c r="B3467" s="86"/>
      <c r="D3467" s="26"/>
      <c r="F3467" s="87" t="str">
        <f t="shared" si="0"/>
        <v/>
      </c>
      <c r="H3467" s="26" t="str">
        <f t="shared" si="1"/>
        <v/>
      </c>
      <c r="I3467" s="26" t="str">
        <f t="shared" si="2"/>
        <v/>
      </c>
      <c r="J3467" s="86">
        <f t="shared" si="3"/>
        <v>0</v>
      </c>
      <c r="R3467" s="26"/>
    </row>
    <row r="3468" spans="1:18" ht="15.75" customHeight="1">
      <c r="A3468" s="26"/>
      <c r="B3468" s="86"/>
      <c r="D3468" s="26"/>
      <c r="F3468" s="87" t="str">
        <f t="shared" si="0"/>
        <v/>
      </c>
      <c r="H3468" s="26" t="str">
        <f t="shared" si="1"/>
        <v/>
      </c>
      <c r="I3468" s="26" t="str">
        <f t="shared" si="2"/>
        <v/>
      </c>
      <c r="J3468" s="86">
        <f t="shared" si="3"/>
        <v>0</v>
      </c>
      <c r="R3468" s="26"/>
    </row>
    <row r="3469" spans="1:18" ht="15.75" customHeight="1">
      <c r="A3469" s="26"/>
      <c r="B3469" s="86"/>
      <c r="D3469" s="26"/>
      <c r="F3469" s="87" t="str">
        <f t="shared" si="0"/>
        <v/>
      </c>
      <c r="H3469" s="26" t="str">
        <f t="shared" si="1"/>
        <v/>
      </c>
      <c r="I3469" s="26" t="str">
        <f t="shared" si="2"/>
        <v/>
      </c>
      <c r="J3469" s="86">
        <f t="shared" si="3"/>
        <v>0</v>
      </c>
      <c r="R3469" s="26"/>
    </row>
    <row r="3470" spans="1:18" ht="15.75" customHeight="1">
      <c r="A3470" s="26"/>
      <c r="B3470" s="86"/>
      <c r="D3470" s="26"/>
      <c r="F3470" s="87" t="str">
        <f t="shared" si="0"/>
        <v/>
      </c>
      <c r="H3470" s="26" t="str">
        <f t="shared" si="1"/>
        <v/>
      </c>
      <c r="I3470" s="26" t="str">
        <f t="shared" si="2"/>
        <v/>
      </c>
      <c r="J3470" s="86">
        <f t="shared" si="3"/>
        <v>0</v>
      </c>
      <c r="R3470" s="26"/>
    </row>
    <row r="3471" spans="1:18" ht="15.75" customHeight="1">
      <c r="A3471" s="26"/>
      <c r="B3471" s="86"/>
      <c r="D3471" s="26"/>
      <c r="F3471" s="87" t="str">
        <f t="shared" si="0"/>
        <v/>
      </c>
      <c r="H3471" s="26" t="str">
        <f t="shared" si="1"/>
        <v/>
      </c>
      <c r="I3471" s="26" t="str">
        <f t="shared" si="2"/>
        <v/>
      </c>
      <c r="J3471" s="86">
        <f t="shared" si="3"/>
        <v>0</v>
      </c>
      <c r="R3471" s="26"/>
    </row>
    <row r="3472" spans="1:18" ht="15.75" customHeight="1">
      <c r="A3472" s="26"/>
      <c r="B3472" s="86"/>
      <c r="D3472" s="26"/>
      <c r="F3472" s="87" t="str">
        <f t="shared" si="0"/>
        <v/>
      </c>
      <c r="H3472" s="26" t="str">
        <f t="shared" si="1"/>
        <v/>
      </c>
      <c r="I3472" s="26" t="str">
        <f t="shared" si="2"/>
        <v/>
      </c>
      <c r="J3472" s="86">
        <f t="shared" si="3"/>
        <v>0</v>
      </c>
      <c r="R3472" s="26"/>
    </row>
    <row r="3473" spans="1:18" ht="15.75" customHeight="1">
      <c r="A3473" s="26"/>
      <c r="B3473" s="86"/>
      <c r="D3473" s="26"/>
      <c r="F3473" s="87" t="str">
        <f t="shared" si="0"/>
        <v/>
      </c>
      <c r="H3473" s="26" t="str">
        <f t="shared" si="1"/>
        <v/>
      </c>
      <c r="I3473" s="26" t="str">
        <f t="shared" si="2"/>
        <v/>
      </c>
      <c r="J3473" s="86">
        <f t="shared" si="3"/>
        <v>0</v>
      </c>
      <c r="R3473" s="26"/>
    </row>
    <row r="3474" spans="1:18" ht="15.75" customHeight="1">
      <c r="A3474" s="26"/>
      <c r="B3474" s="86"/>
      <c r="D3474" s="26"/>
      <c r="F3474" s="87" t="str">
        <f t="shared" si="0"/>
        <v/>
      </c>
      <c r="H3474" s="26" t="str">
        <f t="shared" si="1"/>
        <v/>
      </c>
      <c r="I3474" s="26" t="str">
        <f t="shared" si="2"/>
        <v/>
      </c>
      <c r="J3474" s="86">
        <f t="shared" si="3"/>
        <v>0</v>
      </c>
      <c r="R3474" s="26"/>
    </row>
    <row r="3475" spans="1:18" ht="15.75" customHeight="1">
      <c r="A3475" s="26"/>
      <c r="B3475" s="86"/>
      <c r="D3475" s="26"/>
      <c r="F3475" s="87" t="str">
        <f t="shared" si="0"/>
        <v/>
      </c>
      <c r="H3475" s="26" t="str">
        <f t="shared" si="1"/>
        <v/>
      </c>
      <c r="I3475" s="26" t="str">
        <f t="shared" si="2"/>
        <v/>
      </c>
      <c r="J3475" s="86">
        <f t="shared" si="3"/>
        <v>0</v>
      </c>
      <c r="R3475" s="26"/>
    </row>
    <row r="3476" spans="1:18" ht="15.75" customHeight="1">
      <c r="A3476" s="26"/>
      <c r="B3476" s="86"/>
      <c r="D3476" s="26"/>
      <c r="F3476" s="87" t="str">
        <f t="shared" si="0"/>
        <v/>
      </c>
      <c r="H3476" s="26" t="str">
        <f t="shared" si="1"/>
        <v/>
      </c>
      <c r="I3476" s="26" t="str">
        <f t="shared" si="2"/>
        <v/>
      </c>
      <c r="J3476" s="86">
        <f t="shared" si="3"/>
        <v>0</v>
      </c>
      <c r="R3476" s="26"/>
    </row>
    <row r="3477" spans="1:18" ht="15.75" customHeight="1">
      <c r="A3477" s="26"/>
      <c r="B3477" s="86"/>
      <c r="D3477" s="26"/>
      <c r="F3477" s="87" t="str">
        <f t="shared" si="0"/>
        <v/>
      </c>
      <c r="H3477" s="26" t="str">
        <f t="shared" si="1"/>
        <v/>
      </c>
      <c r="I3477" s="26" t="str">
        <f t="shared" si="2"/>
        <v/>
      </c>
      <c r="J3477" s="86">
        <f t="shared" si="3"/>
        <v>0</v>
      </c>
      <c r="R3477" s="26"/>
    </row>
    <row r="3478" spans="1:18" ht="15.75" customHeight="1">
      <c r="A3478" s="26"/>
      <c r="B3478" s="86"/>
      <c r="D3478" s="26"/>
      <c r="F3478" s="87" t="str">
        <f t="shared" si="0"/>
        <v/>
      </c>
      <c r="H3478" s="26" t="str">
        <f t="shared" si="1"/>
        <v/>
      </c>
      <c r="I3478" s="26" t="str">
        <f t="shared" si="2"/>
        <v/>
      </c>
      <c r="J3478" s="86">
        <f t="shared" si="3"/>
        <v>0</v>
      </c>
      <c r="R3478" s="26"/>
    </row>
    <row r="3479" spans="1:18" ht="15.75" customHeight="1">
      <c r="A3479" s="26"/>
      <c r="B3479" s="86"/>
      <c r="D3479" s="26"/>
      <c r="F3479" s="87" t="str">
        <f t="shared" si="0"/>
        <v/>
      </c>
      <c r="H3479" s="26" t="str">
        <f t="shared" si="1"/>
        <v/>
      </c>
      <c r="I3479" s="26" t="str">
        <f t="shared" si="2"/>
        <v/>
      </c>
      <c r="J3479" s="86">
        <f t="shared" si="3"/>
        <v>0</v>
      </c>
      <c r="R3479" s="26"/>
    </row>
    <row r="3480" spans="1:18" ht="15.75" customHeight="1">
      <c r="A3480" s="26"/>
      <c r="B3480" s="86"/>
      <c r="D3480" s="26"/>
      <c r="F3480" s="87" t="str">
        <f t="shared" si="0"/>
        <v/>
      </c>
      <c r="H3480" s="26" t="str">
        <f t="shared" si="1"/>
        <v/>
      </c>
      <c r="I3480" s="26" t="str">
        <f t="shared" si="2"/>
        <v/>
      </c>
      <c r="J3480" s="86">
        <f t="shared" si="3"/>
        <v>0</v>
      </c>
      <c r="R3480" s="26"/>
    </row>
    <row r="3481" spans="1:18" ht="15.75" customHeight="1">
      <c r="A3481" s="26"/>
      <c r="B3481" s="86"/>
      <c r="D3481" s="26"/>
      <c r="F3481" s="87" t="str">
        <f t="shared" si="0"/>
        <v/>
      </c>
      <c r="H3481" s="26" t="str">
        <f t="shared" si="1"/>
        <v/>
      </c>
      <c r="I3481" s="26" t="str">
        <f t="shared" si="2"/>
        <v/>
      </c>
      <c r="J3481" s="86">
        <f t="shared" si="3"/>
        <v>0</v>
      </c>
      <c r="R3481" s="26"/>
    </row>
    <row r="3482" spans="1:18" ht="15.75" customHeight="1">
      <c r="A3482" s="26"/>
      <c r="B3482" s="86"/>
      <c r="D3482" s="26"/>
      <c r="F3482" s="87" t="str">
        <f t="shared" si="0"/>
        <v/>
      </c>
      <c r="H3482" s="26" t="str">
        <f t="shared" si="1"/>
        <v/>
      </c>
      <c r="I3482" s="26" t="str">
        <f t="shared" si="2"/>
        <v/>
      </c>
      <c r="J3482" s="86">
        <f t="shared" si="3"/>
        <v>0</v>
      </c>
      <c r="R3482" s="26"/>
    </row>
    <row r="3483" spans="1:18" ht="15.75" customHeight="1">
      <c r="A3483" s="26"/>
      <c r="B3483" s="86"/>
      <c r="D3483" s="26"/>
      <c r="F3483" s="87" t="str">
        <f t="shared" si="0"/>
        <v/>
      </c>
      <c r="H3483" s="26" t="str">
        <f t="shared" si="1"/>
        <v/>
      </c>
      <c r="I3483" s="26" t="str">
        <f t="shared" si="2"/>
        <v/>
      </c>
      <c r="J3483" s="86">
        <f t="shared" si="3"/>
        <v>0</v>
      </c>
      <c r="R3483" s="26"/>
    </row>
    <row r="3484" spans="1:18" ht="15.75" customHeight="1">
      <c r="A3484" s="26"/>
      <c r="B3484" s="86"/>
      <c r="D3484" s="26"/>
      <c r="F3484" s="87" t="str">
        <f t="shared" si="0"/>
        <v/>
      </c>
      <c r="H3484" s="26" t="str">
        <f t="shared" si="1"/>
        <v/>
      </c>
      <c r="I3484" s="26" t="str">
        <f t="shared" si="2"/>
        <v/>
      </c>
      <c r="J3484" s="86">
        <f t="shared" si="3"/>
        <v>0</v>
      </c>
      <c r="R3484" s="26"/>
    </row>
    <row r="3485" spans="1:18" ht="15.75" customHeight="1">
      <c r="A3485" s="26"/>
      <c r="B3485" s="86"/>
      <c r="D3485" s="26"/>
      <c r="F3485" s="87" t="str">
        <f t="shared" si="0"/>
        <v/>
      </c>
      <c r="H3485" s="26" t="str">
        <f t="shared" si="1"/>
        <v/>
      </c>
      <c r="I3485" s="26" t="str">
        <f t="shared" si="2"/>
        <v/>
      </c>
      <c r="J3485" s="86">
        <f t="shared" si="3"/>
        <v>0</v>
      </c>
      <c r="R3485" s="26"/>
    </row>
    <row r="3486" spans="1:18" ht="15.75" customHeight="1">
      <c r="A3486" s="26"/>
      <c r="B3486" s="86"/>
      <c r="D3486" s="26"/>
      <c r="F3486" s="87" t="str">
        <f t="shared" si="0"/>
        <v/>
      </c>
      <c r="H3486" s="26" t="str">
        <f t="shared" si="1"/>
        <v/>
      </c>
      <c r="I3486" s="26" t="str">
        <f t="shared" si="2"/>
        <v/>
      </c>
      <c r="J3486" s="86">
        <f t="shared" si="3"/>
        <v>0</v>
      </c>
      <c r="R3486" s="26"/>
    </row>
    <row r="3487" spans="1:18" ht="15.75" customHeight="1">
      <c r="A3487" s="26"/>
      <c r="B3487" s="86"/>
      <c r="D3487" s="26"/>
      <c r="F3487" s="87" t="str">
        <f t="shared" si="0"/>
        <v/>
      </c>
      <c r="H3487" s="26" t="str">
        <f t="shared" si="1"/>
        <v/>
      </c>
      <c r="I3487" s="26" t="str">
        <f t="shared" si="2"/>
        <v/>
      </c>
      <c r="J3487" s="86">
        <f t="shared" si="3"/>
        <v>0</v>
      </c>
      <c r="R3487" s="26"/>
    </row>
    <row r="3488" spans="1:18" ht="15.75" customHeight="1">
      <c r="A3488" s="26"/>
      <c r="B3488" s="86"/>
      <c r="D3488" s="26"/>
      <c r="F3488" s="87" t="str">
        <f t="shared" si="0"/>
        <v/>
      </c>
      <c r="H3488" s="26" t="str">
        <f t="shared" si="1"/>
        <v/>
      </c>
      <c r="I3488" s="26" t="str">
        <f t="shared" si="2"/>
        <v/>
      </c>
      <c r="J3488" s="86">
        <f t="shared" si="3"/>
        <v>0</v>
      </c>
      <c r="R3488" s="26"/>
    </row>
    <row r="3489" spans="1:18" ht="15.75" customHeight="1">
      <c r="A3489" s="26"/>
      <c r="B3489" s="86"/>
      <c r="D3489" s="26"/>
      <c r="F3489" s="87" t="str">
        <f t="shared" si="0"/>
        <v/>
      </c>
      <c r="H3489" s="26" t="str">
        <f t="shared" si="1"/>
        <v/>
      </c>
      <c r="I3489" s="26" t="str">
        <f t="shared" si="2"/>
        <v/>
      </c>
      <c r="J3489" s="86">
        <f t="shared" si="3"/>
        <v>0</v>
      </c>
      <c r="R3489" s="26"/>
    </row>
    <row r="3490" spans="1:18" ht="15.75" customHeight="1">
      <c r="A3490" s="26"/>
      <c r="B3490" s="86"/>
      <c r="D3490" s="26"/>
      <c r="F3490" s="87" t="str">
        <f t="shared" si="0"/>
        <v/>
      </c>
      <c r="H3490" s="26" t="str">
        <f t="shared" si="1"/>
        <v/>
      </c>
      <c r="I3490" s="26" t="str">
        <f t="shared" si="2"/>
        <v/>
      </c>
      <c r="J3490" s="86">
        <f t="shared" si="3"/>
        <v>0</v>
      </c>
      <c r="R3490" s="26"/>
    </row>
    <row r="3491" spans="1:18" ht="15.75" customHeight="1">
      <c r="A3491" s="26"/>
      <c r="B3491" s="86"/>
      <c r="D3491" s="26"/>
      <c r="F3491" s="87" t="str">
        <f t="shared" si="0"/>
        <v/>
      </c>
      <c r="H3491" s="26" t="str">
        <f t="shared" si="1"/>
        <v/>
      </c>
      <c r="I3491" s="26" t="str">
        <f t="shared" si="2"/>
        <v/>
      </c>
      <c r="J3491" s="86">
        <f t="shared" si="3"/>
        <v>0</v>
      </c>
      <c r="R3491" s="26"/>
    </row>
    <row r="3492" spans="1:18" ht="15.75" customHeight="1">
      <c r="A3492" s="26"/>
      <c r="B3492" s="86"/>
      <c r="D3492" s="26"/>
      <c r="F3492" s="87" t="str">
        <f t="shared" si="0"/>
        <v/>
      </c>
      <c r="H3492" s="26" t="str">
        <f t="shared" si="1"/>
        <v/>
      </c>
      <c r="I3492" s="26" t="str">
        <f t="shared" si="2"/>
        <v/>
      </c>
      <c r="J3492" s="86">
        <f t="shared" si="3"/>
        <v>0</v>
      </c>
      <c r="R3492" s="26"/>
    </row>
    <row r="3493" spans="1:18" ht="15.75" customHeight="1">
      <c r="A3493" s="26"/>
      <c r="B3493" s="86"/>
      <c r="D3493" s="26"/>
      <c r="F3493" s="87" t="str">
        <f t="shared" si="0"/>
        <v/>
      </c>
      <c r="H3493" s="26" t="str">
        <f t="shared" si="1"/>
        <v/>
      </c>
      <c r="I3493" s="26" t="str">
        <f t="shared" si="2"/>
        <v/>
      </c>
      <c r="J3493" s="86">
        <f t="shared" si="3"/>
        <v>0</v>
      </c>
      <c r="R3493" s="26"/>
    </row>
    <row r="3494" spans="1:18" ht="15.75" customHeight="1">
      <c r="A3494" s="26"/>
      <c r="B3494" s="86"/>
      <c r="D3494" s="26"/>
      <c r="F3494" s="87" t="str">
        <f t="shared" si="0"/>
        <v/>
      </c>
      <c r="H3494" s="26" t="str">
        <f t="shared" si="1"/>
        <v/>
      </c>
      <c r="I3494" s="26" t="str">
        <f t="shared" si="2"/>
        <v/>
      </c>
      <c r="J3494" s="86">
        <f t="shared" si="3"/>
        <v>0</v>
      </c>
      <c r="R3494" s="26"/>
    </row>
    <row r="3495" spans="1:18" ht="15.75" customHeight="1">
      <c r="A3495" s="26"/>
      <c r="B3495" s="86"/>
      <c r="D3495" s="26"/>
      <c r="F3495" s="87" t="str">
        <f t="shared" si="0"/>
        <v/>
      </c>
      <c r="H3495" s="26" t="str">
        <f t="shared" si="1"/>
        <v/>
      </c>
      <c r="I3495" s="26" t="str">
        <f t="shared" si="2"/>
        <v/>
      </c>
      <c r="J3495" s="86">
        <f t="shared" si="3"/>
        <v>0</v>
      </c>
      <c r="R3495" s="26"/>
    </row>
    <row r="3496" spans="1:18" ht="15.75" customHeight="1">
      <c r="A3496" s="26"/>
      <c r="B3496" s="86"/>
      <c r="D3496" s="26"/>
      <c r="F3496" s="87" t="str">
        <f t="shared" si="0"/>
        <v/>
      </c>
      <c r="H3496" s="26" t="str">
        <f t="shared" si="1"/>
        <v/>
      </c>
      <c r="I3496" s="26" t="str">
        <f t="shared" si="2"/>
        <v/>
      </c>
      <c r="J3496" s="86">
        <f t="shared" si="3"/>
        <v>0</v>
      </c>
      <c r="R3496" s="26"/>
    </row>
    <row r="3497" spans="1:18" ht="15.75" customHeight="1">
      <c r="A3497" s="26"/>
      <c r="B3497" s="86"/>
      <c r="D3497" s="26"/>
      <c r="F3497" s="87" t="str">
        <f t="shared" si="0"/>
        <v/>
      </c>
      <c r="H3497" s="26" t="str">
        <f t="shared" si="1"/>
        <v/>
      </c>
      <c r="I3497" s="26" t="str">
        <f t="shared" si="2"/>
        <v/>
      </c>
      <c r="J3497" s="86">
        <f t="shared" si="3"/>
        <v>0</v>
      </c>
      <c r="R3497" s="26"/>
    </row>
    <row r="3498" spans="1:18" ht="15.75" customHeight="1">
      <c r="A3498" s="26"/>
      <c r="B3498" s="86"/>
      <c r="D3498" s="26"/>
      <c r="F3498" s="87" t="str">
        <f t="shared" si="0"/>
        <v/>
      </c>
      <c r="H3498" s="26" t="str">
        <f t="shared" si="1"/>
        <v/>
      </c>
      <c r="I3498" s="26" t="str">
        <f t="shared" si="2"/>
        <v/>
      </c>
      <c r="J3498" s="86">
        <f t="shared" si="3"/>
        <v>0</v>
      </c>
      <c r="R3498" s="26"/>
    </row>
    <row r="3499" spans="1:18" ht="15.75" customHeight="1">
      <c r="A3499" s="26"/>
      <c r="B3499" s="86"/>
      <c r="D3499" s="26"/>
      <c r="F3499" s="87" t="str">
        <f t="shared" si="0"/>
        <v/>
      </c>
      <c r="H3499" s="26" t="str">
        <f t="shared" si="1"/>
        <v/>
      </c>
      <c r="I3499" s="26" t="str">
        <f t="shared" si="2"/>
        <v/>
      </c>
      <c r="J3499" s="86">
        <f t="shared" si="3"/>
        <v>0</v>
      </c>
      <c r="R3499" s="26"/>
    </row>
    <row r="3500" spans="1:18" ht="15.75" customHeight="1">
      <c r="A3500" s="26"/>
      <c r="B3500" s="86"/>
      <c r="D3500" s="26"/>
      <c r="F3500" s="87" t="str">
        <f t="shared" si="0"/>
        <v/>
      </c>
      <c r="H3500" s="26" t="str">
        <f t="shared" si="1"/>
        <v/>
      </c>
      <c r="I3500" s="26" t="str">
        <f t="shared" si="2"/>
        <v/>
      </c>
      <c r="J3500" s="86">
        <f t="shared" si="3"/>
        <v>0</v>
      </c>
      <c r="R3500" s="26"/>
    </row>
    <row r="3501" spans="1:18" ht="15.75" customHeight="1">
      <c r="A3501" s="26"/>
      <c r="B3501" s="86"/>
      <c r="D3501" s="26"/>
      <c r="F3501" s="87" t="str">
        <f t="shared" si="0"/>
        <v/>
      </c>
      <c r="H3501" s="26" t="str">
        <f t="shared" si="1"/>
        <v/>
      </c>
      <c r="I3501" s="26" t="str">
        <f t="shared" si="2"/>
        <v/>
      </c>
      <c r="J3501" s="86">
        <f t="shared" si="3"/>
        <v>0</v>
      </c>
      <c r="R3501" s="26"/>
    </row>
    <row r="3502" spans="1:18" ht="15.75" customHeight="1">
      <c r="A3502" s="26"/>
      <c r="B3502" s="86"/>
      <c r="D3502" s="26"/>
      <c r="F3502" s="87" t="str">
        <f t="shared" si="0"/>
        <v/>
      </c>
      <c r="H3502" s="26" t="str">
        <f t="shared" si="1"/>
        <v/>
      </c>
      <c r="I3502" s="26" t="str">
        <f t="shared" si="2"/>
        <v/>
      </c>
      <c r="J3502" s="86">
        <f t="shared" si="3"/>
        <v>0</v>
      </c>
      <c r="R3502" s="26"/>
    </row>
    <row r="3503" spans="1:18" ht="15.75" customHeight="1">
      <c r="A3503" s="26"/>
      <c r="B3503" s="86"/>
      <c r="D3503" s="26"/>
      <c r="F3503" s="87" t="str">
        <f t="shared" si="0"/>
        <v/>
      </c>
      <c r="H3503" s="26" t="str">
        <f t="shared" si="1"/>
        <v/>
      </c>
      <c r="I3503" s="26" t="str">
        <f t="shared" si="2"/>
        <v/>
      </c>
      <c r="J3503" s="86">
        <f t="shared" si="3"/>
        <v>0</v>
      </c>
      <c r="R3503" s="26"/>
    </row>
    <row r="3504" spans="1:18" ht="15.75" customHeight="1">
      <c r="A3504" s="26"/>
      <c r="B3504" s="86"/>
      <c r="D3504" s="26"/>
      <c r="F3504" s="87" t="str">
        <f t="shared" si="0"/>
        <v/>
      </c>
      <c r="H3504" s="26" t="str">
        <f t="shared" si="1"/>
        <v/>
      </c>
      <c r="I3504" s="26" t="str">
        <f t="shared" si="2"/>
        <v/>
      </c>
      <c r="J3504" s="86">
        <f t="shared" si="3"/>
        <v>0</v>
      </c>
      <c r="R3504" s="26"/>
    </row>
    <row r="3505" spans="1:18" ht="15.75" customHeight="1">
      <c r="A3505" s="26"/>
      <c r="B3505" s="86"/>
      <c r="D3505" s="26"/>
      <c r="F3505" s="87" t="str">
        <f t="shared" si="0"/>
        <v/>
      </c>
      <c r="H3505" s="26" t="str">
        <f t="shared" si="1"/>
        <v/>
      </c>
      <c r="I3505" s="26" t="str">
        <f t="shared" si="2"/>
        <v/>
      </c>
      <c r="J3505" s="86">
        <f t="shared" si="3"/>
        <v>0</v>
      </c>
      <c r="R3505" s="26"/>
    </row>
    <row r="3506" spans="1:18" ht="15.75" customHeight="1">
      <c r="A3506" s="26"/>
      <c r="B3506" s="86"/>
      <c r="D3506" s="26"/>
      <c r="F3506" s="87" t="str">
        <f t="shared" si="0"/>
        <v/>
      </c>
      <c r="H3506" s="26" t="str">
        <f t="shared" si="1"/>
        <v/>
      </c>
      <c r="I3506" s="26" t="str">
        <f t="shared" si="2"/>
        <v/>
      </c>
      <c r="J3506" s="86">
        <f t="shared" si="3"/>
        <v>0</v>
      </c>
      <c r="R3506" s="26"/>
    </row>
    <row r="3507" spans="1:18" ht="15.75" customHeight="1">
      <c r="A3507" s="26"/>
      <c r="B3507" s="86"/>
      <c r="D3507" s="26"/>
      <c r="F3507" s="87" t="str">
        <f t="shared" si="0"/>
        <v/>
      </c>
      <c r="H3507" s="26" t="str">
        <f t="shared" si="1"/>
        <v/>
      </c>
      <c r="I3507" s="26" t="str">
        <f t="shared" si="2"/>
        <v/>
      </c>
      <c r="J3507" s="86">
        <f t="shared" si="3"/>
        <v>0</v>
      </c>
      <c r="R3507" s="26"/>
    </row>
    <row r="3508" spans="1:18" ht="15.75" customHeight="1">
      <c r="A3508" s="26"/>
      <c r="B3508" s="86"/>
      <c r="D3508" s="26"/>
      <c r="F3508" s="87" t="str">
        <f t="shared" si="0"/>
        <v/>
      </c>
      <c r="H3508" s="26" t="str">
        <f t="shared" si="1"/>
        <v/>
      </c>
      <c r="I3508" s="26" t="str">
        <f t="shared" si="2"/>
        <v/>
      </c>
      <c r="J3508" s="86">
        <f t="shared" si="3"/>
        <v>0</v>
      </c>
      <c r="R3508" s="26"/>
    </row>
    <row r="3509" spans="1:18" ht="15.75" customHeight="1">
      <c r="A3509" s="26"/>
      <c r="B3509" s="86"/>
      <c r="D3509" s="26"/>
      <c r="F3509" s="87" t="str">
        <f t="shared" si="0"/>
        <v/>
      </c>
      <c r="H3509" s="26" t="str">
        <f t="shared" si="1"/>
        <v/>
      </c>
      <c r="I3509" s="26" t="str">
        <f t="shared" si="2"/>
        <v/>
      </c>
      <c r="J3509" s="86">
        <f t="shared" si="3"/>
        <v>0</v>
      </c>
      <c r="R3509" s="26"/>
    </row>
    <row r="3510" spans="1:18" ht="15.75" customHeight="1">
      <c r="A3510" s="26"/>
      <c r="B3510" s="86"/>
      <c r="D3510" s="26"/>
      <c r="F3510" s="87" t="str">
        <f t="shared" si="0"/>
        <v/>
      </c>
      <c r="H3510" s="26" t="str">
        <f t="shared" si="1"/>
        <v/>
      </c>
      <c r="I3510" s="26" t="str">
        <f t="shared" si="2"/>
        <v/>
      </c>
      <c r="J3510" s="86">
        <f t="shared" si="3"/>
        <v>0</v>
      </c>
      <c r="R3510" s="26"/>
    </row>
    <row r="3511" spans="1:18" ht="15.75" customHeight="1">
      <c r="A3511" s="26"/>
      <c r="B3511" s="86"/>
      <c r="D3511" s="26"/>
      <c r="F3511" s="87" t="str">
        <f t="shared" si="0"/>
        <v/>
      </c>
      <c r="H3511" s="26" t="str">
        <f t="shared" si="1"/>
        <v/>
      </c>
      <c r="I3511" s="26" t="str">
        <f t="shared" si="2"/>
        <v/>
      </c>
      <c r="J3511" s="86">
        <f t="shared" si="3"/>
        <v>0</v>
      </c>
      <c r="R3511" s="26"/>
    </row>
    <row r="3512" spans="1:18" ht="15.75" customHeight="1">
      <c r="A3512" s="26"/>
      <c r="B3512" s="86"/>
      <c r="D3512" s="26"/>
      <c r="F3512" s="87" t="str">
        <f t="shared" si="0"/>
        <v/>
      </c>
      <c r="H3512" s="26" t="str">
        <f t="shared" si="1"/>
        <v/>
      </c>
      <c r="I3512" s="26" t="str">
        <f t="shared" si="2"/>
        <v/>
      </c>
      <c r="J3512" s="86">
        <f t="shared" si="3"/>
        <v>0</v>
      </c>
      <c r="R3512" s="26"/>
    </row>
    <row r="3513" spans="1:18" ht="15.75" customHeight="1">
      <c r="A3513" s="26"/>
      <c r="B3513" s="86"/>
      <c r="D3513" s="26"/>
      <c r="F3513" s="87" t="str">
        <f t="shared" si="0"/>
        <v/>
      </c>
      <c r="H3513" s="26" t="str">
        <f t="shared" si="1"/>
        <v/>
      </c>
      <c r="I3513" s="26" t="str">
        <f t="shared" si="2"/>
        <v/>
      </c>
      <c r="J3513" s="86">
        <f t="shared" si="3"/>
        <v>0</v>
      </c>
      <c r="R3513" s="26"/>
    </row>
    <row r="3514" spans="1:18" ht="15.75" customHeight="1">
      <c r="A3514" s="26"/>
      <c r="B3514" s="86"/>
      <c r="D3514" s="26"/>
      <c r="F3514" s="87" t="str">
        <f t="shared" si="0"/>
        <v/>
      </c>
      <c r="H3514" s="26" t="str">
        <f t="shared" si="1"/>
        <v/>
      </c>
      <c r="I3514" s="26" t="str">
        <f t="shared" si="2"/>
        <v/>
      </c>
      <c r="J3514" s="86">
        <f t="shared" si="3"/>
        <v>0</v>
      </c>
      <c r="R3514" s="26"/>
    </row>
    <row r="3515" spans="1:18" ht="15.75" customHeight="1">
      <c r="A3515" s="26"/>
      <c r="B3515" s="86"/>
      <c r="D3515" s="26"/>
      <c r="F3515" s="87" t="str">
        <f t="shared" si="0"/>
        <v/>
      </c>
      <c r="H3515" s="26" t="str">
        <f t="shared" si="1"/>
        <v/>
      </c>
      <c r="I3515" s="26" t="str">
        <f t="shared" si="2"/>
        <v/>
      </c>
      <c r="J3515" s="86">
        <f t="shared" si="3"/>
        <v>0</v>
      </c>
      <c r="R3515" s="26"/>
    </row>
    <row r="3516" spans="1:18" ht="15.75" customHeight="1">
      <c r="A3516" s="26"/>
      <c r="B3516" s="86"/>
      <c r="D3516" s="26"/>
      <c r="F3516" s="87" t="str">
        <f t="shared" si="0"/>
        <v/>
      </c>
      <c r="H3516" s="26" t="str">
        <f t="shared" si="1"/>
        <v/>
      </c>
      <c r="I3516" s="26" t="str">
        <f t="shared" si="2"/>
        <v/>
      </c>
      <c r="J3516" s="86">
        <f t="shared" si="3"/>
        <v>0</v>
      </c>
      <c r="R3516" s="26"/>
    </row>
    <row r="3517" spans="1:18" ht="15.75" customHeight="1">
      <c r="A3517" s="26"/>
      <c r="B3517" s="86"/>
      <c r="D3517" s="26"/>
      <c r="F3517" s="87" t="str">
        <f t="shared" si="0"/>
        <v/>
      </c>
      <c r="H3517" s="26" t="str">
        <f t="shared" si="1"/>
        <v/>
      </c>
      <c r="I3517" s="26" t="str">
        <f t="shared" si="2"/>
        <v/>
      </c>
      <c r="J3517" s="86">
        <f t="shared" si="3"/>
        <v>0</v>
      </c>
      <c r="R3517" s="26"/>
    </row>
    <row r="3518" spans="1:18" ht="15.75" customHeight="1">
      <c r="A3518" s="26"/>
      <c r="B3518" s="86"/>
      <c r="D3518" s="26"/>
      <c r="F3518" s="87" t="str">
        <f t="shared" si="0"/>
        <v/>
      </c>
      <c r="H3518" s="26" t="str">
        <f t="shared" si="1"/>
        <v/>
      </c>
      <c r="I3518" s="26" t="str">
        <f t="shared" si="2"/>
        <v/>
      </c>
      <c r="J3518" s="86">
        <f t="shared" si="3"/>
        <v>0</v>
      </c>
      <c r="R3518" s="26"/>
    </row>
    <row r="3519" spans="1:18" ht="15.75" customHeight="1">
      <c r="A3519" s="26"/>
      <c r="B3519" s="86"/>
      <c r="D3519" s="26"/>
      <c r="F3519" s="87" t="str">
        <f t="shared" si="0"/>
        <v/>
      </c>
      <c r="H3519" s="26" t="str">
        <f t="shared" si="1"/>
        <v/>
      </c>
      <c r="I3519" s="26" t="str">
        <f t="shared" si="2"/>
        <v/>
      </c>
      <c r="J3519" s="86">
        <f t="shared" si="3"/>
        <v>0</v>
      </c>
      <c r="R3519" s="26"/>
    </row>
    <row r="3520" spans="1:18" ht="15.75" customHeight="1">
      <c r="A3520" s="26"/>
      <c r="B3520" s="86"/>
      <c r="D3520" s="26"/>
      <c r="F3520" s="87" t="str">
        <f t="shared" si="0"/>
        <v/>
      </c>
      <c r="H3520" s="26" t="str">
        <f t="shared" si="1"/>
        <v/>
      </c>
      <c r="I3520" s="26" t="str">
        <f t="shared" si="2"/>
        <v/>
      </c>
      <c r="J3520" s="86">
        <f t="shared" si="3"/>
        <v>0</v>
      </c>
      <c r="R3520" s="26"/>
    </row>
    <row r="3521" spans="1:18" ht="15.75" customHeight="1">
      <c r="A3521" s="26"/>
      <c r="B3521" s="86"/>
      <c r="D3521" s="26"/>
      <c r="F3521" s="87" t="str">
        <f t="shared" si="0"/>
        <v/>
      </c>
      <c r="H3521" s="26" t="str">
        <f t="shared" si="1"/>
        <v/>
      </c>
      <c r="I3521" s="26" t="str">
        <f t="shared" si="2"/>
        <v/>
      </c>
      <c r="J3521" s="86">
        <f t="shared" si="3"/>
        <v>0</v>
      </c>
      <c r="R3521" s="26"/>
    </row>
    <row r="3522" spans="1:18" ht="15.75" customHeight="1">
      <c r="A3522" s="26"/>
      <c r="B3522" s="86"/>
      <c r="D3522" s="26"/>
      <c r="F3522" s="87" t="str">
        <f t="shared" si="0"/>
        <v/>
      </c>
      <c r="H3522" s="26" t="str">
        <f t="shared" si="1"/>
        <v/>
      </c>
      <c r="I3522" s="26" t="str">
        <f t="shared" si="2"/>
        <v/>
      </c>
      <c r="J3522" s="86">
        <f t="shared" si="3"/>
        <v>0</v>
      </c>
      <c r="R3522" s="26"/>
    </row>
    <row r="3523" spans="1:18" ht="15.75" customHeight="1">
      <c r="A3523" s="26"/>
      <c r="B3523" s="86"/>
      <c r="D3523" s="26"/>
      <c r="F3523" s="87" t="str">
        <f t="shared" si="0"/>
        <v/>
      </c>
      <c r="H3523" s="26" t="str">
        <f t="shared" si="1"/>
        <v/>
      </c>
      <c r="I3523" s="26" t="str">
        <f t="shared" si="2"/>
        <v/>
      </c>
      <c r="J3523" s="86">
        <f t="shared" si="3"/>
        <v>0</v>
      </c>
      <c r="R3523" s="26"/>
    </row>
    <row r="3524" spans="1:18" ht="15.75" customHeight="1">
      <c r="A3524" s="26"/>
      <c r="B3524" s="86"/>
      <c r="D3524" s="26"/>
      <c r="F3524" s="87" t="str">
        <f t="shared" si="0"/>
        <v/>
      </c>
      <c r="H3524" s="26" t="str">
        <f t="shared" si="1"/>
        <v/>
      </c>
      <c r="I3524" s="26" t="str">
        <f t="shared" si="2"/>
        <v/>
      </c>
      <c r="J3524" s="86">
        <f t="shared" si="3"/>
        <v>0</v>
      </c>
      <c r="R3524" s="26"/>
    </row>
    <row r="3525" spans="1:18" ht="15.75" customHeight="1">
      <c r="A3525" s="26"/>
      <c r="B3525" s="86"/>
      <c r="D3525" s="26"/>
      <c r="F3525" s="87" t="str">
        <f t="shared" si="0"/>
        <v/>
      </c>
      <c r="H3525" s="26" t="str">
        <f t="shared" si="1"/>
        <v/>
      </c>
      <c r="I3525" s="26" t="str">
        <f t="shared" si="2"/>
        <v/>
      </c>
      <c r="J3525" s="86">
        <f t="shared" si="3"/>
        <v>0</v>
      </c>
      <c r="R3525" s="26"/>
    </row>
    <row r="3526" spans="1:18" ht="15.75" customHeight="1">
      <c r="A3526" s="26"/>
      <c r="B3526" s="86"/>
      <c r="D3526" s="26"/>
      <c r="F3526" s="87" t="str">
        <f t="shared" si="0"/>
        <v/>
      </c>
      <c r="H3526" s="26" t="str">
        <f t="shared" si="1"/>
        <v/>
      </c>
      <c r="I3526" s="26" t="str">
        <f t="shared" si="2"/>
        <v/>
      </c>
      <c r="J3526" s="86">
        <f t="shared" si="3"/>
        <v>0</v>
      </c>
      <c r="R3526" s="26"/>
    </row>
    <row r="3527" spans="1:18" ht="15.75" customHeight="1">
      <c r="A3527" s="26"/>
      <c r="B3527" s="86"/>
      <c r="D3527" s="26"/>
      <c r="F3527" s="87" t="str">
        <f t="shared" si="0"/>
        <v/>
      </c>
      <c r="H3527" s="26" t="str">
        <f t="shared" si="1"/>
        <v/>
      </c>
      <c r="I3527" s="26" t="str">
        <f t="shared" si="2"/>
        <v/>
      </c>
      <c r="J3527" s="86">
        <f t="shared" si="3"/>
        <v>0</v>
      </c>
      <c r="R3527" s="26"/>
    </row>
    <row r="3528" spans="1:18" ht="15.75" customHeight="1">
      <c r="A3528" s="26"/>
      <c r="B3528" s="86"/>
      <c r="D3528" s="26"/>
      <c r="F3528" s="87" t="str">
        <f t="shared" si="0"/>
        <v/>
      </c>
      <c r="H3528" s="26" t="str">
        <f t="shared" si="1"/>
        <v/>
      </c>
      <c r="I3528" s="26" t="str">
        <f t="shared" si="2"/>
        <v/>
      </c>
      <c r="J3528" s="86">
        <f t="shared" si="3"/>
        <v>0</v>
      </c>
      <c r="R3528" s="26"/>
    </row>
    <row r="3529" spans="1:18" ht="15.75" customHeight="1">
      <c r="A3529" s="26"/>
      <c r="B3529" s="86"/>
      <c r="D3529" s="26"/>
      <c r="F3529" s="87" t="str">
        <f t="shared" si="0"/>
        <v/>
      </c>
      <c r="H3529" s="26" t="str">
        <f t="shared" si="1"/>
        <v/>
      </c>
      <c r="I3529" s="26" t="str">
        <f t="shared" si="2"/>
        <v/>
      </c>
      <c r="J3529" s="86">
        <f t="shared" si="3"/>
        <v>0</v>
      </c>
      <c r="R3529" s="26"/>
    </row>
    <row r="3530" spans="1:18" ht="15.75" customHeight="1">
      <c r="A3530" s="26"/>
      <c r="B3530" s="86"/>
      <c r="D3530" s="26"/>
      <c r="F3530" s="87" t="str">
        <f t="shared" si="0"/>
        <v/>
      </c>
      <c r="H3530" s="26" t="str">
        <f t="shared" si="1"/>
        <v/>
      </c>
      <c r="I3530" s="26" t="str">
        <f t="shared" si="2"/>
        <v/>
      </c>
      <c r="J3530" s="86">
        <f t="shared" si="3"/>
        <v>0</v>
      </c>
      <c r="R3530" s="26"/>
    </row>
    <row r="3531" spans="1:18" ht="15.75" customHeight="1">
      <c r="A3531" s="26"/>
      <c r="B3531" s="86"/>
      <c r="D3531" s="26"/>
      <c r="F3531" s="87" t="str">
        <f t="shared" si="0"/>
        <v/>
      </c>
      <c r="H3531" s="26" t="str">
        <f t="shared" si="1"/>
        <v/>
      </c>
      <c r="I3531" s="26" t="str">
        <f t="shared" si="2"/>
        <v/>
      </c>
      <c r="J3531" s="86">
        <f t="shared" si="3"/>
        <v>0</v>
      </c>
      <c r="R3531" s="26"/>
    </row>
    <row r="3532" spans="1:18" ht="15.75" customHeight="1">
      <c r="A3532" s="26"/>
      <c r="B3532" s="86"/>
      <c r="D3532" s="26"/>
      <c r="F3532" s="87" t="str">
        <f t="shared" si="0"/>
        <v/>
      </c>
      <c r="H3532" s="26" t="str">
        <f t="shared" si="1"/>
        <v/>
      </c>
      <c r="I3532" s="26" t="str">
        <f t="shared" si="2"/>
        <v/>
      </c>
      <c r="J3532" s="86">
        <f t="shared" si="3"/>
        <v>0</v>
      </c>
      <c r="R3532" s="26"/>
    </row>
    <row r="3533" spans="1:18" ht="15.75" customHeight="1">
      <c r="A3533" s="26"/>
      <c r="B3533" s="86"/>
      <c r="D3533" s="26"/>
      <c r="F3533" s="87" t="str">
        <f t="shared" si="0"/>
        <v/>
      </c>
      <c r="H3533" s="26" t="str">
        <f t="shared" si="1"/>
        <v/>
      </c>
      <c r="I3533" s="26" t="str">
        <f t="shared" si="2"/>
        <v/>
      </c>
      <c r="J3533" s="86">
        <f t="shared" si="3"/>
        <v>0</v>
      </c>
      <c r="R3533" s="26"/>
    </row>
    <row r="3534" spans="1:18" ht="15.75" customHeight="1">
      <c r="A3534" s="26"/>
      <c r="B3534" s="86"/>
      <c r="D3534" s="26"/>
      <c r="F3534" s="87" t="str">
        <f t="shared" si="0"/>
        <v/>
      </c>
      <c r="H3534" s="26" t="str">
        <f t="shared" si="1"/>
        <v/>
      </c>
      <c r="I3534" s="26" t="str">
        <f t="shared" si="2"/>
        <v/>
      </c>
      <c r="J3534" s="86">
        <f t="shared" si="3"/>
        <v>0</v>
      </c>
      <c r="R3534" s="26"/>
    </row>
    <row r="3535" spans="1:18" ht="15.75" customHeight="1">
      <c r="A3535" s="26"/>
      <c r="B3535" s="86"/>
      <c r="D3535" s="26"/>
      <c r="F3535" s="87" t="str">
        <f t="shared" si="0"/>
        <v/>
      </c>
      <c r="H3535" s="26" t="str">
        <f t="shared" si="1"/>
        <v/>
      </c>
      <c r="I3535" s="26" t="str">
        <f t="shared" si="2"/>
        <v/>
      </c>
      <c r="J3535" s="86">
        <f t="shared" si="3"/>
        <v>0</v>
      </c>
      <c r="R3535" s="26"/>
    </row>
    <row r="3536" spans="1:18" ht="15.75" customHeight="1">
      <c r="A3536" s="26"/>
      <c r="B3536" s="86"/>
      <c r="D3536" s="26"/>
      <c r="F3536" s="87" t="str">
        <f t="shared" si="0"/>
        <v/>
      </c>
      <c r="H3536" s="26" t="str">
        <f t="shared" si="1"/>
        <v/>
      </c>
      <c r="I3536" s="26" t="str">
        <f t="shared" si="2"/>
        <v/>
      </c>
      <c r="J3536" s="86">
        <f t="shared" si="3"/>
        <v>0</v>
      </c>
      <c r="R3536" s="26"/>
    </row>
    <row r="3537" spans="1:18" ht="15.75" customHeight="1">
      <c r="A3537" s="26"/>
      <c r="B3537" s="86"/>
      <c r="D3537" s="26"/>
      <c r="F3537" s="87" t="str">
        <f t="shared" si="0"/>
        <v/>
      </c>
      <c r="H3537" s="26" t="str">
        <f t="shared" si="1"/>
        <v/>
      </c>
      <c r="I3537" s="26" t="str">
        <f t="shared" si="2"/>
        <v/>
      </c>
      <c r="J3537" s="86">
        <f t="shared" si="3"/>
        <v>0</v>
      </c>
      <c r="R3537" s="26"/>
    </row>
    <row r="3538" spans="1:18" ht="15.75" customHeight="1">
      <c r="A3538" s="26"/>
      <c r="B3538" s="86"/>
      <c r="D3538" s="26"/>
      <c r="F3538" s="87" t="str">
        <f t="shared" si="0"/>
        <v/>
      </c>
      <c r="H3538" s="26" t="str">
        <f t="shared" si="1"/>
        <v/>
      </c>
      <c r="I3538" s="26" t="str">
        <f t="shared" si="2"/>
        <v/>
      </c>
      <c r="J3538" s="86">
        <f t="shared" si="3"/>
        <v>0</v>
      </c>
      <c r="R3538" s="26"/>
    </row>
    <row r="3539" spans="1:18" ht="15.75" customHeight="1">
      <c r="A3539" s="26"/>
      <c r="B3539" s="86"/>
      <c r="D3539" s="26"/>
      <c r="F3539" s="87" t="str">
        <f t="shared" si="0"/>
        <v/>
      </c>
      <c r="H3539" s="26" t="str">
        <f t="shared" si="1"/>
        <v/>
      </c>
      <c r="I3539" s="26" t="str">
        <f t="shared" si="2"/>
        <v/>
      </c>
      <c r="J3539" s="86">
        <f t="shared" si="3"/>
        <v>0</v>
      </c>
      <c r="R3539" s="26"/>
    </row>
    <row r="3540" spans="1:18" ht="15.75" customHeight="1">
      <c r="A3540" s="26"/>
      <c r="B3540" s="86"/>
      <c r="D3540" s="26"/>
      <c r="F3540" s="87" t="str">
        <f t="shared" si="0"/>
        <v/>
      </c>
      <c r="H3540" s="26" t="str">
        <f t="shared" si="1"/>
        <v/>
      </c>
      <c r="I3540" s="26" t="str">
        <f t="shared" si="2"/>
        <v/>
      </c>
      <c r="J3540" s="86">
        <f t="shared" si="3"/>
        <v>0</v>
      </c>
      <c r="R3540" s="26"/>
    </row>
    <row r="3541" spans="1:18" ht="15.75" customHeight="1">
      <c r="A3541" s="26"/>
      <c r="B3541" s="86"/>
      <c r="D3541" s="26"/>
      <c r="F3541" s="87" t="str">
        <f t="shared" si="0"/>
        <v/>
      </c>
      <c r="H3541" s="26" t="str">
        <f t="shared" si="1"/>
        <v/>
      </c>
      <c r="I3541" s="26" t="str">
        <f t="shared" si="2"/>
        <v/>
      </c>
      <c r="J3541" s="86">
        <f t="shared" si="3"/>
        <v>0</v>
      </c>
      <c r="R3541" s="26"/>
    </row>
    <row r="3542" spans="1:18" ht="15.75" customHeight="1">
      <c r="A3542" s="26"/>
      <c r="B3542" s="86"/>
      <c r="D3542" s="26"/>
      <c r="F3542" s="87" t="str">
        <f t="shared" si="0"/>
        <v/>
      </c>
      <c r="H3542" s="26" t="str">
        <f t="shared" si="1"/>
        <v/>
      </c>
      <c r="I3542" s="26" t="str">
        <f t="shared" si="2"/>
        <v/>
      </c>
      <c r="J3542" s="86">
        <f t="shared" si="3"/>
        <v>0</v>
      </c>
      <c r="R3542" s="26"/>
    </row>
    <row r="3543" spans="1:18" ht="15.75" customHeight="1">
      <c r="A3543" s="26"/>
      <c r="B3543" s="86"/>
      <c r="D3543" s="26"/>
      <c r="F3543" s="87" t="str">
        <f t="shared" si="0"/>
        <v/>
      </c>
      <c r="H3543" s="26" t="str">
        <f t="shared" si="1"/>
        <v/>
      </c>
      <c r="I3543" s="26" t="str">
        <f t="shared" si="2"/>
        <v/>
      </c>
      <c r="J3543" s="86">
        <f t="shared" si="3"/>
        <v>0</v>
      </c>
      <c r="R3543" s="26"/>
    </row>
    <row r="3544" spans="1:18" ht="15.75" customHeight="1">
      <c r="A3544" s="26"/>
      <c r="B3544" s="86"/>
      <c r="D3544" s="26"/>
      <c r="F3544" s="87" t="str">
        <f t="shared" si="0"/>
        <v/>
      </c>
      <c r="H3544" s="26" t="str">
        <f t="shared" si="1"/>
        <v/>
      </c>
      <c r="I3544" s="26" t="str">
        <f t="shared" si="2"/>
        <v/>
      </c>
      <c r="J3544" s="86">
        <f t="shared" si="3"/>
        <v>0</v>
      </c>
      <c r="R3544" s="26"/>
    </row>
    <row r="3545" spans="1:18" ht="15.75" customHeight="1">
      <c r="A3545" s="26"/>
      <c r="B3545" s="86"/>
      <c r="D3545" s="26"/>
      <c r="F3545" s="87" t="str">
        <f t="shared" si="0"/>
        <v/>
      </c>
      <c r="H3545" s="26" t="str">
        <f t="shared" si="1"/>
        <v/>
      </c>
      <c r="I3545" s="26" t="str">
        <f t="shared" si="2"/>
        <v/>
      </c>
      <c r="J3545" s="86">
        <f t="shared" si="3"/>
        <v>0</v>
      </c>
      <c r="R3545" s="26"/>
    </row>
    <row r="3546" spans="1:18" ht="15.75" customHeight="1">
      <c r="A3546" s="26"/>
      <c r="B3546" s="86"/>
      <c r="D3546" s="26"/>
      <c r="F3546" s="87" t="str">
        <f t="shared" si="0"/>
        <v/>
      </c>
      <c r="H3546" s="26" t="str">
        <f t="shared" si="1"/>
        <v/>
      </c>
      <c r="I3546" s="26" t="str">
        <f t="shared" si="2"/>
        <v/>
      </c>
      <c r="J3546" s="86">
        <f t="shared" si="3"/>
        <v>0</v>
      </c>
      <c r="R3546" s="26"/>
    </row>
    <row r="3547" spans="1:18" ht="15.75" customHeight="1">
      <c r="A3547" s="26"/>
      <c r="B3547" s="86"/>
      <c r="D3547" s="26"/>
      <c r="F3547" s="87" t="str">
        <f t="shared" si="0"/>
        <v/>
      </c>
      <c r="H3547" s="26" t="str">
        <f t="shared" si="1"/>
        <v/>
      </c>
      <c r="I3547" s="26" t="str">
        <f t="shared" si="2"/>
        <v/>
      </c>
      <c r="J3547" s="86">
        <f t="shared" si="3"/>
        <v>0</v>
      </c>
      <c r="R3547" s="26"/>
    </row>
    <row r="3548" spans="1:18" ht="15.75" customHeight="1">
      <c r="A3548" s="26"/>
      <c r="B3548" s="86"/>
      <c r="D3548" s="26"/>
      <c r="F3548" s="87" t="str">
        <f t="shared" si="0"/>
        <v/>
      </c>
      <c r="H3548" s="26" t="str">
        <f t="shared" si="1"/>
        <v/>
      </c>
      <c r="I3548" s="26" t="str">
        <f t="shared" si="2"/>
        <v/>
      </c>
      <c r="J3548" s="86">
        <f t="shared" si="3"/>
        <v>0</v>
      </c>
      <c r="R3548" s="26"/>
    </row>
    <row r="3549" spans="1:18" ht="15.75" customHeight="1">
      <c r="A3549" s="26"/>
      <c r="B3549" s="86"/>
      <c r="D3549" s="26"/>
      <c r="F3549" s="87" t="str">
        <f t="shared" si="0"/>
        <v/>
      </c>
      <c r="H3549" s="26" t="str">
        <f t="shared" si="1"/>
        <v/>
      </c>
      <c r="I3549" s="26" t="str">
        <f t="shared" si="2"/>
        <v/>
      </c>
      <c r="J3549" s="86">
        <f t="shared" si="3"/>
        <v>0</v>
      </c>
      <c r="R3549" s="26"/>
    </row>
    <row r="3550" spans="1:18" ht="15.75" customHeight="1">
      <c r="A3550" s="26"/>
      <c r="B3550" s="86"/>
      <c r="D3550" s="26"/>
      <c r="F3550" s="87" t="str">
        <f t="shared" si="0"/>
        <v/>
      </c>
      <c r="H3550" s="26" t="str">
        <f t="shared" si="1"/>
        <v/>
      </c>
      <c r="I3550" s="26" t="str">
        <f t="shared" si="2"/>
        <v/>
      </c>
      <c r="J3550" s="86">
        <f t="shared" si="3"/>
        <v>0</v>
      </c>
      <c r="R3550" s="26"/>
    </row>
    <row r="3551" spans="1:18" ht="15.75" customHeight="1">
      <c r="A3551" s="26"/>
      <c r="B3551" s="86"/>
      <c r="D3551" s="26"/>
      <c r="F3551" s="87" t="str">
        <f t="shared" si="0"/>
        <v/>
      </c>
      <c r="H3551" s="26" t="str">
        <f t="shared" si="1"/>
        <v/>
      </c>
      <c r="I3551" s="26" t="str">
        <f t="shared" si="2"/>
        <v/>
      </c>
      <c r="J3551" s="86">
        <f t="shared" si="3"/>
        <v>0</v>
      </c>
      <c r="R3551" s="26"/>
    </row>
    <row r="3552" spans="1:18" ht="15.75" customHeight="1">
      <c r="A3552" s="26"/>
      <c r="B3552" s="86"/>
      <c r="D3552" s="26"/>
      <c r="F3552" s="87" t="str">
        <f t="shared" si="0"/>
        <v/>
      </c>
      <c r="H3552" s="26" t="str">
        <f t="shared" si="1"/>
        <v/>
      </c>
      <c r="I3552" s="26" t="str">
        <f t="shared" si="2"/>
        <v/>
      </c>
      <c r="J3552" s="86">
        <f t="shared" si="3"/>
        <v>0</v>
      </c>
      <c r="R3552" s="26"/>
    </row>
    <row r="3553" spans="1:18" ht="15.75" customHeight="1">
      <c r="A3553" s="26"/>
      <c r="B3553" s="86"/>
      <c r="D3553" s="26"/>
      <c r="F3553" s="87" t="str">
        <f t="shared" si="0"/>
        <v/>
      </c>
      <c r="H3553" s="26" t="str">
        <f t="shared" si="1"/>
        <v/>
      </c>
      <c r="I3553" s="26" t="str">
        <f t="shared" si="2"/>
        <v/>
      </c>
      <c r="J3553" s="86">
        <f t="shared" si="3"/>
        <v>0</v>
      </c>
      <c r="R3553" s="26"/>
    </row>
    <row r="3554" spans="1:18" ht="15.75" customHeight="1">
      <c r="A3554" s="26"/>
      <c r="B3554" s="86"/>
      <c r="D3554" s="26"/>
      <c r="F3554" s="87" t="str">
        <f t="shared" si="0"/>
        <v/>
      </c>
      <c r="H3554" s="26" t="str">
        <f t="shared" si="1"/>
        <v/>
      </c>
      <c r="I3554" s="26" t="str">
        <f t="shared" si="2"/>
        <v/>
      </c>
      <c r="J3554" s="86">
        <f t="shared" si="3"/>
        <v>0</v>
      </c>
      <c r="R3554" s="26"/>
    </row>
    <row r="3555" spans="1:18" ht="15.75" customHeight="1">
      <c r="A3555" s="26"/>
      <c r="B3555" s="86"/>
      <c r="D3555" s="26"/>
      <c r="F3555" s="87" t="str">
        <f t="shared" si="0"/>
        <v/>
      </c>
      <c r="H3555" s="26" t="str">
        <f t="shared" si="1"/>
        <v/>
      </c>
      <c r="I3555" s="26" t="str">
        <f t="shared" si="2"/>
        <v/>
      </c>
      <c r="J3555" s="86">
        <f t="shared" si="3"/>
        <v>0</v>
      </c>
      <c r="R3555" s="26"/>
    </row>
    <row r="3556" spans="1:18" ht="15.75" customHeight="1">
      <c r="A3556" s="26"/>
      <c r="B3556" s="86"/>
      <c r="D3556" s="26"/>
      <c r="F3556" s="87" t="str">
        <f t="shared" si="0"/>
        <v/>
      </c>
      <c r="H3556" s="26" t="str">
        <f t="shared" si="1"/>
        <v/>
      </c>
      <c r="I3556" s="26" t="str">
        <f t="shared" si="2"/>
        <v/>
      </c>
      <c r="J3556" s="86">
        <f t="shared" si="3"/>
        <v>0</v>
      </c>
      <c r="R3556" s="26"/>
    </row>
    <row r="3557" spans="1:18" ht="15.75" customHeight="1">
      <c r="A3557" s="26"/>
      <c r="B3557" s="86"/>
      <c r="D3557" s="26"/>
      <c r="F3557" s="87" t="str">
        <f t="shared" si="0"/>
        <v/>
      </c>
      <c r="H3557" s="26" t="str">
        <f t="shared" si="1"/>
        <v/>
      </c>
      <c r="I3557" s="26" t="str">
        <f t="shared" si="2"/>
        <v/>
      </c>
      <c r="J3557" s="86">
        <f t="shared" si="3"/>
        <v>0</v>
      </c>
      <c r="R3557" s="26"/>
    </row>
    <row r="3558" spans="1:18" ht="15.75" customHeight="1">
      <c r="A3558" s="26"/>
      <c r="B3558" s="86"/>
      <c r="D3558" s="26"/>
      <c r="F3558" s="87" t="str">
        <f t="shared" si="0"/>
        <v/>
      </c>
      <c r="H3558" s="26" t="str">
        <f t="shared" si="1"/>
        <v/>
      </c>
      <c r="I3558" s="26" t="str">
        <f t="shared" si="2"/>
        <v/>
      </c>
      <c r="J3558" s="86">
        <f t="shared" si="3"/>
        <v>0</v>
      </c>
      <c r="R3558" s="26"/>
    </row>
    <row r="3559" spans="1:18" ht="15.75" customHeight="1">
      <c r="A3559" s="26"/>
      <c r="B3559" s="86"/>
      <c r="D3559" s="26"/>
      <c r="F3559" s="87" t="str">
        <f t="shared" si="0"/>
        <v/>
      </c>
      <c r="H3559" s="26" t="str">
        <f t="shared" si="1"/>
        <v/>
      </c>
      <c r="I3559" s="26" t="str">
        <f t="shared" si="2"/>
        <v/>
      </c>
      <c r="J3559" s="86">
        <f t="shared" si="3"/>
        <v>0</v>
      </c>
      <c r="R3559" s="26"/>
    </row>
    <row r="3560" spans="1:18" ht="15.75" customHeight="1">
      <c r="A3560" s="26"/>
      <c r="B3560" s="86"/>
      <c r="D3560" s="26"/>
      <c r="F3560" s="87" t="str">
        <f t="shared" si="0"/>
        <v/>
      </c>
      <c r="H3560" s="26" t="str">
        <f t="shared" si="1"/>
        <v/>
      </c>
      <c r="I3560" s="26" t="str">
        <f t="shared" si="2"/>
        <v/>
      </c>
      <c r="J3560" s="86">
        <f t="shared" si="3"/>
        <v>0</v>
      </c>
      <c r="R3560" s="26"/>
    </row>
    <row r="3561" spans="1:18" ht="15.75" customHeight="1">
      <c r="A3561" s="26"/>
      <c r="B3561" s="86"/>
      <c r="D3561" s="26"/>
      <c r="F3561" s="87" t="str">
        <f t="shared" si="0"/>
        <v/>
      </c>
      <c r="H3561" s="26" t="str">
        <f t="shared" si="1"/>
        <v/>
      </c>
      <c r="I3561" s="26" t="str">
        <f t="shared" si="2"/>
        <v/>
      </c>
      <c r="J3561" s="86">
        <f t="shared" si="3"/>
        <v>0</v>
      </c>
      <c r="R3561" s="26"/>
    </row>
    <row r="3562" spans="1:18" ht="15.75" customHeight="1">
      <c r="A3562" s="26"/>
      <c r="B3562" s="86"/>
      <c r="D3562" s="26"/>
      <c r="F3562" s="87" t="str">
        <f t="shared" si="0"/>
        <v/>
      </c>
      <c r="H3562" s="26" t="str">
        <f t="shared" si="1"/>
        <v/>
      </c>
      <c r="I3562" s="26" t="str">
        <f t="shared" si="2"/>
        <v/>
      </c>
      <c r="J3562" s="86">
        <f t="shared" si="3"/>
        <v>0</v>
      </c>
      <c r="R3562" s="26"/>
    </row>
    <row r="3563" spans="1:18" ht="15.75" customHeight="1">
      <c r="A3563" s="26"/>
      <c r="B3563" s="86"/>
      <c r="D3563" s="26"/>
      <c r="F3563" s="87" t="str">
        <f t="shared" si="0"/>
        <v/>
      </c>
      <c r="H3563" s="26" t="str">
        <f t="shared" si="1"/>
        <v/>
      </c>
      <c r="I3563" s="26" t="str">
        <f t="shared" si="2"/>
        <v/>
      </c>
      <c r="J3563" s="86">
        <f t="shared" si="3"/>
        <v>0</v>
      </c>
      <c r="R3563" s="26"/>
    </row>
    <row r="3564" spans="1:18" ht="15.75" customHeight="1">
      <c r="A3564" s="26"/>
      <c r="B3564" s="86"/>
      <c r="D3564" s="26"/>
      <c r="F3564" s="87" t="str">
        <f t="shared" si="0"/>
        <v/>
      </c>
      <c r="H3564" s="26" t="str">
        <f t="shared" si="1"/>
        <v/>
      </c>
      <c r="I3564" s="26" t="str">
        <f t="shared" si="2"/>
        <v/>
      </c>
      <c r="J3564" s="86">
        <f t="shared" si="3"/>
        <v>0</v>
      </c>
      <c r="R3564" s="26"/>
    </row>
    <row r="3565" spans="1:18" ht="15.75" customHeight="1">
      <c r="A3565" s="26"/>
      <c r="B3565" s="86"/>
      <c r="D3565" s="26"/>
      <c r="F3565" s="87" t="str">
        <f t="shared" si="0"/>
        <v/>
      </c>
      <c r="H3565" s="26" t="str">
        <f t="shared" si="1"/>
        <v/>
      </c>
      <c r="I3565" s="26" t="str">
        <f t="shared" si="2"/>
        <v/>
      </c>
      <c r="J3565" s="86">
        <f t="shared" si="3"/>
        <v>0</v>
      </c>
      <c r="R3565" s="26"/>
    </row>
    <row r="3566" spans="1:18" ht="15.75" customHeight="1">
      <c r="A3566" s="26"/>
      <c r="B3566" s="86"/>
      <c r="D3566" s="26"/>
      <c r="F3566" s="87" t="str">
        <f t="shared" si="0"/>
        <v/>
      </c>
      <c r="H3566" s="26" t="str">
        <f t="shared" si="1"/>
        <v/>
      </c>
      <c r="I3566" s="26" t="str">
        <f t="shared" si="2"/>
        <v/>
      </c>
      <c r="J3566" s="86">
        <f t="shared" si="3"/>
        <v>0</v>
      </c>
      <c r="R3566" s="26"/>
    </row>
    <row r="3567" spans="1:18" ht="15.75" customHeight="1">
      <c r="A3567" s="26"/>
      <c r="B3567" s="86"/>
      <c r="D3567" s="26"/>
      <c r="F3567" s="87" t="str">
        <f t="shared" si="0"/>
        <v/>
      </c>
      <c r="H3567" s="26" t="str">
        <f t="shared" si="1"/>
        <v/>
      </c>
      <c r="I3567" s="26" t="str">
        <f t="shared" si="2"/>
        <v/>
      </c>
      <c r="J3567" s="86">
        <f t="shared" si="3"/>
        <v>0</v>
      </c>
      <c r="R3567" s="26"/>
    </row>
    <row r="3568" spans="1:18" ht="15.75" customHeight="1">
      <c r="A3568" s="26"/>
      <c r="B3568" s="86"/>
      <c r="D3568" s="26"/>
      <c r="F3568" s="87" t="str">
        <f t="shared" si="0"/>
        <v/>
      </c>
      <c r="H3568" s="26" t="str">
        <f t="shared" si="1"/>
        <v/>
      </c>
      <c r="I3568" s="26" t="str">
        <f t="shared" si="2"/>
        <v/>
      </c>
      <c r="J3568" s="86">
        <f t="shared" si="3"/>
        <v>0</v>
      </c>
      <c r="R3568" s="26"/>
    </row>
    <row r="3569" spans="1:18" ht="15.75" customHeight="1">
      <c r="A3569" s="26"/>
      <c r="B3569" s="86"/>
      <c r="D3569" s="26"/>
      <c r="F3569" s="87" t="str">
        <f t="shared" si="0"/>
        <v/>
      </c>
      <c r="H3569" s="26" t="str">
        <f t="shared" si="1"/>
        <v/>
      </c>
      <c r="I3569" s="26" t="str">
        <f t="shared" si="2"/>
        <v/>
      </c>
      <c r="J3569" s="86">
        <f t="shared" si="3"/>
        <v>0</v>
      </c>
      <c r="R3569" s="26"/>
    </row>
    <row r="3570" spans="1:18" ht="15.75" customHeight="1">
      <c r="A3570" s="26"/>
      <c r="B3570" s="86"/>
      <c r="D3570" s="26"/>
      <c r="F3570" s="87" t="str">
        <f t="shared" si="0"/>
        <v/>
      </c>
      <c r="H3570" s="26" t="str">
        <f t="shared" si="1"/>
        <v/>
      </c>
      <c r="I3570" s="26" t="str">
        <f t="shared" si="2"/>
        <v/>
      </c>
      <c r="J3570" s="86">
        <f t="shared" si="3"/>
        <v>0</v>
      </c>
      <c r="R3570" s="26"/>
    </row>
    <row r="3571" spans="1:18" ht="15.75" customHeight="1">
      <c r="A3571" s="26"/>
      <c r="B3571" s="86"/>
      <c r="D3571" s="26"/>
      <c r="F3571" s="87" t="str">
        <f t="shared" si="0"/>
        <v/>
      </c>
      <c r="H3571" s="26" t="str">
        <f t="shared" si="1"/>
        <v/>
      </c>
      <c r="I3571" s="26" t="str">
        <f t="shared" si="2"/>
        <v/>
      </c>
      <c r="J3571" s="86">
        <f t="shared" si="3"/>
        <v>0</v>
      </c>
      <c r="R3571" s="26"/>
    </row>
    <row r="3572" spans="1:18" ht="15.75" customHeight="1">
      <c r="A3572" s="26"/>
      <c r="B3572" s="86"/>
      <c r="D3572" s="26"/>
      <c r="F3572" s="87" t="str">
        <f t="shared" si="0"/>
        <v/>
      </c>
      <c r="H3572" s="26" t="str">
        <f t="shared" si="1"/>
        <v/>
      </c>
      <c r="I3572" s="26" t="str">
        <f t="shared" si="2"/>
        <v/>
      </c>
      <c r="J3572" s="86">
        <f t="shared" si="3"/>
        <v>0</v>
      </c>
      <c r="R3572" s="26"/>
    </row>
    <row r="3573" spans="1:18" ht="15.75" customHeight="1">
      <c r="A3573" s="26"/>
      <c r="B3573" s="86"/>
      <c r="D3573" s="26"/>
      <c r="F3573" s="87" t="str">
        <f t="shared" si="0"/>
        <v/>
      </c>
      <c r="H3573" s="26" t="str">
        <f t="shared" si="1"/>
        <v/>
      </c>
      <c r="I3573" s="26" t="str">
        <f t="shared" si="2"/>
        <v/>
      </c>
      <c r="J3573" s="86">
        <f t="shared" si="3"/>
        <v>0</v>
      </c>
      <c r="R3573" s="26"/>
    </row>
    <row r="3574" spans="1:18" ht="15.75" customHeight="1">
      <c r="A3574" s="26"/>
      <c r="B3574" s="86"/>
      <c r="D3574" s="26"/>
      <c r="F3574" s="87" t="str">
        <f t="shared" si="0"/>
        <v/>
      </c>
      <c r="H3574" s="26" t="str">
        <f t="shared" si="1"/>
        <v/>
      </c>
      <c r="I3574" s="26" t="str">
        <f t="shared" si="2"/>
        <v/>
      </c>
      <c r="J3574" s="86">
        <f t="shared" si="3"/>
        <v>0</v>
      </c>
      <c r="R3574" s="26"/>
    </row>
    <row r="3575" spans="1:18" ht="15.75" customHeight="1">
      <c r="A3575" s="26"/>
      <c r="B3575" s="86"/>
      <c r="D3575" s="26"/>
      <c r="F3575" s="87" t="str">
        <f t="shared" si="0"/>
        <v/>
      </c>
      <c r="H3575" s="26" t="str">
        <f t="shared" si="1"/>
        <v/>
      </c>
      <c r="I3575" s="26" t="str">
        <f t="shared" si="2"/>
        <v/>
      </c>
      <c r="J3575" s="86">
        <f t="shared" si="3"/>
        <v>0</v>
      </c>
      <c r="R3575" s="26"/>
    </row>
    <row r="3576" spans="1:18" ht="15.75" customHeight="1">
      <c r="A3576" s="26"/>
      <c r="B3576" s="86"/>
      <c r="D3576" s="26"/>
      <c r="F3576" s="87" t="str">
        <f t="shared" si="0"/>
        <v/>
      </c>
      <c r="H3576" s="26" t="str">
        <f t="shared" si="1"/>
        <v/>
      </c>
      <c r="I3576" s="26" t="str">
        <f t="shared" si="2"/>
        <v/>
      </c>
      <c r="J3576" s="86">
        <f t="shared" si="3"/>
        <v>0</v>
      </c>
      <c r="R3576" s="26"/>
    </row>
    <row r="3577" spans="1:18" ht="15.75" customHeight="1">
      <c r="A3577" s="26"/>
      <c r="B3577" s="86"/>
      <c r="D3577" s="26"/>
      <c r="F3577" s="87" t="str">
        <f t="shared" si="0"/>
        <v/>
      </c>
      <c r="H3577" s="26" t="str">
        <f t="shared" si="1"/>
        <v/>
      </c>
      <c r="I3577" s="26" t="str">
        <f t="shared" si="2"/>
        <v/>
      </c>
      <c r="J3577" s="86">
        <f t="shared" si="3"/>
        <v>0</v>
      </c>
      <c r="R3577" s="26"/>
    </row>
    <row r="3578" spans="1:18" ht="15.75" customHeight="1">
      <c r="A3578" s="26"/>
      <c r="B3578" s="86"/>
      <c r="D3578" s="26"/>
      <c r="F3578" s="87" t="str">
        <f t="shared" si="0"/>
        <v/>
      </c>
      <c r="H3578" s="26" t="str">
        <f t="shared" si="1"/>
        <v/>
      </c>
      <c r="I3578" s="26" t="str">
        <f t="shared" si="2"/>
        <v/>
      </c>
      <c r="J3578" s="86">
        <f t="shared" si="3"/>
        <v>0</v>
      </c>
      <c r="R3578" s="26"/>
    </row>
    <row r="3579" spans="1:18" ht="15.75" customHeight="1">
      <c r="A3579" s="26"/>
      <c r="B3579" s="86"/>
      <c r="D3579" s="26"/>
      <c r="F3579" s="87" t="str">
        <f t="shared" si="0"/>
        <v/>
      </c>
      <c r="H3579" s="26" t="str">
        <f t="shared" si="1"/>
        <v/>
      </c>
      <c r="I3579" s="26" t="str">
        <f t="shared" si="2"/>
        <v/>
      </c>
      <c r="J3579" s="86">
        <f t="shared" si="3"/>
        <v>0</v>
      </c>
      <c r="R3579" s="26"/>
    </row>
    <row r="3580" spans="1:18" ht="15.75" customHeight="1">
      <c r="A3580" s="26"/>
      <c r="B3580" s="86"/>
      <c r="D3580" s="26"/>
      <c r="F3580" s="87" t="str">
        <f t="shared" si="0"/>
        <v/>
      </c>
      <c r="H3580" s="26" t="str">
        <f t="shared" si="1"/>
        <v/>
      </c>
      <c r="I3580" s="26" t="str">
        <f t="shared" si="2"/>
        <v/>
      </c>
      <c r="J3580" s="86">
        <f t="shared" si="3"/>
        <v>0</v>
      </c>
      <c r="R3580" s="26"/>
    </row>
    <row r="3581" spans="1:18" ht="15.75" customHeight="1">
      <c r="A3581" s="26"/>
      <c r="B3581" s="86"/>
      <c r="D3581" s="26"/>
      <c r="F3581" s="87" t="str">
        <f t="shared" si="0"/>
        <v/>
      </c>
      <c r="H3581" s="26" t="str">
        <f t="shared" si="1"/>
        <v/>
      </c>
      <c r="I3581" s="26" t="str">
        <f t="shared" si="2"/>
        <v/>
      </c>
      <c r="J3581" s="86">
        <f t="shared" si="3"/>
        <v>0</v>
      </c>
      <c r="R3581" s="26"/>
    </row>
    <row r="3582" spans="1:18" ht="15.75" customHeight="1">
      <c r="A3582" s="26"/>
      <c r="B3582" s="86"/>
      <c r="D3582" s="26"/>
      <c r="F3582" s="87" t="str">
        <f t="shared" si="0"/>
        <v/>
      </c>
      <c r="H3582" s="26" t="str">
        <f t="shared" si="1"/>
        <v/>
      </c>
      <c r="I3582" s="26" t="str">
        <f t="shared" si="2"/>
        <v/>
      </c>
      <c r="J3582" s="86">
        <f t="shared" si="3"/>
        <v>0</v>
      </c>
      <c r="R3582" s="26"/>
    </row>
    <row r="3583" spans="1:18" ht="15.75" customHeight="1">
      <c r="A3583" s="26"/>
      <c r="B3583" s="86"/>
      <c r="D3583" s="26"/>
      <c r="F3583" s="87" t="str">
        <f t="shared" si="0"/>
        <v/>
      </c>
      <c r="H3583" s="26" t="str">
        <f t="shared" si="1"/>
        <v/>
      </c>
      <c r="I3583" s="26" t="str">
        <f t="shared" si="2"/>
        <v/>
      </c>
      <c r="J3583" s="86">
        <f t="shared" si="3"/>
        <v>0</v>
      </c>
      <c r="R3583" s="26"/>
    </row>
    <row r="3584" spans="1:18" ht="15.75" customHeight="1">
      <c r="A3584" s="26"/>
      <c r="B3584" s="86"/>
      <c r="D3584" s="26"/>
      <c r="F3584" s="87" t="str">
        <f t="shared" si="0"/>
        <v/>
      </c>
      <c r="H3584" s="26" t="str">
        <f t="shared" si="1"/>
        <v/>
      </c>
      <c r="I3584" s="26" t="str">
        <f t="shared" si="2"/>
        <v/>
      </c>
      <c r="J3584" s="86">
        <f t="shared" si="3"/>
        <v>0</v>
      </c>
      <c r="R3584" s="26"/>
    </row>
    <row r="3585" spans="1:18" ht="15.75" customHeight="1">
      <c r="A3585" s="26"/>
      <c r="B3585" s="86"/>
      <c r="D3585" s="26"/>
      <c r="F3585" s="87" t="str">
        <f t="shared" si="0"/>
        <v/>
      </c>
      <c r="H3585" s="26" t="str">
        <f t="shared" si="1"/>
        <v/>
      </c>
      <c r="I3585" s="26" t="str">
        <f t="shared" si="2"/>
        <v/>
      </c>
      <c r="J3585" s="86">
        <f t="shared" si="3"/>
        <v>0</v>
      </c>
      <c r="R3585" s="26"/>
    </row>
    <row r="3586" spans="1:18" ht="15.75" customHeight="1">
      <c r="A3586" s="26"/>
      <c r="B3586" s="86"/>
      <c r="D3586" s="26"/>
      <c r="F3586" s="87" t="str">
        <f t="shared" si="0"/>
        <v/>
      </c>
      <c r="H3586" s="26" t="str">
        <f t="shared" si="1"/>
        <v/>
      </c>
      <c r="I3586" s="26" t="str">
        <f t="shared" si="2"/>
        <v/>
      </c>
      <c r="J3586" s="86">
        <f t="shared" si="3"/>
        <v>0</v>
      </c>
      <c r="R3586" s="26"/>
    </row>
    <row r="3587" spans="1:18" ht="15.75" customHeight="1">
      <c r="A3587" s="26"/>
      <c r="B3587" s="86"/>
      <c r="D3587" s="26"/>
      <c r="F3587" s="87" t="str">
        <f t="shared" si="0"/>
        <v/>
      </c>
      <c r="H3587" s="26" t="str">
        <f t="shared" si="1"/>
        <v/>
      </c>
      <c r="I3587" s="26" t="str">
        <f t="shared" si="2"/>
        <v/>
      </c>
      <c r="J3587" s="86">
        <f t="shared" si="3"/>
        <v>0</v>
      </c>
      <c r="R3587" s="26"/>
    </row>
    <row r="3588" spans="1:18" ht="15.75" customHeight="1">
      <c r="A3588" s="26"/>
      <c r="B3588" s="86"/>
      <c r="D3588" s="26"/>
      <c r="F3588" s="87" t="str">
        <f t="shared" si="0"/>
        <v/>
      </c>
      <c r="H3588" s="26" t="str">
        <f t="shared" si="1"/>
        <v/>
      </c>
      <c r="I3588" s="26" t="str">
        <f t="shared" si="2"/>
        <v/>
      </c>
      <c r="J3588" s="86">
        <f t="shared" si="3"/>
        <v>0</v>
      </c>
      <c r="R3588" s="26"/>
    </row>
    <row r="3589" spans="1:18" ht="15.75" customHeight="1">
      <c r="A3589" s="26"/>
      <c r="B3589" s="86"/>
      <c r="D3589" s="26"/>
      <c r="F3589" s="87" t="str">
        <f t="shared" si="0"/>
        <v/>
      </c>
      <c r="H3589" s="26" t="str">
        <f t="shared" si="1"/>
        <v/>
      </c>
      <c r="I3589" s="26" t="str">
        <f t="shared" si="2"/>
        <v/>
      </c>
      <c r="J3589" s="86">
        <f t="shared" si="3"/>
        <v>0</v>
      </c>
      <c r="R3589" s="26"/>
    </row>
    <row r="3590" spans="1:18" ht="15.75" customHeight="1">
      <c r="A3590" s="26"/>
      <c r="B3590" s="86"/>
      <c r="D3590" s="26"/>
      <c r="F3590" s="87" t="str">
        <f t="shared" si="0"/>
        <v/>
      </c>
      <c r="H3590" s="26" t="str">
        <f t="shared" si="1"/>
        <v/>
      </c>
      <c r="I3590" s="26" t="str">
        <f t="shared" si="2"/>
        <v/>
      </c>
      <c r="J3590" s="86">
        <f t="shared" si="3"/>
        <v>0</v>
      </c>
      <c r="R3590" s="26"/>
    </row>
    <row r="3591" spans="1:18" ht="15.75" customHeight="1">
      <c r="A3591" s="26"/>
      <c r="B3591" s="86"/>
      <c r="D3591" s="26"/>
      <c r="F3591" s="87" t="str">
        <f t="shared" si="0"/>
        <v/>
      </c>
      <c r="H3591" s="26" t="str">
        <f t="shared" si="1"/>
        <v/>
      </c>
      <c r="I3591" s="26" t="str">
        <f t="shared" si="2"/>
        <v/>
      </c>
      <c r="J3591" s="86">
        <f t="shared" si="3"/>
        <v>0</v>
      </c>
      <c r="R3591" s="26"/>
    </row>
    <row r="3592" spans="1:18" ht="15.75" customHeight="1">
      <c r="A3592" s="26"/>
      <c r="B3592" s="86"/>
      <c r="D3592" s="26"/>
      <c r="F3592" s="87" t="str">
        <f t="shared" si="0"/>
        <v/>
      </c>
      <c r="H3592" s="26" t="str">
        <f t="shared" si="1"/>
        <v/>
      </c>
      <c r="I3592" s="26" t="str">
        <f t="shared" si="2"/>
        <v/>
      </c>
      <c r="J3592" s="86">
        <f t="shared" si="3"/>
        <v>0</v>
      </c>
      <c r="R3592" s="26"/>
    </row>
    <row r="3593" spans="1:18" ht="15.75" customHeight="1">
      <c r="A3593" s="26"/>
      <c r="B3593" s="86"/>
      <c r="D3593" s="26"/>
      <c r="F3593" s="87" t="str">
        <f t="shared" si="0"/>
        <v/>
      </c>
      <c r="H3593" s="26" t="str">
        <f t="shared" si="1"/>
        <v/>
      </c>
      <c r="I3593" s="26" t="str">
        <f t="shared" si="2"/>
        <v/>
      </c>
      <c r="J3593" s="86">
        <f t="shared" si="3"/>
        <v>0</v>
      </c>
      <c r="R3593" s="26"/>
    </row>
    <row r="3594" spans="1:18" ht="15.75" customHeight="1">
      <c r="A3594" s="26"/>
      <c r="B3594" s="86"/>
      <c r="D3594" s="26"/>
      <c r="F3594" s="87" t="str">
        <f t="shared" si="0"/>
        <v/>
      </c>
      <c r="H3594" s="26" t="str">
        <f t="shared" si="1"/>
        <v/>
      </c>
      <c r="I3594" s="26" t="str">
        <f t="shared" si="2"/>
        <v/>
      </c>
      <c r="J3594" s="86">
        <f t="shared" si="3"/>
        <v>0</v>
      </c>
      <c r="R3594" s="26"/>
    </row>
    <row r="3595" spans="1:18" ht="15.75" customHeight="1">
      <c r="A3595" s="26"/>
      <c r="B3595" s="86"/>
      <c r="D3595" s="26"/>
      <c r="F3595" s="87" t="str">
        <f t="shared" si="0"/>
        <v/>
      </c>
      <c r="H3595" s="26" t="str">
        <f t="shared" si="1"/>
        <v/>
      </c>
      <c r="I3595" s="26" t="str">
        <f t="shared" si="2"/>
        <v/>
      </c>
      <c r="J3595" s="86">
        <f t="shared" si="3"/>
        <v>0</v>
      </c>
      <c r="R3595" s="26"/>
    </row>
    <row r="3596" spans="1:18" ht="15.75" customHeight="1">
      <c r="A3596" s="26"/>
      <c r="B3596" s="86"/>
      <c r="D3596" s="26"/>
      <c r="F3596" s="87" t="str">
        <f t="shared" si="0"/>
        <v/>
      </c>
      <c r="H3596" s="26" t="str">
        <f t="shared" si="1"/>
        <v/>
      </c>
      <c r="I3596" s="26" t="str">
        <f t="shared" si="2"/>
        <v/>
      </c>
      <c r="J3596" s="86">
        <f t="shared" si="3"/>
        <v>0</v>
      </c>
      <c r="R3596" s="26"/>
    </row>
    <row r="3597" spans="1:18" ht="15.75" customHeight="1">
      <c r="A3597" s="26"/>
      <c r="B3597" s="86"/>
      <c r="D3597" s="26"/>
      <c r="F3597" s="87" t="str">
        <f t="shared" si="0"/>
        <v/>
      </c>
      <c r="H3597" s="26" t="str">
        <f t="shared" si="1"/>
        <v/>
      </c>
      <c r="I3597" s="26" t="str">
        <f t="shared" si="2"/>
        <v/>
      </c>
      <c r="J3597" s="86">
        <f t="shared" si="3"/>
        <v>0</v>
      </c>
      <c r="R3597" s="26"/>
    </row>
    <row r="3598" spans="1:18" ht="15.75" customHeight="1">
      <c r="A3598" s="26"/>
      <c r="B3598" s="86"/>
      <c r="D3598" s="26"/>
      <c r="F3598" s="87" t="str">
        <f t="shared" si="0"/>
        <v/>
      </c>
      <c r="H3598" s="26" t="str">
        <f t="shared" si="1"/>
        <v/>
      </c>
      <c r="I3598" s="26" t="str">
        <f t="shared" si="2"/>
        <v/>
      </c>
      <c r="J3598" s="86">
        <f t="shared" si="3"/>
        <v>0</v>
      </c>
      <c r="R3598" s="26"/>
    </row>
    <row r="3599" spans="1:18" ht="15.75" customHeight="1">
      <c r="A3599" s="26"/>
      <c r="B3599" s="86"/>
      <c r="D3599" s="26"/>
      <c r="F3599" s="87" t="str">
        <f t="shared" si="0"/>
        <v/>
      </c>
      <c r="H3599" s="26" t="str">
        <f t="shared" si="1"/>
        <v/>
      </c>
      <c r="I3599" s="26" t="str">
        <f t="shared" si="2"/>
        <v/>
      </c>
      <c r="J3599" s="86">
        <f t="shared" si="3"/>
        <v>0</v>
      </c>
      <c r="R3599" s="26"/>
    </row>
    <row r="3600" spans="1:18" ht="15.75" customHeight="1">
      <c r="A3600" s="26"/>
      <c r="B3600" s="86"/>
      <c r="D3600" s="26"/>
      <c r="F3600" s="87" t="str">
        <f t="shared" si="0"/>
        <v/>
      </c>
      <c r="H3600" s="26" t="str">
        <f t="shared" si="1"/>
        <v/>
      </c>
      <c r="I3600" s="26" t="str">
        <f t="shared" si="2"/>
        <v/>
      </c>
      <c r="J3600" s="86">
        <f t="shared" si="3"/>
        <v>0</v>
      </c>
      <c r="R3600" s="26"/>
    </row>
    <row r="3601" spans="1:18" ht="15.75" customHeight="1">
      <c r="A3601" s="26"/>
      <c r="B3601" s="86"/>
      <c r="D3601" s="26"/>
      <c r="F3601" s="87" t="str">
        <f t="shared" si="0"/>
        <v/>
      </c>
      <c r="H3601" s="26" t="str">
        <f t="shared" si="1"/>
        <v/>
      </c>
      <c r="I3601" s="26" t="str">
        <f t="shared" si="2"/>
        <v/>
      </c>
      <c r="J3601" s="86">
        <f t="shared" si="3"/>
        <v>0</v>
      </c>
      <c r="R3601" s="26"/>
    </row>
    <row r="3602" spans="1:18" ht="15.75" customHeight="1">
      <c r="A3602" s="26"/>
      <c r="B3602" s="86"/>
      <c r="D3602" s="26"/>
      <c r="F3602" s="87" t="str">
        <f t="shared" si="0"/>
        <v/>
      </c>
      <c r="H3602" s="26" t="str">
        <f t="shared" si="1"/>
        <v/>
      </c>
      <c r="I3602" s="26" t="str">
        <f t="shared" si="2"/>
        <v/>
      </c>
      <c r="J3602" s="86">
        <f t="shared" si="3"/>
        <v>0</v>
      </c>
      <c r="R3602" s="26"/>
    </row>
    <row r="3603" spans="1:18" ht="15.75" customHeight="1">
      <c r="A3603" s="26"/>
      <c r="B3603" s="86"/>
      <c r="D3603" s="26"/>
      <c r="F3603" s="87" t="str">
        <f t="shared" si="0"/>
        <v/>
      </c>
      <c r="H3603" s="26" t="str">
        <f t="shared" si="1"/>
        <v/>
      </c>
      <c r="I3603" s="26" t="str">
        <f t="shared" si="2"/>
        <v/>
      </c>
      <c r="J3603" s="86">
        <f t="shared" si="3"/>
        <v>0</v>
      </c>
      <c r="R3603" s="26"/>
    </row>
    <row r="3604" spans="1:18" ht="15.75" customHeight="1">
      <c r="A3604" s="26"/>
      <c r="B3604" s="86"/>
      <c r="D3604" s="26"/>
      <c r="F3604" s="87" t="str">
        <f t="shared" si="0"/>
        <v/>
      </c>
      <c r="H3604" s="26" t="str">
        <f t="shared" si="1"/>
        <v/>
      </c>
      <c r="I3604" s="26" t="str">
        <f t="shared" si="2"/>
        <v/>
      </c>
      <c r="J3604" s="86">
        <f t="shared" si="3"/>
        <v>0</v>
      </c>
      <c r="R3604" s="26"/>
    </row>
    <row r="3605" spans="1:18" ht="15.75" customHeight="1">
      <c r="A3605" s="26"/>
      <c r="B3605" s="86"/>
      <c r="D3605" s="26"/>
      <c r="F3605" s="87" t="str">
        <f t="shared" si="0"/>
        <v/>
      </c>
      <c r="H3605" s="26" t="str">
        <f t="shared" si="1"/>
        <v/>
      </c>
      <c r="I3605" s="26" t="str">
        <f t="shared" si="2"/>
        <v/>
      </c>
      <c r="J3605" s="86">
        <f t="shared" si="3"/>
        <v>0</v>
      </c>
      <c r="R3605" s="26"/>
    </row>
    <row r="3606" spans="1:18" ht="15.75" customHeight="1">
      <c r="A3606" s="26"/>
      <c r="B3606" s="86"/>
      <c r="D3606" s="26"/>
      <c r="F3606" s="87" t="str">
        <f t="shared" si="0"/>
        <v/>
      </c>
      <c r="H3606" s="26" t="str">
        <f t="shared" si="1"/>
        <v/>
      </c>
      <c r="I3606" s="26" t="str">
        <f t="shared" si="2"/>
        <v/>
      </c>
      <c r="J3606" s="86">
        <f t="shared" si="3"/>
        <v>0</v>
      </c>
      <c r="R3606" s="26"/>
    </row>
    <row r="3607" spans="1:18" ht="15.75" customHeight="1">
      <c r="A3607" s="26"/>
      <c r="B3607" s="86"/>
      <c r="D3607" s="26"/>
      <c r="F3607" s="87" t="str">
        <f t="shared" si="0"/>
        <v/>
      </c>
      <c r="H3607" s="26" t="str">
        <f t="shared" si="1"/>
        <v/>
      </c>
      <c r="I3607" s="26" t="str">
        <f t="shared" si="2"/>
        <v/>
      </c>
      <c r="J3607" s="86">
        <f t="shared" si="3"/>
        <v>0</v>
      </c>
      <c r="R3607" s="26"/>
    </row>
    <row r="3608" spans="1:18" ht="15.75" customHeight="1">
      <c r="A3608" s="26"/>
      <c r="B3608" s="86"/>
      <c r="D3608" s="26"/>
      <c r="F3608" s="87" t="str">
        <f t="shared" si="0"/>
        <v/>
      </c>
      <c r="H3608" s="26" t="str">
        <f t="shared" si="1"/>
        <v/>
      </c>
      <c r="I3608" s="26" t="str">
        <f t="shared" si="2"/>
        <v/>
      </c>
      <c r="J3608" s="86">
        <f t="shared" si="3"/>
        <v>0</v>
      </c>
      <c r="R3608" s="26"/>
    </row>
    <row r="3609" spans="1:18" ht="15.75" customHeight="1">
      <c r="A3609" s="26"/>
      <c r="B3609" s="86"/>
      <c r="D3609" s="26"/>
      <c r="F3609" s="87" t="str">
        <f t="shared" si="0"/>
        <v/>
      </c>
      <c r="H3609" s="26" t="str">
        <f t="shared" si="1"/>
        <v/>
      </c>
      <c r="I3609" s="26" t="str">
        <f t="shared" si="2"/>
        <v/>
      </c>
      <c r="J3609" s="86">
        <f t="shared" si="3"/>
        <v>0</v>
      </c>
      <c r="R3609" s="26"/>
    </row>
    <row r="3610" spans="1:18" ht="15.75" customHeight="1">
      <c r="A3610" s="26"/>
      <c r="B3610" s="86"/>
      <c r="D3610" s="26"/>
      <c r="F3610" s="87" t="str">
        <f t="shared" si="0"/>
        <v/>
      </c>
      <c r="H3610" s="26" t="str">
        <f t="shared" si="1"/>
        <v/>
      </c>
      <c r="I3610" s="26" t="str">
        <f t="shared" si="2"/>
        <v/>
      </c>
      <c r="J3610" s="86">
        <f t="shared" si="3"/>
        <v>0</v>
      </c>
      <c r="R3610" s="26"/>
    </row>
    <row r="3611" spans="1:18" ht="15.75" customHeight="1">
      <c r="A3611" s="26"/>
      <c r="B3611" s="86"/>
      <c r="D3611" s="26"/>
      <c r="F3611" s="87" t="str">
        <f t="shared" si="0"/>
        <v/>
      </c>
      <c r="H3611" s="26" t="str">
        <f t="shared" si="1"/>
        <v/>
      </c>
      <c r="I3611" s="26" t="str">
        <f t="shared" si="2"/>
        <v/>
      </c>
      <c r="J3611" s="86">
        <f t="shared" si="3"/>
        <v>0</v>
      </c>
      <c r="R3611" s="26"/>
    </row>
    <row r="3612" spans="1:18" ht="15.75" customHeight="1">
      <c r="A3612" s="26"/>
      <c r="B3612" s="86"/>
      <c r="D3612" s="26"/>
      <c r="F3612" s="87" t="str">
        <f t="shared" si="0"/>
        <v/>
      </c>
      <c r="H3612" s="26" t="str">
        <f t="shared" si="1"/>
        <v/>
      </c>
      <c r="I3612" s="26" t="str">
        <f t="shared" si="2"/>
        <v/>
      </c>
      <c r="J3612" s="86">
        <f t="shared" si="3"/>
        <v>0</v>
      </c>
      <c r="R3612" s="26"/>
    </row>
    <row r="3613" spans="1:18" ht="15.75" customHeight="1">
      <c r="A3613" s="26"/>
      <c r="B3613" s="86"/>
      <c r="D3613" s="26"/>
      <c r="F3613" s="87" t="str">
        <f t="shared" si="0"/>
        <v/>
      </c>
      <c r="H3613" s="26" t="str">
        <f t="shared" si="1"/>
        <v/>
      </c>
      <c r="I3613" s="26" t="str">
        <f t="shared" si="2"/>
        <v/>
      </c>
      <c r="J3613" s="86">
        <f t="shared" si="3"/>
        <v>0</v>
      </c>
      <c r="R3613" s="26"/>
    </row>
    <row r="3614" spans="1:18" ht="15.75" customHeight="1">
      <c r="A3614" s="26"/>
      <c r="B3614" s="86"/>
      <c r="D3614" s="26"/>
      <c r="F3614" s="87" t="str">
        <f t="shared" si="0"/>
        <v/>
      </c>
      <c r="H3614" s="26" t="str">
        <f t="shared" si="1"/>
        <v/>
      </c>
      <c r="I3614" s="26" t="str">
        <f t="shared" si="2"/>
        <v/>
      </c>
      <c r="J3614" s="86">
        <f t="shared" si="3"/>
        <v>0</v>
      </c>
      <c r="R3614" s="26"/>
    </row>
    <row r="3615" spans="1:18" ht="15.75" customHeight="1">
      <c r="A3615" s="26"/>
      <c r="B3615" s="86"/>
      <c r="D3615" s="26"/>
      <c r="F3615" s="87" t="str">
        <f t="shared" si="0"/>
        <v/>
      </c>
      <c r="H3615" s="26" t="str">
        <f t="shared" si="1"/>
        <v/>
      </c>
      <c r="I3615" s="26" t="str">
        <f t="shared" si="2"/>
        <v/>
      </c>
      <c r="J3615" s="86">
        <f t="shared" si="3"/>
        <v>0</v>
      </c>
      <c r="R3615" s="26"/>
    </row>
    <row r="3616" spans="1:18" ht="15.75" customHeight="1">
      <c r="A3616" s="26"/>
      <c r="B3616" s="86"/>
      <c r="D3616" s="26"/>
      <c r="F3616" s="87" t="str">
        <f t="shared" si="0"/>
        <v/>
      </c>
      <c r="H3616" s="26" t="str">
        <f t="shared" si="1"/>
        <v/>
      </c>
      <c r="I3616" s="26" t="str">
        <f t="shared" si="2"/>
        <v/>
      </c>
      <c r="J3616" s="86">
        <f t="shared" si="3"/>
        <v>0</v>
      </c>
      <c r="R3616" s="26"/>
    </row>
    <row r="3617" spans="1:18" ht="15.75" customHeight="1">
      <c r="A3617" s="26"/>
      <c r="B3617" s="86"/>
      <c r="D3617" s="26"/>
      <c r="F3617" s="87" t="str">
        <f t="shared" si="0"/>
        <v/>
      </c>
      <c r="H3617" s="26" t="str">
        <f t="shared" si="1"/>
        <v/>
      </c>
      <c r="I3617" s="26" t="str">
        <f t="shared" si="2"/>
        <v/>
      </c>
      <c r="J3617" s="86">
        <f t="shared" si="3"/>
        <v>0</v>
      </c>
      <c r="R3617" s="26"/>
    </row>
    <row r="3618" spans="1:18" ht="15.75" customHeight="1">
      <c r="A3618" s="26"/>
      <c r="B3618" s="86"/>
      <c r="D3618" s="26"/>
      <c r="F3618" s="87" t="str">
        <f t="shared" si="0"/>
        <v/>
      </c>
      <c r="H3618" s="26" t="str">
        <f t="shared" si="1"/>
        <v/>
      </c>
      <c r="I3618" s="26" t="str">
        <f t="shared" si="2"/>
        <v/>
      </c>
      <c r="J3618" s="86">
        <f t="shared" si="3"/>
        <v>0</v>
      </c>
      <c r="R3618" s="26"/>
    </row>
    <row r="3619" spans="1:18" ht="15.75" customHeight="1">
      <c r="A3619" s="26"/>
      <c r="B3619" s="86"/>
      <c r="D3619" s="26"/>
      <c r="F3619" s="87" t="str">
        <f t="shared" si="0"/>
        <v/>
      </c>
      <c r="H3619" s="26" t="str">
        <f t="shared" si="1"/>
        <v/>
      </c>
      <c r="I3619" s="26" t="str">
        <f t="shared" si="2"/>
        <v/>
      </c>
      <c r="J3619" s="86">
        <f t="shared" si="3"/>
        <v>0</v>
      </c>
      <c r="R3619" s="26"/>
    </row>
    <row r="3620" spans="1:18" ht="15.75" customHeight="1">
      <c r="A3620" s="26"/>
      <c r="B3620" s="86"/>
      <c r="D3620" s="26"/>
      <c r="F3620" s="87" t="str">
        <f t="shared" si="0"/>
        <v/>
      </c>
      <c r="H3620" s="26" t="str">
        <f t="shared" si="1"/>
        <v/>
      </c>
      <c r="I3620" s="26" t="str">
        <f t="shared" si="2"/>
        <v/>
      </c>
      <c r="J3620" s="86">
        <f t="shared" si="3"/>
        <v>0</v>
      </c>
      <c r="R3620" s="26"/>
    </row>
    <row r="3621" spans="1:18" ht="15.75" customHeight="1">
      <c r="A3621" s="26"/>
      <c r="B3621" s="86"/>
      <c r="D3621" s="26"/>
      <c r="F3621" s="87" t="str">
        <f t="shared" si="0"/>
        <v/>
      </c>
      <c r="H3621" s="26" t="str">
        <f t="shared" si="1"/>
        <v/>
      </c>
      <c r="I3621" s="26" t="str">
        <f t="shared" si="2"/>
        <v/>
      </c>
      <c r="J3621" s="86">
        <f t="shared" si="3"/>
        <v>0</v>
      </c>
      <c r="R3621" s="26"/>
    </row>
    <row r="3622" spans="1:18" ht="15.75" customHeight="1">
      <c r="A3622" s="26"/>
      <c r="B3622" s="86"/>
      <c r="D3622" s="26"/>
      <c r="F3622" s="87" t="str">
        <f t="shared" si="0"/>
        <v/>
      </c>
      <c r="H3622" s="26" t="str">
        <f t="shared" si="1"/>
        <v/>
      </c>
      <c r="I3622" s="26" t="str">
        <f t="shared" si="2"/>
        <v/>
      </c>
      <c r="J3622" s="86">
        <f t="shared" si="3"/>
        <v>0</v>
      </c>
      <c r="R3622" s="26"/>
    </row>
    <row r="3623" spans="1:18" ht="15.75" customHeight="1">
      <c r="A3623" s="26"/>
      <c r="B3623" s="86"/>
      <c r="D3623" s="26"/>
      <c r="F3623" s="87" t="str">
        <f t="shared" si="0"/>
        <v/>
      </c>
      <c r="H3623" s="26" t="str">
        <f t="shared" si="1"/>
        <v/>
      </c>
      <c r="I3623" s="26" t="str">
        <f t="shared" si="2"/>
        <v/>
      </c>
      <c r="J3623" s="86">
        <f t="shared" si="3"/>
        <v>0</v>
      </c>
      <c r="R3623" s="26"/>
    </row>
    <row r="3624" spans="1:18" ht="15.75" customHeight="1">
      <c r="A3624" s="26"/>
      <c r="B3624" s="86"/>
      <c r="D3624" s="26"/>
      <c r="F3624" s="87" t="str">
        <f t="shared" si="0"/>
        <v/>
      </c>
      <c r="H3624" s="26" t="str">
        <f t="shared" si="1"/>
        <v/>
      </c>
      <c r="I3624" s="26" t="str">
        <f t="shared" si="2"/>
        <v/>
      </c>
      <c r="J3624" s="86">
        <f t="shared" si="3"/>
        <v>0</v>
      </c>
      <c r="R3624" s="26"/>
    </row>
    <row r="3625" spans="1:18" ht="15.75" customHeight="1">
      <c r="A3625" s="26"/>
      <c r="B3625" s="86"/>
      <c r="D3625" s="26"/>
      <c r="F3625" s="87" t="str">
        <f t="shared" si="0"/>
        <v/>
      </c>
      <c r="H3625" s="26" t="str">
        <f t="shared" si="1"/>
        <v/>
      </c>
      <c r="I3625" s="26" t="str">
        <f t="shared" si="2"/>
        <v/>
      </c>
      <c r="J3625" s="86">
        <f t="shared" si="3"/>
        <v>0</v>
      </c>
      <c r="R3625" s="26"/>
    </row>
    <row r="3626" spans="1:18" ht="15.75" customHeight="1">
      <c r="A3626" s="26"/>
      <c r="B3626" s="86"/>
      <c r="D3626" s="26"/>
      <c r="F3626" s="87" t="str">
        <f t="shared" si="0"/>
        <v/>
      </c>
      <c r="H3626" s="26" t="str">
        <f t="shared" si="1"/>
        <v/>
      </c>
      <c r="I3626" s="26" t="str">
        <f t="shared" si="2"/>
        <v/>
      </c>
      <c r="J3626" s="86">
        <f t="shared" si="3"/>
        <v>0</v>
      </c>
      <c r="R3626" s="26"/>
    </row>
    <row r="3627" spans="1:18" ht="15.75" customHeight="1">
      <c r="A3627" s="26"/>
      <c r="B3627" s="86"/>
      <c r="D3627" s="26"/>
      <c r="F3627" s="87" t="str">
        <f t="shared" si="0"/>
        <v/>
      </c>
      <c r="H3627" s="26" t="str">
        <f t="shared" si="1"/>
        <v/>
      </c>
      <c r="I3627" s="26" t="str">
        <f t="shared" si="2"/>
        <v/>
      </c>
      <c r="J3627" s="86">
        <f t="shared" si="3"/>
        <v>0</v>
      </c>
      <c r="R3627" s="26"/>
    </row>
    <row r="3628" spans="1:18" ht="15.75" customHeight="1">
      <c r="A3628" s="26"/>
      <c r="B3628" s="86"/>
      <c r="D3628" s="26"/>
      <c r="F3628" s="87" t="str">
        <f t="shared" si="0"/>
        <v/>
      </c>
      <c r="H3628" s="26" t="str">
        <f t="shared" si="1"/>
        <v/>
      </c>
      <c r="I3628" s="26" t="str">
        <f t="shared" si="2"/>
        <v/>
      </c>
      <c r="J3628" s="86">
        <f t="shared" si="3"/>
        <v>0</v>
      </c>
      <c r="R3628" s="26"/>
    </row>
    <row r="3629" spans="1:18" ht="15.75" customHeight="1">
      <c r="A3629" s="26"/>
      <c r="B3629" s="86"/>
      <c r="D3629" s="26"/>
      <c r="F3629" s="87" t="str">
        <f t="shared" si="0"/>
        <v/>
      </c>
      <c r="H3629" s="26" t="str">
        <f t="shared" si="1"/>
        <v/>
      </c>
      <c r="I3629" s="26" t="str">
        <f t="shared" si="2"/>
        <v/>
      </c>
      <c r="J3629" s="86">
        <f t="shared" si="3"/>
        <v>0</v>
      </c>
      <c r="R3629" s="26"/>
    </row>
    <row r="3630" spans="1:18" ht="15.75" customHeight="1">
      <c r="A3630" s="26"/>
      <c r="B3630" s="86"/>
      <c r="D3630" s="26"/>
      <c r="F3630" s="87" t="str">
        <f t="shared" si="0"/>
        <v/>
      </c>
      <c r="H3630" s="26" t="str">
        <f t="shared" si="1"/>
        <v/>
      </c>
      <c r="I3630" s="26" t="str">
        <f t="shared" si="2"/>
        <v/>
      </c>
      <c r="J3630" s="86">
        <f t="shared" si="3"/>
        <v>0</v>
      </c>
      <c r="R3630" s="26"/>
    </row>
    <row r="3631" spans="1:18" ht="15.75" customHeight="1">
      <c r="A3631" s="26"/>
      <c r="B3631" s="86"/>
      <c r="D3631" s="26"/>
      <c r="F3631" s="87" t="str">
        <f t="shared" si="0"/>
        <v/>
      </c>
      <c r="H3631" s="26" t="str">
        <f t="shared" si="1"/>
        <v/>
      </c>
      <c r="I3631" s="26" t="str">
        <f t="shared" si="2"/>
        <v/>
      </c>
      <c r="J3631" s="86">
        <f t="shared" si="3"/>
        <v>0</v>
      </c>
      <c r="R3631" s="26"/>
    </row>
    <row r="3632" spans="1:18" ht="15.75" customHeight="1">
      <c r="A3632" s="26"/>
      <c r="B3632" s="86"/>
      <c r="D3632" s="26"/>
      <c r="F3632" s="87" t="str">
        <f t="shared" si="0"/>
        <v/>
      </c>
      <c r="H3632" s="26" t="str">
        <f t="shared" si="1"/>
        <v/>
      </c>
      <c r="I3632" s="26" t="str">
        <f t="shared" si="2"/>
        <v/>
      </c>
      <c r="J3632" s="86">
        <f t="shared" si="3"/>
        <v>0</v>
      </c>
      <c r="R3632" s="26"/>
    </row>
    <row r="3633" spans="1:18" ht="15.75" customHeight="1">
      <c r="A3633" s="26"/>
      <c r="B3633" s="86"/>
      <c r="D3633" s="26"/>
      <c r="F3633" s="87" t="str">
        <f t="shared" si="0"/>
        <v/>
      </c>
      <c r="H3633" s="26" t="str">
        <f t="shared" si="1"/>
        <v/>
      </c>
      <c r="I3633" s="26" t="str">
        <f t="shared" si="2"/>
        <v/>
      </c>
      <c r="J3633" s="86">
        <f t="shared" si="3"/>
        <v>0</v>
      </c>
      <c r="R3633" s="26"/>
    </row>
    <row r="3634" spans="1:18" ht="15.75" customHeight="1">
      <c r="A3634" s="26"/>
      <c r="B3634" s="86"/>
      <c r="D3634" s="26"/>
      <c r="F3634" s="87" t="str">
        <f t="shared" si="0"/>
        <v/>
      </c>
      <c r="H3634" s="26" t="str">
        <f t="shared" si="1"/>
        <v/>
      </c>
      <c r="I3634" s="26" t="str">
        <f t="shared" si="2"/>
        <v/>
      </c>
      <c r="J3634" s="86">
        <f t="shared" si="3"/>
        <v>0</v>
      </c>
      <c r="R3634" s="26"/>
    </row>
    <row r="3635" spans="1:18" ht="15.75" customHeight="1">
      <c r="A3635" s="26"/>
      <c r="B3635" s="86"/>
      <c r="D3635" s="26"/>
      <c r="F3635" s="87" t="str">
        <f t="shared" si="0"/>
        <v/>
      </c>
      <c r="H3635" s="26" t="str">
        <f t="shared" si="1"/>
        <v/>
      </c>
      <c r="I3635" s="26" t="str">
        <f t="shared" si="2"/>
        <v/>
      </c>
      <c r="J3635" s="86">
        <f t="shared" si="3"/>
        <v>0</v>
      </c>
      <c r="R3635" s="26"/>
    </row>
    <row r="3636" spans="1:18" ht="15.75" customHeight="1">
      <c r="A3636" s="26"/>
      <c r="B3636" s="86"/>
      <c r="D3636" s="26"/>
      <c r="F3636" s="87" t="str">
        <f t="shared" si="0"/>
        <v/>
      </c>
      <c r="H3636" s="26" t="str">
        <f t="shared" si="1"/>
        <v/>
      </c>
      <c r="I3636" s="26" t="str">
        <f t="shared" si="2"/>
        <v/>
      </c>
      <c r="J3636" s="86">
        <f t="shared" si="3"/>
        <v>0</v>
      </c>
      <c r="R3636" s="26"/>
    </row>
    <row r="3637" spans="1:18" ht="15.75" customHeight="1">
      <c r="A3637" s="26"/>
      <c r="B3637" s="86"/>
      <c r="D3637" s="26"/>
      <c r="F3637" s="87" t="str">
        <f t="shared" si="0"/>
        <v/>
      </c>
      <c r="H3637" s="26" t="str">
        <f t="shared" si="1"/>
        <v/>
      </c>
      <c r="I3637" s="26" t="str">
        <f t="shared" si="2"/>
        <v/>
      </c>
      <c r="J3637" s="86">
        <f t="shared" si="3"/>
        <v>0</v>
      </c>
      <c r="R3637" s="26"/>
    </row>
    <row r="3638" spans="1:18" ht="15.75" customHeight="1">
      <c r="A3638" s="26"/>
      <c r="B3638" s="86"/>
      <c r="D3638" s="26"/>
      <c r="F3638" s="87" t="str">
        <f t="shared" si="0"/>
        <v/>
      </c>
      <c r="H3638" s="26" t="str">
        <f t="shared" si="1"/>
        <v/>
      </c>
      <c r="I3638" s="26" t="str">
        <f t="shared" si="2"/>
        <v/>
      </c>
      <c r="J3638" s="86">
        <f t="shared" si="3"/>
        <v>0</v>
      </c>
      <c r="R3638" s="26"/>
    </row>
    <row r="3639" spans="1:18" ht="15.75" customHeight="1">
      <c r="A3639" s="26"/>
      <c r="B3639" s="86"/>
      <c r="D3639" s="26"/>
      <c r="F3639" s="87" t="str">
        <f t="shared" si="0"/>
        <v/>
      </c>
      <c r="H3639" s="26" t="str">
        <f t="shared" si="1"/>
        <v/>
      </c>
      <c r="I3639" s="26" t="str">
        <f t="shared" si="2"/>
        <v/>
      </c>
      <c r="J3639" s="86">
        <f t="shared" si="3"/>
        <v>0</v>
      </c>
      <c r="R3639" s="26"/>
    </row>
    <row r="3640" spans="1:18" ht="15.75" customHeight="1">
      <c r="A3640" s="26"/>
      <c r="B3640" s="86"/>
      <c r="D3640" s="26"/>
      <c r="F3640" s="87" t="str">
        <f t="shared" si="0"/>
        <v/>
      </c>
      <c r="H3640" s="26" t="str">
        <f t="shared" si="1"/>
        <v/>
      </c>
      <c r="I3640" s="26" t="str">
        <f t="shared" si="2"/>
        <v/>
      </c>
      <c r="J3640" s="86">
        <f t="shared" si="3"/>
        <v>0</v>
      </c>
      <c r="R3640" s="26"/>
    </row>
    <row r="3641" spans="1:18" ht="15.75" customHeight="1">
      <c r="A3641" s="26"/>
      <c r="B3641" s="86"/>
      <c r="D3641" s="26"/>
      <c r="F3641" s="87" t="str">
        <f t="shared" si="0"/>
        <v/>
      </c>
      <c r="H3641" s="26" t="str">
        <f t="shared" si="1"/>
        <v/>
      </c>
      <c r="I3641" s="26" t="str">
        <f t="shared" si="2"/>
        <v/>
      </c>
      <c r="J3641" s="86">
        <f t="shared" si="3"/>
        <v>0</v>
      </c>
      <c r="R3641" s="26"/>
    </row>
    <row r="3642" spans="1:18" ht="15.75" customHeight="1">
      <c r="A3642" s="26"/>
      <c r="B3642" s="86"/>
      <c r="D3642" s="26"/>
      <c r="F3642" s="87" t="str">
        <f t="shared" si="0"/>
        <v/>
      </c>
      <c r="H3642" s="26" t="str">
        <f t="shared" si="1"/>
        <v/>
      </c>
      <c r="I3642" s="26" t="str">
        <f t="shared" si="2"/>
        <v/>
      </c>
      <c r="J3642" s="86">
        <f t="shared" si="3"/>
        <v>0</v>
      </c>
      <c r="R3642" s="26"/>
    </row>
    <row r="3643" spans="1:18" ht="15.75" customHeight="1">
      <c r="A3643" s="26"/>
      <c r="B3643" s="86"/>
      <c r="D3643" s="26"/>
      <c r="F3643" s="87" t="str">
        <f t="shared" si="0"/>
        <v/>
      </c>
      <c r="H3643" s="26" t="str">
        <f t="shared" si="1"/>
        <v/>
      </c>
      <c r="I3643" s="26" t="str">
        <f t="shared" si="2"/>
        <v/>
      </c>
      <c r="J3643" s="86">
        <f t="shared" si="3"/>
        <v>0</v>
      </c>
      <c r="R3643" s="26"/>
    </row>
    <row r="3644" spans="1:18" ht="15.75" customHeight="1">
      <c r="A3644" s="26"/>
      <c r="B3644" s="86"/>
      <c r="D3644" s="26"/>
      <c r="F3644" s="87" t="str">
        <f t="shared" si="0"/>
        <v/>
      </c>
      <c r="H3644" s="26" t="str">
        <f t="shared" si="1"/>
        <v/>
      </c>
      <c r="I3644" s="26" t="str">
        <f t="shared" si="2"/>
        <v/>
      </c>
      <c r="J3644" s="86">
        <f t="shared" si="3"/>
        <v>0</v>
      </c>
      <c r="R3644" s="26"/>
    </row>
    <row r="3645" spans="1:18" ht="15.75" customHeight="1">
      <c r="A3645" s="26"/>
      <c r="B3645" s="86"/>
      <c r="D3645" s="26"/>
      <c r="F3645" s="87" t="str">
        <f t="shared" si="0"/>
        <v/>
      </c>
      <c r="H3645" s="26" t="str">
        <f t="shared" si="1"/>
        <v/>
      </c>
      <c r="I3645" s="26" t="str">
        <f t="shared" si="2"/>
        <v/>
      </c>
      <c r="J3645" s="86">
        <f t="shared" si="3"/>
        <v>0</v>
      </c>
      <c r="R3645" s="26"/>
    </row>
    <row r="3646" spans="1:18" ht="15.75" customHeight="1">
      <c r="A3646" s="26"/>
      <c r="B3646" s="86"/>
      <c r="D3646" s="26"/>
      <c r="F3646" s="87" t="str">
        <f t="shared" si="0"/>
        <v/>
      </c>
      <c r="H3646" s="26" t="str">
        <f t="shared" si="1"/>
        <v/>
      </c>
      <c r="I3646" s="26" t="str">
        <f t="shared" si="2"/>
        <v/>
      </c>
      <c r="J3646" s="86">
        <f t="shared" si="3"/>
        <v>0</v>
      </c>
      <c r="R3646" s="26"/>
    </row>
    <row r="3647" spans="1:18" ht="15.75" customHeight="1">
      <c r="A3647" s="26"/>
      <c r="B3647" s="86"/>
      <c r="D3647" s="26"/>
      <c r="F3647" s="87" t="str">
        <f t="shared" si="0"/>
        <v/>
      </c>
      <c r="H3647" s="26" t="str">
        <f t="shared" si="1"/>
        <v/>
      </c>
      <c r="I3647" s="26" t="str">
        <f t="shared" si="2"/>
        <v/>
      </c>
      <c r="J3647" s="86">
        <f t="shared" si="3"/>
        <v>0</v>
      </c>
      <c r="R3647" s="26"/>
    </row>
    <row r="3648" spans="1:18" ht="15.75" customHeight="1">
      <c r="A3648" s="26"/>
      <c r="B3648" s="86"/>
      <c r="D3648" s="26"/>
      <c r="F3648" s="87" t="str">
        <f t="shared" si="0"/>
        <v/>
      </c>
      <c r="H3648" s="26" t="str">
        <f t="shared" si="1"/>
        <v/>
      </c>
      <c r="I3648" s="26" t="str">
        <f t="shared" si="2"/>
        <v/>
      </c>
      <c r="J3648" s="86">
        <f t="shared" si="3"/>
        <v>0</v>
      </c>
      <c r="R3648" s="26"/>
    </row>
    <row r="3649" spans="1:18" ht="15.75" customHeight="1">
      <c r="A3649" s="26"/>
      <c r="B3649" s="86"/>
      <c r="D3649" s="26"/>
      <c r="F3649" s="87" t="str">
        <f t="shared" si="0"/>
        <v/>
      </c>
      <c r="H3649" s="26" t="str">
        <f t="shared" si="1"/>
        <v/>
      </c>
      <c r="I3649" s="26" t="str">
        <f t="shared" si="2"/>
        <v/>
      </c>
      <c r="J3649" s="86">
        <f t="shared" si="3"/>
        <v>0</v>
      </c>
      <c r="R3649" s="26"/>
    </row>
    <row r="3650" spans="1:18" ht="15.75" customHeight="1">
      <c r="A3650" s="26"/>
      <c r="B3650" s="86"/>
      <c r="D3650" s="26"/>
      <c r="F3650" s="87" t="str">
        <f t="shared" si="0"/>
        <v/>
      </c>
      <c r="H3650" s="26" t="str">
        <f t="shared" si="1"/>
        <v/>
      </c>
      <c r="I3650" s="26" t="str">
        <f t="shared" si="2"/>
        <v/>
      </c>
      <c r="J3650" s="86">
        <f t="shared" si="3"/>
        <v>0</v>
      </c>
      <c r="R3650" s="26"/>
    </row>
    <row r="3651" spans="1:18" ht="15.75" customHeight="1">
      <c r="A3651" s="26"/>
      <c r="B3651" s="86"/>
      <c r="D3651" s="26"/>
      <c r="F3651" s="87" t="str">
        <f t="shared" si="0"/>
        <v/>
      </c>
      <c r="H3651" s="26" t="str">
        <f t="shared" si="1"/>
        <v/>
      </c>
      <c r="I3651" s="26" t="str">
        <f t="shared" si="2"/>
        <v/>
      </c>
      <c r="J3651" s="86">
        <f t="shared" si="3"/>
        <v>0</v>
      </c>
      <c r="R3651" s="26"/>
    </row>
    <row r="3652" spans="1:18" ht="15.75" customHeight="1">
      <c r="A3652" s="26"/>
      <c r="B3652" s="86"/>
      <c r="D3652" s="26"/>
      <c r="F3652" s="87" t="str">
        <f t="shared" si="0"/>
        <v/>
      </c>
      <c r="H3652" s="26" t="str">
        <f t="shared" si="1"/>
        <v/>
      </c>
      <c r="I3652" s="26" t="str">
        <f t="shared" si="2"/>
        <v/>
      </c>
      <c r="J3652" s="86">
        <f t="shared" si="3"/>
        <v>0</v>
      </c>
      <c r="R3652" s="26"/>
    </row>
    <row r="3653" spans="1:18" ht="15.75" customHeight="1">
      <c r="A3653" s="26"/>
      <c r="B3653" s="86"/>
      <c r="D3653" s="26"/>
      <c r="F3653" s="87" t="str">
        <f t="shared" si="0"/>
        <v/>
      </c>
      <c r="H3653" s="26" t="str">
        <f t="shared" si="1"/>
        <v/>
      </c>
      <c r="I3653" s="26" t="str">
        <f t="shared" si="2"/>
        <v/>
      </c>
      <c r="J3653" s="86">
        <f t="shared" si="3"/>
        <v>0</v>
      </c>
      <c r="R3653" s="26"/>
    </row>
    <row r="3654" spans="1:18" ht="15.75" customHeight="1">
      <c r="A3654" s="26"/>
      <c r="B3654" s="86"/>
      <c r="D3654" s="26"/>
      <c r="F3654" s="87" t="str">
        <f t="shared" si="0"/>
        <v/>
      </c>
      <c r="H3654" s="26" t="str">
        <f t="shared" si="1"/>
        <v/>
      </c>
      <c r="I3654" s="26" t="str">
        <f t="shared" si="2"/>
        <v/>
      </c>
      <c r="J3654" s="86">
        <f t="shared" si="3"/>
        <v>0</v>
      </c>
      <c r="R3654" s="26"/>
    </row>
    <row r="3655" spans="1:18" ht="15.75" customHeight="1">
      <c r="A3655" s="26"/>
      <c r="B3655" s="86"/>
      <c r="D3655" s="26"/>
      <c r="F3655" s="87" t="str">
        <f t="shared" si="0"/>
        <v/>
      </c>
      <c r="H3655" s="26" t="str">
        <f t="shared" si="1"/>
        <v/>
      </c>
      <c r="I3655" s="26" t="str">
        <f t="shared" si="2"/>
        <v/>
      </c>
      <c r="J3655" s="86">
        <f t="shared" si="3"/>
        <v>0</v>
      </c>
      <c r="R3655" s="26"/>
    </row>
    <row r="3656" spans="1:18" ht="15.75" customHeight="1">
      <c r="A3656" s="26"/>
      <c r="B3656" s="86"/>
      <c r="D3656" s="26"/>
      <c r="F3656" s="87" t="str">
        <f t="shared" si="0"/>
        <v/>
      </c>
      <c r="H3656" s="26" t="str">
        <f t="shared" si="1"/>
        <v/>
      </c>
      <c r="I3656" s="26" t="str">
        <f t="shared" si="2"/>
        <v/>
      </c>
      <c r="J3656" s="86">
        <f t="shared" si="3"/>
        <v>0</v>
      </c>
      <c r="R3656" s="26"/>
    </row>
    <row r="3657" spans="1:18" ht="15.75" customHeight="1">
      <c r="A3657" s="26"/>
      <c r="B3657" s="86"/>
      <c r="D3657" s="26"/>
      <c r="F3657" s="87" t="str">
        <f t="shared" si="0"/>
        <v/>
      </c>
      <c r="H3657" s="26" t="str">
        <f t="shared" si="1"/>
        <v/>
      </c>
      <c r="I3657" s="26" t="str">
        <f t="shared" si="2"/>
        <v/>
      </c>
      <c r="J3657" s="86">
        <f t="shared" si="3"/>
        <v>0</v>
      </c>
      <c r="R3657" s="26"/>
    </row>
    <row r="3658" spans="1:18" ht="15.75" customHeight="1">
      <c r="A3658" s="26"/>
      <c r="B3658" s="86"/>
      <c r="D3658" s="26"/>
      <c r="F3658" s="87" t="str">
        <f t="shared" si="0"/>
        <v/>
      </c>
      <c r="H3658" s="26" t="str">
        <f t="shared" si="1"/>
        <v/>
      </c>
      <c r="I3658" s="26" t="str">
        <f t="shared" si="2"/>
        <v/>
      </c>
      <c r="J3658" s="86">
        <f t="shared" si="3"/>
        <v>0</v>
      </c>
      <c r="R3658" s="26"/>
    </row>
    <row r="3659" spans="1:18" ht="15.75" customHeight="1">
      <c r="A3659" s="26"/>
      <c r="B3659" s="86"/>
      <c r="D3659" s="26"/>
      <c r="F3659" s="87" t="str">
        <f t="shared" si="0"/>
        <v/>
      </c>
      <c r="H3659" s="26" t="str">
        <f t="shared" si="1"/>
        <v/>
      </c>
      <c r="I3659" s="26" t="str">
        <f t="shared" si="2"/>
        <v/>
      </c>
      <c r="J3659" s="86">
        <f t="shared" si="3"/>
        <v>0</v>
      </c>
      <c r="R3659" s="26"/>
    </row>
    <row r="3660" spans="1:18" ht="15.75" customHeight="1">
      <c r="A3660" s="26"/>
      <c r="B3660" s="86"/>
      <c r="D3660" s="26"/>
      <c r="F3660" s="87" t="str">
        <f t="shared" si="0"/>
        <v/>
      </c>
      <c r="H3660" s="26" t="str">
        <f t="shared" si="1"/>
        <v/>
      </c>
      <c r="I3660" s="26" t="str">
        <f t="shared" si="2"/>
        <v/>
      </c>
      <c r="J3660" s="86">
        <f t="shared" si="3"/>
        <v>0</v>
      </c>
      <c r="R3660" s="26"/>
    </row>
    <row r="3661" spans="1:18" ht="15.75" customHeight="1">
      <c r="A3661" s="26"/>
      <c r="B3661" s="86"/>
      <c r="D3661" s="26"/>
      <c r="F3661" s="87" t="str">
        <f t="shared" si="0"/>
        <v/>
      </c>
      <c r="H3661" s="26" t="str">
        <f t="shared" si="1"/>
        <v/>
      </c>
      <c r="I3661" s="26" t="str">
        <f t="shared" si="2"/>
        <v/>
      </c>
      <c r="J3661" s="86">
        <f t="shared" si="3"/>
        <v>0</v>
      </c>
      <c r="R3661" s="26"/>
    </row>
    <row r="3662" spans="1:18" ht="15.75" customHeight="1">
      <c r="A3662" s="26"/>
      <c r="B3662" s="86"/>
      <c r="D3662" s="26"/>
      <c r="F3662" s="87" t="str">
        <f t="shared" si="0"/>
        <v/>
      </c>
      <c r="H3662" s="26" t="str">
        <f t="shared" si="1"/>
        <v/>
      </c>
      <c r="I3662" s="26" t="str">
        <f t="shared" si="2"/>
        <v/>
      </c>
      <c r="J3662" s="86">
        <f t="shared" si="3"/>
        <v>0</v>
      </c>
      <c r="R3662" s="26"/>
    </row>
    <row r="3663" spans="1:18" ht="15.75" customHeight="1">
      <c r="A3663" s="26"/>
      <c r="B3663" s="86"/>
      <c r="D3663" s="26"/>
      <c r="F3663" s="87" t="str">
        <f t="shared" si="0"/>
        <v/>
      </c>
      <c r="H3663" s="26" t="str">
        <f t="shared" si="1"/>
        <v/>
      </c>
      <c r="I3663" s="26" t="str">
        <f t="shared" si="2"/>
        <v/>
      </c>
      <c r="J3663" s="86">
        <f t="shared" si="3"/>
        <v>0</v>
      </c>
      <c r="R3663" s="26"/>
    </row>
    <row r="3664" spans="1:18" ht="15.75" customHeight="1">
      <c r="A3664" s="26"/>
      <c r="B3664" s="86"/>
      <c r="D3664" s="26"/>
      <c r="F3664" s="87" t="str">
        <f t="shared" si="0"/>
        <v/>
      </c>
      <c r="H3664" s="26" t="str">
        <f t="shared" si="1"/>
        <v/>
      </c>
      <c r="I3664" s="26" t="str">
        <f t="shared" si="2"/>
        <v/>
      </c>
      <c r="J3664" s="86">
        <f t="shared" si="3"/>
        <v>0</v>
      </c>
      <c r="R3664" s="26"/>
    </row>
    <row r="3665" spans="1:18" ht="15.75" customHeight="1">
      <c r="A3665" s="26"/>
      <c r="B3665" s="86"/>
      <c r="D3665" s="26"/>
      <c r="F3665" s="87" t="str">
        <f t="shared" si="0"/>
        <v/>
      </c>
      <c r="H3665" s="26" t="str">
        <f t="shared" si="1"/>
        <v/>
      </c>
      <c r="I3665" s="26" t="str">
        <f t="shared" si="2"/>
        <v/>
      </c>
      <c r="J3665" s="86">
        <f t="shared" si="3"/>
        <v>0</v>
      </c>
      <c r="R3665" s="26"/>
    </row>
    <row r="3666" spans="1:18" ht="15.75" customHeight="1">
      <c r="A3666" s="26"/>
      <c r="B3666" s="86"/>
      <c r="D3666" s="26"/>
      <c r="F3666" s="87" t="str">
        <f t="shared" si="0"/>
        <v/>
      </c>
      <c r="H3666" s="26" t="str">
        <f t="shared" si="1"/>
        <v/>
      </c>
      <c r="I3666" s="26" t="str">
        <f t="shared" si="2"/>
        <v/>
      </c>
      <c r="J3666" s="86">
        <f t="shared" si="3"/>
        <v>0</v>
      </c>
      <c r="R3666" s="26"/>
    </row>
    <row r="3667" spans="1:18" ht="15.75" customHeight="1">
      <c r="A3667" s="26"/>
      <c r="B3667" s="86"/>
      <c r="D3667" s="26"/>
      <c r="F3667" s="87" t="str">
        <f t="shared" si="0"/>
        <v/>
      </c>
      <c r="H3667" s="26" t="str">
        <f t="shared" si="1"/>
        <v/>
      </c>
      <c r="I3667" s="26" t="str">
        <f t="shared" si="2"/>
        <v/>
      </c>
      <c r="J3667" s="86">
        <f t="shared" si="3"/>
        <v>0</v>
      </c>
      <c r="R3667" s="26"/>
    </row>
    <row r="3668" spans="1:18" ht="15.75" customHeight="1">
      <c r="A3668" s="26"/>
      <c r="B3668" s="86"/>
      <c r="D3668" s="26"/>
      <c r="F3668" s="87" t="str">
        <f t="shared" si="0"/>
        <v/>
      </c>
      <c r="H3668" s="26" t="str">
        <f t="shared" si="1"/>
        <v/>
      </c>
      <c r="I3668" s="26" t="str">
        <f t="shared" si="2"/>
        <v/>
      </c>
      <c r="J3668" s="86">
        <f t="shared" si="3"/>
        <v>0</v>
      </c>
      <c r="R3668" s="26"/>
    </row>
    <row r="3669" spans="1:18" ht="15.75" customHeight="1">
      <c r="A3669" s="26"/>
      <c r="B3669" s="86"/>
      <c r="D3669" s="26"/>
      <c r="F3669" s="87" t="str">
        <f t="shared" si="0"/>
        <v/>
      </c>
      <c r="H3669" s="26" t="str">
        <f t="shared" si="1"/>
        <v/>
      </c>
      <c r="I3669" s="26" t="str">
        <f t="shared" si="2"/>
        <v/>
      </c>
      <c r="J3669" s="86">
        <f t="shared" si="3"/>
        <v>0</v>
      </c>
      <c r="R3669" s="26"/>
    </row>
    <row r="3670" spans="1:18" ht="15.75" customHeight="1">
      <c r="A3670" s="26"/>
      <c r="B3670" s="86"/>
      <c r="D3670" s="26"/>
      <c r="F3670" s="87" t="str">
        <f t="shared" si="0"/>
        <v/>
      </c>
      <c r="H3670" s="26" t="str">
        <f t="shared" si="1"/>
        <v/>
      </c>
      <c r="I3670" s="26" t="str">
        <f t="shared" si="2"/>
        <v/>
      </c>
      <c r="J3670" s="86">
        <f t="shared" si="3"/>
        <v>0</v>
      </c>
      <c r="R3670" s="26"/>
    </row>
    <row r="3671" spans="1:18" ht="15.75" customHeight="1">
      <c r="A3671" s="26"/>
      <c r="B3671" s="86"/>
      <c r="D3671" s="26"/>
      <c r="F3671" s="87" t="str">
        <f t="shared" si="0"/>
        <v/>
      </c>
      <c r="H3671" s="26" t="str">
        <f t="shared" si="1"/>
        <v/>
      </c>
      <c r="I3671" s="26" t="str">
        <f t="shared" si="2"/>
        <v/>
      </c>
      <c r="J3671" s="86">
        <f t="shared" si="3"/>
        <v>0</v>
      </c>
      <c r="R3671" s="26"/>
    </row>
    <row r="3672" spans="1:18" ht="15.75" customHeight="1">
      <c r="A3672" s="26"/>
      <c r="B3672" s="86"/>
      <c r="D3672" s="26"/>
      <c r="F3672" s="87" t="str">
        <f t="shared" si="0"/>
        <v/>
      </c>
      <c r="H3672" s="26" t="str">
        <f t="shared" si="1"/>
        <v/>
      </c>
      <c r="I3672" s="26" t="str">
        <f t="shared" si="2"/>
        <v/>
      </c>
      <c r="J3672" s="86">
        <f t="shared" si="3"/>
        <v>0</v>
      </c>
      <c r="R3672" s="26"/>
    </row>
    <row r="3673" spans="1:18" ht="15.75" customHeight="1">
      <c r="A3673" s="26"/>
      <c r="B3673" s="86"/>
      <c r="D3673" s="26"/>
      <c r="F3673" s="87" t="str">
        <f t="shared" si="0"/>
        <v/>
      </c>
      <c r="H3673" s="26" t="str">
        <f t="shared" si="1"/>
        <v/>
      </c>
      <c r="I3673" s="26" t="str">
        <f t="shared" si="2"/>
        <v/>
      </c>
      <c r="J3673" s="86">
        <f t="shared" si="3"/>
        <v>0</v>
      </c>
      <c r="R3673" s="26"/>
    </row>
    <row r="3674" spans="1:18" ht="15.75" customHeight="1">
      <c r="A3674" s="26"/>
      <c r="B3674" s="86"/>
      <c r="D3674" s="26"/>
      <c r="F3674" s="87" t="str">
        <f t="shared" si="0"/>
        <v/>
      </c>
      <c r="H3674" s="26" t="str">
        <f t="shared" si="1"/>
        <v/>
      </c>
      <c r="I3674" s="26" t="str">
        <f t="shared" si="2"/>
        <v/>
      </c>
      <c r="J3674" s="86">
        <f t="shared" si="3"/>
        <v>0</v>
      </c>
      <c r="R3674" s="26"/>
    </row>
    <row r="3675" spans="1:18" ht="15.75" customHeight="1">
      <c r="A3675" s="26"/>
      <c r="B3675" s="86"/>
      <c r="D3675" s="26"/>
      <c r="F3675" s="87" t="str">
        <f t="shared" si="0"/>
        <v/>
      </c>
      <c r="H3675" s="26" t="str">
        <f t="shared" si="1"/>
        <v/>
      </c>
      <c r="I3675" s="26" t="str">
        <f t="shared" si="2"/>
        <v/>
      </c>
      <c r="J3675" s="86">
        <f t="shared" si="3"/>
        <v>0</v>
      </c>
      <c r="R3675" s="26"/>
    </row>
    <row r="3676" spans="1:18" ht="15.75" customHeight="1">
      <c r="A3676" s="26"/>
      <c r="B3676" s="86"/>
      <c r="D3676" s="26"/>
      <c r="F3676" s="87" t="str">
        <f t="shared" si="0"/>
        <v/>
      </c>
      <c r="H3676" s="26" t="str">
        <f t="shared" si="1"/>
        <v/>
      </c>
      <c r="I3676" s="26" t="str">
        <f t="shared" si="2"/>
        <v/>
      </c>
      <c r="J3676" s="86">
        <f t="shared" si="3"/>
        <v>0</v>
      </c>
      <c r="R3676" s="26"/>
    </row>
    <row r="3677" spans="1:18" ht="15.75" customHeight="1">
      <c r="A3677" s="26"/>
      <c r="B3677" s="86"/>
      <c r="D3677" s="26"/>
      <c r="F3677" s="87" t="str">
        <f t="shared" si="0"/>
        <v/>
      </c>
      <c r="H3677" s="26" t="str">
        <f t="shared" si="1"/>
        <v/>
      </c>
      <c r="I3677" s="26" t="str">
        <f t="shared" si="2"/>
        <v/>
      </c>
      <c r="J3677" s="86">
        <f t="shared" si="3"/>
        <v>0</v>
      </c>
      <c r="R3677" s="26"/>
    </row>
    <row r="3678" spans="1:18" ht="15.75" customHeight="1">
      <c r="A3678" s="26"/>
      <c r="B3678" s="86"/>
      <c r="D3678" s="26"/>
      <c r="F3678" s="87" t="str">
        <f t="shared" si="0"/>
        <v/>
      </c>
      <c r="H3678" s="26" t="str">
        <f t="shared" si="1"/>
        <v/>
      </c>
      <c r="I3678" s="26" t="str">
        <f t="shared" si="2"/>
        <v/>
      </c>
      <c r="J3678" s="86">
        <f t="shared" si="3"/>
        <v>0</v>
      </c>
      <c r="R3678" s="26"/>
    </row>
    <row r="3679" spans="1:18" ht="15.75" customHeight="1">
      <c r="A3679" s="26"/>
      <c r="B3679" s="86"/>
      <c r="D3679" s="26"/>
      <c r="F3679" s="87" t="str">
        <f t="shared" si="0"/>
        <v/>
      </c>
      <c r="H3679" s="26" t="str">
        <f t="shared" si="1"/>
        <v/>
      </c>
      <c r="I3679" s="26" t="str">
        <f t="shared" si="2"/>
        <v/>
      </c>
      <c r="J3679" s="86">
        <f t="shared" si="3"/>
        <v>0</v>
      </c>
      <c r="R3679" s="26"/>
    </row>
    <row r="3680" spans="1:18" ht="15.75" customHeight="1">
      <c r="A3680" s="26"/>
      <c r="B3680" s="86"/>
      <c r="D3680" s="26"/>
      <c r="F3680" s="87" t="str">
        <f t="shared" si="0"/>
        <v/>
      </c>
      <c r="H3680" s="26" t="str">
        <f t="shared" si="1"/>
        <v/>
      </c>
      <c r="I3680" s="26" t="str">
        <f t="shared" si="2"/>
        <v/>
      </c>
      <c r="J3680" s="86">
        <f t="shared" si="3"/>
        <v>0</v>
      </c>
      <c r="R3680" s="26"/>
    </row>
    <row r="3681" spans="1:18" ht="15.75" customHeight="1">
      <c r="A3681" s="26"/>
      <c r="B3681" s="86"/>
      <c r="D3681" s="26"/>
      <c r="F3681" s="87" t="str">
        <f t="shared" si="0"/>
        <v/>
      </c>
      <c r="H3681" s="26" t="str">
        <f t="shared" si="1"/>
        <v/>
      </c>
      <c r="I3681" s="26" t="str">
        <f t="shared" si="2"/>
        <v/>
      </c>
      <c r="J3681" s="86">
        <f t="shared" si="3"/>
        <v>0</v>
      </c>
      <c r="R3681" s="26"/>
    </row>
    <row r="3682" spans="1:18" ht="15.75" customHeight="1">
      <c r="A3682" s="26"/>
      <c r="B3682" s="86"/>
      <c r="D3682" s="26"/>
      <c r="F3682" s="87" t="str">
        <f t="shared" si="0"/>
        <v/>
      </c>
      <c r="H3682" s="26" t="str">
        <f t="shared" si="1"/>
        <v/>
      </c>
      <c r="I3682" s="26" t="str">
        <f t="shared" si="2"/>
        <v/>
      </c>
      <c r="J3682" s="86">
        <f t="shared" si="3"/>
        <v>0</v>
      </c>
      <c r="R3682" s="26"/>
    </row>
    <row r="3683" spans="1:18" ht="15.75" customHeight="1">
      <c r="A3683" s="26"/>
      <c r="B3683" s="86"/>
      <c r="D3683" s="26"/>
      <c r="F3683" s="87" t="str">
        <f t="shared" si="0"/>
        <v/>
      </c>
      <c r="H3683" s="26" t="str">
        <f t="shared" si="1"/>
        <v/>
      </c>
      <c r="I3683" s="26" t="str">
        <f t="shared" si="2"/>
        <v/>
      </c>
      <c r="J3683" s="86">
        <f t="shared" si="3"/>
        <v>0</v>
      </c>
      <c r="R3683" s="26"/>
    </row>
    <row r="3684" spans="1:18" ht="15.75" customHeight="1">
      <c r="A3684" s="26"/>
      <c r="B3684" s="86"/>
      <c r="D3684" s="26"/>
      <c r="F3684" s="87" t="str">
        <f t="shared" si="0"/>
        <v/>
      </c>
      <c r="H3684" s="26" t="str">
        <f t="shared" si="1"/>
        <v/>
      </c>
      <c r="I3684" s="26" t="str">
        <f t="shared" si="2"/>
        <v/>
      </c>
      <c r="J3684" s="86">
        <f t="shared" si="3"/>
        <v>0</v>
      </c>
      <c r="R3684" s="26"/>
    </row>
    <row r="3685" spans="1:18" ht="15.75" customHeight="1">
      <c r="A3685" s="26"/>
      <c r="B3685" s="86"/>
      <c r="D3685" s="26"/>
      <c r="F3685" s="87" t="str">
        <f t="shared" si="0"/>
        <v/>
      </c>
      <c r="H3685" s="26" t="str">
        <f t="shared" si="1"/>
        <v/>
      </c>
      <c r="I3685" s="26" t="str">
        <f t="shared" si="2"/>
        <v/>
      </c>
      <c r="J3685" s="86">
        <f t="shared" si="3"/>
        <v>0</v>
      </c>
      <c r="R3685" s="26"/>
    </row>
    <row r="3686" spans="1:18" ht="15.75" customHeight="1">
      <c r="A3686" s="26"/>
      <c r="B3686" s="86"/>
      <c r="D3686" s="26"/>
      <c r="F3686" s="87" t="str">
        <f t="shared" si="0"/>
        <v/>
      </c>
      <c r="H3686" s="26" t="str">
        <f t="shared" si="1"/>
        <v/>
      </c>
      <c r="I3686" s="26" t="str">
        <f t="shared" si="2"/>
        <v/>
      </c>
      <c r="J3686" s="86">
        <f t="shared" si="3"/>
        <v>0</v>
      </c>
      <c r="R3686" s="26"/>
    </row>
    <row r="3687" spans="1:18" ht="15.75" customHeight="1">
      <c r="A3687" s="26"/>
      <c r="B3687" s="86"/>
      <c r="D3687" s="26"/>
      <c r="F3687" s="87" t="str">
        <f t="shared" si="0"/>
        <v/>
      </c>
      <c r="H3687" s="26" t="str">
        <f t="shared" si="1"/>
        <v/>
      </c>
      <c r="I3687" s="26" t="str">
        <f t="shared" si="2"/>
        <v/>
      </c>
      <c r="J3687" s="86">
        <f t="shared" si="3"/>
        <v>0</v>
      </c>
      <c r="R3687" s="26"/>
    </row>
    <row r="3688" spans="1:18" ht="15.75" customHeight="1">
      <c r="A3688" s="26"/>
      <c r="B3688" s="86"/>
      <c r="D3688" s="26"/>
      <c r="F3688" s="87" t="str">
        <f t="shared" si="0"/>
        <v/>
      </c>
      <c r="H3688" s="26" t="str">
        <f t="shared" si="1"/>
        <v/>
      </c>
      <c r="I3688" s="26" t="str">
        <f t="shared" si="2"/>
        <v/>
      </c>
      <c r="J3688" s="86">
        <f t="shared" si="3"/>
        <v>0</v>
      </c>
      <c r="R3688" s="26"/>
    </row>
    <row r="3689" spans="1:18" ht="15.75" customHeight="1">
      <c r="A3689" s="26"/>
      <c r="B3689" s="86"/>
      <c r="D3689" s="26"/>
      <c r="F3689" s="87" t="str">
        <f t="shared" si="0"/>
        <v/>
      </c>
      <c r="H3689" s="26" t="str">
        <f t="shared" si="1"/>
        <v/>
      </c>
      <c r="I3689" s="26" t="str">
        <f t="shared" si="2"/>
        <v/>
      </c>
      <c r="J3689" s="86">
        <f t="shared" si="3"/>
        <v>0</v>
      </c>
      <c r="R3689" s="26"/>
    </row>
    <row r="3690" spans="1:18" ht="15.75" customHeight="1">
      <c r="A3690" s="26"/>
      <c r="B3690" s="86"/>
      <c r="D3690" s="26"/>
      <c r="F3690" s="87" t="str">
        <f t="shared" si="0"/>
        <v/>
      </c>
      <c r="H3690" s="26" t="str">
        <f t="shared" si="1"/>
        <v/>
      </c>
      <c r="I3690" s="26" t="str">
        <f t="shared" si="2"/>
        <v/>
      </c>
      <c r="J3690" s="86">
        <f t="shared" si="3"/>
        <v>0</v>
      </c>
      <c r="R3690" s="26"/>
    </row>
    <row r="3691" spans="1:18" ht="15.75" customHeight="1">
      <c r="A3691" s="26"/>
      <c r="B3691" s="86"/>
      <c r="D3691" s="26"/>
      <c r="F3691" s="87" t="str">
        <f t="shared" si="0"/>
        <v/>
      </c>
      <c r="H3691" s="26" t="str">
        <f t="shared" si="1"/>
        <v/>
      </c>
      <c r="I3691" s="26" t="str">
        <f t="shared" si="2"/>
        <v/>
      </c>
      <c r="J3691" s="86">
        <f t="shared" si="3"/>
        <v>0</v>
      </c>
      <c r="R3691" s="26"/>
    </row>
    <row r="3692" spans="1:18" ht="15.75" customHeight="1">
      <c r="A3692" s="26"/>
      <c r="B3692" s="86"/>
      <c r="D3692" s="26"/>
      <c r="F3692" s="87" t="str">
        <f t="shared" si="0"/>
        <v/>
      </c>
      <c r="H3692" s="26" t="str">
        <f t="shared" si="1"/>
        <v/>
      </c>
      <c r="I3692" s="26" t="str">
        <f t="shared" si="2"/>
        <v/>
      </c>
      <c r="J3692" s="86">
        <f t="shared" si="3"/>
        <v>0</v>
      </c>
      <c r="R3692" s="26"/>
    </row>
    <row r="3693" spans="1:18" ht="15.75" customHeight="1">
      <c r="A3693" s="26"/>
      <c r="B3693" s="86"/>
      <c r="D3693" s="26"/>
      <c r="F3693" s="87" t="str">
        <f t="shared" si="0"/>
        <v/>
      </c>
      <c r="H3693" s="26" t="str">
        <f t="shared" si="1"/>
        <v/>
      </c>
      <c r="I3693" s="26" t="str">
        <f t="shared" si="2"/>
        <v/>
      </c>
      <c r="J3693" s="86">
        <f t="shared" si="3"/>
        <v>0</v>
      </c>
      <c r="R3693" s="26"/>
    </row>
    <row r="3694" spans="1:18" ht="15.75" customHeight="1">
      <c r="A3694" s="26"/>
      <c r="B3694" s="86"/>
      <c r="D3694" s="26"/>
      <c r="F3694" s="87" t="str">
        <f t="shared" si="0"/>
        <v/>
      </c>
      <c r="H3694" s="26" t="str">
        <f t="shared" si="1"/>
        <v/>
      </c>
      <c r="I3694" s="26" t="str">
        <f t="shared" si="2"/>
        <v/>
      </c>
      <c r="J3694" s="86">
        <f t="shared" si="3"/>
        <v>0</v>
      </c>
      <c r="R3694" s="26"/>
    </row>
    <row r="3695" spans="1:18" ht="15.75" customHeight="1">
      <c r="A3695" s="26"/>
      <c r="B3695" s="86"/>
      <c r="D3695" s="26"/>
      <c r="F3695" s="87" t="str">
        <f t="shared" si="0"/>
        <v/>
      </c>
      <c r="H3695" s="26" t="str">
        <f t="shared" si="1"/>
        <v/>
      </c>
      <c r="I3695" s="26" t="str">
        <f t="shared" si="2"/>
        <v/>
      </c>
      <c r="J3695" s="86">
        <f t="shared" si="3"/>
        <v>0</v>
      </c>
      <c r="R3695" s="26"/>
    </row>
    <row r="3696" spans="1:18" ht="15.75" customHeight="1">
      <c r="A3696" s="26"/>
      <c r="B3696" s="86"/>
      <c r="D3696" s="26"/>
      <c r="F3696" s="87" t="str">
        <f t="shared" si="0"/>
        <v/>
      </c>
      <c r="H3696" s="26" t="str">
        <f t="shared" si="1"/>
        <v/>
      </c>
      <c r="I3696" s="26" t="str">
        <f t="shared" si="2"/>
        <v/>
      </c>
      <c r="J3696" s="86">
        <f t="shared" si="3"/>
        <v>0</v>
      </c>
      <c r="R3696" s="26"/>
    </row>
    <row r="3697" spans="1:18" ht="15.75" customHeight="1">
      <c r="A3697" s="26"/>
      <c r="B3697" s="86"/>
      <c r="D3697" s="26"/>
      <c r="F3697" s="87" t="str">
        <f t="shared" si="0"/>
        <v/>
      </c>
      <c r="H3697" s="26" t="str">
        <f t="shared" si="1"/>
        <v/>
      </c>
      <c r="I3697" s="26" t="str">
        <f t="shared" si="2"/>
        <v/>
      </c>
      <c r="J3697" s="86">
        <f t="shared" si="3"/>
        <v>0</v>
      </c>
      <c r="R3697" s="26"/>
    </row>
    <row r="3698" spans="1:18" ht="15.75" customHeight="1">
      <c r="A3698" s="26"/>
      <c r="B3698" s="86"/>
      <c r="D3698" s="26"/>
      <c r="F3698" s="87" t="str">
        <f t="shared" si="0"/>
        <v/>
      </c>
      <c r="H3698" s="26" t="str">
        <f t="shared" si="1"/>
        <v/>
      </c>
      <c r="I3698" s="26" t="str">
        <f t="shared" si="2"/>
        <v/>
      </c>
      <c r="J3698" s="86">
        <f t="shared" si="3"/>
        <v>0</v>
      </c>
      <c r="R3698" s="26"/>
    </row>
    <row r="3699" spans="1:18" ht="15.75" customHeight="1">
      <c r="A3699" s="26"/>
      <c r="B3699" s="86"/>
      <c r="D3699" s="26"/>
      <c r="F3699" s="87" t="str">
        <f t="shared" si="0"/>
        <v/>
      </c>
      <c r="H3699" s="26" t="str">
        <f t="shared" si="1"/>
        <v/>
      </c>
      <c r="I3699" s="26" t="str">
        <f t="shared" si="2"/>
        <v/>
      </c>
      <c r="J3699" s="86">
        <f t="shared" si="3"/>
        <v>0</v>
      </c>
      <c r="R3699" s="26"/>
    </row>
    <row r="3700" spans="1:18" ht="15.75" customHeight="1">
      <c r="A3700" s="26"/>
      <c r="B3700" s="86"/>
      <c r="D3700" s="26"/>
      <c r="F3700" s="87" t="str">
        <f t="shared" si="0"/>
        <v/>
      </c>
      <c r="H3700" s="26" t="str">
        <f t="shared" si="1"/>
        <v/>
      </c>
      <c r="I3700" s="26" t="str">
        <f t="shared" si="2"/>
        <v/>
      </c>
      <c r="J3700" s="86">
        <f t="shared" si="3"/>
        <v>0</v>
      </c>
      <c r="R3700" s="26"/>
    </row>
    <row r="3701" spans="1:18" ht="15.75" customHeight="1">
      <c r="A3701" s="26"/>
      <c r="B3701" s="86"/>
      <c r="D3701" s="26"/>
      <c r="F3701" s="87" t="str">
        <f t="shared" si="0"/>
        <v/>
      </c>
      <c r="H3701" s="26" t="str">
        <f t="shared" si="1"/>
        <v/>
      </c>
      <c r="I3701" s="26" t="str">
        <f t="shared" si="2"/>
        <v/>
      </c>
      <c r="J3701" s="86">
        <f t="shared" si="3"/>
        <v>0</v>
      </c>
      <c r="R3701" s="26"/>
    </row>
    <row r="3702" spans="1:18" ht="15.75" customHeight="1">
      <c r="A3702" s="26"/>
      <c r="B3702" s="86"/>
      <c r="D3702" s="26"/>
      <c r="F3702" s="87" t="str">
        <f t="shared" si="0"/>
        <v/>
      </c>
      <c r="H3702" s="26" t="str">
        <f t="shared" si="1"/>
        <v/>
      </c>
      <c r="I3702" s="26" t="str">
        <f t="shared" si="2"/>
        <v/>
      </c>
      <c r="J3702" s="86">
        <f t="shared" si="3"/>
        <v>0</v>
      </c>
      <c r="R3702" s="26"/>
    </row>
    <row r="3703" spans="1:18" ht="15.75" customHeight="1">
      <c r="A3703" s="26"/>
      <c r="B3703" s="86"/>
      <c r="D3703" s="26"/>
      <c r="F3703" s="87" t="str">
        <f t="shared" si="0"/>
        <v/>
      </c>
      <c r="H3703" s="26" t="str">
        <f t="shared" si="1"/>
        <v/>
      </c>
      <c r="I3703" s="26" t="str">
        <f t="shared" si="2"/>
        <v/>
      </c>
      <c r="J3703" s="86">
        <f t="shared" si="3"/>
        <v>0</v>
      </c>
      <c r="R3703" s="26"/>
    </row>
    <row r="3704" spans="1:18" ht="15.75" customHeight="1">
      <c r="A3704" s="26"/>
      <c r="B3704" s="86"/>
      <c r="D3704" s="26"/>
      <c r="F3704" s="87" t="str">
        <f t="shared" si="0"/>
        <v/>
      </c>
      <c r="H3704" s="26" t="str">
        <f t="shared" si="1"/>
        <v/>
      </c>
      <c r="I3704" s="26" t="str">
        <f t="shared" si="2"/>
        <v/>
      </c>
      <c r="J3704" s="86">
        <f t="shared" si="3"/>
        <v>0</v>
      </c>
      <c r="R3704" s="26"/>
    </row>
    <row r="3705" spans="1:18" ht="15.75" customHeight="1">
      <c r="A3705" s="26"/>
      <c r="B3705" s="86"/>
      <c r="D3705" s="26"/>
      <c r="F3705" s="87" t="str">
        <f t="shared" si="0"/>
        <v/>
      </c>
      <c r="H3705" s="26" t="str">
        <f t="shared" si="1"/>
        <v/>
      </c>
      <c r="I3705" s="26" t="str">
        <f t="shared" si="2"/>
        <v/>
      </c>
      <c r="J3705" s="86">
        <f t="shared" si="3"/>
        <v>0</v>
      </c>
      <c r="R3705" s="26"/>
    </row>
    <row r="3706" spans="1:18" ht="15.75" customHeight="1">
      <c r="A3706" s="26"/>
      <c r="B3706" s="86"/>
      <c r="D3706" s="26"/>
      <c r="F3706" s="87" t="str">
        <f t="shared" si="0"/>
        <v/>
      </c>
      <c r="H3706" s="26" t="str">
        <f t="shared" si="1"/>
        <v/>
      </c>
      <c r="I3706" s="26" t="str">
        <f t="shared" si="2"/>
        <v/>
      </c>
      <c r="J3706" s="86">
        <f t="shared" si="3"/>
        <v>0</v>
      </c>
      <c r="R3706" s="26"/>
    </row>
    <row r="3707" spans="1:18" ht="15.75" customHeight="1">
      <c r="A3707" s="26"/>
      <c r="B3707" s="86"/>
      <c r="D3707" s="26"/>
      <c r="F3707" s="87" t="str">
        <f t="shared" si="0"/>
        <v/>
      </c>
      <c r="H3707" s="26" t="str">
        <f t="shared" si="1"/>
        <v/>
      </c>
      <c r="I3707" s="26" t="str">
        <f t="shared" si="2"/>
        <v/>
      </c>
      <c r="J3707" s="86">
        <f t="shared" si="3"/>
        <v>0</v>
      </c>
      <c r="R3707" s="26"/>
    </row>
    <row r="3708" spans="1:18" ht="15.75" customHeight="1">
      <c r="A3708" s="26"/>
      <c r="B3708" s="86"/>
      <c r="D3708" s="26"/>
      <c r="F3708" s="87" t="str">
        <f t="shared" si="0"/>
        <v/>
      </c>
      <c r="H3708" s="26" t="str">
        <f t="shared" si="1"/>
        <v/>
      </c>
      <c r="I3708" s="26" t="str">
        <f t="shared" si="2"/>
        <v/>
      </c>
      <c r="J3708" s="86">
        <f t="shared" si="3"/>
        <v>0</v>
      </c>
      <c r="R3708" s="26"/>
    </row>
    <row r="3709" spans="1:18" ht="15.75" customHeight="1">
      <c r="A3709" s="26"/>
      <c r="B3709" s="86"/>
      <c r="D3709" s="26"/>
      <c r="F3709" s="87" t="str">
        <f t="shared" si="0"/>
        <v/>
      </c>
      <c r="H3709" s="26" t="str">
        <f t="shared" si="1"/>
        <v/>
      </c>
      <c r="I3709" s="26" t="str">
        <f t="shared" si="2"/>
        <v/>
      </c>
      <c r="J3709" s="86">
        <f t="shared" si="3"/>
        <v>0</v>
      </c>
      <c r="R3709" s="26"/>
    </row>
    <row r="3710" spans="1:18" ht="15.75" customHeight="1">
      <c r="A3710" s="26"/>
      <c r="B3710" s="86"/>
      <c r="D3710" s="26"/>
      <c r="F3710" s="87" t="str">
        <f t="shared" si="0"/>
        <v/>
      </c>
      <c r="H3710" s="26" t="str">
        <f t="shared" si="1"/>
        <v/>
      </c>
      <c r="I3710" s="26" t="str">
        <f t="shared" si="2"/>
        <v/>
      </c>
      <c r="J3710" s="86">
        <f t="shared" si="3"/>
        <v>0</v>
      </c>
      <c r="R3710" s="26"/>
    </row>
    <row r="3711" spans="1:18" ht="15.75" customHeight="1">
      <c r="A3711" s="26"/>
      <c r="B3711" s="86"/>
      <c r="D3711" s="26"/>
      <c r="F3711" s="87" t="str">
        <f t="shared" si="0"/>
        <v/>
      </c>
      <c r="H3711" s="26" t="str">
        <f t="shared" si="1"/>
        <v/>
      </c>
      <c r="I3711" s="26" t="str">
        <f t="shared" si="2"/>
        <v/>
      </c>
      <c r="J3711" s="86">
        <f t="shared" si="3"/>
        <v>0</v>
      </c>
      <c r="R3711" s="26"/>
    </row>
    <row r="3712" spans="1:18" ht="15.75" customHeight="1">
      <c r="A3712" s="26"/>
      <c r="B3712" s="86"/>
      <c r="D3712" s="26"/>
      <c r="F3712" s="87" t="str">
        <f t="shared" si="0"/>
        <v/>
      </c>
      <c r="H3712" s="26" t="str">
        <f t="shared" si="1"/>
        <v/>
      </c>
      <c r="I3712" s="26" t="str">
        <f t="shared" si="2"/>
        <v/>
      </c>
      <c r="J3712" s="86">
        <f t="shared" si="3"/>
        <v>0</v>
      </c>
      <c r="R3712" s="26"/>
    </row>
    <row r="3713" spans="1:18" ht="15.75" customHeight="1">
      <c r="A3713" s="26"/>
      <c r="B3713" s="86"/>
      <c r="D3713" s="26"/>
      <c r="F3713" s="87" t="str">
        <f t="shared" si="0"/>
        <v/>
      </c>
      <c r="H3713" s="26" t="str">
        <f t="shared" si="1"/>
        <v/>
      </c>
      <c r="I3713" s="26" t="str">
        <f t="shared" si="2"/>
        <v/>
      </c>
      <c r="J3713" s="86">
        <f t="shared" si="3"/>
        <v>0</v>
      </c>
      <c r="R3713" s="26"/>
    </row>
    <row r="3714" spans="1:18" ht="15.75" customHeight="1">
      <c r="A3714" s="26"/>
      <c r="B3714" s="86"/>
      <c r="D3714" s="26"/>
      <c r="F3714" s="87" t="str">
        <f t="shared" si="0"/>
        <v/>
      </c>
      <c r="H3714" s="26" t="str">
        <f t="shared" si="1"/>
        <v/>
      </c>
      <c r="I3714" s="26" t="str">
        <f t="shared" si="2"/>
        <v/>
      </c>
      <c r="J3714" s="86">
        <f t="shared" si="3"/>
        <v>0</v>
      </c>
      <c r="R3714" s="26"/>
    </row>
    <row r="3715" spans="1:18" ht="15.75" customHeight="1">
      <c r="A3715" s="26"/>
      <c r="B3715" s="86"/>
      <c r="D3715" s="26"/>
      <c r="F3715" s="87" t="str">
        <f t="shared" si="0"/>
        <v/>
      </c>
      <c r="H3715" s="26" t="str">
        <f t="shared" si="1"/>
        <v/>
      </c>
      <c r="I3715" s="26" t="str">
        <f t="shared" si="2"/>
        <v/>
      </c>
      <c r="J3715" s="86">
        <f t="shared" si="3"/>
        <v>0</v>
      </c>
      <c r="R3715" s="26"/>
    </row>
    <row r="3716" spans="1:18" ht="15.75" customHeight="1">
      <c r="A3716" s="26"/>
      <c r="B3716" s="86"/>
      <c r="D3716" s="26"/>
      <c r="F3716" s="87" t="str">
        <f t="shared" si="0"/>
        <v/>
      </c>
      <c r="H3716" s="26" t="str">
        <f t="shared" si="1"/>
        <v/>
      </c>
      <c r="I3716" s="26" t="str">
        <f t="shared" si="2"/>
        <v/>
      </c>
      <c r="J3716" s="86">
        <f t="shared" si="3"/>
        <v>0</v>
      </c>
      <c r="R3716" s="26"/>
    </row>
    <row r="3717" spans="1:18" ht="15.75" customHeight="1">
      <c r="A3717" s="26"/>
      <c r="B3717" s="86"/>
      <c r="D3717" s="26"/>
      <c r="F3717" s="87" t="str">
        <f t="shared" si="0"/>
        <v/>
      </c>
      <c r="H3717" s="26" t="str">
        <f t="shared" si="1"/>
        <v/>
      </c>
      <c r="I3717" s="26" t="str">
        <f t="shared" si="2"/>
        <v/>
      </c>
      <c r="J3717" s="86">
        <f t="shared" si="3"/>
        <v>0</v>
      </c>
      <c r="R3717" s="26"/>
    </row>
    <row r="3718" spans="1:18" ht="15.75" customHeight="1">
      <c r="A3718" s="26"/>
      <c r="B3718" s="86"/>
      <c r="D3718" s="26"/>
      <c r="F3718" s="87" t="str">
        <f t="shared" si="0"/>
        <v/>
      </c>
      <c r="H3718" s="26" t="str">
        <f t="shared" si="1"/>
        <v/>
      </c>
      <c r="I3718" s="26" t="str">
        <f t="shared" si="2"/>
        <v/>
      </c>
      <c r="J3718" s="86">
        <f t="shared" si="3"/>
        <v>0</v>
      </c>
      <c r="R3718" s="26"/>
    </row>
    <row r="3719" spans="1:18" ht="15.75" customHeight="1">
      <c r="A3719" s="26"/>
      <c r="B3719" s="86"/>
      <c r="D3719" s="26"/>
      <c r="F3719" s="87" t="str">
        <f t="shared" si="0"/>
        <v/>
      </c>
      <c r="H3719" s="26" t="str">
        <f t="shared" si="1"/>
        <v/>
      </c>
      <c r="I3719" s="26" t="str">
        <f t="shared" si="2"/>
        <v/>
      </c>
      <c r="J3719" s="86">
        <f t="shared" si="3"/>
        <v>0</v>
      </c>
      <c r="R3719" s="26"/>
    </row>
    <row r="3720" spans="1:18" ht="15.75" customHeight="1">
      <c r="A3720" s="26"/>
      <c r="B3720" s="86"/>
      <c r="D3720" s="26"/>
      <c r="F3720" s="87" t="str">
        <f t="shared" si="0"/>
        <v/>
      </c>
      <c r="H3720" s="26" t="str">
        <f t="shared" si="1"/>
        <v/>
      </c>
      <c r="I3720" s="26" t="str">
        <f t="shared" si="2"/>
        <v/>
      </c>
      <c r="J3720" s="86">
        <f t="shared" si="3"/>
        <v>0</v>
      </c>
      <c r="R3720" s="26"/>
    </row>
    <row r="3721" spans="1:18" ht="15.75" customHeight="1">
      <c r="A3721" s="26"/>
      <c r="B3721" s="86"/>
      <c r="D3721" s="26"/>
      <c r="F3721" s="87" t="str">
        <f t="shared" si="0"/>
        <v/>
      </c>
      <c r="H3721" s="26" t="str">
        <f t="shared" si="1"/>
        <v/>
      </c>
      <c r="I3721" s="26" t="str">
        <f t="shared" si="2"/>
        <v/>
      </c>
      <c r="J3721" s="86">
        <f t="shared" si="3"/>
        <v>0</v>
      </c>
      <c r="R3721" s="26"/>
    </row>
    <row r="3722" spans="1:18" ht="15.75" customHeight="1">
      <c r="A3722" s="26"/>
      <c r="B3722" s="86"/>
      <c r="D3722" s="26"/>
      <c r="F3722" s="87" t="str">
        <f t="shared" si="0"/>
        <v/>
      </c>
      <c r="H3722" s="26" t="str">
        <f t="shared" si="1"/>
        <v/>
      </c>
      <c r="I3722" s="26" t="str">
        <f t="shared" si="2"/>
        <v/>
      </c>
      <c r="J3722" s="86">
        <f t="shared" si="3"/>
        <v>0</v>
      </c>
      <c r="R3722" s="26"/>
    </row>
    <row r="3723" spans="1:18" ht="15.75" customHeight="1">
      <c r="A3723" s="26"/>
      <c r="B3723" s="86"/>
      <c r="D3723" s="26"/>
      <c r="F3723" s="87" t="str">
        <f t="shared" si="0"/>
        <v/>
      </c>
      <c r="H3723" s="26" t="str">
        <f t="shared" si="1"/>
        <v/>
      </c>
      <c r="I3723" s="26" t="str">
        <f t="shared" si="2"/>
        <v/>
      </c>
      <c r="J3723" s="86">
        <f t="shared" si="3"/>
        <v>0</v>
      </c>
      <c r="R3723" s="26"/>
    </row>
    <row r="3724" spans="1:18" ht="15.75" customHeight="1">
      <c r="A3724" s="26"/>
      <c r="B3724" s="86"/>
      <c r="D3724" s="26"/>
      <c r="F3724" s="87" t="str">
        <f t="shared" si="0"/>
        <v/>
      </c>
      <c r="H3724" s="26" t="str">
        <f t="shared" si="1"/>
        <v/>
      </c>
      <c r="I3724" s="26" t="str">
        <f t="shared" si="2"/>
        <v/>
      </c>
      <c r="J3724" s="86">
        <f t="shared" si="3"/>
        <v>0</v>
      </c>
      <c r="R3724" s="26"/>
    </row>
    <row r="3725" spans="1:18" ht="15.75" customHeight="1">
      <c r="A3725" s="26"/>
      <c r="B3725" s="86"/>
      <c r="D3725" s="26"/>
      <c r="F3725" s="87" t="str">
        <f t="shared" si="0"/>
        <v/>
      </c>
      <c r="H3725" s="26" t="str">
        <f t="shared" si="1"/>
        <v/>
      </c>
      <c r="I3725" s="26" t="str">
        <f t="shared" si="2"/>
        <v/>
      </c>
      <c r="J3725" s="86">
        <f t="shared" si="3"/>
        <v>0</v>
      </c>
      <c r="R3725" s="26"/>
    </row>
    <row r="3726" spans="1:18" ht="15.75" customHeight="1">
      <c r="A3726" s="26"/>
      <c r="B3726" s="86"/>
      <c r="D3726" s="26"/>
      <c r="F3726" s="87" t="str">
        <f t="shared" si="0"/>
        <v/>
      </c>
      <c r="H3726" s="26" t="str">
        <f t="shared" si="1"/>
        <v/>
      </c>
      <c r="I3726" s="26" t="str">
        <f t="shared" si="2"/>
        <v/>
      </c>
      <c r="J3726" s="86">
        <f t="shared" si="3"/>
        <v>0</v>
      </c>
      <c r="R3726" s="26"/>
    </row>
    <row r="3727" spans="1:18" ht="15.75" customHeight="1">
      <c r="A3727" s="26"/>
      <c r="B3727" s="86"/>
      <c r="D3727" s="26"/>
      <c r="F3727" s="87" t="str">
        <f t="shared" si="0"/>
        <v/>
      </c>
      <c r="H3727" s="26" t="str">
        <f t="shared" si="1"/>
        <v/>
      </c>
      <c r="I3727" s="26" t="str">
        <f t="shared" si="2"/>
        <v/>
      </c>
      <c r="J3727" s="86">
        <f t="shared" si="3"/>
        <v>0</v>
      </c>
      <c r="R3727" s="26"/>
    </row>
    <row r="3728" spans="1:18" ht="15.75" customHeight="1">
      <c r="A3728" s="26"/>
      <c r="B3728" s="86"/>
      <c r="D3728" s="26"/>
      <c r="F3728" s="87" t="str">
        <f t="shared" si="0"/>
        <v/>
      </c>
      <c r="H3728" s="26" t="str">
        <f t="shared" si="1"/>
        <v/>
      </c>
      <c r="I3728" s="26" t="str">
        <f t="shared" si="2"/>
        <v/>
      </c>
      <c r="J3728" s="86">
        <f t="shared" si="3"/>
        <v>0</v>
      </c>
      <c r="R3728" s="26"/>
    </row>
    <row r="3729" spans="1:18" ht="15.75" customHeight="1">
      <c r="A3729" s="26"/>
      <c r="B3729" s="86"/>
      <c r="D3729" s="26"/>
      <c r="F3729" s="87" t="str">
        <f t="shared" si="0"/>
        <v/>
      </c>
      <c r="H3729" s="26" t="str">
        <f t="shared" si="1"/>
        <v/>
      </c>
      <c r="I3729" s="26" t="str">
        <f t="shared" si="2"/>
        <v/>
      </c>
      <c r="J3729" s="86">
        <f t="shared" si="3"/>
        <v>0</v>
      </c>
      <c r="R3729" s="26"/>
    </row>
    <row r="3730" spans="1:18" ht="15.75" customHeight="1">
      <c r="A3730" s="26"/>
      <c r="B3730" s="86"/>
      <c r="D3730" s="26"/>
      <c r="F3730" s="87" t="str">
        <f t="shared" si="0"/>
        <v/>
      </c>
      <c r="H3730" s="26" t="str">
        <f t="shared" si="1"/>
        <v/>
      </c>
      <c r="I3730" s="26" t="str">
        <f t="shared" si="2"/>
        <v/>
      </c>
      <c r="J3730" s="86">
        <f t="shared" si="3"/>
        <v>0</v>
      </c>
      <c r="R3730" s="26"/>
    </row>
    <row r="3731" spans="1:18" ht="15.75" customHeight="1">
      <c r="A3731" s="26"/>
      <c r="B3731" s="86"/>
      <c r="D3731" s="26"/>
      <c r="F3731" s="87" t="str">
        <f t="shared" si="0"/>
        <v/>
      </c>
      <c r="H3731" s="26" t="str">
        <f t="shared" si="1"/>
        <v/>
      </c>
      <c r="I3731" s="26" t="str">
        <f t="shared" si="2"/>
        <v/>
      </c>
      <c r="J3731" s="86">
        <f t="shared" si="3"/>
        <v>0</v>
      </c>
      <c r="R3731" s="26"/>
    </row>
    <row r="3732" spans="1:18" ht="15.75" customHeight="1">
      <c r="A3732" s="26"/>
      <c r="B3732" s="86"/>
      <c r="D3732" s="26"/>
      <c r="F3732" s="87" t="str">
        <f t="shared" si="0"/>
        <v/>
      </c>
      <c r="H3732" s="26" t="str">
        <f t="shared" si="1"/>
        <v/>
      </c>
      <c r="I3732" s="26" t="str">
        <f t="shared" si="2"/>
        <v/>
      </c>
      <c r="J3732" s="86">
        <f t="shared" si="3"/>
        <v>0</v>
      </c>
      <c r="R3732" s="26"/>
    </row>
    <row r="3733" spans="1:18" ht="15.75" customHeight="1">
      <c r="A3733" s="26"/>
      <c r="B3733" s="86"/>
      <c r="D3733" s="26"/>
      <c r="F3733" s="87" t="str">
        <f t="shared" si="0"/>
        <v/>
      </c>
      <c r="H3733" s="26" t="str">
        <f t="shared" si="1"/>
        <v/>
      </c>
      <c r="I3733" s="26" t="str">
        <f t="shared" si="2"/>
        <v/>
      </c>
      <c r="J3733" s="86">
        <f t="shared" si="3"/>
        <v>0</v>
      </c>
      <c r="R3733" s="26"/>
    </row>
    <row r="3734" spans="1:18" ht="15.75" customHeight="1">
      <c r="A3734" s="26"/>
      <c r="B3734" s="86"/>
      <c r="D3734" s="26"/>
      <c r="F3734" s="87" t="str">
        <f t="shared" si="0"/>
        <v/>
      </c>
      <c r="H3734" s="26" t="str">
        <f t="shared" si="1"/>
        <v/>
      </c>
      <c r="I3734" s="26" t="str">
        <f t="shared" si="2"/>
        <v/>
      </c>
      <c r="J3734" s="86">
        <f t="shared" si="3"/>
        <v>0</v>
      </c>
      <c r="R3734" s="26"/>
    </row>
    <row r="3735" spans="1:18" ht="15.75" customHeight="1">
      <c r="A3735" s="26"/>
      <c r="B3735" s="86"/>
      <c r="D3735" s="26"/>
      <c r="F3735" s="87" t="str">
        <f t="shared" si="0"/>
        <v/>
      </c>
      <c r="H3735" s="26" t="str">
        <f t="shared" si="1"/>
        <v/>
      </c>
      <c r="I3735" s="26" t="str">
        <f t="shared" si="2"/>
        <v/>
      </c>
      <c r="J3735" s="86">
        <f t="shared" si="3"/>
        <v>0</v>
      </c>
      <c r="R3735" s="26"/>
    </row>
    <row r="3736" spans="1:18" ht="15.75" customHeight="1">
      <c r="A3736" s="26"/>
      <c r="B3736" s="86"/>
      <c r="D3736" s="26"/>
      <c r="F3736" s="87" t="str">
        <f t="shared" si="0"/>
        <v/>
      </c>
      <c r="H3736" s="26" t="str">
        <f t="shared" si="1"/>
        <v/>
      </c>
      <c r="I3736" s="26" t="str">
        <f t="shared" si="2"/>
        <v/>
      </c>
      <c r="J3736" s="86">
        <f t="shared" si="3"/>
        <v>0</v>
      </c>
      <c r="R3736" s="26"/>
    </row>
    <row r="3737" spans="1:18" ht="15.75" customHeight="1">
      <c r="A3737" s="26"/>
      <c r="B3737" s="86"/>
      <c r="D3737" s="26"/>
      <c r="F3737" s="87" t="str">
        <f t="shared" si="0"/>
        <v/>
      </c>
      <c r="H3737" s="26" t="str">
        <f t="shared" si="1"/>
        <v/>
      </c>
      <c r="I3737" s="26" t="str">
        <f t="shared" si="2"/>
        <v/>
      </c>
      <c r="J3737" s="86">
        <f t="shared" si="3"/>
        <v>0</v>
      </c>
      <c r="R3737" s="26"/>
    </row>
    <row r="3738" spans="1:18" ht="15.75" customHeight="1">
      <c r="A3738" s="26"/>
      <c r="B3738" s="86"/>
      <c r="D3738" s="26"/>
      <c r="F3738" s="87" t="str">
        <f t="shared" si="0"/>
        <v/>
      </c>
      <c r="H3738" s="26" t="str">
        <f t="shared" si="1"/>
        <v/>
      </c>
      <c r="I3738" s="26" t="str">
        <f t="shared" si="2"/>
        <v/>
      </c>
      <c r="J3738" s="86">
        <f t="shared" si="3"/>
        <v>0</v>
      </c>
      <c r="R3738" s="26"/>
    </row>
    <row r="3739" spans="1:18" ht="15.75" customHeight="1">
      <c r="A3739" s="26"/>
      <c r="B3739" s="86"/>
      <c r="D3739" s="26"/>
      <c r="F3739" s="87" t="str">
        <f t="shared" si="0"/>
        <v/>
      </c>
      <c r="H3739" s="26" t="str">
        <f t="shared" si="1"/>
        <v/>
      </c>
      <c r="I3739" s="26" t="str">
        <f t="shared" si="2"/>
        <v/>
      </c>
      <c r="J3739" s="86">
        <f t="shared" si="3"/>
        <v>0</v>
      </c>
      <c r="R3739" s="26"/>
    </row>
    <row r="3740" spans="1:18" ht="15.75" customHeight="1">
      <c r="A3740" s="26"/>
      <c r="B3740" s="86"/>
      <c r="D3740" s="26"/>
      <c r="F3740" s="87" t="str">
        <f t="shared" si="0"/>
        <v/>
      </c>
      <c r="H3740" s="26" t="str">
        <f t="shared" si="1"/>
        <v/>
      </c>
      <c r="I3740" s="26" t="str">
        <f t="shared" si="2"/>
        <v/>
      </c>
      <c r="J3740" s="86">
        <f t="shared" si="3"/>
        <v>0</v>
      </c>
      <c r="R3740" s="26"/>
    </row>
    <row r="3741" spans="1:18" ht="15.75" customHeight="1">
      <c r="A3741" s="26"/>
      <c r="B3741" s="86"/>
      <c r="D3741" s="26"/>
      <c r="F3741" s="87" t="str">
        <f t="shared" si="0"/>
        <v/>
      </c>
      <c r="H3741" s="26" t="str">
        <f t="shared" si="1"/>
        <v/>
      </c>
      <c r="I3741" s="26" t="str">
        <f t="shared" si="2"/>
        <v/>
      </c>
      <c r="J3741" s="86">
        <f t="shared" si="3"/>
        <v>0</v>
      </c>
      <c r="R3741" s="26"/>
    </row>
    <row r="3742" spans="1:18" ht="15.75" customHeight="1">
      <c r="A3742" s="26"/>
      <c r="B3742" s="86"/>
      <c r="D3742" s="26"/>
      <c r="F3742" s="87" t="str">
        <f t="shared" si="0"/>
        <v/>
      </c>
      <c r="H3742" s="26" t="str">
        <f t="shared" si="1"/>
        <v/>
      </c>
      <c r="I3742" s="26" t="str">
        <f t="shared" si="2"/>
        <v/>
      </c>
      <c r="J3742" s="86">
        <f t="shared" si="3"/>
        <v>0</v>
      </c>
      <c r="R3742" s="26"/>
    </row>
    <row r="3743" spans="1:18" ht="15.75" customHeight="1">
      <c r="A3743" s="26"/>
      <c r="B3743" s="86"/>
      <c r="D3743" s="26"/>
      <c r="F3743" s="87" t="str">
        <f t="shared" si="0"/>
        <v/>
      </c>
      <c r="H3743" s="26" t="str">
        <f t="shared" si="1"/>
        <v/>
      </c>
      <c r="I3743" s="26" t="str">
        <f t="shared" si="2"/>
        <v/>
      </c>
      <c r="J3743" s="86">
        <f t="shared" si="3"/>
        <v>0</v>
      </c>
      <c r="R3743" s="26"/>
    </row>
    <row r="3744" spans="1:18" ht="15.75" customHeight="1">
      <c r="A3744" s="26"/>
      <c r="B3744" s="86"/>
      <c r="D3744" s="26"/>
      <c r="F3744" s="87" t="str">
        <f t="shared" si="0"/>
        <v/>
      </c>
      <c r="H3744" s="26" t="str">
        <f t="shared" si="1"/>
        <v/>
      </c>
      <c r="I3744" s="26" t="str">
        <f t="shared" si="2"/>
        <v/>
      </c>
      <c r="J3744" s="86">
        <f t="shared" si="3"/>
        <v>0</v>
      </c>
      <c r="R3744" s="26"/>
    </row>
    <row r="3745" spans="1:18" ht="15.75" customHeight="1">
      <c r="A3745" s="26"/>
      <c r="B3745" s="86"/>
      <c r="D3745" s="26"/>
      <c r="F3745" s="87" t="str">
        <f t="shared" si="0"/>
        <v/>
      </c>
      <c r="H3745" s="26" t="str">
        <f t="shared" si="1"/>
        <v/>
      </c>
      <c r="I3745" s="26" t="str">
        <f t="shared" si="2"/>
        <v/>
      </c>
      <c r="J3745" s="86">
        <f t="shared" si="3"/>
        <v>0</v>
      </c>
      <c r="R3745" s="26"/>
    </row>
    <row r="3746" spans="1:18" ht="15.75" customHeight="1">
      <c r="A3746" s="26"/>
      <c r="B3746" s="86"/>
      <c r="D3746" s="26"/>
      <c r="F3746" s="87" t="str">
        <f t="shared" si="0"/>
        <v/>
      </c>
      <c r="H3746" s="26" t="str">
        <f t="shared" si="1"/>
        <v/>
      </c>
      <c r="I3746" s="26" t="str">
        <f t="shared" si="2"/>
        <v/>
      </c>
      <c r="J3746" s="86">
        <f t="shared" si="3"/>
        <v>0</v>
      </c>
      <c r="R3746" s="26"/>
    </row>
    <row r="3747" spans="1:18" ht="15.75" customHeight="1">
      <c r="A3747" s="26"/>
      <c r="B3747" s="86"/>
      <c r="D3747" s="26"/>
      <c r="F3747" s="87" t="str">
        <f t="shared" si="0"/>
        <v/>
      </c>
      <c r="H3747" s="26" t="str">
        <f t="shared" si="1"/>
        <v/>
      </c>
      <c r="I3747" s="26" t="str">
        <f t="shared" si="2"/>
        <v/>
      </c>
      <c r="J3747" s="86">
        <f t="shared" si="3"/>
        <v>0</v>
      </c>
      <c r="R3747" s="26"/>
    </row>
    <row r="3748" spans="1:18" ht="15.75" customHeight="1">
      <c r="A3748" s="26"/>
      <c r="B3748" s="86"/>
      <c r="D3748" s="26"/>
      <c r="F3748" s="87" t="str">
        <f t="shared" si="0"/>
        <v/>
      </c>
      <c r="H3748" s="26" t="str">
        <f t="shared" si="1"/>
        <v/>
      </c>
      <c r="I3748" s="26" t="str">
        <f t="shared" si="2"/>
        <v/>
      </c>
      <c r="J3748" s="86">
        <f t="shared" si="3"/>
        <v>0</v>
      </c>
      <c r="R3748" s="26"/>
    </row>
    <row r="3749" spans="1:18" ht="15.75" customHeight="1">
      <c r="A3749" s="26"/>
      <c r="B3749" s="86"/>
      <c r="D3749" s="26"/>
      <c r="F3749" s="87" t="str">
        <f t="shared" si="0"/>
        <v/>
      </c>
      <c r="H3749" s="26" t="str">
        <f t="shared" si="1"/>
        <v/>
      </c>
      <c r="I3749" s="26" t="str">
        <f t="shared" si="2"/>
        <v/>
      </c>
      <c r="J3749" s="86">
        <f t="shared" si="3"/>
        <v>0</v>
      </c>
      <c r="R3749" s="26"/>
    </row>
    <row r="3750" spans="1:18" ht="15.75" customHeight="1">
      <c r="A3750" s="26"/>
      <c r="B3750" s="86"/>
      <c r="D3750" s="26"/>
      <c r="F3750" s="87" t="str">
        <f t="shared" si="0"/>
        <v/>
      </c>
      <c r="H3750" s="26" t="str">
        <f t="shared" si="1"/>
        <v/>
      </c>
      <c r="I3750" s="26" t="str">
        <f t="shared" si="2"/>
        <v/>
      </c>
      <c r="J3750" s="86">
        <f t="shared" si="3"/>
        <v>0</v>
      </c>
      <c r="R3750" s="26"/>
    </row>
    <row r="3751" spans="1:18" ht="15.75" customHeight="1">
      <c r="A3751" s="26"/>
      <c r="B3751" s="86"/>
      <c r="D3751" s="26"/>
      <c r="F3751" s="87" t="str">
        <f t="shared" si="0"/>
        <v/>
      </c>
      <c r="H3751" s="26" t="str">
        <f t="shared" si="1"/>
        <v/>
      </c>
      <c r="I3751" s="26" t="str">
        <f t="shared" si="2"/>
        <v/>
      </c>
      <c r="J3751" s="86">
        <f t="shared" si="3"/>
        <v>0</v>
      </c>
      <c r="R3751" s="26"/>
    </row>
    <row r="3752" spans="1:18" ht="15.75" customHeight="1">
      <c r="A3752" s="26"/>
      <c r="B3752" s="86"/>
      <c r="D3752" s="26"/>
      <c r="F3752" s="87" t="str">
        <f t="shared" si="0"/>
        <v/>
      </c>
      <c r="H3752" s="26" t="str">
        <f t="shared" si="1"/>
        <v/>
      </c>
      <c r="I3752" s="26" t="str">
        <f t="shared" si="2"/>
        <v/>
      </c>
      <c r="J3752" s="86">
        <f t="shared" si="3"/>
        <v>0</v>
      </c>
      <c r="R3752" s="26"/>
    </row>
    <row r="3753" spans="1:18" ht="15.75" customHeight="1">
      <c r="A3753" s="26"/>
      <c r="B3753" s="86"/>
      <c r="D3753" s="26"/>
      <c r="F3753" s="87" t="str">
        <f t="shared" si="0"/>
        <v/>
      </c>
      <c r="H3753" s="26" t="str">
        <f t="shared" si="1"/>
        <v/>
      </c>
      <c r="I3753" s="26" t="str">
        <f t="shared" si="2"/>
        <v/>
      </c>
      <c r="J3753" s="86">
        <f t="shared" si="3"/>
        <v>0</v>
      </c>
      <c r="R3753" s="26"/>
    </row>
    <row r="3754" spans="1:18" ht="15.75" customHeight="1">
      <c r="A3754" s="26"/>
      <c r="B3754" s="86"/>
      <c r="D3754" s="26"/>
      <c r="F3754" s="87" t="str">
        <f t="shared" si="0"/>
        <v/>
      </c>
      <c r="H3754" s="26" t="str">
        <f t="shared" si="1"/>
        <v/>
      </c>
      <c r="I3754" s="26" t="str">
        <f t="shared" si="2"/>
        <v/>
      </c>
      <c r="J3754" s="86">
        <f t="shared" si="3"/>
        <v>0</v>
      </c>
      <c r="R3754" s="26"/>
    </row>
    <row r="3755" spans="1:18" ht="15.75" customHeight="1">
      <c r="A3755" s="26"/>
      <c r="B3755" s="86"/>
      <c r="D3755" s="26"/>
      <c r="F3755" s="87" t="str">
        <f t="shared" si="0"/>
        <v/>
      </c>
      <c r="H3755" s="26" t="str">
        <f t="shared" si="1"/>
        <v/>
      </c>
      <c r="I3755" s="26" t="str">
        <f t="shared" si="2"/>
        <v/>
      </c>
      <c r="J3755" s="86">
        <f t="shared" si="3"/>
        <v>0</v>
      </c>
      <c r="R3755" s="26"/>
    </row>
    <row r="3756" spans="1:18" ht="15.75" customHeight="1">
      <c r="A3756" s="26"/>
      <c r="B3756" s="86"/>
      <c r="D3756" s="26"/>
      <c r="F3756" s="87" t="str">
        <f t="shared" si="0"/>
        <v/>
      </c>
      <c r="H3756" s="26" t="str">
        <f t="shared" si="1"/>
        <v/>
      </c>
      <c r="I3756" s="26" t="str">
        <f t="shared" si="2"/>
        <v/>
      </c>
      <c r="J3756" s="86">
        <f t="shared" si="3"/>
        <v>0</v>
      </c>
      <c r="R3756" s="26"/>
    </row>
    <row r="3757" spans="1:18" ht="15.75" customHeight="1">
      <c r="A3757" s="26"/>
      <c r="B3757" s="86"/>
      <c r="D3757" s="26"/>
      <c r="F3757" s="87" t="str">
        <f t="shared" si="0"/>
        <v/>
      </c>
      <c r="H3757" s="26" t="str">
        <f t="shared" si="1"/>
        <v/>
      </c>
      <c r="I3757" s="26" t="str">
        <f t="shared" si="2"/>
        <v/>
      </c>
      <c r="J3757" s="86">
        <f t="shared" si="3"/>
        <v>0</v>
      </c>
      <c r="R3757" s="26"/>
    </row>
    <row r="3758" spans="1:18" ht="15.75" customHeight="1">
      <c r="A3758" s="26"/>
      <c r="B3758" s="86"/>
      <c r="D3758" s="26"/>
      <c r="F3758" s="87" t="str">
        <f t="shared" si="0"/>
        <v/>
      </c>
      <c r="H3758" s="26" t="str">
        <f t="shared" si="1"/>
        <v/>
      </c>
      <c r="I3758" s="26" t="str">
        <f t="shared" si="2"/>
        <v/>
      </c>
      <c r="J3758" s="86">
        <f t="shared" si="3"/>
        <v>0</v>
      </c>
      <c r="R3758" s="26"/>
    </row>
    <row r="3759" spans="1:18" ht="15.75" customHeight="1">
      <c r="A3759" s="26"/>
      <c r="B3759" s="86"/>
      <c r="D3759" s="26"/>
      <c r="F3759" s="87" t="str">
        <f t="shared" si="0"/>
        <v/>
      </c>
      <c r="H3759" s="26" t="str">
        <f t="shared" si="1"/>
        <v/>
      </c>
      <c r="I3759" s="26" t="str">
        <f t="shared" si="2"/>
        <v/>
      </c>
      <c r="J3759" s="86">
        <f t="shared" si="3"/>
        <v>0</v>
      </c>
      <c r="R3759" s="26"/>
    </row>
    <row r="3760" spans="1:18" ht="15.75" customHeight="1">
      <c r="A3760" s="26"/>
      <c r="B3760" s="86"/>
      <c r="D3760" s="26"/>
      <c r="F3760" s="87" t="str">
        <f t="shared" si="0"/>
        <v/>
      </c>
      <c r="H3760" s="26" t="str">
        <f t="shared" si="1"/>
        <v/>
      </c>
      <c r="I3760" s="26" t="str">
        <f t="shared" si="2"/>
        <v/>
      </c>
      <c r="J3760" s="86">
        <f t="shared" si="3"/>
        <v>0</v>
      </c>
      <c r="R3760" s="26"/>
    </row>
    <row r="3761" spans="1:18" ht="15.75" customHeight="1">
      <c r="A3761" s="26"/>
      <c r="B3761" s="86"/>
      <c r="D3761" s="26"/>
      <c r="F3761" s="87" t="str">
        <f t="shared" si="0"/>
        <v/>
      </c>
      <c r="H3761" s="26" t="str">
        <f t="shared" si="1"/>
        <v/>
      </c>
      <c r="I3761" s="26" t="str">
        <f t="shared" si="2"/>
        <v/>
      </c>
      <c r="J3761" s="86">
        <f t="shared" si="3"/>
        <v>0</v>
      </c>
      <c r="R3761" s="26"/>
    </row>
    <row r="3762" spans="1:18" ht="15.75" customHeight="1">
      <c r="A3762" s="26"/>
      <c r="B3762" s="86"/>
      <c r="D3762" s="26"/>
      <c r="F3762" s="87" t="str">
        <f t="shared" si="0"/>
        <v/>
      </c>
      <c r="H3762" s="26" t="str">
        <f t="shared" si="1"/>
        <v/>
      </c>
      <c r="I3762" s="26" t="str">
        <f t="shared" si="2"/>
        <v/>
      </c>
      <c r="J3762" s="86">
        <f t="shared" si="3"/>
        <v>0</v>
      </c>
      <c r="R3762" s="26"/>
    </row>
    <row r="3763" spans="1:18" ht="15.75" customHeight="1">
      <c r="A3763" s="26"/>
      <c r="B3763" s="86"/>
      <c r="D3763" s="26"/>
      <c r="F3763" s="87" t="str">
        <f t="shared" si="0"/>
        <v/>
      </c>
      <c r="H3763" s="26" t="str">
        <f t="shared" si="1"/>
        <v/>
      </c>
      <c r="I3763" s="26" t="str">
        <f t="shared" si="2"/>
        <v/>
      </c>
      <c r="J3763" s="86">
        <f t="shared" si="3"/>
        <v>0</v>
      </c>
      <c r="R3763" s="26"/>
    </row>
    <row r="3764" spans="1:18" ht="15.75" customHeight="1">
      <c r="A3764" s="26"/>
      <c r="B3764" s="86"/>
      <c r="D3764" s="26"/>
      <c r="F3764" s="87" t="str">
        <f t="shared" si="0"/>
        <v/>
      </c>
      <c r="H3764" s="26" t="str">
        <f t="shared" si="1"/>
        <v/>
      </c>
      <c r="I3764" s="26" t="str">
        <f t="shared" si="2"/>
        <v/>
      </c>
      <c r="J3764" s="86">
        <f t="shared" si="3"/>
        <v>0</v>
      </c>
      <c r="R3764" s="26"/>
    </row>
    <row r="3765" spans="1:18" ht="15.75" customHeight="1">
      <c r="A3765" s="26"/>
      <c r="B3765" s="86"/>
      <c r="D3765" s="26"/>
      <c r="F3765" s="87" t="str">
        <f t="shared" si="0"/>
        <v/>
      </c>
      <c r="H3765" s="26" t="str">
        <f t="shared" si="1"/>
        <v/>
      </c>
      <c r="I3765" s="26" t="str">
        <f t="shared" si="2"/>
        <v/>
      </c>
      <c r="J3765" s="86">
        <f t="shared" si="3"/>
        <v>0</v>
      </c>
      <c r="R3765" s="26"/>
    </row>
    <row r="3766" spans="1:18" ht="15.75" customHeight="1">
      <c r="A3766" s="26"/>
      <c r="B3766" s="86"/>
      <c r="D3766" s="26"/>
      <c r="F3766" s="87" t="str">
        <f t="shared" si="0"/>
        <v/>
      </c>
      <c r="H3766" s="26" t="str">
        <f t="shared" si="1"/>
        <v/>
      </c>
      <c r="I3766" s="26" t="str">
        <f t="shared" si="2"/>
        <v/>
      </c>
      <c r="J3766" s="86">
        <f t="shared" si="3"/>
        <v>0</v>
      </c>
      <c r="R3766" s="26"/>
    </row>
    <row r="3767" spans="1:18" ht="15.75" customHeight="1">
      <c r="A3767" s="26"/>
      <c r="B3767" s="86"/>
      <c r="D3767" s="26"/>
      <c r="F3767" s="87" t="str">
        <f t="shared" si="0"/>
        <v/>
      </c>
      <c r="H3767" s="26" t="str">
        <f t="shared" si="1"/>
        <v/>
      </c>
      <c r="I3767" s="26" t="str">
        <f t="shared" si="2"/>
        <v/>
      </c>
      <c r="J3767" s="86">
        <f t="shared" si="3"/>
        <v>0</v>
      </c>
      <c r="R3767" s="26"/>
    </row>
    <row r="3768" spans="1:18" ht="15.75" customHeight="1">
      <c r="A3768" s="26"/>
      <c r="B3768" s="86"/>
      <c r="D3768" s="26"/>
      <c r="F3768" s="87" t="str">
        <f t="shared" si="0"/>
        <v/>
      </c>
      <c r="H3768" s="26" t="str">
        <f t="shared" si="1"/>
        <v/>
      </c>
      <c r="I3768" s="26" t="str">
        <f t="shared" si="2"/>
        <v/>
      </c>
      <c r="J3768" s="86">
        <f t="shared" si="3"/>
        <v>0</v>
      </c>
      <c r="R3768" s="26"/>
    </row>
    <row r="3769" spans="1:18" ht="15.75" customHeight="1">
      <c r="A3769" s="26"/>
      <c r="B3769" s="86"/>
      <c r="D3769" s="26"/>
      <c r="F3769" s="87" t="str">
        <f t="shared" si="0"/>
        <v/>
      </c>
      <c r="H3769" s="26" t="str">
        <f t="shared" si="1"/>
        <v/>
      </c>
      <c r="I3769" s="26" t="str">
        <f t="shared" si="2"/>
        <v/>
      </c>
      <c r="J3769" s="86">
        <f t="shared" si="3"/>
        <v>0</v>
      </c>
      <c r="R3769" s="26"/>
    </row>
    <row r="3770" spans="1:18" ht="15.75" customHeight="1">
      <c r="A3770" s="26"/>
      <c r="B3770" s="86"/>
      <c r="D3770" s="26"/>
      <c r="F3770" s="87" t="str">
        <f t="shared" si="0"/>
        <v/>
      </c>
      <c r="H3770" s="26" t="str">
        <f t="shared" si="1"/>
        <v/>
      </c>
      <c r="I3770" s="26" t="str">
        <f t="shared" si="2"/>
        <v/>
      </c>
      <c r="J3770" s="86">
        <f t="shared" si="3"/>
        <v>0</v>
      </c>
      <c r="R3770" s="26"/>
    </row>
    <row r="3771" spans="1:18" ht="15.75" customHeight="1">
      <c r="A3771" s="26"/>
      <c r="B3771" s="86"/>
      <c r="D3771" s="26"/>
      <c r="F3771" s="87" t="str">
        <f t="shared" si="0"/>
        <v/>
      </c>
      <c r="H3771" s="26" t="str">
        <f t="shared" si="1"/>
        <v/>
      </c>
      <c r="I3771" s="26" t="str">
        <f t="shared" si="2"/>
        <v/>
      </c>
      <c r="J3771" s="86">
        <f t="shared" si="3"/>
        <v>0</v>
      </c>
      <c r="R3771" s="26"/>
    </row>
    <row r="3772" spans="1:18" ht="15.75" customHeight="1">
      <c r="A3772" s="26"/>
      <c r="B3772" s="86"/>
      <c r="D3772" s="26"/>
      <c r="F3772" s="87" t="str">
        <f t="shared" si="0"/>
        <v/>
      </c>
      <c r="H3772" s="26" t="str">
        <f t="shared" si="1"/>
        <v/>
      </c>
      <c r="I3772" s="26" t="str">
        <f t="shared" si="2"/>
        <v/>
      </c>
      <c r="J3772" s="86">
        <f t="shared" si="3"/>
        <v>0</v>
      </c>
      <c r="R3772" s="26"/>
    </row>
    <row r="3773" spans="1:18" ht="15.75" customHeight="1">
      <c r="A3773" s="26"/>
      <c r="B3773" s="86"/>
      <c r="D3773" s="26"/>
      <c r="F3773" s="87" t="str">
        <f t="shared" si="0"/>
        <v/>
      </c>
      <c r="H3773" s="26" t="str">
        <f t="shared" si="1"/>
        <v/>
      </c>
      <c r="I3773" s="26" t="str">
        <f t="shared" si="2"/>
        <v/>
      </c>
      <c r="J3773" s="86">
        <f t="shared" si="3"/>
        <v>0</v>
      </c>
      <c r="R3773" s="26"/>
    </row>
    <row r="3774" spans="1:18" ht="15.75" customHeight="1">
      <c r="A3774" s="26"/>
      <c r="B3774" s="86"/>
      <c r="D3774" s="26"/>
      <c r="F3774" s="87" t="str">
        <f t="shared" si="0"/>
        <v/>
      </c>
      <c r="H3774" s="26" t="str">
        <f t="shared" si="1"/>
        <v/>
      </c>
      <c r="I3774" s="26" t="str">
        <f t="shared" si="2"/>
        <v/>
      </c>
      <c r="J3774" s="86">
        <f t="shared" si="3"/>
        <v>0</v>
      </c>
      <c r="R3774" s="26"/>
    </row>
    <row r="3775" spans="1:18" ht="15.75" customHeight="1">
      <c r="A3775" s="26"/>
      <c r="B3775" s="86"/>
      <c r="D3775" s="26"/>
      <c r="F3775" s="87" t="str">
        <f t="shared" si="0"/>
        <v/>
      </c>
      <c r="H3775" s="26" t="str">
        <f t="shared" si="1"/>
        <v/>
      </c>
      <c r="I3775" s="26" t="str">
        <f t="shared" si="2"/>
        <v/>
      </c>
      <c r="J3775" s="86">
        <f t="shared" si="3"/>
        <v>0</v>
      </c>
      <c r="R3775" s="26"/>
    </row>
    <row r="3776" spans="1:18" ht="15.75" customHeight="1">
      <c r="A3776" s="26"/>
      <c r="B3776" s="86"/>
      <c r="D3776" s="26"/>
      <c r="F3776" s="87" t="str">
        <f t="shared" si="0"/>
        <v/>
      </c>
      <c r="H3776" s="26" t="str">
        <f t="shared" si="1"/>
        <v/>
      </c>
      <c r="I3776" s="26" t="str">
        <f t="shared" si="2"/>
        <v/>
      </c>
      <c r="J3776" s="86">
        <f t="shared" si="3"/>
        <v>0</v>
      </c>
      <c r="R3776" s="26"/>
    </row>
    <row r="3777" spans="1:18" ht="15.75" customHeight="1">
      <c r="A3777" s="26"/>
      <c r="B3777" s="86"/>
      <c r="D3777" s="26"/>
      <c r="F3777" s="87" t="str">
        <f t="shared" si="0"/>
        <v/>
      </c>
      <c r="H3777" s="26" t="str">
        <f t="shared" si="1"/>
        <v/>
      </c>
      <c r="I3777" s="26" t="str">
        <f t="shared" si="2"/>
        <v/>
      </c>
      <c r="J3777" s="86">
        <f t="shared" si="3"/>
        <v>0</v>
      </c>
      <c r="R3777" s="26"/>
    </row>
    <row r="3778" spans="1:18" ht="15.75" customHeight="1">
      <c r="A3778" s="26"/>
      <c r="B3778" s="86"/>
      <c r="D3778" s="26"/>
      <c r="F3778" s="87" t="str">
        <f t="shared" si="0"/>
        <v/>
      </c>
      <c r="H3778" s="26" t="str">
        <f t="shared" si="1"/>
        <v/>
      </c>
      <c r="I3778" s="26" t="str">
        <f t="shared" si="2"/>
        <v/>
      </c>
      <c r="J3778" s="86">
        <f t="shared" si="3"/>
        <v>0</v>
      </c>
      <c r="R3778" s="26"/>
    </row>
    <row r="3779" spans="1:18" ht="15.75" customHeight="1">
      <c r="A3779" s="26"/>
      <c r="B3779" s="86"/>
      <c r="D3779" s="26"/>
      <c r="F3779" s="87" t="str">
        <f t="shared" si="0"/>
        <v/>
      </c>
      <c r="H3779" s="26" t="str">
        <f t="shared" si="1"/>
        <v/>
      </c>
      <c r="I3779" s="26" t="str">
        <f t="shared" si="2"/>
        <v/>
      </c>
      <c r="J3779" s="86">
        <f t="shared" si="3"/>
        <v>0</v>
      </c>
      <c r="R3779" s="26"/>
    </row>
    <row r="3780" spans="1:18" ht="15.75" customHeight="1">
      <c r="A3780" s="26"/>
      <c r="B3780" s="86"/>
      <c r="D3780" s="26"/>
      <c r="F3780" s="87" t="str">
        <f t="shared" si="0"/>
        <v/>
      </c>
      <c r="H3780" s="26" t="str">
        <f t="shared" si="1"/>
        <v/>
      </c>
      <c r="I3780" s="26" t="str">
        <f t="shared" si="2"/>
        <v/>
      </c>
      <c r="J3780" s="86">
        <f t="shared" si="3"/>
        <v>0</v>
      </c>
      <c r="R3780" s="26"/>
    </row>
    <row r="3781" spans="1:18" ht="15.75" customHeight="1">
      <c r="A3781" s="26"/>
      <c r="B3781" s="86"/>
      <c r="D3781" s="26"/>
      <c r="F3781" s="87" t="str">
        <f t="shared" si="0"/>
        <v/>
      </c>
      <c r="H3781" s="26" t="str">
        <f t="shared" si="1"/>
        <v/>
      </c>
      <c r="I3781" s="26" t="str">
        <f t="shared" si="2"/>
        <v/>
      </c>
      <c r="J3781" s="86">
        <f t="shared" si="3"/>
        <v>0</v>
      </c>
      <c r="R3781" s="26"/>
    </row>
    <row r="3782" spans="1:18" ht="15.75" customHeight="1">
      <c r="A3782" s="26"/>
      <c r="B3782" s="86"/>
      <c r="D3782" s="26"/>
      <c r="F3782" s="87" t="str">
        <f t="shared" si="0"/>
        <v/>
      </c>
      <c r="H3782" s="26" t="str">
        <f t="shared" si="1"/>
        <v/>
      </c>
      <c r="I3782" s="26" t="str">
        <f t="shared" si="2"/>
        <v/>
      </c>
      <c r="J3782" s="86">
        <f t="shared" si="3"/>
        <v>0</v>
      </c>
      <c r="R3782" s="26"/>
    </row>
    <row r="3783" spans="1:18" ht="15.75" customHeight="1">
      <c r="A3783" s="26"/>
      <c r="B3783" s="86"/>
      <c r="D3783" s="26"/>
      <c r="F3783" s="87" t="str">
        <f t="shared" si="0"/>
        <v/>
      </c>
      <c r="H3783" s="26" t="str">
        <f t="shared" si="1"/>
        <v/>
      </c>
      <c r="I3783" s="26" t="str">
        <f t="shared" si="2"/>
        <v/>
      </c>
      <c r="J3783" s="86">
        <f t="shared" si="3"/>
        <v>0</v>
      </c>
      <c r="R3783" s="26"/>
    </row>
    <row r="3784" spans="1:18" ht="15.75" customHeight="1">
      <c r="A3784" s="26"/>
      <c r="B3784" s="86"/>
      <c r="D3784" s="26"/>
      <c r="F3784" s="87" t="str">
        <f t="shared" si="0"/>
        <v/>
      </c>
      <c r="H3784" s="26" t="str">
        <f t="shared" si="1"/>
        <v/>
      </c>
      <c r="I3784" s="26" t="str">
        <f t="shared" si="2"/>
        <v/>
      </c>
      <c r="J3784" s="86">
        <f t="shared" si="3"/>
        <v>0</v>
      </c>
      <c r="R3784" s="26"/>
    </row>
    <row r="3785" spans="1:18" ht="15.75" customHeight="1">
      <c r="A3785" s="26"/>
      <c r="B3785" s="86"/>
      <c r="D3785" s="26"/>
      <c r="F3785" s="87" t="str">
        <f t="shared" si="0"/>
        <v/>
      </c>
      <c r="H3785" s="26" t="str">
        <f t="shared" si="1"/>
        <v/>
      </c>
      <c r="I3785" s="26" t="str">
        <f t="shared" si="2"/>
        <v/>
      </c>
      <c r="J3785" s="86">
        <f t="shared" si="3"/>
        <v>0</v>
      </c>
      <c r="R3785" s="26"/>
    </row>
    <row r="3786" spans="1:18" ht="15.75" customHeight="1">
      <c r="A3786" s="26"/>
      <c r="B3786" s="86"/>
      <c r="D3786" s="26"/>
      <c r="F3786" s="87" t="str">
        <f t="shared" si="0"/>
        <v/>
      </c>
      <c r="H3786" s="26" t="str">
        <f t="shared" si="1"/>
        <v/>
      </c>
      <c r="I3786" s="26" t="str">
        <f t="shared" si="2"/>
        <v/>
      </c>
      <c r="J3786" s="86">
        <f t="shared" si="3"/>
        <v>0</v>
      </c>
      <c r="R3786" s="26"/>
    </row>
    <row r="3787" spans="1:18" ht="15.75" customHeight="1">
      <c r="A3787" s="26"/>
      <c r="B3787" s="86"/>
      <c r="D3787" s="26"/>
      <c r="F3787" s="87" t="str">
        <f t="shared" si="0"/>
        <v/>
      </c>
      <c r="H3787" s="26" t="str">
        <f t="shared" si="1"/>
        <v/>
      </c>
      <c r="I3787" s="26" t="str">
        <f t="shared" si="2"/>
        <v/>
      </c>
      <c r="J3787" s="86">
        <f t="shared" si="3"/>
        <v>0</v>
      </c>
      <c r="R3787" s="26"/>
    </row>
    <row r="3788" spans="1:18" ht="15.75" customHeight="1">
      <c r="A3788" s="26"/>
      <c r="B3788" s="86"/>
      <c r="D3788" s="26"/>
      <c r="F3788" s="87" t="str">
        <f t="shared" si="0"/>
        <v/>
      </c>
      <c r="H3788" s="26" t="str">
        <f t="shared" si="1"/>
        <v/>
      </c>
      <c r="I3788" s="26" t="str">
        <f t="shared" si="2"/>
        <v/>
      </c>
      <c r="J3788" s="86">
        <f t="shared" si="3"/>
        <v>0</v>
      </c>
      <c r="R3788" s="26"/>
    </row>
    <row r="3789" spans="1:18" ht="15.75" customHeight="1">
      <c r="A3789" s="26"/>
      <c r="B3789" s="86"/>
      <c r="D3789" s="26"/>
      <c r="F3789" s="87" t="str">
        <f t="shared" si="0"/>
        <v/>
      </c>
      <c r="H3789" s="26" t="str">
        <f t="shared" si="1"/>
        <v/>
      </c>
      <c r="I3789" s="26" t="str">
        <f t="shared" si="2"/>
        <v/>
      </c>
      <c r="J3789" s="86">
        <f t="shared" si="3"/>
        <v>0</v>
      </c>
      <c r="R3789" s="26"/>
    </row>
    <row r="3790" spans="1:18" ht="15.75" customHeight="1">
      <c r="A3790" s="26"/>
      <c r="B3790" s="86"/>
      <c r="D3790" s="26"/>
      <c r="F3790" s="87" t="str">
        <f t="shared" si="0"/>
        <v/>
      </c>
      <c r="H3790" s="26" t="str">
        <f t="shared" si="1"/>
        <v/>
      </c>
      <c r="I3790" s="26" t="str">
        <f t="shared" si="2"/>
        <v/>
      </c>
      <c r="J3790" s="86">
        <f t="shared" si="3"/>
        <v>0</v>
      </c>
      <c r="R3790" s="26"/>
    </row>
    <row r="3791" spans="1:18" ht="15.75" customHeight="1">
      <c r="A3791" s="26"/>
      <c r="B3791" s="86"/>
      <c r="D3791" s="26"/>
      <c r="F3791" s="87" t="str">
        <f t="shared" si="0"/>
        <v/>
      </c>
      <c r="H3791" s="26" t="str">
        <f t="shared" si="1"/>
        <v/>
      </c>
      <c r="I3791" s="26" t="str">
        <f t="shared" si="2"/>
        <v/>
      </c>
      <c r="J3791" s="86">
        <f t="shared" si="3"/>
        <v>0</v>
      </c>
      <c r="R3791" s="26"/>
    </row>
    <row r="3792" spans="1:18" ht="15.75" customHeight="1">
      <c r="A3792" s="26"/>
      <c r="B3792" s="86"/>
      <c r="D3792" s="26"/>
      <c r="F3792" s="87" t="str">
        <f t="shared" si="0"/>
        <v/>
      </c>
      <c r="H3792" s="26" t="str">
        <f t="shared" si="1"/>
        <v/>
      </c>
      <c r="I3792" s="26" t="str">
        <f t="shared" si="2"/>
        <v/>
      </c>
      <c r="J3792" s="86">
        <f t="shared" si="3"/>
        <v>0</v>
      </c>
      <c r="R3792" s="26"/>
    </row>
    <row r="3793" spans="1:18" ht="15.75" customHeight="1">
      <c r="A3793" s="26"/>
      <c r="B3793" s="86"/>
      <c r="D3793" s="26"/>
      <c r="F3793" s="87" t="str">
        <f t="shared" si="0"/>
        <v/>
      </c>
      <c r="H3793" s="26" t="str">
        <f t="shared" si="1"/>
        <v/>
      </c>
      <c r="I3793" s="26" t="str">
        <f t="shared" si="2"/>
        <v/>
      </c>
      <c r="J3793" s="86">
        <f t="shared" si="3"/>
        <v>0</v>
      </c>
      <c r="R3793" s="26"/>
    </row>
    <row r="3794" spans="1:18" ht="15.75" customHeight="1">
      <c r="A3794" s="26"/>
      <c r="B3794" s="86"/>
      <c r="D3794" s="26"/>
      <c r="F3794" s="87" t="str">
        <f t="shared" si="0"/>
        <v/>
      </c>
      <c r="H3794" s="26" t="str">
        <f t="shared" si="1"/>
        <v/>
      </c>
      <c r="I3794" s="26" t="str">
        <f t="shared" si="2"/>
        <v/>
      </c>
      <c r="J3794" s="86">
        <f t="shared" si="3"/>
        <v>0</v>
      </c>
      <c r="R3794" s="26"/>
    </row>
    <row r="3795" spans="1:18" ht="15.75" customHeight="1">
      <c r="A3795" s="26"/>
      <c r="B3795" s="86"/>
      <c r="D3795" s="26"/>
      <c r="F3795" s="87" t="str">
        <f t="shared" si="0"/>
        <v/>
      </c>
      <c r="H3795" s="26" t="str">
        <f t="shared" si="1"/>
        <v/>
      </c>
      <c r="I3795" s="26" t="str">
        <f t="shared" si="2"/>
        <v/>
      </c>
      <c r="J3795" s="86">
        <f t="shared" si="3"/>
        <v>0</v>
      </c>
      <c r="R3795" s="26"/>
    </row>
    <row r="3796" spans="1:18" ht="15.75" customHeight="1">
      <c r="A3796" s="26"/>
      <c r="B3796" s="86"/>
      <c r="D3796" s="26"/>
      <c r="F3796" s="87" t="str">
        <f t="shared" si="0"/>
        <v/>
      </c>
      <c r="H3796" s="26" t="str">
        <f t="shared" si="1"/>
        <v/>
      </c>
      <c r="I3796" s="26" t="str">
        <f t="shared" si="2"/>
        <v/>
      </c>
      <c r="J3796" s="86">
        <f t="shared" si="3"/>
        <v>0</v>
      </c>
      <c r="R3796" s="26"/>
    </row>
    <row r="3797" spans="1:18" ht="15.75" customHeight="1">
      <c r="A3797" s="26"/>
      <c r="B3797" s="86"/>
      <c r="D3797" s="26"/>
      <c r="F3797" s="87" t="str">
        <f t="shared" si="0"/>
        <v/>
      </c>
      <c r="H3797" s="26" t="str">
        <f t="shared" si="1"/>
        <v/>
      </c>
      <c r="I3797" s="26" t="str">
        <f t="shared" si="2"/>
        <v/>
      </c>
      <c r="J3797" s="86">
        <f t="shared" si="3"/>
        <v>0</v>
      </c>
      <c r="R3797" s="26"/>
    </row>
    <row r="3798" spans="1:18" ht="15.75" customHeight="1">
      <c r="A3798" s="26"/>
      <c r="B3798" s="86"/>
      <c r="D3798" s="26"/>
      <c r="F3798" s="87" t="str">
        <f t="shared" si="0"/>
        <v/>
      </c>
      <c r="H3798" s="26" t="str">
        <f t="shared" si="1"/>
        <v/>
      </c>
      <c r="I3798" s="26" t="str">
        <f t="shared" si="2"/>
        <v/>
      </c>
      <c r="J3798" s="86">
        <f t="shared" si="3"/>
        <v>0</v>
      </c>
      <c r="R3798" s="26"/>
    </row>
    <row r="3799" spans="1:18" ht="15.75" customHeight="1">
      <c r="A3799" s="26"/>
      <c r="B3799" s="86"/>
      <c r="D3799" s="26"/>
      <c r="F3799" s="87" t="str">
        <f t="shared" si="0"/>
        <v/>
      </c>
      <c r="H3799" s="26" t="str">
        <f t="shared" si="1"/>
        <v/>
      </c>
      <c r="I3799" s="26" t="str">
        <f t="shared" si="2"/>
        <v/>
      </c>
      <c r="J3799" s="86">
        <f t="shared" si="3"/>
        <v>0</v>
      </c>
      <c r="R3799" s="26"/>
    </row>
    <row r="3800" spans="1:18" ht="15.75" customHeight="1">
      <c r="A3800" s="26"/>
      <c r="B3800" s="86"/>
      <c r="D3800" s="26"/>
      <c r="F3800" s="87" t="str">
        <f t="shared" si="0"/>
        <v/>
      </c>
      <c r="H3800" s="26" t="str">
        <f t="shared" si="1"/>
        <v/>
      </c>
      <c r="I3800" s="26" t="str">
        <f t="shared" si="2"/>
        <v/>
      </c>
      <c r="J3800" s="86">
        <f t="shared" si="3"/>
        <v>0</v>
      </c>
      <c r="R3800" s="26"/>
    </row>
    <row r="3801" spans="1:18" ht="15.75" customHeight="1">
      <c r="A3801" s="26"/>
      <c r="B3801" s="86"/>
      <c r="D3801" s="26"/>
      <c r="F3801" s="87" t="str">
        <f t="shared" si="0"/>
        <v/>
      </c>
      <c r="H3801" s="26" t="str">
        <f t="shared" si="1"/>
        <v/>
      </c>
      <c r="I3801" s="26" t="str">
        <f t="shared" si="2"/>
        <v/>
      </c>
      <c r="J3801" s="86">
        <f t="shared" si="3"/>
        <v>0</v>
      </c>
      <c r="R3801" s="26"/>
    </row>
    <row r="3802" spans="1:18" ht="15.75" customHeight="1">
      <c r="A3802" s="26"/>
      <c r="B3802" s="86"/>
      <c r="D3802" s="26"/>
      <c r="F3802" s="87" t="str">
        <f t="shared" si="0"/>
        <v/>
      </c>
      <c r="H3802" s="26" t="str">
        <f t="shared" si="1"/>
        <v/>
      </c>
      <c r="I3802" s="26" t="str">
        <f t="shared" si="2"/>
        <v/>
      </c>
      <c r="J3802" s="86">
        <f t="shared" si="3"/>
        <v>0</v>
      </c>
      <c r="R3802" s="26"/>
    </row>
    <row r="3803" spans="1:18" ht="15.75" customHeight="1">
      <c r="A3803" s="26"/>
      <c r="B3803" s="86"/>
      <c r="D3803" s="26"/>
      <c r="F3803" s="87" t="str">
        <f t="shared" si="0"/>
        <v/>
      </c>
      <c r="H3803" s="26" t="str">
        <f t="shared" si="1"/>
        <v/>
      </c>
      <c r="I3803" s="26" t="str">
        <f t="shared" si="2"/>
        <v/>
      </c>
      <c r="J3803" s="86">
        <f t="shared" si="3"/>
        <v>0</v>
      </c>
      <c r="R3803" s="26"/>
    </row>
    <row r="3804" spans="1:18" ht="15.75" customHeight="1">
      <c r="A3804" s="26"/>
      <c r="B3804" s="86"/>
      <c r="D3804" s="26"/>
      <c r="F3804" s="87" t="str">
        <f t="shared" si="0"/>
        <v/>
      </c>
      <c r="H3804" s="26" t="str">
        <f t="shared" si="1"/>
        <v/>
      </c>
      <c r="I3804" s="26" t="str">
        <f t="shared" si="2"/>
        <v/>
      </c>
      <c r="J3804" s="86">
        <f t="shared" si="3"/>
        <v>0</v>
      </c>
      <c r="R3804" s="26"/>
    </row>
    <row r="3805" spans="1:18" ht="15.75" customHeight="1">
      <c r="A3805" s="26"/>
      <c r="B3805" s="86"/>
      <c r="D3805" s="26"/>
      <c r="F3805" s="87" t="str">
        <f t="shared" si="0"/>
        <v/>
      </c>
      <c r="H3805" s="26" t="str">
        <f t="shared" si="1"/>
        <v/>
      </c>
      <c r="I3805" s="26" t="str">
        <f t="shared" si="2"/>
        <v/>
      </c>
      <c r="J3805" s="86">
        <f t="shared" si="3"/>
        <v>0</v>
      </c>
      <c r="R3805" s="26"/>
    </row>
    <row r="3806" spans="1:18" ht="15.75" customHeight="1">
      <c r="A3806" s="26"/>
      <c r="B3806" s="86"/>
      <c r="D3806" s="26"/>
      <c r="F3806" s="87" t="str">
        <f t="shared" si="0"/>
        <v/>
      </c>
      <c r="H3806" s="26" t="str">
        <f t="shared" si="1"/>
        <v/>
      </c>
      <c r="I3806" s="26" t="str">
        <f t="shared" si="2"/>
        <v/>
      </c>
      <c r="J3806" s="86">
        <f t="shared" si="3"/>
        <v>0</v>
      </c>
      <c r="R3806" s="26"/>
    </row>
    <row r="3807" spans="1:18" ht="15.75" customHeight="1">
      <c r="A3807" s="26"/>
      <c r="B3807" s="86"/>
      <c r="D3807" s="26"/>
      <c r="F3807" s="87" t="str">
        <f t="shared" si="0"/>
        <v/>
      </c>
      <c r="H3807" s="26" t="str">
        <f t="shared" si="1"/>
        <v/>
      </c>
      <c r="I3807" s="26" t="str">
        <f t="shared" si="2"/>
        <v/>
      </c>
      <c r="J3807" s="86">
        <f t="shared" si="3"/>
        <v>0</v>
      </c>
      <c r="R3807" s="26"/>
    </row>
    <row r="3808" spans="1:18" ht="15.75" customHeight="1">
      <c r="A3808" s="26"/>
      <c r="B3808" s="86"/>
      <c r="D3808" s="26"/>
      <c r="F3808" s="87" t="str">
        <f t="shared" si="0"/>
        <v/>
      </c>
      <c r="H3808" s="26" t="str">
        <f t="shared" si="1"/>
        <v/>
      </c>
      <c r="I3808" s="26" t="str">
        <f t="shared" si="2"/>
        <v/>
      </c>
      <c r="J3808" s="86">
        <f t="shared" si="3"/>
        <v>0</v>
      </c>
      <c r="R3808" s="26"/>
    </row>
    <row r="3809" spans="1:18" ht="15.75" customHeight="1">
      <c r="A3809" s="26"/>
      <c r="B3809" s="86"/>
      <c r="D3809" s="26"/>
      <c r="F3809" s="87" t="str">
        <f t="shared" si="0"/>
        <v/>
      </c>
      <c r="H3809" s="26" t="str">
        <f t="shared" si="1"/>
        <v/>
      </c>
      <c r="I3809" s="26" t="str">
        <f t="shared" si="2"/>
        <v/>
      </c>
      <c r="J3809" s="86">
        <f t="shared" si="3"/>
        <v>0</v>
      </c>
      <c r="R3809" s="26"/>
    </row>
    <row r="3810" spans="1:18" ht="15.75" customHeight="1">
      <c r="A3810" s="26"/>
      <c r="B3810" s="86"/>
      <c r="D3810" s="26"/>
      <c r="F3810" s="87" t="str">
        <f t="shared" si="0"/>
        <v/>
      </c>
      <c r="H3810" s="26" t="str">
        <f t="shared" si="1"/>
        <v/>
      </c>
      <c r="I3810" s="26" t="str">
        <f t="shared" si="2"/>
        <v/>
      </c>
      <c r="J3810" s="86">
        <f t="shared" si="3"/>
        <v>0</v>
      </c>
      <c r="R3810" s="26"/>
    </row>
    <row r="3811" spans="1:18" ht="15.75" customHeight="1">
      <c r="A3811" s="26"/>
      <c r="B3811" s="86"/>
      <c r="D3811" s="26"/>
      <c r="F3811" s="87" t="str">
        <f t="shared" si="0"/>
        <v/>
      </c>
      <c r="H3811" s="26" t="str">
        <f t="shared" si="1"/>
        <v/>
      </c>
      <c r="I3811" s="26" t="str">
        <f t="shared" si="2"/>
        <v/>
      </c>
      <c r="J3811" s="86">
        <f t="shared" si="3"/>
        <v>0</v>
      </c>
      <c r="R3811" s="26"/>
    </row>
    <row r="3812" spans="1:18" ht="15.75" customHeight="1">
      <c r="A3812" s="26"/>
      <c r="B3812" s="86"/>
      <c r="D3812" s="26"/>
      <c r="F3812" s="87" t="str">
        <f t="shared" si="0"/>
        <v/>
      </c>
      <c r="H3812" s="26" t="str">
        <f t="shared" si="1"/>
        <v/>
      </c>
      <c r="I3812" s="26" t="str">
        <f t="shared" si="2"/>
        <v/>
      </c>
      <c r="J3812" s="86">
        <f t="shared" si="3"/>
        <v>0</v>
      </c>
      <c r="R3812" s="26"/>
    </row>
    <row r="3813" spans="1:18" ht="15.75" customHeight="1">
      <c r="A3813" s="26"/>
      <c r="B3813" s="86"/>
      <c r="D3813" s="26"/>
      <c r="F3813" s="87" t="str">
        <f t="shared" si="0"/>
        <v/>
      </c>
      <c r="H3813" s="26" t="str">
        <f t="shared" si="1"/>
        <v/>
      </c>
      <c r="I3813" s="26" t="str">
        <f t="shared" si="2"/>
        <v/>
      </c>
      <c r="J3813" s="86">
        <f t="shared" si="3"/>
        <v>0</v>
      </c>
      <c r="R3813" s="26"/>
    </row>
    <row r="3814" spans="1:18" ht="15.75" customHeight="1">
      <c r="A3814" s="26"/>
      <c r="B3814" s="86"/>
      <c r="D3814" s="26"/>
      <c r="F3814" s="87" t="str">
        <f t="shared" si="0"/>
        <v/>
      </c>
      <c r="H3814" s="26" t="str">
        <f t="shared" si="1"/>
        <v/>
      </c>
      <c r="I3814" s="26" t="str">
        <f t="shared" si="2"/>
        <v/>
      </c>
      <c r="J3814" s="86">
        <f t="shared" si="3"/>
        <v>0</v>
      </c>
      <c r="R3814" s="26"/>
    </row>
    <row r="3815" spans="1:18" ht="15.75" customHeight="1">
      <c r="A3815" s="26"/>
      <c r="B3815" s="86"/>
      <c r="D3815" s="26"/>
      <c r="F3815" s="87" t="str">
        <f t="shared" si="0"/>
        <v/>
      </c>
      <c r="H3815" s="26" t="str">
        <f t="shared" si="1"/>
        <v/>
      </c>
      <c r="I3815" s="26" t="str">
        <f t="shared" si="2"/>
        <v/>
      </c>
      <c r="J3815" s="86">
        <f t="shared" si="3"/>
        <v>0</v>
      </c>
      <c r="R3815" s="26"/>
    </row>
    <row r="3816" spans="1:18" ht="15.75" customHeight="1">
      <c r="A3816" s="26"/>
      <c r="B3816" s="86"/>
      <c r="D3816" s="26"/>
      <c r="F3816" s="87" t="str">
        <f t="shared" si="0"/>
        <v/>
      </c>
      <c r="H3816" s="26" t="str">
        <f t="shared" si="1"/>
        <v/>
      </c>
      <c r="I3816" s="26" t="str">
        <f t="shared" si="2"/>
        <v/>
      </c>
      <c r="J3816" s="86">
        <f t="shared" si="3"/>
        <v>0</v>
      </c>
      <c r="R3816" s="26"/>
    </row>
    <row r="3817" spans="1:18" ht="15.75" customHeight="1">
      <c r="A3817" s="26"/>
      <c r="B3817" s="86"/>
      <c r="D3817" s="26"/>
      <c r="F3817" s="87" t="str">
        <f t="shared" si="0"/>
        <v/>
      </c>
      <c r="H3817" s="26" t="str">
        <f t="shared" si="1"/>
        <v/>
      </c>
      <c r="I3817" s="26" t="str">
        <f t="shared" si="2"/>
        <v/>
      </c>
      <c r="J3817" s="86">
        <f t="shared" si="3"/>
        <v>0</v>
      </c>
      <c r="R3817" s="26"/>
    </row>
    <row r="3818" spans="1:18" ht="15.75" customHeight="1">
      <c r="A3818" s="26"/>
      <c r="B3818" s="86"/>
      <c r="D3818" s="26"/>
      <c r="F3818" s="87" t="str">
        <f t="shared" si="0"/>
        <v/>
      </c>
      <c r="H3818" s="26" t="str">
        <f t="shared" si="1"/>
        <v/>
      </c>
      <c r="I3818" s="26" t="str">
        <f t="shared" si="2"/>
        <v/>
      </c>
      <c r="J3818" s="86">
        <f t="shared" si="3"/>
        <v>0</v>
      </c>
      <c r="R3818" s="26"/>
    </row>
    <row r="3819" spans="1:18" ht="15.75" customHeight="1">
      <c r="A3819" s="26"/>
      <c r="B3819" s="86"/>
      <c r="D3819" s="26"/>
      <c r="F3819" s="87" t="str">
        <f t="shared" si="0"/>
        <v/>
      </c>
      <c r="H3819" s="26" t="str">
        <f t="shared" si="1"/>
        <v/>
      </c>
      <c r="I3819" s="26" t="str">
        <f t="shared" si="2"/>
        <v/>
      </c>
      <c r="J3819" s="86">
        <f t="shared" si="3"/>
        <v>0</v>
      </c>
      <c r="R3819" s="26"/>
    </row>
    <row r="3820" spans="1:18" ht="15.75" customHeight="1">
      <c r="A3820" s="26"/>
      <c r="B3820" s="86"/>
      <c r="D3820" s="26"/>
      <c r="F3820" s="87" t="str">
        <f t="shared" si="0"/>
        <v/>
      </c>
      <c r="H3820" s="26" t="str">
        <f t="shared" si="1"/>
        <v/>
      </c>
      <c r="I3820" s="26" t="str">
        <f t="shared" si="2"/>
        <v/>
      </c>
      <c r="J3820" s="86">
        <f t="shared" si="3"/>
        <v>0</v>
      </c>
      <c r="R3820" s="26"/>
    </row>
    <row r="3821" spans="1:18" ht="15.75" customHeight="1">
      <c r="A3821" s="26"/>
      <c r="B3821" s="86"/>
      <c r="D3821" s="26"/>
      <c r="F3821" s="87" t="str">
        <f t="shared" si="0"/>
        <v/>
      </c>
      <c r="H3821" s="26" t="str">
        <f t="shared" si="1"/>
        <v/>
      </c>
      <c r="I3821" s="26" t="str">
        <f t="shared" si="2"/>
        <v/>
      </c>
      <c r="J3821" s="86">
        <f t="shared" si="3"/>
        <v>0</v>
      </c>
      <c r="R3821" s="26"/>
    </row>
    <row r="3822" spans="1:18" ht="15.75" customHeight="1">
      <c r="A3822" s="26"/>
      <c r="B3822" s="86"/>
      <c r="D3822" s="26"/>
      <c r="F3822" s="87" t="str">
        <f t="shared" si="0"/>
        <v/>
      </c>
      <c r="H3822" s="26" t="str">
        <f t="shared" si="1"/>
        <v/>
      </c>
      <c r="I3822" s="26" t="str">
        <f t="shared" si="2"/>
        <v/>
      </c>
      <c r="J3822" s="86">
        <f t="shared" si="3"/>
        <v>0</v>
      </c>
      <c r="R3822" s="26"/>
    </row>
    <row r="3823" spans="1:18" ht="15.75" customHeight="1">
      <c r="A3823" s="26"/>
      <c r="B3823" s="86"/>
      <c r="D3823" s="26"/>
      <c r="F3823" s="87" t="str">
        <f t="shared" si="0"/>
        <v/>
      </c>
      <c r="H3823" s="26" t="str">
        <f t="shared" si="1"/>
        <v/>
      </c>
      <c r="I3823" s="26" t="str">
        <f t="shared" si="2"/>
        <v/>
      </c>
      <c r="J3823" s="86">
        <f t="shared" si="3"/>
        <v>0</v>
      </c>
      <c r="R3823" s="26"/>
    </row>
    <row r="3824" spans="1:18" ht="15.75" customHeight="1">
      <c r="A3824" s="26"/>
      <c r="B3824" s="86"/>
      <c r="D3824" s="26"/>
      <c r="F3824" s="87" t="str">
        <f t="shared" si="0"/>
        <v/>
      </c>
      <c r="H3824" s="26" t="str">
        <f t="shared" si="1"/>
        <v/>
      </c>
      <c r="I3824" s="26" t="str">
        <f t="shared" si="2"/>
        <v/>
      </c>
      <c r="J3824" s="86">
        <f t="shared" si="3"/>
        <v>0</v>
      </c>
      <c r="R3824" s="26"/>
    </row>
    <row r="3825" spans="1:18" ht="15.75" customHeight="1">
      <c r="A3825" s="26"/>
      <c r="B3825" s="86"/>
      <c r="D3825" s="26"/>
      <c r="F3825" s="87" t="str">
        <f t="shared" si="0"/>
        <v/>
      </c>
      <c r="H3825" s="26" t="str">
        <f t="shared" si="1"/>
        <v/>
      </c>
      <c r="I3825" s="26" t="str">
        <f t="shared" si="2"/>
        <v/>
      </c>
      <c r="J3825" s="86">
        <f t="shared" si="3"/>
        <v>0</v>
      </c>
      <c r="R3825" s="26"/>
    </row>
    <row r="3826" spans="1:18" ht="15.75" customHeight="1">
      <c r="A3826" s="26"/>
      <c r="B3826" s="86"/>
      <c r="D3826" s="26"/>
      <c r="F3826" s="87" t="str">
        <f t="shared" si="0"/>
        <v/>
      </c>
      <c r="H3826" s="26" t="str">
        <f t="shared" si="1"/>
        <v/>
      </c>
      <c r="I3826" s="26" t="str">
        <f t="shared" si="2"/>
        <v/>
      </c>
      <c r="J3826" s="86">
        <f t="shared" si="3"/>
        <v>0</v>
      </c>
      <c r="R3826" s="26"/>
    </row>
    <row r="3827" spans="1:18" ht="15.75" customHeight="1">
      <c r="A3827" s="26"/>
      <c r="B3827" s="86"/>
      <c r="D3827" s="26"/>
      <c r="F3827" s="87" t="str">
        <f t="shared" si="0"/>
        <v/>
      </c>
      <c r="H3827" s="26" t="str">
        <f t="shared" si="1"/>
        <v/>
      </c>
      <c r="I3827" s="26" t="str">
        <f t="shared" si="2"/>
        <v/>
      </c>
      <c r="J3827" s="86">
        <f t="shared" si="3"/>
        <v>0</v>
      </c>
      <c r="R3827" s="26"/>
    </row>
    <row r="3828" spans="1:18" ht="15.75" customHeight="1">
      <c r="A3828" s="26"/>
      <c r="B3828" s="86"/>
      <c r="D3828" s="26"/>
      <c r="F3828" s="87" t="str">
        <f t="shared" si="0"/>
        <v/>
      </c>
      <c r="H3828" s="26" t="str">
        <f t="shared" si="1"/>
        <v/>
      </c>
      <c r="I3828" s="26" t="str">
        <f t="shared" si="2"/>
        <v/>
      </c>
      <c r="J3828" s="86">
        <f t="shared" si="3"/>
        <v>0</v>
      </c>
      <c r="R3828" s="26"/>
    </row>
    <row r="3829" spans="1:18" ht="15.75" customHeight="1">
      <c r="A3829" s="26"/>
      <c r="B3829" s="86"/>
      <c r="D3829" s="26"/>
      <c r="F3829" s="87" t="str">
        <f t="shared" si="0"/>
        <v/>
      </c>
      <c r="H3829" s="26" t="str">
        <f t="shared" si="1"/>
        <v/>
      </c>
      <c r="I3829" s="26" t="str">
        <f t="shared" si="2"/>
        <v/>
      </c>
      <c r="J3829" s="86">
        <f t="shared" si="3"/>
        <v>0</v>
      </c>
      <c r="R3829" s="26"/>
    </row>
    <row r="3830" spans="1:18" ht="15.75" customHeight="1">
      <c r="A3830" s="26"/>
      <c r="B3830" s="86"/>
      <c r="D3830" s="26"/>
      <c r="F3830" s="87" t="str">
        <f t="shared" si="0"/>
        <v/>
      </c>
      <c r="H3830" s="26" t="str">
        <f t="shared" si="1"/>
        <v/>
      </c>
      <c r="I3830" s="26" t="str">
        <f t="shared" si="2"/>
        <v/>
      </c>
      <c r="J3830" s="86">
        <f t="shared" si="3"/>
        <v>0</v>
      </c>
      <c r="R3830" s="26"/>
    </row>
    <row r="3831" spans="1:18" ht="15.75" customHeight="1">
      <c r="A3831" s="26"/>
      <c r="B3831" s="86"/>
      <c r="D3831" s="26"/>
      <c r="F3831" s="87" t="str">
        <f t="shared" si="0"/>
        <v/>
      </c>
      <c r="H3831" s="26" t="str">
        <f t="shared" si="1"/>
        <v/>
      </c>
      <c r="I3831" s="26" t="str">
        <f t="shared" si="2"/>
        <v/>
      </c>
      <c r="J3831" s="86">
        <f t="shared" si="3"/>
        <v>0</v>
      </c>
      <c r="R3831" s="26"/>
    </row>
    <row r="3832" spans="1:18" ht="15.75" customHeight="1">
      <c r="A3832" s="26"/>
      <c r="B3832" s="86"/>
      <c r="D3832" s="26"/>
      <c r="F3832" s="87" t="str">
        <f t="shared" si="0"/>
        <v/>
      </c>
      <c r="H3832" s="26" t="str">
        <f t="shared" si="1"/>
        <v/>
      </c>
      <c r="I3832" s="26" t="str">
        <f t="shared" si="2"/>
        <v/>
      </c>
      <c r="J3832" s="86">
        <f t="shared" si="3"/>
        <v>0</v>
      </c>
      <c r="R3832" s="26"/>
    </row>
    <row r="3833" spans="1:18" ht="15.75" customHeight="1">
      <c r="A3833" s="26"/>
      <c r="B3833" s="86"/>
      <c r="D3833" s="26"/>
      <c r="F3833" s="87" t="str">
        <f t="shared" si="0"/>
        <v/>
      </c>
      <c r="H3833" s="26" t="str">
        <f t="shared" si="1"/>
        <v/>
      </c>
      <c r="I3833" s="26" t="str">
        <f t="shared" si="2"/>
        <v/>
      </c>
      <c r="J3833" s="86">
        <f t="shared" si="3"/>
        <v>0</v>
      </c>
      <c r="R3833" s="26"/>
    </row>
    <row r="3834" spans="1:18" ht="15.75" customHeight="1">
      <c r="A3834" s="26"/>
      <c r="B3834" s="86"/>
      <c r="D3834" s="26"/>
      <c r="F3834" s="87" t="str">
        <f t="shared" si="0"/>
        <v/>
      </c>
      <c r="H3834" s="26" t="str">
        <f t="shared" si="1"/>
        <v/>
      </c>
      <c r="I3834" s="26" t="str">
        <f t="shared" si="2"/>
        <v/>
      </c>
      <c r="J3834" s="86">
        <f t="shared" si="3"/>
        <v>0</v>
      </c>
      <c r="R3834" s="26"/>
    </row>
    <row r="3835" spans="1:18" ht="15.75" customHeight="1">
      <c r="A3835" s="26"/>
      <c r="B3835" s="86"/>
      <c r="D3835" s="26"/>
      <c r="F3835" s="87" t="str">
        <f t="shared" si="0"/>
        <v/>
      </c>
      <c r="H3835" s="26" t="str">
        <f t="shared" si="1"/>
        <v/>
      </c>
      <c r="I3835" s="26" t="str">
        <f t="shared" si="2"/>
        <v/>
      </c>
      <c r="J3835" s="86">
        <f t="shared" si="3"/>
        <v>0</v>
      </c>
      <c r="R3835" s="26"/>
    </row>
    <row r="3836" spans="1:18" ht="15.75" customHeight="1">
      <c r="A3836" s="26"/>
      <c r="B3836" s="86"/>
      <c r="D3836" s="26"/>
      <c r="F3836" s="87" t="str">
        <f t="shared" si="0"/>
        <v/>
      </c>
      <c r="H3836" s="26" t="str">
        <f t="shared" si="1"/>
        <v/>
      </c>
      <c r="I3836" s="26" t="str">
        <f t="shared" si="2"/>
        <v/>
      </c>
      <c r="J3836" s="86">
        <f t="shared" si="3"/>
        <v>0</v>
      </c>
      <c r="R3836" s="26"/>
    </row>
    <row r="3837" spans="1:18" ht="15.75" customHeight="1">
      <c r="A3837" s="26"/>
      <c r="B3837" s="86"/>
      <c r="D3837" s="26"/>
      <c r="F3837" s="87" t="str">
        <f t="shared" si="0"/>
        <v/>
      </c>
      <c r="H3837" s="26" t="str">
        <f t="shared" si="1"/>
        <v/>
      </c>
      <c r="I3837" s="26" t="str">
        <f t="shared" si="2"/>
        <v/>
      </c>
      <c r="J3837" s="86">
        <f t="shared" si="3"/>
        <v>0</v>
      </c>
      <c r="R3837" s="26"/>
    </row>
    <row r="3838" spans="1:18" ht="15.75" customHeight="1">
      <c r="A3838" s="26"/>
      <c r="B3838" s="86"/>
      <c r="D3838" s="26"/>
      <c r="F3838" s="87" t="str">
        <f t="shared" si="0"/>
        <v/>
      </c>
      <c r="H3838" s="26" t="str">
        <f t="shared" si="1"/>
        <v/>
      </c>
      <c r="I3838" s="26" t="str">
        <f t="shared" si="2"/>
        <v/>
      </c>
      <c r="J3838" s="86">
        <f t="shared" si="3"/>
        <v>0</v>
      </c>
      <c r="R3838" s="26"/>
    </row>
    <row r="3839" spans="1:18" ht="15.75" customHeight="1">
      <c r="A3839" s="26"/>
      <c r="B3839" s="86"/>
      <c r="D3839" s="26"/>
      <c r="F3839" s="87" t="str">
        <f t="shared" si="0"/>
        <v/>
      </c>
      <c r="H3839" s="26" t="str">
        <f t="shared" si="1"/>
        <v/>
      </c>
      <c r="I3839" s="26" t="str">
        <f t="shared" si="2"/>
        <v/>
      </c>
      <c r="J3839" s="86">
        <f t="shared" si="3"/>
        <v>0</v>
      </c>
      <c r="R3839" s="26"/>
    </row>
    <row r="3840" spans="1:18" ht="15.75" customHeight="1">
      <c r="A3840" s="26"/>
      <c r="B3840" s="86"/>
      <c r="D3840" s="26"/>
      <c r="F3840" s="87" t="str">
        <f t="shared" si="0"/>
        <v/>
      </c>
      <c r="H3840" s="26" t="str">
        <f t="shared" si="1"/>
        <v/>
      </c>
      <c r="I3840" s="26" t="str">
        <f t="shared" si="2"/>
        <v/>
      </c>
      <c r="J3840" s="86">
        <f t="shared" si="3"/>
        <v>0</v>
      </c>
      <c r="R3840" s="26"/>
    </row>
    <row r="3841" spans="1:18" ht="15.75" customHeight="1">
      <c r="A3841" s="26"/>
      <c r="B3841" s="86"/>
      <c r="D3841" s="26"/>
      <c r="F3841" s="87" t="str">
        <f t="shared" si="0"/>
        <v/>
      </c>
      <c r="H3841" s="26" t="str">
        <f t="shared" si="1"/>
        <v/>
      </c>
      <c r="I3841" s="26" t="str">
        <f t="shared" si="2"/>
        <v/>
      </c>
      <c r="J3841" s="86">
        <f t="shared" si="3"/>
        <v>0</v>
      </c>
      <c r="R3841" s="26"/>
    </row>
    <row r="3842" spans="1:18" ht="15.75" customHeight="1">
      <c r="A3842" s="26"/>
      <c r="B3842" s="86"/>
      <c r="D3842" s="26"/>
      <c r="F3842" s="87" t="str">
        <f t="shared" si="0"/>
        <v/>
      </c>
      <c r="H3842" s="26" t="str">
        <f t="shared" si="1"/>
        <v/>
      </c>
      <c r="I3842" s="26" t="str">
        <f t="shared" si="2"/>
        <v/>
      </c>
      <c r="J3842" s="86">
        <f t="shared" si="3"/>
        <v>0</v>
      </c>
      <c r="R3842" s="26"/>
    </row>
    <row r="3843" spans="1:18" ht="15.75" customHeight="1">
      <c r="A3843" s="26"/>
      <c r="B3843" s="86"/>
      <c r="D3843" s="26"/>
      <c r="F3843" s="87" t="str">
        <f t="shared" si="0"/>
        <v/>
      </c>
      <c r="H3843" s="26" t="str">
        <f t="shared" si="1"/>
        <v/>
      </c>
      <c r="I3843" s="26" t="str">
        <f t="shared" si="2"/>
        <v/>
      </c>
      <c r="J3843" s="86">
        <f t="shared" si="3"/>
        <v>0</v>
      </c>
      <c r="R3843" s="26"/>
    </row>
    <row r="3844" spans="1:18" ht="15.75" customHeight="1">
      <c r="A3844" s="26"/>
      <c r="B3844" s="86"/>
      <c r="D3844" s="26"/>
      <c r="F3844" s="87" t="str">
        <f t="shared" si="0"/>
        <v/>
      </c>
      <c r="H3844" s="26" t="str">
        <f t="shared" si="1"/>
        <v/>
      </c>
      <c r="I3844" s="26" t="str">
        <f t="shared" si="2"/>
        <v/>
      </c>
      <c r="J3844" s="86">
        <f t="shared" si="3"/>
        <v>0</v>
      </c>
      <c r="R3844" s="26"/>
    </row>
    <row r="3845" spans="1:18" ht="15.75" customHeight="1">
      <c r="A3845" s="26"/>
      <c r="B3845" s="86"/>
      <c r="D3845" s="26"/>
      <c r="F3845" s="87" t="str">
        <f t="shared" si="0"/>
        <v/>
      </c>
      <c r="H3845" s="26" t="str">
        <f t="shared" si="1"/>
        <v/>
      </c>
      <c r="I3845" s="26" t="str">
        <f t="shared" si="2"/>
        <v/>
      </c>
      <c r="J3845" s="86">
        <f t="shared" si="3"/>
        <v>0</v>
      </c>
      <c r="R3845" s="26"/>
    </row>
    <row r="3846" spans="1:18" ht="15.75" customHeight="1">
      <c r="A3846" s="26"/>
      <c r="B3846" s="86"/>
      <c r="D3846" s="26"/>
      <c r="F3846" s="87" t="str">
        <f t="shared" si="0"/>
        <v/>
      </c>
      <c r="H3846" s="26" t="str">
        <f t="shared" si="1"/>
        <v/>
      </c>
      <c r="I3846" s="26" t="str">
        <f t="shared" si="2"/>
        <v/>
      </c>
      <c r="J3846" s="86">
        <f t="shared" si="3"/>
        <v>0</v>
      </c>
      <c r="R3846" s="26"/>
    </row>
    <row r="3847" spans="1:18" ht="15.75" customHeight="1">
      <c r="A3847" s="26"/>
      <c r="B3847" s="86"/>
      <c r="D3847" s="26"/>
      <c r="F3847" s="87" t="str">
        <f t="shared" si="0"/>
        <v/>
      </c>
      <c r="H3847" s="26" t="str">
        <f t="shared" si="1"/>
        <v/>
      </c>
      <c r="I3847" s="26" t="str">
        <f t="shared" si="2"/>
        <v/>
      </c>
      <c r="J3847" s="86">
        <f t="shared" si="3"/>
        <v>0</v>
      </c>
      <c r="R3847" s="26"/>
    </row>
    <row r="3848" spans="1:18" ht="15.75" customHeight="1">
      <c r="A3848" s="26"/>
      <c r="B3848" s="86"/>
      <c r="D3848" s="26"/>
      <c r="F3848" s="87" t="str">
        <f t="shared" si="0"/>
        <v/>
      </c>
      <c r="H3848" s="26" t="str">
        <f t="shared" si="1"/>
        <v/>
      </c>
      <c r="I3848" s="26" t="str">
        <f t="shared" si="2"/>
        <v/>
      </c>
      <c r="J3848" s="86">
        <f t="shared" si="3"/>
        <v>0</v>
      </c>
      <c r="R3848" s="26"/>
    </row>
    <row r="3849" spans="1:18" ht="15.75" customHeight="1">
      <c r="A3849" s="26"/>
      <c r="B3849" s="86"/>
      <c r="D3849" s="26"/>
      <c r="F3849" s="87" t="str">
        <f t="shared" si="0"/>
        <v/>
      </c>
      <c r="H3849" s="26" t="str">
        <f t="shared" si="1"/>
        <v/>
      </c>
      <c r="I3849" s="26" t="str">
        <f t="shared" si="2"/>
        <v/>
      </c>
      <c r="J3849" s="86">
        <f t="shared" si="3"/>
        <v>0</v>
      </c>
      <c r="R3849" s="26"/>
    </row>
    <row r="3850" spans="1:18" ht="15.75" customHeight="1">
      <c r="A3850" s="26"/>
      <c r="B3850" s="86"/>
      <c r="D3850" s="26"/>
      <c r="F3850" s="87" t="str">
        <f t="shared" si="0"/>
        <v/>
      </c>
      <c r="H3850" s="26" t="str">
        <f t="shared" si="1"/>
        <v/>
      </c>
      <c r="I3850" s="26" t="str">
        <f t="shared" si="2"/>
        <v/>
      </c>
      <c r="J3850" s="86">
        <f t="shared" si="3"/>
        <v>0</v>
      </c>
      <c r="R3850" s="26"/>
    </row>
    <row r="3851" spans="1:18" ht="15.75" customHeight="1">
      <c r="A3851" s="26"/>
      <c r="B3851" s="86"/>
      <c r="D3851" s="26"/>
      <c r="F3851" s="87" t="str">
        <f t="shared" si="0"/>
        <v/>
      </c>
      <c r="H3851" s="26" t="str">
        <f t="shared" si="1"/>
        <v/>
      </c>
      <c r="I3851" s="26" t="str">
        <f t="shared" si="2"/>
        <v/>
      </c>
      <c r="J3851" s="86">
        <f t="shared" si="3"/>
        <v>0</v>
      </c>
      <c r="R3851" s="26"/>
    </row>
    <row r="3852" spans="1:18" ht="15.75" customHeight="1">
      <c r="A3852" s="26"/>
      <c r="B3852" s="86"/>
      <c r="D3852" s="26"/>
      <c r="F3852" s="87" t="str">
        <f t="shared" si="0"/>
        <v/>
      </c>
      <c r="H3852" s="26" t="str">
        <f t="shared" si="1"/>
        <v/>
      </c>
      <c r="I3852" s="26" t="str">
        <f t="shared" si="2"/>
        <v/>
      </c>
      <c r="J3852" s="86">
        <f t="shared" si="3"/>
        <v>0</v>
      </c>
      <c r="R3852" s="26"/>
    </row>
    <row r="3853" spans="1:18" ht="15.75" customHeight="1">
      <c r="A3853" s="26"/>
      <c r="B3853" s="86"/>
      <c r="D3853" s="26"/>
      <c r="F3853" s="87" t="str">
        <f t="shared" si="0"/>
        <v/>
      </c>
      <c r="H3853" s="26" t="str">
        <f t="shared" si="1"/>
        <v/>
      </c>
      <c r="I3853" s="26" t="str">
        <f t="shared" si="2"/>
        <v/>
      </c>
      <c r="J3853" s="86">
        <f t="shared" si="3"/>
        <v>0</v>
      </c>
      <c r="R3853" s="26"/>
    </row>
    <row r="3854" spans="1:18" ht="15.75" customHeight="1">
      <c r="A3854" s="26"/>
      <c r="B3854" s="86"/>
      <c r="D3854" s="26"/>
      <c r="F3854" s="87" t="str">
        <f t="shared" si="0"/>
        <v/>
      </c>
      <c r="H3854" s="26" t="str">
        <f t="shared" si="1"/>
        <v/>
      </c>
      <c r="I3854" s="26" t="str">
        <f t="shared" si="2"/>
        <v/>
      </c>
      <c r="J3854" s="86">
        <f t="shared" si="3"/>
        <v>0</v>
      </c>
      <c r="R3854" s="26"/>
    </row>
    <row r="3855" spans="1:18" ht="15.75" customHeight="1">
      <c r="A3855" s="26"/>
      <c r="B3855" s="86"/>
      <c r="D3855" s="26"/>
      <c r="F3855" s="87" t="str">
        <f t="shared" si="0"/>
        <v/>
      </c>
      <c r="H3855" s="26" t="str">
        <f t="shared" si="1"/>
        <v/>
      </c>
      <c r="I3855" s="26" t="str">
        <f t="shared" si="2"/>
        <v/>
      </c>
      <c r="J3855" s="86">
        <f t="shared" si="3"/>
        <v>0</v>
      </c>
      <c r="R3855" s="26"/>
    </row>
    <row r="3856" spans="1:18" ht="15.75" customHeight="1">
      <c r="A3856" s="26"/>
      <c r="B3856" s="86"/>
      <c r="D3856" s="26"/>
      <c r="F3856" s="87" t="str">
        <f t="shared" si="0"/>
        <v/>
      </c>
      <c r="H3856" s="26" t="str">
        <f t="shared" si="1"/>
        <v/>
      </c>
      <c r="I3856" s="26" t="str">
        <f t="shared" si="2"/>
        <v/>
      </c>
      <c r="J3856" s="86">
        <f t="shared" si="3"/>
        <v>0</v>
      </c>
      <c r="R3856" s="26"/>
    </row>
    <row r="3857" spans="1:18" ht="15.75" customHeight="1">
      <c r="A3857" s="26"/>
      <c r="B3857" s="86"/>
      <c r="D3857" s="26"/>
      <c r="F3857" s="87" t="str">
        <f t="shared" si="0"/>
        <v/>
      </c>
      <c r="H3857" s="26" t="str">
        <f t="shared" si="1"/>
        <v/>
      </c>
      <c r="I3857" s="26" t="str">
        <f t="shared" si="2"/>
        <v/>
      </c>
      <c r="J3857" s="86">
        <f t="shared" si="3"/>
        <v>0</v>
      </c>
      <c r="R3857" s="26"/>
    </row>
    <row r="3858" spans="1:18" ht="15.75" customHeight="1">
      <c r="A3858" s="26"/>
      <c r="B3858" s="86"/>
      <c r="D3858" s="26"/>
      <c r="F3858" s="87" t="str">
        <f t="shared" si="0"/>
        <v/>
      </c>
      <c r="H3858" s="26" t="str">
        <f t="shared" si="1"/>
        <v/>
      </c>
      <c r="I3858" s="26" t="str">
        <f t="shared" si="2"/>
        <v/>
      </c>
      <c r="J3858" s="86">
        <f t="shared" si="3"/>
        <v>0</v>
      </c>
      <c r="R3858" s="26"/>
    </row>
    <row r="3859" spans="1:18" ht="15.75" customHeight="1">
      <c r="A3859" s="26"/>
      <c r="B3859" s="86"/>
      <c r="D3859" s="26"/>
      <c r="F3859" s="87" t="str">
        <f t="shared" si="0"/>
        <v/>
      </c>
      <c r="H3859" s="26" t="str">
        <f t="shared" si="1"/>
        <v/>
      </c>
      <c r="I3859" s="26" t="str">
        <f t="shared" si="2"/>
        <v/>
      </c>
      <c r="J3859" s="86">
        <f t="shared" si="3"/>
        <v>0</v>
      </c>
      <c r="R3859" s="26"/>
    </row>
    <row r="3860" spans="1:18" ht="15.75" customHeight="1">
      <c r="A3860" s="26"/>
      <c r="B3860" s="86"/>
      <c r="D3860" s="26"/>
      <c r="F3860" s="87" t="str">
        <f t="shared" si="0"/>
        <v/>
      </c>
      <c r="H3860" s="26" t="str">
        <f t="shared" si="1"/>
        <v/>
      </c>
      <c r="I3860" s="26" t="str">
        <f t="shared" si="2"/>
        <v/>
      </c>
      <c r="J3860" s="86">
        <f t="shared" si="3"/>
        <v>0</v>
      </c>
      <c r="R3860" s="26"/>
    </row>
    <row r="3861" spans="1:18" ht="15.75" customHeight="1">
      <c r="A3861" s="26"/>
      <c r="B3861" s="86"/>
      <c r="D3861" s="26"/>
      <c r="F3861" s="87" t="str">
        <f t="shared" si="0"/>
        <v/>
      </c>
      <c r="H3861" s="26" t="str">
        <f t="shared" si="1"/>
        <v/>
      </c>
      <c r="I3861" s="26" t="str">
        <f t="shared" si="2"/>
        <v/>
      </c>
      <c r="J3861" s="86">
        <f t="shared" si="3"/>
        <v>0</v>
      </c>
      <c r="R3861" s="26"/>
    </row>
    <row r="3862" spans="1:18" ht="15.75" customHeight="1">
      <c r="A3862" s="26"/>
      <c r="B3862" s="86"/>
      <c r="D3862" s="26"/>
      <c r="F3862" s="87" t="str">
        <f t="shared" si="0"/>
        <v/>
      </c>
      <c r="H3862" s="26" t="str">
        <f t="shared" si="1"/>
        <v/>
      </c>
      <c r="I3862" s="26" t="str">
        <f t="shared" si="2"/>
        <v/>
      </c>
      <c r="J3862" s="86">
        <f t="shared" si="3"/>
        <v>0</v>
      </c>
      <c r="R3862" s="26"/>
    </row>
    <row r="3863" spans="1:18" ht="15.75" customHeight="1">
      <c r="A3863" s="26"/>
      <c r="B3863" s="86"/>
      <c r="D3863" s="26"/>
      <c r="F3863" s="87" t="str">
        <f t="shared" si="0"/>
        <v/>
      </c>
      <c r="H3863" s="26" t="str">
        <f t="shared" si="1"/>
        <v/>
      </c>
      <c r="I3863" s="26" t="str">
        <f t="shared" si="2"/>
        <v/>
      </c>
      <c r="J3863" s="86">
        <f t="shared" si="3"/>
        <v>0</v>
      </c>
      <c r="R3863" s="26"/>
    </row>
    <row r="3864" spans="1:18" ht="15.75" customHeight="1">
      <c r="A3864" s="26"/>
      <c r="B3864" s="86"/>
      <c r="D3864" s="26"/>
      <c r="F3864" s="87" t="str">
        <f t="shared" si="0"/>
        <v/>
      </c>
      <c r="H3864" s="26" t="str">
        <f t="shared" si="1"/>
        <v/>
      </c>
      <c r="I3864" s="26" t="str">
        <f t="shared" si="2"/>
        <v/>
      </c>
      <c r="J3864" s="86">
        <f t="shared" si="3"/>
        <v>0</v>
      </c>
      <c r="R3864" s="26"/>
    </row>
    <row r="3865" spans="1:18" ht="15.75" customHeight="1">
      <c r="A3865" s="26"/>
      <c r="B3865" s="86"/>
      <c r="D3865" s="26"/>
      <c r="F3865" s="87" t="str">
        <f t="shared" si="0"/>
        <v/>
      </c>
      <c r="H3865" s="26" t="str">
        <f t="shared" si="1"/>
        <v/>
      </c>
      <c r="I3865" s="26" t="str">
        <f t="shared" si="2"/>
        <v/>
      </c>
      <c r="J3865" s="86">
        <f t="shared" si="3"/>
        <v>0</v>
      </c>
      <c r="R3865" s="26"/>
    </row>
    <row r="3866" spans="1:18" ht="15.75" customHeight="1">
      <c r="A3866" s="26"/>
      <c r="B3866" s="86"/>
      <c r="D3866" s="26"/>
      <c r="F3866" s="87" t="str">
        <f t="shared" si="0"/>
        <v/>
      </c>
      <c r="H3866" s="26" t="str">
        <f t="shared" si="1"/>
        <v/>
      </c>
      <c r="I3866" s="26" t="str">
        <f t="shared" si="2"/>
        <v/>
      </c>
      <c r="J3866" s="86">
        <f t="shared" si="3"/>
        <v>0</v>
      </c>
      <c r="R3866" s="26"/>
    </row>
    <row r="3867" spans="1:18" ht="15.75" customHeight="1">
      <c r="A3867" s="26"/>
      <c r="B3867" s="86"/>
      <c r="D3867" s="26"/>
      <c r="F3867" s="87" t="str">
        <f t="shared" si="0"/>
        <v/>
      </c>
      <c r="H3867" s="26" t="str">
        <f t="shared" si="1"/>
        <v/>
      </c>
      <c r="I3867" s="26" t="str">
        <f t="shared" si="2"/>
        <v/>
      </c>
      <c r="J3867" s="86">
        <f t="shared" si="3"/>
        <v>0</v>
      </c>
      <c r="R3867" s="26"/>
    </row>
    <row r="3868" spans="1:18" ht="15.75" customHeight="1">
      <c r="A3868" s="26"/>
      <c r="B3868" s="86"/>
      <c r="D3868" s="26"/>
      <c r="F3868" s="87" t="str">
        <f t="shared" si="0"/>
        <v/>
      </c>
      <c r="H3868" s="26" t="str">
        <f t="shared" si="1"/>
        <v/>
      </c>
      <c r="I3868" s="26" t="str">
        <f t="shared" si="2"/>
        <v/>
      </c>
      <c r="J3868" s="86">
        <f t="shared" si="3"/>
        <v>0</v>
      </c>
      <c r="R3868" s="26"/>
    </row>
    <row r="3869" spans="1:18" ht="15.75" customHeight="1">
      <c r="A3869" s="26"/>
      <c r="B3869" s="86"/>
      <c r="D3869" s="26"/>
      <c r="F3869" s="87" t="str">
        <f t="shared" si="0"/>
        <v/>
      </c>
      <c r="H3869" s="26" t="str">
        <f t="shared" si="1"/>
        <v/>
      </c>
      <c r="I3869" s="26" t="str">
        <f t="shared" si="2"/>
        <v/>
      </c>
      <c r="J3869" s="86">
        <f t="shared" si="3"/>
        <v>0</v>
      </c>
      <c r="R3869" s="26"/>
    </row>
    <row r="3870" spans="1:18" ht="15.75" customHeight="1">
      <c r="A3870" s="26"/>
      <c r="B3870" s="86"/>
      <c r="D3870" s="26"/>
      <c r="F3870" s="87" t="str">
        <f t="shared" si="0"/>
        <v/>
      </c>
      <c r="H3870" s="26" t="str">
        <f t="shared" si="1"/>
        <v/>
      </c>
      <c r="I3870" s="26" t="str">
        <f t="shared" si="2"/>
        <v/>
      </c>
      <c r="J3870" s="86">
        <f t="shared" si="3"/>
        <v>0</v>
      </c>
      <c r="R3870" s="26"/>
    </row>
    <row r="3871" spans="1:18" ht="15.75" customHeight="1">
      <c r="A3871" s="26"/>
      <c r="B3871" s="86"/>
      <c r="D3871" s="26"/>
      <c r="F3871" s="87" t="str">
        <f t="shared" si="0"/>
        <v/>
      </c>
      <c r="H3871" s="26" t="str">
        <f t="shared" si="1"/>
        <v/>
      </c>
      <c r="I3871" s="26" t="str">
        <f t="shared" si="2"/>
        <v/>
      </c>
      <c r="J3871" s="86">
        <f t="shared" si="3"/>
        <v>0</v>
      </c>
      <c r="R3871" s="26"/>
    </row>
    <row r="3872" spans="1:18" ht="15.75" customHeight="1">
      <c r="A3872" s="26"/>
      <c r="B3872" s="86"/>
      <c r="D3872" s="26"/>
      <c r="F3872" s="87" t="str">
        <f t="shared" si="0"/>
        <v/>
      </c>
      <c r="H3872" s="26" t="str">
        <f t="shared" si="1"/>
        <v/>
      </c>
      <c r="I3872" s="26" t="str">
        <f t="shared" si="2"/>
        <v/>
      </c>
      <c r="J3872" s="86">
        <f t="shared" si="3"/>
        <v>0</v>
      </c>
      <c r="R3872" s="26"/>
    </row>
    <row r="3873" spans="1:18" ht="15.75" customHeight="1">
      <c r="A3873" s="26"/>
      <c r="B3873" s="86"/>
      <c r="D3873" s="26"/>
      <c r="F3873" s="87" t="str">
        <f t="shared" si="0"/>
        <v/>
      </c>
      <c r="H3873" s="26" t="str">
        <f t="shared" si="1"/>
        <v/>
      </c>
      <c r="I3873" s="26" t="str">
        <f t="shared" si="2"/>
        <v/>
      </c>
      <c r="J3873" s="86">
        <f t="shared" si="3"/>
        <v>0</v>
      </c>
      <c r="R3873" s="26"/>
    </row>
    <row r="3874" spans="1:18" ht="15.75" customHeight="1">
      <c r="A3874" s="26"/>
      <c r="B3874" s="86"/>
      <c r="D3874" s="26"/>
      <c r="F3874" s="87" t="str">
        <f t="shared" si="0"/>
        <v/>
      </c>
      <c r="H3874" s="26" t="str">
        <f t="shared" si="1"/>
        <v/>
      </c>
      <c r="I3874" s="26" t="str">
        <f t="shared" si="2"/>
        <v/>
      </c>
      <c r="J3874" s="86">
        <f t="shared" si="3"/>
        <v>0</v>
      </c>
      <c r="R3874" s="26"/>
    </row>
    <row r="3875" spans="1:18" ht="15.75" customHeight="1">
      <c r="A3875" s="26"/>
      <c r="B3875" s="86"/>
      <c r="D3875" s="26"/>
      <c r="F3875" s="87" t="str">
        <f t="shared" si="0"/>
        <v/>
      </c>
      <c r="H3875" s="26" t="str">
        <f t="shared" si="1"/>
        <v/>
      </c>
      <c r="I3875" s="26" t="str">
        <f t="shared" si="2"/>
        <v/>
      </c>
      <c r="J3875" s="86">
        <f t="shared" si="3"/>
        <v>0</v>
      </c>
      <c r="R3875" s="26"/>
    </row>
    <row r="3876" spans="1:18" ht="15.75" customHeight="1">
      <c r="A3876" s="26"/>
      <c r="B3876" s="86"/>
      <c r="D3876" s="26"/>
      <c r="F3876" s="87" t="str">
        <f t="shared" si="0"/>
        <v/>
      </c>
      <c r="H3876" s="26" t="str">
        <f t="shared" si="1"/>
        <v/>
      </c>
      <c r="I3876" s="26" t="str">
        <f t="shared" si="2"/>
        <v/>
      </c>
      <c r="J3876" s="86">
        <f t="shared" si="3"/>
        <v>0</v>
      </c>
      <c r="R3876" s="26"/>
    </row>
    <row r="3877" spans="1:18" ht="15.75" customHeight="1">
      <c r="A3877" s="26"/>
      <c r="B3877" s="86"/>
      <c r="D3877" s="26"/>
      <c r="F3877" s="87" t="str">
        <f t="shared" si="0"/>
        <v/>
      </c>
      <c r="H3877" s="26" t="str">
        <f t="shared" si="1"/>
        <v/>
      </c>
      <c r="I3877" s="26" t="str">
        <f t="shared" si="2"/>
        <v/>
      </c>
      <c r="J3877" s="86">
        <f t="shared" si="3"/>
        <v>0</v>
      </c>
      <c r="R3877" s="26"/>
    </row>
    <row r="3878" spans="1:18" ht="15.75" customHeight="1">
      <c r="A3878" s="26"/>
      <c r="B3878" s="86"/>
      <c r="D3878" s="26"/>
      <c r="F3878" s="87" t="str">
        <f t="shared" si="0"/>
        <v/>
      </c>
      <c r="H3878" s="26" t="str">
        <f t="shared" si="1"/>
        <v/>
      </c>
      <c r="I3878" s="26" t="str">
        <f t="shared" si="2"/>
        <v/>
      </c>
      <c r="J3878" s="86">
        <f t="shared" si="3"/>
        <v>0</v>
      </c>
      <c r="R3878" s="26"/>
    </row>
    <row r="3879" spans="1:18" ht="15.75" customHeight="1">
      <c r="A3879" s="26"/>
      <c r="B3879" s="86"/>
      <c r="D3879" s="26"/>
      <c r="F3879" s="87" t="str">
        <f t="shared" si="0"/>
        <v/>
      </c>
      <c r="H3879" s="26" t="str">
        <f t="shared" si="1"/>
        <v/>
      </c>
      <c r="I3879" s="26" t="str">
        <f t="shared" si="2"/>
        <v/>
      </c>
      <c r="J3879" s="86">
        <f t="shared" si="3"/>
        <v>0</v>
      </c>
      <c r="R3879" s="26"/>
    </row>
    <row r="3880" spans="1:18" ht="15.75" customHeight="1">
      <c r="A3880" s="26"/>
      <c r="B3880" s="86"/>
      <c r="D3880" s="26"/>
      <c r="F3880" s="87" t="str">
        <f t="shared" si="0"/>
        <v/>
      </c>
      <c r="H3880" s="26" t="str">
        <f t="shared" si="1"/>
        <v/>
      </c>
      <c r="I3880" s="26" t="str">
        <f t="shared" si="2"/>
        <v/>
      </c>
      <c r="J3880" s="86">
        <f t="shared" si="3"/>
        <v>0</v>
      </c>
      <c r="R3880" s="26"/>
    </row>
    <row r="3881" spans="1:18" ht="15.75" customHeight="1">
      <c r="A3881" s="26"/>
      <c r="B3881" s="86"/>
      <c r="D3881" s="26"/>
      <c r="F3881" s="87" t="str">
        <f t="shared" si="0"/>
        <v/>
      </c>
      <c r="H3881" s="26" t="str">
        <f t="shared" si="1"/>
        <v/>
      </c>
      <c r="I3881" s="26" t="str">
        <f t="shared" si="2"/>
        <v/>
      </c>
      <c r="J3881" s="86">
        <f t="shared" si="3"/>
        <v>0</v>
      </c>
      <c r="R3881" s="26"/>
    </row>
    <row r="3882" spans="1:18" ht="15.75" customHeight="1">
      <c r="A3882" s="26"/>
      <c r="B3882" s="86"/>
      <c r="D3882" s="26"/>
      <c r="F3882" s="87" t="str">
        <f t="shared" si="0"/>
        <v/>
      </c>
      <c r="H3882" s="26" t="str">
        <f t="shared" si="1"/>
        <v/>
      </c>
      <c r="I3882" s="26" t="str">
        <f t="shared" si="2"/>
        <v/>
      </c>
      <c r="J3882" s="86">
        <f t="shared" si="3"/>
        <v>0</v>
      </c>
      <c r="R3882" s="26"/>
    </row>
    <row r="3883" spans="1:18" ht="15.75" customHeight="1">
      <c r="A3883" s="26"/>
      <c r="B3883" s="86"/>
      <c r="D3883" s="26"/>
      <c r="F3883" s="87" t="str">
        <f t="shared" si="0"/>
        <v/>
      </c>
      <c r="H3883" s="26" t="str">
        <f t="shared" si="1"/>
        <v/>
      </c>
      <c r="I3883" s="26" t="str">
        <f t="shared" si="2"/>
        <v/>
      </c>
      <c r="J3883" s="86">
        <f t="shared" si="3"/>
        <v>0</v>
      </c>
      <c r="R3883" s="26"/>
    </row>
    <row r="3884" spans="1:18" ht="15.75" customHeight="1">
      <c r="A3884" s="26"/>
      <c r="B3884" s="86"/>
      <c r="D3884" s="26"/>
      <c r="F3884" s="87" t="str">
        <f t="shared" si="0"/>
        <v/>
      </c>
      <c r="H3884" s="26" t="str">
        <f t="shared" si="1"/>
        <v/>
      </c>
      <c r="I3884" s="26" t="str">
        <f t="shared" si="2"/>
        <v/>
      </c>
      <c r="J3884" s="86">
        <f t="shared" si="3"/>
        <v>0</v>
      </c>
      <c r="R3884" s="26"/>
    </row>
    <row r="3885" spans="1:18" ht="15.75" customHeight="1">
      <c r="A3885" s="26"/>
      <c r="B3885" s="86"/>
      <c r="D3885" s="26"/>
      <c r="F3885" s="87" t="str">
        <f t="shared" si="0"/>
        <v/>
      </c>
      <c r="H3885" s="26" t="str">
        <f t="shared" si="1"/>
        <v/>
      </c>
      <c r="I3885" s="26" t="str">
        <f t="shared" si="2"/>
        <v/>
      </c>
      <c r="J3885" s="86">
        <f t="shared" si="3"/>
        <v>0</v>
      </c>
      <c r="R3885" s="26"/>
    </row>
    <row r="3886" spans="1:18" ht="15.75" customHeight="1">
      <c r="A3886" s="26"/>
      <c r="B3886" s="86"/>
      <c r="D3886" s="26"/>
      <c r="F3886" s="87" t="str">
        <f t="shared" si="0"/>
        <v/>
      </c>
      <c r="H3886" s="26" t="str">
        <f t="shared" si="1"/>
        <v/>
      </c>
      <c r="I3886" s="26" t="str">
        <f t="shared" si="2"/>
        <v/>
      </c>
      <c r="J3886" s="86">
        <f t="shared" si="3"/>
        <v>0</v>
      </c>
      <c r="R3886" s="26"/>
    </row>
    <row r="3887" spans="1:18" ht="15.75" customHeight="1">
      <c r="A3887" s="26"/>
      <c r="B3887" s="86"/>
      <c r="D3887" s="26"/>
      <c r="F3887" s="87" t="str">
        <f t="shared" si="0"/>
        <v/>
      </c>
      <c r="H3887" s="26" t="str">
        <f t="shared" si="1"/>
        <v/>
      </c>
      <c r="I3887" s="26" t="str">
        <f t="shared" si="2"/>
        <v/>
      </c>
      <c r="J3887" s="86">
        <f t="shared" si="3"/>
        <v>0</v>
      </c>
      <c r="R3887" s="26"/>
    </row>
    <row r="3888" spans="1:18" ht="15.75" customHeight="1">
      <c r="A3888" s="26"/>
      <c r="B3888" s="86"/>
      <c r="D3888" s="26"/>
      <c r="F3888" s="87" t="str">
        <f t="shared" si="0"/>
        <v/>
      </c>
      <c r="H3888" s="26" t="str">
        <f t="shared" si="1"/>
        <v/>
      </c>
      <c r="I3888" s="26" t="str">
        <f t="shared" si="2"/>
        <v/>
      </c>
      <c r="J3888" s="86">
        <f t="shared" si="3"/>
        <v>0</v>
      </c>
      <c r="R3888" s="26"/>
    </row>
    <row r="3889" spans="1:18" ht="15.75" customHeight="1">
      <c r="A3889" s="26"/>
      <c r="B3889" s="86"/>
      <c r="D3889" s="26"/>
      <c r="F3889" s="87" t="str">
        <f t="shared" si="0"/>
        <v/>
      </c>
      <c r="H3889" s="26" t="str">
        <f t="shared" si="1"/>
        <v/>
      </c>
      <c r="I3889" s="26" t="str">
        <f t="shared" si="2"/>
        <v/>
      </c>
      <c r="J3889" s="86">
        <f t="shared" si="3"/>
        <v>0</v>
      </c>
      <c r="R3889" s="26"/>
    </row>
    <row r="3890" spans="1:18" ht="15.75" customHeight="1">
      <c r="A3890" s="26"/>
      <c r="B3890" s="86"/>
      <c r="D3890" s="26"/>
      <c r="F3890" s="87" t="str">
        <f t="shared" si="0"/>
        <v/>
      </c>
      <c r="H3890" s="26" t="str">
        <f t="shared" si="1"/>
        <v/>
      </c>
      <c r="I3890" s="26" t="str">
        <f t="shared" si="2"/>
        <v/>
      </c>
      <c r="J3890" s="86">
        <f t="shared" si="3"/>
        <v>0</v>
      </c>
      <c r="R3890" s="26"/>
    </row>
    <row r="3891" spans="1:18" ht="15.75" customHeight="1">
      <c r="A3891" s="26"/>
      <c r="B3891" s="86"/>
      <c r="D3891" s="26"/>
      <c r="F3891" s="87" t="str">
        <f t="shared" si="0"/>
        <v/>
      </c>
      <c r="H3891" s="26" t="str">
        <f t="shared" si="1"/>
        <v/>
      </c>
      <c r="I3891" s="26" t="str">
        <f t="shared" si="2"/>
        <v/>
      </c>
      <c r="J3891" s="86">
        <f t="shared" si="3"/>
        <v>0</v>
      </c>
      <c r="R3891" s="26"/>
    </row>
    <row r="3892" spans="1:18" ht="15.75" customHeight="1">
      <c r="A3892" s="26"/>
      <c r="B3892" s="86"/>
      <c r="D3892" s="26"/>
      <c r="F3892" s="87" t="str">
        <f t="shared" si="0"/>
        <v/>
      </c>
      <c r="H3892" s="26" t="str">
        <f t="shared" si="1"/>
        <v/>
      </c>
      <c r="I3892" s="26" t="str">
        <f t="shared" si="2"/>
        <v/>
      </c>
      <c r="J3892" s="86">
        <f t="shared" si="3"/>
        <v>0</v>
      </c>
      <c r="R3892" s="26"/>
    </row>
    <row r="3893" spans="1:18" ht="15.75" customHeight="1">
      <c r="A3893" s="26"/>
      <c r="B3893" s="86"/>
      <c r="D3893" s="26"/>
      <c r="F3893" s="87" t="str">
        <f t="shared" si="0"/>
        <v/>
      </c>
      <c r="H3893" s="26" t="str">
        <f t="shared" si="1"/>
        <v/>
      </c>
      <c r="I3893" s="26" t="str">
        <f t="shared" si="2"/>
        <v/>
      </c>
      <c r="J3893" s="86">
        <f t="shared" si="3"/>
        <v>0</v>
      </c>
      <c r="R3893" s="26"/>
    </row>
    <row r="3894" spans="1:18" ht="15.75" customHeight="1">
      <c r="A3894" s="26"/>
      <c r="B3894" s="86"/>
      <c r="D3894" s="26"/>
      <c r="F3894" s="87" t="str">
        <f t="shared" si="0"/>
        <v/>
      </c>
      <c r="H3894" s="26" t="str">
        <f t="shared" si="1"/>
        <v/>
      </c>
      <c r="I3894" s="26" t="str">
        <f t="shared" si="2"/>
        <v/>
      </c>
      <c r="J3894" s="86">
        <f t="shared" si="3"/>
        <v>0</v>
      </c>
      <c r="R3894" s="26"/>
    </row>
    <row r="3895" spans="1:18" ht="15.75" customHeight="1">
      <c r="A3895" s="26"/>
      <c r="B3895" s="86"/>
      <c r="D3895" s="26"/>
      <c r="F3895" s="87" t="str">
        <f t="shared" si="0"/>
        <v/>
      </c>
      <c r="H3895" s="26" t="str">
        <f t="shared" si="1"/>
        <v/>
      </c>
      <c r="I3895" s="26" t="str">
        <f t="shared" si="2"/>
        <v/>
      </c>
      <c r="J3895" s="86">
        <f t="shared" si="3"/>
        <v>0</v>
      </c>
      <c r="R3895" s="26"/>
    </row>
    <row r="3896" spans="1:18" ht="15.75" customHeight="1">
      <c r="A3896" s="26"/>
      <c r="B3896" s="86"/>
      <c r="D3896" s="26"/>
      <c r="F3896" s="87" t="str">
        <f t="shared" si="0"/>
        <v/>
      </c>
      <c r="H3896" s="26" t="str">
        <f t="shared" si="1"/>
        <v/>
      </c>
      <c r="I3896" s="26" t="str">
        <f t="shared" si="2"/>
        <v/>
      </c>
      <c r="J3896" s="86">
        <f t="shared" si="3"/>
        <v>0</v>
      </c>
      <c r="R3896" s="26"/>
    </row>
    <row r="3897" spans="1:18" ht="15.75" customHeight="1">
      <c r="A3897" s="26"/>
      <c r="B3897" s="86"/>
      <c r="D3897" s="26"/>
      <c r="F3897" s="87" t="str">
        <f t="shared" si="0"/>
        <v/>
      </c>
      <c r="H3897" s="26" t="str">
        <f t="shared" si="1"/>
        <v/>
      </c>
      <c r="I3897" s="26" t="str">
        <f t="shared" si="2"/>
        <v/>
      </c>
      <c r="J3897" s="86">
        <f t="shared" si="3"/>
        <v>0</v>
      </c>
      <c r="R3897" s="26"/>
    </row>
    <row r="3898" spans="1:18" ht="15.75" customHeight="1">
      <c r="A3898" s="26"/>
      <c r="B3898" s="86"/>
      <c r="D3898" s="26"/>
      <c r="F3898" s="87" t="str">
        <f t="shared" si="0"/>
        <v/>
      </c>
      <c r="H3898" s="26" t="str">
        <f t="shared" si="1"/>
        <v/>
      </c>
      <c r="I3898" s="26" t="str">
        <f t="shared" si="2"/>
        <v/>
      </c>
      <c r="J3898" s="86">
        <f t="shared" si="3"/>
        <v>0</v>
      </c>
      <c r="R3898" s="26"/>
    </row>
    <row r="3899" spans="1:18" ht="15.75" customHeight="1">
      <c r="A3899" s="26"/>
      <c r="B3899" s="86"/>
      <c r="D3899" s="26"/>
      <c r="F3899" s="87" t="str">
        <f t="shared" si="0"/>
        <v/>
      </c>
      <c r="H3899" s="26" t="str">
        <f t="shared" si="1"/>
        <v/>
      </c>
      <c r="I3899" s="26" t="str">
        <f t="shared" si="2"/>
        <v/>
      </c>
      <c r="J3899" s="86">
        <f t="shared" si="3"/>
        <v>0</v>
      </c>
      <c r="R3899" s="26"/>
    </row>
    <row r="3900" spans="1:18" ht="15.75" customHeight="1">
      <c r="A3900" s="26"/>
      <c r="B3900" s="86"/>
      <c r="D3900" s="26"/>
      <c r="F3900" s="87" t="str">
        <f t="shared" si="0"/>
        <v/>
      </c>
      <c r="H3900" s="26" t="str">
        <f t="shared" si="1"/>
        <v/>
      </c>
      <c r="I3900" s="26" t="str">
        <f t="shared" si="2"/>
        <v/>
      </c>
      <c r="J3900" s="86">
        <f t="shared" si="3"/>
        <v>0</v>
      </c>
      <c r="R3900" s="26"/>
    </row>
    <row r="3901" spans="1:18" ht="15.75" customHeight="1">
      <c r="A3901" s="26"/>
      <c r="B3901" s="86"/>
      <c r="D3901" s="26"/>
      <c r="F3901" s="87" t="str">
        <f t="shared" si="0"/>
        <v/>
      </c>
      <c r="H3901" s="26" t="str">
        <f t="shared" si="1"/>
        <v/>
      </c>
      <c r="I3901" s="26" t="str">
        <f t="shared" si="2"/>
        <v/>
      </c>
      <c r="J3901" s="86">
        <f t="shared" si="3"/>
        <v>0</v>
      </c>
      <c r="R3901" s="26"/>
    </row>
    <row r="3902" spans="1:18" ht="15.75" customHeight="1">
      <c r="A3902" s="26"/>
      <c r="B3902" s="86"/>
      <c r="D3902" s="26"/>
      <c r="F3902" s="87" t="str">
        <f t="shared" si="0"/>
        <v/>
      </c>
      <c r="H3902" s="26" t="str">
        <f t="shared" si="1"/>
        <v/>
      </c>
      <c r="I3902" s="26" t="str">
        <f t="shared" si="2"/>
        <v/>
      </c>
      <c r="J3902" s="86">
        <f t="shared" si="3"/>
        <v>0</v>
      </c>
      <c r="R3902" s="26"/>
    </row>
    <row r="3903" spans="1:18" ht="15.75" customHeight="1">
      <c r="A3903" s="26"/>
      <c r="B3903" s="86"/>
      <c r="D3903" s="26"/>
      <c r="F3903" s="87" t="str">
        <f t="shared" si="0"/>
        <v/>
      </c>
      <c r="H3903" s="26" t="str">
        <f t="shared" si="1"/>
        <v/>
      </c>
      <c r="I3903" s="26" t="str">
        <f t="shared" si="2"/>
        <v/>
      </c>
      <c r="J3903" s="86">
        <f t="shared" si="3"/>
        <v>0</v>
      </c>
      <c r="R3903" s="26"/>
    </row>
    <row r="3904" spans="1:18" ht="15.75" customHeight="1">
      <c r="A3904" s="26"/>
      <c r="B3904" s="86"/>
      <c r="D3904" s="26"/>
      <c r="F3904" s="87" t="str">
        <f t="shared" si="0"/>
        <v/>
      </c>
      <c r="H3904" s="26" t="str">
        <f t="shared" si="1"/>
        <v/>
      </c>
      <c r="I3904" s="26" t="str">
        <f t="shared" si="2"/>
        <v/>
      </c>
      <c r="J3904" s="86">
        <f t="shared" si="3"/>
        <v>0</v>
      </c>
      <c r="R3904" s="26"/>
    </row>
    <row r="3905" spans="1:18" ht="15.75" customHeight="1">
      <c r="A3905" s="26"/>
      <c r="B3905" s="86"/>
      <c r="D3905" s="26"/>
      <c r="F3905" s="87" t="str">
        <f t="shared" si="0"/>
        <v/>
      </c>
      <c r="H3905" s="26" t="str">
        <f t="shared" si="1"/>
        <v/>
      </c>
      <c r="I3905" s="26" t="str">
        <f t="shared" si="2"/>
        <v/>
      </c>
      <c r="J3905" s="86">
        <f t="shared" si="3"/>
        <v>0</v>
      </c>
      <c r="R3905" s="26"/>
    </row>
    <row r="3906" spans="1:18" ht="15.75" customHeight="1">
      <c r="A3906" s="26"/>
      <c r="B3906" s="86"/>
      <c r="D3906" s="26"/>
      <c r="F3906" s="87" t="str">
        <f t="shared" si="0"/>
        <v/>
      </c>
      <c r="H3906" s="26" t="str">
        <f t="shared" si="1"/>
        <v/>
      </c>
      <c r="I3906" s="26" t="str">
        <f t="shared" si="2"/>
        <v/>
      </c>
      <c r="J3906" s="86">
        <f t="shared" si="3"/>
        <v>0</v>
      </c>
      <c r="R3906" s="26"/>
    </row>
    <row r="3907" spans="1:18" ht="15.75" customHeight="1">
      <c r="A3907" s="26"/>
      <c r="B3907" s="86"/>
      <c r="D3907" s="26"/>
      <c r="F3907" s="87" t="str">
        <f t="shared" si="0"/>
        <v/>
      </c>
      <c r="H3907" s="26" t="str">
        <f t="shared" si="1"/>
        <v/>
      </c>
      <c r="I3907" s="26" t="str">
        <f t="shared" si="2"/>
        <v/>
      </c>
      <c r="J3907" s="86">
        <f t="shared" si="3"/>
        <v>0</v>
      </c>
      <c r="R3907" s="26"/>
    </row>
    <row r="3908" spans="1:18" ht="15.75" customHeight="1">
      <c r="A3908" s="26"/>
      <c r="B3908" s="86"/>
      <c r="D3908" s="26"/>
      <c r="F3908" s="87" t="str">
        <f t="shared" si="0"/>
        <v/>
      </c>
      <c r="H3908" s="26" t="str">
        <f t="shared" si="1"/>
        <v/>
      </c>
      <c r="I3908" s="26" t="str">
        <f t="shared" si="2"/>
        <v/>
      </c>
      <c r="J3908" s="86">
        <f t="shared" si="3"/>
        <v>0</v>
      </c>
      <c r="R3908" s="26"/>
    </row>
    <row r="3909" spans="1:18" ht="15.75" customHeight="1">
      <c r="A3909" s="26"/>
      <c r="B3909" s="86"/>
      <c r="D3909" s="26"/>
      <c r="F3909" s="87" t="str">
        <f t="shared" si="0"/>
        <v/>
      </c>
      <c r="H3909" s="26" t="str">
        <f t="shared" si="1"/>
        <v/>
      </c>
      <c r="I3909" s="26" t="str">
        <f t="shared" si="2"/>
        <v/>
      </c>
      <c r="J3909" s="86">
        <f t="shared" si="3"/>
        <v>0</v>
      </c>
      <c r="R3909" s="26"/>
    </row>
    <row r="3910" spans="1:18" ht="15.75" customHeight="1">
      <c r="A3910" s="26"/>
      <c r="B3910" s="86"/>
      <c r="D3910" s="26"/>
      <c r="F3910" s="87" t="str">
        <f t="shared" si="0"/>
        <v/>
      </c>
      <c r="H3910" s="26" t="str">
        <f t="shared" si="1"/>
        <v/>
      </c>
      <c r="I3910" s="26" t="str">
        <f t="shared" si="2"/>
        <v/>
      </c>
      <c r="J3910" s="86">
        <f t="shared" si="3"/>
        <v>0</v>
      </c>
      <c r="R3910" s="26"/>
    </row>
    <row r="3911" spans="1:18" ht="15.75" customHeight="1">
      <c r="A3911" s="26"/>
      <c r="B3911" s="86"/>
      <c r="D3911" s="26"/>
      <c r="F3911" s="87" t="str">
        <f t="shared" si="0"/>
        <v/>
      </c>
      <c r="H3911" s="26" t="str">
        <f t="shared" si="1"/>
        <v/>
      </c>
      <c r="I3911" s="26" t="str">
        <f t="shared" si="2"/>
        <v/>
      </c>
      <c r="J3911" s="86">
        <f t="shared" si="3"/>
        <v>0</v>
      </c>
      <c r="R3911" s="26"/>
    </row>
    <row r="3912" spans="1:18" ht="15.75" customHeight="1">
      <c r="A3912" s="26"/>
      <c r="B3912" s="86"/>
      <c r="D3912" s="26"/>
      <c r="F3912" s="87" t="str">
        <f t="shared" si="0"/>
        <v/>
      </c>
      <c r="H3912" s="26" t="str">
        <f t="shared" si="1"/>
        <v/>
      </c>
      <c r="I3912" s="26" t="str">
        <f t="shared" si="2"/>
        <v/>
      </c>
      <c r="J3912" s="86">
        <f t="shared" si="3"/>
        <v>0</v>
      </c>
      <c r="R3912" s="26"/>
    </row>
    <row r="3913" spans="1:18" ht="15.75" customHeight="1">
      <c r="A3913" s="26"/>
      <c r="B3913" s="86"/>
      <c r="D3913" s="26"/>
      <c r="F3913" s="87" t="str">
        <f t="shared" si="0"/>
        <v/>
      </c>
      <c r="H3913" s="26" t="str">
        <f t="shared" si="1"/>
        <v/>
      </c>
      <c r="I3913" s="26" t="str">
        <f t="shared" si="2"/>
        <v/>
      </c>
      <c r="J3913" s="86">
        <f t="shared" si="3"/>
        <v>0</v>
      </c>
      <c r="R3913" s="26"/>
    </row>
    <row r="3914" spans="1:18" ht="15.75" customHeight="1">
      <c r="A3914" s="26"/>
      <c r="B3914" s="86"/>
      <c r="D3914" s="26"/>
      <c r="F3914" s="87" t="str">
        <f t="shared" si="0"/>
        <v/>
      </c>
      <c r="H3914" s="26" t="str">
        <f t="shared" si="1"/>
        <v/>
      </c>
      <c r="I3914" s="26" t="str">
        <f t="shared" si="2"/>
        <v/>
      </c>
      <c r="J3914" s="86">
        <f t="shared" si="3"/>
        <v>0</v>
      </c>
      <c r="R3914" s="26"/>
    </row>
    <row r="3915" spans="1:18" ht="15.75" customHeight="1">
      <c r="A3915" s="26"/>
      <c r="B3915" s="86"/>
      <c r="D3915" s="26"/>
      <c r="F3915" s="87" t="str">
        <f t="shared" si="0"/>
        <v/>
      </c>
      <c r="H3915" s="26" t="str">
        <f t="shared" si="1"/>
        <v/>
      </c>
      <c r="I3915" s="26" t="str">
        <f t="shared" si="2"/>
        <v/>
      </c>
      <c r="J3915" s="86">
        <f t="shared" si="3"/>
        <v>0</v>
      </c>
      <c r="R3915" s="26"/>
    </row>
    <row r="3916" spans="1:18" ht="15.75" customHeight="1">
      <c r="A3916" s="26"/>
      <c r="B3916" s="86"/>
      <c r="D3916" s="26"/>
      <c r="F3916" s="87" t="str">
        <f t="shared" si="0"/>
        <v/>
      </c>
      <c r="H3916" s="26" t="str">
        <f t="shared" si="1"/>
        <v/>
      </c>
      <c r="I3916" s="26" t="str">
        <f t="shared" si="2"/>
        <v/>
      </c>
      <c r="J3916" s="86">
        <f t="shared" si="3"/>
        <v>0</v>
      </c>
      <c r="R3916" s="26"/>
    </row>
    <row r="3917" spans="1:18" ht="15.75" customHeight="1">
      <c r="A3917" s="26"/>
      <c r="B3917" s="86"/>
      <c r="D3917" s="26"/>
      <c r="F3917" s="87" t="str">
        <f t="shared" si="0"/>
        <v/>
      </c>
      <c r="H3917" s="26" t="str">
        <f t="shared" si="1"/>
        <v/>
      </c>
      <c r="I3917" s="26" t="str">
        <f t="shared" si="2"/>
        <v/>
      </c>
      <c r="J3917" s="86">
        <f t="shared" si="3"/>
        <v>0</v>
      </c>
      <c r="R3917" s="26"/>
    </row>
    <row r="3918" spans="1:18" ht="15.75" customHeight="1">
      <c r="A3918" s="26"/>
      <c r="B3918" s="86"/>
      <c r="D3918" s="26"/>
      <c r="F3918" s="87" t="str">
        <f t="shared" si="0"/>
        <v/>
      </c>
      <c r="H3918" s="26" t="str">
        <f t="shared" si="1"/>
        <v/>
      </c>
      <c r="I3918" s="26" t="str">
        <f t="shared" si="2"/>
        <v/>
      </c>
      <c r="J3918" s="86">
        <f t="shared" si="3"/>
        <v>0</v>
      </c>
      <c r="R3918" s="26"/>
    </row>
    <row r="3919" spans="1:18" ht="15.75" customHeight="1">
      <c r="A3919" s="26"/>
      <c r="B3919" s="86"/>
      <c r="D3919" s="26"/>
      <c r="F3919" s="87" t="str">
        <f t="shared" si="0"/>
        <v/>
      </c>
      <c r="H3919" s="26" t="str">
        <f t="shared" si="1"/>
        <v/>
      </c>
      <c r="I3919" s="26" t="str">
        <f t="shared" si="2"/>
        <v/>
      </c>
      <c r="J3919" s="86">
        <f t="shared" si="3"/>
        <v>0</v>
      </c>
      <c r="R3919" s="26"/>
    </row>
    <row r="3920" spans="1:18" ht="15.75" customHeight="1">
      <c r="A3920" s="26"/>
      <c r="B3920" s="86"/>
      <c r="D3920" s="26"/>
      <c r="F3920" s="87" t="str">
        <f t="shared" si="0"/>
        <v/>
      </c>
      <c r="H3920" s="26" t="str">
        <f t="shared" si="1"/>
        <v/>
      </c>
      <c r="I3920" s="26" t="str">
        <f t="shared" si="2"/>
        <v/>
      </c>
      <c r="J3920" s="86">
        <f t="shared" si="3"/>
        <v>0</v>
      </c>
      <c r="R3920" s="26"/>
    </row>
    <row r="3921" spans="1:18" ht="15.75" customHeight="1">
      <c r="A3921" s="26"/>
      <c r="B3921" s="86"/>
      <c r="D3921" s="26"/>
      <c r="F3921" s="87" t="str">
        <f t="shared" si="0"/>
        <v/>
      </c>
      <c r="H3921" s="26" t="str">
        <f t="shared" si="1"/>
        <v/>
      </c>
      <c r="I3921" s="26" t="str">
        <f t="shared" si="2"/>
        <v/>
      </c>
      <c r="J3921" s="86">
        <f t="shared" si="3"/>
        <v>0</v>
      </c>
      <c r="R3921" s="26"/>
    </row>
    <row r="3922" spans="1:18" ht="15.75" customHeight="1">
      <c r="A3922" s="26"/>
      <c r="B3922" s="86"/>
      <c r="D3922" s="26"/>
      <c r="F3922" s="87" t="str">
        <f t="shared" si="0"/>
        <v/>
      </c>
      <c r="H3922" s="26" t="str">
        <f t="shared" si="1"/>
        <v/>
      </c>
      <c r="I3922" s="26" t="str">
        <f t="shared" si="2"/>
        <v/>
      </c>
      <c r="J3922" s="86">
        <f t="shared" si="3"/>
        <v>0</v>
      </c>
      <c r="R3922" s="26"/>
    </row>
    <row r="3923" spans="1:18" ht="15.75" customHeight="1">
      <c r="A3923" s="26"/>
      <c r="B3923" s="86"/>
      <c r="D3923" s="26"/>
      <c r="F3923" s="87" t="str">
        <f t="shared" si="0"/>
        <v/>
      </c>
      <c r="H3923" s="26" t="str">
        <f t="shared" si="1"/>
        <v/>
      </c>
      <c r="I3923" s="26" t="str">
        <f t="shared" si="2"/>
        <v/>
      </c>
      <c r="J3923" s="86">
        <f t="shared" si="3"/>
        <v>0</v>
      </c>
      <c r="R3923" s="26"/>
    </row>
    <row r="3924" spans="1:18" ht="15.75" customHeight="1">
      <c r="A3924" s="26"/>
      <c r="B3924" s="86"/>
      <c r="D3924" s="26"/>
      <c r="F3924" s="87" t="str">
        <f t="shared" si="0"/>
        <v/>
      </c>
      <c r="H3924" s="26" t="str">
        <f t="shared" si="1"/>
        <v/>
      </c>
      <c r="I3924" s="26" t="str">
        <f t="shared" si="2"/>
        <v/>
      </c>
      <c r="J3924" s="86">
        <f t="shared" si="3"/>
        <v>0</v>
      </c>
      <c r="R3924" s="26"/>
    </row>
    <row r="3925" spans="1:18" ht="15.75" customHeight="1">
      <c r="A3925" s="26"/>
      <c r="B3925" s="86"/>
      <c r="D3925" s="26"/>
      <c r="F3925" s="87" t="str">
        <f t="shared" si="0"/>
        <v/>
      </c>
      <c r="H3925" s="26" t="str">
        <f t="shared" si="1"/>
        <v/>
      </c>
      <c r="I3925" s="26" t="str">
        <f t="shared" si="2"/>
        <v/>
      </c>
      <c r="J3925" s="86">
        <f t="shared" si="3"/>
        <v>0</v>
      </c>
      <c r="R3925" s="26"/>
    </row>
    <row r="3926" spans="1:18" ht="15.75" customHeight="1">
      <c r="A3926" s="26"/>
      <c r="B3926" s="86"/>
      <c r="D3926" s="26"/>
      <c r="F3926" s="87" t="str">
        <f t="shared" si="0"/>
        <v/>
      </c>
      <c r="H3926" s="26" t="str">
        <f t="shared" si="1"/>
        <v/>
      </c>
      <c r="I3926" s="26" t="str">
        <f t="shared" si="2"/>
        <v/>
      </c>
      <c r="J3926" s="86">
        <f t="shared" si="3"/>
        <v>0</v>
      </c>
      <c r="R3926" s="26"/>
    </row>
    <row r="3927" spans="1:18" ht="15.75" customHeight="1">
      <c r="A3927" s="26"/>
      <c r="B3927" s="86"/>
      <c r="D3927" s="26"/>
      <c r="F3927" s="87" t="str">
        <f t="shared" si="0"/>
        <v/>
      </c>
      <c r="H3927" s="26" t="str">
        <f t="shared" si="1"/>
        <v/>
      </c>
      <c r="I3927" s="26" t="str">
        <f t="shared" si="2"/>
        <v/>
      </c>
      <c r="J3927" s="86">
        <f t="shared" si="3"/>
        <v>0</v>
      </c>
      <c r="R3927" s="26"/>
    </row>
    <row r="3928" spans="1:18" ht="15.75" customHeight="1">
      <c r="A3928" s="26"/>
      <c r="B3928" s="86"/>
      <c r="D3928" s="26"/>
      <c r="F3928" s="87" t="str">
        <f t="shared" si="0"/>
        <v/>
      </c>
      <c r="H3928" s="26" t="str">
        <f t="shared" si="1"/>
        <v/>
      </c>
      <c r="I3928" s="26" t="str">
        <f t="shared" si="2"/>
        <v/>
      </c>
      <c r="J3928" s="86">
        <f t="shared" si="3"/>
        <v>0</v>
      </c>
      <c r="R3928" s="26"/>
    </row>
    <row r="3929" spans="1:18" ht="15.75" customHeight="1">
      <c r="A3929" s="26"/>
      <c r="B3929" s="86"/>
      <c r="D3929" s="26"/>
      <c r="F3929" s="87" t="str">
        <f t="shared" si="0"/>
        <v/>
      </c>
      <c r="H3929" s="26" t="str">
        <f t="shared" si="1"/>
        <v/>
      </c>
      <c r="I3929" s="26" t="str">
        <f t="shared" si="2"/>
        <v/>
      </c>
      <c r="J3929" s="86">
        <f t="shared" si="3"/>
        <v>0</v>
      </c>
      <c r="R3929" s="26"/>
    </row>
    <row r="3930" spans="1:18" ht="15.75" customHeight="1">
      <c r="A3930" s="26"/>
      <c r="B3930" s="86"/>
      <c r="D3930" s="26"/>
      <c r="F3930" s="87" t="str">
        <f t="shared" si="0"/>
        <v/>
      </c>
      <c r="H3930" s="26" t="str">
        <f t="shared" si="1"/>
        <v/>
      </c>
      <c r="I3930" s="26" t="str">
        <f t="shared" si="2"/>
        <v/>
      </c>
      <c r="J3930" s="86">
        <f t="shared" si="3"/>
        <v>0</v>
      </c>
      <c r="R3930" s="26"/>
    </row>
    <row r="3931" spans="1:18" ht="15.75" customHeight="1">
      <c r="A3931" s="26"/>
      <c r="B3931" s="86"/>
      <c r="D3931" s="26"/>
      <c r="F3931" s="87" t="str">
        <f t="shared" si="0"/>
        <v/>
      </c>
      <c r="H3931" s="26" t="str">
        <f t="shared" si="1"/>
        <v/>
      </c>
      <c r="I3931" s="26" t="str">
        <f t="shared" si="2"/>
        <v/>
      </c>
      <c r="J3931" s="86">
        <f t="shared" si="3"/>
        <v>0</v>
      </c>
      <c r="R3931" s="26"/>
    </row>
    <row r="3932" spans="1:18" ht="15.75" customHeight="1">
      <c r="A3932" s="26"/>
      <c r="B3932" s="86"/>
      <c r="D3932" s="26"/>
      <c r="F3932" s="87" t="str">
        <f t="shared" si="0"/>
        <v/>
      </c>
      <c r="H3932" s="26" t="str">
        <f t="shared" si="1"/>
        <v/>
      </c>
      <c r="I3932" s="26" t="str">
        <f t="shared" si="2"/>
        <v/>
      </c>
      <c r="J3932" s="86">
        <f t="shared" si="3"/>
        <v>0</v>
      </c>
      <c r="R3932" s="26"/>
    </row>
    <row r="3933" spans="1:18" ht="15.75" customHeight="1">
      <c r="A3933" s="26"/>
      <c r="B3933" s="86"/>
      <c r="D3933" s="26"/>
      <c r="F3933" s="87" t="str">
        <f t="shared" si="0"/>
        <v/>
      </c>
      <c r="H3933" s="26" t="str">
        <f t="shared" si="1"/>
        <v/>
      </c>
      <c r="I3933" s="26" t="str">
        <f t="shared" si="2"/>
        <v/>
      </c>
      <c r="J3933" s="86">
        <f t="shared" si="3"/>
        <v>0</v>
      </c>
      <c r="R3933" s="26"/>
    </row>
    <row r="3934" spans="1:18" ht="15.75" customHeight="1">
      <c r="A3934" s="26"/>
      <c r="B3934" s="86"/>
      <c r="D3934" s="26"/>
      <c r="F3934" s="87" t="str">
        <f t="shared" si="0"/>
        <v/>
      </c>
      <c r="H3934" s="26" t="str">
        <f t="shared" si="1"/>
        <v/>
      </c>
      <c r="I3934" s="26" t="str">
        <f t="shared" si="2"/>
        <v/>
      </c>
      <c r="J3934" s="86">
        <f t="shared" si="3"/>
        <v>0</v>
      </c>
      <c r="R3934" s="26"/>
    </row>
    <row r="3935" spans="1:18" ht="15.75" customHeight="1">
      <c r="A3935" s="26"/>
      <c r="B3935" s="86"/>
      <c r="D3935" s="26"/>
      <c r="F3935" s="87" t="str">
        <f t="shared" si="0"/>
        <v/>
      </c>
      <c r="H3935" s="26" t="str">
        <f t="shared" si="1"/>
        <v/>
      </c>
      <c r="I3935" s="26" t="str">
        <f t="shared" si="2"/>
        <v/>
      </c>
      <c r="J3935" s="86">
        <f t="shared" si="3"/>
        <v>0</v>
      </c>
      <c r="R3935" s="26"/>
    </row>
    <row r="3936" spans="1:18" ht="15.75" customHeight="1">
      <c r="A3936" s="26"/>
      <c r="B3936" s="86"/>
      <c r="D3936" s="26"/>
      <c r="F3936" s="87" t="str">
        <f t="shared" si="0"/>
        <v/>
      </c>
      <c r="H3936" s="26" t="str">
        <f t="shared" si="1"/>
        <v/>
      </c>
      <c r="I3936" s="26" t="str">
        <f t="shared" si="2"/>
        <v/>
      </c>
      <c r="J3936" s="86">
        <f t="shared" si="3"/>
        <v>0</v>
      </c>
      <c r="R3936" s="26"/>
    </row>
    <row r="3937" spans="1:18" ht="15.75" customHeight="1">
      <c r="A3937" s="26"/>
      <c r="B3937" s="86"/>
      <c r="D3937" s="26"/>
      <c r="F3937" s="87" t="str">
        <f t="shared" si="0"/>
        <v/>
      </c>
      <c r="H3937" s="26" t="str">
        <f t="shared" si="1"/>
        <v/>
      </c>
      <c r="I3937" s="26" t="str">
        <f t="shared" si="2"/>
        <v/>
      </c>
      <c r="J3937" s="86">
        <f t="shared" si="3"/>
        <v>0</v>
      </c>
      <c r="R3937" s="26"/>
    </row>
    <row r="3938" spans="1:18" ht="15.75" customHeight="1">
      <c r="A3938" s="26"/>
      <c r="B3938" s="86"/>
      <c r="D3938" s="26"/>
      <c r="F3938" s="87" t="str">
        <f t="shared" si="0"/>
        <v/>
      </c>
      <c r="H3938" s="26" t="str">
        <f t="shared" si="1"/>
        <v/>
      </c>
      <c r="I3938" s="26" t="str">
        <f t="shared" si="2"/>
        <v/>
      </c>
      <c r="J3938" s="86">
        <f t="shared" si="3"/>
        <v>0</v>
      </c>
      <c r="R3938" s="26"/>
    </row>
    <row r="3939" spans="1:18" ht="15.75" customHeight="1">
      <c r="A3939" s="26"/>
      <c r="B3939" s="86"/>
      <c r="D3939" s="26"/>
      <c r="F3939" s="87" t="str">
        <f t="shared" si="0"/>
        <v/>
      </c>
      <c r="H3939" s="26" t="str">
        <f t="shared" si="1"/>
        <v/>
      </c>
      <c r="I3939" s="26" t="str">
        <f t="shared" si="2"/>
        <v/>
      </c>
      <c r="J3939" s="86">
        <f t="shared" si="3"/>
        <v>0</v>
      </c>
      <c r="R3939" s="26"/>
    </row>
    <row r="3940" spans="1:18" ht="15.75" customHeight="1">
      <c r="A3940" s="26"/>
      <c r="B3940" s="86"/>
      <c r="D3940" s="26"/>
      <c r="F3940" s="87" t="str">
        <f t="shared" si="0"/>
        <v/>
      </c>
      <c r="H3940" s="26" t="str">
        <f t="shared" si="1"/>
        <v/>
      </c>
      <c r="I3940" s="26" t="str">
        <f t="shared" si="2"/>
        <v/>
      </c>
      <c r="J3940" s="86">
        <f t="shared" si="3"/>
        <v>0</v>
      </c>
      <c r="R3940" s="26"/>
    </row>
    <row r="3941" spans="1:18" ht="15.75" customHeight="1">
      <c r="A3941" s="26"/>
      <c r="B3941" s="86"/>
      <c r="D3941" s="26"/>
      <c r="F3941" s="87" t="str">
        <f t="shared" si="0"/>
        <v/>
      </c>
      <c r="H3941" s="26" t="str">
        <f t="shared" si="1"/>
        <v/>
      </c>
      <c r="I3941" s="26" t="str">
        <f t="shared" si="2"/>
        <v/>
      </c>
      <c r="J3941" s="86">
        <f t="shared" si="3"/>
        <v>0</v>
      </c>
      <c r="R3941" s="26"/>
    </row>
    <row r="3942" spans="1:18" ht="15.75" customHeight="1">
      <c r="A3942" s="26"/>
      <c r="B3942" s="86"/>
      <c r="D3942" s="26"/>
      <c r="F3942" s="87" t="str">
        <f t="shared" si="0"/>
        <v/>
      </c>
      <c r="H3942" s="26" t="str">
        <f t="shared" si="1"/>
        <v/>
      </c>
      <c r="I3942" s="26" t="str">
        <f t="shared" si="2"/>
        <v/>
      </c>
      <c r="J3942" s="86">
        <f t="shared" si="3"/>
        <v>0</v>
      </c>
      <c r="R3942" s="26"/>
    </row>
    <row r="3943" spans="1:18" ht="15.75" customHeight="1">
      <c r="A3943" s="26"/>
      <c r="B3943" s="86"/>
      <c r="D3943" s="26"/>
      <c r="F3943" s="87" t="str">
        <f t="shared" si="0"/>
        <v/>
      </c>
      <c r="H3943" s="26" t="str">
        <f t="shared" si="1"/>
        <v/>
      </c>
      <c r="I3943" s="26" t="str">
        <f t="shared" si="2"/>
        <v/>
      </c>
      <c r="J3943" s="86">
        <f t="shared" si="3"/>
        <v>0</v>
      </c>
      <c r="R3943" s="26"/>
    </row>
    <row r="3944" spans="1:18" ht="15.75" customHeight="1">
      <c r="A3944" s="26"/>
      <c r="B3944" s="86"/>
      <c r="D3944" s="26"/>
      <c r="F3944" s="87" t="str">
        <f t="shared" si="0"/>
        <v/>
      </c>
      <c r="H3944" s="26" t="str">
        <f t="shared" si="1"/>
        <v/>
      </c>
      <c r="I3944" s="26" t="str">
        <f t="shared" si="2"/>
        <v/>
      </c>
      <c r="J3944" s="86">
        <f t="shared" si="3"/>
        <v>0</v>
      </c>
      <c r="R3944" s="26"/>
    </row>
    <row r="3945" spans="1:18" ht="15.75" customHeight="1">
      <c r="A3945" s="26"/>
      <c r="B3945" s="86"/>
      <c r="D3945" s="26"/>
      <c r="F3945" s="87" t="str">
        <f t="shared" si="0"/>
        <v/>
      </c>
      <c r="H3945" s="26" t="str">
        <f t="shared" si="1"/>
        <v/>
      </c>
      <c r="I3945" s="26" t="str">
        <f t="shared" si="2"/>
        <v/>
      </c>
      <c r="J3945" s="86">
        <f t="shared" si="3"/>
        <v>0</v>
      </c>
      <c r="R3945" s="26"/>
    </row>
    <row r="3946" spans="1:18" ht="15.75" customHeight="1">
      <c r="A3946" s="26"/>
      <c r="B3946" s="86"/>
      <c r="D3946" s="26"/>
      <c r="F3946" s="87" t="str">
        <f t="shared" si="0"/>
        <v/>
      </c>
      <c r="H3946" s="26" t="str">
        <f t="shared" si="1"/>
        <v/>
      </c>
      <c r="I3946" s="26" t="str">
        <f t="shared" si="2"/>
        <v/>
      </c>
      <c r="J3946" s="86">
        <f t="shared" si="3"/>
        <v>0</v>
      </c>
      <c r="R3946" s="26"/>
    </row>
    <row r="3947" spans="1:18" ht="15.75" customHeight="1">
      <c r="A3947" s="26"/>
      <c r="B3947" s="86"/>
      <c r="D3947" s="26"/>
      <c r="F3947" s="87" t="str">
        <f t="shared" si="0"/>
        <v/>
      </c>
      <c r="H3947" s="26" t="str">
        <f t="shared" si="1"/>
        <v/>
      </c>
      <c r="I3947" s="26" t="str">
        <f t="shared" si="2"/>
        <v/>
      </c>
      <c r="J3947" s="86">
        <f t="shared" si="3"/>
        <v>0</v>
      </c>
      <c r="R3947" s="26"/>
    </row>
    <row r="3948" spans="1:18" ht="15.75" customHeight="1">
      <c r="A3948" s="26"/>
      <c r="B3948" s="86"/>
      <c r="D3948" s="26"/>
      <c r="F3948" s="87" t="str">
        <f t="shared" si="0"/>
        <v/>
      </c>
      <c r="H3948" s="26" t="str">
        <f t="shared" si="1"/>
        <v/>
      </c>
      <c r="I3948" s="26" t="str">
        <f t="shared" si="2"/>
        <v/>
      </c>
      <c r="J3948" s="86">
        <f t="shared" si="3"/>
        <v>0</v>
      </c>
      <c r="R3948" s="26"/>
    </row>
    <row r="3949" spans="1:18" ht="15.75" customHeight="1">
      <c r="A3949" s="26"/>
      <c r="B3949" s="86"/>
      <c r="D3949" s="26"/>
      <c r="F3949" s="87" t="str">
        <f t="shared" si="0"/>
        <v/>
      </c>
      <c r="H3949" s="26" t="str">
        <f t="shared" si="1"/>
        <v/>
      </c>
      <c r="I3949" s="26" t="str">
        <f t="shared" si="2"/>
        <v/>
      </c>
      <c r="J3949" s="86">
        <f t="shared" si="3"/>
        <v>0</v>
      </c>
      <c r="R3949" s="26"/>
    </row>
    <row r="3950" spans="1:18" ht="15.75" customHeight="1">
      <c r="A3950" s="26"/>
      <c r="B3950" s="86"/>
      <c r="D3950" s="26"/>
      <c r="F3950" s="87" t="str">
        <f t="shared" si="0"/>
        <v/>
      </c>
      <c r="H3950" s="26" t="str">
        <f t="shared" si="1"/>
        <v/>
      </c>
      <c r="I3950" s="26" t="str">
        <f t="shared" si="2"/>
        <v/>
      </c>
      <c r="J3950" s="86">
        <f t="shared" si="3"/>
        <v>0</v>
      </c>
      <c r="R3950" s="26"/>
    </row>
    <row r="3951" spans="1:18" ht="15.75" customHeight="1">
      <c r="A3951" s="26"/>
      <c r="B3951" s="86"/>
      <c r="D3951" s="26"/>
      <c r="F3951" s="87" t="str">
        <f t="shared" si="0"/>
        <v/>
      </c>
      <c r="H3951" s="26" t="str">
        <f t="shared" si="1"/>
        <v/>
      </c>
      <c r="I3951" s="26" t="str">
        <f t="shared" si="2"/>
        <v/>
      </c>
      <c r="J3951" s="86">
        <f t="shared" si="3"/>
        <v>0</v>
      </c>
      <c r="R3951" s="26"/>
    </row>
    <row r="3952" spans="1:18" ht="15.75" customHeight="1">
      <c r="A3952" s="26"/>
      <c r="B3952" s="86"/>
      <c r="D3952" s="26"/>
      <c r="F3952" s="87" t="str">
        <f t="shared" si="0"/>
        <v/>
      </c>
      <c r="H3952" s="26" t="str">
        <f t="shared" si="1"/>
        <v/>
      </c>
      <c r="I3952" s="26" t="str">
        <f t="shared" si="2"/>
        <v/>
      </c>
      <c r="J3952" s="86">
        <f t="shared" si="3"/>
        <v>0</v>
      </c>
      <c r="R3952" s="26"/>
    </row>
    <row r="3953" spans="1:18" ht="15.75" customHeight="1">
      <c r="A3953" s="26"/>
      <c r="B3953" s="86"/>
      <c r="D3953" s="26"/>
      <c r="F3953" s="87" t="str">
        <f t="shared" si="0"/>
        <v/>
      </c>
      <c r="H3953" s="26" t="str">
        <f t="shared" si="1"/>
        <v/>
      </c>
      <c r="I3953" s="26" t="str">
        <f t="shared" si="2"/>
        <v/>
      </c>
      <c r="J3953" s="86">
        <f t="shared" si="3"/>
        <v>0</v>
      </c>
      <c r="R3953" s="26"/>
    </row>
    <row r="3954" spans="1:18" ht="15.75" customHeight="1">
      <c r="A3954" s="26"/>
      <c r="B3954" s="86"/>
      <c r="D3954" s="26"/>
      <c r="F3954" s="87" t="str">
        <f t="shared" si="0"/>
        <v/>
      </c>
      <c r="H3954" s="26" t="str">
        <f t="shared" si="1"/>
        <v/>
      </c>
      <c r="I3954" s="26" t="str">
        <f t="shared" si="2"/>
        <v/>
      </c>
      <c r="J3954" s="86">
        <f t="shared" si="3"/>
        <v>0</v>
      </c>
      <c r="R3954" s="26"/>
    </row>
    <row r="3955" spans="1:18" ht="15.75" customHeight="1">
      <c r="A3955" s="26"/>
      <c r="B3955" s="86"/>
      <c r="D3955" s="26"/>
      <c r="F3955" s="87" t="str">
        <f t="shared" si="0"/>
        <v/>
      </c>
      <c r="H3955" s="26" t="str">
        <f t="shared" si="1"/>
        <v/>
      </c>
      <c r="I3955" s="26" t="str">
        <f t="shared" si="2"/>
        <v/>
      </c>
      <c r="J3955" s="86">
        <f t="shared" si="3"/>
        <v>0</v>
      </c>
      <c r="R3955" s="26"/>
    </row>
    <row r="3956" spans="1:18" ht="15.75" customHeight="1">
      <c r="A3956" s="26"/>
      <c r="B3956" s="86"/>
      <c r="D3956" s="26"/>
      <c r="F3956" s="87" t="str">
        <f t="shared" si="0"/>
        <v/>
      </c>
      <c r="H3956" s="26" t="str">
        <f t="shared" si="1"/>
        <v/>
      </c>
      <c r="I3956" s="26" t="str">
        <f t="shared" si="2"/>
        <v/>
      </c>
      <c r="J3956" s="86">
        <f t="shared" si="3"/>
        <v>0</v>
      </c>
      <c r="R3956" s="26"/>
    </row>
    <row r="3957" spans="1:18" ht="15.75" customHeight="1">
      <c r="A3957" s="26"/>
      <c r="B3957" s="86"/>
      <c r="D3957" s="26"/>
      <c r="F3957" s="87" t="str">
        <f t="shared" si="0"/>
        <v/>
      </c>
      <c r="H3957" s="26" t="str">
        <f t="shared" si="1"/>
        <v/>
      </c>
      <c r="I3957" s="26" t="str">
        <f t="shared" si="2"/>
        <v/>
      </c>
      <c r="J3957" s="86">
        <f t="shared" si="3"/>
        <v>0</v>
      </c>
      <c r="R3957" s="26"/>
    </row>
    <row r="3958" spans="1:18" ht="15.75" customHeight="1">
      <c r="A3958" s="26"/>
      <c r="B3958" s="86"/>
      <c r="D3958" s="26"/>
      <c r="F3958" s="87" t="str">
        <f t="shared" si="0"/>
        <v/>
      </c>
      <c r="H3958" s="26" t="str">
        <f t="shared" si="1"/>
        <v/>
      </c>
      <c r="I3958" s="26" t="str">
        <f t="shared" si="2"/>
        <v/>
      </c>
      <c r="J3958" s="86">
        <f t="shared" si="3"/>
        <v>0</v>
      </c>
      <c r="R3958" s="26"/>
    </row>
    <row r="3959" spans="1:18" ht="15.75" customHeight="1">
      <c r="A3959" s="26"/>
      <c r="B3959" s="86"/>
      <c r="D3959" s="26"/>
      <c r="F3959" s="87" t="str">
        <f t="shared" si="0"/>
        <v/>
      </c>
      <c r="H3959" s="26" t="str">
        <f t="shared" si="1"/>
        <v/>
      </c>
      <c r="I3959" s="26" t="str">
        <f t="shared" si="2"/>
        <v/>
      </c>
      <c r="J3959" s="86">
        <f t="shared" si="3"/>
        <v>0</v>
      </c>
      <c r="R3959" s="26"/>
    </row>
    <row r="3960" spans="1:18" ht="15.75" customHeight="1">
      <c r="A3960" s="26"/>
      <c r="B3960" s="86"/>
      <c r="D3960" s="26"/>
      <c r="F3960" s="87" t="str">
        <f t="shared" si="0"/>
        <v/>
      </c>
      <c r="H3960" s="26" t="str">
        <f t="shared" si="1"/>
        <v/>
      </c>
      <c r="I3960" s="26" t="str">
        <f t="shared" si="2"/>
        <v/>
      </c>
      <c r="J3960" s="86">
        <f t="shared" si="3"/>
        <v>0</v>
      </c>
      <c r="R3960" s="26"/>
    </row>
    <row r="3961" spans="1:18" ht="15.75" customHeight="1">
      <c r="A3961" s="26"/>
      <c r="B3961" s="86"/>
      <c r="D3961" s="26"/>
      <c r="F3961" s="87" t="str">
        <f t="shared" si="0"/>
        <v/>
      </c>
      <c r="H3961" s="26" t="str">
        <f t="shared" si="1"/>
        <v/>
      </c>
      <c r="I3961" s="26" t="str">
        <f t="shared" si="2"/>
        <v/>
      </c>
      <c r="J3961" s="86">
        <f t="shared" si="3"/>
        <v>0</v>
      </c>
      <c r="R3961" s="26"/>
    </row>
    <row r="3962" spans="1:18" ht="15.75" customHeight="1">
      <c r="A3962" s="26"/>
      <c r="B3962" s="86"/>
      <c r="D3962" s="26"/>
      <c r="F3962" s="87" t="str">
        <f t="shared" si="0"/>
        <v/>
      </c>
      <c r="H3962" s="26" t="str">
        <f t="shared" si="1"/>
        <v/>
      </c>
      <c r="I3962" s="26" t="str">
        <f t="shared" si="2"/>
        <v/>
      </c>
      <c r="J3962" s="86">
        <f t="shared" si="3"/>
        <v>0</v>
      </c>
      <c r="R3962" s="26"/>
    </row>
    <row r="3963" spans="1:18" ht="15.75" customHeight="1">
      <c r="A3963" s="26"/>
      <c r="B3963" s="86"/>
      <c r="D3963" s="26"/>
      <c r="F3963" s="87" t="str">
        <f t="shared" si="0"/>
        <v/>
      </c>
      <c r="H3963" s="26" t="str">
        <f t="shared" si="1"/>
        <v/>
      </c>
      <c r="I3963" s="26" t="str">
        <f t="shared" si="2"/>
        <v/>
      </c>
      <c r="J3963" s="86">
        <f t="shared" si="3"/>
        <v>0</v>
      </c>
      <c r="R3963" s="26"/>
    </row>
    <row r="3964" spans="1:18" ht="15.75" customHeight="1">
      <c r="A3964" s="26"/>
      <c r="B3964" s="86"/>
      <c r="D3964" s="26"/>
      <c r="F3964" s="87" t="str">
        <f t="shared" si="0"/>
        <v/>
      </c>
      <c r="H3964" s="26" t="str">
        <f t="shared" si="1"/>
        <v/>
      </c>
      <c r="I3964" s="26" t="str">
        <f t="shared" si="2"/>
        <v/>
      </c>
      <c r="J3964" s="86">
        <f t="shared" si="3"/>
        <v>0</v>
      </c>
      <c r="R3964" s="26"/>
    </row>
    <row r="3965" spans="1:18" ht="15.75" customHeight="1">
      <c r="A3965" s="26"/>
      <c r="B3965" s="86"/>
      <c r="D3965" s="26"/>
      <c r="F3965" s="87" t="str">
        <f t="shared" si="0"/>
        <v/>
      </c>
      <c r="H3965" s="26" t="str">
        <f t="shared" si="1"/>
        <v/>
      </c>
      <c r="I3965" s="26" t="str">
        <f t="shared" si="2"/>
        <v/>
      </c>
      <c r="J3965" s="86">
        <f t="shared" si="3"/>
        <v>0</v>
      </c>
      <c r="R3965" s="26"/>
    </row>
    <row r="3966" spans="1:18" ht="15.75" customHeight="1">
      <c r="A3966" s="26"/>
      <c r="B3966" s="86"/>
      <c r="D3966" s="26"/>
      <c r="F3966" s="87" t="str">
        <f t="shared" si="0"/>
        <v/>
      </c>
      <c r="H3966" s="26" t="str">
        <f t="shared" si="1"/>
        <v/>
      </c>
      <c r="I3966" s="26" t="str">
        <f t="shared" si="2"/>
        <v/>
      </c>
      <c r="J3966" s="86">
        <f t="shared" si="3"/>
        <v>0</v>
      </c>
      <c r="R3966" s="26"/>
    </row>
    <row r="3967" spans="1:18" ht="15.75" customHeight="1">
      <c r="A3967" s="26"/>
      <c r="B3967" s="86"/>
      <c r="D3967" s="26"/>
      <c r="F3967" s="87" t="str">
        <f t="shared" si="0"/>
        <v/>
      </c>
      <c r="H3967" s="26" t="str">
        <f t="shared" si="1"/>
        <v/>
      </c>
      <c r="I3967" s="26" t="str">
        <f t="shared" si="2"/>
        <v/>
      </c>
      <c r="J3967" s="86">
        <f t="shared" si="3"/>
        <v>0</v>
      </c>
      <c r="R3967" s="26"/>
    </row>
    <row r="3968" spans="1:18" ht="15.75" customHeight="1">
      <c r="A3968" s="26"/>
      <c r="B3968" s="86"/>
      <c r="D3968" s="26"/>
      <c r="F3968" s="87" t="str">
        <f t="shared" si="0"/>
        <v/>
      </c>
      <c r="H3968" s="26" t="str">
        <f t="shared" si="1"/>
        <v/>
      </c>
      <c r="I3968" s="26" t="str">
        <f t="shared" si="2"/>
        <v/>
      </c>
      <c r="J3968" s="86">
        <f t="shared" si="3"/>
        <v>0</v>
      </c>
      <c r="R3968" s="26"/>
    </row>
    <row r="3969" spans="1:18" ht="15.75" customHeight="1">
      <c r="A3969" s="26"/>
      <c r="B3969" s="86"/>
      <c r="D3969" s="26"/>
      <c r="F3969" s="87" t="str">
        <f t="shared" si="0"/>
        <v/>
      </c>
      <c r="H3969" s="26" t="str">
        <f t="shared" si="1"/>
        <v/>
      </c>
      <c r="I3969" s="26" t="str">
        <f t="shared" si="2"/>
        <v/>
      </c>
      <c r="J3969" s="86">
        <f t="shared" si="3"/>
        <v>0</v>
      </c>
      <c r="R3969" s="26"/>
    </row>
    <row r="3970" spans="1:18" ht="15.75" customHeight="1">
      <c r="A3970" s="26"/>
      <c r="B3970" s="86"/>
      <c r="D3970" s="26"/>
      <c r="F3970" s="87" t="str">
        <f t="shared" si="0"/>
        <v/>
      </c>
      <c r="H3970" s="26" t="str">
        <f t="shared" si="1"/>
        <v/>
      </c>
      <c r="I3970" s="26" t="str">
        <f t="shared" si="2"/>
        <v/>
      </c>
      <c r="J3970" s="86">
        <f t="shared" si="3"/>
        <v>0</v>
      </c>
      <c r="R3970" s="26"/>
    </row>
    <row r="3971" spans="1:18" ht="15.75" customHeight="1">
      <c r="A3971" s="26"/>
      <c r="B3971" s="86"/>
      <c r="D3971" s="26"/>
      <c r="F3971" s="87" t="str">
        <f t="shared" si="0"/>
        <v/>
      </c>
      <c r="H3971" s="26" t="str">
        <f t="shared" si="1"/>
        <v/>
      </c>
      <c r="I3971" s="26" t="str">
        <f t="shared" si="2"/>
        <v/>
      </c>
      <c r="J3971" s="86">
        <f t="shared" si="3"/>
        <v>0</v>
      </c>
      <c r="R3971" s="26"/>
    </row>
    <row r="3972" spans="1:18" ht="15.75" customHeight="1">
      <c r="A3972" s="26"/>
      <c r="B3972" s="86"/>
      <c r="D3972" s="26"/>
      <c r="F3972" s="87" t="str">
        <f t="shared" si="0"/>
        <v/>
      </c>
      <c r="H3972" s="26" t="str">
        <f t="shared" si="1"/>
        <v/>
      </c>
      <c r="I3972" s="26" t="str">
        <f t="shared" si="2"/>
        <v/>
      </c>
      <c r="J3972" s="86">
        <f t="shared" si="3"/>
        <v>0</v>
      </c>
      <c r="R3972" s="26"/>
    </row>
    <row r="3973" spans="1:18" ht="15.75" customHeight="1">
      <c r="A3973" s="26"/>
      <c r="B3973" s="86"/>
      <c r="D3973" s="26"/>
      <c r="F3973" s="87" t="str">
        <f t="shared" si="0"/>
        <v/>
      </c>
      <c r="H3973" s="26" t="str">
        <f t="shared" si="1"/>
        <v/>
      </c>
      <c r="I3973" s="26" t="str">
        <f t="shared" si="2"/>
        <v/>
      </c>
      <c r="J3973" s="86">
        <f t="shared" si="3"/>
        <v>0</v>
      </c>
      <c r="R3973" s="26"/>
    </row>
    <row r="3974" spans="1:18" ht="15.75" customHeight="1">
      <c r="A3974" s="26"/>
      <c r="B3974" s="86"/>
      <c r="D3974" s="26"/>
      <c r="F3974" s="87" t="str">
        <f t="shared" si="0"/>
        <v/>
      </c>
      <c r="H3974" s="26" t="str">
        <f t="shared" si="1"/>
        <v/>
      </c>
      <c r="I3974" s="26" t="str">
        <f t="shared" si="2"/>
        <v/>
      </c>
      <c r="J3974" s="86">
        <f t="shared" si="3"/>
        <v>0</v>
      </c>
      <c r="R3974" s="26"/>
    </row>
    <row r="3975" spans="1:18" ht="15.75" customHeight="1">
      <c r="A3975" s="26"/>
      <c r="B3975" s="86"/>
      <c r="D3975" s="26"/>
      <c r="F3975" s="87" t="str">
        <f t="shared" si="0"/>
        <v/>
      </c>
      <c r="H3975" s="26" t="str">
        <f t="shared" si="1"/>
        <v/>
      </c>
      <c r="I3975" s="26" t="str">
        <f t="shared" si="2"/>
        <v/>
      </c>
      <c r="J3975" s="86">
        <f t="shared" si="3"/>
        <v>0</v>
      </c>
      <c r="R3975" s="26"/>
    </row>
    <row r="3976" spans="1:18" ht="15.75" customHeight="1">
      <c r="A3976" s="26"/>
      <c r="B3976" s="86"/>
      <c r="D3976" s="26"/>
      <c r="F3976" s="87" t="str">
        <f t="shared" si="0"/>
        <v/>
      </c>
      <c r="H3976" s="26" t="str">
        <f t="shared" si="1"/>
        <v/>
      </c>
      <c r="I3976" s="26" t="str">
        <f t="shared" si="2"/>
        <v/>
      </c>
      <c r="J3976" s="86">
        <f t="shared" si="3"/>
        <v>0</v>
      </c>
      <c r="R3976" s="26"/>
    </row>
    <row r="3977" spans="1:18" ht="15.75" customHeight="1">
      <c r="A3977" s="26"/>
      <c r="B3977" s="86"/>
      <c r="D3977" s="26"/>
      <c r="F3977" s="87" t="str">
        <f t="shared" si="0"/>
        <v/>
      </c>
      <c r="H3977" s="26" t="str">
        <f t="shared" si="1"/>
        <v/>
      </c>
      <c r="I3977" s="26" t="str">
        <f t="shared" si="2"/>
        <v/>
      </c>
      <c r="J3977" s="86">
        <f t="shared" si="3"/>
        <v>0</v>
      </c>
      <c r="R3977" s="26"/>
    </row>
    <row r="3978" spans="1:18" ht="15.75" customHeight="1">
      <c r="A3978" s="26"/>
      <c r="B3978" s="86"/>
      <c r="D3978" s="26"/>
      <c r="F3978" s="87" t="str">
        <f t="shared" si="0"/>
        <v/>
      </c>
      <c r="H3978" s="26" t="str">
        <f t="shared" si="1"/>
        <v/>
      </c>
      <c r="I3978" s="26" t="str">
        <f t="shared" si="2"/>
        <v/>
      </c>
      <c r="J3978" s="86">
        <f t="shared" si="3"/>
        <v>0</v>
      </c>
      <c r="R3978" s="26"/>
    </row>
    <row r="3979" spans="1:18" ht="15.75" customHeight="1">
      <c r="A3979" s="26"/>
      <c r="B3979" s="86"/>
      <c r="D3979" s="26"/>
      <c r="F3979" s="87" t="str">
        <f t="shared" si="0"/>
        <v/>
      </c>
      <c r="H3979" s="26" t="str">
        <f t="shared" si="1"/>
        <v/>
      </c>
      <c r="I3979" s="26" t="str">
        <f t="shared" si="2"/>
        <v/>
      </c>
      <c r="J3979" s="86">
        <f t="shared" si="3"/>
        <v>0</v>
      </c>
      <c r="R3979" s="26"/>
    </row>
    <row r="3980" spans="1:18" ht="15.75" customHeight="1">
      <c r="A3980" s="26"/>
      <c r="B3980" s="86"/>
      <c r="D3980" s="26"/>
      <c r="F3980" s="87" t="str">
        <f t="shared" si="0"/>
        <v/>
      </c>
      <c r="H3980" s="26" t="str">
        <f t="shared" si="1"/>
        <v/>
      </c>
      <c r="I3980" s="26" t="str">
        <f t="shared" si="2"/>
        <v/>
      </c>
      <c r="J3980" s="86">
        <f t="shared" si="3"/>
        <v>0</v>
      </c>
      <c r="R3980" s="26"/>
    </row>
    <row r="3981" spans="1:18" ht="15.75" customHeight="1">
      <c r="A3981" s="26"/>
      <c r="B3981" s="86"/>
      <c r="D3981" s="26"/>
      <c r="F3981" s="87" t="str">
        <f t="shared" si="0"/>
        <v/>
      </c>
      <c r="H3981" s="26" t="str">
        <f t="shared" si="1"/>
        <v/>
      </c>
      <c r="I3981" s="26" t="str">
        <f t="shared" si="2"/>
        <v/>
      </c>
      <c r="J3981" s="86">
        <f t="shared" si="3"/>
        <v>0</v>
      </c>
      <c r="R3981" s="26"/>
    </row>
    <row r="3982" spans="1:18" ht="15.75" customHeight="1">
      <c r="A3982" s="26"/>
      <c r="B3982" s="86"/>
      <c r="D3982" s="26"/>
      <c r="F3982" s="87" t="str">
        <f t="shared" si="0"/>
        <v/>
      </c>
      <c r="H3982" s="26" t="str">
        <f t="shared" si="1"/>
        <v/>
      </c>
      <c r="I3982" s="26" t="str">
        <f t="shared" si="2"/>
        <v/>
      </c>
      <c r="J3982" s="86">
        <f t="shared" si="3"/>
        <v>0</v>
      </c>
      <c r="R3982" s="26"/>
    </row>
    <row r="3983" spans="1:18" ht="15.75" customHeight="1">
      <c r="A3983" s="26"/>
      <c r="B3983" s="86"/>
      <c r="D3983" s="26"/>
      <c r="F3983" s="87" t="str">
        <f t="shared" si="0"/>
        <v/>
      </c>
      <c r="H3983" s="26" t="str">
        <f t="shared" si="1"/>
        <v/>
      </c>
      <c r="I3983" s="26" t="str">
        <f t="shared" si="2"/>
        <v/>
      </c>
      <c r="J3983" s="86">
        <f t="shared" si="3"/>
        <v>0</v>
      </c>
      <c r="R3983" s="26"/>
    </row>
    <row r="3984" spans="1:18" ht="15.75" customHeight="1">
      <c r="A3984" s="26"/>
      <c r="B3984" s="86"/>
      <c r="D3984" s="26"/>
      <c r="F3984" s="87" t="str">
        <f t="shared" si="0"/>
        <v/>
      </c>
      <c r="H3984" s="26" t="str">
        <f t="shared" si="1"/>
        <v/>
      </c>
      <c r="I3984" s="26" t="str">
        <f t="shared" si="2"/>
        <v/>
      </c>
      <c r="J3984" s="86">
        <f t="shared" si="3"/>
        <v>0</v>
      </c>
      <c r="R3984" s="26"/>
    </row>
    <row r="3985" spans="1:18" ht="15.75" customHeight="1">
      <c r="A3985" s="26"/>
      <c r="B3985" s="86"/>
      <c r="D3985" s="26"/>
      <c r="F3985" s="87" t="str">
        <f t="shared" si="0"/>
        <v/>
      </c>
      <c r="H3985" s="26" t="str">
        <f t="shared" si="1"/>
        <v/>
      </c>
      <c r="I3985" s="26" t="str">
        <f t="shared" si="2"/>
        <v/>
      </c>
      <c r="J3985" s="86">
        <f t="shared" si="3"/>
        <v>0</v>
      </c>
      <c r="R3985" s="26"/>
    </row>
    <row r="3986" spans="1:18" ht="15.75" customHeight="1">
      <c r="A3986" s="26"/>
      <c r="B3986" s="86"/>
      <c r="D3986" s="26"/>
      <c r="F3986" s="87" t="str">
        <f t="shared" si="0"/>
        <v/>
      </c>
      <c r="H3986" s="26" t="str">
        <f t="shared" si="1"/>
        <v/>
      </c>
      <c r="I3986" s="26" t="str">
        <f t="shared" si="2"/>
        <v/>
      </c>
      <c r="J3986" s="86">
        <f t="shared" si="3"/>
        <v>0</v>
      </c>
      <c r="R3986" s="26"/>
    </row>
    <row r="3987" spans="1:18" ht="15.75" customHeight="1">
      <c r="A3987" s="26"/>
      <c r="B3987" s="86"/>
      <c r="D3987" s="26"/>
      <c r="F3987" s="87" t="str">
        <f t="shared" si="0"/>
        <v/>
      </c>
      <c r="H3987" s="26" t="str">
        <f t="shared" si="1"/>
        <v/>
      </c>
      <c r="I3987" s="26" t="str">
        <f t="shared" si="2"/>
        <v/>
      </c>
      <c r="J3987" s="86">
        <f t="shared" si="3"/>
        <v>0</v>
      </c>
      <c r="R3987" s="26"/>
    </row>
    <row r="3988" spans="1:18" ht="15.75" customHeight="1">
      <c r="A3988" s="26"/>
      <c r="B3988" s="86"/>
      <c r="D3988" s="26"/>
      <c r="F3988" s="87" t="str">
        <f t="shared" si="0"/>
        <v/>
      </c>
      <c r="H3988" s="26" t="str">
        <f t="shared" si="1"/>
        <v/>
      </c>
      <c r="I3988" s="26" t="str">
        <f t="shared" si="2"/>
        <v/>
      </c>
      <c r="J3988" s="86">
        <f t="shared" si="3"/>
        <v>0</v>
      </c>
      <c r="R3988" s="26"/>
    </row>
    <row r="3989" spans="1:18" ht="15.75" customHeight="1">
      <c r="A3989" s="26"/>
      <c r="B3989" s="86"/>
      <c r="D3989" s="26"/>
      <c r="F3989" s="87" t="str">
        <f t="shared" si="0"/>
        <v/>
      </c>
      <c r="H3989" s="26" t="str">
        <f t="shared" si="1"/>
        <v/>
      </c>
      <c r="I3989" s="26" t="str">
        <f t="shared" si="2"/>
        <v/>
      </c>
      <c r="J3989" s="86">
        <f t="shared" si="3"/>
        <v>0</v>
      </c>
      <c r="R3989" s="26"/>
    </row>
    <row r="3990" spans="1:18" ht="15.75" customHeight="1">
      <c r="A3990" s="26"/>
      <c r="B3990" s="86"/>
      <c r="D3990" s="26"/>
      <c r="F3990" s="87" t="str">
        <f t="shared" si="0"/>
        <v/>
      </c>
      <c r="H3990" s="26" t="str">
        <f t="shared" si="1"/>
        <v/>
      </c>
      <c r="I3990" s="26" t="str">
        <f t="shared" si="2"/>
        <v/>
      </c>
      <c r="J3990" s="86">
        <f t="shared" si="3"/>
        <v>0</v>
      </c>
      <c r="R3990" s="26"/>
    </row>
    <row r="3991" spans="1:18" ht="15.75" customHeight="1">
      <c r="A3991" s="26"/>
      <c r="B3991" s="86"/>
      <c r="D3991" s="26"/>
      <c r="F3991" s="87" t="str">
        <f t="shared" si="0"/>
        <v/>
      </c>
      <c r="H3991" s="26" t="str">
        <f t="shared" si="1"/>
        <v/>
      </c>
      <c r="I3991" s="26" t="str">
        <f t="shared" si="2"/>
        <v/>
      </c>
      <c r="J3991" s="86">
        <f t="shared" si="3"/>
        <v>0</v>
      </c>
      <c r="R3991" s="26"/>
    </row>
    <row r="3992" spans="1:18" ht="15.75" customHeight="1">
      <c r="A3992" s="26"/>
      <c r="B3992" s="86"/>
      <c r="D3992" s="26"/>
      <c r="F3992" s="87" t="str">
        <f t="shared" si="0"/>
        <v/>
      </c>
      <c r="H3992" s="26" t="str">
        <f t="shared" si="1"/>
        <v/>
      </c>
      <c r="I3992" s="26" t="str">
        <f t="shared" si="2"/>
        <v/>
      </c>
      <c r="J3992" s="86">
        <f t="shared" si="3"/>
        <v>0</v>
      </c>
      <c r="R3992" s="26"/>
    </row>
    <row r="3993" spans="1:18" ht="15.75" customHeight="1">
      <c r="A3993" s="26"/>
      <c r="B3993" s="86"/>
      <c r="D3993" s="26"/>
      <c r="F3993" s="87" t="str">
        <f t="shared" si="0"/>
        <v/>
      </c>
      <c r="H3993" s="26" t="str">
        <f t="shared" si="1"/>
        <v/>
      </c>
      <c r="I3993" s="26" t="str">
        <f t="shared" si="2"/>
        <v/>
      </c>
      <c r="J3993" s="86">
        <f t="shared" si="3"/>
        <v>0</v>
      </c>
      <c r="R3993" s="26"/>
    </row>
    <row r="3994" spans="1:18" ht="15.75" customHeight="1">
      <c r="A3994" s="26"/>
      <c r="B3994" s="86"/>
      <c r="D3994" s="26"/>
      <c r="F3994" s="87" t="str">
        <f t="shared" si="0"/>
        <v/>
      </c>
      <c r="H3994" s="26" t="str">
        <f t="shared" si="1"/>
        <v/>
      </c>
      <c r="I3994" s="26" t="str">
        <f t="shared" si="2"/>
        <v/>
      </c>
      <c r="J3994" s="86">
        <f t="shared" si="3"/>
        <v>0</v>
      </c>
      <c r="R3994" s="26"/>
    </row>
    <row r="3995" spans="1:18" ht="15.75" customHeight="1">
      <c r="A3995" s="26"/>
      <c r="B3995" s="86"/>
      <c r="D3995" s="26"/>
      <c r="F3995" s="87" t="str">
        <f t="shared" si="0"/>
        <v/>
      </c>
      <c r="H3995" s="26" t="str">
        <f t="shared" si="1"/>
        <v/>
      </c>
      <c r="I3995" s="26" t="str">
        <f t="shared" si="2"/>
        <v/>
      </c>
      <c r="J3995" s="86">
        <f t="shared" si="3"/>
        <v>0</v>
      </c>
      <c r="R3995" s="26"/>
    </row>
    <row r="3996" spans="1:18" ht="15.75" customHeight="1">
      <c r="A3996" s="26"/>
      <c r="B3996" s="86"/>
      <c r="D3996" s="26"/>
      <c r="F3996" s="87" t="str">
        <f t="shared" si="0"/>
        <v/>
      </c>
      <c r="H3996" s="26" t="str">
        <f t="shared" si="1"/>
        <v/>
      </c>
      <c r="I3996" s="26" t="str">
        <f t="shared" si="2"/>
        <v/>
      </c>
      <c r="J3996" s="86">
        <f t="shared" si="3"/>
        <v>0</v>
      </c>
      <c r="R3996" s="26"/>
    </row>
    <row r="3997" spans="1:18" ht="15.75" customHeight="1">
      <c r="A3997" s="26"/>
      <c r="B3997" s="86"/>
      <c r="D3997" s="26"/>
      <c r="F3997" s="87" t="str">
        <f t="shared" si="0"/>
        <v/>
      </c>
      <c r="H3997" s="26" t="str">
        <f t="shared" si="1"/>
        <v/>
      </c>
      <c r="I3997" s="26" t="str">
        <f t="shared" si="2"/>
        <v/>
      </c>
      <c r="J3997" s="86">
        <f t="shared" si="3"/>
        <v>0</v>
      </c>
      <c r="R3997" s="26"/>
    </row>
    <row r="3998" spans="1:18" ht="15.75" customHeight="1">
      <c r="A3998" s="26"/>
      <c r="B3998" s="86"/>
      <c r="D3998" s="26"/>
      <c r="F3998" s="87" t="str">
        <f t="shared" si="0"/>
        <v/>
      </c>
      <c r="H3998" s="26" t="str">
        <f t="shared" si="1"/>
        <v/>
      </c>
      <c r="I3998" s="26" t="str">
        <f t="shared" si="2"/>
        <v/>
      </c>
      <c r="J3998" s="86">
        <f t="shared" si="3"/>
        <v>0</v>
      </c>
      <c r="R3998" s="26"/>
    </row>
    <row r="3999" spans="1:18" ht="15.75" customHeight="1">
      <c r="A3999" s="26"/>
      <c r="B3999" s="86"/>
      <c r="D3999" s="26"/>
      <c r="F3999" s="87" t="str">
        <f t="shared" si="0"/>
        <v/>
      </c>
      <c r="H3999" s="26" t="str">
        <f t="shared" si="1"/>
        <v/>
      </c>
      <c r="I3999" s="26" t="str">
        <f t="shared" si="2"/>
        <v/>
      </c>
      <c r="J3999" s="86">
        <f t="shared" si="3"/>
        <v>0</v>
      </c>
      <c r="R3999" s="26"/>
    </row>
    <row r="4000" spans="1:18" ht="15.75" customHeight="1">
      <c r="A4000" s="26"/>
      <c r="B4000" s="86"/>
      <c r="D4000" s="26"/>
      <c r="F4000" s="87" t="str">
        <f t="shared" si="0"/>
        <v/>
      </c>
      <c r="H4000" s="26" t="str">
        <f t="shared" si="1"/>
        <v/>
      </c>
      <c r="I4000" s="26" t="str">
        <f t="shared" si="2"/>
        <v/>
      </c>
      <c r="J4000" s="86">
        <f t="shared" si="3"/>
        <v>0</v>
      </c>
      <c r="R4000" s="26"/>
    </row>
    <row r="4001" spans="1:18" ht="15.75" customHeight="1">
      <c r="A4001" s="26"/>
      <c r="B4001" s="86"/>
      <c r="D4001" s="26"/>
      <c r="F4001" s="87" t="str">
        <f t="shared" si="0"/>
        <v/>
      </c>
      <c r="H4001" s="26" t="str">
        <f t="shared" si="1"/>
        <v/>
      </c>
      <c r="I4001" s="26" t="str">
        <f t="shared" si="2"/>
        <v/>
      </c>
      <c r="J4001" s="86">
        <f t="shared" si="3"/>
        <v>0</v>
      </c>
      <c r="R4001" s="26"/>
    </row>
    <row r="4002" spans="1:18" ht="15.75" customHeight="1">
      <c r="A4002" s="26"/>
      <c r="B4002" s="86"/>
      <c r="D4002" s="26"/>
      <c r="F4002" s="87" t="str">
        <f t="shared" si="0"/>
        <v/>
      </c>
      <c r="H4002" s="26" t="str">
        <f t="shared" si="1"/>
        <v/>
      </c>
      <c r="I4002" s="26" t="str">
        <f t="shared" si="2"/>
        <v/>
      </c>
      <c r="J4002" s="86">
        <f t="shared" si="3"/>
        <v>0</v>
      </c>
      <c r="R4002" s="26"/>
    </row>
    <row r="4003" spans="1:18" ht="15.75" customHeight="1">
      <c r="A4003" s="26"/>
      <c r="B4003" s="86"/>
      <c r="D4003" s="26"/>
      <c r="F4003" s="87" t="str">
        <f t="shared" si="0"/>
        <v/>
      </c>
      <c r="H4003" s="26" t="str">
        <f t="shared" si="1"/>
        <v/>
      </c>
      <c r="I4003" s="26" t="str">
        <f t="shared" si="2"/>
        <v/>
      </c>
      <c r="J4003" s="86">
        <f t="shared" si="3"/>
        <v>0</v>
      </c>
      <c r="R4003" s="26"/>
    </row>
    <row r="4004" spans="1:18" ht="15.75" customHeight="1">
      <c r="A4004" s="26"/>
      <c r="B4004" s="86"/>
      <c r="D4004" s="26"/>
      <c r="F4004" s="87" t="str">
        <f t="shared" si="0"/>
        <v/>
      </c>
      <c r="H4004" s="26" t="str">
        <f t="shared" si="1"/>
        <v/>
      </c>
      <c r="I4004" s="26" t="str">
        <f t="shared" si="2"/>
        <v/>
      </c>
      <c r="J4004" s="86">
        <f t="shared" si="3"/>
        <v>0</v>
      </c>
      <c r="R4004" s="26"/>
    </row>
    <row r="4005" spans="1:18" ht="15.75" customHeight="1">
      <c r="A4005" s="26"/>
      <c r="B4005" s="86"/>
      <c r="D4005" s="26"/>
      <c r="F4005" s="87" t="str">
        <f t="shared" si="0"/>
        <v/>
      </c>
      <c r="H4005" s="26" t="str">
        <f t="shared" si="1"/>
        <v/>
      </c>
      <c r="I4005" s="26" t="str">
        <f t="shared" si="2"/>
        <v/>
      </c>
      <c r="J4005" s="86">
        <f t="shared" si="3"/>
        <v>0</v>
      </c>
      <c r="R4005" s="26"/>
    </row>
    <row r="4006" spans="1:18" ht="15.75" customHeight="1">
      <c r="A4006" s="26"/>
      <c r="B4006" s="86"/>
      <c r="D4006" s="26"/>
      <c r="F4006" s="87" t="str">
        <f t="shared" si="0"/>
        <v/>
      </c>
      <c r="H4006" s="26" t="str">
        <f t="shared" si="1"/>
        <v/>
      </c>
      <c r="I4006" s="26" t="str">
        <f t="shared" si="2"/>
        <v/>
      </c>
      <c r="J4006" s="86">
        <f t="shared" si="3"/>
        <v>0</v>
      </c>
      <c r="R4006" s="26"/>
    </row>
    <row r="4007" spans="1:18" ht="15.75" customHeight="1">
      <c r="A4007" s="26"/>
      <c r="B4007" s="86"/>
      <c r="D4007" s="26"/>
      <c r="F4007" s="87" t="str">
        <f t="shared" si="0"/>
        <v/>
      </c>
      <c r="H4007" s="26" t="str">
        <f t="shared" si="1"/>
        <v/>
      </c>
      <c r="I4007" s="26" t="str">
        <f t="shared" si="2"/>
        <v/>
      </c>
      <c r="J4007" s="86">
        <f t="shared" si="3"/>
        <v>0</v>
      </c>
      <c r="R4007" s="26"/>
    </row>
    <row r="4008" spans="1:18" ht="15.75" customHeight="1">
      <c r="A4008" s="26"/>
      <c r="B4008" s="86"/>
      <c r="D4008" s="26"/>
      <c r="F4008" s="87" t="str">
        <f t="shared" si="0"/>
        <v/>
      </c>
      <c r="H4008" s="26" t="str">
        <f t="shared" si="1"/>
        <v/>
      </c>
      <c r="I4008" s="26" t="str">
        <f t="shared" si="2"/>
        <v/>
      </c>
      <c r="J4008" s="86">
        <f t="shared" si="3"/>
        <v>0</v>
      </c>
      <c r="R4008" s="26"/>
    </row>
    <row r="4009" spans="1:18" ht="15.75" customHeight="1">
      <c r="A4009" s="26"/>
      <c r="B4009" s="86"/>
      <c r="D4009" s="26"/>
      <c r="F4009" s="87" t="str">
        <f t="shared" si="0"/>
        <v/>
      </c>
      <c r="H4009" s="26" t="str">
        <f t="shared" si="1"/>
        <v/>
      </c>
      <c r="I4009" s="26" t="str">
        <f t="shared" si="2"/>
        <v/>
      </c>
      <c r="J4009" s="86">
        <f t="shared" si="3"/>
        <v>0</v>
      </c>
      <c r="R4009" s="26"/>
    </row>
    <row r="4010" spans="1:18" ht="15.75" customHeight="1">
      <c r="A4010" s="26"/>
      <c r="B4010" s="86"/>
      <c r="D4010" s="26"/>
      <c r="F4010" s="87" t="str">
        <f t="shared" si="0"/>
        <v/>
      </c>
      <c r="H4010" s="26" t="str">
        <f t="shared" si="1"/>
        <v/>
      </c>
      <c r="I4010" s="26" t="str">
        <f t="shared" si="2"/>
        <v/>
      </c>
      <c r="J4010" s="86">
        <f t="shared" si="3"/>
        <v>0</v>
      </c>
      <c r="R4010" s="26"/>
    </row>
    <row r="4011" spans="1:18" ht="15.75" customHeight="1">
      <c r="A4011" s="26"/>
      <c r="B4011" s="86"/>
      <c r="D4011" s="26"/>
      <c r="F4011" s="87" t="str">
        <f t="shared" si="0"/>
        <v/>
      </c>
      <c r="H4011" s="26" t="str">
        <f t="shared" si="1"/>
        <v/>
      </c>
      <c r="I4011" s="26" t="str">
        <f t="shared" si="2"/>
        <v/>
      </c>
      <c r="J4011" s="86">
        <f t="shared" si="3"/>
        <v>0</v>
      </c>
      <c r="R4011" s="26"/>
    </row>
    <row r="4012" spans="1:18" ht="15.75" customHeight="1">
      <c r="A4012" s="26"/>
      <c r="B4012" s="86"/>
      <c r="D4012" s="26"/>
      <c r="F4012" s="87" t="str">
        <f t="shared" si="0"/>
        <v/>
      </c>
      <c r="H4012" s="26" t="str">
        <f t="shared" si="1"/>
        <v/>
      </c>
      <c r="I4012" s="26" t="str">
        <f t="shared" si="2"/>
        <v/>
      </c>
      <c r="J4012" s="86">
        <f t="shared" si="3"/>
        <v>0</v>
      </c>
      <c r="R4012" s="26"/>
    </row>
    <row r="4013" spans="1:18" ht="15.75" customHeight="1">
      <c r="A4013" s="26"/>
      <c r="B4013" s="86"/>
      <c r="D4013" s="26"/>
      <c r="F4013" s="87" t="str">
        <f t="shared" si="0"/>
        <v/>
      </c>
      <c r="H4013" s="26" t="str">
        <f t="shared" si="1"/>
        <v/>
      </c>
      <c r="I4013" s="26" t="str">
        <f t="shared" si="2"/>
        <v/>
      </c>
      <c r="J4013" s="86">
        <f t="shared" si="3"/>
        <v>0</v>
      </c>
      <c r="R4013" s="26"/>
    </row>
    <row r="4014" spans="1:18" ht="15.75" customHeight="1">
      <c r="A4014" s="26"/>
      <c r="B4014" s="86"/>
      <c r="D4014" s="26"/>
      <c r="F4014" s="87" t="str">
        <f t="shared" si="0"/>
        <v/>
      </c>
      <c r="H4014" s="26" t="str">
        <f t="shared" si="1"/>
        <v/>
      </c>
      <c r="I4014" s="26" t="str">
        <f t="shared" si="2"/>
        <v/>
      </c>
      <c r="J4014" s="86">
        <f t="shared" si="3"/>
        <v>0</v>
      </c>
      <c r="R4014" s="26"/>
    </row>
    <row r="4015" spans="1:18" ht="15.75" customHeight="1">
      <c r="A4015" s="26"/>
      <c r="B4015" s="86"/>
      <c r="D4015" s="26"/>
      <c r="F4015" s="87" t="str">
        <f t="shared" si="0"/>
        <v/>
      </c>
      <c r="H4015" s="26" t="str">
        <f t="shared" si="1"/>
        <v/>
      </c>
      <c r="I4015" s="26" t="str">
        <f t="shared" si="2"/>
        <v/>
      </c>
      <c r="J4015" s="86">
        <f t="shared" si="3"/>
        <v>0</v>
      </c>
      <c r="R4015" s="26"/>
    </row>
    <row r="4016" spans="1:18" ht="15.75" customHeight="1">
      <c r="A4016" s="26"/>
      <c r="B4016" s="86"/>
      <c r="D4016" s="26"/>
      <c r="F4016" s="87" t="str">
        <f t="shared" si="0"/>
        <v/>
      </c>
      <c r="H4016" s="26" t="str">
        <f t="shared" si="1"/>
        <v/>
      </c>
      <c r="I4016" s="26" t="str">
        <f t="shared" si="2"/>
        <v/>
      </c>
      <c r="J4016" s="86">
        <f t="shared" si="3"/>
        <v>0</v>
      </c>
      <c r="R4016" s="26"/>
    </row>
    <row r="4017" spans="1:18" ht="15.75" customHeight="1">
      <c r="A4017" s="26"/>
      <c r="B4017" s="86"/>
      <c r="D4017" s="26"/>
      <c r="F4017" s="87" t="str">
        <f t="shared" si="0"/>
        <v/>
      </c>
      <c r="H4017" s="26" t="str">
        <f t="shared" si="1"/>
        <v/>
      </c>
      <c r="I4017" s="26" t="str">
        <f t="shared" si="2"/>
        <v/>
      </c>
      <c r="J4017" s="86">
        <f t="shared" si="3"/>
        <v>0</v>
      </c>
      <c r="R4017" s="26"/>
    </row>
    <row r="4018" spans="1:18" ht="15.75" customHeight="1">
      <c r="A4018" s="26"/>
      <c r="B4018" s="86"/>
      <c r="D4018" s="26"/>
      <c r="F4018" s="87" t="str">
        <f t="shared" si="0"/>
        <v/>
      </c>
      <c r="H4018" s="26" t="str">
        <f t="shared" si="1"/>
        <v/>
      </c>
      <c r="I4018" s="26" t="str">
        <f t="shared" si="2"/>
        <v/>
      </c>
      <c r="J4018" s="86">
        <f t="shared" si="3"/>
        <v>0</v>
      </c>
      <c r="R4018" s="26"/>
    </row>
    <row r="4019" spans="1:18" ht="15.75" customHeight="1">
      <c r="A4019" s="26"/>
      <c r="B4019" s="86"/>
      <c r="D4019" s="26"/>
      <c r="F4019" s="87" t="str">
        <f t="shared" si="0"/>
        <v/>
      </c>
      <c r="H4019" s="26" t="str">
        <f t="shared" si="1"/>
        <v/>
      </c>
      <c r="I4019" s="26" t="str">
        <f t="shared" si="2"/>
        <v/>
      </c>
      <c r="J4019" s="86">
        <f t="shared" si="3"/>
        <v>0</v>
      </c>
      <c r="R4019" s="26"/>
    </row>
    <row r="4020" spans="1:18" ht="15.75" customHeight="1">
      <c r="A4020" s="26"/>
      <c r="B4020" s="86"/>
      <c r="D4020" s="26"/>
      <c r="F4020" s="87" t="str">
        <f t="shared" si="0"/>
        <v/>
      </c>
      <c r="H4020" s="26" t="str">
        <f t="shared" si="1"/>
        <v/>
      </c>
      <c r="I4020" s="26" t="str">
        <f t="shared" si="2"/>
        <v/>
      </c>
      <c r="J4020" s="86">
        <f t="shared" si="3"/>
        <v>0</v>
      </c>
      <c r="R4020" s="26"/>
    </row>
    <row r="4021" spans="1:18" ht="15.75" customHeight="1">
      <c r="A4021" s="26"/>
      <c r="B4021" s="86"/>
      <c r="D4021" s="26"/>
      <c r="F4021" s="87" t="str">
        <f t="shared" si="0"/>
        <v/>
      </c>
      <c r="H4021" s="26" t="str">
        <f t="shared" si="1"/>
        <v/>
      </c>
      <c r="I4021" s="26" t="str">
        <f t="shared" si="2"/>
        <v/>
      </c>
      <c r="J4021" s="86">
        <f t="shared" si="3"/>
        <v>0</v>
      </c>
      <c r="R4021" s="26"/>
    </row>
    <row r="4022" spans="1:18" ht="15.75" customHeight="1">
      <c r="A4022" s="26"/>
      <c r="B4022" s="86"/>
      <c r="D4022" s="26"/>
      <c r="F4022" s="87" t="str">
        <f t="shared" si="0"/>
        <v/>
      </c>
      <c r="H4022" s="26" t="str">
        <f t="shared" si="1"/>
        <v/>
      </c>
      <c r="I4022" s="26" t="str">
        <f t="shared" si="2"/>
        <v/>
      </c>
      <c r="J4022" s="86">
        <f t="shared" si="3"/>
        <v>0</v>
      </c>
      <c r="R4022" s="26"/>
    </row>
    <row r="4023" spans="1:18" ht="15.75" customHeight="1">
      <c r="A4023" s="26"/>
      <c r="B4023" s="86"/>
      <c r="D4023" s="26"/>
      <c r="F4023" s="87" t="str">
        <f t="shared" si="0"/>
        <v/>
      </c>
      <c r="H4023" s="26" t="str">
        <f t="shared" si="1"/>
        <v/>
      </c>
      <c r="I4023" s="26" t="str">
        <f t="shared" si="2"/>
        <v/>
      </c>
      <c r="J4023" s="86">
        <f t="shared" si="3"/>
        <v>0</v>
      </c>
      <c r="R4023" s="26"/>
    </row>
    <row r="4024" spans="1:18" ht="15.75" customHeight="1">
      <c r="A4024" s="26"/>
      <c r="B4024" s="86"/>
      <c r="D4024" s="26"/>
      <c r="F4024" s="87" t="str">
        <f t="shared" si="0"/>
        <v/>
      </c>
      <c r="H4024" s="26" t="str">
        <f t="shared" si="1"/>
        <v/>
      </c>
      <c r="I4024" s="26" t="str">
        <f t="shared" si="2"/>
        <v/>
      </c>
      <c r="J4024" s="86">
        <f t="shared" si="3"/>
        <v>0</v>
      </c>
      <c r="R4024" s="26"/>
    </row>
    <row r="4025" spans="1:18" ht="15.75" customHeight="1">
      <c r="A4025" s="26"/>
      <c r="B4025" s="86"/>
      <c r="D4025" s="26"/>
      <c r="F4025" s="87" t="str">
        <f t="shared" si="0"/>
        <v/>
      </c>
      <c r="H4025" s="26" t="str">
        <f t="shared" si="1"/>
        <v/>
      </c>
      <c r="I4025" s="26" t="str">
        <f t="shared" si="2"/>
        <v/>
      </c>
      <c r="J4025" s="86">
        <f t="shared" si="3"/>
        <v>0</v>
      </c>
      <c r="R4025" s="26"/>
    </row>
    <row r="4026" spans="1:18" ht="15.75" customHeight="1">
      <c r="A4026" s="26"/>
      <c r="B4026" s="86"/>
      <c r="D4026" s="26"/>
      <c r="F4026" s="87" t="str">
        <f t="shared" si="0"/>
        <v/>
      </c>
      <c r="H4026" s="26" t="str">
        <f t="shared" si="1"/>
        <v/>
      </c>
      <c r="I4026" s="26" t="str">
        <f t="shared" si="2"/>
        <v/>
      </c>
      <c r="J4026" s="86">
        <f t="shared" si="3"/>
        <v>0</v>
      </c>
      <c r="R4026" s="26"/>
    </row>
    <row r="4027" spans="1:18" ht="15.75" customHeight="1">
      <c r="A4027" s="26"/>
      <c r="B4027" s="86"/>
      <c r="D4027" s="26"/>
      <c r="F4027" s="87" t="str">
        <f t="shared" si="0"/>
        <v/>
      </c>
      <c r="H4027" s="26" t="str">
        <f t="shared" si="1"/>
        <v/>
      </c>
      <c r="I4027" s="26" t="str">
        <f t="shared" si="2"/>
        <v/>
      </c>
      <c r="J4027" s="86">
        <f t="shared" si="3"/>
        <v>0</v>
      </c>
      <c r="R4027" s="26"/>
    </row>
    <row r="4028" spans="1:18" ht="15.75" customHeight="1">
      <c r="A4028" s="26"/>
      <c r="B4028" s="86"/>
      <c r="D4028" s="26"/>
      <c r="F4028" s="87" t="str">
        <f t="shared" si="0"/>
        <v/>
      </c>
      <c r="H4028" s="26" t="str">
        <f t="shared" si="1"/>
        <v/>
      </c>
      <c r="I4028" s="26" t="str">
        <f t="shared" si="2"/>
        <v/>
      </c>
      <c r="J4028" s="86">
        <f t="shared" si="3"/>
        <v>0</v>
      </c>
      <c r="R4028" s="26"/>
    </row>
    <row r="4029" spans="1:18" ht="15.75" customHeight="1">
      <c r="A4029" s="26"/>
      <c r="B4029" s="86"/>
      <c r="D4029" s="26"/>
      <c r="F4029" s="87" t="str">
        <f t="shared" si="0"/>
        <v/>
      </c>
      <c r="H4029" s="26" t="str">
        <f t="shared" si="1"/>
        <v/>
      </c>
      <c r="I4029" s="26" t="str">
        <f t="shared" si="2"/>
        <v/>
      </c>
      <c r="J4029" s="86">
        <f t="shared" si="3"/>
        <v>0</v>
      </c>
      <c r="R4029" s="26"/>
    </row>
    <row r="4030" spans="1:18" ht="15.75" customHeight="1">
      <c r="A4030" s="26"/>
      <c r="B4030" s="86"/>
      <c r="D4030" s="26"/>
      <c r="F4030" s="87" t="str">
        <f t="shared" si="0"/>
        <v/>
      </c>
      <c r="H4030" s="26" t="str">
        <f t="shared" si="1"/>
        <v/>
      </c>
      <c r="I4030" s="26" t="str">
        <f t="shared" si="2"/>
        <v/>
      </c>
      <c r="J4030" s="86">
        <f t="shared" si="3"/>
        <v>0</v>
      </c>
      <c r="R4030" s="26"/>
    </row>
    <row r="4031" spans="1:18" ht="15.75" customHeight="1">
      <c r="A4031" s="26"/>
      <c r="B4031" s="86"/>
      <c r="D4031" s="26"/>
      <c r="F4031" s="87" t="str">
        <f t="shared" si="0"/>
        <v/>
      </c>
      <c r="H4031" s="26" t="str">
        <f t="shared" si="1"/>
        <v/>
      </c>
      <c r="I4031" s="26" t="str">
        <f t="shared" si="2"/>
        <v/>
      </c>
      <c r="J4031" s="86">
        <f t="shared" si="3"/>
        <v>0</v>
      </c>
      <c r="R4031" s="26"/>
    </row>
    <row r="4032" spans="1:18" ht="15.75" customHeight="1">
      <c r="A4032" s="26"/>
      <c r="B4032" s="86"/>
      <c r="D4032" s="26"/>
      <c r="F4032" s="87" t="str">
        <f t="shared" si="0"/>
        <v/>
      </c>
      <c r="H4032" s="26" t="str">
        <f t="shared" si="1"/>
        <v/>
      </c>
      <c r="I4032" s="26" t="str">
        <f t="shared" si="2"/>
        <v/>
      </c>
      <c r="J4032" s="86">
        <f t="shared" si="3"/>
        <v>0</v>
      </c>
      <c r="R4032" s="26"/>
    </row>
    <row r="4033" spans="1:18" ht="15.75" customHeight="1">
      <c r="A4033" s="26"/>
      <c r="B4033" s="86"/>
      <c r="D4033" s="26"/>
      <c r="F4033" s="87" t="str">
        <f t="shared" si="0"/>
        <v/>
      </c>
      <c r="H4033" s="26" t="str">
        <f t="shared" si="1"/>
        <v/>
      </c>
      <c r="I4033" s="26" t="str">
        <f t="shared" si="2"/>
        <v/>
      </c>
      <c r="J4033" s="86">
        <f t="shared" si="3"/>
        <v>0</v>
      </c>
      <c r="R4033" s="26"/>
    </row>
    <row r="4034" spans="1:18" ht="15.75" customHeight="1">
      <c r="A4034" s="26"/>
      <c r="B4034" s="86"/>
      <c r="D4034" s="26"/>
      <c r="F4034" s="87" t="str">
        <f t="shared" si="0"/>
        <v/>
      </c>
      <c r="H4034" s="26" t="str">
        <f t="shared" si="1"/>
        <v/>
      </c>
      <c r="I4034" s="26" t="str">
        <f t="shared" si="2"/>
        <v/>
      </c>
      <c r="J4034" s="86">
        <f t="shared" si="3"/>
        <v>0</v>
      </c>
      <c r="R4034" s="26"/>
    </row>
    <row r="4035" spans="1:18" ht="15.75" customHeight="1">
      <c r="A4035" s="26"/>
      <c r="B4035" s="86"/>
      <c r="D4035" s="26"/>
      <c r="F4035" s="87" t="str">
        <f t="shared" si="0"/>
        <v/>
      </c>
      <c r="H4035" s="26" t="str">
        <f t="shared" si="1"/>
        <v/>
      </c>
      <c r="I4035" s="26" t="str">
        <f t="shared" si="2"/>
        <v/>
      </c>
      <c r="J4035" s="86">
        <f t="shared" si="3"/>
        <v>0</v>
      </c>
      <c r="R4035" s="26"/>
    </row>
    <row r="4036" spans="1:18" ht="15.75" customHeight="1">
      <c r="A4036" s="26"/>
      <c r="B4036" s="86"/>
      <c r="D4036" s="26"/>
      <c r="F4036" s="87" t="str">
        <f t="shared" si="0"/>
        <v/>
      </c>
      <c r="H4036" s="26" t="str">
        <f t="shared" si="1"/>
        <v/>
      </c>
      <c r="I4036" s="26" t="str">
        <f t="shared" si="2"/>
        <v/>
      </c>
      <c r="J4036" s="86">
        <f t="shared" si="3"/>
        <v>0</v>
      </c>
      <c r="R4036" s="26"/>
    </row>
    <row r="4037" spans="1:18" ht="15.75" customHeight="1">
      <c r="A4037" s="26"/>
      <c r="B4037" s="86"/>
      <c r="D4037" s="26"/>
      <c r="F4037" s="87" t="str">
        <f t="shared" si="0"/>
        <v/>
      </c>
      <c r="H4037" s="26" t="str">
        <f t="shared" si="1"/>
        <v/>
      </c>
      <c r="I4037" s="26" t="str">
        <f t="shared" si="2"/>
        <v/>
      </c>
      <c r="J4037" s="86">
        <f t="shared" si="3"/>
        <v>0</v>
      </c>
      <c r="R4037" s="26"/>
    </row>
    <row r="4038" spans="1:18" ht="15.75" customHeight="1">
      <c r="A4038" s="26"/>
      <c r="B4038" s="86"/>
      <c r="D4038" s="26"/>
      <c r="F4038" s="87" t="str">
        <f t="shared" si="0"/>
        <v/>
      </c>
      <c r="H4038" s="26" t="str">
        <f t="shared" si="1"/>
        <v/>
      </c>
      <c r="I4038" s="26" t="str">
        <f t="shared" si="2"/>
        <v/>
      </c>
      <c r="J4038" s="86">
        <f t="shared" si="3"/>
        <v>0</v>
      </c>
      <c r="R4038" s="26"/>
    </row>
    <row r="4039" spans="1:18" ht="15.75" customHeight="1">
      <c r="A4039" s="26"/>
      <c r="B4039" s="86"/>
      <c r="D4039" s="26"/>
      <c r="F4039" s="87" t="str">
        <f t="shared" si="0"/>
        <v/>
      </c>
      <c r="H4039" s="26" t="str">
        <f t="shared" si="1"/>
        <v/>
      </c>
      <c r="I4039" s="26" t="str">
        <f t="shared" si="2"/>
        <v/>
      </c>
      <c r="J4039" s="86">
        <f t="shared" si="3"/>
        <v>0</v>
      </c>
      <c r="R4039" s="26"/>
    </row>
    <row r="4040" spans="1:18" ht="15.75" customHeight="1">
      <c r="A4040" s="26"/>
      <c r="B4040" s="86"/>
      <c r="D4040" s="26"/>
      <c r="F4040" s="87" t="str">
        <f t="shared" si="0"/>
        <v/>
      </c>
      <c r="H4040" s="26" t="str">
        <f t="shared" si="1"/>
        <v/>
      </c>
      <c r="I4040" s="26" t="str">
        <f t="shared" si="2"/>
        <v/>
      </c>
      <c r="J4040" s="86">
        <f t="shared" si="3"/>
        <v>0</v>
      </c>
      <c r="R4040" s="26"/>
    </row>
    <row r="4041" spans="1:18" ht="15.75" customHeight="1">
      <c r="A4041" s="26"/>
      <c r="B4041" s="86"/>
      <c r="D4041" s="26"/>
      <c r="F4041" s="87" t="str">
        <f t="shared" si="0"/>
        <v/>
      </c>
      <c r="H4041" s="26" t="str">
        <f t="shared" si="1"/>
        <v/>
      </c>
      <c r="I4041" s="26" t="str">
        <f t="shared" si="2"/>
        <v/>
      </c>
      <c r="J4041" s="86">
        <f t="shared" si="3"/>
        <v>0</v>
      </c>
      <c r="R4041" s="26"/>
    </row>
    <row r="4042" spans="1:18" ht="15.75" customHeight="1">
      <c r="A4042" s="26"/>
      <c r="B4042" s="86"/>
      <c r="D4042" s="26"/>
      <c r="F4042" s="87" t="str">
        <f t="shared" si="0"/>
        <v/>
      </c>
      <c r="H4042" s="26" t="str">
        <f t="shared" si="1"/>
        <v/>
      </c>
      <c r="I4042" s="26" t="str">
        <f t="shared" si="2"/>
        <v/>
      </c>
      <c r="J4042" s="86">
        <f t="shared" si="3"/>
        <v>0</v>
      </c>
      <c r="R4042" s="26"/>
    </row>
    <row r="4043" spans="1:18" ht="15.75" customHeight="1">
      <c r="A4043" s="26"/>
      <c r="B4043" s="86"/>
      <c r="D4043" s="26"/>
      <c r="F4043" s="87" t="str">
        <f t="shared" si="0"/>
        <v/>
      </c>
      <c r="H4043" s="26" t="str">
        <f t="shared" si="1"/>
        <v/>
      </c>
      <c r="I4043" s="26" t="str">
        <f t="shared" si="2"/>
        <v/>
      </c>
      <c r="J4043" s="86">
        <f t="shared" si="3"/>
        <v>0</v>
      </c>
      <c r="R4043" s="26"/>
    </row>
    <row r="4044" spans="1:18" ht="15.75" customHeight="1">
      <c r="A4044" s="26"/>
      <c r="B4044" s="86"/>
      <c r="D4044" s="26"/>
      <c r="F4044" s="87" t="str">
        <f t="shared" si="0"/>
        <v/>
      </c>
      <c r="H4044" s="26" t="str">
        <f t="shared" si="1"/>
        <v/>
      </c>
      <c r="I4044" s="26" t="str">
        <f t="shared" si="2"/>
        <v/>
      </c>
      <c r="J4044" s="86">
        <f t="shared" si="3"/>
        <v>0</v>
      </c>
      <c r="R4044" s="26"/>
    </row>
    <row r="4045" spans="1:18" ht="15.75" customHeight="1">
      <c r="A4045" s="26"/>
      <c r="B4045" s="86"/>
      <c r="D4045" s="26"/>
      <c r="F4045" s="87" t="str">
        <f t="shared" si="0"/>
        <v/>
      </c>
      <c r="H4045" s="26" t="str">
        <f t="shared" si="1"/>
        <v/>
      </c>
      <c r="I4045" s="26" t="str">
        <f t="shared" si="2"/>
        <v/>
      </c>
      <c r="J4045" s="86">
        <f t="shared" si="3"/>
        <v>0</v>
      </c>
      <c r="R4045" s="26"/>
    </row>
    <row r="4046" spans="1:18" ht="15.75" customHeight="1">
      <c r="A4046" s="26"/>
      <c r="B4046" s="86"/>
      <c r="D4046" s="26"/>
      <c r="F4046" s="87" t="str">
        <f t="shared" si="0"/>
        <v/>
      </c>
      <c r="H4046" s="26" t="str">
        <f t="shared" si="1"/>
        <v/>
      </c>
      <c r="I4046" s="26" t="str">
        <f t="shared" si="2"/>
        <v/>
      </c>
      <c r="J4046" s="86">
        <f t="shared" si="3"/>
        <v>0</v>
      </c>
      <c r="R4046" s="26"/>
    </row>
    <row r="4047" spans="1:18" ht="15.75" customHeight="1">
      <c r="A4047" s="26"/>
      <c r="B4047" s="86"/>
      <c r="D4047" s="26"/>
      <c r="F4047" s="87" t="str">
        <f t="shared" si="0"/>
        <v/>
      </c>
      <c r="H4047" s="26" t="str">
        <f t="shared" si="1"/>
        <v/>
      </c>
      <c r="I4047" s="26" t="str">
        <f t="shared" si="2"/>
        <v/>
      </c>
      <c r="J4047" s="86">
        <f t="shared" si="3"/>
        <v>0</v>
      </c>
      <c r="R4047" s="26"/>
    </row>
    <row r="4048" spans="1:18" ht="15.75" customHeight="1">
      <c r="A4048" s="26"/>
      <c r="B4048" s="86"/>
      <c r="D4048" s="26"/>
      <c r="F4048" s="87" t="str">
        <f t="shared" si="0"/>
        <v/>
      </c>
      <c r="H4048" s="26" t="str">
        <f t="shared" si="1"/>
        <v/>
      </c>
      <c r="I4048" s="26" t="str">
        <f t="shared" si="2"/>
        <v/>
      </c>
      <c r="J4048" s="86">
        <f t="shared" si="3"/>
        <v>0</v>
      </c>
      <c r="R4048" s="26"/>
    </row>
    <row r="4049" spans="1:18" ht="15.75" customHeight="1">
      <c r="A4049" s="26"/>
      <c r="B4049" s="86"/>
      <c r="D4049" s="26"/>
      <c r="F4049" s="87" t="str">
        <f t="shared" si="0"/>
        <v/>
      </c>
      <c r="H4049" s="26" t="str">
        <f t="shared" si="1"/>
        <v/>
      </c>
      <c r="I4049" s="26" t="str">
        <f t="shared" si="2"/>
        <v/>
      </c>
      <c r="J4049" s="86">
        <f t="shared" si="3"/>
        <v>0</v>
      </c>
      <c r="R4049" s="26"/>
    </row>
    <row r="4050" spans="1:18" ht="15.75" customHeight="1">
      <c r="A4050" s="26"/>
      <c r="B4050" s="86"/>
      <c r="D4050" s="26"/>
      <c r="F4050" s="87" t="str">
        <f t="shared" si="0"/>
        <v/>
      </c>
      <c r="H4050" s="26" t="str">
        <f t="shared" si="1"/>
        <v/>
      </c>
      <c r="I4050" s="26" t="str">
        <f t="shared" si="2"/>
        <v/>
      </c>
      <c r="J4050" s="86">
        <f t="shared" si="3"/>
        <v>0</v>
      </c>
      <c r="R4050" s="26"/>
    </row>
    <row r="4051" spans="1:18" ht="15.75" customHeight="1">
      <c r="A4051" s="26"/>
      <c r="B4051" s="86"/>
      <c r="D4051" s="26"/>
      <c r="F4051" s="87" t="str">
        <f t="shared" si="0"/>
        <v/>
      </c>
      <c r="H4051" s="26" t="str">
        <f t="shared" si="1"/>
        <v/>
      </c>
      <c r="I4051" s="26" t="str">
        <f t="shared" si="2"/>
        <v/>
      </c>
      <c r="J4051" s="86">
        <f t="shared" si="3"/>
        <v>0</v>
      </c>
      <c r="R4051" s="26"/>
    </row>
    <row r="4052" spans="1:18" ht="15.75" customHeight="1">
      <c r="A4052" s="26"/>
      <c r="B4052" s="86"/>
      <c r="D4052" s="26"/>
      <c r="F4052" s="87" t="str">
        <f t="shared" si="0"/>
        <v/>
      </c>
      <c r="H4052" s="26" t="str">
        <f t="shared" si="1"/>
        <v/>
      </c>
      <c r="I4052" s="26" t="str">
        <f t="shared" si="2"/>
        <v/>
      </c>
      <c r="J4052" s="86">
        <f t="shared" si="3"/>
        <v>0</v>
      </c>
      <c r="R4052" s="26"/>
    </row>
    <row r="4053" spans="1:18" ht="15.75" customHeight="1">
      <c r="A4053" s="26"/>
      <c r="B4053" s="86"/>
      <c r="D4053" s="26"/>
      <c r="F4053" s="87" t="str">
        <f t="shared" si="0"/>
        <v/>
      </c>
      <c r="H4053" s="26" t="str">
        <f t="shared" si="1"/>
        <v/>
      </c>
      <c r="I4053" s="26" t="str">
        <f t="shared" si="2"/>
        <v/>
      </c>
      <c r="J4053" s="86">
        <f t="shared" si="3"/>
        <v>0</v>
      </c>
      <c r="R4053" s="26"/>
    </row>
    <row r="4054" spans="1:18" ht="15.75" customHeight="1">
      <c r="A4054" s="26"/>
      <c r="B4054" s="86"/>
      <c r="D4054" s="26"/>
      <c r="F4054" s="87" t="str">
        <f t="shared" si="0"/>
        <v/>
      </c>
      <c r="H4054" s="26" t="str">
        <f t="shared" si="1"/>
        <v/>
      </c>
      <c r="I4054" s="26" t="str">
        <f t="shared" si="2"/>
        <v/>
      </c>
      <c r="J4054" s="86">
        <f t="shared" si="3"/>
        <v>0</v>
      </c>
      <c r="R4054" s="26"/>
    </row>
    <row r="4055" spans="1:18" ht="15.75" customHeight="1">
      <c r="A4055" s="26"/>
      <c r="B4055" s="86"/>
      <c r="D4055" s="26"/>
      <c r="F4055" s="87" t="str">
        <f t="shared" si="0"/>
        <v/>
      </c>
      <c r="H4055" s="26" t="str">
        <f t="shared" si="1"/>
        <v/>
      </c>
      <c r="I4055" s="26" t="str">
        <f t="shared" si="2"/>
        <v/>
      </c>
      <c r="J4055" s="86">
        <f t="shared" si="3"/>
        <v>0</v>
      </c>
      <c r="R4055" s="26"/>
    </row>
    <row r="4056" spans="1:18" ht="15.75" customHeight="1">
      <c r="A4056" s="26"/>
      <c r="B4056" s="86"/>
      <c r="D4056" s="26"/>
      <c r="F4056" s="87" t="str">
        <f t="shared" si="0"/>
        <v/>
      </c>
      <c r="H4056" s="26" t="str">
        <f t="shared" si="1"/>
        <v/>
      </c>
      <c r="I4056" s="26" t="str">
        <f t="shared" si="2"/>
        <v/>
      </c>
      <c r="J4056" s="86">
        <f t="shared" si="3"/>
        <v>0</v>
      </c>
      <c r="R4056" s="26"/>
    </row>
    <row r="4057" spans="1:18" ht="15.75" customHeight="1">
      <c r="A4057" s="26"/>
      <c r="B4057" s="86"/>
      <c r="D4057" s="26"/>
      <c r="F4057" s="87" t="str">
        <f t="shared" si="0"/>
        <v/>
      </c>
      <c r="H4057" s="26" t="str">
        <f t="shared" si="1"/>
        <v/>
      </c>
      <c r="I4057" s="26" t="str">
        <f t="shared" si="2"/>
        <v/>
      </c>
      <c r="J4057" s="86">
        <f t="shared" si="3"/>
        <v>0</v>
      </c>
      <c r="R4057" s="26"/>
    </row>
    <row r="4058" spans="1:18" ht="15.75" customHeight="1">
      <c r="A4058" s="26"/>
      <c r="B4058" s="86"/>
      <c r="D4058" s="26"/>
      <c r="F4058" s="87" t="str">
        <f t="shared" si="0"/>
        <v/>
      </c>
      <c r="H4058" s="26" t="str">
        <f t="shared" si="1"/>
        <v/>
      </c>
      <c r="I4058" s="26" t="str">
        <f t="shared" si="2"/>
        <v/>
      </c>
      <c r="J4058" s="86">
        <f t="shared" si="3"/>
        <v>0</v>
      </c>
      <c r="R4058" s="26"/>
    </row>
    <row r="4059" spans="1:18" ht="15.75" customHeight="1">
      <c r="A4059" s="26"/>
      <c r="B4059" s="86"/>
      <c r="D4059" s="26"/>
      <c r="F4059" s="87" t="str">
        <f t="shared" si="0"/>
        <v/>
      </c>
      <c r="H4059" s="26" t="str">
        <f t="shared" si="1"/>
        <v/>
      </c>
      <c r="I4059" s="26" t="str">
        <f t="shared" si="2"/>
        <v/>
      </c>
      <c r="J4059" s="86">
        <f t="shared" si="3"/>
        <v>0</v>
      </c>
      <c r="R4059" s="26"/>
    </row>
    <row r="4060" spans="1:18" ht="15.75" customHeight="1">
      <c r="A4060" s="26"/>
      <c r="B4060" s="86"/>
      <c r="D4060" s="26"/>
      <c r="F4060" s="87" t="str">
        <f t="shared" si="0"/>
        <v/>
      </c>
      <c r="H4060" s="26" t="str">
        <f t="shared" si="1"/>
        <v/>
      </c>
      <c r="I4060" s="26" t="str">
        <f t="shared" si="2"/>
        <v/>
      </c>
      <c r="J4060" s="86">
        <f t="shared" si="3"/>
        <v>0</v>
      </c>
      <c r="R4060" s="26"/>
    </row>
    <row r="4061" spans="1:18" ht="15.75" customHeight="1">
      <c r="A4061" s="26"/>
      <c r="B4061" s="86"/>
      <c r="D4061" s="26"/>
      <c r="F4061" s="87" t="str">
        <f t="shared" si="0"/>
        <v/>
      </c>
      <c r="H4061" s="26" t="str">
        <f t="shared" si="1"/>
        <v/>
      </c>
      <c r="I4061" s="26" t="str">
        <f t="shared" si="2"/>
        <v/>
      </c>
      <c r="J4061" s="86">
        <f t="shared" si="3"/>
        <v>0</v>
      </c>
      <c r="R4061" s="26"/>
    </row>
    <row r="4062" spans="1:18" ht="15.75" customHeight="1">
      <c r="A4062" s="26"/>
      <c r="B4062" s="86"/>
      <c r="D4062" s="26"/>
      <c r="F4062" s="87" t="str">
        <f t="shared" si="0"/>
        <v/>
      </c>
      <c r="H4062" s="26" t="str">
        <f t="shared" si="1"/>
        <v/>
      </c>
      <c r="I4062" s="26" t="str">
        <f t="shared" si="2"/>
        <v/>
      </c>
      <c r="J4062" s="86">
        <f t="shared" si="3"/>
        <v>0</v>
      </c>
      <c r="R4062" s="26"/>
    </row>
    <row r="4063" spans="1:18" ht="15.75" customHeight="1">
      <c r="A4063" s="26"/>
      <c r="B4063" s="86"/>
      <c r="D4063" s="26"/>
      <c r="F4063" s="87" t="str">
        <f t="shared" si="0"/>
        <v/>
      </c>
      <c r="H4063" s="26" t="str">
        <f t="shared" si="1"/>
        <v/>
      </c>
      <c r="I4063" s="26" t="str">
        <f t="shared" si="2"/>
        <v/>
      </c>
      <c r="J4063" s="86">
        <f t="shared" si="3"/>
        <v>0</v>
      </c>
      <c r="R4063" s="26"/>
    </row>
    <row r="4064" spans="1:18" ht="15.75" customHeight="1">
      <c r="A4064" s="26"/>
      <c r="B4064" s="86"/>
      <c r="D4064" s="26"/>
      <c r="F4064" s="87" t="str">
        <f t="shared" si="0"/>
        <v/>
      </c>
      <c r="H4064" s="26" t="str">
        <f t="shared" si="1"/>
        <v/>
      </c>
      <c r="I4064" s="26" t="str">
        <f t="shared" si="2"/>
        <v/>
      </c>
      <c r="J4064" s="86">
        <f t="shared" si="3"/>
        <v>0</v>
      </c>
      <c r="R4064" s="26"/>
    </row>
    <row r="4065" spans="1:18" ht="15.75" customHeight="1">
      <c r="A4065" s="26"/>
      <c r="B4065" s="86"/>
      <c r="D4065" s="26"/>
      <c r="F4065" s="87" t="str">
        <f t="shared" si="0"/>
        <v/>
      </c>
      <c r="H4065" s="26" t="str">
        <f t="shared" si="1"/>
        <v/>
      </c>
      <c r="I4065" s="26" t="str">
        <f t="shared" si="2"/>
        <v/>
      </c>
      <c r="J4065" s="86">
        <f t="shared" si="3"/>
        <v>0</v>
      </c>
      <c r="R4065" s="26"/>
    </row>
    <row r="4066" spans="1:18" ht="15.75" customHeight="1">
      <c r="A4066" s="26"/>
      <c r="B4066" s="86"/>
      <c r="D4066" s="26"/>
      <c r="F4066" s="87" t="str">
        <f t="shared" si="0"/>
        <v/>
      </c>
      <c r="H4066" s="26" t="str">
        <f t="shared" si="1"/>
        <v/>
      </c>
      <c r="I4066" s="26" t="str">
        <f t="shared" si="2"/>
        <v/>
      </c>
      <c r="J4066" s="86">
        <f t="shared" si="3"/>
        <v>0</v>
      </c>
      <c r="R4066" s="26"/>
    </row>
    <row r="4067" spans="1:18" ht="15.75" customHeight="1">
      <c r="A4067" s="26"/>
      <c r="B4067" s="86"/>
      <c r="D4067" s="26"/>
      <c r="F4067" s="87" t="str">
        <f t="shared" si="0"/>
        <v/>
      </c>
      <c r="H4067" s="26" t="str">
        <f t="shared" si="1"/>
        <v/>
      </c>
      <c r="I4067" s="26" t="str">
        <f t="shared" si="2"/>
        <v/>
      </c>
      <c r="J4067" s="86">
        <f t="shared" si="3"/>
        <v>0</v>
      </c>
      <c r="R4067" s="26"/>
    </row>
    <row r="4068" spans="1:18" ht="15.75" customHeight="1">
      <c r="A4068" s="26"/>
      <c r="B4068" s="86"/>
      <c r="D4068" s="26"/>
      <c r="F4068" s="87" t="str">
        <f t="shared" si="0"/>
        <v/>
      </c>
      <c r="H4068" s="26" t="str">
        <f t="shared" si="1"/>
        <v/>
      </c>
      <c r="I4068" s="26" t="str">
        <f t="shared" si="2"/>
        <v/>
      </c>
      <c r="J4068" s="86">
        <f t="shared" si="3"/>
        <v>0</v>
      </c>
      <c r="R4068" s="26"/>
    </row>
    <row r="4069" spans="1:18" ht="15.75" customHeight="1">
      <c r="A4069" s="26"/>
      <c r="B4069" s="86"/>
      <c r="D4069" s="26"/>
      <c r="F4069" s="87" t="str">
        <f t="shared" si="0"/>
        <v/>
      </c>
      <c r="H4069" s="26" t="str">
        <f t="shared" si="1"/>
        <v/>
      </c>
      <c r="I4069" s="26" t="str">
        <f t="shared" si="2"/>
        <v/>
      </c>
      <c r="J4069" s="86">
        <f t="shared" si="3"/>
        <v>0</v>
      </c>
      <c r="R4069" s="26"/>
    </row>
    <row r="4070" spans="1:18" ht="15.75" customHeight="1">
      <c r="A4070" s="26"/>
      <c r="B4070" s="86"/>
      <c r="D4070" s="26"/>
      <c r="F4070" s="87" t="str">
        <f t="shared" si="0"/>
        <v/>
      </c>
      <c r="H4070" s="26" t="str">
        <f t="shared" si="1"/>
        <v/>
      </c>
      <c r="I4070" s="26" t="str">
        <f t="shared" si="2"/>
        <v/>
      </c>
      <c r="J4070" s="86">
        <f t="shared" si="3"/>
        <v>0</v>
      </c>
      <c r="R4070" s="26"/>
    </row>
    <row r="4071" spans="1:18" ht="15.75" customHeight="1">
      <c r="A4071" s="26"/>
      <c r="B4071" s="86"/>
      <c r="D4071" s="26"/>
      <c r="F4071" s="87" t="str">
        <f t="shared" si="0"/>
        <v/>
      </c>
      <c r="H4071" s="26" t="str">
        <f t="shared" si="1"/>
        <v/>
      </c>
      <c r="I4071" s="26" t="str">
        <f t="shared" si="2"/>
        <v/>
      </c>
      <c r="J4071" s="86">
        <f t="shared" si="3"/>
        <v>0</v>
      </c>
      <c r="R4071" s="26"/>
    </row>
    <row r="4072" spans="1:18" ht="15.75" customHeight="1">
      <c r="A4072" s="26"/>
      <c r="B4072" s="86"/>
      <c r="D4072" s="26"/>
      <c r="F4072" s="87" t="str">
        <f t="shared" si="0"/>
        <v/>
      </c>
      <c r="H4072" s="26" t="str">
        <f t="shared" si="1"/>
        <v/>
      </c>
      <c r="I4072" s="26" t="str">
        <f t="shared" si="2"/>
        <v/>
      </c>
      <c r="J4072" s="86">
        <f t="shared" si="3"/>
        <v>0</v>
      </c>
      <c r="R4072" s="26"/>
    </row>
    <row r="4073" spans="1:18" ht="15.75" customHeight="1">
      <c r="A4073" s="26"/>
      <c r="B4073" s="86"/>
      <c r="D4073" s="26"/>
      <c r="F4073" s="87" t="str">
        <f t="shared" si="0"/>
        <v/>
      </c>
      <c r="H4073" s="26" t="str">
        <f t="shared" si="1"/>
        <v/>
      </c>
      <c r="I4073" s="26" t="str">
        <f t="shared" si="2"/>
        <v/>
      </c>
      <c r="J4073" s="86">
        <f t="shared" si="3"/>
        <v>0</v>
      </c>
      <c r="R4073" s="26"/>
    </row>
    <row r="4074" spans="1:18" ht="15.75" customHeight="1">
      <c r="A4074" s="26"/>
      <c r="B4074" s="86"/>
      <c r="D4074" s="26"/>
      <c r="F4074" s="87" t="str">
        <f t="shared" si="0"/>
        <v/>
      </c>
      <c r="H4074" s="26" t="str">
        <f t="shared" si="1"/>
        <v/>
      </c>
      <c r="I4074" s="26" t="str">
        <f t="shared" si="2"/>
        <v/>
      </c>
      <c r="J4074" s="86">
        <f t="shared" si="3"/>
        <v>0</v>
      </c>
      <c r="R4074" s="26"/>
    </row>
    <row r="4075" spans="1:18" ht="15.75" customHeight="1">
      <c r="A4075" s="26"/>
      <c r="B4075" s="86"/>
      <c r="D4075" s="26"/>
      <c r="F4075" s="87" t="str">
        <f t="shared" si="0"/>
        <v/>
      </c>
      <c r="H4075" s="26" t="str">
        <f t="shared" si="1"/>
        <v/>
      </c>
      <c r="I4075" s="26" t="str">
        <f t="shared" si="2"/>
        <v/>
      </c>
      <c r="J4075" s="86">
        <f t="shared" si="3"/>
        <v>0</v>
      </c>
      <c r="R4075" s="26"/>
    </row>
    <row r="4076" spans="1:18" ht="15.75" customHeight="1">
      <c r="A4076" s="26"/>
      <c r="B4076" s="86"/>
      <c r="D4076" s="26"/>
      <c r="F4076" s="87" t="str">
        <f t="shared" si="0"/>
        <v/>
      </c>
      <c r="H4076" s="26" t="str">
        <f t="shared" si="1"/>
        <v/>
      </c>
      <c r="I4076" s="26" t="str">
        <f t="shared" si="2"/>
        <v/>
      </c>
      <c r="J4076" s="86">
        <f t="shared" si="3"/>
        <v>0</v>
      </c>
      <c r="R4076" s="26"/>
    </row>
    <row r="4077" spans="1:18" ht="15.75" customHeight="1">
      <c r="A4077" s="26"/>
      <c r="B4077" s="86"/>
      <c r="D4077" s="26"/>
      <c r="F4077" s="87" t="str">
        <f t="shared" si="0"/>
        <v/>
      </c>
      <c r="H4077" s="26" t="str">
        <f t="shared" si="1"/>
        <v/>
      </c>
      <c r="I4077" s="26" t="str">
        <f t="shared" si="2"/>
        <v/>
      </c>
      <c r="J4077" s="86">
        <f t="shared" si="3"/>
        <v>0</v>
      </c>
      <c r="R4077" s="26"/>
    </row>
    <row r="4078" spans="1:18" ht="15.75" customHeight="1">
      <c r="A4078" s="26"/>
      <c r="B4078" s="86"/>
      <c r="D4078" s="26"/>
      <c r="F4078" s="87" t="str">
        <f t="shared" si="0"/>
        <v/>
      </c>
      <c r="H4078" s="26" t="str">
        <f t="shared" si="1"/>
        <v/>
      </c>
      <c r="I4078" s="26" t="str">
        <f t="shared" si="2"/>
        <v/>
      </c>
      <c r="J4078" s="86">
        <f t="shared" si="3"/>
        <v>0</v>
      </c>
      <c r="R4078" s="26"/>
    </row>
    <row r="4079" spans="1:18" ht="15.75" customHeight="1">
      <c r="A4079" s="26"/>
      <c r="B4079" s="86"/>
      <c r="D4079" s="26"/>
      <c r="F4079" s="87" t="str">
        <f t="shared" si="0"/>
        <v/>
      </c>
      <c r="H4079" s="26" t="str">
        <f t="shared" si="1"/>
        <v/>
      </c>
      <c r="I4079" s="26" t="str">
        <f t="shared" si="2"/>
        <v/>
      </c>
      <c r="J4079" s="86">
        <f t="shared" si="3"/>
        <v>0</v>
      </c>
      <c r="R4079" s="26"/>
    </row>
    <row r="4080" spans="1:18" ht="15.75" customHeight="1">
      <c r="A4080" s="26"/>
      <c r="B4080" s="86"/>
      <c r="D4080" s="26"/>
      <c r="F4080" s="87" t="str">
        <f t="shared" si="0"/>
        <v/>
      </c>
      <c r="H4080" s="26" t="str">
        <f t="shared" si="1"/>
        <v/>
      </c>
      <c r="I4080" s="26" t="str">
        <f t="shared" si="2"/>
        <v/>
      </c>
      <c r="J4080" s="86">
        <f t="shared" si="3"/>
        <v>0</v>
      </c>
      <c r="R4080" s="26"/>
    </row>
    <row r="4081" spans="1:18" ht="15.75" customHeight="1">
      <c r="A4081" s="26"/>
      <c r="B4081" s="86"/>
      <c r="D4081" s="26"/>
      <c r="F4081" s="87" t="str">
        <f t="shared" si="0"/>
        <v/>
      </c>
      <c r="H4081" s="26" t="str">
        <f t="shared" si="1"/>
        <v/>
      </c>
      <c r="I4081" s="26" t="str">
        <f t="shared" si="2"/>
        <v/>
      </c>
      <c r="J4081" s="86">
        <f t="shared" si="3"/>
        <v>0</v>
      </c>
      <c r="R4081" s="26"/>
    </row>
    <row r="4082" spans="1:18" ht="15.75" customHeight="1">
      <c r="A4082" s="26"/>
      <c r="B4082" s="86"/>
      <c r="D4082" s="26"/>
      <c r="F4082" s="87" t="str">
        <f t="shared" si="0"/>
        <v/>
      </c>
      <c r="H4082" s="26" t="str">
        <f t="shared" si="1"/>
        <v/>
      </c>
      <c r="I4082" s="26" t="str">
        <f t="shared" si="2"/>
        <v/>
      </c>
      <c r="J4082" s="86">
        <f t="shared" si="3"/>
        <v>0</v>
      </c>
      <c r="R4082" s="26"/>
    </row>
    <row r="4083" spans="1:18" ht="15.75" customHeight="1">
      <c r="A4083" s="26"/>
      <c r="B4083" s="86"/>
      <c r="D4083" s="26"/>
      <c r="F4083" s="87" t="str">
        <f t="shared" si="0"/>
        <v/>
      </c>
      <c r="H4083" s="26" t="str">
        <f t="shared" si="1"/>
        <v/>
      </c>
      <c r="I4083" s="26" t="str">
        <f t="shared" si="2"/>
        <v/>
      </c>
      <c r="J4083" s="86">
        <f t="shared" si="3"/>
        <v>0</v>
      </c>
      <c r="R4083" s="26"/>
    </row>
    <row r="4084" spans="1:18" ht="15.75" customHeight="1">
      <c r="A4084" s="26"/>
      <c r="B4084" s="86"/>
      <c r="D4084" s="26"/>
      <c r="F4084" s="87" t="str">
        <f t="shared" si="0"/>
        <v/>
      </c>
      <c r="H4084" s="26" t="str">
        <f t="shared" si="1"/>
        <v/>
      </c>
      <c r="I4084" s="26" t="str">
        <f t="shared" si="2"/>
        <v/>
      </c>
      <c r="J4084" s="86">
        <f t="shared" si="3"/>
        <v>0</v>
      </c>
      <c r="R4084" s="26"/>
    </row>
    <row r="4085" spans="1:18" ht="15.75" customHeight="1">
      <c r="A4085" s="26"/>
      <c r="B4085" s="86"/>
      <c r="D4085" s="26"/>
      <c r="F4085" s="87" t="str">
        <f t="shared" si="0"/>
        <v/>
      </c>
      <c r="H4085" s="26" t="str">
        <f t="shared" si="1"/>
        <v/>
      </c>
      <c r="I4085" s="26" t="str">
        <f t="shared" si="2"/>
        <v/>
      </c>
      <c r="J4085" s="86">
        <f t="shared" si="3"/>
        <v>0</v>
      </c>
      <c r="R4085" s="26"/>
    </row>
    <row r="4086" spans="1:18" ht="15.75" customHeight="1">
      <c r="A4086" s="26"/>
      <c r="B4086" s="86"/>
      <c r="D4086" s="26"/>
      <c r="F4086" s="87" t="str">
        <f t="shared" si="0"/>
        <v/>
      </c>
      <c r="H4086" s="26" t="str">
        <f t="shared" si="1"/>
        <v/>
      </c>
      <c r="I4086" s="26" t="str">
        <f t="shared" si="2"/>
        <v/>
      </c>
      <c r="J4086" s="86">
        <f t="shared" si="3"/>
        <v>0</v>
      </c>
      <c r="R4086" s="26"/>
    </row>
    <row r="4087" spans="1:18" ht="15.75" customHeight="1">
      <c r="A4087" s="26"/>
      <c r="B4087" s="86"/>
      <c r="D4087" s="26"/>
      <c r="F4087" s="87" t="str">
        <f t="shared" si="0"/>
        <v/>
      </c>
      <c r="H4087" s="26" t="str">
        <f t="shared" si="1"/>
        <v/>
      </c>
      <c r="I4087" s="26" t="str">
        <f t="shared" si="2"/>
        <v/>
      </c>
      <c r="J4087" s="86">
        <f t="shared" si="3"/>
        <v>0</v>
      </c>
      <c r="R4087" s="26"/>
    </row>
    <row r="4088" spans="1:18" ht="15.75" customHeight="1">
      <c r="A4088" s="26"/>
      <c r="B4088" s="86"/>
      <c r="D4088" s="26"/>
      <c r="F4088" s="87" t="str">
        <f t="shared" si="0"/>
        <v/>
      </c>
      <c r="H4088" s="26" t="str">
        <f t="shared" si="1"/>
        <v/>
      </c>
      <c r="I4088" s="26" t="str">
        <f t="shared" si="2"/>
        <v/>
      </c>
      <c r="J4088" s="86">
        <f t="shared" si="3"/>
        <v>0</v>
      </c>
      <c r="R4088" s="26"/>
    </row>
    <row r="4089" spans="1:18" ht="15.75" customHeight="1">
      <c r="A4089" s="26"/>
      <c r="B4089" s="86"/>
      <c r="D4089" s="26"/>
      <c r="F4089" s="87" t="str">
        <f t="shared" si="0"/>
        <v/>
      </c>
      <c r="H4089" s="26" t="str">
        <f t="shared" si="1"/>
        <v/>
      </c>
      <c r="I4089" s="26" t="str">
        <f t="shared" si="2"/>
        <v/>
      </c>
      <c r="J4089" s="86">
        <f t="shared" si="3"/>
        <v>0</v>
      </c>
      <c r="R4089" s="26"/>
    </row>
    <row r="4090" spans="1:18" ht="15.75" customHeight="1">
      <c r="A4090" s="26"/>
      <c r="B4090" s="86"/>
      <c r="D4090" s="26"/>
      <c r="F4090" s="87" t="str">
        <f t="shared" si="0"/>
        <v/>
      </c>
      <c r="H4090" s="26" t="str">
        <f t="shared" si="1"/>
        <v/>
      </c>
      <c r="I4090" s="26" t="str">
        <f t="shared" si="2"/>
        <v/>
      </c>
      <c r="J4090" s="86">
        <f t="shared" si="3"/>
        <v>0</v>
      </c>
      <c r="R4090" s="26"/>
    </row>
    <row r="4091" spans="1:18" ht="15.75" customHeight="1">
      <c r="A4091" s="26"/>
      <c r="B4091" s="86"/>
      <c r="D4091" s="26"/>
      <c r="F4091" s="87" t="str">
        <f t="shared" si="0"/>
        <v/>
      </c>
      <c r="H4091" s="26" t="str">
        <f t="shared" si="1"/>
        <v/>
      </c>
      <c r="I4091" s="26" t="str">
        <f t="shared" si="2"/>
        <v/>
      </c>
      <c r="J4091" s="86">
        <f t="shared" si="3"/>
        <v>0</v>
      </c>
      <c r="R4091" s="26"/>
    </row>
    <row r="4092" spans="1:18" ht="15.75" customHeight="1">
      <c r="A4092" s="26"/>
      <c r="B4092" s="86"/>
      <c r="D4092" s="26"/>
      <c r="F4092" s="87" t="str">
        <f t="shared" si="0"/>
        <v/>
      </c>
      <c r="H4092" s="26" t="str">
        <f t="shared" si="1"/>
        <v/>
      </c>
      <c r="I4092" s="26" t="str">
        <f t="shared" si="2"/>
        <v/>
      </c>
      <c r="J4092" s="86">
        <f t="shared" si="3"/>
        <v>0</v>
      </c>
      <c r="R4092" s="26"/>
    </row>
    <row r="4093" spans="1:18" ht="15.75" customHeight="1">
      <c r="A4093" s="26"/>
      <c r="B4093" s="86"/>
      <c r="D4093" s="26"/>
      <c r="F4093" s="87" t="str">
        <f t="shared" si="0"/>
        <v/>
      </c>
      <c r="H4093" s="26" t="str">
        <f t="shared" si="1"/>
        <v/>
      </c>
      <c r="I4093" s="26" t="str">
        <f t="shared" si="2"/>
        <v/>
      </c>
      <c r="J4093" s="86">
        <f t="shared" si="3"/>
        <v>0</v>
      </c>
      <c r="R4093" s="26"/>
    </row>
    <row r="4094" spans="1:18" ht="15.75" customHeight="1">
      <c r="A4094" s="26"/>
      <c r="B4094" s="86"/>
      <c r="D4094" s="26"/>
      <c r="F4094" s="87" t="str">
        <f t="shared" si="0"/>
        <v/>
      </c>
      <c r="H4094" s="26" t="str">
        <f t="shared" si="1"/>
        <v/>
      </c>
      <c r="I4094" s="26" t="str">
        <f t="shared" si="2"/>
        <v/>
      </c>
      <c r="J4094" s="86">
        <f t="shared" si="3"/>
        <v>0</v>
      </c>
      <c r="R4094" s="26"/>
    </row>
    <row r="4095" spans="1:18" ht="15.75" customHeight="1">
      <c r="A4095" s="26"/>
      <c r="B4095" s="86"/>
      <c r="D4095" s="26"/>
      <c r="F4095" s="87" t="str">
        <f t="shared" si="0"/>
        <v/>
      </c>
      <c r="H4095" s="26" t="str">
        <f t="shared" si="1"/>
        <v/>
      </c>
      <c r="I4095" s="26" t="str">
        <f t="shared" si="2"/>
        <v/>
      </c>
      <c r="J4095" s="86">
        <f t="shared" si="3"/>
        <v>0</v>
      </c>
      <c r="R4095" s="26"/>
    </row>
    <row r="4096" spans="1:18" ht="15.75" customHeight="1">
      <c r="A4096" s="26"/>
      <c r="B4096" s="86"/>
      <c r="D4096" s="26"/>
      <c r="F4096" s="87" t="str">
        <f t="shared" si="0"/>
        <v/>
      </c>
      <c r="H4096" s="26" t="str">
        <f t="shared" si="1"/>
        <v/>
      </c>
      <c r="I4096" s="26" t="str">
        <f t="shared" si="2"/>
        <v/>
      </c>
      <c r="J4096" s="86">
        <f t="shared" si="3"/>
        <v>0</v>
      </c>
      <c r="R4096" s="26"/>
    </row>
    <row r="4097" spans="1:18" ht="15.75" customHeight="1">
      <c r="A4097" s="26"/>
      <c r="B4097" s="86"/>
      <c r="D4097" s="26"/>
      <c r="F4097" s="87" t="str">
        <f t="shared" si="0"/>
        <v/>
      </c>
      <c r="H4097" s="26" t="str">
        <f t="shared" si="1"/>
        <v/>
      </c>
      <c r="I4097" s="26" t="str">
        <f t="shared" si="2"/>
        <v/>
      </c>
      <c r="J4097" s="86">
        <f t="shared" si="3"/>
        <v>0</v>
      </c>
      <c r="R4097" s="26"/>
    </row>
    <row r="4098" spans="1:18" ht="15.75" customHeight="1">
      <c r="A4098" s="26"/>
      <c r="B4098" s="86"/>
      <c r="D4098" s="26"/>
      <c r="F4098" s="87" t="str">
        <f t="shared" si="0"/>
        <v/>
      </c>
      <c r="H4098" s="26" t="str">
        <f t="shared" si="1"/>
        <v/>
      </c>
      <c r="I4098" s="26" t="str">
        <f t="shared" si="2"/>
        <v/>
      </c>
      <c r="J4098" s="86">
        <f t="shared" si="3"/>
        <v>0</v>
      </c>
      <c r="R4098" s="26"/>
    </row>
    <row r="4099" spans="1:18" ht="15.75" customHeight="1">
      <c r="A4099" s="26"/>
      <c r="B4099" s="86"/>
      <c r="D4099" s="26"/>
      <c r="F4099" s="87" t="str">
        <f t="shared" si="0"/>
        <v/>
      </c>
      <c r="H4099" s="26" t="str">
        <f t="shared" si="1"/>
        <v/>
      </c>
      <c r="I4099" s="26" t="str">
        <f t="shared" si="2"/>
        <v/>
      </c>
      <c r="J4099" s="86">
        <f t="shared" si="3"/>
        <v>0</v>
      </c>
      <c r="R4099" s="26"/>
    </row>
    <row r="4100" spans="1:18" ht="15.75" customHeight="1">
      <c r="A4100" s="26"/>
      <c r="B4100" s="86"/>
      <c r="D4100" s="26"/>
      <c r="F4100" s="87" t="str">
        <f t="shared" si="0"/>
        <v/>
      </c>
      <c r="H4100" s="26" t="str">
        <f t="shared" si="1"/>
        <v/>
      </c>
      <c r="I4100" s="26" t="str">
        <f t="shared" si="2"/>
        <v/>
      </c>
      <c r="J4100" s="86">
        <f t="shared" si="3"/>
        <v>0</v>
      </c>
      <c r="R4100" s="26"/>
    </row>
    <row r="4101" spans="1:18" ht="15.75" customHeight="1">
      <c r="A4101" s="26"/>
      <c r="B4101" s="86"/>
      <c r="D4101" s="26"/>
      <c r="F4101" s="87" t="str">
        <f t="shared" si="0"/>
        <v/>
      </c>
      <c r="H4101" s="26" t="str">
        <f t="shared" si="1"/>
        <v/>
      </c>
      <c r="I4101" s="26" t="str">
        <f t="shared" si="2"/>
        <v/>
      </c>
      <c r="J4101" s="86">
        <f t="shared" si="3"/>
        <v>0</v>
      </c>
      <c r="R4101" s="26"/>
    </row>
    <row r="4102" spans="1:18" ht="15.75" customHeight="1">
      <c r="A4102" s="26"/>
      <c r="B4102" s="86"/>
      <c r="D4102" s="26"/>
      <c r="F4102" s="87" t="str">
        <f t="shared" si="0"/>
        <v/>
      </c>
      <c r="H4102" s="26" t="str">
        <f t="shared" si="1"/>
        <v/>
      </c>
      <c r="I4102" s="26" t="str">
        <f t="shared" si="2"/>
        <v/>
      </c>
      <c r="J4102" s="86">
        <f t="shared" si="3"/>
        <v>0</v>
      </c>
      <c r="R4102" s="26"/>
    </row>
    <row r="4103" spans="1:18" ht="15.75" customHeight="1">
      <c r="A4103" s="26"/>
      <c r="B4103" s="86"/>
      <c r="D4103" s="26"/>
      <c r="F4103" s="87" t="str">
        <f t="shared" si="0"/>
        <v/>
      </c>
      <c r="H4103" s="26" t="str">
        <f t="shared" si="1"/>
        <v/>
      </c>
      <c r="I4103" s="26" t="str">
        <f t="shared" si="2"/>
        <v/>
      </c>
      <c r="J4103" s="86">
        <f t="shared" si="3"/>
        <v>0</v>
      </c>
      <c r="R4103" s="26"/>
    </row>
    <row r="4104" spans="1:18" ht="15.75" customHeight="1">
      <c r="A4104" s="26"/>
      <c r="B4104" s="86"/>
      <c r="D4104" s="26"/>
      <c r="F4104" s="87" t="str">
        <f t="shared" si="0"/>
        <v/>
      </c>
      <c r="H4104" s="26" t="str">
        <f t="shared" si="1"/>
        <v/>
      </c>
      <c r="I4104" s="26" t="str">
        <f t="shared" si="2"/>
        <v/>
      </c>
      <c r="J4104" s="86">
        <f t="shared" si="3"/>
        <v>0</v>
      </c>
      <c r="R4104" s="26"/>
    </row>
    <row r="4105" spans="1:18" ht="15.75" customHeight="1">
      <c r="A4105" s="26"/>
      <c r="B4105" s="86"/>
      <c r="D4105" s="26"/>
      <c r="F4105" s="87" t="str">
        <f t="shared" si="0"/>
        <v/>
      </c>
      <c r="H4105" s="26" t="str">
        <f t="shared" si="1"/>
        <v/>
      </c>
      <c r="I4105" s="26" t="str">
        <f t="shared" si="2"/>
        <v/>
      </c>
      <c r="J4105" s="86">
        <f t="shared" si="3"/>
        <v>0</v>
      </c>
      <c r="R4105" s="26"/>
    </row>
    <row r="4106" spans="1:18" ht="15.75" customHeight="1">
      <c r="A4106" s="26"/>
      <c r="B4106" s="86"/>
      <c r="D4106" s="26"/>
      <c r="F4106" s="87" t="str">
        <f t="shared" si="0"/>
        <v/>
      </c>
      <c r="H4106" s="26" t="str">
        <f t="shared" si="1"/>
        <v/>
      </c>
      <c r="I4106" s="26" t="str">
        <f t="shared" si="2"/>
        <v/>
      </c>
      <c r="J4106" s="86">
        <f t="shared" si="3"/>
        <v>0</v>
      </c>
      <c r="R4106" s="26"/>
    </row>
    <row r="4107" spans="1:18" ht="15.75" customHeight="1">
      <c r="A4107" s="26"/>
      <c r="B4107" s="86"/>
      <c r="D4107" s="26"/>
      <c r="F4107" s="87" t="str">
        <f t="shared" si="0"/>
        <v/>
      </c>
      <c r="H4107" s="26" t="str">
        <f t="shared" si="1"/>
        <v/>
      </c>
      <c r="I4107" s="26" t="str">
        <f t="shared" si="2"/>
        <v/>
      </c>
      <c r="J4107" s="86">
        <f t="shared" si="3"/>
        <v>0</v>
      </c>
      <c r="R4107" s="26"/>
    </row>
    <row r="4108" spans="1:18" ht="15.75" customHeight="1">
      <c r="A4108" s="26"/>
      <c r="B4108" s="86"/>
      <c r="D4108" s="26"/>
      <c r="F4108" s="87" t="str">
        <f t="shared" si="0"/>
        <v/>
      </c>
      <c r="H4108" s="26" t="str">
        <f t="shared" si="1"/>
        <v/>
      </c>
      <c r="I4108" s="26" t="str">
        <f t="shared" si="2"/>
        <v/>
      </c>
      <c r="J4108" s="86">
        <f t="shared" si="3"/>
        <v>0</v>
      </c>
      <c r="R4108" s="26"/>
    </row>
    <row r="4109" spans="1:18" ht="15.75" customHeight="1">
      <c r="A4109" s="26"/>
      <c r="B4109" s="86"/>
      <c r="D4109" s="26"/>
      <c r="F4109" s="87" t="str">
        <f t="shared" si="0"/>
        <v/>
      </c>
      <c r="H4109" s="26" t="str">
        <f t="shared" si="1"/>
        <v/>
      </c>
      <c r="I4109" s="26" t="str">
        <f t="shared" si="2"/>
        <v/>
      </c>
      <c r="J4109" s="86">
        <f t="shared" si="3"/>
        <v>0</v>
      </c>
      <c r="R4109" s="26"/>
    </row>
    <row r="4110" spans="1:18" ht="15.75" customHeight="1">
      <c r="A4110" s="26"/>
      <c r="B4110" s="86"/>
      <c r="D4110" s="26"/>
      <c r="F4110" s="87" t="str">
        <f t="shared" si="0"/>
        <v/>
      </c>
      <c r="H4110" s="26" t="str">
        <f t="shared" si="1"/>
        <v/>
      </c>
      <c r="I4110" s="26" t="str">
        <f t="shared" si="2"/>
        <v/>
      </c>
      <c r="J4110" s="86">
        <f t="shared" si="3"/>
        <v>0</v>
      </c>
      <c r="R4110" s="26"/>
    </row>
    <row r="4111" spans="1:18" ht="15.75" customHeight="1">
      <c r="A4111" s="26"/>
      <c r="B4111" s="86"/>
      <c r="D4111" s="26"/>
      <c r="F4111" s="87" t="str">
        <f t="shared" si="0"/>
        <v/>
      </c>
      <c r="H4111" s="26" t="str">
        <f t="shared" si="1"/>
        <v/>
      </c>
      <c r="I4111" s="26" t="str">
        <f t="shared" si="2"/>
        <v/>
      </c>
      <c r="J4111" s="86">
        <f t="shared" si="3"/>
        <v>0</v>
      </c>
      <c r="R4111" s="26"/>
    </row>
    <row r="4112" spans="1:18" ht="15.75" customHeight="1">
      <c r="A4112" s="26"/>
      <c r="B4112" s="86"/>
      <c r="D4112" s="26"/>
      <c r="F4112" s="87" t="str">
        <f t="shared" si="0"/>
        <v/>
      </c>
      <c r="H4112" s="26" t="str">
        <f t="shared" si="1"/>
        <v/>
      </c>
      <c r="I4112" s="26" t="str">
        <f t="shared" si="2"/>
        <v/>
      </c>
      <c r="J4112" s="86">
        <f t="shared" si="3"/>
        <v>0</v>
      </c>
      <c r="R4112" s="26"/>
    </row>
    <row r="4113" spans="1:18" ht="15.75" customHeight="1">
      <c r="A4113" s="26"/>
      <c r="B4113" s="86"/>
      <c r="D4113" s="26"/>
      <c r="F4113" s="87" t="str">
        <f t="shared" si="0"/>
        <v/>
      </c>
      <c r="H4113" s="26" t="str">
        <f t="shared" si="1"/>
        <v/>
      </c>
      <c r="I4113" s="26" t="str">
        <f t="shared" si="2"/>
        <v/>
      </c>
      <c r="J4113" s="86">
        <f t="shared" si="3"/>
        <v>0</v>
      </c>
      <c r="R4113" s="26"/>
    </row>
    <row r="4114" spans="1:18" ht="15.75" customHeight="1">
      <c r="A4114" s="26"/>
      <c r="B4114" s="86"/>
      <c r="D4114" s="26"/>
      <c r="F4114" s="87" t="str">
        <f t="shared" si="0"/>
        <v/>
      </c>
      <c r="H4114" s="26" t="str">
        <f t="shared" si="1"/>
        <v/>
      </c>
      <c r="I4114" s="26" t="str">
        <f t="shared" si="2"/>
        <v/>
      </c>
      <c r="J4114" s="86">
        <f t="shared" si="3"/>
        <v>0</v>
      </c>
      <c r="R4114" s="26"/>
    </row>
    <row r="4115" spans="1:18" ht="15.75" customHeight="1">
      <c r="A4115" s="26"/>
      <c r="B4115" s="86"/>
      <c r="D4115" s="26"/>
      <c r="F4115" s="87" t="str">
        <f t="shared" si="0"/>
        <v/>
      </c>
      <c r="H4115" s="26" t="str">
        <f t="shared" si="1"/>
        <v/>
      </c>
      <c r="I4115" s="26" t="str">
        <f t="shared" si="2"/>
        <v/>
      </c>
      <c r="J4115" s="86">
        <f t="shared" si="3"/>
        <v>0</v>
      </c>
      <c r="R4115" s="26"/>
    </row>
    <row r="4116" spans="1:18" ht="15.75" customHeight="1">
      <c r="A4116" s="26"/>
      <c r="B4116" s="86"/>
      <c r="D4116" s="26"/>
      <c r="F4116" s="87" t="str">
        <f t="shared" si="0"/>
        <v/>
      </c>
      <c r="H4116" s="26" t="str">
        <f t="shared" si="1"/>
        <v/>
      </c>
      <c r="I4116" s="26" t="str">
        <f t="shared" si="2"/>
        <v/>
      </c>
      <c r="J4116" s="86">
        <f t="shared" si="3"/>
        <v>0</v>
      </c>
      <c r="R4116" s="26"/>
    </row>
    <row r="4117" spans="1:18" ht="15.75" customHeight="1">
      <c r="A4117" s="26"/>
      <c r="B4117" s="86"/>
      <c r="D4117" s="26"/>
      <c r="F4117" s="87" t="str">
        <f t="shared" si="0"/>
        <v/>
      </c>
      <c r="H4117" s="26" t="str">
        <f t="shared" si="1"/>
        <v/>
      </c>
      <c r="I4117" s="26" t="str">
        <f t="shared" si="2"/>
        <v/>
      </c>
      <c r="J4117" s="86">
        <f t="shared" si="3"/>
        <v>0</v>
      </c>
      <c r="R4117" s="26"/>
    </row>
    <row r="4118" spans="1:18" ht="15.75" customHeight="1">
      <c r="A4118" s="26"/>
      <c r="B4118" s="86"/>
      <c r="D4118" s="26"/>
      <c r="F4118" s="87" t="str">
        <f t="shared" si="0"/>
        <v/>
      </c>
      <c r="H4118" s="26" t="str">
        <f t="shared" si="1"/>
        <v/>
      </c>
      <c r="I4118" s="26" t="str">
        <f t="shared" si="2"/>
        <v/>
      </c>
      <c r="J4118" s="86">
        <f t="shared" si="3"/>
        <v>0</v>
      </c>
      <c r="R4118" s="26"/>
    </row>
    <row r="4119" spans="1:18" ht="15.75" customHeight="1">
      <c r="A4119" s="26"/>
      <c r="B4119" s="86"/>
      <c r="D4119" s="26"/>
      <c r="F4119" s="87" t="str">
        <f t="shared" si="0"/>
        <v/>
      </c>
      <c r="H4119" s="26" t="str">
        <f t="shared" si="1"/>
        <v/>
      </c>
      <c r="I4119" s="26" t="str">
        <f t="shared" si="2"/>
        <v/>
      </c>
      <c r="J4119" s="86">
        <f t="shared" si="3"/>
        <v>0</v>
      </c>
      <c r="R4119" s="26"/>
    </row>
    <row r="4120" spans="1:18" ht="15.75" customHeight="1">
      <c r="A4120" s="26"/>
      <c r="B4120" s="86"/>
      <c r="D4120" s="26"/>
      <c r="F4120" s="87" t="str">
        <f t="shared" si="0"/>
        <v/>
      </c>
      <c r="H4120" s="26" t="str">
        <f t="shared" si="1"/>
        <v/>
      </c>
      <c r="I4120" s="26" t="str">
        <f t="shared" si="2"/>
        <v/>
      </c>
      <c r="J4120" s="86">
        <f t="shared" si="3"/>
        <v>0</v>
      </c>
      <c r="R4120" s="26"/>
    </row>
    <row r="4121" spans="1:18" ht="15.75" customHeight="1">
      <c r="A4121" s="26"/>
      <c r="B4121" s="86"/>
      <c r="D4121" s="26"/>
      <c r="F4121" s="87" t="str">
        <f t="shared" si="0"/>
        <v/>
      </c>
      <c r="H4121" s="26" t="str">
        <f t="shared" si="1"/>
        <v/>
      </c>
      <c r="I4121" s="26" t="str">
        <f t="shared" si="2"/>
        <v/>
      </c>
      <c r="J4121" s="86">
        <f t="shared" si="3"/>
        <v>0</v>
      </c>
      <c r="R4121" s="26"/>
    </row>
    <row r="4122" spans="1:18" ht="15.75" customHeight="1">
      <c r="A4122" s="26"/>
      <c r="B4122" s="86"/>
      <c r="D4122" s="26"/>
      <c r="F4122" s="87" t="str">
        <f t="shared" si="0"/>
        <v/>
      </c>
      <c r="H4122" s="26" t="str">
        <f t="shared" si="1"/>
        <v/>
      </c>
      <c r="I4122" s="26" t="str">
        <f t="shared" si="2"/>
        <v/>
      </c>
      <c r="J4122" s="86">
        <f t="shared" si="3"/>
        <v>0</v>
      </c>
      <c r="R4122" s="26"/>
    </row>
    <row r="4123" spans="1:18" ht="15.75" customHeight="1">
      <c r="A4123" s="26"/>
      <c r="B4123" s="86"/>
      <c r="D4123" s="26"/>
      <c r="F4123" s="87" t="str">
        <f t="shared" si="0"/>
        <v/>
      </c>
      <c r="H4123" s="26" t="str">
        <f t="shared" si="1"/>
        <v/>
      </c>
      <c r="I4123" s="26" t="str">
        <f t="shared" si="2"/>
        <v/>
      </c>
      <c r="J4123" s="86">
        <f t="shared" si="3"/>
        <v>0</v>
      </c>
      <c r="R4123" s="26"/>
    </row>
    <row r="4124" spans="1:18" ht="15.75" customHeight="1">
      <c r="A4124" s="26"/>
      <c r="B4124" s="86"/>
      <c r="D4124" s="26"/>
      <c r="F4124" s="87" t="str">
        <f t="shared" si="0"/>
        <v/>
      </c>
      <c r="H4124" s="26" t="str">
        <f t="shared" si="1"/>
        <v/>
      </c>
      <c r="I4124" s="26" t="str">
        <f t="shared" si="2"/>
        <v/>
      </c>
      <c r="J4124" s="86">
        <f t="shared" si="3"/>
        <v>0</v>
      </c>
      <c r="R4124" s="26"/>
    </row>
    <row r="4125" spans="1:18" ht="15.75" customHeight="1">
      <c r="A4125" s="26"/>
      <c r="B4125" s="86"/>
      <c r="D4125" s="26"/>
      <c r="F4125" s="87" t="str">
        <f t="shared" si="0"/>
        <v/>
      </c>
      <c r="H4125" s="26" t="str">
        <f t="shared" si="1"/>
        <v/>
      </c>
      <c r="I4125" s="26" t="str">
        <f t="shared" si="2"/>
        <v/>
      </c>
      <c r="J4125" s="86">
        <f t="shared" si="3"/>
        <v>0</v>
      </c>
      <c r="R4125" s="26"/>
    </row>
    <row r="4126" spans="1:18" ht="15.75" customHeight="1">
      <c r="A4126" s="26"/>
      <c r="B4126" s="86"/>
      <c r="D4126" s="26"/>
      <c r="F4126" s="87" t="str">
        <f t="shared" si="0"/>
        <v/>
      </c>
      <c r="H4126" s="26" t="str">
        <f t="shared" si="1"/>
        <v/>
      </c>
      <c r="I4126" s="26" t="str">
        <f t="shared" si="2"/>
        <v/>
      </c>
      <c r="J4126" s="86">
        <f t="shared" si="3"/>
        <v>0</v>
      </c>
      <c r="R4126" s="26"/>
    </row>
    <row r="4127" spans="1:18" ht="15.75" customHeight="1">
      <c r="A4127" s="26"/>
      <c r="B4127" s="86"/>
      <c r="D4127" s="26"/>
      <c r="F4127" s="87" t="str">
        <f t="shared" si="0"/>
        <v/>
      </c>
      <c r="H4127" s="26" t="str">
        <f t="shared" si="1"/>
        <v/>
      </c>
      <c r="I4127" s="26" t="str">
        <f t="shared" si="2"/>
        <v/>
      </c>
      <c r="J4127" s="86">
        <f t="shared" si="3"/>
        <v>0</v>
      </c>
      <c r="R4127" s="26"/>
    </row>
    <row r="4128" spans="1:18" ht="15.75" customHeight="1">
      <c r="A4128" s="26"/>
      <c r="B4128" s="86"/>
      <c r="D4128" s="26"/>
      <c r="F4128" s="87" t="str">
        <f t="shared" si="0"/>
        <v/>
      </c>
      <c r="H4128" s="26" t="str">
        <f t="shared" si="1"/>
        <v/>
      </c>
      <c r="I4128" s="26" t="str">
        <f t="shared" si="2"/>
        <v/>
      </c>
      <c r="J4128" s="86">
        <f t="shared" si="3"/>
        <v>0</v>
      </c>
      <c r="R4128" s="26"/>
    </row>
    <row r="4129" spans="1:18" ht="15.75" customHeight="1">
      <c r="A4129" s="26"/>
      <c r="B4129" s="86"/>
      <c r="D4129" s="26"/>
      <c r="F4129" s="87" t="str">
        <f t="shared" si="0"/>
        <v/>
      </c>
      <c r="H4129" s="26" t="str">
        <f t="shared" si="1"/>
        <v/>
      </c>
      <c r="I4129" s="26" t="str">
        <f t="shared" si="2"/>
        <v/>
      </c>
      <c r="J4129" s="86">
        <f t="shared" si="3"/>
        <v>0</v>
      </c>
      <c r="R4129" s="26"/>
    </row>
    <row r="4130" spans="1:18" ht="15.75" customHeight="1">
      <c r="A4130" s="26"/>
      <c r="B4130" s="86"/>
      <c r="D4130" s="26"/>
      <c r="F4130" s="87" t="str">
        <f t="shared" si="0"/>
        <v/>
      </c>
      <c r="H4130" s="26" t="str">
        <f t="shared" si="1"/>
        <v/>
      </c>
      <c r="I4130" s="26" t="str">
        <f t="shared" si="2"/>
        <v/>
      </c>
      <c r="J4130" s="86">
        <f t="shared" si="3"/>
        <v>0</v>
      </c>
      <c r="R4130" s="26"/>
    </row>
    <row r="4131" spans="1:18" ht="15.75" customHeight="1">
      <c r="A4131" s="26"/>
      <c r="B4131" s="86"/>
      <c r="D4131" s="26"/>
      <c r="F4131" s="87" t="str">
        <f t="shared" si="0"/>
        <v/>
      </c>
      <c r="H4131" s="26" t="str">
        <f t="shared" si="1"/>
        <v/>
      </c>
      <c r="I4131" s="26" t="str">
        <f t="shared" si="2"/>
        <v/>
      </c>
      <c r="J4131" s="86">
        <f t="shared" si="3"/>
        <v>0</v>
      </c>
      <c r="R4131" s="26"/>
    </row>
    <row r="4132" spans="1:18" ht="15.75" customHeight="1">
      <c r="A4132" s="26"/>
      <c r="B4132" s="86"/>
      <c r="D4132" s="26"/>
      <c r="F4132" s="87" t="str">
        <f t="shared" si="0"/>
        <v/>
      </c>
      <c r="H4132" s="26" t="str">
        <f t="shared" si="1"/>
        <v/>
      </c>
      <c r="I4132" s="26" t="str">
        <f t="shared" si="2"/>
        <v/>
      </c>
      <c r="J4132" s="86">
        <f t="shared" si="3"/>
        <v>0</v>
      </c>
      <c r="R4132" s="26"/>
    </row>
    <row r="4133" spans="1:18" ht="15.75" customHeight="1">
      <c r="A4133" s="26"/>
      <c r="B4133" s="86"/>
      <c r="D4133" s="26"/>
      <c r="F4133" s="87" t="str">
        <f t="shared" si="0"/>
        <v/>
      </c>
      <c r="H4133" s="26" t="str">
        <f t="shared" si="1"/>
        <v/>
      </c>
      <c r="I4133" s="26" t="str">
        <f t="shared" si="2"/>
        <v/>
      </c>
      <c r="J4133" s="86">
        <f t="shared" si="3"/>
        <v>0</v>
      </c>
      <c r="R4133" s="26"/>
    </row>
    <row r="4134" spans="1:18" ht="15.75" customHeight="1">
      <c r="A4134" s="26"/>
      <c r="B4134" s="86"/>
      <c r="D4134" s="26"/>
      <c r="F4134" s="87" t="str">
        <f t="shared" si="0"/>
        <v/>
      </c>
      <c r="H4134" s="26" t="str">
        <f t="shared" si="1"/>
        <v/>
      </c>
      <c r="I4134" s="26" t="str">
        <f t="shared" si="2"/>
        <v/>
      </c>
      <c r="J4134" s="86">
        <f t="shared" si="3"/>
        <v>0</v>
      </c>
      <c r="R4134" s="26"/>
    </row>
    <row r="4135" spans="1:18" ht="15.75" customHeight="1">
      <c r="A4135" s="26"/>
      <c r="B4135" s="86"/>
      <c r="D4135" s="26"/>
      <c r="F4135" s="87" t="str">
        <f t="shared" si="0"/>
        <v/>
      </c>
      <c r="H4135" s="26" t="str">
        <f t="shared" si="1"/>
        <v/>
      </c>
      <c r="I4135" s="26" t="str">
        <f t="shared" si="2"/>
        <v/>
      </c>
      <c r="J4135" s="86">
        <f t="shared" si="3"/>
        <v>0</v>
      </c>
      <c r="R4135" s="26"/>
    </row>
    <row r="4136" spans="1:18" ht="15.75" customHeight="1">
      <c r="A4136" s="26"/>
      <c r="B4136" s="86"/>
      <c r="D4136" s="26"/>
      <c r="F4136" s="87" t="str">
        <f t="shared" si="0"/>
        <v/>
      </c>
      <c r="H4136" s="26" t="str">
        <f t="shared" si="1"/>
        <v/>
      </c>
      <c r="I4136" s="26" t="str">
        <f t="shared" si="2"/>
        <v/>
      </c>
      <c r="J4136" s="86">
        <f t="shared" si="3"/>
        <v>0</v>
      </c>
      <c r="R4136" s="26"/>
    </row>
    <row r="4137" spans="1:18" ht="15.75" customHeight="1">
      <c r="A4137" s="26"/>
      <c r="B4137" s="86"/>
      <c r="D4137" s="26"/>
      <c r="F4137" s="87" t="str">
        <f t="shared" si="0"/>
        <v/>
      </c>
      <c r="H4137" s="26" t="str">
        <f t="shared" si="1"/>
        <v/>
      </c>
      <c r="I4137" s="26" t="str">
        <f t="shared" si="2"/>
        <v/>
      </c>
      <c r="J4137" s="86">
        <f t="shared" si="3"/>
        <v>0</v>
      </c>
      <c r="R4137" s="26"/>
    </row>
    <row r="4138" spans="1:18" ht="15.75" customHeight="1">
      <c r="A4138" s="26"/>
      <c r="B4138" s="86"/>
      <c r="D4138" s="26"/>
      <c r="F4138" s="87" t="str">
        <f t="shared" si="0"/>
        <v/>
      </c>
      <c r="H4138" s="26" t="str">
        <f t="shared" si="1"/>
        <v/>
      </c>
      <c r="I4138" s="26" t="str">
        <f t="shared" si="2"/>
        <v/>
      </c>
      <c r="J4138" s="86">
        <f t="shared" si="3"/>
        <v>0</v>
      </c>
      <c r="R4138" s="26"/>
    </row>
    <row r="4139" spans="1:18" ht="15.75" customHeight="1">
      <c r="A4139" s="26"/>
      <c r="B4139" s="86"/>
      <c r="D4139" s="26"/>
      <c r="F4139" s="87" t="str">
        <f t="shared" si="0"/>
        <v/>
      </c>
      <c r="H4139" s="26" t="str">
        <f t="shared" si="1"/>
        <v/>
      </c>
      <c r="I4139" s="26" t="str">
        <f t="shared" si="2"/>
        <v/>
      </c>
      <c r="J4139" s="86">
        <f t="shared" si="3"/>
        <v>0</v>
      </c>
      <c r="R4139" s="26"/>
    </row>
    <row r="4140" spans="1:18" ht="15.75" customHeight="1">
      <c r="A4140" s="26"/>
      <c r="B4140" s="86"/>
      <c r="D4140" s="26"/>
      <c r="F4140" s="87" t="str">
        <f t="shared" si="0"/>
        <v/>
      </c>
      <c r="H4140" s="26" t="str">
        <f t="shared" si="1"/>
        <v/>
      </c>
      <c r="I4140" s="26" t="str">
        <f t="shared" si="2"/>
        <v/>
      </c>
      <c r="J4140" s="86">
        <f t="shared" si="3"/>
        <v>0</v>
      </c>
      <c r="R4140" s="26"/>
    </row>
    <row r="4141" spans="1:18" ht="15.75" customHeight="1">
      <c r="A4141" s="26"/>
      <c r="B4141" s="86"/>
      <c r="D4141" s="26"/>
      <c r="F4141" s="87" t="str">
        <f t="shared" si="0"/>
        <v/>
      </c>
      <c r="H4141" s="26" t="str">
        <f t="shared" si="1"/>
        <v/>
      </c>
      <c r="I4141" s="26" t="str">
        <f t="shared" si="2"/>
        <v/>
      </c>
      <c r="J4141" s="86">
        <f t="shared" si="3"/>
        <v>0</v>
      </c>
      <c r="R4141" s="26"/>
    </row>
    <row r="4142" spans="1:18" ht="15.75" customHeight="1">
      <c r="A4142" s="26"/>
      <c r="B4142" s="86"/>
      <c r="D4142" s="26"/>
      <c r="F4142" s="87" t="str">
        <f t="shared" si="0"/>
        <v/>
      </c>
      <c r="H4142" s="26" t="str">
        <f t="shared" si="1"/>
        <v/>
      </c>
      <c r="I4142" s="26" t="str">
        <f t="shared" si="2"/>
        <v/>
      </c>
      <c r="J4142" s="86">
        <f t="shared" si="3"/>
        <v>0</v>
      </c>
      <c r="R4142" s="26"/>
    </row>
    <row r="4143" spans="1:18" ht="15.75" customHeight="1">
      <c r="A4143" s="26"/>
      <c r="B4143" s="86"/>
      <c r="D4143" s="26"/>
      <c r="F4143" s="87" t="str">
        <f t="shared" si="0"/>
        <v/>
      </c>
      <c r="H4143" s="26" t="str">
        <f t="shared" si="1"/>
        <v/>
      </c>
      <c r="I4143" s="26" t="str">
        <f t="shared" si="2"/>
        <v/>
      </c>
      <c r="J4143" s="86">
        <f t="shared" si="3"/>
        <v>0</v>
      </c>
      <c r="R4143" s="26"/>
    </row>
    <row r="4144" spans="1:18" ht="15.75" customHeight="1">
      <c r="A4144" s="26"/>
      <c r="B4144" s="86"/>
      <c r="D4144" s="26"/>
      <c r="F4144" s="87" t="str">
        <f t="shared" si="0"/>
        <v/>
      </c>
      <c r="H4144" s="26" t="str">
        <f t="shared" si="1"/>
        <v/>
      </c>
      <c r="I4144" s="26" t="str">
        <f t="shared" si="2"/>
        <v/>
      </c>
      <c r="J4144" s="86">
        <f t="shared" si="3"/>
        <v>0</v>
      </c>
      <c r="R4144" s="26"/>
    </row>
    <row r="4145" spans="1:18" ht="15.75" customHeight="1">
      <c r="A4145" s="26"/>
      <c r="B4145" s="86"/>
      <c r="D4145" s="26"/>
      <c r="F4145" s="87" t="str">
        <f t="shared" si="0"/>
        <v/>
      </c>
      <c r="H4145" s="26" t="str">
        <f t="shared" si="1"/>
        <v/>
      </c>
      <c r="I4145" s="26" t="str">
        <f t="shared" si="2"/>
        <v/>
      </c>
      <c r="J4145" s="86">
        <f t="shared" si="3"/>
        <v>0</v>
      </c>
      <c r="R4145" s="26"/>
    </row>
    <row r="4146" spans="1:18" ht="15.75" customHeight="1">
      <c r="A4146" s="26"/>
      <c r="B4146" s="86"/>
      <c r="D4146" s="26"/>
      <c r="F4146" s="87" t="str">
        <f t="shared" si="0"/>
        <v/>
      </c>
      <c r="H4146" s="26" t="str">
        <f t="shared" si="1"/>
        <v/>
      </c>
      <c r="I4146" s="26" t="str">
        <f t="shared" si="2"/>
        <v/>
      </c>
      <c r="J4146" s="86">
        <f t="shared" si="3"/>
        <v>0</v>
      </c>
      <c r="R4146" s="26"/>
    </row>
    <row r="4147" spans="1:18" ht="15.75" customHeight="1">
      <c r="A4147" s="26"/>
      <c r="B4147" s="86"/>
      <c r="D4147" s="26"/>
      <c r="F4147" s="87" t="str">
        <f t="shared" si="0"/>
        <v/>
      </c>
      <c r="H4147" s="26" t="str">
        <f t="shared" si="1"/>
        <v/>
      </c>
      <c r="I4147" s="26" t="str">
        <f t="shared" si="2"/>
        <v/>
      </c>
      <c r="J4147" s="86">
        <f t="shared" si="3"/>
        <v>0</v>
      </c>
      <c r="R4147" s="26"/>
    </row>
    <row r="4148" spans="1:18" ht="15.75" customHeight="1">
      <c r="A4148" s="26"/>
      <c r="B4148" s="86"/>
      <c r="D4148" s="26"/>
      <c r="F4148" s="87" t="str">
        <f t="shared" si="0"/>
        <v/>
      </c>
      <c r="H4148" s="26" t="str">
        <f t="shared" si="1"/>
        <v/>
      </c>
      <c r="I4148" s="26" t="str">
        <f t="shared" si="2"/>
        <v/>
      </c>
      <c r="J4148" s="86">
        <f t="shared" si="3"/>
        <v>0</v>
      </c>
      <c r="R4148" s="26"/>
    </row>
    <row r="4149" spans="1:18" ht="15.75" customHeight="1">
      <c r="A4149" s="26"/>
      <c r="B4149" s="86"/>
      <c r="D4149" s="26"/>
      <c r="F4149" s="87" t="str">
        <f t="shared" si="0"/>
        <v/>
      </c>
      <c r="H4149" s="26" t="str">
        <f t="shared" si="1"/>
        <v/>
      </c>
      <c r="I4149" s="26" t="str">
        <f t="shared" si="2"/>
        <v/>
      </c>
      <c r="J4149" s="86">
        <f t="shared" si="3"/>
        <v>0</v>
      </c>
      <c r="R4149" s="26"/>
    </row>
    <row r="4150" spans="1:18" ht="15.75" customHeight="1">
      <c r="A4150" s="26"/>
      <c r="B4150" s="86"/>
      <c r="D4150" s="26"/>
      <c r="F4150" s="87" t="str">
        <f t="shared" si="0"/>
        <v/>
      </c>
      <c r="H4150" s="26" t="str">
        <f t="shared" si="1"/>
        <v/>
      </c>
      <c r="I4150" s="26" t="str">
        <f t="shared" si="2"/>
        <v/>
      </c>
      <c r="J4150" s="86">
        <f t="shared" si="3"/>
        <v>0</v>
      </c>
      <c r="R4150" s="26"/>
    </row>
    <row r="4151" spans="1:18" ht="15.75" customHeight="1">
      <c r="A4151" s="26"/>
      <c r="B4151" s="86"/>
      <c r="D4151" s="26"/>
      <c r="F4151" s="87" t="str">
        <f t="shared" si="0"/>
        <v/>
      </c>
      <c r="H4151" s="26" t="str">
        <f t="shared" si="1"/>
        <v/>
      </c>
      <c r="I4151" s="26" t="str">
        <f t="shared" si="2"/>
        <v/>
      </c>
      <c r="J4151" s="86">
        <f t="shared" si="3"/>
        <v>0</v>
      </c>
      <c r="R4151" s="26"/>
    </row>
    <row r="4152" spans="1:18" ht="15.75" customHeight="1">
      <c r="A4152" s="26"/>
      <c r="B4152" s="86"/>
      <c r="D4152" s="26"/>
      <c r="F4152" s="87" t="str">
        <f t="shared" si="0"/>
        <v/>
      </c>
      <c r="H4152" s="26" t="str">
        <f t="shared" si="1"/>
        <v/>
      </c>
      <c r="I4152" s="26" t="str">
        <f t="shared" si="2"/>
        <v/>
      </c>
      <c r="J4152" s="86">
        <f t="shared" si="3"/>
        <v>0</v>
      </c>
      <c r="R4152" s="26"/>
    </row>
    <row r="4153" spans="1:18" ht="15.75" customHeight="1">
      <c r="A4153" s="26"/>
      <c r="B4153" s="86"/>
      <c r="D4153" s="26"/>
      <c r="F4153" s="87" t="str">
        <f t="shared" si="0"/>
        <v/>
      </c>
      <c r="H4153" s="26" t="str">
        <f t="shared" si="1"/>
        <v/>
      </c>
      <c r="I4153" s="26" t="str">
        <f t="shared" si="2"/>
        <v/>
      </c>
      <c r="J4153" s="86">
        <f t="shared" si="3"/>
        <v>0</v>
      </c>
      <c r="R4153" s="26"/>
    </row>
    <row r="4154" spans="1:18" ht="15.75" customHeight="1">
      <c r="A4154" s="26"/>
      <c r="B4154" s="86"/>
      <c r="D4154" s="26"/>
      <c r="F4154" s="87" t="str">
        <f t="shared" si="0"/>
        <v/>
      </c>
      <c r="H4154" s="26" t="str">
        <f t="shared" si="1"/>
        <v/>
      </c>
      <c r="I4154" s="26" t="str">
        <f t="shared" si="2"/>
        <v/>
      </c>
      <c r="J4154" s="86">
        <f t="shared" si="3"/>
        <v>0</v>
      </c>
      <c r="R4154" s="26"/>
    </row>
    <row r="4155" spans="1:18" ht="15.75" customHeight="1">
      <c r="A4155" s="26"/>
      <c r="B4155" s="86"/>
      <c r="D4155" s="26"/>
      <c r="F4155" s="87" t="str">
        <f t="shared" si="0"/>
        <v/>
      </c>
      <c r="H4155" s="26" t="str">
        <f t="shared" si="1"/>
        <v/>
      </c>
      <c r="I4155" s="26" t="str">
        <f t="shared" si="2"/>
        <v/>
      </c>
      <c r="J4155" s="86">
        <f t="shared" si="3"/>
        <v>0</v>
      </c>
      <c r="R4155" s="26"/>
    </row>
    <row r="4156" spans="1:18" ht="15.75" customHeight="1">
      <c r="A4156" s="26"/>
      <c r="B4156" s="86"/>
      <c r="D4156" s="26"/>
      <c r="F4156" s="87" t="str">
        <f t="shared" si="0"/>
        <v/>
      </c>
      <c r="H4156" s="26" t="str">
        <f t="shared" si="1"/>
        <v/>
      </c>
      <c r="I4156" s="26" t="str">
        <f t="shared" si="2"/>
        <v/>
      </c>
      <c r="J4156" s="86">
        <f t="shared" si="3"/>
        <v>0</v>
      </c>
      <c r="R4156" s="26"/>
    </row>
    <row r="4157" spans="1:18" ht="15.75" customHeight="1">
      <c r="A4157" s="26"/>
      <c r="B4157" s="86"/>
      <c r="D4157" s="26"/>
      <c r="F4157" s="87" t="str">
        <f t="shared" si="0"/>
        <v/>
      </c>
      <c r="H4157" s="26" t="str">
        <f t="shared" si="1"/>
        <v/>
      </c>
      <c r="I4157" s="26" t="str">
        <f t="shared" si="2"/>
        <v/>
      </c>
      <c r="J4157" s="86">
        <f t="shared" si="3"/>
        <v>0</v>
      </c>
      <c r="R4157" s="26"/>
    </row>
    <row r="4158" spans="1:18" ht="15.75" customHeight="1">
      <c r="A4158" s="26"/>
      <c r="B4158" s="86"/>
      <c r="D4158" s="26"/>
      <c r="F4158" s="87" t="str">
        <f t="shared" si="0"/>
        <v/>
      </c>
      <c r="H4158" s="26" t="str">
        <f t="shared" si="1"/>
        <v/>
      </c>
      <c r="I4158" s="26" t="str">
        <f t="shared" si="2"/>
        <v/>
      </c>
      <c r="J4158" s="86">
        <f t="shared" si="3"/>
        <v>0</v>
      </c>
      <c r="R4158" s="26"/>
    </row>
    <row r="4159" spans="1:18" ht="15.75" customHeight="1">
      <c r="A4159" s="26"/>
      <c r="B4159" s="86"/>
      <c r="D4159" s="26"/>
      <c r="F4159" s="87" t="str">
        <f t="shared" si="0"/>
        <v/>
      </c>
      <c r="H4159" s="26" t="str">
        <f t="shared" si="1"/>
        <v/>
      </c>
      <c r="I4159" s="26" t="str">
        <f t="shared" si="2"/>
        <v/>
      </c>
      <c r="J4159" s="86">
        <f t="shared" si="3"/>
        <v>0</v>
      </c>
      <c r="R4159" s="26"/>
    </row>
    <row r="4160" spans="1:18" ht="15.75" customHeight="1">
      <c r="A4160" s="26"/>
      <c r="B4160" s="86"/>
      <c r="D4160" s="26"/>
      <c r="F4160" s="87" t="str">
        <f t="shared" si="0"/>
        <v/>
      </c>
      <c r="H4160" s="26" t="str">
        <f t="shared" si="1"/>
        <v/>
      </c>
      <c r="I4160" s="26" t="str">
        <f t="shared" si="2"/>
        <v/>
      </c>
      <c r="J4160" s="86">
        <f t="shared" si="3"/>
        <v>0</v>
      </c>
      <c r="R4160" s="26"/>
    </row>
    <row r="4161" spans="1:18" ht="15.75" customHeight="1">
      <c r="A4161" s="26"/>
      <c r="B4161" s="86"/>
      <c r="D4161" s="26"/>
      <c r="F4161" s="87" t="str">
        <f t="shared" si="0"/>
        <v/>
      </c>
      <c r="H4161" s="26" t="str">
        <f t="shared" si="1"/>
        <v/>
      </c>
      <c r="I4161" s="26" t="str">
        <f t="shared" si="2"/>
        <v/>
      </c>
      <c r="J4161" s="86">
        <f t="shared" si="3"/>
        <v>0</v>
      </c>
      <c r="R4161" s="26"/>
    </row>
    <row r="4162" spans="1:18" ht="15.75" customHeight="1">
      <c r="A4162" s="26"/>
      <c r="B4162" s="86"/>
      <c r="D4162" s="26"/>
      <c r="F4162" s="87" t="str">
        <f t="shared" si="0"/>
        <v/>
      </c>
      <c r="H4162" s="26" t="str">
        <f t="shared" si="1"/>
        <v/>
      </c>
      <c r="I4162" s="26" t="str">
        <f t="shared" si="2"/>
        <v/>
      </c>
      <c r="J4162" s="86">
        <f t="shared" si="3"/>
        <v>0</v>
      </c>
      <c r="R4162" s="26"/>
    </row>
    <row r="4163" spans="1:18" ht="15.75" customHeight="1">
      <c r="A4163" s="26"/>
      <c r="B4163" s="86"/>
      <c r="D4163" s="26"/>
      <c r="F4163" s="87" t="str">
        <f t="shared" si="0"/>
        <v/>
      </c>
      <c r="H4163" s="26" t="str">
        <f t="shared" si="1"/>
        <v/>
      </c>
      <c r="I4163" s="26" t="str">
        <f t="shared" si="2"/>
        <v/>
      </c>
      <c r="J4163" s="86">
        <f t="shared" si="3"/>
        <v>0</v>
      </c>
      <c r="R4163" s="26"/>
    </row>
    <row r="4164" spans="1:18" ht="15.75" customHeight="1">
      <c r="A4164" s="26"/>
      <c r="B4164" s="86"/>
      <c r="D4164" s="26"/>
      <c r="F4164" s="87" t="str">
        <f t="shared" si="0"/>
        <v/>
      </c>
      <c r="H4164" s="26" t="str">
        <f t="shared" si="1"/>
        <v/>
      </c>
      <c r="I4164" s="26" t="str">
        <f t="shared" si="2"/>
        <v/>
      </c>
      <c r="J4164" s="86">
        <f t="shared" si="3"/>
        <v>0</v>
      </c>
      <c r="R4164" s="26"/>
    </row>
    <row r="4165" spans="1:18" ht="15.75" customHeight="1">
      <c r="A4165" s="26"/>
      <c r="B4165" s="86"/>
      <c r="D4165" s="26"/>
      <c r="F4165" s="87" t="str">
        <f t="shared" si="0"/>
        <v/>
      </c>
      <c r="H4165" s="26" t="str">
        <f t="shared" si="1"/>
        <v/>
      </c>
      <c r="I4165" s="26" t="str">
        <f t="shared" si="2"/>
        <v/>
      </c>
      <c r="J4165" s="86">
        <f t="shared" si="3"/>
        <v>0</v>
      </c>
      <c r="R4165" s="26"/>
    </row>
    <row r="4166" spans="1:18" ht="15.75" customHeight="1">
      <c r="A4166" s="26"/>
      <c r="B4166" s="86"/>
      <c r="D4166" s="26"/>
      <c r="F4166" s="87" t="str">
        <f t="shared" si="0"/>
        <v/>
      </c>
      <c r="H4166" s="26" t="str">
        <f t="shared" si="1"/>
        <v/>
      </c>
      <c r="I4166" s="26" t="str">
        <f t="shared" si="2"/>
        <v/>
      </c>
      <c r="J4166" s="86">
        <f t="shared" si="3"/>
        <v>0</v>
      </c>
      <c r="R4166" s="26"/>
    </row>
    <row r="4167" spans="1:18" ht="15.75" customHeight="1">
      <c r="A4167" s="26"/>
      <c r="B4167" s="86"/>
      <c r="D4167" s="26"/>
      <c r="F4167" s="87" t="str">
        <f t="shared" si="0"/>
        <v/>
      </c>
      <c r="H4167" s="26" t="str">
        <f t="shared" si="1"/>
        <v/>
      </c>
      <c r="I4167" s="26" t="str">
        <f t="shared" si="2"/>
        <v/>
      </c>
      <c r="J4167" s="86">
        <f t="shared" si="3"/>
        <v>0</v>
      </c>
      <c r="R4167" s="26"/>
    </row>
    <row r="4168" spans="1:18" ht="15.75" customHeight="1">
      <c r="A4168" s="26"/>
      <c r="B4168" s="86"/>
      <c r="D4168" s="26"/>
      <c r="F4168" s="87" t="str">
        <f t="shared" si="0"/>
        <v/>
      </c>
      <c r="H4168" s="26" t="str">
        <f t="shared" si="1"/>
        <v/>
      </c>
      <c r="I4168" s="26" t="str">
        <f t="shared" si="2"/>
        <v/>
      </c>
      <c r="J4168" s="86">
        <f t="shared" si="3"/>
        <v>0</v>
      </c>
      <c r="R4168" s="26"/>
    </row>
    <row r="4169" spans="1:18" ht="15.75" customHeight="1">
      <c r="A4169" s="26"/>
      <c r="B4169" s="86"/>
      <c r="D4169" s="26"/>
      <c r="F4169" s="87" t="str">
        <f t="shared" si="0"/>
        <v/>
      </c>
      <c r="H4169" s="26" t="str">
        <f t="shared" si="1"/>
        <v/>
      </c>
      <c r="I4169" s="26" t="str">
        <f t="shared" si="2"/>
        <v/>
      </c>
      <c r="J4169" s="86">
        <f t="shared" si="3"/>
        <v>0</v>
      </c>
      <c r="R4169" s="26"/>
    </row>
    <row r="4170" spans="1:18" ht="15.75" customHeight="1">
      <c r="A4170" s="26"/>
      <c r="B4170" s="86"/>
      <c r="D4170" s="26"/>
      <c r="F4170" s="87" t="str">
        <f t="shared" si="0"/>
        <v/>
      </c>
      <c r="H4170" s="26" t="str">
        <f t="shared" si="1"/>
        <v/>
      </c>
      <c r="I4170" s="26" t="str">
        <f t="shared" si="2"/>
        <v/>
      </c>
      <c r="J4170" s="86">
        <f t="shared" si="3"/>
        <v>0</v>
      </c>
      <c r="R4170" s="26"/>
    </row>
    <row r="4171" spans="1:18" ht="15.75" customHeight="1">
      <c r="A4171" s="26"/>
      <c r="B4171" s="86"/>
      <c r="D4171" s="26"/>
      <c r="F4171" s="87" t="str">
        <f t="shared" si="0"/>
        <v/>
      </c>
      <c r="H4171" s="26" t="str">
        <f t="shared" si="1"/>
        <v/>
      </c>
      <c r="I4171" s="26" t="str">
        <f t="shared" si="2"/>
        <v/>
      </c>
      <c r="J4171" s="86">
        <f t="shared" si="3"/>
        <v>0</v>
      </c>
      <c r="R4171" s="26"/>
    </row>
    <row r="4172" spans="1:18" ht="15.75" customHeight="1">
      <c r="A4172" s="26"/>
      <c r="B4172" s="86"/>
      <c r="D4172" s="26"/>
      <c r="F4172" s="87" t="str">
        <f t="shared" si="0"/>
        <v/>
      </c>
      <c r="H4172" s="26" t="str">
        <f t="shared" si="1"/>
        <v/>
      </c>
      <c r="I4172" s="26" t="str">
        <f t="shared" si="2"/>
        <v/>
      </c>
      <c r="J4172" s="86">
        <f t="shared" si="3"/>
        <v>0</v>
      </c>
      <c r="R4172" s="26"/>
    </row>
    <row r="4173" spans="1:18" ht="15.75" customHeight="1">
      <c r="A4173" s="26"/>
      <c r="B4173" s="86"/>
      <c r="D4173" s="26"/>
      <c r="F4173" s="87" t="str">
        <f t="shared" si="0"/>
        <v/>
      </c>
      <c r="H4173" s="26" t="str">
        <f t="shared" si="1"/>
        <v/>
      </c>
      <c r="I4173" s="26" t="str">
        <f t="shared" si="2"/>
        <v/>
      </c>
      <c r="J4173" s="86">
        <f t="shared" si="3"/>
        <v>0</v>
      </c>
      <c r="R4173" s="26"/>
    </row>
    <row r="4174" spans="1:18" ht="15.75" customHeight="1">
      <c r="A4174" s="26"/>
      <c r="B4174" s="86"/>
      <c r="D4174" s="26"/>
      <c r="F4174" s="87" t="str">
        <f t="shared" si="0"/>
        <v/>
      </c>
      <c r="H4174" s="26" t="str">
        <f t="shared" si="1"/>
        <v/>
      </c>
      <c r="I4174" s="26" t="str">
        <f t="shared" si="2"/>
        <v/>
      </c>
      <c r="J4174" s="86">
        <f t="shared" si="3"/>
        <v>0</v>
      </c>
      <c r="R4174" s="26"/>
    </row>
    <row r="4175" spans="1:18" ht="15.75" customHeight="1">
      <c r="A4175" s="26"/>
      <c r="B4175" s="86"/>
      <c r="D4175" s="26"/>
      <c r="F4175" s="87" t="str">
        <f t="shared" si="0"/>
        <v/>
      </c>
      <c r="H4175" s="26" t="str">
        <f t="shared" si="1"/>
        <v/>
      </c>
      <c r="I4175" s="26" t="str">
        <f t="shared" si="2"/>
        <v/>
      </c>
      <c r="J4175" s="86">
        <f t="shared" si="3"/>
        <v>0</v>
      </c>
      <c r="R4175" s="26"/>
    </row>
    <row r="4176" spans="1:18" ht="15.75" customHeight="1">
      <c r="A4176" s="26"/>
      <c r="B4176" s="86"/>
      <c r="D4176" s="26"/>
      <c r="F4176" s="87" t="str">
        <f t="shared" si="0"/>
        <v/>
      </c>
      <c r="H4176" s="26" t="str">
        <f t="shared" si="1"/>
        <v/>
      </c>
      <c r="I4176" s="26" t="str">
        <f t="shared" si="2"/>
        <v/>
      </c>
      <c r="J4176" s="86">
        <f t="shared" si="3"/>
        <v>0</v>
      </c>
      <c r="R4176" s="26"/>
    </row>
    <row r="4177" spans="1:18" ht="15.75" customHeight="1">
      <c r="A4177" s="26"/>
      <c r="B4177" s="86"/>
      <c r="D4177" s="26"/>
      <c r="F4177" s="87" t="str">
        <f t="shared" si="0"/>
        <v/>
      </c>
      <c r="H4177" s="26" t="str">
        <f t="shared" si="1"/>
        <v/>
      </c>
      <c r="I4177" s="26" t="str">
        <f t="shared" si="2"/>
        <v/>
      </c>
      <c r="J4177" s="86">
        <f t="shared" si="3"/>
        <v>0</v>
      </c>
      <c r="R4177" s="26"/>
    </row>
    <row r="4178" spans="1:18" ht="15.75" customHeight="1">
      <c r="A4178" s="26"/>
      <c r="B4178" s="86"/>
      <c r="D4178" s="26"/>
      <c r="F4178" s="87" t="str">
        <f t="shared" si="0"/>
        <v/>
      </c>
      <c r="H4178" s="26" t="str">
        <f t="shared" si="1"/>
        <v/>
      </c>
      <c r="I4178" s="26" t="str">
        <f t="shared" si="2"/>
        <v/>
      </c>
      <c r="J4178" s="86">
        <f t="shared" si="3"/>
        <v>0</v>
      </c>
      <c r="R4178" s="26"/>
    </row>
    <row r="4179" spans="1:18" ht="15.75" customHeight="1">
      <c r="A4179" s="26"/>
      <c r="B4179" s="86"/>
      <c r="D4179" s="26"/>
      <c r="F4179" s="87" t="str">
        <f t="shared" si="0"/>
        <v/>
      </c>
      <c r="H4179" s="26" t="str">
        <f t="shared" si="1"/>
        <v/>
      </c>
      <c r="I4179" s="26" t="str">
        <f t="shared" si="2"/>
        <v/>
      </c>
      <c r="J4179" s="86">
        <f t="shared" si="3"/>
        <v>0</v>
      </c>
      <c r="R4179" s="26"/>
    </row>
    <row r="4180" spans="1:18" ht="15.75" customHeight="1">
      <c r="A4180" s="26"/>
      <c r="B4180" s="86"/>
      <c r="D4180" s="26"/>
      <c r="F4180" s="87" t="str">
        <f t="shared" si="0"/>
        <v/>
      </c>
      <c r="H4180" s="26" t="str">
        <f t="shared" si="1"/>
        <v/>
      </c>
      <c r="I4180" s="26" t="str">
        <f t="shared" si="2"/>
        <v/>
      </c>
      <c r="J4180" s="86">
        <f t="shared" si="3"/>
        <v>0</v>
      </c>
      <c r="R4180" s="26"/>
    </row>
    <row r="4181" spans="1:18" ht="15.75" customHeight="1">
      <c r="A4181" s="26"/>
      <c r="B4181" s="86"/>
      <c r="D4181" s="26"/>
      <c r="F4181" s="87" t="str">
        <f t="shared" si="0"/>
        <v/>
      </c>
      <c r="H4181" s="26" t="str">
        <f t="shared" si="1"/>
        <v/>
      </c>
      <c r="I4181" s="26" t="str">
        <f t="shared" si="2"/>
        <v/>
      </c>
      <c r="J4181" s="86">
        <f t="shared" si="3"/>
        <v>0</v>
      </c>
      <c r="R4181" s="26"/>
    </row>
    <row r="4182" spans="1:18" ht="15.75" customHeight="1">
      <c r="A4182" s="26"/>
      <c r="B4182" s="86"/>
      <c r="D4182" s="26"/>
      <c r="F4182" s="87" t="str">
        <f t="shared" si="0"/>
        <v/>
      </c>
      <c r="H4182" s="26" t="str">
        <f t="shared" si="1"/>
        <v/>
      </c>
      <c r="I4182" s="26" t="str">
        <f t="shared" si="2"/>
        <v/>
      </c>
      <c r="J4182" s="86">
        <f t="shared" si="3"/>
        <v>0</v>
      </c>
      <c r="R4182" s="26"/>
    </row>
    <row r="4183" spans="1:18" ht="15.75" customHeight="1">
      <c r="A4183" s="26"/>
      <c r="B4183" s="86"/>
      <c r="D4183" s="26"/>
      <c r="F4183" s="87" t="str">
        <f t="shared" si="0"/>
        <v/>
      </c>
      <c r="H4183" s="26" t="str">
        <f t="shared" si="1"/>
        <v/>
      </c>
      <c r="I4183" s="26" t="str">
        <f t="shared" si="2"/>
        <v/>
      </c>
      <c r="J4183" s="86">
        <f t="shared" si="3"/>
        <v>0</v>
      </c>
      <c r="R4183" s="26"/>
    </row>
    <row r="4184" spans="1:18" ht="15.75" customHeight="1">
      <c r="A4184" s="26"/>
      <c r="B4184" s="86"/>
      <c r="D4184" s="26"/>
      <c r="F4184" s="87" t="str">
        <f t="shared" si="0"/>
        <v/>
      </c>
      <c r="H4184" s="26" t="str">
        <f t="shared" si="1"/>
        <v/>
      </c>
      <c r="I4184" s="26" t="str">
        <f t="shared" si="2"/>
        <v/>
      </c>
      <c r="J4184" s="86">
        <f t="shared" si="3"/>
        <v>0</v>
      </c>
      <c r="R4184" s="26"/>
    </row>
    <row r="4185" spans="1:18" ht="15.75" customHeight="1">
      <c r="A4185" s="26"/>
      <c r="B4185" s="86"/>
      <c r="D4185" s="26"/>
      <c r="F4185" s="87" t="str">
        <f t="shared" si="0"/>
        <v/>
      </c>
      <c r="H4185" s="26" t="str">
        <f t="shared" si="1"/>
        <v/>
      </c>
      <c r="I4185" s="26" t="str">
        <f t="shared" si="2"/>
        <v/>
      </c>
      <c r="J4185" s="86">
        <f t="shared" si="3"/>
        <v>0</v>
      </c>
      <c r="R4185" s="26"/>
    </row>
    <row r="4186" spans="1:18" ht="15.75" customHeight="1">
      <c r="A4186" s="26"/>
      <c r="B4186" s="86"/>
      <c r="D4186" s="26"/>
      <c r="F4186" s="87" t="str">
        <f t="shared" si="0"/>
        <v/>
      </c>
      <c r="H4186" s="26" t="str">
        <f t="shared" si="1"/>
        <v/>
      </c>
      <c r="I4186" s="26" t="str">
        <f t="shared" si="2"/>
        <v/>
      </c>
      <c r="J4186" s="86">
        <f t="shared" si="3"/>
        <v>0</v>
      </c>
      <c r="R4186" s="26"/>
    </row>
    <row r="4187" spans="1:18" ht="15.75" customHeight="1">
      <c r="A4187" s="26"/>
      <c r="B4187" s="86"/>
      <c r="D4187" s="26"/>
      <c r="F4187" s="87" t="str">
        <f t="shared" si="0"/>
        <v/>
      </c>
      <c r="H4187" s="26" t="str">
        <f t="shared" si="1"/>
        <v/>
      </c>
      <c r="I4187" s="26" t="str">
        <f t="shared" si="2"/>
        <v/>
      </c>
      <c r="J4187" s="86">
        <f t="shared" si="3"/>
        <v>0</v>
      </c>
      <c r="R4187" s="26"/>
    </row>
    <row r="4188" spans="1:18" ht="15.75" customHeight="1">
      <c r="A4188" s="26"/>
      <c r="B4188" s="86"/>
      <c r="D4188" s="26"/>
      <c r="F4188" s="87" t="str">
        <f t="shared" si="0"/>
        <v/>
      </c>
      <c r="H4188" s="26" t="str">
        <f t="shared" si="1"/>
        <v/>
      </c>
      <c r="I4188" s="26" t="str">
        <f t="shared" si="2"/>
        <v/>
      </c>
      <c r="J4188" s="86">
        <f t="shared" si="3"/>
        <v>0</v>
      </c>
      <c r="R4188" s="26"/>
    </row>
    <row r="4189" spans="1:18" ht="15.75" customHeight="1">
      <c r="A4189" s="26"/>
      <c r="B4189" s="86"/>
      <c r="D4189" s="26"/>
      <c r="F4189" s="87" t="str">
        <f t="shared" si="0"/>
        <v/>
      </c>
      <c r="H4189" s="26" t="str">
        <f t="shared" si="1"/>
        <v/>
      </c>
      <c r="I4189" s="26" t="str">
        <f t="shared" si="2"/>
        <v/>
      </c>
      <c r="J4189" s="86">
        <f t="shared" si="3"/>
        <v>0</v>
      </c>
      <c r="R4189" s="26"/>
    </row>
    <row r="4190" spans="1:18" ht="15.75" customHeight="1">
      <c r="A4190" s="26"/>
      <c r="B4190" s="86"/>
      <c r="D4190" s="26"/>
      <c r="F4190" s="87" t="str">
        <f t="shared" si="0"/>
        <v/>
      </c>
      <c r="H4190" s="26" t="str">
        <f t="shared" si="1"/>
        <v/>
      </c>
      <c r="I4190" s="26" t="str">
        <f t="shared" si="2"/>
        <v/>
      </c>
      <c r="J4190" s="86">
        <f t="shared" si="3"/>
        <v>0</v>
      </c>
      <c r="R4190" s="26"/>
    </row>
    <row r="4191" spans="1:18" ht="15.75" customHeight="1">
      <c r="A4191" s="26"/>
      <c r="B4191" s="86"/>
      <c r="D4191" s="26"/>
      <c r="F4191" s="87" t="str">
        <f t="shared" si="0"/>
        <v/>
      </c>
      <c r="H4191" s="26" t="str">
        <f t="shared" si="1"/>
        <v/>
      </c>
      <c r="I4191" s="26" t="str">
        <f t="shared" si="2"/>
        <v/>
      </c>
      <c r="J4191" s="86">
        <f t="shared" si="3"/>
        <v>0</v>
      </c>
      <c r="R4191" s="26"/>
    </row>
    <row r="4192" spans="1:18" ht="15.75" customHeight="1">
      <c r="A4192" s="26"/>
      <c r="B4192" s="86"/>
      <c r="D4192" s="26"/>
      <c r="F4192" s="87" t="str">
        <f t="shared" si="0"/>
        <v/>
      </c>
      <c r="H4192" s="26" t="str">
        <f t="shared" si="1"/>
        <v/>
      </c>
      <c r="I4192" s="26" t="str">
        <f t="shared" si="2"/>
        <v/>
      </c>
      <c r="J4192" s="86">
        <f t="shared" si="3"/>
        <v>0</v>
      </c>
      <c r="R4192" s="26"/>
    </row>
    <row r="4193" spans="1:18" ht="15.75" customHeight="1">
      <c r="A4193" s="26"/>
      <c r="B4193" s="86"/>
      <c r="D4193" s="26"/>
      <c r="F4193" s="87" t="str">
        <f t="shared" si="0"/>
        <v/>
      </c>
      <c r="H4193" s="26" t="str">
        <f t="shared" si="1"/>
        <v/>
      </c>
      <c r="I4193" s="26" t="str">
        <f t="shared" si="2"/>
        <v/>
      </c>
      <c r="J4193" s="86">
        <f t="shared" si="3"/>
        <v>0</v>
      </c>
      <c r="R4193" s="26"/>
    </row>
    <row r="4194" spans="1:18" ht="15.75" customHeight="1">
      <c r="A4194" s="26"/>
      <c r="B4194" s="86"/>
      <c r="D4194" s="26"/>
      <c r="F4194" s="87" t="str">
        <f t="shared" si="0"/>
        <v/>
      </c>
      <c r="H4194" s="26" t="str">
        <f t="shared" si="1"/>
        <v/>
      </c>
      <c r="I4194" s="26" t="str">
        <f t="shared" si="2"/>
        <v/>
      </c>
      <c r="J4194" s="86">
        <f t="shared" si="3"/>
        <v>0</v>
      </c>
      <c r="R4194" s="26"/>
    </row>
    <row r="4195" spans="1:18" ht="15.75" customHeight="1">
      <c r="A4195" s="26"/>
      <c r="B4195" s="86"/>
      <c r="D4195" s="26"/>
      <c r="F4195" s="87" t="str">
        <f t="shared" si="0"/>
        <v/>
      </c>
      <c r="H4195" s="26" t="str">
        <f t="shared" si="1"/>
        <v/>
      </c>
      <c r="I4195" s="26" t="str">
        <f t="shared" si="2"/>
        <v/>
      </c>
      <c r="J4195" s="86">
        <f t="shared" si="3"/>
        <v>0</v>
      </c>
      <c r="R4195" s="26"/>
    </row>
    <row r="4196" spans="1:18" ht="15.75" customHeight="1">
      <c r="A4196" s="26"/>
      <c r="B4196" s="86"/>
      <c r="D4196" s="26"/>
      <c r="F4196" s="87" t="str">
        <f t="shared" si="0"/>
        <v/>
      </c>
      <c r="H4196" s="26" t="str">
        <f t="shared" si="1"/>
        <v/>
      </c>
      <c r="I4196" s="26" t="str">
        <f t="shared" si="2"/>
        <v/>
      </c>
      <c r="J4196" s="86">
        <f t="shared" si="3"/>
        <v>0</v>
      </c>
      <c r="R4196" s="26"/>
    </row>
    <row r="4197" spans="1:18" ht="15.75" customHeight="1">
      <c r="A4197" s="26"/>
      <c r="B4197" s="86"/>
      <c r="D4197" s="26"/>
      <c r="F4197" s="87" t="str">
        <f t="shared" si="0"/>
        <v/>
      </c>
      <c r="H4197" s="26" t="str">
        <f t="shared" si="1"/>
        <v/>
      </c>
      <c r="I4197" s="26" t="str">
        <f t="shared" si="2"/>
        <v/>
      </c>
      <c r="J4197" s="86">
        <f t="shared" si="3"/>
        <v>0</v>
      </c>
      <c r="R4197" s="26"/>
    </row>
    <row r="4198" spans="1:18" ht="15.75" customHeight="1">
      <c r="A4198" s="26"/>
      <c r="B4198" s="86"/>
      <c r="D4198" s="26"/>
      <c r="F4198" s="87" t="str">
        <f t="shared" si="0"/>
        <v/>
      </c>
      <c r="H4198" s="26" t="str">
        <f t="shared" si="1"/>
        <v/>
      </c>
      <c r="I4198" s="26" t="str">
        <f t="shared" si="2"/>
        <v/>
      </c>
      <c r="J4198" s="86">
        <f t="shared" si="3"/>
        <v>0</v>
      </c>
      <c r="R4198" s="26"/>
    </row>
    <row r="4199" spans="1:18" ht="15.75" customHeight="1">
      <c r="A4199" s="26"/>
      <c r="B4199" s="86"/>
      <c r="D4199" s="26"/>
      <c r="F4199" s="87" t="str">
        <f t="shared" si="0"/>
        <v/>
      </c>
      <c r="H4199" s="26" t="str">
        <f t="shared" si="1"/>
        <v/>
      </c>
      <c r="I4199" s="26" t="str">
        <f t="shared" si="2"/>
        <v/>
      </c>
      <c r="J4199" s="86">
        <f t="shared" si="3"/>
        <v>0</v>
      </c>
      <c r="R4199" s="26"/>
    </row>
    <row r="4200" spans="1:18" ht="15.75" customHeight="1">
      <c r="A4200" s="26"/>
      <c r="B4200" s="86"/>
      <c r="D4200" s="26"/>
      <c r="F4200" s="87" t="str">
        <f t="shared" si="0"/>
        <v/>
      </c>
      <c r="H4200" s="26" t="str">
        <f t="shared" si="1"/>
        <v/>
      </c>
      <c r="I4200" s="26" t="str">
        <f t="shared" si="2"/>
        <v/>
      </c>
      <c r="J4200" s="86">
        <f t="shared" si="3"/>
        <v>0</v>
      </c>
      <c r="R4200" s="26"/>
    </row>
    <row r="4201" spans="1:18" ht="15.75" customHeight="1">
      <c r="A4201" s="26"/>
      <c r="B4201" s="86"/>
      <c r="D4201" s="26"/>
      <c r="F4201" s="87" t="str">
        <f t="shared" si="0"/>
        <v/>
      </c>
      <c r="H4201" s="26" t="str">
        <f t="shared" si="1"/>
        <v/>
      </c>
      <c r="I4201" s="26" t="str">
        <f t="shared" si="2"/>
        <v/>
      </c>
      <c r="J4201" s="86">
        <f t="shared" si="3"/>
        <v>0</v>
      </c>
      <c r="R4201" s="26"/>
    </row>
    <row r="4202" spans="1:18" ht="15.75" customHeight="1">
      <c r="A4202" s="26"/>
      <c r="B4202" s="86"/>
      <c r="D4202" s="26"/>
      <c r="F4202" s="87" t="str">
        <f t="shared" si="0"/>
        <v/>
      </c>
      <c r="H4202" s="26" t="str">
        <f t="shared" si="1"/>
        <v/>
      </c>
      <c r="I4202" s="26" t="str">
        <f t="shared" si="2"/>
        <v/>
      </c>
      <c r="J4202" s="86">
        <f t="shared" si="3"/>
        <v>0</v>
      </c>
      <c r="R4202" s="26"/>
    </row>
    <row r="4203" spans="1:18" ht="15.75" customHeight="1">
      <c r="A4203" s="26"/>
      <c r="B4203" s="86"/>
      <c r="D4203" s="26"/>
      <c r="F4203" s="87" t="str">
        <f t="shared" si="0"/>
        <v/>
      </c>
      <c r="H4203" s="26" t="str">
        <f t="shared" si="1"/>
        <v/>
      </c>
      <c r="I4203" s="26" t="str">
        <f t="shared" si="2"/>
        <v/>
      </c>
      <c r="J4203" s="86">
        <f t="shared" si="3"/>
        <v>0</v>
      </c>
      <c r="R4203" s="26"/>
    </row>
    <row r="4204" spans="1:18" ht="15.75" customHeight="1">
      <c r="A4204" s="26"/>
      <c r="B4204" s="86"/>
      <c r="D4204" s="26"/>
      <c r="F4204" s="87" t="str">
        <f t="shared" si="0"/>
        <v/>
      </c>
      <c r="H4204" s="26" t="str">
        <f t="shared" si="1"/>
        <v/>
      </c>
      <c r="I4204" s="26" t="str">
        <f t="shared" si="2"/>
        <v/>
      </c>
      <c r="J4204" s="86">
        <f t="shared" si="3"/>
        <v>0</v>
      </c>
      <c r="R4204" s="26"/>
    </row>
    <row r="4205" spans="1:18" ht="15.75" customHeight="1">
      <c r="A4205" s="26"/>
      <c r="B4205" s="86"/>
      <c r="D4205" s="26"/>
      <c r="F4205" s="87" t="str">
        <f t="shared" si="0"/>
        <v/>
      </c>
      <c r="H4205" s="26" t="str">
        <f t="shared" si="1"/>
        <v/>
      </c>
      <c r="I4205" s="26" t="str">
        <f t="shared" si="2"/>
        <v/>
      </c>
      <c r="J4205" s="86">
        <f t="shared" si="3"/>
        <v>0</v>
      </c>
      <c r="R4205" s="26"/>
    </row>
    <row r="4206" spans="1:18" ht="15.75" customHeight="1">
      <c r="A4206" s="26"/>
      <c r="B4206" s="86"/>
      <c r="D4206" s="26"/>
      <c r="F4206" s="87" t="str">
        <f t="shared" si="0"/>
        <v/>
      </c>
      <c r="H4206" s="26" t="str">
        <f t="shared" si="1"/>
        <v/>
      </c>
      <c r="I4206" s="26" t="str">
        <f t="shared" si="2"/>
        <v/>
      </c>
      <c r="J4206" s="86">
        <f t="shared" si="3"/>
        <v>0</v>
      </c>
      <c r="R4206" s="26"/>
    </row>
    <row r="4207" spans="1:18" ht="15.75" customHeight="1">
      <c r="A4207" s="26"/>
      <c r="B4207" s="86"/>
      <c r="D4207" s="26"/>
      <c r="F4207" s="87" t="str">
        <f t="shared" si="0"/>
        <v/>
      </c>
      <c r="H4207" s="26" t="str">
        <f t="shared" si="1"/>
        <v/>
      </c>
      <c r="I4207" s="26" t="str">
        <f t="shared" si="2"/>
        <v/>
      </c>
      <c r="J4207" s="86">
        <f t="shared" si="3"/>
        <v>0</v>
      </c>
      <c r="R4207" s="26"/>
    </row>
    <row r="4208" spans="1:18" ht="15.75" customHeight="1">
      <c r="A4208" s="26"/>
      <c r="B4208" s="86"/>
      <c r="D4208" s="26"/>
      <c r="F4208" s="87" t="str">
        <f t="shared" si="0"/>
        <v/>
      </c>
      <c r="H4208" s="26" t="str">
        <f t="shared" si="1"/>
        <v/>
      </c>
      <c r="I4208" s="26" t="str">
        <f t="shared" si="2"/>
        <v/>
      </c>
      <c r="J4208" s="86">
        <f t="shared" si="3"/>
        <v>0</v>
      </c>
      <c r="R4208" s="26"/>
    </row>
    <row r="4209" spans="1:18" ht="15.75" customHeight="1">
      <c r="A4209" s="26"/>
      <c r="B4209" s="86"/>
      <c r="D4209" s="26"/>
      <c r="F4209" s="87" t="str">
        <f t="shared" si="0"/>
        <v/>
      </c>
      <c r="H4209" s="26" t="str">
        <f t="shared" si="1"/>
        <v/>
      </c>
      <c r="I4209" s="26" t="str">
        <f t="shared" si="2"/>
        <v/>
      </c>
      <c r="J4209" s="86">
        <f t="shared" si="3"/>
        <v>0</v>
      </c>
      <c r="R4209" s="26"/>
    </row>
    <row r="4210" spans="1:18" ht="15.75" customHeight="1">
      <c r="A4210" s="26"/>
      <c r="B4210" s="86"/>
      <c r="D4210" s="26"/>
      <c r="F4210" s="87" t="str">
        <f t="shared" si="0"/>
        <v/>
      </c>
      <c r="H4210" s="26" t="str">
        <f t="shared" si="1"/>
        <v/>
      </c>
      <c r="I4210" s="26" t="str">
        <f t="shared" si="2"/>
        <v/>
      </c>
      <c r="J4210" s="86">
        <f t="shared" si="3"/>
        <v>0</v>
      </c>
      <c r="R4210" s="26"/>
    </row>
    <row r="4211" spans="1:18" ht="15.75" customHeight="1">
      <c r="A4211" s="26"/>
      <c r="B4211" s="86"/>
      <c r="D4211" s="26"/>
      <c r="F4211" s="87" t="str">
        <f t="shared" si="0"/>
        <v/>
      </c>
      <c r="H4211" s="26" t="str">
        <f t="shared" si="1"/>
        <v/>
      </c>
      <c r="I4211" s="26" t="str">
        <f t="shared" si="2"/>
        <v/>
      </c>
      <c r="J4211" s="86">
        <f t="shared" si="3"/>
        <v>0</v>
      </c>
      <c r="R4211" s="26"/>
    </row>
    <row r="4212" spans="1:18" ht="15.75" customHeight="1">
      <c r="A4212" s="26"/>
      <c r="B4212" s="86"/>
      <c r="D4212" s="26"/>
      <c r="F4212" s="87" t="str">
        <f t="shared" si="0"/>
        <v/>
      </c>
      <c r="H4212" s="26" t="str">
        <f t="shared" si="1"/>
        <v/>
      </c>
      <c r="I4212" s="26" t="str">
        <f t="shared" si="2"/>
        <v/>
      </c>
      <c r="J4212" s="86">
        <f t="shared" si="3"/>
        <v>0</v>
      </c>
      <c r="R4212" s="26"/>
    </row>
    <row r="4213" spans="1:18" ht="15.75" customHeight="1">
      <c r="A4213" s="26"/>
      <c r="B4213" s="86"/>
      <c r="D4213" s="26"/>
      <c r="F4213" s="87" t="str">
        <f t="shared" si="0"/>
        <v/>
      </c>
      <c r="H4213" s="26" t="str">
        <f t="shared" si="1"/>
        <v/>
      </c>
      <c r="I4213" s="26" t="str">
        <f t="shared" si="2"/>
        <v/>
      </c>
      <c r="J4213" s="86">
        <f t="shared" si="3"/>
        <v>0</v>
      </c>
      <c r="R4213" s="26"/>
    </row>
    <row r="4214" spans="1:18" ht="15.75" customHeight="1">
      <c r="A4214" s="26"/>
      <c r="B4214" s="86"/>
      <c r="D4214" s="26"/>
      <c r="F4214" s="87" t="str">
        <f t="shared" si="0"/>
        <v/>
      </c>
      <c r="H4214" s="26" t="str">
        <f t="shared" si="1"/>
        <v/>
      </c>
      <c r="I4214" s="26" t="str">
        <f t="shared" si="2"/>
        <v/>
      </c>
      <c r="J4214" s="86">
        <f t="shared" si="3"/>
        <v>0</v>
      </c>
      <c r="R4214" s="26"/>
    </row>
    <row r="4215" spans="1:18" ht="15.75" customHeight="1">
      <c r="A4215" s="26"/>
      <c r="B4215" s="86"/>
      <c r="D4215" s="26"/>
      <c r="F4215" s="87" t="str">
        <f t="shared" si="0"/>
        <v/>
      </c>
      <c r="H4215" s="26" t="str">
        <f t="shared" si="1"/>
        <v/>
      </c>
      <c r="I4215" s="26" t="str">
        <f t="shared" si="2"/>
        <v/>
      </c>
      <c r="J4215" s="86">
        <f t="shared" si="3"/>
        <v>0</v>
      </c>
      <c r="R4215" s="26"/>
    </row>
    <row r="4216" spans="1:18" ht="15.75" customHeight="1">
      <c r="A4216" s="26"/>
      <c r="B4216" s="86"/>
      <c r="D4216" s="26"/>
      <c r="F4216" s="87" t="str">
        <f t="shared" si="0"/>
        <v/>
      </c>
      <c r="H4216" s="26" t="str">
        <f t="shared" si="1"/>
        <v/>
      </c>
      <c r="I4216" s="26" t="str">
        <f t="shared" si="2"/>
        <v/>
      </c>
      <c r="J4216" s="86">
        <f t="shared" si="3"/>
        <v>0</v>
      </c>
      <c r="R4216" s="26"/>
    </row>
    <row r="4217" spans="1:18" ht="15.75" customHeight="1">
      <c r="A4217" s="26"/>
      <c r="B4217" s="86"/>
      <c r="D4217" s="26"/>
      <c r="F4217" s="87" t="str">
        <f t="shared" si="0"/>
        <v/>
      </c>
      <c r="H4217" s="26" t="str">
        <f t="shared" si="1"/>
        <v/>
      </c>
      <c r="I4217" s="26" t="str">
        <f t="shared" si="2"/>
        <v/>
      </c>
      <c r="J4217" s="86">
        <f t="shared" si="3"/>
        <v>0</v>
      </c>
      <c r="R4217" s="26"/>
    </row>
    <row r="4218" spans="1:18" ht="15.75" customHeight="1">
      <c r="A4218" s="26"/>
      <c r="B4218" s="86"/>
      <c r="D4218" s="26"/>
      <c r="F4218" s="87" t="str">
        <f t="shared" si="0"/>
        <v/>
      </c>
      <c r="H4218" s="26" t="str">
        <f t="shared" si="1"/>
        <v/>
      </c>
      <c r="I4218" s="26" t="str">
        <f t="shared" si="2"/>
        <v/>
      </c>
      <c r="J4218" s="86">
        <f t="shared" si="3"/>
        <v>0</v>
      </c>
      <c r="R4218" s="26"/>
    </row>
    <row r="4219" spans="1:18" ht="15.75" customHeight="1">
      <c r="A4219" s="26"/>
      <c r="B4219" s="86"/>
      <c r="D4219" s="26"/>
      <c r="F4219" s="87" t="str">
        <f t="shared" si="0"/>
        <v/>
      </c>
      <c r="H4219" s="26" t="str">
        <f t="shared" si="1"/>
        <v/>
      </c>
      <c r="I4219" s="26" t="str">
        <f t="shared" si="2"/>
        <v/>
      </c>
      <c r="J4219" s="86">
        <f t="shared" si="3"/>
        <v>0</v>
      </c>
      <c r="R4219" s="26"/>
    </row>
    <row r="4220" spans="1:18" ht="15.75" customHeight="1">
      <c r="A4220" s="26"/>
      <c r="B4220" s="86"/>
      <c r="D4220" s="26"/>
      <c r="F4220" s="87" t="str">
        <f t="shared" si="0"/>
        <v/>
      </c>
      <c r="H4220" s="26" t="str">
        <f t="shared" si="1"/>
        <v/>
      </c>
      <c r="I4220" s="26" t="str">
        <f t="shared" si="2"/>
        <v/>
      </c>
      <c r="J4220" s="86">
        <f t="shared" si="3"/>
        <v>0</v>
      </c>
      <c r="R4220" s="26"/>
    </row>
    <row r="4221" spans="1:18" ht="15.75" customHeight="1">
      <c r="A4221" s="26"/>
      <c r="B4221" s="86"/>
      <c r="D4221" s="26"/>
      <c r="F4221" s="87" t="str">
        <f t="shared" si="0"/>
        <v/>
      </c>
      <c r="H4221" s="26" t="str">
        <f t="shared" si="1"/>
        <v/>
      </c>
      <c r="I4221" s="26" t="str">
        <f t="shared" si="2"/>
        <v/>
      </c>
      <c r="J4221" s="86">
        <f t="shared" si="3"/>
        <v>0</v>
      </c>
      <c r="R4221" s="26"/>
    </row>
    <row r="4222" spans="1:18" ht="15.75" customHeight="1">
      <c r="A4222" s="26"/>
      <c r="B4222" s="86"/>
      <c r="D4222" s="26"/>
      <c r="F4222" s="87" t="str">
        <f t="shared" si="0"/>
        <v/>
      </c>
      <c r="H4222" s="26" t="str">
        <f t="shared" si="1"/>
        <v/>
      </c>
      <c r="I4222" s="26" t="str">
        <f t="shared" si="2"/>
        <v/>
      </c>
      <c r="J4222" s="86">
        <f t="shared" si="3"/>
        <v>0</v>
      </c>
      <c r="R4222" s="26"/>
    </row>
    <row r="4223" spans="1:18" ht="15.75" customHeight="1">
      <c r="A4223" s="26"/>
      <c r="B4223" s="86"/>
      <c r="D4223" s="26"/>
      <c r="F4223" s="87" t="str">
        <f t="shared" si="0"/>
        <v/>
      </c>
      <c r="H4223" s="26" t="str">
        <f t="shared" si="1"/>
        <v/>
      </c>
      <c r="I4223" s="26" t="str">
        <f t="shared" si="2"/>
        <v/>
      </c>
      <c r="J4223" s="86">
        <f t="shared" si="3"/>
        <v>0</v>
      </c>
      <c r="R4223" s="26"/>
    </row>
    <row r="4224" spans="1:18" ht="15.75" customHeight="1">
      <c r="A4224" s="26"/>
      <c r="B4224" s="86"/>
      <c r="D4224" s="26"/>
      <c r="F4224" s="87" t="str">
        <f t="shared" si="0"/>
        <v/>
      </c>
      <c r="H4224" s="26" t="str">
        <f t="shared" si="1"/>
        <v/>
      </c>
      <c r="I4224" s="26" t="str">
        <f t="shared" si="2"/>
        <v/>
      </c>
      <c r="J4224" s="86">
        <f t="shared" si="3"/>
        <v>0</v>
      </c>
      <c r="R4224" s="26"/>
    </row>
    <row r="4225" spans="1:18" ht="15.75" customHeight="1">
      <c r="A4225" s="26"/>
      <c r="B4225" s="86"/>
      <c r="D4225" s="26"/>
      <c r="F4225" s="87" t="str">
        <f t="shared" si="0"/>
        <v/>
      </c>
      <c r="H4225" s="26" t="str">
        <f t="shared" si="1"/>
        <v/>
      </c>
      <c r="I4225" s="26" t="str">
        <f t="shared" si="2"/>
        <v/>
      </c>
      <c r="J4225" s="86">
        <f t="shared" si="3"/>
        <v>0</v>
      </c>
      <c r="R4225" s="26"/>
    </row>
    <row r="4226" spans="1:18" ht="15.75" customHeight="1">
      <c r="A4226" s="26"/>
      <c r="B4226" s="86"/>
      <c r="D4226" s="26"/>
      <c r="F4226" s="87" t="str">
        <f t="shared" si="0"/>
        <v/>
      </c>
      <c r="H4226" s="26" t="str">
        <f t="shared" si="1"/>
        <v/>
      </c>
      <c r="I4226" s="26" t="str">
        <f t="shared" si="2"/>
        <v/>
      </c>
      <c r="J4226" s="86">
        <f t="shared" si="3"/>
        <v>0</v>
      </c>
      <c r="R4226" s="26"/>
    </row>
    <row r="4227" spans="1:18" ht="15.75" customHeight="1">
      <c r="A4227" s="26"/>
      <c r="B4227" s="86"/>
      <c r="D4227" s="26"/>
      <c r="F4227" s="87" t="str">
        <f t="shared" si="0"/>
        <v/>
      </c>
      <c r="H4227" s="26" t="str">
        <f t="shared" si="1"/>
        <v/>
      </c>
      <c r="I4227" s="26" t="str">
        <f t="shared" si="2"/>
        <v/>
      </c>
      <c r="J4227" s="86">
        <f t="shared" si="3"/>
        <v>0</v>
      </c>
      <c r="R4227" s="26"/>
    </row>
    <row r="4228" spans="1:18" ht="15.75" customHeight="1">
      <c r="A4228" s="26"/>
      <c r="B4228" s="86"/>
      <c r="D4228" s="26"/>
      <c r="F4228" s="87" t="str">
        <f t="shared" si="0"/>
        <v/>
      </c>
      <c r="H4228" s="26" t="str">
        <f t="shared" si="1"/>
        <v/>
      </c>
      <c r="I4228" s="26" t="str">
        <f t="shared" si="2"/>
        <v/>
      </c>
      <c r="J4228" s="86">
        <f t="shared" si="3"/>
        <v>0</v>
      </c>
      <c r="R4228" s="26"/>
    </row>
    <row r="4229" spans="1:18" ht="15.75" customHeight="1">
      <c r="A4229" s="26"/>
      <c r="B4229" s="86"/>
      <c r="D4229" s="26"/>
      <c r="F4229" s="87" t="str">
        <f t="shared" si="0"/>
        <v/>
      </c>
      <c r="H4229" s="26" t="str">
        <f t="shared" si="1"/>
        <v/>
      </c>
      <c r="I4229" s="26" t="str">
        <f t="shared" si="2"/>
        <v/>
      </c>
      <c r="J4229" s="86">
        <f t="shared" si="3"/>
        <v>0</v>
      </c>
      <c r="R4229" s="26"/>
    </row>
    <row r="4230" spans="1:18" ht="15.75" customHeight="1">
      <c r="A4230" s="26"/>
      <c r="B4230" s="86"/>
      <c r="D4230" s="26"/>
      <c r="F4230" s="87" t="str">
        <f t="shared" si="0"/>
        <v/>
      </c>
      <c r="H4230" s="26" t="str">
        <f t="shared" si="1"/>
        <v/>
      </c>
      <c r="I4230" s="26" t="str">
        <f t="shared" si="2"/>
        <v/>
      </c>
      <c r="J4230" s="86">
        <f t="shared" si="3"/>
        <v>0</v>
      </c>
      <c r="R4230" s="26"/>
    </row>
    <row r="4231" spans="1:18" ht="15.75" customHeight="1">
      <c r="A4231" s="26"/>
      <c r="B4231" s="86"/>
      <c r="D4231" s="26"/>
      <c r="F4231" s="87" t="str">
        <f t="shared" si="0"/>
        <v/>
      </c>
      <c r="H4231" s="26" t="str">
        <f t="shared" si="1"/>
        <v/>
      </c>
      <c r="I4231" s="26" t="str">
        <f t="shared" si="2"/>
        <v/>
      </c>
      <c r="J4231" s="86">
        <f t="shared" si="3"/>
        <v>0</v>
      </c>
      <c r="R4231" s="26"/>
    </row>
    <row r="4232" spans="1:18" ht="15.75" customHeight="1">
      <c r="A4232" s="26"/>
      <c r="B4232" s="86"/>
      <c r="D4232" s="26"/>
      <c r="F4232" s="87" t="str">
        <f t="shared" si="0"/>
        <v/>
      </c>
      <c r="H4232" s="26" t="str">
        <f t="shared" si="1"/>
        <v/>
      </c>
      <c r="I4232" s="26" t="str">
        <f t="shared" si="2"/>
        <v/>
      </c>
      <c r="J4232" s="86">
        <f t="shared" si="3"/>
        <v>0</v>
      </c>
      <c r="R4232" s="26"/>
    </row>
    <row r="4233" spans="1:18" ht="15.75" customHeight="1">
      <c r="A4233" s="26"/>
      <c r="B4233" s="86"/>
      <c r="D4233" s="26"/>
      <c r="F4233" s="87" t="str">
        <f t="shared" si="0"/>
        <v/>
      </c>
      <c r="H4233" s="26" t="str">
        <f t="shared" si="1"/>
        <v/>
      </c>
      <c r="I4233" s="26" t="str">
        <f t="shared" si="2"/>
        <v/>
      </c>
      <c r="J4233" s="86">
        <f t="shared" si="3"/>
        <v>0</v>
      </c>
      <c r="R4233" s="26"/>
    </row>
    <row r="4234" spans="1:18" ht="15.75" customHeight="1">
      <c r="A4234" s="26"/>
      <c r="B4234" s="86"/>
      <c r="D4234" s="26"/>
      <c r="F4234" s="87" t="str">
        <f t="shared" si="0"/>
        <v/>
      </c>
      <c r="H4234" s="26" t="str">
        <f t="shared" si="1"/>
        <v/>
      </c>
      <c r="I4234" s="26" t="str">
        <f t="shared" si="2"/>
        <v/>
      </c>
      <c r="J4234" s="86">
        <f t="shared" si="3"/>
        <v>0</v>
      </c>
      <c r="R4234" s="26"/>
    </row>
    <row r="4235" spans="1:18" ht="15.75" customHeight="1">
      <c r="A4235" s="26"/>
      <c r="B4235" s="86"/>
      <c r="D4235" s="26"/>
      <c r="F4235" s="87" t="str">
        <f t="shared" si="0"/>
        <v/>
      </c>
      <c r="H4235" s="26" t="str">
        <f t="shared" si="1"/>
        <v/>
      </c>
      <c r="I4235" s="26" t="str">
        <f t="shared" si="2"/>
        <v/>
      </c>
      <c r="J4235" s="86">
        <f t="shared" si="3"/>
        <v>0</v>
      </c>
      <c r="R4235" s="26"/>
    </row>
    <row r="4236" spans="1:18" ht="15.75" customHeight="1">
      <c r="A4236" s="26"/>
      <c r="B4236" s="86"/>
      <c r="D4236" s="26"/>
      <c r="F4236" s="87" t="str">
        <f t="shared" si="0"/>
        <v/>
      </c>
      <c r="H4236" s="26" t="str">
        <f t="shared" si="1"/>
        <v/>
      </c>
      <c r="I4236" s="26" t="str">
        <f t="shared" si="2"/>
        <v/>
      </c>
      <c r="J4236" s="86">
        <f t="shared" si="3"/>
        <v>0</v>
      </c>
      <c r="R4236" s="26"/>
    </row>
    <row r="4237" spans="1:18" ht="15.75" customHeight="1">
      <c r="A4237" s="26"/>
      <c r="B4237" s="86"/>
      <c r="D4237" s="26"/>
      <c r="F4237" s="87" t="str">
        <f t="shared" si="0"/>
        <v/>
      </c>
      <c r="H4237" s="26" t="str">
        <f t="shared" si="1"/>
        <v/>
      </c>
      <c r="I4237" s="26" t="str">
        <f t="shared" si="2"/>
        <v/>
      </c>
      <c r="J4237" s="86">
        <f t="shared" si="3"/>
        <v>0</v>
      </c>
      <c r="R4237" s="26"/>
    </row>
    <row r="4238" spans="1:18" ht="15.75" customHeight="1">
      <c r="A4238" s="26"/>
      <c r="B4238" s="86"/>
      <c r="D4238" s="26"/>
      <c r="F4238" s="87" t="str">
        <f t="shared" si="0"/>
        <v/>
      </c>
      <c r="H4238" s="26" t="str">
        <f t="shared" si="1"/>
        <v/>
      </c>
      <c r="I4238" s="26" t="str">
        <f t="shared" si="2"/>
        <v/>
      </c>
      <c r="J4238" s="86">
        <f t="shared" si="3"/>
        <v>0</v>
      </c>
      <c r="R4238" s="26"/>
    </row>
    <row r="4239" spans="1:18" ht="15.75" customHeight="1">
      <c r="A4239" s="26"/>
      <c r="B4239" s="86"/>
      <c r="D4239" s="26"/>
      <c r="F4239" s="87" t="str">
        <f t="shared" si="0"/>
        <v/>
      </c>
      <c r="H4239" s="26" t="str">
        <f t="shared" si="1"/>
        <v/>
      </c>
      <c r="I4239" s="26" t="str">
        <f t="shared" si="2"/>
        <v/>
      </c>
      <c r="J4239" s="86">
        <f t="shared" si="3"/>
        <v>0</v>
      </c>
      <c r="R4239" s="26"/>
    </row>
    <row r="4240" spans="1:18" ht="15.75" customHeight="1">
      <c r="A4240" s="26"/>
      <c r="B4240" s="86"/>
      <c r="D4240" s="26"/>
      <c r="F4240" s="87" t="str">
        <f t="shared" si="0"/>
        <v/>
      </c>
      <c r="H4240" s="26" t="str">
        <f t="shared" si="1"/>
        <v/>
      </c>
      <c r="I4240" s="26" t="str">
        <f t="shared" si="2"/>
        <v/>
      </c>
      <c r="J4240" s="86">
        <f t="shared" si="3"/>
        <v>0</v>
      </c>
      <c r="R4240" s="26"/>
    </row>
    <row r="4241" spans="1:18" ht="15.75" customHeight="1">
      <c r="A4241" s="26"/>
      <c r="B4241" s="86"/>
      <c r="D4241" s="26"/>
      <c r="F4241" s="87" t="str">
        <f t="shared" si="0"/>
        <v/>
      </c>
      <c r="H4241" s="26" t="str">
        <f t="shared" si="1"/>
        <v/>
      </c>
      <c r="I4241" s="26" t="str">
        <f t="shared" si="2"/>
        <v/>
      </c>
      <c r="J4241" s="86">
        <f t="shared" si="3"/>
        <v>0</v>
      </c>
      <c r="R4241" s="26"/>
    </row>
    <row r="4242" spans="1:18" ht="15.75" customHeight="1">
      <c r="A4242" s="26"/>
      <c r="B4242" s="86"/>
      <c r="D4242" s="26"/>
      <c r="F4242" s="87" t="str">
        <f t="shared" si="0"/>
        <v/>
      </c>
      <c r="H4242" s="26" t="str">
        <f t="shared" si="1"/>
        <v/>
      </c>
      <c r="I4242" s="26" t="str">
        <f t="shared" si="2"/>
        <v/>
      </c>
      <c r="J4242" s="86">
        <f t="shared" si="3"/>
        <v>0</v>
      </c>
      <c r="R4242" s="26"/>
    </row>
    <row r="4243" spans="1:18" ht="15.75" customHeight="1">
      <c r="A4243" s="26"/>
      <c r="B4243" s="86"/>
      <c r="D4243" s="26"/>
      <c r="F4243" s="87" t="str">
        <f t="shared" si="0"/>
        <v/>
      </c>
      <c r="H4243" s="26" t="str">
        <f t="shared" si="1"/>
        <v/>
      </c>
      <c r="I4243" s="26" t="str">
        <f t="shared" si="2"/>
        <v/>
      </c>
      <c r="J4243" s="86">
        <f t="shared" si="3"/>
        <v>0</v>
      </c>
      <c r="R4243" s="26"/>
    </row>
    <row r="4244" spans="1:18" ht="15.75" customHeight="1">
      <c r="A4244" s="26"/>
      <c r="B4244" s="86"/>
      <c r="D4244" s="26"/>
      <c r="F4244" s="87" t="str">
        <f t="shared" si="0"/>
        <v/>
      </c>
      <c r="H4244" s="26" t="str">
        <f t="shared" si="1"/>
        <v/>
      </c>
      <c r="I4244" s="26" t="str">
        <f t="shared" si="2"/>
        <v/>
      </c>
      <c r="J4244" s="86">
        <f t="shared" si="3"/>
        <v>0</v>
      </c>
      <c r="R4244" s="26"/>
    </row>
    <row r="4245" spans="1:18" ht="15.75" customHeight="1">
      <c r="A4245" s="26"/>
      <c r="B4245" s="86"/>
      <c r="D4245" s="26"/>
      <c r="F4245" s="87" t="str">
        <f t="shared" si="0"/>
        <v/>
      </c>
      <c r="H4245" s="26" t="str">
        <f t="shared" si="1"/>
        <v/>
      </c>
      <c r="I4245" s="26" t="str">
        <f t="shared" si="2"/>
        <v/>
      </c>
      <c r="J4245" s="86">
        <f t="shared" si="3"/>
        <v>0</v>
      </c>
      <c r="R4245" s="26"/>
    </row>
    <row r="4246" spans="1:18" ht="15.75" customHeight="1">
      <c r="A4246" s="26"/>
      <c r="B4246" s="86"/>
      <c r="D4246" s="26"/>
      <c r="F4246" s="87" t="str">
        <f t="shared" si="0"/>
        <v/>
      </c>
      <c r="H4246" s="26" t="str">
        <f t="shared" si="1"/>
        <v/>
      </c>
      <c r="I4246" s="26" t="str">
        <f t="shared" si="2"/>
        <v/>
      </c>
      <c r="J4246" s="86">
        <f t="shared" si="3"/>
        <v>0</v>
      </c>
      <c r="R4246" s="26"/>
    </row>
    <row r="4247" spans="1:18" ht="15.75" customHeight="1">
      <c r="A4247" s="26"/>
      <c r="B4247" s="86"/>
      <c r="D4247" s="26"/>
      <c r="F4247" s="87" t="str">
        <f t="shared" si="0"/>
        <v/>
      </c>
      <c r="H4247" s="26" t="str">
        <f t="shared" si="1"/>
        <v/>
      </c>
      <c r="I4247" s="26" t="str">
        <f t="shared" si="2"/>
        <v/>
      </c>
      <c r="J4247" s="86">
        <f t="shared" si="3"/>
        <v>0</v>
      </c>
      <c r="R4247" s="26"/>
    </row>
    <row r="4248" spans="1:18" ht="15.75" customHeight="1">
      <c r="A4248" s="26"/>
      <c r="B4248" s="86"/>
      <c r="D4248" s="26"/>
      <c r="F4248" s="87" t="str">
        <f t="shared" si="0"/>
        <v/>
      </c>
      <c r="H4248" s="26" t="str">
        <f t="shared" si="1"/>
        <v/>
      </c>
      <c r="I4248" s="26" t="str">
        <f t="shared" si="2"/>
        <v/>
      </c>
      <c r="J4248" s="86">
        <f t="shared" si="3"/>
        <v>0</v>
      </c>
      <c r="R4248" s="26"/>
    </row>
    <row r="4249" spans="1:18" ht="15.75" customHeight="1">
      <c r="A4249" s="26"/>
      <c r="B4249" s="86"/>
      <c r="D4249" s="26"/>
      <c r="F4249" s="87" t="str">
        <f t="shared" si="0"/>
        <v/>
      </c>
      <c r="H4249" s="26" t="str">
        <f t="shared" si="1"/>
        <v/>
      </c>
      <c r="I4249" s="26" t="str">
        <f t="shared" si="2"/>
        <v/>
      </c>
      <c r="J4249" s="86">
        <f t="shared" si="3"/>
        <v>0</v>
      </c>
      <c r="R4249" s="26"/>
    </row>
    <row r="4250" spans="1:18" ht="15.75" customHeight="1">
      <c r="A4250" s="26"/>
      <c r="B4250" s="86"/>
      <c r="D4250" s="26"/>
      <c r="F4250" s="87" t="str">
        <f t="shared" si="0"/>
        <v/>
      </c>
      <c r="H4250" s="26" t="str">
        <f t="shared" si="1"/>
        <v/>
      </c>
      <c r="I4250" s="26" t="str">
        <f t="shared" si="2"/>
        <v/>
      </c>
      <c r="J4250" s="86">
        <f t="shared" si="3"/>
        <v>0</v>
      </c>
      <c r="R4250" s="26"/>
    </row>
    <row r="4251" spans="1:18" ht="15.75" customHeight="1">
      <c r="A4251" s="26"/>
      <c r="B4251" s="86"/>
      <c r="D4251" s="26"/>
      <c r="F4251" s="87" t="str">
        <f t="shared" si="0"/>
        <v/>
      </c>
      <c r="H4251" s="26" t="str">
        <f t="shared" si="1"/>
        <v/>
      </c>
      <c r="I4251" s="26" t="str">
        <f t="shared" si="2"/>
        <v/>
      </c>
      <c r="J4251" s="86">
        <f t="shared" si="3"/>
        <v>0</v>
      </c>
      <c r="R4251" s="26"/>
    </row>
    <row r="4252" spans="1:18" ht="15.75" customHeight="1">
      <c r="A4252" s="26"/>
      <c r="B4252" s="86"/>
      <c r="D4252" s="26"/>
      <c r="F4252" s="87" t="str">
        <f t="shared" si="0"/>
        <v/>
      </c>
      <c r="H4252" s="26" t="str">
        <f t="shared" si="1"/>
        <v/>
      </c>
      <c r="I4252" s="26" t="str">
        <f t="shared" si="2"/>
        <v/>
      </c>
      <c r="J4252" s="86">
        <f t="shared" si="3"/>
        <v>0</v>
      </c>
      <c r="R4252" s="26"/>
    </row>
    <row r="4253" spans="1:18" ht="15.75" customHeight="1">
      <c r="A4253" s="26"/>
      <c r="B4253" s="86"/>
      <c r="D4253" s="26"/>
      <c r="F4253" s="87" t="str">
        <f t="shared" si="0"/>
        <v/>
      </c>
      <c r="H4253" s="26" t="str">
        <f t="shared" si="1"/>
        <v/>
      </c>
      <c r="I4253" s="26" t="str">
        <f t="shared" si="2"/>
        <v/>
      </c>
      <c r="J4253" s="86">
        <f t="shared" si="3"/>
        <v>0</v>
      </c>
      <c r="R4253" s="26"/>
    </row>
    <row r="4254" spans="1:18" ht="15.75" customHeight="1">
      <c r="A4254" s="26"/>
      <c r="B4254" s="86"/>
      <c r="D4254" s="26"/>
      <c r="F4254" s="87" t="str">
        <f t="shared" si="0"/>
        <v/>
      </c>
      <c r="H4254" s="26" t="str">
        <f t="shared" si="1"/>
        <v/>
      </c>
      <c r="I4254" s="26" t="str">
        <f t="shared" si="2"/>
        <v/>
      </c>
      <c r="J4254" s="86">
        <f t="shared" si="3"/>
        <v>0</v>
      </c>
      <c r="R4254" s="26"/>
    </row>
    <row r="4255" spans="1:18" ht="15.75" customHeight="1">
      <c r="A4255" s="26"/>
      <c r="B4255" s="86"/>
      <c r="D4255" s="26"/>
      <c r="F4255" s="87" t="str">
        <f t="shared" si="0"/>
        <v/>
      </c>
      <c r="H4255" s="26" t="str">
        <f t="shared" si="1"/>
        <v/>
      </c>
      <c r="I4255" s="26" t="str">
        <f t="shared" si="2"/>
        <v/>
      </c>
      <c r="J4255" s="86">
        <f t="shared" si="3"/>
        <v>0</v>
      </c>
      <c r="R4255" s="26"/>
    </row>
    <row r="4256" spans="1:18" ht="15.75" customHeight="1">
      <c r="A4256" s="26"/>
      <c r="B4256" s="86"/>
      <c r="D4256" s="26"/>
      <c r="F4256" s="87" t="str">
        <f t="shared" si="0"/>
        <v/>
      </c>
      <c r="H4256" s="26" t="str">
        <f t="shared" si="1"/>
        <v/>
      </c>
      <c r="I4256" s="26" t="str">
        <f t="shared" si="2"/>
        <v/>
      </c>
      <c r="J4256" s="86">
        <f t="shared" si="3"/>
        <v>0</v>
      </c>
      <c r="R4256" s="26"/>
    </row>
    <row r="4257" spans="1:18" ht="15.75" customHeight="1">
      <c r="A4257" s="26"/>
      <c r="B4257" s="86"/>
      <c r="D4257" s="26"/>
      <c r="F4257" s="87" t="str">
        <f t="shared" si="0"/>
        <v/>
      </c>
      <c r="H4257" s="26" t="str">
        <f t="shared" si="1"/>
        <v/>
      </c>
      <c r="I4257" s="26" t="str">
        <f t="shared" si="2"/>
        <v/>
      </c>
      <c r="J4257" s="86">
        <f t="shared" si="3"/>
        <v>0</v>
      </c>
      <c r="R4257" s="26"/>
    </row>
    <row r="4258" spans="1:18" ht="15.75" customHeight="1">
      <c r="A4258" s="26"/>
      <c r="B4258" s="86"/>
      <c r="D4258" s="26"/>
      <c r="F4258" s="87" t="str">
        <f t="shared" si="0"/>
        <v/>
      </c>
      <c r="H4258" s="26" t="str">
        <f t="shared" si="1"/>
        <v/>
      </c>
      <c r="I4258" s="26" t="str">
        <f t="shared" si="2"/>
        <v/>
      </c>
      <c r="J4258" s="86">
        <f t="shared" si="3"/>
        <v>0</v>
      </c>
      <c r="R4258" s="26"/>
    </row>
    <row r="4259" spans="1:18" ht="15.75" customHeight="1">
      <c r="A4259" s="26"/>
      <c r="B4259" s="86"/>
      <c r="D4259" s="26"/>
      <c r="F4259" s="87" t="str">
        <f t="shared" si="0"/>
        <v/>
      </c>
      <c r="H4259" s="26" t="str">
        <f t="shared" si="1"/>
        <v/>
      </c>
      <c r="I4259" s="26" t="str">
        <f t="shared" si="2"/>
        <v/>
      </c>
      <c r="J4259" s="86">
        <f t="shared" si="3"/>
        <v>0</v>
      </c>
      <c r="R4259" s="26"/>
    </row>
    <row r="4260" spans="1:18" ht="15.75" customHeight="1">
      <c r="A4260" s="26"/>
      <c r="B4260" s="86"/>
      <c r="D4260" s="26"/>
      <c r="F4260" s="87" t="str">
        <f t="shared" si="0"/>
        <v/>
      </c>
      <c r="H4260" s="26" t="str">
        <f t="shared" si="1"/>
        <v/>
      </c>
      <c r="I4260" s="26" t="str">
        <f t="shared" si="2"/>
        <v/>
      </c>
      <c r="J4260" s="86">
        <f t="shared" si="3"/>
        <v>0</v>
      </c>
      <c r="R4260" s="26"/>
    </row>
    <row r="4261" spans="1:18" ht="15.75" customHeight="1">
      <c r="A4261" s="26"/>
      <c r="B4261" s="86"/>
      <c r="D4261" s="26"/>
      <c r="F4261" s="87" t="str">
        <f t="shared" si="0"/>
        <v/>
      </c>
      <c r="H4261" s="26" t="str">
        <f t="shared" si="1"/>
        <v/>
      </c>
      <c r="I4261" s="26" t="str">
        <f t="shared" si="2"/>
        <v/>
      </c>
      <c r="J4261" s="86">
        <f t="shared" si="3"/>
        <v>0</v>
      </c>
      <c r="R4261" s="26"/>
    </row>
    <row r="4262" spans="1:18" ht="15.75" customHeight="1">
      <c r="A4262" s="26"/>
      <c r="B4262" s="86"/>
      <c r="D4262" s="26"/>
      <c r="F4262" s="87" t="str">
        <f t="shared" si="0"/>
        <v/>
      </c>
      <c r="H4262" s="26" t="str">
        <f t="shared" si="1"/>
        <v/>
      </c>
      <c r="I4262" s="26" t="str">
        <f t="shared" si="2"/>
        <v/>
      </c>
      <c r="J4262" s="86">
        <f t="shared" si="3"/>
        <v>0</v>
      </c>
      <c r="R4262" s="26"/>
    </row>
    <row r="4263" spans="1:18" ht="15.75" customHeight="1">
      <c r="A4263" s="26"/>
      <c r="B4263" s="86"/>
      <c r="D4263" s="26"/>
      <c r="F4263" s="87" t="str">
        <f t="shared" si="0"/>
        <v/>
      </c>
      <c r="H4263" s="26" t="str">
        <f t="shared" si="1"/>
        <v/>
      </c>
      <c r="I4263" s="26" t="str">
        <f t="shared" si="2"/>
        <v/>
      </c>
      <c r="J4263" s="86">
        <f t="shared" si="3"/>
        <v>0</v>
      </c>
      <c r="R4263" s="26"/>
    </row>
    <row r="4264" spans="1:18" ht="15.75" customHeight="1">
      <c r="A4264" s="26"/>
      <c r="B4264" s="86"/>
      <c r="D4264" s="26"/>
      <c r="F4264" s="87" t="str">
        <f t="shared" si="0"/>
        <v/>
      </c>
      <c r="H4264" s="26" t="str">
        <f t="shared" si="1"/>
        <v/>
      </c>
      <c r="I4264" s="26" t="str">
        <f t="shared" si="2"/>
        <v/>
      </c>
      <c r="J4264" s="86">
        <f t="shared" si="3"/>
        <v>0</v>
      </c>
      <c r="R4264" s="26"/>
    </row>
    <row r="4265" spans="1:18" ht="15.75" customHeight="1">
      <c r="A4265" s="26"/>
      <c r="B4265" s="86"/>
      <c r="D4265" s="26"/>
      <c r="F4265" s="87" t="str">
        <f t="shared" si="0"/>
        <v/>
      </c>
      <c r="H4265" s="26" t="str">
        <f t="shared" si="1"/>
        <v/>
      </c>
      <c r="I4265" s="26" t="str">
        <f t="shared" si="2"/>
        <v/>
      </c>
      <c r="J4265" s="86">
        <f t="shared" si="3"/>
        <v>0</v>
      </c>
      <c r="R4265" s="26"/>
    </row>
    <row r="4266" spans="1:18" ht="15.75" customHeight="1">
      <c r="A4266" s="26"/>
      <c r="B4266" s="86"/>
      <c r="D4266" s="26"/>
      <c r="F4266" s="87" t="str">
        <f t="shared" si="0"/>
        <v/>
      </c>
      <c r="H4266" s="26" t="str">
        <f t="shared" si="1"/>
        <v/>
      </c>
      <c r="I4266" s="26" t="str">
        <f t="shared" si="2"/>
        <v/>
      </c>
      <c r="J4266" s="86">
        <f t="shared" si="3"/>
        <v>0</v>
      </c>
      <c r="R4266" s="26"/>
    </row>
    <row r="4267" spans="1:18" ht="15.75" customHeight="1">
      <c r="A4267" s="26"/>
      <c r="B4267" s="86"/>
      <c r="D4267" s="26"/>
      <c r="F4267" s="87" t="str">
        <f t="shared" si="0"/>
        <v/>
      </c>
      <c r="H4267" s="26" t="str">
        <f t="shared" si="1"/>
        <v/>
      </c>
      <c r="I4267" s="26" t="str">
        <f t="shared" si="2"/>
        <v/>
      </c>
      <c r="J4267" s="86">
        <f t="shared" si="3"/>
        <v>0</v>
      </c>
      <c r="R4267" s="26"/>
    </row>
    <row r="4268" spans="1:18" ht="15.75" customHeight="1">
      <c r="A4268" s="26"/>
      <c r="B4268" s="86"/>
      <c r="D4268" s="26"/>
      <c r="F4268" s="87" t="str">
        <f t="shared" si="0"/>
        <v/>
      </c>
      <c r="H4268" s="26" t="str">
        <f t="shared" si="1"/>
        <v/>
      </c>
      <c r="I4268" s="26" t="str">
        <f t="shared" si="2"/>
        <v/>
      </c>
      <c r="J4268" s="86">
        <f t="shared" si="3"/>
        <v>0</v>
      </c>
      <c r="R4268" s="26"/>
    </row>
    <row r="4269" spans="1:18" ht="15.75" customHeight="1">
      <c r="A4269" s="26"/>
      <c r="B4269" s="86"/>
      <c r="D4269" s="26"/>
      <c r="F4269" s="87" t="str">
        <f t="shared" si="0"/>
        <v/>
      </c>
      <c r="H4269" s="26" t="str">
        <f t="shared" si="1"/>
        <v/>
      </c>
      <c r="I4269" s="26" t="str">
        <f t="shared" si="2"/>
        <v/>
      </c>
      <c r="J4269" s="86">
        <f t="shared" si="3"/>
        <v>0</v>
      </c>
      <c r="R4269" s="26"/>
    </row>
    <row r="4270" spans="1:18" ht="15.75" customHeight="1">
      <c r="A4270" s="26"/>
      <c r="B4270" s="86"/>
      <c r="D4270" s="26"/>
      <c r="F4270" s="87" t="str">
        <f t="shared" si="0"/>
        <v/>
      </c>
      <c r="H4270" s="26" t="str">
        <f t="shared" si="1"/>
        <v/>
      </c>
      <c r="I4270" s="26" t="str">
        <f t="shared" si="2"/>
        <v/>
      </c>
      <c r="J4270" s="86">
        <f t="shared" si="3"/>
        <v>0</v>
      </c>
      <c r="R4270" s="26"/>
    </row>
    <row r="4271" spans="1:18" ht="15.75" customHeight="1">
      <c r="A4271" s="26"/>
      <c r="B4271" s="86"/>
      <c r="D4271" s="26"/>
      <c r="F4271" s="87" t="str">
        <f t="shared" si="0"/>
        <v/>
      </c>
      <c r="H4271" s="26" t="str">
        <f t="shared" si="1"/>
        <v/>
      </c>
      <c r="I4271" s="26" t="str">
        <f t="shared" si="2"/>
        <v/>
      </c>
      <c r="J4271" s="86">
        <f t="shared" si="3"/>
        <v>0</v>
      </c>
      <c r="R4271" s="26"/>
    </row>
    <row r="4272" spans="1:18" ht="15.75" customHeight="1">
      <c r="A4272" s="26"/>
      <c r="B4272" s="86"/>
      <c r="D4272" s="26"/>
      <c r="F4272" s="87" t="str">
        <f t="shared" si="0"/>
        <v/>
      </c>
      <c r="H4272" s="26" t="str">
        <f t="shared" si="1"/>
        <v/>
      </c>
      <c r="I4272" s="26" t="str">
        <f t="shared" si="2"/>
        <v/>
      </c>
      <c r="J4272" s="86">
        <f t="shared" si="3"/>
        <v>0</v>
      </c>
      <c r="R4272" s="26"/>
    </row>
    <row r="4273" spans="1:18" ht="15.75" customHeight="1">
      <c r="A4273" s="26"/>
      <c r="B4273" s="86"/>
      <c r="D4273" s="26"/>
      <c r="F4273" s="87" t="str">
        <f t="shared" si="0"/>
        <v/>
      </c>
      <c r="H4273" s="26" t="str">
        <f t="shared" si="1"/>
        <v/>
      </c>
      <c r="I4273" s="26" t="str">
        <f t="shared" si="2"/>
        <v/>
      </c>
      <c r="J4273" s="86">
        <f t="shared" si="3"/>
        <v>0</v>
      </c>
      <c r="R4273" s="26"/>
    </row>
    <row r="4274" spans="1:18" ht="15.75" customHeight="1">
      <c r="A4274" s="26"/>
      <c r="B4274" s="86"/>
      <c r="D4274" s="26"/>
      <c r="F4274" s="87" t="str">
        <f t="shared" si="0"/>
        <v/>
      </c>
      <c r="H4274" s="26" t="str">
        <f t="shared" si="1"/>
        <v/>
      </c>
      <c r="I4274" s="26" t="str">
        <f t="shared" si="2"/>
        <v/>
      </c>
      <c r="J4274" s="86">
        <f t="shared" si="3"/>
        <v>0</v>
      </c>
      <c r="R4274" s="26"/>
    </row>
    <row r="4275" spans="1:18" ht="15.75" customHeight="1">
      <c r="A4275" s="26"/>
      <c r="B4275" s="86"/>
      <c r="D4275" s="26"/>
      <c r="F4275" s="87" t="str">
        <f t="shared" si="0"/>
        <v/>
      </c>
      <c r="H4275" s="26" t="str">
        <f t="shared" si="1"/>
        <v/>
      </c>
      <c r="I4275" s="26" t="str">
        <f t="shared" si="2"/>
        <v/>
      </c>
      <c r="J4275" s="86">
        <f t="shared" si="3"/>
        <v>0</v>
      </c>
      <c r="R4275" s="26"/>
    </row>
    <row r="4276" spans="1:18" ht="15.75" customHeight="1">
      <c r="A4276" s="26"/>
      <c r="B4276" s="86"/>
      <c r="D4276" s="26"/>
      <c r="F4276" s="87" t="str">
        <f t="shared" si="0"/>
        <v/>
      </c>
      <c r="H4276" s="26" t="str">
        <f t="shared" si="1"/>
        <v/>
      </c>
      <c r="I4276" s="26" t="str">
        <f t="shared" si="2"/>
        <v/>
      </c>
      <c r="J4276" s="86">
        <f t="shared" si="3"/>
        <v>0</v>
      </c>
      <c r="R4276" s="26"/>
    </row>
    <row r="4277" spans="1:18" ht="15.75" customHeight="1">
      <c r="A4277" s="26"/>
      <c r="B4277" s="86"/>
      <c r="D4277" s="26"/>
      <c r="F4277" s="87" t="str">
        <f t="shared" si="0"/>
        <v/>
      </c>
      <c r="H4277" s="26" t="str">
        <f t="shared" si="1"/>
        <v/>
      </c>
      <c r="I4277" s="26" t="str">
        <f t="shared" si="2"/>
        <v/>
      </c>
      <c r="J4277" s="86">
        <f t="shared" si="3"/>
        <v>0</v>
      </c>
      <c r="R4277" s="26"/>
    </row>
    <row r="4278" spans="1:18" ht="15.75" customHeight="1">
      <c r="A4278" s="26"/>
      <c r="B4278" s="86"/>
      <c r="D4278" s="26"/>
      <c r="F4278" s="87" t="str">
        <f t="shared" si="0"/>
        <v/>
      </c>
      <c r="H4278" s="26" t="str">
        <f t="shared" si="1"/>
        <v/>
      </c>
      <c r="I4278" s="26" t="str">
        <f t="shared" si="2"/>
        <v/>
      </c>
      <c r="J4278" s="86">
        <f t="shared" si="3"/>
        <v>0</v>
      </c>
      <c r="R4278" s="26"/>
    </row>
    <row r="4279" spans="1:18" ht="15.75" customHeight="1">
      <c r="A4279" s="26"/>
      <c r="B4279" s="86"/>
      <c r="D4279" s="26"/>
      <c r="F4279" s="87" t="str">
        <f t="shared" si="0"/>
        <v/>
      </c>
      <c r="H4279" s="26" t="str">
        <f t="shared" si="1"/>
        <v/>
      </c>
      <c r="I4279" s="26" t="str">
        <f t="shared" si="2"/>
        <v/>
      </c>
      <c r="J4279" s="86">
        <f t="shared" si="3"/>
        <v>0</v>
      </c>
      <c r="R4279" s="26"/>
    </row>
    <row r="4280" spans="1:18" ht="15.75" customHeight="1">
      <c r="A4280" s="26"/>
      <c r="B4280" s="86"/>
      <c r="D4280" s="26"/>
      <c r="F4280" s="87" t="str">
        <f t="shared" si="0"/>
        <v/>
      </c>
      <c r="H4280" s="26" t="str">
        <f t="shared" si="1"/>
        <v/>
      </c>
      <c r="I4280" s="26" t="str">
        <f t="shared" si="2"/>
        <v/>
      </c>
      <c r="J4280" s="86">
        <f t="shared" si="3"/>
        <v>0</v>
      </c>
      <c r="R4280" s="26"/>
    </row>
    <row r="4281" spans="1:18" ht="15.75" customHeight="1">
      <c r="A4281" s="26"/>
      <c r="B4281" s="86"/>
      <c r="D4281" s="26"/>
      <c r="F4281" s="87" t="str">
        <f t="shared" si="0"/>
        <v/>
      </c>
      <c r="H4281" s="26" t="str">
        <f t="shared" si="1"/>
        <v/>
      </c>
      <c r="I4281" s="26" t="str">
        <f t="shared" si="2"/>
        <v/>
      </c>
      <c r="J4281" s="86">
        <f t="shared" si="3"/>
        <v>0</v>
      </c>
      <c r="R4281" s="26"/>
    </row>
    <row r="4282" spans="1:18" ht="15.75" customHeight="1">
      <c r="A4282" s="26"/>
      <c r="B4282" s="86"/>
      <c r="D4282" s="26"/>
      <c r="F4282" s="87" t="str">
        <f t="shared" si="0"/>
        <v/>
      </c>
      <c r="H4282" s="26" t="str">
        <f t="shared" si="1"/>
        <v/>
      </c>
      <c r="I4282" s="26" t="str">
        <f t="shared" si="2"/>
        <v/>
      </c>
      <c r="J4282" s="86">
        <f t="shared" si="3"/>
        <v>0</v>
      </c>
      <c r="R4282" s="26"/>
    </row>
    <row r="4283" spans="1:18" ht="15.75" customHeight="1">
      <c r="A4283" s="26"/>
      <c r="B4283" s="86"/>
      <c r="D4283" s="26"/>
      <c r="F4283" s="87" t="str">
        <f t="shared" si="0"/>
        <v/>
      </c>
      <c r="H4283" s="26" t="str">
        <f t="shared" si="1"/>
        <v/>
      </c>
      <c r="I4283" s="26" t="str">
        <f t="shared" si="2"/>
        <v/>
      </c>
      <c r="J4283" s="86">
        <f t="shared" si="3"/>
        <v>0</v>
      </c>
      <c r="R4283" s="26"/>
    </row>
    <row r="4284" spans="1:18" ht="15.75" customHeight="1">
      <c r="A4284" s="26"/>
      <c r="B4284" s="86"/>
      <c r="D4284" s="26"/>
      <c r="F4284" s="87" t="str">
        <f t="shared" si="0"/>
        <v/>
      </c>
      <c r="H4284" s="26" t="str">
        <f t="shared" si="1"/>
        <v/>
      </c>
      <c r="I4284" s="26" t="str">
        <f t="shared" si="2"/>
        <v/>
      </c>
      <c r="J4284" s="86">
        <f t="shared" si="3"/>
        <v>0</v>
      </c>
      <c r="R4284" s="26"/>
    </row>
    <row r="4285" spans="1:18" ht="15.75" customHeight="1">
      <c r="A4285" s="26"/>
      <c r="B4285" s="86"/>
      <c r="D4285" s="26"/>
      <c r="F4285" s="87" t="str">
        <f t="shared" si="0"/>
        <v/>
      </c>
      <c r="H4285" s="26" t="str">
        <f t="shared" si="1"/>
        <v/>
      </c>
      <c r="I4285" s="26" t="str">
        <f t="shared" si="2"/>
        <v/>
      </c>
      <c r="J4285" s="86">
        <f t="shared" si="3"/>
        <v>0</v>
      </c>
      <c r="R4285" s="26"/>
    </row>
    <row r="4286" spans="1:18" ht="15.75" customHeight="1">
      <c r="A4286" s="26"/>
      <c r="B4286" s="86"/>
      <c r="D4286" s="26"/>
      <c r="F4286" s="87" t="str">
        <f t="shared" si="0"/>
        <v/>
      </c>
      <c r="H4286" s="26" t="str">
        <f t="shared" si="1"/>
        <v/>
      </c>
      <c r="I4286" s="26" t="str">
        <f t="shared" si="2"/>
        <v/>
      </c>
      <c r="J4286" s="86">
        <f t="shared" si="3"/>
        <v>0</v>
      </c>
      <c r="R4286" s="26"/>
    </row>
    <row r="4287" spans="1:18" ht="15.75" customHeight="1">
      <c r="A4287" s="26"/>
      <c r="B4287" s="86"/>
      <c r="D4287" s="26"/>
      <c r="F4287" s="87" t="str">
        <f t="shared" si="0"/>
        <v/>
      </c>
      <c r="H4287" s="26" t="str">
        <f t="shared" si="1"/>
        <v/>
      </c>
      <c r="I4287" s="26" t="str">
        <f t="shared" si="2"/>
        <v/>
      </c>
      <c r="J4287" s="86">
        <f t="shared" si="3"/>
        <v>0</v>
      </c>
      <c r="R4287" s="26"/>
    </row>
    <row r="4288" spans="1:18" ht="15.75" customHeight="1">
      <c r="A4288" s="26"/>
      <c r="B4288" s="86"/>
      <c r="D4288" s="26"/>
      <c r="F4288" s="87" t="str">
        <f t="shared" si="0"/>
        <v/>
      </c>
      <c r="H4288" s="26" t="str">
        <f t="shared" si="1"/>
        <v/>
      </c>
      <c r="I4288" s="26" t="str">
        <f t="shared" si="2"/>
        <v/>
      </c>
      <c r="J4288" s="86">
        <f t="shared" si="3"/>
        <v>0</v>
      </c>
      <c r="R4288" s="26"/>
    </row>
    <row r="4289" spans="1:18" ht="15.75" customHeight="1">
      <c r="A4289" s="26"/>
      <c r="B4289" s="86"/>
      <c r="D4289" s="26"/>
      <c r="F4289" s="87" t="str">
        <f t="shared" si="0"/>
        <v/>
      </c>
      <c r="H4289" s="26" t="str">
        <f t="shared" si="1"/>
        <v/>
      </c>
      <c r="I4289" s="26" t="str">
        <f t="shared" si="2"/>
        <v/>
      </c>
      <c r="J4289" s="86">
        <f t="shared" si="3"/>
        <v>0</v>
      </c>
      <c r="R4289" s="26"/>
    </row>
    <row r="4290" spans="1:18" ht="15.75" customHeight="1">
      <c r="A4290" s="26"/>
      <c r="B4290" s="86"/>
      <c r="D4290" s="26"/>
      <c r="F4290" s="87" t="str">
        <f t="shared" si="0"/>
        <v/>
      </c>
      <c r="H4290" s="26" t="str">
        <f t="shared" si="1"/>
        <v/>
      </c>
      <c r="I4290" s="26" t="str">
        <f t="shared" si="2"/>
        <v/>
      </c>
      <c r="J4290" s="86">
        <f t="shared" si="3"/>
        <v>0</v>
      </c>
      <c r="R4290" s="26"/>
    </row>
    <row r="4291" spans="1:18" ht="15.75" customHeight="1">
      <c r="A4291" s="26"/>
      <c r="B4291" s="86"/>
      <c r="D4291" s="26"/>
      <c r="F4291" s="87" t="str">
        <f t="shared" si="0"/>
        <v/>
      </c>
      <c r="H4291" s="26" t="str">
        <f t="shared" si="1"/>
        <v/>
      </c>
      <c r="I4291" s="26" t="str">
        <f t="shared" si="2"/>
        <v/>
      </c>
      <c r="J4291" s="86">
        <f t="shared" si="3"/>
        <v>0</v>
      </c>
      <c r="R4291" s="26"/>
    </row>
    <row r="4292" spans="1:18" ht="15.75" customHeight="1">
      <c r="A4292" s="26"/>
      <c r="B4292" s="86"/>
      <c r="D4292" s="26"/>
      <c r="F4292" s="87" t="str">
        <f t="shared" si="0"/>
        <v/>
      </c>
      <c r="H4292" s="26" t="str">
        <f t="shared" si="1"/>
        <v/>
      </c>
      <c r="I4292" s="26" t="str">
        <f t="shared" si="2"/>
        <v/>
      </c>
      <c r="J4292" s="86">
        <f t="shared" si="3"/>
        <v>0</v>
      </c>
      <c r="R4292" s="26"/>
    </row>
    <row r="4293" spans="1:18" ht="15.75" customHeight="1">
      <c r="A4293" s="26"/>
      <c r="B4293" s="86"/>
      <c r="D4293" s="26"/>
      <c r="F4293" s="87" t="str">
        <f t="shared" si="0"/>
        <v/>
      </c>
      <c r="H4293" s="26" t="str">
        <f t="shared" si="1"/>
        <v/>
      </c>
      <c r="I4293" s="26" t="str">
        <f t="shared" si="2"/>
        <v/>
      </c>
      <c r="J4293" s="86">
        <f t="shared" si="3"/>
        <v>0</v>
      </c>
      <c r="R4293" s="26"/>
    </row>
    <row r="4294" spans="1:18" ht="15.75" customHeight="1">
      <c r="A4294" s="26"/>
      <c r="B4294" s="86"/>
      <c r="D4294" s="26"/>
      <c r="F4294" s="87" t="str">
        <f t="shared" si="0"/>
        <v/>
      </c>
      <c r="H4294" s="26" t="str">
        <f t="shared" si="1"/>
        <v/>
      </c>
      <c r="I4294" s="26" t="str">
        <f t="shared" si="2"/>
        <v/>
      </c>
      <c r="J4294" s="86">
        <f t="shared" si="3"/>
        <v>0</v>
      </c>
      <c r="R4294" s="26"/>
    </row>
    <row r="4295" spans="1:18" ht="15.75" customHeight="1">
      <c r="A4295" s="26"/>
      <c r="B4295" s="86"/>
      <c r="D4295" s="26"/>
      <c r="F4295" s="87" t="str">
        <f t="shared" si="0"/>
        <v/>
      </c>
      <c r="H4295" s="26" t="str">
        <f t="shared" si="1"/>
        <v/>
      </c>
      <c r="I4295" s="26" t="str">
        <f t="shared" si="2"/>
        <v/>
      </c>
      <c r="J4295" s="86">
        <f t="shared" si="3"/>
        <v>0</v>
      </c>
      <c r="R4295" s="26"/>
    </row>
    <row r="4296" spans="1:18" ht="15.75" customHeight="1">
      <c r="A4296" s="26"/>
      <c r="B4296" s="86"/>
      <c r="D4296" s="26"/>
      <c r="F4296" s="87" t="str">
        <f t="shared" si="0"/>
        <v/>
      </c>
      <c r="H4296" s="26" t="str">
        <f t="shared" si="1"/>
        <v/>
      </c>
      <c r="I4296" s="26" t="str">
        <f t="shared" si="2"/>
        <v/>
      </c>
      <c r="J4296" s="86">
        <f t="shared" si="3"/>
        <v>0</v>
      </c>
      <c r="R4296" s="26"/>
    </row>
    <row r="4297" spans="1:18" ht="15.75" customHeight="1">
      <c r="A4297" s="26"/>
      <c r="B4297" s="86"/>
      <c r="D4297" s="26"/>
      <c r="F4297" s="87" t="str">
        <f t="shared" si="0"/>
        <v/>
      </c>
      <c r="H4297" s="26" t="str">
        <f t="shared" si="1"/>
        <v/>
      </c>
      <c r="I4297" s="26" t="str">
        <f t="shared" si="2"/>
        <v/>
      </c>
      <c r="J4297" s="86">
        <f t="shared" si="3"/>
        <v>0</v>
      </c>
      <c r="R4297" s="26"/>
    </row>
    <row r="4298" spans="1:18" ht="15.75" customHeight="1">
      <c r="A4298" s="26"/>
      <c r="B4298" s="86"/>
      <c r="D4298" s="26"/>
      <c r="F4298" s="87" t="str">
        <f t="shared" si="0"/>
        <v/>
      </c>
      <c r="H4298" s="26" t="str">
        <f t="shared" si="1"/>
        <v/>
      </c>
      <c r="I4298" s="26" t="str">
        <f t="shared" si="2"/>
        <v/>
      </c>
      <c r="J4298" s="86">
        <f t="shared" si="3"/>
        <v>0</v>
      </c>
      <c r="R4298" s="26"/>
    </row>
    <row r="4299" spans="1:18" ht="15.75" customHeight="1">
      <c r="A4299" s="26"/>
      <c r="B4299" s="86"/>
      <c r="D4299" s="26"/>
      <c r="F4299" s="87" t="str">
        <f t="shared" si="0"/>
        <v/>
      </c>
      <c r="H4299" s="26" t="str">
        <f t="shared" si="1"/>
        <v/>
      </c>
      <c r="I4299" s="26" t="str">
        <f t="shared" si="2"/>
        <v/>
      </c>
      <c r="J4299" s="86">
        <f t="shared" si="3"/>
        <v>0</v>
      </c>
      <c r="R4299" s="26"/>
    </row>
    <row r="4300" spans="1:18" ht="15.75" customHeight="1">
      <c r="A4300" s="26"/>
      <c r="B4300" s="86"/>
      <c r="D4300" s="26"/>
      <c r="F4300" s="87" t="str">
        <f t="shared" si="0"/>
        <v/>
      </c>
      <c r="H4300" s="26" t="str">
        <f t="shared" si="1"/>
        <v/>
      </c>
      <c r="I4300" s="26" t="str">
        <f t="shared" si="2"/>
        <v/>
      </c>
      <c r="J4300" s="86">
        <f t="shared" si="3"/>
        <v>0</v>
      </c>
      <c r="R4300" s="26"/>
    </row>
    <row r="4301" spans="1:18" ht="15.75" customHeight="1">
      <c r="A4301" s="26"/>
      <c r="B4301" s="86"/>
      <c r="D4301" s="26"/>
      <c r="F4301" s="87" t="str">
        <f t="shared" si="0"/>
        <v/>
      </c>
      <c r="H4301" s="26" t="str">
        <f t="shared" si="1"/>
        <v/>
      </c>
      <c r="I4301" s="26" t="str">
        <f t="shared" si="2"/>
        <v/>
      </c>
      <c r="J4301" s="86">
        <f t="shared" si="3"/>
        <v>0</v>
      </c>
      <c r="R4301" s="26"/>
    </row>
    <row r="4302" spans="1:18" ht="15.75" customHeight="1">
      <c r="A4302" s="26"/>
      <c r="B4302" s="86"/>
      <c r="D4302" s="26"/>
      <c r="F4302" s="87" t="str">
        <f t="shared" si="0"/>
        <v/>
      </c>
      <c r="H4302" s="26" t="str">
        <f t="shared" si="1"/>
        <v/>
      </c>
      <c r="I4302" s="26" t="str">
        <f t="shared" si="2"/>
        <v/>
      </c>
      <c r="J4302" s="86">
        <f t="shared" si="3"/>
        <v>0</v>
      </c>
      <c r="R4302" s="26"/>
    </row>
    <row r="4303" spans="1:18" ht="15.75" customHeight="1">
      <c r="A4303" s="26"/>
      <c r="B4303" s="86"/>
      <c r="D4303" s="26"/>
      <c r="F4303" s="87" t="str">
        <f t="shared" si="0"/>
        <v/>
      </c>
      <c r="H4303" s="26" t="str">
        <f t="shared" si="1"/>
        <v/>
      </c>
      <c r="I4303" s="26" t="str">
        <f t="shared" si="2"/>
        <v/>
      </c>
      <c r="J4303" s="86">
        <f t="shared" si="3"/>
        <v>0</v>
      </c>
      <c r="R4303" s="26"/>
    </row>
    <row r="4304" spans="1:18" ht="15.75" customHeight="1">
      <c r="A4304" s="26"/>
      <c r="B4304" s="86"/>
      <c r="D4304" s="26"/>
      <c r="F4304" s="87" t="str">
        <f t="shared" si="0"/>
        <v/>
      </c>
      <c r="H4304" s="26" t="str">
        <f t="shared" si="1"/>
        <v/>
      </c>
      <c r="I4304" s="26" t="str">
        <f t="shared" si="2"/>
        <v/>
      </c>
      <c r="J4304" s="86">
        <f t="shared" si="3"/>
        <v>0</v>
      </c>
      <c r="R4304" s="26"/>
    </row>
    <row r="4305" spans="1:18" ht="15.75" customHeight="1">
      <c r="A4305" s="26"/>
      <c r="B4305" s="86"/>
      <c r="D4305" s="26"/>
      <c r="F4305" s="87" t="str">
        <f t="shared" si="0"/>
        <v/>
      </c>
      <c r="H4305" s="26" t="str">
        <f t="shared" si="1"/>
        <v/>
      </c>
      <c r="I4305" s="26" t="str">
        <f t="shared" si="2"/>
        <v/>
      </c>
      <c r="J4305" s="86">
        <f t="shared" si="3"/>
        <v>0</v>
      </c>
      <c r="R4305" s="26"/>
    </row>
    <row r="4306" spans="1:18" ht="15.75" customHeight="1">
      <c r="A4306" s="26"/>
      <c r="B4306" s="86"/>
      <c r="D4306" s="26"/>
      <c r="F4306" s="87" t="str">
        <f t="shared" si="0"/>
        <v/>
      </c>
      <c r="H4306" s="26" t="str">
        <f t="shared" si="1"/>
        <v/>
      </c>
      <c r="I4306" s="26" t="str">
        <f t="shared" si="2"/>
        <v/>
      </c>
      <c r="J4306" s="86">
        <f t="shared" si="3"/>
        <v>0</v>
      </c>
      <c r="R4306" s="26"/>
    </row>
    <row r="4307" spans="1:18" ht="15.75" customHeight="1">
      <c r="A4307" s="26"/>
      <c r="B4307" s="86"/>
      <c r="D4307" s="26"/>
      <c r="F4307" s="87" t="str">
        <f t="shared" si="0"/>
        <v/>
      </c>
      <c r="H4307" s="26" t="str">
        <f t="shared" si="1"/>
        <v/>
      </c>
      <c r="I4307" s="26" t="str">
        <f t="shared" si="2"/>
        <v/>
      </c>
      <c r="J4307" s="86">
        <f t="shared" si="3"/>
        <v>0</v>
      </c>
      <c r="R4307" s="26"/>
    </row>
    <row r="4308" spans="1:18" ht="15.75" customHeight="1">
      <c r="A4308" s="26"/>
      <c r="B4308" s="86"/>
      <c r="D4308" s="26"/>
      <c r="F4308" s="87" t="str">
        <f t="shared" si="0"/>
        <v/>
      </c>
      <c r="H4308" s="26" t="str">
        <f t="shared" si="1"/>
        <v/>
      </c>
      <c r="I4308" s="26" t="str">
        <f t="shared" si="2"/>
        <v/>
      </c>
      <c r="J4308" s="86">
        <f t="shared" si="3"/>
        <v>0</v>
      </c>
      <c r="R4308" s="26"/>
    </row>
    <row r="4309" spans="1:18" ht="15.75" customHeight="1">
      <c r="A4309" s="26"/>
      <c r="B4309" s="86"/>
      <c r="D4309" s="26"/>
      <c r="F4309" s="87" t="str">
        <f t="shared" si="0"/>
        <v/>
      </c>
      <c r="H4309" s="26" t="str">
        <f t="shared" si="1"/>
        <v/>
      </c>
      <c r="I4309" s="26" t="str">
        <f t="shared" si="2"/>
        <v/>
      </c>
      <c r="J4309" s="86">
        <f t="shared" si="3"/>
        <v>0</v>
      </c>
      <c r="R4309" s="26"/>
    </row>
    <row r="4310" spans="1:18" ht="15.75" customHeight="1">
      <c r="A4310" s="26"/>
      <c r="B4310" s="86"/>
      <c r="D4310" s="26"/>
      <c r="F4310" s="87" t="str">
        <f t="shared" si="0"/>
        <v/>
      </c>
      <c r="H4310" s="26" t="str">
        <f t="shared" si="1"/>
        <v/>
      </c>
      <c r="I4310" s="26" t="str">
        <f t="shared" si="2"/>
        <v/>
      </c>
      <c r="J4310" s="86">
        <f t="shared" si="3"/>
        <v>0</v>
      </c>
      <c r="R4310" s="26"/>
    </row>
    <row r="4311" spans="1:18" ht="15.75" customHeight="1">
      <c r="A4311" s="26"/>
      <c r="B4311" s="86"/>
      <c r="D4311" s="26"/>
      <c r="F4311" s="87" t="str">
        <f t="shared" si="0"/>
        <v/>
      </c>
      <c r="H4311" s="26" t="str">
        <f t="shared" si="1"/>
        <v/>
      </c>
      <c r="I4311" s="26" t="str">
        <f t="shared" si="2"/>
        <v/>
      </c>
      <c r="J4311" s="86">
        <f t="shared" si="3"/>
        <v>0</v>
      </c>
      <c r="R4311" s="26"/>
    </row>
    <row r="4312" spans="1:18" ht="15.75" customHeight="1">
      <c r="A4312" s="26"/>
      <c r="B4312" s="86"/>
      <c r="D4312" s="26"/>
      <c r="F4312" s="87" t="str">
        <f t="shared" si="0"/>
        <v/>
      </c>
      <c r="H4312" s="26" t="str">
        <f t="shared" si="1"/>
        <v/>
      </c>
      <c r="I4312" s="26" t="str">
        <f t="shared" si="2"/>
        <v/>
      </c>
      <c r="J4312" s="86">
        <f t="shared" si="3"/>
        <v>0</v>
      </c>
      <c r="R4312" s="26"/>
    </row>
    <row r="4313" spans="1:18" ht="15.75" customHeight="1">
      <c r="A4313" s="26"/>
      <c r="B4313" s="86"/>
      <c r="D4313" s="26"/>
      <c r="F4313" s="87" t="str">
        <f t="shared" si="0"/>
        <v/>
      </c>
      <c r="H4313" s="26" t="str">
        <f t="shared" si="1"/>
        <v/>
      </c>
      <c r="I4313" s="26" t="str">
        <f t="shared" si="2"/>
        <v/>
      </c>
      <c r="J4313" s="86">
        <f t="shared" si="3"/>
        <v>0</v>
      </c>
      <c r="R4313" s="26"/>
    </row>
    <row r="4314" spans="1:18" ht="15.75" customHeight="1">
      <c r="A4314" s="26"/>
      <c r="B4314" s="86"/>
      <c r="D4314" s="26"/>
      <c r="F4314" s="87" t="str">
        <f t="shared" si="0"/>
        <v/>
      </c>
      <c r="H4314" s="26" t="str">
        <f t="shared" si="1"/>
        <v/>
      </c>
      <c r="I4314" s="26" t="str">
        <f t="shared" si="2"/>
        <v/>
      </c>
      <c r="J4314" s="86">
        <f t="shared" si="3"/>
        <v>0</v>
      </c>
      <c r="R4314" s="26"/>
    </row>
    <row r="4315" spans="1:18" ht="15.75" customHeight="1">
      <c r="A4315" s="26"/>
      <c r="B4315" s="86"/>
      <c r="D4315" s="26"/>
      <c r="F4315" s="87" t="str">
        <f t="shared" si="0"/>
        <v/>
      </c>
      <c r="H4315" s="26" t="str">
        <f t="shared" si="1"/>
        <v/>
      </c>
      <c r="I4315" s="26" t="str">
        <f t="shared" si="2"/>
        <v/>
      </c>
      <c r="J4315" s="86">
        <f t="shared" si="3"/>
        <v>0</v>
      </c>
      <c r="R4315" s="26"/>
    </row>
    <row r="4316" spans="1:18" ht="15.75" customHeight="1">
      <c r="A4316" s="26"/>
      <c r="B4316" s="86"/>
      <c r="D4316" s="26"/>
      <c r="F4316" s="87" t="str">
        <f t="shared" si="0"/>
        <v/>
      </c>
      <c r="H4316" s="26" t="str">
        <f t="shared" si="1"/>
        <v/>
      </c>
      <c r="I4316" s="26" t="str">
        <f t="shared" si="2"/>
        <v/>
      </c>
      <c r="J4316" s="86">
        <f t="shared" si="3"/>
        <v>0</v>
      </c>
      <c r="R4316" s="26"/>
    </row>
    <row r="4317" spans="1:18" ht="15.75" customHeight="1">
      <c r="A4317" s="26"/>
      <c r="B4317" s="86"/>
      <c r="D4317" s="26"/>
      <c r="F4317" s="87" t="str">
        <f t="shared" si="0"/>
        <v/>
      </c>
      <c r="H4317" s="26" t="str">
        <f t="shared" si="1"/>
        <v/>
      </c>
      <c r="I4317" s="26" t="str">
        <f t="shared" si="2"/>
        <v/>
      </c>
      <c r="J4317" s="86">
        <f t="shared" si="3"/>
        <v>0</v>
      </c>
      <c r="R4317" s="26"/>
    </row>
    <row r="4318" spans="1:18" ht="15.75" customHeight="1">
      <c r="A4318" s="26"/>
      <c r="B4318" s="86"/>
      <c r="D4318" s="26"/>
      <c r="F4318" s="87" t="str">
        <f t="shared" si="0"/>
        <v/>
      </c>
      <c r="H4318" s="26" t="str">
        <f t="shared" si="1"/>
        <v/>
      </c>
      <c r="I4318" s="26" t="str">
        <f t="shared" si="2"/>
        <v/>
      </c>
      <c r="J4318" s="86">
        <f t="shared" si="3"/>
        <v>0</v>
      </c>
      <c r="R4318" s="26"/>
    </row>
    <row r="4319" spans="1:18" ht="15.75" customHeight="1">
      <c r="A4319" s="26"/>
      <c r="B4319" s="86"/>
      <c r="D4319" s="26"/>
      <c r="F4319" s="87" t="str">
        <f t="shared" si="0"/>
        <v/>
      </c>
      <c r="H4319" s="26" t="str">
        <f t="shared" si="1"/>
        <v/>
      </c>
      <c r="I4319" s="26" t="str">
        <f t="shared" si="2"/>
        <v/>
      </c>
      <c r="J4319" s="86">
        <f t="shared" si="3"/>
        <v>0</v>
      </c>
      <c r="R4319" s="26"/>
    </row>
    <row r="4320" spans="1:18" ht="15.75" customHeight="1">
      <c r="A4320" s="26"/>
      <c r="B4320" s="86"/>
      <c r="D4320" s="26"/>
      <c r="F4320" s="87" t="str">
        <f t="shared" si="0"/>
        <v/>
      </c>
      <c r="H4320" s="26" t="str">
        <f t="shared" si="1"/>
        <v/>
      </c>
      <c r="I4320" s="26" t="str">
        <f t="shared" si="2"/>
        <v/>
      </c>
      <c r="J4320" s="86">
        <f t="shared" si="3"/>
        <v>0</v>
      </c>
      <c r="R4320" s="26"/>
    </row>
    <row r="4321" spans="1:18" ht="15.75" customHeight="1">
      <c r="A4321" s="26"/>
      <c r="B4321" s="86"/>
      <c r="D4321" s="26"/>
      <c r="F4321" s="87" t="str">
        <f t="shared" si="0"/>
        <v/>
      </c>
      <c r="H4321" s="26" t="str">
        <f t="shared" si="1"/>
        <v/>
      </c>
      <c r="I4321" s="26" t="str">
        <f t="shared" si="2"/>
        <v/>
      </c>
      <c r="J4321" s="86">
        <f t="shared" si="3"/>
        <v>0</v>
      </c>
      <c r="R4321" s="26"/>
    </row>
    <row r="4322" spans="1:18" ht="15.75" customHeight="1">
      <c r="A4322" s="26"/>
      <c r="B4322" s="86"/>
      <c r="D4322" s="26"/>
      <c r="F4322" s="87" t="str">
        <f t="shared" si="0"/>
        <v/>
      </c>
      <c r="H4322" s="26" t="str">
        <f t="shared" si="1"/>
        <v/>
      </c>
      <c r="I4322" s="26" t="str">
        <f t="shared" si="2"/>
        <v/>
      </c>
      <c r="J4322" s="86">
        <f t="shared" si="3"/>
        <v>0</v>
      </c>
      <c r="R4322" s="26"/>
    </row>
    <row r="4323" spans="1:18" ht="15.75" customHeight="1">
      <c r="A4323" s="26"/>
      <c r="B4323" s="86"/>
      <c r="D4323" s="26"/>
      <c r="F4323" s="87" t="str">
        <f t="shared" si="0"/>
        <v/>
      </c>
      <c r="H4323" s="26" t="str">
        <f t="shared" si="1"/>
        <v/>
      </c>
      <c r="I4323" s="26" t="str">
        <f t="shared" si="2"/>
        <v/>
      </c>
      <c r="J4323" s="86">
        <f t="shared" si="3"/>
        <v>0</v>
      </c>
      <c r="R4323" s="26"/>
    </row>
    <row r="4324" spans="1:18" ht="15.75" customHeight="1">
      <c r="A4324" s="26"/>
      <c r="B4324" s="86"/>
      <c r="D4324" s="26"/>
      <c r="F4324" s="87" t="str">
        <f t="shared" si="0"/>
        <v/>
      </c>
      <c r="H4324" s="26" t="str">
        <f t="shared" si="1"/>
        <v/>
      </c>
      <c r="I4324" s="26" t="str">
        <f t="shared" si="2"/>
        <v/>
      </c>
      <c r="J4324" s="86">
        <f t="shared" si="3"/>
        <v>0</v>
      </c>
      <c r="R4324" s="26"/>
    </row>
    <row r="4325" spans="1:18" ht="15.75" customHeight="1">
      <c r="A4325" s="26"/>
      <c r="B4325" s="86"/>
      <c r="D4325" s="26"/>
      <c r="F4325" s="87" t="str">
        <f t="shared" si="0"/>
        <v/>
      </c>
      <c r="H4325" s="26" t="str">
        <f t="shared" si="1"/>
        <v/>
      </c>
      <c r="I4325" s="26" t="str">
        <f t="shared" si="2"/>
        <v/>
      </c>
      <c r="J4325" s="86">
        <f t="shared" si="3"/>
        <v>0</v>
      </c>
      <c r="R4325" s="26"/>
    </row>
    <row r="4326" spans="1:18" ht="15.75" customHeight="1">
      <c r="A4326" s="26"/>
      <c r="B4326" s="86"/>
      <c r="D4326" s="26"/>
      <c r="F4326" s="87" t="str">
        <f t="shared" si="0"/>
        <v/>
      </c>
      <c r="H4326" s="26" t="str">
        <f t="shared" si="1"/>
        <v/>
      </c>
      <c r="I4326" s="26" t="str">
        <f t="shared" si="2"/>
        <v/>
      </c>
      <c r="J4326" s="86">
        <f t="shared" si="3"/>
        <v>0</v>
      </c>
      <c r="R4326" s="26"/>
    </row>
    <row r="4327" spans="1:18" ht="15.75" customHeight="1">
      <c r="A4327" s="26"/>
      <c r="B4327" s="86"/>
      <c r="D4327" s="26"/>
      <c r="F4327" s="87" t="str">
        <f t="shared" si="0"/>
        <v/>
      </c>
      <c r="H4327" s="26" t="str">
        <f t="shared" si="1"/>
        <v/>
      </c>
      <c r="I4327" s="26" t="str">
        <f t="shared" si="2"/>
        <v/>
      </c>
      <c r="J4327" s="86">
        <f t="shared" si="3"/>
        <v>0</v>
      </c>
      <c r="R4327" s="26"/>
    </row>
    <row r="4328" spans="1:18" ht="15.75" customHeight="1">
      <c r="A4328" s="26"/>
      <c r="B4328" s="86"/>
      <c r="D4328" s="26"/>
      <c r="F4328" s="87" t="str">
        <f t="shared" si="0"/>
        <v/>
      </c>
      <c r="H4328" s="26" t="str">
        <f t="shared" si="1"/>
        <v/>
      </c>
      <c r="I4328" s="26" t="str">
        <f t="shared" si="2"/>
        <v/>
      </c>
      <c r="J4328" s="86">
        <f t="shared" si="3"/>
        <v>0</v>
      </c>
      <c r="R4328" s="26"/>
    </row>
    <row r="4329" spans="1:18" ht="15.75" customHeight="1">
      <c r="A4329" s="26"/>
      <c r="B4329" s="86"/>
      <c r="D4329" s="26"/>
      <c r="F4329" s="87" t="str">
        <f t="shared" si="0"/>
        <v/>
      </c>
      <c r="H4329" s="26" t="str">
        <f t="shared" si="1"/>
        <v/>
      </c>
      <c r="I4329" s="26" t="str">
        <f t="shared" si="2"/>
        <v/>
      </c>
      <c r="J4329" s="86">
        <f t="shared" si="3"/>
        <v>0</v>
      </c>
      <c r="R4329" s="26"/>
    </row>
    <row r="4330" spans="1:18" ht="15.75" customHeight="1">
      <c r="A4330" s="26"/>
      <c r="B4330" s="86"/>
      <c r="D4330" s="26"/>
      <c r="F4330" s="87" t="str">
        <f t="shared" si="0"/>
        <v/>
      </c>
      <c r="H4330" s="26" t="str">
        <f t="shared" si="1"/>
        <v/>
      </c>
      <c r="I4330" s="26" t="str">
        <f t="shared" si="2"/>
        <v/>
      </c>
      <c r="J4330" s="86">
        <f t="shared" si="3"/>
        <v>0</v>
      </c>
      <c r="R4330" s="26"/>
    </row>
    <row r="4331" spans="1:18" ht="15.75" customHeight="1">
      <c r="A4331" s="26"/>
      <c r="B4331" s="86"/>
      <c r="D4331" s="26"/>
      <c r="F4331" s="87" t="str">
        <f t="shared" si="0"/>
        <v/>
      </c>
      <c r="H4331" s="26" t="str">
        <f t="shared" si="1"/>
        <v/>
      </c>
      <c r="I4331" s="26" t="str">
        <f t="shared" si="2"/>
        <v/>
      </c>
      <c r="J4331" s="86">
        <f t="shared" si="3"/>
        <v>0</v>
      </c>
      <c r="R4331" s="26"/>
    </row>
    <row r="4332" spans="1:18" ht="15.75" customHeight="1">
      <c r="A4332" s="26"/>
      <c r="B4332" s="86"/>
      <c r="D4332" s="26"/>
      <c r="F4332" s="87" t="str">
        <f t="shared" si="0"/>
        <v/>
      </c>
      <c r="H4332" s="26" t="str">
        <f t="shared" si="1"/>
        <v/>
      </c>
      <c r="I4332" s="26" t="str">
        <f t="shared" si="2"/>
        <v/>
      </c>
      <c r="J4332" s="86">
        <f t="shared" si="3"/>
        <v>0</v>
      </c>
      <c r="R4332" s="26"/>
    </row>
    <row r="4333" spans="1:18" ht="15.75" customHeight="1">
      <c r="A4333" s="26"/>
      <c r="B4333" s="86"/>
      <c r="D4333" s="26"/>
      <c r="F4333" s="87" t="str">
        <f t="shared" si="0"/>
        <v/>
      </c>
      <c r="H4333" s="26" t="str">
        <f t="shared" si="1"/>
        <v/>
      </c>
      <c r="I4333" s="26" t="str">
        <f t="shared" si="2"/>
        <v/>
      </c>
      <c r="J4333" s="86">
        <f t="shared" si="3"/>
        <v>0</v>
      </c>
      <c r="R4333" s="26"/>
    </row>
    <row r="4334" spans="1:18" ht="15.75" customHeight="1">
      <c r="A4334" s="26"/>
      <c r="B4334" s="86"/>
      <c r="D4334" s="26"/>
      <c r="F4334" s="87" t="str">
        <f t="shared" si="0"/>
        <v/>
      </c>
      <c r="H4334" s="26" t="str">
        <f t="shared" si="1"/>
        <v/>
      </c>
      <c r="I4334" s="26" t="str">
        <f t="shared" si="2"/>
        <v/>
      </c>
      <c r="J4334" s="86">
        <f t="shared" si="3"/>
        <v>0</v>
      </c>
      <c r="R4334" s="26"/>
    </row>
    <row r="4335" spans="1:18" ht="15.75" customHeight="1">
      <c r="A4335" s="26"/>
      <c r="B4335" s="86"/>
      <c r="D4335" s="26"/>
      <c r="F4335" s="87" t="str">
        <f t="shared" si="0"/>
        <v/>
      </c>
      <c r="H4335" s="26" t="str">
        <f t="shared" si="1"/>
        <v/>
      </c>
      <c r="I4335" s="26" t="str">
        <f t="shared" si="2"/>
        <v/>
      </c>
      <c r="J4335" s="86">
        <f t="shared" si="3"/>
        <v>0</v>
      </c>
      <c r="R4335" s="26"/>
    </row>
    <row r="4336" spans="1:18" ht="15.75" customHeight="1">
      <c r="A4336" s="26"/>
      <c r="B4336" s="86"/>
      <c r="D4336" s="26"/>
      <c r="F4336" s="87" t="str">
        <f t="shared" si="0"/>
        <v/>
      </c>
      <c r="H4336" s="26" t="str">
        <f t="shared" si="1"/>
        <v/>
      </c>
      <c r="I4336" s="26" t="str">
        <f t="shared" si="2"/>
        <v/>
      </c>
      <c r="J4336" s="86">
        <f t="shared" si="3"/>
        <v>0</v>
      </c>
      <c r="R4336" s="26"/>
    </row>
    <row r="4337" spans="1:18" ht="15.75" customHeight="1">
      <c r="A4337" s="26"/>
      <c r="B4337" s="86"/>
      <c r="D4337" s="26"/>
      <c r="F4337" s="87" t="str">
        <f t="shared" si="0"/>
        <v/>
      </c>
      <c r="H4337" s="26" t="str">
        <f t="shared" si="1"/>
        <v/>
      </c>
      <c r="I4337" s="26" t="str">
        <f t="shared" si="2"/>
        <v/>
      </c>
      <c r="J4337" s="86">
        <f t="shared" si="3"/>
        <v>0</v>
      </c>
      <c r="R4337" s="26"/>
    </row>
    <row r="4338" spans="1:18" ht="15.75" customHeight="1">
      <c r="A4338" s="26"/>
      <c r="B4338" s="86"/>
      <c r="D4338" s="26"/>
      <c r="F4338" s="87" t="str">
        <f t="shared" si="0"/>
        <v/>
      </c>
      <c r="H4338" s="26" t="str">
        <f t="shared" si="1"/>
        <v/>
      </c>
      <c r="I4338" s="26" t="str">
        <f t="shared" si="2"/>
        <v/>
      </c>
      <c r="J4338" s="86">
        <f t="shared" si="3"/>
        <v>0</v>
      </c>
      <c r="R4338" s="26"/>
    </row>
    <row r="4339" spans="1:18" ht="15.75" customHeight="1">
      <c r="A4339" s="26"/>
      <c r="B4339" s="86"/>
      <c r="D4339" s="26"/>
      <c r="F4339" s="87" t="str">
        <f t="shared" si="0"/>
        <v/>
      </c>
      <c r="H4339" s="26" t="str">
        <f t="shared" si="1"/>
        <v/>
      </c>
      <c r="I4339" s="26" t="str">
        <f t="shared" si="2"/>
        <v/>
      </c>
      <c r="J4339" s="86">
        <f t="shared" si="3"/>
        <v>0</v>
      </c>
      <c r="R4339" s="26"/>
    </row>
    <row r="4340" spans="1:18" ht="15.75" customHeight="1">
      <c r="A4340" s="26"/>
      <c r="B4340" s="86"/>
      <c r="D4340" s="26"/>
      <c r="F4340" s="87" t="str">
        <f t="shared" si="0"/>
        <v/>
      </c>
      <c r="H4340" s="26" t="str">
        <f t="shared" si="1"/>
        <v/>
      </c>
      <c r="I4340" s="26" t="str">
        <f t="shared" si="2"/>
        <v/>
      </c>
      <c r="J4340" s="86">
        <f t="shared" si="3"/>
        <v>0</v>
      </c>
      <c r="R4340" s="26"/>
    </row>
    <row r="4341" spans="1:18" ht="15.75" customHeight="1">
      <c r="A4341" s="26"/>
      <c r="B4341" s="86"/>
      <c r="D4341" s="26"/>
      <c r="F4341" s="87" t="str">
        <f t="shared" si="0"/>
        <v/>
      </c>
      <c r="H4341" s="26" t="str">
        <f t="shared" si="1"/>
        <v/>
      </c>
      <c r="I4341" s="26" t="str">
        <f t="shared" si="2"/>
        <v/>
      </c>
      <c r="J4341" s="86">
        <f t="shared" si="3"/>
        <v>0</v>
      </c>
      <c r="R4341" s="26"/>
    </row>
    <row r="4342" spans="1:18" ht="15.75" customHeight="1">
      <c r="A4342" s="26"/>
      <c r="B4342" s="86"/>
      <c r="D4342" s="26"/>
      <c r="F4342" s="87" t="str">
        <f t="shared" si="0"/>
        <v/>
      </c>
      <c r="H4342" s="26" t="str">
        <f t="shared" si="1"/>
        <v/>
      </c>
      <c r="I4342" s="26" t="str">
        <f t="shared" si="2"/>
        <v/>
      </c>
      <c r="J4342" s="86">
        <f t="shared" si="3"/>
        <v>0</v>
      </c>
      <c r="R4342" s="26"/>
    </row>
    <row r="4343" spans="1:18" ht="15.75" customHeight="1">
      <c r="A4343" s="26"/>
      <c r="B4343" s="86"/>
      <c r="D4343" s="26"/>
      <c r="F4343" s="87" t="str">
        <f t="shared" si="0"/>
        <v/>
      </c>
      <c r="H4343" s="26" t="str">
        <f t="shared" si="1"/>
        <v/>
      </c>
      <c r="I4343" s="26" t="str">
        <f t="shared" si="2"/>
        <v/>
      </c>
      <c r="J4343" s="86">
        <f t="shared" si="3"/>
        <v>0</v>
      </c>
      <c r="R4343" s="26"/>
    </row>
    <row r="4344" spans="1:18" ht="15.75" customHeight="1">
      <c r="A4344" s="26"/>
      <c r="B4344" s="86"/>
      <c r="D4344" s="26"/>
      <c r="F4344" s="87" t="str">
        <f t="shared" si="0"/>
        <v/>
      </c>
      <c r="H4344" s="26" t="str">
        <f t="shared" si="1"/>
        <v/>
      </c>
      <c r="I4344" s="26" t="str">
        <f t="shared" si="2"/>
        <v/>
      </c>
      <c r="J4344" s="86">
        <f t="shared" si="3"/>
        <v>0</v>
      </c>
      <c r="R4344" s="26"/>
    </row>
    <row r="4345" spans="1:18" ht="15.75" customHeight="1">
      <c r="A4345" s="26"/>
      <c r="B4345" s="86"/>
      <c r="D4345" s="26"/>
      <c r="F4345" s="87" t="str">
        <f t="shared" si="0"/>
        <v/>
      </c>
      <c r="H4345" s="26" t="str">
        <f t="shared" si="1"/>
        <v/>
      </c>
      <c r="I4345" s="26" t="str">
        <f t="shared" si="2"/>
        <v/>
      </c>
      <c r="J4345" s="86">
        <f t="shared" si="3"/>
        <v>0</v>
      </c>
      <c r="R4345" s="26"/>
    </row>
    <row r="4346" spans="1:18" ht="15.75" customHeight="1">
      <c r="A4346" s="26"/>
      <c r="B4346" s="86"/>
      <c r="D4346" s="26"/>
      <c r="F4346" s="87" t="str">
        <f t="shared" si="0"/>
        <v/>
      </c>
      <c r="H4346" s="26" t="str">
        <f t="shared" si="1"/>
        <v/>
      </c>
      <c r="I4346" s="26" t="str">
        <f t="shared" si="2"/>
        <v/>
      </c>
      <c r="J4346" s="86">
        <f t="shared" si="3"/>
        <v>0</v>
      </c>
      <c r="R4346" s="26"/>
    </row>
    <row r="4347" spans="1:18" ht="15.75" customHeight="1">
      <c r="A4347" s="26"/>
      <c r="B4347" s="86"/>
      <c r="D4347" s="26"/>
      <c r="F4347" s="87" t="str">
        <f t="shared" si="0"/>
        <v/>
      </c>
      <c r="H4347" s="26" t="str">
        <f t="shared" si="1"/>
        <v/>
      </c>
      <c r="I4347" s="26" t="str">
        <f t="shared" si="2"/>
        <v/>
      </c>
      <c r="J4347" s="86">
        <f t="shared" si="3"/>
        <v>0</v>
      </c>
      <c r="R4347" s="26"/>
    </row>
    <row r="4348" spans="1:18" ht="15.75" customHeight="1">
      <c r="A4348" s="26"/>
      <c r="B4348" s="86"/>
      <c r="D4348" s="26"/>
      <c r="F4348" s="87" t="str">
        <f t="shared" si="0"/>
        <v/>
      </c>
      <c r="H4348" s="26" t="str">
        <f t="shared" si="1"/>
        <v/>
      </c>
      <c r="I4348" s="26" t="str">
        <f t="shared" si="2"/>
        <v/>
      </c>
      <c r="J4348" s="86">
        <f t="shared" si="3"/>
        <v>0</v>
      </c>
      <c r="R4348" s="26"/>
    </row>
    <row r="4349" spans="1:18" ht="15.75" customHeight="1">
      <c r="A4349" s="26"/>
      <c r="B4349" s="86"/>
      <c r="D4349" s="26"/>
      <c r="F4349" s="87" t="str">
        <f t="shared" si="0"/>
        <v/>
      </c>
      <c r="H4349" s="26" t="str">
        <f t="shared" si="1"/>
        <v/>
      </c>
      <c r="I4349" s="26" t="str">
        <f t="shared" si="2"/>
        <v/>
      </c>
      <c r="J4349" s="86">
        <f t="shared" si="3"/>
        <v>0</v>
      </c>
      <c r="R4349" s="26"/>
    </row>
    <row r="4350" spans="1:18" ht="15.75" customHeight="1">
      <c r="A4350" s="26"/>
      <c r="B4350" s="86"/>
      <c r="D4350" s="26"/>
      <c r="F4350" s="87" t="str">
        <f t="shared" si="0"/>
        <v/>
      </c>
      <c r="H4350" s="26" t="str">
        <f t="shared" si="1"/>
        <v/>
      </c>
      <c r="I4350" s="26" t="str">
        <f t="shared" si="2"/>
        <v/>
      </c>
      <c r="J4350" s="86">
        <f t="shared" si="3"/>
        <v>0</v>
      </c>
      <c r="R4350" s="26"/>
    </row>
    <row r="4351" spans="1:18" ht="15.75" customHeight="1">
      <c r="A4351" s="26"/>
      <c r="B4351" s="86"/>
      <c r="D4351" s="26"/>
      <c r="F4351" s="87" t="str">
        <f t="shared" si="0"/>
        <v/>
      </c>
      <c r="H4351" s="26" t="str">
        <f t="shared" si="1"/>
        <v/>
      </c>
      <c r="I4351" s="26" t="str">
        <f t="shared" si="2"/>
        <v/>
      </c>
      <c r="J4351" s="86">
        <f t="shared" si="3"/>
        <v>0</v>
      </c>
      <c r="R4351" s="26"/>
    </row>
    <row r="4352" spans="1:18" ht="15.75" customHeight="1">
      <c r="A4352" s="26"/>
      <c r="B4352" s="86"/>
      <c r="D4352" s="26"/>
      <c r="F4352" s="87" t="str">
        <f t="shared" si="0"/>
        <v/>
      </c>
      <c r="H4352" s="26" t="str">
        <f t="shared" si="1"/>
        <v/>
      </c>
      <c r="I4352" s="26" t="str">
        <f t="shared" si="2"/>
        <v/>
      </c>
      <c r="J4352" s="86">
        <f t="shared" si="3"/>
        <v>0</v>
      </c>
      <c r="R4352" s="26"/>
    </row>
    <row r="4353" spans="1:18" ht="15.75" customHeight="1">
      <c r="A4353" s="26"/>
      <c r="B4353" s="86"/>
      <c r="D4353" s="26"/>
      <c r="F4353" s="87" t="str">
        <f t="shared" si="0"/>
        <v/>
      </c>
      <c r="H4353" s="26" t="str">
        <f t="shared" si="1"/>
        <v/>
      </c>
      <c r="I4353" s="26" t="str">
        <f t="shared" si="2"/>
        <v/>
      </c>
      <c r="J4353" s="86">
        <f t="shared" si="3"/>
        <v>0</v>
      </c>
      <c r="R4353" s="26"/>
    </row>
    <row r="4354" spans="1:18" ht="15.75" customHeight="1">
      <c r="A4354" s="26"/>
      <c r="B4354" s="86"/>
      <c r="D4354" s="26"/>
      <c r="F4354" s="87" t="str">
        <f t="shared" si="0"/>
        <v/>
      </c>
      <c r="H4354" s="26" t="str">
        <f t="shared" si="1"/>
        <v/>
      </c>
      <c r="I4354" s="26" t="str">
        <f t="shared" si="2"/>
        <v/>
      </c>
      <c r="J4354" s="86">
        <f t="shared" si="3"/>
        <v>0</v>
      </c>
      <c r="R4354" s="26"/>
    </row>
    <row r="4355" spans="1:18" ht="15.75" customHeight="1">
      <c r="A4355" s="26"/>
      <c r="B4355" s="86"/>
      <c r="D4355" s="26"/>
      <c r="F4355" s="87" t="str">
        <f t="shared" si="0"/>
        <v/>
      </c>
      <c r="H4355" s="26" t="str">
        <f t="shared" si="1"/>
        <v/>
      </c>
      <c r="I4355" s="26" t="str">
        <f t="shared" si="2"/>
        <v/>
      </c>
      <c r="J4355" s="86">
        <f t="shared" si="3"/>
        <v>0</v>
      </c>
      <c r="R4355" s="26"/>
    </row>
    <row r="4356" spans="1:18" ht="15.75" customHeight="1">
      <c r="A4356" s="26"/>
      <c r="B4356" s="86"/>
      <c r="D4356" s="26"/>
      <c r="F4356" s="87" t="str">
        <f t="shared" si="0"/>
        <v/>
      </c>
      <c r="H4356" s="26" t="str">
        <f t="shared" si="1"/>
        <v/>
      </c>
      <c r="I4356" s="26" t="str">
        <f t="shared" si="2"/>
        <v/>
      </c>
      <c r="J4356" s="86">
        <f t="shared" si="3"/>
        <v>0</v>
      </c>
      <c r="R4356" s="26"/>
    </row>
    <row r="4357" spans="1:18" ht="15.75" customHeight="1">
      <c r="A4357" s="26"/>
      <c r="B4357" s="86"/>
      <c r="D4357" s="26"/>
      <c r="F4357" s="87" t="str">
        <f t="shared" si="0"/>
        <v/>
      </c>
      <c r="H4357" s="26" t="str">
        <f t="shared" si="1"/>
        <v/>
      </c>
      <c r="I4357" s="26" t="str">
        <f t="shared" si="2"/>
        <v/>
      </c>
      <c r="J4357" s="86">
        <f t="shared" si="3"/>
        <v>0</v>
      </c>
      <c r="R4357" s="26"/>
    </row>
    <row r="4358" spans="1:18" ht="15.75" customHeight="1">
      <c r="A4358" s="26"/>
      <c r="B4358" s="86"/>
      <c r="D4358" s="26"/>
      <c r="F4358" s="87" t="str">
        <f t="shared" si="0"/>
        <v/>
      </c>
      <c r="H4358" s="26" t="str">
        <f t="shared" si="1"/>
        <v/>
      </c>
      <c r="I4358" s="26" t="str">
        <f t="shared" si="2"/>
        <v/>
      </c>
      <c r="J4358" s="86">
        <f t="shared" si="3"/>
        <v>0</v>
      </c>
      <c r="R4358" s="26"/>
    </row>
    <row r="4359" spans="1:18" ht="15.75" customHeight="1">
      <c r="A4359" s="26"/>
      <c r="B4359" s="86"/>
      <c r="D4359" s="26"/>
      <c r="F4359" s="87" t="str">
        <f t="shared" si="0"/>
        <v/>
      </c>
      <c r="H4359" s="26" t="str">
        <f t="shared" si="1"/>
        <v/>
      </c>
      <c r="I4359" s="26" t="str">
        <f t="shared" si="2"/>
        <v/>
      </c>
      <c r="J4359" s="86">
        <f t="shared" si="3"/>
        <v>0</v>
      </c>
      <c r="R4359" s="26"/>
    </row>
    <row r="4360" spans="1:18" ht="15.75" customHeight="1">
      <c r="A4360" s="26"/>
      <c r="B4360" s="86"/>
      <c r="D4360" s="26"/>
      <c r="F4360" s="87" t="str">
        <f t="shared" si="0"/>
        <v/>
      </c>
      <c r="H4360" s="26" t="str">
        <f t="shared" si="1"/>
        <v/>
      </c>
      <c r="I4360" s="26" t="str">
        <f t="shared" si="2"/>
        <v/>
      </c>
      <c r="J4360" s="86">
        <f t="shared" si="3"/>
        <v>0</v>
      </c>
      <c r="R4360" s="26"/>
    </row>
    <row r="4361" spans="1:18" ht="15.75" customHeight="1">
      <c r="A4361" s="26"/>
      <c r="B4361" s="86"/>
      <c r="D4361" s="26"/>
      <c r="F4361" s="87" t="str">
        <f t="shared" si="0"/>
        <v/>
      </c>
      <c r="H4361" s="26" t="str">
        <f t="shared" si="1"/>
        <v/>
      </c>
      <c r="I4361" s="26" t="str">
        <f t="shared" si="2"/>
        <v/>
      </c>
      <c r="J4361" s="86">
        <f t="shared" si="3"/>
        <v>0</v>
      </c>
      <c r="R4361" s="26"/>
    </row>
    <row r="4362" spans="1:18" ht="15.75" customHeight="1">
      <c r="A4362" s="26"/>
      <c r="B4362" s="86"/>
      <c r="D4362" s="26"/>
      <c r="F4362" s="87" t="str">
        <f t="shared" si="0"/>
        <v/>
      </c>
      <c r="H4362" s="26" t="str">
        <f t="shared" si="1"/>
        <v/>
      </c>
      <c r="I4362" s="26" t="str">
        <f t="shared" si="2"/>
        <v/>
      </c>
      <c r="J4362" s="86">
        <f t="shared" si="3"/>
        <v>0</v>
      </c>
      <c r="R4362" s="26"/>
    </row>
    <row r="4363" spans="1:18" ht="15.75" customHeight="1">
      <c r="A4363" s="26"/>
      <c r="B4363" s="86"/>
      <c r="D4363" s="26"/>
      <c r="F4363" s="87" t="str">
        <f t="shared" si="0"/>
        <v/>
      </c>
      <c r="H4363" s="26" t="str">
        <f t="shared" si="1"/>
        <v/>
      </c>
      <c r="I4363" s="26" t="str">
        <f t="shared" si="2"/>
        <v/>
      </c>
      <c r="J4363" s="86">
        <f t="shared" si="3"/>
        <v>0</v>
      </c>
      <c r="R4363" s="26"/>
    </row>
    <row r="4364" spans="1:18" ht="15.75" customHeight="1">
      <c r="A4364" s="26"/>
      <c r="B4364" s="86"/>
      <c r="D4364" s="26"/>
      <c r="F4364" s="87" t="str">
        <f t="shared" si="0"/>
        <v/>
      </c>
      <c r="H4364" s="26" t="str">
        <f t="shared" si="1"/>
        <v/>
      </c>
      <c r="I4364" s="26" t="str">
        <f t="shared" si="2"/>
        <v/>
      </c>
      <c r="J4364" s="86">
        <f t="shared" si="3"/>
        <v>0</v>
      </c>
      <c r="R4364" s="26"/>
    </row>
    <row r="4365" spans="1:18" ht="15.75" customHeight="1">
      <c r="A4365" s="26"/>
      <c r="B4365" s="86"/>
      <c r="D4365" s="26"/>
      <c r="F4365" s="87" t="str">
        <f t="shared" si="0"/>
        <v/>
      </c>
      <c r="H4365" s="26" t="str">
        <f t="shared" si="1"/>
        <v/>
      </c>
      <c r="I4365" s="26" t="str">
        <f t="shared" si="2"/>
        <v/>
      </c>
      <c r="J4365" s="86">
        <f t="shared" si="3"/>
        <v>0</v>
      </c>
      <c r="R4365" s="26"/>
    </row>
    <row r="4366" spans="1:18" ht="15.75" customHeight="1">
      <c r="A4366" s="26"/>
      <c r="B4366" s="86"/>
      <c r="D4366" s="26"/>
      <c r="F4366" s="87" t="str">
        <f t="shared" si="0"/>
        <v/>
      </c>
      <c r="H4366" s="26" t="str">
        <f t="shared" si="1"/>
        <v/>
      </c>
      <c r="I4366" s="26" t="str">
        <f t="shared" si="2"/>
        <v/>
      </c>
      <c r="J4366" s="86">
        <f t="shared" si="3"/>
        <v>0</v>
      </c>
      <c r="R4366" s="26"/>
    </row>
    <row r="4367" spans="1:18" ht="15.75" customHeight="1">
      <c r="A4367" s="26"/>
      <c r="B4367" s="86"/>
      <c r="D4367" s="26"/>
      <c r="F4367" s="87" t="str">
        <f t="shared" si="0"/>
        <v/>
      </c>
      <c r="H4367" s="26" t="str">
        <f t="shared" si="1"/>
        <v/>
      </c>
      <c r="I4367" s="26" t="str">
        <f t="shared" si="2"/>
        <v/>
      </c>
      <c r="J4367" s="86">
        <f t="shared" si="3"/>
        <v>0</v>
      </c>
      <c r="R4367" s="26"/>
    </row>
    <row r="4368" spans="1:18" ht="15.75" customHeight="1">
      <c r="A4368" s="26"/>
      <c r="B4368" s="86"/>
      <c r="D4368" s="26"/>
      <c r="F4368" s="87" t="str">
        <f t="shared" si="0"/>
        <v/>
      </c>
      <c r="H4368" s="26" t="str">
        <f t="shared" si="1"/>
        <v/>
      </c>
      <c r="I4368" s="26" t="str">
        <f t="shared" si="2"/>
        <v/>
      </c>
      <c r="J4368" s="86">
        <f t="shared" si="3"/>
        <v>0</v>
      </c>
      <c r="R4368" s="26"/>
    </row>
    <row r="4369" spans="1:18" ht="15.75" customHeight="1">
      <c r="A4369" s="26"/>
      <c r="B4369" s="86"/>
      <c r="D4369" s="26"/>
      <c r="F4369" s="87" t="str">
        <f t="shared" si="0"/>
        <v/>
      </c>
      <c r="H4369" s="26" t="str">
        <f t="shared" si="1"/>
        <v/>
      </c>
      <c r="I4369" s="26" t="str">
        <f t="shared" si="2"/>
        <v/>
      </c>
      <c r="J4369" s="86">
        <f t="shared" si="3"/>
        <v>0</v>
      </c>
      <c r="R4369" s="26"/>
    </row>
    <row r="4370" spans="1:18" ht="15.75" customHeight="1">
      <c r="A4370" s="26"/>
      <c r="B4370" s="86"/>
      <c r="D4370" s="26"/>
      <c r="F4370" s="87" t="str">
        <f t="shared" si="0"/>
        <v/>
      </c>
      <c r="H4370" s="26" t="str">
        <f t="shared" si="1"/>
        <v/>
      </c>
      <c r="I4370" s="26" t="str">
        <f t="shared" si="2"/>
        <v/>
      </c>
      <c r="J4370" s="86">
        <f t="shared" si="3"/>
        <v>0</v>
      </c>
      <c r="R4370" s="26"/>
    </row>
    <row r="4371" spans="1:18" ht="15.75" customHeight="1">
      <c r="A4371" s="26"/>
      <c r="B4371" s="86"/>
      <c r="D4371" s="26"/>
      <c r="F4371" s="87" t="str">
        <f t="shared" si="0"/>
        <v/>
      </c>
      <c r="H4371" s="26" t="str">
        <f t="shared" si="1"/>
        <v/>
      </c>
      <c r="I4371" s="26" t="str">
        <f t="shared" si="2"/>
        <v/>
      </c>
      <c r="J4371" s="86">
        <f t="shared" si="3"/>
        <v>0</v>
      </c>
      <c r="R4371" s="26"/>
    </row>
    <row r="4372" spans="1:18" ht="15.75" customHeight="1">
      <c r="A4372" s="26"/>
      <c r="B4372" s="86"/>
      <c r="D4372" s="26"/>
      <c r="F4372" s="87" t="str">
        <f t="shared" si="0"/>
        <v/>
      </c>
      <c r="H4372" s="26" t="str">
        <f t="shared" si="1"/>
        <v/>
      </c>
      <c r="I4372" s="26" t="str">
        <f t="shared" si="2"/>
        <v/>
      </c>
      <c r="J4372" s="86">
        <f t="shared" si="3"/>
        <v>0</v>
      </c>
      <c r="R4372" s="26"/>
    </row>
    <row r="4373" spans="1:18" ht="15.75" customHeight="1">
      <c r="A4373" s="26"/>
      <c r="B4373" s="86"/>
      <c r="D4373" s="26"/>
      <c r="F4373" s="87" t="str">
        <f t="shared" si="0"/>
        <v/>
      </c>
      <c r="H4373" s="26" t="str">
        <f t="shared" si="1"/>
        <v/>
      </c>
      <c r="I4373" s="26" t="str">
        <f t="shared" si="2"/>
        <v/>
      </c>
      <c r="J4373" s="86">
        <f t="shared" si="3"/>
        <v>0</v>
      </c>
      <c r="R4373" s="26"/>
    </row>
    <row r="4374" spans="1:18" ht="15.75" customHeight="1">
      <c r="A4374" s="26"/>
      <c r="B4374" s="86"/>
      <c r="D4374" s="26"/>
      <c r="F4374" s="87" t="str">
        <f t="shared" si="0"/>
        <v/>
      </c>
      <c r="H4374" s="26" t="str">
        <f t="shared" si="1"/>
        <v/>
      </c>
      <c r="I4374" s="26" t="str">
        <f t="shared" si="2"/>
        <v/>
      </c>
      <c r="J4374" s="86">
        <f t="shared" si="3"/>
        <v>0</v>
      </c>
      <c r="R4374" s="26"/>
    </row>
    <row r="4375" spans="1:18" ht="15.75" customHeight="1">
      <c r="A4375" s="26"/>
      <c r="B4375" s="86"/>
      <c r="D4375" s="26"/>
      <c r="F4375" s="87" t="str">
        <f t="shared" si="0"/>
        <v/>
      </c>
      <c r="H4375" s="26" t="str">
        <f t="shared" si="1"/>
        <v/>
      </c>
      <c r="I4375" s="26" t="str">
        <f t="shared" si="2"/>
        <v/>
      </c>
      <c r="J4375" s="86">
        <f t="shared" si="3"/>
        <v>0</v>
      </c>
      <c r="R4375" s="26"/>
    </row>
    <row r="4376" spans="1:18" ht="15.75" customHeight="1">
      <c r="A4376" s="26"/>
      <c r="B4376" s="86"/>
      <c r="D4376" s="26"/>
      <c r="F4376" s="87" t="str">
        <f t="shared" si="0"/>
        <v/>
      </c>
      <c r="H4376" s="26" t="str">
        <f t="shared" si="1"/>
        <v/>
      </c>
      <c r="I4376" s="26" t="str">
        <f t="shared" si="2"/>
        <v/>
      </c>
      <c r="J4376" s="86">
        <f t="shared" si="3"/>
        <v>0</v>
      </c>
      <c r="R4376" s="26"/>
    </row>
    <row r="4377" spans="1:18" ht="15.75" customHeight="1">
      <c r="A4377" s="26"/>
      <c r="B4377" s="86"/>
      <c r="D4377" s="26"/>
      <c r="F4377" s="87" t="str">
        <f t="shared" si="0"/>
        <v/>
      </c>
      <c r="H4377" s="26" t="str">
        <f t="shared" si="1"/>
        <v/>
      </c>
      <c r="I4377" s="26" t="str">
        <f t="shared" si="2"/>
        <v/>
      </c>
      <c r="J4377" s="86">
        <f t="shared" si="3"/>
        <v>0</v>
      </c>
      <c r="R4377" s="26"/>
    </row>
    <row r="4378" spans="1:18" ht="15.75" customHeight="1">
      <c r="A4378" s="26"/>
      <c r="B4378" s="86"/>
      <c r="D4378" s="26"/>
      <c r="F4378" s="87" t="str">
        <f t="shared" si="0"/>
        <v/>
      </c>
      <c r="H4378" s="26" t="str">
        <f t="shared" si="1"/>
        <v/>
      </c>
      <c r="I4378" s="26" t="str">
        <f t="shared" si="2"/>
        <v/>
      </c>
      <c r="J4378" s="86">
        <f t="shared" si="3"/>
        <v>0</v>
      </c>
      <c r="R4378" s="26"/>
    </row>
    <row r="4379" spans="1:18" ht="15.75" customHeight="1">
      <c r="A4379" s="26"/>
      <c r="B4379" s="86"/>
      <c r="D4379" s="26"/>
      <c r="F4379" s="87" t="str">
        <f t="shared" si="0"/>
        <v/>
      </c>
      <c r="H4379" s="26" t="str">
        <f t="shared" si="1"/>
        <v/>
      </c>
      <c r="I4379" s="26" t="str">
        <f t="shared" si="2"/>
        <v/>
      </c>
      <c r="J4379" s="86">
        <f t="shared" si="3"/>
        <v>0</v>
      </c>
      <c r="R4379" s="26"/>
    </row>
    <row r="4380" spans="1:18" ht="15.75" customHeight="1">
      <c r="A4380" s="26"/>
      <c r="B4380" s="86"/>
      <c r="D4380" s="26"/>
      <c r="F4380" s="87" t="str">
        <f t="shared" si="0"/>
        <v/>
      </c>
      <c r="H4380" s="26" t="str">
        <f t="shared" si="1"/>
        <v/>
      </c>
      <c r="I4380" s="26" t="str">
        <f t="shared" si="2"/>
        <v/>
      </c>
      <c r="J4380" s="86">
        <f t="shared" si="3"/>
        <v>0</v>
      </c>
      <c r="R4380" s="26"/>
    </row>
    <row r="4381" spans="1:18" ht="15.75" customHeight="1">
      <c r="A4381" s="26"/>
      <c r="B4381" s="86"/>
      <c r="D4381" s="26"/>
      <c r="F4381" s="87" t="str">
        <f t="shared" si="0"/>
        <v/>
      </c>
      <c r="H4381" s="26" t="str">
        <f t="shared" si="1"/>
        <v/>
      </c>
      <c r="I4381" s="26" t="str">
        <f t="shared" si="2"/>
        <v/>
      </c>
      <c r="J4381" s="86">
        <f t="shared" si="3"/>
        <v>0</v>
      </c>
      <c r="R4381" s="26"/>
    </row>
    <row r="4382" spans="1:18" ht="15.75" customHeight="1">
      <c r="A4382" s="26"/>
      <c r="B4382" s="86"/>
      <c r="D4382" s="26"/>
      <c r="F4382" s="87" t="str">
        <f t="shared" si="0"/>
        <v/>
      </c>
      <c r="H4382" s="26" t="str">
        <f t="shared" si="1"/>
        <v/>
      </c>
      <c r="I4382" s="26" t="str">
        <f t="shared" si="2"/>
        <v/>
      </c>
      <c r="J4382" s="86">
        <f t="shared" si="3"/>
        <v>0</v>
      </c>
      <c r="R4382" s="26"/>
    </row>
    <row r="4383" spans="1:18" ht="15.75" customHeight="1">
      <c r="A4383" s="26"/>
      <c r="B4383" s="86"/>
      <c r="D4383" s="26"/>
      <c r="F4383" s="87" t="str">
        <f t="shared" si="0"/>
        <v/>
      </c>
      <c r="H4383" s="26" t="str">
        <f t="shared" si="1"/>
        <v/>
      </c>
      <c r="I4383" s="26" t="str">
        <f t="shared" si="2"/>
        <v/>
      </c>
      <c r="J4383" s="86">
        <f t="shared" si="3"/>
        <v>0</v>
      </c>
      <c r="R4383" s="26"/>
    </row>
    <row r="4384" spans="1:18" ht="15.75" customHeight="1">
      <c r="A4384" s="26"/>
      <c r="B4384" s="86"/>
      <c r="D4384" s="26"/>
      <c r="F4384" s="87" t="str">
        <f t="shared" si="0"/>
        <v/>
      </c>
      <c r="H4384" s="26" t="str">
        <f t="shared" si="1"/>
        <v/>
      </c>
      <c r="I4384" s="26" t="str">
        <f t="shared" si="2"/>
        <v/>
      </c>
      <c r="J4384" s="86">
        <f t="shared" si="3"/>
        <v>0</v>
      </c>
      <c r="R4384" s="26"/>
    </row>
    <row r="4385" spans="1:18" ht="15.75" customHeight="1">
      <c r="A4385" s="26"/>
      <c r="B4385" s="86"/>
      <c r="D4385" s="26"/>
      <c r="F4385" s="87" t="str">
        <f t="shared" si="0"/>
        <v/>
      </c>
      <c r="H4385" s="26" t="str">
        <f t="shared" si="1"/>
        <v/>
      </c>
      <c r="I4385" s="26" t="str">
        <f t="shared" si="2"/>
        <v/>
      </c>
      <c r="J4385" s="86">
        <f t="shared" si="3"/>
        <v>0</v>
      </c>
      <c r="R4385" s="26"/>
    </row>
    <row r="4386" spans="1:18" ht="15.75" customHeight="1">
      <c r="A4386" s="26"/>
      <c r="B4386" s="86"/>
      <c r="D4386" s="26"/>
      <c r="F4386" s="87" t="str">
        <f t="shared" si="0"/>
        <v/>
      </c>
      <c r="H4386" s="26" t="str">
        <f t="shared" si="1"/>
        <v/>
      </c>
      <c r="I4386" s="26" t="str">
        <f t="shared" si="2"/>
        <v/>
      </c>
      <c r="J4386" s="86">
        <f t="shared" si="3"/>
        <v>0</v>
      </c>
      <c r="R4386" s="26"/>
    </row>
    <row r="4387" spans="1:18" ht="15.75" customHeight="1">
      <c r="A4387" s="26"/>
      <c r="B4387" s="86"/>
      <c r="D4387" s="26"/>
      <c r="F4387" s="87" t="str">
        <f t="shared" si="0"/>
        <v/>
      </c>
      <c r="H4387" s="26" t="str">
        <f t="shared" si="1"/>
        <v/>
      </c>
      <c r="I4387" s="26" t="str">
        <f t="shared" si="2"/>
        <v/>
      </c>
      <c r="J4387" s="86">
        <f t="shared" si="3"/>
        <v>0</v>
      </c>
      <c r="R4387" s="26"/>
    </row>
    <row r="4388" spans="1:18" ht="15.75" customHeight="1">
      <c r="A4388" s="26"/>
      <c r="B4388" s="86"/>
      <c r="D4388" s="26"/>
      <c r="F4388" s="87" t="str">
        <f t="shared" si="0"/>
        <v/>
      </c>
      <c r="H4388" s="26" t="str">
        <f t="shared" si="1"/>
        <v/>
      </c>
      <c r="I4388" s="26" t="str">
        <f t="shared" si="2"/>
        <v/>
      </c>
      <c r="J4388" s="86">
        <f t="shared" si="3"/>
        <v>0</v>
      </c>
      <c r="R4388" s="26"/>
    </row>
    <row r="4389" spans="1:18" ht="15.75" customHeight="1">
      <c r="A4389" s="26"/>
      <c r="B4389" s="86"/>
      <c r="D4389" s="26"/>
      <c r="F4389" s="87" t="str">
        <f t="shared" si="0"/>
        <v/>
      </c>
      <c r="H4389" s="26" t="str">
        <f t="shared" si="1"/>
        <v/>
      </c>
      <c r="I4389" s="26" t="str">
        <f t="shared" si="2"/>
        <v/>
      </c>
      <c r="J4389" s="86">
        <f t="shared" si="3"/>
        <v>0</v>
      </c>
      <c r="R4389" s="26"/>
    </row>
    <row r="4390" spans="1:18" ht="15.75" customHeight="1">
      <c r="A4390" s="26"/>
      <c r="B4390" s="86"/>
      <c r="D4390" s="26"/>
      <c r="F4390" s="87" t="str">
        <f t="shared" si="0"/>
        <v/>
      </c>
      <c r="H4390" s="26" t="str">
        <f t="shared" si="1"/>
        <v/>
      </c>
      <c r="I4390" s="26" t="str">
        <f t="shared" si="2"/>
        <v/>
      </c>
      <c r="J4390" s="86">
        <f t="shared" si="3"/>
        <v>0</v>
      </c>
      <c r="R4390" s="26"/>
    </row>
    <row r="4391" spans="1:18" ht="15.75" customHeight="1">
      <c r="A4391" s="26"/>
      <c r="B4391" s="86"/>
      <c r="D4391" s="26"/>
      <c r="F4391" s="87" t="str">
        <f t="shared" si="0"/>
        <v/>
      </c>
      <c r="H4391" s="26" t="str">
        <f t="shared" si="1"/>
        <v/>
      </c>
      <c r="I4391" s="26" t="str">
        <f t="shared" si="2"/>
        <v/>
      </c>
      <c r="J4391" s="86">
        <f t="shared" si="3"/>
        <v>0</v>
      </c>
      <c r="R4391" s="26"/>
    </row>
    <row r="4392" spans="1:18" ht="15.75" customHeight="1">
      <c r="A4392" s="26"/>
      <c r="B4392" s="86"/>
      <c r="D4392" s="26"/>
      <c r="F4392" s="87" t="str">
        <f t="shared" si="0"/>
        <v/>
      </c>
      <c r="H4392" s="26" t="str">
        <f t="shared" si="1"/>
        <v/>
      </c>
      <c r="I4392" s="26" t="str">
        <f t="shared" si="2"/>
        <v/>
      </c>
      <c r="J4392" s="86">
        <f t="shared" si="3"/>
        <v>0</v>
      </c>
      <c r="R4392" s="26"/>
    </row>
    <row r="4393" spans="1:18" ht="15.75" customHeight="1">
      <c r="A4393" s="26"/>
      <c r="B4393" s="86"/>
      <c r="D4393" s="26"/>
      <c r="F4393" s="87" t="str">
        <f t="shared" si="0"/>
        <v/>
      </c>
      <c r="H4393" s="26" t="str">
        <f t="shared" si="1"/>
        <v/>
      </c>
      <c r="I4393" s="26" t="str">
        <f t="shared" si="2"/>
        <v/>
      </c>
      <c r="J4393" s="86">
        <f t="shared" si="3"/>
        <v>0</v>
      </c>
      <c r="R4393" s="26"/>
    </row>
    <row r="4394" spans="1:18" ht="15.75" customHeight="1">
      <c r="A4394" s="26"/>
      <c r="B4394" s="86"/>
      <c r="D4394" s="26"/>
      <c r="F4394" s="87" t="str">
        <f t="shared" si="0"/>
        <v/>
      </c>
      <c r="H4394" s="26" t="str">
        <f t="shared" si="1"/>
        <v/>
      </c>
      <c r="I4394" s="26" t="str">
        <f t="shared" si="2"/>
        <v/>
      </c>
      <c r="J4394" s="86">
        <f t="shared" si="3"/>
        <v>0</v>
      </c>
      <c r="R4394" s="26"/>
    </row>
    <row r="4395" spans="1:18" ht="15.75" customHeight="1">
      <c r="A4395" s="26"/>
      <c r="B4395" s="86"/>
      <c r="D4395" s="26"/>
      <c r="F4395" s="87" t="str">
        <f t="shared" si="0"/>
        <v/>
      </c>
      <c r="H4395" s="26" t="str">
        <f t="shared" si="1"/>
        <v/>
      </c>
      <c r="I4395" s="26" t="str">
        <f t="shared" si="2"/>
        <v/>
      </c>
      <c r="J4395" s="86">
        <f t="shared" si="3"/>
        <v>0</v>
      </c>
      <c r="R4395" s="26"/>
    </row>
    <row r="4396" spans="1:18" ht="15.75" customHeight="1">
      <c r="A4396" s="26"/>
      <c r="B4396" s="86"/>
      <c r="D4396" s="26"/>
      <c r="F4396" s="87" t="str">
        <f t="shared" si="0"/>
        <v/>
      </c>
      <c r="H4396" s="26" t="str">
        <f t="shared" si="1"/>
        <v/>
      </c>
      <c r="I4396" s="26" t="str">
        <f t="shared" si="2"/>
        <v/>
      </c>
      <c r="J4396" s="86">
        <f t="shared" si="3"/>
        <v>0</v>
      </c>
      <c r="R4396" s="26"/>
    </row>
    <row r="4397" spans="1:18" ht="15.75" customHeight="1">
      <c r="A4397" s="26"/>
      <c r="B4397" s="86"/>
      <c r="D4397" s="26"/>
      <c r="F4397" s="87" t="str">
        <f t="shared" si="0"/>
        <v/>
      </c>
      <c r="H4397" s="26" t="str">
        <f t="shared" si="1"/>
        <v/>
      </c>
      <c r="I4397" s="26" t="str">
        <f t="shared" si="2"/>
        <v/>
      </c>
      <c r="J4397" s="86">
        <f t="shared" si="3"/>
        <v>0</v>
      </c>
      <c r="R4397" s="26"/>
    </row>
    <row r="4398" spans="1:18" ht="15.75" customHeight="1">
      <c r="A4398" s="26"/>
      <c r="B4398" s="86"/>
      <c r="D4398" s="26"/>
      <c r="F4398" s="87" t="str">
        <f t="shared" si="0"/>
        <v/>
      </c>
      <c r="H4398" s="26" t="str">
        <f t="shared" si="1"/>
        <v/>
      </c>
      <c r="I4398" s="26" t="str">
        <f t="shared" si="2"/>
        <v/>
      </c>
      <c r="J4398" s="86">
        <f t="shared" si="3"/>
        <v>0</v>
      </c>
      <c r="R4398" s="26"/>
    </row>
    <row r="4399" spans="1:18" ht="15.75" customHeight="1">
      <c r="A4399" s="26"/>
      <c r="B4399" s="86"/>
      <c r="D4399" s="26"/>
      <c r="F4399" s="87" t="str">
        <f t="shared" si="0"/>
        <v/>
      </c>
      <c r="H4399" s="26" t="str">
        <f t="shared" si="1"/>
        <v/>
      </c>
      <c r="I4399" s="26" t="str">
        <f t="shared" si="2"/>
        <v/>
      </c>
      <c r="J4399" s="86">
        <f t="shared" si="3"/>
        <v>0</v>
      </c>
      <c r="R4399" s="26"/>
    </row>
    <row r="4400" spans="1:18" ht="15.75" customHeight="1">
      <c r="A4400" s="26"/>
      <c r="B4400" s="86"/>
      <c r="D4400" s="26"/>
      <c r="F4400" s="87" t="str">
        <f t="shared" si="0"/>
        <v/>
      </c>
      <c r="H4400" s="26" t="str">
        <f t="shared" si="1"/>
        <v/>
      </c>
      <c r="I4400" s="26" t="str">
        <f t="shared" si="2"/>
        <v/>
      </c>
      <c r="J4400" s="86">
        <f t="shared" si="3"/>
        <v>0</v>
      </c>
      <c r="R4400" s="26"/>
    </row>
    <row r="4401" spans="1:18" ht="15.75" customHeight="1">
      <c r="A4401" s="26"/>
      <c r="B4401" s="86"/>
      <c r="D4401" s="26"/>
      <c r="F4401" s="87" t="str">
        <f t="shared" si="0"/>
        <v/>
      </c>
      <c r="H4401" s="26" t="str">
        <f t="shared" si="1"/>
        <v/>
      </c>
      <c r="I4401" s="26" t="str">
        <f t="shared" si="2"/>
        <v/>
      </c>
      <c r="J4401" s="86">
        <f t="shared" si="3"/>
        <v>0</v>
      </c>
      <c r="R4401" s="26"/>
    </row>
    <row r="4402" spans="1:18" ht="15.75" customHeight="1">
      <c r="A4402" s="26"/>
      <c r="B4402" s="86"/>
      <c r="D4402" s="26"/>
      <c r="F4402" s="87" t="str">
        <f t="shared" si="0"/>
        <v/>
      </c>
      <c r="H4402" s="26" t="str">
        <f t="shared" si="1"/>
        <v/>
      </c>
      <c r="I4402" s="26" t="str">
        <f t="shared" si="2"/>
        <v/>
      </c>
      <c r="J4402" s="86">
        <f t="shared" si="3"/>
        <v>0</v>
      </c>
      <c r="R4402" s="26"/>
    </row>
    <row r="4403" spans="1:18" ht="15.75" customHeight="1">
      <c r="A4403" s="26"/>
      <c r="B4403" s="86"/>
      <c r="D4403" s="26"/>
      <c r="F4403" s="87" t="str">
        <f t="shared" si="0"/>
        <v/>
      </c>
      <c r="H4403" s="26" t="str">
        <f t="shared" si="1"/>
        <v/>
      </c>
      <c r="I4403" s="26" t="str">
        <f t="shared" si="2"/>
        <v/>
      </c>
      <c r="J4403" s="86">
        <f t="shared" si="3"/>
        <v>0</v>
      </c>
      <c r="R4403" s="26"/>
    </row>
    <row r="4404" spans="1:18" ht="15.75" customHeight="1">
      <c r="A4404" s="26"/>
      <c r="B4404" s="86"/>
      <c r="D4404" s="26"/>
      <c r="F4404" s="87" t="str">
        <f t="shared" si="0"/>
        <v/>
      </c>
      <c r="H4404" s="26" t="str">
        <f t="shared" si="1"/>
        <v/>
      </c>
      <c r="I4404" s="26" t="str">
        <f t="shared" si="2"/>
        <v/>
      </c>
      <c r="J4404" s="86">
        <f t="shared" si="3"/>
        <v>0</v>
      </c>
      <c r="R4404" s="26"/>
    </row>
    <row r="4405" spans="1:18" ht="15.75" customHeight="1">
      <c r="A4405" s="26"/>
      <c r="B4405" s="86"/>
      <c r="D4405" s="26"/>
      <c r="F4405" s="87" t="str">
        <f t="shared" si="0"/>
        <v/>
      </c>
      <c r="H4405" s="26" t="str">
        <f t="shared" si="1"/>
        <v/>
      </c>
      <c r="I4405" s="26" t="str">
        <f t="shared" si="2"/>
        <v/>
      </c>
      <c r="J4405" s="86">
        <f t="shared" si="3"/>
        <v>0</v>
      </c>
      <c r="R4405" s="26"/>
    </row>
    <row r="4406" spans="1:18" ht="15.75" customHeight="1">
      <c r="A4406" s="26"/>
      <c r="B4406" s="86"/>
      <c r="D4406" s="26"/>
      <c r="F4406" s="87" t="str">
        <f t="shared" si="0"/>
        <v/>
      </c>
      <c r="H4406" s="26" t="str">
        <f t="shared" si="1"/>
        <v/>
      </c>
      <c r="I4406" s="26" t="str">
        <f t="shared" si="2"/>
        <v/>
      </c>
      <c r="J4406" s="86">
        <f t="shared" si="3"/>
        <v>0</v>
      </c>
      <c r="R4406" s="26"/>
    </row>
    <row r="4407" spans="1:18" ht="15.75" customHeight="1">
      <c r="A4407" s="26"/>
      <c r="B4407" s="86"/>
      <c r="D4407" s="26"/>
      <c r="F4407" s="87" t="str">
        <f t="shared" si="0"/>
        <v/>
      </c>
      <c r="H4407" s="26" t="str">
        <f t="shared" si="1"/>
        <v/>
      </c>
      <c r="I4407" s="26" t="str">
        <f t="shared" si="2"/>
        <v/>
      </c>
      <c r="J4407" s="86">
        <f t="shared" si="3"/>
        <v>0</v>
      </c>
      <c r="R4407" s="26"/>
    </row>
    <row r="4408" spans="1:18" ht="15.75" customHeight="1">
      <c r="A4408" s="26"/>
      <c r="B4408" s="86"/>
      <c r="D4408" s="26"/>
      <c r="F4408" s="87" t="str">
        <f t="shared" si="0"/>
        <v/>
      </c>
      <c r="H4408" s="26" t="str">
        <f t="shared" si="1"/>
        <v/>
      </c>
      <c r="I4408" s="26" t="str">
        <f t="shared" si="2"/>
        <v/>
      </c>
      <c r="J4408" s="86">
        <f t="shared" si="3"/>
        <v>0</v>
      </c>
      <c r="R4408" s="26"/>
    </row>
    <row r="4409" spans="1:18" ht="15.75" customHeight="1">
      <c r="A4409" s="26"/>
      <c r="B4409" s="86"/>
      <c r="D4409" s="26"/>
      <c r="F4409" s="87" t="str">
        <f t="shared" si="0"/>
        <v/>
      </c>
      <c r="H4409" s="26" t="str">
        <f t="shared" si="1"/>
        <v/>
      </c>
      <c r="I4409" s="26" t="str">
        <f t="shared" si="2"/>
        <v/>
      </c>
      <c r="J4409" s="86">
        <f t="shared" si="3"/>
        <v>0</v>
      </c>
      <c r="R4409" s="26"/>
    </row>
    <row r="4410" spans="1:18" ht="15.75" customHeight="1">
      <c r="A4410" s="26"/>
      <c r="B4410" s="86"/>
      <c r="D4410" s="26"/>
      <c r="F4410" s="87" t="str">
        <f t="shared" si="0"/>
        <v/>
      </c>
      <c r="H4410" s="26" t="str">
        <f t="shared" si="1"/>
        <v/>
      </c>
      <c r="I4410" s="26" t="str">
        <f t="shared" si="2"/>
        <v/>
      </c>
      <c r="J4410" s="86">
        <f t="shared" si="3"/>
        <v>0</v>
      </c>
      <c r="R4410" s="26"/>
    </row>
    <row r="4411" spans="1:18" ht="15.75" customHeight="1">
      <c r="A4411" s="26"/>
      <c r="B4411" s="86"/>
      <c r="D4411" s="26"/>
      <c r="F4411" s="87" t="str">
        <f t="shared" si="0"/>
        <v/>
      </c>
      <c r="H4411" s="26" t="str">
        <f t="shared" si="1"/>
        <v/>
      </c>
      <c r="I4411" s="26" t="str">
        <f t="shared" si="2"/>
        <v/>
      </c>
      <c r="J4411" s="86">
        <f t="shared" si="3"/>
        <v>0</v>
      </c>
      <c r="R4411" s="26"/>
    </row>
    <row r="4412" spans="1:18" ht="15.75" customHeight="1">
      <c r="A4412" s="26"/>
      <c r="B4412" s="86"/>
      <c r="D4412" s="26"/>
      <c r="F4412" s="87" t="str">
        <f t="shared" si="0"/>
        <v/>
      </c>
      <c r="H4412" s="26" t="str">
        <f t="shared" si="1"/>
        <v/>
      </c>
      <c r="I4412" s="26" t="str">
        <f t="shared" si="2"/>
        <v/>
      </c>
      <c r="J4412" s="86">
        <f t="shared" si="3"/>
        <v>0</v>
      </c>
      <c r="R4412" s="26"/>
    </row>
    <row r="4413" spans="1:18" ht="15.75" customHeight="1">
      <c r="A4413" s="26"/>
      <c r="B4413" s="86"/>
      <c r="D4413" s="26"/>
      <c r="F4413" s="87" t="str">
        <f t="shared" si="0"/>
        <v/>
      </c>
      <c r="H4413" s="26" t="str">
        <f t="shared" si="1"/>
        <v/>
      </c>
      <c r="I4413" s="26" t="str">
        <f t="shared" si="2"/>
        <v/>
      </c>
      <c r="J4413" s="86">
        <f t="shared" si="3"/>
        <v>0</v>
      </c>
      <c r="R4413" s="26"/>
    </row>
    <row r="4414" spans="1:18" ht="15.75" customHeight="1">
      <c r="A4414" s="26"/>
      <c r="B4414" s="86"/>
      <c r="D4414" s="26"/>
      <c r="F4414" s="87" t="str">
        <f t="shared" si="0"/>
        <v/>
      </c>
      <c r="H4414" s="26" t="str">
        <f t="shared" si="1"/>
        <v/>
      </c>
      <c r="I4414" s="26" t="str">
        <f t="shared" si="2"/>
        <v/>
      </c>
      <c r="J4414" s="86">
        <f t="shared" si="3"/>
        <v>0</v>
      </c>
      <c r="R4414" s="26"/>
    </row>
    <row r="4415" spans="1:18" ht="15.75" customHeight="1">
      <c r="A4415" s="26"/>
      <c r="B4415" s="86"/>
      <c r="D4415" s="26"/>
      <c r="F4415" s="87" t="str">
        <f t="shared" si="0"/>
        <v/>
      </c>
      <c r="H4415" s="26" t="str">
        <f t="shared" si="1"/>
        <v/>
      </c>
      <c r="I4415" s="26" t="str">
        <f t="shared" si="2"/>
        <v/>
      </c>
      <c r="J4415" s="86">
        <f t="shared" si="3"/>
        <v>0</v>
      </c>
      <c r="R4415" s="26"/>
    </row>
    <row r="4416" spans="1:18" ht="15.75" customHeight="1">
      <c r="A4416" s="26"/>
      <c r="B4416" s="86"/>
      <c r="D4416" s="26"/>
      <c r="F4416" s="87" t="str">
        <f t="shared" si="0"/>
        <v/>
      </c>
      <c r="H4416" s="26" t="str">
        <f t="shared" si="1"/>
        <v/>
      </c>
      <c r="I4416" s="26" t="str">
        <f t="shared" si="2"/>
        <v/>
      </c>
      <c r="J4416" s="86">
        <f t="shared" si="3"/>
        <v>0</v>
      </c>
      <c r="R4416" s="26"/>
    </row>
    <row r="4417" spans="1:18" ht="15.75" customHeight="1">
      <c r="A4417" s="26"/>
      <c r="B4417" s="86"/>
      <c r="D4417" s="26"/>
      <c r="F4417" s="87" t="str">
        <f t="shared" si="0"/>
        <v/>
      </c>
      <c r="H4417" s="26" t="str">
        <f t="shared" si="1"/>
        <v/>
      </c>
      <c r="I4417" s="26" t="str">
        <f t="shared" si="2"/>
        <v/>
      </c>
      <c r="J4417" s="86">
        <f t="shared" si="3"/>
        <v>0</v>
      </c>
      <c r="R4417" s="26"/>
    </row>
    <row r="4418" spans="1:18" ht="15.75" customHeight="1">
      <c r="A4418" s="26"/>
      <c r="B4418" s="86"/>
      <c r="D4418" s="26"/>
      <c r="F4418" s="87" t="str">
        <f t="shared" si="0"/>
        <v/>
      </c>
      <c r="H4418" s="26" t="str">
        <f t="shared" si="1"/>
        <v/>
      </c>
      <c r="I4418" s="26" t="str">
        <f t="shared" si="2"/>
        <v/>
      </c>
      <c r="J4418" s="86">
        <f t="shared" si="3"/>
        <v>0</v>
      </c>
      <c r="R4418" s="26"/>
    </row>
    <row r="4419" spans="1:18" ht="15.75" customHeight="1">
      <c r="A4419" s="26"/>
      <c r="B4419" s="86"/>
      <c r="D4419" s="26"/>
      <c r="F4419" s="87" t="str">
        <f t="shared" si="0"/>
        <v/>
      </c>
      <c r="H4419" s="26" t="str">
        <f t="shared" si="1"/>
        <v/>
      </c>
      <c r="I4419" s="26" t="str">
        <f t="shared" si="2"/>
        <v/>
      </c>
      <c r="J4419" s="86">
        <f t="shared" si="3"/>
        <v>0</v>
      </c>
      <c r="R4419" s="26"/>
    </row>
    <row r="4420" spans="1:18" ht="15.75" customHeight="1">
      <c r="A4420" s="26"/>
      <c r="B4420" s="86"/>
      <c r="D4420" s="26"/>
      <c r="F4420" s="87" t="str">
        <f t="shared" si="0"/>
        <v/>
      </c>
      <c r="H4420" s="26" t="str">
        <f t="shared" si="1"/>
        <v/>
      </c>
      <c r="I4420" s="26" t="str">
        <f t="shared" si="2"/>
        <v/>
      </c>
      <c r="J4420" s="86">
        <f t="shared" si="3"/>
        <v>0</v>
      </c>
      <c r="R4420" s="26"/>
    </row>
    <row r="4421" spans="1:18" ht="15.75" customHeight="1">
      <c r="A4421" s="26"/>
      <c r="B4421" s="86"/>
      <c r="D4421" s="26"/>
      <c r="F4421" s="87" t="str">
        <f t="shared" si="0"/>
        <v/>
      </c>
      <c r="H4421" s="26" t="str">
        <f t="shared" si="1"/>
        <v/>
      </c>
      <c r="I4421" s="26" t="str">
        <f t="shared" si="2"/>
        <v/>
      </c>
      <c r="J4421" s="86">
        <f t="shared" si="3"/>
        <v>0</v>
      </c>
      <c r="R4421" s="26"/>
    </row>
    <row r="4422" spans="1:18" ht="15.75" customHeight="1">
      <c r="A4422" s="26"/>
      <c r="B4422" s="86"/>
      <c r="D4422" s="26"/>
      <c r="F4422" s="87" t="str">
        <f t="shared" si="0"/>
        <v/>
      </c>
      <c r="H4422" s="26" t="str">
        <f t="shared" si="1"/>
        <v/>
      </c>
      <c r="I4422" s="26" t="str">
        <f t="shared" si="2"/>
        <v/>
      </c>
      <c r="J4422" s="86">
        <f t="shared" si="3"/>
        <v>0</v>
      </c>
      <c r="R4422" s="26"/>
    </row>
    <row r="4423" spans="1:18" ht="15.75" customHeight="1">
      <c r="A4423" s="26"/>
      <c r="B4423" s="86"/>
      <c r="D4423" s="26"/>
      <c r="F4423" s="87" t="str">
        <f t="shared" si="0"/>
        <v/>
      </c>
      <c r="H4423" s="26" t="str">
        <f t="shared" si="1"/>
        <v/>
      </c>
      <c r="I4423" s="26" t="str">
        <f t="shared" si="2"/>
        <v/>
      </c>
      <c r="J4423" s="86">
        <f t="shared" si="3"/>
        <v>0</v>
      </c>
      <c r="R4423" s="26"/>
    </row>
    <row r="4424" spans="1:18" ht="15.75" customHeight="1">
      <c r="A4424" s="26"/>
      <c r="B4424" s="86"/>
      <c r="D4424" s="26"/>
      <c r="F4424" s="87" t="str">
        <f t="shared" si="0"/>
        <v/>
      </c>
      <c r="H4424" s="26" t="str">
        <f t="shared" si="1"/>
        <v/>
      </c>
      <c r="I4424" s="26" t="str">
        <f t="shared" si="2"/>
        <v/>
      </c>
      <c r="J4424" s="86">
        <f t="shared" si="3"/>
        <v>0</v>
      </c>
      <c r="R4424" s="26"/>
    </row>
    <row r="4425" spans="1:18" ht="15.75" customHeight="1">
      <c r="A4425" s="26"/>
      <c r="B4425" s="86"/>
      <c r="D4425" s="26"/>
      <c r="F4425" s="87" t="str">
        <f t="shared" si="0"/>
        <v/>
      </c>
      <c r="H4425" s="26" t="str">
        <f t="shared" si="1"/>
        <v/>
      </c>
      <c r="I4425" s="26" t="str">
        <f t="shared" si="2"/>
        <v/>
      </c>
      <c r="J4425" s="86">
        <f t="shared" si="3"/>
        <v>0</v>
      </c>
      <c r="R4425" s="26"/>
    </row>
    <row r="4426" spans="1:18" ht="15.75" customHeight="1">
      <c r="A4426" s="26"/>
      <c r="B4426" s="86"/>
      <c r="D4426" s="26"/>
      <c r="F4426" s="87" t="str">
        <f t="shared" si="0"/>
        <v/>
      </c>
      <c r="H4426" s="26" t="str">
        <f t="shared" si="1"/>
        <v/>
      </c>
      <c r="I4426" s="26" t="str">
        <f t="shared" si="2"/>
        <v/>
      </c>
      <c r="J4426" s="86">
        <f t="shared" si="3"/>
        <v>0</v>
      </c>
      <c r="R4426" s="26"/>
    </row>
    <row r="4427" spans="1:18" ht="15.75" customHeight="1">
      <c r="A4427" s="26"/>
      <c r="B4427" s="86"/>
      <c r="D4427" s="26"/>
      <c r="F4427" s="87" t="str">
        <f t="shared" si="0"/>
        <v/>
      </c>
      <c r="H4427" s="26" t="str">
        <f t="shared" si="1"/>
        <v/>
      </c>
      <c r="I4427" s="26" t="str">
        <f t="shared" si="2"/>
        <v/>
      </c>
      <c r="J4427" s="86">
        <f t="shared" si="3"/>
        <v>0</v>
      </c>
      <c r="R4427" s="26"/>
    </row>
    <row r="4428" spans="1:18" ht="15.75" customHeight="1">
      <c r="A4428" s="26"/>
      <c r="B4428" s="86"/>
      <c r="D4428" s="26"/>
      <c r="F4428" s="87" t="str">
        <f t="shared" si="0"/>
        <v/>
      </c>
      <c r="H4428" s="26" t="str">
        <f t="shared" si="1"/>
        <v/>
      </c>
      <c r="I4428" s="26" t="str">
        <f t="shared" si="2"/>
        <v/>
      </c>
      <c r="J4428" s="86">
        <f t="shared" si="3"/>
        <v>0</v>
      </c>
      <c r="R4428" s="26"/>
    </row>
    <row r="4429" spans="1:18" ht="15.75" customHeight="1">
      <c r="A4429" s="26"/>
      <c r="B4429" s="86"/>
      <c r="D4429" s="26"/>
      <c r="F4429" s="87" t="str">
        <f t="shared" si="0"/>
        <v/>
      </c>
      <c r="H4429" s="26" t="str">
        <f t="shared" si="1"/>
        <v/>
      </c>
      <c r="I4429" s="26" t="str">
        <f t="shared" si="2"/>
        <v/>
      </c>
      <c r="J4429" s="86">
        <f t="shared" si="3"/>
        <v>0</v>
      </c>
      <c r="R4429" s="26"/>
    </row>
    <row r="4430" spans="1:18" ht="15.75" customHeight="1">
      <c r="A4430" s="26"/>
      <c r="B4430" s="86"/>
      <c r="D4430" s="26"/>
      <c r="F4430" s="87" t="str">
        <f t="shared" si="0"/>
        <v/>
      </c>
      <c r="H4430" s="26" t="str">
        <f t="shared" si="1"/>
        <v/>
      </c>
      <c r="I4430" s="26" t="str">
        <f t="shared" si="2"/>
        <v/>
      </c>
      <c r="J4430" s="86">
        <f t="shared" si="3"/>
        <v>0</v>
      </c>
      <c r="R4430" s="26"/>
    </row>
    <row r="4431" spans="1:18" ht="15.75" customHeight="1">
      <c r="A4431" s="26"/>
      <c r="B4431" s="86"/>
      <c r="D4431" s="26"/>
      <c r="F4431" s="87" t="str">
        <f t="shared" si="0"/>
        <v/>
      </c>
      <c r="H4431" s="26" t="str">
        <f t="shared" si="1"/>
        <v/>
      </c>
      <c r="I4431" s="26" t="str">
        <f t="shared" si="2"/>
        <v/>
      </c>
      <c r="J4431" s="86">
        <f t="shared" si="3"/>
        <v>0</v>
      </c>
      <c r="R4431" s="26"/>
    </row>
    <row r="4432" spans="1:18" ht="15.75" customHeight="1">
      <c r="A4432" s="26"/>
      <c r="B4432" s="86"/>
      <c r="D4432" s="26"/>
      <c r="F4432" s="87" t="str">
        <f t="shared" si="0"/>
        <v/>
      </c>
      <c r="H4432" s="26" t="str">
        <f t="shared" si="1"/>
        <v/>
      </c>
      <c r="I4432" s="26" t="str">
        <f t="shared" si="2"/>
        <v/>
      </c>
      <c r="J4432" s="86">
        <f t="shared" si="3"/>
        <v>0</v>
      </c>
      <c r="R4432" s="26"/>
    </row>
    <row r="4433" spans="1:18" ht="15.75" customHeight="1">
      <c r="A4433" s="26"/>
      <c r="B4433" s="86"/>
      <c r="D4433" s="26"/>
      <c r="F4433" s="87" t="str">
        <f t="shared" si="0"/>
        <v/>
      </c>
      <c r="H4433" s="26" t="str">
        <f t="shared" si="1"/>
        <v/>
      </c>
      <c r="I4433" s="26" t="str">
        <f t="shared" si="2"/>
        <v/>
      </c>
      <c r="J4433" s="86">
        <f t="shared" si="3"/>
        <v>0</v>
      </c>
      <c r="R4433" s="26"/>
    </row>
    <row r="4434" spans="1:18" ht="15.75" customHeight="1">
      <c r="A4434" s="26"/>
      <c r="B4434" s="86"/>
      <c r="D4434" s="26"/>
      <c r="F4434" s="87" t="str">
        <f t="shared" si="0"/>
        <v/>
      </c>
      <c r="H4434" s="26" t="str">
        <f t="shared" si="1"/>
        <v/>
      </c>
      <c r="I4434" s="26" t="str">
        <f t="shared" si="2"/>
        <v/>
      </c>
      <c r="J4434" s="86">
        <f t="shared" si="3"/>
        <v>0</v>
      </c>
      <c r="R4434" s="26"/>
    </row>
    <row r="4435" spans="1:18" ht="15.75" customHeight="1">
      <c r="A4435" s="26"/>
      <c r="B4435" s="86"/>
      <c r="D4435" s="26"/>
      <c r="F4435" s="87" t="str">
        <f t="shared" si="0"/>
        <v/>
      </c>
      <c r="H4435" s="26" t="str">
        <f t="shared" si="1"/>
        <v/>
      </c>
      <c r="I4435" s="26" t="str">
        <f t="shared" si="2"/>
        <v/>
      </c>
      <c r="J4435" s="86">
        <f t="shared" si="3"/>
        <v>0</v>
      </c>
      <c r="R4435" s="26"/>
    </row>
    <row r="4436" spans="1:18" ht="15.75" customHeight="1">
      <c r="A4436" s="26"/>
      <c r="B4436" s="86"/>
      <c r="D4436" s="26"/>
      <c r="F4436" s="87" t="str">
        <f t="shared" si="0"/>
        <v/>
      </c>
      <c r="H4436" s="26" t="str">
        <f t="shared" si="1"/>
        <v/>
      </c>
      <c r="I4436" s="26" t="str">
        <f t="shared" si="2"/>
        <v/>
      </c>
      <c r="J4436" s="86">
        <f t="shared" si="3"/>
        <v>0</v>
      </c>
      <c r="R4436" s="26"/>
    </row>
    <row r="4437" spans="1:18" ht="15.75" customHeight="1">
      <c r="A4437" s="26"/>
      <c r="B4437" s="86"/>
      <c r="D4437" s="26"/>
      <c r="F4437" s="87" t="str">
        <f t="shared" si="0"/>
        <v/>
      </c>
      <c r="H4437" s="26" t="str">
        <f t="shared" si="1"/>
        <v/>
      </c>
      <c r="I4437" s="26" t="str">
        <f t="shared" si="2"/>
        <v/>
      </c>
      <c r="J4437" s="86">
        <f t="shared" si="3"/>
        <v>0</v>
      </c>
      <c r="R4437" s="26"/>
    </row>
    <row r="4438" spans="1:18" ht="15.75" customHeight="1">
      <c r="A4438" s="26"/>
      <c r="B4438" s="86"/>
      <c r="D4438" s="26"/>
      <c r="F4438" s="87" t="str">
        <f t="shared" si="0"/>
        <v/>
      </c>
      <c r="H4438" s="26" t="str">
        <f t="shared" si="1"/>
        <v/>
      </c>
      <c r="I4438" s="26" t="str">
        <f t="shared" si="2"/>
        <v/>
      </c>
      <c r="J4438" s="86">
        <f t="shared" si="3"/>
        <v>0</v>
      </c>
      <c r="R4438" s="26"/>
    </row>
    <row r="4439" spans="1:18" ht="15.75" customHeight="1">
      <c r="A4439" s="26"/>
      <c r="B4439" s="86"/>
      <c r="D4439" s="26"/>
      <c r="F4439" s="87" t="str">
        <f t="shared" si="0"/>
        <v/>
      </c>
      <c r="H4439" s="26" t="str">
        <f t="shared" si="1"/>
        <v/>
      </c>
      <c r="I4439" s="26" t="str">
        <f t="shared" si="2"/>
        <v/>
      </c>
      <c r="J4439" s="86">
        <f t="shared" si="3"/>
        <v>0</v>
      </c>
      <c r="R4439" s="26"/>
    </row>
    <row r="4440" spans="1:18" ht="15.75" customHeight="1">
      <c r="A4440" s="26"/>
      <c r="B4440" s="86"/>
      <c r="D4440" s="26"/>
      <c r="F4440" s="87" t="str">
        <f t="shared" si="0"/>
        <v/>
      </c>
      <c r="H4440" s="26" t="str">
        <f t="shared" si="1"/>
        <v/>
      </c>
      <c r="I4440" s="26" t="str">
        <f t="shared" si="2"/>
        <v/>
      </c>
      <c r="J4440" s="86">
        <f t="shared" si="3"/>
        <v>0</v>
      </c>
      <c r="R4440" s="26"/>
    </row>
    <row r="4441" spans="1:18" ht="15.75" customHeight="1">
      <c r="A4441" s="26"/>
      <c r="B4441" s="86"/>
      <c r="D4441" s="26"/>
      <c r="F4441" s="87" t="str">
        <f t="shared" si="0"/>
        <v/>
      </c>
      <c r="H4441" s="26" t="str">
        <f t="shared" si="1"/>
        <v/>
      </c>
      <c r="I4441" s="26" t="str">
        <f t="shared" si="2"/>
        <v/>
      </c>
      <c r="J4441" s="86">
        <f t="shared" si="3"/>
        <v>0</v>
      </c>
      <c r="R4441" s="26"/>
    </row>
    <row r="4442" spans="1:18" ht="15.75" customHeight="1">
      <c r="A4442" s="26"/>
      <c r="B4442" s="86"/>
      <c r="D4442" s="26"/>
      <c r="F4442" s="87" t="str">
        <f t="shared" si="0"/>
        <v/>
      </c>
      <c r="H4442" s="26" t="str">
        <f t="shared" si="1"/>
        <v/>
      </c>
      <c r="I4442" s="26" t="str">
        <f t="shared" si="2"/>
        <v/>
      </c>
      <c r="J4442" s="86">
        <f t="shared" si="3"/>
        <v>0</v>
      </c>
      <c r="R4442" s="26"/>
    </row>
    <row r="4443" spans="1:18" ht="15.75" customHeight="1">
      <c r="A4443" s="26"/>
      <c r="B4443" s="86"/>
      <c r="D4443" s="26"/>
      <c r="F4443" s="87" t="str">
        <f t="shared" si="0"/>
        <v/>
      </c>
      <c r="H4443" s="26" t="str">
        <f t="shared" si="1"/>
        <v/>
      </c>
      <c r="I4443" s="26" t="str">
        <f t="shared" si="2"/>
        <v/>
      </c>
      <c r="J4443" s="86">
        <f t="shared" si="3"/>
        <v>0</v>
      </c>
      <c r="R4443" s="26"/>
    </row>
    <row r="4444" spans="1:18" ht="15.75" customHeight="1">
      <c r="A4444" s="26"/>
      <c r="B4444" s="86"/>
      <c r="D4444" s="26"/>
      <c r="F4444" s="87" t="str">
        <f t="shared" si="0"/>
        <v/>
      </c>
      <c r="H4444" s="26" t="str">
        <f t="shared" si="1"/>
        <v/>
      </c>
      <c r="I4444" s="26" t="str">
        <f t="shared" si="2"/>
        <v/>
      </c>
      <c r="J4444" s="86">
        <f t="shared" si="3"/>
        <v>0</v>
      </c>
      <c r="R4444" s="26"/>
    </row>
    <row r="4445" spans="1:18" ht="15.75" customHeight="1">
      <c r="A4445" s="26"/>
      <c r="B4445" s="86"/>
      <c r="D4445" s="26"/>
      <c r="F4445" s="87" t="str">
        <f t="shared" si="0"/>
        <v/>
      </c>
      <c r="H4445" s="26" t="str">
        <f t="shared" si="1"/>
        <v/>
      </c>
      <c r="I4445" s="26" t="str">
        <f t="shared" si="2"/>
        <v/>
      </c>
      <c r="J4445" s="86">
        <f t="shared" si="3"/>
        <v>0</v>
      </c>
      <c r="R4445" s="26"/>
    </row>
    <row r="4446" spans="1:18" ht="15.75" customHeight="1">
      <c r="A4446" s="26"/>
      <c r="B4446" s="86"/>
      <c r="D4446" s="26"/>
      <c r="F4446" s="87" t="str">
        <f t="shared" si="0"/>
        <v/>
      </c>
      <c r="H4446" s="26" t="str">
        <f t="shared" si="1"/>
        <v/>
      </c>
      <c r="I4446" s="26" t="str">
        <f t="shared" si="2"/>
        <v/>
      </c>
      <c r="J4446" s="86">
        <f t="shared" si="3"/>
        <v>0</v>
      </c>
      <c r="R4446" s="26"/>
    </row>
    <row r="4447" spans="1:18" ht="15.75" customHeight="1">
      <c r="A4447" s="26"/>
      <c r="B4447" s="86"/>
      <c r="D4447" s="26"/>
      <c r="F4447" s="87" t="str">
        <f t="shared" si="0"/>
        <v/>
      </c>
      <c r="H4447" s="26" t="str">
        <f t="shared" si="1"/>
        <v/>
      </c>
      <c r="I4447" s="26" t="str">
        <f t="shared" si="2"/>
        <v/>
      </c>
      <c r="J4447" s="86">
        <f t="shared" si="3"/>
        <v>0</v>
      </c>
      <c r="R4447" s="26"/>
    </row>
    <row r="4448" spans="1:18" ht="15.75" customHeight="1">
      <c r="A4448" s="26"/>
      <c r="B4448" s="86"/>
      <c r="D4448" s="26"/>
      <c r="F4448" s="87" t="str">
        <f t="shared" si="0"/>
        <v/>
      </c>
      <c r="H4448" s="26" t="str">
        <f t="shared" si="1"/>
        <v/>
      </c>
      <c r="I4448" s="26" t="str">
        <f t="shared" si="2"/>
        <v/>
      </c>
      <c r="J4448" s="86">
        <f t="shared" si="3"/>
        <v>0</v>
      </c>
      <c r="R4448" s="26"/>
    </row>
    <row r="4449" spans="1:18" ht="15.75" customHeight="1">
      <c r="A4449" s="26"/>
      <c r="B4449" s="86"/>
      <c r="D4449" s="26"/>
      <c r="F4449" s="87" t="str">
        <f t="shared" si="0"/>
        <v/>
      </c>
      <c r="H4449" s="26" t="str">
        <f t="shared" si="1"/>
        <v/>
      </c>
      <c r="I4449" s="26" t="str">
        <f t="shared" si="2"/>
        <v/>
      </c>
      <c r="J4449" s="86">
        <f t="shared" si="3"/>
        <v>0</v>
      </c>
      <c r="R4449" s="26"/>
    </row>
    <row r="4450" spans="1:18" ht="15.75" customHeight="1">
      <c r="A4450" s="26"/>
      <c r="B4450" s="86"/>
      <c r="D4450" s="26"/>
      <c r="F4450" s="87" t="str">
        <f t="shared" si="0"/>
        <v/>
      </c>
      <c r="H4450" s="26" t="str">
        <f t="shared" si="1"/>
        <v/>
      </c>
      <c r="I4450" s="26" t="str">
        <f t="shared" si="2"/>
        <v/>
      </c>
      <c r="J4450" s="86">
        <f t="shared" si="3"/>
        <v>0</v>
      </c>
      <c r="R4450" s="26"/>
    </row>
    <row r="4451" spans="1:18" ht="15.75" customHeight="1">
      <c r="A4451" s="26"/>
      <c r="B4451" s="86"/>
      <c r="D4451" s="26"/>
      <c r="F4451" s="87" t="str">
        <f t="shared" si="0"/>
        <v/>
      </c>
      <c r="H4451" s="26" t="str">
        <f t="shared" si="1"/>
        <v/>
      </c>
      <c r="I4451" s="26" t="str">
        <f t="shared" si="2"/>
        <v/>
      </c>
      <c r="J4451" s="86">
        <f t="shared" si="3"/>
        <v>0</v>
      </c>
      <c r="R4451" s="26"/>
    </row>
    <row r="4452" spans="1:18" ht="15.75" customHeight="1">
      <c r="A4452" s="26"/>
      <c r="B4452" s="86"/>
      <c r="D4452" s="26"/>
      <c r="F4452" s="87" t="str">
        <f t="shared" si="0"/>
        <v/>
      </c>
      <c r="H4452" s="26" t="str">
        <f t="shared" si="1"/>
        <v/>
      </c>
      <c r="I4452" s="26" t="str">
        <f t="shared" si="2"/>
        <v/>
      </c>
      <c r="J4452" s="86">
        <f t="shared" si="3"/>
        <v>0</v>
      </c>
      <c r="R4452" s="26"/>
    </row>
    <row r="4453" spans="1:18" ht="15.75" customHeight="1">
      <c r="A4453" s="26"/>
      <c r="B4453" s="86"/>
      <c r="D4453" s="26"/>
      <c r="F4453" s="87" t="str">
        <f t="shared" si="0"/>
        <v/>
      </c>
      <c r="H4453" s="26" t="str">
        <f t="shared" si="1"/>
        <v/>
      </c>
      <c r="I4453" s="26" t="str">
        <f t="shared" si="2"/>
        <v/>
      </c>
      <c r="J4453" s="86">
        <f t="shared" si="3"/>
        <v>0</v>
      </c>
      <c r="R4453" s="26"/>
    </row>
    <row r="4454" spans="1:18" ht="15.75" customHeight="1">
      <c r="A4454" s="26"/>
      <c r="B4454" s="86"/>
      <c r="D4454" s="26"/>
      <c r="F4454" s="87" t="str">
        <f t="shared" si="0"/>
        <v/>
      </c>
      <c r="H4454" s="26" t="str">
        <f t="shared" si="1"/>
        <v/>
      </c>
      <c r="I4454" s="26" t="str">
        <f t="shared" si="2"/>
        <v/>
      </c>
      <c r="J4454" s="86">
        <f t="shared" si="3"/>
        <v>0</v>
      </c>
      <c r="R4454" s="26"/>
    </row>
    <row r="4455" spans="1:18" ht="15.75" customHeight="1">
      <c r="A4455" s="26"/>
      <c r="B4455" s="86"/>
      <c r="D4455" s="26"/>
      <c r="F4455" s="87" t="str">
        <f t="shared" si="0"/>
        <v/>
      </c>
      <c r="H4455" s="26" t="str">
        <f t="shared" si="1"/>
        <v/>
      </c>
      <c r="I4455" s="26" t="str">
        <f t="shared" si="2"/>
        <v/>
      </c>
      <c r="J4455" s="86">
        <f t="shared" si="3"/>
        <v>0</v>
      </c>
      <c r="R4455" s="26"/>
    </row>
    <row r="4456" spans="1:18" ht="15.75" customHeight="1">
      <c r="A4456" s="26"/>
      <c r="B4456" s="86"/>
      <c r="D4456" s="26"/>
      <c r="F4456" s="87" t="str">
        <f t="shared" si="0"/>
        <v/>
      </c>
      <c r="H4456" s="26" t="str">
        <f t="shared" si="1"/>
        <v/>
      </c>
      <c r="I4456" s="26" t="str">
        <f t="shared" si="2"/>
        <v/>
      </c>
      <c r="J4456" s="86">
        <f t="shared" si="3"/>
        <v>0</v>
      </c>
      <c r="R4456" s="26"/>
    </row>
    <row r="4457" spans="1:18" ht="15.75" customHeight="1">
      <c r="A4457" s="26"/>
      <c r="B4457" s="86"/>
      <c r="D4457" s="26"/>
      <c r="F4457" s="87" t="str">
        <f t="shared" si="0"/>
        <v/>
      </c>
      <c r="H4457" s="26" t="str">
        <f t="shared" si="1"/>
        <v/>
      </c>
      <c r="I4457" s="26" t="str">
        <f t="shared" si="2"/>
        <v/>
      </c>
      <c r="J4457" s="86">
        <f t="shared" si="3"/>
        <v>0</v>
      </c>
      <c r="R4457" s="26"/>
    </row>
    <row r="4458" spans="1:18" ht="15.75" customHeight="1">
      <c r="A4458" s="26"/>
      <c r="B4458" s="86"/>
      <c r="D4458" s="26"/>
      <c r="F4458" s="87" t="str">
        <f t="shared" si="0"/>
        <v/>
      </c>
      <c r="H4458" s="26" t="str">
        <f t="shared" si="1"/>
        <v/>
      </c>
      <c r="I4458" s="26" t="str">
        <f t="shared" si="2"/>
        <v/>
      </c>
      <c r="J4458" s="86">
        <f t="shared" si="3"/>
        <v>0</v>
      </c>
      <c r="R4458" s="26"/>
    </row>
    <row r="4459" spans="1:18" ht="15.75" customHeight="1">
      <c r="A4459" s="26"/>
      <c r="B4459" s="86"/>
      <c r="D4459" s="26"/>
      <c r="F4459" s="87" t="str">
        <f t="shared" si="0"/>
        <v/>
      </c>
      <c r="H4459" s="26" t="str">
        <f t="shared" si="1"/>
        <v/>
      </c>
      <c r="I4459" s="26" t="str">
        <f t="shared" si="2"/>
        <v/>
      </c>
      <c r="J4459" s="86">
        <f t="shared" si="3"/>
        <v>0</v>
      </c>
      <c r="R4459" s="26"/>
    </row>
    <row r="4460" spans="1:18" ht="15.75" customHeight="1">
      <c r="A4460" s="26"/>
      <c r="B4460" s="86"/>
      <c r="D4460" s="26"/>
      <c r="F4460" s="87" t="str">
        <f t="shared" si="0"/>
        <v/>
      </c>
      <c r="H4460" s="26" t="str">
        <f t="shared" si="1"/>
        <v/>
      </c>
      <c r="I4460" s="26" t="str">
        <f t="shared" si="2"/>
        <v/>
      </c>
      <c r="J4460" s="86">
        <f t="shared" si="3"/>
        <v>0</v>
      </c>
      <c r="R4460" s="26"/>
    </row>
    <row r="4461" spans="1:18" ht="15.75" customHeight="1">
      <c r="A4461" s="26"/>
      <c r="B4461" s="86"/>
      <c r="D4461" s="26"/>
      <c r="F4461" s="87" t="str">
        <f t="shared" si="0"/>
        <v/>
      </c>
      <c r="H4461" s="26" t="str">
        <f t="shared" si="1"/>
        <v/>
      </c>
      <c r="I4461" s="26" t="str">
        <f t="shared" si="2"/>
        <v/>
      </c>
      <c r="J4461" s="86">
        <f t="shared" si="3"/>
        <v>0</v>
      </c>
      <c r="R4461" s="26"/>
    </row>
    <row r="4462" spans="1:18" ht="15.75" customHeight="1">
      <c r="A4462" s="26"/>
      <c r="B4462" s="86"/>
      <c r="D4462" s="26"/>
      <c r="F4462" s="87" t="str">
        <f t="shared" si="0"/>
        <v/>
      </c>
      <c r="H4462" s="26" t="str">
        <f t="shared" si="1"/>
        <v/>
      </c>
      <c r="I4462" s="26" t="str">
        <f t="shared" si="2"/>
        <v/>
      </c>
      <c r="J4462" s="86">
        <f t="shared" si="3"/>
        <v>0</v>
      </c>
      <c r="R4462" s="26"/>
    </row>
    <row r="4463" spans="1:18" ht="15.75" customHeight="1">
      <c r="A4463" s="26"/>
      <c r="B4463" s="86"/>
      <c r="D4463" s="26"/>
      <c r="F4463" s="87" t="str">
        <f t="shared" si="0"/>
        <v/>
      </c>
      <c r="H4463" s="26" t="str">
        <f t="shared" si="1"/>
        <v/>
      </c>
      <c r="I4463" s="26" t="str">
        <f t="shared" si="2"/>
        <v/>
      </c>
      <c r="J4463" s="86">
        <f t="shared" si="3"/>
        <v>0</v>
      </c>
      <c r="R4463" s="26"/>
    </row>
    <row r="4464" spans="1:18" ht="15.75" customHeight="1">
      <c r="A4464" s="26"/>
      <c r="B4464" s="86"/>
      <c r="D4464" s="26"/>
      <c r="F4464" s="87" t="str">
        <f t="shared" si="0"/>
        <v/>
      </c>
      <c r="H4464" s="26" t="str">
        <f t="shared" si="1"/>
        <v/>
      </c>
      <c r="I4464" s="26" t="str">
        <f t="shared" si="2"/>
        <v/>
      </c>
      <c r="J4464" s="86">
        <f t="shared" si="3"/>
        <v>0</v>
      </c>
      <c r="R4464" s="26"/>
    </row>
    <row r="4465" spans="1:18" ht="15.75" customHeight="1">
      <c r="A4465" s="26"/>
      <c r="B4465" s="86"/>
      <c r="D4465" s="26"/>
      <c r="F4465" s="87" t="str">
        <f t="shared" si="0"/>
        <v/>
      </c>
      <c r="H4465" s="26" t="str">
        <f t="shared" si="1"/>
        <v/>
      </c>
      <c r="I4465" s="26" t="str">
        <f t="shared" si="2"/>
        <v/>
      </c>
      <c r="J4465" s="86">
        <f t="shared" si="3"/>
        <v>0</v>
      </c>
      <c r="R4465" s="26"/>
    </row>
    <row r="4466" spans="1:18" ht="15.75" customHeight="1">
      <c r="A4466" s="26"/>
      <c r="B4466" s="86"/>
      <c r="D4466" s="26"/>
      <c r="F4466" s="87" t="str">
        <f t="shared" si="0"/>
        <v/>
      </c>
      <c r="H4466" s="26" t="str">
        <f t="shared" si="1"/>
        <v/>
      </c>
      <c r="I4466" s="26" t="str">
        <f t="shared" si="2"/>
        <v/>
      </c>
      <c r="J4466" s="86">
        <f t="shared" si="3"/>
        <v>0</v>
      </c>
      <c r="R4466" s="26"/>
    </row>
    <row r="4467" spans="1:18" ht="15.75" customHeight="1">
      <c r="A4467" s="26"/>
      <c r="B4467" s="86"/>
      <c r="D4467" s="26"/>
      <c r="F4467" s="87" t="str">
        <f t="shared" si="0"/>
        <v/>
      </c>
      <c r="H4467" s="26" t="str">
        <f t="shared" si="1"/>
        <v/>
      </c>
      <c r="I4467" s="26" t="str">
        <f t="shared" si="2"/>
        <v/>
      </c>
      <c r="J4467" s="86">
        <f t="shared" si="3"/>
        <v>0</v>
      </c>
      <c r="R4467" s="26"/>
    </row>
    <row r="4468" spans="1:18" ht="15.75" customHeight="1">
      <c r="A4468" s="26"/>
      <c r="B4468" s="86"/>
      <c r="D4468" s="26"/>
      <c r="F4468" s="87" t="str">
        <f t="shared" si="0"/>
        <v/>
      </c>
      <c r="H4468" s="26" t="str">
        <f t="shared" si="1"/>
        <v/>
      </c>
      <c r="I4468" s="26" t="str">
        <f t="shared" si="2"/>
        <v/>
      </c>
      <c r="J4468" s="86">
        <f t="shared" si="3"/>
        <v>0</v>
      </c>
      <c r="R4468" s="26"/>
    </row>
    <row r="4469" spans="1:18" ht="15.75" customHeight="1">
      <c r="A4469" s="26"/>
      <c r="B4469" s="86"/>
      <c r="D4469" s="26"/>
      <c r="F4469" s="87" t="str">
        <f t="shared" si="0"/>
        <v/>
      </c>
      <c r="H4469" s="26" t="str">
        <f t="shared" si="1"/>
        <v/>
      </c>
      <c r="I4469" s="26" t="str">
        <f t="shared" si="2"/>
        <v/>
      </c>
      <c r="J4469" s="86">
        <f t="shared" si="3"/>
        <v>0</v>
      </c>
      <c r="R4469" s="26"/>
    </row>
    <row r="4470" spans="1:18" ht="15.75" customHeight="1">
      <c r="A4470" s="26"/>
      <c r="B4470" s="86"/>
      <c r="D4470" s="26"/>
      <c r="F4470" s="87" t="str">
        <f t="shared" si="0"/>
        <v/>
      </c>
      <c r="H4470" s="26" t="str">
        <f t="shared" si="1"/>
        <v/>
      </c>
      <c r="I4470" s="26" t="str">
        <f t="shared" si="2"/>
        <v/>
      </c>
      <c r="J4470" s="86">
        <f t="shared" si="3"/>
        <v>0</v>
      </c>
      <c r="R4470" s="26"/>
    </row>
    <row r="4471" spans="1:18" ht="15.75" customHeight="1">
      <c r="A4471" s="26"/>
      <c r="B4471" s="86"/>
      <c r="D4471" s="26"/>
      <c r="F4471" s="87" t="str">
        <f t="shared" si="0"/>
        <v/>
      </c>
      <c r="H4471" s="26" t="str">
        <f t="shared" si="1"/>
        <v/>
      </c>
      <c r="I4471" s="26" t="str">
        <f t="shared" si="2"/>
        <v/>
      </c>
      <c r="J4471" s="86">
        <f t="shared" si="3"/>
        <v>0</v>
      </c>
      <c r="R4471" s="26"/>
    </row>
    <row r="4472" spans="1:18" ht="15.75" customHeight="1">
      <c r="A4472" s="26"/>
      <c r="B4472" s="86"/>
      <c r="D4472" s="26"/>
      <c r="F4472" s="87" t="str">
        <f t="shared" si="0"/>
        <v/>
      </c>
      <c r="H4472" s="26" t="str">
        <f t="shared" si="1"/>
        <v/>
      </c>
      <c r="I4472" s="26" t="str">
        <f t="shared" si="2"/>
        <v/>
      </c>
      <c r="J4472" s="86">
        <f t="shared" si="3"/>
        <v>0</v>
      </c>
      <c r="R4472" s="26"/>
    </row>
    <row r="4473" spans="1:18" ht="15.75" customHeight="1">
      <c r="A4473" s="26"/>
      <c r="B4473" s="86"/>
      <c r="D4473" s="26"/>
      <c r="F4473" s="87" t="str">
        <f t="shared" si="0"/>
        <v/>
      </c>
      <c r="H4473" s="26" t="str">
        <f t="shared" si="1"/>
        <v/>
      </c>
      <c r="I4473" s="26" t="str">
        <f t="shared" si="2"/>
        <v/>
      </c>
      <c r="J4473" s="86">
        <f t="shared" si="3"/>
        <v>0</v>
      </c>
      <c r="R4473" s="26"/>
    </row>
    <row r="4474" spans="1:18" ht="15.75" customHeight="1">
      <c r="A4474" s="26"/>
      <c r="B4474" s="86"/>
      <c r="D4474" s="26"/>
      <c r="F4474" s="87" t="str">
        <f t="shared" si="0"/>
        <v/>
      </c>
      <c r="H4474" s="26" t="str">
        <f t="shared" si="1"/>
        <v/>
      </c>
      <c r="I4474" s="26" t="str">
        <f t="shared" si="2"/>
        <v/>
      </c>
      <c r="J4474" s="86">
        <f t="shared" si="3"/>
        <v>0</v>
      </c>
      <c r="R4474" s="26"/>
    </row>
    <row r="4475" spans="1:18" ht="15.75" customHeight="1">
      <c r="A4475" s="26"/>
      <c r="B4475" s="86"/>
      <c r="D4475" s="26"/>
      <c r="F4475" s="87" t="str">
        <f t="shared" si="0"/>
        <v/>
      </c>
      <c r="H4475" s="26" t="str">
        <f t="shared" si="1"/>
        <v/>
      </c>
      <c r="I4475" s="26" t="str">
        <f t="shared" si="2"/>
        <v/>
      </c>
      <c r="J4475" s="86">
        <f t="shared" si="3"/>
        <v>0</v>
      </c>
      <c r="R4475" s="26"/>
    </row>
    <row r="4476" spans="1:18" ht="15.75" customHeight="1">
      <c r="A4476" s="26"/>
      <c r="B4476" s="86"/>
      <c r="D4476" s="26"/>
      <c r="F4476" s="87" t="str">
        <f t="shared" si="0"/>
        <v/>
      </c>
      <c r="H4476" s="26" t="str">
        <f t="shared" si="1"/>
        <v/>
      </c>
      <c r="I4476" s="26" t="str">
        <f t="shared" si="2"/>
        <v/>
      </c>
      <c r="J4476" s="86">
        <f t="shared" si="3"/>
        <v>0</v>
      </c>
      <c r="R4476" s="26"/>
    </row>
    <row r="4477" spans="1:18" ht="15.75" customHeight="1">
      <c r="A4477" s="26"/>
      <c r="B4477" s="86"/>
      <c r="D4477" s="26"/>
      <c r="F4477" s="87" t="str">
        <f t="shared" si="0"/>
        <v/>
      </c>
      <c r="H4477" s="26" t="str">
        <f t="shared" si="1"/>
        <v/>
      </c>
      <c r="I4477" s="26" t="str">
        <f t="shared" si="2"/>
        <v/>
      </c>
      <c r="J4477" s="86">
        <f t="shared" si="3"/>
        <v>0</v>
      </c>
      <c r="R4477" s="26"/>
    </row>
    <row r="4478" spans="1:18" ht="15.75" customHeight="1">
      <c r="A4478" s="26"/>
      <c r="B4478" s="86"/>
      <c r="D4478" s="26"/>
      <c r="F4478" s="87" t="str">
        <f t="shared" si="0"/>
        <v/>
      </c>
      <c r="H4478" s="26" t="str">
        <f t="shared" si="1"/>
        <v/>
      </c>
      <c r="I4478" s="26" t="str">
        <f t="shared" si="2"/>
        <v/>
      </c>
      <c r="J4478" s="86">
        <f t="shared" si="3"/>
        <v>0</v>
      </c>
      <c r="R4478" s="26"/>
    </row>
    <row r="4479" spans="1:18" ht="15.75" customHeight="1">
      <c r="A4479" s="26"/>
      <c r="B4479" s="86"/>
      <c r="D4479" s="26"/>
      <c r="F4479" s="87" t="str">
        <f t="shared" si="0"/>
        <v/>
      </c>
      <c r="H4479" s="26" t="str">
        <f t="shared" si="1"/>
        <v/>
      </c>
      <c r="I4479" s="26" t="str">
        <f t="shared" si="2"/>
        <v/>
      </c>
      <c r="J4479" s="86">
        <f t="shared" si="3"/>
        <v>0</v>
      </c>
      <c r="R4479" s="26"/>
    </row>
    <row r="4480" spans="1:18" ht="15.75" customHeight="1">
      <c r="A4480" s="26"/>
      <c r="B4480" s="86"/>
      <c r="D4480" s="26"/>
      <c r="F4480" s="87" t="str">
        <f t="shared" si="0"/>
        <v/>
      </c>
      <c r="H4480" s="26" t="str">
        <f t="shared" si="1"/>
        <v/>
      </c>
      <c r="I4480" s="26" t="str">
        <f t="shared" si="2"/>
        <v/>
      </c>
      <c r="J4480" s="86">
        <f t="shared" si="3"/>
        <v>0</v>
      </c>
      <c r="R4480" s="26"/>
    </row>
    <row r="4481" spans="1:18" ht="15.75" customHeight="1">
      <c r="A4481" s="26"/>
      <c r="B4481" s="86"/>
      <c r="D4481" s="26"/>
      <c r="F4481" s="87" t="str">
        <f t="shared" si="0"/>
        <v/>
      </c>
      <c r="H4481" s="26" t="str">
        <f t="shared" si="1"/>
        <v/>
      </c>
      <c r="I4481" s="26" t="str">
        <f t="shared" si="2"/>
        <v/>
      </c>
      <c r="J4481" s="86">
        <f t="shared" si="3"/>
        <v>0</v>
      </c>
      <c r="R4481" s="26"/>
    </row>
    <row r="4482" spans="1:18" ht="15.75" customHeight="1">
      <c r="A4482" s="26"/>
      <c r="B4482" s="86"/>
      <c r="D4482" s="26"/>
      <c r="F4482" s="87" t="str">
        <f t="shared" si="0"/>
        <v/>
      </c>
      <c r="H4482" s="26" t="str">
        <f t="shared" si="1"/>
        <v/>
      </c>
      <c r="I4482" s="26" t="str">
        <f t="shared" si="2"/>
        <v/>
      </c>
      <c r="J4482" s="86">
        <f t="shared" si="3"/>
        <v>0</v>
      </c>
      <c r="R4482" s="26"/>
    </row>
    <row r="4483" spans="1:18" ht="15.75" customHeight="1">
      <c r="A4483" s="26"/>
      <c r="B4483" s="86"/>
      <c r="D4483" s="26"/>
      <c r="F4483" s="87" t="str">
        <f t="shared" si="0"/>
        <v/>
      </c>
      <c r="H4483" s="26" t="str">
        <f t="shared" si="1"/>
        <v/>
      </c>
      <c r="I4483" s="26" t="str">
        <f t="shared" si="2"/>
        <v/>
      </c>
      <c r="J4483" s="86">
        <f t="shared" si="3"/>
        <v>0</v>
      </c>
      <c r="R4483" s="26"/>
    </row>
    <row r="4484" spans="1:18" ht="15.75" customHeight="1">
      <c r="A4484" s="26"/>
      <c r="B4484" s="86"/>
      <c r="D4484" s="26"/>
      <c r="F4484" s="87" t="str">
        <f t="shared" si="0"/>
        <v/>
      </c>
      <c r="H4484" s="26" t="str">
        <f t="shared" si="1"/>
        <v/>
      </c>
      <c r="I4484" s="26" t="str">
        <f t="shared" si="2"/>
        <v/>
      </c>
      <c r="J4484" s="86">
        <f t="shared" si="3"/>
        <v>0</v>
      </c>
      <c r="R4484" s="26"/>
    </row>
    <row r="4485" spans="1:18" ht="15.75" customHeight="1">
      <c r="A4485" s="26"/>
      <c r="B4485" s="86"/>
      <c r="D4485" s="26"/>
      <c r="F4485" s="87" t="str">
        <f t="shared" si="0"/>
        <v/>
      </c>
      <c r="H4485" s="26" t="str">
        <f t="shared" si="1"/>
        <v/>
      </c>
      <c r="I4485" s="26" t="str">
        <f t="shared" si="2"/>
        <v/>
      </c>
      <c r="J4485" s="86">
        <f t="shared" si="3"/>
        <v>0</v>
      </c>
      <c r="R4485" s="26"/>
    </row>
    <row r="4486" spans="1:18" ht="15.75" customHeight="1">
      <c r="A4486" s="26"/>
      <c r="B4486" s="86"/>
      <c r="D4486" s="26"/>
      <c r="F4486" s="87" t="str">
        <f t="shared" si="0"/>
        <v/>
      </c>
      <c r="H4486" s="26" t="str">
        <f t="shared" si="1"/>
        <v/>
      </c>
      <c r="I4486" s="26" t="str">
        <f t="shared" si="2"/>
        <v/>
      </c>
      <c r="J4486" s="86">
        <f t="shared" si="3"/>
        <v>0</v>
      </c>
      <c r="R4486" s="26"/>
    </row>
    <row r="4487" spans="1:18" ht="15.75" customHeight="1">
      <c r="A4487" s="26"/>
      <c r="B4487" s="86"/>
      <c r="D4487" s="26"/>
      <c r="F4487" s="87" t="str">
        <f t="shared" si="0"/>
        <v/>
      </c>
      <c r="H4487" s="26" t="str">
        <f t="shared" si="1"/>
        <v/>
      </c>
      <c r="I4487" s="26" t="str">
        <f t="shared" si="2"/>
        <v/>
      </c>
      <c r="J4487" s="86">
        <f t="shared" si="3"/>
        <v>0</v>
      </c>
      <c r="R4487" s="26"/>
    </row>
    <row r="4488" spans="1:18" ht="15.75" customHeight="1">
      <c r="A4488" s="26"/>
      <c r="B4488" s="86"/>
      <c r="D4488" s="26"/>
      <c r="F4488" s="87" t="str">
        <f t="shared" si="0"/>
        <v/>
      </c>
      <c r="H4488" s="26" t="str">
        <f t="shared" si="1"/>
        <v/>
      </c>
      <c r="I4488" s="26" t="str">
        <f t="shared" si="2"/>
        <v/>
      </c>
      <c r="J4488" s="86">
        <f t="shared" si="3"/>
        <v>0</v>
      </c>
      <c r="R4488" s="26"/>
    </row>
    <row r="4489" spans="1:18" ht="15.75" customHeight="1">
      <c r="A4489" s="26"/>
      <c r="B4489" s="86"/>
      <c r="D4489" s="26"/>
      <c r="F4489" s="87" t="str">
        <f t="shared" si="0"/>
        <v/>
      </c>
      <c r="H4489" s="26" t="str">
        <f t="shared" si="1"/>
        <v/>
      </c>
      <c r="I4489" s="26" t="str">
        <f t="shared" si="2"/>
        <v/>
      </c>
      <c r="J4489" s="86">
        <f t="shared" si="3"/>
        <v>0</v>
      </c>
      <c r="R4489" s="26"/>
    </row>
    <row r="4490" spans="1:18" ht="15.75" customHeight="1">
      <c r="A4490" s="26"/>
      <c r="B4490" s="86"/>
      <c r="D4490" s="26"/>
      <c r="F4490" s="87" t="str">
        <f t="shared" si="0"/>
        <v/>
      </c>
      <c r="H4490" s="26" t="str">
        <f t="shared" si="1"/>
        <v/>
      </c>
      <c r="I4490" s="26" t="str">
        <f t="shared" si="2"/>
        <v/>
      </c>
      <c r="J4490" s="86">
        <f t="shared" si="3"/>
        <v>0</v>
      </c>
      <c r="R4490" s="26"/>
    </row>
    <row r="4491" spans="1:18" ht="15.75" customHeight="1">
      <c r="A4491" s="26"/>
      <c r="B4491" s="86"/>
      <c r="D4491" s="26"/>
      <c r="F4491" s="87" t="str">
        <f t="shared" si="0"/>
        <v/>
      </c>
      <c r="H4491" s="26" t="str">
        <f t="shared" si="1"/>
        <v/>
      </c>
      <c r="I4491" s="26" t="str">
        <f t="shared" si="2"/>
        <v/>
      </c>
      <c r="J4491" s="86">
        <f t="shared" si="3"/>
        <v>0</v>
      </c>
      <c r="R4491" s="26"/>
    </row>
    <row r="4492" spans="1:18" ht="15.75" customHeight="1">
      <c r="A4492" s="26"/>
      <c r="B4492" s="86"/>
      <c r="D4492" s="26"/>
      <c r="F4492" s="87" t="str">
        <f t="shared" si="0"/>
        <v/>
      </c>
      <c r="H4492" s="26" t="str">
        <f t="shared" si="1"/>
        <v/>
      </c>
      <c r="I4492" s="26" t="str">
        <f t="shared" si="2"/>
        <v/>
      </c>
      <c r="J4492" s="86">
        <f t="shared" si="3"/>
        <v>0</v>
      </c>
      <c r="R4492" s="26"/>
    </row>
    <row r="4493" spans="1:18" ht="15.75" customHeight="1">
      <c r="A4493" s="26"/>
      <c r="B4493" s="86"/>
      <c r="D4493" s="26"/>
      <c r="F4493" s="87" t="str">
        <f t="shared" si="0"/>
        <v/>
      </c>
      <c r="H4493" s="26" t="str">
        <f t="shared" si="1"/>
        <v/>
      </c>
      <c r="I4493" s="26" t="str">
        <f t="shared" si="2"/>
        <v/>
      </c>
      <c r="J4493" s="86">
        <f t="shared" si="3"/>
        <v>0</v>
      </c>
      <c r="R4493" s="26"/>
    </row>
    <row r="4494" spans="1:18" ht="15.75" customHeight="1">
      <c r="A4494" s="26"/>
      <c r="B4494" s="86"/>
      <c r="D4494" s="26"/>
      <c r="F4494" s="87" t="str">
        <f t="shared" si="0"/>
        <v/>
      </c>
      <c r="H4494" s="26" t="str">
        <f t="shared" si="1"/>
        <v/>
      </c>
      <c r="I4494" s="26" t="str">
        <f t="shared" si="2"/>
        <v/>
      </c>
      <c r="J4494" s="86">
        <f t="shared" si="3"/>
        <v>0</v>
      </c>
      <c r="R4494" s="26"/>
    </row>
    <row r="4495" spans="1:18" ht="15.75" customHeight="1">
      <c r="A4495" s="26"/>
      <c r="B4495" s="86"/>
      <c r="D4495" s="26"/>
      <c r="F4495" s="87" t="str">
        <f t="shared" si="0"/>
        <v/>
      </c>
      <c r="H4495" s="26" t="str">
        <f t="shared" si="1"/>
        <v/>
      </c>
      <c r="I4495" s="26" t="str">
        <f t="shared" si="2"/>
        <v/>
      </c>
      <c r="J4495" s="86">
        <f t="shared" si="3"/>
        <v>0</v>
      </c>
      <c r="R4495" s="26"/>
    </row>
    <row r="4496" spans="1:18" ht="15.75" customHeight="1">
      <c r="A4496" s="26"/>
      <c r="B4496" s="86"/>
      <c r="D4496" s="26"/>
      <c r="F4496" s="87" t="str">
        <f t="shared" si="0"/>
        <v/>
      </c>
      <c r="H4496" s="26" t="str">
        <f t="shared" si="1"/>
        <v/>
      </c>
      <c r="I4496" s="26" t="str">
        <f t="shared" si="2"/>
        <v/>
      </c>
      <c r="J4496" s="86">
        <f t="shared" si="3"/>
        <v>0</v>
      </c>
      <c r="R4496" s="26"/>
    </row>
    <row r="4497" spans="1:18" ht="15.75" customHeight="1">
      <c r="A4497" s="26"/>
      <c r="B4497" s="86"/>
      <c r="D4497" s="26"/>
      <c r="F4497" s="87" t="str">
        <f t="shared" si="0"/>
        <v/>
      </c>
      <c r="H4497" s="26" t="str">
        <f t="shared" si="1"/>
        <v/>
      </c>
      <c r="I4497" s="26" t="str">
        <f t="shared" si="2"/>
        <v/>
      </c>
      <c r="J4497" s="86">
        <f t="shared" si="3"/>
        <v>0</v>
      </c>
      <c r="R4497" s="26"/>
    </row>
    <row r="4498" spans="1:18" ht="15.75" customHeight="1">
      <c r="A4498" s="26"/>
      <c r="B4498" s="86"/>
      <c r="D4498" s="26"/>
      <c r="F4498" s="87" t="str">
        <f t="shared" si="0"/>
        <v/>
      </c>
      <c r="H4498" s="26" t="str">
        <f t="shared" si="1"/>
        <v/>
      </c>
      <c r="I4498" s="26" t="str">
        <f t="shared" si="2"/>
        <v/>
      </c>
      <c r="J4498" s="86">
        <f t="shared" si="3"/>
        <v>0</v>
      </c>
      <c r="R4498" s="26"/>
    </row>
    <row r="4499" spans="1:18" ht="15.75" customHeight="1">
      <c r="A4499" s="26"/>
      <c r="B4499" s="86"/>
      <c r="D4499" s="26"/>
      <c r="F4499" s="87" t="str">
        <f t="shared" si="0"/>
        <v/>
      </c>
      <c r="H4499" s="26" t="str">
        <f t="shared" si="1"/>
        <v/>
      </c>
      <c r="I4499" s="26" t="str">
        <f t="shared" si="2"/>
        <v/>
      </c>
      <c r="J4499" s="86">
        <f t="shared" si="3"/>
        <v>0</v>
      </c>
      <c r="R4499" s="26"/>
    </row>
    <row r="4500" spans="1:18" ht="15.75" customHeight="1">
      <c r="A4500" s="26"/>
      <c r="B4500" s="86"/>
      <c r="D4500" s="26"/>
      <c r="F4500" s="87" t="str">
        <f t="shared" si="0"/>
        <v/>
      </c>
      <c r="H4500" s="26" t="str">
        <f t="shared" si="1"/>
        <v/>
      </c>
      <c r="I4500" s="26" t="str">
        <f t="shared" si="2"/>
        <v/>
      </c>
      <c r="J4500" s="86">
        <f t="shared" si="3"/>
        <v>0</v>
      </c>
      <c r="R4500" s="26"/>
    </row>
    <row r="4501" spans="1:18" ht="15.75" customHeight="1">
      <c r="A4501" s="26"/>
      <c r="B4501" s="86"/>
      <c r="D4501" s="26"/>
      <c r="F4501" s="87" t="str">
        <f t="shared" si="0"/>
        <v/>
      </c>
      <c r="H4501" s="26" t="str">
        <f t="shared" si="1"/>
        <v/>
      </c>
      <c r="I4501" s="26" t="str">
        <f t="shared" si="2"/>
        <v/>
      </c>
      <c r="J4501" s="86">
        <f t="shared" si="3"/>
        <v>0</v>
      </c>
      <c r="R4501" s="26"/>
    </row>
    <row r="4502" spans="1:18" ht="15.75" customHeight="1">
      <c r="A4502" s="26"/>
      <c r="B4502" s="86"/>
      <c r="D4502" s="26"/>
      <c r="F4502" s="87" t="str">
        <f t="shared" si="0"/>
        <v/>
      </c>
      <c r="H4502" s="26" t="str">
        <f t="shared" si="1"/>
        <v/>
      </c>
      <c r="I4502" s="26" t="str">
        <f t="shared" si="2"/>
        <v/>
      </c>
      <c r="J4502" s="86">
        <f t="shared" si="3"/>
        <v>0</v>
      </c>
      <c r="R4502" s="26"/>
    </row>
    <row r="4503" spans="1:18" ht="15.75" customHeight="1">
      <c r="A4503" s="26"/>
      <c r="B4503" s="86"/>
      <c r="D4503" s="26"/>
      <c r="F4503" s="87" t="str">
        <f t="shared" si="0"/>
        <v/>
      </c>
      <c r="H4503" s="26" t="str">
        <f t="shared" si="1"/>
        <v/>
      </c>
      <c r="I4503" s="26" t="str">
        <f t="shared" si="2"/>
        <v/>
      </c>
      <c r="J4503" s="86">
        <f t="shared" si="3"/>
        <v>0</v>
      </c>
      <c r="R4503" s="26"/>
    </row>
    <row r="4504" spans="1:18" ht="15.75" customHeight="1">
      <c r="A4504" s="26"/>
      <c r="B4504" s="86"/>
      <c r="D4504" s="26"/>
      <c r="F4504" s="87" t="str">
        <f t="shared" si="0"/>
        <v/>
      </c>
      <c r="H4504" s="26" t="str">
        <f t="shared" si="1"/>
        <v/>
      </c>
      <c r="I4504" s="26" t="str">
        <f t="shared" si="2"/>
        <v/>
      </c>
      <c r="J4504" s="86">
        <f t="shared" si="3"/>
        <v>0</v>
      </c>
      <c r="R4504" s="26"/>
    </row>
    <row r="4505" spans="1:18" ht="15.75" customHeight="1">
      <c r="A4505" s="26"/>
      <c r="B4505" s="86"/>
      <c r="D4505" s="26"/>
      <c r="F4505" s="87" t="str">
        <f t="shared" si="0"/>
        <v/>
      </c>
      <c r="H4505" s="26" t="str">
        <f t="shared" si="1"/>
        <v/>
      </c>
      <c r="I4505" s="26" t="str">
        <f t="shared" si="2"/>
        <v/>
      </c>
      <c r="J4505" s="86">
        <f t="shared" si="3"/>
        <v>0</v>
      </c>
      <c r="R4505" s="26"/>
    </row>
    <row r="4506" spans="1:18" ht="15.75" customHeight="1">
      <c r="A4506" s="26"/>
      <c r="B4506" s="86"/>
      <c r="D4506" s="26"/>
      <c r="F4506" s="87" t="str">
        <f t="shared" si="0"/>
        <v/>
      </c>
      <c r="H4506" s="26" t="str">
        <f t="shared" si="1"/>
        <v/>
      </c>
      <c r="I4506" s="26" t="str">
        <f t="shared" si="2"/>
        <v/>
      </c>
      <c r="J4506" s="86">
        <f t="shared" si="3"/>
        <v>0</v>
      </c>
      <c r="R4506" s="26"/>
    </row>
    <row r="4507" spans="1:18" ht="15.75" customHeight="1">
      <c r="A4507" s="26"/>
      <c r="B4507" s="86"/>
      <c r="D4507" s="26"/>
      <c r="F4507" s="87" t="str">
        <f t="shared" si="0"/>
        <v/>
      </c>
      <c r="H4507" s="26" t="str">
        <f t="shared" si="1"/>
        <v/>
      </c>
      <c r="I4507" s="26" t="str">
        <f t="shared" si="2"/>
        <v/>
      </c>
      <c r="J4507" s="86">
        <f t="shared" si="3"/>
        <v>0</v>
      </c>
      <c r="R4507" s="26"/>
    </row>
    <row r="4508" spans="1:18" ht="15.75" customHeight="1">
      <c r="A4508" s="26"/>
      <c r="B4508" s="86"/>
      <c r="D4508" s="26"/>
      <c r="F4508" s="87" t="str">
        <f t="shared" si="0"/>
        <v/>
      </c>
      <c r="H4508" s="26" t="str">
        <f t="shared" si="1"/>
        <v/>
      </c>
      <c r="I4508" s="26" t="str">
        <f t="shared" si="2"/>
        <v/>
      </c>
      <c r="J4508" s="86">
        <f t="shared" si="3"/>
        <v>0</v>
      </c>
      <c r="R4508" s="26"/>
    </row>
    <row r="4509" spans="1:18" ht="15.75" customHeight="1">
      <c r="A4509" s="26"/>
      <c r="B4509" s="86"/>
      <c r="D4509" s="26"/>
      <c r="F4509" s="87" t="str">
        <f t="shared" si="0"/>
        <v/>
      </c>
      <c r="H4509" s="26" t="str">
        <f t="shared" si="1"/>
        <v/>
      </c>
      <c r="I4509" s="26" t="str">
        <f t="shared" si="2"/>
        <v/>
      </c>
      <c r="J4509" s="86">
        <f t="shared" si="3"/>
        <v>0</v>
      </c>
      <c r="R4509" s="26"/>
    </row>
    <row r="4510" spans="1:18" ht="15.75" customHeight="1">
      <c r="A4510" s="26"/>
      <c r="B4510" s="86"/>
      <c r="D4510" s="26"/>
      <c r="F4510" s="87" t="str">
        <f t="shared" si="0"/>
        <v/>
      </c>
      <c r="H4510" s="26" t="str">
        <f t="shared" si="1"/>
        <v/>
      </c>
      <c r="I4510" s="26" t="str">
        <f t="shared" si="2"/>
        <v/>
      </c>
      <c r="J4510" s="86">
        <f t="shared" si="3"/>
        <v>0</v>
      </c>
      <c r="R4510" s="26"/>
    </row>
    <row r="4511" spans="1:18" ht="15.75" customHeight="1">
      <c r="A4511" s="26"/>
      <c r="B4511" s="86"/>
      <c r="D4511" s="26"/>
      <c r="F4511" s="87" t="str">
        <f t="shared" si="0"/>
        <v/>
      </c>
      <c r="H4511" s="26" t="str">
        <f t="shared" si="1"/>
        <v/>
      </c>
      <c r="I4511" s="26" t="str">
        <f t="shared" si="2"/>
        <v/>
      </c>
      <c r="J4511" s="86">
        <f t="shared" si="3"/>
        <v>0</v>
      </c>
      <c r="R4511" s="26"/>
    </row>
    <row r="4512" spans="1:18" ht="15.75" customHeight="1">
      <c r="A4512" s="26"/>
      <c r="B4512" s="86"/>
      <c r="D4512" s="26"/>
      <c r="F4512" s="87" t="str">
        <f t="shared" si="0"/>
        <v/>
      </c>
      <c r="H4512" s="26" t="str">
        <f t="shared" si="1"/>
        <v/>
      </c>
      <c r="I4512" s="26" t="str">
        <f t="shared" si="2"/>
        <v/>
      </c>
      <c r="J4512" s="86">
        <f t="shared" si="3"/>
        <v>0</v>
      </c>
      <c r="R4512" s="26"/>
    </row>
    <row r="4513" spans="1:18" ht="15.75" customHeight="1">
      <c r="A4513" s="26"/>
      <c r="B4513" s="86"/>
      <c r="D4513" s="26"/>
      <c r="F4513" s="87" t="str">
        <f t="shared" si="0"/>
        <v/>
      </c>
      <c r="H4513" s="26" t="str">
        <f t="shared" si="1"/>
        <v/>
      </c>
      <c r="I4513" s="26" t="str">
        <f t="shared" si="2"/>
        <v/>
      </c>
      <c r="J4513" s="86">
        <f t="shared" si="3"/>
        <v>0</v>
      </c>
      <c r="R4513" s="26"/>
    </row>
    <row r="4514" spans="1:18" ht="15.75" customHeight="1">
      <c r="A4514" s="26"/>
      <c r="B4514" s="86"/>
      <c r="D4514" s="26"/>
      <c r="F4514" s="87" t="str">
        <f t="shared" si="0"/>
        <v/>
      </c>
      <c r="H4514" s="26" t="str">
        <f t="shared" si="1"/>
        <v/>
      </c>
      <c r="I4514" s="26" t="str">
        <f t="shared" si="2"/>
        <v/>
      </c>
      <c r="J4514" s="86">
        <f t="shared" si="3"/>
        <v>0</v>
      </c>
      <c r="R4514" s="26"/>
    </row>
    <row r="4515" spans="1:18" ht="15.75" customHeight="1">
      <c r="A4515" s="26"/>
      <c r="B4515" s="86"/>
      <c r="D4515" s="26"/>
      <c r="F4515" s="87" t="str">
        <f t="shared" si="0"/>
        <v/>
      </c>
      <c r="H4515" s="26" t="str">
        <f t="shared" si="1"/>
        <v/>
      </c>
      <c r="I4515" s="26" t="str">
        <f t="shared" si="2"/>
        <v/>
      </c>
      <c r="J4515" s="86">
        <f t="shared" si="3"/>
        <v>0</v>
      </c>
      <c r="R4515" s="26"/>
    </row>
    <row r="4516" spans="1:18" ht="15.75" customHeight="1">
      <c r="A4516" s="26"/>
      <c r="B4516" s="86"/>
      <c r="D4516" s="26"/>
      <c r="F4516" s="87" t="str">
        <f t="shared" si="0"/>
        <v/>
      </c>
      <c r="H4516" s="26" t="str">
        <f t="shared" si="1"/>
        <v/>
      </c>
      <c r="I4516" s="26" t="str">
        <f t="shared" si="2"/>
        <v/>
      </c>
      <c r="J4516" s="86">
        <f t="shared" si="3"/>
        <v>0</v>
      </c>
      <c r="R4516" s="26"/>
    </row>
    <row r="4517" spans="1:18" ht="15.75" customHeight="1">
      <c r="A4517" s="26"/>
      <c r="B4517" s="86"/>
      <c r="D4517" s="26"/>
      <c r="F4517" s="87" t="str">
        <f t="shared" si="0"/>
        <v/>
      </c>
      <c r="H4517" s="26" t="str">
        <f t="shared" si="1"/>
        <v/>
      </c>
      <c r="I4517" s="26" t="str">
        <f t="shared" si="2"/>
        <v/>
      </c>
      <c r="J4517" s="86">
        <f t="shared" si="3"/>
        <v>0</v>
      </c>
      <c r="R4517" s="26"/>
    </row>
    <row r="4518" spans="1:18" ht="15.75" customHeight="1">
      <c r="A4518" s="26"/>
      <c r="B4518" s="86"/>
      <c r="D4518" s="26"/>
      <c r="F4518" s="87" t="str">
        <f t="shared" si="0"/>
        <v/>
      </c>
      <c r="H4518" s="26" t="str">
        <f t="shared" si="1"/>
        <v/>
      </c>
      <c r="I4518" s="26" t="str">
        <f t="shared" si="2"/>
        <v/>
      </c>
      <c r="J4518" s="86">
        <f t="shared" si="3"/>
        <v>0</v>
      </c>
      <c r="R4518" s="26"/>
    </row>
    <row r="4519" spans="1:18" ht="15.75" customHeight="1">
      <c r="A4519" s="26"/>
      <c r="B4519" s="86"/>
      <c r="D4519" s="26"/>
      <c r="F4519" s="87" t="str">
        <f t="shared" si="0"/>
        <v/>
      </c>
      <c r="H4519" s="26" t="str">
        <f t="shared" si="1"/>
        <v/>
      </c>
      <c r="I4519" s="26" t="str">
        <f t="shared" si="2"/>
        <v/>
      </c>
      <c r="J4519" s="86">
        <f t="shared" si="3"/>
        <v>0</v>
      </c>
      <c r="R4519" s="26"/>
    </row>
    <row r="4520" spans="1:18" ht="15.75" customHeight="1">
      <c r="A4520" s="26"/>
      <c r="B4520" s="86"/>
      <c r="D4520" s="26"/>
      <c r="F4520" s="87" t="str">
        <f t="shared" si="0"/>
        <v/>
      </c>
      <c r="H4520" s="26" t="str">
        <f t="shared" si="1"/>
        <v/>
      </c>
      <c r="I4520" s="26" t="str">
        <f t="shared" si="2"/>
        <v/>
      </c>
      <c r="J4520" s="86">
        <f t="shared" si="3"/>
        <v>0</v>
      </c>
      <c r="R4520" s="26"/>
    </row>
    <row r="4521" spans="1:18" ht="15.75" customHeight="1">
      <c r="A4521" s="26"/>
      <c r="B4521" s="86"/>
      <c r="D4521" s="26"/>
      <c r="F4521" s="87" t="str">
        <f t="shared" si="0"/>
        <v/>
      </c>
      <c r="H4521" s="26" t="str">
        <f t="shared" si="1"/>
        <v/>
      </c>
      <c r="I4521" s="26" t="str">
        <f t="shared" si="2"/>
        <v/>
      </c>
      <c r="J4521" s="86">
        <f t="shared" si="3"/>
        <v>0</v>
      </c>
      <c r="R4521" s="26"/>
    </row>
    <row r="4522" spans="1:18" ht="15.75" customHeight="1">
      <c r="A4522" s="26"/>
      <c r="B4522" s="86"/>
      <c r="D4522" s="26"/>
      <c r="F4522" s="87" t="str">
        <f t="shared" si="0"/>
        <v/>
      </c>
      <c r="H4522" s="26" t="str">
        <f t="shared" si="1"/>
        <v/>
      </c>
      <c r="I4522" s="26" t="str">
        <f t="shared" si="2"/>
        <v/>
      </c>
      <c r="J4522" s="86">
        <f t="shared" si="3"/>
        <v>0</v>
      </c>
      <c r="R4522" s="26"/>
    </row>
    <row r="4523" spans="1:18" ht="15.75" customHeight="1">
      <c r="A4523" s="26"/>
      <c r="B4523" s="86"/>
      <c r="D4523" s="26"/>
      <c r="F4523" s="87" t="str">
        <f t="shared" si="0"/>
        <v/>
      </c>
      <c r="H4523" s="26" t="str">
        <f t="shared" si="1"/>
        <v/>
      </c>
      <c r="I4523" s="26" t="str">
        <f t="shared" si="2"/>
        <v/>
      </c>
      <c r="J4523" s="86">
        <f t="shared" si="3"/>
        <v>0</v>
      </c>
      <c r="R4523" s="26"/>
    </row>
    <row r="4524" spans="1:18" ht="15.75" customHeight="1">
      <c r="A4524" s="26"/>
      <c r="B4524" s="86"/>
      <c r="D4524" s="26"/>
      <c r="F4524" s="87" t="str">
        <f t="shared" si="0"/>
        <v/>
      </c>
      <c r="H4524" s="26" t="str">
        <f t="shared" si="1"/>
        <v/>
      </c>
      <c r="I4524" s="26" t="str">
        <f t="shared" si="2"/>
        <v/>
      </c>
      <c r="J4524" s="86">
        <f t="shared" si="3"/>
        <v>0</v>
      </c>
      <c r="R4524" s="26"/>
    </row>
    <row r="4525" spans="1:18" ht="15.75" customHeight="1">
      <c r="A4525" s="26"/>
      <c r="B4525" s="86"/>
      <c r="D4525" s="26"/>
      <c r="F4525" s="87" t="str">
        <f t="shared" si="0"/>
        <v/>
      </c>
      <c r="H4525" s="26" t="str">
        <f t="shared" si="1"/>
        <v/>
      </c>
      <c r="I4525" s="26" t="str">
        <f t="shared" si="2"/>
        <v/>
      </c>
      <c r="J4525" s="86">
        <f t="shared" si="3"/>
        <v>0</v>
      </c>
      <c r="R4525" s="26"/>
    </row>
    <row r="4526" spans="1:18" ht="15.75" customHeight="1">
      <c r="A4526" s="26"/>
      <c r="B4526" s="86"/>
      <c r="D4526" s="26"/>
      <c r="F4526" s="87" t="str">
        <f t="shared" si="0"/>
        <v/>
      </c>
      <c r="H4526" s="26" t="str">
        <f t="shared" si="1"/>
        <v/>
      </c>
      <c r="I4526" s="26" t="str">
        <f t="shared" si="2"/>
        <v/>
      </c>
      <c r="J4526" s="86">
        <f t="shared" si="3"/>
        <v>0</v>
      </c>
      <c r="R4526" s="26"/>
    </row>
    <row r="4527" spans="1:18" ht="15.75" customHeight="1">
      <c r="A4527" s="26"/>
      <c r="B4527" s="86"/>
      <c r="D4527" s="26"/>
      <c r="F4527" s="87" t="str">
        <f t="shared" si="0"/>
        <v/>
      </c>
      <c r="H4527" s="26" t="str">
        <f t="shared" si="1"/>
        <v/>
      </c>
      <c r="I4527" s="26" t="str">
        <f t="shared" si="2"/>
        <v/>
      </c>
      <c r="J4527" s="86">
        <f t="shared" si="3"/>
        <v>0</v>
      </c>
      <c r="R4527" s="26"/>
    </row>
    <row r="4528" spans="1:18" ht="15.75" customHeight="1">
      <c r="A4528" s="26"/>
      <c r="B4528" s="86"/>
      <c r="D4528" s="26"/>
      <c r="F4528" s="87" t="str">
        <f t="shared" si="0"/>
        <v/>
      </c>
      <c r="H4528" s="26" t="str">
        <f t="shared" si="1"/>
        <v/>
      </c>
      <c r="I4528" s="26" t="str">
        <f t="shared" si="2"/>
        <v/>
      </c>
      <c r="J4528" s="86">
        <f t="shared" si="3"/>
        <v>0</v>
      </c>
      <c r="R4528" s="26"/>
    </row>
    <row r="4529" spans="1:18" ht="15.75" customHeight="1">
      <c r="A4529" s="26"/>
      <c r="B4529" s="86"/>
      <c r="D4529" s="26"/>
      <c r="F4529" s="87" t="str">
        <f t="shared" si="0"/>
        <v/>
      </c>
      <c r="H4529" s="26" t="str">
        <f t="shared" si="1"/>
        <v/>
      </c>
      <c r="I4529" s="26" t="str">
        <f t="shared" si="2"/>
        <v/>
      </c>
      <c r="J4529" s="86">
        <f t="shared" si="3"/>
        <v>0</v>
      </c>
      <c r="R4529" s="26"/>
    </row>
    <row r="4530" spans="1:18" ht="15.75" customHeight="1">
      <c r="A4530" s="26"/>
      <c r="B4530" s="86"/>
      <c r="D4530" s="26"/>
      <c r="F4530" s="87" t="str">
        <f t="shared" si="0"/>
        <v/>
      </c>
      <c r="H4530" s="26" t="str">
        <f t="shared" si="1"/>
        <v/>
      </c>
      <c r="I4530" s="26" t="str">
        <f t="shared" si="2"/>
        <v/>
      </c>
      <c r="J4530" s="86">
        <f t="shared" si="3"/>
        <v>0</v>
      </c>
      <c r="R4530" s="26"/>
    </row>
    <row r="4531" spans="1:18" ht="15.75" customHeight="1">
      <c r="A4531" s="26"/>
      <c r="B4531" s="86"/>
      <c r="D4531" s="26"/>
      <c r="F4531" s="87" t="str">
        <f t="shared" si="0"/>
        <v/>
      </c>
      <c r="H4531" s="26" t="str">
        <f t="shared" si="1"/>
        <v/>
      </c>
      <c r="I4531" s="26" t="str">
        <f t="shared" si="2"/>
        <v/>
      </c>
      <c r="J4531" s="86">
        <f t="shared" si="3"/>
        <v>0</v>
      </c>
      <c r="R4531" s="26"/>
    </row>
    <row r="4532" spans="1:18" ht="15.75" customHeight="1">
      <c r="A4532" s="26"/>
      <c r="B4532" s="86"/>
      <c r="D4532" s="26"/>
      <c r="F4532" s="87" t="str">
        <f t="shared" si="0"/>
        <v/>
      </c>
      <c r="H4532" s="26" t="str">
        <f t="shared" si="1"/>
        <v/>
      </c>
      <c r="I4532" s="26" t="str">
        <f t="shared" si="2"/>
        <v/>
      </c>
      <c r="J4532" s="86">
        <f t="shared" si="3"/>
        <v>0</v>
      </c>
      <c r="R4532" s="26"/>
    </row>
    <row r="4533" spans="1:18" ht="15.75" customHeight="1">
      <c r="A4533" s="26"/>
      <c r="B4533" s="86"/>
      <c r="D4533" s="26"/>
      <c r="F4533" s="87" t="str">
        <f t="shared" si="0"/>
        <v/>
      </c>
      <c r="H4533" s="26" t="str">
        <f t="shared" si="1"/>
        <v/>
      </c>
      <c r="I4533" s="26" t="str">
        <f t="shared" si="2"/>
        <v/>
      </c>
      <c r="J4533" s="86">
        <f t="shared" si="3"/>
        <v>0</v>
      </c>
      <c r="R4533" s="26"/>
    </row>
    <row r="4534" spans="1:18" ht="15.75" customHeight="1">
      <c r="A4534" s="26"/>
      <c r="B4534" s="86"/>
      <c r="D4534" s="26"/>
      <c r="F4534" s="87" t="str">
        <f t="shared" si="0"/>
        <v/>
      </c>
      <c r="H4534" s="26" t="str">
        <f t="shared" si="1"/>
        <v/>
      </c>
      <c r="I4534" s="26" t="str">
        <f t="shared" si="2"/>
        <v/>
      </c>
      <c r="J4534" s="86">
        <f t="shared" si="3"/>
        <v>0</v>
      </c>
      <c r="R4534" s="26"/>
    </row>
    <row r="4535" spans="1:18" ht="15.75" customHeight="1">
      <c r="A4535" s="26"/>
      <c r="B4535" s="86"/>
      <c r="D4535" s="26"/>
      <c r="F4535" s="87" t="str">
        <f t="shared" si="0"/>
        <v/>
      </c>
      <c r="H4535" s="26" t="str">
        <f t="shared" si="1"/>
        <v/>
      </c>
      <c r="I4535" s="26" t="str">
        <f t="shared" si="2"/>
        <v/>
      </c>
      <c r="J4535" s="86">
        <f t="shared" si="3"/>
        <v>0</v>
      </c>
      <c r="R4535" s="26"/>
    </row>
    <row r="4536" spans="1:18" ht="15.75" customHeight="1">
      <c r="A4536" s="26"/>
      <c r="B4536" s="86"/>
      <c r="D4536" s="26"/>
      <c r="F4536" s="87" t="str">
        <f t="shared" si="0"/>
        <v/>
      </c>
      <c r="H4536" s="26" t="str">
        <f t="shared" si="1"/>
        <v/>
      </c>
      <c r="I4536" s="26" t="str">
        <f t="shared" si="2"/>
        <v/>
      </c>
      <c r="J4536" s="86">
        <f t="shared" si="3"/>
        <v>0</v>
      </c>
      <c r="R4536" s="26"/>
    </row>
    <row r="4537" spans="1:18" ht="15.75" customHeight="1">
      <c r="A4537" s="26"/>
      <c r="B4537" s="86"/>
      <c r="D4537" s="26"/>
      <c r="F4537" s="87" t="str">
        <f t="shared" si="0"/>
        <v/>
      </c>
      <c r="H4537" s="26" t="str">
        <f t="shared" si="1"/>
        <v/>
      </c>
      <c r="I4537" s="26" t="str">
        <f t="shared" si="2"/>
        <v/>
      </c>
      <c r="J4537" s="86">
        <f t="shared" si="3"/>
        <v>0</v>
      </c>
      <c r="R4537" s="26"/>
    </row>
    <row r="4538" spans="1:18" ht="15.75" customHeight="1">
      <c r="A4538" s="26"/>
      <c r="B4538" s="86"/>
      <c r="D4538" s="26"/>
      <c r="F4538" s="87" t="str">
        <f t="shared" si="0"/>
        <v/>
      </c>
      <c r="H4538" s="26" t="str">
        <f t="shared" si="1"/>
        <v/>
      </c>
      <c r="I4538" s="26" t="str">
        <f t="shared" si="2"/>
        <v/>
      </c>
      <c r="J4538" s="86">
        <f t="shared" si="3"/>
        <v>0</v>
      </c>
      <c r="R4538" s="26"/>
    </row>
    <row r="4539" spans="1:18" ht="15.75" customHeight="1">
      <c r="A4539" s="26"/>
      <c r="B4539" s="86"/>
      <c r="D4539" s="26"/>
      <c r="F4539" s="87" t="str">
        <f t="shared" si="0"/>
        <v/>
      </c>
      <c r="H4539" s="26" t="str">
        <f t="shared" si="1"/>
        <v/>
      </c>
      <c r="I4539" s="26" t="str">
        <f t="shared" si="2"/>
        <v/>
      </c>
      <c r="J4539" s="86">
        <f t="shared" si="3"/>
        <v>0</v>
      </c>
      <c r="R4539" s="26"/>
    </row>
    <row r="4540" spans="1:18" ht="15.75" customHeight="1">
      <c r="A4540" s="26"/>
      <c r="B4540" s="86"/>
      <c r="D4540" s="26"/>
      <c r="F4540" s="87" t="str">
        <f t="shared" si="0"/>
        <v/>
      </c>
      <c r="H4540" s="26" t="str">
        <f t="shared" si="1"/>
        <v/>
      </c>
      <c r="I4540" s="26" t="str">
        <f t="shared" si="2"/>
        <v/>
      </c>
      <c r="J4540" s="86">
        <f t="shared" si="3"/>
        <v>0</v>
      </c>
      <c r="R4540" s="26"/>
    </row>
    <row r="4541" spans="1:18" ht="15.75" customHeight="1">
      <c r="A4541" s="26"/>
      <c r="B4541" s="86"/>
      <c r="D4541" s="26"/>
      <c r="F4541" s="87" t="str">
        <f t="shared" si="0"/>
        <v/>
      </c>
      <c r="H4541" s="26" t="str">
        <f t="shared" si="1"/>
        <v/>
      </c>
      <c r="I4541" s="26" t="str">
        <f t="shared" si="2"/>
        <v/>
      </c>
      <c r="J4541" s="86">
        <f t="shared" si="3"/>
        <v>0</v>
      </c>
      <c r="R4541" s="26"/>
    </row>
    <row r="4542" spans="1:18" ht="15.75" customHeight="1">
      <c r="A4542" s="26"/>
      <c r="B4542" s="86"/>
      <c r="D4542" s="26"/>
      <c r="F4542" s="87" t="str">
        <f t="shared" si="0"/>
        <v/>
      </c>
      <c r="H4542" s="26" t="str">
        <f t="shared" si="1"/>
        <v/>
      </c>
      <c r="I4542" s="26" t="str">
        <f t="shared" si="2"/>
        <v/>
      </c>
      <c r="J4542" s="86">
        <f t="shared" si="3"/>
        <v>0</v>
      </c>
      <c r="R4542" s="26"/>
    </row>
    <row r="4543" spans="1:18" ht="15.75" customHeight="1">
      <c r="A4543" s="26"/>
      <c r="B4543" s="86"/>
      <c r="D4543" s="26"/>
      <c r="F4543" s="87" t="str">
        <f t="shared" si="0"/>
        <v/>
      </c>
      <c r="H4543" s="26" t="str">
        <f t="shared" si="1"/>
        <v/>
      </c>
      <c r="I4543" s="26" t="str">
        <f t="shared" si="2"/>
        <v/>
      </c>
      <c r="J4543" s="86">
        <f t="shared" si="3"/>
        <v>0</v>
      </c>
      <c r="R4543" s="26"/>
    </row>
    <row r="4544" spans="1:18" ht="15.75" customHeight="1">
      <c r="A4544" s="26"/>
      <c r="B4544" s="86"/>
      <c r="D4544" s="26"/>
      <c r="F4544" s="87" t="str">
        <f t="shared" si="0"/>
        <v/>
      </c>
      <c r="H4544" s="26" t="str">
        <f t="shared" si="1"/>
        <v/>
      </c>
      <c r="I4544" s="26" t="str">
        <f t="shared" si="2"/>
        <v/>
      </c>
      <c r="J4544" s="86">
        <f t="shared" si="3"/>
        <v>0</v>
      </c>
      <c r="R4544" s="26"/>
    </row>
    <row r="4545" spans="1:18" ht="15.75" customHeight="1">
      <c r="A4545" s="26"/>
      <c r="B4545" s="86"/>
      <c r="D4545" s="26"/>
      <c r="F4545" s="87" t="str">
        <f t="shared" si="0"/>
        <v/>
      </c>
      <c r="H4545" s="26" t="str">
        <f t="shared" si="1"/>
        <v/>
      </c>
      <c r="I4545" s="26" t="str">
        <f t="shared" si="2"/>
        <v/>
      </c>
      <c r="J4545" s="86">
        <f t="shared" si="3"/>
        <v>0</v>
      </c>
      <c r="R4545" s="26"/>
    </row>
    <row r="4546" spans="1:18" ht="15.75" customHeight="1">
      <c r="A4546" s="26"/>
      <c r="B4546" s="86"/>
      <c r="D4546" s="26"/>
      <c r="F4546" s="87" t="str">
        <f t="shared" si="0"/>
        <v/>
      </c>
      <c r="H4546" s="26" t="str">
        <f t="shared" si="1"/>
        <v/>
      </c>
      <c r="I4546" s="26" t="str">
        <f t="shared" si="2"/>
        <v/>
      </c>
      <c r="J4546" s="86">
        <f t="shared" si="3"/>
        <v>0</v>
      </c>
      <c r="R4546" s="26"/>
    </row>
    <row r="4547" spans="1:18" ht="15.75" customHeight="1">
      <c r="A4547" s="26"/>
      <c r="B4547" s="86"/>
      <c r="D4547" s="26"/>
      <c r="F4547" s="87" t="str">
        <f t="shared" si="0"/>
        <v/>
      </c>
      <c r="H4547" s="26" t="str">
        <f t="shared" si="1"/>
        <v/>
      </c>
      <c r="I4547" s="26" t="str">
        <f t="shared" si="2"/>
        <v/>
      </c>
      <c r="J4547" s="86">
        <f t="shared" si="3"/>
        <v>0</v>
      </c>
      <c r="R4547" s="26"/>
    </row>
    <row r="4548" spans="1:18" ht="15.75" customHeight="1">
      <c r="A4548" s="26"/>
      <c r="B4548" s="86"/>
      <c r="D4548" s="26"/>
      <c r="F4548" s="87" t="str">
        <f t="shared" si="0"/>
        <v/>
      </c>
      <c r="H4548" s="26" t="str">
        <f t="shared" si="1"/>
        <v/>
      </c>
      <c r="I4548" s="26" t="str">
        <f t="shared" si="2"/>
        <v/>
      </c>
      <c r="J4548" s="86">
        <f t="shared" si="3"/>
        <v>0</v>
      </c>
      <c r="R4548" s="26"/>
    </row>
    <row r="4549" spans="1:18" ht="15.75" customHeight="1">
      <c r="A4549" s="26"/>
      <c r="B4549" s="86"/>
      <c r="D4549" s="26"/>
      <c r="F4549" s="87" t="str">
        <f t="shared" si="0"/>
        <v/>
      </c>
      <c r="H4549" s="26" t="str">
        <f t="shared" si="1"/>
        <v/>
      </c>
      <c r="I4549" s="26" t="str">
        <f t="shared" si="2"/>
        <v/>
      </c>
      <c r="J4549" s="86">
        <f t="shared" si="3"/>
        <v>0</v>
      </c>
      <c r="R4549" s="26"/>
    </row>
    <row r="4550" spans="1:18" ht="15.75" customHeight="1">
      <c r="A4550" s="26"/>
      <c r="B4550" s="86"/>
      <c r="D4550" s="26"/>
      <c r="F4550" s="87" t="str">
        <f t="shared" si="0"/>
        <v/>
      </c>
      <c r="H4550" s="26" t="str">
        <f t="shared" si="1"/>
        <v/>
      </c>
      <c r="I4550" s="26" t="str">
        <f t="shared" si="2"/>
        <v/>
      </c>
      <c r="J4550" s="86">
        <f t="shared" si="3"/>
        <v>0</v>
      </c>
      <c r="R4550" s="26"/>
    </row>
    <row r="4551" spans="1:18" ht="15.75" customHeight="1">
      <c r="A4551" s="26"/>
      <c r="B4551" s="86"/>
      <c r="D4551" s="26"/>
      <c r="F4551" s="87" t="str">
        <f t="shared" si="0"/>
        <v/>
      </c>
      <c r="H4551" s="26" t="str">
        <f t="shared" si="1"/>
        <v/>
      </c>
      <c r="I4551" s="26" t="str">
        <f t="shared" si="2"/>
        <v/>
      </c>
      <c r="J4551" s="86">
        <f t="shared" si="3"/>
        <v>0</v>
      </c>
      <c r="R4551" s="26"/>
    </row>
    <row r="4552" spans="1:18" ht="15.75" customHeight="1">
      <c r="A4552" s="26"/>
      <c r="B4552" s="86"/>
      <c r="D4552" s="26"/>
      <c r="F4552" s="87" t="str">
        <f t="shared" si="0"/>
        <v/>
      </c>
      <c r="H4552" s="26" t="str">
        <f t="shared" si="1"/>
        <v/>
      </c>
      <c r="I4552" s="26" t="str">
        <f t="shared" si="2"/>
        <v/>
      </c>
      <c r="J4552" s="86">
        <f t="shared" si="3"/>
        <v>0</v>
      </c>
      <c r="R4552" s="26"/>
    </row>
    <row r="4553" spans="1:18" ht="15.75" customHeight="1">
      <c r="A4553" s="26"/>
      <c r="B4553" s="86"/>
      <c r="D4553" s="26"/>
      <c r="F4553" s="87" t="str">
        <f t="shared" si="0"/>
        <v/>
      </c>
      <c r="H4553" s="26" t="str">
        <f t="shared" si="1"/>
        <v/>
      </c>
      <c r="I4553" s="26" t="str">
        <f t="shared" si="2"/>
        <v/>
      </c>
      <c r="J4553" s="86">
        <f t="shared" si="3"/>
        <v>0</v>
      </c>
      <c r="R4553" s="26"/>
    </row>
    <row r="4554" spans="1:18" ht="15.75" customHeight="1">
      <c r="A4554" s="26"/>
      <c r="B4554" s="86"/>
      <c r="D4554" s="26"/>
      <c r="F4554" s="87" t="str">
        <f t="shared" si="0"/>
        <v/>
      </c>
      <c r="H4554" s="26" t="str">
        <f t="shared" si="1"/>
        <v/>
      </c>
      <c r="I4554" s="26" t="str">
        <f t="shared" si="2"/>
        <v/>
      </c>
      <c r="J4554" s="86">
        <f t="shared" si="3"/>
        <v>0</v>
      </c>
      <c r="R4554" s="26"/>
    </row>
    <row r="4555" spans="1:18" ht="15.75" customHeight="1">
      <c r="A4555" s="26"/>
      <c r="B4555" s="86"/>
      <c r="D4555" s="26"/>
      <c r="F4555" s="87" t="str">
        <f t="shared" si="0"/>
        <v/>
      </c>
      <c r="H4555" s="26" t="str">
        <f t="shared" si="1"/>
        <v/>
      </c>
      <c r="I4555" s="26" t="str">
        <f t="shared" si="2"/>
        <v/>
      </c>
      <c r="J4555" s="86">
        <f t="shared" si="3"/>
        <v>0</v>
      </c>
      <c r="R4555" s="26"/>
    </row>
    <row r="4556" spans="1:18" ht="15.75" customHeight="1">
      <c r="A4556" s="26"/>
      <c r="B4556" s="86"/>
      <c r="D4556" s="26"/>
      <c r="F4556" s="87" t="str">
        <f t="shared" si="0"/>
        <v/>
      </c>
      <c r="H4556" s="26" t="str">
        <f t="shared" si="1"/>
        <v/>
      </c>
      <c r="I4556" s="26" t="str">
        <f t="shared" si="2"/>
        <v/>
      </c>
      <c r="J4556" s="86">
        <f t="shared" si="3"/>
        <v>0</v>
      </c>
      <c r="R4556" s="26"/>
    </row>
    <row r="4557" spans="1:18" ht="15.75" customHeight="1">
      <c r="A4557" s="26"/>
      <c r="B4557" s="86"/>
      <c r="D4557" s="26"/>
      <c r="F4557" s="87" t="str">
        <f t="shared" si="0"/>
        <v/>
      </c>
      <c r="H4557" s="26" t="str">
        <f t="shared" si="1"/>
        <v/>
      </c>
      <c r="I4557" s="26" t="str">
        <f t="shared" si="2"/>
        <v/>
      </c>
      <c r="J4557" s="86">
        <f t="shared" si="3"/>
        <v>0</v>
      </c>
      <c r="R4557" s="26"/>
    </row>
    <row r="4558" spans="1:18" ht="15.75" customHeight="1">
      <c r="A4558" s="26"/>
      <c r="B4558" s="86"/>
      <c r="D4558" s="26"/>
      <c r="F4558" s="87" t="str">
        <f t="shared" si="0"/>
        <v/>
      </c>
      <c r="H4558" s="26" t="str">
        <f t="shared" si="1"/>
        <v/>
      </c>
      <c r="I4558" s="26" t="str">
        <f t="shared" si="2"/>
        <v/>
      </c>
      <c r="J4558" s="86">
        <f t="shared" si="3"/>
        <v>0</v>
      </c>
      <c r="R4558" s="26"/>
    </row>
    <row r="4559" spans="1:18" ht="15.75" customHeight="1">
      <c r="A4559" s="26"/>
      <c r="B4559" s="86"/>
      <c r="D4559" s="26"/>
      <c r="F4559" s="87" t="str">
        <f t="shared" si="0"/>
        <v/>
      </c>
      <c r="H4559" s="26" t="str">
        <f t="shared" si="1"/>
        <v/>
      </c>
      <c r="I4559" s="26" t="str">
        <f t="shared" si="2"/>
        <v/>
      </c>
      <c r="J4559" s="86">
        <f t="shared" si="3"/>
        <v>0</v>
      </c>
      <c r="R4559" s="26"/>
    </row>
    <row r="4560" spans="1:18" ht="15.75" customHeight="1">
      <c r="A4560" s="26"/>
      <c r="B4560" s="86"/>
      <c r="D4560" s="26"/>
      <c r="F4560" s="87" t="str">
        <f t="shared" si="0"/>
        <v/>
      </c>
      <c r="H4560" s="26" t="str">
        <f t="shared" si="1"/>
        <v/>
      </c>
      <c r="I4560" s="26" t="str">
        <f t="shared" si="2"/>
        <v/>
      </c>
      <c r="J4560" s="86">
        <f t="shared" si="3"/>
        <v>0</v>
      </c>
      <c r="R4560" s="26"/>
    </row>
    <row r="4561" spans="1:18" ht="15.75" customHeight="1">
      <c r="A4561" s="26"/>
      <c r="B4561" s="86"/>
      <c r="D4561" s="26"/>
      <c r="F4561" s="87" t="str">
        <f t="shared" si="0"/>
        <v/>
      </c>
      <c r="H4561" s="26" t="str">
        <f t="shared" si="1"/>
        <v/>
      </c>
      <c r="I4561" s="26" t="str">
        <f t="shared" si="2"/>
        <v/>
      </c>
      <c r="J4561" s="86">
        <f t="shared" si="3"/>
        <v>0</v>
      </c>
      <c r="R4561" s="26"/>
    </row>
    <row r="4562" spans="1:18" ht="15.75" customHeight="1">
      <c r="A4562" s="26"/>
      <c r="B4562" s="86"/>
      <c r="D4562" s="26"/>
      <c r="F4562" s="87" t="str">
        <f t="shared" si="0"/>
        <v/>
      </c>
      <c r="H4562" s="26" t="str">
        <f t="shared" si="1"/>
        <v/>
      </c>
      <c r="I4562" s="26" t="str">
        <f t="shared" si="2"/>
        <v/>
      </c>
      <c r="J4562" s="86">
        <f t="shared" si="3"/>
        <v>0</v>
      </c>
      <c r="R4562" s="26"/>
    </row>
    <row r="4563" spans="1:18" ht="15.75" customHeight="1">
      <c r="A4563" s="26"/>
      <c r="B4563" s="86"/>
      <c r="D4563" s="26"/>
      <c r="F4563" s="87" t="str">
        <f t="shared" si="0"/>
        <v/>
      </c>
      <c r="H4563" s="26" t="str">
        <f t="shared" si="1"/>
        <v/>
      </c>
      <c r="I4563" s="26" t="str">
        <f t="shared" si="2"/>
        <v/>
      </c>
      <c r="J4563" s="86">
        <f t="shared" si="3"/>
        <v>0</v>
      </c>
      <c r="R4563" s="26"/>
    </row>
    <row r="4564" spans="1:18" ht="15.75" customHeight="1">
      <c r="A4564" s="26"/>
      <c r="B4564" s="86"/>
      <c r="D4564" s="26"/>
      <c r="F4564" s="87" t="str">
        <f t="shared" si="0"/>
        <v/>
      </c>
      <c r="H4564" s="26" t="str">
        <f t="shared" si="1"/>
        <v/>
      </c>
      <c r="I4564" s="26" t="str">
        <f t="shared" si="2"/>
        <v/>
      </c>
      <c r="J4564" s="86">
        <f t="shared" si="3"/>
        <v>0</v>
      </c>
      <c r="R4564" s="26"/>
    </row>
    <row r="4565" spans="1:18" ht="15.75" customHeight="1">
      <c r="A4565" s="26"/>
      <c r="B4565" s="86"/>
      <c r="D4565" s="26"/>
      <c r="F4565" s="87" t="str">
        <f t="shared" si="0"/>
        <v/>
      </c>
      <c r="H4565" s="26" t="str">
        <f t="shared" si="1"/>
        <v/>
      </c>
      <c r="I4565" s="26" t="str">
        <f t="shared" si="2"/>
        <v/>
      </c>
      <c r="J4565" s="86">
        <f t="shared" si="3"/>
        <v>0</v>
      </c>
      <c r="R4565" s="26"/>
    </row>
    <row r="4566" spans="1:18" ht="15.75" customHeight="1">
      <c r="A4566" s="26"/>
      <c r="B4566" s="86"/>
      <c r="D4566" s="26"/>
      <c r="F4566" s="87" t="str">
        <f t="shared" si="0"/>
        <v/>
      </c>
      <c r="H4566" s="26" t="str">
        <f t="shared" si="1"/>
        <v/>
      </c>
      <c r="I4566" s="26" t="str">
        <f t="shared" si="2"/>
        <v/>
      </c>
      <c r="J4566" s="86">
        <f t="shared" si="3"/>
        <v>0</v>
      </c>
      <c r="R4566" s="26"/>
    </row>
    <row r="4567" spans="1:18" ht="15.75" customHeight="1">
      <c r="A4567" s="26"/>
      <c r="B4567" s="86"/>
      <c r="D4567" s="26"/>
      <c r="F4567" s="87" t="str">
        <f t="shared" si="0"/>
        <v/>
      </c>
      <c r="H4567" s="26" t="str">
        <f t="shared" si="1"/>
        <v/>
      </c>
      <c r="I4567" s="26" t="str">
        <f t="shared" si="2"/>
        <v/>
      </c>
      <c r="J4567" s="86">
        <f t="shared" si="3"/>
        <v>0</v>
      </c>
      <c r="R4567" s="26"/>
    </row>
    <row r="4568" spans="1:18" ht="15.75" customHeight="1">
      <c r="A4568" s="26"/>
      <c r="B4568" s="86"/>
      <c r="D4568" s="26"/>
      <c r="F4568" s="87" t="str">
        <f t="shared" si="0"/>
        <v/>
      </c>
      <c r="H4568" s="26" t="str">
        <f t="shared" si="1"/>
        <v/>
      </c>
      <c r="I4568" s="26" t="str">
        <f t="shared" si="2"/>
        <v/>
      </c>
      <c r="J4568" s="86">
        <f t="shared" si="3"/>
        <v>0</v>
      </c>
      <c r="R4568" s="26"/>
    </row>
    <row r="4569" spans="1:18" ht="15.75" customHeight="1">
      <c r="A4569" s="26"/>
      <c r="B4569" s="86"/>
      <c r="D4569" s="26"/>
      <c r="F4569" s="87" t="str">
        <f t="shared" si="0"/>
        <v/>
      </c>
      <c r="H4569" s="26" t="str">
        <f t="shared" si="1"/>
        <v/>
      </c>
      <c r="I4569" s="26" t="str">
        <f t="shared" si="2"/>
        <v/>
      </c>
      <c r="J4569" s="86">
        <f t="shared" si="3"/>
        <v>0</v>
      </c>
      <c r="R4569" s="26"/>
    </row>
    <row r="4570" spans="1:18" ht="15.75" customHeight="1">
      <c r="A4570" s="26"/>
      <c r="B4570" s="86"/>
      <c r="D4570" s="26"/>
      <c r="F4570" s="87" t="str">
        <f t="shared" si="0"/>
        <v/>
      </c>
      <c r="H4570" s="26" t="str">
        <f t="shared" si="1"/>
        <v/>
      </c>
      <c r="I4570" s="26" t="str">
        <f t="shared" si="2"/>
        <v/>
      </c>
      <c r="J4570" s="86">
        <f t="shared" si="3"/>
        <v>0</v>
      </c>
      <c r="R4570" s="26"/>
    </row>
    <row r="4571" spans="1:18" ht="15.75" customHeight="1">
      <c r="A4571" s="26"/>
      <c r="B4571" s="86"/>
      <c r="D4571" s="26"/>
      <c r="F4571" s="87" t="str">
        <f t="shared" si="0"/>
        <v/>
      </c>
      <c r="H4571" s="26" t="str">
        <f t="shared" si="1"/>
        <v/>
      </c>
      <c r="I4571" s="26" t="str">
        <f t="shared" si="2"/>
        <v/>
      </c>
      <c r="J4571" s="86">
        <f t="shared" si="3"/>
        <v>0</v>
      </c>
      <c r="R4571" s="26"/>
    </row>
    <row r="4572" spans="1:18" ht="15.75" customHeight="1">
      <c r="A4572" s="26"/>
      <c r="B4572" s="86"/>
      <c r="D4572" s="26"/>
      <c r="F4572" s="87" t="str">
        <f t="shared" si="0"/>
        <v/>
      </c>
      <c r="H4572" s="26" t="str">
        <f t="shared" si="1"/>
        <v/>
      </c>
      <c r="I4572" s="26" t="str">
        <f t="shared" si="2"/>
        <v/>
      </c>
      <c r="J4572" s="86">
        <f t="shared" si="3"/>
        <v>0</v>
      </c>
      <c r="R4572" s="26"/>
    </row>
    <row r="4573" spans="1:18" ht="15.75" customHeight="1">
      <c r="A4573" s="26"/>
      <c r="B4573" s="86"/>
      <c r="D4573" s="26"/>
      <c r="F4573" s="87" t="str">
        <f t="shared" si="0"/>
        <v/>
      </c>
      <c r="H4573" s="26" t="str">
        <f t="shared" si="1"/>
        <v/>
      </c>
      <c r="I4573" s="26" t="str">
        <f t="shared" si="2"/>
        <v/>
      </c>
      <c r="J4573" s="86">
        <f t="shared" si="3"/>
        <v>0</v>
      </c>
      <c r="R4573" s="26"/>
    </row>
    <row r="4574" spans="1:18" ht="15.75" customHeight="1">
      <c r="A4574" s="26"/>
      <c r="B4574" s="86"/>
      <c r="D4574" s="26"/>
      <c r="F4574" s="87" t="str">
        <f t="shared" si="0"/>
        <v/>
      </c>
      <c r="H4574" s="26" t="str">
        <f t="shared" si="1"/>
        <v/>
      </c>
      <c r="I4574" s="26" t="str">
        <f t="shared" si="2"/>
        <v/>
      </c>
      <c r="J4574" s="86">
        <f t="shared" si="3"/>
        <v>0</v>
      </c>
      <c r="R4574" s="26"/>
    </row>
    <row r="4575" spans="1:18" ht="15.75" customHeight="1">
      <c r="A4575" s="26"/>
      <c r="B4575" s="86"/>
      <c r="D4575" s="26"/>
      <c r="F4575" s="87" t="str">
        <f t="shared" si="0"/>
        <v/>
      </c>
      <c r="H4575" s="26" t="str">
        <f t="shared" si="1"/>
        <v/>
      </c>
      <c r="I4575" s="26" t="str">
        <f t="shared" si="2"/>
        <v/>
      </c>
      <c r="J4575" s="86">
        <f t="shared" si="3"/>
        <v>0</v>
      </c>
      <c r="R4575" s="26"/>
    </row>
    <row r="4576" spans="1:18" ht="15.75" customHeight="1">
      <c r="A4576" s="26"/>
      <c r="B4576" s="86"/>
      <c r="D4576" s="26"/>
      <c r="F4576" s="87" t="str">
        <f t="shared" si="0"/>
        <v/>
      </c>
      <c r="H4576" s="26" t="str">
        <f t="shared" si="1"/>
        <v/>
      </c>
      <c r="I4576" s="26" t="str">
        <f t="shared" si="2"/>
        <v/>
      </c>
      <c r="J4576" s="86">
        <f t="shared" si="3"/>
        <v>0</v>
      </c>
      <c r="R4576" s="26"/>
    </row>
    <row r="4577" spans="1:18" ht="15.75" customHeight="1">
      <c r="A4577" s="26"/>
      <c r="B4577" s="86"/>
      <c r="D4577" s="26"/>
      <c r="F4577" s="87" t="str">
        <f t="shared" si="0"/>
        <v/>
      </c>
      <c r="H4577" s="26" t="str">
        <f t="shared" si="1"/>
        <v/>
      </c>
      <c r="I4577" s="26" t="str">
        <f t="shared" si="2"/>
        <v/>
      </c>
      <c r="J4577" s="86">
        <f t="shared" si="3"/>
        <v>0</v>
      </c>
      <c r="R4577" s="26"/>
    </row>
    <row r="4578" spans="1:18" ht="15.75" customHeight="1">
      <c r="A4578" s="26"/>
      <c r="B4578" s="86"/>
      <c r="D4578" s="26"/>
      <c r="F4578" s="87" t="str">
        <f t="shared" si="0"/>
        <v/>
      </c>
      <c r="H4578" s="26" t="str">
        <f t="shared" si="1"/>
        <v/>
      </c>
      <c r="I4578" s="26" t="str">
        <f t="shared" si="2"/>
        <v/>
      </c>
      <c r="J4578" s="86">
        <f t="shared" si="3"/>
        <v>0</v>
      </c>
      <c r="R4578" s="26"/>
    </row>
    <row r="4579" spans="1:18" ht="15.75" customHeight="1">
      <c r="A4579" s="26"/>
      <c r="B4579" s="86"/>
      <c r="D4579" s="26"/>
      <c r="F4579" s="87" t="str">
        <f t="shared" si="0"/>
        <v/>
      </c>
      <c r="H4579" s="26" t="str">
        <f t="shared" si="1"/>
        <v/>
      </c>
      <c r="I4579" s="26" t="str">
        <f t="shared" si="2"/>
        <v/>
      </c>
      <c r="J4579" s="86">
        <f t="shared" si="3"/>
        <v>0</v>
      </c>
      <c r="R4579" s="26"/>
    </row>
    <row r="4580" spans="1:18" ht="15.75" customHeight="1">
      <c r="A4580" s="26"/>
      <c r="B4580" s="86"/>
      <c r="D4580" s="26"/>
      <c r="F4580" s="87" t="str">
        <f t="shared" si="0"/>
        <v/>
      </c>
      <c r="H4580" s="26" t="str">
        <f t="shared" si="1"/>
        <v/>
      </c>
      <c r="I4580" s="26" t="str">
        <f t="shared" si="2"/>
        <v/>
      </c>
      <c r="J4580" s="86">
        <f t="shared" si="3"/>
        <v>0</v>
      </c>
      <c r="R4580" s="26"/>
    </row>
    <row r="4581" spans="1:18" ht="15.75" customHeight="1">
      <c r="A4581" s="26"/>
      <c r="B4581" s="86"/>
      <c r="D4581" s="26"/>
      <c r="F4581" s="87" t="str">
        <f t="shared" si="0"/>
        <v/>
      </c>
      <c r="H4581" s="26" t="str">
        <f t="shared" si="1"/>
        <v/>
      </c>
      <c r="I4581" s="26" t="str">
        <f t="shared" si="2"/>
        <v/>
      </c>
      <c r="J4581" s="86">
        <f t="shared" si="3"/>
        <v>0</v>
      </c>
      <c r="R4581" s="26"/>
    </row>
    <row r="4582" spans="1:18" ht="15.75" customHeight="1">
      <c r="A4582" s="26"/>
      <c r="B4582" s="86"/>
      <c r="D4582" s="26"/>
      <c r="F4582" s="87" t="str">
        <f t="shared" si="0"/>
        <v/>
      </c>
      <c r="H4582" s="26" t="str">
        <f t="shared" si="1"/>
        <v/>
      </c>
      <c r="I4582" s="26" t="str">
        <f t="shared" si="2"/>
        <v/>
      </c>
      <c r="J4582" s="86">
        <f t="shared" si="3"/>
        <v>0</v>
      </c>
      <c r="R4582" s="26"/>
    </row>
    <row r="4583" spans="1:18" ht="15.75" customHeight="1">
      <c r="A4583" s="26"/>
      <c r="B4583" s="86"/>
      <c r="D4583" s="26"/>
      <c r="F4583" s="87" t="str">
        <f t="shared" si="0"/>
        <v/>
      </c>
      <c r="H4583" s="26" t="str">
        <f t="shared" si="1"/>
        <v/>
      </c>
      <c r="I4583" s="26" t="str">
        <f t="shared" si="2"/>
        <v/>
      </c>
      <c r="J4583" s="86">
        <f t="shared" si="3"/>
        <v>0</v>
      </c>
      <c r="R4583" s="26"/>
    </row>
    <row r="4584" spans="1:18" ht="15.75" customHeight="1">
      <c r="A4584" s="26"/>
      <c r="B4584" s="86"/>
      <c r="D4584" s="26"/>
      <c r="F4584" s="87" t="str">
        <f t="shared" si="0"/>
        <v/>
      </c>
      <c r="H4584" s="26" t="str">
        <f t="shared" si="1"/>
        <v/>
      </c>
      <c r="I4584" s="26" t="str">
        <f t="shared" si="2"/>
        <v/>
      </c>
      <c r="J4584" s="86">
        <f t="shared" si="3"/>
        <v>0</v>
      </c>
      <c r="R4584" s="26"/>
    </row>
    <row r="4585" spans="1:18" ht="15.75" customHeight="1">
      <c r="A4585" s="26"/>
      <c r="B4585" s="86"/>
      <c r="D4585" s="26"/>
      <c r="F4585" s="87" t="str">
        <f t="shared" si="0"/>
        <v/>
      </c>
      <c r="H4585" s="26" t="str">
        <f t="shared" si="1"/>
        <v/>
      </c>
      <c r="I4585" s="26" t="str">
        <f t="shared" si="2"/>
        <v/>
      </c>
      <c r="J4585" s="86">
        <f t="shared" si="3"/>
        <v>0</v>
      </c>
      <c r="R4585" s="26"/>
    </row>
    <row r="4586" spans="1:18" ht="15.75" customHeight="1">
      <c r="A4586" s="26"/>
      <c r="B4586" s="86"/>
      <c r="D4586" s="26"/>
      <c r="F4586" s="87" t="str">
        <f t="shared" si="0"/>
        <v/>
      </c>
      <c r="H4586" s="26" t="str">
        <f t="shared" si="1"/>
        <v/>
      </c>
      <c r="I4586" s="26" t="str">
        <f t="shared" si="2"/>
        <v/>
      </c>
      <c r="J4586" s="86">
        <f t="shared" si="3"/>
        <v>0</v>
      </c>
      <c r="R4586" s="26"/>
    </row>
    <row r="4587" spans="1:18" ht="15.75" customHeight="1">
      <c r="A4587" s="26"/>
      <c r="B4587" s="86"/>
      <c r="D4587" s="26"/>
      <c r="F4587" s="87" t="str">
        <f t="shared" si="0"/>
        <v/>
      </c>
      <c r="H4587" s="26" t="str">
        <f t="shared" si="1"/>
        <v/>
      </c>
      <c r="I4587" s="26" t="str">
        <f t="shared" si="2"/>
        <v/>
      </c>
      <c r="J4587" s="86">
        <f t="shared" si="3"/>
        <v>0</v>
      </c>
      <c r="R4587" s="26"/>
    </row>
    <row r="4588" spans="1:18" ht="15.75" customHeight="1">
      <c r="A4588" s="26"/>
      <c r="B4588" s="86"/>
      <c r="D4588" s="26"/>
      <c r="F4588" s="87" t="str">
        <f t="shared" si="0"/>
        <v/>
      </c>
      <c r="H4588" s="26" t="str">
        <f t="shared" si="1"/>
        <v/>
      </c>
      <c r="I4588" s="26" t="str">
        <f t="shared" si="2"/>
        <v/>
      </c>
      <c r="J4588" s="86">
        <f t="shared" si="3"/>
        <v>0</v>
      </c>
      <c r="R4588" s="26"/>
    </row>
    <row r="4589" spans="1:18" ht="15.75" customHeight="1">
      <c r="A4589" s="26"/>
      <c r="B4589" s="86"/>
      <c r="D4589" s="26"/>
      <c r="F4589" s="87" t="str">
        <f t="shared" si="0"/>
        <v/>
      </c>
      <c r="H4589" s="26" t="str">
        <f t="shared" si="1"/>
        <v/>
      </c>
      <c r="I4589" s="26" t="str">
        <f t="shared" si="2"/>
        <v/>
      </c>
      <c r="J4589" s="86">
        <f t="shared" si="3"/>
        <v>0</v>
      </c>
      <c r="R4589" s="26"/>
    </row>
    <row r="4590" spans="1:18" ht="15.75" customHeight="1">
      <c r="A4590" s="26"/>
      <c r="B4590" s="86"/>
      <c r="D4590" s="26"/>
      <c r="F4590" s="87" t="str">
        <f t="shared" si="0"/>
        <v/>
      </c>
      <c r="H4590" s="26" t="str">
        <f t="shared" si="1"/>
        <v/>
      </c>
      <c r="I4590" s="26" t="str">
        <f t="shared" si="2"/>
        <v/>
      </c>
      <c r="J4590" s="86">
        <f t="shared" si="3"/>
        <v>0</v>
      </c>
      <c r="R4590" s="26"/>
    </row>
    <row r="4591" spans="1:18" ht="15.75" customHeight="1">
      <c r="A4591" s="26"/>
      <c r="B4591" s="86"/>
      <c r="D4591" s="26"/>
      <c r="F4591" s="87" t="str">
        <f t="shared" si="0"/>
        <v/>
      </c>
      <c r="H4591" s="26" t="str">
        <f t="shared" si="1"/>
        <v/>
      </c>
      <c r="I4591" s="26" t="str">
        <f t="shared" si="2"/>
        <v/>
      </c>
      <c r="J4591" s="86">
        <f t="shared" si="3"/>
        <v>0</v>
      </c>
      <c r="R4591" s="26"/>
    </row>
    <row r="4592" spans="1:18" ht="15.75" customHeight="1">
      <c r="A4592" s="26"/>
      <c r="B4592" s="86"/>
      <c r="D4592" s="26"/>
      <c r="F4592" s="87" t="str">
        <f t="shared" si="0"/>
        <v/>
      </c>
      <c r="H4592" s="26" t="str">
        <f t="shared" si="1"/>
        <v/>
      </c>
      <c r="I4592" s="26" t="str">
        <f t="shared" si="2"/>
        <v/>
      </c>
      <c r="J4592" s="86">
        <f t="shared" si="3"/>
        <v>0</v>
      </c>
      <c r="R4592" s="26"/>
    </row>
    <row r="4593" spans="1:18" ht="15.75" customHeight="1">
      <c r="A4593" s="26"/>
      <c r="B4593" s="86"/>
      <c r="D4593" s="26"/>
      <c r="F4593" s="87" t="str">
        <f t="shared" si="0"/>
        <v/>
      </c>
      <c r="H4593" s="26" t="str">
        <f t="shared" si="1"/>
        <v/>
      </c>
      <c r="I4593" s="26" t="str">
        <f t="shared" si="2"/>
        <v/>
      </c>
      <c r="J4593" s="86">
        <f t="shared" si="3"/>
        <v>0</v>
      </c>
      <c r="R4593" s="26"/>
    </row>
    <row r="4594" spans="1:18" ht="15.75" customHeight="1">
      <c r="A4594" s="26"/>
      <c r="B4594" s="86"/>
      <c r="D4594" s="26"/>
      <c r="F4594" s="87" t="str">
        <f t="shared" si="0"/>
        <v/>
      </c>
      <c r="H4594" s="26" t="str">
        <f t="shared" si="1"/>
        <v/>
      </c>
      <c r="I4594" s="26" t="str">
        <f t="shared" si="2"/>
        <v/>
      </c>
      <c r="J4594" s="86">
        <f t="shared" si="3"/>
        <v>0</v>
      </c>
      <c r="R4594" s="26"/>
    </row>
    <row r="4595" spans="1:18" ht="15.75" customHeight="1">
      <c r="A4595" s="26"/>
      <c r="B4595" s="86"/>
      <c r="D4595" s="26"/>
      <c r="F4595" s="87" t="str">
        <f t="shared" si="0"/>
        <v/>
      </c>
      <c r="H4595" s="26" t="str">
        <f t="shared" si="1"/>
        <v/>
      </c>
      <c r="I4595" s="26" t="str">
        <f t="shared" si="2"/>
        <v/>
      </c>
      <c r="J4595" s="86">
        <f t="shared" si="3"/>
        <v>0</v>
      </c>
      <c r="R4595" s="26"/>
    </row>
    <row r="4596" spans="1:18" ht="15.75" customHeight="1">
      <c r="A4596" s="26"/>
      <c r="B4596" s="86"/>
      <c r="D4596" s="26"/>
      <c r="F4596" s="87" t="str">
        <f t="shared" si="0"/>
        <v/>
      </c>
      <c r="H4596" s="26" t="str">
        <f t="shared" si="1"/>
        <v/>
      </c>
      <c r="I4596" s="26" t="str">
        <f t="shared" si="2"/>
        <v/>
      </c>
      <c r="J4596" s="86">
        <f t="shared" si="3"/>
        <v>0</v>
      </c>
      <c r="R4596" s="26"/>
    </row>
    <row r="4597" spans="1:18" ht="15.75" customHeight="1">
      <c r="A4597" s="26"/>
      <c r="B4597" s="86"/>
      <c r="D4597" s="26"/>
      <c r="F4597" s="87" t="str">
        <f t="shared" si="0"/>
        <v/>
      </c>
      <c r="H4597" s="26" t="str">
        <f t="shared" si="1"/>
        <v/>
      </c>
      <c r="I4597" s="26" t="str">
        <f t="shared" si="2"/>
        <v/>
      </c>
      <c r="J4597" s="86">
        <f t="shared" si="3"/>
        <v>0</v>
      </c>
      <c r="R4597" s="26"/>
    </row>
    <row r="4598" spans="1:18" ht="15.75" customHeight="1">
      <c r="A4598" s="26"/>
      <c r="B4598" s="86"/>
      <c r="D4598" s="26"/>
      <c r="F4598" s="87" t="str">
        <f t="shared" si="0"/>
        <v/>
      </c>
      <c r="H4598" s="26" t="str">
        <f t="shared" si="1"/>
        <v/>
      </c>
      <c r="I4598" s="26" t="str">
        <f t="shared" si="2"/>
        <v/>
      </c>
      <c r="J4598" s="86">
        <f t="shared" si="3"/>
        <v>0</v>
      </c>
      <c r="R4598" s="26"/>
    </row>
    <row r="4599" spans="1:18" ht="15.75" customHeight="1">
      <c r="A4599" s="26"/>
      <c r="B4599" s="86"/>
      <c r="D4599" s="26"/>
      <c r="F4599" s="87" t="str">
        <f t="shared" si="0"/>
        <v/>
      </c>
      <c r="H4599" s="26" t="str">
        <f t="shared" si="1"/>
        <v/>
      </c>
      <c r="I4599" s="26" t="str">
        <f t="shared" si="2"/>
        <v/>
      </c>
      <c r="J4599" s="86">
        <f t="shared" si="3"/>
        <v>0</v>
      </c>
      <c r="R4599" s="26"/>
    </row>
    <row r="4600" spans="1:18" ht="15.75" customHeight="1">
      <c r="A4600" s="26"/>
      <c r="B4600" s="86"/>
      <c r="D4600" s="26"/>
      <c r="F4600" s="87" t="str">
        <f t="shared" si="0"/>
        <v/>
      </c>
      <c r="H4600" s="26" t="str">
        <f t="shared" si="1"/>
        <v/>
      </c>
      <c r="I4600" s="26" t="str">
        <f t="shared" si="2"/>
        <v/>
      </c>
      <c r="J4600" s="86">
        <f t="shared" si="3"/>
        <v>0</v>
      </c>
      <c r="R4600" s="26"/>
    </row>
    <row r="4601" spans="1:18" ht="15.75" customHeight="1">
      <c r="A4601" s="26"/>
      <c r="B4601" s="86"/>
      <c r="D4601" s="26"/>
      <c r="F4601" s="87" t="str">
        <f t="shared" si="0"/>
        <v/>
      </c>
      <c r="H4601" s="26" t="str">
        <f t="shared" si="1"/>
        <v/>
      </c>
      <c r="I4601" s="26" t="str">
        <f t="shared" si="2"/>
        <v/>
      </c>
      <c r="J4601" s="86">
        <f t="shared" si="3"/>
        <v>0</v>
      </c>
      <c r="R4601" s="26"/>
    </row>
    <row r="4602" spans="1:18" ht="15.75" customHeight="1">
      <c r="A4602" s="26"/>
      <c r="B4602" s="86"/>
      <c r="D4602" s="26"/>
      <c r="F4602" s="87" t="str">
        <f t="shared" si="0"/>
        <v/>
      </c>
      <c r="H4602" s="26" t="str">
        <f t="shared" si="1"/>
        <v/>
      </c>
      <c r="I4602" s="26" t="str">
        <f t="shared" si="2"/>
        <v/>
      </c>
      <c r="J4602" s="86">
        <f t="shared" si="3"/>
        <v>0</v>
      </c>
      <c r="R4602" s="26"/>
    </row>
    <row r="4603" spans="1:18" ht="15.75" customHeight="1">
      <c r="A4603" s="26"/>
      <c r="B4603" s="86"/>
      <c r="D4603" s="26"/>
      <c r="F4603" s="87" t="str">
        <f t="shared" si="0"/>
        <v/>
      </c>
      <c r="H4603" s="26" t="str">
        <f t="shared" si="1"/>
        <v/>
      </c>
      <c r="I4603" s="26" t="str">
        <f t="shared" si="2"/>
        <v/>
      </c>
      <c r="J4603" s="86">
        <f t="shared" si="3"/>
        <v>0</v>
      </c>
      <c r="R4603" s="26"/>
    </row>
    <row r="4604" spans="1:18" ht="15.75" customHeight="1">
      <c r="A4604" s="26"/>
      <c r="B4604" s="86"/>
      <c r="D4604" s="26"/>
      <c r="F4604" s="87" t="str">
        <f t="shared" si="0"/>
        <v/>
      </c>
      <c r="H4604" s="26" t="str">
        <f t="shared" si="1"/>
        <v/>
      </c>
      <c r="I4604" s="26" t="str">
        <f t="shared" si="2"/>
        <v/>
      </c>
      <c r="J4604" s="86">
        <f t="shared" si="3"/>
        <v>0</v>
      </c>
      <c r="R4604" s="26"/>
    </row>
    <row r="4605" spans="1:18" ht="15.75" customHeight="1">
      <c r="A4605" s="26"/>
      <c r="B4605" s="86"/>
      <c r="D4605" s="26"/>
      <c r="F4605" s="87" t="str">
        <f t="shared" si="0"/>
        <v/>
      </c>
      <c r="H4605" s="26" t="str">
        <f t="shared" si="1"/>
        <v/>
      </c>
      <c r="I4605" s="26" t="str">
        <f t="shared" si="2"/>
        <v/>
      </c>
      <c r="J4605" s="86">
        <f t="shared" si="3"/>
        <v>0</v>
      </c>
      <c r="R4605" s="26"/>
    </row>
    <row r="4606" spans="1:18" ht="15.75" customHeight="1">
      <c r="A4606" s="26"/>
      <c r="B4606" s="86"/>
      <c r="D4606" s="26"/>
      <c r="F4606" s="87" t="str">
        <f t="shared" si="0"/>
        <v/>
      </c>
      <c r="H4606" s="26" t="str">
        <f t="shared" si="1"/>
        <v/>
      </c>
      <c r="I4606" s="26" t="str">
        <f t="shared" si="2"/>
        <v/>
      </c>
      <c r="J4606" s="86">
        <f t="shared" si="3"/>
        <v>0</v>
      </c>
      <c r="R4606" s="26"/>
    </row>
    <row r="4607" spans="1:18" ht="15.75" customHeight="1">
      <c r="A4607" s="26"/>
      <c r="B4607" s="86"/>
      <c r="D4607" s="26"/>
      <c r="F4607" s="87" t="str">
        <f t="shared" si="0"/>
        <v/>
      </c>
      <c r="H4607" s="26" t="str">
        <f t="shared" si="1"/>
        <v/>
      </c>
      <c r="I4607" s="26" t="str">
        <f t="shared" si="2"/>
        <v/>
      </c>
      <c r="J4607" s="86">
        <f t="shared" si="3"/>
        <v>0</v>
      </c>
      <c r="R4607" s="26"/>
    </row>
    <row r="4608" spans="1:18" ht="15.75" customHeight="1">
      <c r="A4608" s="26"/>
      <c r="B4608" s="86"/>
      <c r="D4608" s="26"/>
      <c r="F4608" s="87" t="str">
        <f t="shared" si="0"/>
        <v/>
      </c>
      <c r="H4608" s="26" t="str">
        <f t="shared" si="1"/>
        <v/>
      </c>
      <c r="I4608" s="26" t="str">
        <f t="shared" si="2"/>
        <v/>
      </c>
      <c r="J4608" s="86">
        <f t="shared" si="3"/>
        <v>0</v>
      </c>
      <c r="R4608" s="26"/>
    </row>
    <row r="4609" spans="1:18" ht="15.75" customHeight="1">
      <c r="A4609" s="26"/>
      <c r="B4609" s="86"/>
      <c r="D4609" s="26"/>
      <c r="F4609" s="87" t="str">
        <f t="shared" si="0"/>
        <v/>
      </c>
      <c r="H4609" s="26" t="str">
        <f t="shared" si="1"/>
        <v/>
      </c>
      <c r="I4609" s="26" t="str">
        <f t="shared" si="2"/>
        <v/>
      </c>
      <c r="J4609" s="86">
        <f t="shared" si="3"/>
        <v>0</v>
      </c>
      <c r="R4609" s="26"/>
    </row>
    <row r="4610" spans="1:18" ht="15.75" customHeight="1">
      <c r="A4610" s="26"/>
      <c r="B4610" s="86"/>
      <c r="D4610" s="26"/>
      <c r="F4610" s="87" t="str">
        <f t="shared" si="0"/>
        <v/>
      </c>
      <c r="H4610" s="26" t="str">
        <f t="shared" si="1"/>
        <v/>
      </c>
      <c r="I4610" s="26" t="str">
        <f t="shared" si="2"/>
        <v/>
      </c>
      <c r="J4610" s="86">
        <f t="shared" si="3"/>
        <v>0</v>
      </c>
      <c r="R4610" s="26"/>
    </row>
    <row r="4611" spans="1:18" ht="15.75" customHeight="1">
      <c r="A4611" s="26"/>
      <c r="B4611" s="86"/>
      <c r="D4611" s="26"/>
      <c r="F4611" s="87" t="str">
        <f t="shared" si="0"/>
        <v/>
      </c>
      <c r="H4611" s="26" t="str">
        <f t="shared" si="1"/>
        <v/>
      </c>
      <c r="I4611" s="26" t="str">
        <f t="shared" si="2"/>
        <v/>
      </c>
      <c r="J4611" s="86">
        <f t="shared" si="3"/>
        <v>0</v>
      </c>
      <c r="R4611" s="26"/>
    </row>
    <row r="4612" spans="1:18" ht="15.75" customHeight="1">
      <c r="A4612" s="26"/>
      <c r="B4612" s="86"/>
      <c r="D4612" s="26"/>
      <c r="F4612" s="87" t="str">
        <f t="shared" si="0"/>
        <v/>
      </c>
      <c r="H4612" s="26" t="str">
        <f t="shared" si="1"/>
        <v/>
      </c>
      <c r="I4612" s="26" t="str">
        <f t="shared" si="2"/>
        <v/>
      </c>
      <c r="J4612" s="86">
        <f t="shared" si="3"/>
        <v>0</v>
      </c>
      <c r="R4612" s="26"/>
    </row>
    <row r="4613" spans="1:18" ht="15.75" customHeight="1">
      <c r="A4613" s="26"/>
      <c r="B4613" s="86"/>
      <c r="D4613" s="26"/>
      <c r="F4613" s="87" t="str">
        <f t="shared" si="0"/>
        <v/>
      </c>
      <c r="H4613" s="26" t="str">
        <f t="shared" si="1"/>
        <v/>
      </c>
      <c r="I4613" s="26" t="str">
        <f t="shared" si="2"/>
        <v/>
      </c>
      <c r="J4613" s="86">
        <f t="shared" si="3"/>
        <v>0</v>
      </c>
      <c r="R4613" s="26"/>
    </row>
    <row r="4614" spans="1:18" ht="15.75" customHeight="1">
      <c r="A4614" s="26"/>
      <c r="B4614" s="86"/>
      <c r="D4614" s="26"/>
      <c r="F4614" s="87" t="str">
        <f t="shared" si="0"/>
        <v/>
      </c>
      <c r="H4614" s="26" t="str">
        <f t="shared" si="1"/>
        <v/>
      </c>
      <c r="I4614" s="26" t="str">
        <f t="shared" si="2"/>
        <v/>
      </c>
      <c r="J4614" s="86">
        <f t="shared" si="3"/>
        <v>0</v>
      </c>
      <c r="R4614" s="26"/>
    </row>
    <row r="4615" spans="1:18" ht="15.75" customHeight="1">
      <c r="A4615" s="26"/>
      <c r="B4615" s="86"/>
      <c r="D4615" s="26"/>
      <c r="F4615" s="87" t="str">
        <f t="shared" si="0"/>
        <v/>
      </c>
      <c r="H4615" s="26" t="str">
        <f t="shared" si="1"/>
        <v/>
      </c>
      <c r="I4615" s="26" t="str">
        <f t="shared" si="2"/>
        <v/>
      </c>
      <c r="J4615" s="86">
        <f t="shared" si="3"/>
        <v>0</v>
      </c>
      <c r="R4615" s="26"/>
    </row>
    <row r="4616" spans="1:18" ht="15.75" customHeight="1">
      <c r="A4616" s="26"/>
      <c r="B4616" s="86"/>
      <c r="D4616" s="26"/>
      <c r="F4616" s="87" t="str">
        <f t="shared" si="0"/>
        <v/>
      </c>
      <c r="H4616" s="26" t="str">
        <f t="shared" si="1"/>
        <v/>
      </c>
      <c r="I4616" s="26" t="str">
        <f t="shared" si="2"/>
        <v/>
      </c>
      <c r="J4616" s="86">
        <f t="shared" si="3"/>
        <v>0</v>
      </c>
      <c r="R4616" s="26"/>
    </row>
    <row r="4617" spans="1:18" ht="15.75" customHeight="1">
      <c r="A4617" s="26"/>
      <c r="B4617" s="86"/>
      <c r="D4617" s="26"/>
      <c r="F4617" s="87" t="str">
        <f t="shared" si="0"/>
        <v/>
      </c>
      <c r="H4617" s="26" t="str">
        <f t="shared" si="1"/>
        <v/>
      </c>
      <c r="I4617" s="26" t="str">
        <f t="shared" si="2"/>
        <v/>
      </c>
      <c r="J4617" s="86">
        <f t="shared" si="3"/>
        <v>0</v>
      </c>
      <c r="R4617" s="26"/>
    </row>
    <row r="4618" spans="1:18" ht="15.75" customHeight="1">
      <c r="A4618" s="26"/>
      <c r="B4618" s="86"/>
      <c r="D4618" s="26"/>
      <c r="F4618" s="87" t="str">
        <f t="shared" si="0"/>
        <v/>
      </c>
      <c r="H4618" s="26" t="str">
        <f t="shared" si="1"/>
        <v/>
      </c>
      <c r="I4618" s="26" t="str">
        <f t="shared" si="2"/>
        <v/>
      </c>
      <c r="J4618" s="86">
        <f t="shared" si="3"/>
        <v>0</v>
      </c>
      <c r="R4618" s="26"/>
    </row>
    <row r="4619" spans="1:18" ht="15.75" customHeight="1">
      <c r="A4619" s="26"/>
      <c r="B4619" s="86"/>
      <c r="D4619" s="26"/>
      <c r="F4619" s="87" t="str">
        <f t="shared" si="0"/>
        <v/>
      </c>
      <c r="H4619" s="26" t="str">
        <f t="shared" si="1"/>
        <v/>
      </c>
      <c r="I4619" s="26" t="str">
        <f t="shared" si="2"/>
        <v/>
      </c>
      <c r="J4619" s="86">
        <f t="shared" si="3"/>
        <v>0</v>
      </c>
      <c r="R4619" s="26"/>
    </row>
    <row r="4620" spans="1:18" ht="15.75" customHeight="1">
      <c r="A4620" s="26"/>
      <c r="B4620" s="86"/>
      <c r="D4620" s="26"/>
      <c r="F4620" s="87" t="str">
        <f t="shared" si="0"/>
        <v/>
      </c>
      <c r="H4620" s="26" t="str">
        <f t="shared" si="1"/>
        <v/>
      </c>
      <c r="I4620" s="26" t="str">
        <f t="shared" si="2"/>
        <v/>
      </c>
      <c r="J4620" s="86">
        <f t="shared" si="3"/>
        <v>0</v>
      </c>
      <c r="R4620" s="26"/>
    </row>
    <row r="4621" spans="1:18" ht="15.75" customHeight="1">
      <c r="A4621" s="26"/>
      <c r="B4621" s="86"/>
      <c r="D4621" s="26"/>
      <c r="F4621" s="87" t="str">
        <f t="shared" si="0"/>
        <v/>
      </c>
      <c r="H4621" s="26" t="str">
        <f t="shared" si="1"/>
        <v/>
      </c>
      <c r="I4621" s="26" t="str">
        <f t="shared" si="2"/>
        <v/>
      </c>
      <c r="J4621" s="86">
        <f t="shared" si="3"/>
        <v>0</v>
      </c>
      <c r="R4621" s="26"/>
    </row>
    <row r="4622" spans="1:18" ht="15.75" customHeight="1">
      <c r="A4622" s="26"/>
      <c r="B4622" s="86"/>
      <c r="D4622" s="26"/>
      <c r="F4622" s="87" t="str">
        <f t="shared" si="0"/>
        <v/>
      </c>
      <c r="H4622" s="26" t="str">
        <f t="shared" si="1"/>
        <v/>
      </c>
      <c r="I4622" s="26" t="str">
        <f t="shared" si="2"/>
        <v/>
      </c>
      <c r="J4622" s="86">
        <f t="shared" si="3"/>
        <v>0</v>
      </c>
      <c r="R4622" s="26"/>
    </row>
    <row r="4623" spans="1:18" ht="15.75" customHeight="1">
      <c r="A4623" s="26"/>
      <c r="B4623" s="86"/>
      <c r="D4623" s="26"/>
      <c r="F4623" s="87" t="str">
        <f t="shared" si="0"/>
        <v/>
      </c>
      <c r="H4623" s="26" t="str">
        <f t="shared" si="1"/>
        <v/>
      </c>
      <c r="I4623" s="26" t="str">
        <f t="shared" si="2"/>
        <v/>
      </c>
      <c r="J4623" s="86">
        <f t="shared" si="3"/>
        <v>0</v>
      </c>
      <c r="R4623" s="26"/>
    </row>
    <row r="4624" spans="1:18" ht="15.75" customHeight="1">
      <c r="A4624" s="26"/>
      <c r="B4624" s="86"/>
      <c r="D4624" s="26"/>
      <c r="F4624" s="87" t="str">
        <f t="shared" si="0"/>
        <v/>
      </c>
      <c r="H4624" s="26" t="str">
        <f t="shared" si="1"/>
        <v/>
      </c>
      <c r="I4624" s="26" t="str">
        <f t="shared" si="2"/>
        <v/>
      </c>
      <c r="J4624" s="86">
        <f t="shared" si="3"/>
        <v>0</v>
      </c>
      <c r="R4624" s="26"/>
    </row>
    <row r="4625" spans="1:18" ht="15.75" customHeight="1">
      <c r="A4625" s="26"/>
      <c r="B4625" s="86"/>
      <c r="D4625" s="26"/>
      <c r="F4625" s="87" t="str">
        <f t="shared" si="0"/>
        <v/>
      </c>
      <c r="H4625" s="26" t="str">
        <f t="shared" si="1"/>
        <v/>
      </c>
      <c r="I4625" s="26" t="str">
        <f t="shared" si="2"/>
        <v/>
      </c>
      <c r="J4625" s="86">
        <f t="shared" si="3"/>
        <v>0</v>
      </c>
      <c r="R4625" s="26"/>
    </row>
    <row r="4626" spans="1:18" ht="15.75" customHeight="1">
      <c r="A4626" s="26"/>
      <c r="B4626" s="86"/>
      <c r="D4626" s="26"/>
      <c r="F4626" s="87" t="str">
        <f t="shared" si="0"/>
        <v/>
      </c>
      <c r="H4626" s="26" t="str">
        <f t="shared" si="1"/>
        <v/>
      </c>
      <c r="I4626" s="26" t="str">
        <f t="shared" si="2"/>
        <v/>
      </c>
      <c r="J4626" s="86">
        <f t="shared" si="3"/>
        <v>0</v>
      </c>
      <c r="R4626" s="26"/>
    </row>
    <row r="4627" spans="1:18" ht="15.75" customHeight="1">
      <c r="A4627" s="26"/>
      <c r="B4627" s="86"/>
      <c r="D4627" s="26"/>
      <c r="F4627" s="87" t="str">
        <f t="shared" si="0"/>
        <v/>
      </c>
      <c r="H4627" s="26" t="str">
        <f t="shared" si="1"/>
        <v/>
      </c>
      <c r="I4627" s="26" t="str">
        <f t="shared" si="2"/>
        <v/>
      </c>
      <c r="J4627" s="86">
        <f t="shared" si="3"/>
        <v>0</v>
      </c>
      <c r="R4627" s="26"/>
    </row>
    <row r="4628" spans="1:18" ht="15.75" customHeight="1">
      <c r="A4628" s="26"/>
      <c r="B4628" s="86"/>
      <c r="D4628" s="26"/>
      <c r="F4628" s="87" t="str">
        <f t="shared" si="0"/>
        <v/>
      </c>
      <c r="H4628" s="26" t="str">
        <f t="shared" si="1"/>
        <v/>
      </c>
      <c r="I4628" s="26" t="str">
        <f t="shared" si="2"/>
        <v/>
      </c>
      <c r="J4628" s="86">
        <f t="shared" si="3"/>
        <v>0</v>
      </c>
      <c r="R4628" s="26"/>
    </row>
    <row r="4629" spans="1:18" ht="15.75" customHeight="1">
      <c r="A4629" s="26"/>
      <c r="B4629" s="86"/>
      <c r="D4629" s="26"/>
      <c r="F4629" s="87" t="str">
        <f t="shared" si="0"/>
        <v/>
      </c>
      <c r="H4629" s="26" t="str">
        <f t="shared" si="1"/>
        <v/>
      </c>
      <c r="I4629" s="26" t="str">
        <f t="shared" si="2"/>
        <v/>
      </c>
      <c r="J4629" s="86">
        <f t="shared" si="3"/>
        <v>0</v>
      </c>
      <c r="R4629" s="26"/>
    </row>
    <row r="4630" spans="1:18" ht="15.75" customHeight="1">
      <c r="A4630" s="26"/>
      <c r="B4630" s="86"/>
      <c r="D4630" s="26"/>
      <c r="F4630" s="87" t="str">
        <f t="shared" si="0"/>
        <v/>
      </c>
      <c r="H4630" s="26" t="str">
        <f t="shared" si="1"/>
        <v/>
      </c>
      <c r="I4630" s="26" t="str">
        <f t="shared" si="2"/>
        <v/>
      </c>
      <c r="J4630" s="86">
        <f t="shared" si="3"/>
        <v>0</v>
      </c>
      <c r="R4630" s="26"/>
    </row>
    <row r="4631" spans="1:18" ht="15.75" customHeight="1">
      <c r="A4631" s="26"/>
      <c r="B4631" s="86"/>
      <c r="D4631" s="26"/>
      <c r="F4631" s="87" t="str">
        <f t="shared" si="0"/>
        <v/>
      </c>
      <c r="H4631" s="26" t="str">
        <f t="shared" si="1"/>
        <v/>
      </c>
      <c r="I4631" s="26" t="str">
        <f t="shared" si="2"/>
        <v/>
      </c>
      <c r="J4631" s="86">
        <f t="shared" si="3"/>
        <v>0</v>
      </c>
      <c r="R4631" s="26"/>
    </row>
    <row r="4632" spans="1:18" ht="15.75" customHeight="1">
      <c r="A4632" s="26"/>
      <c r="B4632" s="86"/>
      <c r="D4632" s="26"/>
      <c r="F4632" s="87" t="str">
        <f t="shared" si="0"/>
        <v/>
      </c>
      <c r="H4632" s="26" t="str">
        <f t="shared" si="1"/>
        <v/>
      </c>
      <c r="I4632" s="26" t="str">
        <f t="shared" si="2"/>
        <v/>
      </c>
      <c r="J4632" s="86">
        <f t="shared" si="3"/>
        <v>0</v>
      </c>
      <c r="R4632" s="26"/>
    </row>
    <row r="4633" spans="1:18" ht="15.75" customHeight="1">
      <c r="A4633" s="26"/>
      <c r="B4633" s="86"/>
      <c r="D4633" s="26"/>
      <c r="F4633" s="87" t="str">
        <f t="shared" si="0"/>
        <v/>
      </c>
      <c r="H4633" s="26" t="str">
        <f t="shared" si="1"/>
        <v/>
      </c>
      <c r="I4633" s="26" t="str">
        <f t="shared" si="2"/>
        <v/>
      </c>
      <c r="J4633" s="86">
        <f t="shared" si="3"/>
        <v>0</v>
      </c>
      <c r="R4633" s="26"/>
    </row>
    <row r="4634" spans="1:18" ht="15.75" customHeight="1">
      <c r="A4634" s="26"/>
      <c r="B4634" s="86"/>
      <c r="D4634" s="26"/>
      <c r="F4634" s="87" t="str">
        <f t="shared" si="0"/>
        <v/>
      </c>
      <c r="H4634" s="26" t="str">
        <f t="shared" si="1"/>
        <v/>
      </c>
      <c r="I4634" s="26" t="str">
        <f t="shared" si="2"/>
        <v/>
      </c>
      <c r="J4634" s="86">
        <f t="shared" si="3"/>
        <v>0</v>
      </c>
      <c r="R4634" s="26"/>
    </row>
    <row r="4635" spans="1:18" ht="15.75" customHeight="1">
      <c r="A4635" s="26"/>
      <c r="B4635" s="86"/>
      <c r="D4635" s="26"/>
      <c r="F4635" s="87" t="str">
        <f t="shared" si="0"/>
        <v/>
      </c>
      <c r="H4635" s="26" t="str">
        <f t="shared" si="1"/>
        <v/>
      </c>
      <c r="I4635" s="26" t="str">
        <f t="shared" si="2"/>
        <v/>
      </c>
      <c r="J4635" s="86">
        <f t="shared" si="3"/>
        <v>0</v>
      </c>
      <c r="R4635" s="26"/>
    </row>
    <row r="4636" spans="1:18" ht="15.75" customHeight="1">
      <c r="A4636" s="26"/>
      <c r="B4636" s="86"/>
      <c r="D4636" s="26"/>
      <c r="F4636" s="87" t="str">
        <f t="shared" si="0"/>
        <v/>
      </c>
      <c r="H4636" s="26" t="str">
        <f t="shared" si="1"/>
        <v/>
      </c>
      <c r="I4636" s="26" t="str">
        <f t="shared" si="2"/>
        <v/>
      </c>
      <c r="J4636" s="86">
        <f t="shared" si="3"/>
        <v>0</v>
      </c>
      <c r="R4636" s="26"/>
    </row>
    <row r="4637" spans="1:18" ht="15.75" customHeight="1">
      <c r="A4637" s="26"/>
      <c r="B4637" s="86"/>
      <c r="D4637" s="26"/>
      <c r="F4637" s="87" t="str">
        <f t="shared" si="0"/>
        <v/>
      </c>
      <c r="H4637" s="26" t="str">
        <f t="shared" si="1"/>
        <v/>
      </c>
      <c r="I4637" s="26" t="str">
        <f t="shared" si="2"/>
        <v/>
      </c>
      <c r="J4637" s="86">
        <f t="shared" si="3"/>
        <v>0</v>
      </c>
      <c r="R4637" s="26"/>
    </row>
    <row r="4638" spans="1:18" ht="15.75" customHeight="1">
      <c r="A4638" s="26"/>
      <c r="B4638" s="86"/>
      <c r="D4638" s="26"/>
      <c r="F4638" s="87" t="str">
        <f t="shared" si="0"/>
        <v/>
      </c>
      <c r="H4638" s="26" t="str">
        <f t="shared" si="1"/>
        <v/>
      </c>
      <c r="I4638" s="26" t="str">
        <f t="shared" si="2"/>
        <v/>
      </c>
      <c r="J4638" s="86">
        <f t="shared" si="3"/>
        <v>0</v>
      </c>
      <c r="R4638" s="26"/>
    </row>
    <row r="4639" spans="1:18" ht="15.75" customHeight="1">
      <c r="A4639" s="26"/>
      <c r="B4639" s="86"/>
      <c r="D4639" s="26"/>
      <c r="F4639" s="87" t="str">
        <f t="shared" si="0"/>
        <v/>
      </c>
      <c r="H4639" s="26" t="str">
        <f t="shared" si="1"/>
        <v/>
      </c>
      <c r="I4639" s="26" t="str">
        <f t="shared" si="2"/>
        <v/>
      </c>
      <c r="J4639" s="86">
        <f t="shared" si="3"/>
        <v>0</v>
      </c>
      <c r="R4639" s="26"/>
    </row>
    <row r="4640" spans="1:18" ht="15.75" customHeight="1">
      <c r="A4640" s="26"/>
      <c r="B4640" s="86"/>
      <c r="D4640" s="26"/>
      <c r="F4640" s="87" t="str">
        <f t="shared" si="0"/>
        <v/>
      </c>
      <c r="H4640" s="26" t="str">
        <f t="shared" si="1"/>
        <v/>
      </c>
      <c r="I4640" s="26" t="str">
        <f t="shared" si="2"/>
        <v/>
      </c>
      <c r="J4640" s="86">
        <f t="shared" si="3"/>
        <v>0</v>
      </c>
      <c r="R4640" s="26"/>
    </row>
    <row r="4641" spans="1:18" ht="15.75" customHeight="1">
      <c r="A4641" s="26"/>
      <c r="B4641" s="86"/>
      <c r="D4641" s="26"/>
      <c r="F4641" s="87" t="str">
        <f t="shared" si="0"/>
        <v/>
      </c>
      <c r="H4641" s="26" t="str">
        <f t="shared" si="1"/>
        <v/>
      </c>
      <c r="I4641" s="26" t="str">
        <f t="shared" si="2"/>
        <v/>
      </c>
      <c r="J4641" s="86">
        <f t="shared" si="3"/>
        <v>0</v>
      </c>
      <c r="R4641" s="26"/>
    </row>
    <row r="4642" spans="1:18" ht="15.75" customHeight="1">
      <c r="A4642" s="26"/>
      <c r="B4642" s="86"/>
      <c r="D4642" s="26"/>
      <c r="F4642" s="87" t="str">
        <f t="shared" si="0"/>
        <v/>
      </c>
      <c r="H4642" s="26" t="str">
        <f t="shared" si="1"/>
        <v/>
      </c>
      <c r="I4642" s="26" t="str">
        <f t="shared" si="2"/>
        <v/>
      </c>
      <c r="J4642" s="86">
        <f t="shared" si="3"/>
        <v>0</v>
      </c>
      <c r="R4642" s="26"/>
    </row>
    <row r="4643" spans="1:18" ht="15.75" customHeight="1">
      <c r="A4643" s="26"/>
      <c r="B4643" s="86"/>
      <c r="D4643" s="26"/>
      <c r="F4643" s="87" t="str">
        <f t="shared" si="0"/>
        <v/>
      </c>
      <c r="H4643" s="26" t="str">
        <f t="shared" si="1"/>
        <v/>
      </c>
      <c r="I4643" s="26" t="str">
        <f t="shared" si="2"/>
        <v/>
      </c>
      <c r="J4643" s="86">
        <f t="shared" si="3"/>
        <v>0</v>
      </c>
      <c r="R4643" s="26"/>
    </row>
    <row r="4644" spans="1:18" ht="15.75" customHeight="1">
      <c r="A4644" s="26"/>
      <c r="B4644" s="86"/>
      <c r="D4644" s="26"/>
      <c r="F4644" s="87" t="str">
        <f t="shared" si="0"/>
        <v/>
      </c>
      <c r="H4644" s="26" t="str">
        <f t="shared" si="1"/>
        <v/>
      </c>
      <c r="I4644" s="26" t="str">
        <f t="shared" si="2"/>
        <v/>
      </c>
      <c r="J4644" s="86">
        <f t="shared" si="3"/>
        <v>0</v>
      </c>
      <c r="R4644" s="26"/>
    </row>
    <row r="4645" spans="1:18" ht="15.75" customHeight="1">
      <c r="A4645" s="26"/>
      <c r="B4645" s="86"/>
      <c r="D4645" s="26"/>
      <c r="F4645" s="87" t="str">
        <f t="shared" si="0"/>
        <v/>
      </c>
      <c r="H4645" s="26" t="str">
        <f t="shared" si="1"/>
        <v/>
      </c>
      <c r="I4645" s="26" t="str">
        <f t="shared" si="2"/>
        <v/>
      </c>
      <c r="J4645" s="86">
        <f t="shared" si="3"/>
        <v>0</v>
      </c>
      <c r="R4645" s="26"/>
    </row>
    <row r="4646" spans="1:18" ht="15.75" customHeight="1">
      <c r="A4646" s="26"/>
      <c r="B4646" s="86"/>
      <c r="D4646" s="26"/>
      <c r="F4646" s="87" t="str">
        <f t="shared" si="0"/>
        <v/>
      </c>
      <c r="H4646" s="26" t="str">
        <f t="shared" si="1"/>
        <v/>
      </c>
      <c r="I4646" s="26" t="str">
        <f t="shared" si="2"/>
        <v/>
      </c>
      <c r="J4646" s="86">
        <f t="shared" si="3"/>
        <v>0</v>
      </c>
      <c r="R4646" s="26"/>
    </row>
    <row r="4647" spans="1:18" ht="15.75" customHeight="1">
      <c r="A4647" s="26"/>
      <c r="B4647" s="86"/>
      <c r="D4647" s="26"/>
      <c r="F4647" s="87" t="str">
        <f t="shared" si="0"/>
        <v/>
      </c>
      <c r="H4647" s="26" t="str">
        <f t="shared" si="1"/>
        <v/>
      </c>
      <c r="I4647" s="26" t="str">
        <f t="shared" si="2"/>
        <v/>
      </c>
      <c r="J4647" s="86">
        <f t="shared" si="3"/>
        <v>0</v>
      </c>
      <c r="R4647" s="26"/>
    </row>
    <row r="4648" spans="1:18" ht="15.75" customHeight="1">
      <c r="A4648" s="26"/>
      <c r="B4648" s="86"/>
      <c r="D4648" s="26"/>
      <c r="F4648" s="87" t="str">
        <f t="shared" si="0"/>
        <v/>
      </c>
      <c r="H4648" s="26" t="str">
        <f t="shared" si="1"/>
        <v/>
      </c>
      <c r="I4648" s="26" t="str">
        <f t="shared" si="2"/>
        <v/>
      </c>
      <c r="J4648" s="86">
        <f t="shared" si="3"/>
        <v>0</v>
      </c>
      <c r="R4648" s="26"/>
    </row>
    <row r="4649" spans="1:18" ht="15.75" customHeight="1">
      <c r="A4649" s="26"/>
      <c r="B4649" s="86"/>
      <c r="D4649" s="26"/>
      <c r="F4649" s="87" t="str">
        <f t="shared" si="0"/>
        <v/>
      </c>
      <c r="H4649" s="26" t="str">
        <f t="shared" si="1"/>
        <v/>
      </c>
      <c r="I4649" s="26" t="str">
        <f t="shared" si="2"/>
        <v/>
      </c>
      <c r="J4649" s="86">
        <f t="shared" si="3"/>
        <v>0</v>
      </c>
      <c r="R4649" s="26"/>
    </row>
    <row r="4650" spans="1:18" ht="15.75" customHeight="1">
      <c r="A4650" s="26"/>
      <c r="B4650" s="86"/>
      <c r="D4650" s="26"/>
      <c r="F4650" s="87" t="str">
        <f t="shared" si="0"/>
        <v/>
      </c>
      <c r="H4650" s="26" t="str">
        <f t="shared" si="1"/>
        <v/>
      </c>
      <c r="I4650" s="26" t="str">
        <f t="shared" si="2"/>
        <v/>
      </c>
      <c r="J4650" s="86">
        <f t="shared" si="3"/>
        <v>0</v>
      </c>
      <c r="R4650" s="26"/>
    </row>
    <row r="4651" spans="1:18" ht="15.75" customHeight="1">
      <c r="A4651" s="26"/>
      <c r="B4651" s="86"/>
      <c r="D4651" s="26"/>
      <c r="F4651" s="87" t="str">
        <f t="shared" si="0"/>
        <v/>
      </c>
      <c r="H4651" s="26" t="str">
        <f t="shared" si="1"/>
        <v/>
      </c>
      <c r="I4651" s="26" t="str">
        <f t="shared" si="2"/>
        <v/>
      </c>
      <c r="J4651" s="86">
        <f t="shared" si="3"/>
        <v>0</v>
      </c>
      <c r="R4651" s="26"/>
    </row>
    <row r="4652" spans="1:18" ht="15.75" customHeight="1">
      <c r="A4652" s="26"/>
      <c r="B4652" s="86"/>
      <c r="D4652" s="26"/>
      <c r="F4652" s="87" t="str">
        <f t="shared" si="0"/>
        <v/>
      </c>
      <c r="H4652" s="26" t="str">
        <f t="shared" si="1"/>
        <v/>
      </c>
      <c r="I4652" s="26" t="str">
        <f t="shared" si="2"/>
        <v/>
      </c>
      <c r="J4652" s="86">
        <f t="shared" si="3"/>
        <v>0</v>
      </c>
      <c r="R4652" s="26"/>
    </row>
    <row r="4653" spans="1:18" ht="15.75" customHeight="1">
      <c r="A4653" s="26"/>
      <c r="B4653" s="86"/>
      <c r="D4653" s="26"/>
      <c r="F4653" s="87" t="str">
        <f t="shared" si="0"/>
        <v/>
      </c>
      <c r="H4653" s="26" t="str">
        <f t="shared" si="1"/>
        <v/>
      </c>
      <c r="I4653" s="26" t="str">
        <f t="shared" si="2"/>
        <v/>
      </c>
      <c r="J4653" s="86">
        <f t="shared" si="3"/>
        <v>0</v>
      </c>
      <c r="R4653" s="26"/>
    </row>
    <row r="4654" spans="1:18" ht="15.75" customHeight="1">
      <c r="A4654" s="26"/>
      <c r="B4654" s="86"/>
      <c r="D4654" s="26"/>
      <c r="F4654" s="87" t="str">
        <f t="shared" si="0"/>
        <v/>
      </c>
      <c r="H4654" s="26" t="str">
        <f t="shared" si="1"/>
        <v/>
      </c>
      <c r="I4654" s="26" t="str">
        <f t="shared" si="2"/>
        <v/>
      </c>
      <c r="J4654" s="86">
        <f t="shared" si="3"/>
        <v>0</v>
      </c>
      <c r="R4654" s="26"/>
    </row>
    <row r="4655" spans="1:18" ht="15.75" customHeight="1">
      <c r="A4655" s="26"/>
      <c r="B4655" s="86"/>
      <c r="D4655" s="26"/>
      <c r="F4655" s="87" t="str">
        <f t="shared" si="0"/>
        <v/>
      </c>
      <c r="H4655" s="26" t="str">
        <f t="shared" si="1"/>
        <v/>
      </c>
      <c r="I4655" s="26" t="str">
        <f t="shared" si="2"/>
        <v/>
      </c>
      <c r="J4655" s="86">
        <f t="shared" si="3"/>
        <v>0</v>
      </c>
      <c r="R4655" s="26"/>
    </row>
    <row r="4656" spans="1:18" ht="15.75" customHeight="1">
      <c r="A4656" s="26"/>
      <c r="B4656" s="86"/>
      <c r="D4656" s="26"/>
      <c r="F4656" s="87" t="str">
        <f t="shared" si="0"/>
        <v/>
      </c>
      <c r="H4656" s="26" t="str">
        <f t="shared" si="1"/>
        <v/>
      </c>
      <c r="I4656" s="26" t="str">
        <f t="shared" si="2"/>
        <v/>
      </c>
      <c r="J4656" s="86">
        <f t="shared" si="3"/>
        <v>0</v>
      </c>
      <c r="R4656" s="26"/>
    </row>
    <row r="4657" spans="1:18" ht="15.75" customHeight="1">
      <c r="A4657" s="26"/>
      <c r="B4657" s="86"/>
      <c r="D4657" s="26"/>
      <c r="F4657" s="87" t="str">
        <f t="shared" si="0"/>
        <v/>
      </c>
      <c r="H4657" s="26" t="str">
        <f t="shared" si="1"/>
        <v/>
      </c>
      <c r="I4657" s="26" t="str">
        <f t="shared" si="2"/>
        <v/>
      </c>
      <c r="J4657" s="86">
        <f t="shared" si="3"/>
        <v>0</v>
      </c>
      <c r="R4657" s="26"/>
    </row>
    <row r="4658" spans="1:18" ht="15.75" customHeight="1">
      <c r="A4658" s="26"/>
      <c r="B4658" s="86"/>
      <c r="D4658" s="26"/>
      <c r="F4658" s="87" t="str">
        <f t="shared" si="0"/>
        <v/>
      </c>
      <c r="H4658" s="26" t="str">
        <f t="shared" si="1"/>
        <v/>
      </c>
      <c r="I4658" s="26" t="str">
        <f t="shared" si="2"/>
        <v/>
      </c>
      <c r="J4658" s="86">
        <f t="shared" si="3"/>
        <v>0</v>
      </c>
      <c r="R4658" s="26"/>
    </row>
    <row r="4659" spans="1:18" ht="15.75" customHeight="1">
      <c r="A4659" s="26"/>
      <c r="B4659" s="86"/>
      <c r="D4659" s="26"/>
      <c r="F4659" s="87" t="str">
        <f t="shared" si="0"/>
        <v/>
      </c>
      <c r="H4659" s="26" t="str">
        <f t="shared" si="1"/>
        <v/>
      </c>
      <c r="I4659" s="26" t="str">
        <f t="shared" si="2"/>
        <v/>
      </c>
      <c r="J4659" s="86">
        <f t="shared" si="3"/>
        <v>0</v>
      </c>
      <c r="R4659" s="26"/>
    </row>
    <row r="4660" spans="1:18" ht="15.75" customHeight="1">
      <c r="A4660" s="26"/>
      <c r="B4660" s="86"/>
      <c r="D4660" s="26"/>
      <c r="F4660" s="87" t="str">
        <f t="shared" si="0"/>
        <v/>
      </c>
      <c r="H4660" s="26" t="str">
        <f t="shared" si="1"/>
        <v/>
      </c>
      <c r="I4660" s="26" t="str">
        <f t="shared" si="2"/>
        <v/>
      </c>
      <c r="J4660" s="86">
        <f t="shared" si="3"/>
        <v>0</v>
      </c>
      <c r="R4660" s="26"/>
    </row>
    <row r="4661" spans="1:18" ht="15.75" customHeight="1">
      <c r="A4661" s="26"/>
      <c r="B4661" s="86"/>
      <c r="D4661" s="26"/>
      <c r="F4661" s="87" t="str">
        <f t="shared" si="0"/>
        <v/>
      </c>
      <c r="H4661" s="26" t="str">
        <f t="shared" si="1"/>
        <v/>
      </c>
      <c r="I4661" s="26" t="str">
        <f t="shared" si="2"/>
        <v/>
      </c>
      <c r="J4661" s="86">
        <f t="shared" si="3"/>
        <v>0</v>
      </c>
      <c r="R4661" s="26"/>
    </row>
    <row r="4662" spans="1:18" ht="15.75" customHeight="1">
      <c r="A4662" s="26"/>
      <c r="B4662" s="86"/>
      <c r="D4662" s="26"/>
      <c r="F4662" s="87" t="str">
        <f t="shared" si="0"/>
        <v/>
      </c>
      <c r="H4662" s="26" t="str">
        <f t="shared" si="1"/>
        <v/>
      </c>
      <c r="I4662" s="26" t="str">
        <f t="shared" si="2"/>
        <v/>
      </c>
      <c r="J4662" s="86">
        <f t="shared" si="3"/>
        <v>0</v>
      </c>
      <c r="R4662" s="26"/>
    </row>
    <row r="4663" spans="1:18" ht="15.75" customHeight="1">
      <c r="A4663" s="26"/>
      <c r="B4663" s="86"/>
      <c r="D4663" s="26"/>
      <c r="F4663" s="87" t="str">
        <f t="shared" si="0"/>
        <v/>
      </c>
      <c r="H4663" s="26" t="str">
        <f t="shared" si="1"/>
        <v/>
      </c>
      <c r="I4663" s="26" t="str">
        <f t="shared" si="2"/>
        <v/>
      </c>
      <c r="J4663" s="86">
        <f t="shared" si="3"/>
        <v>0</v>
      </c>
      <c r="R4663" s="26"/>
    </row>
    <row r="4664" spans="1:18" ht="15.75" customHeight="1">
      <c r="A4664" s="26"/>
      <c r="B4664" s="86"/>
      <c r="D4664" s="26"/>
      <c r="F4664" s="87" t="str">
        <f t="shared" si="0"/>
        <v/>
      </c>
      <c r="H4664" s="26" t="str">
        <f t="shared" si="1"/>
        <v/>
      </c>
      <c r="I4664" s="26" t="str">
        <f t="shared" si="2"/>
        <v/>
      </c>
      <c r="J4664" s="86">
        <f t="shared" si="3"/>
        <v>0</v>
      </c>
      <c r="R4664" s="26"/>
    </row>
    <row r="4665" spans="1:18" ht="15.75" customHeight="1">
      <c r="A4665" s="26"/>
      <c r="B4665" s="86"/>
      <c r="D4665" s="26"/>
      <c r="F4665" s="87" t="str">
        <f t="shared" si="0"/>
        <v/>
      </c>
      <c r="H4665" s="26" t="str">
        <f t="shared" si="1"/>
        <v/>
      </c>
      <c r="I4665" s="26" t="str">
        <f t="shared" si="2"/>
        <v/>
      </c>
      <c r="J4665" s="86">
        <f t="shared" si="3"/>
        <v>0</v>
      </c>
      <c r="R4665" s="26"/>
    </row>
    <row r="4666" spans="1:18" ht="15.75" customHeight="1">
      <c r="A4666" s="26"/>
      <c r="B4666" s="86"/>
      <c r="D4666" s="26"/>
      <c r="F4666" s="87" t="str">
        <f t="shared" si="0"/>
        <v/>
      </c>
      <c r="H4666" s="26" t="str">
        <f t="shared" si="1"/>
        <v/>
      </c>
      <c r="I4666" s="26" t="str">
        <f t="shared" si="2"/>
        <v/>
      </c>
      <c r="J4666" s="86">
        <f t="shared" si="3"/>
        <v>0</v>
      </c>
      <c r="R4666" s="26"/>
    </row>
    <row r="4667" spans="1:18" ht="15.75" customHeight="1">
      <c r="A4667" s="26"/>
      <c r="B4667" s="86"/>
      <c r="D4667" s="26"/>
      <c r="F4667" s="87" t="str">
        <f t="shared" si="0"/>
        <v/>
      </c>
      <c r="H4667" s="26" t="str">
        <f t="shared" si="1"/>
        <v/>
      </c>
      <c r="I4667" s="26" t="str">
        <f t="shared" si="2"/>
        <v/>
      </c>
      <c r="J4667" s="86">
        <f t="shared" si="3"/>
        <v>0</v>
      </c>
      <c r="R4667" s="26"/>
    </row>
    <row r="4668" spans="1:18" ht="15.75" customHeight="1">
      <c r="A4668" s="26"/>
      <c r="B4668" s="86"/>
      <c r="D4668" s="26"/>
      <c r="F4668" s="87" t="str">
        <f t="shared" si="0"/>
        <v/>
      </c>
      <c r="H4668" s="26" t="str">
        <f t="shared" si="1"/>
        <v/>
      </c>
      <c r="I4668" s="26" t="str">
        <f t="shared" si="2"/>
        <v/>
      </c>
      <c r="J4668" s="86">
        <f t="shared" si="3"/>
        <v>0</v>
      </c>
      <c r="R4668" s="26"/>
    </row>
    <row r="4669" spans="1:18" ht="15.75" customHeight="1">
      <c r="A4669" s="26"/>
      <c r="B4669" s="86"/>
      <c r="D4669" s="26"/>
      <c r="F4669" s="87" t="str">
        <f t="shared" si="0"/>
        <v/>
      </c>
      <c r="H4669" s="26" t="str">
        <f t="shared" si="1"/>
        <v/>
      </c>
      <c r="I4669" s="26" t="str">
        <f t="shared" si="2"/>
        <v/>
      </c>
      <c r="J4669" s="86">
        <f t="shared" si="3"/>
        <v>0</v>
      </c>
      <c r="R4669" s="26"/>
    </row>
    <row r="4670" spans="1:18" ht="15.75" customHeight="1">
      <c r="A4670" s="26"/>
      <c r="B4670" s="86"/>
      <c r="D4670" s="26"/>
      <c r="F4670" s="87" t="str">
        <f t="shared" si="0"/>
        <v/>
      </c>
      <c r="H4670" s="26" t="str">
        <f t="shared" si="1"/>
        <v/>
      </c>
      <c r="I4670" s="26" t="str">
        <f t="shared" si="2"/>
        <v/>
      </c>
      <c r="J4670" s="86">
        <f t="shared" si="3"/>
        <v>0</v>
      </c>
      <c r="R4670" s="26"/>
    </row>
    <row r="4671" spans="1:18" ht="15.75" customHeight="1">
      <c r="A4671" s="26"/>
      <c r="B4671" s="86"/>
      <c r="D4671" s="26"/>
      <c r="F4671" s="87" t="str">
        <f t="shared" si="0"/>
        <v/>
      </c>
      <c r="H4671" s="26" t="str">
        <f t="shared" si="1"/>
        <v/>
      </c>
      <c r="I4671" s="26" t="str">
        <f t="shared" si="2"/>
        <v/>
      </c>
      <c r="J4671" s="86">
        <f t="shared" si="3"/>
        <v>0</v>
      </c>
      <c r="R4671" s="26"/>
    </row>
    <row r="4672" spans="1:18" ht="15.75" customHeight="1">
      <c r="A4672" s="26"/>
      <c r="B4672" s="86"/>
      <c r="D4672" s="26"/>
      <c r="F4672" s="87" t="str">
        <f t="shared" si="0"/>
        <v/>
      </c>
      <c r="H4672" s="26" t="str">
        <f t="shared" si="1"/>
        <v/>
      </c>
      <c r="I4672" s="26" t="str">
        <f t="shared" si="2"/>
        <v/>
      </c>
      <c r="J4672" s="86">
        <f t="shared" si="3"/>
        <v>0</v>
      </c>
      <c r="R4672" s="26"/>
    </row>
    <row r="4673" spans="1:18" ht="15.75" customHeight="1">
      <c r="A4673" s="26"/>
      <c r="B4673" s="86"/>
      <c r="D4673" s="26"/>
      <c r="F4673" s="87" t="str">
        <f t="shared" si="0"/>
        <v/>
      </c>
      <c r="H4673" s="26" t="str">
        <f t="shared" si="1"/>
        <v/>
      </c>
      <c r="I4673" s="26" t="str">
        <f t="shared" si="2"/>
        <v/>
      </c>
      <c r="J4673" s="86">
        <f t="shared" si="3"/>
        <v>0</v>
      </c>
      <c r="R4673" s="26"/>
    </row>
    <row r="4674" spans="1:18" ht="15.75" customHeight="1">
      <c r="A4674" s="26"/>
      <c r="B4674" s="86"/>
      <c r="D4674" s="26"/>
      <c r="F4674" s="87" t="str">
        <f t="shared" si="0"/>
        <v/>
      </c>
      <c r="H4674" s="26" t="str">
        <f t="shared" si="1"/>
        <v/>
      </c>
      <c r="I4674" s="26" t="str">
        <f t="shared" si="2"/>
        <v/>
      </c>
      <c r="J4674" s="86">
        <f t="shared" si="3"/>
        <v>0</v>
      </c>
      <c r="R4674" s="26"/>
    </row>
    <row r="4675" spans="1:18" ht="15.75" customHeight="1">
      <c r="A4675" s="26"/>
      <c r="B4675" s="86"/>
      <c r="D4675" s="26"/>
      <c r="F4675" s="87" t="str">
        <f t="shared" si="0"/>
        <v/>
      </c>
      <c r="H4675" s="26" t="str">
        <f t="shared" si="1"/>
        <v/>
      </c>
      <c r="I4675" s="26" t="str">
        <f t="shared" si="2"/>
        <v/>
      </c>
      <c r="J4675" s="86">
        <f t="shared" si="3"/>
        <v>0</v>
      </c>
      <c r="R4675" s="26"/>
    </row>
    <row r="4676" spans="1:18" ht="15.75" customHeight="1">
      <c r="A4676" s="26"/>
      <c r="B4676" s="86"/>
      <c r="D4676" s="26"/>
      <c r="F4676" s="87" t="str">
        <f t="shared" si="0"/>
        <v/>
      </c>
      <c r="H4676" s="26" t="str">
        <f t="shared" si="1"/>
        <v/>
      </c>
      <c r="I4676" s="26" t="str">
        <f t="shared" si="2"/>
        <v/>
      </c>
      <c r="J4676" s="86">
        <f t="shared" si="3"/>
        <v>0</v>
      </c>
      <c r="R4676" s="26"/>
    </row>
    <row r="4677" spans="1:18" ht="15.75" customHeight="1">
      <c r="A4677" s="26"/>
      <c r="B4677" s="86"/>
      <c r="D4677" s="26"/>
      <c r="F4677" s="87" t="str">
        <f t="shared" si="0"/>
        <v/>
      </c>
      <c r="H4677" s="26" t="str">
        <f t="shared" si="1"/>
        <v/>
      </c>
      <c r="I4677" s="26" t="str">
        <f t="shared" si="2"/>
        <v/>
      </c>
      <c r="J4677" s="86">
        <f t="shared" si="3"/>
        <v>0</v>
      </c>
      <c r="R4677" s="26"/>
    </row>
    <row r="4678" spans="1:18" ht="15.75" customHeight="1">
      <c r="A4678" s="26"/>
      <c r="B4678" s="86"/>
      <c r="D4678" s="26"/>
      <c r="F4678" s="87" t="str">
        <f t="shared" si="0"/>
        <v/>
      </c>
      <c r="H4678" s="26" t="str">
        <f t="shared" si="1"/>
        <v/>
      </c>
      <c r="I4678" s="26" t="str">
        <f t="shared" si="2"/>
        <v/>
      </c>
      <c r="J4678" s="86">
        <f t="shared" si="3"/>
        <v>0</v>
      </c>
      <c r="R4678" s="26"/>
    </row>
    <row r="4679" spans="1:18" ht="15.75" customHeight="1">
      <c r="A4679" s="26"/>
      <c r="B4679" s="86"/>
      <c r="D4679" s="26"/>
      <c r="F4679" s="87" t="str">
        <f t="shared" si="0"/>
        <v/>
      </c>
      <c r="H4679" s="26" t="str">
        <f t="shared" si="1"/>
        <v/>
      </c>
      <c r="I4679" s="26" t="str">
        <f t="shared" si="2"/>
        <v/>
      </c>
      <c r="J4679" s="86">
        <f t="shared" si="3"/>
        <v>0</v>
      </c>
      <c r="R4679" s="26"/>
    </row>
    <row r="4680" spans="1:18" ht="15.75" customHeight="1">
      <c r="A4680" s="26"/>
      <c r="B4680" s="86"/>
      <c r="D4680" s="26"/>
      <c r="F4680" s="87" t="str">
        <f t="shared" si="0"/>
        <v/>
      </c>
      <c r="H4680" s="26" t="str">
        <f t="shared" si="1"/>
        <v/>
      </c>
      <c r="I4680" s="26" t="str">
        <f t="shared" si="2"/>
        <v/>
      </c>
      <c r="J4680" s="86">
        <f t="shared" si="3"/>
        <v>0</v>
      </c>
      <c r="R4680" s="26"/>
    </row>
    <row r="4681" spans="1:18" ht="15.75" customHeight="1">
      <c r="A4681" s="26"/>
      <c r="B4681" s="86"/>
      <c r="D4681" s="26"/>
      <c r="F4681" s="87" t="str">
        <f t="shared" si="0"/>
        <v/>
      </c>
      <c r="H4681" s="26" t="str">
        <f t="shared" si="1"/>
        <v/>
      </c>
      <c r="I4681" s="26" t="str">
        <f t="shared" si="2"/>
        <v/>
      </c>
      <c r="J4681" s="86">
        <f t="shared" si="3"/>
        <v>0</v>
      </c>
      <c r="R4681" s="26"/>
    </row>
    <row r="4682" spans="1:18" ht="15.75" customHeight="1">
      <c r="A4682" s="26"/>
      <c r="B4682" s="86"/>
      <c r="D4682" s="26"/>
      <c r="F4682" s="87" t="str">
        <f t="shared" si="0"/>
        <v/>
      </c>
      <c r="H4682" s="26" t="str">
        <f t="shared" si="1"/>
        <v/>
      </c>
      <c r="I4682" s="26" t="str">
        <f t="shared" si="2"/>
        <v/>
      </c>
      <c r="J4682" s="86">
        <f t="shared" si="3"/>
        <v>0</v>
      </c>
      <c r="R4682" s="26"/>
    </row>
    <row r="4683" spans="1:18" ht="15.75" customHeight="1">
      <c r="A4683" s="26"/>
      <c r="B4683" s="86"/>
      <c r="D4683" s="26"/>
      <c r="F4683" s="87" t="str">
        <f t="shared" si="0"/>
        <v/>
      </c>
      <c r="H4683" s="26" t="str">
        <f t="shared" si="1"/>
        <v/>
      </c>
      <c r="I4683" s="26" t="str">
        <f t="shared" si="2"/>
        <v/>
      </c>
      <c r="J4683" s="86">
        <f t="shared" si="3"/>
        <v>0</v>
      </c>
      <c r="R4683" s="26"/>
    </row>
    <row r="4684" spans="1:18" ht="15.75" customHeight="1">
      <c r="A4684" s="26"/>
      <c r="B4684" s="86"/>
      <c r="D4684" s="26"/>
      <c r="F4684" s="87" t="str">
        <f t="shared" si="0"/>
        <v/>
      </c>
      <c r="H4684" s="26" t="str">
        <f t="shared" si="1"/>
        <v/>
      </c>
      <c r="I4684" s="26" t="str">
        <f t="shared" si="2"/>
        <v/>
      </c>
      <c r="J4684" s="86">
        <f t="shared" si="3"/>
        <v>0</v>
      </c>
      <c r="R4684" s="26"/>
    </row>
    <row r="4685" spans="1:18" ht="15.75" customHeight="1">
      <c r="A4685" s="26"/>
      <c r="B4685" s="86"/>
      <c r="D4685" s="26"/>
      <c r="F4685" s="87" t="str">
        <f t="shared" si="0"/>
        <v/>
      </c>
      <c r="H4685" s="26" t="str">
        <f t="shared" si="1"/>
        <v/>
      </c>
      <c r="I4685" s="26" t="str">
        <f t="shared" si="2"/>
        <v/>
      </c>
      <c r="J4685" s="86">
        <f t="shared" si="3"/>
        <v>0</v>
      </c>
      <c r="R4685" s="26"/>
    </row>
    <row r="4686" spans="1:18" ht="15.75" customHeight="1">
      <c r="A4686" s="26"/>
      <c r="B4686" s="86"/>
      <c r="D4686" s="26"/>
      <c r="F4686" s="87" t="str">
        <f t="shared" si="0"/>
        <v/>
      </c>
      <c r="H4686" s="26" t="str">
        <f t="shared" si="1"/>
        <v/>
      </c>
      <c r="I4686" s="26" t="str">
        <f t="shared" si="2"/>
        <v/>
      </c>
      <c r="J4686" s="86">
        <f t="shared" si="3"/>
        <v>0</v>
      </c>
      <c r="R4686" s="26"/>
    </row>
    <row r="4687" spans="1:18" ht="15.75" customHeight="1">
      <c r="A4687" s="26"/>
      <c r="B4687" s="86"/>
      <c r="D4687" s="26"/>
      <c r="F4687" s="87" t="str">
        <f t="shared" si="0"/>
        <v/>
      </c>
      <c r="H4687" s="26" t="str">
        <f t="shared" si="1"/>
        <v/>
      </c>
      <c r="I4687" s="26" t="str">
        <f t="shared" si="2"/>
        <v/>
      </c>
      <c r="J4687" s="86">
        <f t="shared" si="3"/>
        <v>0</v>
      </c>
      <c r="R4687" s="26"/>
    </row>
    <row r="4688" spans="1:18" ht="15.75" customHeight="1">
      <c r="A4688" s="26"/>
      <c r="B4688" s="86"/>
      <c r="D4688" s="26"/>
      <c r="F4688" s="87" t="str">
        <f t="shared" si="0"/>
        <v/>
      </c>
      <c r="H4688" s="26" t="str">
        <f t="shared" si="1"/>
        <v/>
      </c>
      <c r="I4688" s="26" t="str">
        <f t="shared" si="2"/>
        <v/>
      </c>
      <c r="J4688" s="86">
        <f t="shared" si="3"/>
        <v>0</v>
      </c>
      <c r="R4688" s="26"/>
    </row>
    <row r="4689" spans="1:18" ht="15.75" customHeight="1">
      <c r="A4689" s="26"/>
      <c r="B4689" s="86"/>
      <c r="D4689" s="26"/>
      <c r="F4689" s="87" t="str">
        <f t="shared" si="0"/>
        <v/>
      </c>
      <c r="H4689" s="26" t="str">
        <f t="shared" si="1"/>
        <v/>
      </c>
      <c r="I4689" s="26" t="str">
        <f t="shared" si="2"/>
        <v/>
      </c>
      <c r="J4689" s="86">
        <f t="shared" si="3"/>
        <v>0</v>
      </c>
      <c r="R4689" s="26"/>
    </row>
    <row r="4690" spans="1:18" ht="15.75" customHeight="1">
      <c r="A4690" s="26"/>
      <c r="B4690" s="86"/>
      <c r="D4690" s="26"/>
      <c r="F4690" s="87" t="str">
        <f t="shared" si="0"/>
        <v/>
      </c>
      <c r="H4690" s="26" t="str">
        <f t="shared" si="1"/>
        <v/>
      </c>
      <c r="I4690" s="26" t="str">
        <f t="shared" si="2"/>
        <v/>
      </c>
      <c r="J4690" s="86">
        <f t="shared" si="3"/>
        <v>0</v>
      </c>
      <c r="R4690" s="26"/>
    </row>
    <row r="4691" spans="1:18" ht="15.75" customHeight="1">
      <c r="A4691" s="26"/>
      <c r="B4691" s="86"/>
      <c r="D4691" s="26"/>
      <c r="F4691" s="87" t="str">
        <f t="shared" si="0"/>
        <v/>
      </c>
      <c r="H4691" s="26" t="str">
        <f t="shared" si="1"/>
        <v/>
      </c>
      <c r="I4691" s="26" t="str">
        <f t="shared" si="2"/>
        <v/>
      </c>
      <c r="J4691" s="86">
        <f t="shared" si="3"/>
        <v>0</v>
      </c>
      <c r="R4691" s="26"/>
    </row>
    <row r="4692" spans="1:18" ht="15.75" customHeight="1">
      <c r="A4692" s="26"/>
      <c r="B4692" s="86"/>
      <c r="D4692" s="26"/>
      <c r="F4692" s="87" t="str">
        <f t="shared" si="0"/>
        <v/>
      </c>
      <c r="H4692" s="26" t="str">
        <f t="shared" si="1"/>
        <v/>
      </c>
      <c r="I4692" s="26" t="str">
        <f t="shared" si="2"/>
        <v/>
      </c>
      <c r="J4692" s="86">
        <f t="shared" si="3"/>
        <v>0</v>
      </c>
      <c r="R4692" s="26"/>
    </row>
    <row r="4693" spans="1:18" ht="15.75" customHeight="1">
      <c r="A4693" s="26"/>
      <c r="B4693" s="86"/>
      <c r="D4693" s="26"/>
      <c r="F4693" s="87" t="str">
        <f t="shared" si="0"/>
        <v/>
      </c>
      <c r="H4693" s="26" t="str">
        <f t="shared" si="1"/>
        <v/>
      </c>
      <c r="I4693" s="26" t="str">
        <f t="shared" si="2"/>
        <v/>
      </c>
      <c r="J4693" s="86">
        <f t="shared" si="3"/>
        <v>0</v>
      </c>
      <c r="R4693" s="26"/>
    </row>
    <row r="4694" spans="1:18" ht="15.75" customHeight="1">
      <c r="A4694" s="26"/>
      <c r="B4694" s="86"/>
      <c r="D4694" s="26"/>
      <c r="F4694" s="87" t="str">
        <f t="shared" si="0"/>
        <v/>
      </c>
      <c r="H4694" s="26" t="str">
        <f t="shared" si="1"/>
        <v/>
      </c>
      <c r="I4694" s="26" t="str">
        <f t="shared" si="2"/>
        <v/>
      </c>
      <c r="J4694" s="86">
        <f t="shared" si="3"/>
        <v>0</v>
      </c>
      <c r="R4694" s="26"/>
    </row>
    <row r="4695" spans="1:18" ht="15.75" customHeight="1">
      <c r="A4695" s="26"/>
      <c r="B4695" s="86"/>
      <c r="D4695" s="26"/>
      <c r="F4695" s="87" t="str">
        <f t="shared" si="0"/>
        <v/>
      </c>
      <c r="H4695" s="26" t="str">
        <f t="shared" si="1"/>
        <v/>
      </c>
      <c r="I4695" s="26" t="str">
        <f t="shared" si="2"/>
        <v/>
      </c>
      <c r="J4695" s="86">
        <f t="shared" si="3"/>
        <v>0</v>
      </c>
      <c r="R4695" s="26"/>
    </row>
    <row r="4696" spans="1:18" ht="15.75" customHeight="1">
      <c r="A4696" s="26"/>
      <c r="B4696" s="86"/>
      <c r="D4696" s="26"/>
      <c r="F4696" s="87" t="str">
        <f t="shared" si="0"/>
        <v/>
      </c>
      <c r="H4696" s="26" t="str">
        <f t="shared" si="1"/>
        <v/>
      </c>
      <c r="I4696" s="26" t="str">
        <f t="shared" si="2"/>
        <v/>
      </c>
      <c r="J4696" s="86">
        <f t="shared" si="3"/>
        <v>0</v>
      </c>
      <c r="R4696" s="26"/>
    </row>
    <row r="4697" spans="1:18" ht="15.75" customHeight="1">
      <c r="A4697" s="26"/>
      <c r="B4697" s="86"/>
      <c r="D4697" s="26"/>
      <c r="F4697" s="87" t="str">
        <f t="shared" si="0"/>
        <v/>
      </c>
      <c r="H4697" s="26" t="str">
        <f t="shared" si="1"/>
        <v/>
      </c>
      <c r="I4697" s="26" t="str">
        <f t="shared" si="2"/>
        <v/>
      </c>
      <c r="J4697" s="86">
        <f t="shared" si="3"/>
        <v>0</v>
      </c>
      <c r="R4697" s="26"/>
    </row>
    <row r="4698" spans="1:18" ht="15.75" customHeight="1">
      <c r="A4698" s="26"/>
      <c r="B4698" s="86"/>
      <c r="D4698" s="26"/>
      <c r="F4698" s="87" t="str">
        <f t="shared" si="0"/>
        <v/>
      </c>
      <c r="H4698" s="26" t="str">
        <f t="shared" si="1"/>
        <v/>
      </c>
      <c r="I4698" s="26" t="str">
        <f t="shared" si="2"/>
        <v/>
      </c>
      <c r="J4698" s="86">
        <f t="shared" si="3"/>
        <v>0</v>
      </c>
      <c r="R4698" s="26"/>
    </row>
    <row r="4699" spans="1:18" ht="15.75" customHeight="1">
      <c r="A4699" s="26"/>
      <c r="B4699" s="86"/>
      <c r="D4699" s="26"/>
      <c r="F4699" s="87" t="str">
        <f t="shared" si="0"/>
        <v/>
      </c>
      <c r="H4699" s="26" t="str">
        <f t="shared" si="1"/>
        <v/>
      </c>
      <c r="I4699" s="26" t="str">
        <f t="shared" si="2"/>
        <v/>
      </c>
      <c r="J4699" s="86">
        <f t="shared" si="3"/>
        <v>0</v>
      </c>
      <c r="R4699" s="26"/>
    </row>
    <row r="4700" spans="1:18" ht="15.75" customHeight="1">
      <c r="A4700" s="26"/>
      <c r="B4700" s="86"/>
      <c r="D4700" s="26"/>
      <c r="F4700" s="87" t="str">
        <f t="shared" si="0"/>
        <v/>
      </c>
      <c r="H4700" s="26" t="str">
        <f t="shared" si="1"/>
        <v/>
      </c>
      <c r="I4700" s="26" t="str">
        <f t="shared" si="2"/>
        <v/>
      </c>
      <c r="J4700" s="86">
        <f t="shared" si="3"/>
        <v>0</v>
      </c>
      <c r="R4700" s="26"/>
    </row>
    <row r="4701" spans="1:18" ht="15.75" customHeight="1">
      <c r="A4701" s="26"/>
      <c r="B4701" s="86"/>
      <c r="D4701" s="26"/>
      <c r="F4701" s="87" t="str">
        <f t="shared" si="0"/>
        <v/>
      </c>
      <c r="H4701" s="26" t="str">
        <f t="shared" si="1"/>
        <v/>
      </c>
      <c r="I4701" s="26" t="str">
        <f t="shared" si="2"/>
        <v/>
      </c>
      <c r="J4701" s="86">
        <f t="shared" si="3"/>
        <v>0</v>
      </c>
      <c r="R4701" s="26"/>
    </row>
    <row r="4702" spans="1:18" ht="15.75" customHeight="1">
      <c r="A4702" s="26"/>
      <c r="B4702" s="86"/>
      <c r="D4702" s="26"/>
      <c r="F4702" s="87" t="str">
        <f t="shared" si="0"/>
        <v/>
      </c>
      <c r="H4702" s="26" t="str">
        <f t="shared" si="1"/>
        <v/>
      </c>
      <c r="I4702" s="26" t="str">
        <f t="shared" si="2"/>
        <v/>
      </c>
      <c r="J4702" s="86">
        <f t="shared" si="3"/>
        <v>0</v>
      </c>
      <c r="R4702" s="26"/>
    </row>
    <row r="4703" spans="1:18" ht="15.75" customHeight="1">
      <c r="A4703" s="26"/>
      <c r="B4703" s="86"/>
      <c r="D4703" s="26"/>
      <c r="F4703" s="87" t="str">
        <f t="shared" si="0"/>
        <v/>
      </c>
      <c r="H4703" s="26" t="str">
        <f t="shared" si="1"/>
        <v/>
      </c>
      <c r="I4703" s="26" t="str">
        <f t="shared" si="2"/>
        <v/>
      </c>
      <c r="J4703" s="86">
        <f t="shared" si="3"/>
        <v>0</v>
      </c>
      <c r="R4703" s="26"/>
    </row>
    <row r="4704" spans="1:18" ht="15.75" customHeight="1">
      <c r="A4704" s="26"/>
      <c r="B4704" s="86"/>
      <c r="D4704" s="26"/>
      <c r="F4704" s="87" t="str">
        <f t="shared" si="0"/>
        <v/>
      </c>
      <c r="H4704" s="26" t="str">
        <f t="shared" si="1"/>
        <v/>
      </c>
      <c r="I4704" s="26" t="str">
        <f t="shared" si="2"/>
        <v/>
      </c>
      <c r="J4704" s="86">
        <f t="shared" si="3"/>
        <v>0</v>
      </c>
      <c r="R4704" s="26"/>
    </row>
    <row r="4705" spans="1:18" ht="15.75" customHeight="1">
      <c r="A4705" s="26"/>
      <c r="B4705" s="86"/>
      <c r="D4705" s="26"/>
      <c r="F4705" s="87" t="str">
        <f t="shared" si="0"/>
        <v/>
      </c>
      <c r="H4705" s="26" t="str">
        <f t="shared" si="1"/>
        <v/>
      </c>
      <c r="I4705" s="26" t="str">
        <f t="shared" si="2"/>
        <v/>
      </c>
      <c r="J4705" s="86">
        <f t="shared" si="3"/>
        <v>0</v>
      </c>
      <c r="R4705" s="26"/>
    </row>
    <row r="4706" spans="1:18" ht="15.75" customHeight="1">
      <c r="A4706" s="26"/>
      <c r="B4706" s="86"/>
      <c r="D4706" s="26"/>
      <c r="F4706" s="87" t="str">
        <f t="shared" si="0"/>
        <v/>
      </c>
      <c r="H4706" s="26" t="str">
        <f t="shared" si="1"/>
        <v/>
      </c>
      <c r="I4706" s="26" t="str">
        <f t="shared" si="2"/>
        <v/>
      </c>
      <c r="J4706" s="86">
        <f t="shared" si="3"/>
        <v>0</v>
      </c>
      <c r="R4706" s="26"/>
    </row>
    <row r="4707" spans="1:18" ht="15.75" customHeight="1">
      <c r="A4707" s="26"/>
      <c r="B4707" s="86"/>
      <c r="D4707" s="26"/>
      <c r="F4707" s="87" t="str">
        <f t="shared" si="0"/>
        <v/>
      </c>
      <c r="H4707" s="26" t="str">
        <f t="shared" si="1"/>
        <v/>
      </c>
      <c r="I4707" s="26" t="str">
        <f t="shared" si="2"/>
        <v/>
      </c>
      <c r="J4707" s="86">
        <f t="shared" si="3"/>
        <v>0</v>
      </c>
      <c r="R4707" s="26"/>
    </row>
    <row r="4708" spans="1:18" ht="15.75" customHeight="1">
      <c r="A4708" s="26"/>
      <c r="B4708" s="86"/>
      <c r="D4708" s="26"/>
      <c r="F4708" s="87" t="str">
        <f t="shared" si="0"/>
        <v/>
      </c>
      <c r="H4708" s="26" t="str">
        <f t="shared" si="1"/>
        <v/>
      </c>
      <c r="I4708" s="26" t="str">
        <f t="shared" si="2"/>
        <v/>
      </c>
      <c r="J4708" s="86">
        <f t="shared" si="3"/>
        <v>0</v>
      </c>
      <c r="R4708" s="26"/>
    </row>
    <row r="4709" spans="1:18" ht="15.75" customHeight="1">
      <c r="A4709" s="26"/>
      <c r="B4709" s="86"/>
      <c r="D4709" s="26"/>
      <c r="F4709" s="87" t="str">
        <f t="shared" si="0"/>
        <v/>
      </c>
      <c r="H4709" s="26" t="str">
        <f t="shared" si="1"/>
        <v/>
      </c>
      <c r="I4709" s="26" t="str">
        <f t="shared" si="2"/>
        <v/>
      </c>
      <c r="J4709" s="86">
        <f t="shared" si="3"/>
        <v>0</v>
      </c>
      <c r="R4709" s="26"/>
    </row>
    <row r="4710" spans="1:18" ht="15.75" customHeight="1">
      <c r="A4710" s="26"/>
      <c r="B4710" s="86"/>
      <c r="D4710" s="26"/>
      <c r="F4710" s="87" t="str">
        <f t="shared" si="0"/>
        <v/>
      </c>
      <c r="H4710" s="26" t="str">
        <f t="shared" si="1"/>
        <v/>
      </c>
      <c r="I4710" s="26" t="str">
        <f t="shared" si="2"/>
        <v/>
      </c>
      <c r="J4710" s="86">
        <f t="shared" si="3"/>
        <v>0</v>
      </c>
      <c r="R4710" s="26"/>
    </row>
    <row r="4711" spans="1:18" ht="15.75" customHeight="1">
      <c r="A4711" s="26"/>
      <c r="B4711" s="86"/>
      <c r="D4711" s="26"/>
      <c r="F4711" s="87" t="str">
        <f t="shared" si="0"/>
        <v/>
      </c>
      <c r="H4711" s="26" t="str">
        <f t="shared" si="1"/>
        <v/>
      </c>
      <c r="I4711" s="26" t="str">
        <f t="shared" si="2"/>
        <v/>
      </c>
      <c r="J4711" s="86">
        <f t="shared" si="3"/>
        <v>0</v>
      </c>
      <c r="R4711" s="26"/>
    </row>
    <row r="4712" spans="1:18" ht="15.75" customHeight="1">
      <c r="A4712" s="26"/>
      <c r="B4712" s="86"/>
      <c r="D4712" s="26"/>
      <c r="F4712" s="87" t="str">
        <f t="shared" si="0"/>
        <v/>
      </c>
      <c r="H4712" s="26" t="str">
        <f t="shared" si="1"/>
        <v/>
      </c>
      <c r="I4712" s="26" t="str">
        <f t="shared" si="2"/>
        <v/>
      </c>
      <c r="J4712" s="86">
        <f t="shared" si="3"/>
        <v>0</v>
      </c>
      <c r="R4712" s="26"/>
    </row>
    <row r="4713" spans="1:18" ht="15.75" customHeight="1">
      <c r="A4713" s="26"/>
      <c r="B4713" s="86"/>
      <c r="D4713" s="26"/>
      <c r="F4713" s="87" t="str">
        <f t="shared" si="0"/>
        <v/>
      </c>
      <c r="H4713" s="26" t="str">
        <f t="shared" si="1"/>
        <v/>
      </c>
      <c r="I4713" s="26" t="str">
        <f t="shared" si="2"/>
        <v/>
      </c>
      <c r="J4713" s="86">
        <f t="shared" si="3"/>
        <v>0</v>
      </c>
      <c r="R4713" s="26"/>
    </row>
    <row r="4714" spans="1:18" ht="15.75" customHeight="1">
      <c r="A4714" s="26"/>
      <c r="B4714" s="86"/>
      <c r="D4714" s="26"/>
      <c r="F4714" s="87" t="str">
        <f t="shared" si="0"/>
        <v/>
      </c>
      <c r="H4714" s="26" t="str">
        <f t="shared" si="1"/>
        <v/>
      </c>
      <c r="I4714" s="26" t="str">
        <f t="shared" si="2"/>
        <v/>
      </c>
      <c r="J4714" s="86">
        <f t="shared" si="3"/>
        <v>0</v>
      </c>
      <c r="R4714" s="26"/>
    </row>
    <row r="4715" spans="1:18" ht="15.75" customHeight="1">
      <c r="A4715" s="26"/>
      <c r="B4715" s="86"/>
      <c r="D4715" s="26"/>
      <c r="F4715" s="87" t="str">
        <f t="shared" si="0"/>
        <v/>
      </c>
      <c r="H4715" s="26" t="str">
        <f t="shared" si="1"/>
        <v/>
      </c>
      <c r="I4715" s="26" t="str">
        <f t="shared" si="2"/>
        <v/>
      </c>
      <c r="J4715" s="86">
        <f t="shared" si="3"/>
        <v>0</v>
      </c>
      <c r="R4715" s="26"/>
    </row>
    <row r="4716" spans="1:18" ht="15.75" customHeight="1">
      <c r="A4716" s="26"/>
      <c r="B4716" s="86"/>
      <c r="D4716" s="26"/>
      <c r="F4716" s="87" t="str">
        <f t="shared" si="0"/>
        <v/>
      </c>
      <c r="H4716" s="26" t="str">
        <f t="shared" si="1"/>
        <v/>
      </c>
      <c r="I4716" s="26" t="str">
        <f t="shared" si="2"/>
        <v/>
      </c>
      <c r="J4716" s="86">
        <f t="shared" si="3"/>
        <v>0</v>
      </c>
      <c r="R4716" s="26"/>
    </row>
    <row r="4717" spans="1:18" ht="15.75" customHeight="1">
      <c r="A4717" s="26"/>
      <c r="B4717" s="86"/>
      <c r="D4717" s="26"/>
      <c r="F4717" s="87" t="str">
        <f t="shared" si="0"/>
        <v/>
      </c>
      <c r="H4717" s="26" t="str">
        <f t="shared" si="1"/>
        <v/>
      </c>
      <c r="I4717" s="26" t="str">
        <f t="shared" si="2"/>
        <v/>
      </c>
      <c r="J4717" s="86">
        <f t="shared" si="3"/>
        <v>0</v>
      </c>
      <c r="R4717" s="26"/>
    </row>
    <row r="4718" spans="1:18" ht="15.75" customHeight="1">
      <c r="A4718" s="26"/>
      <c r="B4718" s="86"/>
      <c r="D4718" s="26"/>
      <c r="F4718" s="87" t="str">
        <f t="shared" si="0"/>
        <v/>
      </c>
      <c r="H4718" s="26" t="str">
        <f t="shared" si="1"/>
        <v/>
      </c>
      <c r="I4718" s="26" t="str">
        <f t="shared" si="2"/>
        <v/>
      </c>
      <c r="J4718" s="86">
        <f t="shared" si="3"/>
        <v>0</v>
      </c>
      <c r="R4718" s="26"/>
    </row>
    <row r="4719" spans="1:18" ht="15.75" customHeight="1">
      <c r="A4719" s="26"/>
      <c r="B4719" s="86"/>
      <c r="D4719" s="26"/>
      <c r="F4719" s="87" t="str">
        <f t="shared" si="0"/>
        <v/>
      </c>
      <c r="H4719" s="26" t="str">
        <f t="shared" si="1"/>
        <v/>
      </c>
      <c r="I4719" s="26" t="str">
        <f t="shared" si="2"/>
        <v/>
      </c>
      <c r="J4719" s="86">
        <f t="shared" si="3"/>
        <v>0</v>
      </c>
      <c r="R4719" s="26"/>
    </row>
    <row r="4720" spans="1:18" ht="15.75" customHeight="1">
      <c r="A4720" s="26"/>
      <c r="B4720" s="86"/>
      <c r="D4720" s="26"/>
      <c r="F4720" s="87" t="str">
        <f t="shared" si="0"/>
        <v/>
      </c>
      <c r="H4720" s="26" t="str">
        <f t="shared" si="1"/>
        <v/>
      </c>
      <c r="I4720" s="26" t="str">
        <f t="shared" si="2"/>
        <v/>
      </c>
      <c r="J4720" s="86">
        <f t="shared" si="3"/>
        <v>0</v>
      </c>
      <c r="R4720" s="26"/>
    </row>
    <row r="4721" spans="1:18" ht="15.75" customHeight="1">
      <c r="A4721" s="26"/>
      <c r="B4721" s="86"/>
      <c r="D4721" s="26"/>
      <c r="F4721" s="87" t="str">
        <f t="shared" si="0"/>
        <v/>
      </c>
      <c r="H4721" s="26" t="str">
        <f t="shared" si="1"/>
        <v/>
      </c>
      <c r="I4721" s="26" t="str">
        <f t="shared" si="2"/>
        <v/>
      </c>
      <c r="J4721" s="86">
        <f t="shared" si="3"/>
        <v>0</v>
      </c>
      <c r="R4721" s="26"/>
    </row>
    <row r="4722" spans="1:18" ht="15.75" customHeight="1">
      <c r="A4722" s="26"/>
      <c r="B4722" s="86"/>
      <c r="D4722" s="26"/>
      <c r="F4722" s="87" t="str">
        <f t="shared" si="0"/>
        <v/>
      </c>
      <c r="H4722" s="26" t="str">
        <f t="shared" si="1"/>
        <v/>
      </c>
      <c r="I4722" s="26" t="str">
        <f t="shared" si="2"/>
        <v/>
      </c>
      <c r="J4722" s="86">
        <f t="shared" si="3"/>
        <v>0</v>
      </c>
      <c r="R4722" s="26"/>
    </row>
    <row r="4723" spans="1:18" ht="15.75" customHeight="1">
      <c r="A4723" s="26"/>
      <c r="B4723" s="86"/>
      <c r="D4723" s="26"/>
      <c r="F4723" s="87" t="str">
        <f t="shared" si="0"/>
        <v/>
      </c>
      <c r="H4723" s="26" t="str">
        <f t="shared" si="1"/>
        <v/>
      </c>
      <c r="I4723" s="26" t="str">
        <f t="shared" si="2"/>
        <v/>
      </c>
      <c r="J4723" s="86">
        <f t="shared" si="3"/>
        <v>0</v>
      </c>
      <c r="R4723" s="26"/>
    </row>
    <row r="4724" spans="1:18" ht="15.75" customHeight="1">
      <c r="A4724" s="26"/>
      <c r="B4724" s="86"/>
      <c r="D4724" s="26"/>
      <c r="F4724" s="87" t="str">
        <f t="shared" si="0"/>
        <v/>
      </c>
      <c r="H4724" s="26" t="str">
        <f t="shared" si="1"/>
        <v/>
      </c>
      <c r="I4724" s="26" t="str">
        <f t="shared" si="2"/>
        <v/>
      </c>
      <c r="J4724" s="86">
        <f t="shared" si="3"/>
        <v>0</v>
      </c>
      <c r="R4724" s="26"/>
    </row>
    <row r="4725" spans="1:18" ht="15.75" customHeight="1">
      <c r="A4725" s="26"/>
      <c r="B4725" s="86"/>
      <c r="D4725" s="26"/>
      <c r="F4725" s="87" t="str">
        <f t="shared" si="0"/>
        <v/>
      </c>
      <c r="H4725" s="26" t="str">
        <f t="shared" si="1"/>
        <v/>
      </c>
      <c r="I4725" s="26" t="str">
        <f t="shared" si="2"/>
        <v/>
      </c>
      <c r="J4725" s="86">
        <f t="shared" si="3"/>
        <v>0</v>
      </c>
      <c r="R4725" s="26"/>
    </row>
    <row r="4726" spans="1:18" ht="15.75" customHeight="1">
      <c r="A4726" s="26"/>
      <c r="B4726" s="86"/>
      <c r="D4726" s="26"/>
      <c r="F4726" s="87" t="str">
        <f t="shared" si="0"/>
        <v/>
      </c>
      <c r="H4726" s="26" t="str">
        <f t="shared" si="1"/>
        <v/>
      </c>
      <c r="I4726" s="26" t="str">
        <f t="shared" si="2"/>
        <v/>
      </c>
      <c r="J4726" s="86">
        <f t="shared" si="3"/>
        <v>0</v>
      </c>
      <c r="R4726" s="26"/>
    </row>
    <row r="4727" spans="1:18" ht="15.75" customHeight="1">
      <c r="A4727" s="26"/>
      <c r="B4727" s="86"/>
      <c r="D4727" s="26"/>
      <c r="F4727" s="87" t="str">
        <f t="shared" si="0"/>
        <v/>
      </c>
      <c r="H4727" s="26" t="str">
        <f t="shared" si="1"/>
        <v/>
      </c>
      <c r="I4727" s="26" t="str">
        <f t="shared" si="2"/>
        <v/>
      </c>
      <c r="J4727" s="86">
        <f t="shared" si="3"/>
        <v>0</v>
      </c>
      <c r="R4727" s="26"/>
    </row>
    <row r="4728" spans="1:18" ht="15.75" customHeight="1">
      <c r="A4728" s="26"/>
      <c r="B4728" s="86"/>
      <c r="D4728" s="26"/>
      <c r="F4728" s="87" t="str">
        <f t="shared" si="0"/>
        <v/>
      </c>
      <c r="H4728" s="26" t="str">
        <f t="shared" si="1"/>
        <v/>
      </c>
      <c r="I4728" s="26" t="str">
        <f t="shared" si="2"/>
        <v/>
      </c>
      <c r="J4728" s="86">
        <f t="shared" si="3"/>
        <v>0</v>
      </c>
      <c r="R4728" s="26"/>
    </row>
    <row r="4729" spans="1:18" ht="15.75" customHeight="1">
      <c r="A4729" s="26"/>
      <c r="B4729" s="86"/>
      <c r="D4729" s="26"/>
      <c r="F4729" s="87" t="str">
        <f t="shared" si="0"/>
        <v/>
      </c>
      <c r="H4729" s="26" t="str">
        <f t="shared" si="1"/>
        <v/>
      </c>
      <c r="I4729" s="26" t="str">
        <f t="shared" si="2"/>
        <v/>
      </c>
      <c r="J4729" s="86">
        <f t="shared" si="3"/>
        <v>0</v>
      </c>
      <c r="R4729" s="26"/>
    </row>
    <row r="4730" spans="1:18" ht="15.75" customHeight="1">
      <c r="A4730" s="26"/>
      <c r="B4730" s="86"/>
      <c r="D4730" s="26"/>
      <c r="F4730" s="87" t="str">
        <f t="shared" si="0"/>
        <v/>
      </c>
      <c r="H4730" s="26" t="str">
        <f t="shared" si="1"/>
        <v/>
      </c>
      <c r="I4730" s="26" t="str">
        <f t="shared" si="2"/>
        <v/>
      </c>
      <c r="J4730" s="86">
        <f t="shared" si="3"/>
        <v>0</v>
      </c>
      <c r="R4730" s="26"/>
    </row>
    <row r="4731" spans="1:18" ht="15.75" customHeight="1">
      <c r="A4731" s="26"/>
      <c r="B4731" s="86"/>
      <c r="D4731" s="26"/>
      <c r="F4731" s="87" t="str">
        <f t="shared" si="0"/>
        <v/>
      </c>
      <c r="H4731" s="26" t="str">
        <f t="shared" si="1"/>
        <v/>
      </c>
      <c r="I4731" s="26" t="str">
        <f t="shared" si="2"/>
        <v/>
      </c>
      <c r="J4731" s="86">
        <f t="shared" si="3"/>
        <v>0</v>
      </c>
      <c r="R4731" s="26"/>
    </row>
    <row r="4732" spans="1:18" ht="15.75" customHeight="1">
      <c r="A4732" s="26"/>
      <c r="B4732" s="86"/>
      <c r="D4732" s="26"/>
      <c r="F4732" s="87" t="str">
        <f t="shared" si="0"/>
        <v/>
      </c>
      <c r="H4732" s="26" t="str">
        <f t="shared" si="1"/>
        <v/>
      </c>
      <c r="I4732" s="26" t="str">
        <f t="shared" si="2"/>
        <v/>
      </c>
      <c r="J4732" s="86">
        <f t="shared" si="3"/>
        <v>0</v>
      </c>
      <c r="R4732" s="26"/>
    </row>
    <row r="4733" spans="1:18" ht="15.75" customHeight="1">
      <c r="A4733" s="26"/>
      <c r="B4733" s="86"/>
      <c r="D4733" s="26"/>
      <c r="F4733" s="87" t="str">
        <f t="shared" si="0"/>
        <v/>
      </c>
      <c r="H4733" s="26" t="str">
        <f t="shared" si="1"/>
        <v/>
      </c>
      <c r="I4733" s="26" t="str">
        <f t="shared" si="2"/>
        <v/>
      </c>
      <c r="J4733" s="86">
        <f t="shared" si="3"/>
        <v>0</v>
      </c>
      <c r="R4733" s="26"/>
    </row>
    <row r="4734" spans="1:18" ht="15.75" customHeight="1">
      <c r="A4734" s="26"/>
      <c r="B4734" s="86"/>
      <c r="D4734" s="26"/>
      <c r="F4734" s="87" t="str">
        <f t="shared" si="0"/>
        <v/>
      </c>
      <c r="H4734" s="26" t="str">
        <f t="shared" si="1"/>
        <v/>
      </c>
      <c r="I4734" s="26" t="str">
        <f t="shared" si="2"/>
        <v/>
      </c>
      <c r="J4734" s="86">
        <f t="shared" si="3"/>
        <v>0</v>
      </c>
      <c r="R4734" s="26"/>
    </row>
    <row r="4735" spans="1:18" ht="15.75" customHeight="1">
      <c r="A4735" s="26"/>
      <c r="B4735" s="86"/>
      <c r="D4735" s="26"/>
      <c r="F4735" s="87" t="str">
        <f t="shared" si="0"/>
        <v/>
      </c>
      <c r="H4735" s="26" t="str">
        <f t="shared" si="1"/>
        <v/>
      </c>
      <c r="I4735" s="26" t="str">
        <f t="shared" si="2"/>
        <v/>
      </c>
      <c r="J4735" s="86">
        <f t="shared" si="3"/>
        <v>0</v>
      </c>
      <c r="R4735" s="26"/>
    </row>
    <row r="4736" spans="1:18" ht="15.75" customHeight="1">
      <c r="A4736" s="26"/>
      <c r="B4736" s="86"/>
      <c r="D4736" s="26"/>
      <c r="F4736" s="87" t="str">
        <f t="shared" si="0"/>
        <v/>
      </c>
      <c r="H4736" s="26" t="str">
        <f t="shared" si="1"/>
        <v/>
      </c>
      <c r="I4736" s="26" t="str">
        <f t="shared" si="2"/>
        <v/>
      </c>
      <c r="J4736" s="86">
        <f t="shared" si="3"/>
        <v>0</v>
      </c>
      <c r="R4736" s="26"/>
    </row>
    <row r="4737" spans="1:18" ht="15.75" customHeight="1">
      <c r="A4737" s="26"/>
      <c r="B4737" s="86"/>
      <c r="D4737" s="26"/>
      <c r="F4737" s="87" t="str">
        <f t="shared" si="0"/>
        <v/>
      </c>
      <c r="H4737" s="26" t="str">
        <f t="shared" si="1"/>
        <v/>
      </c>
      <c r="I4737" s="26" t="str">
        <f t="shared" si="2"/>
        <v/>
      </c>
      <c r="J4737" s="86">
        <f t="shared" si="3"/>
        <v>0</v>
      </c>
      <c r="R4737" s="26"/>
    </row>
    <row r="4738" spans="1:18" ht="15.75" customHeight="1">
      <c r="A4738" s="26"/>
      <c r="B4738" s="86"/>
      <c r="D4738" s="26"/>
      <c r="F4738" s="87" t="str">
        <f t="shared" si="0"/>
        <v/>
      </c>
      <c r="H4738" s="26" t="str">
        <f t="shared" si="1"/>
        <v/>
      </c>
      <c r="I4738" s="26" t="str">
        <f t="shared" si="2"/>
        <v/>
      </c>
      <c r="J4738" s="86">
        <f t="shared" si="3"/>
        <v>0</v>
      </c>
      <c r="R4738" s="26"/>
    </row>
    <row r="4739" spans="1:18" ht="15.75" customHeight="1">
      <c r="A4739" s="26"/>
      <c r="B4739" s="86"/>
      <c r="D4739" s="26"/>
      <c r="F4739" s="87" t="str">
        <f t="shared" si="0"/>
        <v/>
      </c>
      <c r="H4739" s="26" t="str">
        <f t="shared" si="1"/>
        <v/>
      </c>
      <c r="I4739" s="26" t="str">
        <f t="shared" si="2"/>
        <v/>
      </c>
      <c r="J4739" s="86">
        <f t="shared" si="3"/>
        <v>0</v>
      </c>
      <c r="R4739" s="26"/>
    </row>
    <row r="4740" spans="1:18" ht="15.75" customHeight="1">
      <c r="A4740" s="26"/>
      <c r="B4740" s="86"/>
      <c r="D4740" s="26"/>
      <c r="F4740" s="87" t="str">
        <f t="shared" si="0"/>
        <v/>
      </c>
      <c r="H4740" s="26" t="str">
        <f t="shared" si="1"/>
        <v/>
      </c>
      <c r="I4740" s="26" t="str">
        <f t="shared" si="2"/>
        <v/>
      </c>
      <c r="J4740" s="86">
        <f t="shared" si="3"/>
        <v>0</v>
      </c>
      <c r="R4740" s="26"/>
    </row>
    <row r="4741" spans="1:18" ht="15.75" customHeight="1">
      <c r="A4741" s="26"/>
      <c r="B4741" s="86"/>
      <c r="D4741" s="26"/>
      <c r="F4741" s="87" t="str">
        <f t="shared" si="0"/>
        <v/>
      </c>
      <c r="H4741" s="26" t="str">
        <f t="shared" si="1"/>
        <v/>
      </c>
      <c r="I4741" s="26" t="str">
        <f t="shared" si="2"/>
        <v/>
      </c>
      <c r="J4741" s="86">
        <f t="shared" si="3"/>
        <v>0</v>
      </c>
      <c r="R4741" s="26"/>
    </row>
    <row r="4742" spans="1:18" ht="15.75" customHeight="1">
      <c r="A4742" s="26"/>
      <c r="B4742" s="86"/>
      <c r="D4742" s="26"/>
      <c r="F4742" s="87" t="str">
        <f t="shared" si="0"/>
        <v/>
      </c>
      <c r="H4742" s="26" t="str">
        <f t="shared" si="1"/>
        <v/>
      </c>
      <c r="I4742" s="26" t="str">
        <f t="shared" si="2"/>
        <v/>
      </c>
      <c r="J4742" s="86">
        <f t="shared" si="3"/>
        <v>0</v>
      </c>
      <c r="R4742" s="26"/>
    </row>
    <row r="4743" spans="1:18" ht="15.75" customHeight="1">
      <c r="A4743" s="26"/>
      <c r="B4743" s="86"/>
      <c r="D4743" s="26"/>
      <c r="F4743" s="87" t="str">
        <f t="shared" si="0"/>
        <v/>
      </c>
      <c r="H4743" s="26" t="str">
        <f t="shared" si="1"/>
        <v/>
      </c>
      <c r="I4743" s="26" t="str">
        <f t="shared" si="2"/>
        <v/>
      </c>
      <c r="J4743" s="86">
        <f t="shared" si="3"/>
        <v>0</v>
      </c>
      <c r="R4743" s="26"/>
    </row>
    <row r="4744" spans="1:18" ht="15.75" customHeight="1">
      <c r="A4744" s="26"/>
      <c r="B4744" s="86"/>
      <c r="D4744" s="26"/>
      <c r="F4744" s="87" t="str">
        <f t="shared" si="0"/>
        <v/>
      </c>
      <c r="H4744" s="26" t="str">
        <f t="shared" si="1"/>
        <v/>
      </c>
      <c r="I4744" s="26" t="str">
        <f t="shared" si="2"/>
        <v/>
      </c>
      <c r="J4744" s="86">
        <f t="shared" si="3"/>
        <v>0</v>
      </c>
      <c r="R4744" s="26"/>
    </row>
    <row r="4745" spans="1:18" ht="15.75" customHeight="1">
      <c r="A4745" s="26"/>
      <c r="B4745" s="86"/>
      <c r="D4745" s="26"/>
      <c r="F4745" s="87" t="str">
        <f t="shared" si="0"/>
        <v/>
      </c>
      <c r="H4745" s="26" t="str">
        <f t="shared" si="1"/>
        <v/>
      </c>
      <c r="I4745" s="26" t="str">
        <f t="shared" si="2"/>
        <v/>
      </c>
      <c r="J4745" s="86">
        <f t="shared" si="3"/>
        <v>0</v>
      </c>
      <c r="R4745" s="26"/>
    </row>
    <row r="4746" spans="1:18" ht="15.75" customHeight="1">
      <c r="A4746" s="26"/>
      <c r="B4746" s="86"/>
      <c r="D4746" s="26"/>
      <c r="F4746" s="87" t="str">
        <f t="shared" si="0"/>
        <v/>
      </c>
      <c r="H4746" s="26" t="str">
        <f t="shared" si="1"/>
        <v/>
      </c>
      <c r="I4746" s="26" t="str">
        <f t="shared" si="2"/>
        <v/>
      </c>
      <c r="J4746" s="86">
        <f t="shared" si="3"/>
        <v>0</v>
      </c>
      <c r="R4746" s="26"/>
    </row>
    <row r="4747" spans="1:18" ht="15.75" customHeight="1">
      <c r="A4747" s="26"/>
      <c r="B4747" s="86"/>
      <c r="D4747" s="26"/>
      <c r="F4747" s="87" t="str">
        <f t="shared" si="0"/>
        <v/>
      </c>
      <c r="H4747" s="26" t="str">
        <f t="shared" si="1"/>
        <v/>
      </c>
      <c r="I4747" s="26" t="str">
        <f t="shared" si="2"/>
        <v/>
      </c>
      <c r="J4747" s="86">
        <f t="shared" si="3"/>
        <v>0</v>
      </c>
      <c r="R4747" s="26"/>
    </row>
    <row r="4748" spans="1:18" ht="15.75" customHeight="1">
      <c r="A4748" s="26"/>
      <c r="B4748" s="86"/>
      <c r="D4748" s="26"/>
      <c r="F4748" s="87" t="str">
        <f t="shared" si="0"/>
        <v/>
      </c>
      <c r="H4748" s="26" t="str">
        <f t="shared" si="1"/>
        <v/>
      </c>
      <c r="I4748" s="26" t="str">
        <f t="shared" si="2"/>
        <v/>
      </c>
      <c r="J4748" s="86">
        <f t="shared" si="3"/>
        <v>0</v>
      </c>
      <c r="R4748" s="26"/>
    </row>
    <row r="4749" spans="1:18" ht="15.75" customHeight="1">
      <c r="A4749" s="26"/>
      <c r="B4749" s="86"/>
      <c r="D4749" s="26"/>
      <c r="F4749" s="87" t="str">
        <f t="shared" si="0"/>
        <v/>
      </c>
      <c r="H4749" s="26" t="str">
        <f t="shared" si="1"/>
        <v/>
      </c>
      <c r="I4749" s="26" t="str">
        <f t="shared" si="2"/>
        <v/>
      </c>
      <c r="J4749" s="86">
        <f t="shared" si="3"/>
        <v>0</v>
      </c>
      <c r="R4749" s="26"/>
    </row>
    <row r="4750" spans="1:18" ht="15.75" customHeight="1">
      <c r="A4750" s="26"/>
      <c r="B4750" s="86"/>
      <c r="D4750" s="26"/>
      <c r="F4750" s="87" t="str">
        <f t="shared" si="0"/>
        <v/>
      </c>
      <c r="H4750" s="26" t="str">
        <f t="shared" si="1"/>
        <v/>
      </c>
      <c r="I4750" s="26" t="str">
        <f t="shared" si="2"/>
        <v/>
      </c>
      <c r="J4750" s="86">
        <f t="shared" si="3"/>
        <v>0</v>
      </c>
      <c r="R4750" s="26"/>
    </row>
    <row r="4751" spans="1:18" ht="15.75" customHeight="1">
      <c r="A4751" s="26"/>
      <c r="B4751" s="86"/>
      <c r="D4751" s="26"/>
      <c r="F4751" s="87" t="str">
        <f t="shared" si="0"/>
        <v/>
      </c>
      <c r="H4751" s="26" t="str">
        <f t="shared" si="1"/>
        <v/>
      </c>
      <c r="I4751" s="26" t="str">
        <f t="shared" si="2"/>
        <v/>
      </c>
      <c r="J4751" s="86">
        <f t="shared" si="3"/>
        <v>0</v>
      </c>
      <c r="R4751" s="26"/>
    </row>
    <row r="4752" spans="1:18" ht="15.75" customHeight="1">
      <c r="A4752" s="26"/>
      <c r="B4752" s="86"/>
      <c r="D4752" s="26"/>
      <c r="F4752" s="87" t="str">
        <f t="shared" si="0"/>
        <v/>
      </c>
      <c r="H4752" s="26" t="str">
        <f t="shared" si="1"/>
        <v/>
      </c>
      <c r="I4752" s="26" t="str">
        <f t="shared" si="2"/>
        <v/>
      </c>
      <c r="J4752" s="86">
        <f t="shared" si="3"/>
        <v>0</v>
      </c>
      <c r="R4752" s="26"/>
    </row>
    <row r="4753" spans="1:18" ht="15.75" customHeight="1">
      <c r="A4753" s="26"/>
      <c r="B4753" s="86"/>
      <c r="D4753" s="26"/>
      <c r="F4753" s="87" t="str">
        <f t="shared" si="0"/>
        <v/>
      </c>
      <c r="H4753" s="26" t="str">
        <f t="shared" si="1"/>
        <v/>
      </c>
      <c r="I4753" s="26" t="str">
        <f t="shared" si="2"/>
        <v/>
      </c>
      <c r="J4753" s="86">
        <f t="shared" si="3"/>
        <v>0</v>
      </c>
      <c r="R4753" s="26"/>
    </row>
    <row r="4754" spans="1:18" ht="15.75" customHeight="1">
      <c r="A4754" s="26"/>
      <c r="B4754" s="86"/>
      <c r="D4754" s="26"/>
      <c r="F4754" s="87" t="str">
        <f t="shared" si="0"/>
        <v/>
      </c>
      <c r="H4754" s="26" t="str">
        <f t="shared" si="1"/>
        <v/>
      </c>
      <c r="I4754" s="26" t="str">
        <f t="shared" si="2"/>
        <v/>
      </c>
      <c r="J4754" s="86">
        <f t="shared" si="3"/>
        <v>0</v>
      </c>
      <c r="R4754" s="26"/>
    </row>
    <row r="4755" spans="1:18" ht="15.75" customHeight="1">
      <c r="A4755" s="26"/>
      <c r="B4755" s="86"/>
      <c r="D4755" s="26"/>
      <c r="F4755" s="87" t="str">
        <f t="shared" si="0"/>
        <v/>
      </c>
      <c r="H4755" s="26" t="str">
        <f t="shared" si="1"/>
        <v/>
      </c>
      <c r="I4755" s="26" t="str">
        <f t="shared" si="2"/>
        <v/>
      </c>
      <c r="J4755" s="86">
        <f t="shared" si="3"/>
        <v>0</v>
      </c>
      <c r="R4755" s="26"/>
    </row>
    <row r="4756" spans="1:18" ht="15.75" customHeight="1">
      <c r="A4756" s="26"/>
      <c r="B4756" s="86"/>
      <c r="D4756" s="26"/>
      <c r="F4756" s="87" t="str">
        <f t="shared" si="0"/>
        <v/>
      </c>
      <c r="H4756" s="26" t="str">
        <f t="shared" si="1"/>
        <v/>
      </c>
      <c r="I4756" s="26" t="str">
        <f t="shared" si="2"/>
        <v/>
      </c>
      <c r="J4756" s="86">
        <f t="shared" si="3"/>
        <v>0</v>
      </c>
      <c r="R4756" s="26"/>
    </row>
    <row r="4757" spans="1:18" ht="15.75" customHeight="1">
      <c r="A4757" s="26"/>
      <c r="B4757" s="86"/>
      <c r="D4757" s="26"/>
      <c r="F4757" s="87" t="str">
        <f t="shared" si="0"/>
        <v/>
      </c>
      <c r="H4757" s="26" t="str">
        <f t="shared" si="1"/>
        <v/>
      </c>
      <c r="I4757" s="26" t="str">
        <f t="shared" si="2"/>
        <v/>
      </c>
      <c r="J4757" s="86">
        <f t="shared" si="3"/>
        <v>0</v>
      </c>
      <c r="R4757" s="26"/>
    </row>
    <row r="4758" spans="1:18" ht="15.75" customHeight="1">
      <c r="A4758" s="26"/>
      <c r="B4758" s="86"/>
      <c r="D4758" s="26"/>
      <c r="F4758" s="87" t="str">
        <f t="shared" si="0"/>
        <v/>
      </c>
      <c r="H4758" s="26" t="str">
        <f t="shared" si="1"/>
        <v/>
      </c>
      <c r="I4758" s="26" t="str">
        <f t="shared" si="2"/>
        <v/>
      </c>
      <c r="J4758" s="86">
        <f t="shared" si="3"/>
        <v>0</v>
      </c>
      <c r="R4758" s="26"/>
    </row>
    <row r="4759" spans="1:18" ht="15.75" customHeight="1">
      <c r="A4759" s="26"/>
      <c r="B4759" s="86"/>
      <c r="D4759" s="26"/>
      <c r="F4759" s="87" t="str">
        <f t="shared" si="0"/>
        <v/>
      </c>
      <c r="H4759" s="26" t="str">
        <f t="shared" si="1"/>
        <v/>
      </c>
      <c r="I4759" s="26" t="str">
        <f t="shared" si="2"/>
        <v/>
      </c>
      <c r="J4759" s="86">
        <f t="shared" si="3"/>
        <v>0</v>
      </c>
      <c r="R4759" s="26"/>
    </row>
    <row r="4760" spans="1:18" ht="15.75" customHeight="1">
      <c r="A4760" s="26"/>
      <c r="B4760" s="86"/>
      <c r="D4760" s="26"/>
      <c r="F4760" s="87" t="str">
        <f t="shared" si="0"/>
        <v/>
      </c>
      <c r="H4760" s="26" t="str">
        <f t="shared" si="1"/>
        <v/>
      </c>
      <c r="I4760" s="26" t="str">
        <f t="shared" si="2"/>
        <v/>
      </c>
      <c r="J4760" s="86">
        <f t="shared" si="3"/>
        <v>0</v>
      </c>
      <c r="R4760" s="26"/>
    </row>
    <row r="4761" spans="1:18" ht="15.75" customHeight="1">
      <c r="A4761" s="26"/>
      <c r="B4761" s="86"/>
      <c r="D4761" s="26"/>
      <c r="F4761" s="87" t="str">
        <f t="shared" si="0"/>
        <v/>
      </c>
      <c r="H4761" s="26" t="str">
        <f t="shared" si="1"/>
        <v/>
      </c>
      <c r="I4761" s="26" t="str">
        <f t="shared" si="2"/>
        <v/>
      </c>
      <c r="J4761" s="86">
        <f t="shared" si="3"/>
        <v>0</v>
      </c>
      <c r="R4761" s="26"/>
    </row>
    <row r="4762" spans="1:18" ht="15.75" customHeight="1">
      <c r="A4762" s="26"/>
      <c r="B4762" s="86"/>
      <c r="D4762" s="26"/>
      <c r="F4762" s="87" t="str">
        <f t="shared" si="0"/>
        <v/>
      </c>
      <c r="H4762" s="26" t="str">
        <f t="shared" si="1"/>
        <v/>
      </c>
      <c r="I4762" s="26" t="str">
        <f t="shared" si="2"/>
        <v/>
      </c>
      <c r="J4762" s="86">
        <f t="shared" si="3"/>
        <v>0</v>
      </c>
      <c r="R4762" s="26"/>
    </row>
    <row r="4763" spans="1:18" ht="15.75" customHeight="1">
      <c r="A4763" s="26"/>
      <c r="B4763" s="86"/>
      <c r="D4763" s="26"/>
      <c r="F4763" s="87" t="str">
        <f t="shared" si="0"/>
        <v/>
      </c>
      <c r="H4763" s="26" t="str">
        <f t="shared" si="1"/>
        <v/>
      </c>
      <c r="I4763" s="26" t="str">
        <f t="shared" si="2"/>
        <v/>
      </c>
      <c r="J4763" s="86">
        <f t="shared" si="3"/>
        <v>0</v>
      </c>
      <c r="R4763" s="26"/>
    </row>
    <row r="4764" spans="1:18" ht="15.75" customHeight="1">
      <c r="A4764" s="26"/>
      <c r="B4764" s="86"/>
      <c r="D4764" s="26"/>
      <c r="F4764" s="87" t="str">
        <f t="shared" si="0"/>
        <v/>
      </c>
      <c r="H4764" s="26" t="str">
        <f t="shared" si="1"/>
        <v/>
      </c>
      <c r="I4764" s="26" t="str">
        <f t="shared" si="2"/>
        <v/>
      </c>
      <c r="J4764" s="86">
        <f t="shared" si="3"/>
        <v>0</v>
      </c>
      <c r="R4764" s="26"/>
    </row>
    <row r="4765" spans="1:18" ht="15.75" customHeight="1">
      <c r="A4765" s="26"/>
      <c r="B4765" s="86"/>
      <c r="D4765" s="26"/>
      <c r="F4765" s="87" t="str">
        <f t="shared" si="0"/>
        <v/>
      </c>
      <c r="H4765" s="26" t="str">
        <f t="shared" si="1"/>
        <v/>
      </c>
      <c r="I4765" s="26" t="str">
        <f t="shared" si="2"/>
        <v/>
      </c>
      <c r="J4765" s="86">
        <f t="shared" si="3"/>
        <v>0</v>
      </c>
      <c r="R4765" s="26"/>
    </row>
    <row r="4766" spans="1:18" ht="15.75" customHeight="1">
      <c r="A4766" s="26"/>
      <c r="B4766" s="86"/>
      <c r="D4766" s="26"/>
      <c r="F4766" s="87" t="str">
        <f t="shared" si="0"/>
        <v/>
      </c>
      <c r="H4766" s="26" t="str">
        <f t="shared" si="1"/>
        <v/>
      </c>
      <c r="I4766" s="26" t="str">
        <f t="shared" si="2"/>
        <v/>
      </c>
      <c r="J4766" s="86">
        <f t="shared" si="3"/>
        <v>0</v>
      </c>
      <c r="R4766" s="26"/>
    </row>
    <row r="4767" spans="1:18" ht="15.75" customHeight="1">
      <c r="A4767" s="26"/>
      <c r="B4767" s="86"/>
      <c r="D4767" s="26"/>
      <c r="F4767" s="87" t="str">
        <f t="shared" si="0"/>
        <v/>
      </c>
      <c r="H4767" s="26" t="str">
        <f t="shared" si="1"/>
        <v/>
      </c>
      <c r="I4767" s="26" t="str">
        <f t="shared" si="2"/>
        <v/>
      </c>
      <c r="J4767" s="86">
        <f t="shared" si="3"/>
        <v>0</v>
      </c>
      <c r="R4767" s="26"/>
    </row>
    <row r="4768" spans="1:18" ht="15.75" customHeight="1">
      <c r="A4768" s="26"/>
      <c r="B4768" s="86"/>
      <c r="D4768" s="26"/>
      <c r="F4768" s="87" t="str">
        <f t="shared" si="0"/>
        <v/>
      </c>
      <c r="H4768" s="26" t="str">
        <f t="shared" si="1"/>
        <v/>
      </c>
      <c r="I4768" s="26" t="str">
        <f t="shared" si="2"/>
        <v/>
      </c>
      <c r="J4768" s="86">
        <f t="shared" si="3"/>
        <v>0</v>
      </c>
      <c r="R4768" s="26"/>
    </row>
    <row r="4769" spans="1:18" ht="15.75" customHeight="1">
      <c r="A4769" s="26"/>
      <c r="B4769" s="86"/>
      <c r="D4769" s="26"/>
      <c r="F4769" s="87" t="str">
        <f t="shared" si="0"/>
        <v/>
      </c>
      <c r="H4769" s="26" t="str">
        <f t="shared" si="1"/>
        <v/>
      </c>
      <c r="I4769" s="26" t="str">
        <f t="shared" si="2"/>
        <v/>
      </c>
      <c r="J4769" s="86">
        <f t="shared" si="3"/>
        <v>0</v>
      </c>
      <c r="R4769" s="26"/>
    </row>
    <row r="4770" spans="1:18" ht="15.75" customHeight="1">
      <c r="A4770" s="26"/>
      <c r="B4770" s="86"/>
      <c r="D4770" s="26"/>
      <c r="F4770" s="87" t="str">
        <f t="shared" si="0"/>
        <v/>
      </c>
      <c r="H4770" s="26" t="str">
        <f t="shared" si="1"/>
        <v/>
      </c>
      <c r="I4770" s="26" t="str">
        <f t="shared" si="2"/>
        <v/>
      </c>
      <c r="J4770" s="86">
        <f t="shared" si="3"/>
        <v>0</v>
      </c>
      <c r="R4770" s="26"/>
    </row>
    <row r="4771" spans="1:18" ht="15.75" customHeight="1">
      <c r="A4771" s="26"/>
      <c r="B4771" s="86"/>
      <c r="D4771" s="26"/>
      <c r="F4771" s="87" t="str">
        <f t="shared" si="0"/>
        <v/>
      </c>
      <c r="H4771" s="26" t="str">
        <f t="shared" si="1"/>
        <v/>
      </c>
      <c r="I4771" s="26" t="str">
        <f t="shared" si="2"/>
        <v/>
      </c>
      <c r="J4771" s="86">
        <f t="shared" si="3"/>
        <v>0</v>
      </c>
      <c r="R4771" s="26"/>
    </row>
    <row r="4772" spans="1:18" ht="15.75" customHeight="1">
      <c r="A4772" s="26"/>
      <c r="B4772" s="86"/>
      <c r="D4772" s="26"/>
      <c r="F4772" s="87" t="str">
        <f t="shared" si="0"/>
        <v/>
      </c>
      <c r="H4772" s="26" t="str">
        <f t="shared" si="1"/>
        <v/>
      </c>
      <c r="I4772" s="26" t="str">
        <f t="shared" si="2"/>
        <v/>
      </c>
      <c r="J4772" s="86">
        <f t="shared" si="3"/>
        <v>0</v>
      </c>
      <c r="R4772" s="26"/>
    </row>
    <row r="4773" spans="1:18" ht="15.75" customHeight="1">
      <c r="A4773" s="26"/>
      <c r="B4773" s="86"/>
      <c r="D4773" s="26"/>
      <c r="F4773" s="87" t="str">
        <f t="shared" si="0"/>
        <v/>
      </c>
      <c r="H4773" s="26" t="str">
        <f t="shared" si="1"/>
        <v/>
      </c>
      <c r="I4773" s="26" t="str">
        <f t="shared" si="2"/>
        <v/>
      </c>
      <c r="J4773" s="86">
        <f t="shared" si="3"/>
        <v>0</v>
      </c>
      <c r="R4773" s="26"/>
    </row>
    <row r="4774" spans="1:18" ht="15.75" customHeight="1">
      <c r="A4774" s="26"/>
      <c r="B4774" s="86"/>
      <c r="D4774" s="26"/>
      <c r="F4774" s="87" t="str">
        <f t="shared" si="0"/>
        <v/>
      </c>
      <c r="H4774" s="26" t="str">
        <f t="shared" si="1"/>
        <v/>
      </c>
      <c r="I4774" s="26" t="str">
        <f t="shared" si="2"/>
        <v/>
      </c>
      <c r="J4774" s="86">
        <f t="shared" si="3"/>
        <v>0</v>
      </c>
      <c r="R4774" s="26"/>
    </row>
    <row r="4775" spans="1:18" ht="15.75" customHeight="1">
      <c r="A4775" s="26"/>
      <c r="B4775" s="86"/>
      <c r="D4775" s="26"/>
      <c r="F4775" s="87" t="str">
        <f t="shared" si="0"/>
        <v/>
      </c>
      <c r="H4775" s="26" t="str">
        <f t="shared" si="1"/>
        <v/>
      </c>
      <c r="I4775" s="26" t="str">
        <f t="shared" si="2"/>
        <v/>
      </c>
      <c r="J4775" s="86">
        <f t="shared" si="3"/>
        <v>0</v>
      </c>
      <c r="R4775" s="26"/>
    </row>
    <row r="4776" spans="1:18" ht="15.75" customHeight="1">
      <c r="A4776" s="26"/>
      <c r="B4776" s="86"/>
      <c r="D4776" s="26"/>
      <c r="F4776" s="87" t="str">
        <f t="shared" si="0"/>
        <v/>
      </c>
      <c r="H4776" s="26" t="str">
        <f t="shared" si="1"/>
        <v/>
      </c>
      <c r="I4776" s="26" t="str">
        <f t="shared" si="2"/>
        <v/>
      </c>
      <c r="J4776" s="86">
        <f t="shared" si="3"/>
        <v>0</v>
      </c>
      <c r="R4776" s="26"/>
    </row>
    <row r="4777" spans="1:18" ht="15.75" customHeight="1">
      <c r="A4777" s="26"/>
      <c r="B4777" s="86"/>
      <c r="D4777" s="26"/>
      <c r="F4777" s="87" t="str">
        <f t="shared" si="0"/>
        <v/>
      </c>
      <c r="H4777" s="26" t="str">
        <f t="shared" si="1"/>
        <v/>
      </c>
      <c r="I4777" s="26" t="str">
        <f t="shared" si="2"/>
        <v/>
      </c>
      <c r="J4777" s="86">
        <f t="shared" si="3"/>
        <v>0</v>
      </c>
      <c r="R4777" s="26"/>
    </row>
    <row r="4778" spans="1:18" ht="15.75" customHeight="1">
      <c r="A4778" s="26"/>
      <c r="B4778" s="86"/>
      <c r="D4778" s="26"/>
      <c r="F4778" s="87" t="str">
        <f t="shared" si="0"/>
        <v/>
      </c>
      <c r="H4778" s="26" t="str">
        <f t="shared" si="1"/>
        <v/>
      </c>
      <c r="I4778" s="26" t="str">
        <f t="shared" si="2"/>
        <v/>
      </c>
      <c r="J4778" s="86">
        <f t="shared" si="3"/>
        <v>0</v>
      </c>
      <c r="R4778" s="26"/>
    </row>
    <row r="4779" spans="1:18" ht="15.75" customHeight="1">
      <c r="A4779" s="26"/>
      <c r="B4779" s="86"/>
      <c r="D4779" s="26"/>
      <c r="F4779" s="87" t="str">
        <f t="shared" si="0"/>
        <v/>
      </c>
      <c r="H4779" s="26" t="str">
        <f t="shared" si="1"/>
        <v/>
      </c>
      <c r="I4779" s="26" t="str">
        <f t="shared" si="2"/>
        <v/>
      </c>
      <c r="J4779" s="86">
        <f t="shared" si="3"/>
        <v>0</v>
      </c>
      <c r="R4779" s="26"/>
    </row>
    <row r="4780" spans="1:18" ht="15.75" customHeight="1">
      <c r="A4780" s="26"/>
      <c r="B4780" s="86"/>
      <c r="D4780" s="26"/>
      <c r="F4780" s="87" t="str">
        <f t="shared" si="0"/>
        <v/>
      </c>
      <c r="H4780" s="26" t="str">
        <f t="shared" si="1"/>
        <v/>
      </c>
      <c r="I4780" s="26" t="str">
        <f t="shared" si="2"/>
        <v/>
      </c>
      <c r="J4780" s="86">
        <f t="shared" si="3"/>
        <v>0</v>
      </c>
      <c r="R4780" s="26"/>
    </row>
    <row r="4781" spans="1:18" ht="15.75" customHeight="1">
      <c r="A4781" s="26"/>
      <c r="B4781" s="86"/>
      <c r="D4781" s="26"/>
      <c r="F4781" s="87" t="str">
        <f t="shared" si="0"/>
        <v/>
      </c>
      <c r="H4781" s="26" t="str">
        <f t="shared" si="1"/>
        <v/>
      </c>
      <c r="I4781" s="26" t="str">
        <f t="shared" si="2"/>
        <v/>
      </c>
      <c r="J4781" s="86">
        <f t="shared" si="3"/>
        <v>0</v>
      </c>
      <c r="R4781" s="26"/>
    </row>
    <row r="4782" spans="1:18" ht="15.75" customHeight="1">
      <c r="A4782" s="26"/>
      <c r="B4782" s="86"/>
      <c r="D4782" s="26"/>
      <c r="F4782" s="87" t="str">
        <f t="shared" si="0"/>
        <v/>
      </c>
      <c r="H4782" s="26" t="str">
        <f t="shared" si="1"/>
        <v/>
      </c>
      <c r="I4782" s="26" t="str">
        <f t="shared" si="2"/>
        <v/>
      </c>
      <c r="J4782" s="86">
        <f t="shared" si="3"/>
        <v>0</v>
      </c>
      <c r="R4782" s="26"/>
    </row>
    <row r="4783" spans="1:18" ht="15.75" customHeight="1">
      <c r="A4783" s="26"/>
      <c r="B4783" s="86"/>
      <c r="D4783" s="26"/>
      <c r="F4783" s="87" t="str">
        <f t="shared" si="0"/>
        <v/>
      </c>
      <c r="H4783" s="26" t="str">
        <f t="shared" si="1"/>
        <v/>
      </c>
      <c r="I4783" s="26" t="str">
        <f t="shared" si="2"/>
        <v/>
      </c>
      <c r="J4783" s="86">
        <f t="shared" si="3"/>
        <v>0</v>
      </c>
      <c r="R4783" s="26"/>
    </row>
    <row r="4784" spans="1:18" ht="15.75" customHeight="1">
      <c r="A4784" s="26"/>
      <c r="B4784" s="86"/>
      <c r="D4784" s="26"/>
      <c r="F4784" s="87" t="str">
        <f t="shared" si="0"/>
        <v/>
      </c>
      <c r="H4784" s="26" t="str">
        <f t="shared" si="1"/>
        <v/>
      </c>
      <c r="I4784" s="26" t="str">
        <f t="shared" si="2"/>
        <v/>
      </c>
      <c r="J4784" s="86">
        <f t="shared" si="3"/>
        <v>0</v>
      </c>
      <c r="R4784" s="26"/>
    </row>
    <row r="4785" spans="1:18" ht="15.75" customHeight="1">
      <c r="A4785" s="26"/>
      <c r="B4785" s="86"/>
      <c r="D4785" s="26"/>
      <c r="F4785" s="87" t="str">
        <f t="shared" si="0"/>
        <v/>
      </c>
      <c r="H4785" s="26" t="str">
        <f t="shared" si="1"/>
        <v/>
      </c>
      <c r="I4785" s="26" t="str">
        <f t="shared" si="2"/>
        <v/>
      </c>
      <c r="J4785" s="86">
        <f t="shared" si="3"/>
        <v>0</v>
      </c>
      <c r="R4785" s="26"/>
    </row>
    <row r="4786" spans="1:18" ht="15.75" customHeight="1">
      <c r="A4786" s="26"/>
      <c r="B4786" s="86"/>
      <c r="D4786" s="26"/>
      <c r="F4786" s="87" t="str">
        <f t="shared" si="0"/>
        <v/>
      </c>
      <c r="H4786" s="26" t="str">
        <f t="shared" si="1"/>
        <v/>
      </c>
      <c r="I4786" s="26" t="str">
        <f t="shared" si="2"/>
        <v/>
      </c>
      <c r="J4786" s="86">
        <f t="shared" si="3"/>
        <v>0</v>
      </c>
      <c r="R4786" s="26"/>
    </row>
    <row r="4787" spans="1:18" ht="15.75" customHeight="1">
      <c r="A4787" s="26"/>
      <c r="B4787" s="86"/>
      <c r="D4787" s="26"/>
      <c r="F4787" s="87" t="str">
        <f t="shared" si="0"/>
        <v/>
      </c>
      <c r="H4787" s="26" t="str">
        <f t="shared" si="1"/>
        <v/>
      </c>
      <c r="I4787" s="26" t="str">
        <f t="shared" si="2"/>
        <v/>
      </c>
      <c r="J4787" s="86">
        <f t="shared" si="3"/>
        <v>0</v>
      </c>
      <c r="R4787" s="26"/>
    </row>
    <row r="4788" spans="1:18" ht="15.75" customHeight="1">
      <c r="A4788" s="26"/>
      <c r="B4788" s="86"/>
      <c r="D4788" s="26"/>
      <c r="F4788" s="87" t="str">
        <f t="shared" si="0"/>
        <v/>
      </c>
      <c r="H4788" s="26" t="str">
        <f t="shared" si="1"/>
        <v/>
      </c>
      <c r="I4788" s="26" t="str">
        <f t="shared" si="2"/>
        <v/>
      </c>
      <c r="J4788" s="86">
        <f t="shared" si="3"/>
        <v>0</v>
      </c>
      <c r="R4788" s="26"/>
    </row>
    <row r="4789" spans="1:18" ht="15.75" customHeight="1">
      <c r="A4789" s="26"/>
      <c r="B4789" s="86"/>
      <c r="D4789" s="26"/>
      <c r="F4789" s="87" t="str">
        <f t="shared" si="0"/>
        <v/>
      </c>
      <c r="H4789" s="26" t="str">
        <f t="shared" si="1"/>
        <v/>
      </c>
      <c r="I4789" s="26" t="str">
        <f t="shared" si="2"/>
        <v/>
      </c>
      <c r="J4789" s="86">
        <f t="shared" si="3"/>
        <v>0</v>
      </c>
      <c r="R4789" s="26"/>
    </row>
    <row r="4790" spans="1:18" ht="15.75" customHeight="1">
      <c r="A4790" s="26"/>
      <c r="B4790" s="86"/>
      <c r="D4790" s="26"/>
      <c r="F4790" s="87" t="str">
        <f t="shared" si="0"/>
        <v/>
      </c>
      <c r="H4790" s="26" t="str">
        <f t="shared" si="1"/>
        <v/>
      </c>
      <c r="I4790" s="26" t="str">
        <f t="shared" si="2"/>
        <v/>
      </c>
      <c r="J4790" s="86">
        <f t="shared" si="3"/>
        <v>0</v>
      </c>
      <c r="R4790" s="26"/>
    </row>
    <row r="4791" spans="1:18" ht="15.75" customHeight="1">
      <c r="A4791" s="26"/>
      <c r="B4791" s="86"/>
      <c r="D4791" s="26"/>
      <c r="F4791" s="87" t="str">
        <f t="shared" si="0"/>
        <v/>
      </c>
      <c r="H4791" s="26" t="str">
        <f t="shared" si="1"/>
        <v/>
      </c>
      <c r="I4791" s="26" t="str">
        <f t="shared" si="2"/>
        <v/>
      </c>
      <c r="J4791" s="86">
        <f t="shared" si="3"/>
        <v>0</v>
      </c>
      <c r="R4791" s="26"/>
    </row>
    <row r="4792" spans="1:18" ht="15.75" customHeight="1">
      <c r="A4792" s="26"/>
      <c r="B4792" s="86"/>
      <c r="D4792" s="26"/>
      <c r="F4792" s="87" t="str">
        <f t="shared" si="0"/>
        <v/>
      </c>
      <c r="H4792" s="26" t="str">
        <f t="shared" si="1"/>
        <v/>
      </c>
      <c r="I4792" s="26" t="str">
        <f t="shared" si="2"/>
        <v/>
      </c>
      <c r="J4792" s="86">
        <f t="shared" si="3"/>
        <v>0</v>
      </c>
      <c r="R4792" s="26"/>
    </row>
    <row r="4793" spans="1:18" ht="15.75" customHeight="1">
      <c r="A4793" s="26"/>
      <c r="B4793" s="86"/>
      <c r="D4793" s="26"/>
      <c r="F4793" s="87" t="str">
        <f t="shared" si="0"/>
        <v/>
      </c>
      <c r="H4793" s="26" t="str">
        <f t="shared" si="1"/>
        <v/>
      </c>
      <c r="I4793" s="26" t="str">
        <f t="shared" si="2"/>
        <v/>
      </c>
      <c r="J4793" s="86">
        <f t="shared" si="3"/>
        <v>0</v>
      </c>
      <c r="R4793" s="26"/>
    </row>
    <row r="4794" spans="1:18" ht="15.75" customHeight="1">
      <c r="A4794" s="26"/>
      <c r="B4794" s="86"/>
      <c r="D4794" s="26"/>
      <c r="F4794" s="87" t="str">
        <f t="shared" si="0"/>
        <v/>
      </c>
      <c r="H4794" s="26" t="str">
        <f t="shared" si="1"/>
        <v/>
      </c>
      <c r="I4794" s="26" t="str">
        <f t="shared" si="2"/>
        <v/>
      </c>
      <c r="J4794" s="86">
        <f t="shared" si="3"/>
        <v>0</v>
      </c>
      <c r="R4794" s="26"/>
    </row>
    <row r="4795" spans="1:18" ht="15.75" customHeight="1">
      <c r="A4795" s="26"/>
      <c r="B4795" s="86"/>
      <c r="D4795" s="26"/>
      <c r="F4795" s="87" t="str">
        <f t="shared" si="0"/>
        <v/>
      </c>
      <c r="H4795" s="26" t="str">
        <f t="shared" si="1"/>
        <v/>
      </c>
      <c r="I4795" s="26" t="str">
        <f t="shared" si="2"/>
        <v/>
      </c>
      <c r="J4795" s="86">
        <f t="shared" si="3"/>
        <v>0</v>
      </c>
      <c r="R4795" s="26"/>
    </row>
    <row r="4796" spans="1:18" ht="15.75" customHeight="1">
      <c r="A4796" s="26"/>
      <c r="B4796" s="86"/>
      <c r="D4796" s="26"/>
      <c r="F4796" s="87" t="str">
        <f t="shared" si="0"/>
        <v/>
      </c>
      <c r="H4796" s="26" t="str">
        <f t="shared" si="1"/>
        <v/>
      </c>
      <c r="I4796" s="26" t="str">
        <f t="shared" si="2"/>
        <v/>
      </c>
      <c r="J4796" s="86">
        <f t="shared" si="3"/>
        <v>0</v>
      </c>
      <c r="R4796" s="26"/>
    </row>
    <row r="4797" spans="1:18" ht="15.75" customHeight="1">
      <c r="A4797" s="26"/>
      <c r="B4797" s="86"/>
      <c r="D4797" s="26"/>
      <c r="F4797" s="87" t="str">
        <f t="shared" si="0"/>
        <v/>
      </c>
      <c r="H4797" s="26" t="str">
        <f t="shared" si="1"/>
        <v/>
      </c>
      <c r="I4797" s="26" t="str">
        <f t="shared" si="2"/>
        <v/>
      </c>
      <c r="J4797" s="86">
        <f t="shared" si="3"/>
        <v>0</v>
      </c>
      <c r="R4797" s="26"/>
    </row>
    <row r="4798" spans="1:18" ht="15.75" customHeight="1">
      <c r="A4798" s="26"/>
      <c r="B4798" s="86"/>
      <c r="D4798" s="26"/>
      <c r="F4798" s="87" t="str">
        <f t="shared" si="0"/>
        <v/>
      </c>
      <c r="H4798" s="26" t="str">
        <f t="shared" si="1"/>
        <v/>
      </c>
      <c r="I4798" s="26" t="str">
        <f t="shared" si="2"/>
        <v/>
      </c>
      <c r="J4798" s="86">
        <f t="shared" si="3"/>
        <v>0</v>
      </c>
      <c r="R4798" s="26"/>
    </row>
    <row r="4799" spans="1:18" ht="15.75" customHeight="1">
      <c r="A4799" s="26"/>
      <c r="B4799" s="86"/>
      <c r="D4799" s="26"/>
      <c r="F4799" s="87" t="str">
        <f t="shared" si="0"/>
        <v/>
      </c>
      <c r="H4799" s="26" t="str">
        <f t="shared" si="1"/>
        <v/>
      </c>
      <c r="I4799" s="26" t="str">
        <f t="shared" si="2"/>
        <v/>
      </c>
      <c r="J4799" s="86">
        <f t="shared" si="3"/>
        <v>0</v>
      </c>
      <c r="R4799" s="26"/>
    </row>
    <row r="4800" spans="1:18" ht="15.75" customHeight="1">
      <c r="A4800" s="26"/>
      <c r="B4800" s="86"/>
      <c r="D4800" s="26"/>
      <c r="F4800" s="87" t="str">
        <f t="shared" si="0"/>
        <v/>
      </c>
      <c r="H4800" s="26" t="str">
        <f t="shared" si="1"/>
        <v/>
      </c>
      <c r="I4800" s="26" t="str">
        <f t="shared" si="2"/>
        <v/>
      </c>
      <c r="J4800" s="86">
        <f t="shared" si="3"/>
        <v>0</v>
      </c>
      <c r="R4800" s="26"/>
    </row>
    <row r="4801" spans="1:18" ht="15.75" customHeight="1">
      <c r="A4801" s="26"/>
      <c r="B4801" s="86"/>
      <c r="D4801" s="26"/>
      <c r="F4801" s="87" t="str">
        <f t="shared" si="0"/>
        <v/>
      </c>
      <c r="H4801" s="26" t="str">
        <f t="shared" si="1"/>
        <v/>
      </c>
      <c r="I4801" s="26" t="str">
        <f t="shared" si="2"/>
        <v/>
      </c>
      <c r="J4801" s="86">
        <f t="shared" si="3"/>
        <v>0</v>
      </c>
      <c r="R4801" s="26"/>
    </row>
    <row r="4802" spans="1:18" ht="15.75" customHeight="1">
      <c r="A4802" s="26"/>
      <c r="B4802" s="86"/>
      <c r="D4802" s="26"/>
      <c r="F4802" s="87" t="str">
        <f t="shared" si="0"/>
        <v/>
      </c>
      <c r="H4802" s="26" t="str">
        <f t="shared" si="1"/>
        <v/>
      </c>
      <c r="I4802" s="26" t="str">
        <f t="shared" si="2"/>
        <v/>
      </c>
      <c r="J4802" s="86">
        <f t="shared" si="3"/>
        <v>0</v>
      </c>
      <c r="R4802" s="26"/>
    </row>
    <row r="4803" spans="1:18" ht="15.75" customHeight="1">
      <c r="A4803" s="26"/>
      <c r="B4803" s="86"/>
      <c r="D4803" s="26"/>
      <c r="F4803" s="87" t="str">
        <f t="shared" si="0"/>
        <v/>
      </c>
      <c r="H4803" s="26" t="str">
        <f t="shared" si="1"/>
        <v/>
      </c>
      <c r="I4803" s="26" t="str">
        <f t="shared" si="2"/>
        <v/>
      </c>
      <c r="J4803" s="86">
        <f t="shared" si="3"/>
        <v>0</v>
      </c>
      <c r="R4803" s="26"/>
    </row>
    <row r="4804" spans="1:18" ht="15.75" customHeight="1">
      <c r="A4804" s="26"/>
      <c r="B4804" s="86"/>
      <c r="D4804" s="26"/>
      <c r="F4804" s="87" t="str">
        <f t="shared" si="0"/>
        <v/>
      </c>
      <c r="H4804" s="26" t="str">
        <f t="shared" si="1"/>
        <v/>
      </c>
      <c r="I4804" s="26" t="str">
        <f t="shared" si="2"/>
        <v/>
      </c>
      <c r="J4804" s="86">
        <f t="shared" si="3"/>
        <v>0</v>
      </c>
      <c r="R4804" s="26"/>
    </row>
    <row r="4805" spans="1:18" ht="15.75" customHeight="1">
      <c r="A4805" s="26"/>
      <c r="B4805" s="86"/>
      <c r="D4805" s="26"/>
      <c r="F4805" s="87" t="str">
        <f t="shared" si="0"/>
        <v/>
      </c>
      <c r="H4805" s="26" t="str">
        <f t="shared" si="1"/>
        <v/>
      </c>
      <c r="I4805" s="26" t="str">
        <f t="shared" si="2"/>
        <v/>
      </c>
      <c r="J4805" s="86">
        <f t="shared" si="3"/>
        <v>0</v>
      </c>
      <c r="R4805" s="26"/>
    </row>
    <row r="4806" spans="1:18" ht="15.75" customHeight="1">
      <c r="A4806" s="26"/>
      <c r="B4806" s="86"/>
      <c r="D4806" s="26"/>
      <c r="F4806" s="87" t="str">
        <f t="shared" si="0"/>
        <v/>
      </c>
      <c r="H4806" s="26" t="str">
        <f t="shared" si="1"/>
        <v/>
      </c>
      <c r="I4806" s="26" t="str">
        <f t="shared" si="2"/>
        <v/>
      </c>
      <c r="J4806" s="86">
        <f t="shared" si="3"/>
        <v>0</v>
      </c>
      <c r="R4806" s="26"/>
    </row>
    <row r="4807" spans="1:18" ht="15.75" customHeight="1">
      <c r="A4807" s="26"/>
      <c r="B4807" s="86"/>
      <c r="D4807" s="26"/>
      <c r="F4807" s="87" t="str">
        <f t="shared" si="0"/>
        <v/>
      </c>
      <c r="H4807" s="26" t="str">
        <f t="shared" si="1"/>
        <v/>
      </c>
      <c r="I4807" s="26" t="str">
        <f t="shared" si="2"/>
        <v/>
      </c>
      <c r="J4807" s="86">
        <f t="shared" si="3"/>
        <v>0</v>
      </c>
      <c r="R4807" s="26"/>
    </row>
    <row r="4808" spans="1:18" ht="15.75" customHeight="1">
      <c r="A4808" s="26"/>
      <c r="B4808" s="86"/>
      <c r="D4808" s="26"/>
      <c r="F4808" s="87" t="str">
        <f t="shared" si="0"/>
        <v/>
      </c>
      <c r="H4808" s="26" t="str">
        <f t="shared" si="1"/>
        <v/>
      </c>
      <c r="I4808" s="26" t="str">
        <f t="shared" si="2"/>
        <v/>
      </c>
      <c r="J4808" s="86">
        <f t="shared" si="3"/>
        <v>0</v>
      </c>
      <c r="R4808" s="26"/>
    </row>
    <row r="4809" spans="1:18" ht="15.75" customHeight="1">
      <c r="A4809" s="26"/>
      <c r="B4809" s="86"/>
      <c r="D4809" s="26"/>
      <c r="F4809" s="87" t="str">
        <f t="shared" si="0"/>
        <v/>
      </c>
      <c r="H4809" s="26" t="str">
        <f t="shared" si="1"/>
        <v/>
      </c>
      <c r="I4809" s="26" t="str">
        <f t="shared" si="2"/>
        <v/>
      </c>
      <c r="J4809" s="86">
        <f t="shared" si="3"/>
        <v>0</v>
      </c>
      <c r="R4809" s="26"/>
    </row>
    <row r="4810" spans="1:18" ht="15.75" customHeight="1">
      <c r="A4810" s="26"/>
      <c r="B4810" s="86"/>
      <c r="D4810" s="26"/>
      <c r="F4810" s="87" t="str">
        <f t="shared" si="0"/>
        <v/>
      </c>
      <c r="H4810" s="26" t="str">
        <f t="shared" si="1"/>
        <v/>
      </c>
      <c r="I4810" s="26" t="str">
        <f t="shared" si="2"/>
        <v/>
      </c>
      <c r="J4810" s="86">
        <f t="shared" si="3"/>
        <v>0</v>
      </c>
      <c r="R4810" s="26"/>
    </row>
    <row r="4811" spans="1:18" ht="15.75" customHeight="1">
      <c r="A4811" s="26"/>
      <c r="B4811" s="86"/>
      <c r="D4811" s="26"/>
      <c r="F4811" s="87" t="str">
        <f t="shared" si="0"/>
        <v/>
      </c>
      <c r="H4811" s="26" t="str">
        <f t="shared" si="1"/>
        <v/>
      </c>
      <c r="I4811" s="26" t="str">
        <f t="shared" si="2"/>
        <v/>
      </c>
      <c r="J4811" s="86">
        <f t="shared" si="3"/>
        <v>0</v>
      </c>
      <c r="R4811" s="26"/>
    </row>
    <row r="4812" spans="1:18" ht="15.75" customHeight="1">
      <c r="A4812" s="26"/>
      <c r="B4812" s="86"/>
      <c r="D4812" s="26"/>
      <c r="F4812" s="87" t="str">
        <f t="shared" si="0"/>
        <v/>
      </c>
      <c r="H4812" s="26" t="str">
        <f t="shared" si="1"/>
        <v/>
      </c>
      <c r="I4812" s="26" t="str">
        <f t="shared" si="2"/>
        <v/>
      </c>
      <c r="J4812" s="86">
        <f t="shared" si="3"/>
        <v>0</v>
      </c>
      <c r="R4812" s="26"/>
    </row>
    <row r="4813" spans="1:18" ht="15.75" customHeight="1">
      <c r="A4813" s="26"/>
      <c r="B4813" s="86"/>
      <c r="D4813" s="26"/>
      <c r="F4813" s="87" t="str">
        <f t="shared" si="0"/>
        <v/>
      </c>
      <c r="H4813" s="26" t="str">
        <f t="shared" si="1"/>
        <v/>
      </c>
      <c r="I4813" s="26" t="str">
        <f t="shared" si="2"/>
        <v/>
      </c>
      <c r="J4813" s="86">
        <f t="shared" si="3"/>
        <v>0</v>
      </c>
      <c r="R4813" s="26"/>
    </row>
    <row r="4814" spans="1:18" ht="15.75" customHeight="1">
      <c r="A4814" s="26"/>
      <c r="B4814" s="86"/>
      <c r="D4814" s="26"/>
      <c r="F4814" s="87" t="str">
        <f t="shared" si="0"/>
        <v/>
      </c>
      <c r="H4814" s="26" t="str">
        <f t="shared" si="1"/>
        <v/>
      </c>
      <c r="I4814" s="26" t="str">
        <f t="shared" si="2"/>
        <v/>
      </c>
      <c r="J4814" s="86">
        <f t="shared" si="3"/>
        <v>0</v>
      </c>
      <c r="R4814" s="26"/>
    </row>
    <row r="4815" spans="1:18" ht="15.75" customHeight="1">
      <c r="A4815" s="26"/>
      <c r="B4815" s="86"/>
      <c r="D4815" s="26"/>
      <c r="F4815" s="87" t="str">
        <f t="shared" si="0"/>
        <v/>
      </c>
      <c r="H4815" s="26" t="str">
        <f t="shared" si="1"/>
        <v/>
      </c>
      <c r="I4815" s="26" t="str">
        <f t="shared" si="2"/>
        <v/>
      </c>
      <c r="J4815" s="86">
        <f t="shared" si="3"/>
        <v>0</v>
      </c>
      <c r="R4815" s="26"/>
    </row>
    <row r="4816" spans="1:18" ht="15.75" customHeight="1">
      <c r="A4816" s="26"/>
      <c r="B4816" s="86"/>
      <c r="D4816" s="26"/>
      <c r="F4816" s="87" t="str">
        <f t="shared" si="0"/>
        <v/>
      </c>
      <c r="H4816" s="26" t="str">
        <f t="shared" si="1"/>
        <v/>
      </c>
      <c r="I4816" s="26" t="str">
        <f t="shared" si="2"/>
        <v/>
      </c>
      <c r="J4816" s="86">
        <f t="shared" si="3"/>
        <v>0</v>
      </c>
      <c r="R4816" s="26"/>
    </row>
    <row r="4817" spans="1:18" ht="15.75" customHeight="1">
      <c r="A4817" s="26"/>
      <c r="B4817" s="86"/>
      <c r="D4817" s="26"/>
      <c r="F4817" s="87" t="str">
        <f t="shared" si="0"/>
        <v/>
      </c>
      <c r="H4817" s="26" t="str">
        <f t="shared" si="1"/>
        <v/>
      </c>
      <c r="I4817" s="26" t="str">
        <f t="shared" si="2"/>
        <v/>
      </c>
      <c r="J4817" s="86">
        <f t="shared" si="3"/>
        <v>0</v>
      </c>
      <c r="R4817" s="26"/>
    </row>
    <row r="4818" spans="1:18" ht="15.75" customHeight="1">
      <c r="A4818" s="26"/>
      <c r="B4818" s="86"/>
      <c r="D4818" s="26"/>
      <c r="F4818" s="87" t="str">
        <f t="shared" si="0"/>
        <v/>
      </c>
      <c r="H4818" s="26" t="str">
        <f t="shared" si="1"/>
        <v/>
      </c>
      <c r="I4818" s="26" t="str">
        <f t="shared" si="2"/>
        <v/>
      </c>
      <c r="J4818" s="86">
        <f t="shared" si="3"/>
        <v>0</v>
      </c>
      <c r="R4818" s="26"/>
    </row>
    <row r="4819" spans="1:18" ht="15.75" customHeight="1">
      <c r="A4819" s="26"/>
      <c r="B4819" s="86"/>
      <c r="D4819" s="26"/>
      <c r="F4819" s="87" t="str">
        <f t="shared" si="0"/>
        <v/>
      </c>
      <c r="H4819" s="26" t="str">
        <f t="shared" si="1"/>
        <v/>
      </c>
      <c r="I4819" s="26" t="str">
        <f t="shared" si="2"/>
        <v/>
      </c>
      <c r="J4819" s="86">
        <f t="shared" si="3"/>
        <v>0</v>
      </c>
      <c r="R4819" s="26"/>
    </row>
    <row r="4820" spans="1:18" ht="15.75" customHeight="1">
      <c r="A4820" s="26"/>
      <c r="B4820" s="86"/>
      <c r="D4820" s="26"/>
      <c r="F4820" s="87" t="str">
        <f t="shared" si="0"/>
        <v/>
      </c>
      <c r="H4820" s="26" t="str">
        <f t="shared" si="1"/>
        <v/>
      </c>
      <c r="I4820" s="26" t="str">
        <f t="shared" si="2"/>
        <v/>
      </c>
      <c r="J4820" s="86">
        <f t="shared" si="3"/>
        <v>0</v>
      </c>
      <c r="R4820" s="26"/>
    </row>
    <row r="4821" spans="1:18" ht="15.75" customHeight="1">
      <c r="A4821" s="26"/>
      <c r="B4821" s="86"/>
      <c r="D4821" s="26"/>
      <c r="F4821" s="87" t="str">
        <f t="shared" si="0"/>
        <v/>
      </c>
      <c r="H4821" s="26" t="str">
        <f t="shared" si="1"/>
        <v/>
      </c>
      <c r="I4821" s="26" t="str">
        <f t="shared" si="2"/>
        <v/>
      </c>
      <c r="J4821" s="86">
        <f t="shared" si="3"/>
        <v>0</v>
      </c>
      <c r="R4821" s="26"/>
    </row>
    <row r="4822" spans="1:18" ht="15.75" customHeight="1">
      <c r="A4822" s="26"/>
      <c r="B4822" s="86"/>
      <c r="D4822" s="26"/>
      <c r="F4822" s="87" t="str">
        <f t="shared" si="0"/>
        <v/>
      </c>
      <c r="H4822" s="26" t="str">
        <f t="shared" si="1"/>
        <v/>
      </c>
      <c r="I4822" s="26" t="str">
        <f t="shared" si="2"/>
        <v/>
      </c>
      <c r="J4822" s="86">
        <f t="shared" si="3"/>
        <v>0</v>
      </c>
      <c r="R4822" s="26"/>
    </row>
    <row r="4823" spans="1:18" ht="15.75" customHeight="1">
      <c r="A4823" s="26"/>
      <c r="B4823" s="86"/>
      <c r="D4823" s="26"/>
      <c r="F4823" s="87" t="str">
        <f t="shared" si="0"/>
        <v/>
      </c>
      <c r="H4823" s="26" t="str">
        <f t="shared" si="1"/>
        <v/>
      </c>
      <c r="I4823" s="26" t="str">
        <f t="shared" si="2"/>
        <v/>
      </c>
      <c r="J4823" s="86">
        <f t="shared" si="3"/>
        <v>0</v>
      </c>
      <c r="R4823" s="26"/>
    </row>
    <row r="4824" spans="1:18" ht="15.75" customHeight="1">
      <c r="A4824" s="26"/>
      <c r="B4824" s="86"/>
      <c r="D4824" s="26"/>
      <c r="F4824" s="87" t="str">
        <f t="shared" si="0"/>
        <v/>
      </c>
      <c r="H4824" s="26" t="str">
        <f t="shared" si="1"/>
        <v/>
      </c>
      <c r="I4824" s="26" t="str">
        <f t="shared" si="2"/>
        <v/>
      </c>
      <c r="J4824" s="86">
        <f t="shared" si="3"/>
        <v>0</v>
      </c>
      <c r="R4824" s="26"/>
    </row>
    <row r="4825" spans="1:18" ht="15.75" customHeight="1">
      <c r="A4825" s="26"/>
      <c r="B4825" s="86"/>
      <c r="D4825" s="26"/>
      <c r="F4825" s="87" t="str">
        <f t="shared" si="0"/>
        <v/>
      </c>
      <c r="H4825" s="26" t="str">
        <f t="shared" si="1"/>
        <v/>
      </c>
      <c r="I4825" s="26" t="str">
        <f t="shared" si="2"/>
        <v/>
      </c>
      <c r="J4825" s="86">
        <f t="shared" si="3"/>
        <v>0</v>
      </c>
      <c r="R4825" s="26"/>
    </row>
    <row r="4826" spans="1:18" ht="15.75" customHeight="1">
      <c r="A4826" s="26"/>
      <c r="B4826" s="86"/>
      <c r="D4826" s="26"/>
      <c r="F4826" s="87" t="str">
        <f t="shared" si="0"/>
        <v/>
      </c>
      <c r="H4826" s="26" t="str">
        <f t="shared" si="1"/>
        <v/>
      </c>
      <c r="I4826" s="26" t="str">
        <f t="shared" si="2"/>
        <v/>
      </c>
      <c r="J4826" s="86">
        <f t="shared" si="3"/>
        <v>0</v>
      </c>
      <c r="R4826" s="26"/>
    </row>
    <row r="4827" spans="1:18" ht="15.75" customHeight="1">
      <c r="A4827" s="26"/>
      <c r="B4827" s="86"/>
      <c r="D4827" s="26"/>
      <c r="F4827" s="87" t="str">
        <f t="shared" si="0"/>
        <v/>
      </c>
      <c r="H4827" s="26" t="str">
        <f t="shared" si="1"/>
        <v/>
      </c>
      <c r="I4827" s="26" t="str">
        <f t="shared" si="2"/>
        <v/>
      </c>
      <c r="J4827" s="86">
        <f t="shared" si="3"/>
        <v>0</v>
      </c>
      <c r="R4827" s="26"/>
    </row>
    <row r="4828" spans="1:18" ht="15.75" customHeight="1">
      <c r="A4828" s="26"/>
      <c r="B4828" s="86"/>
      <c r="D4828" s="26"/>
      <c r="F4828" s="87" t="str">
        <f t="shared" si="0"/>
        <v/>
      </c>
      <c r="H4828" s="26" t="str">
        <f t="shared" si="1"/>
        <v/>
      </c>
      <c r="I4828" s="26" t="str">
        <f t="shared" si="2"/>
        <v/>
      </c>
      <c r="J4828" s="86">
        <f t="shared" si="3"/>
        <v>0</v>
      </c>
      <c r="R4828" s="26"/>
    </row>
    <row r="4829" spans="1:18" ht="15.75" customHeight="1">
      <c r="A4829" s="26"/>
      <c r="B4829" s="86"/>
      <c r="D4829" s="26"/>
      <c r="F4829" s="87" t="str">
        <f t="shared" si="0"/>
        <v/>
      </c>
      <c r="H4829" s="26" t="str">
        <f t="shared" si="1"/>
        <v/>
      </c>
      <c r="I4829" s="26" t="str">
        <f t="shared" si="2"/>
        <v/>
      </c>
      <c r="J4829" s="86">
        <f t="shared" si="3"/>
        <v>0</v>
      </c>
      <c r="R4829" s="26"/>
    </row>
    <row r="4830" spans="1:18" ht="15.75" customHeight="1">
      <c r="A4830" s="26"/>
      <c r="B4830" s="86"/>
      <c r="D4830" s="26"/>
      <c r="F4830" s="87" t="str">
        <f t="shared" si="0"/>
        <v/>
      </c>
      <c r="H4830" s="26" t="str">
        <f t="shared" si="1"/>
        <v/>
      </c>
      <c r="I4830" s="26" t="str">
        <f t="shared" si="2"/>
        <v/>
      </c>
      <c r="J4830" s="86">
        <f t="shared" si="3"/>
        <v>0</v>
      </c>
      <c r="R4830" s="26"/>
    </row>
    <row r="4831" spans="1:18" ht="15.75" customHeight="1">
      <c r="A4831" s="26"/>
      <c r="B4831" s="86"/>
      <c r="D4831" s="26"/>
      <c r="F4831" s="87" t="str">
        <f t="shared" si="0"/>
        <v/>
      </c>
      <c r="H4831" s="26" t="str">
        <f t="shared" si="1"/>
        <v/>
      </c>
      <c r="I4831" s="26" t="str">
        <f t="shared" si="2"/>
        <v/>
      </c>
      <c r="J4831" s="86">
        <f t="shared" si="3"/>
        <v>0</v>
      </c>
      <c r="R4831" s="26"/>
    </row>
    <row r="4832" spans="1:18" ht="15.75" customHeight="1">
      <c r="A4832" s="26"/>
      <c r="B4832" s="86"/>
      <c r="D4832" s="26"/>
      <c r="F4832" s="87" t="str">
        <f t="shared" si="0"/>
        <v/>
      </c>
      <c r="H4832" s="26" t="str">
        <f t="shared" si="1"/>
        <v/>
      </c>
      <c r="I4832" s="26" t="str">
        <f t="shared" si="2"/>
        <v/>
      </c>
      <c r="J4832" s="86">
        <f t="shared" si="3"/>
        <v>0</v>
      </c>
      <c r="R4832" s="26"/>
    </row>
    <row r="4833" spans="1:18" ht="15.75" customHeight="1">
      <c r="A4833" s="26"/>
      <c r="B4833" s="86"/>
      <c r="D4833" s="26"/>
      <c r="F4833" s="87" t="str">
        <f t="shared" si="0"/>
        <v/>
      </c>
      <c r="H4833" s="26" t="str">
        <f t="shared" si="1"/>
        <v/>
      </c>
      <c r="I4833" s="26" t="str">
        <f t="shared" si="2"/>
        <v/>
      </c>
      <c r="J4833" s="86">
        <f t="shared" si="3"/>
        <v>0</v>
      </c>
      <c r="R4833" s="26"/>
    </row>
    <row r="4834" spans="1:18" ht="15.75" customHeight="1">
      <c r="A4834" s="26"/>
      <c r="B4834" s="86"/>
      <c r="D4834" s="26"/>
      <c r="F4834" s="87" t="str">
        <f t="shared" si="0"/>
        <v/>
      </c>
      <c r="H4834" s="26" t="str">
        <f t="shared" si="1"/>
        <v/>
      </c>
      <c r="I4834" s="26" t="str">
        <f t="shared" si="2"/>
        <v/>
      </c>
      <c r="J4834" s="86">
        <f t="shared" si="3"/>
        <v>0</v>
      </c>
      <c r="R4834" s="26"/>
    </row>
    <row r="4835" spans="1:18" ht="15.75" customHeight="1">
      <c r="A4835" s="26"/>
      <c r="B4835" s="86"/>
      <c r="D4835" s="26"/>
      <c r="F4835" s="87" t="str">
        <f t="shared" si="0"/>
        <v/>
      </c>
      <c r="H4835" s="26" t="str">
        <f t="shared" si="1"/>
        <v/>
      </c>
      <c r="I4835" s="26" t="str">
        <f t="shared" si="2"/>
        <v/>
      </c>
      <c r="J4835" s="86">
        <f t="shared" si="3"/>
        <v>0</v>
      </c>
      <c r="R4835" s="26"/>
    </row>
    <row r="4836" spans="1:18" ht="15.75" customHeight="1">
      <c r="A4836" s="26"/>
      <c r="B4836" s="86"/>
      <c r="D4836" s="26"/>
      <c r="F4836" s="87" t="str">
        <f t="shared" si="0"/>
        <v/>
      </c>
      <c r="H4836" s="26" t="str">
        <f t="shared" si="1"/>
        <v/>
      </c>
      <c r="I4836" s="26" t="str">
        <f t="shared" si="2"/>
        <v/>
      </c>
      <c r="J4836" s="86">
        <f t="shared" si="3"/>
        <v>0</v>
      </c>
      <c r="R4836" s="26"/>
    </row>
    <row r="4837" spans="1:18" ht="15.75" customHeight="1">
      <c r="A4837" s="26"/>
      <c r="B4837" s="86"/>
      <c r="D4837" s="26"/>
      <c r="F4837" s="87" t="str">
        <f t="shared" si="0"/>
        <v/>
      </c>
      <c r="H4837" s="26" t="str">
        <f t="shared" si="1"/>
        <v/>
      </c>
      <c r="I4837" s="26" t="str">
        <f t="shared" si="2"/>
        <v/>
      </c>
      <c r="J4837" s="86">
        <f t="shared" si="3"/>
        <v>0</v>
      </c>
      <c r="R4837" s="26"/>
    </row>
    <row r="4838" spans="1:18" ht="15.75" customHeight="1">
      <c r="A4838" s="26"/>
      <c r="B4838" s="86"/>
      <c r="D4838" s="26"/>
      <c r="F4838" s="87" t="str">
        <f t="shared" si="0"/>
        <v/>
      </c>
      <c r="H4838" s="26" t="str">
        <f t="shared" si="1"/>
        <v/>
      </c>
      <c r="I4838" s="26" t="str">
        <f t="shared" si="2"/>
        <v/>
      </c>
      <c r="J4838" s="86">
        <f t="shared" si="3"/>
        <v>0</v>
      </c>
      <c r="R4838" s="26"/>
    </row>
    <row r="4839" spans="1:18" ht="15.75" customHeight="1">
      <c r="A4839" s="26"/>
      <c r="B4839" s="86"/>
      <c r="D4839" s="26"/>
      <c r="F4839" s="87" t="str">
        <f t="shared" si="0"/>
        <v/>
      </c>
      <c r="H4839" s="26" t="str">
        <f t="shared" si="1"/>
        <v/>
      </c>
      <c r="I4839" s="26" t="str">
        <f t="shared" si="2"/>
        <v/>
      </c>
      <c r="J4839" s="86">
        <f t="shared" si="3"/>
        <v>0</v>
      </c>
      <c r="R4839" s="26"/>
    </row>
    <row r="4840" spans="1:18" ht="15.75" customHeight="1">
      <c r="A4840" s="26"/>
      <c r="B4840" s="86"/>
      <c r="D4840" s="26"/>
      <c r="F4840" s="87" t="str">
        <f t="shared" si="0"/>
        <v/>
      </c>
      <c r="H4840" s="26" t="str">
        <f t="shared" si="1"/>
        <v/>
      </c>
      <c r="I4840" s="26" t="str">
        <f t="shared" si="2"/>
        <v/>
      </c>
      <c r="J4840" s="86">
        <f t="shared" si="3"/>
        <v>0</v>
      </c>
      <c r="R4840" s="26"/>
    </row>
    <row r="4841" spans="1:18" ht="15.75" customHeight="1">
      <c r="A4841" s="26"/>
      <c r="B4841" s="86"/>
      <c r="D4841" s="26"/>
      <c r="F4841" s="87" t="str">
        <f t="shared" si="0"/>
        <v/>
      </c>
      <c r="H4841" s="26" t="str">
        <f t="shared" si="1"/>
        <v/>
      </c>
      <c r="I4841" s="26" t="str">
        <f t="shared" si="2"/>
        <v/>
      </c>
      <c r="J4841" s="86">
        <f t="shared" si="3"/>
        <v>0</v>
      </c>
      <c r="R4841" s="26"/>
    </row>
    <row r="4842" spans="1:18" ht="15.75" customHeight="1">
      <c r="A4842" s="26"/>
      <c r="B4842" s="86"/>
      <c r="D4842" s="26"/>
      <c r="F4842" s="87" t="str">
        <f t="shared" si="0"/>
        <v/>
      </c>
      <c r="H4842" s="26" t="str">
        <f t="shared" si="1"/>
        <v/>
      </c>
      <c r="I4842" s="26" t="str">
        <f t="shared" si="2"/>
        <v/>
      </c>
      <c r="J4842" s="86">
        <f t="shared" si="3"/>
        <v>0</v>
      </c>
      <c r="R4842" s="26"/>
    </row>
    <row r="4843" spans="1:18" ht="15.75" customHeight="1">
      <c r="A4843" s="26"/>
      <c r="B4843" s="86"/>
      <c r="D4843" s="26"/>
      <c r="F4843" s="87" t="str">
        <f t="shared" si="0"/>
        <v/>
      </c>
      <c r="H4843" s="26" t="str">
        <f t="shared" si="1"/>
        <v/>
      </c>
      <c r="I4843" s="26" t="str">
        <f t="shared" si="2"/>
        <v/>
      </c>
      <c r="J4843" s="86">
        <f t="shared" si="3"/>
        <v>0</v>
      </c>
      <c r="R4843" s="26"/>
    </row>
    <row r="4844" spans="1:18" ht="15.75" customHeight="1">
      <c r="A4844" s="26"/>
      <c r="B4844" s="86"/>
      <c r="D4844" s="26"/>
      <c r="F4844" s="87" t="str">
        <f t="shared" si="0"/>
        <v/>
      </c>
      <c r="H4844" s="26" t="str">
        <f t="shared" si="1"/>
        <v/>
      </c>
      <c r="I4844" s="26" t="str">
        <f t="shared" si="2"/>
        <v/>
      </c>
      <c r="J4844" s="86">
        <f t="shared" si="3"/>
        <v>0</v>
      </c>
      <c r="R4844" s="26"/>
    </row>
    <row r="4845" spans="1:18" ht="15.75" customHeight="1">
      <c r="A4845" s="26"/>
      <c r="B4845" s="86"/>
      <c r="D4845" s="26"/>
      <c r="F4845" s="87" t="str">
        <f t="shared" si="0"/>
        <v/>
      </c>
      <c r="H4845" s="26" t="str">
        <f t="shared" si="1"/>
        <v/>
      </c>
      <c r="I4845" s="26" t="str">
        <f t="shared" si="2"/>
        <v/>
      </c>
      <c r="J4845" s="86">
        <f t="shared" si="3"/>
        <v>0</v>
      </c>
      <c r="R4845" s="26"/>
    </row>
    <row r="4846" spans="1:18" ht="15.75" customHeight="1">
      <c r="A4846" s="26"/>
      <c r="B4846" s="86"/>
      <c r="D4846" s="26"/>
      <c r="F4846" s="87" t="str">
        <f t="shared" si="0"/>
        <v/>
      </c>
      <c r="H4846" s="26" t="str">
        <f t="shared" si="1"/>
        <v/>
      </c>
      <c r="I4846" s="26" t="str">
        <f t="shared" si="2"/>
        <v/>
      </c>
      <c r="J4846" s="86">
        <f t="shared" si="3"/>
        <v>0</v>
      </c>
      <c r="R4846" s="26"/>
    </row>
    <row r="4847" spans="1:18" ht="15.75" customHeight="1">
      <c r="A4847" s="26"/>
      <c r="B4847" s="86"/>
      <c r="D4847" s="26"/>
      <c r="F4847" s="87" t="str">
        <f t="shared" si="0"/>
        <v/>
      </c>
      <c r="H4847" s="26" t="str">
        <f t="shared" si="1"/>
        <v/>
      </c>
      <c r="I4847" s="26" t="str">
        <f t="shared" si="2"/>
        <v/>
      </c>
      <c r="J4847" s="86">
        <f t="shared" si="3"/>
        <v>0</v>
      </c>
      <c r="R4847" s="26"/>
    </row>
    <row r="4848" spans="1:18" ht="15.75" customHeight="1">
      <c r="A4848" s="26"/>
      <c r="B4848" s="86"/>
      <c r="D4848" s="26"/>
      <c r="F4848" s="87" t="str">
        <f t="shared" si="0"/>
        <v/>
      </c>
      <c r="H4848" s="26" t="str">
        <f t="shared" si="1"/>
        <v/>
      </c>
      <c r="I4848" s="26" t="str">
        <f t="shared" si="2"/>
        <v/>
      </c>
      <c r="J4848" s="86">
        <f t="shared" si="3"/>
        <v>0</v>
      </c>
      <c r="R4848" s="26"/>
    </row>
    <row r="4849" spans="1:18" ht="15.75" customHeight="1">
      <c r="A4849" s="26"/>
      <c r="B4849" s="86"/>
      <c r="D4849" s="26"/>
      <c r="F4849" s="87" t="str">
        <f t="shared" si="0"/>
        <v/>
      </c>
      <c r="H4849" s="26" t="str">
        <f t="shared" si="1"/>
        <v/>
      </c>
      <c r="I4849" s="26" t="str">
        <f t="shared" si="2"/>
        <v/>
      </c>
      <c r="J4849" s="86">
        <f t="shared" si="3"/>
        <v>0</v>
      </c>
      <c r="R4849" s="26"/>
    </row>
    <row r="4850" spans="1:18" ht="15.75" customHeight="1">
      <c r="A4850" s="26"/>
      <c r="B4850" s="86"/>
      <c r="D4850" s="26"/>
      <c r="F4850" s="87" t="str">
        <f t="shared" si="0"/>
        <v/>
      </c>
      <c r="H4850" s="26" t="str">
        <f t="shared" si="1"/>
        <v/>
      </c>
      <c r="I4850" s="26" t="str">
        <f t="shared" si="2"/>
        <v/>
      </c>
      <c r="J4850" s="86">
        <f t="shared" si="3"/>
        <v>0</v>
      </c>
      <c r="R4850" s="26"/>
    </row>
    <row r="4851" spans="1:18" ht="15.75" customHeight="1">
      <c r="A4851" s="26"/>
      <c r="B4851" s="86"/>
      <c r="D4851" s="26"/>
      <c r="F4851" s="87" t="str">
        <f t="shared" si="0"/>
        <v/>
      </c>
      <c r="H4851" s="26" t="str">
        <f t="shared" si="1"/>
        <v/>
      </c>
      <c r="I4851" s="26" t="str">
        <f t="shared" si="2"/>
        <v/>
      </c>
      <c r="J4851" s="86">
        <f t="shared" si="3"/>
        <v>0</v>
      </c>
      <c r="R4851" s="26"/>
    </row>
    <row r="4852" spans="1:18" ht="15.75" customHeight="1">
      <c r="A4852" s="26"/>
      <c r="B4852" s="86"/>
      <c r="D4852" s="26"/>
      <c r="F4852" s="87" t="str">
        <f t="shared" si="0"/>
        <v/>
      </c>
      <c r="H4852" s="26" t="str">
        <f t="shared" si="1"/>
        <v/>
      </c>
      <c r="I4852" s="26" t="str">
        <f t="shared" si="2"/>
        <v/>
      </c>
      <c r="J4852" s="86">
        <f t="shared" si="3"/>
        <v>0</v>
      </c>
      <c r="R4852" s="26"/>
    </row>
    <row r="4853" spans="1:18" ht="15.75" customHeight="1">
      <c r="A4853" s="26"/>
      <c r="B4853" s="86"/>
      <c r="D4853" s="26"/>
      <c r="F4853" s="87" t="str">
        <f t="shared" si="0"/>
        <v/>
      </c>
      <c r="H4853" s="26" t="str">
        <f t="shared" si="1"/>
        <v/>
      </c>
      <c r="I4853" s="26" t="str">
        <f t="shared" si="2"/>
        <v/>
      </c>
      <c r="J4853" s="86">
        <f t="shared" si="3"/>
        <v>0</v>
      </c>
      <c r="R4853" s="26"/>
    </row>
    <row r="4854" spans="1:18" ht="15.75" customHeight="1">
      <c r="A4854" s="26"/>
      <c r="B4854" s="86"/>
      <c r="D4854" s="26"/>
      <c r="F4854" s="87" t="str">
        <f t="shared" si="0"/>
        <v/>
      </c>
      <c r="H4854" s="26" t="str">
        <f t="shared" si="1"/>
        <v/>
      </c>
      <c r="I4854" s="26" t="str">
        <f t="shared" si="2"/>
        <v/>
      </c>
      <c r="J4854" s="86">
        <f t="shared" si="3"/>
        <v>0</v>
      </c>
      <c r="R4854" s="26"/>
    </row>
    <row r="4855" spans="1:18" ht="15.75" customHeight="1">
      <c r="A4855" s="26"/>
      <c r="B4855" s="86"/>
      <c r="D4855" s="26"/>
      <c r="F4855" s="87" t="str">
        <f t="shared" si="0"/>
        <v/>
      </c>
      <c r="H4855" s="26" t="str">
        <f t="shared" si="1"/>
        <v/>
      </c>
      <c r="I4855" s="26" t="str">
        <f t="shared" si="2"/>
        <v/>
      </c>
      <c r="J4855" s="86">
        <f t="shared" si="3"/>
        <v>0</v>
      </c>
      <c r="R4855" s="26"/>
    </row>
    <row r="4856" spans="1:18" ht="15.75" customHeight="1">
      <c r="A4856" s="26"/>
      <c r="B4856" s="86"/>
      <c r="D4856" s="26"/>
      <c r="F4856" s="87" t="str">
        <f t="shared" si="0"/>
        <v/>
      </c>
      <c r="H4856" s="26" t="str">
        <f t="shared" si="1"/>
        <v/>
      </c>
      <c r="I4856" s="26" t="str">
        <f t="shared" si="2"/>
        <v/>
      </c>
      <c r="J4856" s="86">
        <f t="shared" si="3"/>
        <v>0</v>
      </c>
      <c r="R4856" s="26"/>
    </row>
    <row r="4857" spans="1:18" ht="15.75" customHeight="1">
      <c r="A4857" s="26"/>
      <c r="B4857" s="86"/>
      <c r="D4857" s="26"/>
      <c r="F4857" s="87" t="str">
        <f t="shared" si="0"/>
        <v/>
      </c>
      <c r="H4857" s="26" t="str">
        <f t="shared" si="1"/>
        <v/>
      </c>
      <c r="I4857" s="26" t="str">
        <f t="shared" si="2"/>
        <v/>
      </c>
      <c r="J4857" s="86">
        <f t="shared" si="3"/>
        <v>0</v>
      </c>
      <c r="R4857" s="26"/>
    </row>
    <row r="4858" spans="1:18" ht="15.75" customHeight="1">
      <c r="A4858" s="26"/>
      <c r="B4858" s="86"/>
      <c r="D4858" s="26"/>
      <c r="F4858" s="87" t="str">
        <f t="shared" si="0"/>
        <v/>
      </c>
      <c r="H4858" s="26" t="str">
        <f t="shared" si="1"/>
        <v/>
      </c>
      <c r="I4858" s="26" t="str">
        <f t="shared" si="2"/>
        <v/>
      </c>
      <c r="J4858" s="86">
        <f t="shared" si="3"/>
        <v>0</v>
      </c>
      <c r="R4858" s="26"/>
    </row>
    <row r="4859" spans="1:18" ht="15.75" customHeight="1">
      <c r="A4859" s="26"/>
      <c r="B4859" s="86"/>
      <c r="D4859" s="26"/>
      <c r="F4859" s="87" t="str">
        <f t="shared" si="0"/>
        <v/>
      </c>
      <c r="H4859" s="26" t="str">
        <f t="shared" si="1"/>
        <v/>
      </c>
      <c r="I4859" s="26" t="str">
        <f t="shared" si="2"/>
        <v/>
      </c>
      <c r="J4859" s="86">
        <f t="shared" si="3"/>
        <v>0</v>
      </c>
      <c r="R4859" s="26"/>
    </row>
    <row r="4860" spans="1:18" ht="15.75" customHeight="1">
      <c r="A4860" s="26"/>
      <c r="B4860" s="86"/>
      <c r="D4860" s="26"/>
      <c r="F4860" s="87" t="str">
        <f t="shared" si="0"/>
        <v/>
      </c>
      <c r="H4860" s="26" t="str">
        <f t="shared" si="1"/>
        <v/>
      </c>
      <c r="I4860" s="26" t="str">
        <f t="shared" si="2"/>
        <v/>
      </c>
      <c r="J4860" s="86">
        <f t="shared" si="3"/>
        <v>0</v>
      </c>
      <c r="R4860" s="26"/>
    </row>
    <row r="4861" spans="1:18" ht="15.75" customHeight="1">
      <c r="A4861" s="26"/>
      <c r="B4861" s="86"/>
      <c r="D4861" s="26"/>
      <c r="F4861" s="87" t="str">
        <f t="shared" si="0"/>
        <v/>
      </c>
      <c r="H4861" s="26" t="str">
        <f t="shared" si="1"/>
        <v/>
      </c>
      <c r="I4861" s="26" t="str">
        <f t="shared" si="2"/>
        <v/>
      </c>
      <c r="J4861" s="86">
        <f t="shared" si="3"/>
        <v>0</v>
      </c>
      <c r="R4861" s="26"/>
    </row>
    <row r="4862" spans="1:18" ht="15.75" customHeight="1">
      <c r="A4862" s="26"/>
      <c r="B4862" s="86"/>
      <c r="D4862" s="26"/>
      <c r="F4862" s="87" t="str">
        <f t="shared" si="0"/>
        <v/>
      </c>
      <c r="H4862" s="26" t="str">
        <f t="shared" si="1"/>
        <v/>
      </c>
      <c r="I4862" s="26" t="str">
        <f t="shared" si="2"/>
        <v/>
      </c>
      <c r="J4862" s="86">
        <f t="shared" si="3"/>
        <v>0</v>
      </c>
      <c r="R4862" s="26"/>
    </row>
    <row r="4863" spans="1:18" ht="15.75" customHeight="1">
      <c r="A4863" s="26"/>
      <c r="B4863" s="86"/>
      <c r="D4863" s="26"/>
      <c r="F4863" s="87" t="str">
        <f t="shared" si="0"/>
        <v/>
      </c>
      <c r="H4863" s="26" t="str">
        <f t="shared" si="1"/>
        <v/>
      </c>
      <c r="I4863" s="26" t="str">
        <f t="shared" si="2"/>
        <v/>
      </c>
      <c r="J4863" s="86">
        <f t="shared" si="3"/>
        <v>0</v>
      </c>
      <c r="R4863" s="26"/>
    </row>
    <row r="4864" spans="1:18" ht="15.75" customHeight="1">
      <c r="A4864" s="26"/>
      <c r="B4864" s="86"/>
      <c r="D4864" s="26"/>
      <c r="F4864" s="87" t="str">
        <f t="shared" si="0"/>
        <v/>
      </c>
      <c r="H4864" s="26" t="str">
        <f t="shared" si="1"/>
        <v/>
      </c>
      <c r="I4864" s="26" t="str">
        <f t="shared" si="2"/>
        <v/>
      </c>
      <c r="J4864" s="86">
        <f t="shared" si="3"/>
        <v>0</v>
      </c>
      <c r="R4864" s="26"/>
    </row>
    <row r="4865" spans="1:18" ht="15.75" customHeight="1">
      <c r="A4865" s="26"/>
      <c r="B4865" s="86"/>
      <c r="D4865" s="26"/>
      <c r="F4865" s="87" t="str">
        <f t="shared" si="0"/>
        <v/>
      </c>
      <c r="H4865" s="26" t="str">
        <f t="shared" si="1"/>
        <v/>
      </c>
      <c r="I4865" s="26" t="str">
        <f t="shared" si="2"/>
        <v/>
      </c>
      <c r="J4865" s="86">
        <f t="shared" si="3"/>
        <v>0</v>
      </c>
      <c r="R4865" s="26"/>
    </row>
    <row r="4866" spans="1:18" ht="15.75" customHeight="1">
      <c r="A4866" s="26"/>
      <c r="B4866" s="86"/>
      <c r="D4866" s="26"/>
      <c r="F4866" s="87" t="str">
        <f t="shared" si="0"/>
        <v/>
      </c>
      <c r="H4866" s="26" t="str">
        <f t="shared" si="1"/>
        <v/>
      </c>
      <c r="I4866" s="26" t="str">
        <f t="shared" si="2"/>
        <v/>
      </c>
      <c r="J4866" s="86">
        <f t="shared" si="3"/>
        <v>0</v>
      </c>
      <c r="R4866" s="26"/>
    </row>
    <row r="4867" spans="1:18" ht="15.75" customHeight="1">
      <c r="A4867" s="26"/>
      <c r="B4867" s="86"/>
      <c r="D4867" s="26"/>
      <c r="F4867" s="87" t="str">
        <f t="shared" si="0"/>
        <v/>
      </c>
      <c r="H4867" s="26" t="str">
        <f t="shared" si="1"/>
        <v/>
      </c>
      <c r="I4867" s="26" t="str">
        <f t="shared" si="2"/>
        <v/>
      </c>
      <c r="J4867" s="86">
        <f t="shared" si="3"/>
        <v>0</v>
      </c>
      <c r="R4867" s="26"/>
    </row>
    <row r="4868" spans="1:18" ht="15.75" customHeight="1">
      <c r="A4868" s="26"/>
      <c r="B4868" s="86"/>
      <c r="D4868" s="26"/>
      <c r="F4868" s="87" t="str">
        <f t="shared" si="0"/>
        <v/>
      </c>
      <c r="H4868" s="26" t="str">
        <f t="shared" si="1"/>
        <v/>
      </c>
      <c r="I4868" s="26" t="str">
        <f t="shared" si="2"/>
        <v/>
      </c>
      <c r="J4868" s="86">
        <f t="shared" si="3"/>
        <v>0</v>
      </c>
      <c r="R4868" s="26"/>
    </row>
    <row r="4869" spans="1:18" ht="15.75" customHeight="1">
      <c r="A4869" s="26"/>
      <c r="B4869" s="86"/>
      <c r="D4869" s="26"/>
      <c r="F4869" s="87" t="str">
        <f t="shared" si="0"/>
        <v/>
      </c>
      <c r="H4869" s="26" t="str">
        <f t="shared" si="1"/>
        <v/>
      </c>
      <c r="I4869" s="26" t="str">
        <f t="shared" si="2"/>
        <v/>
      </c>
      <c r="J4869" s="86">
        <f t="shared" si="3"/>
        <v>0</v>
      </c>
      <c r="R4869" s="26"/>
    </row>
    <row r="4870" spans="1:18" ht="15.75" customHeight="1">
      <c r="A4870" s="26"/>
      <c r="B4870" s="86"/>
      <c r="D4870" s="26"/>
      <c r="F4870" s="87" t="str">
        <f t="shared" si="0"/>
        <v/>
      </c>
      <c r="H4870" s="26" t="str">
        <f t="shared" si="1"/>
        <v/>
      </c>
      <c r="I4870" s="26" t="str">
        <f t="shared" si="2"/>
        <v/>
      </c>
      <c r="J4870" s="86">
        <f t="shared" si="3"/>
        <v>0</v>
      </c>
      <c r="R4870" s="26"/>
    </row>
    <row r="4871" spans="1:18" ht="15.75" customHeight="1">
      <c r="A4871" s="26"/>
      <c r="B4871" s="86"/>
      <c r="D4871" s="26"/>
      <c r="F4871" s="87" t="str">
        <f t="shared" si="0"/>
        <v/>
      </c>
      <c r="H4871" s="26" t="str">
        <f t="shared" si="1"/>
        <v/>
      </c>
      <c r="I4871" s="26" t="str">
        <f t="shared" si="2"/>
        <v/>
      </c>
      <c r="J4871" s="86">
        <f t="shared" si="3"/>
        <v>0</v>
      </c>
      <c r="R4871" s="26"/>
    </row>
    <row r="4872" spans="1:18" ht="15.75" customHeight="1">
      <c r="A4872" s="26"/>
      <c r="B4872" s="86"/>
      <c r="D4872" s="26"/>
      <c r="F4872" s="87" t="str">
        <f t="shared" si="0"/>
        <v/>
      </c>
      <c r="H4872" s="26" t="str">
        <f t="shared" si="1"/>
        <v/>
      </c>
      <c r="I4872" s="26" t="str">
        <f t="shared" si="2"/>
        <v/>
      </c>
      <c r="J4872" s="86">
        <f t="shared" si="3"/>
        <v>0</v>
      </c>
      <c r="R4872" s="26"/>
    </row>
    <row r="4873" spans="1:18" ht="15.75" customHeight="1">
      <c r="A4873" s="26"/>
      <c r="B4873" s="86"/>
      <c r="D4873" s="26"/>
      <c r="F4873" s="87" t="str">
        <f t="shared" si="0"/>
        <v/>
      </c>
      <c r="H4873" s="26" t="str">
        <f t="shared" si="1"/>
        <v/>
      </c>
      <c r="I4873" s="26" t="str">
        <f t="shared" si="2"/>
        <v/>
      </c>
      <c r="J4873" s="86">
        <f t="shared" si="3"/>
        <v>0</v>
      </c>
      <c r="R4873" s="26"/>
    </row>
    <row r="4874" spans="1:18" ht="15.75" customHeight="1">
      <c r="A4874" s="26"/>
      <c r="B4874" s="86"/>
      <c r="D4874" s="26"/>
      <c r="F4874" s="87" t="str">
        <f t="shared" si="0"/>
        <v/>
      </c>
      <c r="H4874" s="26" t="str">
        <f t="shared" si="1"/>
        <v/>
      </c>
      <c r="I4874" s="26" t="str">
        <f t="shared" si="2"/>
        <v/>
      </c>
      <c r="J4874" s="86">
        <f t="shared" si="3"/>
        <v>0</v>
      </c>
      <c r="R4874" s="26"/>
    </row>
    <row r="4875" spans="1:18" ht="15.75" customHeight="1">
      <c r="A4875" s="26"/>
      <c r="B4875" s="86"/>
      <c r="D4875" s="26"/>
      <c r="F4875" s="87" t="str">
        <f t="shared" si="0"/>
        <v/>
      </c>
      <c r="H4875" s="26" t="str">
        <f t="shared" si="1"/>
        <v/>
      </c>
      <c r="I4875" s="26" t="str">
        <f t="shared" si="2"/>
        <v/>
      </c>
      <c r="J4875" s="86">
        <f t="shared" si="3"/>
        <v>0</v>
      </c>
      <c r="R4875" s="26"/>
    </row>
    <row r="4876" spans="1:18" ht="15.75" customHeight="1">
      <c r="A4876" s="26"/>
      <c r="B4876" s="86"/>
      <c r="D4876" s="26"/>
      <c r="F4876" s="87" t="str">
        <f t="shared" si="0"/>
        <v/>
      </c>
      <c r="H4876" s="26" t="str">
        <f t="shared" si="1"/>
        <v/>
      </c>
      <c r="I4876" s="26" t="str">
        <f t="shared" si="2"/>
        <v/>
      </c>
      <c r="J4876" s="86">
        <f t="shared" si="3"/>
        <v>0</v>
      </c>
      <c r="R4876" s="26"/>
    </row>
    <row r="4877" spans="1:18" ht="15.75" customHeight="1">
      <c r="A4877" s="26"/>
      <c r="B4877" s="86"/>
      <c r="D4877" s="26"/>
      <c r="F4877" s="87" t="str">
        <f t="shared" si="0"/>
        <v/>
      </c>
      <c r="H4877" s="26" t="str">
        <f t="shared" si="1"/>
        <v/>
      </c>
      <c r="I4877" s="26" t="str">
        <f t="shared" si="2"/>
        <v/>
      </c>
      <c r="J4877" s="86">
        <f t="shared" si="3"/>
        <v>0</v>
      </c>
      <c r="R4877" s="26"/>
    </row>
    <row r="4878" spans="1:18" ht="15.75" customHeight="1">
      <c r="A4878" s="26"/>
      <c r="B4878" s="86"/>
      <c r="D4878" s="26"/>
      <c r="F4878" s="87" t="str">
        <f t="shared" si="0"/>
        <v/>
      </c>
      <c r="H4878" s="26" t="str">
        <f t="shared" si="1"/>
        <v/>
      </c>
      <c r="I4878" s="26" t="str">
        <f t="shared" si="2"/>
        <v/>
      </c>
      <c r="J4878" s="86">
        <f t="shared" si="3"/>
        <v>0</v>
      </c>
      <c r="R4878" s="26"/>
    </row>
    <row r="4879" spans="1:18" ht="15.75" customHeight="1">
      <c r="A4879" s="26"/>
      <c r="B4879" s="86"/>
      <c r="D4879" s="26"/>
      <c r="F4879" s="87" t="str">
        <f t="shared" si="0"/>
        <v/>
      </c>
      <c r="H4879" s="26" t="str">
        <f t="shared" si="1"/>
        <v/>
      </c>
      <c r="I4879" s="26" t="str">
        <f t="shared" si="2"/>
        <v/>
      </c>
      <c r="J4879" s="86">
        <f t="shared" si="3"/>
        <v>0</v>
      </c>
      <c r="R4879" s="26"/>
    </row>
    <row r="4880" spans="1:18" ht="15.75" customHeight="1">
      <c r="A4880" s="26"/>
      <c r="B4880" s="86"/>
      <c r="D4880" s="26"/>
      <c r="F4880" s="87" t="str">
        <f t="shared" si="0"/>
        <v/>
      </c>
      <c r="H4880" s="26" t="str">
        <f t="shared" si="1"/>
        <v/>
      </c>
      <c r="I4880" s="26" t="str">
        <f t="shared" si="2"/>
        <v/>
      </c>
      <c r="J4880" s="86">
        <f t="shared" si="3"/>
        <v>0</v>
      </c>
      <c r="R4880" s="26"/>
    </row>
    <row r="4881" spans="1:18" ht="15.75" customHeight="1">
      <c r="A4881" s="26"/>
      <c r="B4881" s="86"/>
      <c r="D4881" s="26"/>
      <c r="F4881" s="87" t="str">
        <f t="shared" si="0"/>
        <v/>
      </c>
      <c r="H4881" s="26" t="str">
        <f t="shared" si="1"/>
        <v/>
      </c>
      <c r="I4881" s="26" t="str">
        <f t="shared" si="2"/>
        <v/>
      </c>
      <c r="J4881" s="86">
        <f t="shared" si="3"/>
        <v>0</v>
      </c>
      <c r="R4881" s="26"/>
    </row>
    <row r="4882" spans="1:18" ht="15.75" customHeight="1">
      <c r="A4882" s="26"/>
      <c r="B4882" s="86"/>
      <c r="D4882" s="26"/>
      <c r="F4882" s="87" t="str">
        <f t="shared" si="0"/>
        <v/>
      </c>
      <c r="H4882" s="26" t="str">
        <f t="shared" si="1"/>
        <v/>
      </c>
      <c r="I4882" s="26" t="str">
        <f t="shared" si="2"/>
        <v/>
      </c>
      <c r="J4882" s="86">
        <f t="shared" si="3"/>
        <v>0</v>
      </c>
      <c r="R4882" s="26"/>
    </row>
    <row r="4883" spans="1:18" ht="15.75" customHeight="1">
      <c r="A4883" s="26"/>
      <c r="B4883" s="86"/>
      <c r="D4883" s="26"/>
      <c r="F4883" s="87" t="str">
        <f t="shared" si="0"/>
        <v/>
      </c>
      <c r="H4883" s="26" t="str">
        <f t="shared" si="1"/>
        <v/>
      </c>
      <c r="I4883" s="26" t="str">
        <f t="shared" si="2"/>
        <v/>
      </c>
      <c r="J4883" s="86">
        <f t="shared" si="3"/>
        <v>0</v>
      </c>
      <c r="R4883" s="26"/>
    </row>
    <row r="4884" spans="1:18" ht="15.75" customHeight="1">
      <c r="A4884" s="26"/>
      <c r="B4884" s="86"/>
      <c r="D4884" s="26"/>
      <c r="F4884" s="87" t="str">
        <f t="shared" si="0"/>
        <v/>
      </c>
      <c r="H4884" s="26" t="str">
        <f t="shared" si="1"/>
        <v/>
      </c>
      <c r="I4884" s="26" t="str">
        <f t="shared" si="2"/>
        <v/>
      </c>
      <c r="J4884" s="86">
        <f t="shared" si="3"/>
        <v>0</v>
      </c>
      <c r="R4884" s="26"/>
    </row>
    <row r="4885" spans="1:18" ht="15.75" customHeight="1">
      <c r="A4885" s="26"/>
      <c r="B4885" s="86"/>
      <c r="D4885" s="26"/>
      <c r="F4885" s="87" t="str">
        <f t="shared" si="0"/>
        <v/>
      </c>
      <c r="H4885" s="26" t="str">
        <f t="shared" si="1"/>
        <v/>
      </c>
      <c r="I4885" s="26" t="str">
        <f t="shared" si="2"/>
        <v/>
      </c>
      <c r="J4885" s="86">
        <f t="shared" si="3"/>
        <v>0</v>
      </c>
      <c r="R4885" s="26"/>
    </row>
    <row r="4886" spans="1:18" ht="15.75" customHeight="1">
      <c r="A4886" s="26"/>
      <c r="B4886" s="86"/>
      <c r="D4886" s="26"/>
      <c r="F4886" s="87" t="str">
        <f t="shared" si="0"/>
        <v/>
      </c>
      <c r="H4886" s="26" t="str">
        <f t="shared" si="1"/>
        <v/>
      </c>
      <c r="I4886" s="26" t="str">
        <f t="shared" si="2"/>
        <v/>
      </c>
      <c r="J4886" s="86">
        <f t="shared" si="3"/>
        <v>0</v>
      </c>
      <c r="R4886" s="26"/>
    </row>
    <row r="4887" spans="1:18" ht="15.75" customHeight="1">
      <c r="A4887" s="26"/>
      <c r="B4887" s="86"/>
      <c r="D4887" s="26"/>
      <c r="F4887" s="87" t="str">
        <f t="shared" si="0"/>
        <v/>
      </c>
      <c r="H4887" s="26" t="str">
        <f t="shared" si="1"/>
        <v/>
      </c>
      <c r="I4887" s="26" t="str">
        <f t="shared" si="2"/>
        <v/>
      </c>
      <c r="J4887" s="86">
        <f t="shared" si="3"/>
        <v>0</v>
      </c>
      <c r="R4887" s="26"/>
    </row>
    <row r="4888" spans="1:18" ht="15.75" customHeight="1">
      <c r="A4888" s="26"/>
      <c r="B4888" s="86"/>
      <c r="D4888" s="26"/>
      <c r="F4888" s="87" t="str">
        <f t="shared" si="0"/>
        <v/>
      </c>
      <c r="H4888" s="26" t="str">
        <f t="shared" si="1"/>
        <v/>
      </c>
      <c r="I4888" s="26" t="str">
        <f t="shared" si="2"/>
        <v/>
      </c>
      <c r="J4888" s="86">
        <f t="shared" si="3"/>
        <v>0</v>
      </c>
      <c r="R4888" s="26"/>
    </row>
    <row r="4889" spans="1:18" ht="15.75" customHeight="1">
      <c r="A4889" s="26"/>
      <c r="B4889" s="86"/>
      <c r="D4889" s="26"/>
      <c r="F4889" s="87" t="str">
        <f t="shared" si="0"/>
        <v/>
      </c>
      <c r="H4889" s="26" t="str">
        <f t="shared" si="1"/>
        <v/>
      </c>
      <c r="I4889" s="26" t="str">
        <f t="shared" si="2"/>
        <v/>
      </c>
      <c r="J4889" s="86">
        <f t="shared" si="3"/>
        <v>0</v>
      </c>
      <c r="R4889" s="26"/>
    </row>
    <row r="4890" spans="1:18" ht="15.75" customHeight="1">
      <c r="A4890" s="26"/>
      <c r="B4890" s="86"/>
      <c r="D4890" s="26"/>
      <c r="F4890" s="87" t="str">
        <f t="shared" si="0"/>
        <v/>
      </c>
      <c r="H4890" s="26" t="str">
        <f t="shared" si="1"/>
        <v/>
      </c>
      <c r="I4890" s="26" t="str">
        <f t="shared" si="2"/>
        <v/>
      </c>
      <c r="J4890" s="86">
        <f t="shared" si="3"/>
        <v>0</v>
      </c>
      <c r="R4890" s="26"/>
    </row>
    <row r="4891" spans="1:18" ht="15.75" customHeight="1">
      <c r="A4891" s="26"/>
      <c r="B4891" s="86"/>
      <c r="D4891" s="26"/>
      <c r="F4891" s="87" t="str">
        <f t="shared" si="0"/>
        <v/>
      </c>
      <c r="H4891" s="26" t="str">
        <f t="shared" si="1"/>
        <v/>
      </c>
      <c r="I4891" s="26" t="str">
        <f t="shared" si="2"/>
        <v/>
      </c>
      <c r="J4891" s="86">
        <f t="shared" si="3"/>
        <v>0</v>
      </c>
      <c r="R4891" s="26"/>
    </row>
    <row r="4892" spans="1:18" ht="15.75" customHeight="1">
      <c r="A4892" s="26"/>
      <c r="B4892" s="86"/>
      <c r="D4892" s="26"/>
      <c r="F4892" s="87" t="str">
        <f t="shared" si="0"/>
        <v/>
      </c>
      <c r="H4892" s="26" t="str">
        <f t="shared" si="1"/>
        <v/>
      </c>
      <c r="I4892" s="26" t="str">
        <f t="shared" si="2"/>
        <v/>
      </c>
      <c r="J4892" s="86">
        <f t="shared" si="3"/>
        <v>0</v>
      </c>
      <c r="R4892" s="26"/>
    </row>
    <row r="4893" spans="1:18" ht="15.75" customHeight="1">
      <c r="A4893" s="26"/>
      <c r="B4893" s="86"/>
      <c r="D4893" s="26"/>
      <c r="F4893" s="87" t="str">
        <f t="shared" si="0"/>
        <v/>
      </c>
      <c r="H4893" s="26" t="str">
        <f t="shared" si="1"/>
        <v/>
      </c>
      <c r="I4893" s="26" t="str">
        <f t="shared" si="2"/>
        <v/>
      </c>
      <c r="J4893" s="86">
        <f t="shared" si="3"/>
        <v>0</v>
      </c>
      <c r="R4893" s="26"/>
    </row>
    <row r="4894" spans="1:18" ht="15.75" customHeight="1">
      <c r="A4894" s="26"/>
      <c r="B4894" s="86"/>
      <c r="D4894" s="26"/>
      <c r="F4894" s="87" t="str">
        <f t="shared" si="0"/>
        <v/>
      </c>
      <c r="H4894" s="26" t="str">
        <f t="shared" si="1"/>
        <v/>
      </c>
      <c r="I4894" s="26" t="str">
        <f t="shared" si="2"/>
        <v/>
      </c>
      <c r="J4894" s="86">
        <f t="shared" si="3"/>
        <v>0</v>
      </c>
      <c r="R4894" s="26"/>
    </row>
    <row r="4895" spans="1:18" ht="15.75" customHeight="1">
      <c r="A4895" s="26"/>
      <c r="B4895" s="86"/>
      <c r="D4895" s="26"/>
      <c r="F4895" s="87" t="str">
        <f t="shared" si="0"/>
        <v/>
      </c>
      <c r="H4895" s="26" t="str">
        <f t="shared" si="1"/>
        <v/>
      </c>
      <c r="I4895" s="26" t="str">
        <f t="shared" si="2"/>
        <v/>
      </c>
      <c r="J4895" s="86">
        <f t="shared" si="3"/>
        <v>0</v>
      </c>
      <c r="R4895" s="26"/>
    </row>
    <row r="4896" spans="1:18" ht="15.75" customHeight="1">
      <c r="A4896" s="26"/>
      <c r="B4896" s="86"/>
      <c r="D4896" s="26"/>
      <c r="F4896" s="87" t="str">
        <f t="shared" si="0"/>
        <v/>
      </c>
      <c r="H4896" s="26" t="str">
        <f t="shared" si="1"/>
        <v/>
      </c>
      <c r="I4896" s="26" t="str">
        <f t="shared" si="2"/>
        <v/>
      </c>
      <c r="J4896" s="86">
        <f t="shared" si="3"/>
        <v>0</v>
      </c>
      <c r="R4896" s="26"/>
    </row>
    <row r="4897" spans="1:18" ht="15.75" customHeight="1">
      <c r="A4897" s="26"/>
      <c r="B4897" s="86"/>
      <c r="D4897" s="26"/>
      <c r="F4897" s="87" t="str">
        <f t="shared" si="0"/>
        <v/>
      </c>
      <c r="H4897" s="26" t="str">
        <f t="shared" si="1"/>
        <v/>
      </c>
      <c r="I4897" s="26" t="str">
        <f t="shared" si="2"/>
        <v/>
      </c>
      <c r="J4897" s="86">
        <f t="shared" si="3"/>
        <v>0</v>
      </c>
      <c r="R4897" s="26"/>
    </row>
    <row r="4898" spans="1:18" ht="15.75" customHeight="1">
      <c r="A4898" s="26"/>
      <c r="B4898" s="86"/>
      <c r="D4898" s="26"/>
      <c r="F4898" s="87" t="str">
        <f t="shared" si="0"/>
        <v/>
      </c>
      <c r="H4898" s="26" t="str">
        <f t="shared" si="1"/>
        <v/>
      </c>
      <c r="I4898" s="26" t="str">
        <f t="shared" si="2"/>
        <v/>
      </c>
      <c r="J4898" s="86">
        <f t="shared" si="3"/>
        <v>0</v>
      </c>
      <c r="R4898" s="26"/>
    </row>
    <row r="4899" spans="1:18" ht="15.75" customHeight="1">
      <c r="A4899" s="26"/>
      <c r="B4899" s="86"/>
      <c r="D4899" s="26"/>
      <c r="F4899" s="87" t="str">
        <f t="shared" si="0"/>
        <v/>
      </c>
      <c r="H4899" s="26" t="str">
        <f t="shared" si="1"/>
        <v/>
      </c>
      <c r="I4899" s="26" t="str">
        <f t="shared" si="2"/>
        <v/>
      </c>
      <c r="J4899" s="86">
        <f t="shared" si="3"/>
        <v>0</v>
      </c>
      <c r="R4899" s="26"/>
    </row>
    <row r="4900" spans="1:18" ht="15.75" customHeight="1">
      <c r="A4900" s="26"/>
      <c r="B4900" s="86"/>
      <c r="D4900" s="26"/>
      <c r="F4900" s="87" t="str">
        <f t="shared" si="0"/>
        <v/>
      </c>
      <c r="H4900" s="26" t="str">
        <f t="shared" si="1"/>
        <v/>
      </c>
      <c r="I4900" s="26" t="str">
        <f t="shared" si="2"/>
        <v/>
      </c>
      <c r="J4900" s="86">
        <f t="shared" si="3"/>
        <v>0</v>
      </c>
      <c r="R4900" s="26"/>
    </row>
    <row r="4901" spans="1:18" ht="15.75" customHeight="1">
      <c r="A4901" s="26"/>
      <c r="B4901" s="86"/>
      <c r="D4901" s="26"/>
      <c r="F4901" s="87" t="str">
        <f t="shared" si="0"/>
        <v/>
      </c>
      <c r="H4901" s="26" t="str">
        <f t="shared" si="1"/>
        <v/>
      </c>
      <c r="I4901" s="26" t="str">
        <f t="shared" si="2"/>
        <v/>
      </c>
      <c r="J4901" s="86">
        <f t="shared" si="3"/>
        <v>0</v>
      </c>
      <c r="R4901" s="26"/>
    </row>
    <row r="4902" spans="1:18" ht="15.75" customHeight="1">
      <c r="A4902" s="26"/>
      <c r="B4902" s="86"/>
      <c r="D4902" s="26"/>
      <c r="F4902" s="87" t="str">
        <f t="shared" si="0"/>
        <v/>
      </c>
      <c r="H4902" s="26" t="str">
        <f t="shared" si="1"/>
        <v/>
      </c>
      <c r="I4902" s="26" t="str">
        <f t="shared" si="2"/>
        <v/>
      </c>
      <c r="J4902" s="86">
        <f t="shared" si="3"/>
        <v>0</v>
      </c>
      <c r="R4902" s="26"/>
    </row>
    <row r="4903" spans="1:18" ht="15.75" customHeight="1">
      <c r="A4903" s="26"/>
      <c r="B4903" s="86"/>
      <c r="D4903" s="26"/>
      <c r="F4903" s="87" t="str">
        <f t="shared" si="0"/>
        <v/>
      </c>
      <c r="H4903" s="26" t="str">
        <f t="shared" si="1"/>
        <v/>
      </c>
      <c r="I4903" s="26" t="str">
        <f t="shared" si="2"/>
        <v/>
      </c>
      <c r="J4903" s="86">
        <f t="shared" si="3"/>
        <v>0</v>
      </c>
      <c r="R4903" s="26"/>
    </row>
    <row r="4904" spans="1:18" ht="15.75" customHeight="1">
      <c r="A4904" s="26"/>
      <c r="B4904" s="86"/>
      <c r="D4904" s="26"/>
      <c r="F4904" s="87" t="str">
        <f t="shared" si="0"/>
        <v/>
      </c>
      <c r="H4904" s="26" t="str">
        <f t="shared" si="1"/>
        <v/>
      </c>
      <c r="I4904" s="26" t="str">
        <f t="shared" si="2"/>
        <v/>
      </c>
      <c r="J4904" s="86">
        <f t="shared" si="3"/>
        <v>0</v>
      </c>
      <c r="R4904" s="26"/>
    </row>
    <row r="4905" spans="1:18" ht="15.75" customHeight="1">
      <c r="A4905" s="26"/>
      <c r="B4905" s="86"/>
      <c r="D4905" s="26"/>
      <c r="F4905" s="87" t="str">
        <f t="shared" si="0"/>
        <v/>
      </c>
      <c r="H4905" s="26" t="str">
        <f t="shared" si="1"/>
        <v/>
      </c>
      <c r="I4905" s="26" t="str">
        <f t="shared" si="2"/>
        <v/>
      </c>
      <c r="J4905" s="86">
        <f t="shared" si="3"/>
        <v>0</v>
      </c>
      <c r="R4905" s="26"/>
    </row>
    <row r="4906" spans="1:18" ht="15.75" customHeight="1">
      <c r="A4906" s="26"/>
      <c r="B4906" s="86"/>
      <c r="D4906" s="26"/>
      <c r="F4906" s="87" t="str">
        <f t="shared" si="0"/>
        <v/>
      </c>
      <c r="H4906" s="26" t="str">
        <f t="shared" si="1"/>
        <v/>
      </c>
      <c r="I4906" s="26" t="str">
        <f t="shared" si="2"/>
        <v/>
      </c>
      <c r="J4906" s="86">
        <f t="shared" si="3"/>
        <v>0</v>
      </c>
      <c r="R4906" s="26"/>
    </row>
    <row r="4907" spans="1:18" ht="15.75" customHeight="1">
      <c r="A4907" s="26"/>
      <c r="B4907" s="86"/>
      <c r="D4907" s="26"/>
      <c r="F4907" s="87" t="str">
        <f t="shared" si="0"/>
        <v/>
      </c>
      <c r="H4907" s="26" t="str">
        <f t="shared" si="1"/>
        <v/>
      </c>
      <c r="I4907" s="26" t="str">
        <f t="shared" si="2"/>
        <v/>
      </c>
      <c r="J4907" s="86">
        <f t="shared" si="3"/>
        <v>0</v>
      </c>
      <c r="R4907" s="26"/>
    </row>
    <row r="4908" spans="1:18" ht="15.75" customHeight="1">
      <c r="A4908" s="26"/>
      <c r="B4908" s="86"/>
      <c r="D4908" s="26"/>
      <c r="F4908" s="87" t="str">
        <f t="shared" si="0"/>
        <v/>
      </c>
      <c r="H4908" s="26" t="str">
        <f t="shared" si="1"/>
        <v/>
      </c>
      <c r="I4908" s="26" t="str">
        <f t="shared" si="2"/>
        <v/>
      </c>
      <c r="J4908" s="86">
        <f t="shared" si="3"/>
        <v>0</v>
      </c>
      <c r="R4908" s="26"/>
    </row>
    <row r="4909" spans="1:18" ht="15.75" customHeight="1">
      <c r="A4909" s="26"/>
      <c r="B4909" s="86"/>
      <c r="D4909" s="26"/>
      <c r="F4909" s="87" t="str">
        <f t="shared" si="0"/>
        <v/>
      </c>
      <c r="H4909" s="26" t="str">
        <f t="shared" si="1"/>
        <v/>
      </c>
      <c r="I4909" s="26" t="str">
        <f t="shared" si="2"/>
        <v/>
      </c>
      <c r="J4909" s="86">
        <f t="shared" si="3"/>
        <v>0</v>
      </c>
      <c r="R4909" s="26"/>
    </row>
    <row r="4910" spans="1:18" ht="15.75" customHeight="1">
      <c r="A4910" s="26"/>
      <c r="B4910" s="86"/>
      <c r="D4910" s="26"/>
      <c r="F4910" s="87" t="str">
        <f t="shared" si="0"/>
        <v/>
      </c>
      <c r="H4910" s="26" t="str">
        <f t="shared" si="1"/>
        <v/>
      </c>
      <c r="I4910" s="26" t="str">
        <f t="shared" si="2"/>
        <v/>
      </c>
      <c r="J4910" s="86">
        <f t="shared" si="3"/>
        <v>0</v>
      </c>
      <c r="R4910" s="26"/>
    </row>
    <row r="4911" spans="1:18" ht="15.75" customHeight="1">
      <c r="A4911" s="26"/>
      <c r="B4911" s="86"/>
      <c r="D4911" s="26"/>
      <c r="F4911" s="87" t="str">
        <f t="shared" si="0"/>
        <v/>
      </c>
      <c r="H4911" s="26" t="str">
        <f t="shared" si="1"/>
        <v/>
      </c>
      <c r="I4911" s="26" t="str">
        <f t="shared" si="2"/>
        <v/>
      </c>
      <c r="J4911" s="86">
        <f t="shared" si="3"/>
        <v>0</v>
      </c>
      <c r="R4911" s="26"/>
    </row>
    <row r="4912" spans="1:18" ht="15.75" customHeight="1">
      <c r="A4912" s="26"/>
      <c r="B4912" s="86"/>
      <c r="D4912" s="26"/>
      <c r="F4912" s="87" t="str">
        <f t="shared" si="0"/>
        <v/>
      </c>
      <c r="H4912" s="26" t="str">
        <f t="shared" si="1"/>
        <v/>
      </c>
      <c r="I4912" s="26" t="str">
        <f t="shared" si="2"/>
        <v/>
      </c>
      <c r="J4912" s="86">
        <f t="shared" si="3"/>
        <v>0</v>
      </c>
      <c r="R4912" s="26"/>
    </row>
    <row r="4913" spans="1:18" ht="15.75" customHeight="1">
      <c r="A4913" s="26"/>
      <c r="B4913" s="86"/>
      <c r="D4913" s="26"/>
      <c r="F4913" s="87" t="str">
        <f t="shared" si="0"/>
        <v/>
      </c>
      <c r="H4913" s="26" t="str">
        <f t="shared" si="1"/>
        <v/>
      </c>
      <c r="I4913" s="26" t="str">
        <f t="shared" si="2"/>
        <v/>
      </c>
      <c r="J4913" s="86">
        <f t="shared" si="3"/>
        <v>0</v>
      </c>
      <c r="R4913" s="26"/>
    </row>
    <row r="4914" spans="1:18" ht="15.75" customHeight="1">
      <c r="A4914" s="26"/>
      <c r="B4914" s="86"/>
      <c r="D4914" s="26"/>
      <c r="F4914" s="87" t="str">
        <f t="shared" si="0"/>
        <v/>
      </c>
      <c r="H4914" s="26" t="str">
        <f t="shared" si="1"/>
        <v/>
      </c>
      <c r="I4914" s="26" t="str">
        <f t="shared" si="2"/>
        <v/>
      </c>
      <c r="J4914" s="86">
        <f t="shared" si="3"/>
        <v>0</v>
      </c>
      <c r="R4914" s="26"/>
    </row>
    <row r="4915" spans="1:18" ht="15.75" customHeight="1">
      <c r="A4915" s="26"/>
      <c r="B4915" s="86"/>
      <c r="D4915" s="26"/>
      <c r="F4915" s="87" t="str">
        <f t="shared" si="0"/>
        <v/>
      </c>
      <c r="H4915" s="26" t="str">
        <f t="shared" si="1"/>
        <v/>
      </c>
      <c r="I4915" s="26" t="str">
        <f t="shared" si="2"/>
        <v/>
      </c>
      <c r="J4915" s="86">
        <f t="shared" si="3"/>
        <v>0</v>
      </c>
      <c r="R4915" s="26"/>
    </row>
    <row r="4916" spans="1:18" ht="15.75" customHeight="1">
      <c r="A4916" s="26"/>
      <c r="B4916" s="86"/>
      <c r="D4916" s="26"/>
      <c r="F4916" s="87" t="str">
        <f t="shared" si="0"/>
        <v/>
      </c>
      <c r="H4916" s="26" t="str">
        <f t="shared" si="1"/>
        <v/>
      </c>
      <c r="I4916" s="26" t="str">
        <f t="shared" si="2"/>
        <v/>
      </c>
      <c r="J4916" s="86">
        <f t="shared" si="3"/>
        <v>0</v>
      </c>
      <c r="R4916" s="26"/>
    </row>
    <row r="4917" spans="1:18" ht="15.75" customHeight="1">
      <c r="A4917" s="26"/>
      <c r="B4917" s="86"/>
      <c r="D4917" s="26"/>
      <c r="F4917" s="87" t="str">
        <f t="shared" si="0"/>
        <v/>
      </c>
      <c r="H4917" s="26" t="str">
        <f t="shared" si="1"/>
        <v/>
      </c>
      <c r="I4917" s="26" t="str">
        <f t="shared" si="2"/>
        <v/>
      </c>
      <c r="J4917" s="86">
        <f t="shared" si="3"/>
        <v>0</v>
      </c>
      <c r="R4917" s="26"/>
    </row>
    <row r="4918" spans="1:18" ht="15.75" customHeight="1">
      <c r="A4918" s="26"/>
      <c r="B4918" s="86"/>
      <c r="D4918" s="26"/>
      <c r="F4918" s="87" t="str">
        <f t="shared" si="0"/>
        <v/>
      </c>
      <c r="H4918" s="26" t="str">
        <f t="shared" si="1"/>
        <v/>
      </c>
      <c r="I4918" s="26" t="str">
        <f t="shared" si="2"/>
        <v/>
      </c>
      <c r="J4918" s="86">
        <f t="shared" si="3"/>
        <v>0</v>
      </c>
      <c r="R4918" s="26"/>
    </row>
    <row r="4919" spans="1:18" ht="15.75" customHeight="1">
      <c r="A4919" s="26"/>
      <c r="B4919" s="86"/>
      <c r="D4919" s="26"/>
      <c r="F4919" s="87" t="str">
        <f t="shared" si="0"/>
        <v/>
      </c>
      <c r="H4919" s="26" t="str">
        <f t="shared" si="1"/>
        <v/>
      </c>
      <c r="I4919" s="26" t="str">
        <f t="shared" si="2"/>
        <v/>
      </c>
      <c r="J4919" s="86">
        <f t="shared" si="3"/>
        <v>0</v>
      </c>
      <c r="R4919" s="26"/>
    </row>
    <row r="4920" spans="1:18" ht="15.75" customHeight="1">
      <c r="A4920" s="26"/>
      <c r="B4920" s="86"/>
      <c r="D4920" s="26"/>
      <c r="F4920" s="87" t="str">
        <f t="shared" si="0"/>
        <v/>
      </c>
      <c r="H4920" s="26" t="str">
        <f t="shared" si="1"/>
        <v/>
      </c>
      <c r="I4920" s="26" t="str">
        <f t="shared" si="2"/>
        <v/>
      </c>
      <c r="J4920" s="86">
        <f t="shared" si="3"/>
        <v>0</v>
      </c>
      <c r="R4920" s="26"/>
    </row>
    <row r="4921" spans="1:18" ht="15.75" customHeight="1">
      <c r="A4921" s="26"/>
      <c r="B4921" s="86"/>
      <c r="D4921" s="26"/>
      <c r="F4921" s="87" t="str">
        <f t="shared" si="0"/>
        <v/>
      </c>
      <c r="H4921" s="26" t="str">
        <f t="shared" si="1"/>
        <v/>
      </c>
      <c r="I4921" s="26" t="str">
        <f t="shared" si="2"/>
        <v/>
      </c>
      <c r="J4921" s="86">
        <f t="shared" si="3"/>
        <v>0</v>
      </c>
      <c r="R4921" s="26"/>
    </row>
    <row r="4922" spans="1:18" ht="15.75" customHeight="1">
      <c r="A4922" s="26"/>
      <c r="B4922" s="86"/>
      <c r="D4922" s="26"/>
      <c r="F4922" s="87" t="str">
        <f t="shared" si="0"/>
        <v/>
      </c>
      <c r="H4922" s="26" t="str">
        <f t="shared" si="1"/>
        <v/>
      </c>
      <c r="I4922" s="26" t="str">
        <f t="shared" si="2"/>
        <v/>
      </c>
      <c r="J4922" s="86">
        <f t="shared" si="3"/>
        <v>0</v>
      </c>
      <c r="R4922" s="26"/>
    </row>
    <row r="4923" spans="1:18" ht="15.75" customHeight="1">
      <c r="A4923" s="26"/>
      <c r="B4923" s="86"/>
      <c r="D4923" s="26"/>
      <c r="F4923" s="87" t="str">
        <f t="shared" si="0"/>
        <v/>
      </c>
      <c r="H4923" s="26" t="str">
        <f t="shared" si="1"/>
        <v/>
      </c>
      <c r="I4923" s="26" t="str">
        <f t="shared" si="2"/>
        <v/>
      </c>
      <c r="J4923" s="86">
        <f t="shared" si="3"/>
        <v>0</v>
      </c>
      <c r="R4923" s="26"/>
    </row>
    <row r="4924" spans="1:18" ht="15.75" customHeight="1">
      <c r="A4924" s="26"/>
      <c r="B4924" s="86"/>
      <c r="D4924" s="26"/>
      <c r="F4924" s="87" t="str">
        <f t="shared" si="0"/>
        <v/>
      </c>
      <c r="H4924" s="26" t="str">
        <f t="shared" si="1"/>
        <v/>
      </c>
      <c r="I4924" s="26" t="str">
        <f t="shared" si="2"/>
        <v/>
      </c>
      <c r="J4924" s="86">
        <f t="shared" si="3"/>
        <v>0</v>
      </c>
      <c r="R4924" s="26"/>
    </row>
    <row r="4925" spans="1:18" ht="15.75" customHeight="1">
      <c r="A4925" s="26"/>
      <c r="B4925" s="86"/>
      <c r="D4925" s="26"/>
      <c r="F4925" s="87" t="str">
        <f t="shared" si="0"/>
        <v/>
      </c>
      <c r="H4925" s="26" t="str">
        <f t="shared" si="1"/>
        <v/>
      </c>
      <c r="I4925" s="26" t="str">
        <f t="shared" si="2"/>
        <v/>
      </c>
      <c r="J4925" s="86">
        <f t="shared" si="3"/>
        <v>0</v>
      </c>
      <c r="R4925" s="26"/>
    </row>
    <row r="4926" spans="1:18" ht="15.75" customHeight="1">
      <c r="A4926" s="26"/>
      <c r="B4926" s="86"/>
      <c r="D4926" s="26"/>
      <c r="F4926" s="87" t="str">
        <f t="shared" si="0"/>
        <v/>
      </c>
      <c r="H4926" s="26" t="str">
        <f t="shared" si="1"/>
        <v/>
      </c>
      <c r="I4926" s="26" t="str">
        <f t="shared" si="2"/>
        <v/>
      </c>
      <c r="J4926" s="86">
        <f t="shared" si="3"/>
        <v>0</v>
      </c>
      <c r="R4926" s="26"/>
    </row>
    <row r="4927" spans="1:18" ht="15.75" customHeight="1">
      <c r="A4927" s="26"/>
      <c r="B4927" s="86"/>
      <c r="D4927" s="26"/>
      <c r="F4927" s="87" t="str">
        <f t="shared" si="0"/>
        <v/>
      </c>
      <c r="H4927" s="26" t="str">
        <f t="shared" si="1"/>
        <v/>
      </c>
      <c r="I4927" s="26" t="str">
        <f t="shared" si="2"/>
        <v/>
      </c>
      <c r="J4927" s="86">
        <f t="shared" si="3"/>
        <v>0</v>
      </c>
      <c r="R4927" s="26"/>
    </row>
    <row r="4928" spans="1:18" ht="15.75" customHeight="1">
      <c r="A4928" s="26"/>
      <c r="B4928" s="86"/>
      <c r="D4928" s="26"/>
      <c r="F4928" s="87" t="str">
        <f t="shared" si="0"/>
        <v/>
      </c>
      <c r="H4928" s="26" t="str">
        <f t="shared" si="1"/>
        <v/>
      </c>
      <c r="I4928" s="26" t="str">
        <f t="shared" si="2"/>
        <v/>
      </c>
      <c r="J4928" s="86">
        <f t="shared" si="3"/>
        <v>0</v>
      </c>
      <c r="R4928" s="26"/>
    </row>
    <row r="4929" spans="1:18" ht="15.75" customHeight="1">
      <c r="A4929" s="26"/>
      <c r="B4929" s="86"/>
      <c r="D4929" s="26"/>
      <c r="F4929" s="87" t="str">
        <f t="shared" si="0"/>
        <v/>
      </c>
      <c r="H4929" s="26" t="str">
        <f t="shared" si="1"/>
        <v/>
      </c>
      <c r="I4929" s="26" t="str">
        <f t="shared" si="2"/>
        <v/>
      </c>
      <c r="J4929" s="86">
        <f t="shared" si="3"/>
        <v>0</v>
      </c>
      <c r="R4929" s="26"/>
    </row>
    <row r="4930" spans="1:18" ht="15.75" customHeight="1">
      <c r="A4930" s="26"/>
      <c r="B4930" s="86"/>
      <c r="D4930" s="26"/>
      <c r="F4930" s="87" t="str">
        <f t="shared" si="0"/>
        <v/>
      </c>
      <c r="H4930" s="26" t="str">
        <f t="shared" si="1"/>
        <v/>
      </c>
      <c r="I4930" s="26" t="str">
        <f t="shared" si="2"/>
        <v/>
      </c>
      <c r="J4930" s="86">
        <f t="shared" si="3"/>
        <v>0</v>
      </c>
      <c r="R4930" s="26"/>
    </row>
    <row r="4931" spans="1:18" ht="15.75" customHeight="1">
      <c r="A4931" s="26"/>
      <c r="B4931" s="86"/>
      <c r="D4931" s="26"/>
      <c r="F4931" s="87" t="str">
        <f t="shared" si="0"/>
        <v/>
      </c>
      <c r="H4931" s="26" t="str">
        <f t="shared" si="1"/>
        <v/>
      </c>
      <c r="I4931" s="26" t="str">
        <f t="shared" si="2"/>
        <v/>
      </c>
      <c r="J4931" s="86">
        <f t="shared" si="3"/>
        <v>0</v>
      </c>
      <c r="R4931" s="26"/>
    </row>
    <row r="4932" spans="1:18" ht="15.75" customHeight="1">
      <c r="A4932" s="26"/>
      <c r="B4932" s="86"/>
      <c r="D4932" s="26"/>
      <c r="F4932" s="87" t="str">
        <f t="shared" si="0"/>
        <v/>
      </c>
      <c r="H4932" s="26" t="str">
        <f t="shared" si="1"/>
        <v/>
      </c>
      <c r="I4932" s="26" t="str">
        <f t="shared" si="2"/>
        <v/>
      </c>
      <c r="J4932" s="86">
        <f t="shared" si="3"/>
        <v>0</v>
      </c>
      <c r="R4932" s="26"/>
    </row>
    <row r="4933" spans="1:18" ht="15.75" customHeight="1">
      <c r="A4933" s="26"/>
      <c r="B4933" s="86"/>
      <c r="D4933" s="26"/>
      <c r="F4933" s="87" t="str">
        <f t="shared" si="0"/>
        <v/>
      </c>
      <c r="H4933" s="26" t="str">
        <f t="shared" si="1"/>
        <v/>
      </c>
      <c r="I4933" s="26" t="str">
        <f t="shared" si="2"/>
        <v/>
      </c>
      <c r="J4933" s="86">
        <f t="shared" si="3"/>
        <v>0</v>
      </c>
      <c r="R4933" s="26"/>
    </row>
    <row r="4934" spans="1:18" ht="15.75" customHeight="1">
      <c r="A4934" s="26"/>
      <c r="B4934" s="86"/>
      <c r="D4934" s="26"/>
      <c r="F4934" s="87" t="str">
        <f t="shared" si="0"/>
        <v/>
      </c>
      <c r="H4934" s="26" t="str">
        <f t="shared" si="1"/>
        <v/>
      </c>
      <c r="I4934" s="26" t="str">
        <f t="shared" si="2"/>
        <v/>
      </c>
      <c r="J4934" s="86">
        <f t="shared" si="3"/>
        <v>0</v>
      </c>
      <c r="R4934" s="26"/>
    </row>
    <row r="4935" spans="1:18" ht="15.75" customHeight="1">
      <c r="A4935" s="26"/>
      <c r="B4935" s="86"/>
      <c r="D4935" s="26"/>
      <c r="F4935" s="87" t="str">
        <f t="shared" si="0"/>
        <v/>
      </c>
      <c r="H4935" s="26" t="str">
        <f t="shared" si="1"/>
        <v/>
      </c>
      <c r="I4935" s="26" t="str">
        <f t="shared" si="2"/>
        <v/>
      </c>
      <c r="J4935" s="86">
        <f t="shared" si="3"/>
        <v>0</v>
      </c>
      <c r="R4935" s="26"/>
    </row>
    <row r="4936" spans="1:18" ht="15.75" customHeight="1">
      <c r="A4936" s="26"/>
      <c r="B4936" s="86"/>
      <c r="D4936" s="26"/>
      <c r="F4936" s="87" t="str">
        <f t="shared" si="0"/>
        <v/>
      </c>
      <c r="H4936" s="26" t="str">
        <f t="shared" si="1"/>
        <v/>
      </c>
      <c r="I4936" s="26" t="str">
        <f t="shared" si="2"/>
        <v/>
      </c>
      <c r="J4936" s="86">
        <f t="shared" si="3"/>
        <v>0</v>
      </c>
      <c r="R4936" s="26"/>
    </row>
    <row r="4937" spans="1:18" ht="15.75" customHeight="1">
      <c r="A4937" s="26"/>
      <c r="B4937" s="86"/>
      <c r="D4937" s="26"/>
      <c r="F4937" s="87" t="str">
        <f t="shared" si="0"/>
        <v/>
      </c>
      <c r="H4937" s="26" t="str">
        <f t="shared" si="1"/>
        <v/>
      </c>
      <c r="I4937" s="26" t="str">
        <f t="shared" si="2"/>
        <v/>
      </c>
      <c r="J4937" s="86">
        <f t="shared" si="3"/>
        <v>0</v>
      </c>
      <c r="R4937" s="26"/>
    </row>
    <row r="4938" spans="1:18" ht="15.75" customHeight="1">
      <c r="A4938" s="26"/>
      <c r="B4938" s="86"/>
      <c r="D4938" s="26"/>
      <c r="F4938" s="87" t="str">
        <f t="shared" si="0"/>
        <v/>
      </c>
      <c r="H4938" s="26" t="str">
        <f t="shared" si="1"/>
        <v/>
      </c>
      <c r="I4938" s="26" t="str">
        <f t="shared" si="2"/>
        <v/>
      </c>
      <c r="J4938" s="86">
        <f t="shared" si="3"/>
        <v>0</v>
      </c>
      <c r="R4938" s="26"/>
    </row>
    <row r="4939" spans="1:18" ht="15.75" customHeight="1">
      <c r="A4939" s="26"/>
      <c r="B4939" s="86"/>
      <c r="D4939" s="26"/>
      <c r="F4939" s="87" t="str">
        <f t="shared" si="0"/>
        <v/>
      </c>
      <c r="H4939" s="26" t="str">
        <f t="shared" si="1"/>
        <v/>
      </c>
      <c r="I4939" s="26" t="str">
        <f t="shared" si="2"/>
        <v/>
      </c>
      <c r="J4939" s="86">
        <f t="shared" si="3"/>
        <v>0</v>
      </c>
      <c r="R4939" s="26"/>
    </row>
    <row r="4940" spans="1:18" ht="15.75" customHeight="1">
      <c r="A4940" s="26"/>
      <c r="B4940" s="86"/>
      <c r="D4940" s="26"/>
      <c r="F4940" s="87" t="str">
        <f t="shared" si="0"/>
        <v/>
      </c>
      <c r="H4940" s="26" t="str">
        <f t="shared" si="1"/>
        <v/>
      </c>
      <c r="I4940" s="26" t="str">
        <f t="shared" si="2"/>
        <v/>
      </c>
      <c r="J4940" s="86">
        <f t="shared" si="3"/>
        <v>0</v>
      </c>
      <c r="R4940" s="26"/>
    </row>
    <row r="4941" spans="1:18" ht="15.75" customHeight="1">
      <c r="A4941" s="26"/>
      <c r="B4941" s="86"/>
      <c r="D4941" s="26"/>
      <c r="F4941" s="87" t="str">
        <f t="shared" si="0"/>
        <v/>
      </c>
      <c r="H4941" s="26" t="str">
        <f t="shared" si="1"/>
        <v/>
      </c>
      <c r="I4941" s="26" t="str">
        <f t="shared" si="2"/>
        <v/>
      </c>
      <c r="J4941" s="86">
        <f t="shared" si="3"/>
        <v>0</v>
      </c>
      <c r="R4941" s="26"/>
    </row>
    <row r="4942" spans="1:18" ht="15.75" customHeight="1">
      <c r="A4942" s="26"/>
      <c r="B4942" s="86"/>
      <c r="D4942" s="26"/>
      <c r="F4942" s="87" t="str">
        <f t="shared" si="0"/>
        <v/>
      </c>
      <c r="H4942" s="26" t="str">
        <f t="shared" si="1"/>
        <v/>
      </c>
      <c r="I4942" s="26" t="str">
        <f t="shared" si="2"/>
        <v/>
      </c>
      <c r="J4942" s="86">
        <f t="shared" si="3"/>
        <v>0</v>
      </c>
      <c r="R4942" s="26"/>
    </row>
    <row r="4943" spans="1:18" ht="15.75" customHeight="1">
      <c r="A4943" s="26"/>
      <c r="B4943" s="86"/>
      <c r="D4943" s="26"/>
      <c r="F4943" s="87" t="str">
        <f t="shared" si="0"/>
        <v/>
      </c>
      <c r="H4943" s="26" t="str">
        <f t="shared" si="1"/>
        <v/>
      </c>
      <c r="I4943" s="26" t="str">
        <f t="shared" si="2"/>
        <v/>
      </c>
      <c r="J4943" s="86">
        <f t="shared" si="3"/>
        <v>0</v>
      </c>
      <c r="R4943" s="26"/>
    </row>
    <row r="4944" spans="1:18" ht="15.75" customHeight="1">
      <c r="A4944" s="26"/>
      <c r="B4944" s="86"/>
      <c r="D4944" s="26"/>
      <c r="F4944" s="87" t="str">
        <f t="shared" si="0"/>
        <v/>
      </c>
      <c r="H4944" s="26" t="str">
        <f t="shared" si="1"/>
        <v/>
      </c>
      <c r="I4944" s="26" t="str">
        <f t="shared" si="2"/>
        <v/>
      </c>
      <c r="J4944" s="86">
        <f t="shared" si="3"/>
        <v>0</v>
      </c>
      <c r="R4944" s="26"/>
    </row>
    <row r="4945" spans="1:18" ht="15.75" customHeight="1">
      <c r="A4945" s="26"/>
      <c r="B4945" s="86"/>
      <c r="D4945" s="26"/>
      <c r="F4945" s="87" t="str">
        <f t="shared" si="0"/>
        <v/>
      </c>
      <c r="H4945" s="26" t="str">
        <f t="shared" si="1"/>
        <v/>
      </c>
      <c r="I4945" s="26" t="str">
        <f t="shared" si="2"/>
        <v/>
      </c>
      <c r="J4945" s="86">
        <f t="shared" si="3"/>
        <v>0</v>
      </c>
      <c r="R4945" s="26"/>
    </row>
    <row r="4946" spans="1:18" ht="15.75" customHeight="1">
      <c r="A4946" s="26"/>
      <c r="B4946" s="86"/>
      <c r="D4946" s="26"/>
      <c r="F4946" s="87" t="str">
        <f t="shared" si="0"/>
        <v/>
      </c>
      <c r="H4946" s="26" t="str">
        <f t="shared" si="1"/>
        <v/>
      </c>
      <c r="I4946" s="26" t="str">
        <f t="shared" si="2"/>
        <v/>
      </c>
      <c r="J4946" s="86">
        <f t="shared" si="3"/>
        <v>0</v>
      </c>
      <c r="R4946" s="26"/>
    </row>
    <row r="4947" spans="1:18" ht="15.75" customHeight="1">
      <c r="A4947" s="26"/>
      <c r="B4947" s="86"/>
      <c r="D4947" s="26"/>
      <c r="F4947" s="87" t="str">
        <f t="shared" si="0"/>
        <v/>
      </c>
      <c r="H4947" s="26" t="str">
        <f t="shared" si="1"/>
        <v/>
      </c>
      <c r="I4947" s="26" t="str">
        <f t="shared" si="2"/>
        <v/>
      </c>
      <c r="J4947" s="86">
        <f t="shared" si="3"/>
        <v>0</v>
      </c>
      <c r="R4947" s="26"/>
    </row>
    <row r="4948" spans="1:18" ht="15.75" customHeight="1">
      <c r="A4948" s="26"/>
      <c r="B4948" s="86"/>
      <c r="D4948" s="26"/>
      <c r="F4948" s="87" t="str">
        <f t="shared" si="0"/>
        <v/>
      </c>
      <c r="H4948" s="26" t="str">
        <f t="shared" si="1"/>
        <v/>
      </c>
      <c r="I4948" s="26" t="str">
        <f t="shared" si="2"/>
        <v/>
      </c>
      <c r="J4948" s="86">
        <f t="shared" si="3"/>
        <v>0</v>
      </c>
      <c r="R4948" s="26"/>
    </row>
    <row r="4949" spans="1:18" ht="15.75" customHeight="1">
      <c r="A4949" s="26"/>
      <c r="B4949" s="86"/>
      <c r="D4949" s="26"/>
      <c r="F4949" s="87" t="str">
        <f t="shared" si="0"/>
        <v/>
      </c>
      <c r="H4949" s="26" t="str">
        <f t="shared" si="1"/>
        <v/>
      </c>
      <c r="I4949" s="26" t="str">
        <f t="shared" si="2"/>
        <v/>
      </c>
      <c r="J4949" s="86">
        <f t="shared" si="3"/>
        <v>0</v>
      </c>
      <c r="R4949" s="26"/>
    </row>
    <row r="4950" spans="1:18" ht="15.75" customHeight="1">
      <c r="A4950" s="26"/>
      <c r="B4950" s="86"/>
      <c r="D4950" s="26"/>
      <c r="F4950" s="87" t="str">
        <f t="shared" si="0"/>
        <v/>
      </c>
      <c r="H4950" s="26" t="str">
        <f t="shared" si="1"/>
        <v/>
      </c>
      <c r="I4950" s="26" t="str">
        <f t="shared" si="2"/>
        <v/>
      </c>
      <c r="J4950" s="86">
        <f t="shared" si="3"/>
        <v>0</v>
      </c>
      <c r="R4950" s="26"/>
    </row>
    <row r="4951" spans="1:18" ht="15.75" customHeight="1">
      <c r="A4951" s="26"/>
      <c r="B4951" s="86"/>
      <c r="D4951" s="26"/>
      <c r="F4951" s="87" t="str">
        <f t="shared" si="0"/>
        <v/>
      </c>
      <c r="H4951" s="26" t="str">
        <f t="shared" si="1"/>
        <v/>
      </c>
      <c r="I4951" s="26" t="str">
        <f t="shared" si="2"/>
        <v/>
      </c>
      <c r="J4951" s="86">
        <f t="shared" si="3"/>
        <v>0</v>
      </c>
      <c r="R4951" s="26"/>
    </row>
    <row r="4952" spans="1:18" ht="15.75" customHeight="1">
      <c r="A4952" s="26"/>
      <c r="B4952" s="86"/>
      <c r="D4952" s="26"/>
      <c r="F4952" s="87" t="str">
        <f t="shared" si="0"/>
        <v/>
      </c>
      <c r="H4952" s="26" t="str">
        <f t="shared" si="1"/>
        <v/>
      </c>
      <c r="I4952" s="26" t="str">
        <f t="shared" si="2"/>
        <v/>
      </c>
      <c r="J4952" s="86">
        <f t="shared" si="3"/>
        <v>0</v>
      </c>
      <c r="R4952" s="26"/>
    </row>
    <row r="4953" spans="1:18" ht="15.75" customHeight="1">
      <c r="A4953" s="26"/>
      <c r="B4953" s="86"/>
      <c r="D4953" s="26"/>
      <c r="F4953" s="87" t="str">
        <f t="shared" si="0"/>
        <v/>
      </c>
      <c r="H4953" s="26" t="str">
        <f t="shared" si="1"/>
        <v/>
      </c>
      <c r="I4953" s="26" t="str">
        <f t="shared" si="2"/>
        <v/>
      </c>
      <c r="J4953" s="86">
        <f t="shared" si="3"/>
        <v>0</v>
      </c>
      <c r="R4953" s="26"/>
    </row>
    <row r="4954" spans="1:18" ht="15.75" customHeight="1">
      <c r="A4954" s="26"/>
      <c r="B4954" s="86"/>
      <c r="D4954" s="26"/>
      <c r="F4954" s="87" t="str">
        <f t="shared" si="0"/>
        <v/>
      </c>
      <c r="H4954" s="26" t="str">
        <f t="shared" si="1"/>
        <v/>
      </c>
      <c r="I4954" s="26" t="str">
        <f t="shared" si="2"/>
        <v/>
      </c>
      <c r="J4954" s="86">
        <f t="shared" si="3"/>
        <v>0</v>
      </c>
      <c r="R4954" s="26"/>
    </row>
    <row r="4955" spans="1:18" ht="15.75" customHeight="1">
      <c r="A4955" s="26"/>
      <c r="B4955" s="86"/>
      <c r="D4955" s="26"/>
      <c r="F4955" s="87" t="str">
        <f t="shared" si="0"/>
        <v/>
      </c>
      <c r="H4955" s="26" t="str">
        <f t="shared" si="1"/>
        <v/>
      </c>
      <c r="I4955" s="26" t="str">
        <f t="shared" si="2"/>
        <v/>
      </c>
      <c r="J4955" s="86">
        <f t="shared" si="3"/>
        <v>0</v>
      </c>
      <c r="R4955" s="26"/>
    </row>
    <row r="4956" spans="1:18" ht="15.75" customHeight="1">
      <c r="A4956" s="26"/>
      <c r="B4956" s="86"/>
      <c r="D4956" s="26"/>
      <c r="F4956" s="87" t="str">
        <f t="shared" si="0"/>
        <v/>
      </c>
      <c r="H4956" s="26" t="str">
        <f t="shared" si="1"/>
        <v/>
      </c>
      <c r="I4956" s="26" t="str">
        <f t="shared" si="2"/>
        <v/>
      </c>
      <c r="J4956" s="86">
        <f t="shared" si="3"/>
        <v>0</v>
      </c>
      <c r="R4956" s="26"/>
    </row>
    <row r="4957" spans="1:18" ht="15.75" customHeight="1">
      <c r="A4957" s="26"/>
      <c r="B4957" s="86"/>
      <c r="D4957" s="26"/>
      <c r="F4957" s="87" t="str">
        <f t="shared" si="0"/>
        <v/>
      </c>
      <c r="H4957" s="26" t="str">
        <f t="shared" si="1"/>
        <v/>
      </c>
      <c r="I4957" s="26" t="str">
        <f t="shared" si="2"/>
        <v/>
      </c>
      <c r="J4957" s="86">
        <f t="shared" si="3"/>
        <v>0</v>
      </c>
      <c r="R4957" s="26"/>
    </row>
    <row r="4958" spans="1:18" ht="15.75" customHeight="1">
      <c r="A4958" s="26"/>
      <c r="B4958" s="86"/>
      <c r="D4958" s="26"/>
      <c r="F4958" s="87" t="str">
        <f t="shared" si="0"/>
        <v/>
      </c>
      <c r="H4958" s="26" t="str">
        <f t="shared" si="1"/>
        <v/>
      </c>
      <c r="I4958" s="26" t="str">
        <f t="shared" si="2"/>
        <v/>
      </c>
      <c r="J4958" s="86">
        <f t="shared" si="3"/>
        <v>0</v>
      </c>
      <c r="R4958" s="26"/>
    </row>
    <row r="4959" spans="1:18" ht="15.75" customHeight="1">
      <c r="A4959" s="26"/>
      <c r="B4959" s="86"/>
      <c r="D4959" s="26"/>
      <c r="F4959" s="87" t="str">
        <f t="shared" si="0"/>
        <v/>
      </c>
      <c r="H4959" s="26" t="str">
        <f t="shared" si="1"/>
        <v/>
      </c>
      <c r="I4959" s="26" t="str">
        <f t="shared" si="2"/>
        <v/>
      </c>
      <c r="J4959" s="86">
        <f t="shared" si="3"/>
        <v>0</v>
      </c>
      <c r="R4959" s="26"/>
    </row>
    <row r="4960" spans="1:18" ht="15.75" customHeight="1">
      <c r="A4960" s="26"/>
      <c r="B4960" s="86"/>
      <c r="D4960" s="26"/>
      <c r="F4960" s="87" t="str">
        <f t="shared" si="0"/>
        <v/>
      </c>
      <c r="H4960" s="26" t="str">
        <f t="shared" si="1"/>
        <v/>
      </c>
      <c r="I4960" s="26" t="str">
        <f t="shared" si="2"/>
        <v/>
      </c>
      <c r="J4960" s="86">
        <f t="shared" si="3"/>
        <v>0</v>
      </c>
      <c r="R4960" s="26"/>
    </row>
    <row r="4961" spans="1:18" ht="15.75" customHeight="1">
      <c r="A4961" s="26"/>
      <c r="B4961" s="86"/>
      <c r="D4961" s="26"/>
      <c r="F4961" s="87" t="str">
        <f t="shared" si="0"/>
        <v/>
      </c>
      <c r="H4961" s="26" t="str">
        <f t="shared" si="1"/>
        <v/>
      </c>
      <c r="I4961" s="26" t="str">
        <f t="shared" si="2"/>
        <v/>
      </c>
      <c r="J4961" s="86">
        <f t="shared" si="3"/>
        <v>0</v>
      </c>
      <c r="R4961" s="26"/>
    </row>
    <row r="4962" spans="1:18" ht="15.75" customHeight="1">
      <c r="A4962" s="26"/>
      <c r="B4962" s="86"/>
      <c r="D4962" s="26"/>
      <c r="F4962" s="87" t="str">
        <f t="shared" si="0"/>
        <v/>
      </c>
      <c r="H4962" s="26" t="str">
        <f t="shared" si="1"/>
        <v/>
      </c>
      <c r="I4962" s="26" t="str">
        <f t="shared" si="2"/>
        <v/>
      </c>
      <c r="J4962" s="86">
        <f t="shared" si="3"/>
        <v>0</v>
      </c>
      <c r="R4962" s="26"/>
    </row>
    <row r="4963" spans="1:18" ht="15.75" customHeight="1">
      <c r="A4963" s="26"/>
      <c r="B4963" s="86"/>
      <c r="D4963" s="26"/>
      <c r="F4963" s="87" t="str">
        <f t="shared" si="0"/>
        <v/>
      </c>
      <c r="H4963" s="26" t="str">
        <f t="shared" si="1"/>
        <v/>
      </c>
      <c r="I4963" s="26" t="str">
        <f t="shared" si="2"/>
        <v/>
      </c>
      <c r="J4963" s="86">
        <f t="shared" si="3"/>
        <v>0</v>
      </c>
      <c r="R4963" s="26"/>
    </row>
    <row r="4964" spans="1:18" ht="15.75" customHeight="1">
      <c r="A4964" s="26"/>
      <c r="B4964" s="86"/>
      <c r="D4964" s="26"/>
      <c r="F4964" s="87" t="str">
        <f t="shared" si="0"/>
        <v/>
      </c>
      <c r="H4964" s="26" t="str">
        <f t="shared" si="1"/>
        <v/>
      </c>
      <c r="I4964" s="26" t="str">
        <f t="shared" si="2"/>
        <v/>
      </c>
      <c r="J4964" s="86">
        <f t="shared" si="3"/>
        <v>0</v>
      </c>
      <c r="R4964" s="26"/>
    </row>
    <row r="4965" spans="1:18" ht="15.75" customHeight="1">
      <c r="A4965" s="26"/>
      <c r="B4965" s="86"/>
      <c r="D4965" s="26"/>
      <c r="F4965" s="87" t="str">
        <f t="shared" si="0"/>
        <v/>
      </c>
      <c r="H4965" s="26" t="str">
        <f t="shared" si="1"/>
        <v/>
      </c>
      <c r="I4965" s="26" t="str">
        <f t="shared" si="2"/>
        <v/>
      </c>
      <c r="J4965" s="86">
        <f t="shared" si="3"/>
        <v>0</v>
      </c>
      <c r="R4965" s="26"/>
    </row>
    <row r="4966" spans="1:18" ht="15.75" customHeight="1">
      <c r="A4966" s="26"/>
      <c r="B4966" s="86"/>
      <c r="D4966" s="26"/>
      <c r="F4966" s="87" t="str">
        <f t="shared" si="0"/>
        <v/>
      </c>
      <c r="H4966" s="26" t="str">
        <f t="shared" si="1"/>
        <v/>
      </c>
      <c r="I4966" s="26" t="str">
        <f t="shared" si="2"/>
        <v/>
      </c>
      <c r="J4966" s="86">
        <f t="shared" si="3"/>
        <v>0</v>
      </c>
      <c r="R4966" s="26"/>
    </row>
    <row r="4967" spans="1:18" ht="15.75" customHeight="1">
      <c r="A4967" s="26"/>
      <c r="B4967" s="86"/>
      <c r="D4967" s="26"/>
      <c r="F4967" s="87" t="str">
        <f t="shared" si="0"/>
        <v/>
      </c>
      <c r="H4967" s="26" t="str">
        <f t="shared" si="1"/>
        <v/>
      </c>
      <c r="I4967" s="26" t="str">
        <f t="shared" si="2"/>
        <v/>
      </c>
      <c r="J4967" s="86">
        <f t="shared" si="3"/>
        <v>0</v>
      </c>
      <c r="R4967" s="26"/>
    </row>
    <row r="4968" spans="1:18" ht="15.75" customHeight="1">
      <c r="A4968" s="26"/>
      <c r="B4968" s="86"/>
      <c r="D4968" s="26"/>
      <c r="F4968" s="87" t="str">
        <f t="shared" si="0"/>
        <v/>
      </c>
      <c r="H4968" s="26" t="str">
        <f t="shared" si="1"/>
        <v/>
      </c>
      <c r="I4968" s="26" t="str">
        <f t="shared" si="2"/>
        <v/>
      </c>
      <c r="J4968" s="86">
        <f t="shared" si="3"/>
        <v>0</v>
      </c>
      <c r="R4968" s="26"/>
    </row>
    <row r="4969" spans="1:18" ht="15.75" customHeight="1">
      <c r="A4969" s="26"/>
      <c r="B4969" s="86"/>
      <c r="D4969" s="26"/>
      <c r="F4969" s="87" t="str">
        <f t="shared" si="0"/>
        <v/>
      </c>
      <c r="H4969" s="26" t="str">
        <f t="shared" si="1"/>
        <v/>
      </c>
      <c r="I4969" s="26" t="str">
        <f t="shared" si="2"/>
        <v/>
      </c>
      <c r="J4969" s="86">
        <f t="shared" si="3"/>
        <v>0</v>
      </c>
      <c r="R4969" s="26"/>
    </row>
    <row r="4970" spans="1:18" ht="15.75" customHeight="1">
      <c r="A4970" s="26"/>
      <c r="B4970" s="86"/>
      <c r="D4970" s="26"/>
      <c r="F4970" s="87" t="str">
        <f t="shared" si="0"/>
        <v/>
      </c>
      <c r="H4970" s="26" t="str">
        <f t="shared" si="1"/>
        <v/>
      </c>
      <c r="I4970" s="26" t="str">
        <f t="shared" si="2"/>
        <v/>
      </c>
      <c r="J4970" s="86">
        <f t="shared" si="3"/>
        <v>0</v>
      </c>
      <c r="R4970" s="26"/>
    </row>
    <row r="4971" spans="1:18" ht="15.75" customHeight="1">
      <c r="A4971" s="26"/>
      <c r="B4971" s="86"/>
      <c r="D4971" s="26"/>
      <c r="F4971" s="87" t="str">
        <f t="shared" si="0"/>
        <v/>
      </c>
      <c r="H4971" s="26" t="str">
        <f t="shared" si="1"/>
        <v/>
      </c>
      <c r="I4971" s="26" t="str">
        <f t="shared" si="2"/>
        <v/>
      </c>
      <c r="J4971" s="86">
        <f t="shared" si="3"/>
        <v>0</v>
      </c>
      <c r="R4971" s="26"/>
    </row>
    <row r="4972" spans="1:18" ht="15.75" customHeight="1">
      <c r="A4972" s="26"/>
      <c r="B4972" s="86"/>
      <c r="D4972" s="26"/>
      <c r="F4972" s="87" t="str">
        <f t="shared" si="0"/>
        <v/>
      </c>
      <c r="H4972" s="26" t="str">
        <f t="shared" si="1"/>
        <v/>
      </c>
      <c r="I4972" s="26" t="str">
        <f t="shared" si="2"/>
        <v/>
      </c>
      <c r="J4972" s="86">
        <f t="shared" si="3"/>
        <v>0</v>
      </c>
      <c r="R4972" s="26"/>
    </row>
    <row r="4973" spans="1:18" ht="15.75" customHeight="1">
      <c r="A4973" s="26"/>
      <c r="B4973" s="86"/>
      <c r="D4973" s="26"/>
      <c r="F4973" s="87" t="str">
        <f t="shared" si="0"/>
        <v/>
      </c>
      <c r="H4973" s="26" t="str">
        <f t="shared" si="1"/>
        <v/>
      </c>
      <c r="I4973" s="26" t="str">
        <f t="shared" si="2"/>
        <v/>
      </c>
      <c r="J4973" s="86">
        <f t="shared" si="3"/>
        <v>0</v>
      </c>
      <c r="R4973" s="26"/>
    </row>
    <row r="4974" spans="1:18" ht="15.75" customHeight="1">
      <c r="A4974" s="26"/>
      <c r="B4974" s="86"/>
      <c r="D4974" s="26"/>
      <c r="F4974" s="87" t="str">
        <f t="shared" si="0"/>
        <v/>
      </c>
      <c r="H4974" s="26" t="str">
        <f t="shared" si="1"/>
        <v/>
      </c>
      <c r="I4974" s="26" t="str">
        <f t="shared" si="2"/>
        <v/>
      </c>
      <c r="J4974" s="86">
        <f t="shared" si="3"/>
        <v>0</v>
      </c>
      <c r="R4974" s="26"/>
    </row>
    <row r="4975" spans="1:18" ht="15.75" customHeight="1">
      <c r="A4975" s="26"/>
      <c r="B4975" s="86"/>
      <c r="D4975" s="26"/>
      <c r="F4975" s="87" t="str">
        <f t="shared" si="0"/>
        <v/>
      </c>
      <c r="H4975" s="26" t="str">
        <f t="shared" si="1"/>
        <v/>
      </c>
      <c r="I4975" s="26" t="str">
        <f t="shared" si="2"/>
        <v/>
      </c>
      <c r="J4975" s="86">
        <f t="shared" si="3"/>
        <v>0</v>
      </c>
      <c r="R4975" s="26"/>
    </row>
    <row r="4976" spans="1:18" ht="15.75" customHeight="1">
      <c r="A4976" s="26"/>
      <c r="B4976" s="86"/>
      <c r="D4976" s="26"/>
      <c r="F4976" s="87" t="str">
        <f t="shared" si="0"/>
        <v/>
      </c>
      <c r="H4976" s="26" t="str">
        <f t="shared" si="1"/>
        <v/>
      </c>
      <c r="I4976" s="26" t="str">
        <f t="shared" si="2"/>
        <v/>
      </c>
      <c r="J4976" s="86">
        <f t="shared" si="3"/>
        <v>0</v>
      </c>
      <c r="R4976" s="26"/>
    </row>
    <row r="4977" spans="1:18" ht="15.75" customHeight="1">
      <c r="A4977" s="26"/>
      <c r="B4977" s="86"/>
      <c r="D4977" s="26"/>
      <c r="F4977" s="87" t="str">
        <f t="shared" si="0"/>
        <v/>
      </c>
      <c r="H4977" s="26" t="str">
        <f t="shared" si="1"/>
        <v/>
      </c>
      <c r="I4977" s="26" t="str">
        <f t="shared" si="2"/>
        <v/>
      </c>
      <c r="J4977" s="86">
        <f t="shared" si="3"/>
        <v>0</v>
      </c>
      <c r="R4977" s="26"/>
    </row>
    <row r="4978" spans="1:18" ht="15.75" customHeight="1">
      <c r="A4978" s="26"/>
      <c r="B4978" s="86"/>
      <c r="D4978" s="26"/>
      <c r="F4978" s="87" t="str">
        <f t="shared" si="0"/>
        <v/>
      </c>
      <c r="H4978" s="26" t="str">
        <f t="shared" si="1"/>
        <v/>
      </c>
      <c r="I4978" s="26" t="str">
        <f t="shared" si="2"/>
        <v/>
      </c>
      <c r="J4978" s="86">
        <f t="shared" si="3"/>
        <v>0</v>
      </c>
      <c r="R4978" s="26"/>
    </row>
    <row r="4979" spans="1:18" ht="15.75" customHeight="1">
      <c r="A4979" s="26"/>
      <c r="B4979" s="86"/>
      <c r="D4979" s="26"/>
      <c r="F4979" s="87" t="str">
        <f t="shared" si="0"/>
        <v/>
      </c>
      <c r="H4979" s="26" t="str">
        <f t="shared" si="1"/>
        <v/>
      </c>
      <c r="I4979" s="26" t="str">
        <f t="shared" si="2"/>
        <v/>
      </c>
      <c r="J4979" s="86">
        <f t="shared" si="3"/>
        <v>0</v>
      </c>
      <c r="R4979" s="26"/>
    </row>
    <row r="4980" spans="1:18" ht="15.75" customHeight="1">
      <c r="A4980" s="26"/>
      <c r="B4980" s="86"/>
      <c r="D4980" s="26"/>
      <c r="F4980" s="87" t="str">
        <f t="shared" si="0"/>
        <v/>
      </c>
      <c r="H4980" s="26" t="str">
        <f t="shared" si="1"/>
        <v/>
      </c>
      <c r="I4980" s="26" t="str">
        <f t="shared" si="2"/>
        <v/>
      </c>
      <c r="J4980" s="86">
        <f t="shared" si="3"/>
        <v>0</v>
      </c>
      <c r="R4980" s="26"/>
    </row>
    <row r="4981" spans="1:18" ht="15.75" customHeight="1">
      <c r="A4981" s="26"/>
      <c r="B4981" s="86"/>
      <c r="D4981" s="26"/>
      <c r="F4981" s="87" t="str">
        <f t="shared" si="0"/>
        <v/>
      </c>
      <c r="H4981" s="26" t="str">
        <f t="shared" si="1"/>
        <v/>
      </c>
      <c r="I4981" s="26" t="str">
        <f t="shared" si="2"/>
        <v/>
      </c>
      <c r="J4981" s="86">
        <f t="shared" si="3"/>
        <v>0</v>
      </c>
      <c r="R4981" s="26"/>
    </row>
    <row r="4982" spans="1:18" ht="15.75" customHeight="1">
      <c r="A4982" s="26"/>
      <c r="B4982" s="86"/>
      <c r="D4982" s="26"/>
      <c r="F4982" s="87" t="str">
        <f t="shared" si="0"/>
        <v/>
      </c>
      <c r="H4982" s="26" t="str">
        <f t="shared" si="1"/>
        <v/>
      </c>
      <c r="I4982" s="26" t="str">
        <f t="shared" si="2"/>
        <v/>
      </c>
      <c r="J4982" s="86">
        <f t="shared" si="3"/>
        <v>0</v>
      </c>
      <c r="R4982" s="26"/>
    </row>
    <row r="4983" spans="1:18" ht="15.75" customHeight="1">
      <c r="A4983" s="26"/>
      <c r="B4983" s="86"/>
      <c r="D4983" s="26"/>
      <c r="F4983" s="87" t="str">
        <f t="shared" si="0"/>
        <v/>
      </c>
      <c r="H4983" s="26" t="str">
        <f t="shared" si="1"/>
        <v/>
      </c>
      <c r="I4983" s="26" t="str">
        <f t="shared" si="2"/>
        <v/>
      </c>
      <c r="J4983" s="86">
        <f t="shared" si="3"/>
        <v>0</v>
      </c>
      <c r="R4983" s="26"/>
    </row>
    <row r="4984" spans="1:18" ht="15.75" customHeight="1">
      <c r="A4984" s="26"/>
      <c r="B4984" s="86"/>
      <c r="D4984" s="26"/>
      <c r="F4984" s="87" t="str">
        <f t="shared" si="0"/>
        <v/>
      </c>
      <c r="H4984" s="26" t="str">
        <f t="shared" si="1"/>
        <v/>
      </c>
      <c r="I4984" s="26" t="str">
        <f t="shared" si="2"/>
        <v/>
      </c>
      <c r="J4984" s="86">
        <f t="shared" si="3"/>
        <v>0</v>
      </c>
      <c r="R4984" s="26"/>
    </row>
    <row r="4985" spans="1:18" ht="15.75" customHeight="1">
      <c r="A4985" s="26"/>
      <c r="B4985" s="86"/>
      <c r="D4985" s="26"/>
      <c r="F4985" s="87" t="str">
        <f t="shared" si="0"/>
        <v/>
      </c>
      <c r="H4985" s="26" t="str">
        <f t="shared" si="1"/>
        <v/>
      </c>
      <c r="I4985" s="26" t="str">
        <f t="shared" si="2"/>
        <v/>
      </c>
      <c r="J4985" s="86">
        <f t="shared" si="3"/>
        <v>0</v>
      </c>
      <c r="R4985" s="26"/>
    </row>
    <row r="4986" spans="1:18" ht="15.75" customHeight="1">
      <c r="A4986" s="26"/>
      <c r="B4986" s="86"/>
      <c r="D4986" s="26"/>
      <c r="F4986" s="87" t="str">
        <f t="shared" si="0"/>
        <v/>
      </c>
      <c r="H4986" s="26" t="str">
        <f t="shared" si="1"/>
        <v/>
      </c>
      <c r="I4986" s="26" t="str">
        <f t="shared" si="2"/>
        <v/>
      </c>
      <c r="J4986" s="86">
        <f t="shared" si="3"/>
        <v>0</v>
      </c>
      <c r="R4986" s="26"/>
    </row>
    <row r="4987" spans="1:18" ht="15.75" customHeight="1">
      <c r="A4987" s="26"/>
      <c r="B4987" s="86"/>
      <c r="D4987" s="26"/>
      <c r="F4987" s="87" t="str">
        <f t="shared" si="0"/>
        <v/>
      </c>
      <c r="H4987" s="26" t="str">
        <f t="shared" si="1"/>
        <v/>
      </c>
      <c r="I4987" s="26" t="str">
        <f t="shared" si="2"/>
        <v/>
      </c>
      <c r="J4987" s="86">
        <f t="shared" si="3"/>
        <v>0</v>
      </c>
      <c r="R4987" s="26"/>
    </row>
    <row r="4988" spans="1:18" ht="15.75" customHeight="1">
      <c r="A4988" s="26"/>
      <c r="B4988" s="86"/>
      <c r="D4988" s="26"/>
      <c r="F4988" s="87" t="str">
        <f t="shared" si="0"/>
        <v/>
      </c>
      <c r="H4988" s="26" t="str">
        <f t="shared" si="1"/>
        <v/>
      </c>
      <c r="I4988" s="26" t="str">
        <f t="shared" si="2"/>
        <v/>
      </c>
      <c r="J4988" s="86">
        <f t="shared" si="3"/>
        <v>0</v>
      </c>
      <c r="R4988" s="26"/>
    </row>
    <row r="4989" spans="1:18" ht="15.75" customHeight="1">
      <c r="A4989" s="26"/>
      <c r="B4989" s="86"/>
      <c r="D4989" s="26"/>
      <c r="F4989" s="87" t="str">
        <f t="shared" si="0"/>
        <v/>
      </c>
      <c r="H4989" s="26" t="str">
        <f t="shared" si="1"/>
        <v/>
      </c>
      <c r="I4989" s="26" t="str">
        <f t="shared" si="2"/>
        <v/>
      </c>
      <c r="J4989" s="86">
        <f t="shared" si="3"/>
        <v>0</v>
      </c>
      <c r="R4989" s="26"/>
    </row>
    <row r="4990" spans="1:18" ht="15.75" customHeight="1">
      <c r="A4990" s="26"/>
      <c r="B4990" s="86"/>
      <c r="D4990" s="26"/>
      <c r="F4990" s="87" t="str">
        <f t="shared" si="0"/>
        <v/>
      </c>
      <c r="H4990" s="26" t="str">
        <f t="shared" si="1"/>
        <v/>
      </c>
      <c r="I4990" s="26" t="str">
        <f t="shared" si="2"/>
        <v/>
      </c>
      <c r="J4990" s="86">
        <f t="shared" si="3"/>
        <v>0</v>
      </c>
      <c r="R4990" s="26"/>
    </row>
    <row r="4991" spans="1:18" ht="15.75" customHeight="1">
      <c r="A4991" s="26"/>
      <c r="B4991" s="86"/>
      <c r="D4991" s="26"/>
      <c r="F4991" s="87" t="str">
        <f t="shared" si="0"/>
        <v/>
      </c>
      <c r="H4991" s="26" t="str">
        <f t="shared" si="1"/>
        <v/>
      </c>
      <c r="I4991" s="26" t="str">
        <f t="shared" si="2"/>
        <v/>
      </c>
      <c r="J4991" s="86">
        <f t="shared" si="3"/>
        <v>0</v>
      </c>
      <c r="R4991" s="26"/>
    </row>
    <row r="4992" spans="1:18" ht="15.75" customHeight="1">
      <c r="A4992" s="26"/>
      <c r="B4992" s="86"/>
      <c r="D4992" s="26"/>
      <c r="F4992" s="87" t="str">
        <f t="shared" si="0"/>
        <v/>
      </c>
      <c r="H4992" s="26" t="str">
        <f t="shared" si="1"/>
        <v/>
      </c>
      <c r="I4992" s="26" t="str">
        <f t="shared" si="2"/>
        <v/>
      </c>
      <c r="J4992" s="86">
        <f t="shared" si="3"/>
        <v>0</v>
      </c>
      <c r="R4992" s="26"/>
    </row>
    <row r="4993" spans="1:18" ht="15.75" customHeight="1">
      <c r="A4993" s="26"/>
      <c r="B4993" s="86"/>
      <c r="D4993" s="26"/>
      <c r="F4993" s="87" t="str">
        <f t="shared" si="0"/>
        <v/>
      </c>
      <c r="H4993" s="26" t="str">
        <f t="shared" si="1"/>
        <v/>
      </c>
      <c r="I4993" s="26" t="str">
        <f t="shared" si="2"/>
        <v/>
      </c>
      <c r="J4993" s="86">
        <f t="shared" si="3"/>
        <v>0</v>
      </c>
      <c r="R4993" s="26"/>
    </row>
    <row r="4994" spans="1:18" ht="15.75" customHeight="1">
      <c r="A4994" s="26"/>
      <c r="B4994" s="86"/>
      <c r="D4994" s="26"/>
      <c r="F4994" s="87" t="str">
        <f t="shared" si="0"/>
        <v/>
      </c>
      <c r="H4994" s="26" t="str">
        <f t="shared" si="1"/>
        <v/>
      </c>
      <c r="I4994" s="26" t="str">
        <f t="shared" si="2"/>
        <v/>
      </c>
      <c r="J4994" s="86">
        <f t="shared" si="3"/>
        <v>0</v>
      </c>
      <c r="R4994" s="26"/>
    </row>
    <row r="4995" spans="1:18" ht="15.75" customHeight="1">
      <c r="A4995" s="26"/>
      <c r="B4995" s="86"/>
      <c r="D4995" s="26"/>
      <c r="F4995" s="87" t="str">
        <f t="shared" si="0"/>
        <v/>
      </c>
      <c r="H4995" s="26" t="str">
        <f t="shared" si="1"/>
        <v/>
      </c>
      <c r="I4995" s="26" t="str">
        <f t="shared" si="2"/>
        <v/>
      </c>
      <c r="J4995" s="86">
        <f t="shared" si="3"/>
        <v>0</v>
      </c>
      <c r="R4995" s="26"/>
    </row>
    <row r="4996" spans="1:18" ht="15.75" customHeight="1">
      <c r="A4996" s="26"/>
      <c r="B4996" s="86"/>
      <c r="D4996" s="26"/>
      <c r="F4996" s="87" t="str">
        <f t="shared" si="0"/>
        <v/>
      </c>
      <c r="H4996" s="26" t="str">
        <f t="shared" si="1"/>
        <v/>
      </c>
      <c r="I4996" s="26" t="str">
        <f t="shared" si="2"/>
        <v/>
      </c>
      <c r="J4996" s="86">
        <f t="shared" si="3"/>
        <v>0</v>
      </c>
      <c r="R4996" s="26"/>
    </row>
    <row r="4997" spans="1:18" ht="15.75" customHeight="1">
      <c r="A4997" s="26"/>
      <c r="B4997" s="86"/>
      <c r="D4997" s="26"/>
      <c r="F4997" s="87" t="str">
        <f t="shared" si="0"/>
        <v/>
      </c>
      <c r="H4997" s="26" t="str">
        <f t="shared" si="1"/>
        <v/>
      </c>
      <c r="I4997" s="26" t="str">
        <f t="shared" si="2"/>
        <v/>
      </c>
      <c r="J4997" s="86">
        <f t="shared" si="3"/>
        <v>0</v>
      </c>
      <c r="R4997" s="26"/>
    </row>
    <row r="4998" spans="1:18" ht="15.75" customHeight="1">
      <c r="A4998" s="26"/>
      <c r="B4998" s="86"/>
      <c r="D4998" s="26"/>
      <c r="F4998" s="87" t="str">
        <f t="shared" si="0"/>
        <v/>
      </c>
      <c r="H4998" s="26" t="str">
        <f t="shared" si="1"/>
        <v/>
      </c>
      <c r="I4998" s="26" t="str">
        <f t="shared" si="2"/>
        <v/>
      </c>
      <c r="J4998" s="86">
        <f t="shared" si="3"/>
        <v>0</v>
      </c>
      <c r="R4998" s="26"/>
    </row>
    <row r="4999" spans="1:18" ht="15.75" customHeight="1">
      <c r="A4999" s="26"/>
      <c r="B4999" s="86"/>
      <c r="D4999" s="26"/>
      <c r="F4999" s="87" t="str">
        <f t="shared" si="0"/>
        <v/>
      </c>
      <c r="H4999" s="26" t="str">
        <f t="shared" si="1"/>
        <v/>
      </c>
      <c r="I4999" s="26" t="str">
        <f t="shared" si="2"/>
        <v/>
      </c>
      <c r="J4999" s="86">
        <f t="shared" si="3"/>
        <v>0</v>
      </c>
      <c r="R4999" s="26"/>
    </row>
    <row r="5000" spans="1:18" ht="15.75" customHeight="1">
      <c r="A5000" s="26"/>
      <c r="B5000" s="86"/>
      <c r="D5000" s="26"/>
      <c r="F5000" s="87" t="str">
        <f t="shared" si="0"/>
        <v/>
      </c>
      <c r="H5000" s="26" t="str">
        <f t="shared" si="1"/>
        <v/>
      </c>
      <c r="I5000" s="26" t="str">
        <f t="shared" si="2"/>
        <v/>
      </c>
      <c r="J5000" s="86">
        <f t="shared" si="3"/>
        <v>0</v>
      </c>
      <c r="R5000" s="26"/>
    </row>
    <row r="5001" spans="1:18" ht="15.75" customHeight="1">
      <c r="A5001" s="26"/>
      <c r="B5001" s="86"/>
      <c r="D5001" s="26"/>
      <c r="F5001" s="87" t="str">
        <f t="shared" si="0"/>
        <v/>
      </c>
      <c r="H5001" s="26" t="str">
        <f t="shared" si="1"/>
        <v/>
      </c>
      <c r="I5001" s="26" t="str">
        <f t="shared" si="2"/>
        <v/>
      </c>
      <c r="J5001" s="86">
        <f t="shared" si="3"/>
        <v>0</v>
      </c>
      <c r="R5001" s="26"/>
    </row>
    <row r="5002" spans="1:18" ht="15.75" customHeight="1">
      <c r="A5002" s="26"/>
      <c r="B5002" s="86"/>
      <c r="D5002" s="26"/>
      <c r="F5002" s="87" t="str">
        <f t="shared" si="0"/>
        <v/>
      </c>
      <c r="H5002" s="26" t="str">
        <f t="shared" si="1"/>
        <v/>
      </c>
      <c r="I5002" s="26" t="str">
        <f t="shared" si="2"/>
        <v/>
      </c>
      <c r="J5002" s="86">
        <f t="shared" si="3"/>
        <v>0</v>
      </c>
      <c r="R5002" s="26"/>
    </row>
    <row r="5003" spans="1:18" ht="15.75" customHeight="1">
      <c r="A5003" s="26"/>
      <c r="B5003" s="86"/>
      <c r="D5003" s="26"/>
      <c r="F5003" s="87" t="str">
        <f t="shared" si="0"/>
        <v/>
      </c>
      <c r="H5003" s="26" t="str">
        <f t="shared" si="1"/>
        <v/>
      </c>
      <c r="I5003" s="26" t="str">
        <f t="shared" si="2"/>
        <v/>
      </c>
      <c r="J5003" s="86">
        <f t="shared" si="3"/>
        <v>0</v>
      </c>
      <c r="R5003" s="26"/>
    </row>
    <row r="5004" spans="1:18" ht="15.75" customHeight="1">
      <c r="A5004" s="26"/>
      <c r="B5004" s="86"/>
      <c r="D5004" s="26"/>
      <c r="F5004" s="87" t="str">
        <f t="shared" si="0"/>
        <v/>
      </c>
      <c r="H5004" s="26" t="str">
        <f t="shared" si="1"/>
        <v/>
      </c>
      <c r="I5004" s="26" t="str">
        <f t="shared" si="2"/>
        <v/>
      </c>
      <c r="J5004" s="86">
        <f t="shared" si="3"/>
        <v>0</v>
      </c>
      <c r="R5004" s="26"/>
    </row>
    <row r="5005" spans="1:18" ht="15.75" customHeight="1">
      <c r="A5005" s="26"/>
      <c r="B5005" s="86"/>
      <c r="D5005" s="26"/>
      <c r="F5005" s="87" t="str">
        <f t="shared" si="0"/>
        <v/>
      </c>
      <c r="H5005" s="26" t="str">
        <f t="shared" si="1"/>
        <v/>
      </c>
      <c r="I5005" s="26" t="str">
        <f t="shared" si="2"/>
        <v/>
      </c>
      <c r="J5005" s="86">
        <f t="shared" si="3"/>
        <v>0</v>
      </c>
      <c r="R5005" s="26"/>
    </row>
    <row r="5006" spans="1:18" ht="15.75" customHeight="1">
      <c r="A5006" s="26"/>
      <c r="B5006" s="86"/>
      <c r="D5006" s="26"/>
      <c r="F5006" s="87" t="str">
        <f t="shared" si="0"/>
        <v/>
      </c>
      <c r="H5006" s="26" t="str">
        <f t="shared" si="1"/>
        <v/>
      </c>
      <c r="I5006" s="26" t="str">
        <f t="shared" si="2"/>
        <v/>
      </c>
      <c r="J5006" s="86">
        <f t="shared" si="3"/>
        <v>0</v>
      </c>
      <c r="R5006" s="26"/>
    </row>
    <row r="5007" spans="1:18" ht="15.75" customHeight="1">
      <c r="A5007" s="26"/>
      <c r="B5007" s="86"/>
      <c r="D5007" s="26"/>
      <c r="F5007" s="87" t="str">
        <f t="shared" si="0"/>
        <v/>
      </c>
      <c r="H5007" s="26" t="str">
        <f t="shared" si="1"/>
        <v/>
      </c>
      <c r="I5007" s="26" t="str">
        <f t="shared" si="2"/>
        <v/>
      </c>
      <c r="J5007" s="86">
        <f t="shared" si="3"/>
        <v>0</v>
      </c>
      <c r="R5007" s="26"/>
    </row>
    <row r="5008" spans="1:18" ht="15.75" customHeight="1">
      <c r="A5008" s="26"/>
      <c r="B5008" s="86"/>
      <c r="D5008" s="26"/>
      <c r="F5008" s="87" t="str">
        <f t="shared" si="0"/>
        <v/>
      </c>
      <c r="H5008" s="26" t="str">
        <f t="shared" si="1"/>
        <v/>
      </c>
      <c r="I5008" s="26" t="str">
        <f t="shared" si="2"/>
        <v/>
      </c>
      <c r="J5008" s="86">
        <f t="shared" si="3"/>
        <v>0</v>
      </c>
      <c r="R5008" s="26"/>
    </row>
    <row r="5009" spans="1:18" ht="15.75" customHeight="1">
      <c r="A5009" s="26"/>
      <c r="B5009" s="86"/>
      <c r="D5009" s="26"/>
      <c r="F5009" s="87" t="str">
        <f t="shared" si="0"/>
        <v/>
      </c>
      <c r="H5009" s="26" t="str">
        <f t="shared" si="1"/>
        <v/>
      </c>
      <c r="I5009" s="26" t="str">
        <f t="shared" si="2"/>
        <v/>
      </c>
      <c r="J5009" s="86">
        <f t="shared" si="3"/>
        <v>0</v>
      </c>
      <c r="R5009" s="26"/>
    </row>
    <row r="5010" spans="1:18" ht="15.75" customHeight="1">
      <c r="A5010" s="26"/>
      <c r="B5010" s="86"/>
      <c r="D5010" s="26"/>
      <c r="F5010" s="87" t="str">
        <f t="shared" si="0"/>
        <v/>
      </c>
      <c r="H5010" s="26" t="str">
        <f t="shared" si="1"/>
        <v/>
      </c>
      <c r="I5010" s="26" t="str">
        <f t="shared" si="2"/>
        <v/>
      </c>
      <c r="J5010" s="86">
        <f t="shared" si="3"/>
        <v>0</v>
      </c>
      <c r="R5010" s="26"/>
    </row>
    <row r="5011" spans="1:18" ht="15.75" customHeight="1">
      <c r="A5011" s="26"/>
      <c r="B5011" s="86"/>
      <c r="D5011" s="26"/>
      <c r="F5011" s="87" t="str">
        <f t="shared" si="0"/>
        <v/>
      </c>
      <c r="H5011" s="26" t="str">
        <f t="shared" si="1"/>
        <v/>
      </c>
      <c r="I5011" s="26" t="str">
        <f t="shared" si="2"/>
        <v/>
      </c>
      <c r="J5011" s="86">
        <f t="shared" si="3"/>
        <v>0</v>
      </c>
      <c r="R5011" s="26"/>
    </row>
    <row r="5012" spans="1:18" ht="15.75" customHeight="1">
      <c r="A5012" s="26"/>
      <c r="B5012" s="86"/>
      <c r="D5012" s="26"/>
      <c r="F5012" s="87" t="str">
        <f t="shared" si="0"/>
        <v/>
      </c>
      <c r="H5012" s="26" t="str">
        <f t="shared" si="1"/>
        <v/>
      </c>
      <c r="I5012" s="26" t="str">
        <f t="shared" si="2"/>
        <v/>
      </c>
      <c r="J5012" s="86">
        <f t="shared" si="3"/>
        <v>0</v>
      </c>
      <c r="R5012" s="26"/>
    </row>
    <row r="5013" spans="1:18" ht="15.75" customHeight="1">
      <c r="A5013" s="26"/>
      <c r="B5013" s="86"/>
      <c r="D5013" s="26"/>
      <c r="F5013" s="87" t="str">
        <f t="shared" si="0"/>
        <v/>
      </c>
      <c r="H5013" s="26" t="str">
        <f t="shared" si="1"/>
        <v/>
      </c>
      <c r="I5013" s="26" t="str">
        <f t="shared" si="2"/>
        <v/>
      </c>
      <c r="J5013" s="86">
        <f t="shared" si="3"/>
        <v>0</v>
      </c>
      <c r="R5013" s="26"/>
    </row>
    <row r="5014" spans="1:18" ht="15.75" customHeight="1">
      <c r="A5014" s="26"/>
      <c r="B5014" s="86"/>
      <c r="D5014" s="26"/>
      <c r="F5014" s="87" t="str">
        <f t="shared" si="0"/>
        <v/>
      </c>
      <c r="H5014" s="26" t="str">
        <f t="shared" si="1"/>
        <v/>
      </c>
      <c r="I5014" s="26" t="str">
        <f t="shared" si="2"/>
        <v/>
      </c>
      <c r="J5014" s="86">
        <f t="shared" si="3"/>
        <v>0</v>
      </c>
      <c r="R5014" s="26"/>
    </row>
    <row r="5015" spans="1:18" ht="15.75" customHeight="1">
      <c r="A5015" s="26"/>
      <c r="B5015" s="86"/>
      <c r="D5015" s="26"/>
      <c r="F5015" s="87" t="str">
        <f t="shared" si="0"/>
        <v/>
      </c>
      <c r="H5015" s="26" t="str">
        <f t="shared" si="1"/>
        <v/>
      </c>
      <c r="I5015" s="26" t="str">
        <f t="shared" si="2"/>
        <v/>
      </c>
      <c r="J5015" s="86">
        <f t="shared" si="3"/>
        <v>0</v>
      </c>
      <c r="R5015" s="26"/>
    </row>
    <row r="5016" spans="1:18" ht="15.75" customHeight="1">
      <c r="A5016" s="26"/>
      <c r="B5016" s="86"/>
      <c r="D5016" s="26"/>
      <c r="F5016" s="87" t="str">
        <f t="shared" si="0"/>
        <v/>
      </c>
      <c r="H5016" s="26" t="str">
        <f t="shared" si="1"/>
        <v/>
      </c>
      <c r="I5016" s="26" t="str">
        <f t="shared" si="2"/>
        <v/>
      </c>
      <c r="J5016" s="86">
        <f t="shared" si="3"/>
        <v>0</v>
      </c>
      <c r="R5016" s="26"/>
    </row>
    <row r="5017" spans="1:18" ht="15.75" customHeight="1">
      <c r="A5017" s="26"/>
      <c r="B5017" s="86"/>
      <c r="D5017" s="26"/>
      <c r="F5017" s="87" t="str">
        <f t="shared" si="0"/>
        <v/>
      </c>
      <c r="H5017" s="26" t="str">
        <f t="shared" si="1"/>
        <v/>
      </c>
      <c r="I5017" s="26" t="str">
        <f t="shared" si="2"/>
        <v/>
      </c>
      <c r="J5017" s="86">
        <f t="shared" si="3"/>
        <v>0</v>
      </c>
      <c r="R5017" s="26"/>
    </row>
    <row r="5018" spans="1:18" ht="15.75" customHeight="1">
      <c r="A5018" s="26"/>
      <c r="B5018" s="86"/>
      <c r="D5018" s="26"/>
      <c r="F5018" s="87" t="str">
        <f t="shared" si="0"/>
        <v/>
      </c>
      <c r="H5018" s="26" t="str">
        <f t="shared" si="1"/>
        <v/>
      </c>
      <c r="I5018" s="26" t="str">
        <f t="shared" si="2"/>
        <v/>
      </c>
      <c r="J5018" s="86">
        <f t="shared" si="3"/>
        <v>0</v>
      </c>
      <c r="R5018" s="26"/>
    </row>
    <row r="5019" spans="1:18" ht="15.75" customHeight="1">
      <c r="A5019" s="26"/>
      <c r="B5019" s="86"/>
      <c r="D5019" s="26"/>
      <c r="F5019" s="87" t="str">
        <f t="shared" si="0"/>
        <v/>
      </c>
      <c r="H5019" s="26" t="str">
        <f t="shared" si="1"/>
        <v/>
      </c>
      <c r="I5019" s="26" t="str">
        <f t="shared" si="2"/>
        <v/>
      </c>
      <c r="J5019" s="86">
        <f t="shared" si="3"/>
        <v>0</v>
      </c>
      <c r="R5019" s="26"/>
    </row>
    <row r="5020" spans="1:18" ht="15.75" customHeight="1">
      <c r="A5020" s="26"/>
      <c r="B5020" s="86"/>
      <c r="D5020" s="26"/>
      <c r="F5020" s="87" t="str">
        <f t="shared" si="0"/>
        <v/>
      </c>
      <c r="H5020" s="26" t="str">
        <f t="shared" si="1"/>
        <v/>
      </c>
      <c r="I5020" s="26" t="str">
        <f t="shared" si="2"/>
        <v/>
      </c>
      <c r="J5020" s="86">
        <f t="shared" si="3"/>
        <v>0</v>
      </c>
      <c r="R5020" s="26"/>
    </row>
    <row r="5021" spans="1:18" ht="15.75" customHeight="1">
      <c r="A5021" s="26"/>
      <c r="B5021" s="86"/>
      <c r="D5021" s="26"/>
      <c r="F5021" s="87" t="str">
        <f t="shared" si="0"/>
        <v/>
      </c>
      <c r="H5021" s="26" t="str">
        <f t="shared" si="1"/>
        <v/>
      </c>
      <c r="I5021" s="26" t="str">
        <f t="shared" si="2"/>
        <v/>
      </c>
      <c r="J5021" s="86">
        <f t="shared" si="3"/>
        <v>0</v>
      </c>
      <c r="R5021" s="26"/>
    </row>
    <row r="5022" spans="1:18" ht="15.75" customHeight="1">
      <c r="A5022" s="26"/>
      <c r="B5022" s="86"/>
      <c r="D5022" s="26"/>
      <c r="F5022" s="87" t="str">
        <f t="shared" si="0"/>
        <v/>
      </c>
      <c r="H5022" s="26" t="str">
        <f t="shared" si="1"/>
        <v/>
      </c>
      <c r="I5022" s="26" t="str">
        <f t="shared" si="2"/>
        <v/>
      </c>
      <c r="J5022" s="86">
        <f t="shared" si="3"/>
        <v>0</v>
      </c>
      <c r="R5022" s="26"/>
    </row>
    <row r="5023" spans="1:18" ht="15.75" customHeight="1">
      <c r="A5023" s="26"/>
      <c r="B5023" s="86"/>
      <c r="D5023" s="26"/>
      <c r="F5023" s="87" t="str">
        <f t="shared" si="0"/>
        <v/>
      </c>
      <c r="H5023" s="26" t="str">
        <f t="shared" si="1"/>
        <v/>
      </c>
      <c r="I5023" s="26" t="str">
        <f t="shared" si="2"/>
        <v/>
      </c>
      <c r="J5023" s="86">
        <f t="shared" si="3"/>
        <v>0</v>
      </c>
      <c r="R5023" s="26"/>
    </row>
    <row r="5024" spans="1:18" ht="15.75" customHeight="1">
      <c r="A5024" s="26"/>
      <c r="B5024" s="86"/>
      <c r="D5024" s="26"/>
      <c r="F5024" s="87" t="str">
        <f t="shared" si="0"/>
        <v/>
      </c>
      <c r="H5024" s="26" t="str">
        <f t="shared" si="1"/>
        <v/>
      </c>
      <c r="I5024" s="26" t="str">
        <f t="shared" si="2"/>
        <v/>
      </c>
      <c r="J5024" s="86">
        <f t="shared" si="3"/>
        <v>0</v>
      </c>
      <c r="R5024" s="26"/>
    </row>
    <row r="5025" spans="1:18" ht="15.75" customHeight="1">
      <c r="A5025" s="26"/>
      <c r="B5025" s="86"/>
      <c r="D5025" s="26"/>
      <c r="F5025" s="87" t="str">
        <f t="shared" si="0"/>
        <v/>
      </c>
      <c r="H5025" s="26" t="str">
        <f t="shared" si="1"/>
        <v/>
      </c>
      <c r="I5025" s="26" t="str">
        <f t="shared" si="2"/>
        <v/>
      </c>
      <c r="J5025" s="86">
        <f t="shared" si="3"/>
        <v>0</v>
      </c>
      <c r="R5025" s="26"/>
    </row>
    <row r="5026" spans="1:18" ht="15.75" customHeight="1">
      <c r="A5026" s="26"/>
      <c r="B5026" s="86"/>
      <c r="D5026" s="26"/>
      <c r="F5026" s="87" t="str">
        <f t="shared" si="0"/>
        <v/>
      </c>
      <c r="H5026" s="26" t="str">
        <f t="shared" si="1"/>
        <v/>
      </c>
      <c r="I5026" s="26" t="str">
        <f t="shared" si="2"/>
        <v/>
      </c>
      <c r="J5026" s="86">
        <f t="shared" si="3"/>
        <v>0</v>
      </c>
      <c r="R5026" s="26"/>
    </row>
    <row r="5027" spans="1:18" ht="15.75" customHeight="1">
      <c r="A5027" s="26"/>
      <c r="B5027" s="86"/>
      <c r="D5027" s="26"/>
      <c r="F5027" s="87" t="str">
        <f t="shared" si="0"/>
        <v/>
      </c>
      <c r="H5027" s="26" t="str">
        <f t="shared" si="1"/>
        <v/>
      </c>
      <c r="I5027" s="26" t="str">
        <f t="shared" si="2"/>
        <v/>
      </c>
      <c r="J5027" s="86">
        <f t="shared" si="3"/>
        <v>0</v>
      </c>
      <c r="R5027" s="26"/>
    </row>
    <row r="5028" spans="1:18" ht="15.75" customHeight="1">
      <c r="A5028" s="26"/>
      <c r="B5028" s="86"/>
      <c r="D5028" s="26"/>
      <c r="F5028" s="87" t="str">
        <f t="shared" si="0"/>
        <v/>
      </c>
      <c r="H5028" s="26" t="str">
        <f t="shared" si="1"/>
        <v/>
      </c>
      <c r="I5028" s="26" t="str">
        <f t="shared" si="2"/>
        <v/>
      </c>
      <c r="J5028" s="86">
        <f t="shared" si="3"/>
        <v>0</v>
      </c>
      <c r="R5028" s="26"/>
    </row>
    <row r="5029" spans="1:18" ht="15.75" customHeight="1">
      <c r="A5029" s="26"/>
      <c r="B5029" s="86"/>
      <c r="D5029" s="26"/>
      <c r="F5029" s="87" t="str">
        <f t="shared" si="0"/>
        <v/>
      </c>
      <c r="H5029" s="26" t="str">
        <f t="shared" si="1"/>
        <v/>
      </c>
      <c r="I5029" s="26" t="str">
        <f t="shared" si="2"/>
        <v/>
      </c>
      <c r="J5029" s="86">
        <f t="shared" si="3"/>
        <v>0</v>
      </c>
      <c r="R5029" s="26"/>
    </row>
    <row r="5030" spans="1:18" ht="15.75" customHeight="1">
      <c r="A5030" s="26"/>
      <c r="B5030" s="86"/>
      <c r="D5030" s="26"/>
      <c r="F5030" s="87" t="str">
        <f t="shared" si="0"/>
        <v/>
      </c>
      <c r="H5030" s="26" t="str">
        <f t="shared" si="1"/>
        <v/>
      </c>
      <c r="I5030" s="26" t="str">
        <f t="shared" si="2"/>
        <v/>
      </c>
      <c r="J5030" s="86">
        <f t="shared" si="3"/>
        <v>0</v>
      </c>
      <c r="R5030" s="26"/>
    </row>
    <row r="5031" spans="1:18" ht="15.75" customHeight="1">
      <c r="A5031" s="26"/>
      <c r="B5031" s="86"/>
      <c r="D5031" s="26"/>
      <c r="F5031" s="87" t="str">
        <f t="shared" si="0"/>
        <v/>
      </c>
      <c r="H5031" s="26" t="str">
        <f t="shared" si="1"/>
        <v/>
      </c>
      <c r="I5031" s="26" t="str">
        <f t="shared" si="2"/>
        <v/>
      </c>
      <c r="J5031" s="86">
        <f t="shared" si="3"/>
        <v>0</v>
      </c>
      <c r="R5031" s="26"/>
    </row>
    <row r="5032" spans="1:18" ht="15.75" customHeight="1">
      <c r="A5032" s="26"/>
      <c r="B5032" s="86"/>
      <c r="D5032" s="26"/>
      <c r="F5032" s="87" t="str">
        <f t="shared" si="0"/>
        <v/>
      </c>
      <c r="H5032" s="26" t="str">
        <f t="shared" si="1"/>
        <v/>
      </c>
      <c r="I5032" s="26" t="str">
        <f t="shared" si="2"/>
        <v/>
      </c>
      <c r="J5032" s="86">
        <f t="shared" si="3"/>
        <v>0</v>
      </c>
      <c r="R5032" s="26"/>
    </row>
    <row r="5033" spans="1:18" ht="15.75" customHeight="1">
      <c r="A5033" s="26"/>
      <c r="B5033" s="86"/>
      <c r="D5033" s="26"/>
      <c r="F5033" s="87" t="str">
        <f t="shared" si="0"/>
        <v/>
      </c>
      <c r="H5033" s="26" t="str">
        <f t="shared" si="1"/>
        <v/>
      </c>
      <c r="I5033" s="26" t="str">
        <f t="shared" si="2"/>
        <v/>
      </c>
      <c r="J5033" s="86">
        <f t="shared" si="3"/>
        <v>0</v>
      </c>
      <c r="R5033" s="26"/>
    </row>
    <row r="5034" spans="1:18" ht="15.75" customHeight="1">
      <c r="A5034" s="26"/>
      <c r="B5034" s="86"/>
      <c r="D5034" s="26"/>
      <c r="F5034" s="87" t="str">
        <f t="shared" si="0"/>
        <v/>
      </c>
      <c r="H5034" s="26" t="str">
        <f t="shared" si="1"/>
        <v/>
      </c>
      <c r="I5034" s="26" t="str">
        <f t="shared" si="2"/>
        <v/>
      </c>
      <c r="J5034" s="86">
        <f t="shared" si="3"/>
        <v>0</v>
      </c>
      <c r="R5034" s="26"/>
    </row>
    <row r="5035" spans="1:18" ht="15.75" customHeight="1">
      <c r="A5035" s="26"/>
      <c r="B5035" s="86"/>
      <c r="D5035" s="26"/>
      <c r="F5035" s="87" t="str">
        <f t="shared" si="0"/>
        <v/>
      </c>
      <c r="H5035" s="26" t="str">
        <f t="shared" si="1"/>
        <v/>
      </c>
      <c r="I5035" s="26" t="str">
        <f t="shared" si="2"/>
        <v/>
      </c>
      <c r="J5035" s="86">
        <f t="shared" si="3"/>
        <v>0</v>
      </c>
      <c r="R5035" s="26"/>
    </row>
    <row r="5036" spans="1:18" ht="15.75" customHeight="1">
      <c r="A5036" s="26"/>
      <c r="B5036" s="86"/>
      <c r="D5036" s="26"/>
      <c r="F5036" s="87" t="str">
        <f t="shared" si="0"/>
        <v/>
      </c>
      <c r="H5036" s="26" t="str">
        <f t="shared" si="1"/>
        <v/>
      </c>
      <c r="I5036" s="26" t="str">
        <f t="shared" si="2"/>
        <v/>
      </c>
      <c r="J5036" s="86">
        <f t="shared" si="3"/>
        <v>0</v>
      </c>
      <c r="R5036" s="26"/>
    </row>
    <row r="5037" spans="1:18" ht="15.75" customHeight="1">
      <c r="A5037" s="26"/>
      <c r="B5037" s="86"/>
      <c r="D5037" s="26"/>
      <c r="F5037" s="87" t="str">
        <f t="shared" si="0"/>
        <v/>
      </c>
      <c r="H5037" s="26" t="str">
        <f t="shared" si="1"/>
        <v/>
      </c>
      <c r="I5037" s="26" t="str">
        <f t="shared" si="2"/>
        <v/>
      </c>
      <c r="J5037" s="86">
        <f t="shared" si="3"/>
        <v>0</v>
      </c>
      <c r="R5037" s="26"/>
    </row>
    <row r="5038" spans="1:18" ht="15.75" customHeight="1">
      <c r="A5038" s="26"/>
      <c r="B5038" s="86"/>
      <c r="D5038" s="26"/>
      <c r="F5038" s="87" t="str">
        <f t="shared" si="0"/>
        <v/>
      </c>
      <c r="H5038" s="26" t="str">
        <f t="shared" si="1"/>
        <v/>
      </c>
      <c r="I5038" s="26" t="str">
        <f t="shared" si="2"/>
        <v/>
      </c>
      <c r="J5038" s="86">
        <f t="shared" si="3"/>
        <v>0</v>
      </c>
      <c r="R5038" s="26"/>
    </row>
    <row r="5039" spans="1:18" ht="15.75" customHeight="1">
      <c r="A5039" s="26"/>
      <c r="B5039" s="86"/>
      <c r="D5039" s="26"/>
      <c r="F5039" s="87" t="str">
        <f t="shared" si="0"/>
        <v/>
      </c>
      <c r="H5039" s="26" t="str">
        <f t="shared" si="1"/>
        <v/>
      </c>
      <c r="I5039" s="26" t="str">
        <f t="shared" si="2"/>
        <v/>
      </c>
      <c r="J5039" s="86">
        <f t="shared" si="3"/>
        <v>0</v>
      </c>
      <c r="R5039" s="26"/>
    </row>
    <row r="5040" spans="1:18" ht="15.75" customHeight="1">
      <c r="A5040" s="26"/>
      <c r="B5040" s="86"/>
      <c r="D5040" s="26"/>
      <c r="F5040" s="87" t="str">
        <f t="shared" si="0"/>
        <v/>
      </c>
      <c r="H5040" s="26" t="str">
        <f t="shared" si="1"/>
        <v/>
      </c>
      <c r="I5040" s="26" t="str">
        <f t="shared" si="2"/>
        <v/>
      </c>
      <c r="J5040" s="86">
        <f t="shared" si="3"/>
        <v>0</v>
      </c>
      <c r="R5040" s="26"/>
    </row>
    <row r="5041" spans="1:18" ht="15.75" customHeight="1">
      <c r="A5041" s="26"/>
      <c r="B5041" s="86"/>
      <c r="D5041" s="26"/>
      <c r="F5041" s="87" t="str">
        <f t="shared" si="0"/>
        <v/>
      </c>
      <c r="H5041" s="26" t="str">
        <f t="shared" si="1"/>
        <v/>
      </c>
      <c r="I5041" s="26" t="str">
        <f t="shared" si="2"/>
        <v/>
      </c>
      <c r="J5041" s="86">
        <f t="shared" si="3"/>
        <v>0</v>
      </c>
      <c r="R5041" s="26"/>
    </row>
    <row r="5042" spans="1:18" ht="15.75" customHeight="1">
      <c r="A5042" s="26"/>
      <c r="B5042" s="86"/>
      <c r="D5042" s="26"/>
      <c r="F5042" s="87" t="str">
        <f t="shared" si="0"/>
        <v/>
      </c>
      <c r="H5042" s="26" t="str">
        <f t="shared" si="1"/>
        <v/>
      </c>
      <c r="I5042" s="26" t="str">
        <f t="shared" si="2"/>
        <v/>
      </c>
      <c r="J5042" s="86">
        <f t="shared" si="3"/>
        <v>0</v>
      </c>
      <c r="R5042" s="26"/>
    </row>
    <row r="5043" spans="1:18" ht="15.75" customHeight="1">
      <c r="A5043" s="26"/>
      <c r="B5043" s="86"/>
      <c r="D5043" s="26"/>
      <c r="F5043" s="87" t="str">
        <f t="shared" si="0"/>
        <v/>
      </c>
      <c r="H5043" s="26" t="str">
        <f t="shared" si="1"/>
        <v/>
      </c>
      <c r="I5043" s="26" t="str">
        <f t="shared" si="2"/>
        <v/>
      </c>
      <c r="J5043" s="86">
        <f t="shared" si="3"/>
        <v>0</v>
      </c>
      <c r="R5043" s="26"/>
    </row>
    <row r="5044" spans="1:18" ht="15.75" customHeight="1">
      <c r="A5044" s="26"/>
      <c r="B5044" s="86"/>
      <c r="D5044" s="26"/>
      <c r="F5044" s="87" t="str">
        <f t="shared" si="0"/>
        <v/>
      </c>
      <c r="H5044" s="26" t="str">
        <f t="shared" si="1"/>
        <v/>
      </c>
      <c r="I5044" s="26" t="str">
        <f t="shared" si="2"/>
        <v/>
      </c>
      <c r="J5044" s="86">
        <f t="shared" si="3"/>
        <v>0</v>
      </c>
      <c r="R5044" s="26"/>
    </row>
    <row r="5045" spans="1:18" ht="15.75" customHeight="1">
      <c r="A5045" s="26"/>
      <c r="B5045" s="86"/>
      <c r="D5045" s="26"/>
      <c r="F5045" s="87" t="str">
        <f t="shared" si="0"/>
        <v/>
      </c>
      <c r="H5045" s="26" t="str">
        <f t="shared" si="1"/>
        <v/>
      </c>
      <c r="I5045" s="26" t="str">
        <f t="shared" si="2"/>
        <v/>
      </c>
      <c r="J5045" s="86">
        <f t="shared" si="3"/>
        <v>0</v>
      </c>
      <c r="R5045" s="26"/>
    </row>
    <row r="5046" spans="1:18" ht="15.75" customHeight="1">
      <c r="A5046" s="26"/>
      <c r="B5046" s="86"/>
      <c r="D5046" s="26"/>
      <c r="F5046" s="87" t="str">
        <f t="shared" si="0"/>
        <v/>
      </c>
      <c r="H5046" s="26" t="str">
        <f t="shared" si="1"/>
        <v/>
      </c>
      <c r="I5046" s="26" t="str">
        <f t="shared" si="2"/>
        <v/>
      </c>
      <c r="J5046" s="86">
        <f t="shared" si="3"/>
        <v>0</v>
      </c>
      <c r="R5046" s="26"/>
    </row>
    <row r="5047" spans="1:18" ht="15.75" customHeight="1">
      <c r="A5047" s="26"/>
      <c r="B5047" s="86"/>
      <c r="D5047" s="26"/>
      <c r="F5047" s="87" t="str">
        <f t="shared" si="0"/>
        <v/>
      </c>
      <c r="H5047" s="26" t="str">
        <f t="shared" si="1"/>
        <v/>
      </c>
      <c r="I5047" s="26" t="str">
        <f t="shared" si="2"/>
        <v/>
      </c>
      <c r="J5047" s="86">
        <f t="shared" si="3"/>
        <v>0</v>
      </c>
      <c r="R5047" s="26"/>
    </row>
    <row r="5048" spans="1:18" ht="15.75" customHeight="1">
      <c r="A5048" s="26"/>
      <c r="B5048" s="86"/>
      <c r="D5048" s="26"/>
      <c r="F5048" s="87" t="str">
        <f t="shared" si="0"/>
        <v/>
      </c>
      <c r="H5048" s="26" t="str">
        <f t="shared" si="1"/>
        <v/>
      </c>
      <c r="I5048" s="26" t="str">
        <f t="shared" si="2"/>
        <v/>
      </c>
      <c r="J5048" s="86">
        <f t="shared" si="3"/>
        <v>0</v>
      </c>
      <c r="R5048" s="26"/>
    </row>
    <row r="5049" spans="1:18" ht="15.75" customHeight="1">
      <c r="A5049" s="26"/>
      <c r="B5049" s="86"/>
      <c r="D5049" s="26"/>
      <c r="F5049" s="87" t="str">
        <f t="shared" si="0"/>
        <v/>
      </c>
      <c r="H5049" s="26" t="str">
        <f t="shared" si="1"/>
        <v/>
      </c>
      <c r="I5049" s="26" t="str">
        <f t="shared" si="2"/>
        <v/>
      </c>
      <c r="J5049" s="86">
        <f t="shared" si="3"/>
        <v>0</v>
      </c>
      <c r="R5049" s="26"/>
    </row>
    <row r="5050" spans="1:18" ht="15.75" customHeight="1">
      <c r="A5050" s="26"/>
      <c r="B5050" s="86"/>
      <c r="D5050" s="26"/>
      <c r="F5050" s="87" t="str">
        <f t="shared" si="0"/>
        <v/>
      </c>
      <c r="H5050" s="26" t="str">
        <f t="shared" si="1"/>
        <v/>
      </c>
      <c r="I5050" s="26" t="str">
        <f t="shared" si="2"/>
        <v/>
      </c>
      <c r="J5050" s="86">
        <f t="shared" si="3"/>
        <v>0</v>
      </c>
      <c r="R5050" s="26"/>
    </row>
    <row r="5051" spans="1:18" ht="15.75" customHeight="1">
      <c r="A5051" s="26"/>
      <c r="B5051" s="86"/>
      <c r="D5051" s="26"/>
      <c r="F5051" s="87" t="str">
        <f t="shared" si="0"/>
        <v/>
      </c>
      <c r="H5051" s="26" t="str">
        <f t="shared" si="1"/>
        <v/>
      </c>
      <c r="I5051" s="26" t="str">
        <f t="shared" si="2"/>
        <v/>
      </c>
      <c r="J5051" s="86">
        <f t="shared" si="3"/>
        <v>0</v>
      </c>
      <c r="R5051" s="26"/>
    </row>
    <row r="5052" spans="1:18" ht="15.75" customHeight="1">
      <c r="A5052" s="26"/>
      <c r="B5052" s="86"/>
      <c r="D5052" s="26"/>
      <c r="F5052" s="87" t="str">
        <f t="shared" si="0"/>
        <v/>
      </c>
      <c r="H5052" s="26" t="str">
        <f t="shared" si="1"/>
        <v/>
      </c>
      <c r="I5052" s="26" t="str">
        <f t="shared" si="2"/>
        <v/>
      </c>
      <c r="J5052" s="86">
        <f t="shared" si="3"/>
        <v>0</v>
      </c>
      <c r="R5052" s="26"/>
    </row>
    <row r="5053" spans="1:18" ht="15.75" customHeight="1">
      <c r="A5053" s="26"/>
      <c r="B5053" s="86"/>
      <c r="D5053" s="26"/>
      <c r="F5053" s="87" t="str">
        <f t="shared" si="0"/>
        <v/>
      </c>
      <c r="H5053" s="26" t="str">
        <f t="shared" si="1"/>
        <v/>
      </c>
      <c r="I5053" s="26" t="str">
        <f t="shared" si="2"/>
        <v/>
      </c>
      <c r="J5053" s="86">
        <f t="shared" si="3"/>
        <v>0</v>
      </c>
      <c r="R5053" s="26"/>
    </row>
    <row r="5054" spans="1:18" ht="15.75" customHeight="1">
      <c r="A5054" s="26"/>
      <c r="B5054" s="86"/>
      <c r="D5054" s="26"/>
      <c r="F5054" s="87" t="str">
        <f t="shared" si="0"/>
        <v/>
      </c>
      <c r="H5054" s="26" t="str">
        <f t="shared" si="1"/>
        <v/>
      </c>
      <c r="I5054" s="26" t="str">
        <f t="shared" si="2"/>
        <v/>
      </c>
      <c r="J5054" s="86">
        <f t="shared" si="3"/>
        <v>0</v>
      </c>
      <c r="R5054" s="26"/>
    </row>
    <row r="5055" spans="1:18" ht="15.75" customHeight="1">
      <c r="A5055" s="26"/>
      <c r="B5055" s="86"/>
      <c r="D5055" s="26"/>
      <c r="F5055" s="87" t="str">
        <f t="shared" si="0"/>
        <v/>
      </c>
      <c r="H5055" s="26" t="str">
        <f t="shared" si="1"/>
        <v/>
      </c>
      <c r="I5055" s="26" t="str">
        <f t="shared" si="2"/>
        <v/>
      </c>
      <c r="J5055" s="86">
        <f t="shared" si="3"/>
        <v>0</v>
      </c>
      <c r="R5055" s="26"/>
    </row>
    <row r="5056" spans="1:18" ht="15.75" customHeight="1">
      <c r="A5056" s="26"/>
      <c r="B5056" s="86"/>
      <c r="D5056" s="26"/>
      <c r="F5056" s="87" t="str">
        <f t="shared" si="0"/>
        <v/>
      </c>
      <c r="H5056" s="26" t="str">
        <f t="shared" si="1"/>
        <v/>
      </c>
      <c r="I5056" s="26" t="str">
        <f t="shared" si="2"/>
        <v/>
      </c>
      <c r="J5056" s="86">
        <f t="shared" si="3"/>
        <v>0</v>
      </c>
      <c r="R5056" s="26"/>
    </row>
    <row r="5057" spans="1:18" ht="15.75" customHeight="1">
      <c r="A5057" s="26"/>
      <c r="B5057" s="86"/>
      <c r="D5057" s="26"/>
      <c r="F5057" s="87" t="str">
        <f t="shared" si="0"/>
        <v/>
      </c>
      <c r="H5057" s="26" t="str">
        <f t="shared" si="1"/>
        <v/>
      </c>
      <c r="I5057" s="26" t="str">
        <f t="shared" si="2"/>
        <v/>
      </c>
      <c r="J5057" s="86">
        <f t="shared" si="3"/>
        <v>0</v>
      </c>
      <c r="R5057" s="26"/>
    </row>
    <row r="5058" spans="1:18" ht="15.75" customHeight="1">
      <c r="A5058" s="26"/>
      <c r="B5058" s="86"/>
      <c r="D5058" s="26"/>
      <c r="F5058" s="87" t="str">
        <f t="shared" si="0"/>
        <v/>
      </c>
      <c r="H5058" s="26" t="str">
        <f t="shared" si="1"/>
        <v/>
      </c>
      <c r="I5058" s="26" t="str">
        <f t="shared" si="2"/>
        <v/>
      </c>
      <c r="J5058" s="86">
        <f t="shared" si="3"/>
        <v>0</v>
      </c>
      <c r="R5058" s="26"/>
    </row>
    <row r="5059" spans="1:18" ht="15.75" customHeight="1">
      <c r="A5059" s="26"/>
      <c r="B5059" s="86"/>
      <c r="D5059" s="26"/>
      <c r="F5059" s="87" t="str">
        <f t="shared" si="0"/>
        <v/>
      </c>
      <c r="H5059" s="26" t="str">
        <f t="shared" si="1"/>
        <v/>
      </c>
      <c r="I5059" s="26" t="str">
        <f t="shared" si="2"/>
        <v/>
      </c>
      <c r="J5059" s="86">
        <f t="shared" si="3"/>
        <v>0</v>
      </c>
      <c r="R5059" s="26"/>
    </row>
    <row r="5060" spans="1:18" ht="15.75" customHeight="1">
      <c r="A5060" s="26"/>
      <c r="B5060" s="86"/>
      <c r="D5060" s="26"/>
      <c r="F5060" s="87" t="str">
        <f t="shared" si="0"/>
        <v/>
      </c>
      <c r="H5060" s="26" t="str">
        <f t="shared" si="1"/>
        <v/>
      </c>
      <c r="I5060" s="26" t="str">
        <f t="shared" si="2"/>
        <v/>
      </c>
      <c r="J5060" s="86">
        <f t="shared" si="3"/>
        <v>0</v>
      </c>
      <c r="R5060" s="26"/>
    </row>
    <row r="5061" spans="1:18" ht="15.75" customHeight="1">
      <c r="A5061" s="26"/>
      <c r="B5061" s="86"/>
      <c r="D5061" s="26"/>
      <c r="F5061" s="87" t="str">
        <f t="shared" si="0"/>
        <v/>
      </c>
      <c r="H5061" s="26" t="str">
        <f t="shared" si="1"/>
        <v/>
      </c>
      <c r="I5061" s="26" t="str">
        <f t="shared" si="2"/>
        <v/>
      </c>
      <c r="J5061" s="86">
        <f t="shared" si="3"/>
        <v>0</v>
      </c>
      <c r="R5061" s="26"/>
    </row>
    <row r="5062" spans="1:18" ht="15.75" customHeight="1">
      <c r="A5062" s="26"/>
      <c r="B5062" s="86"/>
      <c r="D5062" s="26"/>
      <c r="F5062" s="87" t="str">
        <f t="shared" si="0"/>
        <v/>
      </c>
      <c r="H5062" s="26" t="str">
        <f t="shared" si="1"/>
        <v/>
      </c>
      <c r="I5062" s="26" t="str">
        <f t="shared" si="2"/>
        <v/>
      </c>
      <c r="J5062" s="86">
        <f t="shared" si="3"/>
        <v>0</v>
      </c>
      <c r="R5062" s="26"/>
    </row>
    <row r="5063" spans="1:18" ht="15.75" customHeight="1">
      <c r="A5063" s="26"/>
      <c r="B5063" s="86"/>
      <c r="D5063" s="26"/>
      <c r="F5063" s="87" t="str">
        <f t="shared" si="0"/>
        <v/>
      </c>
      <c r="H5063" s="26" t="str">
        <f t="shared" si="1"/>
        <v/>
      </c>
      <c r="I5063" s="26" t="str">
        <f t="shared" si="2"/>
        <v/>
      </c>
      <c r="J5063" s="86">
        <f t="shared" si="3"/>
        <v>0</v>
      </c>
      <c r="R5063" s="26"/>
    </row>
    <row r="5064" spans="1:18" ht="15.75" customHeight="1">
      <c r="A5064" s="26"/>
      <c r="B5064" s="86"/>
      <c r="D5064" s="26"/>
      <c r="F5064" s="87" t="str">
        <f t="shared" si="0"/>
        <v/>
      </c>
      <c r="H5064" s="26" t="str">
        <f t="shared" si="1"/>
        <v/>
      </c>
      <c r="I5064" s="26" t="str">
        <f t="shared" si="2"/>
        <v/>
      </c>
      <c r="J5064" s="86">
        <f t="shared" si="3"/>
        <v>0</v>
      </c>
      <c r="R5064" s="26"/>
    </row>
    <row r="5065" spans="1:18" ht="15.75" customHeight="1">
      <c r="A5065" s="26"/>
      <c r="B5065" s="86"/>
      <c r="D5065" s="26"/>
      <c r="F5065" s="87" t="str">
        <f t="shared" si="0"/>
        <v/>
      </c>
      <c r="H5065" s="26" t="str">
        <f t="shared" si="1"/>
        <v/>
      </c>
      <c r="I5065" s="26" t="str">
        <f t="shared" si="2"/>
        <v/>
      </c>
      <c r="J5065" s="86">
        <f t="shared" si="3"/>
        <v>0</v>
      </c>
      <c r="R5065" s="26"/>
    </row>
    <row r="5066" spans="1:18" ht="15.75" customHeight="1">
      <c r="A5066" s="26"/>
      <c r="B5066" s="86"/>
      <c r="D5066" s="26"/>
      <c r="F5066" s="87" t="str">
        <f t="shared" si="0"/>
        <v/>
      </c>
      <c r="H5066" s="26" t="str">
        <f t="shared" si="1"/>
        <v/>
      </c>
      <c r="I5066" s="26" t="str">
        <f t="shared" si="2"/>
        <v/>
      </c>
      <c r="J5066" s="86">
        <f t="shared" si="3"/>
        <v>0</v>
      </c>
      <c r="R5066" s="26"/>
    </row>
    <row r="5067" spans="1:18" ht="15.75" customHeight="1">
      <c r="A5067" s="26"/>
      <c r="B5067" s="86"/>
      <c r="D5067" s="26"/>
      <c r="F5067" s="87" t="str">
        <f t="shared" si="0"/>
        <v/>
      </c>
      <c r="H5067" s="26" t="str">
        <f t="shared" si="1"/>
        <v/>
      </c>
      <c r="I5067" s="26" t="str">
        <f t="shared" si="2"/>
        <v/>
      </c>
      <c r="J5067" s="86">
        <f t="shared" si="3"/>
        <v>0</v>
      </c>
      <c r="R5067" s="26"/>
    </row>
    <row r="5068" spans="1:18" ht="15.75" customHeight="1">
      <c r="A5068" s="26"/>
      <c r="B5068" s="86"/>
      <c r="D5068" s="26"/>
      <c r="F5068" s="87" t="str">
        <f t="shared" si="0"/>
        <v/>
      </c>
      <c r="H5068" s="26" t="str">
        <f t="shared" si="1"/>
        <v/>
      </c>
      <c r="I5068" s="26" t="str">
        <f t="shared" si="2"/>
        <v/>
      </c>
      <c r="J5068" s="86">
        <f t="shared" si="3"/>
        <v>0</v>
      </c>
      <c r="R5068" s="26"/>
    </row>
    <row r="5069" spans="1:18" ht="15.75" customHeight="1">
      <c r="A5069" s="26"/>
      <c r="B5069" s="86"/>
      <c r="D5069" s="26"/>
      <c r="F5069" s="87" t="str">
        <f t="shared" si="0"/>
        <v/>
      </c>
      <c r="H5069" s="26" t="str">
        <f t="shared" si="1"/>
        <v/>
      </c>
      <c r="I5069" s="26" t="str">
        <f t="shared" si="2"/>
        <v/>
      </c>
      <c r="J5069" s="86">
        <f t="shared" si="3"/>
        <v>0</v>
      </c>
      <c r="R5069" s="26"/>
    </row>
    <row r="5070" spans="1:18" ht="15.75" customHeight="1">
      <c r="A5070" s="26"/>
      <c r="B5070" s="86"/>
      <c r="D5070" s="26"/>
      <c r="F5070" s="87" t="str">
        <f t="shared" si="0"/>
        <v/>
      </c>
      <c r="H5070" s="26" t="str">
        <f t="shared" si="1"/>
        <v/>
      </c>
      <c r="I5070" s="26" t="str">
        <f t="shared" si="2"/>
        <v/>
      </c>
      <c r="J5070" s="86">
        <f t="shared" si="3"/>
        <v>0</v>
      </c>
      <c r="R5070" s="26"/>
    </row>
    <row r="5071" spans="1:18" ht="15.75" customHeight="1">
      <c r="A5071" s="26"/>
      <c r="B5071" s="86"/>
      <c r="D5071" s="26"/>
      <c r="F5071" s="87" t="str">
        <f t="shared" si="0"/>
        <v/>
      </c>
      <c r="H5071" s="26" t="str">
        <f t="shared" si="1"/>
        <v/>
      </c>
      <c r="I5071" s="26" t="str">
        <f t="shared" si="2"/>
        <v/>
      </c>
      <c r="J5071" s="86">
        <f t="shared" si="3"/>
        <v>0</v>
      </c>
      <c r="R5071" s="26"/>
    </row>
    <row r="5072" spans="1:18" ht="15.75" customHeight="1">
      <c r="A5072" s="26"/>
      <c r="B5072" s="86"/>
      <c r="D5072" s="26"/>
      <c r="F5072" s="87" t="str">
        <f t="shared" si="0"/>
        <v/>
      </c>
      <c r="H5072" s="26" t="str">
        <f t="shared" si="1"/>
        <v/>
      </c>
      <c r="I5072" s="26" t="str">
        <f t="shared" si="2"/>
        <v/>
      </c>
      <c r="J5072" s="86">
        <f t="shared" si="3"/>
        <v>0</v>
      </c>
      <c r="R5072" s="26"/>
    </row>
    <row r="5073" spans="1:18" ht="15.75" customHeight="1">
      <c r="A5073" s="26"/>
      <c r="B5073" s="86"/>
      <c r="D5073" s="26"/>
      <c r="F5073" s="87" t="str">
        <f t="shared" si="0"/>
        <v/>
      </c>
      <c r="H5073" s="26" t="str">
        <f t="shared" si="1"/>
        <v/>
      </c>
      <c r="I5073" s="26" t="str">
        <f t="shared" si="2"/>
        <v/>
      </c>
      <c r="J5073" s="86">
        <f t="shared" si="3"/>
        <v>0</v>
      </c>
      <c r="R5073" s="26"/>
    </row>
    <row r="5074" spans="1:18" ht="15.75" customHeight="1">
      <c r="A5074" s="26"/>
      <c r="B5074" s="86"/>
      <c r="D5074" s="26"/>
      <c r="F5074" s="87" t="str">
        <f t="shared" si="0"/>
        <v/>
      </c>
      <c r="H5074" s="26" t="str">
        <f t="shared" si="1"/>
        <v/>
      </c>
      <c r="I5074" s="26" t="str">
        <f t="shared" si="2"/>
        <v/>
      </c>
      <c r="J5074" s="86">
        <f t="shared" si="3"/>
        <v>0</v>
      </c>
      <c r="R5074" s="26"/>
    </row>
    <row r="5075" spans="1:18" ht="15.75" customHeight="1">
      <c r="A5075" s="26"/>
      <c r="B5075" s="86"/>
      <c r="D5075" s="26"/>
      <c r="F5075" s="87" t="str">
        <f t="shared" si="0"/>
        <v/>
      </c>
      <c r="H5075" s="26" t="str">
        <f t="shared" si="1"/>
        <v/>
      </c>
      <c r="I5075" s="26" t="str">
        <f t="shared" si="2"/>
        <v/>
      </c>
      <c r="J5075" s="86">
        <f t="shared" si="3"/>
        <v>0</v>
      </c>
      <c r="R5075" s="26"/>
    </row>
    <row r="5076" spans="1:18" ht="15.75" customHeight="1">
      <c r="A5076" s="26"/>
      <c r="B5076" s="86"/>
      <c r="D5076" s="26"/>
      <c r="F5076" s="87" t="str">
        <f t="shared" si="0"/>
        <v/>
      </c>
      <c r="H5076" s="26" t="str">
        <f t="shared" si="1"/>
        <v/>
      </c>
      <c r="I5076" s="26" t="str">
        <f t="shared" si="2"/>
        <v/>
      </c>
      <c r="J5076" s="86">
        <f t="shared" si="3"/>
        <v>0</v>
      </c>
      <c r="R5076" s="26"/>
    </row>
    <row r="5077" spans="1:18" ht="15.75" customHeight="1">
      <c r="A5077" s="26"/>
      <c r="B5077" s="86"/>
      <c r="D5077" s="26"/>
      <c r="F5077" s="87" t="str">
        <f t="shared" si="0"/>
        <v/>
      </c>
      <c r="H5077" s="26" t="str">
        <f t="shared" si="1"/>
        <v/>
      </c>
      <c r="I5077" s="26" t="str">
        <f t="shared" si="2"/>
        <v/>
      </c>
      <c r="J5077" s="86">
        <f t="shared" si="3"/>
        <v>0</v>
      </c>
      <c r="R5077" s="26"/>
    </row>
    <row r="5078" spans="1:18" ht="15.75" customHeight="1">
      <c r="A5078" s="26"/>
      <c r="B5078" s="86"/>
      <c r="D5078" s="26"/>
      <c r="F5078" s="87" t="str">
        <f t="shared" si="0"/>
        <v/>
      </c>
      <c r="H5078" s="26" t="str">
        <f t="shared" si="1"/>
        <v/>
      </c>
      <c r="I5078" s="26" t="str">
        <f t="shared" si="2"/>
        <v/>
      </c>
      <c r="J5078" s="86">
        <f t="shared" si="3"/>
        <v>0</v>
      </c>
      <c r="R5078" s="26"/>
    </row>
    <row r="5079" spans="1:18" ht="15.75" customHeight="1">
      <c r="A5079" s="26"/>
      <c r="B5079" s="86"/>
      <c r="D5079" s="26"/>
      <c r="F5079" s="87" t="str">
        <f t="shared" si="0"/>
        <v/>
      </c>
      <c r="H5079" s="26" t="str">
        <f t="shared" si="1"/>
        <v/>
      </c>
      <c r="I5079" s="26" t="str">
        <f t="shared" si="2"/>
        <v/>
      </c>
      <c r="J5079" s="86">
        <f t="shared" si="3"/>
        <v>0</v>
      </c>
      <c r="R5079" s="26"/>
    </row>
    <row r="5080" spans="1:18" ht="15.75" customHeight="1">
      <c r="A5080" s="26"/>
      <c r="B5080" s="86"/>
      <c r="D5080" s="26"/>
      <c r="F5080" s="87" t="str">
        <f t="shared" si="0"/>
        <v/>
      </c>
      <c r="H5080" s="26" t="str">
        <f t="shared" si="1"/>
        <v/>
      </c>
      <c r="I5080" s="26" t="str">
        <f t="shared" si="2"/>
        <v/>
      </c>
      <c r="J5080" s="86">
        <f t="shared" si="3"/>
        <v>0</v>
      </c>
      <c r="R5080" s="26"/>
    </row>
    <row r="5081" spans="1:18" ht="15.75" customHeight="1">
      <c r="A5081" s="26"/>
      <c r="B5081" s="86"/>
      <c r="D5081" s="26"/>
      <c r="F5081" s="87" t="str">
        <f t="shared" si="0"/>
        <v/>
      </c>
      <c r="H5081" s="26" t="str">
        <f t="shared" si="1"/>
        <v/>
      </c>
      <c r="I5081" s="26" t="str">
        <f t="shared" si="2"/>
        <v/>
      </c>
      <c r="J5081" s="86">
        <f t="shared" si="3"/>
        <v>0</v>
      </c>
      <c r="R5081" s="26"/>
    </row>
    <row r="5082" spans="1:18" ht="15.75" customHeight="1">
      <c r="A5082" s="26"/>
      <c r="B5082" s="86"/>
      <c r="D5082" s="26"/>
      <c r="F5082" s="87" t="str">
        <f t="shared" si="0"/>
        <v/>
      </c>
      <c r="H5082" s="26" t="str">
        <f t="shared" si="1"/>
        <v/>
      </c>
      <c r="I5082" s="26" t="str">
        <f t="shared" si="2"/>
        <v/>
      </c>
      <c r="J5082" s="86">
        <f t="shared" si="3"/>
        <v>0</v>
      </c>
      <c r="R5082" s="26"/>
    </row>
    <row r="5083" spans="1:18" ht="15.75" customHeight="1">
      <c r="A5083" s="26"/>
      <c r="B5083" s="86"/>
      <c r="D5083" s="26"/>
      <c r="F5083" s="87" t="str">
        <f t="shared" si="0"/>
        <v/>
      </c>
      <c r="H5083" s="26" t="str">
        <f t="shared" si="1"/>
        <v/>
      </c>
      <c r="I5083" s="26" t="str">
        <f t="shared" si="2"/>
        <v/>
      </c>
      <c r="J5083" s="86">
        <f t="shared" si="3"/>
        <v>0</v>
      </c>
      <c r="R5083" s="26"/>
    </row>
    <row r="5084" spans="1:18" ht="15.75" customHeight="1">
      <c r="A5084" s="26"/>
      <c r="B5084" s="86"/>
      <c r="D5084" s="26"/>
      <c r="F5084" s="87" t="str">
        <f t="shared" si="0"/>
        <v/>
      </c>
      <c r="H5084" s="26" t="str">
        <f t="shared" si="1"/>
        <v/>
      </c>
      <c r="I5084" s="26" t="str">
        <f t="shared" si="2"/>
        <v/>
      </c>
      <c r="J5084" s="86">
        <f t="shared" si="3"/>
        <v>0</v>
      </c>
      <c r="R5084" s="26"/>
    </row>
    <row r="5085" spans="1:18" ht="15.75" customHeight="1">
      <c r="A5085" s="26"/>
      <c r="B5085" s="86"/>
      <c r="D5085" s="26"/>
      <c r="F5085" s="87" t="str">
        <f t="shared" si="0"/>
        <v/>
      </c>
      <c r="H5085" s="26" t="str">
        <f t="shared" si="1"/>
        <v/>
      </c>
      <c r="I5085" s="26" t="str">
        <f t="shared" si="2"/>
        <v/>
      </c>
      <c r="J5085" s="86">
        <f t="shared" si="3"/>
        <v>0</v>
      </c>
      <c r="R5085" s="26"/>
    </row>
    <row r="5086" spans="1:18" ht="15.75" customHeight="1">
      <c r="A5086" s="26"/>
      <c r="B5086" s="86"/>
      <c r="D5086" s="26"/>
      <c r="F5086" s="87" t="str">
        <f t="shared" si="0"/>
        <v/>
      </c>
      <c r="H5086" s="26" t="str">
        <f t="shared" si="1"/>
        <v/>
      </c>
      <c r="I5086" s="26" t="str">
        <f t="shared" si="2"/>
        <v/>
      </c>
      <c r="J5086" s="86">
        <f t="shared" si="3"/>
        <v>0</v>
      </c>
      <c r="R5086" s="26"/>
    </row>
    <row r="5087" spans="1:18" ht="15.75" customHeight="1">
      <c r="A5087" s="26"/>
      <c r="B5087" s="86"/>
      <c r="D5087" s="26"/>
      <c r="F5087" s="87" t="str">
        <f t="shared" si="0"/>
        <v/>
      </c>
      <c r="H5087" s="26" t="str">
        <f t="shared" si="1"/>
        <v/>
      </c>
      <c r="I5087" s="26" t="str">
        <f t="shared" si="2"/>
        <v/>
      </c>
      <c r="J5087" s="86">
        <f t="shared" si="3"/>
        <v>0</v>
      </c>
      <c r="R5087" s="26"/>
    </row>
    <row r="5088" spans="1:18" ht="15.75" customHeight="1">
      <c r="A5088" s="26"/>
      <c r="B5088" s="86"/>
      <c r="D5088" s="26"/>
      <c r="F5088" s="87" t="str">
        <f t="shared" si="0"/>
        <v/>
      </c>
      <c r="H5088" s="26" t="str">
        <f t="shared" si="1"/>
        <v/>
      </c>
      <c r="I5088" s="26" t="str">
        <f t="shared" si="2"/>
        <v/>
      </c>
      <c r="J5088" s="86">
        <f t="shared" si="3"/>
        <v>0</v>
      </c>
      <c r="R5088" s="26"/>
    </row>
    <row r="5089" spans="1:18" ht="15.75" customHeight="1">
      <c r="A5089" s="26"/>
      <c r="B5089" s="86"/>
      <c r="D5089" s="26"/>
      <c r="F5089" s="87" t="str">
        <f t="shared" si="0"/>
        <v/>
      </c>
      <c r="H5089" s="26" t="str">
        <f t="shared" si="1"/>
        <v/>
      </c>
      <c r="I5089" s="26" t="str">
        <f t="shared" si="2"/>
        <v/>
      </c>
      <c r="J5089" s="86">
        <f t="shared" si="3"/>
        <v>0</v>
      </c>
      <c r="R5089" s="26"/>
    </row>
    <row r="5090" spans="1:18" ht="15.75" customHeight="1">
      <c r="A5090" s="26"/>
      <c r="B5090" s="86"/>
      <c r="D5090" s="26"/>
      <c r="F5090" s="87" t="str">
        <f t="shared" si="0"/>
        <v/>
      </c>
      <c r="H5090" s="26" t="str">
        <f t="shared" si="1"/>
        <v/>
      </c>
      <c r="I5090" s="26" t="str">
        <f t="shared" si="2"/>
        <v/>
      </c>
      <c r="J5090" s="86">
        <f t="shared" si="3"/>
        <v>0</v>
      </c>
      <c r="R5090" s="26"/>
    </row>
    <row r="5091" spans="1:18" ht="15.75" customHeight="1">
      <c r="A5091" s="26"/>
      <c r="B5091" s="86"/>
      <c r="D5091" s="26"/>
      <c r="F5091" s="87" t="str">
        <f t="shared" si="0"/>
        <v/>
      </c>
      <c r="H5091" s="26" t="str">
        <f t="shared" si="1"/>
        <v/>
      </c>
      <c r="I5091" s="26" t="str">
        <f t="shared" si="2"/>
        <v/>
      </c>
      <c r="J5091" s="86">
        <f t="shared" si="3"/>
        <v>0</v>
      </c>
      <c r="R5091" s="26"/>
    </row>
    <row r="5092" spans="1:18" ht="15.75" customHeight="1">
      <c r="A5092" s="26"/>
      <c r="B5092" s="86"/>
      <c r="D5092" s="26"/>
      <c r="F5092" s="87" t="str">
        <f t="shared" si="0"/>
        <v/>
      </c>
      <c r="H5092" s="26" t="str">
        <f t="shared" si="1"/>
        <v/>
      </c>
      <c r="I5092" s="26" t="str">
        <f t="shared" si="2"/>
        <v/>
      </c>
      <c r="J5092" s="86">
        <f t="shared" si="3"/>
        <v>0</v>
      </c>
      <c r="R5092" s="26"/>
    </row>
    <row r="5093" spans="1:18" ht="15.75" customHeight="1">
      <c r="A5093" s="26"/>
      <c r="B5093" s="86"/>
      <c r="D5093" s="26"/>
      <c r="F5093" s="87" t="str">
        <f t="shared" si="0"/>
        <v/>
      </c>
      <c r="H5093" s="26" t="str">
        <f t="shared" si="1"/>
        <v/>
      </c>
      <c r="I5093" s="26" t="str">
        <f t="shared" si="2"/>
        <v/>
      </c>
      <c r="J5093" s="86">
        <f t="shared" si="3"/>
        <v>0</v>
      </c>
      <c r="R5093" s="26"/>
    </row>
    <row r="5094" spans="1:18" ht="15.75" customHeight="1">
      <c r="A5094" s="26"/>
      <c r="B5094" s="86"/>
      <c r="D5094" s="26"/>
      <c r="F5094" s="87" t="str">
        <f t="shared" si="0"/>
        <v/>
      </c>
      <c r="H5094" s="26" t="str">
        <f t="shared" si="1"/>
        <v/>
      </c>
      <c r="I5094" s="26" t="str">
        <f t="shared" si="2"/>
        <v/>
      </c>
      <c r="J5094" s="86">
        <f t="shared" si="3"/>
        <v>0</v>
      </c>
      <c r="R5094" s="26"/>
    </row>
    <row r="5095" spans="1:18" ht="15.75" customHeight="1">
      <c r="A5095" s="26"/>
      <c r="B5095" s="86"/>
      <c r="D5095" s="26"/>
      <c r="F5095" s="87" t="str">
        <f t="shared" si="0"/>
        <v/>
      </c>
      <c r="H5095" s="26" t="str">
        <f t="shared" si="1"/>
        <v/>
      </c>
      <c r="I5095" s="26" t="str">
        <f t="shared" si="2"/>
        <v/>
      </c>
      <c r="J5095" s="86">
        <f t="shared" si="3"/>
        <v>0</v>
      </c>
      <c r="R5095" s="26"/>
    </row>
    <row r="5096" spans="1:18" ht="15.75" customHeight="1">
      <c r="A5096" s="26"/>
      <c r="B5096" s="86"/>
      <c r="D5096" s="26"/>
      <c r="F5096" s="87" t="str">
        <f t="shared" si="0"/>
        <v/>
      </c>
      <c r="H5096" s="26" t="str">
        <f t="shared" si="1"/>
        <v/>
      </c>
      <c r="I5096" s="26" t="str">
        <f t="shared" si="2"/>
        <v/>
      </c>
      <c r="J5096" s="86">
        <f t="shared" si="3"/>
        <v>0</v>
      </c>
      <c r="R5096" s="26"/>
    </row>
    <row r="5097" spans="1:18" ht="15.75" customHeight="1">
      <c r="A5097" s="26"/>
      <c r="B5097" s="86"/>
      <c r="D5097" s="26"/>
      <c r="F5097" s="87" t="str">
        <f t="shared" si="0"/>
        <v/>
      </c>
      <c r="H5097" s="26" t="str">
        <f t="shared" si="1"/>
        <v/>
      </c>
      <c r="I5097" s="26" t="str">
        <f t="shared" si="2"/>
        <v/>
      </c>
      <c r="J5097" s="86">
        <f t="shared" si="3"/>
        <v>0</v>
      </c>
      <c r="R5097" s="26"/>
    </row>
    <row r="5098" spans="1:18" ht="15.75" customHeight="1">
      <c r="A5098" s="26"/>
      <c r="B5098" s="86"/>
      <c r="D5098" s="26"/>
      <c r="F5098" s="87" t="str">
        <f t="shared" si="0"/>
        <v/>
      </c>
      <c r="H5098" s="26" t="str">
        <f t="shared" si="1"/>
        <v/>
      </c>
      <c r="I5098" s="26" t="str">
        <f t="shared" si="2"/>
        <v/>
      </c>
      <c r="J5098" s="86">
        <f t="shared" si="3"/>
        <v>0</v>
      </c>
      <c r="R5098" s="26"/>
    </row>
    <row r="5099" spans="1:18" ht="15.75" customHeight="1">
      <c r="A5099" s="26"/>
      <c r="B5099" s="86"/>
      <c r="D5099" s="26"/>
      <c r="F5099" s="87" t="str">
        <f t="shared" si="0"/>
        <v/>
      </c>
      <c r="H5099" s="26" t="str">
        <f t="shared" si="1"/>
        <v/>
      </c>
      <c r="I5099" s="26" t="str">
        <f t="shared" si="2"/>
        <v/>
      </c>
      <c r="J5099" s="86">
        <f t="shared" si="3"/>
        <v>0</v>
      </c>
      <c r="R5099" s="26"/>
    </row>
    <row r="5100" spans="1:18" ht="15.75" customHeight="1">
      <c r="A5100" s="26"/>
      <c r="B5100" s="86"/>
      <c r="D5100" s="26"/>
      <c r="F5100" s="87" t="str">
        <f t="shared" si="0"/>
        <v/>
      </c>
      <c r="H5100" s="26" t="str">
        <f t="shared" si="1"/>
        <v/>
      </c>
      <c r="I5100" s="26" t="str">
        <f t="shared" si="2"/>
        <v/>
      </c>
      <c r="J5100" s="86">
        <f t="shared" si="3"/>
        <v>0</v>
      </c>
      <c r="R5100" s="26"/>
    </row>
    <row r="5101" spans="1:18" ht="15.75" customHeight="1">
      <c r="A5101" s="26"/>
      <c r="B5101" s="86"/>
      <c r="D5101" s="26"/>
      <c r="F5101" s="87" t="str">
        <f t="shared" si="0"/>
        <v/>
      </c>
      <c r="H5101" s="26" t="str">
        <f t="shared" si="1"/>
        <v/>
      </c>
      <c r="I5101" s="26" t="str">
        <f t="shared" si="2"/>
        <v/>
      </c>
      <c r="J5101" s="86">
        <f t="shared" si="3"/>
        <v>0</v>
      </c>
      <c r="R5101" s="26"/>
    </row>
    <row r="5102" spans="1:18" ht="15.75" customHeight="1">
      <c r="A5102" s="26"/>
      <c r="B5102" s="86"/>
      <c r="D5102" s="26"/>
      <c r="F5102" s="87" t="str">
        <f t="shared" si="0"/>
        <v/>
      </c>
      <c r="H5102" s="26" t="str">
        <f t="shared" si="1"/>
        <v/>
      </c>
      <c r="I5102" s="26" t="str">
        <f t="shared" si="2"/>
        <v/>
      </c>
      <c r="J5102" s="86">
        <f t="shared" si="3"/>
        <v>0</v>
      </c>
      <c r="R5102" s="26"/>
    </row>
    <row r="5103" spans="1:18" ht="15.75" customHeight="1">
      <c r="A5103" s="26"/>
      <c r="B5103" s="86"/>
      <c r="D5103" s="26"/>
      <c r="F5103" s="87" t="str">
        <f t="shared" si="0"/>
        <v/>
      </c>
      <c r="H5103" s="26" t="str">
        <f t="shared" si="1"/>
        <v/>
      </c>
      <c r="I5103" s="26" t="str">
        <f t="shared" si="2"/>
        <v/>
      </c>
      <c r="J5103" s="86">
        <f t="shared" si="3"/>
        <v>0</v>
      </c>
      <c r="R5103" s="26"/>
    </row>
    <row r="5104" spans="1:18" ht="15.75" customHeight="1">
      <c r="A5104" s="26"/>
      <c r="B5104" s="86"/>
      <c r="D5104" s="26"/>
      <c r="F5104" s="87" t="str">
        <f t="shared" si="0"/>
        <v/>
      </c>
      <c r="H5104" s="26" t="str">
        <f t="shared" si="1"/>
        <v/>
      </c>
      <c r="I5104" s="26" t="str">
        <f t="shared" si="2"/>
        <v/>
      </c>
      <c r="J5104" s="86">
        <f t="shared" si="3"/>
        <v>0</v>
      </c>
      <c r="R5104" s="26"/>
    </row>
    <row r="5105" spans="1:18" ht="15.75" customHeight="1">
      <c r="A5105" s="26"/>
      <c r="B5105" s="86"/>
      <c r="D5105" s="26"/>
      <c r="F5105" s="87" t="str">
        <f t="shared" si="0"/>
        <v/>
      </c>
      <c r="H5105" s="26" t="str">
        <f t="shared" si="1"/>
        <v/>
      </c>
      <c r="I5105" s="26" t="str">
        <f t="shared" si="2"/>
        <v/>
      </c>
      <c r="J5105" s="86">
        <f t="shared" si="3"/>
        <v>0</v>
      </c>
      <c r="R5105" s="26"/>
    </row>
    <row r="5106" spans="1:18" ht="15.75" customHeight="1">
      <c r="A5106" s="26"/>
      <c r="B5106" s="86"/>
      <c r="D5106" s="26"/>
      <c r="F5106" s="87" t="str">
        <f t="shared" si="0"/>
        <v/>
      </c>
      <c r="H5106" s="26" t="str">
        <f t="shared" si="1"/>
        <v/>
      </c>
      <c r="I5106" s="26" t="str">
        <f t="shared" si="2"/>
        <v/>
      </c>
      <c r="J5106" s="86">
        <f t="shared" si="3"/>
        <v>0</v>
      </c>
      <c r="R5106" s="26"/>
    </row>
    <row r="5107" spans="1:18" ht="15.75" customHeight="1">
      <c r="A5107" s="26"/>
      <c r="B5107" s="86"/>
      <c r="D5107" s="26"/>
      <c r="F5107" s="87" t="str">
        <f t="shared" si="0"/>
        <v/>
      </c>
      <c r="H5107" s="26" t="str">
        <f t="shared" si="1"/>
        <v/>
      </c>
      <c r="I5107" s="26" t="str">
        <f t="shared" si="2"/>
        <v/>
      </c>
      <c r="J5107" s="86">
        <f t="shared" si="3"/>
        <v>0</v>
      </c>
      <c r="R5107" s="26"/>
    </row>
    <row r="5108" spans="1:18" ht="15.75" customHeight="1">
      <c r="A5108" s="26"/>
      <c r="B5108" s="86"/>
      <c r="D5108" s="26"/>
      <c r="F5108" s="87" t="str">
        <f t="shared" si="0"/>
        <v/>
      </c>
      <c r="H5108" s="26" t="str">
        <f t="shared" si="1"/>
        <v/>
      </c>
      <c r="I5108" s="26" t="str">
        <f t="shared" si="2"/>
        <v/>
      </c>
      <c r="J5108" s="86">
        <f t="shared" si="3"/>
        <v>0</v>
      </c>
      <c r="R5108" s="26"/>
    </row>
    <row r="5109" spans="1:18" ht="15.75" customHeight="1">
      <c r="A5109" s="26"/>
      <c r="B5109" s="86"/>
      <c r="D5109" s="26"/>
      <c r="F5109" s="87" t="str">
        <f t="shared" si="0"/>
        <v/>
      </c>
      <c r="H5109" s="26" t="str">
        <f t="shared" si="1"/>
        <v/>
      </c>
      <c r="I5109" s="26" t="str">
        <f t="shared" si="2"/>
        <v/>
      </c>
      <c r="J5109" s="86">
        <f t="shared" si="3"/>
        <v>0</v>
      </c>
      <c r="R5109" s="26"/>
    </row>
    <row r="5110" spans="1:18" ht="15.75" customHeight="1">
      <c r="A5110" s="26"/>
      <c r="B5110" s="86"/>
      <c r="D5110" s="26"/>
      <c r="F5110" s="87" t="str">
        <f t="shared" si="0"/>
        <v/>
      </c>
      <c r="H5110" s="26" t="str">
        <f t="shared" si="1"/>
        <v/>
      </c>
      <c r="I5110" s="26" t="str">
        <f t="shared" si="2"/>
        <v/>
      </c>
      <c r="J5110" s="86">
        <f t="shared" si="3"/>
        <v>0</v>
      </c>
      <c r="R5110" s="26"/>
    </row>
    <row r="5111" spans="1:18" ht="15.75" customHeight="1">
      <c r="A5111" s="26"/>
      <c r="B5111" s="86"/>
      <c r="D5111" s="26"/>
      <c r="F5111" s="87" t="str">
        <f t="shared" si="0"/>
        <v/>
      </c>
      <c r="H5111" s="26" t="str">
        <f t="shared" si="1"/>
        <v/>
      </c>
      <c r="I5111" s="26" t="str">
        <f t="shared" si="2"/>
        <v/>
      </c>
      <c r="J5111" s="86">
        <f t="shared" si="3"/>
        <v>0</v>
      </c>
      <c r="R5111" s="26"/>
    </row>
    <row r="5112" spans="1:18" ht="15.75" customHeight="1">
      <c r="A5112" s="26"/>
      <c r="B5112" s="86"/>
      <c r="D5112" s="26"/>
      <c r="F5112" s="87" t="str">
        <f t="shared" si="0"/>
        <v/>
      </c>
      <c r="H5112" s="26" t="str">
        <f t="shared" si="1"/>
        <v/>
      </c>
      <c r="I5112" s="26" t="str">
        <f t="shared" si="2"/>
        <v/>
      </c>
      <c r="J5112" s="86">
        <f t="shared" si="3"/>
        <v>0</v>
      </c>
      <c r="R5112" s="26"/>
    </row>
    <row r="5113" spans="1:18" ht="15.75" customHeight="1">
      <c r="A5113" s="26"/>
      <c r="B5113" s="86"/>
      <c r="D5113" s="26"/>
      <c r="F5113" s="87" t="str">
        <f t="shared" si="0"/>
        <v/>
      </c>
      <c r="H5113" s="26" t="str">
        <f t="shared" si="1"/>
        <v/>
      </c>
      <c r="I5113" s="26" t="str">
        <f t="shared" si="2"/>
        <v/>
      </c>
      <c r="J5113" s="86">
        <f t="shared" si="3"/>
        <v>0</v>
      </c>
      <c r="R5113" s="26"/>
    </row>
    <row r="5114" spans="1:18" ht="15.75" customHeight="1">
      <c r="A5114" s="26"/>
      <c r="B5114" s="86"/>
      <c r="D5114" s="26"/>
      <c r="F5114" s="87" t="str">
        <f t="shared" si="0"/>
        <v/>
      </c>
      <c r="H5114" s="26" t="str">
        <f t="shared" si="1"/>
        <v/>
      </c>
      <c r="I5114" s="26" t="str">
        <f t="shared" si="2"/>
        <v/>
      </c>
      <c r="J5114" s="86">
        <f t="shared" si="3"/>
        <v>0</v>
      </c>
      <c r="R5114" s="26"/>
    </row>
    <row r="5115" spans="1:18" ht="15.75" customHeight="1">
      <c r="A5115" s="26"/>
      <c r="B5115" s="86"/>
      <c r="D5115" s="26"/>
      <c r="F5115" s="87" t="str">
        <f t="shared" si="0"/>
        <v/>
      </c>
      <c r="H5115" s="26" t="str">
        <f t="shared" si="1"/>
        <v/>
      </c>
      <c r="I5115" s="26" t="str">
        <f t="shared" si="2"/>
        <v/>
      </c>
      <c r="J5115" s="86">
        <f t="shared" si="3"/>
        <v>0</v>
      </c>
      <c r="R5115" s="26"/>
    </row>
    <row r="5116" spans="1:18" ht="15.75" customHeight="1">
      <c r="A5116" s="26"/>
      <c r="B5116" s="86"/>
      <c r="D5116" s="26"/>
      <c r="F5116" s="87" t="str">
        <f t="shared" si="0"/>
        <v/>
      </c>
      <c r="H5116" s="26" t="str">
        <f t="shared" si="1"/>
        <v/>
      </c>
      <c r="I5116" s="26" t="str">
        <f t="shared" si="2"/>
        <v/>
      </c>
      <c r="J5116" s="86">
        <f t="shared" si="3"/>
        <v>0</v>
      </c>
      <c r="R5116" s="26"/>
    </row>
    <row r="5117" spans="1:18" ht="15.75" customHeight="1">
      <c r="A5117" s="26"/>
      <c r="B5117" s="86"/>
      <c r="D5117" s="26"/>
      <c r="F5117" s="87" t="str">
        <f t="shared" si="0"/>
        <v/>
      </c>
      <c r="H5117" s="26" t="str">
        <f t="shared" si="1"/>
        <v/>
      </c>
      <c r="I5117" s="26" t="str">
        <f t="shared" si="2"/>
        <v/>
      </c>
      <c r="J5117" s="86">
        <f t="shared" si="3"/>
        <v>0</v>
      </c>
      <c r="R5117" s="26"/>
    </row>
    <row r="5118" spans="1:18" ht="15.75" customHeight="1">
      <c r="A5118" s="26"/>
      <c r="B5118" s="86"/>
      <c r="D5118" s="26"/>
      <c r="F5118" s="87" t="str">
        <f t="shared" si="0"/>
        <v/>
      </c>
      <c r="H5118" s="26" t="str">
        <f t="shared" si="1"/>
        <v/>
      </c>
      <c r="I5118" s="26" t="str">
        <f t="shared" si="2"/>
        <v/>
      </c>
      <c r="J5118" s="86">
        <f t="shared" si="3"/>
        <v>0</v>
      </c>
      <c r="R5118" s="26"/>
    </row>
    <row r="5119" spans="1:18" ht="15.75" customHeight="1">
      <c r="A5119" s="26"/>
      <c r="B5119" s="86"/>
      <c r="D5119" s="26"/>
      <c r="F5119" s="87" t="str">
        <f t="shared" si="0"/>
        <v/>
      </c>
      <c r="H5119" s="26" t="str">
        <f t="shared" si="1"/>
        <v/>
      </c>
      <c r="I5119" s="26" t="str">
        <f t="shared" si="2"/>
        <v/>
      </c>
      <c r="J5119" s="86">
        <f t="shared" si="3"/>
        <v>0</v>
      </c>
      <c r="R5119" s="26"/>
    </row>
    <row r="5120" spans="1:18" ht="15.75" customHeight="1">
      <c r="A5120" s="26"/>
      <c r="B5120" s="86"/>
      <c r="D5120" s="26"/>
      <c r="F5120" s="87" t="str">
        <f t="shared" si="0"/>
        <v/>
      </c>
      <c r="H5120" s="26" t="str">
        <f t="shared" si="1"/>
        <v/>
      </c>
      <c r="I5120" s="26" t="str">
        <f t="shared" si="2"/>
        <v/>
      </c>
      <c r="J5120" s="86">
        <f t="shared" si="3"/>
        <v>0</v>
      </c>
      <c r="R5120" s="26"/>
    </row>
    <row r="5121" spans="1:18" ht="15.75" customHeight="1">
      <c r="A5121" s="26"/>
      <c r="B5121" s="86"/>
      <c r="D5121" s="26"/>
      <c r="F5121" s="87" t="str">
        <f t="shared" si="0"/>
        <v/>
      </c>
      <c r="H5121" s="26" t="str">
        <f t="shared" si="1"/>
        <v/>
      </c>
      <c r="I5121" s="26" t="str">
        <f t="shared" si="2"/>
        <v/>
      </c>
      <c r="J5121" s="86">
        <f t="shared" si="3"/>
        <v>0</v>
      </c>
      <c r="R5121" s="26"/>
    </row>
    <row r="5122" spans="1:18" ht="15.75" customHeight="1">
      <c r="A5122" s="26"/>
      <c r="B5122" s="86"/>
      <c r="D5122" s="26"/>
      <c r="F5122" s="87" t="str">
        <f t="shared" si="0"/>
        <v/>
      </c>
      <c r="H5122" s="26" t="str">
        <f t="shared" si="1"/>
        <v/>
      </c>
      <c r="I5122" s="26" t="str">
        <f t="shared" si="2"/>
        <v/>
      </c>
      <c r="J5122" s="86">
        <f t="shared" si="3"/>
        <v>0</v>
      </c>
      <c r="R5122" s="26"/>
    </row>
    <row r="5123" spans="1:18" ht="15.75" customHeight="1">
      <c r="A5123" s="26"/>
      <c r="B5123" s="86"/>
      <c r="D5123" s="26"/>
      <c r="F5123" s="87" t="str">
        <f t="shared" si="0"/>
        <v/>
      </c>
      <c r="H5123" s="26" t="str">
        <f t="shared" si="1"/>
        <v/>
      </c>
      <c r="I5123" s="26" t="str">
        <f t="shared" si="2"/>
        <v/>
      </c>
      <c r="J5123" s="86">
        <f t="shared" si="3"/>
        <v>0</v>
      </c>
      <c r="R5123" s="26"/>
    </row>
    <row r="5124" spans="1:18" ht="15.75" customHeight="1">
      <c r="A5124" s="26"/>
      <c r="B5124" s="86"/>
      <c r="D5124" s="26"/>
      <c r="F5124" s="87" t="str">
        <f t="shared" si="0"/>
        <v/>
      </c>
      <c r="H5124" s="26" t="str">
        <f t="shared" si="1"/>
        <v/>
      </c>
      <c r="I5124" s="26" t="str">
        <f t="shared" si="2"/>
        <v/>
      </c>
      <c r="J5124" s="86">
        <f t="shared" si="3"/>
        <v>0</v>
      </c>
      <c r="R5124" s="26"/>
    </row>
    <row r="5125" spans="1:18" ht="15.75" customHeight="1">
      <c r="A5125" s="26"/>
      <c r="B5125" s="86"/>
      <c r="D5125" s="26"/>
      <c r="F5125" s="87" t="str">
        <f t="shared" si="0"/>
        <v/>
      </c>
      <c r="H5125" s="26" t="str">
        <f t="shared" si="1"/>
        <v/>
      </c>
      <c r="I5125" s="26" t="str">
        <f t="shared" si="2"/>
        <v/>
      </c>
      <c r="J5125" s="86">
        <f t="shared" si="3"/>
        <v>0</v>
      </c>
      <c r="R5125" s="26"/>
    </row>
    <row r="5126" spans="1:18" ht="15.75" customHeight="1">
      <c r="A5126" s="26"/>
      <c r="B5126" s="86"/>
      <c r="D5126" s="26"/>
      <c r="F5126" s="87" t="str">
        <f t="shared" si="0"/>
        <v/>
      </c>
      <c r="H5126" s="26" t="str">
        <f t="shared" si="1"/>
        <v/>
      </c>
      <c r="I5126" s="26" t="str">
        <f t="shared" si="2"/>
        <v/>
      </c>
      <c r="J5126" s="86">
        <f t="shared" si="3"/>
        <v>0</v>
      </c>
      <c r="R5126" s="26"/>
    </row>
    <row r="5127" spans="1:18" ht="15.75" customHeight="1">
      <c r="A5127" s="26"/>
      <c r="B5127" s="86"/>
      <c r="D5127" s="26"/>
      <c r="F5127" s="87" t="str">
        <f t="shared" si="0"/>
        <v/>
      </c>
      <c r="H5127" s="26" t="str">
        <f t="shared" si="1"/>
        <v/>
      </c>
      <c r="I5127" s="26" t="str">
        <f t="shared" si="2"/>
        <v/>
      </c>
      <c r="J5127" s="86">
        <f t="shared" si="3"/>
        <v>0</v>
      </c>
      <c r="R5127" s="26"/>
    </row>
    <row r="5128" spans="1:18" ht="15.75" customHeight="1">
      <c r="A5128" s="26"/>
      <c r="B5128" s="86"/>
      <c r="D5128" s="26"/>
      <c r="F5128" s="87" t="str">
        <f t="shared" si="0"/>
        <v/>
      </c>
      <c r="H5128" s="26" t="str">
        <f t="shared" si="1"/>
        <v/>
      </c>
      <c r="I5128" s="26" t="str">
        <f t="shared" si="2"/>
        <v/>
      </c>
      <c r="J5128" s="86">
        <f t="shared" si="3"/>
        <v>0</v>
      </c>
      <c r="R5128" s="26"/>
    </row>
    <row r="5129" spans="1:18" ht="15.75" customHeight="1">
      <c r="A5129" s="26"/>
      <c r="B5129" s="86"/>
      <c r="D5129" s="26"/>
      <c r="F5129" s="87" t="str">
        <f t="shared" si="0"/>
        <v/>
      </c>
      <c r="H5129" s="26" t="str">
        <f t="shared" si="1"/>
        <v/>
      </c>
      <c r="I5129" s="26" t="str">
        <f t="shared" si="2"/>
        <v/>
      </c>
      <c r="J5129" s="86">
        <f t="shared" si="3"/>
        <v>0</v>
      </c>
      <c r="R5129" s="26"/>
    </row>
    <row r="5130" spans="1:18" ht="15.75" customHeight="1">
      <c r="A5130" s="26"/>
      <c r="B5130" s="86"/>
      <c r="D5130" s="26"/>
      <c r="F5130" s="87" t="str">
        <f t="shared" si="0"/>
        <v/>
      </c>
      <c r="H5130" s="26" t="str">
        <f t="shared" si="1"/>
        <v/>
      </c>
      <c r="I5130" s="26" t="str">
        <f t="shared" si="2"/>
        <v/>
      </c>
      <c r="J5130" s="86">
        <f t="shared" si="3"/>
        <v>0</v>
      </c>
      <c r="R5130" s="26"/>
    </row>
    <row r="5131" spans="1:18" ht="15.75" customHeight="1">
      <c r="A5131" s="26"/>
      <c r="B5131" s="86"/>
      <c r="D5131" s="26"/>
      <c r="F5131" s="87" t="str">
        <f t="shared" si="0"/>
        <v/>
      </c>
      <c r="H5131" s="26" t="str">
        <f t="shared" si="1"/>
        <v/>
      </c>
      <c r="I5131" s="26" t="str">
        <f t="shared" si="2"/>
        <v/>
      </c>
      <c r="J5131" s="86">
        <f t="shared" si="3"/>
        <v>0</v>
      </c>
      <c r="R5131" s="26"/>
    </row>
    <row r="5132" spans="1:18" ht="15.75" customHeight="1">
      <c r="A5132" s="26"/>
      <c r="B5132" s="86"/>
      <c r="D5132" s="26"/>
      <c r="F5132" s="87" t="str">
        <f t="shared" si="0"/>
        <v/>
      </c>
      <c r="H5132" s="26" t="str">
        <f t="shared" si="1"/>
        <v/>
      </c>
      <c r="I5132" s="26" t="str">
        <f t="shared" si="2"/>
        <v/>
      </c>
      <c r="J5132" s="86">
        <f t="shared" si="3"/>
        <v>0</v>
      </c>
      <c r="R5132" s="26"/>
    </row>
    <row r="5133" spans="1:18" ht="15.75" customHeight="1">
      <c r="A5133" s="26"/>
      <c r="B5133" s="86"/>
      <c r="D5133" s="26"/>
      <c r="F5133" s="87" t="str">
        <f t="shared" si="0"/>
        <v/>
      </c>
      <c r="H5133" s="26" t="str">
        <f t="shared" si="1"/>
        <v/>
      </c>
      <c r="I5133" s="26" t="str">
        <f t="shared" si="2"/>
        <v/>
      </c>
      <c r="J5133" s="86">
        <f t="shared" si="3"/>
        <v>0</v>
      </c>
      <c r="R5133" s="26"/>
    </row>
    <row r="5134" spans="1:18" ht="15.75" customHeight="1">
      <c r="A5134" s="26"/>
      <c r="B5134" s="86"/>
      <c r="D5134" s="26"/>
      <c r="F5134" s="87" t="str">
        <f t="shared" si="0"/>
        <v/>
      </c>
      <c r="H5134" s="26" t="str">
        <f t="shared" si="1"/>
        <v/>
      </c>
      <c r="I5134" s="26" t="str">
        <f t="shared" si="2"/>
        <v/>
      </c>
      <c r="J5134" s="86">
        <f t="shared" si="3"/>
        <v>0</v>
      </c>
      <c r="R5134" s="26"/>
    </row>
    <row r="5135" spans="1:18" ht="15.75" customHeight="1">
      <c r="A5135" s="26"/>
      <c r="B5135" s="86"/>
      <c r="D5135" s="26"/>
      <c r="F5135" s="87" t="str">
        <f t="shared" si="0"/>
        <v/>
      </c>
      <c r="H5135" s="26" t="str">
        <f t="shared" si="1"/>
        <v/>
      </c>
      <c r="I5135" s="26" t="str">
        <f t="shared" si="2"/>
        <v/>
      </c>
      <c r="J5135" s="86">
        <f t="shared" si="3"/>
        <v>0</v>
      </c>
      <c r="R5135" s="26"/>
    </row>
    <row r="5136" spans="1:18" ht="15.75" customHeight="1">
      <c r="A5136" s="26"/>
      <c r="B5136" s="86"/>
      <c r="D5136" s="26"/>
      <c r="F5136" s="87" t="str">
        <f t="shared" si="0"/>
        <v/>
      </c>
      <c r="H5136" s="26" t="str">
        <f t="shared" si="1"/>
        <v/>
      </c>
      <c r="I5136" s="26" t="str">
        <f t="shared" si="2"/>
        <v/>
      </c>
      <c r="J5136" s="86">
        <f t="shared" si="3"/>
        <v>0</v>
      </c>
      <c r="R5136" s="26"/>
    </row>
    <row r="5137" spans="1:18" ht="15.75" customHeight="1">
      <c r="A5137" s="26"/>
      <c r="B5137" s="86"/>
      <c r="D5137" s="26"/>
      <c r="F5137" s="87" t="str">
        <f t="shared" si="0"/>
        <v/>
      </c>
      <c r="H5137" s="26" t="str">
        <f t="shared" si="1"/>
        <v/>
      </c>
      <c r="I5137" s="26" t="str">
        <f t="shared" si="2"/>
        <v/>
      </c>
      <c r="J5137" s="86">
        <f t="shared" si="3"/>
        <v>0</v>
      </c>
      <c r="R5137" s="26"/>
    </row>
    <row r="5138" spans="1:18" ht="15.75" customHeight="1">
      <c r="A5138" s="26"/>
      <c r="B5138" s="86"/>
      <c r="D5138" s="26"/>
      <c r="F5138" s="87" t="str">
        <f t="shared" si="0"/>
        <v/>
      </c>
      <c r="H5138" s="26" t="str">
        <f t="shared" si="1"/>
        <v/>
      </c>
      <c r="I5138" s="26" t="str">
        <f t="shared" si="2"/>
        <v/>
      </c>
      <c r="J5138" s="86">
        <f t="shared" si="3"/>
        <v>0</v>
      </c>
      <c r="R5138" s="26"/>
    </row>
    <row r="5139" spans="1:18" ht="15.75" customHeight="1">
      <c r="A5139" s="26"/>
      <c r="B5139" s="86"/>
      <c r="D5139" s="26"/>
      <c r="F5139" s="87" t="str">
        <f t="shared" si="0"/>
        <v/>
      </c>
      <c r="H5139" s="26" t="str">
        <f t="shared" si="1"/>
        <v/>
      </c>
      <c r="I5139" s="26" t="str">
        <f t="shared" si="2"/>
        <v/>
      </c>
      <c r="J5139" s="86">
        <f t="shared" si="3"/>
        <v>0</v>
      </c>
      <c r="R5139" s="26"/>
    </row>
    <row r="5140" spans="1:18" ht="15.75" customHeight="1">
      <c r="A5140" s="26"/>
      <c r="B5140" s="86"/>
      <c r="D5140" s="26"/>
      <c r="F5140" s="87" t="str">
        <f t="shared" si="0"/>
        <v/>
      </c>
      <c r="H5140" s="26" t="str">
        <f t="shared" si="1"/>
        <v/>
      </c>
      <c r="I5140" s="26" t="str">
        <f t="shared" si="2"/>
        <v/>
      </c>
      <c r="J5140" s="86">
        <f t="shared" si="3"/>
        <v>0</v>
      </c>
      <c r="R5140" s="26"/>
    </row>
    <row r="5141" spans="1:18" ht="15.75" customHeight="1">
      <c r="A5141" s="26"/>
      <c r="B5141" s="86"/>
      <c r="D5141" s="26"/>
      <c r="F5141" s="87" t="str">
        <f t="shared" si="0"/>
        <v/>
      </c>
      <c r="H5141" s="26" t="str">
        <f t="shared" si="1"/>
        <v/>
      </c>
      <c r="I5141" s="26" t="str">
        <f t="shared" si="2"/>
        <v/>
      </c>
      <c r="J5141" s="86">
        <f t="shared" si="3"/>
        <v>0</v>
      </c>
      <c r="R5141" s="26"/>
    </row>
    <row r="5142" spans="1:18" ht="15.75" customHeight="1">
      <c r="A5142" s="26"/>
      <c r="B5142" s="86"/>
      <c r="D5142" s="26"/>
      <c r="F5142" s="87" t="str">
        <f t="shared" si="0"/>
        <v/>
      </c>
      <c r="H5142" s="26" t="str">
        <f t="shared" si="1"/>
        <v/>
      </c>
      <c r="I5142" s="26" t="str">
        <f t="shared" si="2"/>
        <v/>
      </c>
      <c r="J5142" s="86">
        <f t="shared" si="3"/>
        <v>0</v>
      </c>
      <c r="R5142" s="26"/>
    </row>
    <row r="5143" spans="1:18" ht="15.75" customHeight="1">
      <c r="A5143" s="26"/>
      <c r="B5143" s="86"/>
      <c r="D5143" s="26"/>
      <c r="F5143" s="87" t="str">
        <f t="shared" si="0"/>
        <v/>
      </c>
      <c r="H5143" s="26" t="str">
        <f t="shared" si="1"/>
        <v/>
      </c>
      <c r="I5143" s="26" t="str">
        <f t="shared" si="2"/>
        <v/>
      </c>
      <c r="J5143" s="86">
        <f t="shared" si="3"/>
        <v>0</v>
      </c>
      <c r="R5143" s="26"/>
    </row>
    <row r="5144" spans="1:18" ht="15.75" customHeight="1">
      <c r="A5144" s="26"/>
      <c r="B5144" s="86"/>
      <c r="D5144" s="26"/>
      <c r="F5144" s="87" t="str">
        <f t="shared" si="0"/>
        <v/>
      </c>
      <c r="H5144" s="26" t="str">
        <f t="shared" si="1"/>
        <v/>
      </c>
      <c r="I5144" s="26" t="str">
        <f t="shared" si="2"/>
        <v/>
      </c>
      <c r="J5144" s="86">
        <f t="shared" si="3"/>
        <v>0</v>
      </c>
      <c r="R5144" s="26"/>
    </row>
    <row r="5145" spans="1:18" ht="15.75" customHeight="1">
      <c r="A5145" s="26"/>
      <c r="B5145" s="86"/>
      <c r="D5145" s="26"/>
      <c r="F5145" s="87" t="str">
        <f t="shared" si="0"/>
        <v/>
      </c>
      <c r="H5145" s="26" t="str">
        <f t="shared" si="1"/>
        <v/>
      </c>
      <c r="I5145" s="26" t="str">
        <f t="shared" si="2"/>
        <v/>
      </c>
      <c r="J5145" s="86">
        <f t="shared" si="3"/>
        <v>0</v>
      </c>
      <c r="R5145" s="26"/>
    </row>
    <row r="5146" spans="1:18" ht="15.75" customHeight="1">
      <c r="A5146" s="26"/>
      <c r="B5146" s="86"/>
      <c r="D5146" s="26"/>
      <c r="F5146" s="87" t="str">
        <f t="shared" si="0"/>
        <v/>
      </c>
      <c r="H5146" s="26" t="str">
        <f t="shared" si="1"/>
        <v/>
      </c>
      <c r="I5146" s="26" t="str">
        <f t="shared" si="2"/>
        <v/>
      </c>
      <c r="J5146" s="86">
        <f t="shared" si="3"/>
        <v>0</v>
      </c>
      <c r="R5146" s="26"/>
    </row>
    <row r="5147" spans="1:18" ht="15.75" customHeight="1">
      <c r="A5147" s="26"/>
      <c r="B5147" s="86"/>
      <c r="D5147" s="26"/>
      <c r="F5147" s="87" t="str">
        <f t="shared" si="0"/>
        <v/>
      </c>
      <c r="H5147" s="26" t="str">
        <f t="shared" si="1"/>
        <v/>
      </c>
      <c r="I5147" s="26" t="str">
        <f t="shared" si="2"/>
        <v/>
      </c>
      <c r="J5147" s="86">
        <f t="shared" si="3"/>
        <v>0</v>
      </c>
      <c r="R5147" s="26"/>
    </row>
    <row r="5148" spans="1:18" ht="15.75" customHeight="1">
      <c r="A5148" s="26"/>
      <c r="B5148" s="86"/>
      <c r="D5148" s="26"/>
      <c r="F5148" s="87" t="str">
        <f t="shared" si="0"/>
        <v/>
      </c>
      <c r="H5148" s="26" t="str">
        <f t="shared" si="1"/>
        <v/>
      </c>
      <c r="I5148" s="26" t="str">
        <f t="shared" si="2"/>
        <v/>
      </c>
      <c r="J5148" s="86">
        <f t="shared" si="3"/>
        <v>0</v>
      </c>
      <c r="R5148" s="26"/>
    </row>
    <row r="5149" spans="1:18" ht="15.75" customHeight="1">
      <c r="A5149" s="26"/>
      <c r="B5149" s="86"/>
      <c r="D5149" s="26"/>
      <c r="F5149" s="87" t="str">
        <f t="shared" si="0"/>
        <v/>
      </c>
      <c r="H5149" s="26" t="str">
        <f t="shared" si="1"/>
        <v/>
      </c>
      <c r="I5149" s="26" t="str">
        <f t="shared" si="2"/>
        <v/>
      </c>
      <c r="J5149" s="86">
        <f t="shared" si="3"/>
        <v>0</v>
      </c>
      <c r="R5149" s="26"/>
    </row>
    <row r="5150" spans="1:18" ht="15.75" customHeight="1">
      <c r="A5150" s="26"/>
      <c r="B5150" s="86"/>
      <c r="D5150" s="26"/>
      <c r="F5150" s="87" t="str">
        <f t="shared" si="0"/>
        <v/>
      </c>
      <c r="H5150" s="26" t="str">
        <f t="shared" si="1"/>
        <v/>
      </c>
      <c r="I5150" s="26" t="str">
        <f t="shared" si="2"/>
        <v/>
      </c>
      <c r="J5150" s="86">
        <f t="shared" si="3"/>
        <v>0</v>
      </c>
      <c r="R5150" s="26"/>
    </row>
    <row r="5151" spans="1:18" ht="15.75" customHeight="1">
      <c r="A5151" s="26"/>
      <c r="B5151" s="86"/>
      <c r="D5151" s="26"/>
      <c r="F5151" s="87" t="str">
        <f t="shared" si="0"/>
        <v/>
      </c>
      <c r="H5151" s="26" t="str">
        <f t="shared" si="1"/>
        <v/>
      </c>
      <c r="I5151" s="26" t="str">
        <f t="shared" si="2"/>
        <v/>
      </c>
      <c r="J5151" s="86">
        <f t="shared" si="3"/>
        <v>0</v>
      </c>
      <c r="R5151" s="26"/>
    </row>
    <row r="5152" spans="1:18" ht="15.75" customHeight="1">
      <c r="A5152" s="26"/>
      <c r="B5152" s="86"/>
      <c r="D5152" s="26"/>
      <c r="F5152" s="87" t="str">
        <f t="shared" si="0"/>
        <v/>
      </c>
      <c r="H5152" s="26" t="str">
        <f t="shared" si="1"/>
        <v/>
      </c>
      <c r="I5152" s="26" t="str">
        <f t="shared" si="2"/>
        <v/>
      </c>
      <c r="J5152" s="86">
        <f t="shared" si="3"/>
        <v>0</v>
      </c>
      <c r="R5152" s="26"/>
    </row>
    <row r="5153" spans="1:18" ht="15.75" customHeight="1">
      <c r="A5153" s="26"/>
      <c r="B5153" s="86"/>
      <c r="D5153" s="26"/>
      <c r="F5153" s="87" t="str">
        <f t="shared" si="0"/>
        <v/>
      </c>
      <c r="H5153" s="26" t="str">
        <f t="shared" si="1"/>
        <v/>
      </c>
      <c r="I5153" s="26" t="str">
        <f t="shared" si="2"/>
        <v/>
      </c>
      <c r="J5153" s="86">
        <f t="shared" si="3"/>
        <v>0</v>
      </c>
      <c r="R5153" s="26"/>
    </row>
    <row r="5154" spans="1:18" ht="15.75" customHeight="1">
      <c r="A5154" s="26"/>
      <c r="B5154" s="86"/>
      <c r="D5154" s="26"/>
      <c r="F5154" s="87" t="str">
        <f t="shared" si="0"/>
        <v/>
      </c>
      <c r="H5154" s="26" t="str">
        <f t="shared" si="1"/>
        <v/>
      </c>
      <c r="I5154" s="26" t="str">
        <f t="shared" si="2"/>
        <v/>
      </c>
      <c r="J5154" s="86">
        <f t="shared" si="3"/>
        <v>0</v>
      </c>
      <c r="R5154" s="26"/>
    </row>
    <row r="5155" spans="1:18" ht="15.75" customHeight="1">
      <c r="A5155" s="26"/>
      <c r="B5155" s="86"/>
      <c r="D5155" s="26"/>
      <c r="F5155" s="87" t="str">
        <f t="shared" si="0"/>
        <v/>
      </c>
      <c r="H5155" s="26" t="str">
        <f t="shared" si="1"/>
        <v/>
      </c>
      <c r="I5155" s="26" t="str">
        <f t="shared" si="2"/>
        <v/>
      </c>
      <c r="J5155" s="86">
        <f t="shared" si="3"/>
        <v>0</v>
      </c>
      <c r="R5155" s="26"/>
    </row>
    <row r="5156" spans="1:18" ht="15.75" customHeight="1">
      <c r="A5156" s="26"/>
      <c r="B5156" s="86"/>
      <c r="D5156" s="26"/>
      <c r="F5156" s="87" t="str">
        <f t="shared" si="0"/>
        <v/>
      </c>
      <c r="H5156" s="26" t="str">
        <f t="shared" si="1"/>
        <v/>
      </c>
      <c r="I5156" s="26" t="str">
        <f t="shared" si="2"/>
        <v/>
      </c>
      <c r="J5156" s="86">
        <f t="shared" si="3"/>
        <v>0</v>
      </c>
      <c r="R5156" s="26"/>
    </row>
    <row r="5157" spans="1:18" ht="15.75" customHeight="1">
      <c r="A5157" s="26"/>
      <c r="B5157" s="86"/>
      <c r="D5157" s="26"/>
      <c r="F5157" s="87" t="str">
        <f t="shared" si="0"/>
        <v/>
      </c>
      <c r="H5157" s="26" t="str">
        <f t="shared" si="1"/>
        <v/>
      </c>
      <c r="I5157" s="26" t="str">
        <f t="shared" si="2"/>
        <v/>
      </c>
      <c r="J5157" s="86">
        <f t="shared" si="3"/>
        <v>0</v>
      </c>
      <c r="R5157" s="26"/>
    </row>
    <row r="5158" spans="1:18" ht="15.75" customHeight="1">
      <c r="A5158" s="26"/>
      <c r="B5158" s="86"/>
      <c r="D5158" s="26"/>
      <c r="F5158" s="87" t="str">
        <f t="shared" si="0"/>
        <v/>
      </c>
      <c r="H5158" s="26" t="str">
        <f t="shared" si="1"/>
        <v/>
      </c>
      <c r="I5158" s="26" t="str">
        <f t="shared" si="2"/>
        <v/>
      </c>
      <c r="J5158" s="86">
        <f t="shared" si="3"/>
        <v>0</v>
      </c>
      <c r="R5158" s="26"/>
    </row>
    <row r="5159" spans="1:18" ht="15.75" customHeight="1">
      <c r="A5159" s="26"/>
      <c r="B5159" s="86"/>
      <c r="D5159" s="26"/>
      <c r="F5159" s="87" t="str">
        <f t="shared" si="0"/>
        <v/>
      </c>
      <c r="H5159" s="26" t="str">
        <f t="shared" si="1"/>
        <v/>
      </c>
      <c r="I5159" s="26" t="str">
        <f t="shared" si="2"/>
        <v/>
      </c>
      <c r="J5159" s="86">
        <f t="shared" si="3"/>
        <v>0</v>
      </c>
      <c r="R5159" s="26"/>
    </row>
    <row r="5160" spans="1:18" ht="15.75" customHeight="1">
      <c r="A5160" s="26"/>
      <c r="B5160" s="86"/>
      <c r="D5160" s="26"/>
      <c r="F5160" s="87" t="str">
        <f t="shared" si="0"/>
        <v/>
      </c>
      <c r="H5160" s="26" t="str">
        <f t="shared" si="1"/>
        <v/>
      </c>
      <c r="I5160" s="26" t="str">
        <f t="shared" si="2"/>
        <v/>
      </c>
      <c r="J5160" s="86">
        <f t="shared" si="3"/>
        <v>0</v>
      </c>
      <c r="R5160" s="26"/>
    </row>
    <row r="5161" spans="1:18" ht="15.75" customHeight="1">
      <c r="A5161" s="26"/>
      <c r="B5161" s="86"/>
      <c r="D5161" s="26"/>
      <c r="F5161" s="87" t="str">
        <f t="shared" si="0"/>
        <v/>
      </c>
      <c r="H5161" s="26" t="str">
        <f t="shared" si="1"/>
        <v/>
      </c>
      <c r="I5161" s="26" t="str">
        <f t="shared" si="2"/>
        <v/>
      </c>
      <c r="J5161" s="86">
        <f t="shared" si="3"/>
        <v>0</v>
      </c>
      <c r="R5161" s="26"/>
    </row>
    <row r="5162" spans="1:18" ht="15.75" customHeight="1">
      <c r="A5162" s="26"/>
      <c r="B5162" s="86"/>
      <c r="D5162" s="26"/>
      <c r="F5162" s="87" t="str">
        <f t="shared" si="0"/>
        <v/>
      </c>
      <c r="H5162" s="26" t="str">
        <f t="shared" si="1"/>
        <v/>
      </c>
      <c r="I5162" s="26" t="str">
        <f t="shared" si="2"/>
        <v/>
      </c>
      <c r="J5162" s="86">
        <f t="shared" si="3"/>
        <v>0</v>
      </c>
      <c r="R5162" s="26"/>
    </row>
    <row r="5163" spans="1:18" ht="15.75" customHeight="1">
      <c r="A5163" s="26"/>
      <c r="B5163" s="86"/>
      <c r="D5163" s="26"/>
      <c r="F5163" s="87" t="str">
        <f t="shared" si="0"/>
        <v/>
      </c>
      <c r="H5163" s="26" t="str">
        <f t="shared" si="1"/>
        <v/>
      </c>
      <c r="I5163" s="26" t="str">
        <f t="shared" si="2"/>
        <v/>
      </c>
      <c r="J5163" s="86">
        <f t="shared" si="3"/>
        <v>0</v>
      </c>
      <c r="R5163" s="26"/>
    </row>
    <row r="5164" spans="1:18" ht="15.75" customHeight="1">
      <c r="A5164" s="26"/>
      <c r="B5164" s="86"/>
      <c r="D5164" s="26"/>
      <c r="F5164" s="87" t="str">
        <f t="shared" si="0"/>
        <v/>
      </c>
      <c r="H5164" s="26" t="str">
        <f t="shared" si="1"/>
        <v/>
      </c>
      <c r="I5164" s="26" t="str">
        <f t="shared" si="2"/>
        <v/>
      </c>
      <c r="J5164" s="86">
        <f t="shared" si="3"/>
        <v>0</v>
      </c>
      <c r="R5164" s="26"/>
    </row>
    <row r="5165" spans="1:18" ht="15.75" customHeight="1">
      <c r="A5165" s="26"/>
      <c r="B5165" s="86"/>
      <c r="D5165" s="26"/>
      <c r="F5165" s="87" t="str">
        <f t="shared" si="0"/>
        <v/>
      </c>
      <c r="H5165" s="26" t="str">
        <f t="shared" si="1"/>
        <v/>
      </c>
      <c r="I5165" s="26" t="str">
        <f t="shared" si="2"/>
        <v/>
      </c>
      <c r="J5165" s="86">
        <f t="shared" si="3"/>
        <v>0</v>
      </c>
      <c r="R5165" s="26"/>
    </row>
    <row r="5166" spans="1:18" ht="15.75" customHeight="1">
      <c r="A5166" s="26"/>
      <c r="B5166" s="86"/>
      <c r="D5166" s="26"/>
      <c r="F5166" s="87" t="str">
        <f t="shared" si="0"/>
        <v/>
      </c>
      <c r="H5166" s="26" t="str">
        <f t="shared" si="1"/>
        <v/>
      </c>
      <c r="I5166" s="26" t="str">
        <f t="shared" si="2"/>
        <v/>
      </c>
      <c r="J5166" s="86">
        <f t="shared" si="3"/>
        <v>0</v>
      </c>
      <c r="R5166" s="26"/>
    </row>
    <row r="5167" spans="1:18" ht="15.75" customHeight="1">
      <c r="A5167" s="26"/>
      <c r="B5167" s="86"/>
      <c r="D5167" s="26"/>
      <c r="F5167" s="87" t="str">
        <f t="shared" si="0"/>
        <v/>
      </c>
      <c r="H5167" s="26" t="str">
        <f t="shared" si="1"/>
        <v/>
      </c>
      <c r="I5167" s="26" t="str">
        <f t="shared" si="2"/>
        <v/>
      </c>
      <c r="J5167" s="86">
        <f t="shared" si="3"/>
        <v>0</v>
      </c>
      <c r="R5167" s="26"/>
    </row>
    <row r="5168" spans="1:18" ht="15.75" customHeight="1">
      <c r="A5168" s="26"/>
      <c r="B5168" s="86"/>
      <c r="D5168" s="26"/>
      <c r="F5168" s="87" t="str">
        <f t="shared" si="0"/>
        <v/>
      </c>
      <c r="H5168" s="26" t="str">
        <f t="shared" si="1"/>
        <v/>
      </c>
      <c r="I5168" s="26" t="str">
        <f t="shared" si="2"/>
        <v/>
      </c>
      <c r="J5168" s="86">
        <f t="shared" si="3"/>
        <v>0</v>
      </c>
      <c r="R5168" s="26"/>
    </row>
    <row r="5169" spans="1:18" ht="15.75" customHeight="1">
      <c r="A5169" s="26"/>
      <c r="B5169" s="86"/>
      <c r="D5169" s="26"/>
      <c r="F5169" s="87" t="str">
        <f t="shared" si="0"/>
        <v/>
      </c>
      <c r="H5169" s="26" t="str">
        <f t="shared" si="1"/>
        <v/>
      </c>
      <c r="I5169" s="26" t="str">
        <f t="shared" si="2"/>
        <v/>
      </c>
      <c r="J5169" s="86">
        <f t="shared" si="3"/>
        <v>0</v>
      </c>
      <c r="R5169" s="26"/>
    </row>
    <row r="5170" spans="1:18" ht="15.75" customHeight="1">
      <c r="A5170" s="26"/>
      <c r="B5170" s="86"/>
      <c r="D5170" s="26"/>
      <c r="F5170" s="87" t="str">
        <f t="shared" si="0"/>
        <v/>
      </c>
      <c r="H5170" s="26" t="str">
        <f t="shared" si="1"/>
        <v/>
      </c>
      <c r="I5170" s="26" t="str">
        <f t="shared" si="2"/>
        <v/>
      </c>
      <c r="J5170" s="86">
        <f t="shared" si="3"/>
        <v>0</v>
      </c>
      <c r="R5170" s="26"/>
    </row>
    <row r="5171" spans="1:18" ht="15.75" customHeight="1">
      <c r="A5171" s="26"/>
      <c r="B5171" s="86"/>
      <c r="D5171" s="26"/>
      <c r="F5171" s="87" t="str">
        <f t="shared" si="0"/>
        <v/>
      </c>
      <c r="H5171" s="26" t="str">
        <f t="shared" si="1"/>
        <v/>
      </c>
      <c r="I5171" s="26" t="str">
        <f t="shared" si="2"/>
        <v/>
      </c>
      <c r="J5171" s="86">
        <f t="shared" si="3"/>
        <v>0</v>
      </c>
      <c r="R5171" s="26"/>
    </row>
    <row r="5172" spans="1:18" ht="15.75" customHeight="1">
      <c r="A5172" s="26"/>
      <c r="B5172" s="86"/>
      <c r="D5172" s="26"/>
      <c r="F5172" s="87" t="str">
        <f t="shared" si="0"/>
        <v/>
      </c>
      <c r="H5172" s="26" t="str">
        <f t="shared" si="1"/>
        <v/>
      </c>
      <c r="I5172" s="26" t="str">
        <f t="shared" si="2"/>
        <v/>
      </c>
      <c r="J5172" s="86">
        <f t="shared" si="3"/>
        <v>0</v>
      </c>
      <c r="R5172" s="26"/>
    </row>
    <row r="5173" spans="1:18" ht="15.75" customHeight="1">
      <c r="A5173" s="26"/>
      <c r="B5173" s="86"/>
      <c r="D5173" s="26"/>
      <c r="F5173" s="87" t="str">
        <f t="shared" si="0"/>
        <v/>
      </c>
      <c r="H5173" s="26" t="str">
        <f t="shared" si="1"/>
        <v/>
      </c>
      <c r="I5173" s="26" t="str">
        <f t="shared" si="2"/>
        <v/>
      </c>
      <c r="J5173" s="86">
        <f t="shared" si="3"/>
        <v>0</v>
      </c>
      <c r="R5173" s="26"/>
    </row>
    <row r="5174" spans="1:18" ht="15.75" customHeight="1">
      <c r="A5174" s="26"/>
      <c r="B5174" s="86"/>
      <c r="D5174" s="26"/>
      <c r="F5174" s="87" t="str">
        <f t="shared" si="0"/>
        <v/>
      </c>
      <c r="H5174" s="26" t="str">
        <f t="shared" si="1"/>
        <v/>
      </c>
      <c r="I5174" s="26" t="str">
        <f t="shared" si="2"/>
        <v/>
      </c>
      <c r="J5174" s="86">
        <f t="shared" si="3"/>
        <v>0</v>
      </c>
      <c r="R5174" s="26"/>
    </row>
    <row r="5175" spans="1:18" ht="15.75" customHeight="1">
      <c r="A5175" s="26"/>
      <c r="B5175" s="86"/>
      <c r="D5175" s="26"/>
      <c r="F5175" s="87" t="str">
        <f t="shared" si="0"/>
        <v/>
      </c>
      <c r="H5175" s="26" t="str">
        <f t="shared" si="1"/>
        <v/>
      </c>
      <c r="I5175" s="26" t="str">
        <f t="shared" si="2"/>
        <v/>
      </c>
      <c r="J5175" s="86">
        <f t="shared" si="3"/>
        <v>0</v>
      </c>
      <c r="R5175" s="26"/>
    </row>
    <row r="5176" spans="1:18" ht="15.75" customHeight="1">
      <c r="A5176" s="26"/>
      <c r="B5176" s="86"/>
      <c r="D5176" s="26"/>
      <c r="F5176" s="87" t="str">
        <f t="shared" si="0"/>
        <v/>
      </c>
      <c r="H5176" s="26" t="str">
        <f t="shared" si="1"/>
        <v/>
      </c>
      <c r="I5176" s="26" t="str">
        <f t="shared" si="2"/>
        <v/>
      </c>
      <c r="J5176" s="86">
        <f t="shared" si="3"/>
        <v>0</v>
      </c>
      <c r="R5176" s="26"/>
    </row>
    <row r="5177" spans="1:18" ht="15.75" customHeight="1">
      <c r="A5177" s="26"/>
      <c r="B5177" s="86"/>
      <c r="D5177" s="26"/>
      <c r="F5177" s="87" t="str">
        <f t="shared" si="0"/>
        <v/>
      </c>
      <c r="H5177" s="26" t="str">
        <f t="shared" si="1"/>
        <v/>
      </c>
      <c r="I5177" s="26" t="str">
        <f t="shared" si="2"/>
        <v/>
      </c>
      <c r="J5177" s="86">
        <f t="shared" si="3"/>
        <v>0</v>
      </c>
      <c r="R5177" s="26"/>
    </row>
    <row r="5178" spans="1:18" ht="15.75" customHeight="1">
      <c r="A5178" s="26"/>
      <c r="B5178" s="86"/>
      <c r="D5178" s="26"/>
      <c r="F5178" s="87" t="str">
        <f t="shared" si="0"/>
        <v/>
      </c>
      <c r="H5178" s="26" t="str">
        <f t="shared" si="1"/>
        <v/>
      </c>
      <c r="I5178" s="26" t="str">
        <f t="shared" si="2"/>
        <v/>
      </c>
      <c r="J5178" s="86">
        <f t="shared" si="3"/>
        <v>0</v>
      </c>
      <c r="R5178" s="26"/>
    </row>
    <row r="5179" spans="1:18" ht="15.75" customHeight="1">
      <c r="A5179" s="26"/>
      <c r="B5179" s="86"/>
      <c r="D5179" s="26"/>
      <c r="F5179" s="87" t="str">
        <f t="shared" si="0"/>
        <v/>
      </c>
      <c r="H5179" s="26" t="str">
        <f t="shared" si="1"/>
        <v/>
      </c>
      <c r="I5179" s="26" t="str">
        <f t="shared" si="2"/>
        <v/>
      </c>
      <c r="J5179" s="86">
        <f t="shared" si="3"/>
        <v>0</v>
      </c>
      <c r="R5179" s="26"/>
    </row>
    <row r="5180" spans="1:18" ht="15.75" customHeight="1">
      <c r="A5180" s="26"/>
      <c r="B5180" s="86"/>
      <c r="D5180" s="26"/>
      <c r="F5180" s="87" t="str">
        <f t="shared" si="0"/>
        <v/>
      </c>
      <c r="H5180" s="26" t="str">
        <f t="shared" si="1"/>
        <v/>
      </c>
      <c r="I5180" s="26" t="str">
        <f t="shared" si="2"/>
        <v/>
      </c>
      <c r="J5180" s="86">
        <f t="shared" si="3"/>
        <v>0</v>
      </c>
      <c r="R5180" s="26"/>
    </row>
    <row r="5181" spans="1:18" ht="15.75" customHeight="1">
      <c r="A5181" s="26"/>
      <c r="B5181" s="86"/>
      <c r="D5181" s="26"/>
      <c r="F5181" s="87" t="str">
        <f t="shared" si="0"/>
        <v/>
      </c>
      <c r="H5181" s="26" t="str">
        <f t="shared" si="1"/>
        <v/>
      </c>
      <c r="I5181" s="26" t="str">
        <f t="shared" si="2"/>
        <v/>
      </c>
      <c r="J5181" s="86">
        <f t="shared" si="3"/>
        <v>0</v>
      </c>
      <c r="R5181" s="26"/>
    </row>
    <row r="5182" spans="1:18" ht="15.75" customHeight="1">
      <c r="A5182" s="26"/>
      <c r="B5182" s="86"/>
      <c r="D5182" s="26"/>
      <c r="F5182" s="87" t="str">
        <f t="shared" si="0"/>
        <v/>
      </c>
      <c r="H5182" s="26" t="str">
        <f t="shared" si="1"/>
        <v/>
      </c>
      <c r="I5182" s="26" t="str">
        <f t="shared" si="2"/>
        <v/>
      </c>
      <c r="J5182" s="86">
        <f t="shared" si="3"/>
        <v>0</v>
      </c>
      <c r="R5182" s="26"/>
    </row>
    <row r="5183" spans="1:18" ht="15.75" customHeight="1">
      <c r="A5183" s="26"/>
      <c r="B5183" s="86"/>
      <c r="D5183" s="26"/>
      <c r="F5183" s="87" t="str">
        <f t="shared" si="0"/>
        <v/>
      </c>
      <c r="H5183" s="26" t="str">
        <f t="shared" si="1"/>
        <v/>
      </c>
      <c r="I5183" s="26" t="str">
        <f t="shared" si="2"/>
        <v/>
      </c>
      <c r="J5183" s="86">
        <f t="shared" si="3"/>
        <v>0</v>
      </c>
      <c r="R5183" s="26"/>
    </row>
    <row r="5184" spans="1:18" ht="15.75" customHeight="1">
      <c r="A5184" s="26"/>
      <c r="B5184" s="86"/>
      <c r="D5184" s="26"/>
      <c r="F5184" s="87" t="str">
        <f t="shared" si="0"/>
        <v/>
      </c>
      <c r="H5184" s="26" t="str">
        <f t="shared" si="1"/>
        <v/>
      </c>
      <c r="I5184" s="26" t="str">
        <f t="shared" si="2"/>
        <v/>
      </c>
      <c r="J5184" s="86">
        <f t="shared" si="3"/>
        <v>0</v>
      </c>
      <c r="R5184" s="26"/>
    </row>
    <row r="5185" spans="1:18" ht="15.75" customHeight="1">
      <c r="A5185" s="26"/>
      <c r="B5185" s="86"/>
      <c r="D5185" s="26"/>
      <c r="F5185" s="87" t="str">
        <f t="shared" si="0"/>
        <v/>
      </c>
      <c r="H5185" s="26" t="str">
        <f t="shared" si="1"/>
        <v/>
      </c>
      <c r="I5185" s="26" t="str">
        <f t="shared" si="2"/>
        <v/>
      </c>
      <c r="J5185" s="86">
        <f t="shared" si="3"/>
        <v>0</v>
      </c>
      <c r="R5185" s="26"/>
    </row>
    <row r="5186" spans="1:18" ht="15.75" customHeight="1">
      <c r="A5186" s="26"/>
      <c r="B5186" s="86"/>
      <c r="D5186" s="26"/>
      <c r="F5186" s="87" t="str">
        <f t="shared" si="0"/>
        <v/>
      </c>
      <c r="H5186" s="26" t="str">
        <f t="shared" si="1"/>
        <v/>
      </c>
      <c r="I5186" s="26" t="str">
        <f t="shared" si="2"/>
        <v/>
      </c>
      <c r="J5186" s="86">
        <f t="shared" si="3"/>
        <v>0</v>
      </c>
      <c r="R5186" s="26"/>
    </row>
    <row r="5187" spans="1:18" ht="15.75" customHeight="1">
      <c r="A5187" s="26"/>
      <c r="B5187" s="86"/>
      <c r="D5187" s="26"/>
      <c r="F5187" s="87" t="str">
        <f t="shared" si="0"/>
        <v/>
      </c>
      <c r="H5187" s="26" t="str">
        <f t="shared" si="1"/>
        <v/>
      </c>
      <c r="I5187" s="26" t="str">
        <f t="shared" si="2"/>
        <v/>
      </c>
      <c r="J5187" s="86">
        <f t="shared" si="3"/>
        <v>0</v>
      </c>
      <c r="R5187" s="26"/>
    </row>
    <row r="5188" spans="1:18" ht="15.75" customHeight="1">
      <c r="A5188" s="26"/>
      <c r="B5188" s="86"/>
      <c r="D5188" s="26"/>
      <c r="F5188" s="87" t="str">
        <f t="shared" si="0"/>
        <v/>
      </c>
      <c r="H5188" s="26" t="str">
        <f t="shared" si="1"/>
        <v/>
      </c>
      <c r="I5188" s="26" t="str">
        <f t="shared" si="2"/>
        <v/>
      </c>
      <c r="J5188" s="86">
        <f t="shared" si="3"/>
        <v>0</v>
      </c>
      <c r="R5188" s="26"/>
    </row>
    <row r="5189" spans="1:18" ht="15.75" customHeight="1">
      <c r="A5189" s="26"/>
      <c r="B5189" s="86"/>
      <c r="D5189" s="26"/>
      <c r="F5189" s="87" t="str">
        <f t="shared" si="0"/>
        <v/>
      </c>
      <c r="H5189" s="26" t="str">
        <f t="shared" si="1"/>
        <v/>
      </c>
      <c r="I5189" s="26" t="str">
        <f t="shared" si="2"/>
        <v/>
      </c>
      <c r="J5189" s="86">
        <f t="shared" si="3"/>
        <v>0</v>
      </c>
      <c r="R5189" s="26"/>
    </row>
    <row r="5190" spans="1:18" ht="15.75" customHeight="1">
      <c r="A5190" s="26"/>
      <c r="B5190" s="86"/>
      <c r="D5190" s="26"/>
      <c r="F5190" s="87" t="str">
        <f t="shared" si="0"/>
        <v/>
      </c>
      <c r="H5190" s="26" t="str">
        <f t="shared" si="1"/>
        <v/>
      </c>
      <c r="I5190" s="26" t="str">
        <f t="shared" si="2"/>
        <v/>
      </c>
      <c r="J5190" s="86">
        <f t="shared" si="3"/>
        <v>0</v>
      </c>
      <c r="R5190" s="26"/>
    </row>
    <row r="5191" spans="1:18" ht="15.75" customHeight="1">
      <c r="A5191" s="26"/>
      <c r="B5191" s="86"/>
      <c r="D5191" s="26"/>
      <c r="F5191" s="87" t="str">
        <f t="shared" si="0"/>
        <v/>
      </c>
      <c r="H5191" s="26" t="str">
        <f t="shared" si="1"/>
        <v/>
      </c>
      <c r="I5191" s="26" t="str">
        <f t="shared" si="2"/>
        <v/>
      </c>
      <c r="J5191" s="86">
        <f t="shared" si="3"/>
        <v>0</v>
      </c>
      <c r="R5191" s="26"/>
    </row>
    <row r="5192" spans="1:18" ht="15.75" customHeight="1">
      <c r="A5192" s="26"/>
      <c r="B5192" s="86"/>
      <c r="D5192" s="26"/>
      <c r="F5192" s="87" t="str">
        <f t="shared" si="0"/>
        <v/>
      </c>
      <c r="H5192" s="26" t="str">
        <f t="shared" si="1"/>
        <v/>
      </c>
      <c r="I5192" s="26" t="str">
        <f t="shared" si="2"/>
        <v/>
      </c>
      <c r="J5192" s="86">
        <f t="shared" si="3"/>
        <v>0</v>
      </c>
      <c r="R5192" s="26"/>
    </row>
    <row r="5193" spans="1:18" ht="15.75" customHeight="1">
      <c r="A5193" s="26"/>
      <c r="B5193" s="86"/>
      <c r="D5193" s="26"/>
      <c r="F5193" s="87" t="str">
        <f t="shared" si="0"/>
        <v/>
      </c>
      <c r="H5193" s="26" t="str">
        <f t="shared" si="1"/>
        <v/>
      </c>
      <c r="I5193" s="26" t="str">
        <f t="shared" si="2"/>
        <v/>
      </c>
      <c r="J5193" s="86">
        <f t="shared" si="3"/>
        <v>0</v>
      </c>
      <c r="R5193" s="26"/>
    </row>
    <row r="5194" spans="1:18" ht="15.75" customHeight="1">
      <c r="A5194" s="26"/>
      <c r="B5194" s="86"/>
      <c r="D5194" s="26"/>
      <c r="F5194" s="87" t="str">
        <f t="shared" si="0"/>
        <v/>
      </c>
      <c r="H5194" s="26" t="str">
        <f t="shared" si="1"/>
        <v/>
      </c>
      <c r="I5194" s="26" t="str">
        <f t="shared" si="2"/>
        <v/>
      </c>
      <c r="J5194" s="86">
        <f t="shared" si="3"/>
        <v>0</v>
      </c>
      <c r="R5194" s="26"/>
    </row>
    <row r="5195" spans="1:18" ht="15.75" customHeight="1">
      <c r="A5195" s="26"/>
      <c r="B5195" s="86"/>
      <c r="D5195" s="26"/>
      <c r="F5195" s="87" t="str">
        <f t="shared" si="0"/>
        <v/>
      </c>
      <c r="H5195" s="26" t="str">
        <f t="shared" si="1"/>
        <v/>
      </c>
      <c r="I5195" s="26" t="str">
        <f t="shared" si="2"/>
        <v/>
      </c>
      <c r="J5195" s="86">
        <f t="shared" si="3"/>
        <v>0</v>
      </c>
      <c r="R5195" s="26"/>
    </row>
    <row r="5196" spans="1:18" ht="15.75" customHeight="1">
      <c r="A5196" s="26"/>
      <c r="B5196" s="86"/>
      <c r="D5196" s="26"/>
      <c r="F5196" s="87" t="str">
        <f t="shared" si="0"/>
        <v/>
      </c>
      <c r="H5196" s="26" t="str">
        <f t="shared" si="1"/>
        <v/>
      </c>
      <c r="I5196" s="26" t="str">
        <f t="shared" si="2"/>
        <v/>
      </c>
      <c r="J5196" s="86">
        <f t="shared" si="3"/>
        <v>0</v>
      </c>
      <c r="R5196" s="26"/>
    </row>
    <row r="5197" spans="1:18" ht="15.75" customHeight="1">
      <c r="A5197" s="26"/>
      <c r="B5197" s="86"/>
      <c r="D5197" s="26"/>
      <c r="F5197" s="87" t="str">
        <f t="shared" si="0"/>
        <v/>
      </c>
      <c r="H5197" s="26" t="str">
        <f t="shared" si="1"/>
        <v/>
      </c>
      <c r="I5197" s="26" t="str">
        <f t="shared" si="2"/>
        <v/>
      </c>
      <c r="J5197" s="86">
        <f t="shared" si="3"/>
        <v>0</v>
      </c>
      <c r="R5197" s="26"/>
    </row>
    <row r="5198" spans="1:18" ht="15.75" customHeight="1">
      <c r="A5198" s="26"/>
      <c r="B5198" s="86"/>
      <c r="D5198" s="26"/>
      <c r="F5198" s="87" t="str">
        <f t="shared" si="0"/>
        <v/>
      </c>
      <c r="H5198" s="26" t="str">
        <f t="shared" si="1"/>
        <v/>
      </c>
      <c r="I5198" s="26" t="str">
        <f t="shared" si="2"/>
        <v/>
      </c>
      <c r="J5198" s="86">
        <f t="shared" si="3"/>
        <v>0</v>
      </c>
      <c r="R5198" s="26"/>
    </row>
    <row r="5199" spans="1:18" ht="15.75" customHeight="1">
      <c r="A5199" s="26"/>
      <c r="B5199" s="86"/>
      <c r="D5199" s="26"/>
      <c r="F5199" s="87" t="str">
        <f t="shared" si="0"/>
        <v/>
      </c>
      <c r="H5199" s="26" t="str">
        <f t="shared" si="1"/>
        <v/>
      </c>
      <c r="I5199" s="26" t="str">
        <f t="shared" si="2"/>
        <v/>
      </c>
      <c r="J5199" s="86">
        <f t="shared" si="3"/>
        <v>0</v>
      </c>
      <c r="R5199" s="26"/>
    </row>
    <row r="5200" spans="1:18" ht="15.75" customHeight="1">
      <c r="A5200" s="26"/>
      <c r="B5200" s="86"/>
      <c r="D5200" s="26"/>
      <c r="F5200" s="87" t="str">
        <f t="shared" si="0"/>
        <v/>
      </c>
      <c r="H5200" s="26" t="str">
        <f t="shared" si="1"/>
        <v/>
      </c>
      <c r="I5200" s="26" t="str">
        <f t="shared" si="2"/>
        <v/>
      </c>
      <c r="J5200" s="86">
        <f t="shared" si="3"/>
        <v>0</v>
      </c>
      <c r="R5200" s="26"/>
    </row>
    <row r="5201" spans="1:18" ht="15.75" customHeight="1">
      <c r="A5201" s="26"/>
      <c r="B5201" s="86"/>
      <c r="D5201" s="26"/>
      <c r="F5201" s="87" t="str">
        <f t="shared" si="0"/>
        <v/>
      </c>
      <c r="H5201" s="26" t="str">
        <f t="shared" si="1"/>
        <v/>
      </c>
      <c r="I5201" s="26" t="str">
        <f t="shared" si="2"/>
        <v/>
      </c>
      <c r="J5201" s="86">
        <f t="shared" si="3"/>
        <v>0</v>
      </c>
      <c r="R5201" s="26"/>
    </row>
    <row r="5202" spans="1:18" ht="15.75" customHeight="1">
      <c r="A5202" s="26"/>
      <c r="B5202" s="86"/>
      <c r="D5202" s="26"/>
      <c r="F5202" s="87" t="str">
        <f t="shared" si="0"/>
        <v/>
      </c>
      <c r="H5202" s="26" t="str">
        <f t="shared" si="1"/>
        <v/>
      </c>
      <c r="I5202" s="26" t="str">
        <f t="shared" si="2"/>
        <v/>
      </c>
      <c r="J5202" s="86">
        <f t="shared" si="3"/>
        <v>0</v>
      </c>
      <c r="R5202" s="26"/>
    </row>
    <row r="5203" spans="1:18" ht="15.75" customHeight="1">
      <c r="A5203" s="26"/>
      <c r="B5203" s="86"/>
      <c r="D5203" s="26"/>
      <c r="F5203" s="87" t="str">
        <f t="shared" si="0"/>
        <v/>
      </c>
      <c r="H5203" s="26" t="str">
        <f t="shared" si="1"/>
        <v/>
      </c>
      <c r="I5203" s="26" t="str">
        <f t="shared" si="2"/>
        <v/>
      </c>
      <c r="J5203" s="86">
        <f t="shared" si="3"/>
        <v>0</v>
      </c>
      <c r="R5203" s="26"/>
    </row>
    <row r="5204" spans="1:18" ht="15.75" customHeight="1">
      <c r="A5204" s="26"/>
      <c r="B5204" s="86"/>
      <c r="D5204" s="26"/>
      <c r="F5204" s="87" t="str">
        <f t="shared" si="0"/>
        <v/>
      </c>
      <c r="H5204" s="26" t="str">
        <f t="shared" si="1"/>
        <v/>
      </c>
      <c r="I5204" s="26" t="str">
        <f t="shared" si="2"/>
        <v/>
      </c>
      <c r="J5204" s="86">
        <f t="shared" si="3"/>
        <v>0</v>
      </c>
      <c r="R5204" s="26"/>
    </row>
    <row r="5205" spans="1:18" ht="15.75" customHeight="1">
      <c r="A5205" s="26"/>
      <c r="B5205" s="86"/>
      <c r="D5205" s="26"/>
      <c r="F5205" s="87" t="str">
        <f t="shared" si="0"/>
        <v/>
      </c>
      <c r="H5205" s="26" t="str">
        <f t="shared" si="1"/>
        <v/>
      </c>
      <c r="I5205" s="26" t="str">
        <f t="shared" si="2"/>
        <v/>
      </c>
      <c r="J5205" s="86">
        <f t="shared" si="3"/>
        <v>0</v>
      </c>
      <c r="R5205" s="26"/>
    </row>
    <row r="5206" spans="1:18" ht="15.75" customHeight="1">
      <c r="A5206" s="26"/>
      <c r="B5206" s="86"/>
      <c r="D5206" s="26"/>
      <c r="F5206" s="87" t="str">
        <f t="shared" si="0"/>
        <v/>
      </c>
      <c r="H5206" s="26" t="str">
        <f t="shared" si="1"/>
        <v/>
      </c>
      <c r="I5206" s="26" t="str">
        <f t="shared" si="2"/>
        <v/>
      </c>
      <c r="J5206" s="86">
        <f t="shared" si="3"/>
        <v>0</v>
      </c>
      <c r="R5206" s="26"/>
    </row>
    <row r="5207" spans="1:18" ht="15.75" customHeight="1">
      <c r="A5207" s="26"/>
      <c r="B5207" s="86"/>
      <c r="D5207" s="26"/>
      <c r="F5207" s="87" t="str">
        <f t="shared" si="0"/>
        <v/>
      </c>
      <c r="H5207" s="26" t="str">
        <f t="shared" si="1"/>
        <v/>
      </c>
      <c r="I5207" s="26" t="str">
        <f t="shared" si="2"/>
        <v/>
      </c>
      <c r="J5207" s="86">
        <f t="shared" si="3"/>
        <v>0</v>
      </c>
      <c r="R5207" s="26"/>
    </row>
    <row r="5208" spans="1:18" ht="15.75" customHeight="1">
      <c r="A5208" s="26"/>
      <c r="B5208" s="86"/>
      <c r="D5208" s="26"/>
      <c r="F5208" s="87" t="str">
        <f t="shared" si="0"/>
        <v/>
      </c>
      <c r="H5208" s="26" t="str">
        <f t="shared" si="1"/>
        <v/>
      </c>
      <c r="I5208" s="26" t="str">
        <f t="shared" si="2"/>
        <v/>
      </c>
      <c r="J5208" s="86">
        <f t="shared" si="3"/>
        <v>0</v>
      </c>
      <c r="R5208" s="26"/>
    </row>
    <row r="5209" spans="1:18" ht="15.75" customHeight="1">
      <c r="A5209" s="26"/>
      <c r="B5209" s="86"/>
      <c r="D5209" s="26"/>
      <c r="F5209" s="87" t="str">
        <f t="shared" si="0"/>
        <v/>
      </c>
      <c r="H5209" s="26" t="str">
        <f t="shared" si="1"/>
        <v/>
      </c>
      <c r="I5209" s="26" t="str">
        <f t="shared" si="2"/>
        <v/>
      </c>
      <c r="J5209" s="86">
        <f t="shared" si="3"/>
        <v>0</v>
      </c>
      <c r="R5209" s="26"/>
    </row>
    <row r="5210" spans="1:18" ht="15.75" customHeight="1">
      <c r="A5210" s="26"/>
      <c r="B5210" s="86"/>
      <c r="D5210" s="26"/>
      <c r="F5210" s="87" t="str">
        <f t="shared" si="0"/>
        <v/>
      </c>
      <c r="H5210" s="26" t="str">
        <f t="shared" si="1"/>
        <v/>
      </c>
      <c r="I5210" s="26" t="str">
        <f t="shared" si="2"/>
        <v/>
      </c>
      <c r="J5210" s="86">
        <f t="shared" si="3"/>
        <v>0</v>
      </c>
      <c r="R5210" s="26"/>
    </row>
    <row r="5211" spans="1:18" ht="15.75" customHeight="1">
      <c r="A5211" s="26"/>
      <c r="B5211" s="86"/>
      <c r="D5211" s="26"/>
      <c r="F5211" s="87" t="str">
        <f t="shared" si="0"/>
        <v/>
      </c>
      <c r="H5211" s="26" t="str">
        <f t="shared" si="1"/>
        <v/>
      </c>
      <c r="I5211" s="26" t="str">
        <f t="shared" si="2"/>
        <v/>
      </c>
      <c r="J5211" s="86">
        <f t="shared" si="3"/>
        <v>0</v>
      </c>
      <c r="R5211" s="26"/>
    </row>
    <row r="5212" spans="1:18" ht="15.75" customHeight="1">
      <c r="A5212" s="26"/>
      <c r="B5212" s="86"/>
      <c r="D5212" s="26"/>
      <c r="F5212" s="87" t="str">
        <f t="shared" si="0"/>
        <v/>
      </c>
      <c r="H5212" s="26" t="str">
        <f t="shared" si="1"/>
        <v/>
      </c>
      <c r="I5212" s="26" t="str">
        <f t="shared" si="2"/>
        <v/>
      </c>
      <c r="J5212" s="86">
        <f t="shared" si="3"/>
        <v>0</v>
      </c>
      <c r="R5212" s="26"/>
    </row>
    <row r="5213" spans="1:18" ht="15.75" customHeight="1">
      <c r="A5213" s="26"/>
      <c r="B5213" s="86"/>
      <c r="D5213" s="26"/>
      <c r="F5213" s="87" t="str">
        <f t="shared" si="0"/>
        <v/>
      </c>
      <c r="H5213" s="26" t="str">
        <f t="shared" si="1"/>
        <v/>
      </c>
      <c r="I5213" s="26" t="str">
        <f t="shared" si="2"/>
        <v/>
      </c>
      <c r="J5213" s="86">
        <f t="shared" si="3"/>
        <v>0</v>
      </c>
      <c r="R5213" s="26"/>
    </row>
    <row r="5214" spans="1:18" ht="15.75" customHeight="1">
      <c r="A5214" s="26"/>
      <c r="B5214" s="86"/>
      <c r="D5214" s="26"/>
      <c r="F5214" s="87" t="str">
        <f t="shared" si="0"/>
        <v/>
      </c>
      <c r="H5214" s="26" t="str">
        <f t="shared" si="1"/>
        <v/>
      </c>
      <c r="I5214" s="26" t="str">
        <f t="shared" si="2"/>
        <v/>
      </c>
      <c r="J5214" s="86">
        <f t="shared" si="3"/>
        <v>0</v>
      </c>
      <c r="R5214" s="26"/>
    </row>
    <row r="5215" spans="1:18" ht="15.75" customHeight="1">
      <c r="A5215" s="26"/>
      <c r="B5215" s="86"/>
      <c r="D5215" s="26"/>
      <c r="F5215" s="87" t="str">
        <f t="shared" si="0"/>
        <v/>
      </c>
      <c r="H5215" s="26" t="str">
        <f t="shared" si="1"/>
        <v/>
      </c>
      <c r="I5215" s="26" t="str">
        <f t="shared" si="2"/>
        <v/>
      </c>
      <c r="J5215" s="86">
        <f t="shared" si="3"/>
        <v>0</v>
      </c>
      <c r="R5215" s="26"/>
    </row>
    <row r="5216" spans="1:18" ht="15.75" customHeight="1">
      <c r="A5216" s="26"/>
      <c r="B5216" s="86"/>
      <c r="D5216" s="26"/>
      <c r="F5216" s="87" t="str">
        <f t="shared" si="0"/>
        <v/>
      </c>
      <c r="H5216" s="26" t="str">
        <f t="shared" si="1"/>
        <v/>
      </c>
      <c r="I5216" s="26" t="str">
        <f t="shared" si="2"/>
        <v/>
      </c>
      <c r="J5216" s="86">
        <f t="shared" si="3"/>
        <v>0</v>
      </c>
      <c r="R5216" s="26"/>
    </row>
    <row r="5217" spans="1:18" ht="15.75" customHeight="1">
      <c r="A5217" s="26"/>
      <c r="B5217" s="86"/>
      <c r="D5217" s="26"/>
      <c r="F5217" s="87" t="str">
        <f t="shared" si="0"/>
        <v/>
      </c>
      <c r="H5217" s="26" t="str">
        <f t="shared" si="1"/>
        <v/>
      </c>
      <c r="I5217" s="26" t="str">
        <f t="shared" si="2"/>
        <v/>
      </c>
      <c r="J5217" s="86">
        <f t="shared" si="3"/>
        <v>0</v>
      </c>
      <c r="R5217" s="26"/>
    </row>
    <row r="5218" spans="1:18" ht="15.75" customHeight="1">
      <c r="A5218" s="26"/>
      <c r="B5218" s="86"/>
      <c r="D5218" s="26"/>
      <c r="F5218" s="87" t="str">
        <f t="shared" si="0"/>
        <v/>
      </c>
      <c r="H5218" s="26" t="str">
        <f t="shared" si="1"/>
        <v/>
      </c>
      <c r="I5218" s="26" t="str">
        <f t="shared" si="2"/>
        <v/>
      </c>
      <c r="J5218" s="86">
        <f t="shared" si="3"/>
        <v>0</v>
      </c>
      <c r="R5218" s="26"/>
    </row>
    <row r="5219" spans="1:18" ht="15.75" customHeight="1">
      <c r="A5219" s="26"/>
      <c r="B5219" s="86"/>
      <c r="D5219" s="26"/>
      <c r="F5219" s="87" t="str">
        <f t="shared" si="0"/>
        <v/>
      </c>
      <c r="H5219" s="26" t="str">
        <f t="shared" si="1"/>
        <v/>
      </c>
      <c r="I5219" s="26" t="str">
        <f t="shared" si="2"/>
        <v/>
      </c>
      <c r="J5219" s="86">
        <f t="shared" si="3"/>
        <v>0</v>
      </c>
      <c r="R5219" s="26"/>
    </row>
    <row r="5220" spans="1:18" ht="15.75" customHeight="1">
      <c r="A5220" s="26"/>
      <c r="B5220" s="86"/>
      <c r="D5220" s="26"/>
      <c r="F5220" s="87" t="str">
        <f t="shared" si="0"/>
        <v/>
      </c>
      <c r="H5220" s="26" t="str">
        <f t="shared" si="1"/>
        <v/>
      </c>
      <c r="I5220" s="26" t="str">
        <f t="shared" si="2"/>
        <v/>
      </c>
      <c r="J5220" s="86">
        <f t="shared" si="3"/>
        <v>0</v>
      </c>
      <c r="R5220" s="26"/>
    </row>
    <row r="5221" spans="1:18" ht="15.75" customHeight="1">
      <c r="A5221" s="26"/>
      <c r="B5221" s="86"/>
      <c r="D5221" s="26"/>
      <c r="F5221" s="87" t="str">
        <f t="shared" si="0"/>
        <v/>
      </c>
      <c r="H5221" s="26" t="str">
        <f t="shared" si="1"/>
        <v/>
      </c>
      <c r="I5221" s="26" t="str">
        <f t="shared" si="2"/>
        <v/>
      </c>
      <c r="J5221" s="86">
        <f t="shared" si="3"/>
        <v>0</v>
      </c>
      <c r="R5221" s="26"/>
    </row>
    <row r="5222" spans="1:18" ht="15.75" customHeight="1">
      <c r="A5222" s="26"/>
      <c r="B5222" s="86"/>
      <c r="D5222" s="26"/>
      <c r="F5222" s="87" t="str">
        <f t="shared" si="0"/>
        <v/>
      </c>
      <c r="H5222" s="26" t="str">
        <f t="shared" si="1"/>
        <v/>
      </c>
      <c r="I5222" s="26" t="str">
        <f t="shared" si="2"/>
        <v/>
      </c>
      <c r="J5222" s="86">
        <f t="shared" si="3"/>
        <v>0</v>
      </c>
      <c r="R5222" s="26"/>
    </row>
    <row r="5223" spans="1:18" ht="15.75" customHeight="1">
      <c r="A5223" s="26"/>
      <c r="B5223" s="86"/>
      <c r="D5223" s="26"/>
      <c r="F5223" s="87" t="str">
        <f t="shared" si="0"/>
        <v/>
      </c>
      <c r="H5223" s="26" t="str">
        <f t="shared" si="1"/>
        <v/>
      </c>
      <c r="I5223" s="26" t="str">
        <f t="shared" si="2"/>
        <v/>
      </c>
      <c r="J5223" s="86">
        <f t="shared" si="3"/>
        <v>0</v>
      </c>
      <c r="R5223" s="26"/>
    </row>
    <row r="5224" spans="1:18" ht="15.75" customHeight="1">
      <c r="A5224" s="26"/>
      <c r="B5224" s="86"/>
      <c r="D5224" s="26"/>
      <c r="F5224" s="87" t="str">
        <f t="shared" si="0"/>
        <v/>
      </c>
      <c r="H5224" s="26" t="str">
        <f t="shared" si="1"/>
        <v/>
      </c>
      <c r="I5224" s="26" t="str">
        <f t="shared" si="2"/>
        <v/>
      </c>
      <c r="J5224" s="86">
        <f t="shared" si="3"/>
        <v>0</v>
      </c>
      <c r="R5224" s="26"/>
    </row>
    <row r="5225" spans="1:18" ht="15.75" customHeight="1">
      <c r="A5225" s="26"/>
      <c r="B5225" s="86"/>
      <c r="D5225" s="26"/>
      <c r="F5225" s="87" t="str">
        <f t="shared" si="0"/>
        <v/>
      </c>
      <c r="H5225" s="26" t="str">
        <f t="shared" si="1"/>
        <v/>
      </c>
      <c r="I5225" s="26" t="str">
        <f t="shared" si="2"/>
        <v/>
      </c>
      <c r="J5225" s="86">
        <f t="shared" si="3"/>
        <v>0</v>
      </c>
      <c r="R5225" s="26"/>
    </row>
    <row r="5226" spans="1:18" ht="15.75" customHeight="1">
      <c r="A5226" s="26"/>
      <c r="B5226" s="86"/>
      <c r="D5226" s="26"/>
      <c r="F5226" s="87" t="str">
        <f t="shared" si="0"/>
        <v/>
      </c>
      <c r="H5226" s="26" t="str">
        <f t="shared" si="1"/>
        <v/>
      </c>
      <c r="I5226" s="26" t="str">
        <f t="shared" si="2"/>
        <v/>
      </c>
      <c r="J5226" s="86">
        <f t="shared" si="3"/>
        <v>0</v>
      </c>
      <c r="R5226" s="26"/>
    </row>
    <row r="5227" spans="1:18" ht="15.75" customHeight="1">
      <c r="A5227" s="26"/>
      <c r="B5227" s="86"/>
      <c r="D5227" s="26"/>
      <c r="F5227" s="87" t="str">
        <f t="shared" si="0"/>
        <v/>
      </c>
      <c r="H5227" s="26" t="str">
        <f t="shared" si="1"/>
        <v/>
      </c>
      <c r="I5227" s="26" t="str">
        <f t="shared" si="2"/>
        <v/>
      </c>
      <c r="J5227" s="86">
        <f t="shared" si="3"/>
        <v>0</v>
      </c>
      <c r="R5227" s="26"/>
    </row>
    <row r="5228" spans="1:18" ht="15.75" customHeight="1">
      <c r="A5228" s="26"/>
      <c r="B5228" s="86"/>
      <c r="D5228" s="26"/>
      <c r="F5228" s="87" t="str">
        <f t="shared" si="0"/>
        <v/>
      </c>
      <c r="H5228" s="26" t="str">
        <f t="shared" si="1"/>
        <v/>
      </c>
      <c r="I5228" s="26" t="str">
        <f t="shared" si="2"/>
        <v/>
      </c>
      <c r="J5228" s="86">
        <f t="shared" si="3"/>
        <v>0</v>
      </c>
      <c r="R5228" s="26"/>
    </row>
    <row r="5229" spans="1:18" ht="15.75" customHeight="1">
      <c r="A5229" s="26"/>
      <c r="B5229" s="86"/>
      <c r="D5229" s="26"/>
      <c r="F5229" s="87" t="str">
        <f t="shared" si="0"/>
        <v/>
      </c>
      <c r="H5229" s="26" t="str">
        <f t="shared" si="1"/>
        <v/>
      </c>
      <c r="I5229" s="26" t="str">
        <f t="shared" si="2"/>
        <v/>
      </c>
      <c r="J5229" s="86">
        <f t="shared" si="3"/>
        <v>0</v>
      </c>
      <c r="R5229" s="26"/>
    </row>
    <row r="5230" spans="1:18" ht="15.75" customHeight="1">
      <c r="A5230" s="26"/>
      <c r="B5230" s="86"/>
      <c r="D5230" s="26"/>
      <c r="F5230" s="87" t="str">
        <f t="shared" si="0"/>
        <v/>
      </c>
      <c r="H5230" s="26" t="str">
        <f t="shared" si="1"/>
        <v/>
      </c>
      <c r="I5230" s="26" t="str">
        <f t="shared" si="2"/>
        <v/>
      </c>
      <c r="J5230" s="86">
        <f t="shared" si="3"/>
        <v>0</v>
      </c>
      <c r="R5230" s="26"/>
    </row>
    <row r="5231" spans="1:18" ht="15.75" customHeight="1">
      <c r="A5231" s="26"/>
      <c r="B5231" s="86"/>
      <c r="D5231" s="26"/>
      <c r="F5231" s="87" t="str">
        <f t="shared" si="0"/>
        <v/>
      </c>
      <c r="H5231" s="26" t="str">
        <f t="shared" si="1"/>
        <v/>
      </c>
      <c r="I5231" s="26" t="str">
        <f t="shared" si="2"/>
        <v/>
      </c>
      <c r="J5231" s="86">
        <f t="shared" si="3"/>
        <v>0</v>
      </c>
      <c r="R5231" s="26"/>
    </row>
    <row r="5232" spans="1:18" ht="15.75" customHeight="1">
      <c r="A5232" s="26"/>
      <c r="B5232" s="86"/>
      <c r="D5232" s="26"/>
      <c r="F5232" s="87" t="str">
        <f t="shared" si="0"/>
        <v/>
      </c>
      <c r="H5232" s="26" t="str">
        <f t="shared" si="1"/>
        <v/>
      </c>
      <c r="I5232" s="26" t="str">
        <f t="shared" si="2"/>
        <v/>
      </c>
      <c r="J5232" s="86">
        <f t="shared" si="3"/>
        <v>0</v>
      </c>
      <c r="R5232" s="26"/>
    </row>
    <row r="5233" spans="1:18" ht="15.75" customHeight="1">
      <c r="A5233" s="26"/>
      <c r="B5233" s="86"/>
      <c r="D5233" s="26"/>
      <c r="F5233" s="87" t="str">
        <f t="shared" si="0"/>
        <v/>
      </c>
      <c r="H5233" s="26" t="str">
        <f t="shared" si="1"/>
        <v/>
      </c>
      <c r="I5233" s="26" t="str">
        <f t="shared" si="2"/>
        <v/>
      </c>
      <c r="J5233" s="86">
        <f t="shared" si="3"/>
        <v>0</v>
      </c>
      <c r="R5233" s="26"/>
    </row>
    <row r="5234" spans="1:18" ht="15.75" customHeight="1">
      <c r="A5234" s="26"/>
      <c r="B5234" s="86"/>
      <c r="D5234" s="26"/>
      <c r="F5234" s="87" t="str">
        <f t="shared" si="0"/>
        <v/>
      </c>
      <c r="H5234" s="26" t="str">
        <f t="shared" si="1"/>
        <v/>
      </c>
      <c r="I5234" s="26" t="str">
        <f t="shared" si="2"/>
        <v/>
      </c>
      <c r="J5234" s="86">
        <f t="shared" si="3"/>
        <v>0</v>
      </c>
      <c r="R5234" s="26"/>
    </row>
    <row r="5235" spans="1:18" ht="15.75" customHeight="1">
      <c r="A5235" s="26"/>
      <c r="B5235" s="86"/>
      <c r="D5235" s="26"/>
      <c r="F5235" s="87" t="str">
        <f t="shared" si="0"/>
        <v/>
      </c>
      <c r="H5235" s="26" t="str">
        <f t="shared" si="1"/>
        <v/>
      </c>
      <c r="I5235" s="26" t="str">
        <f t="shared" si="2"/>
        <v/>
      </c>
      <c r="J5235" s="86">
        <f t="shared" si="3"/>
        <v>0</v>
      </c>
      <c r="R5235" s="26"/>
    </row>
    <row r="5236" spans="1:18" ht="15.75" customHeight="1">
      <c r="A5236" s="26"/>
      <c r="B5236" s="86"/>
      <c r="D5236" s="26"/>
      <c r="F5236" s="87" t="str">
        <f t="shared" si="0"/>
        <v/>
      </c>
      <c r="H5236" s="26" t="str">
        <f t="shared" si="1"/>
        <v/>
      </c>
      <c r="I5236" s="26" t="str">
        <f t="shared" si="2"/>
        <v/>
      </c>
      <c r="J5236" s="86">
        <f t="shared" si="3"/>
        <v>0</v>
      </c>
      <c r="R5236" s="26"/>
    </row>
    <row r="5237" spans="1:18" ht="15.75" customHeight="1">
      <c r="A5237" s="26"/>
      <c r="B5237" s="86"/>
      <c r="D5237" s="26"/>
      <c r="F5237" s="87" t="str">
        <f t="shared" si="0"/>
        <v/>
      </c>
      <c r="H5237" s="26" t="str">
        <f t="shared" si="1"/>
        <v/>
      </c>
      <c r="I5237" s="26" t="str">
        <f t="shared" si="2"/>
        <v/>
      </c>
      <c r="J5237" s="86">
        <f t="shared" si="3"/>
        <v>0</v>
      </c>
      <c r="R5237" s="26"/>
    </row>
    <row r="5238" spans="1:18" ht="15.75" customHeight="1">
      <c r="A5238" s="26"/>
      <c r="B5238" s="86"/>
      <c r="D5238" s="26"/>
      <c r="F5238" s="87" t="str">
        <f t="shared" si="0"/>
        <v/>
      </c>
      <c r="H5238" s="26" t="str">
        <f t="shared" si="1"/>
        <v/>
      </c>
      <c r="I5238" s="26" t="str">
        <f t="shared" si="2"/>
        <v/>
      </c>
      <c r="J5238" s="86">
        <f t="shared" si="3"/>
        <v>0</v>
      </c>
      <c r="R5238" s="26"/>
    </row>
    <row r="5239" spans="1:18" ht="15.75" customHeight="1">
      <c r="A5239" s="26"/>
      <c r="B5239" s="86"/>
      <c r="D5239" s="26"/>
      <c r="F5239" s="87" t="str">
        <f t="shared" si="0"/>
        <v/>
      </c>
      <c r="H5239" s="26" t="str">
        <f t="shared" si="1"/>
        <v/>
      </c>
      <c r="I5239" s="26" t="str">
        <f t="shared" si="2"/>
        <v/>
      </c>
      <c r="J5239" s="86">
        <f t="shared" si="3"/>
        <v>0</v>
      </c>
      <c r="R5239" s="26"/>
    </row>
    <row r="5240" spans="1:18" ht="15.75" customHeight="1">
      <c r="A5240" s="26"/>
      <c r="B5240" s="86"/>
      <c r="D5240" s="26"/>
      <c r="F5240" s="87" t="str">
        <f t="shared" si="0"/>
        <v/>
      </c>
      <c r="H5240" s="26" t="str">
        <f t="shared" si="1"/>
        <v/>
      </c>
      <c r="I5240" s="26" t="str">
        <f t="shared" si="2"/>
        <v/>
      </c>
      <c r="J5240" s="86">
        <f t="shared" si="3"/>
        <v>0</v>
      </c>
      <c r="R5240" s="26"/>
    </row>
    <row r="5241" spans="1:18" ht="15.75" customHeight="1">
      <c r="A5241" s="26"/>
      <c r="B5241" s="86"/>
      <c r="D5241" s="26"/>
      <c r="F5241" s="87" t="str">
        <f t="shared" si="0"/>
        <v/>
      </c>
      <c r="H5241" s="26" t="str">
        <f t="shared" si="1"/>
        <v/>
      </c>
      <c r="I5241" s="26" t="str">
        <f t="shared" si="2"/>
        <v/>
      </c>
      <c r="J5241" s="86">
        <f t="shared" si="3"/>
        <v>0</v>
      </c>
      <c r="R5241" s="26"/>
    </row>
    <row r="5242" spans="1:18" ht="15.75" customHeight="1">
      <c r="A5242" s="26"/>
      <c r="B5242" s="86"/>
      <c r="D5242" s="26"/>
      <c r="F5242" s="87" t="str">
        <f t="shared" si="0"/>
        <v/>
      </c>
      <c r="H5242" s="26" t="str">
        <f t="shared" si="1"/>
        <v/>
      </c>
      <c r="I5242" s="26" t="str">
        <f t="shared" si="2"/>
        <v/>
      </c>
      <c r="J5242" s="86">
        <f t="shared" si="3"/>
        <v>0</v>
      </c>
      <c r="R5242" s="26"/>
    </row>
    <row r="5243" spans="1:18" ht="15.75" customHeight="1">
      <c r="A5243" s="26"/>
      <c r="B5243" s="86"/>
      <c r="D5243" s="26"/>
      <c r="F5243" s="87" t="str">
        <f t="shared" si="0"/>
        <v/>
      </c>
      <c r="H5243" s="26" t="str">
        <f t="shared" si="1"/>
        <v/>
      </c>
      <c r="I5243" s="26" t="str">
        <f t="shared" si="2"/>
        <v/>
      </c>
      <c r="J5243" s="86">
        <f t="shared" si="3"/>
        <v>0</v>
      </c>
      <c r="R5243" s="26"/>
    </row>
    <row r="5244" spans="1:18" ht="15.75" customHeight="1">
      <c r="A5244" s="26"/>
      <c r="B5244" s="86"/>
      <c r="D5244" s="26"/>
      <c r="F5244" s="87" t="str">
        <f t="shared" si="0"/>
        <v/>
      </c>
      <c r="H5244" s="26" t="str">
        <f t="shared" si="1"/>
        <v/>
      </c>
      <c r="I5244" s="26" t="str">
        <f t="shared" si="2"/>
        <v/>
      </c>
      <c r="J5244" s="86">
        <f t="shared" si="3"/>
        <v>0</v>
      </c>
      <c r="R5244" s="26"/>
    </row>
    <row r="5245" spans="1:18" ht="15.75" customHeight="1">
      <c r="A5245" s="26"/>
      <c r="B5245" s="86"/>
      <c r="D5245" s="26"/>
      <c r="F5245" s="87" t="str">
        <f t="shared" si="0"/>
        <v/>
      </c>
      <c r="H5245" s="26" t="str">
        <f t="shared" si="1"/>
        <v/>
      </c>
      <c r="I5245" s="26" t="str">
        <f t="shared" si="2"/>
        <v/>
      </c>
      <c r="J5245" s="86">
        <f t="shared" si="3"/>
        <v>0</v>
      </c>
      <c r="R5245" s="26"/>
    </row>
    <row r="5246" spans="1:18" ht="15.75" customHeight="1">
      <c r="A5246" s="26"/>
      <c r="B5246" s="86"/>
      <c r="D5246" s="26"/>
      <c r="F5246" s="87" t="str">
        <f t="shared" si="0"/>
        <v/>
      </c>
      <c r="H5246" s="26" t="str">
        <f t="shared" si="1"/>
        <v/>
      </c>
      <c r="I5246" s="26" t="str">
        <f t="shared" si="2"/>
        <v/>
      </c>
      <c r="J5246" s="86">
        <f t="shared" si="3"/>
        <v>0</v>
      </c>
      <c r="R5246" s="26"/>
    </row>
    <row r="5247" spans="1:18" ht="15.75" customHeight="1">
      <c r="A5247" s="26"/>
      <c r="B5247" s="86"/>
      <c r="D5247" s="26"/>
      <c r="F5247" s="87" t="str">
        <f t="shared" si="0"/>
        <v/>
      </c>
      <c r="H5247" s="26" t="str">
        <f t="shared" si="1"/>
        <v/>
      </c>
      <c r="I5247" s="26" t="str">
        <f t="shared" si="2"/>
        <v/>
      </c>
      <c r="J5247" s="86">
        <f t="shared" si="3"/>
        <v>0</v>
      </c>
      <c r="R5247" s="26"/>
    </row>
    <row r="5248" spans="1:18" ht="15.75" customHeight="1">
      <c r="A5248" s="26"/>
      <c r="B5248" s="86"/>
      <c r="D5248" s="26"/>
      <c r="F5248" s="87" t="str">
        <f t="shared" si="0"/>
        <v/>
      </c>
      <c r="H5248" s="26" t="str">
        <f t="shared" si="1"/>
        <v/>
      </c>
      <c r="I5248" s="26" t="str">
        <f t="shared" si="2"/>
        <v/>
      </c>
      <c r="J5248" s="86">
        <f t="shared" si="3"/>
        <v>0</v>
      </c>
      <c r="R5248" s="26"/>
    </row>
    <row r="5249" spans="1:18" ht="15.75" customHeight="1">
      <c r="A5249" s="26"/>
      <c r="B5249" s="86"/>
      <c r="D5249" s="26"/>
      <c r="F5249" s="87" t="str">
        <f t="shared" si="0"/>
        <v/>
      </c>
      <c r="H5249" s="26" t="str">
        <f t="shared" si="1"/>
        <v/>
      </c>
      <c r="I5249" s="26" t="str">
        <f t="shared" si="2"/>
        <v/>
      </c>
      <c r="J5249" s="86">
        <f t="shared" si="3"/>
        <v>0</v>
      </c>
      <c r="R5249" s="26"/>
    </row>
    <row r="5250" spans="1:18" ht="15.75" customHeight="1">
      <c r="A5250" s="26"/>
      <c r="B5250" s="86"/>
      <c r="D5250" s="26"/>
      <c r="F5250" s="87" t="str">
        <f t="shared" si="0"/>
        <v/>
      </c>
      <c r="H5250" s="26" t="str">
        <f t="shared" si="1"/>
        <v/>
      </c>
      <c r="I5250" s="26" t="str">
        <f t="shared" si="2"/>
        <v/>
      </c>
      <c r="J5250" s="86">
        <f t="shared" si="3"/>
        <v>0</v>
      </c>
      <c r="R5250" s="26"/>
    </row>
    <row r="5251" spans="1:18" ht="15.75" customHeight="1">
      <c r="A5251" s="26"/>
      <c r="B5251" s="86"/>
      <c r="D5251" s="26"/>
      <c r="F5251" s="87" t="str">
        <f t="shared" si="0"/>
        <v/>
      </c>
      <c r="H5251" s="26" t="str">
        <f t="shared" si="1"/>
        <v/>
      </c>
      <c r="I5251" s="26" t="str">
        <f t="shared" si="2"/>
        <v/>
      </c>
      <c r="J5251" s="86">
        <f t="shared" si="3"/>
        <v>0</v>
      </c>
      <c r="R5251" s="26"/>
    </row>
    <row r="5252" spans="1:18" ht="15.75" customHeight="1">
      <c r="A5252" s="26"/>
      <c r="B5252" s="86"/>
      <c r="D5252" s="26"/>
      <c r="F5252" s="87" t="str">
        <f t="shared" si="0"/>
        <v/>
      </c>
      <c r="H5252" s="26" t="str">
        <f t="shared" si="1"/>
        <v/>
      </c>
      <c r="I5252" s="26" t="str">
        <f t="shared" si="2"/>
        <v/>
      </c>
      <c r="J5252" s="86">
        <f t="shared" si="3"/>
        <v>0</v>
      </c>
      <c r="R5252" s="26"/>
    </row>
    <row r="5253" spans="1:18" ht="15.75" customHeight="1">
      <c r="A5253" s="26"/>
      <c r="B5253" s="86"/>
      <c r="D5253" s="26"/>
      <c r="F5253" s="87" t="str">
        <f t="shared" si="0"/>
        <v/>
      </c>
      <c r="H5253" s="26" t="str">
        <f t="shared" si="1"/>
        <v/>
      </c>
      <c r="I5253" s="26" t="str">
        <f t="shared" si="2"/>
        <v/>
      </c>
      <c r="J5253" s="86">
        <f t="shared" si="3"/>
        <v>0</v>
      </c>
      <c r="R5253" s="26"/>
    </row>
    <row r="5254" spans="1:18" ht="15.75" customHeight="1">
      <c r="A5254" s="26"/>
      <c r="B5254" s="86"/>
      <c r="D5254" s="26"/>
      <c r="F5254" s="87" t="str">
        <f t="shared" si="0"/>
        <v/>
      </c>
      <c r="H5254" s="26" t="str">
        <f t="shared" si="1"/>
        <v/>
      </c>
      <c r="I5254" s="26" t="str">
        <f t="shared" si="2"/>
        <v/>
      </c>
      <c r="J5254" s="86">
        <f t="shared" si="3"/>
        <v>0</v>
      </c>
      <c r="R5254" s="26"/>
    </row>
    <row r="5255" spans="1:18" ht="15.75" customHeight="1">
      <c r="A5255" s="26"/>
      <c r="B5255" s="86"/>
      <c r="D5255" s="26"/>
      <c r="F5255" s="87" t="str">
        <f t="shared" si="0"/>
        <v/>
      </c>
      <c r="H5255" s="26" t="str">
        <f t="shared" si="1"/>
        <v/>
      </c>
      <c r="I5255" s="26" t="str">
        <f t="shared" si="2"/>
        <v/>
      </c>
      <c r="J5255" s="86">
        <f t="shared" si="3"/>
        <v>0</v>
      </c>
      <c r="R5255" s="26"/>
    </row>
    <row r="5256" spans="1:18" ht="15.75" customHeight="1">
      <c r="A5256" s="26"/>
      <c r="B5256" s="86"/>
      <c r="D5256" s="26"/>
      <c r="F5256" s="87" t="str">
        <f t="shared" si="0"/>
        <v/>
      </c>
      <c r="H5256" s="26" t="str">
        <f t="shared" si="1"/>
        <v/>
      </c>
      <c r="I5256" s="26" t="str">
        <f t="shared" si="2"/>
        <v/>
      </c>
      <c r="J5256" s="86">
        <f t="shared" si="3"/>
        <v>0</v>
      </c>
      <c r="R5256" s="26"/>
    </row>
    <row r="5257" spans="1:18" ht="15.75" customHeight="1">
      <c r="A5257" s="26"/>
      <c r="B5257" s="86"/>
      <c r="D5257" s="26"/>
      <c r="F5257" s="87" t="str">
        <f t="shared" si="0"/>
        <v/>
      </c>
      <c r="H5257" s="26" t="str">
        <f t="shared" si="1"/>
        <v/>
      </c>
      <c r="I5257" s="26" t="str">
        <f t="shared" si="2"/>
        <v/>
      </c>
      <c r="J5257" s="86">
        <f t="shared" si="3"/>
        <v>0</v>
      </c>
      <c r="R5257" s="26"/>
    </row>
    <row r="5258" spans="1:18" ht="15.75" customHeight="1">
      <c r="A5258" s="26"/>
      <c r="B5258" s="86"/>
      <c r="D5258" s="26"/>
      <c r="F5258" s="87" t="str">
        <f t="shared" si="0"/>
        <v/>
      </c>
      <c r="H5258" s="26" t="str">
        <f t="shared" si="1"/>
        <v/>
      </c>
      <c r="I5258" s="26" t="str">
        <f t="shared" si="2"/>
        <v/>
      </c>
      <c r="J5258" s="86">
        <f t="shared" si="3"/>
        <v>0</v>
      </c>
      <c r="R5258" s="26"/>
    </row>
    <row r="5259" spans="1:18" ht="15.75" customHeight="1">
      <c r="A5259" s="26"/>
      <c r="B5259" s="86"/>
      <c r="D5259" s="26"/>
      <c r="F5259" s="87" t="str">
        <f t="shared" si="0"/>
        <v/>
      </c>
      <c r="H5259" s="26" t="str">
        <f t="shared" si="1"/>
        <v/>
      </c>
      <c r="I5259" s="26" t="str">
        <f t="shared" si="2"/>
        <v/>
      </c>
      <c r="J5259" s="86">
        <f t="shared" si="3"/>
        <v>0</v>
      </c>
      <c r="R5259" s="26"/>
    </row>
    <row r="5260" spans="1:18" ht="15.75" customHeight="1">
      <c r="A5260" s="26"/>
      <c r="B5260" s="86"/>
      <c r="D5260" s="26"/>
      <c r="F5260" s="87" t="str">
        <f t="shared" si="0"/>
        <v/>
      </c>
      <c r="H5260" s="26" t="str">
        <f t="shared" si="1"/>
        <v/>
      </c>
      <c r="I5260" s="26" t="str">
        <f t="shared" si="2"/>
        <v/>
      </c>
      <c r="J5260" s="86">
        <f t="shared" si="3"/>
        <v>0</v>
      </c>
      <c r="R5260" s="26"/>
    </row>
    <row r="5261" spans="1:18" ht="15.75" customHeight="1">
      <c r="A5261" s="26"/>
      <c r="B5261" s="86"/>
      <c r="D5261" s="26"/>
      <c r="F5261" s="87" t="str">
        <f t="shared" si="0"/>
        <v/>
      </c>
      <c r="H5261" s="26" t="str">
        <f t="shared" si="1"/>
        <v/>
      </c>
      <c r="I5261" s="26" t="str">
        <f t="shared" si="2"/>
        <v/>
      </c>
      <c r="J5261" s="86">
        <f t="shared" si="3"/>
        <v>0</v>
      </c>
      <c r="R5261" s="26"/>
    </row>
    <row r="5262" spans="1:18" ht="15.75" customHeight="1">
      <c r="A5262" s="26"/>
      <c r="B5262" s="86"/>
      <c r="D5262" s="26"/>
      <c r="F5262" s="87" t="str">
        <f t="shared" si="0"/>
        <v/>
      </c>
      <c r="H5262" s="26" t="str">
        <f t="shared" si="1"/>
        <v/>
      </c>
      <c r="I5262" s="26" t="str">
        <f t="shared" si="2"/>
        <v/>
      </c>
      <c r="J5262" s="86">
        <f t="shared" si="3"/>
        <v>0</v>
      </c>
      <c r="R5262" s="26"/>
    </row>
    <row r="5263" spans="1:18" ht="15.75" customHeight="1">
      <c r="A5263" s="26"/>
      <c r="B5263" s="86"/>
      <c r="D5263" s="26"/>
      <c r="F5263" s="87" t="str">
        <f t="shared" si="0"/>
        <v/>
      </c>
      <c r="H5263" s="26" t="str">
        <f t="shared" si="1"/>
        <v/>
      </c>
      <c r="I5263" s="26" t="str">
        <f t="shared" si="2"/>
        <v/>
      </c>
      <c r="J5263" s="86">
        <f t="shared" si="3"/>
        <v>0</v>
      </c>
      <c r="R5263" s="26"/>
    </row>
    <row r="5264" spans="1:18" ht="15.75" customHeight="1">
      <c r="A5264" s="26"/>
      <c r="B5264" s="86"/>
      <c r="D5264" s="26"/>
      <c r="F5264" s="87" t="str">
        <f t="shared" si="0"/>
        <v/>
      </c>
      <c r="H5264" s="26" t="str">
        <f t="shared" si="1"/>
        <v/>
      </c>
      <c r="I5264" s="26" t="str">
        <f t="shared" si="2"/>
        <v/>
      </c>
      <c r="J5264" s="86">
        <f t="shared" si="3"/>
        <v>0</v>
      </c>
      <c r="R5264" s="26"/>
    </row>
    <row r="5265" spans="1:18" ht="15.75" customHeight="1">
      <c r="A5265" s="26"/>
      <c r="B5265" s="86"/>
      <c r="D5265" s="26"/>
      <c r="F5265" s="87" t="str">
        <f t="shared" si="0"/>
        <v/>
      </c>
      <c r="H5265" s="26" t="str">
        <f t="shared" si="1"/>
        <v/>
      </c>
      <c r="I5265" s="26" t="str">
        <f t="shared" si="2"/>
        <v/>
      </c>
      <c r="J5265" s="86">
        <f t="shared" si="3"/>
        <v>0</v>
      </c>
      <c r="R5265" s="26"/>
    </row>
    <row r="5266" spans="1:18" ht="15.75" customHeight="1">
      <c r="A5266" s="26"/>
      <c r="B5266" s="86"/>
      <c r="D5266" s="26"/>
      <c r="F5266" s="87" t="str">
        <f t="shared" si="0"/>
        <v/>
      </c>
      <c r="H5266" s="26" t="str">
        <f t="shared" si="1"/>
        <v/>
      </c>
      <c r="I5266" s="26" t="str">
        <f t="shared" si="2"/>
        <v/>
      </c>
      <c r="J5266" s="86">
        <f t="shared" si="3"/>
        <v>0</v>
      </c>
      <c r="R5266" s="26"/>
    </row>
    <row r="5267" spans="1:18" ht="15.75" customHeight="1">
      <c r="A5267" s="26"/>
      <c r="B5267" s="86"/>
      <c r="D5267" s="26"/>
      <c r="F5267" s="87" t="str">
        <f t="shared" si="0"/>
        <v/>
      </c>
      <c r="H5267" s="26" t="str">
        <f t="shared" si="1"/>
        <v/>
      </c>
      <c r="I5267" s="26" t="str">
        <f t="shared" si="2"/>
        <v/>
      </c>
      <c r="J5267" s="86">
        <f t="shared" si="3"/>
        <v>0</v>
      </c>
      <c r="R5267" s="26"/>
    </row>
    <row r="5268" spans="1:18" ht="15.75" customHeight="1">
      <c r="A5268" s="26"/>
      <c r="B5268" s="86"/>
      <c r="D5268" s="26"/>
      <c r="F5268" s="87" t="str">
        <f t="shared" si="0"/>
        <v/>
      </c>
      <c r="H5268" s="26" t="str">
        <f t="shared" si="1"/>
        <v/>
      </c>
      <c r="I5268" s="26" t="str">
        <f t="shared" si="2"/>
        <v/>
      </c>
      <c r="J5268" s="86">
        <f t="shared" si="3"/>
        <v>0</v>
      </c>
      <c r="R5268" s="26"/>
    </row>
    <row r="5269" spans="1:18" ht="15.75" customHeight="1">
      <c r="A5269" s="26"/>
      <c r="B5269" s="86"/>
      <c r="D5269" s="26"/>
      <c r="F5269" s="87" t="str">
        <f t="shared" si="0"/>
        <v/>
      </c>
      <c r="H5269" s="26" t="str">
        <f t="shared" si="1"/>
        <v/>
      </c>
      <c r="I5269" s="26" t="str">
        <f t="shared" si="2"/>
        <v/>
      </c>
      <c r="J5269" s="86">
        <f t="shared" si="3"/>
        <v>0</v>
      </c>
      <c r="R5269" s="26"/>
    </row>
    <row r="5270" spans="1:18" ht="15.75" customHeight="1">
      <c r="A5270" s="26"/>
      <c r="B5270" s="86"/>
      <c r="D5270" s="26"/>
      <c r="F5270" s="87" t="str">
        <f t="shared" si="0"/>
        <v/>
      </c>
      <c r="H5270" s="26" t="str">
        <f t="shared" si="1"/>
        <v/>
      </c>
      <c r="I5270" s="26" t="str">
        <f t="shared" si="2"/>
        <v/>
      </c>
      <c r="J5270" s="86">
        <f t="shared" si="3"/>
        <v>0</v>
      </c>
      <c r="R5270" s="26"/>
    </row>
    <row r="5271" spans="1:18" ht="15.75" customHeight="1">
      <c r="A5271" s="26"/>
      <c r="B5271" s="86"/>
      <c r="D5271" s="26"/>
      <c r="F5271" s="87" t="str">
        <f t="shared" si="0"/>
        <v/>
      </c>
      <c r="H5271" s="26" t="str">
        <f t="shared" si="1"/>
        <v/>
      </c>
      <c r="I5271" s="26" t="str">
        <f t="shared" si="2"/>
        <v/>
      </c>
      <c r="J5271" s="86">
        <f t="shared" si="3"/>
        <v>0</v>
      </c>
      <c r="R5271" s="26"/>
    </row>
    <row r="5272" spans="1:18" ht="15.75" customHeight="1">
      <c r="A5272" s="26"/>
      <c r="B5272" s="86"/>
      <c r="D5272" s="26"/>
      <c r="F5272" s="87" t="str">
        <f t="shared" si="0"/>
        <v/>
      </c>
      <c r="H5272" s="26" t="str">
        <f t="shared" si="1"/>
        <v/>
      </c>
      <c r="I5272" s="26" t="str">
        <f t="shared" si="2"/>
        <v/>
      </c>
      <c r="J5272" s="86">
        <f t="shared" si="3"/>
        <v>0</v>
      </c>
      <c r="R5272" s="26"/>
    </row>
    <row r="5273" spans="1:18" ht="15.75" customHeight="1">
      <c r="A5273" s="26"/>
      <c r="B5273" s="86"/>
      <c r="D5273" s="26"/>
      <c r="F5273" s="87" t="str">
        <f t="shared" si="0"/>
        <v/>
      </c>
      <c r="H5273" s="26" t="str">
        <f t="shared" si="1"/>
        <v/>
      </c>
      <c r="I5273" s="26" t="str">
        <f t="shared" si="2"/>
        <v/>
      </c>
      <c r="J5273" s="86">
        <f t="shared" si="3"/>
        <v>0</v>
      </c>
      <c r="R5273" s="26"/>
    </row>
    <row r="5274" spans="1:18" ht="15.75" customHeight="1">
      <c r="A5274" s="26"/>
      <c r="B5274" s="86"/>
      <c r="D5274" s="26"/>
      <c r="F5274" s="87" t="str">
        <f t="shared" si="0"/>
        <v/>
      </c>
      <c r="H5274" s="26" t="str">
        <f t="shared" si="1"/>
        <v/>
      </c>
      <c r="I5274" s="26" t="str">
        <f t="shared" si="2"/>
        <v/>
      </c>
      <c r="J5274" s="86">
        <f t="shared" si="3"/>
        <v>0</v>
      </c>
      <c r="R5274" s="26"/>
    </row>
    <row r="5275" spans="1:18" ht="15.75" customHeight="1">
      <c r="A5275" s="26"/>
      <c r="B5275" s="86"/>
      <c r="D5275" s="26"/>
      <c r="F5275" s="87" t="str">
        <f t="shared" si="0"/>
        <v/>
      </c>
      <c r="H5275" s="26" t="str">
        <f t="shared" si="1"/>
        <v/>
      </c>
      <c r="I5275" s="26" t="str">
        <f t="shared" si="2"/>
        <v/>
      </c>
      <c r="J5275" s="86">
        <f t="shared" si="3"/>
        <v>0</v>
      </c>
      <c r="R5275" s="26"/>
    </row>
    <row r="5276" spans="1:18" ht="15.75" customHeight="1">
      <c r="A5276" s="26"/>
      <c r="B5276" s="86"/>
      <c r="D5276" s="26"/>
      <c r="F5276" s="87" t="str">
        <f t="shared" si="0"/>
        <v/>
      </c>
      <c r="H5276" s="26" t="str">
        <f t="shared" si="1"/>
        <v/>
      </c>
      <c r="I5276" s="26" t="str">
        <f t="shared" si="2"/>
        <v/>
      </c>
      <c r="J5276" s="86">
        <f t="shared" si="3"/>
        <v>0</v>
      </c>
      <c r="R5276" s="26"/>
    </row>
    <row r="5277" spans="1:18" ht="15.75" customHeight="1">
      <c r="A5277" s="26"/>
      <c r="B5277" s="86"/>
      <c r="D5277" s="26"/>
      <c r="F5277" s="87" t="str">
        <f t="shared" si="0"/>
        <v/>
      </c>
      <c r="H5277" s="26" t="str">
        <f t="shared" si="1"/>
        <v/>
      </c>
      <c r="I5277" s="26" t="str">
        <f t="shared" si="2"/>
        <v/>
      </c>
      <c r="J5277" s="86">
        <f t="shared" si="3"/>
        <v>0</v>
      </c>
      <c r="R5277" s="26"/>
    </row>
    <row r="5278" spans="1:18" ht="15.75" customHeight="1">
      <c r="A5278" s="26"/>
      <c r="B5278" s="86"/>
      <c r="D5278" s="26"/>
      <c r="F5278" s="87" t="str">
        <f t="shared" si="0"/>
        <v/>
      </c>
      <c r="H5278" s="26" t="str">
        <f t="shared" si="1"/>
        <v/>
      </c>
      <c r="I5278" s="26" t="str">
        <f t="shared" si="2"/>
        <v/>
      </c>
      <c r="J5278" s="86">
        <f t="shared" si="3"/>
        <v>0</v>
      </c>
      <c r="R5278" s="26"/>
    </row>
    <row r="5279" spans="1:18" ht="15.75" customHeight="1">
      <c r="A5279" s="26"/>
      <c r="B5279" s="86"/>
      <c r="D5279" s="26"/>
      <c r="F5279" s="87" t="str">
        <f t="shared" si="0"/>
        <v/>
      </c>
      <c r="H5279" s="26" t="str">
        <f t="shared" si="1"/>
        <v/>
      </c>
      <c r="I5279" s="26" t="str">
        <f t="shared" si="2"/>
        <v/>
      </c>
      <c r="J5279" s="86">
        <f t="shared" si="3"/>
        <v>0</v>
      </c>
      <c r="R5279" s="26"/>
    </row>
    <row r="5280" spans="1:18" ht="15.75" customHeight="1">
      <c r="A5280" s="26"/>
      <c r="B5280" s="86"/>
      <c r="D5280" s="26"/>
      <c r="F5280" s="87" t="str">
        <f t="shared" si="0"/>
        <v/>
      </c>
      <c r="H5280" s="26" t="str">
        <f t="shared" si="1"/>
        <v/>
      </c>
      <c r="I5280" s="26" t="str">
        <f t="shared" si="2"/>
        <v/>
      </c>
      <c r="J5280" s="86">
        <f t="shared" si="3"/>
        <v>0</v>
      </c>
      <c r="R5280" s="26"/>
    </row>
    <row r="5281" spans="1:18" ht="15.75" customHeight="1">
      <c r="A5281" s="26"/>
      <c r="B5281" s="86"/>
      <c r="D5281" s="26"/>
      <c r="F5281" s="87" t="str">
        <f t="shared" si="0"/>
        <v/>
      </c>
      <c r="H5281" s="26" t="str">
        <f t="shared" si="1"/>
        <v/>
      </c>
      <c r="I5281" s="26" t="str">
        <f t="shared" si="2"/>
        <v/>
      </c>
      <c r="J5281" s="86">
        <f t="shared" si="3"/>
        <v>0</v>
      </c>
      <c r="R5281" s="26"/>
    </row>
    <row r="5282" spans="1:18" ht="15.75" customHeight="1">
      <c r="A5282" s="26"/>
      <c r="B5282" s="86"/>
      <c r="D5282" s="26"/>
      <c r="F5282" s="87" t="str">
        <f t="shared" si="0"/>
        <v/>
      </c>
      <c r="H5282" s="26" t="str">
        <f t="shared" si="1"/>
        <v/>
      </c>
      <c r="I5282" s="26" t="str">
        <f t="shared" si="2"/>
        <v/>
      </c>
      <c r="J5282" s="86">
        <f t="shared" si="3"/>
        <v>0</v>
      </c>
      <c r="R5282" s="26"/>
    </row>
    <row r="5283" spans="1:18" ht="15.75" customHeight="1">
      <c r="A5283" s="26"/>
      <c r="B5283" s="86"/>
      <c r="D5283" s="26"/>
      <c r="F5283" s="87" t="str">
        <f t="shared" si="0"/>
        <v/>
      </c>
      <c r="H5283" s="26" t="str">
        <f t="shared" si="1"/>
        <v/>
      </c>
      <c r="I5283" s="26" t="str">
        <f t="shared" si="2"/>
        <v/>
      </c>
      <c r="J5283" s="86">
        <f t="shared" si="3"/>
        <v>0</v>
      </c>
      <c r="R5283" s="26"/>
    </row>
    <row r="5284" spans="1:18" ht="15.75" customHeight="1">
      <c r="A5284" s="26"/>
      <c r="B5284" s="86"/>
      <c r="D5284" s="26"/>
      <c r="F5284" s="87" t="str">
        <f t="shared" si="0"/>
        <v/>
      </c>
      <c r="H5284" s="26" t="str">
        <f t="shared" si="1"/>
        <v/>
      </c>
      <c r="I5284" s="26" t="str">
        <f t="shared" si="2"/>
        <v/>
      </c>
      <c r="J5284" s="86">
        <f t="shared" si="3"/>
        <v>0</v>
      </c>
      <c r="R5284" s="26"/>
    </row>
    <row r="5285" spans="1:18" ht="15.75" customHeight="1">
      <c r="A5285" s="26"/>
      <c r="B5285" s="86"/>
      <c r="D5285" s="26"/>
      <c r="F5285" s="87" t="str">
        <f t="shared" si="0"/>
        <v/>
      </c>
      <c r="H5285" s="26" t="str">
        <f t="shared" si="1"/>
        <v/>
      </c>
      <c r="I5285" s="26" t="str">
        <f t="shared" si="2"/>
        <v/>
      </c>
      <c r="J5285" s="86">
        <f t="shared" si="3"/>
        <v>0</v>
      </c>
      <c r="R5285" s="26"/>
    </row>
    <row r="5286" spans="1:18" ht="15.75" customHeight="1">
      <c r="A5286" s="26"/>
      <c r="B5286" s="86"/>
      <c r="D5286" s="26"/>
      <c r="F5286" s="87" t="str">
        <f t="shared" si="0"/>
        <v/>
      </c>
      <c r="H5286" s="26" t="str">
        <f t="shared" si="1"/>
        <v/>
      </c>
      <c r="I5286" s="26" t="str">
        <f t="shared" si="2"/>
        <v/>
      </c>
      <c r="J5286" s="86">
        <f t="shared" si="3"/>
        <v>0</v>
      </c>
      <c r="R5286" s="26"/>
    </row>
    <row r="5287" spans="1:18" ht="15.75" customHeight="1">
      <c r="A5287" s="26"/>
      <c r="B5287" s="86"/>
      <c r="D5287" s="26"/>
      <c r="F5287" s="87" t="str">
        <f t="shared" si="0"/>
        <v/>
      </c>
      <c r="H5287" s="26" t="str">
        <f t="shared" si="1"/>
        <v/>
      </c>
      <c r="I5287" s="26" t="str">
        <f t="shared" si="2"/>
        <v/>
      </c>
      <c r="J5287" s="86">
        <f t="shared" si="3"/>
        <v>0</v>
      </c>
      <c r="R5287" s="26"/>
    </row>
    <row r="5288" spans="1:18" ht="15.75" customHeight="1">
      <c r="A5288" s="26"/>
      <c r="B5288" s="86"/>
      <c r="D5288" s="26"/>
      <c r="F5288" s="87" t="str">
        <f t="shared" si="0"/>
        <v/>
      </c>
      <c r="H5288" s="26" t="str">
        <f t="shared" si="1"/>
        <v/>
      </c>
      <c r="I5288" s="26" t="str">
        <f t="shared" si="2"/>
        <v/>
      </c>
      <c r="J5288" s="86">
        <f t="shared" si="3"/>
        <v>0</v>
      </c>
      <c r="R5288" s="26"/>
    </row>
    <row r="5289" spans="1:18" ht="15.75" customHeight="1">
      <c r="A5289" s="26"/>
      <c r="B5289" s="86"/>
      <c r="D5289" s="26"/>
      <c r="F5289" s="87" t="str">
        <f t="shared" si="0"/>
        <v/>
      </c>
      <c r="H5289" s="26" t="str">
        <f t="shared" si="1"/>
        <v/>
      </c>
      <c r="I5289" s="26" t="str">
        <f t="shared" si="2"/>
        <v/>
      </c>
      <c r="J5289" s="86">
        <f t="shared" si="3"/>
        <v>0</v>
      </c>
      <c r="R5289" s="26"/>
    </row>
    <row r="5290" spans="1:18" ht="15.75" customHeight="1">
      <c r="A5290" s="26"/>
      <c r="B5290" s="86"/>
      <c r="D5290" s="26"/>
      <c r="F5290" s="87" t="str">
        <f t="shared" si="0"/>
        <v/>
      </c>
      <c r="H5290" s="26" t="str">
        <f t="shared" si="1"/>
        <v/>
      </c>
      <c r="I5290" s="26" t="str">
        <f t="shared" si="2"/>
        <v/>
      </c>
      <c r="J5290" s="86">
        <f t="shared" si="3"/>
        <v>0</v>
      </c>
      <c r="R5290" s="26"/>
    </row>
    <row r="5291" spans="1:18" ht="15.75" customHeight="1">
      <c r="A5291" s="26"/>
      <c r="B5291" s="86"/>
      <c r="D5291" s="26"/>
      <c r="F5291" s="87" t="str">
        <f t="shared" si="0"/>
        <v/>
      </c>
      <c r="H5291" s="26" t="str">
        <f t="shared" si="1"/>
        <v/>
      </c>
      <c r="I5291" s="26" t="str">
        <f t="shared" si="2"/>
        <v/>
      </c>
      <c r="J5291" s="86">
        <f t="shared" si="3"/>
        <v>0</v>
      </c>
      <c r="R5291" s="26"/>
    </row>
    <row r="5292" spans="1:18" ht="15.75" customHeight="1">
      <c r="A5292" s="26"/>
      <c r="B5292" s="86"/>
      <c r="D5292" s="26"/>
      <c r="F5292" s="87" t="str">
        <f t="shared" si="0"/>
        <v/>
      </c>
      <c r="H5292" s="26" t="str">
        <f t="shared" si="1"/>
        <v/>
      </c>
      <c r="I5292" s="26" t="str">
        <f t="shared" si="2"/>
        <v/>
      </c>
      <c r="J5292" s="86">
        <f t="shared" si="3"/>
        <v>0</v>
      </c>
      <c r="R5292" s="26"/>
    </row>
    <row r="5293" spans="1:18" ht="15.75" customHeight="1">
      <c r="A5293" s="26"/>
      <c r="B5293" s="86"/>
      <c r="D5293" s="26"/>
      <c r="F5293" s="87" t="str">
        <f t="shared" si="0"/>
        <v/>
      </c>
      <c r="H5293" s="26" t="str">
        <f t="shared" si="1"/>
        <v/>
      </c>
      <c r="I5293" s="26" t="str">
        <f t="shared" si="2"/>
        <v/>
      </c>
      <c r="J5293" s="86">
        <f t="shared" si="3"/>
        <v>0</v>
      </c>
      <c r="R5293" s="26"/>
    </row>
    <row r="5294" spans="1:18" ht="15.75" customHeight="1">
      <c r="A5294" s="26"/>
      <c r="B5294" s="86"/>
      <c r="D5294" s="26"/>
      <c r="F5294" s="87" t="str">
        <f t="shared" si="0"/>
        <v/>
      </c>
      <c r="H5294" s="26" t="str">
        <f t="shared" si="1"/>
        <v/>
      </c>
      <c r="I5294" s="26" t="str">
        <f t="shared" si="2"/>
        <v/>
      </c>
      <c r="J5294" s="86">
        <f t="shared" si="3"/>
        <v>0</v>
      </c>
      <c r="R5294" s="26"/>
    </row>
    <row r="5295" spans="1:18" ht="15.75" customHeight="1">
      <c r="A5295" s="26"/>
      <c r="B5295" s="86"/>
      <c r="D5295" s="26"/>
      <c r="F5295" s="87" t="str">
        <f t="shared" si="0"/>
        <v/>
      </c>
      <c r="H5295" s="26" t="str">
        <f t="shared" si="1"/>
        <v/>
      </c>
      <c r="I5295" s="26" t="str">
        <f t="shared" si="2"/>
        <v/>
      </c>
      <c r="J5295" s="86">
        <f t="shared" si="3"/>
        <v>0</v>
      </c>
      <c r="R5295" s="26"/>
    </row>
    <row r="5296" spans="1:18" ht="15.75" customHeight="1">
      <c r="A5296" s="26"/>
      <c r="B5296" s="86"/>
      <c r="D5296" s="26"/>
      <c r="F5296" s="87" t="str">
        <f t="shared" si="0"/>
        <v/>
      </c>
      <c r="H5296" s="26" t="str">
        <f t="shared" si="1"/>
        <v/>
      </c>
      <c r="I5296" s="26" t="str">
        <f t="shared" si="2"/>
        <v/>
      </c>
      <c r="J5296" s="86">
        <f t="shared" si="3"/>
        <v>0</v>
      </c>
      <c r="R5296" s="26"/>
    </row>
    <row r="5297" spans="1:18" ht="15.75" customHeight="1">
      <c r="A5297" s="26"/>
      <c r="B5297" s="86"/>
      <c r="D5297" s="26"/>
      <c r="F5297" s="87" t="str">
        <f t="shared" si="0"/>
        <v/>
      </c>
      <c r="H5297" s="26" t="str">
        <f t="shared" si="1"/>
        <v/>
      </c>
      <c r="I5297" s="26" t="str">
        <f t="shared" si="2"/>
        <v/>
      </c>
      <c r="J5297" s="86">
        <f t="shared" si="3"/>
        <v>0</v>
      </c>
      <c r="R5297" s="26"/>
    </row>
    <row r="5298" spans="1:18" ht="15.75" customHeight="1">
      <c r="A5298" s="26"/>
      <c r="B5298" s="86"/>
      <c r="D5298" s="26"/>
      <c r="F5298" s="87" t="str">
        <f t="shared" si="0"/>
        <v/>
      </c>
      <c r="H5298" s="26" t="str">
        <f t="shared" si="1"/>
        <v/>
      </c>
      <c r="I5298" s="26" t="str">
        <f t="shared" si="2"/>
        <v/>
      </c>
      <c r="J5298" s="86">
        <f t="shared" si="3"/>
        <v>0</v>
      </c>
      <c r="R5298" s="26"/>
    </row>
    <row r="5299" spans="1:18" ht="15.75" customHeight="1">
      <c r="A5299" s="26"/>
      <c r="B5299" s="86"/>
      <c r="D5299" s="26"/>
      <c r="F5299" s="87" t="str">
        <f t="shared" si="0"/>
        <v/>
      </c>
      <c r="H5299" s="26" t="str">
        <f t="shared" si="1"/>
        <v/>
      </c>
      <c r="I5299" s="26" t="str">
        <f t="shared" si="2"/>
        <v/>
      </c>
      <c r="J5299" s="86">
        <f t="shared" si="3"/>
        <v>0</v>
      </c>
      <c r="R5299" s="26"/>
    </row>
    <row r="5300" spans="1:18" ht="15.75" customHeight="1">
      <c r="A5300" s="26"/>
      <c r="B5300" s="86"/>
      <c r="D5300" s="26"/>
      <c r="F5300" s="87" t="str">
        <f t="shared" si="0"/>
        <v/>
      </c>
      <c r="H5300" s="26" t="str">
        <f t="shared" si="1"/>
        <v/>
      </c>
      <c r="I5300" s="26" t="str">
        <f t="shared" si="2"/>
        <v/>
      </c>
      <c r="J5300" s="86">
        <f t="shared" si="3"/>
        <v>0</v>
      </c>
      <c r="R5300" s="26"/>
    </row>
    <row r="5301" spans="1:18" ht="15.75" customHeight="1">
      <c r="A5301" s="26"/>
      <c r="B5301" s="86"/>
      <c r="D5301" s="26"/>
      <c r="F5301" s="87" t="str">
        <f t="shared" si="0"/>
        <v/>
      </c>
      <c r="H5301" s="26" t="str">
        <f t="shared" si="1"/>
        <v/>
      </c>
      <c r="I5301" s="26" t="str">
        <f t="shared" si="2"/>
        <v/>
      </c>
      <c r="J5301" s="86">
        <f t="shared" si="3"/>
        <v>0</v>
      </c>
      <c r="R5301" s="26"/>
    </row>
    <row r="5302" spans="1:18" ht="15.75" customHeight="1">
      <c r="A5302" s="26"/>
      <c r="B5302" s="86"/>
      <c r="D5302" s="26"/>
      <c r="F5302" s="87" t="str">
        <f t="shared" si="0"/>
        <v/>
      </c>
      <c r="H5302" s="26" t="str">
        <f t="shared" si="1"/>
        <v/>
      </c>
      <c r="I5302" s="26" t="str">
        <f t="shared" si="2"/>
        <v/>
      </c>
      <c r="J5302" s="86">
        <f t="shared" si="3"/>
        <v>0</v>
      </c>
      <c r="R5302" s="26"/>
    </row>
    <row r="5303" spans="1:18" ht="15.75" customHeight="1">
      <c r="A5303" s="26"/>
      <c r="B5303" s="86"/>
      <c r="D5303" s="26"/>
      <c r="F5303" s="87" t="str">
        <f t="shared" si="0"/>
        <v/>
      </c>
      <c r="H5303" s="26" t="str">
        <f t="shared" si="1"/>
        <v/>
      </c>
      <c r="I5303" s="26" t="str">
        <f t="shared" si="2"/>
        <v/>
      </c>
      <c r="J5303" s="86">
        <f t="shared" si="3"/>
        <v>0</v>
      </c>
      <c r="R5303" s="26"/>
    </row>
    <row r="5304" spans="1:18" ht="15.75" customHeight="1">
      <c r="A5304" s="26"/>
      <c r="B5304" s="86"/>
      <c r="D5304" s="26"/>
      <c r="F5304" s="87" t="str">
        <f t="shared" si="0"/>
        <v/>
      </c>
      <c r="H5304" s="26" t="str">
        <f t="shared" si="1"/>
        <v/>
      </c>
      <c r="I5304" s="26" t="str">
        <f t="shared" si="2"/>
        <v/>
      </c>
      <c r="J5304" s="86">
        <f t="shared" si="3"/>
        <v>0</v>
      </c>
      <c r="R5304" s="26"/>
    </row>
    <row r="5305" spans="1:18" ht="15.75" customHeight="1">
      <c r="A5305" s="26"/>
      <c r="B5305" s="86"/>
      <c r="D5305" s="26"/>
      <c r="F5305" s="87" t="str">
        <f t="shared" si="0"/>
        <v/>
      </c>
      <c r="H5305" s="26" t="str">
        <f t="shared" si="1"/>
        <v/>
      </c>
      <c r="I5305" s="26" t="str">
        <f t="shared" si="2"/>
        <v/>
      </c>
      <c r="J5305" s="86">
        <f t="shared" si="3"/>
        <v>0</v>
      </c>
      <c r="R5305" s="26"/>
    </row>
    <row r="5306" spans="1:18" ht="15.75" customHeight="1">
      <c r="A5306" s="26"/>
      <c r="B5306" s="86"/>
      <c r="D5306" s="26"/>
      <c r="F5306" s="87" t="str">
        <f t="shared" si="0"/>
        <v/>
      </c>
      <c r="H5306" s="26" t="str">
        <f t="shared" si="1"/>
        <v/>
      </c>
      <c r="I5306" s="26" t="str">
        <f t="shared" si="2"/>
        <v/>
      </c>
      <c r="J5306" s="86">
        <f t="shared" si="3"/>
        <v>0</v>
      </c>
      <c r="R5306" s="26"/>
    </row>
    <row r="5307" spans="1:18" ht="15.75" customHeight="1">
      <c r="A5307" s="26"/>
      <c r="B5307" s="86"/>
      <c r="D5307" s="26"/>
      <c r="F5307" s="87" t="str">
        <f t="shared" si="0"/>
        <v/>
      </c>
      <c r="H5307" s="26" t="str">
        <f t="shared" si="1"/>
        <v/>
      </c>
      <c r="I5307" s="26" t="str">
        <f t="shared" si="2"/>
        <v/>
      </c>
      <c r="J5307" s="86">
        <f t="shared" si="3"/>
        <v>0</v>
      </c>
      <c r="R5307" s="26"/>
    </row>
    <row r="5308" spans="1:18" ht="15.75" customHeight="1">
      <c r="A5308" s="26"/>
      <c r="B5308" s="86"/>
      <c r="D5308" s="26"/>
      <c r="F5308" s="87" t="str">
        <f t="shared" si="0"/>
        <v/>
      </c>
      <c r="H5308" s="26" t="str">
        <f t="shared" si="1"/>
        <v/>
      </c>
      <c r="I5308" s="26" t="str">
        <f t="shared" si="2"/>
        <v/>
      </c>
      <c r="J5308" s="86">
        <f t="shared" si="3"/>
        <v>0</v>
      </c>
      <c r="R5308" s="26"/>
    </row>
    <row r="5309" spans="1:18" ht="15.75" customHeight="1">
      <c r="A5309" s="26"/>
      <c r="B5309" s="86"/>
      <c r="D5309" s="26"/>
      <c r="F5309" s="87" t="str">
        <f t="shared" si="0"/>
        <v/>
      </c>
      <c r="H5309" s="26" t="str">
        <f t="shared" si="1"/>
        <v/>
      </c>
      <c r="I5309" s="26" t="str">
        <f t="shared" si="2"/>
        <v/>
      </c>
      <c r="J5309" s="86">
        <f t="shared" si="3"/>
        <v>0</v>
      </c>
      <c r="R5309" s="26"/>
    </row>
    <row r="5310" spans="1:18" ht="15.75" customHeight="1">
      <c r="A5310" s="26"/>
      <c r="B5310" s="86"/>
      <c r="D5310" s="26"/>
      <c r="F5310" s="87" t="str">
        <f t="shared" si="0"/>
        <v/>
      </c>
      <c r="H5310" s="26" t="str">
        <f t="shared" si="1"/>
        <v/>
      </c>
      <c r="I5310" s="26" t="str">
        <f t="shared" si="2"/>
        <v/>
      </c>
      <c r="J5310" s="86">
        <f t="shared" si="3"/>
        <v>0</v>
      </c>
      <c r="R5310" s="26"/>
    </row>
    <row r="5311" spans="1:18" ht="15.75" customHeight="1">
      <c r="A5311" s="26"/>
      <c r="B5311" s="86"/>
      <c r="D5311" s="26"/>
      <c r="F5311" s="87" t="str">
        <f t="shared" si="0"/>
        <v/>
      </c>
      <c r="H5311" s="26" t="str">
        <f t="shared" si="1"/>
        <v/>
      </c>
      <c r="I5311" s="26" t="str">
        <f t="shared" si="2"/>
        <v/>
      </c>
      <c r="J5311" s="86">
        <f t="shared" si="3"/>
        <v>0</v>
      </c>
      <c r="R5311" s="26"/>
    </row>
    <row r="5312" spans="1:18" ht="15.75" customHeight="1">
      <c r="A5312" s="26"/>
      <c r="B5312" s="86"/>
      <c r="D5312" s="26"/>
      <c r="F5312" s="87" t="str">
        <f t="shared" si="0"/>
        <v/>
      </c>
      <c r="H5312" s="26" t="str">
        <f t="shared" si="1"/>
        <v/>
      </c>
      <c r="I5312" s="26" t="str">
        <f t="shared" si="2"/>
        <v/>
      </c>
      <c r="J5312" s="86">
        <f t="shared" si="3"/>
        <v>0</v>
      </c>
      <c r="R5312" s="26"/>
    </row>
    <row r="5313" spans="1:18" ht="15.75" customHeight="1">
      <c r="A5313" s="26"/>
      <c r="B5313" s="86"/>
      <c r="D5313" s="26"/>
      <c r="F5313" s="87" t="str">
        <f t="shared" si="0"/>
        <v/>
      </c>
      <c r="H5313" s="26" t="str">
        <f t="shared" si="1"/>
        <v/>
      </c>
      <c r="I5313" s="26" t="str">
        <f t="shared" si="2"/>
        <v/>
      </c>
      <c r="J5313" s="86">
        <f t="shared" si="3"/>
        <v>0</v>
      </c>
      <c r="R5313" s="26"/>
    </row>
    <row r="5314" spans="1:18" ht="15.75" customHeight="1">
      <c r="A5314" s="26"/>
      <c r="B5314" s="86"/>
      <c r="D5314" s="26"/>
      <c r="F5314" s="87" t="str">
        <f t="shared" si="0"/>
        <v/>
      </c>
      <c r="H5314" s="26" t="str">
        <f t="shared" si="1"/>
        <v/>
      </c>
      <c r="I5314" s="26" t="str">
        <f t="shared" si="2"/>
        <v/>
      </c>
      <c r="J5314" s="86">
        <f t="shared" si="3"/>
        <v>0</v>
      </c>
      <c r="R5314" s="26"/>
    </row>
    <row r="5315" spans="1:18" ht="15.75" customHeight="1">
      <c r="A5315" s="26"/>
      <c r="B5315" s="86"/>
      <c r="D5315" s="26"/>
      <c r="F5315" s="87" t="str">
        <f t="shared" si="0"/>
        <v/>
      </c>
      <c r="H5315" s="26" t="str">
        <f t="shared" si="1"/>
        <v/>
      </c>
      <c r="I5315" s="26" t="str">
        <f t="shared" si="2"/>
        <v/>
      </c>
      <c r="J5315" s="86">
        <f t="shared" si="3"/>
        <v>0</v>
      </c>
      <c r="R5315" s="26"/>
    </row>
    <row r="5316" spans="1:18" ht="15.75" customHeight="1">
      <c r="A5316" s="26"/>
      <c r="B5316" s="86"/>
      <c r="D5316" s="26"/>
      <c r="F5316" s="87" t="str">
        <f t="shared" si="0"/>
        <v/>
      </c>
      <c r="H5316" s="26" t="str">
        <f t="shared" si="1"/>
        <v/>
      </c>
      <c r="I5316" s="26" t="str">
        <f t="shared" si="2"/>
        <v/>
      </c>
      <c r="J5316" s="86">
        <f t="shared" si="3"/>
        <v>0</v>
      </c>
      <c r="R5316" s="26"/>
    </row>
    <row r="5317" spans="1:18" ht="15.75" customHeight="1">
      <c r="A5317" s="26"/>
      <c r="B5317" s="86"/>
      <c r="D5317" s="26"/>
      <c r="F5317" s="87" t="str">
        <f t="shared" si="0"/>
        <v/>
      </c>
      <c r="H5317" s="26" t="str">
        <f t="shared" si="1"/>
        <v/>
      </c>
      <c r="I5317" s="26" t="str">
        <f t="shared" si="2"/>
        <v/>
      </c>
      <c r="J5317" s="86">
        <f t="shared" si="3"/>
        <v>0</v>
      </c>
      <c r="R5317" s="26"/>
    </row>
    <row r="5318" spans="1:18" ht="15.75" customHeight="1">
      <c r="A5318" s="26"/>
      <c r="B5318" s="86"/>
      <c r="D5318" s="26"/>
      <c r="F5318" s="87" t="str">
        <f t="shared" si="0"/>
        <v/>
      </c>
      <c r="H5318" s="26" t="str">
        <f t="shared" si="1"/>
        <v/>
      </c>
      <c r="I5318" s="26" t="str">
        <f t="shared" si="2"/>
        <v/>
      </c>
      <c r="J5318" s="86">
        <f t="shared" si="3"/>
        <v>0</v>
      </c>
      <c r="R5318" s="26"/>
    </row>
    <row r="5319" spans="1:18" ht="15.75" customHeight="1">
      <c r="A5319" s="26"/>
      <c r="B5319" s="86"/>
      <c r="D5319" s="26"/>
      <c r="F5319" s="87" t="str">
        <f t="shared" si="0"/>
        <v/>
      </c>
      <c r="H5319" s="26" t="str">
        <f t="shared" si="1"/>
        <v/>
      </c>
      <c r="I5319" s="26" t="str">
        <f t="shared" si="2"/>
        <v/>
      </c>
      <c r="J5319" s="86">
        <f t="shared" si="3"/>
        <v>0</v>
      </c>
      <c r="R5319" s="26"/>
    </row>
    <row r="5320" spans="1:18" ht="15.75" customHeight="1">
      <c r="A5320" s="26"/>
      <c r="B5320" s="86"/>
      <c r="D5320" s="26"/>
      <c r="F5320" s="87" t="str">
        <f t="shared" si="0"/>
        <v/>
      </c>
      <c r="H5320" s="26" t="str">
        <f t="shared" si="1"/>
        <v/>
      </c>
      <c r="I5320" s="26" t="str">
        <f t="shared" si="2"/>
        <v/>
      </c>
      <c r="J5320" s="86">
        <f t="shared" si="3"/>
        <v>0</v>
      </c>
      <c r="R5320" s="26"/>
    </row>
    <row r="5321" spans="1:18" ht="15.75" customHeight="1">
      <c r="A5321" s="26"/>
      <c r="B5321" s="86"/>
      <c r="D5321" s="26"/>
      <c r="F5321" s="87" t="str">
        <f t="shared" si="0"/>
        <v/>
      </c>
      <c r="H5321" s="26" t="str">
        <f t="shared" si="1"/>
        <v/>
      </c>
      <c r="I5321" s="26" t="str">
        <f t="shared" si="2"/>
        <v/>
      </c>
      <c r="J5321" s="86">
        <f t="shared" si="3"/>
        <v>0</v>
      </c>
      <c r="R5321" s="26"/>
    </row>
    <row r="5322" spans="1:18" ht="15.75" customHeight="1">
      <c r="A5322" s="26"/>
      <c r="B5322" s="86"/>
      <c r="D5322" s="26"/>
      <c r="F5322" s="87" t="str">
        <f t="shared" si="0"/>
        <v/>
      </c>
      <c r="H5322" s="26" t="str">
        <f t="shared" si="1"/>
        <v/>
      </c>
      <c r="I5322" s="26" t="str">
        <f t="shared" si="2"/>
        <v/>
      </c>
      <c r="J5322" s="86">
        <f t="shared" si="3"/>
        <v>0</v>
      </c>
      <c r="R5322" s="26"/>
    </row>
    <row r="5323" spans="1:18" ht="15.75" customHeight="1">
      <c r="A5323" s="26"/>
      <c r="B5323" s="86"/>
      <c r="D5323" s="26"/>
      <c r="F5323" s="87" t="str">
        <f t="shared" si="0"/>
        <v/>
      </c>
      <c r="H5323" s="26" t="str">
        <f t="shared" si="1"/>
        <v/>
      </c>
      <c r="I5323" s="26" t="str">
        <f t="shared" si="2"/>
        <v/>
      </c>
      <c r="J5323" s="86">
        <f t="shared" si="3"/>
        <v>0</v>
      </c>
      <c r="R5323" s="26"/>
    </row>
    <row r="5324" spans="1:18" ht="15.75" customHeight="1">
      <c r="A5324" s="26"/>
      <c r="B5324" s="86"/>
      <c r="D5324" s="26"/>
      <c r="F5324" s="87" t="str">
        <f t="shared" si="0"/>
        <v/>
      </c>
      <c r="H5324" s="26" t="str">
        <f t="shared" si="1"/>
        <v/>
      </c>
      <c r="I5324" s="26" t="str">
        <f t="shared" si="2"/>
        <v/>
      </c>
      <c r="J5324" s="86">
        <f t="shared" si="3"/>
        <v>0</v>
      </c>
      <c r="R5324" s="26"/>
    </row>
    <row r="5325" spans="1:18" ht="15.75" customHeight="1">
      <c r="A5325" s="26"/>
      <c r="B5325" s="86"/>
      <c r="D5325" s="26"/>
      <c r="F5325" s="87" t="str">
        <f t="shared" si="0"/>
        <v/>
      </c>
      <c r="H5325" s="26" t="str">
        <f t="shared" si="1"/>
        <v/>
      </c>
      <c r="I5325" s="26" t="str">
        <f t="shared" si="2"/>
        <v/>
      </c>
      <c r="J5325" s="86">
        <f t="shared" si="3"/>
        <v>0</v>
      </c>
      <c r="R5325" s="26"/>
    </row>
    <row r="5326" spans="1:18" ht="15.75" customHeight="1">
      <c r="A5326" s="26"/>
      <c r="B5326" s="86"/>
      <c r="D5326" s="26"/>
      <c r="F5326" s="87" t="str">
        <f t="shared" si="0"/>
        <v/>
      </c>
      <c r="H5326" s="26" t="str">
        <f t="shared" si="1"/>
        <v/>
      </c>
      <c r="I5326" s="26" t="str">
        <f t="shared" si="2"/>
        <v/>
      </c>
      <c r="J5326" s="86">
        <f t="shared" si="3"/>
        <v>0</v>
      </c>
      <c r="R5326" s="26"/>
    </row>
    <row r="5327" spans="1:18" ht="15.75" customHeight="1">
      <c r="A5327" s="26"/>
      <c r="B5327" s="86"/>
      <c r="D5327" s="26"/>
      <c r="F5327" s="87" t="str">
        <f t="shared" si="0"/>
        <v/>
      </c>
      <c r="H5327" s="26" t="str">
        <f t="shared" si="1"/>
        <v/>
      </c>
      <c r="I5327" s="26" t="str">
        <f t="shared" si="2"/>
        <v/>
      </c>
      <c r="J5327" s="86">
        <f t="shared" si="3"/>
        <v>0</v>
      </c>
      <c r="R5327" s="26"/>
    </row>
    <row r="5328" spans="1:18" ht="15.75" customHeight="1">
      <c r="A5328" s="26"/>
      <c r="B5328" s="86"/>
      <c r="D5328" s="26"/>
      <c r="F5328" s="87" t="str">
        <f t="shared" si="0"/>
        <v/>
      </c>
      <c r="H5328" s="26" t="str">
        <f t="shared" si="1"/>
        <v/>
      </c>
      <c r="I5328" s="26" t="str">
        <f t="shared" si="2"/>
        <v/>
      </c>
      <c r="J5328" s="86">
        <f t="shared" si="3"/>
        <v>0</v>
      </c>
      <c r="R5328" s="26"/>
    </row>
    <row r="5329" spans="1:18" ht="15.75" customHeight="1">
      <c r="A5329" s="26"/>
      <c r="B5329" s="86"/>
      <c r="D5329" s="26"/>
      <c r="F5329" s="87" t="str">
        <f t="shared" si="0"/>
        <v/>
      </c>
      <c r="H5329" s="26" t="str">
        <f t="shared" si="1"/>
        <v/>
      </c>
      <c r="I5329" s="26" t="str">
        <f t="shared" si="2"/>
        <v/>
      </c>
      <c r="J5329" s="86">
        <f t="shared" si="3"/>
        <v>0</v>
      </c>
      <c r="R5329" s="26"/>
    </row>
    <row r="5330" spans="1:18" ht="15.75" customHeight="1">
      <c r="A5330" s="26"/>
      <c r="B5330" s="86"/>
      <c r="D5330" s="26"/>
      <c r="F5330" s="87" t="str">
        <f t="shared" si="0"/>
        <v/>
      </c>
      <c r="H5330" s="26" t="str">
        <f t="shared" si="1"/>
        <v/>
      </c>
      <c r="I5330" s="26" t="str">
        <f t="shared" si="2"/>
        <v/>
      </c>
      <c r="J5330" s="86">
        <f t="shared" si="3"/>
        <v>0</v>
      </c>
      <c r="R5330" s="26"/>
    </row>
    <row r="5331" spans="1:18" ht="15.75" customHeight="1">
      <c r="A5331" s="26"/>
      <c r="B5331" s="86"/>
      <c r="D5331" s="26"/>
      <c r="F5331" s="87" t="str">
        <f t="shared" si="0"/>
        <v/>
      </c>
      <c r="H5331" s="26" t="str">
        <f t="shared" si="1"/>
        <v/>
      </c>
      <c r="I5331" s="26" t="str">
        <f t="shared" si="2"/>
        <v/>
      </c>
      <c r="J5331" s="86">
        <f t="shared" si="3"/>
        <v>0</v>
      </c>
      <c r="R5331" s="26"/>
    </row>
    <row r="5332" spans="1:18" ht="15.75" customHeight="1">
      <c r="A5332" s="26"/>
      <c r="B5332" s="86"/>
      <c r="D5332" s="26"/>
      <c r="F5332" s="87" t="str">
        <f t="shared" si="0"/>
        <v/>
      </c>
      <c r="H5332" s="26" t="str">
        <f t="shared" si="1"/>
        <v/>
      </c>
      <c r="I5332" s="26" t="str">
        <f t="shared" si="2"/>
        <v/>
      </c>
      <c r="J5332" s="86">
        <f t="shared" si="3"/>
        <v>0</v>
      </c>
      <c r="R5332" s="26"/>
    </row>
    <row r="5333" spans="1:18" ht="15.75" customHeight="1">
      <c r="A5333" s="26"/>
      <c r="B5333" s="86"/>
      <c r="D5333" s="26"/>
      <c r="F5333" s="87" t="str">
        <f t="shared" si="0"/>
        <v/>
      </c>
      <c r="H5333" s="26" t="str">
        <f t="shared" si="1"/>
        <v/>
      </c>
      <c r="I5333" s="26" t="str">
        <f t="shared" si="2"/>
        <v/>
      </c>
      <c r="J5333" s="86">
        <f t="shared" si="3"/>
        <v>0</v>
      </c>
      <c r="R5333" s="26"/>
    </row>
    <row r="5334" spans="1:18" ht="15.75" customHeight="1">
      <c r="A5334" s="26"/>
      <c r="B5334" s="86"/>
      <c r="D5334" s="26"/>
      <c r="F5334" s="87" t="str">
        <f t="shared" si="0"/>
        <v/>
      </c>
      <c r="H5334" s="26" t="str">
        <f t="shared" si="1"/>
        <v/>
      </c>
      <c r="I5334" s="26" t="str">
        <f t="shared" si="2"/>
        <v/>
      </c>
      <c r="J5334" s="86">
        <f t="shared" si="3"/>
        <v>0</v>
      </c>
      <c r="R5334" s="26"/>
    </row>
    <row r="5335" spans="1:18" ht="15.75" customHeight="1">
      <c r="A5335" s="26"/>
      <c r="B5335" s="86"/>
      <c r="D5335" s="26"/>
      <c r="F5335" s="87" t="str">
        <f t="shared" si="0"/>
        <v/>
      </c>
      <c r="H5335" s="26" t="str">
        <f t="shared" si="1"/>
        <v/>
      </c>
      <c r="I5335" s="26" t="str">
        <f t="shared" si="2"/>
        <v/>
      </c>
      <c r="J5335" s="86">
        <f t="shared" si="3"/>
        <v>0</v>
      </c>
      <c r="R5335" s="26"/>
    </row>
    <row r="5336" spans="1:18" ht="15.75" customHeight="1">
      <c r="A5336" s="26"/>
      <c r="B5336" s="86"/>
      <c r="D5336" s="26"/>
      <c r="F5336" s="87" t="str">
        <f t="shared" si="0"/>
        <v/>
      </c>
      <c r="H5336" s="26" t="str">
        <f t="shared" si="1"/>
        <v/>
      </c>
      <c r="I5336" s="26" t="str">
        <f t="shared" si="2"/>
        <v/>
      </c>
      <c r="J5336" s="86">
        <f t="shared" si="3"/>
        <v>0</v>
      </c>
      <c r="R5336" s="26"/>
    </row>
    <row r="5337" spans="1:18" ht="15.75" customHeight="1">
      <c r="A5337" s="26"/>
      <c r="B5337" s="86"/>
      <c r="D5337" s="26"/>
      <c r="F5337" s="87" t="str">
        <f t="shared" si="0"/>
        <v/>
      </c>
      <c r="H5337" s="26" t="str">
        <f t="shared" si="1"/>
        <v/>
      </c>
      <c r="I5337" s="26" t="str">
        <f t="shared" si="2"/>
        <v/>
      </c>
      <c r="J5337" s="86">
        <f t="shared" si="3"/>
        <v>0</v>
      </c>
      <c r="R5337" s="26"/>
    </row>
    <row r="5338" spans="1:18" ht="15.75" customHeight="1">
      <c r="A5338" s="26"/>
      <c r="B5338" s="86"/>
      <c r="D5338" s="26"/>
      <c r="F5338" s="87" t="str">
        <f t="shared" si="0"/>
        <v/>
      </c>
      <c r="H5338" s="26" t="str">
        <f t="shared" si="1"/>
        <v/>
      </c>
      <c r="I5338" s="26" t="str">
        <f t="shared" si="2"/>
        <v/>
      </c>
      <c r="J5338" s="86">
        <f t="shared" si="3"/>
        <v>0</v>
      </c>
      <c r="R5338" s="26"/>
    </row>
    <row r="5339" spans="1:18" ht="15.75" customHeight="1">
      <c r="A5339" s="26"/>
      <c r="B5339" s="86"/>
      <c r="D5339" s="26"/>
      <c r="F5339" s="87" t="str">
        <f t="shared" si="0"/>
        <v/>
      </c>
      <c r="H5339" s="26" t="str">
        <f t="shared" si="1"/>
        <v/>
      </c>
      <c r="I5339" s="26" t="str">
        <f t="shared" si="2"/>
        <v/>
      </c>
      <c r="J5339" s="86">
        <f t="shared" si="3"/>
        <v>0</v>
      </c>
      <c r="R5339" s="26"/>
    </row>
    <row r="5340" spans="1:18" ht="15.75" customHeight="1">
      <c r="A5340" s="26"/>
      <c r="B5340" s="86"/>
      <c r="D5340" s="26"/>
      <c r="F5340" s="87" t="str">
        <f t="shared" si="0"/>
        <v/>
      </c>
      <c r="H5340" s="26" t="str">
        <f t="shared" si="1"/>
        <v/>
      </c>
      <c r="I5340" s="26" t="str">
        <f t="shared" si="2"/>
        <v/>
      </c>
      <c r="J5340" s="86">
        <f t="shared" si="3"/>
        <v>0</v>
      </c>
      <c r="R5340" s="26"/>
    </row>
    <row r="5341" spans="1:18" ht="15.75" customHeight="1">
      <c r="A5341" s="26"/>
      <c r="B5341" s="86"/>
      <c r="D5341" s="26"/>
      <c r="F5341" s="87" t="str">
        <f t="shared" si="0"/>
        <v/>
      </c>
      <c r="H5341" s="26" t="str">
        <f t="shared" si="1"/>
        <v/>
      </c>
      <c r="I5341" s="26" t="str">
        <f t="shared" si="2"/>
        <v/>
      </c>
      <c r="J5341" s="86">
        <f t="shared" si="3"/>
        <v>0</v>
      </c>
      <c r="R5341" s="26"/>
    </row>
    <row r="5342" spans="1:18" ht="15.75" customHeight="1">
      <c r="A5342" s="26"/>
      <c r="B5342" s="86"/>
      <c r="D5342" s="26"/>
      <c r="F5342" s="87" t="str">
        <f t="shared" si="0"/>
        <v/>
      </c>
      <c r="H5342" s="26" t="str">
        <f t="shared" si="1"/>
        <v/>
      </c>
      <c r="I5342" s="26" t="str">
        <f t="shared" si="2"/>
        <v/>
      </c>
      <c r="J5342" s="86">
        <f t="shared" si="3"/>
        <v>0</v>
      </c>
      <c r="R5342" s="26"/>
    </row>
    <row r="5343" spans="1:18" ht="15.75" customHeight="1">
      <c r="A5343" s="26"/>
      <c r="B5343" s="86"/>
      <c r="D5343" s="26"/>
      <c r="F5343" s="87" t="str">
        <f t="shared" si="0"/>
        <v/>
      </c>
      <c r="H5343" s="26" t="str">
        <f t="shared" si="1"/>
        <v/>
      </c>
      <c r="I5343" s="26" t="str">
        <f t="shared" si="2"/>
        <v/>
      </c>
      <c r="J5343" s="86">
        <f t="shared" si="3"/>
        <v>0</v>
      </c>
      <c r="R5343" s="26"/>
    </row>
    <row r="5344" spans="1:18" ht="15.75" customHeight="1">
      <c r="A5344" s="26"/>
      <c r="B5344" s="86"/>
      <c r="D5344" s="26"/>
      <c r="F5344" s="87" t="str">
        <f t="shared" si="0"/>
        <v/>
      </c>
      <c r="H5344" s="26" t="str">
        <f t="shared" si="1"/>
        <v/>
      </c>
      <c r="I5344" s="26" t="str">
        <f t="shared" si="2"/>
        <v/>
      </c>
      <c r="J5344" s="86">
        <f t="shared" si="3"/>
        <v>0</v>
      </c>
      <c r="R5344" s="26"/>
    </row>
    <row r="5345" spans="1:18" ht="15.75" customHeight="1">
      <c r="A5345" s="26"/>
      <c r="B5345" s="86"/>
      <c r="D5345" s="26"/>
      <c r="F5345" s="87" t="str">
        <f t="shared" si="0"/>
        <v/>
      </c>
      <c r="H5345" s="26" t="str">
        <f t="shared" si="1"/>
        <v/>
      </c>
      <c r="I5345" s="26" t="str">
        <f t="shared" si="2"/>
        <v/>
      </c>
      <c r="J5345" s="86">
        <f t="shared" si="3"/>
        <v>0</v>
      </c>
      <c r="R5345" s="26"/>
    </row>
    <row r="5346" spans="1:18" ht="15.75" customHeight="1">
      <c r="A5346" s="26"/>
      <c r="B5346" s="86"/>
      <c r="D5346" s="26"/>
      <c r="F5346" s="87" t="str">
        <f t="shared" si="0"/>
        <v/>
      </c>
      <c r="H5346" s="26" t="str">
        <f t="shared" si="1"/>
        <v/>
      </c>
      <c r="I5346" s="26" t="str">
        <f t="shared" si="2"/>
        <v/>
      </c>
      <c r="J5346" s="86">
        <f t="shared" si="3"/>
        <v>0</v>
      </c>
      <c r="R5346" s="26"/>
    </row>
    <row r="5347" spans="1:18" ht="15.75" customHeight="1">
      <c r="A5347" s="26"/>
      <c r="B5347" s="86"/>
      <c r="D5347" s="26"/>
      <c r="F5347" s="87" t="str">
        <f t="shared" si="0"/>
        <v/>
      </c>
      <c r="H5347" s="26" t="str">
        <f t="shared" si="1"/>
        <v/>
      </c>
      <c r="I5347" s="26" t="str">
        <f t="shared" si="2"/>
        <v/>
      </c>
      <c r="J5347" s="86">
        <f t="shared" si="3"/>
        <v>0</v>
      </c>
      <c r="R5347" s="26"/>
    </row>
    <row r="5348" spans="1:18" ht="15.75" customHeight="1">
      <c r="A5348" s="26"/>
      <c r="B5348" s="86"/>
      <c r="D5348" s="26"/>
      <c r="F5348" s="87" t="str">
        <f t="shared" si="0"/>
        <v/>
      </c>
      <c r="H5348" s="26" t="str">
        <f t="shared" si="1"/>
        <v/>
      </c>
      <c r="I5348" s="26" t="str">
        <f t="shared" si="2"/>
        <v/>
      </c>
      <c r="J5348" s="86">
        <f t="shared" si="3"/>
        <v>0</v>
      </c>
      <c r="R5348" s="26"/>
    </row>
    <row r="5349" spans="1:18" ht="15.75" customHeight="1">
      <c r="A5349" s="26"/>
      <c r="B5349" s="86"/>
      <c r="D5349" s="26"/>
      <c r="F5349" s="87" t="str">
        <f t="shared" si="0"/>
        <v/>
      </c>
      <c r="H5349" s="26" t="str">
        <f t="shared" si="1"/>
        <v/>
      </c>
      <c r="I5349" s="26" t="str">
        <f t="shared" si="2"/>
        <v/>
      </c>
      <c r="J5349" s="86">
        <f t="shared" si="3"/>
        <v>0</v>
      </c>
      <c r="R5349" s="26"/>
    </row>
    <row r="5350" spans="1:18" ht="15.75" customHeight="1">
      <c r="A5350" s="26"/>
      <c r="B5350" s="86"/>
      <c r="D5350" s="26"/>
      <c r="F5350" s="87" t="str">
        <f t="shared" si="0"/>
        <v/>
      </c>
      <c r="H5350" s="26" t="str">
        <f t="shared" si="1"/>
        <v/>
      </c>
      <c r="I5350" s="26" t="str">
        <f t="shared" si="2"/>
        <v/>
      </c>
      <c r="J5350" s="86">
        <f t="shared" si="3"/>
        <v>0</v>
      </c>
      <c r="R5350" s="26"/>
    </row>
    <row r="5351" spans="1:18" ht="15.75" customHeight="1">
      <c r="A5351" s="26"/>
      <c r="B5351" s="86"/>
      <c r="D5351" s="26"/>
      <c r="F5351" s="87" t="str">
        <f t="shared" si="0"/>
        <v/>
      </c>
      <c r="H5351" s="26" t="str">
        <f t="shared" si="1"/>
        <v/>
      </c>
      <c r="I5351" s="26" t="str">
        <f t="shared" si="2"/>
        <v/>
      </c>
      <c r="J5351" s="86">
        <f t="shared" si="3"/>
        <v>0</v>
      </c>
      <c r="R5351" s="26"/>
    </row>
    <row r="5352" spans="1:18" ht="15.75" customHeight="1">
      <c r="A5352" s="26"/>
      <c r="B5352" s="86"/>
      <c r="D5352" s="26"/>
      <c r="F5352" s="87" t="str">
        <f t="shared" si="0"/>
        <v/>
      </c>
      <c r="H5352" s="26" t="str">
        <f t="shared" si="1"/>
        <v/>
      </c>
      <c r="I5352" s="26" t="str">
        <f t="shared" si="2"/>
        <v/>
      </c>
      <c r="J5352" s="86">
        <f t="shared" si="3"/>
        <v>0</v>
      </c>
      <c r="R5352" s="26"/>
    </row>
    <row r="5353" spans="1:18" ht="15.75" customHeight="1">
      <c r="A5353" s="26"/>
      <c r="B5353" s="86"/>
      <c r="D5353" s="26"/>
      <c r="F5353" s="87" t="str">
        <f t="shared" si="0"/>
        <v/>
      </c>
      <c r="H5353" s="26" t="str">
        <f t="shared" si="1"/>
        <v/>
      </c>
      <c r="I5353" s="26" t="str">
        <f t="shared" si="2"/>
        <v/>
      </c>
      <c r="J5353" s="86">
        <f t="shared" si="3"/>
        <v>0</v>
      </c>
      <c r="R5353" s="26"/>
    </row>
    <row r="5354" spans="1:18" ht="15.75" customHeight="1">
      <c r="A5354" s="26"/>
      <c r="B5354" s="86"/>
      <c r="D5354" s="26"/>
      <c r="F5354" s="87" t="str">
        <f t="shared" si="0"/>
        <v/>
      </c>
      <c r="H5354" s="26" t="str">
        <f t="shared" si="1"/>
        <v/>
      </c>
      <c r="I5354" s="26" t="str">
        <f t="shared" si="2"/>
        <v/>
      </c>
      <c r="J5354" s="86">
        <f t="shared" si="3"/>
        <v>0</v>
      </c>
      <c r="R5354" s="26"/>
    </row>
    <row r="5355" spans="1:18" ht="15.75" customHeight="1">
      <c r="A5355" s="26"/>
      <c r="B5355" s="86"/>
      <c r="D5355" s="26"/>
      <c r="F5355" s="87" t="str">
        <f t="shared" si="0"/>
        <v/>
      </c>
      <c r="H5355" s="26" t="str">
        <f t="shared" si="1"/>
        <v/>
      </c>
      <c r="I5355" s="26" t="str">
        <f t="shared" si="2"/>
        <v/>
      </c>
      <c r="J5355" s="86">
        <f t="shared" si="3"/>
        <v>0</v>
      </c>
      <c r="R5355" s="26"/>
    </row>
    <row r="5356" spans="1:18" ht="15.75" customHeight="1">
      <c r="A5356" s="26"/>
      <c r="B5356" s="86"/>
      <c r="D5356" s="26"/>
      <c r="F5356" s="87" t="str">
        <f t="shared" si="0"/>
        <v/>
      </c>
      <c r="H5356" s="26" t="str">
        <f t="shared" si="1"/>
        <v/>
      </c>
      <c r="I5356" s="26" t="str">
        <f t="shared" si="2"/>
        <v/>
      </c>
      <c r="J5356" s="86">
        <f t="shared" si="3"/>
        <v>0</v>
      </c>
      <c r="R5356" s="26"/>
    </row>
    <row r="5357" spans="1:18" ht="15.75" customHeight="1">
      <c r="A5357" s="26"/>
      <c r="B5357" s="86"/>
      <c r="D5357" s="26"/>
      <c r="F5357" s="87" t="str">
        <f t="shared" si="0"/>
        <v/>
      </c>
      <c r="H5357" s="26" t="str">
        <f t="shared" si="1"/>
        <v/>
      </c>
      <c r="I5357" s="26" t="str">
        <f t="shared" si="2"/>
        <v/>
      </c>
      <c r="J5357" s="86">
        <f t="shared" si="3"/>
        <v>0</v>
      </c>
      <c r="R5357" s="26"/>
    </row>
    <row r="5358" spans="1:18" ht="15.75" customHeight="1">
      <c r="A5358" s="26"/>
      <c r="B5358" s="86"/>
      <c r="D5358" s="26"/>
      <c r="F5358" s="87" t="str">
        <f t="shared" si="0"/>
        <v/>
      </c>
      <c r="H5358" s="26" t="str">
        <f t="shared" si="1"/>
        <v/>
      </c>
      <c r="I5358" s="26" t="str">
        <f t="shared" si="2"/>
        <v/>
      </c>
      <c r="J5358" s="86">
        <f t="shared" si="3"/>
        <v>0</v>
      </c>
      <c r="R5358" s="26"/>
    </row>
    <row r="5359" spans="1:18" ht="15.75" customHeight="1">
      <c r="A5359" s="26"/>
      <c r="B5359" s="86"/>
      <c r="D5359" s="26"/>
      <c r="F5359" s="87" t="str">
        <f t="shared" si="0"/>
        <v/>
      </c>
      <c r="H5359" s="26" t="str">
        <f t="shared" si="1"/>
        <v/>
      </c>
      <c r="I5359" s="26" t="str">
        <f t="shared" si="2"/>
        <v/>
      </c>
      <c r="J5359" s="86">
        <f t="shared" si="3"/>
        <v>0</v>
      </c>
      <c r="R5359" s="26"/>
    </row>
    <row r="5360" spans="1:18" ht="15.75" customHeight="1">
      <c r="A5360" s="26"/>
      <c r="B5360" s="86"/>
      <c r="D5360" s="26"/>
      <c r="F5360" s="87" t="str">
        <f t="shared" si="0"/>
        <v/>
      </c>
      <c r="H5360" s="26" t="str">
        <f t="shared" si="1"/>
        <v/>
      </c>
      <c r="I5360" s="26" t="str">
        <f t="shared" si="2"/>
        <v/>
      </c>
      <c r="J5360" s="86">
        <f t="shared" si="3"/>
        <v>0</v>
      </c>
      <c r="R5360" s="26"/>
    </row>
    <row r="5361" spans="1:18" ht="15.75" customHeight="1">
      <c r="A5361" s="26"/>
      <c r="B5361" s="86"/>
      <c r="D5361" s="26"/>
      <c r="F5361" s="87" t="str">
        <f t="shared" si="0"/>
        <v/>
      </c>
      <c r="H5361" s="26" t="str">
        <f t="shared" si="1"/>
        <v/>
      </c>
      <c r="I5361" s="26" t="str">
        <f t="shared" si="2"/>
        <v/>
      </c>
      <c r="J5361" s="86">
        <f t="shared" si="3"/>
        <v>0</v>
      </c>
      <c r="R5361" s="26"/>
    </row>
    <row r="5362" spans="1:18" ht="15.75" customHeight="1">
      <c r="A5362" s="26"/>
      <c r="B5362" s="86"/>
      <c r="D5362" s="26"/>
      <c r="F5362" s="87" t="str">
        <f t="shared" si="0"/>
        <v/>
      </c>
      <c r="H5362" s="26" t="str">
        <f t="shared" si="1"/>
        <v/>
      </c>
      <c r="I5362" s="26" t="str">
        <f t="shared" si="2"/>
        <v/>
      </c>
      <c r="J5362" s="86">
        <f t="shared" si="3"/>
        <v>0</v>
      </c>
      <c r="R5362" s="26"/>
    </row>
    <row r="5363" spans="1:18" ht="15.75" customHeight="1">
      <c r="A5363" s="26"/>
      <c r="B5363" s="86"/>
      <c r="D5363" s="26"/>
      <c r="F5363" s="87" t="str">
        <f t="shared" si="0"/>
        <v/>
      </c>
      <c r="H5363" s="26" t="str">
        <f t="shared" si="1"/>
        <v/>
      </c>
      <c r="I5363" s="26" t="str">
        <f t="shared" si="2"/>
        <v/>
      </c>
      <c r="J5363" s="86">
        <f t="shared" si="3"/>
        <v>0</v>
      </c>
      <c r="R5363" s="26"/>
    </row>
    <row r="5364" spans="1:18" ht="15.75" customHeight="1">
      <c r="A5364" s="26"/>
      <c r="B5364" s="86"/>
      <c r="D5364" s="26"/>
      <c r="F5364" s="87" t="str">
        <f t="shared" si="0"/>
        <v/>
      </c>
      <c r="H5364" s="26" t="str">
        <f t="shared" si="1"/>
        <v/>
      </c>
      <c r="I5364" s="26" t="str">
        <f t="shared" si="2"/>
        <v/>
      </c>
      <c r="J5364" s="86">
        <f t="shared" si="3"/>
        <v>0</v>
      </c>
      <c r="R5364" s="26"/>
    </row>
    <row r="5365" spans="1:18" ht="15.75" customHeight="1">
      <c r="A5365" s="26"/>
      <c r="B5365" s="86"/>
      <c r="D5365" s="26"/>
      <c r="F5365" s="87" t="str">
        <f t="shared" si="0"/>
        <v/>
      </c>
      <c r="H5365" s="26" t="str">
        <f t="shared" si="1"/>
        <v/>
      </c>
      <c r="I5365" s="26" t="str">
        <f t="shared" si="2"/>
        <v/>
      </c>
      <c r="J5365" s="86">
        <f t="shared" si="3"/>
        <v>0</v>
      </c>
      <c r="R5365" s="26"/>
    </row>
    <row r="5366" spans="1:18" ht="15.75" customHeight="1">
      <c r="A5366" s="26"/>
      <c r="B5366" s="86"/>
      <c r="D5366" s="26"/>
      <c r="F5366" s="87" t="str">
        <f t="shared" si="0"/>
        <v/>
      </c>
      <c r="H5366" s="26" t="str">
        <f t="shared" si="1"/>
        <v/>
      </c>
      <c r="I5366" s="26" t="str">
        <f t="shared" si="2"/>
        <v/>
      </c>
      <c r="J5366" s="86">
        <f t="shared" si="3"/>
        <v>0</v>
      </c>
      <c r="R5366" s="26"/>
    </row>
    <row r="5367" spans="1:18" ht="15.75" customHeight="1">
      <c r="A5367" s="26"/>
      <c r="B5367" s="86"/>
      <c r="D5367" s="26"/>
      <c r="F5367" s="87" t="str">
        <f t="shared" si="0"/>
        <v/>
      </c>
      <c r="H5367" s="26" t="str">
        <f t="shared" si="1"/>
        <v/>
      </c>
      <c r="I5367" s="26" t="str">
        <f t="shared" si="2"/>
        <v/>
      </c>
      <c r="J5367" s="86">
        <f t="shared" si="3"/>
        <v>0</v>
      </c>
      <c r="R5367" s="26"/>
    </row>
    <row r="5368" spans="1:18" ht="15.75" customHeight="1">
      <c r="A5368" s="26"/>
      <c r="B5368" s="86"/>
      <c r="D5368" s="26"/>
      <c r="F5368" s="87" t="str">
        <f t="shared" si="0"/>
        <v/>
      </c>
      <c r="H5368" s="26" t="str">
        <f t="shared" si="1"/>
        <v/>
      </c>
      <c r="I5368" s="26" t="str">
        <f t="shared" si="2"/>
        <v/>
      </c>
      <c r="J5368" s="86">
        <f t="shared" si="3"/>
        <v>0</v>
      </c>
      <c r="R5368" s="26"/>
    </row>
    <row r="5369" spans="1:18" ht="15.75" customHeight="1">
      <c r="A5369" s="26"/>
      <c r="B5369" s="86"/>
      <c r="D5369" s="26"/>
      <c r="F5369" s="87" t="str">
        <f t="shared" si="0"/>
        <v/>
      </c>
      <c r="H5369" s="26" t="str">
        <f t="shared" si="1"/>
        <v/>
      </c>
      <c r="I5369" s="26" t="str">
        <f t="shared" si="2"/>
        <v/>
      </c>
      <c r="J5369" s="86">
        <f t="shared" si="3"/>
        <v>0</v>
      </c>
      <c r="R5369" s="26"/>
    </row>
    <row r="5370" spans="1:18" ht="15.75" customHeight="1">
      <c r="A5370" s="26"/>
      <c r="B5370" s="86"/>
      <c r="D5370" s="26"/>
      <c r="F5370" s="87" t="str">
        <f t="shared" si="0"/>
        <v/>
      </c>
      <c r="H5370" s="26" t="str">
        <f t="shared" si="1"/>
        <v/>
      </c>
      <c r="I5370" s="26" t="str">
        <f t="shared" si="2"/>
        <v/>
      </c>
      <c r="J5370" s="86">
        <f t="shared" si="3"/>
        <v>0</v>
      </c>
      <c r="R5370" s="26"/>
    </row>
    <row r="5371" spans="1:18" ht="15.75" customHeight="1">
      <c r="A5371" s="26"/>
      <c r="B5371" s="86"/>
      <c r="D5371" s="26"/>
      <c r="F5371" s="87" t="str">
        <f t="shared" si="0"/>
        <v/>
      </c>
      <c r="H5371" s="26" t="str">
        <f t="shared" si="1"/>
        <v/>
      </c>
      <c r="I5371" s="26" t="str">
        <f t="shared" si="2"/>
        <v/>
      </c>
      <c r="J5371" s="86">
        <f t="shared" si="3"/>
        <v>0</v>
      </c>
      <c r="R5371" s="26"/>
    </row>
    <row r="5372" spans="1:18" ht="15.75" customHeight="1">
      <c r="A5372" s="26"/>
      <c r="B5372" s="86"/>
      <c r="D5372" s="26"/>
      <c r="F5372" s="87" t="str">
        <f t="shared" si="0"/>
        <v/>
      </c>
      <c r="H5372" s="26" t="str">
        <f t="shared" si="1"/>
        <v/>
      </c>
      <c r="I5372" s="26" t="str">
        <f t="shared" si="2"/>
        <v/>
      </c>
      <c r="J5372" s="86">
        <f t="shared" si="3"/>
        <v>0</v>
      </c>
      <c r="R5372" s="26"/>
    </row>
    <row r="5373" spans="1:18" ht="15.75" customHeight="1">
      <c r="A5373" s="26"/>
      <c r="B5373" s="86"/>
      <c r="D5373" s="26"/>
      <c r="F5373" s="87" t="str">
        <f t="shared" si="0"/>
        <v/>
      </c>
      <c r="H5373" s="26" t="str">
        <f t="shared" si="1"/>
        <v/>
      </c>
      <c r="I5373" s="26" t="str">
        <f t="shared" si="2"/>
        <v/>
      </c>
      <c r="J5373" s="86">
        <f t="shared" si="3"/>
        <v>0</v>
      </c>
      <c r="R5373" s="26"/>
    </row>
    <row r="5374" spans="1:18" ht="15.75" customHeight="1">
      <c r="A5374" s="26"/>
      <c r="B5374" s="86"/>
      <c r="D5374" s="26"/>
      <c r="F5374" s="87" t="str">
        <f t="shared" si="0"/>
        <v/>
      </c>
      <c r="H5374" s="26" t="str">
        <f t="shared" si="1"/>
        <v/>
      </c>
      <c r="I5374" s="26" t="str">
        <f t="shared" si="2"/>
        <v/>
      </c>
      <c r="J5374" s="86">
        <f t="shared" si="3"/>
        <v>0</v>
      </c>
      <c r="R5374" s="26"/>
    </row>
    <row r="5375" spans="1:18" ht="15.75" customHeight="1">
      <c r="A5375" s="26"/>
      <c r="B5375" s="86"/>
      <c r="D5375" s="26"/>
      <c r="F5375" s="87" t="str">
        <f t="shared" si="0"/>
        <v/>
      </c>
      <c r="H5375" s="26" t="str">
        <f t="shared" si="1"/>
        <v/>
      </c>
      <c r="I5375" s="26" t="str">
        <f t="shared" si="2"/>
        <v/>
      </c>
      <c r="J5375" s="86">
        <f t="shared" si="3"/>
        <v>0</v>
      </c>
      <c r="R5375" s="26"/>
    </row>
    <row r="5376" spans="1:18" ht="15.75" customHeight="1">
      <c r="A5376" s="26"/>
      <c r="B5376" s="86"/>
      <c r="D5376" s="26"/>
      <c r="F5376" s="87" t="str">
        <f t="shared" si="0"/>
        <v/>
      </c>
      <c r="H5376" s="26" t="str">
        <f t="shared" si="1"/>
        <v/>
      </c>
      <c r="I5376" s="26" t="str">
        <f t="shared" si="2"/>
        <v/>
      </c>
      <c r="J5376" s="86">
        <f t="shared" si="3"/>
        <v>0</v>
      </c>
      <c r="R5376" s="26"/>
    </row>
    <row r="5377" spans="1:18" ht="15.75" customHeight="1">
      <c r="A5377" s="26"/>
      <c r="B5377" s="86"/>
      <c r="D5377" s="26"/>
      <c r="F5377" s="87" t="str">
        <f t="shared" si="0"/>
        <v/>
      </c>
      <c r="H5377" s="26" t="str">
        <f t="shared" si="1"/>
        <v/>
      </c>
      <c r="I5377" s="26" t="str">
        <f t="shared" si="2"/>
        <v/>
      </c>
      <c r="J5377" s="86">
        <f t="shared" si="3"/>
        <v>0</v>
      </c>
      <c r="R5377" s="26"/>
    </row>
    <row r="5378" spans="1:18" ht="15.75" customHeight="1">
      <c r="A5378" s="26"/>
      <c r="B5378" s="86"/>
      <c r="D5378" s="26"/>
      <c r="F5378" s="87" t="str">
        <f t="shared" si="0"/>
        <v/>
      </c>
      <c r="H5378" s="26" t="str">
        <f t="shared" si="1"/>
        <v/>
      </c>
      <c r="I5378" s="26" t="str">
        <f t="shared" si="2"/>
        <v/>
      </c>
      <c r="J5378" s="86">
        <f t="shared" si="3"/>
        <v>0</v>
      </c>
      <c r="R5378" s="26"/>
    </row>
    <row r="5379" spans="1:18" ht="15.75" customHeight="1">
      <c r="A5379" s="26"/>
      <c r="B5379" s="86"/>
      <c r="D5379" s="26"/>
      <c r="F5379" s="87" t="str">
        <f t="shared" si="0"/>
        <v/>
      </c>
      <c r="H5379" s="26" t="str">
        <f t="shared" si="1"/>
        <v/>
      </c>
      <c r="I5379" s="26" t="str">
        <f t="shared" si="2"/>
        <v/>
      </c>
      <c r="J5379" s="86">
        <f t="shared" si="3"/>
        <v>0</v>
      </c>
      <c r="R5379" s="26"/>
    </row>
    <row r="5380" spans="1:18" ht="15.75" customHeight="1">
      <c r="A5380" s="26"/>
      <c r="B5380" s="86"/>
      <c r="D5380" s="26"/>
      <c r="F5380" s="87" t="str">
        <f t="shared" si="0"/>
        <v/>
      </c>
      <c r="H5380" s="26" t="str">
        <f t="shared" si="1"/>
        <v/>
      </c>
      <c r="I5380" s="26" t="str">
        <f t="shared" si="2"/>
        <v/>
      </c>
      <c r="J5380" s="86">
        <f t="shared" si="3"/>
        <v>0</v>
      </c>
      <c r="R5380" s="26"/>
    </row>
    <row r="5381" spans="1:18" ht="15.75" customHeight="1">
      <c r="A5381" s="26"/>
      <c r="B5381" s="86"/>
      <c r="D5381" s="26"/>
      <c r="F5381" s="87" t="str">
        <f t="shared" si="0"/>
        <v/>
      </c>
      <c r="H5381" s="26" t="str">
        <f t="shared" si="1"/>
        <v/>
      </c>
      <c r="I5381" s="26" t="str">
        <f t="shared" si="2"/>
        <v/>
      </c>
      <c r="J5381" s="86">
        <f t="shared" si="3"/>
        <v>0</v>
      </c>
      <c r="R5381" s="26"/>
    </row>
    <row r="5382" spans="1:18" ht="15.75" customHeight="1">
      <c r="A5382" s="26"/>
      <c r="B5382" s="86"/>
      <c r="D5382" s="26"/>
      <c r="F5382" s="87" t="str">
        <f t="shared" si="0"/>
        <v/>
      </c>
      <c r="H5382" s="26" t="str">
        <f t="shared" si="1"/>
        <v/>
      </c>
      <c r="I5382" s="26" t="str">
        <f t="shared" si="2"/>
        <v/>
      </c>
      <c r="J5382" s="86">
        <f t="shared" si="3"/>
        <v>0</v>
      </c>
      <c r="R5382" s="26"/>
    </row>
    <row r="5383" spans="1:18" ht="15.75" customHeight="1">
      <c r="A5383" s="26"/>
      <c r="B5383" s="86"/>
      <c r="D5383" s="26"/>
      <c r="F5383" s="87" t="str">
        <f t="shared" si="0"/>
        <v/>
      </c>
      <c r="H5383" s="26" t="str">
        <f t="shared" si="1"/>
        <v/>
      </c>
      <c r="I5383" s="26" t="str">
        <f t="shared" si="2"/>
        <v/>
      </c>
      <c r="J5383" s="86">
        <f t="shared" si="3"/>
        <v>0</v>
      </c>
      <c r="R5383" s="26"/>
    </row>
    <row r="5384" spans="1:18" ht="15.75" customHeight="1">
      <c r="A5384" s="26"/>
      <c r="B5384" s="86"/>
      <c r="D5384" s="26"/>
      <c r="F5384" s="87" t="str">
        <f t="shared" si="0"/>
        <v/>
      </c>
      <c r="H5384" s="26" t="str">
        <f t="shared" si="1"/>
        <v/>
      </c>
      <c r="I5384" s="26" t="str">
        <f t="shared" si="2"/>
        <v/>
      </c>
      <c r="J5384" s="86">
        <f t="shared" si="3"/>
        <v>0</v>
      </c>
      <c r="R5384" s="26"/>
    </row>
    <row r="5385" spans="1:18" ht="15.75" customHeight="1">
      <c r="A5385" s="26"/>
      <c r="B5385" s="86"/>
      <c r="D5385" s="26"/>
      <c r="F5385" s="87" t="str">
        <f t="shared" si="0"/>
        <v/>
      </c>
      <c r="H5385" s="26" t="str">
        <f t="shared" si="1"/>
        <v/>
      </c>
      <c r="I5385" s="26" t="str">
        <f t="shared" si="2"/>
        <v/>
      </c>
      <c r="J5385" s="86">
        <f t="shared" si="3"/>
        <v>0</v>
      </c>
      <c r="R5385" s="26"/>
    </row>
    <row r="5386" spans="1:18" ht="15.75" customHeight="1">
      <c r="A5386" s="26"/>
      <c r="B5386" s="86"/>
      <c r="D5386" s="26"/>
      <c r="F5386" s="87" t="str">
        <f t="shared" si="0"/>
        <v/>
      </c>
      <c r="H5386" s="26" t="str">
        <f t="shared" si="1"/>
        <v/>
      </c>
      <c r="I5386" s="26" t="str">
        <f t="shared" si="2"/>
        <v/>
      </c>
      <c r="J5386" s="86">
        <f t="shared" si="3"/>
        <v>0</v>
      </c>
      <c r="R5386" s="26"/>
    </row>
    <row r="5387" spans="1:18" ht="15.75" customHeight="1">
      <c r="A5387" s="26"/>
      <c r="B5387" s="86"/>
      <c r="D5387" s="26"/>
      <c r="F5387" s="87" t="str">
        <f t="shared" si="0"/>
        <v/>
      </c>
      <c r="H5387" s="26" t="str">
        <f t="shared" si="1"/>
        <v/>
      </c>
      <c r="I5387" s="26" t="str">
        <f t="shared" si="2"/>
        <v/>
      </c>
      <c r="J5387" s="86">
        <f t="shared" si="3"/>
        <v>0</v>
      </c>
      <c r="R5387" s="26"/>
    </row>
    <row r="5388" spans="1:18" ht="15.75" customHeight="1">
      <c r="A5388" s="26"/>
      <c r="B5388" s="86"/>
      <c r="D5388" s="26"/>
      <c r="F5388" s="87" t="str">
        <f t="shared" si="0"/>
        <v/>
      </c>
      <c r="H5388" s="26" t="str">
        <f t="shared" si="1"/>
        <v/>
      </c>
      <c r="I5388" s="26" t="str">
        <f t="shared" si="2"/>
        <v/>
      </c>
      <c r="J5388" s="86">
        <f t="shared" si="3"/>
        <v>0</v>
      </c>
      <c r="R5388" s="26"/>
    </row>
    <row r="5389" spans="1:18" ht="15.75" customHeight="1">
      <c r="A5389" s="26"/>
      <c r="B5389" s="86"/>
      <c r="D5389" s="26"/>
      <c r="F5389" s="87" t="str">
        <f t="shared" si="0"/>
        <v/>
      </c>
      <c r="H5389" s="26" t="str">
        <f t="shared" si="1"/>
        <v/>
      </c>
      <c r="I5389" s="26" t="str">
        <f t="shared" si="2"/>
        <v/>
      </c>
      <c r="J5389" s="86">
        <f t="shared" si="3"/>
        <v>0</v>
      </c>
      <c r="R5389" s="26"/>
    </row>
    <row r="5390" spans="1:18" ht="15.75" customHeight="1">
      <c r="A5390" s="26"/>
      <c r="B5390" s="86"/>
      <c r="D5390" s="26"/>
      <c r="F5390" s="87" t="str">
        <f t="shared" si="0"/>
        <v/>
      </c>
      <c r="H5390" s="26" t="str">
        <f t="shared" si="1"/>
        <v/>
      </c>
      <c r="I5390" s="26" t="str">
        <f t="shared" si="2"/>
        <v/>
      </c>
      <c r="J5390" s="86">
        <f t="shared" si="3"/>
        <v>0</v>
      </c>
      <c r="R5390" s="26"/>
    </row>
    <row r="5391" spans="1:18" ht="15.75" customHeight="1">
      <c r="A5391" s="26"/>
      <c r="B5391" s="86"/>
      <c r="D5391" s="26"/>
      <c r="F5391" s="87" t="str">
        <f t="shared" si="0"/>
        <v/>
      </c>
      <c r="H5391" s="26" t="str">
        <f t="shared" si="1"/>
        <v/>
      </c>
      <c r="I5391" s="26" t="str">
        <f t="shared" si="2"/>
        <v/>
      </c>
      <c r="J5391" s="86">
        <f t="shared" si="3"/>
        <v>0</v>
      </c>
      <c r="R5391" s="26"/>
    </row>
    <row r="5392" spans="1:18" ht="15.75" customHeight="1">
      <c r="A5392" s="26"/>
      <c r="B5392" s="86"/>
      <c r="D5392" s="26"/>
      <c r="F5392" s="87" t="str">
        <f t="shared" si="0"/>
        <v/>
      </c>
      <c r="H5392" s="26" t="str">
        <f t="shared" si="1"/>
        <v/>
      </c>
      <c r="I5392" s="26" t="str">
        <f t="shared" si="2"/>
        <v/>
      </c>
      <c r="J5392" s="86">
        <f t="shared" si="3"/>
        <v>0</v>
      </c>
      <c r="R5392" s="26"/>
    </row>
    <row r="5393" spans="1:18" ht="15.75" customHeight="1">
      <c r="A5393" s="26"/>
      <c r="B5393" s="86"/>
      <c r="D5393" s="26"/>
      <c r="F5393" s="87" t="str">
        <f t="shared" si="0"/>
        <v/>
      </c>
      <c r="H5393" s="26" t="str">
        <f t="shared" si="1"/>
        <v/>
      </c>
      <c r="I5393" s="26" t="str">
        <f t="shared" si="2"/>
        <v/>
      </c>
      <c r="J5393" s="86">
        <f t="shared" si="3"/>
        <v>0</v>
      </c>
      <c r="R5393" s="26"/>
    </row>
    <row r="5394" spans="1:18" ht="15.75" customHeight="1">
      <c r="A5394" s="26"/>
      <c r="B5394" s="86"/>
      <c r="D5394" s="26"/>
      <c r="F5394" s="87" t="str">
        <f t="shared" si="0"/>
        <v/>
      </c>
      <c r="H5394" s="26" t="str">
        <f t="shared" si="1"/>
        <v/>
      </c>
      <c r="I5394" s="26" t="str">
        <f t="shared" si="2"/>
        <v/>
      </c>
      <c r="J5394" s="86">
        <f t="shared" si="3"/>
        <v>0</v>
      </c>
      <c r="R5394" s="26"/>
    </row>
    <row r="5395" spans="1:18" ht="15.75" customHeight="1">
      <c r="A5395" s="26"/>
      <c r="B5395" s="86"/>
      <c r="D5395" s="26"/>
      <c r="F5395" s="87" t="str">
        <f t="shared" si="0"/>
        <v/>
      </c>
      <c r="H5395" s="26" t="str">
        <f t="shared" si="1"/>
        <v/>
      </c>
      <c r="I5395" s="26" t="str">
        <f t="shared" si="2"/>
        <v/>
      </c>
      <c r="J5395" s="86">
        <f t="shared" si="3"/>
        <v>0</v>
      </c>
      <c r="R5395" s="26"/>
    </row>
    <row r="5396" spans="1:18" ht="15.75" customHeight="1">
      <c r="A5396" s="26"/>
      <c r="B5396" s="86"/>
      <c r="D5396" s="26"/>
      <c r="F5396" s="87" t="str">
        <f t="shared" si="0"/>
        <v/>
      </c>
      <c r="H5396" s="26" t="str">
        <f t="shared" si="1"/>
        <v/>
      </c>
      <c r="I5396" s="26" t="str">
        <f t="shared" si="2"/>
        <v/>
      </c>
      <c r="J5396" s="86">
        <f t="shared" si="3"/>
        <v>0</v>
      </c>
      <c r="R5396" s="26"/>
    </row>
    <row r="5397" spans="1:18" ht="15.75" customHeight="1">
      <c r="A5397" s="26"/>
      <c r="B5397" s="86"/>
      <c r="D5397" s="26"/>
      <c r="F5397" s="87" t="str">
        <f t="shared" si="0"/>
        <v/>
      </c>
      <c r="H5397" s="26" t="str">
        <f t="shared" si="1"/>
        <v/>
      </c>
      <c r="I5397" s="26" t="str">
        <f t="shared" si="2"/>
        <v/>
      </c>
      <c r="J5397" s="86">
        <f t="shared" si="3"/>
        <v>0</v>
      </c>
      <c r="R5397" s="26"/>
    </row>
    <row r="5398" spans="1:18" ht="15.75" customHeight="1">
      <c r="A5398" s="26"/>
      <c r="B5398" s="86"/>
      <c r="D5398" s="26"/>
      <c r="F5398" s="87" t="str">
        <f t="shared" si="0"/>
        <v/>
      </c>
      <c r="H5398" s="26" t="str">
        <f t="shared" si="1"/>
        <v/>
      </c>
      <c r="I5398" s="26" t="str">
        <f t="shared" si="2"/>
        <v/>
      </c>
      <c r="J5398" s="86">
        <f t="shared" si="3"/>
        <v>0</v>
      </c>
      <c r="R5398" s="26"/>
    </row>
    <row r="5399" spans="1:18" ht="15.75" customHeight="1">
      <c r="A5399" s="26"/>
      <c r="B5399" s="86"/>
      <c r="D5399" s="26"/>
      <c r="F5399" s="87" t="str">
        <f t="shared" si="0"/>
        <v/>
      </c>
      <c r="H5399" s="26" t="str">
        <f t="shared" si="1"/>
        <v/>
      </c>
      <c r="I5399" s="26" t="str">
        <f t="shared" si="2"/>
        <v/>
      </c>
      <c r="J5399" s="86">
        <f t="shared" si="3"/>
        <v>0</v>
      </c>
      <c r="R5399" s="26"/>
    </row>
    <row r="5400" spans="1:18" ht="15.75" customHeight="1">
      <c r="A5400" s="26"/>
      <c r="B5400" s="86"/>
      <c r="D5400" s="26"/>
      <c r="F5400" s="87" t="str">
        <f t="shared" si="0"/>
        <v/>
      </c>
      <c r="H5400" s="26" t="str">
        <f t="shared" si="1"/>
        <v/>
      </c>
      <c r="I5400" s="26" t="str">
        <f t="shared" si="2"/>
        <v/>
      </c>
      <c r="J5400" s="86">
        <f t="shared" si="3"/>
        <v>0</v>
      </c>
      <c r="R5400" s="26"/>
    </row>
    <row r="5401" spans="1:18" ht="15.75" customHeight="1">
      <c r="A5401" s="26"/>
      <c r="B5401" s="86"/>
      <c r="D5401" s="26"/>
      <c r="F5401" s="87" t="str">
        <f t="shared" si="0"/>
        <v/>
      </c>
      <c r="H5401" s="26" t="str">
        <f t="shared" si="1"/>
        <v/>
      </c>
      <c r="I5401" s="26" t="str">
        <f t="shared" si="2"/>
        <v/>
      </c>
      <c r="J5401" s="86">
        <f t="shared" si="3"/>
        <v>0</v>
      </c>
      <c r="R5401" s="26"/>
    </row>
    <row r="5402" spans="1:18" ht="15.75" customHeight="1">
      <c r="A5402" s="26"/>
      <c r="B5402" s="86"/>
      <c r="D5402" s="26"/>
      <c r="F5402" s="87" t="str">
        <f t="shared" si="0"/>
        <v/>
      </c>
      <c r="H5402" s="26" t="str">
        <f t="shared" si="1"/>
        <v/>
      </c>
      <c r="I5402" s="26" t="str">
        <f t="shared" si="2"/>
        <v/>
      </c>
      <c r="J5402" s="86">
        <f t="shared" si="3"/>
        <v>0</v>
      </c>
      <c r="R5402" s="26"/>
    </row>
    <row r="5403" spans="1:18" ht="15.75" customHeight="1">
      <c r="A5403" s="26"/>
      <c r="B5403" s="86"/>
      <c r="D5403" s="26"/>
      <c r="F5403" s="87" t="str">
        <f t="shared" si="0"/>
        <v/>
      </c>
      <c r="H5403" s="26" t="str">
        <f t="shared" si="1"/>
        <v/>
      </c>
      <c r="I5403" s="26" t="str">
        <f t="shared" si="2"/>
        <v/>
      </c>
      <c r="J5403" s="86">
        <f t="shared" si="3"/>
        <v>0</v>
      </c>
      <c r="R5403" s="26"/>
    </row>
    <row r="5404" spans="1:18" ht="15.75" customHeight="1">
      <c r="A5404" s="26"/>
      <c r="B5404" s="86"/>
      <c r="D5404" s="26"/>
      <c r="F5404" s="87" t="str">
        <f t="shared" si="0"/>
        <v/>
      </c>
      <c r="H5404" s="26" t="str">
        <f t="shared" si="1"/>
        <v/>
      </c>
      <c r="I5404" s="26" t="str">
        <f t="shared" si="2"/>
        <v/>
      </c>
      <c r="J5404" s="86">
        <f t="shared" si="3"/>
        <v>0</v>
      </c>
      <c r="R5404" s="26"/>
    </row>
    <row r="5405" spans="1:18" ht="15.75" customHeight="1">
      <c r="A5405" s="26"/>
      <c r="B5405" s="86"/>
      <c r="D5405" s="26"/>
      <c r="F5405" s="87" t="str">
        <f t="shared" si="0"/>
        <v/>
      </c>
      <c r="H5405" s="26" t="str">
        <f t="shared" si="1"/>
        <v/>
      </c>
      <c r="I5405" s="26" t="str">
        <f t="shared" si="2"/>
        <v/>
      </c>
      <c r="J5405" s="86">
        <f t="shared" si="3"/>
        <v>0</v>
      </c>
      <c r="R5405" s="26"/>
    </row>
    <row r="5406" spans="1:18" ht="15.75" customHeight="1">
      <c r="A5406" s="26"/>
      <c r="B5406" s="86"/>
      <c r="D5406" s="26"/>
      <c r="F5406" s="87" t="str">
        <f t="shared" si="0"/>
        <v/>
      </c>
      <c r="H5406" s="26" t="str">
        <f t="shared" si="1"/>
        <v/>
      </c>
      <c r="I5406" s="26" t="str">
        <f t="shared" si="2"/>
        <v/>
      </c>
      <c r="J5406" s="86">
        <f t="shared" si="3"/>
        <v>0</v>
      </c>
      <c r="R5406" s="26"/>
    </row>
    <row r="5407" spans="1:18" ht="15.75" customHeight="1">
      <c r="A5407" s="26"/>
      <c r="B5407" s="86"/>
      <c r="D5407" s="26"/>
      <c r="F5407" s="87" t="str">
        <f t="shared" si="0"/>
        <v/>
      </c>
      <c r="H5407" s="26" t="str">
        <f t="shared" si="1"/>
        <v/>
      </c>
      <c r="I5407" s="26" t="str">
        <f t="shared" si="2"/>
        <v/>
      </c>
      <c r="J5407" s="86">
        <f t="shared" si="3"/>
        <v>0</v>
      </c>
      <c r="R5407" s="26"/>
    </row>
    <row r="5408" spans="1:18" ht="15.75" customHeight="1">
      <c r="A5408" s="26"/>
      <c r="B5408" s="86"/>
      <c r="D5408" s="26"/>
      <c r="F5408" s="87" t="str">
        <f t="shared" si="0"/>
        <v/>
      </c>
      <c r="H5408" s="26" t="str">
        <f t="shared" si="1"/>
        <v/>
      </c>
      <c r="I5408" s="26" t="str">
        <f t="shared" si="2"/>
        <v/>
      </c>
      <c r="J5408" s="86">
        <f t="shared" si="3"/>
        <v>0</v>
      </c>
      <c r="R5408" s="26"/>
    </row>
    <row r="5409" spans="1:18" ht="15.75" customHeight="1">
      <c r="A5409" s="26"/>
      <c r="B5409" s="86"/>
      <c r="D5409" s="26"/>
      <c r="F5409" s="87" t="str">
        <f t="shared" si="0"/>
        <v/>
      </c>
      <c r="H5409" s="26" t="str">
        <f t="shared" si="1"/>
        <v/>
      </c>
      <c r="I5409" s="26" t="str">
        <f t="shared" si="2"/>
        <v/>
      </c>
      <c r="J5409" s="86">
        <f t="shared" si="3"/>
        <v>0</v>
      </c>
      <c r="R5409" s="26"/>
    </row>
    <row r="5410" spans="1:18" ht="15.75" customHeight="1">
      <c r="A5410" s="26"/>
      <c r="B5410" s="86"/>
      <c r="D5410" s="26"/>
      <c r="F5410" s="87" t="str">
        <f t="shared" si="0"/>
        <v/>
      </c>
      <c r="H5410" s="26" t="str">
        <f t="shared" si="1"/>
        <v/>
      </c>
      <c r="I5410" s="26" t="str">
        <f t="shared" si="2"/>
        <v/>
      </c>
      <c r="J5410" s="86">
        <f t="shared" si="3"/>
        <v>0</v>
      </c>
      <c r="R5410" s="26"/>
    </row>
    <row r="5411" spans="1:18" ht="15.75" customHeight="1">
      <c r="A5411" s="26"/>
      <c r="B5411" s="86"/>
      <c r="D5411" s="26"/>
      <c r="F5411" s="87" t="str">
        <f t="shared" si="0"/>
        <v/>
      </c>
      <c r="H5411" s="26" t="str">
        <f t="shared" si="1"/>
        <v/>
      </c>
      <c r="I5411" s="26" t="str">
        <f t="shared" si="2"/>
        <v/>
      </c>
      <c r="J5411" s="86">
        <f t="shared" si="3"/>
        <v>0</v>
      </c>
      <c r="R5411" s="26"/>
    </row>
    <row r="5412" spans="1:18" ht="15.75" customHeight="1">
      <c r="A5412" s="26"/>
      <c r="B5412" s="86"/>
      <c r="D5412" s="26"/>
      <c r="F5412" s="87" t="str">
        <f t="shared" si="0"/>
        <v/>
      </c>
      <c r="H5412" s="26" t="str">
        <f t="shared" si="1"/>
        <v/>
      </c>
      <c r="I5412" s="26" t="str">
        <f t="shared" si="2"/>
        <v/>
      </c>
      <c r="J5412" s="86">
        <f t="shared" si="3"/>
        <v>0</v>
      </c>
      <c r="R5412" s="26"/>
    </row>
    <row r="5413" spans="1:18" ht="15.75" customHeight="1">
      <c r="A5413" s="26"/>
      <c r="B5413" s="86"/>
      <c r="D5413" s="26"/>
      <c r="F5413" s="87" t="str">
        <f t="shared" si="0"/>
        <v/>
      </c>
      <c r="H5413" s="26" t="str">
        <f t="shared" si="1"/>
        <v/>
      </c>
      <c r="I5413" s="26" t="str">
        <f t="shared" si="2"/>
        <v/>
      </c>
      <c r="J5413" s="86">
        <f t="shared" si="3"/>
        <v>0</v>
      </c>
      <c r="R5413" s="26"/>
    </row>
    <row r="5414" spans="1:18" ht="15.75" customHeight="1">
      <c r="A5414" s="26"/>
      <c r="B5414" s="86"/>
      <c r="D5414" s="26"/>
      <c r="F5414" s="87" t="str">
        <f t="shared" si="0"/>
        <v/>
      </c>
      <c r="H5414" s="26" t="str">
        <f t="shared" si="1"/>
        <v/>
      </c>
      <c r="I5414" s="26" t="str">
        <f t="shared" si="2"/>
        <v/>
      </c>
      <c r="J5414" s="86">
        <f t="shared" si="3"/>
        <v>0</v>
      </c>
      <c r="R5414" s="26"/>
    </row>
    <row r="5415" spans="1:18" ht="15.75" customHeight="1">
      <c r="A5415" s="26"/>
      <c r="B5415" s="86"/>
      <c r="D5415" s="26"/>
      <c r="F5415" s="87" t="str">
        <f t="shared" si="0"/>
        <v/>
      </c>
      <c r="H5415" s="26" t="str">
        <f t="shared" si="1"/>
        <v/>
      </c>
      <c r="I5415" s="26" t="str">
        <f t="shared" si="2"/>
        <v/>
      </c>
      <c r="J5415" s="86">
        <f t="shared" si="3"/>
        <v>0</v>
      </c>
      <c r="R5415" s="26"/>
    </row>
    <row r="5416" spans="1:18" ht="15.75" customHeight="1">
      <c r="A5416" s="26"/>
      <c r="B5416" s="86"/>
      <c r="D5416" s="26"/>
      <c r="F5416" s="87" t="str">
        <f t="shared" si="0"/>
        <v/>
      </c>
      <c r="H5416" s="26" t="str">
        <f t="shared" si="1"/>
        <v/>
      </c>
      <c r="I5416" s="26" t="str">
        <f t="shared" si="2"/>
        <v/>
      </c>
      <c r="J5416" s="86">
        <f t="shared" si="3"/>
        <v>0</v>
      </c>
      <c r="R5416" s="26"/>
    </row>
    <row r="5417" spans="1:18" ht="15.75" customHeight="1">
      <c r="A5417" s="26"/>
      <c r="B5417" s="86"/>
      <c r="D5417" s="26"/>
      <c r="F5417" s="87" t="str">
        <f t="shared" si="0"/>
        <v/>
      </c>
      <c r="H5417" s="26" t="str">
        <f t="shared" si="1"/>
        <v/>
      </c>
      <c r="I5417" s="26" t="str">
        <f t="shared" si="2"/>
        <v/>
      </c>
      <c r="J5417" s="86">
        <f t="shared" si="3"/>
        <v>0</v>
      </c>
      <c r="R5417" s="26"/>
    </row>
    <row r="5418" spans="1:18" ht="15.75" customHeight="1">
      <c r="A5418" s="26"/>
      <c r="B5418" s="86"/>
      <c r="D5418" s="26"/>
      <c r="F5418" s="87" t="str">
        <f t="shared" si="0"/>
        <v/>
      </c>
      <c r="H5418" s="26" t="str">
        <f t="shared" si="1"/>
        <v/>
      </c>
      <c r="I5418" s="26" t="str">
        <f t="shared" si="2"/>
        <v/>
      </c>
      <c r="J5418" s="86">
        <f t="shared" si="3"/>
        <v>0</v>
      </c>
      <c r="R5418" s="26"/>
    </row>
    <row r="5419" spans="1:18" ht="15.75" customHeight="1">
      <c r="A5419" s="26"/>
      <c r="B5419" s="86"/>
      <c r="D5419" s="26"/>
      <c r="F5419" s="87" t="str">
        <f t="shared" si="0"/>
        <v/>
      </c>
      <c r="H5419" s="26" t="str">
        <f t="shared" si="1"/>
        <v/>
      </c>
      <c r="I5419" s="26" t="str">
        <f t="shared" si="2"/>
        <v/>
      </c>
      <c r="J5419" s="86">
        <f t="shared" si="3"/>
        <v>0</v>
      </c>
      <c r="R5419" s="26"/>
    </row>
    <row r="5420" spans="1:18" ht="15.75" customHeight="1">
      <c r="A5420" s="26"/>
      <c r="B5420" s="86"/>
      <c r="D5420" s="26"/>
      <c r="F5420" s="87" t="str">
        <f t="shared" si="0"/>
        <v/>
      </c>
      <c r="H5420" s="26" t="str">
        <f t="shared" si="1"/>
        <v/>
      </c>
      <c r="I5420" s="26" t="str">
        <f t="shared" si="2"/>
        <v/>
      </c>
      <c r="J5420" s="86">
        <f t="shared" si="3"/>
        <v>0</v>
      </c>
      <c r="R5420" s="26"/>
    </row>
    <row r="5421" spans="1:18" ht="15.75" customHeight="1">
      <c r="A5421" s="26"/>
      <c r="B5421" s="86"/>
      <c r="D5421" s="26"/>
      <c r="F5421" s="87" t="str">
        <f t="shared" si="0"/>
        <v/>
      </c>
      <c r="H5421" s="26" t="str">
        <f t="shared" si="1"/>
        <v/>
      </c>
      <c r="I5421" s="26" t="str">
        <f t="shared" si="2"/>
        <v/>
      </c>
      <c r="J5421" s="86">
        <f t="shared" si="3"/>
        <v>0</v>
      </c>
      <c r="R5421" s="26"/>
    </row>
    <row r="5422" spans="1:18" ht="15.75" customHeight="1">
      <c r="A5422" s="26"/>
      <c r="B5422" s="86"/>
      <c r="D5422" s="26"/>
      <c r="F5422" s="87" t="str">
        <f t="shared" si="0"/>
        <v/>
      </c>
      <c r="H5422" s="26" t="str">
        <f t="shared" si="1"/>
        <v/>
      </c>
      <c r="I5422" s="26" t="str">
        <f t="shared" si="2"/>
        <v/>
      </c>
      <c r="J5422" s="86">
        <f t="shared" si="3"/>
        <v>0</v>
      </c>
      <c r="R5422" s="26"/>
    </row>
    <row r="5423" spans="1:18" ht="15.75" customHeight="1">
      <c r="A5423" s="26"/>
      <c r="B5423" s="86"/>
      <c r="D5423" s="26"/>
      <c r="F5423" s="87" t="str">
        <f t="shared" si="0"/>
        <v/>
      </c>
      <c r="H5423" s="26" t="str">
        <f t="shared" si="1"/>
        <v/>
      </c>
      <c r="I5423" s="26" t="str">
        <f t="shared" si="2"/>
        <v/>
      </c>
      <c r="J5423" s="86">
        <f t="shared" si="3"/>
        <v>0</v>
      </c>
      <c r="R5423" s="26"/>
    </row>
    <row r="5424" spans="1:18" ht="15.75" customHeight="1">
      <c r="A5424" s="26"/>
      <c r="B5424" s="86"/>
      <c r="D5424" s="26"/>
      <c r="F5424" s="87" t="str">
        <f t="shared" si="0"/>
        <v/>
      </c>
      <c r="H5424" s="26" t="str">
        <f t="shared" si="1"/>
        <v/>
      </c>
      <c r="I5424" s="26" t="str">
        <f t="shared" si="2"/>
        <v/>
      </c>
      <c r="J5424" s="86">
        <f t="shared" si="3"/>
        <v>0</v>
      </c>
      <c r="R5424" s="26"/>
    </row>
    <row r="5425" spans="1:18" ht="15.75" customHeight="1">
      <c r="A5425" s="26"/>
      <c r="B5425" s="86"/>
      <c r="D5425" s="26"/>
      <c r="F5425" s="87" t="str">
        <f t="shared" si="0"/>
        <v/>
      </c>
      <c r="H5425" s="26" t="str">
        <f t="shared" si="1"/>
        <v/>
      </c>
      <c r="I5425" s="26" t="str">
        <f t="shared" si="2"/>
        <v/>
      </c>
      <c r="J5425" s="86">
        <f t="shared" si="3"/>
        <v>0</v>
      </c>
      <c r="R5425" s="26"/>
    </row>
    <row r="5426" spans="1:18" ht="15.75" customHeight="1">
      <c r="A5426" s="26"/>
      <c r="B5426" s="86"/>
      <c r="D5426" s="26"/>
      <c r="F5426" s="87" t="str">
        <f t="shared" si="0"/>
        <v/>
      </c>
      <c r="H5426" s="26" t="str">
        <f t="shared" si="1"/>
        <v/>
      </c>
      <c r="I5426" s="26" t="str">
        <f t="shared" si="2"/>
        <v/>
      </c>
      <c r="J5426" s="86">
        <f t="shared" si="3"/>
        <v>0</v>
      </c>
      <c r="R5426" s="26"/>
    </row>
    <row r="5427" spans="1:18" ht="15.75" customHeight="1">
      <c r="A5427" s="26"/>
      <c r="B5427" s="86"/>
      <c r="D5427" s="26"/>
      <c r="F5427" s="87" t="str">
        <f t="shared" si="0"/>
        <v/>
      </c>
      <c r="H5427" s="26" t="str">
        <f t="shared" si="1"/>
        <v/>
      </c>
      <c r="I5427" s="26" t="str">
        <f t="shared" si="2"/>
        <v/>
      </c>
      <c r="J5427" s="86">
        <f t="shared" si="3"/>
        <v>0</v>
      </c>
      <c r="R5427" s="26"/>
    </row>
    <row r="5428" spans="1:18" ht="15.75" customHeight="1">
      <c r="A5428" s="26"/>
      <c r="B5428" s="86"/>
      <c r="D5428" s="26"/>
      <c r="F5428" s="87" t="str">
        <f t="shared" si="0"/>
        <v/>
      </c>
      <c r="H5428" s="26" t="str">
        <f t="shared" si="1"/>
        <v/>
      </c>
      <c r="I5428" s="26" t="str">
        <f t="shared" si="2"/>
        <v/>
      </c>
      <c r="J5428" s="86">
        <f t="shared" si="3"/>
        <v>0</v>
      </c>
      <c r="R5428" s="26"/>
    </row>
    <row r="5429" spans="1:18" ht="15.75" customHeight="1">
      <c r="A5429" s="26"/>
      <c r="B5429" s="86"/>
      <c r="D5429" s="26"/>
      <c r="F5429" s="87" t="str">
        <f t="shared" si="0"/>
        <v/>
      </c>
      <c r="H5429" s="26" t="str">
        <f t="shared" si="1"/>
        <v/>
      </c>
      <c r="I5429" s="26" t="str">
        <f t="shared" si="2"/>
        <v/>
      </c>
      <c r="J5429" s="86">
        <f t="shared" si="3"/>
        <v>0</v>
      </c>
      <c r="R5429" s="26"/>
    </row>
    <row r="5430" spans="1:18" ht="15.75" customHeight="1">
      <c r="A5430" s="26"/>
      <c r="B5430" s="86"/>
      <c r="D5430" s="26"/>
      <c r="F5430" s="87" t="str">
        <f t="shared" si="0"/>
        <v/>
      </c>
      <c r="H5430" s="26" t="str">
        <f t="shared" si="1"/>
        <v/>
      </c>
      <c r="I5430" s="26" t="str">
        <f t="shared" si="2"/>
        <v/>
      </c>
      <c r="J5430" s="86">
        <f t="shared" si="3"/>
        <v>0</v>
      </c>
      <c r="R5430" s="26"/>
    </row>
    <row r="5431" spans="1:18" ht="15.75" customHeight="1">
      <c r="A5431" s="26"/>
      <c r="B5431" s="86"/>
      <c r="D5431" s="26"/>
      <c r="F5431" s="87" t="str">
        <f t="shared" si="0"/>
        <v/>
      </c>
      <c r="H5431" s="26" t="str">
        <f t="shared" si="1"/>
        <v/>
      </c>
      <c r="I5431" s="26" t="str">
        <f t="shared" si="2"/>
        <v/>
      </c>
      <c r="J5431" s="86">
        <f t="shared" si="3"/>
        <v>0</v>
      </c>
      <c r="R5431" s="26"/>
    </row>
    <row r="5432" spans="1:18" ht="15.75" customHeight="1">
      <c r="A5432" s="26"/>
      <c r="B5432" s="86"/>
      <c r="D5432" s="26"/>
      <c r="F5432" s="87" t="str">
        <f t="shared" si="0"/>
        <v/>
      </c>
      <c r="H5432" s="26" t="str">
        <f t="shared" si="1"/>
        <v/>
      </c>
      <c r="I5432" s="26" t="str">
        <f t="shared" si="2"/>
        <v/>
      </c>
      <c r="J5432" s="86">
        <f t="shared" si="3"/>
        <v>0</v>
      </c>
      <c r="R5432" s="26"/>
    </row>
    <row r="5433" spans="1:18" ht="15.75" customHeight="1">
      <c r="A5433" s="26"/>
      <c r="B5433" s="86"/>
      <c r="D5433" s="26"/>
      <c r="F5433" s="87" t="str">
        <f t="shared" si="0"/>
        <v/>
      </c>
      <c r="H5433" s="26" t="str">
        <f t="shared" si="1"/>
        <v/>
      </c>
      <c r="I5433" s="26" t="str">
        <f t="shared" si="2"/>
        <v/>
      </c>
      <c r="J5433" s="86">
        <f t="shared" si="3"/>
        <v>0</v>
      </c>
      <c r="R5433" s="26"/>
    </row>
    <row r="5434" spans="1:18" ht="15.75" customHeight="1">
      <c r="A5434" s="26"/>
      <c r="B5434" s="86"/>
      <c r="D5434" s="26"/>
      <c r="F5434" s="87" t="str">
        <f t="shared" si="0"/>
        <v/>
      </c>
      <c r="H5434" s="26" t="str">
        <f t="shared" si="1"/>
        <v/>
      </c>
      <c r="I5434" s="26" t="str">
        <f t="shared" si="2"/>
        <v/>
      </c>
      <c r="J5434" s="86">
        <f t="shared" si="3"/>
        <v>0</v>
      </c>
      <c r="R5434" s="26"/>
    </row>
    <row r="5435" spans="1:18" ht="15.75" customHeight="1">
      <c r="A5435" s="26"/>
      <c r="B5435" s="86"/>
      <c r="D5435" s="26"/>
      <c r="F5435" s="87" t="str">
        <f t="shared" si="0"/>
        <v/>
      </c>
      <c r="H5435" s="26" t="str">
        <f t="shared" si="1"/>
        <v/>
      </c>
      <c r="I5435" s="26" t="str">
        <f t="shared" si="2"/>
        <v/>
      </c>
      <c r="J5435" s="86">
        <f t="shared" si="3"/>
        <v>0</v>
      </c>
      <c r="R5435" s="26"/>
    </row>
    <row r="5436" spans="1:18" ht="15.75" customHeight="1">
      <c r="A5436" s="26"/>
      <c r="B5436" s="86"/>
      <c r="D5436" s="26"/>
      <c r="F5436" s="87" t="str">
        <f t="shared" si="0"/>
        <v/>
      </c>
      <c r="H5436" s="26" t="str">
        <f t="shared" si="1"/>
        <v/>
      </c>
      <c r="I5436" s="26" t="str">
        <f t="shared" si="2"/>
        <v/>
      </c>
      <c r="J5436" s="86">
        <f t="shared" si="3"/>
        <v>0</v>
      </c>
      <c r="R5436" s="26"/>
    </row>
    <row r="5437" spans="1:18" ht="15.75" customHeight="1">
      <c r="A5437" s="26"/>
      <c r="B5437" s="86"/>
      <c r="D5437" s="26"/>
      <c r="F5437" s="87" t="str">
        <f t="shared" si="0"/>
        <v/>
      </c>
      <c r="H5437" s="26" t="str">
        <f t="shared" si="1"/>
        <v/>
      </c>
      <c r="I5437" s="26" t="str">
        <f t="shared" si="2"/>
        <v/>
      </c>
      <c r="J5437" s="86">
        <f t="shared" si="3"/>
        <v>0</v>
      </c>
      <c r="R5437" s="26"/>
    </row>
    <row r="5438" spans="1:18" ht="15.75" customHeight="1">
      <c r="A5438" s="26"/>
      <c r="B5438" s="86"/>
      <c r="D5438" s="26"/>
      <c r="F5438" s="87" t="str">
        <f t="shared" si="0"/>
        <v/>
      </c>
      <c r="H5438" s="26" t="str">
        <f t="shared" si="1"/>
        <v/>
      </c>
      <c r="I5438" s="26" t="str">
        <f t="shared" si="2"/>
        <v/>
      </c>
      <c r="J5438" s="86">
        <f t="shared" si="3"/>
        <v>0</v>
      </c>
      <c r="R5438" s="26"/>
    </row>
    <row r="5439" spans="1:18" ht="15.75" customHeight="1">
      <c r="A5439" s="26"/>
      <c r="B5439" s="86"/>
      <c r="D5439" s="26"/>
      <c r="F5439" s="87" t="str">
        <f t="shared" si="0"/>
        <v/>
      </c>
      <c r="H5439" s="26" t="str">
        <f t="shared" si="1"/>
        <v/>
      </c>
      <c r="I5439" s="26" t="str">
        <f t="shared" si="2"/>
        <v/>
      </c>
      <c r="J5439" s="86">
        <f t="shared" si="3"/>
        <v>0</v>
      </c>
      <c r="R5439" s="26"/>
    </row>
    <row r="5440" spans="1:18" ht="15.75" customHeight="1">
      <c r="A5440" s="26"/>
      <c r="B5440" s="86"/>
      <c r="D5440" s="26"/>
      <c r="F5440" s="87" t="str">
        <f t="shared" si="0"/>
        <v/>
      </c>
      <c r="H5440" s="26" t="str">
        <f t="shared" si="1"/>
        <v/>
      </c>
      <c r="I5440" s="26" t="str">
        <f t="shared" si="2"/>
        <v/>
      </c>
      <c r="J5440" s="86">
        <f t="shared" si="3"/>
        <v>0</v>
      </c>
      <c r="R5440" s="26"/>
    </row>
    <row r="5441" spans="1:18" ht="15.75" customHeight="1">
      <c r="A5441" s="26"/>
      <c r="B5441" s="86"/>
      <c r="D5441" s="26"/>
      <c r="F5441" s="87" t="str">
        <f t="shared" si="0"/>
        <v/>
      </c>
      <c r="H5441" s="26" t="str">
        <f t="shared" si="1"/>
        <v/>
      </c>
      <c r="I5441" s="26" t="str">
        <f t="shared" si="2"/>
        <v/>
      </c>
      <c r="J5441" s="86">
        <f t="shared" si="3"/>
        <v>0</v>
      </c>
      <c r="R5441" s="26"/>
    </row>
    <row r="5442" spans="1:18" ht="15.75" customHeight="1">
      <c r="A5442" s="26"/>
      <c r="B5442" s="86"/>
      <c r="D5442" s="26"/>
      <c r="F5442" s="87" t="str">
        <f t="shared" si="0"/>
        <v/>
      </c>
      <c r="H5442" s="26" t="str">
        <f t="shared" si="1"/>
        <v/>
      </c>
      <c r="I5442" s="26" t="str">
        <f t="shared" si="2"/>
        <v/>
      </c>
      <c r="J5442" s="86">
        <f t="shared" si="3"/>
        <v>0</v>
      </c>
      <c r="R5442" s="26"/>
    </row>
    <row r="5443" spans="1:18" ht="15.75" customHeight="1">
      <c r="A5443" s="26"/>
      <c r="B5443" s="86"/>
      <c r="D5443" s="26"/>
      <c r="F5443" s="87" t="str">
        <f t="shared" si="0"/>
        <v/>
      </c>
      <c r="H5443" s="26" t="str">
        <f t="shared" si="1"/>
        <v/>
      </c>
      <c r="I5443" s="26" t="str">
        <f t="shared" si="2"/>
        <v/>
      </c>
      <c r="J5443" s="86">
        <f t="shared" si="3"/>
        <v>0</v>
      </c>
      <c r="R5443" s="26"/>
    </row>
    <row r="5444" spans="1:18" ht="15.75" customHeight="1">
      <c r="A5444" s="26"/>
      <c r="B5444" s="86"/>
      <c r="D5444" s="26"/>
      <c r="F5444" s="87" t="str">
        <f t="shared" si="0"/>
        <v/>
      </c>
      <c r="H5444" s="26" t="str">
        <f t="shared" si="1"/>
        <v/>
      </c>
      <c r="I5444" s="26" t="str">
        <f t="shared" si="2"/>
        <v/>
      </c>
      <c r="J5444" s="86">
        <f t="shared" si="3"/>
        <v>0</v>
      </c>
      <c r="R5444" s="26"/>
    </row>
    <row r="5445" spans="1:18" ht="15.75" customHeight="1">
      <c r="A5445" s="26"/>
      <c r="B5445" s="86"/>
      <c r="D5445" s="26"/>
      <c r="F5445" s="87" t="str">
        <f t="shared" si="0"/>
        <v/>
      </c>
      <c r="H5445" s="26" t="str">
        <f t="shared" si="1"/>
        <v/>
      </c>
      <c r="I5445" s="26" t="str">
        <f t="shared" si="2"/>
        <v/>
      </c>
      <c r="J5445" s="86">
        <f t="shared" si="3"/>
        <v>0</v>
      </c>
      <c r="R5445" s="26"/>
    </row>
    <row r="5446" spans="1:18" ht="15.75" customHeight="1">
      <c r="A5446" s="26"/>
      <c r="B5446" s="86"/>
      <c r="D5446" s="26"/>
      <c r="F5446" s="87" t="str">
        <f t="shared" si="0"/>
        <v/>
      </c>
      <c r="H5446" s="26" t="str">
        <f t="shared" si="1"/>
        <v/>
      </c>
      <c r="I5446" s="26" t="str">
        <f t="shared" si="2"/>
        <v/>
      </c>
      <c r="J5446" s="86">
        <f t="shared" si="3"/>
        <v>0</v>
      </c>
      <c r="R5446" s="26"/>
    </row>
    <row r="5447" spans="1:18" ht="15.75" customHeight="1">
      <c r="A5447" s="26"/>
      <c r="B5447" s="86"/>
      <c r="D5447" s="26"/>
      <c r="F5447" s="87" t="str">
        <f t="shared" si="0"/>
        <v/>
      </c>
      <c r="H5447" s="26" t="str">
        <f t="shared" si="1"/>
        <v/>
      </c>
      <c r="I5447" s="26" t="str">
        <f t="shared" si="2"/>
        <v/>
      </c>
      <c r="J5447" s="86">
        <f t="shared" si="3"/>
        <v>0</v>
      </c>
      <c r="R5447" s="26"/>
    </row>
    <row r="5448" spans="1:18" ht="15.75" customHeight="1">
      <c r="A5448" s="26"/>
      <c r="B5448" s="86"/>
      <c r="D5448" s="26"/>
      <c r="F5448" s="87" t="str">
        <f t="shared" si="0"/>
        <v/>
      </c>
      <c r="H5448" s="26" t="str">
        <f t="shared" si="1"/>
        <v/>
      </c>
      <c r="I5448" s="26" t="str">
        <f t="shared" si="2"/>
        <v/>
      </c>
      <c r="J5448" s="86">
        <f t="shared" si="3"/>
        <v>0</v>
      </c>
      <c r="R5448" s="26"/>
    </row>
    <row r="5449" spans="1:18" ht="15.75" customHeight="1">
      <c r="A5449" s="26"/>
      <c r="B5449" s="86"/>
      <c r="D5449" s="26"/>
      <c r="F5449" s="87" t="str">
        <f t="shared" si="0"/>
        <v/>
      </c>
      <c r="H5449" s="26" t="str">
        <f t="shared" si="1"/>
        <v/>
      </c>
      <c r="I5449" s="26" t="str">
        <f t="shared" si="2"/>
        <v/>
      </c>
      <c r="J5449" s="86">
        <f t="shared" si="3"/>
        <v>0</v>
      </c>
      <c r="R5449" s="26"/>
    </row>
    <row r="5450" spans="1:18" ht="15.75" customHeight="1">
      <c r="A5450" s="26"/>
      <c r="B5450" s="86"/>
      <c r="D5450" s="26"/>
      <c r="F5450" s="87" t="str">
        <f t="shared" si="0"/>
        <v/>
      </c>
      <c r="H5450" s="26" t="str">
        <f t="shared" si="1"/>
        <v/>
      </c>
      <c r="I5450" s="26" t="str">
        <f t="shared" si="2"/>
        <v/>
      </c>
      <c r="J5450" s="86">
        <f t="shared" si="3"/>
        <v>0</v>
      </c>
      <c r="R5450" s="26"/>
    </row>
    <row r="5451" spans="1:18" ht="15.75" customHeight="1">
      <c r="A5451" s="26"/>
      <c r="B5451" s="86"/>
      <c r="D5451" s="26"/>
      <c r="F5451" s="87" t="str">
        <f t="shared" si="0"/>
        <v/>
      </c>
      <c r="H5451" s="26" t="str">
        <f t="shared" si="1"/>
        <v/>
      </c>
      <c r="I5451" s="26" t="str">
        <f t="shared" si="2"/>
        <v/>
      </c>
      <c r="J5451" s="86">
        <f t="shared" si="3"/>
        <v>0</v>
      </c>
      <c r="R5451" s="26"/>
    </row>
    <row r="5452" spans="1:18" ht="15.75" customHeight="1">
      <c r="A5452" s="26"/>
      <c r="B5452" s="86"/>
      <c r="D5452" s="26"/>
      <c r="F5452" s="87" t="str">
        <f t="shared" si="0"/>
        <v/>
      </c>
      <c r="H5452" s="26" t="str">
        <f t="shared" si="1"/>
        <v/>
      </c>
      <c r="I5452" s="26" t="str">
        <f t="shared" si="2"/>
        <v/>
      </c>
      <c r="J5452" s="86">
        <f t="shared" si="3"/>
        <v>0</v>
      </c>
      <c r="R5452" s="26"/>
    </row>
    <row r="5453" spans="1:18" ht="15.75" customHeight="1">
      <c r="A5453" s="26"/>
      <c r="B5453" s="86"/>
      <c r="D5453" s="26"/>
      <c r="F5453" s="87" t="str">
        <f t="shared" si="0"/>
        <v/>
      </c>
      <c r="H5453" s="26" t="str">
        <f t="shared" si="1"/>
        <v/>
      </c>
      <c r="I5453" s="26" t="str">
        <f t="shared" si="2"/>
        <v/>
      </c>
      <c r="J5453" s="86">
        <f t="shared" si="3"/>
        <v>0</v>
      </c>
      <c r="R5453" s="26"/>
    </row>
    <row r="5454" spans="1:18" ht="15.75" customHeight="1">
      <c r="A5454" s="26"/>
      <c r="B5454" s="86"/>
      <c r="D5454" s="26"/>
      <c r="F5454" s="87" t="str">
        <f t="shared" si="0"/>
        <v/>
      </c>
      <c r="H5454" s="26" t="str">
        <f t="shared" si="1"/>
        <v/>
      </c>
      <c r="I5454" s="26" t="str">
        <f t="shared" si="2"/>
        <v/>
      </c>
      <c r="J5454" s="86">
        <f t="shared" si="3"/>
        <v>0</v>
      </c>
      <c r="R5454" s="26"/>
    </row>
    <row r="5455" spans="1:18" ht="15.75" customHeight="1">
      <c r="A5455" s="26"/>
      <c r="B5455" s="86"/>
      <c r="D5455" s="26"/>
      <c r="F5455" s="87" t="str">
        <f t="shared" si="0"/>
        <v/>
      </c>
      <c r="H5455" s="26" t="str">
        <f t="shared" si="1"/>
        <v/>
      </c>
      <c r="I5455" s="26" t="str">
        <f t="shared" si="2"/>
        <v/>
      </c>
      <c r="J5455" s="86">
        <f t="shared" si="3"/>
        <v>0</v>
      </c>
      <c r="R5455" s="26"/>
    </row>
    <row r="5456" spans="1:18" ht="15.75" customHeight="1">
      <c r="A5456" s="26"/>
      <c r="B5456" s="86"/>
      <c r="D5456" s="26"/>
      <c r="F5456" s="87" t="str">
        <f t="shared" si="0"/>
        <v/>
      </c>
      <c r="H5456" s="26" t="str">
        <f t="shared" si="1"/>
        <v/>
      </c>
      <c r="I5456" s="26" t="str">
        <f t="shared" si="2"/>
        <v/>
      </c>
      <c r="J5456" s="86">
        <f t="shared" si="3"/>
        <v>0</v>
      </c>
      <c r="R5456" s="26"/>
    </row>
    <row r="5457" spans="1:18" ht="15.75" customHeight="1">
      <c r="A5457" s="26"/>
      <c r="B5457" s="86"/>
      <c r="D5457" s="26"/>
      <c r="F5457" s="87" t="str">
        <f t="shared" si="0"/>
        <v/>
      </c>
      <c r="H5457" s="26" t="str">
        <f t="shared" si="1"/>
        <v/>
      </c>
      <c r="I5457" s="26" t="str">
        <f t="shared" si="2"/>
        <v/>
      </c>
      <c r="J5457" s="86">
        <f t="shared" si="3"/>
        <v>0</v>
      </c>
      <c r="R5457" s="26"/>
    </row>
    <row r="5458" spans="1:18" ht="15.75" customHeight="1">
      <c r="A5458" s="26"/>
      <c r="B5458" s="86"/>
      <c r="D5458" s="26"/>
      <c r="F5458" s="87" t="str">
        <f t="shared" si="0"/>
        <v/>
      </c>
      <c r="H5458" s="26" t="str">
        <f t="shared" si="1"/>
        <v/>
      </c>
      <c r="I5458" s="26" t="str">
        <f t="shared" si="2"/>
        <v/>
      </c>
      <c r="J5458" s="86">
        <f t="shared" si="3"/>
        <v>0</v>
      </c>
      <c r="R5458" s="26"/>
    </row>
    <row r="5459" spans="1:18" ht="15.75" customHeight="1">
      <c r="A5459" s="26"/>
      <c r="B5459" s="86"/>
      <c r="D5459" s="26"/>
      <c r="F5459" s="87" t="str">
        <f t="shared" si="0"/>
        <v/>
      </c>
      <c r="H5459" s="26" t="str">
        <f t="shared" si="1"/>
        <v/>
      </c>
      <c r="I5459" s="26" t="str">
        <f t="shared" si="2"/>
        <v/>
      </c>
      <c r="J5459" s="86">
        <f t="shared" si="3"/>
        <v>0</v>
      </c>
      <c r="R5459" s="26"/>
    </row>
    <row r="5460" spans="1:18" ht="15.75" customHeight="1">
      <c r="A5460" s="26"/>
      <c r="B5460" s="86"/>
      <c r="D5460" s="26"/>
      <c r="F5460" s="87" t="str">
        <f t="shared" si="0"/>
        <v/>
      </c>
      <c r="H5460" s="26" t="str">
        <f t="shared" si="1"/>
        <v/>
      </c>
      <c r="I5460" s="26" t="str">
        <f t="shared" si="2"/>
        <v/>
      </c>
      <c r="J5460" s="86">
        <f t="shared" si="3"/>
        <v>0</v>
      </c>
      <c r="R5460" s="26"/>
    </row>
    <row r="5461" spans="1:18" ht="15.75" customHeight="1">
      <c r="A5461" s="26"/>
      <c r="B5461" s="86"/>
      <c r="D5461" s="26"/>
      <c r="F5461" s="87" t="str">
        <f t="shared" si="0"/>
        <v/>
      </c>
      <c r="H5461" s="26" t="str">
        <f t="shared" si="1"/>
        <v/>
      </c>
      <c r="I5461" s="26" t="str">
        <f t="shared" si="2"/>
        <v/>
      </c>
      <c r="J5461" s="86">
        <f t="shared" si="3"/>
        <v>0</v>
      </c>
      <c r="R5461" s="26"/>
    </row>
    <row r="5462" spans="1:18" ht="15.75" customHeight="1">
      <c r="A5462" s="26"/>
      <c r="B5462" s="86"/>
      <c r="D5462" s="26"/>
      <c r="F5462" s="87" t="str">
        <f t="shared" si="0"/>
        <v/>
      </c>
      <c r="H5462" s="26" t="str">
        <f t="shared" si="1"/>
        <v/>
      </c>
      <c r="I5462" s="26" t="str">
        <f t="shared" si="2"/>
        <v/>
      </c>
      <c r="J5462" s="86">
        <f t="shared" si="3"/>
        <v>0</v>
      </c>
      <c r="R5462" s="26"/>
    </row>
    <row r="5463" spans="1:18" ht="15.75" customHeight="1">
      <c r="A5463" s="26"/>
      <c r="B5463" s="86"/>
      <c r="D5463" s="26"/>
      <c r="F5463" s="87" t="str">
        <f t="shared" si="0"/>
        <v/>
      </c>
      <c r="H5463" s="26" t="str">
        <f t="shared" si="1"/>
        <v/>
      </c>
      <c r="I5463" s="26" t="str">
        <f t="shared" si="2"/>
        <v/>
      </c>
      <c r="J5463" s="86">
        <f t="shared" si="3"/>
        <v>0</v>
      </c>
      <c r="R5463" s="26"/>
    </row>
    <row r="5464" spans="1:18" ht="15.75" customHeight="1">
      <c r="A5464" s="26"/>
      <c r="B5464" s="86"/>
      <c r="D5464" s="26"/>
      <c r="F5464" s="87" t="str">
        <f t="shared" si="0"/>
        <v/>
      </c>
      <c r="H5464" s="26" t="str">
        <f t="shared" si="1"/>
        <v/>
      </c>
      <c r="I5464" s="26" t="str">
        <f t="shared" si="2"/>
        <v/>
      </c>
      <c r="J5464" s="86">
        <f t="shared" si="3"/>
        <v>0</v>
      </c>
      <c r="R5464" s="26"/>
    </row>
    <row r="5465" spans="1:18" ht="15.75" customHeight="1">
      <c r="A5465" s="26"/>
      <c r="B5465" s="86"/>
      <c r="D5465" s="26"/>
      <c r="F5465" s="87" t="str">
        <f t="shared" si="0"/>
        <v/>
      </c>
      <c r="H5465" s="26" t="str">
        <f t="shared" si="1"/>
        <v/>
      </c>
      <c r="I5465" s="26" t="str">
        <f t="shared" si="2"/>
        <v/>
      </c>
      <c r="J5465" s="86">
        <f t="shared" si="3"/>
        <v>0</v>
      </c>
      <c r="R5465" s="26"/>
    </row>
    <row r="5466" spans="1:18" ht="15.75" customHeight="1">
      <c r="A5466" s="26"/>
      <c r="B5466" s="86"/>
      <c r="D5466" s="26"/>
      <c r="F5466" s="87" t="str">
        <f t="shared" si="0"/>
        <v/>
      </c>
      <c r="H5466" s="26" t="str">
        <f t="shared" si="1"/>
        <v/>
      </c>
      <c r="I5466" s="26" t="str">
        <f t="shared" si="2"/>
        <v/>
      </c>
      <c r="J5466" s="86">
        <f t="shared" si="3"/>
        <v>0</v>
      </c>
      <c r="R5466" s="26"/>
    </row>
    <row r="5467" spans="1:18" ht="15.75" customHeight="1">
      <c r="A5467" s="26"/>
      <c r="B5467" s="86"/>
      <c r="D5467" s="26"/>
      <c r="F5467" s="87" t="str">
        <f t="shared" si="0"/>
        <v/>
      </c>
      <c r="H5467" s="26" t="str">
        <f t="shared" si="1"/>
        <v/>
      </c>
      <c r="I5467" s="26" t="str">
        <f t="shared" si="2"/>
        <v/>
      </c>
      <c r="J5467" s="86">
        <f t="shared" si="3"/>
        <v>0</v>
      </c>
      <c r="R5467" s="26"/>
    </row>
    <row r="5468" spans="1:18" ht="15.75" customHeight="1">
      <c r="A5468" s="26"/>
      <c r="B5468" s="86"/>
      <c r="D5468" s="26"/>
      <c r="F5468" s="87" t="str">
        <f t="shared" si="0"/>
        <v/>
      </c>
      <c r="H5468" s="26" t="str">
        <f t="shared" si="1"/>
        <v/>
      </c>
      <c r="I5468" s="26" t="str">
        <f t="shared" si="2"/>
        <v/>
      </c>
      <c r="J5468" s="86">
        <f t="shared" si="3"/>
        <v>0</v>
      </c>
      <c r="R5468" s="26"/>
    </row>
    <row r="5469" spans="1:18" ht="15.75" customHeight="1">
      <c r="A5469" s="26"/>
      <c r="B5469" s="86"/>
      <c r="D5469" s="26"/>
      <c r="F5469" s="87" t="str">
        <f t="shared" si="0"/>
        <v/>
      </c>
      <c r="H5469" s="26" t="str">
        <f t="shared" si="1"/>
        <v/>
      </c>
      <c r="I5469" s="26" t="str">
        <f t="shared" si="2"/>
        <v/>
      </c>
      <c r="J5469" s="86">
        <f t="shared" si="3"/>
        <v>0</v>
      </c>
      <c r="R5469" s="26"/>
    </row>
    <row r="5470" spans="1:18" ht="15.75" customHeight="1">
      <c r="A5470" s="26"/>
      <c r="B5470" s="86"/>
      <c r="D5470" s="26"/>
      <c r="F5470" s="87" t="str">
        <f t="shared" si="0"/>
        <v/>
      </c>
      <c r="H5470" s="26" t="str">
        <f t="shared" si="1"/>
        <v/>
      </c>
      <c r="I5470" s="26" t="str">
        <f t="shared" si="2"/>
        <v/>
      </c>
      <c r="J5470" s="86">
        <f t="shared" si="3"/>
        <v>0</v>
      </c>
      <c r="R5470" s="26"/>
    </row>
    <row r="5471" spans="1:18" ht="15.75" customHeight="1">
      <c r="A5471" s="26"/>
      <c r="B5471" s="86"/>
      <c r="D5471" s="26"/>
      <c r="F5471" s="87" t="str">
        <f t="shared" si="0"/>
        <v/>
      </c>
      <c r="H5471" s="26" t="str">
        <f t="shared" si="1"/>
        <v/>
      </c>
      <c r="I5471" s="26" t="str">
        <f t="shared" si="2"/>
        <v/>
      </c>
      <c r="J5471" s="86">
        <f t="shared" si="3"/>
        <v>0</v>
      </c>
      <c r="R5471" s="26"/>
    </row>
    <row r="5472" spans="1:18" ht="15.75" customHeight="1">
      <c r="A5472" s="26"/>
      <c r="B5472" s="86"/>
      <c r="D5472" s="26"/>
      <c r="F5472" s="87" t="str">
        <f t="shared" si="0"/>
        <v/>
      </c>
      <c r="H5472" s="26" t="str">
        <f t="shared" si="1"/>
        <v/>
      </c>
      <c r="I5472" s="26" t="str">
        <f t="shared" si="2"/>
        <v/>
      </c>
      <c r="J5472" s="86">
        <f t="shared" si="3"/>
        <v>0</v>
      </c>
      <c r="R5472" s="26"/>
    </row>
    <row r="5473" spans="1:18" ht="15.75" customHeight="1">
      <c r="A5473" s="26"/>
      <c r="B5473" s="86"/>
      <c r="D5473" s="26"/>
      <c r="F5473" s="87" t="str">
        <f t="shared" si="0"/>
        <v/>
      </c>
      <c r="H5473" s="26" t="str">
        <f t="shared" si="1"/>
        <v/>
      </c>
      <c r="I5473" s="26" t="str">
        <f t="shared" si="2"/>
        <v/>
      </c>
      <c r="J5473" s="86">
        <f t="shared" si="3"/>
        <v>0</v>
      </c>
      <c r="R5473" s="26"/>
    </row>
    <row r="5474" spans="1:18" ht="15.75" customHeight="1">
      <c r="A5474" s="26"/>
      <c r="B5474" s="86"/>
      <c r="D5474" s="26"/>
      <c r="F5474" s="87" t="str">
        <f t="shared" si="0"/>
        <v/>
      </c>
      <c r="H5474" s="26" t="str">
        <f t="shared" si="1"/>
        <v/>
      </c>
      <c r="I5474" s="26" t="str">
        <f t="shared" si="2"/>
        <v/>
      </c>
      <c r="J5474" s="86">
        <f t="shared" si="3"/>
        <v>0</v>
      </c>
      <c r="R5474" s="26"/>
    </row>
    <row r="5475" spans="1:18" ht="15.75" customHeight="1">
      <c r="A5475" s="26"/>
      <c r="B5475" s="86"/>
      <c r="D5475" s="26"/>
      <c r="F5475" s="87" t="str">
        <f t="shared" si="0"/>
        <v/>
      </c>
      <c r="H5475" s="26" t="str">
        <f t="shared" si="1"/>
        <v/>
      </c>
      <c r="I5475" s="26" t="str">
        <f t="shared" si="2"/>
        <v/>
      </c>
      <c r="J5475" s="86">
        <f t="shared" si="3"/>
        <v>0</v>
      </c>
      <c r="R5475" s="26"/>
    </row>
    <row r="5476" spans="1:18" ht="15.75" customHeight="1">
      <c r="A5476" s="26"/>
      <c r="B5476" s="86"/>
      <c r="D5476" s="26"/>
      <c r="F5476" s="87" t="str">
        <f t="shared" si="0"/>
        <v/>
      </c>
      <c r="H5476" s="26" t="str">
        <f t="shared" si="1"/>
        <v/>
      </c>
      <c r="I5476" s="26" t="str">
        <f t="shared" si="2"/>
        <v/>
      </c>
      <c r="J5476" s="86">
        <f t="shared" si="3"/>
        <v>0</v>
      </c>
      <c r="R5476" s="26"/>
    </row>
    <row r="5477" spans="1:18" ht="15.75" customHeight="1">
      <c r="A5477" s="26"/>
      <c r="B5477" s="86"/>
      <c r="D5477" s="26"/>
      <c r="F5477" s="87" t="str">
        <f t="shared" si="0"/>
        <v/>
      </c>
      <c r="H5477" s="26" t="str">
        <f t="shared" si="1"/>
        <v/>
      </c>
      <c r="I5477" s="26" t="str">
        <f t="shared" si="2"/>
        <v/>
      </c>
      <c r="J5477" s="86">
        <f t="shared" si="3"/>
        <v>0</v>
      </c>
      <c r="R5477" s="26"/>
    </row>
    <row r="5478" spans="1:18" ht="15.75" customHeight="1">
      <c r="A5478" s="26"/>
      <c r="B5478" s="86"/>
      <c r="D5478" s="26"/>
      <c r="F5478" s="87" t="str">
        <f t="shared" si="0"/>
        <v/>
      </c>
      <c r="H5478" s="26" t="str">
        <f t="shared" si="1"/>
        <v/>
      </c>
      <c r="I5478" s="26" t="str">
        <f t="shared" si="2"/>
        <v/>
      </c>
      <c r="J5478" s="86">
        <f t="shared" si="3"/>
        <v>0</v>
      </c>
      <c r="R5478" s="26"/>
    </row>
    <row r="5479" spans="1:18" ht="15.75" customHeight="1">
      <c r="A5479" s="26"/>
      <c r="B5479" s="86"/>
      <c r="D5479" s="26"/>
      <c r="F5479" s="87" t="str">
        <f t="shared" si="0"/>
        <v/>
      </c>
      <c r="H5479" s="26" t="str">
        <f t="shared" si="1"/>
        <v/>
      </c>
      <c r="I5479" s="26" t="str">
        <f t="shared" si="2"/>
        <v/>
      </c>
      <c r="J5479" s="86">
        <f t="shared" si="3"/>
        <v>0</v>
      </c>
      <c r="R5479" s="26"/>
    </row>
    <row r="5480" spans="1:18" ht="15.75" customHeight="1">
      <c r="A5480" s="26"/>
      <c r="B5480" s="86"/>
      <c r="D5480" s="26"/>
      <c r="F5480" s="87" t="str">
        <f t="shared" si="0"/>
        <v/>
      </c>
      <c r="H5480" s="26" t="str">
        <f t="shared" si="1"/>
        <v/>
      </c>
      <c r="I5480" s="26" t="str">
        <f t="shared" si="2"/>
        <v/>
      </c>
      <c r="J5480" s="86">
        <f t="shared" si="3"/>
        <v>0</v>
      </c>
      <c r="R5480" s="26"/>
    </row>
    <row r="5481" spans="1:18" ht="15.75" customHeight="1">
      <c r="A5481" s="26"/>
      <c r="B5481" s="86"/>
      <c r="D5481" s="26"/>
      <c r="F5481" s="87" t="str">
        <f t="shared" si="0"/>
        <v/>
      </c>
      <c r="H5481" s="26" t="str">
        <f t="shared" si="1"/>
        <v/>
      </c>
      <c r="I5481" s="26" t="str">
        <f t="shared" si="2"/>
        <v/>
      </c>
      <c r="J5481" s="86">
        <f t="shared" si="3"/>
        <v>0</v>
      </c>
      <c r="R5481" s="26"/>
    </row>
    <row r="5482" spans="1:18" ht="15.75" customHeight="1">
      <c r="A5482" s="26"/>
      <c r="B5482" s="86"/>
      <c r="D5482" s="26"/>
      <c r="F5482" s="87" t="str">
        <f t="shared" si="0"/>
        <v/>
      </c>
      <c r="H5482" s="26" t="str">
        <f t="shared" si="1"/>
        <v/>
      </c>
      <c r="I5482" s="26" t="str">
        <f t="shared" si="2"/>
        <v/>
      </c>
      <c r="J5482" s="86">
        <f t="shared" si="3"/>
        <v>0</v>
      </c>
      <c r="R5482" s="26"/>
    </row>
    <row r="5483" spans="1:18" ht="15.75" customHeight="1">
      <c r="A5483" s="26"/>
      <c r="B5483" s="86"/>
      <c r="D5483" s="26"/>
      <c r="F5483" s="87" t="str">
        <f t="shared" si="0"/>
        <v/>
      </c>
      <c r="H5483" s="26" t="str">
        <f t="shared" si="1"/>
        <v/>
      </c>
      <c r="I5483" s="26" t="str">
        <f t="shared" si="2"/>
        <v/>
      </c>
      <c r="J5483" s="86">
        <f t="shared" si="3"/>
        <v>0</v>
      </c>
      <c r="R5483" s="26"/>
    </row>
    <row r="5484" spans="1:18" ht="15.75" customHeight="1">
      <c r="A5484" s="26"/>
      <c r="B5484" s="86"/>
      <c r="D5484" s="26"/>
      <c r="F5484" s="87" t="str">
        <f t="shared" si="0"/>
        <v/>
      </c>
      <c r="H5484" s="26" t="str">
        <f t="shared" si="1"/>
        <v/>
      </c>
      <c r="I5484" s="26" t="str">
        <f t="shared" si="2"/>
        <v/>
      </c>
      <c r="J5484" s="86">
        <f t="shared" si="3"/>
        <v>0</v>
      </c>
      <c r="R5484" s="26"/>
    </row>
    <row r="5485" spans="1:18" ht="15.75" customHeight="1">
      <c r="A5485" s="26"/>
      <c r="B5485" s="86"/>
      <c r="D5485" s="26"/>
      <c r="F5485" s="87" t="str">
        <f t="shared" si="0"/>
        <v/>
      </c>
      <c r="H5485" s="26" t="str">
        <f t="shared" si="1"/>
        <v/>
      </c>
      <c r="I5485" s="26" t="str">
        <f t="shared" si="2"/>
        <v/>
      </c>
      <c r="J5485" s="86">
        <f t="shared" si="3"/>
        <v>0</v>
      </c>
      <c r="R5485" s="26"/>
    </row>
    <row r="5486" spans="1:18" ht="15.75" customHeight="1">
      <c r="A5486" s="26"/>
      <c r="B5486" s="86"/>
      <c r="D5486" s="26"/>
      <c r="F5486" s="87" t="str">
        <f t="shared" si="0"/>
        <v/>
      </c>
      <c r="H5486" s="26" t="str">
        <f t="shared" si="1"/>
        <v/>
      </c>
      <c r="I5486" s="26" t="str">
        <f t="shared" si="2"/>
        <v/>
      </c>
      <c r="J5486" s="86">
        <f t="shared" si="3"/>
        <v>0</v>
      </c>
      <c r="R5486" s="26"/>
    </row>
    <row r="5487" spans="1:18" ht="15.75" customHeight="1">
      <c r="A5487" s="26"/>
      <c r="B5487" s="86"/>
      <c r="D5487" s="26"/>
      <c r="F5487" s="87" t="str">
        <f t="shared" si="0"/>
        <v/>
      </c>
      <c r="H5487" s="26" t="str">
        <f t="shared" si="1"/>
        <v/>
      </c>
      <c r="I5487" s="26" t="str">
        <f t="shared" si="2"/>
        <v/>
      </c>
      <c r="J5487" s="86">
        <f t="shared" si="3"/>
        <v>0</v>
      </c>
      <c r="R5487" s="26"/>
    </row>
    <row r="5488" spans="1:18" ht="15.75" customHeight="1">
      <c r="A5488" s="26"/>
      <c r="B5488" s="86"/>
      <c r="D5488" s="26"/>
      <c r="F5488" s="87" t="str">
        <f t="shared" si="0"/>
        <v/>
      </c>
      <c r="H5488" s="26" t="str">
        <f t="shared" si="1"/>
        <v/>
      </c>
      <c r="I5488" s="26" t="str">
        <f t="shared" si="2"/>
        <v/>
      </c>
      <c r="J5488" s="86">
        <f t="shared" si="3"/>
        <v>0</v>
      </c>
      <c r="R5488" s="26"/>
    </row>
    <row r="5489" spans="1:18" ht="15.75" customHeight="1">
      <c r="A5489" s="26"/>
      <c r="B5489" s="86"/>
      <c r="D5489" s="26"/>
      <c r="F5489" s="87" t="str">
        <f t="shared" si="0"/>
        <v/>
      </c>
      <c r="H5489" s="26" t="str">
        <f t="shared" si="1"/>
        <v/>
      </c>
      <c r="I5489" s="26" t="str">
        <f t="shared" si="2"/>
        <v/>
      </c>
      <c r="J5489" s="86">
        <f t="shared" si="3"/>
        <v>0</v>
      </c>
      <c r="R5489" s="26"/>
    </row>
    <row r="5490" spans="1:18" ht="15.75" customHeight="1">
      <c r="A5490" s="26"/>
      <c r="B5490" s="86"/>
      <c r="D5490" s="26"/>
      <c r="F5490" s="87" t="str">
        <f t="shared" si="0"/>
        <v/>
      </c>
      <c r="H5490" s="26" t="str">
        <f t="shared" si="1"/>
        <v/>
      </c>
      <c r="I5490" s="26" t="str">
        <f t="shared" si="2"/>
        <v/>
      </c>
      <c r="J5490" s="86">
        <f t="shared" si="3"/>
        <v>0</v>
      </c>
      <c r="R5490" s="26"/>
    </row>
    <row r="5491" spans="1:18" ht="15.75" customHeight="1">
      <c r="A5491" s="26"/>
      <c r="B5491" s="86"/>
      <c r="D5491" s="26"/>
      <c r="F5491" s="87" t="str">
        <f t="shared" si="0"/>
        <v/>
      </c>
      <c r="H5491" s="26" t="str">
        <f t="shared" si="1"/>
        <v/>
      </c>
      <c r="I5491" s="26" t="str">
        <f t="shared" si="2"/>
        <v/>
      </c>
      <c r="J5491" s="86">
        <f t="shared" si="3"/>
        <v>0</v>
      </c>
      <c r="R5491" s="26"/>
    </row>
    <row r="5492" spans="1:18" ht="15.75" customHeight="1">
      <c r="A5492" s="26"/>
      <c r="B5492" s="86"/>
      <c r="D5492" s="26"/>
      <c r="F5492" s="87" t="str">
        <f t="shared" si="0"/>
        <v/>
      </c>
      <c r="H5492" s="26" t="str">
        <f t="shared" si="1"/>
        <v/>
      </c>
      <c r="I5492" s="26" t="str">
        <f t="shared" si="2"/>
        <v/>
      </c>
      <c r="J5492" s="86">
        <f t="shared" si="3"/>
        <v>0</v>
      </c>
      <c r="R5492" s="26"/>
    </row>
    <row r="5493" spans="1:18" ht="15.75" customHeight="1">
      <c r="A5493" s="26"/>
      <c r="B5493" s="86"/>
      <c r="D5493" s="26"/>
      <c r="F5493" s="87" t="str">
        <f t="shared" si="0"/>
        <v/>
      </c>
      <c r="H5493" s="26" t="str">
        <f t="shared" si="1"/>
        <v/>
      </c>
      <c r="I5493" s="26" t="str">
        <f t="shared" si="2"/>
        <v/>
      </c>
      <c r="J5493" s="86">
        <f t="shared" si="3"/>
        <v>0</v>
      </c>
      <c r="R5493" s="26"/>
    </row>
    <row r="5494" spans="1:18" ht="15.75" customHeight="1">
      <c r="A5494" s="26"/>
      <c r="B5494" s="86"/>
      <c r="D5494" s="26"/>
      <c r="F5494" s="87" t="str">
        <f t="shared" si="0"/>
        <v/>
      </c>
      <c r="H5494" s="26" t="str">
        <f t="shared" si="1"/>
        <v/>
      </c>
      <c r="I5494" s="26" t="str">
        <f t="shared" si="2"/>
        <v/>
      </c>
      <c r="J5494" s="86">
        <f t="shared" si="3"/>
        <v>0</v>
      </c>
      <c r="R5494" s="26"/>
    </row>
    <row r="5495" spans="1:18" ht="15.75" customHeight="1">
      <c r="A5495" s="26"/>
      <c r="B5495" s="86"/>
      <c r="D5495" s="26"/>
      <c r="F5495" s="87" t="str">
        <f t="shared" si="0"/>
        <v/>
      </c>
      <c r="H5495" s="26" t="str">
        <f t="shared" si="1"/>
        <v/>
      </c>
      <c r="I5495" s="26" t="str">
        <f t="shared" si="2"/>
        <v/>
      </c>
      <c r="J5495" s="86">
        <f t="shared" si="3"/>
        <v>0</v>
      </c>
      <c r="R5495" s="26"/>
    </row>
    <row r="5496" spans="1:18" ht="15.75" customHeight="1">
      <c r="A5496" s="26"/>
      <c r="B5496" s="86"/>
      <c r="D5496" s="26"/>
      <c r="F5496" s="87" t="str">
        <f t="shared" si="0"/>
        <v/>
      </c>
      <c r="H5496" s="26" t="str">
        <f t="shared" si="1"/>
        <v/>
      </c>
      <c r="I5496" s="26" t="str">
        <f t="shared" si="2"/>
        <v/>
      </c>
      <c r="J5496" s="86">
        <f t="shared" si="3"/>
        <v>0</v>
      </c>
      <c r="R5496" s="26"/>
    </row>
    <row r="5497" spans="1:18" ht="15.75" customHeight="1">
      <c r="A5497" s="26"/>
      <c r="B5497" s="86"/>
      <c r="D5497" s="26"/>
      <c r="F5497" s="87" t="str">
        <f t="shared" si="0"/>
        <v/>
      </c>
      <c r="H5497" s="26" t="str">
        <f t="shared" si="1"/>
        <v/>
      </c>
      <c r="I5497" s="26" t="str">
        <f t="shared" si="2"/>
        <v/>
      </c>
      <c r="J5497" s="86">
        <f t="shared" si="3"/>
        <v>0</v>
      </c>
      <c r="R5497" s="26"/>
    </row>
    <row r="5498" spans="1:18" ht="15.75" customHeight="1">
      <c r="A5498" s="26"/>
      <c r="B5498" s="86"/>
      <c r="D5498" s="26"/>
      <c r="F5498" s="87" t="str">
        <f t="shared" si="0"/>
        <v/>
      </c>
      <c r="H5498" s="26" t="str">
        <f t="shared" si="1"/>
        <v/>
      </c>
      <c r="I5498" s="26" t="str">
        <f t="shared" si="2"/>
        <v/>
      </c>
      <c r="J5498" s="86">
        <f t="shared" si="3"/>
        <v>0</v>
      </c>
      <c r="R5498" s="26"/>
    </row>
    <row r="5499" spans="1:18" ht="15.75" customHeight="1">
      <c r="A5499" s="26"/>
      <c r="B5499" s="86"/>
      <c r="D5499" s="26"/>
      <c r="F5499" s="87" t="str">
        <f t="shared" si="0"/>
        <v/>
      </c>
      <c r="H5499" s="26" t="str">
        <f t="shared" si="1"/>
        <v/>
      </c>
      <c r="I5499" s="26" t="str">
        <f t="shared" si="2"/>
        <v/>
      </c>
      <c r="J5499" s="86">
        <f t="shared" si="3"/>
        <v>0</v>
      </c>
      <c r="R5499" s="26"/>
    </row>
    <row r="5500" spans="1:18" ht="15.75" customHeight="1">
      <c r="A5500" s="26"/>
      <c r="B5500" s="86"/>
      <c r="D5500" s="26"/>
      <c r="F5500" s="87" t="str">
        <f t="shared" si="0"/>
        <v/>
      </c>
      <c r="H5500" s="26" t="str">
        <f t="shared" si="1"/>
        <v/>
      </c>
      <c r="I5500" s="26" t="str">
        <f t="shared" si="2"/>
        <v/>
      </c>
      <c r="J5500" s="86">
        <f t="shared" si="3"/>
        <v>0</v>
      </c>
      <c r="R5500" s="26"/>
    </row>
    <row r="5501" spans="1:18" ht="15.75" customHeight="1">
      <c r="A5501" s="26"/>
      <c r="B5501" s="86"/>
      <c r="D5501" s="26"/>
      <c r="F5501" s="87" t="str">
        <f t="shared" si="0"/>
        <v/>
      </c>
      <c r="H5501" s="26" t="str">
        <f t="shared" si="1"/>
        <v/>
      </c>
      <c r="I5501" s="26" t="str">
        <f t="shared" si="2"/>
        <v/>
      </c>
      <c r="J5501" s="86">
        <f t="shared" si="3"/>
        <v>0</v>
      </c>
      <c r="R5501" s="26"/>
    </row>
    <row r="5502" spans="1:18" ht="15.75" customHeight="1">
      <c r="A5502" s="26"/>
      <c r="B5502" s="86"/>
      <c r="D5502" s="26"/>
      <c r="F5502" s="87" t="str">
        <f t="shared" si="0"/>
        <v/>
      </c>
      <c r="H5502" s="26" t="str">
        <f t="shared" si="1"/>
        <v/>
      </c>
      <c r="I5502" s="26" t="str">
        <f t="shared" si="2"/>
        <v/>
      </c>
      <c r="J5502" s="86">
        <f t="shared" si="3"/>
        <v>0</v>
      </c>
      <c r="R5502" s="26"/>
    </row>
    <row r="5503" spans="1:18" ht="15.75" customHeight="1">
      <c r="A5503" s="26"/>
      <c r="B5503" s="86"/>
      <c r="D5503" s="26"/>
      <c r="F5503" s="87" t="str">
        <f t="shared" si="0"/>
        <v/>
      </c>
      <c r="H5503" s="26" t="str">
        <f t="shared" si="1"/>
        <v/>
      </c>
      <c r="I5503" s="26" t="str">
        <f t="shared" si="2"/>
        <v/>
      </c>
      <c r="J5503" s="86">
        <f t="shared" si="3"/>
        <v>0</v>
      </c>
      <c r="R5503" s="26"/>
    </row>
    <row r="5504" spans="1:18" ht="15.75" customHeight="1">
      <c r="A5504" s="26"/>
      <c r="B5504" s="86"/>
      <c r="D5504" s="26"/>
      <c r="F5504" s="87" t="str">
        <f t="shared" si="0"/>
        <v/>
      </c>
      <c r="H5504" s="26" t="str">
        <f t="shared" si="1"/>
        <v/>
      </c>
      <c r="I5504" s="26" t="str">
        <f t="shared" si="2"/>
        <v/>
      </c>
      <c r="J5504" s="86">
        <f t="shared" si="3"/>
        <v>0</v>
      </c>
      <c r="R5504" s="26"/>
    </row>
    <row r="5505" spans="1:18" ht="15.75" customHeight="1">
      <c r="A5505" s="26"/>
      <c r="B5505" s="86"/>
      <c r="D5505" s="26"/>
      <c r="F5505" s="87" t="str">
        <f t="shared" si="0"/>
        <v/>
      </c>
      <c r="H5505" s="26" t="str">
        <f t="shared" si="1"/>
        <v/>
      </c>
      <c r="I5505" s="26" t="str">
        <f t="shared" si="2"/>
        <v/>
      </c>
      <c r="J5505" s="86">
        <f t="shared" si="3"/>
        <v>0</v>
      </c>
      <c r="R5505" s="26"/>
    </row>
    <row r="5506" spans="1:18" ht="15.75" customHeight="1">
      <c r="A5506" s="26"/>
      <c r="B5506" s="86"/>
      <c r="D5506" s="26"/>
      <c r="F5506" s="87" t="str">
        <f t="shared" si="0"/>
        <v/>
      </c>
      <c r="H5506" s="26" t="str">
        <f t="shared" si="1"/>
        <v/>
      </c>
      <c r="I5506" s="26" t="str">
        <f t="shared" si="2"/>
        <v/>
      </c>
      <c r="J5506" s="86">
        <f t="shared" si="3"/>
        <v>0</v>
      </c>
      <c r="R5506" s="26"/>
    </row>
    <row r="5507" spans="1:18" ht="15.75" customHeight="1">
      <c r="A5507" s="26"/>
      <c r="B5507" s="86"/>
      <c r="D5507" s="26"/>
      <c r="F5507" s="87" t="str">
        <f t="shared" si="0"/>
        <v/>
      </c>
      <c r="H5507" s="26" t="str">
        <f t="shared" si="1"/>
        <v/>
      </c>
      <c r="I5507" s="26" t="str">
        <f t="shared" si="2"/>
        <v/>
      </c>
      <c r="J5507" s="86">
        <f t="shared" si="3"/>
        <v>0</v>
      </c>
      <c r="R5507" s="26"/>
    </row>
    <row r="5508" spans="1:18" ht="15.75" customHeight="1">
      <c r="A5508" s="26"/>
      <c r="B5508" s="86"/>
      <c r="D5508" s="26"/>
      <c r="F5508" s="87" t="str">
        <f t="shared" si="0"/>
        <v/>
      </c>
      <c r="H5508" s="26" t="str">
        <f t="shared" si="1"/>
        <v/>
      </c>
      <c r="I5508" s="26" t="str">
        <f t="shared" si="2"/>
        <v/>
      </c>
      <c r="J5508" s="86">
        <f t="shared" si="3"/>
        <v>0</v>
      </c>
      <c r="R5508" s="26"/>
    </row>
    <row r="5509" spans="1:18" ht="15.75" customHeight="1">
      <c r="A5509" s="26"/>
      <c r="B5509" s="86"/>
      <c r="D5509" s="26"/>
      <c r="F5509" s="87" t="str">
        <f t="shared" si="0"/>
        <v/>
      </c>
      <c r="H5509" s="26" t="str">
        <f t="shared" si="1"/>
        <v/>
      </c>
      <c r="I5509" s="26" t="str">
        <f t="shared" si="2"/>
        <v/>
      </c>
      <c r="J5509" s="86">
        <f t="shared" si="3"/>
        <v>0</v>
      </c>
      <c r="R5509" s="26"/>
    </row>
    <row r="5510" spans="1:18" ht="15.75" customHeight="1">
      <c r="A5510" s="26"/>
      <c r="B5510" s="86"/>
      <c r="D5510" s="26"/>
      <c r="F5510" s="87" t="str">
        <f t="shared" si="0"/>
        <v/>
      </c>
      <c r="H5510" s="26" t="str">
        <f t="shared" si="1"/>
        <v/>
      </c>
      <c r="I5510" s="26" t="str">
        <f t="shared" si="2"/>
        <v/>
      </c>
      <c r="J5510" s="86">
        <f t="shared" si="3"/>
        <v>0</v>
      </c>
      <c r="R5510" s="26"/>
    </row>
    <row r="5511" spans="1:18" ht="15.75" customHeight="1">
      <c r="A5511" s="26"/>
      <c r="B5511" s="86"/>
      <c r="D5511" s="26"/>
      <c r="F5511" s="87" t="str">
        <f t="shared" si="0"/>
        <v/>
      </c>
      <c r="H5511" s="26" t="str">
        <f t="shared" si="1"/>
        <v/>
      </c>
      <c r="I5511" s="26" t="str">
        <f t="shared" si="2"/>
        <v/>
      </c>
      <c r="J5511" s="86">
        <f t="shared" si="3"/>
        <v>0</v>
      </c>
      <c r="R5511" s="26"/>
    </row>
    <row r="5512" spans="1:18" ht="15.75" customHeight="1">
      <c r="A5512" s="26"/>
      <c r="B5512" s="86"/>
      <c r="D5512" s="26"/>
      <c r="F5512" s="87" t="str">
        <f t="shared" si="0"/>
        <v/>
      </c>
      <c r="H5512" s="26" t="str">
        <f t="shared" si="1"/>
        <v/>
      </c>
      <c r="I5512" s="26" t="str">
        <f t="shared" si="2"/>
        <v/>
      </c>
      <c r="J5512" s="86">
        <f t="shared" si="3"/>
        <v>0</v>
      </c>
      <c r="R5512" s="26"/>
    </row>
    <row r="5513" spans="1:18" ht="15.75" customHeight="1">
      <c r="A5513" s="26"/>
      <c r="B5513" s="86"/>
      <c r="D5513" s="26"/>
      <c r="F5513" s="87" t="str">
        <f t="shared" si="0"/>
        <v/>
      </c>
      <c r="H5513" s="26" t="str">
        <f t="shared" si="1"/>
        <v/>
      </c>
      <c r="I5513" s="26" t="str">
        <f t="shared" si="2"/>
        <v/>
      </c>
      <c r="J5513" s="86">
        <f t="shared" si="3"/>
        <v>0</v>
      </c>
      <c r="R5513" s="26"/>
    </row>
    <row r="5514" spans="1:18" ht="15.75" customHeight="1">
      <c r="A5514" s="26"/>
      <c r="B5514" s="86"/>
      <c r="D5514" s="26"/>
      <c r="F5514" s="87" t="str">
        <f t="shared" si="0"/>
        <v/>
      </c>
      <c r="H5514" s="26" t="str">
        <f t="shared" si="1"/>
        <v/>
      </c>
      <c r="I5514" s="26" t="str">
        <f t="shared" si="2"/>
        <v/>
      </c>
      <c r="J5514" s="86">
        <f t="shared" si="3"/>
        <v>0</v>
      </c>
      <c r="R5514" s="26"/>
    </row>
    <row r="5515" spans="1:18" ht="15.75" customHeight="1">
      <c r="A5515" s="26"/>
      <c r="B5515" s="86"/>
      <c r="D5515" s="26"/>
      <c r="F5515" s="87" t="str">
        <f t="shared" si="0"/>
        <v/>
      </c>
      <c r="H5515" s="26" t="str">
        <f t="shared" si="1"/>
        <v/>
      </c>
      <c r="I5515" s="26" t="str">
        <f t="shared" si="2"/>
        <v/>
      </c>
      <c r="J5515" s="86">
        <f t="shared" si="3"/>
        <v>0</v>
      </c>
      <c r="R5515" s="26"/>
    </row>
    <row r="5516" spans="1:18" ht="15.75" customHeight="1">
      <c r="A5516" s="26"/>
      <c r="B5516" s="86"/>
      <c r="D5516" s="26"/>
      <c r="F5516" s="87" t="str">
        <f t="shared" si="0"/>
        <v/>
      </c>
      <c r="H5516" s="26" t="str">
        <f t="shared" si="1"/>
        <v/>
      </c>
      <c r="I5516" s="26" t="str">
        <f t="shared" si="2"/>
        <v/>
      </c>
      <c r="J5516" s="86">
        <f t="shared" si="3"/>
        <v>0</v>
      </c>
      <c r="R5516" s="26"/>
    </row>
    <row r="5517" spans="1:18" ht="15.75" customHeight="1">
      <c r="A5517" s="26"/>
      <c r="B5517" s="86"/>
      <c r="D5517" s="26"/>
      <c r="F5517" s="87" t="str">
        <f t="shared" si="0"/>
        <v/>
      </c>
      <c r="H5517" s="26" t="str">
        <f t="shared" si="1"/>
        <v/>
      </c>
      <c r="I5517" s="26" t="str">
        <f t="shared" si="2"/>
        <v/>
      </c>
      <c r="J5517" s="86">
        <f t="shared" si="3"/>
        <v>0</v>
      </c>
      <c r="R5517" s="26"/>
    </row>
    <row r="5518" spans="1:18" ht="15.75" customHeight="1">
      <c r="A5518" s="26"/>
      <c r="B5518" s="86"/>
      <c r="D5518" s="26"/>
      <c r="F5518" s="87" t="str">
        <f t="shared" si="0"/>
        <v/>
      </c>
      <c r="H5518" s="26" t="str">
        <f t="shared" si="1"/>
        <v/>
      </c>
      <c r="I5518" s="26" t="str">
        <f t="shared" si="2"/>
        <v/>
      </c>
      <c r="J5518" s="86">
        <f t="shared" si="3"/>
        <v>0</v>
      </c>
      <c r="R5518" s="26"/>
    </row>
    <row r="5519" spans="1:18" ht="15.75" customHeight="1">
      <c r="A5519" s="26"/>
      <c r="B5519" s="86"/>
      <c r="D5519" s="26"/>
      <c r="F5519" s="87" t="str">
        <f t="shared" si="0"/>
        <v/>
      </c>
      <c r="H5519" s="26" t="str">
        <f t="shared" si="1"/>
        <v/>
      </c>
      <c r="I5519" s="26" t="str">
        <f t="shared" si="2"/>
        <v/>
      </c>
      <c r="J5519" s="86">
        <f t="shared" si="3"/>
        <v>0</v>
      </c>
      <c r="R5519" s="26"/>
    </row>
    <row r="5520" spans="1:18" ht="15.75" customHeight="1">
      <c r="A5520" s="26"/>
      <c r="B5520" s="86"/>
      <c r="D5520" s="26"/>
      <c r="F5520" s="87" t="str">
        <f t="shared" si="0"/>
        <v/>
      </c>
      <c r="H5520" s="26" t="str">
        <f t="shared" si="1"/>
        <v/>
      </c>
      <c r="I5520" s="26" t="str">
        <f t="shared" si="2"/>
        <v/>
      </c>
      <c r="J5520" s="86">
        <f t="shared" si="3"/>
        <v>0</v>
      </c>
      <c r="R5520" s="26"/>
    </row>
    <row r="5521" spans="1:18" ht="15.75" customHeight="1">
      <c r="A5521" s="26"/>
      <c r="B5521" s="86"/>
      <c r="D5521" s="26"/>
      <c r="F5521" s="87" t="str">
        <f t="shared" si="0"/>
        <v/>
      </c>
      <c r="H5521" s="26" t="str">
        <f t="shared" si="1"/>
        <v/>
      </c>
      <c r="I5521" s="26" t="str">
        <f t="shared" si="2"/>
        <v/>
      </c>
      <c r="J5521" s="86">
        <f t="shared" si="3"/>
        <v>0</v>
      </c>
      <c r="R5521" s="26"/>
    </row>
    <row r="5522" spans="1:18" ht="15.75" customHeight="1">
      <c r="A5522" s="26"/>
      <c r="B5522" s="86"/>
      <c r="D5522" s="26"/>
      <c r="F5522" s="87" t="str">
        <f t="shared" si="0"/>
        <v/>
      </c>
      <c r="H5522" s="26" t="str">
        <f t="shared" si="1"/>
        <v/>
      </c>
      <c r="I5522" s="26" t="str">
        <f t="shared" si="2"/>
        <v/>
      </c>
      <c r="J5522" s="86">
        <f t="shared" si="3"/>
        <v>0</v>
      </c>
      <c r="R5522" s="26"/>
    </row>
    <row r="5523" spans="1:18" ht="15.75" customHeight="1">
      <c r="A5523" s="26"/>
      <c r="B5523" s="86"/>
      <c r="D5523" s="26"/>
      <c r="F5523" s="87" t="str">
        <f t="shared" si="0"/>
        <v/>
      </c>
      <c r="H5523" s="26" t="str">
        <f t="shared" si="1"/>
        <v/>
      </c>
      <c r="I5523" s="26" t="str">
        <f t="shared" si="2"/>
        <v/>
      </c>
      <c r="J5523" s="86">
        <f t="shared" si="3"/>
        <v>0</v>
      </c>
      <c r="R5523" s="26"/>
    </row>
    <row r="5524" spans="1:18" ht="15.75" customHeight="1">
      <c r="A5524" s="26"/>
      <c r="B5524" s="86"/>
      <c r="D5524" s="26"/>
      <c r="F5524" s="87" t="str">
        <f t="shared" si="0"/>
        <v/>
      </c>
      <c r="H5524" s="26" t="str">
        <f t="shared" si="1"/>
        <v/>
      </c>
      <c r="I5524" s="26" t="str">
        <f t="shared" si="2"/>
        <v/>
      </c>
      <c r="J5524" s="86">
        <f t="shared" si="3"/>
        <v>0</v>
      </c>
      <c r="R5524" s="26"/>
    </row>
    <row r="5525" spans="1:18" ht="15.75" customHeight="1">
      <c r="A5525" s="26"/>
      <c r="B5525" s="86"/>
      <c r="D5525" s="26"/>
      <c r="F5525" s="87" t="str">
        <f t="shared" si="0"/>
        <v/>
      </c>
      <c r="H5525" s="26" t="str">
        <f t="shared" si="1"/>
        <v/>
      </c>
      <c r="I5525" s="26" t="str">
        <f t="shared" si="2"/>
        <v/>
      </c>
      <c r="J5525" s="86">
        <f t="shared" si="3"/>
        <v>0</v>
      </c>
      <c r="R5525" s="26"/>
    </row>
    <row r="5526" spans="1:18" ht="15.75" customHeight="1">
      <c r="A5526" s="26"/>
      <c r="B5526" s="86"/>
      <c r="D5526" s="26"/>
      <c r="F5526" s="87" t="str">
        <f t="shared" si="0"/>
        <v/>
      </c>
      <c r="H5526" s="26" t="str">
        <f t="shared" si="1"/>
        <v/>
      </c>
      <c r="I5526" s="26" t="str">
        <f t="shared" si="2"/>
        <v/>
      </c>
      <c r="J5526" s="86">
        <f t="shared" si="3"/>
        <v>0</v>
      </c>
      <c r="R5526" s="26"/>
    </row>
    <row r="5527" spans="1:18" ht="15.75" customHeight="1">
      <c r="A5527" s="26"/>
      <c r="B5527" s="86"/>
      <c r="D5527" s="26"/>
      <c r="F5527" s="87" t="str">
        <f t="shared" si="0"/>
        <v/>
      </c>
      <c r="H5527" s="26" t="str">
        <f t="shared" si="1"/>
        <v/>
      </c>
      <c r="I5527" s="26" t="str">
        <f t="shared" si="2"/>
        <v/>
      </c>
      <c r="J5527" s="86">
        <f t="shared" si="3"/>
        <v>0</v>
      </c>
      <c r="R5527" s="26"/>
    </row>
    <row r="5528" spans="1:18" ht="15.75" customHeight="1">
      <c r="A5528" s="26"/>
      <c r="B5528" s="86"/>
      <c r="D5528" s="26"/>
      <c r="F5528" s="87" t="str">
        <f t="shared" si="0"/>
        <v/>
      </c>
      <c r="H5528" s="26" t="str">
        <f t="shared" si="1"/>
        <v/>
      </c>
      <c r="I5528" s="26" t="str">
        <f t="shared" si="2"/>
        <v/>
      </c>
      <c r="J5528" s="86">
        <f t="shared" si="3"/>
        <v>0</v>
      </c>
      <c r="R5528" s="26"/>
    </row>
    <row r="5529" spans="1:18" ht="15.75" customHeight="1">
      <c r="A5529" s="26"/>
      <c r="B5529" s="86"/>
      <c r="D5529" s="26"/>
      <c r="F5529" s="87" t="str">
        <f t="shared" si="0"/>
        <v/>
      </c>
      <c r="H5529" s="26" t="str">
        <f t="shared" si="1"/>
        <v/>
      </c>
      <c r="I5529" s="26" t="str">
        <f t="shared" si="2"/>
        <v/>
      </c>
      <c r="J5529" s="86">
        <f t="shared" si="3"/>
        <v>0</v>
      </c>
      <c r="R5529" s="26"/>
    </row>
    <row r="5530" spans="1:18" ht="15.75" customHeight="1">
      <c r="A5530" s="26"/>
      <c r="B5530" s="86"/>
      <c r="D5530" s="26"/>
      <c r="F5530" s="87" t="str">
        <f t="shared" si="0"/>
        <v/>
      </c>
      <c r="H5530" s="26" t="str">
        <f t="shared" si="1"/>
        <v/>
      </c>
      <c r="I5530" s="26" t="str">
        <f t="shared" si="2"/>
        <v/>
      </c>
      <c r="J5530" s="86">
        <f t="shared" si="3"/>
        <v>0</v>
      </c>
      <c r="R5530" s="26"/>
    </row>
    <row r="5531" spans="1:18" ht="15.75" customHeight="1">
      <c r="A5531" s="26"/>
      <c r="B5531" s="86"/>
      <c r="D5531" s="26"/>
      <c r="F5531" s="87" t="str">
        <f t="shared" si="0"/>
        <v/>
      </c>
      <c r="H5531" s="26" t="str">
        <f t="shared" si="1"/>
        <v/>
      </c>
      <c r="I5531" s="26" t="str">
        <f t="shared" si="2"/>
        <v/>
      </c>
      <c r="J5531" s="86">
        <f t="shared" si="3"/>
        <v>0</v>
      </c>
      <c r="R5531" s="26"/>
    </row>
    <row r="5532" spans="1:18" ht="15.75" customHeight="1">
      <c r="A5532" s="26"/>
      <c r="B5532" s="86"/>
      <c r="D5532" s="26"/>
      <c r="F5532" s="87" t="str">
        <f t="shared" si="0"/>
        <v/>
      </c>
      <c r="H5532" s="26" t="str">
        <f t="shared" si="1"/>
        <v/>
      </c>
      <c r="I5532" s="26" t="str">
        <f t="shared" si="2"/>
        <v/>
      </c>
      <c r="J5532" s="86">
        <f t="shared" si="3"/>
        <v>0</v>
      </c>
      <c r="R5532" s="26"/>
    </row>
    <row r="5533" spans="1:18" ht="15.75" customHeight="1">
      <c r="A5533" s="26"/>
      <c r="B5533" s="86"/>
      <c r="D5533" s="26"/>
      <c r="F5533" s="87" t="str">
        <f t="shared" si="0"/>
        <v/>
      </c>
      <c r="H5533" s="26" t="str">
        <f t="shared" si="1"/>
        <v/>
      </c>
      <c r="I5533" s="26" t="str">
        <f t="shared" si="2"/>
        <v/>
      </c>
      <c r="J5533" s="86">
        <f t="shared" si="3"/>
        <v>0</v>
      </c>
      <c r="R5533" s="26"/>
    </row>
    <row r="5534" spans="1:18" ht="15.75" customHeight="1">
      <c r="A5534" s="26"/>
      <c r="B5534" s="86"/>
      <c r="D5534" s="26"/>
      <c r="F5534" s="87" t="str">
        <f t="shared" si="0"/>
        <v/>
      </c>
      <c r="H5534" s="26" t="str">
        <f t="shared" si="1"/>
        <v/>
      </c>
      <c r="I5534" s="26" t="str">
        <f t="shared" si="2"/>
        <v/>
      </c>
      <c r="J5534" s="86">
        <f t="shared" si="3"/>
        <v>0</v>
      </c>
      <c r="R5534" s="26"/>
    </row>
    <row r="5535" spans="1:18" ht="15.75" customHeight="1">
      <c r="A5535" s="26"/>
      <c r="B5535" s="86"/>
      <c r="D5535" s="26"/>
      <c r="F5535" s="87" t="str">
        <f t="shared" si="0"/>
        <v/>
      </c>
      <c r="H5535" s="26" t="str">
        <f t="shared" si="1"/>
        <v/>
      </c>
      <c r="I5535" s="26" t="str">
        <f t="shared" si="2"/>
        <v/>
      </c>
      <c r="J5535" s="86">
        <f t="shared" si="3"/>
        <v>0</v>
      </c>
      <c r="R5535" s="26"/>
    </row>
    <row r="5536" spans="1:18" ht="15.75" customHeight="1">
      <c r="A5536" s="26"/>
      <c r="B5536" s="86"/>
      <c r="D5536" s="26"/>
      <c r="F5536" s="87" t="str">
        <f t="shared" si="0"/>
        <v/>
      </c>
      <c r="H5536" s="26" t="str">
        <f t="shared" si="1"/>
        <v/>
      </c>
      <c r="I5536" s="26" t="str">
        <f t="shared" si="2"/>
        <v/>
      </c>
      <c r="J5536" s="86">
        <f t="shared" si="3"/>
        <v>0</v>
      </c>
      <c r="R5536" s="26"/>
    </row>
    <row r="5537" spans="1:18" ht="15.75" customHeight="1">
      <c r="A5537" s="26"/>
      <c r="B5537" s="86"/>
      <c r="D5537" s="26"/>
      <c r="F5537" s="87" t="str">
        <f t="shared" si="0"/>
        <v/>
      </c>
      <c r="H5537" s="26" t="str">
        <f t="shared" si="1"/>
        <v/>
      </c>
      <c r="I5537" s="26" t="str">
        <f t="shared" si="2"/>
        <v/>
      </c>
      <c r="J5537" s="86">
        <f t="shared" si="3"/>
        <v>0</v>
      </c>
      <c r="R5537" s="26"/>
    </row>
    <row r="5538" spans="1:18" ht="15.75" customHeight="1">
      <c r="A5538" s="26"/>
      <c r="B5538" s="86"/>
      <c r="D5538" s="26"/>
      <c r="F5538" s="87" t="str">
        <f t="shared" si="0"/>
        <v/>
      </c>
      <c r="H5538" s="26" t="str">
        <f t="shared" si="1"/>
        <v/>
      </c>
      <c r="I5538" s="26" t="str">
        <f t="shared" si="2"/>
        <v/>
      </c>
      <c r="J5538" s="86">
        <f t="shared" si="3"/>
        <v>0</v>
      </c>
      <c r="R5538" s="26"/>
    </row>
    <row r="5539" spans="1:18" ht="15.75" customHeight="1">
      <c r="A5539" s="26"/>
      <c r="B5539" s="86"/>
      <c r="D5539" s="26"/>
      <c r="F5539" s="87" t="str">
        <f t="shared" si="0"/>
        <v/>
      </c>
      <c r="H5539" s="26" t="str">
        <f t="shared" si="1"/>
        <v/>
      </c>
      <c r="I5539" s="26" t="str">
        <f t="shared" si="2"/>
        <v/>
      </c>
      <c r="J5539" s="86">
        <f t="shared" si="3"/>
        <v>0</v>
      </c>
      <c r="R5539" s="26"/>
    </row>
    <row r="5540" spans="1:18" ht="15.75" customHeight="1">
      <c r="A5540" s="26"/>
      <c r="B5540" s="86"/>
      <c r="D5540" s="26"/>
      <c r="F5540" s="87" t="str">
        <f t="shared" si="0"/>
        <v/>
      </c>
      <c r="H5540" s="26" t="str">
        <f t="shared" si="1"/>
        <v/>
      </c>
      <c r="I5540" s="26" t="str">
        <f t="shared" si="2"/>
        <v/>
      </c>
      <c r="J5540" s="86">
        <f t="shared" si="3"/>
        <v>0</v>
      </c>
      <c r="R5540" s="26"/>
    </row>
    <row r="5541" spans="1:18" ht="15.75" customHeight="1">
      <c r="A5541" s="26"/>
      <c r="B5541" s="86"/>
      <c r="D5541" s="26"/>
      <c r="F5541" s="87" t="str">
        <f t="shared" si="0"/>
        <v/>
      </c>
      <c r="H5541" s="26" t="str">
        <f t="shared" si="1"/>
        <v/>
      </c>
      <c r="I5541" s="26" t="str">
        <f t="shared" si="2"/>
        <v/>
      </c>
      <c r="J5541" s="86">
        <f t="shared" si="3"/>
        <v>0</v>
      </c>
      <c r="R5541" s="26"/>
    </row>
    <row r="5542" spans="1:18" ht="15.75" customHeight="1">
      <c r="A5542" s="26"/>
      <c r="B5542" s="86"/>
      <c r="D5542" s="26"/>
      <c r="F5542" s="87" t="str">
        <f t="shared" si="0"/>
        <v/>
      </c>
      <c r="H5542" s="26" t="str">
        <f t="shared" si="1"/>
        <v/>
      </c>
      <c r="I5542" s="26" t="str">
        <f t="shared" si="2"/>
        <v/>
      </c>
      <c r="J5542" s="86">
        <f t="shared" si="3"/>
        <v>0</v>
      </c>
      <c r="R5542" s="26"/>
    </row>
    <row r="5543" spans="1:18" ht="15.75" customHeight="1">
      <c r="A5543" s="26"/>
      <c r="B5543" s="86"/>
      <c r="D5543" s="26"/>
      <c r="F5543" s="87" t="str">
        <f t="shared" si="0"/>
        <v/>
      </c>
      <c r="H5543" s="26" t="str">
        <f t="shared" si="1"/>
        <v/>
      </c>
      <c r="I5543" s="26" t="str">
        <f t="shared" si="2"/>
        <v/>
      </c>
      <c r="J5543" s="86">
        <f t="shared" si="3"/>
        <v>0</v>
      </c>
      <c r="R5543" s="26"/>
    </row>
    <row r="5544" spans="1:18" ht="15.75" customHeight="1">
      <c r="A5544" s="26"/>
      <c r="B5544" s="86"/>
      <c r="D5544" s="26"/>
      <c r="F5544" s="87" t="str">
        <f t="shared" si="0"/>
        <v/>
      </c>
      <c r="H5544" s="26" t="str">
        <f t="shared" si="1"/>
        <v/>
      </c>
      <c r="I5544" s="26" t="str">
        <f t="shared" si="2"/>
        <v/>
      </c>
      <c r="J5544" s="86">
        <f t="shared" si="3"/>
        <v>0</v>
      </c>
      <c r="R5544" s="26"/>
    </row>
    <row r="5545" spans="1:18" ht="15.75" customHeight="1">
      <c r="A5545" s="26"/>
      <c r="B5545" s="86"/>
      <c r="D5545" s="26"/>
      <c r="F5545" s="87" t="str">
        <f t="shared" si="0"/>
        <v/>
      </c>
      <c r="H5545" s="26" t="str">
        <f t="shared" si="1"/>
        <v/>
      </c>
      <c r="I5545" s="26" t="str">
        <f t="shared" si="2"/>
        <v/>
      </c>
      <c r="J5545" s="86">
        <f t="shared" si="3"/>
        <v>0</v>
      </c>
      <c r="R5545" s="26"/>
    </row>
    <row r="5546" spans="1:18" ht="15.75" customHeight="1">
      <c r="A5546" s="26"/>
      <c r="B5546" s="86"/>
      <c r="D5546" s="26"/>
      <c r="F5546" s="87" t="str">
        <f t="shared" si="0"/>
        <v/>
      </c>
      <c r="H5546" s="26" t="str">
        <f t="shared" si="1"/>
        <v/>
      </c>
      <c r="I5546" s="26" t="str">
        <f t="shared" si="2"/>
        <v/>
      </c>
      <c r="J5546" s="86">
        <f t="shared" si="3"/>
        <v>0</v>
      </c>
      <c r="R5546" s="26"/>
    </row>
    <row r="5547" spans="1:18" ht="15.75" customHeight="1">
      <c r="A5547" s="26"/>
      <c r="B5547" s="86"/>
      <c r="D5547" s="26"/>
      <c r="F5547" s="87" t="str">
        <f t="shared" si="0"/>
        <v/>
      </c>
      <c r="H5547" s="26" t="str">
        <f t="shared" si="1"/>
        <v/>
      </c>
      <c r="I5547" s="26" t="str">
        <f t="shared" si="2"/>
        <v/>
      </c>
      <c r="J5547" s="86">
        <f t="shared" si="3"/>
        <v>0</v>
      </c>
      <c r="R5547" s="26"/>
    </row>
    <row r="5548" spans="1:18" ht="15.75" customHeight="1">
      <c r="A5548" s="26"/>
      <c r="B5548" s="86"/>
      <c r="D5548" s="26"/>
      <c r="F5548" s="87" t="str">
        <f t="shared" si="0"/>
        <v/>
      </c>
      <c r="H5548" s="26" t="str">
        <f t="shared" si="1"/>
        <v/>
      </c>
      <c r="I5548" s="26" t="str">
        <f t="shared" si="2"/>
        <v/>
      </c>
      <c r="J5548" s="86">
        <f t="shared" si="3"/>
        <v>0</v>
      </c>
      <c r="R5548" s="26"/>
    </row>
    <row r="5549" spans="1:18" ht="15.75" customHeight="1">
      <c r="A5549" s="26"/>
      <c r="B5549" s="86"/>
      <c r="D5549" s="26"/>
      <c r="F5549" s="87" t="str">
        <f t="shared" si="0"/>
        <v/>
      </c>
      <c r="H5549" s="26" t="str">
        <f t="shared" si="1"/>
        <v/>
      </c>
      <c r="I5549" s="26" t="str">
        <f t="shared" si="2"/>
        <v/>
      </c>
      <c r="J5549" s="86">
        <f t="shared" si="3"/>
        <v>0</v>
      </c>
      <c r="R5549" s="26"/>
    </row>
    <row r="5550" spans="1:18" ht="15.75" customHeight="1">
      <c r="A5550" s="26"/>
      <c r="B5550" s="86"/>
      <c r="D5550" s="26"/>
      <c r="F5550" s="87" t="str">
        <f t="shared" si="0"/>
        <v/>
      </c>
      <c r="H5550" s="26" t="str">
        <f t="shared" si="1"/>
        <v/>
      </c>
      <c r="I5550" s="26" t="str">
        <f t="shared" si="2"/>
        <v/>
      </c>
      <c r="J5550" s="86">
        <f t="shared" si="3"/>
        <v>0</v>
      </c>
      <c r="R5550" s="26"/>
    </row>
    <row r="5551" spans="1:18" ht="15.75" customHeight="1">
      <c r="A5551" s="26"/>
      <c r="B5551" s="86"/>
      <c r="D5551" s="26"/>
      <c r="F5551" s="87" t="str">
        <f t="shared" si="0"/>
        <v/>
      </c>
      <c r="H5551" s="26" t="str">
        <f t="shared" si="1"/>
        <v/>
      </c>
      <c r="I5551" s="26" t="str">
        <f t="shared" si="2"/>
        <v/>
      </c>
      <c r="J5551" s="86">
        <f t="shared" si="3"/>
        <v>0</v>
      </c>
      <c r="R5551" s="26"/>
    </row>
    <row r="5552" spans="1:18" ht="15.75" customHeight="1">
      <c r="A5552" s="26"/>
      <c r="B5552" s="86"/>
      <c r="D5552" s="26"/>
      <c r="F5552" s="87" t="str">
        <f t="shared" si="0"/>
        <v/>
      </c>
      <c r="H5552" s="26" t="str">
        <f t="shared" si="1"/>
        <v/>
      </c>
      <c r="I5552" s="26" t="str">
        <f t="shared" si="2"/>
        <v/>
      </c>
      <c r="J5552" s="86">
        <f t="shared" si="3"/>
        <v>0</v>
      </c>
      <c r="R5552" s="26"/>
    </row>
    <row r="5553" spans="1:18" ht="15.75" customHeight="1">
      <c r="A5553" s="26"/>
      <c r="B5553" s="86"/>
      <c r="D5553" s="26"/>
      <c r="F5553" s="87" t="str">
        <f t="shared" si="0"/>
        <v/>
      </c>
      <c r="H5553" s="26" t="str">
        <f t="shared" si="1"/>
        <v/>
      </c>
      <c r="I5553" s="26" t="str">
        <f t="shared" si="2"/>
        <v/>
      </c>
      <c r="J5553" s="86">
        <f t="shared" si="3"/>
        <v>0</v>
      </c>
      <c r="R5553" s="26"/>
    </row>
    <row r="5554" spans="1:18" ht="15.75" customHeight="1">
      <c r="A5554" s="26"/>
      <c r="B5554" s="86"/>
      <c r="D5554" s="26"/>
      <c r="F5554" s="87" t="str">
        <f t="shared" si="0"/>
        <v/>
      </c>
      <c r="H5554" s="26" t="str">
        <f t="shared" si="1"/>
        <v/>
      </c>
      <c r="I5554" s="26" t="str">
        <f t="shared" si="2"/>
        <v/>
      </c>
      <c r="J5554" s="86">
        <f t="shared" si="3"/>
        <v>0</v>
      </c>
      <c r="R5554" s="26"/>
    </row>
    <row r="5555" spans="1:18" ht="15.75" customHeight="1">
      <c r="A5555" s="26"/>
      <c r="B5555" s="86"/>
      <c r="D5555" s="26"/>
      <c r="F5555" s="87" t="str">
        <f t="shared" si="0"/>
        <v/>
      </c>
      <c r="H5555" s="26" t="str">
        <f t="shared" si="1"/>
        <v/>
      </c>
      <c r="I5555" s="26" t="str">
        <f t="shared" si="2"/>
        <v/>
      </c>
      <c r="J5555" s="86">
        <f t="shared" si="3"/>
        <v>0</v>
      </c>
      <c r="R5555" s="26"/>
    </row>
    <row r="5556" spans="1:18" ht="15.75" customHeight="1">
      <c r="A5556" s="26"/>
      <c r="B5556" s="86"/>
      <c r="D5556" s="26"/>
      <c r="F5556" s="87" t="str">
        <f t="shared" si="0"/>
        <v/>
      </c>
      <c r="H5556" s="26" t="str">
        <f t="shared" si="1"/>
        <v/>
      </c>
      <c r="I5556" s="26" t="str">
        <f t="shared" si="2"/>
        <v/>
      </c>
      <c r="J5556" s="86">
        <f t="shared" si="3"/>
        <v>0</v>
      </c>
      <c r="R5556" s="26"/>
    </row>
    <row r="5557" spans="1:18" ht="15.75" customHeight="1">
      <c r="A5557" s="26"/>
      <c r="B5557" s="86"/>
      <c r="D5557" s="26"/>
      <c r="F5557" s="87" t="str">
        <f t="shared" si="0"/>
        <v/>
      </c>
      <c r="H5557" s="26" t="str">
        <f t="shared" si="1"/>
        <v/>
      </c>
      <c r="I5557" s="26" t="str">
        <f t="shared" si="2"/>
        <v/>
      </c>
      <c r="J5557" s="86">
        <f t="shared" si="3"/>
        <v>0</v>
      </c>
      <c r="R5557" s="26"/>
    </row>
    <row r="5558" spans="1:18" ht="15.75" customHeight="1">
      <c r="A5558" s="26"/>
      <c r="B5558" s="86"/>
      <c r="D5558" s="26"/>
      <c r="F5558" s="87" t="str">
        <f t="shared" si="0"/>
        <v/>
      </c>
      <c r="H5558" s="26" t="str">
        <f t="shared" si="1"/>
        <v/>
      </c>
      <c r="I5558" s="26" t="str">
        <f t="shared" si="2"/>
        <v/>
      </c>
      <c r="J5558" s="86">
        <f t="shared" si="3"/>
        <v>0</v>
      </c>
      <c r="R5558" s="26"/>
    </row>
    <row r="5559" spans="1:18" ht="15.75" customHeight="1">
      <c r="A5559" s="26"/>
      <c r="B5559" s="86"/>
      <c r="D5559" s="26"/>
      <c r="F5559" s="87" t="str">
        <f t="shared" si="0"/>
        <v/>
      </c>
      <c r="H5559" s="26" t="str">
        <f t="shared" si="1"/>
        <v/>
      </c>
      <c r="I5559" s="26" t="str">
        <f t="shared" si="2"/>
        <v/>
      </c>
      <c r="J5559" s="86">
        <f t="shared" si="3"/>
        <v>0</v>
      </c>
      <c r="R5559" s="26"/>
    </row>
    <row r="5560" spans="1:18" ht="15.75" customHeight="1">
      <c r="A5560" s="26"/>
      <c r="B5560" s="86"/>
      <c r="D5560" s="26"/>
      <c r="F5560" s="87" t="str">
        <f t="shared" si="0"/>
        <v/>
      </c>
      <c r="H5560" s="26" t="str">
        <f t="shared" si="1"/>
        <v/>
      </c>
      <c r="I5560" s="26" t="str">
        <f t="shared" si="2"/>
        <v/>
      </c>
      <c r="J5560" s="86">
        <f t="shared" si="3"/>
        <v>0</v>
      </c>
      <c r="R5560" s="26"/>
    </row>
    <row r="5561" spans="1:18" ht="15.75" customHeight="1">
      <c r="A5561" s="26"/>
      <c r="B5561" s="86"/>
      <c r="D5561" s="26"/>
      <c r="F5561" s="87" t="str">
        <f t="shared" si="0"/>
        <v/>
      </c>
      <c r="H5561" s="26" t="str">
        <f t="shared" si="1"/>
        <v/>
      </c>
      <c r="I5561" s="26" t="str">
        <f t="shared" si="2"/>
        <v/>
      </c>
      <c r="J5561" s="86">
        <f t="shared" si="3"/>
        <v>0</v>
      </c>
      <c r="R5561" s="26"/>
    </row>
    <row r="5562" spans="1:18" ht="15.75" customHeight="1">
      <c r="A5562" s="26"/>
      <c r="B5562" s="86"/>
      <c r="D5562" s="26"/>
      <c r="F5562" s="87" t="str">
        <f t="shared" si="0"/>
        <v/>
      </c>
      <c r="H5562" s="26" t="str">
        <f t="shared" si="1"/>
        <v/>
      </c>
      <c r="I5562" s="26" t="str">
        <f t="shared" si="2"/>
        <v/>
      </c>
      <c r="J5562" s="86">
        <f t="shared" si="3"/>
        <v>0</v>
      </c>
      <c r="R5562" s="26"/>
    </row>
    <row r="5563" spans="1:18" ht="15.75" customHeight="1">
      <c r="A5563" s="26"/>
      <c r="B5563" s="86"/>
      <c r="D5563" s="26"/>
      <c r="F5563" s="87" t="str">
        <f t="shared" si="0"/>
        <v/>
      </c>
      <c r="H5563" s="26" t="str">
        <f t="shared" si="1"/>
        <v/>
      </c>
      <c r="I5563" s="26" t="str">
        <f t="shared" si="2"/>
        <v/>
      </c>
      <c r="J5563" s="86">
        <f t="shared" si="3"/>
        <v>0</v>
      </c>
      <c r="R5563" s="26"/>
    </row>
    <row r="5564" spans="1:18" ht="15.75" customHeight="1">
      <c r="A5564" s="26"/>
      <c r="B5564" s="86"/>
      <c r="D5564" s="26"/>
      <c r="F5564" s="87" t="str">
        <f t="shared" si="0"/>
        <v/>
      </c>
      <c r="H5564" s="26" t="str">
        <f t="shared" si="1"/>
        <v/>
      </c>
      <c r="I5564" s="26" t="str">
        <f t="shared" si="2"/>
        <v/>
      </c>
      <c r="J5564" s="86">
        <f t="shared" si="3"/>
        <v>0</v>
      </c>
      <c r="R5564" s="26"/>
    </row>
    <row r="5565" spans="1:18" ht="15.75" customHeight="1">
      <c r="A5565" s="26"/>
      <c r="B5565" s="86"/>
      <c r="D5565" s="26"/>
      <c r="F5565" s="87" t="str">
        <f t="shared" si="0"/>
        <v/>
      </c>
      <c r="H5565" s="26" t="str">
        <f t="shared" si="1"/>
        <v/>
      </c>
      <c r="I5565" s="26" t="str">
        <f t="shared" si="2"/>
        <v/>
      </c>
      <c r="J5565" s="86">
        <f t="shared" si="3"/>
        <v>0</v>
      </c>
      <c r="R5565" s="26"/>
    </row>
    <row r="5566" spans="1:18" ht="15.75" customHeight="1">
      <c r="A5566" s="26"/>
      <c r="B5566" s="86"/>
      <c r="D5566" s="26"/>
      <c r="F5566" s="87" t="str">
        <f t="shared" si="0"/>
        <v/>
      </c>
      <c r="H5566" s="26" t="str">
        <f t="shared" si="1"/>
        <v/>
      </c>
      <c r="I5566" s="26" t="str">
        <f t="shared" si="2"/>
        <v/>
      </c>
      <c r="J5566" s="86">
        <f t="shared" si="3"/>
        <v>0</v>
      </c>
      <c r="R5566" s="26"/>
    </row>
    <row r="5567" spans="1:18" ht="15.75" customHeight="1">
      <c r="A5567" s="26"/>
      <c r="B5567" s="86"/>
      <c r="D5567" s="26"/>
      <c r="F5567" s="87" t="str">
        <f t="shared" si="0"/>
        <v/>
      </c>
      <c r="H5567" s="26" t="str">
        <f t="shared" si="1"/>
        <v/>
      </c>
      <c r="I5567" s="26" t="str">
        <f t="shared" si="2"/>
        <v/>
      </c>
      <c r="J5567" s="86">
        <f t="shared" si="3"/>
        <v>0</v>
      </c>
      <c r="R5567" s="26"/>
    </row>
    <row r="5568" spans="1:18" ht="15.75" customHeight="1">
      <c r="A5568" s="26"/>
      <c r="B5568" s="86"/>
      <c r="D5568" s="26"/>
      <c r="F5568" s="87" t="str">
        <f t="shared" si="0"/>
        <v/>
      </c>
      <c r="H5568" s="26" t="str">
        <f t="shared" si="1"/>
        <v/>
      </c>
      <c r="I5568" s="26" t="str">
        <f t="shared" si="2"/>
        <v/>
      </c>
      <c r="J5568" s="86">
        <f t="shared" si="3"/>
        <v>0</v>
      </c>
      <c r="R5568" s="26"/>
    </row>
    <row r="5569" spans="1:18" ht="15.75" customHeight="1">
      <c r="A5569" s="26"/>
      <c r="B5569" s="86"/>
      <c r="D5569" s="26"/>
      <c r="F5569" s="87" t="str">
        <f t="shared" si="0"/>
        <v/>
      </c>
      <c r="H5569" s="26" t="str">
        <f t="shared" si="1"/>
        <v/>
      </c>
      <c r="I5569" s="26" t="str">
        <f t="shared" si="2"/>
        <v/>
      </c>
      <c r="J5569" s="86">
        <f t="shared" si="3"/>
        <v>0</v>
      </c>
      <c r="R5569" s="26"/>
    </row>
    <row r="5570" spans="1:18" ht="15.75" customHeight="1">
      <c r="A5570" s="26"/>
      <c r="B5570" s="86"/>
      <c r="D5570" s="26"/>
      <c r="F5570" s="87" t="str">
        <f t="shared" si="0"/>
        <v/>
      </c>
      <c r="H5570" s="26" t="str">
        <f t="shared" si="1"/>
        <v/>
      </c>
      <c r="I5570" s="26" t="str">
        <f t="shared" si="2"/>
        <v/>
      </c>
      <c r="J5570" s="86">
        <f t="shared" si="3"/>
        <v>0</v>
      </c>
      <c r="R5570" s="26"/>
    </row>
    <row r="5571" spans="1:18" ht="15.75" customHeight="1">
      <c r="A5571" s="26"/>
      <c r="B5571" s="86"/>
      <c r="D5571" s="26"/>
      <c r="F5571" s="87" t="str">
        <f t="shared" si="0"/>
        <v/>
      </c>
      <c r="H5571" s="26" t="str">
        <f t="shared" si="1"/>
        <v/>
      </c>
      <c r="I5571" s="26" t="str">
        <f t="shared" si="2"/>
        <v/>
      </c>
      <c r="J5571" s="86">
        <f t="shared" si="3"/>
        <v>0</v>
      </c>
      <c r="R5571" s="26"/>
    </row>
    <row r="5572" spans="1:18" ht="15.75" customHeight="1">
      <c r="A5572" s="26"/>
      <c r="B5572" s="86"/>
      <c r="D5572" s="26"/>
      <c r="F5572" s="87" t="str">
        <f t="shared" si="0"/>
        <v/>
      </c>
      <c r="H5572" s="26" t="str">
        <f t="shared" si="1"/>
        <v/>
      </c>
      <c r="I5572" s="26" t="str">
        <f t="shared" si="2"/>
        <v/>
      </c>
      <c r="J5572" s="86">
        <f t="shared" si="3"/>
        <v>0</v>
      </c>
      <c r="R5572" s="26"/>
    </row>
    <row r="5573" spans="1:18" ht="15.75" customHeight="1">
      <c r="A5573" s="26"/>
      <c r="B5573" s="86"/>
      <c r="D5573" s="26"/>
      <c r="F5573" s="87" t="str">
        <f t="shared" si="0"/>
        <v/>
      </c>
      <c r="H5573" s="26" t="str">
        <f t="shared" si="1"/>
        <v/>
      </c>
      <c r="I5573" s="26" t="str">
        <f t="shared" si="2"/>
        <v/>
      </c>
      <c r="J5573" s="86">
        <f t="shared" si="3"/>
        <v>0</v>
      </c>
      <c r="R5573" s="26"/>
    </row>
    <row r="5574" spans="1:18" ht="15.75" customHeight="1">
      <c r="A5574" s="26"/>
      <c r="B5574" s="86"/>
      <c r="D5574" s="26"/>
      <c r="F5574" s="87" t="str">
        <f t="shared" si="0"/>
        <v/>
      </c>
      <c r="H5574" s="26" t="str">
        <f t="shared" si="1"/>
        <v/>
      </c>
      <c r="I5574" s="26" t="str">
        <f t="shared" si="2"/>
        <v/>
      </c>
      <c r="J5574" s="86">
        <f t="shared" si="3"/>
        <v>0</v>
      </c>
      <c r="R5574" s="26"/>
    </row>
    <row r="5575" spans="1:18" ht="15.75" customHeight="1">
      <c r="A5575" s="26"/>
      <c r="B5575" s="86"/>
      <c r="D5575" s="26"/>
      <c r="F5575" s="87" t="str">
        <f t="shared" si="0"/>
        <v/>
      </c>
      <c r="H5575" s="26" t="str">
        <f t="shared" si="1"/>
        <v/>
      </c>
      <c r="I5575" s="26" t="str">
        <f t="shared" si="2"/>
        <v/>
      </c>
      <c r="J5575" s="86">
        <f t="shared" si="3"/>
        <v>0</v>
      </c>
      <c r="R5575" s="26"/>
    </row>
    <row r="5576" spans="1:18" ht="15.75" customHeight="1">
      <c r="A5576" s="26"/>
      <c r="B5576" s="86"/>
      <c r="D5576" s="26"/>
      <c r="F5576" s="87" t="str">
        <f t="shared" si="0"/>
        <v/>
      </c>
      <c r="H5576" s="26" t="str">
        <f t="shared" si="1"/>
        <v/>
      </c>
      <c r="I5576" s="26" t="str">
        <f t="shared" si="2"/>
        <v/>
      </c>
      <c r="J5576" s="86">
        <f t="shared" si="3"/>
        <v>0</v>
      </c>
      <c r="R5576" s="26"/>
    </row>
    <row r="5577" spans="1:18" ht="15.75" customHeight="1">
      <c r="A5577" s="26"/>
      <c r="B5577" s="86"/>
      <c r="D5577" s="26"/>
      <c r="F5577" s="87" t="str">
        <f t="shared" si="0"/>
        <v/>
      </c>
      <c r="H5577" s="26" t="str">
        <f t="shared" si="1"/>
        <v/>
      </c>
      <c r="I5577" s="26" t="str">
        <f t="shared" si="2"/>
        <v/>
      </c>
      <c r="J5577" s="86">
        <f t="shared" si="3"/>
        <v>0</v>
      </c>
      <c r="R5577" s="26"/>
    </row>
    <row r="5578" spans="1:18" ht="15.75" customHeight="1">
      <c r="A5578" s="26"/>
      <c r="B5578" s="86"/>
      <c r="D5578" s="26"/>
      <c r="F5578" s="87" t="str">
        <f t="shared" si="0"/>
        <v/>
      </c>
      <c r="H5578" s="26" t="str">
        <f t="shared" si="1"/>
        <v/>
      </c>
      <c r="I5578" s="26" t="str">
        <f t="shared" si="2"/>
        <v/>
      </c>
      <c r="J5578" s="86">
        <f t="shared" si="3"/>
        <v>0</v>
      </c>
      <c r="R5578" s="26"/>
    </row>
    <row r="5579" spans="1:18" ht="15.75" customHeight="1">
      <c r="A5579" s="26"/>
      <c r="B5579" s="86"/>
      <c r="D5579" s="26"/>
      <c r="F5579" s="87" t="str">
        <f t="shared" si="0"/>
        <v/>
      </c>
      <c r="H5579" s="26" t="str">
        <f t="shared" si="1"/>
        <v/>
      </c>
      <c r="I5579" s="26" t="str">
        <f t="shared" si="2"/>
        <v/>
      </c>
      <c r="J5579" s="86">
        <f t="shared" si="3"/>
        <v>0</v>
      </c>
      <c r="R5579" s="26"/>
    </row>
    <row r="5580" spans="1:18" ht="15.75" customHeight="1">
      <c r="A5580" s="26"/>
      <c r="B5580" s="86"/>
      <c r="D5580" s="26"/>
      <c r="F5580" s="87" t="str">
        <f t="shared" si="0"/>
        <v/>
      </c>
      <c r="H5580" s="26" t="str">
        <f t="shared" si="1"/>
        <v/>
      </c>
      <c r="I5580" s="26" t="str">
        <f t="shared" si="2"/>
        <v/>
      </c>
      <c r="J5580" s="86">
        <f t="shared" si="3"/>
        <v>0</v>
      </c>
      <c r="R5580" s="26"/>
    </row>
    <row r="5581" spans="1:18" ht="15.75" customHeight="1">
      <c r="A5581" s="26"/>
      <c r="B5581" s="86"/>
      <c r="D5581" s="26"/>
      <c r="F5581" s="87" t="str">
        <f t="shared" si="0"/>
        <v/>
      </c>
      <c r="H5581" s="26" t="str">
        <f t="shared" si="1"/>
        <v/>
      </c>
      <c r="I5581" s="26" t="str">
        <f t="shared" si="2"/>
        <v/>
      </c>
      <c r="J5581" s="86">
        <f t="shared" si="3"/>
        <v>0</v>
      </c>
      <c r="R5581" s="26"/>
    </row>
    <row r="5582" spans="1:18" ht="15.75" customHeight="1">
      <c r="A5582" s="26"/>
      <c r="B5582" s="86"/>
      <c r="D5582" s="26"/>
      <c r="F5582" s="87" t="str">
        <f t="shared" si="0"/>
        <v/>
      </c>
      <c r="H5582" s="26" t="str">
        <f t="shared" si="1"/>
        <v/>
      </c>
      <c r="I5582" s="26" t="str">
        <f t="shared" si="2"/>
        <v/>
      </c>
      <c r="J5582" s="86">
        <f t="shared" si="3"/>
        <v>0</v>
      </c>
      <c r="R5582" s="26"/>
    </row>
    <row r="5583" spans="1:18" ht="15.75" customHeight="1">
      <c r="A5583" s="26"/>
      <c r="B5583" s="86"/>
      <c r="D5583" s="26"/>
      <c r="F5583" s="87" t="str">
        <f t="shared" si="0"/>
        <v/>
      </c>
      <c r="H5583" s="26" t="str">
        <f t="shared" si="1"/>
        <v/>
      </c>
      <c r="I5583" s="26" t="str">
        <f t="shared" si="2"/>
        <v/>
      </c>
      <c r="J5583" s="86">
        <f t="shared" si="3"/>
        <v>0</v>
      </c>
      <c r="R5583" s="26"/>
    </row>
    <row r="5584" spans="1:18" ht="15.75" customHeight="1">
      <c r="A5584" s="26"/>
      <c r="B5584" s="86"/>
      <c r="D5584" s="26"/>
      <c r="F5584" s="87" t="str">
        <f t="shared" si="0"/>
        <v/>
      </c>
      <c r="H5584" s="26" t="str">
        <f t="shared" si="1"/>
        <v/>
      </c>
      <c r="I5584" s="26" t="str">
        <f t="shared" si="2"/>
        <v/>
      </c>
      <c r="J5584" s="86">
        <f t="shared" si="3"/>
        <v>0</v>
      </c>
      <c r="R5584" s="26"/>
    </row>
    <row r="5585" spans="1:18" ht="15.75" customHeight="1">
      <c r="A5585" s="26"/>
      <c r="B5585" s="86"/>
      <c r="D5585" s="26"/>
      <c r="F5585" s="87" t="str">
        <f t="shared" si="0"/>
        <v/>
      </c>
      <c r="H5585" s="26" t="str">
        <f t="shared" si="1"/>
        <v/>
      </c>
      <c r="I5585" s="26" t="str">
        <f t="shared" si="2"/>
        <v/>
      </c>
      <c r="J5585" s="86">
        <f t="shared" si="3"/>
        <v>0</v>
      </c>
      <c r="R5585" s="26"/>
    </row>
    <row r="5586" spans="1:18" ht="15.75" customHeight="1">
      <c r="A5586" s="26"/>
      <c r="B5586" s="86"/>
      <c r="D5586" s="26"/>
      <c r="F5586" s="87" t="str">
        <f t="shared" si="0"/>
        <v/>
      </c>
      <c r="H5586" s="26" t="str">
        <f t="shared" si="1"/>
        <v/>
      </c>
      <c r="I5586" s="26" t="str">
        <f t="shared" si="2"/>
        <v/>
      </c>
      <c r="J5586" s="86">
        <f t="shared" si="3"/>
        <v>0</v>
      </c>
      <c r="R5586" s="26"/>
    </row>
    <row r="5587" spans="1:18" ht="15.75" customHeight="1">
      <c r="A5587" s="26"/>
      <c r="B5587" s="86"/>
      <c r="D5587" s="26"/>
      <c r="F5587" s="87" t="str">
        <f t="shared" si="0"/>
        <v/>
      </c>
      <c r="H5587" s="26" t="str">
        <f t="shared" si="1"/>
        <v/>
      </c>
      <c r="I5587" s="26" t="str">
        <f t="shared" si="2"/>
        <v/>
      </c>
      <c r="J5587" s="86">
        <f t="shared" si="3"/>
        <v>0</v>
      </c>
      <c r="R5587" s="26"/>
    </row>
    <row r="5588" spans="1:18" ht="15.75" customHeight="1">
      <c r="A5588" s="26"/>
      <c r="B5588" s="86"/>
      <c r="D5588" s="26"/>
      <c r="F5588" s="87" t="str">
        <f t="shared" si="0"/>
        <v/>
      </c>
      <c r="H5588" s="26" t="str">
        <f t="shared" si="1"/>
        <v/>
      </c>
      <c r="I5588" s="26" t="str">
        <f t="shared" si="2"/>
        <v/>
      </c>
      <c r="J5588" s="86">
        <f t="shared" si="3"/>
        <v>0</v>
      </c>
      <c r="R5588" s="26"/>
    </row>
    <row r="5589" spans="1:18" ht="15.75" customHeight="1">
      <c r="A5589" s="26"/>
      <c r="B5589" s="86"/>
      <c r="D5589" s="26"/>
      <c r="F5589" s="87" t="str">
        <f t="shared" si="0"/>
        <v/>
      </c>
      <c r="H5589" s="26" t="str">
        <f t="shared" si="1"/>
        <v/>
      </c>
      <c r="I5589" s="26" t="str">
        <f t="shared" si="2"/>
        <v/>
      </c>
      <c r="J5589" s="86">
        <f t="shared" si="3"/>
        <v>0</v>
      </c>
      <c r="R5589" s="26"/>
    </row>
    <row r="5590" spans="1:18" ht="15.75" customHeight="1">
      <c r="A5590" s="26"/>
      <c r="B5590" s="86"/>
      <c r="D5590" s="26"/>
      <c r="F5590" s="87" t="str">
        <f t="shared" si="0"/>
        <v/>
      </c>
      <c r="H5590" s="26" t="str">
        <f t="shared" si="1"/>
        <v/>
      </c>
      <c r="I5590" s="26" t="str">
        <f t="shared" si="2"/>
        <v/>
      </c>
      <c r="J5590" s="86">
        <f t="shared" si="3"/>
        <v>0</v>
      </c>
      <c r="R5590" s="26"/>
    </row>
    <row r="5591" spans="1:18" ht="15.75" customHeight="1">
      <c r="A5591" s="26"/>
      <c r="B5591" s="86"/>
      <c r="D5591" s="26"/>
      <c r="F5591" s="87" t="str">
        <f t="shared" si="0"/>
        <v/>
      </c>
      <c r="H5591" s="26" t="str">
        <f t="shared" si="1"/>
        <v/>
      </c>
      <c r="I5591" s="26" t="str">
        <f t="shared" si="2"/>
        <v/>
      </c>
      <c r="J5591" s="86">
        <f t="shared" si="3"/>
        <v>0</v>
      </c>
      <c r="R5591" s="26"/>
    </row>
    <row r="5592" spans="1:18" ht="15.75" customHeight="1">
      <c r="A5592" s="26"/>
      <c r="B5592" s="86"/>
      <c r="D5592" s="26"/>
      <c r="F5592" s="87" t="str">
        <f t="shared" si="0"/>
        <v/>
      </c>
      <c r="H5592" s="26" t="str">
        <f t="shared" si="1"/>
        <v/>
      </c>
      <c r="I5592" s="26" t="str">
        <f t="shared" si="2"/>
        <v/>
      </c>
      <c r="J5592" s="86">
        <f t="shared" si="3"/>
        <v>0</v>
      </c>
      <c r="R5592" s="26"/>
    </row>
    <row r="5593" spans="1:18" ht="15.75" customHeight="1">
      <c r="A5593" s="26"/>
      <c r="B5593" s="86"/>
      <c r="D5593" s="26"/>
      <c r="F5593" s="87" t="str">
        <f t="shared" si="0"/>
        <v/>
      </c>
      <c r="H5593" s="26" t="str">
        <f t="shared" si="1"/>
        <v/>
      </c>
      <c r="I5593" s="26" t="str">
        <f t="shared" si="2"/>
        <v/>
      </c>
      <c r="J5593" s="86">
        <f t="shared" si="3"/>
        <v>0</v>
      </c>
      <c r="R5593" s="26"/>
    </row>
    <row r="5594" spans="1:18" ht="15.75" customHeight="1">
      <c r="A5594" s="26"/>
      <c r="B5594" s="86"/>
      <c r="D5594" s="26"/>
      <c r="F5594" s="87" t="str">
        <f t="shared" si="0"/>
        <v/>
      </c>
      <c r="H5594" s="26" t="str">
        <f t="shared" si="1"/>
        <v/>
      </c>
      <c r="I5594" s="26" t="str">
        <f t="shared" si="2"/>
        <v/>
      </c>
      <c r="J5594" s="86">
        <f t="shared" si="3"/>
        <v>0</v>
      </c>
      <c r="R5594" s="26"/>
    </row>
    <row r="5595" spans="1:18" ht="15.75" customHeight="1">
      <c r="A5595" s="26"/>
      <c r="B5595" s="86"/>
      <c r="D5595" s="26"/>
      <c r="F5595" s="87" t="str">
        <f t="shared" si="0"/>
        <v/>
      </c>
      <c r="H5595" s="26" t="str">
        <f t="shared" si="1"/>
        <v/>
      </c>
      <c r="I5595" s="26" t="str">
        <f t="shared" si="2"/>
        <v/>
      </c>
      <c r="J5595" s="86">
        <f t="shared" si="3"/>
        <v>0</v>
      </c>
      <c r="R5595" s="26"/>
    </row>
    <row r="5596" spans="1:18" ht="15.75" customHeight="1">
      <c r="A5596" s="26"/>
      <c r="B5596" s="86"/>
      <c r="D5596" s="26"/>
      <c r="F5596" s="87" t="str">
        <f t="shared" si="0"/>
        <v/>
      </c>
      <c r="H5596" s="26" t="str">
        <f t="shared" si="1"/>
        <v/>
      </c>
      <c r="I5596" s="26" t="str">
        <f t="shared" si="2"/>
        <v/>
      </c>
      <c r="J5596" s="86">
        <f t="shared" si="3"/>
        <v>0</v>
      </c>
      <c r="R5596" s="26"/>
    </row>
    <row r="5597" spans="1:18" ht="15.75" customHeight="1">
      <c r="A5597" s="26"/>
      <c r="B5597" s="86"/>
      <c r="D5597" s="26"/>
      <c r="F5597" s="87" t="str">
        <f t="shared" si="0"/>
        <v/>
      </c>
      <c r="H5597" s="26" t="str">
        <f t="shared" si="1"/>
        <v/>
      </c>
      <c r="I5597" s="26" t="str">
        <f t="shared" si="2"/>
        <v/>
      </c>
      <c r="J5597" s="86">
        <f t="shared" si="3"/>
        <v>0</v>
      </c>
      <c r="R5597" s="26"/>
    </row>
    <row r="5598" spans="1:18" ht="15.75" customHeight="1">
      <c r="A5598" s="26"/>
      <c r="B5598" s="86"/>
      <c r="D5598" s="26"/>
      <c r="F5598" s="87" t="str">
        <f t="shared" si="0"/>
        <v/>
      </c>
      <c r="H5598" s="26" t="str">
        <f t="shared" si="1"/>
        <v/>
      </c>
      <c r="I5598" s="26" t="str">
        <f t="shared" si="2"/>
        <v/>
      </c>
      <c r="J5598" s="86">
        <f t="shared" si="3"/>
        <v>0</v>
      </c>
      <c r="R5598" s="26"/>
    </row>
    <row r="5599" spans="1:18" ht="15.75" customHeight="1">
      <c r="A5599" s="26"/>
      <c r="B5599" s="86"/>
      <c r="D5599" s="26"/>
      <c r="F5599" s="87" t="str">
        <f t="shared" si="0"/>
        <v/>
      </c>
      <c r="H5599" s="26" t="str">
        <f t="shared" si="1"/>
        <v/>
      </c>
      <c r="I5599" s="26" t="str">
        <f t="shared" si="2"/>
        <v/>
      </c>
      <c r="J5599" s="86">
        <f t="shared" si="3"/>
        <v>0</v>
      </c>
      <c r="R5599" s="26"/>
    </row>
    <row r="5600" spans="1:18" ht="15.75" customHeight="1">
      <c r="A5600" s="26"/>
      <c r="B5600" s="86"/>
      <c r="D5600" s="26"/>
      <c r="F5600" s="87" t="str">
        <f t="shared" si="0"/>
        <v/>
      </c>
      <c r="H5600" s="26" t="str">
        <f t="shared" si="1"/>
        <v/>
      </c>
      <c r="I5600" s="26" t="str">
        <f t="shared" si="2"/>
        <v/>
      </c>
      <c r="J5600" s="86">
        <f t="shared" si="3"/>
        <v>0</v>
      </c>
      <c r="R5600" s="26"/>
    </row>
    <row r="5601" spans="1:18" ht="15.75" customHeight="1">
      <c r="A5601" s="26"/>
      <c r="B5601" s="86"/>
      <c r="D5601" s="26"/>
      <c r="F5601" s="87" t="str">
        <f t="shared" si="0"/>
        <v/>
      </c>
      <c r="H5601" s="26" t="str">
        <f t="shared" si="1"/>
        <v/>
      </c>
      <c r="I5601" s="26" t="str">
        <f t="shared" si="2"/>
        <v/>
      </c>
      <c r="J5601" s="86">
        <f t="shared" si="3"/>
        <v>0</v>
      </c>
      <c r="R5601" s="26"/>
    </row>
    <row r="5602" spans="1:18" ht="15.75" customHeight="1">
      <c r="A5602" s="26"/>
      <c r="B5602" s="86"/>
      <c r="D5602" s="26"/>
      <c r="F5602" s="87" t="str">
        <f t="shared" si="0"/>
        <v/>
      </c>
      <c r="H5602" s="26" t="str">
        <f t="shared" si="1"/>
        <v/>
      </c>
      <c r="I5602" s="26" t="str">
        <f t="shared" si="2"/>
        <v/>
      </c>
      <c r="J5602" s="86">
        <f t="shared" si="3"/>
        <v>0</v>
      </c>
      <c r="R5602" s="26"/>
    </row>
    <row r="5603" spans="1:18" ht="15.75" customHeight="1">
      <c r="A5603" s="26"/>
      <c r="B5603" s="86"/>
      <c r="D5603" s="26"/>
      <c r="F5603" s="87" t="str">
        <f t="shared" si="0"/>
        <v/>
      </c>
      <c r="H5603" s="26" t="str">
        <f t="shared" si="1"/>
        <v/>
      </c>
      <c r="I5603" s="26" t="str">
        <f t="shared" si="2"/>
        <v/>
      </c>
      <c r="J5603" s="86">
        <f t="shared" si="3"/>
        <v>0</v>
      </c>
      <c r="R5603" s="26"/>
    </row>
    <row r="5604" spans="1:18" ht="15.75" customHeight="1">
      <c r="A5604" s="26"/>
      <c r="B5604" s="86"/>
      <c r="D5604" s="26"/>
      <c r="F5604" s="87" t="str">
        <f t="shared" si="0"/>
        <v/>
      </c>
      <c r="H5604" s="26" t="str">
        <f t="shared" si="1"/>
        <v/>
      </c>
      <c r="I5604" s="26" t="str">
        <f t="shared" si="2"/>
        <v/>
      </c>
      <c r="J5604" s="86">
        <f t="shared" si="3"/>
        <v>0</v>
      </c>
      <c r="R5604" s="26"/>
    </row>
    <row r="5605" spans="1:18" ht="15.75" customHeight="1">
      <c r="A5605" s="26"/>
      <c r="B5605" s="86"/>
      <c r="D5605" s="26"/>
      <c r="F5605" s="87" t="str">
        <f t="shared" si="0"/>
        <v/>
      </c>
      <c r="H5605" s="26" t="str">
        <f t="shared" si="1"/>
        <v/>
      </c>
      <c r="I5605" s="26" t="str">
        <f t="shared" si="2"/>
        <v/>
      </c>
      <c r="J5605" s="86">
        <f t="shared" si="3"/>
        <v>0</v>
      </c>
      <c r="R5605" s="26"/>
    </row>
    <row r="5606" spans="1:18" ht="15.75" customHeight="1">
      <c r="A5606" s="26"/>
      <c r="B5606" s="86"/>
      <c r="D5606" s="26"/>
      <c r="F5606" s="87" t="str">
        <f t="shared" si="0"/>
        <v/>
      </c>
      <c r="H5606" s="26" t="str">
        <f t="shared" si="1"/>
        <v/>
      </c>
      <c r="I5606" s="26" t="str">
        <f t="shared" si="2"/>
        <v/>
      </c>
      <c r="J5606" s="86">
        <f t="shared" si="3"/>
        <v>0</v>
      </c>
      <c r="R5606" s="26"/>
    </row>
    <row r="5607" spans="1:18" ht="15.75" customHeight="1">
      <c r="A5607" s="26"/>
      <c r="B5607" s="86"/>
      <c r="D5607" s="26"/>
      <c r="F5607" s="87" t="str">
        <f t="shared" si="0"/>
        <v/>
      </c>
      <c r="H5607" s="26" t="str">
        <f t="shared" si="1"/>
        <v/>
      </c>
      <c r="I5607" s="26" t="str">
        <f t="shared" si="2"/>
        <v/>
      </c>
      <c r="J5607" s="86">
        <f t="shared" si="3"/>
        <v>0</v>
      </c>
      <c r="R5607" s="26"/>
    </row>
    <row r="5608" spans="1:18" ht="15.75" customHeight="1">
      <c r="A5608" s="26"/>
      <c r="B5608" s="86"/>
      <c r="D5608" s="26"/>
      <c r="F5608" s="87" t="str">
        <f t="shared" si="0"/>
        <v/>
      </c>
      <c r="H5608" s="26" t="str">
        <f t="shared" si="1"/>
        <v/>
      </c>
      <c r="I5608" s="26" t="str">
        <f t="shared" si="2"/>
        <v/>
      </c>
      <c r="J5608" s="86">
        <f t="shared" si="3"/>
        <v>0</v>
      </c>
      <c r="R5608" s="26"/>
    </row>
    <row r="5609" spans="1:18" ht="15.75" customHeight="1">
      <c r="A5609" s="26"/>
      <c r="B5609" s="86"/>
      <c r="D5609" s="26"/>
      <c r="F5609" s="87" t="str">
        <f t="shared" si="0"/>
        <v/>
      </c>
      <c r="H5609" s="26" t="str">
        <f t="shared" si="1"/>
        <v/>
      </c>
      <c r="I5609" s="26" t="str">
        <f t="shared" si="2"/>
        <v/>
      </c>
      <c r="J5609" s="86">
        <f t="shared" si="3"/>
        <v>0</v>
      </c>
      <c r="R5609" s="26"/>
    </row>
    <row r="5610" spans="1:18" ht="15.75" customHeight="1">
      <c r="A5610" s="26"/>
      <c r="B5610" s="86"/>
      <c r="D5610" s="26"/>
      <c r="F5610" s="87" t="str">
        <f t="shared" si="0"/>
        <v/>
      </c>
      <c r="H5610" s="26" t="str">
        <f t="shared" si="1"/>
        <v/>
      </c>
      <c r="I5610" s="26" t="str">
        <f t="shared" si="2"/>
        <v/>
      </c>
      <c r="J5610" s="86">
        <f t="shared" si="3"/>
        <v>0</v>
      </c>
      <c r="R5610" s="26"/>
    </row>
    <row r="5611" spans="1:18" ht="15.75" customHeight="1">
      <c r="A5611" s="26"/>
      <c r="B5611" s="86"/>
      <c r="D5611" s="26"/>
      <c r="F5611" s="87" t="str">
        <f t="shared" si="0"/>
        <v/>
      </c>
      <c r="H5611" s="26" t="str">
        <f t="shared" si="1"/>
        <v/>
      </c>
      <c r="I5611" s="26" t="str">
        <f t="shared" si="2"/>
        <v/>
      </c>
      <c r="J5611" s="86">
        <f t="shared" si="3"/>
        <v>0</v>
      </c>
      <c r="R5611" s="26"/>
    </row>
    <row r="5612" spans="1:18" ht="15.75" customHeight="1">
      <c r="A5612" s="26"/>
      <c r="B5612" s="86"/>
      <c r="D5612" s="26"/>
      <c r="F5612" s="87" t="str">
        <f t="shared" si="0"/>
        <v/>
      </c>
      <c r="H5612" s="26" t="str">
        <f t="shared" si="1"/>
        <v/>
      </c>
      <c r="I5612" s="26" t="str">
        <f t="shared" si="2"/>
        <v/>
      </c>
      <c r="J5612" s="86">
        <f t="shared" si="3"/>
        <v>0</v>
      </c>
      <c r="R5612" s="26"/>
    </row>
    <row r="5613" spans="1:18" ht="15.75" customHeight="1">
      <c r="A5613" s="26"/>
      <c r="B5613" s="86"/>
      <c r="D5613" s="26"/>
      <c r="F5613" s="87" t="str">
        <f t="shared" si="0"/>
        <v/>
      </c>
      <c r="H5613" s="26" t="str">
        <f t="shared" si="1"/>
        <v/>
      </c>
      <c r="I5613" s="26" t="str">
        <f t="shared" si="2"/>
        <v/>
      </c>
      <c r="J5613" s="86">
        <f t="shared" si="3"/>
        <v>0</v>
      </c>
      <c r="R5613" s="26"/>
    </row>
    <row r="5614" spans="1:18" ht="15.75" customHeight="1">
      <c r="A5614" s="26"/>
      <c r="B5614" s="86"/>
      <c r="D5614" s="26"/>
      <c r="F5614" s="87" t="str">
        <f t="shared" si="0"/>
        <v/>
      </c>
      <c r="H5614" s="26" t="str">
        <f t="shared" si="1"/>
        <v/>
      </c>
      <c r="I5614" s="26" t="str">
        <f t="shared" si="2"/>
        <v/>
      </c>
      <c r="J5614" s="86">
        <f t="shared" si="3"/>
        <v>0</v>
      </c>
      <c r="R5614" s="26"/>
    </row>
    <row r="5615" spans="1:18" ht="15.75" customHeight="1">
      <c r="A5615" s="26"/>
      <c r="B5615" s="86"/>
      <c r="D5615" s="26"/>
      <c r="F5615" s="87" t="str">
        <f t="shared" si="0"/>
        <v/>
      </c>
      <c r="H5615" s="26" t="str">
        <f t="shared" si="1"/>
        <v/>
      </c>
      <c r="I5615" s="26" t="str">
        <f t="shared" si="2"/>
        <v/>
      </c>
      <c r="J5615" s="86">
        <f t="shared" si="3"/>
        <v>0</v>
      </c>
      <c r="R5615" s="26"/>
    </row>
    <row r="5616" spans="1:18" ht="15.75" customHeight="1">
      <c r="A5616" s="26"/>
      <c r="B5616" s="86"/>
      <c r="D5616" s="26"/>
      <c r="F5616" s="87" t="str">
        <f t="shared" si="0"/>
        <v/>
      </c>
      <c r="H5616" s="26" t="str">
        <f t="shared" si="1"/>
        <v/>
      </c>
      <c r="I5616" s="26" t="str">
        <f t="shared" si="2"/>
        <v/>
      </c>
      <c r="J5616" s="86">
        <f t="shared" si="3"/>
        <v>0</v>
      </c>
      <c r="R5616" s="26"/>
    </row>
    <row r="5617" spans="1:18" ht="15.75" customHeight="1">
      <c r="A5617" s="26"/>
      <c r="B5617" s="86"/>
      <c r="D5617" s="26"/>
      <c r="F5617" s="87" t="str">
        <f t="shared" si="0"/>
        <v/>
      </c>
      <c r="H5617" s="26" t="str">
        <f t="shared" si="1"/>
        <v/>
      </c>
      <c r="I5617" s="26" t="str">
        <f t="shared" si="2"/>
        <v/>
      </c>
      <c r="J5617" s="86">
        <f t="shared" si="3"/>
        <v>0</v>
      </c>
      <c r="R5617" s="26"/>
    </row>
    <row r="5618" spans="1:18" ht="15.75" customHeight="1">
      <c r="A5618" s="26"/>
      <c r="B5618" s="86"/>
      <c r="D5618" s="26"/>
      <c r="F5618" s="87" t="str">
        <f t="shared" si="0"/>
        <v/>
      </c>
      <c r="H5618" s="26" t="str">
        <f t="shared" si="1"/>
        <v/>
      </c>
      <c r="I5618" s="26" t="str">
        <f t="shared" si="2"/>
        <v/>
      </c>
      <c r="J5618" s="86">
        <f t="shared" si="3"/>
        <v>0</v>
      </c>
      <c r="R5618" s="26"/>
    </row>
    <row r="5619" spans="1:18" ht="15.75" customHeight="1">
      <c r="A5619" s="26"/>
      <c r="B5619" s="86"/>
      <c r="D5619" s="26"/>
      <c r="F5619" s="87" t="str">
        <f t="shared" si="0"/>
        <v/>
      </c>
      <c r="H5619" s="26" t="str">
        <f t="shared" si="1"/>
        <v/>
      </c>
      <c r="I5619" s="26" t="str">
        <f t="shared" si="2"/>
        <v/>
      </c>
      <c r="J5619" s="86">
        <f t="shared" si="3"/>
        <v>0</v>
      </c>
      <c r="R5619" s="26"/>
    </row>
    <row r="5620" spans="1:18" ht="15.75" customHeight="1">
      <c r="A5620" s="26"/>
      <c r="B5620" s="86"/>
      <c r="D5620" s="26"/>
      <c r="F5620" s="87" t="str">
        <f t="shared" si="0"/>
        <v/>
      </c>
      <c r="H5620" s="26" t="str">
        <f t="shared" si="1"/>
        <v/>
      </c>
      <c r="I5620" s="26" t="str">
        <f t="shared" si="2"/>
        <v/>
      </c>
      <c r="J5620" s="86">
        <f t="shared" si="3"/>
        <v>0</v>
      </c>
      <c r="R5620" s="26"/>
    </row>
    <row r="5621" spans="1:18" ht="15.75" customHeight="1">
      <c r="A5621" s="26"/>
      <c r="B5621" s="86"/>
      <c r="D5621" s="26"/>
      <c r="F5621" s="87" t="str">
        <f t="shared" si="0"/>
        <v/>
      </c>
      <c r="H5621" s="26" t="str">
        <f t="shared" si="1"/>
        <v/>
      </c>
      <c r="I5621" s="26" t="str">
        <f t="shared" si="2"/>
        <v/>
      </c>
      <c r="J5621" s="86">
        <f t="shared" si="3"/>
        <v>0</v>
      </c>
      <c r="R5621" s="26"/>
    </row>
    <row r="5622" spans="1:18" ht="15.75" customHeight="1">
      <c r="A5622" s="26"/>
      <c r="B5622" s="86"/>
      <c r="D5622" s="26"/>
      <c r="F5622" s="87" t="str">
        <f t="shared" si="0"/>
        <v/>
      </c>
      <c r="H5622" s="26" t="str">
        <f t="shared" si="1"/>
        <v/>
      </c>
      <c r="I5622" s="26" t="str">
        <f t="shared" si="2"/>
        <v/>
      </c>
      <c r="J5622" s="86">
        <f t="shared" si="3"/>
        <v>0</v>
      </c>
      <c r="R5622" s="26"/>
    </row>
    <row r="5623" spans="1:18" ht="15.75" customHeight="1">
      <c r="A5623" s="26"/>
      <c r="B5623" s="86"/>
      <c r="D5623" s="26"/>
      <c r="F5623" s="87" t="str">
        <f t="shared" si="0"/>
        <v/>
      </c>
      <c r="H5623" s="26" t="str">
        <f t="shared" si="1"/>
        <v/>
      </c>
      <c r="I5623" s="26" t="str">
        <f t="shared" si="2"/>
        <v/>
      </c>
      <c r="J5623" s="86">
        <f t="shared" si="3"/>
        <v>0</v>
      </c>
      <c r="R5623" s="26"/>
    </row>
    <row r="5624" spans="1:18" ht="15.75" customHeight="1">
      <c r="A5624" s="26"/>
      <c r="B5624" s="86"/>
      <c r="D5624" s="26"/>
      <c r="F5624" s="87" t="str">
        <f t="shared" si="0"/>
        <v/>
      </c>
      <c r="H5624" s="26" t="str">
        <f t="shared" si="1"/>
        <v/>
      </c>
      <c r="I5624" s="26" t="str">
        <f t="shared" si="2"/>
        <v/>
      </c>
      <c r="J5624" s="86">
        <f t="shared" si="3"/>
        <v>0</v>
      </c>
      <c r="R5624" s="26"/>
    </row>
    <row r="5625" spans="1:18" ht="15.75" customHeight="1">
      <c r="A5625" s="26"/>
      <c r="B5625" s="86"/>
      <c r="D5625" s="26"/>
      <c r="F5625" s="87" t="str">
        <f t="shared" si="0"/>
        <v/>
      </c>
      <c r="H5625" s="26" t="str">
        <f t="shared" si="1"/>
        <v/>
      </c>
      <c r="I5625" s="26" t="str">
        <f t="shared" si="2"/>
        <v/>
      </c>
      <c r="J5625" s="86">
        <f t="shared" si="3"/>
        <v>0</v>
      </c>
      <c r="R5625" s="26"/>
    </row>
    <row r="5626" spans="1:18" ht="15.75" customHeight="1">
      <c r="A5626" s="26"/>
      <c r="B5626" s="86"/>
      <c r="D5626" s="26"/>
      <c r="F5626" s="87" t="str">
        <f t="shared" si="0"/>
        <v/>
      </c>
      <c r="H5626" s="26" t="str">
        <f t="shared" si="1"/>
        <v/>
      </c>
      <c r="I5626" s="26" t="str">
        <f t="shared" si="2"/>
        <v/>
      </c>
      <c r="J5626" s="86">
        <f t="shared" si="3"/>
        <v>0</v>
      </c>
      <c r="R5626" s="26"/>
    </row>
    <row r="5627" spans="1:18" ht="15.75" customHeight="1">
      <c r="A5627" s="26"/>
      <c r="B5627" s="86"/>
      <c r="D5627" s="26"/>
      <c r="F5627" s="87" t="str">
        <f t="shared" si="0"/>
        <v/>
      </c>
      <c r="H5627" s="26" t="str">
        <f t="shared" si="1"/>
        <v/>
      </c>
      <c r="I5627" s="26" t="str">
        <f t="shared" si="2"/>
        <v/>
      </c>
      <c r="J5627" s="86">
        <f t="shared" si="3"/>
        <v>0</v>
      </c>
      <c r="R5627" s="26"/>
    </row>
    <row r="5628" spans="1:18" ht="15.75" customHeight="1">
      <c r="A5628" s="26"/>
      <c r="B5628" s="86"/>
      <c r="D5628" s="26"/>
      <c r="F5628" s="87" t="str">
        <f t="shared" si="0"/>
        <v/>
      </c>
      <c r="H5628" s="26" t="str">
        <f t="shared" si="1"/>
        <v/>
      </c>
      <c r="I5628" s="26" t="str">
        <f t="shared" si="2"/>
        <v/>
      </c>
      <c r="J5628" s="86">
        <f t="shared" si="3"/>
        <v>0</v>
      </c>
      <c r="R5628" s="26"/>
    </row>
    <row r="5629" spans="1:18" ht="15.75" customHeight="1">
      <c r="A5629" s="26"/>
      <c r="B5629" s="86"/>
      <c r="D5629" s="26"/>
      <c r="F5629" s="87" t="str">
        <f t="shared" si="0"/>
        <v/>
      </c>
      <c r="H5629" s="26" t="str">
        <f t="shared" si="1"/>
        <v/>
      </c>
      <c r="I5629" s="26" t="str">
        <f t="shared" si="2"/>
        <v/>
      </c>
      <c r="J5629" s="86">
        <f t="shared" si="3"/>
        <v>0</v>
      </c>
      <c r="R5629" s="26"/>
    </row>
    <row r="5630" spans="1:18" ht="15.75" customHeight="1">
      <c r="A5630" s="26"/>
      <c r="B5630" s="86"/>
      <c r="D5630" s="26"/>
      <c r="F5630" s="87" t="str">
        <f t="shared" si="0"/>
        <v/>
      </c>
      <c r="H5630" s="26" t="str">
        <f t="shared" si="1"/>
        <v/>
      </c>
      <c r="I5630" s="26" t="str">
        <f t="shared" si="2"/>
        <v/>
      </c>
      <c r="J5630" s="86">
        <f t="shared" si="3"/>
        <v>0</v>
      </c>
      <c r="R5630" s="26"/>
    </row>
    <row r="5631" spans="1:18" ht="15.75" customHeight="1">
      <c r="A5631" s="26"/>
      <c r="B5631" s="86"/>
      <c r="D5631" s="26"/>
      <c r="F5631" s="87" t="str">
        <f t="shared" si="0"/>
        <v/>
      </c>
      <c r="H5631" s="26" t="str">
        <f t="shared" si="1"/>
        <v/>
      </c>
      <c r="I5631" s="26" t="str">
        <f t="shared" si="2"/>
        <v/>
      </c>
      <c r="J5631" s="86">
        <f t="shared" si="3"/>
        <v>0</v>
      </c>
      <c r="R5631" s="26"/>
    </row>
    <row r="5632" spans="1:18" ht="15.75" customHeight="1">
      <c r="A5632" s="26"/>
      <c r="B5632" s="86"/>
      <c r="D5632" s="26"/>
      <c r="F5632" s="87" t="str">
        <f t="shared" si="0"/>
        <v/>
      </c>
      <c r="H5632" s="26" t="str">
        <f t="shared" si="1"/>
        <v/>
      </c>
      <c r="I5632" s="26" t="str">
        <f t="shared" si="2"/>
        <v/>
      </c>
      <c r="J5632" s="86">
        <f t="shared" si="3"/>
        <v>0</v>
      </c>
      <c r="R5632" s="26"/>
    </row>
    <row r="5633" spans="1:18" ht="15.75" customHeight="1">
      <c r="A5633" s="26"/>
      <c r="B5633" s="86"/>
      <c r="D5633" s="26"/>
      <c r="F5633" s="87" t="str">
        <f t="shared" si="0"/>
        <v/>
      </c>
      <c r="H5633" s="26" t="str">
        <f t="shared" si="1"/>
        <v/>
      </c>
      <c r="I5633" s="26" t="str">
        <f t="shared" si="2"/>
        <v/>
      </c>
      <c r="J5633" s="86">
        <f t="shared" si="3"/>
        <v>0</v>
      </c>
      <c r="R5633" s="26"/>
    </row>
    <row r="5634" spans="1:18" ht="15.75" customHeight="1">
      <c r="A5634" s="26"/>
      <c r="B5634" s="86"/>
      <c r="D5634" s="26"/>
      <c r="F5634" s="87" t="str">
        <f t="shared" si="0"/>
        <v/>
      </c>
      <c r="H5634" s="26" t="str">
        <f t="shared" si="1"/>
        <v/>
      </c>
      <c r="I5634" s="26" t="str">
        <f t="shared" si="2"/>
        <v/>
      </c>
      <c r="J5634" s="86">
        <f t="shared" si="3"/>
        <v>0</v>
      </c>
      <c r="R5634" s="26"/>
    </row>
    <row r="5635" spans="1:18" ht="15.75" customHeight="1">
      <c r="A5635" s="26"/>
      <c r="B5635" s="86"/>
      <c r="D5635" s="26"/>
      <c r="F5635" s="87" t="str">
        <f t="shared" si="0"/>
        <v/>
      </c>
      <c r="H5635" s="26" t="str">
        <f t="shared" si="1"/>
        <v/>
      </c>
      <c r="I5635" s="26" t="str">
        <f t="shared" si="2"/>
        <v/>
      </c>
      <c r="J5635" s="86">
        <f t="shared" si="3"/>
        <v>0</v>
      </c>
      <c r="R5635" s="26"/>
    </row>
    <row r="5636" spans="1:18" ht="15.75" customHeight="1">
      <c r="A5636" s="26"/>
      <c r="B5636" s="86"/>
      <c r="D5636" s="26"/>
      <c r="F5636" s="87" t="str">
        <f t="shared" si="0"/>
        <v/>
      </c>
      <c r="H5636" s="26" t="str">
        <f t="shared" si="1"/>
        <v/>
      </c>
      <c r="I5636" s="26" t="str">
        <f t="shared" si="2"/>
        <v/>
      </c>
      <c r="J5636" s="86">
        <f t="shared" si="3"/>
        <v>0</v>
      </c>
      <c r="R5636" s="26"/>
    </row>
    <row r="5637" spans="1:18" ht="15.75" customHeight="1">
      <c r="A5637" s="26"/>
      <c r="B5637" s="86"/>
      <c r="D5637" s="26"/>
      <c r="F5637" s="87" t="str">
        <f t="shared" si="0"/>
        <v/>
      </c>
      <c r="H5637" s="26" t="str">
        <f t="shared" si="1"/>
        <v/>
      </c>
      <c r="I5637" s="26" t="str">
        <f t="shared" si="2"/>
        <v/>
      </c>
      <c r="J5637" s="86">
        <f t="shared" si="3"/>
        <v>0</v>
      </c>
      <c r="R5637" s="26"/>
    </row>
    <row r="5638" spans="1:18" ht="15.75" customHeight="1">
      <c r="A5638" s="26"/>
      <c r="B5638" s="86"/>
      <c r="D5638" s="26"/>
      <c r="F5638" s="87" t="str">
        <f t="shared" si="0"/>
        <v/>
      </c>
      <c r="H5638" s="26" t="str">
        <f t="shared" si="1"/>
        <v/>
      </c>
      <c r="I5638" s="26" t="str">
        <f t="shared" si="2"/>
        <v/>
      </c>
      <c r="J5638" s="86">
        <f t="shared" si="3"/>
        <v>0</v>
      </c>
      <c r="R5638" s="26"/>
    </row>
    <row r="5639" spans="1:18" ht="15.75" customHeight="1">
      <c r="A5639" s="26"/>
      <c r="B5639" s="86"/>
      <c r="D5639" s="26"/>
      <c r="F5639" s="87" t="str">
        <f t="shared" si="0"/>
        <v/>
      </c>
      <c r="H5639" s="26" t="str">
        <f t="shared" si="1"/>
        <v/>
      </c>
      <c r="I5639" s="26" t="str">
        <f t="shared" si="2"/>
        <v/>
      </c>
      <c r="J5639" s="86">
        <f t="shared" si="3"/>
        <v>0</v>
      </c>
      <c r="R5639" s="26"/>
    </row>
    <row r="5640" spans="1:18" ht="15.75" customHeight="1">
      <c r="A5640" s="26"/>
      <c r="B5640" s="86"/>
      <c r="D5640" s="26"/>
      <c r="F5640" s="87" t="str">
        <f t="shared" si="0"/>
        <v/>
      </c>
      <c r="H5640" s="26" t="str">
        <f t="shared" si="1"/>
        <v/>
      </c>
      <c r="I5640" s="26" t="str">
        <f t="shared" si="2"/>
        <v/>
      </c>
      <c r="J5640" s="86">
        <f t="shared" si="3"/>
        <v>0</v>
      </c>
      <c r="R5640" s="26"/>
    </row>
    <row r="5641" spans="1:18" ht="15.75" customHeight="1">
      <c r="A5641" s="26"/>
      <c r="B5641" s="86"/>
      <c r="D5641" s="26"/>
      <c r="F5641" s="87" t="str">
        <f t="shared" si="0"/>
        <v/>
      </c>
      <c r="H5641" s="26" t="str">
        <f t="shared" si="1"/>
        <v/>
      </c>
      <c r="I5641" s="26" t="str">
        <f t="shared" si="2"/>
        <v/>
      </c>
      <c r="J5641" s="86">
        <f t="shared" si="3"/>
        <v>0</v>
      </c>
      <c r="R5641" s="26"/>
    </row>
    <row r="5642" spans="1:18" ht="15.75" customHeight="1">
      <c r="A5642" s="26"/>
      <c r="B5642" s="86"/>
      <c r="D5642" s="26"/>
      <c r="F5642" s="87" t="str">
        <f t="shared" si="0"/>
        <v/>
      </c>
      <c r="H5642" s="26" t="str">
        <f t="shared" si="1"/>
        <v/>
      </c>
      <c r="I5642" s="26" t="str">
        <f t="shared" si="2"/>
        <v/>
      </c>
      <c r="J5642" s="86">
        <f t="shared" si="3"/>
        <v>0</v>
      </c>
      <c r="R5642" s="26"/>
    </row>
    <row r="5643" spans="1:18" ht="15.75" customHeight="1">
      <c r="A5643" s="26"/>
      <c r="B5643" s="86"/>
      <c r="D5643" s="26"/>
      <c r="F5643" s="87" t="str">
        <f t="shared" si="0"/>
        <v/>
      </c>
      <c r="H5643" s="26" t="str">
        <f t="shared" si="1"/>
        <v/>
      </c>
      <c r="I5643" s="26" t="str">
        <f t="shared" si="2"/>
        <v/>
      </c>
      <c r="J5643" s="86">
        <f t="shared" si="3"/>
        <v>0</v>
      </c>
      <c r="R5643" s="26"/>
    </row>
    <row r="5644" spans="1:18" ht="15.75" customHeight="1">
      <c r="A5644" s="26"/>
      <c r="B5644" s="86"/>
      <c r="D5644" s="26"/>
      <c r="F5644" s="87" t="str">
        <f t="shared" si="0"/>
        <v/>
      </c>
      <c r="H5644" s="26" t="str">
        <f t="shared" si="1"/>
        <v/>
      </c>
      <c r="I5644" s="26" t="str">
        <f t="shared" si="2"/>
        <v/>
      </c>
      <c r="J5644" s="86">
        <f t="shared" si="3"/>
        <v>0</v>
      </c>
      <c r="R5644" s="26"/>
    </row>
    <row r="5645" spans="1:18" ht="15.75" customHeight="1">
      <c r="A5645" s="26"/>
      <c r="B5645" s="86"/>
      <c r="D5645" s="26"/>
      <c r="F5645" s="87" t="str">
        <f t="shared" si="0"/>
        <v/>
      </c>
      <c r="H5645" s="26" t="str">
        <f t="shared" si="1"/>
        <v/>
      </c>
      <c r="I5645" s="26" t="str">
        <f t="shared" si="2"/>
        <v/>
      </c>
      <c r="J5645" s="86">
        <f t="shared" si="3"/>
        <v>0</v>
      </c>
      <c r="R5645" s="26"/>
    </row>
    <row r="5646" spans="1:18" ht="15.75" customHeight="1">
      <c r="A5646" s="26"/>
      <c r="B5646" s="86"/>
      <c r="D5646" s="26"/>
      <c r="F5646" s="87" t="str">
        <f t="shared" si="0"/>
        <v/>
      </c>
      <c r="H5646" s="26" t="str">
        <f t="shared" si="1"/>
        <v/>
      </c>
      <c r="I5646" s="26" t="str">
        <f t="shared" si="2"/>
        <v/>
      </c>
      <c r="J5646" s="86">
        <f t="shared" si="3"/>
        <v>0</v>
      </c>
      <c r="R5646" s="26"/>
    </row>
    <row r="5647" spans="1:18" ht="15.75" customHeight="1">
      <c r="A5647" s="26"/>
      <c r="B5647" s="86"/>
      <c r="D5647" s="26"/>
      <c r="F5647" s="87" t="str">
        <f t="shared" si="0"/>
        <v/>
      </c>
      <c r="H5647" s="26" t="str">
        <f t="shared" si="1"/>
        <v/>
      </c>
      <c r="I5647" s="26" t="str">
        <f t="shared" si="2"/>
        <v/>
      </c>
      <c r="J5647" s="86">
        <f t="shared" si="3"/>
        <v>0</v>
      </c>
      <c r="R5647" s="26"/>
    </row>
    <row r="5648" spans="1:18" ht="15.75" customHeight="1">
      <c r="A5648" s="26"/>
      <c r="B5648" s="86"/>
      <c r="D5648" s="26"/>
      <c r="F5648" s="87" t="str">
        <f t="shared" si="0"/>
        <v/>
      </c>
      <c r="H5648" s="26" t="str">
        <f t="shared" si="1"/>
        <v/>
      </c>
      <c r="I5648" s="26" t="str">
        <f t="shared" si="2"/>
        <v/>
      </c>
      <c r="J5648" s="86">
        <f t="shared" si="3"/>
        <v>0</v>
      </c>
      <c r="R5648" s="26"/>
    </row>
    <row r="5649" spans="1:18" ht="15.75" customHeight="1">
      <c r="A5649" s="26"/>
      <c r="B5649" s="86"/>
      <c r="D5649" s="26"/>
      <c r="F5649" s="87" t="str">
        <f t="shared" si="0"/>
        <v/>
      </c>
      <c r="H5649" s="26" t="str">
        <f t="shared" si="1"/>
        <v/>
      </c>
      <c r="I5649" s="26" t="str">
        <f t="shared" si="2"/>
        <v/>
      </c>
      <c r="J5649" s="86">
        <f t="shared" si="3"/>
        <v>0</v>
      </c>
      <c r="R5649" s="26"/>
    </row>
    <row r="5650" spans="1:18" ht="15.75" customHeight="1">
      <c r="A5650" s="26"/>
      <c r="B5650" s="86"/>
      <c r="D5650" s="26"/>
      <c r="F5650" s="87" t="str">
        <f t="shared" si="0"/>
        <v/>
      </c>
      <c r="H5650" s="26" t="str">
        <f t="shared" si="1"/>
        <v/>
      </c>
      <c r="I5650" s="26" t="str">
        <f t="shared" si="2"/>
        <v/>
      </c>
      <c r="J5650" s="86">
        <f t="shared" si="3"/>
        <v>0</v>
      </c>
      <c r="R5650" s="26"/>
    </row>
    <row r="5651" spans="1:18" ht="15.75" customHeight="1">
      <c r="A5651" s="26"/>
      <c r="B5651" s="86"/>
      <c r="D5651" s="26"/>
      <c r="F5651" s="87" t="str">
        <f t="shared" si="0"/>
        <v/>
      </c>
      <c r="H5651" s="26" t="str">
        <f t="shared" si="1"/>
        <v/>
      </c>
      <c r="I5651" s="26" t="str">
        <f t="shared" si="2"/>
        <v/>
      </c>
      <c r="J5651" s="86">
        <f t="shared" si="3"/>
        <v>0</v>
      </c>
      <c r="R5651" s="26"/>
    </row>
    <row r="5652" spans="1:18" ht="15.75" customHeight="1">
      <c r="A5652" s="26"/>
      <c r="B5652" s="86"/>
      <c r="D5652" s="26"/>
      <c r="F5652" s="87" t="str">
        <f t="shared" si="0"/>
        <v/>
      </c>
      <c r="H5652" s="26" t="str">
        <f t="shared" si="1"/>
        <v/>
      </c>
      <c r="I5652" s="26" t="str">
        <f t="shared" si="2"/>
        <v/>
      </c>
      <c r="J5652" s="86">
        <f t="shared" si="3"/>
        <v>0</v>
      </c>
      <c r="R5652" s="26"/>
    </row>
    <row r="5653" spans="1:18" ht="15.75" customHeight="1">
      <c r="A5653" s="26"/>
      <c r="B5653" s="86"/>
      <c r="D5653" s="26"/>
      <c r="F5653" s="87" t="str">
        <f t="shared" si="0"/>
        <v/>
      </c>
      <c r="H5653" s="26" t="str">
        <f t="shared" si="1"/>
        <v/>
      </c>
      <c r="I5653" s="26" t="str">
        <f t="shared" si="2"/>
        <v/>
      </c>
      <c r="J5653" s="86">
        <f t="shared" si="3"/>
        <v>0</v>
      </c>
      <c r="R5653" s="26"/>
    </row>
    <row r="5654" spans="1:18" ht="15.75" customHeight="1">
      <c r="A5654" s="26"/>
      <c r="B5654" s="86"/>
      <c r="D5654" s="26"/>
      <c r="F5654" s="87" t="str">
        <f t="shared" si="0"/>
        <v/>
      </c>
      <c r="H5654" s="26" t="str">
        <f t="shared" si="1"/>
        <v/>
      </c>
      <c r="I5654" s="26" t="str">
        <f t="shared" si="2"/>
        <v/>
      </c>
      <c r="J5654" s="86">
        <f t="shared" si="3"/>
        <v>0</v>
      </c>
      <c r="R5654" s="26"/>
    </row>
    <row r="5655" spans="1:18" ht="15.75" customHeight="1">
      <c r="A5655" s="26"/>
      <c r="B5655" s="86"/>
      <c r="D5655" s="26"/>
      <c r="F5655" s="87" t="str">
        <f t="shared" si="0"/>
        <v/>
      </c>
      <c r="H5655" s="26" t="str">
        <f t="shared" si="1"/>
        <v/>
      </c>
      <c r="I5655" s="26" t="str">
        <f t="shared" si="2"/>
        <v/>
      </c>
      <c r="J5655" s="86">
        <f t="shared" si="3"/>
        <v>0</v>
      </c>
      <c r="R5655" s="26"/>
    </row>
    <row r="5656" spans="1:18" ht="15.75" customHeight="1">
      <c r="A5656" s="26"/>
      <c r="B5656" s="86"/>
      <c r="D5656" s="26"/>
      <c r="F5656" s="87" t="str">
        <f t="shared" si="0"/>
        <v/>
      </c>
      <c r="H5656" s="26" t="str">
        <f t="shared" si="1"/>
        <v/>
      </c>
      <c r="I5656" s="26" t="str">
        <f t="shared" si="2"/>
        <v/>
      </c>
      <c r="J5656" s="86">
        <f t="shared" si="3"/>
        <v>0</v>
      </c>
      <c r="R5656" s="26"/>
    </row>
    <row r="5657" spans="1:18" ht="15.75" customHeight="1">
      <c r="A5657" s="26"/>
      <c r="B5657" s="86"/>
      <c r="D5657" s="26"/>
      <c r="F5657" s="87" t="str">
        <f t="shared" si="0"/>
        <v/>
      </c>
      <c r="H5657" s="26" t="str">
        <f t="shared" si="1"/>
        <v/>
      </c>
      <c r="I5657" s="26" t="str">
        <f t="shared" si="2"/>
        <v/>
      </c>
      <c r="J5657" s="86">
        <f t="shared" si="3"/>
        <v>0</v>
      </c>
      <c r="R5657" s="26"/>
    </row>
    <row r="5658" spans="1:18" ht="15.75" customHeight="1">
      <c r="A5658" s="26"/>
      <c r="B5658" s="86"/>
      <c r="D5658" s="26"/>
      <c r="F5658" s="87" t="str">
        <f t="shared" si="0"/>
        <v/>
      </c>
      <c r="H5658" s="26" t="str">
        <f t="shared" si="1"/>
        <v/>
      </c>
      <c r="I5658" s="26" t="str">
        <f t="shared" si="2"/>
        <v/>
      </c>
      <c r="J5658" s="86">
        <f t="shared" si="3"/>
        <v>0</v>
      </c>
      <c r="R5658" s="26"/>
    </row>
    <row r="5659" spans="1:18" ht="15.75" customHeight="1">
      <c r="A5659" s="26"/>
      <c r="B5659" s="86"/>
      <c r="D5659" s="26"/>
      <c r="F5659" s="87" t="str">
        <f t="shared" si="0"/>
        <v/>
      </c>
      <c r="H5659" s="26" t="str">
        <f t="shared" si="1"/>
        <v/>
      </c>
      <c r="I5659" s="26" t="str">
        <f t="shared" si="2"/>
        <v/>
      </c>
      <c r="J5659" s="86">
        <f t="shared" si="3"/>
        <v>0</v>
      </c>
      <c r="R5659" s="26"/>
    </row>
    <row r="5660" spans="1:18" ht="15.75" customHeight="1">
      <c r="A5660" s="26"/>
      <c r="B5660" s="86"/>
      <c r="D5660" s="26"/>
      <c r="F5660" s="87" t="str">
        <f t="shared" si="0"/>
        <v/>
      </c>
      <c r="H5660" s="26" t="str">
        <f t="shared" si="1"/>
        <v/>
      </c>
      <c r="I5660" s="26" t="str">
        <f t="shared" si="2"/>
        <v/>
      </c>
      <c r="J5660" s="86">
        <f t="shared" si="3"/>
        <v>0</v>
      </c>
      <c r="R5660" s="26"/>
    </row>
    <row r="5661" spans="1:18" ht="15.75" customHeight="1">
      <c r="A5661" s="26"/>
      <c r="B5661" s="86"/>
      <c r="D5661" s="26"/>
      <c r="F5661" s="87" t="str">
        <f t="shared" si="0"/>
        <v/>
      </c>
      <c r="H5661" s="26" t="str">
        <f t="shared" si="1"/>
        <v/>
      </c>
      <c r="I5661" s="26" t="str">
        <f t="shared" si="2"/>
        <v/>
      </c>
      <c r="J5661" s="86">
        <f t="shared" si="3"/>
        <v>0</v>
      </c>
      <c r="R5661" s="26"/>
    </row>
    <row r="5662" spans="1:18" ht="15.75" customHeight="1">
      <c r="A5662" s="26"/>
      <c r="B5662" s="86"/>
      <c r="D5662" s="26"/>
      <c r="F5662" s="87" t="str">
        <f t="shared" si="0"/>
        <v/>
      </c>
      <c r="H5662" s="26" t="str">
        <f t="shared" si="1"/>
        <v/>
      </c>
      <c r="I5662" s="26" t="str">
        <f t="shared" si="2"/>
        <v/>
      </c>
      <c r="J5662" s="86">
        <f t="shared" si="3"/>
        <v>0</v>
      </c>
      <c r="R5662" s="26"/>
    </row>
    <row r="5663" spans="1:18" ht="15.75" customHeight="1">
      <c r="A5663" s="26"/>
      <c r="B5663" s="86"/>
      <c r="D5663" s="26"/>
      <c r="F5663" s="87" t="str">
        <f t="shared" si="0"/>
        <v/>
      </c>
      <c r="H5663" s="26" t="str">
        <f t="shared" si="1"/>
        <v/>
      </c>
      <c r="I5663" s="26" t="str">
        <f t="shared" si="2"/>
        <v/>
      </c>
      <c r="J5663" s="86">
        <f t="shared" si="3"/>
        <v>0</v>
      </c>
      <c r="R5663" s="26"/>
    </row>
    <row r="5664" spans="1:18" ht="15.75" customHeight="1">
      <c r="A5664" s="26"/>
      <c r="B5664" s="86"/>
      <c r="D5664" s="26"/>
      <c r="F5664" s="87" t="str">
        <f t="shared" si="0"/>
        <v/>
      </c>
      <c r="H5664" s="26" t="str">
        <f t="shared" si="1"/>
        <v/>
      </c>
      <c r="I5664" s="26" t="str">
        <f t="shared" si="2"/>
        <v/>
      </c>
      <c r="J5664" s="86">
        <f t="shared" si="3"/>
        <v>0</v>
      </c>
      <c r="R5664" s="26"/>
    </row>
    <row r="5665" spans="1:18" ht="15.75" customHeight="1">
      <c r="A5665" s="26"/>
      <c r="B5665" s="86"/>
      <c r="D5665" s="26"/>
      <c r="F5665" s="87" t="str">
        <f t="shared" si="0"/>
        <v/>
      </c>
      <c r="H5665" s="26" t="str">
        <f t="shared" si="1"/>
        <v/>
      </c>
      <c r="I5665" s="26" t="str">
        <f t="shared" si="2"/>
        <v/>
      </c>
      <c r="J5665" s="86">
        <f t="shared" si="3"/>
        <v>0</v>
      </c>
      <c r="R5665" s="26"/>
    </row>
    <row r="5666" spans="1:18" ht="15.75" customHeight="1">
      <c r="A5666" s="26"/>
      <c r="B5666" s="86"/>
      <c r="D5666" s="26"/>
      <c r="F5666" s="87" t="str">
        <f t="shared" si="0"/>
        <v/>
      </c>
      <c r="H5666" s="26" t="str">
        <f t="shared" si="1"/>
        <v/>
      </c>
      <c r="I5666" s="26" t="str">
        <f t="shared" si="2"/>
        <v/>
      </c>
      <c r="J5666" s="86">
        <f t="shared" si="3"/>
        <v>0</v>
      </c>
      <c r="R5666" s="26"/>
    </row>
    <row r="5667" spans="1:18" ht="15.75" customHeight="1">
      <c r="A5667" s="26"/>
      <c r="B5667" s="86"/>
      <c r="D5667" s="26"/>
      <c r="F5667" s="87" t="str">
        <f t="shared" si="0"/>
        <v/>
      </c>
      <c r="H5667" s="26" t="str">
        <f t="shared" si="1"/>
        <v/>
      </c>
      <c r="I5667" s="26" t="str">
        <f t="shared" si="2"/>
        <v/>
      </c>
      <c r="J5667" s="86">
        <f t="shared" si="3"/>
        <v>0</v>
      </c>
      <c r="R5667" s="26"/>
    </row>
    <row r="5668" spans="1:18" ht="15.75" customHeight="1">
      <c r="A5668" s="26"/>
      <c r="B5668" s="86"/>
      <c r="D5668" s="26"/>
      <c r="F5668" s="87" t="str">
        <f t="shared" si="0"/>
        <v/>
      </c>
      <c r="H5668" s="26" t="str">
        <f t="shared" si="1"/>
        <v/>
      </c>
      <c r="I5668" s="26" t="str">
        <f t="shared" si="2"/>
        <v/>
      </c>
      <c r="J5668" s="86">
        <f t="shared" si="3"/>
        <v>0</v>
      </c>
      <c r="R5668" s="26"/>
    </row>
    <row r="5669" spans="1:18" ht="15.75" customHeight="1">
      <c r="A5669" s="26"/>
      <c r="B5669" s="86"/>
      <c r="D5669" s="26"/>
      <c r="F5669" s="87" t="str">
        <f t="shared" si="0"/>
        <v/>
      </c>
      <c r="H5669" s="26" t="str">
        <f t="shared" si="1"/>
        <v/>
      </c>
      <c r="I5669" s="26" t="str">
        <f t="shared" si="2"/>
        <v/>
      </c>
      <c r="J5669" s="86">
        <f t="shared" si="3"/>
        <v>0</v>
      </c>
      <c r="R5669" s="26"/>
    </row>
    <row r="5670" spans="1:18" ht="15.75" customHeight="1">
      <c r="A5670" s="26"/>
      <c r="B5670" s="86"/>
      <c r="D5670" s="26"/>
      <c r="F5670" s="87" t="str">
        <f t="shared" si="0"/>
        <v/>
      </c>
      <c r="H5670" s="26" t="str">
        <f t="shared" si="1"/>
        <v/>
      </c>
      <c r="I5670" s="26" t="str">
        <f t="shared" si="2"/>
        <v/>
      </c>
      <c r="J5670" s="86">
        <f t="shared" si="3"/>
        <v>0</v>
      </c>
      <c r="R5670" s="26"/>
    </row>
    <row r="5671" spans="1:18" ht="15.75" customHeight="1">
      <c r="A5671" s="26"/>
      <c r="B5671" s="86"/>
      <c r="D5671" s="26"/>
      <c r="F5671" s="87" t="str">
        <f t="shared" si="0"/>
        <v/>
      </c>
      <c r="H5671" s="26" t="str">
        <f t="shared" si="1"/>
        <v/>
      </c>
      <c r="I5671" s="26" t="str">
        <f t="shared" si="2"/>
        <v/>
      </c>
      <c r="J5671" s="86">
        <f t="shared" si="3"/>
        <v>0</v>
      </c>
      <c r="R5671" s="26"/>
    </row>
    <row r="5672" spans="1:18" ht="15.75" customHeight="1">
      <c r="A5672" s="26"/>
      <c r="B5672" s="86"/>
      <c r="D5672" s="26"/>
      <c r="F5672" s="87" t="str">
        <f t="shared" si="0"/>
        <v/>
      </c>
      <c r="H5672" s="26" t="str">
        <f t="shared" si="1"/>
        <v/>
      </c>
      <c r="I5672" s="26" t="str">
        <f t="shared" si="2"/>
        <v/>
      </c>
      <c r="J5672" s="86">
        <f t="shared" si="3"/>
        <v>0</v>
      </c>
      <c r="R5672" s="26"/>
    </row>
    <row r="5673" spans="1:18" ht="15.75" customHeight="1">
      <c r="A5673" s="26"/>
      <c r="B5673" s="86"/>
      <c r="D5673" s="26"/>
      <c r="F5673" s="87" t="str">
        <f t="shared" si="0"/>
        <v/>
      </c>
      <c r="H5673" s="26" t="str">
        <f t="shared" si="1"/>
        <v/>
      </c>
      <c r="I5673" s="26" t="str">
        <f t="shared" si="2"/>
        <v/>
      </c>
      <c r="J5673" s="86">
        <f t="shared" si="3"/>
        <v>0</v>
      </c>
      <c r="R5673" s="26"/>
    </row>
    <row r="5674" spans="1:18" ht="15.75" customHeight="1">
      <c r="A5674" s="26"/>
      <c r="B5674" s="86"/>
      <c r="D5674" s="26"/>
      <c r="F5674" s="87" t="str">
        <f t="shared" si="0"/>
        <v/>
      </c>
      <c r="H5674" s="26" t="str">
        <f t="shared" si="1"/>
        <v/>
      </c>
      <c r="I5674" s="26" t="str">
        <f t="shared" si="2"/>
        <v/>
      </c>
      <c r="J5674" s="86">
        <f t="shared" si="3"/>
        <v>0</v>
      </c>
      <c r="R5674" s="26"/>
    </row>
    <row r="5675" spans="1:18" ht="15.75" customHeight="1">
      <c r="A5675" s="26"/>
      <c r="B5675" s="86"/>
      <c r="D5675" s="26"/>
      <c r="F5675" s="87" t="str">
        <f t="shared" si="0"/>
        <v/>
      </c>
      <c r="H5675" s="26" t="str">
        <f t="shared" si="1"/>
        <v/>
      </c>
      <c r="I5675" s="26" t="str">
        <f t="shared" si="2"/>
        <v/>
      </c>
      <c r="J5675" s="86">
        <f t="shared" si="3"/>
        <v>0</v>
      </c>
      <c r="R5675" s="26"/>
    </row>
    <row r="5676" spans="1:18" ht="15.75" customHeight="1">
      <c r="A5676" s="26"/>
      <c r="B5676" s="86"/>
      <c r="D5676" s="26"/>
      <c r="F5676" s="87" t="str">
        <f t="shared" si="0"/>
        <v/>
      </c>
      <c r="H5676" s="26" t="str">
        <f t="shared" si="1"/>
        <v/>
      </c>
      <c r="I5676" s="26" t="str">
        <f t="shared" si="2"/>
        <v/>
      </c>
      <c r="J5676" s="86">
        <f t="shared" si="3"/>
        <v>0</v>
      </c>
      <c r="R5676" s="26"/>
    </row>
    <row r="5677" spans="1:18" ht="15.75" customHeight="1">
      <c r="A5677" s="26"/>
      <c r="B5677" s="86"/>
      <c r="D5677" s="26"/>
      <c r="F5677" s="87" t="str">
        <f t="shared" si="0"/>
        <v/>
      </c>
      <c r="H5677" s="26" t="str">
        <f t="shared" si="1"/>
        <v/>
      </c>
      <c r="I5677" s="26" t="str">
        <f t="shared" si="2"/>
        <v/>
      </c>
      <c r="J5677" s="86">
        <f t="shared" si="3"/>
        <v>0</v>
      </c>
      <c r="R5677" s="26"/>
    </row>
    <row r="5678" spans="1:18" ht="15.75" customHeight="1">
      <c r="A5678" s="26"/>
      <c r="B5678" s="86"/>
      <c r="D5678" s="26"/>
      <c r="F5678" s="87" t="str">
        <f t="shared" si="0"/>
        <v/>
      </c>
      <c r="H5678" s="26" t="str">
        <f t="shared" si="1"/>
        <v/>
      </c>
      <c r="I5678" s="26" t="str">
        <f t="shared" si="2"/>
        <v/>
      </c>
      <c r="J5678" s="86">
        <f t="shared" si="3"/>
        <v>0</v>
      </c>
      <c r="R5678" s="26"/>
    </row>
    <row r="5679" spans="1:18" ht="15.75" customHeight="1">
      <c r="A5679" s="26"/>
      <c r="B5679" s="86"/>
      <c r="D5679" s="26"/>
      <c r="F5679" s="87" t="str">
        <f t="shared" si="0"/>
        <v/>
      </c>
      <c r="H5679" s="26" t="str">
        <f t="shared" si="1"/>
        <v/>
      </c>
      <c r="I5679" s="26" t="str">
        <f t="shared" si="2"/>
        <v/>
      </c>
      <c r="J5679" s="86">
        <f t="shared" si="3"/>
        <v>0</v>
      </c>
      <c r="R5679" s="26"/>
    </row>
    <row r="5680" spans="1:18" ht="15.75" customHeight="1">
      <c r="A5680" s="26"/>
      <c r="B5680" s="86"/>
      <c r="D5680" s="26"/>
      <c r="F5680" s="87" t="str">
        <f t="shared" si="0"/>
        <v/>
      </c>
      <c r="H5680" s="26" t="str">
        <f t="shared" si="1"/>
        <v/>
      </c>
      <c r="I5680" s="26" t="str">
        <f t="shared" si="2"/>
        <v/>
      </c>
      <c r="J5680" s="86">
        <f t="shared" si="3"/>
        <v>0</v>
      </c>
      <c r="R5680" s="26"/>
    </row>
    <row r="5681" spans="1:18" ht="15.75" customHeight="1">
      <c r="A5681" s="26"/>
      <c r="B5681" s="86"/>
      <c r="D5681" s="26"/>
      <c r="F5681" s="87" t="str">
        <f t="shared" si="0"/>
        <v/>
      </c>
      <c r="H5681" s="26" t="str">
        <f t="shared" si="1"/>
        <v/>
      </c>
      <c r="I5681" s="26" t="str">
        <f t="shared" si="2"/>
        <v/>
      </c>
      <c r="J5681" s="86">
        <f t="shared" si="3"/>
        <v>0</v>
      </c>
      <c r="R5681" s="26"/>
    </row>
    <row r="5682" spans="1:18" ht="15.75" customHeight="1">
      <c r="A5682" s="26"/>
      <c r="B5682" s="86"/>
      <c r="D5682" s="26"/>
      <c r="F5682" s="87" t="str">
        <f t="shared" si="0"/>
        <v/>
      </c>
      <c r="H5682" s="26" t="str">
        <f t="shared" si="1"/>
        <v/>
      </c>
      <c r="I5682" s="26" t="str">
        <f t="shared" si="2"/>
        <v/>
      </c>
      <c r="J5682" s="86">
        <f t="shared" si="3"/>
        <v>0</v>
      </c>
      <c r="R5682" s="26"/>
    </row>
    <row r="5683" spans="1:18" ht="15.75" customHeight="1">
      <c r="A5683" s="26"/>
      <c r="B5683" s="86"/>
      <c r="D5683" s="26"/>
      <c r="F5683" s="87" t="str">
        <f t="shared" si="0"/>
        <v/>
      </c>
      <c r="H5683" s="26" t="str">
        <f t="shared" si="1"/>
        <v/>
      </c>
      <c r="I5683" s="26" t="str">
        <f t="shared" si="2"/>
        <v/>
      </c>
      <c r="J5683" s="86">
        <f t="shared" si="3"/>
        <v>0</v>
      </c>
      <c r="R5683" s="26"/>
    </row>
    <row r="5684" spans="1:18" ht="15.75" customHeight="1">
      <c r="A5684" s="26"/>
      <c r="B5684" s="86"/>
      <c r="D5684" s="26"/>
      <c r="F5684" s="87" t="str">
        <f t="shared" si="0"/>
        <v/>
      </c>
      <c r="H5684" s="26" t="str">
        <f t="shared" si="1"/>
        <v/>
      </c>
      <c r="I5684" s="26" t="str">
        <f t="shared" si="2"/>
        <v/>
      </c>
      <c r="J5684" s="86">
        <f t="shared" si="3"/>
        <v>0</v>
      </c>
      <c r="R5684" s="26"/>
    </row>
    <row r="5685" spans="1:18" ht="15.75" customHeight="1">
      <c r="A5685" s="26"/>
      <c r="B5685" s="86"/>
      <c r="D5685" s="26"/>
      <c r="F5685" s="87" t="str">
        <f t="shared" si="0"/>
        <v/>
      </c>
      <c r="H5685" s="26" t="str">
        <f t="shared" si="1"/>
        <v/>
      </c>
      <c r="I5685" s="26" t="str">
        <f t="shared" si="2"/>
        <v/>
      </c>
      <c r="J5685" s="86">
        <f t="shared" si="3"/>
        <v>0</v>
      </c>
      <c r="R5685" s="26"/>
    </row>
    <row r="5686" spans="1:18" ht="15.75" customHeight="1">
      <c r="A5686" s="26"/>
      <c r="B5686" s="86"/>
      <c r="D5686" s="26"/>
      <c r="F5686" s="87" t="str">
        <f t="shared" si="0"/>
        <v/>
      </c>
      <c r="H5686" s="26" t="str">
        <f t="shared" si="1"/>
        <v/>
      </c>
      <c r="I5686" s="26" t="str">
        <f t="shared" si="2"/>
        <v/>
      </c>
      <c r="J5686" s="86">
        <f t="shared" si="3"/>
        <v>0</v>
      </c>
      <c r="R5686" s="26"/>
    </row>
    <row r="5687" spans="1:18" ht="15.75" customHeight="1">
      <c r="A5687" s="26"/>
      <c r="B5687" s="86"/>
      <c r="D5687" s="26"/>
      <c r="F5687" s="87" t="str">
        <f t="shared" si="0"/>
        <v/>
      </c>
      <c r="H5687" s="26" t="str">
        <f t="shared" si="1"/>
        <v/>
      </c>
      <c r="I5687" s="26" t="str">
        <f t="shared" si="2"/>
        <v/>
      </c>
      <c r="J5687" s="86">
        <f t="shared" si="3"/>
        <v>0</v>
      </c>
      <c r="R5687" s="26"/>
    </row>
    <row r="5688" spans="1:18" ht="15.75" customHeight="1">
      <c r="A5688" s="26"/>
      <c r="B5688" s="86"/>
      <c r="D5688" s="26"/>
      <c r="F5688" s="87" t="str">
        <f t="shared" si="0"/>
        <v/>
      </c>
      <c r="H5688" s="26" t="str">
        <f t="shared" si="1"/>
        <v/>
      </c>
      <c r="I5688" s="26" t="str">
        <f t="shared" si="2"/>
        <v/>
      </c>
      <c r="J5688" s="86">
        <f t="shared" si="3"/>
        <v>0</v>
      </c>
      <c r="R5688" s="26"/>
    </row>
    <row r="5689" spans="1:18" ht="15.75" customHeight="1">
      <c r="A5689" s="26"/>
      <c r="B5689" s="86"/>
      <c r="D5689" s="26"/>
      <c r="F5689" s="87" t="str">
        <f t="shared" si="0"/>
        <v/>
      </c>
      <c r="H5689" s="26" t="str">
        <f t="shared" si="1"/>
        <v/>
      </c>
      <c r="I5689" s="26" t="str">
        <f t="shared" si="2"/>
        <v/>
      </c>
      <c r="J5689" s="86">
        <f t="shared" si="3"/>
        <v>0</v>
      </c>
      <c r="R5689" s="26"/>
    </row>
    <row r="5690" spans="1:18" ht="15.75" customHeight="1">
      <c r="A5690" s="26"/>
      <c r="B5690" s="86"/>
      <c r="D5690" s="26"/>
      <c r="F5690" s="87" t="str">
        <f t="shared" si="0"/>
        <v/>
      </c>
      <c r="H5690" s="26" t="str">
        <f t="shared" si="1"/>
        <v/>
      </c>
      <c r="I5690" s="26" t="str">
        <f t="shared" si="2"/>
        <v/>
      </c>
      <c r="J5690" s="86">
        <f t="shared" si="3"/>
        <v>0</v>
      </c>
      <c r="R5690" s="26"/>
    </row>
    <row r="5691" spans="1:18" ht="15.75" customHeight="1">
      <c r="A5691" s="26"/>
      <c r="B5691" s="86"/>
      <c r="D5691" s="26"/>
      <c r="F5691" s="87" t="str">
        <f t="shared" si="0"/>
        <v/>
      </c>
      <c r="H5691" s="26" t="str">
        <f t="shared" si="1"/>
        <v/>
      </c>
      <c r="I5691" s="26" t="str">
        <f t="shared" si="2"/>
        <v/>
      </c>
      <c r="J5691" s="86">
        <f t="shared" si="3"/>
        <v>0</v>
      </c>
      <c r="R5691" s="26"/>
    </row>
    <row r="5692" spans="1:18" ht="15.75" customHeight="1">
      <c r="A5692" s="26"/>
      <c r="B5692" s="86"/>
      <c r="D5692" s="26"/>
      <c r="F5692" s="87" t="str">
        <f t="shared" si="0"/>
        <v/>
      </c>
      <c r="H5692" s="26" t="str">
        <f t="shared" si="1"/>
        <v/>
      </c>
      <c r="I5692" s="26" t="str">
        <f t="shared" si="2"/>
        <v/>
      </c>
      <c r="J5692" s="86">
        <f t="shared" si="3"/>
        <v>0</v>
      </c>
      <c r="R5692" s="26"/>
    </row>
    <row r="5693" spans="1:18" ht="15.75" customHeight="1">
      <c r="A5693" s="26"/>
      <c r="B5693" s="86"/>
      <c r="D5693" s="26"/>
      <c r="F5693" s="87" t="str">
        <f t="shared" si="0"/>
        <v/>
      </c>
      <c r="H5693" s="26" t="str">
        <f t="shared" si="1"/>
        <v/>
      </c>
      <c r="I5693" s="26" t="str">
        <f t="shared" si="2"/>
        <v/>
      </c>
      <c r="J5693" s="86">
        <f t="shared" si="3"/>
        <v>0</v>
      </c>
      <c r="R5693" s="26"/>
    </row>
    <row r="5694" spans="1:18" ht="15.75" customHeight="1">
      <c r="A5694" s="26"/>
      <c r="B5694" s="86"/>
      <c r="D5694" s="26"/>
      <c r="F5694" s="87" t="str">
        <f t="shared" si="0"/>
        <v/>
      </c>
      <c r="H5694" s="26" t="str">
        <f t="shared" si="1"/>
        <v/>
      </c>
      <c r="I5694" s="26" t="str">
        <f t="shared" si="2"/>
        <v/>
      </c>
      <c r="J5694" s="86">
        <f t="shared" si="3"/>
        <v>0</v>
      </c>
      <c r="R5694" s="26"/>
    </row>
    <row r="5695" spans="1:18" ht="15.75" customHeight="1">
      <c r="A5695" s="26"/>
      <c r="B5695" s="86"/>
      <c r="D5695" s="26"/>
      <c r="F5695" s="87" t="str">
        <f t="shared" si="0"/>
        <v/>
      </c>
      <c r="H5695" s="26" t="str">
        <f t="shared" si="1"/>
        <v/>
      </c>
      <c r="I5695" s="26" t="str">
        <f t="shared" si="2"/>
        <v/>
      </c>
      <c r="J5695" s="86">
        <f t="shared" si="3"/>
        <v>0</v>
      </c>
      <c r="R5695" s="26"/>
    </row>
    <row r="5696" spans="1:18" ht="15.75" customHeight="1">
      <c r="A5696" s="26"/>
      <c r="B5696" s="86"/>
      <c r="D5696" s="26"/>
      <c r="F5696" s="87" t="str">
        <f t="shared" si="0"/>
        <v/>
      </c>
      <c r="H5696" s="26" t="str">
        <f t="shared" si="1"/>
        <v/>
      </c>
      <c r="I5696" s="26" t="str">
        <f t="shared" si="2"/>
        <v/>
      </c>
      <c r="J5696" s="86">
        <f t="shared" si="3"/>
        <v>0</v>
      </c>
      <c r="R5696" s="26"/>
    </row>
    <row r="5697" spans="1:18" ht="15.75" customHeight="1">
      <c r="A5697" s="26"/>
      <c r="B5697" s="86"/>
      <c r="D5697" s="26"/>
      <c r="F5697" s="87" t="str">
        <f t="shared" si="0"/>
        <v/>
      </c>
      <c r="H5697" s="26" t="str">
        <f t="shared" si="1"/>
        <v/>
      </c>
      <c r="I5697" s="26" t="str">
        <f t="shared" si="2"/>
        <v/>
      </c>
      <c r="J5697" s="86">
        <f t="shared" si="3"/>
        <v>0</v>
      </c>
      <c r="R5697" s="26"/>
    </row>
    <row r="5698" spans="1:18" ht="15.75" customHeight="1">
      <c r="A5698" s="26"/>
      <c r="B5698" s="86"/>
      <c r="D5698" s="26"/>
      <c r="F5698" s="87" t="str">
        <f t="shared" si="0"/>
        <v/>
      </c>
      <c r="H5698" s="26" t="str">
        <f t="shared" si="1"/>
        <v/>
      </c>
      <c r="I5698" s="26" t="str">
        <f t="shared" si="2"/>
        <v/>
      </c>
      <c r="J5698" s="86">
        <f t="shared" si="3"/>
        <v>0</v>
      </c>
      <c r="R5698" s="26"/>
    </row>
    <row r="5699" spans="1:18" ht="15.75" customHeight="1">
      <c r="A5699" s="26"/>
      <c r="B5699" s="86"/>
      <c r="D5699" s="26"/>
      <c r="F5699" s="87" t="str">
        <f t="shared" si="0"/>
        <v/>
      </c>
      <c r="H5699" s="26" t="str">
        <f t="shared" si="1"/>
        <v/>
      </c>
      <c r="I5699" s="26" t="str">
        <f t="shared" si="2"/>
        <v/>
      </c>
      <c r="J5699" s="86">
        <f t="shared" si="3"/>
        <v>0</v>
      </c>
      <c r="R5699" s="26"/>
    </row>
    <row r="5700" spans="1:18" ht="15.75" customHeight="1">
      <c r="A5700" s="26"/>
      <c r="B5700" s="86"/>
      <c r="D5700" s="26"/>
      <c r="F5700" s="87" t="str">
        <f t="shared" si="0"/>
        <v/>
      </c>
      <c r="H5700" s="26" t="str">
        <f t="shared" si="1"/>
        <v/>
      </c>
      <c r="I5700" s="26" t="str">
        <f t="shared" si="2"/>
        <v/>
      </c>
      <c r="J5700" s="86">
        <f t="shared" si="3"/>
        <v>0</v>
      </c>
      <c r="R5700" s="26"/>
    </row>
    <row r="5701" spans="1:18" ht="15.75" customHeight="1">
      <c r="A5701" s="26"/>
      <c r="B5701" s="86"/>
      <c r="D5701" s="26"/>
      <c r="F5701" s="87" t="str">
        <f t="shared" si="0"/>
        <v/>
      </c>
      <c r="H5701" s="26" t="str">
        <f t="shared" si="1"/>
        <v/>
      </c>
      <c r="I5701" s="26" t="str">
        <f t="shared" si="2"/>
        <v/>
      </c>
      <c r="J5701" s="86">
        <f t="shared" si="3"/>
        <v>0</v>
      </c>
      <c r="R5701" s="26"/>
    </row>
    <row r="5702" spans="1:18" ht="15.75" customHeight="1">
      <c r="A5702" s="26"/>
      <c r="B5702" s="86"/>
      <c r="D5702" s="26"/>
      <c r="F5702" s="87" t="str">
        <f t="shared" si="0"/>
        <v/>
      </c>
      <c r="H5702" s="26" t="str">
        <f t="shared" si="1"/>
        <v/>
      </c>
      <c r="I5702" s="26" t="str">
        <f t="shared" si="2"/>
        <v/>
      </c>
      <c r="J5702" s="86">
        <f t="shared" si="3"/>
        <v>0</v>
      </c>
      <c r="R5702" s="26"/>
    </row>
    <row r="5703" spans="1:18" ht="15.75" customHeight="1">
      <c r="A5703" s="26"/>
      <c r="B5703" s="86"/>
      <c r="D5703" s="26"/>
      <c r="F5703" s="87" t="str">
        <f t="shared" si="0"/>
        <v/>
      </c>
      <c r="H5703" s="26" t="str">
        <f t="shared" si="1"/>
        <v/>
      </c>
      <c r="I5703" s="26" t="str">
        <f t="shared" si="2"/>
        <v/>
      </c>
      <c r="J5703" s="86">
        <f t="shared" si="3"/>
        <v>0</v>
      </c>
      <c r="R5703" s="26"/>
    </row>
    <row r="5704" spans="1:18" ht="15.75" customHeight="1">
      <c r="A5704" s="26"/>
      <c r="B5704" s="86"/>
      <c r="D5704" s="26"/>
      <c r="F5704" s="87" t="str">
        <f t="shared" si="0"/>
        <v/>
      </c>
      <c r="H5704" s="26" t="str">
        <f t="shared" si="1"/>
        <v/>
      </c>
      <c r="I5704" s="26" t="str">
        <f t="shared" si="2"/>
        <v/>
      </c>
      <c r="J5704" s="86">
        <f t="shared" si="3"/>
        <v>0</v>
      </c>
      <c r="R5704" s="26"/>
    </row>
    <row r="5705" spans="1:18" ht="15.75" customHeight="1">
      <c r="A5705" s="26"/>
      <c r="B5705" s="86"/>
      <c r="D5705" s="26"/>
      <c r="F5705" s="87" t="str">
        <f t="shared" si="0"/>
        <v/>
      </c>
      <c r="H5705" s="26" t="str">
        <f t="shared" si="1"/>
        <v/>
      </c>
      <c r="I5705" s="26" t="str">
        <f t="shared" si="2"/>
        <v/>
      </c>
      <c r="J5705" s="86">
        <f t="shared" si="3"/>
        <v>0</v>
      </c>
      <c r="R5705" s="26"/>
    </row>
    <row r="5706" spans="1:18" ht="15.75" customHeight="1">
      <c r="A5706" s="26"/>
      <c r="B5706" s="86"/>
      <c r="D5706" s="26"/>
      <c r="F5706" s="87" t="str">
        <f t="shared" si="0"/>
        <v/>
      </c>
      <c r="H5706" s="26" t="str">
        <f t="shared" si="1"/>
        <v/>
      </c>
      <c r="I5706" s="26" t="str">
        <f t="shared" si="2"/>
        <v/>
      </c>
      <c r="J5706" s="86">
        <f t="shared" si="3"/>
        <v>0</v>
      </c>
      <c r="R5706" s="26"/>
    </row>
    <row r="5707" spans="1:18" ht="15.75" customHeight="1">
      <c r="A5707" s="26"/>
      <c r="B5707" s="86"/>
      <c r="D5707" s="26"/>
      <c r="F5707" s="87" t="str">
        <f t="shared" si="0"/>
        <v/>
      </c>
      <c r="H5707" s="26" t="str">
        <f t="shared" si="1"/>
        <v/>
      </c>
      <c r="I5707" s="26" t="str">
        <f t="shared" si="2"/>
        <v/>
      </c>
      <c r="J5707" s="86">
        <f t="shared" si="3"/>
        <v>0</v>
      </c>
      <c r="R5707" s="26"/>
    </row>
    <row r="5708" spans="1:18" ht="15.75" customHeight="1">
      <c r="A5708" s="26"/>
      <c r="B5708" s="86"/>
      <c r="D5708" s="26"/>
      <c r="F5708" s="87" t="str">
        <f t="shared" si="0"/>
        <v/>
      </c>
      <c r="H5708" s="26" t="str">
        <f t="shared" si="1"/>
        <v/>
      </c>
      <c r="I5708" s="26" t="str">
        <f t="shared" si="2"/>
        <v/>
      </c>
      <c r="J5708" s="86">
        <f t="shared" si="3"/>
        <v>0</v>
      </c>
      <c r="R5708" s="26"/>
    </row>
    <row r="5709" spans="1:18" ht="15.75" customHeight="1">
      <c r="A5709" s="26"/>
      <c r="B5709" s="86"/>
      <c r="D5709" s="26"/>
      <c r="F5709" s="87" t="str">
        <f t="shared" si="0"/>
        <v/>
      </c>
      <c r="H5709" s="26" t="str">
        <f t="shared" si="1"/>
        <v/>
      </c>
      <c r="I5709" s="26" t="str">
        <f t="shared" si="2"/>
        <v/>
      </c>
      <c r="J5709" s="86">
        <f t="shared" si="3"/>
        <v>0</v>
      </c>
      <c r="R5709" s="26"/>
    </row>
    <row r="5710" spans="1:18" ht="15.75" customHeight="1">
      <c r="A5710" s="26"/>
      <c r="B5710" s="86"/>
      <c r="D5710" s="26"/>
      <c r="F5710" s="87" t="str">
        <f t="shared" si="0"/>
        <v/>
      </c>
      <c r="H5710" s="26" t="str">
        <f t="shared" si="1"/>
        <v/>
      </c>
      <c r="I5710" s="26" t="str">
        <f t="shared" si="2"/>
        <v/>
      </c>
      <c r="J5710" s="86">
        <f t="shared" si="3"/>
        <v>0</v>
      </c>
      <c r="R5710" s="26"/>
    </row>
    <row r="5711" spans="1:18" ht="15.75" customHeight="1">
      <c r="A5711" s="26"/>
      <c r="B5711" s="86"/>
      <c r="D5711" s="26"/>
      <c r="F5711" s="87" t="str">
        <f t="shared" si="0"/>
        <v/>
      </c>
      <c r="H5711" s="26" t="str">
        <f t="shared" si="1"/>
        <v/>
      </c>
      <c r="I5711" s="26" t="str">
        <f t="shared" si="2"/>
        <v/>
      </c>
      <c r="J5711" s="86">
        <f t="shared" si="3"/>
        <v>0</v>
      </c>
      <c r="R5711" s="26"/>
    </row>
    <row r="5712" spans="1:18" ht="15.75" customHeight="1">
      <c r="A5712" s="26"/>
      <c r="B5712" s="86"/>
      <c r="D5712" s="26"/>
      <c r="F5712" s="87" t="str">
        <f t="shared" si="0"/>
        <v/>
      </c>
      <c r="H5712" s="26" t="str">
        <f t="shared" si="1"/>
        <v/>
      </c>
      <c r="I5712" s="26" t="str">
        <f t="shared" si="2"/>
        <v/>
      </c>
      <c r="J5712" s="86">
        <f t="shared" si="3"/>
        <v>0</v>
      </c>
      <c r="R5712" s="26"/>
    </row>
    <row r="5713" spans="1:18" ht="15.75" customHeight="1">
      <c r="A5713" s="26"/>
      <c r="B5713" s="86"/>
      <c r="D5713" s="26"/>
      <c r="F5713" s="87" t="str">
        <f t="shared" si="0"/>
        <v/>
      </c>
      <c r="H5713" s="26" t="str">
        <f t="shared" si="1"/>
        <v/>
      </c>
      <c r="I5713" s="26" t="str">
        <f t="shared" si="2"/>
        <v/>
      </c>
      <c r="J5713" s="86">
        <f t="shared" si="3"/>
        <v>0</v>
      </c>
      <c r="R5713" s="26"/>
    </row>
    <row r="5714" spans="1:18" ht="15.75" customHeight="1">
      <c r="A5714" s="26"/>
      <c r="B5714" s="86"/>
      <c r="D5714" s="26"/>
      <c r="F5714" s="87" t="str">
        <f t="shared" si="0"/>
        <v/>
      </c>
      <c r="H5714" s="26" t="str">
        <f t="shared" si="1"/>
        <v/>
      </c>
      <c r="I5714" s="26" t="str">
        <f t="shared" si="2"/>
        <v/>
      </c>
      <c r="J5714" s="86">
        <f t="shared" si="3"/>
        <v>0</v>
      </c>
      <c r="R5714" s="26"/>
    </row>
    <row r="5715" spans="1:18" ht="15.75" customHeight="1">
      <c r="A5715" s="26"/>
      <c r="B5715" s="86"/>
      <c r="D5715" s="26"/>
      <c r="F5715" s="87" t="str">
        <f t="shared" si="0"/>
        <v/>
      </c>
      <c r="H5715" s="26" t="str">
        <f t="shared" si="1"/>
        <v/>
      </c>
      <c r="I5715" s="26" t="str">
        <f t="shared" si="2"/>
        <v/>
      </c>
      <c r="J5715" s="86">
        <f t="shared" si="3"/>
        <v>0</v>
      </c>
      <c r="R5715" s="26"/>
    </row>
    <row r="5716" spans="1:18" ht="15.75" customHeight="1">
      <c r="A5716" s="26"/>
      <c r="B5716" s="86"/>
      <c r="D5716" s="26"/>
      <c r="F5716" s="87" t="str">
        <f t="shared" si="0"/>
        <v/>
      </c>
      <c r="H5716" s="26" t="str">
        <f t="shared" si="1"/>
        <v/>
      </c>
      <c r="I5716" s="26" t="str">
        <f t="shared" si="2"/>
        <v/>
      </c>
      <c r="J5716" s="86">
        <f t="shared" si="3"/>
        <v>0</v>
      </c>
      <c r="R5716" s="26"/>
    </row>
    <row r="5717" spans="1:18" ht="15.75" customHeight="1">
      <c r="A5717" s="26"/>
      <c r="B5717" s="86"/>
      <c r="D5717" s="26"/>
      <c r="F5717" s="87" t="str">
        <f t="shared" si="0"/>
        <v/>
      </c>
      <c r="H5717" s="26" t="str">
        <f t="shared" si="1"/>
        <v/>
      </c>
      <c r="I5717" s="26" t="str">
        <f t="shared" si="2"/>
        <v/>
      </c>
      <c r="J5717" s="86">
        <f t="shared" si="3"/>
        <v>0</v>
      </c>
      <c r="R5717" s="26"/>
    </row>
    <row r="5718" spans="1:18" ht="15.75" customHeight="1">
      <c r="A5718" s="26"/>
      <c r="B5718" s="86"/>
      <c r="D5718" s="26"/>
      <c r="F5718" s="87" t="str">
        <f t="shared" si="0"/>
        <v/>
      </c>
      <c r="H5718" s="26" t="str">
        <f t="shared" si="1"/>
        <v/>
      </c>
      <c r="I5718" s="26" t="str">
        <f t="shared" si="2"/>
        <v/>
      </c>
      <c r="J5718" s="86">
        <f t="shared" si="3"/>
        <v>0</v>
      </c>
      <c r="R5718" s="26"/>
    </row>
    <row r="5719" spans="1:18" ht="15.75" customHeight="1">
      <c r="A5719" s="26"/>
      <c r="B5719" s="86"/>
      <c r="D5719" s="26"/>
      <c r="F5719" s="87" t="str">
        <f t="shared" si="0"/>
        <v/>
      </c>
      <c r="H5719" s="26" t="str">
        <f t="shared" si="1"/>
        <v/>
      </c>
      <c r="I5719" s="26" t="str">
        <f t="shared" si="2"/>
        <v/>
      </c>
      <c r="J5719" s="86">
        <f t="shared" si="3"/>
        <v>0</v>
      </c>
      <c r="R5719" s="26"/>
    </row>
    <row r="5720" spans="1:18" ht="15.75" customHeight="1">
      <c r="A5720" s="26"/>
      <c r="B5720" s="86"/>
      <c r="D5720" s="26"/>
      <c r="F5720" s="87" t="str">
        <f t="shared" si="0"/>
        <v/>
      </c>
      <c r="H5720" s="26" t="str">
        <f t="shared" si="1"/>
        <v/>
      </c>
      <c r="I5720" s="26" t="str">
        <f t="shared" si="2"/>
        <v/>
      </c>
      <c r="J5720" s="86">
        <f t="shared" si="3"/>
        <v>0</v>
      </c>
      <c r="R5720" s="26"/>
    </row>
    <row r="5721" spans="1:18" ht="15.75" customHeight="1">
      <c r="A5721" s="26"/>
      <c r="B5721" s="86"/>
      <c r="D5721" s="26"/>
      <c r="F5721" s="87" t="str">
        <f t="shared" si="0"/>
        <v/>
      </c>
      <c r="H5721" s="26" t="str">
        <f t="shared" si="1"/>
        <v/>
      </c>
      <c r="I5721" s="26" t="str">
        <f t="shared" si="2"/>
        <v/>
      </c>
      <c r="J5721" s="86">
        <f t="shared" si="3"/>
        <v>0</v>
      </c>
      <c r="R5721" s="26"/>
    </row>
    <row r="5722" spans="1:18" ht="15.75" customHeight="1">
      <c r="A5722" s="26"/>
      <c r="B5722" s="86"/>
      <c r="D5722" s="26"/>
      <c r="F5722" s="87" t="str">
        <f t="shared" si="0"/>
        <v/>
      </c>
      <c r="H5722" s="26" t="str">
        <f t="shared" si="1"/>
        <v/>
      </c>
      <c r="I5722" s="26" t="str">
        <f t="shared" si="2"/>
        <v/>
      </c>
      <c r="J5722" s="86">
        <f t="shared" si="3"/>
        <v>0</v>
      </c>
      <c r="R5722" s="26"/>
    </row>
    <row r="5723" spans="1:18" ht="15.75" customHeight="1">
      <c r="A5723" s="26"/>
      <c r="B5723" s="86"/>
      <c r="D5723" s="26"/>
      <c r="F5723" s="87" t="str">
        <f t="shared" si="0"/>
        <v/>
      </c>
      <c r="H5723" s="26" t="str">
        <f t="shared" si="1"/>
        <v/>
      </c>
      <c r="I5723" s="26" t="str">
        <f t="shared" si="2"/>
        <v/>
      </c>
      <c r="J5723" s="86">
        <f t="shared" si="3"/>
        <v>0</v>
      </c>
      <c r="R5723" s="26"/>
    </row>
    <row r="5724" spans="1:18" ht="15.75" customHeight="1">
      <c r="A5724" s="26"/>
      <c r="B5724" s="86"/>
      <c r="D5724" s="26"/>
      <c r="F5724" s="87" t="str">
        <f t="shared" si="0"/>
        <v/>
      </c>
      <c r="H5724" s="26" t="str">
        <f t="shared" si="1"/>
        <v/>
      </c>
      <c r="I5724" s="26" t="str">
        <f t="shared" si="2"/>
        <v/>
      </c>
      <c r="J5724" s="86">
        <f t="shared" si="3"/>
        <v>0</v>
      </c>
      <c r="R5724" s="26"/>
    </row>
    <row r="5725" spans="1:18" ht="15.75" customHeight="1">
      <c r="A5725" s="26"/>
      <c r="B5725" s="86"/>
      <c r="D5725" s="26"/>
      <c r="F5725" s="87" t="str">
        <f t="shared" si="0"/>
        <v/>
      </c>
      <c r="H5725" s="26" t="str">
        <f t="shared" si="1"/>
        <v/>
      </c>
      <c r="I5725" s="26" t="str">
        <f t="shared" si="2"/>
        <v/>
      </c>
      <c r="J5725" s="86">
        <f t="shared" si="3"/>
        <v>0</v>
      </c>
      <c r="R5725" s="26"/>
    </row>
    <row r="5726" spans="1:18" ht="15.75" customHeight="1">
      <c r="A5726" s="26"/>
      <c r="B5726" s="86"/>
      <c r="D5726" s="26"/>
      <c r="F5726" s="87" t="str">
        <f t="shared" si="0"/>
        <v/>
      </c>
      <c r="H5726" s="26" t="str">
        <f t="shared" si="1"/>
        <v/>
      </c>
      <c r="I5726" s="26" t="str">
        <f t="shared" si="2"/>
        <v/>
      </c>
      <c r="J5726" s="86">
        <f t="shared" si="3"/>
        <v>0</v>
      </c>
      <c r="R5726" s="26"/>
    </row>
    <row r="5727" spans="1:18" ht="15.75" customHeight="1">
      <c r="A5727" s="26"/>
      <c r="B5727" s="86"/>
      <c r="D5727" s="26"/>
      <c r="F5727" s="87" t="str">
        <f t="shared" si="0"/>
        <v/>
      </c>
      <c r="H5727" s="26" t="str">
        <f t="shared" si="1"/>
        <v/>
      </c>
      <c r="I5727" s="26" t="str">
        <f t="shared" si="2"/>
        <v/>
      </c>
      <c r="J5727" s="86">
        <f t="shared" si="3"/>
        <v>0</v>
      </c>
      <c r="R5727" s="26"/>
    </row>
    <row r="5728" spans="1:18" ht="15.75" customHeight="1">
      <c r="A5728" s="26"/>
      <c r="B5728" s="86"/>
      <c r="D5728" s="26"/>
      <c r="F5728" s="87" t="str">
        <f t="shared" si="0"/>
        <v/>
      </c>
      <c r="H5728" s="26" t="str">
        <f t="shared" si="1"/>
        <v/>
      </c>
      <c r="I5728" s="26" t="str">
        <f t="shared" si="2"/>
        <v/>
      </c>
      <c r="J5728" s="86">
        <f t="shared" si="3"/>
        <v>0</v>
      </c>
      <c r="R5728" s="26"/>
    </row>
    <row r="5729" spans="1:18" ht="15.75" customHeight="1">
      <c r="A5729" s="26"/>
      <c r="B5729" s="86"/>
      <c r="D5729" s="26"/>
      <c r="F5729" s="87" t="str">
        <f t="shared" si="0"/>
        <v/>
      </c>
      <c r="H5729" s="26" t="str">
        <f t="shared" si="1"/>
        <v/>
      </c>
      <c r="I5729" s="26" t="str">
        <f t="shared" si="2"/>
        <v/>
      </c>
      <c r="J5729" s="86">
        <f t="shared" si="3"/>
        <v>0</v>
      </c>
      <c r="R5729" s="26"/>
    </row>
    <row r="5730" spans="1:18" ht="15.75" customHeight="1">
      <c r="A5730" s="26"/>
      <c r="B5730" s="86"/>
      <c r="D5730" s="26"/>
      <c r="F5730" s="87" t="str">
        <f t="shared" si="0"/>
        <v/>
      </c>
      <c r="H5730" s="26" t="str">
        <f t="shared" si="1"/>
        <v/>
      </c>
      <c r="I5730" s="26" t="str">
        <f t="shared" si="2"/>
        <v/>
      </c>
      <c r="J5730" s="86">
        <f t="shared" si="3"/>
        <v>0</v>
      </c>
      <c r="R5730" s="26"/>
    </row>
    <row r="5731" spans="1:18" ht="15.75" customHeight="1">
      <c r="A5731" s="26"/>
      <c r="B5731" s="86"/>
      <c r="D5731" s="26"/>
      <c r="F5731" s="87" t="str">
        <f t="shared" si="0"/>
        <v/>
      </c>
      <c r="H5731" s="26" t="str">
        <f t="shared" si="1"/>
        <v/>
      </c>
      <c r="I5731" s="26" t="str">
        <f t="shared" si="2"/>
        <v/>
      </c>
      <c r="J5731" s="86">
        <f t="shared" si="3"/>
        <v>0</v>
      </c>
      <c r="R5731" s="26"/>
    </row>
    <row r="5732" spans="1:18" ht="15.75" customHeight="1">
      <c r="A5732" s="26"/>
      <c r="B5732" s="86"/>
      <c r="D5732" s="26"/>
      <c r="F5732" s="87" t="str">
        <f t="shared" si="0"/>
        <v/>
      </c>
      <c r="H5732" s="26" t="str">
        <f t="shared" si="1"/>
        <v/>
      </c>
      <c r="I5732" s="26" t="str">
        <f t="shared" si="2"/>
        <v/>
      </c>
      <c r="J5732" s="86">
        <f t="shared" si="3"/>
        <v>0</v>
      </c>
      <c r="R5732" s="26"/>
    </row>
    <row r="5733" spans="1:18" ht="15.75" customHeight="1">
      <c r="A5733" s="26"/>
      <c r="B5733" s="86"/>
      <c r="D5733" s="26"/>
      <c r="F5733" s="87" t="str">
        <f t="shared" si="0"/>
        <v/>
      </c>
      <c r="H5733" s="26" t="str">
        <f t="shared" si="1"/>
        <v/>
      </c>
      <c r="I5733" s="26" t="str">
        <f t="shared" si="2"/>
        <v/>
      </c>
      <c r="J5733" s="86">
        <f t="shared" si="3"/>
        <v>0</v>
      </c>
      <c r="R5733" s="26"/>
    </row>
    <row r="5734" spans="1:18" ht="15.75" customHeight="1">
      <c r="A5734" s="26"/>
      <c r="B5734" s="86"/>
      <c r="D5734" s="26"/>
      <c r="F5734" s="87" t="str">
        <f t="shared" si="0"/>
        <v/>
      </c>
      <c r="H5734" s="26" t="str">
        <f t="shared" si="1"/>
        <v/>
      </c>
      <c r="I5734" s="26" t="str">
        <f t="shared" si="2"/>
        <v/>
      </c>
      <c r="J5734" s="86">
        <f t="shared" si="3"/>
        <v>0</v>
      </c>
      <c r="R5734" s="26"/>
    </row>
    <row r="5735" spans="1:18" ht="15.75" customHeight="1">
      <c r="A5735" s="26"/>
      <c r="B5735" s="86"/>
      <c r="D5735" s="26"/>
      <c r="F5735" s="87" t="str">
        <f t="shared" si="0"/>
        <v/>
      </c>
      <c r="H5735" s="26" t="str">
        <f t="shared" si="1"/>
        <v/>
      </c>
      <c r="I5735" s="26" t="str">
        <f t="shared" si="2"/>
        <v/>
      </c>
      <c r="J5735" s="86">
        <f t="shared" si="3"/>
        <v>0</v>
      </c>
      <c r="R5735" s="26"/>
    </row>
    <row r="5736" spans="1:18" ht="15.75" customHeight="1">
      <c r="A5736" s="26"/>
      <c r="B5736" s="86"/>
      <c r="D5736" s="26"/>
      <c r="F5736" s="87" t="str">
        <f t="shared" si="0"/>
        <v/>
      </c>
      <c r="H5736" s="26" t="str">
        <f t="shared" si="1"/>
        <v/>
      </c>
      <c r="I5736" s="26" t="str">
        <f t="shared" si="2"/>
        <v/>
      </c>
      <c r="J5736" s="86">
        <f t="shared" si="3"/>
        <v>0</v>
      </c>
      <c r="R5736" s="26"/>
    </row>
    <row r="5737" spans="1:18" ht="15.75" customHeight="1">
      <c r="A5737" s="26"/>
      <c r="B5737" s="86"/>
      <c r="D5737" s="26"/>
      <c r="F5737" s="87" t="str">
        <f t="shared" si="0"/>
        <v/>
      </c>
      <c r="H5737" s="26" t="str">
        <f t="shared" si="1"/>
        <v/>
      </c>
      <c r="I5737" s="26" t="str">
        <f t="shared" si="2"/>
        <v/>
      </c>
      <c r="J5737" s="86">
        <f t="shared" si="3"/>
        <v>0</v>
      </c>
      <c r="R5737" s="26"/>
    </row>
    <row r="5738" spans="1:18" ht="15.75" customHeight="1">
      <c r="A5738" s="26"/>
      <c r="B5738" s="86"/>
      <c r="D5738" s="26"/>
      <c r="F5738" s="87" t="str">
        <f t="shared" si="0"/>
        <v/>
      </c>
      <c r="H5738" s="26" t="str">
        <f t="shared" si="1"/>
        <v/>
      </c>
      <c r="I5738" s="26" t="str">
        <f t="shared" si="2"/>
        <v/>
      </c>
      <c r="J5738" s="86">
        <f t="shared" si="3"/>
        <v>0</v>
      </c>
      <c r="R5738" s="26"/>
    </row>
    <row r="5739" spans="1:18" ht="15.75" customHeight="1">
      <c r="A5739" s="26"/>
      <c r="B5739" s="86"/>
      <c r="D5739" s="26"/>
      <c r="F5739" s="87" t="str">
        <f t="shared" si="0"/>
        <v/>
      </c>
      <c r="H5739" s="26" t="str">
        <f t="shared" si="1"/>
        <v/>
      </c>
      <c r="I5739" s="26" t="str">
        <f t="shared" si="2"/>
        <v/>
      </c>
      <c r="J5739" s="86">
        <f t="shared" si="3"/>
        <v>0</v>
      </c>
      <c r="R5739" s="26"/>
    </row>
    <row r="5740" spans="1:18" ht="15.75" customHeight="1">
      <c r="A5740" s="26"/>
      <c r="B5740" s="86"/>
      <c r="D5740" s="26"/>
      <c r="F5740" s="87" t="str">
        <f t="shared" si="0"/>
        <v/>
      </c>
      <c r="H5740" s="26" t="str">
        <f t="shared" si="1"/>
        <v/>
      </c>
      <c r="I5740" s="26" t="str">
        <f t="shared" si="2"/>
        <v/>
      </c>
      <c r="J5740" s="86">
        <f t="shared" si="3"/>
        <v>0</v>
      </c>
      <c r="R5740" s="26"/>
    </row>
    <row r="5741" spans="1:18" ht="15.75" customHeight="1">
      <c r="A5741" s="26"/>
      <c r="B5741" s="86"/>
      <c r="D5741" s="26"/>
      <c r="F5741" s="87" t="str">
        <f t="shared" si="0"/>
        <v/>
      </c>
      <c r="H5741" s="26" t="str">
        <f t="shared" si="1"/>
        <v/>
      </c>
      <c r="I5741" s="26" t="str">
        <f t="shared" si="2"/>
        <v/>
      </c>
      <c r="J5741" s="86">
        <f t="shared" si="3"/>
        <v>0</v>
      </c>
      <c r="R5741" s="26"/>
    </row>
    <row r="5742" spans="1:18" ht="15.75" customHeight="1">
      <c r="A5742" s="26"/>
      <c r="B5742" s="86"/>
      <c r="D5742" s="26"/>
      <c r="F5742" s="87" t="str">
        <f t="shared" si="0"/>
        <v/>
      </c>
      <c r="H5742" s="26" t="str">
        <f t="shared" si="1"/>
        <v/>
      </c>
      <c r="I5742" s="26" t="str">
        <f t="shared" si="2"/>
        <v/>
      </c>
      <c r="J5742" s="86">
        <f t="shared" si="3"/>
        <v>0</v>
      </c>
      <c r="R5742" s="26"/>
    </row>
    <row r="5743" spans="1:18" ht="15.75" customHeight="1">
      <c r="A5743" s="26"/>
      <c r="B5743" s="86"/>
      <c r="D5743" s="26"/>
      <c r="F5743" s="87" t="str">
        <f t="shared" si="0"/>
        <v/>
      </c>
      <c r="H5743" s="26" t="str">
        <f t="shared" si="1"/>
        <v/>
      </c>
      <c r="I5743" s="26" t="str">
        <f t="shared" si="2"/>
        <v/>
      </c>
      <c r="J5743" s="86">
        <f t="shared" si="3"/>
        <v>0</v>
      </c>
      <c r="R5743" s="26"/>
    </row>
    <row r="5744" spans="1:18" ht="15.75" customHeight="1">
      <c r="A5744" s="26"/>
      <c r="B5744" s="86"/>
      <c r="D5744" s="26"/>
      <c r="F5744" s="87" t="str">
        <f t="shared" si="0"/>
        <v/>
      </c>
      <c r="H5744" s="26" t="str">
        <f t="shared" si="1"/>
        <v/>
      </c>
      <c r="I5744" s="26" t="str">
        <f t="shared" si="2"/>
        <v/>
      </c>
      <c r="J5744" s="86">
        <f t="shared" si="3"/>
        <v>0</v>
      </c>
      <c r="R5744" s="26"/>
    </row>
    <row r="5745" spans="1:18" ht="15.75" customHeight="1">
      <c r="A5745" s="26"/>
      <c r="B5745" s="86"/>
      <c r="D5745" s="26"/>
      <c r="F5745" s="87" t="str">
        <f t="shared" si="0"/>
        <v/>
      </c>
      <c r="H5745" s="26" t="str">
        <f t="shared" si="1"/>
        <v/>
      </c>
      <c r="I5745" s="26" t="str">
        <f t="shared" si="2"/>
        <v/>
      </c>
      <c r="J5745" s="86">
        <f t="shared" si="3"/>
        <v>0</v>
      </c>
      <c r="R5745" s="26"/>
    </row>
    <row r="5746" spans="1:18" ht="15.75" customHeight="1">
      <c r="A5746" s="26"/>
      <c r="B5746" s="86"/>
      <c r="D5746" s="26"/>
      <c r="F5746" s="87" t="str">
        <f t="shared" si="0"/>
        <v/>
      </c>
      <c r="H5746" s="26" t="str">
        <f t="shared" si="1"/>
        <v/>
      </c>
      <c r="I5746" s="26" t="str">
        <f t="shared" si="2"/>
        <v/>
      </c>
      <c r="J5746" s="86">
        <f t="shared" si="3"/>
        <v>0</v>
      </c>
      <c r="R5746" s="26"/>
    </row>
    <row r="5747" spans="1:18" ht="15.75" customHeight="1">
      <c r="A5747" s="26"/>
      <c r="B5747" s="86"/>
      <c r="D5747" s="26"/>
      <c r="F5747" s="87" t="str">
        <f t="shared" si="0"/>
        <v/>
      </c>
      <c r="H5747" s="26" t="str">
        <f t="shared" si="1"/>
        <v/>
      </c>
      <c r="I5747" s="26" t="str">
        <f t="shared" si="2"/>
        <v/>
      </c>
      <c r="J5747" s="86">
        <f t="shared" si="3"/>
        <v>0</v>
      </c>
      <c r="R5747" s="26"/>
    </row>
    <row r="5748" spans="1:18" ht="15.75" customHeight="1">
      <c r="A5748" s="26"/>
      <c r="B5748" s="86"/>
      <c r="D5748" s="26"/>
      <c r="F5748" s="87" t="str">
        <f t="shared" si="0"/>
        <v/>
      </c>
      <c r="H5748" s="26" t="str">
        <f t="shared" si="1"/>
        <v/>
      </c>
      <c r="I5748" s="26" t="str">
        <f t="shared" si="2"/>
        <v/>
      </c>
      <c r="J5748" s="86">
        <f t="shared" si="3"/>
        <v>0</v>
      </c>
      <c r="R5748" s="26"/>
    </row>
    <row r="5749" spans="1:18" ht="15.75" customHeight="1">
      <c r="A5749" s="26"/>
      <c r="B5749" s="86"/>
      <c r="D5749" s="26"/>
      <c r="F5749" s="87" t="str">
        <f t="shared" si="0"/>
        <v/>
      </c>
      <c r="H5749" s="26" t="str">
        <f t="shared" si="1"/>
        <v/>
      </c>
      <c r="I5749" s="26" t="str">
        <f t="shared" si="2"/>
        <v/>
      </c>
      <c r="J5749" s="86">
        <f t="shared" si="3"/>
        <v>0</v>
      </c>
      <c r="R5749" s="26"/>
    </row>
    <row r="5750" spans="1:18" ht="15.75" customHeight="1">
      <c r="A5750" s="26"/>
      <c r="B5750" s="86"/>
      <c r="D5750" s="26"/>
      <c r="F5750" s="87" t="str">
        <f t="shared" si="0"/>
        <v/>
      </c>
      <c r="H5750" s="26" t="str">
        <f t="shared" si="1"/>
        <v/>
      </c>
      <c r="I5750" s="26" t="str">
        <f t="shared" si="2"/>
        <v/>
      </c>
      <c r="J5750" s="86">
        <f t="shared" si="3"/>
        <v>0</v>
      </c>
      <c r="R5750" s="26"/>
    </row>
    <row r="5751" spans="1:18" ht="15.75" customHeight="1">
      <c r="A5751" s="26"/>
      <c r="B5751" s="86"/>
      <c r="D5751" s="26"/>
      <c r="F5751" s="87" t="str">
        <f t="shared" si="0"/>
        <v/>
      </c>
      <c r="H5751" s="26" t="str">
        <f t="shared" si="1"/>
        <v/>
      </c>
      <c r="I5751" s="26" t="str">
        <f t="shared" si="2"/>
        <v/>
      </c>
      <c r="J5751" s="86">
        <f t="shared" si="3"/>
        <v>0</v>
      </c>
      <c r="R5751" s="26"/>
    </row>
    <row r="5752" spans="1:18" ht="15.75" customHeight="1">
      <c r="A5752" s="26"/>
      <c r="B5752" s="86"/>
      <c r="D5752" s="26"/>
      <c r="F5752" s="87" t="str">
        <f t="shared" si="0"/>
        <v/>
      </c>
      <c r="H5752" s="26" t="str">
        <f t="shared" si="1"/>
        <v/>
      </c>
      <c r="I5752" s="26" t="str">
        <f t="shared" si="2"/>
        <v/>
      </c>
      <c r="J5752" s="86">
        <f t="shared" si="3"/>
        <v>0</v>
      </c>
      <c r="R5752" s="26"/>
    </row>
    <row r="5753" spans="1:18" ht="15.75" customHeight="1">
      <c r="A5753" s="26"/>
      <c r="B5753" s="86"/>
      <c r="D5753" s="26"/>
      <c r="F5753" s="87" t="str">
        <f t="shared" si="0"/>
        <v/>
      </c>
      <c r="H5753" s="26" t="str">
        <f t="shared" si="1"/>
        <v/>
      </c>
      <c r="I5753" s="26" t="str">
        <f t="shared" si="2"/>
        <v/>
      </c>
      <c r="J5753" s="86">
        <f t="shared" si="3"/>
        <v>0</v>
      </c>
      <c r="R5753" s="26"/>
    </row>
    <row r="5754" spans="1:18" ht="15.75" customHeight="1">
      <c r="A5754" s="26"/>
      <c r="B5754" s="86"/>
      <c r="D5754" s="26"/>
      <c r="F5754" s="87" t="str">
        <f t="shared" si="0"/>
        <v/>
      </c>
      <c r="H5754" s="26" t="str">
        <f t="shared" si="1"/>
        <v/>
      </c>
      <c r="I5754" s="26" t="str">
        <f t="shared" si="2"/>
        <v/>
      </c>
      <c r="J5754" s="86">
        <f t="shared" si="3"/>
        <v>0</v>
      </c>
      <c r="R5754" s="26"/>
    </row>
    <row r="5755" spans="1:18" ht="15.75" customHeight="1">
      <c r="A5755" s="26"/>
      <c r="B5755" s="86"/>
      <c r="D5755" s="26"/>
      <c r="F5755" s="87" t="str">
        <f t="shared" si="0"/>
        <v/>
      </c>
      <c r="H5755" s="26" t="str">
        <f t="shared" si="1"/>
        <v/>
      </c>
      <c r="I5755" s="26" t="str">
        <f t="shared" si="2"/>
        <v/>
      </c>
      <c r="J5755" s="86">
        <f t="shared" si="3"/>
        <v>0</v>
      </c>
      <c r="R5755" s="26"/>
    </row>
    <row r="5756" spans="1:18" ht="15.75" customHeight="1">
      <c r="A5756" s="26"/>
      <c r="B5756" s="86"/>
      <c r="D5756" s="26"/>
      <c r="F5756" s="87" t="str">
        <f t="shared" si="0"/>
        <v/>
      </c>
      <c r="H5756" s="26" t="str">
        <f t="shared" si="1"/>
        <v/>
      </c>
      <c r="I5756" s="26" t="str">
        <f t="shared" si="2"/>
        <v/>
      </c>
      <c r="J5756" s="86">
        <f t="shared" si="3"/>
        <v>0</v>
      </c>
      <c r="R5756" s="26"/>
    </row>
    <row r="5757" spans="1:18" ht="15.75" customHeight="1">
      <c r="A5757" s="26"/>
      <c r="B5757" s="86"/>
      <c r="D5757" s="26"/>
      <c r="F5757" s="87" t="str">
        <f t="shared" si="0"/>
        <v/>
      </c>
      <c r="H5757" s="26" t="str">
        <f t="shared" si="1"/>
        <v/>
      </c>
      <c r="I5757" s="26" t="str">
        <f t="shared" si="2"/>
        <v/>
      </c>
      <c r="J5757" s="86">
        <f t="shared" si="3"/>
        <v>0</v>
      </c>
      <c r="R5757" s="26"/>
    </row>
    <row r="5758" spans="1:18" ht="15.75" customHeight="1">
      <c r="A5758" s="26"/>
      <c r="B5758" s="86"/>
      <c r="D5758" s="26"/>
      <c r="F5758" s="87" t="str">
        <f t="shared" si="0"/>
        <v/>
      </c>
      <c r="H5758" s="26" t="str">
        <f t="shared" si="1"/>
        <v/>
      </c>
      <c r="I5758" s="26" t="str">
        <f t="shared" si="2"/>
        <v/>
      </c>
      <c r="J5758" s="86">
        <f t="shared" si="3"/>
        <v>0</v>
      </c>
      <c r="R5758" s="26"/>
    </row>
    <row r="5759" spans="1:18" ht="15.75" customHeight="1">
      <c r="A5759" s="26"/>
      <c r="B5759" s="86"/>
      <c r="D5759" s="26"/>
      <c r="F5759" s="87" t="str">
        <f t="shared" si="0"/>
        <v/>
      </c>
      <c r="H5759" s="26" t="str">
        <f t="shared" si="1"/>
        <v/>
      </c>
      <c r="I5759" s="26" t="str">
        <f t="shared" si="2"/>
        <v/>
      </c>
      <c r="J5759" s="86">
        <f t="shared" si="3"/>
        <v>0</v>
      </c>
      <c r="R5759" s="26"/>
    </row>
    <row r="5760" spans="1:18" ht="15.75" customHeight="1">
      <c r="A5760" s="26"/>
      <c r="B5760" s="86"/>
      <c r="D5760" s="26"/>
      <c r="F5760" s="87" t="str">
        <f t="shared" si="0"/>
        <v/>
      </c>
      <c r="H5760" s="26" t="str">
        <f t="shared" si="1"/>
        <v/>
      </c>
      <c r="I5760" s="26" t="str">
        <f t="shared" si="2"/>
        <v/>
      </c>
      <c r="J5760" s="86">
        <f t="shared" si="3"/>
        <v>0</v>
      </c>
      <c r="R5760" s="26"/>
    </row>
    <row r="5761" spans="1:18" ht="15.75" customHeight="1">
      <c r="A5761" s="26"/>
      <c r="B5761" s="86"/>
      <c r="D5761" s="26"/>
      <c r="F5761" s="87" t="str">
        <f t="shared" si="0"/>
        <v/>
      </c>
      <c r="H5761" s="26" t="str">
        <f t="shared" si="1"/>
        <v/>
      </c>
      <c r="I5761" s="26" t="str">
        <f t="shared" si="2"/>
        <v/>
      </c>
      <c r="J5761" s="86">
        <f t="shared" si="3"/>
        <v>0</v>
      </c>
      <c r="R5761" s="26"/>
    </row>
    <row r="5762" spans="1:18" ht="15.75" customHeight="1">
      <c r="A5762" s="26"/>
      <c r="B5762" s="86"/>
      <c r="D5762" s="26"/>
      <c r="F5762" s="87" t="str">
        <f t="shared" si="0"/>
        <v/>
      </c>
      <c r="H5762" s="26" t="str">
        <f t="shared" si="1"/>
        <v/>
      </c>
      <c r="I5762" s="26" t="str">
        <f t="shared" si="2"/>
        <v/>
      </c>
      <c r="J5762" s="86">
        <f t="shared" si="3"/>
        <v>0</v>
      </c>
      <c r="R5762" s="26"/>
    </row>
    <row r="5763" spans="1:18" ht="15.75" customHeight="1">
      <c r="A5763" s="26"/>
      <c r="B5763" s="86"/>
      <c r="D5763" s="26"/>
      <c r="F5763" s="87" t="str">
        <f t="shared" si="0"/>
        <v/>
      </c>
      <c r="H5763" s="26" t="str">
        <f t="shared" si="1"/>
        <v/>
      </c>
      <c r="I5763" s="26" t="str">
        <f t="shared" si="2"/>
        <v/>
      </c>
      <c r="J5763" s="86">
        <f t="shared" si="3"/>
        <v>0</v>
      </c>
      <c r="R5763" s="26"/>
    </row>
    <row r="5764" spans="1:18" ht="15.75" customHeight="1">
      <c r="A5764" s="26"/>
      <c r="B5764" s="86"/>
      <c r="D5764" s="26"/>
      <c r="F5764" s="87" t="str">
        <f t="shared" si="0"/>
        <v/>
      </c>
      <c r="H5764" s="26" t="str">
        <f t="shared" si="1"/>
        <v/>
      </c>
      <c r="I5764" s="26" t="str">
        <f t="shared" si="2"/>
        <v/>
      </c>
      <c r="J5764" s="86">
        <f t="shared" si="3"/>
        <v>0</v>
      </c>
      <c r="R5764" s="26"/>
    </row>
    <row r="5765" spans="1:18" ht="15.75" customHeight="1">
      <c r="A5765" s="26"/>
      <c r="B5765" s="86"/>
      <c r="D5765" s="26"/>
      <c r="F5765" s="87" t="str">
        <f t="shared" si="0"/>
        <v/>
      </c>
      <c r="H5765" s="26" t="str">
        <f t="shared" si="1"/>
        <v/>
      </c>
      <c r="I5765" s="26" t="str">
        <f t="shared" si="2"/>
        <v/>
      </c>
      <c r="J5765" s="86">
        <f t="shared" si="3"/>
        <v>0</v>
      </c>
      <c r="R5765" s="26"/>
    </row>
    <row r="5766" spans="1:18" ht="15.75" customHeight="1">
      <c r="A5766" s="26"/>
      <c r="B5766" s="86"/>
      <c r="D5766" s="26"/>
      <c r="F5766" s="87" t="str">
        <f t="shared" si="0"/>
        <v/>
      </c>
      <c r="H5766" s="26" t="str">
        <f t="shared" si="1"/>
        <v/>
      </c>
      <c r="I5766" s="26" t="str">
        <f t="shared" si="2"/>
        <v/>
      </c>
      <c r="J5766" s="86">
        <f t="shared" si="3"/>
        <v>0</v>
      </c>
      <c r="R5766" s="26"/>
    </row>
    <row r="5767" spans="1:18" ht="15.75" customHeight="1">
      <c r="A5767" s="26"/>
      <c r="B5767" s="86"/>
      <c r="D5767" s="26"/>
      <c r="F5767" s="87" t="str">
        <f t="shared" si="0"/>
        <v/>
      </c>
      <c r="H5767" s="26" t="str">
        <f t="shared" si="1"/>
        <v/>
      </c>
      <c r="I5767" s="26" t="str">
        <f t="shared" si="2"/>
        <v/>
      </c>
      <c r="J5767" s="86">
        <f t="shared" si="3"/>
        <v>0</v>
      </c>
      <c r="R5767" s="26"/>
    </row>
    <row r="5768" spans="1:18" ht="15.75" customHeight="1">
      <c r="A5768" s="26"/>
      <c r="B5768" s="86"/>
      <c r="D5768" s="26"/>
      <c r="F5768" s="87" t="str">
        <f t="shared" si="0"/>
        <v/>
      </c>
      <c r="H5768" s="26" t="str">
        <f t="shared" si="1"/>
        <v/>
      </c>
      <c r="I5768" s="26" t="str">
        <f t="shared" si="2"/>
        <v/>
      </c>
      <c r="J5768" s="86">
        <f t="shared" si="3"/>
        <v>0</v>
      </c>
      <c r="R5768" s="26"/>
    </row>
    <row r="5769" spans="1:18" ht="15.75" customHeight="1">
      <c r="A5769" s="26"/>
      <c r="B5769" s="86"/>
      <c r="D5769" s="26"/>
      <c r="F5769" s="87" t="str">
        <f t="shared" si="0"/>
        <v/>
      </c>
      <c r="H5769" s="26" t="str">
        <f t="shared" si="1"/>
        <v/>
      </c>
      <c r="I5769" s="26" t="str">
        <f t="shared" si="2"/>
        <v/>
      </c>
      <c r="J5769" s="86">
        <f t="shared" si="3"/>
        <v>0</v>
      </c>
      <c r="R5769" s="26"/>
    </row>
    <row r="5770" spans="1:18" ht="15.75" customHeight="1">
      <c r="A5770" s="26"/>
      <c r="B5770" s="86"/>
      <c r="D5770" s="26"/>
      <c r="F5770" s="87" t="str">
        <f t="shared" si="0"/>
        <v/>
      </c>
      <c r="H5770" s="26" t="str">
        <f t="shared" si="1"/>
        <v/>
      </c>
      <c r="I5770" s="26" t="str">
        <f t="shared" si="2"/>
        <v/>
      </c>
      <c r="J5770" s="86">
        <f t="shared" si="3"/>
        <v>0</v>
      </c>
      <c r="R5770" s="26"/>
    </row>
    <row r="5771" spans="1:18" ht="15.75" customHeight="1">
      <c r="A5771" s="26"/>
      <c r="B5771" s="86"/>
      <c r="D5771" s="26"/>
      <c r="F5771" s="87" t="str">
        <f t="shared" si="0"/>
        <v/>
      </c>
      <c r="H5771" s="26" t="str">
        <f t="shared" si="1"/>
        <v/>
      </c>
      <c r="I5771" s="26" t="str">
        <f t="shared" si="2"/>
        <v/>
      </c>
      <c r="J5771" s="86">
        <f t="shared" si="3"/>
        <v>0</v>
      </c>
      <c r="R5771" s="26"/>
    </row>
    <row r="5772" spans="1:18" ht="15.75" customHeight="1">
      <c r="A5772" s="26"/>
      <c r="B5772" s="86"/>
      <c r="D5772" s="26"/>
      <c r="F5772" s="87" t="str">
        <f t="shared" si="0"/>
        <v/>
      </c>
      <c r="H5772" s="26" t="str">
        <f t="shared" si="1"/>
        <v/>
      </c>
      <c r="I5772" s="26" t="str">
        <f t="shared" si="2"/>
        <v/>
      </c>
      <c r="J5772" s="86">
        <f t="shared" si="3"/>
        <v>0</v>
      </c>
      <c r="R5772" s="26"/>
    </row>
    <row r="5773" spans="1:18" ht="15.75" customHeight="1">
      <c r="A5773" s="26"/>
      <c r="B5773" s="86"/>
      <c r="D5773" s="26"/>
      <c r="F5773" s="87" t="str">
        <f t="shared" si="0"/>
        <v/>
      </c>
      <c r="H5773" s="26" t="str">
        <f t="shared" si="1"/>
        <v/>
      </c>
      <c r="I5773" s="26" t="str">
        <f t="shared" si="2"/>
        <v/>
      </c>
      <c r="J5773" s="86">
        <f t="shared" si="3"/>
        <v>0</v>
      </c>
      <c r="R5773" s="26"/>
    </row>
    <row r="5774" spans="1:18" ht="15.75" customHeight="1">
      <c r="A5774" s="26"/>
      <c r="B5774" s="86"/>
      <c r="D5774" s="26"/>
      <c r="F5774" s="87" t="str">
        <f t="shared" si="0"/>
        <v/>
      </c>
      <c r="H5774" s="26" t="str">
        <f t="shared" si="1"/>
        <v/>
      </c>
      <c r="I5774" s="26" t="str">
        <f t="shared" si="2"/>
        <v/>
      </c>
      <c r="J5774" s="86">
        <f t="shared" si="3"/>
        <v>0</v>
      </c>
      <c r="R5774" s="26"/>
    </row>
    <row r="5775" spans="1:18" ht="15.75" customHeight="1">
      <c r="A5775" s="26"/>
      <c r="B5775" s="86"/>
      <c r="D5775" s="26"/>
      <c r="F5775" s="87" t="str">
        <f t="shared" si="0"/>
        <v/>
      </c>
      <c r="H5775" s="26" t="str">
        <f t="shared" si="1"/>
        <v/>
      </c>
      <c r="I5775" s="26" t="str">
        <f t="shared" si="2"/>
        <v/>
      </c>
      <c r="J5775" s="86">
        <f t="shared" si="3"/>
        <v>0</v>
      </c>
      <c r="R5775" s="26"/>
    </row>
    <row r="5776" spans="1:18" ht="15.75" customHeight="1">
      <c r="A5776" s="26"/>
      <c r="B5776" s="86"/>
      <c r="D5776" s="26"/>
      <c r="F5776" s="87" t="str">
        <f t="shared" si="0"/>
        <v/>
      </c>
      <c r="H5776" s="26" t="str">
        <f t="shared" si="1"/>
        <v/>
      </c>
      <c r="I5776" s="26" t="str">
        <f t="shared" si="2"/>
        <v/>
      </c>
      <c r="J5776" s="86">
        <f t="shared" si="3"/>
        <v>0</v>
      </c>
      <c r="R5776" s="26"/>
    </row>
    <row r="5777" spans="1:18" ht="15.75" customHeight="1">
      <c r="A5777" s="26"/>
      <c r="B5777" s="86"/>
      <c r="D5777" s="26"/>
      <c r="F5777" s="87" t="str">
        <f t="shared" si="0"/>
        <v/>
      </c>
      <c r="H5777" s="26" t="str">
        <f t="shared" si="1"/>
        <v/>
      </c>
      <c r="I5777" s="26" t="str">
        <f t="shared" si="2"/>
        <v/>
      </c>
      <c r="J5777" s="86">
        <f t="shared" si="3"/>
        <v>0</v>
      </c>
      <c r="R5777" s="26"/>
    </row>
    <row r="5778" spans="1:18" ht="15.75" customHeight="1">
      <c r="A5778" s="26"/>
      <c r="B5778" s="86"/>
      <c r="D5778" s="26"/>
      <c r="F5778" s="87" t="str">
        <f t="shared" si="0"/>
        <v/>
      </c>
      <c r="H5778" s="26" t="str">
        <f t="shared" si="1"/>
        <v/>
      </c>
      <c r="I5778" s="26" t="str">
        <f t="shared" si="2"/>
        <v/>
      </c>
      <c r="J5778" s="86">
        <f t="shared" si="3"/>
        <v>0</v>
      </c>
      <c r="R5778" s="26"/>
    </row>
    <row r="5779" spans="1:18" ht="15.75" customHeight="1">
      <c r="A5779" s="26"/>
      <c r="B5779" s="86"/>
      <c r="D5779" s="26"/>
      <c r="F5779" s="87" t="str">
        <f t="shared" si="0"/>
        <v/>
      </c>
      <c r="H5779" s="26" t="str">
        <f t="shared" si="1"/>
        <v/>
      </c>
      <c r="I5779" s="26" t="str">
        <f t="shared" si="2"/>
        <v/>
      </c>
      <c r="J5779" s="86">
        <f t="shared" si="3"/>
        <v>0</v>
      </c>
      <c r="R5779" s="26"/>
    </row>
    <row r="5780" spans="1:18" ht="15.75" customHeight="1">
      <c r="A5780" s="26"/>
      <c r="B5780" s="86"/>
      <c r="D5780" s="26"/>
      <c r="F5780" s="87" t="str">
        <f t="shared" si="0"/>
        <v/>
      </c>
      <c r="H5780" s="26" t="str">
        <f t="shared" si="1"/>
        <v/>
      </c>
      <c r="I5780" s="26" t="str">
        <f t="shared" si="2"/>
        <v/>
      </c>
      <c r="J5780" s="86">
        <f t="shared" si="3"/>
        <v>0</v>
      </c>
      <c r="R5780" s="26"/>
    </row>
    <row r="5781" spans="1:18" ht="15.75" customHeight="1">
      <c r="A5781" s="26"/>
      <c r="B5781" s="86"/>
      <c r="D5781" s="26"/>
      <c r="F5781" s="87" t="str">
        <f t="shared" si="0"/>
        <v/>
      </c>
      <c r="H5781" s="26" t="str">
        <f t="shared" si="1"/>
        <v/>
      </c>
      <c r="I5781" s="26" t="str">
        <f t="shared" si="2"/>
        <v/>
      </c>
      <c r="J5781" s="86">
        <f t="shared" si="3"/>
        <v>0</v>
      </c>
      <c r="R5781" s="26"/>
    </row>
    <row r="5782" spans="1:18" ht="15.75" customHeight="1">
      <c r="A5782" s="26"/>
      <c r="B5782" s="86"/>
      <c r="D5782" s="26"/>
      <c r="F5782" s="87" t="str">
        <f t="shared" si="0"/>
        <v/>
      </c>
      <c r="H5782" s="26" t="str">
        <f t="shared" si="1"/>
        <v/>
      </c>
      <c r="I5782" s="26" t="str">
        <f t="shared" si="2"/>
        <v/>
      </c>
      <c r="J5782" s="86">
        <f t="shared" si="3"/>
        <v>0</v>
      </c>
      <c r="R5782" s="26"/>
    </row>
    <row r="5783" spans="1:18" ht="15.75" customHeight="1">
      <c r="A5783" s="26"/>
      <c r="B5783" s="86"/>
      <c r="D5783" s="26"/>
      <c r="F5783" s="87" t="str">
        <f t="shared" si="0"/>
        <v/>
      </c>
      <c r="H5783" s="26" t="str">
        <f t="shared" si="1"/>
        <v/>
      </c>
      <c r="I5783" s="26" t="str">
        <f t="shared" si="2"/>
        <v/>
      </c>
      <c r="J5783" s="86">
        <f t="shared" si="3"/>
        <v>0</v>
      </c>
      <c r="R5783" s="26"/>
    </row>
    <row r="5784" spans="1:18" ht="15.75" customHeight="1">
      <c r="A5784" s="26"/>
      <c r="B5784" s="86"/>
      <c r="D5784" s="26"/>
      <c r="F5784" s="87" t="str">
        <f t="shared" si="0"/>
        <v/>
      </c>
      <c r="H5784" s="26" t="str">
        <f t="shared" si="1"/>
        <v/>
      </c>
      <c r="I5784" s="26" t="str">
        <f t="shared" si="2"/>
        <v/>
      </c>
      <c r="J5784" s="86">
        <f t="shared" si="3"/>
        <v>0</v>
      </c>
      <c r="R5784" s="26"/>
    </row>
    <row r="5785" spans="1:18" ht="15.75" customHeight="1">
      <c r="A5785" s="26"/>
      <c r="B5785" s="86"/>
      <c r="D5785" s="26"/>
      <c r="F5785" s="87" t="str">
        <f t="shared" si="0"/>
        <v/>
      </c>
      <c r="H5785" s="26" t="str">
        <f t="shared" si="1"/>
        <v/>
      </c>
      <c r="I5785" s="26" t="str">
        <f t="shared" si="2"/>
        <v/>
      </c>
      <c r="J5785" s="86">
        <f t="shared" si="3"/>
        <v>0</v>
      </c>
      <c r="R5785" s="26"/>
    </row>
    <row r="5786" spans="1:18" ht="15.75" customHeight="1">
      <c r="A5786" s="26"/>
      <c r="B5786" s="86"/>
      <c r="D5786" s="26"/>
      <c r="F5786" s="87" t="str">
        <f t="shared" si="0"/>
        <v/>
      </c>
      <c r="H5786" s="26" t="str">
        <f t="shared" si="1"/>
        <v/>
      </c>
      <c r="I5786" s="26" t="str">
        <f t="shared" si="2"/>
        <v/>
      </c>
      <c r="J5786" s="86">
        <f t="shared" si="3"/>
        <v>0</v>
      </c>
      <c r="R5786" s="26"/>
    </row>
    <row r="5787" spans="1:18" ht="15.75" customHeight="1">
      <c r="A5787" s="26"/>
      <c r="B5787" s="86"/>
      <c r="D5787" s="26"/>
      <c r="F5787" s="87" t="str">
        <f t="shared" si="0"/>
        <v/>
      </c>
      <c r="H5787" s="26" t="str">
        <f t="shared" si="1"/>
        <v/>
      </c>
      <c r="I5787" s="26" t="str">
        <f t="shared" si="2"/>
        <v/>
      </c>
      <c r="J5787" s="86">
        <f t="shared" si="3"/>
        <v>0</v>
      </c>
      <c r="R5787" s="26"/>
    </row>
    <row r="5788" spans="1:18" ht="15.75" customHeight="1">
      <c r="A5788" s="26"/>
      <c r="B5788" s="86"/>
      <c r="D5788" s="26"/>
      <c r="F5788" s="87" t="str">
        <f t="shared" si="0"/>
        <v/>
      </c>
      <c r="H5788" s="26" t="str">
        <f t="shared" si="1"/>
        <v/>
      </c>
      <c r="I5788" s="26" t="str">
        <f t="shared" si="2"/>
        <v/>
      </c>
      <c r="J5788" s="86">
        <f t="shared" si="3"/>
        <v>0</v>
      </c>
      <c r="R5788" s="26"/>
    </row>
    <row r="5789" spans="1:18" ht="15.75" customHeight="1">
      <c r="A5789" s="26"/>
      <c r="B5789" s="86"/>
      <c r="D5789" s="26"/>
      <c r="F5789" s="87" t="str">
        <f t="shared" si="0"/>
        <v/>
      </c>
      <c r="H5789" s="26" t="str">
        <f t="shared" si="1"/>
        <v/>
      </c>
      <c r="I5789" s="26" t="str">
        <f t="shared" si="2"/>
        <v/>
      </c>
      <c r="J5789" s="86">
        <f t="shared" si="3"/>
        <v>0</v>
      </c>
      <c r="R5789" s="26"/>
    </row>
    <row r="5790" spans="1:18" ht="15.75" customHeight="1">
      <c r="A5790" s="26"/>
      <c r="B5790" s="86"/>
      <c r="D5790" s="26"/>
      <c r="F5790" s="87" t="str">
        <f t="shared" si="0"/>
        <v/>
      </c>
      <c r="H5790" s="26" t="str">
        <f t="shared" si="1"/>
        <v/>
      </c>
      <c r="I5790" s="26" t="str">
        <f t="shared" si="2"/>
        <v/>
      </c>
      <c r="J5790" s="86">
        <f t="shared" si="3"/>
        <v>0</v>
      </c>
      <c r="R5790" s="26"/>
    </row>
    <row r="5791" spans="1:18" ht="15.75" customHeight="1">
      <c r="A5791" s="26"/>
      <c r="B5791" s="86"/>
      <c r="D5791" s="26"/>
      <c r="F5791" s="87" t="str">
        <f t="shared" si="0"/>
        <v/>
      </c>
      <c r="H5791" s="26" t="str">
        <f t="shared" si="1"/>
        <v/>
      </c>
      <c r="I5791" s="26" t="str">
        <f t="shared" si="2"/>
        <v/>
      </c>
      <c r="J5791" s="86">
        <f t="shared" si="3"/>
        <v>0</v>
      </c>
      <c r="R5791" s="26"/>
    </row>
    <row r="5792" spans="1:18" ht="15.75" customHeight="1">
      <c r="A5792" s="26"/>
      <c r="B5792" s="86"/>
      <c r="D5792" s="26"/>
      <c r="F5792" s="87" t="str">
        <f t="shared" si="0"/>
        <v/>
      </c>
      <c r="H5792" s="26" t="str">
        <f t="shared" si="1"/>
        <v/>
      </c>
      <c r="I5792" s="26" t="str">
        <f t="shared" si="2"/>
        <v/>
      </c>
      <c r="J5792" s="86">
        <f t="shared" si="3"/>
        <v>0</v>
      </c>
      <c r="R5792" s="26"/>
    </row>
    <row r="5793" spans="1:18" ht="15.75" customHeight="1">
      <c r="A5793" s="26"/>
      <c r="B5793" s="86"/>
      <c r="D5793" s="26"/>
      <c r="F5793" s="87" t="str">
        <f t="shared" si="0"/>
        <v/>
      </c>
      <c r="H5793" s="26" t="str">
        <f t="shared" si="1"/>
        <v/>
      </c>
      <c r="I5793" s="26" t="str">
        <f t="shared" si="2"/>
        <v/>
      </c>
      <c r="J5793" s="86">
        <f t="shared" si="3"/>
        <v>0</v>
      </c>
      <c r="R5793" s="26"/>
    </row>
    <row r="5794" spans="1:18" ht="15.75" customHeight="1">
      <c r="A5794" s="26"/>
      <c r="B5794" s="86"/>
      <c r="D5794" s="26"/>
      <c r="F5794" s="87" t="str">
        <f t="shared" si="0"/>
        <v/>
      </c>
      <c r="H5794" s="26" t="str">
        <f t="shared" si="1"/>
        <v/>
      </c>
      <c r="I5794" s="26" t="str">
        <f t="shared" si="2"/>
        <v/>
      </c>
      <c r="J5794" s="86">
        <f t="shared" si="3"/>
        <v>0</v>
      </c>
      <c r="R5794" s="26"/>
    </row>
    <row r="5795" spans="1:18" ht="15.75" customHeight="1">
      <c r="A5795" s="26"/>
      <c r="B5795" s="86"/>
      <c r="D5795" s="26"/>
      <c r="F5795" s="87" t="str">
        <f t="shared" si="0"/>
        <v/>
      </c>
      <c r="H5795" s="26" t="str">
        <f t="shared" si="1"/>
        <v/>
      </c>
      <c r="I5795" s="26" t="str">
        <f t="shared" si="2"/>
        <v/>
      </c>
      <c r="J5795" s="86">
        <f t="shared" si="3"/>
        <v>0</v>
      </c>
      <c r="R5795" s="26"/>
    </row>
    <row r="5796" spans="1:18" ht="15.75" customHeight="1">
      <c r="A5796" s="26"/>
      <c r="B5796" s="86"/>
      <c r="D5796" s="26"/>
      <c r="F5796" s="87" t="str">
        <f t="shared" si="0"/>
        <v/>
      </c>
      <c r="H5796" s="26" t="str">
        <f t="shared" si="1"/>
        <v/>
      </c>
      <c r="I5796" s="26" t="str">
        <f t="shared" si="2"/>
        <v/>
      </c>
      <c r="J5796" s="86">
        <f t="shared" si="3"/>
        <v>0</v>
      </c>
      <c r="R5796" s="26"/>
    </row>
    <row r="5797" spans="1:18" ht="15.75" customHeight="1">
      <c r="A5797" s="26"/>
      <c r="B5797" s="86"/>
      <c r="D5797" s="26"/>
      <c r="F5797" s="87" t="str">
        <f t="shared" si="0"/>
        <v/>
      </c>
      <c r="H5797" s="26" t="str">
        <f t="shared" si="1"/>
        <v/>
      </c>
      <c r="I5797" s="26" t="str">
        <f t="shared" si="2"/>
        <v/>
      </c>
      <c r="J5797" s="86">
        <f t="shared" si="3"/>
        <v>0</v>
      </c>
      <c r="R5797" s="26"/>
    </row>
    <row r="5798" spans="1:18" ht="15.75" customHeight="1">
      <c r="A5798" s="26"/>
      <c r="B5798" s="86"/>
      <c r="D5798" s="26"/>
      <c r="F5798" s="87" t="str">
        <f t="shared" si="0"/>
        <v/>
      </c>
      <c r="H5798" s="26" t="str">
        <f t="shared" si="1"/>
        <v/>
      </c>
      <c r="I5798" s="26" t="str">
        <f t="shared" si="2"/>
        <v/>
      </c>
      <c r="J5798" s="86">
        <f t="shared" si="3"/>
        <v>0</v>
      </c>
      <c r="R5798" s="26"/>
    </row>
    <row r="5799" spans="1:18" ht="15.75" customHeight="1">
      <c r="A5799" s="26"/>
      <c r="B5799" s="86"/>
      <c r="D5799" s="26"/>
      <c r="F5799" s="87" t="str">
        <f t="shared" si="0"/>
        <v/>
      </c>
      <c r="H5799" s="26" t="str">
        <f t="shared" si="1"/>
        <v/>
      </c>
      <c r="I5799" s="26" t="str">
        <f t="shared" si="2"/>
        <v/>
      </c>
      <c r="J5799" s="86">
        <f t="shared" si="3"/>
        <v>0</v>
      </c>
      <c r="R5799" s="26"/>
    </row>
    <row r="5800" spans="1:18" ht="15.75" customHeight="1">
      <c r="A5800" s="26"/>
      <c r="B5800" s="86"/>
      <c r="D5800" s="26"/>
      <c r="F5800" s="87" t="str">
        <f t="shared" si="0"/>
        <v/>
      </c>
      <c r="H5800" s="26" t="str">
        <f t="shared" si="1"/>
        <v/>
      </c>
      <c r="I5800" s="26" t="str">
        <f t="shared" si="2"/>
        <v/>
      </c>
      <c r="J5800" s="86">
        <f t="shared" si="3"/>
        <v>0</v>
      </c>
      <c r="R5800" s="26"/>
    </row>
    <row r="5801" spans="1:18" ht="15.75" customHeight="1">
      <c r="A5801" s="26"/>
      <c r="B5801" s="86"/>
      <c r="D5801" s="26"/>
      <c r="F5801" s="87" t="str">
        <f t="shared" si="0"/>
        <v/>
      </c>
      <c r="H5801" s="26" t="str">
        <f t="shared" si="1"/>
        <v/>
      </c>
      <c r="I5801" s="26" t="str">
        <f t="shared" si="2"/>
        <v/>
      </c>
      <c r="J5801" s="86">
        <f t="shared" si="3"/>
        <v>0</v>
      </c>
      <c r="R5801" s="26"/>
    </row>
    <row r="5802" spans="1:18" ht="15.75" customHeight="1">
      <c r="A5802" s="26"/>
      <c r="B5802" s="86"/>
      <c r="D5802" s="26"/>
      <c r="F5802" s="87" t="str">
        <f t="shared" si="0"/>
        <v/>
      </c>
      <c r="H5802" s="26" t="str">
        <f t="shared" si="1"/>
        <v/>
      </c>
      <c r="I5802" s="26" t="str">
        <f t="shared" si="2"/>
        <v/>
      </c>
      <c r="J5802" s="86">
        <f t="shared" si="3"/>
        <v>0</v>
      </c>
      <c r="R5802" s="26"/>
    </row>
    <row r="5803" spans="1:18" ht="15.75" customHeight="1">
      <c r="A5803" s="26"/>
      <c r="B5803" s="86"/>
      <c r="D5803" s="26"/>
      <c r="F5803" s="87" t="str">
        <f t="shared" si="0"/>
        <v/>
      </c>
      <c r="H5803" s="26" t="str">
        <f t="shared" si="1"/>
        <v/>
      </c>
      <c r="I5803" s="26" t="str">
        <f t="shared" si="2"/>
        <v/>
      </c>
      <c r="J5803" s="86">
        <f t="shared" si="3"/>
        <v>0</v>
      </c>
      <c r="R5803" s="26"/>
    </row>
    <row r="5804" spans="1:18" ht="15.75" customHeight="1">
      <c r="A5804" s="26"/>
      <c r="B5804" s="86"/>
      <c r="D5804" s="26"/>
      <c r="F5804" s="87" t="str">
        <f t="shared" si="0"/>
        <v/>
      </c>
      <c r="H5804" s="26" t="str">
        <f t="shared" si="1"/>
        <v/>
      </c>
      <c r="I5804" s="26" t="str">
        <f t="shared" si="2"/>
        <v/>
      </c>
      <c r="J5804" s="86">
        <f t="shared" si="3"/>
        <v>0</v>
      </c>
      <c r="R5804" s="26"/>
    </row>
    <row r="5805" spans="1:18" ht="15.75" customHeight="1">
      <c r="A5805" s="26"/>
      <c r="B5805" s="86"/>
      <c r="D5805" s="26"/>
      <c r="F5805" s="87" t="str">
        <f t="shared" si="0"/>
        <v/>
      </c>
      <c r="H5805" s="26" t="str">
        <f t="shared" si="1"/>
        <v/>
      </c>
      <c r="I5805" s="26" t="str">
        <f t="shared" si="2"/>
        <v/>
      </c>
      <c r="J5805" s="86">
        <f t="shared" si="3"/>
        <v>0</v>
      </c>
      <c r="R5805" s="26"/>
    </row>
    <row r="5806" spans="1:18" ht="15.75" customHeight="1">
      <c r="A5806" s="26"/>
      <c r="B5806" s="86"/>
      <c r="D5806" s="26"/>
      <c r="F5806" s="87" t="str">
        <f t="shared" si="0"/>
        <v/>
      </c>
      <c r="H5806" s="26" t="str">
        <f t="shared" si="1"/>
        <v/>
      </c>
      <c r="I5806" s="26" t="str">
        <f t="shared" si="2"/>
        <v/>
      </c>
      <c r="J5806" s="86">
        <f t="shared" si="3"/>
        <v>0</v>
      </c>
      <c r="R5806" s="26"/>
    </row>
    <row r="5807" spans="1:18" ht="15.75" customHeight="1">
      <c r="A5807" s="26"/>
      <c r="B5807" s="86"/>
      <c r="D5807" s="26"/>
      <c r="F5807" s="87" t="str">
        <f t="shared" si="0"/>
        <v/>
      </c>
      <c r="H5807" s="26" t="str">
        <f t="shared" si="1"/>
        <v/>
      </c>
      <c r="I5807" s="26" t="str">
        <f t="shared" si="2"/>
        <v/>
      </c>
      <c r="J5807" s="86">
        <f t="shared" si="3"/>
        <v>0</v>
      </c>
      <c r="R5807" s="26"/>
    </row>
    <row r="5808" spans="1:18" ht="15.75" customHeight="1">
      <c r="A5808" s="26"/>
      <c r="B5808" s="86"/>
      <c r="D5808" s="26"/>
      <c r="F5808" s="87" t="str">
        <f t="shared" si="0"/>
        <v/>
      </c>
      <c r="H5808" s="26" t="str">
        <f t="shared" si="1"/>
        <v/>
      </c>
      <c r="I5808" s="26" t="str">
        <f t="shared" si="2"/>
        <v/>
      </c>
      <c r="J5808" s="86">
        <f t="shared" si="3"/>
        <v>0</v>
      </c>
      <c r="R5808" s="26"/>
    </row>
    <row r="5809" spans="1:18" ht="15.75" customHeight="1">
      <c r="A5809" s="26"/>
      <c r="B5809" s="86"/>
      <c r="D5809" s="26"/>
      <c r="F5809" s="87" t="str">
        <f t="shared" si="0"/>
        <v/>
      </c>
      <c r="H5809" s="26" t="str">
        <f t="shared" si="1"/>
        <v/>
      </c>
      <c r="I5809" s="26" t="str">
        <f t="shared" si="2"/>
        <v/>
      </c>
      <c r="J5809" s="86">
        <f t="shared" si="3"/>
        <v>0</v>
      </c>
      <c r="R5809" s="26"/>
    </row>
    <row r="5810" spans="1:18" ht="15.75" customHeight="1">
      <c r="A5810" s="26"/>
      <c r="B5810" s="86"/>
      <c r="D5810" s="26"/>
      <c r="F5810" s="87" t="str">
        <f t="shared" si="0"/>
        <v/>
      </c>
      <c r="H5810" s="26" t="str">
        <f t="shared" si="1"/>
        <v/>
      </c>
      <c r="I5810" s="26" t="str">
        <f t="shared" si="2"/>
        <v/>
      </c>
      <c r="J5810" s="86">
        <f t="shared" si="3"/>
        <v>0</v>
      </c>
      <c r="R5810" s="26"/>
    </row>
    <row r="5811" spans="1:18" ht="15.75" customHeight="1">
      <c r="A5811" s="26"/>
      <c r="B5811" s="86"/>
      <c r="D5811" s="26"/>
      <c r="F5811" s="87" t="str">
        <f t="shared" si="0"/>
        <v/>
      </c>
      <c r="H5811" s="26" t="str">
        <f t="shared" si="1"/>
        <v/>
      </c>
      <c r="I5811" s="26" t="str">
        <f t="shared" si="2"/>
        <v/>
      </c>
      <c r="J5811" s="86">
        <f t="shared" si="3"/>
        <v>0</v>
      </c>
      <c r="R5811" s="26"/>
    </row>
    <row r="5812" spans="1:18" ht="15.75" customHeight="1">
      <c r="A5812" s="26"/>
      <c r="B5812" s="86"/>
      <c r="D5812" s="26"/>
      <c r="F5812" s="87" t="str">
        <f t="shared" si="0"/>
        <v/>
      </c>
      <c r="H5812" s="26" t="str">
        <f t="shared" si="1"/>
        <v/>
      </c>
      <c r="I5812" s="26" t="str">
        <f t="shared" si="2"/>
        <v/>
      </c>
      <c r="J5812" s="86">
        <f t="shared" si="3"/>
        <v>0</v>
      </c>
      <c r="R5812" s="26"/>
    </row>
    <row r="5813" spans="1:18" ht="15.75" customHeight="1">
      <c r="A5813" s="26"/>
      <c r="B5813" s="86"/>
      <c r="D5813" s="26"/>
      <c r="F5813" s="87" t="str">
        <f t="shared" si="0"/>
        <v/>
      </c>
      <c r="H5813" s="26" t="str">
        <f t="shared" si="1"/>
        <v/>
      </c>
      <c r="I5813" s="26" t="str">
        <f t="shared" si="2"/>
        <v/>
      </c>
      <c r="J5813" s="86">
        <f t="shared" si="3"/>
        <v>0</v>
      </c>
      <c r="R5813" s="26"/>
    </row>
    <row r="5814" spans="1:18" ht="15.75" customHeight="1">
      <c r="A5814" s="26"/>
      <c r="B5814" s="86"/>
      <c r="D5814" s="26"/>
      <c r="F5814" s="87" t="str">
        <f t="shared" si="0"/>
        <v/>
      </c>
      <c r="H5814" s="26" t="str">
        <f t="shared" si="1"/>
        <v/>
      </c>
      <c r="I5814" s="26" t="str">
        <f t="shared" si="2"/>
        <v/>
      </c>
      <c r="J5814" s="86">
        <f t="shared" si="3"/>
        <v>0</v>
      </c>
      <c r="R5814" s="26"/>
    </row>
    <row r="5815" spans="1:18" ht="15.75" customHeight="1">
      <c r="A5815" s="26"/>
      <c r="B5815" s="86"/>
      <c r="D5815" s="26"/>
      <c r="F5815" s="87" t="str">
        <f t="shared" si="0"/>
        <v/>
      </c>
      <c r="H5815" s="26" t="str">
        <f t="shared" si="1"/>
        <v/>
      </c>
      <c r="I5815" s="26" t="str">
        <f t="shared" si="2"/>
        <v/>
      </c>
      <c r="J5815" s="86">
        <f t="shared" si="3"/>
        <v>0</v>
      </c>
      <c r="R5815" s="26"/>
    </row>
    <row r="5816" spans="1:18" ht="15.75" customHeight="1">
      <c r="A5816" s="26"/>
      <c r="B5816" s="86"/>
      <c r="D5816" s="26"/>
      <c r="F5816" s="87" t="str">
        <f t="shared" si="0"/>
        <v/>
      </c>
      <c r="H5816" s="26" t="str">
        <f t="shared" si="1"/>
        <v/>
      </c>
      <c r="I5816" s="26" t="str">
        <f t="shared" si="2"/>
        <v/>
      </c>
      <c r="J5816" s="86">
        <f t="shared" si="3"/>
        <v>0</v>
      </c>
      <c r="R5816" s="26"/>
    </row>
    <row r="5817" spans="1:18" ht="15.75" customHeight="1">
      <c r="A5817" s="26"/>
      <c r="B5817" s="86"/>
      <c r="D5817" s="26"/>
      <c r="F5817" s="87" t="str">
        <f t="shared" si="0"/>
        <v/>
      </c>
      <c r="H5817" s="26" t="str">
        <f t="shared" si="1"/>
        <v/>
      </c>
      <c r="I5817" s="26" t="str">
        <f t="shared" si="2"/>
        <v/>
      </c>
      <c r="J5817" s="86">
        <f t="shared" si="3"/>
        <v>0</v>
      </c>
      <c r="R5817" s="26"/>
    </row>
    <row r="5818" spans="1:18" ht="15.75" customHeight="1">
      <c r="A5818" s="26"/>
      <c r="B5818" s="86"/>
      <c r="D5818" s="26"/>
      <c r="F5818" s="87" t="str">
        <f t="shared" si="0"/>
        <v/>
      </c>
      <c r="H5818" s="26" t="str">
        <f t="shared" si="1"/>
        <v/>
      </c>
      <c r="I5818" s="26" t="str">
        <f t="shared" si="2"/>
        <v/>
      </c>
      <c r="J5818" s="86">
        <f t="shared" si="3"/>
        <v>0</v>
      </c>
      <c r="R5818" s="26"/>
    </row>
    <row r="5819" spans="1:18" ht="15.75" customHeight="1">
      <c r="A5819" s="26"/>
      <c r="B5819" s="86"/>
      <c r="D5819" s="26"/>
      <c r="F5819" s="87" t="str">
        <f t="shared" si="0"/>
        <v/>
      </c>
      <c r="H5819" s="26" t="str">
        <f t="shared" si="1"/>
        <v/>
      </c>
      <c r="I5819" s="26" t="str">
        <f t="shared" si="2"/>
        <v/>
      </c>
      <c r="J5819" s="86">
        <f t="shared" si="3"/>
        <v>0</v>
      </c>
      <c r="R5819" s="26"/>
    </row>
    <row r="5820" spans="1:18" ht="15.75" customHeight="1">
      <c r="A5820" s="26"/>
      <c r="B5820" s="86"/>
      <c r="D5820" s="26"/>
      <c r="F5820" s="87" t="str">
        <f t="shared" si="0"/>
        <v/>
      </c>
      <c r="H5820" s="26" t="str">
        <f t="shared" si="1"/>
        <v/>
      </c>
      <c r="I5820" s="26" t="str">
        <f t="shared" si="2"/>
        <v/>
      </c>
      <c r="J5820" s="86">
        <f t="shared" si="3"/>
        <v>0</v>
      </c>
      <c r="R5820" s="26"/>
    </row>
    <row r="5821" spans="1:18" ht="15.75" customHeight="1">
      <c r="A5821" s="26"/>
      <c r="B5821" s="86"/>
      <c r="D5821" s="26"/>
      <c r="F5821" s="87" t="str">
        <f t="shared" si="0"/>
        <v/>
      </c>
      <c r="H5821" s="26" t="str">
        <f t="shared" si="1"/>
        <v/>
      </c>
      <c r="I5821" s="26" t="str">
        <f t="shared" si="2"/>
        <v/>
      </c>
      <c r="J5821" s="86">
        <f t="shared" si="3"/>
        <v>0</v>
      </c>
      <c r="R5821" s="26"/>
    </row>
    <row r="5822" spans="1:18" ht="15.75" customHeight="1">
      <c r="A5822" s="26"/>
      <c r="B5822" s="86"/>
      <c r="D5822" s="26"/>
      <c r="F5822" s="87" t="str">
        <f t="shared" si="0"/>
        <v/>
      </c>
      <c r="H5822" s="26" t="str">
        <f t="shared" si="1"/>
        <v/>
      </c>
      <c r="I5822" s="26" t="str">
        <f t="shared" si="2"/>
        <v/>
      </c>
      <c r="J5822" s="86">
        <f t="shared" si="3"/>
        <v>0</v>
      </c>
      <c r="R5822" s="26"/>
    </row>
    <row r="5823" spans="1:18" ht="15.75" customHeight="1">
      <c r="A5823" s="26"/>
      <c r="B5823" s="86"/>
      <c r="D5823" s="26"/>
      <c r="F5823" s="87" t="str">
        <f t="shared" si="0"/>
        <v/>
      </c>
      <c r="H5823" s="26" t="str">
        <f t="shared" si="1"/>
        <v/>
      </c>
      <c r="I5823" s="26" t="str">
        <f t="shared" si="2"/>
        <v/>
      </c>
      <c r="J5823" s="86">
        <f t="shared" si="3"/>
        <v>0</v>
      </c>
      <c r="R5823" s="26"/>
    </row>
    <row r="5824" spans="1:18" ht="15.75" customHeight="1">
      <c r="A5824" s="26"/>
      <c r="B5824" s="86"/>
      <c r="D5824" s="26"/>
      <c r="F5824" s="87" t="str">
        <f t="shared" si="0"/>
        <v/>
      </c>
      <c r="H5824" s="26" t="str">
        <f t="shared" si="1"/>
        <v/>
      </c>
      <c r="I5824" s="26" t="str">
        <f t="shared" si="2"/>
        <v/>
      </c>
      <c r="J5824" s="86">
        <f t="shared" si="3"/>
        <v>0</v>
      </c>
      <c r="R5824" s="26"/>
    </row>
    <row r="5825" spans="1:18" ht="15.75" customHeight="1">
      <c r="A5825" s="26"/>
      <c r="B5825" s="86"/>
      <c r="D5825" s="26"/>
      <c r="F5825" s="87" t="str">
        <f t="shared" si="0"/>
        <v/>
      </c>
      <c r="H5825" s="26" t="str">
        <f t="shared" si="1"/>
        <v/>
      </c>
      <c r="I5825" s="26" t="str">
        <f t="shared" si="2"/>
        <v/>
      </c>
      <c r="J5825" s="86">
        <f t="shared" si="3"/>
        <v>0</v>
      </c>
      <c r="R5825" s="26"/>
    </row>
    <row r="5826" spans="1:18" ht="15.75" customHeight="1">
      <c r="A5826" s="26"/>
      <c r="B5826" s="86"/>
      <c r="D5826" s="26"/>
      <c r="F5826" s="87" t="str">
        <f t="shared" si="0"/>
        <v/>
      </c>
      <c r="H5826" s="26" t="str">
        <f t="shared" si="1"/>
        <v/>
      </c>
      <c r="I5826" s="26" t="str">
        <f t="shared" si="2"/>
        <v/>
      </c>
      <c r="J5826" s="86">
        <f t="shared" si="3"/>
        <v>0</v>
      </c>
      <c r="R5826" s="26"/>
    </row>
    <row r="5827" spans="1:18" ht="15.75" customHeight="1">
      <c r="A5827" s="26"/>
      <c r="B5827" s="86"/>
      <c r="D5827" s="26"/>
      <c r="F5827" s="87" t="str">
        <f t="shared" si="0"/>
        <v/>
      </c>
      <c r="H5827" s="26" t="str">
        <f t="shared" si="1"/>
        <v/>
      </c>
      <c r="I5827" s="26" t="str">
        <f t="shared" si="2"/>
        <v/>
      </c>
      <c r="J5827" s="86">
        <f t="shared" si="3"/>
        <v>0</v>
      </c>
      <c r="R5827" s="26"/>
    </row>
    <row r="5828" spans="1:18" ht="15.75" customHeight="1">
      <c r="A5828" s="26"/>
      <c r="B5828" s="86"/>
      <c r="D5828" s="26"/>
      <c r="F5828" s="87" t="str">
        <f t="shared" si="0"/>
        <v/>
      </c>
      <c r="H5828" s="26" t="str">
        <f t="shared" si="1"/>
        <v/>
      </c>
      <c r="I5828" s="26" t="str">
        <f t="shared" si="2"/>
        <v/>
      </c>
      <c r="J5828" s="86">
        <f t="shared" si="3"/>
        <v>0</v>
      </c>
      <c r="R5828" s="26"/>
    </row>
    <row r="5829" spans="1:18" ht="15.75" customHeight="1">
      <c r="A5829" s="26"/>
      <c r="B5829" s="86"/>
      <c r="D5829" s="26"/>
      <c r="F5829" s="87" t="str">
        <f t="shared" si="0"/>
        <v/>
      </c>
      <c r="H5829" s="26" t="str">
        <f t="shared" si="1"/>
        <v/>
      </c>
      <c r="I5829" s="26" t="str">
        <f t="shared" si="2"/>
        <v/>
      </c>
      <c r="J5829" s="86">
        <f t="shared" si="3"/>
        <v>0</v>
      </c>
      <c r="R5829" s="26"/>
    </row>
    <row r="5830" spans="1:18" ht="15.75" customHeight="1">
      <c r="A5830" s="26"/>
      <c r="B5830" s="86"/>
      <c r="D5830" s="26"/>
      <c r="F5830" s="87" t="str">
        <f t="shared" si="0"/>
        <v/>
      </c>
      <c r="H5830" s="26" t="str">
        <f t="shared" si="1"/>
        <v/>
      </c>
      <c r="I5830" s="26" t="str">
        <f t="shared" si="2"/>
        <v/>
      </c>
      <c r="J5830" s="86">
        <f t="shared" si="3"/>
        <v>0</v>
      </c>
      <c r="R5830" s="26"/>
    </row>
    <row r="5831" spans="1:18" ht="15.75" customHeight="1">
      <c r="A5831" s="26"/>
      <c r="B5831" s="86"/>
      <c r="D5831" s="26"/>
      <c r="F5831" s="87" t="str">
        <f t="shared" si="0"/>
        <v/>
      </c>
      <c r="H5831" s="26" t="str">
        <f t="shared" si="1"/>
        <v/>
      </c>
      <c r="I5831" s="26" t="str">
        <f t="shared" si="2"/>
        <v/>
      </c>
      <c r="J5831" s="86">
        <f t="shared" si="3"/>
        <v>0</v>
      </c>
      <c r="R5831" s="26"/>
    </row>
    <row r="5832" spans="1:18" ht="15.75" customHeight="1">
      <c r="A5832" s="26"/>
      <c r="B5832" s="86"/>
      <c r="D5832" s="26"/>
      <c r="F5832" s="87" t="str">
        <f t="shared" si="0"/>
        <v/>
      </c>
      <c r="H5832" s="26" t="str">
        <f t="shared" si="1"/>
        <v/>
      </c>
      <c r="I5832" s="26" t="str">
        <f t="shared" si="2"/>
        <v/>
      </c>
      <c r="J5832" s="86">
        <f t="shared" si="3"/>
        <v>0</v>
      </c>
      <c r="R5832" s="26"/>
    </row>
    <row r="5833" spans="1:18" ht="15.75" customHeight="1">
      <c r="A5833" s="26"/>
      <c r="B5833" s="86"/>
      <c r="D5833" s="26"/>
      <c r="F5833" s="87" t="str">
        <f t="shared" si="0"/>
        <v/>
      </c>
      <c r="H5833" s="26" t="str">
        <f t="shared" si="1"/>
        <v/>
      </c>
      <c r="I5833" s="26" t="str">
        <f t="shared" si="2"/>
        <v/>
      </c>
      <c r="J5833" s="86">
        <f t="shared" si="3"/>
        <v>0</v>
      </c>
      <c r="R5833" s="26"/>
    </row>
    <row r="5834" spans="1:18" ht="15.75" customHeight="1">
      <c r="A5834" s="26"/>
      <c r="B5834" s="86"/>
      <c r="D5834" s="26"/>
      <c r="F5834" s="87" t="str">
        <f t="shared" si="0"/>
        <v/>
      </c>
      <c r="H5834" s="26" t="str">
        <f t="shared" si="1"/>
        <v/>
      </c>
      <c r="I5834" s="26" t="str">
        <f t="shared" si="2"/>
        <v/>
      </c>
      <c r="J5834" s="86">
        <f t="shared" si="3"/>
        <v>0</v>
      </c>
      <c r="R5834" s="26"/>
    </row>
    <row r="5835" spans="1:18" ht="15.75" customHeight="1">
      <c r="A5835" s="26"/>
      <c r="B5835" s="86"/>
      <c r="D5835" s="26"/>
      <c r="F5835" s="87" t="str">
        <f t="shared" si="0"/>
        <v/>
      </c>
      <c r="H5835" s="26" t="str">
        <f t="shared" si="1"/>
        <v/>
      </c>
      <c r="I5835" s="26" t="str">
        <f t="shared" si="2"/>
        <v/>
      </c>
      <c r="J5835" s="86">
        <f t="shared" si="3"/>
        <v>0</v>
      </c>
      <c r="R5835" s="26"/>
    </row>
    <row r="5836" spans="1:18" ht="15.75" customHeight="1">
      <c r="A5836" s="26"/>
      <c r="B5836" s="86"/>
      <c r="D5836" s="26"/>
      <c r="F5836" s="87" t="str">
        <f t="shared" si="0"/>
        <v/>
      </c>
      <c r="H5836" s="26" t="str">
        <f t="shared" si="1"/>
        <v/>
      </c>
      <c r="I5836" s="26" t="str">
        <f t="shared" si="2"/>
        <v/>
      </c>
      <c r="J5836" s="86">
        <f t="shared" si="3"/>
        <v>0</v>
      </c>
      <c r="R5836" s="26"/>
    </row>
    <row r="5837" spans="1:18" ht="15.75" customHeight="1">
      <c r="A5837" s="26"/>
      <c r="B5837" s="86"/>
      <c r="D5837" s="26"/>
      <c r="F5837" s="87" t="str">
        <f t="shared" si="0"/>
        <v/>
      </c>
      <c r="H5837" s="26" t="str">
        <f t="shared" si="1"/>
        <v/>
      </c>
      <c r="I5837" s="26" t="str">
        <f t="shared" si="2"/>
        <v/>
      </c>
      <c r="J5837" s="86">
        <f t="shared" si="3"/>
        <v>0</v>
      </c>
      <c r="R5837" s="26"/>
    </row>
    <row r="5838" spans="1:18" ht="15.75" customHeight="1">
      <c r="A5838" s="26"/>
      <c r="B5838" s="86"/>
      <c r="D5838" s="26"/>
      <c r="F5838" s="87" t="str">
        <f t="shared" si="0"/>
        <v/>
      </c>
      <c r="H5838" s="26" t="str">
        <f t="shared" si="1"/>
        <v/>
      </c>
      <c r="I5838" s="26" t="str">
        <f t="shared" si="2"/>
        <v/>
      </c>
      <c r="J5838" s="86">
        <f t="shared" si="3"/>
        <v>0</v>
      </c>
      <c r="R5838" s="26"/>
    </row>
    <row r="5839" spans="1:18" ht="15.75" customHeight="1">
      <c r="A5839" s="26"/>
      <c r="B5839" s="86"/>
      <c r="D5839" s="26"/>
      <c r="F5839" s="87" t="str">
        <f t="shared" si="0"/>
        <v/>
      </c>
      <c r="H5839" s="26" t="str">
        <f t="shared" si="1"/>
        <v/>
      </c>
      <c r="I5839" s="26" t="str">
        <f t="shared" si="2"/>
        <v/>
      </c>
      <c r="J5839" s="86">
        <f t="shared" si="3"/>
        <v>0</v>
      </c>
      <c r="R5839" s="26"/>
    </row>
    <row r="5840" spans="1:18" ht="15.75" customHeight="1">
      <c r="A5840" s="26"/>
      <c r="B5840" s="86"/>
      <c r="D5840" s="26"/>
      <c r="F5840" s="87" t="str">
        <f t="shared" si="0"/>
        <v/>
      </c>
      <c r="H5840" s="26" t="str">
        <f t="shared" si="1"/>
        <v/>
      </c>
      <c r="I5840" s="26" t="str">
        <f t="shared" si="2"/>
        <v/>
      </c>
      <c r="J5840" s="86">
        <f t="shared" si="3"/>
        <v>0</v>
      </c>
      <c r="R5840" s="26"/>
    </row>
    <row r="5841" spans="1:18" ht="15.75" customHeight="1">
      <c r="A5841" s="26"/>
      <c r="B5841" s="86"/>
      <c r="D5841" s="26"/>
      <c r="F5841" s="87" t="str">
        <f t="shared" si="0"/>
        <v/>
      </c>
      <c r="H5841" s="26" t="str">
        <f t="shared" si="1"/>
        <v/>
      </c>
      <c r="I5841" s="26" t="str">
        <f t="shared" si="2"/>
        <v/>
      </c>
      <c r="J5841" s="86">
        <f t="shared" si="3"/>
        <v>0</v>
      </c>
      <c r="R5841" s="26"/>
    </row>
    <row r="5842" spans="1:18" ht="15.75" customHeight="1">
      <c r="A5842" s="26"/>
      <c r="B5842" s="86"/>
      <c r="D5842" s="26"/>
      <c r="F5842" s="87" t="str">
        <f t="shared" si="0"/>
        <v/>
      </c>
      <c r="H5842" s="26" t="str">
        <f t="shared" si="1"/>
        <v/>
      </c>
      <c r="I5842" s="26" t="str">
        <f t="shared" si="2"/>
        <v/>
      </c>
      <c r="J5842" s="86">
        <f t="shared" si="3"/>
        <v>0</v>
      </c>
      <c r="R5842" s="26"/>
    </row>
    <row r="5843" spans="1:18" ht="15.75" customHeight="1">
      <c r="A5843" s="26"/>
      <c r="B5843" s="86"/>
      <c r="D5843" s="26"/>
      <c r="F5843" s="87" t="str">
        <f t="shared" si="0"/>
        <v/>
      </c>
      <c r="H5843" s="26" t="str">
        <f t="shared" si="1"/>
        <v/>
      </c>
      <c r="I5843" s="26" t="str">
        <f t="shared" si="2"/>
        <v/>
      </c>
      <c r="J5843" s="86">
        <f t="shared" si="3"/>
        <v>0</v>
      </c>
      <c r="R5843" s="26"/>
    </row>
    <row r="5844" spans="1:18" ht="15.75" customHeight="1">
      <c r="A5844" s="26"/>
      <c r="B5844" s="86"/>
      <c r="D5844" s="26"/>
      <c r="F5844" s="87" t="str">
        <f t="shared" si="0"/>
        <v/>
      </c>
      <c r="H5844" s="26" t="str">
        <f t="shared" si="1"/>
        <v/>
      </c>
      <c r="I5844" s="26" t="str">
        <f t="shared" si="2"/>
        <v/>
      </c>
      <c r="J5844" s="86">
        <f t="shared" si="3"/>
        <v>0</v>
      </c>
      <c r="R5844" s="26"/>
    </row>
    <row r="5845" spans="1:18" ht="15.75" customHeight="1">
      <c r="A5845" s="26"/>
      <c r="B5845" s="86"/>
      <c r="D5845" s="26"/>
      <c r="F5845" s="87" t="str">
        <f t="shared" si="0"/>
        <v/>
      </c>
      <c r="H5845" s="26" t="str">
        <f t="shared" si="1"/>
        <v/>
      </c>
      <c r="I5845" s="26" t="str">
        <f t="shared" si="2"/>
        <v/>
      </c>
      <c r="J5845" s="86">
        <f t="shared" si="3"/>
        <v>0</v>
      </c>
      <c r="R5845" s="26"/>
    </row>
    <row r="5846" spans="1:18" ht="15.75" customHeight="1">
      <c r="A5846" s="26"/>
      <c r="B5846" s="86"/>
      <c r="D5846" s="26"/>
      <c r="F5846" s="87" t="str">
        <f t="shared" si="0"/>
        <v/>
      </c>
      <c r="H5846" s="26" t="str">
        <f t="shared" si="1"/>
        <v/>
      </c>
      <c r="I5846" s="26" t="str">
        <f t="shared" si="2"/>
        <v/>
      </c>
      <c r="J5846" s="86">
        <f t="shared" si="3"/>
        <v>0</v>
      </c>
      <c r="R5846" s="26"/>
    </row>
    <row r="5847" spans="1:18" ht="15.75" customHeight="1">
      <c r="A5847" s="26"/>
      <c r="B5847" s="86"/>
      <c r="D5847" s="26"/>
      <c r="F5847" s="87" t="str">
        <f t="shared" si="0"/>
        <v/>
      </c>
      <c r="H5847" s="26" t="str">
        <f t="shared" si="1"/>
        <v/>
      </c>
      <c r="I5847" s="26" t="str">
        <f t="shared" si="2"/>
        <v/>
      </c>
      <c r="J5847" s="86">
        <f t="shared" si="3"/>
        <v>0</v>
      </c>
      <c r="R5847" s="26"/>
    </row>
    <row r="5848" spans="1:18" ht="15.75" customHeight="1">
      <c r="A5848" s="26"/>
      <c r="B5848" s="86"/>
      <c r="D5848" s="26"/>
      <c r="F5848" s="87" t="str">
        <f t="shared" si="0"/>
        <v/>
      </c>
      <c r="H5848" s="26" t="str">
        <f t="shared" si="1"/>
        <v/>
      </c>
      <c r="I5848" s="26" t="str">
        <f t="shared" si="2"/>
        <v/>
      </c>
      <c r="J5848" s="86">
        <f t="shared" si="3"/>
        <v>0</v>
      </c>
      <c r="R5848" s="26"/>
    </row>
    <row r="5849" spans="1:18" ht="15.75" customHeight="1">
      <c r="A5849" s="26"/>
      <c r="B5849" s="86"/>
      <c r="D5849" s="26"/>
      <c r="F5849" s="87" t="str">
        <f t="shared" si="0"/>
        <v/>
      </c>
      <c r="H5849" s="26" t="str">
        <f t="shared" si="1"/>
        <v/>
      </c>
      <c r="I5849" s="26" t="str">
        <f t="shared" si="2"/>
        <v/>
      </c>
      <c r="J5849" s="86">
        <f t="shared" si="3"/>
        <v>0</v>
      </c>
      <c r="R5849" s="26"/>
    </row>
    <row r="5850" spans="1:18" ht="15.75" customHeight="1">
      <c r="A5850" s="26"/>
      <c r="B5850" s="86"/>
      <c r="D5850" s="26"/>
      <c r="F5850" s="87" t="str">
        <f t="shared" si="0"/>
        <v/>
      </c>
      <c r="H5850" s="26" t="str">
        <f t="shared" si="1"/>
        <v/>
      </c>
      <c r="I5850" s="26" t="str">
        <f t="shared" si="2"/>
        <v/>
      </c>
      <c r="J5850" s="86">
        <f t="shared" si="3"/>
        <v>0</v>
      </c>
      <c r="R5850" s="26"/>
    </row>
    <row r="5851" spans="1:18" ht="15.75" customHeight="1">
      <c r="A5851" s="26"/>
      <c r="B5851" s="86"/>
      <c r="D5851" s="26"/>
      <c r="F5851" s="87" t="str">
        <f t="shared" si="0"/>
        <v/>
      </c>
      <c r="H5851" s="26" t="str">
        <f t="shared" si="1"/>
        <v/>
      </c>
      <c r="I5851" s="26" t="str">
        <f t="shared" si="2"/>
        <v/>
      </c>
      <c r="J5851" s="86">
        <f t="shared" si="3"/>
        <v>0</v>
      </c>
      <c r="R5851" s="26"/>
    </row>
    <row r="5852" spans="1:18" ht="15.75" customHeight="1">
      <c r="A5852" s="26"/>
      <c r="B5852" s="86"/>
      <c r="D5852" s="26"/>
      <c r="F5852" s="87" t="str">
        <f t="shared" si="0"/>
        <v/>
      </c>
      <c r="H5852" s="26" t="str">
        <f t="shared" si="1"/>
        <v/>
      </c>
      <c r="I5852" s="26" t="str">
        <f t="shared" si="2"/>
        <v/>
      </c>
      <c r="J5852" s="86">
        <f t="shared" si="3"/>
        <v>0</v>
      </c>
      <c r="R5852" s="26"/>
    </row>
    <row r="5853" spans="1:18" ht="15.75" customHeight="1">
      <c r="A5853" s="26"/>
      <c r="B5853" s="86"/>
      <c r="D5853" s="26"/>
      <c r="F5853" s="87" t="str">
        <f t="shared" si="0"/>
        <v/>
      </c>
      <c r="H5853" s="26" t="str">
        <f t="shared" si="1"/>
        <v/>
      </c>
      <c r="I5853" s="26" t="str">
        <f t="shared" si="2"/>
        <v/>
      </c>
      <c r="J5853" s="86">
        <f t="shared" si="3"/>
        <v>0</v>
      </c>
      <c r="R5853" s="26"/>
    </row>
    <row r="5854" spans="1:18" ht="15.75" customHeight="1">
      <c r="A5854" s="26"/>
      <c r="B5854" s="86"/>
      <c r="D5854" s="26"/>
      <c r="F5854" s="87" t="str">
        <f t="shared" si="0"/>
        <v/>
      </c>
      <c r="H5854" s="26" t="str">
        <f t="shared" si="1"/>
        <v/>
      </c>
      <c r="I5854" s="26" t="str">
        <f t="shared" si="2"/>
        <v/>
      </c>
      <c r="J5854" s="86">
        <f t="shared" si="3"/>
        <v>0</v>
      </c>
      <c r="R5854" s="26"/>
    </row>
    <row r="5855" spans="1:18" ht="15.75" customHeight="1">
      <c r="A5855" s="26"/>
      <c r="B5855" s="86"/>
      <c r="D5855" s="26"/>
      <c r="F5855" s="87" t="str">
        <f t="shared" si="0"/>
        <v/>
      </c>
      <c r="H5855" s="26" t="str">
        <f t="shared" si="1"/>
        <v/>
      </c>
      <c r="I5855" s="26" t="str">
        <f t="shared" si="2"/>
        <v/>
      </c>
      <c r="J5855" s="86">
        <f t="shared" si="3"/>
        <v>0</v>
      </c>
      <c r="R5855" s="26"/>
    </row>
    <row r="5856" spans="1:18" ht="15.75" customHeight="1">
      <c r="A5856" s="26"/>
      <c r="B5856" s="86"/>
      <c r="D5856" s="26"/>
      <c r="F5856" s="87" t="str">
        <f t="shared" si="0"/>
        <v/>
      </c>
      <c r="H5856" s="26" t="str">
        <f t="shared" si="1"/>
        <v/>
      </c>
      <c r="I5856" s="26" t="str">
        <f t="shared" si="2"/>
        <v/>
      </c>
      <c r="J5856" s="86">
        <f t="shared" si="3"/>
        <v>0</v>
      </c>
      <c r="R5856" s="26"/>
    </row>
    <row r="5857" spans="1:18" ht="15.75" customHeight="1">
      <c r="A5857" s="26"/>
      <c r="B5857" s="86"/>
      <c r="D5857" s="26"/>
      <c r="F5857" s="87" t="str">
        <f t="shared" si="0"/>
        <v/>
      </c>
      <c r="H5857" s="26" t="str">
        <f t="shared" si="1"/>
        <v/>
      </c>
      <c r="I5857" s="26" t="str">
        <f t="shared" si="2"/>
        <v/>
      </c>
      <c r="J5857" s="86">
        <f t="shared" si="3"/>
        <v>0</v>
      </c>
      <c r="R5857" s="26"/>
    </row>
    <row r="5858" spans="1:18" ht="15.75" customHeight="1">
      <c r="A5858" s="26"/>
      <c r="B5858" s="86"/>
      <c r="D5858" s="26"/>
      <c r="F5858" s="87" t="str">
        <f t="shared" si="0"/>
        <v/>
      </c>
      <c r="H5858" s="26" t="str">
        <f t="shared" si="1"/>
        <v/>
      </c>
      <c r="I5858" s="26" t="str">
        <f t="shared" si="2"/>
        <v/>
      </c>
      <c r="J5858" s="86">
        <f t="shared" si="3"/>
        <v>0</v>
      </c>
      <c r="R5858" s="26"/>
    </row>
    <row r="5859" spans="1:18" ht="15.75" customHeight="1">
      <c r="A5859" s="26"/>
      <c r="B5859" s="86"/>
      <c r="D5859" s="26"/>
      <c r="F5859" s="87" t="str">
        <f t="shared" si="0"/>
        <v/>
      </c>
      <c r="H5859" s="26" t="str">
        <f t="shared" si="1"/>
        <v/>
      </c>
      <c r="I5859" s="26" t="str">
        <f t="shared" si="2"/>
        <v/>
      </c>
      <c r="J5859" s="86">
        <f t="shared" si="3"/>
        <v>0</v>
      </c>
      <c r="R5859" s="26"/>
    </row>
    <row r="5860" spans="1:18" ht="15.75" customHeight="1">
      <c r="A5860" s="26"/>
      <c r="B5860" s="86"/>
      <c r="D5860" s="26"/>
      <c r="F5860" s="87" t="str">
        <f t="shared" si="0"/>
        <v/>
      </c>
      <c r="H5860" s="26" t="str">
        <f t="shared" si="1"/>
        <v/>
      </c>
      <c r="I5860" s="26" t="str">
        <f t="shared" si="2"/>
        <v/>
      </c>
      <c r="J5860" s="86">
        <f t="shared" si="3"/>
        <v>0</v>
      </c>
      <c r="R5860" s="26"/>
    </row>
    <row r="5861" spans="1:18" ht="15.75" customHeight="1">
      <c r="A5861" s="26"/>
      <c r="B5861" s="86"/>
      <c r="D5861" s="26"/>
      <c r="F5861" s="87" t="str">
        <f t="shared" si="0"/>
        <v/>
      </c>
      <c r="H5861" s="26" t="str">
        <f t="shared" si="1"/>
        <v/>
      </c>
      <c r="I5861" s="26" t="str">
        <f t="shared" si="2"/>
        <v/>
      </c>
      <c r="J5861" s="86">
        <f t="shared" si="3"/>
        <v>0</v>
      </c>
      <c r="R5861" s="26"/>
    </row>
    <row r="5862" spans="1:18" ht="15.75" customHeight="1">
      <c r="A5862" s="26"/>
      <c r="B5862" s="86"/>
      <c r="D5862" s="26"/>
      <c r="F5862" s="87" t="str">
        <f t="shared" si="0"/>
        <v/>
      </c>
      <c r="H5862" s="26" t="str">
        <f t="shared" si="1"/>
        <v/>
      </c>
      <c r="I5862" s="26" t="str">
        <f t="shared" si="2"/>
        <v/>
      </c>
      <c r="J5862" s="86">
        <f t="shared" si="3"/>
        <v>0</v>
      </c>
      <c r="R5862" s="26"/>
    </row>
    <row r="5863" spans="1:18" ht="15.75" customHeight="1">
      <c r="A5863" s="26"/>
      <c r="B5863" s="86"/>
      <c r="D5863" s="26"/>
      <c r="F5863" s="87" t="str">
        <f t="shared" si="0"/>
        <v/>
      </c>
      <c r="H5863" s="26" t="str">
        <f t="shared" si="1"/>
        <v/>
      </c>
      <c r="I5863" s="26" t="str">
        <f t="shared" si="2"/>
        <v/>
      </c>
      <c r="J5863" s="86">
        <f t="shared" si="3"/>
        <v>0</v>
      </c>
      <c r="R5863" s="26"/>
    </row>
    <row r="5864" spans="1:18" ht="15.75" customHeight="1">
      <c r="A5864" s="26"/>
      <c r="B5864" s="86"/>
      <c r="D5864" s="26"/>
      <c r="F5864" s="87" t="str">
        <f t="shared" si="0"/>
        <v/>
      </c>
      <c r="H5864" s="26" t="str">
        <f t="shared" si="1"/>
        <v/>
      </c>
      <c r="I5864" s="26" t="str">
        <f t="shared" si="2"/>
        <v/>
      </c>
      <c r="J5864" s="86">
        <f t="shared" si="3"/>
        <v>0</v>
      </c>
      <c r="R5864" s="26"/>
    </row>
    <row r="5865" spans="1:18" ht="15.75" customHeight="1">
      <c r="A5865" s="26"/>
      <c r="B5865" s="86"/>
      <c r="D5865" s="26"/>
      <c r="F5865" s="87" t="str">
        <f t="shared" si="0"/>
        <v/>
      </c>
      <c r="H5865" s="26" t="str">
        <f t="shared" si="1"/>
        <v/>
      </c>
      <c r="I5865" s="26" t="str">
        <f t="shared" si="2"/>
        <v/>
      </c>
      <c r="J5865" s="86">
        <f t="shared" si="3"/>
        <v>0</v>
      </c>
      <c r="R5865" s="26"/>
    </row>
    <row r="5866" spans="1:18" ht="15.75" customHeight="1">
      <c r="A5866" s="26"/>
      <c r="B5866" s="86"/>
      <c r="D5866" s="26"/>
      <c r="F5866" s="87" t="str">
        <f t="shared" si="0"/>
        <v/>
      </c>
      <c r="H5866" s="26" t="str">
        <f t="shared" si="1"/>
        <v/>
      </c>
      <c r="I5866" s="26" t="str">
        <f t="shared" si="2"/>
        <v/>
      </c>
      <c r="J5866" s="86">
        <f t="shared" si="3"/>
        <v>0</v>
      </c>
      <c r="R5866" s="26"/>
    </row>
    <row r="5867" spans="1:18" ht="15.75" customHeight="1">
      <c r="A5867" s="26"/>
      <c r="B5867" s="86"/>
      <c r="D5867" s="26"/>
      <c r="F5867" s="87" t="str">
        <f t="shared" si="0"/>
        <v/>
      </c>
      <c r="H5867" s="26" t="str">
        <f t="shared" si="1"/>
        <v/>
      </c>
      <c r="I5867" s="26" t="str">
        <f t="shared" si="2"/>
        <v/>
      </c>
      <c r="J5867" s="86">
        <f t="shared" si="3"/>
        <v>0</v>
      </c>
      <c r="R5867" s="26"/>
    </row>
    <row r="5868" spans="1:18" ht="15.75" customHeight="1">
      <c r="A5868" s="26"/>
      <c r="B5868" s="86"/>
      <c r="D5868" s="26"/>
      <c r="F5868" s="87" t="str">
        <f t="shared" si="0"/>
        <v/>
      </c>
      <c r="H5868" s="26" t="str">
        <f t="shared" si="1"/>
        <v/>
      </c>
      <c r="I5868" s="26" t="str">
        <f t="shared" si="2"/>
        <v/>
      </c>
      <c r="J5868" s="86">
        <f t="shared" si="3"/>
        <v>0</v>
      </c>
      <c r="R5868" s="26"/>
    </row>
    <row r="5869" spans="1:18" ht="15.75" customHeight="1">
      <c r="A5869" s="26"/>
      <c r="B5869" s="86"/>
      <c r="D5869" s="26"/>
      <c r="F5869" s="87" t="str">
        <f t="shared" si="0"/>
        <v/>
      </c>
      <c r="H5869" s="26" t="str">
        <f t="shared" si="1"/>
        <v/>
      </c>
      <c r="I5869" s="26" t="str">
        <f t="shared" si="2"/>
        <v/>
      </c>
      <c r="J5869" s="86">
        <f t="shared" si="3"/>
        <v>0</v>
      </c>
      <c r="R5869" s="26"/>
    </row>
    <row r="5870" spans="1:18" ht="15.75" customHeight="1">
      <c r="A5870" s="26"/>
      <c r="B5870" s="86"/>
      <c r="D5870" s="26"/>
      <c r="F5870" s="87" t="str">
        <f t="shared" si="0"/>
        <v/>
      </c>
      <c r="H5870" s="26" t="str">
        <f t="shared" si="1"/>
        <v/>
      </c>
      <c r="I5870" s="26" t="str">
        <f t="shared" si="2"/>
        <v/>
      </c>
      <c r="J5870" s="86">
        <f t="shared" si="3"/>
        <v>0</v>
      </c>
      <c r="R5870" s="26"/>
    </row>
    <row r="5871" spans="1:18" ht="15.75" customHeight="1">
      <c r="A5871" s="26"/>
      <c r="B5871" s="86"/>
      <c r="D5871" s="26"/>
      <c r="F5871" s="87" t="str">
        <f t="shared" si="0"/>
        <v/>
      </c>
      <c r="H5871" s="26" t="str">
        <f t="shared" si="1"/>
        <v/>
      </c>
      <c r="I5871" s="26" t="str">
        <f t="shared" si="2"/>
        <v/>
      </c>
      <c r="J5871" s="86">
        <f t="shared" si="3"/>
        <v>0</v>
      </c>
      <c r="R5871" s="26"/>
    </row>
    <row r="5872" spans="1:18" ht="15.75" customHeight="1">
      <c r="A5872" s="26"/>
      <c r="B5872" s="86"/>
      <c r="D5872" s="26"/>
      <c r="F5872" s="87" t="str">
        <f t="shared" si="0"/>
        <v/>
      </c>
      <c r="H5872" s="26" t="str">
        <f t="shared" si="1"/>
        <v/>
      </c>
      <c r="I5872" s="26" t="str">
        <f t="shared" si="2"/>
        <v/>
      </c>
      <c r="J5872" s="86">
        <f t="shared" si="3"/>
        <v>0</v>
      </c>
      <c r="R5872" s="26"/>
    </row>
    <row r="5873" spans="1:18" ht="15.75" customHeight="1">
      <c r="A5873" s="26"/>
      <c r="B5873" s="86"/>
      <c r="D5873" s="26"/>
      <c r="F5873" s="87" t="str">
        <f t="shared" si="0"/>
        <v/>
      </c>
      <c r="H5873" s="26" t="str">
        <f t="shared" si="1"/>
        <v/>
      </c>
      <c r="I5873" s="26" t="str">
        <f t="shared" si="2"/>
        <v/>
      </c>
      <c r="J5873" s="86">
        <f t="shared" si="3"/>
        <v>0</v>
      </c>
      <c r="R5873" s="26"/>
    </row>
    <row r="5874" spans="1:18" ht="15.75" customHeight="1">
      <c r="A5874" s="26"/>
      <c r="B5874" s="86"/>
      <c r="D5874" s="26"/>
      <c r="F5874" s="87" t="str">
        <f t="shared" si="0"/>
        <v/>
      </c>
      <c r="H5874" s="26" t="str">
        <f t="shared" si="1"/>
        <v/>
      </c>
      <c r="I5874" s="26" t="str">
        <f t="shared" si="2"/>
        <v/>
      </c>
      <c r="J5874" s="86">
        <f t="shared" si="3"/>
        <v>0</v>
      </c>
      <c r="R5874" s="26"/>
    </row>
    <row r="5875" spans="1:18" ht="15.75" customHeight="1">
      <c r="A5875" s="26"/>
      <c r="B5875" s="86"/>
      <c r="D5875" s="26"/>
      <c r="F5875" s="87" t="str">
        <f t="shared" si="0"/>
        <v/>
      </c>
      <c r="H5875" s="26" t="str">
        <f t="shared" si="1"/>
        <v/>
      </c>
      <c r="I5875" s="26" t="str">
        <f t="shared" si="2"/>
        <v/>
      </c>
      <c r="J5875" s="86">
        <f t="shared" si="3"/>
        <v>0</v>
      </c>
      <c r="R5875" s="26"/>
    </row>
    <row r="5876" spans="1:18" ht="15.75" customHeight="1">
      <c r="A5876" s="26"/>
      <c r="B5876" s="86"/>
      <c r="D5876" s="26"/>
      <c r="F5876" s="87" t="str">
        <f t="shared" si="0"/>
        <v/>
      </c>
      <c r="H5876" s="26" t="str">
        <f t="shared" si="1"/>
        <v/>
      </c>
      <c r="I5876" s="26" t="str">
        <f t="shared" si="2"/>
        <v/>
      </c>
      <c r="J5876" s="86">
        <f t="shared" si="3"/>
        <v>0</v>
      </c>
      <c r="R5876" s="26"/>
    </row>
    <row r="5877" spans="1:18" ht="15.75" customHeight="1">
      <c r="A5877" s="26"/>
      <c r="B5877" s="86"/>
      <c r="D5877" s="26"/>
      <c r="F5877" s="87" t="str">
        <f t="shared" si="0"/>
        <v/>
      </c>
      <c r="H5877" s="26" t="str">
        <f t="shared" si="1"/>
        <v/>
      </c>
      <c r="I5877" s="26" t="str">
        <f t="shared" si="2"/>
        <v/>
      </c>
      <c r="J5877" s="86">
        <f t="shared" si="3"/>
        <v>0</v>
      </c>
      <c r="R5877" s="26"/>
    </row>
    <row r="5878" spans="1:18" ht="15.75" customHeight="1">
      <c r="A5878" s="26"/>
      <c r="B5878" s="86"/>
      <c r="D5878" s="26"/>
      <c r="F5878" s="87" t="str">
        <f t="shared" si="0"/>
        <v/>
      </c>
      <c r="H5878" s="26" t="str">
        <f t="shared" si="1"/>
        <v/>
      </c>
      <c r="I5878" s="26" t="str">
        <f t="shared" si="2"/>
        <v/>
      </c>
      <c r="J5878" s="86">
        <f t="shared" si="3"/>
        <v>0</v>
      </c>
      <c r="R5878" s="26"/>
    </row>
    <row r="5879" spans="1:18" ht="15.75" customHeight="1">
      <c r="A5879" s="26"/>
      <c r="B5879" s="86"/>
      <c r="D5879" s="26"/>
      <c r="F5879" s="87" t="str">
        <f t="shared" si="0"/>
        <v/>
      </c>
      <c r="H5879" s="26" t="str">
        <f t="shared" si="1"/>
        <v/>
      </c>
      <c r="I5879" s="26" t="str">
        <f t="shared" si="2"/>
        <v/>
      </c>
      <c r="J5879" s="86">
        <f t="shared" si="3"/>
        <v>0</v>
      </c>
      <c r="R5879" s="26"/>
    </row>
    <row r="5880" spans="1:18" ht="15.75" customHeight="1">
      <c r="A5880" s="26"/>
      <c r="B5880" s="86"/>
      <c r="D5880" s="26"/>
      <c r="F5880" s="87" t="str">
        <f t="shared" si="0"/>
        <v/>
      </c>
      <c r="H5880" s="26" t="str">
        <f t="shared" si="1"/>
        <v/>
      </c>
      <c r="I5880" s="26" t="str">
        <f t="shared" si="2"/>
        <v/>
      </c>
      <c r="J5880" s="86">
        <f t="shared" si="3"/>
        <v>0</v>
      </c>
      <c r="R5880" s="26"/>
    </row>
    <row r="5881" spans="1:18" ht="15.75" customHeight="1">
      <c r="A5881" s="26"/>
      <c r="B5881" s="86"/>
      <c r="D5881" s="26"/>
      <c r="F5881" s="87" t="str">
        <f t="shared" si="0"/>
        <v/>
      </c>
      <c r="H5881" s="26" t="str">
        <f t="shared" si="1"/>
        <v/>
      </c>
      <c r="I5881" s="26" t="str">
        <f t="shared" si="2"/>
        <v/>
      </c>
      <c r="J5881" s="86">
        <f t="shared" si="3"/>
        <v>0</v>
      </c>
      <c r="R5881" s="26"/>
    </row>
    <row r="5882" spans="1:18" ht="15.75" customHeight="1">
      <c r="A5882" s="26"/>
      <c r="B5882" s="86"/>
      <c r="D5882" s="26"/>
      <c r="F5882" s="87" t="str">
        <f t="shared" si="0"/>
        <v/>
      </c>
      <c r="H5882" s="26" t="str">
        <f t="shared" si="1"/>
        <v/>
      </c>
      <c r="I5882" s="26" t="str">
        <f t="shared" si="2"/>
        <v/>
      </c>
      <c r="J5882" s="86">
        <f t="shared" si="3"/>
        <v>0</v>
      </c>
      <c r="R5882" s="26"/>
    </row>
    <row r="5883" spans="1:18" ht="15.75" customHeight="1">
      <c r="A5883" s="26"/>
      <c r="B5883" s="86"/>
      <c r="D5883" s="26"/>
      <c r="F5883" s="87" t="str">
        <f t="shared" si="0"/>
        <v/>
      </c>
      <c r="H5883" s="26" t="str">
        <f t="shared" si="1"/>
        <v/>
      </c>
      <c r="I5883" s="26" t="str">
        <f t="shared" si="2"/>
        <v/>
      </c>
      <c r="J5883" s="86">
        <f t="shared" si="3"/>
        <v>0</v>
      </c>
      <c r="R5883" s="26"/>
    </row>
    <row r="5884" spans="1:18" ht="15.75" customHeight="1">
      <c r="A5884" s="26"/>
      <c r="B5884" s="86"/>
      <c r="D5884" s="26"/>
      <c r="F5884" s="87" t="str">
        <f t="shared" si="0"/>
        <v/>
      </c>
      <c r="H5884" s="26" t="str">
        <f t="shared" si="1"/>
        <v/>
      </c>
      <c r="I5884" s="26" t="str">
        <f t="shared" si="2"/>
        <v/>
      </c>
      <c r="J5884" s="86">
        <f t="shared" si="3"/>
        <v>0</v>
      </c>
      <c r="R5884" s="26"/>
    </row>
    <row r="5885" spans="1:18" ht="15.75" customHeight="1">
      <c r="A5885" s="26"/>
      <c r="B5885" s="86"/>
      <c r="D5885" s="26"/>
      <c r="F5885" s="87" t="str">
        <f t="shared" si="0"/>
        <v/>
      </c>
      <c r="H5885" s="26" t="str">
        <f t="shared" si="1"/>
        <v/>
      </c>
      <c r="I5885" s="26" t="str">
        <f t="shared" si="2"/>
        <v/>
      </c>
      <c r="J5885" s="86">
        <f t="shared" si="3"/>
        <v>0</v>
      </c>
      <c r="R5885" s="26"/>
    </row>
    <row r="5886" spans="1:18" ht="15.75" customHeight="1">
      <c r="A5886" s="26"/>
      <c r="B5886" s="86"/>
      <c r="D5886" s="26"/>
      <c r="F5886" s="87" t="str">
        <f t="shared" si="0"/>
        <v/>
      </c>
      <c r="H5886" s="26" t="str">
        <f t="shared" si="1"/>
        <v/>
      </c>
      <c r="I5886" s="26" t="str">
        <f t="shared" si="2"/>
        <v/>
      </c>
      <c r="J5886" s="86">
        <f t="shared" si="3"/>
        <v>0</v>
      </c>
      <c r="R5886" s="26"/>
    </row>
    <row r="5887" spans="1:18" ht="15.75" customHeight="1">
      <c r="A5887" s="26"/>
      <c r="B5887" s="86"/>
      <c r="D5887" s="26"/>
      <c r="F5887" s="87" t="str">
        <f t="shared" si="0"/>
        <v/>
      </c>
      <c r="H5887" s="26" t="str">
        <f t="shared" si="1"/>
        <v/>
      </c>
      <c r="I5887" s="26" t="str">
        <f t="shared" si="2"/>
        <v/>
      </c>
      <c r="J5887" s="86">
        <f t="shared" si="3"/>
        <v>0</v>
      </c>
      <c r="R5887" s="26"/>
    </row>
    <row r="5888" spans="1:18" ht="15.75" customHeight="1">
      <c r="A5888" s="26"/>
      <c r="B5888" s="86"/>
      <c r="D5888" s="26"/>
      <c r="F5888" s="87" t="str">
        <f t="shared" si="0"/>
        <v/>
      </c>
      <c r="H5888" s="26" t="str">
        <f t="shared" si="1"/>
        <v/>
      </c>
      <c r="I5888" s="26" t="str">
        <f t="shared" si="2"/>
        <v/>
      </c>
      <c r="J5888" s="86">
        <f t="shared" si="3"/>
        <v>0</v>
      </c>
      <c r="R5888" s="26"/>
    </row>
    <row r="5889" spans="1:18" ht="15.75" customHeight="1">
      <c r="A5889" s="26"/>
      <c r="B5889" s="86"/>
      <c r="D5889" s="26"/>
      <c r="F5889" s="87" t="str">
        <f t="shared" si="0"/>
        <v/>
      </c>
      <c r="H5889" s="26" t="str">
        <f t="shared" si="1"/>
        <v/>
      </c>
      <c r="I5889" s="26" t="str">
        <f t="shared" si="2"/>
        <v/>
      </c>
      <c r="J5889" s="86">
        <f t="shared" si="3"/>
        <v>0</v>
      </c>
      <c r="R5889" s="26"/>
    </row>
    <row r="5890" spans="1:18" ht="15.75" customHeight="1">
      <c r="A5890" s="26"/>
      <c r="B5890" s="86"/>
      <c r="D5890" s="26"/>
      <c r="F5890" s="87" t="str">
        <f t="shared" si="0"/>
        <v/>
      </c>
      <c r="H5890" s="26" t="str">
        <f t="shared" si="1"/>
        <v/>
      </c>
      <c r="I5890" s="26" t="str">
        <f t="shared" si="2"/>
        <v/>
      </c>
      <c r="J5890" s="86">
        <f t="shared" si="3"/>
        <v>0</v>
      </c>
      <c r="R5890" s="26"/>
    </row>
    <row r="5891" spans="1:18" ht="15.75" customHeight="1">
      <c r="A5891" s="26"/>
      <c r="B5891" s="86"/>
      <c r="D5891" s="26"/>
      <c r="F5891" s="87" t="str">
        <f t="shared" si="0"/>
        <v/>
      </c>
      <c r="H5891" s="26" t="str">
        <f t="shared" si="1"/>
        <v/>
      </c>
      <c r="I5891" s="26" t="str">
        <f t="shared" si="2"/>
        <v/>
      </c>
      <c r="J5891" s="86">
        <f t="shared" si="3"/>
        <v>0</v>
      </c>
      <c r="R5891" s="26"/>
    </row>
    <row r="5892" spans="1:18" ht="15.75" customHeight="1">
      <c r="A5892" s="26"/>
      <c r="B5892" s="86"/>
      <c r="D5892" s="26"/>
      <c r="F5892" s="87" t="str">
        <f t="shared" si="0"/>
        <v/>
      </c>
      <c r="H5892" s="26" t="str">
        <f t="shared" si="1"/>
        <v/>
      </c>
      <c r="I5892" s="26" t="str">
        <f t="shared" si="2"/>
        <v/>
      </c>
      <c r="J5892" s="86">
        <f t="shared" si="3"/>
        <v>0</v>
      </c>
      <c r="R5892" s="26"/>
    </row>
    <row r="5893" spans="1:18" ht="15.75" customHeight="1">
      <c r="A5893" s="26"/>
      <c r="B5893" s="86"/>
      <c r="D5893" s="26"/>
      <c r="F5893" s="87" t="str">
        <f t="shared" si="0"/>
        <v/>
      </c>
      <c r="H5893" s="26" t="str">
        <f t="shared" si="1"/>
        <v/>
      </c>
      <c r="I5893" s="26" t="str">
        <f t="shared" si="2"/>
        <v/>
      </c>
      <c r="J5893" s="86">
        <f t="shared" si="3"/>
        <v>0</v>
      </c>
      <c r="R5893" s="26"/>
    </row>
    <row r="5894" spans="1:18" ht="15.75" customHeight="1">
      <c r="A5894" s="26"/>
      <c r="B5894" s="86"/>
      <c r="D5894" s="26"/>
      <c r="F5894" s="87" t="str">
        <f t="shared" si="0"/>
        <v/>
      </c>
      <c r="H5894" s="26" t="str">
        <f t="shared" si="1"/>
        <v/>
      </c>
      <c r="I5894" s="26" t="str">
        <f t="shared" si="2"/>
        <v/>
      </c>
      <c r="J5894" s="86">
        <f t="shared" si="3"/>
        <v>0</v>
      </c>
      <c r="R5894" s="26"/>
    </row>
    <row r="5895" spans="1:18" ht="15.75" customHeight="1">
      <c r="A5895" s="26"/>
      <c r="B5895" s="86"/>
      <c r="D5895" s="26"/>
      <c r="F5895" s="87" t="str">
        <f t="shared" si="0"/>
        <v/>
      </c>
      <c r="H5895" s="26" t="str">
        <f t="shared" si="1"/>
        <v/>
      </c>
      <c r="I5895" s="26" t="str">
        <f t="shared" si="2"/>
        <v/>
      </c>
      <c r="J5895" s="86">
        <f t="shared" si="3"/>
        <v>0</v>
      </c>
      <c r="R5895" s="26"/>
    </row>
    <row r="5896" spans="1:18" ht="15.75" customHeight="1">
      <c r="A5896" s="26"/>
      <c r="B5896" s="86"/>
      <c r="D5896" s="26"/>
      <c r="F5896" s="87" t="str">
        <f t="shared" si="0"/>
        <v/>
      </c>
      <c r="H5896" s="26" t="str">
        <f t="shared" si="1"/>
        <v/>
      </c>
      <c r="I5896" s="26" t="str">
        <f t="shared" si="2"/>
        <v/>
      </c>
      <c r="J5896" s="86">
        <f t="shared" si="3"/>
        <v>0</v>
      </c>
      <c r="R5896" s="26"/>
    </row>
    <row r="5897" spans="1:18" ht="15.75" customHeight="1">
      <c r="A5897" s="26"/>
      <c r="B5897" s="86"/>
      <c r="D5897" s="26"/>
      <c r="F5897" s="87" t="str">
        <f t="shared" si="0"/>
        <v/>
      </c>
      <c r="H5897" s="26" t="str">
        <f t="shared" si="1"/>
        <v/>
      </c>
      <c r="I5897" s="26" t="str">
        <f t="shared" si="2"/>
        <v/>
      </c>
      <c r="J5897" s="86">
        <f t="shared" si="3"/>
        <v>0</v>
      </c>
      <c r="R5897" s="26"/>
    </row>
    <row r="5898" spans="1:18" ht="15.75" customHeight="1">
      <c r="A5898" s="26"/>
      <c r="B5898" s="86"/>
      <c r="D5898" s="26"/>
      <c r="F5898" s="87" t="str">
        <f t="shared" si="0"/>
        <v/>
      </c>
      <c r="H5898" s="26" t="str">
        <f t="shared" si="1"/>
        <v/>
      </c>
      <c r="I5898" s="26" t="str">
        <f t="shared" si="2"/>
        <v/>
      </c>
      <c r="J5898" s="86">
        <f t="shared" si="3"/>
        <v>0</v>
      </c>
      <c r="R5898" s="26"/>
    </row>
    <row r="5899" spans="1:18" ht="15.75" customHeight="1">
      <c r="A5899" s="26"/>
      <c r="B5899" s="86"/>
      <c r="D5899" s="26"/>
      <c r="F5899" s="87" t="str">
        <f t="shared" si="0"/>
        <v/>
      </c>
      <c r="H5899" s="26" t="str">
        <f t="shared" si="1"/>
        <v/>
      </c>
      <c r="I5899" s="26" t="str">
        <f t="shared" si="2"/>
        <v/>
      </c>
      <c r="J5899" s="86">
        <f t="shared" si="3"/>
        <v>0</v>
      </c>
      <c r="R5899" s="26"/>
    </row>
    <row r="5900" spans="1:18" ht="15.75" customHeight="1">
      <c r="A5900" s="26"/>
      <c r="B5900" s="86"/>
      <c r="D5900" s="26"/>
      <c r="F5900" s="87" t="str">
        <f t="shared" si="0"/>
        <v/>
      </c>
      <c r="H5900" s="26" t="str">
        <f t="shared" si="1"/>
        <v/>
      </c>
      <c r="I5900" s="26" t="str">
        <f t="shared" si="2"/>
        <v/>
      </c>
      <c r="J5900" s="86">
        <f t="shared" si="3"/>
        <v>0</v>
      </c>
      <c r="R5900" s="26"/>
    </row>
    <row r="5901" spans="1:18" ht="15.75" customHeight="1">
      <c r="A5901" s="26"/>
      <c r="B5901" s="86"/>
      <c r="D5901" s="26"/>
      <c r="F5901" s="87" t="str">
        <f t="shared" si="0"/>
        <v/>
      </c>
      <c r="H5901" s="26" t="str">
        <f t="shared" si="1"/>
        <v/>
      </c>
      <c r="I5901" s="26" t="str">
        <f t="shared" si="2"/>
        <v/>
      </c>
      <c r="J5901" s="86">
        <f t="shared" si="3"/>
        <v>0</v>
      </c>
      <c r="R5901" s="26"/>
    </row>
    <row r="5902" spans="1:18" ht="15.75" customHeight="1">
      <c r="A5902" s="26"/>
      <c r="B5902" s="86"/>
      <c r="D5902" s="26"/>
      <c r="F5902" s="87" t="str">
        <f t="shared" si="0"/>
        <v/>
      </c>
      <c r="H5902" s="26" t="str">
        <f t="shared" si="1"/>
        <v/>
      </c>
      <c r="I5902" s="26" t="str">
        <f t="shared" si="2"/>
        <v/>
      </c>
      <c r="J5902" s="86">
        <f t="shared" si="3"/>
        <v>0</v>
      </c>
      <c r="R5902" s="26"/>
    </row>
    <row r="5903" spans="1:18" ht="15.75" customHeight="1">
      <c r="A5903" s="26"/>
      <c r="B5903" s="86"/>
      <c r="D5903" s="26"/>
      <c r="F5903" s="87" t="str">
        <f t="shared" si="0"/>
        <v/>
      </c>
      <c r="H5903" s="26" t="str">
        <f t="shared" si="1"/>
        <v/>
      </c>
      <c r="I5903" s="26" t="str">
        <f t="shared" si="2"/>
        <v/>
      </c>
      <c r="J5903" s="86">
        <f t="shared" si="3"/>
        <v>0</v>
      </c>
      <c r="R5903" s="26"/>
    </row>
    <row r="5904" spans="1:18" ht="15.75" customHeight="1">
      <c r="A5904" s="26"/>
      <c r="B5904" s="86"/>
      <c r="D5904" s="26"/>
      <c r="F5904" s="87" t="str">
        <f t="shared" si="0"/>
        <v/>
      </c>
      <c r="H5904" s="26" t="str">
        <f t="shared" si="1"/>
        <v/>
      </c>
      <c r="I5904" s="26" t="str">
        <f t="shared" si="2"/>
        <v/>
      </c>
      <c r="J5904" s="86">
        <f t="shared" si="3"/>
        <v>0</v>
      </c>
      <c r="R5904" s="26"/>
    </row>
    <row r="5905" spans="1:18" ht="15.75" customHeight="1">
      <c r="A5905" s="26"/>
      <c r="B5905" s="86"/>
      <c r="D5905" s="26"/>
      <c r="F5905" s="87" t="str">
        <f t="shared" si="0"/>
        <v/>
      </c>
      <c r="H5905" s="26" t="str">
        <f t="shared" si="1"/>
        <v/>
      </c>
      <c r="I5905" s="26" t="str">
        <f t="shared" si="2"/>
        <v/>
      </c>
      <c r="J5905" s="86">
        <f t="shared" si="3"/>
        <v>0</v>
      </c>
      <c r="R5905" s="26"/>
    </row>
    <row r="5906" spans="1:18" ht="15.75" customHeight="1">
      <c r="A5906" s="26"/>
      <c r="B5906" s="86"/>
      <c r="D5906" s="26"/>
      <c r="F5906" s="87" t="str">
        <f t="shared" si="0"/>
        <v/>
      </c>
      <c r="H5906" s="26" t="str">
        <f t="shared" si="1"/>
        <v/>
      </c>
      <c r="I5906" s="26" t="str">
        <f t="shared" si="2"/>
        <v/>
      </c>
      <c r="J5906" s="86">
        <f t="shared" si="3"/>
        <v>0</v>
      </c>
      <c r="R5906" s="26"/>
    </row>
    <row r="5907" spans="1:18" ht="15.75" customHeight="1">
      <c r="A5907" s="26"/>
      <c r="B5907" s="86"/>
      <c r="D5907" s="26"/>
      <c r="F5907" s="87" t="str">
        <f t="shared" si="0"/>
        <v/>
      </c>
      <c r="H5907" s="26" t="str">
        <f t="shared" si="1"/>
        <v/>
      </c>
      <c r="I5907" s="26" t="str">
        <f t="shared" si="2"/>
        <v/>
      </c>
      <c r="J5907" s="86">
        <f t="shared" si="3"/>
        <v>0</v>
      </c>
      <c r="R5907" s="26"/>
    </row>
    <row r="5908" spans="1:18" ht="15.75" customHeight="1">
      <c r="A5908" s="26"/>
      <c r="B5908" s="86"/>
      <c r="D5908" s="26"/>
      <c r="F5908" s="87" t="str">
        <f t="shared" si="0"/>
        <v/>
      </c>
      <c r="H5908" s="26" t="str">
        <f t="shared" si="1"/>
        <v/>
      </c>
      <c r="I5908" s="26" t="str">
        <f t="shared" si="2"/>
        <v/>
      </c>
      <c r="J5908" s="86">
        <f t="shared" si="3"/>
        <v>0</v>
      </c>
      <c r="R5908" s="26"/>
    </row>
    <row r="5909" spans="1:18" ht="15.75" customHeight="1">
      <c r="A5909" s="26"/>
      <c r="B5909" s="86"/>
      <c r="D5909" s="26"/>
      <c r="F5909" s="87" t="str">
        <f t="shared" si="0"/>
        <v/>
      </c>
      <c r="H5909" s="26" t="str">
        <f t="shared" si="1"/>
        <v/>
      </c>
      <c r="I5909" s="26" t="str">
        <f t="shared" si="2"/>
        <v/>
      </c>
      <c r="J5909" s="86">
        <f t="shared" si="3"/>
        <v>0</v>
      </c>
      <c r="R5909" s="26"/>
    </row>
    <row r="5910" spans="1:18" ht="15.75" customHeight="1">
      <c r="A5910" s="26"/>
      <c r="B5910" s="86"/>
      <c r="D5910" s="26"/>
      <c r="F5910" s="87" t="str">
        <f t="shared" si="0"/>
        <v/>
      </c>
      <c r="H5910" s="26" t="str">
        <f t="shared" si="1"/>
        <v/>
      </c>
      <c r="I5910" s="26" t="str">
        <f t="shared" si="2"/>
        <v/>
      </c>
      <c r="J5910" s="86">
        <f t="shared" si="3"/>
        <v>0</v>
      </c>
      <c r="R5910" s="26"/>
    </row>
    <row r="5911" spans="1:18" ht="15.75" customHeight="1">
      <c r="A5911" s="26"/>
      <c r="B5911" s="86"/>
      <c r="D5911" s="26"/>
      <c r="F5911" s="87" t="str">
        <f t="shared" si="0"/>
        <v/>
      </c>
      <c r="H5911" s="26" t="str">
        <f t="shared" si="1"/>
        <v/>
      </c>
      <c r="I5911" s="26" t="str">
        <f t="shared" si="2"/>
        <v/>
      </c>
      <c r="J5911" s="86">
        <f t="shared" si="3"/>
        <v>0</v>
      </c>
      <c r="R5911" s="26"/>
    </row>
    <row r="5912" spans="1:18" ht="15.75" customHeight="1">
      <c r="A5912" s="26"/>
      <c r="B5912" s="86"/>
      <c r="D5912" s="26"/>
      <c r="F5912" s="87" t="str">
        <f t="shared" si="0"/>
        <v/>
      </c>
      <c r="H5912" s="26" t="str">
        <f t="shared" si="1"/>
        <v/>
      </c>
      <c r="I5912" s="26" t="str">
        <f t="shared" si="2"/>
        <v/>
      </c>
      <c r="J5912" s="86">
        <f t="shared" si="3"/>
        <v>0</v>
      </c>
      <c r="R5912" s="26"/>
    </row>
    <row r="5913" spans="1:18" ht="15.75" customHeight="1">
      <c r="A5913" s="26"/>
      <c r="B5913" s="86"/>
      <c r="D5913" s="26"/>
      <c r="F5913" s="87" t="str">
        <f t="shared" si="0"/>
        <v/>
      </c>
      <c r="H5913" s="26" t="str">
        <f t="shared" si="1"/>
        <v/>
      </c>
      <c r="I5913" s="26" t="str">
        <f t="shared" si="2"/>
        <v/>
      </c>
      <c r="J5913" s="86">
        <f t="shared" si="3"/>
        <v>0</v>
      </c>
      <c r="R5913" s="26"/>
    </row>
    <row r="5914" spans="1:18" ht="15.75" customHeight="1">
      <c r="A5914" s="26"/>
      <c r="B5914" s="86"/>
      <c r="D5914" s="26"/>
      <c r="F5914" s="87" t="str">
        <f t="shared" si="0"/>
        <v/>
      </c>
      <c r="H5914" s="26" t="str">
        <f t="shared" si="1"/>
        <v/>
      </c>
      <c r="I5914" s="26" t="str">
        <f t="shared" si="2"/>
        <v/>
      </c>
      <c r="J5914" s="86">
        <f t="shared" si="3"/>
        <v>0</v>
      </c>
      <c r="R5914" s="26"/>
    </row>
    <row r="5915" spans="1:18" ht="15.75" customHeight="1">
      <c r="A5915" s="26"/>
      <c r="B5915" s="86"/>
      <c r="D5915" s="26"/>
      <c r="F5915" s="87" t="str">
        <f t="shared" si="0"/>
        <v/>
      </c>
      <c r="H5915" s="26" t="str">
        <f t="shared" si="1"/>
        <v/>
      </c>
      <c r="I5915" s="26" t="str">
        <f t="shared" si="2"/>
        <v/>
      </c>
      <c r="J5915" s="86">
        <f t="shared" si="3"/>
        <v>0</v>
      </c>
      <c r="R5915" s="26"/>
    </row>
    <row r="5916" spans="1:18" ht="15.75" customHeight="1">
      <c r="A5916" s="26"/>
      <c r="B5916" s="86"/>
      <c r="D5916" s="26"/>
      <c r="F5916" s="87" t="str">
        <f t="shared" si="0"/>
        <v/>
      </c>
      <c r="H5916" s="26" t="str">
        <f t="shared" si="1"/>
        <v/>
      </c>
      <c r="I5916" s="26" t="str">
        <f t="shared" si="2"/>
        <v/>
      </c>
      <c r="J5916" s="86">
        <f t="shared" si="3"/>
        <v>0</v>
      </c>
      <c r="R5916" s="26"/>
    </row>
    <row r="5917" spans="1:18" ht="15.75" customHeight="1">
      <c r="A5917" s="26"/>
      <c r="B5917" s="86"/>
      <c r="D5917" s="26"/>
      <c r="F5917" s="87" t="str">
        <f t="shared" si="0"/>
        <v/>
      </c>
      <c r="H5917" s="26" t="str">
        <f t="shared" si="1"/>
        <v/>
      </c>
      <c r="I5917" s="26" t="str">
        <f t="shared" si="2"/>
        <v/>
      </c>
      <c r="J5917" s="86">
        <f t="shared" si="3"/>
        <v>0</v>
      </c>
      <c r="R5917" s="26"/>
    </row>
    <row r="5918" spans="1:18" ht="15.75" customHeight="1">
      <c r="A5918" s="26"/>
      <c r="B5918" s="86"/>
      <c r="D5918" s="26"/>
      <c r="F5918" s="87" t="str">
        <f t="shared" si="0"/>
        <v/>
      </c>
      <c r="H5918" s="26" t="str">
        <f t="shared" si="1"/>
        <v/>
      </c>
      <c r="I5918" s="26" t="str">
        <f t="shared" si="2"/>
        <v/>
      </c>
      <c r="J5918" s="86">
        <f t="shared" si="3"/>
        <v>0</v>
      </c>
      <c r="R5918" s="26"/>
    </row>
    <row r="5919" spans="1:18" ht="15.75" customHeight="1">
      <c r="A5919" s="26"/>
      <c r="B5919" s="86"/>
      <c r="D5919" s="26"/>
      <c r="F5919" s="87" t="str">
        <f t="shared" si="0"/>
        <v/>
      </c>
      <c r="H5919" s="26" t="str">
        <f t="shared" si="1"/>
        <v/>
      </c>
      <c r="I5919" s="26" t="str">
        <f t="shared" si="2"/>
        <v/>
      </c>
      <c r="J5919" s="86">
        <f t="shared" si="3"/>
        <v>0</v>
      </c>
      <c r="R5919" s="26"/>
    </row>
    <row r="5920" spans="1:18" ht="15.75" customHeight="1">
      <c r="A5920" s="26"/>
      <c r="B5920" s="86"/>
      <c r="D5920" s="26"/>
      <c r="F5920" s="87" t="str">
        <f t="shared" si="0"/>
        <v/>
      </c>
      <c r="H5920" s="26" t="str">
        <f t="shared" si="1"/>
        <v/>
      </c>
      <c r="I5920" s="26" t="str">
        <f t="shared" si="2"/>
        <v/>
      </c>
      <c r="J5920" s="86">
        <f t="shared" si="3"/>
        <v>0</v>
      </c>
      <c r="R5920" s="26"/>
    </row>
    <row r="5921" spans="1:18" ht="15.75" customHeight="1">
      <c r="A5921" s="26"/>
      <c r="B5921" s="86"/>
      <c r="D5921" s="26"/>
      <c r="F5921" s="87" t="str">
        <f t="shared" si="0"/>
        <v/>
      </c>
      <c r="H5921" s="26" t="str">
        <f t="shared" si="1"/>
        <v/>
      </c>
      <c r="I5921" s="26" t="str">
        <f t="shared" si="2"/>
        <v/>
      </c>
      <c r="J5921" s="86">
        <f t="shared" si="3"/>
        <v>0</v>
      </c>
      <c r="R5921" s="26"/>
    </row>
    <row r="5922" spans="1:18" ht="15.75" customHeight="1">
      <c r="A5922" s="26"/>
      <c r="B5922" s="86"/>
      <c r="D5922" s="26"/>
      <c r="F5922" s="87" t="str">
        <f t="shared" si="0"/>
        <v/>
      </c>
      <c r="H5922" s="26" t="str">
        <f t="shared" si="1"/>
        <v/>
      </c>
      <c r="I5922" s="26" t="str">
        <f t="shared" si="2"/>
        <v/>
      </c>
      <c r="J5922" s="86">
        <f t="shared" si="3"/>
        <v>0</v>
      </c>
      <c r="R5922" s="26"/>
    </row>
    <row r="5923" spans="1:18" ht="15.75" customHeight="1">
      <c r="A5923" s="26"/>
      <c r="B5923" s="86"/>
      <c r="D5923" s="26"/>
      <c r="F5923" s="87" t="str">
        <f t="shared" si="0"/>
        <v/>
      </c>
      <c r="H5923" s="26" t="str">
        <f t="shared" si="1"/>
        <v/>
      </c>
      <c r="I5923" s="26" t="str">
        <f t="shared" si="2"/>
        <v/>
      </c>
      <c r="J5923" s="86">
        <f t="shared" si="3"/>
        <v>0</v>
      </c>
      <c r="R5923" s="26"/>
    </row>
    <row r="5924" spans="1:18" ht="15.75" customHeight="1">
      <c r="A5924" s="26"/>
      <c r="B5924" s="86"/>
      <c r="D5924" s="26"/>
      <c r="F5924" s="87" t="str">
        <f t="shared" si="0"/>
        <v/>
      </c>
      <c r="H5924" s="26" t="str">
        <f t="shared" si="1"/>
        <v/>
      </c>
      <c r="I5924" s="26" t="str">
        <f t="shared" si="2"/>
        <v/>
      </c>
      <c r="J5924" s="86">
        <f t="shared" si="3"/>
        <v>0</v>
      </c>
      <c r="R5924" s="26"/>
    </row>
    <row r="5925" spans="1:18" ht="15.75" customHeight="1">
      <c r="A5925" s="26"/>
      <c r="B5925" s="86"/>
      <c r="D5925" s="26"/>
      <c r="F5925" s="87" t="str">
        <f t="shared" si="0"/>
        <v/>
      </c>
      <c r="H5925" s="26" t="str">
        <f t="shared" si="1"/>
        <v/>
      </c>
      <c r="I5925" s="26" t="str">
        <f t="shared" si="2"/>
        <v/>
      </c>
      <c r="J5925" s="86">
        <f t="shared" si="3"/>
        <v>0</v>
      </c>
      <c r="R5925" s="26"/>
    </row>
    <row r="5926" spans="1:18" ht="15.75" customHeight="1">
      <c r="A5926" s="26"/>
      <c r="B5926" s="86"/>
      <c r="D5926" s="26"/>
      <c r="F5926" s="87" t="str">
        <f t="shared" si="0"/>
        <v/>
      </c>
      <c r="H5926" s="26" t="str">
        <f t="shared" si="1"/>
        <v/>
      </c>
      <c r="I5926" s="26" t="str">
        <f t="shared" si="2"/>
        <v/>
      </c>
      <c r="J5926" s="86">
        <f t="shared" si="3"/>
        <v>0</v>
      </c>
      <c r="R5926" s="26"/>
    </row>
    <row r="5927" spans="1:18" ht="15.75" customHeight="1">
      <c r="A5927" s="26"/>
      <c r="B5927" s="86"/>
      <c r="D5927" s="26"/>
      <c r="F5927" s="87" t="str">
        <f t="shared" si="0"/>
        <v/>
      </c>
      <c r="H5927" s="26" t="str">
        <f t="shared" si="1"/>
        <v/>
      </c>
      <c r="I5927" s="26" t="str">
        <f t="shared" si="2"/>
        <v/>
      </c>
      <c r="J5927" s="86">
        <f t="shared" si="3"/>
        <v>0</v>
      </c>
      <c r="R5927" s="26"/>
    </row>
    <row r="5928" spans="1:18" ht="15.75" customHeight="1">
      <c r="A5928" s="26"/>
      <c r="B5928" s="86"/>
      <c r="D5928" s="26"/>
      <c r="F5928" s="87" t="str">
        <f t="shared" si="0"/>
        <v/>
      </c>
      <c r="H5928" s="26" t="str">
        <f t="shared" si="1"/>
        <v/>
      </c>
      <c r="I5928" s="26" t="str">
        <f t="shared" si="2"/>
        <v/>
      </c>
      <c r="J5928" s="86">
        <f t="shared" si="3"/>
        <v>0</v>
      </c>
      <c r="R5928" s="26"/>
    </row>
    <row r="5929" spans="1:18" ht="15.75" customHeight="1">
      <c r="A5929" s="26"/>
      <c r="B5929" s="86"/>
      <c r="D5929" s="26"/>
      <c r="F5929" s="87" t="str">
        <f t="shared" si="0"/>
        <v/>
      </c>
      <c r="H5929" s="26" t="str">
        <f t="shared" si="1"/>
        <v/>
      </c>
      <c r="I5929" s="26" t="str">
        <f t="shared" si="2"/>
        <v/>
      </c>
      <c r="J5929" s="86">
        <f t="shared" si="3"/>
        <v>0</v>
      </c>
      <c r="R5929" s="26"/>
    </row>
    <row r="5930" spans="1:18" ht="15.75" customHeight="1">
      <c r="A5930" s="26"/>
      <c r="B5930" s="86"/>
      <c r="D5930" s="26"/>
      <c r="F5930" s="87" t="str">
        <f t="shared" si="0"/>
        <v/>
      </c>
      <c r="H5930" s="26" t="str">
        <f t="shared" si="1"/>
        <v/>
      </c>
      <c r="I5930" s="26" t="str">
        <f t="shared" si="2"/>
        <v/>
      </c>
      <c r="J5930" s="86">
        <f t="shared" si="3"/>
        <v>0</v>
      </c>
      <c r="R5930" s="26"/>
    </row>
    <row r="5931" spans="1:18" ht="15.75" customHeight="1">
      <c r="A5931" s="26"/>
      <c r="B5931" s="86"/>
      <c r="D5931" s="26"/>
      <c r="F5931" s="87" t="str">
        <f t="shared" si="0"/>
        <v/>
      </c>
      <c r="H5931" s="26" t="str">
        <f t="shared" si="1"/>
        <v/>
      </c>
      <c r="I5931" s="26" t="str">
        <f t="shared" si="2"/>
        <v/>
      </c>
      <c r="J5931" s="86">
        <f t="shared" si="3"/>
        <v>0</v>
      </c>
      <c r="R5931" s="26"/>
    </row>
    <row r="5932" spans="1:18" ht="15.75" customHeight="1">
      <c r="A5932" s="26"/>
      <c r="B5932" s="86"/>
      <c r="D5932" s="26"/>
      <c r="F5932" s="87" t="str">
        <f t="shared" si="0"/>
        <v/>
      </c>
      <c r="H5932" s="26" t="str">
        <f t="shared" si="1"/>
        <v/>
      </c>
      <c r="I5932" s="26" t="str">
        <f t="shared" si="2"/>
        <v/>
      </c>
      <c r="J5932" s="86">
        <f t="shared" si="3"/>
        <v>0</v>
      </c>
      <c r="R5932" s="26"/>
    </row>
    <row r="5933" spans="1:18" ht="15.75" customHeight="1">
      <c r="A5933" s="26"/>
      <c r="B5933" s="86"/>
      <c r="D5933" s="26"/>
      <c r="F5933" s="87" t="str">
        <f t="shared" si="0"/>
        <v/>
      </c>
      <c r="H5933" s="26" t="str">
        <f t="shared" si="1"/>
        <v/>
      </c>
      <c r="I5933" s="26" t="str">
        <f t="shared" si="2"/>
        <v/>
      </c>
      <c r="J5933" s="86">
        <f t="shared" si="3"/>
        <v>0</v>
      </c>
      <c r="R5933" s="26"/>
    </row>
    <row r="5934" spans="1:18" ht="15.75" customHeight="1">
      <c r="A5934" s="26"/>
      <c r="B5934" s="86"/>
      <c r="D5934" s="26"/>
      <c r="F5934" s="87" t="str">
        <f t="shared" si="0"/>
        <v/>
      </c>
      <c r="H5934" s="26" t="str">
        <f t="shared" si="1"/>
        <v/>
      </c>
      <c r="I5934" s="26" t="str">
        <f t="shared" si="2"/>
        <v/>
      </c>
      <c r="J5934" s="86">
        <f t="shared" si="3"/>
        <v>0</v>
      </c>
      <c r="R5934" s="26"/>
    </row>
    <row r="5935" spans="1:18" ht="15.75" customHeight="1">
      <c r="A5935" s="26"/>
      <c r="B5935" s="86"/>
      <c r="D5935" s="26"/>
      <c r="F5935" s="87" t="str">
        <f t="shared" si="0"/>
        <v/>
      </c>
      <c r="H5935" s="26" t="str">
        <f t="shared" si="1"/>
        <v/>
      </c>
      <c r="I5935" s="26" t="str">
        <f t="shared" si="2"/>
        <v/>
      </c>
      <c r="J5935" s="86">
        <f t="shared" si="3"/>
        <v>0</v>
      </c>
      <c r="R5935" s="26"/>
    </row>
    <row r="5936" spans="1:18" ht="15.75" customHeight="1">
      <c r="A5936" s="26"/>
      <c r="B5936" s="86"/>
      <c r="D5936" s="26"/>
      <c r="F5936" s="87" t="str">
        <f t="shared" si="0"/>
        <v/>
      </c>
      <c r="H5936" s="26" t="str">
        <f t="shared" si="1"/>
        <v/>
      </c>
      <c r="I5936" s="26" t="str">
        <f t="shared" si="2"/>
        <v/>
      </c>
      <c r="J5936" s="86">
        <f t="shared" si="3"/>
        <v>0</v>
      </c>
      <c r="R5936" s="26"/>
    </row>
    <row r="5937" spans="1:18" ht="15.75" customHeight="1">
      <c r="A5937" s="26"/>
      <c r="B5937" s="86"/>
      <c r="D5937" s="26"/>
      <c r="F5937" s="87" t="str">
        <f t="shared" si="0"/>
        <v/>
      </c>
      <c r="H5937" s="26" t="str">
        <f t="shared" si="1"/>
        <v/>
      </c>
      <c r="I5937" s="26" t="str">
        <f t="shared" si="2"/>
        <v/>
      </c>
      <c r="J5937" s="86">
        <f t="shared" si="3"/>
        <v>0</v>
      </c>
      <c r="R5937" s="26"/>
    </row>
    <row r="5938" spans="1:18" ht="15.75" customHeight="1">
      <c r="A5938" s="26"/>
      <c r="B5938" s="86"/>
      <c r="D5938" s="26"/>
      <c r="F5938" s="87" t="str">
        <f t="shared" si="0"/>
        <v/>
      </c>
      <c r="H5938" s="26" t="str">
        <f t="shared" si="1"/>
        <v/>
      </c>
      <c r="I5938" s="26" t="str">
        <f t="shared" si="2"/>
        <v/>
      </c>
      <c r="J5938" s="86">
        <f t="shared" si="3"/>
        <v>0</v>
      </c>
      <c r="R5938" s="26"/>
    </row>
    <row r="5939" spans="1:18" ht="15.75" customHeight="1">
      <c r="A5939" s="26"/>
      <c r="B5939" s="86"/>
      <c r="D5939" s="26"/>
      <c r="F5939" s="87" t="str">
        <f t="shared" si="0"/>
        <v/>
      </c>
      <c r="H5939" s="26" t="str">
        <f t="shared" si="1"/>
        <v/>
      </c>
      <c r="I5939" s="26" t="str">
        <f t="shared" si="2"/>
        <v/>
      </c>
      <c r="J5939" s="86">
        <f t="shared" si="3"/>
        <v>0</v>
      </c>
      <c r="R5939" s="26"/>
    </row>
    <row r="5940" spans="1:18" ht="15.75" customHeight="1">
      <c r="A5940" s="26"/>
      <c r="B5940" s="86"/>
      <c r="D5940" s="26"/>
      <c r="F5940" s="87" t="str">
        <f t="shared" si="0"/>
        <v/>
      </c>
      <c r="H5940" s="26" t="str">
        <f t="shared" si="1"/>
        <v/>
      </c>
      <c r="I5940" s="26" t="str">
        <f t="shared" si="2"/>
        <v/>
      </c>
      <c r="J5940" s="86">
        <f t="shared" si="3"/>
        <v>0</v>
      </c>
      <c r="R5940" s="26"/>
    </row>
    <row r="5941" spans="1:18" ht="15.75" customHeight="1">
      <c r="A5941" s="26"/>
      <c r="B5941" s="86"/>
      <c r="D5941" s="26"/>
      <c r="F5941" s="87" t="str">
        <f t="shared" si="0"/>
        <v/>
      </c>
      <c r="H5941" s="26" t="str">
        <f t="shared" si="1"/>
        <v/>
      </c>
      <c r="I5941" s="26" t="str">
        <f t="shared" si="2"/>
        <v/>
      </c>
      <c r="J5941" s="86">
        <f t="shared" si="3"/>
        <v>0</v>
      </c>
      <c r="R5941" s="26"/>
    </row>
    <row r="5942" spans="1:18" ht="15.75" customHeight="1">
      <c r="A5942" s="26"/>
      <c r="B5942" s="86"/>
      <c r="D5942" s="26"/>
      <c r="F5942" s="87" t="str">
        <f t="shared" si="0"/>
        <v/>
      </c>
      <c r="H5942" s="26" t="str">
        <f t="shared" si="1"/>
        <v/>
      </c>
      <c r="I5942" s="26" t="str">
        <f t="shared" si="2"/>
        <v/>
      </c>
      <c r="J5942" s="86">
        <f t="shared" si="3"/>
        <v>0</v>
      </c>
      <c r="R5942" s="26"/>
    </row>
    <row r="5943" spans="1:18" ht="15.75" customHeight="1">
      <c r="A5943" s="26"/>
      <c r="B5943" s="86"/>
      <c r="D5943" s="26"/>
      <c r="F5943" s="87" t="str">
        <f t="shared" si="0"/>
        <v/>
      </c>
      <c r="H5943" s="26" t="str">
        <f t="shared" si="1"/>
        <v/>
      </c>
      <c r="I5943" s="26" t="str">
        <f t="shared" si="2"/>
        <v/>
      </c>
      <c r="J5943" s="86">
        <f t="shared" si="3"/>
        <v>0</v>
      </c>
      <c r="R5943" s="26"/>
    </row>
    <row r="5944" spans="1:18" ht="15.75" customHeight="1">
      <c r="A5944" s="26"/>
      <c r="B5944" s="86"/>
      <c r="D5944" s="26"/>
      <c r="F5944" s="87" t="str">
        <f t="shared" si="0"/>
        <v/>
      </c>
      <c r="H5944" s="26" t="str">
        <f t="shared" si="1"/>
        <v/>
      </c>
      <c r="I5944" s="26" t="str">
        <f t="shared" si="2"/>
        <v/>
      </c>
      <c r="J5944" s="86">
        <f t="shared" si="3"/>
        <v>0</v>
      </c>
      <c r="R5944" s="26"/>
    </row>
    <row r="5945" spans="1:18" ht="15.75" customHeight="1">
      <c r="A5945" s="26"/>
      <c r="B5945" s="86"/>
      <c r="D5945" s="26"/>
      <c r="F5945" s="87" t="str">
        <f t="shared" si="0"/>
        <v/>
      </c>
      <c r="H5945" s="26" t="str">
        <f t="shared" si="1"/>
        <v/>
      </c>
      <c r="I5945" s="26" t="str">
        <f t="shared" si="2"/>
        <v/>
      </c>
      <c r="J5945" s="86">
        <f t="shared" si="3"/>
        <v>0</v>
      </c>
      <c r="R5945" s="26"/>
    </row>
    <row r="5946" spans="1:18" ht="15.75" customHeight="1">
      <c r="A5946" s="26"/>
      <c r="B5946" s="86"/>
      <c r="D5946" s="26"/>
      <c r="F5946" s="87" t="str">
        <f t="shared" si="0"/>
        <v/>
      </c>
      <c r="H5946" s="26" t="str">
        <f t="shared" si="1"/>
        <v/>
      </c>
      <c r="I5946" s="26" t="str">
        <f t="shared" si="2"/>
        <v/>
      </c>
      <c r="J5946" s="86">
        <f t="shared" si="3"/>
        <v>0</v>
      </c>
      <c r="R5946" s="26"/>
    </row>
    <row r="5947" spans="1:18" ht="15.75" customHeight="1">
      <c r="A5947" s="26"/>
      <c r="B5947" s="86"/>
      <c r="D5947" s="26"/>
      <c r="F5947" s="87" t="str">
        <f t="shared" si="0"/>
        <v/>
      </c>
      <c r="H5947" s="26" t="str">
        <f t="shared" si="1"/>
        <v/>
      </c>
      <c r="I5947" s="26" t="str">
        <f t="shared" si="2"/>
        <v/>
      </c>
      <c r="J5947" s="86">
        <f t="shared" si="3"/>
        <v>0</v>
      </c>
      <c r="R5947" s="26"/>
    </row>
    <row r="5948" spans="1:18" ht="15.75" customHeight="1">
      <c r="A5948" s="26"/>
      <c r="B5948" s="86"/>
      <c r="D5948" s="26"/>
      <c r="F5948" s="87" t="str">
        <f t="shared" si="0"/>
        <v/>
      </c>
      <c r="H5948" s="26" t="str">
        <f t="shared" si="1"/>
        <v/>
      </c>
      <c r="I5948" s="26" t="str">
        <f t="shared" si="2"/>
        <v/>
      </c>
      <c r="J5948" s="86">
        <f t="shared" si="3"/>
        <v>0</v>
      </c>
      <c r="R5948" s="26"/>
    </row>
    <row r="5949" spans="1:18" ht="15.75" customHeight="1">
      <c r="A5949" s="26"/>
      <c r="B5949" s="86"/>
      <c r="D5949" s="26"/>
      <c r="F5949" s="87" t="str">
        <f t="shared" si="0"/>
        <v/>
      </c>
      <c r="H5949" s="26" t="str">
        <f t="shared" si="1"/>
        <v/>
      </c>
      <c r="I5949" s="26" t="str">
        <f t="shared" si="2"/>
        <v/>
      </c>
      <c r="J5949" s="86">
        <f t="shared" si="3"/>
        <v>0</v>
      </c>
      <c r="R5949" s="26"/>
    </row>
    <row r="5950" spans="1:18" ht="15.75" customHeight="1">
      <c r="A5950" s="26"/>
      <c r="B5950" s="86"/>
      <c r="D5950" s="26"/>
      <c r="F5950" s="87" t="str">
        <f t="shared" si="0"/>
        <v/>
      </c>
      <c r="H5950" s="26" t="str">
        <f t="shared" si="1"/>
        <v/>
      </c>
      <c r="I5950" s="26" t="str">
        <f t="shared" si="2"/>
        <v/>
      </c>
      <c r="J5950" s="86">
        <f t="shared" si="3"/>
        <v>0</v>
      </c>
      <c r="R5950" s="26"/>
    </row>
    <row r="5951" spans="1:18" ht="15.75" customHeight="1">
      <c r="A5951" s="26"/>
      <c r="B5951" s="86"/>
      <c r="D5951" s="26"/>
      <c r="F5951" s="87" t="str">
        <f t="shared" si="0"/>
        <v/>
      </c>
      <c r="H5951" s="26" t="str">
        <f t="shared" si="1"/>
        <v/>
      </c>
      <c r="I5951" s="26" t="str">
        <f t="shared" si="2"/>
        <v/>
      </c>
      <c r="J5951" s="86">
        <f t="shared" si="3"/>
        <v>0</v>
      </c>
      <c r="R5951" s="26"/>
    </row>
    <row r="5952" spans="1:18" ht="15.75" customHeight="1">
      <c r="A5952" s="26"/>
      <c r="B5952" s="86"/>
      <c r="D5952" s="26"/>
      <c r="F5952" s="87" t="str">
        <f t="shared" si="0"/>
        <v/>
      </c>
      <c r="H5952" s="26" t="str">
        <f t="shared" si="1"/>
        <v/>
      </c>
      <c r="I5952" s="26" t="str">
        <f t="shared" si="2"/>
        <v/>
      </c>
      <c r="J5952" s="86">
        <f t="shared" si="3"/>
        <v>0</v>
      </c>
      <c r="R5952" s="26"/>
    </row>
    <row r="5953" spans="1:18" ht="15.75" customHeight="1">
      <c r="A5953" s="26"/>
      <c r="B5953" s="86"/>
      <c r="D5953" s="26"/>
      <c r="F5953" s="87" t="str">
        <f t="shared" si="0"/>
        <v/>
      </c>
      <c r="H5953" s="26" t="str">
        <f t="shared" si="1"/>
        <v/>
      </c>
      <c r="I5953" s="26" t="str">
        <f t="shared" si="2"/>
        <v/>
      </c>
      <c r="J5953" s="86">
        <f t="shared" si="3"/>
        <v>0</v>
      </c>
      <c r="R5953" s="26"/>
    </row>
    <row r="5954" spans="1:18" ht="15.75" customHeight="1">
      <c r="A5954" s="26"/>
      <c r="B5954" s="86"/>
      <c r="D5954" s="26"/>
      <c r="F5954" s="87" t="str">
        <f t="shared" si="0"/>
        <v/>
      </c>
      <c r="H5954" s="26" t="str">
        <f t="shared" si="1"/>
        <v/>
      </c>
      <c r="I5954" s="26" t="str">
        <f t="shared" si="2"/>
        <v/>
      </c>
      <c r="J5954" s="86">
        <f t="shared" si="3"/>
        <v>0</v>
      </c>
      <c r="R5954" s="26"/>
    </row>
    <row r="5955" spans="1:18" ht="15.75" customHeight="1">
      <c r="A5955" s="26"/>
      <c r="B5955" s="86"/>
      <c r="D5955" s="26"/>
      <c r="F5955" s="87" t="str">
        <f t="shared" si="0"/>
        <v/>
      </c>
      <c r="H5955" s="26" t="str">
        <f t="shared" si="1"/>
        <v/>
      </c>
      <c r="I5955" s="26" t="str">
        <f t="shared" si="2"/>
        <v/>
      </c>
      <c r="J5955" s="86">
        <f t="shared" si="3"/>
        <v>0</v>
      </c>
      <c r="R5955" s="26"/>
    </row>
    <row r="5956" spans="1:18" ht="15.75" customHeight="1">
      <c r="A5956" s="26"/>
      <c r="B5956" s="86"/>
      <c r="D5956" s="26"/>
      <c r="F5956" s="87" t="str">
        <f t="shared" si="0"/>
        <v/>
      </c>
      <c r="H5956" s="26" t="str">
        <f t="shared" si="1"/>
        <v/>
      </c>
      <c r="I5956" s="26" t="str">
        <f t="shared" si="2"/>
        <v/>
      </c>
      <c r="J5956" s="86">
        <f t="shared" si="3"/>
        <v>0</v>
      </c>
      <c r="R5956" s="26"/>
    </row>
    <row r="5957" spans="1:18" ht="15.75" customHeight="1">
      <c r="A5957" s="26"/>
      <c r="B5957" s="86"/>
      <c r="D5957" s="26"/>
      <c r="F5957" s="87" t="str">
        <f t="shared" si="0"/>
        <v/>
      </c>
      <c r="H5957" s="26" t="str">
        <f t="shared" si="1"/>
        <v/>
      </c>
      <c r="I5957" s="26" t="str">
        <f t="shared" si="2"/>
        <v/>
      </c>
      <c r="J5957" s="86">
        <f t="shared" si="3"/>
        <v>0</v>
      </c>
      <c r="R5957" s="26"/>
    </row>
    <row r="5958" spans="1:18" ht="15.75" customHeight="1">
      <c r="A5958" s="26"/>
      <c r="B5958" s="86"/>
      <c r="D5958" s="26"/>
      <c r="F5958" s="87" t="str">
        <f t="shared" si="0"/>
        <v/>
      </c>
      <c r="H5958" s="26" t="str">
        <f t="shared" si="1"/>
        <v/>
      </c>
      <c r="I5958" s="26" t="str">
        <f t="shared" si="2"/>
        <v/>
      </c>
      <c r="J5958" s="86">
        <f t="shared" si="3"/>
        <v>0</v>
      </c>
      <c r="R5958" s="26"/>
    </row>
    <row r="5959" spans="1:18" ht="15.75" customHeight="1">
      <c r="A5959" s="26"/>
      <c r="B5959" s="86"/>
      <c r="D5959" s="26"/>
      <c r="F5959" s="87" t="str">
        <f t="shared" si="0"/>
        <v/>
      </c>
      <c r="H5959" s="26" t="str">
        <f t="shared" si="1"/>
        <v/>
      </c>
      <c r="I5959" s="26" t="str">
        <f t="shared" si="2"/>
        <v/>
      </c>
      <c r="J5959" s="86">
        <f t="shared" si="3"/>
        <v>0</v>
      </c>
      <c r="R5959" s="26"/>
    </row>
    <row r="5960" spans="1:18" ht="15.75" customHeight="1">
      <c r="A5960" s="26"/>
      <c r="B5960" s="86"/>
      <c r="D5960" s="26"/>
      <c r="F5960" s="87" t="str">
        <f t="shared" si="0"/>
        <v/>
      </c>
      <c r="H5960" s="26" t="str">
        <f t="shared" si="1"/>
        <v/>
      </c>
      <c r="I5960" s="26" t="str">
        <f t="shared" si="2"/>
        <v/>
      </c>
      <c r="J5960" s="86">
        <f t="shared" si="3"/>
        <v>0</v>
      </c>
      <c r="R5960" s="26"/>
    </row>
    <row r="5961" spans="1:18" ht="15.75" customHeight="1">
      <c r="A5961" s="26"/>
      <c r="B5961" s="86"/>
      <c r="D5961" s="26"/>
      <c r="F5961" s="87" t="str">
        <f t="shared" si="0"/>
        <v/>
      </c>
      <c r="H5961" s="26" t="str">
        <f t="shared" si="1"/>
        <v/>
      </c>
      <c r="I5961" s="26" t="str">
        <f t="shared" si="2"/>
        <v/>
      </c>
      <c r="J5961" s="86">
        <f t="shared" si="3"/>
        <v>0</v>
      </c>
      <c r="R5961" s="26"/>
    </row>
    <row r="5962" spans="1:18" ht="15.75" customHeight="1">
      <c r="A5962" s="26"/>
      <c r="B5962" s="86"/>
      <c r="D5962" s="26"/>
      <c r="F5962" s="87" t="str">
        <f t="shared" si="0"/>
        <v/>
      </c>
      <c r="H5962" s="26" t="str">
        <f t="shared" si="1"/>
        <v/>
      </c>
      <c r="I5962" s="26" t="str">
        <f t="shared" si="2"/>
        <v/>
      </c>
      <c r="J5962" s="86">
        <f t="shared" si="3"/>
        <v>0</v>
      </c>
      <c r="R5962" s="26"/>
    </row>
    <row r="5963" spans="1:18" ht="15.75" customHeight="1">
      <c r="A5963" s="26"/>
      <c r="B5963" s="86"/>
      <c r="D5963" s="26"/>
      <c r="F5963" s="87" t="str">
        <f t="shared" si="0"/>
        <v/>
      </c>
      <c r="H5963" s="26" t="str">
        <f t="shared" si="1"/>
        <v/>
      </c>
      <c r="I5963" s="26" t="str">
        <f t="shared" si="2"/>
        <v/>
      </c>
      <c r="J5963" s="86">
        <f t="shared" si="3"/>
        <v>0</v>
      </c>
      <c r="R5963" s="26"/>
    </row>
    <row r="5964" spans="1:18" ht="15.75" customHeight="1">
      <c r="A5964" s="26"/>
      <c r="B5964" s="86"/>
      <c r="D5964" s="26"/>
      <c r="F5964" s="87" t="str">
        <f t="shared" si="0"/>
        <v/>
      </c>
      <c r="H5964" s="26" t="str">
        <f t="shared" si="1"/>
        <v/>
      </c>
      <c r="I5964" s="26" t="str">
        <f t="shared" si="2"/>
        <v/>
      </c>
      <c r="J5964" s="86">
        <f t="shared" si="3"/>
        <v>0</v>
      </c>
      <c r="R5964" s="26"/>
    </row>
    <row r="5965" spans="1:18" ht="15.75" customHeight="1">
      <c r="A5965" s="26"/>
      <c r="B5965" s="86"/>
      <c r="D5965" s="26"/>
      <c r="F5965" s="87" t="str">
        <f t="shared" si="0"/>
        <v/>
      </c>
      <c r="H5965" s="26" t="str">
        <f t="shared" si="1"/>
        <v/>
      </c>
      <c r="I5965" s="26" t="str">
        <f t="shared" si="2"/>
        <v/>
      </c>
      <c r="J5965" s="86">
        <f t="shared" si="3"/>
        <v>0</v>
      </c>
      <c r="R5965" s="26"/>
    </row>
    <row r="5966" spans="1:18" ht="15.75" customHeight="1">
      <c r="A5966" s="26"/>
      <c r="B5966" s="86"/>
      <c r="D5966" s="26"/>
      <c r="F5966" s="87" t="str">
        <f t="shared" si="0"/>
        <v/>
      </c>
      <c r="H5966" s="26" t="str">
        <f t="shared" si="1"/>
        <v/>
      </c>
      <c r="I5966" s="26" t="str">
        <f t="shared" si="2"/>
        <v/>
      </c>
      <c r="J5966" s="86">
        <f t="shared" si="3"/>
        <v>0</v>
      </c>
      <c r="R5966" s="26"/>
    </row>
    <row r="5967" spans="1:18" ht="15.75" customHeight="1">
      <c r="A5967" s="26"/>
      <c r="B5967" s="86"/>
      <c r="D5967" s="26"/>
      <c r="F5967" s="87" t="str">
        <f t="shared" si="0"/>
        <v/>
      </c>
      <c r="H5967" s="26" t="str">
        <f t="shared" si="1"/>
        <v/>
      </c>
      <c r="I5967" s="26" t="str">
        <f t="shared" si="2"/>
        <v/>
      </c>
      <c r="J5967" s="86">
        <f t="shared" si="3"/>
        <v>0</v>
      </c>
      <c r="R5967" s="26"/>
    </row>
    <row r="5968" spans="1:18" ht="15.75" customHeight="1">
      <c r="A5968" s="26"/>
      <c r="B5968" s="86"/>
      <c r="D5968" s="26"/>
      <c r="F5968" s="87" t="str">
        <f t="shared" si="0"/>
        <v/>
      </c>
      <c r="H5968" s="26" t="str">
        <f t="shared" si="1"/>
        <v/>
      </c>
      <c r="I5968" s="26" t="str">
        <f t="shared" si="2"/>
        <v/>
      </c>
      <c r="J5968" s="86">
        <f t="shared" si="3"/>
        <v>0</v>
      </c>
      <c r="R5968" s="26"/>
    </row>
    <row r="5969" spans="1:18" ht="15.75" customHeight="1">
      <c r="A5969" s="26"/>
      <c r="B5969" s="86"/>
      <c r="D5969" s="26"/>
      <c r="F5969" s="87" t="str">
        <f t="shared" si="0"/>
        <v/>
      </c>
      <c r="H5969" s="26" t="str">
        <f t="shared" si="1"/>
        <v/>
      </c>
      <c r="I5969" s="26" t="str">
        <f t="shared" si="2"/>
        <v/>
      </c>
      <c r="J5969" s="86">
        <f t="shared" si="3"/>
        <v>0</v>
      </c>
      <c r="R5969" s="26"/>
    </row>
    <row r="5970" spans="1:18" ht="15.75" customHeight="1">
      <c r="A5970" s="26"/>
      <c r="B5970" s="86"/>
      <c r="D5970" s="26"/>
      <c r="F5970" s="87" t="str">
        <f t="shared" si="0"/>
        <v/>
      </c>
      <c r="H5970" s="26" t="str">
        <f t="shared" si="1"/>
        <v/>
      </c>
      <c r="I5970" s="26" t="str">
        <f t="shared" si="2"/>
        <v/>
      </c>
      <c r="J5970" s="86">
        <f t="shared" si="3"/>
        <v>0</v>
      </c>
      <c r="R5970" s="26"/>
    </row>
    <row r="5971" spans="1:18" ht="15.75" customHeight="1">
      <c r="A5971" s="26"/>
      <c r="B5971" s="86"/>
      <c r="D5971" s="26"/>
      <c r="F5971" s="87" t="str">
        <f t="shared" si="0"/>
        <v/>
      </c>
      <c r="H5971" s="26" t="str">
        <f t="shared" si="1"/>
        <v/>
      </c>
      <c r="I5971" s="26" t="str">
        <f t="shared" si="2"/>
        <v/>
      </c>
      <c r="J5971" s="86">
        <f t="shared" si="3"/>
        <v>0</v>
      </c>
      <c r="R5971" s="26"/>
    </row>
    <row r="5972" spans="1:18" ht="15.75" customHeight="1">
      <c r="A5972" s="26"/>
      <c r="B5972" s="86"/>
      <c r="D5972" s="26"/>
      <c r="F5972" s="87" t="str">
        <f t="shared" si="0"/>
        <v/>
      </c>
      <c r="H5972" s="26" t="str">
        <f t="shared" si="1"/>
        <v/>
      </c>
      <c r="I5972" s="26" t="str">
        <f t="shared" si="2"/>
        <v/>
      </c>
      <c r="J5972" s="86">
        <f t="shared" si="3"/>
        <v>0</v>
      </c>
      <c r="R5972" s="26"/>
    </row>
    <row r="5973" spans="1:18" ht="15.75" customHeight="1">
      <c r="A5973" s="26"/>
      <c r="B5973" s="86"/>
      <c r="D5973" s="26"/>
      <c r="F5973" s="87" t="str">
        <f t="shared" si="0"/>
        <v/>
      </c>
      <c r="H5973" s="26" t="str">
        <f t="shared" si="1"/>
        <v/>
      </c>
      <c r="I5973" s="26" t="str">
        <f t="shared" si="2"/>
        <v/>
      </c>
      <c r="J5973" s="86">
        <f t="shared" si="3"/>
        <v>0</v>
      </c>
      <c r="R5973" s="26"/>
    </row>
    <row r="5974" spans="1:18" ht="15.75" customHeight="1">
      <c r="A5974" s="26"/>
      <c r="B5974" s="86"/>
      <c r="D5974" s="26"/>
      <c r="F5974" s="87" t="str">
        <f t="shared" si="0"/>
        <v/>
      </c>
      <c r="H5974" s="26" t="str">
        <f t="shared" si="1"/>
        <v/>
      </c>
      <c r="I5974" s="26" t="str">
        <f t="shared" si="2"/>
        <v/>
      </c>
      <c r="J5974" s="86">
        <f t="shared" si="3"/>
        <v>0</v>
      </c>
      <c r="R5974" s="26"/>
    </row>
    <row r="5975" spans="1:18" ht="15.75" customHeight="1">
      <c r="A5975" s="26"/>
      <c r="B5975" s="86"/>
      <c r="D5975" s="26"/>
      <c r="F5975" s="87" t="str">
        <f t="shared" si="0"/>
        <v/>
      </c>
      <c r="H5975" s="26" t="str">
        <f t="shared" si="1"/>
        <v/>
      </c>
      <c r="I5975" s="26" t="str">
        <f t="shared" si="2"/>
        <v/>
      </c>
      <c r="J5975" s="86">
        <f t="shared" si="3"/>
        <v>0</v>
      </c>
      <c r="R5975" s="26"/>
    </row>
    <row r="5976" spans="1:18" ht="15.75" customHeight="1">
      <c r="A5976" s="26"/>
      <c r="B5976" s="86"/>
      <c r="D5976" s="26"/>
      <c r="F5976" s="87" t="str">
        <f t="shared" si="0"/>
        <v/>
      </c>
      <c r="H5976" s="26" t="str">
        <f t="shared" si="1"/>
        <v/>
      </c>
      <c r="I5976" s="26" t="str">
        <f t="shared" si="2"/>
        <v/>
      </c>
      <c r="J5976" s="86">
        <f t="shared" si="3"/>
        <v>0</v>
      </c>
      <c r="R5976" s="26"/>
    </row>
    <row r="5977" spans="1:18" ht="15.75" customHeight="1">
      <c r="A5977" s="26"/>
      <c r="B5977" s="86"/>
      <c r="D5977" s="26"/>
      <c r="F5977" s="87" t="str">
        <f t="shared" si="0"/>
        <v/>
      </c>
      <c r="H5977" s="26" t="str">
        <f t="shared" si="1"/>
        <v/>
      </c>
      <c r="I5977" s="26" t="str">
        <f t="shared" si="2"/>
        <v/>
      </c>
      <c r="J5977" s="86">
        <f t="shared" si="3"/>
        <v>0</v>
      </c>
      <c r="R5977" s="26"/>
    </row>
    <row r="5978" spans="1:18" ht="15.75" customHeight="1">
      <c r="A5978" s="26"/>
      <c r="B5978" s="86"/>
      <c r="D5978" s="26"/>
      <c r="F5978" s="87" t="str">
        <f t="shared" si="0"/>
        <v/>
      </c>
      <c r="H5978" s="26" t="str">
        <f t="shared" si="1"/>
        <v/>
      </c>
      <c r="I5978" s="26" t="str">
        <f t="shared" si="2"/>
        <v/>
      </c>
      <c r="J5978" s="86">
        <f t="shared" si="3"/>
        <v>0</v>
      </c>
      <c r="R5978" s="26"/>
    </row>
    <row r="5979" spans="1:18" ht="15.75" customHeight="1">
      <c r="A5979" s="26"/>
      <c r="B5979" s="86"/>
      <c r="D5979" s="26"/>
      <c r="F5979" s="87" t="str">
        <f t="shared" si="0"/>
        <v/>
      </c>
      <c r="H5979" s="26" t="str">
        <f t="shared" si="1"/>
        <v/>
      </c>
      <c r="I5979" s="26" t="str">
        <f t="shared" si="2"/>
        <v/>
      </c>
      <c r="J5979" s="86">
        <f t="shared" si="3"/>
        <v>0</v>
      </c>
      <c r="R5979" s="26"/>
    </row>
    <row r="5980" spans="1:18" ht="15.75" customHeight="1">
      <c r="A5980" s="26"/>
      <c r="B5980" s="86"/>
      <c r="D5980" s="26"/>
      <c r="F5980" s="87" t="str">
        <f t="shared" si="0"/>
        <v/>
      </c>
      <c r="H5980" s="26" t="str">
        <f t="shared" si="1"/>
        <v/>
      </c>
      <c r="I5980" s="26" t="str">
        <f t="shared" si="2"/>
        <v/>
      </c>
      <c r="J5980" s="86">
        <f t="shared" si="3"/>
        <v>0</v>
      </c>
      <c r="R5980" s="26"/>
    </row>
    <row r="5981" spans="1:18" ht="15.75" customHeight="1">
      <c r="A5981" s="26"/>
      <c r="B5981" s="86"/>
      <c r="D5981" s="26"/>
      <c r="F5981" s="87" t="str">
        <f t="shared" si="0"/>
        <v/>
      </c>
      <c r="H5981" s="26" t="str">
        <f t="shared" si="1"/>
        <v/>
      </c>
      <c r="I5981" s="26" t="str">
        <f t="shared" si="2"/>
        <v/>
      </c>
      <c r="J5981" s="86">
        <f t="shared" si="3"/>
        <v>0</v>
      </c>
      <c r="R5981" s="26"/>
    </row>
    <row r="5982" spans="1:18" ht="15.75" customHeight="1">
      <c r="A5982" s="26"/>
      <c r="B5982" s="86"/>
      <c r="D5982" s="26"/>
      <c r="F5982" s="87" t="str">
        <f t="shared" si="0"/>
        <v/>
      </c>
      <c r="H5982" s="26" t="str">
        <f t="shared" si="1"/>
        <v/>
      </c>
      <c r="I5982" s="26" t="str">
        <f t="shared" si="2"/>
        <v/>
      </c>
      <c r="J5982" s="86">
        <f t="shared" si="3"/>
        <v>0</v>
      </c>
      <c r="R5982" s="26"/>
    </row>
    <row r="5983" spans="1:18" ht="15.75" customHeight="1">
      <c r="A5983" s="26"/>
      <c r="B5983" s="86"/>
      <c r="D5983" s="26"/>
      <c r="F5983" s="87" t="str">
        <f t="shared" si="0"/>
        <v/>
      </c>
      <c r="H5983" s="26" t="str">
        <f t="shared" si="1"/>
        <v/>
      </c>
      <c r="I5983" s="26" t="str">
        <f t="shared" si="2"/>
        <v/>
      </c>
      <c r="J5983" s="86">
        <f t="shared" si="3"/>
        <v>0</v>
      </c>
      <c r="R5983" s="26"/>
    </row>
    <row r="5984" spans="1:18" ht="15.75" customHeight="1">
      <c r="A5984" s="26"/>
      <c r="B5984" s="86"/>
      <c r="D5984" s="26"/>
      <c r="F5984" s="87" t="str">
        <f t="shared" si="0"/>
        <v/>
      </c>
      <c r="H5984" s="26" t="str">
        <f t="shared" si="1"/>
        <v/>
      </c>
      <c r="I5984" s="26" t="str">
        <f t="shared" si="2"/>
        <v/>
      </c>
      <c r="J5984" s="86">
        <f t="shared" si="3"/>
        <v>0</v>
      </c>
      <c r="R5984" s="26"/>
    </row>
    <row r="5985" spans="1:18" ht="15.75" customHeight="1">
      <c r="A5985" s="26"/>
      <c r="B5985" s="86"/>
      <c r="D5985" s="26"/>
      <c r="F5985" s="87" t="str">
        <f t="shared" si="0"/>
        <v/>
      </c>
      <c r="H5985" s="26" t="str">
        <f t="shared" si="1"/>
        <v/>
      </c>
      <c r="I5985" s="26" t="str">
        <f t="shared" si="2"/>
        <v/>
      </c>
      <c r="J5985" s="86">
        <f t="shared" si="3"/>
        <v>0</v>
      </c>
      <c r="R5985" s="26"/>
    </row>
    <row r="5986" spans="1:18" ht="15.75" customHeight="1">
      <c r="A5986" s="26"/>
      <c r="B5986" s="86"/>
      <c r="D5986" s="26"/>
      <c r="F5986" s="87" t="str">
        <f t="shared" si="0"/>
        <v/>
      </c>
      <c r="H5986" s="26" t="str">
        <f t="shared" si="1"/>
        <v/>
      </c>
      <c r="I5986" s="26" t="str">
        <f t="shared" si="2"/>
        <v/>
      </c>
      <c r="J5986" s="86">
        <f t="shared" si="3"/>
        <v>0</v>
      </c>
      <c r="R5986" s="26"/>
    </row>
    <row r="5987" spans="1:18" ht="15.75" customHeight="1">
      <c r="A5987" s="26"/>
      <c r="B5987" s="86"/>
      <c r="D5987" s="26"/>
      <c r="F5987" s="87" t="str">
        <f t="shared" si="0"/>
        <v/>
      </c>
      <c r="H5987" s="26" t="str">
        <f t="shared" si="1"/>
        <v/>
      </c>
      <c r="I5987" s="26" t="str">
        <f t="shared" si="2"/>
        <v/>
      </c>
      <c r="J5987" s="86">
        <f t="shared" si="3"/>
        <v>0</v>
      </c>
      <c r="R5987" s="26"/>
    </row>
    <row r="5988" spans="1:18" ht="15.75" customHeight="1">
      <c r="A5988" s="26"/>
      <c r="B5988" s="86"/>
      <c r="D5988" s="26"/>
      <c r="F5988" s="87" t="str">
        <f t="shared" si="0"/>
        <v/>
      </c>
      <c r="H5988" s="26" t="str">
        <f t="shared" si="1"/>
        <v/>
      </c>
      <c r="I5988" s="26" t="str">
        <f t="shared" si="2"/>
        <v/>
      </c>
      <c r="J5988" s="86">
        <f t="shared" si="3"/>
        <v>0</v>
      </c>
      <c r="R5988" s="26"/>
    </row>
    <row r="5989" spans="1:18" ht="15.75" customHeight="1">
      <c r="A5989" s="26"/>
      <c r="B5989" s="86"/>
      <c r="D5989" s="26"/>
      <c r="F5989" s="87" t="str">
        <f t="shared" si="0"/>
        <v/>
      </c>
      <c r="H5989" s="26" t="str">
        <f t="shared" si="1"/>
        <v/>
      </c>
      <c r="I5989" s="26" t="str">
        <f t="shared" si="2"/>
        <v/>
      </c>
      <c r="J5989" s="86">
        <f t="shared" si="3"/>
        <v>0</v>
      </c>
      <c r="R5989" s="26"/>
    </row>
    <row r="5990" spans="1:18" ht="15.75" customHeight="1">
      <c r="A5990" s="26"/>
      <c r="B5990" s="86"/>
      <c r="D5990" s="26"/>
      <c r="F5990" s="87" t="str">
        <f t="shared" si="0"/>
        <v/>
      </c>
      <c r="H5990" s="26" t="str">
        <f t="shared" si="1"/>
        <v/>
      </c>
      <c r="I5990" s="26" t="str">
        <f t="shared" si="2"/>
        <v/>
      </c>
      <c r="J5990" s="86">
        <f t="shared" si="3"/>
        <v>0</v>
      </c>
      <c r="R5990" s="26"/>
    </row>
    <row r="5991" spans="1:18" ht="15.75" customHeight="1">
      <c r="A5991" s="26"/>
      <c r="B5991" s="86"/>
      <c r="D5991" s="26"/>
      <c r="F5991" s="87" t="str">
        <f t="shared" si="0"/>
        <v/>
      </c>
      <c r="H5991" s="26" t="str">
        <f t="shared" si="1"/>
        <v/>
      </c>
      <c r="I5991" s="26" t="str">
        <f t="shared" si="2"/>
        <v/>
      </c>
      <c r="J5991" s="86">
        <f t="shared" si="3"/>
        <v>0</v>
      </c>
      <c r="R5991" s="26"/>
    </row>
    <row r="5992" spans="1:18" ht="15.75" customHeight="1">
      <c r="A5992" s="26"/>
      <c r="B5992" s="86"/>
      <c r="D5992" s="26"/>
      <c r="F5992" s="87" t="str">
        <f t="shared" si="0"/>
        <v/>
      </c>
      <c r="H5992" s="26" t="str">
        <f t="shared" si="1"/>
        <v/>
      </c>
      <c r="I5992" s="26" t="str">
        <f t="shared" si="2"/>
        <v/>
      </c>
      <c r="J5992" s="86">
        <f t="shared" si="3"/>
        <v>0</v>
      </c>
      <c r="R5992" s="26"/>
    </row>
    <row r="5993" spans="1:18" ht="15.75" customHeight="1">
      <c r="A5993" s="26"/>
      <c r="B5993" s="86"/>
      <c r="D5993" s="26"/>
      <c r="F5993" s="87" t="str">
        <f t="shared" si="0"/>
        <v/>
      </c>
      <c r="H5993" s="26" t="str">
        <f t="shared" si="1"/>
        <v/>
      </c>
      <c r="I5993" s="26" t="str">
        <f t="shared" si="2"/>
        <v/>
      </c>
      <c r="J5993" s="86">
        <f t="shared" si="3"/>
        <v>0</v>
      </c>
      <c r="R5993" s="26"/>
    </row>
    <row r="5994" spans="1:18" ht="15.75" customHeight="1">
      <c r="A5994" s="26"/>
      <c r="B5994" s="86"/>
      <c r="D5994" s="26"/>
      <c r="F5994" s="87" t="str">
        <f t="shared" si="0"/>
        <v/>
      </c>
      <c r="H5994" s="26" t="str">
        <f t="shared" si="1"/>
        <v/>
      </c>
      <c r="I5994" s="26" t="str">
        <f t="shared" si="2"/>
        <v/>
      </c>
      <c r="J5994" s="86">
        <f t="shared" si="3"/>
        <v>0</v>
      </c>
      <c r="R5994" s="26"/>
    </row>
    <row r="5995" spans="1:18" ht="15.75" customHeight="1">
      <c r="A5995" s="26"/>
      <c r="B5995" s="86"/>
      <c r="D5995" s="26"/>
      <c r="F5995" s="87" t="str">
        <f t="shared" si="0"/>
        <v/>
      </c>
      <c r="H5995" s="26" t="str">
        <f t="shared" si="1"/>
        <v/>
      </c>
      <c r="I5995" s="26" t="str">
        <f t="shared" si="2"/>
        <v/>
      </c>
      <c r="J5995" s="86">
        <f t="shared" si="3"/>
        <v>0</v>
      </c>
      <c r="R5995" s="26"/>
    </row>
    <row r="5996" spans="1:18" ht="15.75" customHeight="1">
      <c r="A5996" s="26"/>
      <c r="B5996" s="86"/>
      <c r="D5996" s="26"/>
      <c r="F5996" s="87" t="str">
        <f t="shared" si="0"/>
        <v/>
      </c>
      <c r="H5996" s="26" t="str">
        <f t="shared" si="1"/>
        <v/>
      </c>
      <c r="I5996" s="26" t="str">
        <f t="shared" si="2"/>
        <v/>
      </c>
      <c r="J5996" s="86">
        <f t="shared" si="3"/>
        <v>0</v>
      </c>
      <c r="R5996" s="26"/>
    </row>
    <row r="5997" spans="1:18" ht="15.75" customHeight="1">
      <c r="A5997" s="26"/>
      <c r="B5997" s="86"/>
      <c r="D5997" s="26"/>
      <c r="F5997" s="87" t="str">
        <f t="shared" si="0"/>
        <v/>
      </c>
      <c r="H5997" s="26" t="str">
        <f t="shared" si="1"/>
        <v/>
      </c>
      <c r="I5997" s="26" t="str">
        <f t="shared" si="2"/>
        <v/>
      </c>
      <c r="J5997" s="86">
        <f t="shared" si="3"/>
        <v>0</v>
      </c>
      <c r="R5997" s="26"/>
    </row>
    <row r="5998" spans="1:18" ht="15.75" customHeight="1">
      <c r="A5998" s="26"/>
      <c r="B5998" s="86"/>
      <c r="D5998" s="26"/>
      <c r="F5998" s="87" t="str">
        <f t="shared" si="0"/>
        <v/>
      </c>
      <c r="H5998" s="26" t="str">
        <f t="shared" si="1"/>
        <v/>
      </c>
      <c r="I5998" s="26" t="str">
        <f t="shared" si="2"/>
        <v/>
      </c>
      <c r="J5998" s="86">
        <f t="shared" si="3"/>
        <v>0</v>
      </c>
      <c r="R5998" s="26"/>
    </row>
    <row r="5999" spans="1:18" ht="15.75" customHeight="1">
      <c r="A5999" s="26"/>
      <c r="B5999" s="86"/>
      <c r="D5999" s="26"/>
      <c r="F5999" s="87" t="str">
        <f t="shared" si="0"/>
        <v/>
      </c>
      <c r="H5999" s="26" t="str">
        <f t="shared" si="1"/>
        <v/>
      </c>
      <c r="I5999" s="26" t="str">
        <f t="shared" si="2"/>
        <v/>
      </c>
      <c r="J5999" s="86">
        <f t="shared" si="3"/>
        <v>0</v>
      </c>
      <c r="R5999" s="26"/>
    </row>
    <row r="6000" spans="1:18" ht="15.75" customHeight="1">
      <c r="A6000" s="26"/>
      <c r="B6000" s="86"/>
      <c r="D6000" s="26"/>
      <c r="F6000" s="87" t="str">
        <f t="shared" si="0"/>
        <v/>
      </c>
      <c r="H6000" s="26" t="str">
        <f t="shared" si="1"/>
        <v/>
      </c>
      <c r="I6000" s="26" t="str">
        <f t="shared" si="2"/>
        <v/>
      </c>
      <c r="J6000" s="86">
        <f t="shared" si="3"/>
        <v>0</v>
      </c>
      <c r="R6000" s="26"/>
    </row>
    <row r="6001" spans="1:18" ht="15.75" customHeight="1">
      <c r="A6001" s="26"/>
      <c r="B6001" s="86"/>
      <c r="D6001" s="26"/>
      <c r="F6001" s="87" t="str">
        <f t="shared" si="0"/>
        <v/>
      </c>
      <c r="H6001" s="26" t="str">
        <f t="shared" si="1"/>
        <v/>
      </c>
      <c r="I6001" s="26" t="str">
        <f t="shared" si="2"/>
        <v/>
      </c>
      <c r="J6001" s="86">
        <f t="shared" si="3"/>
        <v>0</v>
      </c>
      <c r="R6001" s="26"/>
    </row>
    <row r="6002" spans="1:18" ht="15.75" customHeight="1">
      <c r="A6002" s="26"/>
      <c r="B6002" s="86"/>
      <c r="D6002" s="26"/>
      <c r="F6002" s="87" t="str">
        <f t="shared" si="0"/>
        <v/>
      </c>
      <c r="H6002" s="26" t="str">
        <f t="shared" si="1"/>
        <v/>
      </c>
      <c r="I6002" s="26" t="str">
        <f t="shared" si="2"/>
        <v/>
      </c>
      <c r="J6002" s="86">
        <f t="shared" si="3"/>
        <v>0</v>
      </c>
      <c r="R6002" s="26"/>
    </row>
    <row r="6003" spans="1:18" ht="15.75" customHeight="1">
      <c r="A6003" s="26"/>
      <c r="B6003" s="86"/>
      <c r="D6003" s="26"/>
      <c r="F6003" s="87" t="str">
        <f t="shared" si="0"/>
        <v/>
      </c>
      <c r="H6003" s="26" t="str">
        <f t="shared" si="1"/>
        <v/>
      </c>
      <c r="I6003" s="26" t="str">
        <f t="shared" si="2"/>
        <v/>
      </c>
      <c r="J6003" s="86">
        <f t="shared" si="3"/>
        <v>0</v>
      </c>
      <c r="R6003" s="26"/>
    </row>
    <row r="6004" spans="1:18" ht="15.75" customHeight="1">
      <c r="A6004" s="26"/>
      <c r="B6004" s="86"/>
      <c r="D6004" s="26"/>
      <c r="F6004" s="87" t="str">
        <f t="shared" si="0"/>
        <v/>
      </c>
      <c r="H6004" s="26" t="str">
        <f t="shared" si="1"/>
        <v/>
      </c>
      <c r="I6004" s="26" t="str">
        <f t="shared" si="2"/>
        <v/>
      </c>
      <c r="J6004" s="86">
        <f t="shared" si="3"/>
        <v>0</v>
      </c>
      <c r="R6004" s="26"/>
    </row>
    <row r="6005" spans="1:18" ht="15.75" customHeight="1">
      <c r="A6005" s="26"/>
      <c r="B6005" s="86"/>
      <c r="D6005" s="26"/>
      <c r="F6005" s="87" t="str">
        <f t="shared" si="0"/>
        <v/>
      </c>
      <c r="H6005" s="26" t="str">
        <f t="shared" si="1"/>
        <v/>
      </c>
      <c r="I6005" s="26" t="str">
        <f t="shared" si="2"/>
        <v/>
      </c>
      <c r="J6005" s="86">
        <f t="shared" si="3"/>
        <v>0</v>
      </c>
      <c r="R6005" s="26"/>
    </row>
    <row r="6006" spans="1:18" ht="15.75" customHeight="1">
      <c r="A6006" s="26"/>
      <c r="B6006" s="86"/>
      <c r="D6006" s="26"/>
      <c r="F6006" s="87" t="str">
        <f t="shared" si="0"/>
        <v/>
      </c>
      <c r="H6006" s="26" t="str">
        <f t="shared" si="1"/>
        <v/>
      </c>
      <c r="I6006" s="26" t="str">
        <f t="shared" si="2"/>
        <v/>
      </c>
      <c r="J6006" s="86">
        <f t="shared" si="3"/>
        <v>0</v>
      </c>
      <c r="R6006" s="26"/>
    </row>
    <row r="6007" spans="1:18" ht="15.75" customHeight="1">
      <c r="A6007" s="26"/>
      <c r="B6007" s="86"/>
      <c r="D6007" s="26"/>
      <c r="F6007" s="87" t="str">
        <f t="shared" si="0"/>
        <v/>
      </c>
      <c r="H6007" s="26" t="str">
        <f t="shared" si="1"/>
        <v/>
      </c>
      <c r="I6007" s="26" t="str">
        <f t="shared" si="2"/>
        <v/>
      </c>
      <c r="J6007" s="86">
        <f t="shared" si="3"/>
        <v>0</v>
      </c>
      <c r="R6007" s="26"/>
    </row>
    <row r="6008" spans="1:18" ht="15.75" customHeight="1">
      <c r="A6008" s="26"/>
      <c r="B6008" s="86"/>
      <c r="D6008" s="26"/>
      <c r="F6008" s="87" t="str">
        <f t="shared" si="0"/>
        <v/>
      </c>
      <c r="H6008" s="26" t="str">
        <f t="shared" si="1"/>
        <v/>
      </c>
      <c r="I6008" s="26" t="str">
        <f t="shared" si="2"/>
        <v/>
      </c>
      <c r="J6008" s="86">
        <f t="shared" si="3"/>
        <v>0</v>
      </c>
      <c r="R6008" s="26"/>
    </row>
    <row r="6009" spans="1:18" ht="15.75" customHeight="1">
      <c r="A6009" s="26"/>
      <c r="B6009" s="86"/>
      <c r="D6009" s="26"/>
      <c r="F6009" s="87" t="str">
        <f t="shared" si="0"/>
        <v/>
      </c>
      <c r="H6009" s="26" t="str">
        <f t="shared" si="1"/>
        <v/>
      </c>
      <c r="I6009" s="26" t="str">
        <f t="shared" si="2"/>
        <v/>
      </c>
      <c r="J6009" s="86">
        <f t="shared" si="3"/>
        <v>0</v>
      </c>
      <c r="R6009" s="26"/>
    </row>
    <row r="6010" spans="1:18" ht="15.75" customHeight="1">
      <c r="A6010" s="26"/>
      <c r="B6010" s="86"/>
      <c r="D6010" s="26"/>
      <c r="F6010" s="87" t="str">
        <f t="shared" si="0"/>
        <v/>
      </c>
      <c r="H6010" s="26" t="str">
        <f t="shared" si="1"/>
        <v/>
      </c>
      <c r="I6010" s="26" t="str">
        <f t="shared" si="2"/>
        <v/>
      </c>
      <c r="J6010" s="86">
        <f t="shared" si="3"/>
        <v>0</v>
      </c>
      <c r="R6010" s="26"/>
    </row>
    <row r="6011" spans="1:18" ht="15.75" customHeight="1">
      <c r="A6011" s="26"/>
      <c r="B6011" s="86"/>
      <c r="D6011" s="26"/>
      <c r="F6011" s="87" t="str">
        <f t="shared" si="0"/>
        <v/>
      </c>
      <c r="H6011" s="26" t="str">
        <f t="shared" si="1"/>
        <v/>
      </c>
      <c r="I6011" s="26" t="str">
        <f t="shared" si="2"/>
        <v/>
      </c>
      <c r="J6011" s="86">
        <f t="shared" si="3"/>
        <v>0</v>
      </c>
      <c r="R6011" s="26"/>
    </row>
    <row r="6012" spans="1:18" ht="15.75" customHeight="1">
      <c r="A6012" s="26"/>
      <c r="B6012" s="86"/>
      <c r="D6012" s="26"/>
      <c r="F6012" s="87" t="str">
        <f t="shared" si="0"/>
        <v/>
      </c>
      <c r="H6012" s="26" t="str">
        <f t="shared" si="1"/>
        <v/>
      </c>
      <c r="I6012" s="26" t="str">
        <f t="shared" si="2"/>
        <v/>
      </c>
      <c r="J6012" s="86">
        <f t="shared" si="3"/>
        <v>0</v>
      </c>
      <c r="R6012" s="26"/>
    </row>
    <row r="6013" spans="1:18" ht="15.75" customHeight="1">
      <c r="A6013" s="26"/>
      <c r="B6013" s="86"/>
      <c r="D6013" s="26"/>
      <c r="F6013" s="87" t="str">
        <f t="shared" si="0"/>
        <v/>
      </c>
      <c r="H6013" s="26" t="str">
        <f t="shared" si="1"/>
        <v/>
      </c>
      <c r="I6013" s="26" t="str">
        <f t="shared" si="2"/>
        <v/>
      </c>
      <c r="J6013" s="86">
        <f t="shared" si="3"/>
        <v>0</v>
      </c>
      <c r="R6013" s="26"/>
    </row>
    <row r="6014" spans="1:18" ht="15.75" customHeight="1">
      <c r="A6014" s="26"/>
      <c r="B6014" s="86"/>
      <c r="D6014" s="26"/>
      <c r="F6014" s="87" t="str">
        <f t="shared" si="0"/>
        <v/>
      </c>
      <c r="H6014" s="26" t="str">
        <f t="shared" si="1"/>
        <v/>
      </c>
      <c r="I6014" s="26" t="str">
        <f t="shared" si="2"/>
        <v/>
      </c>
      <c r="J6014" s="86">
        <f t="shared" si="3"/>
        <v>0</v>
      </c>
      <c r="R6014" s="26"/>
    </row>
    <row r="6015" spans="1:18" ht="15.75" customHeight="1">
      <c r="A6015" s="26"/>
      <c r="B6015" s="86"/>
      <c r="D6015" s="26"/>
      <c r="F6015" s="87" t="str">
        <f t="shared" si="0"/>
        <v/>
      </c>
      <c r="H6015" s="26" t="str">
        <f t="shared" si="1"/>
        <v/>
      </c>
      <c r="I6015" s="26" t="str">
        <f t="shared" si="2"/>
        <v/>
      </c>
      <c r="J6015" s="86">
        <f t="shared" si="3"/>
        <v>0</v>
      </c>
      <c r="R6015" s="26"/>
    </row>
    <row r="6016" spans="1:18" ht="15.75" customHeight="1">
      <c r="A6016" s="26"/>
      <c r="B6016" s="86"/>
      <c r="D6016" s="26"/>
      <c r="F6016" s="87" t="str">
        <f t="shared" si="0"/>
        <v/>
      </c>
      <c r="H6016" s="26" t="str">
        <f t="shared" si="1"/>
        <v/>
      </c>
      <c r="I6016" s="26" t="str">
        <f t="shared" si="2"/>
        <v/>
      </c>
      <c r="J6016" s="86">
        <f t="shared" si="3"/>
        <v>0</v>
      </c>
      <c r="R6016" s="26"/>
    </row>
    <row r="6017" spans="1:18" ht="15.75" customHeight="1">
      <c r="A6017" s="26"/>
      <c r="B6017" s="86"/>
      <c r="D6017" s="26"/>
      <c r="F6017" s="87" t="str">
        <f t="shared" si="0"/>
        <v/>
      </c>
      <c r="H6017" s="26" t="str">
        <f t="shared" si="1"/>
        <v/>
      </c>
      <c r="I6017" s="26" t="str">
        <f t="shared" si="2"/>
        <v/>
      </c>
      <c r="J6017" s="86">
        <f t="shared" si="3"/>
        <v>0</v>
      </c>
      <c r="R6017" s="26"/>
    </row>
    <row r="6018" spans="1:18" ht="15.75" customHeight="1">
      <c r="A6018" s="26"/>
      <c r="B6018" s="86"/>
      <c r="D6018" s="26"/>
      <c r="F6018" s="87" t="str">
        <f t="shared" si="0"/>
        <v/>
      </c>
      <c r="H6018" s="26" t="str">
        <f t="shared" si="1"/>
        <v/>
      </c>
      <c r="I6018" s="26" t="str">
        <f t="shared" si="2"/>
        <v/>
      </c>
      <c r="J6018" s="86">
        <f t="shared" si="3"/>
        <v>0</v>
      </c>
      <c r="R6018" s="26"/>
    </row>
    <row r="6019" spans="1:18" ht="15.75" customHeight="1">
      <c r="A6019" s="26"/>
      <c r="B6019" s="86"/>
      <c r="D6019" s="26"/>
      <c r="F6019" s="87" t="str">
        <f t="shared" si="0"/>
        <v/>
      </c>
      <c r="H6019" s="26" t="str">
        <f t="shared" si="1"/>
        <v/>
      </c>
      <c r="I6019" s="26" t="str">
        <f t="shared" si="2"/>
        <v/>
      </c>
      <c r="J6019" s="86">
        <f t="shared" si="3"/>
        <v>0</v>
      </c>
      <c r="R6019" s="26"/>
    </row>
    <row r="6020" spans="1:18" ht="15.75" customHeight="1">
      <c r="A6020" s="26"/>
      <c r="B6020" s="86"/>
      <c r="D6020" s="26"/>
      <c r="F6020" s="87" t="str">
        <f t="shared" si="0"/>
        <v/>
      </c>
      <c r="H6020" s="26" t="str">
        <f t="shared" si="1"/>
        <v/>
      </c>
      <c r="I6020" s="26" t="str">
        <f t="shared" si="2"/>
        <v/>
      </c>
      <c r="J6020" s="86">
        <f t="shared" si="3"/>
        <v>0</v>
      </c>
      <c r="R6020" s="26"/>
    </row>
    <row r="6021" spans="1:18" ht="15.75" customHeight="1">
      <c r="A6021" s="26"/>
      <c r="B6021" s="86"/>
      <c r="D6021" s="26"/>
      <c r="F6021" s="87" t="str">
        <f t="shared" si="0"/>
        <v/>
      </c>
      <c r="H6021" s="26" t="str">
        <f t="shared" si="1"/>
        <v/>
      </c>
      <c r="I6021" s="26" t="str">
        <f t="shared" si="2"/>
        <v/>
      </c>
      <c r="J6021" s="86">
        <f t="shared" si="3"/>
        <v>0</v>
      </c>
      <c r="R6021" s="26"/>
    </row>
    <row r="6022" spans="1:18" ht="15.75" customHeight="1">
      <c r="A6022" s="26"/>
      <c r="B6022" s="86"/>
      <c r="D6022" s="26"/>
      <c r="F6022" s="87" t="str">
        <f t="shared" si="0"/>
        <v/>
      </c>
      <c r="H6022" s="26" t="str">
        <f t="shared" si="1"/>
        <v/>
      </c>
      <c r="I6022" s="26" t="str">
        <f t="shared" si="2"/>
        <v/>
      </c>
      <c r="J6022" s="86">
        <f t="shared" si="3"/>
        <v>0</v>
      </c>
      <c r="R6022" s="26"/>
    </row>
    <row r="6023" spans="1:18" ht="15.75" customHeight="1">
      <c r="A6023" s="26"/>
      <c r="B6023" s="86"/>
      <c r="D6023" s="26"/>
      <c r="F6023" s="87" t="str">
        <f t="shared" si="0"/>
        <v/>
      </c>
      <c r="H6023" s="26" t="str">
        <f t="shared" si="1"/>
        <v/>
      </c>
      <c r="I6023" s="26" t="str">
        <f t="shared" si="2"/>
        <v/>
      </c>
      <c r="J6023" s="86">
        <f t="shared" si="3"/>
        <v>0</v>
      </c>
      <c r="R6023" s="26"/>
    </row>
    <row r="6024" spans="1:18" ht="15.75" customHeight="1">
      <c r="A6024" s="26"/>
      <c r="B6024" s="86"/>
      <c r="D6024" s="26"/>
      <c r="F6024" s="87" t="str">
        <f t="shared" si="0"/>
        <v/>
      </c>
      <c r="H6024" s="26" t="str">
        <f t="shared" si="1"/>
        <v/>
      </c>
      <c r="I6024" s="26" t="str">
        <f t="shared" si="2"/>
        <v/>
      </c>
      <c r="J6024" s="86">
        <f t="shared" si="3"/>
        <v>0</v>
      </c>
      <c r="R6024" s="26"/>
    </row>
    <row r="6025" spans="1:18" ht="15.75" customHeight="1">
      <c r="A6025" s="26"/>
      <c r="B6025" s="86"/>
      <c r="D6025" s="26"/>
      <c r="F6025" s="87" t="str">
        <f t="shared" si="0"/>
        <v/>
      </c>
      <c r="H6025" s="26" t="str">
        <f t="shared" si="1"/>
        <v/>
      </c>
      <c r="I6025" s="26" t="str">
        <f t="shared" si="2"/>
        <v/>
      </c>
      <c r="J6025" s="86">
        <f t="shared" si="3"/>
        <v>0</v>
      </c>
      <c r="R6025" s="26"/>
    </row>
    <row r="6026" spans="1:18" ht="15.75" customHeight="1">
      <c r="A6026" s="26"/>
      <c r="B6026" s="86"/>
      <c r="D6026" s="26"/>
      <c r="F6026" s="87" t="str">
        <f t="shared" si="0"/>
        <v/>
      </c>
      <c r="H6026" s="26" t="str">
        <f t="shared" si="1"/>
        <v/>
      </c>
      <c r="I6026" s="26" t="str">
        <f t="shared" si="2"/>
        <v/>
      </c>
      <c r="J6026" s="86">
        <f t="shared" si="3"/>
        <v>0</v>
      </c>
      <c r="R6026" s="26"/>
    </row>
    <row r="6027" spans="1:18" ht="15.75" customHeight="1">
      <c r="A6027" s="26"/>
      <c r="B6027" s="86"/>
      <c r="D6027" s="26"/>
      <c r="F6027" s="87" t="str">
        <f t="shared" si="0"/>
        <v/>
      </c>
      <c r="H6027" s="26" t="str">
        <f t="shared" si="1"/>
        <v/>
      </c>
      <c r="I6027" s="26" t="str">
        <f t="shared" si="2"/>
        <v/>
      </c>
      <c r="J6027" s="86">
        <f t="shared" si="3"/>
        <v>0</v>
      </c>
      <c r="R6027" s="26"/>
    </row>
    <row r="6028" spans="1:18" ht="15.75" customHeight="1">
      <c r="A6028" s="26"/>
      <c r="B6028" s="86"/>
      <c r="D6028" s="26"/>
      <c r="F6028" s="87" t="str">
        <f t="shared" si="0"/>
        <v/>
      </c>
      <c r="H6028" s="26" t="str">
        <f t="shared" si="1"/>
        <v/>
      </c>
      <c r="I6028" s="26" t="str">
        <f t="shared" si="2"/>
        <v/>
      </c>
      <c r="J6028" s="86">
        <f t="shared" si="3"/>
        <v>0</v>
      </c>
      <c r="R6028" s="26"/>
    </row>
    <row r="6029" spans="1:18" ht="15.75" customHeight="1">
      <c r="A6029" s="26"/>
      <c r="B6029" s="86"/>
      <c r="D6029" s="26"/>
      <c r="F6029" s="87" t="str">
        <f t="shared" si="0"/>
        <v/>
      </c>
      <c r="H6029" s="26" t="str">
        <f t="shared" si="1"/>
        <v/>
      </c>
      <c r="I6029" s="26" t="str">
        <f t="shared" si="2"/>
        <v/>
      </c>
      <c r="J6029" s="86">
        <f t="shared" si="3"/>
        <v>0</v>
      </c>
      <c r="R6029" s="26"/>
    </row>
    <row r="6030" spans="1:18" ht="15.75" customHeight="1">
      <c r="A6030" s="26"/>
      <c r="B6030" s="86"/>
      <c r="D6030" s="26"/>
      <c r="F6030" s="87" t="str">
        <f t="shared" si="0"/>
        <v/>
      </c>
      <c r="H6030" s="26" t="str">
        <f t="shared" si="1"/>
        <v/>
      </c>
      <c r="I6030" s="26" t="str">
        <f t="shared" si="2"/>
        <v/>
      </c>
      <c r="J6030" s="86">
        <f t="shared" si="3"/>
        <v>0</v>
      </c>
      <c r="R6030" s="26"/>
    </row>
    <row r="6031" spans="1:18" ht="15.75" customHeight="1">
      <c r="A6031" s="26"/>
      <c r="B6031" s="86"/>
      <c r="D6031" s="26"/>
      <c r="F6031" s="87" t="str">
        <f t="shared" si="0"/>
        <v/>
      </c>
      <c r="H6031" s="26" t="str">
        <f t="shared" si="1"/>
        <v/>
      </c>
      <c r="I6031" s="26" t="str">
        <f t="shared" si="2"/>
        <v/>
      </c>
      <c r="J6031" s="86">
        <f t="shared" si="3"/>
        <v>0</v>
      </c>
      <c r="R6031" s="26"/>
    </row>
    <row r="6032" spans="1:18" ht="15.75" customHeight="1">
      <c r="A6032" s="26"/>
      <c r="B6032" s="86"/>
      <c r="D6032" s="26"/>
      <c r="F6032" s="87" t="str">
        <f t="shared" si="0"/>
        <v/>
      </c>
      <c r="H6032" s="26" t="str">
        <f t="shared" si="1"/>
        <v/>
      </c>
      <c r="I6032" s="26" t="str">
        <f t="shared" si="2"/>
        <v/>
      </c>
      <c r="J6032" s="86">
        <f t="shared" si="3"/>
        <v>0</v>
      </c>
      <c r="R6032" s="26"/>
    </row>
    <row r="6033" spans="1:18" ht="15.75" customHeight="1">
      <c r="A6033" s="26"/>
      <c r="B6033" s="86"/>
      <c r="D6033" s="26"/>
      <c r="F6033" s="87" t="str">
        <f t="shared" si="0"/>
        <v/>
      </c>
      <c r="H6033" s="26" t="str">
        <f t="shared" si="1"/>
        <v/>
      </c>
      <c r="I6033" s="26" t="str">
        <f t="shared" si="2"/>
        <v/>
      </c>
      <c r="J6033" s="86">
        <f t="shared" si="3"/>
        <v>0</v>
      </c>
      <c r="R6033" s="26"/>
    </row>
    <row r="6034" spans="1:18" ht="15.75" customHeight="1">
      <c r="A6034" s="26"/>
      <c r="B6034" s="86"/>
      <c r="D6034" s="26"/>
      <c r="F6034" s="87" t="str">
        <f t="shared" si="0"/>
        <v/>
      </c>
      <c r="H6034" s="26" t="str">
        <f t="shared" si="1"/>
        <v/>
      </c>
      <c r="I6034" s="26" t="str">
        <f t="shared" si="2"/>
        <v/>
      </c>
      <c r="J6034" s="86">
        <f t="shared" si="3"/>
        <v>0</v>
      </c>
      <c r="R6034" s="26"/>
    </row>
    <row r="6035" spans="1:18" ht="15.75" customHeight="1">
      <c r="A6035" s="26"/>
      <c r="B6035" s="86"/>
      <c r="D6035" s="26"/>
      <c r="F6035" s="87" t="str">
        <f t="shared" si="0"/>
        <v/>
      </c>
      <c r="H6035" s="26" t="str">
        <f t="shared" si="1"/>
        <v/>
      </c>
      <c r="I6035" s="26" t="str">
        <f t="shared" si="2"/>
        <v/>
      </c>
      <c r="J6035" s="86">
        <f t="shared" si="3"/>
        <v>0</v>
      </c>
      <c r="R6035" s="26"/>
    </row>
    <row r="6036" spans="1:18" ht="15.75" customHeight="1">
      <c r="A6036" s="26"/>
      <c r="B6036" s="86"/>
      <c r="D6036" s="26"/>
      <c r="F6036" s="87" t="str">
        <f t="shared" si="0"/>
        <v/>
      </c>
      <c r="H6036" s="26" t="str">
        <f t="shared" si="1"/>
        <v/>
      </c>
      <c r="I6036" s="26" t="str">
        <f t="shared" si="2"/>
        <v/>
      </c>
      <c r="J6036" s="86">
        <f t="shared" si="3"/>
        <v>0</v>
      </c>
      <c r="R6036" s="26"/>
    </row>
    <row r="6037" spans="1:18" ht="15.75" customHeight="1">
      <c r="A6037" s="26"/>
      <c r="B6037" s="86"/>
      <c r="D6037" s="26"/>
      <c r="F6037" s="87" t="str">
        <f t="shared" si="0"/>
        <v/>
      </c>
      <c r="H6037" s="26" t="str">
        <f t="shared" si="1"/>
        <v/>
      </c>
      <c r="I6037" s="26" t="str">
        <f t="shared" si="2"/>
        <v/>
      </c>
      <c r="J6037" s="86">
        <f t="shared" si="3"/>
        <v>0</v>
      </c>
      <c r="R6037" s="26"/>
    </row>
    <row r="6038" spans="1:18" ht="15.75" customHeight="1">
      <c r="A6038" s="26"/>
      <c r="B6038" s="86"/>
      <c r="D6038" s="26"/>
      <c r="F6038" s="87" t="str">
        <f t="shared" si="0"/>
        <v/>
      </c>
      <c r="H6038" s="26" t="str">
        <f t="shared" si="1"/>
        <v/>
      </c>
      <c r="I6038" s="26" t="str">
        <f t="shared" si="2"/>
        <v/>
      </c>
      <c r="J6038" s="86">
        <f t="shared" si="3"/>
        <v>0</v>
      </c>
      <c r="R6038" s="26"/>
    </row>
    <row r="6039" spans="1:18" ht="15.75" customHeight="1">
      <c r="A6039" s="26"/>
      <c r="B6039" s="86"/>
      <c r="D6039" s="26"/>
      <c r="F6039" s="87" t="str">
        <f t="shared" si="0"/>
        <v/>
      </c>
      <c r="H6039" s="26" t="str">
        <f t="shared" si="1"/>
        <v/>
      </c>
      <c r="I6039" s="26" t="str">
        <f t="shared" si="2"/>
        <v/>
      </c>
      <c r="J6039" s="86">
        <f t="shared" si="3"/>
        <v>0</v>
      </c>
      <c r="R6039" s="26"/>
    </row>
    <row r="6040" spans="1:18" ht="15.75" customHeight="1">
      <c r="A6040" s="26"/>
      <c r="B6040" s="86"/>
      <c r="D6040" s="26"/>
      <c r="F6040" s="87" t="str">
        <f t="shared" si="0"/>
        <v/>
      </c>
      <c r="H6040" s="26" t="str">
        <f t="shared" si="1"/>
        <v/>
      </c>
      <c r="I6040" s="26" t="str">
        <f t="shared" si="2"/>
        <v/>
      </c>
      <c r="J6040" s="86">
        <f t="shared" si="3"/>
        <v>0</v>
      </c>
      <c r="R6040" s="26"/>
    </row>
    <row r="6041" spans="1:18" ht="15.75" customHeight="1">
      <c r="A6041" s="26"/>
      <c r="B6041" s="86"/>
      <c r="D6041" s="26"/>
      <c r="F6041" s="87" t="str">
        <f t="shared" si="0"/>
        <v/>
      </c>
      <c r="H6041" s="26" t="str">
        <f t="shared" si="1"/>
        <v/>
      </c>
      <c r="I6041" s="26" t="str">
        <f t="shared" si="2"/>
        <v/>
      </c>
      <c r="J6041" s="86">
        <f t="shared" si="3"/>
        <v>0</v>
      </c>
      <c r="R6041" s="26"/>
    </row>
    <row r="6042" spans="1:18" ht="15.75" customHeight="1">
      <c r="A6042" s="26"/>
      <c r="B6042" s="86"/>
      <c r="D6042" s="26"/>
      <c r="F6042" s="87" t="str">
        <f t="shared" si="0"/>
        <v/>
      </c>
      <c r="H6042" s="26" t="str">
        <f t="shared" si="1"/>
        <v/>
      </c>
      <c r="I6042" s="26" t="str">
        <f t="shared" si="2"/>
        <v/>
      </c>
      <c r="J6042" s="86">
        <f t="shared" si="3"/>
        <v>0</v>
      </c>
      <c r="R6042" s="26"/>
    </row>
    <row r="6043" spans="1:18" ht="15.75" customHeight="1">
      <c r="A6043" s="26"/>
      <c r="B6043" s="86"/>
      <c r="D6043" s="26"/>
      <c r="F6043" s="87" t="str">
        <f t="shared" si="0"/>
        <v/>
      </c>
      <c r="H6043" s="26" t="str">
        <f t="shared" si="1"/>
        <v/>
      </c>
      <c r="I6043" s="26" t="str">
        <f t="shared" si="2"/>
        <v/>
      </c>
      <c r="J6043" s="86">
        <f t="shared" si="3"/>
        <v>0</v>
      </c>
      <c r="R6043" s="26"/>
    </row>
    <row r="6044" spans="1:18" ht="15.75" customHeight="1">
      <c r="A6044" s="26"/>
      <c r="B6044" s="86"/>
      <c r="D6044" s="26"/>
      <c r="F6044" s="87" t="str">
        <f t="shared" si="0"/>
        <v/>
      </c>
      <c r="H6044" s="26" t="str">
        <f t="shared" si="1"/>
        <v/>
      </c>
      <c r="I6044" s="26" t="str">
        <f t="shared" si="2"/>
        <v/>
      </c>
      <c r="J6044" s="86">
        <f t="shared" si="3"/>
        <v>0</v>
      </c>
      <c r="R6044" s="26"/>
    </row>
    <row r="6045" spans="1:18" ht="15.75" customHeight="1">
      <c r="A6045" s="26"/>
      <c r="B6045" s="86"/>
      <c r="D6045" s="26"/>
      <c r="F6045" s="87" t="str">
        <f t="shared" si="0"/>
        <v/>
      </c>
      <c r="H6045" s="26" t="str">
        <f t="shared" si="1"/>
        <v/>
      </c>
      <c r="I6045" s="26" t="str">
        <f t="shared" si="2"/>
        <v/>
      </c>
      <c r="J6045" s="86">
        <f t="shared" si="3"/>
        <v>0</v>
      </c>
      <c r="R6045" s="26"/>
    </row>
    <row r="6046" spans="1:18" ht="15.75" customHeight="1">
      <c r="A6046" s="26"/>
      <c r="B6046" s="86"/>
      <c r="D6046" s="26"/>
      <c r="F6046" s="87" t="str">
        <f t="shared" si="0"/>
        <v/>
      </c>
      <c r="H6046" s="26" t="str">
        <f t="shared" si="1"/>
        <v/>
      </c>
      <c r="I6046" s="26" t="str">
        <f t="shared" si="2"/>
        <v/>
      </c>
      <c r="J6046" s="86">
        <f t="shared" si="3"/>
        <v>0</v>
      </c>
      <c r="R6046" s="26"/>
    </row>
    <row r="6047" spans="1:18" ht="15.75" customHeight="1">
      <c r="A6047" s="26"/>
      <c r="B6047" s="86"/>
      <c r="D6047" s="26"/>
      <c r="F6047" s="87" t="str">
        <f t="shared" si="0"/>
        <v/>
      </c>
      <c r="H6047" s="26" t="str">
        <f t="shared" si="1"/>
        <v/>
      </c>
      <c r="I6047" s="26" t="str">
        <f t="shared" si="2"/>
        <v/>
      </c>
      <c r="J6047" s="86">
        <f t="shared" si="3"/>
        <v>0</v>
      </c>
      <c r="R6047" s="26"/>
    </row>
    <row r="6048" spans="1:18" ht="15.75" customHeight="1">
      <c r="A6048" s="26"/>
      <c r="B6048" s="86"/>
      <c r="D6048" s="26"/>
      <c r="F6048" s="87" t="str">
        <f t="shared" si="0"/>
        <v/>
      </c>
      <c r="H6048" s="26" t="str">
        <f t="shared" si="1"/>
        <v/>
      </c>
      <c r="I6048" s="26" t="str">
        <f t="shared" si="2"/>
        <v/>
      </c>
      <c r="J6048" s="86">
        <f t="shared" si="3"/>
        <v>0</v>
      </c>
      <c r="R6048" s="26"/>
    </row>
    <row r="6049" spans="1:18" ht="15.75" customHeight="1">
      <c r="A6049" s="26"/>
      <c r="B6049" s="86"/>
      <c r="D6049" s="26"/>
      <c r="F6049" s="87" t="str">
        <f t="shared" si="0"/>
        <v/>
      </c>
      <c r="H6049" s="26" t="str">
        <f t="shared" si="1"/>
        <v/>
      </c>
      <c r="I6049" s="26" t="str">
        <f t="shared" si="2"/>
        <v/>
      </c>
      <c r="J6049" s="86">
        <f t="shared" si="3"/>
        <v>0</v>
      </c>
      <c r="R6049" s="26"/>
    </row>
    <row r="6050" spans="1:18" ht="15.75" customHeight="1">
      <c r="A6050" s="26"/>
      <c r="B6050" s="86"/>
      <c r="D6050" s="26"/>
      <c r="F6050" s="87" t="str">
        <f t="shared" si="0"/>
        <v/>
      </c>
      <c r="H6050" s="26" t="str">
        <f t="shared" si="1"/>
        <v/>
      </c>
      <c r="I6050" s="26" t="str">
        <f t="shared" si="2"/>
        <v/>
      </c>
      <c r="J6050" s="86">
        <f t="shared" si="3"/>
        <v>0</v>
      </c>
      <c r="R6050" s="26"/>
    </row>
    <row r="6051" spans="1:18" ht="15.75" customHeight="1">
      <c r="A6051" s="26"/>
      <c r="B6051" s="86"/>
      <c r="D6051" s="26"/>
      <c r="F6051" s="87" t="str">
        <f t="shared" si="0"/>
        <v/>
      </c>
      <c r="H6051" s="26" t="str">
        <f t="shared" si="1"/>
        <v/>
      </c>
      <c r="I6051" s="26" t="str">
        <f t="shared" si="2"/>
        <v/>
      </c>
      <c r="J6051" s="86">
        <f t="shared" si="3"/>
        <v>0</v>
      </c>
      <c r="R6051" s="26"/>
    </row>
    <row r="6052" spans="1:18" ht="15.75" customHeight="1">
      <c r="A6052" s="26"/>
      <c r="B6052" s="86"/>
      <c r="D6052" s="26"/>
      <c r="F6052" s="87" t="str">
        <f t="shared" si="0"/>
        <v/>
      </c>
      <c r="H6052" s="26" t="str">
        <f t="shared" si="1"/>
        <v/>
      </c>
      <c r="I6052" s="26" t="str">
        <f t="shared" si="2"/>
        <v/>
      </c>
      <c r="J6052" s="86">
        <f t="shared" si="3"/>
        <v>0</v>
      </c>
      <c r="R6052" s="26"/>
    </row>
    <row r="6053" spans="1:18" ht="15.75" customHeight="1">
      <c r="A6053" s="26"/>
      <c r="B6053" s="86"/>
      <c r="D6053" s="26"/>
      <c r="F6053" s="87" t="str">
        <f t="shared" si="0"/>
        <v/>
      </c>
      <c r="H6053" s="26" t="str">
        <f t="shared" si="1"/>
        <v/>
      </c>
      <c r="I6053" s="26" t="str">
        <f t="shared" si="2"/>
        <v/>
      </c>
      <c r="J6053" s="86">
        <f t="shared" si="3"/>
        <v>0</v>
      </c>
      <c r="R6053" s="26"/>
    </row>
    <row r="6054" spans="1:18" ht="15.75" customHeight="1">
      <c r="A6054" s="26"/>
      <c r="B6054" s="86"/>
      <c r="D6054" s="26"/>
      <c r="F6054" s="87" t="str">
        <f t="shared" si="0"/>
        <v/>
      </c>
      <c r="H6054" s="26" t="str">
        <f t="shared" si="1"/>
        <v/>
      </c>
      <c r="I6054" s="26" t="str">
        <f t="shared" si="2"/>
        <v/>
      </c>
      <c r="J6054" s="86">
        <f t="shared" si="3"/>
        <v>0</v>
      </c>
      <c r="R6054" s="26"/>
    </row>
    <row r="6055" spans="1:18" ht="15.75" customHeight="1">
      <c r="A6055" s="26"/>
      <c r="B6055" s="86"/>
      <c r="D6055" s="26"/>
      <c r="F6055" s="87" t="str">
        <f t="shared" si="0"/>
        <v/>
      </c>
      <c r="H6055" s="26" t="str">
        <f t="shared" si="1"/>
        <v/>
      </c>
      <c r="I6055" s="26" t="str">
        <f t="shared" si="2"/>
        <v/>
      </c>
      <c r="J6055" s="86">
        <f t="shared" si="3"/>
        <v>0</v>
      </c>
      <c r="R6055" s="26"/>
    </row>
    <row r="6056" spans="1:18" ht="15.75" customHeight="1">
      <c r="A6056" s="26"/>
      <c r="B6056" s="86"/>
      <c r="D6056" s="26"/>
      <c r="F6056" s="87" t="str">
        <f t="shared" si="0"/>
        <v/>
      </c>
      <c r="H6056" s="26" t="str">
        <f t="shared" si="1"/>
        <v/>
      </c>
      <c r="I6056" s="26" t="str">
        <f t="shared" si="2"/>
        <v/>
      </c>
      <c r="J6056" s="86">
        <f t="shared" si="3"/>
        <v>0</v>
      </c>
      <c r="R6056" s="26"/>
    </row>
    <row r="6057" spans="1:18" ht="15.75" customHeight="1">
      <c r="A6057" s="26"/>
      <c r="B6057" s="86"/>
      <c r="D6057" s="26"/>
      <c r="F6057" s="87" t="str">
        <f t="shared" si="0"/>
        <v/>
      </c>
      <c r="H6057" s="26" t="str">
        <f t="shared" si="1"/>
        <v/>
      </c>
      <c r="I6057" s="26" t="str">
        <f t="shared" si="2"/>
        <v/>
      </c>
      <c r="J6057" s="86">
        <f t="shared" si="3"/>
        <v>0</v>
      </c>
      <c r="R6057" s="26"/>
    </row>
    <row r="6058" spans="1:18" ht="15.75" customHeight="1">
      <c r="A6058" s="26"/>
      <c r="B6058" s="86"/>
      <c r="D6058" s="26"/>
      <c r="F6058" s="87" t="str">
        <f t="shared" si="0"/>
        <v/>
      </c>
      <c r="H6058" s="26" t="str">
        <f t="shared" si="1"/>
        <v/>
      </c>
      <c r="I6058" s="26" t="str">
        <f t="shared" si="2"/>
        <v/>
      </c>
      <c r="J6058" s="86">
        <f t="shared" si="3"/>
        <v>0</v>
      </c>
      <c r="R6058" s="26"/>
    </row>
    <row r="6059" spans="1:18" ht="15.75" customHeight="1">
      <c r="A6059" s="26"/>
      <c r="B6059" s="86"/>
      <c r="D6059" s="26"/>
      <c r="F6059" s="87" t="str">
        <f t="shared" si="0"/>
        <v/>
      </c>
      <c r="H6059" s="26" t="str">
        <f t="shared" si="1"/>
        <v/>
      </c>
      <c r="I6059" s="26" t="str">
        <f t="shared" si="2"/>
        <v/>
      </c>
      <c r="J6059" s="86">
        <f t="shared" si="3"/>
        <v>0</v>
      </c>
      <c r="R6059" s="26"/>
    </row>
    <row r="6060" spans="1:18" ht="15.75" customHeight="1">
      <c r="A6060" s="26"/>
      <c r="B6060" s="86"/>
      <c r="D6060" s="26"/>
      <c r="F6060" s="87" t="str">
        <f t="shared" si="0"/>
        <v/>
      </c>
      <c r="H6060" s="26" t="str">
        <f t="shared" si="1"/>
        <v/>
      </c>
      <c r="I6060" s="26" t="str">
        <f t="shared" si="2"/>
        <v/>
      </c>
      <c r="J6060" s="86">
        <f t="shared" si="3"/>
        <v>0</v>
      </c>
      <c r="R6060" s="26"/>
    </row>
    <row r="6061" spans="1:18" ht="15.75" customHeight="1">
      <c r="A6061" s="26"/>
      <c r="B6061" s="86"/>
      <c r="D6061" s="26"/>
      <c r="F6061" s="87" t="str">
        <f t="shared" si="0"/>
        <v/>
      </c>
      <c r="H6061" s="26" t="str">
        <f t="shared" si="1"/>
        <v/>
      </c>
      <c r="I6061" s="26" t="str">
        <f t="shared" si="2"/>
        <v/>
      </c>
      <c r="J6061" s="86">
        <f t="shared" si="3"/>
        <v>0</v>
      </c>
      <c r="R6061" s="26"/>
    </row>
    <row r="6062" spans="1:18" ht="15.75" customHeight="1">
      <c r="A6062" s="26"/>
      <c r="B6062" s="86"/>
      <c r="D6062" s="26"/>
      <c r="F6062" s="87" t="str">
        <f t="shared" si="0"/>
        <v/>
      </c>
      <c r="H6062" s="26" t="str">
        <f t="shared" si="1"/>
        <v/>
      </c>
      <c r="I6062" s="26" t="str">
        <f t="shared" si="2"/>
        <v/>
      </c>
      <c r="J6062" s="86">
        <f t="shared" si="3"/>
        <v>0</v>
      </c>
      <c r="R6062" s="26"/>
    </row>
    <row r="6063" spans="1:18" ht="15.75" customHeight="1">
      <c r="A6063" s="26"/>
      <c r="B6063" s="86"/>
      <c r="D6063" s="26"/>
      <c r="F6063" s="87" t="str">
        <f t="shared" si="0"/>
        <v/>
      </c>
      <c r="H6063" s="26" t="str">
        <f t="shared" si="1"/>
        <v/>
      </c>
      <c r="I6063" s="26" t="str">
        <f t="shared" si="2"/>
        <v/>
      </c>
      <c r="J6063" s="86">
        <f t="shared" si="3"/>
        <v>0</v>
      </c>
      <c r="R6063" s="26"/>
    </row>
    <row r="6064" spans="1:18" ht="15.75" customHeight="1">
      <c r="A6064" s="26"/>
      <c r="B6064" s="86"/>
      <c r="D6064" s="26"/>
      <c r="F6064" s="87" t="str">
        <f t="shared" si="0"/>
        <v/>
      </c>
      <c r="H6064" s="26" t="str">
        <f t="shared" si="1"/>
        <v/>
      </c>
      <c r="I6064" s="26" t="str">
        <f t="shared" si="2"/>
        <v/>
      </c>
      <c r="J6064" s="86">
        <f t="shared" si="3"/>
        <v>0</v>
      </c>
      <c r="R6064" s="26"/>
    </row>
    <row r="6065" spans="1:18" ht="15.75" customHeight="1">
      <c r="A6065" s="26"/>
      <c r="B6065" s="86"/>
      <c r="D6065" s="26"/>
      <c r="F6065" s="87" t="str">
        <f t="shared" si="0"/>
        <v/>
      </c>
      <c r="H6065" s="26" t="str">
        <f t="shared" si="1"/>
        <v/>
      </c>
      <c r="I6065" s="26" t="str">
        <f t="shared" si="2"/>
        <v/>
      </c>
      <c r="J6065" s="86">
        <f t="shared" si="3"/>
        <v>0</v>
      </c>
      <c r="R6065" s="26"/>
    </row>
    <row r="6066" spans="1:18" ht="15.75" customHeight="1">
      <c r="A6066" s="26"/>
      <c r="B6066" s="86"/>
      <c r="D6066" s="26"/>
      <c r="F6066" s="87" t="str">
        <f t="shared" si="0"/>
        <v/>
      </c>
      <c r="H6066" s="26" t="str">
        <f t="shared" si="1"/>
        <v/>
      </c>
      <c r="I6066" s="26" t="str">
        <f t="shared" si="2"/>
        <v/>
      </c>
      <c r="J6066" s="86">
        <f t="shared" si="3"/>
        <v>0</v>
      </c>
      <c r="R6066" s="26"/>
    </row>
    <row r="6067" spans="1:18" ht="15.75" customHeight="1">
      <c r="A6067" s="26"/>
      <c r="B6067" s="86"/>
      <c r="D6067" s="26"/>
      <c r="F6067" s="87" t="str">
        <f t="shared" si="0"/>
        <v/>
      </c>
      <c r="H6067" s="26" t="str">
        <f t="shared" si="1"/>
        <v/>
      </c>
      <c r="I6067" s="26" t="str">
        <f t="shared" si="2"/>
        <v/>
      </c>
      <c r="J6067" s="86">
        <f t="shared" si="3"/>
        <v>0</v>
      </c>
      <c r="R6067" s="26"/>
    </row>
    <row r="6068" spans="1:18" ht="15.75" customHeight="1">
      <c r="A6068" s="26"/>
      <c r="B6068" s="86"/>
      <c r="D6068" s="26"/>
      <c r="F6068" s="87" t="str">
        <f t="shared" si="0"/>
        <v/>
      </c>
      <c r="H6068" s="26" t="str">
        <f t="shared" si="1"/>
        <v/>
      </c>
      <c r="I6068" s="26" t="str">
        <f t="shared" si="2"/>
        <v/>
      </c>
      <c r="J6068" s="86">
        <f t="shared" si="3"/>
        <v>0</v>
      </c>
      <c r="R6068" s="26"/>
    </row>
    <row r="6069" spans="1:18" ht="15.75" customHeight="1">
      <c r="A6069" s="26"/>
      <c r="B6069" s="86"/>
      <c r="D6069" s="26"/>
      <c r="F6069" s="87" t="str">
        <f t="shared" si="0"/>
        <v/>
      </c>
      <c r="H6069" s="26" t="str">
        <f t="shared" si="1"/>
        <v/>
      </c>
      <c r="I6069" s="26" t="str">
        <f t="shared" si="2"/>
        <v/>
      </c>
      <c r="J6069" s="86">
        <f t="shared" si="3"/>
        <v>0</v>
      </c>
      <c r="R6069" s="26"/>
    </row>
    <row r="6070" spans="1:18" ht="15.75" customHeight="1">
      <c r="A6070" s="26"/>
      <c r="B6070" s="86"/>
      <c r="D6070" s="26"/>
      <c r="F6070" s="87" t="str">
        <f t="shared" si="0"/>
        <v/>
      </c>
      <c r="H6070" s="26" t="str">
        <f t="shared" si="1"/>
        <v/>
      </c>
      <c r="I6070" s="26" t="str">
        <f t="shared" si="2"/>
        <v/>
      </c>
      <c r="J6070" s="86">
        <f t="shared" si="3"/>
        <v>0</v>
      </c>
      <c r="R6070" s="26"/>
    </row>
    <row r="6071" spans="1:18" ht="15.75" customHeight="1">
      <c r="A6071" s="26"/>
      <c r="B6071" s="86"/>
      <c r="D6071" s="26"/>
      <c r="F6071" s="87" t="str">
        <f t="shared" si="0"/>
        <v/>
      </c>
      <c r="H6071" s="26" t="str">
        <f t="shared" si="1"/>
        <v/>
      </c>
      <c r="I6071" s="26" t="str">
        <f t="shared" si="2"/>
        <v/>
      </c>
      <c r="J6071" s="86">
        <f t="shared" si="3"/>
        <v>0</v>
      </c>
      <c r="R6071" s="26"/>
    </row>
    <row r="6072" spans="1:18" ht="15.75" customHeight="1">
      <c r="A6072" s="26"/>
      <c r="B6072" s="86"/>
      <c r="D6072" s="26"/>
      <c r="F6072" s="87" t="str">
        <f t="shared" si="0"/>
        <v/>
      </c>
      <c r="H6072" s="26" t="str">
        <f t="shared" si="1"/>
        <v/>
      </c>
      <c r="I6072" s="26" t="str">
        <f t="shared" si="2"/>
        <v/>
      </c>
      <c r="J6072" s="86">
        <f t="shared" si="3"/>
        <v>0</v>
      </c>
      <c r="R6072" s="26"/>
    </row>
    <row r="6073" spans="1:18" ht="15.75" customHeight="1">
      <c r="A6073" s="26"/>
      <c r="B6073" s="86"/>
      <c r="D6073" s="26"/>
      <c r="F6073" s="87" t="str">
        <f t="shared" si="0"/>
        <v/>
      </c>
      <c r="H6073" s="26" t="str">
        <f t="shared" si="1"/>
        <v/>
      </c>
      <c r="I6073" s="26" t="str">
        <f t="shared" si="2"/>
        <v/>
      </c>
      <c r="J6073" s="86">
        <f t="shared" si="3"/>
        <v>0</v>
      </c>
      <c r="R6073" s="26"/>
    </row>
    <row r="6074" spans="1:18" ht="15.75" customHeight="1">
      <c r="A6074" s="26"/>
      <c r="B6074" s="86"/>
      <c r="D6074" s="26"/>
      <c r="F6074" s="87" t="str">
        <f t="shared" si="0"/>
        <v/>
      </c>
      <c r="H6074" s="26" t="str">
        <f t="shared" si="1"/>
        <v/>
      </c>
      <c r="I6074" s="26" t="str">
        <f t="shared" si="2"/>
        <v/>
      </c>
      <c r="J6074" s="86">
        <f t="shared" si="3"/>
        <v>0</v>
      </c>
      <c r="R6074" s="26"/>
    </row>
    <row r="6075" spans="1:18" ht="15.75" customHeight="1">
      <c r="A6075" s="26"/>
      <c r="B6075" s="86"/>
      <c r="D6075" s="26"/>
      <c r="F6075" s="87" t="str">
        <f t="shared" si="0"/>
        <v/>
      </c>
      <c r="H6075" s="26" t="str">
        <f t="shared" si="1"/>
        <v/>
      </c>
      <c r="I6075" s="26" t="str">
        <f t="shared" si="2"/>
        <v/>
      </c>
      <c r="J6075" s="86">
        <f t="shared" si="3"/>
        <v>0</v>
      </c>
      <c r="R6075" s="26"/>
    </row>
    <row r="6076" spans="1:18" ht="15.75" customHeight="1">
      <c r="A6076" s="26"/>
      <c r="B6076" s="86"/>
      <c r="D6076" s="26"/>
      <c r="F6076" s="87" t="str">
        <f t="shared" si="0"/>
        <v/>
      </c>
      <c r="H6076" s="26" t="str">
        <f t="shared" si="1"/>
        <v/>
      </c>
      <c r="I6076" s="26" t="str">
        <f t="shared" si="2"/>
        <v/>
      </c>
      <c r="J6076" s="86">
        <f t="shared" si="3"/>
        <v>0</v>
      </c>
      <c r="R6076" s="26"/>
    </row>
    <row r="6077" spans="1:18" ht="15.75" customHeight="1">
      <c r="A6077" s="26"/>
      <c r="B6077" s="86"/>
      <c r="D6077" s="26"/>
      <c r="F6077" s="87" t="str">
        <f t="shared" si="0"/>
        <v/>
      </c>
      <c r="H6077" s="26" t="str">
        <f t="shared" si="1"/>
        <v/>
      </c>
      <c r="I6077" s="26" t="str">
        <f t="shared" si="2"/>
        <v/>
      </c>
      <c r="J6077" s="86">
        <f t="shared" si="3"/>
        <v>0</v>
      </c>
      <c r="R6077" s="26"/>
    </row>
    <row r="6078" spans="1:18" ht="15.75" customHeight="1">
      <c r="A6078" s="26"/>
      <c r="B6078" s="86"/>
      <c r="D6078" s="26"/>
      <c r="F6078" s="87" t="str">
        <f t="shared" si="0"/>
        <v/>
      </c>
      <c r="H6078" s="26" t="str">
        <f t="shared" si="1"/>
        <v/>
      </c>
      <c r="I6078" s="26" t="str">
        <f t="shared" si="2"/>
        <v/>
      </c>
      <c r="J6078" s="86">
        <f t="shared" si="3"/>
        <v>0</v>
      </c>
      <c r="R6078" s="26"/>
    </row>
    <row r="6079" spans="1:18" ht="15.75" customHeight="1">
      <c r="A6079" s="26"/>
      <c r="B6079" s="86"/>
      <c r="D6079" s="26"/>
      <c r="F6079" s="87" t="str">
        <f t="shared" si="0"/>
        <v/>
      </c>
      <c r="H6079" s="26" t="str">
        <f t="shared" si="1"/>
        <v/>
      </c>
      <c r="I6079" s="26" t="str">
        <f t="shared" si="2"/>
        <v/>
      </c>
      <c r="J6079" s="86">
        <f t="shared" si="3"/>
        <v>0</v>
      </c>
      <c r="R6079" s="26"/>
    </row>
    <row r="6080" spans="1:18" ht="15.75" customHeight="1">
      <c r="A6080" s="26"/>
      <c r="B6080" s="86"/>
      <c r="D6080" s="26"/>
      <c r="F6080" s="87" t="str">
        <f t="shared" si="0"/>
        <v/>
      </c>
      <c r="H6080" s="26" t="str">
        <f t="shared" si="1"/>
        <v/>
      </c>
      <c r="I6080" s="26" t="str">
        <f t="shared" si="2"/>
        <v/>
      </c>
      <c r="J6080" s="86">
        <f t="shared" si="3"/>
        <v>0</v>
      </c>
      <c r="R6080" s="26"/>
    </row>
    <row r="6081" spans="1:18" ht="15.75" customHeight="1">
      <c r="A6081" s="26"/>
      <c r="B6081" s="86"/>
      <c r="D6081" s="26"/>
      <c r="F6081" s="87" t="str">
        <f t="shared" si="0"/>
        <v/>
      </c>
      <c r="H6081" s="26" t="str">
        <f t="shared" si="1"/>
        <v/>
      </c>
      <c r="I6081" s="26" t="str">
        <f t="shared" si="2"/>
        <v/>
      </c>
      <c r="J6081" s="86">
        <f t="shared" si="3"/>
        <v>0</v>
      </c>
      <c r="R6081" s="26"/>
    </row>
    <row r="6082" spans="1:18" ht="15.75" customHeight="1">
      <c r="A6082" s="26"/>
      <c r="B6082" s="86"/>
      <c r="D6082" s="26"/>
      <c r="F6082" s="87" t="str">
        <f t="shared" si="0"/>
        <v/>
      </c>
      <c r="H6082" s="26" t="str">
        <f t="shared" si="1"/>
        <v/>
      </c>
      <c r="I6082" s="26" t="str">
        <f t="shared" si="2"/>
        <v/>
      </c>
      <c r="J6082" s="86">
        <f t="shared" si="3"/>
        <v>0</v>
      </c>
      <c r="R6082" s="26"/>
    </row>
    <row r="6083" spans="1:18" ht="15.75" customHeight="1">
      <c r="A6083" s="26"/>
      <c r="B6083" s="86"/>
      <c r="D6083" s="26"/>
      <c r="F6083" s="87" t="str">
        <f t="shared" si="0"/>
        <v/>
      </c>
      <c r="H6083" s="26" t="str">
        <f t="shared" si="1"/>
        <v/>
      </c>
      <c r="I6083" s="26" t="str">
        <f t="shared" si="2"/>
        <v/>
      </c>
      <c r="J6083" s="86">
        <f t="shared" si="3"/>
        <v>0</v>
      </c>
      <c r="R6083" s="26"/>
    </row>
    <row r="6084" spans="1:18" ht="15.75" customHeight="1">
      <c r="A6084" s="26"/>
      <c r="B6084" s="86"/>
      <c r="D6084" s="26"/>
      <c r="F6084" s="87" t="str">
        <f t="shared" si="0"/>
        <v/>
      </c>
      <c r="H6084" s="26" t="str">
        <f t="shared" si="1"/>
        <v/>
      </c>
      <c r="I6084" s="26" t="str">
        <f t="shared" si="2"/>
        <v/>
      </c>
      <c r="J6084" s="86">
        <f t="shared" si="3"/>
        <v>0</v>
      </c>
      <c r="R6084" s="26"/>
    </row>
    <row r="6085" spans="1:18" ht="15.75" customHeight="1">
      <c r="A6085" s="26"/>
      <c r="B6085" s="86"/>
      <c r="D6085" s="26"/>
      <c r="F6085" s="87" t="str">
        <f t="shared" si="0"/>
        <v/>
      </c>
      <c r="H6085" s="26" t="str">
        <f t="shared" si="1"/>
        <v/>
      </c>
      <c r="I6085" s="26" t="str">
        <f t="shared" si="2"/>
        <v/>
      </c>
      <c r="J6085" s="86">
        <f t="shared" si="3"/>
        <v>0</v>
      </c>
      <c r="R6085" s="26"/>
    </row>
    <row r="6086" spans="1:18" ht="15.75" customHeight="1">
      <c r="A6086" s="26"/>
      <c r="B6086" s="86"/>
      <c r="D6086" s="26"/>
      <c r="F6086" s="87" t="str">
        <f t="shared" si="0"/>
        <v/>
      </c>
      <c r="H6086" s="26" t="str">
        <f t="shared" si="1"/>
        <v/>
      </c>
      <c r="I6086" s="26" t="str">
        <f t="shared" si="2"/>
        <v/>
      </c>
      <c r="J6086" s="86">
        <f t="shared" si="3"/>
        <v>0</v>
      </c>
      <c r="R6086" s="26"/>
    </row>
    <row r="6087" spans="1:18" ht="15.75" customHeight="1">
      <c r="A6087" s="26"/>
      <c r="B6087" s="86"/>
      <c r="D6087" s="26"/>
      <c r="F6087" s="87" t="str">
        <f t="shared" si="0"/>
        <v/>
      </c>
      <c r="H6087" s="26" t="str">
        <f t="shared" si="1"/>
        <v/>
      </c>
      <c r="I6087" s="26" t="str">
        <f t="shared" si="2"/>
        <v/>
      </c>
      <c r="J6087" s="86">
        <f t="shared" si="3"/>
        <v>0</v>
      </c>
      <c r="R6087" s="26"/>
    </row>
    <row r="6088" spans="1:18" ht="15.75" customHeight="1">
      <c r="A6088" s="26"/>
      <c r="B6088" s="86"/>
      <c r="D6088" s="26"/>
      <c r="F6088" s="87" t="str">
        <f t="shared" si="0"/>
        <v/>
      </c>
      <c r="H6088" s="26" t="str">
        <f t="shared" si="1"/>
        <v/>
      </c>
      <c r="I6088" s="26" t="str">
        <f t="shared" si="2"/>
        <v/>
      </c>
      <c r="J6088" s="86">
        <f t="shared" si="3"/>
        <v>0</v>
      </c>
      <c r="R6088" s="26"/>
    </row>
    <row r="6089" spans="1:18" ht="15.75" customHeight="1">
      <c r="A6089" s="26"/>
      <c r="B6089" s="86"/>
      <c r="D6089" s="26"/>
      <c r="F6089" s="87" t="str">
        <f t="shared" si="0"/>
        <v/>
      </c>
      <c r="H6089" s="26" t="str">
        <f t="shared" si="1"/>
        <v/>
      </c>
      <c r="I6089" s="26" t="str">
        <f t="shared" si="2"/>
        <v/>
      </c>
      <c r="J6089" s="86">
        <f t="shared" si="3"/>
        <v>0</v>
      </c>
      <c r="R6089" s="26"/>
    </row>
    <row r="6090" spans="1:18" ht="15.75" customHeight="1">
      <c r="A6090" s="26"/>
      <c r="B6090" s="86"/>
      <c r="D6090" s="26"/>
      <c r="F6090" s="87" t="str">
        <f t="shared" si="0"/>
        <v/>
      </c>
      <c r="H6090" s="26" t="str">
        <f t="shared" si="1"/>
        <v/>
      </c>
      <c r="I6090" s="26" t="str">
        <f t="shared" si="2"/>
        <v/>
      </c>
      <c r="J6090" s="86">
        <f t="shared" si="3"/>
        <v>0</v>
      </c>
      <c r="R6090" s="26"/>
    </row>
    <row r="6091" spans="1:18" ht="15.75" customHeight="1">
      <c r="A6091" s="26"/>
      <c r="B6091" s="86"/>
      <c r="D6091" s="26"/>
      <c r="F6091" s="87" t="str">
        <f t="shared" si="0"/>
        <v/>
      </c>
      <c r="H6091" s="26" t="str">
        <f t="shared" si="1"/>
        <v/>
      </c>
      <c r="I6091" s="26" t="str">
        <f t="shared" si="2"/>
        <v/>
      </c>
      <c r="J6091" s="86">
        <f t="shared" si="3"/>
        <v>0</v>
      </c>
      <c r="R6091" s="26"/>
    </row>
    <row r="6092" spans="1:18" ht="15.75" customHeight="1">
      <c r="A6092" s="26"/>
      <c r="B6092" s="86"/>
      <c r="D6092" s="26"/>
      <c r="F6092" s="87" t="str">
        <f t="shared" si="0"/>
        <v/>
      </c>
      <c r="H6092" s="26" t="str">
        <f t="shared" si="1"/>
        <v/>
      </c>
      <c r="I6092" s="26" t="str">
        <f t="shared" si="2"/>
        <v/>
      </c>
      <c r="J6092" s="86">
        <f t="shared" si="3"/>
        <v>0</v>
      </c>
      <c r="R6092" s="26"/>
    </row>
    <row r="6093" spans="1:18" ht="15.75" customHeight="1">
      <c r="A6093" s="26"/>
      <c r="B6093" s="86"/>
      <c r="D6093" s="26"/>
      <c r="F6093" s="87" t="str">
        <f t="shared" si="0"/>
        <v/>
      </c>
      <c r="H6093" s="26" t="str">
        <f t="shared" si="1"/>
        <v/>
      </c>
      <c r="I6093" s="26" t="str">
        <f t="shared" si="2"/>
        <v/>
      </c>
      <c r="J6093" s="86">
        <f t="shared" si="3"/>
        <v>0</v>
      </c>
      <c r="R6093" s="26"/>
    </row>
    <row r="6094" spans="1:18" ht="15.75" customHeight="1">
      <c r="A6094" s="26"/>
      <c r="B6094" s="86"/>
      <c r="D6094" s="26"/>
      <c r="F6094" s="87" t="str">
        <f t="shared" si="0"/>
        <v/>
      </c>
      <c r="H6094" s="26" t="str">
        <f t="shared" si="1"/>
        <v/>
      </c>
      <c r="I6094" s="26" t="str">
        <f t="shared" si="2"/>
        <v/>
      </c>
      <c r="J6094" s="86">
        <f t="shared" si="3"/>
        <v>0</v>
      </c>
      <c r="R6094" s="26"/>
    </row>
    <row r="6095" spans="1:18" ht="15.75" customHeight="1">
      <c r="A6095" s="26"/>
      <c r="B6095" s="86"/>
      <c r="D6095" s="26"/>
      <c r="F6095" s="87" t="str">
        <f t="shared" si="0"/>
        <v/>
      </c>
      <c r="H6095" s="26" t="str">
        <f t="shared" si="1"/>
        <v/>
      </c>
      <c r="I6095" s="26" t="str">
        <f t="shared" si="2"/>
        <v/>
      </c>
      <c r="J6095" s="86">
        <f t="shared" si="3"/>
        <v>0</v>
      </c>
      <c r="R6095" s="26"/>
    </row>
    <row r="6096" spans="1:18" ht="15.75" customHeight="1">
      <c r="A6096" s="26"/>
      <c r="B6096" s="86"/>
      <c r="D6096" s="26"/>
      <c r="F6096" s="87" t="str">
        <f t="shared" si="0"/>
        <v/>
      </c>
      <c r="H6096" s="26" t="str">
        <f t="shared" si="1"/>
        <v/>
      </c>
      <c r="I6096" s="26" t="str">
        <f t="shared" si="2"/>
        <v/>
      </c>
      <c r="J6096" s="86">
        <f t="shared" si="3"/>
        <v>0</v>
      </c>
      <c r="R6096" s="26"/>
    </row>
    <row r="6097" spans="1:18" ht="15.75" customHeight="1">
      <c r="A6097" s="26"/>
      <c r="B6097" s="86"/>
      <c r="D6097" s="26"/>
      <c r="F6097" s="87" t="str">
        <f t="shared" si="0"/>
        <v/>
      </c>
      <c r="H6097" s="26" t="str">
        <f t="shared" si="1"/>
        <v/>
      </c>
      <c r="I6097" s="26" t="str">
        <f t="shared" si="2"/>
        <v/>
      </c>
      <c r="J6097" s="86">
        <f t="shared" si="3"/>
        <v>0</v>
      </c>
      <c r="R6097" s="26"/>
    </row>
    <row r="6098" spans="1:18" ht="15.75" customHeight="1">
      <c r="A6098" s="26"/>
      <c r="B6098" s="86"/>
      <c r="D6098" s="26"/>
      <c r="F6098" s="87" t="str">
        <f t="shared" si="0"/>
        <v/>
      </c>
      <c r="H6098" s="26" t="str">
        <f t="shared" si="1"/>
        <v/>
      </c>
      <c r="I6098" s="26" t="str">
        <f t="shared" si="2"/>
        <v/>
      </c>
      <c r="J6098" s="86">
        <f t="shared" si="3"/>
        <v>0</v>
      </c>
      <c r="R6098" s="26"/>
    </row>
    <row r="6099" spans="1:18" ht="15.75" customHeight="1">
      <c r="A6099" s="26"/>
      <c r="B6099" s="86"/>
      <c r="D6099" s="26"/>
      <c r="F6099" s="87" t="str">
        <f t="shared" si="0"/>
        <v/>
      </c>
      <c r="H6099" s="26" t="str">
        <f t="shared" si="1"/>
        <v/>
      </c>
      <c r="I6099" s="26" t="str">
        <f t="shared" si="2"/>
        <v/>
      </c>
      <c r="J6099" s="86">
        <f t="shared" si="3"/>
        <v>0</v>
      </c>
      <c r="R6099" s="26"/>
    </row>
    <row r="6100" spans="1:18" ht="15.75" customHeight="1">
      <c r="A6100" s="26"/>
      <c r="B6100" s="86"/>
      <c r="D6100" s="26"/>
      <c r="F6100" s="87" t="str">
        <f t="shared" si="0"/>
        <v/>
      </c>
      <c r="H6100" s="26" t="str">
        <f t="shared" si="1"/>
        <v/>
      </c>
      <c r="I6100" s="26" t="str">
        <f t="shared" si="2"/>
        <v/>
      </c>
      <c r="J6100" s="86">
        <f t="shared" si="3"/>
        <v>0</v>
      </c>
      <c r="R6100" s="26"/>
    </row>
    <row r="6101" spans="1:18" ht="15.75" customHeight="1">
      <c r="A6101" s="26"/>
      <c r="B6101" s="86"/>
      <c r="D6101" s="26"/>
      <c r="F6101" s="87" t="str">
        <f t="shared" si="0"/>
        <v/>
      </c>
      <c r="H6101" s="26" t="str">
        <f t="shared" si="1"/>
        <v/>
      </c>
      <c r="I6101" s="26" t="str">
        <f t="shared" si="2"/>
        <v/>
      </c>
      <c r="J6101" s="86">
        <f t="shared" si="3"/>
        <v>0</v>
      </c>
      <c r="R6101" s="26"/>
    </row>
    <row r="6102" spans="1:18" ht="15.75" customHeight="1">
      <c r="A6102" s="26"/>
      <c r="B6102" s="86"/>
      <c r="D6102" s="26"/>
      <c r="F6102" s="87" t="str">
        <f t="shared" si="0"/>
        <v/>
      </c>
      <c r="H6102" s="26" t="str">
        <f t="shared" si="1"/>
        <v/>
      </c>
      <c r="I6102" s="26" t="str">
        <f t="shared" si="2"/>
        <v/>
      </c>
      <c r="J6102" s="86">
        <f t="shared" si="3"/>
        <v>0</v>
      </c>
      <c r="R6102" s="26"/>
    </row>
    <row r="6103" spans="1:18" ht="15.75" customHeight="1">
      <c r="A6103" s="26"/>
      <c r="B6103" s="86"/>
      <c r="D6103" s="26"/>
      <c r="F6103" s="87" t="str">
        <f t="shared" si="0"/>
        <v/>
      </c>
      <c r="H6103" s="26" t="str">
        <f t="shared" si="1"/>
        <v/>
      </c>
      <c r="I6103" s="26" t="str">
        <f t="shared" si="2"/>
        <v/>
      </c>
      <c r="J6103" s="86">
        <f t="shared" si="3"/>
        <v>0</v>
      </c>
      <c r="R6103" s="26"/>
    </row>
    <row r="6104" spans="1:18" ht="15.75" customHeight="1">
      <c r="A6104" s="26"/>
      <c r="B6104" s="86"/>
      <c r="D6104" s="26"/>
      <c r="F6104" s="87" t="str">
        <f t="shared" si="0"/>
        <v/>
      </c>
      <c r="H6104" s="26" t="str">
        <f t="shared" si="1"/>
        <v/>
      </c>
      <c r="I6104" s="26" t="str">
        <f t="shared" si="2"/>
        <v/>
      </c>
      <c r="J6104" s="86">
        <f t="shared" si="3"/>
        <v>0</v>
      </c>
      <c r="R6104" s="26"/>
    </row>
    <row r="6105" spans="1:18" ht="15.75" customHeight="1">
      <c r="A6105" s="26"/>
      <c r="B6105" s="86"/>
      <c r="D6105" s="26"/>
      <c r="F6105" s="87" t="str">
        <f t="shared" si="0"/>
        <v/>
      </c>
      <c r="H6105" s="26" t="str">
        <f t="shared" si="1"/>
        <v/>
      </c>
      <c r="I6105" s="26" t="str">
        <f t="shared" si="2"/>
        <v/>
      </c>
      <c r="J6105" s="86">
        <f t="shared" si="3"/>
        <v>0</v>
      </c>
      <c r="R6105" s="26"/>
    </row>
    <row r="6106" spans="1:18" ht="15.75" customHeight="1">
      <c r="A6106" s="26"/>
      <c r="B6106" s="86"/>
      <c r="D6106" s="26"/>
      <c r="F6106" s="87" t="str">
        <f t="shared" si="0"/>
        <v/>
      </c>
      <c r="H6106" s="26" t="str">
        <f t="shared" si="1"/>
        <v/>
      </c>
      <c r="I6106" s="26" t="str">
        <f t="shared" si="2"/>
        <v/>
      </c>
      <c r="J6106" s="86">
        <f t="shared" si="3"/>
        <v>0</v>
      </c>
      <c r="R6106" s="26"/>
    </row>
    <row r="6107" spans="1:18" ht="15.75" customHeight="1">
      <c r="A6107" s="26"/>
      <c r="B6107" s="86"/>
      <c r="D6107" s="26"/>
      <c r="F6107" s="87" t="str">
        <f t="shared" si="0"/>
        <v/>
      </c>
      <c r="H6107" s="26" t="str">
        <f t="shared" si="1"/>
        <v/>
      </c>
      <c r="I6107" s="26" t="str">
        <f t="shared" si="2"/>
        <v/>
      </c>
      <c r="J6107" s="86">
        <f t="shared" si="3"/>
        <v>0</v>
      </c>
      <c r="R6107" s="26"/>
    </row>
    <row r="6108" spans="1:18" ht="15.75" customHeight="1">
      <c r="A6108" s="26"/>
      <c r="B6108" s="86"/>
      <c r="D6108" s="26"/>
      <c r="F6108" s="87" t="str">
        <f t="shared" si="0"/>
        <v/>
      </c>
      <c r="H6108" s="26" t="str">
        <f t="shared" si="1"/>
        <v/>
      </c>
      <c r="I6108" s="26" t="str">
        <f t="shared" si="2"/>
        <v/>
      </c>
      <c r="J6108" s="86">
        <f t="shared" si="3"/>
        <v>0</v>
      </c>
      <c r="R6108" s="26"/>
    </row>
    <row r="6109" spans="1:18" ht="15.75" customHeight="1">
      <c r="A6109" s="26"/>
      <c r="B6109" s="86"/>
      <c r="D6109" s="26"/>
      <c r="F6109" s="87" t="str">
        <f t="shared" si="0"/>
        <v/>
      </c>
      <c r="H6109" s="26" t="str">
        <f t="shared" si="1"/>
        <v/>
      </c>
      <c r="I6109" s="26" t="str">
        <f t="shared" si="2"/>
        <v/>
      </c>
      <c r="J6109" s="86">
        <f t="shared" si="3"/>
        <v>0</v>
      </c>
      <c r="R6109" s="26"/>
    </row>
    <row r="6110" spans="1:18" ht="15.75" customHeight="1">
      <c r="A6110" s="26"/>
      <c r="B6110" s="86"/>
      <c r="D6110" s="26"/>
      <c r="F6110" s="87" t="str">
        <f t="shared" si="0"/>
        <v/>
      </c>
      <c r="H6110" s="26" t="str">
        <f t="shared" si="1"/>
        <v/>
      </c>
      <c r="I6110" s="26" t="str">
        <f t="shared" si="2"/>
        <v/>
      </c>
      <c r="J6110" s="86">
        <f t="shared" si="3"/>
        <v>0</v>
      </c>
      <c r="R6110" s="26"/>
    </row>
    <row r="6111" spans="1:18" ht="15.75" customHeight="1">
      <c r="A6111" s="26"/>
      <c r="B6111" s="86"/>
      <c r="D6111" s="26"/>
      <c r="F6111" s="87" t="str">
        <f t="shared" si="0"/>
        <v/>
      </c>
      <c r="H6111" s="26" t="str">
        <f t="shared" si="1"/>
        <v/>
      </c>
      <c r="I6111" s="26" t="str">
        <f t="shared" si="2"/>
        <v/>
      </c>
      <c r="J6111" s="86">
        <f t="shared" si="3"/>
        <v>0</v>
      </c>
      <c r="R6111" s="26"/>
    </row>
    <row r="6112" spans="1:18" ht="15.75" customHeight="1">
      <c r="A6112" s="26"/>
      <c r="B6112" s="86"/>
      <c r="D6112" s="26"/>
      <c r="F6112" s="87" t="str">
        <f t="shared" si="0"/>
        <v/>
      </c>
      <c r="H6112" s="26" t="str">
        <f t="shared" si="1"/>
        <v/>
      </c>
      <c r="I6112" s="26" t="str">
        <f t="shared" si="2"/>
        <v/>
      </c>
      <c r="J6112" s="86">
        <f t="shared" si="3"/>
        <v>0</v>
      </c>
      <c r="R6112" s="26"/>
    </row>
    <row r="6113" spans="1:18" ht="15.75" customHeight="1">
      <c r="A6113" s="26"/>
      <c r="B6113" s="86"/>
      <c r="D6113" s="26"/>
      <c r="F6113" s="87" t="str">
        <f t="shared" si="0"/>
        <v/>
      </c>
      <c r="H6113" s="26" t="str">
        <f t="shared" si="1"/>
        <v/>
      </c>
      <c r="I6113" s="26" t="str">
        <f t="shared" si="2"/>
        <v/>
      </c>
      <c r="J6113" s="86">
        <f t="shared" si="3"/>
        <v>0</v>
      </c>
      <c r="R6113" s="26"/>
    </row>
    <row r="6114" spans="1:18" ht="15.75" customHeight="1">
      <c r="A6114" s="26"/>
      <c r="B6114" s="86"/>
      <c r="D6114" s="26"/>
      <c r="F6114" s="87" t="str">
        <f t="shared" si="0"/>
        <v/>
      </c>
      <c r="H6114" s="26" t="str">
        <f t="shared" si="1"/>
        <v/>
      </c>
      <c r="I6114" s="26" t="str">
        <f t="shared" si="2"/>
        <v/>
      </c>
      <c r="J6114" s="86">
        <f t="shared" si="3"/>
        <v>0</v>
      </c>
      <c r="R6114" s="26"/>
    </row>
    <row r="6115" spans="1:18" ht="15.75" customHeight="1">
      <c r="A6115" s="26"/>
      <c r="B6115" s="86"/>
      <c r="D6115" s="26"/>
      <c r="F6115" s="87" t="str">
        <f t="shared" si="0"/>
        <v/>
      </c>
      <c r="H6115" s="26" t="str">
        <f t="shared" si="1"/>
        <v/>
      </c>
      <c r="I6115" s="26" t="str">
        <f t="shared" si="2"/>
        <v/>
      </c>
      <c r="J6115" s="86">
        <f t="shared" si="3"/>
        <v>0</v>
      </c>
      <c r="R6115" s="26"/>
    </row>
    <row r="6116" spans="1:18" ht="15.75" customHeight="1">
      <c r="A6116" s="26"/>
      <c r="B6116" s="86"/>
      <c r="D6116" s="26"/>
      <c r="F6116" s="87" t="str">
        <f t="shared" si="0"/>
        <v/>
      </c>
      <c r="H6116" s="26" t="str">
        <f t="shared" si="1"/>
        <v/>
      </c>
      <c r="I6116" s="26" t="str">
        <f t="shared" si="2"/>
        <v/>
      </c>
      <c r="J6116" s="86">
        <f t="shared" si="3"/>
        <v>0</v>
      </c>
      <c r="R6116" s="26"/>
    </row>
    <row r="6117" spans="1:18" ht="15.75" customHeight="1">
      <c r="A6117" s="26"/>
      <c r="B6117" s="86"/>
      <c r="D6117" s="26"/>
      <c r="F6117" s="87" t="str">
        <f t="shared" si="0"/>
        <v/>
      </c>
      <c r="H6117" s="26" t="str">
        <f t="shared" si="1"/>
        <v/>
      </c>
      <c r="I6117" s="26" t="str">
        <f t="shared" si="2"/>
        <v/>
      </c>
      <c r="J6117" s="86">
        <f t="shared" si="3"/>
        <v>0</v>
      </c>
      <c r="R6117" s="26"/>
    </row>
    <row r="6118" spans="1:18" ht="15.75" customHeight="1">
      <c r="A6118" s="26"/>
      <c r="B6118" s="86"/>
      <c r="D6118" s="26"/>
      <c r="F6118" s="87" t="str">
        <f t="shared" si="0"/>
        <v/>
      </c>
      <c r="H6118" s="26" t="str">
        <f t="shared" si="1"/>
        <v/>
      </c>
      <c r="I6118" s="26" t="str">
        <f t="shared" si="2"/>
        <v/>
      </c>
      <c r="J6118" s="86">
        <f t="shared" si="3"/>
        <v>0</v>
      </c>
      <c r="R6118" s="26"/>
    </row>
    <row r="6119" spans="1:18" ht="15.75" customHeight="1">
      <c r="A6119" s="26"/>
      <c r="B6119" s="86"/>
      <c r="D6119" s="26"/>
      <c r="F6119" s="87" t="str">
        <f t="shared" si="0"/>
        <v/>
      </c>
      <c r="H6119" s="26" t="str">
        <f t="shared" si="1"/>
        <v/>
      </c>
      <c r="I6119" s="26" t="str">
        <f t="shared" si="2"/>
        <v/>
      </c>
      <c r="J6119" s="86">
        <f t="shared" si="3"/>
        <v>0</v>
      </c>
      <c r="R6119" s="26"/>
    </row>
    <row r="6120" spans="1:18" ht="15.75" customHeight="1">
      <c r="A6120" s="26"/>
      <c r="B6120" s="86"/>
      <c r="D6120" s="26"/>
      <c r="F6120" s="87" t="str">
        <f t="shared" si="0"/>
        <v/>
      </c>
      <c r="H6120" s="26" t="str">
        <f t="shared" si="1"/>
        <v/>
      </c>
      <c r="I6120" s="26" t="str">
        <f t="shared" si="2"/>
        <v/>
      </c>
      <c r="J6120" s="86">
        <f t="shared" si="3"/>
        <v>0</v>
      </c>
      <c r="R6120" s="26"/>
    </row>
    <row r="6121" spans="1:18" ht="15.75" customHeight="1">
      <c r="A6121" s="26"/>
      <c r="B6121" s="86"/>
      <c r="D6121" s="26"/>
      <c r="F6121" s="87" t="str">
        <f t="shared" si="0"/>
        <v/>
      </c>
      <c r="H6121" s="26" t="str">
        <f t="shared" si="1"/>
        <v/>
      </c>
      <c r="I6121" s="26" t="str">
        <f t="shared" si="2"/>
        <v/>
      </c>
      <c r="J6121" s="86">
        <f t="shared" si="3"/>
        <v>0</v>
      </c>
      <c r="R6121" s="26"/>
    </row>
    <row r="6122" spans="1:18" ht="15.75" customHeight="1">
      <c r="A6122" s="26"/>
      <c r="B6122" s="86"/>
      <c r="D6122" s="26"/>
      <c r="F6122" s="87" t="str">
        <f t="shared" si="0"/>
        <v/>
      </c>
      <c r="H6122" s="26" t="str">
        <f t="shared" si="1"/>
        <v/>
      </c>
      <c r="I6122" s="26" t="str">
        <f t="shared" si="2"/>
        <v/>
      </c>
      <c r="J6122" s="86">
        <f t="shared" si="3"/>
        <v>0</v>
      </c>
      <c r="R6122" s="26"/>
    </row>
    <row r="6123" spans="1:18" ht="15.75" customHeight="1">
      <c r="A6123" s="26"/>
      <c r="B6123" s="86"/>
      <c r="D6123" s="26"/>
      <c r="F6123" s="87" t="str">
        <f t="shared" si="0"/>
        <v/>
      </c>
      <c r="H6123" s="26" t="str">
        <f t="shared" si="1"/>
        <v/>
      </c>
      <c r="I6123" s="26" t="str">
        <f t="shared" si="2"/>
        <v/>
      </c>
      <c r="J6123" s="86">
        <f t="shared" si="3"/>
        <v>0</v>
      </c>
      <c r="R6123" s="26"/>
    </row>
    <row r="6124" spans="1:18" ht="15.75" customHeight="1">
      <c r="A6124" s="26"/>
      <c r="B6124" s="86"/>
      <c r="D6124" s="26"/>
      <c r="F6124" s="87" t="str">
        <f t="shared" si="0"/>
        <v/>
      </c>
      <c r="H6124" s="26" t="str">
        <f t="shared" si="1"/>
        <v/>
      </c>
      <c r="I6124" s="26" t="str">
        <f t="shared" si="2"/>
        <v/>
      </c>
      <c r="J6124" s="86">
        <f t="shared" si="3"/>
        <v>0</v>
      </c>
      <c r="R6124" s="26"/>
    </row>
    <row r="6125" spans="1:18" ht="15.75" customHeight="1">
      <c r="A6125" s="26"/>
      <c r="B6125" s="86"/>
      <c r="D6125" s="26"/>
      <c r="F6125" s="87" t="str">
        <f t="shared" si="0"/>
        <v/>
      </c>
      <c r="H6125" s="26" t="str">
        <f t="shared" si="1"/>
        <v/>
      </c>
      <c r="I6125" s="26" t="str">
        <f t="shared" si="2"/>
        <v/>
      </c>
      <c r="J6125" s="86">
        <f t="shared" si="3"/>
        <v>0</v>
      </c>
      <c r="R6125" s="26"/>
    </row>
    <row r="6126" spans="1:18" ht="15.75" customHeight="1">
      <c r="A6126" s="26"/>
      <c r="B6126" s="86"/>
      <c r="D6126" s="26"/>
      <c r="F6126" s="87" t="str">
        <f t="shared" si="0"/>
        <v/>
      </c>
      <c r="H6126" s="26" t="str">
        <f t="shared" si="1"/>
        <v/>
      </c>
      <c r="I6126" s="26" t="str">
        <f t="shared" si="2"/>
        <v/>
      </c>
      <c r="J6126" s="86">
        <f t="shared" si="3"/>
        <v>0</v>
      </c>
      <c r="R6126" s="26"/>
    </row>
    <row r="6127" spans="1:18" ht="15.75" customHeight="1">
      <c r="A6127" s="26"/>
      <c r="B6127" s="86"/>
      <c r="D6127" s="26"/>
      <c r="F6127" s="87" t="str">
        <f t="shared" si="0"/>
        <v/>
      </c>
      <c r="H6127" s="26" t="str">
        <f t="shared" si="1"/>
        <v/>
      </c>
      <c r="I6127" s="26" t="str">
        <f t="shared" si="2"/>
        <v/>
      </c>
      <c r="J6127" s="86">
        <f t="shared" si="3"/>
        <v>0</v>
      </c>
      <c r="R6127" s="26"/>
    </row>
    <row r="6128" spans="1:18" ht="15.75" customHeight="1">
      <c r="A6128" s="26"/>
      <c r="B6128" s="86"/>
      <c r="D6128" s="26"/>
      <c r="F6128" s="87" t="str">
        <f t="shared" si="0"/>
        <v/>
      </c>
      <c r="H6128" s="26" t="str">
        <f t="shared" si="1"/>
        <v/>
      </c>
      <c r="I6128" s="26" t="str">
        <f t="shared" si="2"/>
        <v/>
      </c>
      <c r="J6128" s="86">
        <f t="shared" si="3"/>
        <v>0</v>
      </c>
      <c r="R6128" s="26"/>
    </row>
    <row r="6129" spans="1:18" ht="15.75" customHeight="1">
      <c r="A6129" s="26"/>
      <c r="B6129" s="86"/>
      <c r="D6129" s="26"/>
      <c r="F6129" s="87" t="str">
        <f t="shared" si="0"/>
        <v/>
      </c>
      <c r="H6129" s="26" t="str">
        <f t="shared" si="1"/>
        <v/>
      </c>
      <c r="I6129" s="26" t="str">
        <f t="shared" si="2"/>
        <v/>
      </c>
      <c r="J6129" s="86">
        <f t="shared" si="3"/>
        <v>0</v>
      </c>
      <c r="R6129" s="26"/>
    </row>
    <row r="6130" spans="1:18" ht="15.75" customHeight="1">
      <c r="A6130" s="26"/>
      <c r="B6130" s="86"/>
      <c r="D6130" s="26"/>
      <c r="F6130" s="87" t="str">
        <f t="shared" si="0"/>
        <v/>
      </c>
      <c r="H6130" s="26" t="str">
        <f t="shared" si="1"/>
        <v/>
      </c>
      <c r="I6130" s="26" t="str">
        <f t="shared" si="2"/>
        <v/>
      </c>
      <c r="J6130" s="86">
        <f t="shared" si="3"/>
        <v>0</v>
      </c>
      <c r="R6130" s="26"/>
    </row>
    <row r="6131" spans="1:18" ht="15.75" customHeight="1">
      <c r="A6131" s="26"/>
      <c r="B6131" s="86"/>
      <c r="D6131" s="26"/>
      <c r="F6131" s="87" t="str">
        <f t="shared" si="0"/>
        <v/>
      </c>
      <c r="H6131" s="26" t="str">
        <f t="shared" si="1"/>
        <v/>
      </c>
      <c r="I6131" s="26" t="str">
        <f t="shared" si="2"/>
        <v/>
      </c>
      <c r="J6131" s="86">
        <f t="shared" si="3"/>
        <v>0</v>
      </c>
      <c r="R6131" s="26"/>
    </row>
    <row r="6132" spans="1:18" ht="15.75" customHeight="1">
      <c r="A6132" s="26"/>
      <c r="B6132" s="86"/>
      <c r="D6132" s="26"/>
      <c r="F6132" s="87" t="str">
        <f t="shared" si="0"/>
        <v/>
      </c>
      <c r="H6132" s="26" t="str">
        <f t="shared" si="1"/>
        <v/>
      </c>
      <c r="I6132" s="26" t="str">
        <f t="shared" si="2"/>
        <v/>
      </c>
      <c r="J6132" s="86">
        <f t="shared" si="3"/>
        <v>0</v>
      </c>
      <c r="R6132" s="26"/>
    </row>
    <row r="6133" spans="1:18" ht="15.75" customHeight="1">
      <c r="A6133" s="26"/>
      <c r="B6133" s="86"/>
      <c r="D6133" s="26"/>
      <c r="F6133" s="87" t="str">
        <f t="shared" si="0"/>
        <v/>
      </c>
      <c r="H6133" s="26" t="str">
        <f t="shared" si="1"/>
        <v/>
      </c>
      <c r="I6133" s="26" t="str">
        <f t="shared" si="2"/>
        <v/>
      </c>
      <c r="J6133" s="86">
        <f t="shared" si="3"/>
        <v>0</v>
      </c>
      <c r="R6133" s="26"/>
    </row>
    <row r="6134" spans="1:18" ht="15.75" customHeight="1">
      <c r="A6134" s="26"/>
      <c r="B6134" s="86"/>
      <c r="D6134" s="26"/>
      <c r="F6134" s="87" t="str">
        <f t="shared" si="0"/>
        <v/>
      </c>
      <c r="H6134" s="26" t="str">
        <f t="shared" si="1"/>
        <v/>
      </c>
      <c r="I6134" s="26" t="str">
        <f t="shared" si="2"/>
        <v/>
      </c>
      <c r="J6134" s="86">
        <f t="shared" si="3"/>
        <v>0</v>
      </c>
      <c r="R6134" s="26"/>
    </row>
    <row r="6135" spans="1:18" ht="15.75" customHeight="1">
      <c r="A6135" s="26"/>
      <c r="B6135" s="86"/>
      <c r="D6135" s="26"/>
      <c r="F6135" s="87" t="str">
        <f t="shared" si="0"/>
        <v/>
      </c>
      <c r="H6135" s="26" t="str">
        <f t="shared" si="1"/>
        <v/>
      </c>
      <c r="I6135" s="26" t="str">
        <f t="shared" si="2"/>
        <v/>
      </c>
      <c r="J6135" s="86">
        <f t="shared" si="3"/>
        <v>0</v>
      </c>
      <c r="R6135" s="26"/>
    </row>
    <row r="6136" spans="1:18" ht="15.75" customHeight="1">
      <c r="A6136" s="26"/>
      <c r="B6136" s="86"/>
      <c r="D6136" s="26"/>
      <c r="F6136" s="87" t="str">
        <f t="shared" si="0"/>
        <v/>
      </c>
      <c r="H6136" s="26" t="str">
        <f t="shared" si="1"/>
        <v/>
      </c>
      <c r="I6136" s="26" t="str">
        <f t="shared" si="2"/>
        <v/>
      </c>
      <c r="J6136" s="86">
        <f t="shared" si="3"/>
        <v>0</v>
      </c>
      <c r="R6136" s="26"/>
    </row>
    <row r="6137" spans="1:18" ht="15.75" customHeight="1">
      <c r="A6137" s="26"/>
      <c r="B6137" s="86"/>
      <c r="D6137" s="26"/>
      <c r="F6137" s="87" t="str">
        <f t="shared" si="0"/>
        <v/>
      </c>
      <c r="H6137" s="26" t="str">
        <f t="shared" si="1"/>
        <v/>
      </c>
      <c r="I6137" s="26" t="str">
        <f t="shared" si="2"/>
        <v/>
      </c>
      <c r="J6137" s="86">
        <f t="shared" si="3"/>
        <v>0</v>
      </c>
      <c r="R6137" s="26"/>
    </row>
    <row r="6138" spans="1:18" ht="15.75" customHeight="1">
      <c r="A6138" s="26"/>
      <c r="B6138" s="86"/>
      <c r="D6138" s="26"/>
      <c r="F6138" s="87" t="str">
        <f t="shared" si="0"/>
        <v/>
      </c>
      <c r="H6138" s="26" t="str">
        <f t="shared" si="1"/>
        <v/>
      </c>
      <c r="I6138" s="26" t="str">
        <f t="shared" si="2"/>
        <v/>
      </c>
      <c r="J6138" s="86">
        <f t="shared" si="3"/>
        <v>0</v>
      </c>
      <c r="R6138" s="26"/>
    </row>
    <row r="6139" spans="1:18" ht="15.75" customHeight="1">
      <c r="A6139" s="26"/>
      <c r="B6139" s="86"/>
      <c r="D6139" s="26"/>
      <c r="F6139" s="87" t="str">
        <f t="shared" si="0"/>
        <v/>
      </c>
      <c r="H6139" s="26" t="str">
        <f t="shared" si="1"/>
        <v/>
      </c>
      <c r="I6139" s="26" t="str">
        <f t="shared" si="2"/>
        <v/>
      </c>
      <c r="J6139" s="86">
        <f t="shared" si="3"/>
        <v>0</v>
      </c>
      <c r="R6139" s="26"/>
    </row>
    <row r="6140" spans="1:18" ht="15.75" customHeight="1">
      <c r="A6140" s="26"/>
      <c r="B6140" s="86"/>
      <c r="D6140" s="26"/>
      <c r="F6140" s="87" t="str">
        <f t="shared" si="0"/>
        <v/>
      </c>
      <c r="H6140" s="26" t="str">
        <f t="shared" si="1"/>
        <v/>
      </c>
      <c r="I6140" s="26" t="str">
        <f t="shared" si="2"/>
        <v/>
      </c>
      <c r="J6140" s="86">
        <f t="shared" si="3"/>
        <v>0</v>
      </c>
      <c r="R6140" s="26"/>
    </row>
    <row r="6141" spans="1:18" ht="15.75" customHeight="1">
      <c r="A6141" s="26"/>
      <c r="B6141" s="86"/>
      <c r="D6141" s="26"/>
      <c r="F6141" s="87" t="str">
        <f t="shared" si="0"/>
        <v/>
      </c>
      <c r="H6141" s="26" t="str">
        <f t="shared" si="1"/>
        <v/>
      </c>
      <c r="I6141" s="26" t="str">
        <f t="shared" si="2"/>
        <v/>
      </c>
      <c r="J6141" s="86">
        <f t="shared" si="3"/>
        <v>0</v>
      </c>
      <c r="R6141" s="26"/>
    </row>
    <row r="6142" spans="1:18" ht="15.75" customHeight="1">
      <c r="A6142" s="26"/>
      <c r="B6142" s="86"/>
      <c r="D6142" s="26"/>
      <c r="F6142" s="87" t="str">
        <f t="shared" si="0"/>
        <v/>
      </c>
      <c r="H6142" s="26" t="str">
        <f t="shared" si="1"/>
        <v/>
      </c>
      <c r="I6142" s="26" t="str">
        <f t="shared" si="2"/>
        <v/>
      </c>
      <c r="J6142" s="86">
        <f t="shared" si="3"/>
        <v>0</v>
      </c>
      <c r="R6142" s="26"/>
    </row>
    <row r="6143" spans="1:18" ht="15.75" customHeight="1">
      <c r="A6143" s="26"/>
      <c r="B6143" s="86"/>
      <c r="D6143" s="26"/>
      <c r="F6143" s="87" t="str">
        <f t="shared" si="0"/>
        <v/>
      </c>
      <c r="H6143" s="26" t="str">
        <f t="shared" si="1"/>
        <v/>
      </c>
      <c r="I6143" s="26" t="str">
        <f t="shared" si="2"/>
        <v/>
      </c>
      <c r="J6143" s="86">
        <f t="shared" si="3"/>
        <v>0</v>
      </c>
      <c r="R6143" s="26"/>
    </row>
    <row r="6144" spans="1:18" ht="15.75" customHeight="1">
      <c r="A6144" s="26"/>
      <c r="B6144" s="86"/>
      <c r="D6144" s="26"/>
      <c r="F6144" s="87" t="str">
        <f t="shared" si="0"/>
        <v/>
      </c>
      <c r="H6144" s="26" t="str">
        <f t="shared" si="1"/>
        <v/>
      </c>
      <c r="I6144" s="26" t="str">
        <f t="shared" si="2"/>
        <v/>
      </c>
      <c r="J6144" s="86">
        <f t="shared" si="3"/>
        <v>0</v>
      </c>
      <c r="R6144" s="26"/>
    </row>
    <row r="6145" spans="1:18" ht="15.75" customHeight="1">
      <c r="A6145" s="26"/>
      <c r="B6145" s="86"/>
      <c r="D6145" s="26"/>
      <c r="F6145" s="87" t="str">
        <f t="shared" si="0"/>
        <v/>
      </c>
      <c r="H6145" s="26" t="str">
        <f t="shared" si="1"/>
        <v/>
      </c>
      <c r="I6145" s="26" t="str">
        <f t="shared" si="2"/>
        <v/>
      </c>
      <c r="J6145" s="86">
        <f t="shared" si="3"/>
        <v>0</v>
      </c>
      <c r="R6145" s="26"/>
    </row>
    <row r="6146" spans="1:18" ht="15.75" customHeight="1">
      <c r="A6146" s="26"/>
      <c r="B6146" s="86"/>
      <c r="D6146" s="26"/>
      <c r="F6146" s="87" t="str">
        <f t="shared" si="0"/>
        <v/>
      </c>
      <c r="H6146" s="26" t="str">
        <f t="shared" si="1"/>
        <v/>
      </c>
      <c r="I6146" s="26" t="str">
        <f t="shared" si="2"/>
        <v/>
      </c>
      <c r="J6146" s="86">
        <f t="shared" si="3"/>
        <v>0</v>
      </c>
      <c r="R6146" s="26"/>
    </row>
    <row r="6147" spans="1:18" ht="15.75" customHeight="1">
      <c r="A6147" s="26"/>
      <c r="B6147" s="86"/>
      <c r="D6147" s="26"/>
      <c r="F6147" s="87" t="str">
        <f t="shared" si="0"/>
        <v/>
      </c>
      <c r="H6147" s="26" t="str">
        <f t="shared" si="1"/>
        <v/>
      </c>
      <c r="I6147" s="26" t="str">
        <f t="shared" si="2"/>
        <v/>
      </c>
      <c r="J6147" s="86">
        <f t="shared" si="3"/>
        <v>0</v>
      </c>
      <c r="R6147" s="26"/>
    </row>
    <row r="6148" spans="1:18" ht="15.75" customHeight="1">
      <c r="A6148" s="26"/>
      <c r="B6148" s="86"/>
      <c r="D6148" s="26"/>
      <c r="F6148" s="87" t="str">
        <f t="shared" si="0"/>
        <v/>
      </c>
      <c r="H6148" s="26" t="str">
        <f t="shared" si="1"/>
        <v/>
      </c>
      <c r="I6148" s="26" t="str">
        <f t="shared" si="2"/>
        <v/>
      </c>
      <c r="J6148" s="86">
        <f t="shared" si="3"/>
        <v>0</v>
      </c>
      <c r="R6148" s="26"/>
    </row>
    <row r="6149" spans="1:18" ht="15.75" customHeight="1">
      <c r="A6149" s="26"/>
      <c r="B6149" s="86"/>
      <c r="D6149" s="26"/>
      <c r="F6149" s="87" t="str">
        <f t="shared" si="0"/>
        <v/>
      </c>
      <c r="H6149" s="26" t="str">
        <f t="shared" si="1"/>
        <v/>
      </c>
      <c r="I6149" s="26" t="str">
        <f t="shared" si="2"/>
        <v/>
      </c>
      <c r="J6149" s="86">
        <f t="shared" si="3"/>
        <v>0</v>
      </c>
      <c r="R6149" s="26"/>
    </row>
    <row r="6150" spans="1:18" ht="15.75" customHeight="1">
      <c r="A6150" s="26"/>
      <c r="B6150" s="86"/>
      <c r="D6150" s="26"/>
      <c r="F6150" s="87" t="str">
        <f t="shared" si="0"/>
        <v/>
      </c>
      <c r="H6150" s="26" t="str">
        <f t="shared" si="1"/>
        <v/>
      </c>
      <c r="I6150" s="26" t="str">
        <f t="shared" si="2"/>
        <v/>
      </c>
      <c r="J6150" s="86">
        <f t="shared" si="3"/>
        <v>0</v>
      </c>
      <c r="R6150" s="26"/>
    </row>
    <row r="6151" spans="1:18" ht="15.75" customHeight="1">
      <c r="A6151" s="26"/>
      <c r="B6151" s="86"/>
      <c r="D6151" s="26"/>
      <c r="F6151" s="87" t="str">
        <f t="shared" si="0"/>
        <v/>
      </c>
      <c r="H6151" s="26" t="str">
        <f t="shared" si="1"/>
        <v/>
      </c>
      <c r="I6151" s="26" t="str">
        <f t="shared" si="2"/>
        <v/>
      </c>
      <c r="J6151" s="86">
        <f t="shared" si="3"/>
        <v>0</v>
      </c>
      <c r="R6151" s="26"/>
    </row>
    <row r="6152" spans="1:18" ht="15.75" customHeight="1">
      <c r="A6152" s="26"/>
      <c r="B6152" s="86"/>
      <c r="D6152" s="26"/>
      <c r="F6152" s="87" t="str">
        <f t="shared" si="0"/>
        <v/>
      </c>
      <c r="H6152" s="26" t="str">
        <f t="shared" si="1"/>
        <v/>
      </c>
      <c r="I6152" s="26" t="str">
        <f t="shared" si="2"/>
        <v/>
      </c>
      <c r="J6152" s="86">
        <f t="shared" si="3"/>
        <v>0</v>
      </c>
      <c r="R6152" s="26"/>
    </row>
    <row r="6153" spans="1:18" ht="15.75" customHeight="1">
      <c r="A6153" s="26"/>
      <c r="B6153" s="86"/>
      <c r="D6153" s="26"/>
      <c r="F6153" s="87" t="str">
        <f t="shared" si="0"/>
        <v/>
      </c>
      <c r="H6153" s="26" t="str">
        <f t="shared" si="1"/>
        <v/>
      </c>
      <c r="I6153" s="26" t="str">
        <f t="shared" si="2"/>
        <v/>
      </c>
      <c r="J6153" s="86">
        <f t="shared" si="3"/>
        <v>0</v>
      </c>
      <c r="R6153" s="26"/>
    </row>
    <row r="6154" spans="1:18" ht="15.75" customHeight="1">
      <c r="A6154" s="26"/>
      <c r="B6154" s="86"/>
      <c r="D6154" s="26"/>
      <c r="F6154" s="87" t="str">
        <f t="shared" si="0"/>
        <v/>
      </c>
      <c r="H6154" s="26" t="str">
        <f t="shared" si="1"/>
        <v/>
      </c>
      <c r="I6154" s="26" t="str">
        <f t="shared" si="2"/>
        <v/>
      </c>
      <c r="J6154" s="86">
        <f t="shared" si="3"/>
        <v>0</v>
      </c>
      <c r="R6154" s="26"/>
    </row>
    <row r="6155" spans="1:18" ht="15.75" customHeight="1">
      <c r="A6155" s="26"/>
      <c r="B6155" s="86"/>
      <c r="D6155" s="26"/>
      <c r="F6155" s="87" t="str">
        <f t="shared" si="0"/>
        <v/>
      </c>
      <c r="H6155" s="26" t="str">
        <f t="shared" si="1"/>
        <v/>
      </c>
      <c r="I6155" s="26" t="str">
        <f t="shared" si="2"/>
        <v/>
      </c>
      <c r="J6155" s="86">
        <f t="shared" si="3"/>
        <v>0</v>
      </c>
      <c r="R6155" s="26"/>
    </row>
    <row r="6156" spans="1:18" ht="15.75" customHeight="1">
      <c r="A6156" s="26"/>
      <c r="B6156" s="86"/>
      <c r="D6156" s="26"/>
      <c r="F6156" s="87" t="str">
        <f t="shared" si="0"/>
        <v/>
      </c>
      <c r="H6156" s="26" t="str">
        <f t="shared" si="1"/>
        <v/>
      </c>
      <c r="I6156" s="26" t="str">
        <f t="shared" si="2"/>
        <v/>
      </c>
      <c r="J6156" s="86">
        <f t="shared" si="3"/>
        <v>0</v>
      </c>
      <c r="R6156" s="26"/>
    </row>
    <row r="6157" spans="1:18" ht="15.75" customHeight="1">
      <c r="A6157" s="26"/>
      <c r="B6157" s="86"/>
      <c r="D6157" s="26"/>
      <c r="F6157" s="87" t="str">
        <f t="shared" si="0"/>
        <v/>
      </c>
      <c r="H6157" s="26" t="str">
        <f t="shared" si="1"/>
        <v/>
      </c>
      <c r="I6157" s="26" t="str">
        <f t="shared" si="2"/>
        <v/>
      </c>
      <c r="J6157" s="86">
        <f t="shared" si="3"/>
        <v>0</v>
      </c>
      <c r="R6157" s="26"/>
    </row>
    <row r="6158" spans="1:18" ht="15.75" customHeight="1">
      <c r="A6158" s="26"/>
      <c r="B6158" s="86"/>
      <c r="D6158" s="26"/>
      <c r="F6158" s="87" t="str">
        <f t="shared" si="0"/>
        <v/>
      </c>
      <c r="H6158" s="26" t="str">
        <f t="shared" si="1"/>
        <v/>
      </c>
      <c r="I6158" s="26" t="str">
        <f t="shared" si="2"/>
        <v/>
      </c>
      <c r="J6158" s="86">
        <f t="shared" si="3"/>
        <v>0</v>
      </c>
      <c r="R6158" s="26"/>
    </row>
    <row r="6159" spans="1:18" ht="15.75" customHeight="1">
      <c r="A6159" s="26"/>
      <c r="B6159" s="86"/>
      <c r="D6159" s="26"/>
      <c r="F6159" s="87" t="str">
        <f t="shared" si="0"/>
        <v/>
      </c>
      <c r="H6159" s="26" t="str">
        <f t="shared" si="1"/>
        <v/>
      </c>
      <c r="I6159" s="26" t="str">
        <f t="shared" si="2"/>
        <v/>
      </c>
      <c r="J6159" s="86">
        <f t="shared" si="3"/>
        <v>0</v>
      </c>
      <c r="R6159" s="26"/>
    </row>
    <row r="6160" spans="1:18" ht="15.75" customHeight="1">
      <c r="A6160" s="26"/>
      <c r="B6160" s="86"/>
      <c r="D6160" s="26"/>
      <c r="F6160" s="87" t="str">
        <f t="shared" si="0"/>
        <v/>
      </c>
      <c r="H6160" s="26" t="str">
        <f t="shared" si="1"/>
        <v/>
      </c>
      <c r="I6160" s="26" t="str">
        <f t="shared" si="2"/>
        <v/>
      </c>
      <c r="J6160" s="86">
        <f t="shared" si="3"/>
        <v>0</v>
      </c>
      <c r="R6160" s="26"/>
    </row>
    <row r="6161" spans="1:18" ht="15.75" customHeight="1">
      <c r="A6161" s="26"/>
      <c r="B6161" s="86"/>
      <c r="D6161" s="26"/>
      <c r="F6161" s="87" t="str">
        <f t="shared" si="0"/>
        <v/>
      </c>
      <c r="H6161" s="26" t="str">
        <f t="shared" si="1"/>
        <v/>
      </c>
      <c r="I6161" s="26" t="str">
        <f t="shared" si="2"/>
        <v/>
      </c>
      <c r="J6161" s="86">
        <f t="shared" si="3"/>
        <v>0</v>
      </c>
      <c r="R6161" s="26"/>
    </row>
    <row r="6162" spans="1:18" ht="15.75" customHeight="1">
      <c r="A6162" s="26"/>
      <c r="B6162" s="86"/>
      <c r="D6162" s="26"/>
      <c r="F6162" s="87" t="str">
        <f t="shared" si="0"/>
        <v/>
      </c>
      <c r="H6162" s="26" t="str">
        <f t="shared" si="1"/>
        <v/>
      </c>
      <c r="I6162" s="26" t="str">
        <f t="shared" si="2"/>
        <v/>
      </c>
      <c r="J6162" s="86">
        <f t="shared" si="3"/>
        <v>0</v>
      </c>
      <c r="R6162" s="26"/>
    </row>
    <row r="6163" spans="1:18" ht="15.75" customHeight="1">
      <c r="A6163" s="26"/>
      <c r="B6163" s="86"/>
      <c r="D6163" s="26"/>
      <c r="F6163" s="87" t="str">
        <f t="shared" si="0"/>
        <v/>
      </c>
      <c r="H6163" s="26" t="str">
        <f t="shared" si="1"/>
        <v/>
      </c>
      <c r="I6163" s="26" t="str">
        <f t="shared" si="2"/>
        <v/>
      </c>
      <c r="J6163" s="86">
        <f t="shared" si="3"/>
        <v>0</v>
      </c>
      <c r="R6163" s="26"/>
    </row>
    <row r="6164" spans="1:18" ht="15.75" customHeight="1">
      <c r="A6164" s="26"/>
      <c r="B6164" s="86"/>
      <c r="D6164" s="26"/>
      <c r="F6164" s="87" t="str">
        <f t="shared" si="0"/>
        <v/>
      </c>
      <c r="H6164" s="26" t="str">
        <f t="shared" si="1"/>
        <v/>
      </c>
      <c r="I6164" s="26" t="str">
        <f t="shared" si="2"/>
        <v/>
      </c>
      <c r="J6164" s="86">
        <f t="shared" si="3"/>
        <v>0</v>
      </c>
      <c r="R6164" s="26"/>
    </row>
    <row r="6165" spans="1:18" ht="15.75" customHeight="1">
      <c r="A6165" s="26"/>
      <c r="B6165" s="86"/>
      <c r="D6165" s="26"/>
      <c r="F6165" s="87" t="str">
        <f t="shared" si="0"/>
        <v/>
      </c>
      <c r="H6165" s="26" t="str">
        <f t="shared" si="1"/>
        <v/>
      </c>
      <c r="I6165" s="26" t="str">
        <f t="shared" si="2"/>
        <v/>
      </c>
      <c r="J6165" s="86">
        <f t="shared" si="3"/>
        <v>0</v>
      </c>
      <c r="R6165" s="26"/>
    </row>
    <row r="6166" spans="1:18" ht="15.75" customHeight="1">
      <c r="A6166" s="26"/>
      <c r="B6166" s="86"/>
      <c r="D6166" s="26"/>
      <c r="F6166" s="87" t="str">
        <f t="shared" si="0"/>
        <v/>
      </c>
      <c r="H6166" s="26" t="str">
        <f t="shared" si="1"/>
        <v/>
      </c>
      <c r="I6166" s="26" t="str">
        <f t="shared" si="2"/>
        <v/>
      </c>
      <c r="J6166" s="86">
        <f t="shared" si="3"/>
        <v>0</v>
      </c>
      <c r="R6166" s="26"/>
    </row>
    <row r="6167" spans="1:18" ht="15.75" customHeight="1">
      <c r="A6167" s="26"/>
      <c r="B6167" s="86"/>
      <c r="D6167" s="26"/>
      <c r="F6167" s="87" t="str">
        <f t="shared" si="0"/>
        <v/>
      </c>
      <c r="H6167" s="26" t="str">
        <f t="shared" si="1"/>
        <v/>
      </c>
      <c r="I6167" s="26" t="str">
        <f t="shared" si="2"/>
        <v/>
      </c>
      <c r="J6167" s="86">
        <f t="shared" si="3"/>
        <v>0</v>
      </c>
      <c r="R6167" s="26"/>
    </row>
    <row r="6168" spans="1:18" ht="15.75" customHeight="1">
      <c r="A6168" s="26"/>
      <c r="B6168" s="86"/>
      <c r="D6168" s="26"/>
      <c r="F6168" s="87" t="str">
        <f t="shared" si="0"/>
        <v/>
      </c>
      <c r="H6168" s="26" t="str">
        <f t="shared" si="1"/>
        <v/>
      </c>
      <c r="I6168" s="26" t="str">
        <f t="shared" si="2"/>
        <v/>
      </c>
      <c r="J6168" s="86">
        <f t="shared" si="3"/>
        <v>0</v>
      </c>
      <c r="R6168" s="26"/>
    </row>
    <row r="6169" spans="1:18" ht="15.75" customHeight="1">
      <c r="A6169" s="26"/>
      <c r="B6169" s="86"/>
      <c r="D6169" s="26"/>
      <c r="F6169" s="87" t="str">
        <f t="shared" si="0"/>
        <v/>
      </c>
      <c r="H6169" s="26" t="str">
        <f t="shared" si="1"/>
        <v/>
      </c>
      <c r="I6169" s="26" t="str">
        <f t="shared" si="2"/>
        <v/>
      </c>
      <c r="J6169" s="86">
        <f t="shared" si="3"/>
        <v>0</v>
      </c>
      <c r="R6169" s="26"/>
    </row>
    <row r="6170" spans="1:18" ht="15.75" customHeight="1">
      <c r="A6170" s="26"/>
      <c r="B6170" s="86"/>
      <c r="D6170" s="26"/>
      <c r="F6170" s="87" t="str">
        <f t="shared" si="0"/>
        <v/>
      </c>
      <c r="H6170" s="26" t="str">
        <f t="shared" si="1"/>
        <v/>
      </c>
      <c r="I6170" s="26" t="str">
        <f t="shared" si="2"/>
        <v/>
      </c>
      <c r="J6170" s="86">
        <f t="shared" si="3"/>
        <v>0</v>
      </c>
      <c r="R6170" s="26"/>
    </row>
    <row r="6171" spans="1:18" ht="15.75" customHeight="1">
      <c r="A6171" s="26"/>
      <c r="B6171" s="86"/>
      <c r="D6171" s="26"/>
      <c r="F6171" s="87" t="str">
        <f t="shared" si="0"/>
        <v/>
      </c>
      <c r="H6171" s="26" t="str">
        <f t="shared" si="1"/>
        <v/>
      </c>
      <c r="I6171" s="26" t="str">
        <f t="shared" si="2"/>
        <v/>
      </c>
      <c r="J6171" s="86">
        <f t="shared" si="3"/>
        <v>0</v>
      </c>
      <c r="R6171" s="26"/>
    </row>
    <row r="6172" spans="1:18" ht="15.75" customHeight="1">
      <c r="A6172" s="26"/>
      <c r="B6172" s="86"/>
      <c r="D6172" s="26"/>
      <c r="F6172" s="87" t="str">
        <f t="shared" si="0"/>
        <v/>
      </c>
      <c r="H6172" s="26" t="str">
        <f t="shared" si="1"/>
        <v/>
      </c>
      <c r="I6172" s="26" t="str">
        <f t="shared" si="2"/>
        <v/>
      </c>
      <c r="J6172" s="86">
        <f t="shared" si="3"/>
        <v>0</v>
      </c>
      <c r="R6172" s="26"/>
    </row>
    <row r="6173" spans="1:18" ht="15.75" customHeight="1">
      <c r="A6173" s="26"/>
      <c r="B6173" s="86"/>
      <c r="D6173" s="26"/>
      <c r="F6173" s="87" t="str">
        <f t="shared" si="0"/>
        <v/>
      </c>
      <c r="H6173" s="26" t="str">
        <f t="shared" si="1"/>
        <v/>
      </c>
      <c r="I6173" s="26" t="str">
        <f t="shared" si="2"/>
        <v/>
      </c>
      <c r="J6173" s="86">
        <f t="shared" si="3"/>
        <v>0</v>
      </c>
      <c r="R6173" s="26"/>
    </row>
    <row r="6174" spans="1:18" ht="15.75" customHeight="1">
      <c r="A6174" s="26"/>
      <c r="B6174" s="86"/>
      <c r="D6174" s="26"/>
      <c r="F6174" s="87" t="str">
        <f t="shared" si="0"/>
        <v/>
      </c>
      <c r="H6174" s="26" t="str">
        <f t="shared" si="1"/>
        <v/>
      </c>
      <c r="I6174" s="26" t="str">
        <f t="shared" si="2"/>
        <v/>
      </c>
      <c r="J6174" s="86">
        <f t="shared" si="3"/>
        <v>0</v>
      </c>
      <c r="R6174" s="26"/>
    </row>
    <row r="6175" spans="1:18" ht="15.75" customHeight="1">
      <c r="A6175" s="26"/>
      <c r="B6175" s="86"/>
      <c r="D6175" s="26"/>
      <c r="F6175" s="87" t="str">
        <f t="shared" si="0"/>
        <v/>
      </c>
      <c r="H6175" s="26" t="str">
        <f t="shared" si="1"/>
        <v/>
      </c>
      <c r="I6175" s="26" t="str">
        <f t="shared" si="2"/>
        <v/>
      </c>
      <c r="J6175" s="86">
        <f t="shared" si="3"/>
        <v>0</v>
      </c>
      <c r="R6175" s="26"/>
    </row>
    <row r="6176" spans="1:18" ht="15.75" customHeight="1">
      <c r="A6176" s="26"/>
      <c r="B6176" s="86"/>
      <c r="D6176" s="26"/>
      <c r="F6176" s="87" t="str">
        <f t="shared" si="0"/>
        <v/>
      </c>
      <c r="H6176" s="26" t="str">
        <f t="shared" si="1"/>
        <v/>
      </c>
      <c r="I6176" s="26" t="str">
        <f t="shared" si="2"/>
        <v/>
      </c>
      <c r="J6176" s="86">
        <f t="shared" si="3"/>
        <v>0</v>
      </c>
      <c r="R6176" s="26"/>
    </row>
    <row r="6177" spans="1:18" ht="15.75" customHeight="1">
      <c r="A6177" s="26"/>
      <c r="B6177" s="86"/>
      <c r="D6177" s="26"/>
      <c r="F6177" s="87" t="str">
        <f t="shared" si="0"/>
        <v/>
      </c>
      <c r="H6177" s="26" t="str">
        <f t="shared" si="1"/>
        <v/>
      </c>
      <c r="I6177" s="26" t="str">
        <f t="shared" si="2"/>
        <v/>
      </c>
      <c r="J6177" s="86">
        <f t="shared" si="3"/>
        <v>0</v>
      </c>
      <c r="R6177" s="26"/>
    </row>
    <row r="6178" spans="1:18" ht="15.75" customHeight="1">
      <c r="A6178" s="26"/>
      <c r="B6178" s="86"/>
      <c r="D6178" s="26"/>
      <c r="F6178" s="87" t="str">
        <f t="shared" si="0"/>
        <v/>
      </c>
      <c r="H6178" s="26" t="str">
        <f t="shared" si="1"/>
        <v/>
      </c>
      <c r="I6178" s="26" t="str">
        <f t="shared" si="2"/>
        <v/>
      </c>
      <c r="J6178" s="86">
        <f t="shared" si="3"/>
        <v>0</v>
      </c>
      <c r="R6178" s="26"/>
    </row>
    <row r="6179" spans="1:18" ht="15.75" customHeight="1">
      <c r="A6179" s="26"/>
      <c r="B6179" s="86"/>
      <c r="D6179" s="26"/>
      <c r="F6179" s="87" t="str">
        <f t="shared" si="0"/>
        <v/>
      </c>
      <c r="H6179" s="26" t="str">
        <f t="shared" si="1"/>
        <v/>
      </c>
      <c r="I6179" s="26" t="str">
        <f t="shared" si="2"/>
        <v/>
      </c>
      <c r="J6179" s="86">
        <f t="shared" si="3"/>
        <v>0</v>
      </c>
      <c r="R6179" s="26"/>
    </row>
    <row r="6180" spans="1:18" ht="15.75" customHeight="1">
      <c r="A6180" s="26"/>
      <c r="B6180" s="86"/>
      <c r="D6180" s="26"/>
      <c r="F6180" s="87" t="str">
        <f t="shared" si="0"/>
        <v/>
      </c>
      <c r="H6180" s="26" t="str">
        <f t="shared" si="1"/>
        <v/>
      </c>
      <c r="I6180" s="26" t="str">
        <f t="shared" si="2"/>
        <v/>
      </c>
      <c r="J6180" s="86">
        <f t="shared" si="3"/>
        <v>0</v>
      </c>
      <c r="R6180" s="26"/>
    </row>
    <row r="6181" spans="1:18" ht="15.75" customHeight="1">
      <c r="A6181" s="26"/>
      <c r="B6181" s="86"/>
      <c r="D6181" s="26"/>
      <c r="F6181" s="87" t="str">
        <f t="shared" si="0"/>
        <v/>
      </c>
      <c r="H6181" s="26" t="str">
        <f t="shared" si="1"/>
        <v/>
      </c>
      <c r="I6181" s="26" t="str">
        <f t="shared" si="2"/>
        <v/>
      </c>
      <c r="J6181" s="86">
        <f t="shared" si="3"/>
        <v>0</v>
      </c>
      <c r="R6181" s="26"/>
    </row>
    <row r="6182" spans="1:18" ht="15.75" customHeight="1">
      <c r="A6182" s="26"/>
      <c r="B6182" s="86"/>
      <c r="D6182" s="26"/>
      <c r="F6182" s="87" t="str">
        <f t="shared" si="0"/>
        <v/>
      </c>
      <c r="H6182" s="26" t="str">
        <f t="shared" si="1"/>
        <v/>
      </c>
      <c r="I6182" s="26" t="str">
        <f t="shared" si="2"/>
        <v/>
      </c>
      <c r="J6182" s="86">
        <f t="shared" si="3"/>
        <v>0</v>
      </c>
      <c r="R6182" s="26"/>
    </row>
    <row r="6183" spans="1:18" ht="15.75" customHeight="1">
      <c r="A6183" s="26"/>
      <c r="B6183" s="86"/>
      <c r="D6183" s="26"/>
      <c r="F6183" s="87" t="str">
        <f t="shared" si="0"/>
        <v/>
      </c>
      <c r="H6183" s="26" t="str">
        <f t="shared" si="1"/>
        <v/>
      </c>
      <c r="I6183" s="26" t="str">
        <f t="shared" si="2"/>
        <v/>
      </c>
      <c r="J6183" s="86">
        <f t="shared" si="3"/>
        <v>0</v>
      </c>
      <c r="R6183" s="26"/>
    </row>
    <row r="6184" spans="1:18" ht="15.75" customHeight="1">
      <c r="A6184" s="26"/>
      <c r="B6184" s="86"/>
      <c r="D6184" s="26"/>
      <c r="F6184" s="87" t="str">
        <f t="shared" si="0"/>
        <v/>
      </c>
      <c r="H6184" s="26" t="str">
        <f t="shared" si="1"/>
        <v/>
      </c>
      <c r="I6184" s="26" t="str">
        <f t="shared" si="2"/>
        <v/>
      </c>
      <c r="J6184" s="86">
        <f t="shared" si="3"/>
        <v>0</v>
      </c>
      <c r="R6184" s="26"/>
    </row>
    <row r="6185" spans="1:18" ht="15.75" customHeight="1">
      <c r="A6185" s="26"/>
      <c r="B6185" s="86"/>
      <c r="D6185" s="26"/>
      <c r="F6185" s="87" t="str">
        <f t="shared" si="0"/>
        <v/>
      </c>
      <c r="H6185" s="26" t="str">
        <f t="shared" si="1"/>
        <v/>
      </c>
      <c r="I6185" s="26" t="str">
        <f t="shared" si="2"/>
        <v/>
      </c>
      <c r="J6185" s="86">
        <f t="shared" si="3"/>
        <v>0</v>
      </c>
      <c r="R6185" s="26"/>
    </row>
    <row r="6186" spans="1:18" ht="15.75" customHeight="1">
      <c r="A6186" s="26"/>
      <c r="B6186" s="86"/>
      <c r="D6186" s="26"/>
      <c r="F6186" s="87" t="str">
        <f t="shared" si="0"/>
        <v/>
      </c>
      <c r="H6186" s="26" t="str">
        <f t="shared" si="1"/>
        <v/>
      </c>
      <c r="I6186" s="26" t="str">
        <f t="shared" si="2"/>
        <v/>
      </c>
      <c r="J6186" s="86">
        <f t="shared" si="3"/>
        <v>0</v>
      </c>
      <c r="R6186" s="26"/>
    </row>
    <row r="6187" spans="1:18" ht="15.75" customHeight="1">
      <c r="A6187" s="26"/>
      <c r="B6187" s="86"/>
      <c r="D6187" s="26"/>
      <c r="F6187" s="87" t="str">
        <f t="shared" si="0"/>
        <v/>
      </c>
      <c r="H6187" s="26" t="str">
        <f t="shared" si="1"/>
        <v/>
      </c>
      <c r="I6187" s="26" t="str">
        <f t="shared" si="2"/>
        <v/>
      </c>
      <c r="J6187" s="86">
        <f t="shared" si="3"/>
        <v>0</v>
      </c>
      <c r="R6187" s="26"/>
    </row>
    <row r="6188" spans="1:18" ht="15.75" customHeight="1">
      <c r="A6188" s="26"/>
      <c r="B6188" s="86"/>
      <c r="D6188" s="26"/>
      <c r="F6188" s="87" t="str">
        <f t="shared" si="0"/>
        <v/>
      </c>
      <c r="H6188" s="26" t="str">
        <f t="shared" si="1"/>
        <v/>
      </c>
      <c r="I6188" s="26" t="str">
        <f t="shared" si="2"/>
        <v/>
      </c>
      <c r="J6188" s="86">
        <f t="shared" si="3"/>
        <v>0</v>
      </c>
      <c r="R6188" s="26"/>
    </row>
    <row r="6189" spans="1:18" ht="15.75" customHeight="1">
      <c r="A6189" s="26"/>
      <c r="B6189" s="86"/>
      <c r="D6189" s="26"/>
      <c r="F6189" s="87" t="str">
        <f t="shared" si="0"/>
        <v/>
      </c>
      <c r="H6189" s="26" t="str">
        <f t="shared" si="1"/>
        <v/>
      </c>
      <c r="I6189" s="26" t="str">
        <f t="shared" si="2"/>
        <v/>
      </c>
      <c r="J6189" s="86">
        <f t="shared" si="3"/>
        <v>0</v>
      </c>
      <c r="R6189" s="26"/>
    </row>
    <row r="6190" spans="1:18" ht="15.75" customHeight="1">
      <c r="A6190" s="26"/>
      <c r="B6190" s="86"/>
      <c r="D6190" s="26"/>
      <c r="F6190" s="87" t="str">
        <f t="shared" si="0"/>
        <v/>
      </c>
      <c r="H6190" s="26" t="str">
        <f t="shared" si="1"/>
        <v/>
      </c>
      <c r="I6190" s="26" t="str">
        <f t="shared" si="2"/>
        <v/>
      </c>
      <c r="J6190" s="86">
        <f t="shared" si="3"/>
        <v>0</v>
      </c>
      <c r="R6190" s="26"/>
    </row>
    <row r="6191" spans="1:18" ht="15.75" customHeight="1">
      <c r="A6191" s="26"/>
      <c r="B6191" s="86"/>
      <c r="D6191" s="26"/>
      <c r="F6191" s="87" t="str">
        <f t="shared" si="0"/>
        <v/>
      </c>
      <c r="H6191" s="26" t="str">
        <f t="shared" si="1"/>
        <v/>
      </c>
      <c r="I6191" s="26" t="str">
        <f t="shared" si="2"/>
        <v/>
      </c>
      <c r="J6191" s="86">
        <f t="shared" si="3"/>
        <v>0</v>
      </c>
      <c r="R6191" s="26"/>
    </row>
    <row r="6192" spans="1:18" ht="15.75" customHeight="1">
      <c r="A6192" s="26"/>
      <c r="B6192" s="86"/>
      <c r="D6192" s="26"/>
      <c r="F6192" s="87" t="str">
        <f t="shared" si="0"/>
        <v/>
      </c>
      <c r="H6192" s="26" t="str">
        <f t="shared" si="1"/>
        <v/>
      </c>
      <c r="I6192" s="26" t="str">
        <f t="shared" si="2"/>
        <v/>
      </c>
      <c r="J6192" s="86">
        <f t="shared" si="3"/>
        <v>0</v>
      </c>
      <c r="R6192" s="26"/>
    </row>
    <row r="6193" spans="1:18" ht="15.75" customHeight="1">
      <c r="A6193" s="26"/>
      <c r="B6193" s="86"/>
      <c r="D6193" s="26"/>
      <c r="F6193" s="87" t="str">
        <f t="shared" si="0"/>
        <v/>
      </c>
      <c r="H6193" s="26" t="str">
        <f t="shared" si="1"/>
        <v/>
      </c>
      <c r="I6193" s="26" t="str">
        <f t="shared" si="2"/>
        <v/>
      </c>
      <c r="J6193" s="86">
        <f t="shared" si="3"/>
        <v>0</v>
      </c>
      <c r="R6193" s="26"/>
    </row>
    <row r="6194" spans="1:18" ht="15.75" customHeight="1">
      <c r="A6194" s="26"/>
      <c r="B6194" s="86"/>
      <c r="D6194" s="26"/>
      <c r="F6194" s="87" t="str">
        <f t="shared" si="0"/>
        <v/>
      </c>
      <c r="H6194" s="26" t="str">
        <f t="shared" si="1"/>
        <v/>
      </c>
      <c r="I6194" s="26" t="str">
        <f t="shared" si="2"/>
        <v/>
      </c>
      <c r="J6194" s="86">
        <f t="shared" si="3"/>
        <v>0</v>
      </c>
      <c r="R6194" s="26"/>
    </row>
    <row r="6195" spans="1:18" ht="15.75" customHeight="1">
      <c r="A6195" s="26"/>
      <c r="B6195" s="86"/>
      <c r="D6195" s="26"/>
      <c r="F6195" s="87" t="str">
        <f t="shared" si="0"/>
        <v/>
      </c>
      <c r="H6195" s="26" t="str">
        <f t="shared" si="1"/>
        <v/>
      </c>
      <c r="I6195" s="26" t="str">
        <f t="shared" si="2"/>
        <v/>
      </c>
      <c r="J6195" s="86">
        <f t="shared" si="3"/>
        <v>0</v>
      </c>
      <c r="R6195" s="26"/>
    </row>
    <row r="6196" spans="1:18" ht="15.75" customHeight="1">
      <c r="A6196" s="26"/>
      <c r="B6196" s="86"/>
      <c r="D6196" s="26"/>
      <c r="F6196" s="87" t="str">
        <f t="shared" si="0"/>
        <v/>
      </c>
      <c r="H6196" s="26" t="str">
        <f t="shared" si="1"/>
        <v/>
      </c>
      <c r="I6196" s="26" t="str">
        <f t="shared" si="2"/>
        <v/>
      </c>
      <c r="J6196" s="86">
        <f t="shared" si="3"/>
        <v>0</v>
      </c>
      <c r="R6196" s="26"/>
    </row>
    <row r="6197" spans="1:18" ht="15.75" customHeight="1">
      <c r="A6197" s="26"/>
      <c r="B6197" s="86"/>
      <c r="D6197" s="26"/>
      <c r="F6197" s="87" t="str">
        <f t="shared" si="0"/>
        <v/>
      </c>
      <c r="H6197" s="26" t="str">
        <f t="shared" si="1"/>
        <v/>
      </c>
      <c r="I6197" s="26" t="str">
        <f t="shared" si="2"/>
        <v/>
      </c>
      <c r="J6197" s="86">
        <f t="shared" si="3"/>
        <v>0</v>
      </c>
      <c r="R6197" s="26"/>
    </row>
    <row r="6198" spans="1:18" ht="15.75" customHeight="1">
      <c r="A6198" s="26"/>
      <c r="B6198" s="86"/>
      <c r="D6198" s="26"/>
      <c r="F6198" s="87" t="str">
        <f t="shared" si="0"/>
        <v/>
      </c>
      <c r="H6198" s="26" t="str">
        <f t="shared" si="1"/>
        <v/>
      </c>
      <c r="I6198" s="26" t="str">
        <f t="shared" si="2"/>
        <v/>
      </c>
      <c r="J6198" s="86">
        <f t="shared" si="3"/>
        <v>0</v>
      </c>
      <c r="R6198" s="26"/>
    </row>
    <row r="6199" spans="1:18" ht="15.75" customHeight="1">
      <c r="A6199" s="26"/>
      <c r="B6199" s="86"/>
      <c r="D6199" s="26"/>
      <c r="F6199" s="87" t="str">
        <f t="shared" si="0"/>
        <v/>
      </c>
      <c r="H6199" s="26" t="str">
        <f t="shared" si="1"/>
        <v/>
      </c>
      <c r="I6199" s="26" t="str">
        <f t="shared" si="2"/>
        <v/>
      </c>
      <c r="J6199" s="86">
        <f t="shared" si="3"/>
        <v>0</v>
      </c>
      <c r="R6199" s="26"/>
    </row>
    <row r="6200" spans="1:18" ht="15.75" customHeight="1">
      <c r="A6200" s="26"/>
      <c r="B6200" s="86"/>
      <c r="D6200" s="26"/>
      <c r="F6200" s="87" t="str">
        <f t="shared" si="0"/>
        <v/>
      </c>
      <c r="H6200" s="26" t="str">
        <f t="shared" si="1"/>
        <v/>
      </c>
      <c r="I6200" s="26" t="str">
        <f t="shared" si="2"/>
        <v/>
      </c>
      <c r="J6200" s="86">
        <f t="shared" si="3"/>
        <v>0</v>
      </c>
      <c r="R6200" s="26"/>
    </row>
    <row r="6201" spans="1:18" ht="15.75" customHeight="1">
      <c r="A6201" s="26"/>
      <c r="B6201" s="86"/>
      <c r="D6201" s="26"/>
      <c r="F6201" s="87" t="str">
        <f t="shared" si="0"/>
        <v/>
      </c>
      <c r="H6201" s="26" t="str">
        <f t="shared" si="1"/>
        <v/>
      </c>
      <c r="I6201" s="26" t="str">
        <f t="shared" si="2"/>
        <v/>
      </c>
      <c r="J6201" s="86">
        <f t="shared" si="3"/>
        <v>0</v>
      </c>
      <c r="R6201" s="26"/>
    </row>
    <row r="6202" spans="1:18" ht="15.75" customHeight="1">
      <c r="A6202" s="26"/>
      <c r="B6202" s="86"/>
      <c r="D6202" s="26"/>
      <c r="F6202" s="87" t="str">
        <f t="shared" si="0"/>
        <v/>
      </c>
      <c r="H6202" s="26" t="str">
        <f t="shared" si="1"/>
        <v/>
      </c>
      <c r="I6202" s="26" t="str">
        <f t="shared" si="2"/>
        <v/>
      </c>
      <c r="J6202" s="86">
        <f t="shared" si="3"/>
        <v>0</v>
      </c>
      <c r="R6202" s="26"/>
    </row>
    <row r="6203" spans="1:18" ht="15.75" customHeight="1">
      <c r="A6203" s="26"/>
      <c r="B6203" s="86"/>
      <c r="D6203" s="26"/>
      <c r="F6203" s="87" t="str">
        <f t="shared" si="0"/>
        <v/>
      </c>
      <c r="H6203" s="26" t="str">
        <f t="shared" si="1"/>
        <v/>
      </c>
      <c r="I6203" s="26" t="str">
        <f t="shared" si="2"/>
        <v/>
      </c>
      <c r="J6203" s="86">
        <f t="shared" si="3"/>
        <v>0</v>
      </c>
      <c r="R6203" s="26"/>
    </row>
    <row r="6204" spans="1:18" ht="15.75" customHeight="1">
      <c r="A6204" s="26"/>
      <c r="B6204" s="86"/>
      <c r="D6204" s="26"/>
      <c r="F6204" s="87" t="str">
        <f t="shared" si="0"/>
        <v/>
      </c>
      <c r="H6204" s="26" t="str">
        <f t="shared" si="1"/>
        <v/>
      </c>
      <c r="I6204" s="26" t="str">
        <f t="shared" si="2"/>
        <v/>
      </c>
      <c r="J6204" s="86">
        <f t="shared" si="3"/>
        <v>0</v>
      </c>
      <c r="R6204" s="26"/>
    </row>
    <row r="6205" spans="1:18" ht="15.75" customHeight="1">
      <c r="A6205" s="26"/>
      <c r="B6205" s="86"/>
      <c r="D6205" s="26"/>
      <c r="F6205" s="87" t="str">
        <f t="shared" si="0"/>
        <v/>
      </c>
      <c r="H6205" s="26" t="str">
        <f t="shared" si="1"/>
        <v/>
      </c>
      <c r="I6205" s="26" t="str">
        <f t="shared" si="2"/>
        <v/>
      </c>
      <c r="J6205" s="86">
        <f t="shared" si="3"/>
        <v>0</v>
      </c>
      <c r="R6205" s="26"/>
    </row>
    <row r="6206" spans="1:18" ht="15.75" customHeight="1">
      <c r="A6206" s="26"/>
      <c r="B6206" s="86"/>
      <c r="D6206" s="26"/>
      <c r="F6206" s="87" t="str">
        <f t="shared" si="0"/>
        <v/>
      </c>
      <c r="H6206" s="26" t="str">
        <f t="shared" si="1"/>
        <v/>
      </c>
      <c r="I6206" s="26" t="str">
        <f t="shared" si="2"/>
        <v/>
      </c>
      <c r="J6206" s="86">
        <f t="shared" si="3"/>
        <v>0</v>
      </c>
      <c r="R6206" s="26"/>
    </row>
    <row r="6207" spans="1:18" ht="15.75" customHeight="1">
      <c r="A6207" s="26"/>
      <c r="B6207" s="86"/>
      <c r="D6207" s="26"/>
      <c r="F6207" s="87" t="str">
        <f t="shared" si="0"/>
        <v/>
      </c>
      <c r="H6207" s="26" t="str">
        <f t="shared" si="1"/>
        <v/>
      </c>
      <c r="I6207" s="26" t="str">
        <f t="shared" si="2"/>
        <v/>
      </c>
      <c r="J6207" s="86">
        <f t="shared" si="3"/>
        <v>0</v>
      </c>
      <c r="R6207" s="26"/>
    </row>
    <row r="6208" spans="1:18" ht="15.75" customHeight="1">
      <c r="A6208" s="26"/>
      <c r="B6208" s="86"/>
      <c r="D6208" s="26"/>
      <c r="F6208" s="87" t="str">
        <f t="shared" si="0"/>
        <v/>
      </c>
      <c r="H6208" s="26" t="str">
        <f t="shared" si="1"/>
        <v/>
      </c>
      <c r="I6208" s="26" t="str">
        <f t="shared" si="2"/>
        <v/>
      </c>
      <c r="J6208" s="86">
        <f t="shared" si="3"/>
        <v>0</v>
      </c>
      <c r="R6208" s="26"/>
    </row>
    <row r="6209" spans="1:18" ht="15.75" customHeight="1">
      <c r="A6209" s="26"/>
      <c r="B6209" s="86"/>
      <c r="D6209" s="26"/>
      <c r="F6209" s="87" t="str">
        <f t="shared" si="0"/>
        <v/>
      </c>
      <c r="H6209" s="26" t="str">
        <f t="shared" si="1"/>
        <v/>
      </c>
      <c r="I6209" s="26" t="str">
        <f t="shared" si="2"/>
        <v/>
      </c>
      <c r="J6209" s="86">
        <f t="shared" si="3"/>
        <v>0</v>
      </c>
      <c r="R6209" s="26"/>
    </row>
    <row r="6210" spans="1:18" ht="15.75" customHeight="1">
      <c r="A6210" s="26"/>
      <c r="B6210" s="86"/>
      <c r="D6210" s="26"/>
      <c r="F6210" s="87" t="str">
        <f t="shared" si="0"/>
        <v/>
      </c>
      <c r="H6210" s="26" t="str">
        <f t="shared" si="1"/>
        <v/>
      </c>
      <c r="I6210" s="26" t="str">
        <f t="shared" si="2"/>
        <v/>
      </c>
      <c r="J6210" s="86">
        <f t="shared" si="3"/>
        <v>0</v>
      </c>
      <c r="R6210" s="26"/>
    </row>
    <row r="6211" spans="1:18" ht="15.75" customHeight="1">
      <c r="A6211" s="26"/>
      <c r="B6211" s="86"/>
      <c r="D6211" s="26"/>
      <c r="F6211" s="87" t="str">
        <f t="shared" si="0"/>
        <v/>
      </c>
      <c r="H6211" s="26" t="str">
        <f t="shared" si="1"/>
        <v/>
      </c>
      <c r="I6211" s="26" t="str">
        <f t="shared" si="2"/>
        <v/>
      </c>
      <c r="J6211" s="86">
        <f t="shared" si="3"/>
        <v>0</v>
      </c>
      <c r="R6211" s="26"/>
    </row>
    <row r="6212" spans="1:18" ht="15.75" customHeight="1">
      <c r="A6212" s="26"/>
      <c r="B6212" s="86"/>
      <c r="D6212" s="26"/>
      <c r="F6212" s="87" t="str">
        <f t="shared" si="0"/>
        <v/>
      </c>
      <c r="H6212" s="26" t="str">
        <f t="shared" si="1"/>
        <v/>
      </c>
      <c r="I6212" s="26" t="str">
        <f t="shared" si="2"/>
        <v/>
      </c>
      <c r="J6212" s="86">
        <f t="shared" si="3"/>
        <v>0</v>
      </c>
      <c r="R6212" s="26"/>
    </row>
    <row r="6213" spans="1:18" ht="15.75" customHeight="1">
      <c r="A6213" s="26"/>
      <c r="B6213" s="86"/>
      <c r="D6213" s="26"/>
      <c r="F6213" s="87" t="str">
        <f t="shared" si="0"/>
        <v/>
      </c>
      <c r="H6213" s="26" t="str">
        <f t="shared" si="1"/>
        <v/>
      </c>
      <c r="I6213" s="26" t="str">
        <f t="shared" si="2"/>
        <v/>
      </c>
      <c r="J6213" s="86">
        <f t="shared" si="3"/>
        <v>0</v>
      </c>
      <c r="R6213" s="26"/>
    </row>
    <row r="6214" spans="1:18" ht="15.75" customHeight="1">
      <c r="A6214" s="26"/>
      <c r="B6214" s="86"/>
      <c r="D6214" s="26"/>
      <c r="F6214" s="87" t="str">
        <f t="shared" si="0"/>
        <v/>
      </c>
      <c r="H6214" s="26" t="str">
        <f t="shared" si="1"/>
        <v/>
      </c>
      <c r="I6214" s="26" t="str">
        <f t="shared" si="2"/>
        <v/>
      </c>
      <c r="J6214" s="86">
        <f t="shared" si="3"/>
        <v>0</v>
      </c>
      <c r="R6214" s="26"/>
    </row>
    <row r="6215" spans="1:18" ht="15.75" customHeight="1">
      <c r="A6215" s="26"/>
      <c r="B6215" s="86"/>
      <c r="D6215" s="26"/>
      <c r="F6215" s="87" t="str">
        <f t="shared" si="0"/>
        <v/>
      </c>
      <c r="H6215" s="26" t="str">
        <f t="shared" si="1"/>
        <v/>
      </c>
      <c r="I6215" s="26" t="str">
        <f t="shared" si="2"/>
        <v/>
      </c>
      <c r="J6215" s="86">
        <f t="shared" si="3"/>
        <v>0</v>
      </c>
      <c r="R6215" s="26"/>
    </row>
    <row r="6216" spans="1:18" ht="15.75" customHeight="1">
      <c r="A6216" s="26"/>
      <c r="B6216" s="86"/>
      <c r="D6216" s="26"/>
      <c r="F6216" s="87" t="str">
        <f t="shared" si="0"/>
        <v/>
      </c>
      <c r="H6216" s="26" t="str">
        <f t="shared" si="1"/>
        <v/>
      </c>
      <c r="I6216" s="26" t="str">
        <f t="shared" si="2"/>
        <v/>
      </c>
      <c r="J6216" s="86">
        <f t="shared" si="3"/>
        <v>0</v>
      </c>
      <c r="R6216" s="26"/>
    </row>
    <row r="6217" spans="1:18" ht="15.75" customHeight="1">
      <c r="A6217" s="26"/>
      <c r="B6217" s="86"/>
      <c r="D6217" s="26"/>
      <c r="F6217" s="87" t="str">
        <f t="shared" si="0"/>
        <v/>
      </c>
      <c r="H6217" s="26" t="str">
        <f t="shared" si="1"/>
        <v/>
      </c>
      <c r="I6217" s="26" t="str">
        <f t="shared" si="2"/>
        <v/>
      </c>
      <c r="J6217" s="86">
        <f t="shared" si="3"/>
        <v>0</v>
      </c>
      <c r="R6217" s="26"/>
    </row>
    <row r="6218" spans="1:18" ht="15.75" customHeight="1">
      <c r="A6218" s="26"/>
      <c r="B6218" s="86"/>
      <c r="D6218" s="26"/>
      <c r="F6218" s="87" t="str">
        <f t="shared" si="0"/>
        <v/>
      </c>
      <c r="H6218" s="26" t="str">
        <f t="shared" si="1"/>
        <v/>
      </c>
      <c r="I6218" s="26" t="str">
        <f t="shared" si="2"/>
        <v/>
      </c>
      <c r="J6218" s="86">
        <f t="shared" si="3"/>
        <v>0</v>
      </c>
      <c r="R6218" s="26"/>
    </row>
    <row r="6219" spans="1:18" ht="15.75" customHeight="1">
      <c r="A6219" s="26"/>
      <c r="B6219" s="86"/>
      <c r="D6219" s="26"/>
      <c r="F6219" s="87" t="str">
        <f t="shared" si="0"/>
        <v/>
      </c>
      <c r="H6219" s="26" t="str">
        <f t="shared" si="1"/>
        <v/>
      </c>
      <c r="I6219" s="26" t="str">
        <f t="shared" si="2"/>
        <v/>
      </c>
      <c r="J6219" s="86">
        <f t="shared" si="3"/>
        <v>0</v>
      </c>
      <c r="R6219" s="26"/>
    </row>
    <row r="6220" spans="1:18" ht="15.75" customHeight="1">
      <c r="A6220" s="26"/>
      <c r="B6220" s="86"/>
      <c r="D6220" s="26"/>
      <c r="F6220" s="87" t="str">
        <f t="shared" si="0"/>
        <v/>
      </c>
      <c r="H6220" s="26" t="str">
        <f t="shared" si="1"/>
        <v/>
      </c>
      <c r="I6220" s="26" t="str">
        <f t="shared" si="2"/>
        <v/>
      </c>
      <c r="J6220" s="86">
        <f t="shared" si="3"/>
        <v>0</v>
      </c>
      <c r="R6220" s="26"/>
    </row>
    <row r="6221" spans="1:18" ht="15.75" customHeight="1">
      <c r="A6221" s="26"/>
      <c r="B6221" s="86"/>
      <c r="D6221" s="26"/>
      <c r="F6221" s="87" t="str">
        <f t="shared" si="0"/>
        <v/>
      </c>
      <c r="H6221" s="26" t="str">
        <f t="shared" si="1"/>
        <v/>
      </c>
      <c r="I6221" s="26" t="str">
        <f t="shared" si="2"/>
        <v/>
      </c>
      <c r="J6221" s="86">
        <f t="shared" si="3"/>
        <v>0</v>
      </c>
      <c r="R6221" s="26"/>
    </row>
    <row r="6222" spans="1:18" ht="15.75" customHeight="1">
      <c r="A6222" s="26"/>
      <c r="B6222" s="86"/>
      <c r="D6222" s="26"/>
      <c r="F6222" s="87" t="str">
        <f t="shared" si="0"/>
        <v/>
      </c>
      <c r="H6222" s="26" t="str">
        <f t="shared" si="1"/>
        <v/>
      </c>
      <c r="I6222" s="26" t="str">
        <f t="shared" si="2"/>
        <v/>
      </c>
      <c r="J6222" s="86">
        <f t="shared" si="3"/>
        <v>0</v>
      </c>
      <c r="R6222" s="26"/>
    </row>
    <row r="6223" spans="1:18" ht="15.75" customHeight="1">
      <c r="A6223" s="26"/>
      <c r="B6223" s="86"/>
      <c r="D6223" s="26"/>
      <c r="F6223" s="87" t="str">
        <f t="shared" si="0"/>
        <v/>
      </c>
      <c r="H6223" s="26" t="str">
        <f t="shared" si="1"/>
        <v/>
      </c>
      <c r="I6223" s="26" t="str">
        <f t="shared" si="2"/>
        <v/>
      </c>
      <c r="J6223" s="86">
        <f t="shared" si="3"/>
        <v>0</v>
      </c>
      <c r="R6223" s="26"/>
    </row>
    <row r="6224" spans="1:18" ht="15.75" customHeight="1">
      <c r="A6224" s="26"/>
      <c r="B6224" s="86"/>
      <c r="D6224" s="26"/>
      <c r="F6224" s="87" t="str">
        <f t="shared" si="0"/>
        <v/>
      </c>
      <c r="H6224" s="26" t="str">
        <f t="shared" si="1"/>
        <v/>
      </c>
      <c r="I6224" s="26" t="str">
        <f t="shared" si="2"/>
        <v/>
      </c>
      <c r="J6224" s="86">
        <f t="shared" si="3"/>
        <v>0</v>
      </c>
      <c r="R6224" s="26"/>
    </row>
    <row r="6225" spans="1:18" ht="15.75" customHeight="1">
      <c r="A6225" s="26"/>
      <c r="B6225" s="86"/>
      <c r="D6225" s="26"/>
      <c r="F6225" s="87" t="str">
        <f t="shared" si="0"/>
        <v/>
      </c>
      <c r="H6225" s="26" t="str">
        <f t="shared" si="1"/>
        <v/>
      </c>
      <c r="I6225" s="26" t="str">
        <f t="shared" si="2"/>
        <v/>
      </c>
      <c r="J6225" s="86">
        <f t="shared" si="3"/>
        <v>0</v>
      </c>
      <c r="R6225" s="26"/>
    </row>
    <row r="6226" spans="1:18" ht="15.75" customHeight="1">
      <c r="A6226" s="26"/>
      <c r="B6226" s="86"/>
      <c r="D6226" s="26"/>
      <c r="F6226" s="87" t="str">
        <f t="shared" si="0"/>
        <v/>
      </c>
      <c r="H6226" s="26" t="str">
        <f t="shared" si="1"/>
        <v/>
      </c>
      <c r="I6226" s="26" t="str">
        <f t="shared" si="2"/>
        <v/>
      </c>
      <c r="J6226" s="86">
        <f t="shared" si="3"/>
        <v>0</v>
      </c>
      <c r="R6226" s="26"/>
    </row>
    <row r="6227" spans="1:18" ht="15.75" customHeight="1">
      <c r="A6227" s="26"/>
      <c r="B6227" s="86"/>
      <c r="D6227" s="26"/>
      <c r="F6227" s="87" t="str">
        <f t="shared" si="0"/>
        <v/>
      </c>
      <c r="H6227" s="26" t="str">
        <f t="shared" si="1"/>
        <v/>
      </c>
      <c r="I6227" s="26" t="str">
        <f t="shared" si="2"/>
        <v/>
      </c>
      <c r="J6227" s="86">
        <f t="shared" si="3"/>
        <v>0</v>
      </c>
      <c r="R6227" s="26"/>
    </row>
    <row r="6228" spans="1:18" ht="15.75" customHeight="1">
      <c r="A6228" s="26"/>
      <c r="B6228" s="86"/>
      <c r="D6228" s="26"/>
      <c r="F6228" s="87" t="str">
        <f t="shared" si="0"/>
        <v/>
      </c>
      <c r="H6228" s="26" t="str">
        <f t="shared" si="1"/>
        <v/>
      </c>
      <c r="I6228" s="26" t="str">
        <f t="shared" si="2"/>
        <v/>
      </c>
      <c r="J6228" s="86">
        <f t="shared" si="3"/>
        <v>0</v>
      </c>
      <c r="R6228" s="26"/>
    </row>
    <row r="6229" spans="1:18" ht="15.75" customHeight="1">
      <c r="A6229" s="26"/>
      <c r="B6229" s="86"/>
      <c r="D6229" s="26"/>
      <c r="F6229" s="87" t="str">
        <f t="shared" si="0"/>
        <v/>
      </c>
      <c r="H6229" s="26" t="str">
        <f t="shared" si="1"/>
        <v/>
      </c>
      <c r="I6229" s="26" t="str">
        <f t="shared" si="2"/>
        <v/>
      </c>
      <c r="J6229" s="86">
        <f t="shared" si="3"/>
        <v>0</v>
      </c>
      <c r="R6229" s="26"/>
    </row>
    <row r="6230" spans="1:18" ht="15.75" customHeight="1">
      <c r="A6230" s="26"/>
      <c r="B6230" s="86"/>
      <c r="D6230" s="26"/>
      <c r="F6230" s="87" t="str">
        <f t="shared" si="0"/>
        <v/>
      </c>
      <c r="H6230" s="26" t="str">
        <f t="shared" si="1"/>
        <v/>
      </c>
      <c r="I6230" s="26" t="str">
        <f t="shared" si="2"/>
        <v/>
      </c>
      <c r="J6230" s="86">
        <f t="shared" si="3"/>
        <v>0</v>
      </c>
      <c r="R6230" s="26"/>
    </row>
    <row r="6231" spans="1:18" ht="15.75" customHeight="1">
      <c r="A6231" s="26"/>
      <c r="B6231" s="86"/>
      <c r="D6231" s="26"/>
      <c r="F6231" s="87" t="str">
        <f t="shared" si="0"/>
        <v/>
      </c>
      <c r="H6231" s="26" t="str">
        <f t="shared" si="1"/>
        <v/>
      </c>
      <c r="I6231" s="26" t="str">
        <f t="shared" si="2"/>
        <v/>
      </c>
      <c r="J6231" s="86">
        <f t="shared" si="3"/>
        <v>0</v>
      </c>
      <c r="R6231" s="26"/>
    </row>
    <row r="6232" spans="1:18" ht="15.75" customHeight="1">
      <c r="A6232" s="26"/>
      <c r="B6232" s="86"/>
      <c r="D6232" s="26"/>
      <c r="F6232" s="87" t="str">
        <f t="shared" si="0"/>
        <v/>
      </c>
      <c r="H6232" s="26" t="str">
        <f t="shared" si="1"/>
        <v/>
      </c>
      <c r="I6232" s="26" t="str">
        <f t="shared" si="2"/>
        <v/>
      </c>
      <c r="J6232" s="86">
        <f t="shared" si="3"/>
        <v>0</v>
      </c>
      <c r="R6232" s="26"/>
    </row>
    <row r="6233" spans="1:18" ht="15.75" customHeight="1">
      <c r="A6233" s="26"/>
      <c r="B6233" s="86"/>
      <c r="D6233" s="26"/>
      <c r="F6233" s="87" t="str">
        <f t="shared" si="0"/>
        <v/>
      </c>
      <c r="H6233" s="26" t="str">
        <f t="shared" si="1"/>
        <v/>
      </c>
      <c r="I6233" s="26" t="str">
        <f t="shared" si="2"/>
        <v/>
      </c>
      <c r="J6233" s="86">
        <f t="shared" si="3"/>
        <v>0</v>
      </c>
      <c r="R6233" s="26"/>
    </row>
    <row r="6234" spans="1:18" ht="15.75" customHeight="1">
      <c r="A6234" s="26"/>
      <c r="B6234" s="86"/>
      <c r="D6234" s="26"/>
      <c r="F6234" s="87" t="str">
        <f t="shared" si="0"/>
        <v/>
      </c>
      <c r="H6234" s="26" t="str">
        <f t="shared" si="1"/>
        <v/>
      </c>
      <c r="I6234" s="26" t="str">
        <f t="shared" si="2"/>
        <v/>
      </c>
      <c r="J6234" s="86">
        <f t="shared" si="3"/>
        <v>0</v>
      </c>
      <c r="R6234" s="26"/>
    </row>
    <row r="6235" spans="1:18" ht="15.75" customHeight="1">
      <c r="A6235" s="26"/>
      <c r="B6235" s="86"/>
      <c r="D6235" s="26"/>
      <c r="F6235" s="87" t="str">
        <f t="shared" si="0"/>
        <v/>
      </c>
      <c r="H6235" s="26" t="str">
        <f t="shared" si="1"/>
        <v/>
      </c>
      <c r="I6235" s="26" t="str">
        <f t="shared" si="2"/>
        <v/>
      </c>
      <c r="J6235" s="86">
        <f t="shared" si="3"/>
        <v>0</v>
      </c>
      <c r="R6235" s="26"/>
    </row>
    <row r="6236" spans="1:18" ht="15.75" customHeight="1">
      <c r="A6236" s="26"/>
      <c r="B6236" s="86"/>
      <c r="D6236" s="26"/>
      <c r="F6236" s="87" t="str">
        <f t="shared" si="0"/>
        <v/>
      </c>
      <c r="H6236" s="26" t="str">
        <f t="shared" si="1"/>
        <v/>
      </c>
      <c r="I6236" s="26" t="str">
        <f t="shared" si="2"/>
        <v/>
      </c>
      <c r="J6236" s="86">
        <f t="shared" si="3"/>
        <v>0</v>
      </c>
      <c r="R6236" s="26"/>
    </row>
    <row r="6237" spans="1:18" ht="15.75" customHeight="1">
      <c r="A6237" s="26"/>
      <c r="B6237" s="86"/>
      <c r="D6237" s="26"/>
      <c r="F6237" s="87" t="str">
        <f t="shared" si="0"/>
        <v/>
      </c>
      <c r="H6237" s="26" t="str">
        <f t="shared" si="1"/>
        <v/>
      </c>
      <c r="I6237" s="26" t="str">
        <f t="shared" si="2"/>
        <v/>
      </c>
      <c r="J6237" s="86">
        <f t="shared" si="3"/>
        <v>0</v>
      </c>
      <c r="R6237" s="26"/>
    </row>
    <row r="6238" spans="1:18" ht="15.75" customHeight="1">
      <c r="A6238" s="26"/>
      <c r="B6238" s="86"/>
      <c r="D6238" s="26"/>
      <c r="F6238" s="87" t="str">
        <f t="shared" si="0"/>
        <v/>
      </c>
      <c r="H6238" s="26" t="str">
        <f t="shared" si="1"/>
        <v/>
      </c>
      <c r="I6238" s="26" t="str">
        <f t="shared" si="2"/>
        <v/>
      </c>
      <c r="J6238" s="86">
        <f t="shared" si="3"/>
        <v>0</v>
      </c>
      <c r="R6238" s="26"/>
    </row>
    <row r="6239" spans="1:18" ht="15.75" customHeight="1">
      <c r="A6239" s="26"/>
      <c r="B6239" s="86"/>
      <c r="D6239" s="26"/>
      <c r="F6239" s="87" t="str">
        <f t="shared" si="0"/>
        <v/>
      </c>
      <c r="H6239" s="26" t="str">
        <f t="shared" si="1"/>
        <v/>
      </c>
      <c r="I6239" s="26" t="str">
        <f t="shared" si="2"/>
        <v/>
      </c>
      <c r="J6239" s="86">
        <f t="shared" si="3"/>
        <v>0</v>
      </c>
      <c r="R6239" s="26"/>
    </row>
    <row r="6240" spans="1:18" ht="15.75" customHeight="1">
      <c r="A6240" s="26"/>
      <c r="B6240" s="86"/>
      <c r="D6240" s="26"/>
      <c r="F6240" s="87" t="str">
        <f t="shared" si="0"/>
        <v/>
      </c>
      <c r="H6240" s="26" t="str">
        <f t="shared" si="1"/>
        <v/>
      </c>
      <c r="I6240" s="26" t="str">
        <f t="shared" si="2"/>
        <v/>
      </c>
      <c r="J6240" s="86">
        <f t="shared" si="3"/>
        <v>0</v>
      </c>
      <c r="R6240" s="26"/>
    </row>
    <row r="6241" spans="1:18" ht="15.75" customHeight="1">
      <c r="A6241" s="26"/>
      <c r="B6241" s="86"/>
      <c r="D6241" s="26"/>
      <c r="F6241" s="87" t="str">
        <f t="shared" si="0"/>
        <v/>
      </c>
      <c r="H6241" s="26" t="str">
        <f t="shared" si="1"/>
        <v/>
      </c>
      <c r="I6241" s="26" t="str">
        <f t="shared" si="2"/>
        <v/>
      </c>
      <c r="J6241" s="86">
        <f t="shared" si="3"/>
        <v>0</v>
      </c>
      <c r="R6241" s="26"/>
    </row>
    <row r="6242" spans="1:18" ht="15.75" customHeight="1">
      <c r="A6242" s="26"/>
      <c r="B6242" s="86"/>
      <c r="D6242" s="26"/>
      <c r="F6242" s="87" t="str">
        <f t="shared" si="0"/>
        <v/>
      </c>
      <c r="H6242" s="26" t="str">
        <f t="shared" si="1"/>
        <v/>
      </c>
      <c r="I6242" s="26" t="str">
        <f t="shared" si="2"/>
        <v/>
      </c>
      <c r="J6242" s="86">
        <f t="shared" si="3"/>
        <v>0</v>
      </c>
      <c r="R6242" s="26"/>
    </row>
    <row r="6243" spans="1:18" ht="15.75" customHeight="1">
      <c r="A6243" s="26"/>
      <c r="B6243" s="86"/>
      <c r="D6243" s="26"/>
      <c r="F6243" s="87" t="str">
        <f t="shared" si="0"/>
        <v/>
      </c>
      <c r="H6243" s="26" t="str">
        <f t="shared" si="1"/>
        <v/>
      </c>
      <c r="I6243" s="26" t="str">
        <f t="shared" si="2"/>
        <v/>
      </c>
      <c r="J6243" s="86">
        <f t="shared" si="3"/>
        <v>0</v>
      </c>
      <c r="R6243" s="26"/>
    </row>
    <row r="6244" spans="1:18" ht="15.75" customHeight="1">
      <c r="A6244" s="26"/>
      <c r="B6244" s="86"/>
      <c r="D6244" s="26"/>
      <c r="F6244" s="87" t="str">
        <f t="shared" si="0"/>
        <v/>
      </c>
      <c r="H6244" s="26" t="str">
        <f t="shared" si="1"/>
        <v/>
      </c>
      <c r="I6244" s="26" t="str">
        <f t="shared" si="2"/>
        <v/>
      </c>
      <c r="J6244" s="86">
        <f t="shared" si="3"/>
        <v>0</v>
      </c>
      <c r="R6244" s="26"/>
    </row>
    <row r="6245" spans="1:18" ht="15.75" customHeight="1">
      <c r="A6245" s="26"/>
      <c r="B6245" s="86"/>
      <c r="D6245" s="26"/>
      <c r="F6245" s="87" t="str">
        <f t="shared" si="0"/>
        <v/>
      </c>
      <c r="H6245" s="26" t="str">
        <f t="shared" si="1"/>
        <v/>
      </c>
      <c r="I6245" s="26" t="str">
        <f t="shared" si="2"/>
        <v/>
      </c>
      <c r="J6245" s="86">
        <f t="shared" si="3"/>
        <v>0</v>
      </c>
      <c r="R6245" s="26"/>
    </row>
    <row r="6246" spans="1:18" ht="15.75" customHeight="1">
      <c r="A6246" s="26"/>
      <c r="B6246" s="86"/>
      <c r="D6246" s="26"/>
      <c r="F6246" s="87" t="str">
        <f t="shared" si="0"/>
        <v/>
      </c>
      <c r="H6246" s="26" t="str">
        <f t="shared" si="1"/>
        <v/>
      </c>
      <c r="I6246" s="26" t="str">
        <f t="shared" si="2"/>
        <v/>
      </c>
      <c r="J6246" s="86">
        <f t="shared" si="3"/>
        <v>0</v>
      </c>
      <c r="R6246" s="26"/>
    </row>
    <row r="6247" spans="1:18" ht="15.75" customHeight="1">
      <c r="A6247" s="26"/>
      <c r="B6247" s="86"/>
      <c r="D6247" s="26"/>
      <c r="F6247" s="87" t="str">
        <f t="shared" si="0"/>
        <v/>
      </c>
      <c r="H6247" s="26" t="str">
        <f t="shared" si="1"/>
        <v/>
      </c>
      <c r="I6247" s="26" t="str">
        <f t="shared" si="2"/>
        <v/>
      </c>
      <c r="J6247" s="86">
        <f t="shared" si="3"/>
        <v>0</v>
      </c>
      <c r="R6247" s="26"/>
    </row>
    <row r="6248" spans="1:18" ht="15.75" customHeight="1">
      <c r="A6248" s="26"/>
      <c r="B6248" s="86"/>
      <c r="D6248" s="26"/>
      <c r="F6248" s="87" t="str">
        <f t="shared" si="0"/>
        <v/>
      </c>
      <c r="H6248" s="26" t="str">
        <f t="shared" si="1"/>
        <v/>
      </c>
      <c r="I6248" s="26" t="str">
        <f t="shared" si="2"/>
        <v/>
      </c>
      <c r="J6248" s="86">
        <f t="shared" si="3"/>
        <v>0</v>
      </c>
      <c r="R6248" s="26"/>
    </row>
    <row r="6249" spans="1:18" ht="15.75" customHeight="1">
      <c r="A6249" s="26"/>
      <c r="B6249" s="86"/>
      <c r="D6249" s="26"/>
      <c r="F6249" s="87" t="str">
        <f t="shared" si="0"/>
        <v/>
      </c>
      <c r="H6249" s="26" t="str">
        <f t="shared" si="1"/>
        <v/>
      </c>
      <c r="I6249" s="26" t="str">
        <f t="shared" si="2"/>
        <v/>
      </c>
      <c r="J6249" s="86">
        <f t="shared" si="3"/>
        <v>0</v>
      </c>
      <c r="R6249" s="26"/>
    </row>
    <row r="6250" spans="1:18" ht="15.75" customHeight="1">
      <c r="A6250" s="26"/>
      <c r="B6250" s="86"/>
      <c r="D6250" s="26"/>
      <c r="F6250" s="87" t="str">
        <f t="shared" si="0"/>
        <v/>
      </c>
      <c r="H6250" s="26" t="str">
        <f t="shared" si="1"/>
        <v/>
      </c>
      <c r="I6250" s="26" t="str">
        <f t="shared" si="2"/>
        <v/>
      </c>
      <c r="J6250" s="86">
        <f t="shared" si="3"/>
        <v>0</v>
      </c>
      <c r="R6250" s="26"/>
    </row>
    <row r="6251" spans="1:18" ht="15.75" customHeight="1">
      <c r="A6251" s="26"/>
      <c r="B6251" s="86"/>
      <c r="D6251" s="26"/>
      <c r="F6251" s="87" t="str">
        <f t="shared" si="0"/>
        <v/>
      </c>
      <c r="H6251" s="26" t="str">
        <f t="shared" si="1"/>
        <v/>
      </c>
      <c r="I6251" s="26" t="str">
        <f t="shared" si="2"/>
        <v/>
      </c>
      <c r="J6251" s="86">
        <f t="shared" si="3"/>
        <v>0</v>
      </c>
      <c r="R6251" s="26"/>
    </row>
    <row r="6252" spans="1:18" ht="15.75" customHeight="1">
      <c r="A6252" s="26"/>
      <c r="B6252" s="86"/>
      <c r="D6252" s="26"/>
      <c r="F6252" s="87" t="str">
        <f t="shared" si="0"/>
        <v/>
      </c>
      <c r="H6252" s="26" t="str">
        <f t="shared" si="1"/>
        <v/>
      </c>
      <c r="I6252" s="26" t="str">
        <f t="shared" si="2"/>
        <v/>
      </c>
      <c r="J6252" s="86">
        <f t="shared" si="3"/>
        <v>0</v>
      </c>
      <c r="R6252" s="26"/>
    </row>
    <row r="6253" spans="1:18" ht="15.75" customHeight="1">
      <c r="A6253" s="26"/>
      <c r="B6253" s="86"/>
      <c r="D6253" s="26"/>
      <c r="F6253" s="87" t="str">
        <f t="shared" si="0"/>
        <v/>
      </c>
      <c r="H6253" s="26" t="str">
        <f t="shared" si="1"/>
        <v/>
      </c>
      <c r="I6253" s="26" t="str">
        <f t="shared" si="2"/>
        <v/>
      </c>
      <c r="J6253" s="86">
        <f t="shared" si="3"/>
        <v>0</v>
      </c>
      <c r="R6253" s="26"/>
    </row>
    <row r="6254" spans="1:18" ht="15.75" customHeight="1">
      <c r="A6254" s="26"/>
      <c r="B6254" s="86"/>
      <c r="D6254" s="26"/>
      <c r="F6254" s="87" t="str">
        <f t="shared" si="0"/>
        <v/>
      </c>
      <c r="H6254" s="26" t="str">
        <f t="shared" si="1"/>
        <v/>
      </c>
      <c r="I6254" s="26" t="str">
        <f t="shared" si="2"/>
        <v/>
      </c>
      <c r="J6254" s="86">
        <f t="shared" si="3"/>
        <v>0</v>
      </c>
      <c r="R6254" s="26"/>
    </row>
    <row r="6255" spans="1:18" ht="15.75" customHeight="1">
      <c r="A6255" s="26"/>
      <c r="B6255" s="86"/>
      <c r="D6255" s="26"/>
      <c r="F6255" s="87" t="str">
        <f t="shared" si="0"/>
        <v/>
      </c>
      <c r="H6255" s="26" t="str">
        <f t="shared" si="1"/>
        <v/>
      </c>
      <c r="I6255" s="26" t="str">
        <f t="shared" si="2"/>
        <v/>
      </c>
      <c r="J6255" s="86">
        <f t="shared" si="3"/>
        <v>0</v>
      </c>
      <c r="R6255" s="26"/>
    </row>
    <row r="6256" spans="1:18" ht="15.75" customHeight="1">
      <c r="A6256" s="26"/>
      <c r="B6256" s="86"/>
      <c r="D6256" s="26"/>
      <c r="F6256" s="87" t="str">
        <f t="shared" si="0"/>
        <v/>
      </c>
      <c r="H6256" s="26" t="str">
        <f t="shared" si="1"/>
        <v/>
      </c>
      <c r="I6256" s="26" t="str">
        <f t="shared" si="2"/>
        <v/>
      </c>
      <c r="J6256" s="86">
        <f t="shared" si="3"/>
        <v>0</v>
      </c>
      <c r="R6256" s="26"/>
    </row>
    <row r="6257" spans="1:18" ht="15.75" customHeight="1">
      <c r="A6257" s="26"/>
      <c r="B6257" s="86"/>
      <c r="D6257" s="26"/>
      <c r="F6257" s="87" t="str">
        <f t="shared" si="0"/>
        <v/>
      </c>
      <c r="H6257" s="26" t="str">
        <f t="shared" si="1"/>
        <v/>
      </c>
      <c r="I6257" s="26" t="str">
        <f t="shared" si="2"/>
        <v/>
      </c>
      <c r="J6257" s="86">
        <f t="shared" si="3"/>
        <v>0</v>
      </c>
      <c r="R6257" s="26"/>
    </row>
    <row r="6258" spans="1:18" ht="15.75" customHeight="1">
      <c r="A6258" s="26"/>
      <c r="B6258" s="86"/>
      <c r="D6258" s="26"/>
      <c r="F6258" s="87" t="str">
        <f t="shared" si="0"/>
        <v/>
      </c>
      <c r="H6258" s="26" t="str">
        <f t="shared" si="1"/>
        <v/>
      </c>
      <c r="I6258" s="26" t="str">
        <f t="shared" si="2"/>
        <v/>
      </c>
      <c r="J6258" s="86">
        <f t="shared" si="3"/>
        <v>0</v>
      </c>
      <c r="R6258" s="26"/>
    </row>
    <row r="6259" spans="1:18" ht="15.75" customHeight="1">
      <c r="A6259" s="26"/>
      <c r="B6259" s="86"/>
      <c r="D6259" s="26"/>
      <c r="F6259" s="87" t="str">
        <f t="shared" si="0"/>
        <v/>
      </c>
      <c r="H6259" s="26" t="str">
        <f t="shared" si="1"/>
        <v/>
      </c>
      <c r="I6259" s="26" t="str">
        <f t="shared" si="2"/>
        <v/>
      </c>
      <c r="J6259" s="86">
        <f t="shared" si="3"/>
        <v>0</v>
      </c>
      <c r="R6259" s="26"/>
    </row>
    <row r="6260" spans="1:18" ht="15.75" customHeight="1">
      <c r="A6260" s="26"/>
      <c r="B6260" s="86"/>
      <c r="D6260" s="26"/>
      <c r="F6260" s="87" t="str">
        <f t="shared" si="0"/>
        <v/>
      </c>
      <c r="H6260" s="26" t="str">
        <f t="shared" si="1"/>
        <v/>
      </c>
      <c r="I6260" s="26" t="str">
        <f t="shared" si="2"/>
        <v/>
      </c>
      <c r="J6260" s="86">
        <f t="shared" si="3"/>
        <v>0</v>
      </c>
      <c r="R6260" s="26"/>
    </row>
    <row r="6261" spans="1:18" ht="15.75" customHeight="1">
      <c r="A6261" s="26"/>
      <c r="B6261" s="86"/>
      <c r="D6261" s="26"/>
      <c r="F6261" s="87" t="str">
        <f t="shared" si="0"/>
        <v/>
      </c>
      <c r="H6261" s="26" t="str">
        <f t="shared" si="1"/>
        <v/>
      </c>
      <c r="I6261" s="26" t="str">
        <f t="shared" si="2"/>
        <v/>
      </c>
      <c r="J6261" s="86">
        <f t="shared" si="3"/>
        <v>0</v>
      </c>
      <c r="R6261" s="26"/>
    </row>
    <row r="6262" spans="1:18" ht="15.75" customHeight="1">
      <c r="A6262" s="26"/>
      <c r="B6262" s="86"/>
      <c r="D6262" s="26"/>
      <c r="F6262" s="87" t="str">
        <f t="shared" si="0"/>
        <v/>
      </c>
      <c r="H6262" s="26" t="str">
        <f t="shared" si="1"/>
        <v/>
      </c>
      <c r="I6262" s="26" t="str">
        <f t="shared" si="2"/>
        <v/>
      </c>
      <c r="J6262" s="86">
        <f t="shared" si="3"/>
        <v>0</v>
      </c>
      <c r="R6262" s="26"/>
    </row>
    <row r="6263" spans="1:18" ht="15.75" customHeight="1">
      <c r="A6263" s="26"/>
      <c r="B6263" s="86"/>
      <c r="D6263" s="26"/>
      <c r="F6263" s="87" t="str">
        <f t="shared" si="0"/>
        <v/>
      </c>
      <c r="H6263" s="26" t="str">
        <f t="shared" si="1"/>
        <v/>
      </c>
      <c r="I6263" s="26" t="str">
        <f t="shared" si="2"/>
        <v/>
      </c>
      <c r="J6263" s="86">
        <f t="shared" si="3"/>
        <v>0</v>
      </c>
      <c r="R6263" s="26"/>
    </row>
    <row r="6264" spans="1:18" ht="15.75" customHeight="1">
      <c r="A6264" s="26"/>
      <c r="B6264" s="86"/>
      <c r="D6264" s="26"/>
      <c r="F6264" s="87" t="str">
        <f t="shared" si="0"/>
        <v/>
      </c>
      <c r="H6264" s="26" t="str">
        <f t="shared" si="1"/>
        <v/>
      </c>
      <c r="I6264" s="26" t="str">
        <f t="shared" si="2"/>
        <v/>
      </c>
      <c r="J6264" s="86">
        <f t="shared" si="3"/>
        <v>0</v>
      </c>
      <c r="R6264" s="26"/>
    </row>
    <row r="6265" spans="1:18" ht="15.75" customHeight="1">
      <c r="A6265" s="26"/>
      <c r="B6265" s="86"/>
      <c r="D6265" s="26"/>
      <c r="F6265" s="87" t="str">
        <f t="shared" si="0"/>
        <v/>
      </c>
      <c r="H6265" s="26" t="str">
        <f t="shared" si="1"/>
        <v/>
      </c>
      <c r="I6265" s="26" t="str">
        <f t="shared" si="2"/>
        <v/>
      </c>
      <c r="J6265" s="86">
        <f t="shared" si="3"/>
        <v>0</v>
      </c>
      <c r="R6265" s="26"/>
    </row>
    <row r="6266" spans="1:18" ht="15.75" customHeight="1">
      <c r="A6266" s="26"/>
      <c r="B6266" s="86"/>
      <c r="D6266" s="26"/>
      <c r="F6266" s="87" t="str">
        <f t="shared" si="0"/>
        <v/>
      </c>
      <c r="H6266" s="26" t="str">
        <f t="shared" si="1"/>
        <v/>
      </c>
      <c r="I6266" s="26" t="str">
        <f t="shared" si="2"/>
        <v/>
      </c>
      <c r="J6266" s="86">
        <f t="shared" si="3"/>
        <v>0</v>
      </c>
      <c r="R6266" s="26"/>
    </row>
    <row r="6267" spans="1:18" ht="15.75" customHeight="1">
      <c r="A6267" s="26"/>
      <c r="B6267" s="86"/>
      <c r="D6267" s="26"/>
      <c r="F6267" s="87" t="str">
        <f t="shared" si="0"/>
        <v/>
      </c>
      <c r="H6267" s="26" t="str">
        <f t="shared" si="1"/>
        <v/>
      </c>
      <c r="I6267" s="26" t="str">
        <f t="shared" si="2"/>
        <v/>
      </c>
      <c r="J6267" s="86">
        <f t="shared" si="3"/>
        <v>0</v>
      </c>
      <c r="R6267" s="26"/>
    </row>
    <row r="6268" spans="1:18" ht="15.75" customHeight="1">
      <c r="A6268" s="26"/>
      <c r="B6268" s="86"/>
      <c r="D6268" s="26"/>
      <c r="F6268" s="87" t="str">
        <f t="shared" si="0"/>
        <v/>
      </c>
      <c r="H6268" s="26" t="str">
        <f t="shared" si="1"/>
        <v/>
      </c>
      <c r="I6268" s="26" t="str">
        <f t="shared" si="2"/>
        <v/>
      </c>
      <c r="J6268" s="86">
        <f t="shared" si="3"/>
        <v>0</v>
      </c>
      <c r="R6268" s="26"/>
    </row>
    <row r="6269" spans="1:18" ht="15.75" customHeight="1">
      <c r="A6269" s="26"/>
      <c r="B6269" s="86"/>
      <c r="D6269" s="26"/>
      <c r="F6269" s="87" t="str">
        <f t="shared" si="0"/>
        <v/>
      </c>
      <c r="H6269" s="26" t="str">
        <f t="shared" si="1"/>
        <v/>
      </c>
      <c r="I6269" s="26" t="str">
        <f t="shared" si="2"/>
        <v/>
      </c>
      <c r="J6269" s="86">
        <f t="shared" si="3"/>
        <v>0</v>
      </c>
      <c r="R6269" s="26"/>
    </row>
    <row r="6270" spans="1:18" ht="15.75" customHeight="1">
      <c r="A6270" s="26"/>
      <c r="B6270" s="86"/>
      <c r="D6270" s="26"/>
      <c r="F6270" s="87" t="str">
        <f t="shared" si="0"/>
        <v/>
      </c>
      <c r="H6270" s="26" t="str">
        <f t="shared" si="1"/>
        <v/>
      </c>
      <c r="I6270" s="26" t="str">
        <f t="shared" si="2"/>
        <v/>
      </c>
      <c r="J6270" s="86">
        <f t="shared" si="3"/>
        <v>0</v>
      </c>
      <c r="R6270" s="26"/>
    </row>
    <row r="6271" spans="1:18" ht="15.75" customHeight="1">
      <c r="A6271" s="26"/>
      <c r="B6271" s="86"/>
      <c r="D6271" s="26"/>
      <c r="F6271" s="87" t="str">
        <f t="shared" si="0"/>
        <v/>
      </c>
      <c r="H6271" s="26" t="str">
        <f t="shared" si="1"/>
        <v/>
      </c>
      <c r="I6271" s="26" t="str">
        <f t="shared" si="2"/>
        <v/>
      </c>
      <c r="J6271" s="86">
        <f t="shared" si="3"/>
        <v>0</v>
      </c>
      <c r="R6271" s="26"/>
    </row>
    <row r="6272" spans="1:18" ht="15.75" customHeight="1">
      <c r="A6272" s="26"/>
      <c r="B6272" s="86"/>
      <c r="D6272" s="26"/>
      <c r="F6272" s="87" t="str">
        <f t="shared" si="0"/>
        <v/>
      </c>
      <c r="H6272" s="26" t="str">
        <f t="shared" si="1"/>
        <v/>
      </c>
      <c r="I6272" s="26" t="str">
        <f t="shared" si="2"/>
        <v/>
      </c>
      <c r="J6272" s="86">
        <f t="shared" si="3"/>
        <v>0</v>
      </c>
      <c r="R6272" s="26"/>
    </row>
    <row r="6273" spans="1:18" ht="15.75" customHeight="1">
      <c r="A6273" s="26"/>
      <c r="B6273" s="86"/>
      <c r="D6273" s="26"/>
      <c r="F6273" s="87" t="str">
        <f t="shared" si="0"/>
        <v/>
      </c>
      <c r="H6273" s="26" t="str">
        <f t="shared" si="1"/>
        <v/>
      </c>
      <c r="I6273" s="26" t="str">
        <f t="shared" si="2"/>
        <v/>
      </c>
      <c r="J6273" s="86">
        <f t="shared" si="3"/>
        <v>0</v>
      </c>
      <c r="R6273" s="26"/>
    </row>
    <row r="6274" spans="1:18" ht="15.75" customHeight="1">
      <c r="A6274" s="26"/>
      <c r="B6274" s="86"/>
      <c r="D6274" s="26"/>
      <c r="F6274" s="87" t="str">
        <f t="shared" si="0"/>
        <v/>
      </c>
      <c r="H6274" s="26" t="str">
        <f t="shared" si="1"/>
        <v/>
      </c>
      <c r="I6274" s="26" t="str">
        <f t="shared" si="2"/>
        <v/>
      </c>
      <c r="J6274" s="86">
        <f t="shared" si="3"/>
        <v>0</v>
      </c>
      <c r="R6274" s="26"/>
    </row>
    <row r="6275" spans="1:18" ht="15.75" customHeight="1">
      <c r="A6275" s="26"/>
      <c r="B6275" s="86"/>
      <c r="D6275" s="26"/>
      <c r="F6275" s="87" t="str">
        <f t="shared" si="0"/>
        <v/>
      </c>
      <c r="H6275" s="26" t="str">
        <f t="shared" si="1"/>
        <v/>
      </c>
      <c r="I6275" s="26" t="str">
        <f t="shared" si="2"/>
        <v/>
      </c>
      <c r="J6275" s="86">
        <f t="shared" si="3"/>
        <v>0</v>
      </c>
      <c r="R6275" s="26"/>
    </row>
    <row r="6276" spans="1:18" ht="15.75" customHeight="1">
      <c r="A6276" s="26"/>
      <c r="B6276" s="86"/>
      <c r="D6276" s="26"/>
      <c r="F6276" s="87" t="str">
        <f t="shared" si="0"/>
        <v/>
      </c>
      <c r="H6276" s="26" t="str">
        <f t="shared" si="1"/>
        <v/>
      </c>
      <c r="I6276" s="26" t="str">
        <f t="shared" si="2"/>
        <v/>
      </c>
      <c r="J6276" s="86">
        <f t="shared" si="3"/>
        <v>0</v>
      </c>
      <c r="R6276" s="26"/>
    </row>
    <row r="6277" spans="1:18" ht="15.75" customHeight="1">
      <c r="A6277" s="26"/>
      <c r="B6277" s="86"/>
      <c r="D6277" s="26"/>
      <c r="F6277" s="87" t="str">
        <f t="shared" si="0"/>
        <v/>
      </c>
      <c r="H6277" s="26" t="str">
        <f t="shared" si="1"/>
        <v/>
      </c>
      <c r="I6277" s="26" t="str">
        <f t="shared" si="2"/>
        <v/>
      </c>
      <c r="J6277" s="86">
        <f t="shared" si="3"/>
        <v>0</v>
      </c>
      <c r="R6277" s="26"/>
    </row>
    <row r="6278" spans="1:18" ht="15.75" customHeight="1">
      <c r="A6278" s="26"/>
      <c r="B6278" s="86"/>
      <c r="D6278" s="26"/>
      <c r="F6278" s="87" t="str">
        <f t="shared" si="0"/>
        <v/>
      </c>
      <c r="H6278" s="26" t="str">
        <f t="shared" si="1"/>
        <v/>
      </c>
      <c r="I6278" s="26" t="str">
        <f t="shared" si="2"/>
        <v/>
      </c>
      <c r="J6278" s="86">
        <f t="shared" si="3"/>
        <v>0</v>
      </c>
      <c r="R6278" s="26"/>
    </row>
    <row r="6279" spans="1:18" ht="15.75" customHeight="1">
      <c r="A6279" s="26"/>
      <c r="B6279" s="86"/>
      <c r="D6279" s="26"/>
      <c r="F6279" s="87" t="str">
        <f t="shared" si="0"/>
        <v/>
      </c>
      <c r="H6279" s="26" t="str">
        <f t="shared" si="1"/>
        <v/>
      </c>
      <c r="I6279" s="26" t="str">
        <f t="shared" si="2"/>
        <v/>
      </c>
      <c r="J6279" s="86">
        <f t="shared" si="3"/>
        <v>0</v>
      </c>
      <c r="R6279" s="26"/>
    </row>
    <row r="6280" spans="1:18" ht="15.75" customHeight="1">
      <c r="A6280" s="26"/>
      <c r="B6280" s="86"/>
      <c r="D6280" s="26"/>
      <c r="F6280" s="87" t="str">
        <f t="shared" si="0"/>
        <v/>
      </c>
      <c r="H6280" s="26" t="str">
        <f t="shared" si="1"/>
        <v/>
      </c>
      <c r="I6280" s="26" t="str">
        <f t="shared" si="2"/>
        <v/>
      </c>
      <c r="J6280" s="86">
        <f t="shared" si="3"/>
        <v>0</v>
      </c>
      <c r="R6280" s="26"/>
    </row>
    <row r="6281" spans="1:18" ht="15.75" customHeight="1">
      <c r="A6281" s="26"/>
      <c r="B6281" s="86"/>
      <c r="D6281" s="26"/>
      <c r="F6281" s="87" t="str">
        <f t="shared" si="0"/>
        <v/>
      </c>
      <c r="H6281" s="26" t="str">
        <f t="shared" si="1"/>
        <v/>
      </c>
      <c r="I6281" s="26" t="str">
        <f t="shared" si="2"/>
        <v/>
      </c>
      <c r="J6281" s="86">
        <f t="shared" si="3"/>
        <v>0</v>
      </c>
      <c r="R6281" s="26"/>
    </row>
    <row r="6282" spans="1:18" ht="15.75" customHeight="1">
      <c r="A6282" s="26"/>
      <c r="B6282" s="86"/>
      <c r="D6282" s="26"/>
      <c r="F6282" s="87" t="str">
        <f t="shared" si="0"/>
        <v/>
      </c>
      <c r="H6282" s="26" t="str">
        <f t="shared" si="1"/>
        <v/>
      </c>
      <c r="I6282" s="26" t="str">
        <f t="shared" si="2"/>
        <v/>
      </c>
      <c r="J6282" s="86">
        <f t="shared" si="3"/>
        <v>0</v>
      </c>
      <c r="R6282" s="26"/>
    </row>
    <row r="6283" spans="1:18" ht="15.75" customHeight="1">
      <c r="A6283" s="26"/>
      <c r="B6283" s="86"/>
      <c r="D6283" s="26"/>
      <c r="F6283" s="87" t="str">
        <f t="shared" si="0"/>
        <v/>
      </c>
      <c r="H6283" s="26" t="str">
        <f t="shared" si="1"/>
        <v/>
      </c>
      <c r="I6283" s="26" t="str">
        <f t="shared" si="2"/>
        <v/>
      </c>
      <c r="J6283" s="86">
        <f t="shared" si="3"/>
        <v>0</v>
      </c>
      <c r="R6283" s="26"/>
    </row>
    <row r="6284" spans="1:18" ht="15.75" customHeight="1">
      <c r="A6284" s="26"/>
      <c r="B6284" s="86"/>
      <c r="D6284" s="26"/>
      <c r="F6284" s="87" t="str">
        <f t="shared" si="0"/>
        <v/>
      </c>
      <c r="H6284" s="26" t="str">
        <f t="shared" si="1"/>
        <v/>
      </c>
      <c r="I6284" s="26" t="str">
        <f t="shared" si="2"/>
        <v/>
      </c>
      <c r="J6284" s="86">
        <f t="shared" si="3"/>
        <v>0</v>
      </c>
      <c r="R6284" s="26"/>
    </row>
    <row r="6285" spans="1:18" ht="15.75" customHeight="1">
      <c r="A6285" s="26"/>
      <c r="B6285" s="86"/>
      <c r="D6285" s="26"/>
      <c r="F6285" s="87" t="str">
        <f t="shared" si="0"/>
        <v/>
      </c>
      <c r="H6285" s="26" t="str">
        <f t="shared" si="1"/>
        <v/>
      </c>
      <c r="I6285" s="26" t="str">
        <f t="shared" si="2"/>
        <v/>
      </c>
      <c r="J6285" s="86">
        <f t="shared" si="3"/>
        <v>0</v>
      </c>
      <c r="R6285" s="26"/>
    </row>
    <row r="6286" spans="1:18" ht="15.75" customHeight="1">
      <c r="A6286" s="26"/>
      <c r="B6286" s="86"/>
      <c r="D6286" s="26"/>
      <c r="F6286" s="87" t="str">
        <f t="shared" si="0"/>
        <v/>
      </c>
      <c r="H6286" s="26" t="str">
        <f t="shared" si="1"/>
        <v/>
      </c>
      <c r="I6286" s="26" t="str">
        <f t="shared" si="2"/>
        <v/>
      </c>
      <c r="J6286" s="86">
        <f t="shared" si="3"/>
        <v>0</v>
      </c>
      <c r="R6286" s="26"/>
    </row>
    <row r="6287" spans="1:18" ht="15.75" customHeight="1">
      <c r="A6287" s="26"/>
      <c r="B6287" s="86"/>
      <c r="D6287" s="26"/>
      <c r="F6287" s="87" t="str">
        <f t="shared" si="0"/>
        <v/>
      </c>
      <c r="H6287" s="26" t="str">
        <f t="shared" si="1"/>
        <v/>
      </c>
      <c r="I6287" s="26" t="str">
        <f t="shared" si="2"/>
        <v/>
      </c>
      <c r="J6287" s="86">
        <f t="shared" si="3"/>
        <v>0</v>
      </c>
      <c r="R6287" s="26"/>
    </row>
    <row r="6288" spans="1:18" ht="15.75" customHeight="1">
      <c r="A6288" s="26"/>
      <c r="B6288" s="86"/>
      <c r="D6288" s="26"/>
      <c r="F6288" s="87" t="str">
        <f t="shared" si="0"/>
        <v/>
      </c>
      <c r="H6288" s="26" t="str">
        <f t="shared" si="1"/>
        <v/>
      </c>
      <c r="I6288" s="26" t="str">
        <f t="shared" si="2"/>
        <v/>
      </c>
      <c r="J6288" s="86">
        <f t="shared" si="3"/>
        <v>0</v>
      </c>
      <c r="R6288" s="26"/>
    </row>
    <row r="6289" spans="1:18" ht="15.75" customHeight="1">
      <c r="A6289" s="26"/>
      <c r="B6289" s="86"/>
      <c r="D6289" s="26"/>
      <c r="F6289" s="87" t="str">
        <f t="shared" si="0"/>
        <v/>
      </c>
      <c r="H6289" s="26" t="str">
        <f t="shared" si="1"/>
        <v/>
      </c>
      <c r="I6289" s="26" t="str">
        <f t="shared" si="2"/>
        <v/>
      </c>
      <c r="J6289" s="86">
        <f t="shared" si="3"/>
        <v>0</v>
      </c>
      <c r="R6289" s="26"/>
    </row>
    <row r="6290" spans="1:18" ht="15.75" customHeight="1">
      <c r="A6290" s="26"/>
      <c r="B6290" s="86"/>
      <c r="D6290" s="26"/>
      <c r="F6290" s="87" t="str">
        <f t="shared" si="0"/>
        <v/>
      </c>
      <c r="H6290" s="26" t="str">
        <f t="shared" si="1"/>
        <v/>
      </c>
      <c r="I6290" s="26" t="str">
        <f t="shared" si="2"/>
        <v/>
      </c>
      <c r="J6290" s="86">
        <f t="shared" si="3"/>
        <v>0</v>
      </c>
      <c r="R6290" s="26"/>
    </row>
    <row r="6291" spans="1:18" ht="15.75" customHeight="1">
      <c r="A6291" s="26"/>
      <c r="B6291" s="86"/>
      <c r="D6291" s="26"/>
      <c r="F6291" s="87" t="str">
        <f t="shared" si="0"/>
        <v/>
      </c>
      <c r="H6291" s="26" t="str">
        <f t="shared" si="1"/>
        <v/>
      </c>
      <c r="I6291" s="26" t="str">
        <f t="shared" si="2"/>
        <v/>
      </c>
      <c r="J6291" s="86">
        <f t="shared" si="3"/>
        <v>0</v>
      </c>
      <c r="R6291" s="26"/>
    </row>
    <row r="6292" spans="1:18" ht="15.75" customHeight="1">
      <c r="A6292" s="26"/>
      <c r="B6292" s="86"/>
      <c r="D6292" s="26"/>
      <c r="F6292" s="87" t="str">
        <f t="shared" si="0"/>
        <v/>
      </c>
      <c r="H6292" s="26" t="str">
        <f t="shared" si="1"/>
        <v/>
      </c>
      <c r="I6292" s="26" t="str">
        <f t="shared" si="2"/>
        <v/>
      </c>
      <c r="J6292" s="86">
        <f t="shared" si="3"/>
        <v>0</v>
      </c>
      <c r="R6292" s="26"/>
    </row>
    <row r="6293" spans="1:18" ht="15.75" customHeight="1">
      <c r="A6293" s="26"/>
      <c r="B6293" s="86"/>
      <c r="D6293" s="26"/>
      <c r="F6293" s="87" t="str">
        <f t="shared" si="0"/>
        <v/>
      </c>
      <c r="H6293" s="26" t="str">
        <f t="shared" si="1"/>
        <v/>
      </c>
      <c r="I6293" s="26" t="str">
        <f t="shared" si="2"/>
        <v/>
      </c>
      <c r="J6293" s="86">
        <f t="shared" si="3"/>
        <v>0</v>
      </c>
      <c r="R6293" s="26"/>
    </row>
    <row r="6294" spans="1:18" ht="15.75" customHeight="1">
      <c r="A6294" s="26"/>
      <c r="B6294" s="86"/>
      <c r="D6294" s="26"/>
      <c r="F6294" s="87" t="str">
        <f t="shared" si="0"/>
        <v/>
      </c>
      <c r="H6294" s="26" t="str">
        <f t="shared" si="1"/>
        <v/>
      </c>
      <c r="I6294" s="26" t="str">
        <f t="shared" si="2"/>
        <v/>
      </c>
      <c r="J6294" s="86">
        <f t="shared" si="3"/>
        <v>0</v>
      </c>
      <c r="R6294" s="26"/>
    </row>
    <row r="6295" spans="1:18" ht="15.75" customHeight="1">
      <c r="A6295" s="26"/>
      <c r="B6295" s="86"/>
      <c r="D6295" s="26"/>
      <c r="F6295" s="87" t="str">
        <f t="shared" si="0"/>
        <v/>
      </c>
      <c r="H6295" s="26" t="str">
        <f t="shared" si="1"/>
        <v/>
      </c>
      <c r="I6295" s="26" t="str">
        <f t="shared" si="2"/>
        <v/>
      </c>
      <c r="J6295" s="86">
        <f t="shared" si="3"/>
        <v>0</v>
      </c>
      <c r="R6295" s="26"/>
    </row>
    <row r="6296" spans="1:18" ht="15.75" customHeight="1">
      <c r="A6296" s="26"/>
      <c r="B6296" s="86"/>
      <c r="D6296" s="26"/>
      <c r="F6296" s="87" t="str">
        <f t="shared" si="0"/>
        <v/>
      </c>
      <c r="H6296" s="26" t="str">
        <f t="shared" si="1"/>
        <v/>
      </c>
      <c r="I6296" s="26" t="str">
        <f t="shared" si="2"/>
        <v/>
      </c>
      <c r="J6296" s="86">
        <f t="shared" si="3"/>
        <v>0</v>
      </c>
      <c r="R6296" s="26"/>
    </row>
    <row r="6297" spans="1:18" ht="15.75" customHeight="1">
      <c r="A6297" s="26"/>
      <c r="B6297" s="86"/>
      <c r="D6297" s="26"/>
      <c r="F6297" s="87" t="str">
        <f t="shared" si="0"/>
        <v/>
      </c>
      <c r="H6297" s="26" t="str">
        <f t="shared" si="1"/>
        <v/>
      </c>
      <c r="I6297" s="26" t="str">
        <f t="shared" si="2"/>
        <v/>
      </c>
      <c r="J6297" s="86">
        <f t="shared" si="3"/>
        <v>0</v>
      </c>
      <c r="R6297" s="26"/>
    </row>
    <row r="6298" spans="1:18" ht="15.75" customHeight="1">
      <c r="A6298" s="26"/>
      <c r="B6298" s="86"/>
      <c r="D6298" s="26"/>
      <c r="F6298" s="87" t="str">
        <f t="shared" si="0"/>
        <v/>
      </c>
      <c r="H6298" s="26" t="str">
        <f t="shared" si="1"/>
        <v/>
      </c>
      <c r="I6298" s="26" t="str">
        <f t="shared" si="2"/>
        <v/>
      </c>
      <c r="J6298" s="86">
        <f t="shared" si="3"/>
        <v>0</v>
      </c>
      <c r="R6298" s="26"/>
    </row>
    <row r="6299" spans="1:18" ht="15.75" customHeight="1">
      <c r="A6299" s="26"/>
      <c r="B6299" s="86"/>
      <c r="D6299" s="26"/>
      <c r="F6299" s="87" t="str">
        <f t="shared" si="0"/>
        <v/>
      </c>
      <c r="H6299" s="26" t="str">
        <f t="shared" si="1"/>
        <v/>
      </c>
      <c r="I6299" s="26" t="str">
        <f t="shared" si="2"/>
        <v/>
      </c>
      <c r="J6299" s="86">
        <f t="shared" si="3"/>
        <v>0</v>
      </c>
      <c r="R6299" s="26"/>
    </row>
    <row r="6300" spans="1:18" ht="15.75" customHeight="1">
      <c r="A6300" s="26"/>
      <c r="B6300" s="86"/>
      <c r="D6300" s="26"/>
      <c r="F6300" s="87" t="str">
        <f t="shared" si="0"/>
        <v/>
      </c>
      <c r="H6300" s="26" t="str">
        <f t="shared" si="1"/>
        <v/>
      </c>
      <c r="I6300" s="26" t="str">
        <f t="shared" si="2"/>
        <v/>
      </c>
      <c r="J6300" s="86">
        <f t="shared" si="3"/>
        <v>0</v>
      </c>
      <c r="R6300" s="26"/>
    </row>
    <row r="6301" spans="1:18" ht="15.75" customHeight="1">
      <c r="A6301" s="26"/>
      <c r="B6301" s="86"/>
      <c r="D6301" s="26"/>
      <c r="F6301" s="87" t="str">
        <f t="shared" si="0"/>
        <v/>
      </c>
      <c r="H6301" s="26" t="str">
        <f t="shared" si="1"/>
        <v/>
      </c>
      <c r="I6301" s="26" t="str">
        <f t="shared" si="2"/>
        <v/>
      </c>
      <c r="J6301" s="86">
        <f t="shared" si="3"/>
        <v>0</v>
      </c>
      <c r="R6301" s="26"/>
    </row>
    <row r="6302" spans="1:18" ht="15.75" customHeight="1">
      <c r="A6302" s="26"/>
      <c r="B6302" s="86"/>
      <c r="D6302" s="26"/>
      <c r="F6302" s="87" t="str">
        <f t="shared" si="0"/>
        <v/>
      </c>
      <c r="H6302" s="26" t="str">
        <f t="shared" si="1"/>
        <v/>
      </c>
      <c r="I6302" s="26" t="str">
        <f t="shared" si="2"/>
        <v/>
      </c>
      <c r="J6302" s="86">
        <f t="shared" si="3"/>
        <v>0</v>
      </c>
      <c r="R6302" s="26"/>
    </row>
    <row r="6303" spans="1:18" ht="15.75" customHeight="1">
      <c r="A6303" s="26"/>
      <c r="B6303" s="86"/>
      <c r="D6303" s="26"/>
      <c r="F6303" s="87" t="str">
        <f t="shared" si="0"/>
        <v/>
      </c>
      <c r="H6303" s="26" t="str">
        <f t="shared" si="1"/>
        <v/>
      </c>
      <c r="I6303" s="26" t="str">
        <f t="shared" si="2"/>
        <v/>
      </c>
      <c r="J6303" s="86">
        <f t="shared" si="3"/>
        <v>0</v>
      </c>
      <c r="R6303" s="26"/>
    </row>
    <row r="6304" spans="1:18" ht="15.75" customHeight="1">
      <c r="A6304" s="26"/>
      <c r="B6304" s="86"/>
      <c r="D6304" s="26"/>
      <c r="F6304" s="87" t="str">
        <f t="shared" si="0"/>
        <v/>
      </c>
      <c r="H6304" s="26" t="str">
        <f t="shared" si="1"/>
        <v/>
      </c>
      <c r="I6304" s="26" t="str">
        <f t="shared" si="2"/>
        <v/>
      </c>
      <c r="J6304" s="86">
        <f t="shared" si="3"/>
        <v>0</v>
      </c>
      <c r="R6304" s="26"/>
    </row>
    <row r="6305" spans="1:18" ht="15.75" customHeight="1">
      <c r="A6305" s="26"/>
      <c r="B6305" s="86"/>
      <c r="D6305" s="26"/>
      <c r="F6305" s="87" t="str">
        <f t="shared" si="0"/>
        <v/>
      </c>
      <c r="H6305" s="26" t="str">
        <f t="shared" si="1"/>
        <v/>
      </c>
      <c r="I6305" s="26" t="str">
        <f t="shared" si="2"/>
        <v/>
      </c>
      <c r="J6305" s="86">
        <f t="shared" si="3"/>
        <v>0</v>
      </c>
      <c r="R6305" s="26"/>
    </row>
    <row r="6306" spans="1:18" ht="15.75" customHeight="1">
      <c r="A6306" s="26"/>
      <c r="B6306" s="86"/>
      <c r="D6306" s="26"/>
      <c r="F6306" s="87" t="str">
        <f t="shared" si="0"/>
        <v/>
      </c>
      <c r="H6306" s="26" t="str">
        <f t="shared" si="1"/>
        <v/>
      </c>
      <c r="I6306" s="26" t="str">
        <f t="shared" si="2"/>
        <v/>
      </c>
      <c r="J6306" s="86">
        <f t="shared" si="3"/>
        <v>0</v>
      </c>
      <c r="R6306" s="26"/>
    </row>
    <row r="6307" spans="1:18" ht="15.75" customHeight="1">
      <c r="A6307" s="26"/>
      <c r="B6307" s="86"/>
      <c r="D6307" s="26"/>
      <c r="F6307" s="87" t="str">
        <f t="shared" si="0"/>
        <v/>
      </c>
      <c r="H6307" s="26" t="str">
        <f t="shared" si="1"/>
        <v/>
      </c>
      <c r="I6307" s="26" t="str">
        <f t="shared" si="2"/>
        <v/>
      </c>
      <c r="J6307" s="86">
        <f t="shared" si="3"/>
        <v>0</v>
      </c>
      <c r="R6307" s="26"/>
    </row>
    <row r="6308" spans="1:18" ht="15.75" customHeight="1">
      <c r="A6308" s="26"/>
      <c r="B6308" s="86"/>
      <c r="D6308" s="26"/>
      <c r="F6308" s="87" t="str">
        <f t="shared" si="0"/>
        <v/>
      </c>
      <c r="H6308" s="26" t="str">
        <f t="shared" si="1"/>
        <v/>
      </c>
      <c r="I6308" s="26" t="str">
        <f t="shared" si="2"/>
        <v/>
      </c>
      <c r="J6308" s="86">
        <f t="shared" si="3"/>
        <v>0</v>
      </c>
      <c r="R6308" s="26"/>
    </row>
    <row r="6309" spans="1:18" ht="15.75" customHeight="1">
      <c r="A6309" s="26"/>
      <c r="B6309" s="86"/>
      <c r="D6309" s="26"/>
      <c r="F6309" s="87" t="str">
        <f t="shared" si="0"/>
        <v/>
      </c>
      <c r="H6309" s="26" t="str">
        <f t="shared" si="1"/>
        <v/>
      </c>
      <c r="I6309" s="26" t="str">
        <f t="shared" si="2"/>
        <v/>
      </c>
      <c r="J6309" s="86">
        <f t="shared" si="3"/>
        <v>0</v>
      </c>
      <c r="R6309" s="26"/>
    </row>
    <row r="6310" spans="1:18" ht="15.75" customHeight="1">
      <c r="A6310" s="26"/>
      <c r="B6310" s="86"/>
      <c r="D6310" s="26"/>
      <c r="F6310" s="87" t="str">
        <f t="shared" si="0"/>
        <v/>
      </c>
      <c r="H6310" s="26" t="str">
        <f t="shared" si="1"/>
        <v/>
      </c>
      <c r="I6310" s="26" t="str">
        <f t="shared" si="2"/>
        <v/>
      </c>
      <c r="J6310" s="86">
        <f t="shared" si="3"/>
        <v>0</v>
      </c>
      <c r="R6310" s="26"/>
    </row>
    <row r="6311" spans="1:18" ht="15.75" customHeight="1">
      <c r="A6311" s="26"/>
      <c r="B6311" s="86"/>
      <c r="D6311" s="26"/>
      <c r="F6311" s="87" t="str">
        <f t="shared" si="0"/>
        <v/>
      </c>
      <c r="H6311" s="26" t="str">
        <f t="shared" si="1"/>
        <v/>
      </c>
      <c r="I6311" s="26" t="str">
        <f t="shared" si="2"/>
        <v/>
      </c>
      <c r="J6311" s="86">
        <f t="shared" si="3"/>
        <v>0</v>
      </c>
      <c r="R6311" s="26"/>
    </row>
    <row r="6312" spans="1:18" ht="15.75" customHeight="1">
      <c r="A6312" s="26"/>
      <c r="B6312" s="86"/>
      <c r="D6312" s="26"/>
      <c r="F6312" s="87" t="str">
        <f t="shared" si="0"/>
        <v/>
      </c>
      <c r="H6312" s="26" t="str">
        <f t="shared" si="1"/>
        <v/>
      </c>
      <c r="I6312" s="26" t="str">
        <f t="shared" si="2"/>
        <v/>
      </c>
      <c r="J6312" s="86">
        <f t="shared" si="3"/>
        <v>0</v>
      </c>
      <c r="R6312" s="26"/>
    </row>
    <row r="6313" spans="1:18" ht="15.75" customHeight="1">
      <c r="A6313" s="26"/>
      <c r="B6313" s="86"/>
      <c r="D6313" s="26"/>
      <c r="F6313" s="87" t="str">
        <f t="shared" si="0"/>
        <v/>
      </c>
      <c r="H6313" s="26" t="str">
        <f t="shared" si="1"/>
        <v/>
      </c>
      <c r="I6313" s="26" t="str">
        <f t="shared" si="2"/>
        <v/>
      </c>
      <c r="J6313" s="86">
        <f t="shared" si="3"/>
        <v>0</v>
      </c>
      <c r="R6313" s="26"/>
    </row>
    <row r="6314" spans="1:18" ht="15.75" customHeight="1">
      <c r="A6314" s="26"/>
      <c r="B6314" s="86"/>
      <c r="D6314" s="26"/>
      <c r="F6314" s="87" t="str">
        <f t="shared" si="0"/>
        <v/>
      </c>
      <c r="H6314" s="26" t="str">
        <f t="shared" si="1"/>
        <v/>
      </c>
      <c r="I6314" s="26" t="str">
        <f t="shared" si="2"/>
        <v/>
      </c>
      <c r="J6314" s="86">
        <f t="shared" si="3"/>
        <v>0</v>
      </c>
      <c r="R6314" s="26"/>
    </row>
    <row r="6315" spans="1:18" ht="15.75" customHeight="1">
      <c r="A6315" s="26"/>
      <c r="B6315" s="86"/>
      <c r="D6315" s="26"/>
      <c r="F6315" s="87" t="str">
        <f t="shared" si="0"/>
        <v/>
      </c>
      <c r="H6315" s="26" t="str">
        <f t="shared" si="1"/>
        <v/>
      </c>
      <c r="I6315" s="26" t="str">
        <f t="shared" si="2"/>
        <v/>
      </c>
      <c r="J6315" s="86">
        <f t="shared" si="3"/>
        <v>0</v>
      </c>
      <c r="R6315" s="26"/>
    </row>
    <row r="6316" spans="1:18" ht="15.75" customHeight="1">
      <c r="A6316" s="26"/>
      <c r="B6316" s="86"/>
      <c r="D6316" s="26"/>
      <c r="F6316" s="87" t="str">
        <f t="shared" si="0"/>
        <v/>
      </c>
      <c r="H6316" s="26" t="str">
        <f t="shared" si="1"/>
        <v/>
      </c>
      <c r="I6316" s="26" t="str">
        <f t="shared" si="2"/>
        <v/>
      </c>
      <c r="J6316" s="86">
        <f t="shared" si="3"/>
        <v>0</v>
      </c>
      <c r="R6316" s="26"/>
    </row>
    <row r="6317" spans="1:18" ht="15.75" customHeight="1">
      <c r="A6317" s="26"/>
      <c r="B6317" s="86"/>
      <c r="D6317" s="26"/>
      <c r="F6317" s="87" t="str">
        <f t="shared" si="0"/>
        <v/>
      </c>
      <c r="H6317" s="26" t="str">
        <f t="shared" si="1"/>
        <v/>
      </c>
      <c r="I6317" s="26" t="str">
        <f t="shared" si="2"/>
        <v/>
      </c>
      <c r="J6317" s="86">
        <f t="shared" si="3"/>
        <v>0</v>
      </c>
      <c r="R6317" s="26"/>
    </row>
    <row r="6318" spans="1:18" ht="15.75" customHeight="1">
      <c r="A6318" s="26"/>
      <c r="B6318" s="86"/>
      <c r="D6318" s="26"/>
      <c r="F6318" s="87" t="str">
        <f t="shared" si="0"/>
        <v/>
      </c>
      <c r="H6318" s="26" t="str">
        <f t="shared" si="1"/>
        <v/>
      </c>
      <c r="I6318" s="26" t="str">
        <f t="shared" si="2"/>
        <v/>
      </c>
      <c r="J6318" s="86">
        <f t="shared" si="3"/>
        <v>0</v>
      </c>
      <c r="R6318" s="26"/>
    </row>
    <row r="6319" spans="1:18" ht="15.75" customHeight="1">
      <c r="A6319" s="26"/>
      <c r="B6319" s="86"/>
      <c r="D6319" s="26"/>
      <c r="F6319" s="87" t="str">
        <f t="shared" si="0"/>
        <v/>
      </c>
      <c r="H6319" s="26" t="str">
        <f t="shared" si="1"/>
        <v/>
      </c>
      <c r="I6319" s="26" t="str">
        <f t="shared" si="2"/>
        <v/>
      </c>
      <c r="J6319" s="86">
        <f t="shared" si="3"/>
        <v>0</v>
      </c>
      <c r="R6319" s="26"/>
    </row>
    <row r="6320" spans="1:18" ht="15.75" customHeight="1">
      <c r="A6320" s="26"/>
      <c r="B6320" s="86"/>
      <c r="D6320" s="26"/>
      <c r="F6320" s="87" t="str">
        <f t="shared" si="0"/>
        <v/>
      </c>
      <c r="H6320" s="26" t="str">
        <f t="shared" si="1"/>
        <v/>
      </c>
      <c r="I6320" s="26" t="str">
        <f t="shared" si="2"/>
        <v/>
      </c>
      <c r="J6320" s="86">
        <f t="shared" si="3"/>
        <v>0</v>
      </c>
      <c r="R6320" s="26"/>
    </row>
    <row r="6321" spans="1:18" ht="15.75" customHeight="1">
      <c r="A6321" s="26"/>
      <c r="B6321" s="86"/>
      <c r="D6321" s="26"/>
      <c r="F6321" s="87" t="str">
        <f t="shared" si="0"/>
        <v/>
      </c>
      <c r="H6321" s="26" t="str">
        <f t="shared" si="1"/>
        <v/>
      </c>
      <c r="I6321" s="26" t="str">
        <f t="shared" si="2"/>
        <v/>
      </c>
      <c r="J6321" s="86">
        <f t="shared" si="3"/>
        <v>0</v>
      </c>
      <c r="R6321" s="26"/>
    </row>
    <row r="6322" spans="1:18" ht="15.75" customHeight="1">
      <c r="A6322" s="26"/>
      <c r="B6322" s="86"/>
      <c r="D6322" s="26"/>
      <c r="F6322" s="87" t="str">
        <f t="shared" si="0"/>
        <v/>
      </c>
      <c r="H6322" s="26" t="str">
        <f t="shared" si="1"/>
        <v/>
      </c>
      <c r="I6322" s="26" t="str">
        <f t="shared" si="2"/>
        <v/>
      </c>
      <c r="J6322" s="86">
        <f t="shared" si="3"/>
        <v>0</v>
      </c>
      <c r="R6322" s="26"/>
    </row>
    <row r="6323" spans="1:18" ht="15.75" customHeight="1">
      <c r="A6323" s="26"/>
      <c r="B6323" s="86"/>
      <c r="D6323" s="26"/>
      <c r="F6323" s="87" t="str">
        <f t="shared" si="0"/>
        <v/>
      </c>
      <c r="H6323" s="26" t="str">
        <f t="shared" si="1"/>
        <v/>
      </c>
      <c r="I6323" s="26" t="str">
        <f t="shared" si="2"/>
        <v/>
      </c>
      <c r="J6323" s="86">
        <f t="shared" si="3"/>
        <v>0</v>
      </c>
      <c r="R6323" s="26"/>
    </row>
    <row r="6324" spans="1:18" ht="15.75" customHeight="1">
      <c r="A6324" s="26"/>
      <c r="B6324" s="86"/>
      <c r="D6324" s="26"/>
      <c r="F6324" s="87" t="str">
        <f t="shared" si="0"/>
        <v/>
      </c>
      <c r="H6324" s="26" t="str">
        <f t="shared" si="1"/>
        <v/>
      </c>
      <c r="I6324" s="26" t="str">
        <f t="shared" si="2"/>
        <v/>
      </c>
      <c r="J6324" s="86">
        <f t="shared" si="3"/>
        <v>0</v>
      </c>
      <c r="R6324" s="26"/>
    </row>
    <row r="6325" spans="1:18" ht="15.75" customHeight="1">
      <c r="A6325" s="26"/>
      <c r="B6325" s="86"/>
      <c r="D6325" s="26"/>
      <c r="F6325" s="87" t="str">
        <f t="shared" si="0"/>
        <v/>
      </c>
      <c r="H6325" s="26" t="str">
        <f t="shared" si="1"/>
        <v/>
      </c>
      <c r="I6325" s="26" t="str">
        <f t="shared" si="2"/>
        <v/>
      </c>
      <c r="J6325" s="86">
        <f t="shared" si="3"/>
        <v>0</v>
      </c>
      <c r="R6325" s="26"/>
    </row>
    <row r="6326" spans="1:18" ht="15.75" customHeight="1">
      <c r="A6326" s="26"/>
      <c r="B6326" s="86"/>
      <c r="D6326" s="26"/>
      <c r="F6326" s="87" t="str">
        <f t="shared" si="0"/>
        <v/>
      </c>
      <c r="H6326" s="26" t="str">
        <f t="shared" si="1"/>
        <v/>
      </c>
      <c r="I6326" s="26" t="str">
        <f t="shared" si="2"/>
        <v/>
      </c>
      <c r="J6326" s="86">
        <f t="shared" si="3"/>
        <v>0</v>
      </c>
      <c r="R6326" s="26"/>
    </row>
    <row r="6327" spans="1:18" ht="15.75" customHeight="1">
      <c r="A6327" s="26"/>
      <c r="B6327" s="86"/>
      <c r="D6327" s="26"/>
      <c r="F6327" s="87" t="str">
        <f t="shared" si="0"/>
        <v/>
      </c>
      <c r="H6327" s="26" t="str">
        <f t="shared" si="1"/>
        <v/>
      </c>
      <c r="I6327" s="26" t="str">
        <f t="shared" si="2"/>
        <v/>
      </c>
      <c r="J6327" s="86">
        <f t="shared" si="3"/>
        <v>0</v>
      </c>
      <c r="R6327" s="26"/>
    </row>
    <row r="6328" spans="1:18" ht="15.75" customHeight="1">
      <c r="A6328" s="26"/>
      <c r="B6328" s="86"/>
      <c r="D6328" s="26"/>
      <c r="F6328" s="87" t="str">
        <f t="shared" si="0"/>
        <v/>
      </c>
      <c r="H6328" s="26" t="str">
        <f t="shared" si="1"/>
        <v/>
      </c>
      <c r="I6328" s="26" t="str">
        <f t="shared" si="2"/>
        <v/>
      </c>
      <c r="J6328" s="86">
        <f t="shared" si="3"/>
        <v>0</v>
      </c>
      <c r="R6328" s="26"/>
    </row>
    <row r="6329" spans="1:18" ht="15.75" customHeight="1">
      <c r="A6329" s="26"/>
      <c r="B6329" s="86"/>
      <c r="D6329" s="26"/>
      <c r="F6329" s="87" t="str">
        <f t="shared" si="0"/>
        <v/>
      </c>
      <c r="H6329" s="26" t="str">
        <f t="shared" si="1"/>
        <v/>
      </c>
      <c r="I6329" s="26" t="str">
        <f t="shared" si="2"/>
        <v/>
      </c>
      <c r="J6329" s="86">
        <f t="shared" si="3"/>
        <v>0</v>
      </c>
      <c r="R6329" s="26"/>
    </row>
    <row r="6330" spans="1:18" ht="15.75" customHeight="1">
      <c r="A6330" s="26"/>
      <c r="B6330" s="86"/>
      <c r="D6330" s="26"/>
      <c r="F6330" s="87" t="str">
        <f t="shared" si="0"/>
        <v/>
      </c>
      <c r="H6330" s="26" t="str">
        <f t="shared" si="1"/>
        <v/>
      </c>
      <c r="I6330" s="26" t="str">
        <f t="shared" si="2"/>
        <v/>
      </c>
      <c r="J6330" s="86">
        <f t="shared" si="3"/>
        <v>0</v>
      </c>
      <c r="R6330" s="26"/>
    </row>
    <row r="6331" spans="1:18" ht="15.75" customHeight="1">
      <c r="A6331" s="26"/>
      <c r="B6331" s="86"/>
      <c r="D6331" s="26"/>
      <c r="F6331" s="87" t="str">
        <f t="shared" si="0"/>
        <v/>
      </c>
      <c r="H6331" s="26" t="str">
        <f t="shared" si="1"/>
        <v/>
      </c>
      <c r="I6331" s="26" t="str">
        <f t="shared" si="2"/>
        <v/>
      </c>
      <c r="J6331" s="86">
        <f t="shared" si="3"/>
        <v>0</v>
      </c>
      <c r="R6331" s="26"/>
    </row>
    <row r="6332" spans="1:18" ht="15.75" customHeight="1">
      <c r="A6332" s="26"/>
      <c r="B6332" s="86"/>
      <c r="D6332" s="26"/>
      <c r="F6332" s="87" t="str">
        <f t="shared" si="0"/>
        <v/>
      </c>
      <c r="H6332" s="26" t="str">
        <f t="shared" si="1"/>
        <v/>
      </c>
      <c r="I6332" s="26" t="str">
        <f t="shared" si="2"/>
        <v/>
      </c>
      <c r="J6332" s="86">
        <f t="shared" si="3"/>
        <v>0</v>
      </c>
      <c r="R6332" s="26"/>
    </row>
    <row r="6333" spans="1:18" ht="15.75" customHeight="1">
      <c r="A6333" s="26"/>
      <c r="B6333" s="86"/>
      <c r="D6333" s="26"/>
      <c r="F6333" s="87" t="str">
        <f t="shared" si="0"/>
        <v/>
      </c>
      <c r="H6333" s="26" t="str">
        <f t="shared" si="1"/>
        <v/>
      </c>
      <c r="I6333" s="26" t="str">
        <f t="shared" si="2"/>
        <v/>
      </c>
      <c r="J6333" s="86">
        <f t="shared" si="3"/>
        <v>0</v>
      </c>
      <c r="R6333" s="26"/>
    </row>
    <row r="6334" spans="1:18" ht="15.75" customHeight="1">
      <c r="A6334" s="26"/>
      <c r="B6334" s="86"/>
      <c r="D6334" s="26"/>
      <c r="F6334" s="87" t="str">
        <f t="shared" si="0"/>
        <v/>
      </c>
      <c r="H6334" s="26" t="str">
        <f t="shared" si="1"/>
        <v/>
      </c>
      <c r="I6334" s="26" t="str">
        <f t="shared" si="2"/>
        <v/>
      </c>
      <c r="J6334" s="86">
        <f t="shared" si="3"/>
        <v>0</v>
      </c>
      <c r="R6334" s="26"/>
    </row>
    <row r="6335" spans="1:18" ht="15.75" customHeight="1">
      <c r="A6335" s="26"/>
      <c r="B6335" s="86"/>
      <c r="D6335" s="26"/>
      <c r="F6335" s="87" t="str">
        <f t="shared" si="0"/>
        <v/>
      </c>
      <c r="H6335" s="26" t="str">
        <f t="shared" si="1"/>
        <v/>
      </c>
      <c r="I6335" s="26" t="str">
        <f t="shared" si="2"/>
        <v/>
      </c>
      <c r="J6335" s="86">
        <f t="shared" si="3"/>
        <v>0</v>
      </c>
      <c r="R6335" s="26"/>
    </row>
    <row r="6336" spans="1:18" ht="15.75" customHeight="1">
      <c r="A6336" s="26"/>
      <c r="B6336" s="86"/>
      <c r="D6336" s="26"/>
      <c r="F6336" s="87" t="str">
        <f t="shared" si="0"/>
        <v/>
      </c>
      <c r="H6336" s="26" t="str">
        <f t="shared" si="1"/>
        <v/>
      </c>
      <c r="I6336" s="26" t="str">
        <f t="shared" si="2"/>
        <v/>
      </c>
      <c r="J6336" s="86">
        <f t="shared" si="3"/>
        <v>0</v>
      </c>
      <c r="R6336" s="26"/>
    </row>
    <row r="6337" spans="1:18" ht="15.75" customHeight="1">
      <c r="A6337" s="26"/>
      <c r="B6337" s="86"/>
      <c r="D6337" s="26"/>
      <c r="F6337" s="87" t="str">
        <f t="shared" si="0"/>
        <v/>
      </c>
      <c r="H6337" s="26" t="str">
        <f t="shared" si="1"/>
        <v/>
      </c>
      <c r="I6337" s="26" t="str">
        <f t="shared" si="2"/>
        <v/>
      </c>
      <c r="J6337" s="86">
        <f t="shared" si="3"/>
        <v>0</v>
      </c>
      <c r="R6337" s="26"/>
    </row>
    <row r="6338" spans="1:18" ht="15.75" customHeight="1">
      <c r="A6338" s="26"/>
      <c r="B6338" s="86"/>
      <c r="D6338" s="26"/>
      <c r="F6338" s="87" t="str">
        <f t="shared" si="0"/>
        <v/>
      </c>
      <c r="H6338" s="26" t="str">
        <f t="shared" si="1"/>
        <v/>
      </c>
      <c r="I6338" s="26" t="str">
        <f t="shared" si="2"/>
        <v/>
      </c>
      <c r="J6338" s="86">
        <f t="shared" si="3"/>
        <v>0</v>
      </c>
      <c r="R6338" s="26"/>
    </row>
    <row r="6339" spans="1:18" ht="15.75" customHeight="1">
      <c r="A6339" s="26"/>
      <c r="B6339" s="86"/>
      <c r="D6339" s="26"/>
      <c r="F6339" s="87" t="str">
        <f t="shared" si="0"/>
        <v/>
      </c>
      <c r="H6339" s="26" t="str">
        <f t="shared" si="1"/>
        <v/>
      </c>
      <c r="I6339" s="26" t="str">
        <f t="shared" si="2"/>
        <v/>
      </c>
      <c r="J6339" s="86">
        <f t="shared" si="3"/>
        <v>0</v>
      </c>
      <c r="R6339" s="26"/>
    </row>
    <row r="6340" spans="1:18" ht="15.75" customHeight="1">
      <c r="A6340" s="26"/>
      <c r="B6340" s="86"/>
      <c r="D6340" s="26"/>
      <c r="F6340" s="87" t="str">
        <f t="shared" si="0"/>
        <v/>
      </c>
      <c r="H6340" s="26" t="str">
        <f t="shared" si="1"/>
        <v/>
      </c>
      <c r="I6340" s="26" t="str">
        <f t="shared" si="2"/>
        <v/>
      </c>
      <c r="J6340" s="86">
        <f t="shared" si="3"/>
        <v>0</v>
      </c>
      <c r="R6340" s="26"/>
    </row>
    <row r="6341" spans="1:18" ht="15.75" customHeight="1">
      <c r="A6341" s="26"/>
      <c r="B6341" s="86"/>
      <c r="D6341" s="26"/>
      <c r="F6341" s="87" t="str">
        <f t="shared" si="0"/>
        <v/>
      </c>
      <c r="H6341" s="26" t="str">
        <f t="shared" si="1"/>
        <v/>
      </c>
      <c r="I6341" s="26" t="str">
        <f t="shared" si="2"/>
        <v/>
      </c>
      <c r="J6341" s="86">
        <f t="shared" si="3"/>
        <v>0</v>
      </c>
      <c r="R6341" s="26"/>
    </row>
    <row r="6342" spans="1:18" ht="15.75" customHeight="1">
      <c r="A6342" s="26"/>
      <c r="B6342" s="86"/>
      <c r="D6342" s="26"/>
      <c r="F6342" s="87" t="str">
        <f t="shared" si="0"/>
        <v/>
      </c>
      <c r="H6342" s="26" t="str">
        <f t="shared" si="1"/>
        <v/>
      </c>
      <c r="I6342" s="26" t="str">
        <f t="shared" si="2"/>
        <v/>
      </c>
      <c r="J6342" s="86">
        <f t="shared" si="3"/>
        <v>0</v>
      </c>
      <c r="R6342" s="26"/>
    </row>
    <row r="6343" spans="1:18" ht="15.75" customHeight="1">
      <c r="A6343" s="26"/>
      <c r="B6343" s="86"/>
      <c r="D6343" s="26"/>
      <c r="F6343" s="87" t="str">
        <f t="shared" si="0"/>
        <v/>
      </c>
      <c r="H6343" s="26" t="str">
        <f t="shared" si="1"/>
        <v/>
      </c>
      <c r="I6343" s="26" t="str">
        <f t="shared" si="2"/>
        <v/>
      </c>
      <c r="J6343" s="86">
        <f t="shared" si="3"/>
        <v>0</v>
      </c>
      <c r="R6343" s="26"/>
    </row>
    <row r="6344" spans="1:18" ht="15.75" customHeight="1">
      <c r="A6344" s="26"/>
      <c r="B6344" s="86"/>
      <c r="D6344" s="26"/>
      <c r="F6344" s="87" t="str">
        <f t="shared" si="0"/>
        <v/>
      </c>
      <c r="H6344" s="26" t="str">
        <f t="shared" si="1"/>
        <v/>
      </c>
      <c r="I6344" s="26" t="str">
        <f t="shared" si="2"/>
        <v/>
      </c>
      <c r="J6344" s="86">
        <f t="shared" si="3"/>
        <v>0</v>
      </c>
      <c r="R6344" s="26"/>
    </row>
    <row r="6345" spans="1:18" ht="15.75" customHeight="1">
      <c r="A6345" s="26"/>
      <c r="B6345" s="86"/>
      <c r="D6345" s="26"/>
      <c r="F6345" s="87" t="str">
        <f t="shared" si="0"/>
        <v/>
      </c>
      <c r="H6345" s="26" t="str">
        <f t="shared" si="1"/>
        <v/>
      </c>
      <c r="I6345" s="26" t="str">
        <f t="shared" si="2"/>
        <v/>
      </c>
      <c r="J6345" s="86">
        <f t="shared" si="3"/>
        <v>0</v>
      </c>
      <c r="R6345" s="26"/>
    </row>
    <row r="6346" spans="1:18" ht="15.75" customHeight="1">
      <c r="A6346" s="26"/>
      <c r="B6346" s="86"/>
      <c r="D6346" s="26"/>
      <c r="F6346" s="87" t="str">
        <f t="shared" si="0"/>
        <v/>
      </c>
      <c r="H6346" s="26" t="str">
        <f t="shared" si="1"/>
        <v/>
      </c>
      <c r="I6346" s="26" t="str">
        <f t="shared" si="2"/>
        <v/>
      </c>
      <c r="J6346" s="86">
        <f t="shared" si="3"/>
        <v>0</v>
      </c>
      <c r="R6346" s="26"/>
    </row>
    <row r="6347" spans="1:18" ht="15.75" customHeight="1">
      <c r="A6347" s="26"/>
      <c r="B6347" s="86"/>
      <c r="D6347" s="26"/>
      <c r="F6347" s="87" t="str">
        <f t="shared" si="0"/>
        <v/>
      </c>
      <c r="H6347" s="26" t="str">
        <f t="shared" si="1"/>
        <v/>
      </c>
      <c r="I6347" s="26" t="str">
        <f t="shared" si="2"/>
        <v/>
      </c>
      <c r="J6347" s="86">
        <f t="shared" si="3"/>
        <v>0</v>
      </c>
      <c r="R6347" s="26"/>
    </row>
    <row r="6348" spans="1:18" ht="15.75" customHeight="1">
      <c r="A6348" s="26"/>
      <c r="B6348" s="86"/>
      <c r="D6348" s="26"/>
      <c r="F6348" s="87" t="str">
        <f t="shared" si="0"/>
        <v/>
      </c>
      <c r="H6348" s="26" t="str">
        <f t="shared" si="1"/>
        <v/>
      </c>
      <c r="I6348" s="26" t="str">
        <f t="shared" si="2"/>
        <v/>
      </c>
      <c r="J6348" s="86">
        <f t="shared" si="3"/>
        <v>0</v>
      </c>
      <c r="R6348" s="26"/>
    </row>
    <row r="6349" spans="1:18" ht="15.75" customHeight="1">
      <c r="A6349" s="26"/>
      <c r="B6349" s="86"/>
      <c r="D6349" s="26"/>
      <c r="F6349" s="87" t="str">
        <f t="shared" si="0"/>
        <v/>
      </c>
      <c r="H6349" s="26" t="str">
        <f t="shared" si="1"/>
        <v/>
      </c>
      <c r="I6349" s="26" t="str">
        <f t="shared" si="2"/>
        <v/>
      </c>
      <c r="J6349" s="86">
        <f t="shared" si="3"/>
        <v>0</v>
      </c>
      <c r="R6349" s="26"/>
    </row>
    <row r="6350" spans="1:18" ht="15.75" customHeight="1">
      <c r="A6350" s="26"/>
      <c r="B6350" s="86"/>
      <c r="D6350" s="26"/>
      <c r="F6350" s="87" t="str">
        <f t="shared" si="0"/>
        <v/>
      </c>
      <c r="H6350" s="26" t="str">
        <f t="shared" si="1"/>
        <v/>
      </c>
      <c r="I6350" s="26" t="str">
        <f t="shared" si="2"/>
        <v/>
      </c>
      <c r="J6350" s="86">
        <f t="shared" si="3"/>
        <v>0</v>
      </c>
      <c r="R6350" s="26"/>
    </row>
    <row r="6351" spans="1:18" ht="15.75" customHeight="1">
      <c r="A6351" s="26"/>
      <c r="B6351" s="86"/>
      <c r="D6351" s="26"/>
      <c r="F6351" s="87" t="str">
        <f t="shared" si="0"/>
        <v/>
      </c>
      <c r="H6351" s="26" t="str">
        <f t="shared" si="1"/>
        <v/>
      </c>
      <c r="I6351" s="26" t="str">
        <f t="shared" si="2"/>
        <v/>
      </c>
      <c r="J6351" s="86">
        <f t="shared" si="3"/>
        <v>0</v>
      </c>
      <c r="R6351" s="26"/>
    </row>
    <row r="6352" spans="1:18" ht="15.75" customHeight="1">
      <c r="A6352" s="26"/>
      <c r="B6352" s="86"/>
      <c r="D6352" s="26"/>
      <c r="F6352" s="87" t="str">
        <f t="shared" si="0"/>
        <v/>
      </c>
      <c r="H6352" s="26" t="str">
        <f t="shared" si="1"/>
        <v/>
      </c>
      <c r="I6352" s="26" t="str">
        <f t="shared" si="2"/>
        <v/>
      </c>
      <c r="J6352" s="86">
        <f t="shared" si="3"/>
        <v>0</v>
      </c>
      <c r="R6352" s="26"/>
    </row>
    <row r="6353" spans="1:18" ht="15.75" customHeight="1">
      <c r="A6353" s="26"/>
      <c r="B6353" s="86"/>
      <c r="D6353" s="26"/>
      <c r="F6353" s="87" t="str">
        <f t="shared" si="0"/>
        <v/>
      </c>
      <c r="H6353" s="26" t="str">
        <f t="shared" si="1"/>
        <v/>
      </c>
      <c r="I6353" s="26" t="str">
        <f t="shared" si="2"/>
        <v/>
      </c>
      <c r="J6353" s="86">
        <f t="shared" si="3"/>
        <v>0</v>
      </c>
      <c r="R6353" s="26"/>
    </row>
    <row r="6354" spans="1:18" ht="15.75" customHeight="1">
      <c r="A6354" s="26"/>
      <c r="B6354" s="86"/>
      <c r="D6354" s="26"/>
      <c r="F6354" s="87" t="str">
        <f t="shared" si="0"/>
        <v/>
      </c>
      <c r="H6354" s="26" t="str">
        <f t="shared" si="1"/>
        <v/>
      </c>
      <c r="I6354" s="26" t="str">
        <f t="shared" si="2"/>
        <v/>
      </c>
      <c r="J6354" s="86">
        <f t="shared" si="3"/>
        <v>0</v>
      </c>
      <c r="R6354" s="26"/>
    </row>
    <row r="6355" spans="1:18" ht="15.75" customHeight="1">
      <c r="A6355" s="26"/>
      <c r="B6355" s="86"/>
      <c r="D6355" s="26"/>
      <c r="F6355" s="87" t="str">
        <f t="shared" si="0"/>
        <v/>
      </c>
      <c r="H6355" s="26" t="str">
        <f t="shared" si="1"/>
        <v/>
      </c>
      <c r="I6355" s="26" t="str">
        <f t="shared" si="2"/>
        <v/>
      </c>
      <c r="J6355" s="86">
        <f t="shared" si="3"/>
        <v>0</v>
      </c>
      <c r="R6355" s="26"/>
    </row>
    <row r="6356" spans="1:18" ht="15.75" customHeight="1">
      <c r="A6356" s="26"/>
      <c r="B6356" s="86"/>
      <c r="D6356" s="26"/>
      <c r="F6356" s="87" t="str">
        <f t="shared" si="0"/>
        <v/>
      </c>
      <c r="H6356" s="26" t="str">
        <f t="shared" si="1"/>
        <v/>
      </c>
      <c r="I6356" s="26" t="str">
        <f t="shared" si="2"/>
        <v/>
      </c>
      <c r="J6356" s="86">
        <f t="shared" si="3"/>
        <v>0</v>
      </c>
      <c r="R6356" s="26"/>
    </row>
    <row r="6357" spans="1:18" ht="15.75" customHeight="1">
      <c r="A6357" s="26"/>
      <c r="B6357" s="86"/>
      <c r="D6357" s="26"/>
      <c r="F6357" s="87" t="str">
        <f t="shared" si="0"/>
        <v/>
      </c>
      <c r="H6357" s="26" t="str">
        <f t="shared" si="1"/>
        <v/>
      </c>
      <c r="I6357" s="26" t="str">
        <f t="shared" si="2"/>
        <v/>
      </c>
      <c r="J6357" s="86">
        <f t="shared" si="3"/>
        <v>0</v>
      </c>
      <c r="R6357" s="26"/>
    </row>
    <row r="6358" spans="1:18" ht="15.75" customHeight="1">
      <c r="A6358" s="26"/>
      <c r="B6358" s="86"/>
      <c r="D6358" s="26"/>
      <c r="F6358" s="87" t="str">
        <f t="shared" si="0"/>
        <v/>
      </c>
      <c r="H6358" s="26" t="str">
        <f t="shared" si="1"/>
        <v/>
      </c>
      <c r="I6358" s="26" t="str">
        <f t="shared" si="2"/>
        <v/>
      </c>
      <c r="J6358" s="86">
        <f t="shared" si="3"/>
        <v>0</v>
      </c>
      <c r="R6358" s="26"/>
    </row>
    <row r="6359" spans="1:18" ht="15.75" customHeight="1">
      <c r="A6359" s="26"/>
      <c r="B6359" s="86"/>
      <c r="D6359" s="26"/>
      <c r="F6359" s="87" t="str">
        <f t="shared" si="0"/>
        <v/>
      </c>
      <c r="H6359" s="26" t="str">
        <f t="shared" si="1"/>
        <v/>
      </c>
      <c r="I6359" s="26" t="str">
        <f t="shared" si="2"/>
        <v/>
      </c>
      <c r="J6359" s="86">
        <f t="shared" si="3"/>
        <v>0</v>
      </c>
      <c r="R6359" s="26"/>
    </row>
    <row r="6360" spans="1:18" ht="15.75" customHeight="1">
      <c r="A6360" s="26"/>
      <c r="B6360" s="86"/>
      <c r="D6360" s="26"/>
      <c r="F6360" s="87" t="str">
        <f t="shared" si="0"/>
        <v/>
      </c>
      <c r="H6360" s="26" t="str">
        <f t="shared" si="1"/>
        <v/>
      </c>
      <c r="I6360" s="26" t="str">
        <f t="shared" si="2"/>
        <v/>
      </c>
      <c r="J6360" s="86">
        <f t="shared" si="3"/>
        <v>0</v>
      </c>
      <c r="R6360" s="26"/>
    </row>
    <row r="6361" spans="1:18" ht="15.75" customHeight="1">
      <c r="A6361" s="26"/>
      <c r="B6361" s="86"/>
      <c r="D6361" s="26"/>
      <c r="F6361" s="87" t="str">
        <f t="shared" si="0"/>
        <v/>
      </c>
      <c r="H6361" s="26" t="str">
        <f t="shared" si="1"/>
        <v/>
      </c>
      <c r="I6361" s="26" t="str">
        <f t="shared" si="2"/>
        <v/>
      </c>
      <c r="J6361" s="86">
        <f t="shared" si="3"/>
        <v>0</v>
      </c>
      <c r="R6361" s="26"/>
    </row>
    <row r="6362" spans="1:18" ht="15.75" customHeight="1">
      <c r="A6362" s="26"/>
      <c r="B6362" s="86"/>
      <c r="D6362" s="26"/>
      <c r="F6362" s="87" t="str">
        <f t="shared" si="0"/>
        <v/>
      </c>
      <c r="H6362" s="26" t="str">
        <f t="shared" si="1"/>
        <v/>
      </c>
      <c r="I6362" s="26" t="str">
        <f t="shared" si="2"/>
        <v/>
      </c>
      <c r="J6362" s="86">
        <f t="shared" si="3"/>
        <v>0</v>
      </c>
      <c r="R6362" s="26"/>
    </row>
    <row r="6363" spans="1:18" ht="15.75" customHeight="1">
      <c r="A6363" s="26"/>
      <c r="B6363" s="86"/>
      <c r="D6363" s="26"/>
      <c r="F6363" s="87" t="str">
        <f t="shared" si="0"/>
        <v/>
      </c>
      <c r="H6363" s="26" t="str">
        <f t="shared" si="1"/>
        <v/>
      </c>
      <c r="I6363" s="26" t="str">
        <f t="shared" si="2"/>
        <v/>
      </c>
      <c r="J6363" s="86">
        <f t="shared" si="3"/>
        <v>0</v>
      </c>
      <c r="R6363" s="26"/>
    </row>
    <row r="6364" spans="1:18" ht="15.75" customHeight="1">
      <c r="A6364" s="26"/>
      <c r="B6364" s="86"/>
      <c r="D6364" s="26"/>
      <c r="F6364" s="87" t="str">
        <f t="shared" si="0"/>
        <v/>
      </c>
      <c r="H6364" s="26" t="str">
        <f t="shared" si="1"/>
        <v/>
      </c>
      <c r="I6364" s="26" t="str">
        <f t="shared" si="2"/>
        <v/>
      </c>
      <c r="J6364" s="86">
        <f t="shared" si="3"/>
        <v>0</v>
      </c>
      <c r="R6364" s="26"/>
    </row>
    <row r="6365" spans="1:18" ht="15.75" customHeight="1">
      <c r="A6365" s="26"/>
      <c r="B6365" s="86"/>
      <c r="D6365" s="26"/>
      <c r="F6365" s="87" t="str">
        <f t="shared" si="0"/>
        <v/>
      </c>
      <c r="H6365" s="26" t="str">
        <f t="shared" si="1"/>
        <v/>
      </c>
      <c r="I6365" s="26" t="str">
        <f t="shared" si="2"/>
        <v/>
      </c>
      <c r="J6365" s="86">
        <f t="shared" si="3"/>
        <v>0</v>
      </c>
      <c r="R6365" s="26"/>
    </row>
    <row r="6366" spans="1:18" ht="15.75" customHeight="1">
      <c r="A6366" s="26"/>
      <c r="B6366" s="86"/>
      <c r="D6366" s="26"/>
      <c r="F6366" s="87" t="str">
        <f t="shared" si="0"/>
        <v/>
      </c>
      <c r="H6366" s="26" t="str">
        <f t="shared" si="1"/>
        <v/>
      </c>
      <c r="I6366" s="26" t="str">
        <f t="shared" si="2"/>
        <v/>
      </c>
      <c r="J6366" s="86">
        <f t="shared" si="3"/>
        <v>0</v>
      </c>
      <c r="R6366" s="26"/>
    </row>
    <row r="6367" spans="1:18" ht="15.75" customHeight="1">
      <c r="A6367" s="26"/>
      <c r="B6367" s="86"/>
      <c r="D6367" s="26"/>
      <c r="F6367" s="87" t="str">
        <f t="shared" si="0"/>
        <v/>
      </c>
      <c r="H6367" s="26" t="str">
        <f t="shared" si="1"/>
        <v/>
      </c>
      <c r="I6367" s="26" t="str">
        <f t="shared" si="2"/>
        <v/>
      </c>
      <c r="J6367" s="86">
        <f t="shared" si="3"/>
        <v>0</v>
      </c>
      <c r="R6367" s="26"/>
    </row>
    <row r="6368" spans="1:18" ht="15.75" customHeight="1">
      <c r="A6368" s="26"/>
      <c r="B6368" s="86"/>
      <c r="D6368" s="26"/>
      <c r="F6368" s="87" t="str">
        <f t="shared" si="0"/>
        <v/>
      </c>
      <c r="H6368" s="26" t="str">
        <f t="shared" si="1"/>
        <v/>
      </c>
      <c r="I6368" s="26" t="str">
        <f t="shared" si="2"/>
        <v/>
      </c>
      <c r="J6368" s="86">
        <f t="shared" si="3"/>
        <v>0</v>
      </c>
      <c r="R6368" s="26"/>
    </row>
    <row r="6369" spans="1:18" ht="15.75" customHeight="1">
      <c r="A6369" s="26"/>
      <c r="B6369" s="86"/>
      <c r="D6369" s="26"/>
      <c r="F6369" s="87" t="str">
        <f t="shared" si="0"/>
        <v/>
      </c>
      <c r="H6369" s="26" t="str">
        <f t="shared" si="1"/>
        <v/>
      </c>
      <c r="I6369" s="26" t="str">
        <f t="shared" si="2"/>
        <v/>
      </c>
      <c r="J6369" s="86">
        <f t="shared" si="3"/>
        <v>0</v>
      </c>
      <c r="R6369" s="26"/>
    </row>
    <row r="6370" spans="1:18" ht="15.75" customHeight="1">
      <c r="A6370" s="26"/>
      <c r="B6370" s="86"/>
      <c r="D6370" s="26"/>
      <c r="F6370" s="87" t="str">
        <f t="shared" si="0"/>
        <v/>
      </c>
      <c r="H6370" s="26" t="str">
        <f t="shared" si="1"/>
        <v/>
      </c>
      <c r="I6370" s="26" t="str">
        <f t="shared" si="2"/>
        <v/>
      </c>
      <c r="J6370" s="86">
        <f t="shared" si="3"/>
        <v>0</v>
      </c>
      <c r="R6370" s="26"/>
    </row>
    <row r="6371" spans="1:18" ht="15.75" customHeight="1">
      <c r="A6371" s="26"/>
      <c r="B6371" s="86"/>
      <c r="D6371" s="26"/>
      <c r="F6371" s="87" t="str">
        <f t="shared" si="0"/>
        <v/>
      </c>
      <c r="H6371" s="26" t="str">
        <f t="shared" si="1"/>
        <v/>
      </c>
      <c r="I6371" s="26" t="str">
        <f t="shared" si="2"/>
        <v/>
      </c>
      <c r="J6371" s="86">
        <f t="shared" si="3"/>
        <v>0</v>
      </c>
      <c r="R6371" s="26"/>
    </row>
    <row r="6372" spans="1:18" ht="15.75" customHeight="1">
      <c r="A6372" s="26"/>
      <c r="B6372" s="86"/>
      <c r="D6372" s="26"/>
      <c r="F6372" s="87" t="str">
        <f t="shared" si="0"/>
        <v/>
      </c>
      <c r="H6372" s="26" t="str">
        <f t="shared" si="1"/>
        <v/>
      </c>
      <c r="I6372" s="26" t="str">
        <f t="shared" si="2"/>
        <v/>
      </c>
      <c r="J6372" s="86">
        <f t="shared" si="3"/>
        <v>0</v>
      </c>
      <c r="R6372" s="26"/>
    </row>
    <row r="6373" spans="1:18" ht="15.75" customHeight="1">
      <c r="A6373" s="26"/>
      <c r="B6373" s="86"/>
      <c r="D6373" s="26"/>
      <c r="F6373" s="87" t="str">
        <f t="shared" si="0"/>
        <v/>
      </c>
      <c r="H6373" s="26" t="str">
        <f t="shared" si="1"/>
        <v/>
      </c>
      <c r="I6373" s="26" t="str">
        <f t="shared" si="2"/>
        <v/>
      </c>
      <c r="J6373" s="86">
        <f t="shared" si="3"/>
        <v>0</v>
      </c>
      <c r="R6373" s="26"/>
    </row>
    <row r="6374" spans="1:18" ht="15.75" customHeight="1">
      <c r="A6374" s="26"/>
      <c r="B6374" s="86"/>
      <c r="D6374" s="26"/>
      <c r="F6374" s="87" t="str">
        <f t="shared" si="0"/>
        <v/>
      </c>
      <c r="H6374" s="26" t="str">
        <f t="shared" si="1"/>
        <v/>
      </c>
      <c r="I6374" s="26" t="str">
        <f t="shared" si="2"/>
        <v/>
      </c>
      <c r="J6374" s="86">
        <f t="shared" si="3"/>
        <v>0</v>
      </c>
      <c r="R6374" s="26"/>
    </row>
    <row r="6375" spans="1:18" ht="15.75" customHeight="1">
      <c r="A6375" s="26"/>
      <c r="B6375" s="86"/>
      <c r="D6375" s="26"/>
      <c r="F6375" s="87" t="str">
        <f t="shared" si="0"/>
        <v/>
      </c>
      <c r="H6375" s="26" t="str">
        <f t="shared" si="1"/>
        <v/>
      </c>
      <c r="I6375" s="26" t="str">
        <f t="shared" si="2"/>
        <v/>
      </c>
      <c r="J6375" s="86">
        <f t="shared" si="3"/>
        <v>0</v>
      </c>
      <c r="R6375" s="26"/>
    </row>
    <row r="6376" spans="1:18" ht="15.75" customHeight="1">
      <c r="A6376" s="26"/>
      <c r="B6376" s="86"/>
      <c r="D6376" s="26"/>
      <c r="F6376" s="87" t="str">
        <f t="shared" si="0"/>
        <v/>
      </c>
      <c r="H6376" s="26" t="str">
        <f t="shared" si="1"/>
        <v/>
      </c>
      <c r="I6376" s="26" t="str">
        <f t="shared" si="2"/>
        <v/>
      </c>
      <c r="J6376" s="86">
        <f t="shared" si="3"/>
        <v>0</v>
      </c>
      <c r="R6376" s="26"/>
    </row>
    <row r="6377" spans="1:18" ht="15.75" customHeight="1">
      <c r="A6377" s="26"/>
      <c r="B6377" s="86"/>
      <c r="D6377" s="26"/>
      <c r="F6377" s="87" t="str">
        <f t="shared" si="0"/>
        <v/>
      </c>
      <c r="H6377" s="26" t="str">
        <f t="shared" si="1"/>
        <v/>
      </c>
      <c r="I6377" s="26" t="str">
        <f t="shared" si="2"/>
        <v/>
      </c>
      <c r="J6377" s="86">
        <f t="shared" si="3"/>
        <v>0</v>
      </c>
      <c r="R6377" s="26"/>
    </row>
    <row r="6378" spans="1:18" ht="15.75" customHeight="1">
      <c r="A6378" s="26"/>
      <c r="B6378" s="86"/>
      <c r="D6378" s="26"/>
      <c r="F6378" s="87" t="str">
        <f t="shared" si="0"/>
        <v/>
      </c>
      <c r="H6378" s="26" t="str">
        <f t="shared" si="1"/>
        <v/>
      </c>
      <c r="I6378" s="26" t="str">
        <f t="shared" si="2"/>
        <v/>
      </c>
      <c r="J6378" s="86">
        <f t="shared" si="3"/>
        <v>0</v>
      </c>
      <c r="R6378" s="26"/>
    </row>
    <row r="6379" spans="1:18" ht="15.75" customHeight="1">
      <c r="A6379" s="26"/>
      <c r="B6379" s="86"/>
      <c r="D6379" s="26"/>
      <c r="F6379" s="87" t="str">
        <f t="shared" si="0"/>
        <v/>
      </c>
      <c r="H6379" s="26" t="str">
        <f t="shared" si="1"/>
        <v/>
      </c>
      <c r="I6379" s="26" t="str">
        <f t="shared" si="2"/>
        <v/>
      </c>
      <c r="J6379" s="86">
        <f t="shared" si="3"/>
        <v>0</v>
      </c>
      <c r="R6379" s="26"/>
    </row>
    <row r="6380" spans="1:18" ht="15.75" customHeight="1">
      <c r="A6380" s="26"/>
      <c r="B6380" s="86"/>
      <c r="D6380" s="26"/>
      <c r="F6380" s="87" t="str">
        <f t="shared" si="0"/>
        <v/>
      </c>
      <c r="H6380" s="26" t="str">
        <f t="shared" si="1"/>
        <v/>
      </c>
      <c r="I6380" s="26" t="str">
        <f t="shared" si="2"/>
        <v/>
      </c>
      <c r="J6380" s="86">
        <f t="shared" si="3"/>
        <v>0</v>
      </c>
      <c r="R6380" s="26"/>
    </row>
    <row r="6381" spans="1:18" ht="15.75" customHeight="1">
      <c r="A6381" s="26"/>
      <c r="B6381" s="86"/>
      <c r="D6381" s="26"/>
      <c r="F6381" s="87" t="str">
        <f t="shared" si="0"/>
        <v/>
      </c>
      <c r="H6381" s="26" t="str">
        <f t="shared" si="1"/>
        <v/>
      </c>
      <c r="I6381" s="26" t="str">
        <f t="shared" si="2"/>
        <v/>
      </c>
      <c r="J6381" s="86">
        <f t="shared" si="3"/>
        <v>0</v>
      </c>
      <c r="R6381" s="26"/>
    </row>
    <row r="6382" spans="1:18" ht="15.75" customHeight="1">
      <c r="A6382" s="26"/>
      <c r="B6382" s="86"/>
      <c r="D6382" s="26"/>
      <c r="F6382" s="87" t="str">
        <f t="shared" si="0"/>
        <v/>
      </c>
      <c r="H6382" s="26" t="str">
        <f t="shared" si="1"/>
        <v/>
      </c>
      <c r="I6382" s="26" t="str">
        <f t="shared" si="2"/>
        <v/>
      </c>
      <c r="J6382" s="86">
        <f t="shared" si="3"/>
        <v>0</v>
      </c>
      <c r="R6382" s="26"/>
    </row>
    <row r="6383" spans="1:18" ht="15.75" customHeight="1">
      <c r="A6383" s="26"/>
      <c r="B6383" s="86"/>
      <c r="D6383" s="26"/>
      <c r="F6383" s="87" t="str">
        <f t="shared" si="0"/>
        <v/>
      </c>
      <c r="H6383" s="26" t="str">
        <f t="shared" si="1"/>
        <v/>
      </c>
      <c r="I6383" s="26" t="str">
        <f t="shared" si="2"/>
        <v/>
      </c>
      <c r="J6383" s="86">
        <f t="shared" si="3"/>
        <v>0</v>
      </c>
      <c r="R6383" s="26"/>
    </row>
    <row r="6384" spans="1:18" ht="15.75" customHeight="1">
      <c r="A6384" s="26"/>
      <c r="B6384" s="86"/>
      <c r="D6384" s="26"/>
      <c r="F6384" s="87" t="str">
        <f t="shared" si="0"/>
        <v/>
      </c>
      <c r="H6384" s="26" t="str">
        <f t="shared" si="1"/>
        <v/>
      </c>
      <c r="I6384" s="26" t="str">
        <f t="shared" si="2"/>
        <v/>
      </c>
      <c r="J6384" s="86">
        <f t="shared" si="3"/>
        <v>0</v>
      </c>
      <c r="R6384" s="26"/>
    </row>
    <row r="6385" spans="1:18" ht="15.75" customHeight="1">
      <c r="A6385" s="26"/>
      <c r="B6385" s="86"/>
      <c r="D6385" s="26"/>
      <c r="F6385" s="87" t="str">
        <f t="shared" si="0"/>
        <v/>
      </c>
      <c r="H6385" s="26" t="str">
        <f t="shared" si="1"/>
        <v/>
      </c>
      <c r="I6385" s="26" t="str">
        <f t="shared" si="2"/>
        <v/>
      </c>
      <c r="J6385" s="86">
        <f t="shared" si="3"/>
        <v>0</v>
      </c>
      <c r="R6385" s="26"/>
    </row>
    <row r="6386" spans="1:18" ht="15.75" customHeight="1">
      <c r="A6386" s="26"/>
      <c r="B6386" s="86"/>
      <c r="D6386" s="26"/>
      <c r="F6386" s="87" t="str">
        <f t="shared" si="0"/>
        <v/>
      </c>
      <c r="H6386" s="26" t="str">
        <f t="shared" si="1"/>
        <v/>
      </c>
      <c r="I6386" s="26" t="str">
        <f t="shared" si="2"/>
        <v/>
      </c>
      <c r="J6386" s="86">
        <f t="shared" si="3"/>
        <v>0</v>
      </c>
      <c r="R6386" s="26"/>
    </row>
    <row r="6387" spans="1:18" ht="15.75" customHeight="1">
      <c r="A6387" s="26"/>
      <c r="B6387" s="86"/>
      <c r="D6387" s="26"/>
      <c r="F6387" s="87" t="str">
        <f t="shared" si="0"/>
        <v/>
      </c>
      <c r="H6387" s="26" t="str">
        <f t="shared" si="1"/>
        <v/>
      </c>
      <c r="I6387" s="26" t="str">
        <f t="shared" si="2"/>
        <v/>
      </c>
      <c r="J6387" s="86">
        <f t="shared" si="3"/>
        <v>0</v>
      </c>
      <c r="R6387" s="26"/>
    </row>
    <row r="6388" spans="1:18" ht="15.75" customHeight="1">
      <c r="A6388" s="26"/>
      <c r="B6388" s="86"/>
      <c r="D6388" s="26"/>
      <c r="F6388" s="87" t="str">
        <f t="shared" si="0"/>
        <v/>
      </c>
      <c r="H6388" s="26" t="str">
        <f t="shared" si="1"/>
        <v/>
      </c>
      <c r="I6388" s="26" t="str">
        <f t="shared" si="2"/>
        <v/>
      </c>
      <c r="J6388" s="86">
        <f t="shared" si="3"/>
        <v>0</v>
      </c>
      <c r="R6388" s="26"/>
    </row>
    <row r="6389" spans="1:18" ht="15.75" customHeight="1">
      <c r="A6389" s="26"/>
      <c r="B6389" s="86"/>
      <c r="D6389" s="26"/>
      <c r="F6389" s="87" t="str">
        <f t="shared" si="0"/>
        <v/>
      </c>
      <c r="H6389" s="26" t="str">
        <f t="shared" si="1"/>
        <v/>
      </c>
      <c r="I6389" s="26" t="str">
        <f t="shared" si="2"/>
        <v/>
      </c>
      <c r="J6389" s="86">
        <f t="shared" si="3"/>
        <v>0</v>
      </c>
      <c r="R6389" s="26"/>
    </row>
    <row r="6390" spans="1:18" ht="15.75" customHeight="1">
      <c r="A6390" s="26"/>
      <c r="B6390" s="86"/>
      <c r="D6390" s="26"/>
      <c r="F6390" s="87" t="str">
        <f t="shared" si="0"/>
        <v/>
      </c>
      <c r="H6390" s="26" t="str">
        <f t="shared" si="1"/>
        <v/>
      </c>
      <c r="I6390" s="26" t="str">
        <f t="shared" si="2"/>
        <v/>
      </c>
      <c r="J6390" s="86">
        <f t="shared" si="3"/>
        <v>0</v>
      </c>
      <c r="R6390" s="26"/>
    </row>
    <row r="6391" spans="1:18" ht="15.75" customHeight="1">
      <c r="A6391" s="26"/>
      <c r="B6391" s="86"/>
      <c r="D6391" s="26"/>
      <c r="F6391" s="87" t="str">
        <f t="shared" si="0"/>
        <v/>
      </c>
      <c r="H6391" s="26" t="str">
        <f t="shared" si="1"/>
        <v/>
      </c>
      <c r="I6391" s="26" t="str">
        <f t="shared" si="2"/>
        <v/>
      </c>
      <c r="J6391" s="86">
        <f t="shared" si="3"/>
        <v>0</v>
      </c>
      <c r="R6391" s="26"/>
    </row>
    <row r="6392" spans="1:18" ht="15.75" customHeight="1">
      <c r="A6392" s="26"/>
      <c r="B6392" s="86"/>
      <c r="D6392" s="26"/>
      <c r="F6392" s="87" t="str">
        <f t="shared" si="0"/>
        <v/>
      </c>
      <c r="H6392" s="26" t="str">
        <f t="shared" si="1"/>
        <v/>
      </c>
      <c r="I6392" s="26" t="str">
        <f t="shared" si="2"/>
        <v/>
      </c>
      <c r="J6392" s="86">
        <f t="shared" si="3"/>
        <v>0</v>
      </c>
      <c r="R6392" s="26"/>
    </row>
    <row r="6393" spans="1:18" ht="15.75" customHeight="1">
      <c r="A6393" s="26"/>
      <c r="B6393" s="86"/>
      <c r="D6393" s="26"/>
      <c r="F6393" s="87" t="str">
        <f t="shared" si="0"/>
        <v/>
      </c>
      <c r="H6393" s="26" t="str">
        <f t="shared" si="1"/>
        <v/>
      </c>
      <c r="I6393" s="26" t="str">
        <f t="shared" si="2"/>
        <v/>
      </c>
      <c r="J6393" s="86">
        <f t="shared" si="3"/>
        <v>0</v>
      </c>
      <c r="R6393" s="26"/>
    </row>
    <row r="6394" spans="1:18" ht="15.75" customHeight="1">
      <c r="A6394" s="26"/>
      <c r="B6394" s="86"/>
      <c r="D6394" s="26"/>
      <c r="F6394" s="87" t="str">
        <f t="shared" si="0"/>
        <v/>
      </c>
      <c r="H6394" s="26" t="str">
        <f t="shared" si="1"/>
        <v/>
      </c>
      <c r="I6394" s="26" t="str">
        <f t="shared" si="2"/>
        <v/>
      </c>
      <c r="J6394" s="86">
        <f t="shared" si="3"/>
        <v>0</v>
      </c>
      <c r="R6394" s="26"/>
    </row>
    <row r="6395" spans="1:18" ht="15.75" customHeight="1">
      <c r="A6395" s="26"/>
      <c r="B6395" s="86"/>
      <c r="D6395" s="26"/>
      <c r="F6395" s="87" t="str">
        <f t="shared" si="0"/>
        <v/>
      </c>
      <c r="H6395" s="26" t="str">
        <f t="shared" si="1"/>
        <v/>
      </c>
      <c r="I6395" s="26" t="str">
        <f t="shared" si="2"/>
        <v/>
      </c>
      <c r="J6395" s="86">
        <f t="shared" si="3"/>
        <v>0</v>
      </c>
      <c r="R6395" s="26"/>
    </row>
    <row r="6396" spans="1:18" ht="15.75" customHeight="1">
      <c r="A6396" s="26"/>
      <c r="B6396" s="86"/>
      <c r="D6396" s="26"/>
      <c r="F6396" s="87" t="str">
        <f t="shared" si="0"/>
        <v/>
      </c>
      <c r="H6396" s="26" t="str">
        <f t="shared" si="1"/>
        <v/>
      </c>
      <c r="I6396" s="26" t="str">
        <f t="shared" si="2"/>
        <v/>
      </c>
      <c r="J6396" s="86">
        <f t="shared" si="3"/>
        <v>0</v>
      </c>
      <c r="R6396" s="26"/>
    </row>
    <row r="6397" spans="1:18" ht="15.75" customHeight="1">
      <c r="A6397" s="26"/>
      <c r="B6397" s="86"/>
      <c r="D6397" s="26"/>
      <c r="F6397" s="87" t="str">
        <f t="shared" si="0"/>
        <v/>
      </c>
      <c r="H6397" s="26" t="str">
        <f t="shared" si="1"/>
        <v/>
      </c>
      <c r="I6397" s="26" t="str">
        <f t="shared" si="2"/>
        <v/>
      </c>
      <c r="J6397" s="86">
        <f t="shared" si="3"/>
        <v>0</v>
      </c>
      <c r="R6397" s="26"/>
    </row>
    <row r="6398" spans="1:18" ht="15.75" customHeight="1">
      <c r="A6398" s="26"/>
      <c r="B6398" s="86"/>
      <c r="D6398" s="26"/>
      <c r="F6398" s="87" t="str">
        <f t="shared" si="0"/>
        <v/>
      </c>
      <c r="H6398" s="26" t="str">
        <f t="shared" si="1"/>
        <v/>
      </c>
      <c r="I6398" s="26" t="str">
        <f t="shared" si="2"/>
        <v/>
      </c>
      <c r="J6398" s="86">
        <f t="shared" si="3"/>
        <v>0</v>
      </c>
      <c r="R6398" s="26"/>
    </row>
    <row r="6399" spans="1:18" ht="15.75" customHeight="1">
      <c r="A6399" s="26"/>
      <c r="B6399" s="86"/>
      <c r="D6399" s="26"/>
      <c r="F6399" s="87" t="str">
        <f t="shared" si="0"/>
        <v/>
      </c>
      <c r="H6399" s="26" t="str">
        <f t="shared" si="1"/>
        <v/>
      </c>
      <c r="I6399" s="26" t="str">
        <f t="shared" si="2"/>
        <v/>
      </c>
      <c r="J6399" s="86">
        <f t="shared" si="3"/>
        <v>0</v>
      </c>
      <c r="R6399" s="26"/>
    </row>
    <row r="6400" spans="1:18" ht="15.75" customHeight="1">
      <c r="A6400" s="26"/>
      <c r="B6400" s="86"/>
      <c r="D6400" s="26"/>
      <c r="F6400" s="87" t="str">
        <f t="shared" si="0"/>
        <v/>
      </c>
      <c r="H6400" s="26" t="str">
        <f t="shared" si="1"/>
        <v/>
      </c>
      <c r="I6400" s="26" t="str">
        <f t="shared" si="2"/>
        <v/>
      </c>
      <c r="J6400" s="86">
        <f t="shared" si="3"/>
        <v>0</v>
      </c>
      <c r="R6400" s="26"/>
    </row>
    <row r="6401" spans="1:18" ht="15.75" customHeight="1">
      <c r="A6401" s="26"/>
      <c r="B6401" s="86"/>
      <c r="D6401" s="26"/>
      <c r="F6401" s="87" t="str">
        <f t="shared" si="0"/>
        <v/>
      </c>
      <c r="H6401" s="26" t="str">
        <f t="shared" si="1"/>
        <v/>
      </c>
      <c r="I6401" s="26" t="str">
        <f t="shared" si="2"/>
        <v/>
      </c>
      <c r="J6401" s="86">
        <f t="shared" si="3"/>
        <v>0</v>
      </c>
      <c r="R6401" s="26"/>
    </row>
    <row r="6402" spans="1:18" ht="15.75" customHeight="1">
      <c r="A6402" s="26"/>
      <c r="B6402" s="86"/>
      <c r="D6402" s="26"/>
      <c r="F6402" s="87" t="str">
        <f t="shared" si="0"/>
        <v/>
      </c>
      <c r="H6402" s="26" t="str">
        <f t="shared" si="1"/>
        <v/>
      </c>
      <c r="I6402" s="26" t="str">
        <f t="shared" si="2"/>
        <v/>
      </c>
      <c r="J6402" s="86">
        <f t="shared" si="3"/>
        <v>0</v>
      </c>
      <c r="R6402" s="26"/>
    </row>
    <row r="6403" spans="1:18" ht="15.75" customHeight="1">
      <c r="A6403" s="26"/>
      <c r="B6403" s="86"/>
      <c r="D6403" s="26"/>
      <c r="F6403" s="87" t="str">
        <f t="shared" si="0"/>
        <v/>
      </c>
      <c r="H6403" s="26" t="str">
        <f t="shared" si="1"/>
        <v/>
      </c>
      <c r="I6403" s="26" t="str">
        <f t="shared" si="2"/>
        <v/>
      </c>
      <c r="J6403" s="86">
        <f t="shared" si="3"/>
        <v>0</v>
      </c>
      <c r="R6403" s="26"/>
    </row>
    <row r="6404" spans="1:18" ht="15.75" customHeight="1">
      <c r="A6404" s="26"/>
      <c r="B6404" s="86"/>
      <c r="D6404" s="26"/>
      <c r="F6404" s="87" t="str">
        <f t="shared" si="0"/>
        <v/>
      </c>
      <c r="H6404" s="26" t="str">
        <f t="shared" si="1"/>
        <v/>
      </c>
      <c r="I6404" s="26" t="str">
        <f t="shared" si="2"/>
        <v/>
      </c>
      <c r="J6404" s="86">
        <f t="shared" si="3"/>
        <v>0</v>
      </c>
      <c r="R6404" s="26"/>
    </row>
    <row r="6405" spans="1:18" ht="15.75" customHeight="1">
      <c r="A6405" s="26"/>
      <c r="B6405" s="86"/>
      <c r="D6405" s="26"/>
      <c r="F6405" s="87" t="str">
        <f t="shared" si="0"/>
        <v/>
      </c>
      <c r="H6405" s="26" t="str">
        <f t="shared" si="1"/>
        <v/>
      </c>
      <c r="I6405" s="26" t="str">
        <f t="shared" si="2"/>
        <v/>
      </c>
      <c r="J6405" s="86">
        <f t="shared" si="3"/>
        <v>0</v>
      </c>
      <c r="R6405" s="26"/>
    </row>
    <row r="6406" spans="1:18" ht="15.75" customHeight="1">
      <c r="A6406" s="26"/>
      <c r="B6406" s="86"/>
      <c r="D6406" s="26"/>
      <c r="F6406" s="87" t="str">
        <f t="shared" si="0"/>
        <v/>
      </c>
      <c r="H6406" s="26" t="str">
        <f t="shared" si="1"/>
        <v/>
      </c>
      <c r="I6406" s="26" t="str">
        <f t="shared" si="2"/>
        <v/>
      </c>
      <c r="J6406" s="86">
        <f t="shared" si="3"/>
        <v>0</v>
      </c>
      <c r="R6406" s="26"/>
    </row>
    <row r="6407" spans="1:18" ht="15.75" customHeight="1">
      <c r="A6407" s="26"/>
      <c r="B6407" s="86"/>
      <c r="D6407" s="26"/>
      <c r="F6407" s="87" t="str">
        <f t="shared" si="0"/>
        <v/>
      </c>
      <c r="H6407" s="26" t="str">
        <f t="shared" si="1"/>
        <v/>
      </c>
      <c r="I6407" s="26" t="str">
        <f t="shared" si="2"/>
        <v/>
      </c>
      <c r="J6407" s="86">
        <f t="shared" si="3"/>
        <v>0</v>
      </c>
      <c r="R6407" s="26"/>
    </row>
    <row r="6408" spans="1:18" ht="15.75" customHeight="1">
      <c r="A6408" s="26"/>
      <c r="B6408" s="86"/>
      <c r="D6408" s="26"/>
      <c r="F6408" s="87" t="str">
        <f t="shared" si="0"/>
        <v/>
      </c>
      <c r="H6408" s="26" t="str">
        <f t="shared" si="1"/>
        <v/>
      </c>
      <c r="I6408" s="26" t="str">
        <f t="shared" si="2"/>
        <v/>
      </c>
      <c r="J6408" s="86">
        <f t="shared" si="3"/>
        <v>0</v>
      </c>
      <c r="R6408" s="26"/>
    </row>
    <row r="6409" spans="1:18" ht="15.75" customHeight="1">
      <c r="A6409" s="26"/>
      <c r="B6409" s="86"/>
      <c r="D6409" s="26"/>
      <c r="F6409" s="87" t="str">
        <f t="shared" si="0"/>
        <v/>
      </c>
      <c r="H6409" s="26" t="str">
        <f t="shared" si="1"/>
        <v/>
      </c>
      <c r="I6409" s="26" t="str">
        <f t="shared" si="2"/>
        <v/>
      </c>
      <c r="J6409" s="86">
        <f t="shared" si="3"/>
        <v>0</v>
      </c>
      <c r="R6409" s="26"/>
    </row>
    <row r="6410" spans="1:18" ht="15.75" customHeight="1">
      <c r="A6410" s="26"/>
      <c r="B6410" s="86"/>
      <c r="D6410" s="26"/>
      <c r="F6410" s="87" t="str">
        <f t="shared" si="0"/>
        <v/>
      </c>
      <c r="H6410" s="26" t="str">
        <f t="shared" si="1"/>
        <v/>
      </c>
      <c r="I6410" s="26" t="str">
        <f t="shared" si="2"/>
        <v/>
      </c>
      <c r="J6410" s="86">
        <f t="shared" si="3"/>
        <v>0</v>
      </c>
      <c r="R6410" s="26"/>
    </row>
    <row r="6411" spans="1:18" ht="15.75" customHeight="1">
      <c r="A6411" s="26"/>
      <c r="B6411" s="86"/>
      <c r="D6411" s="26"/>
      <c r="F6411" s="87" t="str">
        <f t="shared" si="0"/>
        <v/>
      </c>
      <c r="H6411" s="26" t="str">
        <f t="shared" si="1"/>
        <v/>
      </c>
      <c r="I6411" s="26" t="str">
        <f t="shared" si="2"/>
        <v/>
      </c>
      <c r="J6411" s="86">
        <f t="shared" si="3"/>
        <v>0</v>
      </c>
      <c r="R6411" s="26"/>
    </row>
    <row r="6412" spans="1:18" ht="15.75" customHeight="1">
      <c r="A6412" s="26"/>
      <c r="B6412" s="86"/>
      <c r="D6412" s="26"/>
      <c r="F6412" s="87" t="str">
        <f t="shared" si="0"/>
        <v/>
      </c>
      <c r="H6412" s="26" t="str">
        <f t="shared" si="1"/>
        <v/>
      </c>
      <c r="I6412" s="26" t="str">
        <f t="shared" si="2"/>
        <v/>
      </c>
      <c r="J6412" s="86">
        <f t="shared" si="3"/>
        <v>0</v>
      </c>
      <c r="R6412" s="26"/>
    </row>
    <row r="6413" spans="1:18" ht="15.75" customHeight="1">
      <c r="A6413" s="26"/>
      <c r="B6413" s="86"/>
      <c r="D6413" s="26"/>
      <c r="F6413" s="87" t="str">
        <f t="shared" si="0"/>
        <v/>
      </c>
      <c r="H6413" s="26" t="str">
        <f t="shared" si="1"/>
        <v/>
      </c>
      <c r="I6413" s="26" t="str">
        <f t="shared" si="2"/>
        <v/>
      </c>
      <c r="J6413" s="86">
        <f t="shared" si="3"/>
        <v>0</v>
      </c>
      <c r="R6413" s="26"/>
    </row>
    <row r="6414" spans="1:18" ht="15.75" customHeight="1">
      <c r="A6414" s="26"/>
      <c r="B6414" s="86"/>
      <c r="D6414" s="26"/>
      <c r="F6414" s="87" t="str">
        <f t="shared" si="0"/>
        <v/>
      </c>
      <c r="H6414" s="26" t="str">
        <f t="shared" si="1"/>
        <v/>
      </c>
      <c r="I6414" s="26" t="str">
        <f t="shared" si="2"/>
        <v/>
      </c>
      <c r="J6414" s="86">
        <f t="shared" si="3"/>
        <v>0</v>
      </c>
      <c r="R6414" s="26"/>
    </row>
    <row r="6415" spans="1:18" ht="15.75" customHeight="1">
      <c r="A6415" s="26"/>
      <c r="B6415" s="86"/>
      <c r="D6415" s="26"/>
      <c r="F6415" s="87" t="str">
        <f t="shared" si="0"/>
        <v/>
      </c>
      <c r="H6415" s="26" t="str">
        <f t="shared" si="1"/>
        <v/>
      </c>
      <c r="I6415" s="26" t="str">
        <f t="shared" si="2"/>
        <v/>
      </c>
      <c r="J6415" s="86">
        <f t="shared" si="3"/>
        <v>0</v>
      </c>
      <c r="R6415" s="26"/>
    </row>
    <row r="6416" spans="1:18" ht="15.75" customHeight="1">
      <c r="A6416" s="26"/>
      <c r="B6416" s="86"/>
      <c r="D6416" s="26"/>
      <c r="F6416" s="87" t="str">
        <f t="shared" si="0"/>
        <v/>
      </c>
      <c r="H6416" s="26" t="str">
        <f t="shared" si="1"/>
        <v/>
      </c>
      <c r="I6416" s="26" t="str">
        <f t="shared" si="2"/>
        <v/>
      </c>
      <c r="J6416" s="86">
        <f t="shared" si="3"/>
        <v>0</v>
      </c>
      <c r="R6416" s="26"/>
    </row>
    <row r="6417" spans="1:18" ht="15.75" customHeight="1">
      <c r="A6417" s="26"/>
      <c r="B6417" s="86"/>
      <c r="D6417" s="26"/>
      <c r="F6417" s="87" t="str">
        <f t="shared" si="0"/>
        <v/>
      </c>
      <c r="H6417" s="26" t="str">
        <f t="shared" si="1"/>
        <v/>
      </c>
      <c r="I6417" s="26" t="str">
        <f t="shared" si="2"/>
        <v/>
      </c>
      <c r="J6417" s="86">
        <f t="shared" si="3"/>
        <v>0</v>
      </c>
      <c r="R6417" s="26"/>
    </row>
    <row r="6418" spans="1:18" ht="15.75" customHeight="1">
      <c r="A6418" s="26"/>
      <c r="B6418" s="86"/>
      <c r="D6418" s="26"/>
      <c r="F6418" s="87" t="str">
        <f t="shared" si="0"/>
        <v/>
      </c>
      <c r="H6418" s="26" t="str">
        <f t="shared" si="1"/>
        <v/>
      </c>
      <c r="I6418" s="26" t="str">
        <f t="shared" si="2"/>
        <v/>
      </c>
      <c r="J6418" s="86">
        <f t="shared" si="3"/>
        <v>0</v>
      </c>
      <c r="R6418" s="26"/>
    </row>
    <row r="6419" spans="1:18" ht="15.75" customHeight="1">
      <c r="A6419" s="26"/>
      <c r="B6419" s="86"/>
      <c r="D6419" s="26"/>
      <c r="F6419" s="87" t="str">
        <f t="shared" si="0"/>
        <v/>
      </c>
      <c r="H6419" s="26" t="str">
        <f t="shared" si="1"/>
        <v/>
      </c>
      <c r="I6419" s="26" t="str">
        <f t="shared" si="2"/>
        <v/>
      </c>
      <c r="J6419" s="86">
        <f t="shared" si="3"/>
        <v>0</v>
      </c>
      <c r="R6419" s="26"/>
    </row>
    <row r="6420" spans="1:18" ht="15.75" customHeight="1">
      <c r="A6420" s="26"/>
      <c r="B6420" s="86"/>
      <c r="D6420" s="26"/>
      <c r="F6420" s="87" t="str">
        <f t="shared" si="0"/>
        <v/>
      </c>
      <c r="H6420" s="26" t="str">
        <f t="shared" si="1"/>
        <v/>
      </c>
      <c r="I6420" s="26" t="str">
        <f t="shared" si="2"/>
        <v/>
      </c>
      <c r="J6420" s="86">
        <f t="shared" si="3"/>
        <v>0</v>
      </c>
      <c r="R6420" s="26"/>
    </row>
    <row r="6421" spans="1:18" ht="15.75" customHeight="1">
      <c r="A6421" s="26"/>
      <c r="B6421" s="86"/>
      <c r="D6421" s="26"/>
      <c r="F6421" s="87" t="str">
        <f t="shared" si="0"/>
        <v/>
      </c>
      <c r="H6421" s="26" t="str">
        <f t="shared" si="1"/>
        <v/>
      </c>
      <c r="I6421" s="26" t="str">
        <f t="shared" si="2"/>
        <v/>
      </c>
      <c r="J6421" s="86">
        <f t="shared" si="3"/>
        <v>0</v>
      </c>
      <c r="R6421" s="26"/>
    </row>
    <row r="6422" spans="1:18" ht="15.75" customHeight="1">
      <c r="A6422" s="26"/>
      <c r="B6422" s="86"/>
      <c r="D6422" s="26"/>
      <c r="F6422" s="87" t="str">
        <f t="shared" si="0"/>
        <v/>
      </c>
      <c r="H6422" s="26" t="str">
        <f t="shared" si="1"/>
        <v/>
      </c>
      <c r="I6422" s="26" t="str">
        <f t="shared" si="2"/>
        <v/>
      </c>
      <c r="J6422" s="86">
        <f t="shared" si="3"/>
        <v>0</v>
      </c>
      <c r="R6422" s="26"/>
    </row>
    <row r="6423" spans="1:18" ht="15.75" customHeight="1">
      <c r="A6423" s="26"/>
      <c r="B6423" s="86"/>
      <c r="D6423" s="26"/>
      <c r="F6423" s="87" t="str">
        <f t="shared" si="0"/>
        <v/>
      </c>
      <c r="H6423" s="26" t="str">
        <f t="shared" si="1"/>
        <v/>
      </c>
      <c r="I6423" s="26" t="str">
        <f t="shared" si="2"/>
        <v/>
      </c>
      <c r="J6423" s="86">
        <f t="shared" si="3"/>
        <v>0</v>
      </c>
      <c r="R6423" s="26"/>
    </row>
    <row r="6424" spans="1:18" ht="15.75" customHeight="1">
      <c r="A6424" s="26"/>
      <c r="B6424" s="86"/>
      <c r="D6424" s="26"/>
      <c r="F6424" s="87" t="str">
        <f t="shared" si="0"/>
        <v/>
      </c>
      <c r="H6424" s="26" t="str">
        <f t="shared" si="1"/>
        <v/>
      </c>
      <c r="I6424" s="26" t="str">
        <f t="shared" si="2"/>
        <v/>
      </c>
      <c r="J6424" s="86">
        <f t="shared" si="3"/>
        <v>0</v>
      </c>
      <c r="R6424" s="26"/>
    </row>
    <row r="6425" spans="1:18" ht="15.75" customHeight="1">
      <c r="A6425" s="26"/>
      <c r="B6425" s="86"/>
      <c r="D6425" s="26"/>
      <c r="F6425" s="87" t="str">
        <f t="shared" si="0"/>
        <v/>
      </c>
      <c r="H6425" s="26" t="str">
        <f t="shared" si="1"/>
        <v/>
      </c>
      <c r="I6425" s="26" t="str">
        <f t="shared" si="2"/>
        <v/>
      </c>
      <c r="J6425" s="86">
        <f t="shared" si="3"/>
        <v>0</v>
      </c>
      <c r="R6425" s="26"/>
    </row>
    <row r="6426" spans="1:18" ht="15.75" customHeight="1">
      <c r="A6426" s="26"/>
      <c r="B6426" s="86"/>
      <c r="D6426" s="26"/>
      <c r="F6426" s="87" t="str">
        <f t="shared" si="0"/>
        <v/>
      </c>
      <c r="H6426" s="26" t="str">
        <f t="shared" si="1"/>
        <v/>
      </c>
      <c r="I6426" s="26" t="str">
        <f t="shared" si="2"/>
        <v/>
      </c>
      <c r="J6426" s="86">
        <f t="shared" si="3"/>
        <v>0</v>
      </c>
      <c r="R6426" s="26"/>
    </row>
    <row r="6427" spans="1:18" ht="15.75" customHeight="1">
      <c r="A6427" s="26"/>
      <c r="B6427" s="86"/>
      <c r="D6427" s="26"/>
      <c r="F6427" s="87" t="str">
        <f t="shared" si="0"/>
        <v/>
      </c>
      <c r="H6427" s="26" t="str">
        <f t="shared" si="1"/>
        <v/>
      </c>
      <c r="I6427" s="26" t="str">
        <f t="shared" si="2"/>
        <v/>
      </c>
      <c r="J6427" s="86">
        <f t="shared" si="3"/>
        <v>0</v>
      </c>
      <c r="R6427" s="26"/>
    </row>
    <row r="6428" spans="1:18" ht="15.75" customHeight="1">
      <c r="A6428" s="26"/>
      <c r="B6428" s="86"/>
      <c r="D6428" s="26"/>
      <c r="F6428" s="87" t="str">
        <f t="shared" si="0"/>
        <v/>
      </c>
      <c r="H6428" s="26" t="str">
        <f t="shared" si="1"/>
        <v/>
      </c>
      <c r="I6428" s="26" t="str">
        <f t="shared" si="2"/>
        <v/>
      </c>
      <c r="J6428" s="86">
        <f t="shared" si="3"/>
        <v>0</v>
      </c>
      <c r="R6428" s="26"/>
    </row>
    <row r="6429" spans="1:18" ht="15.75" customHeight="1">
      <c r="A6429" s="26"/>
      <c r="B6429" s="86"/>
      <c r="D6429" s="26"/>
      <c r="F6429" s="87" t="str">
        <f t="shared" si="0"/>
        <v/>
      </c>
      <c r="H6429" s="26" t="str">
        <f t="shared" si="1"/>
        <v/>
      </c>
      <c r="I6429" s="26" t="str">
        <f t="shared" si="2"/>
        <v/>
      </c>
      <c r="J6429" s="86">
        <f t="shared" si="3"/>
        <v>0</v>
      </c>
      <c r="R6429" s="26"/>
    </row>
    <row r="6430" spans="1:18" ht="15.75" customHeight="1">
      <c r="A6430" s="26"/>
      <c r="B6430" s="86"/>
      <c r="D6430" s="26"/>
      <c r="F6430" s="87" t="str">
        <f t="shared" si="0"/>
        <v/>
      </c>
      <c r="H6430" s="26" t="str">
        <f t="shared" si="1"/>
        <v/>
      </c>
      <c r="I6430" s="26" t="str">
        <f t="shared" si="2"/>
        <v/>
      </c>
      <c r="J6430" s="86">
        <f t="shared" si="3"/>
        <v>0</v>
      </c>
      <c r="R6430" s="26"/>
    </row>
    <row r="6431" spans="1:18" ht="15.75" customHeight="1">
      <c r="A6431" s="26"/>
      <c r="B6431" s="86"/>
      <c r="D6431" s="26"/>
      <c r="F6431" s="87" t="str">
        <f t="shared" si="0"/>
        <v/>
      </c>
      <c r="H6431" s="26" t="str">
        <f t="shared" si="1"/>
        <v/>
      </c>
      <c r="I6431" s="26" t="str">
        <f t="shared" si="2"/>
        <v/>
      </c>
      <c r="J6431" s="86">
        <f t="shared" si="3"/>
        <v>0</v>
      </c>
      <c r="R6431" s="26"/>
    </row>
    <row r="6432" spans="1:18" ht="15.75" customHeight="1">
      <c r="A6432" s="26"/>
      <c r="B6432" s="86"/>
      <c r="D6432" s="26"/>
      <c r="F6432" s="87" t="str">
        <f t="shared" si="0"/>
        <v/>
      </c>
      <c r="H6432" s="26" t="str">
        <f t="shared" si="1"/>
        <v/>
      </c>
      <c r="I6432" s="26" t="str">
        <f t="shared" si="2"/>
        <v/>
      </c>
      <c r="J6432" s="86">
        <f t="shared" si="3"/>
        <v>0</v>
      </c>
      <c r="R6432" s="26"/>
    </row>
    <row r="6433" spans="1:18" ht="15.75" customHeight="1">
      <c r="A6433" s="26"/>
      <c r="B6433" s="86"/>
      <c r="D6433" s="26"/>
      <c r="F6433" s="87" t="str">
        <f t="shared" si="0"/>
        <v/>
      </c>
      <c r="H6433" s="26" t="str">
        <f t="shared" si="1"/>
        <v/>
      </c>
      <c r="I6433" s="26" t="str">
        <f t="shared" si="2"/>
        <v/>
      </c>
      <c r="J6433" s="86">
        <f t="shared" si="3"/>
        <v>0</v>
      </c>
      <c r="R6433" s="26"/>
    </row>
    <row r="6434" spans="1:18" ht="15.75" customHeight="1">
      <c r="A6434" s="26"/>
      <c r="B6434" s="86"/>
      <c r="D6434" s="26"/>
      <c r="F6434" s="87" t="str">
        <f t="shared" si="0"/>
        <v/>
      </c>
      <c r="H6434" s="26" t="str">
        <f t="shared" si="1"/>
        <v/>
      </c>
      <c r="I6434" s="26" t="str">
        <f t="shared" si="2"/>
        <v/>
      </c>
      <c r="J6434" s="86">
        <f t="shared" si="3"/>
        <v>0</v>
      </c>
      <c r="R6434" s="26"/>
    </row>
    <row r="6435" spans="1:18" ht="15.75" customHeight="1">
      <c r="A6435" s="26"/>
      <c r="B6435" s="86"/>
      <c r="D6435" s="26"/>
      <c r="F6435" s="87" t="str">
        <f t="shared" si="0"/>
        <v/>
      </c>
      <c r="H6435" s="26" t="str">
        <f t="shared" si="1"/>
        <v/>
      </c>
      <c r="I6435" s="26" t="str">
        <f t="shared" si="2"/>
        <v/>
      </c>
      <c r="J6435" s="86">
        <f t="shared" si="3"/>
        <v>0</v>
      </c>
      <c r="R6435" s="26"/>
    </row>
    <row r="6436" spans="1:18" ht="15.75" customHeight="1">
      <c r="A6436" s="26"/>
      <c r="B6436" s="86"/>
      <c r="D6436" s="26"/>
      <c r="F6436" s="87" t="str">
        <f t="shared" si="0"/>
        <v/>
      </c>
      <c r="H6436" s="26" t="str">
        <f t="shared" si="1"/>
        <v/>
      </c>
      <c r="I6436" s="26" t="str">
        <f t="shared" si="2"/>
        <v/>
      </c>
      <c r="J6436" s="86">
        <f t="shared" si="3"/>
        <v>0</v>
      </c>
      <c r="R6436" s="26"/>
    </row>
    <row r="6437" spans="1:18" ht="15.75" customHeight="1">
      <c r="A6437" s="26"/>
      <c r="B6437" s="86"/>
      <c r="D6437" s="26"/>
      <c r="F6437" s="87" t="str">
        <f t="shared" si="0"/>
        <v/>
      </c>
      <c r="H6437" s="26" t="str">
        <f t="shared" si="1"/>
        <v/>
      </c>
      <c r="I6437" s="26" t="str">
        <f t="shared" si="2"/>
        <v/>
      </c>
      <c r="J6437" s="86">
        <f t="shared" si="3"/>
        <v>0</v>
      </c>
      <c r="R6437" s="26"/>
    </row>
    <row r="6438" spans="1:18" ht="15.75" customHeight="1">
      <c r="A6438" s="26"/>
      <c r="B6438" s="86"/>
      <c r="D6438" s="26"/>
      <c r="F6438" s="87" t="str">
        <f t="shared" si="0"/>
        <v/>
      </c>
      <c r="H6438" s="26" t="str">
        <f t="shared" si="1"/>
        <v/>
      </c>
      <c r="I6438" s="26" t="str">
        <f t="shared" si="2"/>
        <v/>
      </c>
      <c r="J6438" s="86">
        <f t="shared" si="3"/>
        <v>0</v>
      </c>
      <c r="R6438" s="26"/>
    </row>
    <row r="6439" spans="1:18" ht="15.75" customHeight="1">
      <c r="A6439" s="26"/>
      <c r="B6439" s="86"/>
      <c r="D6439" s="26"/>
      <c r="F6439" s="87" t="str">
        <f t="shared" si="0"/>
        <v/>
      </c>
      <c r="H6439" s="26" t="str">
        <f t="shared" si="1"/>
        <v/>
      </c>
      <c r="I6439" s="26" t="str">
        <f t="shared" si="2"/>
        <v/>
      </c>
      <c r="J6439" s="86">
        <f t="shared" si="3"/>
        <v>0</v>
      </c>
      <c r="R6439" s="26"/>
    </row>
    <row r="6440" spans="1:18" ht="15.75" customHeight="1">
      <c r="A6440" s="26"/>
      <c r="B6440" s="86"/>
      <c r="D6440" s="26"/>
      <c r="F6440" s="87" t="str">
        <f t="shared" si="0"/>
        <v/>
      </c>
      <c r="H6440" s="26" t="str">
        <f t="shared" si="1"/>
        <v/>
      </c>
      <c r="I6440" s="26" t="str">
        <f t="shared" si="2"/>
        <v/>
      </c>
      <c r="J6440" s="86">
        <f t="shared" si="3"/>
        <v>0</v>
      </c>
      <c r="R6440" s="26"/>
    </row>
    <row r="6441" spans="1:18" ht="15.75" customHeight="1">
      <c r="A6441" s="26"/>
      <c r="B6441" s="86"/>
      <c r="D6441" s="26"/>
      <c r="F6441" s="87" t="str">
        <f t="shared" si="0"/>
        <v/>
      </c>
      <c r="H6441" s="26" t="str">
        <f t="shared" si="1"/>
        <v/>
      </c>
      <c r="I6441" s="26" t="str">
        <f t="shared" si="2"/>
        <v/>
      </c>
      <c r="J6441" s="86">
        <f t="shared" si="3"/>
        <v>0</v>
      </c>
      <c r="R6441" s="26"/>
    </row>
    <row r="6442" spans="1:18" ht="15.75" customHeight="1">
      <c r="A6442" s="26"/>
      <c r="B6442" s="86"/>
      <c r="D6442" s="26"/>
      <c r="F6442" s="87" t="str">
        <f t="shared" si="0"/>
        <v/>
      </c>
      <c r="H6442" s="26" t="str">
        <f t="shared" si="1"/>
        <v/>
      </c>
      <c r="I6442" s="26" t="str">
        <f t="shared" si="2"/>
        <v/>
      </c>
      <c r="J6442" s="86">
        <f t="shared" si="3"/>
        <v>0</v>
      </c>
      <c r="R6442" s="26"/>
    </row>
    <row r="6443" spans="1:18" ht="15.75" customHeight="1">
      <c r="A6443" s="26"/>
      <c r="B6443" s="86"/>
      <c r="D6443" s="26"/>
      <c r="F6443" s="87" t="str">
        <f t="shared" si="0"/>
        <v/>
      </c>
      <c r="H6443" s="26" t="str">
        <f t="shared" si="1"/>
        <v/>
      </c>
      <c r="I6443" s="26" t="str">
        <f t="shared" si="2"/>
        <v/>
      </c>
      <c r="J6443" s="86">
        <f t="shared" si="3"/>
        <v>0</v>
      </c>
      <c r="R6443" s="26"/>
    </row>
    <row r="6444" spans="1:18" ht="15.75" customHeight="1">
      <c r="A6444" s="26"/>
      <c r="B6444" s="86"/>
      <c r="D6444" s="26"/>
      <c r="F6444" s="87" t="str">
        <f t="shared" si="0"/>
        <v/>
      </c>
      <c r="H6444" s="26" t="str">
        <f t="shared" si="1"/>
        <v/>
      </c>
      <c r="I6444" s="26" t="str">
        <f t="shared" si="2"/>
        <v/>
      </c>
      <c r="J6444" s="86">
        <f t="shared" si="3"/>
        <v>0</v>
      </c>
      <c r="R6444" s="26"/>
    </row>
    <row r="6445" spans="1:18" ht="15.75" customHeight="1">
      <c r="A6445" s="26"/>
      <c r="B6445" s="86"/>
      <c r="D6445" s="26"/>
      <c r="F6445" s="87" t="str">
        <f t="shared" si="0"/>
        <v/>
      </c>
      <c r="H6445" s="26" t="str">
        <f t="shared" si="1"/>
        <v/>
      </c>
      <c r="I6445" s="26" t="str">
        <f t="shared" si="2"/>
        <v/>
      </c>
      <c r="J6445" s="86">
        <f t="shared" si="3"/>
        <v>0</v>
      </c>
      <c r="R6445" s="26"/>
    </row>
    <row r="6446" spans="1:18" ht="15.75" customHeight="1">
      <c r="A6446" s="26"/>
      <c r="B6446" s="86"/>
      <c r="D6446" s="26"/>
      <c r="F6446" s="87" t="str">
        <f t="shared" si="0"/>
        <v/>
      </c>
      <c r="H6446" s="26" t="str">
        <f t="shared" si="1"/>
        <v/>
      </c>
      <c r="I6446" s="26" t="str">
        <f t="shared" si="2"/>
        <v/>
      </c>
      <c r="J6446" s="86">
        <f t="shared" si="3"/>
        <v>0</v>
      </c>
      <c r="R6446" s="26"/>
    </row>
    <row r="6447" spans="1:18" ht="15.75" customHeight="1">
      <c r="A6447" s="26"/>
      <c r="B6447" s="86"/>
      <c r="D6447" s="26"/>
      <c r="F6447" s="87" t="str">
        <f t="shared" si="0"/>
        <v/>
      </c>
      <c r="H6447" s="26" t="str">
        <f t="shared" si="1"/>
        <v/>
      </c>
      <c r="I6447" s="26" t="str">
        <f t="shared" si="2"/>
        <v/>
      </c>
      <c r="J6447" s="86">
        <f t="shared" si="3"/>
        <v>0</v>
      </c>
      <c r="R6447" s="26"/>
    </row>
    <row r="6448" spans="1:18" ht="15.75" customHeight="1">
      <c r="A6448" s="26"/>
      <c r="B6448" s="86"/>
      <c r="D6448" s="26"/>
      <c r="F6448" s="87" t="str">
        <f t="shared" si="0"/>
        <v/>
      </c>
      <c r="H6448" s="26" t="str">
        <f t="shared" si="1"/>
        <v/>
      </c>
      <c r="I6448" s="26" t="str">
        <f t="shared" si="2"/>
        <v/>
      </c>
      <c r="J6448" s="86">
        <f t="shared" si="3"/>
        <v>0</v>
      </c>
      <c r="R6448" s="26"/>
    </row>
    <row r="6449" spans="1:18" ht="15.75" customHeight="1">
      <c r="A6449" s="26"/>
      <c r="B6449" s="86"/>
      <c r="D6449" s="26"/>
      <c r="F6449" s="87" t="str">
        <f t="shared" si="0"/>
        <v/>
      </c>
      <c r="H6449" s="26" t="str">
        <f t="shared" si="1"/>
        <v/>
      </c>
      <c r="I6449" s="26" t="str">
        <f t="shared" si="2"/>
        <v/>
      </c>
      <c r="J6449" s="86">
        <f t="shared" si="3"/>
        <v>0</v>
      </c>
      <c r="R6449" s="26"/>
    </row>
    <row r="6450" spans="1:18" ht="15.75" customHeight="1">
      <c r="A6450" s="26"/>
      <c r="B6450" s="86"/>
      <c r="D6450" s="26"/>
      <c r="F6450" s="87" t="str">
        <f t="shared" si="0"/>
        <v/>
      </c>
      <c r="H6450" s="26" t="str">
        <f t="shared" si="1"/>
        <v/>
      </c>
      <c r="I6450" s="26" t="str">
        <f t="shared" si="2"/>
        <v/>
      </c>
      <c r="J6450" s="86">
        <f t="shared" si="3"/>
        <v>0</v>
      </c>
      <c r="R6450" s="26"/>
    </row>
    <row r="6451" spans="1:18" ht="15.75" customHeight="1">
      <c r="A6451" s="26"/>
      <c r="B6451" s="86"/>
      <c r="D6451" s="26"/>
      <c r="F6451" s="87" t="str">
        <f t="shared" si="0"/>
        <v/>
      </c>
      <c r="H6451" s="26" t="str">
        <f t="shared" si="1"/>
        <v/>
      </c>
      <c r="I6451" s="26" t="str">
        <f t="shared" si="2"/>
        <v/>
      </c>
      <c r="J6451" s="86">
        <f t="shared" si="3"/>
        <v>0</v>
      </c>
      <c r="R6451" s="26"/>
    </row>
    <row r="6452" spans="1:18" ht="15.75" customHeight="1">
      <c r="A6452" s="26"/>
      <c r="B6452" s="86"/>
      <c r="D6452" s="26"/>
      <c r="F6452" s="87" t="str">
        <f t="shared" si="0"/>
        <v/>
      </c>
      <c r="H6452" s="26" t="str">
        <f t="shared" si="1"/>
        <v/>
      </c>
      <c r="I6452" s="26" t="str">
        <f t="shared" si="2"/>
        <v/>
      </c>
      <c r="J6452" s="86">
        <f t="shared" si="3"/>
        <v>0</v>
      </c>
      <c r="R6452" s="26"/>
    </row>
    <row r="6453" spans="1:18" ht="15.75" customHeight="1">
      <c r="A6453" s="26"/>
      <c r="B6453" s="86"/>
      <c r="D6453" s="26"/>
      <c r="F6453" s="87" t="str">
        <f t="shared" si="0"/>
        <v/>
      </c>
      <c r="H6453" s="26" t="str">
        <f t="shared" si="1"/>
        <v/>
      </c>
      <c r="I6453" s="26" t="str">
        <f t="shared" si="2"/>
        <v/>
      </c>
      <c r="J6453" s="86">
        <f t="shared" si="3"/>
        <v>0</v>
      </c>
      <c r="R6453" s="26"/>
    </row>
    <row r="6454" spans="1:18" ht="15.75" customHeight="1">
      <c r="A6454" s="26"/>
      <c r="B6454" s="86"/>
      <c r="D6454" s="26"/>
      <c r="F6454" s="87" t="str">
        <f t="shared" si="0"/>
        <v/>
      </c>
      <c r="H6454" s="26" t="str">
        <f t="shared" si="1"/>
        <v/>
      </c>
      <c r="I6454" s="26" t="str">
        <f t="shared" si="2"/>
        <v/>
      </c>
      <c r="J6454" s="86">
        <f t="shared" si="3"/>
        <v>0</v>
      </c>
      <c r="R6454" s="26"/>
    </row>
    <row r="6455" spans="1:18" ht="15.75" customHeight="1">
      <c r="A6455" s="26"/>
      <c r="B6455" s="86"/>
      <c r="D6455" s="26"/>
      <c r="F6455" s="87" t="str">
        <f t="shared" si="0"/>
        <v/>
      </c>
      <c r="H6455" s="26" t="str">
        <f t="shared" si="1"/>
        <v/>
      </c>
      <c r="I6455" s="26" t="str">
        <f t="shared" si="2"/>
        <v/>
      </c>
      <c r="J6455" s="86">
        <f t="shared" si="3"/>
        <v>0</v>
      </c>
      <c r="R6455" s="26"/>
    </row>
    <row r="6456" spans="1:18" ht="15.75" customHeight="1">
      <c r="A6456" s="26"/>
      <c r="B6456" s="86"/>
      <c r="D6456" s="26"/>
      <c r="F6456" s="87" t="str">
        <f t="shared" si="0"/>
        <v/>
      </c>
      <c r="H6456" s="26" t="str">
        <f t="shared" si="1"/>
        <v/>
      </c>
      <c r="I6456" s="26" t="str">
        <f t="shared" si="2"/>
        <v/>
      </c>
      <c r="J6456" s="86">
        <f t="shared" si="3"/>
        <v>0</v>
      </c>
      <c r="R6456" s="26"/>
    </row>
    <row r="6457" spans="1:18" ht="15.75" customHeight="1">
      <c r="A6457" s="26"/>
      <c r="B6457" s="86"/>
      <c r="D6457" s="26"/>
      <c r="F6457" s="87" t="str">
        <f t="shared" si="0"/>
        <v/>
      </c>
      <c r="H6457" s="26" t="str">
        <f t="shared" si="1"/>
        <v/>
      </c>
      <c r="I6457" s="26" t="str">
        <f t="shared" si="2"/>
        <v/>
      </c>
      <c r="J6457" s="86">
        <f t="shared" si="3"/>
        <v>0</v>
      </c>
      <c r="R6457" s="26"/>
    </row>
    <row r="6458" spans="1:18" ht="15.75" customHeight="1">
      <c r="A6458" s="26"/>
      <c r="B6458" s="86"/>
      <c r="D6458" s="26"/>
      <c r="F6458" s="87" t="str">
        <f t="shared" si="0"/>
        <v/>
      </c>
      <c r="H6458" s="26" t="str">
        <f t="shared" si="1"/>
        <v/>
      </c>
      <c r="I6458" s="26" t="str">
        <f t="shared" si="2"/>
        <v/>
      </c>
      <c r="J6458" s="86">
        <f t="shared" si="3"/>
        <v>0</v>
      </c>
      <c r="R6458" s="26"/>
    </row>
    <row r="6459" spans="1:18" ht="15.75" customHeight="1">
      <c r="A6459" s="26"/>
      <c r="B6459" s="86"/>
      <c r="D6459" s="26"/>
      <c r="F6459" s="87" t="str">
        <f t="shared" si="0"/>
        <v/>
      </c>
      <c r="H6459" s="26" t="str">
        <f t="shared" si="1"/>
        <v/>
      </c>
      <c r="I6459" s="26" t="str">
        <f t="shared" si="2"/>
        <v/>
      </c>
      <c r="J6459" s="86">
        <f t="shared" si="3"/>
        <v>0</v>
      </c>
      <c r="R6459" s="26"/>
    </row>
    <row r="6460" spans="1:18" ht="15.75" customHeight="1">
      <c r="A6460" s="26"/>
      <c r="B6460" s="86"/>
      <c r="D6460" s="26"/>
      <c r="F6460" s="87" t="str">
        <f t="shared" si="0"/>
        <v/>
      </c>
      <c r="H6460" s="26" t="str">
        <f t="shared" si="1"/>
        <v/>
      </c>
      <c r="I6460" s="26" t="str">
        <f t="shared" si="2"/>
        <v/>
      </c>
      <c r="J6460" s="86">
        <f t="shared" si="3"/>
        <v>0</v>
      </c>
      <c r="R6460" s="26"/>
    </row>
    <row r="6461" spans="1:18" ht="15.75" customHeight="1">
      <c r="A6461" s="26"/>
      <c r="B6461" s="86"/>
      <c r="D6461" s="26"/>
      <c r="F6461" s="87" t="str">
        <f t="shared" si="0"/>
        <v/>
      </c>
      <c r="H6461" s="26" t="str">
        <f t="shared" si="1"/>
        <v/>
      </c>
      <c r="I6461" s="26" t="str">
        <f t="shared" si="2"/>
        <v/>
      </c>
      <c r="J6461" s="86">
        <f t="shared" si="3"/>
        <v>0</v>
      </c>
      <c r="R6461" s="26"/>
    </row>
    <row r="6462" spans="1:18" ht="15.75" customHeight="1">
      <c r="A6462" s="26"/>
      <c r="B6462" s="86"/>
      <c r="D6462" s="26"/>
      <c r="F6462" s="87" t="str">
        <f t="shared" si="0"/>
        <v/>
      </c>
      <c r="H6462" s="26" t="str">
        <f t="shared" si="1"/>
        <v/>
      </c>
      <c r="I6462" s="26" t="str">
        <f t="shared" si="2"/>
        <v/>
      </c>
      <c r="J6462" s="86">
        <f t="shared" si="3"/>
        <v>0</v>
      </c>
      <c r="R6462" s="26"/>
    </row>
    <row r="6463" spans="1:18" ht="15.75" customHeight="1">
      <c r="A6463" s="26"/>
      <c r="B6463" s="86"/>
      <c r="D6463" s="26"/>
      <c r="F6463" s="87" t="str">
        <f t="shared" si="0"/>
        <v/>
      </c>
      <c r="H6463" s="26" t="str">
        <f t="shared" si="1"/>
        <v/>
      </c>
      <c r="I6463" s="26" t="str">
        <f t="shared" si="2"/>
        <v/>
      </c>
      <c r="J6463" s="86">
        <f t="shared" si="3"/>
        <v>0</v>
      </c>
      <c r="R6463" s="26"/>
    </row>
    <row r="6464" spans="1:18" ht="15.75" customHeight="1">
      <c r="A6464" s="26"/>
      <c r="B6464" s="86"/>
      <c r="D6464" s="26"/>
      <c r="F6464" s="87" t="str">
        <f t="shared" si="0"/>
        <v/>
      </c>
      <c r="H6464" s="26" t="str">
        <f t="shared" si="1"/>
        <v/>
      </c>
      <c r="I6464" s="26" t="str">
        <f t="shared" si="2"/>
        <v/>
      </c>
      <c r="J6464" s="86">
        <f t="shared" si="3"/>
        <v>0</v>
      </c>
      <c r="R6464" s="26"/>
    </row>
    <row r="6465" spans="1:18" ht="15.75" customHeight="1">
      <c r="A6465" s="26"/>
      <c r="B6465" s="86"/>
      <c r="D6465" s="26"/>
      <c r="F6465" s="87" t="str">
        <f t="shared" si="0"/>
        <v/>
      </c>
      <c r="H6465" s="26" t="str">
        <f t="shared" si="1"/>
        <v/>
      </c>
      <c r="I6465" s="26" t="str">
        <f t="shared" si="2"/>
        <v/>
      </c>
      <c r="J6465" s="86">
        <f t="shared" si="3"/>
        <v>0</v>
      </c>
      <c r="R6465" s="26"/>
    </row>
    <row r="6466" spans="1:18" ht="15.75" customHeight="1">
      <c r="A6466" s="26"/>
      <c r="B6466" s="86"/>
      <c r="D6466" s="26"/>
      <c r="F6466" s="87" t="str">
        <f t="shared" si="0"/>
        <v/>
      </c>
      <c r="H6466" s="26" t="str">
        <f t="shared" si="1"/>
        <v/>
      </c>
      <c r="I6466" s="26" t="str">
        <f t="shared" si="2"/>
        <v/>
      </c>
      <c r="J6466" s="86">
        <f t="shared" si="3"/>
        <v>0</v>
      </c>
      <c r="R6466" s="26"/>
    </row>
    <row r="6467" spans="1:18" ht="15.75" customHeight="1">
      <c r="A6467" s="26"/>
      <c r="B6467" s="86"/>
      <c r="D6467" s="26"/>
      <c r="F6467" s="87" t="str">
        <f t="shared" si="0"/>
        <v/>
      </c>
      <c r="H6467" s="26" t="str">
        <f t="shared" si="1"/>
        <v/>
      </c>
      <c r="I6467" s="26" t="str">
        <f t="shared" si="2"/>
        <v/>
      </c>
      <c r="J6467" s="86">
        <f t="shared" si="3"/>
        <v>0</v>
      </c>
      <c r="R6467" s="26"/>
    </row>
    <row r="6468" spans="1:18" ht="15.75" customHeight="1">
      <c r="A6468" s="26"/>
      <c r="B6468" s="86"/>
      <c r="D6468" s="26"/>
      <c r="F6468" s="87" t="str">
        <f t="shared" si="0"/>
        <v/>
      </c>
      <c r="H6468" s="26" t="str">
        <f t="shared" si="1"/>
        <v/>
      </c>
      <c r="I6468" s="26" t="str">
        <f t="shared" si="2"/>
        <v/>
      </c>
      <c r="J6468" s="86">
        <f t="shared" si="3"/>
        <v>0</v>
      </c>
      <c r="R6468" s="26"/>
    </row>
    <row r="6469" spans="1:18" ht="15.75" customHeight="1">
      <c r="A6469" s="26"/>
      <c r="B6469" s="86"/>
      <c r="D6469" s="26"/>
      <c r="F6469" s="87" t="str">
        <f t="shared" si="0"/>
        <v/>
      </c>
      <c r="H6469" s="26" t="str">
        <f t="shared" si="1"/>
        <v/>
      </c>
      <c r="I6469" s="26" t="str">
        <f t="shared" si="2"/>
        <v/>
      </c>
      <c r="J6469" s="86">
        <f t="shared" si="3"/>
        <v>0</v>
      </c>
      <c r="R6469" s="26"/>
    </row>
    <row r="6470" spans="1:18" ht="15.75" customHeight="1">
      <c r="A6470" s="26"/>
      <c r="B6470" s="86"/>
      <c r="D6470" s="26"/>
      <c r="F6470" s="87" t="str">
        <f t="shared" si="0"/>
        <v/>
      </c>
      <c r="H6470" s="26" t="str">
        <f t="shared" si="1"/>
        <v/>
      </c>
      <c r="I6470" s="26" t="str">
        <f t="shared" si="2"/>
        <v/>
      </c>
      <c r="J6470" s="86">
        <f t="shared" si="3"/>
        <v>0</v>
      </c>
      <c r="R6470" s="26"/>
    </row>
    <row r="6471" spans="1:18" ht="15.75" customHeight="1">
      <c r="A6471" s="26"/>
      <c r="B6471" s="86"/>
      <c r="D6471" s="26"/>
      <c r="F6471" s="87" t="str">
        <f t="shared" si="0"/>
        <v/>
      </c>
      <c r="H6471" s="26" t="str">
        <f t="shared" si="1"/>
        <v/>
      </c>
      <c r="I6471" s="26" t="str">
        <f t="shared" si="2"/>
        <v/>
      </c>
      <c r="J6471" s="86">
        <f t="shared" si="3"/>
        <v>0</v>
      </c>
      <c r="R6471" s="26"/>
    </row>
    <row r="6472" spans="1:18" ht="15.75" customHeight="1">
      <c r="A6472" s="26"/>
      <c r="B6472" s="86"/>
      <c r="D6472" s="26"/>
      <c r="F6472" s="87" t="str">
        <f t="shared" si="0"/>
        <v/>
      </c>
      <c r="H6472" s="26" t="str">
        <f t="shared" si="1"/>
        <v/>
      </c>
      <c r="I6472" s="26" t="str">
        <f t="shared" si="2"/>
        <v/>
      </c>
      <c r="J6472" s="86">
        <f t="shared" si="3"/>
        <v>0</v>
      </c>
      <c r="R6472" s="26"/>
    </row>
    <row r="6473" spans="1:18" ht="15.75" customHeight="1">
      <c r="A6473" s="26"/>
      <c r="B6473" s="86"/>
      <c r="D6473" s="26"/>
      <c r="F6473" s="87" t="str">
        <f t="shared" si="0"/>
        <v/>
      </c>
      <c r="H6473" s="26" t="str">
        <f t="shared" si="1"/>
        <v/>
      </c>
      <c r="I6473" s="26" t="str">
        <f t="shared" si="2"/>
        <v/>
      </c>
      <c r="J6473" s="86">
        <f t="shared" si="3"/>
        <v>0</v>
      </c>
      <c r="R6473" s="26"/>
    </row>
    <row r="6474" spans="1:18" ht="15.75" customHeight="1">
      <c r="A6474" s="26"/>
      <c r="B6474" s="86"/>
      <c r="D6474" s="26"/>
      <c r="F6474" s="87" t="str">
        <f t="shared" si="0"/>
        <v/>
      </c>
      <c r="H6474" s="26" t="str">
        <f t="shared" si="1"/>
        <v/>
      </c>
      <c r="I6474" s="26" t="str">
        <f t="shared" si="2"/>
        <v/>
      </c>
      <c r="J6474" s="86">
        <f t="shared" si="3"/>
        <v>0</v>
      </c>
      <c r="R6474" s="26"/>
    </row>
    <row r="6475" spans="1:18" ht="15.75" customHeight="1">
      <c r="A6475" s="26"/>
      <c r="B6475" s="86"/>
      <c r="D6475" s="26"/>
      <c r="F6475" s="87" t="str">
        <f t="shared" si="0"/>
        <v/>
      </c>
      <c r="H6475" s="26" t="str">
        <f t="shared" si="1"/>
        <v/>
      </c>
      <c r="I6475" s="26" t="str">
        <f t="shared" si="2"/>
        <v/>
      </c>
      <c r="J6475" s="86">
        <f t="shared" si="3"/>
        <v>0</v>
      </c>
      <c r="R6475" s="26"/>
    </row>
    <row r="6476" spans="1:18" ht="15.75" customHeight="1">
      <c r="A6476" s="26"/>
      <c r="B6476" s="86"/>
      <c r="D6476" s="26"/>
      <c r="F6476" s="87" t="str">
        <f t="shared" si="0"/>
        <v/>
      </c>
      <c r="H6476" s="26" t="str">
        <f t="shared" si="1"/>
        <v/>
      </c>
      <c r="I6476" s="26" t="str">
        <f t="shared" si="2"/>
        <v/>
      </c>
      <c r="J6476" s="86">
        <f t="shared" si="3"/>
        <v>0</v>
      </c>
      <c r="R6476" s="26"/>
    </row>
    <row r="6477" spans="1:18" ht="15.75" customHeight="1">
      <c r="A6477" s="26"/>
      <c r="B6477" s="86"/>
      <c r="D6477" s="26"/>
      <c r="F6477" s="87" t="str">
        <f t="shared" si="0"/>
        <v/>
      </c>
      <c r="H6477" s="26" t="str">
        <f t="shared" si="1"/>
        <v/>
      </c>
      <c r="I6477" s="26" t="str">
        <f t="shared" si="2"/>
        <v/>
      </c>
      <c r="J6477" s="86">
        <f t="shared" si="3"/>
        <v>0</v>
      </c>
      <c r="R6477" s="26"/>
    </row>
    <row r="6478" spans="1:18" ht="15.75" customHeight="1">
      <c r="A6478" s="26"/>
      <c r="B6478" s="86"/>
      <c r="D6478" s="26"/>
      <c r="F6478" s="87" t="str">
        <f t="shared" si="0"/>
        <v/>
      </c>
      <c r="H6478" s="26" t="str">
        <f t="shared" si="1"/>
        <v/>
      </c>
      <c r="I6478" s="26" t="str">
        <f t="shared" si="2"/>
        <v/>
      </c>
      <c r="J6478" s="86">
        <f t="shared" si="3"/>
        <v>0</v>
      </c>
      <c r="R6478" s="26"/>
    </row>
    <row r="6479" spans="1:18" ht="15.75" customHeight="1">
      <c r="A6479" s="26"/>
      <c r="B6479" s="86"/>
      <c r="D6479" s="26"/>
      <c r="F6479" s="87" t="str">
        <f t="shared" si="0"/>
        <v/>
      </c>
      <c r="H6479" s="26" t="str">
        <f t="shared" si="1"/>
        <v/>
      </c>
      <c r="I6479" s="26" t="str">
        <f t="shared" si="2"/>
        <v/>
      </c>
      <c r="J6479" s="86">
        <f t="shared" si="3"/>
        <v>0</v>
      </c>
      <c r="R6479" s="26"/>
    </row>
    <row r="6480" spans="1:18" ht="15.75" customHeight="1">
      <c r="A6480" s="26"/>
      <c r="B6480" s="86"/>
      <c r="D6480" s="26"/>
      <c r="F6480" s="87" t="str">
        <f t="shared" si="0"/>
        <v/>
      </c>
      <c r="H6480" s="26" t="str">
        <f t="shared" si="1"/>
        <v/>
      </c>
      <c r="I6480" s="26" t="str">
        <f t="shared" si="2"/>
        <v/>
      </c>
      <c r="J6480" s="86">
        <f t="shared" si="3"/>
        <v>0</v>
      </c>
      <c r="R6480" s="26"/>
    </row>
    <row r="6481" spans="1:18" ht="15.75" customHeight="1">
      <c r="A6481" s="26"/>
      <c r="B6481" s="86"/>
      <c r="D6481" s="26"/>
      <c r="F6481" s="87" t="str">
        <f t="shared" si="0"/>
        <v/>
      </c>
      <c r="H6481" s="26" t="str">
        <f t="shared" si="1"/>
        <v/>
      </c>
      <c r="I6481" s="26" t="str">
        <f t="shared" si="2"/>
        <v/>
      </c>
      <c r="J6481" s="86">
        <f t="shared" si="3"/>
        <v>0</v>
      </c>
      <c r="R6481" s="26"/>
    </row>
    <row r="6482" spans="1:18" ht="15.75" customHeight="1">
      <c r="A6482" s="26"/>
      <c r="B6482" s="86"/>
      <c r="D6482" s="26"/>
      <c r="F6482" s="87" t="str">
        <f t="shared" si="0"/>
        <v/>
      </c>
      <c r="H6482" s="26" t="str">
        <f t="shared" si="1"/>
        <v/>
      </c>
      <c r="I6482" s="26" t="str">
        <f t="shared" si="2"/>
        <v/>
      </c>
      <c r="J6482" s="86">
        <f t="shared" si="3"/>
        <v>0</v>
      </c>
      <c r="R6482" s="26"/>
    </row>
    <row r="6483" spans="1:18" ht="15.75" customHeight="1">
      <c r="A6483" s="26"/>
      <c r="B6483" s="86"/>
      <c r="D6483" s="26"/>
      <c r="F6483" s="87" t="str">
        <f t="shared" si="0"/>
        <v/>
      </c>
      <c r="H6483" s="26" t="str">
        <f t="shared" si="1"/>
        <v/>
      </c>
      <c r="I6483" s="26" t="str">
        <f t="shared" si="2"/>
        <v/>
      </c>
      <c r="J6483" s="86">
        <f t="shared" si="3"/>
        <v>0</v>
      </c>
      <c r="R6483" s="26"/>
    </row>
    <row r="6484" spans="1:18" ht="15.75" customHeight="1">
      <c r="A6484" s="26"/>
      <c r="B6484" s="86"/>
      <c r="D6484" s="26"/>
      <c r="F6484" s="87" t="str">
        <f t="shared" si="0"/>
        <v/>
      </c>
      <c r="H6484" s="26" t="str">
        <f t="shared" si="1"/>
        <v/>
      </c>
      <c r="I6484" s="26" t="str">
        <f t="shared" si="2"/>
        <v/>
      </c>
      <c r="J6484" s="86">
        <f t="shared" si="3"/>
        <v>0</v>
      </c>
      <c r="R6484" s="26"/>
    </row>
    <row r="6485" spans="1:18" ht="15.75" customHeight="1">
      <c r="A6485" s="26"/>
      <c r="B6485" s="86"/>
      <c r="D6485" s="26"/>
      <c r="F6485" s="87" t="str">
        <f t="shared" si="0"/>
        <v/>
      </c>
      <c r="H6485" s="26" t="str">
        <f t="shared" si="1"/>
        <v/>
      </c>
      <c r="I6485" s="26" t="str">
        <f t="shared" si="2"/>
        <v/>
      </c>
      <c r="J6485" s="86">
        <f t="shared" si="3"/>
        <v>0</v>
      </c>
      <c r="R6485" s="26"/>
    </row>
    <row r="6486" spans="1:18" ht="15.75" customHeight="1">
      <c r="A6486" s="26"/>
      <c r="B6486" s="86"/>
      <c r="D6486" s="26"/>
      <c r="F6486" s="87" t="str">
        <f t="shared" si="0"/>
        <v/>
      </c>
      <c r="H6486" s="26" t="str">
        <f t="shared" si="1"/>
        <v/>
      </c>
      <c r="I6486" s="26" t="str">
        <f t="shared" si="2"/>
        <v/>
      </c>
      <c r="J6486" s="86">
        <f t="shared" si="3"/>
        <v>0</v>
      </c>
      <c r="R6486" s="26"/>
    </row>
    <row r="6487" spans="1:18" ht="15.75" customHeight="1">
      <c r="A6487" s="26"/>
      <c r="B6487" s="86"/>
      <c r="D6487" s="26"/>
      <c r="F6487" s="87" t="str">
        <f t="shared" si="0"/>
        <v/>
      </c>
      <c r="H6487" s="26" t="str">
        <f t="shared" si="1"/>
        <v/>
      </c>
      <c r="I6487" s="26" t="str">
        <f t="shared" si="2"/>
        <v/>
      </c>
      <c r="J6487" s="86">
        <f t="shared" si="3"/>
        <v>0</v>
      </c>
      <c r="R6487" s="26"/>
    </row>
    <row r="6488" spans="1:18" ht="15.75" customHeight="1">
      <c r="A6488" s="26"/>
      <c r="B6488" s="86"/>
      <c r="D6488" s="26"/>
      <c r="F6488" s="87" t="str">
        <f t="shared" si="0"/>
        <v/>
      </c>
      <c r="H6488" s="26" t="str">
        <f t="shared" si="1"/>
        <v/>
      </c>
      <c r="I6488" s="26" t="str">
        <f t="shared" si="2"/>
        <v/>
      </c>
      <c r="J6488" s="86">
        <f t="shared" si="3"/>
        <v>0</v>
      </c>
      <c r="R6488" s="26"/>
    </row>
    <row r="6489" spans="1:18" ht="15.75" customHeight="1">
      <c r="A6489" s="26"/>
      <c r="B6489" s="86"/>
      <c r="D6489" s="26"/>
      <c r="F6489" s="87" t="str">
        <f t="shared" si="0"/>
        <v/>
      </c>
      <c r="H6489" s="26" t="str">
        <f t="shared" si="1"/>
        <v/>
      </c>
      <c r="I6489" s="26" t="str">
        <f t="shared" si="2"/>
        <v/>
      </c>
      <c r="J6489" s="86">
        <f t="shared" si="3"/>
        <v>0</v>
      </c>
      <c r="R6489" s="26"/>
    </row>
    <row r="6490" spans="1:18" ht="15.75" customHeight="1">
      <c r="A6490" s="26"/>
      <c r="B6490" s="86"/>
      <c r="D6490" s="26"/>
      <c r="F6490" s="87" t="str">
        <f t="shared" si="0"/>
        <v/>
      </c>
      <c r="H6490" s="26" t="str">
        <f t="shared" si="1"/>
        <v/>
      </c>
      <c r="I6490" s="26" t="str">
        <f t="shared" si="2"/>
        <v/>
      </c>
      <c r="J6490" s="86">
        <f t="shared" si="3"/>
        <v>0</v>
      </c>
      <c r="R6490" s="26"/>
    </row>
    <row r="6491" spans="1:18" ht="15.75" customHeight="1">
      <c r="A6491" s="26"/>
      <c r="B6491" s="86"/>
      <c r="D6491" s="26"/>
      <c r="F6491" s="87" t="str">
        <f t="shared" si="0"/>
        <v/>
      </c>
      <c r="H6491" s="26" t="str">
        <f t="shared" si="1"/>
        <v/>
      </c>
      <c r="I6491" s="26" t="str">
        <f t="shared" si="2"/>
        <v/>
      </c>
      <c r="J6491" s="86">
        <f t="shared" si="3"/>
        <v>0</v>
      </c>
      <c r="R6491" s="26"/>
    </row>
    <row r="6492" spans="1:18" ht="15.75" customHeight="1">
      <c r="A6492" s="26"/>
      <c r="B6492" s="86"/>
      <c r="D6492" s="26"/>
      <c r="F6492" s="87" t="str">
        <f t="shared" si="0"/>
        <v/>
      </c>
      <c r="H6492" s="26" t="str">
        <f t="shared" si="1"/>
        <v/>
      </c>
      <c r="I6492" s="26" t="str">
        <f t="shared" si="2"/>
        <v/>
      </c>
      <c r="J6492" s="86">
        <f t="shared" si="3"/>
        <v>0</v>
      </c>
      <c r="R6492" s="26"/>
    </row>
    <row r="6493" spans="1:18" ht="15.75" customHeight="1">
      <c r="A6493" s="26"/>
      <c r="B6493" s="86"/>
      <c r="D6493" s="26"/>
      <c r="F6493" s="87" t="str">
        <f t="shared" si="0"/>
        <v/>
      </c>
      <c r="H6493" s="26" t="str">
        <f t="shared" si="1"/>
        <v/>
      </c>
      <c r="I6493" s="26" t="str">
        <f t="shared" si="2"/>
        <v/>
      </c>
      <c r="J6493" s="86">
        <f t="shared" si="3"/>
        <v>0</v>
      </c>
      <c r="R6493" s="26"/>
    </row>
    <row r="6494" spans="1:18" ht="15.75" customHeight="1">
      <c r="A6494" s="26"/>
      <c r="B6494" s="86"/>
      <c r="D6494" s="26"/>
      <c r="F6494" s="87" t="str">
        <f t="shared" si="0"/>
        <v/>
      </c>
      <c r="H6494" s="26" t="str">
        <f t="shared" si="1"/>
        <v/>
      </c>
      <c r="I6494" s="26" t="str">
        <f t="shared" si="2"/>
        <v/>
      </c>
      <c r="J6494" s="86">
        <f t="shared" si="3"/>
        <v>0</v>
      </c>
      <c r="R6494" s="26"/>
    </row>
    <row r="6495" spans="1:18" ht="15.75" customHeight="1">
      <c r="A6495" s="26"/>
      <c r="B6495" s="86"/>
      <c r="D6495" s="26"/>
      <c r="F6495" s="87" t="str">
        <f t="shared" si="0"/>
        <v/>
      </c>
      <c r="H6495" s="26" t="str">
        <f t="shared" si="1"/>
        <v/>
      </c>
      <c r="I6495" s="26" t="str">
        <f t="shared" si="2"/>
        <v/>
      </c>
      <c r="J6495" s="86">
        <f t="shared" si="3"/>
        <v>0</v>
      </c>
      <c r="R6495" s="26"/>
    </row>
    <row r="6496" spans="1:18" ht="15.75" customHeight="1">
      <c r="A6496" s="26"/>
      <c r="B6496" s="86"/>
      <c r="D6496" s="26"/>
      <c r="F6496" s="87" t="str">
        <f t="shared" si="0"/>
        <v/>
      </c>
      <c r="H6496" s="26" t="str">
        <f t="shared" si="1"/>
        <v/>
      </c>
      <c r="I6496" s="26" t="str">
        <f t="shared" si="2"/>
        <v/>
      </c>
      <c r="J6496" s="86">
        <f t="shared" si="3"/>
        <v>0</v>
      </c>
      <c r="R6496" s="26"/>
    </row>
    <row r="6497" spans="1:18" ht="15.75" customHeight="1">
      <c r="A6497" s="26"/>
      <c r="B6497" s="86"/>
      <c r="D6497" s="26"/>
      <c r="F6497" s="87" t="str">
        <f t="shared" si="0"/>
        <v/>
      </c>
      <c r="H6497" s="26" t="str">
        <f t="shared" si="1"/>
        <v/>
      </c>
      <c r="I6497" s="26" t="str">
        <f t="shared" si="2"/>
        <v/>
      </c>
      <c r="J6497" s="86">
        <f t="shared" si="3"/>
        <v>0</v>
      </c>
      <c r="R6497" s="26"/>
    </row>
    <row r="6498" spans="1:18" ht="15.75" customHeight="1">
      <c r="A6498" s="26"/>
      <c r="B6498" s="86"/>
      <c r="D6498" s="26"/>
      <c r="F6498" s="87" t="str">
        <f t="shared" si="0"/>
        <v/>
      </c>
      <c r="H6498" s="26" t="str">
        <f t="shared" si="1"/>
        <v/>
      </c>
      <c r="I6498" s="26" t="str">
        <f t="shared" si="2"/>
        <v/>
      </c>
      <c r="J6498" s="86">
        <f t="shared" si="3"/>
        <v>0</v>
      </c>
      <c r="R6498" s="26"/>
    </row>
    <row r="6499" spans="1:18" ht="15.75" customHeight="1">
      <c r="A6499" s="26"/>
      <c r="B6499" s="86"/>
      <c r="D6499" s="26"/>
      <c r="F6499" s="87" t="str">
        <f t="shared" si="0"/>
        <v/>
      </c>
      <c r="H6499" s="26" t="str">
        <f t="shared" si="1"/>
        <v/>
      </c>
      <c r="I6499" s="26" t="str">
        <f t="shared" si="2"/>
        <v/>
      </c>
      <c r="J6499" s="86">
        <f t="shared" si="3"/>
        <v>0</v>
      </c>
      <c r="R6499" s="26"/>
    </row>
    <row r="6500" spans="1:18" ht="15.75" customHeight="1">
      <c r="A6500" s="26"/>
      <c r="B6500" s="86"/>
      <c r="D6500" s="26"/>
      <c r="F6500" s="87" t="str">
        <f t="shared" si="0"/>
        <v/>
      </c>
      <c r="H6500" s="26" t="str">
        <f t="shared" si="1"/>
        <v/>
      </c>
      <c r="I6500" s="26" t="str">
        <f t="shared" si="2"/>
        <v/>
      </c>
      <c r="J6500" s="86">
        <f t="shared" si="3"/>
        <v>0</v>
      </c>
      <c r="R6500" s="26"/>
    </row>
    <row r="6501" spans="1:18" ht="15.75" customHeight="1">
      <c r="A6501" s="26"/>
      <c r="B6501" s="86"/>
      <c r="D6501" s="26"/>
      <c r="F6501" s="87" t="str">
        <f t="shared" si="0"/>
        <v/>
      </c>
      <c r="H6501" s="26" t="str">
        <f t="shared" si="1"/>
        <v/>
      </c>
      <c r="I6501" s="26" t="str">
        <f t="shared" si="2"/>
        <v/>
      </c>
      <c r="J6501" s="86">
        <f t="shared" si="3"/>
        <v>0</v>
      </c>
      <c r="R6501" s="26"/>
    </row>
    <row r="6502" spans="1:18" ht="15.75" customHeight="1">
      <c r="A6502" s="26"/>
      <c r="B6502" s="86"/>
      <c r="D6502" s="26"/>
      <c r="F6502" s="87" t="str">
        <f t="shared" si="0"/>
        <v/>
      </c>
      <c r="H6502" s="26" t="str">
        <f t="shared" si="1"/>
        <v/>
      </c>
      <c r="I6502" s="26" t="str">
        <f t="shared" si="2"/>
        <v/>
      </c>
      <c r="J6502" s="86">
        <f t="shared" si="3"/>
        <v>0</v>
      </c>
      <c r="R6502" s="26"/>
    </row>
    <row r="6503" spans="1:18" ht="15.75" customHeight="1">
      <c r="A6503" s="26"/>
      <c r="B6503" s="86"/>
      <c r="D6503" s="26"/>
      <c r="F6503" s="87" t="str">
        <f t="shared" si="0"/>
        <v/>
      </c>
      <c r="H6503" s="26" t="str">
        <f t="shared" si="1"/>
        <v/>
      </c>
      <c r="I6503" s="26" t="str">
        <f t="shared" si="2"/>
        <v/>
      </c>
      <c r="J6503" s="86">
        <f t="shared" si="3"/>
        <v>0</v>
      </c>
      <c r="R6503" s="26"/>
    </row>
    <row r="6504" spans="1:18" ht="15.75" customHeight="1">
      <c r="A6504" s="26"/>
      <c r="B6504" s="86"/>
      <c r="D6504" s="26"/>
      <c r="F6504" s="87" t="str">
        <f t="shared" si="0"/>
        <v/>
      </c>
      <c r="H6504" s="26" t="str">
        <f t="shared" si="1"/>
        <v/>
      </c>
      <c r="I6504" s="26" t="str">
        <f t="shared" si="2"/>
        <v/>
      </c>
      <c r="J6504" s="86">
        <f t="shared" si="3"/>
        <v>0</v>
      </c>
      <c r="R6504" s="26"/>
    </row>
    <row r="6505" spans="1:18" ht="15.75" customHeight="1">
      <c r="A6505" s="26"/>
      <c r="B6505" s="86"/>
      <c r="D6505" s="26"/>
      <c r="F6505" s="87" t="str">
        <f t="shared" si="0"/>
        <v/>
      </c>
      <c r="H6505" s="26" t="str">
        <f t="shared" si="1"/>
        <v/>
      </c>
      <c r="I6505" s="26" t="str">
        <f t="shared" si="2"/>
        <v/>
      </c>
      <c r="J6505" s="86">
        <f t="shared" si="3"/>
        <v>0</v>
      </c>
      <c r="R6505" s="26"/>
    </row>
    <row r="6506" spans="1:18" ht="15.75" customHeight="1">
      <c r="A6506" s="26"/>
      <c r="B6506" s="86"/>
      <c r="D6506" s="26"/>
      <c r="F6506" s="87" t="str">
        <f t="shared" si="0"/>
        <v/>
      </c>
      <c r="H6506" s="26" t="str">
        <f t="shared" si="1"/>
        <v/>
      </c>
      <c r="I6506" s="26" t="str">
        <f t="shared" si="2"/>
        <v/>
      </c>
      <c r="J6506" s="86">
        <f t="shared" si="3"/>
        <v>0</v>
      </c>
      <c r="R6506" s="26"/>
    </row>
    <row r="6507" spans="1:18" ht="15.75" customHeight="1">
      <c r="A6507" s="26"/>
      <c r="B6507" s="86"/>
      <c r="D6507" s="26"/>
      <c r="F6507" s="87" t="str">
        <f t="shared" si="0"/>
        <v/>
      </c>
      <c r="H6507" s="26" t="str">
        <f t="shared" si="1"/>
        <v/>
      </c>
      <c r="I6507" s="26" t="str">
        <f t="shared" si="2"/>
        <v/>
      </c>
      <c r="J6507" s="86">
        <f t="shared" si="3"/>
        <v>0</v>
      </c>
      <c r="R6507" s="26"/>
    </row>
    <row r="6508" spans="1:18" ht="15.75" customHeight="1">
      <c r="A6508" s="26"/>
      <c r="B6508" s="86"/>
      <c r="D6508" s="26"/>
      <c r="F6508" s="87" t="str">
        <f t="shared" si="0"/>
        <v/>
      </c>
      <c r="H6508" s="26" t="str">
        <f t="shared" si="1"/>
        <v/>
      </c>
      <c r="I6508" s="26" t="str">
        <f t="shared" si="2"/>
        <v/>
      </c>
      <c r="J6508" s="86">
        <f t="shared" si="3"/>
        <v>0</v>
      </c>
      <c r="R6508" s="26"/>
    </row>
    <row r="6509" spans="1:18" ht="15.75" customHeight="1">
      <c r="A6509" s="26"/>
      <c r="B6509" s="86"/>
      <c r="D6509" s="26"/>
      <c r="F6509" s="87" t="str">
        <f t="shared" si="0"/>
        <v/>
      </c>
      <c r="H6509" s="26" t="str">
        <f t="shared" si="1"/>
        <v/>
      </c>
      <c r="I6509" s="26" t="str">
        <f t="shared" si="2"/>
        <v/>
      </c>
      <c r="J6509" s="86">
        <f t="shared" si="3"/>
        <v>0</v>
      </c>
      <c r="R6509" s="26"/>
    </row>
    <row r="6510" spans="1:18" ht="15.75" customHeight="1">
      <c r="A6510" s="26"/>
      <c r="B6510" s="86"/>
      <c r="D6510" s="26"/>
      <c r="F6510" s="87" t="str">
        <f t="shared" si="0"/>
        <v/>
      </c>
      <c r="H6510" s="26" t="str">
        <f t="shared" si="1"/>
        <v/>
      </c>
      <c r="I6510" s="26" t="str">
        <f t="shared" si="2"/>
        <v/>
      </c>
      <c r="J6510" s="86">
        <f t="shared" si="3"/>
        <v>0</v>
      </c>
      <c r="R6510" s="26"/>
    </row>
    <row r="6511" spans="1:18" ht="15.75" customHeight="1">
      <c r="A6511" s="26"/>
      <c r="B6511" s="86"/>
      <c r="D6511" s="26"/>
      <c r="F6511" s="87" t="str">
        <f t="shared" si="0"/>
        <v/>
      </c>
      <c r="H6511" s="26" t="str">
        <f t="shared" si="1"/>
        <v/>
      </c>
      <c r="I6511" s="26" t="str">
        <f t="shared" si="2"/>
        <v/>
      </c>
      <c r="J6511" s="86">
        <f t="shared" si="3"/>
        <v>0</v>
      </c>
      <c r="R6511" s="26"/>
    </row>
    <row r="6512" spans="1:18" ht="15.75" customHeight="1">
      <c r="A6512" s="26"/>
      <c r="B6512" s="86"/>
      <c r="D6512" s="26"/>
      <c r="F6512" s="87" t="str">
        <f t="shared" si="0"/>
        <v/>
      </c>
      <c r="H6512" s="26" t="str">
        <f t="shared" si="1"/>
        <v/>
      </c>
      <c r="I6512" s="26" t="str">
        <f t="shared" si="2"/>
        <v/>
      </c>
      <c r="J6512" s="86">
        <f t="shared" si="3"/>
        <v>0</v>
      </c>
      <c r="R6512" s="26"/>
    </row>
    <row r="6513" spans="1:18" ht="15.75" customHeight="1">
      <c r="A6513" s="26"/>
      <c r="B6513" s="86"/>
      <c r="D6513" s="26"/>
      <c r="F6513" s="87" t="str">
        <f t="shared" si="0"/>
        <v/>
      </c>
      <c r="H6513" s="26" t="str">
        <f t="shared" si="1"/>
        <v/>
      </c>
      <c r="I6513" s="26" t="str">
        <f t="shared" si="2"/>
        <v/>
      </c>
      <c r="J6513" s="86">
        <f t="shared" si="3"/>
        <v>0</v>
      </c>
      <c r="R6513" s="26"/>
    </row>
    <row r="6514" spans="1:18" ht="15.75" customHeight="1">
      <c r="A6514" s="26"/>
      <c r="B6514" s="86"/>
      <c r="D6514" s="26"/>
      <c r="F6514" s="87" t="str">
        <f t="shared" si="0"/>
        <v/>
      </c>
      <c r="H6514" s="26" t="str">
        <f t="shared" si="1"/>
        <v/>
      </c>
      <c r="I6514" s="26" t="str">
        <f t="shared" si="2"/>
        <v/>
      </c>
      <c r="J6514" s="86">
        <f t="shared" si="3"/>
        <v>0</v>
      </c>
      <c r="R6514" s="26"/>
    </row>
    <row r="6515" spans="1:18" ht="15.75" customHeight="1">
      <c r="A6515" s="26"/>
      <c r="B6515" s="86"/>
      <c r="D6515" s="26"/>
      <c r="F6515" s="87" t="str">
        <f t="shared" si="0"/>
        <v/>
      </c>
      <c r="H6515" s="26" t="str">
        <f t="shared" si="1"/>
        <v/>
      </c>
      <c r="I6515" s="26" t="str">
        <f t="shared" si="2"/>
        <v/>
      </c>
      <c r="J6515" s="86">
        <f t="shared" si="3"/>
        <v>0</v>
      </c>
      <c r="R6515" s="26"/>
    </row>
    <row r="6516" spans="1:18" ht="15.75" customHeight="1">
      <c r="A6516" s="26"/>
      <c r="B6516" s="86"/>
      <c r="D6516" s="26"/>
      <c r="F6516" s="87" t="str">
        <f t="shared" si="0"/>
        <v/>
      </c>
      <c r="H6516" s="26" t="str">
        <f t="shared" si="1"/>
        <v/>
      </c>
      <c r="I6516" s="26" t="str">
        <f t="shared" si="2"/>
        <v/>
      </c>
      <c r="J6516" s="86">
        <f t="shared" si="3"/>
        <v>0</v>
      </c>
      <c r="R6516" s="26"/>
    </row>
    <row r="6517" spans="1:18" ht="15.75" customHeight="1">
      <c r="A6517" s="26"/>
      <c r="B6517" s="86"/>
      <c r="D6517" s="26"/>
      <c r="F6517" s="87" t="str">
        <f t="shared" si="0"/>
        <v/>
      </c>
      <c r="H6517" s="26" t="str">
        <f t="shared" si="1"/>
        <v/>
      </c>
      <c r="I6517" s="26" t="str">
        <f t="shared" si="2"/>
        <v/>
      </c>
      <c r="J6517" s="86">
        <f t="shared" si="3"/>
        <v>0</v>
      </c>
      <c r="R6517" s="26"/>
    </row>
    <row r="6518" spans="1:18" ht="15.75" customHeight="1">
      <c r="A6518" s="26"/>
      <c r="B6518" s="86"/>
      <c r="D6518" s="26"/>
      <c r="F6518" s="87" t="str">
        <f t="shared" si="0"/>
        <v/>
      </c>
      <c r="H6518" s="26" t="str">
        <f t="shared" si="1"/>
        <v/>
      </c>
      <c r="I6518" s="26" t="str">
        <f t="shared" si="2"/>
        <v/>
      </c>
      <c r="J6518" s="86">
        <f t="shared" si="3"/>
        <v>0</v>
      </c>
      <c r="R6518" s="26"/>
    </row>
    <row r="6519" spans="1:18" ht="15.75" customHeight="1">
      <c r="A6519" s="26"/>
      <c r="B6519" s="86"/>
      <c r="D6519" s="26"/>
      <c r="F6519" s="87" t="str">
        <f t="shared" si="0"/>
        <v/>
      </c>
      <c r="H6519" s="26" t="str">
        <f t="shared" si="1"/>
        <v/>
      </c>
      <c r="I6519" s="26" t="str">
        <f t="shared" si="2"/>
        <v/>
      </c>
      <c r="J6519" s="86">
        <f t="shared" si="3"/>
        <v>0</v>
      </c>
      <c r="R6519" s="26"/>
    </row>
    <row r="6520" spans="1:18" ht="15.75" customHeight="1">
      <c r="A6520" s="26"/>
      <c r="B6520" s="86"/>
      <c r="D6520" s="26"/>
      <c r="F6520" s="87" t="str">
        <f t="shared" si="0"/>
        <v/>
      </c>
      <c r="H6520" s="26" t="str">
        <f t="shared" si="1"/>
        <v/>
      </c>
      <c r="I6520" s="26" t="str">
        <f t="shared" si="2"/>
        <v/>
      </c>
      <c r="J6520" s="86">
        <f t="shared" si="3"/>
        <v>0</v>
      </c>
      <c r="R6520" s="26"/>
    </row>
    <row r="6521" spans="1:18" ht="15.75" customHeight="1">
      <c r="A6521" s="26"/>
      <c r="B6521" s="86"/>
      <c r="D6521" s="26"/>
      <c r="F6521" s="87" t="str">
        <f t="shared" si="0"/>
        <v/>
      </c>
      <c r="H6521" s="26" t="str">
        <f t="shared" si="1"/>
        <v/>
      </c>
      <c r="I6521" s="26" t="str">
        <f t="shared" si="2"/>
        <v/>
      </c>
      <c r="J6521" s="86">
        <f t="shared" si="3"/>
        <v>0</v>
      </c>
      <c r="R6521" s="26"/>
    </row>
    <row r="6522" spans="1:18" ht="15.75" customHeight="1">
      <c r="A6522" s="26"/>
      <c r="B6522" s="86"/>
      <c r="D6522" s="26"/>
      <c r="F6522" s="87" t="str">
        <f t="shared" si="0"/>
        <v/>
      </c>
      <c r="H6522" s="26" t="str">
        <f t="shared" si="1"/>
        <v/>
      </c>
      <c r="I6522" s="26" t="str">
        <f t="shared" si="2"/>
        <v/>
      </c>
      <c r="J6522" s="86">
        <f t="shared" si="3"/>
        <v>0</v>
      </c>
      <c r="R6522" s="26"/>
    </row>
    <row r="6523" spans="1:18" ht="15.75" customHeight="1">
      <c r="A6523" s="26"/>
      <c r="B6523" s="86"/>
      <c r="D6523" s="26"/>
      <c r="F6523" s="87" t="str">
        <f t="shared" si="0"/>
        <v/>
      </c>
      <c r="H6523" s="26" t="str">
        <f t="shared" si="1"/>
        <v/>
      </c>
      <c r="I6523" s="26" t="str">
        <f t="shared" si="2"/>
        <v/>
      </c>
      <c r="J6523" s="86">
        <f t="shared" si="3"/>
        <v>0</v>
      </c>
      <c r="R6523" s="26"/>
    </row>
    <row r="6524" spans="1:18" ht="15.75" customHeight="1">
      <c r="A6524" s="26"/>
      <c r="B6524" s="86"/>
      <c r="D6524" s="26"/>
      <c r="F6524" s="87" t="str">
        <f t="shared" si="0"/>
        <v/>
      </c>
      <c r="H6524" s="26" t="str">
        <f t="shared" si="1"/>
        <v/>
      </c>
      <c r="I6524" s="26" t="str">
        <f t="shared" si="2"/>
        <v/>
      </c>
      <c r="J6524" s="86">
        <f t="shared" si="3"/>
        <v>0</v>
      </c>
      <c r="R6524" s="26"/>
    </row>
    <row r="6525" spans="1:18" ht="15.75" customHeight="1">
      <c r="A6525" s="26"/>
      <c r="B6525" s="86"/>
      <c r="D6525" s="26"/>
      <c r="F6525" s="87" t="str">
        <f t="shared" si="0"/>
        <v/>
      </c>
      <c r="H6525" s="26" t="str">
        <f t="shared" si="1"/>
        <v/>
      </c>
      <c r="I6525" s="26" t="str">
        <f t="shared" si="2"/>
        <v/>
      </c>
      <c r="J6525" s="86">
        <f t="shared" si="3"/>
        <v>0</v>
      </c>
      <c r="R6525" s="26"/>
    </row>
    <row r="6526" spans="1:18" ht="15.75" customHeight="1">
      <c r="A6526" s="26"/>
      <c r="B6526" s="86"/>
      <c r="D6526" s="26"/>
      <c r="F6526" s="87" t="str">
        <f t="shared" si="0"/>
        <v/>
      </c>
      <c r="H6526" s="26" t="str">
        <f t="shared" si="1"/>
        <v/>
      </c>
      <c r="I6526" s="26" t="str">
        <f t="shared" si="2"/>
        <v/>
      </c>
      <c r="J6526" s="86">
        <f t="shared" si="3"/>
        <v>0</v>
      </c>
      <c r="R6526" s="26"/>
    </row>
    <row r="6527" spans="1:18" ht="15.75" customHeight="1">
      <c r="A6527" s="26"/>
      <c r="B6527" s="86"/>
      <c r="D6527" s="26"/>
      <c r="F6527" s="87" t="str">
        <f t="shared" si="0"/>
        <v/>
      </c>
      <c r="H6527" s="26" t="str">
        <f t="shared" si="1"/>
        <v/>
      </c>
      <c r="I6527" s="26" t="str">
        <f t="shared" si="2"/>
        <v/>
      </c>
      <c r="J6527" s="86">
        <f t="shared" si="3"/>
        <v>0</v>
      </c>
      <c r="R6527" s="26"/>
    </row>
    <row r="6528" spans="1:18" ht="15.75" customHeight="1">
      <c r="A6528" s="26"/>
      <c r="B6528" s="86"/>
      <c r="D6528" s="26"/>
      <c r="F6528" s="87" t="str">
        <f t="shared" si="0"/>
        <v/>
      </c>
      <c r="H6528" s="26" t="str">
        <f t="shared" si="1"/>
        <v/>
      </c>
      <c r="I6528" s="26" t="str">
        <f t="shared" si="2"/>
        <v/>
      </c>
      <c r="J6528" s="86">
        <f t="shared" si="3"/>
        <v>0</v>
      </c>
      <c r="R6528" s="26"/>
    </row>
    <row r="6529" spans="1:18" ht="15.75" customHeight="1">
      <c r="A6529" s="26"/>
      <c r="B6529" s="86"/>
      <c r="D6529" s="26"/>
      <c r="F6529" s="87" t="str">
        <f t="shared" si="0"/>
        <v/>
      </c>
      <c r="H6529" s="26" t="str">
        <f t="shared" si="1"/>
        <v/>
      </c>
      <c r="I6529" s="26" t="str">
        <f t="shared" si="2"/>
        <v/>
      </c>
      <c r="J6529" s="86">
        <f t="shared" si="3"/>
        <v>0</v>
      </c>
      <c r="R6529" s="26"/>
    </row>
    <row r="6530" spans="1:18" ht="15.75" customHeight="1">
      <c r="A6530" s="26"/>
      <c r="B6530" s="86"/>
      <c r="D6530" s="26"/>
      <c r="F6530" s="87" t="str">
        <f t="shared" si="0"/>
        <v/>
      </c>
      <c r="H6530" s="26" t="str">
        <f t="shared" si="1"/>
        <v/>
      </c>
      <c r="I6530" s="26" t="str">
        <f t="shared" si="2"/>
        <v/>
      </c>
      <c r="J6530" s="86">
        <f t="shared" si="3"/>
        <v>0</v>
      </c>
      <c r="R6530" s="26"/>
    </row>
    <row r="6531" spans="1:18" ht="15.75" customHeight="1">
      <c r="A6531" s="26"/>
      <c r="B6531" s="86"/>
      <c r="D6531" s="26"/>
      <c r="F6531" s="87" t="str">
        <f t="shared" si="0"/>
        <v/>
      </c>
      <c r="H6531" s="26" t="str">
        <f t="shared" si="1"/>
        <v/>
      </c>
      <c r="I6531" s="26" t="str">
        <f t="shared" si="2"/>
        <v/>
      </c>
      <c r="J6531" s="86">
        <f t="shared" si="3"/>
        <v>0</v>
      </c>
      <c r="R6531" s="26"/>
    </row>
    <row r="6532" spans="1:18" ht="15.75" customHeight="1">
      <c r="A6532" s="26"/>
      <c r="B6532" s="86"/>
      <c r="D6532" s="26"/>
      <c r="F6532" s="87" t="str">
        <f t="shared" si="0"/>
        <v/>
      </c>
      <c r="H6532" s="26" t="str">
        <f t="shared" si="1"/>
        <v/>
      </c>
      <c r="I6532" s="26" t="str">
        <f t="shared" si="2"/>
        <v/>
      </c>
      <c r="J6532" s="86">
        <f t="shared" si="3"/>
        <v>0</v>
      </c>
      <c r="R6532" s="26"/>
    </row>
    <row r="6533" spans="1:18" ht="15.75" customHeight="1">
      <c r="A6533" s="26"/>
      <c r="B6533" s="86"/>
      <c r="D6533" s="26"/>
      <c r="F6533" s="87" t="str">
        <f t="shared" si="0"/>
        <v/>
      </c>
      <c r="H6533" s="26" t="str">
        <f t="shared" si="1"/>
        <v/>
      </c>
      <c r="I6533" s="26" t="str">
        <f t="shared" si="2"/>
        <v/>
      </c>
      <c r="J6533" s="86">
        <f t="shared" si="3"/>
        <v>0</v>
      </c>
      <c r="R6533" s="26"/>
    </row>
    <row r="6534" spans="1:18" ht="15.75" customHeight="1">
      <c r="A6534" s="26"/>
      <c r="B6534" s="86"/>
      <c r="D6534" s="26"/>
      <c r="F6534" s="87" t="str">
        <f t="shared" si="0"/>
        <v/>
      </c>
      <c r="H6534" s="26" t="str">
        <f t="shared" si="1"/>
        <v/>
      </c>
      <c r="I6534" s="26" t="str">
        <f t="shared" si="2"/>
        <v/>
      </c>
      <c r="J6534" s="86">
        <f t="shared" si="3"/>
        <v>0</v>
      </c>
      <c r="R6534" s="26"/>
    </row>
    <row r="6535" spans="1:18" ht="15.75" customHeight="1">
      <c r="A6535" s="26"/>
      <c r="B6535" s="86"/>
      <c r="D6535" s="26"/>
      <c r="F6535" s="87" t="str">
        <f t="shared" si="0"/>
        <v/>
      </c>
      <c r="H6535" s="26" t="str">
        <f t="shared" si="1"/>
        <v/>
      </c>
      <c r="I6535" s="26" t="str">
        <f t="shared" si="2"/>
        <v/>
      </c>
      <c r="J6535" s="86">
        <f t="shared" si="3"/>
        <v>0</v>
      </c>
      <c r="R6535" s="26"/>
    </row>
    <row r="6536" spans="1:18" ht="15.75" customHeight="1">
      <c r="A6536" s="26"/>
      <c r="B6536" s="86"/>
      <c r="D6536" s="26"/>
      <c r="F6536" s="87" t="str">
        <f t="shared" si="0"/>
        <v/>
      </c>
      <c r="H6536" s="26" t="str">
        <f t="shared" si="1"/>
        <v/>
      </c>
      <c r="I6536" s="26" t="str">
        <f t="shared" si="2"/>
        <v/>
      </c>
      <c r="J6536" s="86">
        <f t="shared" si="3"/>
        <v>0</v>
      </c>
      <c r="R6536" s="26"/>
    </row>
    <row r="6537" spans="1:18" ht="15.75" customHeight="1">
      <c r="A6537" s="26"/>
      <c r="B6537" s="86"/>
      <c r="D6537" s="26"/>
      <c r="F6537" s="87" t="str">
        <f t="shared" si="0"/>
        <v/>
      </c>
      <c r="H6537" s="26" t="str">
        <f t="shared" si="1"/>
        <v/>
      </c>
      <c r="I6537" s="26" t="str">
        <f t="shared" si="2"/>
        <v/>
      </c>
      <c r="J6537" s="86">
        <f t="shared" si="3"/>
        <v>0</v>
      </c>
      <c r="R6537" s="26"/>
    </row>
    <row r="6538" spans="1:18" ht="15.75" customHeight="1">
      <c r="A6538" s="26"/>
      <c r="B6538" s="86"/>
      <c r="D6538" s="26"/>
      <c r="F6538" s="87" t="str">
        <f t="shared" si="0"/>
        <v/>
      </c>
      <c r="H6538" s="26" t="str">
        <f t="shared" si="1"/>
        <v/>
      </c>
      <c r="I6538" s="26" t="str">
        <f t="shared" si="2"/>
        <v/>
      </c>
      <c r="J6538" s="86">
        <f t="shared" si="3"/>
        <v>0</v>
      </c>
      <c r="R6538" s="26"/>
    </row>
    <row r="6539" spans="1:18" ht="15.75" customHeight="1">
      <c r="A6539" s="26"/>
      <c r="B6539" s="86"/>
      <c r="D6539" s="26"/>
      <c r="F6539" s="87" t="str">
        <f t="shared" si="0"/>
        <v/>
      </c>
      <c r="H6539" s="26" t="str">
        <f t="shared" si="1"/>
        <v/>
      </c>
      <c r="I6539" s="26" t="str">
        <f t="shared" si="2"/>
        <v/>
      </c>
      <c r="J6539" s="86">
        <f t="shared" si="3"/>
        <v>0</v>
      </c>
      <c r="R6539" s="26"/>
    </row>
    <row r="6540" spans="1:18" ht="15.75" customHeight="1">
      <c r="A6540" s="26"/>
      <c r="B6540" s="86"/>
      <c r="D6540" s="26"/>
      <c r="F6540" s="87" t="str">
        <f t="shared" si="0"/>
        <v/>
      </c>
      <c r="H6540" s="26" t="str">
        <f t="shared" si="1"/>
        <v/>
      </c>
      <c r="I6540" s="26" t="str">
        <f t="shared" si="2"/>
        <v/>
      </c>
      <c r="J6540" s="86">
        <f t="shared" si="3"/>
        <v>0</v>
      </c>
      <c r="R6540" s="26"/>
    </row>
    <row r="6541" spans="1:18" ht="15.75" customHeight="1">
      <c r="A6541" s="26"/>
      <c r="B6541" s="86"/>
      <c r="D6541" s="26"/>
      <c r="F6541" s="87" t="str">
        <f t="shared" si="0"/>
        <v/>
      </c>
      <c r="H6541" s="26" t="str">
        <f t="shared" si="1"/>
        <v/>
      </c>
      <c r="I6541" s="26" t="str">
        <f t="shared" si="2"/>
        <v/>
      </c>
      <c r="J6541" s="86">
        <f t="shared" si="3"/>
        <v>0</v>
      </c>
      <c r="R6541" s="26"/>
    </row>
    <row r="6542" spans="1:18" ht="15.75" customHeight="1">
      <c r="A6542" s="26"/>
      <c r="B6542" s="86"/>
      <c r="D6542" s="26"/>
      <c r="F6542" s="87" t="str">
        <f t="shared" si="0"/>
        <v/>
      </c>
      <c r="H6542" s="26" t="str">
        <f t="shared" si="1"/>
        <v/>
      </c>
      <c r="I6542" s="26" t="str">
        <f t="shared" si="2"/>
        <v/>
      </c>
      <c r="J6542" s="86">
        <f t="shared" si="3"/>
        <v>0</v>
      </c>
      <c r="R6542" s="26"/>
    </row>
    <row r="6543" spans="1:18" ht="15.75" customHeight="1">
      <c r="A6543" s="26"/>
      <c r="B6543" s="86"/>
      <c r="D6543" s="26"/>
      <c r="F6543" s="87" t="str">
        <f t="shared" si="0"/>
        <v/>
      </c>
      <c r="H6543" s="26" t="str">
        <f t="shared" si="1"/>
        <v/>
      </c>
      <c r="I6543" s="26" t="str">
        <f t="shared" si="2"/>
        <v/>
      </c>
      <c r="J6543" s="86">
        <f t="shared" si="3"/>
        <v>0</v>
      </c>
      <c r="R6543" s="26"/>
    </row>
    <row r="6544" spans="1:18" ht="15.75" customHeight="1">
      <c r="A6544" s="26"/>
      <c r="B6544" s="86"/>
      <c r="D6544" s="26"/>
      <c r="F6544" s="87" t="str">
        <f t="shared" si="0"/>
        <v/>
      </c>
      <c r="H6544" s="26" t="str">
        <f t="shared" si="1"/>
        <v/>
      </c>
      <c r="I6544" s="26" t="str">
        <f t="shared" si="2"/>
        <v/>
      </c>
      <c r="J6544" s="86">
        <f t="shared" si="3"/>
        <v>0</v>
      </c>
      <c r="R6544" s="26"/>
    </row>
    <row r="6545" spans="1:18" ht="15.75" customHeight="1">
      <c r="A6545" s="26"/>
      <c r="B6545" s="86"/>
      <c r="D6545" s="26"/>
      <c r="F6545" s="87" t="str">
        <f t="shared" si="0"/>
        <v/>
      </c>
      <c r="H6545" s="26" t="str">
        <f t="shared" si="1"/>
        <v/>
      </c>
      <c r="I6545" s="26" t="str">
        <f t="shared" si="2"/>
        <v/>
      </c>
      <c r="J6545" s="86">
        <f t="shared" si="3"/>
        <v>0</v>
      </c>
      <c r="R6545" s="26"/>
    </row>
    <row r="6546" spans="1:18" ht="15.75" customHeight="1">
      <c r="A6546" s="26"/>
      <c r="B6546" s="86"/>
      <c r="D6546" s="26"/>
      <c r="F6546" s="87" t="str">
        <f t="shared" si="0"/>
        <v/>
      </c>
      <c r="H6546" s="26" t="str">
        <f t="shared" si="1"/>
        <v/>
      </c>
      <c r="I6546" s="26" t="str">
        <f t="shared" si="2"/>
        <v/>
      </c>
      <c r="J6546" s="86">
        <f t="shared" si="3"/>
        <v>0</v>
      </c>
      <c r="R6546" s="26"/>
    </row>
    <row r="6547" spans="1:18" ht="15.75" customHeight="1">
      <c r="A6547" s="26"/>
      <c r="B6547" s="86"/>
      <c r="D6547" s="26"/>
      <c r="F6547" s="87" t="str">
        <f t="shared" si="0"/>
        <v/>
      </c>
      <c r="H6547" s="26" t="str">
        <f t="shared" si="1"/>
        <v/>
      </c>
      <c r="I6547" s="26" t="str">
        <f t="shared" si="2"/>
        <v/>
      </c>
      <c r="J6547" s="86">
        <f t="shared" si="3"/>
        <v>0</v>
      </c>
      <c r="R6547" s="26"/>
    </row>
    <row r="6548" spans="1:18" ht="15.75" customHeight="1">
      <c r="A6548" s="26"/>
      <c r="B6548" s="86"/>
      <c r="D6548" s="26"/>
      <c r="F6548" s="87" t="str">
        <f t="shared" si="0"/>
        <v/>
      </c>
      <c r="H6548" s="26" t="str">
        <f t="shared" si="1"/>
        <v/>
      </c>
      <c r="I6548" s="26" t="str">
        <f t="shared" si="2"/>
        <v/>
      </c>
      <c r="J6548" s="86">
        <f t="shared" si="3"/>
        <v>0</v>
      </c>
      <c r="R6548" s="26"/>
    </row>
    <row r="6549" spans="1:18" ht="15.75" customHeight="1">
      <c r="A6549" s="26"/>
      <c r="B6549" s="86"/>
      <c r="D6549" s="26"/>
      <c r="F6549" s="87" t="str">
        <f t="shared" si="0"/>
        <v/>
      </c>
      <c r="H6549" s="26" t="str">
        <f t="shared" si="1"/>
        <v/>
      </c>
      <c r="I6549" s="26" t="str">
        <f t="shared" si="2"/>
        <v/>
      </c>
      <c r="J6549" s="86">
        <f t="shared" si="3"/>
        <v>0</v>
      </c>
      <c r="R6549" s="26"/>
    </row>
    <row r="6550" spans="1:18" ht="15.75" customHeight="1">
      <c r="A6550" s="26"/>
      <c r="B6550" s="86"/>
      <c r="D6550" s="26"/>
      <c r="F6550" s="87" t="str">
        <f t="shared" si="0"/>
        <v/>
      </c>
      <c r="H6550" s="26" t="str">
        <f t="shared" si="1"/>
        <v/>
      </c>
      <c r="I6550" s="26" t="str">
        <f t="shared" si="2"/>
        <v/>
      </c>
      <c r="J6550" s="86">
        <f t="shared" si="3"/>
        <v>0</v>
      </c>
      <c r="R6550" s="26"/>
    </row>
    <row r="6551" spans="1:18" ht="15.75" customHeight="1">
      <c r="A6551" s="26"/>
      <c r="B6551" s="86"/>
      <c r="D6551" s="26"/>
      <c r="F6551" s="87" t="str">
        <f t="shared" si="0"/>
        <v/>
      </c>
      <c r="H6551" s="26" t="str">
        <f t="shared" si="1"/>
        <v/>
      </c>
      <c r="I6551" s="26" t="str">
        <f t="shared" si="2"/>
        <v/>
      </c>
      <c r="J6551" s="86">
        <f t="shared" si="3"/>
        <v>0</v>
      </c>
      <c r="R6551" s="26"/>
    </row>
    <row r="6552" spans="1:18" ht="15.75" customHeight="1">
      <c r="A6552" s="26"/>
      <c r="B6552" s="86"/>
      <c r="D6552" s="26"/>
      <c r="F6552" s="87" t="str">
        <f t="shared" si="0"/>
        <v/>
      </c>
      <c r="H6552" s="26" t="str">
        <f t="shared" si="1"/>
        <v/>
      </c>
      <c r="I6552" s="26" t="str">
        <f t="shared" si="2"/>
        <v/>
      </c>
      <c r="J6552" s="86">
        <f t="shared" si="3"/>
        <v>0</v>
      </c>
      <c r="R6552" s="26"/>
    </row>
    <row r="6553" spans="1:18" ht="15.75" customHeight="1">
      <c r="A6553" s="26"/>
      <c r="B6553" s="86"/>
      <c r="D6553" s="26"/>
      <c r="F6553" s="87" t="str">
        <f t="shared" si="0"/>
        <v/>
      </c>
      <c r="H6553" s="26" t="str">
        <f t="shared" si="1"/>
        <v/>
      </c>
      <c r="I6553" s="26" t="str">
        <f t="shared" si="2"/>
        <v/>
      </c>
      <c r="J6553" s="86">
        <f t="shared" si="3"/>
        <v>0</v>
      </c>
      <c r="R6553" s="26"/>
    </row>
    <row r="6554" spans="1:18" ht="15.75" customHeight="1">
      <c r="A6554" s="26"/>
      <c r="B6554" s="86"/>
      <c r="D6554" s="26"/>
      <c r="F6554" s="87" t="str">
        <f t="shared" si="0"/>
        <v/>
      </c>
      <c r="H6554" s="26" t="str">
        <f t="shared" si="1"/>
        <v/>
      </c>
      <c r="I6554" s="26" t="str">
        <f t="shared" si="2"/>
        <v/>
      </c>
      <c r="J6554" s="86">
        <f t="shared" si="3"/>
        <v>0</v>
      </c>
      <c r="R6554" s="26"/>
    </row>
    <row r="6555" spans="1:18" ht="15.75" customHeight="1">
      <c r="A6555" s="26"/>
      <c r="B6555" s="86"/>
      <c r="D6555" s="26"/>
      <c r="F6555" s="87" t="str">
        <f t="shared" si="0"/>
        <v/>
      </c>
      <c r="H6555" s="26" t="str">
        <f t="shared" si="1"/>
        <v/>
      </c>
      <c r="I6555" s="26" t="str">
        <f t="shared" si="2"/>
        <v/>
      </c>
      <c r="J6555" s="86">
        <f t="shared" si="3"/>
        <v>0</v>
      </c>
      <c r="R6555" s="26"/>
    </row>
    <row r="6556" spans="1:18" ht="15.75" customHeight="1">
      <c r="A6556" s="26"/>
      <c r="B6556" s="86"/>
      <c r="D6556" s="26"/>
      <c r="F6556" s="87" t="str">
        <f t="shared" si="0"/>
        <v/>
      </c>
      <c r="H6556" s="26" t="str">
        <f t="shared" si="1"/>
        <v/>
      </c>
      <c r="I6556" s="26" t="str">
        <f t="shared" si="2"/>
        <v/>
      </c>
      <c r="J6556" s="86">
        <f t="shared" si="3"/>
        <v>0</v>
      </c>
      <c r="R6556" s="26"/>
    </row>
    <row r="6557" spans="1:18" ht="15.75" customHeight="1">
      <c r="A6557" s="26"/>
      <c r="B6557" s="86"/>
      <c r="D6557" s="26"/>
      <c r="F6557" s="87" t="str">
        <f t="shared" si="0"/>
        <v/>
      </c>
      <c r="H6557" s="26" t="str">
        <f t="shared" si="1"/>
        <v/>
      </c>
      <c r="I6557" s="26" t="str">
        <f t="shared" si="2"/>
        <v/>
      </c>
      <c r="J6557" s="86">
        <f t="shared" si="3"/>
        <v>0</v>
      </c>
      <c r="R6557" s="26"/>
    </row>
    <row r="6558" spans="1:18" ht="15.75" customHeight="1">
      <c r="A6558" s="26"/>
      <c r="B6558" s="86"/>
      <c r="D6558" s="26"/>
      <c r="F6558" s="87" t="str">
        <f t="shared" si="0"/>
        <v/>
      </c>
      <c r="H6558" s="26" t="str">
        <f t="shared" si="1"/>
        <v/>
      </c>
      <c r="I6558" s="26" t="str">
        <f t="shared" si="2"/>
        <v/>
      </c>
      <c r="J6558" s="86">
        <f t="shared" si="3"/>
        <v>0</v>
      </c>
      <c r="R6558" s="26"/>
    </row>
    <row r="6559" spans="1:18" ht="15.75" customHeight="1">
      <c r="A6559" s="26"/>
      <c r="B6559" s="86"/>
      <c r="D6559" s="26"/>
      <c r="F6559" s="87" t="str">
        <f t="shared" si="0"/>
        <v/>
      </c>
      <c r="H6559" s="26" t="str">
        <f t="shared" si="1"/>
        <v/>
      </c>
      <c r="I6559" s="26" t="str">
        <f t="shared" si="2"/>
        <v/>
      </c>
      <c r="J6559" s="86">
        <f t="shared" si="3"/>
        <v>0</v>
      </c>
      <c r="R6559" s="26"/>
    </row>
    <row r="6560" spans="1:18" ht="15.75" customHeight="1">
      <c r="A6560" s="26"/>
      <c r="B6560" s="86"/>
      <c r="D6560" s="26"/>
      <c r="F6560" s="87" t="str">
        <f t="shared" si="0"/>
        <v/>
      </c>
      <c r="H6560" s="26" t="str">
        <f t="shared" si="1"/>
        <v/>
      </c>
      <c r="I6560" s="26" t="str">
        <f t="shared" si="2"/>
        <v/>
      </c>
      <c r="J6560" s="86">
        <f t="shared" si="3"/>
        <v>0</v>
      </c>
      <c r="R6560" s="26"/>
    </row>
    <row r="6561" spans="1:18" ht="15.75" customHeight="1">
      <c r="A6561" s="26"/>
      <c r="B6561" s="86"/>
      <c r="D6561" s="26"/>
      <c r="F6561" s="87" t="str">
        <f t="shared" si="0"/>
        <v/>
      </c>
      <c r="H6561" s="26" t="str">
        <f t="shared" si="1"/>
        <v/>
      </c>
      <c r="I6561" s="26" t="str">
        <f t="shared" si="2"/>
        <v/>
      </c>
      <c r="J6561" s="86">
        <f t="shared" si="3"/>
        <v>0</v>
      </c>
      <c r="R6561" s="26"/>
    </row>
    <row r="6562" spans="1:18" ht="15.75" customHeight="1">
      <c r="A6562" s="26"/>
      <c r="B6562" s="86"/>
      <c r="D6562" s="26"/>
      <c r="F6562" s="87" t="str">
        <f t="shared" si="0"/>
        <v/>
      </c>
      <c r="H6562" s="26" t="str">
        <f t="shared" si="1"/>
        <v/>
      </c>
      <c r="I6562" s="26" t="str">
        <f t="shared" si="2"/>
        <v/>
      </c>
      <c r="J6562" s="86">
        <f t="shared" si="3"/>
        <v>0</v>
      </c>
      <c r="R6562" s="26"/>
    </row>
    <row r="6563" spans="1:18" ht="15.75" customHeight="1">
      <c r="A6563" s="26"/>
      <c r="B6563" s="86"/>
      <c r="D6563" s="26"/>
      <c r="F6563" s="87" t="str">
        <f t="shared" si="0"/>
        <v/>
      </c>
      <c r="H6563" s="26" t="str">
        <f t="shared" si="1"/>
        <v/>
      </c>
      <c r="I6563" s="26" t="str">
        <f t="shared" si="2"/>
        <v/>
      </c>
      <c r="J6563" s="86">
        <f t="shared" si="3"/>
        <v>0</v>
      </c>
      <c r="R6563" s="26"/>
    </row>
    <row r="6564" spans="1:18" ht="15.75" customHeight="1">
      <c r="A6564" s="26"/>
      <c r="B6564" s="86"/>
      <c r="D6564" s="26"/>
      <c r="F6564" s="87" t="str">
        <f t="shared" si="0"/>
        <v/>
      </c>
      <c r="H6564" s="26" t="str">
        <f t="shared" si="1"/>
        <v/>
      </c>
      <c r="I6564" s="26" t="str">
        <f t="shared" si="2"/>
        <v/>
      </c>
      <c r="J6564" s="86">
        <f t="shared" si="3"/>
        <v>0</v>
      </c>
      <c r="R6564" s="26"/>
    </row>
    <row r="6565" spans="1:18" ht="15.75" customHeight="1">
      <c r="A6565" s="26"/>
      <c r="B6565" s="86"/>
      <c r="D6565" s="26"/>
      <c r="F6565" s="87" t="str">
        <f t="shared" si="0"/>
        <v/>
      </c>
      <c r="H6565" s="26" t="str">
        <f t="shared" si="1"/>
        <v/>
      </c>
      <c r="I6565" s="26" t="str">
        <f t="shared" si="2"/>
        <v/>
      </c>
      <c r="J6565" s="86">
        <f t="shared" si="3"/>
        <v>0</v>
      </c>
      <c r="R6565" s="26"/>
    </row>
    <row r="6566" spans="1:18" ht="15.75" customHeight="1">
      <c r="A6566" s="26"/>
      <c r="B6566" s="86"/>
      <c r="D6566" s="26"/>
      <c r="F6566" s="87" t="str">
        <f t="shared" si="0"/>
        <v/>
      </c>
      <c r="H6566" s="26" t="str">
        <f t="shared" si="1"/>
        <v/>
      </c>
      <c r="I6566" s="26" t="str">
        <f t="shared" si="2"/>
        <v/>
      </c>
      <c r="J6566" s="86">
        <f t="shared" si="3"/>
        <v>0</v>
      </c>
      <c r="R6566" s="26"/>
    </row>
    <row r="6567" spans="1:18" ht="15.75" customHeight="1">
      <c r="A6567" s="26"/>
      <c r="B6567" s="86"/>
      <c r="D6567" s="26"/>
      <c r="F6567" s="87" t="str">
        <f t="shared" si="0"/>
        <v/>
      </c>
      <c r="H6567" s="26" t="str">
        <f t="shared" si="1"/>
        <v/>
      </c>
      <c r="I6567" s="26" t="str">
        <f t="shared" si="2"/>
        <v/>
      </c>
      <c r="J6567" s="86">
        <f t="shared" si="3"/>
        <v>0</v>
      </c>
      <c r="R6567" s="26"/>
    </row>
    <row r="6568" spans="1:18" ht="15.75" customHeight="1">
      <c r="A6568" s="26"/>
      <c r="B6568" s="86"/>
      <c r="D6568" s="26"/>
      <c r="F6568" s="87" t="str">
        <f t="shared" si="0"/>
        <v/>
      </c>
      <c r="H6568" s="26" t="str">
        <f t="shared" si="1"/>
        <v/>
      </c>
      <c r="I6568" s="26" t="str">
        <f t="shared" si="2"/>
        <v/>
      </c>
      <c r="J6568" s="86">
        <f t="shared" si="3"/>
        <v>0</v>
      </c>
      <c r="R6568" s="26"/>
    </row>
    <row r="6569" spans="1:18" ht="15.75" customHeight="1">
      <c r="A6569" s="26"/>
      <c r="B6569" s="86"/>
      <c r="D6569" s="26"/>
      <c r="F6569" s="87" t="str">
        <f t="shared" si="0"/>
        <v/>
      </c>
      <c r="H6569" s="26" t="str">
        <f t="shared" si="1"/>
        <v/>
      </c>
      <c r="I6569" s="26" t="str">
        <f t="shared" si="2"/>
        <v/>
      </c>
      <c r="J6569" s="86">
        <f t="shared" si="3"/>
        <v>0</v>
      </c>
      <c r="R6569" s="26"/>
    </row>
    <row r="6570" spans="1:18" ht="15.75" customHeight="1">
      <c r="A6570" s="26"/>
      <c r="B6570" s="86"/>
      <c r="D6570" s="26"/>
      <c r="F6570" s="87" t="str">
        <f t="shared" si="0"/>
        <v/>
      </c>
      <c r="H6570" s="26" t="str">
        <f t="shared" si="1"/>
        <v/>
      </c>
      <c r="I6570" s="26" t="str">
        <f t="shared" si="2"/>
        <v/>
      </c>
      <c r="J6570" s="86">
        <f t="shared" si="3"/>
        <v>0</v>
      </c>
      <c r="R6570" s="26"/>
    </row>
    <row r="6571" spans="1:18" ht="15.75" customHeight="1">
      <c r="A6571" s="26"/>
      <c r="B6571" s="86"/>
      <c r="D6571" s="26"/>
      <c r="F6571" s="87" t="str">
        <f t="shared" si="0"/>
        <v/>
      </c>
      <c r="H6571" s="26" t="str">
        <f t="shared" si="1"/>
        <v/>
      </c>
      <c r="I6571" s="26" t="str">
        <f t="shared" si="2"/>
        <v/>
      </c>
      <c r="J6571" s="86">
        <f t="shared" si="3"/>
        <v>0</v>
      </c>
      <c r="R6571" s="26"/>
    </row>
    <row r="6572" spans="1:18" ht="15.75" customHeight="1">
      <c r="A6572" s="26"/>
      <c r="B6572" s="86"/>
      <c r="D6572" s="26"/>
      <c r="F6572" s="87" t="str">
        <f t="shared" si="0"/>
        <v/>
      </c>
      <c r="H6572" s="26" t="str">
        <f t="shared" si="1"/>
        <v/>
      </c>
      <c r="I6572" s="26" t="str">
        <f t="shared" si="2"/>
        <v/>
      </c>
      <c r="J6572" s="86">
        <f t="shared" si="3"/>
        <v>0</v>
      </c>
      <c r="R6572" s="26"/>
    </row>
    <row r="6573" spans="1:18" ht="15.75" customHeight="1">
      <c r="A6573" s="26"/>
      <c r="B6573" s="86"/>
      <c r="D6573" s="26"/>
      <c r="F6573" s="87" t="str">
        <f t="shared" si="0"/>
        <v/>
      </c>
      <c r="H6573" s="26" t="str">
        <f t="shared" si="1"/>
        <v/>
      </c>
      <c r="I6573" s="26" t="str">
        <f t="shared" si="2"/>
        <v/>
      </c>
      <c r="J6573" s="86">
        <f t="shared" si="3"/>
        <v>0</v>
      </c>
      <c r="R6573" s="26"/>
    </row>
    <row r="6574" spans="1:18" ht="15.75" customHeight="1">
      <c r="A6574" s="26"/>
      <c r="B6574" s="86"/>
      <c r="D6574" s="26"/>
      <c r="F6574" s="87" t="str">
        <f t="shared" si="0"/>
        <v/>
      </c>
      <c r="H6574" s="26" t="str">
        <f t="shared" si="1"/>
        <v/>
      </c>
      <c r="I6574" s="26" t="str">
        <f t="shared" si="2"/>
        <v/>
      </c>
      <c r="J6574" s="86">
        <f t="shared" si="3"/>
        <v>0</v>
      </c>
      <c r="R6574" s="26"/>
    </row>
    <row r="6575" spans="1:18" ht="15.75" customHeight="1">
      <c r="A6575" s="26"/>
      <c r="B6575" s="86"/>
      <c r="D6575" s="26"/>
      <c r="F6575" s="87" t="str">
        <f t="shared" si="0"/>
        <v/>
      </c>
      <c r="H6575" s="26" t="str">
        <f t="shared" si="1"/>
        <v/>
      </c>
      <c r="I6575" s="26" t="str">
        <f t="shared" si="2"/>
        <v/>
      </c>
      <c r="J6575" s="86">
        <f t="shared" si="3"/>
        <v>0</v>
      </c>
      <c r="R6575" s="26"/>
    </row>
    <row r="6576" spans="1:18" ht="15.75" customHeight="1">
      <c r="A6576" s="26"/>
      <c r="B6576" s="86"/>
      <c r="D6576" s="26"/>
      <c r="F6576" s="87" t="str">
        <f t="shared" si="0"/>
        <v/>
      </c>
      <c r="H6576" s="26" t="str">
        <f t="shared" si="1"/>
        <v/>
      </c>
      <c r="I6576" s="26" t="str">
        <f t="shared" si="2"/>
        <v/>
      </c>
      <c r="J6576" s="86">
        <f t="shared" si="3"/>
        <v>0</v>
      </c>
      <c r="R6576" s="26"/>
    </row>
    <row r="6577" spans="1:18" ht="15.75" customHeight="1">
      <c r="A6577" s="26"/>
      <c r="B6577" s="86"/>
      <c r="D6577" s="26"/>
      <c r="F6577" s="87" t="str">
        <f t="shared" si="0"/>
        <v/>
      </c>
      <c r="H6577" s="26" t="str">
        <f t="shared" si="1"/>
        <v/>
      </c>
      <c r="I6577" s="26" t="str">
        <f t="shared" si="2"/>
        <v/>
      </c>
      <c r="J6577" s="86">
        <f t="shared" si="3"/>
        <v>0</v>
      </c>
      <c r="R6577" s="26"/>
    </row>
    <row r="6578" spans="1:18" ht="15.75" customHeight="1">
      <c r="A6578" s="26"/>
      <c r="B6578" s="86"/>
      <c r="D6578" s="26"/>
      <c r="F6578" s="87" t="str">
        <f t="shared" si="0"/>
        <v/>
      </c>
      <c r="H6578" s="26" t="str">
        <f t="shared" si="1"/>
        <v/>
      </c>
      <c r="I6578" s="26" t="str">
        <f t="shared" si="2"/>
        <v/>
      </c>
      <c r="J6578" s="86">
        <f t="shared" si="3"/>
        <v>0</v>
      </c>
      <c r="R6578" s="26"/>
    </row>
    <row r="6579" spans="1:18" ht="15.75" customHeight="1">
      <c r="A6579" s="26"/>
      <c r="B6579" s="86"/>
      <c r="D6579" s="26"/>
      <c r="F6579" s="87" t="str">
        <f t="shared" si="0"/>
        <v/>
      </c>
      <c r="H6579" s="26" t="str">
        <f t="shared" si="1"/>
        <v/>
      </c>
      <c r="I6579" s="26" t="str">
        <f t="shared" si="2"/>
        <v/>
      </c>
      <c r="J6579" s="86">
        <f t="shared" si="3"/>
        <v>0</v>
      </c>
      <c r="R6579" s="26"/>
    </row>
    <row r="6580" spans="1:18" ht="15.75" customHeight="1">
      <c r="A6580" s="26"/>
      <c r="B6580" s="86"/>
      <c r="D6580" s="26"/>
      <c r="F6580" s="87" t="str">
        <f t="shared" si="0"/>
        <v/>
      </c>
      <c r="H6580" s="26" t="str">
        <f t="shared" si="1"/>
        <v/>
      </c>
      <c r="I6580" s="26" t="str">
        <f t="shared" si="2"/>
        <v/>
      </c>
      <c r="J6580" s="86">
        <f t="shared" si="3"/>
        <v>0</v>
      </c>
      <c r="R6580" s="26"/>
    </row>
    <row r="6581" spans="1:18" ht="15.75" customHeight="1">
      <c r="A6581" s="26"/>
      <c r="B6581" s="86"/>
      <c r="D6581" s="26"/>
      <c r="F6581" s="87" t="str">
        <f t="shared" si="0"/>
        <v/>
      </c>
      <c r="H6581" s="26" t="str">
        <f t="shared" si="1"/>
        <v/>
      </c>
      <c r="I6581" s="26" t="str">
        <f t="shared" si="2"/>
        <v/>
      </c>
      <c r="J6581" s="86">
        <f t="shared" si="3"/>
        <v>0</v>
      </c>
      <c r="R6581" s="26"/>
    </row>
    <row r="6582" spans="1:18" ht="15.75" customHeight="1">
      <c r="A6582" s="26"/>
      <c r="B6582" s="86"/>
      <c r="D6582" s="26"/>
      <c r="F6582" s="87" t="str">
        <f t="shared" si="0"/>
        <v/>
      </c>
      <c r="H6582" s="26" t="str">
        <f t="shared" si="1"/>
        <v/>
      </c>
      <c r="I6582" s="26" t="str">
        <f t="shared" si="2"/>
        <v/>
      </c>
      <c r="J6582" s="86">
        <f t="shared" si="3"/>
        <v>0</v>
      </c>
      <c r="R6582" s="26"/>
    </row>
    <row r="6583" spans="1:18" ht="15.75" customHeight="1">
      <c r="A6583" s="26"/>
      <c r="B6583" s="86"/>
      <c r="D6583" s="26"/>
      <c r="F6583" s="87" t="str">
        <f t="shared" si="0"/>
        <v/>
      </c>
      <c r="H6583" s="26" t="str">
        <f t="shared" si="1"/>
        <v/>
      </c>
      <c r="I6583" s="26" t="str">
        <f t="shared" si="2"/>
        <v/>
      </c>
      <c r="J6583" s="86">
        <f t="shared" si="3"/>
        <v>0</v>
      </c>
      <c r="R6583" s="26"/>
    </row>
    <row r="6584" spans="1:18" ht="15.75" customHeight="1">
      <c r="A6584" s="26"/>
      <c r="B6584" s="86"/>
      <c r="D6584" s="26"/>
      <c r="F6584" s="87" t="str">
        <f t="shared" si="0"/>
        <v/>
      </c>
      <c r="H6584" s="26" t="str">
        <f t="shared" si="1"/>
        <v/>
      </c>
      <c r="I6584" s="26" t="str">
        <f t="shared" si="2"/>
        <v/>
      </c>
      <c r="J6584" s="86">
        <f t="shared" si="3"/>
        <v>0</v>
      </c>
      <c r="R6584" s="26"/>
    </row>
    <row r="6585" spans="1:18" ht="15.75" customHeight="1">
      <c r="A6585" s="26"/>
      <c r="B6585" s="86"/>
      <c r="D6585" s="26"/>
      <c r="F6585" s="87" t="str">
        <f t="shared" si="0"/>
        <v/>
      </c>
      <c r="H6585" s="26" t="str">
        <f t="shared" si="1"/>
        <v/>
      </c>
      <c r="I6585" s="26" t="str">
        <f t="shared" si="2"/>
        <v/>
      </c>
      <c r="J6585" s="86">
        <f t="shared" si="3"/>
        <v>0</v>
      </c>
      <c r="R6585" s="26"/>
    </row>
    <row r="6586" spans="1:18" ht="15.75" customHeight="1">
      <c r="A6586" s="26"/>
      <c r="B6586" s="86"/>
      <c r="D6586" s="26"/>
      <c r="F6586" s="87" t="str">
        <f t="shared" si="0"/>
        <v/>
      </c>
      <c r="H6586" s="26" t="str">
        <f t="shared" si="1"/>
        <v/>
      </c>
      <c r="I6586" s="26" t="str">
        <f t="shared" si="2"/>
        <v/>
      </c>
      <c r="J6586" s="86">
        <f t="shared" si="3"/>
        <v>0</v>
      </c>
      <c r="R6586" s="26"/>
    </row>
    <row r="6587" spans="1:18" ht="15.75" customHeight="1">
      <c r="A6587" s="26"/>
      <c r="B6587" s="86"/>
      <c r="D6587" s="26"/>
      <c r="F6587" s="87" t="str">
        <f t="shared" si="0"/>
        <v/>
      </c>
      <c r="H6587" s="26" t="str">
        <f t="shared" si="1"/>
        <v/>
      </c>
      <c r="I6587" s="26" t="str">
        <f t="shared" si="2"/>
        <v/>
      </c>
      <c r="J6587" s="86">
        <f t="shared" si="3"/>
        <v>0</v>
      </c>
      <c r="R6587" s="26"/>
    </row>
    <row r="6588" spans="1:18" ht="15.75" customHeight="1">
      <c r="A6588" s="26"/>
      <c r="B6588" s="86"/>
      <c r="D6588" s="26"/>
      <c r="F6588" s="87" t="str">
        <f t="shared" si="0"/>
        <v/>
      </c>
      <c r="H6588" s="26" t="str">
        <f t="shared" si="1"/>
        <v/>
      </c>
      <c r="I6588" s="26" t="str">
        <f t="shared" si="2"/>
        <v/>
      </c>
      <c r="J6588" s="86">
        <f t="shared" si="3"/>
        <v>0</v>
      </c>
      <c r="R6588" s="26"/>
    </row>
    <row r="6589" spans="1:18" ht="15.75" customHeight="1">
      <c r="A6589" s="26"/>
      <c r="B6589" s="86"/>
      <c r="D6589" s="26"/>
      <c r="F6589" s="87" t="str">
        <f t="shared" si="0"/>
        <v/>
      </c>
      <c r="H6589" s="26" t="str">
        <f t="shared" si="1"/>
        <v/>
      </c>
      <c r="I6589" s="26" t="str">
        <f t="shared" si="2"/>
        <v/>
      </c>
      <c r="J6589" s="86">
        <f t="shared" si="3"/>
        <v>0</v>
      </c>
      <c r="R6589" s="26"/>
    </row>
    <row r="6590" spans="1:18" ht="15.75" customHeight="1">
      <c r="A6590" s="26"/>
      <c r="B6590" s="86"/>
      <c r="D6590" s="26"/>
      <c r="F6590" s="87" t="str">
        <f t="shared" si="0"/>
        <v/>
      </c>
      <c r="H6590" s="26" t="str">
        <f t="shared" si="1"/>
        <v/>
      </c>
      <c r="I6590" s="26" t="str">
        <f t="shared" si="2"/>
        <v/>
      </c>
      <c r="J6590" s="86">
        <f t="shared" si="3"/>
        <v>0</v>
      </c>
      <c r="R6590" s="26"/>
    </row>
    <row r="6591" spans="1:18" ht="15.75" customHeight="1">
      <c r="A6591" s="26"/>
      <c r="B6591" s="86"/>
      <c r="D6591" s="26"/>
      <c r="F6591" s="87" t="str">
        <f t="shared" si="0"/>
        <v/>
      </c>
      <c r="H6591" s="26" t="str">
        <f t="shared" si="1"/>
        <v/>
      </c>
      <c r="I6591" s="26" t="str">
        <f t="shared" si="2"/>
        <v/>
      </c>
      <c r="J6591" s="86">
        <f t="shared" si="3"/>
        <v>0</v>
      </c>
      <c r="R6591" s="26"/>
    </row>
    <row r="6592" spans="1:18" ht="15.75" customHeight="1">
      <c r="A6592" s="26"/>
      <c r="B6592" s="86"/>
      <c r="D6592" s="26"/>
      <c r="F6592" s="87" t="str">
        <f t="shared" si="0"/>
        <v/>
      </c>
      <c r="H6592" s="26" t="str">
        <f t="shared" si="1"/>
        <v/>
      </c>
      <c r="I6592" s="26" t="str">
        <f t="shared" si="2"/>
        <v/>
      </c>
      <c r="J6592" s="86">
        <f t="shared" si="3"/>
        <v>0</v>
      </c>
      <c r="R6592" s="26"/>
    </row>
    <row r="6593" spans="1:18" ht="15.75" customHeight="1">
      <c r="A6593" s="26"/>
      <c r="B6593" s="86"/>
      <c r="D6593" s="26"/>
      <c r="F6593" s="87" t="str">
        <f t="shared" si="0"/>
        <v/>
      </c>
      <c r="H6593" s="26" t="str">
        <f t="shared" si="1"/>
        <v/>
      </c>
      <c r="I6593" s="26" t="str">
        <f t="shared" si="2"/>
        <v/>
      </c>
      <c r="J6593" s="86">
        <f t="shared" si="3"/>
        <v>0</v>
      </c>
      <c r="R6593" s="26"/>
    </row>
    <row r="6594" spans="1:18" ht="15.75" customHeight="1">
      <c r="A6594" s="26"/>
      <c r="B6594" s="86"/>
      <c r="D6594" s="26"/>
      <c r="F6594" s="87" t="str">
        <f t="shared" si="0"/>
        <v/>
      </c>
      <c r="H6594" s="26" t="str">
        <f t="shared" si="1"/>
        <v/>
      </c>
      <c r="I6594" s="26" t="str">
        <f t="shared" si="2"/>
        <v/>
      </c>
      <c r="J6594" s="86">
        <f t="shared" si="3"/>
        <v>0</v>
      </c>
      <c r="R6594" s="26"/>
    </row>
    <row r="6595" spans="1:18" ht="15.75" customHeight="1">
      <c r="A6595" s="26"/>
      <c r="B6595" s="86"/>
      <c r="D6595" s="26"/>
      <c r="F6595" s="87" t="str">
        <f t="shared" si="0"/>
        <v/>
      </c>
      <c r="H6595" s="26" t="str">
        <f t="shared" si="1"/>
        <v/>
      </c>
      <c r="I6595" s="26" t="str">
        <f t="shared" si="2"/>
        <v/>
      </c>
      <c r="J6595" s="86">
        <f t="shared" si="3"/>
        <v>0</v>
      </c>
      <c r="R6595" s="26"/>
    </row>
    <row r="6596" spans="1:18" ht="15.75" customHeight="1">
      <c r="A6596" s="26"/>
      <c r="B6596" s="86"/>
      <c r="D6596" s="26"/>
      <c r="F6596" s="87" t="str">
        <f t="shared" si="0"/>
        <v/>
      </c>
      <c r="H6596" s="26" t="str">
        <f t="shared" si="1"/>
        <v/>
      </c>
      <c r="I6596" s="26" t="str">
        <f t="shared" si="2"/>
        <v/>
      </c>
      <c r="J6596" s="86">
        <f t="shared" si="3"/>
        <v>0</v>
      </c>
      <c r="R6596" s="26"/>
    </row>
    <row r="6597" spans="1:18" ht="15.75" customHeight="1">
      <c r="A6597" s="26"/>
      <c r="B6597" s="86"/>
      <c r="D6597" s="26"/>
      <c r="F6597" s="87" t="str">
        <f t="shared" si="0"/>
        <v/>
      </c>
      <c r="H6597" s="26" t="str">
        <f t="shared" si="1"/>
        <v/>
      </c>
      <c r="I6597" s="26" t="str">
        <f t="shared" si="2"/>
        <v/>
      </c>
      <c r="J6597" s="86">
        <f t="shared" si="3"/>
        <v>0</v>
      </c>
      <c r="R6597" s="26"/>
    </row>
    <row r="6598" spans="1:18" ht="15.75" customHeight="1">
      <c r="A6598" s="26"/>
      <c r="B6598" s="86"/>
      <c r="D6598" s="26"/>
      <c r="F6598" s="87" t="str">
        <f t="shared" si="0"/>
        <v/>
      </c>
      <c r="H6598" s="26" t="str">
        <f t="shared" si="1"/>
        <v/>
      </c>
      <c r="I6598" s="26" t="str">
        <f t="shared" si="2"/>
        <v/>
      </c>
      <c r="J6598" s="86">
        <f t="shared" si="3"/>
        <v>0</v>
      </c>
      <c r="R6598" s="26"/>
    </row>
    <row r="6599" spans="1:18" ht="15.75" customHeight="1">
      <c r="A6599" s="26"/>
      <c r="B6599" s="86"/>
      <c r="D6599" s="26"/>
      <c r="F6599" s="87" t="str">
        <f t="shared" si="0"/>
        <v/>
      </c>
      <c r="H6599" s="26" t="str">
        <f t="shared" si="1"/>
        <v/>
      </c>
      <c r="I6599" s="26" t="str">
        <f t="shared" si="2"/>
        <v/>
      </c>
      <c r="J6599" s="86">
        <f t="shared" si="3"/>
        <v>0</v>
      </c>
      <c r="R6599" s="26"/>
    </row>
    <row r="6600" spans="1:18" ht="15.75" customHeight="1">
      <c r="A6600" s="26"/>
      <c r="B6600" s="86"/>
      <c r="D6600" s="26"/>
      <c r="F6600" s="87" t="str">
        <f t="shared" si="0"/>
        <v/>
      </c>
      <c r="H6600" s="26" t="str">
        <f t="shared" si="1"/>
        <v/>
      </c>
      <c r="I6600" s="26" t="str">
        <f t="shared" si="2"/>
        <v/>
      </c>
      <c r="J6600" s="86">
        <f t="shared" si="3"/>
        <v>0</v>
      </c>
      <c r="R6600" s="26"/>
    </row>
    <row r="6601" spans="1:18" ht="15.75" customHeight="1">
      <c r="A6601" s="26"/>
      <c r="B6601" s="86"/>
      <c r="D6601" s="26"/>
      <c r="F6601" s="87" t="str">
        <f t="shared" si="0"/>
        <v/>
      </c>
      <c r="H6601" s="26" t="str">
        <f t="shared" si="1"/>
        <v/>
      </c>
      <c r="I6601" s="26" t="str">
        <f t="shared" si="2"/>
        <v/>
      </c>
      <c r="J6601" s="86">
        <f t="shared" si="3"/>
        <v>0</v>
      </c>
      <c r="R6601" s="26"/>
    </row>
    <row r="6602" spans="1:18" ht="15.75" customHeight="1">
      <c r="A6602" s="26"/>
      <c r="B6602" s="86"/>
      <c r="D6602" s="26"/>
      <c r="F6602" s="87" t="str">
        <f t="shared" si="0"/>
        <v/>
      </c>
      <c r="H6602" s="26" t="str">
        <f t="shared" si="1"/>
        <v/>
      </c>
      <c r="I6602" s="26" t="str">
        <f t="shared" si="2"/>
        <v/>
      </c>
      <c r="J6602" s="86">
        <f t="shared" si="3"/>
        <v>0</v>
      </c>
      <c r="R6602" s="26"/>
    </row>
    <row r="6603" spans="1:18" ht="15.75" customHeight="1">
      <c r="A6603" s="26"/>
      <c r="B6603" s="86"/>
      <c r="D6603" s="26"/>
      <c r="F6603" s="87" t="str">
        <f t="shared" si="0"/>
        <v/>
      </c>
      <c r="H6603" s="26" t="str">
        <f t="shared" si="1"/>
        <v/>
      </c>
      <c r="I6603" s="26" t="str">
        <f t="shared" si="2"/>
        <v/>
      </c>
      <c r="J6603" s="86">
        <f t="shared" si="3"/>
        <v>0</v>
      </c>
      <c r="R6603" s="26"/>
    </row>
    <row r="6604" spans="1:18" ht="15.75" customHeight="1">
      <c r="A6604" s="26"/>
      <c r="B6604" s="86"/>
      <c r="D6604" s="26"/>
      <c r="F6604" s="87" t="str">
        <f t="shared" si="0"/>
        <v/>
      </c>
      <c r="H6604" s="26" t="str">
        <f t="shared" si="1"/>
        <v/>
      </c>
      <c r="I6604" s="26" t="str">
        <f t="shared" si="2"/>
        <v/>
      </c>
      <c r="J6604" s="86">
        <f t="shared" si="3"/>
        <v>0</v>
      </c>
      <c r="R6604" s="26"/>
    </row>
    <row r="6605" spans="1:18" ht="15.75" customHeight="1">
      <c r="A6605" s="26"/>
      <c r="B6605" s="86"/>
      <c r="D6605" s="26"/>
      <c r="F6605" s="87" t="str">
        <f t="shared" si="0"/>
        <v/>
      </c>
      <c r="H6605" s="26" t="str">
        <f t="shared" si="1"/>
        <v/>
      </c>
      <c r="I6605" s="26" t="str">
        <f t="shared" si="2"/>
        <v/>
      </c>
      <c r="J6605" s="86">
        <f t="shared" si="3"/>
        <v>0</v>
      </c>
      <c r="R6605" s="26"/>
    </row>
    <row r="6606" spans="1:18" ht="15.75" customHeight="1">
      <c r="A6606" s="26"/>
      <c r="B6606" s="86"/>
      <c r="D6606" s="26"/>
      <c r="F6606" s="87" t="str">
        <f t="shared" si="0"/>
        <v/>
      </c>
      <c r="H6606" s="26" t="str">
        <f t="shared" si="1"/>
        <v/>
      </c>
      <c r="I6606" s="26" t="str">
        <f t="shared" si="2"/>
        <v/>
      </c>
      <c r="J6606" s="86">
        <f t="shared" si="3"/>
        <v>0</v>
      </c>
      <c r="R6606" s="26"/>
    </row>
    <row r="6607" spans="1:18" ht="15.75" customHeight="1">
      <c r="A6607" s="26"/>
      <c r="B6607" s="86"/>
      <c r="D6607" s="26"/>
      <c r="F6607" s="87" t="str">
        <f t="shared" si="0"/>
        <v/>
      </c>
      <c r="H6607" s="26" t="str">
        <f t="shared" si="1"/>
        <v/>
      </c>
      <c r="I6607" s="26" t="str">
        <f t="shared" si="2"/>
        <v/>
      </c>
      <c r="J6607" s="86">
        <f t="shared" si="3"/>
        <v>0</v>
      </c>
      <c r="R6607" s="26"/>
    </row>
    <row r="6608" spans="1:18" ht="15.75" customHeight="1">
      <c r="A6608" s="26"/>
      <c r="B6608" s="86"/>
      <c r="D6608" s="26"/>
      <c r="F6608" s="87" t="str">
        <f t="shared" si="0"/>
        <v/>
      </c>
      <c r="H6608" s="26" t="str">
        <f t="shared" si="1"/>
        <v/>
      </c>
      <c r="I6608" s="26" t="str">
        <f t="shared" si="2"/>
        <v/>
      </c>
      <c r="J6608" s="86">
        <f t="shared" si="3"/>
        <v>0</v>
      </c>
      <c r="R6608" s="26"/>
    </row>
    <row r="6609" spans="1:18" ht="15.75" customHeight="1">
      <c r="A6609" s="26"/>
      <c r="B6609" s="86"/>
      <c r="D6609" s="26"/>
      <c r="F6609" s="87" t="str">
        <f t="shared" si="0"/>
        <v/>
      </c>
      <c r="H6609" s="26" t="str">
        <f t="shared" si="1"/>
        <v/>
      </c>
      <c r="I6609" s="26" t="str">
        <f t="shared" si="2"/>
        <v/>
      </c>
      <c r="J6609" s="86">
        <f t="shared" si="3"/>
        <v>0</v>
      </c>
      <c r="R6609" s="26"/>
    </row>
    <row r="6610" spans="1:18" ht="15.75" customHeight="1">
      <c r="A6610" s="26"/>
      <c r="B6610" s="86"/>
      <c r="D6610" s="26"/>
      <c r="F6610" s="87" t="str">
        <f t="shared" si="0"/>
        <v/>
      </c>
      <c r="H6610" s="26" t="str">
        <f t="shared" si="1"/>
        <v/>
      </c>
      <c r="I6610" s="26" t="str">
        <f t="shared" si="2"/>
        <v/>
      </c>
      <c r="J6610" s="86">
        <f t="shared" si="3"/>
        <v>0</v>
      </c>
      <c r="R6610" s="26"/>
    </row>
    <row r="6611" spans="1:18" ht="15.75" customHeight="1">
      <c r="A6611" s="26"/>
      <c r="B6611" s="86"/>
      <c r="D6611" s="26"/>
      <c r="F6611" s="87" t="str">
        <f t="shared" si="0"/>
        <v/>
      </c>
      <c r="H6611" s="26" t="str">
        <f t="shared" si="1"/>
        <v/>
      </c>
      <c r="I6611" s="26" t="str">
        <f t="shared" si="2"/>
        <v/>
      </c>
      <c r="J6611" s="86">
        <f t="shared" si="3"/>
        <v>0</v>
      </c>
      <c r="R6611" s="26"/>
    </row>
    <row r="6612" spans="1:18" ht="15.75" customHeight="1">
      <c r="A6612" s="26"/>
      <c r="B6612" s="86"/>
      <c r="D6612" s="26"/>
      <c r="F6612" s="87" t="str">
        <f t="shared" si="0"/>
        <v/>
      </c>
      <c r="H6612" s="26" t="str">
        <f t="shared" si="1"/>
        <v/>
      </c>
      <c r="I6612" s="26" t="str">
        <f t="shared" si="2"/>
        <v/>
      </c>
      <c r="J6612" s="86">
        <f t="shared" si="3"/>
        <v>0</v>
      </c>
      <c r="R6612" s="26"/>
    </row>
    <row r="6613" spans="1:18" ht="15.75" customHeight="1">
      <c r="A6613" s="26"/>
      <c r="B6613" s="86"/>
      <c r="D6613" s="26"/>
      <c r="F6613" s="87" t="str">
        <f t="shared" si="0"/>
        <v/>
      </c>
      <c r="H6613" s="26" t="str">
        <f t="shared" si="1"/>
        <v/>
      </c>
      <c r="I6613" s="26" t="str">
        <f t="shared" si="2"/>
        <v/>
      </c>
      <c r="J6613" s="86">
        <f t="shared" si="3"/>
        <v>0</v>
      </c>
      <c r="R6613" s="26"/>
    </row>
    <row r="6614" spans="1:18" ht="15.75" customHeight="1">
      <c r="A6614" s="26"/>
      <c r="B6614" s="86"/>
      <c r="D6614" s="26"/>
      <c r="F6614" s="87" t="str">
        <f t="shared" si="0"/>
        <v/>
      </c>
      <c r="H6614" s="26" t="str">
        <f t="shared" si="1"/>
        <v/>
      </c>
      <c r="I6614" s="26" t="str">
        <f t="shared" si="2"/>
        <v/>
      </c>
      <c r="J6614" s="86">
        <f t="shared" si="3"/>
        <v>0</v>
      </c>
      <c r="R6614" s="26"/>
    </row>
    <row r="6615" spans="1:18" ht="15.75" customHeight="1">
      <c r="A6615" s="26"/>
      <c r="B6615" s="86"/>
      <c r="D6615" s="26"/>
      <c r="F6615" s="87" t="str">
        <f t="shared" si="0"/>
        <v/>
      </c>
      <c r="H6615" s="26" t="str">
        <f t="shared" si="1"/>
        <v/>
      </c>
      <c r="I6615" s="26" t="str">
        <f t="shared" si="2"/>
        <v/>
      </c>
      <c r="J6615" s="86">
        <f t="shared" si="3"/>
        <v>0</v>
      </c>
      <c r="R6615" s="26"/>
    </row>
    <row r="6616" spans="1:18" ht="15.75" customHeight="1">
      <c r="A6616" s="26"/>
      <c r="B6616" s="86"/>
      <c r="D6616" s="26"/>
      <c r="F6616" s="87" t="str">
        <f t="shared" si="0"/>
        <v/>
      </c>
      <c r="H6616" s="26" t="str">
        <f t="shared" si="1"/>
        <v/>
      </c>
      <c r="I6616" s="26" t="str">
        <f t="shared" si="2"/>
        <v/>
      </c>
      <c r="J6616" s="86">
        <f t="shared" si="3"/>
        <v>0</v>
      </c>
      <c r="R6616" s="26"/>
    </row>
    <row r="6617" spans="1:18" ht="15.75" customHeight="1">
      <c r="A6617" s="26"/>
      <c r="B6617" s="86"/>
      <c r="D6617" s="26"/>
      <c r="F6617" s="87" t="str">
        <f t="shared" si="0"/>
        <v/>
      </c>
      <c r="H6617" s="26" t="str">
        <f t="shared" si="1"/>
        <v/>
      </c>
      <c r="I6617" s="26" t="str">
        <f t="shared" si="2"/>
        <v/>
      </c>
      <c r="J6617" s="86">
        <f t="shared" si="3"/>
        <v>0</v>
      </c>
      <c r="R6617" s="26"/>
    </row>
    <row r="6618" spans="1:18" ht="15.75" customHeight="1">
      <c r="A6618" s="26"/>
      <c r="B6618" s="86"/>
      <c r="D6618" s="26"/>
      <c r="F6618" s="87" t="str">
        <f t="shared" si="0"/>
        <v/>
      </c>
      <c r="H6618" s="26" t="str">
        <f t="shared" si="1"/>
        <v/>
      </c>
      <c r="I6618" s="26" t="str">
        <f t="shared" si="2"/>
        <v/>
      </c>
      <c r="J6618" s="86">
        <f t="shared" si="3"/>
        <v>0</v>
      </c>
      <c r="R6618" s="26"/>
    </row>
    <row r="6619" spans="1:18" ht="15.75" customHeight="1">
      <c r="A6619" s="26"/>
      <c r="B6619" s="86"/>
      <c r="D6619" s="26"/>
      <c r="F6619" s="87" t="str">
        <f t="shared" si="0"/>
        <v/>
      </c>
      <c r="H6619" s="26" t="str">
        <f t="shared" si="1"/>
        <v/>
      </c>
      <c r="I6619" s="26" t="str">
        <f t="shared" si="2"/>
        <v/>
      </c>
      <c r="J6619" s="86">
        <f t="shared" si="3"/>
        <v>0</v>
      </c>
      <c r="R6619" s="26"/>
    </row>
    <row r="6620" spans="1:18" ht="15.75" customHeight="1">
      <c r="A6620" s="26"/>
      <c r="B6620" s="86"/>
      <c r="D6620" s="26"/>
      <c r="F6620" s="87" t="str">
        <f t="shared" si="0"/>
        <v/>
      </c>
      <c r="H6620" s="26" t="str">
        <f t="shared" si="1"/>
        <v/>
      </c>
      <c r="I6620" s="26" t="str">
        <f t="shared" si="2"/>
        <v/>
      </c>
      <c r="J6620" s="86">
        <f t="shared" si="3"/>
        <v>0</v>
      </c>
      <c r="R6620" s="26"/>
    </row>
    <row r="6621" spans="1:18" ht="15.75" customHeight="1">
      <c r="A6621" s="26"/>
      <c r="B6621" s="86"/>
      <c r="D6621" s="26"/>
      <c r="F6621" s="87" t="str">
        <f t="shared" si="0"/>
        <v/>
      </c>
      <c r="H6621" s="26" t="str">
        <f t="shared" si="1"/>
        <v/>
      </c>
      <c r="I6621" s="26" t="str">
        <f t="shared" si="2"/>
        <v/>
      </c>
      <c r="J6621" s="86">
        <f t="shared" si="3"/>
        <v>0</v>
      </c>
      <c r="R6621" s="26"/>
    </row>
    <row r="6622" spans="1:18" ht="15.75" customHeight="1">
      <c r="A6622" s="26"/>
      <c r="B6622" s="86"/>
      <c r="D6622" s="26"/>
      <c r="F6622" s="87" t="str">
        <f t="shared" si="0"/>
        <v/>
      </c>
      <c r="H6622" s="26" t="str">
        <f t="shared" si="1"/>
        <v/>
      </c>
      <c r="I6622" s="26" t="str">
        <f t="shared" si="2"/>
        <v/>
      </c>
      <c r="J6622" s="86">
        <f t="shared" si="3"/>
        <v>0</v>
      </c>
      <c r="R6622" s="26"/>
    </row>
    <row r="6623" spans="1:18" ht="15.75" customHeight="1">
      <c r="A6623" s="26"/>
      <c r="B6623" s="86"/>
      <c r="D6623" s="26"/>
      <c r="F6623" s="87" t="str">
        <f t="shared" si="0"/>
        <v/>
      </c>
      <c r="H6623" s="26" t="str">
        <f t="shared" si="1"/>
        <v/>
      </c>
      <c r="I6623" s="26" t="str">
        <f t="shared" si="2"/>
        <v/>
      </c>
      <c r="J6623" s="86">
        <f t="shared" si="3"/>
        <v>0</v>
      </c>
      <c r="R6623" s="26"/>
    </row>
    <row r="6624" spans="1:18" ht="15.75" customHeight="1">
      <c r="A6624" s="26"/>
      <c r="B6624" s="86"/>
      <c r="D6624" s="26"/>
      <c r="F6624" s="87" t="str">
        <f t="shared" si="0"/>
        <v/>
      </c>
      <c r="H6624" s="26" t="str">
        <f t="shared" si="1"/>
        <v/>
      </c>
      <c r="I6624" s="26" t="str">
        <f t="shared" si="2"/>
        <v/>
      </c>
      <c r="J6624" s="86">
        <f t="shared" si="3"/>
        <v>0</v>
      </c>
      <c r="R6624" s="26"/>
    </row>
    <row r="6625" spans="1:18" ht="15.75" customHeight="1">
      <c r="A6625" s="26"/>
      <c r="B6625" s="86"/>
      <c r="D6625" s="26"/>
      <c r="F6625" s="87" t="str">
        <f t="shared" si="0"/>
        <v/>
      </c>
      <c r="H6625" s="26" t="str">
        <f t="shared" si="1"/>
        <v/>
      </c>
      <c r="I6625" s="26" t="str">
        <f t="shared" si="2"/>
        <v/>
      </c>
      <c r="J6625" s="86">
        <f t="shared" si="3"/>
        <v>0</v>
      </c>
      <c r="R6625" s="26"/>
    </row>
    <row r="6626" spans="1:18" ht="15.75" customHeight="1">
      <c r="A6626" s="26"/>
      <c r="B6626" s="86"/>
      <c r="D6626" s="26"/>
      <c r="F6626" s="87" t="str">
        <f t="shared" si="0"/>
        <v/>
      </c>
      <c r="H6626" s="26" t="str">
        <f t="shared" si="1"/>
        <v/>
      </c>
      <c r="I6626" s="26" t="str">
        <f t="shared" si="2"/>
        <v/>
      </c>
      <c r="J6626" s="86">
        <f t="shared" si="3"/>
        <v>0</v>
      </c>
      <c r="R6626" s="26"/>
    </row>
    <row r="6627" spans="1:18" ht="15.75" customHeight="1">
      <c r="A6627" s="26"/>
      <c r="B6627" s="86"/>
      <c r="D6627" s="26"/>
      <c r="F6627" s="87" t="str">
        <f t="shared" si="0"/>
        <v/>
      </c>
      <c r="H6627" s="26" t="str">
        <f t="shared" si="1"/>
        <v/>
      </c>
      <c r="I6627" s="26" t="str">
        <f t="shared" si="2"/>
        <v/>
      </c>
      <c r="J6627" s="86">
        <f t="shared" si="3"/>
        <v>0</v>
      </c>
      <c r="R6627" s="26"/>
    </row>
    <row r="6628" spans="1:18" ht="15.75" customHeight="1">
      <c r="A6628" s="26"/>
      <c r="B6628" s="86"/>
      <c r="D6628" s="26"/>
      <c r="F6628" s="87" t="str">
        <f t="shared" si="0"/>
        <v/>
      </c>
      <c r="H6628" s="26" t="str">
        <f t="shared" si="1"/>
        <v/>
      </c>
      <c r="I6628" s="26" t="str">
        <f t="shared" si="2"/>
        <v/>
      </c>
      <c r="J6628" s="86">
        <f t="shared" si="3"/>
        <v>0</v>
      </c>
      <c r="R6628" s="26"/>
    </row>
    <row r="6629" spans="1:18" ht="15.75" customHeight="1">
      <c r="A6629" s="26"/>
      <c r="B6629" s="86"/>
      <c r="D6629" s="26"/>
      <c r="F6629" s="87" t="str">
        <f t="shared" si="0"/>
        <v/>
      </c>
      <c r="H6629" s="26" t="str">
        <f t="shared" si="1"/>
        <v/>
      </c>
      <c r="I6629" s="26" t="str">
        <f t="shared" si="2"/>
        <v/>
      </c>
      <c r="J6629" s="86">
        <f t="shared" si="3"/>
        <v>0</v>
      </c>
      <c r="R6629" s="26"/>
    </row>
    <row r="6630" spans="1:18" ht="15.75" customHeight="1">
      <c r="A6630" s="26"/>
      <c r="B6630" s="86"/>
      <c r="D6630" s="26"/>
      <c r="F6630" s="87" t="str">
        <f t="shared" si="0"/>
        <v/>
      </c>
      <c r="H6630" s="26" t="str">
        <f t="shared" si="1"/>
        <v/>
      </c>
      <c r="I6630" s="26" t="str">
        <f t="shared" si="2"/>
        <v/>
      </c>
      <c r="J6630" s="86">
        <f t="shared" si="3"/>
        <v>0</v>
      </c>
      <c r="R6630" s="26"/>
    </row>
    <row r="6631" spans="1:18" ht="15.75" customHeight="1">
      <c r="A6631" s="26"/>
      <c r="B6631" s="86"/>
      <c r="D6631" s="26"/>
      <c r="F6631" s="87" t="str">
        <f t="shared" si="0"/>
        <v/>
      </c>
      <c r="H6631" s="26" t="str">
        <f t="shared" si="1"/>
        <v/>
      </c>
      <c r="I6631" s="26" t="str">
        <f t="shared" si="2"/>
        <v/>
      </c>
      <c r="J6631" s="86">
        <f t="shared" si="3"/>
        <v>0</v>
      </c>
      <c r="R6631" s="26"/>
    </row>
    <row r="6632" spans="1:18" ht="15.75" customHeight="1">
      <c r="A6632" s="26"/>
      <c r="B6632" s="86"/>
      <c r="D6632" s="26"/>
      <c r="F6632" s="87" t="str">
        <f t="shared" si="0"/>
        <v/>
      </c>
      <c r="H6632" s="26" t="str">
        <f t="shared" si="1"/>
        <v/>
      </c>
      <c r="I6632" s="26" t="str">
        <f t="shared" si="2"/>
        <v/>
      </c>
      <c r="J6632" s="86">
        <f t="shared" si="3"/>
        <v>0</v>
      </c>
      <c r="R6632" s="26"/>
    </row>
    <row r="6633" spans="1:18" ht="15.75" customHeight="1">
      <c r="A6633" s="26"/>
      <c r="B6633" s="86"/>
      <c r="D6633" s="26"/>
      <c r="F6633" s="87" t="str">
        <f t="shared" si="0"/>
        <v/>
      </c>
      <c r="H6633" s="26" t="str">
        <f t="shared" si="1"/>
        <v/>
      </c>
      <c r="I6633" s="26" t="str">
        <f t="shared" si="2"/>
        <v/>
      </c>
      <c r="J6633" s="86">
        <f t="shared" si="3"/>
        <v>0</v>
      </c>
      <c r="R6633" s="26"/>
    </row>
    <row r="6634" spans="1:18" ht="15.75" customHeight="1">
      <c r="A6634" s="26"/>
      <c r="B6634" s="86"/>
      <c r="D6634" s="26"/>
      <c r="F6634" s="87" t="str">
        <f t="shared" si="0"/>
        <v/>
      </c>
      <c r="H6634" s="26" t="str">
        <f t="shared" si="1"/>
        <v/>
      </c>
      <c r="I6634" s="26" t="str">
        <f t="shared" si="2"/>
        <v/>
      </c>
      <c r="J6634" s="86">
        <f t="shared" si="3"/>
        <v>0</v>
      </c>
      <c r="R6634" s="26"/>
    </row>
    <row r="6635" spans="1:18" ht="15.75" customHeight="1">
      <c r="A6635" s="26"/>
      <c r="B6635" s="86"/>
      <c r="D6635" s="26"/>
      <c r="F6635" s="87" t="str">
        <f t="shared" si="0"/>
        <v/>
      </c>
      <c r="H6635" s="26" t="str">
        <f t="shared" si="1"/>
        <v/>
      </c>
      <c r="I6635" s="26" t="str">
        <f t="shared" si="2"/>
        <v/>
      </c>
      <c r="J6635" s="86">
        <f t="shared" si="3"/>
        <v>0</v>
      </c>
      <c r="R6635" s="26"/>
    </row>
    <row r="6636" spans="1:18" ht="15.75" customHeight="1">
      <c r="A6636" s="26"/>
      <c r="B6636" s="86"/>
      <c r="D6636" s="26"/>
      <c r="F6636" s="87" t="str">
        <f t="shared" si="0"/>
        <v/>
      </c>
      <c r="H6636" s="26" t="str">
        <f t="shared" si="1"/>
        <v/>
      </c>
      <c r="I6636" s="26" t="str">
        <f t="shared" si="2"/>
        <v/>
      </c>
      <c r="J6636" s="86">
        <f t="shared" si="3"/>
        <v>0</v>
      </c>
      <c r="R6636" s="26"/>
    </row>
    <row r="6637" spans="1:18" ht="15.75" customHeight="1">
      <c r="A6637" s="26"/>
      <c r="B6637" s="86"/>
      <c r="D6637" s="26"/>
      <c r="F6637" s="87" t="str">
        <f t="shared" si="0"/>
        <v/>
      </c>
      <c r="H6637" s="26" t="str">
        <f t="shared" si="1"/>
        <v/>
      </c>
      <c r="I6637" s="26" t="str">
        <f t="shared" si="2"/>
        <v/>
      </c>
      <c r="J6637" s="86">
        <f t="shared" si="3"/>
        <v>0</v>
      </c>
      <c r="R6637" s="26"/>
    </row>
    <row r="6638" spans="1:18" ht="15.75" customHeight="1">
      <c r="A6638" s="26"/>
      <c r="B6638" s="86"/>
      <c r="D6638" s="26"/>
      <c r="F6638" s="87" t="str">
        <f t="shared" si="0"/>
        <v/>
      </c>
      <c r="H6638" s="26" t="str">
        <f t="shared" si="1"/>
        <v/>
      </c>
      <c r="I6638" s="26" t="str">
        <f t="shared" si="2"/>
        <v/>
      </c>
      <c r="J6638" s="86">
        <f t="shared" si="3"/>
        <v>0</v>
      </c>
      <c r="R6638" s="26"/>
    </row>
    <row r="6639" spans="1:18" ht="15.75" customHeight="1">
      <c r="A6639" s="26"/>
      <c r="B6639" s="86"/>
      <c r="D6639" s="26"/>
      <c r="F6639" s="87" t="str">
        <f t="shared" si="0"/>
        <v/>
      </c>
      <c r="H6639" s="26" t="str">
        <f t="shared" si="1"/>
        <v/>
      </c>
      <c r="I6639" s="26" t="str">
        <f t="shared" si="2"/>
        <v/>
      </c>
      <c r="J6639" s="86">
        <f t="shared" si="3"/>
        <v>0</v>
      </c>
      <c r="R6639" s="26"/>
    </row>
    <row r="6640" spans="1:18" ht="15.75" customHeight="1">
      <c r="A6640" s="26"/>
      <c r="B6640" s="86"/>
      <c r="D6640" s="26"/>
      <c r="F6640" s="87" t="str">
        <f t="shared" si="0"/>
        <v/>
      </c>
      <c r="H6640" s="26" t="str">
        <f t="shared" si="1"/>
        <v/>
      </c>
      <c r="I6640" s="26" t="str">
        <f t="shared" si="2"/>
        <v/>
      </c>
      <c r="J6640" s="86">
        <f t="shared" si="3"/>
        <v>0</v>
      </c>
      <c r="R6640" s="26"/>
    </row>
    <row r="6641" spans="1:18" ht="15.75" customHeight="1">
      <c r="A6641" s="26"/>
      <c r="B6641" s="86"/>
      <c r="D6641" s="26"/>
      <c r="F6641" s="87" t="str">
        <f t="shared" si="0"/>
        <v/>
      </c>
      <c r="H6641" s="26" t="str">
        <f t="shared" si="1"/>
        <v/>
      </c>
      <c r="I6641" s="26" t="str">
        <f t="shared" si="2"/>
        <v/>
      </c>
      <c r="J6641" s="86">
        <f t="shared" si="3"/>
        <v>0</v>
      </c>
      <c r="R6641" s="26"/>
    </row>
    <row r="6642" spans="1:18" ht="15.75" customHeight="1">
      <c r="A6642" s="26"/>
      <c r="B6642" s="86"/>
      <c r="D6642" s="26"/>
      <c r="F6642" s="87" t="str">
        <f t="shared" si="0"/>
        <v/>
      </c>
      <c r="H6642" s="26" t="str">
        <f t="shared" si="1"/>
        <v/>
      </c>
      <c r="I6642" s="26" t="str">
        <f t="shared" si="2"/>
        <v/>
      </c>
      <c r="J6642" s="86">
        <f t="shared" si="3"/>
        <v>0</v>
      </c>
      <c r="R6642" s="26"/>
    </row>
    <row r="6643" spans="1:18" ht="15.75" customHeight="1">
      <c r="A6643" s="26"/>
      <c r="B6643" s="86"/>
      <c r="D6643" s="26"/>
      <c r="F6643" s="87" t="str">
        <f t="shared" si="0"/>
        <v/>
      </c>
      <c r="H6643" s="26" t="str">
        <f t="shared" si="1"/>
        <v/>
      </c>
      <c r="I6643" s="26" t="str">
        <f t="shared" si="2"/>
        <v/>
      </c>
      <c r="J6643" s="86">
        <f t="shared" si="3"/>
        <v>0</v>
      </c>
      <c r="R6643" s="26"/>
    </row>
    <row r="6644" spans="1:18" ht="15.75" customHeight="1">
      <c r="A6644" s="26"/>
      <c r="B6644" s="86"/>
      <c r="D6644" s="26"/>
      <c r="F6644" s="87" t="str">
        <f t="shared" si="0"/>
        <v/>
      </c>
      <c r="H6644" s="26" t="str">
        <f t="shared" si="1"/>
        <v/>
      </c>
      <c r="I6644" s="26" t="str">
        <f t="shared" si="2"/>
        <v/>
      </c>
      <c r="J6644" s="86">
        <f t="shared" si="3"/>
        <v>0</v>
      </c>
      <c r="R6644" s="26"/>
    </row>
    <row r="6645" spans="1:18" ht="15.75" customHeight="1">
      <c r="A6645" s="26"/>
      <c r="B6645" s="86"/>
      <c r="D6645" s="26"/>
      <c r="F6645" s="87" t="str">
        <f t="shared" si="0"/>
        <v/>
      </c>
      <c r="H6645" s="26" t="str">
        <f t="shared" si="1"/>
        <v/>
      </c>
      <c r="I6645" s="26" t="str">
        <f t="shared" si="2"/>
        <v/>
      </c>
      <c r="J6645" s="86">
        <f t="shared" si="3"/>
        <v>0</v>
      </c>
      <c r="R6645" s="26"/>
    </row>
    <row r="6646" spans="1:18" ht="15.75" customHeight="1">
      <c r="A6646" s="26"/>
      <c r="B6646" s="86"/>
      <c r="D6646" s="26"/>
      <c r="F6646" s="87" t="str">
        <f t="shared" si="0"/>
        <v/>
      </c>
      <c r="H6646" s="26" t="str">
        <f t="shared" si="1"/>
        <v/>
      </c>
      <c r="I6646" s="26" t="str">
        <f t="shared" si="2"/>
        <v/>
      </c>
      <c r="J6646" s="86">
        <f t="shared" si="3"/>
        <v>0</v>
      </c>
      <c r="R6646" s="26"/>
    </row>
    <row r="6647" spans="1:18" ht="15.75" customHeight="1">
      <c r="A6647" s="26"/>
      <c r="B6647" s="86"/>
      <c r="D6647" s="26"/>
      <c r="F6647" s="87" t="str">
        <f t="shared" si="0"/>
        <v/>
      </c>
      <c r="H6647" s="26" t="str">
        <f t="shared" si="1"/>
        <v/>
      </c>
      <c r="I6647" s="26" t="str">
        <f t="shared" si="2"/>
        <v/>
      </c>
      <c r="J6647" s="86">
        <f t="shared" si="3"/>
        <v>0</v>
      </c>
      <c r="R6647" s="26"/>
    </row>
    <row r="6648" spans="1:18" ht="15.75" customHeight="1">
      <c r="A6648" s="26"/>
      <c r="B6648" s="86"/>
      <c r="D6648" s="26"/>
      <c r="F6648" s="87" t="str">
        <f t="shared" si="0"/>
        <v/>
      </c>
      <c r="H6648" s="26" t="str">
        <f t="shared" si="1"/>
        <v/>
      </c>
      <c r="I6648" s="26" t="str">
        <f t="shared" si="2"/>
        <v/>
      </c>
      <c r="J6648" s="86">
        <f t="shared" si="3"/>
        <v>0</v>
      </c>
      <c r="R6648" s="26"/>
    </row>
    <row r="6649" spans="1:18" ht="15.75" customHeight="1">
      <c r="A6649" s="26"/>
      <c r="B6649" s="86"/>
      <c r="D6649" s="26"/>
      <c r="F6649" s="87" t="str">
        <f t="shared" si="0"/>
        <v/>
      </c>
      <c r="H6649" s="26" t="str">
        <f t="shared" si="1"/>
        <v/>
      </c>
      <c r="I6649" s="26" t="str">
        <f t="shared" si="2"/>
        <v/>
      </c>
      <c r="J6649" s="86">
        <f t="shared" si="3"/>
        <v>0</v>
      </c>
      <c r="R6649" s="26"/>
    </row>
    <row r="6650" spans="1:18" ht="15.75" customHeight="1">
      <c r="A6650" s="26"/>
      <c r="B6650" s="86"/>
      <c r="D6650" s="26"/>
      <c r="F6650" s="87" t="str">
        <f t="shared" si="0"/>
        <v/>
      </c>
      <c r="H6650" s="26" t="str">
        <f t="shared" si="1"/>
        <v/>
      </c>
      <c r="I6650" s="26" t="str">
        <f t="shared" si="2"/>
        <v/>
      </c>
      <c r="J6650" s="86">
        <f t="shared" si="3"/>
        <v>0</v>
      </c>
      <c r="R6650" s="26"/>
    </row>
    <row r="6651" spans="1:18" ht="15.75" customHeight="1">
      <c r="A6651" s="26"/>
      <c r="B6651" s="86"/>
      <c r="D6651" s="26"/>
      <c r="F6651" s="87" t="str">
        <f t="shared" si="0"/>
        <v/>
      </c>
      <c r="H6651" s="26" t="str">
        <f t="shared" si="1"/>
        <v/>
      </c>
      <c r="I6651" s="26" t="str">
        <f t="shared" si="2"/>
        <v/>
      </c>
      <c r="J6651" s="86">
        <f t="shared" si="3"/>
        <v>0</v>
      </c>
      <c r="R6651" s="26"/>
    </row>
    <row r="6652" spans="1:18" ht="15.75" customHeight="1">
      <c r="A6652" s="26"/>
      <c r="B6652" s="86"/>
      <c r="D6652" s="26"/>
      <c r="F6652" s="87" t="str">
        <f t="shared" si="0"/>
        <v/>
      </c>
      <c r="H6652" s="26" t="str">
        <f t="shared" si="1"/>
        <v/>
      </c>
      <c r="I6652" s="26" t="str">
        <f t="shared" si="2"/>
        <v/>
      </c>
      <c r="J6652" s="86">
        <f t="shared" si="3"/>
        <v>0</v>
      </c>
      <c r="R6652" s="26"/>
    </row>
    <row r="6653" spans="1:18" ht="15.75" customHeight="1">
      <c r="A6653" s="26"/>
      <c r="B6653" s="86"/>
      <c r="D6653" s="26"/>
      <c r="F6653" s="87" t="str">
        <f t="shared" si="0"/>
        <v/>
      </c>
      <c r="H6653" s="26" t="str">
        <f t="shared" si="1"/>
        <v/>
      </c>
      <c r="I6653" s="26" t="str">
        <f t="shared" si="2"/>
        <v/>
      </c>
      <c r="J6653" s="86">
        <f t="shared" si="3"/>
        <v>0</v>
      </c>
      <c r="R6653" s="26"/>
    </row>
    <row r="6654" spans="1:18" ht="15.75" customHeight="1">
      <c r="A6654" s="26"/>
      <c r="B6654" s="86"/>
      <c r="D6654" s="26"/>
      <c r="F6654" s="87" t="str">
        <f t="shared" si="0"/>
        <v/>
      </c>
      <c r="H6654" s="26" t="str">
        <f t="shared" si="1"/>
        <v/>
      </c>
      <c r="I6654" s="26" t="str">
        <f t="shared" si="2"/>
        <v/>
      </c>
      <c r="J6654" s="86">
        <f t="shared" si="3"/>
        <v>0</v>
      </c>
      <c r="R6654" s="26"/>
    </row>
    <row r="6655" spans="1:18" ht="15.75" customHeight="1">
      <c r="A6655" s="26"/>
      <c r="B6655" s="86"/>
      <c r="D6655" s="26"/>
      <c r="F6655" s="87" t="str">
        <f t="shared" si="0"/>
        <v/>
      </c>
      <c r="H6655" s="26" t="str">
        <f t="shared" si="1"/>
        <v/>
      </c>
      <c r="I6655" s="26" t="str">
        <f t="shared" si="2"/>
        <v/>
      </c>
      <c r="J6655" s="86">
        <f t="shared" si="3"/>
        <v>0</v>
      </c>
      <c r="R6655" s="26"/>
    </row>
    <row r="6656" spans="1:18" ht="15.75" customHeight="1">
      <c r="A6656" s="26"/>
      <c r="B6656" s="86"/>
      <c r="D6656" s="26"/>
      <c r="F6656" s="87" t="str">
        <f t="shared" si="0"/>
        <v/>
      </c>
      <c r="H6656" s="26" t="str">
        <f t="shared" si="1"/>
        <v/>
      </c>
      <c r="I6656" s="26" t="str">
        <f t="shared" si="2"/>
        <v/>
      </c>
      <c r="J6656" s="86">
        <f t="shared" si="3"/>
        <v>0</v>
      </c>
      <c r="R6656" s="26"/>
    </row>
    <row r="6657" spans="1:18" ht="15.75" customHeight="1">
      <c r="A6657" s="26"/>
      <c r="B6657" s="86"/>
      <c r="D6657" s="26"/>
      <c r="F6657" s="87" t="str">
        <f t="shared" si="0"/>
        <v/>
      </c>
      <c r="H6657" s="26" t="str">
        <f t="shared" si="1"/>
        <v/>
      </c>
      <c r="I6657" s="26" t="str">
        <f t="shared" si="2"/>
        <v/>
      </c>
      <c r="J6657" s="86">
        <f t="shared" si="3"/>
        <v>0</v>
      </c>
      <c r="R6657" s="26"/>
    </row>
    <row r="6658" spans="1:18" ht="15.75" customHeight="1">
      <c r="A6658" s="26"/>
      <c r="B6658" s="86"/>
      <c r="D6658" s="26"/>
      <c r="F6658" s="87" t="str">
        <f t="shared" si="0"/>
        <v/>
      </c>
      <c r="H6658" s="26" t="str">
        <f t="shared" si="1"/>
        <v/>
      </c>
      <c r="I6658" s="26" t="str">
        <f t="shared" si="2"/>
        <v/>
      </c>
      <c r="J6658" s="86">
        <f t="shared" si="3"/>
        <v>0</v>
      </c>
      <c r="R6658" s="26"/>
    </row>
    <row r="6659" spans="1:18" ht="15.75" customHeight="1">
      <c r="A6659" s="26"/>
      <c r="B6659" s="86"/>
      <c r="D6659" s="26"/>
      <c r="F6659" s="87" t="str">
        <f t="shared" si="0"/>
        <v/>
      </c>
      <c r="H6659" s="26" t="str">
        <f t="shared" si="1"/>
        <v/>
      </c>
      <c r="I6659" s="26" t="str">
        <f t="shared" si="2"/>
        <v/>
      </c>
      <c r="J6659" s="86">
        <f t="shared" si="3"/>
        <v>0</v>
      </c>
      <c r="R6659" s="26"/>
    </row>
    <row r="6660" spans="1:18" ht="15.75" customHeight="1">
      <c r="A6660" s="26"/>
      <c r="B6660" s="86"/>
      <c r="D6660" s="26"/>
      <c r="F6660" s="87" t="str">
        <f t="shared" si="0"/>
        <v/>
      </c>
      <c r="H6660" s="26" t="str">
        <f t="shared" si="1"/>
        <v/>
      </c>
      <c r="I6660" s="26" t="str">
        <f t="shared" si="2"/>
        <v/>
      </c>
      <c r="J6660" s="86">
        <f t="shared" si="3"/>
        <v>0</v>
      </c>
      <c r="R6660" s="26"/>
    </row>
    <row r="6661" spans="1:18" ht="15.75" customHeight="1">
      <c r="A6661" s="26"/>
      <c r="B6661" s="86"/>
      <c r="D6661" s="26"/>
      <c r="F6661" s="87" t="str">
        <f t="shared" si="0"/>
        <v/>
      </c>
      <c r="H6661" s="26" t="str">
        <f t="shared" si="1"/>
        <v/>
      </c>
      <c r="I6661" s="26" t="str">
        <f t="shared" si="2"/>
        <v/>
      </c>
      <c r="J6661" s="86">
        <f t="shared" si="3"/>
        <v>0</v>
      </c>
      <c r="R6661" s="26"/>
    </row>
    <row r="6662" spans="1:18" ht="15.75" customHeight="1">
      <c r="A6662" s="26"/>
      <c r="B6662" s="86"/>
      <c r="D6662" s="26"/>
      <c r="F6662" s="87" t="str">
        <f t="shared" si="0"/>
        <v/>
      </c>
      <c r="H6662" s="26" t="str">
        <f t="shared" si="1"/>
        <v/>
      </c>
      <c r="I6662" s="26" t="str">
        <f t="shared" si="2"/>
        <v/>
      </c>
      <c r="J6662" s="86">
        <f t="shared" si="3"/>
        <v>0</v>
      </c>
      <c r="R6662" s="26"/>
    </row>
    <row r="6663" spans="1:18" ht="15.75" customHeight="1">
      <c r="A6663" s="26"/>
      <c r="B6663" s="86"/>
      <c r="D6663" s="26"/>
      <c r="F6663" s="87" t="str">
        <f t="shared" si="0"/>
        <v/>
      </c>
      <c r="H6663" s="26" t="str">
        <f t="shared" si="1"/>
        <v/>
      </c>
      <c r="I6663" s="26" t="str">
        <f t="shared" si="2"/>
        <v/>
      </c>
      <c r="J6663" s="86">
        <f t="shared" si="3"/>
        <v>0</v>
      </c>
      <c r="R6663" s="26"/>
    </row>
    <row r="6664" spans="1:18" ht="15.75" customHeight="1">
      <c r="A6664" s="26"/>
      <c r="B6664" s="86"/>
      <c r="D6664" s="26"/>
      <c r="F6664" s="87" t="str">
        <f t="shared" si="0"/>
        <v/>
      </c>
      <c r="H6664" s="26" t="str">
        <f t="shared" si="1"/>
        <v/>
      </c>
      <c r="I6664" s="26" t="str">
        <f t="shared" si="2"/>
        <v/>
      </c>
      <c r="J6664" s="86">
        <f t="shared" si="3"/>
        <v>0</v>
      </c>
      <c r="R6664" s="26"/>
    </row>
    <row r="6665" spans="1:18" ht="15.75" customHeight="1">
      <c r="A6665" s="26"/>
      <c r="B6665" s="86"/>
      <c r="D6665" s="26"/>
      <c r="F6665" s="87" t="str">
        <f t="shared" si="0"/>
        <v/>
      </c>
      <c r="H6665" s="26" t="str">
        <f t="shared" si="1"/>
        <v/>
      </c>
      <c r="I6665" s="26" t="str">
        <f t="shared" si="2"/>
        <v/>
      </c>
      <c r="J6665" s="86">
        <f t="shared" si="3"/>
        <v>0</v>
      </c>
      <c r="R6665" s="26"/>
    </row>
    <row r="6666" spans="1:18" ht="15.75" customHeight="1">
      <c r="A6666" s="26"/>
      <c r="B6666" s="86"/>
      <c r="D6666" s="26"/>
      <c r="F6666" s="87" t="str">
        <f t="shared" si="0"/>
        <v/>
      </c>
      <c r="H6666" s="26" t="str">
        <f t="shared" si="1"/>
        <v/>
      </c>
      <c r="I6666" s="26" t="str">
        <f t="shared" si="2"/>
        <v/>
      </c>
      <c r="J6666" s="86">
        <f t="shared" si="3"/>
        <v>0</v>
      </c>
      <c r="R6666" s="26"/>
    </row>
    <row r="6667" spans="1:18" ht="15.75" customHeight="1">
      <c r="A6667" s="26"/>
      <c r="B6667" s="86"/>
      <c r="D6667" s="26"/>
      <c r="F6667" s="87" t="str">
        <f t="shared" si="0"/>
        <v/>
      </c>
      <c r="H6667" s="26" t="str">
        <f t="shared" si="1"/>
        <v/>
      </c>
      <c r="I6667" s="26" t="str">
        <f t="shared" si="2"/>
        <v/>
      </c>
      <c r="J6667" s="86">
        <f t="shared" si="3"/>
        <v>0</v>
      </c>
      <c r="R6667" s="26"/>
    </row>
    <row r="6668" spans="1:18" ht="15.75" customHeight="1">
      <c r="A6668" s="26"/>
      <c r="B6668" s="86"/>
      <c r="D6668" s="26"/>
      <c r="F6668" s="87" t="str">
        <f t="shared" si="0"/>
        <v/>
      </c>
      <c r="H6668" s="26" t="str">
        <f t="shared" si="1"/>
        <v/>
      </c>
      <c r="I6668" s="26" t="str">
        <f t="shared" si="2"/>
        <v/>
      </c>
      <c r="J6668" s="86">
        <f t="shared" si="3"/>
        <v>0</v>
      </c>
      <c r="R6668" s="26"/>
    </row>
    <row r="6669" spans="1:18" ht="15.75" customHeight="1">
      <c r="A6669" s="26"/>
      <c r="B6669" s="86"/>
      <c r="D6669" s="26"/>
      <c r="F6669" s="87" t="str">
        <f t="shared" si="0"/>
        <v/>
      </c>
      <c r="H6669" s="26" t="str">
        <f t="shared" si="1"/>
        <v/>
      </c>
      <c r="I6669" s="26" t="str">
        <f t="shared" si="2"/>
        <v/>
      </c>
      <c r="J6669" s="86">
        <f t="shared" si="3"/>
        <v>0</v>
      </c>
      <c r="R6669" s="26"/>
    </row>
    <row r="6670" spans="1:18" ht="15.75" customHeight="1">
      <c r="A6670" s="26"/>
      <c r="B6670" s="86"/>
      <c r="D6670" s="26"/>
      <c r="F6670" s="87" t="str">
        <f t="shared" si="0"/>
        <v/>
      </c>
      <c r="H6670" s="26" t="str">
        <f t="shared" si="1"/>
        <v/>
      </c>
      <c r="I6670" s="26" t="str">
        <f t="shared" si="2"/>
        <v/>
      </c>
      <c r="J6670" s="86">
        <f t="shared" si="3"/>
        <v>0</v>
      </c>
      <c r="R6670" s="26"/>
    </row>
    <row r="6671" spans="1:18" ht="15.75" customHeight="1">
      <c r="A6671" s="26"/>
      <c r="B6671" s="86"/>
      <c r="D6671" s="26"/>
      <c r="F6671" s="87" t="str">
        <f t="shared" si="0"/>
        <v/>
      </c>
      <c r="H6671" s="26" t="str">
        <f t="shared" si="1"/>
        <v/>
      </c>
      <c r="I6671" s="26" t="str">
        <f t="shared" si="2"/>
        <v/>
      </c>
      <c r="J6671" s="86">
        <f t="shared" si="3"/>
        <v>0</v>
      </c>
      <c r="R6671" s="26"/>
    </row>
    <row r="6672" spans="1:18" ht="15.75" customHeight="1">
      <c r="A6672" s="26"/>
      <c r="B6672" s="86"/>
      <c r="D6672" s="26"/>
      <c r="F6672" s="87" t="str">
        <f t="shared" si="0"/>
        <v/>
      </c>
      <c r="H6672" s="26" t="str">
        <f t="shared" si="1"/>
        <v/>
      </c>
      <c r="I6672" s="26" t="str">
        <f t="shared" si="2"/>
        <v/>
      </c>
      <c r="J6672" s="86">
        <f t="shared" si="3"/>
        <v>0</v>
      </c>
      <c r="R6672" s="26"/>
    </row>
    <row r="6673" spans="1:18" ht="15.75" customHeight="1">
      <c r="A6673" s="26"/>
      <c r="B6673" s="86"/>
      <c r="D6673" s="26"/>
      <c r="F6673" s="87" t="str">
        <f t="shared" si="0"/>
        <v/>
      </c>
      <c r="H6673" s="26" t="str">
        <f t="shared" si="1"/>
        <v/>
      </c>
      <c r="I6673" s="26" t="str">
        <f t="shared" si="2"/>
        <v/>
      </c>
      <c r="J6673" s="86">
        <f t="shared" si="3"/>
        <v>0</v>
      </c>
      <c r="R6673" s="26"/>
    </row>
    <row r="6674" spans="1:18" ht="15.75" customHeight="1">
      <c r="A6674" s="26"/>
      <c r="B6674" s="86"/>
      <c r="D6674" s="26"/>
      <c r="F6674" s="87" t="str">
        <f t="shared" si="0"/>
        <v/>
      </c>
      <c r="H6674" s="26" t="str">
        <f t="shared" si="1"/>
        <v/>
      </c>
      <c r="I6674" s="26" t="str">
        <f t="shared" si="2"/>
        <v/>
      </c>
      <c r="J6674" s="86">
        <f t="shared" si="3"/>
        <v>0</v>
      </c>
      <c r="R6674" s="26"/>
    </row>
    <row r="6675" spans="1:18" ht="15.75" customHeight="1">
      <c r="A6675" s="26"/>
      <c r="B6675" s="86"/>
      <c r="D6675" s="26"/>
      <c r="F6675" s="87" t="str">
        <f t="shared" si="0"/>
        <v/>
      </c>
      <c r="H6675" s="26" t="str">
        <f t="shared" si="1"/>
        <v/>
      </c>
      <c r="I6675" s="26" t="str">
        <f t="shared" si="2"/>
        <v/>
      </c>
      <c r="J6675" s="86">
        <f t="shared" si="3"/>
        <v>0</v>
      </c>
      <c r="R6675" s="26"/>
    </row>
    <row r="6676" spans="1:18" ht="15.75" customHeight="1">
      <c r="A6676" s="26"/>
      <c r="B6676" s="86"/>
      <c r="D6676" s="26"/>
      <c r="F6676" s="87" t="str">
        <f t="shared" si="0"/>
        <v/>
      </c>
      <c r="H6676" s="26" t="str">
        <f t="shared" si="1"/>
        <v/>
      </c>
      <c r="I6676" s="26" t="str">
        <f t="shared" si="2"/>
        <v/>
      </c>
      <c r="J6676" s="86">
        <f t="shared" si="3"/>
        <v>0</v>
      </c>
      <c r="R6676" s="26"/>
    </row>
    <row r="6677" spans="1:18" ht="15.75" customHeight="1">
      <c r="A6677" s="26"/>
      <c r="B6677" s="86"/>
      <c r="D6677" s="26"/>
      <c r="F6677" s="87" t="str">
        <f t="shared" si="0"/>
        <v/>
      </c>
      <c r="H6677" s="26" t="str">
        <f t="shared" si="1"/>
        <v/>
      </c>
      <c r="I6677" s="26" t="str">
        <f t="shared" si="2"/>
        <v/>
      </c>
      <c r="J6677" s="86">
        <f t="shared" si="3"/>
        <v>0</v>
      </c>
      <c r="R6677" s="26"/>
    </row>
    <row r="6678" spans="1:18" ht="15.75" customHeight="1">
      <c r="A6678" s="26"/>
      <c r="B6678" s="86"/>
      <c r="D6678" s="26"/>
      <c r="F6678" s="87" t="str">
        <f t="shared" si="0"/>
        <v/>
      </c>
      <c r="H6678" s="26" t="str">
        <f t="shared" si="1"/>
        <v/>
      </c>
      <c r="I6678" s="26" t="str">
        <f t="shared" si="2"/>
        <v/>
      </c>
      <c r="J6678" s="86">
        <f t="shared" si="3"/>
        <v>0</v>
      </c>
      <c r="R6678" s="26"/>
    </row>
    <row r="6679" spans="1:18" ht="15.75" customHeight="1">
      <c r="A6679" s="26"/>
      <c r="B6679" s="86"/>
      <c r="D6679" s="26"/>
      <c r="F6679" s="87" t="str">
        <f t="shared" si="0"/>
        <v/>
      </c>
      <c r="H6679" s="26" t="str">
        <f t="shared" si="1"/>
        <v/>
      </c>
      <c r="I6679" s="26" t="str">
        <f t="shared" si="2"/>
        <v/>
      </c>
      <c r="J6679" s="86">
        <f t="shared" si="3"/>
        <v>0</v>
      </c>
      <c r="R6679" s="26"/>
    </row>
    <row r="6680" spans="1:18" ht="15.75" customHeight="1">
      <c r="A6680" s="26"/>
      <c r="B6680" s="86"/>
      <c r="D6680" s="26"/>
      <c r="F6680" s="87" t="str">
        <f t="shared" si="0"/>
        <v/>
      </c>
      <c r="H6680" s="26" t="str">
        <f t="shared" si="1"/>
        <v/>
      </c>
      <c r="I6680" s="26" t="str">
        <f t="shared" si="2"/>
        <v/>
      </c>
      <c r="J6680" s="86">
        <f t="shared" si="3"/>
        <v>0</v>
      </c>
      <c r="R6680" s="26"/>
    </row>
    <row r="6681" spans="1:18" ht="15.75" customHeight="1">
      <c r="A6681" s="26"/>
      <c r="B6681" s="86"/>
      <c r="D6681" s="26"/>
      <c r="F6681" s="87" t="str">
        <f t="shared" si="0"/>
        <v/>
      </c>
      <c r="H6681" s="26" t="str">
        <f t="shared" si="1"/>
        <v/>
      </c>
      <c r="I6681" s="26" t="str">
        <f t="shared" si="2"/>
        <v/>
      </c>
      <c r="J6681" s="86">
        <f t="shared" si="3"/>
        <v>0</v>
      </c>
      <c r="R6681" s="26"/>
    </row>
    <row r="6682" spans="1:18" ht="15.75" customHeight="1">
      <c r="A6682" s="26"/>
      <c r="B6682" s="86"/>
      <c r="D6682" s="26"/>
      <c r="F6682" s="87" t="str">
        <f t="shared" si="0"/>
        <v/>
      </c>
      <c r="H6682" s="26" t="str">
        <f t="shared" si="1"/>
        <v/>
      </c>
      <c r="I6682" s="26" t="str">
        <f t="shared" si="2"/>
        <v/>
      </c>
      <c r="J6682" s="86">
        <f t="shared" si="3"/>
        <v>0</v>
      </c>
      <c r="R6682" s="26"/>
    </row>
    <row r="6683" spans="1:18" ht="15.75" customHeight="1">
      <c r="A6683" s="26"/>
      <c r="B6683" s="86"/>
      <c r="D6683" s="26"/>
      <c r="F6683" s="87" t="str">
        <f t="shared" si="0"/>
        <v/>
      </c>
      <c r="H6683" s="26" t="str">
        <f t="shared" si="1"/>
        <v/>
      </c>
      <c r="I6683" s="26" t="str">
        <f t="shared" si="2"/>
        <v/>
      </c>
      <c r="J6683" s="86">
        <f t="shared" si="3"/>
        <v>0</v>
      </c>
      <c r="R6683" s="26"/>
    </row>
    <row r="6684" spans="1:18" ht="15.75" customHeight="1">
      <c r="A6684" s="26"/>
      <c r="B6684" s="86"/>
      <c r="D6684" s="26"/>
      <c r="F6684" s="87" t="str">
        <f t="shared" si="0"/>
        <v/>
      </c>
      <c r="H6684" s="26" t="str">
        <f t="shared" si="1"/>
        <v/>
      </c>
      <c r="I6684" s="26" t="str">
        <f t="shared" si="2"/>
        <v/>
      </c>
      <c r="J6684" s="86">
        <f t="shared" si="3"/>
        <v>0</v>
      </c>
      <c r="R6684" s="26"/>
    </row>
    <row r="6685" spans="1:18" ht="15.75" customHeight="1">
      <c r="A6685" s="26"/>
      <c r="B6685" s="86"/>
      <c r="D6685" s="26"/>
      <c r="F6685" s="87" t="str">
        <f t="shared" si="0"/>
        <v/>
      </c>
      <c r="H6685" s="26" t="str">
        <f t="shared" si="1"/>
        <v/>
      </c>
      <c r="I6685" s="26" t="str">
        <f t="shared" si="2"/>
        <v/>
      </c>
      <c r="J6685" s="86">
        <f t="shared" si="3"/>
        <v>0</v>
      </c>
      <c r="R6685" s="26"/>
    </row>
    <row r="6686" spans="1:18" ht="15.75" customHeight="1">
      <c r="A6686" s="26"/>
      <c r="B6686" s="86"/>
      <c r="D6686" s="26"/>
      <c r="F6686" s="87" t="str">
        <f t="shared" si="0"/>
        <v/>
      </c>
      <c r="H6686" s="26" t="str">
        <f t="shared" si="1"/>
        <v/>
      </c>
      <c r="I6686" s="26" t="str">
        <f t="shared" si="2"/>
        <v/>
      </c>
      <c r="J6686" s="86">
        <f t="shared" si="3"/>
        <v>0</v>
      </c>
      <c r="R6686" s="26"/>
    </row>
    <row r="6687" spans="1:18" ht="15.75" customHeight="1">
      <c r="A6687" s="26"/>
      <c r="B6687" s="86"/>
      <c r="D6687" s="26"/>
      <c r="F6687" s="87" t="str">
        <f t="shared" si="0"/>
        <v/>
      </c>
      <c r="H6687" s="26" t="str">
        <f t="shared" si="1"/>
        <v/>
      </c>
      <c r="I6687" s="26" t="str">
        <f t="shared" si="2"/>
        <v/>
      </c>
      <c r="J6687" s="86">
        <f t="shared" si="3"/>
        <v>0</v>
      </c>
      <c r="R6687" s="26"/>
    </row>
    <row r="6688" spans="1:18" ht="15.75" customHeight="1">
      <c r="A6688" s="26"/>
      <c r="B6688" s="86"/>
      <c r="D6688" s="26"/>
      <c r="F6688" s="87" t="str">
        <f t="shared" si="0"/>
        <v/>
      </c>
      <c r="H6688" s="26" t="str">
        <f t="shared" si="1"/>
        <v/>
      </c>
      <c r="I6688" s="26" t="str">
        <f t="shared" si="2"/>
        <v/>
      </c>
      <c r="J6688" s="86">
        <f t="shared" si="3"/>
        <v>0</v>
      </c>
      <c r="R6688" s="26"/>
    </row>
    <row r="6689" spans="1:18" ht="15.75" customHeight="1">
      <c r="A6689" s="26"/>
      <c r="B6689" s="86"/>
      <c r="D6689" s="26"/>
      <c r="F6689" s="87" t="str">
        <f t="shared" si="0"/>
        <v/>
      </c>
      <c r="H6689" s="26" t="str">
        <f t="shared" si="1"/>
        <v/>
      </c>
      <c r="I6689" s="26" t="str">
        <f t="shared" si="2"/>
        <v/>
      </c>
      <c r="J6689" s="86">
        <f t="shared" si="3"/>
        <v>0</v>
      </c>
      <c r="R6689" s="26"/>
    </row>
    <row r="6690" spans="1:18" ht="15.75" customHeight="1">
      <c r="A6690" s="26"/>
      <c r="B6690" s="86"/>
      <c r="D6690" s="26"/>
      <c r="F6690" s="87" t="str">
        <f t="shared" si="0"/>
        <v/>
      </c>
      <c r="H6690" s="26" t="str">
        <f t="shared" si="1"/>
        <v/>
      </c>
      <c r="I6690" s="26" t="str">
        <f t="shared" si="2"/>
        <v/>
      </c>
      <c r="J6690" s="86">
        <f t="shared" si="3"/>
        <v>0</v>
      </c>
      <c r="R6690" s="26"/>
    </row>
    <row r="6691" spans="1:18" ht="15.75" customHeight="1">
      <c r="A6691" s="26"/>
      <c r="B6691" s="86"/>
      <c r="D6691" s="26"/>
      <c r="F6691" s="87" t="str">
        <f t="shared" si="0"/>
        <v/>
      </c>
      <c r="H6691" s="26" t="str">
        <f t="shared" si="1"/>
        <v/>
      </c>
      <c r="I6691" s="26" t="str">
        <f t="shared" si="2"/>
        <v/>
      </c>
      <c r="J6691" s="86">
        <f t="shared" si="3"/>
        <v>0</v>
      </c>
      <c r="R6691" s="26"/>
    </row>
    <row r="6692" spans="1:18" ht="15.75" customHeight="1">
      <c r="A6692" s="26"/>
      <c r="B6692" s="86"/>
      <c r="D6692" s="26"/>
      <c r="F6692" s="87" t="str">
        <f t="shared" si="0"/>
        <v/>
      </c>
      <c r="H6692" s="26" t="str">
        <f t="shared" si="1"/>
        <v/>
      </c>
      <c r="I6692" s="26" t="str">
        <f t="shared" si="2"/>
        <v/>
      </c>
      <c r="J6692" s="86">
        <f t="shared" si="3"/>
        <v>0</v>
      </c>
      <c r="R6692" s="26"/>
    </row>
    <row r="6693" spans="1:18" ht="15.75" customHeight="1">
      <c r="A6693" s="26"/>
      <c r="B6693" s="86"/>
      <c r="D6693" s="26"/>
      <c r="F6693" s="87" t="str">
        <f t="shared" si="0"/>
        <v/>
      </c>
      <c r="H6693" s="26" t="str">
        <f t="shared" si="1"/>
        <v/>
      </c>
      <c r="I6693" s="26" t="str">
        <f t="shared" si="2"/>
        <v/>
      </c>
      <c r="J6693" s="86">
        <f t="shared" si="3"/>
        <v>0</v>
      </c>
      <c r="R6693" s="26"/>
    </row>
    <row r="6694" spans="1:18" ht="15.75" customHeight="1">
      <c r="A6694" s="26"/>
      <c r="B6694" s="86"/>
      <c r="D6694" s="26"/>
      <c r="F6694" s="87" t="str">
        <f t="shared" si="0"/>
        <v/>
      </c>
      <c r="H6694" s="26" t="str">
        <f t="shared" si="1"/>
        <v/>
      </c>
      <c r="I6694" s="26" t="str">
        <f t="shared" si="2"/>
        <v/>
      </c>
      <c r="J6694" s="86">
        <f t="shared" si="3"/>
        <v>0</v>
      </c>
      <c r="R6694" s="26"/>
    </row>
    <row r="6695" spans="1:18" ht="15.75" customHeight="1">
      <c r="A6695" s="26"/>
      <c r="B6695" s="86"/>
      <c r="D6695" s="26"/>
      <c r="F6695" s="87" t="str">
        <f t="shared" si="0"/>
        <v/>
      </c>
      <c r="H6695" s="26" t="str">
        <f t="shared" si="1"/>
        <v/>
      </c>
      <c r="I6695" s="26" t="str">
        <f t="shared" si="2"/>
        <v/>
      </c>
      <c r="J6695" s="86">
        <f t="shared" si="3"/>
        <v>0</v>
      </c>
      <c r="R6695" s="26"/>
    </row>
    <row r="6696" spans="1:18" ht="15.75" customHeight="1">
      <c r="A6696" s="26"/>
      <c r="B6696" s="86"/>
      <c r="D6696" s="26"/>
      <c r="F6696" s="87" t="str">
        <f t="shared" si="0"/>
        <v/>
      </c>
      <c r="H6696" s="26" t="str">
        <f t="shared" si="1"/>
        <v/>
      </c>
      <c r="I6696" s="26" t="str">
        <f t="shared" si="2"/>
        <v/>
      </c>
      <c r="J6696" s="86">
        <f t="shared" si="3"/>
        <v>0</v>
      </c>
      <c r="R6696" s="26"/>
    </row>
    <row r="6697" spans="1:18" ht="15.75" customHeight="1">
      <c r="A6697" s="26"/>
      <c r="B6697" s="86"/>
      <c r="D6697" s="26"/>
      <c r="F6697" s="87" t="str">
        <f t="shared" si="0"/>
        <v/>
      </c>
      <c r="H6697" s="26" t="str">
        <f t="shared" si="1"/>
        <v/>
      </c>
      <c r="I6697" s="26" t="str">
        <f t="shared" si="2"/>
        <v/>
      </c>
      <c r="J6697" s="86">
        <f t="shared" si="3"/>
        <v>0</v>
      </c>
      <c r="R6697" s="26"/>
    </row>
    <row r="6698" spans="1:18" ht="15.75" customHeight="1">
      <c r="A6698" s="26"/>
      <c r="B6698" s="86"/>
      <c r="D6698" s="26"/>
      <c r="F6698" s="87" t="str">
        <f t="shared" si="0"/>
        <v/>
      </c>
      <c r="H6698" s="26" t="str">
        <f t="shared" si="1"/>
        <v/>
      </c>
      <c r="I6698" s="26" t="str">
        <f t="shared" si="2"/>
        <v/>
      </c>
      <c r="J6698" s="86">
        <f t="shared" si="3"/>
        <v>0</v>
      </c>
      <c r="R6698" s="26"/>
    </row>
    <row r="6699" spans="1:18" ht="15.75" customHeight="1">
      <c r="A6699" s="26"/>
      <c r="B6699" s="86"/>
      <c r="D6699" s="26"/>
      <c r="F6699" s="87" t="str">
        <f t="shared" si="0"/>
        <v/>
      </c>
      <c r="H6699" s="26" t="str">
        <f t="shared" si="1"/>
        <v/>
      </c>
      <c r="I6699" s="26" t="str">
        <f t="shared" si="2"/>
        <v/>
      </c>
      <c r="J6699" s="86">
        <f t="shared" si="3"/>
        <v>0</v>
      </c>
      <c r="R6699" s="26"/>
    </row>
    <row r="6700" spans="1:18" ht="15.75" customHeight="1">
      <c r="A6700" s="26"/>
      <c r="B6700" s="86"/>
      <c r="D6700" s="26"/>
      <c r="F6700" s="87" t="str">
        <f t="shared" si="0"/>
        <v/>
      </c>
      <c r="H6700" s="26" t="str">
        <f t="shared" si="1"/>
        <v/>
      </c>
      <c r="I6700" s="26" t="str">
        <f t="shared" si="2"/>
        <v/>
      </c>
      <c r="J6700" s="86">
        <f t="shared" si="3"/>
        <v>0</v>
      </c>
      <c r="R6700" s="26"/>
    </row>
    <row r="6701" spans="1:18" ht="15.75" customHeight="1">
      <c r="A6701" s="26"/>
      <c r="B6701" s="86"/>
      <c r="D6701" s="26"/>
      <c r="F6701" s="87" t="str">
        <f t="shared" si="0"/>
        <v/>
      </c>
      <c r="H6701" s="26" t="str">
        <f t="shared" si="1"/>
        <v/>
      </c>
      <c r="I6701" s="26" t="str">
        <f t="shared" si="2"/>
        <v/>
      </c>
      <c r="J6701" s="86">
        <f t="shared" si="3"/>
        <v>0</v>
      </c>
      <c r="R6701" s="26"/>
    </row>
    <row r="6702" spans="1:18" ht="15.75" customHeight="1">
      <c r="A6702" s="26"/>
      <c r="B6702" s="86"/>
      <c r="D6702" s="26"/>
      <c r="F6702" s="87" t="str">
        <f t="shared" si="0"/>
        <v/>
      </c>
      <c r="H6702" s="26" t="str">
        <f t="shared" si="1"/>
        <v/>
      </c>
      <c r="I6702" s="26" t="str">
        <f t="shared" si="2"/>
        <v/>
      </c>
      <c r="J6702" s="86">
        <f t="shared" si="3"/>
        <v>0</v>
      </c>
      <c r="R6702" s="26"/>
    </row>
    <row r="6703" spans="1:18" ht="15.75" customHeight="1">
      <c r="A6703" s="26"/>
      <c r="B6703" s="86"/>
      <c r="D6703" s="26"/>
      <c r="F6703" s="87" t="str">
        <f t="shared" si="0"/>
        <v/>
      </c>
      <c r="H6703" s="26" t="str">
        <f t="shared" si="1"/>
        <v/>
      </c>
      <c r="I6703" s="26" t="str">
        <f t="shared" si="2"/>
        <v/>
      </c>
      <c r="J6703" s="86">
        <f t="shared" si="3"/>
        <v>0</v>
      </c>
      <c r="R6703" s="26"/>
    </row>
    <row r="6704" spans="1:18" ht="15.75" customHeight="1">
      <c r="A6704" s="26"/>
      <c r="B6704" s="86"/>
      <c r="D6704" s="26"/>
      <c r="F6704" s="87" t="str">
        <f t="shared" si="0"/>
        <v/>
      </c>
      <c r="H6704" s="26" t="str">
        <f t="shared" si="1"/>
        <v/>
      </c>
      <c r="I6704" s="26" t="str">
        <f t="shared" si="2"/>
        <v/>
      </c>
      <c r="J6704" s="86">
        <f t="shared" si="3"/>
        <v>0</v>
      </c>
      <c r="R6704" s="26"/>
    </row>
    <row r="6705" spans="1:18" ht="15.75" customHeight="1">
      <c r="A6705" s="26"/>
      <c r="B6705" s="86"/>
      <c r="D6705" s="26"/>
      <c r="F6705" s="87" t="str">
        <f t="shared" si="0"/>
        <v/>
      </c>
      <c r="H6705" s="26" t="str">
        <f t="shared" si="1"/>
        <v/>
      </c>
      <c r="I6705" s="26" t="str">
        <f t="shared" si="2"/>
        <v/>
      </c>
      <c r="J6705" s="86">
        <f t="shared" si="3"/>
        <v>0</v>
      </c>
      <c r="R6705" s="26"/>
    </row>
    <row r="6706" spans="1:18" ht="15.75" customHeight="1">
      <c r="A6706" s="26"/>
      <c r="B6706" s="86"/>
      <c r="D6706" s="26"/>
      <c r="F6706" s="87" t="str">
        <f t="shared" si="0"/>
        <v/>
      </c>
      <c r="H6706" s="26" t="str">
        <f t="shared" si="1"/>
        <v/>
      </c>
      <c r="I6706" s="26" t="str">
        <f t="shared" si="2"/>
        <v/>
      </c>
      <c r="J6706" s="86">
        <f t="shared" si="3"/>
        <v>0</v>
      </c>
      <c r="R6706" s="26"/>
    </row>
    <row r="6707" spans="1:18" ht="15.75" customHeight="1">
      <c r="A6707" s="26"/>
      <c r="B6707" s="86"/>
      <c r="D6707" s="26"/>
      <c r="F6707" s="87" t="str">
        <f t="shared" si="0"/>
        <v/>
      </c>
      <c r="H6707" s="26" t="str">
        <f t="shared" si="1"/>
        <v/>
      </c>
      <c r="I6707" s="26" t="str">
        <f t="shared" si="2"/>
        <v/>
      </c>
      <c r="J6707" s="86">
        <f t="shared" si="3"/>
        <v>0</v>
      </c>
      <c r="R6707" s="26"/>
    </row>
    <row r="6708" spans="1:18" ht="15.75" customHeight="1">
      <c r="A6708" s="26"/>
      <c r="B6708" s="86"/>
      <c r="D6708" s="26"/>
      <c r="F6708" s="87" t="str">
        <f t="shared" si="0"/>
        <v/>
      </c>
      <c r="H6708" s="26" t="str">
        <f t="shared" si="1"/>
        <v/>
      </c>
      <c r="I6708" s="26" t="str">
        <f t="shared" si="2"/>
        <v/>
      </c>
      <c r="J6708" s="86">
        <f t="shared" si="3"/>
        <v>0</v>
      </c>
      <c r="R6708" s="26"/>
    </row>
    <row r="6709" spans="1:18" ht="15.75" customHeight="1">
      <c r="A6709" s="26"/>
      <c r="B6709" s="86"/>
      <c r="D6709" s="26"/>
      <c r="F6709" s="87" t="str">
        <f t="shared" si="0"/>
        <v/>
      </c>
      <c r="H6709" s="26" t="str">
        <f t="shared" si="1"/>
        <v/>
      </c>
      <c r="I6709" s="26" t="str">
        <f t="shared" si="2"/>
        <v/>
      </c>
      <c r="J6709" s="86">
        <f t="shared" si="3"/>
        <v>0</v>
      </c>
      <c r="R6709" s="26"/>
    </row>
    <row r="6710" spans="1:18" ht="15.75" customHeight="1">
      <c r="A6710" s="26"/>
      <c r="B6710" s="86"/>
      <c r="D6710" s="26"/>
      <c r="F6710" s="87" t="str">
        <f t="shared" si="0"/>
        <v/>
      </c>
      <c r="H6710" s="26" t="str">
        <f t="shared" si="1"/>
        <v/>
      </c>
      <c r="I6710" s="26" t="str">
        <f t="shared" si="2"/>
        <v/>
      </c>
      <c r="J6710" s="86">
        <f t="shared" si="3"/>
        <v>0</v>
      </c>
      <c r="R6710" s="26"/>
    </row>
    <row r="6711" spans="1:18" ht="15.75" customHeight="1">
      <c r="A6711" s="26"/>
      <c r="B6711" s="86"/>
      <c r="D6711" s="26"/>
      <c r="F6711" s="87" t="str">
        <f t="shared" si="0"/>
        <v/>
      </c>
      <c r="H6711" s="26" t="str">
        <f t="shared" si="1"/>
        <v/>
      </c>
      <c r="I6711" s="26" t="str">
        <f t="shared" si="2"/>
        <v/>
      </c>
      <c r="J6711" s="86">
        <f t="shared" si="3"/>
        <v>0</v>
      </c>
      <c r="R6711" s="26"/>
    </row>
    <row r="6712" spans="1:18" ht="15.75" customHeight="1">
      <c r="A6712" s="26"/>
      <c r="B6712" s="86"/>
      <c r="D6712" s="26"/>
      <c r="F6712" s="87" t="str">
        <f t="shared" si="0"/>
        <v/>
      </c>
      <c r="H6712" s="26" t="str">
        <f t="shared" si="1"/>
        <v/>
      </c>
      <c r="I6712" s="26" t="str">
        <f t="shared" si="2"/>
        <v/>
      </c>
      <c r="J6712" s="86">
        <f t="shared" si="3"/>
        <v>0</v>
      </c>
      <c r="R6712" s="26"/>
    </row>
    <row r="6713" spans="1:18" ht="15.75" customHeight="1">
      <c r="A6713" s="26"/>
      <c r="B6713" s="86"/>
      <c r="D6713" s="26"/>
      <c r="F6713" s="87" t="str">
        <f t="shared" si="0"/>
        <v/>
      </c>
      <c r="H6713" s="26" t="str">
        <f t="shared" si="1"/>
        <v/>
      </c>
      <c r="I6713" s="26" t="str">
        <f t="shared" si="2"/>
        <v/>
      </c>
      <c r="J6713" s="86">
        <f t="shared" si="3"/>
        <v>0</v>
      </c>
      <c r="R6713" s="26"/>
    </row>
    <row r="6714" spans="1:18" ht="15.75" customHeight="1">
      <c r="A6714" s="26"/>
      <c r="B6714" s="86"/>
      <c r="D6714" s="26"/>
      <c r="F6714" s="87" t="str">
        <f t="shared" si="0"/>
        <v/>
      </c>
      <c r="H6714" s="26" t="str">
        <f t="shared" si="1"/>
        <v/>
      </c>
      <c r="I6714" s="26" t="str">
        <f t="shared" si="2"/>
        <v/>
      </c>
      <c r="J6714" s="86">
        <f t="shared" si="3"/>
        <v>0</v>
      </c>
      <c r="R6714" s="26"/>
    </row>
    <row r="6715" spans="1:18" ht="15.75" customHeight="1">
      <c r="A6715" s="26"/>
      <c r="B6715" s="86"/>
      <c r="D6715" s="26"/>
      <c r="F6715" s="87" t="str">
        <f t="shared" si="0"/>
        <v/>
      </c>
      <c r="H6715" s="26" t="str">
        <f t="shared" si="1"/>
        <v/>
      </c>
      <c r="I6715" s="26" t="str">
        <f t="shared" si="2"/>
        <v/>
      </c>
      <c r="J6715" s="86">
        <f t="shared" si="3"/>
        <v>0</v>
      </c>
      <c r="R6715" s="26"/>
    </row>
    <row r="6716" spans="1:18" ht="15.75" customHeight="1">
      <c r="A6716" s="26"/>
      <c r="B6716" s="86"/>
      <c r="D6716" s="26"/>
      <c r="F6716" s="87" t="str">
        <f t="shared" si="0"/>
        <v/>
      </c>
      <c r="H6716" s="26" t="str">
        <f t="shared" si="1"/>
        <v/>
      </c>
      <c r="I6716" s="26" t="str">
        <f t="shared" si="2"/>
        <v/>
      </c>
      <c r="J6716" s="86">
        <f t="shared" si="3"/>
        <v>0</v>
      </c>
      <c r="R6716" s="26"/>
    </row>
    <row r="6717" spans="1:18" ht="15.75" customHeight="1">
      <c r="A6717" s="26"/>
      <c r="B6717" s="86"/>
      <c r="D6717" s="26"/>
      <c r="F6717" s="87" t="str">
        <f t="shared" si="0"/>
        <v/>
      </c>
      <c r="H6717" s="26" t="str">
        <f t="shared" si="1"/>
        <v/>
      </c>
      <c r="I6717" s="26" t="str">
        <f t="shared" si="2"/>
        <v/>
      </c>
      <c r="J6717" s="86">
        <f t="shared" si="3"/>
        <v>0</v>
      </c>
      <c r="R6717" s="26"/>
    </row>
    <row r="6718" spans="1:18" ht="15.75" customHeight="1">
      <c r="A6718" s="26"/>
      <c r="B6718" s="86"/>
      <c r="D6718" s="26"/>
      <c r="F6718" s="87" t="str">
        <f t="shared" si="0"/>
        <v/>
      </c>
      <c r="H6718" s="26" t="str">
        <f t="shared" si="1"/>
        <v/>
      </c>
      <c r="I6718" s="26" t="str">
        <f t="shared" si="2"/>
        <v/>
      </c>
      <c r="J6718" s="86">
        <f t="shared" si="3"/>
        <v>0</v>
      </c>
      <c r="R6718" s="26"/>
    </row>
    <row r="6719" spans="1:18" ht="15.75" customHeight="1">
      <c r="A6719" s="26"/>
      <c r="B6719" s="86"/>
      <c r="D6719" s="26"/>
      <c r="F6719" s="87" t="str">
        <f t="shared" si="0"/>
        <v/>
      </c>
      <c r="H6719" s="26" t="str">
        <f t="shared" si="1"/>
        <v/>
      </c>
      <c r="I6719" s="26" t="str">
        <f t="shared" si="2"/>
        <v/>
      </c>
      <c r="J6719" s="86">
        <f t="shared" si="3"/>
        <v>0</v>
      </c>
      <c r="R6719" s="26"/>
    </row>
    <row r="6720" spans="1:18" ht="15.75" customHeight="1">
      <c r="A6720" s="26"/>
      <c r="B6720" s="86"/>
      <c r="D6720" s="26"/>
      <c r="F6720" s="87" t="str">
        <f t="shared" si="0"/>
        <v/>
      </c>
      <c r="H6720" s="26" t="str">
        <f t="shared" si="1"/>
        <v/>
      </c>
      <c r="I6720" s="26" t="str">
        <f t="shared" si="2"/>
        <v/>
      </c>
      <c r="J6720" s="86">
        <f t="shared" si="3"/>
        <v>0</v>
      </c>
      <c r="R6720" s="26"/>
    </row>
    <row r="6721" spans="1:18" ht="15.75" customHeight="1">
      <c r="A6721" s="26"/>
      <c r="B6721" s="86"/>
      <c r="D6721" s="26"/>
      <c r="F6721" s="87" t="str">
        <f t="shared" si="0"/>
        <v/>
      </c>
      <c r="H6721" s="26" t="str">
        <f t="shared" si="1"/>
        <v/>
      </c>
      <c r="I6721" s="26" t="str">
        <f t="shared" si="2"/>
        <v/>
      </c>
      <c r="J6721" s="86">
        <f t="shared" si="3"/>
        <v>0</v>
      </c>
      <c r="R6721" s="26"/>
    </row>
    <row r="6722" spans="1:18" ht="15.75" customHeight="1">
      <c r="A6722" s="26"/>
      <c r="B6722" s="86"/>
      <c r="D6722" s="26"/>
      <c r="F6722" s="87" t="str">
        <f t="shared" si="0"/>
        <v/>
      </c>
      <c r="H6722" s="26" t="str">
        <f t="shared" si="1"/>
        <v/>
      </c>
      <c r="I6722" s="26" t="str">
        <f t="shared" si="2"/>
        <v/>
      </c>
      <c r="J6722" s="86">
        <f t="shared" si="3"/>
        <v>0</v>
      </c>
      <c r="R6722" s="26"/>
    </row>
    <row r="6723" spans="1:18" ht="15.75" customHeight="1">
      <c r="A6723" s="26"/>
      <c r="B6723" s="86"/>
      <c r="D6723" s="26"/>
      <c r="F6723" s="87" t="str">
        <f t="shared" si="0"/>
        <v/>
      </c>
      <c r="H6723" s="26" t="str">
        <f t="shared" si="1"/>
        <v/>
      </c>
      <c r="I6723" s="26" t="str">
        <f t="shared" si="2"/>
        <v/>
      </c>
      <c r="J6723" s="86">
        <f t="shared" si="3"/>
        <v>0</v>
      </c>
      <c r="R6723" s="26"/>
    </row>
    <row r="6724" spans="1:18" ht="15.75" customHeight="1">
      <c r="A6724" s="26"/>
      <c r="B6724" s="86"/>
      <c r="D6724" s="26"/>
      <c r="F6724" s="87" t="str">
        <f t="shared" si="0"/>
        <v/>
      </c>
      <c r="H6724" s="26" t="str">
        <f t="shared" si="1"/>
        <v/>
      </c>
      <c r="I6724" s="26" t="str">
        <f t="shared" si="2"/>
        <v/>
      </c>
      <c r="J6724" s="86">
        <f t="shared" si="3"/>
        <v>0</v>
      </c>
      <c r="R6724" s="26"/>
    </row>
    <row r="6725" spans="1:18" ht="15.75" customHeight="1">
      <c r="A6725" s="26"/>
      <c r="B6725" s="86"/>
      <c r="D6725" s="26"/>
      <c r="F6725" s="87" t="str">
        <f t="shared" si="0"/>
        <v/>
      </c>
      <c r="H6725" s="26" t="str">
        <f t="shared" si="1"/>
        <v/>
      </c>
      <c r="I6725" s="26" t="str">
        <f t="shared" si="2"/>
        <v/>
      </c>
      <c r="J6725" s="86">
        <f t="shared" si="3"/>
        <v>0</v>
      </c>
      <c r="R6725" s="26"/>
    </row>
    <row r="6726" spans="1:18" ht="15.75" customHeight="1">
      <c r="A6726" s="26"/>
      <c r="B6726" s="86"/>
      <c r="D6726" s="26"/>
      <c r="F6726" s="87" t="str">
        <f t="shared" si="0"/>
        <v/>
      </c>
      <c r="H6726" s="26" t="str">
        <f t="shared" si="1"/>
        <v/>
      </c>
      <c r="I6726" s="26" t="str">
        <f t="shared" si="2"/>
        <v/>
      </c>
      <c r="J6726" s="86">
        <f t="shared" si="3"/>
        <v>0</v>
      </c>
      <c r="R6726" s="26"/>
    </row>
    <row r="6727" spans="1:18" ht="15.75" customHeight="1">
      <c r="A6727" s="26"/>
      <c r="B6727" s="86"/>
      <c r="D6727" s="26"/>
      <c r="F6727" s="87" t="str">
        <f t="shared" si="0"/>
        <v/>
      </c>
      <c r="H6727" s="26" t="str">
        <f t="shared" si="1"/>
        <v/>
      </c>
      <c r="I6727" s="26" t="str">
        <f t="shared" si="2"/>
        <v/>
      </c>
      <c r="J6727" s="86">
        <f t="shared" si="3"/>
        <v>0</v>
      </c>
      <c r="R6727" s="26"/>
    </row>
    <row r="6728" spans="1:18" ht="15.75" customHeight="1">
      <c r="A6728" s="26"/>
      <c r="B6728" s="86"/>
      <c r="D6728" s="26"/>
      <c r="F6728" s="87" t="str">
        <f t="shared" si="0"/>
        <v/>
      </c>
      <c r="H6728" s="26" t="str">
        <f t="shared" si="1"/>
        <v/>
      </c>
      <c r="I6728" s="26" t="str">
        <f t="shared" si="2"/>
        <v/>
      </c>
      <c r="J6728" s="86">
        <f t="shared" si="3"/>
        <v>0</v>
      </c>
      <c r="R6728" s="26"/>
    </row>
    <row r="6729" spans="1:18" ht="15.75" customHeight="1">
      <c r="A6729" s="26"/>
      <c r="B6729" s="86"/>
      <c r="D6729" s="26"/>
      <c r="F6729" s="87" t="str">
        <f t="shared" si="0"/>
        <v/>
      </c>
      <c r="H6729" s="26" t="str">
        <f t="shared" si="1"/>
        <v/>
      </c>
      <c r="I6729" s="26" t="str">
        <f t="shared" si="2"/>
        <v/>
      </c>
      <c r="J6729" s="86">
        <f t="shared" si="3"/>
        <v>0</v>
      </c>
      <c r="R6729" s="26"/>
    </row>
    <row r="6730" spans="1:18" ht="15.75" customHeight="1">
      <c r="A6730" s="26"/>
      <c r="B6730" s="86"/>
      <c r="D6730" s="26"/>
      <c r="F6730" s="87" t="str">
        <f t="shared" si="0"/>
        <v/>
      </c>
      <c r="H6730" s="26" t="str">
        <f t="shared" si="1"/>
        <v/>
      </c>
      <c r="I6730" s="26" t="str">
        <f t="shared" si="2"/>
        <v/>
      </c>
      <c r="J6730" s="86">
        <f t="shared" si="3"/>
        <v>0</v>
      </c>
      <c r="R6730" s="26"/>
    </row>
    <row r="6731" spans="1:18" ht="15.75" customHeight="1">
      <c r="A6731" s="26"/>
      <c r="B6731" s="86"/>
      <c r="D6731" s="26"/>
      <c r="F6731" s="87" t="str">
        <f t="shared" si="0"/>
        <v/>
      </c>
      <c r="H6731" s="26" t="str">
        <f t="shared" si="1"/>
        <v/>
      </c>
      <c r="I6731" s="26" t="str">
        <f t="shared" si="2"/>
        <v/>
      </c>
      <c r="J6731" s="86">
        <f t="shared" si="3"/>
        <v>0</v>
      </c>
      <c r="R6731" s="26"/>
    </row>
    <row r="6732" spans="1:18" ht="15.75" customHeight="1">
      <c r="A6732" s="26"/>
      <c r="B6732" s="86"/>
      <c r="D6732" s="26"/>
      <c r="F6732" s="87" t="str">
        <f t="shared" si="0"/>
        <v/>
      </c>
      <c r="H6732" s="26" t="str">
        <f t="shared" si="1"/>
        <v/>
      </c>
      <c r="I6732" s="26" t="str">
        <f t="shared" si="2"/>
        <v/>
      </c>
      <c r="J6732" s="86">
        <f t="shared" si="3"/>
        <v>0</v>
      </c>
      <c r="R6732" s="26"/>
    </row>
    <row r="6733" spans="1:18" ht="15.75" customHeight="1">
      <c r="A6733" s="26"/>
      <c r="B6733" s="86"/>
      <c r="D6733" s="26"/>
      <c r="F6733" s="87" t="str">
        <f t="shared" si="0"/>
        <v/>
      </c>
      <c r="H6733" s="26" t="str">
        <f t="shared" si="1"/>
        <v/>
      </c>
      <c r="I6733" s="26" t="str">
        <f t="shared" si="2"/>
        <v/>
      </c>
      <c r="J6733" s="86">
        <f t="shared" si="3"/>
        <v>0</v>
      </c>
      <c r="R6733" s="26"/>
    </row>
    <row r="6734" spans="1:18" ht="15.75" customHeight="1">
      <c r="A6734" s="26"/>
      <c r="B6734" s="86"/>
      <c r="D6734" s="26"/>
      <c r="F6734" s="87" t="str">
        <f t="shared" si="0"/>
        <v/>
      </c>
      <c r="H6734" s="26" t="str">
        <f t="shared" si="1"/>
        <v/>
      </c>
      <c r="I6734" s="26" t="str">
        <f t="shared" si="2"/>
        <v/>
      </c>
      <c r="J6734" s="86">
        <f t="shared" si="3"/>
        <v>0</v>
      </c>
      <c r="R6734" s="26"/>
    </row>
    <row r="6735" spans="1:18" ht="15.75" customHeight="1">
      <c r="A6735" s="26"/>
      <c r="B6735" s="86"/>
      <c r="D6735" s="26"/>
      <c r="F6735" s="87" t="str">
        <f t="shared" si="0"/>
        <v/>
      </c>
      <c r="H6735" s="26" t="str">
        <f t="shared" si="1"/>
        <v/>
      </c>
      <c r="I6735" s="26" t="str">
        <f t="shared" si="2"/>
        <v/>
      </c>
      <c r="J6735" s="86">
        <f t="shared" si="3"/>
        <v>0</v>
      </c>
      <c r="R6735" s="26"/>
    </row>
    <row r="6736" spans="1:18" ht="15.75" customHeight="1">
      <c r="A6736" s="26"/>
      <c r="B6736" s="86"/>
      <c r="D6736" s="26"/>
      <c r="F6736" s="87" t="str">
        <f t="shared" si="0"/>
        <v/>
      </c>
      <c r="H6736" s="26" t="str">
        <f t="shared" si="1"/>
        <v/>
      </c>
      <c r="I6736" s="26" t="str">
        <f t="shared" si="2"/>
        <v/>
      </c>
      <c r="J6736" s="86">
        <f t="shared" si="3"/>
        <v>0</v>
      </c>
      <c r="R6736" s="26"/>
    </row>
    <row r="6737" spans="1:18" ht="15.75" customHeight="1">
      <c r="A6737" s="26"/>
      <c r="B6737" s="86"/>
      <c r="D6737" s="26"/>
      <c r="F6737" s="87" t="str">
        <f t="shared" si="0"/>
        <v/>
      </c>
      <c r="H6737" s="26" t="str">
        <f t="shared" si="1"/>
        <v/>
      </c>
      <c r="I6737" s="26" t="str">
        <f t="shared" si="2"/>
        <v/>
      </c>
      <c r="J6737" s="86">
        <f t="shared" si="3"/>
        <v>0</v>
      </c>
      <c r="R6737" s="26"/>
    </row>
    <row r="6738" spans="1:18" ht="15.75" customHeight="1">
      <c r="A6738" s="26"/>
      <c r="B6738" s="86"/>
      <c r="D6738" s="26"/>
      <c r="F6738" s="87" t="str">
        <f t="shared" si="0"/>
        <v/>
      </c>
      <c r="H6738" s="26" t="str">
        <f t="shared" si="1"/>
        <v/>
      </c>
      <c r="I6738" s="26" t="str">
        <f t="shared" si="2"/>
        <v/>
      </c>
      <c r="J6738" s="86">
        <f t="shared" si="3"/>
        <v>0</v>
      </c>
      <c r="R6738" s="26"/>
    </row>
    <row r="6739" spans="1:18" ht="15.75" customHeight="1">
      <c r="A6739" s="26"/>
      <c r="B6739" s="86"/>
      <c r="D6739" s="26"/>
      <c r="F6739" s="87" t="str">
        <f t="shared" si="0"/>
        <v/>
      </c>
      <c r="H6739" s="26" t="str">
        <f t="shared" si="1"/>
        <v/>
      </c>
      <c r="I6739" s="26" t="str">
        <f t="shared" si="2"/>
        <v/>
      </c>
      <c r="J6739" s="86">
        <f t="shared" si="3"/>
        <v>0</v>
      </c>
      <c r="R6739" s="26"/>
    </row>
    <row r="6740" spans="1:18" ht="15.75" customHeight="1">
      <c r="A6740" s="26"/>
      <c r="B6740" s="86"/>
      <c r="D6740" s="26"/>
      <c r="F6740" s="87" t="str">
        <f t="shared" si="0"/>
        <v/>
      </c>
      <c r="H6740" s="26" t="str">
        <f t="shared" si="1"/>
        <v/>
      </c>
      <c r="I6740" s="26" t="str">
        <f t="shared" si="2"/>
        <v/>
      </c>
      <c r="J6740" s="86">
        <f t="shared" si="3"/>
        <v>0</v>
      </c>
      <c r="R6740" s="26"/>
    </row>
    <row r="6741" spans="1:18" ht="15.75" customHeight="1">
      <c r="A6741" s="26"/>
      <c r="B6741" s="86"/>
      <c r="D6741" s="26"/>
      <c r="F6741" s="87" t="str">
        <f t="shared" si="0"/>
        <v/>
      </c>
      <c r="H6741" s="26" t="str">
        <f t="shared" si="1"/>
        <v/>
      </c>
      <c r="I6741" s="26" t="str">
        <f t="shared" si="2"/>
        <v/>
      </c>
      <c r="J6741" s="86">
        <f t="shared" si="3"/>
        <v>0</v>
      </c>
      <c r="R6741" s="26"/>
    </row>
    <row r="6742" spans="1:18" ht="15.75" customHeight="1">
      <c r="A6742" s="26"/>
      <c r="B6742" s="86"/>
      <c r="D6742" s="26"/>
      <c r="F6742" s="87" t="str">
        <f t="shared" si="0"/>
        <v/>
      </c>
      <c r="H6742" s="26" t="str">
        <f t="shared" si="1"/>
        <v/>
      </c>
      <c r="I6742" s="26" t="str">
        <f t="shared" si="2"/>
        <v/>
      </c>
      <c r="J6742" s="86">
        <f t="shared" si="3"/>
        <v>0</v>
      </c>
      <c r="R6742" s="26"/>
    </row>
    <row r="6743" spans="1:18" ht="15.75" customHeight="1">
      <c r="A6743" s="26"/>
      <c r="B6743" s="86"/>
      <c r="D6743" s="26"/>
      <c r="F6743" s="87" t="str">
        <f t="shared" si="0"/>
        <v/>
      </c>
      <c r="H6743" s="26" t="str">
        <f t="shared" si="1"/>
        <v/>
      </c>
      <c r="I6743" s="26" t="str">
        <f t="shared" si="2"/>
        <v/>
      </c>
      <c r="J6743" s="86">
        <f t="shared" si="3"/>
        <v>0</v>
      </c>
      <c r="R6743" s="26"/>
    </row>
    <row r="6744" spans="1:18" ht="15.75" customHeight="1">
      <c r="A6744" s="26"/>
      <c r="B6744" s="86"/>
      <c r="D6744" s="26"/>
      <c r="F6744" s="87" t="str">
        <f t="shared" si="0"/>
        <v/>
      </c>
      <c r="H6744" s="26" t="str">
        <f t="shared" si="1"/>
        <v/>
      </c>
      <c r="I6744" s="26" t="str">
        <f t="shared" si="2"/>
        <v/>
      </c>
      <c r="J6744" s="86">
        <f t="shared" si="3"/>
        <v>0</v>
      </c>
      <c r="R6744" s="26"/>
    </row>
    <row r="6745" spans="1:18" ht="15.75" customHeight="1">
      <c r="A6745" s="26"/>
      <c r="B6745" s="86"/>
      <c r="D6745" s="26"/>
      <c r="F6745" s="87" t="str">
        <f t="shared" si="0"/>
        <v/>
      </c>
      <c r="H6745" s="26" t="str">
        <f t="shared" si="1"/>
        <v/>
      </c>
      <c r="I6745" s="26" t="str">
        <f t="shared" si="2"/>
        <v/>
      </c>
      <c r="J6745" s="86">
        <f t="shared" si="3"/>
        <v>0</v>
      </c>
      <c r="R6745" s="26"/>
    </row>
    <row r="6746" spans="1:18" ht="15.75" customHeight="1">
      <c r="A6746" s="26"/>
      <c r="B6746" s="86"/>
      <c r="D6746" s="26"/>
      <c r="F6746" s="87" t="str">
        <f t="shared" si="0"/>
        <v/>
      </c>
      <c r="H6746" s="26" t="str">
        <f t="shared" si="1"/>
        <v/>
      </c>
      <c r="I6746" s="26" t="str">
        <f t="shared" si="2"/>
        <v/>
      </c>
      <c r="J6746" s="86">
        <f t="shared" si="3"/>
        <v>0</v>
      </c>
      <c r="R6746" s="26"/>
    </row>
    <row r="6747" spans="1:18" ht="15.75" customHeight="1">
      <c r="A6747" s="26"/>
      <c r="B6747" s="86"/>
      <c r="D6747" s="26"/>
      <c r="F6747" s="87" t="str">
        <f t="shared" si="0"/>
        <v/>
      </c>
      <c r="H6747" s="26" t="str">
        <f t="shared" si="1"/>
        <v/>
      </c>
      <c r="I6747" s="26" t="str">
        <f t="shared" si="2"/>
        <v/>
      </c>
      <c r="J6747" s="86">
        <f t="shared" si="3"/>
        <v>0</v>
      </c>
      <c r="R6747" s="26"/>
    </row>
    <row r="6748" spans="1:18" ht="15.75" customHeight="1">
      <c r="A6748" s="26"/>
      <c r="B6748" s="86"/>
      <c r="D6748" s="26"/>
      <c r="F6748" s="87" t="str">
        <f t="shared" si="0"/>
        <v/>
      </c>
      <c r="H6748" s="26" t="str">
        <f t="shared" si="1"/>
        <v/>
      </c>
      <c r="I6748" s="26" t="str">
        <f t="shared" si="2"/>
        <v/>
      </c>
      <c r="J6748" s="86">
        <f t="shared" si="3"/>
        <v>0</v>
      </c>
      <c r="R6748" s="26"/>
    </row>
    <row r="6749" spans="1:18" ht="15.75" customHeight="1">
      <c r="A6749" s="26"/>
      <c r="B6749" s="86"/>
      <c r="D6749" s="26"/>
      <c r="F6749" s="87" t="str">
        <f t="shared" si="0"/>
        <v/>
      </c>
      <c r="H6749" s="26" t="str">
        <f t="shared" si="1"/>
        <v/>
      </c>
      <c r="I6749" s="26" t="str">
        <f t="shared" si="2"/>
        <v/>
      </c>
      <c r="J6749" s="86">
        <f t="shared" si="3"/>
        <v>0</v>
      </c>
      <c r="R6749" s="26"/>
    </row>
    <row r="6750" spans="1:18" ht="15.75" customHeight="1">
      <c r="A6750" s="26"/>
      <c r="B6750" s="86"/>
      <c r="D6750" s="26"/>
      <c r="F6750" s="87" t="str">
        <f t="shared" si="0"/>
        <v/>
      </c>
      <c r="H6750" s="26" t="str">
        <f t="shared" si="1"/>
        <v/>
      </c>
      <c r="I6750" s="26" t="str">
        <f t="shared" si="2"/>
        <v/>
      </c>
      <c r="J6750" s="86">
        <f t="shared" si="3"/>
        <v>0</v>
      </c>
      <c r="R6750" s="26"/>
    </row>
    <row r="6751" spans="1:18" ht="15.75" customHeight="1">
      <c r="A6751" s="26"/>
      <c r="B6751" s="86"/>
      <c r="D6751" s="26"/>
      <c r="F6751" s="87" t="str">
        <f t="shared" si="0"/>
        <v/>
      </c>
      <c r="H6751" s="26" t="str">
        <f t="shared" si="1"/>
        <v/>
      </c>
      <c r="I6751" s="26" t="str">
        <f t="shared" si="2"/>
        <v/>
      </c>
      <c r="J6751" s="86">
        <f t="shared" si="3"/>
        <v>0</v>
      </c>
      <c r="R6751" s="26"/>
    </row>
    <row r="6752" spans="1:18" ht="15.75" customHeight="1">
      <c r="A6752" s="26"/>
      <c r="B6752" s="86"/>
      <c r="D6752" s="26"/>
      <c r="F6752" s="87" t="str">
        <f t="shared" si="0"/>
        <v/>
      </c>
      <c r="H6752" s="26" t="str">
        <f t="shared" si="1"/>
        <v/>
      </c>
      <c r="I6752" s="26" t="str">
        <f t="shared" si="2"/>
        <v/>
      </c>
      <c r="J6752" s="86">
        <f t="shared" si="3"/>
        <v>0</v>
      </c>
      <c r="R6752" s="26"/>
    </row>
    <row r="6753" spans="1:18" ht="15.75" customHeight="1">
      <c r="A6753" s="26"/>
      <c r="B6753" s="86"/>
      <c r="D6753" s="26"/>
      <c r="F6753" s="87" t="str">
        <f t="shared" si="0"/>
        <v/>
      </c>
      <c r="H6753" s="26" t="str">
        <f t="shared" si="1"/>
        <v/>
      </c>
      <c r="I6753" s="26" t="str">
        <f t="shared" si="2"/>
        <v/>
      </c>
      <c r="J6753" s="86">
        <f t="shared" si="3"/>
        <v>0</v>
      </c>
      <c r="R6753" s="26"/>
    </row>
    <row r="6754" spans="1:18" ht="15.75" customHeight="1">
      <c r="A6754" s="26"/>
      <c r="B6754" s="86"/>
      <c r="D6754" s="26"/>
      <c r="F6754" s="87" t="str">
        <f t="shared" si="0"/>
        <v/>
      </c>
      <c r="H6754" s="26" t="str">
        <f t="shared" si="1"/>
        <v/>
      </c>
      <c r="I6754" s="26" t="str">
        <f t="shared" si="2"/>
        <v/>
      </c>
      <c r="J6754" s="86">
        <f t="shared" si="3"/>
        <v>0</v>
      </c>
      <c r="R6754" s="26"/>
    </row>
    <row r="6755" spans="1:18" ht="15.75" customHeight="1">
      <c r="A6755" s="26"/>
      <c r="B6755" s="86"/>
      <c r="D6755" s="26"/>
      <c r="F6755" s="87" t="str">
        <f t="shared" si="0"/>
        <v/>
      </c>
      <c r="H6755" s="26" t="str">
        <f t="shared" si="1"/>
        <v/>
      </c>
      <c r="I6755" s="26" t="str">
        <f t="shared" si="2"/>
        <v/>
      </c>
      <c r="J6755" s="86">
        <f t="shared" si="3"/>
        <v>0</v>
      </c>
      <c r="R6755" s="26"/>
    </row>
    <row r="6756" spans="1:18" ht="15.75" customHeight="1">
      <c r="A6756" s="26"/>
      <c r="B6756" s="86"/>
      <c r="D6756" s="26"/>
      <c r="F6756" s="87" t="str">
        <f t="shared" si="0"/>
        <v/>
      </c>
      <c r="H6756" s="26" t="str">
        <f t="shared" si="1"/>
        <v/>
      </c>
      <c r="I6756" s="26" t="str">
        <f t="shared" si="2"/>
        <v/>
      </c>
      <c r="J6756" s="86">
        <f t="shared" si="3"/>
        <v>0</v>
      </c>
      <c r="R6756" s="26"/>
    </row>
    <row r="6757" spans="1:18" ht="15.75" customHeight="1">
      <c r="A6757" s="26"/>
      <c r="B6757" s="86"/>
      <c r="D6757" s="26"/>
      <c r="F6757" s="87" t="str">
        <f t="shared" si="0"/>
        <v/>
      </c>
      <c r="H6757" s="26" t="str">
        <f t="shared" si="1"/>
        <v/>
      </c>
      <c r="I6757" s="26" t="str">
        <f t="shared" si="2"/>
        <v/>
      </c>
      <c r="J6757" s="86">
        <f t="shared" si="3"/>
        <v>0</v>
      </c>
      <c r="R6757" s="26"/>
    </row>
    <row r="6758" spans="1:18" ht="15.75" customHeight="1">
      <c r="A6758" s="26"/>
      <c r="B6758" s="86"/>
      <c r="D6758" s="26"/>
      <c r="F6758" s="87" t="str">
        <f t="shared" si="0"/>
        <v/>
      </c>
      <c r="H6758" s="26" t="str">
        <f t="shared" si="1"/>
        <v/>
      </c>
      <c r="I6758" s="26" t="str">
        <f t="shared" si="2"/>
        <v/>
      </c>
      <c r="J6758" s="86">
        <f t="shared" si="3"/>
        <v>0</v>
      </c>
      <c r="R6758" s="26"/>
    </row>
    <row r="6759" spans="1:18" ht="15.75" customHeight="1">
      <c r="A6759" s="26"/>
      <c r="B6759" s="86"/>
      <c r="D6759" s="26"/>
      <c r="F6759" s="87" t="str">
        <f t="shared" si="0"/>
        <v/>
      </c>
      <c r="H6759" s="26" t="str">
        <f t="shared" si="1"/>
        <v/>
      </c>
      <c r="I6759" s="26" t="str">
        <f t="shared" si="2"/>
        <v/>
      </c>
      <c r="J6759" s="86">
        <f t="shared" si="3"/>
        <v>0</v>
      </c>
      <c r="R6759" s="26"/>
    </row>
    <row r="6760" spans="1:18" ht="15.75" customHeight="1">
      <c r="A6760" s="26"/>
      <c r="B6760" s="86"/>
      <c r="D6760" s="26"/>
      <c r="F6760" s="87" t="str">
        <f t="shared" si="0"/>
        <v/>
      </c>
      <c r="H6760" s="26" t="str">
        <f t="shared" si="1"/>
        <v/>
      </c>
      <c r="I6760" s="26" t="str">
        <f t="shared" si="2"/>
        <v/>
      </c>
      <c r="J6760" s="86">
        <f t="shared" si="3"/>
        <v>0</v>
      </c>
      <c r="R6760" s="26"/>
    </row>
    <row r="6761" spans="1:18" ht="15.75" customHeight="1">
      <c r="A6761" s="26"/>
      <c r="B6761" s="86"/>
      <c r="D6761" s="26"/>
      <c r="F6761" s="87" t="str">
        <f t="shared" si="0"/>
        <v/>
      </c>
      <c r="H6761" s="26" t="str">
        <f t="shared" si="1"/>
        <v/>
      </c>
      <c r="I6761" s="26" t="str">
        <f t="shared" si="2"/>
        <v/>
      </c>
      <c r="J6761" s="86">
        <f t="shared" si="3"/>
        <v>0</v>
      </c>
      <c r="R6761" s="26"/>
    </row>
    <row r="6762" spans="1:18" ht="15.75" customHeight="1">
      <c r="A6762" s="26"/>
      <c r="B6762" s="86"/>
      <c r="D6762" s="26"/>
      <c r="F6762" s="87" t="str">
        <f t="shared" si="0"/>
        <v/>
      </c>
      <c r="H6762" s="26" t="str">
        <f t="shared" si="1"/>
        <v/>
      </c>
      <c r="I6762" s="26" t="str">
        <f t="shared" si="2"/>
        <v/>
      </c>
      <c r="J6762" s="86">
        <f t="shared" si="3"/>
        <v>0</v>
      </c>
      <c r="R6762" s="26"/>
    </row>
    <row r="6763" spans="1:18" ht="15.75" customHeight="1">
      <c r="A6763" s="26"/>
      <c r="B6763" s="86"/>
      <c r="D6763" s="26"/>
      <c r="F6763" s="87" t="str">
        <f t="shared" si="0"/>
        <v/>
      </c>
      <c r="H6763" s="26" t="str">
        <f t="shared" si="1"/>
        <v/>
      </c>
      <c r="I6763" s="26" t="str">
        <f t="shared" si="2"/>
        <v/>
      </c>
      <c r="J6763" s="86">
        <f t="shared" si="3"/>
        <v>0</v>
      </c>
      <c r="R6763" s="26"/>
    </row>
    <row r="6764" spans="1:18" ht="15.75" customHeight="1">
      <c r="A6764" s="26"/>
      <c r="B6764" s="86"/>
      <c r="D6764" s="26"/>
      <c r="F6764" s="87" t="str">
        <f t="shared" si="0"/>
        <v/>
      </c>
      <c r="H6764" s="26" t="str">
        <f t="shared" si="1"/>
        <v/>
      </c>
      <c r="I6764" s="26" t="str">
        <f t="shared" si="2"/>
        <v/>
      </c>
      <c r="J6764" s="86">
        <f t="shared" si="3"/>
        <v>0</v>
      </c>
      <c r="R6764" s="26"/>
    </row>
    <row r="6765" spans="1:18" ht="15.75" customHeight="1">
      <c r="A6765" s="26"/>
      <c r="B6765" s="86"/>
      <c r="D6765" s="26"/>
      <c r="F6765" s="87" t="str">
        <f t="shared" si="0"/>
        <v/>
      </c>
      <c r="H6765" s="26" t="str">
        <f t="shared" si="1"/>
        <v/>
      </c>
      <c r="I6765" s="26" t="str">
        <f t="shared" si="2"/>
        <v/>
      </c>
      <c r="J6765" s="86">
        <f t="shared" si="3"/>
        <v>0</v>
      </c>
      <c r="R6765" s="26"/>
    </row>
    <row r="6766" spans="1:18" ht="15.75" customHeight="1">
      <c r="A6766" s="26"/>
      <c r="B6766" s="86"/>
      <c r="D6766" s="26"/>
      <c r="F6766" s="87" t="str">
        <f t="shared" si="0"/>
        <v/>
      </c>
      <c r="H6766" s="26" t="str">
        <f t="shared" si="1"/>
        <v/>
      </c>
      <c r="I6766" s="26" t="str">
        <f t="shared" si="2"/>
        <v/>
      </c>
      <c r="J6766" s="86">
        <f t="shared" si="3"/>
        <v>0</v>
      </c>
      <c r="R6766" s="26"/>
    </row>
    <row r="6767" spans="1:18" ht="15.75" customHeight="1">
      <c r="A6767" s="26"/>
      <c r="B6767" s="86"/>
      <c r="D6767" s="26"/>
      <c r="F6767" s="87" t="str">
        <f t="shared" si="0"/>
        <v/>
      </c>
      <c r="H6767" s="26" t="str">
        <f t="shared" si="1"/>
        <v/>
      </c>
      <c r="I6767" s="26" t="str">
        <f t="shared" si="2"/>
        <v/>
      </c>
      <c r="J6767" s="86">
        <f t="shared" si="3"/>
        <v>0</v>
      </c>
      <c r="R6767" s="26"/>
    </row>
    <row r="6768" spans="1:18" ht="15.75" customHeight="1">
      <c r="A6768" s="26"/>
      <c r="B6768" s="86"/>
      <c r="D6768" s="26"/>
      <c r="F6768" s="87" t="str">
        <f t="shared" si="0"/>
        <v/>
      </c>
      <c r="H6768" s="26" t="str">
        <f t="shared" si="1"/>
        <v/>
      </c>
      <c r="I6768" s="26" t="str">
        <f t="shared" si="2"/>
        <v/>
      </c>
      <c r="J6768" s="86">
        <f t="shared" si="3"/>
        <v>0</v>
      </c>
      <c r="R6768" s="26"/>
    </row>
    <row r="6769" spans="1:18" ht="15.75" customHeight="1">
      <c r="A6769" s="26"/>
      <c r="B6769" s="86"/>
      <c r="D6769" s="26"/>
      <c r="F6769" s="87" t="str">
        <f t="shared" si="0"/>
        <v/>
      </c>
      <c r="H6769" s="26" t="str">
        <f t="shared" si="1"/>
        <v/>
      </c>
      <c r="I6769" s="26" t="str">
        <f t="shared" si="2"/>
        <v/>
      </c>
      <c r="J6769" s="86">
        <f t="shared" si="3"/>
        <v>0</v>
      </c>
      <c r="R6769" s="26"/>
    </row>
    <row r="6770" spans="1:18" ht="15.75" customHeight="1">
      <c r="A6770" s="26"/>
      <c r="B6770" s="86"/>
      <c r="D6770" s="26"/>
      <c r="F6770" s="87" t="str">
        <f t="shared" si="0"/>
        <v/>
      </c>
      <c r="H6770" s="26" t="str">
        <f t="shared" si="1"/>
        <v/>
      </c>
      <c r="I6770" s="26" t="str">
        <f t="shared" si="2"/>
        <v/>
      </c>
      <c r="J6770" s="86">
        <f t="shared" si="3"/>
        <v>0</v>
      </c>
      <c r="R6770" s="26"/>
    </row>
    <row r="6771" spans="1:18" ht="15.75" customHeight="1">
      <c r="A6771" s="26"/>
      <c r="B6771" s="86"/>
      <c r="D6771" s="26"/>
      <c r="F6771" s="87" t="str">
        <f t="shared" si="0"/>
        <v/>
      </c>
      <c r="H6771" s="26" t="str">
        <f t="shared" si="1"/>
        <v/>
      </c>
      <c r="I6771" s="26" t="str">
        <f t="shared" si="2"/>
        <v/>
      </c>
      <c r="J6771" s="86">
        <f t="shared" si="3"/>
        <v>0</v>
      </c>
      <c r="R6771" s="26"/>
    </row>
    <row r="6772" spans="1:18" ht="15.75" customHeight="1">
      <c r="A6772" s="26"/>
      <c r="B6772" s="86"/>
      <c r="D6772" s="26"/>
      <c r="F6772" s="87" t="str">
        <f t="shared" si="0"/>
        <v/>
      </c>
      <c r="H6772" s="26" t="str">
        <f t="shared" si="1"/>
        <v/>
      </c>
      <c r="I6772" s="26" t="str">
        <f t="shared" si="2"/>
        <v/>
      </c>
      <c r="J6772" s="86">
        <f t="shared" si="3"/>
        <v>0</v>
      </c>
      <c r="R6772" s="26"/>
    </row>
    <row r="6773" spans="1:18" ht="15.75" customHeight="1">
      <c r="A6773" s="26"/>
      <c r="B6773" s="86"/>
      <c r="D6773" s="26"/>
      <c r="F6773" s="87" t="str">
        <f t="shared" si="0"/>
        <v/>
      </c>
      <c r="H6773" s="26" t="str">
        <f t="shared" si="1"/>
        <v/>
      </c>
      <c r="I6773" s="26" t="str">
        <f t="shared" si="2"/>
        <v/>
      </c>
      <c r="J6773" s="86">
        <f t="shared" si="3"/>
        <v>0</v>
      </c>
      <c r="R6773" s="26"/>
    </row>
    <row r="6774" spans="1:18" ht="15.75" customHeight="1">
      <c r="A6774" s="26"/>
      <c r="B6774" s="86"/>
      <c r="D6774" s="26"/>
      <c r="F6774" s="87" t="str">
        <f t="shared" si="0"/>
        <v/>
      </c>
      <c r="H6774" s="26" t="str">
        <f t="shared" si="1"/>
        <v/>
      </c>
      <c r="I6774" s="26" t="str">
        <f t="shared" si="2"/>
        <v/>
      </c>
      <c r="J6774" s="86">
        <f t="shared" si="3"/>
        <v>0</v>
      </c>
      <c r="R6774" s="26"/>
    </row>
    <row r="6775" spans="1:18" ht="15.75" customHeight="1">
      <c r="A6775" s="26"/>
      <c r="B6775" s="86"/>
      <c r="D6775" s="26"/>
      <c r="F6775" s="87" t="str">
        <f t="shared" si="0"/>
        <v/>
      </c>
      <c r="H6775" s="26" t="str">
        <f t="shared" si="1"/>
        <v/>
      </c>
      <c r="I6775" s="26" t="str">
        <f t="shared" si="2"/>
        <v/>
      </c>
      <c r="J6775" s="86">
        <f t="shared" si="3"/>
        <v>0</v>
      </c>
      <c r="R6775" s="26"/>
    </row>
    <row r="6776" spans="1:18" ht="15.75" customHeight="1">
      <c r="A6776" s="26"/>
      <c r="B6776" s="86"/>
      <c r="D6776" s="26"/>
      <c r="F6776" s="87" t="str">
        <f t="shared" si="0"/>
        <v/>
      </c>
      <c r="H6776" s="26" t="str">
        <f t="shared" si="1"/>
        <v/>
      </c>
      <c r="I6776" s="26" t="str">
        <f t="shared" si="2"/>
        <v/>
      </c>
      <c r="J6776" s="86">
        <f t="shared" si="3"/>
        <v>0</v>
      </c>
      <c r="R6776" s="26"/>
    </row>
    <row r="6777" spans="1:18" ht="15.75" customHeight="1">
      <c r="A6777" s="26"/>
      <c r="B6777" s="86"/>
      <c r="D6777" s="26"/>
      <c r="F6777" s="87" t="str">
        <f t="shared" si="0"/>
        <v/>
      </c>
      <c r="H6777" s="26" t="str">
        <f t="shared" si="1"/>
        <v/>
      </c>
      <c r="I6777" s="26" t="str">
        <f t="shared" si="2"/>
        <v/>
      </c>
      <c r="J6777" s="86">
        <f t="shared" si="3"/>
        <v>0</v>
      </c>
      <c r="R6777" s="26"/>
    </row>
    <row r="6778" spans="1:18" ht="15.75" customHeight="1">
      <c r="A6778" s="26"/>
      <c r="B6778" s="86"/>
      <c r="D6778" s="26"/>
      <c r="F6778" s="87" t="str">
        <f t="shared" si="0"/>
        <v/>
      </c>
      <c r="H6778" s="26" t="str">
        <f t="shared" si="1"/>
        <v/>
      </c>
      <c r="I6778" s="26" t="str">
        <f t="shared" si="2"/>
        <v/>
      </c>
      <c r="J6778" s="86">
        <f t="shared" si="3"/>
        <v>0</v>
      </c>
      <c r="R6778" s="26"/>
    </row>
    <row r="6779" spans="1:18" ht="15.75" customHeight="1">
      <c r="A6779" s="26"/>
      <c r="B6779" s="86"/>
      <c r="D6779" s="26"/>
      <c r="F6779" s="87" t="str">
        <f t="shared" si="0"/>
        <v/>
      </c>
      <c r="H6779" s="26" t="str">
        <f t="shared" si="1"/>
        <v/>
      </c>
      <c r="I6779" s="26" t="str">
        <f t="shared" si="2"/>
        <v/>
      </c>
      <c r="J6779" s="86">
        <f t="shared" si="3"/>
        <v>0</v>
      </c>
      <c r="R6779" s="26"/>
    </row>
    <row r="6780" spans="1:18" ht="15.75" customHeight="1">
      <c r="A6780" s="26"/>
      <c r="B6780" s="86"/>
      <c r="D6780" s="26"/>
      <c r="F6780" s="87" t="str">
        <f t="shared" si="0"/>
        <v/>
      </c>
      <c r="H6780" s="26" t="str">
        <f t="shared" si="1"/>
        <v/>
      </c>
      <c r="I6780" s="26" t="str">
        <f t="shared" si="2"/>
        <v/>
      </c>
      <c r="J6780" s="86">
        <f t="shared" si="3"/>
        <v>0</v>
      </c>
      <c r="R6780" s="26"/>
    </row>
    <row r="6781" spans="1:18" ht="15.75" customHeight="1">
      <c r="A6781" s="26"/>
      <c r="B6781" s="86"/>
      <c r="D6781" s="26"/>
      <c r="F6781" s="87" t="str">
        <f t="shared" si="0"/>
        <v/>
      </c>
      <c r="H6781" s="26" t="str">
        <f t="shared" si="1"/>
        <v/>
      </c>
      <c r="I6781" s="26" t="str">
        <f t="shared" si="2"/>
        <v/>
      </c>
      <c r="J6781" s="86">
        <f t="shared" si="3"/>
        <v>0</v>
      </c>
      <c r="R6781" s="26"/>
    </row>
    <row r="6782" spans="1:18" ht="15.75" customHeight="1">
      <c r="A6782" s="26"/>
      <c r="B6782" s="86"/>
      <c r="D6782" s="26"/>
      <c r="F6782" s="87" t="str">
        <f t="shared" si="0"/>
        <v/>
      </c>
      <c r="H6782" s="26" t="str">
        <f t="shared" si="1"/>
        <v/>
      </c>
      <c r="I6782" s="26" t="str">
        <f t="shared" si="2"/>
        <v/>
      </c>
      <c r="J6782" s="86">
        <f t="shared" si="3"/>
        <v>0</v>
      </c>
      <c r="R6782" s="26"/>
    </row>
    <row r="6783" spans="1:18" ht="15.75" customHeight="1">
      <c r="A6783" s="26"/>
      <c r="B6783" s="86"/>
      <c r="D6783" s="26"/>
      <c r="F6783" s="87" t="str">
        <f t="shared" si="0"/>
        <v/>
      </c>
      <c r="H6783" s="26" t="str">
        <f t="shared" si="1"/>
        <v/>
      </c>
      <c r="I6783" s="26" t="str">
        <f t="shared" si="2"/>
        <v/>
      </c>
      <c r="J6783" s="86">
        <f t="shared" si="3"/>
        <v>0</v>
      </c>
      <c r="R6783" s="26"/>
    </row>
    <row r="6784" spans="1:18" ht="15.75" customHeight="1">
      <c r="A6784" s="26"/>
      <c r="B6784" s="86"/>
      <c r="D6784" s="26"/>
      <c r="F6784" s="87" t="str">
        <f t="shared" si="0"/>
        <v/>
      </c>
      <c r="H6784" s="26" t="str">
        <f t="shared" si="1"/>
        <v/>
      </c>
      <c r="I6784" s="26" t="str">
        <f t="shared" si="2"/>
        <v/>
      </c>
      <c r="J6784" s="86">
        <f t="shared" si="3"/>
        <v>0</v>
      </c>
      <c r="R6784" s="26"/>
    </row>
    <row r="6785" spans="1:18" ht="15.75" customHeight="1">
      <c r="A6785" s="26"/>
      <c r="B6785" s="86"/>
      <c r="D6785" s="26"/>
      <c r="F6785" s="87" t="str">
        <f t="shared" si="0"/>
        <v/>
      </c>
      <c r="H6785" s="26" t="str">
        <f t="shared" si="1"/>
        <v/>
      </c>
      <c r="I6785" s="26" t="str">
        <f t="shared" si="2"/>
        <v/>
      </c>
      <c r="J6785" s="86">
        <f t="shared" si="3"/>
        <v>0</v>
      </c>
      <c r="R6785" s="26"/>
    </row>
    <row r="6786" spans="1:18" ht="15.75" customHeight="1">
      <c r="A6786" s="26"/>
      <c r="B6786" s="86"/>
      <c r="D6786" s="26"/>
      <c r="F6786" s="87" t="str">
        <f t="shared" si="0"/>
        <v/>
      </c>
      <c r="H6786" s="26" t="str">
        <f t="shared" si="1"/>
        <v/>
      </c>
      <c r="I6786" s="26" t="str">
        <f t="shared" si="2"/>
        <v/>
      </c>
      <c r="J6786" s="86">
        <f t="shared" si="3"/>
        <v>0</v>
      </c>
      <c r="R6786" s="26"/>
    </row>
    <row r="6787" spans="1:18" ht="15.75" customHeight="1">
      <c r="A6787" s="26"/>
      <c r="B6787" s="86"/>
      <c r="D6787" s="26"/>
      <c r="F6787" s="87" t="str">
        <f t="shared" si="0"/>
        <v/>
      </c>
      <c r="H6787" s="26" t="str">
        <f t="shared" si="1"/>
        <v/>
      </c>
      <c r="I6787" s="26" t="str">
        <f t="shared" si="2"/>
        <v/>
      </c>
      <c r="J6787" s="86">
        <f t="shared" si="3"/>
        <v>0</v>
      </c>
      <c r="R6787" s="26"/>
    </row>
    <row r="6788" spans="1:18" ht="15.75" customHeight="1">
      <c r="A6788" s="26"/>
      <c r="B6788" s="86"/>
      <c r="D6788" s="26"/>
      <c r="F6788" s="87" t="str">
        <f t="shared" si="0"/>
        <v/>
      </c>
      <c r="H6788" s="26" t="str">
        <f t="shared" si="1"/>
        <v/>
      </c>
      <c r="I6788" s="26" t="str">
        <f t="shared" si="2"/>
        <v/>
      </c>
      <c r="J6788" s="86">
        <f t="shared" si="3"/>
        <v>0</v>
      </c>
      <c r="R6788" s="26"/>
    </row>
    <row r="6789" spans="1:18" ht="15.75" customHeight="1">
      <c r="A6789" s="26"/>
      <c r="B6789" s="86"/>
      <c r="D6789" s="26"/>
      <c r="F6789" s="87" t="str">
        <f t="shared" si="0"/>
        <v/>
      </c>
      <c r="H6789" s="26" t="str">
        <f t="shared" si="1"/>
        <v/>
      </c>
      <c r="I6789" s="26" t="str">
        <f t="shared" si="2"/>
        <v/>
      </c>
      <c r="J6789" s="86">
        <f t="shared" si="3"/>
        <v>0</v>
      </c>
      <c r="R6789" s="26"/>
    </row>
    <row r="6790" spans="1:18" ht="15.75" customHeight="1">
      <c r="A6790" s="26"/>
      <c r="B6790" s="86"/>
      <c r="D6790" s="26"/>
      <c r="F6790" s="87" t="str">
        <f t="shared" si="0"/>
        <v/>
      </c>
      <c r="H6790" s="26" t="str">
        <f t="shared" si="1"/>
        <v/>
      </c>
      <c r="I6790" s="26" t="str">
        <f t="shared" si="2"/>
        <v/>
      </c>
      <c r="J6790" s="86">
        <f t="shared" si="3"/>
        <v>0</v>
      </c>
      <c r="R6790" s="26"/>
    </row>
    <row r="6791" spans="1:18" ht="15.75" customHeight="1">
      <c r="A6791" s="26"/>
      <c r="B6791" s="86"/>
      <c r="D6791" s="26"/>
      <c r="F6791" s="87" t="str">
        <f t="shared" si="0"/>
        <v/>
      </c>
      <c r="H6791" s="26" t="str">
        <f t="shared" si="1"/>
        <v/>
      </c>
      <c r="I6791" s="26" t="str">
        <f t="shared" si="2"/>
        <v/>
      </c>
      <c r="J6791" s="86">
        <f t="shared" si="3"/>
        <v>0</v>
      </c>
      <c r="R6791" s="26"/>
    </row>
    <row r="6792" spans="1:18" ht="15.75" customHeight="1">
      <c r="A6792" s="26"/>
      <c r="B6792" s="86"/>
      <c r="D6792" s="26"/>
      <c r="F6792" s="87" t="str">
        <f t="shared" si="0"/>
        <v/>
      </c>
      <c r="H6792" s="26" t="str">
        <f t="shared" si="1"/>
        <v/>
      </c>
      <c r="I6792" s="26" t="str">
        <f t="shared" si="2"/>
        <v/>
      </c>
      <c r="J6792" s="86">
        <f t="shared" si="3"/>
        <v>0</v>
      </c>
      <c r="R6792" s="26"/>
    </row>
    <row r="6793" spans="1:18" ht="15.75" customHeight="1">
      <c r="A6793" s="26"/>
      <c r="B6793" s="86"/>
      <c r="D6793" s="26"/>
      <c r="F6793" s="87" t="str">
        <f t="shared" si="0"/>
        <v/>
      </c>
      <c r="H6793" s="26" t="str">
        <f t="shared" si="1"/>
        <v/>
      </c>
      <c r="I6793" s="26" t="str">
        <f t="shared" si="2"/>
        <v/>
      </c>
      <c r="J6793" s="86">
        <f t="shared" si="3"/>
        <v>0</v>
      </c>
      <c r="R6793" s="26"/>
    </row>
    <row r="6794" spans="1:18" ht="15.75" customHeight="1">
      <c r="A6794" s="26"/>
      <c r="B6794" s="86"/>
      <c r="D6794" s="26"/>
      <c r="F6794" s="87" t="str">
        <f t="shared" si="0"/>
        <v/>
      </c>
      <c r="H6794" s="26" t="str">
        <f t="shared" si="1"/>
        <v/>
      </c>
      <c r="I6794" s="26" t="str">
        <f t="shared" si="2"/>
        <v/>
      </c>
      <c r="J6794" s="86">
        <f t="shared" si="3"/>
        <v>0</v>
      </c>
      <c r="R6794" s="26"/>
    </row>
    <row r="6795" spans="1:18" ht="15.75" customHeight="1">
      <c r="A6795" s="26"/>
      <c r="B6795" s="86"/>
      <c r="D6795" s="26"/>
      <c r="F6795" s="87" t="str">
        <f t="shared" si="0"/>
        <v/>
      </c>
      <c r="H6795" s="26" t="str">
        <f t="shared" si="1"/>
        <v/>
      </c>
      <c r="I6795" s="26" t="str">
        <f t="shared" si="2"/>
        <v/>
      </c>
      <c r="J6795" s="86">
        <f t="shared" si="3"/>
        <v>0</v>
      </c>
      <c r="R6795" s="26"/>
    </row>
    <row r="6796" spans="1:18" ht="15.75" customHeight="1">
      <c r="A6796" s="26"/>
      <c r="B6796" s="86"/>
      <c r="D6796" s="26"/>
      <c r="F6796" s="87" t="str">
        <f t="shared" si="0"/>
        <v/>
      </c>
      <c r="H6796" s="26" t="str">
        <f t="shared" si="1"/>
        <v/>
      </c>
      <c r="I6796" s="26" t="str">
        <f t="shared" si="2"/>
        <v/>
      </c>
      <c r="J6796" s="86">
        <f t="shared" si="3"/>
        <v>0</v>
      </c>
      <c r="R6796" s="26"/>
    </row>
    <row r="6797" spans="1:18" ht="15.75" customHeight="1">
      <c r="A6797" s="26"/>
      <c r="B6797" s="86"/>
      <c r="D6797" s="26"/>
      <c r="F6797" s="87" t="str">
        <f t="shared" si="0"/>
        <v/>
      </c>
      <c r="H6797" s="26" t="str">
        <f t="shared" si="1"/>
        <v/>
      </c>
      <c r="I6797" s="26" t="str">
        <f t="shared" si="2"/>
        <v/>
      </c>
      <c r="J6797" s="86">
        <f t="shared" si="3"/>
        <v>0</v>
      </c>
      <c r="R6797" s="26"/>
    </row>
    <row r="6798" spans="1:18" ht="15.75" customHeight="1">
      <c r="A6798" s="26"/>
      <c r="B6798" s="86"/>
      <c r="D6798" s="26"/>
      <c r="F6798" s="87" t="str">
        <f t="shared" si="0"/>
        <v/>
      </c>
      <c r="H6798" s="26" t="str">
        <f t="shared" si="1"/>
        <v/>
      </c>
      <c r="I6798" s="26" t="str">
        <f t="shared" si="2"/>
        <v/>
      </c>
      <c r="J6798" s="86">
        <f t="shared" si="3"/>
        <v>0</v>
      </c>
      <c r="R6798" s="26"/>
    </row>
    <row r="6799" spans="1:18" ht="15.75" customHeight="1">
      <c r="A6799" s="26"/>
      <c r="B6799" s="86"/>
      <c r="D6799" s="26"/>
      <c r="F6799" s="87" t="str">
        <f t="shared" si="0"/>
        <v/>
      </c>
      <c r="H6799" s="26" t="str">
        <f t="shared" si="1"/>
        <v/>
      </c>
      <c r="I6799" s="26" t="str">
        <f t="shared" si="2"/>
        <v/>
      </c>
      <c r="J6799" s="86">
        <f t="shared" si="3"/>
        <v>0</v>
      </c>
      <c r="R6799" s="26"/>
    </row>
    <row r="6800" spans="1:18" ht="15.75" customHeight="1">
      <c r="A6800" s="26"/>
      <c r="B6800" s="86"/>
      <c r="D6800" s="26"/>
      <c r="F6800" s="87" t="str">
        <f t="shared" si="0"/>
        <v/>
      </c>
      <c r="H6800" s="26" t="str">
        <f t="shared" si="1"/>
        <v/>
      </c>
      <c r="I6800" s="26" t="str">
        <f t="shared" si="2"/>
        <v/>
      </c>
      <c r="J6800" s="86">
        <f t="shared" si="3"/>
        <v>0</v>
      </c>
      <c r="R6800" s="26"/>
    </row>
    <row r="6801" spans="1:18" ht="15.75" customHeight="1">
      <c r="A6801" s="26"/>
      <c r="B6801" s="86"/>
      <c r="D6801" s="26"/>
      <c r="F6801" s="87" t="str">
        <f t="shared" si="0"/>
        <v/>
      </c>
      <c r="H6801" s="26" t="str">
        <f t="shared" si="1"/>
        <v/>
      </c>
      <c r="I6801" s="26" t="str">
        <f t="shared" si="2"/>
        <v/>
      </c>
      <c r="J6801" s="86">
        <f t="shared" si="3"/>
        <v>0</v>
      </c>
      <c r="R6801" s="26"/>
    </row>
    <row r="6802" spans="1:18" ht="15.75" customHeight="1">
      <c r="A6802" s="26"/>
      <c r="B6802" s="86"/>
      <c r="D6802" s="26"/>
      <c r="F6802" s="87" t="str">
        <f t="shared" si="0"/>
        <v/>
      </c>
      <c r="H6802" s="26" t="str">
        <f t="shared" si="1"/>
        <v/>
      </c>
      <c r="I6802" s="26" t="str">
        <f t="shared" si="2"/>
        <v/>
      </c>
      <c r="J6802" s="86">
        <f t="shared" si="3"/>
        <v>0</v>
      </c>
      <c r="R6802" s="26"/>
    </row>
    <row r="6803" spans="1:18" ht="15.75" customHeight="1">
      <c r="A6803" s="26"/>
      <c r="B6803" s="86"/>
      <c r="D6803" s="26"/>
      <c r="F6803" s="87" t="str">
        <f t="shared" si="0"/>
        <v/>
      </c>
      <c r="H6803" s="26" t="str">
        <f t="shared" si="1"/>
        <v/>
      </c>
      <c r="I6803" s="26" t="str">
        <f t="shared" si="2"/>
        <v/>
      </c>
      <c r="J6803" s="86">
        <f t="shared" si="3"/>
        <v>0</v>
      </c>
      <c r="R6803" s="26"/>
    </row>
    <row r="6804" spans="1:18" ht="15.75" customHeight="1">
      <c r="A6804" s="26"/>
      <c r="B6804" s="86"/>
      <c r="D6804" s="26"/>
      <c r="F6804" s="87" t="str">
        <f t="shared" si="0"/>
        <v/>
      </c>
      <c r="H6804" s="26" t="str">
        <f t="shared" si="1"/>
        <v/>
      </c>
      <c r="I6804" s="26" t="str">
        <f t="shared" si="2"/>
        <v/>
      </c>
      <c r="J6804" s="86">
        <f t="shared" si="3"/>
        <v>0</v>
      </c>
      <c r="R6804" s="26"/>
    </row>
    <row r="6805" spans="1:18" ht="15.75" customHeight="1">
      <c r="A6805" s="26"/>
      <c r="B6805" s="86"/>
      <c r="D6805" s="26"/>
      <c r="F6805" s="87" t="str">
        <f t="shared" si="0"/>
        <v/>
      </c>
      <c r="H6805" s="26" t="str">
        <f t="shared" si="1"/>
        <v/>
      </c>
      <c r="I6805" s="26" t="str">
        <f t="shared" si="2"/>
        <v/>
      </c>
      <c r="J6805" s="86">
        <f t="shared" si="3"/>
        <v>0</v>
      </c>
      <c r="R6805" s="26"/>
    </row>
    <row r="6806" spans="1:18" ht="15.75" customHeight="1">
      <c r="A6806" s="26"/>
      <c r="B6806" s="86"/>
      <c r="D6806" s="26"/>
      <c r="F6806" s="87" t="str">
        <f t="shared" si="0"/>
        <v/>
      </c>
      <c r="H6806" s="26" t="str">
        <f t="shared" si="1"/>
        <v/>
      </c>
      <c r="I6806" s="26" t="str">
        <f t="shared" si="2"/>
        <v/>
      </c>
      <c r="J6806" s="86">
        <f t="shared" si="3"/>
        <v>0</v>
      </c>
      <c r="R6806" s="26"/>
    </row>
    <row r="6807" spans="1:18" ht="15.75" customHeight="1">
      <c r="A6807" s="26"/>
      <c r="B6807" s="86"/>
      <c r="D6807" s="26"/>
      <c r="F6807" s="87" t="str">
        <f t="shared" si="0"/>
        <v/>
      </c>
      <c r="H6807" s="26" t="str">
        <f t="shared" si="1"/>
        <v/>
      </c>
      <c r="I6807" s="26" t="str">
        <f t="shared" si="2"/>
        <v/>
      </c>
      <c r="J6807" s="86">
        <f t="shared" si="3"/>
        <v>0</v>
      </c>
      <c r="R6807" s="26"/>
    </row>
    <row r="6808" spans="1:18" ht="15.75" customHeight="1">
      <c r="A6808" s="26"/>
      <c r="B6808" s="86"/>
      <c r="D6808" s="26"/>
      <c r="F6808" s="87" t="str">
        <f t="shared" si="0"/>
        <v/>
      </c>
      <c r="H6808" s="26" t="str">
        <f t="shared" si="1"/>
        <v/>
      </c>
      <c r="I6808" s="26" t="str">
        <f t="shared" si="2"/>
        <v/>
      </c>
      <c r="J6808" s="86">
        <f t="shared" si="3"/>
        <v>0</v>
      </c>
      <c r="R6808" s="26"/>
    </row>
    <row r="6809" spans="1:18" ht="15.75" customHeight="1">
      <c r="A6809" s="26"/>
      <c r="B6809" s="86"/>
      <c r="D6809" s="26"/>
      <c r="F6809" s="87" t="str">
        <f t="shared" si="0"/>
        <v/>
      </c>
      <c r="H6809" s="26" t="str">
        <f t="shared" si="1"/>
        <v/>
      </c>
      <c r="I6809" s="26" t="str">
        <f t="shared" si="2"/>
        <v/>
      </c>
      <c r="J6809" s="86">
        <f t="shared" si="3"/>
        <v>0</v>
      </c>
      <c r="R6809" s="26"/>
    </row>
    <row r="6810" spans="1:18" ht="15.75" customHeight="1">
      <c r="A6810" s="26"/>
      <c r="B6810" s="86"/>
      <c r="D6810" s="26"/>
      <c r="F6810" s="87" t="str">
        <f t="shared" si="0"/>
        <v/>
      </c>
      <c r="H6810" s="26" t="str">
        <f t="shared" si="1"/>
        <v/>
      </c>
      <c r="I6810" s="26" t="str">
        <f t="shared" si="2"/>
        <v/>
      </c>
      <c r="J6810" s="86">
        <f t="shared" si="3"/>
        <v>0</v>
      </c>
      <c r="R6810" s="26"/>
    </row>
    <row r="6811" spans="1:18" ht="15.75" customHeight="1">
      <c r="A6811" s="26"/>
      <c r="B6811" s="86"/>
      <c r="D6811" s="26"/>
      <c r="F6811" s="87" t="str">
        <f t="shared" si="0"/>
        <v/>
      </c>
      <c r="H6811" s="26" t="str">
        <f t="shared" si="1"/>
        <v/>
      </c>
      <c r="I6811" s="26" t="str">
        <f t="shared" si="2"/>
        <v/>
      </c>
      <c r="J6811" s="86">
        <f t="shared" si="3"/>
        <v>0</v>
      </c>
      <c r="R6811" s="26"/>
    </row>
    <row r="6812" spans="1:18" ht="15.75" customHeight="1">
      <c r="A6812" s="26"/>
      <c r="B6812" s="86"/>
      <c r="D6812" s="26"/>
      <c r="F6812" s="87" t="str">
        <f t="shared" si="0"/>
        <v/>
      </c>
      <c r="H6812" s="26" t="str">
        <f t="shared" si="1"/>
        <v/>
      </c>
      <c r="I6812" s="26" t="str">
        <f t="shared" si="2"/>
        <v/>
      </c>
      <c r="J6812" s="86">
        <f t="shared" si="3"/>
        <v>0</v>
      </c>
      <c r="R6812" s="26"/>
    </row>
    <row r="6813" spans="1:18" ht="15.75" customHeight="1">
      <c r="A6813" s="26"/>
      <c r="B6813" s="86"/>
      <c r="D6813" s="26"/>
      <c r="F6813" s="87" t="str">
        <f t="shared" si="0"/>
        <v/>
      </c>
      <c r="H6813" s="26" t="str">
        <f t="shared" si="1"/>
        <v/>
      </c>
      <c r="I6813" s="26" t="str">
        <f t="shared" si="2"/>
        <v/>
      </c>
      <c r="J6813" s="86">
        <f t="shared" si="3"/>
        <v>0</v>
      </c>
      <c r="R6813" s="26"/>
    </row>
    <row r="6814" spans="1:18" ht="15.75" customHeight="1">
      <c r="A6814" s="26"/>
      <c r="B6814" s="86"/>
      <c r="D6814" s="26"/>
      <c r="F6814" s="87" t="str">
        <f t="shared" si="0"/>
        <v/>
      </c>
      <c r="H6814" s="26" t="str">
        <f t="shared" si="1"/>
        <v/>
      </c>
      <c r="I6814" s="26" t="str">
        <f t="shared" si="2"/>
        <v/>
      </c>
      <c r="J6814" s="86">
        <f t="shared" si="3"/>
        <v>0</v>
      </c>
      <c r="R6814" s="26"/>
    </row>
    <row r="6815" spans="1:18" ht="15.75" customHeight="1">
      <c r="A6815" s="26"/>
      <c r="B6815" s="86"/>
      <c r="D6815" s="26"/>
      <c r="F6815" s="87" t="str">
        <f t="shared" si="0"/>
        <v/>
      </c>
      <c r="H6815" s="26" t="str">
        <f t="shared" si="1"/>
        <v/>
      </c>
      <c r="I6815" s="26" t="str">
        <f t="shared" si="2"/>
        <v/>
      </c>
      <c r="J6815" s="86">
        <f t="shared" si="3"/>
        <v>0</v>
      </c>
      <c r="R6815" s="26"/>
    </row>
    <row r="6816" spans="1:18" ht="15.75" customHeight="1">
      <c r="A6816" s="26"/>
      <c r="B6816" s="86"/>
      <c r="D6816" s="26"/>
      <c r="F6816" s="87" t="str">
        <f t="shared" si="0"/>
        <v/>
      </c>
      <c r="H6816" s="26" t="str">
        <f t="shared" si="1"/>
        <v/>
      </c>
      <c r="I6816" s="26" t="str">
        <f t="shared" si="2"/>
        <v/>
      </c>
      <c r="J6816" s="86">
        <f t="shared" si="3"/>
        <v>0</v>
      </c>
      <c r="R6816" s="26"/>
    </row>
    <row r="6817" spans="1:18" ht="15.75" customHeight="1">
      <c r="A6817" s="26"/>
      <c r="B6817" s="86"/>
      <c r="D6817" s="26"/>
      <c r="F6817" s="87" t="str">
        <f t="shared" si="0"/>
        <v/>
      </c>
      <c r="H6817" s="26" t="str">
        <f t="shared" si="1"/>
        <v/>
      </c>
      <c r="I6817" s="26" t="str">
        <f t="shared" si="2"/>
        <v/>
      </c>
      <c r="J6817" s="86">
        <f t="shared" si="3"/>
        <v>0</v>
      </c>
      <c r="R6817" s="26"/>
    </row>
    <row r="6818" spans="1:18" ht="15.75" customHeight="1">
      <c r="A6818" s="26"/>
      <c r="B6818" s="86"/>
      <c r="D6818" s="26"/>
      <c r="F6818" s="87" t="str">
        <f t="shared" si="0"/>
        <v/>
      </c>
      <c r="H6818" s="26" t="str">
        <f t="shared" si="1"/>
        <v/>
      </c>
      <c r="I6818" s="26" t="str">
        <f t="shared" si="2"/>
        <v/>
      </c>
      <c r="J6818" s="86">
        <f t="shared" si="3"/>
        <v>0</v>
      </c>
      <c r="R6818" s="26"/>
    </row>
    <row r="6819" spans="1:18" ht="15.75" customHeight="1">
      <c r="A6819" s="26"/>
      <c r="B6819" s="86"/>
      <c r="D6819" s="26"/>
      <c r="F6819" s="87" t="str">
        <f t="shared" si="0"/>
        <v/>
      </c>
      <c r="H6819" s="26" t="str">
        <f t="shared" si="1"/>
        <v/>
      </c>
      <c r="I6819" s="26" t="str">
        <f t="shared" si="2"/>
        <v/>
      </c>
      <c r="J6819" s="86">
        <f t="shared" si="3"/>
        <v>0</v>
      </c>
      <c r="R6819" s="26"/>
    </row>
    <row r="6820" spans="1:18" ht="15.75" customHeight="1">
      <c r="A6820" s="26"/>
      <c r="B6820" s="86"/>
      <c r="D6820" s="26"/>
      <c r="F6820" s="87" t="str">
        <f t="shared" si="0"/>
        <v/>
      </c>
      <c r="H6820" s="26" t="str">
        <f t="shared" si="1"/>
        <v/>
      </c>
      <c r="I6820" s="26" t="str">
        <f t="shared" si="2"/>
        <v/>
      </c>
      <c r="J6820" s="86">
        <f t="shared" si="3"/>
        <v>0</v>
      </c>
      <c r="R6820" s="26"/>
    </row>
    <row r="6821" spans="1:18" ht="15.75" customHeight="1">
      <c r="A6821" s="26"/>
      <c r="B6821" s="86"/>
      <c r="D6821" s="26"/>
      <c r="F6821" s="87" t="str">
        <f t="shared" si="0"/>
        <v/>
      </c>
      <c r="H6821" s="26" t="str">
        <f t="shared" si="1"/>
        <v/>
      </c>
      <c r="I6821" s="26" t="str">
        <f t="shared" si="2"/>
        <v/>
      </c>
      <c r="J6821" s="86">
        <f t="shared" si="3"/>
        <v>0</v>
      </c>
      <c r="R6821" s="26"/>
    </row>
    <row r="6822" spans="1:18" ht="15.75" customHeight="1">
      <c r="A6822" s="26"/>
      <c r="B6822" s="86"/>
      <c r="D6822" s="26"/>
      <c r="F6822" s="87" t="str">
        <f t="shared" si="0"/>
        <v/>
      </c>
      <c r="H6822" s="26" t="str">
        <f t="shared" si="1"/>
        <v/>
      </c>
      <c r="I6822" s="26" t="str">
        <f t="shared" si="2"/>
        <v/>
      </c>
      <c r="J6822" s="86">
        <f t="shared" si="3"/>
        <v>0</v>
      </c>
      <c r="R6822" s="26"/>
    </row>
    <row r="6823" spans="1:18" ht="15.75" customHeight="1">
      <c r="A6823" s="26"/>
      <c r="B6823" s="86"/>
      <c r="D6823" s="26"/>
      <c r="F6823" s="87" t="str">
        <f t="shared" si="0"/>
        <v/>
      </c>
      <c r="H6823" s="26" t="str">
        <f t="shared" si="1"/>
        <v/>
      </c>
      <c r="I6823" s="26" t="str">
        <f t="shared" si="2"/>
        <v/>
      </c>
      <c r="J6823" s="86">
        <f t="shared" si="3"/>
        <v>0</v>
      </c>
      <c r="R6823" s="26"/>
    </row>
    <row r="6824" spans="1:18" ht="15.75" customHeight="1">
      <c r="A6824" s="26"/>
      <c r="B6824" s="86"/>
      <c r="D6824" s="26"/>
      <c r="F6824" s="87" t="str">
        <f t="shared" si="0"/>
        <v/>
      </c>
      <c r="H6824" s="26" t="str">
        <f t="shared" si="1"/>
        <v/>
      </c>
      <c r="I6824" s="26" t="str">
        <f t="shared" si="2"/>
        <v/>
      </c>
      <c r="J6824" s="86">
        <f t="shared" si="3"/>
        <v>0</v>
      </c>
      <c r="R6824" s="26"/>
    </row>
    <row r="6825" spans="1:18" ht="15.75" customHeight="1">
      <c r="A6825" s="26"/>
      <c r="B6825" s="86"/>
      <c r="D6825" s="26"/>
      <c r="F6825" s="87" t="str">
        <f t="shared" si="0"/>
        <v/>
      </c>
      <c r="H6825" s="26" t="str">
        <f t="shared" si="1"/>
        <v/>
      </c>
      <c r="I6825" s="26" t="str">
        <f t="shared" si="2"/>
        <v/>
      </c>
      <c r="J6825" s="86">
        <f t="shared" si="3"/>
        <v>0</v>
      </c>
      <c r="R6825" s="26"/>
    </row>
    <row r="6826" spans="1:18" ht="15.75" customHeight="1">
      <c r="A6826" s="26"/>
      <c r="B6826" s="86"/>
      <c r="D6826" s="26"/>
      <c r="F6826" s="87" t="str">
        <f t="shared" si="0"/>
        <v/>
      </c>
      <c r="H6826" s="26" t="str">
        <f t="shared" si="1"/>
        <v/>
      </c>
      <c r="I6826" s="26" t="str">
        <f t="shared" si="2"/>
        <v/>
      </c>
      <c r="J6826" s="86">
        <f t="shared" si="3"/>
        <v>0</v>
      </c>
      <c r="R6826" s="26"/>
    </row>
    <row r="6827" spans="1:18" ht="15.75" customHeight="1">
      <c r="A6827" s="26"/>
      <c r="B6827" s="86"/>
      <c r="D6827" s="26"/>
      <c r="F6827" s="87" t="str">
        <f t="shared" si="0"/>
        <v/>
      </c>
      <c r="H6827" s="26" t="str">
        <f t="shared" si="1"/>
        <v/>
      </c>
      <c r="I6827" s="26" t="str">
        <f t="shared" si="2"/>
        <v/>
      </c>
      <c r="J6827" s="86">
        <f t="shared" si="3"/>
        <v>0</v>
      </c>
      <c r="R6827" s="26"/>
    </row>
    <row r="6828" spans="1:18" ht="15.75" customHeight="1">
      <c r="A6828" s="26"/>
      <c r="B6828" s="86"/>
      <c r="D6828" s="26"/>
      <c r="F6828" s="87" t="str">
        <f t="shared" si="0"/>
        <v/>
      </c>
      <c r="H6828" s="26" t="str">
        <f t="shared" si="1"/>
        <v/>
      </c>
      <c r="I6828" s="26" t="str">
        <f t="shared" si="2"/>
        <v/>
      </c>
      <c r="J6828" s="86">
        <f t="shared" si="3"/>
        <v>0</v>
      </c>
      <c r="R6828" s="26"/>
    </row>
    <row r="6829" spans="1:18" ht="15.75" customHeight="1">
      <c r="A6829" s="26"/>
      <c r="B6829" s="86"/>
      <c r="D6829" s="26"/>
      <c r="F6829" s="87" t="str">
        <f t="shared" si="0"/>
        <v/>
      </c>
      <c r="H6829" s="26" t="str">
        <f t="shared" si="1"/>
        <v/>
      </c>
      <c r="I6829" s="26" t="str">
        <f t="shared" si="2"/>
        <v/>
      </c>
      <c r="J6829" s="86">
        <f t="shared" si="3"/>
        <v>0</v>
      </c>
      <c r="R6829" s="26"/>
    </row>
    <row r="6830" spans="1:18" ht="15.75" customHeight="1">
      <c r="A6830" s="26"/>
      <c r="B6830" s="86"/>
      <c r="D6830" s="26"/>
      <c r="F6830" s="87" t="str">
        <f t="shared" si="0"/>
        <v/>
      </c>
      <c r="H6830" s="26" t="str">
        <f t="shared" si="1"/>
        <v/>
      </c>
      <c r="I6830" s="26" t="str">
        <f t="shared" si="2"/>
        <v/>
      </c>
      <c r="J6830" s="86">
        <f t="shared" si="3"/>
        <v>0</v>
      </c>
      <c r="R6830" s="26"/>
    </row>
    <row r="6831" spans="1:18" ht="15.75" customHeight="1">
      <c r="A6831" s="26"/>
      <c r="B6831" s="86"/>
      <c r="D6831" s="26"/>
      <c r="F6831" s="87" t="str">
        <f t="shared" si="0"/>
        <v/>
      </c>
      <c r="H6831" s="26" t="str">
        <f t="shared" si="1"/>
        <v/>
      </c>
      <c r="I6831" s="26" t="str">
        <f t="shared" si="2"/>
        <v/>
      </c>
      <c r="J6831" s="86">
        <f t="shared" si="3"/>
        <v>0</v>
      </c>
      <c r="R6831" s="26"/>
    </row>
    <row r="6832" spans="1:18" ht="15.75" customHeight="1">
      <c r="A6832" s="26"/>
      <c r="B6832" s="86"/>
      <c r="D6832" s="26"/>
      <c r="F6832" s="87" t="str">
        <f t="shared" si="0"/>
        <v/>
      </c>
      <c r="H6832" s="26" t="str">
        <f t="shared" si="1"/>
        <v/>
      </c>
      <c r="I6832" s="26" t="str">
        <f t="shared" si="2"/>
        <v/>
      </c>
      <c r="J6832" s="86">
        <f t="shared" si="3"/>
        <v>0</v>
      </c>
      <c r="R6832" s="26"/>
    </row>
    <row r="6833" spans="1:18" ht="15.75" customHeight="1">
      <c r="A6833" s="26"/>
      <c r="B6833" s="86"/>
      <c r="D6833" s="26"/>
      <c r="F6833" s="87" t="str">
        <f t="shared" si="0"/>
        <v/>
      </c>
      <c r="H6833" s="26" t="str">
        <f t="shared" si="1"/>
        <v/>
      </c>
      <c r="I6833" s="26" t="str">
        <f t="shared" si="2"/>
        <v/>
      </c>
      <c r="J6833" s="86">
        <f t="shared" si="3"/>
        <v>0</v>
      </c>
      <c r="R6833" s="26"/>
    </row>
    <row r="6834" spans="1:18" ht="15.75" customHeight="1">
      <c r="A6834" s="26"/>
      <c r="B6834" s="86"/>
      <c r="D6834" s="26"/>
      <c r="F6834" s="87" t="str">
        <f t="shared" si="0"/>
        <v/>
      </c>
      <c r="H6834" s="26" t="str">
        <f t="shared" si="1"/>
        <v/>
      </c>
      <c r="I6834" s="26" t="str">
        <f t="shared" si="2"/>
        <v/>
      </c>
      <c r="J6834" s="86">
        <f t="shared" si="3"/>
        <v>0</v>
      </c>
      <c r="R6834" s="26"/>
    </row>
    <row r="6835" spans="1:18" ht="15.75" customHeight="1">
      <c r="A6835" s="26"/>
      <c r="B6835" s="86"/>
      <c r="D6835" s="26"/>
      <c r="F6835" s="87" t="str">
        <f t="shared" si="0"/>
        <v/>
      </c>
      <c r="H6835" s="26" t="str">
        <f t="shared" si="1"/>
        <v/>
      </c>
      <c r="I6835" s="26" t="str">
        <f t="shared" si="2"/>
        <v/>
      </c>
      <c r="J6835" s="86">
        <f t="shared" si="3"/>
        <v>0</v>
      </c>
      <c r="R6835" s="26"/>
    </row>
    <row r="6836" spans="1:18" ht="15.75" customHeight="1">
      <c r="A6836" s="26"/>
      <c r="B6836" s="86"/>
      <c r="D6836" s="26"/>
      <c r="F6836" s="87" t="str">
        <f t="shared" si="0"/>
        <v/>
      </c>
      <c r="H6836" s="26" t="str">
        <f t="shared" si="1"/>
        <v/>
      </c>
      <c r="I6836" s="26" t="str">
        <f t="shared" si="2"/>
        <v/>
      </c>
      <c r="J6836" s="86">
        <f t="shared" si="3"/>
        <v>0</v>
      </c>
      <c r="R6836" s="26"/>
    </row>
    <row r="6837" spans="1:18" ht="15.75" customHeight="1">
      <c r="A6837" s="26"/>
      <c r="B6837" s="86"/>
      <c r="D6837" s="26"/>
      <c r="F6837" s="87" t="str">
        <f t="shared" si="0"/>
        <v/>
      </c>
      <c r="H6837" s="26" t="str">
        <f t="shared" si="1"/>
        <v/>
      </c>
      <c r="I6837" s="26" t="str">
        <f t="shared" si="2"/>
        <v/>
      </c>
      <c r="J6837" s="86">
        <f t="shared" si="3"/>
        <v>0</v>
      </c>
      <c r="R6837" s="26"/>
    </row>
    <row r="6838" spans="1:18" ht="15.75" customHeight="1">
      <c r="A6838" s="26"/>
      <c r="B6838" s="86"/>
      <c r="D6838" s="26"/>
      <c r="F6838" s="87" t="str">
        <f t="shared" si="0"/>
        <v/>
      </c>
      <c r="H6838" s="26" t="str">
        <f t="shared" si="1"/>
        <v/>
      </c>
      <c r="I6838" s="26" t="str">
        <f t="shared" si="2"/>
        <v/>
      </c>
      <c r="J6838" s="86">
        <f t="shared" si="3"/>
        <v>0</v>
      </c>
      <c r="R6838" s="26"/>
    </row>
    <row r="6839" spans="1:18" ht="15.75" customHeight="1">
      <c r="A6839" s="26"/>
      <c r="B6839" s="86"/>
      <c r="D6839" s="26"/>
      <c r="F6839" s="87" t="str">
        <f t="shared" si="0"/>
        <v/>
      </c>
      <c r="H6839" s="26" t="str">
        <f t="shared" si="1"/>
        <v/>
      </c>
      <c r="I6839" s="26" t="str">
        <f t="shared" si="2"/>
        <v/>
      </c>
      <c r="J6839" s="86">
        <f t="shared" si="3"/>
        <v>0</v>
      </c>
      <c r="R6839" s="26"/>
    </row>
    <row r="6840" spans="1:18" ht="15.75" customHeight="1">
      <c r="A6840" s="26"/>
      <c r="B6840" s="86"/>
      <c r="D6840" s="26"/>
      <c r="F6840" s="87" t="str">
        <f t="shared" si="0"/>
        <v/>
      </c>
      <c r="H6840" s="26" t="str">
        <f t="shared" si="1"/>
        <v/>
      </c>
      <c r="I6840" s="26" t="str">
        <f t="shared" si="2"/>
        <v/>
      </c>
      <c r="J6840" s="86">
        <f t="shared" si="3"/>
        <v>0</v>
      </c>
      <c r="R6840" s="26"/>
    </row>
    <row r="6841" spans="1:18" ht="15.75" customHeight="1">
      <c r="A6841" s="26"/>
      <c r="B6841" s="86"/>
      <c r="D6841" s="26"/>
      <c r="F6841" s="87" t="str">
        <f t="shared" si="0"/>
        <v/>
      </c>
      <c r="H6841" s="26" t="str">
        <f t="shared" si="1"/>
        <v/>
      </c>
      <c r="I6841" s="26" t="str">
        <f t="shared" si="2"/>
        <v/>
      </c>
      <c r="J6841" s="86">
        <f t="shared" si="3"/>
        <v>0</v>
      </c>
      <c r="R6841" s="26"/>
    </row>
    <row r="6842" spans="1:18" ht="15.75" customHeight="1">
      <c r="A6842" s="26"/>
      <c r="B6842" s="86"/>
      <c r="D6842" s="26"/>
      <c r="F6842" s="87" t="str">
        <f t="shared" si="0"/>
        <v/>
      </c>
      <c r="H6842" s="26" t="str">
        <f t="shared" si="1"/>
        <v/>
      </c>
      <c r="I6842" s="26" t="str">
        <f t="shared" si="2"/>
        <v/>
      </c>
      <c r="J6842" s="86">
        <f t="shared" si="3"/>
        <v>0</v>
      </c>
      <c r="R6842" s="26"/>
    </row>
    <row r="6843" spans="1:18" ht="15.75" customHeight="1">
      <c r="A6843" s="26"/>
      <c r="B6843" s="86"/>
      <c r="D6843" s="26"/>
      <c r="F6843" s="87" t="str">
        <f t="shared" si="0"/>
        <v/>
      </c>
      <c r="H6843" s="26" t="str">
        <f t="shared" si="1"/>
        <v/>
      </c>
      <c r="I6843" s="26" t="str">
        <f t="shared" si="2"/>
        <v/>
      </c>
      <c r="J6843" s="86">
        <f t="shared" si="3"/>
        <v>0</v>
      </c>
      <c r="R6843" s="26"/>
    </row>
    <row r="6844" spans="1:18" ht="15.75" customHeight="1">
      <c r="A6844" s="26"/>
      <c r="B6844" s="86"/>
      <c r="D6844" s="26"/>
      <c r="F6844" s="87" t="str">
        <f t="shared" si="0"/>
        <v/>
      </c>
      <c r="H6844" s="26" t="str">
        <f t="shared" si="1"/>
        <v/>
      </c>
      <c r="I6844" s="26" t="str">
        <f t="shared" si="2"/>
        <v/>
      </c>
      <c r="J6844" s="86">
        <f t="shared" si="3"/>
        <v>0</v>
      </c>
      <c r="R6844" s="26"/>
    </row>
    <row r="6845" spans="1:18" ht="15.75" customHeight="1">
      <c r="A6845" s="26"/>
      <c r="B6845" s="86"/>
      <c r="D6845" s="26"/>
      <c r="F6845" s="87" t="str">
        <f t="shared" si="0"/>
        <v/>
      </c>
      <c r="H6845" s="26" t="str">
        <f t="shared" si="1"/>
        <v/>
      </c>
      <c r="I6845" s="26" t="str">
        <f t="shared" si="2"/>
        <v/>
      </c>
      <c r="J6845" s="86">
        <f t="shared" si="3"/>
        <v>0</v>
      </c>
      <c r="R6845" s="26"/>
    </row>
    <row r="6846" spans="1:18" ht="15.75" customHeight="1">
      <c r="A6846" s="26"/>
      <c r="B6846" s="86"/>
      <c r="D6846" s="26"/>
      <c r="F6846" s="87" t="str">
        <f t="shared" si="0"/>
        <v/>
      </c>
      <c r="H6846" s="26" t="str">
        <f t="shared" si="1"/>
        <v/>
      </c>
      <c r="I6846" s="26" t="str">
        <f t="shared" si="2"/>
        <v/>
      </c>
      <c r="J6846" s="86">
        <f t="shared" si="3"/>
        <v>0</v>
      </c>
      <c r="R6846" s="26"/>
    </row>
    <row r="6847" spans="1:18" ht="15.75" customHeight="1">
      <c r="A6847" s="26"/>
      <c r="B6847" s="86"/>
      <c r="D6847" s="26"/>
      <c r="F6847" s="87" t="str">
        <f t="shared" si="0"/>
        <v/>
      </c>
      <c r="H6847" s="26" t="str">
        <f t="shared" si="1"/>
        <v/>
      </c>
      <c r="I6847" s="26" t="str">
        <f t="shared" si="2"/>
        <v/>
      </c>
      <c r="J6847" s="86">
        <f t="shared" si="3"/>
        <v>0</v>
      </c>
      <c r="R6847" s="26"/>
    </row>
    <row r="6848" spans="1:18" ht="15.75" customHeight="1">
      <c r="A6848" s="26"/>
      <c r="B6848" s="86"/>
      <c r="D6848" s="26"/>
      <c r="F6848" s="87" t="str">
        <f t="shared" si="0"/>
        <v/>
      </c>
      <c r="H6848" s="26" t="str">
        <f t="shared" si="1"/>
        <v/>
      </c>
      <c r="I6848" s="26" t="str">
        <f t="shared" si="2"/>
        <v/>
      </c>
      <c r="J6848" s="86">
        <f t="shared" si="3"/>
        <v>0</v>
      </c>
      <c r="R6848" s="26"/>
    </row>
    <row r="6849" spans="1:18" ht="15.75" customHeight="1">
      <c r="A6849" s="26"/>
      <c r="B6849" s="86"/>
      <c r="D6849" s="26"/>
      <c r="F6849" s="87" t="str">
        <f t="shared" si="0"/>
        <v/>
      </c>
      <c r="H6849" s="26" t="str">
        <f t="shared" si="1"/>
        <v/>
      </c>
      <c r="I6849" s="26" t="str">
        <f t="shared" si="2"/>
        <v/>
      </c>
      <c r="J6849" s="86">
        <f t="shared" si="3"/>
        <v>0</v>
      </c>
      <c r="R6849" s="26"/>
    </row>
    <row r="6850" spans="1:18" ht="15.75" customHeight="1">
      <c r="A6850" s="26"/>
      <c r="B6850" s="86"/>
      <c r="D6850" s="26"/>
      <c r="F6850" s="87" t="str">
        <f t="shared" si="0"/>
        <v/>
      </c>
      <c r="H6850" s="26" t="str">
        <f t="shared" si="1"/>
        <v/>
      </c>
      <c r="I6850" s="26" t="str">
        <f t="shared" si="2"/>
        <v/>
      </c>
      <c r="J6850" s="86">
        <f t="shared" si="3"/>
        <v>0</v>
      </c>
      <c r="R6850" s="26"/>
    </row>
    <row r="6851" spans="1:18" ht="15.75" customHeight="1">
      <c r="A6851" s="26"/>
      <c r="B6851" s="86"/>
      <c r="D6851" s="26"/>
      <c r="F6851" s="87" t="str">
        <f t="shared" si="0"/>
        <v/>
      </c>
      <c r="H6851" s="26" t="str">
        <f t="shared" si="1"/>
        <v/>
      </c>
      <c r="I6851" s="26" t="str">
        <f t="shared" si="2"/>
        <v/>
      </c>
      <c r="J6851" s="86">
        <f t="shared" si="3"/>
        <v>0</v>
      </c>
      <c r="R6851" s="26"/>
    </row>
    <row r="6852" spans="1:18" ht="15.75" customHeight="1">
      <c r="A6852" s="26"/>
      <c r="B6852" s="86"/>
      <c r="D6852" s="26"/>
      <c r="F6852" s="87" t="str">
        <f t="shared" si="0"/>
        <v/>
      </c>
      <c r="H6852" s="26" t="str">
        <f t="shared" si="1"/>
        <v/>
      </c>
      <c r="I6852" s="26" t="str">
        <f t="shared" si="2"/>
        <v/>
      </c>
      <c r="J6852" s="86">
        <f t="shared" si="3"/>
        <v>0</v>
      </c>
      <c r="R6852" s="26"/>
    </row>
    <row r="6853" spans="1:18" ht="15.75" customHeight="1">
      <c r="A6853" s="26"/>
      <c r="B6853" s="86"/>
      <c r="D6853" s="26"/>
      <c r="F6853" s="87" t="str">
        <f t="shared" si="0"/>
        <v/>
      </c>
      <c r="H6853" s="26" t="str">
        <f t="shared" si="1"/>
        <v/>
      </c>
      <c r="I6853" s="26" t="str">
        <f t="shared" si="2"/>
        <v/>
      </c>
      <c r="J6853" s="86">
        <f t="shared" si="3"/>
        <v>0</v>
      </c>
      <c r="R6853" s="26"/>
    </row>
    <row r="6854" spans="1:18" ht="15.75" customHeight="1">
      <c r="A6854" s="26"/>
      <c r="B6854" s="86"/>
      <c r="D6854" s="26"/>
      <c r="F6854" s="87" t="str">
        <f t="shared" si="0"/>
        <v/>
      </c>
      <c r="H6854" s="26" t="str">
        <f t="shared" si="1"/>
        <v/>
      </c>
      <c r="I6854" s="26" t="str">
        <f t="shared" si="2"/>
        <v/>
      </c>
      <c r="J6854" s="86">
        <f t="shared" si="3"/>
        <v>0</v>
      </c>
      <c r="R6854" s="26"/>
    </row>
    <row r="6855" spans="1:18" ht="15.75" customHeight="1">
      <c r="A6855" s="26"/>
      <c r="B6855" s="86"/>
      <c r="D6855" s="26"/>
      <c r="F6855" s="87" t="str">
        <f t="shared" si="0"/>
        <v/>
      </c>
      <c r="H6855" s="26" t="str">
        <f t="shared" si="1"/>
        <v/>
      </c>
      <c r="I6855" s="26" t="str">
        <f t="shared" si="2"/>
        <v/>
      </c>
      <c r="J6855" s="86">
        <f t="shared" si="3"/>
        <v>0</v>
      </c>
      <c r="R6855" s="26"/>
    </row>
    <row r="6856" spans="1:18" ht="15.75" customHeight="1">
      <c r="A6856" s="26"/>
      <c r="B6856" s="86"/>
      <c r="D6856" s="26"/>
      <c r="F6856" s="87" t="str">
        <f t="shared" si="0"/>
        <v/>
      </c>
      <c r="H6856" s="26" t="str">
        <f t="shared" si="1"/>
        <v/>
      </c>
      <c r="I6856" s="26" t="str">
        <f t="shared" si="2"/>
        <v/>
      </c>
      <c r="J6856" s="86">
        <f t="shared" si="3"/>
        <v>0</v>
      </c>
      <c r="R6856" s="26"/>
    </row>
    <row r="6857" spans="1:18" ht="15.75" customHeight="1">
      <c r="A6857" s="26"/>
      <c r="B6857" s="86"/>
      <c r="D6857" s="26"/>
      <c r="F6857" s="87" t="str">
        <f t="shared" si="0"/>
        <v/>
      </c>
      <c r="H6857" s="26" t="str">
        <f t="shared" si="1"/>
        <v/>
      </c>
      <c r="I6857" s="26" t="str">
        <f t="shared" si="2"/>
        <v/>
      </c>
      <c r="J6857" s="86">
        <f t="shared" si="3"/>
        <v>0</v>
      </c>
      <c r="R6857" s="26"/>
    </row>
    <row r="6858" spans="1:18" ht="15.75" customHeight="1">
      <c r="A6858" s="26"/>
      <c r="B6858" s="86"/>
      <c r="D6858" s="26"/>
      <c r="F6858" s="87" t="str">
        <f t="shared" si="0"/>
        <v/>
      </c>
      <c r="H6858" s="26" t="str">
        <f t="shared" si="1"/>
        <v/>
      </c>
      <c r="I6858" s="26" t="str">
        <f t="shared" si="2"/>
        <v/>
      </c>
      <c r="J6858" s="86">
        <f t="shared" si="3"/>
        <v>0</v>
      </c>
      <c r="R6858" s="26"/>
    </row>
    <row r="6859" spans="1:18" ht="15.75" customHeight="1">
      <c r="A6859" s="26"/>
      <c r="B6859" s="86"/>
      <c r="D6859" s="26"/>
      <c r="F6859" s="87" t="str">
        <f t="shared" si="0"/>
        <v/>
      </c>
      <c r="H6859" s="26" t="str">
        <f t="shared" si="1"/>
        <v/>
      </c>
      <c r="I6859" s="26" t="str">
        <f t="shared" si="2"/>
        <v/>
      </c>
      <c r="J6859" s="86">
        <f t="shared" si="3"/>
        <v>0</v>
      </c>
      <c r="R6859" s="26"/>
    </row>
    <row r="6860" spans="1:18" ht="15.75" customHeight="1">
      <c r="A6860" s="26"/>
      <c r="B6860" s="86"/>
      <c r="D6860" s="26"/>
      <c r="F6860" s="87" t="str">
        <f t="shared" si="0"/>
        <v/>
      </c>
      <c r="H6860" s="26" t="str">
        <f t="shared" si="1"/>
        <v/>
      </c>
      <c r="I6860" s="26" t="str">
        <f t="shared" si="2"/>
        <v/>
      </c>
      <c r="J6860" s="86">
        <f t="shared" si="3"/>
        <v>0</v>
      </c>
      <c r="R6860" s="26"/>
    </row>
    <row r="6861" spans="1:18" ht="15.75" customHeight="1">
      <c r="A6861" s="26"/>
      <c r="B6861" s="86"/>
      <c r="D6861" s="26"/>
      <c r="F6861" s="87" t="str">
        <f t="shared" si="0"/>
        <v/>
      </c>
      <c r="H6861" s="26" t="str">
        <f t="shared" si="1"/>
        <v/>
      </c>
      <c r="I6861" s="26" t="str">
        <f t="shared" si="2"/>
        <v/>
      </c>
      <c r="J6861" s="86">
        <f t="shared" si="3"/>
        <v>0</v>
      </c>
      <c r="R6861" s="26"/>
    </row>
    <row r="6862" spans="1:18" ht="15.75" customHeight="1">
      <c r="A6862" s="26"/>
      <c r="B6862" s="86"/>
      <c r="D6862" s="26"/>
      <c r="F6862" s="87" t="str">
        <f t="shared" si="0"/>
        <v/>
      </c>
      <c r="H6862" s="26" t="str">
        <f t="shared" si="1"/>
        <v/>
      </c>
      <c r="I6862" s="26" t="str">
        <f t="shared" si="2"/>
        <v/>
      </c>
      <c r="J6862" s="86">
        <f t="shared" si="3"/>
        <v>0</v>
      </c>
      <c r="R6862" s="26"/>
    </row>
    <row r="6863" spans="1:18" ht="15.75" customHeight="1">
      <c r="A6863" s="26"/>
      <c r="B6863" s="86"/>
      <c r="D6863" s="26"/>
      <c r="F6863" s="87" t="str">
        <f t="shared" si="0"/>
        <v/>
      </c>
      <c r="H6863" s="26" t="str">
        <f t="shared" si="1"/>
        <v/>
      </c>
      <c r="I6863" s="26" t="str">
        <f t="shared" si="2"/>
        <v/>
      </c>
      <c r="J6863" s="86">
        <f t="shared" si="3"/>
        <v>0</v>
      </c>
      <c r="R6863" s="26"/>
    </row>
    <row r="6864" spans="1:18" ht="15.75" customHeight="1">
      <c r="A6864" s="26"/>
      <c r="B6864" s="86"/>
      <c r="D6864" s="26"/>
      <c r="F6864" s="87" t="str">
        <f t="shared" si="0"/>
        <v/>
      </c>
      <c r="H6864" s="26" t="str">
        <f t="shared" si="1"/>
        <v/>
      </c>
      <c r="I6864" s="26" t="str">
        <f t="shared" si="2"/>
        <v/>
      </c>
      <c r="J6864" s="86">
        <f t="shared" si="3"/>
        <v>0</v>
      </c>
      <c r="R6864" s="26"/>
    </row>
    <row r="6865" spans="1:18" ht="15.75" customHeight="1">
      <c r="A6865" s="26"/>
      <c r="B6865" s="86"/>
      <c r="D6865" s="26"/>
      <c r="F6865" s="87" t="str">
        <f t="shared" si="0"/>
        <v/>
      </c>
      <c r="H6865" s="26" t="str">
        <f t="shared" si="1"/>
        <v/>
      </c>
      <c r="I6865" s="26" t="str">
        <f t="shared" si="2"/>
        <v/>
      </c>
      <c r="J6865" s="86">
        <f t="shared" si="3"/>
        <v>0</v>
      </c>
      <c r="R6865" s="26"/>
    </row>
    <row r="6866" spans="1:18" ht="15.75" customHeight="1">
      <c r="A6866" s="26"/>
      <c r="B6866" s="86"/>
      <c r="D6866" s="26"/>
      <c r="F6866" s="87" t="str">
        <f t="shared" si="0"/>
        <v/>
      </c>
      <c r="H6866" s="26" t="str">
        <f t="shared" si="1"/>
        <v/>
      </c>
      <c r="I6866" s="26" t="str">
        <f t="shared" si="2"/>
        <v/>
      </c>
      <c r="J6866" s="86">
        <f t="shared" si="3"/>
        <v>0</v>
      </c>
      <c r="R6866" s="26"/>
    </row>
    <row r="6867" spans="1:18" ht="15.75" customHeight="1">
      <c r="A6867" s="26"/>
      <c r="B6867" s="86"/>
      <c r="D6867" s="26"/>
      <c r="F6867" s="87" t="str">
        <f t="shared" si="0"/>
        <v/>
      </c>
      <c r="H6867" s="26" t="str">
        <f t="shared" si="1"/>
        <v/>
      </c>
      <c r="I6867" s="26" t="str">
        <f t="shared" si="2"/>
        <v/>
      </c>
      <c r="J6867" s="86">
        <f t="shared" si="3"/>
        <v>0</v>
      </c>
      <c r="R6867" s="26"/>
    </row>
    <row r="6868" spans="1:18" ht="15.75" customHeight="1">
      <c r="A6868" s="26"/>
      <c r="B6868" s="86"/>
      <c r="D6868" s="26"/>
      <c r="F6868" s="87" t="str">
        <f t="shared" si="0"/>
        <v/>
      </c>
      <c r="H6868" s="26" t="str">
        <f t="shared" si="1"/>
        <v/>
      </c>
      <c r="I6868" s="26" t="str">
        <f t="shared" si="2"/>
        <v/>
      </c>
      <c r="J6868" s="86">
        <f t="shared" si="3"/>
        <v>0</v>
      </c>
      <c r="R6868" s="26"/>
    </row>
    <row r="6869" spans="1:18" ht="15.75" customHeight="1">
      <c r="A6869" s="26"/>
      <c r="B6869" s="86"/>
      <c r="D6869" s="26"/>
      <c r="F6869" s="87" t="str">
        <f t="shared" si="0"/>
        <v/>
      </c>
      <c r="H6869" s="26" t="str">
        <f t="shared" si="1"/>
        <v/>
      </c>
      <c r="I6869" s="26" t="str">
        <f t="shared" si="2"/>
        <v/>
      </c>
      <c r="J6869" s="86">
        <f t="shared" si="3"/>
        <v>0</v>
      </c>
      <c r="R6869" s="26"/>
    </row>
    <row r="6870" spans="1:18" ht="15.75" customHeight="1">
      <c r="A6870" s="26"/>
      <c r="B6870" s="86"/>
      <c r="D6870" s="26"/>
      <c r="F6870" s="87" t="str">
        <f t="shared" si="0"/>
        <v/>
      </c>
      <c r="H6870" s="26" t="str">
        <f t="shared" si="1"/>
        <v/>
      </c>
      <c r="I6870" s="26" t="str">
        <f t="shared" si="2"/>
        <v/>
      </c>
      <c r="J6870" s="86">
        <f t="shared" si="3"/>
        <v>0</v>
      </c>
      <c r="R6870" s="26"/>
    </row>
    <row r="6871" spans="1:18" ht="15.75" customHeight="1">
      <c r="A6871" s="26"/>
      <c r="B6871" s="86"/>
      <c r="D6871" s="26"/>
      <c r="F6871" s="87" t="str">
        <f t="shared" si="0"/>
        <v/>
      </c>
      <c r="H6871" s="26" t="str">
        <f t="shared" si="1"/>
        <v/>
      </c>
      <c r="I6871" s="26" t="str">
        <f t="shared" si="2"/>
        <v/>
      </c>
      <c r="J6871" s="86">
        <f t="shared" si="3"/>
        <v>0</v>
      </c>
      <c r="R6871" s="26"/>
    </row>
    <row r="6872" spans="1:18" ht="15.75" customHeight="1">
      <c r="A6872" s="26"/>
      <c r="B6872" s="86"/>
      <c r="D6872" s="26"/>
      <c r="F6872" s="87" t="str">
        <f t="shared" si="0"/>
        <v/>
      </c>
      <c r="H6872" s="26" t="str">
        <f t="shared" si="1"/>
        <v/>
      </c>
      <c r="I6872" s="26" t="str">
        <f t="shared" si="2"/>
        <v/>
      </c>
      <c r="J6872" s="86">
        <f t="shared" si="3"/>
        <v>0</v>
      </c>
      <c r="R6872" s="26"/>
    </row>
    <row r="6873" spans="1:18" ht="15.75" customHeight="1">
      <c r="A6873" s="26"/>
      <c r="B6873" s="86"/>
      <c r="D6873" s="26"/>
      <c r="F6873" s="87" t="str">
        <f t="shared" si="0"/>
        <v/>
      </c>
      <c r="H6873" s="26" t="str">
        <f t="shared" si="1"/>
        <v/>
      </c>
      <c r="I6873" s="26" t="str">
        <f t="shared" si="2"/>
        <v/>
      </c>
      <c r="J6873" s="86">
        <f t="shared" si="3"/>
        <v>0</v>
      </c>
      <c r="R6873" s="26"/>
    </row>
    <row r="6874" spans="1:18" ht="15.75" customHeight="1">
      <c r="A6874" s="26"/>
      <c r="B6874" s="86"/>
      <c r="D6874" s="26"/>
      <c r="F6874" s="87" t="str">
        <f t="shared" si="0"/>
        <v/>
      </c>
      <c r="H6874" s="26" t="str">
        <f t="shared" si="1"/>
        <v/>
      </c>
      <c r="I6874" s="26" t="str">
        <f t="shared" si="2"/>
        <v/>
      </c>
      <c r="J6874" s="86">
        <f t="shared" si="3"/>
        <v>0</v>
      </c>
      <c r="R6874" s="26"/>
    </row>
    <row r="6875" spans="1:18" ht="15.75" customHeight="1">
      <c r="A6875" s="26"/>
      <c r="B6875" s="86"/>
      <c r="D6875" s="26"/>
      <c r="F6875" s="87" t="str">
        <f t="shared" si="0"/>
        <v/>
      </c>
      <c r="H6875" s="26" t="str">
        <f t="shared" si="1"/>
        <v/>
      </c>
      <c r="I6875" s="26" t="str">
        <f t="shared" si="2"/>
        <v/>
      </c>
      <c r="J6875" s="86">
        <f t="shared" si="3"/>
        <v>0</v>
      </c>
      <c r="R6875" s="26"/>
    </row>
    <row r="6876" spans="1:18" ht="15.75" customHeight="1">
      <c r="A6876" s="26"/>
      <c r="B6876" s="86"/>
      <c r="D6876" s="26"/>
      <c r="F6876" s="87" t="str">
        <f t="shared" si="0"/>
        <v/>
      </c>
      <c r="H6876" s="26" t="str">
        <f t="shared" si="1"/>
        <v/>
      </c>
      <c r="I6876" s="26" t="str">
        <f t="shared" si="2"/>
        <v/>
      </c>
      <c r="J6876" s="86">
        <f t="shared" si="3"/>
        <v>0</v>
      </c>
      <c r="R6876" s="26"/>
    </row>
    <row r="6877" spans="1:18" ht="15.75" customHeight="1">
      <c r="A6877" s="26"/>
      <c r="B6877" s="86"/>
      <c r="D6877" s="26"/>
      <c r="F6877" s="87" t="str">
        <f t="shared" si="0"/>
        <v/>
      </c>
      <c r="H6877" s="26" t="str">
        <f t="shared" si="1"/>
        <v/>
      </c>
      <c r="I6877" s="26" t="str">
        <f t="shared" si="2"/>
        <v/>
      </c>
      <c r="J6877" s="86">
        <f t="shared" si="3"/>
        <v>0</v>
      </c>
      <c r="R6877" s="26"/>
    </row>
    <row r="6878" spans="1:18" ht="15.75" customHeight="1">
      <c r="A6878" s="26"/>
      <c r="B6878" s="86"/>
      <c r="D6878" s="26"/>
      <c r="F6878" s="87" t="str">
        <f t="shared" si="0"/>
        <v/>
      </c>
      <c r="H6878" s="26" t="str">
        <f t="shared" si="1"/>
        <v/>
      </c>
      <c r="I6878" s="26" t="str">
        <f t="shared" si="2"/>
        <v/>
      </c>
      <c r="J6878" s="86">
        <f t="shared" si="3"/>
        <v>0</v>
      </c>
      <c r="R6878" s="26"/>
    </row>
    <row r="6879" spans="1:18" ht="15.75" customHeight="1">
      <c r="A6879" s="26"/>
      <c r="B6879" s="86"/>
      <c r="D6879" s="26"/>
      <c r="F6879" s="87" t="str">
        <f t="shared" si="0"/>
        <v/>
      </c>
      <c r="H6879" s="26" t="str">
        <f t="shared" si="1"/>
        <v/>
      </c>
      <c r="I6879" s="26" t="str">
        <f t="shared" si="2"/>
        <v/>
      </c>
      <c r="J6879" s="86">
        <f t="shared" si="3"/>
        <v>0</v>
      </c>
      <c r="R6879" s="26"/>
    </row>
    <row r="6880" spans="1:18" ht="15.75" customHeight="1">
      <c r="A6880" s="26"/>
      <c r="B6880" s="86"/>
      <c r="D6880" s="26"/>
      <c r="F6880" s="87" t="str">
        <f t="shared" si="0"/>
        <v/>
      </c>
      <c r="H6880" s="26" t="str">
        <f t="shared" si="1"/>
        <v/>
      </c>
      <c r="I6880" s="26" t="str">
        <f t="shared" si="2"/>
        <v/>
      </c>
      <c r="J6880" s="86">
        <f t="shared" si="3"/>
        <v>0</v>
      </c>
      <c r="R6880" s="26"/>
    </row>
    <row r="6881" spans="1:18" ht="15.75" customHeight="1">
      <c r="A6881" s="26"/>
      <c r="B6881" s="86"/>
      <c r="D6881" s="26"/>
      <c r="F6881" s="87" t="str">
        <f t="shared" si="0"/>
        <v/>
      </c>
      <c r="H6881" s="26" t="str">
        <f t="shared" si="1"/>
        <v/>
      </c>
      <c r="I6881" s="26" t="str">
        <f t="shared" si="2"/>
        <v/>
      </c>
      <c r="J6881" s="86">
        <f t="shared" si="3"/>
        <v>0</v>
      </c>
      <c r="R6881" s="26"/>
    </row>
    <row r="6882" spans="1:18" ht="15.75" customHeight="1">
      <c r="A6882" s="26"/>
      <c r="B6882" s="86"/>
      <c r="D6882" s="26"/>
      <c r="F6882" s="87" t="str">
        <f t="shared" si="0"/>
        <v/>
      </c>
      <c r="H6882" s="26" t="str">
        <f t="shared" si="1"/>
        <v/>
      </c>
      <c r="I6882" s="26" t="str">
        <f t="shared" si="2"/>
        <v/>
      </c>
      <c r="J6882" s="86">
        <f t="shared" si="3"/>
        <v>0</v>
      </c>
      <c r="R6882" s="26"/>
    </row>
    <row r="6883" spans="1:18" ht="15.75" customHeight="1">
      <c r="A6883" s="26"/>
      <c r="B6883" s="86"/>
      <c r="D6883" s="26"/>
      <c r="F6883" s="87" t="str">
        <f t="shared" si="0"/>
        <v/>
      </c>
      <c r="H6883" s="26" t="str">
        <f t="shared" si="1"/>
        <v/>
      </c>
      <c r="I6883" s="26" t="str">
        <f t="shared" si="2"/>
        <v/>
      </c>
      <c r="J6883" s="86">
        <f t="shared" si="3"/>
        <v>0</v>
      </c>
      <c r="R6883" s="26"/>
    </row>
    <row r="6884" spans="1:18" ht="15.75" customHeight="1">
      <c r="A6884" s="26"/>
      <c r="B6884" s="86"/>
      <c r="D6884" s="26"/>
      <c r="F6884" s="87" t="str">
        <f t="shared" si="0"/>
        <v/>
      </c>
      <c r="H6884" s="26" t="str">
        <f t="shared" si="1"/>
        <v/>
      </c>
      <c r="I6884" s="26" t="str">
        <f t="shared" si="2"/>
        <v/>
      </c>
      <c r="J6884" s="86">
        <f t="shared" si="3"/>
        <v>0</v>
      </c>
      <c r="R6884" s="26"/>
    </row>
    <row r="6885" spans="1:18" ht="15.75" customHeight="1">
      <c r="A6885" s="26"/>
      <c r="B6885" s="86"/>
      <c r="D6885" s="26"/>
      <c r="F6885" s="87" t="str">
        <f t="shared" si="0"/>
        <v/>
      </c>
      <c r="H6885" s="26" t="str">
        <f t="shared" si="1"/>
        <v/>
      </c>
      <c r="I6885" s="26" t="str">
        <f t="shared" si="2"/>
        <v/>
      </c>
      <c r="J6885" s="86">
        <f t="shared" si="3"/>
        <v>0</v>
      </c>
      <c r="R6885" s="26"/>
    </row>
    <row r="6886" spans="1:18" ht="15.75" customHeight="1">
      <c r="A6886" s="26"/>
      <c r="B6886" s="86"/>
      <c r="D6886" s="26"/>
      <c r="F6886" s="87" t="str">
        <f t="shared" si="0"/>
        <v/>
      </c>
      <c r="H6886" s="26" t="str">
        <f t="shared" si="1"/>
        <v/>
      </c>
      <c r="I6886" s="26" t="str">
        <f t="shared" si="2"/>
        <v/>
      </c>
      <c r="J6886" s="86">
        <f t="shared" si="3"/>
        <v>0</v>
      </c>
      <c r="R6886" s="26"/>
    </row>
    <row r="6887" spans="1:18" ht="15.75" customHeight="1">
      <c r="A6887" s="26"/>
      <c r="B6887" s="86"/>
      <c r="D6887" s="26"/>
      <c r="F6887" s="87" t="str">
        <f t="shared" si="0"/>
        <v/>
      </c>
      <c r="H6887" s="26" t="str">
        <f t="shared" si="1"/>
        <v/>
      </c>
      <c r="I6887" s="26" t="str">
        <f t="shared" si="2"/>
        <v/>
      </c>
      <c r="J6887" s="86">
        <f t="shared" si="3"/>
        <v>0</v>
      </c>
      <c r="R6887" s="26"/>
    </row>
    <row r="6888" spans="1:18" ht="15.75" customHeight="1">
      <c r="A6888" s="26"/>
      <c r="B6888" s="86"/>
      <c r="D6888" s="26"/>
      <c r="F6888" s="87" t="str">
        <f t="shared" si="0"/>
        <v/>
      </c>
      <c r="H6888" s="26" t="str">
        <f t="shared" si="1"/>
        <v/>
      </c>
      <c r="I6888" s="26" t="str">
        <f t="shared" si="2"/>
        <v/>
      </c>
      <c r="J6888" s="86">
        <f t="shared" si="3"/>
        <v>0</v>
      </c>
      <c r="R6888" s="26"/>
    </row>
    <row r="6889" spans="1:18" ht="15.75" customHeight="1">
      <c r="A6889" s="26"/>
      <c r="B6889" s="86"/>
      <c r="D6889" s="26"/>
      <c r="F6889" s="87" t="str">
        <f t="shared" si="0"/>
        <v/>
      </c>
      <c r="H6889" s="26" t="str">
        <f t="shared" si="1"/>
        <v/>
      </c>
      <c r="I6889" s="26" t="str">
        <f t="shared" si="2"/>
        <v/>
      </c>
      <c r="J6889" s="86">
        <f t="shared" si="3"/>
        <v>0</v>
      </c>
      <c r="R6889" s="26"/>
    </row>
    <row r="6890" spans="1:18" ht="15.75" customHeight="1">
      <c r="A6890" s="26"/>
      <c r="B6890" s="86"/>
      <c r="D6890" s="26"/>
      <c r="F6890" s="87" t="str">
        <f t="shared" si="0"/>
        <v/>
      </c>
      <c r="H6890" s="26" t="str">
        <f t="shared" si="1"/>
        <v/>
      </c>
      <c r="I6890" s="26" t="str">
        <f t="shared" si="2"/>
        <v/>
      </c>
      <c r="J6890" s="86">
        <f t="shared" si="3"/>
        <v>0</v>
      </c>
      <c r="R6890" s="26"/>
    </row>
    <row r="6891" spans="1:18" ht="15.75" customHeight="1">
      <c r="A6891" s="26"/>
      <c r="B6891" s="86"/>
      <c r="D6891" s="26"/>
      <c r="F6891" s="87" t="str">
        <f t="shared" si="0"/>
        <v/>
      </c>
      <c r="H6891" s="26" t="str">
        <f t="shared" si="1"/>
        <v/>
      </c>
      <c r="I6891" s="26" t="str">
        <f t="shared" si="2"/>
        <v/>
      </c>
      <c r="J6891" s="86">
        <f t="shared" si="3"/>
        <v>0</v>
      </c>
      <c r="R6891" s="26"/>
    </row>
    <row r="6892" spans="1:18" ht="15.75" customHeight="1">
      <c r="A6892" s="26"/>
      <c r="B6892" s="86"/>
      <c r="D6892" s="26"/>
      <c r="F6892" s="87" t="str">
        <f t="shared" si="0"/>
        <v/>
      </c>
      <c r="H6892" s="26" t="str">
        <f t="shared" si="1"/>
        <v/>
      </c>
      <c r="I6892" s="26" t="str">
        <f t="shared" si="2"/>
        <v/>
      </c>
      <c r="J6892" s="86">
        <f t="shared" si="3"/>
        <v>0</v>
      </c>
      <c r="R6892" s="26"/>
    </row>
    <row r="6893" spans="1:18" ht="15.75" customHeight="1">
      <c r="A6893" s="26"/>
      <c r="B6893" s="86"/>
      <c r="D6893" s="26"/>
      <c r="F6893" s="87" t="str">
        <f t="shared" si="0"/>
        <v/>
      </c>
      <c r="H6893" s="26" t="str">
        <f t="shared" si="1"/>
        <v/>
      </c>
      <c r="I6893" s="26" t="str">
        <f t="shared" si="2"/>
        <v/>
      </c>
      <c r="J6893" s="86">
        <f t="shared" si="3"/>
        <v>0</v>
      </c>
      <c r="R6893" s="26"/>
    </row>
    <row r="6894" spans="1:18" ht="15.75" customHeight="1">
      <c r="A6894" s="26"/>
      <c r="B6894" s="86"/>
      <c r="D6894" s="26"/>
      <c r="F6894" s="87" t="str">
        <f t="shared" si="0"/>
        <v/>
      </c>
      <c r="H6894" s="26" t="str">
        <f t="shared" si="1"/>
        <v/>
      </c>
      <c r="I6894" s="26" t="str">
        <f t="shared" si="2"/>
        <v/>
      </c>
      <c r="J6894" s="86">
        <f t="shared" si="3"/>
        <v>0</v>
      </c>
      <c r="R6894" s="26"/>
    </row>
    <row r="6895" spans="1:18" ht="15.75" customHeight="1">
      <c r="A6895" s="26"/>
      <c r="B6895" s="86"/>
      <c r="D6895" s="26"/>
      <c r="F6895" s="87" t="str">
        <f t="shared" si="0"/>
        <v/>
      </c>
      <c r="H6895" s="26" t="str">
        <f t="shared" si="1"/>
        <v/>
      </c>
      <c r="I6895" s="26" t="str">
        <f t="shared" si="2"/>
        <v/>
      </c>
      <c r="J6895" s="86">
        <f t="shared" si="3"/>
        <v>0</v>
      </c>
      <c r="R6895" s="26"/>
    </row>
    <row r="6896" spans="1:18" ht="15.75" customHeight="1">
      <c r="A6896" s="26"/>
      <c r="B6896" s="86"/>
      <c r="D6896" s="26"/>
      <c r="F6896" s="87" t="str">
        <f t="shared" si="0"/>
        <v/>
      </c>
      <c r="H6896" s="26" t="str">
        <f t="shared" si="1"/>
        <v/>
      </c>
      <c r="I6896" s="26" t="str">
        <f t="shared" si="2"/>
        <v/>
      </c>
      <c r="J6896" s="86">
        <f t="shared" si="3"/>
        <v>0</v>
      </c>
      <c r="R6896" s="26"/>
    </row>
    <row r="6897" spans="1:18" ht="15.75" customHeight="1">
      <c r="A6897" s="26"/>
      <c r="B6897" s="86"/>
      <c r="D6897" s="26"/>
      <c r="F6897" s="87" t="str">
        <f t="shared" si="0"/>
        <v/>
      </c>
      <c r="H6897" s="26" t="str">
        <f t="shared" si="1"/>
        <v/>
      </c>
      <c r="I6897" s="26" t="str">
        <f t="shared" si="2"/>
        <v/>
      </c>
      <c r="J6897" s="86">
        <f t="shared" si="3"/>
        <v>0</v>
      </c>
      <c r="R6897" s="26"/>
    </row>
    <row r="6898" spans="1:18" ht="15.75" customHeight="1">
      <c r="A6898" s="26"/>
      <c r="B6898" s="86"/>
      <c r="D6898" s="26"/>
      <c r="F6898" s="87" t="str">
        <f t="shared" si="0"/>
        <v/>
      </c>
      <c r="H6898" s="26" t="str">
        <f t="shared" si="1"/>
        <v/>
      </c>
      <c r="I6898" s="26" t="str">
        <f t="shared" si="2"/>
        <v/>
      </c>
      <c r="J6898" s="86">
        <f t="shared" si="3"/>
        <v>0</v>
      </c>
      <c r="R6898" s="26"/>
    </row>
    <row r="6899" spans="1:18" ht="15.75" customHeight="1">
      <c r="A6899" s="26"/>
      <c r="B6899" s="86"/>
      <c r="D6899" s="26"/>
      <c r="F6899" s="87" t="str">
        <f t="shared" si="0"/>
        <v/>
      </c>
      <c r="H6899" s="26" t="str">
        <f t="shared" si="1"/>
        <v/>
      </c>
      <c r="I6899" s="26" t="str">
        <f t="shared" si="2"/>
        <v/>
      </c>
      <c r="J6899" s="86">
        <f t="shared" si="3"/>
        <v>0</v>
      </c>
      <c r="R6899" s="26"/>
    </row>
    <row r="6900" spans="1:18" ht="15.75" customHeight="1">
      <c r="A6900" s="26"/>
      <c r="B6900" s="86"/>
      <c r="D6900" s="26"/>
      <c r="F6900" s="87" t="str">
        <f t="shared" si="0"/>
        <v/>
      </c>
      <c r="H6900" s="26" t="str">
        <f t="shared" si="1"/>
        <v/>
      </c>
      <c r="I6900" s="26" t="str">
        <f t="shared" si="2"/>
        <v/>
      </c>
      <c r="J6900" s="86">
        <f t="shared" si="3"/>
        <v>0</v>
      </c>
      <c r="R6900" s="26"/>
    </row>
    <row r="6901" spans="1:18" ht="15.75" customHeight="1">
      <c r="A6901" s="26"/>
      <c r="B6901" s="86"/>
      <c r="D6901" s="26"/>
      <c r="F6901" s="87" t="str">
        <f t="shared" si="0"/>
        <v/>
      </c>
      <c r="H6901" s="26" t="str">
        <f t="shared" si="1"/>
        <v/>
      </c>
      <c r="I6901" s="26" t="str">
        <f t="shared" si="2"/>
        <v/>
      </c>
      <c r="J6901" s="86">
        <f t="shared" si="3"/>
        <v>0</v>
      </c>
      <c r="R6901" s="26"/>
    </row>
    <row r="6902" spans="1:18" ht="15.75" customHeight="1">
      <c r="A6902" s="26"/>
      <c r="B6902" s="86"/>
      <c r="D6902" s="26"/>
      <c r="F6902" s="87" t="str">
        <f t="shared" si="0"/>
        <v/>
      </c>
      <c r="H6902" s="26" t="str">
        <f t="shared" si="1"/>
        <v/>
      </c>
      <c r="I6902" s="26" t="str">
        <f t="shared" si="2"/>
        <v/>
      </c>
      <c r="J6902" s="86">
        <f t="shared" si="3"/>
        <v>0</v>
      </c>
      <c r="R6902" s="26"/>
    </row>
    <row r="6903" spans="1:18" ht="15.75" customHeight="1">
      <c r="A6903" s="26"/>
      <c r="B6903" s="86"/>
      <c r="D6903" s="26"/>
      <c r="F6903" s="87" t="str">
        <f t="shared" si="0"/>
        <v/>
      </c>
      <c r="H6903" s="26" t="str">
        <f t="shared" si="1"/>
        <v/>
      </c>
      <c r="I6903" s="26" t="str">
        <f t="shared" si="2"/>
        <v/>
      </c>
      <c r="J6903" s="86">
        <f t="shared" si="3"/>
        <v>0</v>
      </c>
      <c r="R6903" s="26"/>
    </row>
    <row r="6904" spans="1:18" ht="15.75" customHeight="1">
      <c r="A6904" s="26"/>
      <c r="B6904" s="86"/>
      <c r="D6904" s="26"/>
      <c r="F6904" s="87" t="str">
        <f t="shared" si="0"/>
        <v/>
      </c>
      <c r="H6904" s="26" t="str">
        <f t="shared" si="1"/>
        <v/>
      </c>
      <c r="I6904" s="26" t="str">
        <f t="shared" si="2"/>
        <v/>
      </c>
      <c r="J6904" s="86">
        <f t="shared" si="3"/>
        <v>0</v>
      </c>
      <c r="R6904" s="26"/>
    </row>
    <row r="6905" spans="1:18" ht="15.75" customHeight="1">
      <c r="A6905" s="26"/>
      <c r="B6905" s="86"/>
      <c r="D6905" s="26"/>
      <c r="F6905" s="87" t="str">
        <f t="shared" si="0"/>
        <v/>
      </c>
      <c r="H6905" s="26" t="str">
        <f t="shared" si="1"/>
        <v/>
      </c>
      <c r="I6905" s="26" t="str">
        <f t="shared" si="2"/>
        <v/>
      </c>
      <c r="J6905" s="86">
        <f t="shared" si="3"/>
        <v>0</v>
      </c>
      <c r="R6905" s="26"/>
    </row>
    <row r="6906" spans="1:18" ht="15.75" customHeight="1">
      <c r="A6906" s="26"/>
      <c r="B6906" s="86"/>
      <c r="D6906" s="26"/>
      <c r="F6906" s="87" t="str">
        <f t="shared" si="0"/>
        <v/>
      </c>
      <c r="H6906" s="26" t="str">
        <f t="shared" si="1"/>
        <v/>
      </c>
      <c r="I6906" s="26" t="str">
        <f t="shared" si="2"/>
        <v/>
      </c>
      <c r="J6906" s="86">
        <f t="shared" si="3"/>
        <v>0</v>
      </c>
      <c r="R6906" s="26"/>
    </row>
    <row r="6907" spans="1:18" ht="15.75" customHeight="1">
      <c r="A6907" s="26"/>
      <c r="B6907" s="86"/>
      <c r="D6907" s="26"/>
      <c r="F6907" s="87" t="str">
        <f t="shared" si="0"/>
        <v/>
      </c>
      <c r="H6907" s="26" t="str">
        <f t="shared" si="1"/>
        <v/>
      </c>
      <c r="I6907" s="26" t="str">
        <f t="shared" si="2"/>
        <v/>
      </c>
      <c r="J6907" s="86">
        <f t="shared" si="3"/>
        <v>0</v>
      </c>
      <c r="R6907" s="26"/>
    </row>
    <row r="6908" spans="1:18" ht="15.75" customHeight="1">
      <c r="A6908" s="26"/>
      <c r="B6908" s="86"/>
      <c r="D6908" s="26"/>
      <c r="F6908" s="87" t="str">
        <f t="shared" si="0"/>
        <v/>
      </c>
      <c r="H6908" s="26" t="str">
        <f t="shared" si="1"/>
        <v/>
      </c>
      <c r="I6908" s="26" t="str">
        <f t="shared" si="2"/>
        <v/>
      </c>
      <c r="J6908" s="86">
        <f t="shared" si="3"/>
        <v>0</v>
      </c>
      <c r="R6908" s="26"/>
    </row>
    <row r="6909" spans="1:18" ht="15.75" customHeight="1">
      <c r="A6909" s="26"/>
      <c r="B6909" s="86"/>
      <c r="D6909" s="26"/>
      <c r="F6909" s="87" t="str">
        <f t="shared" si="0"/>
        <v/>
      </c>
      <c r="H6909" s="26" t="str">
        <f t="shared" si="1"/>
        <v/>
      </c>
      <c r="I6909" s="26" t="str">
        <f t="shared" si="2"/>
        <v/>
      </c>
      <c r="J6909" s="86">
        <f t="shared" si="3"/>
        <v>0</v>
      </c>
      <c r="R6909" s="26"/>
    </row>
    <row r="6910" spans="1:18" ht="15.75" customHeight="1">
      <c r="A6910" s="26"/>
      <c r="B6910" s="86"/>
      <c r="D6910" s="26"/>
      <c r="F6910" s="87" t="str">
        <f t="shared" si="0"/>
        <v/>
      </c>
      <c r="H6910" s="26" t="str">
        <f t="shared" si="1"/>
        <v/>
      </c>
      <c r="I6910" s="26" t="str">
        <f t="shared" si="2"/>
        <v/>
      </c>
      <c r="J6910" s="86">
        <f t="shared" si="3"/>
        <v>0</v>
      </c>
      <c r="R6910" s="26"/>
    </row>
    <row r="6911" spans="1:18" ht="15.75" customHeight="1">
      <c r="A6911" s="26"/>
      <c r="B6911" s="86"/>
      <c r="D6911" s="26"/>
      <c r="F6911" s="87" t="str">
        <f t="shared" si="0"/>
        <v/>
      </c>
      <c r="H6911" s="26" t="str">
        <f t="shared" si="1"/>
        <v/>
      </c>
      <c r="I6911" s="26" t="str">
        <f t="shared" si="2"/>
        <v/>
      </c>
      <c r="J6911" s="86">
        <f t="shared" si="3"/>
        <v>0</v>
      </c>
      <c r="R6911" s="26"/>
    </row>
    <row r="6912" spans="1:18" ht="15.75" customHeight="1">
      <c r="A6912" s="26"/>
      <c r="B6912" s="86"/>
      <c r="D6912" s="26"/>
      <c r="F6912" s="87" t="str">
        <f t="shared" si="0"/>
        <v/>
      </c>
      <c r="H6912" s="26" t="str">
        <f t="shared" si="1"/>
        <v/>
      </c>
      <c r="I6912" s="26" t="str">
        <f t="shared" si="2"/>
        <v/>
      </c>
      <c r="J6912" s="86">
        <f t="shared" si="3"/>
        <v>0</v>
      </c>
      <c r="R6912" s="26"/>
    </row>
    <row r="6913" spans="1:18" ht="15.75" customHeight="1">
      <c r="A6913" s="26"/>
      <c r="B6913" s="86"/>
      <c r="D6913" s="26"/>
      <c r="F6913" s="87" t="str">
        <f t="shared" si="0"/>
        <v/>
      </c>
      <c r="H6913" s="26" t="str">
        <f t="shared" si="1"/>
        <v/>
      </c>
      <c r="I6913" s="26" t="str">
        <f t="shared" si="2"/>
        <v/>
      </c>
      <c r="J6913" s="86">
        <f t="shared" si="3"/>
        <v>0</v>
      </c>
      <c r="R6913" s="26"/>
    </row>
    <row r="6914" spans="1:18" ht="15.75" customHeight="1">
      <c r="A6914" s="26"/>
      <c r="B6914" s="86"/>
      <c r="D6914" s="26"/>
      <c r="F6914" s="87" t="str">
        <f t="shared" si="0"/>
        <v/>
      </c>
      <c r="H6914" s="26" t="str">
        <f t="shared" si="1"/>
        <v/>
      </c>
      <c r="I6914" s="26" t="str">
        <f t="shared" si="2"/>
        <v/>
      </c>
      <c r="J6914" s="86">
        <f t="shared" si="3"/>
        <v>0</v>
      </c>
      <c r="R6914" s="26"/>
    </row>
    <row r="6915" spans="1:18" ht="15.75" customHeight="1">
      <c r="A6915" s="26"/>
      <c r="B6915" s="86"/>
      <c r="D6915" s="26"/>
      <c r="F6915" s="87" t="str">
        <f t="shared" si="0"/>
        <v/>
      </c>
      <c r="H6915" s="26" t="str">
        <f t="shared" si="1"/>
        <v/>
      </c>
      <c r="I6915" s="26" t="str">
        <f t="shared" si="2"/>
        <v/>
      </c>
      <c r="J6915" s="86">
        <f t="shared" si="3"/>
        <v>0</v>
      </c>
      <c r="R6915" s="26"/>
    </row>
    <row r="6916" spans="1:18" ht="15.75" customHeight="1">
      <c r="A6916" s="26"/>
      <c r="B6916" s="86"/>
      <c r="D6916" s="26"/>
      <c r="F6916" s="87" t="str">
        <f t="shared" si="0"/>
        <v/>
      </c>
      <c r="H6916" s="26" t="str">
        <f t="shared" si="1"/>
        <v/>
      </c>
      <c r="I6916" s="26" t="str">
        <f t="shared" si="2"/>
        <v/>
      </c>
      <c r="J6916" s="86">
        <f t="shared" si="3"/>
        <v>0</v>
      </c>
      <c r="R6916" s="26"/>
    </row>
    <row r="6917" spans="1:18" ht="15.75" customHeight="1">
      <c r="A6917" s="26"/>
      <c r="B6917" s="86"/>
      <c r="D6917" s="26"/>
      <c r="F6917" s="87" t="str">
        <f t="shared" si="0"/>
        <v/>
      </c>
      <c r="H6917" s="26" t="str">
        <f t="shared" si="1"/>
        <v/>
      </c>
      <c r="I6917" s="26" t="str">
        <f t="shared" si="2"/>
        <v/>
      </c>
      <c r="J6917" s="86">
        <f t="shared" si="3"/>
        <v>0</v>
      </c>
      <c r="R6917" s="26"/>
    </row>
    <row r="6918" spans="1:18" ht="15.75" customHeight="1">
      <c r="A6918" s="26"/>
      <c r="B6918" s="86"/>
      <c r="D6918" s="26"/>
      <c r="F6918" s="87" t="str">
        <f t="shared" si="0"/>
        <v/>
      </c>
      <c r="H6918" s="26" t="str">
        <f t="shared" si="1"/>
        <v/>
      </c>
      <c r="I6918" s="26" t="str">
        <f t="shared" si="2"/>
        <v/>
      </c>
      <c r="J6918" s="86">
        <f t="shared" si="3"/>
        <v>0</v>
      </c>
      <c r="R6918" s="26"/>
    </row>
    <row r="6919" spans="1:18" ht="15.75" customHeight="1">
      <c r="A6919" s="26"/>
      <c r="B6919" s="86"/>
      <c r="D6919" s="26"/>
      <c r="F6919" s="87" t="str">
        <f t="shared" si="0"/>
        <v/>
      </c>
      <c r="H6919" s="26" t="str">
        <f t="shared" si="1"/>
        <v/>
      </c>
      <c r="I6919" s="26" t="str">
        <f t="shared" si="2"/>
        <v/>
      </c>
      <c r="J6919" s="86">
        <f t="shared" si="3"/>
        <v>0</v>
      </c>
      <c r="R6919" s="26"/>
    </row>
    <row r="6920" spans="1:18" ht="15.75" customHeight="1">
      <c r="A6920" s="26"/>
      <c r="B6920" s="86"/>
      <c r="D6920" s="26"/>
      <c r="F6920" s="87" t="str">
        <f t="shared" si="0"/>
        <v/>
      </c>
      <c r="H6920" s="26" t="str">
        <f t="shared" si="1"/>
        <v/>
      </c>
      <c r="I6920" s="26" t="str">
        <f t="shared" si="2"/>
        <v/>
      </c>
      <c r="J6920" s="86">
        <f t="shared" si="3"/>
        <v>0</v>
      </c>
      <c r="R6920" s="26"/>
    </row>
    <row r="6921" spans="1:18" ht="15.75" customHeight="1">
      <c r="A6921" s="26"/>
      <c r="B6921" s="86"/>
      <c r="D6921" s="26"/>
      <c r="F6921" s="87" t="str">
        <f t="shared" si="0"/>
        <v/>
      </c>
      <c r="H6921" s="26" t="str">
        <f t="shared" si="1"/>
        <v/>
      </c>
      <c r="I6921" s="26" t="str">
        <f t="shared" si="2"/>
        <v/>
      </c>
      <c r="J6921" s="86">
        <f t="shared" si="3"/>
        <v>0</v>
      </c>
      <c r="R6921" s="26"/>
    </row>
    <row r="6922" spans="1:18" ht="15.75" customHeight="1">
      <c r="A6922" s="26"/>
      <c r="B6922" s="86"/>
      <c r="D6922" s="26"/>
      <c r="F6922" s="87" t="str">
        <f t="shared" si="0"/>
        <v/>
      </c>
      <c r="H6922" s="26" t="str">
        <f t="shared" si="1"/>
        <v/>
      </c>
      <c r="I6922" s="26" t="str">
        <f t="shared" si="2"/>
        <v/>
      </c>
      <c r="J6922" s="86">
        <f t="shared" si="3"/>
        <v>0</v>
      </c>
      <c r="R6922" s="26"/>
    </row>
    <row r="6923" spans="1:18" ht="15.75" customHeight="1">
      <c r="A6923" s="26"/>
      <c r="B6923" s="86"/>
      <c r="D6923" s="26"/>
      <c r="F6923" s="87" t="str">
        <f t="shared" si="0"/>
        <v/>
      </c>
      <c r="H6923" s="26" t="str">
        <f t="shared" si="1"/>
        <v/>
      </c>
      <c r="I6923" s="26" t="str">
        <f t="shared" si="2"/>
        <v/>
      </c>
      <c r="J6923" s="86">
        <f t="shared" si="3"/>
        <v>0</v>
      </c>
      <c r="R6923" s="26"/>
    </row>
    <row r="6924" spans="1:18" ht="15.75" customHeight="1">
      <c r="A6924" s="26"/>
      <c r="B6924" s="86"/>
      <c r="D6924" s="26"/>
      <c r="F6924" s="87" t="str">
        <f t="shared" si="0"/>
        <v/>
      </c>
      <c r="H6924" s="26" t="str">
        <f t="shared" si="1"/>
        <v/>
      </c>
      <c r="I6924" s="26" t="str">
        <f t="shared" si="2"/>
        <v/>
      </c>
      <c r="J6924" s="86">
        <f t="shared" si="3"/>
        <v>0</v>
      </c>
      <c r="R6924" s="26"/>
    </row>
    <row r="6925" spans="1:18" ht="15.75" customHeight="1">
      <c r="A6925" s="26"/>
      <c r="B6925" s="86"/>
      <c r="D6925" s="26"/>
      <c r="F6925" s="87" t="str">
        <f t="shared" si="0"/>
        <v/>
      </c>
      <c r="H6925" s="26" t="str">
        <f t="shared" si="1"/>
        <v/>
      </c>
      <c r="I6925" s="26" t="str">
        <f t="shared" si="2"/>
        <v/>
      </c>
      <c r="J6925" s="86">
        <f t="shared" si="3"/>
        <v>0</v>
      </c>
      <c r="R6925" s="26"/>
    </row>
    <row r="6926" spans="1:18" ht="15.75" customHeight="1">
      <c r="A6926" s="26"/>
      <c r="B6926" s="86"/>
      <c r="D6926" s="26"/>
      <c r="F6926" s="87" t="str">
        <f t="shared" si="0"/>
        <v/>
      </c>
      <c r="H6926" s="26" t="str">
        <f t="shared" si="1"/>
        <v/>
      </c>
      <c r="I6926" s="26" t="str">
        <f t="shared" si="2"/>
        <v/>
      </c>
      <c r="J6926" s="86">
        <f t="shared" si="3"/>
        <v>0</v>
      </c>
      <c r="R6926" s="26"/>
    </row>
    <row r="6927" spans="1:18" ht="15.75" customHeight="1">
      <c r="A6927" s="26"/>
      <c r="B6927" s="86"/>
      <c r="D6927" s="26"/>
      <c r="F6927" s="87" t="str">
        <f t="shared" si="0"/>
        <v/>
      </c>
      <c r="H6927" s="26" t="str">
        <f t="shared" si="1"/>
        <v/>
      </c>
      <c r="I6927" s="26" t="str">
        <f t="shared" si="2"/>
        <v/>
      </c>
      <c r="J6927" s="86">
        <f t="shared" si="3"/>
        <v>0</v>
      </c>
      <c r="R6927" s="26"/>
    </row>
    <row r="6928" spans="1:18" ht="15.75" customHeight="1">
      <c r="A6928" s="26"/>
      <c r="B6928" s="86"/>
      <c r="D6928" s="26"/>
      <c r="F6928" s="87" t="str">
        <f t="shared" si="0"/>
        <v/>
      </c>
      <c r="H6928" s="26" t="str">
        <f t="shared" si="1"/>
        <v/>
      </c>
      <c r="I6928" s="26" t="str">
        <f t="shared" si="2"/>
        <v/>
      </c>
      <c r="J6928" s="86">
        <f t="shared" si="3"/>
        <v>0</v>
      </c>
      <c r="R6928" s="26"/>
    </row>
    <row r="6929" spans="1:18" ht="15.75" customHeight="1">
      <c r="A6929" s="26"/>
      <c r="B6929" s="86"/>
      <c r="D6929" s="26"/>
      <c r="F6929" s="87" t="str">
        <f t="shared" si="0"/>
        <v/>
      </c>
      <c r="H6929" s="26" t="str">
        <f t="shared" si="1"/>
        <v/>
      </c>
      <c r="I6929" s="26" t="str">
        <f t="shared" si="2"/>
        <v/>
      </c>
      <c r="J6929" s="86">
        <f t="shared" si="3"/>
        <v>0</v>
      </c>
      <c r="R6929" s="26"/>
    </row>
    <row r="6930" spans="1:18" ht="15.75" customHeight="1">
      <c r="A6930" s="26"/>
      <c r="B6930" s="86"/>
      <c r="D6930" s="26"/>
      <c r="F6930" s="87" t="str">
        <f t="shared" si="0"/>
        <v/>
      </c>
      <c r="H6930" s="26" t="str">
        <f t="shared" si="1"/>
        <v/>
      </c>
      <c r="I6930" s="26" t="str">
        <f t="shared" si="2"/>
        <v/>
      </c>
      <c r="J6930" s="86">
        <f t="shared" si="3"/>
        <v>0</v>
      </c>
      <c r="R6930" s="26"/>
    </row>
    <row r="6931" spans="1:18" ht="15.75" customHeight="1">
      <c r="A6931" s="26"/>
      <c r="B6931" s="86"/>
      <c r="D6931" s="26"/>
      <c r="F6931" s="87" t="str">
        <f t="shared" si="0"/>
        <v/>
      </c>
      <c r="H6931" s="26" t="str">
        <f t="shared" si="1"/>
        <v/>
      </c>
      <c r="I6931" s="26" t="str">
        <f t="shared" si="2"/>
        <v/>
      </c>
      <c r="J6931" s="86">
        <f t="shared" si="3"/>
        <v>0</v>
      </c>
      <c r="R6931" s="26"/>
    </row>
    <row r="6932" spans="1:18" ht="15.75" customHeight="1">
      <c r="A6932" s="26"/>
      <c r="B6932" s="86"/>
      <c r="D6932" s="26"/>
      <c r="F6932" s="87" t="str">
        <f t="shared" si="0"/>
        <v/>
      </c>
      <c r="H6932" s="26" t="str">
        <f t="shared" si="1"/>
        <v/>
      </c>
      <c r="I6932" s="26" t="str">
        <f t="shared" si="2"/>
        <v/>
      </c>
      <c r="J6932" s="86">
        <f t="shared" si="3"/>
        <v>0</v>
      </c>
      <c r="R6932" s="26"/>
    </row>
    <row r="6933" spans="1:18" ht="15.75" customHeight="1">
      <c r="A6933" s="26"/>
      <c r="B6933" s="86"/>
      <c r="D6933" s="26"/>
      <c r="F6933" s="87" t="str">
        <f t="shared" si="0"/>
        <v/>
      </c>
      <c r="H6933" s="26" t="str">
        <f t="shared" si="1"/>
        <v/>
      </c>
      <c r="I6933" s="26" t="str">
        <f t="shared" si="2"/>
        <v/>
      </c>
      <c r="J6933" s="86">
        <f t="shared" si="3"/>
        <v>0</v>
      </c>
      <c r="R6933" s="26"/>
    </row>
    <row r="6934" spans="1:18" ht="15.75" customHeight="1">
      <c r="A6934" s="26"/>
      <c r="B6934" s="86"/>
      <c r="D6934" s="26"/>
      <c r="F6934" s="87" t="str">
        <f t="shared" si="0"/>
        <v/>
      </c>
      <c r="H6934" s="26" t="str">
        <f t="shared" si="1"/>
        <v/>
      </c>
      <c r="I6934" s="26" t="str">
        <f t="shared" si="2"/>
        <v/>
      </c>
      <c r="J6934" s="86">
        <f t="shared" si="3"/>
        <v>0</v>
      </c>
      <c r="R6934" s="26"/>
    </row>
    <row r="6935" spans="1:18" ht="15.75" customHeight="1">
      <c r="A6935" s="26"/>
      <c r="B6935" s="86"/>
      <c r="D6935" s="26"/>
      <c r="F6935" s="87" t="str">
        <f t="shared" si="0"/>
        <v/>
      </c>
      <c r="H6935" s="26" t="str">
        <f t="shared" si="1"/>
        <v/>
      </c>
      <c r="I6935" s="26" t="str">
        <f t="shared" si="2"/>
        <v/>
      </c>
      <c r="J6935" s="86">
        <f t="shared" si="3"/>
        <v>0</v>
      </c>
      <c r="R6935" s="26"/>
    </row>
    <row r="6936" spans="1:18" ht="15.75" customHeight="1">
      <c r="A6936" s="26"/>
      <c r="B6936" s="86"/>
      <c r="D6936" s="26"/>
      <c r="F6936" s="87" t="str">
        <f t="shared" si="0"/>
        <v/>
      </c>
      <c r="H6936" s="26" t="str">
        <f t="shared" si="1"/>
        <v/>
      </c>
      <c r="I6936" s="26" t="str">
        <f t="shared" si="2"/>
        <v/>
      </c>
      <c r="J6936" s="86">
        <f t="shared" si="3"/>
        <v>0</v>
      </c>
      <c r="R6936" s="26"/>
    </row>
    <row r="6937" spans="1:18" ht="15.75" customHeight="1">
      <c r="A6937" s="26"/>
      <c r="B6937" s="86"/>
      <c r="D6937" s="26"/>
      <c r="F6937" s="87" t="str">
        <f t="shared" si="0"/>
        <v/>
      </c>
      <c r="H6937" s="26" t="str">
        <f t="shared" si="1"/>
        <v/>
      </c>
      <c r="I6937" s="26" t="str">
        <f t="shared" si="2"/>
        <v/>
      </c>
      <c r="J6937" s="86">
        <f t="shared" si="3"/>
        <v>0</v>
      </c>
      <c r="R6937" s="26"/>
    </row>
    <row r="6938" spans="1:18" ht="15.75" customHeight="1">
      <c r="A6938" s="26"/>
      <c r="B6938" s="86"/>
      <c r="D6938" s="26"/>
      <c r="F6938" s="87" t="str">
        <f t="shared" si="0"/>
        <v/>
      </c>
      <c r="H6938" s="26" t="str">
        <f t="shared" si="1"/>
        <v/>
      </c>
      <c r="I6938" s="26" t="str">
        <f t="shared" si="2"/>
        <v/>
      </c>
      <c r="J6938" s="86">
        <f t="shared" si="3"/>
        <v>0</v>
      </c>
      <c r="R6938" s="26"/>
    </row>
    <row r="6939" spans="1:18" ht="15.75" customHeight="1">
      <c r="A6939" s="26"/>
      <c r="B6939" s="86"/>
      <c r="D6939" s="26"/>
      <c r="F6939" s="87" t="str">
        <f t="shared" si="0"/>
        <v/>
      </c>
      <c r="H6939" s="26" t="str">
        <f t="shared" si="1"/>
        <v/>
      </c>
      <c r="I6939" s="26" t="str">
        <f t="shared" si="2"/>
        <v/>
      </c>
      <c r="J6939" s="86">
        <f t="shared" si="3"/>
        <v>0</v>
      </c>
      <c r="R6939" s="26"/>
    </row>
    <row r="6940" spans="1:18" ht="15.75" customHeight="1">
      <c r="A6940" s="26"/>
      <c r="B6940" s="86"/>
      <c r="D6940" s="26"/>
      <c r="F6940" s="87" t="str">
        <f t="shared" si="0"/>
        <v/>
      </c>
      <c r="H6940" s="26" t="str">
        <f t="shared" si="1"/>
        <v/>
      </c>
      <c r="I6940" s="26" t="str">
        <f t="shared" si="2"/>
        <v/>
      </c>
      <c r="J6940" s="86">
        <f t="shared" si="3"/>
        <v>0</v>
      </c>
      <c r="R6940" s="26"/>
    </row>
    <row r="6941" spans="1:18" ht="15.75" customHeight="1">
      <c r="A6941" s="26"/>
      <c r="B6941" s="86"/>
      <c r="D6941" s="26"/>
      <c r="F6941" s="87" t="str">
        <f t="shared" si="0"/>
        <v/>
      </c>
      <c r="H6941" s="26" t="str">
        <f t="shared" si="1"/>
        <v/>
      </c>
      <c r="I6941" s="26" t="str">
        <f t="shared" si="2"/>
        <v/>
      </c>
      <c r="J6941" s="86">
        <f t="shared" si="3"/>
        <v>0</v>
      </c>
      <c r="R6941" s="26"/>
    </row>
    <row r="6942" spans="1:18" ht="15.75" customHeight="1">
      <c r="A6942" s="26"/>
      <c r="B6942" s="86"/>
      <c r="D6942" s="26"/>
      <c r="F6942" s="87" t="str">
        <f t="shared" si="0"/>
        <v/>
      </c>
      <c r="H6942" s="26" t="str">
        <f t="shared" si="1"/>
        <v/>
      </c>
      <c r="I6942" s="26" t="str">
        <f t="shared" si="2"/>
        <v/>
      </c>
      <c r="J6942" s="86">
        <f t="shared" si="3"/>
        <v>0</v>
      </c>
      <c r="R6942" s="26"/>
    </row>
    <row r="6943" spans="1:18" ht="15.75" customHeight="1">
      <c r="A6943" s="26"/>
      <c r="B6943" s="86"/>
      <c r="D6943" s="26"/>
      <c r="F6943" s="87" t="str">
        <f t="shared" si="0"/>
        <v/>
      </c>
      <c r="H6943" s="26" t="str">
        <f t="shared" si="1"/>
        <v/>
      </c>
      <c r="I6943" s="26" t="str">
        <f t="shared" si="2"/>
        <v/>
      </c>
      <c r="J6943" s="86">
        <f t="shared" si="3"/>
        <v>0</v>
      </c>
      <c r="R6943" s="26"/>
    </row>
    <row r="6944" spans="1:18" ht="15.75" customHeight="1">
      <c r="A6944" s="26"/>
      <c r="B6944" s="86"/>
      <c r="D6944" s="26"/>
      <c r="F6944" s="87" t="str">
        <f t="shared" si="0"/>
        <v/>
      </c>
      <c r="H6944" s="26" t="str">
        <f t="shared" si="1"/>
        <v/>
      </c>
      <c r="I6944" s="26" t="str">
        <f t="shared" si="2"/>
        <v/>
      </c>
      <c r="J6944" s="86">
        <f t="shared" si="3"/>
        <v>0</v>
      </c>
      <c r="R6944" s="26"/>
    </row>
    <row r="6945" spans="1:18" ht="15.75" customHeight="1">
      <c r="A6945" s="26"/>
      <c r="B6945" s="86"/>
      <c r="D6945" s="26"/>
      <c r="F6945" s="87" t="str">
        <f t="shared" si="0"/>
        <v/>
      </c>
      <c r="H6945" s="26" t="str">
        <f t="shared" si="1"/>
        <v/>
      </c>
      <c r="I6945" s="26" t="str">
        <f t="shared" si="2"/>
        <v/>
      </c>
      <c r="J6945" s="86">
        <f t="shared" si="3"/>
        <v>0</v>
      </c>
      <c r="R6945" s="26"/>
    </row>
    <row r="6946" spans="1:18" ht="15.75" customHeight="1">
      <c r="A6946" s="26"/>
      <c r="B6946" s="86"/>
      <c r="D6946" s="26"/>
      <c r="F6946" s="87" t="str">
        <f t="shared" si="0"/>
        <v/>
      </c>
      <c r="H6946" s="26" t="str">
        <f t="shared" si="1"/>
        <v/>
      </c>
      <c r="I6946" s="26" t="str">
        <f t="shared" si="2"/>
        <v/>
      </c>
      <c r="J6946" s="86">
        <f t="shared" si="3"/>
        <v>0</v>
      </c>
      <c r="R6946" s="26"/>
    </row>
    <row r="6947" spans="1:18" ht="15.75" customHeight="1">
      <c r="A6947" s="26"/>
      <c r="B6947" s="86"/>
      <c r="D6947" s="26"/>
      <c r="F6947" s="87" t="str">
        <f t="shared" si="0"/>
        <v/>
      </c>
      <c r="H6947" s="26" t="str">
        <f t="shared" si="1"/>
        <v/>
      </c>
      <c r="I6947" s="26" t="str">
        <f t="shared" si="2"/>
        <v/>
      </c>
      <c r="J6947" s="86">
        <f t="shared" si="3"/>
        <v>0</v>
      </c>
      <c r="R6947" s="26"/>
    </row>
    <row r="6948" spans="1:18" ht="15.75" customHeight="1">
      <c r="A6948" s="26"/>
      <c r="B6948" s="86"/>
      <c r="D6948" s="26"/>
      <c r="F6948" s="87" t="str">
        <f t="shared" si="0"/>
        <v/>
      </c>
      <c r="H6948" s="26" t="str">
        <f t="shared" si="1"/>
        <v/>
      </c>
      <c r="I6948" s="26" t="str">
        <f t="shared" si="2"/>
        <v/>
      </c>
      <c r="J6948" s="86">
        <f t="shared" si="3"/>
        <v>0</v>
      </c>
      <c r="R6948" s="26"/>
    </row>
    <row r="6949" spans="1:18" ht="15.75" customHeight="1">
      <c r="A6949" s="26"/>
      <c r="B6949" s="86"/>
      <c r="D6949" s="26"/>
      <c r="F6949" s="87" t="str">
        <f t="shared" si="0"/>
        <v/>
      </c>
      <c r="H6949" s="26" t="str">
        <f t="shared" si="1"/>
        <v/>
      </c>
      <c r="I6949" s="26" t="str">
        <f t="shared" si="2"/>
        <v/>
      </c>
      <c r="J6949" s="86">
        <f t="shared" si="3"/>
        <v>0</v>
      </c>
      <c r="R6949" s="26"/>
    </row>
    <row r="6950" spans="1:18" ht="15.75" customHeight="1">
      <c r="A6950" s="26"/>
      <c r="B6950" s="86"/>
      <c r="D6950" s="26"/>
      <c r="F6950" s="87" t="str">
        <f t="shared" si="0"/>
        <v/>
      </c>
      <c r="H6950" s="26" t="str">
        <f t="shared" si="1"/>
        <v/>
      </c>
      <c r="I6950" s="26" t="str">
        <f t="shared" si="2"/>
        <v/>
      </c>
      <c r="J6950" s="86">
        <f t="shared" si="3"/>
        <v>0</v>
      </c>
      <c r="R6950" s="26"/>
    </row>
    <row r="6951" spans="1:18" ht="15.75" customHeight="1">
      <c r="A6951" s="26"/>
      <c r="B6951" s="86"/>
      <c r="D6951" s="26"/>
      <c r="F6951" s="87" t="str">
        <f t="shared" si="0"/>
        <v/>
      </c>
      <c r="H6951" s="26" t="str">
        <f t="shared" si="1"/>
        <v/>
      </c>
      <c r="I6951" s="26" t="str">
        <f t="shared" si="2"/>
        <v/>
      </c>
      <c r="J6951" s="86">
        <f t="shared" si="3"/>
        <v>0</v>
      </c>
      <c r="R6951" s="26"/>
    </row>
    <row r="6952" spans="1:18" ht="15.75" customHeight="1">
      <c r="A6952" s="26"/>
      <c r="B6952" s="86"/>
      <c r="D6952" s="26"/>
      <c r="F6952" s="87" t="str">
        <f t="shared" si="0"/>
        <v/>
      </c>
      <c r="H6952" s="26" t="str">
        <f t="shared" si="1"/>
        <v/>
      </c>
      <c r="I6952" s="26" t="str">
        <f t="shared" si="2"/>
        <v/>
      </c>
      <c r="J6952" s="86">
        <f t="shared" si="3"/>
        <v>0</v>
      </c>
      <c r="R6952" s="26"/>
    </row>
    <row r="6953" spans="1:18" ht="15.75" customHeight="1">
      <c r="A6953" s="26"/>
      <c r="B6953" s="86"/>
      <c r="D6953" s="26"/>
      <c r="F6953" s="87" t="str">
        <f t="shared" si="0"/>
        <v/>
      </c>
      <c r="H6953" s="26" t="str">
        <f t="shared" si="1"/>
        <v/>
      </c>
      <c r="I6953" s="26" t="str">
        <f t="shared" si="2"/>
        <v/>
      </c>
      <c r="J6953" s="86">
        <f t="shared" si="3"/>
        <v>0</v>
      </c>
      <c r="R6953" s="26"/>
    </row>
    <row r="6954" spans="1:18" ht="15.75" customHeight="1">
      <c r="A6954" s="26"/>
      <c r="B6954" s="86"/>
      <c r="D6954" s="26"/>
      <c r="F6954" s="87" t="str">
        <f t="shared" si="0"/>
        <v/>
      </c>
      <c r="H6954" s="26" t="str">
        <f t="shared" si="1"/>
        <v/>
      </c>
      <c r="I6954" s="26" t="str">
        <f t="shared" si="2"/>
        <v/>
      </c>
      <c r="J6954" s="86">
        <f t="shared" si="3"/>
        <v>0</v>
      </c>
      <c r="R6954" s="26"/>
    </row>
    <row r="6955" spans="1:18" ht="15.75" customHeight="1">
      <c r="A6955" s="26"/>
      <c r="B6955" s="86"/>
      <c r="D6955" s="26"/>
      <c r="F6955" s="87" t="str">
        <f t="shared" si="0"/>
        <v/>
      </c>
      <c r="H6955" s="26" t="str">
        <f t="shared" si="1"/>
        <v/>
      </c>
      <c r="I6955" s="26" t="str">
        <f t="shared" si="2"/>
        <v/>
      </c>
      <c r="J6955" s="86">
        <f t="shared" si="3"/>
        <v>0</v>
      </c>
      <c r="R6955" s="26"/>
    </row>
    <row r="6956" spans="1:18" ht="15.75" customHeight="1">
      <c r="A6956" s="26"/>
      <c r="B6956" s="86"/>
      <c r="D6956" s="26"/>
      <c r="F6956" s="87" t="str">
        <f t="shared" si="0"/>
        <v/>
      </c>
      <c r="H6956" s="26" t="str">
        <f t="shared" si="1"/>
        <v/>
      </c>
      <c r="I6956" s="26" t="str">
        <f t="shared" si="2"/>
        <v/>
      </c>
      <c r="J6956" s="86">
        <f t="shared" si="3"/>
        <v>0</v>
      </c>
      <c r="R6956" s="26"/>
    </row>
    <row r="6957" spans="1:18" ht="15.75" customHeight="1">
      <c r="A6957" s="26"/>
      <c r="B6957" s="86"/>
      <c r="D6957" s="26"/>
      <c r="F6957" s="87" t="str">
        <f t="shared" si="0"/>
        <v/>
      </c>
      <c r="H6957" s="26" t="str">
        <f t="shared" si="1"/>
        <v/>
      </c>
      <c r="I6957" s="26" t="str">
        <f t="shared" si="2"/>
        <v/>
      </c>
      <c r="J6957" s="86">
        <f t="shared" si="3"/>
        <v>0</v>
      </c>
      <c r="R6957" s="26"/>
    </row>
    <row r="6958" spans="1:18" ht="15.75" customHeight="1">
      <c r="A6958" s="26"/>
      <c r="B6958" s="86"/>
      <c r="D6958" s="26"/>
      <c r="F6958" s="87" t="str">
        <f t="shared" si="0"/>
        <v/>
      </c>
      <c r="H6958" s="26" t="str">
        <f t="shared" si="1"/>
        <v/>
      </c>
      <c r="I6958" s="26" t="str">
        <f t="shared" si="2"/>
        <v/>
      </c>
      <c r="J6958" s="86">
        <f t="shared" si="3"/>
        <v>0</v>
      </c>
      <c r="R6958" s="26"/>
    </row>
    <row r="6959" spans="1:18" ht="15.75" customHeight="1">
      <c r="A6959" s="26"/>
      <c r="B6959" s="86"/>
      <c r="D6959" s="26"/>
      <c r="F6959" s="87" t="str">
        <f t="shared" si="0"/>
        <v/>
      </c>
      <c r="H6959" s="26" t="str">
        <f t="shared" si="1"/>
        <v/>
      </c>
      <c r="I6959" s="26" t="str">
        <f t="shared" si="2"/>
        <v/>
      </c>
      <c r="J6959" s="86">
        <f t="shared" si="3"/>
        <v>0</v>
      </c>
      <c r="R6959" s="26"/>
    </row>
    <row r="6960" spans="1:18" ht="15.75" customHeight="1">
      <c r="A6960" s="26"/>
      <c r="B6960" s="86"/>
      <c r="D6960" s="26"/>
      <c r="F6960" s="87" t="str">
        <f t="shared" si="0"/>
        <v/>
      </c>
      <c r="H6960" s="26" t="str">
        <f t="shared" si="1"/>
        <v/>
      </c>
      <c r="I6960" s="26" t="str">
        <f t="shared" si="2"/>
        <v/>
      </c>
      <c r="J6960" s="86">
        <f t="shared" si="3"/>
        <v>0</v>
      </c>
      <c r="R6960" s="26"/>
    </row>
    <row r="6961" spans="1:18" ht="15.75" customHeight="1">
      <c r="A6961" s="26"/>
      <c r="B6961" s="86"/>
      <c r="D6961" s="26"/>
      <c r="F6961" s="87" t="str">
        <f t="shared" si="0"/>
        <v/>
      </c>
      <c r="H6961" s="26" t="str">
        <f t="shared" si="1"/>
        <v/>
      </c>
      <c r="I6961" s="26" t="str">
        <f t="shared" si="2"/>
        <v/>
      </c>
      <c r="J6961" s="86">
        <f t="shared" si="3"/>
        <v>0</v>
      </c>
      <c r="R6961" s="26"/>
    </row>
    <row r="6962" spans="1:18" ht="15.75" customHeight="1">
      <c r="A6962" s="26"/>
      <c r="B6962" s="86"/>
      <c r="D6962" s="26"/>
      <c r="F6962" s="87" t="str">
        <f t="shared" si="0"/>
        <v/>
      </c>
      <c r="H6962" s="26" t="str">
        <f t="shared" si="1"/>
        <v/>
      </c>
      <c r="I6962" s="26" t="str">
        <f t="shared" si="2"/>
        <v/>
      </c>
      <c r="J6962" s="86">
        <f t="shared" si="3"/>
        <v>0</v>
      </c>
      <c r="R6962" s="26"/>
    </row>
    <row r="6963" spans="1:18" ht="15.75" customHeight="1">
      <c r="A6963" s="26"/>
      <c r="B6963" s="86"/>
      <c r="D6963" s="26"/>
      <c r="F6963" s="87" t="str">
        <f t="shared" si="0"/>
        <v/>
      </c>
      <c r="H6963" s="26" t="str">
        <f t="shared" si="1"/>
        <v/>
      </c>
      <c r="I6963" s="26" t="str">
        <f t="shared" si="2"/>
        <v/>
      </c>
      <c r="J6963" s="86">
        <f t="shared" si="3"/>
        <v>0</v>
      </c>
      <c r="R6963" s="26"/>
    </row>
    <row r="6964" spans="1:18" ht="15.75" customHeight="1">
      <c r="A6964" s="26"/>
      <c r="B6964" s="86"/>
      <c r="D6964" s="26"/>
      <c r="F6964" s="87" t="str">
        <f t="shared" si="0"/>
        <v/>
      </c>
      <c r="H6964" s="26" t="str">
        <f t="shared" si="1"/>
        <v/>
      </c>
      <c r="I6964" s="26" t="str">
        <f t="shared" si="2"/>
        <v/>
      </c>
      <c r="J6964" s="86">
        <f t="shared" si="3"/>
        <v>0</v>
      </c>
      <c r="R6964" s="26"/>
    </row>
    <row r="6965" spans="1:18" ht="15.75" customHeight="1">
      <c r="A6965" s="26"/>
      <c r="B6965" s="86"/>
      <c r="D6965" s="26"/>
      <c r="F6965" s="87" t="str">
        <f t="shared" si="0"/>
        <v/>
      </c>
      <c r="H6965" s="26" t="str">
        <f t="shared" si="1"/>
        <v/>
      </c>
      <c r="I6965" s="26" t="str">
        <f t="shared" si="2"/>
        <v/>
      </c>
      <c r="J6965" s="86">
        <f t="shared" si="3"/>
        <v>0</v>
      </c>
      <c r="R6965" s="26"/>
    </row>
    <row r="6966" spans="1:18" ht="15.75" customHeight="1">
      <c r="A6966" s="26"/>
      <c r="B6966" s="86"/>
      <c r="D6966" s="26"/>
      <c r="F6966" s="87" t="str">
        <f t="shared" si="0"/>
        <v/>
      </c>
      <c r="H6966" s="26" t="str">
        <f t="shared" si="1"/>
        <v/>
      </c>
      <c r="I6966" s="26" t="str">
        <f t="shared" si="2"/>
        <v/>
      </c>
      <c r="J6966" s="86">
        <f t="shared" si="3"/>
        <v>0</v>
      </c>
      <c r="R6966" s="26"/>
    </row>
    <row r="6967" spans="1:18" ht="15.75" customHeight="1">
      <c r="A6967" s="26"/>
      <c r="B6967" s="86"/>
      <c r="D6967" s="26"/>
      <c r="F6967" s="87" t="str">
        <f t="shared" si="0"/>
        <v/>
      </c>
      <c r="H6967" s="26" t="str">
        <f t="shared" si="1"/>
        <v/>
      </c>
      <c r="I6967" s="26" t="str">
        <f t="shared" si="2"/>
        <v/>
      </c>
      <c r="J6967" s="86">
        <f t="shared" si="3"/>
        <v>0</v>
      </c>
      <c r="R6967" s="26"/>
    </row>
    <row r="6968" spans="1:18" ht="15.75" customHeight="1">
      <c r="A6968" s="26"/>
      <c r="B6968" s="86"/>
      <c r="D6968" s="26"/>
      <c r="F6968" s="87" t="str">
        <f t="shared" si="0"/>
        <v/>
      </c>
      <c r="H6968" s="26" t="str">
        <f t="shared" si="1"/>
        <v/>
      </c>
      <c r="I6968" s="26" t="str">
        <f t="shared" si="2"/>
        <v/>
      </c>
      <c r="J6968" s="86">
        <f t="shared" si="3"/>
        <v>0</v>
      </c>
      <c r="R6968" s="26"/>
    </row>
    <row r="6969" spans="1:18" ht="15.75" customHeight="1">
      <c r="A6969" s="26"/>
      <c r="B6969" s="86"/>
      <c r="D6969" s="26"/>
      <c r="F6969" s="87" t="str">
        <f t="shared" si="0"/>
        <v/>
      </c>
      <c r="H6969" s="26" t="str">
        <f t="shared" si="1"/>
        <v/>
      </c>
      <c r="I6969" s="26" t="str">
        <f t="shared" si="2"/>
        <v/>
      </c>
      <c r="J6969" s="86">
        <f t="shared" si="3"/>
        <v>0</v>
      </c>
      <c r="R6969" s="26"/>
    </row>
    <row r="6970" spans="1:18" ht="15.75" customHeight="1">
      <c r="A6970" s="26"/>
      <c r="B6970" s="86"/>
      <c r="D6970" s="26"/>
      <c r="F6970" s="87" t="str">
        <f t="shared" si="0"/>
        <v/>
      </c>
      <c r="H6970" s="26" t="str">
        <f t="shared" si="1"/>
        <v/>
      </c>
      <c r="I6970" s="26" t="str">
        <f t="shared" si="2"/>
        <v/>
      </c>
      <c r="J6970" s="86">
        <f t="shared" si="3"/>
        <v>0</v>
      </c>
      <c r="R6970" s="26"/>
    </row>
    <row r="6971" spans="1:18" ht="15.75" customHeight="1">
      <c r="A6971" s="26"/>
      <c r="B6971" s="86"/>
      <c r="D6971" s="26"/>
      <c r="F6971" s="87" t="str">
        <f t="shared" si="0"/>
        <v/>
      </c>
      <c r="H6971" s="26" t="str">
        <f t="shared" si="1"/>
        <v/>
      </c>
      <c r="I6971" s="26" t="str">
        <f t="shared" si="2"/>
        <v/>
      </c>
      <c r="J6971" s="86">
        <f t="shared" si="3"/>
        <v>0</v>
      </c>
      <c r="R6971" s="26"/>
    </row>
    <row r="6972" spans="1:18" ht="15.75" customHeight="1">
      <c r="A6972" s="26"/>
      <c r="B6972" s="86"/>
      <c r="D6972" s="26"/>
      <c r="F6972" s="87" t="str">
        <f t="shared" si="0"/>
        <v/>
      </c>
      <c r="H6972" s="26" t="str">
        <f t="shared" si="1"/>
        <v/>
      </c>
      <c r="I6972" s="26" t="str">
        <f t="shared" si="2"/>
        <v/>
      </c>
      <c r="J6972" s="86">
        <f t="shared" si="3"/>
        <v>0</v>
      </c>
      <c r="R6972" s="26"/>
    </row>
    <row r="6973" spans="1:18" ht="15.75" customHeight="1">
      <c r="A6973" s="26"/>
      <c r="B6973" s="86"/>
      <c r="D6973" s="26"/>
      <c r="F6973" s="87" t="str">
        <f t="shared" si="0"/>
        <v/>
      </c>
      <c r="H6973" s="26" t="str">
        <f t="shared" si="1"/>
        <v/>
      </c>
      <c r="I6973" s="26" t="str">
        <f t="shared" si="2"/>
        <v/>
      </c>
      <c r="J6973" s="86">
        <f t="shared" si="3"/>
        <v>0</v>
      </c>
      <c r="R6973" s="26"/>
    </row>
    <row r="6974" spans="1:18" ht="15.75" customHeight="1">
      <c r="A6974" s="26"/>
      <c r="B6974" s="86"/>
      <c r="D6974" s="26"/>
      <c r="F6974" s="87" t="str">
        <f t="shared" si="0"/>
        <v/>
      </c>
      <c r="H6974" s="26" t="str">
        <f t="shared" si="1"/>
        <v/>
      </c>
      <c r="I6974" s="26" t="str">
        <f t="shared" si="2"/>
        <v/>
      </c>
      <c r="J6974" s="86">
        <f t="shared" si="3"/>
        <v>0</v>
      </c>
      <c r="R6974" s="26"/>
    </row>
    <row r="6975" spans="1:18" ht="15.75" customHeight="1">
      <c r="A6975" s="26"/>
      <c r="B6975" s="86"/>
      <c r="D6975" s="26"/>
      <c r="F6975" s="87" t="str">
        <f t="shared" si="0"/>
        <v/>
      </c>
      <c r="H6975" s="26" t="str">
        <f t="shared" si="1"/>
        <v/>
      </c>
      <c r="I6975" s="26" t="str">
        <f t="shared" si="2"/>
        <v/>
      </c>
      <c r="J6975" s="86">
        <f t="shared" si="3"/>
        <v>0</v>
      </c>
      <c r="R6975" s="26"/>
    </row>
    <row r="6976" spans="1:18" ht="15.75" customHeight="1">
      <c r="A6976" s="26"/>
      <c r="B6976" s="86"/>
      <c r="D6976" s="26"/>
      <c r="F6976" s="87" t="str">
        <f t="shared" si="0"/>
        <v/>
      </c>
      <c r="H6976" s="26" t="str">
        <f t="shared" si="1"/>
        <v/>
      </c>
      <c r="I6976" s="26" t="str">
        <f t="shared" si="2"/>
        <v/>
      </c>
      <c r="J6976" s="86">
        <f t="shared" si="3"/>
        <v>0</v>
      </c>
      <c r="R6976" s="26"/>
    </row>
    <row r="6977" spans="1:18" ht="15.75" customHeight="1">
      <c r="A6977" s="26"/>
      <c r="B6977" s="86"/>
      <c r="D6977" s="26"/>
      <c r="F6977" s="87" t="str">
        <f t="shared" si="0"/>
        <v/>
      </c>
      <c r="H6977" s="26" t="str">
        <f t="shared" si="1"/>
        <v/>
      </c>
      <c r="I6977" s="26" t="str">
        <f t="shared" si="2"/>
        <v/>
      </c>
      <c r="J6977" s="86">
        <f t="shared" si="3"/>
        <v>0</v>
      </c>
      <c r="R6977" s="26"/>
    </row>
    <row r="6978" spans="1:18" ht="15.75" customHeight="1">
      <c r="A6978" s="26"/>
      <c r="B6978" s="86"/>
      <c r="D6978" s="26"/>
      <c r="F6978" s="87" t="str">
        <f t="shared" si="0"/>
        <v/>
      </c>
      <c r="H6978" s="26" t="str">
        <f t="shared" si="1"/>
        <v/>
      </c>
      <c r="I6978" s="26" t="str">
        <f t="shared" si="2"/>
        <v/>
      </c>
      <c r="J6978" s="86">
        <f t="shared" si="3"/>
        <v>0</v>
      </c>
      <c r="R6978" s="26"/>
    </row>
    <row r="6979" spans="1:18" ht="15.75" customHeight="1">
      <c r="A6979" s="26"/>
      <c r="B6979" s="86"/>
      <c r="D6979" s="26"/>
      <c r="F6979" s="87" t="str">
        <f t="shared" si="0"/>
        <v/>
      </c>
      <c r="H6979" s="26" t="str">
        <f t="shared" si="1"/>
        <v/>
      </c>
      <c r="I6979" s="26" t="str">
        <f t="shared" si="2"/>
        <v/>
      </c>
      <c r="J6979" s="86">
        <f t="shared" si="3"/>
        <v>0</v>
      </c>
      <c r="R6979" s="26"/>
    </row>
    <row r="6980" spans="1:18" ht="15.75" customHeight="1">
      <c r="A6980" s="26"/>
      <c r="B6980" s="86"/>
      <c r="D6980" s="26"/>
      <c r="F6980" s="87" t="str">
        <f t="shared" si="0"/>
        <v/>
      </c>
      <c r="H6980" s="26" t="str">
        <f t="shared" si="1"/>
        <v/>
      </c>
      <c r="I6980" s="26" t="str">
        <f t="shared" si="2"/>
        <v/>
      </c>
      <c r="J6980" s="86">
        <f t="shared" si="3"/>
        <v>0</v>
      </c>
      <c r="R6980" s="26"/>
    </row>
    <row r="6981" spans="1:18" ht="15.75" customHeight="1">
      <c r="A6981" s="26"/>
      <c r="B6981" s="86"/>
      <c r="D6981" s="26"/>
      <c r="F6981" s="87" t="str">
        <f t="shared" si="0"/>
        <v/>
      </c>
      <c r="H6981" s="26" t="str">
        <f t="shared" si="1"/>
        <v/>
      </c>
      <c r="I6981" s="26" t="str">
        <f t="shared" si="2"/>
        <v/>
      </c>
      <c r="J6981" s="86">
        <f t="shared" si="3"/>
        <v>0</v>
      </c>
      <c r="R6981" s="26"/>
    </row>
    <row r="6982" spans="1:18" ht="15.75" customHeight="1">
      <c r="A6982" s="26"/>
      <c r="B6982" s="86"/>
      <c r="D6982" s="26"/>
      <c r="F6982" s="87" t="str">
        <f t="shared" si="0"/>
        <v/>
      </c>
      <c r="H6982" s="26" t="str">
        <f t="shared" si="1"/>
        <v/>
      </c>
      <c r="I6982" s="26" t="str">
        <f t="shared" si="2"/>
        <v/>
      </c>
      <c r="J6982" s="86">
        <f t="shared" si="3"/>
        <v>0</v>
      </c>
      <c r="R6982" s="26"/>
    </row>
    <row r="6983" spans="1:18" ht="15.75" customHeight="1">
      <c r="A6983" s="26"/>
      <c r="B6983" s="86"/>
      <c r="D6983" s="26"/>
      <c r="F6983" s="87" t="str">
        <f t="shared" si="0"/>
        <v/>
      </c>
      <c r="H6983" s="26" t="str">
        <f t="shared" si="1"/>
        <v/>
      </c>
      <c r="I6983" s="26" t="str">
        <f t="shared" si="2"/>
        <v/>
      </c>
      <c r="J6983" s="86">
        <f t="shared" si="3"/>
        <v>0</v>
      </c>
      <c r="R6983" s="26"/>
    </row>
    <row r="6984" spans="1:18" ht="15.75" customHeight="1">
      <c r="A6984" s="26"/>
      <c r="B6984" s="86"/>
      <c r="D6984" s="26"/>
      <c r="F6984" s="87" t="str">
        <f t="shared" si="0"/>
        <v/>
      </c>
      <c r="H6984" s="26" t="str">
        <f t="shared" si="1"/>
        <v/>
      </c>
      <c r="I6984" s="26" t="str">
        <f t="shared" si="2"/>
        <v/>
      </c>
      <c r="J6984" s="86">
        <f t="shared" si="3"/>
        <v>0</v>
      </c>
      <c r="R6984" s="26"/>
    </row>
    <row r="6985" spans="1:18" ht="15.75" customHeight="1">
      <c r="A6985" s="26"/>
      <c r="B6985" s="86"/>
      <c r="D6985" s="26"/>
      <c r="F6985" s="87" t="str">
        <f t="shared" si="0"/>
        <v/>
      </c>
      <c r="H6985" s="26" t="str">
        <f t="shared" si="1"/>
        <v/>
      </c>
      <c r="I6985" s="26" t="str">
        <f t="shared" si="2"/>
        <v/>
      </c>
      <c r="J6985" s="86">
        <f t="shared" si="3"/>
        <v>0</v>
      </c>
      <c r="R6985" s="26"/>
    </row>
    <row r="6986" spans="1:18" ht="15.75" customHeight="1">
      <c r="A6986" s="26"/>
      <c r="B6986" s="86"/>
      <c r="D6986" s="26"/>
      <c r="F6986" s="87" t="str">
        <f t="shared" si="0"/>
        <v/>
      </c>
      <c r="H6986" s="26" t="str">
        <f t="shared" si="1"/>
        <v/>
      </c>
      <c r="I6986" s="26" t="str">
        <f t="shared" si="2"/>
        <v/>
      </c>
      <c r="J6986" s="86">
        <f t="shared" si="3"/>
        <v>0</v>
      </c>
      <c r="R6986" s="26"/>
    </row>
    <row r="6987" spans="1:18" ht="15.75" customHeight="1">
      <c r="A6987" s="26"/>
      <c r="B6987" s="86"/>
      <c r="D6987" s="26"/>
      <c r="F6987" s="87" t="str">
        <f t="shared" si="0"/>
        <v/>
      </c>
      <c r="H6987" s="26" t="str">
        <f t="shared" si="1"/>
        <v/>
      </c>
      <c r="I6987" s="26" t="str">
        <f t="shared" si="2"/>
        <v/>
      </c>
      <c r="J6987" s="86">
        <f t="shared" si="3"/>
        <v>0</v>
      </c>
      <c r="R6987" s="26"/>
    </row>
    <row r="6988" spans="1:18" ht="15.75" customHeight="1">
      <c r="A6988" s="26"/>
      <c r="B6988" s="86"/>
      <c r="D6988" s="26"/>
      <c r="F6988" s="87" t="str">
        <f t="shared" si="0"/>
        <v/>
      </c>
      <c r="H6988" s="26" t="str">
        <f t="shared" si="1"/>
        <v/>
      </c>
      <c r="I6988" s="26" t="str">
        <f t="shared" si="2"/>
        <v/>
      </c>
      <c r="J6988" s="86">
        <f t="shared" si="3"/>
        <v>0</v>
      </c>
      <c r="R6988" s="26"/>
    </row>
    <row r="6989" spans="1:18" ht="15.75" customHeight="1">
      <c r="A6989" s="26"/>
      <c r="B6989" s="86"/>
      <c r="D6989" s="26"/>
      <c r="F6989" s="87" t="str">
        <f t="shared" si="0"/>
        <v/>
      </c>
      <c r="H6989" s="26" t="str">
        <f t="shared" si="1"/>
        <v/>
      </c>
      <c r="I6989" s="26" t="str">
        <f t="shared" si="2"/>
        <v/>
      </c>
      <c r="J6989" s="86">
        <f t="shared" si="3"/>
        <v>0</v>
      </c>
      <c r="R6989" s="26"/>
    </row>
    <row r="6990" spans="1:18" ht="15.75" customHeight="1">
      <c r="A6990" s="26"/>
      <c r="B6990" s="86"/>
      <c r="D6990" s="26"/>
      <c r="F6990" s="87" t="str">
        <f t="shared" si="0"/>
        <v/>
      </c>
      <c r="H6990" s="26" t="str">
        <f t="shared" si="1"/>
        <v/>
      </c>
      <c r="I6990" s="26" t="str">
        <f t="shared" si="2"/>
        <v/>
      </c>
      <c r="J6990" s="86">
        <f t="shared" si="3"/>
        <v>0</v>
      </c>
      <c r="R6990" s="26"/>
    </row>
    <row r="6991" spans="1:18" ht="15.75" customHeight="1">
      <c r="A6991" s="26"/>
      <c r="B6991" s="86"/>
      <c r="D6991" s="26"/>
      <c r="F6991" s="87" t="str">
        <f t="shared" si="0"/>
        <v/>
      </c>
      <c r="H6991" s="26" t="str">
        <f t="shared" si="1"/>
        <v/>
      </c>
      <c r="I6991" s="26" t="str">
        <f t="shared" si="2"/>
        <v/>
      </c>
      <c r="J6991" s="86">
        <f t="shared" si="3"/>
        <v>0</v>
      </c>
      <c r="R6991" s="26"/>
    </row>
    <row r="6992" spans="1:18" ht="15.75" customHeight="1">
      <c r="A6992" s="26"/>
      <c r="B6992" s="86"/>
      <c r="D6992" s="26"/>
      <c r="F6992" s="87" t="str">
        <f t="shared" si="0"/>
        <v/>
      </c>
      <c r="H6992" s="26" t="str">
        <f t="shared" si="1"/>
        <v/>
      </c>
      <c r="I6992" s="26" t="str">
        <f t="shared" si="2"/>
        <v/>
      </c>
      <c r="J6992" s="86">
        <f t="shared" si="3"/>
        <v>0</v>
      </c>
      <c r="R6992" s="26"/>
    </row>
    <row r="6993" spans="1:18" ht="15.75" customHeight="1">
      <c r="A6993" s="26"/>
      <c r="B6993" s="86"/>
      <c r="D6993" s="26"/>
      <c r="F6993" s="87" t="str">
        <f t="shared" si="0"/>
        <v/>
      </c>
      <c r="H6993" s="26" t="str">
        <f t="shared" si="1"/>
        <v/>
      </c>
      <c r="I6993" s="26" t="str">
        <f t="shared" si="2"/>
        <v/>
      </c>
      <c r="J6993" s="86">
        <f t="shared" si="3"/>
        <v>0</v>
      </c>
      <c r="R6993" s="26"/>
    </row>
    <row r="6994" spans="1:18" ht="15.75" customHeight="1">
      <c r="A6994" s="26"/>
      <c r="B6994" s="86"/>
      <c r="D6994" s="26"/>
      <c r="F6994" s="87" t="str">
        <f t="shared" si="0"/>
        <v/>
      </c>
      <c r="H6994" s="26" t="str">
        <f t="shared" si="1"/>
        <v/>
      </c>
      <c r="I6994" s="26" t="str">
        <f t="shared" si="2"/>
        <v/>
      </c>
      <c r="J6994" s="86">
        <f t="shared" si="3"/>
        <v>0</v>
      </c>
      <c r="R6994" s="26"/>
    </row>
    <row r="6995" spans="1:18" ht="15.75" customHeight="1">
      <c r="A6995" s="26"/>
      <c r="B6995" s="86"/>
      <c r="D6995" s="26"/>
      <c r="F6995" s="87" t="str">
        <f t="shared" si="0"/>
        <v/>
      </c>
      <c r="H6995" s="26" t="str">
        <f t="shared" si="1"/>
        <v/>
      </c>
      <c r="I6995" s="26" t="str">
        <f t="shared" si="2"/>
        <v/>
      </c>
      <c r="J6995" s="86">
        <f t="shared" si="3"/>
        <v>0</v>
      </c>
      <c r="R6995" s="26"/>
    </row>
    <row r="6996" spans="1:18" ht="15.75" customHeight="1">
      <c r="A6996" s="26"/>
      <c r="B6996" s="86"/>
      <c r="D6996" s="26"/>
      <c r="F6996" s="87" t="str">
        <f t="shared" si="0"/>
        <v/>
      </c>
      <c r="H6996" s="26" t="str">
        <f t="shared" si="1"/>
        <v/>
      </c>
      <c r="I6996" s="26" t="str">
        <f t="shared" si="2"/>
        <v/>
      </c>
      <c r="J6996" s="86">
        <f t="shared" si="3"/>
        <v>0</v>
      </c>
      <c r="R6996" s="26"/>
    </row>
    <row r="6997" spans="1:18" ht="15.75" customHeight="1">
      <c r="A6997" s="26"/>
      <c r="B6997" s="86"/>
      <c r="D6997" s="26"/>
      <c r="F6997" s="87" t="str">
        <f t="shared" si="0"/>
        <v/>
      </c>
      <c r="H6997" s="26" t="str">
        <f t="shared" si="1"/>
        <v/>
      </c>
      <c r="I6997" s="26" t="str">
        <f t="shared" si="2"/>
        <v/>
      </c>
      <c r="J6997" s="86">
        <f t="shared" si="3"/>
        <v>0</v>
      </c>
      <c r="R6997" s="26"/>
    </row>
    <row r="6998" spans="1:18" ht="15.75" customHeight="1">
      <c r="A6998" s="26"/>
      <c r="B6998" s="86"/>
      <c r="D6998" s="26"/>
      <c r="F6998" s="87" t="str">
        <f t="shared" si="0"/>
        <v/>
      </c>
      <c r="H6998" s="26" t="str">
        <f t="shared" si="1"/>
        <v/>
      </c>
      <c r="I6998" s="26" t="str">
        <f t="shared" si="2"/>
        <v/>
      </c>
      <c r="J6998" s="86">
        <f t="shared" si="3"/>
        <v>0</v>
      </c>
      <c r="R6998" s="26"/>
    </row>
    <row r="6999" spans="1:18" ht="15.75" customHeight="1">
      <c r="A6999" s="26"/>
      <c r="B6999" s="86"/>
      <c r="D6999" s="26"/>
      <c r="F6999" s="87" t="str">
        <f t="shared" si="0"/>
        <v/>
      </c>
      <c r="H6999" s="26" t="str">
        <f t="shared" si="1"/>
        <v/>
      </c>
      <c r="I6999" s="26" t="str">
        <f t="shared" si="2"/>
        <v/>
      </c>
      <c r="J6999" s="86">
        <f t="shared" si="3"/>
        <v>0</v>
      </c>
      <c r="R6999" s="26"/>
    </row>
    <row r="7000" spans="1:18" ht="15.75" customHeight="1">
      <c r="A7000" s="26"/>
      <c r="B7000" s="86"/>
      <c r="D7000" s="26"/>
      <c r="F7000" s="87" t="str">
        <f t="shared" si="0"/>
        <v/>
      </c>
      <c r="H7000" s="26" t="str">
        <f t="shared" si="1"/>
        <v/>
      </c>
      <c r="I7000" s="26" t="str">
        <f t="shared" si="2"/>
        <v/>
      </c>
      <c r="J7000" s="86">
        <f t="shared" si="3"/>
        <v>0</v>
      </c>
      <c r="R7000" s="26"/>
    </row>
    <row r="7001" spans="1:18" ht="15.75" customHeight="1">
      <c r="A7001" s="26"/>
      <c r="B7001" s="86"/>
      <c r="D7001" s="26"/>
      <c r="F7001" s="87" t="str">
        <f t="shared" si="0"/>
        <v/>
      </c>
      <c r="H7001" s="26" t="str">
        <f t="shared" si="1"/>
        <v/>
      </c>
      <c r="I7001" s="26" t="str">
        <f t="shared" si="2"/>
        <v/>
      </c>
      <c r="J7001" s="86">
        <f t="shared" si="3"/>
        <v>0</v>
      </c>
      <c r="R7001" s="26"/>
    </row>
    <row r="7002" spans="1:18" ht="15.75" customHeight="1">
      <c r="A7002" s="26"/>
      <c r="B7002" s="86"/>
      <c r="D7002" s="26"/>
      <c r="F7002" s="87" t="str">
        <f t="shared" si="0"/>
        <v/>
      </c>
      <c r="H7002" s="26" t="str">
        <f t="shared" si="1"/>
        <v/>
      </c>
      <c r="I7002" s="26" t="str">
        <f t="shared" si="2"/>
        <v/>
      </c>
      <c r="J7002" s="86">
        <f t="shared" si="3"/>
        <v>0</v>
      </c>
      <c r="R7002" s="26"/>
    </row>
    <row r="7003" spans="1:18" ht="15.75" customHeight="1">
      <c r="A7003" s="26"/>
      <c r="B7003" s="86"/>
      <c r="D7003" s="26"/>
      <c r="F7003" s="87" t="str">
        <f t="shared" si="0"/>
        <v/>
      </c>
      <c r="H7003" s="26" t="str">
        <f t="shared" si="1"/>
        <v/>
      </c>
      <c r="I7003" s="26" t="str">
        <f t="shared" si="2"/>
        <v/>
      </c>
      <c r="J7003" s="86">
        <f t="shared" si="3"/>
        <v>0</v>
      </c>
      <c r="R7003" s="26"/>
    </row>
    <row r="7004" spans="1:18" ht="15.75" customHeight="1">
      <c r="A7004" s="26"/>
      <c r="B7004" s="86"/>
      <c r="D7004" s="26"/>
      <c r="F7004" s="87" t="str">
        <f t="shared" si="0"/>
        <v/>
      </c>
      <c r="H7004" s="26" t="str">
        <f t="shared" si="1"/>
        <v/>
      </c>
      <c r="I7004" s="26" t="str">
        <f t="shared" si="2"/>
        <v/>
      </c>
      <c r="J7004" s="86">
        <f t="shared" si="3"/>
        <v>0</v>
      </c>
      <c r="R7004" s="26"/>
    </row>
    <row r="7005" spans="1:18" ht="15.75" customHeight="1">
      <c r="A7005" s="26"/>
      <c r="B7005" s="86"/>
      <c r="D7005" s="26"/>
      <c r="F7005" s="87" t="str">
        <f t="shared" si="0"/>
        <v/>
      </c>
      <c r="H7005" s="26" t="str">
        <f t="shared" si="1"/>
        <v/>
      </c>
      <c r="I7005" s="26" t="str">
        <f t="shared" si="2"/>
        <v/>
      </c>
      <c r="J7005" s="86">
        <f t="shared" si="3"/>
        <v>0</v>
      </c>
      <c r="R7005" s="26"/>
    </row>
    <row r="7006" spans="1:18" ht="15.75" customHeight="1">
      <c r="A7006" s="26"/>
      <c r="B7006" s="86"/>
      <c r="D7006" s="26"/>
      <c r="F7006" s="87" t="str">
        <f t="shared" si="0"/>
        <v/>
      </c>
      <c r="H7006" s="26" t="str">
        <f t="shared" si="1"/>
        <v/>
      </c>
      <c r="I7006" s="26" t="str">
        <f t="shared" si="2"/>
        <v/>
      </c>
      <c r="J7006" s="86">
        <f t="shared" si="3"/>
        <v>0</v>
      </c>
      <c r="R7006" s="26"/>
    </row>
    <row r="7007" spans="1:18" ht="15.75" customHeight="1">
      <c r="A7007" s="26"/>
      <c r="B7007" s="86"/>
      <c r="D7007" s="26"/>
      <c r="F7007" s="87" t="str">
        <f t="shared" si="0"/>
        <v/>
      </c>
      <c r="H7007" s="26" t="str">
        <f t="shared" si="1"/>
        <v/>
      </c>
      <c r="I7007" s="26" t="str">
        <f t="shared" si="2"/>
        <v/>
      </c>
      <c r="J7007" s="86">
        <f t="shared" si="3"/>
        <v>0</v>
      </c>
      <c r="R7007" s="26"/>
    </row>
    <row r="7008" spans="1:18" ht="15.75" customHeight="1">
      <c r="A7008" s="26"/>
      <c r="B7008" s="86"/>
      <c r="D7008" s="26"/>
      <c r="F7008" s="87" t="str">
        <f t="shared" si="0"/>
        <v/>
      </c>
      <c r="H7008" s="26" t="str">
        <f t="shared" si="1"/>
        <v/>
      </c>
      <c r="I7008" s="26" t="str">
        <f t="shared" si="2"/>
        <v/>
      </c>
      <c r="J7008" s="86">
        <f t="shared" si="3"/>
        <v>0</v>
      </c>
      <c r="R7008" s="26"/>
    </row>
    <row r="7009" spans="1:18" ht="15.75" customHeight="1">
      <c r="A7009" s="26"/>
      <c r="B7009" s="86"/>
      <c r="D7009" s="26"/>
      <c r="F7009" s="87" t="str">
        <f t="shared" si="0"/>
        <v/>
      </c>
      <c r="H7009" s="26" t="str">
        <f t="shared" si="1"/>
        <v/>
      </c>
      <c r="I7009" s="26" t="str">
        <f t="shared" si="2"/>
        <v/>
      </c>
      <c r="J7009" s="86">
        <f t="shared" si="3"/>
        <v>0</v>
      </c>
      <c r="R7009" s="26"/>
    </row>
    <row r="7010" spans="1:18" ht="15.75" customHeight="1">
      <c r="A7010" s="26"/>
      <c r="B7010" s="86"/>
      <c r="D7010" s="26"/>
      <c r="F7010" s="87" t="str">
        <f t="shared" si="0"/>
        <v/>
      </c>
      <c r="H7010" s="26" t="str">
        <f t="shared" si="1"/>
        <v/>
      </c>
      <c r="I7010" s="26" t="str">
        <f t="shared" si="2"/>
        <v/>
      </c>
      <c r="J7010" s="86">
        <f t="shared" si="3"/>
        <v>0</v>
      </c>
      <c r="R7010" s="26"/>
    </row>
    <row r="7011" spans="1:18" ht="15.75" customHeight="1">
      <c r="A7011" s="26"/>
      <c r="B7011" s="86"/>
      <c r="D7011" s="26"/>
      <c r="F7011" s="87" t="str">
        <f t="shared" si="0"/>
        <v/>
      </c>
      <c r="H7011" s="26" t="str">
        <f t="shared" si="1"/>
        <v/>
      </c>
      <c r="I7011" s="26" t="str">
        <f t="shared" si="2"/>
        <v/>
      </c>
      <c r="J7011" s="86">
        <f t="shared" si="3"/>
        <v>0</v>
      </c>
      <c r="R7011" s="26"/>
    </row>
    <row r="7012" spans="1:18" ht="15.75" customHeight="1">
      <c r="A7012" s="26"/>
      <c r="B7012" s="86"/>
      <c r="D7012" s="26"/>
      <c r="F7012" s="87" t="str">
        <f t="shared" si="0"/>
        <v/>
      </c>
      <c r="H7012" s="26" t="str">
        <f t="shared" si="1"/>
        <v/>
      </c>
      <c r="I7012" s="26" t="str">
        <f t="shared" si="2"/>
        <v/>
      </c>
      <c r="J7012" s="86">
        <f t="shared" si="3"/>
        <v>0</v>
      </c>
      <c r="R7012" s="26"/>
    </row>
    <row r="7013" spans="1:18" ht="15.75" customHeight="1">
      <c r="A7013" s="26"/>
      <c r="B7013" s="86"/>
      <c r="D7013" s="26"/>
      <c r="F7013" s="87" t="str">
        <f t="shared" si="0"/>
        <v/>
      </c>
      <c r="H7013" s="26" t="str">
        <f t="shared" si="1"/>
        <v/>
      </c>
      <c r="I7013" s="26" t="str">
        <f t="shared" si="2"/>
        <v/>
      </c>
      <c r="J7013" s="86">
        <f t="shared" si="3"/>
        <v>0</v>
      </c>
      <c r="R7013" s="26"/>
    </row>
    <row r="7014" spans="1:18" ht="15.75" customHeight="1">
      <c r="A7014" s="26"/>
      <c r="B7014" s="86"/>
      <c r="D7014" s="26"/>
      <c r="F7014" s="87" t="str">
        <f t="shared" si="0"/>
        <v/>
      </c>
      <c r="H7014" s="26" t="str">
        <f t="shared" si="1"/>
        <v/>
      </c>
      <c r="I7014" s="26" t="str">
        <f t="shared" si="2"/>
        <v/>
      </c>
      <c r="J7014" s="86">
        <f t="shared" si="3"/>
        <v>0</v>
      </c>
      <c r="R7014" s="26"/>
    </row>
    <row r="7015" spans="1:18" ht="15.75" customHeight="1">
      <c r="A7015" s="26"/>
      <c r="B7015" s="86"/>
      <c r="D7015" s="26"/>
      <c r="F7015" s="87" t="str">
        <f t="shared" si="0"/>
        <v/>
      </c>
      <c r="H7015" s="26" t="str">
        <f t="shared" si="1"/>
        <v/>
      </c>
      <c r="I7015" s="26" t="str">
        <f t="shared" si="2"/>
        <v/>
      </c>
      <c r="J7015" s="86">
        <f t="shared" si="3"/>
        <v>0</v>
      </c>
      <c r="R7015" s="26"/>
    </row>
    <row r="7016" spans="1:18" ht="15.75" customHeight="1">
      <c r="A7016" s="26"/>
      <c r="B7016" s="86"/>
      <c r="D7016" s="26"/>
      <c r="F7016" s="87" t="str">
        <f t="shared" si="0"/>
        <v/>
      </c>
      <c r="H7016" s="26" t="str">
        <f t="shared" si="1"/>
        <v/>
      </c>
      <c r="I7016" s="26" t="str">
        <f t="shared" si="2"/>
        <v/>
      </c>
      <c r="J7016" s="86">
        <f t="shared" si="3"/>
        <v>0</v>
      </c>
      <c r="R7016" s="26"/>
    </row>
    <row r="7017" spans="1:18" ht="15.75" customHeight="1">
      <c r="A7017" s="26"/>
      <c r="B7017" s="86"/>
      <c r="D7017" s="26"/>
      <c r="F7017" s="87" t="str">
        <f t="shared" si="0"/>
        <v/>
      </c>
      <c r="H7017" s="26" t="str">
        <f t="shared" si="1"/>
        <v/>
      </c>
      <c r="I7017" s="26" t="str">
        <f t="shared" si="2"/>
        <v/>
      </c>
      <c r="J7017" s="86">
        <f t="shared" si="3"/>
        <v>0</v>
      </c>
      <c r="R7017" s="26"/>
    </row>
    <row r="7018" spans="1:18" ht="15.75" customHeight="1">
      <c r="A7018" s="26"/>
      <c r="B7018" s="86"/>
      <c r="D7018" s="26"/>
      <c r="F7018" s="87" t="str">
        <f t="shared" si="0"/>
        <v/>
      </c>
      <c r="H7018" s="26" t="str">
        <f t="shared" si="1"/>
        <v/>
      </c>
      <c r="I7018" s="26" t="str">
        <f t="shared" si="2"/>
        <v/>
      </c>
      <c r="J7018" s="86">
        <f t="shared" si="3"/>
        <v>0</v>
      </c>
      <c r="R7018" s="26"/>
    </row>
    <row r="7019" spans="1:18" ht="15.75" customHeight="1">
      <c r="A7019" s="26"/>
      <c r="B7019" s="86"/>
      <c r="D7019" s="26"/>
      <c r="F7019" s="87" t="str">
        <f t="shared" si="0"/>
        <v/>
      </c>
      <c r="H7019" s="26" t="str">
        <f t="shared" si="1"/>
        <v/>
      </c>
      <c r="I7019" s="26" t="str">
        <f t="shared" si="2"/>
        <v/>
      </c>
      <c r="J7019" s="86">
        <f t="shared" si="3"/>
        <v>0</v>
      </c>
      <c r="R7019" s="26"/>
    </row>
    <row r="7020" spans="1:18" ht="15.75" customHeight="1">
      <c r="A7020" s="26"/>
      <c r="B7020" s="86"/>
      <c r="D7020" s="26"/>
      <c r="F7020" s="87" t="str">
        <f t="shared" si="0"/>
        <v/>
      </c>
      <c r="H7020" s="26" t="str">
        <f t="shared" si="1"/>
        <v/>
      </c>
      <c r="I7020" s="26" t="str">
        <f t="shared" si="2"/>
        <v/>
      </c>
      <c r="J7020" s="86">
        <f t="shared" si="3"/>
        <v>0</v>
      </c>
      <c r="R7020" s="26"/>
    </row>
    <row r="7021" spans="1:18" ht="15.75" customHeight="1">
      <c r="A7021" s="26"/>
      <c r="B7021" s="86"/>
      <c r="D7021" s="26"/>
      <c r="F7021" s="87" t="str">
        <f t="shared" si="0"/>
        <v/>
      </c>
      <c r="H7021" s="26" t="str">
        <f t="shared" si="1"/>
        <v/>
      </c>
      <c r="I7021" s="26" t="str">
        <f t="shared" si="2"/>
        <v/>
      </c>
      <c r="J7021" s="86">
        <f t="shared" si="3"/>
        <v>0</v>
      </c>
      <c r="R7021" s="26"/>
    </row>
    <row r="7022" spans="1:18" ht="15.75" customHeight="1">
      <c r="A7022" s="26"/>
      <c r="B7022" s="86"/>
      <c r="D7022" s="26"/>
      <c r="F7022" s="87" t="str">
        <f t="shared" si="0"/>
        <v/>
      </c>
      <c r="H7022" s="26" t="str">
        <f t="shared" si="1"/>
        <v/>
      </c>
      <c r="I7022" s="26" t="str">
        <f t="shared" si="2"/>
        <v/>
      </c>
      <c r="J7022" s="86">
        <f t="shared" si="3"/>
        <v>0</v>
      </c>
      <c r="R7022" s="26"/>
    </row>
    <row r="7023" spans="1:18" ht="15.75" customHeight="1">
      <c r="A7023" s="26"/>
      <c r="B7023" s="86"/>
      <c r="D7023" s="26"/>
      <c r="F7023" s="87" t="str">
        <f t="shared" si="0"/>
        <v/>
      </c>
      <c r="H7023" s="26" t="str">
        <f t="shared" si="1"/>
        <v/>
      </c>
      <c r="I7023" s="26" t="str">
        <f t="shared" si="2"/>
        <v/>
      </c>
      <c r="J7023" s="86">
        <f t="shared" si="3"/>
        <v>0</v>
      </c>
      <c r="R7023" s="26"/>
    </row>
    <row r="7024" spans="1:18" ht="15.75" customHeight="1">
      <c r="A7024" s="26"/>
      <c r="B7024" s="86"/>
      <c r="D7024" s="26"/>
      <c r="F7024" s="87" t="str">
        <f t="shared" si="0"/>
        <v/>
      </c>
      <c r="H7024" s="26" t="str">
        <f t="shared" si="1"/>
        <v/>
      </c>
      <c r="I7024" s="26" t="str">
        <f t="shared" si="2"/>
        <v/>
      </c>
      <c r="J7024" s="86">
        <f t="shared" si="3"/>
        <v>0</v>
      </c>
      <c r="R7024" s="26"/>
    </row>
    <row r="7025" spans="1:18" ht="15.75" customHeight="1">
      <c r="A7025" s="26"/>
      <c r="B7025" s="86"/>
      <c r="D7025" s="26"/>
      <c r="F7025" s="87" t="str">
        <f t="shared" si="0"/>
        <v/>
      </c>
      <c r="H7025" s="26" t="str">
        <f t="shared" si="1"/>
        <v/>
      </c>
      <c r="I7025" s="26" t="str">
        <f t="shared" si="2"/>
        <v/>
      </c>
      <c r="J7025" s="86">
        <f t="shared" si="3"/>
        <v>0</v>
      </c>
      <c r="R7025" s="26"/>
    </row>
    <row r="7026" spans="1:18" ht="15.75" customHeight="1">
      <c r="A7026" s="26"/>
      <c r="B7026" s="86"/>
      <c r="D7026" s="26"/>
      <c r="F7026" s="87" t="str">
        <f t="shared" si="0"/>
        <v/>
      </c>
      <c r="H7026" s="26" t="str">
        <f t="shared" si="1"/>
        <v/>
      </c>
      <c r="I7026" s="26" t="str">
        <f t="shared" si="2"/>
        <v/>
      </c>
      <c r="J7026" s="86">
        <f t="shared" si="3"/>
        <v>0</v>
      </c>
      <c r="R7026" s="26"/>
    </row>
    <row r="7027" spans="1:18" ht="15.75" customHeight="1">
      <c r="A7027" s="26"/>
      <c r="B7027" s="86"/>
      <c r="D7027" s="26"/>
      <c r="F7027" s="87" t="str">
        <f t="shared" si="0"/>
        <v/>
      </c>
      <c r="H7027" s="26" t="str">
        <f t="shared" si="1"/>
        <v/>
      </c>
      <c r="I7027" s="26" t="str">
        <f t="shared" si="2"/>
        <v/>
      </c>
      <c r="J7027" s="86">
        <f t="shared" si="3"/>
        <v>0</v>
      </c>
      <c r="R7027" s="26"/>
    </row>
    <row r="7028" spans="1:18" ht="15.75" customHeight="1">
      <c r="A7028" s="26"/>
      <c r="B7028" s="86"/>
      <c r="D7028" s="26"/>
      <c r="F7028" s="87" t="str">
        <f t="shared" si="0"/>
        <v/>
      </c>
      <c r="H7028" s="26" t="str">
        <f t="shared" si="1"/>
        <v/>
      </c>
      <c r="I7028" s="26" t="str">
        <f t="shared" si="2"/>
        <v/>
      </c>
      <c r="J7028" s="86">
        <f t="shared" si="3"/>
        <v>0</v>
      </c>
      <c r="R7028" s="26"/>
    </row>
    <row r="7029" spans="1:18" ht="15.75" customHeight="1">
      <c r="A7029" s="26"/>
      <c r="B7029" s="86"/>
      <c r="D7029" s="26"/>
      <c r="F7029" s="87" t="str">
        <f t="shared" si="0"/>
        <v/>
      </c>
      <c r="H7029" s="26" t="str">
        <f t="shared" si="1"/>
        <v/>
      </c>
      <c r="I7029" s="26" t="str">
        <f t="shared" si="2"/>
        <v/>
      </c>
      <c r="J7029" s="86">
        <f t="shared" si="3"/>
        <v>0</v>
      </c>
      <c r="R7029" s="26"/>
    </row>
    <row r="7030" spans="1:18" ht="15.75" customHeight="1">
      <c r="A7030" s="26"/>
      <c r="B7030" s="86"/>
      <c r="D7030" s="26"/>
      <c r="F7030" s="87" t="str">
        <f t="shared" si="0"/>
        <v/>
      </c>
      <c r="H7030" s="26" t="str">
        <f t="shared" si="1"/>
        <v/>
      </c>
      <c r="I7030" s="26" t="str">
        <f t="shared" si="2"/>
        <v/>
      </c>
      <c r="J7030" s="86">
        <f t="shared" si="3"/>
        <v>0</v>
      </c>
      <c r="R7030" s="26"/>
    </row>
    <row r="7031" spans="1:18" ht="15.75" customHeight="1">
      <c r="A7031" s="26"/>
      <c r="B7031" s="86"/>
      <c r="D7031" s="26"/>
      <c r="F7031" s="87" t="str">
        <f t="shared" si="0"/>
        <v/>
      </c>
      <c r="H7031" s="26" t="str">
        <f t="shared" si="1"/>
        <v/>
      </c>
      <c r="I7031" s="26" t="str">
        <f t="shared" si="2"/>
        <v/>
      </c>
      <c r="J7031" s="86">
        <f t="shared" si="3"/>
        <v>0</v>
      </c>
      <c r="R7031" s="26"/>
    </row>
    <row r="7032" spans="1:18" ht="15.75" customHeight="1">
      <c r="A7032" s="26"/>
      <c r="B7032" s="86"/>
      <c r="D7032" s="26"/>
      <c r="F7032" s="87" t="str">
        <f t="shared" si="0"/>
        <v/>
      </c>
      <c r="H7032" s="26" t="str">
        <f t="shared" si="1"/>
        <v/>
      </c>
      <c r="I7032" s="26" t="str">
        <f t="shared" si="2"/>
        <v/>
      </c>
      <c r="J7032" s="86">
        <f t="shared" si="3"/>
        <v>0</v>
      </c>
      <c r="R7032" s="26"/>
    </row>
    <row r="7033" spans="1:18" ht="15.75" customHeight="1">
      <c r="A7033" s="26"/>
      <c r="B7033" s="86"/>
      <c r="D7033" s="26"/>
      <c r="F7033" s="87" t="str">
        <f t="shared" si="0"/>
        <v/>
      </c>
      <c r="H7033" s="26" t="str">
        <f t="shared" si="1"/>
        <v/>
      </c>
      <c r="I7033" s="26" t="str">
        <f t="shared" si="2"/>
        <v/>
      </c>
      <c r="J7033" s="86">
        <f t="shared" si="3"/>
        <v>0</v>
      </c>
      <c r="R7033" s="26"/>
    </row>
    <row r="7034" spans="1:18" ht="15.75" customHeight="1">
      <c r="A7034" s="26"/>
      <c r="B7034" s="86"/>
      <c r="D7034" s="26"/>
      <c r="F7034" s="87" t="str">
        <f t="shared" si="0"/>
        <v/>
      </c>
      <c r="H7034" s="26" t="str">
        <f t="shared" si="1"/>
        <v/>
      </c>
      <c r="I7034" s="26" t="str">
        <f t="shared" si="2"/>
        <v/>
      </c>
      <c r="J7034" s="86">
        <f t="shared" si="3"/>
        <v>0</v>
      </c>
      <c r="R7034" s="26"/>
    </row>
    <row r="7035" spans="1:18" ht="15.75" customHeight="1">
      <c r="A7035" s="26"/>
      <c r="B7035" s="86"/>
      <c r="D7035" s="26"/>
      <c r="F7035" s="87" t="str">
        <f t="shared" si="0"/>
        <v/>
      </c>
      <c r="H7035" s="26" t="str">
        <f t="shared" si="1"/>
        <v/>
      </c>
      <c r="I7035" s="26" t="str">
        <f t="shared" si="2"/>
        <v/>
      </c>
      <c r="J7035" s="86">
        <f t="shared" si="3"/>
        <v>0</v>
      </c>
      <c r="R7035" s="26"/>
    </row>
    <row r="7036" spans="1:18" ht="15.75" customHeight="1">
      <c r="A7036" s="26"/>
      <c r="B7036" s="86"/>
      <c r="D7036" s="26"/>
      <c r="F7036" s="87" t="str">
        <f t="shared" si="0"/>
        <v/>
      </c>
      <c r="H7036" s="26" t="str">
        <f t="shared" si="1"/>
        <v/>
      </c>
      <c r="I7036" s="26" t="str">
        <f t="shared" si="2"/>
        <v/>
      </c>
      <c r="J7036" s="86">
        <f t="shared" si="3"/>
        <v>0</v>
      </c>
      <c r="R7036" s="26"/>
    </row>
    <row r="7037" spans="1:18" ht="15.75" customHeight="1">
      <c r="A7037" s="26"/>
      <c r="B7037" s="86"/>
      <c r="D7037" s="26"/>
      <c r="F7037" s="87" t="str">
        <f t="shared" si="0"/>
        <v/>
      </c>
      <c r="H7037" s="26" t="str">
        <f t="shared" si="1"/>
        <v/>
      </c>
      <c r="I7037" s="26" t="str">
        <f t="shared" si="2"/>
        <v/>
      </c>
      <c r="J7037" s="86">
        <f t="shared" si="3"/>
        <v>0</v>
      </c>
      <c r="R7037" s="26"/>
    </row>
    <row r="7038" spans="1:18" ht="15.75" customHeight="1">
      <c r="A7038" s="26"/>
      <c r="B7038" s="86"/>
      <c r="D7038" s="26"/>
      <c r="F7038" s="87" t="str">
        <f t="shared" si="0"/>
        <v/>
      </c>
      <c r="H7038" s="26" t="str">
        <f t="shared" si="1"/>
        <v/>
      </c>
      <c r="I7038" s="26" t="str">
        <f t="shared" si="2"/>
        <v/>
      </c>
      <c r="J7038" s="86">
        <f t="shared" si="3"/>
        <v>0</v>
      </c>
      <c r="R7038" s="26"/>
    </row>
    <row r="7039" spans="1:18" ht="15.75" customHeight="1">
      <c r="A7039" s="26"/>
      <c r="B7039" s="86"/>
      <c r="D7039" s="26"/>
      <c r="F7039" s="87" t="str">
        <f t="shared" si="0"/>
        <v/>
      </c>
      <c r="H7039" s="26" t="str">
        <f t="shared" si="1"/>
        <v/>
      </c>
      <c r="I7039" s="26" t="str">
        <f t="shared" si="2"/>
        <v/>
      </c>
      <c r="J7039" s="86">
        <f t="shared" si="3"/>
        <v>0</v>
      </c>
      <c r="R7039" s="26"/>
    </row>
    <row r="7040" spans="1:18" ht="15.75" customHeight="1">
      <c r="A7040" s="26"/>
      <c r="B7040" s="86"/>
      <c r="D7040" s="26"/>
      <c r="F7040" s="87" t="str">
        <f t="shared" si="0"/>
        <v/>
      </c>
      <c r="H7040" s="26" t="str">
        <f t="shared" si="1"/>
        <v/>
      </c>
      <c r="I7040" s="26" t="str">
        <f t="shared" si="2"/>
        <v/>
      </c>
      <c r="J7040" s="86">
        <f t="shared" si="3"/>
        <v>0</v>
      </c>
      <c r="R7040" s="26"/>
    </row>
    <row r="7041" spans="1:18" ht="15.75" customHeight="1">
      <c r="A7041" s="26"/>
      <c r="B7041" s="86"/>
      <c r="D7041" s="26"/>
      <c r="F7041" s="87" t="str">
        <f t="shared" si="0"/>
        <v/>
      </c>
      <c r="H7041" s="26" t="str">
        <f t="shared" si="1"/>
        <v/>
      </c>
      <c r="I7041" s="26" t="str">
        <f t="shared" si="2"/>
        <v/>
      </c>
      <c r="J7041" s="86">
        <f t="shared" si="3"/>
        <v>0</v>
      </c>
      <c r="R7041" s="26"/>
    </row>
    <row r="7042" spans="1:18" ht="15.75" customHeight="1">
      <c r="A7042" s="26"/>
      <c r="B7042" s="86"/>
      <c r="D7042" s="26"/>
      <c r="F7042" s="87" t="str">
        <f t="shared" si="0"/>
        <v/>
      </c>
      <c r="H7042" s="26" t="str">
        <f t="shared" si="1"/>
        <v/>
      </c>
      <c r="I7042" s="26" t="str">
        <f t="shared" si="2"/>
        <v/>
      </c>
      <c r="J7042" s="86">
        <f t="shared" si="3"/>
        <v>0</v>
      </c>
      <c r="R7042" s="26"/>
    </row>
    <row r="7043" spans="1:18" ht="15.75" customHeight="1">
      <c r="A7043" s="26"/>
      <c r="B7043" s="86"/>
      <c r="D7043" s="26"/>
      <c r="F7043" s="87" t="str">
        <f t="shared" si="0"/>
        <v/>
      </c>
      <c r="H7043" s="26" t="str">
        <f t="shared" si="1"/>
        <v/>
      </c>
      <c r="I7043" s="26" t="str">
        <f t="shared" si="2"/>
        <v/>
      </c>
      <c r="J7043" s="86">
        <f t="shared" si="3"/>
        <v>0</v>
      </c>
      <c r="R7043" s="26"/>
    </row>
    <row r="7044" spans="1:18" ht="15.75" customHeight="1">
      <c r="A7044" s="26"/>
      <c r="B7044" s="86"/>
      <c r="D7044" s="26"/>
      <c r="F7044" s="87" t="str">
        <f t="shared" si="0"/>
        <v/>
      </c>
      <c r="H7044" s="26" t="str">
        <f t="shared" si="1"/>
        <v/>
      </c>
      <c r="I7044" s="26" t="str">
        <f t="shared" si="2"/>
        <v/>
      </c>
      <c r="J7044" s="86">
        <f t="shared" si="3"/>
        <v>0</v>
      </c>
      <c r="R7044" s="26"/>
    </row>
    <row r="7045" spans="1:18" ht="15.75" customHeight="1">
      <c r="A7045" s="26"/>
      <c r="B7045" s="86"/>
      <c r="D7045" s="26"/>
      <c r="F7045" s="87" t="str">
        <f t="shared" si="0"/>
        <v/>
      </c>
      <c r="H7045" s="26" t="str">
        <f t="shared" si="1"/>
        <v/>
      </c>
      <c r="I7045" s="26" t="str">
        <f t="shared" si="2"/>
        <v/>
      </c>
      <c r="J7045" s="86">
        <f t="shared" si="3"/>
        <v>0</v>
      </c>
      <c r="R7045" s="26"/>
    </row>
    <row r="7046" spans="1:18" ht="15.75" customHeight="1">
      <c r="A7046" s="26"/>
      <c r="B7046" s="86"/>
      <c r="D7046" s="26"/>
      <c r="F7046" s="87" t="str">
        <f t="shared" si="0"/>
        <v/>
      </c>
      <c r="H7046" s="26" t="str">
        <f t="shared" si="1"/>
        <v/>
      </c>
      <c r="I7046" s="26" t="str">
        <f t="shared" si="2"/>
        <v/>
      </c>
      <c r="J7046" s="86">
        <f t="shared" si="3"/>
        <v>0</v>
      </c>
      <c r="R7046" s="26"/>
    </row>
    <row r="7047" spans="1:18" ht="15.75" customHeight="1">
      <c r="A7047" s="26"/>
      <c r="B7047" s="86"/>
      <c r="D7047" s="26"/>
      <c r="F7047" s="87" t="str">
        <f t="shared" si="0"/>
        <v/>
      </c>
      <c r="H7047" s="26" t="str">
        <f t="shared" si="1"/>
        <v/>
      </c>
      <c r="I7047" s="26" t="str">
        <f t="shared" si="2"/>
        <v/>
      </c>
      <c r="J7047" s="86">
        <f t="shared" si="3"/>
        <v>0</v>
      </c>
      <c r="R7047" s="26"/>
    </row>
    <row r="7048" spans="1:18" ht="15.75" customHeight="1">
      <c r="A7048" s="26"/>
      <c r="B7048" s="86"/>
      <c r="D7048" s="26"/>
      <c r="F7048" s="87" t="str">
        <f t="shared" si="0"/>
        <v/>
      </c>
      <c r="H7048" s="26" t="str">
        <f t="shared" si="1"/>
        <v/>
      </c>
      <c r="I7048" s="26" t="str">
        <f t="shared" si="2"/>
        <v/>
      </c>
      <c r="J7048" s="86">
        <f t="shared" si="3"/>
        <v>0</v>
      </c>
      <c r="R7048" s="26"/>
    </row>
    <row r="7049" spans="1:18" ht="15.75" customHeight="1">
      <c r="A7049" s="26"/>
      <c r="B7049" s="86"/>
      <c r="D7049" s="26"/>
      <c r="F7049" s="87" t="str">
        <f t="shared" si="0"/>
        <v/>
      </c>
      <c r="H7049" s="26" t="str">
        <f t="shared" si="1"/>
        <v/>
      </c>
      <c r="I7049" s="26" t="str">
        <f t="shared" si="2"/>
        <v/>
      </c>
      <c r="J7049" s="86">
        <f t="shared" si="3"/>
        <v>0</v>
      </c>
      <c r="R7049" s="26"/>
    </row>
    <row r="7050" spans="1:18" ht="15.75" customHeight="1">
      <c r="A7050" s="26"/>
      <c r="B7050" s="86"/>
      <c r="D7050" s="26"/>
      <c r="F7050" s="87" t="str">
        <f t="shared" si="0"/>
        <v/>
      </c>
      <c r="H7050" s="26" t="str">
        <f t="shared" si="1"/>
        <v/>
      </c>
      <c r="I7050" s="26" t="str">
        <f t="shared" si="2"/>
        <v/>
      </c>
      <c r="J7050" s="86">
        <f t="shared" si="3"/>
        <v>0</v>
      </c>
      <c r="R7050" s="26"/>
    </row>
    <row r="7051" spans="1:18" ht="15.75" customHeight="1">
      <c r="A7051" s="26"/>
      <c r="B7051" s="86"/>
      <c r="D7051" s="26"/>
      <c r="F7051" s="87" t="str">
        <f t="shared" si="0"/>
        <v/>
      </c>
      <c r="H7051" s="26" t="str">
        <f t="shared" si="1"/>
        <v/>
      </c>
      <c r="I7051" s="26" t="str">
        <f t="shared" si="2"/>
        <v/>
      </c>
      <c r="J7051" s="86">
        <f t="shared" si="3"/>
        <v>0</v>
      </c>
      <c r="R7051" s="26"/>
    </row>
    <row r="7052" spans="1:18" ht="15.75" customHeight="1">
      <c r="A7052" s="26"/>
      <c r="B7052" s="86"/>
      <c r="D7052" s="26"/>
      <c r="F7052" s="87" t="str">
        <f t="shared" si="0"/>
        <v/>
      </c>
      <c r="H7052" s="26" t="str">
        <f t="shared" si="1"/>
        <v/>
      </c>
      <c r="I7052" s="26" t="str">
        <f t="shared" si="2"/>
        <v/>
      </c>
      <c r="J7052" s="86">
        <f t="shared" si="3"/>
        <v>0</v>
      </c>
      <c r="R7052" s="26"/>
    </row>
    <row r="7053" spans="1:18" ht="15.75" customHeight="1">
      <c r="A7053" s="26"/>
      <c r="B7053" s="86"/>
      <c r="D7053" s="26"/>
      <c r="F7053" s="87" t="str">
        <f t="shared" si="0"/>
        <v/>
      </c>
      <c r="H7053" s="26" t="str">
        <f t="shared" si="1"/>
        <v/>
      </c>
      <c r="I7053" s="26" t="str">
        <f t="shared" si="2"/>
        <v/>
      </c>
      <c r="J7053" s="86">
        <f t="shared" si="3"/>
        <v>0</v>
      </c>
      <c r="R7053" s="26"/>
    </row>
    <row r="7054" spans="1:18" ht="15.75" customHeight="1">
      <c r="A7054" s="26"/>
      <c r="B7054" s="86"/>
      <c r="D7054" s="26"/>
      <c r="F7054" s="87" t="str">
        <f t="shared" si="0"/>
        <v/>
      </c>
      <c r="H7054" s="26" t="str">
        <f t="shared" si="1"/>
        <v/>
      </c>
      <c r="I7054" s="26" t="str">
        <f t="shared" si="2"/>
        <v/>
      </c>
      <c r="J7054" s="86">
        <f t="shared" si="3"/>
        <v>0</v>
      </c>
      <c r="R7054" s="26"/>
    </row>
    <row r="7055" spans="1:18" ht="15.75" customHeight="1">
      <c r="A7055" s="26"/>
      <c r="B7055" s="86"/>
      <c r="D7055" s="26"/>
      <c r="F7055" s="87" t="str">
        <f t="shared" si="0"/>
        <v/>
      </c>
      <c r="H7055" s="26" t="str">
        <f t="shared" si="1"/>
        <v/>
      </c>
      <c r="I7055" s="26" t="str">
        <f t="shared" si="2"/>
        <v/>
      </c>
      <c r="J7055" s="86">
        <f t="shared" si="3"/>
        <v>0</v>
      </c>
      <c r="R7055" s="26"/>
    </row>
    <row r="7056" spans="1:18" ht="15.75" customHeight="1">
      <c r="A7056" s="26"/>
      <c r="B7056" s="86"/>
      <c r="D7056" s="26"/>
      <c r="F7056" s="87" t="str">
        <f t="shared" si="0"/>
        <v/>
      </c>
      <c r="H7056" s="26" t="str">
        <f t="shared" si="1"/>
        <v/>
      </c>
      <c r="I7056" s="26" t="str">
        <f t="shared" si="2"/>
        <v/>
      </c>
      <c r="J7056" s="86">
        <f t="shared" si="3"/>
        <v>0</v>
      </c>
      <c r="R7056" s="26"/>
    </row>
    <row r="7057" spans="1:18" ht="15.75" customHeight="1">
      <c r="A7057" s="26"/>
      <c r="B7057" s="86"/>
      <c r="D7057" s="26"/>
      <c r="F7057" s="87" t="str">
        <f t="shared" si="0"/>
        <v/>
      </c>
      <c r="H7057" s="26" t="str">
        <f t="shared" si="1"/>
        <v/>
      </c>
      <c r="I7057" s="26" t="str">
        <f t="shared" si="2"/>
        <v/>
      </c>
      <c r="J7057" s="86">
        <f t="shared" si="3"/>
        <v>0</v>
      </c>
      <c r="R7057" s="26"/>
    </row>
    <row r="7058" spans="1:18" ht="15.75" customHeight="1">
      <c r="A7058" s="26"/>
      <c r="B7058" s="86"/>
      <c r="D7058" s="26"/>
      <c r="F7058" s="87" t="str">
        <f t="shared" si="0"/>
        <v/>
      </c>
      <c r="H7058" s="26" t="str">
        <f t="shared" si="1"/>
        <v/>
      </c>
      <c r="I7058" s="26" t="str">
        <f t="shared" si="2"/>
        <v/>
      </c>
      <c r="J7058" s="86">
        <f t="shared" si="3"/>
        <v>0</v>
      </c>
      <c r="R7058" s="26"/>
    </row>
    <row r="7059" spans="1:18" ht="15.75" customHeight="1">
      <c r="A7059" s="26"/>
      <c r="B7059" s="86"/>
      <c r="D7059" s="26"/>
      <c r="F7059" s="87" t="str">
        <f t="shared" si="0"/>
        <v/>
      </c>
      <c r="H7059" s="26" t="str">
        <f t="shared" si="1"/>
        <v/>
      </c>
      <c r="I7059" s="26" t="str">
        <f t="shared" si="2"/>
        <v/>
      </c>
      <c r="J7059" s="86">
        <f t="shared" si="3"/>
        <v>0</v>
      </c>
      <c r="R7059" s="26"/>
    </row>
    <row r="7060" spans="1:18" ht="15.75" customHeight="1">
      <c r="A7060" s="26"/>
      <c r="B7060" s="86"/>
      <c r="D7060" s="26"/>
      <c r="F7060" s="87" t="str">
        <f t="shared" si="0"/>
        <v/>
      </c>
      <c r="H7060" s="26" t="str">
        <f t="shared" si="1"/>
        <v/>
      </c>
      <c r="I7060" s="26" t="str">
        <f t="shared" si="2"/>
        <v/>
      </c>
      <c r="J7060" s="86">
        <f t="shared" si="3"/>
        <v>0</v>
      </c>
      <c r="R7060" s="26"/>
    </row>
    <row r="7061" spans="1:18" ht="15.75" customHeight="1">
      <c r="A7061" s="26"/>
      <c r="B7061" s="86"/>
      <c r="D7061" s="26"/>
      <c r="F7061" s="87" t="str">
        <f t="shared" si="0"/>
        <v/>
      </c>
      <c r="H7061" s="26" t="str">
        <f t="shared" si="1"/>
        <v/>
      </c>
      <c r="I7061" s="26" t="str">
        <f t="shared" si="2"/>
        <v/>
      </c>
      <c r="J7061" s="86">
        <f t="shared" si="3"/>
        <v>0</v>
      </c>
      <c r="R7061" s="26"/>
    </row>
    <row r="7062" spans="1:18" ht="15.75" customHeight="1">
      <c r="A7062" s="26"/>
      <c r="B7062" s="86"/>
      <c r="D7062" s="26"/>
      <c r="F7062" s="87" t="str">
        <f t="shared" si="0"/>
        <v/>
      </c>
      <c r="H7062" s="26" t="str">
        <f t="shared" si="1"/>
        <v/>
      </c>
      <c r="I7062" s="26" t="str">
        <f t="shared" si="2"/>
        <v/>
      </c>
      <c r="J7062" s="86">
        <f t="shared" si="3"/>
        <v>0</v>
      </c>
      <c r="R7062" s="26"/>
    </row>
    <row r="7063" spans="1:18" ht="15.75" customHeight="1">
      <c r="A7063" s="26"/>
      <c r="B7063" s="86"/>
      <c r="D7063" s="26"/>
      <c r="F7063" s="87" t="str">
        <f t="shared" si="0"/>
        <v/>
      </c>
      <c r="H7063" s="26" t="str">
        <f t="shared" si="1"/>
        <v/>
      </c>
      <c r="I7063" s="26" t="str">
        <f t="shared" si="2"/>
        <v/>
      </c>
      <c r="J7063" s="86">
        <f t="shared" si="3"/>
        <v>0</v>
      </c>
      <c r="R7063" s="26"/>
    </row>
    <row r="7064" spans="1:18" ht="15.75" customHeight="1">
      <c r="A7064" s="26"/>
      <c r="B7064" s="86"/>
      <c r="D7064" s="26"/>
      <c r="F7064" s="87" t="str">
        <f t="shared" si="0"/>
        <v/>
      </c>
      <c r="H7064" s="26" t="str">
        <f t="shared" si="1"/>
        <v/>
      </c>
      <c r="I7064" s="26" t="str">
        <f t="shared" si="2"/>
        <v/>
      </c>
      <c r="J7064" s="86">
        <f t="shared" si="3"/>
        <v>0</v>
      </c>
      <c r="R7064" s="26"/>
    </row>
    <row r="7065" spans="1:18" ht="15.75" customHeight="1">
      <c r="A7065" s="26"/>
      <c r="B7065" s="86"/>
      <c r="D7065" s="26"/>
      <c r="F7065" s="87" t="str">
        <f t="shared" si="0"/>
        <v/>
      </c>
      <c r="H7065" s="26" t="str">
        <f t="shared" si="1"/>
        <v/>
      </c>
      <c r="I7065" s="26" t="str">
        <f t="shared" si="2"/>
        <v/>
      </c>
      <c r="J7065" s="86">
        <f t="shared" si="3"/>
        <v>0</v>
      </c>
      <c r="R7065" s="26"/>
    </row>
    <row r="7066" spans="1:18" ht="15.75" customHeight="1">
      <c r="A7066" s="26"/>
      <c r="B7066" s="86"/>
      <c r="D7066" s="26"/>
      <c r="F7066" s="87" t="str">
        <f t="shared" si="0"/>
        <v/>
      </c>
      <c r="H7066" s="26" t="str">
        <f t="shared" si="1"/>
        <v/>
      </c>
      <c r="I7066" s="26" t="str">
        <f t="shared" si="2"/>
        <v/>
      </c>
      <c r="J7066" s="86">
        <f t="shared" si="3"/>
        <v>0</v>
      </c>
      <c r="R7066" s="26"/>
    </row>
    <row r="7067" spans="1:18" ht="15.75" customHeight="1">
      <c r="A7067" s="26"/>
      <c r="B7067" s="86"/>
      <c r="D7067" s="26"/>
      <c r="F7067" s="87" t="str">
        <f t="shared" si="0"/>
        <v/>
      </c>
      <c r="H7067" s="26" t="str">
        <f t="shared" si="1"/>
        <v/>
      </c>
      <c r="I7067" s="26" t="str">
        <f t="shared" si="2"/>
        <v/>
      </c>
      <c r="J7067" s="86">
        <f t="shared" si="3"/>
        <v>0</v>
      </c>
      <c r="R7067" s="26"/>
    </row>
    <row r="7068" spans="1:18" ht="15.75" customHeight="1">
      <c r="A7068" s="26"/>
      <c r="B7068" s="86"/>
      <c r="D7068" s="26"/>
      <c r="F7068" s="87" t="str">
        <f t="shared" si="0"/>
        <v/>
      </c>
      <c r="H7068" s="26" t="str">
        <f t="shared" si="1"/>
        <v/>
      </c>
      <c r="I7068" s="26" t="str">
        <f t="shared" si="2"/>
        <v/>
      </c>
      <c r="J7068" s="86">
        <f t="shared" si="3"/>
        <v>0</v>
      </c>
      <c r="R7068" s="26"/>
    </row>
    <row r="7069" spans="1:18" ht="15.75" customHeight="1">
      <c r="A7069" s="26"/>
      <c r="B7069" s="86"/>
      <c r="D7069" s="26"/>
      <c r="F7069" s="87" t="str">
        <f t="shared" si="0"/>
        <v/>
      </c>
      <c r="H7069" s="26" t="str">
        <f t="shared" si="1"/>
        <v/>
      </c>
      <c r="I7069" s="26" t="str">
        <f t="shared" si="2"/>
        <v/>
      </c>
      <c r="J7069" s="86">
        <f t="shared" si="3"/>
        <v>0</v>
      </c>
      <c r="R7069" s="26"/>
    </row>
    <row r="7070" spans="1:18" ht="15.75" customHeight="1">
      <c r="A7070" s="26"/>
      <c r="B7070" s="86"/>
      <c r="D7070" s="26"/>
      <c r="F7070" s="87" t="str">
        <f t="shared" si="0"/>
        <v/>
      </c>
      <c r="H7070" s="26" t="str">
        <f t="shared" si="1"/>
        <v/>
      </c>
      <c r="I7070" s="26" t="str">
        <f t="shared" si="2"/>
        <v/>
      </c>
      <c r="J7070" s="86">
        <f t="shared" si="3"/>
        <v>0</v>
      </c>
      <c r="R7070" s="26"/>
    </row>
    <row r="7071" spans="1:18" ht="15.75" customHeight="1">
      <c r="A7071" s="26"/>
      <c r="B7071" s="86"/>
      <c r="D7071" s="26"/>
      <c r="F7071" s="87" t="str">
        <f t="shared" si="0"/>
        <v/>
      </c>
      <c r="H7071" s="26" t="str">
        <f t="shared" si="1"/>
        <v/>
      </c>
      <c r="I7071" s="26" t="str">
        <f t="shared" si="2"/>
        <v/>
      </c>
      <c r="J7071" s="86">
        <f t="shared" si="3"/>
        <v>0</v>
      </c>
      <c r="R7071" s="26"/>
    </row>
    <row r="7072" spans="1:18" ht="15.75" customHeight="1">
      <c r="A7072" s="26"/>
      <c r="B7072" s="86"/>
      <c r="D7072" s="26"/>
      <c r="F7072" s="87" t="str">
        <f t="shared" si="0"/>
        <v/>
      </c>
      <c r="H7072" s="26" t="str">
        <f t="shared" si="1"/>
        <v/>
      </c>
      <c r="I7072" s="26" t="str">
        <f t="shared" si="2"/>
        <v/>
      </c>
      <c r="J7072" s="86">
        <f t="shared" si="3"/>
        <v>0</v>
      </c>
      <c r="R7072" s="26"/>
    </row>
    <row r="7073" spans="1:18" ht="15.75" customHeight="1">
      <c r="A7073" s="26"/>
      <c r="B7073" s="86"/>
      <c r="D7073" s="26"/>
      <c r="F7073" s="87" t="str">
        <f t="shared" si="0"/>
        <v/>
      </c>
      <c r="H7073" s="26" t="str">
        <f t="shared" si="1"/>
        <v/>
      </c>
      <c r="I7073" s="26" t="str">
        <f t="shared" si="2"/>
        <v/>
      </c>
      <c r="J7073" s="86">
        <f t="shared" si="3"/>
        <v>0</v>
      </c>
      <c r="R7073" s="26"/>
    </row>
    <row r="7074" spans="1:18" ht="15.75" customHeight="1">
      <c r="A7074" s="26"/>
      <c r="B7074" s="86"/>
      <c r="D7074" s="26"/>
      <c r="F7074" s="87" t="str">
        <f t="shared" si="0"/>
        <v/>
      </c>
      <c r="H7074" s="26" t="str">
        <f t="shared" si="1"/>
        <v/>
      </c>
      <c r="I7074" s="26" t="str">
        <f t="shared" si="2"/>
        <v/>
      </c>
      <c r="J7074" s="86">
        <f t="shared" si="3"/>
        <v>0</v>
      </c>
      <c r="R7074" s="26"/>
    </row>
    <row r="7075" spans="1:18" ht="15.75" customHeight="1">
      <c r="A7075" s="26"/>
      <c r="B7075" s="86"/>
      <c r="D7075" s="26"/>
      <c r="F7075" s="87" t="str">
        <f t="shared" si="0"/>
        <v/>
      </c>
      <c r="H7075" s="26" t="str">
        <f t="shared" si="1"/>
        <v/>
      </c>
      <c r="I7075" s="26" t="str">
        <f t="shared" si="2"/>
        <v/>
      </c>
      <c r="J7075" s="86">
        <f t="shared" si="3"/>
        <v>0</v>
      </c>
      <c r="R7075" s="26"/>
    </row>
    <row r="7076" spans="1:18" ht="15.75" customHeight="1">
      <c r="A7076" s="26"/>
      <c r="B7076" s="86"/>
      <c r="D7076" s="26"/>
      <c r="F7076" s="87" t="str">
        <f t="shared" si="0"/>
        <v/>
      </c>
      <c r="H7076" s="26" t="str">
        <f t="shared" si="1"/>
        <v/>
      </c>
      <c r="I7076" s="26" t="str">
        <f t="shared" si="2"/>
        <v/>
      </c>
      <c r="J7076" s="86">
        <f t="shared" si="3"/>
        <v>0</v>
      </c>
      <c r="R7076" s="26"/>
    </row>
    <row r="7077" spans="1:18" ht="15.75" customHeight="1">
      <c r="A7077" s="26"/>
      <c r="B7077" s="86"/>
      <c r="D7077" s="26"/>
      <c r="F7077" s="87" t="str">
        <f t="shared" si="0"/>
        <v/>
      </c>
      <c r="H7077" s="26" t="str">
        <f t="shared" si="1"/>
        <v/>
      </c>
      <c r="I7077" s="26" t="str">
        <f t="shared" si="2"/>
        <v/>
      </c>
      <c r="J7077" s="86">
        <f t="shared" si="3"/>
        <v>0</v>
      </c>
      <c r="R7077" s="26"/>
    </row>
    <row r="7078" spans="1:18" ht="15.75" customHeight="1">
      <c r="A7078" s="26"/>
      <c r="B7078" s="86"/>
      <c r="D7078" s="26"/>
      <c r="F7078" s="87" t="str">
        <f t="shared" si="0"/>
        <v/>
      </c>
      <c r="H7078" s="26" t="str">
        <f t="shared" si="1"/>
        <v/>
      </c>
      <c r="I7078" s="26" t="str">
        <f t="shared" si="2"/>
        <v/>
      </c>
      <c r="J7078" s="86">
        <f t="shared" si="3"/>
        <v>0</v>
      </c>
      <c r="R7078" s="26"/>
    </row>
    <row r="7079" spans="1:18" ht="15.75" customHeight="1">
      <c r="A7079" s="26"/>
      <c r="B7079" s="86"/>
      <c r="D7079" s="26"/>
      <c r="F7079" s="87" t="str">
        <f t="shared" si="0"/>
        <v/>
      </c>
      <c r="H7079" s="26" t="str">
        <f t="shared" si="1"/>
        <v/>
      </c>
      <c r="I7079" s="26" t="str">
        <f t="shared" si="2"/>
        <v/>
      </c>
      <c r="J7079" s="86">
        <f t="shared" si="3"/>
        <v>0</v>
      </c>
      <c r="R7079" s="26"/>
    </row>
    <row r="7080" spans="1:18" ht="15.75" customHeight="1">
      <c r="A7080" s="26"/>
      <c r="B7080" s="86"/>
      <c r="D7080" s="26"/>
      <c r="F7080" s="87" t="str">
        <f t="shared" si="0"/>
        <v/>
      </c>
      <c r="H7080" s="26" t="str">
        <f t="shared" si="1"/>
        <v/>
      </c>
      <c r="I7080" s="26" t="str">
        <f t="shared" si="2"/>
        <v/>
      </c>
      <c r="J7080" s="86">
        <f t="shared" si="3"/>
        <v>0</v>
      </c>
      <c r="R7080" s="26"/>
    </row>
    <row r="7081" spans="1:18" ht="15.75" customHeight="1">
      <c r="A7081" s="26"/>
      <c r="B7081" s="86"/>
      <c r="D7081" s="26"/>
      <c r="F7081" s="87" t="str">
        <f t="shared" si="0"/>
        <v/>
      </c>
      <c r="H7081" s="26" t="str">
        <f t="shared" si="1"/>
        <v/>
      </c>
      <c r="I7081" s="26" t="str">
        <f t="shared" si="2"/>
        <v/>
      </c>
      <c r="J7081" s="86">
        <f t="shared" si="3"/>
        <v>0</v>
      </c>
      <c r="R7081" s="26"/>
    </row>
    <row r="7082" spans="1:18" ht="15.75" customHeight="1">
      <c r="A7082" s="26"/>
      <c r="B7082" s="86"/>
      <c r="D7082" s="26"/>
      <c r="F7082" s="87" t="str">
        <f t="shared" si="0"/>
        <v/>
      </c>
      <c r="H7082" s="26" t="str">
        <f t="shared" si="1"/>
        <v/>
      </c>
      <c r="I7082" s="26" t="str">
        <f t="shared" si="2"/>
        <v/>
      </c>
      <c r="J7082" s="86">
        <f t="shared" si="3"/>
        <v>0</v>
      </c>
      <c r="R7082" s="26"/>
    </row>
    <row r="7083" spans="1:18" ht="15.75" customHeight="1">
      <c r="A7083" s="26"/>
      <c r="B7083" s="86"/>
      <c r="D7083" s="26"/>
      <c r="F7083" s="87" t="str">
        <f t="shared" si="0"/>
        <v/>
      </c>
      <c r="H7083" s="26" t="str">
        <f t="shared" si="1"/>
        <v/>
      </c>
      <c r="I7083" s="26" t="str">
        <f t="shared" si="2"/>
        <v/>
      </c>
      <c r="J7083" s="86">
        <f t="shared" si="3"/>
        <v>0</v>
      </c>
      <c r="R7083" s="26"/>
    </row>
    <row r="7084" spans="1:18" ht="15.75" customHeight="1">
      <c r="A7084" s="26"/>
      <c r="B7084" s="86"/>
      <c r="D7084" s="26"/>
      <c r="F7084" s="87" t="str">
        <f t="shared" si="0"/>
        <v/>
      </c>
      <c r="H7084" s="26" t="str">
        <f t="shared" si="1"/>
        <v/>
      </c>
      <c r="I7084" s="26" t="str">
        <f t="shared" si="2"/>
        <v/>
      </c>
      <c r="J7084" s="86">
        <f t="shared" si="3"/>
        <v>0</v>
      </c>
      <c r="R7084" s="26"/>
    </row>
    <row r="7085" spans="1:18" ht="15.75" customHeight="1">
      <c r="A7085" s="26"/>
      <c r="B7085" s="86"/>
      <c r="D7085" s="26"/>
      <c r="F7085" s="87" t="str">
        <f t="shared" si="0"/>
        <v/>
      </c>
      <c r="H7085" s="26" t="str">
        <f t="shared" si="1"/>
        <v/>
      </c>
      <c r="I7085" s="26" t="str">
        <f t="shared" si="2"/>
        <v/>
      </c>
      <c r="J7085" s="86">
        <f t="shared" si="3"/>
        <v>0</v>
      </c>
      <c r="R7085" s="26"/>
    </row>
    <row r="7086" spans="1:18" ht="15.75" customHeight="1">
      <c r="A7086" s="26"/>
      <c r="B7086" s="86"/>
      <c r="D7086" s="26"/>
      <c r="F7086" s="87" t="str">
        <f t="shared" si="0"/>
        <v/>
      </c>
      <c r="H7086" s="26" t="str">
        <f t="shared" si="1"/>
        <v/>
      </c>
      <c r="I7086" s="26" t="str">
        <f t="shared" si="2"/>
        <v/>
      </c>
      <c r="J7086" s="86">
        <f t="shared" si="3"/>
        <v>0</v>
      </c>
      <c r="R7086" s="26"/>
    </row>
    <row r="7087" spans="1:18" ht="15.75" customHeight="1">
      <c r="A7087" s="26"/>
      <c r="B7087" s="86"/>
      <c r="D7087" s="26"/>
      <c r="F7087" s="87" t="str">
        <f t="shared" si="0"/>
        <v/>
      </c>
      <c r="H7087" s="26" t="str">
        <f t="shared" si="1"/>
        <v/>
      </c>
      <c r="I7087" s="26" t="str">
        <f t="shared" si="2"/>
        <v/>
      </c>
      <c r="J7087" s="86">
        <f t="shared" si="3"/>
        <v>0</v>
      </c>
      <c r="R7087" s="26"/>
    </row>
    <row r="7088" spans="1:18" ht="15.75" customHeight="1">
      <c r="A7088" s="26"/>
      <c r="B7088" s="86"/>
      <c r="D7088" s="26"/>
      <c r="F7088" s="87" t="str">
        <f t="shared" si="0"/>
        <v/>
      </c>
      <c r="H7088" s="26" t="str">
        <f t="shared" si="1"/>
        <v/>
      </c>
      <c r="I7088" s="26" t="str">
        <f t="shared" si="2"/>
        <v/>
      </c>
      <c r="J7088" s="86">
        <f t="shared" si="3"/>
        <v>0</v>
      </c>
      <c r="R7088" s="26"/>
    </row>
    <row r="7089" spans="1:18" ht="15.75" customHeight="1">
      <c r="A7089" s="26"/>
      <c r="B7089" s="86"/>
      <c r="D7089" s="26"/>
      <c r="F7089" s="87" t="str">
        <f t="shared" si="0"/>
        <v/>
      </c>
      <c r="H7089" s="26" t="str">
        <f t="shared" si="1"/>
        <v/>
      </c>
      <c r="I7089" s="26" t="str">
        <f t="shared" si="2"/>
        <v/>
      </c>
      <c r="J7089" s="86">
        <f t="shared" si="3"/>
        <v>0</v>
      </c>
      <c r="R7089" s="26"/>
    </row>
    <row r="7090" spans="1:18" ht="15.75" customHeight="1">
      <c r="A7090" s="26"/>
      <c r="B7090" s="86"/>
      <c r="D7090" s="26"/>
      <c r="F7090" s="87" t="str">
        <f t="shared" si="0"/>
        <v/>
      </c>
      <c r="H7090" s="26" t="str">
        <f t="shared" si="1"/>
        <v/>
      </c>
      <c r="I7090" s="26" t="str">
        <f t="shared" si="2"/>
        <v/>
      </c>
      <c r="J7090" s="86">
        <f t="shared" si="3"/>
        <v>0</v>
      </c>
      <c r="R7090" s="26"/>
    </row>
    <row r="7091" spans="1:18" ht="15.75" customHeight="1">
      <c r="A7091" s="26"/>
      <c r="B7091" s="86"/>
      <c r="D7091" s="26"/>
      <c r="F7091" s="87" t="str">
        <f t="shared" si="0"/>
        <v/>
      </c>
      <c r="H7091" s="26" t="str">
        <f t="shared" si="1"/>
        <v/>
      </c>
      <c r="I7091" s="26" t="str">
        <f t="shared" si="2"/>
        <v/>
      </c>
      <c r="J7091" s="86">
        <f t="shared" si="3"/>
        <v>0</v>
      </c>
      <c r="R7091" s="26"/>
    </row>
    <row r="7092" spans="1:18" ht="15.75" customHeight="1">
      <c r="A7092" s="26"/>
      <c r="B7092" s="86"/>
      <c r="D7092" s="26"/>
      <c r="F7092" s="87" t="str">
        <f t="shared" si="0"/>
        <v/>
      </c>
      <c r="H7092" s="26" t="str">
        <f t="shared" si="1"/>
        <v/>
      </c>
      <c r="I7092" s="26" t="str">
        <f t="shared" si="2"/>
        <v/>
      </c>
      <c r="J7092" s="86">
        <f t="shared" si="3"/>
        <v>0</v>
      </c>
      <c r="R7092" s="26"/>
    </row>
    <row r="7093" spans="1:18" ht="15.75" customHeight="1">
      <c r="A7093" s="26"/>
      <c r="B7093" s="86"/>
      <c r="D7093" s="26"/>
      <c r="F7093" s="87" t="str">
        <f t="shared" si="0"/>
        <v/>
      </c>
      <c r="H7093" s="26" t="str">
        <f t="shared" si="1"/>
        <v/>
      </c>
      <c r="I7093" s="26" t="str">
        <f t="shared" si="2"/>
        <v/>
      </c>
      <c r="J7093" s="86">
        <f t="shared" si="3"/>
        <v>0</v>
      </c>
      <c r="R7093" s="26"/>
    </row>
    <row r="7094" spans="1:18" ht="15.75" customHeight="1">
      <c r="A7094" s="26"/>
      <c r="B7094" s="86"/>
      <c r="D7094" s="26"/>
      <c r="F7094" s="87" t="str">
        <f t="shared" si="0"/>
        <v/>
      </c>
      <c r="H7094" s="26" t="str">
        <f t="shared" si="1"/>
        <v/>
      </c>
      <c r="I7094" s="26" t="str">
        <f t="shared" si="2"/>
        <v/>
      </c>
      <c r="J7094" s="86">
        <f t="shared" si="3"/>
        <v>0</v>
      </c>
      <c r="R7094" s="26"/>
    </row>
    <row r="7095" spans="1:18" ht="15.75" customHeight="1">
      <c r="A7095" s="26"/>
      <c r="B7095" s="86"/>
      <c r="D7095" s="26"/>
      <c r="F7095" s="87" t="str">
        <f t="shared" si="0"/>
        <v/>
      </c>
      <c r="H7095" s="26" t="str">
        <f t="shared" si="1"/>
        <v/>
      </c>
      <c r="I7095" s="26" t="str">
        <f t="shared" si="2"/>
        <v/>
      </c>
      <c r="J7095" s="86">
        <f t="shared" si="3"/>
        <v>0</v>
      </c>
      <c r="R7095" s="26"/>
    </row>
    <row r="7096" spans="1:18" ht="15.75" customHeight="1">
      <c r="A7096" s="26"/>
      <c r="B7096" s="86"/>
      <c r="D7096" s="26"/>
      <c r="F7096" s="87" t="str">
        <f t="shared" si="0"/>
        <v/>
      </c>
      <c r="H7096" s="26" t="str">
        <f t="shared" si="1"/>
        <v/>
      </c>
      <c r="I7096" s="26" t="str">
        <f t="shared" si="2"/>
        <v/>
      </c>
      <c r="J7096" s="86">
        <f t="shared" si="3"/>
        <v>0</v>
      </c>
      <c r="R7096" s="26"/>
    </row>
    <row r="7097" spans="1:18" ht="15.75" customHeight="1">
      <c r="A7097" s="26"/>
      <c r="B7097" s="86"/>
      <c r="D7097" s="26"/>
      <c r="F7097" s="87" t="str">
        <f t="shared" si="0"/>
        <v/>
      </c>
      <c r="H7097" s="26" t="str">
        <f t="shared" si="1"/>
        <v/>
      </c>
      <c r="I7097" s="26" t="str">
        <f t="shared" si="2"/>
        <v/>
      </c>
      <c r="J7097" s="86">
        <f t="shared" si="3"/>
        <v>0</v>
      </c>
      <c r="R7097" s="26"/>
    </row>
    <row r="7098" spans="1:18" ht="15.75" customHeight="1">
      <c r="A7098" s="26"/>
      <c r="B7098" s="86"/>
      <c r="D7098" s="26"/>
      <c r="F7098" s="87" t="str">
        <f t="shared" si="0"/>
        <v/>
      </c>
      <c r="H7098" s="26" t="str">
        <f t="shared" si="1"/>
        <v/>
      </c>
      <c r="I7098" s="26" t="str">
        <f t="shared" si="2"/>
        <v/>
      </c>
      <c r="J7098" s="86">
        <f t="shared" si="3"/>
        <v>0</v>
      </c>
      <c r="R7098" s="26"/>
    </row>
    <row r="7099" spans="1:18" ht="15.75" customHeight="1">
      <c r="A7099" s="26"/>
      <c r="B7099" s="86"/>
      <c r="D7099" s="26"/>
      <c r="F7099" s="87" t="str">
        <f t="shared" si="0"/>
        <v/>
      </c>
      <c r="H7099" s="26" t="str">
        <f t="shared" si="1"/>
        <v/>
      </c>
      <c r="I7099" s="26" t="str">
        <f t="shared" si="2"/>
        <v/>
      </c>
      <c r="J7099" s="86">
        <f t="shared" si="3"/>
        <v>0</v>
      </c>
      <c r="R7099" s="26"/>
    </row>
    <row r="7100" spans="1:18" ht="15.75" customHeight="1">
      <c r="A7100" s="26"/>
      <c r="B7100" s="86"/>
      <c r="D7100" s="26"/>
      <c r="F7100" s="87" t="str">
        <f t="shared" si="0"/>
        <v/>
      </c>
      <c r="H7100" s="26" t="str">
        <f t="shared" si="1"/>
        <v/>
      </c>
      <c r="I7100" s="26" t="str">
        <f t="shared" si="2"/>
        <v/>
      </c>
      <c r="J7100" s="86">
        <f t="shared" si="3"/>
        <v>0</v>
      </c>
      <c r="R7100" s="26"/>
    </row>
    <row r="7101" spans="1:18" ht="15.75" customHeight="1">
      <c r="A7101" s="26"/>
      <c r="B7101" s="86"/>
      <c r="D7101" s="26"/>
      <c r="F7101" s="87" t="str">
        <f t="shared" si="0"/>
        <v/>
      </c>
      <c r="H7101" s="26" t="str">
        <f t="shared" si="1"/>
        <v/>
      </c>
      <c r="I7101" s="26" t="str">
        <f t="shared" si="2"/>
        <v/>
      </c>
      <c r="J7101" s="86">
        <f t="shared" si="3"/>
        <v>0</v>
      </c>
      <c r="R7101" s="26"/>
    </row>
    <row r="7102" spans="1:18" ht="15.75" customHeight="1">
      <c r="A7102" s="26"/>
      <c r="B7102" s="86"/>
      <c r="D7102" s="26"/>
      <c r="F7102" s="87" t="str">
        <f t="shared" si="0"/>
        <v/>
      </c>
      <c r="H7102" s="26" t="str">
        <f t="shared" si="1"/>
        <v/>
      </c>
      <c r="I7102" s="26" t="str">
        <f t="shared" si="2"/>
        <v/>
      </c>
      <c r="J7102" s="86">
        <f t="shared" si="3"/>
        <v>0</v>
      </c>
      <c r="R7102" s="26"/>
    </row>
    <row r="7103" spans="1:18" ht="15.75" customHeight="1">
      <c r="A7103" s="26"/>
      <c r="B7103" s="86"/>
      <c r="D7103" s="26"/>
      <c r="F7103" s="87" t="str">
        <f t="shared" si="0"/>
        <v/>
      </c>
      <c r="H7103" s="26" t="str">
        <f t="shared" si="1"/>
        <v/>
      </c>
      <c r="I7103" s="26" t="str">
        <f t="shared" si="2"/>
        <v/>
      </c>
      <c r="J7103" s="86">
        <f t="shared" si="3"/>
        <v>0</v>
      </c>
      <c r="R7103" s="26"/>
    </row>
    <row r="7104" spans="1:18" ht="15.75" customHeight="1">
      <c r="A7104" s="26"/>
      <c r="B7104" s="86"/>
      <c r="D7104" s="26"/>
      <c r="F7104" s="87" t="str">
        <f t="shared" si="0"/>
        <v/>
      </c>
      <c r="H7104" s="26" t="str">
        <f t="shared" si="1"/>
        <v/>
      </c>
      <c r="I7104" s="26" t="str">
        <f t="shared" si="2"/>
        <v/>
      </c>
      <c r="J7104" s="86">
        <f t="shared" si="3"/>
        <v>0</v>
      </c>
      <c r="R7104" s="26"/>
    </row>
    <row r="7105" spans="1:18" ht="15.75" customHeight="1">
      <c r="A7105" s="26"/>
      <c r="B7105" s="86"/>
      <c r="D7105" s="26"/>
      <c r="F7105" s="87" t="str">
        <f t="shared" si="0"/>
        <v/>
      </c>
      <c r="H7105" s="26" t="str">
        <f t="shared" si="1"/>
        <v/>
      </c>
      <c r="I7105" s="26" t="str">
        <f t="shared" si="2"/>
        <v/>
      </c>
      <c r="J7105" s="86">
        <f t="shared" si="3"/>
        <v>0</v>
      </c>
      <c r="R7105" s="26"/>
    </row>
    <row r="7106" spans="1:18" ht="15.75" customHeight="1">
      <c r="A7106" s="26"/>
      <c r="B7106" s="86"/>
      <c r="D7106" s="26"/>
      <c r="F7106" s="87" t="str">
        <f t="shared" si="0"/>
        <v/>
      </c>
      <c r="H7106" s="26" t="str">
        <f t="shared" si="1"/>
        <v/>
      </c>
      <c r="I7106" s="26" t="str">
        <f t="shared" si="2"/>
        <v/>
      </c>
      <c r="J7106" s="86">
        <f t="shared" si="3"/>
        <v>0</v>
      </c>
      <c r="R7106" s="26"/>
    </row>
    <row r="7107" spans="1:18" ht="15.75" customHeight="1">
      <c r="A7107" s="26"/>
      <c r="B7107" s="86"/>
      <c r="D7107" s="26"/>
      <c r="F7107" s="87" t="str">
        <f t="shared" si="0"/>
        <v/>
      </c>
      <c r="H7107" s="26" t="str">
        <f t="shared" si="1"/>
        <v/>
      </c>
      <c r="I7107" s="26" t="str">
        <f t="shared" si="2"/>
        <v/>
      </c>
      <c r="J7107" s="86">
        <f t="shared" si="3"/>
        <v>0</v>
      </c>
      <c r="R7107" s="26"/>
    </row>
    <row r="7108" spans="1:18" ht="15.75" customHeight="1">
      <c r="A7108" s="26"/>
      <c r="B7108" s="86"/>
      <c r="D7108" s="26"/>
      <c r="F7108" s="87" t="str">
        <f t="shared" si="0"/>
        <v/>
      </c>
      <c r="H7108" s="26" t="str">
        <f t="shared" si="1"/>
        <v/>
      </c>
      <c r="I7108" s="26" t="str">
        <f t="shared" si="2"/>
        <v/>
      </c>
      <c r="J7108" s="86">
        <f t="shared" si="3"/>
        <v>0</v>
      </c>
      <c r="R7108" s="26"/>
    </row>
    <row r="7109" spans="1:18" ht="15.75" customHeight="1">
      <c r="A7109" s="26"/>
      <c r="B7109" s="86"/>
      <c r="D7109" s="26"/>
      <c r="F7109" s="87" t="str">
        <f t="shared" si="0"/>
        <v/>
      </c>
      <c r="H7109" s="26" t="str">
        <f t="shared" si="1"/>
        <v/>
      </c>
      <c r="I7109" s="26" t="str">
        <f t="shared" si="2"/>
        <v/>
      </c>
      <c r="J7109" s="86">
        <f t="shared" si="3"/>
        <v>0</v>
      </c>
      <c r="R7109" s="26"/>
    </row>
    <row r="7110" spans="1:18" ht="15.75" customHeight="1">
      <c r="A7110" s="26"/>
      <c r="B7110" s="86"/>
      <c r="D7110" s="26"/>
      <c r="F7110" s="87" t="str">
        <f t="shared" si="0"/>
        <v/>
      </c>
      <c r="H7110" s="26" t="str">
        <f t="shared" si="1"/>
        <v/>
      </c>
      <c r="I7110" s="26" t="str">
        <f t="shared" si="2"/>
        <v/>
      </c>
      <c r="J7110" s="86">
        <f t="shared" si="3"/>
        <v>0</v>
      </c>
      <c r="R7110" s="26"/>
    </row>
    <row r="7111" spans="1:18" ht="15.75" customHeight="1">
      <c r="A7111" s="26"/>
      <c r="B7111" s="86"/>
      <c r="D7111" s="26"/>
      <c r="F7111" s="87" t="str">
        <f t="shared" si="0"/>
        <v/>
      </c>
      <c r="H7111" s="26" t="str">
        <f t="shared" si="1"/>
        <v/>
      </c>
      <c r="I7111" s="26" t="str">
        <f t="shared" si="2"/>
        <v/>
      </c>
      <c r="J7111" s="86">
        <f t="shared" si="3"/>
        <v>0</v>
      </c>
      <c r="R7111" s="26"/>
    </row>
    <row r="7112" spans="1:18" ht="15.75" customHeight="1">
      <c r="A7112" s="26"/>
      <c r="B7112" s="86"/>
      <c r="D7112" s="26"/>
      <c r="F7112" s="87" t="str">
        <f t="shared" si="0"/>
        <v/>
      </c>
      <c r="H7112" s="26" t="str">
        <f t="shared" si="1"/>
        <v/>
      </c>
      <c r="I7112" s="26" t="str">
        <f t="shared" si="2"/>
        <v/>
      </c>
      <c r="J7112" s="86">
        <f t="shared" si="3"/>
        <v>0</v>
      </c>
      <c r="R7112" s="26"/>
    </row>
    <row r="7113" spans="1:18" ht="15.75" customHeight="1">
      <c r="A7113" s="26"/>
      <c r="B7113" s="86"/>
      <c r="D7113" s="26"/>
      <c r="F7113" s="87" t="str">
        <f t="shared" si="0"/>
        <v/>
      </c>
      <c r="H7113" s="26" t="str">
        <f t="shared" si="1"/>
        <v/>
      </c>
      <c r="I7113" s="26" t="str">
        <f t="shared" si="2"/>
        <v/>
      </c>
      <c r="J7113" s="86">
        <f t="shared" si="3"/>
        <v>0</v>
      </c>
      <c r="R7113" s="26"/>
    </row>
    <row r="7114" spans="1:18" ht="15.75" customHeight="1">
      <c r="A7114" s="26"/>
      <c r="B7114" s="86"/>
      <c r="D7114" s="26"/>
      <c r="F7114" s="87" t="str">
        <f t="shared" si="0"/>
        <v/>
      </c>
      <c r="H7114" s="26" t="str">
        <f t="shared" si="1"/>
        <v/>
      </c>
      <c r="I7114" s="26" t="str">
        <f t="shared" si="2"/>
        <v/>
      </c>
      <c r="J7114" s="86">
        <f t="shared" si="3"/>
        <v>0</v>
      </c>
      <c r="R7114" s="26"/>
    </row>
    <row r="7115" spans="1:18" ht="15.75" customHeight="1">
      <c r="A7115" s="26"/>
      <c r="B7115" s="86"/>
      <c r="D7115" s="26"/>
      <c r="F7115" s="87" t="str">
        <f t="shared" si="0"/>
        <v/>
      </c>
      <c r="H7115" s="26" t="str">
        <f t="shared" si="1"/>
        <v/>
      </c>
      <c r="I7115" s="26" t="str">
        <f t="shared" si="2"/>
        <v/>
      </c>
      <c r="J7115" s="86">
        <f t="shared" si="3"/>
        <v>0</v>
      </c>
      <c r="R7115" s="26"/>
    </row>
    <row r="7116" spans="1:18" ht="15.75" customHeight="1">
      <c r="A7116" s="26"/>
      <c r="B7116" s="86"/>
      <c r="D7116" s="26"/>
      <c r="F7116" s="87" t="str">
        <f t="shared" si="0"/>
        <v/>
      </c>
      <c r="H7116" s="26" t="str">
        <f t="shared" si="1"/>
        <v/>
      </c>
      <c r="I7116" s="26" t="str">
        <f t="shared" si="2"/>
        <v/>
      </c>
      <c r="J7116" s="86">
        <f t="shared" si="3"/>
        <v>0</v>
      </c>
      <c r="R7116" s="26"/>
    </row>
    <row r="7117" spans="1:18" ht="15.75" customHeight="1">
      <c r="A7117" s="26"/>
      <c r="B7117" s="86"/>
      <c r="D7117" s="26"/>
      <c r="F7117" s="87" t="str">
        <f t="shared" si="0"/>
        <v/>
      </c>
      <c r="H7117" s="26" t="str">
        <f t="shared" si="1"/>
        <v/>
      </c>
      <c r="I7117" s="26" t="str">
        <f t="shared" si="2"/>
        <v/>
      </c>
      <c r="J7117" s="86">
        <f t="shared" si="3"/>
        <v>0</v>
      </c>
      <c r="R7117" s="26"/>
    </row>
    <row r="7118" spans="1:18" ht="15.75" customHeight="1">
      <c r="A7118" s="26"/>
      <c r="B7118" s="86"/>
      <c r="D7118" s="26"/>
      <c r="F7118" s="87" t="str">
        <f t="shared" si="0"/>
        <v/>
      </c>
      <c r="H7118" s="26" t="str">
        <f t="shared" si="1"/>
        <v/>
      </c>
      <c r="I7118" s="26" t="str">
        <f t="shared" si="2"/>
        <v/>
      </c>
      <c r="J7118" s="86">
        <f t="shared" si="3"/>
        <v>0</v>
      </c>
      <c r="R7118" s="26"/>
    </row>
    <row r="7119" spans="1:18" ht="15.75" customHeight="1">
      <c r="A7119" s="26"/>
      <c r="B7119" s="86"/>
      <c r="D7119" s="26"/>
      <c r="F7119" s="87" t="str">
        <f t="shared" si="0"/>
        <v/>
      </c>
      <c r="H7119" s="26" t="str">
        <f t="shared" si="1"/>
        <v/>
      </c>
      <c r="I7119" s="26" t="str">
        <f t="shared" si="2"/>
        <v/>
      </c>
      <c r="J7119" s="86">
        <f t="shared" si="3"/>
        <v>0</v>
      </c>
      <c r="R7119" s="26"/>
    </row>
    <row r="7120" spans="1:18" ht="15.75" customHeight="1">
      <c r="A7120" s="26"/>
      <c r="B7120" s="86"/>
      <c r="D7120" s="26"/>
      <c r="F7120" s="87" t="str">
        <f t="shared" si="0"/>
        <v/>
      </c>
      <c r="H7120" s="26" t="str">
        <f t="shared" si="1"/>
        <v/>
      </c>
      <c r="I7120" s="26" t="str">
        <f t="shared" si="2"/>
        <v/>
      </c>
      <c r="J7120" s="86">
        <f t="shared" si="3"/>
        <v>0</v>
      </c>
      <c r="R7120" s="26"/>
    </row>
    <row r="7121" spans="1:18" ht="15.75" customHeight="1">
      <c r="A7121" s="26"/>
      <c r="B7121" s="86"/>
      <c r="D7121" s="26"/>
      <c r="F7121" s="87" t="str">
        <f t="shared" si="0"/>
        <v/>
      </c>
      <c r="H7121" s="26" t="str">
        <f t="shared" si="1"/>
        <v/>
      </c>
      <c r="I7121" s="26" t="str">
        <f t="shared" si="2"/>
        <v/>
      </c>
      <c r="J7121" s="86">
        <f t="shared" si="3"/>
        <v>0</v>
      </c>
      <c r="R7121" s="26"/>
    </row>
    <row r="7122" spans="1:18" ht="15.75" customHeight="1">
      <c r="A7122" s="26"/>
      <c r="B7122" s="86"/>
      <c r="D7122" s="26"/>
      <c r="F7122" s="87" t="str">
        <f t="shared" si="0"/>
        <v/>
      </c>
      <c r="H7122" s="26" t="str">
        <f t="shared" si="1"/>
        <v/>
      </c>
      <c r="I7122" s="26" t="str">
        <f t="shared" si="2"/>
        <v/>
      </c>
      <c r="J7122" s="86">
        <f t="shared" si="3"/>
        <v>0</v>
      </c>
      <c r="R7122" s="26"/>
    </row>
    <row r="7123" spans="1:18" ht="15.75" customHeight="1">
      <c r="A7123" s="26"/>
      <c r="B7123" s="86"/>
      <c r="D7123" s="26"/>
      <c r="F7123" s="87" t="str">
        <f t="shared" si="0"/>
        <v/>
      </c>
      <c r="H7123" s="26" t="str">
        <f t="shared" si="1"/>
        <v/>
      </c>
      <c r="I7123" s="26" t="str">
        <f t="shared" si="2"/>
        <v/>
      </c>
      <c r="J7123" s="86">
        <f t="shared" si="3"/>
        <v>0</v>
      </c>
      <c r="R7123" s="26"/>
    </row>
    <row r="7124" spans="1:18" ht="15.75" customHeight="1">
      <c r="A7124" s="26"/>
      <c r="B7124" s="86"/>
      <c r="D7124" s="26"/>
      <c r="F7124" s="87" t="str">
        <f t="shared" si="0"/>
        <v/>
      </c>
      <c r="H7124" s="26" t="str">
        <f t="shared" si="1"/>
        <v/>
      </c>
      <c r="I7124" s="26" t="str">
        <f t="shared" si="2"/>
        <v/>
      </c>
      <c r="J7124" s="86">
        <f t="shared" si="3"/>
        <v>0</v>
      </c>
      <c r="R7124" s="26"/>
    </row>
    <row r="7125" spans="1:18" ht="15.75" customHeight="1">
      <c r="A7125" s="26"/>
      <c r="B7125" s="86"/>
      <c r="D7125" s="26"/>
      <c r="F7125" s="87" t="str">
        <f t="shared" si="0"/>
        <v/>
      </c>
      <c r="H7125" s="26" t="str">
        <f t="shared" si="1"/>
        <v/>
      </c>
      <c r="I7125" s="26" t="str">
        <f t="shared" si="2"/>
        <v/>
      </c>
      <c r="J7125" s="86">
        <f t="shared" si="3"/>
        <v>0</v>
      </c>
      <c r="R7125" s="26"/>
    </row>
    <row r="7126" spans="1:18" ht="15.75" customHeight="1">
      <c r="A7126" s="26"/>
      <c r="B7126" s="86"/>
      <c r="D7126" s="26"/>
      <c r="F7126" s="87" t="str">
        <f t="shared" si="0"/>
        <v/>
      </c>
      <c r="H7126" s="26" t="str">
        <f t="shared" si="1"/>
        <v/>
      </c>
      <c r="I7126" s="26" t="str">
        <f t="shared" si="2"/>
        <v/>
      </c>
      <c r="J7126" s="86">
        <f t="shared" si="3"/>
        <v>0</v>
      </c>
      <c r="R7126" s="26"/>
    </row>
    <row r="7127" spans="1:18" ht="15.75" customHeight="1">
      <c r="A7127" s="26"/>
      <c r="B7127" s="86"/>
      <c r="D7127" s="26"/>
      <c r="F7127" s="87" t="str">
        <f t="shared" si="0"/>
        <v/>
      </c>
      <c r="H7127" s="26" t="str">
        <f t="shared" si="1"/>
        <v/>
      </c>
      <c r="I7127" s="26" t="str">
        <f t="shared" si="2"/>
        <v/>
      </c>
      <c r="J7127" s="86">
        <f t="shared" si="3"/>
        <v>0</v>
      </c>
      <c r="R7127" s="26"/>
    </row>
    <row r="7128" spans="1:18" ht="15.75" customHeight="1">
      <c r="A7128" s="26"/>
      <c r="B7128" s="86"/>
      <c r="D7128" s="26"/>
      <c r="F7128" s="87" t="str">
        <f t="shared" si="0"/>
        <v/>
      </c>
      <c r="H7128" s="26" t="str">
        <f t="shared" si="1"/>
        <v/>
      </c>
      <c r="I7128" s="26" t="str">
        <f t="shared" si="2"/>
        <v/>
      </c>
      <c r="J7128" s="86">
        <f t="shared" si="3"/>
        <v>0</v>
      </c>
      <c r="R7128" s="26"/>
    </row>
    <row r="7129" spans="1:18" ht="15.75" customHeight="1">
      <c r="A7129" s="26"/>
      <c r="B7129" s="86"/>
      <c r="D7129" s="26"/>
      <c r="F7129" s="87" t="str">
        <f t="shared" si="0"/>
        <v/>
      </c>
      <c r="H7129" s="26" t="str">
        <f t="shared" si="1"/>
        <v/>
      </c>
      <c r="I7129" s="26" t="str">
        <f t="shared" si="2"/>
        <v/>
      </c>
      <c r="J7129" s="86">
        <f t="shared" si="3"/>
        <v>0</v>
      </c>
      <c r="R7129" s="26"/>
    </row>
    <row r="7130" spans="1:18" ht="15.75" customHeight="1">
      <c r="A7130" s="26"/>
      <c r="B7130" s="86"/>
      <c r="D7130" s="26"/>
      <c r="F7130" s="87" t="str">
        <f t="shared" si="0"/>
        <v/>
      </c>
      <c r="H7130" s="26" t="str">
        <f t="shared" si="1"/>
        <v/>
      </c>
      <c r="I7130" s="26" t="str">
        <f t="shared" si="2"/>
        <v/>
      </c>
      <c r="J7130" s="86">
        <f t="shared" si="3"/>
        <v>0</v>
      </c>
      <c r="R7130" s="26"/>
    </row>
    <row r="7131" spans="1:18" ht="15.75" customHeight="1">
      <c r="A7131" s="26"/>
      <c r="B7131" s="86"/>
      <c r="D7131" s="26"/>
      <c r="F7131" s="87" t="str">
        <f t="shared" si="0"/>
        <v/>
      </c>
      <c r="H7131" s="26" t="str">
        <f t="shared" si="1"/>
        <v/>
      </c>
      <c r="I7131" s="26" t="str">
        <f t="shared" si="2"/>
        <v/>
      </c>
      <c r="J7131" s="86">
        <f t="shared" si="3"/>
        <v>0</v>
      </c>
      <c r="R7131" s="26"/>
    </row>
    <row r="7132" spans="1:18" ht="15.75" customHeight="1">
      <c r="A7132" s="26"/>
      <c r="B7132" s="86"/>
      <c r="D7132" s="26"/>
      <c r="F7132" s="87" t="str">
        <f t="shared" si="0"/>
        <v/>
      </c>
      <c r="H7132" s="26" t="str">
        <f t="shared" si="1"/>
        <v/>
      </c>
      <c r="I7132" s="26" t="str">
        <f t="shared" si="2"/>
        <v/>
      </c>
      <c r="J7132" s="86">
        <f t="shared" si="3"/>
        <v>0</v>
      </c>
      <c r="R7132" s="26"/>
    </row>
    <row r="7133" spans="1:18" ht="15.75" customHeight="1">
      <c r="A7133" s="26"/>
      <c r="B7133" s="86"/>
      <c r="D7133" s="26"/>
      <c r="F7133" s="87" t="str">
        <f t="shared" si="0"/>
        <v/>
      </c>
      <c r="H7133" s="26" t="str">
        <f t="shared" si="1"/>
        <v/>
      </c>
      <c r="I7133" s="26" t="str">
        <f t="shared" si="2"/>
        <v/>
      </c>
      <c r="J7133" s="86">
        <f t="shared" si="3"/>
        <v>0</v>
      </c>
      <c r="R7133" s="26"/>
    </row>
    <row r="7134" spans="1:18" ht="15.75" customHeight="1">
      <c r="A7134" s="26"/>
      <c r="B7134" s="86"/>
      <c r="D7134" s="26"/>
      <c r="F7134" s="87" t="str">
        <f t="shared" si="0"/>
        <v/>
      </c>
      <c r="H7134" s="26" t="str">
        <f t="shared" si="1"/>
        <v/>
      </c>
      <c r="I7134" s="26" t="str">
        <f t="shared" si="2"/>
        <v/>
      </c>
      <c r="J7134" s="86">
        <f t="shared" si="3"/>
        <v>0</v>
      </c>
      <c r="R7134" s="26"/>
    </row>
    <row r="7135" spans="1:18" ht="15.75" customHeight="1">
      <c r="A7135" s="26"/>
      <c r="B7135" s="86"/>
      <c r="D7135" s="26"/>
      <c r="F7135" s="87" t="str">
        <f t="shared" si="0"/>
        <v/>
      </c>
      <c r="H7135" s="26" t="str">
        <f t="shared" si="1"/>
        <v/>
      </c>
      <c r="I7135" s="26" t="str">
        <f t="shared" si="2"/>
        <v/>
      </c>
      <c r="J7135" s="86">
        <f t="shared" si="3"/>
        <v>0</v>
      </c>
      <c r="R7135" s="26"/>
    </row>
    <row r="7136" spans="1:18" ht="15.75" customHeight="1">
      <c r="A7136" s="26"/>
      <c r="B7136" s="86"/>
      <c r="D7136" s="26"/>
      <c r="F7136" s="87" t="str">
        <f t="shared" si="0"/>
        <v/>
      </c>
      <c r="H7136" s="26" t="str">
        <f t="shared" si="1"/>
        <v/>
      </c>
      <c r="I7136" s="26" t="str">
        <f t="shared" si="2"/>
        <v/>
      </c>
      <c r="J7136" s="86">
        <f t="shared" si="3"/>
        <v>0</v>
      </c>
      <c r="R7136" s="26"/>
    </row>
    <row r="7137" spans="1:18" ht="15.75" customHeight="1">
      <c r="A7137" s="26"/>
      <c r="B7137" s="86"/>
      <c r="D7137" s="26"/>
      <c r="F7137" s="87" t="str">
        <f t="shared" si="0"/>
        <v/>
      </c>
      <c r="H7137" s="26" t="str">
        <f t="shared" si="1"/>
        <v/>
      </c>
      <c r="I7137" s="26" t="str">
        <f t="shared" si="2"/>
        <v/>
      </c>
      <c r="J7137" s="86">
        <f t="shared" si="3"/>
        <v>0</v>
      </c>
      <c r="R7137" s="26"/>
    </row>
    <row r="7138" spans="1:18" ht="15.75" customHeight="1">
      <c r="A7138" s="26"/>
      <c r="B7138" s="86"/>
      <c r="D7138" s="26"/>
      <c r="F7138" s="87" t="str">
        <f t="shared" si="0"/>
        <v/>
      </c>
      <c r="H7138" s="26" t="str">
        <f t="shared" si="1"/>
        <v/>
      </c>
      <c r="I7138" s="26" t="str">
        <f t="shared" si="2"/>
        <v/>
      </c>
      <c r="J7138" s="86">
        <f t="shared" si="3"/>
        <v>0</v>
      </c>
      <c r="R7138" s="26"/>
    </row>
    <row r="7139" spans="1:18" ht="15.75" customHeight="1">
      <c r="A7139" s="26"/>
      <c r="B7139" s="86"/>
      <c r="D7139" s="26"/>
      <c r="F7139" s="87" t="str">
        <f t="shared" si="0"/>
        <v/>
      </c>
      <c r="H7139" s="26" t="str">
        <f t="shared" si="1"/>
        <v/>
      </c>
      <c r="I7139" s="26" t="str">
        <f t="shared" si="2"/>
        <v/>
      </c>
      <c r="J7139" s="86">
        <f t="shared" si="3"/>
        <v>0</v>
      </c>
      <c r="R7139" s="26"/>
    </row>
    <row r="7140" spans="1:18" ht="15.75" customHeight="1">
      <c r="A7140" s="26"/>
      <c r="B7140" s="86"/>
      <c r="D7140" s="26"/>
      <c r="F7140" s="87" t="str">
        <f t="shared" si="0"/>
        <v/>
      </c>
      <c r="H7140" s="26" t="str">
        <f t="shared" si="1"/>
        <v/>
      </c>
      <c r="I7140" s="26" t="str">
        <f t="shared" si="2"/>
        <v/>
      </c>
      <c r="J7140" s="86">
        <f t="shared" si="3"/>
        <v>0</v>
      </c>
      <c r="R7140" s="26"/>
    </row>
    <row r="7141" spans="1:18" ht="15.75" customHeight="1">
      <c r="A7141" s="26"/>
      <c r="B7141" s="86"/>
      <c r="D7141" s="26"/>
      <c r="F7141" s="87" t="str">
        <f t="shared" si="0"/>
        <v/>
      </c>
      <c r="H7141" s="26" t="str">
        <f t="shared" si="1"/>
        <v/>
      </c>
      <c r="I7141" s="26" t="str">
        <f t="shared" si="2"/>
        <v/>
      </c>
      <c r="J7141" s="86">
        <f t="shared" si="3"/>
        <v>0</v>
      </c>
      <c r="R7141" s="26"/>
    </row>
    <row r="7142" spans="1:18" ht="15.75" customHeight="1">
      <c r="A7142" s="26"/>
      <c r="B7142" s="86"/>
      <c r="D7142" s="26"/>
      <c r="F7142" s="87" t="str">
        <f t="shared" si="0"/>
        <v/>
      </c>
      <c r="H7142" s="26" t="str">
        <f t="shared" si="1"/>
        <v/>
      </c>
      <c r="I7142" s="26" t="str">
        <f t="shared" si="2"/>
        <v/>
      </c>
      <c r="J7142" s="86">
        <f t="shared" si="3"/>
        <v>0</v>
      </c>
      <c r="R7142" s="26"/>
    </row>
    <row r="7143" spans="1:18" ht="15.75" customHeight="1">
      <c r="A7143" s="26"/>
      <c r="B7143" s="86"/>
      <c r="D7143" s="26"/>
      <c r="F7143" s="87" t="str">
        <f t="shared" si="0"/>
        <v/>
      </c>
      <c r="H7143" s="26" t="str">
        <f t="shared" si="1"/>
        <v/>
      </c>
      <c r="I7143" s="26" t="str">
        <f t="shared" si="2"/>
        <v/>
      </c>
      <c r="J7143" s="86">
        <f t="shared" si="3"/>
        <v>0</v>
      </c>
      <c r="R7143" s="26"/>
    </row>
    <row r="7144" spans="1:18" ht="15.75" customHeight="1">
      <c r="A7144" s="26"/>
      <c r="B7144" s="86"/>
      <c r="D7144" s="26"/>
      <c r="F7144" s="87" t="str">
        <f t="shared" si="0"/>
        <v/>
      </c>
      <c r="H7144" s="26" t="str">
        <f t="shared" si="1"/>
        <v/>
      </c>
      <c r="I7144" s="26" t="str">
        <f t="shared" si="2"/>
        <v/>
      </c>
      <c r="J7144" s="86">
        <f t="shared" si="3"/>
        <v>0</v>
      </c>
      <c r="R7144" s="26"/>
    </row>
    <row r="7145" spans="1:18" ht="15.75" customHeight="1">
      <c r="A7145" s="26"/>
      <c r="B7145" s="86"/>
      <c r="D7145" s="26"/>
      <c r="F7145" s="87" t="str">
        <f t="shared" si="0"/>
        <v/>
      </c>
      <c r="H7145" s="26" t="str">
        <f t="shared" si="1"/>
        <v/>
      </c>
      <c r="I7145" s="26" t="str">
        <f t="shared" si="2"/>
        <v/>
      </c>
      <c r="J7145" s="86">
        <f t="shared" si="3"/>
        <v>0</v>
      </c>
      <c r="R7145" s="26"/>
    </row>
    <row r="7146" spans="1:18" ht="15.75" customHeight="1">
      <c r="A7146" s="26"/>
      <c r="B7146" s="86"/>
      <c r="D7146" s="26"/>
      <c r="F7146" s="87" t="str">
        <f t="shared" si="0"/>
        <v/>
      </c>
      <c r="H7146" s="26" t="str">
        <f t="shared" si="1"/>
        <v/>
      </c>
      <c r="I7146" s="26" t="str">
        <f t="shared" si="2"/>
        <v/>
      </c>
      <c r="J7146" s="86">
        <f t="shared" si="3"/>
        <v>0</v>
      </c>
      <c r="R7146" s="26"/>
    </row>
    <row r="7147" spans="1:18" ht="15.75" customHeight="1">
      <c r="A7147" s="26"/>
      <c r="B7147" s="86"/>
      <c r="D7147" s="26"/>
      <c r="F7147" s="87" t="str">
        <f t="shared" si="0"/>
        <v/>
      </c>
      <c r="H7147" s="26" t="str">
        <f t="shared" si="1"/>
        <v/>
      </c>
      <c r="I7147" s="26" t="str">
        <f t="shared" si="2"/>
        <v/>
      </c>
      <c r="J7147" s="86">
        <f t="shared" si="3"/>
        <v>0</v>
      </c>
      <c r="R7147" s="26"/>
    </row>
    <row r="7148" spans="1:18" ht="15.75" customHeight="1">
      <c r="A7148" s="26"/>
      <c r="B7148" s="86"/>
      <c r="D7148" s="26"/>
      <c r="F7148" s="87" t="str">
        <f t="shared" si="0"/>
        <v/>
      </c>
      <c r="H7148" s="26" t="str">
        <f t="shared" si="1"/>
        <v/>
      </c>
      <c r="I7148" s="26" t="str">
        <f t="shared" si="2"/>
        <v/>
      </c>
      <c r="J7148" s="86">
        <f t="shared" si="3"/>
        <v>0</v>
      </c>
      <c r="R7148" s="26"/>
    </row>
    <row r="7149" spans="1:18" ht="15.75" customHeight="1">
      <c r="A7149" s="26"/>
      <c r="B7149" s="86"/>
      <c r="D7149" s="26"/>
      <c r="F7149" s="87" t="str">
        <f t="shared" si="0"/>
        <v/>
      </c>
      <c r="H7149" s="26" t="str">
        <f t="shared" si="1"/>
        <v/>
      </c>
      <c r="I7149" s="26" t="str">
        <f t="shared" si="2"/>
        <v/>
      </c>
      <c r="J7149" s="86">
        <f t="shared" si="3"/>
        <v>0</v>
      </c>
      <c r="R7149" s="26"/>
    </row>
    <row r="7150" spans="1:18" ht="15.75" customHeight="1">
      <c r="A7150" s="26"/>
      <c r="B7150" s="86"/>
      <c r="D7150" s="26"/>
      <c r="F7150" s="87" t="str">
        <f t="shared" si="0"/>
        <v/>
      </c>
      <c r="H7150" s="26" t="str">
        <f t="shared" si="1"/>
        <v/>
      </c>
      <c r="I7150" s="26" t="str">
        <f t="shared" si="2"/>
        <v/>
      </c>
      <c r="J7150" s="86">
        <f t="shared" si="3"/>
        <v>0</v>
      </c>
      <c r="R7150" s="26"/>
    </row>
    <row r="7151" spans="1:18" ht="15.75" customHeight="1">
      <c r="A7151" s="26"/>
      <c r="B7151" s="86"/>
      <c r="D7151" s="26"/>
      <c r="F7151" s="87" t="str">
        <f t="shared" si="0"/>
        <v/>
      </c>
      <c r="H7151" s="26" t="str">
        <f t="shared" si="1"/>
        <v/>
      </c>
      <c r="I7151" s="26" t="str">
        <f t="shared" si="2"/>
        <v/>
      </c>
      <c r="J7151" s="86">
        <f t="shared" si="3"/>
        <v>0</v>
      </c>
      <c r="R7151" s="26"/>
    </row>
    <row r="7152" spans="1:18" ht="15.75" customHeight="1">
      <c r="A7152" s="26"/>
      <c r="B7152" s="86"/>
      <c r="D7152" s="26"/>
      <c r="F7152" s="87" t="str">
        <f t="shared" si="0"/>
        <v/>
      </c>
      <c r="H7152" s="26" t="str">
        <f t="shared" si="1"/>
        <v/>
      </c>
      <c r="I7152" s="26" t="str">
        <f t="shared" si="2"/>
        <v/>
      </c>
      <c r="J7152" s="86">
        <f t="shared" si="3"/>
        <v>0</v>
      </c>
      <c r="R7152" s="26"/>
    </row>
    <row r="7153" spans="1:18" ht="15.75" customHeight="1">
      <c r="A7153" s="26"/>
      <c r="B7153" s="86"/>
      <c r="D7153" s="26"/>
      <c r="F7153" s="87" t="str">
        <f t="shared" si="0"/>
        <v/>
      </c>
      <c r="H7153" s="26" t="str">
        <f t="shared" si="1"/>
        <v/>
      </c>
      <c r="I7153" s="26" t="str">
        <f t="shared" si="2"/>
        <v/>
      </c>
      <c r="J7153" s="86">
        <f t="shared" si="3"/>
        <v>0</v>
      </c>
      <c r="R7153" s="26"/>
    </row>
    <row r="7154" spans="1:18" ht="15.75" customHeight="1">
      <c r="A7154" s="26"/>
      <c r="B7154" s="86"/>
      <c r="D7154" s="26"/>
      <c r="F7154" s="87" t="str">
        <f t="shared" si="0"/>
        <v/>
      </c>
      <c r="H7154" s="26" t="str">
        <f t="shared" si="1"/>
        <v/>
      </c>
      <c r="I7154" s="26" t="str">
        <f t="shared" si="2"/>
        <v/>
      </c>
      <c r="J7154" s="86">
        <f t="shared" si="3"/>
        <v>0</v>
      </c>
      <c r="R7154" s="26"/>
    </row>
    <row r="7155" spans="1:18" ht="15.75" customHeight="1">
      <c r="A7155" s="26"/>
      <c r="B7155" s="86"/>
      <c r="D7155" s="26"/>
      <c r="F7155" s="87" t="str">
        <f t="shared" si="0"/>
        <v/>
      </c>
      <c r="H7155" s="26" t="str">
        <f t="shared" si="1"/>
        <v/>
      </c>
      <c r="I7155" s="26" t="str">
        <f t="shared" si="2"/>
        <v/>
      </c>
      <c r="J7155" s="86">
        <f t="shared" si="3"/>
        <v>0</v>
      </c>
      <c r="R7155" s="26"/>
    </row>
    <row r="7156" spans="1:18" ht="15.75" customHeight="1">
      <c r="A7156" s="26"/>
      <c r="B7156" s="86"/>
      <c r="D7156" s="26"/>
      <c r="F7156" s="87" t="str">
        <f t="shared" si="0"/>
        <v/>
      </c>
      <c r="H7156" s="26" t="str">
        <f t="shared" si="1"/>
        <v/>
      </c>
      <c r="I7156" s="26" t="str">
        <f t="shared" si="2"/>
        <v/>
      </c>
      <c r="J7156" s="86">
        <f t="shared" si="3"/>
        <v>0</v>
      </c>
      <c r="R7156" s="26"/>
    </row>
    <row r="7157" spans="1:18" ht="15.75" customHeight="1">
      <c r="A7157" s="26"/>
      <c r="B7157" s="86"/>
      <c r="D7157" s="26"/>
      <c r="F7157" s="87" t="str">
        <f t="shared" si="0"/>
        <v/>
      </c>
      <c r="H7157" s="26" t="str">
        <f t="shared" si="1"/>
        <v/>
      </c>
      <c r="I7157" s="26" t="str">
        <f t="shared" si="2"/>
        <v/>
      </c>
      <c r="J7157" s="86">
        <f t="shared" si="3"/>
        <v>0</v>
      </c>
      <c r="R7157" s="26"/>
    </row>
    <row r="7158" spans="1:18" ht="15.75" customHeight="1">
      <c r="A7158" s="26"/>
      <c r="B7158" s="86"/>
      <c r="D7158" s="26"/>
      <c r="F7158" s="87" t="str">
        <f t="shared" si="0"/>
        <v/>
      </c>
      <c r="H7158" s="26" t="str">
        <f t="shared" si="1"/>
        <v/>
      </c>
      <c r="I7158" s="26" t="str">
        <f t="shared" si="2"/>
        <v/>
      </c>
      <c r="J7158" s="86">
        <f t="shared" si="3"/>
        <v>0</v>
      </c>
      <c r="R7158" s="26"/>
    </row>
    <row r="7159" spans="1:18" ht="15.75" customHeight="1">
      <c r="A7159" s="26"/>
      <c r="B7159" s="86"/>
      <c r="D7159" s="26"/>
      <c r="F7159" s="87" t="str">
        <f t="shared" si="0"/>
        <v/>
      </c>
      <c r="H7159" s="26" t="str">
        <f t="shared" si="1"/>
        <v/>
      </c>
      <c r="I7159" s="26" t="str">
        <f t="shared" si="2"/>
        <v/>
      </c>
      <c r="J7159" s="86">
        <f t="shared" si="3"/>
        <v>0</v>
      </c>
      <c r="R7159" s="26"/>
    </row>
    <row r="7160" spans="1:18" ht="15.75" customHeight="1">
      <c r="A7160" s="26"/>
      <c r="B7160" s="86"/>
      <c r="D7160" s="26"/>
      <c r="F7160" s="87" t="str">
        <f t="shared" si="0"/>
        <v/>
      </c>
      <c r="H7160" s="26" t="str">
        <f t="shared" si="1"/>
        <v/>
      </c>
      <c r="I7160" s="26" t="str">
        <f t="shared" si="2"/>
        <v/>
      </c>
      <c r="J7160" s="86">
        <f t="shared" si="3"/>
        <v>0</v>
      </c>
      <c r="R7160" s="26"/>
    </row>
    <row r="7161" spans="1:18" ht="15.75" customHeight="1">
      <c r="A7161" s="26"/>
      <c r="B7161" s="86"/>
      <c r="D7161" s="26"/>
      <c r="F7161" s="87" t="str">
        <f t="shared" si="0"/>
        <v/>
      </c>
      <c r="H7161" s="26" t="str">
        <f t="shared" si="1"/>
        <v/>
      </c>
      <c r="I7161" s="26" t="str">
        <f t="shared" si="2"/>
        <v/>
      </c>
      <c r="J7161" s="86">
        <f t="shared" si="3"/>
        <v>0</v>
      </c>
      <c r="R7161" s="26"/>
    </row>
    <row r="7162" spans="1:18" ht="15.75" customHeight="1">
      <c r="A7162" s="26"/>
      <c r="B7162" s="86"/>
      <c r="D7162" s="26"/>
      <c r="F7162" s="87" t="str">
        <f t="shared" si="0"/>
        <v/>
      </c>
      <c r="H7162" s="26" t="str">
        <f t="shared" si="1"/>
        <v/>
      </c>
      <c r="I7162" s="26" t="str">
        <f t="shared" si="2"/>
        <v/>
      </c>
      <c r="J7162" s="86">
        <f t="shared" si="3"/>
        <v>0</v>
      </c>
      <c r="R7162" s="26"/>
    </row>
    <row r="7163" spans="1:18" ht="15.75" customHeight="1">
      <c r="A7163" s="26"/>
      <c r="B7163" s="86"/>
      <c r="D7163" s="26"/>
      <c r="F7163" s="87" t="str">
        <f t="shared" si="0"/>
        <v/>
      </c>
      <c r="H7163" s="26" t="str">
        <f t="shared" si="1"/>
        <v/>
      </c>
      <c r="I7163" s="26" t="str">
        <f t="shared" si="2"/>
        <v/>
      </c>
      <c r="J7163" s="86">
        <f t="shared" si="3"/>
        <v>0</v>
      </c>
      <c r="R7163" s="26"/>
    </row>
    <row r="7164" spans="1:18" ht="15.75" customHeight="1">
      <c r="A7164" s="26"/>
      <c r="B7164" s="86"/>
      <c r="D7164" s="26"/>
      <c r="F7164" s="87" t="str">
        <f t="shared" si="0"/>
        <v/>
      </c>
      <c r="H7164" s="26" t="str">
        <f t="shared" si="1"/>
        <v/>
      </c>
      <c r="I7164" s="26" t="str">
        <f t="shared" si="2"/>
        <v/>
      </c>
      <c r="J7164" s="86">
        <f t="shared" si="3"/>
        <v>0</v>
      </c>
      <c r="R7164" s="26"/>
    </row>
    <row r="7165" spans="1:18" ht="15.75" customHeight="1">
      <c r="A7165" s="26"/>
      <c r="B7165" s="86"/>
      <c r="D7165" s="26"/>
      <c r="F7165" s="87" t="str">
        <f t="shared" si="0"/>
        <v/>
      </c>
      <c r="H7165" s="26" t="str">
        <f t="shared" si="1"/>
        <v/>
      </c>
      <c r="I7165" s="26" t="str">
        <f t="shared" si="2"/>
        <v/>
      </c>
      <c r="J7165" s="86">
        <f t="shared" si="3"/>
        <v>0</v>
      </c>
      <c r="R7165" s="26"/>
    </row>
    <row r="7166" spans="1:18" ht="15.75" customHeight="1">
      <c r="A7166" s="26"/>
      <c r="B7166" s="86"/>
      <c r="D7166" s="26"/>
      <c r="F7166" s="87" t="str">
        <f t="shared" si="0"/>
        <v/>
      </c>
      <c r="H7166" s="26" t="str">
        <f t="shared" si="1"/>
        <v/>
      </c>
      <c r="I7166" s="26" t="str">
        <f t="shared" si="2"/>
        <v/>
      </c>
      <c r="J7166" s="86">
        <f t="shared" si="3"/>
        <v>0</v>
      </c>
      <c r="R7166" s="26"/>
    </row>
    <row r="7167" spans="1:18" ht="15.75" customHeight="1">
      <c r="A7167" s="26"/>
      <c r="B7167" s="86"/>
      <c r="D7167" s="26"/>
      <c r="F7167" s="87" t="str">
        <f t="shared" si="0"/>
        <v/>
      </c>
      <c r="H7167" s="26" t="str">
        <f t="shared" si="1"/>
        <v/>
      </c>
      <c r="I7167" s="26" t="str">
        <f t="shared" si="2"/>
        <v/>
      </c>
      <c r="J7167" s="86">
        <f t="shared" si="3"/>
        <v>0</v>
      </c>
      <c r="R7167" s="26"/>
    </row>
    <row r="7168" spans="1:18" ht="15.75" customHeight="1">
      <c r="A7168" s="26"/>
      <c r="B7168" s="86"/>
      <c r="D7168" s="26"/>
      <c r="F7168" s="87" t="str">
        <f t="shared" si="0"/>
        <v/>
      </c>
      <c r="H7168" s="26" t="str">
        <f t="shared" si="1"/>
        <v/>
      </c>
      <c r="I7168" s="26" t="str">
        <f t="shared" si="2"/>
        <v/>
      </c>
      <c r="J7168" s="86">
        <f t="shared" si="3"/>
        <v>0</v>
      </c>
      <c r="R7168" s="26"/>
    </row>
    <row r="7169" spans="1:18" ht="15.75" customHeight="1">
      <c r="A7169" s="26"/>
      <c r="B7169" s="86"/>
      <c r="D7169" s="26"/>
      <c r="F7169" s="87" t="str">
        <f t="shared" si="0"/>
        <v/>
      </c>
      <c r="H7169" s="26" t="str">
        <f t="shared" si="1"/>
        <v/>
      </c>
      <c r="I7169" s="26" t="str">
        <f t="shared" si="2"/>
        <v/>
      </c>
      <c r="J7169" s="86">
        <f t="shared" si="3"/>
        <v>0</v>
      </c>
      <c r="R7169" s="26"/>
    </row>
    <row r="7170" spans="1:18" ht="15.75" customHeight="1">
      <c r="A7170" s="26"/>
      <c r="B7170" s="86"/>
      <c r="D7170" s="26"/>
      <c r="F7170" s="87" t="str">
        <f t="shared" si="0"/>
        <v/>
      </c>
      <c r="H7170" s="26" t="str">
        <f t="shared" si="1"/>
        <v/>
      </c>
      <c r="I7170" s="26" t="str">
        <f t="shared" si="2"/>
        <v/>
      </c>
      <c r="J7170" s="86">
        <f t="shared" si="3"/>
        <v>0</v>
      </c>
      <c r="R7170" s="26"/>
    </row>
    <row r="7171" spans="1:18" ht="15.75" customHeight="1">
      <c r="A7171" s="26"/>
      <c r="B7171" s="86"/>
      <c r="D7171" s="26"/>
      <c r="F7171" s="87" t="str">
        <f t="shared" si="0"/>
        <v/>
      </c>
      <c r="H7171" s="26" t="str">
        <f t="shared" si="1"/>
        <v/>
      </c>
      <c r="I7171" s="26" t="str">
        <f t="shared" si="2"/>
        <v/>
      </c>
      <c r="J7171" s="86">
        <f t="shared" si="3"/>
        <v>0</v>
      </c>
      <c r="R7171" s="26"/>
    </row>
    <row r="7172" spans="1:18" ht="15.75" customHeight="1">
      <c r="A7172" s="26"/>
      <c r="B7172" s="86"/>
      <c r="D7172" s="26"/>
      <c r="F7172" s="87" t="str">
        <f t="shared" si="0"/>
        <v/>
      </c>
      <c r="H7172" s="26" t="str">
        <f t="shared" si="1"/>
        <v/>
      </c>
      <c r="I7172" s="26" t="str">
        <f t="shared" si="2"/>
        <v/>
      </c>
      <c r="J7172" s="86">
        <f t="shared" si="3"/>
        <v>0</v>
      </c>
      <c r="R7172" s="26"/>
    </row>
    <row r="7173" spans="1:18" ht="15.75" customHeight="1">
      <c r="A7173" s="26"/>
      <c r="B7173" s="86"/>
      <c r="D7173" s="26"/>
      <c r="F7173" s="87" t="str">
        <f t="shared" si="0"/>
        <v/>
      </c>
      <c r="H7173" s="26" t="str">
        <f t="shared" si="1"/>
        <v/>
      </c>
      <c r="I7173" s="26" t="str">
        <f t="shared" si="2"/>
        <v/>
      </c>
      <c r="J7173" s="86">
        <f t="shared" si="3"/>
        <v>0</v>
      </c>
      <c r="R7173" s="26"/>
    </row>
    <row r="7174" spans="1:18" ht="15.75" customHeight="1">
      <c r="A7174" s="26"/>
      <c r="B7174" s="86"/>
      <c r="D7174" s="26"/>
      <c r="F7174" s="87" t="str">
        <f t="shared" si="0"/>
        <v/>
      </c>
      <c r="H7174" s="26" t="str">
        <f t="shared" si="1"/>
        <v/>
      </c>
      <c r="I7174" s="26" t="str">
        <f t="shared" si="2"/>
        <v/>
      </c>
      <c r="J7174" s="86">
        <f t="shared" si="3"/>
        <v>0</v>
      </c>
      <c r="R7174" s="26"/>
    </row>
    <row r="7175" spans="1:18" ht="15.75" customHeight="1">
      <c r="A7175" s="26"/>
      <c r="B7175" s="86"/>
      <c r="D7175" s="26"/>
      <c r="F7175" s="87" t="str">
        <f t="shared" si="0"/>
        <v/>
      </c>
      <c r="H7175" s="26" t="str">
        <f t="shared" si="1"/>
        <v/>
      </c>
      <c r="I7175" s="26" t="str">
        <f t="shared" si="2"/>
        <v/>
      </c>
      <c r="J7175" s="86">
        <f t="shared" si="3"/>
        <v>0</v>
      </c>
      <c r="R7175" s="26"/>
    </row>
    <row r="7176" spans="1:18" ht="15.75" customHeight="1">
      <c r="A7176" s="26"/>
      <c r="B7176" s="86"/>
      <c r="D7176" s="26"/>
      <c r="F7176" s="87" t="str">
        <f t="shared" si="0"/>
        <v/>
      </c>
      <c r="H7176" s="26" t="str">
        <f t="shared" si="1"/>
        <v/>
      </c>
      <c r="I7176" s="26" t="str">
        <f t="shared" si="2"/>
        <v/>
      </c>
      <c r="J7176" s="86">
        <f t="shared" si="3"/>
        <v>0</v>
      </c>
      <c r="R7176" s="26"/>
    </row>
    <row r="7177" spans="1:18" ht="15.75" customHeight="1">
      <c r="A7177" s="26"/>
      <c r="B7177" s="86"/>
      <c r="D7177" s="26"/>
      <c r="F7177" s="87" t="str">
        <f t="shared" si="0"/>
        <v/>
      </c>
      <c r="H7177" s="26" t="str">
        <f t="shared" si="1"/>
        <v/>
      </c>
      <c r="I7177" s="26" t="str">
        <f t="shared" si="2"/>
        <v/>
      </c>
      <c r="J7177" s="86">
        <f t="shared" si="3"/>
        <v>0</v>
      </c>
      <c r="R7177" s="26"/>
    </row>
    <row r="7178" spans="1:18" ht="15.75" customHeight="1">
      <c r="A7178" s="26"/>
      <c r="B7178" s="86"/>
      <c r="D7178" s="26"/>
      <c r="F7178" s="87" t="str">
        <f t="shared" si="0"/>
        <v/>
      </c>
      <c r="H7178" s="26" t="str">
        <f t="shared" si="1"/>
        <v/>
      </c>
      <c r="I7178" s="26" t="str">
        <f t="shared" si="2"/>
        <v/>
      </c>
      <c r="J7178" s="86">
        <f t="shared" si="3"/>
        <v>0</v>
      </c>
      <c r="R7178" s="26"/>
    </row>
    <row r="7179" spans="1:18" ht="15.75" customHeight="1">
      <c r="A7179" s="26"/>
      <c r="B7179" s="86"/>
      <c r="D7179" s="26"/>
      <c r="F7179" s="87" t="str">
        <f t="shared" si="0"/>
        <v/>
      </c>
      <c r="H7179" s="26" t="str">
        <f t="shared" si="1"/>
        <v/>
      </c>
      <c r="I7179" s="26" t="str">
        <f t="shared" si="2"/>
        <v/>
      </c>
      <c r="J7179" s="86">
        <f t="shared" si="3"/>
        <v>0</v>
      </c>
      <c r="R7179" s="26"/>
    </row>
    <row r="7180" spans="1:18" ht="15.75" customHeight="1">
      <c r="A7180" s="26"/>
      <c r="B7180" s="86"/>
      <c r="D7180" s="26"/>
      <c r="F7180" s="87" t="str">
        <f t="shared" si="0"/>
        <v/>
      </c>
      <c r="H7180" s="26" t="str">
        <f t="shared" si="1"/>
        <v/>
      </c>
      <c r="I7180" s="26" t="str">
        <f t="shared" si="2"/>
        <v/>
      </c>
      <c r="J7180" s="86">
        <f t="shared" si="3"/>
        <v>0</v>
      </c>
      <c r="R7180" s="26"/>
    </row>
    <row r="7181" spans="1:18" ht="15.75" customHeight="1">
      <c r="A7181" s="26"/>
      <c r="B7181" s="86"/>
      <c r="D7181" s="26"/>
      <c r="F7181" s="87" t="str">
        <f t="shared" si="0"/>
        <v/>
      </c>
      <c r="H7181" s="26" t="str">
        <f t="shared" si="1"/>
        <v/>
      </c>
      <c r="I7181" s="26" t="str">
        <f t="shared" si="2"/>
        <v/>
      </c>
      <c r="J7181" s="86">
        <f t="shared" si="3"/>
        <v>0</v>
      </c>
      <c r="R7181" s="26"/>
    </row>
    <row r="7182" spans="1:18" ht="15.75" customHeight="1">
      <c r="A7182" s="26"/>
      <c r="B7182" s="86"/>
      <c r="D7182" s="26"/>
      <c r="F7182" s="87" t="str">
        <f t="shared" si="0"/>
        <v/>
      </c>
      <c r="H7182" s="26" t="str">
        <f t="shared" si="1"/>
        <v/>
      </c>
      <c r="I7182" s="26" t="str">
        <f t="shared" si="2"/>
        <v/>
      </c>
      <c r="J7182" s="86">
        <f t="shared" si="3"/>
        <v>0</v>
      </c>
      <c r="R7182" s="26"/>
    </row>
    <row r="7183" spans="1:18" ht="15.75" customHeight="1">
      <c r="A7183" s="26"/>
      <c r="B7183" s="86"/>
      <c r="D7183" s="26"/>
      <c r="F7183" s="87" t="str">
        <f t="shared" si="0"/>
        <v/>
      </c>
      <c r="H7183" s="26" t="str">
        <f t="shared" si="1"/>
        <v/>
      </c>
      <c r="I7183" s="26" t="str">
        <f t="shared" si="2"/>
        <v/>
      </c>
      <c r="J7183" s="86">
        <f t="shared" si="3"/>
        <v>0</v>
      </c>
      <c r="R7183" s="26"/>
    </row>
    <row r="7184" spans="1:18" ht="15.75" customHeight="1">
      <c r="A7184" s="26"/>
      <c r="B7184" s="86"/>
      <c r="D7184" s="26"/>
      <c r="F7184" s="87" t="str">
        <f t="shared" si="0"/>
        <v/>
      </c>
      <c r="H7184" s="26" t="str">
        <f t="shared" si="1"/>
        <v/>
      </c>
      <c r="I7184" s="26" t="str">
        <f t="shared" si="2"/>
        <v/>
      </c>
      <c r="J7184" s="86">
        <f t="shared" si="3"/>
        <v>0</v>
      </c>
      <c r="R7184" s="26"/>
    </row>
    <row r="7185" spans="1:18" ht="15.75" customHeight="1">
      <c r="A7185" s="26"/>
      <c r="B7185" s="86"/>
      <c r="D7185" s="26"/>
      <c r="F7185" s="87" t="str">
        <f t="shared" si="0"/>
        <v/>
      </c>
      <c r="H7185" s="26" t="str">
        <f t="shared" si="1"/>
        <v/>
      </c>
      <c r="I7185" s="26" t="str">
        <f t="shared" si="2"/>
        <v/>
      </c>
      <c r="J7185" s="86">
        <f t="shared" si="3"/>
        <v>0</v>
      </c>
      <c r="R7185" s="26"/>
    </row>
    <row r="7186" spans="1:18" ht="15.75" customHeight="1">
      <c r="A7186" s="26"/>
      <c r="B7186" s="86"/>
      <c r="D7186" s="26"/>
      <c r="F7186" s="87" t="str">
        <f t="shared" si="0"/>
        <v/>
      </c>
      <c r="H7186" s="26" t="str">
        <f t="shared" si="1"/>
        <v/>
      </c>
      <c r="I7186" s="26" t="str">
        <f t="shared" si="2"/>
        <v/>
      </c>
      <c r="J7186" s="86">
        <f t="shared" si="3"/>
        <v>0</v>
      </c>
      <c r="R7186" s="26"/>
    </row>
    <row r="7187" spans="1:18" ht="15.75" customHeight="1">
      <c r="A7187" s="26"/>
      <c r="B7187" s="86"/>
      <c r="D7187" s="26"/>
      <c r="F7187" s="87" t="str">
        <f t="shared" si="0"/>
        <v/>
      </c>
      <c r="H7187" s="26" t="str">
        <f t="shared" si="1"/>
        <v/>
      </c>
      <c r="I7187" s="26" t="str">
        <f t="shared" si="2"/>
        <v/>
      </c>
      <c r="J7187" s="86">
        <f t="shared" si="3"/>
        <v>0</v>
      </c>
      <c r="R7187" s="26"/>
    </row>
    <row r="7188" spans="1:18" ht="15.75" customHeight="1">
      <c r="A7188" s="26"/>
      <c r="B7188" s="86"/>
      <c r="D7188" s="26"/>
      <c r="F7188" s="87" t="str">
        <f t="shared" si="0"/>
        <v/>
      </c>
      <c r="H7188" s="26" t="str">
        <f t="shared" si="1"/>
        <v/>
      </c>
      <c r="I7188" s="26" t="str">
        <f t="shared" si="2"/>
        <v/>
      </c>
      <c r="J7188" s="86">
        <f t="shared" si="3"/>
        <v>0</v>
      </c>
      <c r="R7188" s="26"/>
    </row>
    <row r="7189" spans="1:18" ht="15.75" customHeight="1">
      <c r="A7189" s="26"/>
      <c r="B7189" s="86"/>
      <c r="D7189" s="26"/>
      <c r="F7189" s="87" t="str">
        <f t="shared" si="0"/>
        <v/>
      </c>
      <c r="H7189" s="26" t="str">
        <f t="shared" si="1"/>
        <v/>
      </c>
      <c r="I7189" s="26" t="str">
        <f t="shared" si="2"/>
        <v/>
      </c>
      <c r="J7189" s="86">
        <f t="shared" si="3"/>
        <v>0</v>
      </c>
      <c r="R7189" s="26"/>
    </row>
    <row r="7190" spans="1:18" ht="15.75" customHeight="1">
      <c r="A7190" s="26"/>
      <c r="B7190" s="86"/>
      <c r="D7190" s="26"/>
      <c r="F7190" s="87" t="str">
        <f t="shared" si="0"/>
        <v/>
      </c>
      <c r="H7190" s="26" t="str">
        <f t="shared" si="1"/>
        <v/>
      </c>
      <c r="I7190" s="26" t="str">
        <f t="shared" si="2"/>
        <v/>
      </c>
      <c r="J7190" s="86">
        <f t="shared" si="3"/>
        <v>0</v>
      </c>
      <c r="R7190" s="26"/>
    </row>
    <row r="7191" spans="1:18" ht="15.75" customHeight="1">
      <c r="A7191" s="26"/>
      <c r="B7191" s="86"/>
      <c r="D7191" s="26"/>
      <c r="F7191" s="87" t="str">
        <f t="shared" si="0"/>
        <v/>
      </c>
      <c r="H7191" s="26" t="str">
        <f t="shared" si="1"/>
        <v/>
      </c>
      <c r="I7191" s="26" t="str">
        <f t="shared" si="2"/>
        <v/>
      </c>
      <c r="J7191" s="86">
        <f t="shared" si="3"/>
        <v>0</v>
      </c>
      <c r="R7191" s="26"/>
    </row>
    <row r="7192" spans="1:18" ht="15.75" customHeight="1">
      <c r="A7192" s="26"/>
      <c r="B7192" s="86"/>
      <c r="D7192" s="26"/>
      <c r="F7192" s="87" t="str">
        <f t="shared" si="0"/>
        <v/>
      </c>
      <c r="H7192" s="26" t="str">
        <f t="shared" si="1"/>
        <v/>
      </c>
      <c r="I7192" s="26" t="str">
        <f t="shared" si="2"/>
        <v/>
      </c>
      <c r="J7192" s="86">
        <f t="shared" si="3"/>
        <v>0</v>
      </c>
      <c r="R7192" s="26"/>
    </row>
    <row r="7193" spans="1:18" ht="15.75" customHeight="1">
      <c r="A7193" s="26"/>
      <c r="B7193" s="86"/>
      <c r="D7193" s="26"/>
      <c r="F7193" s="87" t="str">
        <f t="shared" si="0"/>
        <v/>
      </c>
      <c r="H7193" s="26" t="str">
        <f t="shared" si="1"/>
        <v/>
      </c>
      <c r="I7193" s="26" t="str">
        <f t="shared" si="2"/>
        <v/>
      </c>
      <c r="J7193" s="86">
        <f t="shared" si="3"/>
        <v>0</v>
      </c>
      <c r="R7193" s="26"/>
    </row>
    <row r="7194" spans="1:18" ht="15.75" customHeight="1">
      <c r="A7194" s="26"/>
      <c r="B7194" s="86"/>
      <c r="D7194" s="26"/>
      <c r="F7194" s="87" t="str">
        <f t="shared" si="0"/>
        <v/>
      </c>
      <c r="H7194" s="26" t="str">
        <f t="shared" si="1"/>
        <v/>
      </c>
      <c r="I7194" s="26" t="str">
        <f t="shared" si="2"/>
        <v/>
      </c>
      <c r="J7194" s="86">
        <f t="shared" si="3"/>
        <v>0</v>
      </c>
      <c r="R7194" s="26"/>
    </row>
    <row r="7195" spans="1:18" ht="15.75" customHeight="1">
      <c r="A7195" s="26"/>
      <c r="B7195" s="86"/>
      <c r="D7195" s="26"/>
      <c r="F7195" s="87" t="str">
        <f t="shared" si="0"/>
        <v/>
      </c>
      <c r="H7195" s="26" t="str">
        <f t="shared" si="1"/>
        <v/>
      </c>
      <c r="I7195" s="26" t="str">
        <f t="shared" si="2"/>
        <v/>
      </c>
      <c r="J7195" s="86">
        <f t="shared" si="3"/>
        <v>0</v>
      </c>
      <c r="R7195" s="26"/>
    </row>
    <row r="7196" spans="1:18" ht="15.75" customHeight="1">
      <c r="A7196" s="26"/>
      <c r="B7196" s="86"/>
      <c r="D7196" s="26"/>
      <c r="F7196" s="87" t="str">
        <f t="shared" si="0"/>
        <v/>
      </c>
      <c r="H7196" s="26" t="str">
        <f t="shared" si="1"/>
        <v/>
      </c>
      <c r="I7196" s="26" t="str">
        <f t="shared" si="2"/>
        <v/>
      </c>
      <c r="J7196" s="86">
        <f t="shared" si="3"/>
        <v>0</v>
      </c>
      <c r="R7196" s="26"/>
    </row>
    <row r="7197" spans="1:18" ht="15.75" customHeight="1">
      <c r="A7197" s="26"/>
      <c r="B7197" s="86"/>
      <c r="D7197" s="26"/>
      <c r="F7197" s="87" t="str">
        <f t="shared" si="0"/>
        <v/>
      </c>
      <c r="H7197" s="26" t="str">
        <f t="shared" si="1"/>
        <v/>
      </c>
      <c r="I7197" s="26" t="str">
        <f t="shared" si="2"/>
        <v/>
      </c>
      <c r="J7197" s="86">
        <f t="shared" si="3"/>
        <v>0</v>
      </c>
      <c r="R7197" s="26"/>
    </row>
    <row r="7198" spans="1:18" ht="15.75" customHeight="1">
      <c r="A7198" s="26"/>
      <c r="B7198" s="86"/>
      <c r="D7198" s="26"/>
      <c r="F7198" s="87" t="str">
        <f t="shared" si="0"/>
        <v/>
      </c>
      <c r="H7198" s="26" t="str">
        <f t="shared" si="1"/>
        <v/>
      </c>
      <c r="I7198" s="26" t="str">
        <f t="shared" si="2"/>
        <v/>
      </c>
      <c r="J7198" s="86">
        <f t="shared" si="3"/>
        <v>0</v>
      </c>
      <c r="R7198" s="26"/>
    </row>
    <row r="7199" spans="1:18" ht="15.75" customHeight="1">
      <c r="A7199" s="26"/>
      <c r="B7199" s="86"/>
      <c r="D7199" s="26"/>
      <c r="F7199" s="87" t="str">
        <f t="shared" si="0"/>
        <v/>
      </c>
      <c r="H7199" s="26" t="str">
        <f t="shared" si="1"/>
        <v/>
      </c>
      <c r="I7199" s="26" t="str">
        <f t="shared" si="2"/>
        <v/>
      </c>
      <c r="J7199" s="86">
        <f t="shared" si="3"/>
        <v>0</v>
      </c>
      <c r="R7199" s="26"/>
    </row>
    <row r="7200" spans="1:18" ht="15.75" customHeight="1">
      <c r="A7200" s="26"/>
      <c r="B7200" s="86"/>
      <c r="D7200" s="26"/>
      <c r="F7200" s="87" t="str">
        <f t="shared" si="0"/>
        <v/>
      </c>
      <c r="H7200" s="26" t="str">
        <f t="shared" si="1"/>
        <v/>
      </c>
      <c r="I7200" s="26" t="str">
        <f t="shared" si="2"/>
        <v/>
      </c>
      <c r="J7200" s="86">
        <f t="shared" si="3"/>
        <v>0</v>
      </c>
      <c r="R7200" s="26"/>
    </row>
    <row r="7201" spans="1:18" ht="15.75" customHeight="1">
      <c r="A7201" s="26"/>
      <c r="B7201" s="86"/>
      <c r="D7201" s="26"/>
      <c r="F7201" s="87" t="str">
        <f t="shared" si="0"/>
        <v/>
      </c>
      <c r="H7201" s="26" t="str">
        <f t="shared" si="1"/>
        <v/>
      </c>
      <c r="I7201" s="26" t="str">
        <f t="shared" si="2"/>
        <v/>
      </c>
      <c r="J7201" s="86">
        <f t="shared" si="3"/>
        <v>0</v>
      </c>
      <c r="R7201" s="26"/>
    </row>
    <row r="7202" spans="1:18" ht="15.75" customHeight="1">
      <c r="A7202" s="26"/>
      <c r="B7202" s="86"/>
      <c r="D7202" s="26"/>
      <c r="F7202" s="87" t="str">
        <f t="shared" si="0"/>
        <v/>
      </c>
      <c r="H7202" s="26" t="str">
        <f t="shared" si="1"/>
        <v/>
      </c>
      <c r="I7202" s="26" t="str">
        <f t="shared" si="2"/>
        <v/>
      </c>
      <c r="J7202" s="86">
        <f t="shared" si="3"/>
        <v>0</v>
      </c>
      <c r="R7202" s="26"/>
    </row>
    <row r="7203" spans="1:18" ht="15.75" customHeight="1">
      <c r="A7203" s="26"/>
      <c r="B7203" s="86"/>
      <c r="D7203" s="26"/>
      <c r="F7203" s="87" t="str">
        <f t="shared" si="0"/>
        <v/>
      </c>
      <c r="H7203" s="26" t="str">
        <f t="shared" si="1"/>
        <v/>
      </c>
      <c r="I7203" s="26" t="str">
        <f t="shared" si="2"/>
        <v/>
      </c>
      <c r="J7203" s="86">
        <f t="shared" si="3"/>
        <v>0</v>
      </c>
      <c r="R7203" s="26"/>
    </row>
    <row r="7204" spans="1:18" ht="15.75" customHeight="1">
      <c r="A7204" s="26"/>
      <c r="B7204" s="86"/>
      <c r="D7204" s="26"/>
      <c r="F7204" s="87" t="str">
        <f t="shared" si="0"/>
        <v/>
      </c>
      <c r="H7204" s="26" t="str">
        <f t="shared" si="1"/>
        <v/>
      </c>
      <c r="I7204" s="26" t="str">
        <f t="shared" si="2"/>
        <v/>
      </c>
      <c r="J7204" s="86">
        <f t="shared" si="3"/>
        <v>0</v>
      </c>
      <c r="R7204" s="26"/>
    </row>
    <row r="7205" spans="1:18" ht="15.75" customHeight="1">
      <c r="A7205" s="26"/>
      <c r="B7205" s="86"/>
      <c r="D7205" s="26"/>
      <c r="F7205" s="87" t="str">
        <f t="shared" si="0"/>
        <v/>
      </c>
      <c r="H7205" s="26" t="str">
        <f t="shared" si="1"/>
        <v/>
      </c>
      <c r="I7205" s="26" t="str">
        <f t="shared" si="2"/>
        <v/>
      </c>
      <c r="J7205" s="86">
        <f t="shared" si="3"/>
        <v>0</v>
      </c>
      <c r="R7205" s="26"/>
    </row>
    <row r="7206" spans="1:18" ht="15.75" customHeight="1">
      <c r="A7206" s="26"/>
      <c r="B7206" s="86"/>
      <c r="D7206" s="26"/>
      <c r="F7206" s="87" t="str">
        <f t="shared" si="0"/>
        <v/>
      </c>
      <c r="H7206" s="26" t="str">
        <f t="shared" si="1"/>
        <v/>
      </c>
      <c r="I7206" s="26" t="str">
        <f t="shared" si="2"/>
        <v/>
      </c>
      <c r="J7206" s="86">
        <f t="shared" si="3"/>
        <v>0</v>
      </c>
      <c r="R7206" s="26"/>
    </row>
    <row r="7207" spans="1:18" ht="15.75" customHeight="1">
      <c r="A7207" s="26"/>
      <c r="B7207" s="86"/>
      <c r="D7207" s="26"/>
      <c r="F7207" s="87" t="str">
        <f t="shared" si="0"/>
        <v/>
      </c>
      <c r="H7207" s="26" t="str">
        <f t="shared" si="1"/>
        <v/>
      </c>
      <c r="I7207" s="26" t="str">
        <f t="shared" si="2"/>
        <v/>
      </c>
      <c r="J7207" s="86">
        <f t="shared" si="3"/>
        <v>0</v>
      </c>
      <c r="R7207" s="26"/>
    </row>
    <row r="7208" spans="1:18" ht="15.75" customHeight="1">
      <c r="A7208" s="26"/>
      <c r="B7208" s="86"/>
      <c r="D7208" s="26"/>
      <c r="F7208" s="87" t="str">
        <f t="shared" si="0"/>
        <v/>
      </c>
      <c r="H7208" s="26" t="str">
        <f t="shared" si="1"/>
        <v/>
      </c>
      <c r="I7208" s="26" t="str">
        <f t="shared" si="2"/>
        <v/>
      </c>
      <c r="J7208" s="86">
        <f t="shared" si="3"/>
        <v>0</v>
      </c>
      <c r="R7208" s="26"/>
    </row>
    <row r="7209" spans="1:18" ht="15.75" customHeight="1">
      <c r="A7209" s="26"/>
      <c r="B7209" s="86"/>
      <c r="D7209" s="26"/>
      <c r="F7209" s="87" t="str">
        <f t="shared" si="0"/>
        <v/>
      </c>
      <c r="H7209" s="26" t="str">
        <f t="shared" si="1"/>
        <v/>
      </c>
      <c r="I7209" s="26" t="str">
        <f t="shared" si="2"/>
        <v/>
      </c>
      <c r="J7209" s="86">
        <f t="shared" si="3"/>
        <v>0</v>
      </c>
      <c r="R7209" s="26"/>
    </row>
    <row r="7210" spans="1:18" ht="15.75" customHeight="1">
      <c r="A7210" s="26"/>
      <c r="B7210" s="86"/>
      <c r="D7210" s="26"/>
      <c r="F7210" s="87" t="str">
        <f t="shared" si="0"/>
        <v/>
      </c>
      <c r="H7210" s="26" t="str">
        <f t="shared" si="1"/>
        <v/>
      </c>
      <c r="I7210" s="26" t="str">
        <f t="shared" si="2"/>
        <v/>
      </c>
      <c r="J7210" s="86">
        <f t="shared" si="3"/>
        <v>0</v>
      </c>
      <c r="R7210" s="26"/>
    </row>
    <row r="7211" spans="1:18" ht="15.75" customHeight="1">
      <c r="A7211" s="26"/>
      <c r="B7211" s="86"/>
      <c r="D7211" s="26"/>
      <c r="F7211" s="87" t="str">
        <f t="shared" si="0"/>
        <v/>
      </c>
      <c r="H7211" s="26" t="str">
        <f t="shared" si="1"/>
        <v/>
      </c>
      <c r="I7211" s="26" t="str">
        <f t="shared" si="2"/>
        <v/>
      </c>
      <c r="J7211" s="86">
        <f t="shared" si="3"/>
        <v>0</v>
      </c>
      <c r="R7211" s="26"/>
    </row>
    <row r="7212" spans="1:18" ht="15.75" customHeight="1">
      <c r="A7212" s="26"/>
      <c r="B7212" s="86"/>
      <c r="D7212" s="26"/>
      <c r="F7212" s="87" t="str">
        <f t="shared" si="0"/>
        <v/>
      </c>
      <c r="H7212" s="26" t="str">
        <f t="shared" si="1"/>
        <v/>
      </c>
      <c r="I7212" s="26" t="str">
        <f t="shared" si="2"/>
        <v/>
      </c>
      <c r="J7212" s="86">
        <f t="shared" si="3"/>
        <v>0</v>
      </c>
      <c r="R7212" s="26"/>
    </row>
    <row r="7213" spans="1:18" ht="15.75" customHeight="1">
      <c r="A7213" s="26"/>
      <c r="B7213" s="86"/>
      <c r="D7213" s="26"/>
      <c r="F7213" s="87" t="str">
        <f t="shared" si="0"/>
        <v/>
      </c>
      <c r="H7213" s="26" t="str">
        <f t="shared" si="1"/>
        <v/>
      </c>
      <c r="I7213" s="26" t="str">
        <f t="shared" si="2"/>
        <v/>
      </c>
      <c r="J7213" s="86">
        <f t="shared" si="3"/>
        <v>0</v>
      </c>
      <c r="R7213" s="26"/>
    </row>
    <row r="7214" spans="1:18" ht="15.75" customHeight="1">
      <c r="A7214" s="26"/>
      <c r="B7214" s="86"/>
      <c r="D7214" s="26"/>
      <c r="F7214" s="87" t="str">
        <f t="shared" si="0"/>
        <v/>
      </c>
      <c r="H7214" s="26" t="str">
        <f t="shared" si="1"/>
        <v/>
      </c>
      <c r="I7214" s="26" t="str">
        <f t="shared" si="2"/>
        <v/>
      </c>
      <c r="J7214" s="86">
        <f t="shared" si="3"/>
        <v>0</v>
      </c>
      <c r="R7214" s="26"/>
    </row>
    <row r="7215" spans="1:18" ht="15.75" customHeight="1">
      <c r="A7215" s="26"/>
      <c r="B7215" s="86"/>
      <c r="D7215" s="26"/>
      <c r="F7215" s="87" t="str">
        <f t="shared" si="0"/>
        <v/>
      </c>
      <c r="H7215" s="26" t="str">
        <f t="shared" si="1"/>
        <v/>
      </c>
      <c r="I7215" s="26" t="str">
        <f t="shared" si="2"/>
        <v/>
      </c>
      <c r="J7215" s="86">
        <f t="shared" si="3"/>
        <v>0</v>
      </c>
      <c r="R7215" s="26"/>
    </row>
    <row r="7216" spans="1:18" ht="15.75" customHeight="1">
      <c r="A7216" s="26"/>
      <c r="B7216" s="86"/>
      <c r="D7216" s="26"/>
      <c r="F7216" s="87" t="str">
        <f t="shared" si="0"/>
        <v/>
      </c>
      <c r="H7216" s="26" t="str">
        <f t="shared" si="1"/>
        <v/>
      </c>
      <c r="I7216" s="26" t="str">
        <f t="shared" si="2"/>
        <v/>
      </c>
      <c r="J7216" s="86">
        <f t="shared" si="3"/>
        <v>0</v>
      </c>
      <c r="R7216" s="26"/>
    </row>
    <row r="7217" spans="1:18" ht="15.75" customHeight="1">
      <c r="A7217" s="26"/>
      <c r="B7217" s="86"/>
      <c r="D7217" s="26"/>
      <c r="F7217" s="87" t="str">
        <f t="shared" si="0"/>
        <v/>
      </c>
      <c r="H7217" s="26" t="str">
        <f t="shared" si="1"/>
        <v/>
      </c>
      <c r="I7217" s="26" t="str">
        <f t="shared" si="2"/>
        <v/>
      </c>
      <c r="J7217" s="86">
        <f t="shared" si="3"/>
        <v>0</v>
      </c>
      <c r="R7217" s="26"/>
    </row>
    <row r="7218" spans="1:18" ht="15.75" customHeight="1">
      <c r="A7218" s="26"/>
      <c r="B7218" s="86"/>
      <c r="D7218" s="26"/>
      <c r="F7218" s="87" t="str">
        <f t="shared" si="0"/>
        <v/>
      </c>
      <c r="H7218" s="26" t="str">
        <f t="shared" si="1"/>
        <v/>
      </c>
      <c r="I7218" s="26" t="str">
        <f t="shared" si="2"/>
        <v/>
      </c>
      <c r="J7218" s="86">
        <f t="shared" si="3"/>
        <v>0</v>
      </c>
      <c r="R7218" s="26"/>
    </row>
    <row r="7219" spans="1:18" ht="15.75" customHeight="1">
      <c r="A7219" s="26"/>
      <c r="B7219" s="86"/>
      <c r="D7219" s="26"/>
      <c r="F7219" s="87" t="str">
        <f t="shared" si="0"/>
        <v/>
      </c>
      <c r="H7219" s="26" t="str">
        <f t="shared" si="1"/>
        <v/>
      </c>
      <c r="I7219" s="26" t="str">
        <f t="shared" si="2"/>
        <v/>
      </c>
      <c r="J7219" s="86">
        <f t="shared" si="3"/>
        <v>0</v>
      </c>
      <c r="R7219" s="26"/>
    </row>
    <row r="7220" spans="1:18" ht="15.75" customHeight="1">
      <c r="A7220" s="26"/>
      <c r="B7220" s="86"/>
      <c r="D7220" s="26"/>
      <c r="F7220" s="87" t="str">
        <f t="shared" si="0"/>
        <v/>
      </c>
      <c r="H7220" s="26" t="str">
        <f t="shared" si="1"/>
        <v/>
      </c>
      <c r="I7220" s="26" t="str">
        <f t="shared" si="2"/>
        <v/>
      </c>
      <c r="J7220" s="86">
        <f t="shared" si="3"/>
        <v>0</v>
      </c>
      <c r="R7220" s="26"/>
    </row>
    <row r="7221" spans="1:18" ht="15.75" customHeight="1">
      <c r="A7221" s="26"/>
      <c r="B7221" s="86"/>
      <c r="D7221" s="26"/>
      <c r="F7221" s="87" t="str">
        <f t="shared" si="0"/>
        <v/>
      </c>
      <c r="H7221" s="26" t="str">
        <f t="shared" si="1"/>
        <v/>
      </c>
      <c r="I7221" s="26" t="str">
        <f t="shared" si="2"/>
        <v/>
      </c>
      <c r="J7221" s="86">
        <f t="shared" si="3"/>
        <v>0</v>
      </c>
      <c r="R7221" s="26"/>
    </row>
    <row r="7222" spans="1:18" ht="15.75" customHeight="1">
      <c r="A7222" s="26"/>
      <c r="B7222" s="86"/>
      <c r="D7222" s="26"/>
      <c r="F7222" s="87" t="str">
        <f t="shared" si="0"/>
        <v/>
      </c>
      <c r="H7222" s="26" t="str">
        <f t="shared" si="1"/>
        <v/>
      </c>
      <c r="I7222" s="26" t="str">
        <f t="shared" si="2"/>
        <v/>
      </c>
      <c r="J7222" s="86">
        <f t="shared" si="3"/>
        <v>0</v>
      </c>
      <c r="R7222" s="26"/>
    </row>
    <row r="7223" spans="1:18" ht="15.75" customHeight="1">
      <c r="A7223" s="26"/>
      <c r="B7223" s="86"/>
      <c r="D7223" s="26"/>
      <c r="F7223" s="87" t="str">
        <f t="shared" si="0"/>
        <v/>
      </c>
      <c r="H7223" s="26" t="str">
        <f t="shared" si="1"/>
        <v/>
      </c>
      <c r="I7223" s="26" t="str">
        <f t="shared" si="2"/>
        <v/>
      </c>
      <c r="J7223" s="86">
        <f t="shared" si="3"/>
        <v>0</v>
      </c>
      <c r="R7223" s="26"/>
    </row>
    <row r="7224" spans="1:18" ht="15.75" customHeight="1">
      <c r="A7224" s="26"/>
      <c r="B7224" s="86"/>
      <c r="D7224" s="26"/>
      <c r="F7224" s="87" t="str">
        <f t="shared" si="0"/>
        <v/>
      </c>
      <c r="H7224" s="26" t="str">
        <f t="shared" si="1"/>
        <v/>
      </c>
      <c r="I7224" s="26" t="str">
        <f t="shared" si="2"/>
        <v/>
      </c>
      <c r="J7224" s="86">
        <f t="shared" si="3"/>
        <v>0</v>
      </c>
      <c r="R7224" s="26"/>
    </row>
    <row r="7225" spans="1:18" ht="15.75" customHeight="1">
      <c r="A7225" s="26"/>
      <c r="B7225" s="86"/>
      <c r="D7225" s="26"/>
      <c r="F7225" s="87" t="str">
        <f t="shared" si="0"/>
        <v/>
      </c>
      <c r="H7225" s="26" t="str">
        <f t="shared" si="1"/>
        <v/>
      </c>
      <c r="I7225" s="26" t="str">
        <f t="shared" si="2"/>
        <v/>
      </c>
      <c r="J7225" s="86">
        <f t="shared" si="3"/>
        <v>0</v>
      </c>
      <c r="R7225" s="26"/>
    </row>
    <row r="7226" spans="1:18" ht="15.75" customHeight="1">
      <c r="A7226" s="26"/>
      <c r="B7226" s="86"/>
      <c r="D7226" s="26"/>
      <c r="F7226" s="87" t="str">
        <f t="shared" si="0"/>
        <v/>
      </c>
      <c r="H7226" s="26" t="str">
        <f t="shared" si="1"/>
        <v/>
      </c>
      <c r="I7226" s="26" t="str">
        <f t="shared" si="2"/>
        <v/>
      </c>
      <c r="J7226" s="86">
        <f t="shared" si="3"/>
        <v>0</v>
      </c>
      <c r="R7226" s="26"/>
    </row>
    <row r="7227" spans="1:18" ht="15.75" customHeight="1">
      <c r="A7227" s="26"/>
      <c r="B7227" s="86"/>
      <c r="D7227" s="26"/>
      <c r="F7227" s="87" t="str">
        <f t="shared" si="0"/>
        <v/>
      </c>
      <c r="H7227" s="26" t="str">
        <f t="shared" si="1"/>
        <v/>
      </c>
      <c r="I7227" s="26" t="str">
        <f t="shared" si="2"/>
        <v/>
      </c>
      <c r="J7227" s="86">
        <f t="shared" si="3"/>
        <v>0</v>
      </c>
      <c r="R7227" s="26"/>
    </row>
    <row r="7228" spans="1:18" ht="15.75" customHeight="1">
      <c r="A7228" s="26"/>
      <c r="B7228" s="86"/>
      <c r="D7228" s="26"/>
      <c r="F7228" s="87" t="str">
        <f t="shared" si="0"/>
        <v/>
      </c>
      <c r="H7228" s="26" t="str">
        <f t="shared" si="1"/>
        <v/>
      </c>
      <c r="I7228" s="26" t="str">
        <f t="shared" si="2"/>
        <v/>
      </c>
      <c r="J7228" s="86">
        <f t="shared" si="3"/>
        <v>0</v>
      </c>
      <c r="R7228" s="26"/>
    </row>
    <row r="7229" spans="1:18" ht="15.75" customHeight="1">
      <c r="A7229" s="26"/>
      <c r="B7229" s="86"/>
      <c r="D7229" s="26"/>
      <c r="F7229" s="87" t="str">
        <f t="shared" si="0"/>
        <v/>
      </c>
      <c r="H7229" s="26" t="str">
        <f t="shared" si="1"/>
        <v/>
      </c>
      <c r="I7229" s="26" t="str">
        <f t="shared" si="2"/>
        <v/>
      </c>
      <c r="J7229" s="86">
        <f t="shared" si="3"/>
        <v>0</v>
      </c>
      <c r="R7229" s="26"/>
    </row>
    <row r="7230" spans="1:18" ht="15.75" customHeight="1">
      <c r="A7230" s="26"/>
      <c r="B7230" s="86"/>
      <c r="D7230" s="26"/>
      <c r="F7230" s="87" t="str">
        <f t="shared" si="0"/>
        <v/>
      </c>
      <c r="H7230" s="26" t="str">
        <f t="shared" si="1"/>
        <v/>
      </c>
      <c r="I7230" s="26" t="str">
        <f t="shared" si="2"/>
        <v/>
      </c>
      <c r="J7230" s="86">
        <f t="shared" si="3"/>
        <v>0</v>
      </c>
      <c r="R7230" s="26"/>
    </row>
    <row r="7231" spans="1:18" ht="15.75" customHeight="1">
      <c r="A7231" s="26"/>
      <c r="B7231" s="86"/>
      <c r="D7231" s="26"/>
      <c r="F7231" s="87" t="str">
        <f t="shared" si="0"/>
        <v/>
      </c>
      <c r="H7231" s="26" t="str">
        <f t="shared" si="1"/>
        <v/>
      </c>
      <c r="I7231" s="26" t="str">
        <f t="shared" si="2"/>
        <v/>
      </c>
      <c r="J7231" s="86">
        <f t="shared" si="3"/>
        <v>0</v>
      </c>
      <c r="R7231" s="26"/>
    </row>
    <row r="7232" spans="1:18" ht="15.75" customHeight="1">
      <c r="A7232" s="26"/>
      <c r="B7232" s="86"/>
      <c r="D7232" s="26"/>
      <c r="F7232" s="87" t="str">
        <f t="shared" si="0"/>
        <v/>
      </c>
      <c r="H7232" s="26" t="str">
        <f t="shared" si="1"/>
        <v/>
      </c>
      <c r="I7232" s="26" t="str">
        <f t="shared" si="2"/>
        <v/>
      </c>
      <c r="J7232" s="86">
        <f t="shared" si="3"/>
        <v>0</v>
      </c>
      <c r="R7232" s="26"/>
    </row>
    <row r="7233" spans="1:18" ht="15.75" customHeight="1">
      <c r="A7233" s="26"/>
      <c r="B7233" s="86"/>
      <c r="D7233" s="26"/>
      <c r="F7233" s="87" t="str">
        <f t="shared" si="0"/>
        <v/>
      </c>
      <c r="H7233" s="26" t="str">
        <f t="shared" si="1"/>
        <v/>
      </c>
      <c r="I7233" s="26" t="str">
        <f t="shared" si="2"/>
        <v/>
      </c>
      <c r="J7233" s="86">
        <f t="shared" si="3"/>
        <v>0</v>
      </c>
      <c r="R7233" s="26"/>
    </row>
    <row r="7234" spans="1:18" ht="15.75" customHeight="1">
      <c r="A7234" s="26"/>
      <c r="B7234" s="86"/>
      <c r="D7234" s="26"/>
      <c r="F7234" s="87" t="str">
        <f t="shared" si="0"/>
        <v/>
      </c>
      <c r="H7234" s="26" t="str">
        <f t="shared" si="1"/>
        <v/>
      </c>
      <c r="I7234" s="26" t="str">
        <f t="shared" si="2"/>
        <v/>
      </c>
      <c r="J7234" s="86">
        <f t="shared" si="3"/>
        <v>0</v>
      </c>
      <c r="R7234" s="26"/>
    </row>
    <row r="7235" spans="1:18" ht="15.75" customHeight="1">
      <c r="A7235" s="26"/>
      <c r="B7235" s="86"/>
      <c r="D7235" s="26"/>
      <c r="F7235" s="87" t="str">
        <f t="shared" si="0"/>
        <v/>
      </c>
      <c r="H7235" s="26" t="str">
        <f t="shared" si="1"/>
        <v/>
      </c>
      <c r="I7235" s="26" t="str">
        <f t="shared" si="2"/>
        <v/>
      </c>
      <c r="J7235" s="86">
        <f t="shared" si="3"/>
        <v>0</v>
      </c>
      <c r="R7235" s="26"/>
    </row>
    <row r="7236" spans="1:18" ht="15.75" customHeight="1">
      <c r="A7236" s="26"/>
      <c r="B7236" s="86"/>
      <c r="D7236" s="26"/>
      <c r="F7236" s="87" t="str">
        <f t="shared" si="0"/>
        <v/>
      </c>
      <c r="H7236" s="26" t="str">
        <f t="shared" si="1"/>
        <v/>
      </c>
      <c r="I7236" s="26" t="str">
        <f t="shared" si="2"/>
        <v/>
      </c>
      <c r="J7236" s="86">
        <f t="shared" si="3"/>
        <v>0</v>
      </c>
      <c r="R7236" s="26"/>
    </row>
    <row r="7237" spans="1:18" ht="15.75" customHeight="1">
      <c r="A7237" s="26"/>
      <c r="B7237" s="86"/>
      <c r="D7237" s="26"/>
      <c r="F7237" s="87" t="str">
        <f t="shared" si="0"/>
        <v/>
      </c>
      <c r="H7237" s="26" t="str">
        <f t="shared" si="1"/>
        <v/>
      </c>
      <c r="I7237" s="26" t="str">
        <f t="shared" si="2"/>
        <v/>
      </c>
      <c r="J7237" s="86">
        <f t="shared" si="3"/>
        <v>0</v>
      </c>
      <c r="R7237" s="26"/>
    </row>
    <row r="7238" spans="1:18" ht="15.75" customHeight="1">
      <c r="A7238" s="26"/>
      <c r="B7238" s="86"/>
      <c r="D7238" s="26"/>
      <c r="F7238" s="87" t="str">
        <f t="shared" si="0"/>
        <v/>
      </c>
      <c r="H7238" s="26" t="str">
        <f t="shared" si="1"/>
        <v/>
      </c>
      <c r="I7238" s="26" t="str">
        <f t="shared" si="2"/>
        <v/>
      </c>
      <c r="J7238" s="86">
        <f t="shared" si="3"/>
        <v>0</v>
      </c>
      <c r="R7238" s="26"/>
    </row>
    <row r="7239" spans="1:18" ht="15.75" customHeight="1">
      <c r="A7239" s="26"/>
      <c r="B7239" s="86"/>
      <c r="D7239" s="26"/>
      <c r="F7239" s="87" t="str">
        <f t="shared" si="0"/>
        <v/>
      </c>
      <c r="H7239" s="26" t="str">
        <f t="shared" si="1"/>
        <v/>
      </c>
      <c r="I7239" s="26" t="str">
        <f t="shared" si="2"/>
        <v/>
      </c>
      <c r="J7239" s="86">
        <f t="shared" si="3"/>
        <v>0</v>
      </c>
      <c r="R7239" s="26"/>
    </row>
    <row r="7240" spans="1:18" ht="15.75" customHeight="1">
      <c r="A7240" s="26"/>
      <c r="B7240" s="86"/>
      <c r="D7240" s="26"/>
      <c r="F7240" s="87" t="str">
        <f t="shared" si="0"/>
        <v/>
      </c>
      <c r="H7240" s="26" t="str">
        <f t="shared" si="1"/>
        <v/>
      </c>
      <c r="I7240" s="26" t="str">
        <f t="shared" si="2"/>
        <v/>
      </c>
      <c r="J7240" s="86">
        <f t="shared" si="3"/>
        <v>0</v>
      </c>
      <c r="R7240" s="26"/>
    </row>
    <row r="7241" spans="1:18" ht="15.75" customHeight="1">
      <c r="A7241" s="26"/>
      <c r="B7241" s="86"/>
      <c r="D7241" s="26"/>
      <c r="F7241" s="87" t="str">
        <f t="shared" si="0"/>
        <v/>
      </c>
      <c r="H7241" s="26" t="str">
        <f t="shared" si="1"/>
        <v/>
      </c>
      <c r="I7241" s="26" t="str">
        <f t="shared" si="2"/>
        <v/>
      </c>
      <c r="J7241" s="86">
        <f t="shared" si="3"/>
        <v>0</v>
      </c>
      <c r="R7241" s="26"/>
    </row>
    <row r="7242" spans="1:18" ht="15.75" customHeight="1">
      <c r="A7242" s="26"/>
      <c r="B7242" s="86"/>
      <c r="D7242" s="26"/>
      <c r="F7242" s="87" t="str">
        <f t="shared" si="0"/>
        <v/>
      </c>
      <c r="H7242" s="26" t="str">
        <f t="shared" si="1"/>
        <v/>
      </c>
      <c r="I7242" s="26" t="str">
        <f t="shared" si="2"/>
        <v/>
      </c>
      <c r="J7242" s="86">
        <f t="shared" si="3"/>
        <v>0</v>
      </c>
      <c r="R7242" s="26"/>
    </row>
    <row r="7243" spans="1:18" ht="15.75" customHeight="1">
      <c r="A7243" s="26"/>
      <c r="B7243" s="86"/>
      <c r="D7243" s="26"/>
      <c r="F7243" s="87" t="str">
        <f t="shared" si="0"/>
        <v/>
      </c>
      <c r="H7243" s="26" t="str">
        <f t="shared" si="1"/>
        <v/>
      </c>
      <c r="I7243" s="26" t="str">
        <f t="shared" si="2"/>
        <v/>
      </c>
      <c r="J7243" s="86">
        <f t="shared" si="3"/>
        <v>0</v>
      </c>
      <c r="R7243" s="26"/>
    </row>
    <row r="7244" spans="1:18" ht="15.75" customHeight="1">
      <c r="A7244" s="26"/>
      <c r="B7244" s="86"/>
      <c r="D7244" s="26"/>
      <c r="F7244" s="87" t="str">
        <f t="shared" si="0"/>
        <v/>
      </c>
      <c r="H7244" s="26" t="str">
        <f t="shared" si="1"/>
        <v/>
      </c>
      <c r="I7244" s="26" t="str">
        <f t="shared" si="2"/>
        <v/>
      </c>
      <c r="J7244" s="86">
        <f t="shared" si="3"/>
        <v>0</v>
      </c>
      <c r="R7244" s="26"/>
    </row>
    <row r="7245" spans="1:18" ht="15.75" customHeight="1">
      <c r="A7245" s="26"/>
      <c r="B7245" s="86"/>
      <c r="D7245" s="26"/>
      <c r="F7245" s="87" t="str">
        <f t="shared" si="0"/>
        <v/>
      </c>
      <c r="H7245" s="26" t="str">
        <f t="shared" si="1"/>
        <v/>
      </c>
      <c r="I7245" s="26" t="str">
        <f t="shared" si="2"/>
        <v/>
      </c>
      <c r="J7245" s="86">
        <f t="shared" si="3"/>
        <v>0</v>
      </c>
      <c r="R7245" s="26"/>
    </row>
    <row r="7246" spans="1:18" ht="15.75" customHeight="1">
      <c r="A7246" s="26"/>
      <c r="B7246" s="86"/>
      <c r="D7246" s="26"/>
      <c r="F7246" s="87" t="str">
        <f t="shared" si="0"/>
        <v/>
      </c>
      <c r="H7246" s="26" t="str">
        <f t="shared" si="1"/>
        <v/>
      </c>
      <c r="I7246" s="26" t="str">
        <f t="shared" si="2"/>
        <v/>
      </c>
      <c r="J7246" s="86">
        <f t="shared" si="3"/>
        <v>0</v>
      </c>
      <c r="R7246" s="26"/>
    </row>
    <row r="7247" spans="1:18" ht="15.75" customHeight="1">
      <c r="A7247" s="26"/>
      <c r="B7247" s="86"/>
      <c r="D7247" s="26"/>
      <c r="F7247" s="87" t="str">
        <f t="shared" si="0"/>
        <v/>
      </c>
      <c r="H7247" s="26" t="str">
        <f t="shared" si="1"/>
        <v/>
      </c>
      <c r="I7247" s="26" t="str">
        <f t="shared" si="2"/>
        <v/>
      </c>
      <c r="J7247" s="86">
        <f t="shared" si="3"/>
        <v>0</v>
      </c>
      <c r="R7247" s="26"/>
    </row>
    <row r="7248" spans="1:18" ht="15.75" customHeight="1">
      <c r="A7248" s="26"/>
      <c r="B7248" s="86"/>
      <c r="D7248" s="26"/>
      <c r="F7248" s="87" t="str">
        <f t="shared" si="0"/>
        <v/>
      </c>
      <c r="H7248" s="26" t="str">
        <f t="shared" si="1"/>
        <v/>
      </c>
      <c r="I7248" s="26" t="str">
        <f t="shared" si="2"/>
        <v/>
      </c>
      <c r="J7248" s="86">
        <f t="shared" si="3"/>
        <v>0</v>
      </c>
      <c r="R7248" s="26"/>
    </row>
    <row r="7249" spans="1:18" ht="15.75" customHeight="1">
      <c r="A7249" s="26"/>
      <c r="B7249" s="86"/>
      <c r="D7249" s="26"/>
      <c r="F7249" s="87" t="str">
        <f t="shared" si="0"/>
        <v/>
      </c>
      <c r="H7249" s="26" t="str">
        <f t="shared" si="1"/>
        <v/>
      </c>
      <c r="I7249" s="26" t="str">
        <f t="shared" si="2"/>
        <v/>
      </c>
      <c r="J7249" s="86">
        <f t="shared" si="3"/>
        <v>0</v>
      </c>
      <c r="R7249" s="26"/>
    </row>
    <row r="7250" spans="1:18" ht="15.75" customHeight="1">
      <c r="A7250" s="26"/>
      <c r="B7250" s="86"/>
      <c r="D7250" s="26"/>
      <c r="F7250" s="87" t="str">
        <f t="shared" si="0"/>
        <v/>
      </c>
      <c r="H7250" s="26" t="str">
        <f t="shared" si="1"/>
        <v/>
      </c>
      <c r="I7250" s="26" t="str">
        <f t="shared" si="2"/>
        <v/>
      </c>
      <c r="J7250" s="86">
        <f t="shared" si="3"/>
        <v>0</v>
      </c>
      <c r="R7250" s="26"/>
    </row>
    <row r="7251" spans="1:18" ht="15.75" customHeight="1">
      <c r="A7251" s="26"/>
      <c r="B7251" s="86"/>
      <c r="D7251" s="26"/>
      <c r="F7251" s="87" t="str">
        <f t="shared" si="0"/>
        <v/>
      </c>
      <c r="H7251" s="26" t="str">
        <f t="shared" si="1"/>
        <v/>
      </c>
      <c r="I7251" s="26" t="str">
        <f t="shared" si="2"/>
        <v/>
      </c>
      <c r="J7251" s="86">
        <f t="shared" si="3"/>
        <v>0</v>
      </c>
      <c r="R7251" s="26"/>
    </row>
    <row r="7252" spans="1:18" ht="15.75" customHeight="1">
      <c r="A7252" s="26"/>
      <c r="B7252" s="86"/>
      <c r="D7252" s="26"/>
      <c r="F7252" s="87" t="str">
        <f t="shared" si="0"/>
        <v/>
      </c>
      <c r="H7252" s="26" t="str">
        <f t="shared" si="1"/>
        <v/>
      </c>
      <c r="I7252" s="26" t="str">
        <f t="shared" si="2"/>
        <v/>
      </c>
      <c r="J7252" s="86">
        <f t="shared" si="3"/>
        <v>0</v>
      </c>
      <c r="R7252" s="26"/>
    </row>
    <row r="7253" spans="1:18" ht="15.75" customHeight="1">
      <c r="A7253" s="26"/>
      <c r="B7253" s="86"/>
      <c r="D7253" s="26"/>
      <c r="F7253" s="87" t="str">
        <f t="shared" si="0"/>
        <v/>
      </c>
      <c r="H7253" s="26" t="str">
        <f t="shared" si="1"/>
        <v/>
      </c>
      <c r="I7253" s="26" t="str">
        <f t="shared" si="2"/>
        <v/>
      </c>
      <c r="J7253" s="86">
        <f t="shared" si="3"/>
        <v>0</v>
      </c>
      <c r="R7253" s="26"/>
    </row>
    <row r="7254" spans="1:18" ht="15.75" customHeight="1">
      <c r="A7254" s="26"/>
      <c r="B7254" s="86"/>
      <c r="D7254" s="26"/>
      <c r="F7254" s="87" t="str">
        <f t="shared" si="0"/>
        <v/>
      </c>
      <c r="H7254" s="26" t="str">
        <f t="shared" si="1"/>
        <v/>
      </c>
      <c r="I7254" s="26" t="str">
        <f t="shared" si="2"/>
        <v/>
      </c>
      <c r="J7254" s="86">
        <f t="shared" si="3"/>
        <v>0</v>
      </c>
      <c r="R7254" s="26"/>
    </row>
    <row r="7255" spans="1:18" ht="15.75" customHeight="1">
      <c r="A7255" s="26"/>
      <c r="B7255" s="86"/>
      <c r="D7255" s="26"/>
      <c r="F7255" s="87" t="str">
        <f t="shared" si="0"/>
        <v/>
      </c>
      <c r="H7255" s="26" t="str">
        <f t="shared" si="1"/>
        <v/>
      </c>
      <c r="I7255" s="26" t="str">
        <f t="shared" si="2"/>
        <v/>
      </c>
      <c r="J7255" s="86">
        <f t="shared" si="3"/>
        <v>0</v>
      </c>
      <c r="R7255" s="26"/>
    </row>
    <row r="7256" spans="1:18" ht="15.75" customHeight="1">
      <c r="A7256" s="26"/>
      <c r="B7256" s="86"/>
      <c r="D7256" s="26"/>
      <c r="F7256" s="87" t="str">
        <f t="shared" si="0"/>
        <v/>
      </c>
      <c r="H7256" s="26" t="str">
        <f t="shared" si="1"/>
        <v/>
      </c>
      <c r="I7256" s="26" t="str">
        <f t="shared" si="2"/>
        <v/>
      </c>
      <c r="J7256" s="86">
        <f t="shared" si="3"/>
        <v>0</v>
      </c>
      <c r="R7256" s="26"/>
    </row>
    <row r="7257" spans="1:18" ht="15.75" customHeight="1">
      <c r="A7257" s="26"/>
      <c r="B7257" s="86"/>
      <c r="D7257" s="26"/>
      <c r="F7257" s="87" t="str">
        <f t="shared" si="0"/>
        <v/>
      </c>
      <c r="H7257" s="26" t="str">
        <f t="shared" si="1"/>
        <v/>
      </c>
      <c r="I7257" s="26" t="str">
        <f t="shared" si="2"/>
        <v/>
      </c>
      <c r="J7257" s="86">
        <f t="shared" si="3"/>
        <v>0</v>
      </c>
      <c r="R7257" s="26"/>
    </row>
    <row r="7258" spans="1:18" ht="15.75" customHeight="1">
      <c r="A7258" s="26"/>
      <c r="B7258" s="86"/>
      <c r="D7258" s="26"/>
      <c r="F7258" s="87" t="str">
        <f t="shared" si="0"/>
        <v/>
      </c>
      <c r="H7258" s="26" t="str">
        <f t="shared" si="1"/>
        <v/>
      </c>
      <c r="I7258" s="26" t="str">
        <f t="shared" si="2"/>
        <v/>
      </c>
      <c r="J7258" s="86">
        <f t="shared" si="3"/>
        <v>0</v>
      </c>
      <c r="R7258" s="26"/>
    </row>
    <row r="7259" spans="1:18" ht="15.75" customHeight="1">
      <c r="A7259" s="26"/>
      <c r="B7259" s="86"/>
      <c r="D7259" s="26"/>
      <c r="F7259" s="87" t="str">
        <f t="shared" si="0"/>
        <v/>
      </c>
      <c r="H7259" s="26" t="str">
        <f t="shared" si="1"/>
        <v/>
      </c>
      <c r="I7259" s="26" t="str">
        <f t="shared" si="2"/>
        <v/>
      </c>
      <c r="J7259" s="86">
        <f t="shared" si="3"/>
        <v>0</v>
      </c>
      <c r="R7259" s="26"/>
    </row>
    <row r="7260" spans="1:18" ht="15.75" customHeight="1">
      <c r="A7260" s="26"/>
      <c r="B7260" s="86"/>
      <c r="D7260" s="26"/>
      <c r="F7260" s="87" t="str">
        <f t="shared" si="0"/>
        <v/>
      </c>
      <c r="H7260" s="26" t="str">
        <f t="shared" si="1"/>
        <v/>
      </c>
      <c r="I7260" s="26" t="str">
        <f t="shared" si="2"/>
        <v/>
      </c>
      <c r="J7260" s="86">
        <f t="shared" si="3"/>
        <v>0</v>
      </c>
      <c r="R7260" s="26"/>
    </row>
    <row r="7261" spans="1:18" ht="15.75" customHeight="1">
      <c r="A7261" s="26"/>
      <c r="B7261" s="86"/>
      <c r="D7261" s="26"/>
      <c r="F7261" s="87" t="str">
        <f t="shared" si="0"/>
        <v/>
      </c>
      <c r="H7261" s="26" t="str">
        <f t="shared" si="1"/>
        <v/>
      </c>
      <c r="I7261" s="26" t="str">
        <f t="shared" si="2"/>
        <v/>
      </c>
      <c r="J7261" s="86">
        <f t="shared" si="3"/>
        <v>0</v>
      </c>
      <c r="R7261" s="26"/>
    </row>
    <row r="7262" spans="1:18" ht="15.75" customHeight="1">
      <c r="A7262" s="26"/>
      <c r="B7262" s="86"/>
      <c r="D7262" s="26"/>
      <c r="F7262" s="87" t="str">
        <f t="shared" si="0"/>
        <v/>
      </c>
      <c r="H7262" s="26" t="str">
        <f t="shared" si="1"/>
        <v/>
      </c>
      <c r="I7262" s="26" t="str">
        <f t="shared" si="2"/>
        <v/>
      </c>
      <c r="J7262" s="86">
        <f t="shared" si="3"/>
        <v>0</v>
      </c>
      <c r="R7262" s="26"/>
    </row>
    <row r="7263" spans="1:18" ht="15.75" customHeight="1">
      <c r="A7263" s="26"/>
      <c r="B7263" s="86"/>
      <c r="D7263" s="26"/>
      <c r="F7263" s="87" t="str">
        <f t="shared" si="0"/>
        <v/>
      </c>
      <c r="H7263" s="26" t="str">
        <f t="shared" si="1"/>
        <v/>
      </c>
      <c r="I7263" s="26" t="str">
        <f t="shared" si="2"/>
        <v/>
      </c>
      <c r="J7263" s="86">
        <f t="shared" si="3"/>
        <v>0</v>
      </c>
      <c r="R7263" s="26"/>
    </row>
    <row r="7264" spans="1:18" ht="15.75" customHeight="1">
      <c r="A7264" s="26"/>
      <c r="B7264" s="86"/>
      <c r="D7264" s="26"/>
      <c r="F7264" s="87" t="str">
        <f t="shared" si="0"/>
        <v/>
      </c>
      <c r="H7264" s="26" t="str">
        <f t="shared" si="1"/>
        <v/>
      </c>
      <c r="I7264" s="26" t="str">
        <f t="shared" si="2"/>
        <v/>
      </c>
      <c r="J7264" s="86">
        <f t="shared" si="3"/>
        <v>0</v>
      </c>
      <c r="R7264" s="26"/>
    </row>
    <row r="7265" spans="1:18" ht="15.75" customHeight="1">
      <c r="A7265" s="26"/>
      <c r="B7265" s="86"/>
      <c r="D7265" s="26"/>
      <c r="F7265" s="87" t="str">
        <f t="shared" si="0"/>
        <v/>
      </c>
      <c r="H7265" s="26" t="str">
        <f t="shared" si="1"/>
        <v/>
      </c>
      <c r="I7265" s="26" t="str">
        <f t="shared" si="2"/>
        <v/>
      </c>
      <c r="J7265" s="86">
        <f t="shared" si="3"/>
        <v>0</v>
      </c>
      <c r="R7265" s="26"/>
    </row>
    <row r="7266" spans="1:18" ht="15.75" customHeight="1">
      <c r="A7266" s="26"/>
      <c r="B7266" s="86"/>
      <c r="D7266" s="26"/>
      <c r="F7266" s="87" t="str">
        <f t="shared" si="0"/>
        <v/>
      </c>
      <c r="H7266" s="26" t="str">
        <f t="shared" si="1"/>
        <v/>
      </c>
      <c r="I7266" s="26" t="str">
        <f t="shared" si="2"/>
        <v/>
      </c>
      <c r="J7266" s="86">
        <f t="shared" si="3"/>
        <v>0</v>
      </c>
      <c r="R7266" s="26"/>
    </row>
    <row r="7267" spans="1:18" ht="15.75" customHeight="1">
      <c r="A7267" s="26"/>
      <c r="B7267" s="86"/>
      <c r="D7267" s="26"/>
      <c r="F7267" s="87" t="str">
        <f t="shared" si="0"/>
        <v/>
      </c>
      <c r="H7267" s="26" t="str">
        <f t="shared" si="1"/>
        <v/>
      </c>
      <c r="I7267" s="26" t="str">
        <f t="shared" si="2"/>
        <v/>
      </c>
      <c r="J7267" s="86">
        <f t="shared" si="3"/>
        <v>0</v>
      </c>
      <c r="R7267" s="26"/>
    </row>
    <row r="7268" spans="1:18" ht="15.75" customHeight="1">
      <c r="A7268" s="26"/>
      <c r="B7268" s="86"/>
      <c r="D7268" s="26"/>
      <c r="F7268" s="87" t="str">
        <f t="shared" si="0"/>
        <v/>
      </c>
      <c r="H7268" s="26" t="str">
        <f t="shared" si="1"/>
        <v/>
      </c>
      <c r="I7268" s="26" t="str">
        <f t="shared" si="2"/>
        <v/>
      </c>
      <c r="J7268" s="86">
        <f t="shared" si="3"/>
        <v>0</v>
      </c>
      <c r="R7268" s="26"/>
    </row>
    <row r="7269" spans="1:18" ht="15.75" customHeight="1">
      <c r="A7269" s="26"/>
      <c r="B7269" s="86"/>
      <c r="D7269" s="26"/>
      <c r="F7269" s="87" t="str">
        <f t="shared" si="0"/>
        <v/>
      </c>
      <c r="H7269" s="26" t="str">
        <f t="shared" si="1"/>
        <v/>
      </c>
      <c r="I7269" s="26" t="str">
        <f t="shared" si="2"/>
        <v/>
      </c>
      <c r="J7269" s="86">
        <f t="shared" si="3"/>
        <v>0</v>
      </c>
      <c r="R7269" s="26"/>
    </row>
    <row r="7270" spans="1:18" ht="15.75" customHeight="1">
      <c r="A7270" s="26"/>
      <c r="B7270" s="86"/>
      <c r="D7270" s="26"/>
      <c r="F7270" s="87" t="str">
        <f t="shared" si="0"/>
        <v/>
      </c>
      <c r="H7270" s="26" t="str">
        <f t="shared" si="1"/>
        <v/>
      </c>
      <c r="I7270" s="26" t="str">
        <f t="shared" si="2"/>
        <v/>
      </c>
      <c r="J7270" s="86">
        <f t="shared" si="3"/>
        <v>0</v>
      </c>
      <c r="R7270" s="26"/>
    </row>
    <row r="7271" spans="1:18" ht="15.75" customHeight="1">
      <c r="A7271" s="26"/>
      <c r="B7271" s="86"/>
      <c r="D7271" s="26"/>
      <c r="F7271" s="87" t="str">
        <f t="shared" si="0"/>
        <v/>
      </c>
      <c r="H7271" s="26" t="str">
        <f t="shared" si="1"/>
        <v/>
      </c>
      <c r="I7271" s="26" t="str">
        <f t="shared" si="2"/>
        <v/>
      </c>
      <c r="J7271" s="86">
        <f t="shared" si="3"/>
        <v>0</v>
      </c>
      <c r="R7271" s="26"/>
    </row>
    <row r="7272" spans="1:18" ht="15.75" customHeight="1">
      <c r="A7272" s="26"/>
      <c r="B7272" s="86"/>
      <c r="D7272" s="26"/>
      <c r="F7272" s="87" t="str">
        <f t="shared" si="0"/>
        <v/>
      </c>
      <c r="H7272" s="26" t="str">
        <f t="shared" si="1"/>
        <v/>
      </c>
      <c r="I7272" s="26" t="str">
        <f t="shared" si="2"/>
        <v/>
      </c>
      <c r="J7272" s="86">
        <f t="shared" si="3"/>
        <v>0</v>
      </c>
      <c r="R7272" s="26"/>
    </row>
    <row r="7273" spans="1:18" ht="15.75" customHeight="1">
      <c r="A7273" s="26"/>
      <c r="B7273" s="86"/>
      <c r="D7273" s="26"/>
      <c r="F7273" s="87" t="str">
        <f t="shared" si="0"/>
        <v/>
      </c>
      <c r="H7273" s="26" t="str">
        <f t="shared" si="1"/>
        <v/>
      </c>
      <c r="I7273" s="26" t="str">
        <f t="shared" si="2"/>
        <v/>
      </c>
      <c r="J7273" s="86">
        <f t="shared" si="3"/>
        <v>0</v>
      </c>
      <c r="R7273" s="26"/>
    </row>
    <row r="7274" spans="1:18" ht="15.75" customHeight="1">
      <c r="A7274" s="26"/>
      <c r="B7274" s="86"/>
      <c r="D7274" s="26"/>
      <c r="F7274" s="87" t="str">
        <f t="shared" si="0"/>
        <v/>
      </c>
      <c r="H7274" s="26" t="str">
        <f t="shared" si="1"/>
        <v/>
      </c>
      <c r="I7274" s="26" t="str">
        <f t="shared" si="2"/>
        <v/>
      </c>
      <c r="J7274" s="86">
        <f t="shared" si="3"/>
        <v>0</v>
      </c>
      <c r="R7274" s="26"/>
    </row>
    <row r="7275" spans="1:18" ht="15.75" customHeight="1">
      <c r="A7275" s="26"/>
      <c r="B7275" s="86"/>
      <c r="D7275" s="26"/>
      <c r="F7275" s="87" t="str">
        <f t="shared" si="0"/>
        <v/>
      </c>
      <c r="H7275" s="26" t="str">
        <f t="shared" si="1"/>
        <v/>
      </c>
      <c r="I7275" s="26" t="str">
        <f t="shared" si="2"/>
        <v/>
      </c>
      <c r="J7275" s="86">
        <f t="shared" si="3"/>
        <v>0</v>
      </c>
      <c r="R7275" s="26"/>
    </row>
    <row r="7276" spans="1:18" ht="15.75" customHeight="1">
      <c r="A7276" s="26"/>
      <c r="B7276" s="86"/>
      <c r="D7276" s="26"/>
      <c r="F7276" s="87" t="str">
        <f t="shared" si="0"/>
        <v/>
      </c>
      <c r="H7276" s="26" t="str">
        <f t="shared" si="1"/>
        <v/>
      </c>
      <c r="I7276" s="26" t="str">
        <f t="shared" si="2"/>
        <v/>
      </c>
      <c r="J7276" s="86">
        <f t="shared" si="3"/>
        <v>0</v>
      </c>
      <c r="R7276" s="26"/>
    </row>
    <row r="7277" spans="1:18" ht="15.75" customHeight="1">
      <c r="A7277" s="26"/>
      <c r="B7277" s="86"/>
      <c r="D7277" s="26"/>
      <c r="F7277" s="87" t="str">
        <f t="shared" si="0"/>
        <v/>
      </c>
      <c r="H7277" s="26" t="str">
        <f t="shared" si="1"/>
        <v/>
      </c>
      <c r="I7277" s="26" t="str">
        <f t="shared" si="2"/>
        <v/>
      </c>
      <c r="J7277" s="86">
        <f t="shared" si="3"/>
        <v>0</v>
      </c>
      <c r="R7277" s="26"/>
    </row>
    <row r="7278" spans="1:18" ht="15.75" customHeight="1">
      <c r="A7278" s="26"/>
      <c r="B7278" s="86"/>
      <c r="D7278" s="26"/>
      <c r="F7278" s="87" t="str">
        <f t="shared" si="0"/>
        <v/>
      </c>
      <c r="H7278" s="26" t="str">
        <f t="shared" si="1"/>
        <v/>
      </c>
      <c r="I7278" s="26" t="str">
        <f t="shared" si="2"/>
        <v/>
      </c>
      <c r="J7278" s="86">
        <f t="shared" si="3"/>
        <v>0</v>
      </c>
      <c r="R7278" s="26"/>
    </row>
    <row r="7279" spans="1:18" ht="15.75" customHeight="1">
      <c r="A7279" s="26"/>
      <c r="B7279" s="86"/>
      <c r="D7279" s="26"/>
      <c r="F7279" s="87" t="str">
        <f t="shared" si="0"/>
        <v/>
      </c>
      <c r="H7279" s="26" t="str">
        <f t="shared" si="1"/>
        <v/>
      </c>
      <c r="I7279" s="26" t="str">
        <f t="shared" si="2"/>
        <v/>
      </c>
      <c r="J7279" s="86">
        <f t="shared" si="3"/>
        <v>0</v>
      </c>
      <c r="R7279" s="26"/>
    </row>
    <row r="7280" spans="1:18" ht="15.75" customHeight="1">
      <c r="A7280" s="26"/>
      <c r="B7280" s="86"/>
      <c r="D7280" s="26"/>
      <c r="F7280" s="87" t="str">
        <f t="shared" si="0"/>
        <v/>
      </c>
      <c r="H7280" s="26" t="str">
        <f t="shared" si="1"/>
        <v/>
      </c>
      <c r="I7280" s="26" t="str">
        <f t="shared" si="2"/>
        <v/>
      </c>
      <c r="J7280" s="86">
        <f t="shared" si="3"/>
        <v>0</v>
      </c>
      <c r="R7280" s="26"/>
    </row>
    <row r="7281" spans="1:18" ht="15.75" customHeight="1">
      <c r="A7281" s="26"/>
      <c r="B7281" s="86"/>
      <c r="D7281" s="26"/>
      <c r="F7281" s="87" t="str">
        <f t="shared" si="0"/>
        <v/>
      </c>
      <c r="H7281" s="26" t="str">
        <f t="shared" si="1"/>
        <v/>
      </c>
      <c r="I7281" s="26" t="str">
        <f t="shared" si="2"/>
        <v/>
      </c>
      <c r="J7281" s="86">
        <f t="shared" si="3"/>
        <v>0</v>
      </c>
      <c r="R7281" s="26"/>
    </row>
    <row r="7282" spans="1:18" ht="15.75" customHeight="1">
      <c r="A7282" s="26"/>
      <c r="B7282" s="86"/>
      <c r="D7282" s="26"/>
      <c r="F7282" s="87" t="str">
        <f t="shared" si="0"/>
        <v/>
      </c>
      <c r="H7282" s="26" t="str">
        <f t="shared" si="1"/>
        <v/>
      </c>
      <c r="I7282" s="26" t="str">
        <f t="shared" si="2"/>
        <v/>
      </c>
      <c r="J7282" s="86">
        <f t="shared" si="3"/>
        <v>0</v>
      </c>
      <c r="R7282" s="26"/>
    </row>
    <row r="7283" spans="1:18" ht="15.75" customHeight="1">
      <c r="A7283" s="26"/>
      <c r="B7283" s="86"/>
      <c r="D7283" s="26"/>
      <c r="F7283" s="87" t="str">
        <f t="shared" si="0"/>
        <v/>
      </c>
      <c r="H7283" s="26" t="str">
        <f t="shared" si="1"/>
        <v/>
      </c>
      <c r="I7283" s="26" t="str">
        <f t="shared" si="2"/>
        <v/>
      </c>
      <c r="J7283" s="86">
        <f t="shared" si="3"/>
        <v>0</v>
      </c>
      <c r="R7283" s="26"/>
    </row>
    <row r="7284" spans="1:18" ht="15.75" customHeight="1">
      <c r="A7284" s="26"/>
      <c r="B7284" s="86"/>
      <c r="D7284" s="26"/>
      <c r="F7284" s="87" t="str">
        <f t="shared" si="0"/>
        <v/>
      </c>
      <c r="H7284" s="26" t="str">
        <f t="shared" si="1"/>
        <v/>
      </c>
      <c r="I7284" s="26" t="str">
        <f t="shared" si="2"/>
        <v/>
      </c>
      <c r="J7284" s="86">
        <f t="shared" si="3"/>
        <v>0</v>
      </c>
      <c r="R7284" s="26"/>
    </row>
    <row r="7285" spans="1:18" ht="15.75" customHeight="1">
      <c r="A7285" s="26"/>
      <c r="B7285" s="86"/>
      <c r="D7285" s="26"/>
      <c r="F7285" s="87" t="str">
        <f t="shared" si="0"/>
        <v/>
      </c>
      <c r="H7285" s="26" t="str">
        <f t="shared" si="1"/>
        <v/>
      </c>
      <c r="I7285" s="26" t="str">
        <f t="shared" si="2"/>
        <v/>
      </c>
      <c r="J7285" s="86">
        <f t="shared" si="3"/>
        <v>0</v>
      </c>
      <c r="R7285" s="26"/>
    </row>
    <row r="7286" spans="1:18" ht="15.75" customHeight="1">
      <c r="A7286" s="26"/>
      <c r="B7286" s="86"/>
      <c r="D7286" s="26"/>
      <c r="F7286" s="87" t="str">
        <f t="shared" si="0"/>
        <v/>
      </c>
      <c r="H7286" s="26" t="str">
        <f t="shared" si="1"/>
        <v/>
      </c>
      <c r="I7286" s="26" t="str">
        <f t="shared" si="2"/>
        <v/>
      </c>
      <c r="J7286" s="86">
        <f t="shared" si="3"/>
        <v>0</v>
      </c>
      <c r="R7286" s="26"/>
    </row>
    <row r="7287" spans="1:18" ht="15.75" customHeight="1">
      <c r="A7287" s="26"/>
      <c r="B7287" s="86"/>
      <c r="D7287" s="26"/>
      <c r="F7287" s="87" t="str">
        <f t="shared" si="0"/>
        <v/>
      </c>
      <c r="H7287" s="26" t="str">
        <f t="shared" si="1"/>
        <v/>
      </c>
      <c r="I7287" s="26" t="str">
        <f t="shared" si="2"/>
        <v/>
      </c>
      <c r="J7287" s="86">
        <f t="shared" si="3"/>
        <v>0</v>
      </c>
      <c r="R7287" s="26"/>
    </row>
    <row r="7288" spans="1:18" ht="15.75" customHeight="1">
      <c r="A7288" s="26"/>
      <c r="B7288" s="86"/>
      <c r="D7288" s="26"/>
      <c r="F7288" s="87" t="str">
        <f t="shared" si="0"/>
        <v/>
      </c>
      <c r="H7288" s="26" t="str">
        <f t="shared" si="1"/>
        <v/>
      </c>
      <c r="I7288" s="26" t="str">
        <f t="shared" si="2"/>
        <v/>
      </c>
      <c r="J7288" s="86">
        <f t="shared" si="3"/>
        <v>0</v>
      </c>
      <c r="R7288" s="26"/>
    </row>
    <row r="7289" spans="1:18" ht="15.75" customHeight="1">
      <c r="A7289" s="26"/>
      <c r="B7289" s="86"/>
      <c r="D7289" s="26"/>
      <c r="F7289" s="87" t="str">
        <f t="shared" si="0"/>
        <v/>
      </c>
      <c r="H7289" s="26" t="str">
        <f t="shared" si="1"/>
        <v/>
      </c>
      <c r="I7289" s="26" t="str">
        <f t="shared" si="2"/>
        <v/>
      </c>
      <c r="J7289" s="86">
        <f t="shared" si="3"/>
        <v>0</v>
      </c>
      <c r="R7289" s="26"/>
    </row>
    <row r="7290" spans="1:18" ht="15.75" customHeight="1">
      <c r="A7290" s="26"/>
      <c r="B7290" s="86"/>
      <c r="D7290" s="26"/>
      <c r="F7290" s="87" t="str">
        <f t="shared" si="0"/>
        <v/>
      </c>
      <c r="H7290" s="26" t="str">
        <f t="shared" si="1"/>
        <v/>
      </c>
      <c r="I7290" s="26" t="str">
        <f t="shared" si="2"/>
        <v/>
      </c>
      <c r="J7290" s="86">
        <f t="shared" si="3"/>
        <v>0</v>
      </c>
      <c r="R7290" s="26"/>
    </row>
    <row r="7291" spans="1:18" ht="15.75" customHeight="1">
      <c r="A7291" s="26"/>
      <c r="B7291" s="86"/>
      <c r="D7291" s="26"/>
      <c r="F7291" s="87" t="str">
        <f t="shared" si="0"/>
        <v/>
      </c>
      <c r="H7291" s="26" t="str">
        <f t="shared" si="1"/>
        <v/>
      </c>
      <c r="I7291" s="26" t="str">
        <f t="shared" si="2"/>
        <v/>
      </c>
      <c r="J7291" s="86">
        <f t="shared" si="3"/>
        <v>0</v>
      </c>
      <c r="R7291" s="26"/>
    </row>
    <row r="7292" spans="1:18" ht="15.75" customHeight="1">
      <c r="A7292" s="26"/>
      <c r="B7292" s="86"/>
      <c r="D7292" s="26"/>
      <c r="F7292" s="87" t="str">
        <f t="shared" si="0"/>
        <v/>
      </c>
      <c r="H7292" s="26" t="str">
        <f t="shared" si="1"/>
        <v/>
      </c>
      <c r="I7292" s="26" t="str">
        <f t="shared" si="2"/>
        <v/>
      </c>
      <c r="J7292" s="86">
        <f t="shared" si="3"/>
        <v>0</v>
      </c>
      <c r="R7292" s="26"/>
    </row>
    <row r="7293" spans="1:18" ht="15.75" customHeight="1">
      <c r="A7293" s="26"/>
      <c r="B7293" s="86"/>
      <c r="D7293" s="26"/>
      <c r="F7293" s="87" t="str">
        <f t="shared" si="0"/>
        <v/>
      </c>
      <c r="H7293" s="26" t="str">
        <f t="shared" si="1"/>
        <v/>
      </c>
      <c r="I7293" s="26" t="str">
        <f t="shared" si="2"/>
        <v/>
      </c>
      <c r="J7293" s="86">
        <f t="shared" si="3"/>
        <v>0</v>
      </c>
      <c r="R7293" s="26"/>
    </row>
    <row r="7294" spans="1:18" ht="15.75" customHeight="1">
      <c r="A7294" s="26"/>
      <c r="B7294" s="86"/>
      <c r="D7294" s="26"/>
      <c r="F7294" s="87" t="str">
        <f t="shared" si="0"/>
        <v/>
      </c>
      <c r="H7294" s="26" t="str">
        <f t="shared" si="1"/>
        <v/>
      </c>
      <c r="I7294" s="26" t="str">
        <f t="shared" si="2"/>
        <v/>
      </c>
      <c r="J7294" s="86">
        <f t="shared" si="3"/>
        <v>0</v>
      </c>
      <c r="R7294" s="26"/>
    </row>
    <row r="7295" spans="1:18" ht="15.75" customHeight="1">
      <c r="A7295" s="26"/>
      <c r="B7295" s="86"/>
      <c r="D7295" s="26"/>
      <c r="F7295" s="87" t="str">
        <f t="shared" si="0"/>
        <v/>
      </c>
      <c r="H7295" s="26" t="str">
        <f t="shared" si="1"/>
        <v/>
      </c>
      <c r="I7295" s="26" t="str">
        <f t="shared" si="2"/>
        <v/>
      </c>
      <c r="J7295" s="86">
        <f t="shared" si="3"/>
        <v>0</v>
      </c>
      <c r="R7295" s="26"/>
    </row>
    <row r="7296" spans="1:18" ht="15.75" customHeight="1">
      <c r="A7296" s="26"/>
      <c r="B7296" s="86"/>
      <c r="D7296" s="26"/>
      <c r="F7296" s="87" t="str">
        <f t="shared" si="0"/>
        <v/>
      </c>
      <c r="H7296" s="26" t="str">
        <f t="shared" si="1"/>
        <v/>
      </c>
      <c r="I7296" s="26" t="str">
        <f t="shared" si="2"/>
        <v/>
      </c>
      <c r="J7296" s="86">
        <f t="shared" si="3"/>
        <v>0</v>
      </c>
      <c r="R7296" s="26"/>
    </row>
    <row r="7297" spans="1:18" ht="15.75" customHeight="1">
      <c r="A7297" s="26"/>
      <c r="B7297" s="86"/>
      <c r="D7297" s="26"/>
      <c r="F7297" s="87" t="str">
        <f t="shared" si="0"/>
        <v/>
      </c>
      <c r="H7297" s="26" t="str">
        <f t="shared" si="1"/>
        <v/>
      </c>
      <c r="I7297" s="26" t="str">
        <f t="shared" si="2"/>
        <v/>
      </c>
      <c r="J7297" s="86">
        <f t="shared" si="3"/>
        <v>0</v>
      </c>
      <c r="R7297" s="26"/>
    </row>
    <row r="7298" spans="1:18" ht="15.75" customHeight="1">
      <c r="A7298" s="26"/>
      <c r="B7298" s="86"/>
      <c r="D7298" s="26"/>
      <c r="F7298" s="87" t="str">
        <f t="shared" si="0"/>
        <v/>
      </c>
      <c r="H7298" s="26" t="str">
        <f t="shared" si="1"/>
        <v/>
      </c>
      <c r="I7298" s="26" t="str">
        <f t="shared" si="2"/>
        <v/>
      </c>
      <c r="J7298" s="86">
        <f t="shared" si="3"/>
        <v>0</v>
      </c>
      <c r="R7298" s="26"/>
    </row>
    <row r="7299" spans="1:18" ht="15.75" customHeight="1">
      <c r="A7299" s="26"/>
      <c r="B7299" s="86"/>
      <c r="D7299" s="26"/>
      <c r="F7299" s="87" t="str">
        <f t="shared" si="0"/>
        <v/>
      </c>
      <c r="H7299" s="26" t="str">
        <f t="shared" si="1"/>
        <v/>
      </c>
      <c r="I7299" s="26" t="str">
        <f t="shared" si="2"/>
        <v/>
      </c>
      <c r="J7299" s="86">
        <f t="shared" si="3"/>
        <v>0</v>
      </c>
      <c r="R7299" s="26"/>
    </row>
    <row r="7300" spans="1:18" ht="15.75" customHeight="1">
      <c r="A7300" s="26"/>
      <c r="B7300" s="86"/>
      <c r="D7300" s="26"/>
      <c r="F7300" s="87" t="str">
        <f t="shared" si="0"/>
        <v/>
      </c>
      <c r="H7300" s="26" t="str">
        <f t="shared" si="1"/>
        <v/>
      </c>
      <c r="I7300" s="26" t="str">
        <f t="shared" si="2"/>
        <v/>
      </c>
      <c r="J7300" s="86">
        <f t="shared" si="3"/>
        <v>0</v>
      </c>
      <c r="R7300" s="26"/>
    </row>
    <row r="7301" spans="1:18" ht="15.75" customHeight="1">
      <c r="A7301" s="26"/>
      <c r="B7301" s="86"/>
      <c r="D7301" s="26"/>
      <c r="F7301" s="87" t="str">
        <f t="shared" si="0"/>
        <v/>
      </c>
      <c r="H7301" s="26" t="str">
        <f t="shared" si="1"/>
        <v/>
      </c>
      <c r="I7301" s="26" t="str">
        <f t="shared" si="2"/>
        <v/>
      </c>
      <c r="J7301" s="86">
        <f t="shared" si="3"/>
        <v>0</v>
      </c>
      <c r="R7301" s="26"/>
    </row>
    <row r="7302" spans="1:18" ht="15.75" customHeight="1">
      <c r="A7302" s="26"/>
      <c r="B7302" s="86"/>
      <c r="D7302" s="26"/>
      <c r="F7302" s="87" t="str">
        <f t="shared" si="0"/>
        <v/>
      </c>
      <c r="H7302" s="26" t="str">
        <f t="shared" si="1"/>
        <v/>
      </c>
      <c r="I7302" s="26" t="str">
        <f t="shared" si="2"/>
        <v/>
      </c>
      <c r="J7302" s="86">
        <f t="shared" si="3"/>
        <v>0</v>
      </c>
      <c r="R7302" s="26"/>
    </row>
    <row r="7303" spans="1:18" ht="15.75" customHeight="1">
      <c r="A7303" s="26"/>
      <c r="B7303" s="86"/>
      <c r="D7303" s="26"/>
      <c r="F7303" s="87" t="str">
        <f t="shared" si="0"/>
        <v/>
      </c>
      <c r="H7303" s="26" t="str">
        <f t="shared" si="1"/>
        <v/>
      </c>
      <c r="I7303" s="26" t="str">
        <f t="shared" si="2"/>
        <v/>
      </c>
      <c r="J7303" s="86">
        <f t="shared" si="3"/>
        <v>0</v>
      </c>
      <c r="R7303" s="26"/>
    </row>
    <row r="7304" spans="1:18" ht="15.75" customHeight="1">
      <c r="A7304" s="26"/>
      <c r="B7304" s="86"/>
      <c r="D7304" s="26"/>
      <c r="F7304" s="87" t="str">
        <f t="shared" si="0"/>
        <v/>
      </c>
      <c r="H7304" s="26" t="str">
        <f t="shared" si="1"/>
        <v/>
      </c>
      <c r="I7304" s="26" t="str">
        <f t="shared" si="2"/>
        <v/>
      </c>
      <c r="J7304" s="86">
        <f t="shared" si="3"/>
        <v>0</v>
      </c>
      <c r="R7304" s="26"/>
    </row>
    <row r="7305" spans="1:18" ht="15.75" customHeight="1">
      <c r="A7305" s="26"/>
      <c r="B7305" s="86"/>
      <c r="D7305" s="26"/>
      <c r="F7305" s="87" t="str">
        <f t="shared" si="0"/>
        <v/>
      </c>
      <c r="H7305" s="26" t="str">
        <f t="shared" si="1"/>
        <v/>
      </c>
      <c r="I7305" s="26" t="str">
        <f t="shared" si="2"/>
        <v/>
      </c>
      <c r="J7305" s="86">
        <f t="shared" si="3"/>
        <v>0</v>
      </c>
      <c r="R7305" s="26"/>
    </row>
    <row r="7306" spans="1:18" ht="15.75" customHeight="1">
      <c r="A7306" s="26"/>
      <c r="B7306" s="86"/>
      <c r="D7306" s="26"/>
      <c r="F7306" s="87" t="str">
        <f t="shared" si="0"/>
        <v/>
      </c>
      <c r="H7306" s="26" t="str">
        <f t="shared" si="1"/>
        <v/>
      </c>
      <c r="I7306" s="26" t="str">
        <f t="shared" si="2"/>
        <v/>
      </c>
      <c r="J7306" s="86">
        <f t="shared" si="3"/>
        <v>0</v>
      </c>
      <c r="R7306" s="26"/>
    </row>
    <row r="7307" spans="1:18" ht="15.75" customHeight="1">
      <c r="A7307" s="26"/>
      <c r="B7307" s="86"/>
      <c r="D7307" s="26"/>
      <c r="F7307" s="87" t="str">
        <f t="shared" si="0"/>
        <v/>
      </c>
      <c r="H7307" s="26" t="str">
        <f t="shared" si="1"/>
        <v/>
      </c>
      <c r="I7307" s="26" t="str">
        <f t="shared" si="2"/>
        <v/>
      </c>
      <c r="J7307" s="86">
        <f t="shared" si="3"/>
        <v>0</v>
      </c>
      <c r="R7307" s="26"/>
    </row>
    <row r="7308" spans="1:18" ht="15.75" customHeight="1">
      <c r="A7308" s="26"/>
      <c r="B7308" s="86"/>
      <c r="D7308" s="26"/>
      <c r="F7308" s="87" t="str">
        <f t="shared" si="0"/>
        <v/>
      </c>
      <c r="H7308" s="26" t="str">
        <f t="shared" si="1"/>
        <v/>
      </c>
      <c r="I7308" s="26" t="str">
        <f t="shared" si="2"/>
        <v/>
      </c>
      <c r="J7308" s="86">
        <f t="shared" si="3"/>
        <v>0</v>
      </c>
      <c r="R7308" s="26"/>
    </row>
    <row r="7309" spans="1:18" ht="15.75" customHeight="1">
      <c r="A7309" s="26"/>
      <c r="B7309" s="86"/>
      <c r="D7309" s="26"/>
      <c r="F7309" s="87" t="str">
        <f t="shared" si="0"/>
        <v/>
      </c>
      <c r="H7309" s="26" t="str">
        <f t="shared" si="1"/>
        <v/>
      </c>
      <c r="I7309" s="26" t="str">
        <f t="shared" si="2"/>
        <v/>
      </c>
      <c r="J7309" s="86">
        <f t="shared" si="3"/>
        <v>0</v>
      </c>
      <c r="R7309" s="26"/>
    </row>
    <row r="7310" spans="1:18" ht="15.75" customHeight="1">
      <c r="A7310" s="26"/>
      <c r="B7310" s="86"/>
      <c r="D7310" s="26"/>
      <c r="F7310" s="87" t="str">
        <f t="shared" si="0"/>
        <v/>
      </c>
      <c r="H7310" s="26" t="str">
        <f t="shared" si="1"/>
        <v/>
      </c>
      <c r="I7310" s="26" t="str">
        <f t="shared" si="2"/>
        <v/>
      </c>
      <c r="J7310" s="86">
        <f t="shared" si="3"/>
        <v>0</v>
      </c>
      <c r="R7310" s="26"/>
    </row>
    <row r="7311" spans="1:18" ht="15.75" customHeight="1">
      <c r="A7311" s="26"/>
      <c r="B7311" s="86"/>
      <c r="D7311" s="26"/>
      <c r="F7311" s="87" t="str">
        <f t="shared" si="0"/>
        <v/>
      </c>
      <c r="H7311" s="26" t="str">
        <f t="shared" si="1"/>
        <v/>
      </c>
      <c r="I7311" s="26" t="str">
        <f t="shared" si="2"/>
        <v/>
      </c>
      <c r="J7311" s="86">
        <f t="shared" si="3"/>
        <v>0</v>
      </c>
      <c r="R7311" s="26"/>
    </row>
    <row r="7312" spans="1:18" ht="15.75" customHeight="1">
      <c r="A7312" s="26"/>
      <c r="B7312" s="86"/>
      <c r="D7312" s="26"/>
      <c r="F7312" s="87" t="str">
        <f t="shared" si="0"/>
        <v/>
      </c>
      <c r="H7312" s="26" t="str">
        <f t="shared" si="1"/>
        <v/>
      </c>
      <c r="I7312" s="26" t="str">
        <f t="shared" si="2"/>
        <v/>
      </c>
      <c r="J7312" s="86">
        <f t="shared" si="3"/>
        <v>0</v>
      </c>
      <c r="R7312" s="26"/>
    </row>
    <row r="7313" spans="1:18" ht="15.75" customHeight="1">
      <c r="A7313" s="26"/>
      <c r="B7313" s="86"/>
      <c r="D7313" s="26"/>
      <c r="F7313" s="87" t="str">
        <f t="shared" si="0"/>
        <v/>
      </c>
      <c r="H7313" s="26" t="str">
        <f t="shared" si="1"/>
        <v/>
      </c>
      <c r="I7313" s="26" t="str">
        <f t="shared" si="2"/>
        <v/>
      </c>
      <c r="J7313" s="86">
        <f t="shared" si="3"/>
        <v>0</v>
      </c>
      <c r="R7313" s="26"/>
    </row>
    <row r="7314" spans="1:18" ht="15.75" customHeight="1">
      <c r="A7314" s="26"/>
      <c r="B7314" s="86"/>
      <c r="D7314" s="26"/>
      <c r="F7314" s="87" t="str">
        <f t="shared" si="0"/>
        <v/>
      </c>
      <c r="H7314" s="26" t="str">
        <f t="shared" si="1"/>
        <v/>
      </c>
      <c r="I7314" s="26" t="str">
        <f t="shared" si="2"/>
        <v/>
      </c>
      <c r="J7314" s="86">
        <f t="shared" si="3"/>
        <v>0</v>
      </c>
      <c r="R7314" s="26"/>
    </row>
    <row r="7315" spans="1:18" ht="15.75" customHeight="1">
      <c r="A7315" s="26"/>
      <c r="B7315" s="86"/>
      <c r="D7315" s="26"/>
      <c r="F7315" s="87" t="str">
        <f t="shared" si="0"/>
        <v/>
      </c>
      <c r="H7315" s="26" t="str">
        <f t="shared" si="1"/>
        <v/>
      </c>
      <c r="I7315" s="26" t="str">
        <f t="shared" si="2"/>
        <v/>
      </c>
      <c r="J7315" s="86">
        <f t="shared" si="3"/>
        <v>0</v>
      </c>
      <c r="R7315" s="26"/>
    </row>
    <row r="7316" spans="1:18" ht="15.75" customHeight="1">
      <c r="A7316" s="26"/>
      <c r="B7316" s="86"/>
      <c r="D7316" s="26"/>
      <c r="F7316" s="87" t="str">
        <f t="shared" si="0"/>
        <v/>
      </c>
      <c r="H7316" s="26" t="str">
        <f t="shared" si="1"/>
        <v/>
      </c>
      <c r="I7316" s="26" t="str">
        <f t="shared" si="2"/>
        <v/>
      </c>
      <c r="J7316" s="86">
        <f t="shared" si="3"/>
        <v>0</v>
      </c>
      <c r="R7316" s="26"/>
    </row>
    <row r="7317" spans="1:18" ht="15.75" customHeight="1">
      <c r="A7317" s="26"/>
      <c r="B7317" s="86"/>
      <c r="D7317" s="26"/>
      <c r="F7317" s="87" t="str">
        <f t="shared" si="0"/>
        <v/>
      </c>
      <c r="H7317" s="26" t="str">
        <f t="shared" si="1"/>
        <v/>
      </c>
      <c r="I7317" s="26" t="str">
        <f t="shared" si="2"/>
        <v/>
      </c>
      <c r="J7317" s="86">
        <f t="shared" si="3"/>
        <v>0</v>
      </c>
      <c r="R7317" s="26"/>
    </row>
    <row r="7318" spans="1:18" ht="15.75" customHeight="1">
      <c r="A7318" s="26"/>
      <c r="B7318" s="86"/>
      <c r="D7318" s="26"/>
      <c r="F7318" s="87" t="str">
        <f t="shared" si="0"/>
        <v/>
      </c>
      <c r="H7318" s="26" t="str">
        <f t="shared" si="1"/>
        <v/>
      </c>
      <c r="I7318" s="26" t="str">
        <f t="shared" si="2"/>
        <v/>
      </c>
      <c r="J7318" s="86">
        <f t="shared" si="3"/>
        <v>0</v>
      </c>
      <c r="R7318" s="26"/>
    </row>
    <row r="7319" spans="1:18" ht="15.75" customHeight="1">
      <c r="A7319" s="26"/>
      <c r="B7319" s="86"/>
      <c r="D7319" s="26"/>
      <c r="F7319" s="87" t="str">
        <f t="shared" si="0"/>
        <v/>
      </c>
      <c r="H7319" s="26" t="str">
        <f t="shared" si="1"/>
        <v/>
      </c>
      <c r="I7319" s="26" t="str">
        <f t="shared" si="2"/>
        <v/>
      </c>
      <c r="J7319" s="86">
        <f t="shared" si="3"/>
        <v>0</v>
      </c>
      <c r="R7319" s="26"/>
    </row>
    <row r="7320" spans="1:18" ht="15.75" customHeight="1">
      <c r="A7320" s="26"/>
      <c r="B7320" s="86"/>
      <c r="D7320" s="26"/>
      <c r="F7320" s="87" t="str">
        <f t="shared" si="0"/>
        <v/>
      </c>
      <c r="H7320" s="26" t="str">
        <f t="shared" si="1"/>
        <v/>
      </c>
      <c r="I7320" s="26" t="str">
        <f t="shared" si="2"/>
        <v/>
      </c>
      <c r="J7320" s="86">
        <f t="shared" si="3"/>
        <v>0</v>
      </c>
      <c r="R7320" s="26"/>
    </row>
    <row r="7321" spans="1:18" ht="15.75" customHeight="1">
      <c r="A7321" s="26"/>
      <c r="B7321" s="86"/>
      <c r="D7321" s="26"/>
      <c r="F7321" s="87" t="str">
        <f t="shared" si="0"/>
        <v/>
      </c>
      <c r="H7321" s="26" t="str">
        <f t="shared" si="1"/>
        <v/>
      </c>
      <c r="I7321" s="26" t="str">
        <f t="shared" si="2"/>
        <v/>
      </c>
      <c r="J7321" s="86">
        <f t="shared" si="3"/>
        <v>0</v>
      </c>
      <c r="R7321" s="26"/>
    </row>
    <row r="7322" spans="1:18" ht="15.75" customHeight="1">
      <c r="A7322" s="26"/>
      <c r="B7322" s="86"/>
      <c r="D7322" s="26"/>
      <c r="F7322" s="87" t="str">
        <f t="shared" si="0"/>
        <v/>
      </c>
      <c r="H7322" s="26" t="str">
        <f t="shared" si="1"/>
        <v/>
      </c>
      <c r="I7322" s="26" t="str">
        <f t="shared" si="2"/>
        <v/>
      </c>
      <c r="J7322" s="86">
        <f t="shared" si="3"/>
        <v>0</v>
      </c>
      <c r="R7322" s="26"/>
    </row>
    <row r="7323" spans="1:18" ht="15.75" customHeight="1">
      <c r="A7323" s="26"/>
      <c r="B7323" s="86"/>
      <c r="D7323" s="26"/>
      <c r="F7323" s="87" t="str">
        <f t="shared" si="0"/>
        <v/>
      </c>
      <c r="H7323" s="26" t="str">
        <f t="shared" si="1"/>
        <v/>
      </c>
      <c r="I7323" s="26" t="str">
        <f t="shared" si="2"/>
        <v/>
      </c>
      <c r="J7323" s="86">
        <f t="shared" si="3"/>
        <v>0</v>
      </c>
      <c r="R7323" s="26"/>
    </row>
    <row r="7324" spans="1:18" ht="15.75" customHeight="1">
      <c r="A7324" s="26"/>
      <c r="B7324" s="86"/>
      <c r="D7324" s="26"/>
      <c r="F7324" s="87" t="str">
        <f t="shared" si="0"/>
        <v/>
      </c>
      <c r="H7324" s="26" t="str">
        <f t="shared" si="1"/>
        <v/>
      </c>
      <c r="I7324" s="26" t="str">
        <f t="shared" si="2"/>
        <v/>
      </c>
      <c r="J7324" s="86">
        <f t="shared" si="3"/>
        <v>0</v>
      </c>
      <c r="R7324" s="26"/>
    </row>
    <row r="7325" spans="1:18" ht="15.75" customHeight="1">
      <c r="A7325" s="26"/>
      <c r="B7325" s="86"/>
      <c r="D7325" s="26"/>
      <c r="F7325" s="87" t="str">
        <f t="shared" si="0"/>
        <v/>
      </c>
      <c r="H7325" s="26" t="str">
        <f t="shared" si="1"/>
        <v/>
      </c>
      <c r="I7325" s="26" t="str">
        <f t="shared" si="2"/>
        <v/>
      </c>
      <c r="J7325" s="86">
        <f t="shared" si="3"/>
        <v>0</v>
      </c>
      <c r="R7325" s="26"/>
    </row>
    <row r="7326" spans="1:18" ht="15.75" customHeight="1">
      <c r="A7326" s="26"/>
      <c r="B7326" s="86"/>
      <c r="D7326" s="26"/>
      <c r="F7326" s="87" t="str">
        <f t="shared" si="0"/>
        <v/>
      </c>
      <c r="H7326" s="26" t="str">
        <f t="shared" si="1"/>
        <v/>
      </c>
      <c r="I7326" s="26" t="str">
        <f t="shared" si="2"/>
        <v/>
      </c>
      <c r="J7326" s="86">
        <f t="shared" si="3"/>
        <v>0</v>
      </c>
      <c r="R7326" s="26"/>
    </row>
    <row r="7327" spans="1:18" ht="15.75" customHeight="1">
      <c r="A7327" s="26"/>
      <c r="B7327" s="86"/>
      <c r="D7327" s="26"/>
      <c r="F7327" s="87" t="str">
        <f t="shared" si="0"/>
        <v/>
      </c>
      <c r="H7327" s="26" t="str">
        <f t="shared" si="1"/>
        <v/>
      </c>
      <c r="I7327" s="26" t="str">
        <f t="shared" si="2"/>
        <v/>
      </c>
      <c r="J7327" s="86">
        <f t="shared" si="3"/>
        <v>0</v>
      </c>
      <c r="R7327" s="26"/>
    </row>
    <row r="7328" spans="1:18" ht="15.75" customHeight="1">
      <c r="A7328" s="26"/>
      <c r="B7328" s="86"/>
      <c r="D7328" s="26"/>
      <c r="F7328" s="87" t="str">
        <f t="shared" si="0"/>
        <v/>
      </c>
      <c r="H7328" s="26" t="str">
        <f t="shared" si="1"/>
        <v/>
      </c>
      <c r="I7328" s="26" t="str">
        <f t="shared" si="2"/>
        <v/>
      </c>
      <c r="J7328" s="86">
        <f t="shared" si="3"/>
        <v>0</v>
      </c>
      <c r="R7328" s="26"/>
    </row>
    <row r="7329" spans="1:18" ht="15.75" customHeight="1">
      <c r="A7329" s="26"/>
      <c r="B7329" s="86"/>
      <c r="D7329" s="26"/>
      <c r="F7329" s="87" t="str">
        <f t="shared" si="0"/>
        <v/>
      </c>
      <c r="H7329" s="26" t="str">
        <f t="shared" si="1"/>
        <v/>
      </c>
      <c r="I7329" s="26" t="str">
        <f t="shared" si="2"/>
        <v/>
      </c>
      <c r="J7329" s="86">
        <f t="shared" si="3"/>
        <v>0</v>
      </c>
      <c r="R7329" s="26"/>
    </row>
    <row r="7330" spans="1:18" ht="15.75" customHeight="1">
      <c r="A7330" s="26"/>
      <c r="B7330" s="86"/>
      <c r="D7330" s="26"/>
      <c r="F7330" s="87" t="str">
        <f t="shared" si="0"/>
        <v/>
      </c>
      <c r="H7330" s="26" t="str">
        <f t="shared" si="1"/>
        <v/>
      </c>
      <c r="I7330" s="26" t="str">
        <f t="shared" si="2"/>
        <v/>
      </c>
      <c r="J7330" s="86">
        <f t="shared" si="3"/>
        <v>0</v>
      </c>
      <c r="R7330" s="26"/>
    </row>
    <row r="7331" spans="1:18" ht="15.75" customHeight="1">
      <c r="A7331" s="26"/>
      <c r="B7331" s="86"/>
      <c r="D7331" s="26"/>
      <c r="F7331" s="87" t="str">
        <f t="shared" si="0"/>
        <v/>
      </c>
      <c r="H7331" s="26" t="str">
        <f t="shared" si="1"/>
        <v/>
      </c>
      <c r="I7331" s="26" t="str">
        <f t="shared" si="2"/>
        <v/>
      </c>
      <c r="J7331" s="86">
        <f t="shared" si="3"/>
        <v>0</v>
      </c>
      <c r="R7331" s="26"/>
    </row>
    <row r="7332" spans="1:18" ht="15.75" customHeight="1">
      <c r="A7332" s="26"/>
      <c r="B7332" s="86"/>
      <c r="D7332" s="26"/>
      <c r="F7332" s="87" t="str">
        <f t="shared" si="0"/>
        <v/>
      </c>
      <c r="H7332" s="26" t="str">
        <f t="shared" si="1"/>
        <v/>
      </c>
      <c r="I7332" s="26" t="str">
        <f t="shared" si="2"/>
        <v/>
      </c>
      <c r="J7332" s="86">
        <f t="shared" si="3"/>
        <v>0</v>
      </c>
      <c r="R7332" s="26"/>
    </row>
    <row r="7333" spans="1:18" ht="15.75" customHeight="1">
      <c r="A7333" s="26"/>
      <c r="B7333" s="86"/>
      <c r="D7333" s="26"/>
      <c r="F7333" s="87" t="str">
        <f t="shared" si="0"/>
        <v/>
      </c>
      <c r="H7333" s="26" t="str">
        <f t="shared" si="1"/>
        <v/>
      </c>
      <c r="I7333" s="26" t="str">
        <f t="shared" si="2"/>
        <v/>
      </c>
      <c r="J7333" s="86">
        <f t="shared" si="3"/>
        <v>0</v>
      </c>
      <c r="R7333" s="26"/>
    </row>
    <row r="7334" spans="1:18" ht="15.75" customHeight="1">
      <c r="A7334" s="26"/>
      <c r="B7334" s="86"/>
      <c r="D7334" s="26"/>
      <c r="F7334" s="87" t="str">
        <f t="shared" si="0"/>
        <v/>
      </c>
      <c r="H7334" s="26" t="str">
        <f t="shared" si="1"/>
        <v/>
      </c>
      <c r="I7334" s="26" t="str">
        <f t="shared" si="2"/>
        <v/>
      </c>
      <c r="J7334" s="86">
        <f t="shared" si="3"/>
        <v>0</v>
      </c>
      <c r="R7334" s="26"/>
    </row>
    <row r="7335" spans="1:18" ht="15.75" customHeight="1">
      <c r="A7335" s="26"/>
      <c r="B7335" s="86"/>
      <c r="D7335" s="26"/>
      <c r="F7335" s="87" t="str">
        <f t="shared" si="0"/>
        <v/>
      </c>
      <c r="H7335" s="26" t="str">
        <f t="shared" si="1"/>
        <v/>
      </c>
      <c r="I7335" s="26" t="str">
        <f t="shared" si="2"/>
        <v/>
      </c>
      <c r="J7335" s="86">
        <f t="shared" si="3"/>
        <v>0</v>
      </c>
      <c r="R7335" s="26"/>
    </row>
    <row r="7336" spans="1:18" ht="15.75" customHeight="1">
      <c r="A7336" s="26"/>
      <c r="B7336" s="86"/>
      <c r="D7336" s="26"/>
      <c r="F7336" s="87" t="str">
        <f t="shared" si="0"/>
        <v/>
      </c>
      <c r="H7336" s="26" t="str">
        <f t="shared" si="1"/>
        <v/>
      </c>
      <c r="I7336" s="26" t="str">
        <f t="shared" si="2"/>
        <v/>
      </c>
      <c r="J7336" s="86">
        <f t="shared" si="3"/>
        <v>0</v>
      </c>
      <c r="R7336" s="26"/>
    </row>
    <row r="7337" spans="1:18" ht="15.75" customHeight="1">
      <c r="A7337" s="26"/>
      <c r="B7337" s="86"/>
      <c r="D7337" s="26"/>
      <c r="F7337" s="87" t="str">
        <f t="shared" si="0"/>
        <v/>
      </c>
      <c r="H7337" s="26" t="str">
        <f t="shared" si="1"/>
        <v/>
      </c>
      <c r="I7337" s="26" t="str">
        <f t="shared" si="2"/>
        <v/>
      </c>
      <c r="J7337" s="86">
        <f t="shared" si="3"/>
        <v>0</v>
      </c>
      <c r="R7337" s="26"/>
    </row>
    <row r="7338" spans="1:18" ht="15.75" customHeight="1">
      <c r="A7338" s="26"/>
      <c r="B7338" s="86"/>
      <c r="D7338" s="26"/>
      <c r="F7338" s="87" t="str">
        <f t="shared" si="0"/>
        <v/>
      </c>
      <c r="H7338" s="26" t="str">
        <f t="shared" si="1"/>
        <v/>
      </c>
      <c r="I7338" s="26" t="str">
        <f t="shared" si="2"/>
        <v/>
      </c>
      <c r="J7338" s="86">
        <f t="shared" si="3"/>
        <v>0</v>
      </c>
      <c r="R7338" s="26"/>
    </row>
    <row r="7339" spans="1:18" ht="15.75" customHeight="1">
      <c r="A7339" s="26"/>
      <c r="B7339" s="86"/>
      <c r="D7339" s="26"/>
      <c r="F7339" s="87" t="str">
        <f t="shared" si="0"/>
        <v/>
      </c>
      <c r="H7339" s="26" t="str">
        <f t="shared" si="1"/>
        <v/>
      </c>
      <c r="I7339" s="26" t="str">
        <f t="shared" si="2"/>
        <v/>
      </c>
      <c r="J7339" s="86">
        <f t="shared" si="3"/>
        <v>0</v>
      </c>
      <c r="R7339" s="26"/>
    </row>
    <row r="7340" spans="1:18" ht="15.75" customHeight="1">
      <c r="A7340" s="26"/>
      <c r="B7340" s="86"/>
      <c r="D7340" s="26"/>
      <c r="F7340" s="87" t="str">
        <f t="shared" si="0"/>
        <v/>
      </c>
      <c r="H7340" s="26" t="str">
        <f t="shared" si="1"/>
        <v/>
      </c>
      <c r="I7340" s="26" t="str">
        <f t="shared" si="2"/>
        <v/>
      </c>
      <c r="J7340" s="86">
        <f t="shared" si="3"/>
        <v>0</v>
      </c>
      <c r="R7340" s="26"/>
    </row>
    <row r="7341" spans="1:18" ht="15.75" customHeight="1">
      <c r="A7341" s="26"/>
      <c r="B7341" s="86"/>
      <c r="D7341" s="26"/>
      <c r="F7341" s="87" t="str">
        <f t="shared" si="0"/>
        <v/>
      </c>
      <c r="H7341" s="26" t="str">
        <f t="shared" si="1"/>
        <v/>
      </c>
      <c r="I7341" s="26" t="str">
        <f t="shared" si="2"/>
        <v/>
      </c>
      <c r="J7341" s="86">
        <f t="shared" si="3"/>
        <v>0</v>
      </c>
      <c r="R7341" s="26"/>
    </row>
    <row r="7342" spans="1:18" ht="15.75" customHeight="1">
      <c r="A7342" s="26"/>
      <c r="B7342" s="86"/>
      <c r="D7342" s="26"/>
      <c r="F7342" s="87" t="str">
        <f t="shared" si="0"/>
        <v/>
      </c>
      <c r="H7342" s="26" t="str">
        <f t="shared" si="1"/>
        <v/>
      </c>
      <c r="I7342" s="26" t="str">
        <f t="shared" si="2"/>
        <v/>
      </c>
      <c r="J7342" s="86">
        <f t="shared" si="3"/>
        <v>0</v>
      </c>
      <c r="R7342" s="26"/>
    </row>
    <row r="7343" spans="1:18" ht="15.75" customHeight="1">
      <c r="A7343" s="26"/>
      <c r="B7343" s="86"/>
      <c r="D7343" s="26"/>
      <c r="F7343" s="87" t="str">
        <f t="shared" si="0"/>
        <v/>
      </c>
      <c r="H7343" s="26" t="str">
        <f t="shared" si="1"/>
        <v/>
      </c>
      <c r="I7343" s="26" t="str">
        <f t="shared" si="2"/>
        <v/>
      </c>
      <c r="J7343" s="86">
        <f t="shared" si="3"/>
        <v>0</v>
      </c>
      <c r="R7343" s="26"/>
    </row>
    <row r="7344" spans="1:18" ht="15.75" customHeight="1">
      <c r="A7344" s="26"/>
      <c r="B7344" s="86"/>
      <c r="D7344" s="26"/>
      <c r="F7344" s="87" t="str">
        <f t="shared" si="0"/>
        <v/>
      </c>
      <c r="H7344" s="26" t="str">
        <f t="shared" si="1"/>
        <v/>
      </c>
      <c r="I7344" s="26" t="str">
        <f t="shared" si="2"/>
        <v/>
      </c>
      <c r="J7344" s="86">
        <f t="shared" si="3"/>
        <v>0</v>
      </c>
      <c r="R7344" s="26"/>
    </row>
    <row r="7345" spans="1:18" ht="15.75" customHeight="1">
      <c r="A7345" s="26"/>
      <c r="B7345" s="86"/>
      <c r="D7345" s="26"/>
      <c r="F7345" s="87" t="str">
        <f t="shared" si="0"/>
        <v/>
      </c>
      <c r="H7345" s="26" t="str">
        <f t="shared" si="1"/>
        <v/>
      </c>
      <c r="I7345" s="26" t="str">
        <f t="shared" si="2"/>
        <v/>
      </c>
      <c r="J7345" s="86">
        <f t="shared" si="3"/>
        <v>0</v>
      </c>
      <c r="R7345" s="26"/>
    </row>
    <row r="7346" spans="1:18" ht="15.75" customHeight="1">
      <c r="A7346" s="26"/>
      <c r="B7346" s="86"/>
      <c r="D7346" s="26"/>
      <c r="F7346" s="87" t="str">
        <f t="shared" si="0"/>
        <v/>
      </c>
      <c r="H7346" s="26" t="str">
        <f t="shared" si="1"/>
        <v/>
      </c>
      <c r="I7346" s="26" t="str">
        <f t="shared" si="2"/>
        <v/>
      </c>
      <c r="J7346" s="86">
        <f t="shared" si="3"/>
        <v>0</v>
      </c>
      <c r="R7346" s="26"/>
    </row>
    <row r="7347" spans="1:18" ht="15.75" customHeight="1">
      <c r="A7347" s="26"/>
      <c r="B7347" s="86"/>
      <c r="D7347" s="26"/>
      <c r="F7347" s="87" t="str">
        <f t="shared" si="0"/>
        <v/>
      </c>
      <c r="H7347" s="26" t="str">
        <f t="shared" si="1"/>
        <v/>
      </c>
      <c r="I7347" s="26" t="str">
        <f t="shared" si="2"/>
        <v/>
      </c>
      <c r="J7347" s="86">
        <f t="shared" si="3"/>
        <v>0</v>
      </c>
      <c r="R7347" s="26"/>
    </row>
    <row r="7348" spans="1:18" ht="15.75" customHeight="1">
      <c r="A7348" s="26"/>
      <c r="B7348" s="86"/>
      <c r="D7348" s="26"/>
      <c r="F7348" s="87" t="str">
        <f t="shared" si="0"/>
        <v/>
      </c>
      <c r="H7348" s="26" t="str">
        <f t="shared" si="1"/>
        <v/>
      </c>
      <c r="I7348" s="26" t="str">
        <f t="shared" si="2"/>
        <v/>
      </c>
      <c r="J7348" s="86">
        <f t="shared" si="3"/>
        <v>0</v>
      </c>
      <c r="R7348" s="26"/>
    </row>
    <row r="7349" spans="1:18" ht="15.75" customHeight="1">
      <c r="A7349" s="26"/>
      <c r="B7349" s="86"/>
      <c r="D7349" s="26"/>
      <c r="F7349" s="87" t="str">
        <f t="shared" si="0"/>
        <v/>
      </c>
      <c r="H7349" s="26" t="str">
        <f t="shared" si="1"/>
        <v/>
      </c>
      <c r="I7349" s="26" t="str">
        <f t="shared" si="2"/>
        <v/>
      </c>
      <c r="J7349" s="86">
        <f t="shared" si="3"/>
        <v>0</v>
      </c>
      <c r="R7349" s="26"/>
    </row>
    <row r="7350" spans="1:18" ht="15.75" customHeight="1">
      <c r="A7350" s="26"/>
      <c r="B7350" s="86"/>
      <c r="D7350" s="26"/>
      <c r="F7350" s="87" t="str">
        <f t="shared" si="0"/>
        <v/>
      </c>
      <c r="H7350" s="26" t="str">
        <f t="shared" si="1"/>
        <v/>
      </c>
      <c r="I7350" s="26" t="str">
        <f t="shared" si="2"/>
        <v/>
      </c>
      <c r="J7350" s="86">
        <f t="shared" si="3"/>
        <v>0</v>
      </c>
      <c r="R7350" s="26"/>
    </row>
    <row r="7351" spans="1:18" ht="15.75" customHeight="1">
      <c r="A7351" s="26"/>
      <c r="B7351" s="86"/>
      <c r="D7351" s="26"/>
      <c r="F7351" s="87" t="str">
        <f t="shared" si="0"/>
        <v/>
      </c>
      <c r="H7351" s="26" t="str">
        <f t="shared" si="1"/>
        <v/>
      </c>
      <c r="I7351" s="26" t="str">
        <f t="shared" si="2"/>
        <v/>
      </c>
      <c r="J7351" s="86">
        <f t="shared" si="3"/>
        <v>0</v>
      </c>
      <c r="R7351" s="26"/>
    </row>
    <row r="7352" spans="1:18" ht="15.75" customHeight="1">
      <c r="A7352" s="26"/>
      <c r="B7352" s="86"/>
      <c r="D7352" s="26"/>
      <c r="F7352" s="87" t="str">
        <f t="shared" si="0"/>
        <v/>
      </c>
      <c r="H7352" s="26" t="str">
        <f t="shared" si="1"/>
        <v/>
      </c>
      <c r="I7352" s="26" t="str">
        <f t="shared" si="2"/>
        <v/>
      </c>
      <c r="J7352" s="86">
        <f t="shared" si="3"/>
        <v>0</v>
      </c>
      <c r="R7352" s="26"/>
    </row>
    <row r="7353" spans="1:18" ht="15.75" customHeight="1">
      <c r="A7353" s="26"/>
      <c r="B7353" s="86"/>
      <c r="D7353" s="26"/>
      <c r="F7353" s="87" t="str">
        <f t="shared" si="0"/>
        <v/>
      </c>
      <c r="H7353" s="26" t="str">
        <f t="shared" si="1"/>
        <v/>
      </c>
      <c r="I7353" s="26" t="str">
        <f t="shared" si="2"/>
        <v/>
      </c>
      <c r="J7353" s="86">
        <f t="shared" si="3"/>
        <v>0</v>
      </c>
      <c r="R7353" s="26"/>
    </row>
    <row r="7354" spans="1:18" ht="15.75" customHeight="1">
      <c r="A7354" s="26"/>
      <c r="B7354" s="86"/>
      <c r="D7354" s="26"/>
      <c r="F7354" s="87" t="str">
        <f t="shared" si="0"/>
        <v/>
      </c>
      <c r="H7354" s="26" t="str">
        <f t="shared" si="1"/>
        <v/>
      </c>
      <c r="I7354" s="26" t="str">
        <f t="shared" si="2"/>
        <v/>
      </c>
      <c r="J7354" s="86">
        <f t="shared" si="3"/>
        <v>0</v>
      </c>
      <c r="R7354" s="26"/>
    </row>
    <row r="7355" spans="1:18" ht="15.75" customHeight="1">
      <c r="A7355" s="26"/>
      <c r="B7355" s="86"/>
      <c r="D7355" s="26"/>
      <c r="F7355" s="87" t="str">
        <f t="shared" si="0"/>
        <v/>
      </c>
      <c r="H7355" s="26" t="str">
        <f t="shared" si="1"/>
        <v/>
      </c>
      <c r="I7355" s="26" t="str">
        <f t="shared" si="2"/>
        <v/>
      </c>
      <c r="J7355" s="86">
        <f t="shared" si="3"/>
        <v>0</v>
      </c>
      <c r="R7355" s="26"/>
    </row>
    <row r="7356" spans="1:18" ht="15.75" customHeight="1">
      <c r="A7356" s="26"/>
      <c r="B7356" s="86"/>
      <c r="D7356" s="26"/>
      <c r="F7356" s="87" t="str">
        <f t="shared" si="0"/>
        <v/>
      </c>
      <c r="H7356" s="26" t="str">
        <f t="shared" si="1"/>
        <v/>
      </c>
      <c r="I7356" s="26" t="str">
        <f t="shared" si="2"/>
        <v/>
      </c>
      <c r="J7356" s="86">
        <f t="shared" si="3"/>
        <v>0</v>
      </c>
      <c r="R7356" s="26"/>
    </row>
    <row r="7357" spans="1:18" ht="15.75" customHeight="1">
      <c r="A7357" s="26"/>
      <c r="B7357" s="86"/>
      <c r="D7357" s="26"/>
      <c r="F7357" s="87" t="str">
        <f t="shared" si="0"/>
        <v/>
      </c>
      <c r="H7357" s="26" t="str">
        <f t="shared" si="1"/>
        <v/>
      </c>
      <c r="I7357" s="26" t="str">
        <f t="shared" si="2"/>
        <v/>
      </c>
      <c r="J7357" s="86">
        <f t="shared" si="3"/>
        <v>0</v>
      </c>
      <c r="R7357" s="26"/>
    </row>
    <row r="7358" spans="1:18" ht="15.75" customHeight="1">
      <c r="A7358" s="26"/>
      <c r="B7358" s="86"/>
      <c r="D7358" s="26"/>
      <c r="F7358" s="87" t="str">
        <f t="shared" si="0"/>
        <v/>
      </c>
      <c r="H7358" s="26" t="str">
        <f t="shared" si="1"/>
        <v/>
      </c>
      <c r="I7358" s="26" t="str">
        <f t="shared" si="2"/>
        <v/>
      </c>
      <c r="J7358" s="86">
        <f t="shared" si="3"/>
        <v>0</v>
      </c>
      <c r="R7358" s="26"/>
    </row>
    <row r="7359" spans="1:18" ht="15.75" customHeight="1">
      <c r="A7359" s="26"/>
      <c r="B7359" s="86"/>
      <c r="D7359" s="26"/>
      <c r="F7359" s="87" t="str">
        <f t="shared" si="0"/>
        <v/>
      </c>
      <c r="H7359" s="26" t="str">
        <f t="shared" si="1"/>
        <v/>
      </c>
      <c r="I7359" s="26" t="str">
        <f t="shared" si="2"/>
        <v/>
      </c>
      <c r="J7359" s="86">
        <f t="shared" si="3"/>
        <v>0</v>
      </c>
      <c r="R7359" s="26"/>
    </row>
    <row r="7360" spans="1:18" ht="15.75" customHeight="1">
      <c r="A7360" s="26"/>
      <c r="B7360" s="86"/>
      <c r="D7360" s="26"/>
      <c r="F7360" s="87" t="str">
        <f t="shared" si="0"/>
        <v/>
      </c>
      <c r="H7360" s="26" t="str">
        <f t="shared" si="1"/>
        <v/>
      </c>
      <c r="I7360" s="26" t="str">
        <f t="shared" si="2"/>
        <v/>
      </c>
      <c r="J7360" s="86">
        <f t="shared" si="3"/>
        <v>0</v>
      </c>
      <c r="R7360" s="26"/>
    </row>
    <row r="7361" spans="1:18" ht="15.75" customHeight="1">
      <c r="A7361" s="26"/>
      <c r="B7361" s="86"/>
      <c r="D7361" s="26"/>
      <c r="F7361" s="87" t="str">
        <f t="shared" si="0"/>
        <v/>
      </c>
      <c r="H7361" s="26" t="str">
        <f t="shared" si="1"/>
        <v/>
      </c>
      <c r="I7361" s="26" t="str">
        <f t="shared" si="2"/>
        <v/>
      </c>
      <c r="J7361" s="86">
        <f t="shared" si="3"/>
        <v>0</v>
      </c>
      <c r="R7361" s="26"/>
    </row>
    <row r="7362" spans="1:18" ht="15.75" customHeight="1">
      <c r="A7362" s="26"/>
      <c r="B7362" s="86"/>
      <c r="D7362" s="26"/>
      <c r="F7362" s="87" t="str">
        <f t="shared" si="0"/>
        <v/>
      </c>
      <c r="H7362" s="26" t="str">
        <f t="shared" si="1"/>
        <v/>
      </c>
      <c r="I7362" s="26" t="str">
        <f t="shared" si="2"/>
        <v/>
      </c>
      <c r="J7362" s="86">
        <f t="shared" si="3"/>
        <v>0</v>
      </c>
      <c r="R7362" s="26"/>
    </row>
    <row r="7363" spans="1:18" ht="15.75" customHeight="1">
      <c r="A7363" s="26"/>
      <c r="B7363" s="86"/>
      <c r="D7363" s="26"/>
      <c r="F7363" s="87" t="str">
        <f t="shared" si="0"/>
        <v/>
      </c>
      <c r="H7363" s="26" t="str">
        <f t="shared" si="1"/>
        <v/>
      </c>
      <c r="I7363" s="26" t="str">
        <f t="shared" si="2"/>
        <v/>
      </c>
      <c r="J7363" s="86">
        <f t="shared" si="3"/>
        <v>0</v>
      </c>
      <c r="R7363" s="26"/>
    </row>
    <row r="7364" spans="1:18" ht="15.75" customHeight="1">
      <c r="A7364" s="26"/>
      <c r="B7364" s="86"/>
      <c r="D7364" s="26"/>
      <c r="F7364" s="87" t="str">
        <f t="shared" si="0"/>
        <v/>
      </c>
      <c r="H7364" s="26" t="str">
        <f t="shared" si="1"/>
        <v/>
      </c>
      <c r="I7364" s="26" t="str">
        <f t="shared" si="2"/>
        <v/>
      </c>
      <c r="J7364" s="86">
        <f t="shared" si="3"/>
        <v>0</v>
      </c>
      <c r="R7364" s="26"/>
    </row>
    <row r="7365" spans="1:18" ht="15.75" customHeight="1">
      <c r="A7365" s="26"/>
      <c r="B7365" s="86"/>
      <c r="D7365" s="26"/>
      <c r="F7365" s="87" t="str">
        <f t="shared" si="0"/>
        <v/>
      </c>
      <c r="H7365" s="26" t="str">
        <f t="shared" si="1"/>
        <v/>
      </c>
      <c r="I7365" s="26" t="str">
        <f t="shared" si="2"/>
        <v/>
      </c>
      <c r="J7365" s="86">
        <f t="shared" si="3"/>
        <v>0</v>
      </c>
      <c r="R7365" s="26"/>
    </row>
    <row r="7366" spans="1:18" ht="15.75" customHeight="1">
      <c r="A7366" s="26"/>
      <c r="B7366" s="86"/>
      <c r="D7366" s="26"/>
      <c r="F7366" s="87" t="str">
        <f t="shared" si="0"/>
        <v/>
      </c>
      <c r="H7366" s="26" t="str">
        <f t="shared" si="1"/>
        <v/>
      </c>
      <c r="I7366" s="26" t="str">
        <f t="shared" si="2"/>
        <v/>
      </c>
      <c r="J7366" s="86">
        <f t="shared" si="3"/>
        <v>0</v>
      </c>
      <c r="R7366" s="26"/>
    </row>
    <row r="7367" spans="1:18" ht="15.75" customHeight="1">
      <c r="A7367" s="26"/>
      <c r="B7367" s="86"/>
      <c r="D7367" s="26"/>
      <c r="F7367" s="87" t="str">
        <f t="shared" si="0"/>
        <v/>
      </c>
      <c r="H7367" s="26" t="str">
        <f t="shared" si="1"/>
        <v/>
      </c>
      <c r="I7367" s="26" t="str">
        <f t="shared" si="2"/>
        <v/>
      </c>
      <c r="J7367" s="86">
        <f t="shared" si="3"/>
        <v>0</v>
      </c>
      <c r="R7367" s="26"/>
    </row>
    <row r="7368" spans="1:18" ht="15.75" customHeight="1">
      <c r="A7368" s="26"/>
      <c r="B7368" s="86"/>
      <c r="D7368" s="26"/>
      <c r="F7368" s="87" t="str">
        <f t="shared" si="0"/>
        <v/>
      </c>
      <c r="H7368" s="26" t="str">
        <f t="shared" si="1"/>
        <v/>
      </c>
      <c r="I7368" s="26" t="str">
        <f t="shared" si="2"/>
        <v/>
      </c>
      <c r="J7368" s="86">
        <f t="shared" si="3"/>
        <v>0</v>
      </c>
      <c r="R7368" s="26"/>
    </row>
    <row r="7369" spans="1:18" ht="15.75" customHeight="1">
      <c r="A7369" s="26"/>
      <c r="B7369" s="86"/>
      <c r="D7369" s="26"/>
      <c r="F7369" s="87" t="str">
        <f t="shared" si="0"/>
        <v/>
      </c>
      <c r="H7369" s="26" t="str">
        <f t="shared" si="1"/>
        <v/>
      </c>
      <c r="I7369" s="26" t="str">
        <f t="shared" si="2"/>
        <v/>
      </c>
      <c r="J7369" s="86">
        <f t="shared" si="3"/>
        <v>0</v>
      </c>
      <c r="R7369" s="26"/>
    </row>
    <row r="7370" spans="1:18" ht="15.75" customHeight="1">
      <c r="A7370" s="26"/>
      <c r="B7370" s="86"/>
      <c r="D7370" s="26"/>
      <c r="F7370" s="87" t="str">
        <f t="shared" si="0"/>
        <v/>
      </c>
      <c r="H7370" s="26" t="str">
        <f t="shared" si="1"/>
        <v/>
      </c>
      <c r="I7370" s="26" t="str">
        <f t="shared" si="2"/>
        <v/>
      </c>
      <c r="J7370" s="86">
        <f t="shared" si="3"/>
        <v>0</v>
      </c>
      <c r="R7370" s="26"/>
    </row>
    <row r="7371" spans="1:18" ht="15.75" customHeight="1">
      <c r="A7371" s="26"/>
      <c r="B7371" s="86"/>
      <c r="D7371" s="26"/>
      <c r="F7371" s="87" t="str">
        <f t="shared" si="0"/>
        <v/>
      </c>
      <c r="H7371" s="26" t="str">
        <f t="shared" si="1"/>
        <v/>
      </c>
      <c r="I7371" s="26" t="str">
        <f t="shared" si="2"/>
        <v/>
      </c>
      <c r="J7371" s="86">
        <f t="shared" si="3"/>
        <v>0</v>
      </c>
      <c r="R7371" s="26"/>
    </row>
    <row r="7372" spans="1:18" ht="15.75" customHeight="1">
      <c r="A7372" s="26"/>
      <c r="B7372" s="86"/>
      <c r="D7372" s="26"/>
      <c r="F7372" s="87" t="str">
        <f t="shared" si="0"/>
        <v/>
      </c>
      <c r="H7372" s="26" t="str">
        <f t="shared" si="1"/>
        <v/>
      </c>
      <c r="I7372" s="26" t="str">
        <f t="shared" si="2"/>
        <v/>
      </c>
      <c r="J7372" s="86">
        <f t="shared" si="3"/>
        <v>0</v>
      </c>
      <c r="R7372" s="26"/>
    </row>
    <row r="7373" spans="1:18" ht="15.75" customHeight="1">
      <c r="A7373" s="26"/>
      <c r="B7373" s="86"/>
      <c r="D7373" s="26"/>
      <c r="F7373" s="87" t="str">
        <f t="shared" si="0"/>
        <v/>
      </c>
      <c r="H7373" s="26" t="str">
        <f t="shared" si="1"/>
        <v/>
      </c>
      <c r="I7373" s="26" t="str">
        <f t="shared" si="2"/>
        <v/>
      </c>
      <c r="J7373" s="86">
        <f t="shared" si="3"/>
        <v>0</v>
      </c>
      <c r="R7373" s="26"/>
    </row>
    <row r="7374" spans="1:18" ht="15.75" customHeight="1">
      <c r="A7374" s="26"/>
      <c r="B7374" s="86"/>
      <c r="D7374" s="26"/>
      <c r="F7374" s="87" t="str">
        <f t="shared" si="0"/>
        <v/>
      </c>
      <c r="H7374" s="26" t="str">
        <f t="shared" si="1"/>
        <v/>
      </c>
      <c r="I7374" s="26" t="str">
        <f t="shared" si="2"/>
        <v/>
      </c>
      <c r="J7374" s="86">
        <f t="shared" si="3"/>
        <v>0</v>
      </c>
      <c r="R7374" s="26"/>
    </row>
    <row r="7375" spans="1:18" ht="15.75" customHeight="1">
      <c r="A7375" s="26"/>
      <c r="B7375" s="86"/>
      <c r="D7375" s="26"/>
      <c r="F7375" s="87" t="str">
        <f t="shared" si="0"/>
        <v/>
      </c>
      <c r="H7375" s="26" t="str">
        <f t="shared" si="1"/>
        <v/>
      </c>
      <c r="I7375" s="26" t="str">
        <f t="shared" si="2"/>
        <v/>
      </c>
      <c r="J7375" s="86">
        <f t="shared" si="3"/>
        <v>0</v>
      </c>
      <c r="R7375" s="26"/>
    </row>
    <row r="7376" spans="1:18" ht="15.75" customHeight="1">
      <c r="A7376" s="26"/>
      <c r="B7376" s="86"/>
      <c r="D7376" s="26"/>
      <c r="F7376" s="87" t="str">
        <f t="shared" si="0"/>
        <v/>
      </c>
      <c r="H7376" s="26" t="str">
        <f t="shared" si="1"/>
        <v/>
      </c>
      <c r="I7376" s="26" t="str">
        <f t="shared" si="2"/>
        <v/>
      </c>
      <c r="J7376" s="86">
        <f t="shared" si="3"/>
        <v>0</v>
      </c>
      <c r="R7376" s="26"/>
    </row>
    <row r="7377" spans="1:18" ht="15.75" customHeight="1">
      <c r="A7377" s="26"/>
      <c r="B7377" s="86"/>
      <c r="D7377" s="26"/>
      <c r="F7377" s="87" t="str">
        <f t="shared" si="0"/>
        <v/>
      </c>
      <c r="H7377" s="26" t="str">
        <f t="shared" si="1"/>
        <v/>
      </c>
      <c r="I7377" s="26" t="str">
        <f t="shared" si="2"/>
        <v/>
      </c>
      <c r="J7377" s="86">
        <f t="shared" si="3"/>
        <v>0</v>
      </c>
      <c r="R7377" s="26"/>
    </row>
    <row r="7378" spans="1:18" ht="15.75" customHeight="1">
      <c r="A7378" s="26"/>
      <c r="B7378" s="86"/>
      <c r="D7378" s="26"/>
      <c r="F7378" s="87" t="str">
        <f t="shared" si="0"/>
        <v/>
      </c>
      <c r="H7378" s="26" t="str">
        <f t="shared" si="1"/>
        <v/>
      </c>
      <c r="I7378" s="26" t="str">
        <f t="shared" si="2"/>
        <v/>
      </c>
      <c r="J7378" s="86">
        <f t="shared" si="3"/>
        <v>0</v>
      </c>
      <c r="R7378" s="26"/>
    </row>
    <row r="7379" spans="1:18" ht="15.75" customHeight="1">
      <c r="A7379" s="26"/>
      <c r="B7379" s="86"/>
      <c r="D7379" s="26"/>
      <c r="F7379" s="87" t="str">
        <f t="shared" si="0"/>
        <v/>
      </c>
      <c r="H7379" s="26" t="str">
        <f t="shared" si="1"/>
        <v/>
      </c>
      <c r="I7379" s="26" t="str">
        <f t="shared" si="2"/>
        <v/>
      </c>
      <c r="J7379" s="86">
        <f t="shared" si="3"/>
        <v>0</v>
      </c>
      <c r="R7379" s="26"/>
    </row>
    <row r="7380" spans="1:18" ht="15.75" customHeight="1">
      <c r="A7380" s="26"/>
      <c r="B7380" s="86"/>
      <c r="D7380" s="26"/>
      <c r="F7380" s="87" t="str">
        <f t="shared" si="0"/>
        <v/>
      </c>
      <c r="H7380" s="26" t="str">
        <f t="shared" si="1"/>
        <v/>
      </c>
      <c r="I7380" s="26" t="str">
        <f t="shared" si="2"/>
        <v/>
      </c>
      <c r="J7380" s="86">
        <f t="shared" si="3"/>
        <v>0</v>
      </c>
      <c r="R7380" s="26"/>
    </row>
    <row r="7381" spans="1:18" ht="15.75" customHeight="1">
      <c r="A7381" s="26"/>
      <c r="B7381" s="86"/>
      <c r="D7381" s="26"/>
      <c r="F7381" s="87" t="str">
        <f t="shared" si="0"/>
        <v/>
      </c>
      <c r="H7381" s="26" t="str">
        <f t="shared" si="1"/>
        <v/>
      </c>
      <c r="I7381" s="26" t="str">
        <f t="shared" si="2"/>
        <v/>
      </c>
      <c r="J7381" s="86">
        <f t="shared" si="3"/>
        <v>0</v>
      </c>
      <c r="R7381" s="26"/>
    </row>
    <row r="7382" spans="1:18" ht="15.75" customHeight="1">
      <c r="A7382" s="26"/>
      <c r="B7382" s="86"/>
      <c r="D7382" s="26"/>
      <c r="F7382" s="87" t="str">
        <f t="shared" si="0"/>
        <v/>
      </c>
      <c r="H7382" s="26" t="str">
        <f t="shared" si="1"/>
        <v/>
      </c>
      <c r="I7382" s="26" t="str">
        <f t="shared" si="2"/>
        <v/>
      </c>
      <c r="J7382" s="86">
        <f t="shared" si="3"/>
        <v>0</v>
      </c>
      <c r="R7382" s="26"/>
    </row>
    <row r="7383" spans="1:18" ht="15.75" customHeight="1">
      <c r="A7383" s="26"/>
      <c r="B7383" s="86"/>
      <c r="D7383" s="26"/>
      <c r="F7383" s="87" t="str">
        <f t="shared" si="0"/>
        <v/>
      </c>
      <c r="H7383" s="26" t="str">
        <f t="shared" si="1"/>
        <v/>
      </c>
      <c r="I7383" s="26" t="str">
        <f t="shared" si="2"/>
        <v/>
      </c>
      <c r="J7383" s="86">
        <f t="shared" si="3"/>
        <v>0</v>
      </c>
      <c r="R7383" s="26"/>
    </row>
    <row r="7384" spans="1:18" ht="15.75" customHeight="1">
      <c r="A7384" s="26"/>
      <c r="B7384" s="86"/>
      <c r="D7384" s="26"/>
      <c r="F7384" s="87" t="str">
        <f t="shared" si="0"/>
        <v/>
      </c>
      <c r="H7384" s="26" t="str">
        <f t="shared" si="1"/>
        <v/>
      </c>
      <c r="I7384" s="26" t="str">
        <f t="shared" si="2"/>
        <v/>
      </c>
      <c r="J7384" s="86">
        <f t="shared" si="3"/>
        <v>0</v>
      </c>
      <c r="R7384" s="26"/>
    </row>
    <row r="7385" spans="1:18" ht="15.75" customHeight="1">
      <c r="A7385" s="26"/>
      <c r="B7385" s="86"/>
      <c r="D7385" s="26"/>
      <c r="F7385" s="87" t="str">
        <f t="shared" si="0"/>
        <v/>
      </c>
      <c r="H7385" s="26" t="str">
        <f t="shared" si="1"/>
        <v/>
      </c>
      <c r="I7385" s="26" t="str">
        <f t="shared" si="2"/>
        <v/>
      </c>
      <c r="J7385" s="86">
        <f t="shared" si="3"/>
        <v>0</v>
      </c>
      <c r="R7385" s="26"/>
    </row>
    <row r="7386" spans="1:18" ht="15.75" customHeight="1">
      <c r="A7386" s="26"/>
      <c r="B7386" s="86"/>
      <c r="D7386" s="26"/>
      <c r="F7386" s="87" t="str">
        <f t="shared" si="0"/>
        <v/>
      </c>
      <c r="H7386" s="26" t="str">
        <f t="shared" si="1"/>
        <v/>
      </c>
      <c r="I7386" s="26" t="str">
        <f t="shared" si="2"/>
        <v/>
      </c>
      <c r="J7386" s="86">
        <f t="shared" si="3"/>
        <v>0</v>
      </c>
      <c r="R7386" s="26"/>
    </row>
    <row r="7387" spans="1:18" ht="15.75" customHeight="1">
      <c r="A7387" s="26"/>
      <c r="B7387" s="86"/>
      <c r="D7387" s="26"/>
      <c r="F7387" s="87" t="str">
        <f t="shared" si="0"/>
        <v/>
      </c>
      <c r="H7387" s="26" t="str">
        <f t="shared" si="1"/>
        <v/>
      </c>
      <c r="I7387" s="26" t="str">
        <f t="shared" si="2"/>
        <v/>
      </c>
      <c r="J7387" s="86">
        <f t="shared" si="3"/>
        <v>0</v>
      </c>
      <c r="R7387" s="26"/>
    </row>
    <row r="7388" spans="1:18" ht="15.75" customHeight="1">
      <c r="A7388" s="26"/>
      <c r="B7388" s="86"/>
      <c r="D7388" s="26"/>
      <c r="F7388" s="87" t="str">
        <f t="shared" si="0"/>
        <v/>
      </c>
      <c r="H7388" s="26" t="str">
        <f t="shared" si="1"/>
        <v/>
      </c>
      <c r="I7388" s="26" t="str">
        <f t="shared" si="2"/>
        <v/>
      </c>
      <c r="J7388" s="86">
        <f t="shared" si="3"/>
        <v>0</v>
      </c>
      <c r="R7388" s="26"/>
    </row>
    <row r="7389" spans="1:18" ht="15.75" customHeight="1">
      <c r="A7389" s="26"/>
      <c r="B7389" s="86"/>
      <c r="D7389" s="26"/>
      <c r="F7389" s="87" t="str">
        <f t="shared" si="0"/>
        <v/>
      </c>
      <c r="H7389" s="26" t="str">
        <f t="shared" si="1"/>
        <v/>
      </c>
      <c r="I7389" s="26" t="str">
        <f t="shared" si="2"/>
        <v/>
      </c>
      <c r="J7389" s="86">
        <f t="shared" si="3"/>
        <v>0</v>
      </c>
      <c r="R7389" s="26"/>
    </row>
    <row r="7390" spans="1:18" ht="15.75" customHeight="1">
      <c r="A7390" s="26"/>
      <c r="B7390" s="86"/>
      <c r="D7390" s="26"/>
      <c r="F7390" s="87" t="str">
        <f t="shared" si="0"/>
        <v/>
      </c>
      <c r="H7390" s="26" t="str">
        <f t="shared" si="1"/>
        <v/>
      </c>
      <c r="I7390" s="26" t="str">
        <f t="shared" si="2"/>
        <v/>
      </c>
      <c r="J7390" s="86">
        <f t="shared" si="3"/>
        <v>0</v>
      </c>
      <c r="R7390" s="26"/>
    </row>
    <row r="7391" spans="1:18" ht="15.75" customHeight="1">
      <c r="A7391" s="26"/>
      <c r="B7391" s="86"/>
      <c r="D7391" s="26"/>
      <c r="F7391" s="87" t="str">
        <f t="shared" si="0"/>
        <v/>
      </c>
      <c r="H7391" s="26" t="str">
        <f t="shared" si="1"/>
        <v/>
      </c>
      <c r="I7391" s="26" t="str">
        <f t="shared" si="2"/>
        <v/>
      </c>
      <c r="J7391" s="86">
        <f t="shared" si="3"/>
        <v>0</v>
      </c>
      <c r="R7391" s="26"/>
    </row>
    <row r="7392" spans="1:18" ht="15.75" customHeight="1">
      <c r="A7392" s="26"/>
      <c r="B7392" s="86"/>
      <c r="D7392" s="26"/>
      <c r="F7392" s="87" t="str">
        <f t="shared" si="0"/>
        <v/>
      </c>
      <c r="H7392" s="26" t="str">
        <f t="shared" si="1"/>
        <v/>
      </c>
      <c r="I7392" s="26" t="str">
        <f t="shared" si="2"/>
        <v/>
      </c>
      <c r="J7392" s="86">
        <f t="shared" si="3"/>
        <v>0</v>
      </c>
      <c r="R7392" s="26"/>
    </row>
    <row r="7393" spans="1:18" ht="15.75" customHeight="1">
      <c r="A7393" s="26"/>
      <c r="B7393" s="86"/>
      <c r="D7393" s="26"/>
      <c r="F7393" s="87" t="str">
        <f t="shared" si="0"/>
        <v/>
      </c>
      <c r="H7393" s="26" t="str">
        <f t="shared" si="1"/>
        <v/>
      </c>
      <c r="I7393" s="26" t="str">
        <f t="shared" si="2"/>
        <v/>
      </c>
      <c r="J7393" s="86">
        <f t="shared" si="3"/>
        <v>0</v>
      </c>
      <c r="R7393" s="26"/>
    </row>
    <row r="7394" spans="1:18" ht="15.75" customHeight="1">
      <c r="A7394" s="26"/>
      <c r="B7394" s="86"/>
      <c r="D7394" s="26"/>
      <c r="F7394" s="87" t="str">
        <f t="shared" si="0"/>
        <v/>
      </c>
      <c r="H7394" s="26" t="str">
        <f t="shared" si="1"/>
        <v/>
      </c>
      <c r="I7394" s="26" t="str">
        <f t="shared" si="2"/>
        <v/>
      </c>
      <c r="J7394" s="86">
        <f t="shared" si="3"/>
        <v>0</v>
      </c>
      <c r="R7394" s="26"/>
    </row>
    <row r="7395" spans="1:18" ht="15.75" customHeight="1">
      <c r="A7395" s="26"/>
      <c r="B7395" s="86"/>
      <c r="D7395" s="26"/>
      <c r="F7395" s="87" t="str">
        <f t="shared" si="0"/>
        <v/>
      </c>
      <c r="H7395" s="26" t="str">
        <f t="shared" si="1"/>
        <v/>
      </c>
      <c r="I7395" s="26" t="str">
        <f t="shared" si="2"/>
        <v/>
      </c>
      <c r="J7395" s="86">
        <f t="shared" si="3"/>
        <v>0</v>
      </c>
      <c r="R7395" s="26"/>
    </row>
    <row r="7396" spans="1:18" ht="15.75" customHeight="1">
      <c r="A7396" s="26"/>
      <c r="B7396" s="86"/>
      <c r="D7396" s="26"/>
      <c r="F7396" s="87" t="str">
        <f t="shared" si="0"/>
        <v/>
      </c>
      <c r="H7396" s="26" t="str">
        <f t="shared" si="1"/>
        <v/>
      </c>
      <c r="I7396" s="26" t="str">
        <f t="shared" si="2"/>
        <v/>
      </c>
      <c r="J7396" s="86">
        <f t="shared" si="3"/>
        <v>0</v>
      </c>
      <c r="R7396" s="26"/>
    </row>
    <row r="7397" spans="1:18" ht="15.75" customHeight="1">
      <c r="A7397" s="26"/>
      <c r="B7397" s="86"/>
      <c r="D7397" s="26"/>
      <c r="F7397" s="87" t="str">
        <f t="shared" si="0"/>
        <v/>
      </c>
      <c r="H7397" s="26" t="str">
        <f t="shared" si="1"/>
        <v/>
      </c>
      <c r="I7397" s="26" t="str">
        <f t="shared" si="2"/>
        <v/>
      </c>
      <c r="J7397" s="86">
        <f t="shared" si="3"/>
        <v>0</v>
      </c>
      <c r="R7397" s="26"/>
    </row>
    <row r="7398" spans="1:18" ht="15.75" customHeight="1">
      <c r="A7398" s="26"/>
      <c r="B7398" s="86"/>
      <c r="D7398" s="26"/>
      <c r="F7398" s="87" t="str">
        <f t="shared" si="0"/>
        <v/>
      </c>
      <c r="H7398" s="26" t="str">
        <f t="shared" si="1"/>
        <v/>
      </c>
      <c r="I7398" s="26" t="str">
        <f t="shared" si="2"/>
        <v/>
      </c>
      <c r="J7398" s="86">
        <f t="shared" si="3"/>
        <v>0</v>
      </c>
      <c r="R7398" s="26"/>
    </row>
    <row r="7399" spans="1:18" ht="15.75" customHeight="1">
      <c r="A7399" s="26"/>
      <c r="B7399" s="86"/>
      <c r="D7399" s="26"/>
      <c r="F7399" s="87" t="str">
        <f t="shared" si="0"/>
        <v/>
      </c>
      <c r="H7399" s="26" t="str">
        <f t="shared" si="1"/>
        <v/>
      </c>
      <c r="I7399" s="26" t="str">
        <f t="shared" si="2"/>
        <v/>
      </c>
      <c r="J7399" s="86">
        <f t="shared" si="3"/>
        <v>0</v>
      </c>
      <c r="R7399" s="26"/>
    </row>
    <row r="7400" spans="1:18" ht="15.75" customHeight="1">
      <c r="A7400" s="26"/>
      <c r="B7400" s="86"/>
      <c r="D7400" s="26"/>
      <c r="F7400" s="87" t="str">
        <f t="shared" si="0"/>
        <v/>
      </c>
      <c r="H7400" s="26" t="str">
        <f t="shared" si="1"/>
        <v/>
      </c>
      <c r="I7400" s="26" t="str">
        <f t="shared" si="2"/>
        <v/>
      </c>
      <c r="J7400" s="86">
        <f t="shared" si="3"/>
        <v>0</v>
      </c>
      <c r="R7400" s="26"/>
    </row>
    <row r="7401" spans="1:18" ht="15.75" customHeight="1">
      <c r="A7401" s="26"/>
      <c r="B7401" s="86"/>
      <c r="D7401" s="26"/>
      <c r="F7401" s="87" t="str">
        <f t="shared" si="0"/>
        <v/>
      </c>
      <c r="H7401" s="26" t="str">
        <f t="shared" si="1"/>
        <v/>
      </c>
      <c r="I7401" s="26" t="str">
        <f t="shared" si="2"/>
        <v/>
      </c>
      <c r="J7401" s="86">
        <f t="shared" si="3"/>
        <v>0</v>
      </c>
      <c r="R7401" s="26"/>
    </row>
    <row r="7402" spans="1:18" ht="15.75" customHeight="1">
      <c r="A7402" s="26"/>
      <c r="B7402" s="86"/>
      <c r="D7402" s="26"/>
      <c r="F7402" s="87" t="str">
        <f t="shared" si="0"/>
        <v/>
      </c>
      <c r="H7402" s="26" t="str">
        <f t="shared" si="1"/>
        <v/>
      </c>
      <c r="I7402" s="26" t="str">
        <f t="shared" si="2"/>
        <v/>
      </c>
      <c r="J7402" s="86">
        <f t="shared" si="3"/>
        <v>0</v>
      </c>
      <c r="R7402" s="26"/>
    </row>
    <row r="7403" spans="1:18" ht="15.75" customHeight="1">
      <c r="A7403" s="26"/>
      <c r="B7403" s="86"/>
      <c r="D7403" s="26"/>
      <c r="F7403" s="87" t="str">
        <f t="shared" si="0"/>
        <v/>
      </c>
      <c r="H7403" s="26" t="str">
        <f t="shared" si="1"/>
        <v/>
      </c>
      <c r="I7403" s="26" t="str">
        <f t="shared" si="2"/>
        <v/>
      </c>
      <c r="J7403" s="86">
        <f t="shared" si="3"/>
        <v>0</v>
      </c>
      <c r="R7403" s="26"/>
    </row>
    <row r="7404" spans="1:18" ht="15.75" customHeight="1">
      <c r="A7404" s="26"/>
      <c r="B7404" s="86"/>
      <c r="D7404" s="26"/>
      <c r="F7404" s="87" t="str">
        <f t="shared" si="0"/>
        <v/>
      </c>
      <c r="H7404" s="26" t="str">
        <f t="shared" si="1"/>
        <v/>
      </c>
      <c r="I7404" s="26" t="str">
        <f t="shared" si="2"/>
        <v/>
      </c>
      <c r="J7404" s="86">
        <f t="shared" si="3"/>
        <v>0</v>
      </c>
      <c r="R7404" s="26"/>
    </row>
    <row r="7405" spans="1:18" ht="15.75" customHeight="1">
      <c r="A7405" s="26"/>
      <c r="B7405" s="86"/>
      <c r="D7405" s="26"/>
      <c r="F7405" s="87" t="str">
        <f t="shared" si="0"/>
        <v/>
      </c>
      <c r="H7405" s="26" t="str">
        <f t="shared" si="1"/>
        <v/>
      </c>
      <c r="I7405" s="26" t="str">
        <f t="shared" si="2"/>
        <v/>
      </c>
      <c r="J7405" s="86">
        <f t="shared" si="3"/>
        <v>0</v>
      </c>
      <c r="R7405" s="26"/>
    </row>
    <row r="7406" spans="1:18" ht="15.75" customHeight="1">
      <c r="A7406" s="26"/>
      <c r="B7406" s="86"/>
      <c r="D7406" s="26"/>
      <c r="F7406" s="87" t="str">
        <f t="shared" si="0"/>
        <v/>
      </c>
      <c r="H7406" s="26" t="str">
        <f t="shared" si="1"/>
        <v/>
      </c>
      <c r="I7406" s="26" t="str">
        <f t="shared" si="2"/>
        <v/>
      </c>
      <c r="J7406" s="86">
        <f t="shared" si="3"/>
        <v>0</v>
      </c>
      <c r="R7406" s="26"/>
    </row>
    <row r="7407" spans="1:18" ht="15.75" customHeight="1">
      <c r="A7407" s="26"/>
      <c r="B7407" s="86"/>
      <c r="D7407" s="26"/>
      <c r="F7407" s="87" t="str">
        <f t="shared" si="0"/>
        <v/>
      </c>
      <c r="H7407" s="26" t="str">
        <f t="shared" si="1"/>
        <v/>
      </c>
      <c r="I7407" s="26" t="str">
        <f t="shared" si="2"/>
        <v/>
      </c>
      <c r="J7407" s="86">
        <f t="shared" si="3"/>
        <v>0</v>
      </c>
      <c r="R7407" s="26"/>
    </row>
    <row r="7408" spans="1:18" ht="15.75" customHeight="1">
      <c r="A7408" s="26"/>
      <c r="B7408" s="86"/>
      <c r="D7408" s="26"/>
      <c r="F7408" s="87" t="str">
        <f t="shared" si="0"/>
        <v/>
      </c>
      <c r="H7408" s="26" t="str">
        <f t="shared" si="1"/>
        <v/>
      </c>
      <c r="I7408" s="26" t="str">
        <f t="shared" si="2"/>
        <v/>
      </c>
      <c r="J7408" s="86">
        <f t="shared" si="3"/>
        <v>0</v>
      </c>
      <c r="R7408" s="26"/>
    </row>
    <row r="7409" spans="1:18" ht="15.75" customHeight="1">
      <c r="A7409" s="26"/>
      <c r="B7409" s="86"/>
      <c r="D7409" s="26"/>
      <c r="F7409" s="87" t="str">
        <f t="shared" si="0"/>
        <v/>
      </c>
      <c r="H7409" s="26" t="str">
        <f t="shared" si="1"/>
        <v/>
      </c>
      <c r="I7409" s="26" t="str">
        <f t="shared" si="2"/>
        <v/>
      </c>
      <c r="J7409" s="86">
        <f t="shared" si="3"/>
        <v>0</v>
      </c>
      <c r="R7409" s="26"/>
    </row>
    <row r="7410" spans="1:18" ht="15.75" customHeight="1">
      <c r="A7410" s="26"/>
      <c r="B7410" s="86"/>
      <c r="D7410" s="26"/>
      <c r="F7410" s="87" t="str">
        <f t="shared" si="0"/>
        <v/>
      </c>
      <c r="H7410" s="26" t="str">
        <f t="shared" si="1"/>
        <v/>
      </c>
      <c r="I7410" s="26" t="str">
        <f t="shared" si="2"/>
        <v/>
      </c>
      <c r="J7410" s="86">
        <f t="shared" si="3"/>
        <v>0</v>
      </c>
      <c r="R7410" s="26"/>
    </row>
    <row r="7411" spans="1:18" ht="15.75" customHeight="1">
      <c r="A7411" s="26"/>
      <c r="B7411" s="86"/>
      <c r="D7411" s="26"/>
      <c r="F7411" s="87" t="str">
        <f t="shared" si="0"/>
        <v/>
      </c>
      <c r="H7411" s="26" t="str">
        <f t="shared" si="1"/>
        <v/>
      </c>
      <c r="I7411" s="26" t="str">
        <f t="shared" si="2"/>
        <v/>
      </c>
      <c r="J7411" s="86">
        <f t="shared" si="3"/>
        <v>0</v>
      </c>
      <c r="R7411" s="26"/>
    </row>
    <row r="7412" spans="1:18" ht="15.75" customHeight="1">
      <c r="A7412" s="26"/>
      <c r="B7412" s="86"/>
      <c r="D7412" s="26"/>
      <c r="F7412" s="87" t="str">
        <f t="shared" si="0"/>
        <v/>
      </c>
      <c r="H7412" s="26" t="str">
        <f t="shared" si="1"/>
        <v/>
      </c>
      <c r="I7412" s="26" t="str">
        <f t="shared" si="2"/>
        <v/>
      </c>
      <c r="J7412" s="86">
        <f t="shared" si="3"/>
        <v>0</v>
      </c>
      <c r="R7412" s="26"/>
    </row>
    <row r="7413" spans="1:18" ht="15.75" customHeight="1">
      <c r="A7413" s="26"/>
      <c r="B7413" s="86"/>
      <c r="D7413" s="26"/>
      <c r="F7413" s="87" t="str">
        <f t="shared" si="0"/>
        <v/>
      </c>
      <c r="H7413" s="26" t="str">
        <f t="shared" si="1"/>
        <v/>
      </c>
      <c r="I7413" s="26" t="str">
        <f t="shared" si="2"/>
        <v/>
      </c>
      <c r="J7413" s="86">
        <f t="shared" si="3"/>
        <v>0</v>
      </c>
      <c r="R7413" s="26"/>
    </row>
    <row r="7414" spans="1:18" ht="15.75" customHeight="1">
      <c r="A7414" s="26"/>
      <c r="B7414" s="86"/>
      <c r="D7414" s="26"/>
      <c r="F7414" s="87" t="str">
        <f t="shared" si="0"/>
        <v/>
      </c>
      <c r="H7414" s="26" t="str">
        <f t="shared" si="1"/>
        <v/>
      </c>
      <c r="I7414" s="26" t="str">
        <f t="shared" si="2"/>
        <v/>
      </c>
      <c r="J7414" s="86">
        <f t="shared" si="3"/>
        <v>0</v>
      </c>
      <c r="R7414" s="26"/>
    </row>
    <row r="7415" spans="1:18" ht="15.75" customHeight="1">
      <c r="A7415" s="26"/>
      <c r="B7415" s="86"/>
      <c r="D7415" s="26"/>
      <c r="F7415" s="87" t="str">
        <f t="shared" si="0"/>
        <v/>
      </c>
      <c r="H7415" s="26" t="str">
        <f t="shared" si="1"/>
        <v/>
      </c>
      <c r="I7415" s="26" t="str">
        <f t="shared" si="2"/>
        <v/>
      </c>
      <c r="J7415" s="86">
        <f t="shared" si="3"/>
        <v>0</v>
      </c>
      <c r="R7415" s="26"/>
    </row>
    <row r="7416" spans="1:18" ht="15.75" customHeight="1">
      <c r="A7416" s="26"/>
      <c r="B7416" s="86"/>
      <c r="D7416" s="26"/>
      <c r="F7416" s="87" t="str">
        <f t="shared" si="0"/>
        <v/>
      </c>
      <c r="H7416" s="26" t="str">
        <f t="shared" si="1"/>
        <v/>
      </c>
      <c r="I7416" s="26" t="str">
        <f t="shared" si="2"/>
        <v/>
      </c>
      <c r="J7416" s="86">
        <f t="shared" si="3"/>
        <v>0</v>
      </c>
      <c r="R7416" s="26"/>
    </row>
    <row r="7417" spans="1:18" ht="15.75" customHeight="1">
      <c r="A7417" s="26"/>
      <c r="B7417" s="86"/>
      <c r="D7417" s="26"/>
      <c r="F7417" s="87" t="str">
        <f t="shared" si="0"/>
        <v/>
      </c>
      <c r="H7417" s="26" t="str">
        <f t="shared" si="1"/>
        <v/>
      </c>
      <c r="I7417" s="26" t="str">
        <f t="shared" si="2"/>
        <v/>
      </c>
      <c r="J7417" s="86">
        <f t="shared" si="3"/>
        <v>0</v>
      </c>
      <c r="R7417" s="26"/>
    </row>
    <row r="7418" spans="1:18" ht="15.75" customHeight="1">
      <c r="A7418" s="26"/>
      <c r="B7418" s="86"/>
      <c r="D7418" s="26"/>
      <c r="F7418" s="87" t="str">
        <f t="shared" si="0"/>
        <v/>
      </c>
      <c r="H7418" s="26" t="str">
        <f t="shared" si="1"/>
        <v/>
      </c>
      <c r="I7418" s="26" t="str">
        <f t="shared" si="2"/>
        <v/>
      </c>
      <c r="J7418" s="86">
        <f t="shared" si="3"/>
        <v>0</v>
      </c>
      <c r="R7418" s="26"/>
    </row>
    <row r="7419" spans="1:18" ht="15.75" customHeight="1">
      <c r="A7419" s="26"/>
      <c r="B7419" s="86"/>
      <c r="D7419" s="26"/>
      <c r="F7419" s="87" t="str">
        <f t="shared" si="0"/>
        <v/>
      </c>
      <c r="H7419" s="26" t="str">
        <f t="shared" si="1"/>
        <v/>
      </c>
      <c r="I7419" s="26" t="str">
        <f t="shared" si="2"/>
        <v/>
      </c>
      <c r="J7419" s="86">
        <f t="shared" si="3"/>
        <v>0</v>
      </c>
      <c r="R7419" s="26"/>
    </row>
    <row r="7420" spans="1:18" ht="15.75" customHeight="1">
      <c r="A7420" s="26"/>
      <c r="B7420" s="86"/>
      <c r="D7420" s="26"/>
      <c r="F7420" s="87" t="str">
        <f t="shared" si="0"/>
        <v/>
      </c>
      <c r="H7420" s="26" t="str">
        <f t="shared" si="1"/>
        <v/>
      </c>
      <c r="I7420" s="26" t="str">
        <f t="shared" si="2"/>
        <v/>
      </c>
      <c r="J7420" s="86">
        <f t="shared" si="3"/>
        <v>0</v>
      </c>
      <c r="R7420" s="26"/>
    </row>
    <row r="7421" spans="1:18" ht="15.75" customHeight="1">
      <c r="A7421" s="26"/>
      <c r="B7421" s="86"/>
      <c r="D7421" s="26"/>
      <c r="F7421" s="87" t="str">
        <f t="shared" si="0"/>
        <v/>
      </c>
      <c r="H7421" s="26" t="str">
        <f t="shared" si="1"/>
        <v/>
      </c>
      <c r="I7421" s="26" t="str">
        <f t="shared" si="2"/>
        <v/>
      </c>
      <c r="J7421" s="86">
        <f t="shared" si="3"/>
        <v>0</v>
      </c>
      <c r="R7421" s="26"/>
    </row>
    <row r="7422" spans="1:18" ht="15.75" customHeight="1">
      <c r="A7422" s="26"/>
      <c r="B7422" s="86"/>
      <c r="D7422" s="26"/>
      <c r="F7422" s="87" t="str">
        <f t="shared" si="0"/>
        <v/>
      </c>
      <c r="H7422" s="26" t="str">
        <f t="shared" si="1"/>
        <v/>
      </c>
      <c r="I7422" s="26" t="str">
        <f t="shared" si="2"/>
        <v/>
      </c>
      <c r="J7422" s="86">
        <f t="shared" si="3"/>
        <v>0</v>
      </c>
      <c r="R7422" s="26"/>
    </row>
    <row r="7423" spans="1:18" ht="15.75" customHeight="1">
      <c r="A7423" s="26"/>
      <c r="B7423" s="86"/>
      <c r="D7423" s="26"/>
      <c r="F7423" s="87" t="str">
        <f t="shared" si="0"/>
        <v/>
      </c>
      <c r="H7423" s="26" t="str">
        <f t="shared" si="1"/>
        <v/>
      </c>
      <c r="I7423" s="26" t="str">
        <f t="shared" si="2"/>
        <v/>
      </c>
      <c r="J7423" s="86">
        <f t="shared" si="3"/>
        <v>0</v>
      </c>
      <c r="R7423" s="26"/>
    </row>
    <row r="7424" spans="1:18" ht="15.75" customHeight="1">
      <c r="A7424" s="26"/>
      <c r="B7424" s="86"/>
      <c r="D7424" s="26"/>
      <c r="F7424" s="87" t="str">
        <f t="shared" si="0"/>
        <v/>
      </c>
      <c r="H7424" s="26" t="str">
        <f t="shared" si="1"/>
        <v/>
      </c>
      <c r="I7424" s="26" t="str">
        <f t="shared" si="2"/>
        <v/>
      </c>
      <c r="J7424" s="86">
        <f t="shared" si="3"/>
        <v>0</v>
      </c>
      <c r="R7424" s="26"/>
    </row>
    <row r="7425" spans="1:18" ht="15.75" customHeight="1">
      <c r="A7425" s="26"/>
      <c r="B7425" s="86"/>
      <c r="D7425" s="26"/>
      <c r="F7425" s="87" t="str">
        <f t="shared" si="0"/>
        <v/>
      </c>
      <c r="H7425" s="26" t="str">
        <f t="shared" si="1"/>
        <v/>
      </c>
      <c r="I7425" s="26" t="str">
        <f t="shared" si="2"/>
        <v/>
      </c>
      <c r="J7425" s="86">
        <f t="shared" si="3"/>
        <v>0</v>
      </c>
      <c r="R7425" s="26"/>
    </row>
    <row r="7426" spans="1:18" ht="15.75" customHeight="1">
      <c r="A7426" s="26"/>
      <c r="B7426" s="86"/>
      <c r="D7426" s="26"/>
      <c r="F7426" s="87" t="str">
        <f t="shared" si="0"/>
        <v/>
      </c>
      <c r="H7426" s="26" t="str">
        <f t="shared" si="1"/>
        <v/>
      </c>
      <c r="I7426" s="26" t="str">
        <f t="shared" si="2"/>
        <v/>
      </c>
      <c r="J7426" s="86">
        <f t="shared" si="3"/>
        <v>0</v>
      </c>
      <c r="R7426" s="26"/>
    </row>
    <row r="7427" spans="1:18" ht="15.75" customHeight="1">
      <c r="A7427" s="26"/>
      <c r="B7427" s="86"/>
      <c r="D7427" s="26"/>
      <c r="F7427" s="87" t="str">
        <f t="shared" si="0"/>
        <v/>
      </c>
      <c r="H7427" s="26" t="str">
        <f t="shared" si="1"/>
        <v/>
      </c>
      <c r="I7427" s="26" t="str">
        <f t="shared" si="2"/>
        <v/>
      </c>
      <c r="J7427" s="86">
        <f t="shared" si="3"/>
        <v>0</v>
      </c>
      <c r="R7427" s="26"/>
    </row>
    <row r="7428" spans="1:18" ht="15.75" customHeight="1">
      <c r="A7428" s="26"/>
      <c r="B7428" s="86"/>
      <c r="D7428" s="26"/>
      <c r="F7428" s="87" t="str">
        <f t="shared" si="0"/>
        <v/>
      </c>
      <c r="H7428" s="26" t="str">
        <f t="shared" si="1"/>
        <v/>
      </c>
      <c r="I7428" s="26" t="str">
        <f t="shared" si="2"/>
        <v/>
      </c>
      <c r="J7428" s="86">
        <f t="shared" si="3"/>
        <v>0</v>
      </c>
      <c r="R7428" s="26"/>
    </row>
    <row r="7429" spans="1:18" ht="15.75" customHeight="1">
      <c r="A7429" s="26"/>
      <c r="B7429" s="86"/>
      <c r="D7429" s="26"/>
      <c r="F7429" s="87" t="str">
        <f t="shared" si="0"/>
        <v/>
      </c>
      <c r="H7429" s="26" t="str">
        <f t="shared" si="1"/>
        <v/>
      </c>
      <c r="I7429" s="26" t="str">
        <f t="shared" si="2"/>
        <v/>
      </c>
      <c r="J7429" s="86">
        <f t="shared" si="3"/>
        <v>0</v>
      </c>
      <c r="R7429" s="26"/>
    </row>
    <row r="7430" spans="1:18" ht="15.75" customHeight="1">
      <c r="A7430" s="26"/>
      <c r="B7430" s="86"/>
      <c r="D7430" s="26"/>
      <c r="F7430" s="87" t="str">
        <f t="shared" si="0"/>
        <v/>
      </c>
      <c r="H7430" s="26" t="str">
        <f t="shared" si="1"/>
        <v/>
      </c>
      <c r="I7430" s="26" t="str">
        <f t="shared" si="2"/>
        <v/>
      </c>
      <c r="J7430" s="86">
        <f t="shared" si="3"/>
        <v>0</v>
      </c>
      <c r="R7430" s="26"/>
    </row>
    <row r="7431" spans="1:18" ht="15.75" customHeight="1">
      <c r="A7431" s="26"/>
      <c r="B7431" s="86"/>
      <c r="D7431" s="26"/>
      <c r="F7431" s="87" t="str">
        <f t="shared" si="0"/>
        <v/>
      </c>
      <c r="H7431" s="26" t="str">
        <f t="shared" si="1"/>
        <v/>
      </c>
      <c r="I7431" s="26" t="str">
        <f t="shared" si="2"/>
        <v/>
      </c>
      <c r="J7431" s="86">
        <f t="shared" si="3"/>
        <v>0</v>
      </c>
      <c r="R7431" s="26"/>
    </row>
    <row r="7432" spans="1:18" ht="15.75" customHeight="1">
      <c r="A7432" s="26"/>
      <c r="B7432" s="86"/>
      <c r="D7432" s="26"/>
      <c r="F7432" s="87" t="str">
        <f t="shared" si="0"/>
        <v/>
      </c>
      <c r="H7432" s="26" t="str">
        <f t="shared" si="1"/>
        <v/>
      </c>
      <c r="I7432" s="26" t="str">
        <f t="shared" si="2"/>
        <v/>
      </c>
      <c r="J7432" s="86">
        <f t="shared" si="3"/>
        <v>0</v>
      </c>
      <c r="R7432" s="26"/>
    </row>
    <row r="7433" spans="1:18" ht="15.75" customHeight="1">
      <c r="A7433" s="26"/>
      <c r="B7433" s="86"/>
      <c r="D7433" s="26"/>
      <c r="F7433" s="87" t="str">
        <f t="shared" si="0"/>
        <v/>
      </c>
      <c r="H7433" s="26" t="str">
        <f t="shared" si="1"/>
        <v/>
      </c>
      <c r="I7433" s="26" t="str">
        <f t="shared" si="2"/>
        <v/>
      </c>
      <c r="J7433" s="86">
        <f t="shared" si="3"/>
        <v>0</v>
      </c>
      <c r="R7433" s="26"/>
    </row>
    <row r="7434" spans="1:18" ht="15.75" customHeight="1">
      <c r="A7434" s="26"/>
      <c r="B7434" s="86"/>
      <c r="D7434" s="26"/>
      <c r="F7434" s="87" t="str">
        <f t="shared" si="0"/>
        <v/>
      </c>
      <c r="H7434" s="26" t="str">
        <f t="shared" si="1"/>
        <v/>
      </c>
      <c r="I7434" s="26" t="str">
        <f t="shared" si="2"/>
        <v/>
      </c>
      <c r="J7434" s="86">
        <f t="shared" si="3"/>
        <v>0</v>
      </c>
      <c r="R7434" s="26"/>
    </row>
    <row r="7435" spans="1:18" ht="15.75" customHeight="1">
      <c r="A7435" s="26"/>
      <c r="B7435" s="86"/>
      <c r="D7435" s="26"/>
      <c r="F7435" s="87" t="str">
        <f t="shared" si="0"/>
        <v/>
      </c>
      <c r="H7435" s="26" t="str">
        <f t="shared" si="1"/>
        <v/>
      </c>
      <c r="I7435" s="26" t="str">
        <f t="shared" si="2"/>
        <v/>
      </c>
      <c r="J7435" s="86">
        <f t="shared" si="3"/>
        <v>0</v>
      </c>
      <c r="R7435" s="26"/>
    </row>
    <row r="7436" spans="1:18" ht="15.75" customHeight="1">
      <c r="A7436" s="26"/>
      <c r="B7436" s="86"/>
      <c r="D7436" s="26"/>
      <c r="F7436" s="87" t="str">
        <f t="shared" si="0"/>
        <v/>
      </c>
      <c r="H7436" s="26" t="str">
        <f t="shared" si="1"/>
        <v/>
      </c>
      <c r="I7436" s="26" t="str">
        <f t="shared" si="2"/>
        <v/>
      </c>
      <c r="J7436" s="86">
        <f t="shared" si="3"/>
        <v>0</v>
      </c>
      <c r="R7436" s="26"/>
    </row>
    <row r="7437" spans="1:18" ht="15.75" customHeight="1">
      <c r="A7437" s="26"/>
      <c r="B7437" s="86"/>
      <c r="D7437" s="26"/>
      <c r="F7437" s="87" t="str">
        <f t="shared" si="0"/>
        <v/>
      </c>
      <c r="H7437" s="26" t="str">
        <f t="shared" si="1"/>
        <v/>
      </c>
      <c r="I7437" s="26" t="str">
        <f t="shared" si="2"/>
        <v/>
      </c>
      <c r="J7437" s="86">
        <f t="shared" si="3"/>
        <v>0</v>
      </c>
      <c r="R7437" s="26"/>
    </row>
    <row r="7438" spans="1:18" ht="15.75" customHeight="1">
      <c r="A7438" s="26"/>
      <c r="B7438" s="86"/>
      <c r="D7438" s="26"/>
      <c r="F7438" s="87" t="str">
        <f t="shared" si="0"/>
        <v/>
      </c>
      <c r="H7438" s="26" t="str">
        <f t="shared" si="1"/>
        <v/>
      </c>
      <c r="I7438" s="26" t="str">
        <f t="shared" si="2"/>
        <v/>
      </c>
      <c r="J7438" s="86">
        <f t="shared" si="3"/>
        <v>0</v>
      </c>
      <c r="R7438" s="26"/>
    </row>
    <row r="7439" spans="1:18" ht="15.75" customHeight="1">
      <c r="A7439" s="26"/>
      <c r="B7439" s="86"/>
      <c r="D7439" s="26"/>
      <c r="F7439" s="87" t="str">
        <f t="shared" si="0"/>
        <v/>
      </c>
      <c r="H7439" s="26" t="str">
        <f t="shared" si="1"/>
        <v/>
      </c>
      <c r="I7439" s="26" t="str">
        <f t="shared" si="2"/>
        <v/>
      </c>
      <c r="J7439" s="86">
        <f t="shared" si="3"/>
        <v>0</v>
      </c>
      <c r="R7439" s="26"/>
    </row>
    <row r="7440" spans="1:18" ht="15.75" customHeight="1">
      <c r="A7440" s="26"/>
      <c r="B7440" s="86"/>
      <c r="D7440" s="26"/>
      <c r="F7440" s="87" t="str">
        <f t="shared" si="0"/>
        <v/>
      </c>
      <c r="H7440" s="26" t="str">
        <f t="shared" si="1"/>
        <v/>
      </c>
      <c r="I7440" s="26" t="str">
        <f t="shared" si="2"/>
        <v/>
      </c>
      <c r="J7440" s="86">
        <f t="shared" si="3"/>
        <v>0</v>
      </c>
      <c r="R7440" s="26"/>
    </row>
    <row r="7441" spans="1:18" ht="15.75" customHeight="1">
      <c r="A7441" s="26"/>
      <c r="B7441" s="86"/>
      <c r="D7441" s="26"/>
      <c r="F7441" s="87" t="str">
        <f t="shared" si="0"/>
        <v/>
      </c>
      <c r="H7441" s="26" t="str">
        <f t="shared" si="1"/>
        <v/>
      </c>
      <c r="I7441" s="26" t="str">
        <f t="shared" si="2"/>
        <v/>
      </c>
      <c r="J7441" s="86">
        <f t="shared" si="3"/>
        <v>0</v>
      </c>
      <c r="R7441" s="26"/>
    </row>
    <row r="7442" spans="1:18" ht="15.75" customHeight="1">
      <c r="A7442" s="26"/>
      <c r="B7442" s="86"/>
      <c r="D7442" s="26"/>
      <c r="F7442" s="87" t="str">
        <f t="shared" si="0"/>
        <v/>
      </c>
      <c r="H7442" s="26" t="str">
        <f t="shared" si="1"/>
        <v/>
      </c>
      <c r="I7442" s="26" t="str">
        <f t="shared" si="2"/>
        <v/>
      </c>
      <c r="J7442" s="86">
        <f t="shared" si="3"/>
        <v>0</v>
      </c>
      <c r="R7442" s="26"/>
    </row>
    <row r="7443" spans="1:18" ht="15.75" customHeight="1">
      <c r="A7443" s="26"/>
      <c r="B7443" s="86"/>
      <c r="D7443" s="26"/>
      <c r="F7443" s="87" t="str">
        <f t="shared" si="0"/>
        <v/>
      </c>
      <c r="H7443" s="26" t="str">
        <f t="shared" si="1"/>
        <v/>
      </c>
      <c r="I7443" s="26" t="str">
        <f t="shared" si="2"/>
        <v/>
      </c>
      <c r="J7443" s="86">
        <f t="shared" si="3"/>
        <v>0</v>
      </c>
      <c r="R7443" s="26"/>
    </row>
    <row r="7444" spans="1:18" ht="15.75" customHeight="1">
      <c r="A7444" s="26"/>
      <c r="B7444" s="86"/>
      <c r="D7444" s="26"/>
      <c r="F7444" s="87" t="str">
        <f t="shared" si="0"/>
        <v/>
      </c>
      <c r="H7444" s="26" t="str">
        <f t="shared" si="1"/>
        <v/>
      </c>
      <c r="I7444" s="26" t="str">
        <f t="shared" si="2"/>
        <v/>
      </c>
      <c r="J7444" s="86">
        <f t="shared" si="3"/>
        <v>0</v>
      </c>
      <c r="R7444" s="26"/>
    </row>
    <row r="7445" spans="1:18" ht="15.75" customHeight="1">
      <c r="A7445" s="26"/>
      <c r="B7445" s="86"/>
      <c r="D7445" s="26"/>
      <c r="F7445" s="87" t="str">
        <f t="shared" si="0"/>
        <v/>
      </c>
      <c r="H7445" s="26" t="str">
        <f t="shared" si="1"/>
        <v/>
      </c>
      <c r="I7445" s="26" t="str">
        <f t="shared" si="2"/>
        <v/>
      </c>
      <c r="J7445" s="86">
        <f t="shared" si="3"/>
        <v>0</v>
      </c>
      <c r="R7445" s="26"/>
    </row>
    <row r="7446" spans="1:18" ht="15.75" customHeight="1">
      <c r="A7446" s="26"/>
      <c r="B7446" s="86"/>
      <c r="D7446" s="26"/>
      <c r="F7446" s="87" t="str">
        <f t="shared" si="0"/>
        <v/>
      </c>
      <c r="H7446" s="26" t="str">
        <f t="shared" si="1"/>
        <v/>
      </c>
      <c r="I7446" s="26" t="str">
        <f t="shared" si="2"/>
        <v/>
      </c>
      <c r="J7446" s="86">
        <f t="shared" si="3"/>
        <v>0</v>
      </c>
      <c r="R7446" s="26"/>
    </row>
    <row r="7447" spans="1:18" ht="15.75" customHeight="1">
      <c r="A7447" s="26"/>
      <c r="B7447" s="86"/>
      <c r="D7447" s="26"/>
      <c r="F7447" s="87" t="str">
        <f t="shared" si="0"/>
        <v/>
      </c>
      <c r="H7447" s="26" t="str">
        <f t="shared" si="1"/>
        <v/>
      </c>
      <c r="I7447" s="26" t="str">
        <f t="shared" si="2"/>
        <v/>
      </c>
      <c r="J7447" s="86">
        <f t="shared" si="3"/>
        <v>0</v>
      </c>
      <c r="R7447" s="26"/>
    </row>
    <row r="7448" spans="1:18" ht="15.75" customHeight="1">
      <c r="A7448" s="26"/>
      <c r="B7448" s="86"/>
      <c r="D7448" s="26"/>
      <c r="F7448" s="87" t="str">
        <f t="shared" si="0"/>
        <v/>
      </c>
      <c r="H7448" s="26" t="str">
        <f t="shared" si="1"/>
        <v/>
      </c>
      <c r="I7448" s="26" t="str">
        <f t="shared" si="2"/>
        <v/>
      </c>
      <c r="J7448" s="86">
        <f t="shared" si="3"/>
        <v>0</v>
      </c>
      <c r="R7448" s="26"/>
    </row>
    <row r="7449" spans="1:18" ht="15.75" customHeight="1">
      <c r="A7449" s="26"/>
      <c r="B7449" s="86"/>
      <c r="D7449" s="26"/>
      <c r="F7449" s="87" t="str">
        <f t="shared" si="0"/>
        <v/>
      </c>
      <c r="H7449" s="26" t="str">
        <f t="shared" si="1"/>
        <v/>
      </c>
      <c r="I7449" s="26" t="str">
        <f t="shared" si="2"/>
        <v/>
      </c>
      <c r="J7449" s="86">
        <f t="shared" si="3"/>
        <v>0</v>
      </c>
      <c r="R7449" s="26"/>
    </row>
    <row r="7450" spans="1:18" ht="15.75" customHeight="1">
      <c r="A7450" s="26"/>
      <c r="B7450" s="86"/>
      <c r="D7450" s="26"/>
      <c r="F7450" s="87" t="str">
        <f t="shared" si="0"/>
        <v/>
      </c>
      <c r="H7450" s="26" t="str">
        <f t="shared" si="1"/>
        <v/>
      </c>
      <c r="I7450" s="26" t="str">
        <f t="shared" si="2"/>
        <v/>
      </c>
      <c r="J7450" s="86">
        <f t="shared" si="3"/>
        <v>0</v>
      </c>
      <c r="R7450" s="26"/>
    </row>
    <row r="7451" spans="1:18" ht="15.75" customHeight="1">
      <c r="A7451" s="26"/>
      <c r="B7451" s="86"/>
      <c r="D7451" s="26"/>
      <c r="F7451" s="87" t="str">
        <f t="shared" si="0"/>
        <v/>
      </c>
      <c r="H7451" s="26" t="str">
        <f t="shared" si="1"/>
        <v/>
      </c>
      <c r="I7451" s="26" t="str">
        <f t="shared" si="2"/>
        <v/>
      </c>
      <c r="J7451" s="86">
        <f t="shared" si="3"/>
        <v>0</v>
      </c>
      <c r="R7451" s="26"/>
    </row>
    <row r="7452" spans="1:18" ht="15.75" customHeight="1">
      <c r="A7452" s="26"/>
      <c r="B7452" s="86"/>
      <c r="D7452" s="26"/>
      <c r="F7452" s="87" t="str">
        <f t="shared" si="0"/>
        <v/>
      </c>
      <c r="H7452" s="26" t="str">
        <f t="shared" si="1"/>
        <v/>
      </c>
      <c r="I7452" s="26" t="str">
        <f t="shared" si="2"/>
        <v/>
      </c>
      <c r="J7452" s="86">
        <f t="shared" si="3"/>
        <v>0</v>
      </c>
      <c r="R7452" s="26"/>
    </row>
    <row r="7453" spans="1:18" ht="15.75" customHeight="1">
      <c r="A7453" s="26"/>
      <c r="B7453" s="86"/>
      <c r="D7453" s="26"/>
      <c r="F7453" s="87" t="str">
        <f t="shared" si="0"/>
        <v/>
      </c>
      <c r="H7453" s="26" t="str">
        <f t="shared" si="1"/>
        <v/>
      </c>
      <c r="I7453" s="26" t="str">
        <f t="shared" si="2"/>
        <v/>
      </c>
      <c r="J7453" s="86">
        <f t="shared" si="3"/>
        <v>0</v>
      </c>
      <c r="R7453" s="26"/>
    </row>
    <row r="7454" spans="1:18" ht="15.75" customHeight="1">
      <c r="A7454" s="26"/>
      <c r="B7454" s="86"/>
      <c r="D7454" s="26"/>
      <c r="F7454" s="87" t="str">
        <f t="shared" si="0"/>
        <v/>
      </c>
      <c r="H7454" s="26" t="str">
        <f t="shared" si="1"/>
        <v/>
      </c>
      <c r="I7454" s="26" t="str">
        <f t="shared" si="2"/>
        <v/>
      </c>
      <c r="J7454" s="86">
        <f t="shared" si="3"/>
        <v>0</v>
      </c>
      <c r="R7454" s="26"/>
    </row>
    <row r="7455" spans="1:18" ht="15.75" customHeight="1">
      <c r="A7455" s="26"/>
      <c r="B7455" s="86"/>
      <c r="D7455" s="26"/>
      <c r="F7455" s="87" t="str">
        <f t="shared" si="0"/>
        <v/>
      </c>
      <c r="H7455" s="26" t="str">
        <f t="shared" si="1"/>
        <v/>
      </c>
      <c r="I7455" s="26" t="str">
        <f t="shared" si="2"/>
        <v/>
      </c>
      <c r="J7455" s="86">
        <f t="shared" si="3"/>
        <v>0</v>
      </c>
      <c r="R7455" s="26"/>
    </row>
    <row r="7456" spans="1:18" ht="15.75" customHeight="1">
      <c r="A7456" s="26"/>
      <c r="B7456" s="86"/>
      <c r="D7456" s="26"/>
      <c r="F7456" s="87" t="str">
        <f t="shared" si="0"/>
        <v/>
      </c>
      <c r="H7456" s="26" t="str">
        <f t="shared" si="1"/>
        <v/>
      </c>
      <c r="I7456" s="26" t="str">
        <f t="shared" si="2"/>
        <v/>
      </c>
      <c r="J7456" s="86">
        <f t="shared" si="3"/>
        <v>0</v>
      </c>
      <c r="R7456" s="26"/>
    </row>
    <row r="7457" spans="1:18" ht="15.75" customHeight="1">
      <c r="A7457" s="26"/>
      <c r="B7457" s="86"/>
      <c r="D7457" s="26"/>
      <c r="F7457" s="87" t="str">
        <f t="shared" si="0"/>
        <v/>
      </c>
      <c r="H7457" s="26" t="str">
        <f t="shared" si="1"/>
        <v/>
      </c>
      <c r="I7457" s="26" t="str">
        <f t="shared" si="2"/>
        <v/>
      </c>
      <c r="J7457" s="86">
        <f t="shared" si="3"/>
        <v>0</v>
      </c>
      <c r="R7457" s="26"/>
    </row>
    <row r="7458" spans="1:18" ht="15.75" customHeight="1">
      <c r="A7458" s="26"/>
      <c r="B7458" s="86"/>
      <c r="D7458" s="26"/>
      <c r="F7458" s="87" t="str">
        <f t="shared" si="0"/>
        <v/>
      </c>
      <c r="H7458" s="26" t="str">
        <f t="shared" si="1"/>
        <v/>
      </c>
      <c r="I7458" s="26" t="str">
        <f t="shared" si="2"/>
        <v/>
      </c>
      <c r="J7458" s="86">
        <f t="shared" si="3"/>
        <v>0</v>
      </c>
      <c r="R7458" s="26"/>
    </row>
    <row r="7459" spans="1:18" ht="15.75" customHeight="1">
      <c r="A7459" s="26"/>
      <c r="B7459" s="86"/>
      <c r="D7459" s="26"/>
      <c r="F7459" s="87" t="str">
        <f t="shared" si="0"/>
        <v/>
      </c>
      <c r="H7459" s="26" t="str">
        <f t="shared" si="1"/>
        <v/>
      </c>
      <c r="I7459" s="26" t="str">
        <f t="shared" si="2"/>
        <v/>
      </c>
      <c r="J7459" s="86">
        <f t="shared" si="3"/>
        <v>0</v>
      </c>
      <c r="R7459" s="26"/>
    </row>
    <row r="7460" spans="1:18" ht="15.75" customHeight="1">
      <c r="A7460" s="26"/>
      <c r="B7460" s="86"/>
      <c r="D7460" s="26"/>
      <c r="F7460" s="87" t="str">
        <f t="shared" si="0"/>
        <v/>
      </c>
      <c r="H7460" s="26" t="str">
        <f t="shared" si="1"/>
        <v/>
      </c>
      <c r="I7460" s="26" t="str">
        <f t="shared" si="2"/>
        <v/>
      </c>
      <c r="J7460" s="86">
        <f t="shared" si="3"/>
        <v>0</v>
      </c>
      <c r="R7460" s="26"/>
    </row>
    <row r="7461" spans="1:18" ht="15.75" customHeight="1">
      <c r="A7461" s="26"/>
      <c r="B7461" s="86"/>
      <c r="D7461" s="26"/>
      <c r="F7461" s="87" t="str">
        <f t="shared" si="0"/>
        <v/>
      </c>
      <c r="H7461" s="26" t="str">
        <f t="shared" si="1"/>
        <v/>
      </c>
      <c r="I7461" s="26" t="str">
        <f t="shared" si="2"/>
        <v/>
      </c>
      <c r="J7461" s="86">
        <f t="shared" si="3"/>
        <v>0</v>
      </c>
      <c r="R7461" s="26"/>
    </row>
    <row r="7462" spans="1:18" ht="15.75" customHeight="1">
      <c r="A7462" s="26"/>
      <c r="B7462" s="86"/>
      <c r="D7462" s="26"/>
      <c r="F7462" s="87" t="str">
        <f t="shared" si="0"/>
        <v/>
      </c>
      <c r="H7462" s="26" t="str">
        <f t="shared" si="1"/>
        <v/>
      </c>
      <c r="I7462" s="26" t="str">
        <f t="shared" si="2"/>
        <v/>
      </c>
      <c r="J7462" s="86">
        <f t="shared" si="3"/>
        <v>0</v>
      </c>
      <c r="R7462" s="26"/>
    </row>
    <row r="7463" spans="1:18" ht="15.75" customHeight="1">
      <c r="A7463" s="26"/>
      <c r="B7463" s="86"/>
      <c r="D7463" s="26"/>
      <c r="F7463" s="87" t="str">
        <f t="shared" si="0"/>
        <v/>
      </c>
      <c r="H7463" s="26" t="str">
        <f t="shared" si="1"/>
        <v/>
      </c>
      <c r="I7463" s="26" t="str">
        <f t="shared" si="2"/>
        <v/>
      </c>
      <c r="J7463" s="86">
        <f t="shared" si="3"/>
        <v>0</v>
      </c>
      <c r="R7463" s="26"/>
    </row>
    <row r="7464" spans="1:18" ht="15.75" customHeight="1">
      <c r="A7464" s="26"/>
      <c r="B7464" s="86"/>
      <c r="D7464" s="26"/>
      <c r="F7464" s="87" t="str">
        <f t="shared" si="0"/>
        <v/>
      </c>
      <c r="H7464" s="26" t="str">
        <f t="shared" si="1"/>
        <v/>
      </c>
      <c r="I7464" s="26" t="str">
        <f t="shared" si="2"/>
        <v/>
      </c>
      <c r="J7464" s="86">
        <f t="shared" si="3"/>
        <v>0</v>
      </c>
      <c r="R7464" s="26"/>
    </row>
    <row r="7465" spans="1:18" ht="15.75" customHeight="1">
      <c r="A7465" s="26"/>
      <c r="B7465" s="86"/>
      <c r="D7465" s="26"/>
      <c r="F7465" s="87" t="str">
        <f t="shared" si="0"/>
        <v/>
      </c>
      <c r="H7465" s="26" t="str">
        <f t="shared" si="1"/>
        <v/>
      </c>
      <c r="I7465" s="26" t="str">
        <f t="shared" si="2"/>
        <v/>
      </c>
      <c r="J7465" s="86">
        <f t="shared" si="3"/>
        <v>0</v>
      </c>
      <c r="R7465" s="26"/>
    </row>
    <row r="7466" spans="1:18" ht="15.75" customHeight="1">
      <c r="A7466" s="26"/>
      <c r="B7466" s="86"/>
      <c r="D7466" s="26"/>
      <c r="F7466" s="87" t="str">
        <f t="shared" si="0"/>
        <v/>
      </c>
      <c r="H7466" s="26" t="str">
        <f t="shared" si="1"/>
        <v/>
      </c>
      <c r="I7466" s="26" t="str">
        <f t="shared" si="2"/>
        <v/>
      </c>
      <c r="J7466" s="86">
        <f t="shared" si="3"/>
        <v>0</v>
      </c>
      <c r="R7466" s="26"/>
    </row>
    <row r="7467" spans="1:18" ht="15.75" customHeight="1">
      <c r="A7467" s="26"/>
      <c r="B7467" s="86"/>
      <c r="D7467" s="26"/>
      <c r="F7467" s="87" t="str">
        <f t="shared" si="0"/>
        <v/>
      </c>
      <c r="H7467" s="26" t="str">
        <f t="shared" si="1"/>
        <v/>
      </c>
      <c r="I7467" s="26" t="str">
        <f t="shared" si="2"/>
        <v/>
      </c>
      <c r="J7467" s="86">
        <f t="shared" si="3"/>
        <v>0</v>
      </c>
      <c r="R7467" s="26"/>
    </row>
    <row r="7468" spans="1:18" ht="15.75" customHeight="1">
      <c r="A7468" s="26"/>
      <c r="B7468" s="86"/>
      <c r="D7468" s="26"/>
      <c r="F7468" s="87" t="str">
        <f t="shared" si="0"/>
        <v/>
      </c>
      <c r="H7468" s="26" t="str">
        <f t="shared" si="1"/>
        <v/>
      </c>
      <c r="I7468" s="26" t="str">
        <f t="shared" si="2"/>
        <v/>
      </c>
      <c r="J7468" s="86">
        <f t="shared" si="3"/>
        <v>0</v>
      </c>
      <c r="R7468" s="26"/>
    </row>
    <row r="7469" spans="1:18" ht="15.75" customHeight="1">
      <c r="A7469" s="26"/>
      <c r="B7469" s="86"/>
      <c r="D7469" s="26"/>
      <c r="F7469" s="87" t="str">
        <f t="shared" si="0"/>
        <v/>
      </c>
      <c r="H7469" s="26" t="str">
        <f t="shared" si="1"/>
        <v/>
      </c>
      <c r="I7469" s="26" t="str">
        <f t="shared" si="2"/>
        <v/>
      </c>
      <c r="J7469" s="86">
        <f t="shared" si="3"/>
        <v>0</v>
      </c>
      <c r="R7469" s="26"/>
    </row>
    <row r="7470" spans="1:18" ht="15.75" customHeight="1">
      <c r="A7470" s="26"/>
      <c r="B7470" s="86"/>
      <c r="D7470" s="26"/>
      <c r="F7470" s="87" t="str">
        <f t="shared" si="0"/>
        <v/>
      </c>
      <c r="H7470" s="26" t="str">
        <f t="shared" si="1"/>
        <v/>
      </c>
      <c r="I7470" s="26" t="str">
        <f t="shared" si="2"/>
        <v/>
      </c>
      <c r="J7470" s="86">
        <f t="shared" si="3"/>
        <v>0</v>
      </c>
      <c r="R7470" s="26"/>
    </row>
    <row r="7471" spans="1:18" ht="15.75" customHeight="1">
      <c r="A7471" s="26"/>
      <c r="B7471" s="86"/>
      <c r="D7471" s="26"/>
      <c r="F7471" s="87" t="str">
        <f t="shared" si="0"/>
        <v/>
      </c>
      <c r="H7471" s="26" t="str">
        <f t="shared" si="1"/>
        <v/>
      </c>
      <c r="I7471" s="26" t="str">
        <f t="shared" si="2"/>
        <v/>
      </c>
      <c r="J7471" s="86">
        <f t="shared" si="3"/>
        <v>0</v>
      </c>
      <c r="R7471" s="26"/>
    </row>
    <row r="7472" spans="1:18" ht="15.75" customHeight="1">
      <c r="A7472" s="26"/>
      <c r="B7472" s="86"/>
      <c r="D7472" s="26"/>
      <c r="F7472" s="87" t="str">
        <f t="shared" si="0"/>
        <v/>
      </c>
      <c r="H7472" s="26" t="str">
        <f t="shared" si="1"/>
        <v/>
      </c>
      <c r="I7472" s="26" t="str">
        <f t="shared" si="2"/>
        <v/>
      </c>
      <c r="J7472" s="86">
        <f t="shared" si="3"/>
        <v>0</v>
      </c>
      <c r="R7472" s="26"/>
    </row>
    <row r="7473" spans="1:18" ht="15.75" customHeight="1">
      <c r="A7473" s="26"/>
      <c r="B7473" s="86"/>
      <c r="D7473" s="26"/>
      <c r="F7473" s="87" t="str">
        <f t="shared" si="0"/>
        <v/>
      </c>
      <c r="H7473" s="26" t="str">
        <f t="shared" si="1"/>
        <v/>
      </c>
      <c r="I7473" s="26" t="str">
        <f t="shared" si="2"/>
        <v/>
      </c>
      <c r="J7473" s="86">
        <f t="shared" si="3"/>
        <v>0</v>
      </c>
      <c r="R7473" s="26"/>
    </row>
    <row r="7474" spans="1:18" ht="15.75" customHeight="1">
      <c r="A7474" s="26"/>
      <c r="B7474" s="86"/>
      <c r="D7474" s="26"/>
      <c r="F7474" s="87" t="str">
        <f t="shared" si="0"/>
        <v/>
      </c>
      <c r="H7474" s="26" t="str">
        <f t="shared" si="1"/>
        <v/>
      </c>
      <c r="I7474" s="26" t="str">
        <f t="shared" si="2"/>
        <v/>
      </c>
      <c r="J7474" s="86">
        <f t="shared" si="3"/>
        <v>0</v>
      </c>
      <c r="R7474" s="26"/>
    </row>
    <row r="7475" spans="1:18" ht="15.75" customHeight="1">
      <c r="A7475" s="26"/>
      <c r="B7475" s="86"/>
      <c r="D7475" s="26"/>
      <c r="F7475" s="87" t="str">
        <f t="shared" si="0"/>
        <v/>
      </c>
      <c r="H7475" s="26" t="str">
        <f t="shared" si="1"/>
        <v/>
      </c>
      <c r="I7475" s="26" t="str">
        <f t="shared" si="2"/>
        <v/>
      </c>
      <c r="J7475" s="86">
        <f t="shared" si="3"/>
        <v>0</v>
      </c>
      <c r="R7475" s="26"/>
    </row>
    <row r="7476" spans="1:18" ht="15.75" customHeight="1">
      <c r="A7476" s="26"/>
      <c r="B7476" s="86"/>
      <c r="D7476" s="26"/>
      <c r="F7476" s="87" t="str">
        <f t="shared" si="0"/>
        <v/>
      </c>
      <c r="H7476" s="26" t="str">
        <f t="shared" si="1"/>
        <v/>
      </c>
      <c r="I7476" s="26" t="str">
        <f t="shared" si="2"/>
        <v/>
      </c>
      <c r="J7476" s="86">
        <f t="shared" si="3"/>
        <v>0</v>
      </c>
      <c r="R7476" s="26"/>
    </row>
    <row r="7477" spans="1:18" ht="15.75" customHeight="1">
      <c r="A7477" s="26"/>
      <c r="B7477" s="86"/>
      <c r="D7477" s="26"/>
      <c r="F7477" s="87" t="str">
        <f t="shared" si="0"/>
        <v/>
      </c>
      <c r="H7477" s="26" t="str">
        <f t="shared" si="1"/>
        <v/>
      </c>
      <c r="I7477" s="26" t="str">
        <f t="shared" si="2"/>
        <v/>
      </c>
      <c r="J7477" s="86">
        <f t="shared" si="3"/>
        <v>0</v>
      </c>
      <c r="R7477" s="26"/>
    </row>
    <row r="7478" spans="1:18" ht="15.75" customHeight="1">
      <c r="A7478" s="26"/>
      <c r="B7478" s="86"/>
      <c r="D7478" s="26"/>
      <c r="F7478" s="87" t="str">
        <f t="shared" si="0"/>
        <v/>
      </c>
      <c r="H7478" s="26" t="str">
        <f t="shared" si="1"/>
        <v/>
      </c>
      <c r="I7478" s="26" t="str">
        <f t="shared" si="2"/>
        <v/>
      </c>
      <c r="J7478" s="86">
        <f t="shared" si="3"/>
        <v>0</v>
      </c>
      <c r="R7478" s="26"/>
    </row>
    <row r="7479" spans="1:18" ht="15.75" customHeight="1">
      <c r="A7479" s="26"/>
      <c r="B7479" s="86"/>
      <c r="D7479" s="26"/>
      <c r="F7479" s="87" t="str">
        <f t="shared" si="0"/>
        <v/>
      </c>
      <c r="H7479" s="26" t="str">
        <f t="shared" si="1"/>
        <v/>
      </c>
      <c r="I7479" s="26" t="str">
        <f t="shared" si="2"/>
        <v/>
      </c>
      <c r="J7479" s="86">
        <f t="shared" si="3"/>
        <v>0</v>
      </c>
      <c r="R7479" s="26"/>
    </row>
    <row r="7480" spans="1:18" ht="15.75" customHeight="1">
      <c r="A7480" s="26"/>
      <c r="B7480" s="86"/>
      <c r="D7480" s="26"/>
      <c r="F7480" s="87" t="str">
        <f t="shared" si="0"/>
        <v/>
      </c>
      <c r="H7480" s="26" t="str">
        <f t="shared" si="1"/>
        <v/>
      </c>
      <c r="I7480" s="26" t="str">
        <f t="shared" si="2"/>
        <v/>
      </c>
      <c r="J7480" s="86">
        <f t="shared" si="3"/>
        <v>0</v>
      </c>
      <c r="R7480" s="26"/>
    </row>
    <row r="7481" spans="1:18" ht="15.75" customHeight="1">
      <c r="A7481" s="26"/>
      <c r="B7481" s="86"/>
      <c r="D7481" s="26"/>
      <c r="F7481" s="87" t="str">
        <f t="shared" si="0"/>
        <v/>
      </c>
      <c r="H7481" s="26" t="str">
        <f t="shared" si="1"/>
        <v/>
      </c>
      <c r="I7481" s="26" t="str">
        <f t="shared" si="2"/>
        <v/>
      </c>
      <c r="J7481" s="86">
        <f t="shared" si="3"/>
        <v>0</v>
      </c>
      <c r="R7481" s="26"/>
    </row>
    <row r="7482" spans="1:18" ht="15.75" customHeight="1">
      <c r="A7482" s="26"/>
      <c r="B7482" s="86"/>
      <c r="D7482" s="26"/>
      <c r="F7482" s="87" t="str">
        <f t="shared" si="0"/>
        <v/>
      </c>
      <c r="H7482" s="26" t="str">
        <f t="shared" si="1"/>
        <v/>
      </c>
      <c r="I7482" s="26" t="str">
        <f t="shared" si="2"/>
        <v/>
      </c>
      <c r="J7482" s="86">
        <f t="shared" si="3"/>
        <v>0</v>
      </c>
      <c r="R7482" s="26"/>
    </row>
    <row r="7483" spans="1:18" ht="15.75" customHeight="1">
      <c r="A7483" s="26"/>
      <c r="B7483" s="86"/>
      <c r="D7483" s="26"/>
      <c r="F7483" s="87" t="str">
        <f t="shared" si="0"/>
        <v/>
      </c>
      <c r="H7483" s="26" t="str">
        <f t="shared" si="1"/>
        <v/>
      </c>
      <c r="I7483" s="26" t="str">
        <f t="shared" si="2"/>
        <v/>
      </c>
      <c r="J7483" s="86">
        <f t="shared" si="3"/>
        <v>0</v>
      </c>
      <c r="R7483" s="26"/>
    </row>
    <row r="7484" spans="1:18" ht="15.75" customHeight="1">
      <c r="A7484" s="26"/>
      <c r="B7484" s="86"/>
      <c r="D7484" s="26"/>
      <c r="F7484" s="87" t="str">
        <f t="shared" si="0"/>
        <v/>
      </c>
      <c r="H7484" s="26" t="str">
        <f t="shared" si="1"/>
        <v/>
      </c>
      <c r="I7484" s="26" t="str">
        <f t="shared" si="2"/>
        <v/>
      </c>
      <c r="J7484" s="86">
        <f t="shared" si="3"/>
        <v>0</v>
      </c>
      <c r="R7484" s="26"/>
    </row>
    <row r="7485" spans="1:18" ht="15.75" customHeight="1">
      <c r="A7485" s="26"/>
      <c r="B7485" s="86"/>
      <c r="D7485" s="26"/>
      <c r="F7485" s="87" t="str">
        <f t="shared" si="0"/>
        <v/>
      </c>
      <c r="H7485" s="26" t="str">
        <f t="shared" si="1"/>
        <v/>
      </c>
      <c r="I7485" s="26" t="str">
        <f t="shared" si="2"/>
        <v/>
      </c>
      <c r="J7485" s="86">
        <f t="shared" si="3"/>
        <v>0</v>
      </c>
      <c r="R7485" s="26"/>
    </row>
    <row r="7486" spans="1:18" ht="15.75" customHeight="1">
      <c r="A7486" s="26"/>
      <c r="B7486" s="86"/>
      <c r="D7486" s="26"/>
      <c r="F7486" s="87" t="str">
        <f t="shared" si="0"/>
        <v/>
      </c>
      <c r="H7486" s="26" t="str">
        <f t="shared" si="1"/>
        <v/>
      </c>
      <c r="I7486" s="26" t="str">
        <f t="shared" si="2"/>
        <v/>
      </c>
      <c r="J7486" s="86">
        <f t="shared" si="3"/>
        <v>0</v>
      </c>
      <c r="R7486" s="26"/>
    </row>
    <row r="7487" spans="1:18" ht="15.75" customHeight="1">
      <c r="A7487" s="26"/>
      <c r="B7487" s="86"/>
      <c r="D7487" s="26"/>
      <c r="F7487" s="87" t="str">
        <f t="shared" si="0"/>
        <v/>
      </c>
      <c r="H7487" s="26" t="str">
        <f t="shared" si="1"/>
        <v/>
      </c>
      <c r="I7487" s="26" t="str">
        <f t="shared" si="2"/>
        <v/>
      </c>
      <c r="J7487" s="86">
        <f t="shared" si="3"/>
        <v>0</v>
      </c>
      <c r="R7487" s="26"/>
    </row>
    <row r="7488" spans="1:18" ht="15.75" customHeight="1">
      <c r="A7488" s="26"/>
      <c r="B7488" s="86"/>
      <c r="D7488" s="26"/>
      <c r="F7488" s="87" t="str">
        <f t="shared" si="0"/>
        <v/>
      </c>
      <c r="H7488" s="26" t="str">
        <f t="shared" si="1"/>
        <v/>
      </c>
      <c r="I7488" s="26" t="str">
        <f t="shared" si="2"/>
        <v/>
      </c>
      <c r="J7488" s="86">
        <f t="shared" si="3"/>
        <v>0</v>
      </c>
      <c r="R7488" s="26"/>
    </row>
    <row r="7489" spans="1:18" ht="15.75" customHeight="1">
      <c r="A7489" s="26"/>
      <c r="B7489" s="86"/>
      <c r="D7489" s="26"/>
      <c r="F7489" s="87" t="str">
        <f t="shared" si="0"/>
        <v/>
      </c>
      <c r="H7489" s="26" t="str">
        <f t="shared" si="1"/>
        <v/>
      </c>
      <c r="I7489" s="26" t="str">
        <f t="shared" si="2"/>
        <v/>
      </c>
      <c r="J7489" s="86">
        <f t="shared" si="3"/>
        <v>0</v>
      </c>
      <c r="R7489" s="26"/>
    </row>
    <row r="7490" spans="1:18" ht="15.75" customHeight="1">
      <c r="A7490" s="26"/>
      <c r="B7490" s="86"/>
      <c r="D7490" s="26"/>
      <c r="F7490" s="87" t="str">
        <f t="shared" si="0"/>
        <v/>
      </c>
      <c r="H7490" s="26" t="str">
        <f t="shared" si="1"/>
        <v/>
      </c>
      <c r="I7490" s="26" t="str">
        <f t="shared" si="2"/>
        <v/>
      </c>
      <c r="J7490" s="86">
        <f t="shared" si="3"/>
        <v>0</v>
      </c>
      <c r="R7490" s="26"/>
    </row>
    <row r="7491" spans="1:18" ht="15.75" customHeight="1">
      <c r="A7491" s="26"/>
      <c r="B7491" s="86"/>
      <c r="D7491" s="26"/>
      <c r="F7491" s="87" t="str">
        <f t="shared" si="0"/>
        <v/>
      </c>
      <c r="H7491" s="26" t="str">
        <f t="shared" si="1"/>
        <v/>
      </c>
      <c r="I7491" s="26" t="str">
        <f t="shared" si="2"/>
        <v/>
      </c>
      <c r="J7491" s="86">
        <f t="shared" si="3"/>
        <v>0</v>
      </c>
      <c r="R7491" s="26"/>
    </row>
    <row r="7492" spans="1:18" ht="15.75" customHeight="1">
      <c r="A7492" s="26"/>
      <c r="B7492" s="86"/>
      <c r="D7492" s="26"/>
      <c r="F7492" s="87" t="str">
        <f t="shared" si="0"/>
        <v/>
      </c>
      <c r="H7492" s="26" t="str">
        <f t="shared" si="1"/>
        <v/>
      </c>
      <c r="I7492" s="26" t="str">
        <f t="shared" si="2"/>
        <v/>
      </c>
      <c r="J7492" s="86">
        <f t="shared" si="3"/>
        <v>0</v>
      </c>
      <c r="R7492" s="26"/>
    </row>
    <row r="7493" spans="1:18" ht="15.75" customHeight="1">
      <c r="A7493" s="26"/>
      <c r="B7493" s="86"/>
      <c r="D7493" s="26"/>
      <c r="F7493" s="87" t="str">
        <f t="shared" si="0"/>
        <v/>
      </c>
      <c r="H7493" s="26" t="str">
        <f t="shared" si="1"/>
        <v/>
      </c>
      <c r="I7493" s="26" t="str">
        <f t="shared" si="2"/>
        <v/>
      </c>
      <c r="J7493" s="86">
        <f t="shared" si="3"/>
        <v>0</v>
      </c>
      <c r="R7493" s="26"/>
    </row>
    <row r="7494" spans="1:18" ht="15.75" customHeight="1">
      <c r="A7494" s="26"/>
      <c r="B7494" s="86"/>
      <c r="D7494" s="26"/>
      <c r="F7494" s="87" t="str">
        <f t="shared" si="0"/>
        <v/>
      </c>
      <c r="H7494" s="26" t="str">
        <f t="shared" si="1"/>
        <v/>
      </c>
      <c r="I7494" s="26" t="str">
        <f t="shared" si="2"/>
        <v/>
      </c>
      <c r="J7494" s="86">
        <f t="shared" si="3"/>
        <v>0</v>
      </c>
      <c r="R7494" s="26"/>
    </row>
    <row r="7495" spans="1:18" ht="15.75" customHeight="1">
      <c r="A7495" s="26"/>
      <c r="B7495" s="86"/>
      <c r="D7495" s="26"/>
      <c r="F7495" s="87" t="str">
        <f t="shared" si="0"/>
        <v/>
      </c>
      <c r="H7495" s="26" t="str">
        <f t="shared" si="1"/>
        <v/>
      </c>
      <c r="I7495" s="26" t="str">
        <f t="shared" si="2"/>
        <v/>
      </c>
      <c r="J7495" s="86">
        <f t="shared" si="3"/>
        <v>0</v>
      </c>
      <c r="R7495" s="26"/>
    </row>
    <row r="7496" spans="1:18" ht="15.75" customHeight="1">
      <c r="A7496" s="26"/>
      <c r="B7496" s="86"/>
      <c r="D7496" s="26"/>
      <c r="F7496" s="87" t="str">
        <f t="shared" si="0"/>
        <v/>
      </c>
      <c r="H7496" s="26" t="str">
        <f t="shared" si="1"/>
        <v/>
      </c>
      <c r="I7496" s="26" t="str">
        <f t="shared" si="2"/>
        <v/>
      </c>
      <c r="J7496" s="86">
        <f t="shared" si="3"/>
        <v>0</v>
      </c>
      <c r="R7496" s="26"/>
    </row>
    <row r="7497" spans="1:18" ht="15.75" customHeight="1">
      <c r="A7497" s="26"/>
      <c r="B7497" s="86"/>
      <c r="D7497" s="26"/>
      <c r="F7497" s="87" t="str">
        <f t="shared" si="0"/>
        <v/>
      </c>
      <c r="H7497" s="26" t="str">
        <f t="shared" si="1"/>
        <v/>
      </c>
      <c r="I7497" s="26" t="str">
        <f t="shared" si="2"/>
        <v/>
      </c>
      <c r="J7497" s="86">
        <f t="shared" si="3"/>
        <v>0</v>
      </c>
      <c r="R7497" s="26"/>
    </row>
    <row r="7498" spans="1:18" ht="15.75" customHeight="1">
      <c r="A7498" s="26"/>
      <c r="B7498" s="86"/>
      <c r="D7498" s="26"/>
      <c r="F7498" s="87" t="str">
        <f t="shared" si="0"/>
        <v/>
      </c>
      <c r="H7498" s="26" t="str">
        <f t="shared" si="1"/>
        <v/>
      </c>
      <c r="I7498" s="26" t="str">
        <f t="shared" si="2"/>
        <v/>
      </c>
      <c r="J7498" s="86">
        <f t="shared" si="3"/>
        <v>0</v>
      </c>
      <c r="R7498" s="26"/>
    </row>
    <row r="7499" spans="1:18" ht="15.75" customHeight="1">
      <c r="A7499" s="26"/>
      <c r="B7499" s="86"/>
      <c r="D7499" s="26"/>
      <c r="F7499" s="87" t="str">
        <f t="shared" si="0"/>
        <v/>
      </c>
      <c r="H7499" s="26" t="str">
        <f t="shared" si="1"/>
        <v/>
      </c>
      <c r="I7499" s="26" t="str">
        <f t="shared" si="2"/>
        <v/>
      </c>
      <c r="J7499" s="86">
        <f t="shared" si="3"/>
        <v>0</v>
      </c>
      <c r="R7499" s="26"/>
    </row>
    <row r="7500" spans="1:18" ht="15.75" customHeight="1">
      <c r="A7500" s="26"/>
      <c r="B7500" s="86"/>
      <c r="D7500" s="26"/>
      <c r="F7500" s="87" t="str">
        <f t="shared" si="0"/>
        <v/>
      </c>
      <c r="H7500" s="26" t="str">
        <f t="shared" si="1"/>
        <v/>
      </c>
      <c r="I7500" s="26" t="str">
        <f t="shared" si="2"/>
        <v/>
      </c>
      <c r="J7500" s="86">
        <f t="shared" si="3"/>
        <v>0</v>
      </c>
      <c r="R7500" s="26"/>
    </row>
    <row r="7501" spans="1:18" ht="15.75" customHeight="1">
      <c r="A7501" s="26"/>
      <c r="B7501" s="86"/>
      <c r="D7501" s="26"/>
      <c r="F7501" s="87" t="str">
        <f t="shared" si="0"/>
        <v/>
      </c>
      <c r="H7501" s="26" t="str">
        <f t="shared" si="1"/>
        <v/>
      </c>
      <c r="I7501" s="26" t="str">
        <f t="shared" si="2"/>
        <v/>
      </c>
      <c r="J7501" s="86">
        <f t="shared" si="3"/>
        <v>0</v>
      </c>
      <c r="R7501" s="26"/>
    </row>
    <row r="7502" spans="1:18" ht="15.75" customHeight="1">
      <c r="A7502" s="26"/>
      <c r="B7502" s="86"/>
      <c r="D7502" s="26"/>
      <c r="F7502" s="87" t="str">
        <f t="shared" si="0"/>
        <v/>
      </c>
      <c r="H7502" s="26" t="str">
        <f t="shared" si="1"/>
        <v/>
      </c>
      <c r="I7502" s="26" t="str">
        <f t="shared" si="2"/>
        <v/>
      </c>
      <c r="J7502" s="86">
        <f t="shared" si="3"/>
        <v>0</v>
      </c>
      <c r="R7502" s="26"/>
    </row>
    <row r="7503" spans="1:18" ht="15.75" customHeight="1">
      <c r="A7503" s="26"/>
      <c r="B7503" s="86"/>
      <c r="D7503" s="26"/>
      <c r="F7503" s="87" t="str">
        <f t="shared" si="0"/>
        <v/>
      </c>
      <c r="H7503" s="26" t="str">
        <f t="shared" si="1"/>
        <v/>
      </c>
      <c r="I7503" s="26" t="str">
        <f t="shared" si="2"/>
        <v/>
      </c>
      <c r="J7503" s="86">
        <f t="shared" si="3"/>
        <v>0</v>
      </c>
      <c r="R7503" s="26"/>
    </row>
    <row r="7504" spans="1:18" ht="15.75" customHeight="1">
      <c r="A7504" s="26"/>
      <c r="B7504" s="86"/>
      <c r="D7504" s="26"/>
      <c r="F7504" s="87" t="str">
        <f t="shared" si="0"/>
        <v/>
      </c>
      <c r="H7504" s="26" t="str">
        <f t="shared" si="1"/>
        <v/>
      </c>
      <c r="I7504" s="26" t="str">
        <f t="shared" si="2"/>
        <v/>
      </c>
      <c r="J7504" s="86">
        <f t="shared" si="3"/>
        <v>0</v>
      </c>
      <c r="R7504" s="26"/>
    </row>
    <row r="7505" spans="1:18" ht="15.75" customHeight="1">
      <c r="A7505" s="26"/>
      <c r="B7505" s="86"/>
      <c r="D7505" s="26"/>
      <c r="F7505" s="87" t="str">
        <f t="shared" si="0"/>
        <v/>
      </c>
      <c r="H7505" s="26" t="str">
        <f t="shared" si="1"/>
        <v/>
      </c>
      <c r="I7505" s="26" t="str">
        <f t="shared" si="2"/>
        <v/>
      </c>
      <c r="J7505" s="86">
        <f t="shared" si="3"/>
        <v>0</v>
      </c>
      <c r="R7505" s="26"/>
    </row>
    <row r="7506" spans="1:18" ht="15.75" customHeight="1">
      <c r="A7506" s="26"/>
      <c r="B7506" s="86"/>
      <c r="D7506" s="26"/>
      <c r="F7506" s="87" t="str">
        <f t="shared" si="0"/>
        <v/>
      </c>
      <c r="H7506" s="26" t="str">
        <f t="shared" si="1"/>
        <v/>
      </c>
      <c r="I7506" s="26" t="str">
        <f t="shared" si="2"/>
        <v/>
      </c>
      <c r="J7506" s="86">
        <f t="shared" si="3"/>
        <v>0</v>
      </c>
      <c r="R7506" s="26"/>
    </row>
    <row r="7507" spans="1:18" ht="15.75" customHeight="1">
      <c r="A7507" s="26"/>
      <c r="B7507" s="86"/>
      <c r="D7507" s="26"/>
      <c r="F7507" s="87" t="str">
        <f t="shared" si="0"/>
        <v/>
      </c>
      <c r="H7507" s="26" t="str">
        <f t="shared" si="1"/>
        <v/>
      </c>
      <c r="I7507" s="26" t="str">
        <f t="shared" si="2"/>
        <v/>
      </c>
      <c r="J7507" s="86">
        <f t="shared" si="3"/>
        <v>0</v>
      </c>
      <c r="R7507" s="26"/>
    </row>
    <row r="7508" spans="1:18" ht="15.75" customHeight="1">
      <c r="A7508" s="26"/>
      <c r="B7508" s="86"/>
      <c r="D7508" s="26"/>
      <c r="F7508" s="87" t="str">
        <f t="shared" si="0"/>
        <v/>
      </c>
      <c r="H7508" s="26" t="str">
        <f t="shared" si="1"/>
        <v/>
      </c>
      <c r="I7508" s="26" t="str">
        <f t="shared" si="2"/>
        <v/>
      </c>
      <c r="J7508" s="86">
        <f t="shared" si="3"/>
        <v>0</v>
      </c>
      <c r="R7508" s="26"/>
    </row>
    <row r="7509" spans="1:18" ht="15.75" customHeight="1">
      <c r="A7509" s="26"/>
      <c r="B7509" s="86"/>
      <c r="D7509" s="26"/>
      <c r="F7509" s="87" t="str">
        <f t="shared" si="0"/>
        <v/>
      </c>
      <c r="H7509" s="26" t="str">
        <f t="shared" si="1"/>
        <v/>
      </c>
      <c r="I7509" s="26" t="str">
        <f t="shared" si="2"/>
        <v/>
      </c>
      <c r="J7509" s="86">
        <f t="shared" si="3"/>
        <v>0</v>
      </c>
      <c r="R7509" s="26"/>
    </row>
    <row r="7510" spans="1:18" ht="15.75" customHeight="1">
      <c r="A7510" s="26"/>
      <c r="B7510" s="86"/>
      <c r="D7510" s="26"/>
      <c r="F7510" s="87" t="str">
        <f t="shared" si="0"/>
        <v/>
      </c>
      <c r="H7510" s="26" t="str">
        <f t="shared" si="1"/>
        <v/>
      </c>
      <c r="I7510" s="26" t="str">
        <f t="shared" si="2"/>
        <v/>
      </c>
      <c r="J7510" s="86">
        <f t="shared" si="3"/>
        <v>0</v>
      </c>
      <c r="R7510" s="26"/>
    </row>
    <row r="7511" spans="1:18" ht="15.75" customHeight="1">
      <c r="A7511" s="26"/>
      <c r="B7511" s="86"/>
      <c r="D7511" s="26"/>
      <c r="F7511" s="87" t="str">
        <f t="shared" si="0"/>
        <v/>
      </c>
      <c r="H7511" s="26" t="str">
        <f t="shared" si="1"/>
        <v/>
      </c>
      <c r="I7511" s="26" t="str">
        <f t="shared" si="2"/>
        <v/>
      </c>
      <c r="J7511" s="86">
        <f t="shared" si="3"/>
        <v>0</v>
      </c>
      <c r="R7511" s="26"/>
    </row>
    <row r="7512" spans="1:18" ht="15.75" customHeight="1">
      <c r="A7512" s="26"/>
      <c r="B7512" s="86"/>
      <c r="D7512" s="26"/>
      <c r="F7512" s="87" t="str">
        <f t="shared" si="0"/>
        <v/>
      </c>
      <c r="H7512" s="26" t="str">
        <f t="shared" si="1"/>
        <v/>
      </c>
      <c r="I7512" s="26" t="str">
        <f t="shared" si="2"/>
        <v/>
      </c>
      <c r="J7512" s="86">
        <f t="shared" si="3"/>
        <v>0</v>
      </c>
      <c r="R7512" s="26"/>
    </row>
    <row r="7513" spans="1:18" ht="15.75" customHeight="1">
      <c r="A7513" s="26"/>
      <c r="B7513" s="86"/>
      <c r="D7513" s="26"/>
      <c r="F7513" s="87" t="str">
        <f t="shared" si="0"/>
        <v/>
      </c>
      <c r="H7513" s="26" t="str">
        <f t="shared" si="1"/>
        <v/>
      </c>
      <c r="I7513" s="26" t="str">
        <f t="shared" si="2"/>
        <v/>
      </c>
      <c r="J7513" s="86">
        <f t="shared" si="3"/>
        <v>0</v>
      </c>
      <c r="R7513" s="26"/>
    </row>
    <row r="7514" spans="1:18" ht="15.75" customHeight="1">
      <c r="A7514" s="26"/>
      <c r="B7514" s="86"/>
      <c r="D7514" s="26"/>
      <c r="F7514" s="87" t="str">
        <f t="shared" si="0"/>
        <v/>
      </c>
      <c r="H7514" s="26" t="str">
        <f t="shared" si="1"/>
        <v/>
      </c>
      <c r="I7514" s="26" t="str">
        <f t="shared" si="2"/>
        <v/>
      </c>
      <c r="J7514" s="86">
        <f t="shared" si="3"/>
        <v>0</v>
      </c>
      <c r="R7514" s="26"/>
    </row>
    <row r="7515" spans="1:18" ht="15.75" customHeight="1">
      <c r="A7515" s="26"/>
      <c r="B7515" s="86"/>
      <c r="D7515" s="26"/>
      <c r="F7515" s="87" t="str">
        <f t="shared" si="0"/>
        <v/>
      </c>
      <c r="H7515" s="26" t="str">
        <f t="shared" si="1"/>
        <v/>
      </c>
      <c r="I7515" s="26" t="str">
        <f t="shared" si="2"/>
        <v/>
      </c>
      <c r="J7515" s="86">
        <f t="shared" si="3"/>
        <v>0</v>
      </c>
      <c r="R7515" s="26"/>
    </row>
    <row r="7516" spans="1:18" ht="15.75" customHeight="1">
      <c r="A7516" s="26"/>
      <c r="B7516" s="86"/>
      <c r="D7516" s="26"/>
      <c r="F7516" s="87" t="str">
        <f t="shared" si="0"/>
        <v/>
      </c>
      <c r="H7516" s="26" t="str">
        <f t="shared" si="1"/>
        <v/>
      </c>
      <c r="I7516" s="26" t="str">
        <f t="shared" si="2"/>
        <v/>
      </c>
      <c r="J7516" s="86">
        <f t="shared" si="3"/>
        <v>0</v>
      </c>
      <c r="R7516" s="26"/>
    </row>
    <row r="7517" spans="1:18" ht="15.75" customHeight="1">
      <c r="A7517" s="26"/>
      <c r="B7517" s="86"/>
      <c r="D7517" s="26"/>
      <c r="F7517" s="87" t="str">
        <f t="shared" si="0"/>
        <v/>
      </c>
      <c r="H7517" s="26" t="str">
        <f t="shared" si="1"/>
        <v/>
      </c>
      <c r="I7517" s="26" t="str">
        <f t="shared" si="2"/>
        <v/>
      </c>
      <c r="J7517" s="86">
        <f t="shared" si="3"/>
        <v>0</v>
      </c>
      <c r="R7517" s="26"/>
    </row>
    <row r="7518" spans="1:18" ht="15.75" customHeight="1">
      <c r="A7518" s="26"/>
      <c r="B7518" s="86"/>
      <c r="D7518" s="26"/>
      <c r="F7518" s="87" t="str">
        <f t="shared" si="0"/>
        <v/>
      </c>
      <c r="H7518" s="26" t="str">
        <f t="shared" si="1"/>
        <v/>
      </c>
      <c r="I7518" s="26" t="str">
        <f t="shared" si="2"/>
        <v/>
      </c>
      <c r="J7518" s="86">
        <f t="shared" si="3"/>
        <v>0</v>
      </c>
      <c r="R7518" s="26"/>
    </row>
    <row r="7519" spans="1:18" ht="15.75" customHeight="1">
      <c r="A7519" s="26"/>
      <c r="B7519" s="86"/>
      <c r="D7519" s="26"/>
      <c r="F7519" s="87" t="str">
        <f t="shared" si="0"/>
        <v/>
      </c>
      <c r="H7519" s="26" t="str">
        <f t="shared" si="1"/>
        <v/>
      </c>
      <c r="I7519" s="26" t="str">
        <f t="shared" si="2"/>
        <v/>
      </c>
      <c r="J7519" s="86">
        <f t="shared" si="3"/>
        <v>0</v>
      </c>
      <c r="R7519" s="26"/>
    </row>
    <row r="7520" spans="1:18" ht="15.75" customHeight="1">
      <c r="A7520" s="26"/>
      <c r="B7520" s="86"/>
      <c r="D7520" s="26"/>
      <c r="F7520" s="87" t="str">
        <f t="shared" si="0"/>
        <v/>
      </c>
      <c r="H7520" s="26" t="str">
        <f t="shared" si="1"/>
        <v/>
      </c>
      <c r="I7520" s="26" t="str">
        <f t="shared" si="2"/>
        <v/>
      </c>
      <c r="J7520" s="86">
        <f t="shared" si="3"/>
        <v>0</v>
      </c>
      <c r="R7520" s="26"/>
    </row>
    <row r="7521" spans="1:18" ht="15.75" customHeight="1">
      <c r="A7521" s="26"/>
      <c r="B7521" s="86"/>
      <c r="D7521" s="26"/>
      <c r="F7521" s="87" t="str">
        <f t="shared" si="0"/>
        <v/>
      </c>
      <c r="H7521" s="26" t="str">
        <f t="shared" si="1"/>
        <v/>
      </c>
      <c r="I7521" s="26" t="str">
        <f t="shared" si="2"/>
        <v/>
      </c>
      <c r="J7521" s="86">
        <f t="shared" si="3"/>
        <v>0</v>
      </c>
      <c r="R7521" s="26"/>
    </row>
    <row r="7522" spans="1:18" ht="15.75" customHeight="1">
      <c r="A7522" s="26"/>
      <c r="B7522" s="86"/>
      <c r="D7522" s="26"/>
      <c r="F7522" s="87" t="str">
        <f t="shared" si="0"/>
        <v/>
      </c>
      <c r="H7522" s="26" t="str">
        <f t="shared" si="1"/>
        <v/>
      </c>
      <c r="I7522" s="26" t="str">
        <f t="shared" si="2"/>
        <v/>
      </c>
      <c r="J7522" s="86">
        <f t="shared" si="3"/>
        <v>0</v>
      </c>
      <c r="R7522" s="26"/>
    </row>
    <row r="7523" spans="1:18" ht="15.75" customHeight="1">
      <c r="A7523" s="26"/>
      <c r="B7523" s="86"/>
      <c r="D7523" s="26"/>
      <c r="F7523" s="87" t="str">
        <f t="shared" si="0"/>
        <v/>
      </c>
      <c r="H7523" s="26" t="str">
        <f t="shared" si="1"/>
        <v/>
      </c>
      <c r="I7523" s="26" t="str">
        <f t="shared" si="2"/>
        <v/>
      </c>
      <c r="J7523" s="86">
        <f t="shared" si="3"/>
        <v>0</v>
      </c>
      <c r="R7523" s="26"/>
    </row>
    <row r="7524" spans="1:18" ht="15.75" customHeight="1">
      <c r="A7524" s="26"/>
      <c r="B7524" s="86"/>
      <c r="D7524" s="26"/>
      <c r="F7524" s="87" t="str">
        <f t="shared" si="0"/>
        <v/>
      </c>
      <c r="H7524" s="26" t="str">
        <f t="shared" si="1"/>
        <v/>
      </c>
      <c r="I7524" s="26" t="str">
        <f t="shared" si="2"/>
        <v/>
      </c>
      <c r="J7524" s="86">
        <f t="shared" si="3"/>
        <v>0</v>
      </c>
      <c r="R7524" s="26"/>
    </row>
    <row r="7525" spans="1:18" ht="15.75" customHeight="1">
      <c r="A7525" s="26"/>
      <c r="B7525" s="86"/>
      <c r="D7525" s="26"/>
      <c r="F7525" s="87" t="str">
        <f t="shared" si="0"/>
        <v/>
      </c>
      <c r="H7525" s="26" t="str">
        <f t="shared" si="1"/>
        <v/>
      </c>
      <c r="I7525" s="26" t="str">
        <f t="shared" si="2"/>
        <v/>
      </c>
      <c r="J7525" s="86">
        <f t="shared" si="3"/>
        <v>0</v>
      </c>
      <c r="R7525" s="26"/>
    </row>
    <row r="7526" spans="1:18" ht="15.75" customHeight="1">
      <c r="A7526" s="26"/>
      <c r="B7526" s="86"/>
      <c r="D7526" s="26"/>
      <c r="F7526" s="87" t="str">
        <f t="shared" si="0"/>
        <v/>
      </c>
      <c r="H7526" s="26" t="str">
        <f t="shared" si="1"/>
        <v/>
      </c>
      <c r="I7526" s="26" t="str">
        <f t="shared" si="2"/>
        <v/>
      </c>
      <c r="J7526" s="86">
        <f t="shared" si="3"/>
        <v>0</v>
      </c>
      <c r="R7526" s="26"/>
    </row>
    <row r="7527" spans="1:18" ht="15.75" customHeight="1">
      <c r="A7527" s="26"/>
      <c r="B7527" s="86"/>
      <c r="D7527" s="26"/>
      <c r="F7527" s="87" t="str">
        <f t="shared" si="0"/>
        <v/>
      </c>
      <c r="H7527" s="26" t="str">
        <f t="shared" si="1"/>
        <v/>
      </c>
      <c r="I7527" s="26" t="str">
        <f t="shared" si="2"/>
        <v/>
      </c>
      <c r="J7527" s="86">
        <f t="shared" si="3"/>
        <v>0</v>
      </c>
      <c r="R7527" s="26"/>
    </row>
    <row r="7528" spans="1:18" ht="15.75" customHeight="1">
      <c r="A7528" s="26"/>
      <c r="B7528" s="86"/>
      <c r="D7528" s="26"/>
      <c r="F7528" s="87" t="str">
        <f t="shared" si="0"/>
        <v/>
      </c>
      <c r="H7528" s="26" t="str">
        <f t="shared" si="1"/>
        <v/>
      </c>
      <c r="I7528" s="26" t="str">
        <f t="shared" si="2"/>
        <v/>
      </c>
      <c r="J7528" s="86">
        <f t="shared" si="3"/>
        <v>0</v>
      </c>
      <c r="R7528" s="26"/>
    </row>
    <row r="7529" spans="1:18" ht="15.75" customHeight="1">
      <c r="A7529" s="26"/>
      <c r="B7529" s="86"/>
      <c r="D7529" s="26"/>
      <c r="F7529" s="87" t="str">
        <f t="shared" si="0"/>
        <v/>
      </c>
      <c r="H7529" s="26" t="str">
        <f t="shared" si="1"/>
        <v/>
      </c>
      <c r="I7529" s="26" t="str">
        <f t="shared" si="2"/>
        <v/>
      </c>
      <c r="J7529" s="86">
        <f t="shared" si="3"/>
        <v>0</v>
      </c>
      <c r="R7529" s="26"/>
    </row>
    <row r="7530" spans="1:18" ht="15.75" customHeight="1">
      <c r="A7530" s="26"/>
      <c r="B7530" s="86"/>
      <c r="D7530" s="26"/>
      <c r="F7530" s="87" t="str">
        <f t="shared" si="0"/>
        <v/>
      </c>
      <c r="H7530" s="26" t="str">
        <f t="shared" si="1"/>
        <v/>
      </c>
      <c r="I7530" s="26" t="str">
        <f t="shared" si="2"/>
        <v/>
      </c>
      <c r="J7530" s="86">
        <f t="shared" si="3"/>
        <v>0</v>
      </c>
      <c r="R7530" s="26"/>
    </row>
    <row r="7531" spans="1:18" ht="15.75" customHeight="1">
      <c r="A7531" s="26"/>
      <c r="B7531" s="86"/>
      <c r="D7531" s="26"/>
      <c r="F7531" s="87" t="str">
        <f t="shared" si="0"/>
        <v/>
      </c>
      <c r="H7531" s="26" t="str">
        <f t="shared" si="1"/>
        <v/>
      </c>
      <c r="I7531" s="26" t="str">
        <f t="shared" si="2"/>
        <v/>
      </c>
      <c r="J7531" s="86">
        <f t="shared" si="3"/>
        <v>0</v>
      </c>
      <c r="R7531" s="26"/>
    </row>
    <row r="7532" spans="1:18" ht="15.75" customHeight="1">
      <c r="A7532" s="26"/>
      <c r="B7532" s="86"/>
      <c r="D7532" s="26"/>
      <c r="F7532" s="87" t="str">
        <f t="shared" si="0"/>
        <v/>
      </c>
      <c r="H7532" s="26" t="str">
        <f t="shared" si="1"/>
        <v/>
      </c>
      <c r="I7532" s="26" t="str">
        <f t="shared" si="2"/>
        <v/>
      </c>
      <c r="J7532" s="86">
        <f t="shared" si="3"/>
        <v>0</v>
      </c>
      <c r="R7532" s="26"/>
    </row>
    <row r="7533" spans="1:18" ht="15.75" customHeight="1">
      <c r="A7533" s="26"/>
      <c r="B7533" s="86"/>
      <c r="D7533" s="26"/>
      <c r="F7533" s="87" t="str">
        <f t="shared" si="0"/>
        <v/>
      </c>
      <c r="H7533" s="26" t="str">
        <f t="shared" si="1"/>
        <v/>
      </c>
      <c r="I7533" s="26" t="str">
        <f t="shared" si="2"/>
        <v/>
      </c>
      <c r="J7533" s="86">
        <f t="shared" si="3"/>
        <v>0</v>
      </c>
      <c r="R7533" s="26"/>
    </row>
    <row r="7534" spans="1:18" ht="15.75" customHeight="1">
      <c r="A7534" s="26"/>
      <c r="B7534" s="86"/>
      <c r="D7534" s="26"/>
      <c r="F7534" s="87" t="str">
        <f t="shared" si="0"/>
        <v/>
      </c>
      <c r="H7534" s="26" t="str">
        <f t="shared" si="1"/>
        <v/>
      </c>
      <c r="I7534" s="26" t="str">
        <f t="shared" si="2"/>
        <v/>
      </c>
      <c r="J7534" s="86">
        <f t="shared" si="3"/>
        <v>0</v>
      </c>
      <c r="R7534" s="26"/>
    </row>
    <row r="7535" spans="1:18" ht="15.75" customHeight="1">
      <c r="A7535" s="26"/>
      <c r="B7535" s="86"/>
      <c r="D7535" s="26"/>
      <c r="F7535" s="87" t="str">
        <f t="shared" si="0"/>
        <v/>
      </c>
      <c r="H7535" s="26" t="str">
        <f t="shared" si="1"/>
        <v/>
      </c>
      <c r="I7535" s="26" t="str">
        <f t="shared" si="2"/>
        <v/>
      </c>
      <c r="J7535" s="86">
        <f t="shared" si="3"/>
        <v>0</v>
      </c>
      <c r="R7535" s="26"/>
    </row>
    <row r="7536" spans="1:18" ht="15.75" customHeight="1">
      <c r="A7536" s="26"/>
      <c r="B7536" s="86"/>
      <c r="D7536" s="26"/>
      <c r="F7536" s="87" t="str">
        <f t="shared" si="0"/>
        <v/>
      </c>
      <c r="H7536" s="26" t="str">
        <f t="shared" si="1"/>
        <v/>
      </c>
      <c r="I7536" s="26" t="str">
        <f t="shared" si="2"/>
        <v/>
      </c>
      <c r="J7536" s="86">
        <f t="shared" si="3"/>
        <v>0</v>
      </c>
      <c r="R7536" s="26"/>
    </row>
    <row r="7537" spans="1:18" ht="15.75" customHeight="1">
      <c r="A7537" s="26"/>
      <c r="B7537" s="86"/>
      <c r="D7537" s="26"/>
      <c r="F7537" s="87" t="str">
        <f t="shared" si="0"/>
        <v/>
      </c>
      <c r="H7537" s="26" t="str">
        <f t="shared" si="1"/>
        <v/>
      </c>
      <c r="I7537" s="26" t="str">
        <f t="shared" si="2"/>
        <v/>
      </c>
      <c r="J7537" s="86">
        <f t="shared" si="3"/>
        <v>0</v>
      </c>
      <c r="R7537" s="26"/>
    </row>
    <row r="7538" spans="1:18" ht="15.75" customHeight="1">
      <c r="A7538" s="26"/>
      <c r="B7538" s="86"/>
      <c r="D7538" s="26"/>
      <c r="F7538" s="87" t="str">
        <f t="shared" si="0"/>
        <v/>
      </c>
      <c r="H7538" s="26" t="str">
        <f t="shared" si="1"/>
        <v/>
      </c>
      <c r="I7538" s="26" t="str">
        <f t="shared" si="2"/>
        <v/>
      </c>
      <c r="J7538" s="86">
        <f t="shared" si="3"/>
        <v>0</v>
      </c>
      <c r="R7538" s="26"/>
    </row>
    <row r="7539" spans="1:18" ht="15.75" customHeight="1">
      <c r="A7539" s="26"/>
      <c r="B7539" s="86"/>
      <c r="D7539" s="26"/>
      <c r="F7539" s="87" t="str">
        <f t="shared" si="0"/>
        <v/>
      </c>
      <c r="H7539" s="26" t="str">
        <f t="shared" si="1"/>
        <v/>
      </c>
      <c r="I7539" s="26" t="str">
        <f t="shared" si="2"/>
        <v/>
      </c>
      <c r="J7539" s="86">
        <f t="shared" si="3"/>
        <v>0</v>
      </c>
      <c r="R7539" s="26"/>
    </row>
    <row r="7540" spans="1:18" ht="15.75" customHeight="1">
      <c r="A7540" s="26"/>
      <c r="B7540" s="86"/>
      <c r="D7540" s="26"/>
      <c r="F7540" s="87" t="str">
        <f t="shared" si="0"/>
        <v/>
      </c>
      <c r="H7540" s="26" t="str">
        <f t="shared" si="1"/>
        <v/>
      </c>
      <c r="I7540" s="26" t="str">
        <f t="shared" si="2"/>
        <v/>
      </c>
      <c r="J7540" s="86">
        <f t="shared" si="3"/>
        <v>0</v>
      </c>
      <c r="R7540" s="26"/>
    </row>
    <row r="7541" spans="1:18" ht="15.75" customHeight="1">
      <c r="A7541" s="26"/>
      <c r="B7541" s="86"/>
      <c r="D7541" s="26"/>
      <c r="F7541" s="87" t="str">
        <f t="shared" si="0"/>
        <v/>
      </c>
      <c r="H7541" s="26" t="str">
        <f t="shared" si="1"/>
        <v/>
      </c>
      <c r="I7541" s="26" t="str">
        <f t="shared" si="2"/>
        <v/>
      </c>
      <c r="J7541" s="86">
        <f t="shared" si="3"/>
        <v>0</v>
      </c>
      <c r="R7541" s="26"/>
    </row>
    <row r="7542" spans="1:18" ht="15.75" customHeight="1">
      <c r="A7542" s="26"/>
      <c r="B7542" s="86"/>
      <c r="D7542" s="26"/>
      <c r="F7542" s="87" t="str">
        <f t="shared" si="0"/>
        <v/>
      </c>
      <c r="H7542" s="26" t="str">
        <f t="shared" si="1"/>
        <v/>
      </c>
      <c r="I7542" s="26" t="str">
        <f t="shared" si="2"/>
        <v/>
      </c>
      <c r="J7542" s="86">
        <f t="shared" si="3"/>
        <v>0</v>
      </c>
      <c r="R7542" s="26"/>
    </row>
    <row r="7543" spans="1:18" ht="15.75" customHeight="1">
      <c r="A7543" s="26"/>
      <c r="B7543" s="86"/>
      <c r="D7543" s="26"/>
      <c r="F7543" s="87" t="str">
        <f t="shared" si="0"/>
        <v/>
      </c>
      <c r="H7543" s="26" t="str">
        <f t="shared" si="1"/>
        <v/>
      </c>
      <c r="I7543" s="26" t="str">
        <f t="shared" si="2"/>
        <v/>
      </c>
      <c r="J7543" s="86">
        <f t="shared" si="3"/>
        <v>0</v>
      </c>
      <c r="R7543" s="26"/>
    </row>
    <row r="7544" spans="1:18" ht="15.75" customHeight="1">
      <c r="A7544" s="26"/>
      <c r="B7544" s="86"/>
      <c r="D7544" s="26"/>
      <c r="F7544" s="87" t="str">
        <f t="shared" si="0"/>
        <v/>
      </c>
      <c r="H7544" s="26" t="str">
        <f t="shared" si="1"/>
        <v/>
      </c>
      <c r="I7544" s="26" t="str">
        <f t="shared" si="2"/>
        <v/>
      </c>
      <c r="J7544" s="86">
        <f t="shared" si="3"/>
        <v>0</v>
      </c>
      <c r="R7544" s="26"/>
    </row>
    <row r="7545" spans="1:18" ht="15.75" customHeight="1">
      <c r="A7545" s="26"/>
      <c r="B7545" s="86"/>
      <c r="D7545" s="26"/>
      <c r="F7545" s="87" t="str">
        <f t="shared" si="0"/>
        <v/>
      </c>
      <c r="H7545" s="26" t="str">
        <f t="shared" si="1"/>
        <v/>
      </c>
      <c r="I7545" s="26" t="str">
        <f t="shared" si="2"/>
        <v/>
      </c>
      <c r="J7545" s="86">
        <f t="shared" si="3"/>
        <v>0</v>
      </c>
      <c r="R7545" s="26"/>
    </row>
    <row r="7546" spans="1:18" ht="15.75" customHeight="1">
      <c r="A7546" s="26"/>
      <c r="B7546" s="86"/>
      <c r="D7546" s="26"/>
      <c r="F7546" s="87" t="str">
        <f t="shared" si="0"/>
        <v/>
      </c>
      <c r="H7546" s="26" t="str">
        <f t="shared" si="1"/>
        <v/>
      </c>
      <c r="I7546" s="26" t="str">
        <f t="shared" si="2"/>
        <v/>
      </c>
      <c r="J7546" s="86">
        <f t="shared" si="3"/>
        <v>0</v>
      </c>
      <c r="R7546" s="26"/>
    </row>
    <row r="7547" spans="1:18" ht="15.75" customHeight="1">
      <c r="A7547" s="26"/>
      <c r="B7547" s="86"/>
      <c r="D7547" s="26"/>
      <c r="F7547" s="87" t="str">
        <f t="shared" si="0"/>
        <v/>
      </c>
      <c r="H7547" s="26" t="str">
        <f t="shared" si="1"/>
        <v/>
      </c>
      <c r="I7547" s="26" t="str">
        <f t="shared" si="2"/>
        <v/>
      </c>
      <c r="J7547" s="86">
        <f t="shared" si="3"/>
        <v>0</v>
      </c>
      <c r="R7547" s="26"/>
    </row>
    <row r="7548" spans="1:18" ht="15.75" customHeight="1">
      <c r="A7548" s="26"/>
      <c r="B7548" s="86"/>
      <c r="D7548" s="26"/>
      <c r="F7548" s="87" t="str">
        <f t="shared" si="0"/>
        <v/>
      </c>
      <c r="H7548" s="26" t="str">
        <f t="shared" si="1"/>
        <v/>
      </c>
      <c r="I7548" s="26" t="str">
        <f t="shared" si="2"/>
        <v/>
      </c>
      <c r="J7548" s="86">
        <f t="shared" si="3"/>
        <v>0</v>
      </c>
      <c r="R7548" s="26"/>
    </row>
    <row r="7549" spans="1:18" ht="15.75" customHeight="1">
      <c r="A7549" s="26"/>
      <c r="B7549" s="86"/>
      <c r="D7549" s="26"/>
      <c r="F7549" s="87" t="str">
        <f t="shared" si="0"/>
        <v/>
      </c>
      <c r="H7549" s="26" t="str">
        <f t="shared" si="1"/>
        <v/>
      </c>
      <c r="I7549" s="26" t="str">
        <f t="shared" si="2"/>
        <v/>
      </c>
      <c r="J7549" s="86">
        <f t="shared" si="3"/>
        <v>0</v>
      </c>
      <c r="R7549" s="26"/>
    </row>
    <row r="7550" spans="1:18" ht="15.75" customHeight="1">
      <c r="A7550" s="26"/>
      <c r="B7550" s="86"/>
      <c r="D7550" s="26"/>
      <c r="F7550" s="87" t="str">
        <f t="shared" si="0"/>
        <v/>
      </c>
      <c r="H7550" s="26" t="str">
        <f t="shared" si="1"/>
        <v/>
      </c>
      <c r="I7550" s="26" t="str">
        <f t="shared" si="2"/>
        <v/>
      </c>
      <c r="J7550" s="86">
        <f t="shared" si="3"/>
        <v>0</v>
      </c>
      <c r="R7550" s="26"/>
    </row>
    <row r="7551" spans="1:18" ht="15.75" customHeight="1">
      <c r="A7551" s="26"/>
      <c r="B7551" s="86"/>
      <c r="D7551" s="26"/>
      <c r="F7551" s="87" t="str">
        <f t="shared" si="0"/>
        <v/>
      </c>
      <c r="H7551" s="26" t="str">
        <f t="shared" si="1"/>
        <v/>
      </c>
      <c r="I7551" s="26" t="str">
        <f t="shared" si="2"/>
        <v/>
      </c>
      <c r="J7551" s="86">
        <f t="shared" si="3"/>
        <v>0</v>
      </c>
      <c r="R7551" s="26"/>
    </row>
    <row r="7552" spans="1:18" ht="15.75" customHeight="1">
      <c r="A7552" s="26"/>
      <c r="B7552" s="86"/>
      <c r="D7552" s="26"/>
      <c r="F7552" s="87" t="str">
        <f t="shared" si="0"/>
        <v/>
      </c>
      <c r="H7552" s="26" t="str">
        <f t="shared" si="1"/>
        <v/>
      </c>
      <c r="I7552" s="26" t="str">
        <f t="shared" si="2"/>
        <v/>
      </c>
      <c r="J7552" s="86">
        <f t="shared" si="3"/>
        <v>0</v>
      </c>
      <c r="R7552" s="26"/>
    </row>
    <row r="7553" spans="1:18" ht="15.75" customHeight="1">
      <c r="A7553" s="26"/>
      <c r="B7553" s="86"/>
      <c r="D7553" s="26"/>
      <c r="F7553" s="87" t="str">
        <f t="shared" si="0"/>
        <v/>
      </c>
      <c r="H7553" s="26" t="str">
        <f t="shared" si="1"/>
        <v/>
      </c>
      <c r="I7553" s="26" t="str">
        <f t="shared" si="2"/>
        <v/>
      </c>
      <c r="J7553" s="86">
        <f t="shared" si="3"/>
        <v>0</v>
      </c>
      <c r="R7553" s="26"/>
    </row>
    <row r="7554" spans="1:18" ht="15.75" customHeight="1">
      <c r="A7554" s="26"/>
      <c r="B7554" s="86"/>
      <c r="D7554" s="26"/>
      <c r="F7554" s="87" t="str">
        <f t="shared" si="0"/>
        <v/>
      </c>
      <c r="H7554" s="26" t="str">
        <f t="shared" si="1"/>
        <v/>
      </c>
      <c r="I7554" s="26" t="str">
        <f t="shared" si="2"/>
        <v/>
      </c>
      <c r="J7554" s="86">
        <f t="shared" si="3"/>
        <v>0</v>
      </c>
      <c r="R7554" s="26"/>
    </row>
    <row r="7555" spans="1:18" ht="15.75" customHeight="1">
      <c r="A7555" s="26"/>
      <c r="B7555" s="86"/>
      <c r="D7555" s="26"/>
      <c r="F7555" s="87" t="str">
        <f t="shared" si="0"/>
        <v/>
      </c>
      <c r="H7555" s="26" t="str">
        <f t="shared" si="1"/>
        <v/>
      </c>
      <c r="I7555" s="26" t="str">
        <f t="shared" si="2"/>
        <v/>
      </c>
      <c r="J7555" s="86">
        <f t="shared" si="3"/>
        <v>0</v>
      </c>
      <c r="R7555" s="26"/>
    </row>
    <row r="7556" spans="1:18" ht="15.75" customHeight="1">
      <c r="A7556" s="26"/>
      <c r="B7556" s="86"/>
      <c r="D7556" s="26"/>
      <c r="F7556" s="87" t="str">
        <f t="shared" si="0"/>
        <v/>
      </c>
      <c r="H7556" s="26" t="str">
        <f t="shared" si="1"/>
        <v/>
      </c>
      <c r="I7556" s="26" t="str">
        <f t="shared" si="2"/>
        <v/>
      </c>
      <c r="J7556" s="86">
        <f t="shared" si="3"/>
        <v>0</v>
      </c>
      <c r="R7556" s="26"/>
    </row>
    <row r="7557" spans="1:18" ht="15.75" customHeight="1">
      <c r="A7557" s="26"/>
      <c r="B7557" s="86"/>
      <c r="D7557" s="26"/>
      <c r="F7557" s="87" t="str">
        <f t="shared" si="0"/>
        <v/>
      </c>
      <c r="H7557" s="26" t="str">
        <f t="shared" si="1"/>
        <v/>
      </c>
      <c r="I7557" s="26" t="str">
        <f t="shared" si="2"/>
        <v/>
      </c>
      <c r="J7557" s="86">
        <f t="shared" si="3"/>
        <v>0</v>
      </c>
      <c r="R7557" s="26"/>
    </row>
    <row r="7558" spans="1:18" ht="15.75" customHeight="1">
      <c r="A7558" s="26"/>
      <c r="B7558" s="86"/>
      <c r="D7558" s="26"/>
      <c r="F7558" s="87" t="str">
        <f t="shared" si="0"/>
        <v/>
      </c>
      <c r="H7558" s="26" t="str">
        <f t="shared" si="1"/>
        <v/>
      </c>
      <c r="I7558" s="26" t="str">
        <f t="shared" si="2"/>
        <v/>
      </c>
      <c r="J7558" s="86">
        <f t="shared" si="3"/>
        <v>0</v>
      </c>
      <c r="R7558" s="26"/>
    </row>
    <row r="7559" spans="1:18" ht="15.75" customHeight="1">
      <c r="A7559" s="26"/>
      <c r="B7559" s="86"/>
      <c r="D7559" s="26"/>
      <c r="F7559" s="87" t="str">
        <f t="shared" si="0"/>
        <v/>
      </c>
      <c r="H7559" s="26" t="str">
        <f t="shared" si="1"/>
        <v/>
      </c>
      <c r="I7559" s="26" t="str">
        <f t="shared" si="2"/>
        <v/>
      </c>
      <c r="J7559" s="86">
        <f t="shared" si="3"/>
        <v>0</v>
      </c>
      <c r="R7559" s="26"/>
    </row>
    <row r="7560" spans="1:18" ht="15.75" customHeight="1">
      <c r="A7560" s="26"/>
      <c r="B7560" s="86"/>
      <c r="D7560" s="26"/>
      <c r="F7560" s="87" t="str">
        <f t="shared" si="0"/>
        <v/>
      </c>
      <c r="H7560" s="26" t="str">
        <f t="shared" si="1"/>
        <v/>
      </c>
      <c r="I7560" s="26" t="str">
        <f t="shared" si="2"/>
        <v/>
      </c>
      <c r="J7560" s="86">
        <f t="shared" si="3"/>
        <v>0</v>
      </c>
      <c r="R7560" s="26"/>
    </row>
    <row r="7561" spans="1:18" ht="15.75" customHeight="1">
      <c r="A7561" s="26"/>
      <c r="B7561" s="86"/>
      <c r="D7561" s="26"/>
      <c r="F7561" s="87" t="str">
        <f t="shared" si="0"/>
        <v/>
      </c>
      <c r="H7561" s="26" t="str">
        <f t="shared" si="1"/>
        <v/>
      </c>
      <c r="I7561" s="26" t="str">
        <f t="shared" si="2"/>
        <v/>
      </c>
      <c r="J7561" s="86">
        <f t="shared" si="3"/>
        <v>0</v>
      </c>
      <c r="R7561" s="26"/>
    </row>
    <row r="7562" spans="1:18" ht="15.75" customHeight="1">
      <c r="A7562" s="26"/>
      <c r="B7562" s="86"/>
      <c r="D7562" s="26"/>
      <c r="F7562" s="87" t="str">
        <f t="shared" si="0"/>
        <v/>
      </c>
      <c r="H7562" s="26" t="str">
        <f t="shared" si="1"/>
        <v/>
      </c>
      <c r="I7562" s="26" t="str">
        <f t="shared" si="2"/>
        <v/>
      </c>
      <c r="J7562" s="86">
        <f t="shared" si="3"/>
        <v>0</v>
      </c>
      <c r="R7562" s="26"/>
    </row>
    <row r="7563" spans="1:18" ht="15.75" customHeight="1">
      <c r="A7563" s="26"/>
      <c r="B7563" s="86"/>
      <c r="D7563" s="26"/>
      <c r="F7563" s="87" t="str">
        <f t="shared" si="0"/>
        <v/>
      </c>
      <c r="H7563" s="26" t="str">
        <f t="shared" si="1"/>
        <v/>
      </c>
      <c r="I7563" s="26" t="str">
        <f t="shared" si="2"/>
        <v/>
      </c>
      <c r="J7563" s="86">
        <f t="shared" si="3"/>
        <v>0</v>
      </c>
      <c r="R7563" s="26"/>
    </row>
    <row r="7564" spans="1:18" ht="15.75" customHeight="1">
      <c r="A7564" s="26"/>
      <c r="B7564" s="86"/>
      <c r="D7564" s="26"/>
      <c r="F7564" s="87" t="str">
        <f t="shared" si="0"/>
        <v/>
      </c>
      <c r="H7564" s="26" t="str">
        <f t="shared" si="1"/>
        <v/>
      </c>
      <c r="I7564" s="26" t="str">
        <f t="shared" si="2"/>
        <v/>
      </c>
      <c r="J7564" s="86">
        <f t="shared" si="3"/>
        <v>0</v>
      </c>
      <c r="R7564" s="26"/>
    </row>
    <row r="7565" spans="1:18" ht="15.75" customHeight="1">
      <c r="A7565" s="26"/>
      <c r="B7565" s="86"/>
      <c r="D7565" s="26"/>
      <c r="F7565" s="87" t="str">
        <f t="shared" si="0"/>
        <v/>
      </c>
      <c r="H7565" s="26" t="str">
        <f t="shared" si="1"/>
        <v/>
      </c>
      <c r="I7565" s="26" t="str">
        <f t="shared" si="2"/>
        <v/>
      </c>
      <c r="J7565" s="86">
        <f t="shared" si="3"/>
        <v>0</v>
      </c>
      <c r="R7565" s="26"/>
    </row>
    <row r="7566" spans="1:18" ht="15.75" customHeight="1">
      <c r="A7566" s="26"/>
      <c r="B7566" s="86"/>
      <c r="D7566" s="26"/>
      <c r="F7566" s="87" t="str">
        <f t="shared" si="0"/>
        <v/>
      </c>
      <c r="H7566" s="26" t="str">
        <f t="shared" si="1"/>
        <v/>
      </c>
      <c r="I7566" s="26" t="str">
        <f t="shared" si="2"/>
        <v/>
      </c>
      <c r="J7566" s="86">
        <f t="shared" si="3"/>
        <v>0</v>
      </c>
      <c r="R7566" s="26"/>
    </row>
    <row r="7567" spans="1:18" ht="15.75" customHeight="1">
      <c r="A7567" s="26"/>
      <c r="B7567" s="86"/>
      <c r="D7567" s="26"/>
      <c r="F7567" s="87" t="str">
        <f t="shared" si="0"/>
        <v/>
      </c>
      <c r="H7567" s="26" t="str">
        <f t="shared" si="1"/>
        <v/>
      </c>
      <c r="I7567" s="26" t="str">
        <f t="shared" si="2"/>
        <v/>
      </c>
      <c r="J7567" s="86">
        <f t="shared" si="3"/>
        <v>0</v>
      </c>
      <c r="R7567" s="26"/>
    </row>
    <row r="7568" spans="1:18" ht="15.75" customHeight="1">
      <c r="A7568" s="26"/>
      <c r="B7568" s="86"/>
      <c r="D7568" s="26"/>
      <c r="F7568" s="87" t="str">
        <f t="shared" si="0"/>
        <v/>
      </c>
      <c r="H7568" s="26" t="str">
        <f t="shared" si="1"/>
        <v/>
      </c>
      <c r="I7568" s="26" t="str">
        <f t="shared" si="2"/>
        <v/>
      </c>
      <c r="J7568" s="86">
        <f t="shared" si="3"/>
        <v>0</v>
      </c>
      <c r="R7568" s="26"/>
    </row>
    <row r="7569" spans="1:18" ht="15.75" customHeight="1">
      <c r="A7569" s="26"/>
      <c r="B7569" s="86"/>
      <c r="D7569" s="26"/>
      <c r="F7569" s="87" t="str">
        <f t="shared" si="0"/>
        <v/>
      </c>
      <c r="H7569" s="26" t="str">
        <f t="shared" si="1"/>
        <v/>
      </c>
      <c r="I7569" s="26" t="str">
        <f t="shared" si="2"/>
        <v/>
      </c>
      <c r="J7569" s="86">
        <f t="shared" si="3"/>
        <v>0</v>
      </c>
      <c r="R7569" s="26"/>
    </row>
    <row r="7570" spans="1:18" ht="15.75" customHeight="1">
      <c r="A7570" s="26"/>
      <c r="B7570" s="86"/>
      <c r="D7570" s="26"/>
      <c r="F7570" s="87" t="str">
        <f t="shared" si="0"/>
        <v/>
      </c>
      <c r="H7570" s="26" t="str">
        <f t="shared" si="1"/>
        <v/>
      </c>
      <c r="I7570" s="26" t="str">
        <f t="shared" si="2"/>
        <v/>
      </c>
      <c r="J7570" s="86">
        <f t="shared" si="3"/>
        <v>0</v>
      </c>
      <c r="R7570" s="26"/>
    </row>
    <row r="7571" spans="1:18" ht="15.75" customHeight="1">
      <c r="A7571" s="26"/>
      <c r="B7571" s="86"/>
      <c r="D7571" s="26"/>
      <c r="F7571" s="87" t="str">
        <f t="shared" si="0"/>
        <v/>
      </c>
      <c r="H7571" s="26" t="str">
        <f t="shared" si="1"/>
        <v/>
      </c>
      <c r="I7571" s="26" t="str">
        <f t="shared" si="2"/>
        <v/>
      </c>
      <c r="J7571" s="86">
        <f t="shared" si="3"/>
        <v>0</v>
      </c>
      <c r="R7571" s="26"/>
    </row>
    <row r="7572" spans="1:18" ht="15.75" customHeight="1">
      <c r="A7572" s="26"/>
      <c r="B7572" s="86"/>
      <c r="D7572" s="26"/>
      <c r="F7572" s="87" t="str">
        <f t="shared" si="0"/>
        <v/>
      </c>
      <c r="H7572" s="26" t="str">
        <f t="shared" si="1"/>
        <v/>
      </c>
      <c r="I7572" s="26" t="str">
        <f t="shared" si="2"/>
        <v/>
      </c>
      <c r="J7572" s="86">
        <f t="shared" si="3"/>
        <v>0</v>
      </c>
      <c r="R7572" s="26"/>
    </row>
    <row r="7573" spans="1:18" ht="15.75" customHeight="1">
      <c r="A7573" s="26"/>
      <c r="B7573" s="86"/>
      <c r="D7573" s="26"/>
      <c r="F7573" s="87" t="str">
        <f t="shared" si="0"/>
        <v/>
      </c>
      <c r="H7573" s="26" t="str">
        <f t="shared" si="1"/>
        <v/>
      </c>
      <c r="I7573" s="26" t="str">
        <f t="shared" si="2"/>
        <v/>
      </c>
      <c r="J7573" s="86">
        <f t="shared" si="3"/>
        <v>0</v>
      </c>
      <c r="R7573" s="26"/>
    </row>
    <row r="7574" spans="1:18" ht="15.75" customHeight="1">
      <c r="A7574" s="26"/>
      <c r="B7574" s="86"/>
      <c r="D7574" s="26"/>
      <c r="F7574" s="87" t="str">
        <f t="shared" si="0"/>
        <v/>
      </c>
      <c r="H7574" s="26" t="str">
        <f t="shared" si="1"/>
        <v/>
      </c>
      <c r="I7574" s="26" t="str">
        <f t="shared" si="2"/>
        <v/>
      </c>
      <c r="J7574" s="86">
        <f t="shared" si="3"/>
        <v>0</v>
      </c>
      <c r="R7574" s="26"/>
    </row>
    <row r="7575" spans="1:18" ht="15.75" customHeight="1">
      <c r="A7575" s="26"/>
      <c r="B7575" s="86"/>
      <c r="D7575" s="26"/>
      <c r="F7575" s="87" t="str">
        <f t="shared" si="0"/>
        <v/>
      </c>
      <c r="H7575" s="26" t="str">
        <f t="shared" si="1"/>
        <v/>
      </c>
      <c r="I7575" s="26" t="str">
        <f t="shared" si="2"/>
        <v/>
      </c>
      <c r="J7575" s="86">
        <f t="shared" si="3"/>
        <v>0</v>
      </c>
      <c r="R7575" s="26"/>
    </row>
    <row r="7576" spans="1:18" ht="15.75" customHeight="1">
      <c r="A7576" s="26"/>
      <c r="B7576" s="86"/>
      <c r="D7576" s="26"/>
      <c r="F7576" s="87" t="str">
        <f t="shared" si="0"/>
        <v/>
      </c>
      <c r="H7576" s="26" t="str">
        <f t="shared" si="1"/>
        <v/>
      </c>
      <c r="I7576" s="26" t="str">
        <f t="shared" si="2"/>
        <v/>
      </c>
      <c r="J7576" s="86">
        <f t="shared" si="3"/>
        <v>0</v>
      </c>
      <c r="R7576" s="26"/>
    </row>
    <row r="7577" spans="1:18" ht="15.75" customHeight="1">
      <c r="A7577" s="26"/>
      <c r="B7577" s="86"/>
      <c r="D7577" s="26"/>
      <c r="F7577" s="87" t="str">
        <f t="shared" si="0"/>
        <v/>
      </c>
      <c r="H7577" s="26" t="str">
        <f t="shared" si="1"/>
        <v/>
      </c>
      <c r="I7577" s="26" t="str">
        <f t="shared" si="2"/>
        <v/>
      </c>
      <c r="J7577" s="86">
        <f t="shared" si="3"/>
        <v>0</v>
      </c>
      <c r="R7577" s="26"/>
    </row>
    <row r="7578" spans="1:18" ht="15.75" customHeight="1">
      <c r="A7578" s="26"/>
      <c r="B7578" s="86"/>
      <c r="D7578" s="26"/>
      <c r="F7578" s="87" t="str">
        <f t="shared" si="0"/>
        <v/>
      </c>
      <c r="H7578" s="26" t="str">
        <f t="shared" si="1"/>
        <v/>
      </c>
      <c r="I7578" s="26" t="str">
        <f t="shared" si="2"/>
        <v/>
      </c>
      <c r="J7578" s="86">
        <f t="shared" si="3"/>
        <v>0</v>
      </c>
      <c r="R7578" s="26"/>
    </row>
    <row r="7579" spans="1:18" ht="15.75" customHeight="1">
      <c r="A7579" s="26"/>
      <c r="B7579" s="86"/>
      <c r="D7579" s="26"/>
      <c r="F7579" s="87" t="str">
        <f t="shared" si="0"/>
        <v/>
      </c>
      <c r="H7579" s="26" t="str">
        <f t="shared" si="1"/>
        <v/>
      </c>
      <c r="I7579" s="26" t="str">
        <f t="shared" si="2"/>
        <v/>
      </c>
      <c r="J7579" s="86">
        <f t="shared" si="3"/>
        <v>0</v>
      </c>
      <c r="R7579" s="26"/>
    </row>
    <row r="7580" spans="1:18" ht="15.75" customHeight="1">
      <c r="A7580" s="26"/>
      <c r="B7580" s="86"/>
      <c r="D7580" s="26"/>
      <c r="F7580" s="87" t="str">
        <f t="shared" si="0"/>
        <v/>
      </c>
      <c r="H7580" s="26" t="str">
        <f t="shared" si="1"/>
        <v/>
      </c>
      <c r="I7580" s="26" t="str">
        <f t="shared" si="2"/>
        <v/>
      </c>
      <c r="J7580" s="86">
        <f t="shared" si="3"/>
        <v>0</v>
      </c>
      <c r="R7580" s="26"/>
    </row>
    <row r="7581" spans="1:18" ht="15.75" customHeight="1">
      <c r="A7581" s="26"/>
      <c r="B7581" s="86"/>
      <c r="D7581" s="26"/>
      <c r="F7581" s="87" t="str">
        <f t="shared" si="0"/>
        <v/>
      </c>
      <c r="H7581" s="26" t="str">
        <f t="shared" si="1"/>
        <v/>
      </c>
      <c r="I7581" s="26" t="str">
        <f t="shared" si="2"/>
        <v/>
      </c>
      <c r="J7581" s="86">
        <f t="shared" si="3"/>
        <v>0</v>
      </c>
      <c r="R7581" s="26"/>
    </row>
    <row r="7582" spans="1:18" ht="15.75" customHeight="1">
      <c r="A7582" s="26"/>
      <c r="B7582" s="86"/>
      <c r="D7582" s="26"/>
      <c r="F7582" s="87" t="str">
        <f t="shared" si="0"/>
        <v/>
      </c>
      <c r="H7582" s="26" t="str">
        <f t="shared" si="1"/>
        <v/>
      </c>
      <c r="I7582" s="26" t="str">
        <f t="shared" si="2"/>
        <v/>
      </c>
      <c r="J7582" s="86">
        <f t="shared" si="3"/>
        <v>0</v>
      </c>
      <c r="R7582" s="26"/>
    </row>
    <row r="7583" spans="1:18" ht="15.75" customHeight="1">
      <c r="A7583" s="26"/>
      <c r="B7583" s="86"/>
      <c r="D7583" s="26"/>
      <c r="F7583" s="87" t="str">
        <f t="shared" si="0"/>
        <v/>
      </c>
      <c r="H7583" s="26" t="str">
        <f t="shared" si="1"/>
        <v/>
      </c>
      <c r="I7583" s="26" t="str">
        <f t="shared" si="2"/>
        <v/>
      </c>
      <c r="J7583" s="86">
        <f t="shared" si="3"/>
        <v>0</v>
      </c>
      <c r="R7583" s="26"/>
    </row>
    <row r="7584" spans="1:18" ht="15.75" customHeight="1">
      <c r="A7584" s="26"/>
      <c r="B7584" s="86"/>
      <c r="D7584" s="26"/>
      <c r="F7584" s="87" t="str">
        <f t="shared" si="0"/>
        <v/>
      </c>
      <c r="H7584" s="26" t="str">
        <f t="shared" si="1"/>
        <v/>
      </c>
      <c r="I7584" s="26" t="str">
        <f t="shared" si="2"/>
        <v/>
      </c>
      <c r="J7584" s="86">
        <f t="shared" si="3"/>
        <v>0</v>
      </c>
      <c r="R7584" s="26"/>
    </row>
    <row r="7585" spans="1:18" ht="15.75" customHeight="1">
      <c r="A7585" s="26"/>
      <c r="B7585" s="86"/>
      <c r="D7585" s="26"/>
      <c r="F7585" s="87" t="str">
        <f t="shared" si="0"/>
        <v/>
      </c>
      <c r="H7585" s="26" t="str">
        <f t="shared" si="1"/>
        <v/>
      </c>
      <c r="I7585" s="26" t="str">
        <f t="shared" si="2"/>
        <v/>
      </c>
      <c r="J7585" s="86">
        <f t="shared" si="3"/>
        <v>0</v>
      </c>
      <c r="R7585" s="26"/>
    </row>
    <row r="7586" spans="1:18" ht="15.75" customHeight="1">
      <c r="A7586" s="26"/>
      <c r="B7586" s="86"/>
      <c r="D7586" s="26"/>
      <c r="F7586" s="87" t="str">
        <f t="shared" si="0"/>
        <v/>
      </c>
      <c r="H7586" s="26" t="str">
        <f t="shared" si="1"/>
        <v/>
      </c>
      <c r="I7586" s="26" t="str">
        <f t="shared" si="2"/>
        <v/>
      </c>
      <c r="J7586" s="86">
        <f t="shared" si="3"/>
        <v>0</v>
      </c>
      <c r="R7586" s="26"/>
    </row>
    <row r="7587" spans="1:18" ht="15.75" customHeight="1">
      <c r="A7587" s="26"/>
      <c r="B7587" s="86"/>
      <c r="D7587" s="26"/>
      <c r="F7587" s="87" t="str">
        <f t="shared" si="0"/>
        <v/>
      </c>
      <c r="H7587" s="26" t="str">
        <f t="shared" si="1"/>
        <v/>
      </c>
      <c r="I7587" s="26" t="str">
        <f t="shared" si="2"/>
        <v/>
      </c>
      <c r="J7587" s="86">
        <f t="shared" si="3"/>
        <v>0</v>
      </c>
      <c r="R7587" s="26"/>
    </row>
    <row r="7588" spans="1:18" ht="15.75" customHeight="1">
      <c r="A7588" s="26"/>
      <c r="B7588" s="86"/>
      <c r="D7588" s="26"/>
      <c r="F7588" s="87" t="str">
        <f t="shared" si="0"/>
        <v/>
      </c>
      <c r="H7588" s="26" t="str">
        <f t="shared" si="1"/>
        <v/>
      </c>
      <c r="I7588" s="26" t="str">
        <f t="shared" si="2"/>
        <v/>
      </c>
      <c r="J7588" s="86">
        <f t="shared" si="3"/>
        <v>0</v>
      </c>
      <c r="R7588" s="26"/>
    </row>
    <row r="7589" spans="1:18" ht="15.75" customHeight="1">
      <c r="A7589" s="26"/>
      <c r="B7589" s="86"/>
      <c r="D7589" s="26"/>
      <c r="F7589" s="87" t="str">
        <f t="shared" si="0"/>
        <v/>
      </c>
      <c r="H7589" s="26" t="str">
        <f t="shared" si="1"/>
        <v/>
      </c>
      <c r="I7589" s="26" t="str">
        <f t="shared" si="2"/>
        <v/>
      </c>
      <c r="J7589" s="86">
        <f t="shared" si="3"/>
        <v>0</v>
      </c>
      <c r="R7589" s="26"/>
    </row>
    <row r="7590" spans="1:18" ht="15.75" customHeight="1">
      <c r="A7590" s="26"/>
      <c r="B7590" s="86"/>
      <c r="D7590" s="26"/>
      <c r="F7590" s="87" t="str">
        <f t="shared" si="0"/>
        <v/>
      </c>
      <c r="H7590" s="26" t="str">
        <f t="shared" si="1"/>
        <v/>
      </c>
      <c r="I7590" s="26" t="str">
        <f t="shared" si="2"/>
        <v/>
      </c>
      <c r="J7590" s="86">
        <f t="shared" si="3"/>
        <v>0</v>
      </c>
      <c r="R7590" s="26"/>
    </row>
    <row r="7591" spans="1:18" ht="15.75" customHeight="1">
      <c r="A7591" s="26"/>
      <c r="B7591" s="86"/>
      <c r="D7591" s="26"/>
      <c r="F7591" s="87" t="str">
        <f t="shared" si="0"/>
        <v/>
      </c>
      <c r="H7591" s="26" t="str">
        <f t="shared" si="1"/>
        <v/>
      </c>
      <c r="I7591" s="26" t="str">
        <f t="shared" si="2"/>
        <v/>
      </c>
      <c r="J7591" s="86">
        <f t="shared" si="3"/>
        <v>0</v>
      </c>
      <c r="R7591" s="26"/>
    </row>
    <row r="7592" spans="1:18" ht="15.75" customHeight="1">
      <c r="A7592" s="26"/>
      <c r="B7592" s="86"/>
      <c r="D7592" s="26"/>
      <c r="F7592" s="87" t="str">
        <f t="shared" si="0"/>
        <v/>
      </c>
      <c r="H7592" s="26" t="str">
        <f t="shared" si="1"/>
        <v/>
      </c>
      <c r="I7592" s="26" t="str">
        <f t="shared" si="2"/>
        <v/>
      </c>
      <c r="J7592" s="86">
        <f t="shared" si="3"/>
        <v>0</v>
      </c>
      <c r="R7592" s="26"/>
    </row>
    <row r="7593" spans="1:18" ht="15.75" customHeight="1">
      <c r="A7593" s="26"/>
      <c r="B7593" s="86"/>
      <c r="D7593" s="26"/>
      <c r="F7593" s="87" t="str">
        <f t="shared" si="0"/>
        <v/>
      </c>
      <c r="H7593" s="26" t="str">
        <f t="shared" si="1"/>
        <v/>
      </c>
      <c r="I7593" s="26" t="str">
        <f t="shared" si="2"/>
        <v/>
      </c>
      <c r="J7593" s="86">
        <f t="shared" si="3"/>
        <v>0</v>
      </c>
      <c r="R7593" s="26"/>
    </row>
    <row r="7594" spans="1:18" ht="15.75" customHeight="1">
      <c r="A7594" s="26"/>
      <c r="B7594" s="86"/>
      <c r="D7594" s="26"/>
      <c r="F7594" s="87" t="str">
        <f t="shared" si="0"/>
        <v/>
      </c>
      <c r="H7594" s="26" t="str">
        <f t="shared" si="1"/>
        <v/>
      </c>
      <c r="I7594" s="26" t="str">
        <f t="shared" si="2"/>
        <v/>
      </c>
      <c r="J7594" s="86">
        <f t="shared" si="3"/>
        <v>0</v>
      </c>
      <c r="R7594" s="26"/>
    </row>
    <row r="7595" spans="1:18" ht="15.75" customHeight="1">
      <c r="A7595" s="26"/>
      <c r="B7595" s="86"/>
      <c r="D7595" s="26"/>
      <c r="F7595" s="87" t="str">
        <f t="shared" si="0"/>
        <v/>
      </c>
      <c r="H7595" s="26" t="str">
        <f t="shared" si="1"/>
        <v/>
      </c>
      <c r="I7595" s="26" t="str">
        <f t="shared" si="2"/>
        <v/>
      </c>
      <c r="J7595" s="86">
        <f t="shared" si="3"/>
        <v>0</v>
      </c>
      <c r="R7595" s="26"/>
    </row>
    <row r="7596" spans="1:18" ht="15.75" customHeight="1">
      <c r="A7596" s="26"/>
      <c r="B7596" s="86"/>
      <c r="D7596" s="26"/>
      <c r="F7596" s="87" t="str">
        <f t="shared" si="0"/>
        <v/>
      </c>
      <c r="H7596" s="26" t="str">
        <f t="shared" si="1"/>
        <v/>
      </c>
      <c r="I7596" s="26" t="str">
        <f t="shared" si="2"/>
        <v/>
      </c>
      <c r="J7596" s="86">
        <f t="shared" si="3"/>
        <v>0</v>
      </c>
      <c r="R7596" s="26"/>
    </row>
    <row r="7597" spans="1:18" ht="15.75" customHeight="1">
      <c r="A7597" s="26"/>
      <c r="B7597" s="86"/>
      <c r="D7597" s="26"/>
      <c r="F7597" s="87" t="str">
        <f t="shared" si="0"/>
        <v/>
      </c>
      <c r="H7597" s="26" t="str">
        <f t="shared" si="1"/>
        <v/>
      </c>
      <c r="I7597" s="26" t="str">
        <f t="shared" si="2"/>
        <v/>
      </c>
      <c r="J7597" s="86">
        <f t="shared" si="3"/>
        <v>0</v>
      </c>
      <c r="R7597" s="26"/>
    </row>
    <row r="7598" spans="1:18" ht="15.75" customHeight="1">
      <c r="A7598" s="26"/>
      <c r="B7598" s="86"/>
      <c r="D7598" s="26"/>
      <c r="F7598" s="87" t="str">
        <f t="shared" si="0"/>
        <v/>
      </c>
      <c r="H7598" s="26" t="str">
        <f t="shared" si="1"/>
        <v/>
      </c>
      <c r="I7598" s="26" t="str">
        <f t="shared" si="2"/>
        <v/>
      </c>
      <c r="J7598" s="86">
        <f t="shared" si="3"/>
        <v>0</v>
      </c>
      <c r="R7598" s="26"/>
    </row>
    <row r="7599" spans="1:18" ht="15.75" customHeight="1">
      <c r="A7599" s="26"/>
      <c r="B7599" s="86"/>
      <c r="D7599" s="26"/>
      <c r="F7599" s="87" t="str">
        <f t="shared" si="0"/>
        <v/>
      </c>
      <c r="H7599" s="26" t="str">
        <f t="shared" si="1"/>
        <v/>
      </c>
      <c r="I7599" s="26" t="str">
        <f t="shared" si="2"/>
        <v/>
      </c>
      <c r="J7599" s="86">
        <f t="shared" si="3"/>
        <v>0</v>
      </c>
      <c r="R7599" s="26"/>
    </row>
    <row r="7600" spans="1:18" ht="15.75" customHeight="1">
      <c r="A7600" s="26"/>
      <c r="B7600" s="86"/>
      <c r="D7600" s="26"/>
      <c r="F7600" s="87" t="str">
        <f t="shared" si="0"/>
        <v/>
      </c>
      <c r="H7600" s="26" t="str">
        <f t="shared" si="1"/>
        <v/>
      </c>
      <c r="I7600" s="26" t="str">
        <f t="shared" si="2"/>
        <v/>
      </c>
      <c r="J7600" s="86">
        <f t="shared" si="3"/>
        <v>0</v>
      </c>
      <c r="R7600" s="26"/>
    </row>
    <row r="7601" spans="1:18" ht="15.75" customHeight="1">
      <c r="A7601" s="26"/>
      <c r="B7601" s="86"/>
      <c r="D7601" s="26"/>
      <c r="F7601" s="87" t="str">
        <f t="shared" si="0"/>
        <v/>
      </c>
      <c r="H7601" s="26" t="str">
        <f t="shared" si="1"/>
        <v/>
      </c>
      <c r="I7601" s="26" t="str">
        <f t="shared" si="2"/>
        <v/>
      </c>
      <c r="J7601" s="86">
        <f t="shared" si="3"/>
        <v>0</v>
      </c>
      <c r="R7601" s="26"/>
    </row>
    <row r="7602" spans="1:18" ht="15.75" customHeight="1">
      <c r="A7602" s="26"/>
      <c r="B7602" s="86"/>
      <c r="D7602" s="26"/>
      <c r="F7602" s="87" t="str">
        <f t="shared" si="0"/>
        <v/>
      </c>
      <c r="H7602" s="26" t="str">
        <f t="shared" si="1"/>
        <v/>
      </c>
      <c r="I7602" s="26" t="str">
        <f t="shared" si="2"/>
        <v/>
      </c>
      <c r="J7602" s="86">
        <f t="shared" si="3"/>
        <v>0</v>
      </c>
      <c r="R7602" s="26"/>
    </row>
    <row r="7603" spans="1:18" ht="15.75" customHeight="1">
      <c r="A7603" s="26"/>
      <c r="B7603" s="86"/>
      <c r="D7603" s="26"/>
      <c r="F7603" s="87" t="str">
        <f t="shared" si="0"/>
        <v/>
      </c>
      <c r="H7603" s="26" t="str">
        <f t="shared" si="1"/>
        <v/>
      </c>
      <c r="I7603" s="26" t="str">
        <f t="shared" si="2"/>
        <v/>
      </c>
      <c r="J7603" s="86">
        <f t="shared" si="3"/>
        <v>0</v>
      </c>
      <c r="R7603" s="26"/>
    </row>
    <row r="7604" spans="1:18" ht="15.75" customHeight="1">
      <c r="A7604" s="26"/>
      <c r="B7604" s="86"/>
      <c r="D7604" s="26"/>
      <c r="F7604" s="87" t="str">
        <f t="shared" si="0"/>
        <v/>
      </c>
      <c r="H7604" s="26" t="str">
        <f t="shared" si="1"/>
        <v/>
      </c>
      <c r="I7604" s="26" t="str">
        <f t="shared" si="2"/>
        <v/>
      </c>
      <c r="J7604" s="86">
        <f t="shared" si="3"/>
        <v>0</v>
      </c>
      <c r="R7604" s="26"/>
    </row>
    <row r="7605" spans="1:18" ht="15.75" customHeight="1">
      <c r="A7605" s="26"/>
      <c r="B7605" s="86"/>
      <c r="D7605" s="26"/>
      <c r="F7605" s="87" t="str">
        <f t="shared" si="0"/>
        <v/>
      </c>
      <c r="H7605" s="26" t="str">
        <f t="shared" si="1"/>
        <v/>
      </c>
      <c r="I7605" s="26" t="str">
        <f t="shared" si="2"/>
        <v/>
      </c>
      <c r="J7605" s="86">
        <f t="shared" si="3"/>
        <v>0</v>
      </c>
      <c r="R7605" s="26"/>
    </row>
    <row r="7606" spans="1:18" ht="15.75" customHeight="1">
      <c r="A7606" s="26"/>
      <c r="B7606" s="86"/>
      <c r="D7606" s="26"/>
      <c r="F7606" s="87" t="str">
        <f t="shared" si="0"/>
        <v/>
      </c>
      <c r="H7606" s="26" t="str">
        <f t="shared" si="1"/>
        <v/>
      </c>
      <c r="I7606" s="26" t="str">
        <f t="shared" si="2"/>
        <v/>
      </c>
      <c r="J7606" s="86">
        <f t="shared" si="3"/>
        <v>0</v>
      </c>
      <c r="R7606" s="26"/>
    </row>
    <row r="7607" spans="1:18" ht="15.75" customHeight="1">
      <c r="A7607" s="26"/>
      <c r="B7607" s="86"/>
      <c r="D7607" s="26"/>
      <c r="F7607" s="87" t="str">
        <f t="shared" si="0"/>
        <v/>
      </c>
      <c r="H7607" s="26" t="str">
        <f t="shared" si="1"/>
        <v/>
      </c>
      <c r="I7607" s="26" t="str">
        <f t="shared" si="2"/>
        <v/>
      </c>
      <c r="J7607" s="86">
        <f t="shared" si="3"/>
        <v>0</v>
      </c>
      <c r="R7607" s="26"/>
    </row>
    <row r="7608" spans="1:18" ht="15.75" customHeight="1">
      <c r="A7608" s="26"/>
      <c r="B7608" s="86"/>
      <c r="D7608" s="26"/>
      <c r="F7608" s="87" t="str">
        <f t="shared" si="0"/>
        <v/>
      </c>
      <c r="H7608" s="26" t="str">
        <f t="shared" si="1"/>
        <v/>
      </c>
      <c r="I7608" s="26" t="str">
        <f t="shared" si="2"/>
        <v/>
      </c>
      <c r="J7608" s="86">
        <f t="shared" si="3"/>
        <v>0</v>
      </c>
      <c r="R7608" s="26"/>
    </row>
    <row r="7609" spans="1:18" ht="15.75" customHeight="1">
      <c r="A7609" s="26"/>
      <c r="B7609" s="86"/>
      <c r="D7609" s="26"/>
      <c r="F7609" s="87" t="str">
        <f t="shared" si="0"/>
        <v/>
      </c>
      <c r="H7609" s="26" t="str">
        <f t="shared" si="1"/>
        <v/>
      </c>
      <c r="I7609" s="26" t="str">
        <f t="shared" si="2"/>
        <v/>
      </c>
      <c r="J7609" s="86">
        <f t="shared" si="3"/>
        <v>0</v>
      </c>
      <c r="R7609" s="26"/>
    </row>
    <row r="7610" spans="1:18" ht="15.75" customHeight="1">
      <c r="A7610" s="26"/>
      <c r="B7610" s="86"/>
      <c r="D7610" s="26"/>
      <c r="F7610" s="87" t="str">
        <f t="shared" si="0"/>
        <v/>
      </c>
      <c r="H7610" s="26" t="str">
        <f t="shared" si="1"/>
        <v/>
      </c>
      <c r="I7610" s="26" t="str">
        <f t="shared" si="2"/>
        <v/>
      </c>
      <c r="J7610" s="86">
        <f t="shared" si="3"/>
        <v>0</v>
      </c>
      <c r="R7610" s="26"/>
    </row>
    <row r="7611" spans="1:18" ht="15.75" customHeight="1">
      <c r="A7611" s="26"/>
      <c r="B7611" s="86"/>
      <c r="D7611" s="26"/>
      <c r="F7611" s="87" t="str">
        <f t="shared" si="0"/>
        <v/>
      </c>
      <c r="H7611" s="26" t="str">
        <f t="shared" si="1"/>
        <v/>
      </c>
      <c r="I7611" s="26" t="str">
        <f t="shared" si="2"/>
        <v/>
      </c>
      <c r="J7611" s="86">
        <f t="shared" si="3"/>
        <v>0</v>
      </c>
      <c r="R7611" s="26"/>
    </row>
    <row r="7612" spans="1:18" ht="15.75" customHeight="1">
      <c r="A7612" s="26"/>
      <c r="B7612" s="86"/>
      <c r="D7612" s="26"/>
      <c r="F7612" s="87" t="str">
        <f t="shared" si="0"/>
        <v/>
      </c>
      <c r="H7612" s="26" t="str">
        <f t="shared" si="1"/>
        <v/>
      </c>
      <c r="I7612" s="26" t="str">
        <f t="shared" si="2"/>
        <v/>
      </c>
      <c r="J7612" s="86">
        <f t="shared" si="3"/>
        <v>0</v>
      </c>
      <c r="R7612" s="26"/>
    </row>
    <row r="7613" spans="1:18" ht="15.75" customHeight="1">
      <c r="A7613" s="26"/>
      <c r="B7613" s="86"/>
      <c r="D7613" s="26"/>
      <c r="F7613" s="87" t="str">
        <f t="shared" si="0"/>
        <v/>
      </c>
      <c r="H7613" s="26" t="str">
        <f t="shared" si="1"/>
        <v/>
      </c>
      <c r="I7613" s="26" t="str">
        <f t="shared" si="2"/>
        <v/>
      </c>
      <c r="J7613" s="86">
        <f t="shared" si="3"/>
        <v>0</v>
      </c>
      <c r="R7613" s="26"/>
    </row>
    <row r="7614" spans="1:18" ht="15.75" customHeight="1">
      <c r="A7614" s="26"/>
      <c r="B7614" s="86"/>
      <c r="D7614" s="26"/>
      <c r="F7614" s="87" t="str">
        <f t="shared" si="0"/>
        <v/>
      </c>
      <c r="H7614" s="26" t="str">
        <f t="shared" si="1"/>
        <v/>
      </c>
      <c r="I7614" s="26" t="str">
        <f t="shared" si="2"/>
        <v/>
      </c>
      <c r="J7614" s="86">
        <f t="shared" si="3"/>
        <v>0</v>
      </c>
      <c r="R7614" s="26"/>
    </row>
    <row r="7615" spans="1:18" ht="15.75" customHeight="1">
      <c r="A7615" s="26"/>
      <c r="B7615" s="86"/>
      <c r="D7615" s="26"/>
      <c r="F7615" s="87" t="str">
        <f t="shared" si="0"/>
        <v/>
      </c>
      <c r="H7615" s="26" t="str">
        <f t="shared" si="1"/>
        <v/>
      </c>
      <c r="I7615" s="26" t="str">
        <f t="shared" si="2"/>
        <v/>
      </c>
      <c r="J7615" s="86">
        <f t="shared" si="3"/>
        <v>0</v>
      </c>
      <c r="R7615" s="26"/>
    </row>
    <row r="7616" spans="1:18" ht="15.75" customHeight="1">
      <c r="A7616" s="26"/>
      <c r="B7616" s="86"/>
      <c r="D7616" s="26"/>
      <c r="F7616" s="87" t="str">
        <f t="shared" si="0"/>
        <v/>
      </c>
      <c r="H7616" s="26" t="str">
        <f t="shared" si="1"/>
        <v/>
      </c>
      <c r="I7616" s="26" t="str">
        <f t="shared" si="2"/>
        <v/>
      </c>
      <c r="J7616" s="86">
        <f t="shared" si="3"/>
        <v>0</v>
      </c>
      <c r="R7616" s="26"/>
    </row>
    <row r="7617" spans="1:18" ht="15.75" customHeight="1">
      <c r="A7617" s="26"/>
      <c r="B7617" s="86"/>
      <c r="D7617" s="26"/>
      <c r="F7617" s="87" t="str">
        <f t="shared" si="0"/>
        <v/>
      </c>
      <c r="H7617" s="26" t="str">
        <f t="shared" si="1"/>
        <v/>
      </c>
      <c r="I7617" s="26" t="str">
        <f t="shared" si="2"/>
        <v/>
      </c>
      <c r="J7617" s="86">
        <f t="shared" si="3"/>
        <v>0</v>
      </c>
      <c r="R7617" s="26"/>
    </row>
    <row r="7618" spans="1:18" ht="15.75" customHeight="1">
      <c r="A7618" s="26"/>
      <c r="B7618" s="86"/>
      <c r="D7618" s="26"/>
      <c r="F7618" s="87" t="str">
        <f t="shared" si="0"/>
        <v/>
      </c>
      <c r="H7618" s="26" t="str">
        <f t="shared" si="1"/>
        <v/>
      </c>
      <c r="I7618" s="26" t="str">
        <f t="shared" si="2"/>
        <v/>
      </c>
      <c r="J7618" s="86">
        <f t="shared" si="3"/>
        <v>0</v>
      </c>
      <c r="R7618" s="26"/>
    </row>
    <row r="7619" spans="1:18" ht="15.75" customHeight="1">
      <c r="A7619" s="26"/>
      <c r="B7619" s="86"/>
      <c r="D7619" s="26"/>
      <c r="F7619" s="87" t="str">
        <f t="shared" si="0"/>
        <v/>
      </c>
      <c r="H7619" s="26" t="str">
        <f t="shared" si="1"/>
        <v/>
      </c>
      <c r="I7619" s="26" t="str">
        <f t="shared" si="2"/>
        <v/>
      </c>
      <c r="J7619" s="86">
        <f t="shared" si="3"/>
        <v>0</v>
      </c>
      <c r="R7619" s="26"/>
    </row>
    <row r="7620" spans="1:18" ht="15.75" customHeight="1">
      <c r="A7620" s="26"/>
      <c r="B7620" s="86"/>
      <c r="D7620" s="26"/>
      <c r="F7620" s="87" t="str">
        <f t="shared" si="0"/>
        <v/>
      </c>
      <c r="H7620" s="26" t="str">
        <f t="shared" si="1"/>
        <v/>
      </c>
      <c r="I7620" s="26" t="str">
        <f t="shared" si="2"/>
        <v/>
      </c>
      <c r="J7620" s="86">
        <f t="shared" si="3"/>
        <v>0</v>
      </c>
      <c r="R7620" s="26"/>
    </row>
    <row r="7621" spans="1:18" ht="15.75" customHeight="1">
      <c r="A7621" s="26"/>
      <c r="B7621" s="86"/>
      <c r="D7621" s="26"/>
      <c r="F7621" s="87" t="str">
        <f t="shared" si="0"/>
        <v/>
      </c>
      <c r="H7621" s="26" t="str">
        <f t="shared" si="1"/>
        <v/>
      </c>
      <c r="I7621" s="26" t="str">
        <f t="shared" si="2"/>
        <v/>
      </c>
      <c r="J7621" s="86">
        <f t="shared" si="3"/>
        <v>0</v>
      </c>
      <c r="R7621" s="26"/>
    </row>
    <row r="7622" spans="1:18" ht="15.75" customHeight="1">
      <c r="A7622" s="26"/>
      <c r="B7622" s="86"/>
      <c r="D7622" s="26"/>
      <c r="F7622" s="87" t="str">
        <f t="shared" si="0"/>
        <v/>
      </c>
      <c r="H7622" s="26" t="str">
        <f t="shared" si="1"/>
        <v/>
      </c>
      <c r="I7622" s="26" t="str">
        <f t="shared" si="2"/>
        <v/>
      </c>
      <c r="J7622" s="86">
        <f t="shared" si="3"/>
        <v>0</v>
      </c>
      <c r="R7622" s="26"/>
    </row>
    <row r="7623" spans="1:18" ht="15.75" customHeight="1">
      <c r="A7623" s="26"/>
      <c r="B7623" s="86"/>
      <c r="D7623" s="26"/>
      <c r="F7623" s="87" t="str">
        <f t="shared" si="0"/>
        <v/>
      </c>
      <c r="H7623" s="26" t="str">
        <f t="shared" si="1"/>
        <v/>
      </c>
      <c r="I7623" s="26" t="str">
        <f t="shared" si="2"/>
        <v/>
      </c>
      <c r="J7623" s="86">
        <f t="shared" si="3"/>
        <v>0</v>
      </c>
      <c r="R7623" s="26"/>
    </row>
    <row r="7624" spans="1:18" ht="15.75" customHeight="1">
      <c r="A7624" s="26"/>
      <c r="B7624" s="86"/>
      <c r="D7624" s="26"/>
      <c r="F7624" s="87" t="str">
        <f t="shared" si="0"/>
        <v/>
      </c>
      <c r="H7624" s="26" t="str">
        <f t="shared" si="1"/>
        <v/>
      </c>
      <c r="I7624" s="26" t="str">
        <f t="shared" si="2"/>
        <v/>
      </c>
      <c r="J7624" s="86">
        <f t="shared" si="3"/>
        <v>0</v>
      </c>
      <c r="R7624" s="26"/>
    </row>
    <row r="7625" spans="1:18" ht="15.75" customHeight="1">
      <c r="A7625" s="26"/>
      <c r="B7625" s="86"/>
      <c r="D7625" s="26"/>
      <c r="F7625" s="87" t="str">
        <f t="shared" si="0"/>
        <v/>
      </c>
      <c r="H7625" s="26" t="str">
        <f t="shared" si="1"/>
        <v/>
      </c>
      <c r="I7625" s="26" t="str">
        <f t="shared" si="2"/>
        <v/>
      </c>
      <c r="J7625" s="86">
        <f t="shared" si="3"/>
        <v>0</v>
      </c>
      <c r="R7625" s="26"/>
    </row>
    <row r="7626" spans="1:18" ht="15.75" customHeight="1">
      <c r="A7626" s="26"/>
      <c r="B7626" s="86"/>
      <c r="D7626" s="26"/>
      <c r="F7626" s="87" t="str">
        <f t="shared" si="0"/>
        <v/>
      </c>
      <c r="H7626" s="26" t="str">
        <f t="shared" si="1"/>
        <v/>
      </c>
      <c r="I7626" s="26" t="str">
        <f t="shared" si="2"/>
        <v/>
      </c>
      <c r="J7626" s="86">
        <f t="shared" si="3"/>
        <v>0</v>
      </c>
      <c r="R7626" s="26"/>
    </row>
    <row r="7627" spans="1:18" ht="15.75" customHeight="1">
      <c r="A7627" s="26"/>
      <c r="B7627" s="86"/>
      <c r="D7627" s="26"/>
      <c r="F7627" s="87" t="str">
        <f t="shared" si="0"/>
        <v/>
      </c>
      <c r="H7627" s="26" t="str">
        <f t="shared" si="1"/>
        <v/>
      </c>
      <c r="I7627" s="26" t="str">
        <f t="shared" si="2"/>
        <v/>
      </c>
      <c r="J7627" s="86">
        <f t="shared" si="3"/>
        <v>0</v>
      </c>
      <c r="R7627" s="26"/>
    </row>
    <row r="7628" spans="1:18" ht="15.75" customHeight="1">
      <c r="A7628" s="26"/>
      <c r="B7628" s="86"/>
      <c r="D7628" s="26"/>
      <c r="F7628" s="87" t="str">
        <f t="shared" si="0"/>
        <v/>
      </c>
      <c r="H7628" s="26" t="str">
        <f t="shared" si="1"/>
        <v/>
      </c>
      <c r="I7628" s="26" t="str">
        <f t="shared" si="2"/>
        <v/>
      </c>
      <c r="J7628" s="86">
        <f t="shared" si="3"/>
        <v>0</v>
      </c>
      <c r="R7628" s="26"/>
    </row>
    <row r="7629" spans="1:18" ht="15.75" customHeight="1">
      <c r="A7629" s="26"/>
      <c r="B7629" s="86"/>
      <c r="D7629" s="26"/>
      <c r="F7629" s="87" t="str">
        <f t="shared" si="0"/>
        <v/>
      </c>
      <c r="H7629" s="26" t="str">
        <f t="shared" si="1"/>
        <v/>
      </c>
      <c r="I7629" s="26" t="str">
        <f t="shared" si="2"/>
        <v/>
      </c>
      <c r="J7629" s="86">
        <f t="shared" si="3"/>
        <v>0</v>
      </c>
      <c r="R7629" s="26"/>
    </row>
    <row r="7630" spans="1:18" ht="15.75" customHeight="1">
      <c r="A7630" s="26"/>
      <c r="B7630" s="86"/>
      <c r="D7630" s="26"/>
      <c r="F7630" s="87" t="str">
        <f t="shared" si="0"/>
        <v/>
      </c>
      <c r="H7630" s="26" t="str">
        <f t="shared" si="1"/>
        <v/>
      </c>
      <c r="I7630" s="26" t="str">
        <f t="shared" si="2"/>
        <v/>
      </c>
      <c r="J7630" s="86">
        <f t="shared" si="3"/>
        <v>0</v>
      </c>
      <c r="R7630" s="26"/>
    </row>
    <row r="7631" spans="1:18" ht="15.75" customHeight="1">
      <c r="A7631" s="26"/>
      <c r="B7631" s="86"/>
      <c r="D7631" s="26"/>
      <c r="F7631" s="87" t="str">
        <f t="shared" si="0"/>
        <v/>
      </c>
      <c r="H7631" s="26" t="str">
        <f t="shared" si="1"/>
        <v/>
      </c>
      <c r="I7631" s="26" t="str">
        <f t="shared" si="2"/>
        <v/>
      </c>
      <c r="J7631" s="86">
        <f t="shared" si="3"/>
        <v>0</v>
      </c>
      <c r="R7631" s="26"/>
    </row>
    <row r="7632" spans="1:18" ht="15.75" customHeight="1">
      <c r="A7632" s="26"/>
      <c r="B7632" s="86"/>
      <c r="D7632" s="26"/>
      <c r="F7632" s="87" t="str">
        <f t="shared" si="0"/>
        <v/>
      </c>
      <c r="H7632" s="26" t="str">
        <f t="shared" si="1"/>
        <v/>
      </c>
      <c r="I7632" s="26" t="str">
        <f t="shared" si="2"/>
        <v/>
      </c>
      <c r="J7632" s="86">
        <f t="shared" si="3"/>
        <v>0</v>
      </c>
      <c r="R7632" s="26"/>
    </row>
    <row r="7633" spans="1:18" ht="15.75" customHeight="1">
      <c r="A7633" s="26"/>
      <c r="B7633" s="86"/>
      <c r="D7633" s="26"/>
      <c r="F7633" s="87" t="str">
        <f t="shared" si="0"/>
        <v/>
      </c>
      <c r="H7633" s="26" t="str">
        <f t="shared" si="1"/>
        <v/>
      </c>
      <c r="I7633" s="26" t="str">
        <f t="shared" si="2"/>
        <v/>
      </c>
      <c r="J7633" s="86">
        <f t="shared" si="3"/>
        <v>0</v>
      </c>
      <c r="R7633" s="26"/>
    </row>
    <row r="7634" spans="1:18" ht="15.75" customHeight="1">
      <c r="A7634" s="26"/>
      <c r="B7634" s="86"/>
      <c r="D7634" s="26"/>
      <c r="F7634" s="87" t="str">
        <f t="shared" si="0"/>
        <v/>
      </c>
      <c r="H7634" s="26" t="str">
        <f t="shared" si="1"/>
        <v/>
      </c>
      <c r="I7634" s="26" t="str">
        <f t="shared" si="2"/>
        <v/>
      </c>
      <c r="J7634" s="86">
        <f t="shared" si="3"/>
        <v>0</v>
      </c>
      <c r="R7634" s="26"/>
    </row>
    <row r="7635" spans="1:18" ht="15.75" customHeight="1">
      <c r="A7635" s="26"/>
      <c r="B7635" s="86"/>
      <c r="D7635" s="26"/>
      <c r="F7635" s="87" t="str">
        <f t="shared" si="0"/>
        <v/>
      </c>
      <c r="H7635" s="26" t="str">
        <f t="shared" si="1"/>
        <v/>
      </c>
      <c r="I7635" s="26" t="str">
        <f t="shared" si="2"/>
        <v/>
      </c>
      <c r="J7635" s="86">
        <f t="shared" si="3"/>
        <v>0</v>
      </c>
      <c r="R7635" s="26"/>
    </row>
    <row r="7636" spans="1:18" ht="15.75" customHeight="1">
      <c r="A7636" s="26"/>
      <c r="B7636" s="86"/>
      <c r="D7636" s="26"/>
      <c r="F7636" s="87" t="str">
        <f t="shared" si="0"/>
        <v/>
      </c>
      <c r="H7636" s="26" t="str">
        <f t="shared" si="1"/>
        <v/>
      </c>
      <c r="I7636" s="26" t="str">
        <f t="shared" si="2"/>
        <v/>
      </c>
      <c r="J7636" s="86">
        <f t="shared" si="3"/>
        <v>0</v>
      </c>
      <c r="R7636" s="26"/>
    </row>
    <row r="7637" spans="1:18" ht="15.75" customHeight="1">
      <c r="A7637" s="26"/>
      <c r="B7637" s="86"/>
      <c r="D7637" s="26"/>
      <c r="F7637" s="87" t="str">
        <f t="shared" si="0"/>
        <v/>
      </c>
      <c r="H7637" s="26" t="str">
        <f t="shared" si="1"/>
        <v/>
      </c>
      <c r="I7637" s="26" t="str">
        <f t="shared" si="2"/>
        <v/>
      </c>
      <c r="J7637" s="86">
        <f t="shared" si="3"/>
        <v>0</v>
      </c>
      <c r="R7637" s="26"/>
    </row>
    <row r="7638" spans="1:18" ht="15.75" customHeight="1">
      <c r="A7638" s="26"/>
      <c r="B7638" s="86"/>
      <c r="D7638" s="26"/>
      <c r="F7638" s="87" t="str">
        <f t="shared" si="0"/>
        <v/>
      </c>
      <c r="H7638" s="26" t="str">
        <f t="shared" si="1"/>
        <v/>
      </c>
      <c r="I7638" s="26" t="str">
        <f t="shared" si="2"/>
        <v/>
      </c>
      <c r="J7638" s="86">
        <f t="shared" si="3"/>
        <v>0</v>
      </c>
      <c r="R7638" s="26"/>
    </row>
    <row r="7639" spans="1:18" ht="15.75" customHeight="1">
      <c r="A7639" s="26"/>
      <c r="B7639" s="86"/>
      <c r="D7639" s="26"/>
      <c r="F7639" s="87" t="str">
        <f t="shared" si="0"/>
        <v/>
      </c>
      <c r="H7639" s="26" t="str">
        <f t="shared" si="1"/>
        <v/>
      </c>
      <c r="I7639" s="26" t="str">
        <f t="shared" si="2"/>
        <v/>
      </c>
      <c r="J7639" s="86">
        <f t="shared" si="3"/>
        <v>0</v>
      </c>
      <c r="R7639" s="26"/>
    </row>
    <row r="7640" spans="1:18" ht="15.75" customHeight="1">
      <c r="A7640" s="26"/>
      <c r="B7640" s="86"/>
      <c r="D7640" s="26"/>
      <c r="F7640" s="87" t="str">
        <f t="shared" si="0"/>
        <v/>
      </c>
      <c r="H7640" s="26" t="str">
        <f t="shared" si="1"/>
        <v/>
      </c>
      <c r="I7640" s="26" t="str">
        <f t="shared" si="2"/>
        <v/>
      </c>
      <c r="J7640" s="86">
        <f t="shared" si="3"/>
        <v>0</v>
      </c>
      <c r="R7640" s="26"/>
    </row>
    <row r="7641" spans="1:18" ht="15.75" customHeight="1">
      <c r="A7641" s="26"/>
      <c r="B7641" s="86"/>
      <c r="D7641" s="26"/>
      <c r="F7641" s="87" t="str">
        <f t="shared" si="0"/>
        <v/>
      </c>
      <c r="H7641" s="26" t="str">
        <f t="shared" si="1"/>
        <v/>
      </c>
      <c r="I7641" s="26" t="str">
        <f t="shared" si="2"/>
        <v/>
      </c>
      <c r="J7641" s="86">
        <f t="shared" si="3"/>
        <v>0</v>
      </c>
      <c r="R7641" s="26"/>
    </row>
    <row r="7642" spans="1:18" ht="15.75" customHeight="1">
      <c r="A7642" s="26"/>
      <c r="B7642" s="86"/>
      <c r="D7642" s="26"/>
      <c r="F7642" s="87" t="str">
        <f t="shared" si="0"/>
        <v/>
      </c>
      <c r="H7642" s="26" t="str">
        <f t="shared" si="1"/>
        <v/>
      </c>
      <c r="I7642" s="26" t="str">
        <f t="shared" si="2"/>
        <v/>
      </c>
      <c r="J7642" s="86">
        <f t="shared" si="3"/>
        <v>0</v>
      </c>
      <c r="R7642" s="26"/>
    </row>
    <row r="7643" spans="1:18" ht="15.75" customHeight="1">
      <c r="A7643" s="26"/>
      <c r="B7643" s="86"/>
      <c r="D7643" s="26"/>
      <c r="F7643" s="87" t="str">
        <f t="shared" si="0"/>
        <v/>
      </c>
      <c r="H7643" s="26" t="str">
        <f t="shared" si="1"/>
        <v/>
      </c>
      <c r="I7643" s="26" t="str">
        <f t="shared" si="2"/>
        <v/>
      </c>
      <c r="J7643" s="86">
        <f t="shared" si="3"/>
        <v>0</v>
      </c>
      <c r="R7643" s="26"/>
    </row>
    <row r="7644" spans="1:18" ht="15.75" customHeight="1">
      <c r="A7644" s="26"/>
      <c r="B7644" s="86"/>
      <c r="D7644" s="26"/>
      <c r="F7644" s="87" t="str">
        <f t="shared" si="0"/>
        <v/>
      </c>
      <c r="H7644" s="26" t="str">
        <f t="shared" si="1"/>
        <v/>
      </c>
      <c r="I7644" s="26" t="str">
        <f t="shared" si="2"/>
        <v/>
      </c>
      <c r="J7644" s="86">
        <f t="shared" si="3"/>
        <v>0</v>
      </c>
      <c r="R7644" s="26"/>
    </row>
    <row r="7645" spans="1:18" ht="15.75" customHeight="1">
      <c r="A7645" s="26"/>
      <c r="B7645" s="86"/>
      <c r="D7645" s="26"/>
      <c r="F7645" s="87" t="str">
        <f t="shared" si="0"/>
        <v/>
      </c>
      <c r="H7645" s="26" t="str">
        <f t="shared" si="1"/>
        <v/>
      </c>
      <c r="I7645" s="26" t="str">
        <f t="shared" si="2"/>
        <v/>
      </c>
      <c r="J7645" s="86">
        <f t="shared" si="3"/>
        <v>0</v>
      </c>
      <c r="R7645" s="26"/>
    </row>
    <row r="7646" spans="1:18" ht="15.75" customHeight="1">
      <c r="A7646" s="26"/>
      <c r="B7646" s="86"/>
      <c r="D7646" s="26"/>
      <c r="F7646" s="87" t="str">
        <f t="shared" si="0"/>
        <v/>
      </c>
      <c r="H7646" s="26" t="str">
        <f t="shared" si="1"/>
        <v/>
      </c>
      <c r="I7646" s="26" t="str">
        <f t="shared" si="2"/>
        <v/>
      </c>
      <c r="J7646" s="86">
        <f t="shared" si="3"/>
        <v>0</v>
      </c>
      <c r="R7646" s="26"/>
    </row>
    <row r="7647" spans="1:18" ht="15.75" customHeight="1">
      <c r="A7647" s="26"/>
      <c r="B7647" s="86"/>
      <c r="D7647" s="26"/>
      <c r="F7647" s="87" t="str">
        <f t="shared" si="0"/>
        <v/>
      </c>
      <c r="H7647" s="26" t="str">
        <f t="shared" si="1"/>
        <v/>
      </c>
      <c r="I7647" s="26" t="str">
        <f t="shared" si="2"/>
        <v/>
      </c>
      <c r="J7647" s="86">
        <f t="shared" si="3"/>
        <v>0</v>
      </c>
      <c r="R7647" s="26"/>
    </row>
    <row r="7648" spans="1:18" ht="15.75" customHeight="1">
      <c r="A7648" s="26"/>
      <c r="B7648" s="86"/>
      <c r="D7648" s="26"/>
      <c r="F7648" s="87" t="str">
        <f t="shared" si="0"/>
        <v/>
      </c>
      <c r="H7648" s="26" t="str">
        <f t="shared" si="1"/>
        <v/>
      </c>
      <c r="I7648" s="26" t="str">
        <f t="shared" si="2"/>
        <v/>
      </c>
      <c r="J7648" s="86">
        <f t="shared" si="3"/>
        <v>0</v>
      </c>
      <c r="R7648" s="26"/>
    </row>
    <row r="7649" spans="1:18" ht="15.75" customHeight="1">
      <c r="A7649" s="26"/>
      <c r="B7649" s="86"/>
      <c r="D7649" s="26"/>
      <c r="F7649" s="87" t="str">
        <f t="shared" si="0"/>
        <v/>
      </c>
      <c r="H7649" s="26" t="str">
        <f t="shared" si="1"/>
        <v/>
      </c>
      <c r="I7649" s="26" t="str">
        <f t="shared" si="2"/>
        <v/>
      </c>
      <c r="J7649" s="86">
        <f t="shared" si="3"/>
        <v>0</v>
      </c>
      <c r="R7649" s="26"/>
    </row>
    <row r="7650" spans="1:18" ht="15.75" customHeight="1">
      <c r="A7650" s="26"/>
      <c r="B7650" s="86"/>
      <c r="D7650" s="26"/>
      <c r="F7650" s="87" t="str">
        <f t="shared" si="0"/>
        <v/>
      </c>
      <c r="H7650" s="26" t="str">
        <f t="shared" si="1"/>
        <v/>
      </c>
      <c r="I7650" s="26" t="str">
        <f t="shared" si="2"/>
        <v/>
      </c>
      <c r="J7650" s="86">
        <f t="shared" si="3"/>
        <v>0</v>
      </c>
      <c r="R7650" s="26"/>
    </row>
    <row r="7651" spans="1:18" ht="15.75" customHeight="1">
      <c r="A7651" s="26"/>
      <c r="B7651" s="86"/>
      <c r="D7651" s="26"/>
      <c r="F7651" s="87" t="str">
        <f t="shared" si="0"/>
        <v/>
      </c>
      <c r="H7651" s="26" t="str">
        <f t="shared" si="1"/>
        <v/>
      </c>
      <c r="I7651" s="26" t="str">
        <f t="shared" si="2"/>
        <v/>
      </c>
      <c r="J7651" s="86">
        <f t="shared" si="3"/>
        <v>0</v>
      </c>
      <c r="R7651" s="26"/>
    </row>
    <row r="7652" spans="1:18" ht="15.75" customHeight="1">
      <c r="A7652" s="26"/>
      <c r="B7652" s="86"/>
      <c r="D7652" s="26"/>
      <c r="F7652" s="87" t="str">
        <f t="shared" si="0"/>
        <v/>
      </c>
      <c r="H7652" s="26" t="str">
        <f t="shared" si="1"/>
        <v/>
      </c>
      <c r="I7652" s="26" t="str">
        <f t="shared" si="2"/>
        <v/>
      </c>
      <c r="J7652" s="86">
        <f t="shared" si="3"/>
        <v>0</v>
      </c>
      <c r="R7652" s="26"/>
    </row>
    <row r="7653" spans="1:18" ht="15.75" customHeight="1">
      <c r="A7653" s="26"/>
      <c r="B7653" s="86"/>
      <c r="D7653" s="26"/>
      <c r="F7653" s="87" t="str">
        <f t="shared" si="0"/>
        <v/>
      </c>
      <c r="H7653" s="26" t="str">
        <f t="shared" si="1"/>
        <v/>
      </c>
      <c r="I7653" s="26" t="str">
        <f t="shared" si="2"/>
        <v/>
      </c>
      <c r="J7653" s="86">
        <f t="shared" si="3"/>
        <v>0</v>
      </c>
      <c r="R7653" s="26"/>
    </row>
    <row r="7654" spans="1:18" ht="15.75" customHeight="1">
      <c r="A7654" s="26"/>
      <c r="B7654" s="86"/>
      <c r="D7654" s="26"/>
      <c r="F7654" s="87" t="str">
        <f t="shared" si="0"/>
        <v/>
      </c>
      <c r="H7654" s="26" t="str">
        <f t="shared" si="1"/>
        <v/>
      </c>
      <c r="I7654" s="26" t="str">
        <f t="shared" si="2"/>
        <v/>
      </c>
      <c r="J7654" s="86">
        <f t="shared" si="3"/>
        <v>0</v>
      </c>
      <c r="R7654" s="26"/>
    </row>
    <row r="7655" spans="1:18" ht="15.75" customHeight="1">
      <c r="A7655" s="26"/>
      <c r="B7655" s="86"/>
      <c r="D7655" s="26"/>
      <c r="F7655" s="87" t="str">
        <f t="shared" si="0"/>
        <v/>
      </c>
      <c r="H7655" s="26" t="str">
        <f t="shared" si="1"/>
        <v/>
      </c>
      <c r="I7655" s="26" t="str">
        <f t="shared" si="2"/>
        <v/>
      </c>
      <c r="J7655" s="86">
        <f t="shared" si="3"/>
        <v>0</v>
      </c>
      <c r="R7655" s="26"/>
    </row>
    <row r="7656" spans="1:18" ht="15.75" customHeight="1">
      <c r="A7656" s="26"/>
      <c r="B7656" s="86"/>
      <c r="D7656" s="26"/>
      <c r="F7656" s="87" t="str">
        <f t="shared" si="0"/>
        <v/>
      </c>
      <c r="H7656" s="26" t="str">
        <f t="shared" si="1"/>
        <v/>
      </c>
      <c r="I7656" s="26" t="str">
        <f t="shared" si="2"/>
        <v/>
      </c>
      <c r="J7656" s="86">
        <f t="shared" si="3"/>
        <v>0</v>
      </c>
      <c r="R7656" s="26"/>
    </row>
    <row r="7657" spans="1:18" ht="15.75" customHeight="1">
      <c r="A7657" s="26"/>
      <c r="B7657" s="86"/>
      <c r="D7657" s="26"/>
      <c r="F7657" s="87" t="str">
        <f t="shared" si="0"/>
        <v/>
      </c>
      <c r="H7657" s="26" t="str">
        <f t="shared" si="1"/>
        <v/>
      </c>
      <c r="I7657" s="26" t="str">
        <f t="shared" si="2"/>
        <v/>
      </c>
      <c r="J7657" s="86">
        <f t="shared" si="3"/>
        <v>0</v>
      </c>
      <c r="R7657" s="26"/>
    </row>
    <row r="7658" spans="1:18" ht="15.75" customHeight="1">
      <c r="A7658" s="26"/>
      <c r="B7658" s="86"/>
      <c r="D7658" s="26"/>
      <c r="F7658" s="87" t="str">
        <f t="shared" si="0"/>
        <v/>
      </c>
      <c r="H7658" s="26" t="str">
        <f t="shared" si="1"/>
        <v/>
      </c>
      <c r="I7658" s="26" t="str">
        <f t="shared" si="2"/>
        <v/>
      </c>
      <c r="J7658" s="86">
        <f t="shared" si="3"/>
        <v>0</v>
      </c>
      <c r="R7658" s="26"/>
    </row>
    <row r="7659" spans="1:18" ht="15.75" customHeight="1">
      <c r="A7659" s="26"/>
      <c r="B7659" s="86"/>
      <c r="D7659" s="26"/>
      <c r="F7659" s="87" t="str">
        <f t="shared" si="0"/>
        <v/>
      </c>
      <c r="H7659" s="26" t="str">
        <f t="shared" si="1"/>
        <v/>
      </c>
      <c r="I7659" s="26" t="str">
        <f t="shared" si="2"/>
        <v/>
      </c>
      <c r="J7659" s="86">
        <f t="shared" si="3"/>
        <v>0</v>
      </c>
      <c r="R7659" s="26"/>
    </row>
    <row r="7660" spans="1:18" ht="15.75" customHeight="1">
      <c r="A7660" s="26"/>
      <c r="B7660" s="86"/>
      <c r="D7660" s="26"/>
      <c r="F7660" s="87" t="str">
        <f t="shared" si="0"/>
        <v/>
      </c>
      <c r="H7660" s="26" t="str">
        <f t="shared" si="1"/>
        <v/>
      </c>
      <c r="I7660" s="26" t="str">
        <f t="shared" si="2"/>
        <v/>
      </c>
      <c r="J7660" s="86">
        <f t="shared" si="3"/>
        <v>0</v>
      </c>
      <c r="R7660" s="26"/>
    </row>
    <row r="7661" spans="1:18" ht="15.75" customHeight="1">
      <c r="A7661" s="26"/>
      <c r="B7661" s="86"/>
      <c r="D7661" s="26"/>
      <c r="F7661" s="87" t="str">
        <f t="shared" si="0"/>
        <v/>
      </c>
      <c r="H7661" s="26" t="str">
        <f t="shared" si="1"/>
        <v/>
      </c>
      <c r="I7661" s="26" t="str">
        <f t="shared" si="2"/>
        <v/>
      </c>
      <c r="J7661" s="86">
        <f t="shared" si="3"/>
        <v>0</v>
      </c>
      <c r="R7661" s="26"/>
    </row>
    <row r="7662" spans="1:18" ht="15.75" customHeight="1">
      <c r="A7662" s="26"/>
      <c r="B7662" s="86"/>
      <c r="D7662" s="26"/>
      <c r="F7662" s="87" t="str">
        <f t="shared" si="0"/>
        <v/>
      </c>
      <c r="H7662" s="26" t="str">
        <f t="shared" si="1"/>
        <v/>
      </c>
      <c r="I7662" s="26" t="str">
        <f t="shared" si="2"/>
        <v/>
      </c>
      <c r="J7662" s="86">
        <f t="shared" si="3"/>
        <v>0</v>
      </c>
      <c r="R7662" s="26"/>
    </row>
    <row r="7663" spans="1:18" ht="15.75" customHeight="1">
      <c r="A7663" s="26"/>
      <c r="B7663" s="86"/>
      <c r="D7663" s="26"/>
      <c r="F7663" s="87" t="str">
        <f t="shared" si="0"/>
        <v/>
      </c>
      <c r="H7663" s="26" t="str">
        <f t="shared" si="1"/>
        <v/>
      </c>
      <c r="I7663" s="26" t="str">
        <f t="shared" si="2"/>
        <v/>
      </c>
      <c r="J7663" s="86">
        <f t="shared" si="3"/>
        <v>0</v>
      </c>
      <c r="R7663" s="26"/>
    </row>
    <row r="7664" spans="1:18" ht="15.75" customHeight="1">
      <c r="A7664" s="26"/>
      <c r="B7664" s="86"/>
      <c r="D7664" s="26"/>
      <c r="F7664" s="87" t="str">
        <f t="shared" si="0"/>
        <v/>
      </c>
      <c r="H7664" s="26" t="str">
        <f t="shared" si="1"/>
        <v/>
      </c>
      <c r="I7664" s="26" t="str">
        <f t="shared" si="2"/>
        <v/>
      </c>
      <c r="J7664" s="86">
        <f t="shared" si="3"/>
        <v>0</v>
      </c>
      <c r="R7664" s="26"/>
    </row>
    <row r="7665" spans="1:18" ht="15.75" customHeight="1">
      <c r="A7665" s="26"/>
      <c r="B7665" s="86"/>
      <c r="D7665" s="26"/>
      <c r="F7665" s="87" t="str">
        <f t="shared" si="0"/>
        <v/>
      </c>
      <c r="H7665" s="26" t="str">
        <f t="shared" si="1"/>
        <v/>
      </c>
      <c r="I7665" s="26" t="str">
        <f t="shared" si="2"/>
        <v/>
      </c>
      <c r="J7665" s="86">
        <f t="shared" si="3"/>
        <v>0</v>
      </c>
      <c r="R7665" s="26"/>
    </row>
    <row r="7666" spans="1:18" ht="15.75" customHeight="1">
      <c r="A7666" s="26"/>
      <c r="B7666" s="86"/>
      <c r="D7666" s="26"/>
      <c r="F7666" s="87" t="str">
        <f t="shared" si="0"/>
        <v/>
      </c>
      <c r="H7666" s="26" t="str">
        <f t="shared" si="1"/>
        <v/>
      </c>
      <c r="I7666" s="26" t="str">
        <f t="shared" si="2"/>
        <v/>
      </c>
      <c r="J7666" s="86">
        <f t="shared" si="3"/>
        <v>0</v>
      </c>
      <c r="R7666" s="26"/>
    </row>
    <row r="7667" spans="1:18" ht="15.75" customHeight="1">
      <c r="A7667" s="26"/>
      <c r="B7667" s="86"/>
      <c r="D7667" s="26"/>
      <c r="F7667" s="87" t="str">
        <f t="shared" si="0"/>
        <v/>
      </c>
      <c r="H7667" s="26" t="str">
        <f t="shared" si="1"/>
        <v/>
      </c>
      <c r="I7667" s="26" t="str">
        <f t="shared" si="2"/>
        <v/>
      </c>
      <c r="J7667" s="86">
        <f t="shared" si="3"/>
        <v>0</v>
      </c>
      <c r="R7667" s="26"/>
    </row>
    <row r="7668" spans="1:18" ht="15.75" customHeight="1">
      <c r="A7668" s="26"/>
      <c r="B7668" s="86"/>
      <c r="D7668" s="26"/>
      <c r="F7668" s="87" t="str">
        <f t="shared" si="0"/>
        <v/>
      </c>
      <c r="H7668" s="26" t="str">
        <f t="shared" si="1"/>
        <v/>
      </c>
      <c r="I7668" s="26" t="str">
        <f t="shared" si="2"/>
        <v/>
      </c>
      <c r="J7668" s="86">
        <f t="shared" si="3"/>
        <v>0</v>
      </c>
      <c r="R7668" s="26"/>
    </row>
    <row r="7669" spans="1:18" ht="15.75" customHeight="1">
      <c r="A7669" s="26"/>
      <c r="B7669" s="86"/>
      <c r="D7669" s="26"/>
      <c r="F7669" s="87" t="str">
        <f t="shared" si="0"/>
        <v/>
      </c>
      <c r="H7669" s="26" t="str">
        <f t="shared" si="1"/>
        <v/>
      </c>
      <c r="I7669" s="26" t="str">
        <f t="shared" si="2"/>
        <v/>
      </c>
      <c r="J7669" s="86">
        <f t="shared" si="3"/>
        <v>0</v>
      </c>
      <c r="R7669" s="26"/>
    </row>
    <row r="7670" spans="1:18" ht="15.75" customHeight="1">
      <c r="A7670" s="26"/>
      <c r="B7670" s="86"/>
      <c r="D7670" s="26"/>
      <c r="F7670" s="87" t="str">
        <f t="shared" si="0"/>
        <v/>
      </c>
      <c r="H7670" s="26" t="str">
        <f t="shared" si="1"/>
        <v/>
      </c>
      <c r="I7670" s="26" t="str">
        <f t="shared" si="2"/>
        <v/>
      </c>
      <c r="J7670" s="86">
        <f t="shared" si="3"/>
        <v>0</v>
      </c>
      <c r="R7670" s="26"/>
    </row>
    <row r="7671" spans="1:18" ht="15.75" customHeight="1">
      <c r="A7671" s="26"/>
      <c r="B7671" s="86"/>
      <c r="D7671" s="26"/>
      <c r="F7671" s="87" t="str">
        <f t="shared" si="0"/>
        <v/>
      </c>
      <c r="H7671" s="26" t="str">
        <f t="shared" si="1"/>
        <v/>
      </c>
      <c r="I7671" s="26" t="str">
        <f t="shared" si="2"/>
        <v/>
      </c>
      <c r="J7671" s="86">
        <f t="shared" si="3"/>
        <v>0</v>
      </c>
      <c r="R7671" s="26"/>
    </row>
    <row r="7672" spans="1:18" ht="15.75" customHeight="1">
      <c r="A7672" s="26"/>
      <c r="B7672" s="86"/>
      <c r="D7672" s="26"/>
      <c r="F7672" s="87" t="str">
        <f t="shared" si="0"/>
        <v/>
      </c>
      <c r="H7672" s="26" t="str">
        <f t="shared" si="1"/>
        <v/>
      </c>
      <c r="I7672" s="26" t="str">
        <f t="shared" si="2"/>
        <v/>
      </c>
      <c r="J7672" s="86">
        <f t="shared" si="3"/>
        <v>0</v>
      </c>
      <c r="R7672" s="26"/>
    </row>
    <row r="7673" spans="1:18" ht="15.75" customHeight="1">
      <c r="A7673" s="26"/>
      <c r="B7673" s="86"/>
      <c r="D7673" s="26"/>
      <c r="F7673" s="87" t="str">
        <f t="shared" si="0"/>
        <v/>
      </c>
      <c r="H7673" s="26" t="str">
        <f t="shared" si="1"/>
        <v/>
      </c>
      <c r="I7673" s="26" t="str">
        <f t="shared" si="2"/>
        <v/>
      </c>
      <c r="J7673" s="86">
        <f t="shared" si="3"/>
        <v>0</v>
      </c>
      <c r="R7673" s="26"/>
    </row>
    <row r="7674" spans="1:18" ht="15.75" customHeight="1">
      <c r="A7674" s="26"/>
      <c r="B7674" s="86"/>
      <c r="D7674" s="26"/>
      <c r="F7674" s="87" t="str">
        <f t="shared" si="0"/>
        <v/>
      </c>
      <c r="H7674" s="26" t="str">
        <f t="shared" si="1"/>
        <v/>
      </c>
      <c r="I7674" s="26" t="str">
        <f t="shared" si="2"/>
        <v/>
      </c>
      <c r="J7674" s="86">
        <f t="shared" si="3"/>
        <v>0</v>
      </c>
      <c r="R7674" s="26"/>
    </row>
    <row r="7675" spans="1:18" ht="15.75" customHeight="1">
      <c r="A7675" s="26"/>
      <c r="B7675" s="86"/>
      <c r="D7675" s="26"/>
      <c r="F7675" s="87" t="str">
        <f t="shared" si="0"/>
        <v/>
      </c>
      <c r="H7675" s="26" t="str">
        <f t="shared" si="1"/>
        <v/>
      </c>
      <c r="I7675" s="26" t="str">
        <f t="shared" si="2"/>
        <v/>
      </c>
      <c r="J7675" s="86">
        <f t="shared" si="3"/>
        <v>0</v>
      </c>
      <c r="R7675" s="26"/>
    </row>
    <row r="7676" spans="1:18" ht="15.75" customHeight="1">
      <c r="A7676" s="26"/>
      <c r="B7676" s="86"/>
      <c r="D7676" s="26"/>
      <c r="F7676" s="87" t="str">
        <f t="shared" si="0"/>
        <v/>
      </c>
      <c r="H7676" s="26" t="str">
        <f t="shared" si="1"/>
        <v/>
      </c>
      <c r="I7676" s="26" t="str">
        <f t="shared" si="2"/>
        <v/>
      </c>
      <c r="J7676" s="86">
        <f t="shared" si="3"/>
        <v>0</v>
      </c>
      <c r="R7676" s="26"/>
    </row>
    <row r="7677" spans="1:18" ht="15.75" customHeight="1">
      <c r="A7677" s="26"/>
      <c r="B7677" s="86"/>
      <c r="D7677" s="26"/>
      <c r="F7677" s="87" t="str">
        <f t="shared" si="0"/>
        <v/>
      </c>
      <c r="H7677" s="26" t="str">
        <f t="shared" si="1"/>
        <v/>
      </c>
      <c r="I7677" s="26" t="str">
        <f t="shared" si="2"/>
        <v/>
      </c>
      <c r="J7677" s="86">
        <f t="shared" si="3"/>
        <v>0</v>
      </c>
      <c r="R7677" s="26"/>
    </row>
    <row r="7678" spans="1:18" ht="15.75" customHeight="1">
      <c r="A7678" s="26"/>
      <c r="B7678" s="86"/>
      <c r="D7678" s="26"/>
      <c r="F7678" s="87" t="str">
        <f t="shared" si="0"/>
        <v/>
      </c>
      <c r="H7678" s="26" t="str">
        <f t="shared" si="1"/>
        <v/>
      </c>
      <c r="I7678" s="26" t="str">
        <f t="shared" si="2"/>
        <v/>
      </c>
      <c r="J7678" s="86">
        <f t="shared" si="3"/>
        <v>0</v>
      </c>
      <c r="R7678" s="26"/>
    </row>
    <row r="7679" spans="1:18" ht="15.75" customHeight="1">
      <c r="A7679" s="26"/>
      <c r="B7679" s="86"/>
      <c r="D7679" s="26"/>
      <c r="F7679" s="87" t="str">
        <f t="shared" si="0"/>
        <v/>
      </c>
      <c r="H7679" s="26" t="str">
        <f t="shared" si="1"/>
        <v/>
      </c>
      <c r="I7679" s="26" t="str">
        <f t="shared" si="2"/>
        <v/>
      </c>
      <c r="J7679" s="86">
        <f t="shared" si="3"/>
        <v>0</v>
      </c>
      <c r="R7679" s="26"/>
    </row>
    <row r="7680" spans="1:18" ht="15.75" customHeight="1">
      <c r="A7680" s="26"/>
      <c r="B7680" s="86"/>
      <c r="D7680" s="26"/>
      <c r="F7680" s="87" t="str">
        <f t="shared" si="0"/>
        <v/>
      </c>
      <c r="H7680" s="26" t="str">
        <f t="shared" si="1"/>
        <v/>
      </c>
      <c r="I7680" s="26" t="str">
        <f t="shared" si="2"/>
        <v/>
      </c>
      <c r="J7680" s="86">
        <f t="shared" si="3"/>
        <v>0</v>
      </c>
      <c r="R7680" s="26"/>
    </row>
    <row r="7681" spans="1:18" ht="15.75" customHeight="1">
      <c r="A7681" s="26"/>
      <c r="B7681" s="86"/>
      <c r="D7681" s="26"/>
      <c r="F7681" s="87" t="str">
        <f t="shared" si="0"/>
        <v/>
      </c>
      <c r="H7681" s="26" t="str">
        <f t="shared" si="1"/>
        <v/>
      </c>
      <c r="I7681" s="26" t="str">
        <f t="shared" si="2"/>
        <v/>
      </c>
      <c r="J7681" s="86">
        <f t="shared" si="3"/>
        <v>0</v>
      </c>
      <c r="R7681" s="26"/>
    </row>
    <row r="7682" spans="1:18" ht="15.75" customHeight="1">
      <c r="A7682" s="26"/>
      <c r="B7682" s="86"/>
      <c r="D7682" s="26"/>
      <c r="F7682" s="87" t="str">
        <f t="shared" si="0"/>
        <v/>
      </c>
      <c r="H7682" s="26" t="str">
        <f t="shared" si="1"/>
        <v/>
      </c>
      <c r="I7682" s="26" t="str">
        <f t="shared" si="2"/>
        <v/>
      </c>
      <c r="J7682" s="86">
        <f t="shared" si="3"/>
        <v>0</v>
      </c>
      <c r="R7682" s="26"/>
    </row>
    <row r="7683" spans="1:18" ht="15.75" customHeight="1">
      <c r="A7683" s="26"/>
      <c r="B7683" s="86"/>
      <c r="D7683" s="26"/>
      <c r="F7683" s="87" t="str">
        <f t="shared" si="0"/>
        <v/>
      </c>
      <c r="H7683" s="26" t="str">
        <f t="shared" si="1"/>
        <v/>
      </c>
      <c r="I7683" s="26" t="str">
        <f t="shared" si="2"/>
        <v/>
      </c>
      <c r="J7683" s="86">
        <f t="shared" si="3"/>
        <v>0</v>
      </c>
      <c r="R7683" s="26"/>
    </row>
    <row r="7684" spans="1:18" ht="15.75" customHeight="1">
      <c r="A7684" s="26"/>
      <c r="B7684" s="86"/>
      <c r="D7684" s="26"/>
      <c r="F7684" s="87" t="str">
        <f t="shared" si="0"/>
        <v/>
      </c>
      <c r="H7684" s="26" t="str">
        <f t="shared" si="1"/>
        <v/>
      </c>
      <c r="I7684" s="26" t="str">
        <f t="shared" si="2"/>
        <v/>
      </c>
      <c r="J7684" s="86">
        <f t="shared" si="3"/>
        <v>0</v>
      </c>
      <c r="R7684" s="26"/>
    </row>
    <row r="7685" spans="1:18" ht="15.75" customHeight="1">
      <c r="A7685" s="26"/>
      <c r="B7685" s="86"/>
      <c r="D7685" s="26"/>
      <c r="F7685" s="87" t="str">
        <f t="shared" si="0"/>
        <v/>
      </c>
      <c r="H7685" s="26" t="str">
        <f t="shared" si="1"/>
        <v/>
      </c>
      <c r="I7685" s="26" t="str">
        <f t="shared" si="2"/>
        <v/>
      </c>
      <c r="J7685" s="86">
        <f t="shared" si="3"/>
        <v>0</v>
      </c>
      <c r="R7685" s="26"/>
    </row>
    <row r="7686" spans="1:18" ht="15.75" customHeight="1">
      <c r="A7686" s="26"/>
      <c r="B7686" s="86"/>
      <c r="D7686" s="26"/>
      <c r="F7686" s="87" t="str">
        <f t="shared" si="0"/>
        <v/>
      </c>
      <c r="H7686" s="26" t="str">
        <f t="shared" si="1"/>
        <v/>
      </c>
      <c r="I7686" s="26" t="str">
        <f t="shared" si="2"/>
        <v/>
      </c>
      <c r="J7686" s="86">
        <f t="shared" si="3"/>
        <v>0</v>
      </c>
      <c r="R7686" s="26"/>
    </row>
    <row r="7687" spans="1:18" ht="15.75" customHeight="1">
      <c r="A7687" s="26"/>
      <c r="B7687" s="86"/>
      <c r="D7687" s="26"/>
      <c r="F7687" s="87" t="str">
        <f t="shared" si="0"/>
        <v/>
      </c>
      <c r="H7687" s="26" t="str">
        <f t="shared" si="1"/>
        <v/>
      </c>
      <c r="I7687" s="26" t="str">
        <f t="shared" si="2"/>
        <v/>
      </c>
      <c r="J7687" s="86">
        <f t="shared" si="3"/>
        <v>0</v>
      </c>
      <c r="R7687" s="26"/>
    </row>
    <row r="7688" spans="1:18" ht="15.75" customHeight="1">
      <c r="A7688" s="26"/>
      <c r="B7688" s="86"/>
      <c r="D7688" s="26"/>
      <c r="F7688" s="87" t="str">
        <f t="shared" si="0"/>
        <v/>
      </c>
      <c r="H7688" s="26" t="str">
        <f t="shared" si="1"/>
        <v/>
      </c>
      <c r="I7688" s="26" t="str">
        <f t="shared" si="2"/>
        <v/>
      </c>
      <c r="J7688" s="86">
        <f t="shared" si="3"/>
        <v>0</v>
      </c>
      <c r="R7688" s="26"/>
    </row>
    <row r="7689" spans="1:18" ht="15.75" customHeight="1">
      <c r="A7689" s="26"/>
      <c r="B7689" s="86"/>
      <c r="D7689" s="26"/>
      <c r="F7689" s="87" t="str">
        <f t="shared" si="0"/>
        <v/>
      </c>
      <c r="H7689" s="26" t="str">
        <f t="shared" si="1"/>
        <v/>
      </c>
      <c r="I7689" s="26" t="str">
        <f t="shared" si="2"/>
        <v/>
      </c>
      <c r="J7689" s="86">
        <f t="shared" si="3"/>
        <v>0</v>
      </c>
      <c r="R7689" s="26"/>
    </row>
    <row r="7690" spans="1:18" ht="15.75" customHeight="1">
      <c r="A7690" s="26"/>
      <c r="B7690" s="86"/>
      <c r="D7690" s="26"/>
      <c r="F7690" s="87" t="str">
        <f t="shared" si="0"/>
        <v/>
      </c>
      <c r="H7690" s="26" t="str">
        <f t="shared" si="1"/>
        <v/>
      </c>
      <c r="I7690" s="26" t="str">
        <f t="shared" si="2"/>
        <v/>
      </c>
      <c r="J7690" s="86">
        <f t="shared" si="3"/>
        <v>0</v>
      </c>
      <c r="R7690" s="26"/>
    </row>
    <row r="7691" spans="1:18" ht="15.75" customHeight="1">
      <c r="A7691" s="26"/>
      <c r="B7691" s="86"/>
      <c r="D7691" s="26"/>
      <c r="F7691" s="87" t="str">
        <f t="shared" si="0"/>
        <v/>
      </c>
      <c r="H7691" s="26" t="str">
        <f t="shared" si="1"/>
        <v/>
      </c>
      <c r="I7691" s="26" t="str">
        <f t="shared" si="2"/>
        <v/>
      </c>
      <c r="J7691" s="86">
        <f t="shared" si="3"/>
        <v>0</v>
      </c>
      <c r="R7691" s="26"/>
    </row>
    <row r="7692" spans="1:18" ht="15.75" customHeight="1">
      <c r="A7692" s="26"/>
      <c r="B7692" s="86"/>
      <c r="D7692" s="26"/>
      <c r="F7692" s="87" t="str">
        <f t="shared" si="0"/>
        <v/>
      </c>
      <c r="H7692" s="26" t="str">
        <f t="shared" si="1"/>
        <v/>
      </c>
      <c r="I7692" s="26" t="str">
        <f t="shared" si="2"/>
        <v/>
      </c>
      <c r="J7692" s="86">
        <f t="shared" si="3"/>
        <v>0</v>
      </c>
      <c r="R7692" s="26"/>
    </row>
    <row r="7693" spans="1:18" ht="15.75" customHeight="1">
      <c r="A7693" s="26"/>
      <c r="B7693" s="86"/>
      <c r="D7693" s="26"/>
      <c r="F7693" s="87" t="str">
        <f t="shared" si="0"/>
        <v/>
      </c>
      <c r="H7693" s="26" t="str">
        <f t="shared" si="1"/>
        <v/>
      </c>
      <c r="I7693" s="26" t="str">
        <f t="shared" si="2"/>
        <v/>
      </c>
      <c r="J7693" s="86">
        <f t="shared" si="3"/>
        <v>0</v>
      </c>
      <c r="R7693" s="26"/>
    </row>
    <row r="7694" spans="1:18" ht="15.75" customHeight="1">
      <c r="A7694" s="26"/>
      <c r="B7694" s="86"/>
      <c r="D7694" s="26"/>
      <c r="F7694" s="87" t="str">
        <f t="shared" si="0"/>
        <v/>
      </c>
      <c r="H7694" s="26" t="str">
        <f t="shared" si="1"/>
        <v/>
      </c>
      <c r="I7694" s="26" t="str">
        <f t="shared" si="2"/>
        <v/>
      </c>
      <c r="J7694" s="86">
        <f t="shared" si="3"/>
        <v>0</v>
      </c>
      <c r="R7694" s="26"/>
    </row>
    <row r="7695" spans="1:18" ht="15.75" customHeight="1">
      <c r="A7695" s="26"/>
      <c r="B7695" s="86"/>
      <c r="D7695" s="26"/>
      <c r="F7695" s="87" t="str">
        <f t="shared" si="0"/>
        <v/>
      </c>
      <c r="H7695" s="26" t="str">
        <f t="shared" si="1"/>
        <v/>
      </c>
      <c r="I7695" s="26" t="str">
        <f t="shared" si="2"/>
        <v/>
      </c>
      <c r="J7695" s="86">
        <f t="shared" si="3"/>
        <v>0</v>
      </c>
      <c r="R7695" s="26"/>
    </row>
    <row r="7696" spans="1:18" ht="15.75" customHeight="1">
      <c r="A7696" s="26"/>
      <c r="B7696" s="86"/>
      <c r="D7696" s="26"/>
      <c r="F7696" s="87" t="str">
        <f t="shared" si="0"/>
        <v/>
      </c>
      <c r="H7696" s="26" t="str">
        <f t="shared" si="1"/>
        <v/>
      </c>
      <c r="I7696" s="26" t="str">
        <f t="shared" si="2"/>
        <v/>
      </c>
      <c r="J7696" s="86">
        <f t="shared" si="3"/>
        <v>0</v>
      </c>
      <c r="R7696" s="26"/>
    </row>
    <row r="7697" spans="1:18" ht="15.75" customHeight="1">
      <c r="A7697" s="26"/>
      <c r="B7697" s="86"/>
      <c r="D7697" s="26"/>
      <c r="F7697" s="87" t="str">
        <f t="shared" si="0"/>
        <v/>
      </c>
      <c r="H7697" s="26" t="str">
        <f t="shared" si="1"/>
        <v/>
      </c>
      <c r="I7697" s="26" t="str">
        <f t="shared" si="2"/>
        <v/>
      </c>
      <c r="J7697" s="86">
        <f t="shared" si="3"/>
        <v>0</v>
      </c>
      <c r="R7697" s="26"/>
    </row>
    <row r="7698" spans="1:18" ht="15.75" customHeight="1">
      <c r="A7698" s="26"/>
      <c r="B7698" s="86"/>
      <c r="D7698" s="26"/>
      <c r="F7698" s="87" t="str">
        <f t="shared" si="0"/>
        <v/>
      </c>
      <c r="H7698" s="26" t="str">
        <f t="shared" si="1"/>
        <v/>
      </c>
      <c r="I7698" s="26" t="str">
        <f t="shared" si="2"/>
        <v/>
      </c>
      <c r="J7698" s="86">
        <f t="shared" si="3"/>
        <v>0</v>
      </c>
      <c r="R7698" s="26"/>
    </row>
    <row r="7699" spans="1:18" ht="15.75" customHeight="1">
      <c r="A7699" s="26"/>
      <c r="B7699" s="86"/>
      <c r="D7699" s="26"/>
      <c r="F7699" s="87" t="str">
        <f t="shared" si="0"/>
        <v/>
      </c>
      <c r="H7699" s="26" t="str">
        <f t="shared" si="1"/>
        <v/>
      </c>
      <c r="I7699" s="26" t="str">
        <f t="shared" si="2"/>
        <v/>
      </c>
      <c r="J7699" s="86">
        <f t="shared" si="3"/>
        <v>0</v>
      </c>
      <c r="R7699" s="26"/>
    </row>
    <row r="7700" spans="1:18" ht="15.75" customHeight="1">
      <c r="A7700" s="26"/>
      <c r="B7700" s="86"/>
      <c r="D7700" s="26"/>
      <c r="F7700" s="87" t="str">
        <f t="shared" si="0"/>
        <v/>
      </c>
      <c r="H7700" s="26" t="str">
        <f t="shared" si="1"/>
        <v/>
      </c>
      <c r="I7700" s="26" t="str">
        <f t="shared" si="2"/>
        <v/>
      </c>
      <c r="J7700" s="86">
        <f t="shared" si="3"/>
        <v>0</v>
      </c>
      <c r="R7700" s="26"/>
    </row>
    <row r="7701" spans="1:18" ht="15.75" customHeight="1">
      <c r="A7701" s="26"/>
      <c r="B7701" s="86"/>
      <c r="D7701" s="26"/>
      <c r="F7701" s="87" t="str">
        <f t="shared" si="0"/>
        <v/>
      </c>
      <c r="H7701" s="26" t="str">
        <f t="shared" si="1"/>
        <v/>
      </c>
      <c r="I7701" s="26" t="str">
        <f t="shared" si="2"/>
        <v/>
      </c>
      <c r="J7701" s="86">
        <f t="shared" si="3"/>
        <v>0</v>
      </c>
      <c r="R7701" s="26"/>
    </row>
    <row r="7702" spans="1:18" ht="15.75" customHeight="1">
      <c r="A7702" s="26"/>
      <c r="B7702" s="86"/>
      <c r="D7702" s="26"/>
      <c r="F7702" s="87" t="str">
        <f t="shared" si="0"/>
        <v/>
      </c>
      <c r="H7702" s="26" t="str">
        <f t="shared" si="1"/>
        <v/>
      </c>
      <c r="I7702" s="26" t="str">
        <f t="shared" si="2"/>
        <v/>
      </c>
      <c r="J7702" s="86">
        <f t="shared" si="3"/>
        <v>0</v>
      </c>
      <c r="R7702" s="26"/>
    </row>
    <row r="7703" spans="1:18" ht="15.75" customHeight="1">
      <c r="A7703" s="26"/>
      <c r="B7703" s="86"/>
      <c r="D7703" s="26"/>
      <c r="F7703" s="87" t="str">
        <f t="shared" si="0"/>
        <v/>
      </c>
      <c r="H7703" s="26" t="str">
        <f t="shared" si="1"/>
        <v/>
      </c>
      <c r="I7703" s="26" t="str">
        <f t="shared" si="2"/>
        <v/>
      </c>
      <c r="J7703" s="86">
        <f t="shared" si="3"/>
        <v>0</v>
      </c>
      <c r="R7703" s="26"/>
    </row>
    <row r="7704" spans="1:18" ht="15.75" customHeight="1">
      <c r="A7704" s="26"/>
      <c r="B7704" s="86"/>
      <c r="D7704" s="26"/>
      <c r="F7704" s="87" t="str">
        <f t="shared" si="0"/>
        <v/>
      </c>
      <c r="H7704" s="26" t="str">
        <f t="shared" si="1"/>
        <v/>
      </c>
      <c r="I7704" s="26" t="str">
        <f t="shared" si="2"/>
        <v/>
      </c>
      <c r="J7704" s="86">
        <f t="shared" si="3"/>
        <v>0</v>
      </c>
      <c r="R7704" s="26"/>
    </row>
    <row r="7705" spans="1:18" ht="15.75" customHeight="1">
      <c r="A7705" s="26"/>
      <c r="B7705" s="86"/>
      <c r="D7705" s="26"/>
      <c r="F7705" s="87" t="str">
        <f t="shared" si="0"/>
        <v/>
      </c>
      <c r="H7705" s="26" t="str">
        <f t="shared" si="1"/>
        <v/>
      </c>
      <c r="I7705" s="26" t="str">
        <f t="shared" si="2"/>
        <v/>
      </c>
      <c r="J7705" s="86">
        <f t="shared" si="3"/>
        <v>0</v>
      </c>
      <c r="R7705" s="26"/>
    </row>
    <row r="7706" spans="1:18" ht="15.75" customHeight="1">
      <c r="A7706" s="26"/>
      <c r="B7706" s="86"/>
      <c r="D7706" s="26"/>
      <c r="F7706" s="87" t="str">
        <f t="shared" si="0"/>
        <v/>
      </c>
      <c r="H7706" s="26" t="str">
        <f t="shared" si="1"/>
        <v/>
      </c>
      <c r="I7706" s="26" t="str">
        <f t="shared" si="2"/>
        <v/>
      </c>
      <c r="J7706" s="86">
        <f t="shared" si="3"/>
        <v>0</v>
      </c>
      <c r="R7706" s="26"/>
    </row>
    <row r="7707" spans="1:18" ht="15.75" customHeight="1">
      <c r="A7707" s="26"/>
      <c r="B7707" s="86"/>
      <c r="D7707" s="26"/>
      <c r="F7707" s="87" t="str">
        <f t="shared" si="0"/>
        <v/>
      </c>
      <c r="H7707" s="26" t="str">
        <f t="shared" si="1"/>
        <v/>
      </c>
      <c r="I7707" s="26" t="str">
        <f t="shared" si="2"/>
        <v/>
      </c>
      <c r="J7707" s="86">
        <f t="shared" si="3"/>
        <v>0</v>
      </c>
      <c r="R7707" s="26"/>
    </row>
    <row r="7708" spans="1:18" ht="15.75" customHeight="1">
      <c r="A7708" s="26"/>
      <c r="B7708" s="86"/>
      <c r="D7708" s="26"/>
      <c r="F7708" s="87" t="str">
        <f t="shared" si="0"/>
        <v/>
      </c>
      <c r="H7708" s="26" t="str">
        <f t="shared" si="1"/>
        <v/>
      </c>
      <c r="I7708" s="26" t="str">
        <f t="shared" si="2"/>
        <v/>
      </c>
      <c r="J7708" s="86">
        <f t="shared" si="3"/>
        <v>0</v>
      </c>
      <c r="R7708" s="26"/>
    </row>
    <row r="7709" spans="1:18" ht="15.75" customHeight="1">
      <c r="A7709" s="26"/>
      <c r="B7709" s="86"/>
      <c r="D7709" s="26"/>
      <c r="F7709" s="87" t="str">
        <f t="shared" si="0"/>
        <v/>
      </c>
      <c r="H7709" s="26" t="str">
        <f t="shared" si="1"/>
        <v/>
      </c>
      <c r="I7709" s="26" t="str">
        <f t="shared" si="2"/>
        <v/>
      </c>
      <c r="J7709" s="86">
        <f t="shared" si="3"/>
        <v>0</v>
      </c>
      <c r="R7709" s="26"/>
    </row>
    <row r="7710" spans="1:18" ht="15.75" customHeight="1">
      <c r="A7710" s="26"/>
      <c r="B7710" s="86"/>
      <c r="D7710" s="26"/>
      <c r="F7710" s="87" t="str">
        <f t="shared" si="0"/>
        <v/>
      </c>
      <c r="H7710" s="26" t="str">
        <f t="shared" si="1"/>
        <v/>
      </c>
      <c r="I7710" s="26" t="str">
        <f t="shared" si="2"/>
        <v/>
      </c>
      <c r="J7710" s="86">
        <f t="shared" si="3"/>
        <v>0</v>
      </c>
      <c r="R7710" s="26"/>
    </row>
    <row r="7711" spans="1:18" ht="15.75" customHeight="1">
      <c r="A7711" s="26"/>
      <c r="B7711" s="86"/>
      <c r="D7711" s="26"/>
      <c r="F7711" s="87" t="str">
        <f t="shared" si="0"/>
        <v/>
      </c>
      <c r="H7711" s="26" t="str">
        <f t="shared" si="1"/>
        <v/>
      </c>
      <c r="I7711" s="26" t="str">
        <f t="shared" si="2"/>
        <v/>
      </c>
      <c r="J7711" s="86">
        <f t="shared" si="3"/>
        <v>0</v>
      </c>
      <c r="R7711" s="26"/>
    </row>
    <row r="7712" spans="1:18" ht="15.75" customHeight="1">
      <c r="A7712" s="26"/>
      <c r="B7712" s="86"/>
      <c r="D7712" s="26"/>
      <c r="F7712" s="87" t="str">
        <f t="shared" si="0"/>
        <v/>
      </c>
      <c r="H7712" s="26" t="str">
        <f t="shared" si="1"/>
        <v/>
      </c>
      <c r="I7712" s="26" t="str">
        <f t="shared" si="2"/>
        <v/>
      </c>
      <c r="J7712" s="86">
        <f t="shared" si="3"/>
        <v>0</v>
      </c>
      <c r="R7712" s="26"/>
    </row>
    <row r="7713" spans="1:18" ht="15.75" customHeight="1">
      <c r="A7713" s="26"/>
      <c r="B7713" s="86"/>
      <c r="D7713" s="26"/>
      <c r="F7713" s="87" t="str">
        <f t="shared" si="0"/>
        <v/>
      </c>
      <c r="H7713" s="26" t="str">
        <f t="shared" si="1"/>
        <v/>
      </c>
      <c r="I7713" s="26" t="str">
        <f t="shared" si="2"/>
        <v/>
      </c>
      <c r="J7713" s="86">
        <f t="shared" si="3"/>
        <v>0</v>
      </c>
      <c r="R7713" s="26"/>
    </row>
    <row r="7714" spans="1:18" ht="15.75" customHeight="1">
      <c r="A7714" s="26"/>
      <c r="B7714" s="86"/>
      <c r="D7714" s="26"/>
      <c r="F7714" s="87" t="str">
        <f t="shared" si="0"/>
        <v/>
      </c>
      <c r="H7714" s="26" t="str">
        <f t="shared" si="1"/>
        <v/>
      </c>
      <c r="I7714" s="26" t="str">
        <f t="shared" si="2"/>
        <v/>
      </c>
      <c r="J7714" s="86">
        <f t="shared" si="3"/>
        <v>0</v>
      </c>
      <c r="R7714" s="26"/>
    </row>
    <row r="7715" spans="1:18" ht="15.75" customHeight="1">
      <c r="A7715" s="26"/>
      <c r="B7715" s="86"/>
      <c r="D7715" s="26"/>
      <c r="F7715" s="87" t="str">
        <f t="shared" si="0"/>
        <v/>
      </c>
      <c r="H7715" s="26" t="str">
        <f t="shared" si="1"/>
        <v/>
      </c>
      <c r="I7715" s="26" t="str">
        <f t="shared" si="2"/>
        <v/>
      </c>
      <c r="J7715" s="86">
        <f t="shared" si="3"/>
        <v>0</v>
      </c>
      <c r="R7715" s="26"/>
    </row>
    <row r="7716" spans="1:18" ht="15.75" customHeight="1">
      <c r="A7716" s="26"/>
      <c r="B7716" s="86"/>
      <c r="D7716" s="26"/>
      <c r="F7716" s="87" t="str">
        <f t="shared" si="0"/>
        <v/>
      </c>
      <c r="H7716" s="26" t="str">
        <f t="shared" si="1"/>
        <v/>
      </c>
      <c r="I7716" s="26" t="str">
        <f t="shared" si="2"/>
        <v/>
      </c>
      <c r="J7716" s="86">
        <f t="shared" si="3"/>
        <v>0</v>
      </c>
      <c r="R7716" s="26"/>
    </row>
    <row r="7717" spans="1:18" ht="15.75" customHeight="1">
      <c r="A7717" s="26"/>
      <c r="B7717" s="86"/>
      <c r="D7717" s="26"/>
      <c r="F7717" s="87" t="str">
        <f t="shared" si="0"/>
        <v/>
      </c>
      <c r="H7717" s="26" t="str">
        <f t="shared" si="1"/>
        <v/>
      </c>
      <c r="I7717" s="26" t="str">
        <f t="shared" si="2"/>
        <v/>
      </c>
      <c r="J7717" s="86">
        <f t="shared" si="3"/>
        <v>0</v>
      </c>
      <c r="R7717" s="26"/>
    </row>
    <row r="7718" spans="1:18" ht="15.75" customHeight="1">
      <c r="A7718" s="26"/>
      <c r="B7718" s="86"/>
      <c r="D7718" s="26"/>
      <c r="F7718" s="87" t="str">
        <f t="shared" si="0"/>
        <v/>
      </c>
      <c r="H7718" s="26" t="str">
        <f t="shared" si="1"/>
        <v/>
      </c>
      <c r="I7718" s="26" t="str">
        <f t="shared" si="2"/>
        <v/>
      </c>
      <c r="J7718" s="86">
        <f t="shared" si="3"/>
        <v>0</v>
      </c>
      <c r="R7718" s="26"/>
    </row>
    <row r="7719" spans="1:18" ht="15.75" customHeight="1">
      <c r="A7719" s="26"/>
      <c r="B7719" s="86"/>
      <c r="D7719" s="26"/>
      <c r="F7719" s="87" t="str">
        <f t="shared" si="0"/>
        <v/>
      </c>
      <c r="H7719" s="26" t="str">
        <f t="shared" si="1"/>
        <v/>
      </c>
      <c r="I7719" s="26" t="str">
        <f t="shared" si="2"/>
        <v/>
      </c>
      <c r="J7719" s="86">
        <f t="shared" si="3"/>
        <v>0</v>
      </c>
      <c r="R7719" s="26"/>
    </row>
    <row r="7720" spans="1:18" ht="15.75" customHeight="1">
      <c r="A7720" s="26"/>
      <c r="B7720" s="86"/>
      <c r="D7720" s="26"/>
      <c r="F7720" s="87" t="str">
        <f t="shared" si="0"/>
        <v/>
      </c>
      <c r="H7720" s="26" t="str">
        <f t="shared" si="1"/>
        <v/>
      </c>
      <c r="I7720" s="26" t="str">
        <f t="shared" si="2"/>
        <v/>
      </c>
      <c r="J7720" s="86">
        <f t="shared" si="3"/>
        <v>0</v>
      </c>
      <c r="R7720" s="26"/>
    </row>
    <row r="7721" spans="1:18" ht="15.75" customHeight="1">
      <c r="A7721" s="26"/>
      <c r="B7721" s="86"/>
      <c r="D7721" s="26"/>
      <c r="F7721" s="87" t="str">
        <f t="shared" si="0"/>
        <v/>
      </c>
      <c r="H7721" s="26" t="str">
        <f t="shared" si="1"/>
        <v/>
      </c>
      <c r="I7721" s="26" t="str">
        <f t="shared" si="2"/>
        <v/>
      </c>
      <c r="J7721" s="86">
        <f t="shared" si="3"/>
        <v>0</v>
      </c>
      <c r="R7721" s="26"/>
    </row>
    <row r="7722" spans="1:18" ht="15.75" customHeight="1">
      <c r="A7722" s="26"/>
      <c r="B7722" s="86"/>
      <c r="D7722" s="26"/>
      <c r="F7722" s="87" t="str">
        <f t="shared" si="0"/>
        <v/>
      </c>
      <c r="H7722" s="26" t="str">
        <f t="shared" si="1"/>
        <v/>
      </c>
      <c r="I7722" s="26" t="str">
        <f t="shared" si="2"/>
        <v/>
      </c>
      <c r="J7722" s="86">
        <f t="shared" si="3"/>
        <v>0</v>
      </c>
      <c r="R7722" s="26"/>
    </row>
    <row r="7723" spans="1:18" ht="15.75" customHeight="1">
      <c r="A7723" s="26"/>
      <c r="B7723" s="86"/>
      <c r="D7723" s="26"/>
      <c r="F7723" s="87" t="str">
        <f t="shared" si="0"/>
        <v/>
      </c>
      <c r="H7723" s="26" t="str">
        <f t="shared" si="1"/>
        <v/>
      </c>
      <c r="I7723" s="26" t="str">
        <f t="shared" si="2"/>
        <v/>
      </c>
      <c r="J7723" s="86">
        <f t="shared" si="3"/>
        <v>0</v>
      </c>
      <c r="R7723" s="26"/>
    </row>
    <row r="7724" spans="1:18" ht="15.75" customHeight="1">
      <c r="A7724" s="26"/>
      <c r="B7724" s="86"/>
      <c r="D7724" s="26"/>
      <c r="F7724" s="87" t="str">
        <f t="shared" si="0"/>
        <v/>
      </c>
      <c r="H7724" s="26" t="str">
        <f t="shared" si="1"/>
        <v/>
      </c>
      <c r="I7724" s="26" t="str">
        <f t="shared" si="2"/>
        <v/>
      </c>
      <c r="J7724" s="86">
        <f t="shared" si="3"/>
        <v>0</v>
      </c>
      <c r="R7724" s="26"/>
    </row>
    <row r="7725" spans="1:18" ht="15.75" customHeight="1">
      <c r="A7725" s="26"/>
      <c r="B7725" s="86"/>
      <c r="D7725" s="26"/>
      <c r="F7725" s="87" t="str">
        <f t="shared" si="0"/>
        <v/>
      </c>
      <c r="H7725" s="26" t="str">
        <f t="shared" si="1"/>
        <v/>
      </c>
      <c r="I7725" s="26" t="str">
        <f t="shared" si="2"/>
        <v/>
      </c>
      <c r="J7725" s="86">
        <f t="shared" si="3"/>
        <v>0</v>
      </c>
      <c r="R7725" s="26"/>
    </row>
    <row r="7726" spans="1:18" ht="15.75" customHeight="1">
      <c r="A7726" s="26"/>
      <c r="B7726" s="86"/>
      <c r="D7726" s="26"/>
      <c r="F7726" s="87" t="str">
        <f t="shared" si="0"/>
        <v/>
      </c>
      <c r="H7726" s="26" t="str">
        <f t="shared" si="1"/>
        <v/>
      </c>
      <c r="I7726" s="26" t="str">
        <f t="shared" si="2"/>
        <v/>
      </c>
      <c r="J7726" s="86">
        <f t="shared" si="3"/>
        <v>0</v>
      </c>
      <c r="R7726" s="26"/>
    </row>
    <row r="7727" spans="1:18" ht="15.75" customHeight="1">
      <c r="A7727" s="26"/>
      <c r="B7727" s="86"/>
      <c r="D7727" s="26"/>
      <c r="F7727" s="87" t="str">
        <f t="shared" si="0"/>
        <v/>
      </c>
      <c r="H7727" s="26" t="str">
        <f t="shared" si="1"/>
        <v/>
      </c>
      <c r="I7727" s="26" t="str">
        <f t="shared" si="2"/>
        <v/>
      </c>
      <c r="J7727" s="86">
        <f t="shared" si="3"/>
        <v>0</v>
      </c>
      <c r="R7727" s="26"/>
    </row>
    <row r="7728" spans="1:18" ht="15.75" customHeight="1">
      <c r="A7728" s="26"/>
      <c r="B7728" s="86"/>
      <c r="D7728" s="26"/>
      <c r="F7728" s="87" t="str">
        <f t="shared" si="0"/>
        <v/>
      </c>
      <c r="H7728" s="26" t="str">
        <f t="shared" si="1"/>
        <v/>
      </c>
      <c r="I7728" s="26" t="str">
        <f t="shared" si="2"/>
        <v/>
      </c>
      <c r="J7728" s="86">
        <f t="shared" si="3"/>
        <v>0</v>
      </c>
      <c r="R7728" s="26"/>
    </row>
    <row r="7729" spans="1:18" ht="15.75" customHeight="1">
      <c r="A7729" s="26"/>
      <c r="B7729" s="86"/>
      <c r="D7729" s="26"/>
      <c r="F7729" s="87" t="str">
        <f t="shared" si="0"/>
        <v/>
      </c>
      <c r="H7729" s="26" t="str">
        <f t="shared" si="1"/>
        <v/>
      </c>
      <c r="I7729" s="26" t="str">
        <f t="shared" si="2"/>
        <v/>
      </c>
      <c r="J7729" s="86">
        <f t="shared" si="3"/>
        <v>0</v>
      </c>
      <c r="R7729" s="26"/>
    </row>
    <row r="7730" spans="1:18" ht="15.75" customHeight="1">
      <c r="A7730" s="26"/>
      <c r="B7730" s="86"/>
      <c r="D7730" s="26"/>
      <c r="F7730" s="87" t="str">
        <f t="shared" si="0"/>
        <v/>
      </c>
      <c r="H7730" s="26" t="str">
        <f t="shared" si="1"/>
        <v/>
      </c>
      <c r="I7730" s="26" t="str">
        <f t="shared" si="2"/>
        <v/>
      </c>
      <c r="J7730" s="86">
        <f t="shared" si="3"/>
        <v>0</v>
      </c>
      <c r="R7730" s="26"/>
    </row>
    <row r="7731" spans="1:18" ht="15.75" customHeight="1">
      <c r="A7731" s="26"/>
      <c r="B7731" s="86"/>
      <c r="D7731" s="26"/>
      <c r="F7731" s="87" t="str">
        <f t="shared" si="0"/>
        <v/>
      </c>
      <c r="H7731" s="26" t="str">
        <f t="shared" si="1"/>
        <v/>
      </c>
      <c r="I7731" s="26" t="str">
        <f t="shared" si="2"/>
        <v/>
      </c>
      <c r="J7731" s="86">
        <f t="shared" si="3"/>
        <v>0</v>
      </c>
      <c r="R7731" s="26"/>
    </row>
    <row r="7732" spans="1:18" ht="15.75" customHeight="1">
      <c r="A7732" s="26"/>
      <c r="B7732" s="86"/>
      <c r="D7732" s="26"/>
      <c r="F7732" s="87" t="str">
        <f t="shared" si="0"/>
        <v/>
      </c>
      <c r="H7732" s="26" t="str">
        <f t="shared" si="1"/>
        <v/>
      </c>
      <c r="I7732" s="26" t="str">
        <f t="shared" si="2"/>
        <v/>
      </c>
      <c r="J7732" s="86">
        <f t="shared" si="3"/>
        <v>0</v>
      </c>
      <c r="R7732" s="26"/>
    </row>
    <row r="7733" spans="1:18" ht="15.75" customHeight="1">
      <c r="A7733" s="26"/>
      <c r="B7733" s="86"/>
      <c r="D7733" s="26"/>
      <c r="F7733" s="87" t="str">
        <f t="shared" si="0"/>
        <v/>
      </c>
      <c r="H7733" s="26" t="str">
        <f t="shared" si="1"/>
        <v/>
      </c>
      <c r="I7733" s="26" t="str">
        <f t="shared" si="2"/>
        <v/>
      </c>
      <c r="J7733" s="86">
        <f t="shared" si="3"/>
        <v>0</v>
      </c>
      <c r="R7733" s="26"/>
    </row>
    <row r="7734" spans="1:18" ht="15.75" customHeight="1">
      <c r="A7734" s="26"/>
      <c r="B7734" s="86"/>
      <c r="D7734" s="26"/>
      <c r="F7734" s="87" t="str">
        <f t="shared" si="0"/>
        <v/>
      </c>
      <c r="H7734" s="26" t="str">
        <f t="shared" si="1"/>
        <v/>
      </c>
      <c r="I7734" s="26" t="str">
        <f t="shared" si="2"/>
        <v/>
      </c>
      <c r="J7734" s="86">
        <f t="shared" si="3"/>
        <v>0</v>
      </c>
      <c r="R7734" s="26"/>
    </row>
    <row r="7735" spans="1:18" ht="15.75" customHeight="1">
      <c r="A7735" s="26"/>
      <c r="B7735" s="86"/>
      <c r="D7735" s="26"/>
      <c r="F7735" s="87" t="str">
        <f t="shared" si="0"/>
        <v/>
      </c>
      <c r="H7735" s="26" t="str">
        <f t="shared" si="1"/>
        <v/>
      </c>
      <c r="I7735" s="26" t="str">
        <f t="shared" si="2"/>
        <v/>
      </c>
      <c r="J7735" s="86">
        <f t="shared" si="3"/>
        <v>0</v>
      </c>
      <c r="R7735" s="26"/>
    </row>
    <row r="7736" spans="1:18" ht="15.75" customHeight="1">
      <c r="A7736" s="26"/>
      <c r="B7736" s="86"/>
      <c r="D7736" s="26"/>
      <c r="F7736" s="87" t="str">
        <f t="shared" si="0"/>
        <v/>
      </c>
      <c r="H7736" s="26" t="str">
        <f t="shared" si="1"/>
        <v/>
      </c>
      <c r="I7736" s="26" t="str">
        <f t="shared" si="2"/>
        <v/>
      </c>
      <c r="J7736" s="86">
        <f t="shared" si="3"/>
        <v>0</v>
      </c>
      <c r="R7736" s="26"/>
    </row>
    <row r="7737" spans="1:18" ht="15.75" customHeight="1">
      <c r="A7737" s="26"/>
      <c r="B7737" s="86"/>
      <c r="D7737" s="26"/>
      <c r="F7737" s="87" t="str">
        <f t="shared" si="0"/>
        <v/>
      </c>
      <c r="H7737" s="26" t="str">
        <f t="shared" si="1"/>
        <v/>
      </c>
      <c r="I7737" s="26" t="str">
        <f t="shared" si="2"/>
        <v/>
      </c>
      <c r="J7737" s="86">
        <f t="shared" si="3"/>
        <v>0</v>
      </c>
      <c r="R7737" s="26"/>
    </row>
    <row r="7738" spans="1:18" ht="15.75" customHeight="1">
      <c r="A7738" s="26"/>
      <c r="B7738" s="86"/>
      <c r="D7738" s="26"/>
      <c r="F7738" s="87" t="str">
        <f t="shared" si="0"/>
        <v/>
      </c>
      <c r="H7738" s="26" t="str">
        <f t="shared" si="1"/>
        <v/>
      </c>
      <c r="I7738" s="26" t="str">
        <f t="shared" si="2"/>
        <v/>
      </c>
      <c r="J7738" s="86">
        <f t="shared" si="3"/>
        <v>0</v>
      </c>
      <c r="R7738" s="26"/>
    </row>
    <row r="7739" spans="1:18" ht="15.75" customHeight="1">
      <c r="A7739" s="26"/>
      <c r="B7739" s="86"/>
      <c r="D7739" s="26"/>
      <c r="F7739" s="87" t="str">
        <f t="shared" si="0"/>
        <v/>
      </c>
      <c r="H7739" s="26" t="str">
        <f t="shared" si="1"/>
        <v/>
      </c>
      <c r="I7739" s="26" t="str">
        <f t="shared" si="2"/>
        <v/>
      </c>
      <c r="J7739" s="86">
        <f t="shared" si="3"/>
        <v>0</v>
      </c>
      <c r="R7739" s="26"/>
    </row>
    <row r="7740" spans="1:18" ht="15.75" customHeight="1">
      <c r="A7740" s="26"/>
      <c r="B7740" s="86"/>
      <c r="D7740" s="26"/>
      <c r="F7740" s="87" t="str">
        <f t="shared" si="0"/>
        <v/>
      </c>
      <c r="H7740" s="26" t="str">
        <f t="shared" si="1"/>
        <v/>
      </c>
      <c r="I7740" s="26" t="str">
        <f t="shared" si="2"/>
        <v/>
      </c>
      <c r="J7740" s="86">
        <f t="shared" si="3"/>
        <v>0</v>
      </c>
      <c r="R7740" s="26"/>
    </row>
    <row r="7741" spans="1:18" ht="15.75" customHeight="1">
      <c r="A7741" s="26"/>
      <c r="B7741" s="86"/>
      <c r="D7741" s="26"/>
      <c r="F7741" s="87" t="str">
        <f t="shared" si="0"/>
        <v/>
      </c>
      <c r="H7741" s="26" t="str">
        <f t="shared" si="1"/>
        <v/>
      </c>
      <c r="I7741" s="26" t="str">
        <f t="shared" si="2"/>
        <v/>
      </c>
      <c r="J7741" s="86">
        <f t="shared" si="3"/>
        <v>0</v>
      </c>
      <c r="R7741" s="26"/>
    </row>
    <row r="7742" spans="1:18" ht="15.75" customHeight="1">
      <c r="A7742" s="26"/>
      <c r="B7742" s="86"/>
      <c r="D7742" s="26"/>
      <c r="F7742" s="87" t="str">
        <f t="shared" si="0"/>
        <v/>
      </c>
      <c r="H7742" s="26" t="str">
        <f t="shared" si="1"/>
        <v/>
      </c>
      <c r="I7742" s="26" t="str">
        <f t="shared" si="2"/>
        <v/>
      </c>
      <c r="J7742" s="86">
        <f t="shared" si="3"/>
        <v>0</v>
      </c>
      <c r="R7742" s="26"/>
    </row>
    <row r="7743" spans="1:18" ht="15.75" customHeight="1">
      <c r="A7743" s="26"/>
      <c r="B7743" s="86"/>
      <c r="D7743" s="26"/>
      <c r="F7743" s="87" t="str">
        <f t="shared" si="0"/>
        <v/>
      </c>
      <c r="H7743" s="26" t="str">
        <f t="shared" si="1"/>
        <v/>
      </c>
      <c r="I7743" s="26" t="str">
        <f t="shared" si="2"/>
        <v/>
      </c>
      <c r="J7743" s="86">
        <f t="shared" si="3"/>
        <v>0</v>
      </c>
      <c r="R7743" s="26"/>
    </row>
    <row r="7744" spans="1:18" ht="15.75" customHeight="1">
      <c r="A7744" s="26"/>
      <c r="B7744" s="86"/>
      <c r="D7744" s="26"/>
      <c r="F7744" s="87" t="str">
        <f t="shared" si="0"/>
        <v/>
      </c>
      <c r="H7744" s="26" t="str">
        <f t="shared" si="1"/>
        <v/>
      </c>
      <c r="I7744" s="26" t="str">
        <f t="shared" si="2"/>
        <v/>
      </c>
      <c r="J7744" s="86">
        <f t="shared" si="3"/>
        <v>0</v>
      </c>
      <c r="R7744" s="26"/>
    </row>
    <row r="7745" spans="1:18" ht="15.75" customHeight="1">
      <c r="A7745" s="26"/>
      <c r="B7745" s="86"/>
      <c r="D7745" s="26"/>
      <c r="F7745" s="87" t="str">
        <f t="shared" si="0"/>
        <v/>
      </c>
      <c r="H7745" s="26" t="str">
        <f t="shared" si="1"/>
        <v/>
      </c>
      <c r="I7745" s="26" t="str">
        <f t="shared" si="2"/>
        <v/>
      </c>
      <c r="J7745" s="86">
        <f t="shared" si="3"/>
        <v>0</v>
      </c>
      <c r="R7745" s="26"/>
    </row>
    <row r="7746" spans="1:18" ht="15.75" customHeight="1">
      <c r="A7746" s="26"/>
      <c r="B7746" s="86"/>
      <c r="D7746" s="26"/>
      <c r="F7746" s="87" t="str">
        <f t="shared" si="0"/>
        <v/>
      </c>
      <c r="H7746" s="26" t="str">
        <f t="shared" si="1"/>
        <v/>
      </c>
      <c r="I7746" s="26" t="str">
        <f t="shared" si="2"/>
        <v/>
      </c>
      <c r="J7746" s="86">
        <f t="shared" si="3"/>
        <v>0</v>
      </c>
      <c r="R7746" s="26"/>
    </row>
    <row r="7747" spans="1:18" ht="15.75" customHeight="1">
      <c r="A7747" s="26"/>
      <c r="B7747" s="86"/>
      <c r="D7747" s="26"/>
      <c r="F7747" s="87" t="str">
        <f t="shared" si="0"/>
        <v/>
      </c>
      <c r="H7747" s="26" t="str">
        <f t="shared" si="1"/>
        <v/>
      </c>
      <c r="I7747" s="26" t="str">
        <f t="shared" si="2"/>
        <v/>
      </c>
      <c r="J7747" s="86">
        <f t="shared" si="3"/>
        <v>0</v>
      </c>
      <c r="R7747" s="26"/>
    </row>
    <row r="7748" spans="1:18" ht="15.75" customHeight="1">
      <c r="A7748" s="26"/>
      <c r="B7748" s="86"/>
      <c r="D7748" s="26"/>
      <c r="F7748" s="87" t="str">
        <f t="shared" si="0"/>
        <v/>
      </c>
      <c r="H7748" s="26" t="str">
        <f t="shared" si="1"/>
        <v/>
      </c>
      <c r="I7748" s="26" t="str">
        <f t="shared" si="2"/>
        <v/>
      </c>
      <c r="J7748" s="86">
        <f t="shared" si="3"/>
        <v>0</v>
      </c>
      <c r="R7748" s="26"/>
    </row>
    <row r="7749" spans="1:18" ht="15.75" customHeight="1">
      <c r="A7749" s="26"/>
      <c r="B7749" s="86"/>
      <c r="D7749" s="26"/>
      <c r="F7749" s="87" t="str">
        <f t="shared" si="0"/>
        <v/>
      </c>
      <c r="H7749" s="26" t="str">
        <f t="shared" si="1"/>
        <v/>
      </c>
      <c r="I7749" s="26" t="str">
        <f t="shared" si="2"/>
        <v/>
      </c>
      <c r="J7749" s="86">
        <f t="shared" si="3"/>
        <v>0</v>
      </c>
      <c r="R7749" s="26"/>
    </row>
    <row r="7750" spans="1:18" ht="15.75" customHeight="1">
      <c r="A7750" s="26"/>
      <c r="B7750" s="86"/>
      <c r="D7750" s="26"/>
      <c r="F7750" s="87" t="str">
        <f t="shared" si="0"/>
        <v/>
      </c>
      <c r="H7750" s="26" t="str">
        <f t="shared" si="1"/>
        <v/>
      </c>
      <c r="I7750" s="26" t="str">
        <f t="shared" si="2"/>
        <v/>
      </c>
      <c r="J7750" s="86">
        <f t="shared" si="3"/>
        <v>0</v>
      </c>
      <c r="R7750" s="26"/>
    </row>
    <row r="7751" spans="1:18" ht="15.75" customHeight="1">
      <c r="A7751" s="26"/>
      <c r="B7751" s="86"/>
      <c r="D7751" s="26"/>
      <c r="F7751" s="87" t="str">
        <f t="shared" si="0"/>
        <v/>
      </c>
      <c r="H7751" s="26" t="str">
        <f t="shared" si="1"/>
        <v/>
      </c>
      <c r="I7751" s="26" t="str">
        <f t="shared" si="2"/>
        <v/>
      </c>
      <c r="J7751" s="86">
        <f t="shared" si="3"/>
        <v>0</v>
      </c>
      <c r="R7751" s="26"/>
    </row>
    <row r="7752" spans="1:18" ht="15.75" customHeight="1">
      <c r="A7752" s="26"/>
      <c r="B7752" s="86"/>
      <c r="D7752" s="26"/>
      <c r="F7752" s="87" t="str">
        <f t="shared" si="0"/>
        <v/>
      </c>
      <c r="H7752" s="26" t="str">
        <f t="shared" si="1"/>
        <v/>
      </c>
      <c r="I7752" s="26" t="str">
        <f t="shared" si="2"/>
        <v/>
      </c>
      <c r="J7752" s="86">
        <f t="shared" si="3"/>
        <v>0</v>
      </c>
      <c r="R7752" s="26"/>
    </row>
    <row r="7753" spans="1:18" ht="15.75" customHeight="1">
      <c r="A7753" s="26"/>
      <c r="B7753" s="86"/>
      <c r="D7753" s="26"/>
      <c r="F7753" s="87" t="str">
        <f t="shared" si="0"/>
        <v/>
      </c>
      <c r="H7753" s="26" t="str">
        <f t="shared" si="1"/>
        <v/>
      </c>
      <c r="I7753" s="26" t="str">
        <f t="shared" si="2"/>
        <v/>
      </c>
      <c r="J7753" s="86">
        <f t="shared" si="3"/>
        <v>0</v>
      </c>
      <c r="R7753" s="26"/>
    </row>
    <row r="7754" spans="1:18" ht="15.75" customHeight="1">
      <c r="A7754" s="26"/>
      <c r="B7754" s="86"/>
      <c r="D7754" s="26"/>
      <c r="F7754" s="87" t="str">
        <f t="shared" si="0"/>
        <v/>
      </c>
      <c r="H7754" s="26" t="str">
        <f t="shared" si="1"/>
        <v/>
      </c>
      <c r="I7754" s="26" t="str">
        <f t="shared" si="2"/>
        <v/>
      </c>
      <c r="J7754" s="86">
        <f t="shared" si="3"/>
        <v>0</v>
      </c>
      <c r="R7754" s="26"/>
    </row>
    <row r="7755" spans="1:18" ht="15.75" customHeight="1">
      <c r="A7755" s="26"/>
      <c r="B7755" s="86"/>
      <c r="D7755" s="26"/>
      <c r="F7755" s="87" t="str">
        <f t="shared" si="0"/>
        <v/>
      </c>
      <c r="H7755" s="26" t="str">
        <f t="shared" si="1"/>
        <v/>
      </c>
      <c r="I7755" s="26" t="str">
        <f t="shared" si="2"/>
        <v/>
      </c>
      <c r="J7755" s="86">
        <f t="shared" si="3"/>
        <v>0</v>
      </c>
      <c r="R7755" s="26"/>
    </row>
    <row r="7756" spans="1:18" ht="15.75" customHeight="1">
      <c r="A7756" s="26"/>
      <c r="B7756" s="86"/>
      <c r="D7756" s="26"/>
      <c r="F7756" s="87" t="str">
        <f t="shared" si="0"/>
        <v/>
      </c>
      <c r="H7756" s="26" t="str">
        <f t="shared" si="1"/>
        <v/>
      </c>
      <c r="I7756" s="26" t="str">
        <f t="shared" si="2"/>
        <v/>
      </c>
      <c r="J7756" s="86">
        <f t="shared" si="3"/>
        <v>0</v>
      </c>
      <c r="R7756" s="26"/>
    </row>
    <row r="7757" spans="1:18" ht="15.75" customHeight="1">
      <c r="A7757" s="26"/>
      <c r="B7757" s="86"/>
      <c r="D7757" s="26"/>
      <c r="F7757" s="87" t="str">
        <f t="shared" si="0"/>
        <v/>
      </c>
      <c r="H7757" s="26" t="str">
        <f t="shared" si="1"/>
        <v/>
      </c>
      <c r="I7757" s="26" t="str">
        <f t="shared" si="2"/>
        <v/>
      </c>
      <c r="J7757" s="86">
        <f t="shared" si="3"/>
        <v>0</v>
      </c>
      <c r="R7757" s="26"/>
    </row>
    <row r="7758" spans="1:18" ht="15.75" customHeight="1">
      <c r="A7758" s="26"/>
      <c r="B7758" s="86"/>
      <c r="D7758" s="26"/>
      <c r="F7758" s="87" t="str">
        <f t="shared" si="0"/>
        <v/>
      </c>
      <c r="H7758" s="26" t="str">
        <f t="shared" si="1"/>
        <v/>
      </c>
      <c r="I7758" s="26" t="str">
        <f t="shared" si="2"/>
        <v/>
      </c>
      <c r="J7758" s="86">
        <f t="shared" si="3"/>
        <v>0</v>
      </c>
      <c r="R7758" s="26"/>
    </row>
    <row r="7759" spans="1:18" ht="15.75" customHeight="1">
      <c r="A7759" s="26"/>
      <c r="B7759" s="86"/>
      <c r="D7759" s="26"/>
      <c r="F7759" s="87" t="str">
        <f t="shared" si="0"/>
        <v/>
      </c>
      <c r="H7759" s="26" t="str">
        <f t="shared" si="1"/>
        <v/>
      </c>
      <c r="I7759" s="26" t="str">
        <f t="shared" si="2"/>
        <v/>
      </c>
      <c r="J7759" s="86">
        <f t="shared" si="3"/>
        <v>0</v>
      </c>
      <c r="R7759" s="26"/>
    </row>
    <row r="7760" spans="1:18" ht="15.75" customHeight="1">
      <c r="A7760" s="26"/>
      <c r="B7760" s="86"/>
      <c r="D7760" s="26"/>
      <c r="F7760" s="87" t="str">
        <f t="shared" si="0"/>
        <v/>
      </c>
      <c r="H7760" s="26" t="str">
        <f t="shared" si="1"/>
        <v/>
      </c>
      <c r="I7760" s="26" t="str">
        <f t="shared" si="2"/>
        <v/>
      </c>
      <c r="J7760" s="86">
        <f t="shared" si="3"/>
        <v>0</v>
      </c>
      <c r="R7760" s="26"/>
    </row>
    <row r="7761" spans="1:18" ht="15.75" customHeight="1">
      <c r="A7761" s="26"/>
      <c r="B7761" s="86"/>
      <c r="D7761" s="26"/>
      <c r="F7761" s="87" t="str">
        <f t="shared" si="0"/>
        <v/>
      </c>
      <c r="H7761" s="26" t="str">
        <f t="shared" si="1"/>
        <v/>
      </c>
      <c r="I7761" s="26" t="str">
        <f t="shared" si="2"/>
        <v/>
      </c>
      <c r="J7761" s="86">
        <f t="shared" si="3"/>
        <v>0</v>
      </c>
      <c r="R7761" s="26"/>
    </row>
    <row r="7762" spans="1:18" ht="15.75" customHeight="1">
      <c r="A7762" s="26"/>
      <c r="B7762" s="86"/>
      <c r="D7762" s="26"/>
      <c r="F7762" s="87" t="str">
        <f t="shared" si="0"/>
        <v/>
      </c>
      <c r="H7762" s="26" t="str">
        <f t="shared" si="1"/>
        <v/>
      </c>
      <c r="I7762" s="26" t="str">
        <f t="shared" si="2"/>
        <v/>
      </c>
      <c r="J7762" s="86">
        <f t="shared" si="3"/>
        <v>0</v>
      </c>
      <c r="R7762" s="26"/>
    </row>
    <row r="7763" spans="1:18" ht="15.75" customHeight="1">
      <c r="A7763" s="26"/>
      <c r="B7763" s="86"/>
      <c r="D7763" s="26"/>
      <c r="F7763" s="87" t="str">
        <f t="shared" si="0"/>
        <v/>
      </c>
      <c r="H7763" s="26" t="str">
        <f t="shared" si="1"/>
        <v/>
      </c>
      <c r="I7763" s="26" t="str">
        <f t="shared" si="2"/>
        <v/>
      </c>
      <c r="J7763" s="86">
        <f t="shared" si="3"/>
        <v>0</v>
      </c>
      <c r="R7763" s="26"/>
    </row>
    <row r="7764" spans="1:18" ht="15.75" customHeight="1">
      <c r="A7764" s="26"/>
      <c r="B7764" s="86"/>
      <c r="D7764" s="26"/>
      <c r="F7764" s="87" t="str">
        <f t="shared" si="0"/>
        <v/>
      </c>
      <c r="H7764" s="26" t="str">
        <f t="shared" si="1"/>
        <v/>
      </c>
      <c r="I7764" s="26" t="str">
        <f t="shared" si="2"/>
        <v/>
      </c>
      <c r="J7764" s="86">
        <f t="shared" si="3"/>
        <v>0</v>
      </c>
      <c r="R7764" s="26"/>
    </row>
    <row r="7765" spans="1:18" ht="15.75" customHeight="1">
      <c r="A7765" s="26"/>
      <c r="B7765" s="86"/>
      <c r="D7765" s="26"/>
      <c r="F7765" s="87" t="str">
        <f t="shared" si="0"/>
        <v/>
      </c>
      <c r="H7765" s="26" t="str">
        <f t="shared" si="1"/>
        <v/>
      </c>
      <c r="I7765" s="26" t="str">
        <f t="shared" si="2"/>
        <v/>
      </c>
      <c r="J7765" s="86">
        <f t="shared" si="3"/>
        <v>0</v>
      </c>
      <c r="R7765" s="26"/>
    </row>
    <row r="7766" spans="1:18" ht="15.75" customHeight="1">
      <c r="A7766" s="26"/>
      <c r="B7766" s="86"/>
      <c r="D7766" s="26"/>
      <c r="F7766" s="87" t="str">
        <f t="shared" si="0"/>
        <v/>
      </c>
      <c r="H7766" s="26" t="str">
        <f t="shared" si="1"/>
        <v/>
      </c>
      <c r="I7766" s="26" t="str">
        <f t="shared" si="2"/>
        <v/>
      </c>
      <c r="J7766" s="86">
        <f t="shared" si="3"/>
        <v>0</v>
      </c>
      <c r="R7766" s="26"/>
    </row>
    <row r="7767" spans="1:18" ht="15.75" customHeight="1">
      <c r="A7767" s="26"/>
      <c r="B7767" s="86"/>
      <c r="D7767" s="26"/>
      <c r="F7767" s="87" t="str">
        <f t="shared" si="0"/>
        <v/>
      </c>
      <c r="H7767" s="26" t="str">
        <f t="shared" si="1"/>
        <v/>
      </c>
      <c r="I7767" s="26" t="str">
        <f t="shared" si="2"/>
        <v/>
      </c>
      <c r="J7767" s="86">
        <f t="shared" si="3"/>
        <v>0</v>
      </c>
      <c r="R7767" s="26"/>
    </row>
    <row r="7768" spans="1:18" ht="15.75" customHeight="1">
      <c r="A7768" s="26"/>
      <c r="B7768" s="86"/>
      <c r="D7768" s="26"/>
      <c r="F7768" s="87" t="str">
        <f t="shared" si="0"/>
        <v/>
      </c>
      <c r="H7768" s="26" t="str">
        <f t="shared" si="1"/>
        <v/>
      </c>
      <c r="I7768" s="26" t="str">
        <f t="shared" si="2"/>
        <v/>
      </c>
      <c r="J7768" s="86">
        <f t="shared" si="3"/>
        <v>0</v>
      </c>
      <c r="R7768" s="26"/>
    </row>
    <row r="7769" spans="1:18" ht="15.75" customHeight="1">
      <c r="A7769" s="26"/>
      <c r="B7769" s="86"/>
      <c r="D7769" s="26"/>
      <c r="F7769" s="87" t="str">
        <f t="shared" si="0"/>
        <v/>
      </c>
      <c r="H7769" s="26" t="str">
        <f t="shared" si="1"/>
        <v/>
      </c>
      <c r="I7769" s="26" t="str">
        <f t="shared" si="2"/>
        <v/>
      </c>
      <c r="J7769" s="86">
        <f t="shared" si="3"/>
        <v>0</v>
      </c>
      <c r="R7769" s="26"/>
    </row>
    <row r="7770" spans="1:18" ht="15.75" customHeight="1">
      <c r="A7770" s="26"/>
      <c r="B7770" s="86"/>
      <c r="D7770" s="26"/>
      <c r="F7770" s="87" t="str">
        <f t="shared" si="0"/>
        <v/>
      </c>
      <c r="H7770" s="26" t="str">
        <f t="shared" si="1"/>
        <v/>
      </c>
      <c r="I7770" s="26" t="str">
        <f t="shared" si="2"/>
        <v/>
      </c>
      <c r="J7770" s="86">
        <f t="shared" si="3"/>
        <v>0</v>
      </c>
      <c r="R7770" s="26"/>
    </row>
    <row r="7771" spans="1:18" ht="15.75" customHeight="1">
      <c r="A7771" s="26"/>
      <c r="B7771" s="86"/>
      <c r="D7771" s="26"/>
      <c r="F7771" s="87" t="str">
        <f t="shared" si="0"/>
        <v/>
      </c>
      <c r="H7771" s="26" t="str">
        <f t="shared" si="1"/>
        <v/>
      </c>
      <c r="I7771" s="26" t="str">
        <f t="shared" si="2"/>
        <v/>
      </c>
      <c r="J7771" s="86">
        <f t="shared" si="3"/>
        <v>0</v>
      </c>
      <c r="R7771" s="26"/>
    </row>
    <row r="7772" spans="1:18" ht="15.75" customHeight="1">
      <c r="A7772" s="26"/>
      <c r="B7772" s="86"/>
      <c r="D7772" s="26"/>
      <c r="F7772" s="87" t="str">
        <f t="shared" si="0"/>
        <v/>
      </c>
      <c r="H7772" s="26" t="str">
        <f t="shared" si="1"/>
        <v/>
      </c>
      <c r="I7772" s="26" t="str">
        <f t="shared" si="2"/>
        <v/>
      </c>
      <c r="J7772" s="86">
        <f t="shared" si="3"/>
        <v>0</v>
      </c>
      <c r="R7772" s="26"/>
    </row>
    <row r="7773" spans="1:18" ht="15.75" customHeight="1">
      <c r="A7773" s="26"/>
      <c r="B7773" s="86"/>
      <c r="D7773" s="26"/>
      <c r="F7773" s="87" t="str">
        <f t="shared" si="0"/>
        <v/>
      </c>
      <c r="H7773" s="26" t="str">
        <f t="shared" si="1"/>
        <v/>
      </c>
      <c r="I7773" s="26" t="str">
        <f t="shared" si="2"/>
        <v/>
      </c>
      <c r="J7773" s="86">
        <f t="shared" si="3"/>
        <v>0</v>
      </c>
      <c r="R7773" s="26"/>
    </row>
    <row r="7774" spans="1:18" ht="15.75" customHeight="1">
      <c r="A7774" s="26"/>
      <c r="B7774" s="86"/>
      <c r="D7774" s="26"/>
      <c r="F7774" s="87" t="str">
        <f t="shared" si="0"/>
        <v/>
      </c>
      <c r="H7774" s="26" t="str">
        <f t="shared" si="1"/>
        <v/>
      </c>
      <c r="I7774" s="26" t="str">
        <f t="shared" si="2"/>
        <v/>
      </c>
      <c r="J7774" s="86">
        <f t="shared" si="3"/>
        <v>0</v>
      </c>
      <c r="R7774" s="26"/>
    </row>
    <row r="7775" spans="1:18" ht="15.75" customHeight="1">
      <c r="A7775" s="26"/>
      <c r="B7775" s="86"/>
      <c r="D7775" s="26"/>
      <c r="F7775" s="87" t="str">
        <f t="shared" si="0"/>
        <v/>
      </c>
      <c r="H7775" s="26" t="str">
        <f t="shared" si="1"/>
        <v/>
      </c>
      <c r="I7775" s="26" t="str">
        <f t="shared" si="2"/>
        <v/>
      </c>
      <c r="J7775" s="86">
        <f t="shared" si="3"/>
        <v>0</v>
      </c>
      <c r="R7775" s="26"/>
    </row>
    <row r="7776" spans="1:18" ht="15.75" customHeight="1">
      <c r="A7776" s="26"/>
      <c r="B7776" s="86"/>
      <c r="D7776" s="26"/>
      <c r="F7776" s="87" t="str">
        <f t="shared" si="0"/>
        <v/>
      </c>
      <c r="H7776" s="26" t="str">
        <f t="shared" si="1"/>
        <v/>
      </c>
      <c r="I7776" s="26" t="str">
        <f t="shared" si="2"/>
        <v/>
      </c>
      <c r="J7776" s="86">
        <f t="shared" si="3"/>
        <v>0</v>
      </c>
      <c r="R7776" s="26"/>
    </row>
    <row r="7777" spans="1:18" ht="15.75" customHeight="1">
      <c r="A7777" s="26"/>
      <c r="B7777" s="86"/>
      <c r="D7777" s="26"/>
      <c r="F7777" s="87" t="str">
        <f t="shared" si="0"/>
        <v/>
      </c>
      <c r="H7777" s="26" t="str">
        <f t="shared" si="1"/>
        <v/>
      </c>
      <c r="I7777" s="26" t="str">
        <f t="shared" si="2"/>
        <v/>
      </c>
      <c r="J7777" s="86">
        <f t="shared" si="3"/>
        <v>0</v>
      </c>
      <c r="R7777" s="26"/>
    </row>
    <row r="7778" spans="1:18" ht="15.75" customHeight="1">
      <c r="A7778" s="26"/>
      <c r="B7778" s="86"/>
      <c r="D7778" s="26"/>
      <c r="F7778" s="87" t="str">
        <f t="shared" si="0"/>
        <v/>
      </c>
      <c r="H7778" s="26" t="str">
        <f t="shared" si="1"/>
        <v/>
      </c>
      <c r="I7778" s="26" t="str">
        <f t="shared" si="2"/>
        <v/>
      </c>
      <c r="J7778" s="86">
        <f t="shared" si="3"/>
        <v>0</v>
      </c>
      <c r="R7778" s="26"/>
    </row>
    <row r="7779" spans="1:18" ht="15.75" customHeight="1">
      <c r="A7779" s="26"/>
      <c r="B7779" s="86"/>
      <c r="D7779" s="26"/>
      <c r="F7779" s="87" t="str">
        <f t="shared" si="0"/>
        <v/>
      </c>
      <c r="H7779" s="26" t="str">
        <f t="shared" si="1"/>
        <v/>
      </c>
      <c r="I7779" s="26" t="str">
        <f t="shared" si="2"/>
        <v/>
      </c>
      <c r="J7779" s="86">
        <f t="shared" si="3"/>
        <v>0</v>
      </c>
      <c r="R7779" s="26"/>
    </row>
    <row r="7780" spans="1:18" ht="15.75" customHeight="1">
      <c r="A7780" s="26"/>
      <c r="B7780" s="86"/>
      <c r="D7780" s="26"/>
      <c r="F7780" s="87" t="str">
        <f t="shared" si="0"/>
        <v/>
      </c>
      <c r="H7780" s="26" t="str">
        <f t="shared" si="1"/>
        <v/>
      </c>
      <c r="I7780" s="26" t="str">
        <f t="shared" si="2"/>
        <v/>
      </c>
      <c r="J7780" s="86">
        <f t="shared" si="3"/>
        <v>0</v>
      </c>
      <c r="R7780" s="26"/>
    </row>
    <row r="7781" spans="1:18" ht="15.75" customHeight="1">
      <c r="A7781" s="26"/>
      <c r="B7781" s="86"/>
      <c r="D7781" s="26"/>
      <c r="F7781" s="87" t="str">
        <f t="shared" si="0"/>
        <v/>
      </c>
      <c r="H7781" s="26" t="str">
        <f t="shared" si="1"/>
        <v/>
      </c>
      <c r="I7781" s="26" t="str">
        <f t="shared" si="2"/>
        <v/>
      </c>
      <c r="J7781" s="86">
        <f t="shared" si="3"/>
        <v>0</v>
      </c>
      <c r="R7781" s="26"/>
    </row>
    <row r="7782" spans="1:18" ht="15.75" customHeight="1">
      <c r="A7782" s="26"/>
      <c r="B7782" s="86"/>
      <c r="D7782" s="26"/>
      <c r="F7782" s="87" t="str">
        <f t="shared" si="0"/>
        <v/>
      </c>
      <c r="H7782" s="26" t="str">
        <f t="shared" si="1"/>
        <v/>
      </c>
      <c r="I7782" s="26" t="str">
        <f t="shared" si="2"/>
        <v/>
      </c>
      <c r="J7782" s="86">
        <f t="shared" si="3"/>
        <v>0</v>
      </c>
      <c r="R7782" s="26"/>
    </row>
    <row r="7783" spans="1:18" ht="15.75" customHeight="1">
      <c r="A7783" s="26"/>
      <c r="B7783" s="86"/>
      <c r="D7783" s="26"/>
      <c r="F7783" s="87" t="str">
        <f t="shared" si="0"/>
        <v/>
      </c>
      <c r="H7783" s="26" t="str">
        <f t="shared" si="1"/>
        <v/>
      </c>
      <c r="I7783" s="26" t="str">
        <f t="shared" si="2"/>
        <v/>
      </c>
      <c r="J7783" s="86">
        <f t="shared" si="3"/>
        <v>0</v>
      </c>
      <c r="R7783" s="26"/>
    </row>
    <row r="7784" spans="1:18" ht="15.75" customHeight="1">
      <c r="A7784" s="26"/>
      <c r="B7784" s="86"/>
      <c r="D7784" s="26"/>
      <c r="F7784" s="87" t="str">
        <f t="shared" si="0"/>
        <v/>
      </c>
      <c r="H7784" s="26" t="str">
        <f t="shared" si="1"/>
        <v/>
      </c>
      <c r="I7784" s="26" t="str">
        <f t="shared" si="2"/>
        <v/>
      </c>
      <c r="J7784" s="86">
        <f t="shared" si="3"/>
        <v>0</v>
      </c>
      <c r="R7784" s="26"/>
    </row>
    <row r="7785" spans="1:18" ht="15.75" customHeight="1">
      <c r="A7785" s="26"/>
      <c r="B7785" s="86"/>
      <c r="D7785" s="26"/>
      <c r="F7785" s="87" t="str">
        <f t="shared" si="0"/>
        <v/>
      </c>
      <c r="H7785" s="26" t="str">
        <f t="shared" si="1"/>
        <v/>
      </c>
      <c r="I7785" s="26" t="str">
        <f t="shared" si="2"/>
        <v/>
      </c>
      <c r="J7785" s="86">
        <f t="shared" si="3"/>
        <v>0</v>
      </c>
      <c r="R7785" s="26"/>
    </row>
    <row r="7786" spans="1:18" ht="15.75" customHeight="1">
      <c r="A7786" s="26"/>
      <c r="B7786" s="86"/>
      <c r="D7786" s="26"/>
      <c r="F7786" s="87" t="str">
        <f t="shared" si="0"/>
        <v/>
      </c>
      <c r="H7786" s="26" t="str">
        <f t="shared" si="1"/>
        <v/>
      </c>
      <c r="I7786" s="26" t="str">
        <f t="shared" si="2"/>
        <v/>
      </c>
      <c r="J7786" s="86">
        <f t="shared" si="3"/>
        <v>0</v>
      </c>
      <c r="R7786" s="26"/>
    </row>
    <row r="7787" spans="1:18" ht="15.75" customHeight="1">
      <c r="A7787" s="26"/>
      <c r="B7787" s="86"/>
      <c r="D7787" s="26"/>
      <c r="F7787" s="87" t="str">
        <f t="shared" si="0"/>
        <v/>
      </c>
      <c r="H7787" s="26" t="str">
        <f t="shared" si="1"/>
        <v/>
      </c>
      <c r="I7787" s="26" t="str">
        <f t="shared" si="2"/>
        <v/>
      </c>
      <c r="J7787" s="86">
        <f t="shared" si="3"/>
        <v>0</v>
      </c>
      <c r="R7787" s="26"/>
    </row>
    <row r="7788" spans="1:18" ht="15.75" customHeight="1">
      <c r="A7788" s="26"/>
      <c r="B7788" s="86"/>
      <c r="D7788" s="26"/>
      <c r="F7788" s="87" t="str">
        <f t="shared" si="0"/>
        <v/>
      </c>
      <c r="H7788" s="26" t="str">
        <f t="shared" si="1"/>
        <v/>
      </c>
      <c r="I7788" s="26" t="str">
        <f t="shared" si="2"/>
        <v/>
      </c>
      <c r="J7788" s="86">
        <f t="shared" si="3"/>
        <v>0</v>
      </c>
      <c r="R7788" s="26"/>
    </row>
    <row r="7789" spans="1:18" ht="15.75" customHeight="1">
      <c r="A7789" s="26"/>
      <c r="B7789" s="86"/>
      <c r="D7789" s="26"/>
      <c r="F7789" s="87" t="str">
        <f t="shared" si="0"/>
        <v/>
      </c>
      <c r="H7789" s="26" t="str">
        <f t="shared" si="1"/>
        <v/>
      </c>
      <c r="I7789" s="26" t="str">
        <f t="shared" si="2"/>
        <v/>
      </c>
      <c r="J7789" s="86">
        <f t="shared" si="3"/>
        <v>0</v>
      </c>
      <c r="R7789" s="26"/>
    </row>
    <row r="7790" spans="1:18" ht="15.75" customHeight="1">
      <c r="A7790" s="26"/>
      <c r="B7790" s="86"/>
      <c r="D7790" s="26"/>
      <c r="F7790" s="87" t="str">
        <f t="shared" si="0"/>
        <v/>
      </c>
      <c r="H7790" s="26" t="str">
        <f t="shared" si="1"/>
        <v/>
      </c>
      <c r="I7790" s="26" t="str">
        <f t="shared" si="2"/>
        <v/>
      </c>
      <c r="J7790" s="86">
        <f t="shared" si="3"/>
        <v>0</v>
      </c>
      <c r="R7790" s="26"/>
    </row>
    <row r="7791" spans="1:18" ht="15.75" customHeight="1">
      <c r="A7791" s="26"/>
      <c r="B7791" s="86"/>
      <c r="D7791" s="26"/>
      <c r="F7791" s="87" t="str">
        <f t="shared" si="0"/>
        <v/>
      </c>
      <c r="H7791" s="26" t="str">
        <f t="shared" si="1"/>
        <v/>
      </c>
      <c r="I7791" s="26" t="str">
        <f t="shared" si="2"/>
        <v/>
      </c>
      <c r="J7791" s="86">
        <f t="shared" si="3"/>
        <v>0</v>
      </c>
      <c r="R7791" s="26"/>
    </row>
    <row r="7792" spans="1:18" ht="15.75" customHeight="1">
      <c r="A7792" s="26"/>
      <c r="B7792" s="86"/>
      <c r="D7792" s="26"/>
      <c r="F7792" s="87" t="str">
        <f t="shared" si="0"/>
        <v/>
      </c>
      <c r="H7792" s="26" t="str">
        <f t="shared" si="1"/>
        <v/>
      </c>
      <c r="I7792" s="26" t="str">
        <f t="shared" si="2"/>
        <v/>
      </c>
      <c r="J7792" s="86">
        <f t="shared" si="3"/>
        <v>0</v>
      </c>
      <c r="R7792" s="26"/>
    </row>
    <row r="7793" spans="1:18" ht="15.75" customHeight="1">
      <c r="A7793" s="26"/>
      <c r="B7793" s="86"/>
      <c r="D7793" s="26"/>
      <c r="F7793" s="87" t="str">
        <f t="shared" si="0"/>
        <v/>
      </c>
      <c r="H7793" s="26" t="str">
        <f t="shared" si="1"/>
        <v/>
      </c>
      <c r="I7793" s="26" t="str">
        <f t="shared" si="2"/>
        <v/>
      </c>
      <c r="J7793" s="86">
        <f t="shared" si="3"/>
        <v>0</v>
      </c>
      <c r="R7793" s="26"/>
    </row>
    <row r="7794" spans="1:18" ht="15.75" customHeight="1">
      <c r="A7794" s="26"/>
      <c r="B7794" s="86"/>
      <c r="D7794" s="26"/>
      <c r="F7794" s="87" t="str">
        <f t="shared" si="0"/>
        <v/>
      </c>
      <c r="H7794" s="26" t="str">
        <f t="shared" si="1"/>
        <v/>
      </c>
      <c r="I7794" s="26" t="str">
        <f t="shared" si="2"/>
        <v/>
      </c>
      <c r="J7794" s="86">
        <f t="shared" si="3"/>
        <v>0</v>
      </c>
      <c r="R7794" s="26"/>
    </row>
    <row r="7795" spans="1:18" ht="15.75" customHeight="1">
      <c r="A7795" s="26"/>
      <c r="B7795" s="86"/>
      <c r="D7795" s="26"/>
      <c r="F7795" s="87" t="str">
        <f t="shared" si="0"/>
        <v/>
      </c>
      <c r="H7795" s="26" t="str">
        <f t="shared" si="1"/>
        <v/>
      </c>
      <c r="I7795" s="26" t="str">
        <f t="shared" si="2"/>
        <v/>
      </c>
      <c r="J7795" s="86">
        <f t="shared" si="3"/>
        <v>0</v>
      </c>
      <c r="R7795" s="26"/>
    </row>
    <row r="7796" spans="1:18" ht="15.75" customHeight="1">
      <c r="A7796" s="26"/>
      <c r="B7796" s="86"/>
      <c r="D7796" s="26"/>
      <c r="F7796" s="87" t="str">
        <f t="shared" si="0"/>
        <v/>
      </c>
      <c r="H7796" s="26" t="str">
        <f t="shared" si="1"/>
        <v/>
      </c>
      <c r="I7796" s="26" t="str">
        <f t="shared" si="2"/>
        <v/>
      </c>
      <c r="J7796" s="86">
        <f t="shared" si="3"/>
        <v>0</v>
      </c>
      <c r="R7796" s="26"/>
    </row>
    <row r="7797" spans="1:18" ht="15.75" customHeight="1">
      <c r="A7797" s="26"/>
      <c r="B7797" s="86"/>
      <c r="D7797" s="26"/>
      <c r="F7797" s="87" t="str">
        <f t="shared" si="0"/>
        <v/>
      </c>
      <c r="H7797" s="26" t="str">
        <f t="shared" si="1"/>
        <v/>
      </c>
      <c r="I7797" s="26" t="str">
        <f t="shared" si="2"/>
        <v/>
      </c>
      <c r="J7797" s="86">
        <f t="shared" si="3"/>
        <v>0</v>
      </c>
      <c r="R7797" s="26"/>
    </row>
    <row r="7798" spans="1:18" ht="15.75" customHeight="1">
      <c r="A7798" s="26"/>
      <c r="B7798" s="86"/>
      <c r="D7798" s="26"/>
      <c r="F7798" s="87" t="str">
        <f t="shared" si="0"/>
        <v/>
      </c>
      <c r="H7798" s="26" t="str">
        <f t="shared" si="1"/>
        <v/>
      </c>
      <c r="I7798" s="26" t="str">
        <f t="shared" si="2"/>
        <v/>
      </c>
      <c r="J7798" s="86">
        <f t="shared" si="3"/>
        <v>0</v>
      </c>
      <c r="R7798" s="26"/>
    </row>
    <row r="7799" spans="1:18" ht="15.75" customHeight="1">
      <c r="A7799" s="26"/>
      <c r="B7799" s="86"/>
      <c r="D7799" s="26"/>
      <c r="F7799" s="87" t="str">
        <f t="shared" si="0"/>
        <v/>
      </c>
      <c r="H7799" s="26" t="str">
        <f t="shared" si="1"/>
        <v/>
      </c>
      <c r="I7799" s="26" t="str">
        <f t="shared" si="2"/>
        <v/>
      </c>
      <c r="J7799" s="86">
        <f t="shared" si="3"/>
        <v>0</v>
      </c>
      <c r="R7799" s="26"/>
    </row>
    <row r="7800" spans="1:18" ht="15.75" customHeight="1">
      <c r="A7800" s="26"/>
      <c r="B7800" s="86"/>
      <c r="D7800" s="26"/>
      <c r="F7800" s="87" t="str">
        <f t="shared" si="0"/>
        <v/>
      </c>
      <c r="H7800" s="26" t="str">
        <f t="shared" si="1"/>
        <v/>
      </c>
      <c r="I7800" s="26" t="str">
        <f t="shared" si="2"/>
        <v/>
      </c>
      <c r="J7800" s="86">
        <f t="shared" si="3"/>
        <v>0</v>
      </c>
      <c r="R7800" s="26"/>
    </row>
    <row r="7801" spans="1:18" ht="15.75" customHeight="1">
      <c r="A7801" s="26"/>
      <c r="B7801" s="86"/>
      <c r="D7801" s="26"/>
      <c r="F7801" s="87" t="str">
        <f t="shared" si="0"/>
        <v/>
      </c>
      <c r="H7801" s="26" t="str">
        <f t="shared" si="1"/>
        <v/>
      </c>
      <c r="I7801" s="26" t="str">
        <f t="shared" si="2"/>
        <v/>
      </c>
      <c r="J7801" s="86">
        <f t="shared" si="3"/>
        <v>0</v>
      </c>
      <c r="R7801" s="26"/>
    </row>
    <row r="7802" spans="1:18" ht="15.75" customHeight="1">
      <c r="A7802" s="26"/>
      <c r="B7802" s="86"/>
      <c r="D7802" s="26"/>
      <c r="F7802" s="87" t="str">
        <f t="shared" si="0"/>
        <v/>
      </c>
      <c r="H7802" s="26" t="str">
        <f t="shared" si="1"/>
        <v/>
      </c>
      <c r="I7802" s="26" t="str">
        <f t="shared" si="2"/>
        <v/>
      </c>
      <c r="J7802" s="86">
        <f t="shared" si="3"/>
        <v>0</v>
      </c>
      <c r="R7802" s="26"/>
    </row>
    <row r="7803" spans="1:18" ht="15.75" customHeight="1">
      <c r="A7803" s="26"/>
      <c r="B7803" s="86"/>
      <c r="D7803" s="26"/>
      <c r="F7803" s="87" t="str">
        <f t="shared" si="0"/>
        <v/>
      </c>
      <c r="H7803" s="26" t="str">
        <f t="shared" si="1"/>
        <v/>
      </c>
      <c r="I7803" s="26" t="str">
        <f t="shared" si="2"/>
        <v/>
      </c>
      <c r="J7803" s="86">
        <f t="shared" si="3"/>
        <v>0</v>
      </c>
      <c r="R7803" s="26"/>
    </row>
    <row r="7804" spans="1:18" ht="15.75" customHeight="1">
      <c r="A7804" s="26"/>
      <c r="B7804" s="86"/>
      <c r="D7804" s="26"/>
      <c r="F7804" s="87" t="str">
        <f t="shared" si="0"/>
        <v/>
      </c>
      <c r="H7804" s="26" t="str">
        <f t="shared" si="1"/>
        <v/>
      </c>
      <c r="I7804" s="26" t="str">
        <f t="shared" si="2"/>
        <v/>
      </c>
      <c r="J7804" s="86">
        <f t="shared" si="3"/>
        <v>0</v>
      </c>
      <c r="R7804" s="26"/>
    </row>
    <row r="7805" spans="1:18" ht="15.75" customHeight="1">
      <c r="A7805" s="26"/>
      <c r="B7805" s="86"/>
      <c r="D7805" s="26"/>
      <c r="F7805" s="87" t="str">
        <f t="shared" si="0"/>
        <v/>
      </c>
      <c r="H7805" s="26" t="str">
        <f t="shared" si="1"/>
        <v/>
      </c>
      <c r="I7805" s="26" t="str">
        <f t="shared" si="2"/>
        <v/>
      </c>
      <c r="J7805" s="86">
        <f t="shared" si="3"/>
        <v>0</v>
      </c>
      <c r="R7805" s="26"/>
    </row>
    <row r="7806" spans="1:18" ht="15.75" customHeight="1">
      <c r="A7806" s="26"/>
      <c r="B7806" s="86"/>
      <c r="D7806" s="26"/>
      <c r="F7806" s="87" t="str">
        <f t="shared" si="0"/>
        <v/>
      </c>
      <c r="H7806" s="26" t="str">
        <f t="shared" si="1"/>
        <v/>
      </c>
      <c r="I7806" s="26" t="str">
        <f t="shared" si="2"/>
        <v/>
      </c>
      <c r="J7806" s="86">
        <f t="shared" si="3"/>
        <v>0</v>
      </c>
      <c r="R7806" s="26"/>
    </row>
    <row r="7807" spans="1:18" ht="15.75" customHeight="1">
      <c r="A7807" s="26"/>
      <c r="B7807" s="86"/>
      <c r="D7807" s="26"/>
      <c r="F7807" s="87" t="str">
        <f t="shared" si="0"/>
        <v/>
      </c>
      <c r="H7807" s="26" t="str">
        <f t="shared" si="1"/>
        <v/>
      </c>
      <c r="I7807" s="26" t="str">
        <f t="shared" si="2"/>
        <v/>
      </c>
      <c r="J7807" s="86">
        <f t="shared" si="3"/>
        <v>0</v>
      </c>
      <c r="R7807" s="26"/>
    </row>
    <row r="7808" spans="1:18" ht="15.75" customHeight="1">
      <c r="A7808" s="26"/>
      <c r="B7808" s="86"/>
      <c r="D7808" s="26"/>
      <c r="F7808" s="87" t="str">
        <f t="shared" si="0"/>
        <v/>
      </c>
      <c r="H7808" s="26" t="str">
        <f t="shared" si="1"/>
        <v/>
      </c>
      <c r="I7808" s="26" t="str">
        <f t="shared" si="2"/>
        <v/>
      </c>
      <c r="J7808" s="86">
        <f t="shared" si="3"/>
        <v>0</v>
      </c>
      <c r="R7808" s="26"/>
    </row>
    <row r="7809" spans="1:18" ht="15.75" customHeight="1">
      <c r="A7809" s="26"/>
      <c r="B7809" s="86"/>
      <c r="D7809" s="26"/>
      <c r="F7809" s="87" t="str">
        <f t="shared" si="0"/>
        <v/>
      </c>
      <c r="H7809" s="26" t="str">
        <f t="shared" si="1"/>
        <v/>
      </c>
      <c r="I7809" s="26" t="str">
        <f t="shared" si="2"/>
        <v/>
      </c>
      <c r="J7809" s="86">
        <f t="shared" si="3"/>
        <v>0</v>
      </c>
      <c r="R7809" s="26"/>
    </row>
    <row r="7810" spans="1:18" ht="15.75" customHeight="1">
      <c r="A7810" s="26"/>
      <c r="B7810" s="86"/>
      <c r="D7810" s="26"/>
      <c r="F7810" s="87" t="str">
        <f t="shared" si="0"/>
        <v/>
      </c>
      <c r="H7810" s="26" t="str">
        <f t="shared" si="1"/>
        <v/>
      </c>
      <c r="I7810" s="26" t="str">
        <f t="shared" si="2"/>
        <v/>
      </c>
      <c r="J7810" s="86">
        <f t="shared" si="3"/>
        <v>0</v>
      </c>
      <c r="R7810" s="26"/>
    </row>
    <row r="7811" spans="1:18" ht="15.75" customHeight="1">
      <c r="A7811" s="26"/>
      <c r="B7811" s="86"/>
      <c r="D7811" s="26"/>
      <c r="F7811" s="87" t="str">
        <f t="shared" si="0"/>
        <v/>
      </c>
      <c r="H7811" s="26" t="str">
        <f t="shared" si="1"/>
        <v/>
      </c>
      <c r="I7811" s="26" t="str">
        <f t="shared" si="2"/>
        <v/>
      </c>
      <c r="J7811" s="86">
        <f t="shared" si="3"/>
        <v>0</v>
      </c>
      <c r="R7811" s="26"/>
    </row>
    <row r="7812" spans="1:18" ht="15.75" customHeight="1">
      <c r="A7812" s="26"/>
      <c r="B7812" s="86"/>
      <c r="D7812" s="26"/>
      <c r="F7812" s="87" t="str">
        <f t="shared" si="0"/>
        <v/>
      </c>
      <c r="H7812" s="26" t="str">
        <f t="shared" si="1"/>
        <v/>
      </c>
      <c r="I7812" s="26" t="str">
        <f t="shared" si="2"/>
        <v/>
      </c>
      <c r="J7812" s="86">
        <f t="shared" si="3"/>
        <v>0</v>
      </c>
      <c r="R7812" s="26"/>
    </row>
    <row r="7813" spans="1:18" ht="15.75" customHeight="1">
      <c r="A7813" s="26"/>
      <c r="B7813" s="86"/>
      <c r="D7813" s="26"/>
      <c r="F7813" s="87" t="str">
        <f t="shared" si="0"/>
        <v/>
      </c>
      <c r="H7813" s="26" t="str">
        <f t="shared" si="1"/>
        <v/>
      </c>
      <c r="I7813" s="26" t="str">
        <f t="shared" si="2"/>
        <v/>
      </c>
      <c r="J7813" s="86">
        <f t="shared" si="3"/>
        <v>0</v>
      </c>
      <c r="R7813" s="26"/>
    </row>
    <row r="7814" spans="1:18" ht="15.75" customHeight="1">
      <c r="A7814" s="26"/>
      <c r="B7814" s="86"/>
      <c r="D7814" s="26"/>
      <c r="F7814" s="87" t="str">
        <f t="shared" si="0"/>
        <v/>
      </c>
      <c r="H7814" s="26" t="str">
        <f t="shared" si="1"/>
        <v/>
      </c>
      <c r="I7814" s="26" t="str">
        <f t="shared" si="2"/>
        <v/>
      </c>
      <c r="J7814" s="86">
        <f t="shared" si="3"/>
        <v>0</v>
      </c>
      <c r="R7814" s="26"/>
    </row>
    <row r="7815" spans="1:18" ht="15.75" customHeight="1">
      <c r="A7815" s="26"/>
      <c r="B7815" s="86"/>
      <c r="D7815" s="26"/>
      <c r="F7815" s="87" t="str">
        <f t="shared" si="0"/>
        <v/>
      </c>
      <c r="H7815" s="26" t="str">
        <f t="shared" si="1"/>
        <v/>
      </c>
      <c r="I7815" s="26" t="str">
        <f t="shared" si="2"/>
        <v/>
      </c>
      <c r="J7815" s="86">
        <f t="shared" si="3"/>
        <v>0</v>
      </c>
      <c r="R7815" s="26"/>
    </row>
    <row r="7816" spans="1:18" ht="15.75" customHeight="1">
      <c r="A7816" s="26"/>
      <c r="B7816" s="86"/>
      <c r="D7816" s="26"/>
      <c r="F7816" s="87" t="str">
        <f t="shared" si="0"/>
        <v/>
      </c>
      <c r="H7816" s="26" t="str">
        <f t="shared" si="1"/>
        <v/>
      </c>
      <c r="I7816" s="26" t="str">
        <f t="shared" si="2"/>
        <v/>
      </c>
      <c r="J7816" s="86">
        <f t="shared" si="3"/>
        <v>0</v>
      </c>
      <c r="R7816" s="26"/>
    </row>
    <row r="7817" spans="1:18" ht="15.75" customHeight="1">
      <c r="A7817" s="26"/>
      <c r="B7817" s="86"/>
      <c r="D7817" s="26"/>
      <c r="F7817" s="87" t="str">
        <f t="shared" si="0"/>
        <v/>
      </c>
      <c r="H7817" s="26" t="str">
        <f t="shared" si="1"/>
        <v/>
      </c>
      <c r="I7817" s="26" t="str">
        <f t="shared" si="2"/>
        <v/>
      </c>
      <c r="J7817" s="86">
        <f t="shared" si="3"/>
        <v>0</v>
      </c>
      <c r="R7817" s="26"/>
    </row>
    <row r="7818" spans="1:18" ht="15.75" customHeight="1">
      <c r="A7818" s="26"/>
      <c r="B7818" s="86"/>
      <c r="D7818" s="26"/>
      <c r="F7818" s="87" t="str">
        <f t="shared" si="0"/>
        <v/>
      </c>
      <c r="H7818" s="26" t="str">
        <f t="shared" si="1"/>
        <v/>
      </c>
      <c r="I7818" s="26" t="str">
        <f t="shared" si="2"/>
        <v/>
      </c>
      <c r="J7818" s="86">
        <f t="shared" si="3"/>
        <v>0</v>
      </c>
      <c r="R7818" s="26"/>
    </row>
    <row r="7819" spans="1:18" ht="15.75" customHeight="1">
      <c r="A7819" s="26"/>
      <c r="B7819" s="86"/>
      <c r="D7819" s="26"/>
      <c r="F7819" s="87" t="str">
        <f t="shared" si="0"/>
        <v/>
      </c>
      <c r="H7819" s="26" t="str">
        <f t="shared" si="1"/>
        <v/>
      </c>
      <c r="I7819" s="26" t="str">
        <f t="shared" si="2"/>
        <v/>
      </c>
      <c r="J7819" s="86">
        <f t="shared" si="3"/>
        <v>0</v>
      </c>
      <c r="R7819" s="26"/>
    </row>
    <row r="7820" spans="1:18" ht="15.75" customHeight="1">
      <c r="A7820" s="26"/>
      <c r="B7820" s="86"/>
      <c r="D7820" s="26"/>
      <c r="F7820" s="87" t="str">
        <f t="shared" si="0"/>
        <v/>
      </c>
      <c r="H7820" s="26" t="str">
        <f t="shared" si="1"/>
        <v/>
      </c>
      <c r="I7820" s="26" t="str">
        <f t="shared" si="2"/>
        <v/>
      </c>
      <c r="J7820" s="86">
        <f t="shared" si="3"/>
        <v>0</v>
      </c>
      <c r="R7820" s="26"/>
    </row>
    <row r="7821" spans="1:18" ht="15.75" customHeight="1">
      <c r="A7821" s="26"/>
      <c r="B7821" s="86"/>
      <c r="D7821" s="26"/>
      <c r="F7821" s="87" t="str">
        <f t="shared" si="0"/>
        <v/>
      </c>
      <c r="H7821" s="26" t="str">
        <f t="shared" si="1"/>
        <v/>
      </c>
      <c r="I7821" s="26" t="str">
        <f t="shared" si="2"/>
        <v/>
      </c>
      <c r="J7821" s="86">
        <f t="shared" si="3"/>
        <v>0</v>
      </c>
      <c r="R7821" s="26"/>
    </row>
    <row r="7822" spans="1:18" ht="15.75" customHeight="1">
      <c r="A7822" s="26"/>
      <c r="B7822" s="86"/>
      <c r="D7822" s="26"/>
      <c r="F7822" s="87" t="str">
        <f t="shared" si="0"/>
        <v/>
      </c>
      <c r="H7822" s="26" t="str">
        <f t="shared" si="1"/>
        <v/>
      </c>
      <c r="I7822" s="26" t="str">
        <f t="shared" si="2"/>
        <v/>
      </c>
      <c r="J7822" s="86">
        <f t="shared" si="3"/>
        <v>0</v>
      </c>
      <c r="R7822" s="26"/>
    </row>
    <row r="7823" spans="1:18" ht="15.75" customHeight="1">
      <c r="A7823" s="26"/>
      <c r="B7823" s="86"/>
      <c r="D7823" s="26"/>
      <c r="F7823" s="87" t="str">
        <f t="shared" si="0"/>
        <v/>
      </c>
      <c r="H7823" s="26" t="str">
        <f t="shared" si="1"/>
        <v/>
      </c>
      <c r="I7823" s="26" t="str">
        <f t="shared" si="2"/>
        <v/>
      </c>
      <c r="J7823" s="86">
        <f t="shared" si="3"/>
        <v>0</v>
      </c>
      <c r="R7823" s="26"/>
    </row>
    <row r="7824" spans="1:18" ht="15.75" customHeight="1">
      <c r="A7824" s="26"/>
      <c r="B7824" s="86"/>
      <c r="D7824" s="26"/>
      <c r="F7824" s="87" t="str">
        <f t="shared" si="0"/>
        <v/>
      </c>
      <c r="H7824" s="26" t="str">
        <f t="shared" si="1"/>
        <v/>
      </c>
      <c r="I7824" s="26" t="str">
        <f t="shared" si="2"/>
        <v/>
      </c>
      <c r="J7824" s="86">
        <f t="shared" si="3"/>
        <v>0</v>
      </c>
      <c r="R7824" s="26"/>
    </row>
    <row r="7825" spans="1:18" ht="15.75" customHeight="1">
      <c r="A7825" s="26"/>
      <c r="B7825" s="86"/>
      <c r="D7825" s="26"/>
      <c r="F7825" s="87" t="str">
        <f t="shared" si="0"/>
        <v/>
      </c>
      <c r="H7825" s="26" t="str">
        <f t="shared" si="1"/>
        <v/>
      </c>
      <c r="I7825" s="26" t="str">
        <f t="shared" si="2"/>
        <v/>
      </c>
      <c r="J7825" s="86">
        <f t="shared" si="3"/>
        <v>0</v>
      </c>
      <c r="R7825" s="26"/>
    </row>
    <row r="7826" spans="1:18" ht="15.75" customHeight="1">
      <c r="A7826" s="26"/>
      <c r="B7826" s="86"/>
      <c r="D7826" s="26"/>
      <c r="F7826" s="87" t="str">
        <f t="shared" si="0"/>
        <v/>
      </c>
      <c r="H7826" s="26" t="str">
        <f t="shared" si="1"/>
        <v/>
      </c>
      <c r="I7826" s="26" t="str">
        <f t="shared" si="2"/>
        <v/>
      </c>
      <c r="J7826" s="86">
        <f t="shared" si="3"/>
        <v>0</v>
      </c>
      <c r="R7826" s="26"/>
    </row>
    <row r="7827" spans="1:18" ht="15.75" customHeight="1">
      <c r="A7827" s="26"/>
      <c r="B7827" s="86"/>
      <c r="D7827" s="26"/>
      <c r="F7827" s="87" t="str">
        <f t="shared" si="0"/>
        <v/>
      </c>
      <c r="H7827" s="26" t="str">
        <f t="shared" si="1"/>
        <v/>
      </c>
      <c r="I7827" s="26" t="str">
        <f t="shared" si="2"/>
        <v/>
      </c>
      <c r="J7827" s="86">
        <f t="shared" si="3"/>
        <v>0</v>
      </c>
      <c r="R7827" s="26"/>
    </row>
    <row r="7828" spans="1:18" ht="15.75" customHeight="1">
      <c r="A7828" s="26"/>
      <c r="B7828" s="86"/>
      <c r="D7828" s="26"/>
      <c r="F7828" s="87" t="str">
        <f t="shared" si="0"/>
        <v/>
      </c>
      <c r="H7828" s="26" t="str">
        <f t="shared" si="1"/>
        <v/>
      </c>
      <c r="I7828" s="26" t="str">
        <f t="shared" si="2"/>
        <v/>
      </c>
      <c r="J7828" s="86">
        <f t="shared" si="3"/>
        <v>0</v>
      </c>
      <c r="R7828" s="26"/>
    </row>
    <row r="7829" spans="1:18" ht="15.75" customHeight="1">
      <c r="A7829" s="26"/>
      <c r="B7829" s="86"/>
      <c r="D7829" s="26"/>
      <c r="F7829" s="87" t="str">
        <f t="shared" si="0"/>
        <v/>
      </c>
      <c r="H7829" s="26" t="str">
        <f t="shared" si="1"/>
        <v/>
      </c>
      <c r="I7829" s="26" t="str">
        <f t="shared" si="2"/>
        <v/>
      </c>
      <c r="J7829" s="86">
        <f t="shared" si="3"/>
        <v>0</v>
      </c>
      <c r="R7829" s="26"/>
    </row>
    <row r="7830" spans="1:18" ht="15.75" customHeight="1">
      <c r="A7830" s="26"/>
      <c r="B7830" s="86"/>
      <c r="D7830" s="26"/>
      <c r="F7830" s="87" t="str">
        <f t="shared" si="0"/>
        <v/>
      </c>
      <c r="H7830" s="26" t="str">
        <f t="shared" si="1"/>
        <v/>
      </c>
      <c r="I7830" s="26" t="str">
        <f t="shared" si="2"/>
        <v/>
      </c>
      <c r="J7830" s="86">
        <f t="shared" si="3"/>
        <v>0</v>
      </c>
      <c r="R7830" s="26"/>
    </row>
    <row r="7831" spans="1:18" ht="15.75" customHeight="1">
      <c r="A7831" s="26"/>
      <c r="B7831" s="86"/>
      <c r="D7831" s="26"/>
      <c r="F7831" s="87" t="str">
        <f t="shared" si="0"/>
        <v/>
      </c>
      <c r="H7831" s="26" t="str">
        <f t="shared" si="1"/>
        <v/>
      </c>
      <c r="I7831" s="26" t="str">
        <f t="shared" si="2"/>
        <v/>
      </c>
      <c r="J7831" s="86">
        <f t="shared" si="3"/>
        <v>0</v>
      </c>
      <c r="R7831" s="26"/>
    </row>
    <row r="7832" spans="1:18" ht="15.75" customHeight="1">
      <c r="A7832" s="26"/>
      <c r="B7832" s="86"/>
      <c r="D7832" s="26"/>
      <c r="F7832" s="87" t="str">
        <f t="shared" si="0"/>
        <v/>
      </c>
      <c r="H7832" s="26" t="str">
        <f t="shared" si="1"/>
        <v/>
      </c>
      <c r="I7832" s="26" t="str">
        <f t="shared" si="2"/>
        <v/>
      </c>
      <c r="J7832" s="86">
        <f t="shared" si="3"/>
        <v>0</v>
      </c>
      <c r="R7832" s="26"/>
    </row>
    <row r="7833" spans="1:18" ht="15.75" customHeight="1">
      <c r="A7833" s="26"/>
      <c r="B7833" s="86"/>
      <c r="D7833" s="26"/>
      <c r="F7833" s="87" t="str">
        <f t="shared" si="0"/>
        <v/>
      </c>
      <c r="H7833" s="26" t="str">
        <f t="shared" si="1"/>
        <v/>
      </c>
      <c r="I7833" s="26" t="str">
        <f t="shared" si="2"/>
        <v/>
      </c>
      <c r="J7833" s="86">
        <f t="shared" si="3"/>
        <v>0</v>
      </c>
      <c r="R7833" s="26"/>
    </row>
    <row r="7834" spans="1:18" ht="15.75" customHeight="1">
      <c r="A7834" s="26"/>
      <c r="B7834" s="86"/>
      <c r="D7834" s="26"/>
      <c r="F7834" s="87" t="str">
        <f t="shared" si="0"/>
        <v/>
      </c>
      <c r="H7834" s="26" t="str">
        <f t="shared" si="1"/>
        <v/>
      </c>
      <c r="I7834" s="26" t="str">
        <f t="shared" si="2"/>
        <v/>
      </c>
      <c r="J7834" s="86">
        <f t="shared" si="3"/>
        <v>0</v>
      </c>
      <c r="R7834" s="26"/>
    </row>
    <row r="7835" spans="1:18" ht="15.75" customHeight="1">
      <c r="A7835" s="26"/>
      <c r="B7835" s="86"/>
      <c r="D7835" s="26"/>
      <c r="F7835" s="87" t="str">
        <f t="shared" si="0"/>
        <v/>
      </c>
      <c r="H7835" s="26" t="str">
        <f t="shared" si="1"/>
        <v/>
      </c>
      <c r="I7835" s="26" t="str">
        <f t="shared" si="2"/>
        <v/>
      </c>
      <c r="J7835" s="86">
        <f t="shared" si="3"/>
        <v>0</v>
      </c>
      <c r="R7835" s="26"/>
    </row>
    <row r="7836" spans="1:18" ht="15.75" customHeight="1">
      <c r="A7836" s="26"/>
      <c r="B7836" s="86"/>
      <c r="D7836" s="26"/>
      <c r="F7836" s="87" t="str">
        <f t="shared" si="0"/>
        <v/>
      </c>
      <c r="H7836" s="26" t="str">
        <f t="shared" si="1"/>
        <v/>
      </c>
      <c r="I7836" s="26" t="str">
        <f t="shared" si="2"/>
        <v/>
      </c>
      <c r="J7836" s="86">
        <f t="shared" si="3"/>
        <v>0</v>
      </c>
      <c r="R7836" s="26"/>
    </row>
    <row r="7837" spans="1:18" ht="15.75" customHeight="1">
      <c r="A7837" s="26"/>
      <c r="B7837" s="86"/>
      <c r="D7837" s="26"/>
      <c r="F7837" s="87" t="str">
        <f t="shared" si="0"/>
        <v/>
      </c>
      <c r="H7837" s="26" t="str">
        <f t="shared" si="1"/>
        <v/>
      </c>
      <c r="I7837" s="26" t="str">
        <f t="shared" si="2"/>
        <v/>
      </c>
      <c r="J7837" s="86">
        <f t="shared" si="3"/>
        <v>0</v>
      </c>
      <c r="R7837" s="26"/>
    </row>
    <row r="7838" spans="1:18" ht="15.75" customHeight="1">
      <c r="A7838" s="26"/>
      <c r="B7838" s="86"/>
      <c r="D7838" s="26"/>
      <c r="F7838" s="87" t="str">
        <f t="shared" si="0"/>
        <v/>
      </c>
      <c r="H7838" s="26" t="str">
        <f t="shared" si="1"/>
        <v/>
      </c>
      <c r="I7838" s="26" t="str">
        <f t="shared" si="2"/>
        <v/>
      </c>
      <c r="J7838" s="86">
        <f t="shared" si="3"/>
        <v>0</v>
      </c>
      <c r="R7838" s="26"/>
    </row>
    <row r="7839" spans="1:18" ht="15.75" customHeight="1">
      <c r="A7839" s="26"/>
      <c r="B7839" s="86"/>
      <c r="D7839" s="26"/>
      <c r="F7839" s="87" t="str">
        <f t="shared" si="0"/>
        <v/>
      </c>
      <c r="H7839" s="26" t="str">
        <f t="shared" si="1"/>
        <v/>
      </c>
      <c r="I7839" s="26" t="str">
        <f t="shared" si="2"/>
        <v/>
      </c>
      <c r="J7839" s="86">
        <f t="shared" si="3"/>
        <v>0</v>
      </c>
      <c r="R7839" s="26"/>
    </row>
    <row r="7840" spans="1:18" ht="15.75" customHeight="1">
      <c r="A7840" s="26"/>
      <c r="B7840" s="86"/>
      <c r="D7840" s="26"/>
      <c r="F7840" s="87" t="str">
        <f t="shared" si="0"/>
        <v/>
      </c>
      <c r="H7840" s="26" t="str">
        <f t="shared" si="1"/>
        <v/>
      </c>
      <c r="I7840" s="26" t="str">
        <f t="shared" si="2"/>
        <v/>
      </c>
      <c r="J7840" s="86">
        <f t="shared" si="3"/>
        <v>0</v>
      </c>
      <c r="R7840" s="26"/>
    </row>
    <row r="7841" spans="1:18" ht="15.75" customHeight="1">
      <c r="A7841" s="26"/>
      <c r="B7841" s="86"/>
      <c r="D7841" s="26"/>
      <c r="F7841" s="87" t="str">
        <f t="shared" si="0"/>
        <v/>
      </c>
      <c r="H7841" s="26" t="str">
        <f t="shared" si="1"/>
        <v/>
      </c>
      <c r="I7841" s="26" t="str">
        <f t="shared" si="2"/>
        <v/>
      </c>
      <c r="J7841" s="86">
        <f t="shared" si="3"/>
        <v>0</v>
      </c>
      <c r="R7841" s="26"/>
    </row>
    <row r="7842" spans="1:18" ht="15.75" customHeight="1">
      <c r="A7842" s="26"/>
      <c r="B7842" s="86"/>
      <c r="D7842" s="26"/>
      <c r="F7842" s="87" t="str">
        <f t="shared" si="0"/>
        <v/>
      </c>
      <c r="H7842" s="26" t="str">
        <f t="shared" si="1"/>
        <v/>
      </c>
      <c r="I7842" s="26" t="str">
        <f t="shared" si="2"/>
        <v/>
      </c>
      <c r="J7842" s="86">
        <f t="shared" si="3"/>
        <v>0</v>
      </c>
      <c r="R7842" s="26"/>
    </row>
    <row r="7843" spans="1:18" ht="15.75" customHeight="1">
      <c r="A7843" s="26"/>
      <c r="B7843" s="86"/>
      <c r="D7843" s="26"/>
      <c r="F7843" s="87" t="str">
        <f t="shared" si="0"/>
        <v/>
      </c>
      <c r="H7843" s="26" t="str">
        <f t="shared" si="1"/>
        <v/>
      </c>
      <c r="I7843" s="26" t="str">
        <f t="shared" si="2"/>
        <v/>
      </c>
      <c r="J7843" s="86">
        <f t="shared" si="3"/>
        <v>0</v>
      </c>
      <c r="R7843" s="26"/>
    </row>
    <row r="7844" spans="1:18" ht="15.75" customHeight="1">
      <c r="A7844" s="26"/>
      <c r="B7844" s="86"/>
      <c r="D7844" s="26"/>
      <c r="F7844" s="87" t="str">
        <f t="shared" si="0"/>
        <v/>
      </c>
      <c r="H7844" s="26" t="str">
        <f t="shared" si="1"/>
        <v/>
      </c>
      <c r="I7844" s="26" t="str">
        <f t="shared" si="2"/>
        <v/>
      </c>
      <c r="J7844" s="86">
        <f t="shared" si="3"/>
        <v>0</v>
      </c>
      <c r="R7844" s="26"/>
    </row>
    <row r="7845" spans="1:18" ht="15.75" customHeight="1">
      <c r="A7845" s="26"/>
      <c r="B7845" s="86"/>
      <c r="D7845" s="26"/>
      <c r="F7845" s="87" t="str">
        <f t="shared" si="0"/>
        <v/>
      </c>
      <c r="H7845" s="26" t="str">
        <f t="shared" si="1"/>
        <v/>
      </c>
      <c r="I7845" s="26" t="str">
        <f t="shared" si="2"/>
        <v/>
      </c>
      <c r="J7845" s="86">
        <f t="shared" si="3"/>
        <v>0</v>
      </c>
      <c r="R7845" s="26"/>
    </row>
    <row r="7846" spans="1:18" ht="15.75" customHeight="1">
      <c r="A7846" s="26"/>
      <c r="B7846" s="86"/>
      <c r="D7846" s="26"/>
      <c r="F7846" s="87" t="str">
        <f t="shared" si="0"/>
        <v/>
      </c>
      <c r="H7846" s="26" t="str">
        <f t="shared" si="1"/>
        <v/>
      </c>
      <c r="I7846" s="26" t="str">
        <f t="shared" si="2"/>
        <v/>
      </c>
      <c r="J7846" s="86">
        <f t="shared" si="3"/>
        <v>0</v>
      </c>
      <c r="R7846" s="26"/>
    </row>
    <row r="7847" spans="1:18" ht="15.75" customHeight="1">
      <c r="A7847" s="26"/>
      <c r="B7847" s="86"/>
      <c r="D7847" s="26"/>
      <c r="F7847" s="87" t="str">
        <f t="shared" si="0"/>
        <v/>
      </c>
      <c r="H7847" s="26" t="str">
        <f t="shared" si="1"/>
        <v/>
      </c>
      <c r="I7847" s="26" t="str">
        <f t="shared" si="2"/>
        <v/>
      </c>
      <c r="J7847" s="86">
        <f t="shared" si="3"/>
        <v>0</v>
      </c>
      <c r="R7847" s="26"/>
    </row>
    <row r="7848" spans="1:18" ht="15.75" customHeight="1">
      <c r="A7848" s="26"/>
      <c r="B7848" s="86"/>
      <c r="D7848" s="26"/>
      <c r="F7848" s="87" t="str">
        <f t="shared" si="0"/>
        <v/>
      </c>
      <c r="H7848" s="26" t="str">
        <f t="shared" si="1"/>
        <v/>
      </c>
      <c r="I7848" s="26" t="str">
        <f t="shared" si="2"/>
        <v/>
      </c>
      <c r="J7848" s="86">
        <f t="shared" si="3"/>
        <v>0</v>
      </c>
      <c r="R7848" s="26"/>
    </row>
    <row r="7849" spans="1:18" ht="15.75" customHeight="1">
      <c r="A7849" s="26"/>
      <c r="B7849" s="86"/>
      <c r="D7849" s="26"/>
      <c r="F7849" s="87" t="str">
        <f t="shared" si="0"/>
        <v/>
      </c>
      <c r="H7849" s="26" t="str">
        <f t="shared" si="1"/>
        <v/>
      </c>
      <c r="I7849" s="26" t="str">
        <f t="shared" si="2"/>
        <v/>
      </c>
      <c r="J7849" s="86">
        <f t="shared" si="3"/>
        <v>0</v>
      </c>
      <c r="R7849" s="26"/>
    </row>
    <row r="7850" spans="1:18" ht="15.75" customHeight="1">
      <c r="A7850" s="26"/>
      <c r="B7850" s="86"/>
      <c r="D7850" s="26"/>
      <c r="F7850" s="87" t="str">
        <f t="shared" si="0"/>
        <v/>
      </c>
      <c r="H7850" s="26" t="str">
        <f t="shared" si="1"/>
        <v/>
      </c>
      <c r="I7850" s="26" t="str">
        <f t="shared" si="2"/>
        <v/>
      </c>
      <c r="J7850" s="86">
        <f t="shared" si="3"/>
        <v>0</v>
      </c>
      <c r="R7850" s="26"/>
    </row>
    <row r="7851" spans="1:18" ht="15.75" customHeight="1">
      <c r="A7851" s="26"/>
      <c r="B7851" s="86"/>
      <c r="D7851" s="26"/>
      <c r="F7851" s="87" t="str">
        <f t="shared" si="0"/>
        <v/>
      </c>
      <c r="H7851" s="26" t="str">
        <f t="shared" si="1"/>
        <v/>
      </c>
      <c r="I7851" s="26" t="str">
        <f t="shared" si="2"/>
        <v/>
      </c>
      <c r="J7851" s="86">
        <f t="shared" si="3"/>
        <v>0</v>
      </c>
      <c r="R7851" s="26"/>
    </row>
    <row r="7852" spans="1:18" ht="15.75" customHeight="1">
      <c r="A7852" s="26"/>
      <c r="B7852" s="86"/>
      <c r="D7852" s="26"/>
      <c r="F7852" s="87" t="str">
        <f t="shared" si="0"/>
        <v/>
      </c>
      <c r="H7852" s="26" t="str">
        <f t="shared" si="1"/>
        <v/>
      </c>
      <c r="I7852" s="26" t="str">
        <f t="shared" si="2"/>
        <v/>
      </c>
      <c r="J7852" s="86">
        <f t="shared" si="3"/>
        <v>0</v>
      </c>
      <c r="R7852" s="26"/>
    </row>
    <row r="7853" spans="1:18" ht="15.75" customHeight="1">
      <c r="A7853" s="26"/>
      <c r="B7853" s="86"/>
      <c r="D7853" s="26"/>
      <c r="F7853" s="87" t="str">
        <f t="shared" si="0"/>
        <v/>
      </c>
      <c r="H7853" s="26" t="str">
        <f t="shared" si="1"/>
        <v/>
      </c>
      <c r="I7853" s="26" t="str">
        <f t="shared" si="2"/>
        <v/>
      </c>
      <c r="J7853" s="86">
        <f t="shared" si="3"/>
        <v>0</v>
      </c>
      <c r="R7853" s="26"/>
    </row>
    <row r="7854" spans="1:18" ht="15.75" customHeight="1">
      <c r="A7854" s="26"/>
      <c r="B7854" s="86"/>
      <c r="D7854" s="26"/>
      <c r="F7854" s="87" t="str">
        <f t="shared" si="0"/>
        <v/>
      </c>
      <c r="H7854" s="26" t="str">
        <f t="shared" si="1"/>
        <v/>
      </c>
      <c r="I7854" s="26" t="str">
        <f t="shared" si="2"/>
        <v/>
      </c>
      <c r="J7854" s="86">
        <f t="shared" si="3"/>
        <v>0</v>
      </c>
      <c r="R7854" s="26"/>
    </row>
    <row r="7855" spans="1:18" ht="15.75" customHeight="1">
      <c r="A7855" s="26"/>
      <c r="B7855" s="86"/>
      <c r="D7855" s="26"/>
      <c r="F7855" s="87" t="str">
        <f t="shared" si="0"/>
        <v/>
      </c>
      <c r="H7855" s="26" t="str">
        <f t="shared" si="1"/>
        <v/>
      </c>
      <c r="I7855" s="26" t="str">
        <f t="shared" si="2"/>
        <v/>
      </c>
      <c r="J7855" s="86">
        <f t="shared" si="3"/>
        <v>0</v>
      </c>
      <c r="R7855" s="26"/>
    </row>
    <row r="7856" spans="1:18" ht="15.75" customHeight="1">
      <c r="A7856" s="26"/>
      <c r="B7856" s="86"/>
      <c r="D7856" s="26"/>
      <c r="F7856" s="87" t="str">
        <f t="shared" si="0"/>
        <v/>
      </c>
      <c r="H7856" s="26" t="str">
        <f t="shared" si="1"/>
        <v/>
      </c>
      <c r="I7856" s="26" t="str">
        <f t="shared" si="2"/>
        <v/>
      </c>
      <c r="J7856" s="86">
        <f t="shared" si="3"/>
        <v>0</v>
      </c>
      <c r="R7856" s="26"/>
    </row>
    <row r="7857" spans="1:18" ht="15.75" customHeight="1">
      <c r="A7857" s="26"/>
      <c r="B7857" s="86"/>
      <c r="D7857" s="26"/>
      <c r="F7857" s="87" t="str">
        <f t="shared" si="0"/>
        <v/>
      </c>
      <c r="H7857" s="26" t="str">
        <f t="shared" si="1"/>
        <v/>
      </c>
      <c r="I7857" s="26" t="str">
        <f t="shared" si="2"/>
        <v/>
      </c>
      <c r="J7857" s="86">
        <f t="shared" si="3"/>
        <v>0</v>
      </c>
      <c r="R7857" s="26"/>
    </row>
    <row r="7858" spans="1:18" ht="15.75" customHeight="1">
      <c r="A7858" s="26"/>
      <c r="B7858" s="86"/>
      <c r="D7858" s="26"/>
      <c r="F7858" s="87" t="str">
        <f t="shared" si="0"/>
        <v/>
      </c>
      <c r="H7858" s="26" t="str">
        <f t="shared" si="1"/>
        <v/>
      </c>
      <c r="I7858" s="26" t="str">
        <f t="shared" si="2"/>
        <v/>
      </c>
      <c r="J7858" s="86">
        <f t="shared" si="3"/>
        <v>0</v>
      </c>
      <c r="R7858" s="26"/>
    </row>
    <row r="7859" spans="1:18" ht="15.75" customHeight="1">
      <c r="A7859" s="26"/>
      <c r="B7859" s="86"/>
      <c r="D7859" s="26"/>
      <c r="F7859" s="87" t="str">
        <f t="shared" si="0"/>
        <v/>
      </c>
      <c r="H7859" s="26" t="str">
        <f t="shared" si="1"/>
        <v/>
      </c>
      <c r="I7859" s="26" t="str">
        <f t="shared" si="2"/>
        <v/>
      </c>
      <c r="J7859" s="86">
        <f t="shared" si="3"/>
        <v>0</v>
      </c>
      <c r="R7859" s="26"/>
    </row>
    <row r="7860" spans="1:18" ht="15.75" customHeight="1">
      <c r="A7860" s="26"/>
      <c r="B7860" s="86"/>
      <c r="D7860" s="26"/>
      <c r="F7860" s="87" t="str">
        <f t="shared" si="0"/>
        <v/>
      </c>
      <c r="H7860" s="26" t="str">
        <f t="shared" si="1"/>
        <v/>
      </c>
      <c r="I7860" s="26" t="str">
        <f t="shared" si="2"/>
        <v/>
      </c>
      <c r="J7860" s="86">
        <f t="shared" si="3"/>
        <v>0</v>
      </c>
      <c r="R7860" s="26"/>
    </row>
    <row r="7861" spans="1:18" ht="15.75" customHeight="1">
      <c r="A7861" s="26"/>
      <c r="B7861" s="86"/>
      <c r="D7861" s="26"/>
      <c r="F7861" s="87" t="str">
        <f t="shared" si="0"/>
        <v/>
      </c>
      <c r="H7861" s="26" t="str">
        <f t="shared" si="1"/>
        <v/>
      </c>
      <c r="I7861" s="26" t="str">
        <f t="shared" si="2"/>
        <v/>
      </c>
      <c r="J7861" s="86">
        <f t="shared" si="3"/>
        <v>0</v>
      </c>
      <c r="R7861" s="26"/>
    </row>
    <row r="7862" spans="1:18" ht="15.75" customHeight="1">
      <c r="A7862" s="26"/>
      <c r="B7862" s="86"/>
      <c r="D7862" s="26"/>
      <c r="F7862" s="87" t="str">
        <f t="shared" si="0"/>
        <v/>
      </c>
      <c r="H7862" s="26" t="str">
        <f t="shared" si="1"/>
        <v/>
      </c>
      <c r="I7862" s="26" t="str">
        <f t="shared" si="2"/>
        <v/>
      </c>
      <c r="J7862" s="86">
        <f t="shared" si="3"/>
        <v>0</v>
      </c>
      <c r="R7862" s="26"/>
    </row>
    <row r="7863" spans="1:18" ht="15.75" customHeight="1">
      <c r="A7863" s="26"/>
      <c r="B7863" s="86"/>
      <c r="D7863" s="26"/>
      <c r="F7863" s="87" t="str">
        <f t="shared" si="0"/>
        <v/>
      </c>
      <c r="H7863" s="26" t="str">
        <f t="shared" si="1"/>
        <v/>
      </c>
      <c r="I7863" s="26" t="str">
        <f t="shared" si="2"/>
        <v/>
      </c>
      <c r="J7863" s="86">
        <f t="shared" si="3"/>
        <v>0</v>
      </c>
      <c r="R7863" s="26"/>
    </row>
    <row r="7864" spans="1:18" ht="15.75" customHeight="1">
      <c r="A7864" s="26"/>
      <c r="B7864" s="86"/>
      <c r="D7864" s="26"/>
      <c r="F7864" s="87" t="str">
        <f t="shared" si="0"/>
        <v/>
      </c>
      <c r="H7864" s="26" t="str">
        <f t="shared" si="1"/>
        <v/>
      </c>
      <c r="I7864" s="26" t="str">
        <f t="shared" si="2"/>
        <v/>
      </c>
      <c r="J7864" s="86">
        <f t="shared" si="3"/>
        <v>0</v>
      </c>
      <c r="R7864" s="26"/>
    </row>
    <row r="7865" spans="1:18" ht="15.75" customHeight="1">
      <c r="A7865" s="26"/>
      <c r="B7865" s="86"/>
      <c r="D7865" s="26"/>
      <c r="F7865" s="87" t="str">
        <f t="shared" si="0"/>
        <v/>
      </c>
      <c r="H7865" s="26" t="str">
        <f t="shared" si="1"/>
        <v/>
      </c>
      <c r="I7865" s="26" t="str">
        <f t="shared" si="2"/>
        <v/>
      </c>
      <c r="J7865" s="86">
        <f t="shared" si="3"/>
        <v>0</v>
      </c>
      <c r="R7865" s="26"/>
    </row>
    <row r="7866" spans="1:18" ht="15.75" customHeight="1">
      <c r="A7866" s="26"/>
      <c r="B7866" s="86"/>
      <c r="D7866" s="26"/>
      <c r="F7866" s="87" t="str">
        <f t="shared" si="0"/>
        <v/>
      </c>
      <c r="H7866" s="26" t="str">
        <f t="shared" si="1"/>
        <v/>
      </c>
      <c r="I7866" s="26" t="str">
        <f t="shared" si="2"/>
        <v/>
      </c>
      <c r="J7866" s="86">
        <f t="shared" si="3"/>
        <v>0</v>
      </c>
      <c r="R7866" s="26"/>
    </row>
    <row r="7867" spans="1:18" ht="15.75" customHeight="1">
      <c r="A7867" s="26"/>
      <c r="B7867" s="86"/>
      <c r="D7867" s="26"/>
      <c r="F7867" s="87" t="str">
        <f t="shared" si="0"/>
        <v/>
      </c>
      <c r="H7867" s="26" t="str">
        <f t="shared" si="1"/>
        <v/>
      </c>
      <c r="I7867" s="26" t="str">
        <f t="shared" si="2"/>
        <v/>
      </c>
      <c r="J7867" s="86">
        <f t="shared" si="3"/>
        <v>0</v>
      </c>
      <c r="R7867" s="26"/>
    </row>
    <row r="7868" spans="1:18" ht="15.75" customHeight="1">
      <c r="A7868" s="26"/>
      <c r="B7868" s="86"/>
      <c r="D7868" s="26"/>
      <c r="F7868" s="87" t="str">
        <f t="shared" si="0"/>
        <v/>
      </c>
      <c r="H7868" s="26" t="str">
        <f t="shared" si="1"/>
        <v/>
      </c>
      <c r="I7868" s="26" t="str">
        <f t="shared" si="2"/>
        <v/>
      </c>
      <c r="J7868" s="86">
        <f t="shared" si="3"/>
        <v>0</v>
      </c>
      <c r="R7868" s="26"/>
    </row>
    <row r="7869" spans="1:18" ht="15.75" customHeight="1">
      <c r="A7869" s="26"/>
      <c r="B7869" s="86"/>
      <c r="D7869" s="26"/>
      <c r="F7869" s="87" t="str">
        <f t="shared" si="0"/>
        <v/>
      </c>
      <c r="H7869" s="26" t="str">
        <f t="shared" si="1"/>
        <v/>
      </c>
      <c r="I7869" s="26" t="str">
        <f t="shared" si="2"/>
        <v/>
      </c>
      <c r="J7869" s="86">
        <f t="shared" si="3"/>
        <v>0</v>
      </c>
      <c r="R7869" s="26"/>
    </row>
    <row r="7870" spans="1:18" ht="15.75" customHeight="1">
      <c r="A7870" s="26"/>
      <c r="B7870" s="86"/>
      <c r="D7870" s="26"/>
      <c r="F7870" s="87" t="str">
        <f t="shared" si="0"/>
        <v/>
      </c>
      <c r="H7870" s="26" t="str">
        <f t="shared" si="1"/>
        <v/>
      </c>
      <c r="I7870" s="26" t="str">
        <f t="shared" si="2"/>
        <v/>
      </c>
      <c r="J7870" s="86">
        <f t="shared" si="3"/>
        <v>0</v>
      </c>
      <c r="R7870" s="26"/>
    </row>
    <row r="7871" spans="1:18" ht="15.75" customHeight="1">
      <c r="A7871" s="26"/>
      <c r="B7871" s="86"/>
      <c r="D7871" s="26"/>
      <c r="F7871" s="87" t="str">
        <f t="shared" si="0"/>
        <v/>
      </c>
      <c r="H7871" s="26" t="str">
        <f t="shared" si="1"/>
        <v/>
      </c>
      <c r="I7871" s="26" t="str">
        <f t="shared" si="2"/>
        <v/>
      </c>
      <c r="J7871" s="86">
        <f t="shared" si="3"/>
        <v>0</v>
      </c>
      <c r="R7871" s="26"/>
    </row>
    <row r="7872" spans="1:18" ht="15.75" customHeight="1">
      <c r="A7872" s="26"/>
      <c r="B7872" s="86"/>
      <c r="D7872" s="26"/>
      <c r="F7872" s="87" t="str">
        <f t="shared" si="0"/>
        <v/>
      </c>
      <c r="H7872" s="26" t="str">
        <f t="shared" si="1"/>
        <v/>
      </c>
      <c r="I7872" s="26" t="str">
        <f t="shared" si="2"/>
        <v/>
      </c>
      <c r="J7872" s="86">
        <f t="shared" si="3"/>
        <v>0</v>
      </c>
      <c r="R7872" s="26"/>
    </row>
    <row r="7873" spans="1:18" ht="15.75" customHeight="1">
      <c r="A7873" s="26"/>
      <c r="B7873" s="86"/>
      <c r="D7873" s="26"/>
      <c r="F7873" s="87" t="str">
        <f t="shared" si="0"/>
        <v/>
      </c>
      <c r="H7873" s="26" t="str">
        <f t="shared" si="1"/>
        <v/>
      </c>
      <c r="I7873" s="26" t="str">
        <f t="shared" si="2"/>
        <v/>
      </c>
      <c r="J7873" s="86">
        <f t="shared" si="3"/>
        <v>0</v>
      </c>
      <c r="R7873" s="26"/>
    </row>
    <row r="7874" spans="1:18" ht="15.75" customHeight="1">
      <c r="A7874" s="26"/>
      <c r="B7874" s="86"/>
      <c r="D7874" s="26"/>
      <c r="F7874" s="87" t="str">
        <f t="shared" si="0"/>
        <v/>
      </c>
      <c r="H7874" s="26" t="str">
        <f t="shared" si="1"/>
        <v/>
      </c>
      <c r="I7874" s="26" t="str">
        <f t="shared" si="2"/>
        <v/>
      </c>
      <c r="J7874" s="86">
        <f t="shared" si="3"/>
        <v>0</v>
      </c>
      <c r="R7874" s="26"/>
    </row>
    <row r="7875" spans="1:18" ht="15.75" customHeight="1">
      <c r="A7875" s="26"/>
      <c r="B7875" s="86"/>
      <c r="D7875" s="26"/>
      <c r="F7875" s="87" t="str">
        <f t="shared" si="0"/>
        <v/>
      </c>
      <c r="H7875" s="26" t="str">
        <f t="shared" si="1"/>
        <v/>
      </c>
      <c r="I7875" s="26" t="str">
        <f t="shared" si="2"/>
        <v/>
      </c>
      <c r="J7875" s="86">
        <f t="shared" si="3"/>
        <v>0</v>
      </c>
      <c r="R7875" s="26"/>
    </row>
    <row r="7876" spans="1:18" ht="15.75" customHeight="1">
      <c r="A7876" s="26"/>
      <c r="B7876" s="86"/>
      <c r="D7876" s="26"/>
      <c r="F7876" s="87" t="str">
        <f t="shared" si="0"/>
        <v/>
      </c>
      <c r="H7876" s="26" t="str">
        <f t="shared" si="1"/>
        <v/>
      </c>
      <c r="I7876" s="26" t="str">
        <f t="shared" si="2"/>
        <v/>
      </c>
      <c r="J7876" s="86">
        <f t="shared" si="3"/>
        <v>0</v>
      </c>
      <c r="R7876" s="26"/>
    </row>
    <row r="7877" spans="1:18" ht="15.75" customHeight="1">
      <c r="A7877" s="26"/>
      <c r="B7877" s="86"/>
      <c r="D7877" s="26"/>
      <c r="F7877" s="87" t="str">
        <f t="shared" si="0"/>
        <v/>
      </c>
      <c r="H7877" s="26" t="str">
        <f t="shared" si="1"/>
        <v/>
      </c>
      <c r="I7877" s="26" t="str">
        <f t="shared" si="2"/>
        <v/>
      </c>
      <c r="J7877" s="86">
        <f t="shared" si="3"/>
        <v>0</v>
      </c>
      <c r="R7877" s="26"/>
    </row>
    <row r="7878" spans="1:18" ht="15.75" customHeight="1">
      <c r="A7878" s="26"/>
      <c r="B7878" s="86"/>
      <c r="D7878" s="26"/>
      <c r="F7878" s="87" t="str">
        <f t="shared" si="0"/>
        <v/>
      </c>
      <c r="H7878" s="26" t="str">
        <f t="shared" si="1"/>
        <v/>
      </c>
      <c r="I7878" s="26" t="str">
        <f t="shared" si="2"/>
        <v/>
      </c>
      <c r="J7878" s="86">
        <f t="shared" si="3"/>
        <v>0</v>
      </c>
      <c r="R7878" s="26"/>
    </row>
    <row r="7879" spans="1:18" ht="15.75" customHeight="1">
      <c r="A7879" s="26"/>
      <c r="B7879" s="86"/>
      <c r="D7879" s="26"/>
      <c r="F7879" s="87" t="str">
        <f t="shared" si="0"/>
        <v/>
      </c>
      <c r="H7879" s="26" t="str">
        <f t="shared" si="1"/>
        <v/>
      </c>
      <c r="I7879" s="26" t="str">
        <f t="shared" si="2"/>
        <v/>
      </c>
      <c r="J7879" s="86">
        <f t="shared" si="3"/>
        <v>0</v>
      </c>
      <c r="R7879" s="26"/>
    </row>
    <row r="7880" spans="1:18" ht="15.75" customHeight="1">
      <c r="A7880" s="26"/>
      <c r="B7880" s="86"/>
      <c r="D7880" s="26"/>
      <c r="F7880" s="87" t="str">
        <f t="shared" si="0"/>
        <v/>
      </c>
      <c r="H7880" s="26" t="str">
        <f t="shared" si="1"/>
        <v/>
      </c>
      <c r="I7880" s="26" t="str">
        <f t="shared" si="2"/>
        <v/>
      </c>
      <c r="J7880" s="86">
        <f t="shared" si="3"/>
        <v>0</v>
      </c>
      <c r="R7880" s="26"/>
    </row>
    <row r="7881" spans="1:18" ht="15.75" customHeight="1">
      <c r="A7881" s="26"/>
      <c r="B7881" s="86"/>
      <c r="D7881" s="26"/>
      <c r="F7881" s="87" t="str">
        <f t="shared" si="0"/>
        <v/>
      </c>
      <c r="H7881" s="26" t="str">
        <f t="shared" si="1"/>
        <v/>
      </c>
      <c r="I7881" s="26" t="str">
        <f t="shared" si="2"/>
        <v/>
      </c>
      <c r="J7881" s="86">
        <f t="shared" si="3"/>
        <v>0</v>
      </c>
      <c r="R7881" s="26"/>
    </row>
    <row r="7882" spans="1:18" ht="15.75" customHeight="1">
      <c r="A7882" s="26"/>
      <c r="B7882" s="86"/>
      <c r="D7882" s="26"/>
      <c r="F7882" s="87" t="str">
        <f t="shared" si="0"/>
        <v/>
      </c>
      <c r="H7882" s="26" t="str">
        <f t="shared" si="1"/>
        <v/>
      </c>
      <c r="I7882" s="26" t="str">
        <f t="shared" si="2"/>
        <v/>
      </c>
      <c r="J7882" s="86">
        <f t="shared" si="3"/>
        <v>0</v>
      </c>
      <c r="R7882" s="26"/>
    </row>
    <row r="7883" spans="1:18" ht="15.75" customHeight="1">
      <c r="A7883" s="26"/>
      <c r="B7883" s="86"/>
      <c r="D7883" s="26"/>
      <c r="F7883" s="87" t="str">
        <f t="shared" si="0"/>
        <v/>
      </c>
      <c r="H7883" s="26" t="str">
        <f t="shared" si="1"/>
        <v/>
      </c>
      <c r="I7883" s="26" t="str">
        <f t="shared" si="2"/>
        <v/>
      </c>
      <c r="J7883" s="86">
        <f t="shared" si="3"/>
        <v>0</v>
      </c>
      <c r="R7883" s="26"/>
    </row>
    <row r="7884" spans="1:18" ht="15.75" customHeight="1">
      <c r="A7884" s="26"/>
      <c r="B7884" s="86"/>
      <c r="D7884" s="26"/>
      <c r="F7884" s="87" t="str">
        <f t="shared" si="0"/>
        <v/>
      </c>
      <c r="H7884" s="26" t="str">
        <f t="shared" si="1"/>
        <v/>
      </c>
      <c r="I7884" s="26" t="str">
        <f t="shared" si="2"/>
        <v/>
      </c>
      <c r="J7884" s="86">
        <f t="shared" si="3"/>
        <v>0</v>
      </c>
      <c r="R7884" s="26"/>
    </row>
    <row r="7885" spans="1:18" ht="15.75" customHeight="1">
      <c r="A7885" s="26"/>
      <c r="B7885" s="86"/>
      <c r="D7885" s="26"/>
      <c r="F7885" s="87" t="str">
        <f t="shared" si="0"/>
        <v/>
      </c>
      <c r="H7885" s="26" t="str">
        <f t="shared" si="1"/>
        <v/>
      </c>
      <c r="I7885" s="26" t="str">
        <f t="shared" si="2"/>
        <v/>
      </c>
      <c r="J7885" s="86">
        <f t="shared" si="3"/>
        <v>0</v>
      </c>
      <c r="R7885" s="26"/>
    </row>
    <row r="7886" spans="1:18" ht="15.75" customHeight="1">
      <c r="A7886" s="26"/>
      <c r="B7886" s="86"/>
      <c r="D7886" s="26"/>
      <c r="F7886" s="87" t="str">
        <f t="shared" si="0"/>
        <v/>
      </c>
      <c r="H7886" s="26" t="str">
        <f t="shared" si="1"/>
        <v/>
      </c>
      <c r="I7886" s="26" t="str">
        <f t="shared" si="2"/>
        <v/>
      </c>
      <c r="J7886" s="86">
        <f t="shared" si="3"/>
        <v>0</v>
      </c>
      <c r="R7886" s="26"/>
    </row>
    <row r="7887" spans="1:18" ht="15.75" customHeight="1">
      <c r="A7887" s="26"/>
      <c r="B7887" s="86"/>
      <c r="D7887" s="26"/>
      <c r="F7887" s="87" t="str">
        <f t="shared" si="0"/>
        <v/>
      </c>
      <c r="H7887" s="26" t="str">
        <f t="shared" si="1"/>
        <v/>
      </c>
      <c r="I7887" s="26" t="str">
        <f t="shared" si="2"/>
        <v/>
      </c>
      <c r="J7887" s="86">
        <f t="shared" si="3"/>
        <v>0</v>
      </c>
      <c r="R7887" s="26"/>
    </row>
    <row r="7888" spans="1:18" ht="15.75" customHeight="1">
      <c r="A7888" s="26"/>
      <c r="B7888" s="86"/>
      <c r="D7888" s="26"/>
      <c r="F7888" s="87" t="str">
        <f t="shared" si="0"/>
        <v/>
      </c>
      <c r="H7888" s="26" t="str">
        <f t="shared" si="1"/>
        <v/>
      </c>
      <c r="I7888" s="26" t="str">
        <f t="shared" si="2"/>
        <v/>
      </c>
      <c r="J7888" s="86">
        <f t="shared" si="3"/>
        <v>0</v>
      </c>
      <c r="R7888" s="26"/>
    </row>
    <row r="7889" spans="1:18" ht="15.75" customHeight="1">
      <c r="A7889" s="26"/>
      <c r="B7889" s="86"/>
      <c r="D7889" s="26"/>
      <c r="F7889" s="87" t="str">
        <f t="shared" si="0"/>
        <v/>
      </c>
      <c r="H7889" s="26" t="str">
        <f t="shared" si="1"/>
        <v/>
      </c>
      <c r="I7889" s="26" t="str">
        <f t="shared" si="2"/>
        <v/>
      </c>
      <c r="J7889" s="86">
        <f t="shared" si="3"/>
        <v>0</v>
      </c>
      <c r="R7889" s="26"/>
    </row>
    <row r="7890" spans="1:18" ht="15.75" customHeight="1">
      <c r="A7890" s="26"/>
      <c r="B7890" s="86"/>
      <c r="D7890" s="26"/>
      <c r="F7890" s="87" t="str">
        <f t="shared" si="0"/>
        <v/>
      </c>
      <c r="H7890" s="26" t="str">
        <f t="shared" si="1"/>
        <v/>
      </c>
      <c r="I7890" s="26" t="str">
        <f t="shared" si="2"/>
        <v/>
      </c>
      <c r="J7890" s="86">
        <f t="shared" si="3"/>
        <v>0</v>
      </c>
      <c r="R7890" s="26"/>
    </row>
    <row r="7891" spans="1:18" ht="15.75" customHeight="1">
      <c r="A7891" s="26"/>
      <c r="B7891" s="86"/>
      <c r="D7891" s="26"/>
      <c r="F7891" s="87" t="str">
        <f t="shared" si="0"/>
        <v/>
      </c>
      <c r="H7891" s="26" t="str">
        <f t="shared" si="1"/>
        <v/>
      </c>
      <c r="I7891" s="26" t="str">
        <f t="shared" si="2"/>
        <v/>
      </c>
      <c r="J7891" s="86">
        <f t="shared" si="3"/>
        <v>0</v>
      </c>
      <c r="R7891" s="26"/>
    </row>
    <row r="7892" spans="1:18" ht="15.75" customHeight="1">
      <c r="A7892" s="26"/>
      <c r="B7892" s="86"/>
      <c r="D7892" s="26"/>
      <c r="F7892" s="87" t="str">
        <f t="shared" si="0"/>
        <v/>
      </c>
      <c r="H7892" s="26" t="str">
        <f t="shared" si="1"/>
        <v/>
      </c>
      <c r="I7892" s="26" t="str">
        <f t="shared" si="2"/>
        <v/>
      </c>
      <c r="J7892" s="86">
        <f t="shared" si="3"/>
        <v>0</v>
      </c>
      <c r="R7892" s="26"/>
    </row>
    <row r="7893" spans="1:18" ht="15.75" customHeight="1">
      <c r="A7893" s="26"/>
      <c r="B7893" s="86"/>
      <c r="D7893" s="26"/>
      <c r="F7893" s="87" t="str">
        <f t="shared" si="0"/>
        <v/>
      </c>
      <c r="H7893" s="26" t="str">
        <f t="shared" si="1"/>
        <v/>
      </c>
      <c r="I7893" s="26" t="str">
        <f t="shared" si="2"/>
        <v/>
      </c>
      <c r="J7893" s="86">
        <f t="shared" si="3"/>
        <v>0</v>
      </c>
      <c r="R7893" s="26"/>
    </row>
    <row r="7894" spans="1:18" ht="15.75" customHeight="1">
      <c r="A7894" s="26"/>
      <c r="B7894" s="86"/>
      <c r="D7894" s="26"/>
      <c r="F7894" s="87" t="str">
        <f t="shared" si="0"/>
        <v/>
      </c>
      <c r="H7894" s="26" t="str">
        <f t="shared" si="1"/>
        <v/>
      </c>
      <c r="I7894" s="26" t="str">
        <f t="shared" si="2"/>
        <v/>
      </c>
      <c r="J7894" s="86">
        <f t="shared" si="3"/>
        <v>0</v>
      </c>
      <c r="R7894" s="26"/>
    </row>
    <row r="7895" spans="1:18" ht="15.75" customHeight="1">
      <c r="A7895" s="26"/>
      <c r="B7895" s="86"/>
      <c r="D7895" s="26"/>
      <c r="F7895" s="87" t="str">
        <f t="shared" si="0"/>
        <v/>
      </c>
      <c r="H7895" s="26" t="str">
        <f t="shared" si="1"/>
        <v/>
      </c>
      <c r="I7895" s="26" t="str">
        <f t="shared" si="2"/>
        <v/>
      </c>
      <c r="J7895" s="86">
        <f t="shared" si="3"/>
        <v>0</v>
      </c>
      <c r="R7895" s="26"/>
    </row>
    <row r="7896" spans="1:18" ht="15.75" customHeight="1">
      <c r="A7896" s="26"/>
      <c r="B7896" s="86"/>
      <c r="D7896" s="26"/>
      <c r="F7896" s="87" t="str">
        <f t="shared" si="0"/>
        <v/>
      </c>
      <c r="H7896" s="26" t="str">
        <f t="shared" si="1"/>
        <v/>
      </c>
      <c r="I7896" s="26" t="str">
        <f t="shared" si="2"/>
        <v/>
      </c>
      <c r="J7896" s="86">
        <f t="shared" si="3"/>
        <v>0</v>
      </c>
      <c r="R7896" s="26"/>
    </row>
    <row r="7897" spans="1:18" ht="15.75" customHeight="1">
      <c r="A7897" s="26"/>
      <c r="B7897" s="86"/>
      <c r="D7897" s="26"/>
      <c r="F7897" s="87" t="str">
        <f t="shared" si="0"/>
        <v/>
      </c>
      <c r="H7897" s="26" t="str">
        <f t="shared" si="1"/>
        <v/>
      </c>
      <c r="I7897" s="26" t="str">
        <f t="shared" si="2"/>
        <v/>
      </c>
      <c r="J7897" s="86">
        <f t="shared" si="3"/>
        <v>0</v>
      </c>
      <c r="R7897" s="26"/>
    </row>
    <row r="7898" spans="1:18" ht="15.75" customHeight="1">
      <c r="A7898" s="26"/>
      <c r="B7898" s="86"/>
      <c r="D7898" s="26"/>
      <c r="F7898" s="87" t="str">
        <f t="shared" si="0"/>
        <v/>
      </c>
      <c r="H7898" s="26" t="str">
        <f t="shared" si="1"/>
        <v/>
      </c>
      <c r="I7898" s="26" t="str">
        <f t="shared" si="2"/>
        <v/>
      </c>
      <c r="J7898" s="86">
        <f t="shared" si="3"/>
        <v>0</v>
      </c>
      <c r="R7898" s="26"/>
    </row>
    <row r="7899" spans="1:18" ht="15.75" customHeight="1">
      <c r="A7899" s="26"/>
      <c r="B7899" s="86"/>
      <c r="D7899" s="26"/>
      <c r="F7899" s="87" t="str">
        <f t="shared" si="0"/>
        <v/>
      </c>
      <c r="H7899" s="26" t="str">
        <f t="shared" si="1"/>
        <v/>
      </c>
      <c r="I7899" s="26" t="str">
        <f t="shared" si="2"/>
        <v/>
      </c>
      <c r="J7899" s="86">
        <f t="shared" si="3"/>
        <v>0</v>
      </c>
      <c r="R7899" s="26"/>
    </row>
    <row r="7900" spans="1:18" ht="15.75" customHeight="1">
      <c r="A7900" s="26"/>
      <c r="B7900" s="86"/>
      <c r="D7900" s="26"/>
      <c r="F7900" s="87" t="str">
        <f t="shared" si="0"/>
        <v/>
      </c>
      <c r="H7900" s="26" t="str">
        <f t="shared" si="1"/>
        <v/>
      </c>
      <c r="I7900" s="26" t="str">
        <f t="shared" si="2"/>
        <v/>
      </c>
      <c r="J7900" s="86">
        <f t="shared" si="3"/>
        <v>0</v>
      </c>
      <c r="R7900" s="26"/>
    </row>
    <row r="7901" spans="1:18" ht="15.75" customHeight="1">
      <c r="A7901" s="26"/>
      <c r="B7901" s="86"/>
      <c r="D7901" s="26"/>
      <c r="F7901" s="87" t="str">
        <f t="shared" si="0"/>
        <v/>
      </c>
      <c r="H7901" s="26" t="str">
        <f t="shared" si="1"/>
        <v/>
      </c>
      <c r="I7901" s="26" t="str">
        <f t="shared" si="2"/>
        <v/>
      </c>
      <c r="J7901" s="86">
        <f t="shared" si="3"/>
        <v>0</v>
      </c>
      <c r="R7901" s="26"/>
    </row>
    <row r="7902" spans="1:18" ht="15.75" customHeight="1">
      <c r="A7902" s="26"/>
      <c r="B7902" s="86"/>
      <c r="D7902" s="26"/>
      <c r="F7902" s="87" t="str">
        <f t="shared" si="0"/>
        <v/>
      </c>
      <c r="H7902" s="26" t="str">
        <f t="shared" si="1"/>
        <v/>
      </c>
      <c r="I7902" s="26" t="str">
        <f t="shared" si="2"/>
        <v/>
      </c>
      <c r="J7902" s="86">
        <f t="shared" si="3"/>
        <v>0</v>
      </c>
      <c r="R7902" s="26"/>
    </row>
    <row r="7903" spans="1:18" ht="15.75" customHeight="1">
      <c r="A7903" s="26"/>
      <c r="B7903" s="86"/>
      <c r="D7903" s="26"/>
      <c r="F7903" s="87" t="str">
        <f t="shared" si="0"/>
        <v/>
      </c>
      <c r="H7903" s="26" t="str">
        <f t="shared" si="1"/>
        <v/>
      </c>
      <c r="I7903" s="26" t="str">
        <f t="shared" si="2"/>
        <v/>
      </c>
      <c r="J7903" s="86">
        <f t="shared" si="3"/>
        <v>0</v>
      </c>
      <c r="R7903" s="26"/>
    </row>
    <row r="7904" spans="1:18" ht="15.75" customHeight="1">
      <c r="A7904" s="26"/>
      <c r="B7904" s="86"/>
      <c r="D7904" s="26"/>
      <c r="F7904" s="87" t="str">
        <f t="shared" si="0"/>
        <v/>
      </c>
      <c r="H7904" s="26" t="str">
        <f t="shared" si="1"/>
        <v/>
      </c>
      <c r="I7904" s="26" t="str">
        <f t="shared" si="2"/>
        <v/>
      </c>
      <c r="J7904" s="86">
        <f t="shared" si="3"/>
        <v>0</v>
      </c>
      <c r="R7904" s="26"/>
    </row>
    <row r="7905" spans="1:18" ht="15.75" customHeight="1">
      <c r="A7905" s="26"/>
      <c r="B7905" s="86"/>
      <c r="D7905" s="26"/>
      <c r="F7905" s="87" t="str">
        <f t="shared" si="0"/>
        <v/>
      </c>
      <c r="H7905" s="26" t="str">
        <f t="shared" si="1"/>
        <v/>
      </c>
      <c r="I7905" s="26" t="str">
        <f t="shared" si="2"/>
        <v/>
      </c>
      <c r="J7905" s="86">
        <f t="shared" si="3"/>
        <v>0</v>
      </c>
      <c r="R7905" s="26"/>
    </row>
    <row r="7906" spans="1:18" ht="15.75" customHeight="1">
      <c r="A7906" s="26"/>
      <c r="B7906" s="86"/>
      <c r="D7906" s="26"/>
      <c r="F7906" s="87" t="str">
        <f t="shared" si="0"/>
        <v/>
      </c>
      <c r="H7906" s="26" t="str">
        <f t="shared" si="1"/>
        <v/>
      </c>
      <c r="I7906" s="26" t="str">
        <f t="shared" si="2"/>
        <v/>
      </c>
      <c r="J7906" s="86">
        <f t="shared" si="3"/>
        <v>0</v>
      </c>
      <c r="R7906" s="26"/>
    </row>
    <row r="7907" spans="1:18" ht="15.75" customHeight="1">
      <c r="A7907" s="26"/>
      <c r="B7907" s="86"/>
      <c r="D7907" s="26"/>
      <c r="F7907" s="87" t="str">
        <f t="shared" si="0"/>
        <v/>
      </c>
      <c r="H7907" s="26" t="str">
        <f t="shared" si="1"/>
        <v/>
      </c>
      <c r="I7907" s="26" t="str">
        <f t="shared" si="2"/>
        <v/>
      </c>
      <c r="J7907" s="86">
        <f t="shared" si="3"/>
        <v>0</v>
      </c>
      <c r="R7907" s="26"/>
    </row>
    <row r="7908" spans="1:18" ht="15.75" customHeight="1">
      <c r="A7908" s="26"/>
      <c r="B7908" s="86"/>
      <c r="D7908" s="26"/>
      <c r="F7908" s="87" t="str">
        <f t="shared" si="0"/>
        <v/>
      </c>
      <c r="H7908" s="26" t="str">
        <f t="shared" si="1"/>
        <v/>
      </c>
      <c r="I7908" s="26" t="str">
        <f t="shared" si="2"/>
        <v/>
      </c>
      <c r="J7908" s="86">
        <f t="shared" si="3"/>
        <v>0</v>
      </c>
      <c r="R7908" s="26"/>
    </row>
    <row r="7909" spans="1:18" ht="15.75" customHeight="1">
      <c r="A7909" s="26"/>
      <c r="B7909" s="86"/>
      <c r="D7909" s="26"/>
      <c r="F7909" s="87" t="str">
        <f t="shared" si="0"/>
        <v/>
      </c>
      <c r="H7909" s="26" t="str">
        <f t="shared" si="1"/>
        <v/>
      </c>
      <c r="I7909" s="26" t="str">
        <f t="shared" si="2"/>
        <v/>
      </c>
      <c r="J7909" s="86">
        <f t="shared" si="3"/>
        <v>0</v>
      </c>
      <c r="R7909" s="26"/>
    </row>
    <row r="7910" spans="1:18" ht="15.75" customHeight="1">
      <c r="A7910" s="26"/>
      <c r="B7910" s="86"/>
      <c r="D7910" s="26"/>
      <c r="F7910" s="87" t="str">
        <f t="shared" si="0"/>
        <v/>
      </c>
      <c r="H7910" s="26" t="str">
        <f t="shared" si="1"/>
        <v/>
      </c>
      <c r="I7910" s="26" t="str">
        <f t="shared" si="2"/>
        <v/>
      </c>
      <c r="J7910" s="86">
        <f t="shared" si="3"/>
        <v>0</v>
      </c>
      <c r="R7910" s="26"/>
    </row>
    <row r="7911" spans="1:18" ht="15.75" customHeight="1">
      <c r="A7911" s="26"/>
      <c r="B7911" s="86"/>
      <c r="D7911" s="26"/>
      <c r="F7911" s="87" t="str">
        <f t="shared" si="0"/>
        <v/>
      </c>
      <c r="H7911" s="26" t="str">
        <f t="shared" si="1"/>
        <v/>
      </c>
      <c r="I7911" s="26" t="str">
        <f t="shared" si="2"/>
        <v/>
      </c>
      <c r="J7911" s="86">
        <f t="shared" si="3"/>
        <v>0</v>
      </c>
      <c r="R7911" s="26"/>
    </row>
    <row r="7912" spans="1:18" ht="15.75" customHeight="1">
      <c r="A7912" s="26"/>
      <c r="B7912" s="86"/>
      <c r="D7912" s="26"/>
      <c r="F7912" s="87" t="str">
        <f t="shared" si="0"/>
        <v/>
      </c>
      <c r="H7912" s="26" t="str">
        <f t="shared" si="1"/>
        <v/>
      </c>
      <c r="I7912" s="26" t="str">
        <f t="shared" si="2"/>
        <v/>
      </c>
      <c r="J7912" s="86">
        <f t="shared" si="3"/>
        <v>0</v>
      </c>
      <c r="R7912" s="26"/>
    </row>
    <row r="7913" spans="1:18" ht="15.75" customHeight="1">
      <c r="A7913" s="26"/>
      <c r="B7913" s="86"/>
      <c r="D7913" s="26"/>
      <c r="F7913" s="87" t="str">
        <f t="shared" si="0"/>
        <v/>
      </c>
      <c r="H7913" s="26" t="str">
        <f t="shared" si="1"/>
        <v/>
      </c>
      <c r="I7913" s="26" t="str">
        <f t="shared" si="2"/>
        <v/>
      </c>
      <c r="J7913" s="86">
        <f t="shared" si="3"/>
        <v>0</v>
      </c>
      <c r="R7913" s="26"/>
    </row>
    <row r="7914" spans="1:18" ht="15.75" customHeight="1">
      <c r="A7914" s="26"/>
      <c r="B7914" s="86"/>
      <c r="D7914" s="26"/>
      <c r="F7914" s="87" t="str">
        <f t="shared" si="0"/>
        <v/>
      </c>
      <c r="H7914" s="26" t="str">
        <f t="shared" si="1"/>
        <v/>
      </c>
      <c r="I7914" s="26" t="str">
        <f t="shared" si="2"/>
        <v/>
      </c>
      <c r="J7914" s="86">
        <f t="shared" si="3"/>
        <v>0</v>
      </c>
      <c r="R7914" s="26"/>
    </row>
    <row r="7915" spans="1:18" ht="15.75" customHeight="1">
      <c r="A7915" s="26"/>
      <c r="B7915" s="86"/>
      <c r="D7915" s="26"/>
      <c r="F7915" s="87" t="str">
        <f t="shared" si="0"/>
        <v/>
      </c>
      <c r="H7915" s="26" t="str">
        <f t="shared" si="1"/>
        <v/>
      </c>
      <c r="I7915" s="26" t="str">
        <f t="shared" si="2"/>
        <v/>
      </c>
      <c r="J7915" s="86">
        <f t="shared" si="3"/>
        <v>0</v>
      </c>
      <c r="R7915" s="26"/>
    </row>
    <row r="7916" spans="1:18" ht="15.75" customHeight="1">
      <c r="A7916" s="26"/>
      <c r="B7916" s="86"/>
      <c r="D7916" s="26"/>
      <c r="F7916" s="87" t="str">
        <f t="shared" si="0"/>
        <v/>
      </c>
      <c r="H7916" s="26" t="str">
        <f t="shared" si="1"/>
        <v/>
      </c>
      <c r="I7916" s="26" t="str">
        <f t="shared" si="2"/>
        <v/>
      </c>
      <c r="J7916" s="86">
        <f t="shared" si="3"/>
        <v>0</v>
      </c>
      <c r="R7916" s="26"/>
    </row>
    <row r="7917" spans="1:18" ht="15.75" customHeight="1">
      <c r="A7917" s="26"/>
      <c r="B7917" s="86"/>
      <c r="D7917" s="26"/>
      <c r="F7917" s="87" t="str">
        <f t="shared" si="0"/>
        <v/>
      </c>
      <c r="H7917" s="26" t="str">
        <f t="shared" si="1"/>
        <v/>
      </c>
      <c r="I7917" s="26" t="str">
        <f t="shared" si="2"/>
        <v/>
      </c>
      <c r="J7917" s="86">
        <f t="shared" si="3"/>
        <v>0</v>
      </c>
      <c r="R7917" s="26"/>
    </row>
    <row r="7918" spans="1:18" ht="15.75" customHeight="1">
      <c r="A7918" s="26"/>
      <c r="B7918" s="86"/>
      <c r="D7918" s="26"/>
      <c r="F7918" s="87" t="str">
        <f t="shared" si="0"/>
        <v/>
      </c>
      <c r="H7918" s="26" t="str">
        <f t="shared" si="1"/>
        <v/>
      </c>
      <c r="I7918" s="26" t="str">
        <f t="shared" si="2"/>
        <v/>
      </c>
      <c r="J7918" s="86">
        <f t="shared" si="3"/>
        <v>0</v>
      </c>
      <c r="R7918" s="26"/>
    </row>
    <row r="7919" spans="1:18" ht="15.75" customHeight="1">
      <c r="A7919" s="26"/>
      <c r="B7919" s="86"/>
      <c r="D7919" s="26"/>
      <c r="F7919" s="87" t="str">
        <f t="shared" si="0"/>
        <v/>
      </c>
      <c r="H7919" s="26" t="str">
        <f t="shared" si="1"/>
        <v/>
      </c>
      <c r="I7919" s="26" t="str">
        <f t="shared" si="2"/>
        <v/>
      </c>
      <c r="J7919" s="86">
        <f t="shared" si="3"/>
        <v>0</v>
      </c>
      <c r="R7919" s="26"/>
    </row>
    <row r="7920" spans="1:18" ht="15.75" customHeight="1">
      <c r="A7920" s="26"/>
      <c r="B7920" s="86"/>
      <c r="D7920" s="26"/>
      <c r="F7920" s="87" t="str">
        <f t="shared" si="0"/>
        <v/>
      </c>
      <c r="H7920" s="26" t="str">
        <f t="shared" si="1"/>
        <v/>
      </c>
      <c r="I7920" s="26" t="str">
        <f t="shared" si="2"/>
        <v/>
      </c>
      <c r="J7920" s="86">
        <f t="shared" si="3"/>
        <v>0</v>
      </c>
      <c r="R7920" s="26"/>
    </row>
    <row r="7921" spans="1:18" ht="15.75" customHeight="1">
      <c r="A7921" s="26"/>
      <c r="B7921" s="86"/>
      <c r="D7921" s="26"/>
      <c r="F7921" s="87" t="str">
        <f t="shared" si="0"/>
        <v/>
      </c>
      <c r="H7921" s="26" t="str">
        <f t="shared" si="1"/>
        <v/>
      </c>
      <c r="I7921" s="26" t="str">
        <f t="shared" si="2"/>
        <v/>
      </c>
      <c r="J7921" s="86">
        <f t="shared" si="3"/>
        <v>0</v>
      </c>
      <c r="R7921" s="26"/>
    </row>
    <row r="7922" spans="1:18" ht="15.75" customHeight="1">
      <c r="A7922" s="26"/>
      <c r="B7922" s="86"/>
      <c r="D7922" s="26"/>
      <c r="F7922" s="87" t="str">
        <f t="shared" si="0"/>
        <v/>
      </c>
      <c r="H7922" s="26" t="str">
        <f t="shared" si="1"/>
        <v/>
      </c>
      <c r="I7922" s="26" t="str">
        <f t="shared" si="2"/>
        <v/>
      </c>
      <c r="J7922" s="86">
        <f t="shared" si="3"/>
        <v>0</v>
      </c>
      <c r="R7922" s="26"/>
    </row>
    <row r="7923" spans="1:18" ht="15.75" customHeight="1">
      <c r="A7923" s="26"/>
      <c r="B7923" s="86"/>
      <c r="D7923" s="26"/>
      <c r="F7923" s="87" t="str">
        <f t="shared" si="0"/>
        <v/>
      </c>
      <c r="H7923" s="26" t="str">
        <f t="shared" si="1"/>
        <v/>
      </c>
      <c r="I7923" s="26" t="str">
        <f t="shared" si="2"/>
        <v/>
      </c>
      <c r="J7923" s="86">
        <f t="shared" si="3"/>
        <v>0</v>
      </c>
      <c r="R7923" s="26"/>
    </row>
    <row r="7924" spans="1:18" ht="15.75" customHeight="1">
      <c r="A7924" s="26"/>
      <c r="B7924" s="86"/>
      <c r="D7924" s="26"/>
      <c r="F7924" s="87" t="str">
        <f t="shared" si="0"/>
        <v/>
      </c>
      <c r="H7924" s="26" t="str">
        <f t="shared" si="1"/>
        <v/>
      </c>
      <c r="I7924" s="26" t="str">
        <f t="shared" si="2"/>
        <v/>
      </c>
      <c r="J7924" s="86">
        <f t="shared" si="3"/>
        <v>0</v>
      </c>
      <c r="R7924" s="26"/>
    </row>
    <row r="7925" spans="1:18" ht="15.75" customHeight="1">
      <c r="A7925" s="26"/>
      <c r="B7925" s="86"/>
      <c r="D7925" s="26"/>
      <c r="F7925" s="87" t="str">
        <f t="shared" si="0"/>
        <v/>
      </c>
      <c r="H7925" s="26" t="str">
        <f t="shared" si="1"/>
        <v/>
      </c>
      <c r="I7925" s="26" t="str">
        <f t="shared" si="2"/>
        <v/>
      </c>
      <c r="J7925" s="86">
        <f t="shared" si="3"/>
        <v>0</v>
      </c>
      <c r="R7925" s="26"/>
    </row>
    <row r="7926" spans="1:18" ht="15.75" customHeight="1">
      <c r="A7926" s="26"/>
      <c r="B7926" s="86"/>
      <c r="D7926" s="26"/>
      <c r="F7926" s="87" t="str">
        <f t="shared" si="0"/>
        <v/>
      </c>
      <c r="H7926" s="26" t="str">
        <f t="shared" si="1"/>
        <v/>
      </c>
      <c r="I7926" s="26" t="str">
        <f t="shared" si="2"/>
        <v/>
      </c>
      <c r="J7926" s="86">
        <f t="shared" si="3"/>
        <v>0</v>
      </c>
      <c r="R7926" s="26"/>
    </row>
    <row r="7927" spans="1:18" ht="15.75" customHeight="1">
      <c r="A7927" s="26"/>
      <c r="B7927" s="86"/>
      <c r="D7927" s="26"/>
      <c r="F7927" s="87" t="str">
        <f t="shared" si="0"/>
        <v/>
      </c>
      <c r="H7927" s="26" t="str">
        <f t="shared" si="1"/>
        <v/>
      </c>
      <c r="I7927" s="26" t="str">
        <f t="shared" si="2"/>
        <v/>
      </c>
      <c r="J7927" s="86">
        <f t="shared" si="3"/>
        <v>0</v>
      </c>
      <c r="R7927" s="26"/>
    </row>
    <row r="7928" spans="1:18" ht="15.75" customHeight="1">
      <c r="A7928" s="26"/>
      <c r="B7928" s="86"/>
      <c r="D7928" s="26"/>
      <c r="F7928" s="87" t="str">
        <f t="shared" si="0"/>
        <v/>
      </c>
      <c r="H7928" s="26" t="str">
        <f t="shared" si="1"/>
        <v/>
      </c>
      <c r="I7928" s="26" t="str">
        <f t="shared" si="2"/>
        <v/>
      </c>
      <c r="J7928" s="86">
        <f t="shared" si="3"/>
        <v>0</v>
      </c>
      <c r="R7928" s="26"/>
    </row>
    <row r="7929" spans="1:18" ht="15.75" customHeight="1">
      <c r="A7929" s="26"/>
      <c r="B7929" s="86"/>
      <c r="D7929" s="26"/>
      <c r="F7929" s="87" t="str">
        <f t="shared" si="0"/>
        <v/>
      </c>
      <c r="H7929" s="26" t="str">
        <f t="shared" si="1"/>
        <v/>
      </c>
      <c r="I7929" s="26" t="str">
        <f t="shared" si="2"/>
        <v/>
      </c>
      <c r="J7929" s="86">
        <f t="shared" si="3"/>
        <v>0</v>
      </c>
      <c r="R7929" s="26"/>
    </row>
    <row r="7930" spans="1:18" ht="15.75" customHeight="1">
      <c r="A7930" s="26"/>
      <c r="B7930" s="86"/>
      <c r="D7930" s="26"/>
      <c r="F7930" s="87" t="str">
        <f t="shared" si="0"/>
        <v/>
      </c>
      <c r="H7930" s="26" t="str">
        <f t="shared" si="1"/>
        <v/>
      </c>
      <c r="I7930" s="26" t="str">
        <f t="shared" si="2"/>
        <v/>
      </c>
      <c r="J7930" s="86">
        <f t="shared" si="3"/>
        <v>0</v>
      </c>
      <c r="R7930" s="26"/>
    </row>
    <row r="7931" spans="1:18" ht="15.75" customHeight="1">
      <c r="A7931" s="26"/>
      <c r="B7931" s="86"/>
      <c r="D7931" s="26"/>
      <c r="F7931" s="87" t="str">
        <f t="shared" si="0"/>
        <v/>
      </c>
      <c r="H7931" s="26" t="str">
        <f t="shared" si="1"/>
        <v/>
      </c>
      <c r="I7931" s="26" t="str">
        <f t="shared" si="2"/>
        <v/>
      </c>
      <c r="J7931" s="86">
        <f t="shared" si="3"/>
        <v>0</v>
      </c>
      <c r="R7931" s="26"/>
    </row>
    <row r="7932" spans="1:18" ht="15.75" customHeight="1">
      <c r="A7932" s="26"/>
      <c r="B7932" s="86"/>
      <c r="D7932" s="26"/>
      <c r="F7932" s="87" t="str">
        <f t="shared" si="0"/>
        <v/>
      </c>
      <c r="H7932" s="26" t="str">
        <f t="shared" si="1"/>
        <v/>
      </c>
      <c r="I7932" s="26" t="str">
        <f t="shared" si="2"/>
        <v/>
      </c>
      <c r="J7932" s="86">
        <f t="shared" si="3"/>
        <v>0</v>
      </c>
      <c r="R7932" s="26"/>
    </row>
    <row r="7933" spans="1:18" ht="15.75" customHeight="1">
      <c r="A7933" s="26"/>
      <c r="B7933" s="86"/>
      <c r="D7933" s="26"/>
      <c r="F7933" s="87" t="str">
        <f t="shared" si="0"/>
        <v/>
      </c>
      <c r="H7933" s="26" t="str">
        <f t="shared" si="1"/>
        <v/>
      </c>
      <c r="I7933" s="26" t="str">
        <f t="shared" si="2"/>
        <v/>
      </c>
      <c r="J7933" s="86">
        <f t="shared" si="3"/>
        <v>0</v>
      </c>
      <c r="R7933" s="26"/>
    </row>
    <row r="7934" spans="1:18" ht="15.75" customHeight="1">
      <c r="A7934" s="26"/>
      <c r="B7934" s="86"/>
      <c r="D7934" s="26"/>
      <c r="F7934" s="87" t="str">
        <f t="shared" si="0"/>
        <v/>
      </c>
      <c r="H7934" s="26" t="str">
        <f t="shared" si="1"/>
        <v/>
      </c>
      <c r="I7934" s="26" t="str">
        <f t="shared" si="2"/>
        <v/>
      </c>
      <c r="J7934" s="86">
        <f t="shared" si="3"/>
        <v>0</v>
      </c>
      <c r="R7934" s="26"/>
    </row>
    <row r="7935" spans="1:18" ht="15.75" customHeight="1">
      <c r="A7935" s="26"/>
      <c r="B7935" s="86"/>
      <c r="D7935" s="26"/>
      <c r="F7935" s="87" t="str">
        <f t="shared" si="0"/>
        <v/>
      </c>
      <c r="H7935" s="26" t="str">
        <f t="shared" si="1"/>
        <v/>
      </c>
      <c r="I7935" s="26" t="str">
        <f t="shared" si="2"/>
        <v/>
      </c>
      <c r="J7935" s="86">
        <f t="shared" si="3"/>
        <v>0</v>
      </c>
      <c r="R7935" s="26"/>
    </row>
    <row r="7936" spans="1:18" ht="15.75" customHeight="1">
      <c r="A7936" s="26"/>
      <c r="B7936" s="86"/>
      <c r="D7936" s="26"/>
      <c r="F7936" s="87" t="str">
        <f t="shared" si="0"/>
        <v/>
      </c>
      <c r="H7936" s="26" t="str">
        <f t="shared" si="1"/>
        <v/>
      </c>
      <c r="I7936" s="26" t="str">
        <f t="shared" si="2"/>
        <v/>
      </c>
      <c r="J7936" s="86">
        <f t="shared" si="3"/>
        <v>0</v>
      </c>
      <c r="R7936" s="26"/>
    </row>
    <row r="7937" spans="1:18" ht="15.75" customHeight="1">
      <c r="A7937" s="26"/>
      <c r="B7937" s="86"/>
      <c r="D7937" s="26"/>
      <c r="F7937" s="87" t="str">
        <f t="shared" si="0"/>
        <v/>
      </c>
      <c r="H7937" s="26" t="str">
        <f t="shared" si="1"/>
        <v/>
      </c>
      <c r="I7937" s="26" t="str">
        <f t="shared" si="2"/>
        <v/>
      </c>
      <c r="J7937" s="86">
        <f t="shared" si="3"/>
        <v>0</v>
      </c>
      <c r="R7937" s="26"/>
    </row>
    <row r="7938" spans="1:18" ht="15.75" customHeight="1">
      <c r="A7938" s="26"/>
      <c r="B7938" s="86"/>
      <c r="D7938" s="26"/>
      <c r="F7938" s="87" t="str">
        <f t="shared" si="0"/>
        <v/>
      </c>
      <c r="H7938" s="26" t="str">
        <f t="shared" si="1"/>
        <v/>
      </c>
      <c r="I7938" s="26" t="str">
        <f t="shared" si="2"/>
        <v/>
      </c>
      <c r="J7938" s="86">
        <f t="shared" si="3"/>
        <v>0</v>
      </c>
      <c r="R7938" s="26"/>
    </row>
    <row r="7939" spans="1:18" ht="15.75" customHeight="1">
      <c r="A7939" s="26"/>
      <c r="B7939" s="86"/>
      <c r="D7939" s="26"/>
      <c r="F7939" s="87" t="str">
        <f t="shared" si="0"/>
        <v/>
      </c>
      <c r="H7939" s="26" t="str">
        <f t="shared" si="1"/>
        <v/>
      </c>
      <c r="I7939" s="26" t="str">
        <f t="shared" si="2"/>
        <v/>
      </c>
      <c r="J7939" s="86">
        <f t="shared" si="3"/>
        <v>0</v>
      </c>
      <c r="R7939" s="26"/>
    </row>
    <row r="7940" spans="1:18" ht="15.75" customHeight="1">
      <c r="A7940" s="26"/>
      <c r="B7940" s="86"/>
      <c r="D7940" s="26"/>
      <c r="F7940" s="87" t="str">
        <f t="shared" si="0"/>
        <v/>
      </c>
      <c r="H7940" s="26" t="str">
        <f t="shared" si="1"/>
        <v/>
      </c>
      <c r="I7940" s="26" t="str">
        <f t="shared" si="2"/>
        <v/>
      </c>
      <c r="J7940" s="86">
        <f t="shared" si="3"/>
        <v>0</v>
      </c>
      <c r="R7940" s="26"/>
    </row>
    <row r="7941" spans="1:18" ht="15.75" customHeight="1">
      <c r="A7941" s="26"/>
      <c r="B7941" s="86"/>
      <c r="D7941" s="26"/>
      <c r="F7941" s="87" t="str">
        <f t="shared" si="0"/>
        <v/>
      </c>
      <c r="H7941" s="26" t="str">
        <f t="shared" si="1"/>
        <v/>
      </c>
      <c r="I7941" s="26" t="str">
        <f t="shared" si="2"/>
        <v/>
      </c>
      <c r="J7941" s="86">
        <f t="shared" si="3"/>
        <v>0</v>
      </c>
      <c r="R7941" s="26"/>
    </row>
    <row r="7942" spans="1:18" ht="15.75" customHeight="1">
      <c r="A7942" s="26"/>
      <c r="B7942" s="86"/>
      <c r="D7942" s="26"/>
      <c r="F7942" s="87" t="str">
        <f t="shared" si="0"/>
        <v/>
      </c>
      <c r="H7942" s="26" t="str">
        <f t="shared" si="1"/>
        <v/>
      </c>
      <c r="I7942" s="26" t="str">
        <f t="shared" si="2"/>
        <v/>
      </c>
      <c r="J7942" s="86">
        <f t="shared" si="3"/>
        <v>0</v>
      </c>
      <c r="R7942" s="26"/>
    </row>
    <row r="7943" spans="1:18" ht="15.75" customHeight="1">
      <c r="A7943" s="26"/>
      <c r="B7943" s="86"/>
      <c r="D7943" s="26"/>
      <c r="F7943" s="87" t="str">
        <f t="shared" si="0"/>
        <v/>
      </c>
      <c r="H7943" s="26" t="str">
        <f t="shared" si="1"/>
        <v/>
      </c>
      <c r="I7943" s="26" t="str">
        <f t="shared" si="2"/>
        <v/>
      </c>
      <c r="J7943" s="86">
        <f t="shared" si="3"/>
        <v>0</v>
      </c>
      <c r="R7943" s="26"/>
    </row>
    <row r="7944" spans="1:18" ht="15.75" customHeight="1">
      <c r="A7944" s="26"/>
      <c r="B7944" s="86"/>
      <c r="D7944" s="26"/>
      <c r="F7944" s="87" t="str">
        <f t="shared" si="0"/>
        <v/>
      </c>
      <c r="H7944" s="26" t="str">
        <f t="shared" si="1"/>
        <v/>
      </c>
      <c r="I7944" s="26" t="str">
        <f t="shared" si="2"/>
        <v/>
      </c>
      <c r="J7944" s="86">
        <f t="shared" si="3"/>
        <v>0</v>
      </c>
      <c r="R7944" s="26"/>
    </row>
    <row r="7945" spans="1:18" ht="15.75" customHeight="1">
      <c r="A7945" s="26"/>
      <c r="B7945" s="86"/>
      <c r="D7945" s="26"/>
      <c r="F7945" s="87" t="str">
        <f t="shared" si="0"/>
        <v/>
      </c>
      <c r="H7945" s="26" t="str">
        <f t="shared" si="1"/>
        <v/>
      </c>
      <c r="I7945" s="26" t="str">
        <f t="shared" si="2"/>
        <v/>
      </c>
      <c r="J7945" s="86">
        <f t="shared" si="3"/>
        <v>0</v>
      </c>
      <c r="R7945" s="26"/>
    </row>
    <row r="7946" spans="1:18" ht="15.75" customHeight="1">
      <c r="A7946" s="26"/>
      <c r="B7946" s="86"/>
      <c r="D7946" s="26"/>
      <c r="F7946" s="87" t="str">
        <f t="shared" si="0"/>
        <v/>
      </c>
      <c r="H7946" s="26" t="str">
        <f t="shared" si="1"/>
        <v/>
      </c>
      <c r="I7946" s="26" t="str">
        <f t="shared" si="2"/>
        <v/>
      </c>
      <c r="J7946" s="86">
        <f t="shared" si="3"/>
        <v>0</v>
      </c>
      <c r="R7946" s="26"/>
    </row>
    <row r="7947" spans="1:18" ht="15.75" customHeight="1">
      <c r="A7947" s="26"/>
      <c r="B7947" s="86"/>
      <c r="D7947" s="26"/>
      <c r="F7947" s="87" t="str">
        <f t="shared" si="0"/>
        <v/>
      </c>
      <c r="H7947" s="26" t="str">
        <f t="shared" si="1"/>
        <v/>
      </c>
      <c r="I7947" s="26" t="str">
        <f t="shared" si="2"/>
        <v/>
      </c>
      <c r="J7947" s="86">
        <f t="shared" si="3"/>
        <v>0</v>
      </c>
      <c r="R7947" s="26"/>
    </row>
    <row r="7948" spans="1:18" ht="15.75" customHeight="1">
      <c r="A7948" s="26"/>
      <c r="B7948" s="86"/>
      <c r="D7948" s="26"/>
      <c r="F7948" s="87" t="str">
        <f t="shared" si="0"/>
        <v/>
      </c>
      <c r="H7948" s="26" t="str">
        <f t="shared" si="1"/>
        <v/>
      </c>
      <c r="I7948" s="26" t="str">
        <f t="shared" si="2"/>
        <v/>
      </c>
      <c r="J7948" s="86">
        <f t="shared" si="3"/>
        <v>0</v>
      </c>
      <c r="R7948" s="26"/>
    </row>
    <row r="7949" spans="1:18" ht="15.75" customHeight="1">
      <c r="A7949" s="26"/>
      <c r="B7949" s="86"/>
      <c r="D7949" s="26"/>
      <c r="F7949" s="87" t="str">
        <f t="shared" si="0"/>
        <v/>
      </c>
      <c r="H7949" s="26" t="str">
        <f t="shared" si="1"/>
        <v/>
      </c>
      <c r="I7949" s="26" t="str">
        <f t="shared" si="2"/>
        <v/>
      </c>
      <c r="J7949" s="86">
        <f t="shared" si="3"/>
        <v>0</v>
      </c>
      <c r="R7949" s="26"/>
    </row>
    <row r="7950" spans="1:18" ht="15.75" customHeight="1">
      <c r="A7950" s="26"/>
      <c r="B7950" s="86"/>
      <c r="D7950" s="26"/>
      <c r="F7950" s="87" t="str">
        <f t="shared" si="0"/>
        <v/>
      </c>
      <c r="H7950" s="26" t="str">
        <f t="shared" si="1"/>
        <v/>
      </c>
      <c r="I7950" s="26" t="str">
        <f t="shared" si="2"/>
        <v/>
      </c>
      <c r="J7950" s="86">
        <f t="shared" si="3"/>
        <v>0</v>
      </c>
      <c r="R7950" s="26"/>
    </row>
    <row r="7951" spans="1:18" ht="15.75" customHeight="1">
      <c r="A7951" s="26"/>
      <c r="B7951" s="86"/>
      <c r="D7951" s="26"/>
      <c r="F7951" s="87" t="str">
        <f t="shared" si="0"/>
        <v/>
      </c>
      <c r="H7951" s="26" t="str">
        <f t="shared" si="1"/>
        <v/>
      </c>
      <c r="I7951" s="26" t="str">
        <f t="shared" si="2"/>
        <v/>
      </c>
      <c r="J7951" s="86">
        <f t="shared" si="3"/>
        <v>0</v>
      </c>
      <c r="R7951" s="26"/>
    </row>
    <row r="7952" spans="1:18" ht="15.75" customHeight="1">
      <c r="A7952" s="26"/>
      <c r="B7952" s="86"/>
      <c r="D7952" s="26"/>
      <c r="F7952" s="87" t="str">
        <f t="shared" si="0"/>
        <v/>
      </c>
      <c r="H7952" s="26" t="str">
        <f t="shared" si="1"/>
        <v/>
      </c>
      <c r="I7952" s="26" t="str">
        <f t="shared" si="2"/>
        <v/>
      </c>
      <c r="J7952" s="86">
        <f t="shared" si="3"/>
        <v>0</v>
      </c>
      <c r="R7952" s="26"/>
    </row>
    <row r="7953" spans="1:18" ht="15.75" customHeight="1">
      <c r="A7953" s="26"/>
      <c r="B7953" s="86"/>
      <c r="D7953" s="26"/>
      <c r="F7953" s="87" t="str">
        <f t="shared" si="0"/>
        <v/>
      </c>
      <c r="H7953" s="26" t="str">
        <f t="shared" si="1"/>
        <v/>
      </c>
      <c r="I7953" s="26" t="str">
        <f t="shared" si="2"/>
        <v/>
      </c>
      <c r="J7953" s="86">
        <f t="shared" si="3"/>
        <v>0</v>
      </c>
      <c r="R7953" s="26"/>
    </row>
    <row r="7954" spans="1:18" ht="15.75" customHeight="1">
      <c r="A7954" s="26"/>
      <c r="B7954" s="86"/>
      <c r="D7954" s="26"/>
      <c r="F7954" s="87" t="str">
        <f t="shared" si="0"/>
        <v/>
      </c>
      <c r="H7954" s="26" t="str">
        <f t="shared" si="1"/>
        <v/>
      </c>
      <c r="I7954" s="26" t="str">
        <f t="shared" si="2"/>
        <v/>
      </c>
      <c r="J7954" s="86">
        <f t="shared" si="3"/>
        <v>0</v>
      </c>
      <c r="R7954" s="26"/>
    </row>
    <row r="7955" spans="1:18" ht="15.75" customHeight="1">
      <c r="A7955" s="26"/>
      <c r="B7955" s="86"/>
      <c r="D7955" s="26"/>
      <c r="F7955" s="87" t="str">
        <f t="shared" si="0"/>
        <v/>
      </c>
      <c r="H7955" s="26" t="str">
        <f t="shared" si="1"/>
        <v/>
      </c>
      <c r="I7955" s="26" t="str">
        <f t="shared" si="2"/>
        <v/>
      </c>
      <c r="J7955" s="86">
        <f t="shared" si="3"/>
        <v>0</v>
      </c>
      <c r="R7955" s="26"/>
    </row>
    <row r="7956" spans="1:18" ht="15.75" customHeight="1">
      <c r="A7956" s="26"/>
      <c r="B7956" s="86"/>
      <c r="D7956" s="26"/>
      <c r="F7956" s="87" t="str">
        <f t="shared" si="0"/>
        <v/>
      </c>
      <c r="H7956" s="26" t="str">
        <f t="shared" si="1"/>
        <v/>
      </c>
      <c r="I7956" s="26" t="str">
        <f t="shared" si="2"/>
        <v/>
      </c>
      <c r="J7956" s="86">
        <f t="shared" si="3"/>
        <v>0</v>
      </c>
      <c r="R7956" s="26"/>
    </row>
    <row r="7957" spans="1:18" ht="15.75" customHeight="1">
      <c r="A7957" s="26"/>
      <c r="B7957" s="86"/>
      <c r="D7957" s="26"/>
      <c r="F7957" s="87" t="str">
        <f t="shared" si="0"/>
        <v/>
      </c>
      <c r="H7957" s="26" t="str">
        <f t="shared" si="1"/>
        <v/>
      </c>
      <c r="I7957" s="26" t="str">
        <f t="shared" si="2"/>
        <v/>
      </c>
      <c r="J7957" s="86">
        <f t="shared" si="3"/>
        <v>0</v>
      </c>
      <c r="R7957" s="26"/>
    </row>
    <row r="7958" spans="1:18" ht="15.75" customHeight="1">
      <c r="A7958" s="26"/>
      <c r="B7958" s="86"/>
      <c r="D7958" s="26"/>
      <c r="F7958" s="87" t="str">
        <f t="shared" si="0"/>
        <v/>
      </c>
      <c r="H7958" s="26" t="str">
        <f t="shared" si="1"/>
        <v/>
      </c>
      <c r="I7958" s="26" t="str">
        <f t="shared" si="2"/>
        <v/>
      </c>
      <c r="J7958" s="86">
        <f t="shared" si="3"/>
        <v>0</v>
      </c>
      <c r="R7958" s="26"/>
    </row>
    <row r="7959" spans="1:18" ht="15.75" customHeight="1">
      <c r="A7959" s="26"/>
      <c r="B7959" s="86"/>
      <c r="D7959" s="26"/>
      <c r="F7959" s="87" t="str">
        <f t="shared" si="0"/>
        <v/>
      </c>
      <c r="H7959" s="26" t="str">
        <f t="shared" si="1"/>
        <v/>
      </c>
      <c r="I7959" s="26" t="str">
        <f t="shared" si="2"/>
        <v/>
      </c>
      <c r="J7959" s="86">
        <f t="shared" si="3"/>
        <v>0</v>
      </c>
      <c r="R7959" s="26"/>
    </row>
    <row r="7960" spans="1:18" ht="15.75" customHeight="1">
      <c r="A7960" s="26"/>
      <c r="B7960" s="86"/>
      <c r="D7960" s="26"/>
      <c r="F7960" s="87" t="str">
        <f t="shared" si="0"/>
        <v/>
      </c>
      <c r="H7960" s="26" t="str">
        <f t="shared" si="1"/>
        <v/>
      </c>
      <c r="I7960" s="26" t="str">
        <f t="shared" si="2"/>
        <v/>
      </c>
      <c r="J7960" s="86">
        <f t="shared" si="3"/>
        <v>0</v>
      </c>
      <c r="R7960" s="26"/>
    </row>
    <row r="7961" spans="1:18" ht="15.75" customHeight="1">
      <c r="A7961" s="26"/>
      <c r="B7961" s="86"/>
      <c r="D7961" s="26"/>
      <c r="F7961" s="87" t="str">
        <f t="shared" si="0"/>
        <v/>
      </c>
      <c r="H7961" s="26" t="str">
        <f t="shared" si="1"/>
        <v/>
      </c>
      <c r="I7961" s="26" t="str">
        <f t="shared" si="2"/>
        <v/>
      </c>
      <c r="J7961" s="86">
        <f t="shared" si="3"/>
        <v>0</v>
      </c>
      <c r="R7961" s="26"/>
    </row>
    <row r="7962" spans="1:18" ht="15.75" customHeight="1">
      <c r="A7962" s="26"/>
      <c r="B7962" s="86"/>
      <c r="D7962" s="26"/>
      <c r="F7962" s="87" t="str">
        <f t="shared" si="0"/>
        <v/>
      </c>
      <c r="H7962" s="26" t="str">
        <f t="shared" si="1"/>
        <v/>
      </c>
      <c r="I7962" s="26" t="str">
        <f t="shared" si="2"/>
        <v/>
      </c>
      <c r="J7962" s="86">
        <f t="shared" si="3"/>
        <v>0</v>
      </c>
      <c r="R7962" s="26"/>
    </row>
    <row r="7963" spans="1:18" ht="15.75" customHeight="1">
      <c r="A7963" s="26"/>
      <c r="B7963" s="86"/>
      <c r="D7963" s="26"/>
      <c r="F7963" s="87" t="str">
        <f t="shared" si="0"/>
        <v/>
      </c>
      <c r="H7963" s="26" t="str">
        <f t="shared" si="1"/>
        <v/>
      </c>
      <c r="I7963" s="26" t="str">
        <f t="shared" si="2"/>
        <v/>
      </c>
      <c r="J7963" s="86">
        <f t="shared" si="3"/>
        <v>0</v>
      </c>
      <c r="R7963" s="26"/>
    </row>
    <row r="7964" spans="1:18" ht="15.75" customHeight="1">
      <c r="A7964" s="26"/>
      <c r="B7964" s="86"/>
      <c r="D7964" s="26"/>
      <c r="F7964" s="87" t="str">
        <f t="shared" si="0"/>
        <v/>
      </c>
      <c r="H7964" s="26" t="str">
        <f t="shared" si="1"/>
        <v/>
      </c>
      <c r="I7964" s="26" t="str">
        <f t="shared" si="2"/>
        <v/>
      </c>
      <c r="J7964" s="86">
        <f t="shared" si="3"/>
        <v>0</v>
      </c>
      <c r="R7964" s="26"/>
    </row>
    <row r="7965" spans="1:18" ht="15.75" customHeight="1">
      <c r="A7965" s="26"/>
      <c r="B7965" s="86"/>
      <c r="D7965" s="26"/>
      <c r="F7965" s="87" t="str">
        <f t="shared" si="0"/>
        <v/>
      </c>
      <c r="H7965" s="26" t="str">
        <f t="shared" si="1"/>
        <v/>
      </c>
      <c r="I7965" s="26" t="str">
        <f t="shared" si="2"/>
        <v/>
      </c>
      <c r="J7965" s="86">
        <f t="shared" si="3"/>
        <v>0</v>
      </c>
      <c r="R7965" s="26"/>
    </row>
    <row r="7966" spans="1:18" ht="15.75" customHeight="1">
      <c r="A7966" s="26"/>
      <c r="B7966" s="86"/>
      <c r="D7966" s="26"/>
      <c r="F7966" s="87" t="str">
        <f t="shared" si="0"/>
        <v/>
      </c>
      <c r="H7966" s="26" t="str">
        <f t="shared" si="1"/>
        <v/>
      </c>
      <c r="I7966" s="26" t="str">
        <f t="shared" si="2"/>
        <v/>
      </c>
      <c r="J7966" s="86">
        <f t="shared" si="3"/>
        <v>0</v>
      </c>
      <c r="R7966" s="26"/>
    </row>
    <row r="7967" spans="1:18" ht="15.75" customHeight="1">
      <c r="A7967" s="26"/>
      <c r="B7967" s="86"/>
      <c r="D7967" s="26"/>
      <c r="F7967" s="87" t="str">
        <f t="shared" si="0"/>
        <v/>
      </c>
      <c r="H7967" s="26" t="str">
        <f t="shared" si="1"/>
        <v/>
      </c>
      <c r="I7967" s="26" t="str">
        <f t="shared" si="2"/>
        <v/>
      </c>
      <c r="J7967" s="86">
        <f t="shared" si="3"/>
        <v>0</v>
      </c>
      <c r="R7967" s="26"/>
    </row>
    <row r="7968" spans="1:18" ht="15.75" customHeight="1">
      <c r="A7968" s="26"/>
      <c r="B7968" s="86"/>
      <c r="D7968" s="26"/>
      <c r="F7968" s="87" t="str">
        <f t="shared" si="0"/>
        <v/>
      </c>
      <c r="H7968" s="26" t="str">
        <f t="shared" si="1"/>
        <v/>
      </c>
      <c r="I7968" s="26" t="str">
        <f t="shared" si="2"/>
        <v/>
      </c>
      <c r="J7968" s="86">
        <f t="shared" si="3"/>
        <v>0</v>
      </c>
      <c r="R7968" s="26"/>
    </row>
    <row r="7969" spans="1:18" ht="15.75" customHeight="1">
      <c r="A7969" s="26"/>
      <c r="B7969" s="86"/>
      <c r="D7969" s="26"/>
      <c r="F7969" s="87" t="str">
        <f t="shared" si="0"/>
        <v/>
      </c>
      <c r="H7969" s="26" t="str">
        <f t="shared" si="1"/>
        <v/>
      </c>
      <c r="I7969" s="26" t="str">
        <f t="shared" si="2"/>
        <v/>
      </c>
      <c r="J7969" s="86">
        <f t="shared" si="3"/>
        <v>0</v>
      </c>
      <c r="R7969" s="26"/>
    </row>
    <row r="7970" spans="1:18" ht="15.75" customHeight="1">
      <c r="A7970" s="26"/>
      <c r="B7970" s="86"/>
      <c r="D7970" s="26"/>
      <c r="F7970" s="87" t="str">
        <f t="shared" si="0"/>
        <v/>
      </c>
      <c r="H7970" s="26" t="str">
        <f t="shared" si="1"/>
        <v/>
      </c>
      <c r="I7970" s="26" t="str">
        <f t="shared" si="2"/>
        <v/>
      </c>
      <c r="J7970" s="86">
        <f t="shared" si="3"/>
        <v>0</v>
      </c>
      <c r="R7970" s="26"/>
    </row>
    <row r="7971" spans="1:18" ht="15.75" customHeight="1">
      <c r="A7971" s="26"/>
      <c r="B7971" s="86"/>
      <c r="D7971" s="26"/>
      <c r="F7971" s="87" t="str">
        <f t="shared" si="0"/>
        <v/>
      </c>
      <c r="H7971" s="26" t="str">
        <f t="shared" si="1"/>
        <v/>
      </c>
      <c r="I7971" s="26" t="str">
        <f t="shared" si="2"/>
        <v/>
      </c>
      <c r="J7971" s="86">
        <f t="shared" si="3"/>
        <v>0</v>
      </c>
      <c r="R7971" s="26"/>
    </row>
    <row r="7972" spans="1:18" ht="15.75" customHeight="1">
      <c r="A7972" s="26"/>
      <c r="B7972" s="86"/>
      <c r="D7972" s="26"/>
      <c r="F7972" s="87" t="str">
        <f t="shared" si="0"/>
        <v/>
      </c>
      <c r="H7972" s="26" t="str">
        <f t="shared" si="1"/>
        <v/>
      </c>
      <c r="I7972" s="26" t="str">
        <f t="shared" si="2"/>
        <v/>
      </c>
      <c r="J7972" s="86">
        <f t="shared" si="3"/>
        <v>0</v>
      </c>
      <c r="R7972" s="26"/>
    </row>
    <row r="7973" spans="1:18" ht="15.75" customHeight="1">
      <c r="A7973" s="26"/>
      <c r="B7973" s="86"/>
      <c r="D7973" s="26"/>
      <c r="F7973" s="87" t="str">
        <f t="shared" si="0"/>
        <v/>
      </c>
      <c r="H7973" s="26" t="str">
        <f t="shared" si="1"/>
        <v/>
      </c>
      <c r="I7973" s="26" t="str">
        <f t="shared" si="2"/>
        <v/>
      </c>
      <c r="J7973" s="86">
        <f t="shared" si="3"/>
        <v>0</v>
      </c>
      <c r="R7973" s="26"/>
    </row>
    <row r="7974" spans="1:18" ht="15.75" customHeight="1">
      <c r="A7974" s="26"/>
      <c r="B7974" s="86"/>
      <c r="D7974" s="26"/>
      <c r="F7974" s="87" t="str">
        <f t="shared" si="0"/>
        <v/>
      </c>
      <c r="H7974" s="26" t="str">
        <f t="shared" si="1"/>
        <v/>
      </c>
      <c r="I7974" s="26" t="str">
        <f t="shared" si="2"/>
        <v/>
      </c>
      <c r="J7974" s="86">
        <f t="shared" si="3"/>
        <v>0</v>
      </c>
      <c r="R7974" s="26"/>
    </row>
    <row r="7975" spans="1:18" ht="15.75" customHeight="1">
      <c r="A7975" s="26"/>
      <c r="B7975" s="86"/>
      <c r="D7975" s="26"/>
      <c r="F7975" s="87" t="str">
        <f t="shared" si="0"/>
        <v/>
      </c>
      <c r="H7975" s="26" t="str">
        <f t="shared" si="1"/>
        <v/>
      </c>
      <c r="I7975" s="26" t="str">
        <f t="shared" si="2"/>
        <v/>
      </c>
      <c r="J7975" s="86">
        <f t="shared" si="3"/>
        <v>0</v>
      </c>
      <c r="R7975" s="26"/>
    </row>
    <row r="7976" spans="1:18" ht="15.75" customHeight="1">
      <c r="A7976" s="26"/>
      <c r="B7976" s="86"/>
      <c r="D7976" s="26"/>
      <c r="F7976" s="87" t="str">
        <f t="shared" si="0"/>
        <v/>
      </c>
      <c r="H7976" s="26" t="str">
        <f t="shared" si="1"/>
        <v/>
      </c>
      <c r="I7976" s="26" t="str">
        <f t="shared" si="2"/>
        <v/>
      </c>
      <c r="J7976" s="86">
        <f t="shared" si="3"/>
        <v>0</v>
      </c>
      <c r="R7976" s="26"/>
    </row>
    <row r="7977" spans="1:18" ht="15.75" customHeight="1">
      <c r="A7977" s="26"/>
      <c r="B7977" s="86"/>
      <c r="D7977" s="26"/>
      <c r="F7977" s="87" t="str">
        <f t="shared" si="0"/>
        <v/>
      </c>
      <c r="H7977" s="26" t="str">
        <f t="shared" si="1"/>
        <v/>
      </c>
      <c r="I7977" s="26" t="str">
        <f t="shared" si="2"/>
        <v/>
      </c>
      <c r="J7977" s="86">
        <f t="shared" si="3"/>
        <v>0</v>
      </c>
      <c r="R7977" s="26"/>
    </row>
    <row r="7978" spans="1:18" ht="15.75" customHeight="1">
      <c r="A7978" s="26"/>
      <c r="B7978" s="86"/>
      <c r="D7978" s="26"/>
      <c r="F7978" s="87" t="str">
        <f t="shared" si="0"/>
        <v/>
      </c>
      <c r="H7978" s="26" t="str">
        <f t="shared" si="1"/>
        <v/>
      </c>
      <c r="I7978" s="26" t="str">
        <f t="shared" si="2"/>
        <v/>
      </c>
      <c r="J7978" s="86">
        <f t="shared" si="3"/>
        <v>0</v>
      </c>
      <c r="R7978" s="26"/>
    </row>
    <row r="7979" spans="1:18" ht="15.75" customHeight="1">
      <c r="A7979" s="26"/>
      <c r="B7979" s="86"/>
      <c r="D7979" s="26"/>
      <c r="F7979" s="87" t="str">
        <f t="shared" si="0"/>
        <v/>
      </c>
      <c r="H7979" s="26" t="str">
        <f t="shared" si="1"/>
        <v/>
      </c>
      <c r="I7979" s="26" t="str">
        <f t="shared" si="2"/>
        <v/>
      </c>
      <c r="J7979" s="86">
        <f t="shared" si="3"/>
        <v>0</v>
      </c>
      <c r="R7979" s="26"/>
    </row>
    <row r="7980" spans="1:18" ht="15.75" customHeight="1">
      <c r="A7980" s="26"/>
      <c r="B7980" s="86"/>
      <c r="D7980" s="26"/>
      <c r="F7980" s="87" t="str">
        <f t="shared" si="0"/>
        <v/>
      </c>
      <c r="H7980" s="26" t="str">
        <f t="shared" si="1"/>
        <v/>
      </c>
      <c r="I7980" s="26" t="str">
        <f t="shared" si="2"/>
        <v/>
      </c>
      <c r="J7980" s="86">
        <f t="shared" si="3"/>
        <v>0</v>
      </c>
      <c r="R7980" s="26"/>
    </row>
    <row r="7981" spans="1:18" ht="15.75" customHeight="1">
      <c r="A7981" s="26"/>
      <c r="B7981" s="86"/>
      <c r="D7981" s="26"/>
      <c r="F7981" s="87" t="str">
        <f t="shared" si="0"/>
        <v/>
      </c>
      <c r="H7981" s="26" t="str">
        <f t="shared" si="1"/>
        <v/>
      </c>
      <c r="I7981" s="26" t="str">
        <f t="shared" si="2"/>
        <v/>
      </c>
      <c r="J7981" s="86">
        <f t="shared" si="3"/>
        <v>0</v>
      </c>
      <c r="R7981" s="26"/>
    </row>
    <row r="7982" spans="1:18" ht="15.75" customHeight="1">
      <c r="A7982" s="26"/>
      <c r="B7982" s="86"/>
      <c r="D7982" s="26"/>
      <c r="F7982" s="87" t="str">
        <f t="shared" si="0"/>
        <v/>
      </c>
      <c r="H7982" s="26" t="str">
        <f t="shared" si="1"/>
        <v/>
      </c>
      <c r="I7982" s="26" t="str">
        <f t="shared" si="2"/>
        <v/>
      </c>
      <c r="J7982" s="86">
        <f t="shared" si="3"/>
        <v>0</v>
      </c>
      <c r="R7982" s="26"/>
    </row>
    <row r="7983" spans="1:18" ht="15.75" customHeight="1">
      <c r="A7983" s="26"/>
      <c r="B7983" s="86"/>
      <c r="D7983" s="26"/>
      <c r="F7983" s="87" t="str">
        <f t="shared" si="0"/>
        <v/>
      </c>
      <c r="H7983" s="26" t="str">
        <f t="shared" si="1"/>
        <v/>
      </c>
      <c r="I7983" s="26" t="str">
        <f t="shared" si="2"/>
        <v/>
      </c>
      <c r="J7983" s="86">
        <f t="shared" si="3"/>
        <v>0</v>
      </c>
      <c r="R7983" s="26"/>
    </row>
    <row r="7984" spans="1:18" ht="15.75" customHeight="1">
      <c r="A7984" s="26"/>
      <c r="B7984" s="86"/>
      <c r="D7984" s="26"/>
      <c r="F7984" s="87" t="str">
        <f t="shared" si="0"/>
        <v/>
      </c>
      <c r="H7984" s="26" t="str">
        <f t="shared" si="1"/>
        <v/>
      </c>
      <c r="I7984" s="26" t="str">
        <f t="shared" si="2"/>
        <v/>
      </c>
      <c r="J7984" s="86">
        <f t="shared" si="3"/>
        <v>0</v>
      </c>
      <c r="R7984" s="26"/>
    </row>
    <row r="7985" spans="1:18" ht="15.75" customHeight="1">
      <c r="A7985" s="26"/>
      <c r="B7985" s="86"/>
      <c r="D7985" s="26"/>
      <c r="F7985" s="87" t="str">
        <f t="shared" si="0"/>
        <v/>
      </c>
      <c r="H7985" s="26" t="str">
        <f t="shared" si="1"/>
        <v/>
      </c>
      <c r="I7985" s="26" t="str">
        <f t="shared" si="2"/>
        <v/>
      </c>
      <c r="J7985" s="86">
        <f t="shared" si="3"/>
        <v>0</v>
      </c>
      <c r="R7985" s="26"/>
    </row>
    <row r="7986" spans="1:18" ht="15.75" customHeight="1">
      <c r="A7986" s="26"/>
      <c r="B7986" s="86"/>
      <c r="D7986" s="26"/>
      <c r="F7986" s="87" t="str">
        <f t="shared" si="0"/>
        <v/>
      </c>
      <c r="H7986" s="26" t="str">
        <f t="shared" si="1"/>
        <v/>
      </c>
      <c r="I7986" s="26" t="str">
        <f t="shared" si="2"/>
        <v/>
      </c>
      <c r="J7986" s="86">
        <f t="shared" si="3"/>
        <v>0</v>
      </c>
      <c r="R7986" s="26"/>
    </row>
    <row r="7987" spans="1:18" ht="15.75" customHeight="1">
      <c r="A7987" s="26"/>
      <c r="B7987" s="86"/>
      <c r="D7987" s="26"/>
      <c r="F7987" s="87" t="str">
        <f t="shared" si="0"/>
        <v/>
      </c>
      <c r="H7987" s="26" t="str">
        <f t="shared" si="1"/>
        <v/>
      </c>
      <c r="I7987" s="26" t="str">
        <f t="shared" si="2"/>
        <v/>
      </c>
      <c r="J7987" s="86">
        <f t="shared" si="3"/>
        <v>0</v>
      </c>
      <c r="R7987" s="26"/>
    </row>
    <row r="7988" spans="1:18" ht="15.75" customHeight="1">
      <c r="A7988" s="26"/>
      <c r="B7988" s="86"/>
      <c r="D7988" s="26"/>
      <c r="F7988" s="87" t="str">
        <f t="shared" si="0"/>
        <v/>
      </c>
      <c r="H7988" s="26" t="str">
        <f t="shared" si="1"/>
        <v/>
      </c>
      <c r="I7988" s="26" t="str">
        <f t="shared" si="2"/>
        <v/>
      </c>
      <c r="J7988" s="86">
        <f t="shared" si="3"/>
        <v>0</v>
      </c>
      <c r="R7988" s="26"/>
    </row>
    <row r="7989" spans="1:18" ht="15.75" customHeight="1">
      <c r="A7989" s="26"/>
      <c r="B7989" s="86"/>
      <c r="D7989" s="26"/>
      <c r="F7989" s="87" t="str">
        <f t="shared" si="0"/>
        <v/>
      </c>
      <c r="H7989" s="26" t="str">
        <f t="shared" si="1"/>
        <v/>
      </c>
      <c r="I7989" s="26" t="str">
        <f t="shared" si="2"/>
        <v/>
      </c>
      <c r="J7989" s="86">
        <f t="shared" si="3"/>
        <v>0</v>
      </c>
      <c r="R7989" s="26"/>
    </row>
    <row r="7990" spans="1:18" ht="15.75" customHeight="1">
      <c r="A7990" s="26"/>
      <c r="B7990" s="86"/>
      <c r="D7990" s="26"/>
      <c r="F7990" s="87" t="str">
        <f t="shared" si="0"/>
        <v/>
      </c>
      <c r="H7990" s="26" t="str">
        <f t="shared" si="1"/>
        <v/>
      </c>
      <c r="I7990" s="26" t="str">
        <f t="shared" si="2"/>
        <v/>
      </c>
      <c r="J7990" s="86">
        <f t="shared" si="3"/>
        <v>0</v>
      </c>
      <c r="R7990" s="26"/>
    </row>
    <row r="7991" spans="1:18" ht="15.75" customHeight="1">
      <c r="A7991" s="26"/>
      <c r="B7991" s="86"/>
      <c r="D7991" s="26"/>
      <c r="F7991" s="87" t="str">
        <f t="shared" si="0"/>
        <v/>
      </c>
      <c r="H7991" s="26" t="str">
        <f t="shared" si="1"/>
        <v/>
      </c>
      <c r="I7991" s="26" t="str">
        <f t="shared" si="2"/>
        <v/>
      </c>
      <c r="J7991" s="86">
        <f t="shared" si="3"/>
        <v>0</v>
      </c>
      <c r="R7991" s="26"/>
    </row>
    <row r="7992" spans="1:18" ht="15.75" customHeight="1">
      <c r="A7992" s="26"/>
      <c r="B7992" s="86"/>
      <c r="D7992" s="26"/>
      <c r="F7992" s="87" t="str">
        <f t="shared" si="0"/>
        <v/>
      </c>
      <c r="H7992" s="26" t="str">
        <f t="shared" si="1"/>
        <v/>
      </c>
      <c r="I7992" s="26" t="str">
        <f t="shared" si="2"/>
        <v/>
      </c>
      <c r="J7992" s="86">
        <f t="shared" si="3"/>
        <v>0</v>
      </c>
      <c r="R7992" s="26"/>
    </row>
    <row r="7993" spans="1:18" ht="15.75" customHeight="1">
      <c r="A7993" s="26"/>
      <c r="B7993" s="86"/>
      <c r="D7993" s="26"/>
      <c r="F7993" s="87" t="str">
        <f t="shared" si="0"/>
        <v/>
      </c>
      <c r="H7993" s="26" t="str">
        <f t="shared" si="1"/>
        <v/>
      </c>
      <c r="I7993" s="26" t="str">
        <f t="shared" si="2"/>
        <v/>
      </c>
      <c r="J7993" s="86">
        <f t="shared" si="3"/>
        <v>0</v>
      </c>
      <c r="R7993" s="26"/>
    </row>
    <row r="7994" spans="1:18" ht="15.75" customHeight="1">
      <c r="A7994" s="26"/>
      <c r="B7994" s="86"/>
      <c r="D7994" s="26"/>
      <c r="F7994" s="87" t="str">
        <f t="shared" si="0"/>
        <v/>
      </c>
      <c r="H7994" s="26" t="str">
        <f t="shared" si="1"/>
        <v/>
      </c>
      <c r="I7994" s="26" t="str">
        <f t="shared" si="2"/>
        <v/>
      </c>
      <c r="J7994" s="86">
        <f t="shared" si="3"/>
        <v>0</v>
      </c>
      <c r="R7994" s="26"/>
    </row>
    <row r="7995" spans="1:18" ht="15.75" customHeight="1">
      <c r="A7995" s="26"/>
      <c r="B7995" s="86"/>
      <c r="D7995" s="26"/>
      <c r="F7995" s="87" t="str">
        <f t="shared" si="0"/>
        <v/>
      </c>
      <c r="H7995" s="26" t="str">
        <f t="shared" si="1"/>
        <v/>
      </c>
      <c r="I7995" s="26" t="str">
        <f t="shared" si="2"/>
        <v/>
      </c>
      <c r="J7995" s="86">
        <f t="shared" si="3"/>
        <v>0</v>
      </c>
      <c r="R7995" s="26"/>
    </row>
    <row r="7996" spans="1:18" ht="15.75" customHeight="1">
      <c r="A7996" s="26"/>
      <c r="B7996" s="86"/>
      <c r="D7996" s="26"/>
      <c r="F7996" s="87" t="str">
        <f t="shared" si="0"/>
        <v/>
      </c>
      <c r="H7996" s="26" t="str">
        <f t="shared" si="1"/>
        <v/>
      </c>
      <c r="I7996" s="26" t="str">
        <f t="shared" si="2"/>
        <v/>
      </c>
      <c r="J7996" s="86">
        <f t="shared" si="3"/>
        <v>0</v>
      </c>
      <c r="R7996" s="26"/>
    </row>
    <row r="7997" spans="1:18" ht="15.75" customHeight="1">
      <c r="A7997" s="26"/>
      <c r="B7997" s="86"/>
      <c r="D7997" s="26"/>
      <c r="F7997" s="87" t="str">
        <f t="shared" si="0"/>
        <v/>
      </c>
      <c r="H7997" s="26" t="str">
        <f t="shared" si="1"/>
        <v/>
      </c>
      <c r="I7997" s="26" t="str">
        <f t="shared" si="2"/>
        <v/>
      </c>
      <c r="J7997" s="86">
        <f t="shared" si="3"/>
        <v>0</v>
      </c>
      <c r="R7997" s="26"/>
    </row>
    <row r="7998" spans="1:18" ht="15.75" customHeight="1">
      <c r="A7998" s="26"/>
      <c r="B7998" s="86"/>
      <c r="D7998" s="26"/>
      <c r="F7998" s="87" t="str">
        <f t="shared" si="0"/>
        <v/>
      </c>
      <c r="H7998" s="26" t="str">
        <f t="shared" si="1"/>
        <v/>
      </c>
      <c r="I7998" s="26" t="str">
        <f t="shared" si="2"/>
        <v/>
      </c>
      <c r="J7998" s="86">
        <f t="shared" si="3"/>
        <v>0</v>
      </c>
      <c r="R7998" s="26"/>
    </row>
    <row r="7999" spans="1:18" ht="15.75" customHeight="1">
      <c r="A7999" s="26"/>
      <c r="B7999" s="86"/>
      <c r="D7999" s="26"/>
      <c r="F7999" s="87" t="str">
        <f t="shared" si="0"/>
        <v/>
      </c>
      <c r="H7999" s="26" t="str">
        <f t="shared" si="1"/>
        <v/>
      </c>
      <c r="I7999" s="26" t="str">
        <f t="shared" si="2"/>
        <v/>
      </c>
      <c r="J7999" s="86">
        <f t="shared" si="3"/>
        <v>0</v>
      </c>
      <c r="R7999" s="26"/>
    </row>
    <row r="8000" spans="1:18" ht="15.75" customHeight="1">
      <c r="A8000" s="26"/>
      <c r="B8000" s="86"/>
      <c r="D8000" s="26"/>
      <c r="F8000" s="87" t="str">
        <f t="shared" si="0"/>
        <v/>
      </c>
      <c r="H8000" s="26" t="str">
        <f t="shared" si="1"/>
        <v/>
      </c>
      <c r="I8000" s="26" t="str">
        <f t="shared" si="2"/>
        <v/>
      </c>
      <c r="J8000" s="86">
        <f t="shared" si="3"/>
        <v>0</v>
      </c>
      <c r="R8000" s="26"/>
    </row>
    <row r="8001" spans="1:18" ht="15.75" customHeight="1">
      <c r="A8001" s="26"/>
      <c r="B8001" s="86"/>
      <c r="D8001" s="26"/>
      <c r="F8001" s="87" t="str">
        <f t="shared" si="0"/>
        <v/>
      </c>
      <c r="H8001" s="26" t="str">
        <f t="shared" si="1"/>
        <v/>
      </c>
      <c r="I8001" s="26" t="str">
        <f t="shared" si="2"/>
        <v/>
      </c>
      <c r="J8001" s="86">
        <f t="shared" si="3"/>
        <v>0</v>
      </c>
      <c r="R8001" s="26"/>
    </row>
    <row r="8002" spans="1:18" ht="15.75" customHeight="1">
      <c r="A8002" s="26"/>
      <c r="B8002" s="86"/>
      <c r="D8002" s="26"/>
      <c r="F8002" s="87" t="str">
        <f t="shared" si="0"/>
        <v/>
      </c>
      <c r="H8002" s="26" t="str">
        <f t="shared" si="1"/>
        <v/>
      </c>
      <c r="I8002" s="26" t="str">
        <f t="shared" si="2"/>
        <v/>
      </c>
      <c r="J8002" s="86">
        <f t="shared" si="3"/>
        <v>0</v>
      </c>
      <c r="R8002" s="26"/>
    </row>
    <row r="8003" spans="1:18" ht="15.75" customHeight="1">
      <c r="A8003" s="26"/>
      <c r="B8003" s="86"/>
      <c r="D8003" s="26"/>
      <c r="F8003" s="87" t="str">
        <f t="shared" si="0"/>
        <v/>
      </c>
      <c r="H8003" s="26" t="str">
        <f t="shared" si="1"/>
        <v/>
      </c>
      <c r="I8003" s="26" t="str">
        <f t="shared" si="2"/>
        <v/>
      </c>
      <c r="J8003" s="86">
        <f t="shared" si="3"/>
        <v>0</v>
      </c>
      <c r="R8003" s="26"/>
    </row>
    <row r="8004" spans="1:18" ht="15.75" customHeight="1">
      <c r="A8004" s="26"/>
      <c r="B8004" s="86"/>
      <c r="D8004" s="26"/>
      <c r="F8004" s="87" t="str">
        <f t="shared" si="0"/>
        <v/>
      </c>
      <c r="H8004" s="26" t="str">
        <f t="shared" si="1"/>
        <v/>
      </c>
      <c r="I8004" s="26" t="str">
        <f t="shared" si="2"/>
        <v/>
      </c>
      <c r="J8004" s="86">
        <f t="shared" si="3"/>
        <v>0</v>
      </c>
      <c r="R8004" s="26"/>
    </row>
    <row r="8005" spans="1:18" ht="15.75" customHeight="1">
      <c r="A8005" s="26"/>
      <c r="B8005" s="86"/>
      <c r="D8005" s="26"/>
      <c r="F8005" s="87" t="str">
        <f t="shared" si="0"/>
        <v/>
      </c>
      <c r="H8005" s="26" t="str">
        <f t="shared" si="1"/>
        <v/>
      </c>
      <c r="I8005" s="26" t="str">
        <f t="shared" si="2"/>
        <v/>
      </c>
      <c r="J8005" s="86">
        <f t="shared" si="3"/>
        <v>0</v>
      </c>
      <c r="R8005" s="26"/>
    </row>
    <row r="8006" spans="1:18" ht="15.75" customHeight="1">
      <c r="A8006" s="26"/>
      <c r="B8006" s="86"/>
      <c r="D8006" s="26"/>
      <c r="F8006" s="87" t="str">
        <f t="shared" si="0"/>
        <v/>
      </c>
      <c r="H8006" s="26" t="str">
        <f t="shared" si="1"/>
        <v/>
      </c>
      <c r="I8006" s="26" t="str">
        <f t="shared" si="2"/>
        <v/>
      </c>
      <c r="J8006" s="86">
        <f t="shared" si="3"/>
        <v>0</v>
      </c>
      <c r="R8006" s="26"/>
    </row>
    <row r="8007" spans="1:18" ht="15.75" customHeight="1">
      <c r="A8007" s="26"/>
      <c r="B8007" s="86"/>
      <c r="D8007" s="26"/>
      <c r="F8007" s="87" t="str">
        <f t="shared" si="0"/>
        <v/>
      </c>
      <c r="H8007" s="26" t="str">
        <f t="shared" si="1"/>
        <v/>
      </c>
      <c r="I8007" s="26" t="str">
        <f t="shared" si="2"/>
        <v/>
      </c>
      <c r="J8007" s="86">
        <f t="shared" si="3"/>
        <v>0</v>
      </c>
      <c r="R8007" s="26"/>
    </row>
    <row r="8008" spans="1:18" ht="15.75" customHeight="1">
      <c r="A8008" s="26"/>
      <c r="B8008" s="86"/>
      <c r="D8008" s="26"/>
      <c r="F8008" s="87" t="str">
        <f t="shared" si="0"/>
        <v/>
      </c>
      <c r="H8008" s="26" t="str">
        <f t="shared" si="1"/>
        <v/>
      </c>
      <c r="I8008" s="26" t="str">
        <f t="shared" si="2"/>
        <v/>
      </c>
      <c r="J8008" s="86">
        <f t="shared" si="3"/>
        <v>0</v>
      </c>
      <c r="R8008" s="26"/>
    </row>
    <row r="8009" spans="1:18" ht="15.75" customHeight="1">
      <c r="A8009" s="26"/>
      <c r="B8009" s="86"/>
      <c r="D8009" s="26"/>
      <c r="F8009" s="87" t="str">
        <f t="shared" si="0"/>
        <v/>
      </c>
      <c r="H8009" s="26" t="str">
        <f t="shared" si="1"/>
        <v/>
      </c>
      <c r="I8009" s="26" t="str">
        <f t="shared" si="2"/>
        <v/>
      </c>
      <c r="J8009" s="86">
        <f t="shared" si="3"/>
        <v>0</v>
      </c>
      <c r="R8009" s="26"/>
    </row>
    <row r="8010" spans="1:18" ht="15.75" customHeight="1">
      <c r="A8010" s="26"/>
      <c r="B8010" s="86"/>
      <c r="D8010" s="26"/>
      <c r="F8010" s="87" t="str">
        <f t="shared" si="0"/>
        <v/>
      </c>
      <c r="H8010" s="26" t="str">
        <f t="shared" si="1"/>
        <v/>
      </c>
      <c r="I8010" s="26" t="str">
        <f t="shared" si="2"/>
        <v/>
      </c>
      <c r="J8010" s="86">
        <f t="shared" si="3"/>
        <v>0</v>
      </c>
      <c r="R8010" s="26"/>
    </row>
    <row r="8011" spans="1:18" ht="15.75" customHeight="1">
      <c r="A8011" s="26"/>
      <c r="B8011" s="86"/>
      <c r="D8011" s="26"/>
      <c r="F8011" s="87" t="str">
        <f t="shared" si="0"/>
        <v/>
      </c>
      <c r="H8011" s="26" t="str">
        <f t="shared" si="1"/>
        <v/>
      </c>
      <c r="I8011" s="26" t="str">
        <f t="shared" si="2"/>
        <v/>
      </c>
      <c r="J8011" s="86">
        <f t="shared" si="3"/>
        <v>0</v>
      </c>
      <c r="R8011" s="26"/>
    </row>
    <row r="8012" spans="1:18" ht="15.75" customHeight="1">
      <c r="A8012" s="26"/>
      <c r="B8012" s="86"/>
      <c r="D8012" s="26"/>
      <c r="F8012" s="87" t="str">
        <f t="shared" si="0"/>
        <v/>
      </c>
      <c r="H8012" s="26" t="str">
        <f t="shared" si="1"/>
        <v/>
      </c>
      <c r="I8012" s="26" t="str">
        <f t="shared" si="2"/>
        <v/>
      </c>
      <c r="J8012" s="86">
        <f t="shared" si="3"/>
        <v>0</v>
      </c>
      <c r="R8012" s="26"/>
    </row>
    <row r="8013" spans="1:18" ht="15.75" customHeight="1">
      <c r="A8013" s="26"/>
      <c r="B8013" s="86"/>
      <c r="D8013" s="26"/>
      <c r="F8013" s="87" t="str">
        <f t="shared" si="0"/>
        <v/>
      </c>
      <c r="H8013" s="26" t="str">
        <f t="shared" si="1"/>
        <v/>
      </c>
      <c r="I8013" s="26" t="str">
        <f t="shared" si="2"/>
        <v/>
      </c>
      <c r="J8013" s="86">
        <f t="shared" si="3"/>
        <v>0</v>
      </c>
      <c r="R8013" s="26"/>
    </row>
    <row r="8014" spans="1:18" ht="15.75" customHeight="1">
      <c r="A8014" s="26"/>
      <c r="B8014" s="86"/>
      <c r="D8014" s="26"/>
      <c r="F8014" s="87" t="str">
        <f t="shared" si="0"/>
        <v/>
      </c>
      <c r="H8014" s="26" t="str">
        <f t="shared" si="1"/>
        <v/>
      </c>
      <c r="I8014" s="26" t="str">
        <f t="shared" si="2"/>
        <v/>
      </c>
      <c r="J8014" s="86">
        <f t="shared" si="3"/>
        <v>0</v>
      </c>
      <c r="R8014" s="26"/>
    </row>
    <row r="8015" spans="1:18" ht="15.75" customHeight="1">
      <c r="A8015" s="26"/>
      <c r="B8015" s="86"/>
      <c r="D8015" s="26"/>
      <c r="F8015" s="87" t="str">
        <f t="shared" si="0"/>
        <v/>
      </c>
      <c r="H8015" s="26" t="str">
        <f t="shared" si="1"/>
        <v/>
      </c>
      <c r="I8015" s="26" t="str">
        <f t="shared" si="2"/>
        <v/>
      </c>
      <c r="J8015" s="86">
        <f t="shared" si="3"/>
        <v>0</v>
      </c>
      <c r="R8015" s="26"/>
    </row>
    <row r="8016" spans="1:18" ht="15.75" customHeight="1">
      <c r="A8016" s="26"/>
      <c r="B8016" s="86"/>
      <c r="D8016" s="26"/>
      <c r="F8016" s="87" t="str">
        <f t="shared" si="0"/>
        <v/>
      </c>
      <c r="H8016" s="26" t="str">
        <f t="shared" si="1"/>
        <v/>
      </c>
      <c r="I8016" s="26" t="str">
        <f t="shared" si="2"/>
        <v/>
      </c>
      <c r="J8016" s="86">
        <f t="shared" si="3"/>
        <v>0</v>
      </c>
      <c r="R8016" s="26"/>
    </row>
    <row r="8017" spans="1:18" ht="15.75" customHeight="1">
      <c r="A8017" s="26"/>
      <c r="B8017" s="86"/>
      <c r="D8017" s="26"/>
      <c r="F8017" s="87" t="str">
        <f t="shared" si="0"/>
        <v/>
      </c>
      <c r="H8017" s="26" t="str">
        <f t="shared" si="1"/>
        <v/>
      </c>
      <c r="I8017" s="26" t="str">
        <f t="shared" si="2"/>
        <v/>
      </c>
      <c r="J8017" s="86">
        <f t="shared" si="3"/>
        <v>0</v>
      </c>
      <c r="R8017" s="26"/>
    </row>
    <row r="8018" spans="1:18" ht="15.75" customHeight="1">
      <c r="A8018" s="26"/>
      <c r="B8018" s="86"/>
      <c r="D8018" s="26"/>
      <c r="F8018" s="87" t="str">
        <f t="shared" si="0"/>
        <v/>
      </c>
      <c r="H8018" s="26" t="str">
        <f t="shared" si="1"/>
        <v/>
      </c>
      <c r="I8018" s="26" t="str">
        <f t="shared" si="2"/>
        <v/>
      </c>
      <c r="J8018" s="86">
        <f t="shared" si="3"/>
        <v>0</v>
      </c>
      <c r="R8018" s="26"/>
    </row>
    <row r="8019" spans="1:18" ht="15.75" customHeight="1">
      <c r="A8019" s="26"/>
      <c r="B8019" s="86"/>
      <c r="D8019" s="26"/>
      <c r="F8019" s="87" t="str">
        <f t="shared" si="0"/>
        <v/>
      </c>
      <c r="H8019" s="26" t="str">
        <f t="shared" si="1"/>
        <v/>
      </c>
      <c r="I8019" s="26" t="str">
        <f t="shared" si="2"/>
        <v/>
      </c>
      <c r="J8019" s="86">
        <f t="shared" si="3"/>
        <v>0</v>
      </c>
      <c r="R8019" s="26"/>
    </row>
    <row r="8020" spans="1:18" ht="15.75" customHeight="1">
      <c r="A8020" s="26"/>
      <c r="B8020" s="86"/>
      <c r="D8020" s="26"/>
      <c r="F8020" s="87" t="str">
        <f t="shared" si="0"/>
        <v/>
      </c>
      <c r="H8020" s="26" t="str">
        <f t="shared" si="1"/>
        <v/>
      </c>
      <c r="I8020" s="26" t="str">
        <f t="shared" si="2"/>
        <v/>
      </c>
      <c r="J8020" s="86">
        <f t="shared" si="3"/>
        <v>0</v>
      </c>
      <c r="R8020" s="26"/>
    </row>
    <row r="8021" spans="1:18" ht="15.75" customHeight="1">
      <c r="A8021" s="26"/>
      <c r="B8021" s="86"/>
      <c r="D8021" s="26"/>
      <c r="F8021" s="87" t="str">
        <f t="shared" si="0"/>
        <v/>
      </c>
      <c r="H8021" s="26" t="str">
        <f t="shared" si="1"/>
        <v/>
      </c>
      <c r="I8021" s="26" t="str">
        <f t="shared" si="2"/>
        <v/>
      </c>
      <c r="J8021" s="86">
        <f t="shared" si="3"/>
        <v>0</v>
      </c>
      <c r="R8021" s="26"/>
    </row>
    <row r="8022" spans="1:18" ht="15.75" customHeight="1">
      <c r="A8022" s="26"/>
      <c r="B8022" s="86"/>
      <c r="D8022" s="26"/>
      <c r="F8022" s="87" t="str">
        <f t="shared" si="0"/>
        <v/>
      </c>
      <c r="H8022" s="26" t="str">
        <f t="shared" si="1"/>
        <v/>
      </c>
      <c r="I8022" s="26" t="str">
        <f t="shared" si="2"/>
        <v/>
      </c>
      <c r="J8022" s="86">
        <f t="shared" si="3"/>
        <v>0</v>
      </c>
      <c r="R8022" s="26"/>
    </row>
    <row r="8023" spans="1:18" ht="15.75" customHeight="1">
      <c r="A8023" s="26"/>
      <c r="B8023" s="86"/>
      <c r="D8023" s="26"/>
      <c r="F8023" s="87" t="str">
        <f t="shared" si="0"/>
        <v/>
      </c>
      <c r="H8023" s="26" t="str">
        <f t="shared" si="1"/>
        <v/>
      </c>
      <c r="I8023" s="26" t="str">
        <f t="shared" si="2"/>
        <v/>
      </c>
      <c r="J8023" s="86">
        <f t="shared" si="3"/>
        <v>0</v>
      </c>
      <c r="R8023" s="26"/>
    </row>
    <row r="8024" spans="1:18" ht="15.75" customHeight="1">
      <c r="A8024" s="26"/>
      <c r="B8024" s="86"/>
      <c r="D8024" s="26"/>
      <c r="F8024" s="87" t="str">
        <f t="shared" si="0"/>
        <v/>
      </c>
      <c r="H8024" s="26" t="str">
        <f t="shared" si="1"/>
        <v/>
      </c>
      <c r="I8024" s="26" t="str">
        <f t="shared" si="2"/>
        <v/>
      </c>
      <c r="J8024" s="86">
        <f t="shared" si="3"/>
        <v>0</v>
      </c>
      <c r="R8024" s="26"/>
    </row>
    <row r="8025" spans="1:18" ht="15.75" customHeight="1">
      <c r="A8025" s="26"/>
      <c r="B8025" s="86"/>
      <c r="D8025" s="26"/>
      <c r="F8025" s="87" t="str">
        <f t="shared" si="0"/>
        <v/>
      </c>
      <c r="H8025" s="26" t="str">
        <f t="shared" si="1"/>
        <v/>
      </c>
      <c r="I8025" s="26" t="str">
        <f t="shared" si="2"/>
        <v/>
      </c>
      <c r="J8025" s="86">
        <f t="shared" si="3"/>
        <v>0</v>
      </c>
      <c r="R8025" s="26"/>
    </row>
    <row r="8026" spans="1:18" ht="15.75" customHeight="1">
      <c r="A8026" s="26"/>
      <c r="B8026" s="86"/>
      <c r="D8026" s="26"/>
      <c r="F8026" s="87" t="str">
        <f t="shared" si="0"/>
        <v/>
      </c>
      <c r="H8026" s="26" t="str">
        <f t="shared" si="1"/>
        <v/>
      </c>
      <c r="I8026" s="26" t="str">
        <f t="shared" si="2"/>
        <v/>
      </c>
      <c r="J8026" s="86">
        <f t="shared" si="3"/>
        <v>0</v>
      </c>
      <c r="R8026" s="26"/>
    </row>
    <row r="8027" spans="1:18" ht="15.75" customHeight="1">
      <c r="A8027" s="26"/>
      <c r="B8027" s="86"/>
      <c r="D8027" s="26"/>
      <c r="F8027" s="87" t="str">
        <f t="shared" si="0"/>
        <v/>
      </c>
      <c r="H8027" s="26" t="str">
        <f t="shared" si="1"/>
        <v/>
      </c>
      <c r="I8027" s="26" t="str">
        <f t="shared" si="2"/>
        <v/>
      </c>
      <c r="J8027" s="86">
        <f t="shared" si="3"/>
        <v>0</v>
      </c>
      <c r="R8027" s="26"/>
    </row>
    <row r="8028" spans="1:18" ht="15.75" customHeight="1">
      <c r="A8028" s="26"/>
      <c r="B8028" s="86"/>
      <c r="D8028" s="26"/>
      <c r="F8028" s="87" t="str">
        <f t="shared" si="0"/>
        <v/>
      </c>
      <c r="H8028" s="26" t="str">
        <f t="shared" si="1"/>
        <v/>
      </c>
      <c r="I8028" s="26" t="str">
        <f t="shared" si="2"/>
        <v/>
      </c>
      <c r="J8028" s="86">
        <f t="shared" si="3"/>
        <v>0</v>
      </c>
      <c r="R8028" s="26"/>
    </row>
    <row r="8029" spans="1:18" ht="15.75" customHeight="1">
      <c r="A8029" s="26"/>
      <c r="B8029" s="86"/>
      <c r="D8029" s="26"/>
      <c r="F8029" s="87" t="str">
        <f t="shared" si="0"/>
        <v/>
      </c>
      <c r="H8029" s="26" t="str">
        <f t="shared" si="1"/>
        <v/>
      </c>
      <c r="I8029" s="26" t="str">
        <f t="shared" si="2"/>
        <v/>
      </c>
      <c r="J8029" s="86">
        <f t="shared" si="3"/>
        <v>0</v>
      </c>
      <c r="R8029" s="26"/>
    </row>
    <row r="8030" spans="1:18" ht="15.75" customHeight="1">
      <c r="A8030" s="26"/>
      <c r="B8030" s="86"/>
      <c r="D8030" s="26"/>
      <c r="F8030" s="87" t="str">
        <f t="shared" si="0"/>
        <v/>
      </c>
      <c r="H8030" s="26" t="str">
        <f t="shared" si="1"/>
        <v/>
      </c>
      <c r="I8030" s="26" t="str">
        <f t="shared" si="2"/>
        <v/>
      </c>
      <c r="J8030" s="86">
        <f t="shared" si="3"/>
        <v>0</v>
      </c>
      <c r="R8030" s="26"/>
    </row>
    <row r="8031" spans="1:18" ht="15.75" customHeight="1">
      <c r="A8031" s="26"/>
      <c r="B8031" s="86"/>
      <c r="D8031" s="26"/>
      <c r="F8031" s="87" t="str">
        <f t="shared" si="0"/>
        <v/>
      </c>
      <c r="H8031" s="26" t="str">
        <f t="shared" si="1"/>
        <v/>
      </c>
      <c r="I8031" s="26" t="str">
        <f t="shared" si="2"/>
        <v/>
      </c>
      <c r="J8031" s="86">
        <f t="shared" si="3"/>
        <v>0</v>
      </c>
      <c r="R8031" s="26"/>
    </row>
    <row r="8032" spans="1:18" ht="15.75" customHeight="1">
      <c r="A8032" s="26"/>
      <c r="B8032" s="86"/>
      <c r="D8032" s="26"/>
      <c r="F8032" s="87" t="str">
        <f t="shared" si="0"/>
        <v/>
      </c>
      <c r="H8032" s="26" t="str">
        <f t="shared" si="1"/>
        <v/>
      </c>
      <c r="I8032" s="26" t="str">
        <f t="shared" si="2"/>
        <v/>
      </c>
      <c r="J8032" s="86">
        <f t="shared" si="3"/>
        <v>0</v>
      </c>
      <c r="R8032" s="26"/>
    </row>
    <row r="8033" spans="1:18" ht="15.75" customHeight="1">
      <c r="A8033" s="26"/>
      <c r="B8033" s="86"/>
      <c r="D8033" s="26"/>
      <c r="F8033" s="87" t="str">
        <f t="shared" si="0"/>
        <v/>
      </c>
      <c r="H8033" s="26" t="str">
        <f t="shared" si="1"/>
        <v/>
      </c>
      <c r="I8033" s="26" t="str">
        <f t="shared" si="2"/>
        <v/>
      </c>
      <c r="J8033" s="86">
        <f t="shared" si="3"/>
        <v>0</v>
      </c>
      <c r="R8033" s="26"/>
    </row>
    <row r="8034" spans="1:18" ht="15.75" customHeight="1">
      <c r="A8034" s="26"/>
      <c r="B8034" s="86"/>
      <c r="D8034" s="26"/>
      <c r="F8034" s="87" t="str">
        <f t="shared" si="0"/>
        <v/>
      </c>
      <c r="H8034" s="26" t="str">
        <f t="shared" si="1"/>
        <v/>
      </c>
      <c r="I8034" s="26" t="str">
        <f t="shared" si="2"/>
        <v/>
      </c>
      <c r="J8034" s="86">
        <f t="shared" si="3"/>
        <v>0</v>
      </c>
      <c r="R8034" s="26"/>
    </row>
    <row r="8035" spans="1:18" ht="15.75" customHeight="1">
      <c r="A8035" s="26"/>
      <c r="B8035" s="86"/>
      <c r="D8035" s="26"/>
      <c r="F8035" s="87" t="str">
        <f t="shared" si="0"/>
        <v/>
      </c>
      <c r="H8035" s="26" t="str">
        <f t="shared" si="1"/>
        <v/>
      </c>
      <c r="I8035" s="26" t="str">
        <f t="shared" si="2"/>
        <v/>
      </c>
      <c r="J8035" s="86">
        <f t="shared" si="3"/>
        <v>0</v>
      </c>
      <c r="R8035" s="26"/>
    </row>
    <row r="8036" spans="1:18" ht="15.75" customHeight="1">
      <c r="A8036" s="26"/>
      <c r="B8036" s="86"/>
      <c r="D8036" s="26"/>
      <c r="F8036" s="87" t="str">
        <f t="shared" si="0"/>
        <v/>
      </c>
      <c r="H8036" s="26" t="str">
        <f t="shared" si="1"/>
        <v/>
      </c>
      <c r="I8036" s="26" t="str">
        <f t="shared" si="2"/>
        <v/>
      </c>
      <c r="J8036" s="86">
        <f t="shared" si="3"/>
        <v>0</v>
      </c>
      <c r="R8036" s="26"/>
    </row>
    <row r="8037" spans="1:18" ht="15.75" customHeight="1">
      <c r="A8037" s="26"/>
      <c r="B8037" s="86"/>
      <c r="D8037" s="26"/>
      <c r="F8037" s="87" t="str">
        <f t="shared" si="0"/>
        <v/>
      </c>
      <c r="H8037" s="26" t="str">
        <f t="shared" si="1"/>
        <v/>
      </c>
      <c r="I8037" s="26" t="str">
        <f t="shared" si="2"/>
        <v/>
      </c>
      <c r="J8037" s="86">
        <f t="shared" si="3"/>
        <v>0</v>
      </c>
      <c r="R8037" s="26"/>
    </row>
    <row r="8038" spans="1:18" ht="15.75" customHeight="1">
      <c r="A8038" s="26"/>
      <c r="B8038" s="86"/>
      <c r="D8038" s="26"/>
      <c r="F8038" s="87" t="str">
        <f t="shared" si="0"/>
        <v/>
      </c>
      <c r="H8038" s="26" t="str">
        <f t="shared" si="1"/>
        <v/>
      </c>
      <c r="I8038" s="26" t="str">
        <f t="shared" si="2"/>
        <v/>
      </c>
      <c r="J8038" s="86">
        <f t="shared" si="3"/>
        <v>0</v>
      </c>
      <c r="R8038" s="26"/>
    </row>
    <row r="8039" spans="1:18" ht="15.75" customHeight="1">
      <c r="A8039" s="26"/>
      <c r="B8039" s="86"/>
      <c r="D8039" s="26"/>
      <c r="F8039" s="87" t="str">
        <f t="shared" si="0"/>
        <v/>
      </c>
      <c r="H8039" s="26" t="str">
        <f t="shared" si="1"/>
        <v/>
      </c>
      <c r="I8039" s="26" t="str">
        <f t="shared" si="2"/>
        <v/>
      </c>
      <c r="J8039" s="86">
        <f t="shared" si="3"/>
        <v>0</v>
      </c>
      <c r="R8039" s="26"/>
    </row>
    <row r="8040" spans="1:18" ht="15.75" customHeight="1">
      <c r="A8040" s="26"/>
      <c r="B8040" s="86"/>
      <c r="D8040" s="26"/>
      <c r="F8040" s="87" t="str">
        <f t="shared" si="0"/>
        <v/>
      </c>
      <c r="H8040" s="26" t="str">
        <f t="shared" si="1"/>
        <v/>
      </c>
      <c r="I8040" s="26" t="str">
        <f t="shared" si="2"/>
        <v/>
      </c>
      <c r="J8040" s="86">
        <f t="shared" si="3"/>
        <v>0</v>
      </c>
      <c r="R8040" s="26"/>
    </row>
    <row r="8041" spans="1:18" ht="15.75" customHeight="1">
      <c r="A8041" s="26"/>
      <c r="B8041" s="86"/>
      <c r="D8041" s="26"/>
      <c r="F8041" s="87" t="str">
        <f t="shared" si="0"/>
        <v/>
      </c>
      <c r="H8041" s="26" t="str">
        <f t="shared" si="1"/>
        <v/>
      </c>
      <c r="I8041" s="26" t="str">
        <f t="shared" si="2"/>
        <v/>
      </c>
      <c r="J8041" s="86">
        <f t="shared" si="3"/>
        <v>0</v>
      </c>
      <c r="R8041" s="26"/>
    </row>
    <row r="8042" spans="1:18" ht="15.75" customHeight="1">
      <c r="A8042" s="26"/>
      <c r="B8042" s="86"/>
      <c r="D8042" s="26"/>
      <c r="F8042" s="87" t="str">
        <f t="shared" si="0"/>
        <v/>
      </c>
      <c r="H8042" s="26" t="str">
        <f t="shared" si="1"/>
        <v/>
      </c>
      <c r="I8042" s="26" t="str">
        <f t="shared" si="2"/>
        <v/>
      </c>
      <c r="J8042" s="86">
        <f t="shared" si="3"/>
        <v>0</v>
      </c>
      <c r="R8042" s="26"/>
    </row>
    <row r="8043" spans="1:18" ht="15.75" customHeight="1">
      <c r="A8043" s="26"/>
      <c r="B8043" s="86"/>
      <c r="D8043" s="26"/>
      <c r="F8043" s="87" t="str">
        <f t="shared" si="0"/>
        <v/>
      </c>
      <c r="H8043" s="26" t="str">
        <f t="shared" si="1"/>
        <v/>
      </c>
      <c r="I8043" s="26" t="str">
        <f t="shared" si="2"/>
        <v/>
      </c>
      <c r="J8043" s="86">
        <f t="shared" si="3"/>
        <v>0</v>
      </c>
      <c r="R8043" s="26"/>
    </row>
    <row r="8044" spans="1:18" ht="15.75" customHeight="1">
      <c r="A8044" s="26"/>
      <c r="B8044" s="86"/>
      <c r="D8044" s="26"/>
      <c r="F8044" s="87" t="str">
        <f t="shared" si="0"/>
        <v/>
      </c>
      <c r="H8044" s="26" t="str">
        <f t="shared" si="1"/>
        <v/>
      </c>
      <c r="I8044" s="26" t="str">
        <f t="shared" si="2"/>
        <v/>
      </c>
      <c r="J8044" s="86">
        <f t="shared" si="3"/>
        <v>0</v>
      </c>
      <c r="R8044" s="26"/>
    </row>
    <row r="8045" spans="1:18" ht="15.75" customHeight="1">
      <c r="A8045" s="26"/>
      <c r="B8045" s="86"/>
      <c r="D8045" s="26"/>
      <c r="F8045" s="87" t="str">
        <f t="shared" si="0"/>
        <v/>
      </c>
      <c r="H8045" s="26" t="str">
        <f t="shared" si="1"/>
        <v/>
      </c>
      <c r="I8045" s="26" t="str">
        <f t="shared" si="2"/>
        <v/>
      </c>
      <c r="J8045" s="86">
        <f t="shared" si="3"/>
        <v>0</v>
      </c>
      <c r="R8045" s="26"/>
    </row>
    <row r="8046" spans="1:18" ht="15.75" customHeight="1">
      <c r="A8046" s="26"/>
      <c r="B8046" s="86"/>
      <c r="D8046" s="26"/>
      <c r="F8046" s="87" t="str">
        <f t="shared" si="0"/>
        <v/>
      </c>
      <c r="H8046" s="26" t="str">
        <f t="shared" si="1"/>
        <v/>
      </c>
      <c r="I8046" s="26" t="str">
        <f t="shared" si="2"/>
        <v/>
      </c>
      <c r="J8046" s="86">
        <f t="shared" si="3"/>
        <v>0</v>
      </c>
      <c r="R8046" s="26"/>
    </row>
    <row r="8047" spans="1:18" ht="15.75" customHeight="1">
      <c r="A8047" s="26"/>
      <c r="B8047" s="86"/>
      <c r="D8047" s="26"/>
      <c r="F8047" s="87" t="str">
        <f t="shared" si="0"/>
        <v/>
      </c>
      <c r="H8047" s="26" t="str">
        <f t="shared" si="1"/>
        <v/>
      </c>
      <c r="I8047" s="26" t="str">
        <f t="shared" si="2"/>
        <v/>
      </c>
      <c r="J8047" s="86">
        <f t="shared" si="3"/>
        <v>0</v>
      </c>
      <c r="R8047" s="26"/>
    </row>
    <row r="8048" spans="1:18" ht="15.75" customHeight="1">
      <c r="A8048" s="26"/>
      <c r="B8048" s="86"/>
      <c r="D8048" s="26"/>
      <c r="F8048" s="87" t="str">
        <f t="shared" si="0"/>
        <v/>
      </c>
      <c r="H8048" s="26" t="str">
        <f t="shared" si="1"/>
        <v/>
      </c>
      <c r="I8048" s="26" t="str">
        <f t="shared" si="2"/>
        <v/>
      </c>
      <c r="J8048" s="86">
        <f t="shared" si="3"/>
        <v>0</v>
      </c>
      <c r="R8048" s="26"/>
    </row>
    <row r="8049" spans="1:18" ht="15.75" customHeight="1">
      <c r="A8049" s="26"/>
      <c r="B8049" s="86"/>
      <c r="D8049" s="26"/>
      <c r="F8049" s="87" t="str">
        <f t="shared" si="0"/>
        <v/>
      </c>
      <c r="H8049" s="26" t="str">
        <f t="shared" si="1"/>
        <v/>
      </c>
      <c r="I8049" s="26" t="str">
        <f t="shared" si="2"/>
        <v/>
      </c>
      <c r="J8049" s="86">
        <f t="shared" si="3"/>
        <v>0</v>
      </c>
      <c r="R8049" s="26"/>
    </row>
    <row r="8050" spans="1:18" ht="15.75" customHeight="1">
      <c r="A8050" s="26"/>
      <c r="B8050" s="86"/>
      <c r="D8050" s="26"/>
      <c r="F8050" s="87" t="str">
        <f t="shared" si="0"/>
        <v/>
      </c>
      <c r="H8050" s="26" t="str">
        <f t="shared" si="1"/>
        <v/>
      </c>
      <c r="I8050" s="26" t="str">
        <f t="shared" si="2"/>
        <v/>
      </c>
      <c r="J8050" s="86">
        <f t="shared" si="3"/>
        <v>0</v>
      </c>
      <c r="R8050" s="26"/>
    </row>
    <row r="8051" spans="1:18" ht="15.75" customHeight="1">
      <c r="A8051" s="26"/>
      <c r="B8051" s="86"/>
      <c r="D8051" s="26"/>
      <c r="F8051" s="87" t="str">
        <f t="shared" si="0"/>
        <v/>
      </c>
      <c r="H8051" s="26" t="str">
        <f t="shared" si="1"/>
        <v/>
      </c>
      <c r="I8051" s="26" t="str">
        <f t="shared" si="2"/>
        <v/>
      </c>
      <c r="J8051" s="86">
        <f t="shared" si="3"/>
        <v>0</v>
      </c>
      <c r="R8051" s="26"/>
    </row>
    <row r="8052" spans="1:18" ht="15.75" customHeight="1">
      <c r="A8052" s="26"/>
      <c r="B8052" s="86"/>
      <c r="D8052" s="26"/>
      <c r="F8052" s="87" t="str">
        <f t="shared" si="0"/>
        <v/>
      </c>
      <c r="H8052" s="26" t="str">
        <f t="shared" si="1"/>
        <v/>
      </c>
      <c r="I8052" s="26" t="str">
        <f t="shared" si="2"/>
        <v/>
      </c>
      <c r="J8052" s="86">
        <f t="shared" si="3"/>
        <v>0</v>
      </c>
      <c r="R8052" s="26"/>
    </row>
    <row r="8053" spans="1:18" ht="15.75" customHeight="1">
      <c r="A8053" s="26"/>
      <c r="B8053" s="86"/>
      <c r="D8053" s="26"/>
      <c r="F8053" s="87" t="str">
        <f t="shared" si="0"/>
        <v/>
      </c>
      <c r="H8053" s="26" t="str">
        <f t="shared" si="1"/>
        <v/>
      </c>
      <c r="I8053" s="26" t="str">
        <f t="shared" si="2"/>
        <v/>
      </c>
      <c r="J8053" s="86">
        <f t="shared" si="3"/>
        <v>0</v>
      </c>
      <c r="R8053" s="26"/>
    </row>
    <row r="8054" spans="1:18" ht="15.75" customHeight="1">
      <c r="A8054" s="26"/>
      <c r="B8054" s="86"/>
      <c r="D8054" s="26"/>
      <c r="F8054" s="87" t="str">
        <f t="shared" si="0"/>
        <v/>
      </c>
      <c r="H8054" s="26" t="str">
        <f t="shared" si="1"/>
        <v/>
      </c>
      <c r="I8054" s="26" t="str">
        <f t="shared" si="2"/>
        <v/>
      </c>
      <c r="J8054" s="86">
        <f t="shared" si="3"/>
        <v>0</v>
      </c>
      <c r="R8054" s="26"/>
    </row>
    <row r="8055" spans="1:18" ht="15.75" customHeight="1">
      <c r="A8055" s="26"/>
      <c r="B8055" s="86"/>
      <c r="D8055" s="26"/>
      <c r="F8055" s="87" t="str">
        <f t="shared" si="0"/>
        <v/>
      </c>
      <c r="H8055" s="26" t="str">
        <f t="shared" si="1"/>
        <v/>
      </c>
      <c r="I8055" s="26" t="str">
        <f t="shared" si="2"/>
        <v/>
      </c>
      <c r="J8055" s="86">
        <f t="shared" si="3"/>
        <v>0</v>
      </c>
      <c r="R8055" s="26"/>
    </row>
    <row r="8056" spans="1:18" ht="15.75" customHeight="1">
      <c r="A8056" s="26"/>
      <c r="B8056" s="86"/>
      <c r="D8056" s="26"/>
      <c r="F8056" s="87" t="str">
        <f t="shared" si="0"/>
        <v/>
      </c>
      <c r="H8056" s="26" t="str">
        <f t="shared" si="1"/>
        <v/>
      </c>
      <c r="I8056" s="26" t="str">
        <f t="shared" si="2"/>
        <v/>
      </c>
      <c r="J8056" s="86">
        <f t="shared" si="3"/>
        <v>0</v>
      </c>
      <c r="R8056" s="26"/>
    </row>
    <row r="8057" spans="1:18" ht="15.75" customHeight="1">
      <c r="A8057" s="26"/>
      <c r="B8057" s="86"/>
      <c r="D8057" s="26"/>
      <c r="F8057" s="87" t="str">
        <f t="shared" si="0"/>
        <v/>
      </c>
      <c r="H8057" s="26" t="str">
        <f t="shared" si="1"/>
        <v/>
      </c>
      <c r="I8057" s="26" t="str">
        <f t="shared" si="2"/>
        <v/>
      </c>
      <c r="J8057" s="86">
        <f t="shared" si="3"/>
        <v>0</v>
      </c>
      <c r="R8057" s="26"/>
    </row>
    <row r="8058" spans="1:18" ht="15.75" customHeight="1">
      <c r="A8058" s="26"/>
      <c r="B8058" s="86"/>
      <c r="D8058" s="26"/>
      <c r="F8058" s="87" t="str">
        <f t="shared" si="0"/>
        <v/>
      </c>
      <c r="H8058" s="26" t="str">
        <f t="shared" si="1"/>
        <v/>
      </c>
      <c r="I8058" s="26" t="str">
        <f t="shared" si="2"/>
        <v/>
      </c>
      <c r="J8058" s="86">
        <f t="shared" si="3"/>
        <v>0</v>
      </c>
      <c r="R8058" s="26"/>
    </row>
    <row r="8059" spans="1:18" ht="15.75" customHeight="1">
      <c r="A8059" s="26"/>
      <c r="B8059" s="86"/>
      <c r="D8059" s="26"/>
      <c r="F8059" s="87" t="str">
        <f t="shared" si="0"/>
        <v/>
      </c>
      <c r="H8059" s="26" t="str">
        <f t="shared" si="1"/>
        <v/>
      </c>
      <c r="I8059" s="26" t="str">
        <f t="shared" si="2"/>
        <v/>
      </c>
      <c r="J8059" s="86">
        <f t="shared" si="3"/>
        <v>0</v>
      </c>
      <c r="R8059" s="26"/>
    </row>
    <row r="8060" spans="1:18" ht="15.75" customHeight="1">
      <c r="A8060" s="26"/>
      <c r="B8060" s="86"/>
      <c r="D8060" s="26"/>
      <c r="F8060" s="87" t="str">
        <f t="shared" si="0"/>
        <v/>
      </c>
      <c r="H8060" s="26" t="str">
        <f t="shared" si="1"/>
        <v/>
      </c>
      <c r="I8060" s="26" t="str">
        <f t="shared" si="2"/>
        <v/>
      </c>
      <c r="J8060" s="86">
        <f t="shared" si="3"/>
        <v>0</v>
      </c>
      <c r="R8060" s="26"/>
    </row>
    <row r="8061" spans="1:18" ht="15.75" customHeight="1">
      <c r="A8061" s="26"/>
      <c r="B8061" s="86"/>
      <c r="D8061" s="26"/>
      <c r="F8061" s="87" t="str">
        <f t="shared" si="0"/>
        <v/>
      </c>
      <c r="H8061" s="26" t="str">
        <f t="shared" si="1"/>
        <v/>
      </c>
      <c r="I8061" s="26" t="str">
        <f t="shared" si="2"/>
        <v/>
      </c>
      <c r="J8061" s="86">
        <f t="shared" si="3"/>
        <v>0</v>
      </c>
      <c r="R8061" s="26"/>
    </row>
    <row r="8062" spans="1:18" ht="15.75" customHeight="1">
      <c r="A8062" s="26"/>
      <c r="B8062" s="86"/>
      <c r="D8062" s="26"/>
      <c r="F8062" s="87" t="str">
        <f t="shared" si="0"/>
        <v/>
      </c>
      <c r="H8062" s="26" t="str">
        <f t="shared" si="1"/>
        <v/>
      </c>
      <c r="I8062" s="26" t="str">
        <f t="shared" si="2"/>
        <v/>
      </c>
      <c r="J8062" s="86">
        <f t="shared" si="3"/>
        <v>0</v>
      </c>
      <c r="R8062" s="26"/>
    </row>
    <row r="8063" spans="1:18" ht="15.75" customHeight="1">
      <c r="A8063" s="26"/>
      <c r="B8063" s="86"/>
      <c r="D8063" s="26"/>
      <c r="F8063" s="87" t="str">
        <f t="shared" si="0"/>
        <v/>
      </c>
      <c r="H8063" s="26" t="str">
        <f t="shared" si="1"/>
        <v/>
      </c>
      <c r="I8063" s="26" t="str">
        <f t="shared" si="2"/>
        <v/>
      </c>
      <c r="J8063" s="86">
        <f t="shared" si="3"/>
        <v>0</v>
      </c>
      <c r="R8063" s="26"/>
    </row>
    <row r="8064" spans="1:18" ht="15.75" customHeight="1">
      <c r="A8064" s="26"/>
      <c r="B8064" s="86"/>
      <c r="D8064" s="26"/>
      <c r="F8064" s="87" t="str">
        <f t="shared" si="0"/>
        <v/>
      </c>
      <c r="H8064" s="26" t="str">
        <f t="shared" si="1"/>
        <v/>
      </c>
      <c r="I8064" s="26" t="str">
        <f t="shared" si="2"/>
        <v/>
      </c>
      <c r="J8064" s="86">
        <f t="shared" si="3"/>
        <v>0</v>
      </c>
      <c r="R8064" s="26"/>
    </row>
    <row r="8065" spans="1:18" ht="15.75" customHeight="1">
      <c r="A8065" s="26"/>
      <c r="B8065" s="86"/>
      <c r="D8065" s="26"/>
      <c r="F8065" s="87" t="str">
        <f t="shared" si="0"/>
        <v/>
      </c>
      <c r="H8065" s="26" t="str">
        <f t="shared" si="1"/>
        <v/>
      </c>
      <c r="I8065" s="26" t="str">
        <f t="shared" si="2"/>
        <v/>
      </c>
      <c r="J8065" s="86">
        <f t="shared" si="3"/>
        <v>0</v>
      </c>
      <c r="R8065" s="26"/>
    </row>
    <row r="8066" spans="1:18" ht="15.75" customHeight="1">
      <c r="A8066" s="26"/>
      <c r="B8066" s="86"/>
      <c r="D8066" s="26"/>
      <c r="F8066" s="87" t="str">
        <f t="shared" si="0"/>
        <v/>
      </c>
      <c r="H8066" s="26" t="str">
        <f t="shared" si="1"/>
        <v/>
      </c>
      <c r="I8066" s="26" t="str">
        <f t="shared" si="2"/>
        <v/>
      </c>
      <c r="J8066" s="86">
        <f t="shared" si="3"/>
        <v>0</v>
      </c>
      <c r="R8066" s="26"/>
    </row>
    <row r="8067" spans="1:18" ht="15.75" customHeight="1">
      <c r="A8067" s="26"/>
      <c r="B8067" s="86"/>
      <c r="D8067" s="26"/>
      <c r="F8067" s="87" t="str">
        <f t="shared" si="0"/>
        <v/>
      </c>
      <c r="H8067" s="26" t="str">
        <f t="shared" si="1"/>
        <v/>
      </c>
      <c r="I8067" s="26" t="str">
        <f t="shared" si="2"/>
        <v/>
      </c>
      <c r="J8067" s="86">
        <f t="shared" si="3"/>
        <v>0</v>
      </c>
      <c r="R8067" s="26"/>
    </row>
    <row r="8068" spans="1:18" ht="15.75" customHeight="1">
      <c r="A8068" s="26"/>
      <c r="B8068" s="86"/>
      <c r="D8068" s="26"/>
      <c r="F8068" s="87" t="str">
        <f t="shared" si="0"/>
        <v/>
      </c>
      <c r="H8068" s="26" t="str">
        <f t="shared" si="1"/>
        <v/>
      </c>
      <c r="I8068" s="26" t="str">
        <f t="shared" si="2"/>
        <v/>
      </c>
      <c r="J8068" s="86">
        <f t="shared" si="3"/>
        <v>0</v>
      </c>
      <c r="R8068" s="26"/>
    </row>
    <row r="8069" spans="1:18" ht="15.75" customHeight="1">
      <c r="A8069" s="26"/>
      <c r="B8069" s="86"/>
      <c r="D8069" s="26"/>
      <c r="F8069" s="87" t="str">
        <f t="shared" si="0"/>
        <v/>
      </c>
      <c r="H8069" s="26" t="str">
        <f t="shared" si="1"/>
        <v/>
      </c>
      <c r="I8069" s="26" t="str">
        <f t="shared" si="2"/>
        <v/>
      </c>
      <c r="J8069" s="86">
        <f t="shared" si="3"/>
        <v>0</v>
      </c>
      <c r="R8069" s="26"/>
    </row>
    <row r="8070" spans="1:18" ht="15.75" customHeight="1">
      <c r="A8070" s="26"/>
      <c r="B8070" s="86"/>
      <c r="D8070" s="26"/>
      <c r="F8070" s="87" t="str">
        <f t="shared" si="0"/>
        <v/>
      </c>
      <c r="H8070" s="26" t="str">
        <f t="shared" si="1"/>
        <v/>
      </c>
      <c r="I8070" s="26" t="str">
        <f t="shared" si="2"/>
        <v/>
      </c>
      <c r="J8070" s="86">
        <f t="shared" si="3"/>
        <v>0</v>
      </c>
      <c r="R8070" s="26"/>
    </row>
    <row r="8071" spans="1:18" ht="15.75" customHeight="1">
      <c r="A8071" s="26"/>
      <c r="B8071" s="86"/>
      <c r="D8071" s="26"/>
      <c r="F8071" s="87" t="str">
        <f t="shared" si="0"/>
        <v/>
      </c>
      <c r="H8071" s="26" t="str">
        <f t="shared" si="1"/>
        <v/>
      </c>
      <c r="I8071" s="26" t="str">
        <f t="shared" si="2"/>
        <v/>
      </c>
      <c r="J8071" s="86">
        <f t="shared" si="3"/>
        <v>0</v>
      </c>
      <c r="R8071" s="26"/>
    </row>
    <row r="8072" spans="1:18" ht="15.75" customHeight="1">
      <c r="A8072" s="26"/>
      <c r="B8072" s="86"/>
      <c r="D8072" s="26"/>
      <c r="F8072" s="87" t="str">
        <f t="shared" si="0"/>
        <v/>
      </c>
      <c r="H8072" s="26" t="str">
        <f t="shared" si="1"/>
        <v/>
      </c>
      <c r="I8072" s="26" t="str">
        <f t="shared" si="2"/>
        <v/>
      </c>
      <c r="J8072" s="86">
        <f t="shared" si="3"/>
        <v>0</v>
      </c>
      <c r="R8072" s="26"/>
    </row>
    <row r="8073" spans="1:18" ht="15.75" customHeight="1">
      <c r="A8073" s="26"/>
      <c r="B8073" s="86"/>
      <c r="D8073" s="26"/>
      <c r="F8073" s="87" t="str">
        <f t="shared" si="0"/>
        <v/>
      </c>
      <c r="H8073" s="26" t="str">
        <f t="shared" si="1"/>
        <v/>
      </c>
      <c r="I8073" s="26" t="str">
        <f t="shared" si="2"/>
        <v/>
      </c>
      <c r="J8073" s="86">
        <f t="shared" si="3"/>
        <v>0</v>
      </c>
      <c r="R8073" s="26"/>
    </row>
    <row r="8074" spans="1:18" ht="15.75" customHeight="1">
      <c r="A8074" s="26"/>
      <c r="B8074" s="86"/>
      <c r="D8074" s="26"/>
      <c r="F8074" s="87" t="str">
        <f t="shared" si="0"/>
        <v/>
      </c>
      <c r="H8074" s="26" t="str">
        <f t="shared" si="1"/>
        <v/>
      </c>
      <c r="I8074" s="26" t="str">
        <f t="shared" si="2"/>
        <v/>
      </c>
      <c r="J8074" s="86">
        <f t="shared" si="3"/>
        <v>0</v>
      </c>
      <c r="R8074" s="26"/>
    </row>
    <row r="8075" spans="1:18" ht="15.75" customHeight="1">
      <c r="A8075" s="26"/>
      <c r="B8075" s="86"/>
      <c r="D8075" s="26"/>
      <c r="F8075" s="87" t="str">
        <f t="shared" si="0"/>
        <v/>
      </c>
      <c r="H8075" s="26" t="str">
        <f t="shared" si="1"/>
        <v/>
      </c>
      <c r="I8075" s="26" t="str">
        <f t="shared" si="2"/>
        <v/>
      </c>
      <c r="J8075" s="86">
        <f t="shared" si="3"/>
        <v>0</v>
      </c>
      <c r="R8075" s="26"/>
    </row>
    <row r="8076" spans="1:18" ht="15.75" customHeight="1">
      <c r="A8076" s="26"/>
      <c r="B8076" s="86"/>
      <c r="D8076" s="26"/>
      <c r="F8076" s="87" t="str">
        <f t="shared" si="0"/>
        <v/>
      </c>
      <c r="H8076" s="26" t="str">
        <f t="shared" si="1"/>
        <v/>
      </c>
      <c r="I8076" s="26" t="str">
        <f t="shared" si="2"/>
        <v/>
      </c>
      <c r="J8076" s="86">
        <f t="shared" si="3"/>
        <v>0</v>
      </c>
      <c r="R8076" s="26"/>
    </row>
    <row r="8077" spans="1:18" ht="15.75" customHeight="1">
      <c r="A8077" s="26"/>
      <c r="B8077" s="86"/>
      <c r="D8077" s="26"/>
      <c r="F8077" s="87" t="str">
        <f t="shared" si="0"/>
        <v/>
      </c>
      <c r="H8077" s="26" t="str">
        <f t="shared" si="1"/>
        <v/>
      </c>
      <c r="I8077" s="26" t="str">
        <f t="shared" si="2"/>
        <v/>
      </c>
      <c r="J8077" s="86">
        <f t="shared" si="3"/>
        <v>0</v>
      </c>
      <c r="R8077" s="26"/>
    </row>
    <row r="8078" spans="1:18" ht="15.75" customHeight="1">
      <c r="A8078" s="26"/>
      <c r="B8078" s="86"/>
      <c r="D8078" s="26"/>
      <c r="F8078" s="87" t="str">
        <f t="shared" si="0"/>
        <v/>
      </c>
      <c r="H8078" s="26" t="str">
        <f t="shared" si="1"/>
        <v/>
      </c>
      <c r="I8078" s="26" t="str">
        <f t="shared" si="2"/>
        <v/>
      </c>
      <c r="J8078" s="86">
        <f t="shared" si="3"/>
        <v>0</v>
      </c>
      <c r="R8078" s="26"/>
    </row>
    <row r="8079" spans="1:18" ht="15.75" customHeight="1">
      <c r="A8079" s="26"/>
      <c r="B8079" s="86"/>
      <c r="D8079" s="26"/>
      <c r="F8079" s="87" t="str">
        <f t="shared" si="0"/>
        <v/>
      </c>
      <c r="H8079" s="26" t="str">
        <f t="shared" si="1"/>
        <v/>
      </c>
      <c r="I8079" s="26" t="str">
        <f t="shared" si="2"/>
        <v/>
      </c>
      <c r="J8079" s="86">
        <f t="shared" si="3"/>
        <v>0</v>
      </c>
      <c r="R8079" s="26"/>
    </row>
    <row r="8080" spans="1:18" ht="15.75" customHeight="1">
      <c r="A8080" s="26"/>
      <c r="B8080" s="86"/>
      <c r="D8080" s="26"/>
      <c r="F8080" s="87" t="str">
        <f t="shared" si="0"/>
        <v/>
      </c>
      <c r="H8080" s="26" t="str">
        <f t="shared" si="1"/>
        <v/>
      </c>
      <c r="I8080" s="26" t="str">
        <f t="shared" si="2"/>
        <v/>
      </c>
      <c r="J8080" s="86">
        <f t="shared" si="3"/>
        <v>0</v>
      </c>
      <c r="R8080" s="26"/>
    </row>
    <row r="8081" spans="1:18" ht="15.75" customHeight="1">
      <c r="A8081" s="26"/>
      <c r="B8081" s="86"/>
      <c r="D8081" s="26"/>
      <c r="F8081" s="87" t="str">
        <f t="shared" si="0"/>
        <v/>
      </c>
      <c r="H8081" s="26" t="str">
        <f t="shared" si="1"/>
        <v/>
      </c>
      <c r="I8081" s="26" t="str">
        <f t="shared" si="2"/>
        <v/>
      </c>
      <c r="J8081" s="86">
        <f t="shared" si="3"/>
        <v>0</v>
      </c>
      <c r="R8081" s="26"/>
    </row>
    <row r="8082" spans="1:18" ht="15.75" customHeight="1">
      <c r="A8082" s="26"/>
      <c r="B8082" s="86"/>
      <c r="D8082" s="26"/>
      <c r="F8082" s="87" t="str">
        <f t="shared" si="0"/>
        <v/>
      </c>
      <c r="H8082" s="26" t="str">
        <f t="shared" si="1"/>
        <v/>
      </c>
      <c r="I8082" s="26" t="str">
        <f t="shared" si="2"/>
        <v/>
      </c>
      <c r="J8082" s="86">
        <f t="shared" si="3"/>
        <v>0</v>
      </c>
      <c r="R8082" s="26"/>
    </row>
    <row r="8083" spans="1:18" ht="15.75" customHeight="1">
      <c r="A8083" s="26"/>
      <c r="B8083" s="86"/>
      <c r="D8083" s="26"/>
      <c r="F8083" s="87" t="str">
        <f t="shared" si="0"/>
        <v/>
      </c>
      <c r="H8083" s="26" t="str">
        <f t="shared" si="1"/>
        <v/>
      </c>
      <c r="I8083" s="26" t="str">
        <f t="shared" si="2"/>
        <v/>
      </c>
      <c r="J8083" s="86">
        <f t="shared" si="3"/>
        <v>0</v>
      </c>
      <c r="R8083" s="26"/>
    </row>
    <row r="8084" spans="1:18" ht="15.75" customHeight="1">
      <c r="A8084" s="26"/>
      <c r="B8084" s="86"/>
      <c r="D8084" s="26"/>
      <c r="F8084" s="87" t="str">
        <f t="shared" si="0"/>
        <v/>
      </c>
      <c r="H8084" s="26" t="str">
        <f t="shared" si="1"/>
        <v/>
      </c>
      <c r="I8084" s="26" t="str">
        <f t="shared" si="2"/>
        <v/>
      </c>
      <c r="J8084" s="86">
        <f t="shared" si="3"/>
        <v>0</v>
      </c>
      <c r="R8084" s="26"/>
    </row>
    <row r="8085" spans="1:18" ht="15.75" customHeight="1">
      <c r="A8085" s="26"/>
      <c r="B8085" s="86"/>
      <c r="D8085" s="26"/>
      <c r="F8085" s="87" t="str">
        <f t="shared" si="0"/>
        <v/>
      </c>
      <c r="H8085" s="26" t="str">
        <f t="shared" si="1"/>
        <v/>
      </c>
      <c r="I8085" s="26" t="str">
        <f t="shared" si="2"/>
        <v/>
      </c>
      <c r="J8085" s="86">
        <f t="shared" si="3"/>
        <v>0</v>
      </c>
      <c r="R8085" s="26"/>
    </row>
    <row r="8086" spans="1:18" ht="15.75" customHeight="1">
      <c r="A8086" s="26"/>
      <c r="B8086" s="86"/>
      <c r="D8086" s="26"/>
      <c r="F8086" s="87" t="str">
        <f t="shared" si="0"/>
        <v/>
      </c>
      <c r="H8086" s="26" t="str">
        <f t="shared" si="1"/>
        <v/>
      </c>
      <c r="I8086" s="26" t="str">
        <f t="shared" si="2"/>
        <v/>
      </c>
      <c r="J8086" s="86">
        <f t="shared" si="3"/>
        <v>0</v>
      </c>
      <c r="R8086" s="26"/>
    </row>
    <row r="8087" spans="1:18" ht="15.75" customHeight="1">
      <c r="A8087" s="26"/>
      <c r="B8087" s="86"/>
      <c r="D8087" s="26"/>
      <c r="F8087" s="87" t="str">
        <f t="shared" si="0"/>
        <v/>
      </c>
      <c r="H8087" s="26" t="str">
        <f t="shared" si="1"/>
        <v/>
      </c>
      <c r="I8087" s="26" t="str">
        <f t="shared" si="2"/>
        <v/>
      </c>
      <c r="J8087" s="86">
        <f t="shared" si="3"/>
        <v>0</v>
      </c>
      <c r="R8087" s="26"/>
    </row>
    <row r="8088" spans="1:18" ht="15.75" customHeight="1">
      <c r="A8088" s="26"/>
      <c r="B8088" s="86"/>
      <c r="D8088" s="26"/>
      <c r="F8088" s="87" t="str">
        <f t="shared" si="0"/>
        <v/>
      </c>
      <c r="H8088" s="26" t="str">
        <f t="shared" si="1"/>
        <v/>
      </c>
      <c r="I8088" s="26" t="str">
        <f t="shared" si="2"/>
        <v/>
      </c>
      <c r="J8088" s="86">
        <f t="shared" si="3"/>
        <v>0</v>
      </c>
      <c r="R8088" s="26"/>
    </row>
    <row r="8089" spans="1:18" ht="15.75" customHeight="1">
      <c r="A8089" s="26"/>
      <c r="B8089" s="86"/>
      <c r="D8089" s="26"/>
      <c r="F8089" s="87" t="str">
        <f t="shared" si="0"/>
        <v/>
      </c>
      <c r="H8089" s="26" t="str">
        <f t="shared" si="1"/>
        <v/>
      </c>
      <c r="I8089" s="26" t="str">
        <f t="shared" si="2"/>
        <v/>
      </c>
      <c r="J8089" s="86">
        <f t="shared" si="3"/>
        <v>0</v>
      </c>
      <c r="R8089" s="26"/>
    </row>
    <row r="8090" spans="1:18" ht="15.75" customHeight="1">
      <c r="A8090" s="26"/>
      <c r="B8090" s="86"/>
      <c r="D8090" s="26"/>
      <c r="F8090" s="87" t="str">
        <f t="shared" si="0"/>
        <v/>
      </c>
      <c r="H8090" s="26" t="str">
        <f t="shared" si="1"/>
        <v/>
      </c>
      <c r="I8090" s="26" t="str">
        <f t="shared" si="2"/>
        <v/>
      </c>
      <c r="J8090" s="86">
        <f t="shared" si="3"/>
        <v>0</v>
      </c>
      <c r="R8090" s="26"/>
    </row>
    <row r="8091" spans="1:18" ht="15.75" customHeight="1">
      <c r="A8091" s="26"/>
      <c r="B8091" s="86"/>
      <c r="D8091" s="26"/>
      <c r="F8091" s="87" t="str">
        <f t="shared" si="0"/>
        <v/>
      </c>
      <c r="H8091" s="26" t="str">
        <f t="shared" si="1"/>
        <v/>
      </c>
      <c r="I8091" s="26" t="str">
        <f t="shared" si="2"/>
        <v/>
      </c>
      <c r="J8091" s="86">
        <f t="shared" si="3"/>
        <v>0</v>
      </c>
      <c r="R8091" s="26"/>
    </row>
    <row r="8092" spans="1:18" ht="15.75" customHeight="1">
      <c r="A8092" s="26"/>
      <c r="B8092" s="86"/>
      <c r="D8092" s="26"/>
      <c r="F8092" s="87" t="str">
        <f t="shared" si="0"/>
        <v/>
      </c>
      <c r="H8092" s="26" t="str">
        <f t="shared" si="1"/>
        <v/>
      </c>
      <c r="I8092" s="26" t="str">
        <f t="shared" si="2"/>
        <v/>
      </c>
      <c r="J8092" s="86">
        <f t="shared" si="3"/>
        <v>0</v>
      </c>
      <c r="R8092" s="26"/>
    </row>
    <row r="8093" spans="1:18" ht="15.75" customHeight="1">
      <c r="A8093" s="26"/>
      <c r="B8093" s="86"/>
      <c r="D8093" s="26"/>
      <c r="F8093" s="87" t="str">
        <f t="shared" si="0"/>
        <v/>
      </c>
      <c r="H8093" s="26" t="str">
        <f t="shared" si="1"/>
        <v/>
      </c>
      <c r="I8093" s="26" t="str">
        <f t="shared" si="2"/>
        <v/>
      </c>
      <c r="J8093" s="86">
        <f t="shared" si="3"/>
        <v>0</v>
      </c>
      <c r="R8093" s="26"/>
    </row>
    <row r="8094" spans="1:18" ht="15.75" customHeight="1">
      <c r="A8094" s="26"/>
      <c r="B8094" s="86"/>
      <c r="D8094" s="26"/>
      <c r="F8094" s="87" t="str">
        <f t="shared" si="0"/>
        <v/>
      </c>
      <c r="H8094" s="26" t="str">
        <f t="shared" si="1"/>
        <v/>
      </c>
      <c r="I8094" s="26" t="str">
        <f t="shared" si="2"/>
        <v/>
      </c>
      <c r="J8094" s="86">
        <f t="shared" si="3"/>
        <v>0</v>
      </c>
      <c r="R8094" s="26"/>
    </row>
    <row r="8095" spans="1:18" ht="15.75" customHeight="1">
      <c r="A8095" s="26"/>
      <c r="B8095" s="86"/>
      <c r="D8095" s="26"/>
      <c r="F8095" s="87" t="str">
        <f t="shared" si="0"/>
        <v/>
      </c>
      <c r="H8095" s="26" t="str">
        <f t="shared" si="1"/>
        <v/>
      </c>
      <c r="I8095" s="26" t="str">
        <f t="shared" si="2"/>
        <v/>
      </c>
      <c r="J8095" s="86">
        <f t="shared" si="3"/>
        <v>0</v>
      </c>
      <c r="R8095" s="26"/>
    </row>
    <row r="8096" spans="1:18" ht="15.75" customHeight="1">
      <c r="A8096" s="26"/>
      <c r="B8096" s="86"/>
      <c r="D8096" s="26"/>
      <c r="F8096" s="87" t="str">
        <f t="shared" si="0"/>
        <v/>
      </c>
      <c r="H8096" s="26" t="str">
        <f t="shared" si="1"/>
        <v/>
      </c>
      <c r="I8096" s="26" t="str">
        <f t="shared" si="2"/>
        <v/>
      </c>
      <c r="J8096" s="86">
        <f t="shared" si="3"/>
        <v>0</v>
      </c>
      <c r="R8096" s="26"/>
    </row>
    <row r="8097" spans="1:18" ht="15.75" customHeight="1">
      <c r="A8097" s="26"/>
      <c r="B8097" s="86"/>
      <c r="D8097" s="26"/>
      <c r="F8097" s="87" t="str">
        <f t="shared" si="0"/>
        <v/>
      </c>
      <c r="H8097" s="26" t="str">
        <f t="shared" si="1"/>
        <v/>
      </c>
      <c r="I8097" s="26" t="str">
        <f t="shared" si="2"/>
        <v/>
      </c>
      <c r="J8097" s="86">
        <f t="shared" si="3"/>
        <v>0</v>
      </c>
      <c r="R8097" s="26"/>
    </row>
    <row r="8098" spans="1:18" ht="15.75" customHeight="1">
      <c r="A8098" s="26"/>
      <c r="B8098" s="86"/>
      <c r="D8098" s="26"/>
      <c r="F8098" s="87" t="str">
        <f t="shared" si="0"/>
        <v/>
      </c>
      <c r="H8098" s="26" t="str">
        <f t="shared" si="1"/>
        <v/>
      </c>
      <c r="I8098" s="26" t="str">
        <f t="shared" si="2"/>
        <v/>
      </c>
      <c r="J8098" s="86">
        <f t="shared" si="3"/>
        <v>0</v>
      </c>
      <c r="R8098" s="26"/>
    </row>
    <row r="8099" spans="1:18" ht="15.75" customHeight="1">
      <c r="A8099" s="26"/>
      <c r="B8099" s="86"/>
      <c r="D8099" s="26"/>
      <c r="F8099" s="87" t="str">
        <f t="shared" si="0"/>
        <v/>
      </c>
      <c r="H8099" s="26" t="str">
        <f t="shared" si="1"/>
        <v/>
      </c>
      <c r="I8099" s="26" t="str">
        <f t="shared" si="2"/>
        <v/>
      </c>
      <c r="J8099" s="86">
        <f t="shared" si="3"/>
        <v>0</v>
      </c>
      <c r="R8099" s="26"/>
    </row>
    <row r="8100" spans="1:18" ht="15.75" customHeight="1">
      <c r="A8100" s="26"/>
      <c r="B8100" s="86"/>
      <c r="D8100" s="26"/>
      <c r="F8100" s="87" t="str">
        <f t="shared" si="0"/>
        <v/>
      </c>
      <c r="H8100" s="26" t="str">
        <f t="shared" si="1"/>
        <v/>
      </c>
      <c r="I8100" s="26" t="str">
        <f t="shared" si="2"/>
        <v/>
      </c>
      <c r="J8100" s="86">
        <f t="shared" si="3"/>
        <v>0</v>
      </c>
      <c r="R8100" s="26"/>
    </row>
    <row r="8101" spans="1:18" ht="15.75" customHeight="1">
      <c r="A8101" s="26"/>
      <c r="B8101" s="86"/>
      <c r="D8101" s="26"/>
      <c r="F8101" s="87" t="str">
        <f t="shared" si="0"/>
        <v/>
      </c>
      <c r="H8101" s="26" t="str">
        <f t="shared" si="1"/>
        <v/>
      </c>
      <c r="I8101" s="26" t="str">
        <f t="shared" si="2"/>
        <v/>
      </c>
      <c r="J8101" s="86">
        <f t="shared" si="3"/>
        <v>0</v>
      </c>
      <c r="R8101" s="26"/>
    </row>
    <row r="8102" spans="1:18" ht="15.75" customHeight="1">
      <c r="A8102" s="26"/>
      <c r="B8102" s="86"/>
      <c r="D8102" s="26"/>
      <c r="F8102" s="87" t="str">
        <f t="shared" si="0"/>
        <v/>
      </c>
      <c r="H8102" s="26" t="str">
        <f t="shared" si="1"/>
        <v/>
      </c>
      <c r="I8102" s="26" t="str">
        <f t="shared" si="2"/>
        <v/>
      </c>
      <c r="J8102" s="86">
        <f t="shared" si="3"/>
        <v>0</v>
      </c>
      <c r="R8102" s="26"/>
    </row>
    <row r="8103" spans="1:18" ht="15.75" customHeight="1">
      <c r="A8103" s="26"/>
      <c r="B8103" s="86"/>
      <c r="D8103" s="26"/>
      <c r="F8103" s="87" t="str">
        <f t="shared" si="0"/>
        <v/>
      </c>
      <c r="H8103" s="26" t="str">
        <f t="shared" si="1"/>
        <v/>
      </c>
      <c r="I8103" s="26" t="str">
        <f t="shared" si="2"/>
        <v/>
      </c>
      <c r="J8103" s="86">
        <f t="shared" si="3"/>
        <v>0</v>
      </c>
      <c r="R8103" s="26"/>
    </row>
    <row r="8104" spans="1:18" ht="15.75" customHeight="1">
      <c r="A8104" s="26"/>
      <c r="B8104" s="86"/>
      <c r="D8104" s="26"/>
      <c r="F8104" s="87" t="str">
        <f t="shared" si="0"/>
        <v/>
      </c>
      <c r="H8104" s="26" t="str">
        <f t="shared" si="1"/>
        <v/>
      </c>
      <c r="I8104" s="26" t="str">
        <f t="shared" si="2"/>
        <v/>
      </c>
      <c r="J8104" s="86">
        <f t="shared" si="3"/>
        <v>0</v>
      </c>
      <c r="R8104" s="26"/>
    </row>
    <row r="8105" spans="1:18" ht="15.75" customHeight="1">
      <c r="A8105" s="26"/>
      <c r="B8105" s="86"/>
      <c r="D8105" s="26"/>
      <c r="F8105" s="87" t="str">
        <f t="shared" si="0"/>
        <v/>
      </c>
      <c r="H8105" s="26" t="str">
        <f t="shared" si="1"/>
        <v/>
      </c>
      <c r="I8105" s="26" t="str">
        <f t="shared" si="2"/>
        <v/>
      </c>
      <c r="J8105" s="86">
        <f t="shared" si="3"/>
        <v>0</v>
      </c>
      <c r="R8105" s="26"/>
    </row>
    <row r="8106" spans="1:18" ht="15.75" customHeight="1">
      <c r="A8106" s="26"/>
      <c r="B8106" s="86"/>
      <c r="D8106" s="26"/>
      <c r="F8106" s="87" t="str">
        <f t="shared" si="0"/>
        <v/>
      </c>
      <c r="H8106" s="26" t="str">
        <f t="shared" si="1"/>
        <v/>
      </c>
      <c r="I8106" s="26" t="str">
        <f t="shared" si="2"/>
        <v/>
      </c>
      <c r="J8106" s="86">
        <f t="shared" si="3"/>
        <v>0</v>
      </c>
      <c r="R8106" s="26"/>
    </row>
    <row r="8107" spans="1:18" ht="15.75" customHeight="1">
      <c r="A8107" s="26"/>
      <c r="B8107" s="86"/>
      <c r="D8107" s="26"/>
      <c r="F8107" s="87" t="str">
        <f t="shared" si="0"/>
        <v/>
      </c>
      <c r="H8107" s="26" t="str">
        <f t="shared" si="1"/>
        <v/>
      </c>
      <c r="I8107" s="26" t="str">
        <f t="shared" si="2"/>
        <v/>
      </c>
      <c r="J8107" s="86">
        <f t="shared" si="3"/>
        <v>0</v>
      </c>
      <c r="R8107" s="26"/>
    </row>
    <row r="8108" spans="1:18" ht="15.75" customHeight="1">
      <c r="A8108" s="26"/>
      <c r="B8108" s="86"/>
      <c r="D8108" s="26"/>
      <c r="F8108" s="87" t="str">
        <f t="shared" si="0"/>
        <v/>
      </c>
      <c r="H8108" s="26" t="str">
        <f t="shared" si="1"/>
        <v/>
      </c>
      <c r="I8108" s="26" t="str">
        <f t="shared" si="2"/>
        <v/>
      </c>
      <c r="J8108" s="86">
        <f t="shared" si="3"/>
        <v>0</v>
      </c>
      <c r="R8108" s="26"/>
    </row>
    <row r="8109" spans="1:18" ht="15.75" customHeight="1">
      <c r="A8109" s="26"/>
      <c r="B8109" s="86"/>
      <c r="D8109" s="26"/>
      <c r="F8109" s="87" t="str">
        <f t="shared" si="0"/>
        <v/>
      </c>
      <c r="H8109" s="26" t="str">
        <f t="shared" si="1"/>
        <v/>
      </c>
      <c r="I8109" s="26" t="str">
        <f t="shared" si="2"/>
        <v/>
      </c>
      <c r="J8109" s="86">
        <f t="shared" si="3"/>
        <v>0</v>
      </c>
      <c r="R8109" s="26"/>
    </row>
    <row r="8110" spans="1:18" ht="15.75" customHeight="1">
      <c r="A8110" s="26"/>
      <c r="B8110" s="86"/>
      <c r="D8110" s="26"/>
      <c r="F8110" s="87" t="str">
        <f t="shared" si="0"/>
        <v/>
      </c>
      <c r="H8110" s="26" t="str">
        <f t="shared" si="1"/>
        <v/>
      </c>
      <c r="I8110" s="26" t="str">
        <f t="shared" si="2"/>
        <v/>
      </c>
      <c r="J8110" s="86">
        <f t="shared" si="3"/>
        <v>0</v>
      </c>
      <c r="R8110" s="26"/>
    </row>
    <row r="8111" spans="1:18" ht="15.75" customHeight="1">
      <c r="A8111" s="26"/>
      <c r="B8111" s="86"/>
      <c r="D8111" s="26"/>
      <c r="F8111" s="87" t="str">
        <f t="shared" si="0"/>
        <v/>
      </c>
      <c r="H8111" s="26" t="str">
        <f t="shared" si="1"/>
        <v/>
      </c>
      <c r="I8111" s="26" t="str">
        <f t="shared" si="2"/>
        <v/>
      </c>
      <c r="J8111" s="86">
        <f t="shared" si="3"/>
        <v>0</v>
      </c>
      <c r="R8111" s="26"/>
    </row>
    <row r="8112" spans="1:18" ht="15.75" customHeight="1">
      <c r="A8112" s="26"/>
      <c r="B8112" s="86"/>
      <c r="D8112" s="26"/>
      <c r="F8112" s="87" t="str">
        <f t="shared" si="0"/>
        <v/>
      </c>
      <c r="H8112" s="26" t="str">
        <f t="shared" si="1"/>
        <v/>
      </c>
      <c r="I8112" s="26" t="str">
        <f t="shared" si="2"/>
        <v/>
      </c>
      <c r="J8112" s="86">
        <f t="shared" si="3"/>
        <v>0</v>
      </c>
      <c r="R8112" s="26"/>
    </row>
    <row r="8113" spans="1:18" ht="15.75" customHeight="1">
      <c r="A8113" s="26"/>
      <c r="B8113" s="86"/>
      <c r="D8113" s="26"/>
      <c r="F8113" s="87" t="str">
        <f t="shared" si="0"/>
        <v/>
      </c>
      <c r="H8113" s="26" t="str">
        <f t="shared" si="1"/>
        <v/>
      </c>
      <c r="I8113" s="26" t="str">
        <f t="shared" si="2"/>
        <v/>
      </c>
      <c r="J8113" s="86">
        <f t="shared" si="3"/>
        <v>0</v>
      </c>
      <c r="R8113" s="26"/>
    </row>
    <row r="8114" spans="1:18" ht="15.75" customHeight="1">
      <c r="A8114" s="26"/>
      <c r="B8114" s="86"/>
      <c r="D8114" s="26"/>
      <c r="F8114" s="87" t="str">
        <f t="shared" si="0"/>
        <v/>
      </c>
      <c r="H8114" s="26" t="str">
        <f t="shared" si="1"/>
        <v/>
      </c>
      <c r="I8114" s="26" t="str">
        <f t="shared" si="2"/>
        <v/>
      </c>
      <c r="J8114" s="86">
        <f t="shared" si="3"/>
        <v>0</v>
      </c>
      <c r="R8114" s="26"/>
    </row>
    <row r="8115" spans="1:18" ht="15.75" customHeight="1">
      <c r="A8115" s="26"/>
      <c r="B8115" s="86"/>
      <c r="D8115" s="26"/>
      <c r="F8115" s="87" t="str">
        <f t="shared" si="0"/>
        <v/>
      </c>
      <c r="H8115" s="26" t="str">
        <f t="shared" si="1"/>
        <v/>
      </c>
      <c r="I8115" s="26" t="str">
        <f t="shared" si="2"/>
        <v/>
      </c>
      <c r="J8115" s="86">
        <f t="shared" si="3"/>
        <v>0</v>
      </c>
      <c r="R8115" s="26"/>
    </row>
    <row r="8116" spans="1:18" ht="15.75" customHeight="1">
      <c r="A8116" s="26"/>
      <c r="B8116" s="86"/>
      <c r="D8116" s="26"/>
      <c r="F8116" s="87" t="str">
        <f t="shared" si="0"/>
        <v/>
      </c>
      <c r="H8116" s="26" t="str">
        <f t="shared" si="1"/>
        <v/>
      </c>
      <c r="I8116" s="26" t="str">
        <f t="shared" si="2"/>
        <v/>
      </c>
      <c r="J8116" s="86">
        <f t="shared" si="3"/>
        <v>0</v>
      </c>
      <c r="R8116" s="26"/>
    </row>
    <row r="8117" spans="1:18" ht="15.75" customHeight="1">
      <c r="A8117" s="26"/>
      <c r="B8117" s="86"/>
      <c r="D8117" s="26"/>
      <c r="F8117" s="87" t="str">
        <f t="shared" si="0"/>
        <v/>
      </c>
      <c r="H8117" s="26" t="str">
        <f t="shared" si="1"/>
        <v/>
      </c>
      <c r="I8117" s="26" t="str">
        <f t="shared" si="2"/>
        <v/>
      </c>
      <c r="J8117" s="86">
        <f t="shared" si="3"/>
        <v>0</v>
      </c>
      <c r="R8117" s="26"/>
    </row>
    <row r="8118" spans="1:18" ht="15.75" customHeight="1">
      <c r="A8118" s="26"/>
      <c r="B8118" s="86"/>
      <c r="D8118" s="26"/>
      <c r="F8118" s="87" t="str">
        <f t="shared" si="0"/>
        <v/>
      </c>
      <c r="H8118" s="26" t="str">
        <f t="shared" si="1"/>
        <v/>
      </c>
      <c r="I8118" s="26" t="str">
        <f t="shared" si="2"/>
        <v/>
      </c>
      <c r="J8118" s="86">
        <f t="shared" si="3"/>
        <v>0</v>
      </c>
      <c r="R8118" s="26"/>
    </row>
    <row r="8119" spans="1:18" ht="15.75" customHeight="1">
      <c r="A8119" s="26"/>
      <c r="B8119" s="86"/>
      <c r="D8119" s="26"/>
      <c r="F8119" s="87" t="str">
        <f t="shared" si="0"/>
        <v/>
      </c>
      <c r="H8119" s="26" t="str">
        <f t="shared" si="1"/>
        <v/>
      </c>
      <c r="I8119" s="26" t="str">
        <f t="shared" si="2"/>
        <v/>
      </c>
      <c r="J8119" s="86">
        <f t="shared" si="3"/>
        <v>0</v>
      </c>
      <c r="R8119" s="26"/>
    </row>
    <row r="8120" spans="1:18" ht="15.75" customHeight="1">
      <c r="A8120" s="26"/>
      <c r="B8120" s="86"/>
      <c r="D8120" s="26"/>
      <c r="F8120" s="87" t="str">
        <f t="shared" si="0"/>
        <v/>
      </c>
      <c r="H8120" s="26" t="str">
        <f t="shared" si="1"/>
        <v/>
      </c>
      <c r="I8120" s="26" t="str">
        <f t="shared" si="2"/>
        <v/>
      </c>
      <c r="J8120" s="86">
        <f t="shared" si="3"/>
        <v>0</v>
      </c>
      <c r="R8120" s="26"/>
    </row>
    <row r="8121" spans="1:18" ht="15.75" customHeight="1">
      <c r="A8121" s="26"/>
      <c r="B8121" s="86"/>
      <c r="D8121" s="26"/>
      <c r="F8121" s="87" t="str">
        <f t="shared" si="0"/>
        <v/>
      </c>
      <c r="H8121" s="26" t="str">
        <f t="shared" si="1"/>
        <v/>
      </c>
      <c r="I8121" s="26" t="str">
        <f t="shared" si="2"/>
        <v/>
      </c>
      <c r="J8121" s="86">
        <f t="shared" si="3"/>
        <v>0</v>
      </c>
      <c r="R8121" s="26"/>
    </row>
    <row r="8122" spans="1:18" ht="15.75" customHeight="1">
      <c r="A8122" s="26"/>
      <c r="B8122" s="86"/>
      <c r="D8122" s="26"/>
      <c r="F8122" s="87" t="str">
        <f t="shared" si="0"/>
        <v/>
      </c>
      <c r="H8122" s="26" t="str">
        <f t="shared" si="1"/>
        <v/>
      </c>
      <c r="I8122" s="26" t="str">
        <f t="shared" si="2"/>
        <v/>
      </c>
      <c r="J8122" s="86">
        <f t="shared" si="3"/>
        <v>0</v>
      </c>
      <c r="R8122" s="26"/>
    </row>
    <row r="8123" spans="1:18" ht="15.75" customHeight="1">
      <c r="A8123" s="26"/>
      <c r="B8123" s="86"/>
      <c r="D8123" s="26"/>
      <c r="F8123" s="87" t="str">
        <f t="shared" si="0"/>
        <v/>
      </c>
      <c r="H8123" s="26" t="str">
        <f t="shared" si="1"/>
        <v/>
      </c>
      <c r="I8123" s="26" t="str">
        <f t="shared" si="2"/>
        <v/>
      </c>
      <c r="J8123" s="86">
        <f t="shared" si="3"/>
        <v>0</v>
      </c>
      <c r="R8123" s="26"/>
    </row>
    <row r="8124" spans="1:18" ht="15.75" customHeight="1">
      <c r="A8124" s="26"/>
      <c r="B8124" s="86"/>
      <c r="D8124" s="26"/>
      <c r="F8124" s="87" t="str">
        <f t="shared" si="0"/>
        <v/>
      </c>
      <c r="H8124" s="26" t="str">
        <f t="shared" si="1"/>
        <v/>
      </c>
      <c r="I8124" s="26" t="str">
        <f t="shared" si="2"/>
        <v/>
      </c>
      <c r="J8124" s="86">
        <f t="shared" si="3"/>
        <v>0</v>
      </c>
      <c r="R8124" s="26"/>
    </row>
    <row r="8125" spans="1:18" ht="15.75" customHeight="1">
      <c r="A8125" s="26"/>
      <c r="B8125" s="86"/>
      <c r="D8125" s="26"/>
      <c r="F8125" s="87" t="str">
        <f t="shared" si="0"/>
        <v/>
      </c>
      <c r="H8125" s="26" t="str">
        <f t="shared" si="1"/>
        <v/>
      </c>
      <c r="I8125" s="26" t="str">
        <f t="shared" si="2"/>
        <v/>
      </c>
      <c r="J8125" s="86">
        <f t="shared" si="3"/>
        <v>0</v>
      </c>
      <c r="R8125" s="26"/>
    </row>
    <row r="8126" spans="1:18" ht="15.75" customHeight="1">
      <c r="A8126" s="26"/>
      <c r="B8126" s="86"/>
      <c r="D8126" s="26"/>
      <c r="F8126" s="87" t="str">
        <f t="shared" si="0"/>
        <v/>
      </c>
      <c r="H8126" s="26" t="str">
        <f t="shared" si="1"/>
        <v/>
      </c>
      <c r="I8126" s="26" t="str">
        <f t="shared" si="2"/>
        <v/>
      </c>
      <c r="J8126" s="86">
        <f t="shared" si="3"/>
        <v>0</v>
      </c>
      <c r="R8126" s="26"/>
    </row>
    <row r="8127" spans="1:18" ht="15.75" customHeight="1">
      <c r="A8127" s="26"/>
      <c r="B8127" s="86"/>
      <c r="D8127" s="26"/>
      <c r="F8127" s="87" t="str">
        <f t="shared" si="0"/>
        <v/>
      </c>
      <c r="H8127" s="26" t="str">
        <f t="shared" si="1"/>
        <v/>
      </c>
      <c r="I8127" s="26" t="str">
        <f t="shared" si="2"/>
        <v/>
      </c>
      <c r="J8127" s="86">
        <f t="shared" si="3"/>
        <v>0</v>
      </c>
      <c r="R8127" s="26"/>
    </row>
    <row r="8128" spans="1:18" ht="15.75" customHeight="1">
      <c r="A8128" s="26"/>
      <c r="B8128" s="86"/>
      <c r="D8128" s="26"/>
      <c r="F8128" s="87" t="str">
        <f t="shared" si="0"/>
        <v/>
      </c>
      <c r="H8128" s="26" t="str">
        <f t="shared" si="1"/>
        <v/>
      </c>
      <c r="I8128" s="26" t="str">
        <f t="shared" si="2"/>
        <v/>
      </c>
      <c r="J8128" s="86">
        <f t="shared" si="3"/>
        <v>0</v>
      </c>
      <c r="R8128" s="26"/>
    </row>
    <row r="8129" spans="1:18" ht="15.75" customHeight="1">
      <c r="A8129" s="26"/>
      <c r="B8129" s="86"/>
      <c r="D8129" s="26"/>
      <c r="F8129" s="87" t="str">
        <f t="shared" si="0"/>
        <v/>
      </c>
      <c r="H8129" s="26" t="str">
        <f t="shared" si="1"/>
        <v/>
      </c>
      <c r="I8129" s="26" t="str">
        <f t="shared" si="2"/>
        <v/>
      </c>
      <c r="J8129" s="86">
        <f t="shared" si="3"/>
        <v>0</v>
      </c>
      <c r="R8129" s="26"/>
    </row>
    <row r="8130" spans="1:18" ht="15.75" customHeight="1">
      <c r="A8130" s="26"/>
      <c r="B8130" s="86"/>
      <c r="D8130" s="26"/>
      <c r="F8130" s="87" t="str">
        <f t="shared" si="0"/>
        <v/>
      </c>
      <c r="H8130" s="26" t="str">
        <f t="shared" si="1"/>
        <v/>
      </c>
      <c r="I8130" s="26" t="str">
        <f t="shared" si="2"/>
        <v/>
      </c>
      <c r="J8130" s="86">
        <f t="shared" si="3"/>
        <v>0</v>
      </c>
      <c r="R8130" s="26"/>
    </row>
    <row r="8131" spans="1:18" ht="15.75" customHeight="1">
      <c r="A8131" s="26"/>
      <c r="B8131" s="86"/>
      <c r="D8131" s="26"/>
      <c r="F8131" s="87" t="str">
        <f t="shared" si="0"/>
        <v/>
      </c>
      <c r="H8131" s="26" t="str">
        <f t="shared" si="1"/>
        <v/>
      </c>
      <c r="I8131" s="26" t="str">
        <f t="shared" si="2"/>
        <v/>
      </c>
      <c r="J8131" s="86">
        <f t="shared" si="3"/>
        <v>0</v>
      </c>
      <c r="R8131" s="26"/>
    </row>
    <row r="8132" spans="1:18" ht="15.75" customHeight="1">
      <c r="A8132" s="26"/>
      <c r="B8132" s="86"/>
      <c r="D8132" s="26"/>
      <c r="F8132" s="87" t="str">
        <f t="shared" si="0"/>
        <v/>
      </c>
      <c r="H8132" s="26" t="str">
        <f t="shared" si="1"/>
        <v/>
      </c>
      <c r="I8132" s="26" t="str">
        <f t="shared" si="2"/>
        <v/>
      </c>
      <c r="J8132" s="86">
        <f t="shared" si="3"/>
        <v>0</v>
      </c>
      <c r="R8132" s="26"/>
    </row>
    <row r="8133" spans="1:18" ht="15.75" customHeight="1">
      <c r="A8133" s="26"/>
      <c r="B8133" s="86"/>
      <c r="D8133" s="26"/>
      <c r="F8133" s="87" t="str">
        <f t="shared" si="0"/>
        <v/>
      </c>
      <c r="H8133" s="26" t="str">
        <f t="shared" si="1"/>
        <v/>
      </c>
      <c r="I8133" s="26" t="str">
        <f t="shared" si="2"/>
        <v/>
      </c>
      <c r="J8133" s="86">
        <f t="shared" si="3"/>
        <v>0</v>
      </c>
      <c r="R8133" s="26"/>
    </row>
    <row r="8134" spans="1:18" ht="15.75" customHeight="1">
      <c r="A8134" s="26"/>
      <c r="B8134" s="86"/>
      <c r="D8134" s="26"/>
      <c r="F8134" s="87" t="str">
        <f t="shared" si="0"/>
        <v/>
      </c>
      <c r="H8134" s="26" t="str">
        <f t="shared" si="1"/>
        <v/>
      </c>
      <c r="I8134" s="26" t="str">
        <f t="shared" si="2"/>
        <v/>
      </c>
      <c r="J8134" s="86">
        <f t="shared" si="3"/>
        <v>0</v>
      </c>
      <c r="R8134" s="26"/>
    </row>
    <row r="8135" spans="1:18" ht="15.75" customHeight="1">
      <c r="A8135" s="26"/>
      <c r="B8135" s="86"/>
      <c r="D8135" s="26"/>
      <c r="F8135" s="87" t="str">
        <f t="shared" si="0"/>
        <v/>
      </c>
      <c r="H8135" s="26" t="str">
        <f t="shared" si="1"/>
        <v/>
      </c>
      <c r="I8135" s="26" t="str">
        <f t="shared" si="2"/>
        <v/>
      </c>
      <c r="J8135" s="86">
        <f t="shared" si="3"/>
        <v>0</v>
      </c>
      <c r="R8135" s="26"/>
    </row>
    <row r="8136" spans="1:18" ht="15.75" customHeight="1">
      <c r="A8136" s="26"/>
      <c r="B8136" s="86"/>
      <c r="D8136" s="26"/>
      <c r="F8136" s="87" t="str">
        <f t="shared" si="0"/>
        <v/>
      </c>
      <c r="H8136" s="26" t="str">
        <f t="shared" si="1"/>
        <v/>
      </c>
      <c r="I8136" s="26" t="str">
        <f t="shared" si="2"/>
        <v/>
      </c>
      <c r="J8136" s="86">
        <f t="shared" si="3"/>
        <v>0</v>
      </c>
      <c r="R8136" s="26"/>
    </row>
    <row r="8137" spans="1:18" ht="15.75" customHeight="1">
      <c r="A8137" s="26"/>
      <c r="B8137" s="86"/>
      <c r="D8137" s="26"/>
      <c r="F8137" s="87" t="str">
        <f t="shared" si="0"/>
        <v/>
      </c>
      <c r="H8137" s="26" t="str">
        <f t="shared" si="1"/>
        <v/>
      </c>
      <c r="I8137" s="26" t="str">
        <f t="shared" si="2"/>
        <v/>
      </c>
      <c r="J8137" s="86">
        <f t="shared" si="3"/>
        <v>0</v>
      </c>
      <c r="R8137" s="26"/>
    </row>
    <row r="8138" spans="1:18" ht="15.75" customHeight="1">
      <c r="A8138" s="26"/>
      <c r="B8138" s="86"/>
      <c r="D8138" s="26"/>
      <c r="F8138" s="87" t="str">
        <f t="shared" si="0"/>
        <v/>
      </c>
      <c r="H8138" s="26" t="str">
        <f t="shared" si="1"/>
        <v/>
      </c>
      <c r="I8138" s="26" t="str">
        <f t="shared" si="2"/>
        <v/>
      </c>
      <c r="J8138" s="86">
        <f t="shared" si="3"/>
        <v>0</v>
      </c>
      <c r="R8138" s="26"/>
    </row>
    <row r="8139" spans="1:18" ht="15.75" customHeight="1">
      <c r="A8139" s="26"/>
      <c r="B8139" s="86"/>
      <c r="D8139" s="26"/>
      <c r="F8139" s="87" t="str">
        <f t="shared" si="0"/>
        <v/>
      </c>
      <c r="H8139" s="26" t="str">
        <f t="shared" si="1"/>
        <v/>
      </c>
      <c r="I8139" s="26" t="str">
        <f t="shared" si="2"/>
        <v/>
      </c>
      <c r="J8139" s="86">
        <f t="shared" si="3"/>
        <v>0</v>
      </c>
      <c r="R8139" s="26"/>
    </row>
    <row r="8140" spans="1:18" ht="15.75" customHeight="1">
      <c r="A8140" s="26"/>
      <c r="B8140" s="86"/>
      <c r="D8140" s="26"/>
      <c r="F8140" s="87" t="str">
        <f t="shared" si="0"/>
        <v/>
      </c>
      <c r="H8140" s="26" t="str">
        <f t="shared" si="1"/>
        <v/>
      </c>
      <c r="I8140" s="26" t="str">
        <f t="shared" si="2"/>
        <v/>
      </c>
      <c r="J8140" s="86">
        <f t="shared" si="3"/>
        <v>0</v>
      </c>
      <c r="R8140" s="26"/>
    </row>
    <row r="8141" spans="1:18" ht="15.75" customHeight="1">
      <c r="A8141" s="26"/>
      <c r="B8141" s="86"/>
      <c r="D8141" s="26"/>
      <c r="F8141" s="87" t="str">
        <f t="shared" si="0"/>
        <v/>
      </c>
      <c r="H8141" s="26" t="str">
        <f t="shared" si="1"/>
        <v/>
      </c>
      <c r="I8141" s="26" t="str">
        <f t="shared" si="2"/>
        <v/>
      </c>
      <c r="J8141" s="86">
        <f t="shared" si="3"/>
        <v>0</v>
      </c>
      <c r="R8141" s="26"/>
    </row>
    <row r="8142" spans="1:18" ht="15.75" customHeight="1">
      <c r="A8142" s="26"/>
      <c r="B8142" s="86"/>
      <c r="D8142" s="26"/>
      <c r="F8142" s="87" t="str">
        <f t="shared" si="0"/>
        <v/>
      </c>
      <c r="H8142" s="26" t="str">
        <f t="shared" si="1"/>
        <v/>
      </c>
      <c r="I8142" s="26" t="str">
        <f t="shared" si="2"/>
        <v/>
      </c>
      <c r="J8142" s="86">
        <f t="shared" si="3"/>
        <v>0</v>
      </c>
      <c r="R8142" s="26"/>
    </row>
    <row r="8143" spans="1:18" ht="15.75" customHeight="1">
      <c r="A8143" s="26"/>
      <c r="B8143" s="86"/>
      <c r="D8143" s="26"/>
      <c r="F8143" s="87" t="str">
        <f t="shared" si="0"/>
        <v/>
      </c>
      <c r="H8143" s="26" t="str">
        <f t="shared" si="1"/>
        <v/>
      </c>
      <c r="I8143" s="26" t="str">
        <f t="shared" si="2"/>
        <v/>
      </c>
      <c r="J8143" s="86">
        <f t="shared" si="3"/>
        <v>0</v>
      </c>
      <c r="R8143" s="26"/>
    </row>
    <row r="8144" spans="1:18" ht="15.75" customHeight="1">
      <c r="A8144" s="26"/>
      <c r="B8144" s="86"/>
      <c r="D8144" s="26"/>
      <c r="F8144" s="87" t="str">
        <f t="shared" si="0"/>
        <v/>
      </c>
      <c r="H8144" s="26" t="str">
        <f t="shared" si="1"/>
        <v/>
      </c>
      <c r="I8144" s="26" t="str">
        <f t="shared" si="2"/>
        <v/>
      </c>
      <c r="J8144" s="86">
        <f t="shared" si="3"/>
        <v>0</v>
      </c>
      <c r="R8144" s="26"/>
    </row>
    <row r="8145" spans="1:18" ht="15.75" customHeight="1">
      <c r="A8145" s="26"/>
      <c r="B8145" s="86"/>
      <c r="D8145" s="26"/>
      <c r="F8145" s="87" t="str">
        <f t="shared" si="0"/>
        <v/>
      </c>
      <c r="H8145" s="26" t="str">
        <f t="shared" si="1"/>
        <v/>
      </c>
      <c r="I8145" s="26" t="str">
        <f t="shared" si="2"/>
        <v/>
      </c>
      <c r="J8145" s="86">
        <f t="shared" si="3"/>
        <v>0</v>
      </c>
      <c r="R8145" s="26"/>
    </row>
    <row r="8146" spans="1:18" ht="15.75" customHeight="1">
      <c r="A8146" s="26"/>
      <c r="B8146" s="86"/>
      <c r="D8146" s="26"/>
      <c r="F8146" s="87" t="str">
        <f t="shared" si="0"/>
        <v/>
      </c>
      <c r="H8146" s="26" t="str">
        <f t="shared" si="1"/>
        <v/>
      </c>
      <c r="I8146" s="26" t="str">
        <f t="shared" si="2"/>
        <v/>
      </c>
      <c r="J8146" s="86">
        <f t="shared" si="3"/>
        <v>0</v>
      </c>
      <c r="R8146" s="26"/>
    </row>
    <row r="8147" spans="1:18" ht="15.75" customHeight="1">
      <c r="A8147" s="26"/>
      <c r="B8147" s="86"/>
      <c r="D8147" s="26"/>
      <c r="F8147" s="87" t="str">
        <f t="shared" si="0"/>
        <v/>
      </c>
      <c r="H8147" s="26" t="str">
        <f t="shared" si="1"/>
        <v/>
      </c>
      <c r="I8147" s="26" t="str">
        <f t="shared" si="2"/>
        <v/>
      </c>
      <c r="J8147" s="86">
        <f t="shared" si="3"/>
        <v>0</v>
      </c>
      <c r="R8147" s="26"/>
    </row>
    <row r="8148" spans="1:18" ht="15.75" customHeight="1">
      <c r="A8148" s="26"/>
      <c r="B8148" s="86"/>
      <c r="D8148" s="26"/>
      <c r="F8148" s="87" t="str">
        <f t="shared" si="0"/>
        <v/>
      </c>
      <c r="H8148" s="26" t="str">
        <f t="shared" si="1"/>
        <v/>
      </c>
      <c r="I8148" s="26" t="str">
        <f t="shared" si="2"/>
        <v/>
      </c>
      <c r="J8148" s="86">
        <f t="shared" si="3"/>
        <v>0</v>
      </c>
      <c r="R8148" s="26"/>
    </row>
    <row r="8149" spans="1:18" ht="15.75" customHeight="1">
      <c r="A8149" s="26"/>
      <c r="B8149" s="86"/>
      <c r="D8149" s="26"/>
      <c r="F8149" s="87" t="str">
        <f t="shared" si="0"/>
        <v/>
      </c>
      <c r="H8149" s="26" t="str">
        <f t="shared" si="1"/>
        <v/>
      </c>
      <c r="I8149" s="26" t="str">
        <f t="shared" si="2"/>
        <v/>
      </c>
      <c r="J8149" s="86">
        <f t="shared" si="3"/>
        <v>0</v>
      </c>
      <c r="R8149" s="26"/>
    </row>
    <row r="8150" spans="1:18" ht="15.75" customHeight="1">
      <c r="A8150" s="26"/>
      <c r="B8150" s="86"/>
      <c r="D8150" s="26"/>
      <c r="F8150" s="87" t="str">
        <f t="shared" si="0"/>
        <v/>
      </c>
      <c r="H8150" s="26" t="str">
        <f t="shared" si="1"/>
        <v/>
      </c>
      <c r="I8150" s="26" t="str">
        <f t="shared" si="2"/>
        <v/>
      </c>
      <c r="J8150" s="86">
        <f t="shared" si="3"/>
        <v>0</v>
      </c>
      <c r="R8150" s="26"/>
    </row>
    <row r="8151" spans="1:18" ht="15.75" customHeight="1">
      <c r="A8151" s="26"/>
      <c r="B8151" s="86"/>
      <c r="D8151" s="26"/>
      <c r="F8151" s="87" t="str">
        <f t="shared" si="0"/>
        <v/>
      </c>
      <c r="H8151" s="26" t="str">
        <f t="shared" si="1"/>
        <v/>
      </c>
      <c r="I8151" s="26" t="str">
        <f t="shared" si="2"/>
        <v/>
      </c>
      <c r="J8151" s="86">
        <f t="shared" si="3"/>
        <v>0</v>
      </c>
      <c r="R8151" s="26"/>
    </row>
    <row r="8152" spans="1:18" ht="15.75" customHeight="1">
      <c r="A8152" s="26"/>
      <c r="B8152" s="86"/>
      <c r="D8152" s="26"/>
      <c r="F8152" s="87" t="str">
        <f t="shared" si="0"/>
        <v/>
      </c>
      <c r="H8152" s="26" t="str">
        <f t="shared" si="1"/>
        <v/>
      </c>
      <c r="I8152" s="26" t="str">
        <f t="shared" si="2"/>
        <v/>
      </c>
      <c r="J8152" s="86">
        <f t="shared" si="3"/>
        <v>0</v>
      </c>
      <c r="R8152" s="26"/>
    </row>
    <row r="8153" spans="1:18" ht="15.75" customHeight="1">
      <c r="A8153" s="26"/>
      <c r="B8153" s="86"/>
      <c r="D8153" s="26"/>
      <c r="F8153" s="87" t="str">
        <f t="shared" si="0"/>
        <v/>
      </c>
      <c r="H8153" s="26" t="str">
        <f t="shared" si="1"/>
        <v/>
      </c>
      <c r="I8153" s="26" t="str">
        <f t="shared" si="2"/>
        <v/>
      </c>
      <c r="J8153" s="86">
        <f t="shared" si="3"/>
        <v>0</v>
      </c>
      <c r="R8153" s="26"/>
    </row>
    <row r="8154" spans="1:18" ht="15.75" customHeight="1">
      <c r="A8154" s="26"/>
      <c r="B8154" s="86"/>
      <c r="D8154" s="26"/>
      <c r="F8154" s="87" t="str">
        <f t="shared" si="0"/>
        <v/>
      </c>
      <c r="H8154" s="26" t="str">
        <f t="shared" si="1"/>
        <v/>
      </c>
      <c r="I8154" s="26" t="str">
        <f t="shared" si="2"/>
        <v/>
      </c>
      <c r="J8154" s="86">
        <f t="shared" si="3"/>
        <v>0</v>
      </c>
      <c r="R8154" s="26"/>
    </row>
    <row r="8155" spans="1:18" ht="15.75" customHeight="1">
      <c r="A8155" s="26"/>
      <c r="B8155" s="86"/>
      <c r="D8155" s="26"/>
      <c r="F8155" s="87" t="str">
        <f t="shared" si="0"/>
        <v/>
      </c>
      <c r="H8155" s="26" t="str">
        <f t="shared" si="1"/>
        <v/>
      </c>
      <c r="I8155" s="26" t="str">
        <f t="shared" si="2"/>
        <v/>
      </c>
      <c r="J8155" s="86">
        <f t="shared" si="3"/>
        <v>0</v>
      </c>
      <c r="R8155" s="26"/>
    </row>
    <row r="8156" spans="1:18" ht="15.75" customHeight="1">
      <c r="A8156" s="26"/>
      <c r="B8156" s="86"/>
      <c r="D8156" s="26"/>
      <c r="F8156" s="87" t="str">
        <f t="shared" si="0"/>
        <v/>
      </c>
      <c r="H8156" s="26" t="str">
        <f t="shared" si="1"/>
        <v/>
      </c>
      <c r="I8156" s="26" t="str">
        <f t="shared" si="2"/>
        <v/>
      </c>
      <c r="J8156" s="86">
        <f t="shared" si="3"/>
        <v>0</v>
      </c>
      <c r="R8156" s="26"/>
    </row>
    <row r="8157" spans="1:18" ht="15.75" customHeight="1">
      <c r="A8157" s="26"/>
      <c r="B8157" s="86"/>
      <c r="D8157" s="26"/>
      <c r="F8157" s="87" t="str">
        <f t="shared" si="0"/>
        <v/>
      </c>
      <c r="H8157" s="26" t="str">
        <f t="shared" si="1"/>
        <v/>
      </c>
      <c r="I8157" s="26" t="str">
        <f t="shared" si="2"/>
        <v/>
      </c>
      <c r="J8157" s="86">
        <f t="shared" si="3"/>
        <v>0</v>
      </c>
      <c r="R8157" s="26"/>
    </row>
    <row r="8158" spans="1:18" ht="15.75" customHeight="1">
      <c r="A8158" s="26"/>
      <c r="B8158" s="86"/>
      <c r="D8158" s="26"/>
      <c r="F8158" s="87" t="str">
        <f t="shared" si="0"/>
        <v/>
      </c>
      <c r="H8158" s="26" t="str">
        <f t="shared" si="1"/>
        <v/>
      </c>
      <c r="I8158" s="26" t="str">
        <f t="shared" si="2"/>
        <v/>
      </c>
      <c r="J8158" s="86">
        <f t="shared" si="3"/>
        <v>0</v>
      </c>
      <c r="R8158" s="26"/>
    </row>
    <row r="8159" spans="1:18" ht="15.75" customHeight="1">
      <c r="A8159" s="26"/>
      <c r="B8159" s="86"/>
      <c r="D8159" s="26"/>
      <c r="F8159" s="87" t="str">
        <f t="shared" si="0"/>
        <v/>
      </c>
      <c r="H8159" s="26" t="str">
        <f t="shared" si="1"/>
        <v/>
      </c>
      <c r="I8159" s="26" t="str">
        <f t="shared" si="2"/>
        <v/>
      </c>
      <c r="J8159" s="86">
        <f t="shared" si="3"/>
        <v>0</v>
      </c>
      <c r="R8159" s="26"/>
    </row>
    <row r="8160" spans="1:18" ht="15.75" customHeight="1">
      <c r="A8160" s="26"/>
      <c r="B8160" s="86"/>
      <c r="D8160" s="26"/>
      <c r="F8160" s="87" t="str">
        <f t="shared" si="0"/>
        <v/>
      </c>
      <c r="H8160" s="26" t="str">
        <f t="shared" si="1"/>
        <v/>
      </c>
      <c r="I8160" s="26" t="str">
        <f t="shared" si="2"/>
        <v/>
      </c>
      <c r="J8160" s="86">
        <f t="shared" si="3"/>
        <v>0</v>
      </c>
      <c r="R8160" s="26"/>
    </row>
    <row r="8161" spans="1:18" ht="15.75" customHeight="1">
      <c r="A8161" s="26"/>
      <c r="B8161" s="86"/>
      <c r="D8161" s="26"/>
      <c r="F8161" s="87" t="str">
        <f t="shared" si="0"/>
        <v/>
      </c>
      <c r="H8161" s="26" t="str">
        <f t="shared" si="1"/>
        <v/>
      </c>
      <c r="I8161" s="26" t="str">
        <f t="shared" si="2"/>
        <v/>
      </c>
      <c r="J8161" s="86">
        <f t="shared" si="3"/>
        <v>0</v>
      </c>
      <c r="R8161" s="26"/>
    </row>
    <row r="8162" spans="1:18" ht="15.75" customHeight="1">
      <c r="A8162" s="26"/>
      <c r="B8162" s="86"/>
      <c r="D8162" s="26"/>
      <c r="F8162" s="87" t="str">
        <f t="shared" si="0"/>
        <v/>
      </c>
      <c r="H8162" s="26" t="str">
        <f t="shared" si="1"/>
        <v/>
      </c>
      <c r="I8162" s="26" t="str">
        <f t="shared" si="2"/>
        <v/>
      </c>
      <c r="J8162" s="86">
        <f t="shared" si="3"/>
        <v>0</v>
      </c>
      <c r="R8162" s="26"/>
    </row>
    <row r="8163" spans="1:18" ht="15.75" customHeight="1">
      <c r="A8163" s="26"/>
      <c r="B8163" s="86"/>
      <c r="D8163" s="26"/>
      <c r="F8163" s="87" t="str">
        <f t="shared" si="0"/>
        <v/>
      </c>
      <c r="H8163" s="26" t="str">
        <f t="shared" si="1"/>
        <v/>
      </c>
      <c r="I8163" s="26" t="str">
        <f t="shared" si="2"/>
        <v/>
      </c>
      <c r="J8163" s="86">
        <f t="shared" si="3"/>
        <v>0</v>
      </c>
      <c r="R8163" s="26"/>
    </row>
    <row r="8164" spans="1:18" ht="15.75" customHeight="1">
      <c r="A8164" s="26"/>
      <c r="B8164" s="86"/>
      <c r="D8164" s="26"/>
      <c r="F8164" s="87" t="str">
        <f t="shared" si="0"/>
        <v/>
      </c>
      <c r="H8164" s="26" t="str">
        <f t="shared" si="1"/>
        <v/>
      </c>
      <c r="I8164" s="26" t="str">
        <f t="shared" si="2"/>
        <v/>
      </c>
      <c r="J8164" s="86">
        <f t="shared" si="3"/>
        <v>0</v>
      </c>
      <c r="R8164" s="26"/>
    </row>
    <row r="8165" spans="1:18" ht="15.75" customHeight="1">
      <c r="A8165" s="26"/>
      <c r="B8165" s="86"/>
      <c r="D8165" s="26"/>
      <c r="F8165" s="87" t="str">
        <f t="shared" si="0"/>
        <v/>
      </c>
      <c r="H8165" s="26" t="str">
        <f t="shared" si="1"/>
        <v/>
      </c>
      <c r="I8165" s="26" t="str">
        <f t="shared" si="2"/>
        <v/>
      </c>
      <c r="J8165" s="86">
        <f t="shared" si="3"/>
        <v>0</v>
      </c>
      <c r="R8165" s="26"/>
    </row>
    <row r="8166" spans="1:18" ht="15.75" customHeight="1">
      <c r="A8166" s="26"/>
      <c r="B8166" s="86"/>
      <c r="D8166" s="26"/>
      <c r="F8166" s="87" t="str">
        <f t="shared" si="0"/>
        <v/>
      </c>
      <c r="H8166" s="26" t="str">
        <f t="shared" si="1"/>
        <v/>
      </c>
      <c r="I8166" s="26" t="str">
        <f t="shared" si="2"/>
        <v/>
      </c>
      <c r="J8166" s="86">
        <f t="shared" si="3"/>
        <v>0</v>
      </c>
      <c r="R8166" s="26"/>
    </row>
    <row r="8167" spans="1:18" ht="15.75" customHeight="1">
      <c r="A8167" s="26"/>
      <c r="B8167" s="86"/>
      <c r="D8167" s="26"/>
      <c r="F8167" s="87" t="str">
        <f t="shared" si="0"/>
        <v/>
      </c>
      <c r="H8167" s="26" t="str">
        <f t="shared" si="1"/>
        <v/>
      </c>
      <c r="I8167" s="26" t="str">
        <f t="shared" si="2"/>
        <v/>
      </c>
      <c r="J8167" s="86">
        <f t="shared" si="3"/>
        <v>0</v>
      </c>
      <c r="R8167" s="26"/>
    </row>
    <row r="8168" spans="1:18" ht="15.75" customHeight="1">
      <c r="A8168" s="26"/>
      <c r="B8168" s="86"/>
      <c r="D8168" s="26"/>
      <c r="F8168" s="87" t="str">
        <f t="shared" si="0"/>
        <v/>
      </c>
      <c r="H8168" s="26" t="str">
        <f t="shared" si="1"/>
        <v/>
      </c>
      <c r="I8168" s="26" t="str">
        <f t="shared" si="2"/>
        <v/>
      </c>
      <c r="J8168" s="86">
        <f t="shared" si="3"/>
        <v>0</v>
      </c>
      <c r="R8168" s="26"/>
    </row>
    <row r="8169" spans="1:18" ht="15.75" customHeight="1">
      <c r="A8169" s="26"/>
      <c r="B8169" s="86"/>
      <c r="D8169" s="26"/>
      <c r="F8169" s="87" t="str">
        <f t="shared" si="0"/>
        <v/>
      </c>
      <c r="H8169" s="26" t="str">
        <f t="shared" si="1"/>
        <v/>
      </c>
      <c r="I8169" s="26" t="str">
        <f t="shared" si="2"/>
        <v/>
      </c>
      <c r="J8169" s="86">
        <f t="shared" si="3"/>
        <v>0</v>
      </c>
      <c r="R8169" s="26"/>
    </row>
    <row r="8170" spans="1:18" ht="15.75" customHeight="1">
      <c r="A8170" s="26"/>
      <c r="B8170" s="86"/>
      <c r="D8170" s="26"/>
      <c r="F8170" s="87" t="str">
        <f t="shared" si="0"/>
        <v/>
      </c>
      <c r="H8170" s="26" t="str">
        <f t="shared" si="1"/>
        <v/>
      </c>
      <c r="I8170" s="26" t="str">
        <f t="shared" si="2"/>
        <v/>
      </c>
      <c r="J8170" s="86">
        <f t="shared" si="3"/>
        <v>0</v>
      </c>
      <c r="R8170" s="26"/>
    </row>
    <row r="8171" spans="1:18" ht="15.75" customHeight="1">
      <c r="A8171" s="26"/>
      <c r="B8171" s="86"/>
      <c r="D8171" s="26"/>
      <c r="F8171" s="87" t="str">
        <f t="shared" si="0"/>
        <v/>
      </c>
      <c r="H8171" s="26" t="str">
        <f t="shared" si="1"/>
        <v/>
      </c>
      <c r="I8171" s="26" t="str">
        <f t="shared" si="2"/>
        <v/>
      </c>
      <c r="J8171" s="86">
        <f t="shared" si="3"/>
        <v>0</v>
      </c>
      <c r="R8171" s="26"/>
    </row>
    <row r="8172" spans="1:18" ht="15.75" customHeight="1">
      <c r="A8172" s="26"/>
      <c r="B8172" s="86"/>
      <c r="D8172" s="26"/>
      <c r="F8172" s="87" t="str">
        <f t="shared" si="0"/>
        <v/>
      </c>
      <c r="H8172" s="26" t="str">
        <f t="shared" si="1"/>
        <v/>
      </c>
      <c r="I8172" s="26" t="str">
        <f t="shared" si="2"/>
        <v/>
      </c>
      <c r="J8172" s="86">
        <f t="shared" si="3"/>
        <v>0</v>
      </c>
      <c r="R8172" s="26"/>
    </row>
    <row r="8173" spans="1:18" ht="15.75" customHeight="1">
      <c r="A8173" s="26"/>
      <c r="B8173" s="86"/>
      <c r="D8173" s="26"/>
      <c r="F8173" s="87" t="str">
        <f t="shared" si="0"/>
        <v/>
      </c>
      <c r="H8173" s="26" t="str">
        <f t="shared" si="1"/>
        <v/>
      </c>
      <c r="I8173" s="26" t="str">
        <f t="shared" si="2"/>
        <v/>
      </c>
      <c r="J8173" s="86">
        <f t="shared" si="3"/>
        <v>0</v>
      </c>
      <c r="R8173" s="26"/>
    </row>
    <row r="8174" spans="1:18" ht="15.75" customHeight="1">
      <c r="A8174" s="26"/>
      <c r="B8174" s="86"/>
      <c r="D8174" s="26"/>
      <c r="F8174" s="87" t="str">
        <f t="shared" si="0"/>
        <v/>
      </c>
      <c r="H8174" s="26" t="str">
        <f t="shared" si="1"/>
        <v/>
      </c>
      <c r="I8174" s="26" t="str">
        <f t="shared" si="2"/>
        <v/>
      </c>
      <c r="J8174" s="86">
        <f t="shared" si="3"/>
        <v>0</v>
      </c>
      <c r="R8174" s="26"/>
    </row>
    <row r="8175" spans="1:18" ht="15.75" customHeight="1">
      <c r="A8175" s="26"/>
      <c r="B8175" s="86"/>
      <c r="D8175" s="26"/>
      <c r="F8175" s="87" t="str">
        <f t="shared" si="0"/>
        <v/>
      </c>
      <c r="H8175" s="26" t="str">
        <f t="shared" si="1"/>
        <v/>
      </c>
      <c r="I8175" s="26" t="str">
        <f t="shared" si="2"/>
        <v/>
      </c>
      <c r="J8175" s="86">
        <f t="shared" si="3"/>
        <v>0</v>
      </c>
      <c r="R8175" s="26"/>
    </row>
    <row r="8176" spans="1:18" ht="15.75" customHeight="1">
      <c r="A8176" s="26"/>
      <c r="B8176" s="86"/>
      <c r="D8176" s="26"/>
      <c r="F8176" s="87" t="str">
        <f t="shared" si="0"/>
        <v/>
      </c>
      <c r="H8176" s="26" t="str">
        <f t="shared" si="1"/>
        <v/>
      </c>
      <c r="I8176" s="26" t="str">
        <f t="shared" si="2"/>
        <v/>
      </c>
      <c r="J8176" s="86">
        <f t="shared" si="3"/>
        <v>0</v>
      </c>
      <c r="R8176" s="26"/>
    </row>
    <row r="8177" spans="1:18" ht="15.75" customHeight="1">
      <c r="A8177" s="26"/>
      <c r="B8177" s="86"/>
      <c r="D8177" s="26"/>
      <c r="F8177" s="87" t="str">
        <f t="shared" si="0"/>
        <v/>
      </c>
      <c r="H8177" s="26" t="str">
        <f t="shared" si="1"/>
        <v/>
      </c>
      <c r="I8177" s="26" t="str">
        <f t="shared" si="2"/>
        <v/>
      </c>
      <c r="J8177" s="86">
        <f t="shared" si="3"/>
        <v>0</v>
      </c>
      <c r="R8177" s="26"/>
    </row>
    <row r="8178" spans="1:18" ht="15.75" customHeight="1">
      <c r="A8178" s="26"/>
      <c r="B8178" s="86"/>
      <c r="D8178" s="26"/>
      <c r="F8178" s="87" t="str">
        <f t="shared" si="0"/>
        <v/>
      </c>
      <c r="H8178" s="26" t="str">
        <f t="shared" si="1"/>
        <v/>
      </c>
      <c r="I8178" s="26" t="str">
        <f t="shared" si="2"/>
        <v/>
      </c>
      <c r="J8178" s="86">
        <f t="shared" si="3"/>
        <v>0</v>
      </c>
      <c r="R8178" s="26"/>
    </row>
    <row r="8179" spans="1:18" ht="15.75" customHeight="1">
      <c r="A8179" s="26"/>
      <c r="B8179" s="86"/>
      <c r="D8179" s="26"/>
      <c r="F8179" s="87" t="str">
        <f t="shared" si="0"/>
        <v/>
      </c>
      <c r="H8179" s="26" t="str">
        <f t="shared" si="1"/>
        <v/>
      </c>
      <c r="I8179" s="26" t="str">
        <f t="shared" si="2"/>
        <v/>
      </c>
      <c r="J8179" s="86">
        <f t="shared" si="3"/>
        <v>0</v>
      </c>
      <c r="R8179" s="26"/>
    </row>
    <row r="8180" spans="1:18" ht="15.75" customHeight="1">
      <c r="A8180" s="26"/>
      <c r="B8180" s="86"/>
      <c r="D8180" s="26"/>
      <c r="F8180" s="87" t="str">
        <f t="shared" si="0"/>
        <v/>
      </c>
      <c r="H8180" s="26" t="str">
        <f t="shared" si="1"/>
        <v/>
      </c>
      <c r="I8180" s="26" t="str">
        <f t="shared" si="2"/>
        <v/>
      </c>
      <c r="J8180" s="86">
        <f t="shared" si="3"/>
        <v>0</v>
      </c>
      <c r="R8180" s="26"/>
    </row>
    <row r="8181" spans="1:18" ht="15.75" customHeight="1">
      <c r="A8181" s="26"/>
      <c r="B8181" s="86"/>
      <c r="D8181" s="26"/>
      <c r="F8181" s="87" t="str">
        <f t="shared" si="0"/>
        <v/>
      </c>
      <c r="H8181" s="26" t="str">
        <f t="shared" si="1"/>
        <v/>
      </c>
      <c r="I8181" s="26" t="str">
        <f t="shared" si="2"/>
        <v/>
      </c>
      <c r="J8181" s="86">
        <f t="shared" si="3"/>
        <v>0</v>
      </c>
      <c r="R8181" s="26"/>
    </row>
    <row r="8182" spans="1:18" ht="15.75" customHeight="1">
      <c r="A8182" s="26"/>
      <c r="B8182" s="86"/>
      <c r="D8182" s="26"/>
      <c r="F8182" s="87" t="str">
        <f t="shared" si="0"/>
        <v/>
      </c>
      <c r="H8182" s="26" t="str">
        <f t="shared" si="1"/>
        <v/>
      </c>
      <c r="I8182" s="26" t="str">
        <f t="shared" si="2"/>
        <v/>
      </c>
      <c r="J8182" s="86">
        <f t="shared" si="3"/>
        <v>0</v>
      </c>
      <c r="R8182" s="26"/>
    </row>
    <row r="8183" spans="1:18" ht="15.75" customHeight="1">
      <c r="A8183" s="26"/>
      <c r="B8183" s="86"/>
      <c r="D8183" s="26"/>
      <c r="F8183" s="87" t="str">
        <f t="shared" si="0"/>
        <v/>
      </c>
      <c r="H8183" s="26" t="str">
        <f t="shared" si="1"/>
        <v/>
      </c>
      <c r="I8183" s="26" t="str">
        <f t="shared" si="2"/>
        <v/>
      </c>
      <c r="J8183" s="86">
        <f t="shared" si="3"/>
        <v>0</v>
      </c>
      <c r="R8183" s="26"/>
    </row>
    <row r="8184" spans="1:18" ht="15.75" customHeight="1">
      <c r="A8184" s="26"/>
      <c r="B8184" s="86"/>
      <c r="D8184" s="26"/>
      <c r="F8184" s="87" t="str">
        <f t="shared" si="0"/>
        <v/>
      </c>
      <c r="H8184" s="26" t="str">
        <f t="shared" si="1"/>
        <v/>
      </c>
      <c r="I8184" s="26" t="str">
        <f t="shared" si="2"/>
        <v/>
      </c>
      <c r="J8184" s="86">
        <f t="shared" si="3"/>
        <v>0</v>
      </c>
      <c r="R8184" s="26"/>
    </row>
    <row r="8185" spans="1:18" ht="15.75" customHeight="1">
      <c r="A8185" s="26"/>
      <c r="B8185" s="86"/>
      <c r="D8185" s="26"/>
      <c r="F8185" s="87" t="str">
        <f t="shared" si="0"/>
        <v/>
      </c>
      <c r="H8185" s="26" t="str">
        <f t="shared" si="1"/>
        <v/>
      </c>
      <c r="I8185" s="26" t="str">
        <f t="shared" si="2"/>
        <v/>
      </c>
      <c r="J8185" s="86">
        <f t="shared" si="3"/>
        <v>0</v>
      </c>
      <c r="R8185" s="26"/>
    </row>
    <row r="8186" spans="1:18" ht="15.75" customHeight="1">
      <c r="A8186" s="26"/>
      <c r="B8186" s="86"/>
      <c r="D8186" s="26"/>
      <c r="F8186" s="87" t="str">
        <f t="shared" si="0"/>
        <v/>
      </c>
      <c r="H8186" s="26" t="str">
        <f t="shared" si="1"/>
        <v/>
      </c>
      <c r="I8186" s="26" t="str">
        <f t="shared" si="2"/>
        <v/>
      </c>
      <c r="J8186" s="86">
        <f t="shared" si="3"/>
        <v>0</v>
      </c>
      <c r="R8186" s="26"/>
    </row>
    <row r="8187" spans="1:18" ht="15.75" customHeight="1">
      <c r="A8187" s="26"/>
      <c r="B8187" s="86"/>
      <c r="D8187" s="26"/>
      <c r="F8187" s="87" t="str">
        <f t="shared" si="0"/>
        <v/>
      </c>
      <c r="H8187" s="26" t="str">
        <f t="shared" si="1"/>
        <v/>
      </c>
      <c r="I8187" s="26" t="str">
        <f t="shared" si="2"/>
        <v/>
      </c>
      <c r="J8187" s="86">
        <f t="shared" si="3"/>
        <v>0</v>
      </c>
      <c r="R8187" s="26"/>
    </row>
    <row r="8188" spans="1:18" ht="15.75" customHeight="1">
      <c r="A8188" s="26"/>
      <c r="B8188" s="86"/>
      <c r="D8188" s="26"/>
      <c r="F8188" s="87" t="str">
        <f t="shared" si="0"/>
        <v/>
      </c>
      <c r="H8188" s="26" t="str">
        <f t="shared" si="1"/>
        <v/>
      </c>
      <c r="I8188" s="26" t="str">
        <f t="shared" si="2"/>
        <v/>
      </c>
      <c r="J8188" s="86">
        <f t="shared" si="3"/>
        <v>0</v>
      </c>
      <c r="R8188" s="26"/>
    </row>
    <row r="8189" spans="1:18" ht="15.75" customHeight="1">
      <c r="A8189" s="26"/>
      <c r="B8189" s="86"/>
      <c r="D8189" s="26"/>
      <c r="F8189" s="87" t="str">
        <f t="shared" si="0"/>
        <v/>
      </c>
      <c r="H8189" s="26" t="str">
        <f t="shared" si="1"/>
        <v/>
      </c>
      <c r="I8189" s="26" t="str">
        <f t="shared" si="2"/>
        <v/>
      </c>
      <c r="J8189" s="86">
        <f t="shared" si="3"/>
        <v>0</v>
      </c>
      <c r="R8189" s="26"/>
    </row>
    <row r="8190" spans="1:18" ht="15.75" customHeight="1">
      <c r="A8190" s="26"/>
      <c r="B8190" s="86"/>
      <c r="D8190" s="26"/>
      <c r="F8190" s="87" t="str">
        <f t="shared" si="0"/>
        <v/>
      </c>
      <c r="H8190" s="26" t="str">
        <f t="shared" si="1"/>
        <v/>
      </c>
      <c r="I8190" s="26" t="str">
        <f t="shared" si="2"/>
        <v/>
      </c>
      <c r="J8190" s="86">
        <f t="shared" si="3"/>
        <v>0</v>
      </c>
      <c r="R8190" s="26"/>
    </row>
    <row r="8191" spans="1:18" ht="15.75" customHeight="1">
      <c r="A8191" s="26"/>
      <c r="B8191" s="86"/>
      <c r="D8191" s="26"/>
      <c r="F8191" s="87" t="str">
        <f t="shared" si="0"/>
        <v/>
      </c>
      <c r="H8191" s="26" t="str">
        <f t="shared" si="1"/>
        <v/>
      </c>
      <c r="I8191" s="26" t="str">
        <f t="shared" si="2"/>
        <v/>
      </c>
      <c r="J8191" s="86">
        <f t="shared" si="3"/>
        <v>0</v>
      </c>
      <c r="R8191" s="26"/>
    </row>
    <row r="8192" spans="1:18" ht="15.75" customHeight="1">
      <c r="A8192" s="26"/>
      <c r="B8192" s="86"/>
      <c r="D8192" s="26"/>
      <c r="F8192" s="87" t="str">
        <f t="shared" si="0"/>
        <v/>
      </c>
      <c r="H8192" s="26" t="str">
        <f t="shared" si="1"/>
        <v/>
      </c>
      <c r="I8192" s="26" t="str">
        <f t="shared" si="2"/>
        <v/>
      </c>
      <c r="J8192" s="86">
        <f t="shared" si="3"/>
        <v>0</v>
      </c>
      <c r="R8192" s="26"/>
    </row>
    <row r="8193" spans="1:18" ht="15.75" customHeight="1">
      <c r="A8193" s="26"/>
      <c r="B8193" s="86"/>
      <c r="D8193" s="26"/>
      <c r="F8193" s="87" t="str">
        <f t="shared" si="0"/>
        <v/>
      </c>
      <c r="H8193" s="26" t="str">
        <f t="shared" si="1"/>
        <v/>
      </c>
      <c r="I8193" s="26" t="str">
        <f t="shared" si="2"/>
        <v/>
      </c>
      <c r="J8193" s="86">
        <f t="shared" si="3"/>
        <v>0</v>
      </c>
      <c r="R8193" s="26"/>
    </row>
    <row r="8194" spans="1:18" ht="15.75" customHeight="1">
      <c r="A8194" s="26"/>
      <c r="B8194" s="86"/>
      <c r="D8194" s="26"/>
      <c r="F8194" s="87" t="str">
        <f t="shared" si="0"/>
        <v/>
      </c>
      <c r="H8194" s="26" t="str">
        <f t="shared" si="1"/>
        <v/>
      </c>
      <c r="I8194" s="26" t="str">
        <f t="shared" si="2"/>
        <v/>
      </c>
      <c r="J8194" s="86">
        <f t="shared" si="3"/>
        <v>0</v>
      </c>
      <c r="R8194" s="26"/>
    </row>
    <row r="8195" spans="1:18" ht="15.75" customHeight="1">
      <c r="A8195" s="26"/>
      <c r="B8195" s="86"/>
      <c r="D8195" s="26"/>
      <c r="F8195" s="87" t="str">
        <f t="shared" si="0"/>
        <v/>
      </c>
      <c r="H8195" s="26" t="str">
        <f t="shared" si="1"/>
        <v/>
      </c>
      <c r="I8195" s="26" t="str">
        <f t="shared" si="2"/>
        <v/>
      </c>
      <c r="J8195" s="86">
        <f t="shared" si="3"/>
        <v>0</v>
      </c>
      <c r="R8195" s="26"/>
    </row>
    <row r="8196" spans="1:18" ht="15.75" customHeight="1">
      <c r="A8196" s="26"/>
      <c r="B8196" s="86"/>
      <c r="D8196" s="26"/>
      <c r="F8196" s="87" t="str">
        <f t="shared" si="0"/>
        <v/>
      </c>
      <c r="H8196" s="26" t="str">
        <f t="shared" si="1"/>
        <v/>
      </c>
      <c r="I8196" s="26" t="str">
        <f t="shared" si="2"/>
        <v/>
      </c>
      <c r="J8196" s="86">
        <f t="shared" si="3"/>
        <v>0</v>
      </c>
      <c r="R8196" s="26"/>
    </row>
    <row r="8197" spans="1:18" ht="15.75" customHeight="1">
      <c r="A8197" s="26"/>
      <c r="B8197" s="86"/>
      <c r="D8197" s="26"/>
      <c r="F8197" s="87" t="str">
        <f t="shared" si="0"/>
        <v/>
      </c>
      <c r="H8197" s="26" t="str">
        <f t="shared" si="1"/>
        <v/>
      </c>
      <c r="I8197" s="26" t="str">
        <f t="shared" si="2"/>
        <v/>
      </c>
      <c r="J8197" s="86">
        <f t="shared" si="3"/>
        <v>0</v>
      </c>
      <c r="R8197" s="26"/>
    </row>
    <row r="8198" spans="1:18" ht="15.75" customHeight="1">
      <c r="A8198" s="26"/>
      <c r="B8198" s="86"/>
      <c r="D8198" s="26"/>
      <c r="F8198" s="87" t="str">
        <f t="shared" si="0"/>
        <v/>
      </c>
      <c r="H8198" s="26" t="str">
        <f t="shared" si="1"/>
        <v/>
      </c>
      <c r="I8198" s="26" t="str">
        <f t="shared" si="2"/>
        <v/>
      </c>
      <c r="J8198" s="86">
        <f t="shared" si="3"/>
        <v>0</v>
      </c>
      <c r="R8198" s="26"/>
    </row>
    <row r="8199" spans="1:18" ht="15.75" customHeight="1">
      <c r="A8199" s="26"/>
      <c r="B8199" s="86"/>
      <c r="D8199" s="26"/>
      <c r="F8199" s="87" t="str">
        <f t="shared" si="0"/>
        <v/>
      </c>
      <c r="H8199" s="26" t="str">
        <f t="shared" si="1"/>
        <v/>
      </c>
      <c r="I8199" s="26" t="str">
        <f t="shared" si="2"/>
        <v/>
      </c>
      <c r="J8199" s="86">
        <f t="shared" si="3"/>
        <v>0</v>
      </c>
      <c r="R8199" s="26"/>
    </row>
    <row r="8200" spans="1:18" ht="15.75" customHeight="1">
      <c r="A8200" s="26"/>
      <c r="B8200" s="86"/>
      <c r="D8200" s="26"/>
      <c r="F8200" s="87" t="str">
        <f t="shared" si="0"/>
        <v/>
      </c>
      <c r="H8200" s="26" t="str">
        <f t="shared" si="1"/>
        <v/>
      </c>
      <c r="I8200" s="26" t="str">
        <f t="shared" si="2"/>
        <v/>
      </c>
      <c r="J8200" s="86">
        <f t="shared" si="3"/>
        <v>0</v>
      </c>
      <c r="R8200" s="26"/>
    </row>
    <row r="8201" spans="1:18" ht="15.75" customHeight="1">
      <c r="A8201" s="26"/>
      <c r="B8201" s="86"/>
      <c r="D8201" s="26"/>
      <c r="F8201" s="87" t="str">
        <f t="shared" si="0"/>
        <v/>
      </c>
      <c r="H8201" s="26" t="str">
        <f t="shared" si="1"/>
        <v/>
      </c>
      <c r="I8201" s="26" t="str">
        <f t="shared" si="2"/>
        <v/>
      </c>
      <c r="J8201" s="86">
        <f t="shared" si="3"/>
        <v>0</v>
      </c>
      <c r="R8201" s="26"/>
    </row>
    <row r="8202" spans="1:18" ht="15.75" customHeight="1">
      <c r="A8202" s="26"/>
      <c r="B8202" s="86"/>
      <c r="D8202" s="26"/>
      <c r="F8202" s="87" t="str">
        <f t="shared" si="0"/>
        <v/>
      </c>
      <c r="H8202" s="26" t="str">
        <f t="shared" si="1"/>
        <v/>
      </c>
      <c r="I8202" s="26" t="str">
        <f t="shared" si="2"/>
        <v/>
      </c>
      <c r="J8202" s="86">
        <f t="shared" si="3"/>
        <v>0</v>
      </c>
      <c r="R8202" s="26"/>
    </row>
    <row r="8203" spans="1:18" ht="15.75" customHeight="1">
      <c r="A8203" s="26"/>
      <c r="B8203" s="86"/>
      <c r="D8203" s="26"/>
      <c r="F8203" s="87" t="str">
        <f t="shared" si="0"/>
        <v/>
      </c>
      <c r="H8203" s="26" t="str">
        <f t="shared" si="1"/>
        <v/>
      </c>
      <c r="I8203" s="26" t="str">
        <f t="shared" si="2"/>
        <v/>
      </c>
      <c r="J8203" s="86">
        <f t="shared" si="3"/>
        <v>0</v>
      </c>
      <c r="R8203" s="26"/>
    </row>
    <row r="8204" spans="1:18" ht="15.75" customHeight="1">
      <c r="A8204" s="26"/>
      <c r="B8204" s="86"/>
      <c r="D8204" s="26"/>
      <c r="F8204" s="87" t="str">
        <f t="shared" si="0"/>
        <v/>
      </c>
      <c r="H8204" s="26" t="str">
        <f t="shared" si="1"/>
        <v/>
      </c>
      <c r="I8204" s="26" t="str">
        <f t="shared" si="2"/>
        <v/>
      </c>
      <c r="J8204" s="86">
        <f t="shared" si="3"/>
        <v>0</v>
      </c>
      <c r="R8204" s="26"/>
    </row>
    <row r="8205" spans="1:18" ht="15.75" customHeight="1">
      <c r="A8205" s="26"/>
      <c r="B8205" s="86"/>
      <c r="D8205" s="26"/>
      <c r="F8205" s="87" t="str">
        <f t="shared" si="0"/>
        <v/>
      </c>
      <c r="H8205" s="26" t="str">
        <f t="shared" si="1"/>
        <v/>
      </c>
      <c r="I8205" s="26" t="str">
        <f t="shared" si="2"/>
        <v/>
      </c>
      <c r="J8205" s="86">
        <f t="shared" si="3"/>
        <v>0</v>
      </c>
      <c r="R8205" s="26"/>
    </row>
    <row r="8206" spans="1:18" ht="15.75" customHeight="1">
      <c r="A8206" s="26"/>
      <c r="B8206" s="86"/>
      <c r="D8206" s="26"/>
      <c r="F8206" s="87" t="str">
        <f t="shared" si="0"/>
        <v/>
      </c>
      <c r="H8206" s="26" t="str">
        <f t="shared" si="1"/>
        <v/>
      </c>
      <c r="I8206" s="26" t="str">
        <f t="shared" si="2"/>
        <v/>
      </c>
      <c r="J8206" s="86">
        <f t="shared" si="3"/>
        <v>0</v>
      </c>
      <c r="R8206" s="26"/>
    </row>
    <row r="8207" spans="1:18" ht="15.75" customHeight="1">
      <c r="A8207" s="26"/>
      <c r="B8207" s="86"/>
      <c r="D8207" s="26"/>
      <c r="F8207" s="87" t="str">
        <f t="shared" si="0"/>
        <v/>
      </c>
      <c r="H8207" s="26" t="str">
        <f t="shared" si="1"/>
        <v/>
      </c>
      <c r="I8207" s="26" t="str">
        <f t="shared" si="2"/>
        <v/>
      </c>
      <c r="J8207" s="86">
        <f t="shared" si="3"/>
        <v>0</v>
      </c>
      <c r="R8207" s="26"/>
    </row>
    <row r="8208" spans="1:18" ht="15.75" customHeight="1">
      <c r="A8208" s="26"/>
      <c r="B8208" s="86"/>
      <c r="D8208" s="26"/>
      <c r="F8208" s="87" t="str">
        <f t="shared" si="0"/>
        <v/>
      </c>
      <c r="H8208" s="26" t="str">
        <f t="shared" si="1"/>
        <v/>
      </c>
      <c r="I8208" s="26" t="str">
        <f t="shared" si="2"/>
        <v/>
      </c>
      <c r="J8208" s="86">
        <f t="shared" si="3"/>
        <v>0</v>
      </c>
      <c r="R8208" s="26"/>
    </row>
    <row r="8209" spans="1:18" ht="15.75" customHeight="1">
      <c r="A8209" s="26"/>
      <c r="B8209" s="86"/>
      <c r="D8209" s="26"/>
      <c r="F8209" s="87" t="str">
        <f t="shared" si="0"/>
        <v/>
      </c>
      <c r="H8209" s="26" t="str">
        <f t="shared" si="1"/>
        <v/>
      </c>
      <c r="I8209" s="26" t="str">
        <f t="shared" si="2"/>
        <v/>
      </c>
      <c r="J8209" s="86">
        <f t="shared" si="3"/>
        <v>0</v>
      </c>
      <c r="R8209" s="26"/>
    </row>
    <row r="8210" spans="1:18" ht="15.75" customHeight="1">
      <c r="A8210" s="26"/>
      <c r="B8210" s="86"/>
      <c r="D8210" s="26"/>
      <c r="F8210" s="87" t="str">
        <f t="shared" si="0"/>
        <v/>
      </c>
      <c r="H8210" s="26" t="str">
        <f t="shared" si="1"/>
        <v/>
      </c>
      <c r="I8210" s="26" t="str">
        <f t="shared" si="2"/>
        <v/>
      </c>
      <c r="J8210" s="86">
        <f t="shared" si="3"/>
        <v>0</v>
      </c>
      <c r="R8210" s="26"/>
    </row>
    <row r="8211" spans="1:18" ht="15.75" customHeight="1">
      <c r="A8211" s="26"/>
      <c r="B8211" s="86"/>
      <c r="D8211" s="26"/>
      <c r="F8211" s="87" t="str">
        <f t="shared" si="0"/>
        <v/>
      </c>
      <c r="H8211" s="26" t="str">
        <f t="shared" si="1"/>
        <v/>
      </c>
      <c r="I8211" s="26" t="str">
        <f t="shared" si="2"/>
        <v/>
      </c>
      <c r="J8211" s="86">
        <f t="shared" si="3"/>
        <v>0</v>
      </c>
      <c r="R8211" s="26"/>
    </row>
    <row r="8212" spans="1:18" ht="15.75" customHeight="1">
      <c r="A8212" s="26"/>
      <c r="B8212" s="86"/>
      <c r="D8212" s="26"/>
      <c r="F8212" s="87" t="str">
        <f t="shared" si="0"/>
        <v/>
      </c>
      <c r="H8212" s="26" t="str">
        <f t="shared" si="1"/>
        <v/>
      </c>
      <c r="I8212" s="26" t="str">
        <f t="shared" si="2"/>
        <v/>
      </c>
      <c r="J8212" s="86">
        <f t="shared" si="3"/>
        <v>0</v>
      </c>
      <c r="R8212" s="26"/>
    </row>
    <row r="8213" spans="1:18" ht="15.75" customHeight="1">
      <c r="A8213" s="26"/>
      <c r="B8213" s="86"/>
      <c r="D8213" s="26"/>
      <c r="F8213" s="87" t="str">
        <f t="shared" si="0"/>
        <v/>
      </c>
      <c r="H8213" s="26" t="str">
        <f t="shared" si="1"/>
        <v/>
      </c>
      <c r="I8213" s="26" t="str">
        <f t="shared" si="2"/>
        <v/>
      </c>
      <c r="J8213" s="86">
        <f t="shared" si="3"/>
        <v>0</v>
      </c>
      <c r="R8213" s="26"/>
    </row>
    <row r="8214" spans="1:18" ht="15.75" customHeight="1">
      <c r="A8214" s="26"/>
      <c r="B8214" s="86"/>
      <c r="D8214" s="26"/>
      <c r="F8214" s="87" t="str">
        <f t="shared" si="0"/>
        <v/>
      </c>
      <c r="H8214" s="26" t="str">
        <f t="shared" si="1"/>
        <v/>
      </c>
      <c r="I8214" s="26" t="str">
        <f t="shared" si="2"/>
        <v/>
      </c>
      <c r="J8214" s="86">
        <f t="shared" si="3"/>
        <v>0</v>
      </c>
      <c r="R8214" s="26"/>
    </row>
    <row r="8215" spans="1:18" ht="15.75" customHeight="1">
      <c r="A8215" s="26"/>
      <c r="B8215" s="86"/>
      <c r="D8215" s="26"/>
      <c r="F8215" s="87" t="str">
        <f t="shared" si="0"/>
        <v/>
      </c>
      <c r="H8215" s="26" t="str">
        <f t="shared" si="1"/>
        <v/>
      </c>
      <c r="I8215" s="26" t="str">
        <f t="shared" si="2"/>
        <v/>
      </c>
      <c r="J8215" s="86">
        <f t="shared" si="3"/>
        <v>0</v>
      </c>
      <c r="R8215" s="26"/>
    </row>
    <row r="8216" spans="1:18" ht="15.75" customHeight="1">
      <c r="A8216" s="26"/>
      <c r="B8216" s="86"/>
      <c r="D8216" s="26"/>
      <c r="F8216" s="87" t="str">
        <f t="shared" si="0"/>
        <v/>
      </c>
      <c r="H8216" s="26" t="str">
        <f t="shared" si="1"/>
        <v/>
      </c>
      <c r="I8216" s="26" t="str">
        <f t="shared" si="2"/>
        <v/>
      </c>
      <c r="J8216" s="86">
        <f t="shared" si="3"/>
        <v>0</v>
      </c>
      <c r="R8216" s="26"/>
    </row>
    <row r="8217" spans="1:18" ht="15.75" customHeight="1">
      <c r="A8217" s="26"/>
      <c r="B8217" s="86"/>
      <c r="D8217" s="26"/>
      <c r="F8217" s="87" t="str">
        <f t="shared" si="0"/>
        <v/>
      </c>
      <c r="H8217" s="26" t="str">
        <f t="shared" si="1"/>
        <v/>
      </c>
      <c r="I8217" s="26" t="str">
        <f t="shared" si="2"/>
        <v/>
      </c>
      <c r="J8217" s="86">
        <f t="shared" si="3"/>
        <v>0</v>
      </c>
      <c r="R8217" s="26"/>
    </row>
    <row r="8218" spans="1:18" ht="15.75" customHeight="1">
      <c r="A8218" s="26"/>
      <c r="B8218" s="86"/>
      <c r="D8218" s="26"/>
      <c r="F8218" s="87" t="str">
        <f t="shared" si="0"/>
        <v/>
      </c>
      <c r="H8218" s="26" t="str">
        <f t="shared" si="1"/>
        <v/>
      </c>
      <c r="I8218" s="26" t="str">
        <f t="shared" si="2"/>
        <v/>
      </c>
      <c r="J8218" s="86">
        <f t="shared" si="3"/>
        <v>0</v>
      </c>
      <c r="R8218" s="26"/>
    </row>
    <row r="8219" spans="1:18" ht="15.75" customHeight="1">
      <c r="A8219" s="26"/>
      <c r="B8219" s="86"/>
      <c r="D8219" s="26"/>
      <c r="F8219" s="87" t="str">
        <f t="shared" si="0"/>
        <v/>
      </c>
      <c r="H8219" s="26" t="str">
        <f t="shared" si="1"/>
        <v/>
      </c>
      <c r="I8219" s="26" t="str">
        <f t="shared" si="2"/>
        <v/>
      </c>
      <c r="J8219" s="86">
        <f t="shared" si="3"/>
        <v>0</v>
      </c>
      <c r="R8219" s="26"/>
    </row>
    <row r="8220" spans="1:18" ht="15.75" customHeight="1">
      <c r="A8220" s="26"/>
      <c r="B8220" s="86"/>
      <c r="D8220" s="26"/>
      <c r="F8220" s="87" t="str">
        <f t="shared" si="0"/>
        <v/>
      </c>
      <c r="H8220" s="26" t="str">
        <f t="shared" si="1"/>
        <v/>
      </c>
      <c r="I8220" s="26" t="str">
        <f t="shared" si="2"/>
        <v/>
      </c>
      <c r="J8220" s="86">
        <f t="shared" si="3"/>
        <v>0</v>
      </c>
      <c r="R8220" s="26"/>
    </row>
    <row r="8221" spans="1:18" ht="15.75" customHeight="1">
      <c r="A8221" s="26"/>
      <c r="B8221" s="86"/>
      <c r="D8221" s="26"/>
      <c r="F8221" s="87" t="str">
        <f t="shared" si="0"/>
        <v/>
      </c>
      <c r="H8221" s="26" t="str">
        <f t="shared" si="1"/>
        <v/>
      </c>
      <c r="I8221" s="26" t="str">
        <f t="shared" si="2"/>
        <v/>
      </c>
      <c r="J8221" s="86">
        <f t="shared" si="3"/>
        <v>0</v>
      </c>
      <c r="R8221" s="26"/>
    </row>
    <row r="8222" spans="1:18" ht="15.75" customHeight="1">
      <c r="A8222" s="26"/>
      <c r="B8222" s="86"/>
      <c r="D8222" s="26"/>
      <c r="F8222" s="87" t="str">
        <f t="shared" si="0"/>
        <v/>
      </c>
      <c r="H8222" s="26" t="str">
        <f t="shared" si="1"/>
        <v/>
      </c>
      <c r="I8222" s="26" t="str">
        <f t="shared" si="2"/>
        <v/>
      </c>
      <c r="J8222" s="86">
        <f t="shared" si="3"/>
        <v>0</v>
      </c>
      <c r="R8222" s="26"/>
    </row>
    <row r="8223" spans="1:18" ht="15.75" customHeight="1">
      <c r="A8223" s="26"/>
      <c r="B8223" s="86"/>
      <c r="D8223" s="26"/>
      <c r="F8223" s="87" t="str">
        <f t="shared" si="0"/>
        <v/>
      </c>
      <c r="H8223" s="26" t="str">
        <f t="shared" si="1"/>
        <v/>
      </c>
      <c r="I8223" s="26" t="str">
        <f t="shared" si="2"/>
        <v/>
      </c>
      <c r="J8223" s="86">
        <f t="shared" si="3"/>
        <v>0</v>
      </c>
      <c r="R8223" s="26"/>
    </row>
    <row r="8224" spans="1:18" ht="15.75" customHeight="1">
      <c r="A8224" s="26"/>
      <c r="B8224" s="86"/>
      <c r="D8224" s="26"/>
      <c r="F8224" s="87" t="str">
        <f t="shared" si="0"/>
        <v/>
      </c>
      <c r="H8224" s="26" t="str">
        <f t="shared" si="1"/>
        <v/>
      </c>
      <c r="I8224" s="26" t="str">
        <f t="shared" si="2"/>
        <v/>
      </c>
      <c r="J8224" s="86">
        <f t="shared" si="3"/>
        <v>0</v>
      </c>
      <c r="R8224" s="26"/>
    </row>
    <row r="8225" spans="1:18" ht="15.75" customHeight="1">
      <c r="A8225" s="26"/>
      <c r="B8225" s="86"/>
      <c r="D8225" s="26"/>
      <c r="F8225" s="87" t="str">
        <f t="shared" si="0"/>
        <v/>
      </c>
      <c r="H8225" s="26" t="str">
        <f t="shared" si="1"/>
        <v/>
      </c>
      <c r="I8225" s="26" t="str">
        <f t="shared" si="2"/>
        <v/>
      </c>
      <c r="J8225" s="86">
        <f t="shared" si="3"/>
        <v>0</v>
      </c>
      <c r="R8225" s="26"/>
    </row>
    <row r="8226" spans="1:18" ht="15.75" customHeight="1">
      <c r="A8226" s="26"/>
      <c r="B8226" s="86"/>
      <c r="D8226" s="26"/>
      <c r="F8226" s="87" t="str">
        <f t="shared" si="0"/>
        <v/>
      </c>
      <c r="H8226" s="26" t="str">
        <f t="shared" si="1"/>
        <v/>
      </c>
      <c r="I8226" s="26" t="str">
        <f t="shared" si="2"/>
        <v/>
      </c>
      <c r="J8226" s="86">
        <f t="shared" si="3"/>
        <v>0</v>
      </c>
      <c r="R8226" s="26"/>
    </row>
    <row r="8227" spans="1:18" ht="15.75" customHeight="1">
      <c r="A8227" s="26"/>
      <c r="B8227" s="86"/>
      <c r="D8227" s="26"/>
      <c r="F8227" s="87" t="str">
        <f t="shared" si="0"/>
        <v/>
      </c>
      <c r="H8227" s="26" t="str">
        <f t="shared" si="1"/>
        <v/>
      </c>
      <c r="I8227" s="26" t="str">
        <f t="shared" si="2"/>
        <v/>
      </c>
      <c r="J8227" s="86">
        <f t="shared" si="3"/>
        <v>0</v>
      </c>
      <c r="R8227" s="26"/>
    </row>
    <row r="8228" spans="1:18" ht="15.75" customHeight="1">
      <c r="A8228" s="26"/>
      <c r="B8228" s="86"/>
      <c r="D8228" s="26"/>
      <c r="F8228" s="87" t="str">
        <f t="shared" si="0"/>
        <v/>
      </c>
      <c r="H8228" s="26" t="str">
        <f t="shared" si="1"/>
        <v/>
      </c>
      <c r="I8228" s="26" t="str">
        <f t="shared" si="2"/>
        <v/>
      </c>
      <c r="J8228" s="86">
        <f t="shared" si="3"/>
        <v>0</v>
      </c>
      <c r="R8228" s="26"/>
    </row>
    <row r="8229" spans="1:18" ht="15.75" customHeight="1">
      <c r="A8229" s="26"/>
      <c r="B8229" s="86"/>
      <c r="D8229" s="26"/>
      <c r="F8229" s="87" t="str">
        <f t="shared" si="0"/>
        <v/>
      </c>
      <c r="H8229" s="26" t="str">
        <f t="shared" si="1"/>
        <v/>
      </c>
      <c r="I8229" s="26" t="str">
        <f t="shared" si="2"/>
        <v/>
      </c>
      <c r="J8229" s="86">
        <f t="shared" si="3"/>
        <v>0</v>
      </c>
      <c r="R8229" s="26"/>
    </row>
    <row r="8230" spans="1:18" ht="15.75" customHeight="1">
      <c r="A8230" s="26"/>
      <c r="B8230" s="86"/>
      <c r="D8230" s="26"/>
      <c r="F8230" s="87" t="str">
        <f t="shared" si="0"/>
        <v/>
      </c>
      <c r="H8230" s="26" t="str">
        <f t="shared" si="1"/>
        <v/>
      </c>
      <c r="I8230" s="26" t="str">
        <f t="shared" si="2"/>
        <v/>
      </c>
      <c r="J8230" s="86">
        <f t="shared" si="3"/>
        <v>0</v>
      </c>
      <c r="R8230" s="26"/>
    </row>
    <row r="8231" spans="1:18" ht="15.75" customHeight="1">
      <c r="A8231" s="26"/>
      <c r="B8231" s="86"/>
      <c r="D8231" s="26"/>
      <c r="F8231" s="87" t="str">
        <f t="shared" si="0"/>
        <v/>
      </c>
      <c r="H8231" s="26" t="str">
        <f t="shared" si="1"/>
        <v/>
      </c>
      <c r="I8231" s="26" t="str">
        <f t="shared" si="2"/>
        <v/>
      </c>
      <c r="J8231" s="86">
        <f t="shared" si="3"/>
        <v>0</v>
      </c>
      <c r="R8231" s="26"/>
    </row>
    <row r="8232" spans="1:18" ht="15.75" customHeight="1">
      <c r="A8232" s="26"/>
      <c r="B8232" s="86"/>
      <c r="D8232" s="26"/>
      <c r="F8232" s="87" t="str">
        <f t="shared" si="0"/>
        <v/>
      </c>
      <c r="H8232" s="26" t="str">
        <f t="shared" si="1"/>
        <v/>
      </c>
      <c r="I8232" s="26" t="str">
        <f t="shared" si="2"/>
        <v/>
      </c>
      <c r="J8232" s="86">
        <f t="shared" si="3"/>
        <v>0</v>
      </c>
      <c r="R8232" s="26"/>
    </row>
    <row r="8233" spans="1:18" ht="15.75" customHeight="1">
      <c r="A8233" s="26"/>
      <c r="B8233" s="86"/>
      <c r="D8233" s="26"/>
      <c r="F8233" s="87" t="str">
        <f t="shared" si="0"/>
        <v/>
      </c>
      <c r="H8233" s="26" t="str">
        <f t="shared" si="1"/>
        <v/>
      </c>
      <c r="I8233" s="26" t="str">
        <f t="shared" si="2"/>
        <v/>
      </c>
      <c r="J8233" s="86">
        <f t="shared" si="3"/>
        <v>0</v>
      </c>
      <c r="R8233" s="26"/>
    </row>
    <row r="8234" spans="1:18" ht="15.75" customHeight="1">
      <c r="A8234" s="26"/>
      <c r="B8234" s="86"/>
      <c r="D8234" s="26"/>
      <c r="F8234" s="87" t="str">
        <f t="shared" si="0"/>
        <v/>
      </c>
      <c r="H8234" s="26" t="str">
        <f t="shared" si="1"/>
        <v/>
      </c>
      <c r="I8234" s="26" t="str">
        <f t="shared" si="2"/>
        <v/>
      </c>
      <c r="J8234" s="86">
        <f t="shared" si="3"/>
        <v>0</v>
      </c>
      <c r="R8234" s="26"/>
    </row>
    <row r="8235" spans="1:18" ht="15.75" customHeight="1">
      <c r="A8235" s="26"/>
      <c r="B8235" s="86"/>
      <c r="D8235" s="26"/>
      <c r="F8235" s="87" t="str">
        <f t="shared" si="0"/>
        <v/>
      </c>
      <c r="H8235" s="26" t="str">
        <f t="shared" si="1"/>
        <v/>
      </c>
      <c r="I8235" s="26" t="str">
        <f t="shared" si="2"/>
        <v/>
      </c>
      <c r="J8235" s="86">
        <f t="shared" si="3"/>
        <v>0</v>
      </c>
      <c r="R8235" s="26"/>
    </row>
    <row r="8236" spans="1:18" ht="15.75" customHeight="1">
      <c r="A8236" s="26"/>
      <c r="B8236" s="86"/>
      <c r="D8236" s="26"/>
      <c r="F8236" s="87" t="str">
        <f t="shared" si="0"/>
        <v/>
      </c>
      <c r="H8236" s="26" t="str">
        <f t="shared" si="1"/>
        <v/>
      </c>
      <c r="I8236" s="26" t="str">
        <f t="shared" si="2"/>
        <v/>
      </c>
      <c r="J8236" s="86">
        <f t="shared" si="3"/>
        <v>0</v>
      </c>
      <c r="R8236" s="26"/>
    </row>
    <row r="8237" spans="1:18" ht="15.75" customHeight="1">
      <c r="A8237" s="26"/>
      <c r="B8237" s="86"/>
      <c r="D8237" s="26"/>
      <c r="F8237" s="87" t="str">
        <f t="shared" si="0"/>
        <v/>
      </c>
      <c r="H8237" s="26" t="str">
        <f t="shared" si="1"/>
        <v/>
      </c>
      <c r="I8237" s="26" t="str">
        <f t="shared" si="2"/>
        <v/>
      </c>
      <c r="J8237" s="86">
        <f t="shared" si="3"/>
        <v>0</v>
      </c>
      <c r="R8237" s="26"/>
    </row>
    <row r="8238" spans="1:18" ht="15.75" customHeight="1">
      <c r="A8238" s="26"/>
      <c r="B8238" s="86"/>
      <c r="D8238" s="26"/>
      <c r="F8238" s="87" t="str">
        <f t="shared" si="0"/>
        <v/>
      </c>
      <c r="H8238" s="26" t="str">
        <f t="shared" si="1"/>
        <v/>
      </c>
      <c r="I8238" s="26" t="str">
        <f t="shared" si="2"/>
        <v/>
      </c>
      <c r="J8238" s="86">
        <f t="shared" si="3"/>
        <v>0</v>
      </c>
      <c r="R8238" s="26"/>
    </row>
    <row r="8239" spans="1:18" ht="15.75" customHeight="1">
      <c r="A8239" s="26"/>
      <c r="B8239" s="86"/>
      <c r="D8239" s="26"/>
      <c r="F8239" s="87" t="str">
        <f t="shared" si="0"/>
        <v/>
      </c>
      <c r="H8239" s="26" t="str">
        <f t="shared" si="1"/>
        <v/>
      </c>
      <c r="I8239" s="26" t="str">
        <f t="shared" si="2"/>
        <v/>
      </c>
      <c r="J8239" s="86">
        <f t="shared" si="3"/>
        <v>0</v>
      </c>
      <c r="R8239" s="26"/>
    </row>
    <row r="8240" spans="1:18" ht="15.75" customHeight="1">
      <c r="A8240" s="26"/>
      <c r="B8240" s="86"/>
      <c r="D8240" s="26"/>
      <c r="F8240" s="87" t="str">
        <f t="shared" si="0"/>
        <v/>
      </c>
      <c r="H8240" s="26" t="str">
        <f t="shared" si="1"/>
        <v/>
      </c>
      <c r="I8240" s="26" t="str">
        <f t="shared" si="2"/>
        <v/>
      </c>
      <c r="J8240" s="86">
        <f t="shared" si="3"/>
        <v>0</v>
      </c>
      <c r="R8240" s="26"/>
    </row>
    <row r="8241" spans="1:18" ht="15.75" customHeight="1">
      <c r="A8241" s="26"/>
      <c r="B8241" s="86"/>
      <c r="D8241" s="26"/>
      <c r="F8241" s="87" t="str">
        <f t="shared" si="0"/>
        <v/>
      </c>
      <c r="H8241" s="26" t="str">
        <f t="shared" si="1"/>
        <v/>
      </c>
      <c r="I8241" s="26" t="str">
        <f t="shared" si="2"/>
        <v/>
      </c>
      <c r="J8241" s="86">
        <f t="shared" si="3"/>
        <v>0</v>
      </c>
      <c r="R8241" s="26"/>
    </row>
    <row r="8242" spans="1:18" ht="15.75" customHeight="1">
      <c r="A8242" s="26"/>
      <c r="B8242" s="86"/>
      <c r="D8242" s="26"/>
      <c r="F8242" s="87" t="str">
        <f t="shared" si="0"/>
        <v/>
      </c>
      <c r="H8242" s="26" t="str">
        <f t="shared" si="1"/>
        <v/>
      </c>
      <c r="I8242" s="26" t="str">
        <f t="shared" si="2"/>
        <v/>
      </c>
      <c r="J8242" s="86">
        <f t="shared" si="3"/>
        <v>0</v>
      </c>
      <c r="R8242" s="26"/>
    </row>
    <row r="8243" spans="1:18" ht="15.75" customHeight="1">
      <c r="A8243" s="26"/>
      <c r="B8243" s="86"/>
      <c r="D8243" s="26"/>
      <c r="F8243" s="87" t="str">
        <f t="shared" si="0"/>
        <v/>
      </c>
      <c r="H8243" s="26" t="str">
        <f t="shared" si="1"/>
        <v/>
      </c>
      <c r="I8243" s="26" t="str">
        <f t="shared" si="2"/>
        <v/>
      </c>
      <c r="J8243" s="86">
        <f t="shared" si="3"/>
        <v>0</v>
      </c>
      <c r="R8243" s="26"/>
    </row>
    <row r="8244" spans="1:18" ht="15.75" customHeight="1">
      <c r="A8244" s="26"/>
      <c r="B8244" s="86"/>
      <c r="D8244" s="26"/>
      <c r="F8244" s="87" t="str">
        <f t="shared" si="0"/>
        <v/>
      </c>
      <c r="H8244" s="26" t="str">
        <f t="shared" si="1"/>
        <v/>
      </c>
      <c r="I8244" s="26" t="str">
        <f t="shared" si="2"/>
        <v/>
      </c>
      <c r="J8244" s="86">
        <f t="shared" si="3"/>
        <v>0</v>
      </c>
      <c r="R8244" s="26"/>
    </row>
    <row r="8245" spans="1:18" ht="15.75" customHeight="1">
      <c r="A8245" s="26"/>
      <c r="B8245" s="86"/>
      <c r="D8245" s="26"/>
      <c r="F8245" s="87" t="str">
        <f t="shared" si="0"/>
        <v/>
      </c>
      <c r="H8245" s="26" t="str">
        <f t="shared" si="1"/>
        <v/>
      </c>
      <c r="I8245" s="26" t="str">
        <f t="shared" si="2"/>
        <v/>
      </c>
      <c r="J8245" s="86">
        <f t="shared" si="3"/>
        <v>0</v>
      </c>
      <c r="R8245" s="26"/>
    </row>
    <row r="8246" spans="1:18" ht="15.75" customHeight="1">
      <c r="A8246" s="26"/>
      <c r="B8246" s="86"/>
      <c r="D8246" s="26"/>
      <c r="F8246" s="87" t="str">
        <f t="shared" si="0"/>
        <v/>
      </c>
      <c r="H8246" s="26" t="str">
        <f t="shared" si="1"/>
        <v/>
      </c>
      <c r="I8246" s="26" t="str">
        <f t="shared" si="2"/>
        <v/>
      </c>
      <c r="J8246" s="86">
        <f t="shared" si="3"/>
        <v>0</v>
      </c>
      <c r="R8246" s="26"/>
    </row>
    <row r="8247" spans="1:18" ht="15.75" customHeight="1">
      <c r="A8247" s="26"/>
      <c r="B8247" s="86"/>
      <c r="D8247" s="26"/>
      <c r="F8247" s="87" t="str">
        <f t="shared" si="0"/>
        <v/>
      </c>
      <c r="H8247" s="26" t="str">
        <f t="shared" si="1"/>
        <v/>
      </c>
      <c r="I8247" s="26" t="str">
        <f t="shared" si="2"/>
        <v/>
      </c>
      <c r="J8247" s="86">
        <f t="shared" si="3"/>
        <v>0</v>
      </c>
      <c r="R8247" s="26"/>
    </row>
    <row r="8248" spans="1:18" ht="15.75" customHeight="1">
      <c r="A8248" s="26"/>
      <c r="B8248" s="86"/>
      <c r="D8248" s="26"/>
      <c r="F8248" s="87" t="str">
        <f t="shared" si="0"/>
        <v/>
      </c>
      <c r="H8248" s="26" t="str">
        <f t="shared" si="1"/>
        <v/>
      </c>
      <c r="I8248" s="26" t="str">
        <f t="shared" si="2"/>
        <v/>
      </c>
      <c r="J8248" s="86">
        <f t="shared" si="3"/>
        <v>0</v>
      </c>
      <c r="R8248" s="26"/>
    </row>
    <row r="8249" spans="1:18" ht="15.75" customHeight="1">
      <c r="A8249" s="26"/>
      <c r="B8249" s="86"/>
      <c r="D8249" s="26"/>
      <c r="F8249" s="87" t="str">
        <f t="shared" si="0"/>
        <v/>
      </c>
      <c r="H8249" s="26" t="str">
        <f t="shared" si="1"/>
        <v/>
      </c>
      <c r="I8249" s="26" t="str">
        <f t="shared" si="2"/>
        <v/>
      </c>
      <c r="J8249" s="86">
        <f t="shared" si="3"/>
        <v>0</v>
      </c>
      <c r="R8249" s="26"/>
    </row>
    <row r="8250" spans="1:18" ht="15.75" customHeight="1">
      <c r="A8250" s="26"/>
      <c r="B8250" s="86"/>
      <c r="D8250" s="26"/>
      <c r="F8250" s="87" t="str">
        <f t="shared" si="0"/>
        <v/>
      </c>
      <c r="H8250" s="26" t="str">
        <f t="shared" si="1"/>
        <v/>
      </c>
      <c r="I8250" s="26" t="str">
        <f t="shared" si="2"/>
        <v/>
      </c>
      <c r="J8250" s="86">
        <f t="shared" si="3"/>
        <v>0</v>
      </c>
      <c r="R8250" s="26"/>
    </row>
    <row r="8251" spans="1:18" ht="15.75" customHeight="1">
      <c r="A8251" s="26"/>
      <c r="B8251" s="86"/>
      <c r="D8251" s="26"/>
      <c r="F8251" s="87" t="str">
        <f t="shared" si="0"/>
        <v/>
      </c>
      <c r="H8251" s="26" t="str">
        <f t="shared" si="1"/>
        <v/>
      </c>
      <c r="I8251" s="26" t="str">
        <f t="shared" si="2"/>
        <v/>
      </c>
      <c r="J8251" s="86">
        <f t="shared" si="3"/>
        <v>0</v>
      </c>
      <c r="R8251" s="26"/>
    </row>
    <row r="8252" spans="1:18" ht="15.75" customHeight="1">
      <c r="A8252" s="26"/>
      <c r="B8252" s="86"/>
      <c r="D8252" s="26"/>
      <c r="F8252" s="87" t="str">
        <f t="shared" si="0"/>
        <v/>
      </c>
      <c r="H8252" s="26" t="str">
        <f t="shared" si="1"/>
        <v/>
      </c>
      <c r="I8252" s="26" t="str">
        <f t="shared" si="2"/>
        <v/>
      </c>
      <c r="J8252" s="86">
        <f t="shared" si="3"/>
        <v>0</v>
      </c>
      <c r="R8252" s="26"/>
    </row>
    <row r="8253" spans="1:18" ht="15.75" customHeight="1">
      <c r="A8253" s="26"/>
      <c r="B8253" s="86"/>
      <c r="D8253" s="26"/>
      <c r="F8253" s="87" t="str">
        <f t="shared" si="0"/>
        <v/>
      </c>
      <c r="H8253" s="26" t="str">
        <f t="shared" si="1"/>
        <v/>
      </c>
      <c r="I8253" s="26" t="str">
        <f t="shared" si="2"/>
        <v/>
      </c>
      <c r="J8253" s="86">
        <f t="shared" si="3"/>
        <v>0</v>
      </c>
      <c r="R8253" s="26"/>
    </row>
    <row r="8254" spans="1:18" ht="15.75" customHeight="1">
      <c r="A8254" s="26"/>
      <c r="B8254" s="86"/>
      <c r="D8254" s="26"/>
      <c r="F8254" s="87" t="str">
        <f t="shared" si="0"/>
        <v/>
      </c>
      <c r="H8254" s="26" t="str">
        <f t="shared" si="1"/>
        <v/>
      </c>
      <c r="I8254" s="26" t="str">
        <f t="shared" si="2"/>
        <v/>
      </c>
      <c r="J8254" s="86">
        <f t="shared" si="3"/>
        <v>0</v>
      </c>
      <c r="R8254" s="26"/>
    </row>
    <row r="8255" spans="1:18" ht="15.75" customHeight="1">
      <c r="A8255" s="26"/>
      <c r="B8255" s="86"/>
      <c r="D8255" s="26"/>
      <c r="F8255" s="87" t="str">
        <f t="shared" si="0"/>
        <v/>
      </c>
      <c r="H8255" s="26" t="str">
        <f t="shared" si="1"/>
        <v/>
      </c>
      <c r="I8255" s="26" t="str">
        <f t="shared" si="2"/>
        <v/>
      </c>
      <c r="J8255" s="86">
        <f t="shared" si="3"/>
        <v>0</v>
      </c>
      <c r="R8255" s="26"/>
    </row>
    <row r="8256" spans="1:18" ht="15.75" customHeight="1">
      <c r="A8256" s="26"/>
      <c r="B8256" s="86"/>
      <c r="D8256" s="26"/>
      <c r="F8256" s="87" t="str">
        <f t="shared" si="0"/>
        <v/>
      </c>
      <c r="H8256" s="26" t="str">
        <f t="shared" si="1"/>
        <v/>
      </c>
      <c r="I8256" s="26" t="str">
        <f t="shared" si="2"/>
        <v/>
      </c>
      <c r="J8256" s="86">
        <f t="shared" si="3"/>
        <v>0</v>
      </c>
      <c r="R8256" s="26"/>
    </row>
    <row r="8257" spans="1:18" ht="15.75" customHeight="1">
      <c r="A8257" s="26"/>
      <c r="B8257" s="86"/>
      <c r="D8257" s="26"/>
      <c r="F8257" s="87" t="str">
        <f t="shared" si="0"/>
        <v/>
      </c>
      <c r="H8257" s="26" t="str">
        <f t="shared" si="1"/>
        <v/>
      </c>
      <c r="I8257" s="26" t="str">
        <f t="shared" si="2"/>
        <v/>
      </c>
      <c r="J8257" s="86">
        <f t="shared" si="3"/>
        <v>0</v>
      </c>
      <c r="R8257" s="26"/>
    </row>
    <row r="8258" spans="1:18" ht="15.75" customHeight="1">
      <c r="A8258" s="26"/>
      <c r="B8258" s="86"/>
      <c r="D8258" s="26"/>
      <c r="F8258" s="87" t="str">
        <f t="shared" si="0"/>
        <v/>
      </c>
      <c r="H8258" s="26" t="str">
        <f t="shared" si="1"/>
        <v/>
      </c>
      <c r="I8258" s="26" t="str">
        <f t="shared" si="2"/>
        <v/>
      </c>
      <c r="J8258" s="86">
        <f t="shared" si="3"/>
        <v>0</v>
      </c>
      <c r="R8258" s="26"/>
    </row>
    <row r="8259" spans="1:18" ht="15.75" customHeight="1">
      <c r="A8259" s="26"/>
      <c r="B8259" s="86"/>
      <c r="D8259" s="26"/>
      <c r="F8259" s="87" t="str">
        <f t="shared" si="0"/>
        <v/>
      </c>
      <c r="H8259" s="26" t="str">
        <f t="shared" si="1"/>
        <v/>
      </c>
      <c r="I8259" s="26" t="str">
        <f t="shared" si="2"/>
        <v/>
      </c>
      <c r="J8259" s="86">
        <f t="shared" si="3"/>
        <v>0</v>
      </c>
      <c r="R8259" s="26"/>
    </row>
    <row r="8260" spans="1:18" ht="15.75" customHeight="1">
      <c r="A8260" s="26"/>
      <c r="B8260" s="86"/>
      <c r="D8260" s="26"/>
      <c r="F8260" s="87" t="str">
        <f t="shared" si="0"/>
        <v/>
      </c>
      <c r="H8260" s="26" t="str">
        <f t="shared" si="1"/>
        <v/>
      </c>
      <c r="I8260" s="26" t="str">
        <f t="shared" si="2"/>
        <v/>
      </c>
      <c r="J8260" s="86">
        <f t="shared" si="3"/>
        <v>0</v>
      </c>
      <c r="R8260" s="26"/>
    </row>
    <row r="8261" spans="1:18" ht="15.75" customHeight="1">
      <c r="A8261" s="26"/>
      <c r="B8261" s="86"/>
      <c r="D8261" s="26"/>
      <c r="F8261" s="87" t="str">
        <f t="shared" si="0"/>
        <v/>
      </c>
      <c r="H8261" s="26" t="str">
        <f t="shared" si="1"/>
        <v/>
      </c>
      <c r="I8261" s="26" t="str">
        <f t="shared" si="2"/>
        <v/>
      </c>
      <c r="J8261" s="86">
        <f t="shared" si="3"/>
        <v>0</v>
      </c>
      <c r="R8261" s="26"/>
    </row>
    <row r="8262" spans="1:18" ht="15.75" customHeight="1">
      <c r="A8262" s="26"/>
      <c r="B8262" s="86"/>
      <c r="D8262" s="26"/>
      <c r="F8262" s="87" t="str">
        <f t="shared" si="0"/>
        <v/>
      </c>
      <c r="H8262" s="26" t="str">
        <f t="shared" si="1"/>
        <v/>
      </c>
      <c r="I8262" s="26" t="str">
        <f t="shared" si="2"/>
        <v/>
      </c>
      <c r="J8262" s="86">
        <f t="shared" si="3"/>
        <v>0</v>
      </c>
      <c r="R8262" s="26"/>
    </row>
    <row r="8263" spans="1:18" ht="15.75" customHeight="1">
      <c r="A8263" s="26"/>
      <c r="B8263" s="86"/>
      <c r="D8263" s="26"/>
      <c r="F8263" s="87" t="str">
        <f t="shared" si="0"/>
        <v/>
      </c>
      <c r="H8263" s="26" t="str">
        <f t="shared" si="1"/>
        <v/>
      </c>
      <c r="I8263" s="26" t="str">
        <f t="shared" si="2"/>
        <v/>
      </c>
      <c r="J8263" s="86">
        <f t="shared" si="3"/>
        <v>0</v>
      </c>
      <c r="R8263" s="26"/>
    </row>
    <row r="8264" spans="1:18" ht="15.75" customHeight="1">
      <c r="A8264" s="26"/>
      <c r="B8264" s="86"/>
      <c r="D8264" s="26"/>
      <c r="F8264" s="87" t="str">
        <f t="shared" si="0"/>
        <v/>
      </c>
      <c r="H8264" s="26" t="str">
        <f t="shared" si="1"/>
        <v/>
      </c>
      <c r="I8264" s="26" t="str">
        <f t="shared" si="2"/>
        <v/>
      </c>
      <c r="J8264" s="86">
        <f t="shared" si="3"/>
        <v>0</v>
      </c>
      <c r="R8264" s="26"/>
    </row>
    <row r="8265" spans="1:18" ht="15.75" customHeight="1">
      <c r="A8265" s="26"/>
      <c r="B8265" s="86"/>
      <c r="D8265" s="26"/>
      <c r="F8265" s="87" t="str">
        <f t="shared" si="0"/>
        <v/>
      </c>
      <c r="H8265" s="26" t="str">
        <f t="shared" si="1"/>
        <v/>
      </c>
      <c r="I8265" s="26" t="str">
        <f t="shared" si="2"/>
        <v/>
      </c>
      <c r="J8265" s="86">
        <f t="shared" si="3"/>
        <v>0</v>
      </c>
      <c r="R8265" s="26"/>
    </row>
    <row r="8266" spans="1:18" ht="15.75" customHeight="1">
      <c r="A8266" s="26"/>
      <c r="B8266" s="86"/>
      <c r="D8266" s="26"/>
      <c r="F8266" s="87" t="str">
        <f t="shared" si="0"/>
        <v/>
      </c>
      <c r="H8266" s="26" t="str">
        <f t="shared" si="1"/>
        <v/>
      </c>
      <c r="I8266" s="26" t="str">
        <f t="shared" si="2"/>
        <v/>
      </c>
      <c r="J8266" s="86">
        <f t="shared" si="3"/>
        <v>0</v>
      </c>
      <c r="R8266" s="26"/>
    </row>
    <row r="8267" spans="1:18" ht="15.75" customHeight="1">
      <c r="A8267" s="26"/>
      <c r="B8267" s="86"/>
      <c r="D8267" s="26"/>
      <c r="F8267" s="87" t="str">
        <f t="shared" si="0"/>
        <v/>
      </c>
      <c r="H8267" s="26" t="str">
        <f t="shared" si="1"/>
        <v/>
      </c>
      <c r="I8267" s="26" t="str">
        <f t="shared" si="2"/>
        <v/>
      </c>
      <c r="J8267" s="86">
        <f t="shared" si="3"/>
        <v>0</v>
      </c>
      <c r="R8267" s="26"/>
    </row>
    <row r="8268" spans="1:18" ht="15.75" customHeight="1">
      <c r="A8268" s="26"/>
      <c r="B8268" s="86"/>
      <c r="D8268" s="26"/>
      <c r="F8268" s="87" t="str">
        <f t="shared" si="0"/>
        <v/>
      </c>
      <c r="H8268" s="26" t="str">
        <f t="shared" si="1"/>
        <v/>
      </c>
      <c r="I8268" s="26" t="str">
        <f t="shared" si="2"/>
        <v/>
      </c>
      <c r="J8268" s="86">
        <f t="shared" si="3"/>
        <v>0</v>
      </c>
      <c r="R8268" s="26"/>
    </row>
    <row r="8269" spans="1:18" ht="15.75" customHeight="1">
      <c r="A8269" s="26"/>
      <c r="B8269" s="86"/>
      <c r="D8269" s="26"/>
      <c r="F8269" s="87" t="str">
        <f t="shared" si="0"/>
        <v/>
      </c>
      <c r="H8269" s="26" t="str">
        <f t="shared" si="1"/>
        <v/>
      </c>
      <c r="I8269" s="26" t="str">
        <f t="shared" si="2"/>
        <v/>
      </c>
      <c r="J8269" s="86">
        <f t="shared" si="3"/>
        <v>0</v>
      </c>
      <c r="R8269" s="26"/>
    </row>
    <row r="8270" spans="1:18" ht="15.75" customHeight="1">
      <c r="A8270" s="26"/>
      <c r="B8270" s="86"/>
      <c r="D8270" s="26"/>
      <c r="F8270" s="87" t="str">
        <f t="shared" si="0"/>
        <v/>
      </c>
      <c r="H8270" s="26" t="str">
        <f t="shared" si="1"/>
        <v/>
      </c>
      <c r="I8270" s="26" t="str">
        <f t="shared" si="2"/>
        <v/>
      </c>
      <c r="J8270" s="86">
        <f t="shared" si="3"/>
        <v>0</v>
      </c>
      <c r="R8270" s="26"/>
    </row>
    <row r="8271" spans="1:18" ht="15.75" customHeight="1">
      <c r="A8271" s="26"/>
      <c r="B8271" s="86"/>
      <c r="D8271" s="26"/>
      <c r="F8271" s="87" t="str">
        <f t="shared" si="0"/>
        <v/>
      </c>
      <c r="H8271" s="26" t="str">
        <f t="shared" si="1"/>
        <v/>
      </c>
      <c r="I8271" s="26" t="str">
        <f t="shared" si="2"/>
        <v/>
      </c>
      <c r="J8271" s="86">
        <f t="shared" si="3"/>
        <v>0</v>
      </c>
      <c r="R8271" s="26"/>
    </row>
    <row r="8272" spans="1:18" ht="15.75" customHeight="1">
      <c r="A8272" s="26"/>
      <c r="B8272" s="86"/>
      <c r="D8272" s="26"/>
      <c r="F8272" s="87" t="str">
        <f t="shared" si="0"/>
        <v/>
      </c>
      <c r="H8272" s="26" t="str">
        <f t="shared" si="1"/>
        <v/>
      </c>
      <c r="I8272" s="26" t="str">
        <f t="shared" si="2"/>
        <v/>
      </c>
      <c r="J8272" s="86">
        <f t="shared" si="3"/>
        <v>0</v>
      </c>
      <c r="R8272" s="26"/>
    </row>
    <row r="8273" spans="1:18" ht="15.75" customHeight="1">
      <c r="A8273" s="26"/>
      <c r="B8273" s="86"/>
      <c r="D8273" s="26"/>
      <c r="F8273" s="87" t="str">
        <f t="shared" si="0"/>
        <v/>
      </c>
      <c r="H8273" s="26" t="str">
        <f t="shared" si="1"/>
        <v/>
      </c>
      <c r="I8273" s="26" t="str">
        <f t="shared" si="2"/>
        <v/>
      </c>
      <c r="J8273" s="86">
        <f t="shared" si="3"/>
        <v>0</v>
      </c>
      <c r="R8273" s="26"/>
    </row>
    <row r="8274" spans="1:18" ht="15.75" customHeight="1">
      <c r="A8274" s="26"/>
      <c r="B8274" s="86"/>
      <c r="D8274" s="26"/>
      <c r="F8274" s="87" t="str">
        <f t="shared" si="0"/>
        <v/>
      </c>
      <c r="H8274" s="26" t="str">
        <f t="shared" si="1"/>
        <v/>
      </c>
      <c r="I8274" s="26" t="str">
        <f t="shared" si="2"/>
        <v/>
      </c>
      <c r="J8274" s="86">
        <f t="shared" si="3"/>
        <v>0</v>
      </c>
      <c r="R8274" s="26"/>
    </row>
    <row r="8275" spans="1:18" ht="15.75" customHeight="1">
      <c r="A8275" s="26"/>
      <c r="B8275" s="86"/>
      <c r="D8275" s="26"/>
      <c r="F8275" s="87" t="str">
        <f t="shared" si="0"/>
        <v/>
      </c>
      <c r="H8275" s="26" t="str">
        <f t="shared" si="1"/>
        <v/>
      </c>
      <c r="I8275" s="26" t="str">
        <f t="shared" si="2"/>
        <v/>
      </c>
      <c r="J8275" s="86">
        <f t="shared" si="3"/>
        <v>0</v>
      </c>
      <c r="R8275" s="26"/>
    </row>
    <row r="8276" spans="1:18" ht="15.75" customHeight="1">
      <c r="A8276" s="26"/>
      <c r="B8276" s="86"/>
      <c r="D8276" s="26"/>
      <c r="F8276" s="87" t="str">
        <f t="shared" si="0"/>
        <v/>
      </c>
      <c r="H8276" s="26" t="str">
        <f t="shared" si="1"/>
        <v/>
      </c>
      <c r="I8276" s="26" t="str">
        <f t="shared" si="2"/>
        <v/>
      </c>
      <c r="J8276" s="86">
        <f t="shared" si="3"/>
        <v>0</v>
      </c>
      <c r="R8276" s="26"/>
    </row>
    <row r="8277" spans="1:18" ht="15.75" customHeight="1">
      <c r="A8277" s="26"/>
      <c r="B8277" s="86"/>
      <c r="D8277" s="26"/>
      <c r="F8277" s="87" t="str">
        <f t="shared" si="0"/>
        <v/>
      </c>
      <c r="H8277" s="26" t="str">
        <f t="shared" si="1"/>
        <v/>
      </c>
      <c r="I8277" s="26" t="str">
        <f t="shared" si="2"/>
        <v/>
      </c>
      <c r="J8277" s="86">
        <f t="shared" si="3"/>
        <v>0</v>
      </c>
      <c r="R8277" s="26"/>
    </row>
    <row r="8278" spans="1:18" ht="15.75" customHeight="1">
      <c r="A8278" s="26"/>
      <c r="B8278" s="86"/>
      <c r="D8278" s="26"/>
      <c r="F8278" s="87" t="str">
        <f t="shared" si="0"/>
        <v/>
      </c>
      <c r="H8278" s="26" t="str">
        <f t="shared" si="1"/>
        <v/>
      </c>
      <c r="I8278" s="26" t="str">
        <f t="shared" si="2"/>
        <v/>
      </c>
      <c r="J8278" s="86">
        <f t="shared" si="3"/>
        <v>0</v>
      </c>
      <c r="R8278" s="26"/>
    </row>
    <row r="8279" spans="1:18" ht="15.75" customHeight="1">
      <c r="A8279" s="26"/>
      <c r="B8279" s="86"/>
      <c r="D8279" s="26"/>
      <c r="F8279" s="87" t="str">
        <f t="shared" si="0"/>
        <v/>
      </c>
      <c r="H8279" s="26" t="str">
        <f t="shared" si="1"/>
        <v/>
      </c>
      <c r="I8279" s="26" t="str">
        <f t="shared" si="2"/>
        <v/>
      </c>
      <c r="J8279" s="86">
        <f t="shared" si="3"/>
        <v>0</v>
      </c>
      <c r="R8279" s="26"/>
    </row>
    <row r="8280" spans="1:18" ht="15.75" customHeight="1">
      <c r="A8280" s="26"/>
      <c r="B8280" s="86"/>
      <c r="D8280" s="26"/>
      <c r="F8280" s="87" t="str">
        <f t="shared" si="0"/>
        <v/>
      </c>
      <c r="H8280" s="26" t="str">
        <f t="shared" si="1"/>
        <v/>
      </c>
      <c r="I8280" s="26" t="str">
        <f t="shared" si="2"/>
        <v/>
      </c>
      <c r="J8280" s="86">
        <f t="shared" si="3"/>
        <v>0</v>
      </c>
      <c r="R8280" s="26"/>
    </row>
    <row r="8281" spans="1:18" ht="15.75" customHeight="1">
      <c r="A8281" s="26"/>
      <c r="B8281" s="86"/>
      <c r="D8281" s="26"/>
      <c r="F8281" s="87" t="str">
        <f t="shared" si="0"/>
        <v/>
      </c>
      <c r="H8281" s="26" t="str">
        <f t="shared" si="1"/>
        <v/>
      </c>
      <c r="I8281" s="26" t="str">
        <f t="shared" si="2"/>
        <v/>
      </c>
      <c r="J8281" s="86">
        <f t="shared" si="3"/>
        <v>0</v>
      </c>
      <c r="R8281" s="26"/>
    </row>
    <row r="8282" spans="1:18" ht="15.75" customHeight="1">
      <c r="A8282" s="26"/>
      <c r="B8282" s="86"/>
      <c r="D8282" s="26"/>
      <c r="F8282" s="87" t="str">
        <f t="shared" si="0"/>
        <v/>
      </c>
      <c r="H8282" s="26" t="str">
        <f t="shared" si="1"/>
        <v/>
      </c>
      <c r="I8282" s="26" t="str">
        <f t="shared" si="2"/>
        <v/>
      </c>
      <c r="J8282" s="86">
        <f t="shared" si="3"/>
        <v>0</v>
      </c>
      <c r="R8282" s="26"/>
    </row>
    <row r="8283" spans="1:18" ht="15.75" customHeight="1">
      <c r="A8283" s="26"/>
      <c r="B8283" s="86"/>
      <c r="D8283" s="26"/>
      <c r="F8283" s="87" t="str">
        <f t="shared" si="0"/>
        <v/>
      </c>
      <c r="H8283" s="26" t="str">
        <f t="shared" si="1"/>
        <v/>
      </c>
      <c r="I8283" s="26" t="str">
        <f t="shared" si="2"/>
        <v/>
      </c>
      <c r="J8283" s="86">
        <f t="shared" si="3"/>
        <v>0</v>
      </c>
      <c r="R8283" s="26"/>
    </row>
    <row r="8284" spans="1:18" ht="15.75" customHeight="1">
      <c r="A8284" s="26"/>
      <c r="B8284" s="86"/>
      <c r="D8284" s="26"/>
      <c r="F8284" s="87" t="str">
        <f t="shared" si="0"/>
        <v/>
      </c>
      <c r="H8284" s="26" t="str">
        <f t="shared" si="1"/>
        <v/>
      </c>
      <c r="I8284" s="26" t="str">
        <f t="shared" si="2"/>
        <v/>
      </c>
      <c r="J8284" s="86">
        <f t="shared" si="3"/>
        <v>0</v>
      </c>
      <c r="R8284" s="26"/>
    </row>
    <row r="8285" spans="1:18" ht="15.75" customHeight="1">
      <c r="A8285" s="26"/>
      <c r="B8285" s="86"/>
      <c r="D8285" s="26"/>
      <c r="F8285" s="87" t="str">
        <f t="shared" si="0"/>
        <v/>
      </c>
      <c r="H8285" s="26" t="str">
        <f t="shared" si="1"/>
        <v/>
      </c>
      <c r="I8285" s="26" t="str">
        <f t="shared" si="2"/>
        <v/>
      </c>
      <c r="J8285" s="86">
        <f t="shared" si="3"/>
        <v>0</v>
      </c>
      <c r="R8285" s="26"/>
    </row>
    <row r="8286" spans="1:18" ht="15.75" customHeight="1">
      <c r="A8286" s="26"/>
      <c r="B8286" s="86"/>
      <c r="D8286" s="26"/>
      <c r="F8286" s="87" t="str">
        <f t="shared" si="0"/>
        <v/>
      </c>
      <c r="H8286" s="26" t="str">
        <f t="shared" si="1"/>
        <v/>
      </c>
      <c r="I8286" s="26" t="str">
        <f t="shared" si="2"/>
        <v/>
      </c>
      <c r="J8286" s="86">
        <f t="shared" si="3"/>
        <v>0</v>
      </c>
      <c r="R8286" s="26"/>
    </row>
    <row r="8287" spans="1:18" ht="15.75" customHeight="1">
      <c r="A8287" s="26"/>
      <c r="B8287" s="86"/>
      <c r="D8287" s="26"/>
      <c r="F8287" s="87" t="str">
        <f t="shared" si="0"/>
        <v/>
      </c>
      <c r="H8287" s="26" t="str">
        <f t="shared" si="1"/>
        <v/>
      </c>
      <c r="I8287" s="26" t="str">
        <f t="shared" si="2"/>
        <v/>
      </c>
      <c r="J8287" s="86">
        <f t="shared" si="3"/>
        <v>0</v>
      </c>
      <c r="R8287" s="26"/>
    </row>
    <row r="8288" spans="1:18" ht="15.75" customHeight="1">
      <c r="A8288" s="26"/>
      <c r="B8288" s="86"/>
      <c r="D8288" s="26"/>
      <c r="F8288" s="87" t="str">
        <f t="shared" si="0"/>
        <v/>
      </c>
      <c r="H8288" s="26" t="str">
        <f t="shared" si="1"/>
        <v/>
      </c>
      <c r="I8288" s="26" t="str">
        <f t="shared" si="2"/>
        <v/>
      </c>
      <c r="J8288" s="86">
        <f t="shared" si="3"/>
        <v>0</v>
      </c>
      <c r="R8288" s="26"/>
    </row>
    <row r="8289" spans="1:18" ht="15.75" customHeight="1">
      <c r="A8289" s="26"/>
      <c r="B8289" s="86"/>
      <c r="D8289" s="26"/>
      <c r="F8289" s="87" t="str">
        <f t="shared" si="0"/>
        <v/>
      </c>
      <c r="H8289" s="26" t="str">
        <f t="shared" si="1"/>
        <v/>
      </c>
      <c r="I8289" s="26" t="str">
        <f t="shared" si="2"/>
        <v/>
      </c>
      <c r="J8289" s="86">
        <f t="shared" si="3"/>
        <v>0</v>
      </c>
      <c r="R8289" s="26"/>
    </row>
    <row r="8290" spans="1:18" ht="15.75" customHeight="1">
      <c r="A8290" s="26"/>
      <c r="B8290" s="86"/>
      <c r="D8290" s="26"/>
      <c r="F8290" s="87" t="str">
        <f t="shared" si="0"/>
        <v/>
      </c>
      <c r="H8290" s="26" t="str">
        <f t="shared" si="1"/>
        <v/>
      </c>
      <c r="I8290" s="26" t="str">
        <f t="shared" si="2"/>
        <v/>
      </c>
      <c r="J8290" s="86">
        <f t="shared" si="3"/>
        <v>0</v>
      </c>
      <c r="R8290" s="26"/>
    </row>
    <row r="8291" spans="1:18" ht="15.75" customHeight="1">
      <c r="A8291" s="26"/>
      <c r="B8291" s="86"/>
      <c r="D8291" s="26"/>
      <c r="F8291" s="87" t="str">
        <f t="shared" si="0"/>
        <v/>
      </c>
      <c r="H8291" s="26" t="str">
        <f t="shared" si="1"/>
        <v/>
      </c>
      <c r="I8291" s="26" t="str">
        <f t="shared" si="2"/>
        <v/>
      </c>
      <c r="J8291" s="86">
        <f t="shared" si="3"/>
        <v>0</v>
      </c>
      <c r="R8291" s="26"/>
    </row>
    <row r="8292" spans="1:18" ht="15.75" customHeight="1">
      <c r="A8292" s="26"/>
      <c r="B8292" s="86"/>
      <c r="D8292" s="26"/>
      <c r="F8292" s="87" t="str">
        <f t="shared" si="0"/>
        <v/>
      </c>
      <c r="H8292" s="26" t="str">
        <f t="shared" si="1"/>
        <v/>
      </c>
      <c r="I8292" s="26" t="str">
        <f t="shared" si="2"/>
        <v/>
      </c>
      <c r="J8292" s="86">
        <f t="shared" si="3"/>
        <v>0</v>
      </c>
      <c r="R8292" s="26"/>
    </row>
    <row r="8293" spans="1:18" ht="15.75" customHeight="1">
      <c r="A8293" s="26"/>
      <c r="B8293" s="86"/>
      <c r="D8293" s="26"/>
      <c r="F8293" s="87" t="str">
        <f t="shared" si="0"/>
        <v/>
      </c>
      <c r="H8293" s="26" t="str">
        <f t="shared" si="1"/>
        <v/>
      </c>
      <c r="I8293" s="26" t="str">
        <f t="shared" si="2"/>
        <v/>
      </c>
      <c r="J8293" s="86">
        <f t="shared" si="3"/>
        <v>0</v>
      </c>
      <c r="R8293" s="26"/>
    </row>
    <row r="8294" spans="1:18" ht="15.75" customHeight="1">
      <c r="A8294" s="26"/>
      <c r="B8294" s="86"/>
      <c r="D8294" s="26"/>
      <c r="F8294" s="87" t="str">
        <f t="shared" si="0"/>
        <v/>
      </c>
      <c r="H8294" s="26" t="str">
        <f t="shared" si="1"/>
        <v/>
      </c>
      <c r="I8294" s="26" t="str">
        <f t="shared" si="2"/>
        <v/>
      </c>
      <c r="J8294" s="86">
        <f t="shared" si="3"/>
        <v>0</v>
      </c>
      <c r="R8294" s="26"/>
    </row>
    <row r="8295" spans="1:18" ht="15.75" customHeight="1">
      <c r="A8295" s="26"/>
      <c r="B8295" s="86"/>
      <c r="D8295" s="26"/>
      <c r="F8295" s="87" t="str">
        <f t="shared" si="0"/>
        <v/>
      </c>
      <c r="H8295" s="26" t="str">
        <f t="shared" si="1"/>
        <v/>
      </c>
      <c r="I8295" s="26" t="str">
        <f t="shared" si="2"/>
        <v/>
      </c>
      <c r="J8295" s="86">
        <f t="shared" si="3"/>
        <v>0</v>
      </c>
      <c r="R8295" s="26"/>
    </row>
    <row r="8296" spans="1:18" ht="15.75" customHeight="1">
      <c r="A8296" s="26"/>
      <c r="B8296" s="86"/>
      <c r="D8296" s="26"/>
      <c r="F8296" s="87" t="str">
        <f t="shared" si="0"/>
        <v/>
      </c>
      <c r="H8296" s="26" t="str">
        <f t="shared" si="1"/>
        <v/>
      </c>
      <c r="I8296" s="26" t="str">
        <f t="shared" si="2"/>
        <v/>
      </c>
      <c r="J8296" s="86">
        <f t="shared" si="3"/>
        <v>0</v>
      </c>
      <c r="R8296" s="26"/>
    </row>
    <row r="8297" spans="1:18" ht="15.75" customHeight="1">
      <c r="A8297" s="26"/>
      <c r="B8297" s="86"/>
      <c r="D8297" s="26"/>
      <c r="F8297" s="87" t="str">
        <f t="shared" si="0"/>
        <v/>
      </c>
      <c r="H8297" s="26" t="str">
        <f t="shared" si="1"/>
        <v/>
      </c>
      <c r="I8297" s="26" t="str">
        <f t="shared" si="2"/>
        <v/>
      </c>
      <c r="J8297" s="86">
        <f t="shared" si="3"/>
        <v>0</v>
      </c>
      <c r="R8297" s="26"/>
    </row>
    <row r="8298" spans="1:18" ht="15.75" customHeight="1">
      <c r="A8298" s="26"/>
      <c r="B8298" s="86"/>
      <c r="D8298" s="26"/>
      <c r="F8298" s="87" t="str">
        <f t="shared" si="0"/>
        <v/>
      </c>
      <c r="H8298" s="26" t="str">
        <f t="shared" si="1"/>
        <v/>
      </c>
      <c r="I8298" s="26" t="str">
        <f t="shared" si="2"/>
        <v/>
      </c>
      <c r="J8298" s="86">
        <f t="shared" si="3"/>
        <v>0</v>
      </c>
      <c r="R8298" s="26"/>
    </row>
    <row r="8299" spans="1:18" ht="15.75" customHeight="1">
      <c r="A8299" s="26"/>
      <c r="B8299" s="86"/>
      <c r="D8299" s="26"/>
      <c r="F8299" s="87" t="str">
        <f t="shared" si="0"/>
        <v/>
      </c>
      <c r="H8299" s="26" t="str">
        <f t="shared" si="1"/>
        <v/>
      </c>
      <c r="I8299" s="26" t="str">
        <f t="shared" si="2"/>
        <v/>
      </c>
      <c r="J8299" s="86">
        <f t="shared" si="3"/>
        <v>0</v>
      </c>
      <c r="R8299" s="26"/>
    </row>
    <row r="8300" spans="1:18" ht="15.75" customHeight="1">
      <c r="A8300" s="26"/>
      <c r="B8300" s="86"/>
      <c r="D8300" s="26"/>
      <c r="F8300" s="87" t="str">
        <f t="shared" si="0"/>
        <v/>
      </c>
      <c r="H8300" s="26" t="str">
        <f t="shared" si="1"/>
        <v/>
      </c>
      <c r="I8300" s="26" t="str">
        <f t="shared" si="2"/>
        <v/>
      </c>
      <c r="J8300" s="86">
        <f t="shared" si="3"/>
        <v>0</v>
      </c>
      <c r="R8300" s="26"/>
    </row>
    <row r="8301" spans="1:18" ht="15.75" customHeight="1">
      <c r="A8301" s="26"/>
      <c r="B8301" s="86"/>
      <c r="D8301" s="26"/>
      <c r="F8301" s="87" t="str">
        <f t="shared" si="0"/>
        <v/>
      </c>
      <c r="H8301" s="26" t="str">
        <f t="shared" si="1"/>
        <v/>
      </c>
      <c r="I8301" s="26" t="str">
        <f t="shared" si="2"/>
        <v/>
      </c>
      <c r="J8301" s="86">
        <f t="shared" si="3"/>
        <v>0</v>
      </c>
      <c r="R8301" s="26"/>
    </row>
    <row r="8302" spans="1:18" ht="15.75" customHeight="1">
      <c r="A8302" s="26"/>
      <c r="B8302" s="86"/>
      <c r="D8302" s="26"/>
      <c r="F8302" s="87" t="str">
        <f t="shared" si="0"/>
        <v/>
      </c>
      <c r="H8302" s="26" t="str">
        <f t="shared" si="1"/>
        <v/>
      </c>
      <c r="I8302" s="26" t="str">
        <f t="shared" si="2"/>
        <v/>
      </c>
      <c r="J8302" s="86">
        <f t="shared" si="3"/>
        <v>0</v>
      </c>
      <c r="R8302" s="26"/>
    </row>
    <row r="8303" spans="1:18" ht="15.75" customHeight="1">
      <c r="A8303" s="26"/>
      <c r="B8303" s="86"/>
      <c r="D8303" s="26"/>
      <c r="F8303" s="87" t="str">
        <f t="shared" si="0"/>
        <v/>
      </c>
      <c r="H8303" s="26" t="str">
        <f t="shared" si="1"/>
        <v/>
      </c>
      <c r="I8303" s="26" t="str">
        <f t="shared" si="2"/>
        <v/>
      </c>
      <c r="J8303" s="86">
        <f t="shared" si="3"/>
        <v>0</v>
      </c>
      <c r="R8303" s="26"/>
    </row>
    <row r="8304" spans="1:18" ht="15.75" customHeight="1">
      <c r="A8304" s="26"/>
      <c r="B8304" s="86"/>
      <c r="D8304" s="26"/>
      <c r="F8304" s="87" t="str">
        <f t="shared" si="0"/>
        <v/>
      </c>
      <c r="H8304" s="26" t="str">
        <f t="shared" si="1"/>
        <v/>
      </c>
      <c r="I8304" s="26" t="str">
        <f t="shared" si="2"/>
        <v/>
      </c>
      <c r="J8304" s="86">
        <f t="shared" si="3"/>
        <v>0</v>
      </c>
      <c r="R8304" s="26"/>
    </row>
    <row r="8305" spans="1:18" ht="15.75" customHeight="1">
      <c r="A8305" s="26"/>
      <c r="B8305" s="86"/>
      <c r="D8305" s="26"/>
      <c r="F8305" s="87" t="str">
        <f t="shared" si="0"/>
        <v/>
      </c>
      <c r="H8305" s="26" t="str">
        <f t="shared" si="1"/>
        <v/>
      </c>
      <c r="I8305" s="26" t="str">
        <f t="shared" si="2"/>
        <v/>
      </c>
      <c r="J8305" s="86">
        <f t="shared" si="3"/>
        <v>0</v>
      </c>
      <c r="R8305" s="26"/>
    </row>
    <row r="8306" spans="1:18" ht="15.75" customHeight="1">
      <c r="A8306" s="26"/>
      <c r="B8306" s="86"/>
      <c r="D8306" s="26"/>
      <c r="F8306" s="87" t="str">
        <f t="shared" si="0"/>
        <v/>
      </c>
      <c r="H8306" s="26" t="str">
        <f t="shared" si="1"/>
        <v/>
      </c>
      <c r="I8306" s="26" t="str">
        <f t="shared" si="2"/>
        <v/>
      </c>
      <c r="J8306" s="86">
        <f t="shared" si="3"/>
        <v>0</v>
      </c>
      <c r="R8306" s="26"/>
    </row>
    <row r="8307" spans="1:18" ht="15.75" customHeight="1">
      <c r="A8307" s="26"/>
      <c r="B8307" s="86"/>
      <c r="D8307" s="26"/>
      <c r="F8307" s="87" t="str">
        <f t="shared" si="0"/>
        <v/>
      </c>
      <c r="H8307" s="26" t="str">
        <f t="shared" si="1"/>
        <v/>
      </c>
      <c r="I8307" s="26" t="str">
        <f t="shared" si="2"/>
        <v/>
      </c>
      <c r="J8307" s="86">
        <f t="shared" si="3"/>
        <v>0</v>
      </c>
      <c r="R8307" s="26"/>
    </row>
    <row r="8308" spans="1:18" ht="15.75" customHeight="1">
      <c r="A8308" s="26"/>
      <c r="B8308" s="86"/>
      <c r="D8308" s="26"/>
      <c r="F8308" s="87" t="str">
        <f t="shared" si="0"/>
        <v/>
      </c>
      <c r="H8308" s="26" t="str">
        <f t="shared" si="1"/>
        <v/>
      </c>
      <c r="I8308" s="26" t="str">
        <f t="shared" si="2"/>
        <v/>
      </c>
      <c r="J8308" s="86">
        <f t="shared" si="3"/>
        <v>0</v>
      </c>
      <c r="R8308" s="26"/>
    </row>
    <row r="8309" spans="1:18" ht="15.75" customHeight="1">
      <c r="A8309" s="26"/>
      <c r="B8309" s="86"/>
      <c r="D8309" s="26"/>
      <c r="F8309" s="87" t="str">
        <f t="shared" si="0"/>
        <v/>
      </c>
      <c r="H8309" s="26" t="str">
        <f t="shared" si="1"/>
        <v/>
      </c>
      <c r="I8309" s="26" t="str">
        <f t="shared" si="2"/>
        <v/>
      </c>
      <c r="J8309" s="86">
        <f t="shared" si="3"/>
        <v>0</v>
      </c>
      <c r="R8309" s="26"/>
    </row>
    <row r="8310" spans="1:18" ht="15.75" customHeight="1">
      <c r="A8310" s="26"/>
      <c r="B8310" s="86"/>
      <c r="D8310" s="26"/>
      <c r="F8310" s="87" t="str">
        <f t="shared" si="0"/>
        <v/>
      </c>
      <c r="H8310" s="26" t="str">
        <f t="shared" si="1"/>
        <v/>
      </c>
      <c r="I8310" s="26" t="str">
        <f t="shared" si="2"/>
        <v/>
      </c>
      <c r="J8310" s="86">
        <f t="shared" si="3"/>
        <v>0</v>
      </c>
      <c r="R8310" s="26"/>
    </row>
    <row r="8311" spans="1:18" ht="15.75" customHeight="1">
      <c r="A8311" s="26"/>
      <c r="B8311" s="86"/>
      <c r="D8311" s="26"/>
      <c r="F8311" s="87" t="str">
        <f t="shared" si="0"/>
        <v/>
      </c>
      <c r="H8311" s="26" t="str">
        <f t="shared" si="1"/>
        <v/>
      </c>
      <c r="I8311" s="26" t="str">
        <f t="shared" si="2"/>
        <v/>
      </c>
      <c r="J8311" s="86">
        <f t="shared" si="3"/>
        <v>0</v>
      </c>
      <c r="R8311" s="26"/>
    </row>
    <row r="8312" spans="1:18" ht="15.75" customHeight="1">
      <c r="A8312" s="26"/>
      <c r="B8312" s="86"/>
      <c r="D8312" s="26"/>
      <c r="F8312" s="87" t="str">
        <f t="shared" si="0"/>
        <v/>
      </c>
      <c r="H8312" s="26" t="str">
        <f t="shared" si="1"/>
        <v/>
      </c>
      <c r="I8312" s="26" t="str">
        <f t="shared" si="2"/>
        <v/>
      </c>
      <c r="J8312" s="86">
        <f t="shared" si="3"/>
        <v>0</v>
      </c>
      <c r="R8312" s="26"/>
    </row>
    <row r="8313" spans="1:18" ht="15.75" customHeight="1">
      <c r="A8313" s="26"/>
      <c r="B8313" s="86"/>
      <c r="D8313" s="26"/>
      <c r="F8313" s="87" t="str">
        <f t="shared" si="0"/>
        <v/>
      </c>
      <c r="H8313" s="26" t="str">
        <f t="shared" si="1"/>
        <v/>
      </c>
      <c r="I8313" s="26" t="str">
        <f t="shared" si="2"/>
        <v/>
      </c>
      <c r="J8313" s="86">
        <f t="shared" si="3"/>
        <v>0</v>
      </c>
      <c r="R8313" s="26"/>
    </row>
    <row r="8314" spans="1:18" ht="15.75" customHeight="1">
      <c r="A8314" s="26"/>
      <c r="B8314" s="86"/>
      <c r="D8314" s="26"/>
      <c r="F8314" s="87" t="str">
        <f t="shared" si="0"/>
        <v/>
      </c>
      <c r="H8314" s="26" t="str">
        <f t="shared" si="1"/>
        <v/>
      </c>
      <c r="I8314" s="26" t="str">
        <f t="shared" si="2"/>
        <v/>
      </c>
      <c r="J8314" s="86">
        <f t="shared" si="3"/>
        <v>0</v>
      </c>
      <c r="R8314" s="26"/>
    </row>
    <row r="8315" spans="1:18" ht="15.75" customHeight="1">
      <c r="A8315" s="26"/>
      <c r="B8315" s="86"/>
      <c r="D8315" s="26"/>
      <c r="F8315" s="87" t="str">
        <f t="shared" si="0"/>
        <v/>
      </c>
      <c r="H8315" s="26" t="str">
        <f t="shared" si="1"/>
        <v/>
      </c>
      <c r="I8315" s="26" t="str">
        <f t="shared" si="2"/>
        <v/>
      </c>
      <c r="J8315" s="86">
        <f t="shared" si="3"/>
        <v>0</v>
      </c>
      <c r="R8315" s="26"/>
    </row>
    <row r="8316" spans="1:18" ht="15.75" customHeight="1">
      <c r="A8316" s="26"/>
      <c r="B8316" s="86"/>
      <c r="D8316" s="26"/>
      <c r="F8316" s="87" t="str">
        <f t="shared" si="0"/>
        <v/>
      </c>
      <c r="H8316" s="26" t="str">
        <f t="shared" si="1"/>
        <v/>
      </c>
      <c r="I8316" s="26" t="str">
        <f t="shared" si="2"/>
        <v/>
      </c>
      <c r="J8316" s="86">
        <f t="shared" si="3"/>
        <v>0</v>
      </c>
      <c r="R8316" s="26"/>
    </row>
    <row r="8317" spans="1:18" ht="15.75" customHeight="1">
      <c r="A8317" s="26"/>
      <c r="B8317" s="86"/>
      <c r="D8317" s="26"/>
      <c r="F8317" s="87" t="str">
        <f t="shared" si="0"/>
        <v/>
      </c>
      <c r="H8317" s="26" t="str">
        <f t="shared" si="1"/>
        <v/>
      </c>
      <c r="I8317" s="26" t="str">
        <f t="shared" si="2"/>
        <v/>
      </c>
      <c r="J8317" s="86">
        <f t="shared" si="3"/>
        <v>0</v>
      </c>
      <c r="R8317" s="26"/>
    </row>
    <row r="8318" spans="1:18" ht="15.75" customHeight="1">
      <c r="A8318" s="26"/>
      <c r="B8318" s="86"/>
      <c r="D8318" s="26"/>
      <c r="F8318" s="87" t="str">
        <f t="shared" si="0"/>
        <v/>
      </c>
      <c r="H8318" s="26" t="str">
        <f t="shared" si="1"/>
        <v/>
      </c>
      <c r="I8318" s="26" t="str">
        <f t="shared" si="2"/>
        <v/>
      </c>
      <c r="J8318" s="86">
        <f t="shared" si="3"/>
        <v>0</v>
      </c>
      <c r="R8318" s="26"/>
    </row>
    <row r="8319" spans="1:18" ht="15.75" customHeight="1">
      <c r="A8319" s="26"/>
      <c r="B8319" s="86"/>
      <c r="D8319" s="26"/>
      <c r="F8319" s="87" t="str">
        <f t="shared" si="0"/>
        <v/>
      </c>
      <c r="H8319" s="26" t="str">
        <f t="shared" si="1"/>
        <v/>
      </c>
      <c r="I8319" s="26" t="str">
        <f t="shared" si="2"/>
        <v/>
      </c>
      <c r="J8319" s="86">
        <f t="shared" si="3"/>
        <v>0</v>
      </c>
      <c r="R8319" s="26"/>
    </row>
    <row r="8320" spans="1:18" ht="15.75" customHeight="1">
      <c r="A8320" s="26"/>
      <c r="B8320" s="86"/>
      <c r="D8320" s="26"/>
      <c r="F8320" s="87" t="str">
        <f t="shared" si="0"/>
        <v/>
      </c>
      <c r="H8320" s="26" t="str">
        <f t="shared" si="1"/>
        <v/>
      </c>
      <c r="I8320" s="26" t="str">
        <f t="shared" si="2"/>
        <v/>
      </c>
      <c r="J8320" s="86">
        <f t="shared" si="3"/>
        <v>0</v>
      </c>
      <c r="R8320" s="26"/>
    </row>
    <row r="8321" spans="1:18" ht="15.75" customHeight="1">
      <c r="A8321" s="26"/>
      <c r="B8321" s="86"/>
      <c r="D8321" s="26"/>
      <c r="F8321" s="87" t="str">
        <f t="shared" si="0"/>
        <v/>
      </c>
      <c r="H8321" s="26" t="str">
        <f t="shared" si="1"/>
        <v/>
      </c>
      <c r="I8321" s="26" t="str">
        <f t="shared" si="2"/>
        <v/>
      </c>
      <c r="J8321" s="86">
        <f t="shared" si="3"/>
        <v>0</v>
      </c>
      <c r="R8321" s="26"/>
    </row>
    <row r="8322" spans="1:18" ht="15.75" customHeight="1">
      <c r="A8322" s="26"/>
      <c r="B8322" s="86"/>
      <c r="D8322" s="26"/>
      <c r="F8322" s="87" t="str">
        <f t="shared" si="0"/>
        <v/>
      </c>
      <c r="H8322" s="26" t="str">
        <f t="shared" si="1"/>
        <v/>
      </c>
      <c r="I8322" s="26" t="str">
        <f t="shared" si="2"/>
        <v/>
      </c>
      <c r="J8322" s="86">
        <f t="shared" si="3"/>
        <v>0</v>
      </c>
      <c r="R8322" s="26"/>
    </row>
    <row r="8323" spans="1:18" ht="15.75" customHeight="1">
      <c r="A8323" s="26"/>
      <c r="B8323" s="86"/>
      <c r="D8323" s="26"/>
      <c r="F8323" s="87" t="str">
        <f t="shared" si="0"/>
        <v/>
      </c>
      <c r="H8323" s="26" t="str">
        <f t="shared" si="1"/>
        <v/>
      </c>
      <c r="I8323" s="26" t="str">
        <f t="shared" si="2"/>
        <v/>
      </c>
      <c r="J8323" s="86">
        <f t="shared" si="3"/>
        <v>0</v>
      </c>
      <c r="R8323" s="26"/>
    </row>
    <row r="8324" spans="1:18" ht="15.75" customHeight="1">
      <c r="A8324" s="26"/>
      <c r="B8324" s="86"/>
      <c r="D8324" s="26"/>
      <c r="F8324" s="87" t="str">
        <f t="shared" si="0"/>
        <v/>
      </c>
      <c r="H8324" s="26" t="str">
        <f t="shared" si="1"/>
        <v/>
      </c>
      <c r="I8324" s="26" t="str">
        <f t="shared" si="2"/>
        <v/>
      </c>
      <c r="J8324" s="86">
        <f t="shared" si="3"/>
        <v>0</v>
      </c>
      <c r="R8324" s="26"/>
    </row>
    <row r="8325" spans="1:18" ht="15.75" customHeight="1">
      <c r="A8325" s="26"/>
      <c r="B8325" s="86"/>
      <c r="D8325" s="26"/>
      <c r="F8325" s="87" t="str">
        <f t="shared" si="0"/>
        <v/>
      </c>
      <c r="H8325" s="26" t="str">
        <f t="shared" si="1"/>
        <v/>
      </c>
      <c r="I8325" s="26" t="str">
        <f t="shared" si="2"/>
        <v/>
      </c>
      <c r="J8325" s="86">
        <f t="shared" si="3"/>
        <v>0</v>
      </c>
      <c r="R8325" s="26"/>
    </row>
    <row r="8326" spans="1:18" ht="15.75" customHeight="1">
      <c r="A8326" s="26"/>
      <c r="B8326" s="86"/>
      <c r="D8326" s="26"/>
      <c r="F8326" s="87" t="str">
        <f t="shared" si="0"/>
        <v/>
      </c>
      <c r="H8326" s="26" t="str">
        <f t="shared" si="1"/>
        <v/>
      </c>
      <c r="I8326" s="26" t="str">
        <f t="shared" si="2"/>
        <v/>
      </c>
      <c r="J8326" s="86">
        <f t="shared" si="3"/>
        <v>0</v>
      </c>
      <c r="R8326" s="26"/>
    </row>
    <row r="8327" spans="1:18" ht="15.75" customHeight="1">
      <c r="A8327" s="26"/>
      <c r="B8327" s="86"/>
      <c r="D8327" s="26"/>
      <c r="F8327" s="87" t="str">
        <f t="shared" si="0"/>
        <v/>
      </c>
      <c r="H8327" s="26" t="str">
        <f t="shared" si="1"/>
        <v/>
      </c>
      <c r="I8327" s="26" t="str">
        <f t="shared" si="2"/>
        <v/>
      </c>
      <c r="J8327" s="86">
        <f t="shared" si="3"/>
        <v>0</v>
      </c>
      <c r="R8327" s="26"/>
    </row>
    <row r="8328" spans="1:18" ht="15.75" customHeight="1">
      <c r="A8328" s="26"/>
      <c r="B8328" s="86"/>
      <c r="D8328" s="26"/>
      <c r="F8328" s="87" t="str">
        <f t="shared" si="0"/>
        <v/>
      </c>
      <c r="H8328" s="26" t="str">
        <f t="shared" si="1"/>
        <v/>
      </c>
      <c r="I8328" s="26" t="str">
        <f t="shared" si="2"/>
        <v/>
      </c>
      <c r="J8328" s="86">
        <f t="shared" si="3"/>
        <v>0</v>
      </c>
      <c r="R8328" s="26"/>
    </row>
    <row r="8329" spans="1:18" ht="15.75" customHeight="1">
      <c r="A8329" s="26"/>
      <c r="B8329" s="86"/>
      <c r="D8329" s="26"/>
      <c r="F8329" s="87" t="str">
        <f t="shared" si="0"/>
        <v/>
      </c>
      <c r="H8329" s="26" t="str">
        <f t="shared" si="1"/>
        <v/>
      </c>
      <c r="I8329" s="26" t="str">
        <f t="shared" si="2"/>
        <v/>
      </c>
      <c r="J8329" s="86">
        <f t="shared" si="3"/>
        <v>0</v>
      </c>
      <c r="R8329" s="26"/>
    </row>
    <row r="8330" spans="1:18" ht="15.75" customHeight="1">
      <c r="A8330" s="26"/>
      <c r="B8330" s="86"/>
      <c r="D8330" s="26"/>
      <c r="F8330" s="87" t="str">
        <f t="shared" si="0"/>
        <v/>
      </c>
      <c r="H8330" s="26" t="str">
        <f t="shared" si="1"/>
        <v/>
      </c>
      <c r="I8330" s="26" t="str">
        <f t="shared" si="2"/>
        <v/>
      </c>
      <c r="J8330" s="86">
        <f t="shared" si="3"/>
        <v>0</v>
      </c>
      <c r="R8330" s="26"/>
    </row>
    <row r="8331" spans="1:18" ht="15.75" customHeight="1">
      <c r="A8331" s="26"/>
      <c r="B8331" s="86"/>
      <c r="D8331" s="26"/>
      <c r="F8331" s="87" t="str">
        <f t="shared" si="0"/>
        <v/>
      </c>
      <c r="H8331" s="26" t="str">
        <f t="shared" si="1"/>
        <v/>
      </c>
      <c r="I8331" s="26" t="str">
        <f t="shared" si="2"/>
        <v/>
      </c>
      <c r="J8331" s="86">
        <f t="shared" si="3"/>
        <v>0</v>
      </c>
      <c r="R8331" s="26"/>
    </row>
    <row r="8332" spans="1:18" ht="15.75" customHeight="1">
      <c r="A8332" s="26"/>
      <c r="B8332" s="86"/>
      <c r="D8332" s="26"/>
      <c r="F8332" s="87" t="str">
        <f t="shared" si="0"/>
        <v/>
      </c>
      <c r="H8332" s="26" t="str">
        <f t="shared" si="1"/>
        <v/>
      </c>
      <c r="I8332" s="26" t="str">
        <f t="shared" si="2"/>
        <v/>
      </c>
      <c r="J8332" s="86">
        <f t="shared" si="3"/>
        <v>0</v>
      </c>
      <c r="R8332" s="26"/>
    </row>
    <row r="8333" spans="1:18" ht="15.75" customHeight="1">
      <c r="A8333" s="26"/>
      <c r="B8333" s="86"/>
      <c r="D8333" s="26"/>
      <c r="F8333" s="87" t="str">
        <f t="shared" si="0"/>
        <v/>
      </c>
      <c r="H8333" s="26" t="str">
        <f t="shared" si="1"/>
        <v/>
      </c>
      <c r="I8333" s="26" t="str">
        <f t="shared" si="2"/>
        <v/>
      </c>
      <c r="J8333" s="86">
        <f t="shared" si="3"/>
        <v>0</v>
      </c>
      <c r="R8333" s="26"/>
    </row>
    <row r="8334" spans="1:18" ht="15.75" customHeight="1">
      <c r="A8334" s="26"/>
      <c r="B8334" s="86"/>
      <c r="D8334" s="26"/>
      <c r="F8334" s="87" t="str">
        <f t="shared" si="0"/>
        <v/>
      </c>
      <c r="H8334" s="26" t="str">
        <f t="shared" si="1"/>
        <v/>
      </c>
      <c r="I8334" s="26" t="str">
        <f t="shared" si="2"/>
        <v/>
      </c>
      <c r="J8334" s="86">
        <f t="shared" si="3"/>
        <v>0</v>
      </c>
      <c r="R8334" s="26"/>
    </row>
    <row r="8335" spans="1:18" ht="15.75" customHeight="1">
      <c r="A8335" s="26"/>
      <c r="B8335" s="86"/>
      <c r="D8335" s="26"/>
      <c r="F8335" s="87" t="str">
        <f t="shared" si="0"/>
        <v/>
      </c>
      <c r="H8335" s="26" t="str">
        <f t="shared" si="1"/>
        <v/>
      </c>
      <c r="I8335" s="26" t="str">
        <f t="shared" si="2"/>
        <v/>
      </c>
      <c r="J8335" s="86">
        <f t="shared" si="3"/>
        <v>0</v>
      </c>
      <c r="R8335" s="26"/>
    </row>
    <row r="8336" spans="1:18" ht="15.75" customHeight="1">
      <c r="A8336" s="26"/>
      <c r="B8336" s="86"/>
      <c r="D8336" s="26"/>
      <c r="F8336" s="87" t="str">
        <f t="shared" si="0"/>
        <v/>
      </c>
      <c r="H8336" s="26" t="str">
        <f t="shared" si="1"/>
        <v/>
      </c>
      <c r="I8336" s="26" t="str">
        <f t="shared" si="2"/>
        <v/>
      </c>
      <c r="J8336" s="86">
        <f t="shared" si="3"/>
        <v>0</v>
      </c>
      <c r="R8336" s="26"/>
    </row>
    <row r="8337" spans="1:18" ht="15.75" customHeight="1">
      <c r="A8337" s="26"/>
      <c r="B8337" s="86"/>
      <c r="D8337" s="26"/>
      <c r="F8337" s="87" t="str">
        <f t="shared" si="0"/>
        <v/>
      </c>
      <c r="H8337" s="26" t="str">
        <f t="shared" si="1"/>
        <v/>
      </c>
      <c r="I8337" s="26" t="str">
        <f t="shared" si="2"/>
        <v/>
      </c>
      <c r="J8337" s="86">
        <f t="shared" si="3"/>
        <v>0</v>
      </c>
      <c r="R8337" s="26"/>
    </row>
    <row r="8338" spans="1:18" ht="15.75" customHeight="1">
      <c r="A8338" s="26"/>
      <c r="B8338" s="86"/>
      <c r="D8338" s="26"/>
      <c r="F8338" s="87" t="str">
        <f t="shared" si="0"/>
        <v/>
      </c>
      <c r="H8338" s="26" t="str">
        <f t="shared" si="1"/>
        <v/>
      </c>
      <c r="I8338" s="26" t="str">
        <f t="shared" si="2"/>
        <v/>
      </c>
      <c r="J8338" s="86">
        <f t="shared" si="3"/>
        <v>0</v>
      </c>
      <c r="R8338" s="26"/>
    </row>
    <row r="8339" spans="1:18" ht="15.75" customHeight="1">
      <c r="A8339" s="26"/>
      <c r="B8339" s="86"/>
      <c r="D8339" s="26"/>
      <c r="F8339" s="87" t="str">
        <f t="shared" si="0"/>
        <v/>
      </c>
      <c r="H8339" s="26" t="str">
        <f t="shared" si="1"/>
        <v/>
      </c>
      <c r="I8339" s="26" t="str">
        <f t="shared" si="2"/>
        <v/>
      </c>
      <c r="J8339" s="86">
        <f t="shared" si="3"/>
        <v>0</v>
      </c>
      <c r="R8339" s="26"/>
    </row>
    <row r="8340" spans="1:18" ht="15.75" customHeight="1">
      <c r="A8340" s="26"/>
      <c r="B8340" s="86"/>
      <c r="D8340" s="26"/>
      <c r="F8340" s="87" t="str">
        <f t="shared" si="0"/>
        <v/>
      </c>
      <c r="H8340" s="26" t="str">
        <f t="shared" si="1"/>
        <v/>
      </c>
      <c r="I8340" s="26" t="str">
        <f t="shared" si="2"/>
        <v/>
      </c>
      <c r="J8340" s="86">
        <f t="shared" si="3"/>
        <v>0</v>
      </c>
      <c r="R8340" s="26"/>
    </row>
    <row r="8341" spans="1:18" ht="15.75" customHeight="1">
      <c r="A8341" s="26"/>
      <c r="B8341" s="86"/>
      <c r="D8341" s="26"/>
      <c r="F8341" s="87" t="str">
        <f t="shared" si="0"/>
        <v/>
      </c>
      <c r="H8341" s="26" t="str">
        <f t="shared" si="1"/>
        <v/>
      </c>
      <c r="I8341" s="26" t="str">
        <f t="shared" si="2"/>
        <v/>
      </c>
      <c r="J8341" s="86">
        <f t="shared" si="3"/>
        <v>0</v>
      </c>
      <c r="R8341" s="26"/>
    </row>
    <row r="8342" spans="1:18" ht="15.75" customHeight="1">
      <c r="A8342" s="26"/>
      <c r="B8342" s="86"/>
      <c r="D8342" s="26"/>
      <c r="F8342" s="87" t="str">
        <f t="shared" si="0"/>
        <v/>
      </c>
      <c r="H8342" s="26" t="str">
        <f t="shared" si="1"/>
        <v/>
      </c>
      <c r="I8342" s="26" t="str">
        <f t="shared" si="2"/>
        <v/>
      </c>
      <c r="J8342" s="86">
        <f t="shared" si="3"/>
        <v>0</v>
      </c>
      <c r="R8342" s="26"/>
    </row>
    <row r="8343" spans="1:18" ht="15.75" customHeight="1">
      <c r="A8343" s="26"/>
      <c r="B8343" s="86"/>
      <c r="D8343" s="26"/>
      <c r="F8343" s="87" t="str">
        <f t="shared" si="0"/>
        <v/>
      </c>
      <c r="H8343" s="26" t="str">
        <f t="shared" si="1"/>
        <v/>
      </c>
      <c r="I8343" s="26" t="str">
        <f t="shared" si="2"/>
        <v/>
      </c>
      <c r="J8343" s="86">
        <f t="shared" si="3"/>
        <v>0</v>
      </c>
      <c r="R8343" s="26"/>
    </row>
    <row r="8344" spans="1:18" ht="15.75" customHeight="1">
      <c r="A8344" s="26"/>
      <c r="B8344" s="86"/>
      <c r="D8344" s="26"/>
      <c r="F8344" s="87" t="str">
        <f t="shared" si="0"/>
        <v/>
      </c>
      <c r="H8344" s="26" t="str">
        <f t="shared" si="1"/>
        <v/>
      </c>
      <c r="I8344" s="26" t="str">
        <f t="shared" si="2"/>
        <v/>
      </c>
      <c r="J8344" s="86">
        <f t="shared" si="3"/>
        <v>0</v>
      </c>
      <c r="R8344" s="26"/>
    </row>
    <row r="8345" spans="1:18" ht="15.75" customHeight="1">
      <c r="A8345" s="26"/>
      <c r="B8345" s="86"/>
      <c r="D8345" s="26"/>
      <c r="F8345" s="87" t="str">
        <f t="shared" si="0"/>
        <v/>
      </c>
      <c r="H8345" s="26" t="str">
        <f t="shared" si="1"/>
        <v/>
      </c>
      <c r="I8345" s="26" t="str">
        <f t="shared" si="2"/>
        <v/>
      </c>
      <c r="J8345" s="86">
        <f t="shared" si="3"/>
        <v>0</v>
      </c>
      <c r="R8345" s="26"/>
    </row>
    <row r="8346" spans="1:18" ht="15.75" customHeight="1">
      <c r="A8346" s="26"/>
      <c r="B8346" s="86"/>
      <c r="D8346" s="26"/>
      <c r="F8346" s="87" t="str">
        <f t="shared" si="0"/>
        <v/>
      </c>
      <c r="H8346" s="26" t="str">
        <f t="shared" si="1"/>
        <v/>
      </c>
      <c r="I8346" s="26" t="str">
        <f t="shared" si="2"/>
        <v/>
      </c>
      <c r="J8346" s="86">
        <f t="shared" si="3"/>
        <v>0</v>
      </c>
      <c r="R8346" s="26"/>
    </row>
    <row r="8347" spans="1:18" ht="15.75" customHeight="1">
      <c r="A8347" s="26"/>
      <c r="B8347" s="86"/>
      <c r="D8347" s="26"/>
      <c r="F8347" s="87" t="str">
        <f t="shared" si="0"/>
        <v/>
      </c>
      <c r="H8347" s="26" t="str">
        <f t="shared" si="1"/>
        <v/>
      </c>
      <c r="I8347" s="26" t="str">
        <f t="shared" si="2"/>
        <v/>
      </c>
      <c r="J8347" s="86">
        <f t="shared" si="3"/>
        <v>0</v>
      </c>
      <c r="R8347" s="26"/>
    </row>
    <row r="8348" spans="1:18" ht="15.75" customHeight="1">
      <c r="A8348" s="26"/>
      <c r="B8348" s="86"/>
      <c r="D8348" s="26"/>
      <c r="F8348" s="87" t="str">
        <f t="shared" si="0"/>
        <v/>
      </c>
      <c r="H8348" s="26" t="str">
        <f t="shared" si="1"/>
        <v/>
      </c>
      <c r="I8348" s="26" t="str">
        <f t="shared" si="2"/>
        <v/>
      </c>
      <c r="J8348" s="86">
        <f t="shared" si="3"/>
        <v>0</v>
      </c>
      <c r="R8348" s="26"/>
    </row>
    <row r="8349" spans="1:18" ht="15.75" customHeight="1">
      <c r="A8349" s="26"/>
      <c r="B8349" s="86"/>
      <c r="D8349" s="26"/>
      <c r="F8349" s="87" t="str">
        <f t="shared" si="0"/>
        <v/>
      </c>
      <c r="H8349" s="26" t="str">
        <f t="shared" si="1"/>
        <v/>
      </c>
      <c r="I8349" s="26" t="str">
        <f t="shared" si="2"/>
        <v/>
      </c>
      <c r="J8349" s="86">
        <f t="shared" si="3"/>
        <v>0</v>
      </c>
      <c r="R8349" s="26"/>
    </row>
    <row r="8350" spans="1:18" ht="15.75" customHeight="1">
      <c r="A8350" s="26"/>
      <c r="B8350" s="86"/>
      <c r="D8350" s="26"/>
      <c r="F8350" s="87" t="str">
        <f t="shared" si="0"/>
        <v/>
      </c>
      <c r="H8350" s="26" t="str">
        <f t="shared" si="1"/>
        <v/>
      </c>
      <c r="I8350" s="26" t="str">
        <f t="shared" si="2"/>
        <v/>
      </c>
      <c r="J8350" s="86">
        <f t="shared" si="3"/>
        <v>0</v>
      </c>
      <c r="R8350" s="26"/>
    </row>
    <row r="8351" spans="1:18" ht="15.75" customHeight="1">
      <c r="A8351" s="26"/>
      <c r="B8351" s="86"/>
      <c r="D8351" s="26"/>
      <c r="F8351" s="87" t="str">
        <f t="shared" si="0"/>
        <v/>
      </c>
      <c r="H8351" s="26" t="str">
        <f t="shared" si="1"/>
        <v/>
      </c>
      <c r="I8351" s="26" t="str">
        <f t="shared" si="2"/>
        <v/>
      </c>
      <c r="J8351" s="86">
        <f t="shared" si="3"/>
        <v>0</v>
      </c>
      <c r="R8351" s="26"/>
    </row>
    <row r="8352" spans="1:18" ht="15.75" customHeight="1">
      <c r="A8352" s="26"/>
      <c r="B8352" s="86"/>
      <c r="D8352" s="26"/>
      <c r="F8352" s="87" t="str">
        <f t="shared" si="0"/>
        <v/>
      </c>
      <c r="H8352" s="26" t="str">
        <f t="shared" si="1"/>
        <v/>
      </c>
      <c r="I8352" s="26" t="str">
        <f t="shared" si="2"/>
        <v/>
      </c>
      <c r="J8352" s="86">
        <f t="shared" si="3"/>
        <v>0</v>
      </c>
      <c r="R8352" s="26"/>
    </row>
    <row r="8353" spans="1:18" ht="15.75" customHeight="1">
      <c r="A8353" s="26"/>
      <c r="B8353" s="86"/>
      <c r="D8353" s="26"/>
      <c r="F8353" s="87" t="str">
        <f t="shared" si="0"/>
        <v/>
      </c>
      <c r="H8353" s="26" t="str">
        <f t="shared" si="1"/>
        <v/>
      </c>
      <c r="I8353" s="26" t="str">
        <f t="shared" si="2"/>
        <v/>
      </c>
      <c r="J8353" s="86">
        <f t="shared" si="3"/>
        <v>0</v>
      </c>
      <c r="R8353" s="26"/>
    </row>
    <row r="8354" spans="1:18" ht="15.75" customHeight="1">
      <c r="A8354" s="26"/>
      <c r="B8354" s="86"/>
      <c r="D8354" s="26"/>
      <c r="F8354" s="87" t="str">
        <f t="shared" si="0"/>
        <v/>
      </c>
      <c r="H8354" s="26" t="str">
        <f t="shared" si="1"/>
        <v/>
      </c>
      <c r="I8354" s="26" t="str">
        <f t="shared" si="2"/>
        <v/>
      </c>
      <c r="J8354" s="86">
        <f t="shared" si="3"/>
        <v>0</v>
      </c>
      <c r="R8354" s="26"/>
    </row>
    <row r="8355" spans="1:18" ht="15.75" customHeight="1">
      <c r="A8355" s="26"/>
      <c r="B8355" s="86"/>
      <c r="D8355" s="26"/>
      <c r="F8355" s="87" t="str">
        <f t="shared" si="0"/>
        <v/>
      </c>
      <c r="H8355" s="26" t="str">
        <f t="shared" si="1"/>
        <v/>
      </c>
      <c r="I8355" s="26" t="str">
        <f t="shared" si="2"/>
        <v/>
      </c>
      <c r="J8355" s="86">
        <f t="shared" si="3"/>
        <v>0</v>
      </c>
      <c r="R8355" s="26"/>
    </row>
    <row r="8356" spans="1:18" ht="15.75" customHeight="1">
      <c r="A8356" s="26"/>
      <c r="B8356" s="86"/>
      <c r="D8356" s="26"/>
      <c r="F8356" s="87" t="str">
        <f t="shared" si="0"/>
        <v/>
      </c>
      <c r="H8356" s="26" t="str">
        <f t="shared" si="1"/>
        <v/>
      </c>
      <c r="I8356" s="26" t="str">
        <f t="shared" si="2"/>
        <v/>
      </c>
      <c r="J8356" s="86">
        <f t="shared" si="3"/>
        <v>0</v>
      </c>
      <c r="R8356" s="26"/>
    </row>
    <row r="8357" spans="1:18" ht="15.75" customHeight="1">
      <c r="A8357" s="26"/>
      <c r="B8357" s="86"/>
      <c r="D8357" s="26"/>
      <c r="F8357" s="87" t="str">
        <f t="shared" si="0"/>
        <v/>
      </c>
      <c r="H8357" s="26" t="str">
        <f t="shared" si="1"/>
        <v/>
      </c>
      <c r="I8357" s="26" t="str">
        <f t="shared" si="2"/>
        <v/>
      </c>
      <c r="J8357" s="86">
        <f t="shared" si="3"/>
        <v>0</v>
      </c>
      <c r="R8357" s="26"/>
    </row>
    <row r="8358" spans="1:18" ht="15.75" customHeight="1">
      <c r="A8358" s="26"/>
      <c r="B8358" s="86"/>
      <c r="D8358" s="26"/>
      <c r="F8358" s="87" t="str">
        <f t="shared" si="0"/>
        <v/>
      </c>
      <c r="H8358" s="26" t="str">
        <f t="shared" si="1"/>
        <v/>
      </c>
      <c r="I8358" s="26" t="str">
        <f t="shared" si="2"/>
        <v/>
      </c>
      <c r="J8358" s="86">
        <f t="shared" si="3"/>
        <v>0</v>
      </c>
      <c r="R8358" s="26"/>
    </row>
    <row r="8359" spans="1:18" ht="15.75" customHeight="1">
      <c r="A8359" s="26"/>
      <c r="B8359" s="86"/>
      <c r="D8359" s="26"/>
      <c r="F8359" s="87" t="str">
        <f t="shared" si="0"/>
        <v/>
      </c>
      <c r="H8359" s="26" t="str">
        <f t="shared" si="1"/>
        <v/>
      </c>
      <c r="I8359" s="26" t="str">
        <f t="shared" si="2"/>
        <v/>
      </c>
      <c r="J8359" s="86">
        <f t="shared" si="3"/>
        <v>0</v>
      </c>
      <c r="R8359" s="26"/>
    </row>
    <row r="8360" spans="1:18" ht="15.75" customHeight="1">
      <c r="A8360" s="26"/>
      <c r="B8360" s="86"/>
      <c r="D8360" s="26"/>
      <c r="F8360" s="87" t="str">
        <f t="shared" si="0"/>
        <v/>
      </c>
      <c r="H8360" s="26" t="str">
        <f t="shared" si="1"/>
        <v/>
      </c>
      <c r="I8360" s="26" t="str">
        <f t="shared" si="2"/>
        <v/>
      </c>
      <c r="J8360" s="86">
        <f t="shared" si="3"/>
        <v>0</v>
      </c>
      <c r="R8360" s="26"/>
    </row>
    <row r="8361" spans="1:18" ht="15.75" customHeight="1">
      <c r="A8361" s="26"/>
      <c r="B8361" s="86"/>
      <c r="D8361" s="26"/>
      <c r="F8361" s="87" t="str">
        <f t="shared" si="0"/>
        <v/>
      </c>
      <c r="H8361" s="26" t="str">
        <f t="shared" si="1"/>
        <v/>
      </c>
      <c r="I8361" s="26" t="str">
        <f t="shared" si="2"/>
        <v/>
      </c>
      <c r="J8361" s="86">
        <f t="shared" si="3"/>
        <v>0</v>
      </c>
      <c r="R8361" s="26"/>
    </row>
    <row r="8362" spans="1:18" ht="15.75" customHeight="1">
      <c r="A8362" s="26"/>
      <c r="B8362" s="86"/>
      <c r="D8362" s="26"/>
      <c r="F8362" s="87" t="str">
        <f t="shared" si="0"/>
        <v/>
      </c>
      <c r="H8362" s="26" t="str">
        <f t="shared" si="1"/>
        <v/>
      </c>
      <c r="I8362" s="26" t="str">
        <f t="shared" si="2"/>
        <v/>
      </c>
      <c r="J8362" s="86">
        <f t="shared" si="3"/>
        <v>0</v>
      </c>
      <c r="R8362" s="26"/>
    </row>
    <row r="8363" spans="1:18" ht="15.75" customHeight="1">
      <c r="A8363" s="26"/>
      <c r="B8363" s="86"/>
      <c r="D8363" s="26"/>
      <c r="F8363" s="87" t="str">
        <f t="shared" si="0"/>
        <v/>
      </c>
      <c r="H8363" s="26" t="str">
        <f t="shared" si="1"/>
        <v/>
      </c>
      <c r="I8363" s="26" t="str">
        <f t="shared" si="2"/>
        <v/>
      </c>
      <c r="J8363" s="86">
        <f t="shared" si="3"/>
        <v>0</v>
      </c>
      <c r="R8363" s="26"/>
    </row>
    <row r="8364" spans="1:18" ht="15.75" customHeight="1">
      <c r="A8364" s="26"/>
      <c r="B8364" s="86"/>
      <c r="D8364" s="26"/>
      <c r="F8364" s="87" t="str">
        <f t="shared" si="0"/>
        <v/>
      </c>
      <c r="H8364" s="26" t="str">
        <f t="shared" si="1"/>
        <v/>
      </c>
      <c r="I8364" s="26" t="str">
        <f t="shared" si="2"/>
        <v/>
      </c>
      <c r="J8364" s="86">
        <f t="shared" si="3"/>
        <v>0</v>
      </c>
      <c r="R8364" s="26"/>
    </row>
    <row r="8365" spans="1:18" ht="15.75" customHeight="1">
      <c r="A8365" s="26"/>
      <c r="B8365" s="86"/>
      <c r="D8365" s="26"/>
      <c r="F8365" s="87" t="str">
        <f t="shared" si="0"/>
        <v/>
      </c>
      <c r="H8365" s="26" t="str">
        <f t="shared" si="1"/>
        <v/>
      </c>
      <c r="I8365" s="26" t="str">
        <f t="shared" si="2"/>
        <v/>
      </c>
      <c r="J8365" s="86">
        <f t="shared" si="3"/>
        <v>0</v>
      </c>
      <c r="R8365" s="26"/>
    </row>
    <row r="8366" spans="1:18" ht="15.75" customHeight="1">
      <c r="A8366" s="26"/>
      <c r="B8366" s="86"/>
      <c r="D8366" s="26"/>
      <c r="F8366" s="87" t="str">
        <f t="shared" si="0"/>
        <v/>
      </c>
      <c r="H8366" s="26" t="str">
        <f t="shared" si="1"/>
        <v/>
      </c>
      <c r="I8366" s="26" t="str">
        <f t="shared" si="2"/>
        <v/>
      </c>
      <c r="J8366" s="86">
        <f t="shared" si="3"/>
        <v>0</v>
      </c>
      <c r="R8366" s="26"/>
    </row>
    <row r="8367" spans="1:18" ht="15.75" customHeight="1">
      <c r="A8367" s="26"/>
      <c r="B8367" s="86"/>
      <c r="D8367" s="26"/>
      <c r="F8367" s="87" t="str">
        <f t="shared" si="0"/>
        <v/>
      </c>
      <c r="H8367" s="26" t="str">
        <f t="shared" si="1"/>
        <v/>
      </c>
      <c r="I8367" s="26" t="str">
        <f t="shared" si="2"/>
        <v/>
      </c>
      <c r="J8367" s="86">
        <f t="shared" si="3"/>
        <v>0</v>
      </c>
      <c r="R8367" s="26"/>
    </row>
    <row r="8368" spans="1:18" ht="15.75" customHeight="1">
      <c r="A8368" s="26"/>
      <c r="B8368" s="86"/>
      <c r="D8368" s="26"/>
      <c r="F8368" s="87" t="str">
        <f t="shared" si="0"/>
        <v/>
      </c>
      <c r="H8368" s="26" t="str">
        <f t="shared" si="1"/>
        <v/>
      </c>
      <c r="I8368" s="26" t="str">
        <f t="shared" si="2"/>
        <v/>
      </c>
      <c r="J8368" s="86">
        <f t="shared" si="3"/>
        <v>0</v>
      </c>
      <c r="R8368" s="26"/>
    </row>
    <row r="8369" spans="1:18" ht="15.75" customHeight="1">
      <c r="A8369" s="26"/>
      <c r="B8369" s="86"/>
      <c r="D8369" s="26"/>
      <c r="F8369" s="87" t="str">
        <f t="shared" si="0"/>
        <v/>
      </c>
      <c r="H8369" s="26" t="str">
        <f t="shared" si="1"/>
        <v/>
      </c>
      <c r="I8369" s="26" t="str">
        <f t="shared" si="2"/>
        <v/>
      </c>
      <c r="J8369" s="86">
        <f t="shared" si="3"/>
        <v>0</v>
      </c>
      <c r="R8369" s="26"/>
    </row>
    <row r="8370" spans="1:18" ht="15.75" customHeight="1">
      <c r="A8370" s="26"/>
      <c r="B8370" s="86"/>
      <c r="D8370" s="26"/>
      <c r="F8370" s="87" t="str">
        <f t="shared" si="0"/>
        <v/>
      </c>
      <c r="H8370" s="26" t="str">
        <f t="shared" si="1"/>
        <v/>
      </c>
      <c r="I8370" s="26" t="str">
        <f t="shared" si="2"/>
        <v/>
      </c>
      <c r="J8370" s="86">
        <f t="shared" si="3"/>
        <v>0</v>
      </c>
      <c r="R8370" s="26"/>
    </row>
    <row r="8371" spans="1:18" ht="15.75" customHeight="1">
      <c r="A8371" s="26"/>
      <c r="B8371" s="86"/>
      <c r="D8371" s="26"/>
      <c r="F8371" s="87" t="str">
        <f t="shared" si="0"/>
        <v/>
      </c>
      <c r="H8371" s="26" t="str">
        <f t="shared" si="1"/>
        <v/>
      </c>
      <c r="I8371" s="26" t="str">
        <f t="shared" si="2"/>
        <v/>
      </c>
      <c r="J8371" s="86">
        <f t="shared" si="3"/>
        <v>0</v>
      </c>
      <c r="R8371" s="26"/>
    </row>
    <row r="8372" spans="1:18" ht="15.75" customHeight="1">
      <c r="A8372" s="26"/>
      <c r="B8372" s="86"/>
      <c r="D8372" s="26"/>
      <c r="F8372" s="87" t="str">
        <f t="shared" si="0"/>
        <v/>
      </c>
      <c r="H8372" s="26" t="str">
        <f t="shared" si="1"/>
        <v/>
      </c>
      <c r="I8372" s="26" t="str">
        <f t="shared" si="2"/>
        <v/>
      </c>
      <c r="J8372" s="86">
        <f t="shared" si="3"/>
        <v>0</v>
      </c>
      <c r="R8372" s="26"/>
    </row>
    <row r="8373" spans="1:18" ht="15.75" customHeight="1">
      <c r="A8373" s="26"/>
      <c r="B8373" s="86"/>
      <c r="D8373" s="26"/>
      <c r="F8373" s="87" t="str">
        <f t="shared" si="0"/>
        <v/>
      </c>
      <c r="H8373" s="26" t="str">
        <f t="shared" si="1"/>
        <v/>
      </c>
      <c r="I8373" s="26" t="str">
        <f t="shared" si="2"/>
        <v/>
      </c>
      <c r="J8373" s="86">
        <f t="shared" si="3"/>
        <v>0</v>
      </c>
      <c r="R8373" s="26"/>
    </row>
    <row r="8374" spans="1:18" ht="15.75" customHeight="1">
      <c r="A8374" s="26"/>
      <c r="B8374" s="86"/>
      <c r="D8374" s="26"/>
      <c r="F8374" s="87" t="str">
        <f t="shared" si="0"/>
        <v/>
      </c>
      <c r="H8374" s="26" t="str">
        <f t="shared" si="1"/>
        <v/>
      </c>
      <c r="I8374" s="26" t="str">
        <f t="shared" si="2"/>
        <v/>
      </c>
      <c r="J8374" s="86">
        <f t="shared" si="3"/>
        <v>0</v>
      </c>
      <c r="R8374" s="26"/>
    </row>
    <row r="8375" spans="1:18" ht="15.75" customHeight="1">
      <c r="A8375" s="26"/>
      <c r="B8375" s="86"/>
      <c r="D8375" s="26"/>
      <c r="F8375" s="87" t="str">
        <f t="shared" si="0"/>
        <v/>
      </c>
      <c r="H8375" s="26" t="str">
        <f t="shared" si="1"/>
        <v/>
      </c>
      <c r="I8375" s="26" t="str">
        <f t="shared" si="2"/>
        <v/>
      </c>
      <c r="J8375" s="86">
        <f t="shared" si="3"/>
        <v>0</v>
      </c>
      <c r="R8375" s="26"/>
    </row>
    <row r="8376" spans="1:18" ht="15.75" customHeight="1">
      <c r="A8376" s="26"/>
      <c r="B8376" s="86"/>
      <c r="D8376" s="26"/>
      <c r="F8376" s="87" t="str">
        <f t="shared" si="0"/>
        <v/>
      </c>
      <c r="H8376" s="26" t="str">
        <f t="shared" si="1"/>
        <v/>
      </c>
      <c r="I8376" s="26" t="str">
        <f t="shared" si="2"/>
        <v/>
      </c>
      <c r="J8376" s="86">
        <f t="shared" si="3"/>
        <v>0</v>
      </c>
      <c r="R8376" s="26"/>
    </row>
    <row r="8377" spans="1:18" ht="15.75" customHeight="1">
      <c r="A8377" s="26"/>
      <c r="B8377" s="86"/>
      <c r="D8377" s="26"/>
      <c r="F8377" s="87" t="str">
        <f t="shared" si="0"/>
        <v/>
      </c>
      <c r="H8377" s="26" t="str">
        <f t="shared" si="1"/>
        <v/>
      </c>
      <c r="I8377" s="26" t="str">
        <f t="shared" si="2"/>
        <v/>
      </c>
      <c r="J8377" s="86">
        <f t="shared" si="3"/>
        <v>0</v>
      </c>
      <c r="R8377" s="26"/>
    </row>
    <row r="8378" spans="1:18" ht="15.75" customHeight="1">
      <c r="A8378" s="26"/>
      <c r="B8378" s="86"/>
      <c r="D8378" s="26"/>
      <c r="F8378" s="87" t="str">
        <f t="shared" si="0"/>
        <v/>
      </c>
      <c r="H8378" s="26" t="str">
        <f t="shared" si="1"/>
        <v/>
      </c>
      <c r="I8378" s="26" t="str">
        <f t="shared" si="2"/>
        <v/>
      </c>
      <c r="J8378" s="86">
        <f t="shared" si="3"/>
        <v>0</v>
      </c>
      <c r="R8378" s="26"/>
    </row>
    <row r="8379" spans="1:18" ht="15.75" customHeight="1">
      <c r="A8379" s="26"/>
      <c r="B8379" s="86"/>
      <c r="D8379" s="26"/>
      <c r="F8379" s="87" t="str">
        <f t="shared" si="0"/>
        <v/>
      </c>
      <c r="H8379" s="26" t="str">
        <f t="shared" si="1"/>
        <v/>
      </c>
      <c r="I8379" s="26" t="str">
        <f t="shared" si="2"/>
        <v/>
      </c>
      <c r="J8379" s="86">
        <f t="shared" si="3"/>
        <v>0</v>
      </c>
      <c r="R8379" s="26"/>
    </row>
    <row r="8380" spans="1:18" ht="15.75" customHeight="1">
      <c r="A8380" s="26"/>
      <c r="B8380" s="86"/>
      <c r="D8380" s="26"/>
      <c r="F8380" s="87" t="str">
        <f t="shared" si="0"/>
        <v/>
      </c>
      <c r="H8380" s="26" t="str">
        <f t="shared" si="1"/>
        <v/>
      </c>
      <c r="I8380" s="26" t="str">
        <f t="shared" si="2"/>
        <v/>
      </c>
      <c r="J8380" s="86">
        <f t="shared" si="3"/>
        <v>0</v>
      </c>
      <c r="R8380" s="26"/>
    </row>
    <row r="8381" spans="1:18" ht="15.75" customHeight="1">
      <c r="A8381" s="26"/>
      <c r="B8381" s="86"/>
      <c r="D8381" s="26"/>
      <c r="F8381" s="87" t="str">
        <f t="shared" si="0"/>
        <v/>
      </c>
      <c r="H8381" s="26" t="str">
        <f t="shared" si="1"/>
        <v/>
      </c>
      <c r="I8381" s="26" t="str">
        <f t="shared" si="2"/>
        <v/>
      </c>
      <c r="J8381" s="86">
        <f t="shared" si="3"/>
        <v>0</v>
      </c>
      <c r="R8381" s="26"/>
    </row>
    <row r="8382" spans="1:18" ht="15.75" customHeight="1">
      <c r="A8382" s="26"/>
      <c r="B8382" s="86"/>
      <c r="D8382" s="26"/>
      <c r="F8382" s="87" t="str">
        <f t="shared" si="0"/>
        <v/>
      </c>
      <c r="H8382" s="26" t="str">
        <f t="shared" si="1"/>
        <v/>
      </c>
      <c r="I8382" s="26" t="str">
        <f t="shared" si="2"/>
        <v/>
      </c>
      <c r="J8382" s="86">
        <f t="shared" si="3"/>
        <v>0</v>
      </c>
      <c r="R8382" s="26"/>
    </row>
    <row r="8383" spans="1:18" ht="15.75" customHeight="1">
      <c r="A8383" s="26"/>
      <c r="B8383" s="86"/>
      <c r="D8383" s="26"/>
      <c r="F8383" s="87" t="str">
        <f t="shared" si="0"/>
        <v/>
      </c>
      <c r="H8383" s="26" t="str">
        <f t="shared" si="1"/>
        <v/>
      </c>
      <c r="I8383" s="26" t="str">
        <f t="shared" si="2"/>
        <v/>
      </c>
      <c r="J8383" s="86">
        <f t="shared" si="3"/>
        <v>0</v>
      </c>
      <c r="R8383" s="26"/>
    </row>
    <row r="8384" spans="1:18" ht="15.75" customHeight="1">
      <c r="A8384" s="26"/>
      <c r="B8384" s="86"/>
      <c r="D8384" s="26"/>
      <c r="F8384" s="87" t="str">
        <f t="shared" si="0"/>
        <v/>
      </c>
      <c r="H8384" s="26" t="str">
        <f t="shared" si="1"/>
        <v/>
      </c>
      <c r="I8384" s="26" t="str">
        <f t="shared" si="2"/>
        <v/>
      </c>
      <c r="J8384" s="86">
        <f t="shared" si="3"/>
        <v>0</v>
      </c>
      <c r="R8384" s="26"/>
    </row>
    <row r="8385" spans="1:18" ht="15.75" customHeight="1">
      <c r="A8385" s="26"/>
      <c r="B8385" s="86"/>
      <c r="D8385" s="26"/>
      <c r="F8385" s="87" t="str">
        <f t="shared" si="0"/>
        <v/>
      </c>
      <c r="H8385" s="26" t="str">
        <f t="shared" si="1"/>
        <v/>
      </c>
      <c r="I8385" s="26" t="str">
        <f t="shared" si="2"/>
        <v/>
      </c>
      <c r="J8385" s="86">
        <f t="shared" si="3"/>
        <v>0</v>
      </c>
      <c r="R8385" s="26"/>
    </row>
    <row r="8386" spans="1:18" ht="15.75" customHeight="1">
      <c r="A8386" s="26"/>
      <c r="B8386" s="86"/>
      <c r="D8386" s="26"/>
      <c r="F8386" s="87" t="str">
        <f t="shared" si="0"/>
        <v/>
      </c>
      <c r="H8386" s="26" t="str">
        <f t="shared" si="1"/>
        <v/>
      </c>
      <c r="I8386" s="26" t="str">
        <f t="shared" si="2"/>
        <v/>
      </c>
      <c r="J8386" s="86">
        <f t="shared" si="3"/>
        <v>0</v>
      </c>
      <c r="R8386" s="26"/>
    </row>
    <row r="8387" spans="1:18" ht="15.75" customHeight="1">
      <c r="A8387" s="26"/>
      <c r="B8387" s="86"/>
      <c r="D8387" s="26"/>
      <c r="F8387" s="87" t="str">
        <f t="shared" si="0"/>
        <v/>
      </c>
      <c r="H8387" s="26" t="str">
        <f t="shared" si="1"/>
        <v/>
      </c>
      <c r="I8387" s="26" t="str">
        <f t="shared" si="2"/>
        <v/>
      </c>
      <c r="J8387" s="86">
        <f t="shared" si="3"/>
        <v>0</v>
      </c>
      <c r="R8387" s="26"/>
    </row>
    <row r="8388" spans="1:18" ht="15.75" customHeight="1">
      <c r="A8388" s="26"/>
      <c r="B8388" s="86"/>
      <c r="D8388" s="26"/>
      <c r="F8388" s="87" t="str">
        <f t="shared" si="0"/>
        <v/>
      </c>
      <c r="H8388" s="26" t="str">
        <f t="shared" si="1"/>
        <v/>
      </c>
      <c r="I8388" s="26" t="str">
        <f t="shared" si="2"/>
        <v/>
      </c>
      <c r="J8388" s="86">
        <f t="shared" si="3"/>
        <v>0</v>
      </c>
      <c r="R8388" s="26"/>
    </row>
    <row r="8389" spans="1:18" ht="15.75" customHeight="1">
      <c r="A8389" s="26"/>
      <c r="B8389" s="86"/>
      <c r="D8389" s="26"/>
      <c r="F8389" s="87" t="str">
        <f t="shared" si="0"/>
        <v/>
      </c>
      <c r="H8389" s="26" t="str">
        <f t="shared" si="1"/>
        <v/>
      </c>
      <c r="I8389" s="26" t="str">
        <f t="shared" si="2"/>
        <v/>
      </c>
      <c r="J8389" s="86">
        <f t="shared" si="3"/>
        <v>0</v>
      </c>
      <c r="R8389" s="26"/>
    </row>
    <row r="8390" spans="1:18" ht="15.75" customHeight="1">
      <c r="A8390" s="26"/>
      <c r="B8390" s="86"/>
      <c r="D8390" s="26"/>
      <c r="F8390" s="87" t="str">
        <f t="shared" si="0"/>
        <v/>
      </c>
      <c r="H8390" s="26" t="str">
        <f t="shared" si="1"/>
        <v/>
      </c>
      <c r="I8390" s="26" t="str">
        <f t="shared" si="2"/>
        <v/>
      </c>
      <c r="J8390" s="86">
        <f t="shared" si="3"/>
        <v>0</v>
      </c>
      <c r="R8390" s="26"/>
    </row>
    <row r="8391" spans="1:18" ht="15.75" customHeight="1">
      <c r="A8391" s="26"/>
      <c r="B8391" s="86"/>
      <c r="D8391" s="26"/>
      <c r="F8391" s="87" t="str">
        <f t="shared" si="0"/>
        <v/>
      </c>
      <c r="H8391" s="26" t="str">
        <f t="shared" si="1"/>
        <v/>
      </c>
      <c r="I8391" s="26" t="str">
        <f t="shared" si="2"/>
        <v/>
      </c>
      <c r="J8391" s="86">
        <f t="shared" si="3"/>
        <v>0</v>
      </c>
      <c r="R8391" s="26"/>
    </row>
    <row r="8392" spans="1:18" ht="15.75" customHeight="1">
      <c r="A8392" s="26"/>
      <c r="B8392" s="86"/>
      <c r="D8392" s="26"/>
      <c r="F8392" s="87" t="str">
        <f t="shared" si="0"/>
        <v/>
      </c>
      <c r="H8392" s="26" t="str">
        <f t="shared" si="1"/>
        <v/>
      </c>
      <c r="I8392" s="26" t="str">
        <f t="shared" si="2"/>
        <v/>
      </c>
      <c r="J8392" s="86">
        <f t="shared" si="3"/>
        <v>0</v>
      </c>
      <c r="R8392" s="26"/>
    </row>
    <row r="8393" spans="1:18" ht="15.75" customHeight="1">
      <c r="A8393" s="26"/>
      <c r="B8393" s="86"/>
      <c r="D8393" s="26"/>
      <c r="F8393" s="87" t="str">
        <f t="shared" si="0"/>
        <v/>
      </c>
      <c r="H8393" s="26" t="str">
        <f t="shared" si="1"/>
        <v/>
      </c>
      <c r="I8393" s="26" t="str">
        <f t="shared" si="2"/>
        <v/>
      </c>
      <c r="J8393" s="86">
        <f t="shared" si="3"/>
        <v>0</v>
      </c>
      <c r="R8393" s="26"/>
    </row>
    <row r="8394" spans="1:18" ht="15.75" customHeight="1">
      <c r="A8394" s="26"/>
      <c r="B8394" s="86"/>
      <c r="D8394" s="26"/>
      <c r="F8394" s="87" t="str">
        <f t="shared" si="0"/>
        <v/>
      </c>
      <c r="H8394" s="26" t="str">
        <f t="shared" si="1"/>
        <v/>
      </c>
      <c r="I8394" s="26" t="str">
        <f t="shared" si="2"/>
        <v/>
      </c>
      <c r="J8394" s="86">
        <f t="shared" si="3"/>
        <v>0</v>
      </c>
      <c r="R8394" s="26"/>
    </row>
    <row r="8395" spans="1:18" ht="15.75" customHeight="1">
      <c r="A8395" s="26"/>
      <c r="B8395" s="86"/>
      <c r="D8395" s="26"/>
      <c r="F8395" s="87" t="str">
        <f t="shared" si="0"/>
        <v/>
      </c>
      <c r="H8395" s="26" t="str">
        <f t="shared" si="1"/>
        <v/>
      </c>
      <c r="I8395" s="26" t="str">
        <f t="shared" si="2"/>
        <v/>
      </c>
      <c r="J8395" s="86">
        <f t="shared" si="3"/>
        <v>0</v>
      </c>
      <c r="R8395" s="26"/>
    </row>
    <row r="8396" spans="1:18" ht="15.75" customHeight="1">
      <c r="A8396" s="26"/>
      <c r="B8396" s="86"/>
      <c r="D8396" s="26"/>
      <c r="F8396" s="87" t="str">
        <f t="shared" si="0"/>
        <v/>
      </c>
      <c r="H8396" s="26" t="str">
        <f t="shared" si="1"/>
        <v/>
      </c>
      <c r="I8396" s="26" t="str">
        <f t="shared" si="2"/>
        <v/>
      </c>
      <c r="J8396" s="86">
        <f t="shared" si="3"/>
        <v>0</v>
      </c>
      <c r="R8396" s="26"/>
    </row>
    <row r="8397" spans="1:18" ht="15.75" customHeight="1">
      <c r="A8397" s="26"/>
      <c r="B8397" s="86"/>
      <c r="D8397" s="26"/>
      <c r="F8397" s="87" t="str">
        <f t="shared" si="0"/>
        <v/>
      </c>
      <c r="H8397" s="26" t="str">
        <f t="shared" si="1"/>
        <v/>
      </c>
      <c r="I8397" s="26" t="str">
        <f t="shared" si="2"/>
        <v/>
      </c>
      <c r="J8397" s="86">
        <f t="shared" si="3"/>
        <v>0</v>
      </c>
      <c r="R8397" s="26"/>
    </row>
    <row r="8398" spans="1:18" ht="15.75" customHeight="1">
      <c r="A8398" s="26"/>
      <c r="B8398" s="86"/>
      <c r="D8398" s="26"/>
      <c r="F8398" s="87" t="str">
        <f t="shared" si="0"/>
        <v/>
      </c>
      <c r="H8398" s="26" t="str">
        <f t="shared" si="1"/>
        <v/>
      </c>
      <c r="I8398" s="26" t="str">
        <f t="shared" si="2"/>
        <v/>
      </c>
      <c r="J8398" s="86">
        <f t="shared" si="3"/>
        <v>0</v>
      </c>
      <c r="R8398" s="26"/>
    </row>
    <row r="8399" spans="1:18" ht="15.75" customHeight="1">
      <c r="A8399" s="26"/>
      <c r="B8399" s="86"/>
      <c r="D8399" s="26"/>
      <c r="F8399" s="87" t="str">
        <f t="shared" si="0"/>
        <v/>
      </c>
      <c r="H8399" s="26" t="str">
        <f t="shared" si="1"/>
        <v/>
      </c>
      <c r="I8399" s="26" t="str">
        <f t="shared" si="2"/>
        <v/>
      </c>
      <c r="J8399" s="86">
        <f t="shared" si="3"/>
        <v>0</v>
      </c>
      <c r="R8399" s="26"/>
    </row>
    <row r="8400" spans="1:18" ht="15.75" customHeight="1">
      <c r="A8400" s="26"/>
      <c r="B8400" s="86"/>
      <c r="D8400" s="26"/>
      <c r="F8400" s="87" t="str">
        <f t="shared" si="0"/>
        <v/>
      </c>
      <c r="H8400" s="26" t="str">
        <f t="shared" si="1"/>
        <v/>
      </c>
      <c r="I8400" s="26" t="str">
        <f t="shared" si="2"/>
        <v/>
      </c>
      <c r="J8400" s="86">
        <f t="shared" si="3"/>
        <v>0</v>
      </c>
      <c r="R8400" s="26"/>
    </row>
    <row r="8401" spans="1:18" ht="15.75" customHeight="1">
      <c r="A8401" s="26"/>
      <c r="B8401" s="86"/>
      <c r="D8401" s="26"/>
      <c r="F8401" s="87" t="str">
        <f t="shared" si="0"/>
        <v/>
      </c>
      <c r="H8401" s="26" t="str">
        <f t="shared" si="1"/>
        <v/>
      </c>
      <c r="I8401" s="26" t="str">
        <f t="shared" si="2"/>
        <v/>
      </c>
      <c r="J8401" s="86">
        <f t="shared" si="3"/>
        <v>0</v>
      </c>
      <c r="R8401" s="26"/>
    </row>
    <row r="8402" spans="1:18" ht="15.75" customHeight="1">
      <c r="A8402" s="26"/>
      <c r="B8402" s="86"/>
      <c r="D8402" s="26"/>
      <c r="F8402" s="87" t="str">
        <f t="shared" si="0"/>
        <v/>
      </c>
      <c r="H8402" s="26" t="str">
        <f t="shared" si="1"/>
        <v/>
      </c>
      <c r="I8402" s="26" t="str">
        <f t="shared" si="2"/>
        <v/>
      </c>
      <c r="J8402" s="86">
        <f t="shared" si="3"/>
        <v>0</v>
      </c>
      <c r="R8402" s="26"/>
    </row>
    <row r="8403" spans="1:18" ht="15.75" customHeight="1">
      <c r="A8403" s="26"/>
      <c r="B8403" s="86"/>
      <c r="D8403" s="26"/>
      <c r="F8403" s="87" t="str">
        <f t="shared" si="0"/>
        <v/>
      </c>
      <c r="H8403" s="26" t="str">
        <f t="shared" si="1"/>
        <v/>
      </c>
      <c r="I8403" s="26" t="str">
        <f t="shared" si="2"/>
        <v/>
      </c>
      <c r="J8403" s="86">
        <f t="shared" si="3"/>
        <v>0</v>
      </c>
      <c r="R8403" s="26"/>
    </row>
    <row r="8404" spans="1:18" ht="15.75" customHeight="1">
      <c r="A8404" s="26"/>
      <c r="B8404" s="86"/>
      <c r="D8404" s="26"/>
      <c r="F8404" s="87" t="str">
        <f t="shared" si="0"/>
        <v/>
      </c>
      <c r="H8404" s="26" t="str">
        <f t="shared" si="1"/>
        <v/>
      </c>
      <c r="I8404" s="26" t="str">
        <f t="shared" si="2"/>
        <v/>
      </c>
      <c r="J8404" s="86">
        <f t="shared" si="3"/>
        <v>0</v>
      </c>
      <c r="R8404" s="26"/>
    </row>
    <row r="8405" spans="1:18" ht="15.75" customHeight="1">
      <c r="A8405" s="26"/>
      <c r="B8405" s="86"/>
      <c r="D8405" s="26"/>
      <c r="F8405" s="87" t="str">
        <f t="shared" si="0"/>
        <v/>
      </c>
      <c r="H8405" s="26" t="str">
        <f t="shared" si="1"/>
        <v/>
      </c>
      <c r="I8405" s="26" t="str">
        <f t="shared" si="2"/>
        <v/>
      </c>
      <c r="J8405" s="86">
        <f t="shared" si="3"/>
        <v>0</v>
      </c>
      <c r="R8405" s="26"/>
    </row>
    <row r="8406" spans="1:18" ht="15.75" customHeight="1">
      <c r="A8406" s="26"/>
      <c r="B8406" s="86"/>
      <c r="D8406" s="26"/>
      <c r="F8406" s="87" t="str">
        <f t="shared" si="0"/>
        <v/>
      </c>
      <c r="H8406" s="26" t="str">
        <f t="shared" si="1"/>
        <v/>
      </c>
      <c r="I8406" s="26" t="str">
        <f t="shared" si="2"/>
        <v/>
      </c>
      <c r="J8406" s="86">
        <f t="shared" si="3"/>
        <v>0</v>
      </c>
      <c r="R8406" s="26"/>
    </row>
    <row r="8407" spans="1:18" ht="15.75" customHeight="1">
      <c r="A8407" s="26"/>
      <c r="B8407" s="86"/>
      <c r="D8407" s="26"/>
      <c r="F8407" s="87" t="str">
        <f t="shared" si="0"/>
        <v/>
      </c>
      <c r="H8407" s="26" t="str">
        <f t="shared" si="1"/>
        <v/>
      </c>
      <c r="I8407" s="26" t="str">
        <f t="shared" si="2"/>
        <v/>
      </c>
      <c r="J8407" s="86">
        <f t="shared" si="3"/>
        <v>0</v>
      </c>
      <c r="R8407" s="26"/>
    </row>
    <row r="8408" spans="1:18" ht="15.75" customHeight="1">
      <c r="A8408" s="26"/>
      <c r="B8408" s="86"/>
      <c r="D8408" s="26"/>
      <c r="F8408" s="87" t="str">
        <f t="shared" si="0"/>
        <v/>
      </c>
      <c r="H8408" s="26" t="str">
        <f t="shared" si="1"/>
        <v/>
      </c>
      <c r="I8408" s="26" t="str">
        <f t="shared" si="2"/>
        <v/>
      </c>
      <c r="J8408" s="86">
        <f t="shared" si="3"/>
        <v>0</v>
      </c>
      <c r="R8408" s="26"/>
    </row>
    <row r="8409" spans="1:18" ht="15.75" customHeight="1">
      <c r="A8409" s="26"/>
      <c r="B8409" s="86"/>
      <c r="D8409" s="26"/>
      <c r="F8409" s="87" t="str">
        <f t="shared" si="0"/>
        <v/>
      </c>
      <c r="H8409" s="26" t="str">
        <f t="shared" si="1"/>
        <v/>
      </c>
      <c r="I8409" s="26" t="str">
        <f t="shared" si="2"/>
        <v/>
      </c>
      <c r="J8409" s="86">
        <f t="shared" si="3"/>
        <v>0</v>
      </c>
      <c r="R8409" s="26"/>
    </row>
    <row r="8410" spans="1:18" ht="15.75" customHeight="1">
      <c r="A8410" s="26"/>
      <c r="B8410" s="86"/>
      <c r="D8410" s="26"/>
      <c r="F8410" s="87" t="str">
        <f t="shared" si="0"/>
        <v/>
      </c>
      <c r="H8410" s="26" t="str">
        <f t="shared" si="1"/>
        <v/>
      </c>
      <c r="I8410" s="26" t="str">
        <f t="shared" si="2"/>
        <v/>
      </c>
      <c r="J8410" s="86">
        <f t="shared" si="3"/>
        <v>0</v>
      </c>
      <c r="R8410" s="26"/>
    </row>
    <row r="8411" spans="1:18" ht="15.75" customHeight="1">
      <c r="A8411" s="26"/>
      <c r="B8411" s="86"/>
      <c r="D8411" s="26"/>
      <c r="F8411" s="87" t="str">
        <f t="shared" si="0"/>
        <v/>
      </c>
      <c r="H8411" s="26" t="str">
        <f t="shared" si="1"/>
        <v/>
      </c>
      <c r="I8411" s="26" t="str">
        <f t="shared" si="2"/>
        <v/>
      </c>
      <c r="J8411" s="86">
        <f t="shared" si="3"/>
        <v>0</v>
      </c>
      <c r="R8411" s="26"/>
    </row>
    <row r="8412" spans="1:18" ht="15.75" customHeight="1">
      <c r="A8412" s="26"/>
      <c r="B8412" s="86"/>
      <c r="D8412" s="26"/>
      <c r="F8412" s="87" t="str">
        <f t="shared" si="0"/>
        <v/>
      </c>
      <c r="H8412" s="26" t="str">
        <f t="shared" si="1"/>
        <v/>
      </c>
      <c r="I8412" s="26" t="str">
        <f t="shared" si="2"/>
        <v/>
      </c>
      <c r="J8412" s="86">
        <f t="shared" si="3"/>
        <v>0</v>
      </c>
      <c r="R8412" s="26"/>
    </row>
    <row r="8413" spans="1:18" ht="15.75" customHeight="1">
      <c r="A8413" s="26"/>
      <c r="B8413" s="86"/>
      <c r="D8413" s="26"/>
      <c r="F8413" s="87" t="str">
        <f t="shared" si="0"/>
        <v/>
      </c>
      <c r="H8413" s="26" t="str">
        <f t="shared" si="1"/>
        <v/>
      </c>
      <c r="I8413" s="26" t="str">
        <f t="shared" si="2"/>
        <v/>
      </c>
      <c r="J8413" s="86">
        <f t="shared" si="3"/>
        <v>0</v>
      </c>
      <c r="R8413" s="26"/>
    </row>
    <row r="8414" spans="1:18" ht="15.75" customHeight="1">
      <c r="A8414" s="26"/>
      <c r="B8414" s="86"/>
      <c r="D8414" s="26"/>
      <c r="F8414" s="87" t="str">
        <f t="shared" si="0"/>
        <v/>
      </c>
      <c r="H8414" s="26" t="str">
        <f t="shared" si="1"/>
        <v/>
      </c>
      <c r="I8414" s="26" t="str">
        <f t="shared" si="2"/>
        <v/>
      </c>
      <c r="J8414" s="86">
        <f t="shared" si="3"/>
        <v>0</v>
      </c>
      <c r="R8414" s="26"/>
    </row>
    <row r="8415" spans="1:18" ht="15.75" customHeight="1">
      <c r="A8415" s="26"/>
      <c r="B8415" s="86"/>
      <c r="D8415" s="26"/>
      <c r="F8415" s="87" t="str">
        <f t="shared" si="0"/>
        <v/>
      </c>
      <c r="H8415" s="26" t="str">
        <f t="shared" si="1"/>
        <v/>
      </c>
      <c r="I8415" s="26" t="str">
        <f t="shared" si="2"/>
        <v/>
      </c>
      <c r="J8415" s="86">
        <f t="shared" si="3"/>
        <v>0</v>
      </c>
      <c r="R8415" s="26"/>
    </row>
    <row r="8416" spans="1:18" ht="15.75" customHeight="1">
      <c r="A8416" s="26"/>
      <c r="B8416" s="86"/>
      <c r="D8416" s="26"/>
      <c r="F8416" s="87" t="str">
        <f t="shared" si="0"/>
        <v/>
      </c>
      <c r="H8416" s="26" t="str">
        <f t="shared" si="1"/>
        <v/>
      </c>
      <c r="I8416" s="26" t="str">
        <f t="shared" si="2"/>
        <v/>
      </c>
      <c r="J8416" s="86">
        <f t="shared" si="3"/>
        <v>0</v>
      </c>
      <c r="R8416" s="26"/>
    </row>
    <row r="8417" spans="1:18" ht="15.75" customHeight="1">
      <c r="A8417" s="26"/>
      <c r="B8417" s="86"/>
      <c r="D8417" s="26"/>
      <c r="F8417" s="87" t="str">
        <f t="shared" si="0"/>
        <v/>
      </c>
      <c r="H8417" s="26" t="str">
        <f t="shared" si="1"/>
        <v/>
      </c>
      <c r="I8417" s="26" t="str">
        <f t="shared" si="2"/>
        <v/>
      </c>
      <c r="J8417" s="86">
        <f t="shared" si="3"/>
        <v>0</v>
      </c>
      <c r="R8417" s="26"/>
    </row>
    <row r="8418" spans="1:18" ht="15.75" customHeight="1">
      <c r="A8418" s="26"/>
      <c r="B8418" s="86"/>
      <c r="D8418" s="26"/>
      <c r="F8418" s="87" t="str">
        <f t="shared" si="0"/>
        <v/>
      </c>
      <c r="H8418" s="26" t="str">
        <f t="shared" si="1"/>
        <v/>
      </c>
      <c r="I8418" s="26" t="str">
        <f t="shared" si="2"/>
        <v/>
      </c>
      <c r="J8418" s="86">
        <f t="shared" si="3"/>
        <v>0</v>
      </c>
      <c r="R8418" s="26"/>
    </row>
    <row r="8419" spans="1:18" ht="15.75" customHeight="1">
      <c r="A8419" s="26"/>
      <c r="B8419" s="86"/>
      <c r="D8419" s="26"/>
      <c r="F8419" s="87" t="str">
        <f t="shared" si="0"/>
        <v/>
      </c>
      <c r="H8419" s="26" t="str">
        <f t="shared" si="1"/>
        <v/>
      </c>
      <c r="I8419" s="26" t="str">
        <f t="shared" si="2"/>
        <v/>
      </c>
      <c r="J8419" s="86">
        <f t="shared" si="3"/>
        <v>0</v>
      </c>
      <c r="R8419" s="26"/>
    </row>
    <row r="8420" spans="1:18" ht="15.75" customHeight="1">
      <c r="A8420" s="26"/>
      <c r="B8420" s="86"/>
      <c r="D8420" s="26"/>
      <c r="F8420" s="87" t="str">
        <f t="shared" si="0"/>
        <v/>
      </c>
      <c r="H8420" s="26" t="str">
        <f t="shared" si="1"/>
        <v/>
      </c>
      <c r="I8420" s="26" t="str">
        <f t="shared" si="2"/>
        <v/>
      </c>
      <c r="J8420" s="86">
        <f t="shared" si="3"/>
        <v>0</v>
      </c>
      <c r="R8420" s="26"/>
    </row>
    <row r="8421" spans="1:18" ht="15.75" customHeight="1">
      <c r="A8421" s="26"/>
      <c r="B8421" s="86"/>
      <c r="D8421" s="26"/>
      <c r="F8421" s="87" t="str">
        <f t="shared" si="0"/>
        <v/>
      </c>
      <c r="H8421" s="26" t="str">
        <f t="shared" si="1"/>
        <v/>
      </c>
      <c r="I8421" s="26" t="str">
        <f t="shared" si="2"/>
        <v/>
      </c>
      <c r="J8421" s="86">
        <f t="shared" si="3"/>
        <v>0</v>
      </c>
      <c r="R8421" s="26"/>
    </row>
    <row r="8422" spans="1:18" ht="15.75" customHeight="1">
      <c r="A8422" s="26"/>
      <c r="B8422" s="86"/>
      <c r="D8422" s="26"/>
      <c r="F8422" s="87" t="str">
        <f t="shared" si="0"/>
        <v/>
      </c>
      <c r="H8422" s="26" t="str">
        <f t="shared" si="1"/>
        <v/>
      </c>
      <c r="I8422" s="26" t="str">
        <f t="shared" si="2"/>
        <v/>
      </c>
      <c r="J8422" s="86">
        <f t="shared" si="3"/>
        <v>0</v>
      </c>
      <c r="R8422" s="26"/>
    </row>
    <row r="8423" spans="1:18" ht="15.75" customHeight="1">
      <c r="A8423" s="26"/>
      <c r="B8423" s="86"/>
      <c r="D8423" s="26"/>
      <c r="F8423" s="87" t="str">
        <f t="shared" si="0"/>
        <v/>
      </c>
      <c r="H8423" s="26" t="str">
        <f t="shared" si="1"/>
        <v/>
      </c>
      <c r="I8423" s="26" t="str">
        <f t="shared" si="2"/>
        <v/>
      </c>
      <c r="J8423" s="86">
        <f t="shared" si="3"/>
        <v>0</v>
      </c>
      <c r="R8423" s="26"/>
    </row>
    <row r="8424" spans="1:18" ht="15.75" customHeight="1">
      <c r="A8424" s="26"/>
      <c r="B8424" s="86"/>
      <c r="D8424" s="26"/>
      <c r="F8424" s="87" t="str">
        <f t="shared" si="0"/>
        <v/>
      </c>
      <c r="H8424" s="26" t="str">
        <f t="shared" si="1"/>
        <v/>
      </c>
      <c r="I8424" s="26" t="str">
        <f t="shared" si="2"/>
        <v/>
      </c>
      <c r="J8424" s="86">
        <f t="shared" si="3"/>
        <v>0</v>
      </c>
      <c r="R8424" s="26"/>
    </row>
    <row r="8425" spans="1:18" ht="15.75" customHeight="1">
      <c r="A8425" s="26"/>
      <c r="B8425" s="86"/>
      <c r="D8425" s="26"/>
      <c r="F8425" s="87" t="str">
        <f t="shared" si="0"/>
        <v/>
      </c>
      <c r="H8425" s="26" t="str">
        <f t="shared" si="1"/>
        <v/>
      </c>
      <c r="I8425" s="26" t="str">
        <f t="shared" si="2"/>
        <v/>
      </c>
      <c r="J8425" s="86">
        <f t="shared" si="3"/>
        <v>0</v>
      </c>
      <c r="R8425" s="26"/>
    </row>
    <row r="8426" spans="1:18" ht="15.75" customHeight="1">
      <c r="A8426" s="26"/>
      <c r="B8426" s="86"/>
      <c r="D8426" s="26"/>
      <c r="F8426" s="87" t="str">
        <f t="shared" si="0"/>
        <v/>
      </c>
      <c r="H8426" s="26" t="str">
        <f t="shared" si="1"/>
        <v/>
      </c>
      <c r="I8426" s="26" t="str">
        <f t="shared" si="2"/>
        <v/>
      </c>
      <c r="J8426" s="86">
        <f t="shared" si="3"/>
        <v>0</v>
      </c>
      <c r="R8426" s="26"/>
    </row>
    <row r="8427" spans="1:18" ht="15.75" customHeight="1">
      <c r="A8427" s="26"/>
      <c r="B8427" s="86"/>
      <c r="D8427" s="26"/>
      <c r="F8427" s="87" t="str">
        <f t="shared" si="0"/>
        <v/>
      </c>
      <c r="H8427" s="26" t="str">
        <f t="shared" si="1"/>
        <v/>
      </c>
      <c r="I8427" s="26" t="str">
        <f t="shared" si="2"/>
        <v/>
      </c>
      <c r="J8427" s="86">
        <f t="shared" si="3"/>
        <v>0</v>
      </c>
      <c r="R8427" s="26"/>
    </row>
    <row r="8428" spans="1:18" ht="15.75" customHeight="1">
      <c r="A8428" s="26"/>
      <c r="B8428" s="86"/>
      <c r="D8428" s="26"/>
      <c r="F8428" s="87" t="str">
        <f t="shared" si="0"/>
        <v/>
      </c>
      <c r="H8428" s="26" t="str">
        <f t="shared" si="1"/>
        <v/>
      </c>
      <c r="I8428" s="26" t="str">
        <f t="shared" si="2"/>
        <v/>
      </c>
      <c r="J8428" s="86">
        <f t="shared" si="3"/>
        <v>0</v>
      </c>
      <c r="R8428" s="26"/>
    </row>
    <row r="8429" spans="1:18" ht="15.75" customHeight="1">
      <c r="A8429" s="26"/>
      <c r="B8429" s="86"/>
      <c r="D8429" s="26"/>
      <c r="F8429" s="87" t="str">
        <f t="shared" si="0"/>
        <v/>
      </c>
      <c r="H8429" s="26" t="str">
        <f t="shared" si="1"/>
        <v/>
      </c>
      <c r="I8429" s="26" t="str">
        <f t="shared" si="2"/>
        <v/>
      </c>
      <c r="J8429" s="86">
        <f t="shared" si="3"/>
        <v>0</v>
      </c>
      <c r="R8429" s="26"/>
    </row>
    <row r="8430" spans="1:18" ht="15.75" customHeight="1">
      <c r="A8430" s="26"/>
      <c r="B8430" s="86"/>
      <c r="D8430" s="26"/>
      <c r="F8430" s="87" t="str">
        <f t="shared" si="0"/>
        <v/>
      </c>
      <c r="H8430" s="26" t="str">
        <f t="shared" si="1"/>
        <v/>
      </c>
      <c r="I8430" s="26" t="str">
        <f t="shared" si="2"/>
        <v/>
      </c>
      <c r="J8430" s="86">
        <f t="shared" si="3"/>
        <v>0</v>
      </c>
      <c r="R8430" s="26"/>
    </row>
    <row r="8431" spans="1:18" ht="15.75" customHeight="1">
      <c r="A8431" s="26"/>
      <c r="B8431" s="86"/>
      <c r="D8431" s="26"/>
      <c r="F8431" s="87" t="str">
        <f t="shared" si="0"/>
        <v/>
      </c>
      <c r="H8431" s="26" t="str">
        <f t="shared" si="1"/>
        <v/>
      </c>
      <c r="I8431" s="26" t="str">
        <f t="shared" si="2"/>
        <v/>
      </c>
      <c r="J8431" s="86">
        <f t="shared" si="3"/>
        <v>0</v>
      </c>
      <c r="R8431" s="26"/>
    </row>
    <row r="8432" spans="1:18" ht="15.75" customHeight="1">
      <c r="A8432" s="26"/>
      <c r="B8432" s="86"/>
      <c r="D8432" s="26"/>
      <c r="F8432" s="87" t="str">
        <f t="shared" si="0"/>
        <v/>
      </c>
      <c r="H8432" s="26" t="str">
        <f t="shared" si="1"/>
        <v/>
      </c>
      <c r="I8432" s="26" t="str">
        <f t="shared" si="2"/>
        <v/>
      </c>
      <c r="J8432" s="86">
        <f t="shared" si="3"/>
        <v>0</v>
      </c>
      <c r="R8432" s="26"/>
    </row>
    <row r="8433" spans="1:18" ht="15.75" customHeight="1">
      <c r="A8433" s="26"/>
      <c r="B8433" s="86"/>
      <c r="D8433" s="26"/>
      <c r="F8433" s="87" t="str">
        <f t="shared" si="0"/>
        <v/>
      </c>
      <c r="H8433" s="26" t="str">
        <f t="shared" si="1"/>
        <v/>
      </c>
      <c r="I8433" s="26" t="str">
        <f t="shared" si="2"/>
        <v/>
      </c>
      <c r="J8433" s="86">
        <f t="shared" si="3"/>
        <v>0</v>
      </c>
      <c r="R8433" s="26"/>
    </row>
    <row r="8434" spans="1:18" ht="15.75" customHeight="1">
      <c r="A8434" s="26"/>
      <c r="B8434" s="86"/>
      <c r="D8434" s="26"/>
      <c r="F8434" s="87" t="str">
        <f t="shared" si="0"/>
        <v/>
      </c>
      <c r="H8434" s="26" t="str">
        <f t="shared" si="1"/>
        <v/>
      </c>
      <c r="I8434" s="26" t="str">
        <f t="shared" si="2"/>
        <v/>
      </c>
      <c r="J8434" s="86">
        <f t="shared" si="3"/>
        <v>0</v>
      </c>
      <c r="R8434" s="26"/>
    </row>
    <row r="8435" spans="1:18" ht="15.75" customHeight="1">
      <c r="A8435" s="26"/>
      <c r="B8435" s="86"/>
      <c r="D8435" s="26"/>
      <c r="F8435" s="87" t="str">
        <f t="shared" si="0"/>
        <v/>
      </c>
      <c r="H8435" s="26" t="str">
        <f t="shared" si="1"/>
        <v/>
      </c>
      <c r="I8435" s="26" t="str">
        <f t="shared" si="2"/>
        <v/>
      </c>
      <c r="J8435" s="86">
        <f t="shared" si="3"/>
        <v>0</v>
      </c>
      <c r="R8435" s="26"/>
    </row>
    <row r="8436" spans="1:18" ht="15.75" customHeight="1">
      <c r="A8436" s="26"/>
      <c r="B8436" s="86"/>
      <c r="D8436" s="26"/>
      <c r="F8436" s="87" t="str">
        <f t="shared" si="0"/>
        <v/>
      </c>
      <c r="H8436" s="26" t="str">
        <f t="shared" si="1"/>
        <v/>
      </c>
      <c r="I8436" s="26" t="str">
        <f t="shared" si="2"/>
        <v/>
      </c>
      <c r="J8436" s="86">
        <f t="shared" si="3"/>
        <v>0</v>
      </c>
      <c r="R8436" s="26"/>
    </row>
    <row r="8437" spans="1:18" ht="15.75" customHeight="1">
      <c r="A8437" s="26"/>
      <c r="B8437" s="86"/>
      <c r="D8437" s="26"/>
      <c r="F8437" s="87" t="str">
        <f t="shared" si="0"/>
        <v/>
      </c>
      <c r="H8437" s="26" t="str">
        <f t="shared" si="1"/>
        <v/>
      </c>
      <c r="I8437" s="26" t="str">
        <f t="shared" si="2"/>
        <v/>
      </c>
      <c r="J8437" s="86">
        <f t="shared" si="3"/>
        <v>0</v>
      </c>
      <c r="R8437" s="26"/>
    </row>
    <row r="8438" spans="1:18" ht="15.75" customHeight="1">
      <c r="A8438" s="26"/>
      <c r="B8438" s="86"/>
      <c r="D8438" s="26"/>
      <c r="F8438" s="87" t="str">
        <f t="shared" si="0"/>
        <v/>
      </c>
      <c r="H8438" s="26" t="str">
        <f t="shared" si="1"/>
        <v/>
      </c>
      <c r="I8438" s="26" t="str">
        <f t="shared" si="2"/>
        <v/>
      </c>
      <c r="J8438" s="86">
        <f t="shared" si="3"/>
        <v>0</v>
      </c>
      <c r="R8438" s="26"/>
    </row>
    <row r="8439" spans="1:18" ht="15.75" customHeight="1">
      <c r="A8439" s="26"/>
      <c r="B8439" s="86"/>
      <c r="D8439" s="26"/>
      <c r="F8439" s="87" t="str">
        <f t="shared" si="0"/>
        <v/>
      </c>
      <c r="H8439" s="26" t="str">
        <f t="shared" si="1"/>
        <v/>
      </c>
      <c r="I8439" s="26" t="str">
        <f t="shared" si="2"/>
        <v/>
      </c>
      <c r="J8439" s="86">
        <f t="shared" si="3"/>
        <v>0</v>
      </c>
      <c r="R8439" s="26"/>
    </row>
    <row r="8440" spans="1:18" ht="15.75" customHeight="1">
      <c r="A8440" s="26"/>
      <c r="B8440" s="86"/>
      <c r="D8440" s="26"/>
      <c r="F8440" s="87" t="str">
        <f t="shared" si="0"/>
        <v/>
      </c>
      <c r="H8440" s="26" t="str">
        <f t="shared" si="1"/>
        <v/>
      </c>
      <c r="I8440" s="26" t="str">
        <f t="shared" si="2"/>
        <v/>
      </c>
      <c r="J8440" s="86">
        <f t="shared" si="3"/>
        <v>0</v>
      </c>
      <c r="R8440" s="26"/>
    </row>
    <row r="8441" spans="1:18" ht="15.75" customHeight="1">
      <c r="A8441" s="26"/>
      <c r="B8441" s="86"/>
      <c r="D8441" s="26"/>
      <c r="F8441" s="87" t="str">
        <f t="shared" si="0"/>
        <v/>
      </c>
      <c r="H8441" s="26" t="str">
        <f t="shared" si="1"/>
        <v/>
      </c>
      <c r="I8441" s="26" t="str">
        <f t="shared" si="2"/>
        <v/>
      </c>
      <c r="J8441" s="86">
        <f t="shared" si="3"/>
        <v>0</v>
      </c>
      <c r="R8441" s="26"/>
    </row>
    <row r="8442" spans="1:18" ht="15.75" customHeight="1">
      <c r="A8442" s="26"/>
      <c r="B8442" s="86"/>
      <c r="D8442" s="26"/>
      <c r="F8442" s="87" t="str">
        <f t="shared" si="0"/>
        <v/>
      </c>
      <c r="H8442" s="26" t="str">
        <f t="shared" si="1"/>
        <v/>
      </c>
      <c r="I8442" s="26" t="str">
        <f t="shared" si="2"/>
        <v/>
      </c>
      <c r="J8442" s="86">
        <f t="shared" si="3"/>
        <v>0</v>
      </c>
      <c r="R8442" s="26"/>
    </row>
    <row r="8443" spans="1:18" ht="15.75" customHeight="1">
      <c r="A8443" s="26"/>
      <c r="B8443" s="86"/>
      <c r="D8443" s="26"/>
      <c r="F8443" s="87" t="str">
        <f t="shared" si="0"/>
        <v/>
      </c>
      <c r="H8443" s="26" t="str">
        <f t="shared" si="1"/>
        <v/>
      </c>
      <c r="I8443" s="26" t="str">
        <f t="shared" si="2"/>
        <v/>
      </c>
      <c r="J8443" s="86">
        <f t="shared" si="3"/>
        <v>0</v>
      </c>
      <c r="R8443" s="26"/>
    </row>
    <row r="8444" spans="1:18" ht="15.75" customHeight="1">
      <c r="A8444" s="26"/>
      <c r="B8444" s="86"/>
      <c r="D8444" s="26"/>
      <c r="F8444" s="87" t="str">
        <f t="shared" si="0"/>
        <v/>
      </c>
      <c r="H8444" s="26" t="str">
        <f t="shared" si="1"/>
        <v/>
      </c>
      <c r="I8444" s="26" t="str">
        <f t="shared" si="2"/>
        <v/>
      </c>
      <c r="J8444" s="86">
        <f t="shared" si="3"/>
        <v>0</v>
      </c>
      <c r="R8444" s="26"/>
    </row>
    <row r="8445" spans="1:18" ht="15.75" customHeight="1">
      <c r="A8445" s="26"/>
      <c r="B8445" s="86"/>
      <c r="D8445" s="26"/>
      <c r="F8445" s="87" t="str">
        <f t="shared" si="0"/>
        <v/>
      </c>
      <c r="H8445" s="26" t="str">
        <f t="shared" si="1"/>
        <v/>
      </c>
      <c r="I8445" s="26" t="str">
        <f t="shared" si="2"/>
        <v/>
      </c>
      <c r="J8445" s="86">
        <f t="shared" si="3"/>
        <v>0</v>
      </c>
      <c r="R8445" s="26"/>
    </row>
    <row r="8446" spans="1:18" ht="15.75" customHeight="1">
      <c r="A8446" s="26"/>
      <c r="B8446" s="86"/>
      <c r="D8446" s="26"/>
      <c r="F8446" s="87" t="str">
        <f t="shared" si="0"/>
        <v/>
      </c>
      <c r="H8446" s="26" t="str">
        <f t="shared" si="1"/>
        <v/>
      </c>
      <c r="I8446" s="26" t="str">
        <f t="shared" si="2"/>
        <v/>
      </c>
      <c r="J8446" s="86">
        <f t="shared" si="3"/>
        <v>0</v>
      </c>
      <c r="R8446" s="26"/>
    </row>
    <row r="8447" spans="1:18" ht="15.75" customHeight="1">
      <c r="A8447" s="26"/>
      <c r="B8447" s="86"/>
      <c r="D8447" s="26"/>
      <c r="F8447" s="87" t="str">
        <f t="shared" si="0"/>
        <v/>
      </c>
      <c r="H8447" s="26" t="str">
        <f t="shared" si="1"/>
        <v/>
      </c>
      <c r="I8447" s="26" t="str">
        <f t="shared" si="2"/>
        <v/>
      </c>
      <c r="J8447" s="86">
        <f t="shared" si="3"/>
        <v>0</v>
      </c>
      <c r="R8447" s="26"/>
    </row>
    <row r="8448" spans="1:18" ht="15.75" customHeight="1">
      <c r="A8448" s="26"/>
      <c r="B8448" s="86"/>
      <c r="D8448" s="26"/>
      <c r="F8448" s="87" t="str">
        <f t="shared" si="0"/>
        <v/>
      </c>
      <c r="H8448" s="26" t="str">
        <f t="shared" si="1"/>
        <v/>
      </c>
      <c r="I8448" s="26" t="str">
        <f t="shared" si="2"/>
        <v/>
      </c>
      <c r="J8448" s="86">
        <f t="shared" si="3"/>
        <v>0</v>
      </c>
      <c r="R8448" s="26"/>
    </row>
    <row r="8449" spans="1:18" ht="15.75" customHeight="1">
      <c r="A8449" s="26"/>
      <c r="B8449" s="86"/>
      <c r="D8449" s="26"/>
      <c r="F8449" s="87" t="str">
        <f t="shared" si="0"/>
        <v/>
      </c>
      <c r="H8449" s="26" t="str">
        <f t="shared" si="1"/>
        <v/>
      </c>
      <c r="I8449" s="26" t="str">
        <f t="shared" si="2"/>
        <v/>
      </c>
      <c r="J8449" s="86">
        <f t="shared" si="3"/>
        <v>0</v>
      </c>
      <c r="R8449" s="26"/>
    </row>
    <row r="8450" spans="1:18" ht="15.75" customHeight="1">
      <c r="A8450" s="26"/>
      <c r="B8450" s="86"/>
      <c r="D8450" s="26"/>
      <c r="F8450" s="87" t="str">
        <f t="shared" si="0"/>
        <v/>
      </c>
      <c r="H8450" s="26" t="str">
        <f t="shared" si="1"/>
        <v/>
      </c>
      <c r="I8450" s="26" t="str">
        <f t="shared" si="2"/>
        <v/>
      </c>
      <c r="J8450" s="86">
        <f t="shared" si="3"/>
        <v>0</v>
      </c>
      <c r="R8450" s="26"/>
    </row>
    <row r="8451" spans="1:18" ht="15.75" customHeight="1">
      <c r="A8451" s="26"/>
      <c r="B8451" s="86"/>
      <c r="D8451" s="26"/>
      <c r="F8451" s="87" t="str">
        <f t="shared" si="0"/>
        <v/>
      </c>
      <c r="H8451" s="26" t="str">
        <f t="shared" si="1"/>
        <v/>
      </c>
      <c r="I8451" s="26" t="str">
        <f t="shared" si="2"/>
        <v/>
      </c>
      <c r="J8451" s="86">
        <f t="shared" si="3"/>
        <v>0</v>
      </c>
      <c r="R8451" s="26"/>
    </row>
    <row r="8452" spans="1:18" ht="15.75" customHeight="1">
      <c r="A8452" s="26"/>
      <c r="B8452" s="86"/>
      <c r="D8452" s="26"/>
      <c r="F8452" s="87" t="str">
        <f t="shared" si="0"/>
        <v/>
      </c>
      <c r="H8452" s="26" t="str">
        <f t="shared" si="1"/>
        <v/>
      </c>
      <c r="I8452" s="26" t="str">
        <f t="shared" si="2"/>
        <v/>
      </c>
      <c r="J8452" s="86">
        <f t="shared" si="3"/>
        <v>0</v>
      </c>
      <c r="R8452" s="26"/>
    </row>
    <row r="8453" spans="1:18" ht="15.75" customHeight="1">
      <c r="A8453" s="26"/>
      <c r="B8453" s="86"/>
      <c r="D8453" s="26"/>
      <c r="F8453" s="87" t="str">
        <f t="shared" si="0"/>
        <v/>
      </c>
      <c r="H8453" s="26" t="str">
        <f t="shared" si="1"/>
        <v/>
      </c>
      <c r="I8453" s="26" t="str">
        <f t="shared" si="2"/>
        <v/>
      </c>
      <c r="J8453" s="86">
        <f t="shared" si="3"/>
        <v>0</v>
      </c>
      <c r="R8453" s="26"/>
    </row>
    <row r="8454" spans="1:18" ht="15.75" customHeight="1">
      <c r="A8454" s="26"/>
      <c r="B8454" s="86"/>
      <c r="D8454" s="26"/>
      <c r="F8454" s="87" t="str">
        <f t="shared" si="0"/>
        <v/>
      </c>
      <c r="H8454" s="26" t="str">
        <f t="shared" si="1"/>
        <v/>
      </c>
      <c r="I8454" s="26" t="str">
        <f t="shared" si="2"/>
        <v/>
      </c>
      <c r="J8454" s="86">
        <f t="shared" si="3"/>
        <v>0</v>
      </c>
      <c r="R8454" s="26"/>
    </row>
    <row r="8455" spans="1:18" ht="15.75" customHeight="1">
      <c r="A8455" s="26"/>
      <c r="B8455" s="86"/>
      <c r="D8455" s="26"/>
      <c r="F8455" s="87" t="str">
        <f t="shared" si="0"/>
        <v/>
      </c>
      <c r="H8455" s="26" t="str">
        <f t="shared" si="1"/>
        <v/>
      </c>
      <c r="I8455" s="26" t="str">
        <f t="shared" si="2"/>
        <v/>
      </c>
      <c r="J8455" s="86">
        <f t="shared" si="3"/>
        <v>0</v>
      </c>
      <c r="R8455" s="26"/>
    </row>
    <row r="8456" spans="1:18" ht="15.75" customHeight="1">
      <c r="A8456" s="26"/>
      <c r="B8456" s="86"/>
      <c r="D8456" s="26"/>
      <c r="F8456" s="87" t="str">
        <f t="shared" si="0"/>
        <v/>
      </c>
      <c r="H8456" s="26" t="str">
        <f t="shared" si="1"/>
        <v/>
      </c>
      <c r="I8456" s="26" t="str">
        <f t="shared" si="2"/>
        <v/>
      </c>
      <c r="J8456" s="86">
        <f t="shared" si="3"/>
        <v>0</v>
      </c>
      <c r="R8456" s="26"/>
    </row>
    <row r="8457" spans="1:18" ht="15.75" customHeight="1">
      <c r="A8457" s="26"/>
      <c r="B8457" s="86"/>
      <c r="D8457" s="26"/>
      <c r="F8457" s="87" t="str">
        <f t="shared" si="0"/>
        <v/>
      </c>
      <c r="H8457" s="26" t="str">
        <f t="shared" si="1"/>
        <v/>
      </c>
      <c r="I8457" s="26" t="str">
        <f t="shared" si="2"/>
        <v/>
      </c>
      <c r="J8457" s="86">
        <f t="shared" si="3"/>
        <v>0</v>
      </c>
      <c r="R8457" s="26"/>
    </row>
    <row r="8458" spans="1:18" ht="15.75" customHeight="1">
      <c r="A8458" s="26"/>
      <c r="B8458" s="86"/>
      <c r="D8458" s="26"/>
      <c r="F8458" s="87" t="str">
        <f t="shared" si="0"/>
        <v/>
      </c>
      <c r="H8458" s="26" t="str">
        <f t="shared" si="1"/>
        <v/>
      </c>
      <c r="I8458" s="26" t="str">
        <f t="shared" si="2"/>
        <v/>
      </c>
      <c r="J8458" s="86">
        <f t="shared" si="3"/>
        <v>0</v>
      </c>
      <c r="R8458" s="26"/>
    </row>
    <row r="8459" spans="1:18" ht="15.75" customHeight="1">
      <c r="A8459" s="26"/>
      <c r="B8459" s="86"/>
      <c r="D8459" s="26"/>
      <c r="F8459" s="87" t="str">
        <f t="shared" si="0"/>
        <v/>
      </c>
      <c r="H8459" s="26" t="str">
        <f t="shared" si="1"/>
        <v/>
      </c>
      <c r="I8459" s="26" t="str">
        <f t="shared" si="2"/>
        <v/>
      </c>
      <c r="J8459" s="86">
        <f t="shared" si="3"/>
        <v>0</v>
      </c>
      <c r="R8459" s="26"/>
    </row>
    <row r="8460" spans="1:18" ht="15.75" customHeight="1">
      <c r="A8460" s="26"/>
      <c r="B8460" s="86"/>
      <c r="D8460" s="26"/>
      <c r="F8460" s="87" t="str">
        <f t="shared" si="0"/>
        <v/>
      </c>
      <c r="H8460" s="26" t="str">
        <f t="shared" si="1"/>
        <v/>
      </c>
      <c r="I8460" s="26" t="str">
        <f t="shared" si="2"/>
        <v/>
      </c>
      <c r="J8460" s="86">
        <f t="shared" si="3"/>
        <v>0</v>
      </c>
      <c r="R8460" s="26"/>
    </row>
    <row r="8461" spans="1:18" ht="15.75" customHeight="1">
      <c r="A8461" s="26"/>
      <c r="B8461" s="86"/>
      <c r="D8461" s="26"/>
      <c r="F8461" s="87" t="str">
        <f t="shared" si="0"/>
        <v/>
      </c>
      <c r="H8461" s="26" t="str">
        <f t="shared" si="1"/>
        <v/>
      </c>
      <c r="I8461" s="26" t="str">
        <f t="shared" si="2"/>
        <v/>
      </c>
      <c r="J8461" s="86">
        <f t="shared" si="3"/>
        <v>0</v>
      </c>
      <c r="R8461" s="26"/>
    </row>
    <row r="8462" spans="1:18" ht="15.75" customHeight="1">
      <c r="A8462" s="26"/>
      <c r="B8462" s="86"/>
      <c r="D8462" s="26"/>
      <c r="F8462" s="87" t="str">
        <f t="shared" si="0"/>
        <v/>
      </c>
      <c r="H8462" s="26" t="str">
        <f t="shared" si="1"/>
        <v/>
      </c>
      <c r="I8462" s="26" t="str">
        <f t="shared" si="2"/>
        <v/>
      </c>
      <c r="J8462" s="86">
        <f t="shared" si="3"/>
        <v>0</v>
      </c>
      <c r="R8462" s="26"/>
    </row>
    <row r="8463" spans="1:18" ht="15.75" customHeight="1">
      <c r="A8463" s="26"/>
      <c r="B8463" s="86"/>
      <c r="D8463" s="26"/>
      <c r="F8463" s="87" t="str">
        <f t="shared" si="0"/>
        <v/>
      </c>
      <c r="H8463" s="26" t="str">
        <f t="shared" si="1"/>
        <v/>
      </c>
      <c r="I8463" s="26" t="str">
        <f t="shared" si="2"/>
        <v/>
      </c>
      <c r="J8463" s="86">
        <f t="shared" si="3"/>
        <v>0</v>
      </c>
      <c r="R8463" s="26"/>
    </row>
    <row r="8464" spans="1:18" ht="15.75" customHeight="1">
      <c r="A8464" s="26"/>
      <c r="B8464" s="86"/>
      <c r="D8464" s="26"/>
      <c r="F8464" s="87" t="str">
        <f t="shared" si="0"/>
        <v/>
      </c>
      <c r="H8464" s="26" t="str">
        <f t="shared" si="1"/>
        <v/>
      </c>
      <c r="I8464" s="26" t="str">
        <f t="shared" si="2"/>
        <v/>
      </c>
      <c r="J8464" s="86">
        <f t="shared" si="3"/>
        <v>0</v>
      </c>
      <c r="R8464" s="26"/>
    </row>
    <row r="8465" spans="1:18" ht="15.75" customHeight="1">
      <c r="A8465" s="26"/>
      <c r="B8465" s="86"/>
      <c r="D8465" s="26"/>
      <c r="F8465" s="87" t="str">
        <f t="shared" si="0"/>
        <v/>
      </c>
      <c r="H8465" s="26" t="str">
        <f t="shared" si="1"/>
        <v/>
      </c>
      <c r="I8465" s="26" t="str">
        <f t="shared" si="2"/>
        <v/>
      </c>
      <c r="J8465" s="86">
        <f t="shared" si="3"/>
        <v>0</v>
      </c>
      <c r="R8465" s="26"/>
    </row>
    <row r="8466" spans="1:18" ht="15.75" customHeight="1">
      <c r="A8466" s="26"/>
      <c r="B8466" s="86"/>
      <c r="D8466" s="26"/>
      <c r="F8466" s="87" t="str">
        <f t="shared" si="0"/>
        <v/>
      </c>
      <c r="H8466" s="26" t="str">
        <f t="shared" si="1"/>
        <v/>
      </c>
      <c r="I8466" s="26" t="str">
        <f t="shared" si="2"/>
        <v/>
      </c>
      <c r="J8466" s="86">
        <f t="shared" si="3"/>
        <v>0</v>
      </c>
      <c r="R8466" s="26"/>
    </row>
    <row r="8467" spans="1:18" ht="15.75" customHeight="1">
      <c r="A8467" s="26"/>
      <c r="B8467" s="86"/>
      <c r="D8467" s="26"/>
      <c r="F8467" s="87" t="str">
        <f t="shared" si="0"/>
        <v/>
      </c>
      <c r="H8467" s="26" t="str">
        <f t="shared" si="1"/>
        <v/>
      </c>
      <c r="I8467" s="26" t="str">
        <f t="shared" si="2"/>
        <v/>
      </c>
      <c r="J8467" s="86">
        <f t="shared" si="3"/>
        <v>0</v>
      </c>
      <c r="R8467" s="26"/>
    </row>
    <row r="8468" spans="1:18" ht="15.75" customHeight="1">
      <c r="A8468" s="26"/>
      <c r="B8468" s="86"/>
      <c r="D8468" s="26"/>
      <c r="F8468" s="87" t="str">
        <f t="shared" si="0"/>
        <v/>
      </c>
      <c r="H8468" s="26" t="str">
        <f t="shared" si="1"/>
        <v/>
      </c>
      <c r="I8468" s="26" t="str">
        <f t="shared" si="2"/>
        <v/>
      </c>
      <c r="J8468" s="86">
        <f t="shared" si="3"/>
        <v>0</v>
      </c>
      <c r="R8468" s="26"/>
    </row>
    <row r="8469" spans="1:18" ht="15.75" customHeight="1">
      <c r="A8469" s="26"/>
      <c r="B8469" s="86"/>
      <c r="D8469" s="26"/>
      <c r="F8469" s="87" t="str">
        <f t="shared" si="0"/>
        <v/>
      </c>
      <c r="H8469" s="26" t="str">
        <f t="shared" si="1"/>
        <v/>
      </c>
      <c r="I8469" s="26" t="str">
        <f t="shared" si="2"/>
        <v/>
      </c>
      <c r="J8469" s="86">
        <f t="shared" si="3"/>
        <v>0</v>
      </c>
      <c r="R8469" s="26"/>
    </row>
    <row r="8470" spans="1:18" ht="15.75" customHeight="1">
      <c r="A8470" s="26"/>
      <c r="B8470" s="86"/>
      <c r="D8470" s="26"/>
      <c r="F8470" s="87" t="str">
        <f t="shared" si="0"/>
        <v/>
      </c>
      <c r="H8470" s="26" t="str">
        <f t="shared" si="1"/>
        <v/>
      </c>
      <c r="I8470" s="26" t="str">
        <f t="shared" si="2"/>
        <v/>
      </c>
      <c r="J8470" s="86">
        <f t="shared" si="3"/>
        <v>0</v>
      </c>
      <c r="R8470" s="26"/>
    </row>
    <row r="8471" spans="1:18" ht="15.75" customHeight="1">
      <c r="A8471" s="26"/>
      <c r="B8471" s="86"/>
      <c r="D8471" s="26"/>
      <c r="F8471" s="87" t="str">
        <f t="shared" si="0"/>
        <v/>
      </c>
      <c r="H8471" s="26" t="str">
        <f t="shared" si="1"/>
        <v/>
      </c>
      <c r="I8471" s="26" t="str">
        <f t="shared" si="2"/>
        <v/>
      </c>
      <c r="J8471" s="86">
        <f t="shared" si="3"/>
        <v>0</v>
      </c>
      <c r="R8471" s="26"/>
    </row>
    <row r="8472" spans="1:18" ht="15.75" customHeight="1">
      <c r="A8472" s="26"/>
      <c r="B8472" s="86"/>
      <c r="D8472" s="26"/>
      <c r="F8472" s="87" t="str">
        <f t="shared" si="0"/>
        <v/>
      </c>
      <c r="H8472" s="26" t="str">
        <f t="shared" si="1"/>
        <v/>
      </c>
      <c r="I8472" s="26" t="str">
        <f t="shared" si="2"/>
        <v/>
      </c>
      <c r="J8472" s="86">
        <f t="shared" si="3"/>
        <v>0</v>
      </c>
      <c r="R8472" s="26"/>
    </row>
    <row r="8473" spans="1:18" ht="15.75" customHeight="1">
      <c r="A8473" s="26"/>
      <c r="B8473" s="86"/>
      <c r="D8473" s="26"/>
      <c r="F8473" s="87" t="str">
        <f t="shared" si="0"/>
        <v/>
      </c>
      <c r="H8473" s="26" t="str">
        <f t="shared" si="1"/>
        <v/>
      </c>
      <c r="I8473" s="26" t="str">
        <f t="shared" si="2"/>
        <v/>
      </c>
      <c r="J8473" s="86">
        <f t="shared" si="3"/>
        <v>0</v>
      </c>
      <c r="R8473" s="26"/>
    </row>
    <row r="8474" spans="1:18" ht="15.75" customHeight="1">
      <c r="A8474" s="26"/>
      <c r="B8474" s="86"/>
      <c r="D8474" s="26"/>
      <c r="F8474" s="87" t="str">
        <f t="shared" si="0"/>
        <v/>
      </c>
      <c r="H8474" s="26" t="str">
        <f t="shared" si="1"/>
        <v/>
      </c>
      <c r="I8474" s="26" t="str">
        <f t="shared" si="2"/>
        <v/>
      </c>
      <c r="J8474" s="86">
        <f t="shared" si="3"/>
        <v>0</v>
      </c>
      <c r="R8474" s="26"/>
    </row>
    <row r="8475" spans="1:18" ht="15.75" customHeight="1">
      <c r="A8475" s="26"/>
      <c r="B8475" s="86"/>
      <c r="D8475" s="26"/>
      <c r="F8475" s="87" t="str">
        <f t="shared" si="0"/>
        <v/>
      </c>
      <c r="H8475" s="26" t="str">
        <f t="shared" si="1"/>
        <v/>
      </c>
      <c r="I8475" s="26" t="str">
        <f t="shared" si="2"/>
        <v/>
      </c>
      <c r="J8475" s="86">
        <f t="shared" si="3"/>
        <v>0</v>
      </c>
      <c r="R8475" s="26"/>
    </row>
    <row r="8476" spans="1:18" ht="15.75" customHeight="1">
      <c r="A8476" s="26"/>
      <c r="B8476" s="86"/>
      <c r="D8476" s="26"/>
      <c r="F8476" s="87" t="str">
        <f t="shared" si="0"/>
        <v/>
      </c>
      <c r="H8476" s="26" t="str">
        <f t="shared" si="1"/>
        <v/>
      </c>
      <c r="I8476" s="26" t="str">
        <f t="shared" si="2"/>
        <v/>
      </c>
      <c r="J8476" s="86">
        <f t="shared" si="3"/>
        <v>0</v>
      </c>
      <c r="R8476" s="26"/>
    </row>
    <row r="8477" spans="1:18" ht="15.75" customHeight="1">
      <c r="A8477" s="26"/>
      <c r="B8477" s="86"/>
      <c r="D8477" s="26"/>
      <c r="F8477" s="87" t="str">
        <f t="shared" si="0"/>
        <v/>
      </c>
      <c r="H8477" s="26" t="str">
        <f t="shared" si="1"/>
        <v/>
      </c>
      <c r="I8477" s="26" t="str">
        <f t="shared" si="2"/>
        <v/>
      </c>
      <c r="J8477" s="86">
        <f t="shared" si="3"/>
        <v>0</v>
      </c>
      <c r="R8477" s="26"/>
    </row>
    <row r="8478" spans="1:18" ht="15.75" customHeight="1">
      <c r="A8478" s="26"/>
      <c r="B8478" s="86"/>
      <c r="D8478" s="26"/>
      <c r="F8478" s="87" t="str">
        <f t="shared" si="0"/>
        <v/>
      </c>
      <c r="H8478" s="26" t="str">
        <f t="shared" si="1"/>
        <v/>
      </c>
      <c r="I8478" s="26" t="str">
        <f t="shared" si="2"/>
        <v/>
      </c>
      <c r="J8478" s="86">
        <f t="shared" si="3"/>
        <v>0</v>
      </c>
      <c r="R8478" s="26"/>
    </row>
    <row r="8479" spans="1:18" ht="15.75" customHeight="1">
      <c r="A8479" s="26"/>
      <c r="B8479" s="86"/>
      <c r="D8479" s="26"/>
      <c r="F8479" s="87" t="str">
        <f t="shared" si="0"/>
        <v/>
      </c>
      <c r="H8479" s="26" t="str">
        <f t="shared" si="1"/>
        <v/>
      </c>
      <c r="I8479" s="26" t="str">
        <f t="shared" si="2"/>
        <v/>
      </c>
      <c r="J8479" s="86">
        <f t="shared" si="3"/>
        <v>0</v>
      </c>
      <c r="R8479" s="26"/>
    </row>
    <row r="8480" spans="1:18" ht="15.75" customHeight="1">
      <c r="A8480" s="26"/>
      <c r="B8480" s="86"/>
      <c r="D8480" s="26"/>
      <c r="F8480" s="87" t="str">
        <f t="shared" si="0"/>
        <v/>
      </c>
      <c r="H8480" s="26" t="str">
        <f t="shared" si="1"/>
        <v/>
      </c>
      <c r="I8480" s="26" t="str">
        <f t="shared" si="2"/>
        <v/>
      </c>
      <c r="J8480" s="86">
        <f t="shared" si="3"/>
        <v>0</v>
      </c>
      <c r="R8480" s="26"/>
    </row>
    <row r="8481" spans="1:18" ht="15.75" customHeight="1">
      <c r="A8481" s="26"/>
      <c r="B8481" s="86"/>
      <c r="D8481" s="26"/>
      <c r="F8481" s="87" t="str">
        <f t="shared" si="0"/>
        <v/>
      </c>
      <c r="H8481" s="26" t="str">
        <f t="shared" si="1"/>
        <v/>
      </c>
      <c r="I8481" s="26" t="str">
        <f t="shared" si="2"/>
        <v/>
      </c>
      <c r="J8481" s="86">
        <f t="shared" si="3"/>
        <v>0</v>
      </c>
      <c r="R8481" s="26"/>
    </row>
    <row r="8482" spans="1:18" ht="15.75" customHeight="1">
      <c r="A8482" s="26"/>
      <c r="B8482" s="86"/>
      <c r="D8482" s="26"/>
      <c r="F8482" s="87" t="str">
        <f t="shared" si="0"/>
        <v/>
      </c>
      <c r="H8482" s="26" t="str">
        <f t="shared" si="1"/>
        <v/>
      </c>
      <c r="I8482" s="26" t="str">
        <f t="shared" si="2"/>
        <v/>
      </c>
      <c r="J8482" s="86">
        <f t="shared" si="3"/>
        <v>0</v>
      </c>
      <c r="R8482" s="26"/>
    </row>
    <row r="8483" spans="1:18" ht="15.75" customHeight="1">
      <c r="A8483" s="26"/>
      <c r="B8483" s="86"/>
      <c r="D8483" s="26"/>
      <c r="F8483" s="87" t="str">
        <f t="shared" si="0"/>
        <v/>
      </c>
      <c r="H8483" s="26" t="str">
        <f t="shared" si="1"/>
        <v/>
      </c>
      <c r="I8483" s="26" t="str">
        <f t="shared" si="2"/>
        <v/>
      </c>
      <c r="J8483" s="86">
        <f t="shared" si="3"/>
        <v>0</v>
      </c>
      <c r="R8483" s="26"/>
    </row>
    <row r="8484" spans="1:18" ht="15.75" customHeight="1">
      <c r="A8484" s="26"/>
      <c r="B8484" s="86"/>
      <c r="D8484" s="26"/>
      <c r="F8484" s="87" t="str">
        <f t="shared" si="0"/>
        <v/>
      </c>
      <c r="H8484" s="26" t="str">
        <f t="shared" si="1"/>
        <v/>
      </c>
      <c r="I8484" s="26" t="str">
        <f t="shared" si="2"/>
        <v/>
      </c>
      <c r="J8484" s="86">
        <f t="shared" si="3"/>
        <v>0</v>
      </c>
      <c r="R8484" s="26"/>
    </row>
    <row r="8485" spans="1:18" ht="15.75" customHeight="1">
      <c r="A8485" s="26"/>
      <c r="B8485" s="86"/>
      <c r="D8485" s="26"/>
      <c r="F8485" s="87" t="str">
        <f t="shared" si="0"/>
        <v/>
      </c>
      <c r="H8485" s="26" t="str">
        <f t="shared" si="1"/>
        <v/>
      </c>
      <c r="I8485" s="26" t="str">
        <f t="shared" si="2"/>
        <v/>
      </c>
      <c r="J8485" s="86">
        <f t="shared" si="3"/>
        <v>0</v>
      </c>
      <c r="R8485" s="26"/>
    </row>
    <row r="8486" spans="1:18" ht="15.75" customHeight="1">
      <c r="A8486" s="26"/>
      <c r="B8486" s="86"/>
      <c r="D8486" s="26"/>
      <c r="F8486" s="87" t="str">
        <f t="shared" si="0"/>
        <v/>
      </c>
      <c r="H8486" s="26" t="str">
        <f t="shared" si="1"/>
        <v/>
      </c>
      <c r="I8486" s="26" t="str">
        <f t="shared" si="2"/>
        <v/>
      </c>
      <c r="J8486" s="86">
        <f t="shared" si="3"/>
        <v>0</v>
      </c>
      <c r="R8486" s="26"/>
    </row>
    <row r="8487" spans="1:18" ht="15.75" customHeight="1">
      <c r="A8487" s="26"/>
      <c r="B8487" s="86"/>
      <c r="D8487" s="26"/>
      <c r="F8487" s="87" t="str">
        <f t="shared" si="0"/>
        <v/>
      </c>
      <c r="H8487" s="26" t="str">
        <f t="shared" si="1"/>
        <v/>
      </c>
      <c r="I8487" s="26" t="str">
        <f t="shared" si="2"/>
        <v/>
      </c>
      <c r="J8487" s="86">
        <f t="shared" si="3"/>
        <v>0</v>
      </c>
      <c r="R8487" s="26"/>
    </row>
    <row r="8488" spans="1:18" ht="15.75" customHeight="1">
      <c r="A8488" s="26"/>
      <c r="B8488" s="86"/>
      <c r="D8488" s="26"/>
      <c r="F8488" s="87" t="str">
        <f t="shared" si="0"/>
        <v/>
      </c>
      <c r="H8488" s="26" t="str">
        <f t="shared" si="1"/>
        <v/>
      </c>
      <c r="I8488" s="26" t="str">
        <f t="shared" si="2"/>
        <v/>
      </c>
      <c r="J8488" s="86">
        <f t="shared" si="3"/>
        <v>0</v>
      </c>
      <c r="R8488" s="26"/>
    </row>
    <row r="8489" spans="1:18" ht="15.75" customHeight="1">
      <c r="A8489" s="26"/>
      <c r="B8489" s="86"/>
      <c r="D8489" s="26"/>
      <c r="F8489" s="87" t="str">
        <f t="shared" si="0"/>
        <v/>
      </c>
      <c r="H8489" s="26" t="str">
        <f t="shared" si="1"/>
        <v/>
      </c>
      <c r="I8489" s="26" t="str">
        <f t="shared" si="2"/>
        <v/>
      </c>
      <c r="J8489" s="86">
        <f t="shared" si="3"/>
        <v>0</v>
      </c>
      <c r="R8489" s="26"/>
    </row>
    <row r="8490" spans="1:18" ht="15.75" customHeight="1">
      <c r="A8490" s="26"/>
      <c r="B8490" s="86"/>
      <c r="D8490" s="26"/>
      <c r="F8490" s="87" t="str">
        <f t="shared" si="0"/>
        <v/>
      </c>
      <c r="H8490" s="26" t="str">
        <f t="shared" si="1"/>
        <v/>
      </c>
      <c r="I8490" s="26" t="str">
        <f t="shared" si="2"/>
        <v/>
      </c>
      <c r="J8490" s="86">
        <f t="shared" si="3"/>
        <v>0</v>
      </c>
      <c r="R8490" s="26"/>
    </row>
    <row r="8491" spans="1:18" ht="15.75" customHeight="1">
      <c r="A8491" s="26"/>
      <c r="B8491" s="86"/>
      <c r="D8491" s="26"/>
      <c r="F8491" s="87" t="str">
        <f t="shared" si="0"/>
        <v/>
      </c>
      <c r="H8491" s="26" t="str">
        <f t="shared" si="1"/>
        <v/>
      </c>
      <c r="I8491" s="26" t="str">
        <f t="shared" si="2"/>
        <v/>
      </c>
      <c r="J8491" s="86">
        <f t="shared" si="3"/>
        <v>0</v>
      </c>
      <c r="R8491" s="26"/>
    </row>
    <row r="8492" spans="1:18" ht="15.75" customHeight="1">
      <c r="A8492" s="26"/>
      <c r="B8492" s="86"/>
      <c r="D8492" s="26"/>
      <c r="F8492" s="87" t="str">
        <f t="shared" si="0"/>
        <v/>
      </c>
      <c r="H8492" s="26" t="str">
        <f t="shared" si="1"/>
        <v/>
      </c>
      <c r="I8492" s="26" t="str">
        <f t="shared" si="2"/>
        <v/>
      </c>
      <c r="J8492" s="86">
        <f t="shared" si="3"/>
        <v>0</v>
      </c>
      <c r="R8492" s="26"/>
    </row>
    <row r="8493" spans="1:18" ht="15.75" customHeight="1">
      <c r="A8493" s="26"/>
      <c r="B8493" s="86"/>
      <c r="D8493" s="26"/>
      <c r="F8493" s="87" t="str">
        <f t="shared" si="0"/>
        <v/>
      </c>
      <c r="H8493" s="26" t="str">
        <f t="shared" si="1"/>
        <v/>
      </c>
      <c r="I8493" s="26" t="str">
        <f t="shared" si="2"/>
        <v/>
      </c>
      <c r="J8493" s="86">
        <f t="shared" si="3"/>
        <v>0</v>
      </c>
      <c r="R8493" s="26"/>
    </row>
    <row r="8494" spans="1:18" ht="15.75" customHeight="1">
      <c r="A8494" s="26"/>
      <c r="B8494" s="86"/>
      <c r="D8494" s="26"/>
      <c r="F8494" s="87" t="str">
        <f t="shared" si="0"/>
        <v/>
      </c>
      <c r="H8494" s="26" t="str">
        <f t="shared" si="1"/>
        <v/>
      </c>
      <c r="I8494" s="26" t="str">
        <f t="shared" si="2"/>
        <v/>
      </c>
      <c r="J8494" s="86">
        <f t="shared" si="3"/>
        <v>0</v>
      </c>
      <c r="R8494" s="26"/>
    </row>
    <row r="8495" spans="1:18" ht="15.75" customHeight="1">
      <c r="A8495" s="26"/>
      <c r="B8495" s="86"/>
      <c r="D8495" s="26"/>
      <c r="F8495" s="87" t="str">
        <f t="shared" si="0"/>
        <v/>
      </c>
      <c r="H8495" s="26" t="str">
        <f t="shared" si="1"/>
        <v/>
      </c>
      <c r="I8495" s="26" t="str">
        <f t="shared" si="2"/>
        <v/>
      </c>
      <c r="J8495" s="86">
        <f t="shared" si="3"/>
        <v>0</v>
      </c>
      <c r="R8495" s="26"/>
    </row>
    <row r="8496" spans="1:18" ht="15.75" customHeight="1">
      <c r="A8496" s="26"/>
      <c r="B8496" s="86"/>
      <c r="D8496" s="26"/>
      <c r="F8496" s="87" t="str">
        <f t="shared" si="0"/>
        <v/>
      </c>
      <c r="H8496" s="26" t="str">
        <f t="shared" si="1"/>
        <v/>
      </c>
      <c r="I8496" s="26" t="str">
        <f t="shared" si="2"/>
        <v/>
      </c>
      <c r="J8496" s="86">
        <f t="shared" si="3"/>
        <v>0</v>
      </c>
      <c r="R8496" s="26"/>
    </row>
    <row r="8497" spans="1:18" ht="15.75" customHeight="1">
      <c r="A8497" s="26"/>
      <c r="B8497" s="86"/>
      <c r="D8497" s="26"/>
      <c r="F8497" s="87" t="str">
        <f t="shared" si="0"/>
        <v/>
      </c>
      <c r="H8497" s="26" t="str">
        <f t="shared" si="1"/>
        <v/>
      </c>
      <c r="I8497" s="26" t="str">
        <f t="shared" si="2"/>
        <v/>
      </c>
      <c r="J8497" s="86">
        <f t="shared" si="3"/>
        <v>0</v>
      </c>
      <c r="R8497" s="26"/>
    </row>
    <row r="8498" spans="1:18" ht="15.75" customHeight="1">
      <c r="A8498" s="26"/>
      <c r="B8498" s="86"/>
      <c r="D8498" s="26"/>
      <c r="F8498" s="87" t="str">
        <f t="shared" si="0"/>
        <v/>
      </c>
      <c r="H8498" s="26" t="str">
        <f t="shared" si="1"/>
        <v/>
      </c>
      <c r="I8498" s="26" t="str">
        <f t="shared" si="2"/>
        <v/>
      </c>
      <c r="J8498" s="86">
        <f t="shared" si="3"/>
        <v>0</v>
      </c>
      <c r="R8498" s="26"/>
    </row>
    <row r="8499" spans="1:18" ht="15.75" customHeight="1">
      <c r="A8499" s="26"/>
      <c r="B8499" s="86"/>
      <c r="D8499" s="26"/>
      <c r="F8499" s="87" t="str">
        <f t="shared" si="0"/>
        <v/>
      </c>
      <c r="H8499" s="26" t="str">
        <f t="shared" si="1"/>
        <v/>
      </c>
      <c r="I8499" s="26" t="str">
        <f t="shared" si="2"/>
        <v/>
      </c>
      <c r="J8499" s="86">
        <f t="shared" si="3"/>
        <v>0</v>
      </c>
      <c r="R8499" s="26"/>
    </row>
    <row r="8500" spans="1:18" ht="15.75" customHeight="1">
      <c r="A8500" s="26"/>
      <c r="B8500" s="86"/>
      <c r="D8500" s="26"/>
      <c r="F8500" s="87" t="str">
        <f t="shared" si="0"/>
        <v/>
      </c>
      <c r="H8500" s="26" t="str">
        <f t="shared" si="1"/>
        <v/>
      </c>
      <c r="I8500" s="26" t="str">
        <f t="shared" si="2"/>
        <v/>
      </c>
      <c r="J8500" s="86">
        <f t="shared" si="3"/>
        <v>0</v>
      </c>
      <c r="R8500" s="26"/>
    </row>
    <row r="8501" spans="1:18" ht="15.75" customHeight="1">
      <c r="A8501" s="26"/>
      <c r="B8501" s="86"/>
      <c r="D8501" s="26"/>
      <c r="F8501" s="87" t="str">
        <f t="shared" si="0"/>
        <v/>
      </c>
      <c r="H8501" s="26" t="str">
        <f t="shared" si="1"/>
        <v/>
      </c>
      <c r="I8501" s="26" t="str">
        <f t="shared" si="2"/>
        <v/>
      </c>
      <c r="J8501" s="86">
        <f t="shared" si="3"/>
        <v>0</v>
      </c>
      <c r="R8501" s="26"/>
    </row>
    <row r="8502" spans="1:18" ht="15.75" customHeight="1">
      <c r="A8502" s="26"/>
      <c r="B8502" s="86"/>
      <c r="D8502" s="26"/>
      <c r="F8502" s="87" t="str">
        <f t="shared" si="0"/>
        <v/>
      </c>
      <c r="H8502" s="26" t="str">
        <f t="shared" si="1"/>
        <v/>
      </c>
      <c r="I8502" s="26" t="str">
        <f t="shared" si="2"/>
        <v/>
      </c>
      <c r="J8502" s="86">
        <f t="shared" si="3"/>
        <v>0</v>
      </c>
      <c r="R8502" s="26"/>
    </row>
    <row r="8503" spans="1:18" ht="15.75" customHeight="1">
      <c r="A8503" s="26"/>
      <c r="B8503" s="86"/>
      <c r="D8503" s="26"/>
      <c r="F8503" s="87" t="str">
        <f t="shared" si="0"/>
        <v/>
      </c>
      <c r="H8503" s="26" t="str">
        <f t="shared" si="1"/>
        <v/>
      </c>
      <c r="I8503" s="26" t="str">
        <f t="shared" si="2"/>
        <v/>
      </c>
      <c r="J8503" s="86">
        <f t="shared" si="3"/>
        <v>0</v>
      </c>
      <c r="R8503" s="26"/>
    </row>
    <row r="8504" spans="1:18" ht="15.75" customHeight="1">
      <c r="A8504" s="26"/>
      <c r="B8504" s="86"/>
      <c r="D8504" s="26"/>
      <c r="F8504" s="87" t="str">
        <f t="shared" si="0"/>
        <v/>
      </c>
      <c r="H8504" s="26" t="str">
        <f t="shared" si="1"/>
        <v/>
      </c>
      <c r="I8504" s="26" t="str">
        <f t="shared" si="2"/>
        <v/>
      </c>
      <c r="J8504" s="86">
        <f t="shared" si="3"/>
        <v>0</v>
      </c>
      <c r="R8504" s="26"/>
    </row>
    <row r="8505" spans="1:18" ht="15.75" customHeight="1">
      <c r="A8505" s="26"/>
      <c r="B8505" s="86"/>
      <c r="D8505" s="26"/>
      <c r="F8505" s="87" t="str">
        <f t="shared" si="0"/>
        <v/>
      </c>
      <c r="H8505" s="26" t="str">
        <f t="shared" si="1"/>
        <v/>
      </c>
      <c r="I8505" s="26" t="str">
        <f t="shared" si="2"/>
        <v/>
      </c>
      <c r="J8505" s="86">
        <f t="shared" si="3"/>
        <v>0</v>
      </c>
      <c r="R8505" s="26"/>
    </row>
    <row r="8506" spans="1:18" ht="15.75" customHeight="1">
      <c r="A8506" s="26"/>
      <c r="B8506" s="86"/>
      <c r="D8506" s="26"/>
      <c r="F8506" s="87" t="str">
        <f t="shared" si="0"/>
        <v/>
      </c>
      <c r="H8506" s="26" t="str">
        <f t="shared" si="1"/>
        <v/>
      </c>
      <c r="I8506" s="26" t="str">
        <f t="shared" si="2"/>
        <v/>
      </c>
      <c r="J8506" s="86">
        <f t="shared" si="3"/>
        <v>0</v>
      </c>
      <c r="R8506" s="26"/>
    </row>
    <row r="8507" spans="1:18" ht="15.75" customHeight="1">
      <c r="A8507" s="26"/>
      <c r="B8507" s="86"/>
      <c r="D8507" s="26"/>
      <c r="F8507" s="87" t="str">
        <f t="shared" si="0"/>
        <v/>
      </c>
      <c r="H8507" s="26" t="str">
        <f t="shared" si="1"/>
        <v/>
      </c>
      <c r="I8507" s="26" t="str">
        <f t="shared" si="2"/>
        <v/>
      </c>
      <c r="J8507" s="86">
        <f t="shared" si="3"/>
        <v>0</v>
      </c>
      <c r="R8507" s="26"/>
    </row>
    <row r="8508" spans="1:18" ht="15.75" customHeight="1">
      <c r="A8508" s="26"/>
      <c r="B8508" s="86"/>
      <c r="D8508" s="26"/>
      <c r="F8508" s="87" t="str">
        <f t="shared" si="0"/>
        <v/>
      </c>
      <c r="H8508" s="26" t="str">
        <f t="shared" si="1"/>
        <v/>
      </c>
      <c r="I8508" s="26" t="str">
        <f t="shared" si="2"/>
        <v/>
      </c>
      <c r="J8508" s="86">
        <f t="shared" si="3"/>
        <v>0</v>
      </c>
      <c r="R8508" s="26"/>
    </row>
    <row r="8509" spans="1:18" ht="15.75" customHeight="1">
      <c r="A8509" s="26"/>
      <c r="B8509" s="86"/>
      <c r="D8509" s="26"/>
      <c r="F8509" s="87" t="str">
        <f t="shared" si="0"/>
        <v/>
      </c>
      <c r="H8509" s="26" t="str">
        <f t="shared" si="1"/>
        <v/>
      </c>
      <c r="I8509" s="26" t="str">
        <f t="shared" si="2"/>
        <v/>
      </c>
      <c r="J8509" s="86">
        <f t="shared" si="3"/>
        <v>0</v>
      </c>
      <c r="R8509" s="26"/>
    </row>
    <row r="8510" spans="1:18" ht="15.75" customHeight="1">
      <c r="A8510" s="26"/>
      <c r="B8510" s="86"/>
      <c r="D8510" s="26"/>
      <c r="F8510" s="87" t="str">
        <f t="shared" si="0"/>
        <v/>
      </c>
      <c r="H8510" s="26" t="str">
        <f t="shared" si="1"/>
        <v/>
      </c>
      <c r="I8510" s="26" t="str">
        <f t="shared" si="2"/>
        <v/>
      </c>
      <c r="J8510" s="86">
        <f t="shared" si="3"/>
        <v>0</v>
      </c>
      <c r="R8510" s="26"/>
    </row>
    <row r="8511" spans="1:18" ht="15.75" customHeight="1">
      <c r="A8511" s="26"/>
      <c r="B8511" s="86"/>
      <c r="D8511" s="26"/>
      <c r="F8511" s="87" t="str">
        <f t="shared" si="0"/>
        <v/>
      </c>
      <c r="H8511" s="26" t="str">
        <f t="shared" si="1"/>
        <v/>
      </c>
      <c r="I8511" s="26" t="str">
        <f t="shared" si="2"/>
        <v/>
      </c>
      <c r="J8511" s="86">
        <f t="shared" si="3"/>
        <v>0</v>
      </c>
      <c r="R8511" s="26"/>
    </row>
    <row r="8512" spans="1:18" ht="15.75" customHeight="1">
      <c r="A8512" s="26"/>
      <c r="B8512" s="86"/>
      <c r="D8512" s="26"/>
      <c r="F8512" s="87" t="str">
        <f t="shared" si="0"/>
        <v/>
      </c>
      <c r="H8512" s="26" t="str">
        <f t="shared" si="1"/>
        <v/>
      </c>
      <c r="I8512" s="26" t="str">
        <f t="shared" si="2"/>
        <v/>
      </c>
      <c r="J8512" s="86">
        <f t="shared" si="3"/>
        <v>0</v>
      </c>
      <c r="R8512" s="26"/>
    </row>
    <row r="8513" spans="1:18" ht="15.75" customHeight="1">
      <c r="A8513" s="26"/>
      <c r="B8513" s="86"/>
      <c r="D8513" s="26"/>
      <c r="F8513" s="87" t="str">
        <f t="shared" si="0"/>
        <v/>
      </c>
      <c r="H8513" s="26" t="str">
        <f t="shared" si="1"/>
        <v/>
      </c>
      <c r="I8513" s="26" t="str">
        <f t="shared" si="2"/>
        <v/>
      </c>
      <c r="J8513" s="86">
        <f t="shared" si="3"/>
        <v>0</v>
      </c>
      <c r="R8513" s="26"/>
    </row>
    <row r="8514" spans="1:18" ht="15.75" customHeight="1">
      <c r="A8514" s="26"/>
      <c r="B8514" s="86"/>
      <c r="D8514" s="26"/>
      <c r="F8514" s="87" t="str">
        <f t="shared" si="0"/>
        <v/>
      </c>
      <c r="H8514" s="26" t="str">
        <f t="shared" si="1"/>
        <v/>
      </c>
      <c r="I8514" s="26" t="str">
        <f t="shared" si="2"/>
        <v/>
      </c>
      <c r="J8514" s="86">
        <f t="shared" si="3"/>
        <v>0</v>
      </c>
      <c r="R8514" s="26"/>
    </row>
    <row r="8515" spans="1:18" ht="15.75" customHeight="1">
      <c r="A8515" s="26"/>
      <c r="B8515" s="86"/>
      <c r="D8515" s="26"/>
      <c r="F8515" s="87" t="str">
        <f t="shared" si="0"/>
        <v/>
      </c>
      <c r="H8515" s="26" t="str">
        <f t="shared" si="1"/>
        <v/>
      </c>
      <c r="I8515" s="26" t="str">
        <f t="shared" si="2"/>
        <v/>
      </c>
      <c r="J8515" s="86">
        <f t="shared" si="3"/>
        <v>0</v>
      </c>
      <c r="R8515" s="26"/>
    </row>
    <row r="8516" spans="1:18" ht="15.75" customHeight="1">
      <c r="A8516" s="26"/>
      <c r="B8516" s="86"/>
      <c r="D8516" s="26"/>
      <c r="F8516" s="87" t="str">
        <f t="shared" si="0"/>
        <v/>
      </c>
      <c r="H8516" s="26" t="str">
        <f t="shared" si="1"/>
        <v/>
      </c>
      <c r="I8516" s="26" t="str">
        <f t="shared" si="2"/>
        <v/>
      </c>
      <c r="J8516" s="86">
        <f t="shared" si="3"/>
        <v>0</v>
      </c>
      <c r="R8516" s="26"/>
    </row>
    <row r="8517" spans="1:18" ht="15.75" customHeight="1">
      <c r="A8517" s="26"/>
      <c r="B8517" s="86"/>
      <c r="D8517" s="26"/>
      <c r="F8517" s="87" t="str">
        <f t="shared" si="0"/>
        <v/>
      </c>
      <c r="H8517" s="26" t="str">
        <f t="shared" si="1"/>
        <v/>
      </c>
      <c r="I8517" s="26" t="str">
        <f t="shared" si="2"/>
        <v/>
      </c>
      <c r="J8517" s="86">
        <f t="shared" si="3"/>
        <v>0</v>
      </c>
      <c r="R8517" s="26"/>
    </row>
    <row r="8518" spans="1:18" ht="15.75" customHeight="1">
      <c r="A8518" s="26"/>
      <c r="B8518" s="86"/>
      <c r="D8518" s="26"/>
      <c r="F8518" s="87" t="str">
        <f t="shared" si="0"/>
        <v/>
      </c>
      <c r="H8518" s="26" t="str">
        <f t="shared" si="1"/>
        <v/>
      </c>
      <c r="I8518" s="26" t="str">
        <f t="shared" si="2"/>
        <v/>
      </c>
      <c r="J8518" s="86">
        <f t="shared" si="3"/>
        <v>0</v>
      </c>
      <c r="R8518" s="26"/>
    </row>
    <row r="8519" spans="1:18" ht="15.75" customHeight="1">
      <c r="A8519" s="26"/>
      <c r="B8519" s="86"/>
      <c r="D8519" s="26"/>
      <c r="F8519" s="87" t="str">
        <f t="shared" si="0"/>
        <v/>
      </c>
      <c r="H8519" s="26" t="str">
        <f t="shared" si="1"/>
        <v/>
      </c>
      <c r="I8519" s="26" t="str">
        <f t="shared" si="2"/>
        <v/>
      </c>
      <c r="J8519" s="86">
        <f t="shared" si="3"/>
        <v>0</v>
      </c>
      <c r="R8519" s="26"/>
    </row>
    <row r="8520" spans="1:18" ht="15.75" customHeight="1">
      <c r="A8520" s="26"/>
      <c r="B8520" s="86"/>
      <c r="D8520" s="26"/>
      <c r="F8520" s="87" t="str">
        <f t="shared" si="0"/>
        <v/>
      </c>
      <c r="H8520" s="26" t="str">
        <f t="shared" si="1"/>
        <v/>
      </c>
      <c r="I8520" s="26" t="str">
        <f t="shared" si="2"/>
        <v/>
      </c>
      <c r="J8520" s="86">
        <f t="shared" si="3"/>
        <v>0</v>
      </c>
      <c r="R8520" s="26"/>
    </row>
    <row r="8521" spans="1:18" ht="15.75" customHeight="1">
      <c r="A8521" s="26"/>
      <c r="B8521" s="86"/>
      <c r="D8521" s="26"/>
      <c r="F8521" s="87" t="str">
        <f t="shared" si="0"/>
        <v/>
      </c>
      <c r="H8521" s="26" t="str">
        <f t="shared" si="1"/>
        <v/>
      </c>
      <c r="I8521" s="26" t="str">
        <f t="shared" si="2"/>
        <v/>
      </c>
      <c r="J8521" s="86">
        <f t="shared" si="3"/>
        <v>0</v>
      </c>
      <c r="R8521" s="26"/>
    </row>
    <row r="8522" spans="1:18" ht="15.75" customHeight="1">
      <c r="A8522" s="26"/>
      <c r="B8522" s="86"/>
      <c r="D8522" s="26"/>
      <c r="F8522" s="87" t="str">
        <f t="shared" si="0"/>
        <v/>
      </c>
      <c r="H8522" s="26" t="str">
        <f t="shared" si="1"/>
        <v/>
      </c>
      <c r="I8522" s="26" t="str">
        <f t="shared" si="2"/>
        <v/>
      </c>
      <c r="J8522" s="86">
        <f t="shared" si="3"/>
        <v>0</v>
      </c>
      <c r="R8522" s="26"/>
    </row>
    <row r="8523" spans="1:18" ht="15.75" customHeight="1">
      <c r="A8523" s="26"/>
      <c r="B8523" s="86"/>
      <c r="D8523" s="26"/>
      <c r="F8523" s="87" t="str">
        <f t="shared" si="0"/>
        <v/>
      </c>
      <c r="H8523" s="26" t="str">
        <f t="shared" si="1"/>
        <v/>
      </c>
      <c r="I8523" s="26" t="str">
        <f t="shared" si="2"/>
        <v/>
      </c>
      <c r="J8523" s="86">
        <f t="shared" si="3"/>
        <v>0</v>
      </c>
      <c r="R8523" s="26"/>
    </row>
    <row r="8524" spans="1:18" ht="15.75" customHeight="1">
      <c r="A8524" s="26"/>
      <c r="B8524" s="86"/>
      <c r="D8524" s="26"/>
      <c r="F8524" s="87" t="str">
        <f t="shared" si="0"/>
        <v/>
      </c>
      <c r="H8524" s="26" t="str">
        <f t="shared" si="1"/>
        <v/>
      </c>
      <c r="I8524" s="26" t="str">
        <f t="shared" si="2"/>
        <v/>
      </c>
      <c r="J8524" s="86">
        <f t="shared" si="3"/>
        <v>0</v>
      </c>
      <c r="R8524" s="26"/>
    </row>
    <row r="8525" spans="1:18" ht="15.75" customHeight="1">
      <c r="A8525" s="26"/>
      <c r="B8525" s="86"/>
      <c r="D8525" s="26"/>
      <c r="F8525" s="87" t="str">
        <f t="shared" si="0"/>
        <v/>
      </c>
      <c r="H8525" s="26" t="str">
        <f t="shared" si="1"/>
        <v/>
      </c>
      <c r="I8525" s="26" t="str">
        <f t="shared" si="2"/>
        <v/>
      </c>
      <c r="J8525" s="86">
        <f t="shared" si="3"/>
        <v>0</v>
      </c>
      <c r="R8525" s="26"/>
    </row>
    <row r="8526" spans="1:18" ht="15.75" customHeight="1">
      <c r="A8526" s="26"/>
      <c r="B8526" s="86"/>
      <c r="D8526" s="26"/>
      <c r="F8526" s="87" t="str">
        <f t="shared" si="0"/>
        <v/>
      </c>
      <c r="H8526" s="26" t="str">
        <f t="shared" si="1"/>
        <v/>
      </c>
      <c r="I8526" s="26" t="str">
        <f t="shared" si="2"/>
        <v/>
      </c>
      <c r="J8526" s="86">
        <f t="shared" si="3"/>
        <v>0</v>
      </c>
      <c r="R8526" s="26"/>
    </row>
    <row r="8527" spans="1:18" ht="15.75" customHeight="1">
      <c r="A8527" s="26"/>
      <c r="B8527" s="86"/>
      <c r="D8527" s="26"/>
      <c r="F8527" s="87" t="str">
        <f t="shared" si="0"/>
        <v/>
      </c>
      <c r="H8527" s="26" t="str">
        <f t="shared" si="1"/>
        <v/>
      </c>
      <c r="I8527" s="26" t="str">
        <f t="shared" si="2"/>
        <v/>
      </c>
      <c r="J8527" s="86">
        <f t="shared" si="3"/>
        <v>0</v>
      </c>
      <c r="R8527" s="26"/>
    </row>
    <row r="8528" spans="1:18" ht="15.75" customHeight="1">
      <c r="A8528" s="26"/>
      <c r="B8528" s="86"/>
      <c r="D8528" s="26"/>
      <c r="F8528" s="87" t="str">
        <f t="shared" si="0"/>
        <v/>
      </c>
      <c r="H8528" s="26" t="str">
        <f t="shared" si="1"/>
        <v/>
      </c>
      <c r="I8528" s="26" t="str">
        <f t="shared" si="2"/>
        <v/>
      </c>
      <c r="J8528" s="86">
        <f t="shared" si="3"/>
        <v>0</v>
      </c>
      <c r="R8528" s="26"/>
    </row>
    <row r="8529" spans="1:18" ht="15.75" customHeight="1">
      <c r="A8529" s="26"/>
      <c r="B8529" s="86"/>
      <c r="D8529" s="26"/>
      <c r="F8529" s="87" t="str">
        <f t="shared" si="0"/>
        <v/>
      </c>
      <c r="H8529" s="26" t="str">
        <f t="shared" si="1"/>
        <v/>
      </c>
      <c r="I8529" s="26" t="str">
        <f t="shared" si="2"/>
        <v/>
      </c>
      <c r="J8529" s="86">
        <f t="shared" si="3"/>
        <v>0</v>
      </c>
      <c r="R8529" s="26"/>
    </row>
    <row r="8530" spans="1:18" ht="15.75" customHeight="1">
      <c r="A8530" s="26"/>
      <c r="B8530" s="86"/>
      <c r="D8530" s="26"/>
      <c r="F8530" s="87" t="str">
        <f t="shared" si="0"/>
        <v/>
      </c>
      <c r="H8530" s="26" t="str">
        <f t="shared" si="1"/>
        <v/>
      </c>
      <c r="I8530" s="26" t="str">
        <f t="shared" si="2"/>
        <v/>
      </c>
      <c r="J8530" s="86">
        <f t="shared" si="3"/>
        <v>0</v>
      </c>
      <c r="R8530" s="26"/>
    </row>
    <row r="8531" spans="1:18" ht="15.75" customHeight="1">
      <c r="A8531" s="26"/>
      <c r="B8531" s="86"/>
      <c r="D8531" s="26"/>
      <c r="F8531" s="87" t="str">
        <f t="shared" si="0"/>
        <v/>
      </c>
      <c r="H8531" s="26" t="str">
        <f t="shared" si="1"/>
        <v/>
      </c>
      <c r="I8531" s="26" t="str">
        <f t="shared" si="2"/>
        <v/>
      </c>
      <c r="J8531" s="86">
        <f t="shared" si="3"/>
        <v>0</v>
      </c>
      <c r="R8531" s="26"/>
    </row>
    <row r="8532" spans="1:18" ht="15.75" customHeight="1">
      <c r="A8532" s="26"/>
      <c r="B8532" s="86"/>
      <c r="D8532" s="26"/>
      <c r="F8532" s="87" t="str">
        <f t="shared" si="0"/>
        <v/>
      </c>
      <c r="H8532" s="26" t="str">
        <f t="shared" si="1"/>
        <v/>
      </c>
      <c r="I8532" s="26" t="str">
        <f t="shared" si="2"/>
        <v/>
      </c>
      <c r="J8532" s="86">
        <f t="shared" si="3"/>
        <v>0</v>
      </c>
      <c r="R8532" s="26"/>
    </row>
    <row r="8533" spans="1:18" ht="15.75" customHeight="1">
      <c r="A8533" s="26"/>
      <c r="B8533" s="86"/>
      <c r="D8533" s="26"/>
      <c r="F8533" s="87" t="str">
        <f t="shared" si="0"/>
        <v/>
      </c>
      <c r="H8533" s="26" t="str">
        <f t="shared" si="1"/>
        <v/>
      </c>
      <c r="I8533" s="26" t="str">
        <f t="shared" si="2"/>
        <v/>
      </c>
      <c r="J8533" s="86">
        <f t="shared" si="3"/>
        <v>0</v>
      </c>
      <c r="R8533" s="26"/>
    </row>
    <row r="8534" spans="1:18" ht="15.75" customHeight="1">
      <c r="A8534" s="26"/>
      <c r="B8534" s="86"/>
      <c r="D8534" s="26"/>
      <c r="F8534" s="87" t="str">
        <f t="shared" si="0"/>
        <v/>
      </c>
      <c r="H8534" s="26" t="str">
        <f t="shared" si="1"/>
        <v/>
      </c>
      <c r="I8534" s="26" t="str">
        <f t="shared" si="2"/>
        <v/>
      </c>
      <c r="J8534" s="86">
        <f t="shared" si="3"/>
        <v>0</v>
      </c>
      <c r="R8534" s="26"/>
    </row>
    <row r="8535" spans="1:18" ht="15.75" customHeight="1">
      <c r="A8535" s="26"/>
      <c r="B8535" s="86"/>
      <c r="D8535" s="26"/>
      <c r="F8535" s="87" t="str">
        <f t="shared" si="0"/>
        <v/>
      </c>
      <c r="H8535" s="26" t="str">
        <f t="shared" si="1"/>
        <v/>
      </c>
      <c r="I8535" s="26" t="str">
        <f t="shared" si="2"/>
        <v/>
      </c>
      <c r="J8535" s="86">
        <f t="shared" si="3"/>
        <v>0</v>
      </c>
      <c r="R8535" s="26"/>
    </row>
    <row r="8536" spans="1:18" ht="15.75" customHeight="1">
      <c r="A8536" s="26"/>
      <c r="B8536" s="86"/>
      <c r="D8536" s="26"/>
      <c r="F8536" s="87" t="str">
        <f t="shared" si="0"/>
        <v/>
      </c>
      <c r="H8536" s="26" t="str">
        <f t="shared" si="1"/>
        <v/>
      </c>
      <c r="I8536" s="26" t="str">
        <f t="shared" si="2"/>
        <v/>
      </c>
      <c r="J8536" s="86">
        <f t="shared" si="3"/>
        <v>0</v>
      </c>
      <c r="R8536" s="26"/>
    </row>
    <row r="8537" spans="1:18" ht="15.75" customHeight="1">
      <c r="A8537" s="26"/>
      <c r="B8537" s="86"/>
      <c r="D8537" s="26"/>
      <c r="F8537" s="87" t="str">
        <f t="shared" si="0"/>
        <v/>
      </c>
      <c r="H8537" s="26" t="str">
        <f t="shared" si="1"/>
        <v/>
      </c>
      <c r="I8537" s="26" t="str">
        <f t="shared" si="2"/>
        <v/>
      </c>
      <c r="J8537" s="86">
        <f t="shared" si="3"/>
        <v>0</v>
      </c>
      <c r="R8537" s="26"/>
    </row>
    <row r="8538" spans="1:18" ht="15.75" customHeight="1">
      <c r="A8538" s="26"/>
      <c r="B8538" s="86"/>
      <c r="D8538" s="26"/>
      <c r="F8538" s="87" t="str">
        <f t="shared" si="0"/>
        <v/>
      </c>
      <c r="H8538" s="26" t="str">
        <f t="shared" si="1"/>
        <v/>
      </c>
      <c r="I8538" s="26" t="str">
        <f t="shared" si="2"/>
        <v/>
      </c>
      <c r="J8538" s="86">
        <f t="shared" si="3"/>
        <v>0</v>
      </c>
      <c r="R8538" s="26"/>
    </row>
    <row r="8539" spans="1:18" ht="15.75" customHeight="1">
      <c r="A8539" s="26"/>
      <c r="B8539" s="86"/>
      <c r="D8539" s="26"/>
      <c r="F8539" s="87" t="str">
        <f t="shared" si="0"/>
        <v/>
      </c>
      <c r="H8539" s="26" t="str">
        <f t="shared" si="1"/>
        <v/>
      </c>
      <c r="I8539" s="26" t="str">
        <f t="shared" si="2"/>
        <v/>
      </c>
      <c r="J8539" s="86">
        <f t="shared" si="3"/>
        <v>0</v>
      </c>
      <c r="R8539" s="26"/>
    </row>
    <row r="8540" spans="1:18" ht="15.75" customHeight="1">
      <c r="A8540" s="26"/>
      <c r="B8540" s="86"/>
      <c r="D8540" s="26"/>
      <c r="F8540" s="87" t="str">
        <f t="shared" si="0"/>
        <v/>
      </c>
      <c r="H8540" s="26" t="str">
        <f t="shared" si="1"/>
        <v/>
      </c>
      <c r="I8540" s="26" t="str">
        <f t="shared" si="2"/>
        <v/>
      </c>
      <c r="J8540" s="86">
        <f t="shared" si="3"/>
        <v>0</v>
      </c>
      <c r="R8540" s="26"/>
    </row>
    <row r="8541" spans="1:18" ht="15.75" customHeight="1">
      <c r="A8541" s="26"/>
      <c r="B8541" s="86"/>
      <c r="D8541" s="26"/>
      <c r="F8541" s="87" t="str">
        <f t="shared" si="0"/>
        <v/>
      </c>
      <c r="H8541" s="26" t="str">
        <f t="shared" si="1"/>
        <v/>
      </c>
      <c r="I8541" s="26" t="str">
        <f t="shared" si="2"/>
        <v/>
      </c>
      <c r="J8541" s="86">
        <f t="shared" si="3"/>
        <v>0</v>
      </c>
      <c r="R8541" s="26"/>
    </row>
    <row r="8542" spans="1:18" ht="15.75" customHeight="1">
      <c r="A8542" s="26"/>
      <c r="B8542" s="86"/>
      <c r="D8542" s="26"/>
      <c r="F8542" s="87" t="str">
        <f t="shared" si="0"/>
        <v/>
      </c>
      <c r="H8542" s="26" t="str">
        <f t="shared" si="1"/>
        <v/>
      </c>
      <c r="I8542" s="26" t="str">
        <f t="shared" si="2"/>
        <v/>
      </c>
      <c r="J8542" s="86">
        <f t="shared" si="3"/>
        <v>0</v>
      </c>
      <c r="R8542" s="26"/>
    </row>
    <row r="8543" spans="1:18" ht="15.75" customHeight="1">
      <c r="A8543" s="26"/>
      <c r="B8543" s="86"/>
      <c r="D8543" s="26"/>
      <c r="F8543" s="87" t="str">
        <f t="shared" si="0"/>
        <v/>
      </c>
      <c r="H8543" s="26" t="str">
        <f t="shared" si="1"/>
        <v/>
      </c>
      <c r="I8543" s="26" t="str">
        <f t="shared" si="2"/>
        <v/>
      </c>
      <c r="J8543" s="86">
        <f t="shared" si="3"/>
        <v>0</v>
      </c>
      <c r="R8543" s="26"/>
    </row>
    <row r="8544" spans="1:18" ht="15.75" customHeight="1">
      <c r="A8544" s="26"/>
      <c r="B8544" s="86"/>
      <c r="D8544" s="26"/>
      <c r="F8544" s="87" t="str">
        <f t="shared" si="0"/>
        <v/>
      </c>
      <c r="H8544" s="26" t="str">
        <f t="shared" si="1"/>
        <v/>
      </c>
      <c r="I8544" s="26" t="str">
        <f t="shared" si="2"/>
        <v/>
      </c>
      <c r="J8544" s="86">
        <f t="shared" si="3"/>
        <v>0</v>
      </c>
      <c r="R8544" s="26"/>
    </row>
    <row r="8545" spans="1:18" ht="15.75" customHeight="1">
      <c r="A8545" s="26"/>
      <c r="B8545" s="86"/>
      <c r="D8545" s="26"/>
      <c r="F8545" s="87" t="str">
        <f t="shared" si="0"/>
        <v/>
      </c>
      <c r="H8545" s="26" t="str">
        <f t="shared" si="1"/>
        <v/>
      </c>
      <c r="I8545" s="26" t="str">
        <f t="shared" si="2"/>
        <v/>
      </c>
      <c r="J8545" s="86">
        <f t="shared" si="3"/>
        <v>0</v>
      </c>
      <c r="R8545" s="26"/>
    </row>
    <row r="8546" spans="1:18" ht="15.75" customHeight="1">
      <c r="A8546" s="26"/>
      <c r="B8546" s="86"/>
      <c r="D8546" s="26"/>
      <c r="F8546" s="87" t="str">
        <f t="shared" si="0"/>
        <v/>
      </c>
      <c r="H8546" s="26" t="str">
        <f t="shared" si="1"/>
        <v/>
      </c>
      <c r="I8546" s="26" t="str">
        <f t="shared" si="2"/>
        <v/>
      </c>
      <c r="J8546" s="86">
        <f t="shared" si="3"/>
        <v>0</v>
      </c>
      <c r="R8546" s="26"/>
    </row>
    <row r="8547" spans="1:18" ht="15.75" customHeight="1">
      <c r="A8547" s="26"/>
      <c r="B8547" s="86"/>
      <c r="D8547" s="26"/>
      <c r="F8547" s="87" t="str">
        <f t="shared" si="0"/>
        <v/>
      </c>
      <c r="H8547" s="26" t="str">
        <f t="shared" si="1"/>
        <v/>
      </c>
      <c r="I8547" s="26" t="str">
        <f t="shared" si="2"/>
        <v/>
      </c>
      <c r="J8547" s="86">
        <f t="shared" si="3"/>
        <v>0</v>
      </c>
      <c r="R8547" s="26"/>
    </row>
    <row r="8548" spans="1:18" ht="15.75" customHeight="1">
      <c r="A8548" s="26"/>
      <c r="B8548" s="86"/>
      <c r="D8548" s="26"/>
      <c r="F8548" s="87" t="str">
        <f t="shared" si="0"/>
        <v/>
      </c>
      <c r="H8548" s="26" t="str">
        <f t="shared" si="1"/>
        <v/>
      </c>
      <c r="I8548" s="26" t="str">
        <f t="shared" si="2"/>
        <v/>
      </c>
      <c r="J8548" s="86">
        <f t="shared" si="3"/>
        <v>0</v>
      </c>
      <c r="R8548" s="26"/>
    </row>
    <row r="8549" spans="1:18" ht="15.75" customHeight="1">
      <c r="A8549" s="26"/>
      <c r="B8549" s="86"/>
      <c r="D8549" s="26"/>
      <c r="F8549" s="87" t="str">
        <f t="shared" si="0"/>
        <v/>
      </c>
      <c r="H8549" s="26" t="str">
        <f t="shared" si="1"/>
        <v/>
      </c>
      <c r="I8549" s="26" t="str">
        <f t="shared" si="2"/>
        <v/>
      </c>
      <c r="J8549" s="86">
        <f t="shared" si="3"/>
        <v>0</v>
      </c>
      <c r="R8549" s="26"/>
    </row>
    <row r="8550" spans="1:18" ht="15.75" customHeight="1">
      <c r="A8550" s="26"/>
      <c r="B8550" s="86"/>
      <c r="D8550" s="26"/>
      <c r="F8550" s="87" t="str">
        <f t="shared" si="0"/>
        <v/>
      </c>
      <c r="H8550" s="26" t="str">
        <f t="shared" si="1"/>
        <v/>
      </c>
      <c r="I8550" s="26" t="str">
        <f t="shared" si="2"/>
        <v/>
      </c>
      <c r="J8550" s="86">
        <f t="shared" si="3"/>
        <v>0</v>
      </c>
      <c r="R8550" s="26"/>
    </row>
    <row r="8551" spans="1:18" ht="15.75" customHeight="1">
      <c r="A8551" s="26"/>
      <c r="B8551" s="86"/>
      <c r="D8551" s="26"/>
      <c r="F8551" s="87" t="str">
        <f t="shared" si="0"/>
        <v/>
      </c>
      <c r="H8551" s="26" t="str">
        <f t="shared" si="1"/>
        <v/>
      </c>
      <c r="I8551" s="26" t="str">
        <f t="shared" si="2"/>
        <v/>
      </c>
      <c r="J8551" s="86">
        <f t="shared" si="3"/>
        <v>0</v>
      </c>
      <c r="R8551" s="26"/>
    </row>
    <row r="8552" spans="1:18" ht="15.75" customHeight="1">
      <c r="A8552" s="26"/>
      <c r="B8552" s="86"/>
      <c r="D8552" s="26"/>
      <c r="F8552" s="87" t="str">
        <f t="shared" si="0"/>
        <v/>
      </c>
      <c r="H8552" s="26" t="str">
        <f t="shared" si="1"/>
        <v/>
      </c>
      <c r="I8552" s="26" t="str">
        <f t="shared" si="2"/>
        <v/>
      </c>
      <c r="J8552" s="86">
        <f t="shared" si="3"/>
        <v>0</v>
      </c>
      <c r="R8552" s="26"/>
    </row>
    <row r="8553" spans="1:18" ht="15.75" customHeight="1">
      <c r="A8553" s="26"/>
      <c r="B8553" s="86"/>
      <c r="D8553" s="26"/>
      <c r="F8553" s="87" t="str">
        <f t="shared" si="0"/>
        <v/>
      </c>
      <c r="H8553" s="26" t="str">
        <f t="shared" si="1"/>
        <v/>
      </c>
      <c r="I8553" s="26" t="str">
        <f t="shared" si="2"/>
        <v/>
      </c>
      <c r="J8553" s="86">
        <f t="shared" si="3"/>
        <v>0</v>
      </c>
      <c r="R8553" s="26"/>
    </row>
    <row r="8554" spans="1:18" ht="15.75" customHeight="1">
      <c r="A8554" s="26"/>
      <c r="B8554" s="86"/>
      <c r="D8554" s="26"/>
      <c r="F8554" s="87" t="str">
        <f t="shared" si="0"/>
        <v/>
      </c>
      <c r="H8554" s="26" t="str">
        <f t="shared" si="1"/>
        <v/>
      </c>
      <c r="I8554" s="26" t="str">
        <f t="shared" si="2"/>
        <v/>
      </c>
      <c r="J8554" s="86">
        <f t="shared" si="3"/>
        <v>0</v>
      </c>
      <c r="R8554" s="26"/>
    </row>
    <row r="8555" spans="1:18" ht="15.75" customHeight="1">
      <c r="A8555" s="26"/>
      <c r="B8555" s="86"/>
      <c r="D8555" s="26"/>
      <c r="F8555" s="87" t="str">
        <f t="shared" si="0"/>
        <v/>
      </c>
      <c r="H8555" s="26" t="str">
        <f t="shared" si="1"/>
        <v/>
      </c>
      <c r="I8555" s="26" t="str">
        <f t="shared" si="2"/>
        <v/>
      </c>
      <c r="J8555" s="86">
        <f t="shared" si="3"/>
        <v>0</v>
      </c>
      <c r="R8555" s="26"/>
    </row>
    <row r="8556" spans="1:18" ht="15.75" customHeight="1">
      <c r="A8556" s="26"/>
      <c r="B8556" s="86"/>
      <c r="D8556" s="26"/>
      <c r="F8556" s="87" t="str">
        <f t="shared" si="0"/>
        <v/>
      </c>
      <c r="H8556" s="26" t="str">
        <f t="shared" si="1"/>
        <v/>
      </c>
      <c r="I8556" s="26" t="str">
        <f t="shared" si="2"/>
        <v/>
      </c>
      <c r="J8556" s="86">
        <f t="shared" si="3"/>
        <v>0</v>
      </c>
      <c r="R8556" s="26"/>
    </row>
    <row r="8557" spans="1:18" ht="15.75" customHeight="1">
      <c r="A8557" s="26"/>
      <c r="B8557" s="86"/>
      <c r="D8557" s="26"/>
      <c r="F8557" s="87" t="str">
        <f t="shared" si="0"/>
        <v/>
      </c>
      <c r="H8557" s="26" t="str">
        <f t="shared" si="1"/>
        <v/>
      </c>
      <c r="I8557" s="26" t="str">
        <f t="shared" si="2"/>
        <v/>
      </c>
      <c r="J8557" s="86">
        <f t="shared" si="3"/>
        <v>0</v>
      </c>
      <c r="R8557" s="26"/>
    </row>
    <row r="8558" spans="1:18" ht="15.75" customHeight="1">
      <c r="A8558" s="26"/>
      <c r="B8558" s="86"/>
      <c r="D8558" s="26"/>
      <c r="F8558" s="87" t="str">
        <f t="shared" si="0"/>
        <v/>
      </c>
      <c r="H8558" s="26" t="str">
        <f t="shared" si="1"/>
        <v/>
      </c>
      <c r="I8558" s="26" t="str">
        <f t="shared" si="2"/>
        <v/>
      </c>
      <c r="J8558" s="86">
        <f t="shared" si="3"/>
        <v>0</v>
      </c>
      <c r="R8558" s="26"/>
    </row>
    <row r="8559" spans="1:18" ht="15.75" customHeight="1">
      <c r="A8559" s="26"/>
      <c r="B8559" s="86"/>
      <c r="D8559" s="26"/>
      <c r="F8559" s="87" t="str">
        <f t="shared" si="0"/>
        <v/>
      </c>
      <c r="H8559" s="26" t="str">
        <f t="shared" si="1"/>
        <v/>
      </c>
      <c r="I8559" s="26" t="str">
        <f t="shared" si="2"/>
        <v/>
      </c>
      <c r="J8559" s="86">
        <f t="shared" si="3"/>
        <v>0</v>
      </c>
      <c r="R8559" s="26"/>
    </row>
    <row r="8560" spans="1:18" ht="15.75" customHeight="1">
      <c r="A8560" s="26"/>
      <c r="B8560" s="86"/>
      <c r="D8560" s="26"/>
      <c r="F8560" s="87" t="str">
        <f t="shared" si="0"/>
        <v/>
      </c>
      <c r="H8560" s="26" t="str">
        <f t="shared" si="1"/>
        <v/>
      </c>
      <c r="I8560" s="26" t="str">
        <f t="shared" si="2"/>
        <v/>
      </c>
      <c r="J8560" s="86">
        <f t="shared" si="3"/>
        <v>0</v>
      </c>
      <c r="R8560" s="26"/>
    </row>
    <row r="8561" spans="1:18" ht="15.75" customHeight="1">
      <c r="A8561" s="26"/>
      <c r="B8561" s="86"/>
      <c r="D8561" s="26"/>
      <c r="F8561" s="87" t="str">
        <f t="shared" si="0"/>
        <v/>
      </c>
      <c r="H8561" s="26" t="str">
        <f t="shared" si="1"/>
        <v/>
      </c>
      <c r="I8561" s="26" t="str">
        <f t="shared" si="2"/>
        <v/>
      </c>
      <c r="J8561" s="86">
        <f t="shared" si="3"/>
        <v>0</v>
      </c>
      <c r="R8561" s="26"/>
    </row>
    <row r="8562" spans="1:18" ht="15.75" customHeight="1">
      <c r="A8562" s="26"/>
      <c r="B8562" s="86"/>
      <c r="D8562" s="26"/>
      <c r="F8562" s="87" t="str">
        <f t="shared" si="0"/>
        <v/>
      </c>
      <c r="H8562" s="26" t="str">
        <f t="shared" si="1"/>
        <v/>
      </c>
      <c r="I8562" s="26" t="str">
        <f t="shared" si="2"/>
        <v/>
      </c>
      <c r="J8562" s="86">
        <f t="shared" si="3"/>
        <v>0</v>
      </c>
      <c r="R8562" s="26"/>
    </row>
    <row r="8563" spans="1:18" ht="15.75" customHeight="1">
      <c r="A8563" s="26"/>
      <c r="B8563" s="86"/>
      <c r="D8563" s="26"/>
      <c r="F8563" s="87" t="str">
        <f t="shared" si="0"/>
        <v/>
      </c>
      <c r="H8563" s="26" t="str">
        <f t="shared" si="1"/>
        <v/>
      </c>
      <c r="I8563" s="26" t="str">
        <f t="shared" si="2"/>
        <v/>
      </c>
      <c r="J8563" s="86">
        <f t="shared" si="3"/>
        <v>0</v>
      </c>
      <c r="R8563" s="26"/>
    </row>
    <row r="8564" spans="1:18" ht="15.75" customHeight="1">
      <c r="A8564" s="26"/>
      <c r="B8564" s="86"/>
      <c r="D8564" s="26"/>
      <c r="F8564" s="87" t="str">
        <f t="shared" si="0"/>
        <v/>
      </c>
      <c r="H8564" s="26" t="str">
        <f t="shared" si="1"/>
        <v/>
      </c>
      <c r="I8564" s="26" t="str">
        <f t="shared" si="2"/>
        <v/>
      </c>
      <c r="J8564" s="86">
        <f t="shared" si="3"/>
        <v>0</v>
      </c>
      <c r="R8564" s="26"/>
    </row>
    <row r="8565" spans="1:18" ht="15.75" customHeight="1">
      <c r="A8565" s="26"/>
      <c r="B8565" s="86"/>
      <c r="D8565" s="26"/>
      <c r="F8565" s="87" t="str">
        <f t="shared" si="0"/>
        <v/>
      </c>
      <c r="H8565" s="26" t="str">
        <f t="shared" si="1"/>
        <v/>
      </c>
      <c r="I8565" s="26" t="str">
        <f t="shared" si="2"/>
        <v/>
      </c>
      <c r="J8565" s="86">
        <f t="shared" si="3"/>
        <v>0</v>
      </c>
      <c r="R8565" s="26"/>
    </row>
    <row r="8566" spans="1:18" ht="15.75" customHeight="1">
      <c r="A8566" s="26"/>
      <c r="B8566" s="86"/>
      <c r="D8566" s="26"/>
      <c r="F8566" s="87" t="str">
        <f t="shared" si="0"/>
        <v/>
      </c>
      <c r="H8566" s="26" t="str">
        <f t="shared" si="1"/>
        <v/>
      </c>
      <c r="I8566" s="26" t="str">
        <f t="shared" si="2"/>
        <v/>
      </c>
      <c r="J8566" s="86">
        <f t="shared" si="3"/>
        <v>0</v>
      </c>
      <c r="R8566" s="26"/>
    </row>
    <row r="8567" spans="1:18" ht="15.75" customHeight="1">
      <c r="A8567" s="26"/>
      <c r="B8567" s="86"/>
      <c r="D8567" s="26"/>
      <c r="F8567" s="87" t="str">
        <f t="shared" si="0"/>
        <v/>
      </c>
      <c r="H8567" s="26" t="str">
        <f t="shared" si="1"/>
        <v/>
      </c>
      <c r="I8567" s="26" t="str">
        <f t="shared" si="2"/>
        <v/>
      </c>
      <c r="J8567" s="86">
        <f t="shared" si="3"/>
        <v>0</v>
      </c>
      <c r="R8567" s="26"/>
    </row>
    <row r="8568" spans="1:18" ht="15.75" customHeight="1">
      <c r="A8568" s="26"/>
      <c r="B8568" s="86"/>
      <c r="D8568" s="26"/>
      <c r="F8568" s="87" t="str">
        <f t="shared" si="0"/>
        <v/>
      </c>
      <c r="H8568" s="26" t="str">
        <f t="shared" si="1"/>
        <v/>
      </c>
      <c r="I8568" s="26" t="str">
        <f t="shared" si="2"/>
        <v/>
      </c>
      <c r="J8568" s="86">
        <f t="shared" si="3"/>
        <v>0</v>
      </c>
      <c r="R8568" s="26"/>
    </row>
    <row r="8569" spans="1:18" ht="15.75" customHeight="1">
      <c r="A8569" s="26"/>
      <c r="B8569" s="86"/>
      <c r="D8569" s="26"/>
      <c r="F8569" s="87" t="str">
        <f t="shared" si="0"/>
        <v/>
      </c>
      <c r="H8569" s="26" t="str">
        <f t="shared" si="1"/>
        <v/>
      </c>
      <c r="I8569" s="26" t="str">
        <f t="shared" si="2"/>
        <v/>
      </c>
      <c r="J8569" s="86">
        <f t="shared" si="3"/>
        <v>0</v>
      </c>
      <c r="R8569" s="26"/>
    </row>
    <row r="8570" spans="1:18" ht="15.75" customHeight="1">
      <c r="A8570" s="26"/>
      <c r="B8570" s="86"/>
      <c r="D8570" s="26"/>
      <c r="F8570" s="87" t="str">
        <f t="shared" si="0"/>
        <v/>
      </c>
      <c r="H8570" s="26" t="str">
        <f t="shared" si="1"/>
        <v/>
      </c>
      <c r="I8570" s="26" t="str">
        <f t="shared" si="2"/>
        <v/>
      </c>
      <c r="J8570" s="86">
        <f t="shared" si="3"/>
        <v>0</v>
      </c>
      <c r="R8570" s="26"/>
    </row>
    <row r="8571" spans="1:18" ht="15.75" customHeight="1">
      <c r="A8571" s="26"/>
      <c r="B8571" s="86"/>
      <c r="D8571" s="26"/>
      <c r="F8571" s="87" t="str">
        <f t="shared" si="0"/>
        <v/>
      </c>
      <c r="H8571" s="26" t="str">
        <f t="shared" si="1"/>
        <v/>
      </c>
      <c r="I8571" s="26" t="str">
        <f t="shared" si="2"/>
        <v/>
      </c>
      <c r="J8571" s="86">
        <f t="shared" si="3"/>
        <v>0</v>
      </c>
      <c r="R8571" s="26"/>
    </row>
    <row r="8572" spans="1:18" ht="15.75" customHeight="1">
      <c r="A8572" s="26"/>
      <c r="B8572" s="86"/>
      <c r="D8572" s="26"/>
      <c r="F8572" s="87" t="str">
        <f t="shared" si="0"/>
        <v/>
      </c>
      <c r="H8572" s="26" t="str">
        <f t="shared" si="1"/>
        <v/>
      </c>
      <c r="I8572" s="26" t="str">
        <f t="shared" si="2"/>
        <v/>
      </c>
      <c r="J8572" s="86">
        <f t="shared" si="3"/>
        <v>0</v>
      </c>
      <c r="R8572" s="26"/>
    </row>
    <row r="8573" spans="1:18" ht="15.75" customHeight="1">
      <c r="A8573" s="26"/>
      <c r="B8573" s="86"/>
      <c r="D8573" s="26"/>
      <c r="F8573" s="87" t="str">
        <f t="shared" si="0"/>
        <v/>
      </c>
      <c r="H8573" s="26" t="str">
        <f t="shared" si="1"/>
        <v/>
      </c>
      <c r="I8573" s="26" t="str">
        <f t="shared" si="2"/>
        <v/>
      </c>
      <c r="J8573" s="86">
        <f t="shared" si="3"/>
        <v>0</v>
      </c>
      <c r="R8573" s="26"/>
    </row>
    <row r="8574" spans="1:18" ht="15.75" customHeight="1">
      <c r="A8574" s="26"/>
      <c r="B8574" s="86"/>
      <c r="D8574" s="26"/>
      <c r="F8574" s="87" t="str">
        <f t="shared" si="0"/>
        <v/>
      </c>
      <c r="H8574" s="26" t="str">
        <f t="shared" si="1"/>
        <v/>
      </c>
      <c r="I8574" s="26" t="str">
        <f t="shared" si="2"/>
        <v/>
      </c>
      <c r="J8574" s="86">
        <f t="shared" si="3"/>
        <v>0</v>
      </c>
      <c r="R8574" s="26"/>
    </row>
    <row r="8575" spans="1:18" ht="15.75" customHeight="1">
      <c r="A8575" s="26"/>
      <c r="B8575" s="86"/>
      <c r="D8575" s="26"/>
      <c r="F8575" s="87" t="str">
        <f t="shared" si="0"/>
        <v/>
      </c>
      <c r="H8575" s="26" t="str">
        <f t="shared" si="1"/>
        <v/>
      </c>
      <c r="I8575" s="26" t="str">
        <f t="shared" si="2"/>
        <v/>
      </c>
      <c r="J8575" s="86">
        <f t="shared" si="3"/>
        <v>0</v>
      </c>
      <c r="R8575" s="26"/>
    </row>
    <row r="8576" spans="1:18" ht="15.75" customHeight="1">
      <c r="A8576" s="26"/>
      <c r="B8576" s="86"/>
      <c r="D8576" s="26"/>
      <c r="F8576" s="87" t="str">
        <f t="shared" si="0"/>
        <v/>
      </c>
      <c r="H8576" s="26" t="str">
        <f t="shared" si="1"/>
        <v/>
      </c>
      <c r="I8576" s="26" t="str">
        <f t="shared" si="2"/>
        <v/>
      </c>
      <c r="J8576" s="86">
        <f t="shared" si="3"/>
        <v>0</v>
      </c>
      <c r="R8576" s="26"/>
    </row>
    <row r="8577" spans="1:18" ht="15.75" customHeight="1">
      <c r="A8577" s="26"/>
      <c r="B8577" s="86"/>
      <c r="D8577" s="26"/>
      <c r="F8577" s="87" t="str">
        <f t="shared" si="0"/>
        <v/>
      </c>
      <c r="H8577" s="26" t="str">
        <f t="shared" si="1"/>
        <v/>
      </c>
      <c r="I8577" s="26" t="str">
        <f t="shared" si="2"/>
        <v/>
      </c>
      <c r="J8577" s="86">
        <f t="shared" si="3"/>
        <v>0</v>
      </c>
      <c r="R8577" s="26"/>
    </row>
    <row r="8578" spans="1:18" ht="15.75" customHeight="1">
      <c r="A8578" s="26"/>
      <c r="B8578" s="86"/>
      <c r="D8578" s="26"/>
      <c r="F8578" s="87" t="str">
        <f t="shared" si="0"/>
        <v/>
      </c>
      <c r="H8578" s="26" t="str">
        <f t="shared" si="1"/>
        <v/>
      </c>
      <c r="I8578" s="26" t="str">
        <f t="shared" si="2"/>
        <v/>
      </c>
      <c r="J8578" s="86">
        <f t="shared" si="3"/>
        <v>0</v>
      </c>
      <c r="R8578" s="26"/>
    </row>
    <row r="8579" spans="1:18" ht="15.75" customHeight="1">
      <c r="A8579" s="26"/>
      <c r="B8579" s="86"/>
      <c r="D8579" s="26"/>
      <c r="F8579" s="87" t="str">
        <f t="shared" si="0"/>
        <v/>
      </c>
      <c r="H8579" s="26" t="str">
        <f t="shared" si="1"/>
        <v/>
      </c>
      <c r="I8579" s="26" t="str">
        <f t="shared" si="2"/>
        <v/>
      </c>
      <c r="J8579" s="86">
        <f t="shared" si="3"/>
        <v>0</v>
      </c>
      <c r="R8579" s="26"/>
    </row>
    <row r="8580" spans="1:18" ht="15.75" customHeight="1">
      <c r="A8580" s="26"/>
      <c r="B8580" s="86"/>
      <c r="D8580" s="26"/>
      <c r="F8580" s="87" t="str">
        <f t="shared" si="0"/>
        <v/>
      </c>
      <c r="H8580" s="26" t="str">
        <f t="shared" si="1"/>
        <v/>
      </c>
      <c r="I8580" s="26" t="str">
        <f t="shared" si="2"/>
        <v/>
      </c>
      <c r="J8580" s="86">
        <f t="shared" si="3"/>
        <v>0</v>
      </c>
      <c r="R8580" s="26"/>
    </row>
    <row r="8581" spans="1:18" ht="15.75" customHeight="1">
      <c r="A8581" s="26"/>
      <c r="B8581" s="86"/>
      <c r="D8581" s="26"/>
      <c r="F8581" s="87" t="str">
        <f t="shared" si="0"/>
        <v/>
      </c>
      <c r="H8581" s="26" t="str">
        <f t="shared" si="1"/>
        <v/>
      </c>
      <c r="I8581" s="26" t="str">
        <f t="shared" si="2"/>
        <v/>
      </c>
      <c r="J8581" s="86">
        <f t="shared" si="3"/>
        <v>0</v>
      </c>
      <c r="R8581" s="26"/>
    </row>
    <row r="8582" spans="1:18" ht="15.75" customHeight="1">
      <c r="A8582" s="26"/>
      <c r="B8582" s="86"/>
      <c r="D8582" s="26"/>
      <c r="F8582" s="87" t="str">
        <f t="shared" si="0"/>
        <v/>
      </c>
      <c r="H8582" s="26" t="str">
        <f t="shared" si="1"/>
        <v/>
      </c>
      <c r="I8582" s="26" t="str">
        <f t="shared" si="2"/>
        <v/>
      </c>
      <c r="J8582" s="86">
        <f t="shared" si="3"/>
        <v>0</v>
      </c>
      <c r="R8582" s="26"/>
    </row>
    <row r="8583" spans="1:18" ht="15.75" customHeight="1">
      <c r="A8583" s="26"/>
      <c r="B8583" s="86"/>
      <c r="D8583" s="26"/>
      <c r="F8583" s="87" t="str">
        <f t="shared" si="0"/>
        <v/>
      </c>
      <c r="H8583" s="26" t="str">
        <f t="shared" si="1"/>
        <v/>
      </c>
      <c r="I8583" s="26" t="str">
        <f t="shared" si="2"/>
        <v/>
      </c>
      <c r="J8583" s="86">
        <f t="shared" si="3"/>
        <v>0</v>
      </c>
      <c r="R8583" s="26"/>
    </row>
    <row r="8584" spans="1:18" ht="15.75" customHeight="1">
      <c r="A8584" s="26"/>
      <c r="B8584" s="86"/>
      <c r="D8584" s="26"/>
      <c r="F8584" s="87" t="str">
        <f t="shared" si="0"/>
        <v/>
      </c>
      <c r="H8584" s="26" t="str">
        <f t="shared" si="1"/>
        <v/>
      </c>
      <c r="I8584" s="26" t="str">
        <f t="shared" si="2"/>
        <v/>
      </c>
      <c r="J8584" s="86">
        <f t="shared" si="3"/>
        <v>0</v>
      </c>
      <c r="R8584" s="26"/>
    </row>
    <row r="8585" spans="1:18" ht="15.75" customHeight="1">
      <c r="A8585" s="26"/>
      <c r="B8585" s="86"/>
      <c r="D8585" s="26"/>
      <c r="F8585" s="87" t="str">
        <f t="shared" si="0"/>
        <v/>
      </c>
      <c r="H8585" s="26" t="str">
        <f t="shared" si="1"/>
        <v/>
      </c>
      <c r="I8585" s="26" t="str">
        <f t="shared" si="2"/>
        <v/>
      </c>
      <c r="J8585" s="86">
        <f t="shared" si="3"/>
        <v>0</v>
      </c>
      <c r="R8585" s="26"/>
    </row>
    <row r="8586" spans="1:18" ht="15.75" customHeight="1">
      <c r="A8586" s="26"/>
      <c r="B8586" s="86"/>
      <c r="D8586" s="26"/>
      <c r="F8586" s="87" t="str">
        <f t="shared" si="0"/>
        <v/>
      </c>
      <c r="H8586" s="26" t="str">
        <f t="shared" si="1"/>
        <v/>
      </c>
      <c r="I8586" s="26" t="str">
        <f t="shared" si="2"/>
        <v/>
      </c>
      <c r="J8586" s="86">
        <f t="shared" si="3"/>
        <v>0</v>
      </c>
      <c r="R8586" s="26"/>
    </row>
    <row r="8587" spans="1:18" ht="15.75" customHeight="1">
      <c r="A8587" s="26"/>
      <c r="B8587" s="86"/>
      <c r="D8587" s="26"/>
      <c r="F8587" s="87" t="str">
        <f t="shared" si="0"/>
        <v/>
      </c>
      <c r="H8587" s="26" t="str">
        <f t="shared" si="1"/>
        <v/>
      </c>
      <c r="I8587" s="26" t="str">
        <f t="shared" si="2"/>
        <v/>
      </c>
      <c r="J8587" s="86">
        <f t="shared" si="3"/>
        <v>0</v>
      </c>
      <c r="R8587" s="26"/>
    </row>
    <row r="8588" spans="1:18" ht="15.75" customHeight="1">
      <c r="A8588" s="26"/>
      <c r="B8588" s="86"/>
      <c r="D8588" s="26"/>
      <c r="F8588" s="87" t="str">
        <f t="shared" si="0"/>
        <v/>
      </c>
      <c r="H8588" s="26" t="str">
        <f t="shared" si="1"/>
        <v/>
      </c>
      <c r="I8588" s="26" t="str">
        <f t="shared" si="2"/>
        <v/>
      </c>
      <c r="J8588" s="86">
        <f t="shared" si="3"/>
        <v>0</v>
      </c>
      <c r="R8588" s="26"/>
    </row>
    <row r="8589" spans="1:18" ht="15.75" customHeight="1">
      <c r="A8589" s="26"/>
      <c r="B8589" s="86"/>
      <c r="D8589" s="26"/>
      <c r="F8589" s="87" t="str">
        <f t="shared" si="0"/>
        <v/>
      </c>
      <c r="H8589" s="26" t="str">
        <f t="shared" si="1"/>
        <v/>
      </c>
      <c r="I8589" s="26" t="str">
        <f t="shared" si="2"/>
        <v/>
      </c>
      <c r="J8589" s="86">
        <f t="shared" si="3"/>
        <v>0</v>
      </c>
      <c r="R8589" s="26"/>
    </row>
    <row r="8590" spans="1:18" ht="15.75" customHeight="1">
      <c r="A8590" s="26"/>
      <c r="B8590" s="86"/>
      <c r="D8590" s="26"/>
      <c r="F8590" s="87" t="str">
        <f t="shared" si="0"/>
        <v/>
      </c>
      <c r="H8590" s="26" t="str">
        <f t="shared" si="1"/>
        <v/>
      </c>
      <c r="I8590" s="26" t="str">
        <f t="shared" si="2"/>
        <v/>
      </c>
      <c r="J8590" s="86">
        <f t="shared" si="3"/>
        <v>0</v>
      </c>
      <c r="R8590" s="26"/>
    </row>
    <row r="8591" spans="1:18" ht="15.75" customHeight="1">
      <c r="A8591" s="26"/>
      <c r="B8591" s="86"/>
      <c r="D8591" s="26"/>
      <c r="F8591" s="87" t="str">
        <f t="shared" si="0"/>
        <v/>
      </c>
      <c r="H8591" s="26" t="str">
        <f t="shared" si="1"/>
        <v/>
      </c>
      <c r="I8591" s="26" t="str">
        <f t="shared" si="2"/>
        <v/>
      </c>
      <c r="J8591" s="86">
        <f t="shared" si="3"/>
        <v>0</v>
      </c>
      <c r="R8591" s="26"/>
    </row>
    <row r="8592" spans="1:18" ht="15.75" customHeight="1">
      <c r="A8592" s="26"/>
      <c r="B8592" s="86"/>
      <c r="D8592" s="26"/>
      <c r="F8592" s="87" t="str">
        <f t="shared" si="0"/>
        <v/>
      </c>
      <c r="H8592" s="26" t="str">
        <f t="shared" si="1"/>
        <v/>
      </c>
      <c r="I8592" s="26" t="str">
        <f t="shared" si="2"/>
        <v/>
      </c>
      <c r="J8592" s="86">
        <f t="shared" si="3"/>
        <v>0</v>
      </c>
      <c r="R8592" s="26"/>
    </row>
    <row r="8593" spans="1:18" ht="15.75" customHeight="1">
      <c r="A8593" s="26"/>
      <c r="B8593" s="86"/>
      <c r="D8593" s="26"/>
      <c r="F8593" s="87" t="str">
        <f t="shared" si="0"/>
        <v/>
      </c>
      <c r="H8593" s="26" t="str">
        <f t="shared" si="1"/>
        <v/>
      </c>
      <c r="I8593" s="26" t="str">
        <f t="shared" si="2"/>
        <v/>
      </c>
      <c r="J8593" s="86">
        <f t="shared" si="3"/>
        <v>0</v>
      </c>
      <c r="R8593" s="26"/>
    </row>
    <row r="8594" spans="1:18" ht="15.75" customHeight="1">
      <c r="A8594" s="26"/>
      <c r="B8594" s="86"/>
      <c r="D8594" s="26"/>
      <c r="F8594" s="87" t="str">
        <f t="shared" si="0"/>
        <v/>
      </c>
      <c r="H8594" s="26" t="str">
        <f t="shared" si="1"/>
        <v/>
      </c>
      <c r="I8594" s="26" t="str">
        <f t="shared" si="2"/>
        <v/>
      </c>
      <c r="J8594" s="86">
        <f t="shared" si="3"/>
        <v>0</v>
      </c>
      <c r="R8594" s="26"/>
    </row>
    <row r="8595" spans="1:18" ht="15.75" customHeight="1">
      <c r="A8595" s="26"/>
      <c r="B8595" s="86"/>
      <c r="D8595" s="26"/>
      <c r="F8595" s="87" t="str">
        <f t="shared" si="0"/>
        <v/>
      </c>
      <c r="H8595" s="26" t="str">
        <f t="shared" si="1"/>
        <v/>
      </c>
      <c r="I8595" s="26" t="str">
        <f t="shared" si="2"/>
        <v/>
      </c>
      <c r="J8595" s="86">
        <f t="shared" si="3"/>
        <v>0</v>
      </c>
      <c r="R8595" s="26"/>
    </row>
    <row r="8596" spans="1:18" ht="15.75" customHeight="1">
      <c r="A8596" s="26"/>
      <c r="B8596" s="86"/>
      <c r="D8596" s="26"/>
      <c r="F8596" s="87" t="str">
        <f t="shared" si="0"/>
        <v/>
      </c>
      <c r="H8596" s="26" t="str">
        <f t="shared" si="1"/>
        <v/>
      </c>
      <c r="I8596" s="26" t="str">
        <f t="shared" si="2"/>
        <v/>
      </c>
      <c r="J8596" s="86">
        <f t="shared" si="3"/>
        <v>0</v>
      </c>
      <c r="R8596" s="26"/>
    </row>
    <row r="8597" spans="1:18" ht="15.75" customHeight="1">
      <c r="A8597" s="26"/>
      <c r="B8597" s="86"/>
      <c r="D8597" s="26"/>
      <c r="F8597" s="87" t="str">
        <f t="shared" si="0"/>
        <v/>
      </c>
      <c r="H8597" s="26" t="str">
        <f t="shared" si="1"/>
        <v/>
      </c>
      <c r="I8597" s="26" t="str">
        <f t="shared" si="2"/>
        <v/>
      </c>
      <c r="J8597" s="86">
        <f t="shared" si="3"/>
        <v>0</v>
      </c>
      <c r="R8597" s="26"/>
    </row>
    <row r="8598" spans="1:18" ht="15.75" customHeight="1">
      <c r="A8598" s="26"/>
      <c r="B8598" s="86"/>
      <c r="D8598" s="26"/>
      <c r="F8598" s="87" t="str">
        <f t="shared" si="0"/>
        <v/>
      </c>
      <c r="H8598" s="26" t="str">
        <f t="shared" si="1"/>
        <v/>
      </c>
      <c r="I8598" s="26" t="str">
        <f t="shared" si="2"/>
        <v/>
      </c>
      <c r="J8598" s="86">
        <f t="shared" si="3"/>
        <v>0</v>
      </c>
      <c r="R8598" s="26"/>
    </row>
    <row r="8599" spans="1:18" ht="15.75" customHeight="1">
      <c r="A8599" s="26"/>
      <c r="B8599" s="86"/>
      <c r="D8599" s="26"/>
      <c r="F8599" s="87" t="str">
        <f t="shared" si="0"/>
        <v/>
      </c>
      <c r="H8599" s="26" t="str">
        <f t="shared" si="1"/>
        <v/>
      </c>
      <c r="I8599" s="26" t="str">
        <f t="shared" si="2"/>
        <v/>
      </c>
      <c r="J8599" s="86">
        <f t="shared" si="3"/>
        <v>0</v>
      </c>
      <c r="R8599" s="26"/>
    </row>
    <row r="8600" spans="1:18" ht="15.75" customHeight="1">
      <c r="A8600" s="26"/>
      <c r="B8600" s="86"/>
      <c r="D8600" s="26"/>
      <c r="F8600" s="87" t="str">
        <f t="shared" si="0"/>
        <v/>
      </c>
      <c r="H8600" s="26" t="str">
        <f t="shared" si="1"/>
        <v/>
      </c>
      <c r="I8600" s="26" t="str">
        <f t="shared" si="2"/>
        <v/>
      </c>
      <c r="J8600" s="86">
        <f t="shared" si="3"/>
        <v>0</v>
      </c>
      <c r="R8600" s="26"/>
    </row>
    <row r="8601" spans="1:18" ht="15.75" customHeight="1">
      <c r="A8601" s="26"/>
      <c r="B8601" s="86"/>
      <c r="D8601" s="26"/>
      <c r="F8601" s="87" t="str">
        <f t="shared" si="0"/>
        <v/>
      </c>
      <c r="H8601" s="26" t="str">
        <f t="shared" si="1"/>
        <v/>
      </c>
      <c r="I8601" s="26" t="str">
        <f t="shared" si="2"/>
        <v/>
      </c>
      <c r="J8601" s="86">
        <f t="shared" si="3"/>
        <v>0</v>
      </c>
      <c r="R8601" s="26"/>
    </row>
    <row r="8602" spans="1:18" ht="15.75" customHeight="1">
      <c r="A8602" s="26"/>
      <c r="B8602" s="86"/>
      <c r="D8602" s="26"/>
      <c r="F8602" s="87" t="str">
        <f t="shared" si="0"/>
        <v/>
      </c>
      <c r="H8602" s="26" t="str">
        <f t="shared" si="1"/>
        <v/>
      </c>
      <c r="I8602" s="26" t="str">
        <f t="shared" si="2"/>
        <v/>
      </c>
      <c r="J8602" s="86">
        <f t="shared" si="3"/>
        <v>0</v>
      </c>
      <c r="R8602" s="26"/>
    </row>
    <row r="8603" spans="1:18" ht="15.75" customHeight="1">
      <c r="A8603" s="26"/>
      <c r="B8603" s="86"/>
      <c r="D8603" s="26"/>
      <c r="F8603" s="87" t="str">
        <f t="shared" si="0"/>
        <v/>
      </c>
      <c r="H8603" s="26" t="str">
        <f t="shared" si="1"/>
        <v/>
      </c>
      <c r="I8603" s="26" t="str">
        <f t="shared" si="2"/>
        <v/>
      </c>
      <c r="J8603" s="86">
        <f t="shared" si="3"/>
        <v>0</v>
      </c>
      <c r="R8603" s="26"/>
    </row>
    <row r="8604" spans="1:18" ht="15.75" customHeight="1">
      <c r="A8604" s="26"/>
      <c r="B8604" s="86"/>
      <c r="D8604" s="26"/>
      <c r="F8604" s="87" t="str">
        <f t="shared" si="0"/>
        <v/>
      </c>
      <c r="H8604" s="26" t="str">
        <f t="shared" si="1"/>
        <v/>
      </c>
      <c r="I8604" s="26" t="str">
        <f t="shared" si="2"/>
        <v/>
      </c>
      <c r="J8604" s="86">
        <f t="shared" si="3"/>
        <v>0</v>
      </c>
      <c r="R8604" s="26"/>
    </row>
    <row r="8605" spans="1:18" ht="15.75" customHeight="1">
      <c r="A8605" s="26"/>
      <c r="B8605" s="86"/>
      <c r="D8605" s="26"/>
      <c r="F8605" s="87" t="str">
        <f t="shared" si="0"/>
        <v/>
      </c>
      <c r="H8605" s="26" t="str">
        <f t="shared" si="1"/>
        <v/>
      </c>
      <c r="I8605" s="26" t="str">
        <f t="shared" si="2"/>
        <v/>
      </c>
      <c r="J8605" s="86">
        <f t="shared" si="3"/>
        <v>0</v>
      </c>
      <c r="R8605" s="26"/>
    </row>
    <row r="8606" spans="1:18" ht="15.75" customHeight="1">
      <c r="A8606" s="26"/>
      <c r="B8606" s="86"/>
      <c r="D8606" s="26"/>
      <c r="F8606" s="87" t="str">
        <f t="shared" si="0"/>
        <v/>
      </c>
      <c r="H8606" s="26" t="str">
        <f t="shared" si="1"/>
        <v/>
      </c>
      <c r="I8606" s="26" t="str">
        <f t="shared" si="2"/>
        <v/>
      </c>
      <c r="J8606" s="86">
        <f t="shared" si="3"/>
        <v>0</v>
      </c>
      <c r="R8606" s="26"/>
    </row>
    <row r="8607" spans="1:18" ht="15.75" customHeight="1">
      <c r="A8607" s="26"/>
      <c r="B8607" s="86"/>
      <c r="D8607" s="26"/>
      <c r="F8607" s="87" t="str">
        <f t="shared" si="0"/>
        <v/>
      </c>
      <c r="H8607" s="26" t="str">
        <f t="shared" si="1"/>
        <v/>
      </c>
      <c r="I8607" s="26" t="str">
        <f t="shared" si="2"/>
        <v/>
      </c>
      <c r="J8607" s="86">
        <f t="shared" si="3"/>
        <v>0</v>
      </c>
      <c r="R8607" s="26"/>
    </row>
    <row r="8608" spans="1:18" ht="15.75" customHeight="1">
      <c r="A8608" s="26"/>
      <c r="B8608" s="86"/>
      <c r="D8608" s="26"/>
      <c r="F8608" s="87" t="str">
        <f t="shared" si="0"/>
        <v/>
      </c>
      <c r="H8608" s="26" t="str">
        <f t="shared" si="1"/>
        <v/>
      </c>
      <c r="I8608" s="26" t="str">
        <f t="shared" si="2"/>
        <v/>
      </c>
      <c r="J8608" s="86">
        <f t="shared" si="3"/>
        <v>0</v>
      </c>
      <c r="R8608" s="26"/>
    </row>
    <row r="8609" spans="1:18" ht="15.75" customHeight="1">
      <c r="A8609" s="26"/>
      <c r="B8609" s="86"/>
      <c r="D8609" s="26"/>
      <c r="F8609" s="87" t="str">
        <f t="shared" si="0"/>
        <v/>
      </c>
      <c r="H8609" s="26" t="str">
        <f t="shared" si="1"/>
        <v/>
      </c>
      <c r="I8609" s="26" t="str">
        <f t="shared" si="2"/>
        <v/>
      </c>
      <c r="J8609" s="86">
        <f t="shared" si="3"/>
        <v>0</v>
      </c>
      <c r="R8609" s="26"/>
    </row>
    <row r="8610" spans="1:18" ht="15.75" customHeight="1">
      <c r="A8610" s="26"/>
      <c r="B8610" s="86"/>
      <c r="D8610" s="26"/>
      <c r="F8610" s="87" t="str">
        <f t="shared" si="0"/>
        <v/>
      </c>
      <c r="H8610" s="26" t="str">
        <f t="shared" si="1"/>
        <v/>
      </c>
      <c r="I8610" s="26" t="str">
        <f t="shared" si="2"/>
        <v/>
      </c>
      <c r="J8610" s="86">
        <f t="shared" si="3"/>
        <v>0</v>
      </c>
      <c r="R8610" s="26"/>
    </row>
    <row r="8611" spans="1:18" ht="15.75" customHeight="1">
      <c r="A8611" s="26"/>
      <c r="B8611" s="86"/>
      <c r="D8611" s="26"/>
      <c r="F8611" s="87" t="str">
        <f t="shared" si="0"/>
        <v/>
      </c>
      <c r="H8611" s="26" t="str">
        <f t="shared" si="1"/>
        <v/>
      </c>
      <c r="I8611" s="26" t="str">
        <f t="shared" si="2"/>
        <v/>
      </c>
      <c r="J8611" s="86">
        <f t="shared" si="3"/>
        <v>0</v>
      </c>
      <c r="R8611" s="26"/>
    </row>
    <row r="8612" spans="1:18" ht="15.75" customHeight="1">
      <c r="A8612" s="26"/>
      <c r="B8612" s="86"/>
      <c r="D8612" s="26"/>
      <c r="F8612" s="87" t="str">
        <f t="shared" si="0"/>
        <v/>
      </c>
      <c r="H8612" s="26" t="str">
        <f t="shared" si="1"/>
        <v/>
      </c>
      <c r="I8612" s="26" t="str">
        <f t="shared" si="2"/>
        <v/>
      </c>
      <c r="J8612" s="86">
        <f t="shared" si="3"/>
        <v>0</v>
      </c>
      <c r="R8612" s="26"/>
    </row>
    <row r="8613" spans="1:18" ht="15.75" customHeight="1">
      <c r="A8613" s="26"/>
      <c r="B8613" s="86"/>
      <c r="D8613" s="26"/>
      <c r="F8613" s="87" t="str">
        <f t="shared" si="0"/>
        <v/>
      </c>
      <c r="H8613" s="26" t="str">
        <f t="shared" si="1"/>
        <v/>
      </c>
      <c r="I8613" s="26" t="str">
        <f t="shared" si="2"/>
        <v/>
      </c>
      <c r="J8613" s="86">
        <f t="shared" si="3"/>
        <v>0</v>
      </c>
      <c r="R8613" s="26"/>
    </row>
    <row r="8614" spans="1:18" ht="15.75" customHeight="1">
      <c r="A8614" s="26"/>
      <c r="B8614" s="86"/>
      <c r="D8614" s="26"/>
      <c r="F8614" s="87" t="str">
        <f t="shared" si="0"/>
        <v/>
      </c>
      <c r="H8614" s="26" t="str">
        <f t="shared" si="1"/>
        <v/>
      </c>
      <c r="I8614" s="26" t="str">
        <f t="shared" si="2"/>
        <v/>
      </c>
      <c r="J8614" s="86">
        <f t="shared" si="3"/>
        <v>0</v>
      </c>
      <c r="R8614" s="26"/>
    </row>
    <row r="8615" spans="1:18" ht="15.75" customHeight="1">
      <c r="A8615" s="26"/>
      <c r="B8615" s="86"/>
      <c r="D8615" s="26"/>
      <c r="F8615" s="87" t="str">
        <f t="shared" si="0"/>
        <v/>
      </c>
      <c r="H8615" s="26" t="str">
        <f t="shared" si="1"/>
        <v/>
      </c>
      <c r="I8615" s="26" t="str">
        <f t="shared" si="2"/>
        <v/>
      </c>
      <c r="J8615" s="86">
        <f t="shared" si="3"/>
        <v>0</v>
      </c>
      <c r="R8615" s="26"/>
    </row>
    <row r="8616" spans="1:18" ht="15.75" customHeight="1">
      <c r="A8616" s="26"/>
      <c r="B8616" s="86"/>
      <c r="D8616" s="26"/>
      <c r="F8616" s="87" t="str">
        <f t="shared" si="0"/>
        <v/>
      </c>
      <c r="H8616" s="26" t="str">
        <f t="shared" si="1"/>
        <v/>
      </c>
      <c r="I8616" s="26" t="str">
        <f t="shared" si="2"/>
        <v/>
      </c>
      <c r="J8616" s="86">
        <f t="shared" si="3"/>
        <v>0</v>
      </c>
      <c r="R8616" s="26"/>
    </row>
    <row r="8617" spans="1:18" ht="15.75" customHeight="1">
      <c r="A8617" s="26"/>
      <c r="B8617" s="86"/>
      <c r="D8617" s="26"/>
      <c r="F8617" s="87" t="str">
        <f t="shared" si="0"/>
        <v/>
      </c>
      <c r="H8617" s="26" t="str">
        <f t="shared" si="1"/>
        <v/>
      </c>
      <c r="I8617" s="26" t="str">
        <f t="shared" si="2"/>
        <v/>
      </c>
      <c r="J8617" s="86">
        <f t="shared" si="3"/>
        <v>0</v>
      </c>
      <c r="R8617" s="26"/>
    </row>
    <row r="8618" spans="1:18" ht="15.75" customHeight="1">
      <c r="A8618" s="26"/>
      <c r="B8618" s="86"/>
      <c r="D8618" s="26"/>
      <c r="F8618" s="87" t="str">
        <f t="shared" si="0"/>
        <v/>
      </c>
      <c r="H8618" s="26" t="str">
        <f t="shared" si="1"/>
        <v/>
      </c>
      <c r="I8618" s="26" t="str">
        <f t="shared" si="2"/>
        <v/>
      </c>
      <c r="J8618" s="86">
        <f t="shared" si="3"/>
        <v>0</v>
      </c>
      <c r="R8618" s="26"/>
    </row>
    <row r="8619" spans="1:18" ht="15.75" customHeight="1">
      <c r="A8619" s="26"/>
      <c r="B8619" s="86"/>
      <c r="D8619" s="26"/>
      <c r="F8619" s="87" t="str">
        <f t="shared" si="0"/>
        <v/>
      </c>
      <c r="H8619" s="26" t="str">
        <f t="shared" si="1"/>
        <v/>
      </c>
      <c r="I8619" s="26" t="str">
        <f t="shared" si="2"/>
        <v/>
      </c>
      <c r="J8619" s="86">
        <f t="shared" si="3"/>
        <v>0</v>
      </c>
      <c r="R8619" s="26"/>
    </row>
    <row r="8620" spans="1:18" ht="15.75" customHeight="1">
      <c r="A8620" s="26"/>
      <c r="B8620" s="86"/>
      <c r="D8620" s="26"/>
      <c r="F8620" s="87" t="str">
        <f t="shared" si="0"/>
        <v/>
      </c>
      <c r="H8620" s="26" t="str">
        <f t="shared" si="1"/>
        <v/>
      </c>
      <c r="I8620" s="26" t="str">
        <f t="shared" si="2"/>
        <v/>
      </c>
      <c r="J8620" s="86">
        <f t="shared" si="3"/>
        <v>0</v>
      </c>
      <c r="R8620" s="26"/>
    </row>
    <row r="8621" spans="1:18" ht="15.75" customHeight="1">
      <c r="A8621" s="26"/>
      <c r="B8621" s="86"/>
      <c r="D8621" s="26"/>
      <c r="F8621" s="87" t="str">
        <f t="shared" si="0"/>
        <v/>
      </c>
      <c r="H8621" s="26" t="str">
        <f t="shared" si="1"/>
        <v/>
      </c>
      <c r="I8621" s="26" t="str">
        <f t="shared" si="2"/>
        <v/>
      </c>
      <c r="J8621" s="86">
        <f t="shared" si="3"/>
        <v>0</v>
      </c>
      <c r="R8621" s="26"/>
    </row>
    <row r="8622" spans="1:18" ht="15.75" customHeight="1">
      <c r="A8622" s="26"/>
      <c r="B8622" s="86"/>
      <c r="D8622" s="26"/>
      <c r="F8622" s="87" t="str">
        <f t="shared" si="0"/>
        <v/>
      </c>
      <c r="H8622" s="26" t="str">
        <f t="shared" si="1"/>
        <v/>
      </c>
      <c r="I8622" s="26" t="str">
        <f t="shared" si="2"/>
        <v/>
      </c>
      <c r="J8622" s="86">
        <f t="shared" si="3"/>
        <v>0</v>
      </c>
      <c r="R8622" s="26"/>
    </row>
    <row r="8623" spans="1:18" ht="15.75" customHeight="1">
      <c r="A8623" s="26"/>
      <c r="B8623" s="86"/>
      <c r="D8623" s="26"/>
      <c r="F8623" s="87" t="str">
        <f t="shared" si="0"/>
        <v/>
      </c>
      <c r="H8623" s="26" t="str">
        <f t="shared" si="1"/>
        <v/>
      </c>
      <c r="I8623" s="26" t="str">
        <f t="shared" si="2"/>
        <v/>
      </c>
      <c r="J8623" s="86">
        <f t="shared" si="3"/>
        <v>0</v>
      </c>
      <c r="R8623" s="26"/>
    </row>
    <row r="8624" spans="1:18" ht="15.75" customHeight="1">
      <c r="A8624" s="26"/>
      <c r="B8624" s="86"/>
      <c r="D8624" s="26"/>
      <c r="F8624" s="87" t="str">
        <f t="shared" si="0"/>
        <v/>
      </c>
      <c r="H8624" s="26" t="str">
        <f t="shared" si="1"/>
        <v/>
      </c>
      <c r="I8624" s="26" t="str">
        <f t="shared" si="2"/>
        <v/>
      </c>
      <c r="J8624" s="86">
        <f t="shared" si="3"/>
        <v>0</v>
      </c>
      <c r="R8624" s="26"/>
    </row>
    <row r="8625" spans="1:18" ht="15.75" customHeight="1">
      <c r="A8625" s="26"/>
      <c r="B8625" s="86"/>
      <c r="D8625" s="26"/>
      <c r="F8625" s="87" t="str">
        <f t="shared" si="0"/>
        <v/>
      </c>
      <c r="H8625" s="26" t="str">
        <f t="shared" si="1"/>
        <v/>
      </c>
      <c r="I8625" s="26" t="str">
        <f t="shared" si="2"/>
        <v/>
      </c>
      <c r="J8625" s="86">
        <f t="shared" si="3"/>
        <v>0</v>
      </c>
      <c r="R8625" s="26"/>
    </row>
    <row r="8626" spans="1:18" ht="15.75" customHeight="1">
      <c r="A8626" s="26"/>
      <c r="B8626" s="86"/>
      <c r="D8626" s="26"/>
      <c r="F8626" s="87" t="str">
        <f t="shared" si="0"/>
        <v/>
      </c>
      <c r="H8626" s="26" t="str">
        <f t="shared" si="1"/>
        <v/>
      </c>
      <c r="I8626" s="26" t="str">
        <f t="shared" si="2"/>
        <v/>
      </c>
      <c r="J8626" s="86">
        <f t="shared" si="3"/>
        <v>0</v>
      </c>
      <c r="R8626" s="26"/>
    </row>
    <row r="8627" spans="1:18" ht="15.75" customHeight="1">
      <c r="A8627" s="26"/>
      <c r="B8627" s="86"/>
      <c r="D8627" s="26"/>
      <c r="F8627" s="87" t="str">
        <f t="shared" si="0"/>
        <v/>
      </c>
      <c r="H8627" s="26" t="str">
        <f t="shared" si="1"/>
        <v/>
      </c>
      <c r="I8627" s="26" t="str">
        <f t="shared" si="2"/>
        <v/>
      </c>
      <c r="J8627" s="86">
        <f t="shared" si="3"/>
        <v>0</v>
      </c>
      <c r="R8627" s="26"/>
    </row>
    <row r="8628" spans="1:18" ht="15.75" customHeight="1">
      <c r="A8628" s="26"/>
      <c r="B8628" s="86"/>
      <c r="D8628" s="26"/>
      <c r="F8628" s="87" t="str">
        <f t="shared" si="0"/>
        <v/>
      </c>
      <c r="H8628" s="26" t="str">
        <f t="shared" si="1"/>
        <v/>
      </c>
      <c r="I8628" s="26" t="str">
        <f t="shared" si="2"/>
        <v/>
      </c>
      <c r="J8628" s="86">
        <f t="shared" si="3"/>
        <v>0</v>
      </c>
      <c r="R8628" s="26"/>
    </row>
    <row r="8629" spans="1:18" ht="15.75" customHeight="1">
      <c r="A8629" s="26"/>
      <c r="B8629" s="86"/>
      <c r="D8629" s="26"/>
      <c r="F8629" s="87" t="str">
        <f t="shared" si="0"/>
        <v/>
      </c>
      <c r="H8629" s="26" t="str">
        <f t="shared" si="1"/>
        <v/>
      </c>
      <c r="I8629" s="26" t="str">
        <f t="shared" si="2"/>
        <v/>
      </c>
      <c r="J8629" s="86">
        <f t="shared" si="3"/>
        <v>0</v>
      </c>
      <c r="R8629" s="26"/>
    </row>
    <row r="8630" spans="1:18" ht="15.75" customHeight="1">
      <c r="A8630" s="26"/>
      <c r="B8630" s="86"/>
      <c r="D8630" s="26"/>
      <c r="F8630" s="87" t="str">
        <f t="shared" si="0"/>
        <v/>
      </c>
      <c r="H8630" s="26" t="str">
        <f t="shared" si="1"/>
        <v/>
      </c>
      <c r="I8630" s="26" t="str">
        <f t="shared" si="2"/>
        <v/>
      </c>
      <c r="J8630" s="86">
        <f t="shared" si="3"/>
        <v>0</v>
      </c>
      <c r="R8630" s="26"/>
    </row>
    <row r="8631" spans="1:18" ht="15.75" customHeight="1">
      <c r="A8631" s="26"/>
      <c r="B8631" s="86"/>
      <c r="D8631" s="26"/>
      <c r="F8631" s="87" t="str">
        <f t="shared" si="0"/>
        <v/>
      </c>
      <c r="H8631" s="26" t="str">
        <f t="shared" si="1"/>
        <v/>
      </c>
      <c r="I8631" s="26" t="str">
        <f t="shared" si="2"/>
        <v/>
      </c>
      <c r="J8631" s="86">
        <f t="shared" si="3"/>
        <v>0</v>
      </c>
      <c r="R8631" s="26"/>
    </row>
    <row r="8632" spans="1:18" ht="15.75" customHeight="1">
      <c r="A8632" s="26"/>
      <c r="B8632" s="86"/>
      <c r="D8632" s="26"/>
      <c r="F8632" s="87" t="str">
        <f t="shared" si="0"/>
        <v/>
      </c>
      <c r="H8632" s="26" t="str">
        <f t="shared" si="1"/>
        <v/>
      </c>
      <c r="I8632" s="26" t="str">
        <f t="shared" si="2"/>
        <v/>
      </c>
      <c r="J8632" s="86">
        <f t="shared" si="3"/>
        <v>0</v>
      </c>
      <c r="R8632" s="26"/>
    </row>
    <row r="8633" spans="1:18" ht="15.75" customHeight="1">
      <c r="A8633" s="26"/>
      <c r="B8633" s="86"/>
      <c r="D8633" s="26"/>
      <c r="F8633" s="87" t="str">
        <f t="shared" si="0"/>
        <v/>
      </c>
      <c r="H8633" s="26" t="str">
        <f t="shared" si="1"/>
        <v/>
      </c>
      <c r="I8633" s="26" t="str">
        <f t="shared" si="2"/>
        <v/>
      </c>
      <c r="J8633" s="86">
        <f t="shared" si="3"/>
        <v>0</v>
      </c>
      <c r="R8633" s="26"/>
    </row>
    <row r="8634" spans="1:18" ht="15.75" customHeight="1">
      <c r="A8634" s="26"/>
      <c r="B8634" s="86"/>
      <c r="D8634" s="26"/>
      <c r="F8634" s="87" t="str">
        <f t="shared" si="0"/>
        <v/>
      </c>
      <c r="H8634" s="26" t="str">
        <f t="shared" si="1"/>
        <v/>
      </c>
      <c r="I8634" s="26" t="str">
        <f t="shared" si="2"/>
        <v/>
      </c>
      <c r="J8634" s="86">
        <f t="shared" si="3"/>
        <v>0</v>
      </c>
      <c r="R8634" s="26"/>
    </row>
    <row r="8635" spans="1:18" ht="15.75" customHeight="1">
      <c r="A8635" s="26"/>
      <c r="B8635" s="86"/>
      <c r="D8635" s="26"/>
      <c r="F8635" s="87" t="str">
        <f t="shared" si="0"/>
        <v/>
      </c>
      <c r="H8635" s="26" t="str">
        <f t="shared" si="1"/>
        <v/>
      </c>
      <c r="I8635" s="26" t="str">
        <f t="shared" si="2"/>
        <v/>
      </c>
      <c r="J8635" s="86">
        <f t="shared" si="3"/>
        <v>0</v>
      </c>
      <c r="R8635" s="26"/>
    </row>
    <row r="8636" spans="1:18" ht="15.75" customHeight="1">
      <c r="A8636" s="26"/>
      <c r="B8636" s="86"/>
      <c r="D8636" s="26"/>
      <c r="F8636" s="87" t="str">
        <f t="shared" si="0"/>
        <v/>
      </c>
      <c r="H8636" s="26" t="str">
        <f t="shared" si="1"/>
        <v/>
      </c>
      <c r="I8636" s="26" t="str">
        <f t="shared" si="2"/>
        <v/>
      </c>
      <c r="J8636" s="86">
        <f t="shared" si="3"/>
        <v>0</v>
      </c>
      <c r="R8636" s="26"/>
    </row>
    <row r="8637" spans="1:18" ht="15.75" customHeight="1">
      <c r="A8637" s="26"/>
      <c r="B8637" s="86"/>
      <c r="D8637" s="26"/>
      <c r="F8637" s="87" t="str">
        <f t="shared" si="0"/>
        <v/>
      </c>
      <c r="H8637" s="26" t="str">
        <f t="shared" si="1"/>
        <v/>
      </c>
      <c r="I8637" s="26" t="str">
        <f t="shared" si="2"/>
        <v/>
      </c>
      <c r="J8637" s="86">
        <f t="shared" si="3"/>
        <v>0</v>
      </c>
      <c r="R8637" s="26"/>
    </row>
    <row r="8638" spans="1:18" ht="15.75" customHeight="1">
      <c r="A8638" s="26"/>
      <c r="B8638" s="86"/>
      <c r="D8638" s="26"/>
      <c r="F8638" s="87" t="str">
        <f t="shared" si="0"/>
        <v/>
      </c>
      <c r="H8638" s="26" t="str">
        <f t="shared" si="1"/>
        <v/>
      </c>
      <c r="I8638" s="26" t="str">
        <f t="shared" si="2"/>
        <v/>
      </c>
      <c r="J8638" s="86">
        <f t="shared" si="3"/>
        <v>0</v>
      </c>
      <c r="R8638" s="26"/>
    </row>
    <row r="8639" spans="1:18" ht="15.75" customHeight="1">
      <c r="A8639" s="26"/>
      <c r="B8639" s="86"/>
      <c r="D8639" s="26"/>
      <c r="F8639" s="87" t="str">
        <f t="shared" si="0"/>
        <v/>
      </c>
      <c r="H8639" s="26" t="str">
        <f t="shared" si="1"/>
        <v/>
      </c>
      <c r="I8639" s="26" t="str">
        <f t="shared" si="2"/>
        <v/>
      </c>
      <c r="J8639" s="86">
        <f t="shared" si="3"/>
        <v>0</v>
      </c>
      <c r="R8639" s="26"/>
    </row>
    <row r="8640" spans="1:18" ht="15.75" customHeight="1">
      <c r="A8640" s="26"/>
      <c r="B8640" s="86"/>
      <c r="D8640" s="26"/>
      <c r="F8640" s="87" t="str">
        <f t="shared" si="0"/>
        <v/>
      </c>
      <c r="H8640" s="26" t="str">
        <f t="shared" si="1"/>
        <v/>
      </c>
      <c r="I8640" s="26" t="str">
        <f t="shared" si="2"/>
        <v/>
      </c>
      <c r="J8640" s="86">
        <f t="shared" si="3"/>
        <v>0</v>
      </c>
      <c r="R8640" s="26"/>
    </row>
    <row r="8641" spans="1:18" ht="15.75" customHeight="1">
      <c r="A8641" s="26"/>
      <c r="B8641" s="86"/>
      <c r="D8641" s="26"/>
      <c r="F8641" s="87" t="str">
        <f t="shared" si="0"/>
        <v/>
      </c>
      <c r="H8641" s="26" t="str">
        <f t="shared" si="1"/>
        <v/>
      </c>
      <c r="I8641" s="26" t="str">
        <f t="shared" si="2"/>
        <v/>
      </c>
      <c r="J8641" s="86">
        <f t="shared" si="3"/>
        <v>0</v>
      </c>
      <c r="R8641" s="26"/>
    </row>
    <row r="8642" spans="1:18" ht="15.75" customHeight="1">
      <c r="A8642" s="26"/>
      <c r="B8642" s="86"/>
      <c r="D8642" s="26"/>
      <c r="F8642" s="87" t="str">
        <f t="shared" si="0"/>
        <v/>
      </c>
      <c r="H8642" s="26" t="str">
        <f t="shared" si="1"/>
        <v/>
      </c>
      <c r="I8642" s="26" t="str">
        <f t="shared" si="2"/>
        <v/>
      </c>
      <c r="J8642" s="86">
        <f t="shared" si="3"/>
        <v>0</v>
      </c>
      <c r="R8642" s="26"/>
    </row>
    <row r="8643" spans="1:18" ht="15.75" customHeight="1">
      <c r="A8643" s="26"/>
      <c r="B8643" s="86"/>
      <c r="D8643" s="26"/>
      <c r="F8643" s="87" t="str">
        <f t="shared" si="0"/>
        <v/>
      </c>
      <c r="H8643" s="26" t="str">
        <f t="shared" si="1"/>
        <v/>
      </c>
      <c r="I8643" s="26" t="str">
        <f t="shared" si="2"/>
        <v/>
      </c>
      <c r="J8643" s="86">
        <f t="shared" si="3"/>
        <v>0</v>
      </c>
      <c r="R8643" s="26"/>
    </row>
    <row r="8644" spans="1:18" ht="15.75" customHeight="1">
      <c r="A8644" s="26"/>
      <c r="B8644" s="86"/>
      <c r="D8644" s="26"/>
      <c r="F8644" s="87" t="str">
        <f t="shared" si="0"/>
        <v/>
      </c>
      <c r="H8644" s="26" t="str">
        <f t="shared" si="1"/>
        <v/>
      </c>
      <c r="I8644" s="26" t="str">
        <f t="shared" si="2"/>
        <v/>
      </c>
      <c r="J8644" s="86">
        <f t="shared" si="3"/>
        <v>0</v>
      </c>
      <c r="R8644" s="26"/>
    </row>
    <row r="8645" spans="1:18" ht="15.75" customHeight="1">
      <c r="A8645" s="26"/>
      <c r="B8645" s="86"/>
      <c r="D8645" s="26"/>
      <c r="F8645" s="87" t="str">
        <f t="shared" si="0"/>
        <v/>
      </c>
      <c r="H8645" s="26" t="str">
        <f t="shared" si="1"/>
        <v/>
      </c>
      <c r="I8645" s="26" t="str">
        <f t="shared" si="2"/>
        <v/>
      </c>
      <c r="J8645" s="86">
        <f t="shared" si="3"/>
        <v>0</v>
      </c>
      <c r="R8645" s="26"/>
    </row>
    <row r="8646" spans="1:18" ht="15.75" customHeight="1">
      <c r="A8646" s="26"/>
      <c r="B8646" s="86"/>
      <c r="D8646" s="26"/>
      <c r="F8646" s="87" t="str">
        <f t="shared" si="0"/>
        <v/>
      </c>
      <c r="H8646" s="26" t="str">
        <f t="shared" si="1"/>
        <v/>
      </c>
      <c r="I8646" s="26" t="str">
        <f t="shared" si="2"/>
        <v/>
      </c>
      <c r="J8646" s="86">
        <f t="shared" si="3"/>
        <v>0</v>
      </c>
      <c r="R8646" s="26"/>
    </row>
    <row r="8647" spans="1:18" ht="15.75" customHeight="1">
      <c r="A8647" s="26"/>
      <c r="B8647" s="86"/>
      <c r="D8647" s="26"/>
      <c r="F8647" s="87" t="str">
        <f t="shared" si="0"/>
        <v/>
      </c>
      <c r="H8647" s="26" t="str">
        <f t="shared" si="1"/>
        <v/>
      </c>
      <c r="I8647" s="26" t="str">
        <f t="shared" si="2"/>
        <v/>
      </c>
      <c r="J8647" s="86">
        <f t="shared" si="3"/>
        <v>0</v>
      </c>
      <c r="R8647" s="26"/>
    </row>
    <row r="8648" spans="1:18" ht="15.75" customHeight="1">
      <c r="A8648" s="26"/>
      <c r="B8648" s="86"/>
      <c r="D8648" s="26"/>
      <c r="F8648" s="87" t="str">
        <f t="shared" si="0"/>
        <v/>
      </c>
      <c r="H8648" s="26" t="str">
        <f t="shared" si="1"/>
        <v/>
      </c>
      <c r="I8648" s="26" t="str">
        <f t="shared" si="2"/>
        <v/>
      </c>
      <c r="J8648" s="86">
        <f t="shared" si="3"/>
        <v>0</v>
      </c>
      <c r="R8648" s="26"/>
    </row>
    <row r="8649" spans="1:18" ht="15.75" customHeight="1">
      <c r="A8649" s="26"/>
      <c r="B8649" s="86"/>
      <c r="D8649" s="26"/>
      <c r="F8649" s="87" t="str">
        <f t="shared" si="0"/>
        <v/>
      </c>
      <c r="H8649" s="26" t="str">
        <f t="shared" si="1"/>
        <v/>
      </c>
      <c r="I8649" s="26" t="str">
        <f t="shared" si="2"/>
        <v/>
      </c>
      <c r="J8649" s="86">
        <f t="shared" si="3"/>
        <v>0</v>
      </c>
      <c r="R8649" s="26"/>
    </row>
    <row r="8650" spans="1:18" ht="15.75" customHeight="1">
      <c r="A8650" s="26"/>
      <c r="B8650" s="86"/>
      <c r="D8650" s="26"/>
      <c r="F8650" s="87" t="str">
        <f t="shared" si="0"/>
        <v/>
      </c>
      <c r="H8650" s="26" t="str">
        <f t="shared" si="1"/>
        <v/>
      </c>
      <c r="I8650" s="26" t="str">
        <f t="shared" si="2"/>
        <v/>
      </c>
      <c r="J8650" s="86">
        <f t="shared" si="3"/>
        <v>0</v>
      </c>
      <c r="R8650" s="26"/>
    </row>
    <row r="8651" spans="1:18" ht="15.75" customHeight="1">
      <c r="A8651" s="26"/>
      <c r="B8651" s="86"/>
      <c r="D8651" s="26"/>
      <c r="F8651" s="87" t="str">
        <f t="shared" si="0"/>
        <v/>
      </c>
      <c r="H8651" s="26" t="str">
        <f t="shared" si="1"/>
        <v/>
      </c>
      <c r="I8651" s="26" t="str">
        <f t="shared" si="2"/>
        <v/>
      </c>
      <c r="J8651" s="86">
        <f t="shared" si="3"/>
        <v>0</v>
      </c>
      <c r="R8651" s="26"/>
    </row>
    <row r="8652" spans="1:18" ht="15.75" customHeight="1">
      <c r="A8652" s="26"/>
      <c r="B8652" s="86"/>
      <c r="D8652" s="26"/>
      <c r="F8652" s="87" t="str">
        <f t="shared" si="0"/>
        <v/>
      </c>
      <c r="H8652" s="26" t="str">
        <f t="shared" si="1"/>
        <v/>
      </c>
      <c r="I8652" s="26" t="str">
        <f t="shared" si="2"/>
        <v/>
      </c>
      <c r="J8652" s="86">
        <f t="shared" si="3"/>
        <v>0</v>
      </c>
      <c r="R8652" s="26"/>
    </row>
    <row r="8653" spans="1:18" ht="15.75" customHeight="1">
      <c r="A8653" s="26"/>
      <c r="B8653" s="86"/>
      <c r="D8653" s="26"/>
      <c r="F8653" s="87" t="str">
        <f t="shared" si="0"/>
        <v/>
      </c>
      <c r="H8653" s="26" t="str">
        <f t="shared" si="1"/>
        <v/>
      </c>
      <c r="I8653" s="26" t="str">
        <f t="shared" si="2"/>
        <v/>
      </c>
      <c r="J8653" s="86">
        <f t="shared" si="3"/>
        <v>0</v>
      </c>
      <c r="R8653" s="26"/>
    </row>
    <row r="8654" spans="1:18" ht="15.75" customHeight="1">
      <c r="A8654" s="26"/>
      <c r="B8654" s="86"/>
      <c r="D8654" s="26"/>
      <c r="F8654" s="87" t="str">
        <f t="shared" si="0"/>
        <v/>
      </c>
      <c r="H8654" s="26" t="str">
        <f t="shared" si="1"/>
        <v/>
      </c>
      <c r="I8654" s="26" t="str">
        <f t="shared" si="2"/>
        <v/>
      </c>
      <c r="J8654" s="86">
        <f t="shared" si="3"/>
        <v>0</v>
      </c>
      <c r="R8654" s="26"/>
    </row>
    <row r="8655" spans="1:18" ht="15.75" customHeight="1">
      <c r="A8655" s="26"/>
      <c r="B8655" s="86"/>
      <c r="D8655" s="26"/>
      <c r="F8655" s="87" t="str">
        <f t="shared" si="0"/>
        <v/>
      </c>
      <c r="H8655" s="26" t="str">
        <f t="shared" si="1"/>
        <v/>
      </c>
      <c r="I8655" s="26" t="str">
        <f t="shared" si="2"/>
        <v/>
      </c>
      <c r="J8655" s="86">
        <f t="shared" si="3"/>
        <v>0</v>
      </c>
      <c r="R8655" s="26"/>
    </row>
    <row r="8656" spans="1:18" ht="15.75" customHeight="1">
      <c r="A8656" s="26"/>
      <c r="B8656" s="86"/>
      <c r="D8656" s="26"/>
      <c r="F8656" s="87" t="str">
        <f t="shared" si="0"/>
        <v/>
      </c>
      <c r="H8656" s="26" t="str">
        <f t="shared" si="1"/>
        <v/>
      </c>
      <c r="I8656" s="26" t="str">
        <f t="shared" si="2"/>
        <v/>
      </c>
      <c r="J8656" s="86">
        <f t="shared" si="3"/>
        <v>0</v>
      </c>
      <c r="R8656" s="26"/>
    </row>
    <row r="8657" spans="1:18" ht="15.75" customHeight="1">
      <c r="A8657" s="26"/>
      <c r="B8657" s="86"/>
      <c r="D8657" s="26"/>
      <c r="F8657" s="87" t="str">
        <f t="shared" si="0"/>
        <v/>
      </c>
      <c r="H8657" s="26" t="str">
        <f t="shared" si="1"/>
        <v/>
      </c>
      <c r="I8657" s="26" t="str">
        <f t="shared" si="2"/>
        <v/>
      </c>
      <c r="J8657" s="86">
        <f t="shared" si="3"/>
        <v>0</v>
      </c>
      <c r="R8657" s="26"/>
    </row>
    <row r="8658" spans="1:18" ht="15.75" customHeight="1">
      <c r="A8658" s="26"/>
      <c r="B8658" s="86"/>
      <c r="D8658" s="26"/>
      <c r="F8658" s="87" t="str">
        <f t="shared" si="0"/>
        <v/>
      </c>
      <c r="H8658" s="26" t="str">
        <f t="shared" si="1"/>
        <v/>
      </c>
      <c r="I8658" s="26" t="str">
        <f t="shared" si="2"/>
        <v/>
      </c>
      <c r="J8658" s="86">
        <f t="shared" si="3"/>
        <v>0</v>
      </c>
      <c r="R8658" s="26"/>
    </row>
    <row r="8659" spans="1:18" ht="15.75" customHeight="1">
      <c r="A8659" s="26"/>
      <c r="B8659" s="86"/>
      <c r="D8659" s="26"/>
      <c r="F8659" s="87" t="str">
        <f t="shared" si="0"/>
        <v/>
      </c>
      <c r="H8659" s="26" t="str">
        <f t="shared" si="1"/>
        <v/>
      </c>
      <c r="I8659" s="26" t="str">
        <f t="shared" si="2"/>
        <v/>
      </c>
      <c r="J8659" s="86">
        <f t="shared" si="3"/>
        <v>0</v>
      </c>
      <c r="R8659" s="26"/>
    </row>
    <row r="8660" spans="1:18" ht="15.75" customHeight="1">
      <c r="A8660" s="26"/>
      <c r="B8660" s="86"/>
      <c r="D8660" s="26"/>
      <c r="F8660" s="87" t="str">
        <f t="shared" si="0"/>
        <v/>
      </c>
      <c r="H8660" s="26" t="str">
        <f t="shared" si="1"/>
        <v/>
      </c>
      <c r="I8660" s="26" t="str">
        <f t="shared" si="2"/>
        <v/>
      </c>
      <c r="J8660" s="86">
        <f t="shared" si="3"/>
        <v>0</v>
      </c>
      <c r="R8660" s="26"/>
    </row>
    <row r="8661" spans="1:18" ht="15.75" customHeight="1">
      <c r="A8661" s="26"/>
      <c r="B8661" s="86"/>
      <c r="D8661" s="26"/>
      <c r="F8661" s="87" t="str">
        <f t="shared" si="0"/>
        <v/>
      </c>
      <c r="H8661" s="26" t="str">
        <f t="shared" si="1"/>
        <v/>
      </c>
      <c r="I8661" s="26" t="str">
        <f t="shared" si="2"/>
        <v/>
      </c>
      <c r="J8661" s="86">
        <f t="shared" si="3"/>
        <v>0</v>
      </c>
      <c r="R8661" s="26"/>
    </row>
    <row r="8662" spans="1:18" ht="15.75" customHeight="1">
      <c r="A8662" s="26"/>
      <c r="B8662" s="86"/>
      <c r="D8662" s="26"/>
      <c r="F8662" s="87" t="str">
        <f t="shared" si="0"/>
        <v/>
      </c>
      <c r="H8662" s="26" t="str">
        <f t="shared" si="1"/>
        <v/>
      </c>
      <c r="I8662" s="26" t="str">
        <f t="shared" si="2"/>
        <v/>
      </c>
      <c r="J8662" s="86">
        <f t="shared" si="3"/>
        <v>0</v>
      </c>
      <c r="R8662" s="26"/>
    </row>
    <row r="8663" spans="1:18" ht="15.75" customHeight="1">
      <c r="A8663" s="26"/>
      <c r="B8663" s="86"/>
      <c r="D8663" s="26"/>
      <c r="F8663" s="87" t="str">
        <f t="shared" si="0"/>
        <v/>
      </c>
      <c r="H8663" s="26" t="str">
        <f t="shared" si="1"/>
        <v/>
      </c>
      <c r="I8663" s="26" t="str">
        <f t="shared" si="2"/>
        <v/>
      </c>
      <c r="J8663" s="86">
        <f t="shared" si="3"/>
        <v>0</v>
      </c>
      <c r="R8663" s="26"/>
    </row>
    <row r="8664" spans="1:18" ht="15.75" customHeight="1">
      <c r="A8664" s="26"/>
      <c r="B8664" s="86"/>
      <c r="D8664" s="26"/>
      <c r="F8664" s="87" t="str">
        <f t="shared" si="0"/>
        <v/>
      </c>
      <c r="H8664" s="26" t="str">
        <f t="shared" si="1"/>
        <v/>
      </c>
      <c r="I8664" s="26" t="str">
        <f t="shared" si="2"/>
        <v/>
      </c>
      <c r="J8664" s="86">
        <f t="shared" si="3"/>
        <v>0</v>
      </c>
      <c r="R8664" s="26"/>
    </row>
    <row r="8665" spans="1:18" ht="15.75" customHeight="1">
      <c r="A8665" s="26"/>
      <c r="B8665" s="86"/>
      <c r="D8665" s="26"/>
      <c r="F8665" s="87" t="str">
        <f t="shared" si="0"/>
        <v/>
      </c>
      <c r="H8665" s="26" t="str">
        <f t="shared" si="1"/>
        <v/>
      </c>
      <c r="I8665" s="26" t="str">
        <f t="shared" si="2"/>
        <v/>
      </c>
      <c r="J8665" s="86">
        <f t="shared" si="3"/>
        <v>0</v>
      </c>
      <c r="R8665" s="26"/>
    </row>
    <row r="8666" spans="1:18" ht="15.75" customHeight="1">
      <c r="A8666" s="26"/>
      <c r="B8666" s="86"/>
      <c r="D8666" s="26"/>
      <c r="F8666" s="87" t="str">
        <f t="shared" si="0"/>
        <v/>
      </c>
      <c r="H8666" s="26" t="str">
        <f t="shared" si="1"/>
        <v/>
      </c>
      <c r="I8666" s="26" t="str">
        <f t="shared" si="2"/>
        <v/>
      </c>
      <c r="J8666" s="86">
        <f t="shared" si="3"/>
        <v>0</v>
      </c>
      <c r="R8666" s="26"/>
    </row>
    <row r="8667" spans="1:18" ht="15.75" customHeight="1">
      <c r="A8667" s="26"/>
      <c r="B8667" s="86"/>
      <c r="D8667" s="26"/>
      <c r="F8667" s="87" t="str">
        <f t="shared" si="0"/>
        <v/>
      </c>
      <c r="H8667" s="26" t="str">
        <f t="shared" si="1"/>
        <v/>
      </c>
      <c r="I8667" s="26" t="str">
        <f t="shared" si="2"/>
        <v/>
      </c>
      <c r="J8667" s="86">
        <f t="shared" si="3"/>
        <v>0</v>
      </c>
      <c r="R8667" s="26"/>
    </row>
    <row r="8668" spans="1:18" ht="15.75" customHeight="1">
      <c r="A8668" s="26"/>
      <c r="B8668" s="86"/>
      <c r="D8668" s="26"/>
      <c r="F8668" s="87" t="str">
        <f t="shared" si="0"/>
        <v/>
      </c>
      <c r="H8668" s="26" t="str">
        <f t="shared" si="1"/>
        <v/>
      </c>
      <c r="I8668" s="26" t="str">
        <f t="shared" si="2"/>
        <v/>
      </c>
      <c r="J8668" s="86">
        <f t="shared" si="3"/>
        <v>0</v>
      </c>
      <c r="R8668" s="26"/>
    </row>
    <row r="8669" spans="1:18" ht="15.75" customHeight="1">
      <c r="A8669" s="26"/>
      <c r="B8669" s="86"/>
      <c r="D8669" s="26"/>
      <c r="F8669" s="87" t="str">
        <f t="shared" si="0"/>
        <v/>
      </c>
      <c r="H8669" s="26" t="str">
        <f t="shared" si="1"/>
        <v/>
      </c>
      <c r="I8669" s="26" t="str">
        <f t="shared" si="2"/>
        <v/>
      </c>
      <c r="J8669" s="86">
        <f t="shared" si="3"/>
        <v>0</v>
      </c>
      <c r="R8669" s="26"/>
    </row>
    <row r="8670" spans="1:18" ht="15.75" customHeight="1">
      <c r="A8670" s="26"/>
      <c r="B8670" s="86"/>
      <c r="D8670" s="26"/>
      <c r="F8670" s="87" t="str">
        <f t="shared" si="0"/>
        <v/>
      </c>
      <c r="H8670" s="26" t="str">
        <f t="shared" si="1"/>
        <v/>
      </c>
      <c r="I8670" s="26" t="str">
        <f t="shared" si="2"/>
        <v/>
      </c>
      <c r="J8670" s="86">
        <f t="shared" si="3"/>
        <v>0</v>
      </c>
      <c r="R8670" s="26"/>
    </row>
    <row r="8671" spans="1:18" ht="15.75" customHeight="1">
      <c r="A8671" s="26"/>
      <c r="B8671" s="86"/>
      <c r="D8671" s="26"/>
      <c r="F8671" s="87" t="str">
        <f t="shared" si="0"/>
        <v/>
      </c>
      <c r="H8671" s="26" t="str">
        <f t="shared" si="1"/>
        <v/>
      </c>
      <c r="I8671" s="26" t="str">
        <f t="shared" si="2"/>
        <v/>
      </c>
      <c r="J8671" s="86">
        <f t="shared" si="3"/>
        <v>0</v>
      </c>
      <c r="R8671" s="26"/>
    </row>
    <row r="8672" spans="1:18" ht="15.75" customHeight="1">
      <c r="A8672" s="26"/>
      <c r="B8672" s="86"/>
      <c r="D8672" s="26"/>
      <c r="F8672" s="87" t="str">
        <f t="shared" si="0"/>
        <v/>
      </c>
      <c r="H8672" s="26" t="str">
        <f t="shared" si="1"/>
        <v/>
      </c>
      <c r="I8672" s="26" t="str">
        <f t="shared" si="2"/>
        <v/>
      </c>
      <c r="J8672" s="86">
        <f t="shared" si="3"/>
        <v>0</v>
      </c>
      <c r="R8672" s="26"/>
    </row>
    <row r="8673" spans="1:18" ht="15.75" customHeight="1">
      <c r="A8673" s="26"/>
      <c r="B8673" s="86"/>
      <c r="D8673" s="26"/>
      <c r="F8673" s="87" t="str">
        <f t="shared" si="0"/>
        <v/>
      </c>
      <c r="H8673" s="26" t="str">
        <f t="shared" si="1"/>
        <v/>
      </c>
      <c r="I8673" s="26" t="str">
        <f t="shared" si="2"/>
        <v/>
      </c>
      <c r="J8673" s="86">
        <f t="shared" si="3"/>
        <v>0</v>
      </c>
      <c r="R8673" s="26"/>
    </row>
    <row r="8674" spans="1:18" ht="15.75" customHeight="1">
      <c r="A8674" s="26"/>
      <c r="B8674" s="86"/>
      <c r="D8674" s="26"/>
      <c r="F8674" s="87" t="str">
        <f t="shared" si="0"/>
        <v/>
      </c>
      <c r="H8674" s="26" t="str">
        <f t="shared" si="1"/>
        <v/>
      </c>
      <c r="I8674" s="26" t="str">
        <f t="shared" si="2"/>
        <v/>
      </c>
      <c r="J8674" s="86">
        <f t="shared" si="3"/>
        <v>0</v>
      </c>
      <c r="R8674" s="26"/>
    </row>
    <row r="8675" spans="1:18" ht="15.75" customHeight="1">
      <c r="A8675" s="26"/>
      <c r="B8675" s="86"/>
      <c r="D8675" s="26"/>
      <c r="F8675" s="87" t="str">
        <f t="shared" si="0"/>
        <v/>
      </c>
      <c r="H8675" s="26" t="str">
        <f t="shared" si="1"/>
        <v/>
      </c>
      <c r="I8675" s="26" t="str">
        <f t="shared" si="2"/>
        <v/>
      </c>
      <c r="J8675" s="86">
        <f t="shared" si="3"/>
        <v>0</v>
      </c>
      <c r="R8675" s="26"/>
    </row>
    <row r="8676" spans="1:18" ht="15.75" customHeight="1">
      <c r="A8676" s="26"/>
      <c r="B8676" s="86"/>
      <c r="D8676" s="26"/>
      <c r="F8676" s="87" t="str">
        <f t="shared" si="0"/>
        <v/>
      </c>
      <c r="H8676" s="26" t="str">
        <f t="shared" si="1"/>
        <v/>
      </c>
      <c r="I8676" s="26" t="str">
        <f t="shared" si="2"/>
        <v/>
      </c>
      <c r="J8676" s="86">
        <f t="shared" si="3"/>
        <v>0</v>
      </c>
      <c r="R8676" s="26"/>
    </row>
    <row r="8677" spans="1:18" ht="15.75" customHeight="1">
      <c r="A8677" s="26"/>
      <c r="B8677" s="86"/>
      <c r="D8677" s="26"/>
      <c r="F8677" s="87" t="str">
        <f t="shared" si="0"/>
        <v/>
      </c>
      <c r="H8677" s="26" t="str">
        <f t="shared" si="1"/>
        <v/>
      </c>
      <c r="I8677" s="26" t="str">
        <f t="shared" si="2"/>
        <v/>
      </c>
      <c r="J8677" s="86">
        <f t="shared" si="3"/>
        <v>0</v>
      </c>
      <c r="R8677" s="26"/>
    </row>
    <row r="8678" spans="1:18" ht="15.75" customHeight="1">
      <c r="A8678" s="26"/>
      <c r="B8678" s="86"/>
      <c r="D8678" s="26"/>
      <c r="F8678" s="87" t="str">
        <f t="shared" si="0"/>
        <v/>
      </c>
      <c r="H8678" s="26" t="str">
        <f t="shared" si="1"/>
        <v/>
      </c>
      <c r="I8678" s="26" t="str">
        <f t="shared" si="2"/>
        <v/>
      </c>
      <c r="J8678" s="86">
        <f t="shared" si="3"/>
        <v>0</v>
      </c>
      <c r="R8678" s="26"/>
    </row>
    <row r="8679" spans="1:18" ht="15.75" customHeight="1">
      <c r="A8679" s="26"/>
      <c r="B8679" s="86"/>
      <c r="D8679" s="26"/>
      <c r="F8679" s="87" t="str">
        <f t="shared" si="0"/>
        <v/>
      </c>
      <c r="H8679" s="26" t="str">
        <f t="shared" si="1"/>
        <v/>
      </c>
      <c r="I8679" s="26" t="str">
        <f t="shared" si="2"/>
        <v/>
      </c>
      <c r="J8679" s="86">
        <f t="shared" si="3"/>
        <v>0</v>
      </c>
      <c r="R8679" s="26"/>
    </row>
    <row r="8680" spans="1:18" ht="15.75" customHeight="1">
      <c r="A8680" s="26"/>
      <c r="B8680" s="86"/>
      <c r="D8680" s="26"/>
      <c r="F8680" s="87" t="str">
        <f t="shared" si="0"/>
        <v/>
      </c>
      <c r="H8680" s="26" t="str">
        <f t="shared" si="1"/>
        <v/>
      </c>
      <c r="I8680" s="26" t="str">
        <f t="shared" si="2"/>
        <v/>
      </c>
      <c r="J8680" s="86">
        <f t="shared" si="3"/>
        <v>0</v>
      </c>
      <c r="R8680" s="26"/>
    </row>
    <row r="8681" spans="1:18" ht="15.75" customHeight="1">
      <c r="A8681" s="26"/>
      <c r="B8681" s="86"/>
      <c r="D8681" s="26"/>
      <c r="F8681" s="87" t="str">
        <f t="shared" si="0"/>
        <v/>
      </c>
      <c r="H8681" s="26" t="str">
        <f t="shared" si="1"/>
        <v/>
      </c>
      <c r="I8681" s="26" t="str">
        <f t="shared" si="2"/>
        <v/>
      </c>
      <c r="J8681" s="86">
        <f t="shared" si="3"/>
        <v>0</v>
      </c>
      <c r="R8681" s="26"/>
    </row>
    <row r="8682" spans="1:18" ht="15.75" customHeight="1">
      <c r="A8682" s="26"/>
      <c r="B8682" s="86"/>
      <c r="D8682" s="26"/>
      <c r="F8682" s="87" t="str">
        <f t="shared" si="0"/>
        <v/>
      </c>
      <c r="H8682" s="26" t="str">
        <f t="shared" si="1"/>
        <v/>
      </c>
      <c r="I8682" s="26" t="str">
        <f t="shared" si="2"/>
        <v/>
      </c>
      <c r="J8682" s="86">
        <f t="shared" si="3"/>
        <v>0</v>
      </c>
      <c r="R8682" s="26"/>
    </row>
    <row r="8683" spans="1:18" ht="15.75" customHeight="1">
      <c r="A8683" s="26"/>
      <c r="B8683" s="86"/>
      <c r="D8683" s="26"/>
      <c r="F8683" s="87" t="str">
        <f t="shared" si="0"/>
        <v/>
      </c>
      <c r="H8683" s="26" t="str">
        <f t="shared" si="1"/>
        <v/>
      </c>
      <c r="I8683" s="26" t="str">
        <f t="shared" si="2"/>
        <v/>
      </c>
      <c r="J8683" s="86">
        <f t="shared" si="3"/>
        <v>0</v>
      </c>
      <c r="R8683" s="26"/>
    </row>
    <row r="8684" spans="1:18" ht="15.75" customHeight="1">
      <c r="A8684" s="26"/>
      <c r="B8684" s="86"/>
      <c r="D8684" s="26"/>
      <c r="F8684" s="87" t="str">
        <f t="shared" si="0"/>
        <v/>
      </c>
      <c r="H8684" s="26" t="str">
        <f t="shared" si="1"/>
        <v/>
      </c>
      <c r="I8684" s="26" t="str">
        <f t="shared" si="2"/>
        <v/>
      </c>
      <c r="J8684" s="86">
        <f t="shared" si="3"/>
        <v>0</v>
      </c>
      <c r="R8684" s="26"/>
    </row>
    <row r="8685" spans="1:18" ht="15.75" customHeight="1">
      <c r="A8685" s="26"/>
      <c r="B8685" s="86"/>
      <c r="D8685" s="26"/>
      <c r="F8685" s="87" t="str">
        <f t="shared" si="0"/>
        <v/>
      </c>
      <c r="H8685" s="26" t="str">
        <f t="shared" si="1"/>
        <v/>
      </c>
      <c r="I8685" s="26" t="str">
        <f t="shared" si="2"/>
        <v/>
      </c>
      <c r="J8685" s="86">
        <f t="shared" si="3"/>
        <v>0</v>
      </c>
      <c r="R8685" s="26"/>
    </row>
    <row r="8686" spans="1:18" ht="15.75" customHeight="1">
      <c r="A8686" s="26"/>
      <c r="B8686" s="86"/>
      <c r="D8686" s="26"/>
      <c r="F8686" s="87" t="str">
        <f t="shared" si="0"/>
        <v/>
      </c>
      <c r="H8686" s="26" t="str">
        <f t="shared" si="1"/>
        <v/>
      </c>
      <c r="I8686" s="26" t="str">
        <f t="shared" si="2"/>
        <v/>
      </c>
      <c r="J8686" s="86">
        <f t="shared" si="3"/>
        <v>0</v>
      </c>
      <c r="R8686" s="26"/>
    </row>
    <row r="8687" spans="1:18" ht="15.75" customHeight="1">
      <c r="A8687" s="26"/>
      <c r="B8687" s="86"/>
      <c r="D8687" s="26"/>
      <c r="F8687" s="87" t="str">
        <f t="shared" si="0"/>
        <v/>
      </c>
      <c r="H8687" s="26" t="str">
        <f t="shared" si="1"/>
        <v/>
      </c>
      <c r="I8687" s="26" t="str">
        <f t="shared" si="2"/>
        <v/>
      </c>
      <c r="J8687" s="86">
        <f t="shared" si="3"/>
        <v>0</v>
      </c>
      <c r="R8687" s="26"/>
    </row>
    <row r="8688" spans="1:18" ht="15.75" customHeight="1">
      <c r="A8688" s="26"/>
      <c r="B8688" s="86"/>
      <c r="D8688" s="26"/>
      <c r="F8688" s="87" t="str">
        <f t="shared" si="0"/>
        <v/>
      </c>
      <c r="H8688" s="26" t="str">
        <f t="shared" si="1"/>
        <v/>
      </c>
      <c r="I8688" s="26" t="str">
        <f t="shared" si="2"/>
        <v/>
      </c>
      <c r="J8688" s="86">
        <f t="shared" si="3"/>
        <v>0</v>
      </c>
      <c r="R8688" s="26"/>
    </row>
    <row r="8689" spans="1:18" ht="15.75" customHeight="1">
      <c r="A8689" s="26"/>
      <c r="B8689" s="86"/>
      <c r="D8689" s="26"/>
      <c r="F8689" s="87" t="str">
        <f t="shared" si="0"/>
        <v/>
      </c>
      <c r="H8689" s="26" t="str">
        <f t="shared" si="1"/>
        <v/>
      </c>
      <c r="I8689" s="26" t="str">
        <f t="shared" si="2"/>
        <v/>
      </c>
      <c r="J8689" s="86">
        <f t="shared" si="3"/>
        <v>0</v>
      </c>
      <c r="R8689" s="26"/>
    </row>
    <row r="8690" spans="1:18" ht="15.75" customHeight="1">
      <c r="A8690" s="26"/>
      <c r="B8690" s="86"/>
      <c r="D8690" s="26"/>
      <c r="F8690" s="87" t="str">
        <f t="shared" si="0"/>
        <v/>
      </c>
      <c r="H8690" s="26" t="str">
        <f t="shared" si="1"/>
        <v/>
      </c>
      <c r="I8690" s="26" t="str">
        <f t="shared" si="2"/>
        <v/>
      </c>
      <c r="J8690" s="86">
        <f t="shared" si="3"/>
        <v>0</v>
      </c>
      <c r="R8690" s="26"/>
    </row>
    <row r="8691" spans="1:18" ht="15.75" customHeight="1">
      <c r="A8691" s="26"/>
      <c r="B8691" s="86"/>
      <c r="D8691" s="26"/>
      <c r="F8691" s="87" t="str">
        <f t="shared" si="0"/>
        <v/>
      </c>
      <c r="H8691" s="26" t="str">
        <f t="shared" si="1"/>
        <v/>
      </c>
      <c r="I8691" s="26" t="str">
        <f t="shared" si="2"/>
        <v/>
      </c>
      <c r="J8691" s="86">
        <f t="shared" si="3"/>
        <v>0</v>
      </c>
      <c r="R8691" s="26"/>
    </row>
    <row r="8692" spans="1:18" ht="15.75" customHeight="1">
      <c r="A8692" s="26"/>
      <c r="B8692" s="86"/>
      <c r="D8692" s="26"/>
      <c r="F8692" s="87" t="str">
        <f t="shared" si="0"/>
        <v/>
      </c>
      <c r="H8692" s="26" t="str">
        <f t="shared" si="1"/>
        <v/>
      </c>
      <c r="I8692" s="26" t="str">
        <f t="shared" si="2"/>
        <v/>
      </c>
      <c r="J8692" s="86">
        <f t="shared" si="3"/>
        <v>0</v>
      </c>
      <c r="R8692" s="26"/>
    </row>
    <row r="8693" spans="1:18" ht="15.75" customHeight="1">
      <c r="A8693" s="26"/>
      <c r="B8693" s="86"/>
      <c r="D8693" s="26"/>
      <c r="F8693" s="87" t="str">
        <f t="shared" si="0"/>
        <v/>
      </c>
      <c r="H8693" s="26" t="str">
        <f t="shared" si="1"/>
        <v/>
      </c>
      <c r="I8693" s="26" t="str">
        <f t="shared" si="2"/>
        <v/>
      </c>
      <c r="J8693" s="86">
        <f t="shared" si="3"/>
        <v>0</v>
      </c>
      <c r="R8693" s="26"/>
    </row>
    <row r="8694" spans="1:18" ht="15.75" customHeight="1">
      <c r="A8694" s="26"/>
      <c r="B8694" s="86"/>
      <c r="D8694" s="26"/>
      <c r="F8694" s="87" t="str">
        <f t="shared" si="0"/>
        <v/>
      </c>
      <c r="H8694" s="26" t="str">
        <f t="shared" si="1"/>
        <v/>
      </c>
      <c r="I8694" s="26" t="str">
        <f t="shared" si="2"/>
        <v/>
      </c>
      <c r="J8694" s="86">
        <f t="shared" si="3"/>
        <v>0</v>
      </c>
      <c r="R8694" s="26"/>
    </row>
    <row r="8695" spans="1:18" ht="15.75" customHeight="1">
      <c r="A8695" s="26"/>
      <c r="B8695" s="86"/>
      <c r="D8695" s="26"/>
      <c r="F8695" s="87" t="str">
        <f t="shared" si="0"/>
        <v/>
      </c>
      <c r="H8695" s="26" t="str">
        <f t="shared" si="1"/>
        <v/>
      </c>
      <c r="I8695" s="26" t="str">
        <f t="shared" si="2"/>
        <v/>
      </c>
      <c r="J8695" s="86">
        <f t="shared" si="3"/>
        <v>0</v>
      </c>
      <c r="R8695" s="26"/>
    </row>
    <row r="8696" spans="1:18" ht="15.75" customHeight="1">
      <c r="A8696" s="26"/>
      <c r="B8696" s="86"/>
      <c r="D8696" s="26"/>
      <c r="F8696" s="87" t="str">
        <f t="shared" si="0"/>
        <v/>
      </c>
      <c r="H8696" s="26" t="str">
        <f t="shared" si="1"/>
        <v/>
      </c>
      <c r="I8696" s="26" t="str">
        <f t="shared" si="2"/>
        <v/>
      </c>
      <c r="J8696" s="86">
        <f t="shared" si="3"/>
        <v>0</v>
      </c>
      <c r="R8696" s="26"/>
    </row>
    <row r="8697" spans="1:18" ht="15.75" customHeight="1">
      <c r="A8697" s="26"/>
      <c r="B8697" s="86"/>
      <c r="D8697" s="26"/>
      <c r="F8697" s="87" t="str">
        <f t="shared" si="0"/>
        <v/>
      </c>
      <c r="H8697" s="26" t="str">
        <f t="shared" si="1"/>
        <v/>
      </c>
      <c r="I8697" s="26" t="str">
        <f t="shared" si="2"/>
        <v/>
      </c>
      <c r="J8697" s="86">
        <f t="shared" si="3"/>
        <v>0</v>
      </c>
      <c r="R8697" s="26"/>
    </row>
    <row r="8698" spans="1:18" ht="15.75" customHeight="1">
      <c r="A8698" s="26"/>
      <c r="B8698" s="86"/>
      <c r="D8698" s="26"/>
      <c r="F8698" s="87" t="str">
        <f t="shared" si="0"/>
        <v/>
      </c>
      <c r="H8698" s="26" t="str">
        <f t="shared" si="1"/>
        <v/>
      </c>
      <c r="I8698" s="26" t="str">
        <f t="shared" si="2"/>
        <v/>
      </c>
      <c r="J8698" s="86">
        <f t="shared" si="3"/>
        <v>0</v>
      </c>
      <c r="R8698" s="26"/>
    </row>
    <row r="8699" spans="1:18" ht="15.75" customHeight="1">
      <c r="A8699" s="26"/>
      <c r="B8699" s="86"/>
      <c r="D8699" s="26"/>
      <c r="F8699" s="87" t="str">
        <f t="shared" si="0"/>
        <v/>
      </c>
      <c r="H8699" s="26" t="str">
        <f t="shared" si="1"/>
        <v/>
      </c>
      <c r="I8699" s="26" t="str">
        <f t="shared" si="2"/>
        <v/>
      </c>
      <c r="J8699" s="86">
        <f t="shared" si="3"/>
        <v>0</v>
      </c>
      <c r="R8699" s="26"/>
    </row>
    <row r="8700" spans="1:18" ht="15.75" customHeight="1">
      <c r="A8700" s="26"/>
      <c r="B8700" s="86"/>
      <c r="D8700" s="26"/>
      <c r="F8700" s="87" t="str">
        <f t="shared" si="0"/>
        <v/>
      </c>
      <c r="H8700" s="26" t="str">
        <f t="shared" si="1"/>
        <v/>
      </c>
      <c r="I8700" s="26" t="str">
        <f t="shared" si="2"/>
        <v/>
      </c>
      <c r="J8700" s="86">
        <f t="shared" si="3"/>
        <v>0</v>
      </c>
      <c r="R8700" s="26"/>
    </row>
    <row r="8701" spans="1:18" ht="15.75" customHeight="1">
      <c r="A8701" s="26"/>
      <c r="B8701" s="86"/>
      <c r="D8701" s="26"/>
      <c r="F8701" s="87" t="str">
        <f t="shared" si="0"/>
        <v/>
      </c>
      <c r="H8701" s="26" t="str">
        <f t="shared" si="1"/>
        <v/>
      </c>
      <c r="I8701" s="26" t="str">
        <f t="shared" si="2"/>
        <v/>
      </c>
      <c r="J8701" s="86">
        <f t="shared" si="3"/>
        <v>0</v>
      </c>
      <c r="R8701" s="26"/>
    </row>
    <row r="8702" spans="1:18" ht="15.75" customHeight="1">
      <c r="A8702" s="26"/>
      <c r="B8702" s="86"/>
      <c r="D8702" s="26"/>
      <c r="F8702" s="87" t="str">
        <f t="shared" si="0"/>
        <v/>
      </c>
      <c r="H8702" s="26" t="str">
        <f t="shared" si="1"/>
        <v/>
      </c>
      <c r="I8702" s="26" t="str">
        <f t="shared" si="2"/>
        <v/>
      </c>
      <c r="J8702" s="86">
        <f t="shared" si="3"/>
        <v>0</v>
      </c>
      <c r="R8702" s="26"/>
    </row>
    <row r="8703" spans="1:18" ht="15.75" customHeight="1">
      <c r="A8703" s="26"/>
      <c r="B8703" s="86"/>
      <c r="D8703" s="26"/>
      <c r="F8703" s="87" t="str">
        <f t="shared" si="0"/>
        <v/>
      </c>
      <c r="H8703" s="26" t="str">
        <f t="shared" si="1"/>
        <v/>
      </c>
      <c r="I8703" s="26" t="str">
        <f t="shared" si="2"/>
        <v/>
      </c>
      <c r="J8703" s="86">
        <f t="shared" si="3"/>
        <v>0</v>
      </c>
      <c r="R8703" s="26"/>
    </row>
    <row r="8704" spans="1:18" ht="15.75" customHeight="1">
      <c r="A8704" s="26"/>
      <c r="B8704" s="86"/>
      <c r="D8704" s="26"/>
      <c r="F8704" s="87" t="str">
        <f t="shared" si="0"/>
        <v/>
      </c>
      <c r="H8704" s="26" t="str">
        <f t="shared" si="1"/>
        <v/>
      </c>
      <c r="I8704" s="26" t="str">
        <f t="shared" si="2"/>
        <v/>
      </c>
      <c r="J8704" s="86">
        <f t="shared" si="3"/>
        <v>0</v>
      </c>
      <c r="R8704" s="26"/>
    </row>
    <row r="8705" spans="1:18" ht="15.75" customHeight="1">
      <c r="A8705" s="26"/>
      <c r="B8705" s="86"/>
      <c r="D8705" s="26"/>
      <c r="F8705" s="87" t="str">
        <f t="shared" si="0"/>
        <v/>
      </c>
      <c r="H8705" s="26" t="str">
        <f t="shared" si="1"/>
        <v/>
      </c>
      <c r="I8705" s="26" t="str">
        <f t="shared" si="2"/>
        <v/>
      </c>
      <c r="J8705" s="86">
        <f t="shared" si="3"/>
        <v>0</v>
      </c>
      <c r="R8705" s="26"/>
    </row>
    <row r="8706" spans="1:18" ht="15.75" customHeight="1">
      <c r="A8706" s="26"/>
      <c r="B8706" s="86"/>
      <c r="D8706" s="26"/>
      <c r="F8706" s="87" t="str">
        <f t="shared" si="0"/>
        <v/>
      </c>
      <c r="H8706" s="26" t="str">
        <f t="shared" si="1"/>
        <v/>
      </c>
      <c r="I8706" s="26" t="str">
        <f t="shared" si="2"/>
        <v/>
      </c>
      <c r="J8706" s="86">
        <f t="shared" si="3"/>
        <v>0</v>
      </c>
      <c r="R8706" s="26"/>
    </row>
    <row r="8707" spans="1:18" ht="15.75" customHeight="1">
      <c r="A8707" s="26"/>
      <c r="B8707" s="86"/>
      <c r="D8707" s="26"/>
      <c r="F8707" s="87" t="str">
        <f t="shared" si="0"/>
        <v/>
      </c>
      <c r="H8707" s="26" t="str">
        <f t="shared" si="1"/>
        <v/>
      </c>
      <c r="I8707" s="26" t="str">
        <f t="shared" si="2"/>
        <v/>
      </c>
      <c r="J8707" s="86">
        <f t="shared" si="3"/>
        <v>0</v>
      </c>
      <c r="R8707" s="26"/>
    </row>
    <row r="8708" spans="1:18" ht="15.75" customHeight="1">
      <c r="A8708" s="26"/>
      <c r="B8708" s="86"/>
      <c r="D8708" s="26"/>
      <c r="F8708" s="87" t="str">
        <f t="shared" si="0"/>
        <v/>
      </c>
      <c r="H8708" s="26" t="str">
        <f t="shared" si="1"/>
        <v/>
      </c>
      <c r="I8708" s="26" t="str">
        <f t="shared" si="2"/>
        <v/>
      </c>
      <c r="J8708" s="86">
        <f t="shared" si="3"/>
        <v>0</v>
      </c>
      <c r="R8708" s="26"/>
    </row>
    <row r="8709" spans="1:18" ht="15.75" customHeight="1">
      <c r="A8709" s="26"/>
      <c r="B8709" s="86"/>
      <c r="D8709" s="26"/>
      <c r="F8709" s="87" t="str">
        <f t="shared" si="0"/>
        <v/>
      </c>
      <c r="H8709" s="26" t="str">
        <f t="shared" si="1"/>
        <v/>
      </c>
      <c r="I8709" s="26" t="str">
        <f t="shared" si="2"/>
        <v/>
      </c>
      <c r="J8709" s="86">
        <f t="shared" si="3"/>
        <v>0</v>
      </c>
      <c r="R8709" s="26"/>
    </row>
    <row r="8710" spans="1:18" ht="15.75" customHeight="1">
      <c r="A8710" s="26"/>
      <c r="B8710" s="86"/>
      <c r="D8710" s="26"/>
      <c r="F8710" s="87" t="str">
        <f t="shared" si="0"/>
        <v/>
      </c>
      <c r="H8710" s="26" t="str">
        <f t="shared" si="1"/>
        <v/>
      </c>
      <c r="I8710" s="26" t="str">
        <f t="shared" si="2"/>
        <v/>
      </c>
      <c r="J8710" s="86">
        <f t="shared" si="3"/>
        <v>0</v>
      </c>
      <c r="R8710" s="26"/>
    </row>
    <row r="8711" spans="1:18" ht="15.75" customHeight="1">
      <c r="A8711" s="26"/>
      <c r="B8711" s="86"/>
      <c r="D8711" s="26"/>
      <c r="F8711" s="87" t="str">
        <f t="shared" si="0"/>
        <v/>
      </c>
      <c r="H8711" s="26" t="str">
        <f t="shared" si="1"/>
        <v/>
      </c>
      <c r="I8711" s="26" t="str">
        <f t="shared" si="2"/>
        <v/>
      </c>
      <c r="J8711" s="86">
        <f t="shared" si="3"/>
        <v>0</v>
      </c>
      <c r="R8711" s="26"/>
    </row>
    <row r="8712" spans="1:18" ht="15.75" customHeight="1">
      <c r="A8712" s="26"/>
      <c r="B8712" s="86"/>
      <c r="D8712" s="26"/>
      <c r="F8712" s="87" t="str">
        <f t="shared" si="0"/>
        <v/>
      </c>
      <c r="H8712" s="26" t="str">
        <f t="shared" si="1"/>
        <v/>
      </c>
      <c r="I8712" s="26" t="str">
        <f t="shared" si="2"/>
        <v/>
      </c>
      <c r="J8712" s="86">
        <f t="shared" si="3"/>
        <v>0</v>
      </c>
      <c r="R8712" s="26"/>
    </row>
    <row r="8713" spans="1:18" ht="15.75" customHeight="1">
      <c r="A8713" s="26"/>
      <c r="B8713" s="86"/>
      <c r="D8713" s="26"/>
      <c r="F8713" s="87" t="str">
        <f t="shared" si="0"/>
        <v/>
      </c>
      <c r="H8713" s="26" t="str">
        <f t="shared" si="1"/>
        <v/>
      </c>
      <c r="I8713" s="26" t="str">
        <f t="shared" si="2"/>
        <v/>
      </c>
      <c r="J8713" s="86">
        <f t="shared" si="3"/>
        <v>0</v>
      </c>
      <c r="R8713" s="26"/>
    </row>
    <row r="8714" spans="1:18" ht="15.75" customHeight="1">
      <c r="A8714" s="26"/>
      <c r="B8714" s="86"/>
      <c r="D8714" s="26"/>
      <c r="F8714" s="87" t="str">
        <f t="shared" si="0"/>
        <v/>
      </c>
      <c r="H8714" s="26" t="str">
        <f t="shared" si="1"/>
        <v/>
      </c>
      <c r="I8714" s="26" t="str">
        <f t="shared" si="2"/>
        <v/>
      </c>
      <c r="J8714" s="86">
        <f t="shared" si="3"/>
        <v>0</v>
      </c>
      <c r="R8714" s="26"/>
    </row>
    <row r="8715" spans="1:18" ht="15.75" customHeight="1">
      <c r="A8715" s="26"/>
      <c r="B8715" s="86"/>
      <c r="D8715" s="26"/>
      <c r="F8715" s="87" t="str">
        <f t="shared" si="0"/>
        <v/>
      </c>
      <c r="H8715" s="26" t="str">
        <f t="shared" si="1"/>
        <v/>
      </c>
      <c r="I8715" s="26" t="str">
        <f t="shared" si="2"/>
        <v/>
      </c>
      <c r="J8715" s="86">
        <f t="shared" si="3"/>
        <v>0</v>
      </c>
      <c r="R8715" s="26"/>
    </row>
    <row r="8716" spans="1:18" ht="15.75" customHeight="1">
      <c r="A8716" s="26"/>
      <c r="B8716" s="86"/>
      <c r="D8716" s="26"/>
      <c r="F8716" s="87" t="str">
        <f t="shared" si="0"/>
        <v/>
      </c>
      <c r="H8716" s="26" t="str">
        <f t="shared" si="1"/>
        <v/>
      </c>
      <c r="I8716" s="26" t="str">
        <f t="shared" si="2"/>
        <v/>
      </c>
      <c r="J8716" s="86">
        <f t="shared" si="3"/>
        <v>0</v>
      </c>
      <c r="R8716" s="26"/>
    </row>
    <row r="8717" spans="1:18" ht="15.75" customHeight="1">
      <c r="A8717" s="26"/>
      <c r="B8717" s="86"/>
      <c r="D8717" s="26"/>
      <c r="F8717" s="87" t="str">
        <f t="shared" si="0"/>
        <v/>
      </c>
      <c r="H8717" s="26" t="str">
        <f t="shared" si="1"/>
        <v/>
      </c>
      <c r="I8717" s="26" t="str">
        <f t="shared" si="2"/>
        <v/>
      </c>
      <c r="J8717" s="86">
        <f t="shared" si="3"/>
        <v>0</v>
      </c>
      <c r="R8717" s="26"/>
    </row>
    <row r="8718" spans="1:18" ht="15.75" customHeight="1">
      <c r="A8718" s="26"/>
      <c r="B8718" s="86"/>
      <c r="D8718" s="26"/>
      <c r="F8718" s="87" t="str">
        <f t="shared" si="0"/>
        <v/>
      </c>
      <c r="H8718" s="26" t="str">
        <f t="shared" si="1"/>
        <v/>
      </c>
      <c r="I8718" s="26" t="str">
        <f t="shared" si="2"/>
        <v/>
      </c>
      <c r="J8718" s="86">
        <f t="shared" si="3"/>
        <v>0</v>
      </c>
      <c r="R8718" s="26"/>
    </row>
    <row r="8719" spans="1:18" ht="15.75" customHeight="1">
      <c r="A8719" s="26"/>
      <c r="B8719" s="86"/>
      <c r="D8719" s="26"/>
      <c r="F8719" s="87" t="str">
        <f t="shared" si="0"/>
        <v/>
      </c>
      <c r="H8719" s="26" t="str">
        <f t="shared" si="1"/>
        <v/>
      </c>
      <c r="I8719" s="26" t="str">
        <f t="shared" si="2"/>
        <v/>
      </c>
      <c r="J8719" s="86">
        <f t="shared" si="3"/>
        <v>0</v>
      </c>
      <c r="R8719" s="26"/>
    </row>
    <row r="8720" spans="1:18" ht="15.75" customHeight="1">
      <c r="A8720" s="26"/>
      <c r="B8720" s="86"/>
      <c r="D8720" s="26"/>
      <c r="F8720" s="87" t="str">
        <f t="shared" si="0"/>
        <v/>
      </c>
      <c r="H8720" s="26" t="str">
        <f t="shared" si="1"/>
        <v/>
      </c>
      <c r="I8720" s="26" t="str">
        <f t="shared" si="2"/>
        <v/>
      </c>
      <c r="J8720" s="86">
        <f t="shared" si="3"/>
        <v>0</v>
      </c>
      <c r="R8720" s="26"/>
    </row>
    <row r="8721" spans="1:18" ht="15.75" customHeight="1">
      <c r="A8721" s="26"/>
      <c r="B8721" s="86"/>
      <c r="D8721" s="26"/>
      <c r="F8721" s="87" t="str">
        <f t="shared" si="0"/>
        <v/>
      </c>
      <c r="H8721" s="26" t="str">
        <f t="shared" si="1"/>
        <v/>
      </c>
      <c r="I8721" s="26" t="str">
        <f t="shared" si="2"/>
        <v/>
      </c>
      <c r="J8721" s="86">
        <f t="shared" si="3"/>
        <v>0</v>
      </c>
      <c r="R8721" s="26"/>
    </row>
    <row r="8722" spans="1:18" ht="15.75" customHeight="1">
      <c r="A8722" s="26"/>
      <c r="B8722" s="86"/>
      <c r="D8722" s="26"/>
      <c r="F8722" s="87" t="str">
        <f t="shared" si="0"/>
        <v/>
      </c>
      <c r="H8722" s="26" t="str">
        <f t="shared" si="1"/>
        <v/>
      </c>
      <c r="I8722" s="26" t="str">
        <f t="shared" si="2"/>
        <v/>
      </c>
      <c r="J8722" s="86">
        <f t="shared" si="3"/>
        <v>0</v>
      </c>
      <c r="R8722" s="26"/>
    </row>
    <row r="8723" spans="1:18" ht="15.75" customHeight="1">
      <c r="A8723" s="26"/>
      <c r="B8723" s="86"/>
      <c r="D8723" s="26"/>
      <c r="F8723" s="87" t="str">
        <f t="shared" si="0"/>
        <v/>
      </c>
      <c r="H8723" s="26" t="str">
        <f t="shared" si="1"/>
        <v/>
      </c>
      <c r="I8723" s="26" t="str">
        <f t="shared" si="2"/>
        <v/>
      </c>
      <c r="J8723" s="86">
        <f t="shared" si="3"/>
        <v>0</v>
      </c>
      <c r="R8723" s="26"/>
    </row>
    <row r="8724" spans="1:18" ht="15.75" customHeight="1">
      <c r="A8724" s="26"/>
      <c r="B8724" s="86"/>
      <c r="D8724" s="26"/>
      <c r="F8724" s="87" t="str">
        <f t="shared" si="0"/>
        <v/>
      </c>
      <c r="H8724" s="26" t="str">
        <f t="shared" si="1"/>
        <v/>
      </c>
      <c r="I8724" s="26" t="str">
        <f t="shared" si="2"/>
        <v/>
      </c>
      <c r="J8724" s="86">
        <f t="shared" si="3"/>
        <v>0</v>
      </c>
      <c r="R8724" s="26"/>
    </row>
    <row r="8725" spans="1:18" ht="15.75" customHeight="1">
      <c r="A8725" s="26"/>
      <c r="B8725" s="86"/>
      <c r="D8725" s="26"/>
      <c r="F8725" s="87" t="str">
        <f t="shared" si="0"/>
        <v/>
      </c>
      <c r="H8725" s="26" t="str">
        <f t="shared" si="1"/>
        <v/>
      </c>
      <c r="I8725" s="26" t="str">
        <f t="shared" si="2"/>
        <v/>
      </c>
      <c r="J8725" s="86">
        <f t="shared" si="3"/>
        <v>0</v>
      </c>
      <c r="R8725" s="26"/>
    </row>
    <row r="8726" spans="1:18" ht="15.75" customHeight="1">
      <c r="A8726" s="26"/>
      <c r="B8726" s="86"/>
      <c r="D8726" s="26"/>
      <c r="F8726" s="87" t="str">
        <f t="shared" si="0"/>
        <v/>
      </c>
      <c r="H8726" s="26" t="str">
        <f t="shared" si="1"/>
        <v/>
      </c>
      <c r="I8726" s="26" t="str">
        <f t="shared" si="2"/>
        <v/>
      </c>
      <c r="J8726" s="86">
        <f t="shared" si="3"/>
        <v>0</v>
      </c>
      <c r="R8726" s="26"/>
    </row>
    <row r="8727" spans="1:18" ht="15.75" customHeight="1">
      <c r="A8727" s="26"/>
      <c r="B8727" s="86"/>
      <c r="D8727" s="26"/>
      <c r="F8727" s="87" t="str">
        <f t="shared" si="0"/>
        <v/>
      </c>
      <c r="H8727" s="26" t="str">
        <f t="shared" si="1"/>
        <v/>
      </c>
      <c r="I8727" s="26" t="str">
        <f t="shared" si="2"/>
        <v/>
      </c>
      <c r="J8727" s="86">
        <f t="shared" si="3"/>
        <v>0</v>
      </c>
      <c r="R8727" s="26"/>
    </row>
    <row r="8728" spans="1:18" ht="15.75" customHeight="1">
      <c r="A8728" s="26"/>
      <c r="B8728" s="86"/>
      <c r="D8728" s="26"/>
      <c r="F8728" s="87" t="str">
        <f t="shared" si="0"/>
        <v/>
      </c>
      <c r="H8728" s="26" t="str">
        <f t="shared" si="1"/>
        <v/>
      </c>
      <c r="I8728" s="26" t="str">
        <f t="shared" si="2"/>
        <v/>
      </c>
      <c r="J8728" s="86">
        <f t="shared" si="3"/>
        <v>0</v>
      </c>
      <c r="R8728" s="26"/>
    </row>
    <row r="8729" spans="1:18" ht="15.75" customHeight="1">
      <c r="A8729" s="26"/>
      <c r="B8729" s="86"/>
      <c r="D8729" s="26"/>
      <c r="F8729" s="87" t="str">
        <f t="shared" si="0"/>
        <v/>
      </c>
      <c r="H8729" s="26" t="str">
        <f t="shared" si="1"/>
        <v/>
      </c>
      <c r="I8729" s="26" t="str">
        <f t="shared" si="2"/>
        <v/>
      </c>
      <c r="J8729" s="86">
        <f t="shared" si="3"/>
        <v>0</v>
      </c>
      <c r="R8729" s="26"/>
    </row>
    <row r="8730" spans="1:18" ht="15.75" customHeight="1">
      <c r="A8730" s="26"/>
      <c r="B8730" s="86"/>
      <c r="D8730" s="26"/>
      <c r="F8730" s="87" t="str">
        <f t="shared" si="0"/>
        <v/>
      </c>
      <c r="H8730" s="26" t="str">
        <f t="shared" si="1"/>
        <v/>
      </c>
      <c r="I8730" s="26" t="str">
        <f t="shared" si="2"/>
        <v/>
      </c>
      <c r="J8730" s="86">
        <f t="shared" si="3"/>
        <v>0</v>
      </c>
      <c r="R8730" s="26"/>
    </row>
    <row r="8731" spans="1:18" ht="15.75" customHeight="1">
      <c r="A8731" s="26"/>
      <c r="B8731" s="86"/>
      <c r="D8731" s="26"/>
      <c r="F8731" s="87" t="str">
        <f t="shared" si="0"/>
        <v/>
      </c>
      <c r="H8731" s="26" t="str">
        <f t="shared" si="1"/>
        <v/>
      </c>
      <c r="I8731" s="26" t="str">
        <f t="shared" si="2"/>
        <v/>
      </c>
      <c r="J8731" s="86">
        <f t="shared" si="3"/>
        <v>0</v>
      </c>
      <c r="R8731" s="26"/>
    </row>
    <row r="8732" spans="1:18" ht="15.75" customHeight="1">
      <c r="A8732" s="26"/>
      <c r="B8732" s="86"/>
      <c r="D8732" s="26"/>
      <c r="F8732" s="87" t="str">
        <f t="shared" si="0"/>
        <v/>
      </c>
      <c r="H8732" s="26" t="str">
        <f t="shared" si="1"/>
        <v/>
      </c>
      <c r="I8732" s="26" t="str">
        <f t="shared" si="2"/>
        <v/>
      </c>
      <c r="J8732" s="86">
        <f t="shared" si="3"/>
        <v>0</v>
      </c>
      <c r="R8732" s="26"/>
    </row>
    <row r="8733" spans="1:18" ht="15.75" customHeight="1">
      <c r="A8733" s="26"/>
      <c r="B8733" s="86"/>
      <c r="D8733" s="26"/>
      <c r="F8733" s="87" t="str">
        <f t="shared" si="0"/>
        <v/>
      </c>
      <c r="H8733" s="26" t="str">
        <f t="shared" si="1"/>
        <v/>
      </c>
      <c r="I8733" s="26" t="str">
        <f t="shared" si="2"/>
        <v/>
      </c>
      <c r="J8733" s="86">
        <f t="shared" si="3"/>
        <v>0</v>
      </c>
      <c r="R8733" s="26"/>
    </row>
    <row r="8734" spans="1:18" ht="15.75" customHeight="1">
      <c r="A8734" s="26"/>
      <c r="B8734" s="86"/>
      <c r="D8734" s="26"/>
      <c r="F8734" s="87" t="str">
        <f t="shared" si="0"/>
        <v/>
      </c>
      <c r="H8734" s="26" t="str">
        <f t="shared" si="1"/>
        <v/>
      </c>
      <c r="I8734" s="26" t="str">
        <f t="shared" si="2"/>
        <v/>
      </c>
      <c r="J8734" s="86">
        <f t="shared" si="3"/>
        <v>0</v>
      </c>
      <c r="R8734" s="26"/>
    </row>
    <row r="8735" spans="1:18" ht="15.75" customHeight="1">
      <c r="A8735" s="26"/>
      <c r="B8735" s="86"/>
      <c r="D8735" s="26"/>
      <c r="F8735" s="87" t="str">
        <f t="shared" si="0"/>
        <v/>
      </c>
      <c r="H8735" s="26" t="str">
        <f t="shared" si="1"/>
        <v/>
      </c>
      <c r="I8735" s="26" t="str">
        <f t="shared" si="2"/>
        <v/>
      </c>
      <c r="J8735" s="86">
        <f t="shared" si="3"/>
        <v>0</v>
      </c>
      <c r="R8735" s="26"/>
    </row>
    <row r="8736" spans="1:18" ht="15.75" customHeight="1">
      <c r="A8736" s="26"/>
      <c r="B8736" s="86"/>
      <c r="D8736" s="26"/>
      <c r="F8736" s="87" t="str">
        <f t="shared" si="0"/>
        <v/>
      </c>
      <c r="H8736" s="26" t="str">
        <f t="shared" si="1"/>
        <v/>
      </c>
      <c r="I8736" s="26" t="str">
        <f t="shared" si="2"/>
        <v/>
      </c>
      <c r="J8736" s="86">
        <f t="shared" si="3"/>
        <v>0</v>
      </c>
      <c r="R8736" s="26"/>
    </row>
    <row r="8737" spans="1:18" ht="15.75" customHeight="1">
      <c r="A8737" s="26"/>
      <c r="B8737" s="86"/>
      <c r="D8737" s="26"/>
      <c r="F8737" s="87" t="str">
        <f t="shared" si="0"/>
        <v/>
      </c>
      <c r="H8737" s="26" t="str">
        <f t="shared" si="1"/>
        <v/>
      </c>
      <c r="I8737" s="26" t="str">
        <f t="shared" si="2"/>
        <v/>
      </c>
      <c r="J8737" s="86">
        <f t="shared" si="3"/>
        <v>0</v>
      </c>
      <c r="R8737" s="26"/>
    </row>
    <row r="8738" spans="1:18" ht="15.75" customHeight="1">
      <c r="A8738" s="26"/>
      <c r="B8738" s="86"/>
      <c r="D8738" s="26"/>
      <c r="F8738" s="87" t="str">
        <f t="shared" si="0"/>
        <v/>
      </c>
      <c r="H8738" s="26" t="str">
        <f t="shared" si="1"/>
        <v/>
      </c>
      <c r="I8738" s="26" t="str">
        <f t="shared" si="2"/>
        <v/>
      </c>
      <c r="J8738" s="86">
        <f t="shared" si="3"/>
        <v>0</v>
      </c>
      <c r="R8738" s="26"/>
    </row>
    <row r="8739" spans="1:18" ht="15.75" customHeight="1">
      <c r="A8739" s="26"/>
      <c r="B8739" s="86"/>
      <c r="D8739" s="26"/>
      <c r="F8739" s="87" t="str">
        <f t="shared" si="0"/>
        <v/>
      </c>
      <c r="H8739" s="26" t="str">
        <f t="shared" si="1"/>
        <v/>
      </c>
      <c r="I8739" s="26" t="str">
        <f t="shared" si="2"/>
        <v/>
      </c>
      <c r="J8739" s="86">
        <f t="shared" si="3"/>
        <v>0</v>
      </c>
      <c r="R8739" s="26"/>
    </row>
    <row r="8740" spans="1:18" ht="15.75" customHeight="1">
      <c r="A8740" s="26"/>
      <c r="B8740" s="86"/>
      <c r="D8740" s="26"/>
      <c r="F8740" s="87" t="str">
        <f t="shared" si="0"/>
        <v/>
      </c>
      <c r="H8740" s="26" t="str">
        <f t="shared" si="1"/>
        <v/>
      </c>
      <c r="I8740" s="26" t="str">
        <f t="shared" si="2"/>
        <v/>
      </c>
      <c r="J8740" s="86">
        <f t="shared" si="3"/>
        <v>0</v>
      </c>
      <c r="R8740" s="26"/>
    </row>
    <row r="8741" spans="1:18" ht="15.75" customHeight="1">
      <c r="A8741" s="26"/>
      <c r="B8741" s="86"/>
      <c r="D8741" s="26"/>
      <c r="F8741" s="87" t="str">
        <f t="shared" si="0"/>
        <v/>
      </c>
      <c r="H8741" s="26" t="str">
        <f t="shared" si="1"/>
        <v/>
      </c>
      <c r="I8741" s="26" t="str">
        <f t="shared" si="2"/>
        <v/>
      </c>
      <c r="J8741" s="86">
        <f t="shared" si="3"/>
        <v>0</v>
      </c>
      <c r="R8741" s="26"/>
    </row>
    <row r="8742" spans="1:18" ht="15.75" customHeight="1">
      <c r="A8742" s="26"/>
      <c r="B8742" s="86"/>
      <c r="D8742" s="26"/>
      <c r="F8742" s="87" t="str">
        <f t="shared" si="0"/>
        <v/>
      </c>
      <c r="H8742" s="26" t="str">
        <f t="shared" si="1"/>
        <v/>
      </c>
      <c r="I8742" s="26" t="str">
        <f t="shared" si="2"/>
        <v/>
      </c>
      <c r="J8742" s="86">
        <f t="shared" si="3"/>
        <v>0</v>
      </c>
      <c r="R8742" s="26"/>
    </row>
    <row r="8743" spans="1:18" ht="15.75" customHeight="1">
      <c r="A8743" s="26"/>
      <c r="B8743" s="86"/>
      <c r="D8743" s="26"/>
      <c r="F8743" s="87" t="str">
        <f t="shared" si="0"/>
        <v/>
      </c>
      <c r="H8743" s="26" t="str">
        <f t="shared" si="1"/>
        <v/>
      </c>
      <c r="I8743" s="26" t="str">
        <f t="shared" si="2"/>
        <v/>
      </c>
      <c r="J8743" s="86">
        <f t="shared" si="3"/>
        <v>0</v>
      </c>
      <c r="R8743" s="26"/>
    </row>
    <row r="8744" spans="1:18" ht="15.75" customHeight="1">
      <c r="A8744" s="26"/>
      <c r="B8744" s="86"/>
      <c r="D8744" s="26"/>
      <c r="F8744" s="87" t="str">
        <f t="shared" si="0"/>
        <v/>
      </c>
      <c r="H8744" s="26" t="str">
        <f t="shared" si="1"/>
        <v/>
      </c>
      <c r="I8744" s="26" t="str">
        <f t="shared" si="2"/>
        <v/>
      </c>
      <c r="J8744" s="86">
        <f t="shared" si="3"/>
        <v>0</v>
      </c>
      <c r="R8744" s="26"/>
    </row>
    <row r="8745" spans="1:18" ht="15.75" customHeight="1">
      <c r="A8745" s="26"/>
      <c r="B8745" s="86"/>
      <c r="D8745" s="26"/>
      <c r="F8745" s="87" t="str">
        <f t="shared" si="0"/>
        <v/>
      </c>
      <c r="H8745" s="26" t="str">
        <f t="shared" si="1"/>
        <v/>
      </c>
      <c r="I8745" s="26" t="str">
        <f t="shared" si="2"/>
        <v/>
      </c>
      <c r="J8745" s="86">
        <f t="shared" si="3"/>
        <v>0</v>
      </c>
      <c r="R8745" s="26"/>
    </row>
    <row r="8746" spans="1:18" ht="15.75" customHeight="1">
      <c r="A8746" s="26"/>
      <c r="B8746" s="86"/>
      <c r="D8746" s="26"/>
      <c r="F8746" s="87" t="str">
        <f t="shared" si="0"/>
        <v/>
      </c>
      <c r="H8746" s="26" t="str">
        <f t="shared" si="1"/>
        <v/>
      </c>
      <c r="I8746" s="26" t="str">
        <f t="shared" si="2"/>
        <v/>
      </c>
      <c r="J8746" s="86">
        <f t="shared" si="3"/>
        <v>0</v>
      </c>
      <c r="R8746" s="26"/>
    </row>
    <row r="8747" spans="1:18" ht="15.75" customHeight="1">
      <c r="A8747" s="26"/>
      <c r="B8747" s="86"/>
      <c r="D8747" s="26"/>
      <c r="F8747" s="87" t="str">
        <f t="shared" si="0"/>
        <v/>
      </c>
      <c r="H8747" s="26" t="str">
        <f t="shared" si="1"/>
        <v/>
      </c>
      <c r="I8747" s="26" t="str">
        <f t="shared" si="2"/>
        <v/>
      </c>
      <c r="J8747" s="86">
        <f t="shared" si="3"/>
        <v>0</v>
      </c>
      <c r="R8747" s="26"/>
    </row>
    <row r="8748" spans="1:18" ht="15.75" customHeight="1">
      <c r="A8748" s="26"/>
      <c r="B8748" s="86"/>
      <c r="D8748" s="26"/>
      <c r="F8748" s="87" t="str">
        <f t="shared" si="0"/>
        <v/>
      </c>
      <c r="H8748" s="26" t="str">
        <f t="shared" si="1"/>
        <v/>
      </c>
      <c r="I8748" s="26" t="str">
        <f t="shared" si="2"/>
        <v/>
      </c>
      <c r="J8748" s="86">
        <f t="shared" si="3"/>
        <v>0</v>
      </c>
      <c r="R8748" s="26"/>
    </row>
    <row r="8749" spans="1:18" ht="15.75" customHeight="1">
      <c r="A8749" s="26"/>
      <c r="B8749" s="86"/>
      <c r="D8749" s="26"/>
      <c r="F8749" s="87" t="str">
        <f t="shared" si="0"/>
        <v/>
      </c>
      <c r="H8749" s="26" t="str">
        <f t="shared" si="1"/>
        <v/>
      </c>
      <c r="I8749" s="26" t="str">
        <f t="shared" si="2"/>
        <v/>
      </c>
      <c r="J8749" s="86">
        <f t="shared" si="3"/>
        <v>0</v>
      </c>
      <c r="R8749" s="26"/>
    </row>
    <row r="8750" spans="1:18" ht="15.75" customHeight="1">
      <c r="A8750" s="26"/>
      <c r="B8750" s="86"/>
      <c r="D8750" s="26"/>
      <c r="F8750" s="87" t="str">
        <f t="shared" si="0"/>
        <v/>
      </c>
      <c r="H8750" s="26" t="str">
        <f t="shared" si="1"/>
        <v/>
      </c>
      <c r="I8750" s="26" t="str">
        <f t="shared" si="2"/>
        <v/>
      </c>
      <c r="J8750" s="86">
        <f t="shared" si="3"/>
        <v>0</v>
      </c>
      <c r="R8750" s="26"/>
    </row>
    <row r="8751" spans="1:18" ht="15.75" customHeight="1">
      <c r="A8751" s="26"/>
      <c r="B8751" s="86"/>
      <c r="D8751" s="26"/>
      <c r="F8751" s="87" t="str">
        <f t="shared" si="0"/>
        <v/>
      </c>
      <c r="H8751" s="26" t="str">
        <f t="shared" si="1"/>
        <v/>
      </c>
      <c r="I8751" s="26" t="str">
        <f t="shared" si="2"/>
        <v/>
      </c>
      <c r="J8751" s="86">
        <f t="shared" si="3"/>
        <v>0</v>
      </c>
      <c r="R8751" s="26"/>
    </row>
    <row r="8752" spans="1:18" ht="15.75" customHeight="1">
      <c r="A8752" s="26"/>
      <c r="B8752" s="86"/>
      <c r="D8752" s="26"/>
      <c r="F8752" s="87" t="str">
        <f t="shared" si="0"/>
        <v/>
      </c>
      <c r="H8752" s="26" t="str">
        <f t="shared" si="1"/>
        <v/>
      </c>
      <c r="I8752" s="26" t="str">
        <f t="shared" si="2"/>
        <v/>
      </c>
      <c r="J8752" s="86">
        <f t="shared" si="3"/>
        <v>0</v>
      </c>
      <c r="R8752" s="26"/>
    </row>
    <row r="8753" spans="1:18" ht="15.75" customHeight="1">
      <c r="A8753" s="26"/>
      <c r="B8753" s="86"/>
      <c r="D8753" s="26"/>
      <c r="F8753" s="87" t="str">
        <f t="shared" si="0"/>
        <v/>
      </c>
      <c r="H8753" s="26" t="str">
        <f t="shared" si="1"/>
        <v/>
      </c>
      <c r="I8753" s="26" t="str">
        <f t="shared" si="2"/>
        <v/>
      </c>
      <c r="J8753" s="86">
        <f t="shared" si="3"/>
        <v>0</v>
      </c>
      <c r="R8753" s="26"/>
    </row>
    <row r="8754" spans="1:18" ht="15.75" customHeight="1">
      <c r="A8754" s="26"/>
      <c r="B8754" s="86"/>
      <c r="D8754" s="26"/>
      <c r="F8754" s="87" t="str">
        <f t="shared" si="0"/>
        <v/>
      </c>
      <c r="H8754" s="26" t="str">
        <f t="shared" si="1"/>
        <v/>
      </c>
      <c r="I8754" s="26" t="str">
        <f t="shared" si="2"/>
        <v/>
      </c>
      <c r="J8754" s="86">
        <f t="shared" si="3"/>
        <v>0</v>
      </c>
      <c r="R8754" s="26"/>
    </row>
    <row r="8755" spans="1:18" ht="15.75" customHeight="1">
      <c r="A8755" s="26"/>
      <c r="B8755" s="86"/>
      <c r="D8755" s="26"/>
      <c r="F8755" s="87" t="str">
        <f t="shared" si="0"/>
        <v/>
      </c>
      <c r="H8755" s="26" t="str">
        <f t="shared" si="1"/>
        <v/>
      </c>
      <c r="I8755" s="26" t="str">
        <f t="shared" si="2"/>
        <v/>
      </c>
      <c r="J8755" s="86">
        <f t="shared" si="3"/>
        <v>0</v>
      </c>
      <c r="R8755" s="26"/>
    </row>
    <row r="8756" spans="1:18" ht="15.75" customHeight="1">
      <c r="A8756" s="26"/>
      <c r="B8756" s="86"/>
      <c r="D8756" s="26"/>
      <c r="F8756" s="87" t="str">
        <f t="shared" si="0"/>
        <v/>
      </c>
      <c r="H8756" s="26" t="str">
        <f t="shared" si="1"/>
        <v/>
      </c>
      <c r="I8756" s="26" t="str">
        <f t="shared" si="2"/>
        <v/>
      </c>
      <c r="J8756" s="86">
        <f t="shared" si="3"/>
        <v>0</v>
      </c>
      <c r="R8756" s="26"/>
    </row>
    <row r="8757" spans="1:18" ht="15.75" customHeight="1">
      <c r="A8757" s="26"/>
      <c r="B8757" s="86"/>
      <c r="D8757" s="26"/>
      <c r="F8757" s="87" t="str">
        <f t="shared" si="0"/>
        <v/>
      </c>
      <c r="H8757" s="26" t="str">
        <f t="shared" si="1"/>
        <v/>
      </c>
      <c r="I8757" s="26" t="str">
        <f t="shared" si="2"/>
        <v/>
      </c>
      <c r="J8757" s="86">
        <f t="shared" si="3"/>
        <v>0</v>
      </c>
      <c r="R8757" s="26"/>
    </row>
    <row r="8758" spans="1:18" ht="15.75" customHeight="1">
      <c r="A8758" s="26"/>
      <c r="B8758" s="86"/>
      <c r="D8758" s="26"/>
      <c r="F8758" s="87" t="str">
        <f t="shared" si="0"/>
        <v/>
      </c>
      <c r="H8758" s="26" t="str">
        <f t="shared" si="1"/>
        <v/>
      </c>
      <c r="I8758" s="26" t="str">
        <f t="shared" si="2"/>
        <v/>
      </c>
      <c r="J8758" s="86">
        <f t="shared" si="3"/>
        <v>0</v>
      </c>
      <c r="R8758" s="26"/>
    </row>
    <row r="8759" spans="1:18" ht="15.75" customHeight="1">
      <c r="A8759" s="26"/>
      <c r="B8759" s="86"/>
      <c r="D8759" s="26"/>
      <c r="F8759" s="87" t="str">
        <f t="shared" si="0"/>
        <v/>
      </c>
      <c r="H8759" s="26" t="str">
        <f t="shared" si="1"/>
        <v/>
      </c>
      <c r="I8759" s="26" t="str">
        <f t="shared" si="2"/>
        <v/>
      </c>
      <c r="J8759" s="86">
        <f t="shared" si="3"/>
        <v>0</v>
      </c>
      <c r="R8759" s="26"/>
    </row>
    <row r="8760" spans="1:18" ht="15.75" customHeight="1">
      <c r="A8760" s="26"/>
      <c r="B8760" s="86"/>
      <c r="D8760" s="26"/>
      <c r="F8760" s="87" t="str">
        <f t="shared" si="0"/>
        <v/>
      </c>
      <c r="H8760" s="26" t="str">
        <f t="shared" si="1"/>
        <v/>
      </c>
      <c r="I8760" s="26" t="str">
        <f t="shared" si="2"/>
        <v/>
      </c>
      <c r="J8760" s="86">
        <f t="shared" si="3"/>
        <v>0</v>
      </c>
      <c r="R8760" s="26"/>
    </row>
    <row r="8761" spans="1:18" ht="15.75" customHeight="1">
      <c r="A8761" s="26"/>
      <c r="B8761" s="86"/>
      <c r="D8761" s="26"/>
      <c r="F8761" s="87" t="str">
        <f t="shared" si="0"/>
        <v/>
      </c>
      <c r="H8761" s="26" t="str">
        <f t="shared" si="1"/>
        <v/>
      </c>
      <c r="I8761" s="26" t="str">
        <f t="shared" si="2"/>
        <v/>
      </c>
      <c r="J8761" s="86">
        <f t="shared" si="3"/>
        <v>0</v>
      </c>
      <c r="R8761" s="26"/>
    </row>
    <row r="8762" spans="1:18" ht="15.75" customHeight="1">
      <c r="A8762" s="26"/>
      <c r="B8762" s="86"/>
      <c r="D8762" s="26"/>
      <c r="F8762" s="87" t="str">
        <f t="shared" si="0"/>
        <v/>
      </c>
      <c r="H8762" s="26" t="str">
        <f t="shared" si="1"/>
        <v/>
      </c>
      <c r="I8762" s="26" t="str">
        <f t="shared" si="2"/>
        <v/>
      </c>
      <c r="J8762" s="86">
        <f t="shared" si="3"/>
        <v>0</v>
      </c>
      <c r="R8762" s="26"/>
    </row>
    <row r="8763" spans="1:18" ht="15.75" customHeight="1">
      <c r="A8763" s="26"/>
      <c r="B8763" s="86"/>
      <c r="D8763" s="26"/>
      <c r="F8763" s="87" t="str">
        <f t="shared" si="0"/>
        <v/>
      </c>
      <c r="H8763" s="26" t="str">
        <f t="shared" si="1"/>
        <v/>
      </c>
      <c r="I8763" s="26" t="str">
        <f t="shared" si="2"/>
        <v/>
      </c>
      <c r="J8763" s="86">
        <f t="shared" si="3"/>
        <v>0</v>
      </c>
      <c r="R8763" s="26"/>
    </row>
    <row r="8764" spans="1:18" ht="15.75" customHeight="1">
      <c r="A8764" s="26"/>
      <c r="B8764" s="86"/>
      <c r="D8764" s="26"/>
      <c r="F8764" s="87" t="str">
        <f t="shared" si="0"/>
        <v/>
      </c>
      <c r="H8764" s="26" t="str">
        <f t="shared" si="1"/>
        <v/>
      </c>
      <c r="I8764" s="26" t="str">
        <f t="shared" si="2"/>
        <v/>
      </c>
      <c r="J8764" s="86">
        <f t="shared" si="3"/>
        <v>0</v>
      </c>
      <c r="R8764" s="26"/>
    </row>
    <row r="8765" spans="1:18" ht="15.75" customHeight="1">
      <c r="A8765" s="26"/>
      <c r="B8765" s="86"/>
      <c r="D8765" s="26"/>
      <c r="F8765" s="87" t="str">
        <f t="shared" si="0"/>
        <v/>
      </c>
      <c r="H8765" s="26" t="str">
        <f t="shared" si="1"/>
        <v/>
      </c>
      <c r="I8765" s="26" t="str">
        <f t="shared" si="2"/>
        <v/>
      </c>
      <c r="J8765" s="86">
        <f t="shared" si="3"/>
        <v>0</v>
      </c>
      <c r="R8765" s="26"/>
    </row>
    <row r="8766" spans="1:18" ht="15.75" customHeight="1">
      <c r="A8766" s="26"/>
      <c r="B8766" s="86"/>
      <c r="D8766" s="26"/>
      <c r="F8766" s="87" t="str">
        <f t="shared" si="0"/>
        <v/>
      </c>
      <c r="H8766" s="26" t="str">
        <f t="shared" si="1"/>
        <v/>
      </c>
      <c r="I8766" s="26" t="str">
        <f t="shared" si="2"/>
        <v/>
      </c>
      <c r="J8766" s="86">
        <f t="shared" si="3"/>
        <v>0</v>
      </c>
      <c r="R8766" s="26"/>
    </row>
    <row r="8767" spans="1:18" ht="15.75" customHeight="1">
      <c r="A8767" s="26"/>
      <c r="B8767" s="86"/>
      <c r="D8767" s="26"/>
      <c r="F8767" s="87" t="str">
        <f t="shared" si="0"/>
        <v/>
      </c>
      <c r="H8767" s="26" t="str">
        <f t="shared" si="1"/>
        <v/>
      </c>
      <c r="I8767" s="26" t="str">
        <f t="shared" si="2"/>
        <v/>
      </c>
      <c r="J8767" s="86">
        <f t="shared" si="3"/>
        <v>0</v>
      </c>
      <c r="R8767" s="26"/>
    </row>
    <row r="8768" spans="1:18" ht="15.75" customHeight="1">
      <c r="A8768" s="26"/>
      <c r="B8768" s="86"/>
      <c r="D8768" s="26"/>
      <c r="F8768" s="87" t="str">
        <f t="shared" si="0"/>
        <v/>
      </c>
      <c r="H8768" s="26" t="str">
        <f t="shared" si="1"/>
        <v/>
      </c>
      <c r="I8768" s="26" t="str">
        <f t="shared" si="2"/>
        <v/>
      </c>
      <c r="J8768" s="86">
        <f t="shared" si="3"/>
        <v>0</v>
      </c>
      <c r="R8768" s="26"/>
    </row>
    <row r="8769" spans="1:18" ht="15.75" customHeight="1">
      <c r="A8769" s="26"/>
      <c r="B8769" s="86"/>
      <c r="D8769" s="26"/>
      <c r="F8769" s="87" t="str">
        <f t="shared" si="0"/>
        <v/>
      </c>
      <c r="H8769" s="26" t="str">
        <f t="shared" si="1"/>
        <v/>
      </c>
      <c r="I8769" s="26" t="str">
        <f t="shared" si="2"/>
        <v/>
      </c>
      <c r="J8769" s="86">
        <f t="shared" si="3"/>
        <v>0</v>
      </c>
      <c r="R8769" s="26"/>
    </row>
    <row r="8770" spans="1:18" ht="15.75" customHeight="1">
      <c r="A8770" s="26"/>
      <c r="B8770" s="86"/>
      <c r="D8770" s="26"/>
      <c r="F8770" s="87" t="str">
        <f t="shared" si="0"/>
        <v/>
      </c>
      <c r="H8770" s="26" t="str">
        <f t="shared" si="1"/>
        <v/>
      </c>
      <c r="I8770" s="26" t="str">
        <f t="shared" si="2"/>
        <v/>
      </c>
      <c r="J8770" s="86">
        <f t="shared" si="3"/>
        <v>0</v>
      </c>
      <c r="R8770" s="26"/>
    </row>
    <row r="8771" spans="1:18" ht="15.75" customHeight="1">
      <c r="A8771" s="26"/>
      <c r="B8771" s="86"/>
      <c r="D8771" s="26"/>
      <c r="F8771" s="87" t="str">
        <f t="shared" si="0"/>
        <v/>
      </c>
      <c r="H8771" s="26" t="str">
        <f t="shared" si="1"/>
        <v/>
      </c>
      <c r="I8771" s="26" t="str">
        <f t="shared" si="2"/>
        <v/>
      </c>
      <c r="J8771" s="86">
        <f t="shared" si="3"/>
        <v>0</v>
      </c>
      <c r="R8771" s="26"/>
    </row>
    <row r="8772" spans="1:18" ht="15.75" customHeight="1">
      <c r="A8772" s="26"/>
      <c r="B8772" s="86"/>
      <c r="D8772" s="26"/>
      <c r="F8772" s="87" t="str">
        <f t="shared" si="0"/>
        <v/>
      </c>
      <c r="H8772" s="26" t="str">
        <f t="shared" si="1"/>
        <v/>
      </c>
      <c r="I8772" s="26" t="str">
        <f t="shared" si="2"/>
        <v/>
      </c>
      <c r="J8772" s="86">
        <f t="shared" si="3"/>
        <v>0</v>
      </c>
      <c r="R8772" s="26"/>
    </row>
    <row r="8773" spans="1:18" ht="15.75" customHeight="1">
      <c r="A8773" s="26"/>
      <c r="B8773" s="86"/>
      <c r="D8773" s="26"/>
      <c r="F8773" s="87" t="str">
        <f t="shared" si="0"/>
        <v/>
      </c>
      <c r="H8773" s="26" t="str">
        <f t="shared" si="1"/>
        <v/>
      </c>
      <c r="I8773" s="26" t="str">
        <f t="shared" si="2"/>
        <v/>
      </c>
      <c r="J8773" s="86">
        <f t="shared" si="3"/>
        <v>0</v>
      </c>
      <c r="R8773" s="26"/>
    </row>
    <row r="8774" spans="1:18" ht="15.75" customHeight="1">
      <c r="A8774" s="26"/>
      <c r="B8774" s="86"/>
      <c r="D8774" s="26"/>
      <c r="F8774" s="87" t="str">
        <f t="shared" si="0"/>
        <v/>
      </c>
      <c r="H8774" s="26" t="str">
        <f t="shared" si="1"/>
        <v/>
      </c>
      <c r="I8774" s="26" t="str">
        <f t="shared" si="2"/>
        <v/>
      </c>
      <c r="J8774" s="86">
        <f t="shared" si="3"/>
        <v>0</v>
      </c>
      <c r="R8774" s="26"/>
    </row>
    <row r="8775" spans="1:18" ht="15.75" customHeight="1">
      <c r="A8775" s="26"/>
      <c r="B8775" s="86"/>
      <c r="D8775" s="26"/>
      <c r="F8775" s="87" t="str">
        <f t="shared" si="0"/>
        <v/>
      </c>
      <c r="H8775" s="26" t="str">
        <f t="shared" si="1"/>
        <v/>
      </c>
      <c r="I8775" s="26" t="str">
        <f t="shared" si="2"/>
        <v/>
      </c>
      <c r="J8775" s="86">
        <f t="shared" si="3"/>
        <v>0</v>
      </c>
      <c r="R8775" s="26"/>
    </row>
    <row r="8776" spans="1:18" ht="15.75" customHeight="1">
      <c r="A8776" s="26"/>
      <c r="B8776" s="86"/>
      <c r="D8776" s="26"/>
      <c r="F8776" s="87" t="str">
        <f t="shared" si="0"/>
        <v/>
      </c>
      <c r="H8776" s="26" t="str">
        <f t="shared" si="1"/>
        <v/>
      </c>
      <c r="I8776" s="26" t="str">
        <f t="shared" si="2"/>
        <v/>
      </c>
      <c r="J8776" s="86">
        <f t="shared" si="3"/>
        <v>0</v>
      </c>
      <c r="R8776" s="26"/>
    </row>
    <row r="8777" spans="1:18" ht="15.75" customHeight="1">
      <c r="A8777" s="26"/>
      <c r="B8777" s="86"/>
      <c r="D8777" s="26"/>
      <c r="F8777" s="87" t="str">
        <f t="shared" si="0"/>
        <v/>
      </c>
      <c r="H8777" s="26" t="str">
        <f t="shared" si="1"/>
        <v/>
      </c>
      <c r="I8777" s="26" t="str">
        <f t="shared" si="2"/>
        <v/>
      </c>
      <c r="J8777" s="86">
        <f t="shared" si="3"/>
        <v>0</v>
      </c>
      <c r="R8777" s="26"/>
    </row>
    <row r="8778" spans="1:18" ht="15.75" customHeight="1">
      <c r="A8778" s="26"/>
      <c r="B8778" s="86"/>
      <c r="D8778" s="26"/>
      <c r="F8778" s="87" t="str">
        <f t="shared" si="0"/>
        <v/>
      </c>
      <c r="H8778" s="26" t="str">
        <f t="shared" si="1"/>
        <v/>
      </c>
      <c r="I8778" s="26" t="str">
        <f t="shared" si="2"/>
        <v/>
      </c>
      <c r="J8778" s="86">
        <f t="shared" si="3"/>
        <v>0</v>
      </c>
      <c r="R8778" s="26"/>
    </row>
    <row r="8779" spans="1:18" ht="15.75" customHeight="1">
      <c r="A8779" s="26"/>
      <c r="B8779" s="86"/>
      <c r="D8779" s="26"/>
      <c r="F8779" s="87" t="str">
        <f t="shared" si="0"/>
        <v/>
      </c>
      <c r="H8779" s="26" t="str">
        <f t="shared" si="1"/>
        <v/>
      </c>
      <c r="I8779" s="26" t="str">
        <f t="shared" si="2"/>
        <v/>
      </c>
      <c r="J8779" s="86">
        <f t="shared" si="3"/>
        <v>0</v>
      </c>
      <c r="R8779" s="26"/>
    </row>
    <row r="8780" spans="1:18" ht="15.75" customHeight="1">
      <c r="A8780" s="26"/>
      <c r="B8780" s="86"/>
      <c r="D8780" s="26"/>
      <c r="F8780" s="87" t="str">
        <f t="shared" si="0"/>
        <v/>
      </c>
      <c r="H8780" s="26" t="str">
        <f t="shared" si="1"/>
        <v/>
      </c>
      <c r="I8780" s="26" t="str">
        <f t="shared" si="2"/>
        <v/>
      </c>
      <c r="J8780" s="86">
        <f t="shared" si="3"/>
        <v>0</v>
      </c>
      <c r="R8780" s="26"/>
    </row>
    <row r="8781" spans="1:18" ht="15.75" customHeight="1">
      <c r="A8781" s="26"/>
      <c r="B8781" s="86"/>
      <c r="D8781" s="26"/>
      <c r="F8781" s="87" t="str">
        <f t="shared" si="0"/>
        <v/>
      </c>
      <c r="H8781" s="26" t="str">
        <f t="shared" si="1"/>
        <v/>
      </c>
      <c r="I8781" s="26" t="str">
        <f t="shared" si="2"/>
        <v/>
      </c>
      <c r="J8781" s="86">
        <f t="shared" si="3"/>
        <v>0</v>
      </c>
      <c r="R8781" s="26"/>
    </row>
    <row r="8782" spans="1:18" ht="15.75" customHeight="1">
      <c r="A8782" s="26"/>
      <c r="B8782" s="86"/>
      <c r="D8782" s="26"/>
      <c r="F8782" s="87" t="str">
        <f t="shared" si="0"/>
        <v/>
      </c>
      <c r="H8782" s="26" t="str">
        <f t="shared" si="1"/>
        <v/>
      </c>
      <c r="I8782" s="26" t="str">
        <f t="shared" si="2"/>
        <v/>
      </c>
      <c r="J8782" s="86">
        <f t="shared" si="3"/>
        <v>0</v>
      </c>
      <c r="R8782" s="26"/>
    </row>
    <row r="8783" spans="1:18" ht="15.75" customHeight="1">
      <c r="A8783" s="26"/>
      <c r="B8783" s="86"/>
      <c r="D8783" s="26"/>
      <c r="F8783" s="87" t="str">
        <f t="shared" si="0"/>
        <v/>
      </c>
      <c r="H8783" s="26" t="str">
        <f t="shared" si="1"/>
        <v/>
      </c>
      <c r="I8783" s="26" t="str">
        <f t="shared" si="2"/>
        <v/>
      </c>
      <c r="J8783" s="86">
        <f t="shared" si="3"/>
        <v>0</v>
      </c>
      <c r="R8783" s="26"/>
    </row>
    <row r="8784" spans="1:18" ht="15.75" customHeight="1">
      <c r="A8784" s="26"/>
      <c r="B8784" s="86"/>
      <c r="D8784" s="26"/>
      <c r="F8784" s="87" t="str">
        <f t="shared" si="0"/>
        <v/>
      </c>
      <c r="H8784" s="26" t="str">
        <f t="shared" si="1"/>
        <v/>
      </c>
      <c r="I8784" s="26" t="str">
        <f t="shared" si="2"/>
        <v/>
      </c>
      <c r="J8784" s="86">
        <f t="shared" si="3"/>
        <v>0</v>
      </c>
      <c r="R8784" s="26"/>
    </row>
    <row r="8785" spans="1:18" ht="15.75" customHeight="1">
      <c r="A8785" s="26"/>
      <c r="B8785" s="86"/>
      <c r="D8785" s="26"/>
      <c r="F8785" s="87" t="str">
        <f t="shared" si="0"/>
        <v/>
      </c>
      <c r="H8785" s="26" t="str">
        <f t="shared" si="1"/>
        <v/>
      </c>
      <c r="I8785" s="26" t="str">
        <f t="shared" si="2"/>
        <v/>
      </c>
      <c r="J8785" s="86">
        <f t="shared" si="3"/>
        <v>0</v>
      </c>
      <c r="R8785" s="26"/>
    </row>
    <row r="8786" spans="1:18" ht="15.75" customHeight="1">
      <c r="A8786" s="26"/>
      <c r="B8786" s="86"/>
      <c r="D8786" s="26"/>
      <c r="F8786" s="87" t="str">
        <f t="shared" si="0"/>
        <v/>
      </c>
      <c r="H8786" s="26" t="str">
        <f t="shared" si="1"/>
        <v/>
      </c>
      <c r="I8786" s="26" t="str">
        <f t="shared" si="2"/>
        <v/>
      </c>
      <c r="J8786" s="86">
        <f t="shared" si="3"/>
        <v>0</v>
      </c>
      <c r="R8786" s="26"/>
    </row>
    <row r="8787" spans="1:18" ht="15.75" customHeight="1">
      <c r="A8787" s="26"/>
      <c r="B8787" s="86"/>
      <c r="D8787" s="26"/>
      <c r="F8787" s="87" t="str">
        <f t="shared" si="0"/>
        <v/>
      </c>
      <c r="H8787" s="26" t="str">
        <f t="shared" si="1"/>
        <v/>
      </c>
      <c r="I8787" s="26" t="str">
        <f t="shared" si="2"/>
        <v/>
      </c>
      <c r="J8787" s="86">
        <f t="shared" si="3"/>
        <v>0</v>
      </c>
      <c r="R8787" s="26"/>
    </row>
    <row r="8788" spans="1:18" ht="15.75" customHeight="1">
      <c r="A8788" s="26"/>
      <c r="B8788" s="86"/>
      <c r="D8788" s="26"/>
      <c r="F8788" s="87" t="str">
        <f t="shared" si="0"/>
        <v/>
      </c>
      <c r="H8788" s="26" t="str">
        <f t="shared" si="1"/>
        <v/>
      </c>
      <c r="I8788" s="26" t="str">
        <f t="shared" si="2"/>
        <v/>
      </c>
      <c r="J8788" s="86">
        <f t="shared" si="3"/>
        <v>0</v>
      </c>
      <c r="R8788" s="26"/>
    </row>
    <row r="8789" spans="1:18" ht="15.75" customHeight="1">
      <c r="A8789" s="26"/>
      <c r="B8789" s="86"/>
      <c r="D8789" s="26"/>
      <c r="F8789" s="87" t="str">
        <f t="shared" si="0"/>
        <v/>
      </c>
      <c r="H8789" s="26" t="str">
        <f t="shared" si="1"/>
        <v/>
      </c>
      <c r="I8789" s="26" t="str">
        <f t="shared" si="2"/>
        <v/>
      </c>
      <c r="J8789" s="86">
        <f t="shared" si="3"/>
        <v>0</v>
      </c>
      <c r="R8789" s="26"/>
    </row>
    <row r="8790" spans="1:18" ht="15.75" customHeight="1">
      <c r="A8790" s="26"/>
      <c r="B8790" s="86"/>
      <c r="D8790" s="26"/>
      <c r="F8790" s="87" t="str">
        <f t="shared" si="0"/>
        <v/>
      </c>
      <c r="H8790" s="26" t="str">
        <f t="shared" si="1"/>
        <v/>
      </c>
      <c r="I8790" s="26" t="str">
        <f t="shared" si="2"/>
        <v/>
      </c>
      <c r="J8790" s="86">
        <f t="shared" si="3"/>
        <v>0</v>
      </c>
      <c r="R8790" s="26"/>
    </row>
    <row r="8791" spans="1:18" ht="15.75" customHeight="1">
      <c r="A8791" s="26"/>
      <c r="B8791" s="86"/>
      <c r="D8791" s="26"/>
      <c r="F8791" s="87" t="str">
        <f t="shared" si="0"/>
        <v/>
      </c>
      <c r="H8791" s="26" t="str">
        <f t="shared" si="1"/>
        <v/>
      </c>
      <c r="I8791" s="26" t="str">
        <f t="shared" si="2"/>
        <v/>
      </c>
      <c r="J8791" s="86">
        <f t="shared" si="3"/>
        <v>0</v>
      </c>
      <c r="R8791" s="26"/>
    </row>
    <row r="8792" spans="1:18" ht="15.75" customHeight="1">
      <c r="A8792" s="26"/>
      <c r="B8792" s="86"/>
      <c r="D8792" s="26"/>
      <c r="F8792" s="87" t="str">
        <f t="shared" si="0"/>
        <v/>
      </c>
      <c r="H8792" s="26" t="str">
        <f t="shared" si="1"/>
        <v/>
      </c>
      <c r="I8792" s="26" t="str">
        <f t="shared" si="2"/>
        <v/>
      </c>
      <c r="J8792" s="86">
        <f t="shared" si="3"/>
        <v>0</v>
      </c>
      <c r="R8792" s="26"/>
    </row>
    <row r="8793" spans="1:18" ht="15.75" customHeight="1">
      <c r="A8793" s="26"/>
      <c r="B8793" s="86"/>
      <c r="D8793" s="26"/>
      <c r="F8793" s="87" t="str">
        <f t="shared" si="0"/>
        <v/>
      </c>
      <c r="H8793" s="26" t="str">
        <f t="shared" si="1"/>
        <v/>
      </c>
      <c r="I8793" s="26" t="str">
        <f t="shared" si="2"/>
        <v/>
      </c>
      <c r="J8793" s="86">
        <f t="shared" si="3"/>
        <v>0</v>
      </c>
      <c r="R8793" s="26"/>
    </row>
    <row r="8794" spans="1:18" ht="15.75" customHeight="1">
      <c r="A8794" s="26"/>
      <c r="B8794" s="86"/>
      <c r="D8794" s="26"/>
      <c r="F8794" s="87" t="str">
        <f t="shared" si="0"/>
        <v/>
      </c>
      <c r="H8794" s="26" t="str">
        <f t="shared" si="1"/>
        <v/>
      </c>
      <c r="I8794" s="26" t="str">
        <f t="shared" si="2"/>
        <v/>
      </c>
      <c r="J8794" s="86">
        <f t="shared" si="3"/>
        <v>0</v>
      </c>
      <c r="R8794" s="26"/>
    </row>
    <row r="8795" spans="1:18" ht="15.75" customHeight="1">
      <c r="A8795" s="26"/>
      <c r="B8795" s="86"/>
      <c r="D8795" s="26"/>
      <c r="F8795" s="87" t="str">
        <f t="shared" si="0"/>
        <v/>
      </c>
      <c r="H8795" s="26" t="str">
        <f t="shared" si="1"/>
        <v/>
      </c>
      <c r="I8795" s="26" t="str">
        <f t="shared" si="2"/>
        <v/>
      </c>
      <c r="J8795" s="86">
        <f t="shared" si="3"/>
        <v>0</v>
      </c>
      <c r="R8795" s="26"/>
    </row>
    <row r="8796" spans="1:18" ht="15.75" customHeight="1">
      <c r="A8796" s="26"/>
      <c r="B8796" s="86"/>
      <c r="D8796" s="26"/>
      <c r="F8796" s="87" t="str">
        <f t="shared" si="0"/>
        <v/>
      </c>
      <c r="H8796" s="26" t="str">
        <f t="shared" si="1"/>
        <v/>
      </c>
      <c r="I8796" s="26" t="str">
        <f t="shared" si="2"/>
        <v/>
      </c>
      <c r="J8796" s="86">
        <f t="shared" si="3"/>
        <v>0</v>
      </c>
      <c r="R8796" s="26"/>
    </row>
    <row r="8797" spans="1:18" ht="15.75" customHeight="1">
      <c r="A8797" s="26"/>
      <c r="B8797" s="86"/>
      <c r="D8797" s="26"/>
      <c r="F8797" s="87" t="str">
        <f t="shared" si="0"/>
        <v/>
      </c>
      <c r="H8797" s="26" t="str">
        <f t="shared" si="1"/>
        <v/>
      </c>
      <c r="I8797" s="26" t="str">
        <f t="shared" si="2"/>
        <v/>
      </c>
      <c r="J8797" s="86">
        <f t="shared" si="3"/>
        <v>0</v>
      </c>
      <c r="R8797" s="26"/>
    </row>
    <row r="8798" spans="1:18" ht="15.75" customHeight="1">
      <c r="A8798" s="26"/>
      <c r="B8798" s="86"/>
      <c r="D8798" s="26"/>
      <c r="F8798" s="87" t="str">
        <f t="shared" si="0"/>
        <v/>
      </c>
      <c r="H8798" s="26" t="str">
        <f t="shared" si="1"/>
        <v/>
      </c>
      <c r="I8798" s="26" t="str">
        <f t="shared" si="2"/>
        <v/>
      </c>
      <c r="J8798" s="86">
        <f t="shared" si="3"/>
        <v>0</v>
      </c>
      <c r="R8798" s="26"/>
    </row>
    <row r="8799" spans="1:18" ht="15.75" customHeight="1">
      <c r="A8799" s="26"/>
      <c r="B8799" s="86"/>
      <c r="D8799" s="26"/>
      <c r="F8799" s="87" t="str">
        <f t="shared" si="0"/>
        <v/>
      </c>
      <c r="H8799" s="26" t="str">
        <f t="shared" si="1"/>
        <v/>
      </c>
      <c r="I8799" s="26" t="str">
        <f t="shared" si="2"/>
        <v/>
      </c>
      <c r="J8799" s="86">
        <f t="shared" si="3"/>
        <v>0</v>
      </c>
      <c r="R8799" s="26"/>
    </row>
    <row r="8800" spans="1:18" ht="15.75" customHeight="1">
      <c r="A8800" s="26"/>
      <c r="B8800" s="86"/>
      <c r="D8800" s="26"/>
      <c r="F8800" s="87" t="str">
        <f t="shared" si="0"/>
        <v/>
      </c>
      <c r="H8800" s="26" t="str">
        <f t="shared" si="1"/>
        <v/>
      </c>
      <c r="I8800" s="26" t="str">
        <f t="shared" si="2"/>
        <v/>
      </c>
      <c r="J8800" s="86">
        <f t="shared" si="3"/>
        <v>0</v>
      </c>
      <c r="R8800" s="26"/>
    </row>
    <row r="8801" spans="1:18" ht="15.75" customHeight="1">
      <c r="A8801" s="26"/>
      <c r="B8801" s="86"/>
      <c r="D8801" s="26"/>
      <c r="F8801" s="87" t="str">
        <f t="shared" si="0"/>
        <v/>
      </c>
      <c r="H8801" s="26" t="str">
        <f t="shared" si="1"/>
        <v/>
      </c>
      <c r="I8801" s="26" t="str">
        <f t="shared" si="2"/>
        <v/>
      </c>
      <c r="J8801" s="86">
        <f t="shared" si="3"/>
        <v>0</v>
      </c>
      <c r="R8801" s="26"/>
    </row>
    <row r="8802" spans="1:18" ht="15.75" customHeight="1">
      <c r="A8802" s="26"/>
      <c r="B8802" s="86"/>
      <c r="D8802" s="26"/>
      <c r="F8802" s="87" t="str">
        <f t="shared" si="0"/>
        <v/>
      </c>
      <c r="H8802" s="26" t="str">
        <f t="shared" si="1"/>
        <v/>
      </c>
      <c r="I8802" s="26" t="str">
        <f t="shared" si="2"/>
        <v/>
      </c>
      <c r="J8802" s="86">
        <f t="shared" si="3"/>
        <v>0</v>
      </c>
      <c r="R8802" s="26"/>
    </row>
    <row r="8803" spans="1:18" ht="15.75" customHeight="1">
      <c r="A8803" s="26"/>
      <c r="B8803" s="86"/>
      <c r="D8803" s="26"/>
      <c r="F8803" s="87" t="str">
        <f t="shared" si="0"/>
        <v/>
      </c>
      <c r="H8803" s="26" t="str">
        <f t="shared" si="1"/>
        <v/>
      </c>
      <c r="I8803" s="26" t="str">
        <f t="shared" si="2"/>
        <v/>
      </c>
      <c r="J8803" s="86">
        <f t="shared" si="3"/>
        <v>0</v>
      </c>
      <c r="R8803" s="26"/>
    </row>
    <row r="8804" spans="1:18" ht="15.75" customHeight="1">
      <c r="A8804" s="26"/>
      <c r="B8804" s="86"/>
      <c r="D8804" s="26"/>
      <c r="F8804" s="87" t="str">
        <f t="shared" si="0"/>
        <v/>
      </c>
      <c r="H8804" s="26" t="str">
        <f t="shared" si="1"/>
        <v/>
      </c>
      <c r="I8804" s="26" t="str">
        <f t="shared" si="2"/>
        <v/>
      </c>
      <c r="J8804" s="86">
        <f t="shared" si="3"/>
        <v>0</v>
      </c>
      <c r="R8804" s="26"/>
    </row>
    <row r="8805" spans="1:18" ht="15.75" customHeight="1">
      <c r="A8805" s="26"/>
      <c r="B8805" s="86"/>
      <c r="D8805" s="26"/>
      <c r="F8805" s="87" t="str">
        <f t="shared" si="0"/>
        <v/>
      </c>
      <c r="H8805" s="26" t="str">
        <f t="shared" si="1"/>
        <v/>
      </c>
      <c r="I8805" s="26" t="str">
        <f t="shared" si="2"/>
        <v/>
      </c>
      <c r="J8805" s="86">
        <f t="shared" si="3"/>
        <v>0</v>
      </c>
      <c r="R8805" s="26"/>
    </row>
    <row r="8806" spans="1:18" ht="15.75" customHeight="1">
      <c r="A8806" s="26"/>
      <c r="B8806" s="86"/>
      <c r="D8806" s="26"/>
      <c r="F8806" s="87" t="str">
        <f t="shared" si="0"/>
        <v/>
      </c>
      <c r="H8806" s="26" t="str">
        <f t="shared" si="1"/>
        <v/>
      </c>
      <c r="I8806" s="26" t="str">
        <f t="shared" si="2"/>
        <v/>
      </c>
      <c r="J8806" s="86">
        <f t="shared" si="3"/>
        <v>0</v>
      </c>
      <c r="R8806" s="26"/>
    </row>
    <row r="8807" spans="1:18" ht="15.75" customHeight="1">
      <c r="A8807" s="26"/>
      <c r="B8807" s="86"/>
      <c r="D8807" s="26"/>
      <c r="F8807" s="87" t="str">
        <f t="shared" si="0"/>
        <v/>
      </c>
      <c r="H8807" s="26" t="str">
        <f t="shared" si="1"/>
        <v/>
      </c>
      <c r="I8807" s="26" t="str">
        <f t="shared" si="2"/>
        <v/>
      </c>
      <c r="J8807" s="86">
        <f t="shared" si="3"/>
        <v>0</v>
      </c>
      <c r="R8807" s="26"/>
    </row>
    <row r="8808" spans="1:18" ht="15.75" customHeight="1">
      <c r="A8808" s="26"/>
      <c r="B8808" s="86"/>
      <c r="D8808" s="26"/>
      <c r="F8808" s="87" t="str">
        <f t="shared" si="0"/>
        <v/>
      </c>
      <c r="H8808" s="26" t="str">
        <f t="shared" si="1"/>
        <v/>
      </c>
      <c r="I8808" s="26" t="str">
        <f t="shared" si="2"/>
        <v/>
      </c>
      <c r="J8808" s="86">
        <f t="shared" si="3"/>
        <v>0</v>
      </c>
      <c r="R8808" s="26"/>
    </row>
    <row r="8809" spans="1:18" ht="15.75" customHeight="1">
      <c r="A8809" s="26"/>
      <c r="B8809" s="86"/>
      <c r="D8809" s="26"/>
      <c r="F8809" s="87" t="str">
        <f t="shared" si="0"/>
        <v/>
      </c>
      <c r="H8809" s="26" t="str">
        <f t="shared" si="1"/>
        <v/>
      </c>
      <c r="I8809" s="26" t="str">
        <f t="shared" si="2"/>
        <v/>
      </c>
      <c r="J8809" s="86">
        <f t="shared" si="3"/>
        <v>0</v>
      </c>
      <c r="R8809" s="26"/>
    </row>
    <row r="8810" spans="1:18" ht="15.75" customHeight="1">
      <c r="A8810" s="26"/>
      <c r="B8810" s="86"/>
      <c r="D8810" s="26"/>
      <c r="F8810" s="87" t="str">
        <f t="shared" si="0"/>
        <v/>
      </c>
      <c r="H8810" s="26" t="str">
        <f t="shared" si="1"/>
        <v/>
      </c>
      <c r="I8810" s="26" t="str">
        <f t="shared" si="2"/>
        <v/>
      </c>
      <c r="J8810" s="86">
        <f t="shared" si="3"/>
        <v>0</v>
      </c>
      <c r="R8810" s="26"/>
    </row>
    <row r="8811" spans="1:18" ht="15.75" customHeight="1">
      <c r="A8811" s="26"/>
      <c r="B8811" s="86"/>
      <c r="D8811" s="26"/>
      <c r="F8811" s="87" t="str">
        <f t="shared" si="0"/>
        <v/>
      </c>
      <c r="H8811" s="26" t="str">
        <f t="shared" si="1"/>
        <v/>
      </c>
      <c r="I8811" s="26" t="str">
        <f t="shared" si="2"/>
        <v/>
      </c>
      <c r="J8811" s="86">
        <f t="shared" si="3"/>
        <v>0</v>
      </c>
      <c r="R8811" s="26"/>
    </row>
    <row r="8812" spans="1:18" ht="15.75" customHeight="1">
      <c r="A8812" s="26"/>
      <c r="B8812" s="86"/>
      <c r="D8812" s="26"/>
      <c r="F8812" s="87" t="str">
        <f t="shared" si="0"/>
        <v/>
      </c>
      <c r="H8812" s="26" t="str">
        <f t="shared" si="1"/>
        <v/>
      </c>
      <c r="I8812" s="26" t="str">
        <f t="shared" si="2"/>
        <v/>
      </c>
      <c r="J8812" s="86">
        <f t="shared" si="3"/>
        <v>0</v>
      </c>
      <c r="R8812" s="26"/>
    </row>
    <row r="8813" spans="1:18" ht="15.75" customHeight="1">
      <c r="A8813" s="26"/>
      <c r="B8813" s="86"/>
      <c r="D8813" s="26"/>
      <c r="F8813" s="87" t="str">
        <f t="shared" si="0"/>
        <v/>
      </c>
      <c r="H8813" s="26" t="str">
        <f t="shared" si="1"/>
        <v/>
      </c>
      <c r="I8813" s="26" t="str">
        <f t="shared" si="2"/>
        <v/>
      </c>
      <c r="J8813" s="86">
        <f t="shared" si="3"/>
        <v>0</v>
      </c>
      <c r="R8813" s="26"/>
    </row>
    <row r="8814" spans="1:18" ht="15.75" customHeight="1">
      <c r="A8814" s="26"/>
      <c r="B8814" s="86"/>
      <c r="D8814" s="26"/>
      <c r="F8814" s="87" t="str">
        <f t="shared" si="0"/>
        <v/>
      </c>
      <c r="H8814" s="26" t="str">
        <f t="shared" si="1"/>
        <v/>
      </c>
      <c r="I8814" s="26" t="str">
        <f t="shared" si="2"/>
        <v/>
      </c>
      <c r="J8814" s="86">
        <f t="shared" si="3"/>
        <v>0</v>
      </c>
      <c r="R8814" s="26"/>
    </row>
    <row r="8815" spans="1:18" ht="15.75" customHeight="1">
      <c r="A8815" s="26"/>
      <c r="B8815" s="86"/>
      <c r="D8815" s="26"/>
      <c r="F8815" s="87" t="str">
        <f t="shared" si="0"/>
        <v/>
      </c>
      <c r="H8815" s="26" t="str">
        <f t="shared" si="1"/>
        <v/>
      </c>
      <c r="I8815" s="26" t="str">
        <f t="shared" si="2"/>
        <v/>
      </c>
      <c r="J8815" s="86">
        <f t="shared" si="3"/>
        <v>0</v>
      </c>
      <c r="R8815" s="26"/>
    </row>
    <row r="8816" spans="1:18" ht="15.75" customHeight="1">
      <c r="A8816" s="26"/>
      <c r="B8816" s="86"/>
      <c r="D8816" s="26"/>
      <c r="F8816" s="87" t="str">
        <f t="shared" si="0"/>
        <v/>
      </c>
      <c r="H8816" s="26" t="str">
        <f t="shared" si="1"/>
        <v/>
      </c>
      <c r="I8816" s="26" t="str">
        <f t="shared" si="2"/>
        <v/>
      </c>
      <c r="J8816" s="86">
        <f t="shared" si="3"/>
        <v>0</v>
      </c>
      <c r="R8816" s="26"/>
    </row>
    <row r="8817" spans="1:18" ht="15.75" customHeight="1">
      <c r="A8817" s="26"/>
      <c r="B8817" s="86"/>
      <c r="D8817" s="26"/>
      <c r="F8817" s="87" t="str">
        <f t="shared" si="0"/>
        <v/>
      </c>
      <c r="H8817" s="26" t="str">
        <f t="shared" si="1"/>
        <v/>
      </c>
      <c r="I8817" s="26" t="str">
        <f t="shared" si="2"/>
        <v/>
      </c>
      <c r="J8817" s="86">
        <f t="shared" si="3"/>
        <v>0</v>
      </c>
      <c r="R8817" s="26"/>
    </row>
    <row r="8818" spans="1:18" ht="15.75" customHeight="1">
      <c r="A8818" s="26"/>
      <c r="B8818" s="86"/>
      <c r="D8818" s="26"/>
      <c r="F8818" s="87" t="str">
        <f t="shared" si="0"/>
        <v/>
      </c>
      <c r="H8818" s="26" t="str">
        <f t="shared" si="1"/>
        <v/>
      </c>
      <c r="I8818" s="26" t="str">
        <f t="shared" si="2"/>
        <v/>
      </c>
      <c r="J8818" s="86">
        <f t="shared" si="3"/>
        <v>0</v>
      </c>
      <c r="R8818" s="26"/>
    </row>
    <row r="8819" spans="1:18" ht="15.75" customHeight="1">
      <c r="A8819" s="26"/>
      <c r="B8819" s="86"/>
      <c r="D8819" s="26"/>
      <c r="F8819" s="87" t="str">
        <f t="shared" si="0"/>
        <v/>
      </c>
      <c r="H8819" s="26" t="str">
        <f t="shared" si="1"/>
        <v/>
      </c>
      <c r="I8819" s="26" t="str">
        <f t="shared" si="2"/>
        <v/>
      </c>
      <c r="J8819" s="86">
        <f t="shared" si="3"/>
        <v>0</v>
      </c>
      <c r="R8819" s="26"/>
    </row>
    <row r="8820" spans="1:18" ht="15.75" customHeight="1">
      <c r="A8820" s="26"/>
      <c r="B8820" s="86"/>
      <c r="D8820" s="26"/>
      <c r="F8820" s="87" t="str">
        <f t="shared" si="0"/>
        <v/>
      </c>
      <c r="H8820" s="26" t="str">
        <f t="shared" si="1"/>
        <v/>
      </c>
      <c r="I8820" s="26" t="str">
        <f t="shared" si="2"/>
        <v/>
      </c>
      <c r="J8820" s="86">
        <f t="shared" si="3"/>
        <v>0</v>
      </c>
      <c r="R8820" s="26"/>
    </row>
    <row r="8821" spans="1:18" ht="15.75" customHeight="1">
      <c r="A8821" s="26"/>
      <c r="B8821" s="86"/>
      <c r="D8821" s="26"/>
      <c r="F8821" s="87" t="str">
        <f t="shared" si="0"/>
        <v/>
      </c>
      <c r="H8821" s="26" t="str">
        <f t="shared" si="1"/>
        <v/>
      </c>
      <c r="I8821" s="26" t="str">
        <f t="shared" si="2"/>
        <v/>
      </c>
      <c r="J8821" s="86">
        <f t="shared" si="3"/>
        <v>0</v>
      </c>
      <c r="R8821" s="26"/>
    </row>
    <row r="8822" spans="1:18" ht="15.75" customHeight="1">
      <c r="A8822" s="26"/>
      <c r="B8822" s="86"/>
      <c r="D8822" s="26"/>
      <c r="F8822" s="87" t="str">
        <f t="shared" si="0"/>
        <v/>
      </c>
      <c r="H8822" s="26" t="str">
        <f t="shared" si="1"/>
        <v/>
      </c>
      <c r="I8822" s="26" t="str">
        <f t="shared" si="2"/>
        <v/>
      </c>
      <c r="J8822" s="86">
        <f t="shared" si="3"/>
        <v>0</v>
      </c>
      <c r="R8822" s="26"/>
    </row>
    <row r="8823" spans="1:18" ht="15.75" customHeight="1">
      <c r="A8823" s="26"/>
      <c r="B8823" s="86"/>
      <c r="D8823" s="26"/>
      <c r="F8823" s="87" t="str">
        <f t="shared" si="0"/>
        <v/>
      </c>
      <c r="H8823" s="26" t="str">
        <f t="shared" si="1"/>
        <v/>
      </c>
      <c r="I8823" s="26" t="str">
        <f t="shared" si="2"/>
        <v/>
      </c>
      <c r="J8823" s="86">
        <f t="shared" si="3"/>
        <v>0</v>
      </c>
      <c r="R8823" s="26"/>
    </row>
    <row r="8824" spans="1:18" ht="15.75" customHeight="1">
      <c r="A8824" s="26"/>
      <c r="B8824" s="86"/>
      <c r="D8824" s="26"/>
      <c r="F8824" s="87" t="str">
        <f t="shared" si="0"/>
        <v/>
      </c>
      <c r="H8824" s="26" t="str">
        <f t="shared" si="1"/>
        <v/>
      </c>
      <c r="I8824" s="26" t="str">
        <f t="shared" si="2"/>
        <v/>
      </c>
      <c r="J8824" s="86">
        <f t="shared" si="3"/>
        <v>0</v>
      </c>
      <c r="R8824" s="26"/>
    </row>
    <row r="8825" spans="1:18" ht="15.75" customHeight="1">
      <c r="A8825" s="26"/>
      <c r="B8825" s="86"/>
      <c r="D8825" s="26"/>
      <c r="F8825" s="87" t="str">
        <f t="shared" si="0"/>
        <v/>
      </c>
      <c r="H8825" s="26" t="str">
        <f t="shared" si="1"/>
        <v/>
      </c>
      <c r="I8825" s="26" t="str">
        <f t="shared" si="2"/>
        <v/>
      </c>
      <c r="J8825" s="86">
        <f t="shared" si="3"/>
        <v>0</v>
      </c>
      <c r="R8825" s="26"/>
    </row>
    <row r="8826" spans="1:18" ht="15.75" customHeight="1">
      <c r="A8826" s="26"/>
      <c r="B8826" s="86"/>
      <c r="D8826" s="26"/>
      <c r="F8826" s="87" t="str">
        <f t="shared" si="0"/>
        <v/>
      </c>
      <c r="H8826" s="26" t="str">
        <f t="shared" si="1"/>
        <v/>
      </c>
      <c r="I8826" s="26" t="str">
        <f t="shared" si="2"/>
        <v/>
      </c>
      <c r="J8826" s="86">
        <f t="shared" si="3"/>
        <v>0</v>
      </c>
      <c r="R8826" s="26"/>
    </row>
    <row r="8827" spans="1:18" ht="15.75" customHeight="1">
      <c r="A8827" s="26"/>
      <c r="B8827" s="86"/>
      <c r="D8827" s="26"/>
      <c r="F8827" s="87" t="str">
        <f t="shared" si="0"/>
        <v/>
      </c>
      <c r="H8827" s="26" t="str">
        <f t="shared" si="1"/>
        <v/>
      </c>
      <c r="I8827" s="26" t="str">
        <f t="shared" si="2"/>
        <v/>
      </c>
      <c r="J8827" s="86">
        <f t="shared" si="3"/>
        <v>0</v>
      </c>
      <c r="R8827" s="26"/>
    </row>
    <row r="8828" spans="1:18" ht="15.75" customHeight="1">
      <c r="A8828" s="26"/>
      <c r="B8828" s="86"/>
      <c r="D8828" s="26"/>
      <c r="F8828" s="87" t="str">
        <f t="shared" si="0"/>
        <v/>
      </c>
      <c r="H8828" s="26" t="str">
        <f t="shared" si="1"/>
        <v/>
      </c>
      <c r="I8828" s="26" t="str">
        <f t="shared" si="2"/>
        <v/>
      </c>
      <c r="J8828" s="86">
        <f t="shared" si="3"/>
        <v>0</v>
      </c>
      <c r="R8828" s="26"/>
    </row>
    <row r="8829" spans="1:18" ht="15.75" customHeight="1">
      <c r="A8829" s="26"/>
      <c r="B8829" s="86"/>
      <c r="D8829" s="26"/>
      <c r="F8829" s="87" t="str">
        <f t="shared" si="0"/>
        <v/>
      </c>
      <c r="H8829" s="26" t="str">
        <f t="shared" si="1"/>
        <v/>
      </c>
      <c r="I8829" s="26" t="str">
        <f t="shared" si="2"/>
        <v/>
      </c>
      <c r="J8829" s="86">
        <f t="shared" si="3"/>
        <v>0</v>
      </c>
      <c r="R8829" s="26"/>
    </row>
    <row r="8830" spans="1:18" ht="15.75" customHeight="1">
      <c r="A8830" s="26"/>
      <c r="B8830" s="86"/>
      <c r="D8830" s="26"/>
      <c r="F8830" s="87" t="str">
        <f t="shared" si="0"/>
        <v/>
      </c>
      <c r="H8830" s="26" t="str">
        <f t="shared" si="1"/>
        <v/>
      </c>
      <c r="I8830" s="26" t="str">
        <f t="shared" si="2"/>
        <v/>
      </c>
      <c r="J8830" s="86">
        <f t="shared" si="3"/>
        <v>0</v>
      </c>
      <c r="R8830" s="26"/>
    </row>
    <row r="8831" spans="1:18" ht="15.75" customHeight="1">
      <c r="A8831" s="26"/>
      <c r="B8831" s="86"/>
      <c r="D8831" s="26"/>
      <c r="F8831" s="87" t="str">
        <f t="shared" si="0"/>
        <v/>
      </c>
      <c r="H8831" s="26" t="str">
        <f t="shared" si="1"/>
        <v/>
      </c>
      <c r="I8831" s="26" t="str">
        <f t="shared" si="2"/>
        <v/>
      </c>
      <c r="J8831" s="86">
        <f t="shared" si="3"/>
        <v>0</v>
      </c>
      <c r="R8831" s="26"/>
    </row>
    <row r="8832" spans="1:18" ht="15.75" customHeight="1">
      <c r="A8832" s="26"/>
      <c r="B8832" s="86"/>
      <c r="D8832" s="26"/>
      <c r="F8832" s="87" t="str">
        <f t="shared" si="0"/>
        <v/>
      </c>
      <c r="H8832" s="26" t="str">
        <f t="shared" si="1"/>
        <v/>
      </c>
      <c r="I8832" s="26" t="str">
        <f t="shared" si="2"/>
        <v/>
      </c>
      <c r="J8832" s="86">
        <f t="shared" si="3"/>
        <v>0</v>
      </c>
      <c r="R8832" s="26"/>
    </row>
    <row r="8833" spans="1:18" ht="15.75" customHeight="1">
      <c r="A8833" s="26"/>
      <c r="B8833" s="86"/>
      <c r="D8833" s="26"/>
      <c r="F8833" s="87" t="str">
        <f t="shared" si="0"/>
        <v/>
      </c>
      <c r="H8833" s="26" t="str">
        <f t="shared" si="1"/>
        <v/>
      </c>
      <c r="I8833" s="26" t="str">
        <f t="shared" si="2"/>
        <v/>
      </c>
      <c r="J8833" s="86">
        <f t="shared" si="3"/>
        <v>0</v>
      </c>
      <c r="R8833" s="26"/>
    </row>
    <row r="8834" spans="1:18" ht="15.75" customHeight="1">
      <c r="A8834" s="26"/>
      <c r="B8834" s="86"/>
      <c r="D8834" s="26"/>
      <c r="F8834" s="87" t="str">
        <f t="shared" si="0"/>
        <v/>
      </c>
      <c r="H8834" s="26" t="str">
        <f t="shared" si="1"/>
        <v/>
      </c>
      <c r="I8834" s="26" t="str">
        <f t="shared" si="2"/>
        <v/>
      </c>
      <c r="J8834" s="86">
        <f t="shared" si="3"/>
        <v>0</v>
      </c>
      <c r="R8834" s="26"/>
    </row>
    <row r="8835" spans="1:18" ht="15.75" customHeight="1">
      <c r="A8835" s="26"/>
      <c r="B8835" s="86"/>
      <c r="D8835" s="26"/>
      <c r="F8835" s="87" t="str">
        <f t="shared" si="0"/>
        <v/>
      </c>
      <c r="H8835" s="26" t="str">
        <f t="shared" si="1"/>
        <v/>
      </c>
      <c r="I8835" s="26" t="str">
        <f t="shared" si="2"/>
        <v/>
      </c>
      <c r="J8835" s="86">
        <f t="shared" si="3"/>
        <v>0</v>
      </c>
      <c r="R8835" s="26"/>
    </row>
    <row r="8836" spans="1:18" ht="15.75" customHeight="1">
      <c r="A8836" s="26"/>
      <c r="B8836" s="86"/>
      <c r="D8836" s="26"/>
      <c r="F8836" s="87" t="str">
        <f t="shared" si="0"/>
        <v/>
      </c>
      <c r="H8836" s="26" t="str">
        <f t="shared" si="1"/>
        <v/>
      </c>
      <c r="I8836" s="26" t="str">
        <f t="shared" si="2"/>
        <v/>
      </c>
      <c r="J8836" s="86">
        <f t="shared" si="3"/>
        <v>0</v>
      </c>
      <c r="R8836" s="26"/>
    </row>
    <row r="8837" spans="1:18" ht="15.75" customHeight="1">
      <c r="A8837" s="26"/>
      <c r="B8837" s="86"/>
      <c r="D8837" s="26"/>
      <c r="F8837" s="87" t="str">
        <f t="shared" si="0"/>
        <v/>
      </c>
      <c r="H8837" s="26" t="str">
        <f t="shared" si="1"/>
        <v/>
      </c>
      <c r="I8837" s="26" t="str">
        <f t="shared" si="2"/>
        <v/>
      </c>
      <c r="J8837" s="86">
        <f t="shared" si="3"/>
        <v>0</v>
      </c>
      <c r="R8837" s="26"/>
    </row>
    <row r="8838" spans="1:18" ht="15.75" customHeight="1">
      <c r="A8838" s="26"/>
      <c r="B8838" s="86"/>
      <c r="D8838" s="26"/>
      <c r="F8838" s="87" t="str">
        <f t="shared" si="0"/>
        <v/>
      </c>
      <c r="H8838" s="26" t="str">
        <f t="shared" si="1"/>
        <v/>
      </c>
      <c r="I8838" s="26" t="str">
        <f t="shared" si="2"/>
        <v/>
      </c>
      <c r="J8838" s="86">
        <f t="shared" si="3"/>
        <v>0</v>
      </c>
      <c r="R8838" s="26"/>
    </row>
    <row r="8839" spans="1:18" ht="15.75" customHeight="1">
      <c r="A8839" s="26"/>
      <c r="B8839" s="86"/>
      <c r="D8839" s="26"/>
      <c r="F8839" s="87" t="str">
        <f t="shared" si="0"/>
        <v/>
      </c>
      <c r="H8839" s="26" t="str">
        <f t="shared" si="1"/>
        <v/>
      </c>
      <c r="I8839" s="26" t="str">
        <f t="shared" si="2"/>
        <v/>
      </c>
      <c r="J8839" s="86">
        <f t="shared" si="3"/>
        <v>0</v>
      </c>
      <c r="R8839" s="26"/>
    </row>
    <row r="8840" spans="1:18" ht="15.75" customHeight="1">
      <c r="A8840" s="26"/>
      <c r="B8840" s="86"/>
      <c r="D8840" s="26"/>
      <c r="F8840" s="87" t="str">
        <f t="shared" si="0"/>
        <v/>
      </c>
      <c r="H8840" s="26" t="str">
        <f t="shared" si="1"/>
        <v/>
      </c>
      <c r="I8840" s="26" t="str">
        <f t="shared" si="2"/>
        <v/>
      </c>
      <c r="J8840" s="86">
        <f t="shared" si="3"/>
        <v>0</v>
      </c>
      <c r="R8840" s="26"/>
    </row>
    <row r="8841" spans="1:18" ht="15.75" customHeight="1">
      <c r="A8841" s="26"/>
      <c r="B8841" s="86"/>
      <c r="D8841" s="26"/>
      <c r="F8841" s="87" t="str">
        <f t="shared" si="0"/>
        <v/>
      </c>
      <c r="H8841" s="26" t="str">
        <f t="shared" si="1"/>
        <v/>
      </c>
      <c r="I8841" s="26" t="str">
        <f t="shared" si="2"/>
        <v/>
      </c>
      <c r="J8841" s="86">
        <f t="shared" si="3"/>
        <v>0</v>
      </c>
      <c r="R8841" s="26"/>
    </row>
    <row r="8842" spans="1:18" ht="15.75" customHeight="1">
      <c r="A8842" s="26"/>
      <c r="B8842" s="86"/>
      <c r="D8842" s="26"/>
      <c r="F8842" s="87" t="str">
        <f t="shared" si="0"/>
        <v/>
      </c>
      <c r="H8842" s="26" t="str">
        <f t="shared" si="1"/>
        <v/>
      </c>
      <c r="I8842" s="26" t="str">
        <f t="shared" si="2"/>
        <v/>
      </c>
      <c r="J8842" s="86">
        <f t="shared" si="3"/>
        <v>0</v>
      </c>
      <c r="R8842" s="26"/>
    </row>
    <row r="8843" spans="1:18" ht="15.75" customHeight="1">
      <c r="A8843" s="26"/>
      <c r="B8843" s="86"/>
      <c r="D8843" s="26"/>
      <c r="F8843" s="87" t="str">
        <f t="shared" si="0"/>
        <v/>
      </c>
      <c r="H8843" s="26" t="str">
        <f t="shared" si="1"/>
        <v/>
      </c>
      <c r="I8843" s="26" t="str">
        <f t="shared" si="2"/>
        <v/>
      </c>
      <c r="J8843" s="86">
        <f t="shared" si="3"/>
        <v>0</v>
      </c>
      <c r="R8843" s="26"/>
    </row>
    <row r="8844" spans="1:18" ht="15.75" customHeight="1">
      <c r="A8844" s="26"/>
      <c r="B8844" s="86"/>
      <c r="D8844" s="26"/>
      <c r="F8844" s="87" t="str">
        <f t="shared" si="0"/>
        <v/>
      </c>
      <c r="H8844" s="26" t="str">
        <f t="shared" si="1"/>
        <v/>
      </c>
      <c r="I8844" s="26" t="str">
        <f t="shared" si="2"/>
        <v/>
      </c>
      <c r="J8844" s="86">
        <f t="shared" si="3"/>
        <v>0</v>
      </c>
      <c r="R8844" s="26"/>
    </row>
    <row r="8845" spans="1:18" ht="15.75" customHeight="1">
      <c r="A8845" s="26"/>
      <c r="B8845" s="86"/>
      <c r="D8845" s="26"/>
      <c r="F8845" s="87" t="str">
        <f t="shared" si="0"/>
        <v/>
      </c>
      <c r="H8845" s="26" t="str">
        <f t="shared" si="1"/>
        <v/>
      </c>
      <c r="I8845" s="26" t="str">
        <f t="shared" si="2"/>
        <v/>
      </c>
      <c r="J8845" s="86">
        <f t="shared" si="3"/>
        <v>0</v>
      </c>
      <c r="R8845" s="26"/>
    </row>
    <row r="8846" spans="1:18" ht="15.75" customHeight="1">
      <c r="A8846" s="26"/>
      <c r="B8846" s="86"/>
      <c r="D8846" s="26"/>
      <c r="F8846" s="87" t="str">
        <f t="shared" si="0"/>
        <v/>
      </c>
      <c r="H8846" s="26" t="str">
        <f t="shared" si="1"/>
        <v/>
      </c>
      <c r="I8846" s="26" t="str">
        <f t="shared" si="2"/>
        <v/>
      </c>
      <c r="J8846" s="86">
        <f t="shared" si="3"/>
        <v>0</v>
      </c>
      <c r="R8846" s="26"/>
    </row>
    <row r="8847" spans="1:18" ht="15.75" customHeight="1">
      <c r="A8847" s="26"/>
      <c r="B8847" s="86"/>
      <c r="D8847" s="26"/>
      <c r="F8847" s="87" t="str">
        <f t="shared" si="0"/>
        <v/>
      </c>
      <c r="H8847" s="26" t="str">
        <f t="shared" si="1"/>
        <v/>
      </c>
      <c r="I8847" s="26" t="str">
        <f t="shared" si="2"/>
        <v/>
      </c>
      <c r="J8847" s="86">
        <f t="shared" si="3"/>
        <v>0</v>
      </c>
      <c r="R8847" s="26"/>
    </row>
    <row r="8848" spans="1:18" ht="15.75" customHeight="1">
      <c r="A8848" s="26"/>
      <c r="B8848" s="86"/>
      <c r="D8848" s="26"/>
      <c r="F8848" s="87" t="str">
        <f t="shared" si="0"/>
        <v/>
      </c>
      <c r="H8848" s="26" t="str">
        <f t="shared" si="1"/>
        <v/>
      </c>
      <c r="I8848" s="26" t="str">
        <f t="shared" si="2"/>
        <v/>
      </c>
      <c r="J8848" s="86">
        <f t="shared" si="3"/>
        <v>0</v>
      </c>
      <c r="R8848" s="26"/>
    </row>
    <row r="8849" spans="1:18" ht="15.75" customHeight="1">
      <c r="A8849" s="26"/>
      <c r="B8849" s="86"/>
      <c r="D8849" s="26"/>
      <c r="F8849" s="87" t="str">
        <f t="shared" si="0"/>
        <v/>
      </c>
      <c r="H8849" s="26" t="str">
        <f t="shared" si="1"/>
        <v/>
      </c>
      <c r="I8849" s="26" t="str">
        <f t="shared" si="2"/>
        <v/>
      </c>
      <c r="J8849" s="86">
        <f t="shared" si="3"/>
        <v>0</v>
      </c>
      <c r="R8849" s="26"/>
    </row>
    <row r="8850" spans="1:18" ht="15.75" customHeight="1">
      <c r="A8850" s="26"/>
      <c r="B8850" s="86"/>
      <c r="D8850" s="26"/>
      <c r="F8850" s="87" t="str">
        <f t="shared" si="0"/>
        <v/>
      </c>
      <c r="H8850" s="26" t="str">
        <f t="shared" si="1"/>
        <v/>
      </c>
      <c r="I8850" s="26" t="str">
        <f t="shared" si="2"/>
        <v/>
      </c>
      <c r="J8850" s="86">
        <f t="shared" si="3"/>
        <v>0</v>
      </c>
      <c r="R8850" s="26"/>
    </row>
    <row r="8851" spans="1:18" ht="15.75" customHeight="1">
      <c r="A8851" s="26"/>
      <c r="B8851" s="86"/>
      <c r="D8851" s="26"/>
      <c r="F8851" s="87" t="str">
        <f t="shared" si="0"/>
        <v/>
      </c>
      <c r="H8851" s="26" t="str">
        <f t="shared" si="1"/>
        <v/>
      </c>
      <c r="I8851" s="26" t="str">
        <f t="shared" si="2"/>
        <v/>
      </c>
      <c r="J8851" s="86">
        <f t="shared" si="3"/>
        <v>0</v>
      </c>
      <c r="R8851" s="26"/>
    </row>
    <row r="8852" spans="1:18" ht="15.75" customHeight="1">
      <c r="A8852" s="26"/>
      <c r="B8852" s="86"/>
      <c r="D8852" s="26"/>
      <c r="F8852" s="87" t="str">
        <f t="shared" si="0"/>
        <v/>
      </c>
      <c r="H8852" s="26" t="str">
        <f t="shared" si="1"/>
        <v/>
      </c>
      <c r="I8852" s="26" t="str">
        <f t="shared" si="2"/>
        <v/>
      </c>
      <c r="J8852" s="86">
        <f t="shared" si="3"/>
        <v>0</v>
      </c>
      <c r="R8852" s="26"/>
    </row>
    <row r="8853" spans="1:18" ht="15.75" customHeight="1">
      <c r="A8853" s="26"/>
      <c r="B8853" s="86"/>
      <c r="D8853" s="26"/>
      <c r="F8853" s="87" t="str">
        <f t="shared" si="0"/>
        <v/>
      </c>
      <c r="H8853" s="26" t="str">
        <f t="shared" si="1"/>
        <v/>
      </c>
      <c r="I8853" s="26" t="str">
        <f t="shared" si="2"/>
        <v/>
      </c>
      <c r="J8853" s="86">
        <f t="shared" si="3"/>
        <v>0</v>
      </c>
      <c r="R8853" s="26"/>
    </row>
    <row r="8854" spans="1:18" ht="15.75" customHeight="1">
      <c r="A8854" s="26"/>
      <c r="B8854" s="86"/>
      <c r="D8854" s="26"/>
      <c r="F8854" s="87" t="str">
        <f t="shared" si="0"/>
        <v/>
      </c>
      <c r="H8854" s="26" t="str">
        <f t="shared" si="1"/>
        <v/>
      </c>
      <c r="I8854" s="26" t="str">
        <f t="shared" si="2"/>
        <v/>
      </c>
      <c r="J8854" s="86">
        <f t="shared" si="3"/>
        <v>0</v>
      </c>
      <c r="R8854" s="26"/>
    </row>
    <row r="8855" spans="1:18" ht="15.75" customHeight="1">
      <c r="A8855" s="26"/>
      <c r="B8855" s="86"/>
      <c r="D8855" s="26"/>
      <c r="F8855" s="87" t="str">
        <f t="shared" si="0"/>
        <v/>
      </c>
      <c r="H8855" s="26" t="str">
        <f t="shared" si="1"/>
        <v/>
      </c>
      <c r="I8855" s="26" t="str">
        <f t="shared" si="2"/>
        <v/>
      </c>
      <c r="J8855" s="86">
        <f t="shared" si="3"/>
        <v>0</v>
      </c>
      <c r="R8855" s="26"/>
    </row>
    <row r="8856" spans="1:18" ht="15.75" customHeight="1">
      <c r="A8856" s="26"/>
      <c r="B8856" s="86"/>
      <c r="D8856" s="26"/>
      <c r="F8856" s="87" t="str">
        <f t="shared" si="0"/>
        <v/>
      </c>
      <c r="H8856" s="26" t="str">
        <f t="shared" si="1"/>
        <v/>
      </c>
      <c r="I8856" s="26" t="str">
        <f t="shared" si="2"/>
        <v/>
      </c>
      <c r="J8856" s="86">
        <f t="shared" si="3"/>
        <v>0</v>
      </c>
      <c r="R8856" s="26"/>
    </row>
    <row r="8857" spans="1:18" ht="15.75" customHeight="1">
      <c r="A8857" s="26"/>
      <c r="B8857" s="86"/>
      <c r="D8857" s="26"/>
      <c r="F8857" s="87" t="str">
        <f t="shared" si="0"/>
        <v/>
      </c>
      <c r="H8857" s="26" t="str">
        <f t="shared" si="1"/>
        <v/>
      </c>
      <c r="I8857" s="26" t="str">
        <f t="shared" si="2"/>
        <v/>
      </c>
      <c r="J8857" s="86">
        <f t="shared" si="3"/>
        <v>0</v>
      </c>
      <c r="R8857" s="26"/>
    </row>
    <row r="8858" spans="1:18" ht="15.75" customHeight="1">
      <c r="A8858" s="26"/>
      <c r="B8858" s="86"/>
      <c r="D8858" s="26"/>
      <c r="F8858" s="87" t="str">
        <f t="shared" si="0"/>
        <v/>
      </c>
      <c r="H8858" s="26" t="str">
        <f t="shared" si="1"/>
        <v/>
      </c>
      <c r="I8858" s="26" t="str">
        <f t="shared" si="2"/>
        <v/>
      </c>
      <c r="J8858" s="86">
        <f t="shared" si="3"/>
        <v>0</v>
      </c>
      <c r="R8858" s="26"/>
    </row>
    <row r="8859" spans="1:18" ht="15.75" customHeight="1">
      <c r="A8859" s="26"/>
      <c r="B8859" s="86"/>
      <c r="D8859" s="26"/>
      <c r="F8859" s="87" t="str">
        <f t="shared" si="0"/>
        <v/>
      </c>
      <c r="H8859" s="26" t="str">
        <f t="shared" si="1"/>
        <v/>
      </c>
      <c r="I8859" s="26" t="str">
        <f t="shared" si="2"/>
        <v/>
      </c>
      <c r="J8859" s="86">
        <f t="shared" si="3"/>
        <v>0</v>
      </c>
      <c r="R8859" s="26"/>
    </row>
    <row r="8860" spans="1:18" ht="15.75" customHeight="1">
      <c r="A8860" s="26"/>
      <c r="B8860" s="86"/>
      <c r="D8860" s="26"/>
      <c r="F8860" s="87" t="str">
        <f t="shared" si="0"/>
        <v/>
      </c>
      <c r="H8860" s="26" t="str">
        <f t="shared" si="1"/>
        <v/>
      </c>
      <c r="I8860" s="26" t="str">
        <f t="shared" si="2"/>
        <v/>
      </c>
      <c r="J8860" s="86">
        <f t="shared" si="3"/>
        <v>0</v>
      </c>
      <c r="R8860" s="26"/>
    </row>
    <row r="8861" spans="1:18" ht="15.75" customHeight="1">
      <c r="A8861" s="26"/>
      <c r="B8861" s="86"/>
      <c r="D8861" s="26"/>
      <c r="F8861" s="87" t="str">
        <f t="shared" si="0"/>
        <v/>
      </c>
      <c r="H8861" s="26" t="str">
        <f t="shared" si="1"/>
        <v/>
      </c>
      <c r="I8861" s="26" t="str">
        <f t="shared" si="2"/>
        <v/>
      </c>
      <c r="J8861" s="86">
        <f t="shared" si="3"/>
        <v>0</v>
      </c>
      <c r="R8861" s="26"/>
    </row>
    <row r="8862" spans="1:18" ht="15.75" customHeight="1">
      <c r="A8862" s="26"/>
      <c r="B8862" s="86"/>
      <c r="D8862" s="26"/>
      <c r="F8862" s="87" t="str">
        <f t="shared" si="0"/>
        <v/>
      </c>
      <c r="H8862" s="26" t="str">
        <f t="shared" si="1"/>
        <v/>
      </c>
      <c r="I8862" s="26" t="str">
        <f t="shared" si="2"/>
        <v/>
      </c>
      <c r="J8862" s="86">
        <f t="shared" si="3"/>
        <v>0</v>
      </c>
      <c r="R8862" s="26"/>
    </row>
    <row r="8863" spans="1:18" ht="15.75" customHeight="1">
      <c r="A8863" s="26"/>
      <c r="B8863" s="86"/>
      <c r="D8863" s="26"/>
      <c r="F8863" s="87" t="str">
        <f t="shared" si="0"/>
        <v/>
      </c>
      <c r="H8863" s="26" t="str">
        <f t="shared" si="1"/>
        <v/>
      </c>
      <c r="I8863" s="26" t="str">
        <f t="shared" si="2"/>
        <v/>
      </c>
      <c r="J8863" s="86">
        <f t="shared" si="3"/>
        <v>0</v>
      </c>
      <c r="R8863" s="26"/>
    </row>
    <row r="8864" spans="1:18" ht="15.75" customHeight="1">
      <c r="A8864" s="26"/>
      <c r="B8864" s="86"/>
      <c r="D8864" s="26"/>
      <c r="F8864" s="87" t="str">
        <f t="shared" si="0"/>
        <v/>
      </c>
      <c r="H8864" s="26" t="str">
        <f t="shared" si="1"/>
        <v/>
      </c>
      <c r="I8864" s="26" t="str">
        <f t="shared" si="2"/>
        <v/>
      </c>
      <c r="J8864" s="86">
        <f t="shared" si="3"/>
        <v>0</v>
      </c>
      <c r="R8864" s="26"/>
    </row>
    <row r="8865" spans="1:18" ht="15.75" customHeight="1">
      <c r="A8865" s="26"/>
      <c r="B8865" s="86"/>
      <c r="D8865" s="26"/>
      <c r="F8865" s="87" t="str">
        <f t="shared" si="0"/>
        <v/>
      </c>
      <c r="H8865" s="26" t="str">
        <f t="shared" si="1"/>
        <v/>
      </c>
      <c r="I8865" s="26" t="str">
        <f t="shared" si="2"/>
        <v/>
      </c>
      <c r="J8865" s="86">
        <f t="shared" si="3"/>
        <v>0</v>
      </c>
      <c r="R8865" s="26"/>
    </row>
    <row r="8866" spans="1:18" ht="15.75" customHeight="1">
      <c r="A8866" s="26"/>
      <c r="B8866" s="86"/>
      <c r="D8866" s="26"/>
      <c r="F8866" s="87" t="str">
        <f t="shared" si="0"/>
        <v/>
      </c>
      <c r="H8866" s="26" t="str">
        <f t="shared" si="1"/>
        <v/>
      </c>
      <c r="I8866" s="26" t="str">
        <f t="shared" si="2"/>
        <v/>
      </c>
      <c r="J8866" s="86">
        <f t="shared" si="3"/>
        <v>0</v>
      </c>
      <c r="R8866" s="26"/>
    </row>
    <row r="8867" spans="1:18" ht="15.75" customHeight="1">
      <c r="A8867" s="26"/>
      <c r="B8867" s="86"/>
      <c r="D8867" s="26"/>
      <c r="F8867" s="87" t="str">
        <f t="shared" si="0"/>
        <v/>
      </c>
      <c r="H8867" s="26" t="str">
        <f t="shared" si="1"/>
        <v/>
      </c>
      <c r="I8867" s="26" t="str">
        <f t="shared" si="2"/>
        <v/>
      </c>
      <c r="J8867" s="86">
        <f t="shared" si="3"/>
        <v>0</v>
      </c>
      <c r="R8867" s="26"/>
    </row>
    <row r="8868" spans="1:18" ht="15.75" customHeight="1">
      <c r="A8868" s="26"/>
      <c r="B8868" s="86"/>
      <c r="D8868" s="26"/>
      <c r="F8868" s="87" t="str">
        <f t="shared" si="0"/>
        <v/>
      </c>
      <c r="H8868" s="26" t="str">
        <f t="shared" si="1"/>
        <v/>
      </c>
      <c r="I8868" s="26" t="str">
        <f t="shared" si="2"/>
        <v/>
      </c>
      <c r="J8868" s="86">
        <f t="shared" si="3"/>
        <v>0</v>
      </c>
      <c r="R8868" s="26"/>
    </row>
    <row r="8869" spans="1:18" ht="15.75" customHeight="1">
      <c r="A8869" s="26"/>
      <c r="B8869" s="86"/>
      <c r="D8869" s="26"/>
      <c r="F8869" s="87" t="str">
        <f t="shared" si="0"/>
        <v/>
      </c>
      <c r="H8869" s="26" t="str">
        <f t="shared" si="1"/>
        <v/>
      </c>
      <c r="I8869" s="26" t="str">
        <f t="shared" si="2"/>
        <v/>
      </c>
      <c r="J8869" s="86">
        <f t="shared" si="3"/>
        <v>0</v>
      </c>
      <c r="R8869" s="26"/>
    </row>
    <row r="8870" spans="1:18" ht="15.75" customHeight="1">
      <c r="A8870" s="26"/>
      <c r="B8870" s="86"/>
      <c r="D8870" s="26"/>
      <c r="F8870" s="87" t="str">
        <f t="shared" si="0"/>
        <v/>
      </c>
      <c r="H8870" s="26" t="str">
        <f t="shared" si="1"/>
        <v/>
      </c>
      <c r="I8870" s="26" t="str">
        <f t="shared" si="2"/>
        <v/>
      </c>
      <c r="J8870" s="86">
        <f t="shared" si="3"/>
        <v>0</v>
      </c>
      <c r="R8870" s="26"/>
    </row>
    <row r="8871" spans="1:18" ht="15.75" customHeight="1">
      <c r="A8871" s="26"/>
      <c r="B8871" s="86"/>
      <c r="D8871" s="26"/>
      <c r="F8871" s="87" t="str">
        <f t="shared" si="0"/>
        <v/>
      </c>
      <c r="H8871" s="26" t="str">
        <f t="shared" si="1"/>
        <v/>
      </c>
      <c r="I8871" s="26" t="str">
        <f t="shared" si="2"/>
        <v/>
      </c>
      <c r="J8871" s="86">
        <f t="shared" si="3"/>
        <v>0</v>
      </c>
      <c r="R8871" s="26"/>
    </row>
    <row r="8872" spans="1:18" ht="15.75" customHeight="1">
      <c r="A8872" s="26"/>
      <c r="B8872" s="86"/>
      <c r="D8872" s="26"/>
      <c r="F8872" s="87" t="str">
        <f t="shared" si="0"/>
        <v/>
      </c>
      <c r="H8872" s="26" t="str">
        <f t="shared" si="1"/>
        <v/>
      </c>
      <c r="I8872" s="26" t="str">
        <f t="shared" si="2"/>
        <v/>
      </c>
      <c r="J8872" s="86">
        <f t="shared" si="3"/>
        <v>0</v>
      </c>
      <c r="R8872" s="26"/>
    </row>
    <row r="8873" spans="1:18" ht="15.75" customHeight="1">
      <c r="A8873" s="26"/>
      <c r="B8873" s="86"/>
      <c r="D8873" s="26"/>
      <c r="F8873" s="87" t="str">
        <f t="shared" si="0"/>
        <v/>
      </c>
      <c r="H8873" s="26" t="str">
        <f t="shared" si="1"/>
        <v/>
      </c>
      <c r="I8873" s="26" t="str">
        <f t="shared" si="2"/>
        <v/>
      </c>
      <c r="J8873" s="86">
        <f t="shared" si="3"/>
        <v>0</v>
      </c>
      <c r="R8873" s="26"/>
    </row>
    <row r="8874" spans="1:18" ht="15.75" customHeight="1">
      <c r="A8874" s="26"/>
      <c r="B8874" s="86"/>
      <c r="D8874" s="26"/>
      <c r="F8874" s="87" t="str">
        <f t="shared" si="0"/>
        <v/>
      </c>
      <c r="H8874" s="26" t="str">
        <f t="shared" si="1"/>
        <v/>
      </c>
      <c r="I8874" s="26" t="str">
        <f t="shared" si="2"/>
        <v/>
      </c>
      <c r="J8874" s="86">
        <f t="shared" si="3"/>
        <v>0</v>
      </c>
      <c r="R8874" s="26"/>
    </row>
    <row r="8875" spans="1:18" ht="15.75" customHeight="1">
      <c r="A8875" s="26"/>
      <c r="B8875" s="86"/>
      <c r="D8875" s="26"/>
      <c r="F8875" s="87" t="str">
        <f t="shared" si="0"/>
        <v/>
      </c>
      <c r="H8875" s="26" t="str">
        <f t="shared" si="1"/>
        <v/>
      </c>
      <c r="I8875" s="26" t="str">
        <f t="shared" si="2"/>
        <v/>
      </c>
      <c r="J8875" s="86">
        <f t="shared" si="3"/>
        <v>0</v>
      </c>
      <c r="R8875" s="26"/>
    </row>
    <row r="8876" spans="1:18" ht="15.75" customHeight="1">
      <c r="A8876" s="26"/>
      <c r="B8876" s="86"/>
      <c r="D8876" s="26"/>
      <c r="F8876" s="87" t="str">
        <f t="shared" si="0"/>
        <v/>
      </c>
      <c r="H8876" s="26" t="str">
        <f t="shared" si="1"/>
        <v/>
      </c>
      <c r="I8876" s="26" t="str">
        <f t="shared" si="2"/>
        <v/>
      </c>
      <c r="J8876" s="86">
        <f t="shared" si="3"/>
        <v>0</v>
      </c>
      <c r="R8876" s="26"/>
    </row>
    <row r="8877" spans="1:18" ht="15.75" customHeight="1">
      <c r="A8877" s="26"/>
      <c r="B8877" s="86"/>
      <c r="D8877" s="26"/>
      <c r="F8877" s="87" t="str">
        <f t="shared" si="0"/>
        <v/>
      </c>
      <c r="H8877" s="26" t="str">
        <f t="shared" si="1"/>
        <v/>
      </c>
      <c r="I8877" s="26" t="str">
        <f t="shared" si="2"/>
        <v/>
      </c>
      <c r="J8877" s="86">
        <f t="shared" si="3"/>
        <v>0</v>
      </c>
      <c r="R8877" s="26"/>
    </row>
    <row r="8878" spans="1:18" ht="15.75" customHeight="1">
      <c r="A8878" s="26"/>
      <c r="B8878" s="86"/>
      <c r="D8878" s="26"/>
      <c r="F8878" s="87" t="str">
        <f t="shared" si="0"/>
        <v/>
      </c>
      <c r="H8878" s="26" t="str">
        <f t="shared" si="1"/>
        <v/>
      </c>
      <c r="I8878" s="26" t="str">
        <f t="shared" si="2"/>
        <v/>
      </c>
      <c r="J8878" s="86">
        <f t="shared" si="3"/>
        <v>0</v>
      </c>
      <c r="R8878" s="26"/>
    </row>
    <row r="8879" spans="1:18" ht="15.75" customHeight="1">
      <c r="A8879" s="26"/>
      <c r="B8879" s="86"/>
      <c r="D8879" s="26"/>
      <c r="F8879" s="87" t="str">
        <f t="shared" si="0"/>
        <v/>
      </c>
      <c r="H8879" s="26" t="str">
        <f t="shared" si="1"/>
        <v/>
      </c>
      <c r="I8879" s="26" t="str">
        <f t="shared" si="2"/>
        <v/>
      </c>
      <c r="J8879" s="86">
        <f t="shared" si="3"/>
        <v>0</v>
      </c>
      <c r="R8879" s="26"/>
    </row>
    <row r="8880" spans="1:18" ht="15.75" customHeight="1">
      <c r="A8880" s="26"/>
      <c r="B8880" s="86"/>
      <c r="D8880" s="26"/>
      <c r="F8880" s="87" t="str">
        <f t="shared" si="0"/>
        <v/>
      </c>
      <c r="H8880" s="26" t="str">
        <f t="shared" si="1"/>
        <v/>
      </c>
      <c r="I8880" s="26" t="str">
        <f t="shared" si="2"/>
        <v/>
      </c>
      <c r="J8880" s="86">
        <f t="shared" si="3"/>
        <v>0</v>
      </c>
      <c r="R8880" s="26"/>
    </row>
    <row r="8881" spans="1:18" ht="15.75" customHeight="1">
      <c r="A8881" s="26"/>
      <c r="B8881" s="86"/>
      <c r="D8881" s="26"/>
      <c r="F8881" s="87" t="str">
        <f t="shared" si="0"/>
        <v/>
      </c>
      <c r="H8881" s="26" t="str">
        <f t="shared" si="1"/>
        <v/>
      </c>
      <c r="I8881" s="26" t="str">
        <f t="shared" si="2"/>
        <v/>
      </c>
      <c r="J8881" s="86">
        <f t="shared" si="3"/>
        <v>0</v>
      </c>
      <c r="R8881" s="26"/>
    </row>
    <row r="8882" spans="1:18" ht="15.75" customHeight="1">
      <c r="A8882" s="26"/>
      <c r="B8882" s="86"/>
      <c r="D8882" s="26"/>
      <c r="F8882" s="87" t="str">
        <f t="shared" si="0"/>
        <v/>
      </c>
      <c r="H8882" s="26" t="str">
        <f t="shared" si="1"/>
        <v/>
      </c>
      <c r="I8882" s="26" t="str">
        <f t="shared" si="2"/>
        <v/>
      </c>
      <c r="J8882" s="86">
        <f t="shared" si="3"/>
        <v>0</v>
      </c>
      <c r="R8882" s="26"/>
    </row>
    <row r="8883" spans="1:18" ht="15.75" customHeight="1">
      <c r="A8883" s="26"/>
      <c r="B8883" s="86"/>
      <c r="D8883" s="26"/>
      <c r="F8883" s="87" t="str">
        <f t="shared" si="0"/>
        <v/>
      </c>
      <c r="H8883" s="26" t="str">
        <f t="shared" si="1"/>
        <v/>
      </c>
      <c r="I8883" s="26" t="str">
        <f t="shared" si="2"/>
        <v/>
      </c>
      <c r="J8883" s="86">
        <f t="shared" si="3"/>
        <v>0</v>
      </c>
      <c r="R8883" s="26"/>
    </row>
    <row r="8884" spans="1:18" ht="15.75" customHeight="1">
      <c r="A8884" s="26"/>
      <c r="B8884" s="86"/>
      <c r="D8884" s="26"/>
      <c r="F8884" s="87" t="str">
        <f t="shared" si="0"/>
        <v/>
      </c>
      <c r="H8884" s="26" t="str">
        <f t="shared" si="1"/>
        <v/>
      </c>
      <c r="I8884" s="26" t="str">
        <f t="shared" si="2"/>
        <v/>
      </c>
      <c r="J8884" s="86">
        <f t="shared" si="3"/>
        <v>0</v>
      </c>
      <c r="R8884" s="26"/>
    </row>
    <row r="8885" spans="1:18" ht="15.75" customHeight="1">
      <c r="A8885" s="26"/>
      <c r="B8885" s="86"/>
      <c r="D8885" s="26"/>
      <c r="F8885" s="87" t="str">
        <f t="shared" si="0"/>
        <v/>
      </c>
      <c r="H8885" s="26" t="str">
        <f t="shared" si="1"/>
        <v/>
      </c>
      <c r="I8885" s="26" t="str">
        <f t="shared" si="2"/>
        <v/>
      </c>
      <c r="J8885" s="86">
        <f t="shared" si="3"/>
        <v>0</v>
      </c>
      <c r="R8885" s="26"/>
    </row>
    <row r="8886" spans="1:18" ht="15.75" customHeight="1">
      <c r="A8886" s="26"/>
      <c r="B8886" s="86"/>
      <c r="D8886" s="26"/>
      <c r="F8886" s="87" t="str">
        <f t="shared" si="0"/>
        <v/>
      </c>
      <c r="H8886" s="26" t="str">
        <f t="shared" si="1"/>
        <v/>
      </c>
      <c r="I8886" s="26" t="str">
        <f t="shared" si="2"/>
        <v/>
      </c>
      <c r="J8886" s="86">
        <f t="shared" si="3"/>
        <v>0</v>
      </c>
      <c r="R8886" s="26"/>
    </row>
    <row r="8887" spans="1:18" ht="15.75" customHeight="1">
      <c r="A8887" s="26"/>
      <c r="B8887" s="86"/>
      <c r="D8887" s="26"/>
      <c r="F8887" s="87" t="str">
        <f t="shared" si="0"/>
        <v/>
      </c>
      <c r="H8887" s="26" t="str">
        <f t="shared" si="1"/>
        <v/>
      </c>
      <c r="I8887" s="26" t="str">
        <f t="shared" si="2"/>
        <v/>
      </c>
      <c r="J8887" s="86">
        <f t="shared" si="3"/>
        <v>0</v>
      </c>
      <c r="R8887" s="26"/>
    </row>
    <row r="8888" spans="1:18" ht="15.75" customHeight="1">
      <c r="A8888" s="26"/>
      <c r="B8888" s="86"/>
      <c r="D8888" s="26"/>
      <c r="F8888" s="87" t="str">
        <f t="shared" si="0"/>
        <v/>
      </c>
      <c r="H8888" s="26" t="str">
        <f t="shared" si="1"/>
        <v/>
      </c>
      <c r="I8888" s="26" t="str">
        <f t="shared" si="2"/>
        <v/>
      </c>
      <c r="J8888" s="86">
        <f t="shared" si="3"/>
        <v>0</v>
      </c>
      <c r="R8888" s="26"/>
    </row>
    <row r="8889" spans="1:18" ht="15.75" customHeight="1">
      <c r="A8889" s="26"/>
      <c r="B8889" s="86"/>
      <c r="D8889" s="26"/>
      <c r="F8889" s="87" t="str">
        <f t="shared" si="0"/>
        <v/>
      </c>
      <c r="H8889" s="26" t="str">
        <f t="shared" si="1"/>
        <v/>
      </c>
      <c r="I8889" s="26" t="str">
        <f t="shared" si="2"/>
        <v/>
      </c>
      <c r="J8889" s="86">
        <f t="shared" si="3"/>
        <v>0</v>
      </c>
      <c r="R8889" s="26"/>
    </row>
    <row r="8890" spans="1:18" ht="15.75" customHeight="1">
      <c r="A8890" s="26"/>
      <c r="B8890" s="86"/>
      <c r="D8890" s="26"/>
      <c r="F8890" s="87" t="str">
        <f t="shared" si="0"/>
        <v/>
      </c>
      <c r="H8890" s="26" t="str">
        <f t="shared" si="1"/>
        <v/>
      </c>
      <c r="I8890" s="26" t="str">
        <f t="shared" si="2"/>
        <v/>
      </c>
      <c r="J8890" s="86">
        <f t="shared" si="3"/>
        <v>0</v>
      </c>
      <c r="R8890" s="26"/>
    </row>
    <row r="8891" spans="1:18" ht="15.75" customHeight="1">
      <c r="A8891" s="26"/>
      <c r="B8891" s="86"/>
      <c r="D8891" s="26"/>
      <c r="F8891" s="87" t="str">
        <f t="shared" si="0"/>
        <v/>
      </c>
      <c r="H8891" s="26" t="str">
        <f t="shared" si="1"/>
        <v/>
      </c>
      <c r="I8891" s="26" t="str">
        <f t="shared" si="2"/>
        <v/>
      </c>
      <c r="J8891" s="86">
        <f t="shared" si="3"/>
        <v>0</v>
      </c>
      <c r="R8891" s="26"/>
    </row>
    <row r="8892" spans="1:18" ht="15.75" customHeight="1">
      <c r="A8892" s="26"/>
      <c r="B8892" s="86"/>
      <c r="D8892" s="26"/>
      <c r="F8892" s="87" t="str">
        <f t="shared" si="0"/>
        <v/>
      </c>
      <c r="H8892" s="26" t="str">
        <f t="shared" si="1"/>
        <v/>
      </c>
      <c r="I8892" s="26" t="str">
        <f t="shared" si="2"/>
        <v/>
      </c>
      <c r="J8892" s="86">
        <f t="shared" si="3"/>
        <v>0</v>
      </c>
      <c r="R8892" s="26"/>
    </row>
    <row r="8893" spans="1:18" ht="15.75" customHeight="1">
      <c r="A8893" s="26"/>
      <c r="B8893" s="86"/>
      <c r="D8893" s="26"/>
      <c r="F8893" s="87" t="str">
        <f t="shared" si="0"/>
        <v/>
      </c>
      <c r="H8893" s="26" t="str">
        <f t="shared" si="1"/>
        <v/>
      </c>
      <c r="I8893" s="26" t="str">
        <f t="shared" si="2"/>
        <v/>
      </c>
      <c r="J8893" s="86">
        <f t="shared" si="3"/>
        <v>0</v>
      </c>
      <c r="R8893" s="26"/>
    </row>
    <row r="8894" spans="1:18" ht="15.75" customHeight="1">
      <c r="A8894" s="26"/>
      <c r="B8894" s="86"/>
      <c r="D8894" s="26"/>
      <c r="F8894" s="87" t="str">
        <f t="shared" si="0"/>
        <v/>
      </c>
      <c r="H8894" s="26" t="str">
        <f t="shared" si="1"/>
        <v/>
      </c>
      <c r="I8894" s="26" t="str">
        <f t="shared" si="2"/>
        <v/>
      </c>
      <c r="J8894" s="86">
        <f t="shared" si="3"/>
        <v>0</v>
      </c>
      <c r="R8894" s="26"/>
    </row>
    <row r="8895" spans="1:18" ht="15.75" customHeight="1">
      <c r="A8895" s="26"/>
      <c r="B8895" s="86"/>
      <c r="D8895" s="26"/>
      <c r="F8895" s="87" t="str">
        <f t="shared" si="0"/>
        <v/>
      </c>
      <c r="H8895" s="26" t="str">
        <f t="shared" si="1"/>
        <v/>
      </c>
      <c r="I8895" s="26" t="str">
        <f t="shared" si="2"/>
        <v/>
      </c>
      <c r="J8895" s="86">
        <f t="shared" si="3"/>
        <v>0</v>
      </c>
      <c r="R8895" s="26"/>
    </row>
    <row r="8896" spans="1:18" ht="15.75" customHeight="1">
      <c r="A8896" s="26"/>
      <c r="B8896" s="86"/>
      <c r="D8896" s="26"/>
      <c r="F8896" s="87" t="str">
        <f t="shared" si="0"/>
        <v/>
      </c>
      <c r="H8896" s="26" t="str">
        <f t="shared" si="1"/>
        <v/>
      </c>
      <c r="I8896" s="26" t="str">
        <f t="shared" si="2"/>
        <v/>
      </c>
      <c r="J8896" s="86">
        <f t="shared" si="3"/>
        <v>0</v>
      </c>
      <c r="R8896" s="26"/>
    </row>
    <row r="8897" spans="1:18" ht="15.75" customHeight="1">
      <c r="A8897" s="26"/>
      <c r="B8897" s="86"/>
      <c r="D8897" s="26"/>
      <c r="F8897" s="87" t="str">
        <f t="shared" si="0"/>
        <v/>
      </c>
      <c r="H8897" s="26" t="str">
        <f t="shared" si="1"/>
        <v/>
      </c>
      <c r="I8897" s="26" t="str">
        <f t="shared" si="2"/>
        <v/>
      </c>
      <c r="J8897" s="86">
        <f t="shared" si="3"/>
        <v>0</v>
      </c>
      <c r="R8897" s="26"/>
    </row>
    <row r="8898" spans="1:18" ht="15.75" customHeight="1">
      <c r="A8898" s="26"/>
      <c r="B8898" s="86"/>
      <c r="D8898" s="26"/>
      <c r="F8898" s="87" t="str">
        <f t="shared" si="0"/>
        <v/>
      </c>
      <c r="H8898" s="26" t="str">
        <f t="shared" si="1"/>
        <v/>
      </c>
      <c r="I8898" s="26" t="str">
        <f t="shared" si="2"/>
        <v/>
      </c>
      <c r="J8898" s="86">
        <f t="shared" si="3"/>
        <v>0</v>
      </c>
      <c r="R8898" s="26"/>
    </row>
    <row r="8899" spans="1:18" ht="15.75" customHeight="1">
      <c r="A8899" s="26"/>
      <c r="B8899" s="86"/>
      <c r="D8899" s="26"/>
      <c r="F8899" s="87" t="str">
        <f t="shared" si="0"/>
        <v/>
      </c>
      <c r="H8899" s="26" t="str">
        <f t="shared" si="1"/>
        <v/>
      </c>
      <c r="I8899" s="26" t="str">
        <f t="shared" si="2"/>
        <v/>
      </c>
      <c r="J8899" s="86">
        <f t="shared" si="3"/>
        <v>0</v>
      </c>
      <c r="R8899" s="26"/>
    </row>
    <row r="8900" spans="1:18" ht="15.75" customHeight="1">
      <c r="A8900" s="26"/>
      <c r="B8900" s="86"/>
      <c r="D8900" s="26"/>
      <c r="F8900" s="87" t="str">
        <f t="shared" si="0"/>
        <v/>
      </c>
      <c r="H8900" s="26" t="str">
        <f t="shared" si="1"/>
        <v/>
      </c>
      <c r="I8900" s="26" t="str">
        <f t="shared" si="2"/>
        <v/>
      </c>
      <c r="J8900" s="86">
        <f t="shared" si="3"/>
        <v>0</v>
      </c>
      <c r="R8900" s="26"/>
    </row>
    <row r="8901" spans="1:18" ht="15.75" customHeight="1">
      <c r="A8901" s="26"/>
      <c r="B8901" s="86"/>
      <c r="D8901" s="26"/>
      <c r="F8901" s="87" t="str">
        <f t="shared" si="0"/>
        <v/>
      </c>
      <c r="H8901" s="26" t="str">
        <f t="shared" si="1"/>
        <v/>
      </c>
      <c r="I8901" s="26" t="str">
        <f t="shared" si="2"/>
        <v/>
      </c>
      <c r="J8901" s="86">
        <f t="shared" si="3"/>
        <v>0</v>
      </c>
      <c r="R8901" s="26"/>
    </row>
    <row r="8902" spans="1:18" ht="15.75" customHeight="1">
      <c r="A8902" s="26"/>
      <c r="B8902" s="86"/>
      <c r="D8902" s="26"/>
      <c r="F8902" s="87" t="str">
        <f t="shared" si="0"/>
        <v/>
      </c>
      <c r="H8902" s="26" t="str">
        <f t="shared" si="1"/>
        <v/>
      </c>
      <c r="I8902" s="26" t="str">
        <f t="shared" si="2"/>
        <v/>
      </c>
      <c r="J8902" s="86">
        <f t="shared" si="3"/>
        <v>0</v>
      </c>
      <c r="R8902" s="26"/>
    </row>
    <row r="8903" spans="1:18" ht="15.75" customHeight="1">
      <c r="A8903" s="26"/>
      <c r="B8903" s="86"/>
      <c r="D8903" s="26"/>
      <c r="F8903" s="87" t="str">
        <f t="shared" si="0"/>
        <v/>
      </c>
      <c r="H8903" s="26" t="str">
        <f t="shared" si="1"/>
        <v/>
      </c>
      <c r="I8903" s="26" t="str">
        <f t="shared" si="2"/>
        <v/>
      </c>
      <c r="J8903" s="86">
        <f t="shared" si="3"/>
        <v>0</v>
      </c>
      <c r="R8903" s="26"/>
    </row>
    <row r="8904" spans="1:18" ht="15.75" customHeight="1">
      <c r="A8904" s="26"/>
      <c r="B8904" s="86"/>
      <c r="D8904" s="26"/>
      <c r="F8904" s="87" t="str">
        <f t="shared" si="0"/>
        <v/>
      </c>
      <c r="H8904" s="26" t="str">
        <f t="shared" si="1"/>
        <v/>
      </c>
      <c r="I8904" s="26" t="str">
        <f t="shared" si="2"/>
        <v/>
      </c>
      <c r="J8904" s="86">
        <f t="shared" si="3"/>
        <v>0</v>
      </c>
      <c r="R8904" s="26"/>
    </row>
    <row r="8905" spans="1:18" ht="15.75" customHeight="1">
      <c r="A8905" s="26"/>
      <c r="B8905" s="86"/>
      <c r="D8905" s="26"/>
      <c r="F8905" s="87" t="str">
        <f t="shared" si="0"/>
        <v/>
      </c>
      <c r="H8905" s="26" t="str">
        <f t="shared" si="1"/>
        <v/>
      </c>
      <c r="I8905" s="26" t="str">
        <f t="shared" si="2"/>
        <v/>
      </c>
      <c r="J8905" s="86">
        <f t="shared" si="3"/>
        <v>0</v>
      </c>
      <c r="R8905" s="26"/>
    </row>
    <row r="8906" spans="1:18" ht="15.75" customHeight="1">
      <c r="A8906" s="26"/>
      <c r="B8906" s="86"/>
      <c r="D8906" s="26"/>
      <c r="F8906" s="87" t="str">
        <f t="shared" si="0"/>
        <v/>
      </c>
      <c r="H8906" s="26" t="str">
        <f t="shared" si="1"/>
        <v/>
      </c>
      <c r="I8906" s="26" t="str">
        <f t="shared" si="2"/>
        <v/>
      </c>
      <c r="J8906" s="86">
        <f t="shared" si="3"/>
        <v>0</v>
      </c>
      <c r="R8906" s="26"/>
    </row>
    <row r="8907" spans="1:18" ht="15.75" customHeight="1">
      <c r="A8907" s="26"/>
      <c r="B8907" s="86"/>
      <c r="D8907" s="26"/>
      <c r="F8907" s="87" t="str">
        <f t="shared" si="0"/>
        <v/>
      </c>
      <c r="H8907" s="26" t="str">
        <f t="shared" si="1"/>
        <v/>
      </c>
      <c r="I8907" s="26" t="str">
        <f t="shared" si="2"/>
        <v/>
      </c>
      <c r="J8907" s="86">
        <f t="shared" si="3"/>
        <v>0</v>
      </c>
      <c r="R8907" s="26"/>
    </row>
    <row r="8908" spans="1:18" ht="15.75" customHeight="1">
      <c r="A8908" s="26"/>
      <c r="B8908" s="86"/>
      <c r="D8908" s="26"/>
      <c r="F8908" s="87" t="str">
        <f t="shared" si="0"/>
        <v/>
      </c>
      <c r="H8908" s="26" t="str">
        <f t="shared" si="1"/>
        <v/>
      </c>
      <c r="I8908" s="26" t="str">
        <f t="shared" si="2"/>
        <v/>
      </c>
      <c r="J8908" s="86">
        <f t="shared" si="3"/>
        <v>0</v>
      </c>
      <c r="R8908" s="26"/>
    </row>
    <row r="8909" spans="1:18" ht="15.75" customHeight="1">
      <c r="A8909" s="26"/>
      <c r="B8909" s="86"/>
      <c r="D8909" s="26"/>
      <c r="F8909" s="87" t="str">
        <f t="shared" si="0"/>
        <v/>
      </c>
      <c r="H8909" s="26" t="str">
        <f t="shared" si="1"/>
        <v/>
      </c>
      <c r="I8909" s="26" t="str">
        <f t="shared" si="2"/>
        <v/>
      </c>
      <c r="J8909" s="86">
        <f t="shared" si="3"/>
        <v>0</v>
      </c>
      <c r="R8909" s="26"/>
    </row>
    <row r="8910" spans="1:18" ht="15.75" customHeight="1">
      <c r="A8910" s="26"/>
      <c r="B8910" s="86"/>
      <c r="D8910" s="26"/>
      <c r="F8910" s="87" t="str">
        <f t="shared" si="0"/>
        <v/>
      </c>
      <c r="H8910" s="26" t="str">
        <f t="shared" si="1"/>
        <v/>
      </c>
      <c r="I8910" s="26" t="str">
        <f t="shared" si="2"/>
        <v/>
      </c>
      <c r="J8910" s="86">
        <f t="shared" si="3"/>
        <v>0</v>
      </c>
      <c r="R8910" s="26"/>
    </row>
    <row r="8911" spans="1:18" ht="15.75" customHeight="1">
      <c r="A8911" s="26"/>
      <c r="B8911" s="86"/>
      <c r="D8911" s="26"/>
      <c r="F8911" s="87" t="str">
        <f t="shared" si="0"/>
        <v/>
      </c>
      <c r="H8911" s="26" t="str">
        <f t="shared" si="1"/>
        <v/>
      </c>
      <c r="I8911" s="26" t="str">
        <f t="shared" si="2"/>
        <v/>
      </c>
      <c r="J8911" s="86">
        <f t="shared" si="3"/>
        <v>0</v>
      </c>
      <c r="R8911" s="26"/>
    </row>
    <row r="8912" spans="1:18" ht="15.75" customHeight="1">
      <c r="A8912" s="26"/>
      <c r="B8912" s="86"/>
      <c r="D8912" s="26"/>
      <c r="F8912" s="87" t="str">
        <f t="shared" si="0"/>
        <v/>
      </c>
      <c r="H8912" s="26" t="str">
        <f t="shared" si="1"/>
        <v/>
      </c>
      <c r="I8912" s="26" t="str">
        <f t="shared" si="2"/>
        <v/>
      </c>
      <c r="J8912" s="86">
        <f t="shared" si="3"/>
        <v>0</v>
      </c>
      <c r="R8912" s="26"/>
    </row>
    <row r="8913" spans="1:18" ht="15.75" customHeight="1">
      <c r="A8913" s="26"/>
      <c r="B8913" s="86"/>
      <c r="D8913" s="26"/>
      <c r="F8913" s="87" t="str">
        <f t="shared" si="0"/>
        <v/>
      </c>
      <c r="H8913" s="26" t="str">
        <f t="shared" si="1"/>
        <v/>
      </c>
      <c r="I8913" s="26" t="str">
        <f t="shared" si="2"/>
        <v/>
      </c>
      <c r="J8913" s="86">
        <f t="shared" si="3"/>
        <v>0</v>
      </c>
      <c r="R8913" s="26"/>
    </row>
    <row r="8914" spans="1:18" ht="15.75" customHeight="1">
      <c r="A8914" s="26"/>
      <c r="B8914" s="86"/>
      <c r="D8914" s="26"/>
      <c r="F8914" s="87" t="str">
        <f t="shared" si="0"/>
        <v/>
      </c>
      <c r="H8914" s="26" t="str">
        <f t="shared" si="1"/>
        <v/>
      </c>
      <c r="I8914" s="26" t="str">
        <f t="shared" si="2"/>
        <v/>
      </c>
      <c r="J8914" s="86">
        <f t="shared" si="3"/>
        <v>0</v>
      </c>
      <c r="R8914" s="26"/>
    </row>
    <row r="8915" spans="1:18" ht="15.75" customHeight="1">
      <c r="A8915" s="26"/>
      <c r="B8915" s="86"/>
      <c r="D8915" s="26"/>
      <c r="F8915" s="87" t="str">
        <f t="shared" si="0"/>
        <v/>
      </c>
      <c r="H8915" s="26" t="str">
        <f t="shared" si="1"/>
        <v/>
      </c>
      <c r="I8915" s="26" t="str">
        <f t="shared" si="2"/>
        <v/>
      </c>
      <c r="J8915" s="86">
        <f t="shared" si="3"/>
        <v>0</v>
      </c>
      <c r="R8915" s="26"/>
    </row>
    <row r="8916" spans="1:18" ht="15.75" customHeight="1">
      <c r="A8916" s="26"/>
      <c r="B8916" s="86"/>
      <c r="D8916" s="26"/>
      <c r="F8916" s="87" t="str">
        <f t="shared" si="0"/>
        <v/>
      </c>
      <c r="H8916" s="26" t="str">
        <f t="shared" si="1"/>
        <v/>
      </c>
      <c r="I8916" s="26" t="str">
        <f t="shared" si="2"/>
        <v/>
      </c>
      <c r="J8916" s="86">
        <f t="shared" si="3"/>
        <v>0</v>
      </c>
      <c r="R8916" s="26"/>
    </row>
    <row r="8917" spans="1:18" ht="15.75" customHeight="1">
      <c r="A8917" s="26"/>
      <c r="B8917" s="86"/>
      <c r="D8917" s="26"/>
      <c r="F8917" s="87" t="str">
        <f t="shared" si="0"/>
        <v/>
      </c>
      <c r="H8917" s="26" t="str">
        <f t="shared" si="1"/>
        <v/>
      </c>
      <c r="I8917" s="26" t="str">
        <f t="shared" si="2"/>
        <v/>
      </c>
      <c r="J8917" s="86">
        <f t="shared" si="3"/>
        <v>0</v>
      </c>
      <c r="R8917" s="26"/>
    </row>
    <row r="8918" spans="1:18" ht="15.75" customHeight="1">
      <c r="A8918" s="26"/>
      <c r="B8918" s="86"/>
      <c r="D8918" s="26"/>
      <c r="F8918" s="87" t="str">
        <f t="shared" si="0"/>
        <v/>
      </c>
      <c r="H8918" s="26" t="str">
        <f t="shared" si="1"/>
        <v/>
      </c>
      <c r="I8918" s="26" t="str">
        <f t="shared" si="2"/>
        <v/>
      </c>
      <c r="J8918" s="86">
        <f t="shared" si="3"/>
        <v>0</v>
      </c>
      <c r="R8918" s="26"/>
    </row>
    <row r="8919" spans="1:18" ht="15.75" customHeight="1">
      <c r="A8919" s="26"/>
      <c r="B8919" s="86"/>
      <c r="D8919" s="26"/>
      <c r="F8919" s="87" t="str">
        <f t="shared" si="0"/>
        <v/>
      </c>
      <c r="H8919" s="26" t="str">
        <f t="shared" si="1"/>
        <v/>
      </c>
      <c r="I8919" s="26" t="str">
        <f t="shared" si="2"/>
        <v/>
      </c>
      <c r="J8919" s="86">
        <f t="shared" si="3"/>
        <v>0</v>
      </c>
      <c r="R8919" s="26"/>
    </row>
    <row r="8920" spans="1:18" ht="15.75" customHeight="1">
      <c r="A8920" s="26"/>
      <c r="B8920" s="86"/>
      <c r="D8920" s="26"/>
      <c r="F8920" s="87" t="str">
        <f t="shared" si="0"/>
        <v/>
      </c>
      <c r="H8920" s="26" t="str">
        <f t="shared" si="1"/>
        <v/>
      </c>
      <c r="I8920" s="26" t="str">
        <f t="shared" si="2"/>
        <v/>
      </c>
      <c r="J8920" s="86">
        <f t="shared" si="3"/>
        <v>0</v>
      </c>
      <c r="R8920" s="26"/>
    </row>
    <row r="8921" spans="1:18" ht="15.75" customHeight="1">
      <c r="A8921" s="26"/>
      <c r="B8921" s="86"/>
      <c r="D8921" s="26"/>
      <c r="F8921" s="87" t="str">
        <f t="shared" si="0"/>
        <v/>
      </c>
      <c r="H8921" s="26" t="str">
        <f t="shared" si="1"/>
        <v/>
      </c>
      <c r="I8921" s="26" t="str">
        <f t="shared" si="2"/>
        <v/>
      </c>
      <c r="J8921" s="86">
        <f t="shared" si="3"/>
        <v>0</v>
      </c>
      <c r="R8921" s="26"/>
    </row>
    <row r="8922" spans="1:18" ht="15.75" customHeight="1">
      <c r="A8922" s="26"/>
      <c r="B8922" s="86"/>
      <c r="D8922" s="26"/>
      <c r="F8922" s="87" t="str">
        <f t="shared" si="0"/>
        <v/>
      </c>
      <c r="H8922" s="26" t="str">
        <f t="shared" si="1"/>
        <v/>
      </c>
      <c r="I8922" s="26" t="str">
        <f t="shared" si="2"/>
        <v/>
      </c>
      <c r="J8922" s="86">
        <f t="shared" si="3"/>
        <v>0</v>
      </c>
      <c r="R8922" s="26"/>
    </row>
    <row r="8923" spans="1:18" ht="15.75" customHeight="1">
      <c r="A8923" s="26"/>
      <c r="B8923" s="86"/>
      <c r="D8923" s="26"/>
      <c r="F8923" s="87" t="str">
        <f t="shared" si="0"/>
        <v/>
      </c>
      <c r="H8923" s="26" t="str">
        <f t="shared" si="1"/>
        <v/>
      </c>
      <c r="I8923" s="26" t="str">
        <f t="shared" si="2"/>
        <v/>
      </c>
      <c r="J8923" s="86">
        <f t="shared" si="3"/>
        <v>0</v>
      </c>
      <c r="R8923" s="26"/>
    </row>
    <row r="8924" spans="1:18" ht="15.75" customHeight="1">
      <c r="A8924" s="26"/>
      <c r="B8924" s="86"/>
      <c r="D8924" s="26"/>
      <c r="F8924" s="87" t="str">
        <f t="shared" si="0"/>
        <v/>
      </c>
      <c r="H8924" s="26" t="str">
        <f t="shared" si="1"/>
        <v/>
      </c>
      <c r="I8924" s="26" t="str">
        <f t="shared" si="2"/>
        <v/>
      </c>
      <c r="J8924" s="86">
        <f t="shared" si="3"/>
        <v>0</v>
      </c>
      <c r="R8924" s="26"/>
    </row>
    <row r="8925" spans="1:18" ht="15.75" customHeight="1">
      <c r="A8925" s="26"/>
      <c r="B8925" s="86"/>
      <c r="D8925" s="26"/>
      <c r="F8925" s="87" t="str">
        <f t="shared" si="0"/>
        <v/>
      </c>
      <c r="H8925" s="26" t="str">
        <f t="shared" si="1"/>
        <v/>
      </c>
      <c r="I8925" s="26" t="str">
        <f t="shared" si="2"/>
        <v/>
      </c>
      <c r="J8925" s="86">
        <f t="shared" si="3"/>
        <v>0</v>
      </c>
      <c r="R8925" s="26"/>
    </row>
    <row r="8926" spans="1:18" ht="15.75" customHeight="1">
      <c r="A8926" s="26"/>
      <c r="B8926" s="86"/>
      <c r="D8926" s="26"/>
      <c r="F8926" s="87" t="str">
        <f t="shared" si="0"/>
        <v/>
      </c>
      <c r="H8926" s="26" t="str">
        <f t="shared" si="1"/>
        <v/>
      </c>
      <c r="I8926" s="26" t="str">
        <f t="shared" si="2"/>
        <v/>
      </c>
      <c r="J8926" s="86">
        <f t="shared" si="3"/>
        <v>0</v>
      </c>
      <c r="R8926" s="26"/>
    </row>
    <row r="8927" spans="1:18" ht="15.75" customHeight="1">
      <c r="A8927" s="26"/>
      <c r="B8927" s="86"/>
      <c r="D8927" s="26"/>
      <c r="F8927" s="87" t="str">
        <f t="shared" si="0"/>
        <v/>
      </c>
      <c r="H8927" s="26" t="str">
        <f t="shared" si="1"/>
        <v/>
      </c>
      <c r="I8927" s="26" t="str">
        <f t="shared" si="2"/>
        <v/>
      </c>
      <c r="J8927" s="86">
        <f t="shared" si="3"/>
        <v>0</v>
      </c>
      <c r="R8927" s="26"/>
    </row>
    <row r="8928" spans="1:18" ht="15.75" customHeight="1">
      <c r="A8928" s="26"/>
      <c r="B8928" s="86"/>
      <c r="D8928" s="26"/>
      <c r="F8928" s="87" t="str">
        <f t="shared" si="0"/>
        <v/>
      </c>
      <c r="H8928" s="26" t="str">
        <f t="shared" si="1"/>
        <v/>
      </c>
      <c r="I8928" s="26" t="str">
        <f t="shared" si="2"/>
        <v/>
      </c>
      <c r="J8928" s="86">
        <f t="shared" si="3"/>
        <v>0</v>
      </c>
      <c r="R8928" s="26"/>
    </row>
    <row r="8929" spans="1:18" ht="15.75" customHeight="1">
      <c r="A8929" s="26"/>
      <c r="B8929" s="86"/>
      <c r="D8929" s="26"/>
      <c r="F8929" s="87" t="str">
        <f t="shared" si="0"/>
        <v/>
      </c>
      <c r="H8929" s="26" t="str">
        <f t="shared" si="1"/>
        <v/>
      </c>
      <c r="I8929" s="26" t="str">
        <f t="shared" si="2"/>
        <v/>
      </c>
      <c r="J8929" s="86">
        <f t="shared" si="3"/>
        <v>0</v>
      </c>
      <c r="R8929" s="26"/>
    </row>
    <row r="8930" spans="1:18" ht="15.75" customHeight="1">
      <c r="A8930" s="26"/>
      <c r="B8930" s="86"/>
      <c r="D8930" s="26"/>
      <c r="F8930" s="87" t="str">
        <f t="shared" si="0"/>
        <v/>
      </c>
      <c r="H8930" s="26" t="str">
        <f t="shared" si="1"/>
        <v/>
      </c>
      <c r="I8930" s="26" t="str">
        <f t="shared" si="2"/>
        <v/>
      </c>
      <c r="J8930" s="86">
        <f t="shared" si="3"/>
        <v>0</v>
      </c>
      <c r="R8930" s="26"/>
    </row>
    <row r="8931" spans="1:18" ht="15.75" customHeight="1">
      <c r="A8931" s="26"/>
      <c r="B8931" s="86"/>
      <c r="D8931" s="26"/>
      <c r="F8931" s="87" t="str">
        <f t="shared" si="0"/>
        <v/>
      </c>
      <c r="H8931" s="26" t="str">
        <f t="shared" si="1"/>
        <v/>
      </c>
      <c r="I8931" s="26" t="str">
        <f t="shared" si="2"/>
        <v/>
      </c>
      <c r="J8931" s="86">
        <f t="shared" si="3"/>
        <v>0</v>
      </c>
      <c r="R8931" s="26"/>
    </row>
    <row r="8932" spans="1:18" ht="15.75" customHeight="1">
      <c r="A8932" s="26"/>
      <c r="B8932" s="86"/>
      <c r="D8932" s="26"/>
      <c r="F8932" s="87" t="str">
        <f t="shared" si="0"/>
        <v/>
      </c>
      <c r="H8932" s="26" t="str">
        <f t="shared" si="1"/>
        <v/>
      </c>
      <c r="I8932" s="26" t="str">
        <f t="shared" si="2"/>
        <v/>
      </c>
      <c r="J8932" s="86">
        <f t="shared" si="3"/>
        <v>0</v>
      </c>
      <c r="R8932" s="26"/>
    </row>
    <row r="8933" spans="1:18" ht="15.75" customHeight="1">
      <c r="A8933" s="26"/>
      <c r="B8933" s="86"/>
      <c r="D8933" s="26"/>
      <c r="F8933" s="87" t="str">
        <f t="shared" si="0"/>
        <v/>
      </c>
      <c r="H8933" s="26" t="str">
        <f t="shared" si="1"/>
        <v/>
      </c>
      <c r="I8933" s="26" t="str">
        <f t="shared" si="2"/>
        <v/>
      </c>
      <c r="J8933" s="86">
        <f t="shared" si="3"/>
        <v>0</v>
      </c>
      <c r="R8933" s="26"/>
    </row>
    <row r="8934" spans="1:18" ht="15.75" customHeight="1">
      <c r="A8934" s="26"/>
      <c r="B8934" s="86"/>
      <c r="D8934" s="26"/>
      <c r="F8934" s="87" t="str">
        <f t="shared" si="0"/>
        <v/>
      </c>
      <c r="H8934" s="26" t="str">
        <f t="shared" si="1"/>
        <v/>
      </c>
      <c r="I8934" s="26" t="str">
        <f t="shared" si="2"/>
        <v/>
      </c>
      <c r="J8934" s="86">
        <f t="shared" si="3"/>
        <v>0</v>
      </c>
      <c r="R8934" s="26"/>
    </row>
    <row r="8935" spans="1:18" ht="15.75" customHeight="1">
      <c r="A8935" s="26"/>
      <c r="B8935" s="86"/>
      <c r="D8935" s="26"/>
      <c r="F8935" s="87" t="str">
        <f t="shared" si="0"/>
        <v/>
      </c>
      <c r="H8935" s="26" t="str">
        <f t="shared" si="1"/>
        <v/>
      </c>
      <c r="I8935" s="26" t="str">
        <f t="shared" si="2"/>
        <v/>
      </c>
      <c r="J8935" s="86">
        <f t="shared" si="3"/>
        <v>0</v>
      </c>
      <c r="R8935" s="26"/>
    </row>
    <row r="8936" spans="1:18" ht="15.75" customHeight="1">
      <c r="A8936" s="26"/>
      <c r="B8936" s="86"/>
      <c r="D8936" s="26"/>
      <c r="F8936" s="87" t="str">
        <f t="shared" si="0"/>
        <v/>
      </c>
      <c r="H8936" s="26" t="str">
        <f t="shared" si="1"/>
        <v/>
      </c>
      <c r="I8936" s="26" t="str">
        <f t="shared" si="2"/>
        <v/>
      </c>
      <c r="J8936" s="86">
        <f t="shared" si="3"/>
        <v>0</v>
      </c>
      <c r="R8936" s="26"/>
    </row>
    <row r="8937" spans="1:18" ht="15.75" customHeight="1">
      <c r="A8937" s="26"/>
      <c r="B8937" s="86"/>
      <c r="D8937" s="26"/>
      <c r="F8937" s="87" t="str">
        <f t="shared" si="0"/>
        <v/>
      </c>
      <c r="H8937" s="26" t="str">
        <f t="shared" si="1"/>
        <v/>
      </c>
      <c r="I8937" s="26" t="str">
        <f t="shared" si="2"/>
        <v/>
      </c>
      <c r="J8937" s="86">
        <f t="shared" si="3"/>
        <v>0</v>
      </c>
      <c r="R8937" s="26"/>
    </row>
    <row r="8938" spans="1:18" ht="15.75" customHeight="1">
      <c r="A8938" s="26"/>
      <c r="B8938" s="86"/>
      <c r="D8938" s="26"/>
      <c r="F8938" s="87" t="str">
        <f t="shared" si="0"/>
        <v/>
      </c>
      <c r="H8938" s="26" t="str">
        <f t="shared" si="1"/>
        <v/>
      </c>
      <c r="I8938" s="26" t="str">
        <f t="shared" si="2"/>
        <v/>
      </c>
      <c r="J8938" s="86">
        <f t="shared" si="3"/>
        <v>0</v>
      </c>
      <c r="R8938" s="26"/>
    </row>
    <row r="8939" spans="1:18" ht="15.75" customHeight="1">
      <c r="A8939" s="26"/>
      <c r="B8939" s="86"/>
      <c r="D8939" s="26"/>
      <c r="F8939" s="87" t="str">
        <f t="shared" si="0"/>
        <v/>
      </c>
      <c r="H8939" s="26" t="str">
        <f t="shared" si="1"/>
        <v/>
      </c>
      <c r="I8939" s="26" t="str">
        <f t="shared" si="2"/>
        <v/>
      </c>
      <c r="J8939" s="86">
        <f t="shared" si="3"/>
        <v>0</v>
      </c>
      <c r="R8939" s="26"/>
    </row>
    <row r="8940" spans="1:18" ht="15.75" customHeight="1">
      <c r="A8940" s="26"/>
      <c r="B8940" s="86"/>
      <c r="D8940" s="26"/>
      <c r="F8940" s="87" t="str">
        <f t="shared" si="0"/>
        <v/>
      </c>
      <c r="H8940" s="26" t="str">
        <f t="shared" si="1"/>
        <v/>
      </c>
      <c r="I8940" s="26" t="str">
        <f t="shared" si="2"/>
        <v/>
      </c>
      <c r="J8940" s="86">
        <f t="shared" si="3"/>
        <v>0</v>
      </c>
      <c r="R8940" s="26"/>
    </row>
    <row r="8941" spans="1:18" ht="15.75" customHeight="1">
      <c r="A8941" s="26"/>
      <c r="B8941" s="86"/>
      <c r="D8941" s="26"/>
      <c r="F8941" s="87" t="str">
        <f t="shared" si="0"/>
        <v/>
      </c>
      <c r="H8941" s="26" t="str">
        <f t="shared" si="1"/>
        <v/>
      </c>
      <c r="I8941" s="26" t="str">
        <f t="shared" si="2"/>
        <v/>
      </c>
      <c r="J8941" s="86">
        <f t="shared" si="3"/>
        <v>0</v>
      </c>
      <c r="R8941" s="26"/>
    </row>
    <row r="8942" spans="1:18" ht="15.75" customHeight="1">
      <c r="A8942" s="26"/>
      <c r="B8942" s="86"/>
      <c r="D8942" s="26"/>
      <c r="F8942" s="87" t="str">
        <f t="shared" si="0"/>
        <v/>
      </c>
      <c r="H8942" s="26" t="str">
        <f t="shared" si="1"/>
        <v/>
      </c>
      <c r="I8942" s="26" t="str">
        <f t="shared" si="2"/>
        <v/>
      </c>
      <c r="J8942" s="86">
        <f t="shared" si="3"/>
        <v>0</v>
      </c>
      <c r="R8942" s="26"/>
    </row>
    <row r="8943" spans="1:18" ht="15.75" customHeight="1">
      <c r="A8943" s="26"/>
      <c r="B8943" s="86"/>
      <c r="D8943" s="26"/>
      <c r="F8943" s="87" t="str">
        <f t="shared" si="0"/>
        <v/>
      </c>
      <c r="H8943" s="26" t="str">
        <f t="shared" si="1"/>
        <v/>
      </c>
      <c r="I8943" s="26" t="str">
        <f t="shared" si="2"/>
        <v/>
      </c>
      <c r="J8943" s="86">
        <f t="shared" si="3"/>
        <v>0</v>
      </c>
      <c r="R8943" s="26"/>
    </row>
    <row r="8944" spans="1:18" ht="15.75" customHeight="1">
      <c r="A8944" s="26"/>
      <c r="B8944" s="86"/>
      <c r="D8944" s="26"/>
      <c r="F8944" s="87" t="str">
        <f t="shared" si="0"/>
        <v/>
      </c>
      <c r="H8944" s="26" t="str">
        <f t="shared" si="1"/>
        <v/>
      </c>
      <c r="I8944" s="26" t="str">
        <f t="shared" si="2"/>
        <v/>
      </c>
      <c r="J8944" s="86">
        <f t="shared" si="3"/>
        <v>0</v>
      </c>
      <c r="R8944" s="26"/>
    </row>
    <row r="8945" spans="1:18" ht="15.75" customHeight="1">
      <c r="A8945" s="26"/>
      <c r="B8945" s="86"/>
      <c r="D8945" s="26"/>
      <c r="F8945" s="87" t="str">
        <f t="shared" si="0"/>
        <v/>
      </c>
      <c r="H8945" s="26" t="str">
        <f t="shared" si="1"/>
        <v/>
      </c>
      <c r="I8945" s="26" t="str">
        <f t="shared" si="2"/>
        <v/>
      </c>
      <c r="J8945" s="86">
        <f t="shared" si="3"/>
        <v>0</v>
      </c>
      <c r="R8945" s="26"/>
    </row>
    <row r="8946" spans="1:18" ht="15.75" customHeight="1">
      <c r="A8946" s="26"/>
      <c r="B8946" s="86"/>
      <c r="D8946" s="26"/>
      <c r="F8946" s="87" t="str">
        <f t="shared" si="0"/>
        <v/>
      </c>
      <c r="H8946" s="26" t="str">
        <f t="shared" si="1"/>
        <v/>
      </c>
      <c r="I8946" s="26" t="str">
        <f t="shared" si="2"/>
        <v/>
      </c>
      <c r="J8946" s="86">
        <f t="shared" si="3"/>
        <v>0</v>
      </c>
      <c r="R8946" s="26"/>
    </row>
    <row r="8947" spans="1:18" ht="15.75" customHeight="1">
      <c r="A8947" s="26"/>
      <c r="B8947" s="86"/>
      <c r="D8947" s="26"/>
      <c r="F8947" s="87" t="str">
        <f t="shared" si="0"/>
        <v/>
      </c>
      <c r="H8947" s="26" t="str">
        <f t="shared" si="1"/>
        <v/>
      </c>
      <c r="I8947" s="26" t="str">
        <f t="shared" si="2"/>
        <v/>
      </c>
      <c r="J8947" s="86">
        <f t="shared" si="3"/>
        <v>0</v>
      </c>
      <c r="R8947" s="26"/>
    </row>
    <row r="8948" spans="1:18" ht="15.75" customHeight="1">
      <c r="A8948" s="26"/>
      <c r="B8948" s="86"/>
      <c r="D8948" s="26"/>
      <c r="F8948" s="87" t="str">
        <f t="shared" si="0"/>
        <v/>
      </c>
      <c r="H8948" s="26" t="str">
        <f t="shared" si="1"/>
        <v/>
      </c>
      <c r="I8948" s="26" t="str">
        <f t="shared" si="2"/>
        <v/>
      </c>
      <c r="J8948" s="86">
        <f t="shared" si="3"/>
        <v>0</v>
      </c>
      <c r="R8948" s="26"/>
    </row>
    <row r="8949" spans="1:18" ht="15.75" customHeight="1">
      <c r="A8949" s="26"/>
      <c r="B8949" s="86"/>
      <c r="D8949" s="26"/>
      <c r="F8949" s="87" t="str">
        <f t="shared" si="0"/>
        <v/>
      </c>
      <c r="H8949" s="26" t="str">
        <f t="shared" si="1"/>
        <v/>
      </c>
      <c r="I8949" s="26" t="str">
        <f t="shared" si="2"/>
        <v/>
      </c>
      <c r="J8949" s="86">
        <f t="shared" si="3"/>
        <v>0</v>
      </c>
      <c r="R8949" s="26"/>
    </row>
    <row r="8950" spans="1:18" ht="15.75" customHeight="1">
      <c r="A8950" s="26"/>
      <c r="B8950" s="86"/>
      <c r="D8950" s="26"/>
      <c r="F8950" s="87" t="str">
        <f t="shared" si="0"/>
        <v/>
      </c>
      <c r="H8950" s="26" t="str">
        <f t="shared" si="1"/>
        <v/>
      </c>
      <c r="I8950" s="26" t="str">
        <f t="shared" si="2"/>
        <v/>
      </c>
      <c r="J8950" s="86">
        <f t="shared" si="3"/>
        <v>0</v>
      </c>
      <c r="R8950" s="26"/>
    </row>
    <row r="8951" spans="1:18" ht="15.75" customHeight="1">
      <c r="A8951" s="26"/>
      <c r="B8951" s="86"/>
      <c r="D8951" s="26"/>
      <c r="F8951" s="87" t="str">
        <f t="shared" si="0"/>
        <v/>
      </c>
      <c r="H8951" s="26" t="str">
        <f t="shared" si="1"/>
        <v/>
      </c>
      <c r="I8951" s="26" t="str">
        <f t="shared" si="2"/>
        <v/>
      </c>
      <c r="J8951" s="86">
        <f t="shared" si="3"/>
        <v>0</v>
      </c>
      <c r="R8951" s="26"/>
    </row>
    <row r="8952" spans="1:18" ht="15.75" customHeight="1">
      <c r="A8952" s="26"/>
      <c r="B8952" s="86"/>
      <c r="D8952" s="26"/>
      <c r="F8952" s="87" t="str">
        <f t="shared" si="0"/>
        <v/>
      </c>
      <c r="H8952" s="26" t="str">
        <f t="shared" si="1"/>
        <v/>
      </c>
      <c r="I8952" s="26" t="str">
        <f t="shared" si="2"/>
        <v/>
      </c>
      <c r="J8952" s="86">
        <f t="shared" si="3"/>
        <v>0</v>
      </c>
      <c r="R8952" s="26"/>
    </row>
    <row r="8953" spans="1:18" ht="15.75" customHeight="1">
      <c r="A8953" s="26"/>
      <c r="B8953" s="86"/>
      <c r="D8953" s="26"/>
      <c r="F8953" s="87" t="str">
        <f t="shared" si="0"/>
        <v/>
      </c>
      <c r="H8953" s="26" t="str">
        <f t="shared" si="1"/>
        <v/>
      </c>
      <c r="I8953" s="26" t="str">
        <f t="shared" si="2"/>
        <v/>
      </c>
      <c r="J8953" s="86">
        <f t="shared" si="3"/>
        <v>0</v>
      </c>
      <c r="R8953" s="26"/>
    </row>
    <row r="8954" spans="1:18" ht="15.75" customHeight="1">
      <c r="A8954" s="26"/>
      <c r="B8954" s="86"/>
      <c r="D8954" s="26"/>
      <c r="F8954" s="87" t="str">
        <f t="shared" si="0"/>
        <v/>
      </c>
      <c r="H8954" s="26" t="str">
        <f t="shared" si="1"/>
        <v/>
      </c>
      <c r="I8954" s="26" t="str">
        <f t="shared" si="2"/>
        <v/>
      </c>
      <c r="J8954" s="86">
        <f t="shared" si="3"/>
        <v>0</v>
      </c>
      <c r="R8954" s="26"/>
    </row>
    <row r="8955" spans="1:18" ht="15.75" customHeight="1">
      <c r="A8955" s="26"/>
      <c r="B8955" s="86"/>
      <c r="D8955" s="26"/>
      <c r="F8955" s="87" t="str">
        <f t="shared" si="0"/>
        <v/>
      </c>
      <c r="H8955" s="26" t="str">
        <f t="shared" si="1"/>
        <v/>
      </c>
      <c r="I8955" s="26" t="str">
        <f t="shared" si="2"/>
        <v/>
      </c>
      <c r="J8955" s="86">
        <f t="shared" si="3"/>
        <v>0</v>
      </c>
      <c r="R8955" s="26"/>
    </row>
    <row r="8956" spans="1:18" ht="15.75" customHeight="1">
      <c r="A8956" s="26"/>
      <c r="B8956" s="86"/>
      <c r="D8956" s="26"/>
      <c r="F8956" s="87" t="str">
        <f t="shared" si="0"/>
        <v/>
      </c>
      <c r="H8956" s="26" t="str">
        <f t="shared" si="1"/>
        <v/>
      </c>
      <c r="I8956" s="26" t="str">
        <f t="shared" si="2"/>
        <v/>
      </c>
      <c r="J8956" s="86">
        <f t="shared" si="3"/>
        <v>0</v>
      </c>
      <c r="R8956" s="26"/>
    </row>
    <row r="8957" spans="1:18" ht="15.75" customHeight="1">
      <c r="A8957" s="26"/>
      <c r="B8957" s="86"/>
      <c r="D8957" s="26"/>
      <c r="F8957" s="87" t="str">
        <f t="shared" si="0"/>
        <v/>
      </c>
      <c r="H8957" s="26" t="str">
        <f t="shared" si="1"/>
        <v/>
      </c>
      <c r="I8957" s="26" t="str">
        <f t="shared" si="2"/>
        <v/>
      </c>
      <c r="J8957" s="86">
        <f t="shared" si="3"/>
        <v>0</v>
      </c>
      <c r="R8957" s="26"/>
    </row>
    <row r="8958" spans="1:18" ht="15.75" customHeight="1">
      <c r="A8958" s="26"/>
      <c r="B8958" s="86"/>
      <c r="D8958" s="26"/>
      <c r="F8958" s="87" t="str">
        <f t="shared" si="0"/>
        <v/>
      </c>
      <c r="H8958" s="26" t="str">
        <f t="shared" si="1"/>
        <v/>
      </c>
      <c r="I8958" s="26" t="str">
        <f t="shared" si="2"/>
        <v/>
      </c>
      <c r="J8958" s="86">
        <f t="shared" si="3"/>
        <v>0</v>
      </c>
      <c r="R8958" s="26"/>
    </row>
    <row r="8959" spans="1:18" ht="15.75" customHeight="1">
      <c r="A8959" s="26"/>
      <c r="B8959" s="86"/>
      <c r="D8959" s="26"/>
      <c r="F8959" s="87" t="str">
        <f t="shared" si="0"/>
        <v/>
      </c>
      <c r="H8959" s="26" t="str">
        <f t="shared" si="1"/>
        <v/>
      </c>
      <c r="I8959" s="26" t="str">
        <f t="shared" si="2"/>
        <v/>
      </c>
      <c r="J8959" s="86">
        <f t="shared" si="3"/>
        <v>0</v>
      </c>
      <c r="R8959" s="26"/>
    </row>
    <row r="8960" spans="1:18" ht="15.75" customHeight="1">
      <c r="A8960" s="26"/>
      <c r="B8960" s="86"/>
      <c r="D8960" s="26"/>
      <c r="F8960" s="87" t="str">
        <f t="shared" si="0"/>
        <v/>
      </c>
      <c r="H8960" s="26" t="str">
        <f t="shared" si="1"/>
        <v/>
      </c>
      <c r="I8960" s="26" t="str">
        <f t="shared" si="2"/>
        <v/>
      </c>
      <c r="J8960" s="86">
        <f t="shared" si="3"/>
        <v>0</v>
      </c>
      <c r="R8960" s="26"/>
    </row>
    <row r="8961" spans="1:18" ht="15.75" customHeight="1">
      <c r="A8961" s="26"/>
      <c r="B8961" s="86"/>
      <c r="D8961" s="26"/>
      <c r="F8961" s="87" t="str">
        <f t="shared" si="0"/>
        <v/>
      </c>
      <c r="H8961" s="26" t="str">
        <f t="shared" si="1"/>
        <v/>
      </c>
      <c r="I8961" s="26" t="str">
        <f t="shared" si="2"/>
        <v/>
      </c>
      <c r="J8961" s="86">
        <f t="shared" si="3"/>
        <v>0</v>
      </c>
      <c r="R8961" s="26"/>
    </row>
    <row r="8962" spans="1:18" ht="15.75" customHeight="1">
      <c r="A8962" s="26"/>
      <c r="B8962" s="86"/>
      <c r="D8962" s="26"/>
      <c r="F8962" s="87" t="str">
        <f t="shared" si="0"/>
        <v/>
      </c>
      <c r="H8962" s="26" t="str">
        <f t="shared" si="1"/>
        <v/>
      </c>
      <c r="I8962" s="26" t="str">
        <f t="shared" si="2"/>
        <v/>
      </c>
      <c r="J8962" s="86">
        <f t="shared" si="3"/>
        <v>0</v>
      </c>
      <c r="R8962" s="26"/>
    </row>
    <row r="8963" spans="1:18" ht="15.75" customHeight="1">
      <c r="A8963" s="26"/>
      <c r="B8963" s="86"/>
      <c r="D8963" s="26"/>
      <c r="F8963" s="87" t="str">
        <f t="shared" si="0"/>
        <v/>
      </c>
      <c r="H8963" s="26" t="str">
        <f t="shared" si="1"/>
        <v/>
      </c>
      <c r="I8963" s="26" t="str">
        <f t="shared" si="2"/>
        <v/>
      </c>
      <c r="J8963" s="86">
        <f t="shared" si="3"/>
        <v>0</v>
      </c>
      <c r="R8963" s="26"/>
    </row>
    <row r="8964" spans="1:18" ht="15.75" customHeight="1">
      <c r="A8964" s="26"/>
      <c r="B8964" s="86"/>
      <c r="D8964" s="26"/>
      <c r="F8964" s="87" t="str">
        <f t="shared" si="0"/>
        <v/>
      </c>
      <c r="H8964" s="26" t="str">
        <f t="shared" si="1"/>
        <v/>
      </c>
      <c r="I8964" s="26" t="str">
        <f t="shared" si="2"/>
        <v/>
      </c>
      <c r="J8964" s="86">
        <f t="shared" si="3"/>
        <v>0</v>
      </c>
      <c r="R8964" s="26"/>
    </row>
    <row r="8965" spans="1:18" ht="15.75" customHeight="1">
      <c r="A8965" s="26"/>
      <c r="B8965" s="86"/>
      <c r="D8965" s="26"/>
      <c r="F8965" s="87" t="str">
        <f t="shared" si="0"/>
        <v/>
      </c>
      <c r="H8965" s="26" t="str">
        <f t="shared" si="1"/>
        <v/>
      </c>
      <c r="I8965" s="26" t="str">
        <f t="shared" si="2"/>
        <v/>
      </c>
      <c r="J8965" s="86">
        <f t="shared" si="3"/>
        <v>0</v>
      </c>
      <c r="R8965" s="26"/>
    </row>
    <row r="8966" spans="1:18" ht="15.75" customHeight="1">
      <c r="A8966" s="26"/>
      <c r="B8966" s="86"/>
      <c r="D8966" s="26"/>
      <c r="F8966" s="87" t="str">
        <f t="shared" si="0"/>
        <v/>
      </c>
      <c r="H8966" s="26" t="str">
        <f t="shared" si="1"/>
        <v/>
      </c>
      <c r="I8966" s="26" t="str">
        <f t="shared" si="2"/>
        <v/>
      </c>
      <c r="J8966" s="86">
        <f t="shared" si="3"/>
        <v>0</v>
      </c>
      <c r="R8966" s="26"/>
    </row>
    <row r="8967" spans="1:18" ht="15.75" customHeight="1">
      <c r="A8967" s="26"/>
      <c r="B8967" s="86"/>
      <c r="D8967" s="26"/>
      <c r="F8967" s="87" t="str">
        <f t="shared" si="0"/>
        <v/>
      </c>
      <c r="H8967" s="26" t="str">
        <f t="shared" si="1"/>
        <v/>
      </c>
      <c r="I8967" s="26" t="str">
        <f t="shared" si="2"/>
        <v/>
      </c>
      <c r="J8967" s="86">
        <f t="shared" si="3"/>
        <v>0</v>
      </c>
      <c r="R8967" s="26"/>
    </row>
    <row r="8968" spans="1:18" ht="15.75" customHeight="1">
      <c r="A8968" s="26"/>
      <c r="B8968" s="86"/>
      <c r="D8968" s="26"/>
      <c r="F8968" s="87" t="str">
        <f t="shared" si="0"/>
        <v/>
      </c>
      <c r="H8968" s="26" t="str">
        <f t="shared" si="1"/>
        <v/>
      </c>
      <c r="I8968" s="26" t="str">
        <f t="shared" si="2"/>
        <v/>
      </c>
      <c r="J8968" s="86">
        <f t="shared" si="3"/>
        <v>0</v>
      </c>
      <c r="R8968" s="26"/>
    </row>
    <row r="8969" spans="1:18" ht="15.75" customHeight="1">
      <c r="A8969" s="26"/>
      <c r="B8969" s="86"/>
      <c r="D8969" s="26"/>
      <c r="F8969" s="87" t="str">
        <f t="shared" si="0"/>
        <v/>
      </c>
      <c r="H8969" s="26" t="str">
        <f t="shared" si="1"/>
        <v/>
      </c>
      <c r="I8969" s="26" t="str">
        <f t="shared" si="2"/>
        <v/>
      </c>
      <c r="J8969" s="86">
        <f t="shared" si="3"/>
        <v>0</v>
      </c>
      <c r="R8969" s="26"/>
    </row>
    <row r="8970" spans="1:18" ht="15.75" customHeight="1">
      <c r="A8970" s="26"/>
      <c r="B8970" s="86"/>
      <c r="D8970" s="26"/>
      <c r="F8970" s="87" t="str">
        <f t="shared" si="0"/>
        <v/>
      </c>
      <c r="H8970" s="26" t="str">
        <f t="shared" si="1"/>
        <v/>
      </c>
      <c r="I8970" s="26" t="str">
        <f t="shared" si="2"/>
        <v/>
      </c>
      <c r="J8970" s="86">
        <f t="shared" si="3"/>
        <v>0</v>
      </c>
      <c r="R8970" s="26"/>
    </row>
    <row r="8971" spans="1:18" ht="15.75" customHeight="1">
      <c r="A8971" s="26"/>
      <c r="B8971" s="86"/>
      <c r="D8971" s="26"/>
      <c r="F8971" s="87" t="str">
        <f t="shared" si="0"/>
        <v/>
      </c>
      <c r="H8971" s="26" t="str">
        <f t="shared" si="1"/>
        <v/>
      </c>
      <c r="I8971" s="26" t="str">
        <f t="shared" si="2"/>
        <v/>
      </c>
      <c r="J8971" s="86">
        <f t="shared" si="3"/>
        <v>0</v>
      </c>
      <c r="R8971" s="26"/>
    </row>
    <row r="8972" spans="1:18" ht="15.75" customHeight="1">
      <c r="A8972" s="26"/>
      <c r="B8972" s="86"/>
      <c r="D8972" s="26"/>
      <c r="F8972" s="87" t="str">
        <f t="shared" si="0"/>
        <v/>
      </c>
      <c r="H8972" s="26" t="str">
        <f t="shared" si="1"/>
        <v/>
      </c>
      <c r="I8972" s="26" t="str">
        <f t="shared" si="2"/>
        <v/>
      </c>
      <c r="J8972" s="86">
        <f t="shared" si="3"/>
        <v>0</v>
      </c>
      <c r="R8972" s="26"/>
    </row>
    <row r="8973" spans="1:18" ht="15.75" customHeight="1">
      <c r="A8973" s="26"/>
      <c r="B8973" s="86"/>
      <c r="D8973" s="26"/>
      <c r="F8973" s="87" t="str">
        <f t="shared" si="0"/>
        <v/>
      </c>
      <c r="H8973" s="26" t="str">
        <f t="shared" si="1"/>
        <v/>
      </c>
      <c r="I8973" s="26" t="str">
        <f t="shared" si="2"/>
        <v/>
      </c>
      <c r="J8973" s="86">
        <f t="shared" si="3"/>
        <v>0</v>
      </c>
      <c r="R8973" s="26"/>
    </row>
    <row r="8974" spans="1:18" ht="15.75" customHeight="1">
      <c r="A8974" s="26"/>
      <c r="B8974" s="86"/>
      <c r="D8974" s="26"/>
      <c r="F8974" s="87" t="str">
        <f t="shared" si="0"/>
        <v/>
      </c>
      <c r="H8974" s="26" t="str">
        <f t="shared" si="1"/>
        <v/>
      </c>
      <c r="I8974" s="26" t="str">
        <f t="shared" si="2"/>
        <v/>
      </c>
      <c r="J8974" s="86">
        <f t="shared" si="3"/>
        <v>0</v>
      </c>
      <c r="R8974" s="26"/>
    </row>
    <row r="8975" spans="1:18" ht="15.75" customHeight="1">
      <c r="A8975" s="26"/>
      <c r="B8975" s="86"/>
      <c r="D8975" s="26"/>
      <c r="F8975" s="87" t="str">
        <f t="shared" si="0"/>
        <v/>
      </c>
      <c r="H8975" s="26" t="str">
        <f t="shared" si="1"/>
        <v/>
      </c>
      <c r="I8975" s="26" t="str">
        <f t="shared" si="2"/>
        <v/>
      </c>
      <c r="J8975" s="86">
        <f t="shared" si="3"/>
        <v>0</v>
      </c>
      <c r="R8975" s="26"/>
    </row>
    <row r="8976" spans="1:18" ht="15.75" customHeight="1">
      <c r="A8976" s="26"/>
      <c r="B8976" s="86"/>
      <c r="D8976" s="26"/>
      <c r="F8976" s="87" t="str">
        <f t="shared" si="0"/>
        <v/>
      </c>
      <c r="H8976" s="26" t="str">
        <f t="shared" si="1"/>
        <v/>
      </c>
      <c r="I8976" s="26" t="str">
        <f t="shared" si="2"/>
        <v/>
      </c>
      <c r="J8976" s="86">
        <f t="shared" si="3"/>
        <v>0</v>
      </c>
      <c r="R8976" s="26"/>
    </row>
    <row r="8977" spans="1:18" ht="15.75" customHeight="1">
      <c r="A8977" s="26"/>
      <c r="B8977" s="86"/>
      <c r="D8977" s="26"/>
      <c r="F8977" s="87" t="str">
        <f t="shared" si="0"/>
        <v/>
      </c>
      <c r="H8977" s="26" t="str">
        <f t="shared" si="1"/>
        <v/>
      </c>
      <c r="I8977" s="26" t="str">
        <f t="shared" si="2"/>
        <v/>
      </c>
      <c r="J8977" s="86">
        <f t="shared" si="3"/>
        <v>0</v>
      </c>
      <c r="R8977" s="26"/>
    </row>
    <row r="8978" spans="1:18" ht="15.75" customHeight="1">
      <c r="A8978" s="26"/>
      <c r="B8978" s="86"/>
      <c r="D8978" s="26"/>
      <c r="F8978" s="87" t="str">
        <f t="shared" si="0"/>
        <v/>
      </c>
      <c r="H8978" s="26" t="str">
        <f t="shared" si="1"/>
        <v/>
      </c>
      <c r="I8978" s="26" t="str">
        <f t="shared" si="2"/>
        <v/>
      </c>
      <c r="J8978" s="86">
        <f t="shared" si="3"/>
        <v>0</v>
      </c>
      <c r="R8978" s="26"/>
    </row>
    <row r="8979" spans="1:18" ht="15.75" customHeight="1">
      <c r="A8979" s="26"/>
      <c r="B8979" s="86"/>
      <c r="D8979" s="26"/>
      <c r="F8979" s="87" t="str">
        <f t="shared" si="0"/>
        <v/>
      </c>
      <c r="H8979" s="26" t="str">
        <f t="shared" si="1"/>
        <v/>
      </c>
      <c r="I8979" s="26" t="str">
        <f t="shared" si="2"/>
        <v/>
      </c>
      <c r="J8979" s="86">
        <f t="shared" si="3"/>
        <v>0</v>
      </c>
      <c r="R8979" s="26"/>
    </row>
    <row r="8980" spans="1:18" ht="15.75" customHeight="1">
      <c r="A8980" s="26"/>
      <c r="B8980" s="86"/>
      <c r="D8980" s="26"/>
      <c r="F8980" s="87" t="str">
        <f t="shared" si="0"/>
        <v/>
      </c>
      <c r="H8980" s="26" t="str">
        <f t="shared" si="1"/>
        <v/>
      </c>
      <c r="I8980" s="26" t="str">
        <f t="shared" si="2"/>
        <v/>
      </c>
      <c r="J8980" s="86">
        <f t="shared" si="3"/>
        <v>0</v>
      </c>
      <c r="R8980" s="26"/>
    </row>
    <row r="8981" spans="1:18" ht="15.75" customHeight="1">
      <c r="A8981" s="26"/>
      <c r="B8981" s="86"/>
      <c r="D8981" s="26"/>
      <c r="F8981" s="87" t="str">
        <f t="shared" si="0"/>
        <v/>
      </c>
      <c r="H8981" s="26" t="str">
        <f t="shared" si="1"/>
        <v/>
      </c>
      <c r="I8981" s="26" t="str">
        <f t="shared" si="2"/>
        <v/>
      </c>
      <c r="J8981" s="86">
        <f t="shared" si="3"/>
        <v>0</v>
      </c>
      <c r="R8981" s="26"/>
    </row>
    <row r="8982" spans="1:18" ht="15.75" customHeight="1">
      <c r="A8982" s="26"/>
      <c r="B8982" s="86"/>
      <c r="D8982" s="26"/>
      <c r="F8982" s="87" t="str">
        <f t="shared" si="0"/>
        <v/>
      </c>
      <c r="H8982" s="26" t="str">
        <f t="shared" si="1"/>
        <v/>
      </c>
      <c r="I8982" s="26" t="str">
        <f t="shared" si="2"/>
        <v/>
      </c>
      <c r="J8982" s="86">
        <f t="shared" si="3"/>
        <v>0</v>
      </c>
      <c r="R8982" s="26"/>
    </row>
    <row r="8983" spans="1:18" ht="15.75" customHeight="1">
      <c r="A8983" s="26"/>
      <c r="B8983" s="86"/>
      <c r="D8983" s="26"/>
      <c r="F8983" s="87" t="str">
        <f t="shared" si="0"/>
        <v/>
      </c>
      <c r="H8983" s="26" t="str">
        <f t="shared" si="1"/>
        <v/>
      </c>
      <c r="I8983" s="26" t="str">
        <f t="shared" si="2"/>
        <v/>
      </c>
      <c r="J8983" s="86">
        <f t="shared" si="3"/>
        <v>0</v>
      </c>
      <c r="R8983" s="26"/>
    </row>
    <row r="8984" spans="1:18" ht="15.75" customHeight="1">
      <c r="A8984" s="26"/>
      <c r="B8984" s="86"/>
      <c r="D8984" s="26"/>
      <c r="F8984" s="87" t="str">
        <f t="shared" si="0"/>
        <v/>
      </c>
      <c r="H8984" s="26" t="str">
        <f t="shared" si="1"/>
        <v/>
      </c>
      <c r="I8984" s="26" t="str">
        <f t="shared" si="2"/>
        <v/>
      </c>
      <c r="J8984" s="86">
        <f t="shared" si="3"/>
        <v>0</v>
      </c>
      <c r="R8984" s="26"/>
    </row>
    <row r="8985" spans="1:18" ht="15.75" customHeight="1">
      <c r="A8985" s="26"/>
      <c r="B8985" s="86"/>
      <c r="D8985" s="26"/>
      <c r="F8985" s="87" t="str">
        <f t="shared" si="0"/>
        <v/>
      </c>
      <c r="H8985" s="26" t="str">
        <f t="shared" si="1"/>
        <v/>
      </c>
      <c r="I8985" s="26" t="str">
        <f t="shared" si="2"/>
        <v/>
      </c>
      <c r="J8985" s="86">
        <f t="shared" si="3"/>
        <v>0</v>
      </c>
      <c r="R8985" s="26"/>
    </row>
    <row r="8986" spans="1:18" ht="15.75" customHeight="1">
      <c r="A8986" s="26"/>
      <c r="B8986" s="86"/>
      <c r="D8986" s="26"/>
      <c r="F8986" s="87" t="str">
        <f t="shared" si="0"/>
        <v/>
      </c>
      <c r="H8986" s="26" t="str">
        <f t="shared" si="1"/>
        <v/>
      </c>
      <c r="I8986" s="26" t="str">
        <f t="shared" si="2"/>
        <v/>
      </c>
      <c r="J8986" s="86">
        <f t="shared" si="3"/>
        <v>0</v>
      </c>
      <c r="R8986" s="26"/>
    </row>
    <row r="8987" spans="1:18" ht="15.75" customHeight="1">
      <c r="A8987" s="26"/>
      <c r="B8987" s="86"/>
      <c r="D8987" s="26"/>
      <c r="F8987" s="87" t="str">
        <f t="shared" si="0"/>
        <v/>
      </c>
      <c r="H8987" s="26" t="str">
        <f t="shared" si="1"/>
        <v/>
      </c>
      <c r="I8987" s="26" t="str">
        <f t="shared" si="2"/>
        <v/>
      </c>
      <c r="J8987" s="86">
        <f t="shared" si="3"/>
        <v>0</v>
      </c>
      <c r="R8987" s="26"/>
    </row>
    <row r="8988" spans="1:18" ht="15.75" customHeight="1">
      <c r="A8988" s="26"/>
      <c r="B8988" s="86"/>
      <c r="D8988" s="26"/>
      <c r="F8988" s="87" t="str">
        <f t="shared" si="0"/>
        <v/>
      </c>
      <c r="H8988" s="26" t="str">
        <f t="shared" si="1"/>
        <v/>
      </c>
      <c r="I8988" s="26" t="str">
        <f t="shared" si="2"/>
        <v/>
      </c>
      <c r="J8988" s="86">
        <f t="shared" si="3"/>
        <v>0</v>
      </c>
      <c r="R8988" s="26"/>
    </row>
    <row r="8989" spans="1:18" ht="15.75" customHeight="1">
      <c r="A8989" s="26"/>
      <c r="B8989" s="86"/>
      <c r="D8989" s="26"/>
      <c r="F8989" s="87" t="str">
        <f t="shared" si="0"/>
        <v/>
      </c>
      <c r="H8989" s="26" t="str">
        <f t="shared" si="1"/>
        <v/>
      </c>
      <c r="I8989" s="26" t="str">
        <f t="shared" si="2"/>
        <v/>
      </c>
      <c r="J8989" s="86">
        <f t="shared" si="3"/>
        <v>0</v>
      </c>
      <c r="R8989" s="26"/>
    </row>
    <row r="8990" spans="1:18" ht="15.75" customHeight="1">
      <c r="A8990" s="26"/>
      <c r="B8990" s="86"/>
      <c r="D8990" s="26"/>
      <c r="F8990" s="87" t="str">
        <f t="shared" si="0"/>
        <v/>
      </c>
      <c r="H8990" s="26" t="str">
        <f t="shared" si="1"/>
        <v/>
      </c>
      <c r="I8990" s="26" t="str">
        <f t="shared" si="2"/>
        <v/>
      </c>
      <c r="J8990" s="86">
        <f t="shared" si="3"/>
        <v>0</v>
      </c>
      <c r="R8990" s="26"/>
    </row>
    <row r="8991" spans="1:18" ht="15.75" customHeight="1">
      <c r="A8991" s="26"/>
      <c r="B8991" s="86"/>
      <c r="D8991" s="26"/>
      <c r="F8991" s="87" t="str">
        <f t="shared" si="0"/>
        <v/>
      </c>
      <c r="H8991" s="26" t="str">
        <f t="shared" si="1"/>
        <v/>
      </c>
      <c r="I8991" s="26" t="str">
        <f t="shared" si="2"/>
        <v/>
      </c>
      <c r="J8991" s="86">
        <f t="shared" si="3"/>
        <v>0</v>
      </c>
      <c r="R8991" s="26"/>
    </row>
    <row r="8992" spans="1:18" ht="15.75" customHeight="1">
      <c r="A8992" s="26"/>
      <c r="B8992" s="86"/>
      <c r="D8992" s="26"/>
      <c r="F8992" s="87" t="str">
        <f t="shared" si="0"/>
        <v/>
      </c>
      <c r="H8992" s="26" t="str">
        <f t="shared" si="1"/>
        <v/>
      </c>
      <c r="I8992" s="26" t="str">
        <f t="shared" si="2"/>
        <v/>
      </c>
      <c r="J8992" s="86">
        <f t="shared" si="3"/>
        <v>0</v>
      </c>
      <c r="R8992" s="26"/>
    </row>
    <row r="8993" spans="1:18" ht="15.75" customHeight="1">
      <c r="A8993" s="26"/>
      <c r="B8993" s="86"/>
      <c r="D8993" s="26"/>
      <c r="F8993" s="87" t="str">
        <f t="shared" si="0"/>
        <v/>
      </c>
      <c r="H8993" s="26" t="str">
        <f t="shared" si="1"/>
        <v/>
      </c>
      <c r="I8993" s="26" t="str">
        <f t="shared" si="2"/>
        <v/>
      </c>
      <c r="J8993" s="86">
        <f t="shared" si="3"/>
        <v>0</v>
      </c>
      <c r="R8993" s="26"/>
    </row>
    <row r="8994" spans="1:18" ht="15.75" customHeight="1">
      <c r="A8994" s="26"/>
      <c r="B8994" s="86"/>
      <c r="D8994" s="26"/>
      <c r="F8994" s="87" t="str">
        <f t="shared" si="0"/>
        <v/>
      </c>
      <c r="H8994" s="26" t="str">
        <f t="shared" si="1"/>
        <v/>
      </c>
      <c r="I8994" s="26" t="str">
        <f t="shared" si="2"/>
        <v/>
      </c>
      <c r="J8994" s="86">
        <f t="shared" si="3"/>
        <v>0</v>
      </c>
      <c r="R8994" s="26"/>
    </row>
    <row r="8995" spans="1:18" ht="15.75" customHeight="1">
      <c r="A8995" s="26"/>
      <c r="B8995" s="86"/>
      <c r="D8995" s="26"/>
      <c r="F8995" s="87" t="str">
        <f t="shared" si="0"/>
        <v/>
      </c>
      <c r="H8995" s="26" t="str">
        <f t="shared" si="1"/>
        <v/>
      </c>
      <c r="I8995" s="26" t="str">
        <f t="shared" si="2"/>
        <v/>
      </c>
      <c r="J8995" s="86">
        <f t="shared" si="3"/>
        <v>0</v>
      </c>
      <c r="R8995" s="26"/>
    </row>
    <row r="8996" spans="1:18" ht="15.75" customHeight="1">
      <c r="A8996" s="26"/>
      <c r="B8996" s="86"/>
      <c r="D8996" s="26"/>
      <c r="F8996" s="87" t="str">
        <f t="shared" si="0"/>
        <v/>
      </c>
      <c r="H8996" s="26" t="str">
        <f t="shared" si="1"/>
        <v/>
      </c>
      <c r="I8996" s="26" t="str">
        <f t="shared" si="2"/>
        <v/>
      </c>
      <c r="J8996" s="86">
        <f t="shared" si="3"/>
        <v>0</v>
      </c>
      <c r="R8996" s="26"/>
    </row>
    <row r="8997" spans="1:18" ht="15.75" customHeight="1">
      <c r="A8997" s="26"/>
      <c r="B8997" s="86"/>
      <c r="D8997" s="26"/>
      <c r="F8997" s="87" t="str">
        <f t="shared" si="0"/>
        <v/>
      </c>
      <c r="H8997" s="26" t="str">
        <f t="shared" si="1"/>
        <v/>
      </c>
      <c r="I8997" s="26" t="str">
        <f t="shared" si="2"/>
        <v/>
      </c>
      <c r="J8997" s="86">
        <f t="shared" si="3"/>
        <v>0</v>
      </c>
      <c r="R8997" s="26"/>
    </row>
    <row r="8998" spans="1:18" ht="15.75" customHeight="1">
      <c r="A8998" s="26"/>
      <c r="B8998" s="86"/>
      <c r="D8998" s="26"/>
      <c r="F8998" s="87" t="str">
        <f t="shared" si="0"/>
        <v/>
      </c>
      <c r="H8998" s="26" t="str">
        <f t="shared" si="1"/>
        <v/>
      </c>
      <c r="I8998" s="26" t="str">
        <f t="shared" si="2"/>
        <v/>
      </c>
      <c r="J8998" s="86">
        <f t="shared" si="3"/>
        <v>0</v>
      </c>
      <c r="R8998" s="26"/>
    </row>
    <row r="8999" spans="1:18" ht="15.75" customHeight="1">
      <c r="A8999" s="26"/>
      <c r="B8999" s="86"/>
      <c r="D8999" s="26"/>
      <c r="F8999" s="87" t="str">
        <f t="shared" si="0"/>
        <v/>
      </c>
      <c r="H8999" s="26" t="str">
        <f t="shared" si="1"/>
        <v/>
      </c>
      <c r="I8999" s="26" t="str">
        <f t="shared" si="2"/>
        <v/>
      </c>
      <c r="J8999" s="86">
        <f t="shared" si="3"/>
        <v>0</v>
      </c>
      <c r="R8999" s="26"/>
    </row>
    <row r="9000" spans="1:18" ht="15.75" customHeight="1">
      <c r="A9000" s="26"/>
      <c r="B9000" s="86"/>
      <c r="D9000" s="26"/>
      <c r="F9000" s="87" t="str">
        <f t="shared" si="0"/>
        <v/>
      </c>
      <c r="H9000" s="26" t="str">
        <f t="shared" si="1"/>
        <v/>
      </c>
      <c r="I9000" s="26" t="str">
        <f t="shared" si="2"/>
        <v/>
      </c>
      <c r="J9000" s="86">
        <f t="shared" si="3"/>
        <v>0</v>
      </c>
      <c r="R9000" s="26"/>
    </row>
    <row r="9001" spans="1:18" ht="15.75" customHeight="1">
      <c r="A9001" s="26"/>
      <c r="B9001" s="86"/>
      <c r="D9001" s="26"/>
      <c r="F9001" s="87" t="str">
        <f t="shared" si="0"/>
        <v/>
      </c>
      <c r="H9001" s="26" t="str">
        <f t="shared" si="1"/>
        <v/>
      </c>
      <c r="I9001" s="26" t="str">
        <f t="shared" si="2"/>
        <v/>
      </c>
      <c r="J9001" s="86">
        <f t="shared" si="3"/>
        <v>0</v>
      </c>
      <c r="R9001" s="26"/>
    </row>
    <row r="9002" spans="1:18" ht="15.75" customHeight="1">
      <c r="A9002" s="26"/>
      <c r="B9002" s="86"/>
      <c r="D9002" s="26"/>
      <c r="F9002" s="87" t="str">
        <f t="shared" si="0"/>
        <v/>
      </c>
      <c r="H9002" s="26" t="str">
        <f t="shared" si="1"/>
        <v/>
      </c>
      <c r="I9002" s="26" t="str">
        <f t="shared" si="2"/>
        <v/>
      </c>
      <c r="J9002" s="86">
        <f t="shared" si="3"/>
        <v>0</v>
      </c>
      <c r="R9002" s="26"/>
    </row>
    <row r="9003" spans="1:18" ht="15.75" customHeight="1">
      <c r="A9003" s="26"/>
      <c r="B9003" s="86"/>
      <c r="D9003" s="26"/>
      <c r="F9003" s="87" t="str">
        <f t="shared" si="0"/>
        <v/>
      </c>
      <c r="H9003" s="26" t="str">
        <f t="shared" si="1"/>
        <v/>
      </c>
      <c r="I9003" s="26" t="str">
        <f t="shared" si="2"/>
        <v/>
      </c>
      <c r="J9003" s="86">
        <f t="shared" si="3"/>
        <v>0</v>
      </c>
      <c r="R9003" s="26"/>
    </row>
    <row r="9004" spans="1:18" ht="15.75" customHeight="1">
      <c r="A9004" s="26"/>
      <c r="B9004" s="86"/>
      <c r="D9004" s="26"/>
      <c r="F9004" s="87" t="str">
        <f t="shared" si="0"/>
        <v/>
      </c>
      <c r="H9004" s="26" t="str">
        <f t="shared" si="1"/>
        <v/>
      </c>
      <c r="I9004" s="26" t="str">
        <f t="shared" si="2"/>
        <v/>
      </c>
      <c r="J9004" s="86">
        <f t="shared" si="3"/>
        <v>0</v>
      </c>
      <c r="R9004" s="26"/>
    </row>
    <row r="9005" spans="1:18" ht="15.75" customHeight="1">
      <c r="A9005" s="26"/>
      <c r="B9005" s="86"/>
      <c r="D9005" s="26"/>
      <c r="F9005" s="87" t="str">
        <f t="shared" si="0"/>
        <v/>
      </c>
      <c r="H9005" s="26" t="str">
        <f t="shared" si="1"/>
        <v/>
      </c>
      <c r="I9005" s="26" t="str">
        <f t="shared" si="2"/>
        <v/>
      </c>
      <c r="J9005" s="86">
        <f t="shared" si="3"/>
        <v>0</v>
      </c>
      <c r="R9005" s="26"/>
    </row>
    <row r="9006" spans="1:18" ht="15.75" customHeight="1">
      <c r="A9006" s="26"/>
      <c r="B9006" s="86"/>
      <c r="D9006" s="26"/>
      <c r="F9006" s="87" t="str">
        <f t="shared" si="0"/>
        <v/>
      </c>
      <c r="H9006" s="26" t="str">
        <f t="shared" si="1"/>
        <v/>
      </c>
      <c r="I9006" s="26" t="str">
        <f t="shared" si="2"/>
        <v/>
      </c>
      <c r="J9006" s="86">
        <f t="shared" si="3"/>
        <v>0</v>
      </c>
      <c r="R9006" s="26"/>
    </row>
    <row r="9007" spans="1:18" ht="15.75" customHeight="1">
      <c r="A9007" s="26"/>
      <c r="B9007" s="86"/>
      <c r="D9007" s="26"/>
      <c r="F9007" s="87" t="str">
        <f t="shared" si="0"/>
        <v/>
      </c>
      <c r="H9007" s="26" t="str">
        <f t="shared" si="1"/>
        <v/>
      </c>
      <c r="I9007" s="26" t="str">
        <f t="shared" si="2"/>
        <v/>
      </c>
      <c r="J9007" s="86">
        <f t="shared" si="3"/>
        <v>0</v>
      </c>
      <c r="R9007" s="26"/>
    </row>
    <row r="9008" spans="1:18" ht="15.75" customHeight="1">
      <c r="A9008" s="26"/>
      <c r="B9008" s="86"/>
      <c r="D9008" s="26"/>
      <c r="F9008" s="87" t="str">
        <f t="shared" si="0"/>
        <v/>
      </c>
      <c r="H9008" s="26" t="str">
        <f t="shared" si="1"/>
        <v/>
      </c>
      <c r="I9008" s="26" t="str">
        <f t="shared" si="2"/>
        <v/>
      </c>
      <c r="J9008" s="86">
        <f t="shared" si="3"/>
        <v>0</v>
      </c>
      <c r="R9008" s="26"/>
    </row>
    <row r="9009" spans="1:18" ht="15.75" customHeight="1">
      <c r="A9009" s="26"/>
      <c r="B9009" s="86"/>
      <c r="D9009" s="26"/>
      <c r="F9009" s="87" t="str">
        <f t="shared" si="0"/>
        <v/>
      </c>
      <c r="H9009" s="26" t="str">
        <f t="shared" si="1"/>
        <v/>
      </c>
      <c r="I9009" s="26" t="str">
        <f t="shared" si="2"/>
        <v/>
      </c>
      <c r="J9009" s="86">
        <f t="shared" si="3"/>
        <v>0</v>
      </c>
      <c r="R9009" s="26"/>
    </row>
    <row r="9010" spans="1:18" ht="15.75" customHeight="1">
      <c r="A9010" s="26"/>
      <c r="B9010" s="86"/>
      <c r="D9010" s="26"/>
      <c r="F9010" s="87" t="str">
        <f t="shared" si="0"/>
        <v/>
      </c>
      <c r="H9010" s="26" t="str">
        <f t="shared" si="1"/>
        <v/>
      </c>
      <c r="I9010" s="26" t="str">
        <f t="shared" si="2"/>
        <v/>
      </c>
      <c r="J9010" s="86">
        <f t="shared" si="3"/>
        <v>0</v>
      </c>
      <c r="R9010" s="26"/>
    </row>
    <row r="9011" spans="1:18" ht="15.75" customHeight="1">
      <c r="A9011" s="26"/>
      <c r="B9011" s="86"/>
      <c r="D9011" s="26"/>
      <c r="F9011" s="87" t="str">
        <f t="shared" si="0"/>
        <v/>
      </c>
      <c r="H9011" s="26" t="str">
        <f t="shared" si="1"/>
        <v/>
      </c>
      <c r="I9011" s="26" t="str">
        <f t="shared" si="2"/>
        <v/>
      </c>
      <c r="J9011" s="86">
        <f t="shared" si="3"/>
        <v>0</v>
      </c>
      <c r="R9011" s="26"/>
    </row>
    <row r="9012" spans="1:18" ht="15.75" customHeight="1">
      <c r="A9012" s="26"/>
      <c r="B9012" s="86"/>
      <c r="D9012" s="26"/>
      <c r="F9012" s="87" t="str">
        <f t="shared" si="0"/>
        <v/>
      </c>
      <c r="H9012" s="26" t="str">
        <f t="shared" si="1"/>
        <v/>
      </c>
      <c r="I9012" s="26" t="str">
        <f t="shared" si="2"/>
        <v/>
      </c>
      <c r="J9012" s="86">
        <f t="shared" si="3"/>
        <v>0</v>
      </c>
      <c r="R9012" s="26"/>
    </row>
    <row r="9013" spans="1:18" ht="15.75" customHeight="1">
      <c r="A9013" s="26"/>
      <c r="B9013" s="86"/>
      <c r="D9013" s="26"/>
      <c r="F9013" s="87" t="str">
        <f t="shared" si="0"/>
        <v/>
      </c>
      <c r="H9013" s="26" t="str">
        <f t="shared" si="1"/>
        <v/>
      </c>
      <c r="I9013" s="26" t="str">
        <f t="shared" si="2"/>
        <v/>
      </c>
      <c r="J9013" s="86">
        <f t="shared" si="3"/>
        <v>0</v>
      </c>
      <c r="R9013" s="26"/>
    </row>
    <row r="9014" spans="1:18" ht="15.75" customHeight="1">
      <c r="A9014" s="26"/>
      <c r="B9014" s="86"/>
      <c r="D9014" s="26"/>
      <c r="F9014" s="87" t="str">
        <f t="shared" si="0"/>
        <v/>
      </c>
      <c r="H9014" s="26" t="str">
        <f t="shared" si="1"/>
        <v/>
      </c>
      <c r="I9014" s="26" t="str">
        <f t="shared" si="2"/>
        <v/>
      </c>
      <c r="J9014" s="86">
        <f t="shared" si="3"/>
        <v>0</v>
      </c>
      <c r="R9014" s="26"/>
    </row>
    <row r="9015" spans="1:18" ht="15.75" customHeight="1">
      <c r="A9015" s="26"/>
      <c r="B9015" s="86"/>
      <c r="D9015" s="26"/>
      <c r="F9015" s="87" t="str">
        <f t="shared" si="0"/>
        <v/>
      </c>
      <c r="H9015" s="26" t="str">
        <f t="shared" si="1"/>
        <v/>
      </c>
      <c r="I9015" s="26" t="str">
        <f t="shared" si="2"/>
        <v/>
      </c>
      <c r="J9015" s="86">
        <f t="shared" si="3"/>
        <v>0</v>
      </c>
      <c r="R9015" s="26"/>
    </row>
    <row r="9016" spans="1:18" ht="15.75" customHeight="1">
      <c r="A9016" s="26"/>
      <c r="B9016" s="86"/>
      <c r="D9016" s="26"/>
      <c r="F9016" s="87" t="str">
        <f t="shared" si="0"/>
        <v/>
      </c>
      <c r="H9016" s="26" t="str">
        <f t="shared" si="1"/>
        <v/>
      </c>
      <c r="I9016" s="26" t="str">
        <f t="shared" si="2"/>
        <v/>
      </c>
      <c r="J9016" s="86">
        <f t="shared" si="3"/>
        <v>0</v>
      </c>
      <c r="R9016" s="26"/>
    </row>
    <row r="9017" spans="1:18" ht="15.75" customHeight="1">
      <c r="A9017" s="26"/>
      <c r="B9017" s="86"/>
      <c r="D9017" s="26"/>
      <c r="F9017" s="87" t="str">
        <f t="shared" si="0"/>
        <v/>
      </c>
      <c r="H9017" s="26" t="str">
        <f t="shared" si="1"/>
        <v/>
      </c>
      <c r="I9017" s="26" t="str">
        <f t="shared" si="2"/>
        <v/>
      </c>
      <c r="J9017" s="86">
        <f t="shared" si="3"/>
        <v>0</v>
      </c>
      <c r="R9017" s="26"/>
    </row>
    <row r="9018" spans="1:18" ht="15.75" customHeight="1">
      <c r="A9018" s="26"/>
      <c r="B9018" s="86"/>
      <c r="D9018" s="26"/>
      <c r="F9018" s="87" t="str">
        <f t="shared" si="0"/>
        <v/>
      </c>
      <c r="H9018" s="26" t="str">
        <f t="shared" si="1"/>
        <v/>
      </c>
      <c r="I9018" s="26" t="str">
        <f t="shared" si="2"/>
        <v/>
      </c>
      <c r="J9018" s="86">
        <f t="shared" si="3"/>
        <v>0</v>
      </c>
      <c r="R9018" s="26"/>
    </row>
    <row r="9019" spans="1:18" ht="15.75" customHeight="1">
      <c r="A9019" s="26"/>
      <c r="B9019" s="86"/>
      <c r="D9019" s="26"/>
      <c r="F9019" s="87" t="str">
        <f t="shared" si="0"/>
        <v/>
      </c>
      <c r="H9019" s="26" t="str">
        <f t="shared" si="1"/>
        <v/>
      </c>
      <c r="I9019" s="26" t="str">
        <f t="shared" si="2"/>
        <v/>
      </c>
      <c r="J9019" s="86">
        <f t="shared" si="3"/>
        <v>0</v>
      </c>
      <c r="R9019" s="26"/>
    </row>
    <row r="9020" spans="1:18" ht="15.75" customHeight="1">
      <c r="A9020" s="26"/>
      <c r="B9020" s="86"/>
      <c r="D9020" s="26"/>
      <c r="F9020" s="87" t="str">
        <f t="shared" si="0"/>
        <v/>
      </c>
      <c r="H9020" s="26" t="str">
        <f t="shared" si="1"/>
        <v/>
      </c>
      <c r="I9020" s="26" t="str">
        <f t="shared" si="2"/>
        <v/>
      </c>
      <c r="J9020" s="86">
        <f t="shared" si="3"/>
        <v>0</v>
      </c>
      <c r="R9020" s="26"/>
    </row>
    <row r="9021" spans="1:18" ht="15.75" customHeight="1">
      <c r="A9021" s="26"/>
      <c r="B9021" s="86"/>
      <c r="D9021" s="26"/>
      <c r="F9021" s="87" t="str">
        <f t="shared" si="0"/>
        <v/>
      </c>
      <c r="H9021" s="26" t="str">
        <f t="shared" si="1"/>
        <v/>
      </c>
      <c r="I9021" s="26" t="str">
        <f t="shared" si="2"/>
        <v/>
      </c>
      <c r="J9021" s="86">
        <f t="shared" si="3"/>
        <v>0</v>
      </c>
      <c r="R9021" s="26"/>
    </row>
    <row r="9022" spans="1:18" ht="15.75" customHeight="1">
      <c r="A9022" s="26"/>
      <c r="B9022" s="86"/>
      <c r="D9022" s="26"/>
      <c r="F9022" s="87" t="str">
        <f t="shared" si="0"/>
        <v/>
      </c>
      <c r="H9022" s="26" t="str">
        <f t="shared" si="1"/>
        <v/>
      </c>
      <c r="I9022" s="26" t="str">
        <f t="shared" si="2"/>
        <v/>
      </c>
      <c r="J9022" s="86">
        <f t="shared" si="3"/>
        <v>0</v>
      </c>
      <c r="R9022" s="26"/>
    </row>
    <row r="9023" spans="1:18" ht="15.75" customHeight="1">
      <c r="A9023" s="26"/>
      <c r="B9023" s="86"/>
      <c r="D9023" s="26"/>
      <c r="F9023" s="87" t="str">
        <f t="shared" si="0"/>
        <v/>
      </c>
      <c r="H9023" s="26" t="str">
        <f t="shared" si="1"/>
        <v/>
      </c>
      <c r="I9023" s="26" t="str">
        <f t="shared" si="2"/>
        <v/>
      </c>
      <c r="J9023" s="86">
        <f t="shared" si="3"/>
        <v>0</v>
      </c>
      <c r="R9023" s="26"/>
    </row>
    <row r="9024" spans="1:18" ht="15.75" customHeight="1">
      <c r="A9024" s="26"/>
      <c r="B9024" s="86"/>
      <c r="D9024" s="26"/>
      <c r="F9024" s="87" t="str">
        <f t="shared" si="0"/>
        <v/>
      </c>
      <c r="H9024" s="26" t="str">
        <f t="shared" si="1"/>
        <v/>
      </c>
      <c r="I9024" s="26" t="str">
        <f t="shared" si="2"/>
        <v/>
      </c>
      <c r="J9024" s="86">
        <f t="shared" si="3"/>
        <v>0</v>
      </c>
      <c r="R9024" s="26"/>
    </row>
    <row r="9025" spans="1:18" ht="15.75" customHeight="1">
      <c r="A9025" s="26"/>
      <c r="B9025" s="86"/>
      <c r="D9025" s="26"/>
      <c r="F9025" s="87" t="str">
        <f t="shared" si="0"/>
        <v/>
      </c>
      <c r="H9025" s="26" t="str">
        <f t="shared" si="1"/>
        <v/>
      </c>
      <c r="I9025" s="26" t="str">
        <f t="shared" si="2"/>
        <v/>
      </c>
      <c r="J9025" s="86">
        <f t="shared" si="3"/>
        <v>0</v>
      </c>
      <c r="R9025" s="26"/>
    </row>
    <row r="9026" spans="1:18" ht="15.75" customHeight="1">
      <c r="A9026" s="26"/>
      <c r="B9026" s="86"/>
      <c r="D9026" s="26"/>
      <c r="F9026" s="87" t="str">
        <f t="shared" si="0"/>
        <v/>
      </c>
      <c r="H9026" s="26" t="str">
        <f t="shared" si="1"/>
        <v/>
      </c>
      <c r="I9026" s="26" t="str">
        <f t="shared" si="2"/>
        <v/>
      </c>
      <c r="J9026" s="86">
        <f t="shared" si="3"/>
        <v>0</v>
      </c>
      <c r="R9026" s="26"/>
    </row>
    <row r="9027" spans="1:18" ht="15.75" customHeight="1">
      <c r="A9027" s="26"/>
      <c r="B9027" s="86"/>
      <c r="D9027" s="26"/>
      <c r="F9027" s="87" t="str">
        <f t="shared" si="0"/>
        <v/>
      </c>
      <c r="H9027" s="26" t="str">
        <f t="shared" si="1"/>
        <v/>
      </c>
      <c r="I9027" s="26" t="str">
        <f t="shared" si="2"/>
        <v/>
      </c>
      <c r="J9027" s="86">
        <f t="shared" si="3"/>
        <v>0</v>
      </c>
      <c r="R9027" s="26"/>
    </row>
    <row r="9028" spans="1:18" ht="15.75" customHeight="1">
      <c r="A9028" s="26"/>
      <c r="B9028" s="86"/>
      <c r="D9028" s="26"/>
      <c r="F9028" s="87" t="str">
        <f t="shared" si="0"/>
        <v/>
      </c>
      <c r="H9028" s="26" t="str">
        <f t="shared" si="1"/>
        <v/>
      </c>
      <c r="I9028" s="26" t="str">
        <f t="shared" si="2"/>
        <v/>
      </c>
      <c r="J9028" s="86">
        <f t="shared" si="3"/>
        <v>0</v>
      </c>
      <c r="R9028" s="26"/>
    </row>
    <row r="9029" spans="1:18" ht="15.75" customHeight="1">
      <c r="A9029" s="26"/>
      <c r="B9029" s="86"/>
      <c r="D9029" s="26"/>
      <c r="F9029" s="87" t="str">
        <f t="shared" si="0"/>
        <v/>
      </c>
      <c r="H9029" s="26" t="str">
        <f t="shared" si="1"/>
        <v/>
      </c>
      <c r="I9029" s="26" t="str">
        <f t="shared" si="2"/>
        <v/>
      </c>
      <c r="J9029" s="86">
        <f t="shared" si="3"/>
        <v>0</v>
      </c>
      <c r="R9029" s="26"/>
    </row>
    <row r="9030" spans="1:18" ht="15.75" customHeight="1">
      <c r="A9030" s="26"/>
      <c r="B9030" s="86"/>
      <c r="D9030" s="26"/>
      <c r="F9030" s="87" t="str">
        <f t="shared" si="0"/>
        <v/>
      </c>
      <c r="H9030" s="26" t="str">
        <f t="shared" si="1"/>
        <v/>
      </c>
      <c r="I9030" s="26" t="str">
        <f t="shared" si="2"/>
        <v/>
      </c>
      <c r="J9030" s="86">
        <f t="shared" si="3"/>
        <v>0</v>
      </c>
      <c r="R9030" s="26"/>
    </row>
    <row r="9031" spans="1:18" ht="15.75" customHeight="1">
      <c r="A9031" s="26"/>
      <c r="B9031" s="86"/>
      <c r="D9031" s="26"/>
      <c r="F9031" s="87" t="str">
        <f t="shared" si="0"/>
        <v/>
      </c>
      <c r="H9031" s="26" t="str">
        <f t="shared" si="1"/>
        <v/>
      </c>
      <c r="I9031" s="26" t="str">
        <f t="shared" si="2"/>
        <v/>
      </c>
      <c r="J9031" s="86">
        <f t="shared" si="3"/>
        <v>0</v>
      </c>
      <c r="R9031" s="26"/>
    </row>
    <row r="9032" spans="1:18" ht="15.75" customHeight="1">
      <c r="A9032" s="26"/>
      <c r="B9032" s="86"/>
      <c r="D9032" s="26"/>
      <c r="F9032" s="87" t="str">
        <f t="shared" si="0"/>
        <v/>
      </c>
      <c r="H9032" s="26" t="str">
        <f t="shared" si="1"/>
        <v/>
      </c>
      <c r="I9032" s="26" t="str">
        <f t="shared" si="2"/>
        <v/>
      </c>
      <c r="J9032" s="86">
        <f t="shared" si="3"/>
        <v>0</v>
      </c>
      <c r="R9032" s="26"/>
    </row>
    <row r="9033" spans="1:18" ht="15.75" customHeight="1">
      <c r="A9033" s="26"/>
      <c r="B9033" s="86"/>
      <c r="D9033" s="26"/>
      <c r="F9033" s="87" t="str">
        <f t="shared" si="0"/>
        <v/>
      </c>
      <c r="H9033" s="26" t="str">
        <f t="shared" si="1"/>
        <v/>
      </c>
      <c r="I9033" s="26" t="str">
        <f t="shared" si="2"/>
        <v/>
      </c>
      <c r="J9033" s="86">
        <f t="shared" si="3"/>
        <v>0</v>
      </c>
      <c r="R9033" s="26"/>
    </row>
    <row r="9034" spans="1:18" ht="15.75" customHeight="1">
      <c r="A9034" s="26"/>
      <c r="B9034" s="86"/>
      <c r="D9034" s="26"/>
      <c r="F9034" s="87" t="str">
        <f t="shared" si="0"/>
        <v/>
      </c>
      <c r="H9034" s="26" t="str">
        <f t="shared" si="1"/>
        <v/>
      </c>
      <c r="I9034" s="26" t="str">
        <f t="shared" si="2"/>
        <v/>
      </c>
      <c r="J9034" s="86">
        <f t="shared" si="3"/>
        <v>0</v>
      </c>
      <c r="R9034" s="26"/>
    </row>
    <row r="9035" spans="1:18" ht="15.75" customHeight="1">
      <c r="A9035" s="26"/>
      <c r="B9035" s="86"/>
      <c r="D9035" s="26"/>
      <c r="F9035" s="87" t="str">
        <f t="shared" si="0"/>
        <v/>
      </c>
      <c r="H9035" s="26" t="str">
        <f t="shared" si="1"/>
        <v/>
      </c>
      <c r="I9035" s="26" t="str">
        <f t="shared" si="2"/>
        <v/>
      </c>
      <c r="J9035" s="86">
        <f t="shared" si="3"/>
        <v>0</v>
      </c>
      <c r="R9035" s="26"/>
    </row>
    <row r="9036" spans="1:18" ht="15.75" customHeight="1">
      <c r="A9036" s="26"/>
      <c r="B9036" s="86"/>
      <c r="D9036" s="26"/>
      <c r="F9036" s="87" t="str">
        <f t="shared" si="0"/>
        <v/>
      </c>
      <c r="H9036" s="26" t="str">
        <f t="shared" si="1"/>
        <v/>
      </c>
      <c r="I9036" s="26" t="str">
        <f t="shared" si="2"/>
        <v/>
      </c>
      <c r="J9036" s="86">
        <f t="shared" si="3"/>
        <v>0</v>
      </c>
      <c r="R9036" s="26"/>
    </row>
    <row r="9037" spans="1:18" ht="15.75" customHeight="1">
      <c r="A9037" s="26"/>
      <c r="B9037" s="86"/>
      <c r="D9037" s="26"/>
      <c r="F9037" s="87" t="str">
        <f t="shared" si="0"/>
        <v/>
      </c>
      <c r="H9037" s="26" t="str">
        <f t="shared" si="1"/>
        <v/>
      </c>
      <c r="I9037" s="26" t="str">
        <f t="shared" si="2"/>
        <v/>
      </c>
      <c r="J9037" s="86">
        <f t="shared" si="3"/>
        <v>0</v>
      </c>
      <c r="R9037" s="26"/>
    </row>
    <row r="9038" spans="1:18" ht="15.75" customHeight="1">
      <c r="A9038" s="26"/>
      <c r="B9038" s="86"/>
      <c r="D9038" s="26"/>
      <c r="F9038" s="87" t="str">
        <f t="shared" si="0"/>
        <v/>
      </c>
      <c r="H9038" s="26" t="str">
        <f t="shared" si="1"/>
        <v/>
      </c>
      <c r="I9038" s="26" t="str">
        <f t="shared" si="2"/>
        <v/>
      </c>
      <c r="J9038" s="86">
        <f t="shared" si="3"/>
        <v>0</v>
      </c>
      <c r="R9038" s="26"/>
    </row>
    <row r="9039" spans="1:18" ht="15.75" customHeight="1">
      <c r="A9039" s="26"/>
      <c r="B9039" s="86"/>
      <c r="D9039" s="26"/>
      <c r="F9039" s="87" t="str">
        <f t="shared" si="0"/>
        <v/>
      </c>
      <c r="H9039" s="26" t="str">
        <f t="shared" si="1"/>
        <v/>
      </c>
      <c r="I9039" s="26" t="str">
        <f t="shared" si="2"/>
        <v/>
      </c>
      <c r="J9039" s="86">
        <f t="shared" si="3"/>
        <v>0</v>
      </c>
      <c r="R9039" s="26"/>
    </row>
    <row r="9040" spans="1:18" ht="15.75" customHeight="1">
      <c r="A9040" s="26"/>
      <c r="B9040" s="86"/>
      <c r="D9040" s="26"/>
      <c r="F9040" s="87" t="str">
        <f t="shared" si="0"/>
        <v/>
      </c>
      <c r="H9040" s="26" t="str">
        <f t="shared" si="1"/>
        <v/>
      </c>
      <c r="I9040" s="26" t="str">
        <f t="shared" si="2"/>
        <v/>
      </c>
      <c r="J9040" s="86">
        <f t="shared" si="3"/>
        <v>0</v>
      </c>
      <c r="R9040" s="26"/>
    </row>
    <row r="9041" spans="1:18" ht="15.75" customHeight="1">
      <c r="A9041" s="26"/>
      <c r="B9041" s="86"/>
      <c r="D9041" s="26"/>
      <c r="F9041" s="87" t="str">
        <f t="shared" si="0"/>
        <v/>
      </c>
      <c r="H9041" s="26" t="str">
        <f t="shared" si="1"/>
        <v/>
      </c>
      <c r="I9041" s="26" t="str">
        <f t="shared" si="2"/>
        <v/>
      </c>
      <c r="J9041" s="86">
        <f t="shared" si="3"/>
        <v>0</v>
      </c>
      <c r="R9041" s="26"/>
    </row>
    <row r="9042" spans="1:18" ht="15.75" customHeight="1">
      <c r="A9042" s="26"/>
      <c r="B9042" s="86"/>
      <c r="D9042" s="26"/>
      <c r="F9042" s="87" t="str">
        <f t="shared" si="0"/>
        <v/>
      </c>
      <c r="H9042" s="26" t="str">
        <f t="shared" si="1"/>
        <v/>
      </c>
      <c r="I9042" s="26" t="str">
        <f t="shared" si="2"/>
        <v/>
      </c>
      <c r="J9042" s="86">
        <f t="shared" si="3"/>
        <v>0</v>
      </c>
      <c r="R9042" s="26"/>
    </row>
    <row r="9043" spans="1:18" ht="15.75" customHeight="1">
      <c r="A9043" s="26"/>
      <c r="B9043" s="86"/>
      <c r="D9043" s="26"/>
      <c r="F9043" s="87" t="str">
        <f t="shared" si="0"/>
        <v/>
      </c>
      <c r="H9043" s="26" t="str">
        <f t="shared" si="1"/>
        <v/>
      </c>
      <c r="I9043" s="26" t="str">
        <f t="shared" si="2"/>
        <v/>
      </c>
      <c r="J9043" s="86">
        <f t="shared" si="3"/>
        <v>0</v>
      </c>
      <c r="R9043" s="26"/>
    </row>
    <row r="9044" spans="1:18" ht="15.75" customHeight="1">
      <c r="A9044" s="26"/>
      <c r="B9044" s="86"/>
      <c r="D9044" s="26"/>
      <c r="F9044" s="87" t="str">
        <f t="shared" si="0"/>
        <v/>
      </c>
      <c r="H9044" s="26" t="str">
        <f t="shared" si="1"/>
        <v/>
      </c>
      <c r="I9044" s="26" t="str">
        <f t="shared" si="2"/>
        <v/>
      </c>
      <c r="J9044" s="86">
        <f t="shared" si="3"/>
        <v>0</v>
      </c>
      <c r="R9044" s="26"/>
    </row>
    <row r="9045" spans="1:18" ht="15.75" customHeight="1">
      <c r="A9045" s="26"/>
      <c r="B9045" s="86"/>
      <c r="D9045" s="26"/>
      <c r="F9045" s="87" t="str">
        <f t="shared" si="0"/>
        <v/>
      </c>
      <c r="H9045" s="26" t="str">
        <f t="shared" si="1"/>
        <v/>
      </c>
      <c r="I9045" s="26" t="str">
        <f t="shared" si="2"/>
        <v/>
      </c>
      <c r="J9045" s="86">
        <f t="shared" si="3"/>
        <v>0</v>
      </c>
      <c r="R9045" s="26"/>
    </row>
    <row r="9046" spans="1:18" ht="15.75" customHeight="1">
      <c r="A9046" s="26"/>
      <c r="B9046" s="86"/>
      <c r="D9046" s="26"/>
      <c r="F9046" s="87" t="str">
        <f t="shared" si="0"/>
        <v/>
      </c>
      <c r="H9046" s="26" t="str">
        <f t="shared" si="1"/>
        <v/>
      </c>
      <c r="I9046" s="26" t="str">
        <f t="shared" si="2"/>
        <v/>
      </c>
      <c r="J9046" s="86">
        <f t="shared" si="3"/>
        <v>0</v>
      </c>
      <c r="R9046" s="26"/>
    </row>
    <row r="9047" spans="1:18" ht="15.75" customHeight="1">
      <c r="A9047" s="26"/>
      <c r="B9047" s="86"/>
      <c r="D9047" s="26"/>
      <c r="F9047" s="87" t="str">
        <f t="shared" si="0"/>
        <v/>
      </c>
      <c r="H9047" s="26" t="str">
        <f t="shared" si="1"/>
        <v/>
      </c>
      <c r="I9047" s="26" t="str">
        <f t="shared" si="2"/>
        <v/>
      </c>
      <c r="J9047" s="86">
        <f t="shared" si="3"/>
        <v>0</v>
      </c>
      <c r="R9047" s="26"/>
    </row>
    <row r="9048" spans="1:18" ht="15.75" customHeight="1">
      <c r="A9048" s="26"/>
      <c r="B9048" s="86"/>
      <c r="D9048" s="26"/>
      <c r="F9048" s="87" t="str">
        <f t="shared" si="0"/>
        <v/>
      </c>
      <c r="H9048" s="26" t="str">
        <f t="shared" si="1"/>
        <v/>
      </c>
      <c r="I9048" s="26" t="str">
        <f t="shared" si="2"/>
        <v/>
      </c>
      <c r="J9048" s="86">
        <f t="shared" si="3"/>
        <v>0</v>
      </c>
      <c r="R9048" s="26"/>
    </row>
    <row r="9049" spans="1:18" ht="15.75" customHeight="1">
      <c r="A9049" s="26"/>
      <c r="B9049" s="86"/>
      <c r="D9049" s="26"/>
      <c r="F9049" s="87" t="str">
        <f t="shared" si="0"/>
        <v/>
      </c>
      <c r="H9049" s="26" t="str">
        <f t="shared" si="1"/>
        <v/>
      </c>
      <c r="I9049" s="26" t="str">
        <f t="shared" si="2"/>
        <v/>
      </c>
      <c r="J9049" s="86">
        <f t="shared" si="3"/>
        <v>0</v>
      </c>
      <c r="R9049" s="26"/>
    </row>
    <row r="9050" spans="1:18" ht="15.75" customHeight="1">
      <c r="A9050" s="26"/>
      <c r="B9050" s="86"/>
      <c r="D9050" s="26"/>
      <c r="F9050" s="87" t="str">
        <f t="shared" si="0"/>
        <v/>
      </c>
      <c r="H9050" s="26" t="str">
        <f t="shared" si="1"/>
        <v/>
      </c>
      <c r="I9050" s="26" t="str">
        <f t="shared" si="2"/>
        <v/>
      </c>
      <c r="J9050" s="86">
        <f t="shared" si="3"/>
        <v>0</v>
      </c>
      <c r="R9050" s="26"/>
    </row>
    <row r="9051" spans="1:18" ht="15.75" customHeight="1">
      <c r="A9051" s="26"/>
      <c r="B9051" s="86"/>
      <c r="D9051" s="26"/>
      <c r="F9051" s="87" t="str">
        <f t="shared" si="0"/>
        <v/>
      </c>
      <c r="H9051" s="26" t="str">
        <f t="shared" si="1"/>
        <v/>
      </c>
      <c r="I9051" s="26" t="str">
        <f t="shared" si="2"/>
        <v/>
      </c>
      <c r="J9051" s="86">
        <f t="shared" si="3"/>
        <v>0</v>
      </c>
      <c r="R9051" s="26"/>
    </row>
    <row r="9052" spans="1:18" ht="15.75" customHeight="1">
      <c r="A9052" s="26"/>
      <c r="B9052" s="86"/>
      <c r="D9052" s="26"/>
      <c r="F9052" s="87" t="str">
        <f t="shared" si="0"/>
        <v/>
      </c>
      <c r="H9052" s="26" t="str">
        <f t="shared" si="1"/>
        <v/>
      </c>
      <c r="I9052" s="26" t="str">
        <f t="shared" si="2"/>
        <v/>
      </c>
      <c r="J9052" s="86">
        <f t="shared" si="3"/>
        <v>0</v>
      </c>
      <c r="R9052" s="26"/>
    </row>
    <row r="9053" spans="1:18" ht="15.75" customHeight="1">
      <c r="A9053" s="26"/>
      <c r="B9053" s="86"/>
      <c r="D9053" s="26"/>
      <c r="F9053" s="87" t="str">
        <f t="shared" si="0"/>
        <v/>
      </c>
      <c r="H9053" s="26" t="str">
        <f t="shared" si="1"/>
        <v/>
      </c>
      <c r="I9053" s="26" t="str">
        <f t="shared" si="2"/>
        <v/>
      </c>
      <c r="J9053" s="86">
        <f t="shared" si="3"/>
        <v>0</v>
      </c>
      <c r="R9053" s="26"/>
    </row>
    <row r="9054" spans="1:18" ht="15.75" customHeight="1">
      <c r="A9054" s="26"/>
      <c r="B9054" s="86"/>
      <c r="D9054" s="26"/>
      <c r="F9054" s="87" t="str">
        <f t="shared" si="0"/>
        <v/>
      </c>
      <c r="H9054" s="26" t="str">
        <f t="shared" si="1"/>
        <v/>
      </c>
      <c r="I9054" s="26" t="str">
        <f t="shared" si="2"/>
        <v/>
      </c>
      <c r="J9054" s="86">
        <f t="shared" si="3"/>
        <v>0</v>
      </c>
      <c r="R9054" s="26"/>
    </row>
    <row r="9055" spans="1:18" ht="15.75" customHeight="1">
      <c r="A9055" s="26"/>
      <c r="B9055" s="86"/>
      <c r="D9055" s="26"/>
      <c r="F9055" s="87" t="str">
        <f t="shared" si="0"/>
        <v/>
      </c>
      <c r="H9055" s="26" t="str">
        <f t="shared" si="1"/>
        <v/>
      </c>
      <c r="I9055" s="26" t="str">
        <f t="shared" si="2"/>
        <v/>
      </c>
      <c r="J9055" s="86">
        <f t="shared" si="3"/>
        <v>0</v>
      </c>
      <c r="R9055" s="26"/>
    </row>
    <row r="9056" spans="1:18" ht="15.75" customHeight="1">
      <c r="A9056" s="26"/>
      <c r="B9056" s="86"/>
      <c r="D9056" s="26"/>
      <c r="F9056" s="87" t="str">
        <f t="shared" si="0"/>
        <v/>
      </c>
      <c r="H9056" s="26" t="str">
        <f t="shared" si="1"/>
        <v/>
      </c>
      <c r="I9056" s="26" t="str">
        <f t="shared" si="2"/>
        <v/>
      </c>
      <c r="J9056" s="86">
        <f t="shared" si="3"/>
        <v>0</v>
      </c>
      <c r="R9056" s="26"/>
    </row>
    <row r="9057" spans="1:18" ht="15.75" customHeight="1">
      <c r="A9057" s="26"/>
      <c r="B9057" s="86"/>
      <c r="D9057" s="26"/>
      <c r="F9057" s="87" t="str">
        <f t="shared" si="0"/>
        <v/>
      </c>
      <c r="H9057" s="26" t="str">
        <f t="shared" si="1"/>
        <v/>
      </c>
      <c r="I9057" s="26" t="str">
        <f t="shared" si="2"/>
        <v/>
      </c>
      <c r="J9057" s="86">
        <f t="shared" si="3"/>
        <v>0</v>
      </c>
      <c r="R9057" s="26"/>
    </row>
    <row r="9058" spans="1:18" ht="15.75" customHeight="1">
      <c r="A9058" s="26"/>
      <c r="B9058" s="86"/>
      <c r="D9058" s="26"/>
      <c r="F9058" s="87" t="str">
        <f t="shared" si="0"/>
        <v/>
      </c>
      <c r="H9058" s="26" t="str">
        <f t="shared" si="1"/>
        <v/>
      </c>
      <c r="I9058" s="26" t="str">
        <f t="shared" si="2"/>
        <v/>
      </c>
      <c r="J9058" s="86">
        <f t="shared" si="3"/>
        <v>0</v>
      </c>
      <c r="R9058" s="26"/>
    </row>
    <row r="9059" spans="1:18" ht="15.75" customHeight="1">
      <c r="A9059" s="26"/>
      <c r="B9059" s="86"/>
      <c r="D9059" s="26"/>
      <c r="F9059" s="87" t="str">
        <f t="shared" si="0"/>
        <v/>
      </c>
      <c r="H9059" s="26" t="str">
        <f t="shared" si="1"/>
        <v/>
      </c>
      <c r="I9059" s="26" t="str">
        <f t="shared" si="2"/>
        <v/>
      </c>
      <c r="J9059" s="86">
        <f t="shared" si="3"/>
        <v>0</v>
      </c>
      <c r="R9059" s="26"/>
    </row>
    <row r="9060" spans="1:18" ht="15.75" customHeight="1">
      <c r="A9060" s="26"/>
      <c r="B9060" s="86"/>
      <c r="D9060" s="26"/>
      <c r="F9060" s="87" t="str">
        <f t="shared" si="0"/>
        <v/>
      </c>
      <c r="H9060" s="26" t="str">
        <f t="shared" si="1"/>
        <v/>
      </c>
      <c r="I9060" s="26" t="str">
        <f t="shared" si="2"/>
        <v/>
      </c>
      <c r="J9060" s="86">
        <f t="shared" si="3"/>
        <v>0</v>
      </c>
      <c r="R9060" s="26"/>
    </row>
    <row r="9061" spans="1:18" ht="15.75" customHeight="1">
      <c r="A9061" s="26"/>
      <c r="B9061" s="86"/>
      <c r="D9061" s="26"/>
      <c r="F9061" s="87" t="str">
        <f t="shared" si="0"/>
        <v/>
      </c>
      <c r="H9061" s="26" t="str">
        <f t="shared" si="1"/>
        <v/>
      </c>
      <c r="I9061" s="26" t="str">
        <f t="shared" si="2"/>
        <v/>
      </c>
      <c r="J9061" s="86">
        <f t="shared" si="3"/>
        <v>0</v>
      </c>
      <c r="R9061" s="26"/>
    </row>
    <row r="9062" spans="1:18" ht="15.75" customHeight="1">
      <c r="A9062" s="26"/>
      <c r="B9062" s="86"/>
      <c r="D9062" s="26"/>
      <c r="F9062" s="87" t="str">
        <f t="shared" si="0"/>
        <v/>
      </c>
      <c r="H9062" s="26" t="str">
        <f t="shared" si="1"/>
        <v/>
      </c>
      <c r="I9062" s="26" t="str">
        <f t="shared" si="2"/>
        <v/>
      </c>
      <c r="J9062" s="86">
        <f t="shared" si="3"/>
        <v>0</v>
      </c>
      <c r="R9062" s="26"/>
    </row>
    <row r="9063" spans="1:18" ht="15.75" customHeight="1">
      <c r="A9063" s="26"/>
      <c r="B9063" s="86"/>
      <c r="D9063" s="26"/>
      <c r="F9063" s="87" t="str">
        <f t="shared" si="0"/>
        <v/>
      </c>
      <c r="H9063" s="26" t="str">
        <f t="shared" si="1"/>
        <v/>
      </c>
      <c r="I9063" s="26" t="str">
        <f t="shared" si="2"/>
        <v/>
      </c>
      <c r="J9063" s="86">
        <f t="shared" si="3"/>
        <v>0</v>
      </c>
      <c r="R9063" s="26"/>
    </row>
    <row r="9064" spans="1:18" ht="15.75" customHeight="1">
      <c r="A9064" s="26"/>
      <c r="B9064" s="86"/>
      <c r="D9064" s="26"/>
      <c r="F9064" s="87" t="str">
        <f t="shared" si="0"/>
        <v/>
      </c>
      <c r="H9064" s="26" t="str">
        <f t="shared" si="1"/>
        <v/>
      </c>
      <c r="I9064" s="26" t="str">
        <f t="shared" si="2"/>
        <v/>
      </c>
      <c r="J9064" s="86">
        <f t="shared" si="3"/>
        <v>0</v>
      </c>
      <c r="R9064" s="26"/>
    </row>
    <row r="9065" spans="1:18" ht="15.75" customHeight="1">
      <c r="A9065" s="26"/>
      <c r="B9065" s="86"/>
      <c r="D9065" s="26"/>
      <c r="F9065" s="87" t="str">
        <f t="shared" si="0"/>
        <v/>
      </c>
      <c r="H9065" s="26" t="str">
        <f t="shared" si="1"/>
        <v/>
      </c>
      <c r="I9065" s="26" t="str">
        <f t="shared" si="2"/>
        <v/>
      </c>
      <c r="J9065" s="86">
        <f t="shared" si="3"/>
        <v>0</v>
      </c>
      <c r="R9065" s="26"/>
    </row>
    <row r="9066" spans="1:18" ht="15.75" customHeight="1">
      <c r="A9066" s="26"/>
      <c r="B9066" s="86"/>
      <c r="D9066" s="26"/>
      <c r="F9066" s="87" t="str">
        <f t="shared" si="0"/>
        <v/>
      </c>
      <c r="H9066" s="26" t="str">
        <f t="shared" si="1"/>
        <v/>
      </c>
      <c r="I9066" s="26" t="str">
        <f t="shared" si="2"/>
        <v/>
      </c>
      <c r="J9066" s="86">
        <f t="shared" si="3"/>
        <v>0</v>
      </c>
      <c r="R9066" s="26"/>
    </row>
    <row r="9067" spans="1:18" ht="15.75" customHeight="1">
      <c r="A9067" s="26"/>
      <c r="B9067" s="86"/>
      <c r="D9067" s="26"/>
      <c r="F9067" s="87" t="str">
        <f t="shared" si="0"/>
        <v/>
      </c>
      <c r="H9067" s="26" t="str">
        <f t="shared" si="1"/>
        <v/>
      </c>
      <c r="I9067" s="26" t="str">
        <f t="shared" si="2"/>
        <v/>
      </c>
      <c r="J9067" s="86">
        <f t="shared" si="3"/>
        <v>0</v>
      </c>
      <c r="R9067" s="26"/>
    </row>
    <row r="9068" spans="1:18" ht="15.75" customHeight="1">
      <c r="A9068" s="26"/>
      <c r="B9068" s="86"/>
      <c r="D9068" s="26"/>
      <c r="F9068" s="87" t="str">
        <f t="shared" si="0"/>
        <v/>
      </c>
      <c r="H9068" s="26" t="str">
        <f t="shared" si="1"/>
        <v/>
      </c>
      <c r="I9068" s="26" t="str">
        <f t="shared" si="2"/>
        <v/>
      </c>
      <c r="J9068" s="86">
        <f t="shared" si="3"/>
        <v>0</v>
      </c>
      <c r="R9068" s="26"/>
    </row>
    <row r="9069" spans="1:18" ht="15.75" customHeight="1">
      <c r="A9069" s="26"/>
      <c r="B9069" s="86"/>
      <c r="D9069" s="26"/>
      <c r="F9069" s="87" t="str">
        <f t="shared" si="0"/>
        <v/>
      </c>
      <c r="H9069" s="26" t="str">
        <f t="shared" si="1"/>
        <v/>
      </c>
      <c r="I9069" s="26" t="str">
        <f t="shared" si="2"/>
        <v/>
      </c>
      <c r="J9069" s="86">
        <f t="shared" si="3"/>
        <v>0</v>
      </c>
      <c r="R9069" s="26"/>
    </row>
    <row r="9070" spans="1:18" ht="15.75" customHeight="1">
      <c r="A9070" s="26"/>
      <c r="B9070" s="86"/>
      <c r="D9070" s="26"/>
      <c r="F9070" s="87" t="str">
        <f t="shared" si="0"/>
        <v/>
      </c>
      <c r="H9070" s="26" t="str">
        <f t="shared" si="1"/>
        <v/>
      </c>
      <c r="I9070" s="26" t="str">
        <f t="shared" si="2"/>
        <v/>
      </c>
      <c r="J9070" s="86">
        <f t="shared" si="3"/>
        <v>0</v>
      </c>
      <c r="R9070" s="26"/>
    </row>
    <row r="9071" spans="1:18" ht="15.75" customHeight="1">
      <c r="A9071" s="26"/>
      <c r="B9071" s="86"/>
      <c r="D9071" s="26"/>
      <c r="F9071" s="87" t="str">
        <f t="shared" si="0"/>
        <v/>
      </c>
      <c r="H9071" s="26" t="str">
        <f t="shared" si="1"/>
        <v/>
      </c>
      <c r="I9071" s="26" t="str">
        <f t="shared" si="2"/>
        <v/>
      </c>
      <c r="J9071" s="86">
        <f t="shared" si="3"/>
        <v>0</v>
      </c>
      <c r="R9071" s="26"/>
    </row>
    <row r="9072" spans="1:18" ht="15.75" customHeight="1">
      <c r="A9072" s="26"/>
      <c r="B9072" s="86"/>
      <c r="D9072" s="26"/>
      <c r="F9072" s="87" t="str">
        <f t="shared" si="0"/>
        <v/>
      </c>
      <c r="H9072" s="26" t="str">
        <f t="shared" si="1"/>
        <v/>
      </c>
      <c r="I9072" s="26" t="str">
        <f t="shared" si="2"/>
        <v/>
      </c>
      <c r="J9072" s="86">
        <f t="shared" si="3"/>
        <v>0</v>
      </c>
      <c r="R9072" s="26"/>
    </row>
    <row r="9073" spans="1:18" ht="15.75" customHeight="1">
      <c r="A9073" s="26"/>
      <c r="B9073" s="86"/>
      <c r="D9073" s="26"/>
      <c r="F9073" s="87" t="str">
        <f t="shared" si="0"/>
        <v/>
      </c>
      <c r="H9073" s="26" t="str">
        <f t="shared" si="1"/>
        <v/>
      </c>
      <c r="I9073" s="26" t="str">
        <f t="shared" si="2"/>
        <v/>
      </c>
      <c r="J9073" s="86">
        <f t="shared" si="3"/>
        <v>0</v>
      </c>
      <c r="R9073" s="26"/>
    </row>
    <row r="9074" spans="1:18" ht="15.75" customHeight="1">
      <c r="A9074" s="26"/>
      <c r="B9074" s="86"/>
      <c r="D9074" s="26"/>
      <c r="F9074" s="87" t="str">
        <f t="shared" si="0"/>
        <v/>
      </c>
      <c r="H9074" s="26" t="str">
        <f t="shared" si="1"/>
        <v/>
      </c>
      <c r="I9074" s="26" t="str">
        <f t="shared" si="2"/>
        <v/>
      </c>
      <c r="J9074" s="86">
        <f t="shared" si="3"/>
        <v>0</v>
      </c>
      <c r="R9074" s="26"/>
    </row>
    <row r="9075" spans="1:18" ht="15.75" customHeight="1">
      <c r="A9075" s="26"/>
      <c r="B9075" s="86"/>
      <c r="D9075" s="26"/>
      <c r="F9075" s="87" t="str">
        <f t="shared" si="0"/>
        <v/>
      </c>
      <c r="H9075" s="26" t="str">
        <f t="shared" si="1"/>
        <v/>
      </c>
      <c r="I9075" s="26" t="str">
        <f t="shared" si="2"/>
        <v/>
      </c>
      <c r="J9075" s="86">
        <f t="shared" si="3"/>
        <v>0</v>
      </c>
      <c r="R9075" s="26"/>
    </row>
    <row r="9076" spans="1:18" ht="15.75" customHeight="1">
      <c r="A9076" s="26"/>
      <c r="B9076" s="86"/>
      <c r="D9076" s="26"/>
      <c r="F9076" s="87" t="str">
        <f t="shared" si="0"/>
        <v/>
      </c>
      <c r="H9076" s="26" t="str">
        <f t="shared" si="1"/>
        <v/>
      </c>
      <c r="I9076" s="26" t="str">
        <f t="shared" si="2"/>
        <v/>
      </c>
      <c r="J9076" s="86">
        <f t="shared" si="3"/>
        <v>0</v>
      </c>
      <c r="R9076" s="26"/>
    </row>
    <row r="9077" spans="1:18" ht="15.75" customHeight="1">
      <c r="A9077" s="26"/>
      <c r="B9077" s="86"/>
      <c r="D9077" s="26"/>
      <c r="F9077" s="87" t="str">
        <f t="shared" si="0"/>
        <v/>
      </c>
      <c r="H9077" s="26" t="str">
        <f t="shared" si="1"/>
        <v/>
      </c>
      <c r="I9077" s="26" t="str">
        <f t="shared" si="2"/>
        <v/>
      </c>
      <c r="J9077" s="86">
        <f t="shared" si="3"/>
        <v>0</v>
      </c>
      <c r="R9077" s="26"/>
    </row>
    <row r="9078" spans="1:18" ht="15.75" customHeight="1">
      <c r="A9078" s="26"/>
      <c r="B9078" s="86"/>
      <c r="D9078" s="26"/>
      <c r="F9078" s="87" t="str">
        <f t="shared" si="0"/>
        <v/>
      </c>
      <c r="H9078" s="26" t="str">
        <f t="shared" si="1"/>
        <v/>
      </c>
      <c r="I9078" s="26" t="str">
        <f t="shared" si="2"/>
        <v/>
      </c>
      <c r="J9078" s="86">
        <f t="shared" si="3"/>
        <v>0</v>
      </c>
      <c r="R9078" s="26"/>
    </row>
    <row r="9079" spans="1:18" ht="15.75" customHeight="1">
      <c r="A9079" s="26"/>
      <c r="B9079" s="86"/>
      <c r="D9079" s="26"/>
      <c r="F9079" s="87" t="str">
        <f t="shared" si="0"/>
        <v/>
      </c>
      <c r="H9079" s="26" t="str">
        <f t="shared" si="1"/>
        <v/>
      </c>
      <c r="I9079" s="26" t="str">
        <f t="shared" si="2"/>
        <v/>
      </c>
      <c r="J9079" s="86">
        <f t="shared" si="3"/>
        <v>0</v>
      </c>
      <c r="R9079" s="26"/>
    </row>
    <row r="9080" spans="1:18" ht="15.75" customHeight="1">
      <c r="A9080" s="26"/>
      <c r="B9080" s="86"/>
      <c r="D9080" s="26"/>
      <c r="F9080" s="87" t="str">
        <f t="shared" si="0"/>
        <v/>
      </c>
      <c r="H9080" s="26" t="str">
        <f t="shared" si="1"/>
        <v/>
      </c>
      <c r="I9080" s="26" t="str">
        <f t="shared" si="2"/>
        <v/>
      </c>
      <c r="J9080" s="86">
        <f t="shared" si="3"/>
        <v>0</v>
      </c>
      <c r="R9080" s="26"/>
    </row>
    <row r="9081" spans="1:18" ht="15.75" customHeight="1">
      <c r="A9081" s="26"/>
      <c r="B9081" s="86"/>
      <c r="D9081" s="26"/>
      <c r="F9081" s="87" t="str">
        <f t="shared" si="0"/>
        <v/>
      </c>
      <c r="H9081" s="26" t="str">
        <f t="shared" si="1"/>
        <v/>
      </c>
      <c r="I9081" s="26" t="str">
        <f t="shared" si="2"/>
        <v/>
      </c>
      <c r="J9081" s="86">
        <f t="shared" si="3"/>
        <v>0</v>
      </c>
      <c r="R9081" s="26"/>
    </row>
    <row r="9082" spans="1:18" ht="15.75" customHeight="1">
      <c r="A9082" s="26"/>
      <c r="B9082" s="86"/>
      <c r="D9082" s="26"/>
      <c r="F9082" s="87" t="str">
        <f t="shared" si="0"/>
        <v/>
      </c>
      <c r="H9082" s="26" t="str">
        <f t="shared" si="1"/>
        <v/>
      </c>
      <c r="I9082" s="26" t="str">
        <f t="shared" si="2"/>
        <v/>
      </c>
      <c r="J9082" s="86">
        <f t="shared" si="3"/>
        <v>0</v>
      </c>
      <c r="R9082" s="26"/>
    </row>
    <row r="9083" spans="1:18" ht="15.75" customHeight="1">
      <c r="A9083" s="26"/>
      <c r="B9083" s="86"/>
      <c r="D9083" s="26"/>
      <c r="F9083" s="87" t="str">
        <f t="shared" si="0"/>
        <v/>
      </c>
      <c r="H9083" s="26" t="str">
        <f t="shared" si="1"/>
        <v/>
      </c>
      <c r="I9083" s="26" t="str">
        <f t="shared" si="2"/>
        <v/>
      </c>
      <c r="J9083" s="86">
        <f t="shared" si="3"/>
        <v>0</v>
      </c>
      <c r="R9083" s="26"/>
    </row>
    <row r="9084" spans="1:18" ht="15.75" customHeight="1">
      <c r="A9084" s="26"/>
      <c r="B9084" s="86"/>
      <c r="D9084" s="26"/>
      <c r="F9084" s="87" t="str">
        <f t="shared" si="0"/>
        <v/>
      </c>
      <c r="H9084" s="26" t="str">
        <f t="shared" si="1"/>
        <v/>
      </c>
      <c r="I9084" s="26" t="str">
        <f t="shared" si="2"/>
        <v/>
      </c>
      <c r="J9084" s="86">
        <f t="shared" si="3"/>
        <v>0</v>
      </c>
      <c r="R9084" s="26"/>
    </row>
    <row r="9085" spans="1:18" ht="15.75" customHeight="1">
      <c r="A9085" s="26"/>
      <c r="B9085" s="86"/>
      <c r="D9085" s="26"/>
      <c r="F9085" s="87" t="str">
        <f t="shared" si="0"/>
        <v/>
      </c>
      <c r="H9085" s="26" t="str">
        <f t="shared" si="1"/>
        <v/>
      </c>
      <c r="I9085" s="26" t="str">
        <f t="shared" si="2"/>
        <v/>
      </c>
      <c r="J9085" s="86">
        <f t="shared" si="3"/>
        <v>0</v>
      </c>
      <c r="R9085" s="26"/>
    </row>
    <row r="9086" spans="1:18" ht="15.75" customHeight="1">
      <c r="A9086" s="26"/>
      <c r="B9086" s="86"/>
      <c r="D9086" s="26"/>
      <c r="F9086" s="87" t="str">
        <f t="shared" si="0"/>
        <v/>
      </c>
      <c r="H9086" s="26" t="str">
        <f t="shared" si="1"/>
        <v/>
      </c>
      <c r="I9086" s="26" t="str">
        <f t="shared" si="2"/>
        <v/>
      </c>
      <c r="J9086" s="86">
        <f t="shared" si="3"/>
        <v>0</v>
      </c>
      <c r="R9086" s="26"/>
    </row>
    <row r="9087" spans="1:18" ht="15.75" customHeight="1">
      <c r="A9087" s="26"/>
      <c r="B9087" s="86"/>
      <c r="D9087" s="26"/>
      <c r="F9087" s="87" t="str">
        <f t="shared" si="0"/>
        <v/>
      </c>
      <c r="H9087" s="26" t="str">
        <f t="shared" si="1"/>
        <v/>
      </c>
      <c r="I9087" s="26" t="str">
        <f t="shared" si="2"/>
        <v/>
      </c>
      <c r="J9087" s="86">
        <f t="shared" si="3"/>
        <v>0</v>
      </c>
      <c r="R9087" s="26"/>
    </row>
    <row r="9088" spans="1:18" ht="15.75" customHeight="1">
      <c r="A9088" s="26"/>
      <c r="B9088" s="86"/>
      <c r="D9088" s="26"/>
      <c r="F9088" s="87" t="str">
        <f t="shared" si="0"/>
        <v/>
      </c>
      <c r="H9088" s="26" t="str">
        <f t="shared" si="1"/>
        <v/>
      </c>
      <c r="I9088" s="26" t="str">
        <f t="shared" si="2"/>
        <v/>
      </c>
      <c r="J9088" s="86">
        <f t="shared" si="3"/>
        <v>0</v>
      </c>
      <c r="R9088" s="26"/>
    </row>
    <row r="9089" spans="1:18" ht="15.75" customHeight="1">
      <c r="A9089" s="26"/>
      <c r="B9089" s="86"/>
      <c r="D9089" s="26"/>
      <c r="F9089" s="87" t="str">
        <f t="shared" si="0"/>
        <v/>
      </c>
      <c r="H9089" s="26" t="str">
        <f t="shared" si="1"/>
        <v/>
      </c>
      <c r="I9089" s="26" t="str">
        <f t="shared" si="2"/>
        <v/>
      </c>
      <c r="J9089" s="86">
        <f t="shared" si="3"/>
        <v>0</v>
      </c>
      <c r="R9089" s="26"/>
    </row>
    <row r="9090" spans="1:18" ht="15.75" customHeight="1">
      <c r="A9090" s="26"/>
      <c r="B9090" s="86"/>
      <c r="D9090" s="26"/>
      <c r="F9090" s="87" t="str">
        <f t="shared" si="0"/>
        <v/>
      </c>
      <c r="H9090" s="26" t="str">
        <f t="shared" si="1"/>
        <v/>
      </c>
      <c r="I9090" s="26" t="str">
        <f t="shared" si="2"/>
        <v/>
      </c>
      <c r="J9090" s="86">
        <f t="shared" si="3"/>
        <v>0</v>
      </c>
      <c r="R9090" s="26"/>
    </row>
    <row r="9091" spans="1:18" ht="15.75" customHeight="1">
      <c r="A9091" s="26"/>
      <c r="B9091" s="86"/>
      <c r="D9091" s="26"/>
      <c r="F9091" s="87" t="str">
        <f t="shared" si="0"/>
        <v/>
      </c>
      <c r="H9091" s="26" t="str">
        <f t="shared" si="1"/>
        <v/>
      </c>
      <c r="I9091" s="26" t="str">
        <f t="shared" si="2"/>
        <v/>
      </c>
      <c r="J9091" s="86">
        <f t="shared" si="3"/>
        <v>0</v>
      </c>
      <c r="R9091" s="26"/>
    </row>
    <row r="9092" spans="1:18" ht="15.75" customHeight="1">
      <c r="A9092" s="26"/>
      <c r="B9092" s="86"/>
      <c r="D9092" s="26"/>
      <c r="F9092" s="87" t="str">
        <f t="shared" si="0"/>
        <v/>
      </c>
      <c r="H9092" s="26" t="str">
        <f t="shared" si="1"/>
        <v/>
      </c>
      <c r="I9092" s="26" t="str">
        <f t="shared" si="2"/>
        <v/>
      </c>
      <c r="J9092" s="86">
        <f t="shared" si="3"/>
        <v>0</v>
      </c>
      <c r="R9092" s="26"/>
    </row>
    <row r="9093" spans="1:18" ht="15.75" customHeight="1">
      <c r="A9093" s="26"/>
      <c r="B9093" s="86"/>
      <c r="D9093" s="26"/>
      <c r="F9093" s="87" t="str">
        <f t="shared" si="0"/>
        <v/>
      </c>
      <c r="H9093" s="26" t="str">
        <f t="shared" si="1"/>
        <v/>
      </c>
      <c r="I9093" s="26" t="str">
        <f t="shared" si="2"/>
        <v/>
      </c>
      <c r="J9093" s="86">
        <f t="shared" si="3"/>
        <v>0</v>
      </c>
      <c r="R9093" s="26"/>
    </row>
    <row r="9094" spans="1:18" ht="15.75" customHeight="1">
      <c r="A9094" s="26"/>
      <c r="B9094" s="86"/>
      <c r="D9094" s="26"/>
      <c r="F9094" s="87" t="str">
        <f t="shared" si="0"/>
        <v/>
      </c>
      <c r="H9094" s="26" t="str">
        <f t="shared" si="1"/>
        <v/>
      </c>
      <c r="I9094" s="26" t="str">
        <f t="shared" si="2"/>
        <v/>
      </c>
      <c r="J9094" s="86">
        <f t="shared" si="3"/>
        <v>0</v>
      </c>
      <c r="R9094" s="26"/>
    </row>
    <row r="9095" spans="1:18" ht="15.75" customHeight="1">
      <c r="A9095" s="26"/>
      <c r="B9095" s="86"/>
      <c r="D9095" s="26"/>
      <c r="F9095" s="87" t="str">
        <f t="shared" si="0"/>
        <v/>
      </c>
      <c r="H9095" s="26" t="str">
        <f t="shared" si="1"/>
        <v/>
      </c>
      <c r="I9095" s="26" t="str">
        <f t="shared" si="2"/>
        <v/>
      </c>
      <c r="J9095" s="86">
        <f t="shared" si="3"/>
        <v>0</v>
      </c>
      <c r="R9095" s="26"/>
    </row>
    <row r="9096" spans="1:18" ht="15.75" customHeight="1">
      <c r="A9096" s="26"/>
      <c r="B9096" s="86"/>
      <c r="D9096" s="26"/>
      <c r="F9096" s="87" t="str">
        <f t="shared" si="0"/>
        <v/>
      </c>
      <c r="H9096" s="26" t="str">
        <f t="shared" si="1"/>
        <v/>
      </c>
      <c r="I9096" s="26" t="str">
        <f t="shared" si="2"/>
        <v/>
      </c>
      <c r="J9096" s="86">
        <f t="shared" si="3"/>
        <v>0</v>
      </c>
      <c r="R9096" s="26"/>
    </row>
    <row r="9097" spans="1:18" ht="15.75" customHeight="1">
      <c r="A9097" s="26"/>
      <c r="B9097" s="86"/>
      <c r="D9097" s="26"/>
      <c r="F9097" s="87" t="str">
        <f t="shared" si="0"/>
        <v/>
      </c>
      <c r="H9097" s="26" t="str">
        <f t="shared" si="1"/>
        <v/>
      </c>
      <c r="I9097" s="26" t="str">
        <f t="shared" si="2"/>
        <v/>
      </c>
      <c r="J9097" s="86">
        <f t="shared" si="3"/>
        <v>0</v>
      </c>
      <c r="R9097" s="26"/>
    </row>
    <row r="9098" spans="1:18" ht="15.75" customHeight="1">
      <c r="A9098" s="26"/>
      <c r="B9098" s="86"/>
      <c r="D9098" s="26"/>
      <c r="F9098" s="87" t="str">
        <f t="shared" si="0"/>
        <v/>
      </c>
      <c r="H9098" s="26" t="str">
        <f t="shared" si="1"/>
        <v/>
      </c>
      <c r="I9098" s="26" t="str">
        <f t="shared" si="2"/>
        <v/>
      </c>
      <c r="J9098" s="86">
        <f t="shared" si="3"/>
        <v>0</v>
      </c>
      <c r="R9098" s="26"/>
    </row>
    <row r="9099" spans="1:18" ht="15.75" customHeight="1">
      <c r="A9099" s="26"/>
      <c r="B9099" s="86"/>
      <c r="D9099" s="26"/>
      <c r="F9099" s="87" t="str">
        <f t="shared" si="0"/>
        <v/>
      </c>
      <c r="H9099" s="26" t="str">
        <f t="shared" si="1"/>
        <v/>
      </c>
      <c r="I9099" s="26" t="str">
        <f t="shared" si="2"/>
        <v/>
      </c>
      <c r="J9099" s="86">
        <f t="shared" si="3"/>
        <v>0</v>
      </c>
      <c r="R9099" s="26"/>
    </row>
    <row r="9100" spans="1:18" ht="15.75" customHeight="1">
      <c r="A9100" s="26"/>
      <c r="B9100" s="86"/>
      <c r="D9100" s="26"/>
      <c r="F9100" s="87" t="str">
        <f t="shared" si="0"/>
        <v/>
      </c>
      <c r="H9100" s="26" t="str">
        <f t="shared" si="1"/>
        <v/>
      </c>
      <c r="I9100" s="26" t="str">
        <f t="shared" si="2"/>
        <v/>
      </c>
      <c r="J9100" s="86">
        <f t="shared" si="3"/>
        <v>0</v>
      </c>
      <c r="R9100" s="26"/>
    </row>
    <row r="9101" spans="1:18" ht="15.75" customHeight="1">
      <c r="A9101" s="26"/>
      <c r="B9101" s="86"/>
      <c r="D9101" s="26"/>
      <c r="F9101" s="87" t="str">
        <f t="shared" si="0"/>
        <v/>
      </c>
      <c r="H9101" s="26" t="str">
        <f t="shared" si="1"/>
        <v/>
      </c>
      <c r="I9101" s="26" t="str">
        <f t="shared" si="2"/>
        <v/>
      </c>
      <c r="J9101" s="86">
        <f t="shared" si="3"/>
        <v>0</v>
      </c>
      <c r="R9101" s="26"/>
    </row>
    <row r="9102" spans="1:18" ht="15.75" customHeight="1">
      <c r="A9102" s="26"/>
      <c r="B9102" s="86"/>
      <c r="D9102" s="26"/>
      <c r="F9102" s="87" t="str">
        <f t="shared" si="0"/>
        <v/>
      </c>
      <c r="H9102" s="26" t="str">
        <f t="shared" si="1"/>
        <v/>
      </c>
      <c r="I9102" s="26" t="str">
        <f t="shared" si="2"/>
        <v/>
      </c>
      <c r="J9102" s="86">
        <f t="shared" si="3"/>
        <v>0</v>
      </c>
      <c r="R9102" s="26"/>
    </row>
    <row r="9103" spans="1:18" ht="15.75" customHeight="1">
      <c r="A9103" s="26"/>
      <c r="B9103" s="86"/>
      <c r="D9103" s="26"/>
      <c r="F9103" s="87" t="str">
        <f t="shared" si="0"/>
        <v/>
      </c>
      <c r="H9103" s="26" t="str">
        <f t="shared" si="1"/>
        <v/>
      </c>
      <c r="I9103" s="26" t="str">
        <f t="shared" si="2"/>
        <v/>
      </c>
      <c r="J9103" s="86">
        <f t="shared" si="3"/>
        <v>0</v>
      </c>
      <c r="R9103" s="26"/>
    </row>
    <row r="9104" spans="1:18" ht="15.75" customHeight="1">
      <c r="A9104" s="26"/>
      <c r="B9104" s="86"/>
      <c r="D9104" s="26"/>
      <c r="F9104" s="87" t="str">
        <f t="shared" si="0"/>
        <v/>
      </c>
      <c r="H9104" s="26" t="str">
        <f t="shared" si="1"/>
        <v/>
      </c>
      <c r="I9104" s="26" t="str">
        <f t="shared" si="2"/>
        <v/>
      </c>
      <c r="J9104" s="86">
        <f t="shared" si="3"/>
        <v>0</v>
      </c>
      <c r="R9104" s="26"/>
    </row>
    <row r="9105" spans="1:18" ht="15.75" customHeight="1">
      <c r="A9105" s="26"/>
      <c r="B9105" s="86"/>
      <c r="D9105" s="26"/>
      <c r="F9105" s="87" t="str">
        <f t="shared" si="0"/>
        <v/>
      </c>
      <c r="H9105" s="26" t="str">
        <f t="shared" si="1"/>
        <v/>
      </c>
      <c r="I9105" s="26" t="str">
        <f t="shared" si="2"/>
        <v/>
      </c>
      <c r="J9105" s="86">
        <f t="shared" si="3"/>
        <v>0</v>
      </c>
      <c r="R9105" s="26"/>
    </row>
    <row r="9106" spans="1:18" ht="15.75" customHeight="1">
      <c r="A9106" s="26"/>
      <c r="B9106" s="86"/>
      <c r="D9106" s="26"/>
      <c r="F9106" s="87" t="str">
        <f t="shared" si="0"/>
        <v/>
      </c>
      <c r="H9106" s="26" t="str">
        <f t="shared" si="1"/>
        <v/>
      </c>
      <c r="I9106" s="26" t="str">
        <f t="shared" si="2"/>
        <v/>
      </c>
      <c r="J9106" s="86">
        <f t="shared" si="3"/>
        <v>0</v>
      </c>
      <c r="R9106" s="26"/>
    </row>
    <row r="9107" spans="1:18" ht="15.75" customHeight="1">
      <c r="A9107" s="26"/>
      <c r="B9107" s="86"/>
      <c r="D9107" s="26"/>
      <c r="F9107" s="87" t="str">
        <f t="shared" si="0"/>
        <v/>
      </c>
      <c r="H9107" s="26" t="str">
        <f t="shared" si="1"/>
        <v/>
      </c>
      <c r="I9107" s="26" t="str">
        <f t="shared" si="2"/>
        <v/>
      </c>
      <c r="J9107" s="86">
        <f t="shared" si="3"/>
        <v>0</v>
      </c>
      <c r="R9107" s="26"/>
    </row>
    <row r="9108" spans="1:18" ht="15.75" customHeight="1">
      <c r="A9108" s="26"/>
      <c r="B9108" s="86"/>
      <c r="D9108" s="26"/>
      <c r="F9108" s="87" t="str">
        <f t="shared" si="0"/>
        <v/>
      </c>
      <c r="H9108" s="26" t="str">
        <f t="shared" si="1"/>
        <v/>
      </c>
      <c r="I9108" s="26" t="str">
        <f t="shared" si="2"/>
        <v/>
      </c>
      <c r="J9108" s="86">
        <f t="shared" si="3"/>
        <v>0</v>
      </c>
      <c r="R9108" s="26"/>
    </row>
    <row r="9109" spans="1:18" ht="15.75" customHeight="1">
      <c r="A9109" s="26"/>
      <c r="B9109" s="86"/>
      <c r="D9109" s="26"/>
      <c r="F9109" s="87" t="str">
        <f t="shared" si="0"/>
        <v/>
      </c>
      <c r="H9109" s="26" t="str">
        <f t="shared" si="1"/>
        <v/>
      </c>
      <c r="I9109" s="26" t="str">
        <f t="shared" si="2"/>
        <v/>
      </c>
      <c r="J9109" s="86">
        <f t="shared" si="3"/>
        <v>0</v>
      </c>
      <c r="R9109" s="26"/>
    </row>
    <row r="9110" spans="1:18" ht="15.75" customHeight="1">
      <c r="A9110" s="26"/>
      <c r="B9110" s="86"/>
      <c r="D9110" s="26"/>
      <c r="F9110" s="87" t="str">
        <f t="shared" si="0"/>
        <v/>
      </c>
      <c r="H9110" s="26" t="str">
        <f t="shared" si="1"/>
        <v/>
      </c>
      <c r="I9110" s="26" t="str">
        <f t="shared" si="2"/>
        <v/>
      </c>
      <c r="J9110" s="86">
        <f t="shared" si="3"/>
        <v>0</v>
      </c>
      <c r="R9110" s="26"/>
    </row>
    <row r="9111" spans="1:18" ht="15.75" customHeight="1">
      <c r="A9111" s="26"/>
      <c r="B9111" s="86"/>
      <c r="D9111" s="26"/>
      <c r="F9111" s="87" t="str">
        <f t="shared" si="0"/>
        <v/>
      </c>
      <c r="H9111" s="26" t="str">
        <f t="shared" si="1"/>
        <v/>
      </c>
      <c r="I9111" s="26" t="str">
        <f t="shared" si="2"/>
        <v/>
      </c>
      <c r="J9111" s="86">
        <f t="shared" si="3"/>
        <v>0</v>
      </c>
      <c r="R9111" s="26"/>
    </row>
    <row r="9112" spans="1:18" ht="15.75" customHeight="1">
      <c r="A9112" s="26"/>
      <c r="B9112" s="86"/>
      <c r="D9112" s="26"/>
      <c r="F9112" s="87" t="str">
        <f t="shared" si="0"/>
        <v/>
      </c>
      <c r="H9112" s="26" t="str">
        <f t="shared" si="1"/>
        <v/>
      </c>
      <c r="I9112" s="26" t="str">
        <f t="shared" si="2"/>
        <v/>
      </c>
      <c r="J9112" s="86">
        <f t="shared" si="3"/>
        <v>0</v>
      </c>
      <c r="R9112" s="26"/>
    </row>
    <row r="9113" spans="1:18" ht="15.75" customHeight="1">
      <c r="A9113" s="26"/>
      <c r="B9113" s="86"/>
      <c r="D9113" s="26"/>
      <c r="F9113" s="87" t="str">
        <f t="shared" si="0"/>
        <v/>
      </c>
      <c r="H9113" s="26" t="str">
        <f t="shared" si="1"/>
        <v/>
      </c>
      <c r="I9113" s="26" t="str">
        <f t="shared" si="2"/>
        <v/>
      </c>
      <c r="J9113" s="86">
        <f t="shared" si="3"/>
        <v>0</v>
      </c>
      <c r="R9113" s="26"/>
    </row>
    <row r="9114" spans="1:18" ht="15.75" customHeight="1">
      <c r="A9114" s="26"/>
      <c r="B9114" s="86"/>
      <c r="D9114" s="26"/>
      <c r="F9114" s="87" t="str">
        <f t="shared" si="0"/>
        <v/>
      </c>
      <c r="H9114" s="26" t="str">
        <f t="shared" si="1"/>
        <v/>
      </c>
      <c r="I9114" s="26" t="str">
        <f t="shared" si="2"/>
        <v/>
      </c>
      <c r="J9114" s="86">
        <f t="shared" si="3"/>
        <v>0</v>
      </c>
      <c r="R9114" s="26"/>
    </row>
    <row r="9115" spans="1:18" ht="15.75" customHeight="1">
      <c r="A9115" s="26"/>
      <c r="B9115" s="86"/>
      <c r="D9115" s="26"/>
      <c r="F9115" s="87" t="str">
        <f t="shared" si="0"/>
        <v/>
      </c>
      <c r="H9115" s="26" t="str">
        <f t="shared" si="1"/>
        <v/>
      </c>
      <c r="I9115" s="26" t="str">
        <f t="shared" si="2"/>
        <v/>
      </c>
      <c r="J9115" s="86">
        <f t="shared" si="3"/>
        <v>0</v>
      </c>
      <c r="R9115" s="26"/>
    </row>
    <row r="9116" spans="1:18" ht="15.75" customHeight="1">
      <c r="A9116" s="26"/>
      <c r="B9116" s="86"/>
      <c r="D9116" s="26"/>
      <c r="F9116" s="87" t="str">
        <f t="shared" si="0"/>
        <v/>
      </c>
      <c r="H9116" s="26" t="str">
        <f t="shared" si="1"/>
        <v/>
      </c>
      <c r="I9116" s="26" t="str">
        <f t="shared" si="2"/>
        <v/>
      </c>
      <c r="J9116" s="86">
        <f t="shared" si="3"/>
        <v>0</v>
      </c>
      <c r="R9116" s="26"/>
    </row>
    <row r="9117" spans="1:18" ht="15.75" customHeight="1">
      <c r="A9117" s="26"/>
      <c r="B9117" s="86"/>
      <c r="D9117" s="26"/>
      <c r="F9117" s="87" t="str">
        <f t="shared" si="0"/>
        <v/>
      </c>
      <c r="H9117" s="26" t="str">
        <f t="shared" si="1"/>
        <v/>
      </c>
      <c r="I9117" s="26" t="str">
        <f t="shared" si="2"/>
        <v/>
      </c>
      <c r="J9117" s="86">
        <f t="shared" si="3"/>
        <v>0</v>
      </c>
      <c r="R9117" s="26"/>
    </row>
    <row r="9118" spans="1:18" ht="15.75" customHeight="1">
      <c r="A9118" s="26"/>
      <c r="B9118" s="86"/>
      <c r="D9118" s="26"/>
      <c r="F9118" s="87" t="str">
        <f t="shared" si="0"/>
        <v/>
      </c>
      <c r="H9118" s="26" t="str">
        <f t="shared" si="1"/>
        <v/>
      </c>
      <c r="I9118" s="26" t="str">
        <f t="shared" si="2"/>
        <v/>
      </c>
      <c r="J9118" s="86">
        <f t="shared" si="3"/>
        <v>0</v>
      </c>
      <c r="R9118" s="26"/>
    </row>
    <row r="9119" spans="1:18" ht="15.75" customHeight="1">
      <c r="A9119" s="26"/>
      <c r="B9119" s="86"/>
      <c r="D9119" s="26"/>
      <c r="F9119" s="87" t="str">
        <f t="shared" si="0"/>
        <v/>
      </c>
      <c r="H9119" s="26" t="str">
        <f t="shared" si="1"/>
        <v/>
      </c>
      <c r="I9119" s="26" t="str">
        <f t="shared" si="2"/>
        <v/>
      </c>
      <c r="J9119" s="86">
        <f t="shared" si="3"/>
        <v>0</v>
      </c>
      <c r="R9119" s="26"/>
    </row>
    <row r="9120" spans="1:18" ht="15.75" customHeight="1">
      <c r="A9120" s="26"/>
      <c r="B9120" s="86"/>
      <c r="D9120" s="26"/>
      <c r="F9120" s="87" t="str">
        <f t="shared" si="0"/>
        <v/>
      </c>
      <c r="H9120" s="26" t="str">
        <f t="shared" si="1"/>
        <v/>
      </c>
      <c r="I9120" s="26" t="str">
        <f t="shared" si="2"/>
        <v/>
      </c>
      <c r="J9120" s="86">
        <f t="shared" si="3"/>
        <v>0</v>
      </c>
      <c r="R9120" s="26"/>
    </row>
    <row r="9121" spans="1:18" ht="15.75" customHeight="1">
      <c r="A9121" s="26"/>
      <c r="B9121" s="86"/>
      <c r="D9121" s="26"/>
      <c r="F9121" s="87" t="str">
        <f t="shared" si="0"/>
        <v/>
      </c>
      <c r="H9121" s="26" t="str">
        <f t="shared" si="1"/>
        <v/>
      </c>
      <c r="I9121" s="26" t="str">
        <f t="shared" si="2"/>
        <v/>
      </c>
      <c r="J9121" s="86">
        <f t="shared" si="3"/>
        <v>0</v>
      </c>
      <c r="R9121" s="26"/>
    </row>
    <row r="9122" spans="1:18" ht="15.75" customHeight="1">
      <c r="A9122" s="26"/>
      <c r="B9122" s="86"/>
      <c r="D9122" s="26"/>
      <c r="F9122" s="87" t="str">
        <f t="shared" si="0"/>
        <v/>
      </c>
      <c r="H9122" s="26" t="str">
        <f t="shared" si="1"/>
        <v/>
      </c>
      <c r="I9122" s="26" t="str">
        <f t="shared" si="2"/>
        <v/>
      </c>
      <c r="J9122" s="86">
        <f t="shared" si="3"/>
        <v>0</v>
      </c>
      <c r="R9122" s="26"/>
    </row>
    <row r="9123" spans="1:18" ht="15.75" customHeight="1">
      <c r="A9123" s="26"/>
      <c r="B9123" s="86"/>
      <c r="D9123" s="26"/>
      <c r="F9123" s="87" t="str">
        <f t="shared" si="0"/>
        <v/>
      </c>
      <c r="H9123" s="26" t="str">
        <f t="shared" si="1"/>
        <v/>
      </c>
      <c r="I9123" s="26" t="str">
        <f t="shared" si="2"/>
        <v/>
      </c>
      <c r="J9123" s="86">
        <f t="shared" si="3"/>
        <v>0</v>
      </c>
      <c r="R9123" s="26"/>
    </row>
    <row r="9124" spans="1:18" ht="15.75" customHeight="1">
      <c r="A9124" s="26"/>
      <c r="B9124" s="86"/>
      <c r="D9124" s="26"/>
      <c r="F9124" s="87" t="str">
        <f t="shared" si="0"/>
        <v/>
      </c>
      <c r="H9124" s="26" t="str">
        <f t="shared" si="1"/>
        <v/>
      </c>
      <c r="I9124" s="26" t="str">
        <f t="shared" si="2"/>
        <v/>
      </c>
      <c r="J9124" s="86">
        <f t="shared" si="3"/>
        <v>0</v>
      </c>
      <c r="R9124" s="26"/>
    </row>
    <row r="9125" spans="1:18" ht="15.75" customHeight="1">
      <c r="A9125" s="26"/>
      <c r="B9125" s="86"/>
      <c r="D9125" s="26"/>
      <c r="F9125" s="87" t="str">
        <f t="shared" si="0"/>
        <v/>
      </c>
      <c r="H9125" s="26" t="str">
        <f t="shared" si="1"/>
        <v/>
      </c>
      <c r="I9125" s="26" t="str">
        <f t="shared" si="2"/>
        <v/>
      </c>
      <c r="J9125" s="86">
        <f t="shared" si="3"/>
        <v>0</v>
      </c>
      <c r="R9125" s="26"/>
    </row>
    <row r="9126" spans="1:18" ht="15.75" customHeight="1">
      <c r="A9126" s="26"/>
      <c r="B9126" s="86"/>
      <c r="D9126" s="26"/>
      <c r="F9126" s="87" t="str">
        <f t="shared" si="0"/>
        <v/>
      </c>
      <c r="H9126" s="26" t="str">
        <f t="shared" si="1"/>
        <v/>
      </c>
      <c r="I9126" s="26" t="str">
        <f t="shared" si="2"/>
        <v/>
      </c>
      <c r="J9126" s="86">
        <f t="shared" si="3"/>
        <v>0</v>
      </c>
      <c r="R9126" s="26"/>
    </row>
    <row r="9127" spans="1:18" ht="15.75" customHeight="1">
      <c r="A9127" s="26"/>
      <c r="B9127" s="86"/>
      <c r="D9127" s="26"/>
      <c r="F9127" s="87" t="str">
        <f t="shared" si="0"/>
        <v/>
      </c>
      <c r="H9127" s="26" t="str">
        <f t="shared" si="1"/>
        <v/>
      </c>
      <c r="I9127" s="26" t="str">
        <f t="shared" si="2"/>
        <v/>
      </c>
      <c r="J9127" s="86">
        <f t="shared" si="3"/>
        <v>0</v>
      </c>
      <c r="R9127" s="26"/>
    </row>
    <row r="9128" spans="1:18" ht="15.75" customHeight="1">
      <c r="A9128" s="26"/>
      <c r="B9128" s="86"/>
      <c r="D9128" s="26"/>
      <c r="F9128" s="87" t="str">
        <f t="shared" si="0"/>
        <v/>
      </c>
      <c r="H9128" s="26" t="str">
        <f t="shared" si="1"/>
        <v/>
      </c>
      <c r="I9128" s="26" t="str">
        <f t="shared" si="2"/>
        <v/>
      </c>
      <c r="J9128" s="86">
        <f t="shared" si="3"/>
        <v>0</v>
      </c>
      <c r="R9128" s="26"/>
    </row>
    <row r="9129" spans="1:18" ht="15.75" customHeight="1">
      <c r="A9129" s="26"/>
      <c r="B9129" s="86"/>
      <c r="D9129" s="26"/>
      <c r="F9129" s="87" t="str">
        <f t="shared" si="0"/>
        <v/>
      </c>
      <c r="H9129" s="26" t="str">
        <f t="shared" si="1"/>
        <v/>
      </c>
      <c r="I9129" s="26" t="str">
        <f t="shared" si="2"/>
        <v/>
      </c>
      <c r="J9129" s="86">
        <f t="shared" si="3"/>
        <v>0</v>
      </c>
      <c r="R9129" s="26"/>
    </row>
    <row r="9130" spans="1:18" ht="15.75" customHeight="1">
      <c r="A9130" s="26"/>
      <c r="B9130" s="86"/>
      <c r="D9130" s="26"/>
      <c r="F9130" s="87" t="str">
        <f t="shared" si="0"/>
        <v/>
      </c>
      <c r="H9130" s="26" t="str">
        <f t="shared" si="1"/>
        <v/>
      </c>
      <c r="I9130" s="26" t="str">
        <f t="shared" si="2"/>
        <v/>
      </c>
      <c r="J9130" s="86">
        <f t="shared" si="3"/>
        <v>0</v>
      </c>
      <c r="R9130" s="26"/>
    </row>
    <row r="9131" spans="1:18" ht="15.75" customHeight="1">
      <c r="A9131" s="26"/>
      <c r="B9131" s="86"/>
      <c r="D9131" s="26"/>
      <c r="F9131" s="87" t="str">
        <f t="shared" si="0"/>
        <v/>
      </c>
      <c r="H9131" s="26" t="str">
        <f t="shared" si="1"/>
        <v/>
      </c>
      <c r="I9131" s="26" t="str">
        <f t="shared" si="2"/>
        <v/>
      </c>
      <c r="J9131" s="86">
        <f t="shared" si="3"/>
        <v>0</v>
      </c>
      <c r="R9131" s="26"/>
    </row>
    <row r="9132" spans="1:18" ht="15.75" customHeight="1">
      <c r="A9132" s="26"/>
      <c r="B9132" s="86"/>
      <c r="D9132" s="26"/>
      <c r="F9132" s="87" t="str">
        <f t="shared" si="0"/>
        <v/>
      </c>
      <c r="H9132" s="26" t="str">
        <f t="shared" si="1"/>
        <v/>
      </c>
      <c r="I9132" s="26" t="str">
        <f t="shared" si="2"/>
        <v/>
      </c>
      <c r="J9132" s="86">
        <f t="shared" si="3"/>
        <v>0</v>
      </c>
      <c r="R9132" s="26"/>
    </row>
    <row r="9133" spans="1:18" ht="15.75" customHeight="1">
      <c r="A9133" s="26"/>
      <c r="B9133" s="86"/>
      <c r="D9133" s="26"/>
      <c r="F9133" s="87" t="str">
        <f t="shared" si="0"/>
        <v/>
      </c>
      <c r="H9133" s="26" t="str">
        <f t="shared" si="1"/>
        <v/>
      </c>
      <c r="I9133" s="26" t="str">
        <f t="shared" si="2"/>
        <v/>
      </c>
      <c r="J9133" s="86">
        <f t="shared" si="3"/>
        <v>0</v>
      </c>
      <c r="R9133" s="26"/>
    </row>
    <row r="9134" spans="1:18" ht="15.75" customHeight="1">
      <c r="A9134" s="26"/>
      <c r="B9134" s="86"/>
      <c r="D9134" s="26"/>
      <c r="F9134" s="87" t="str">
        <f t="shared" si="0"/>
        <v/>
      </c>
      <c r="H9134" s="26" t="str">
        <f t="shared" si="1"/>
        <v/>
      </c>
      <c r="I9134" s="26" t="str">
        <f t="shared" si="2"/>
        <v/>
      </c>
      <c r="J9134" s="86">
        <f t="shared" si="3"/>
        <v>0</v>
      </c>
      <c r="R9134" s="26"/>
    </row>
    <row r="9135" spans="1:18" ht="15.75" customHeight="1">
      <c r="A9135" s="26"/>
      <c r="B9135" s="86"/>
      <c r="D9135" s="26"/>
      <c r="F9135" s="87" t="str">
        <f t="shared" si="0"/>
        <v/>
      </c>
      <c r="H9135" s="26" t="str">
        <f t="shared" si="1"/>
        <v/>
      </c>
      <c r="I9135" s="26" t="str">
        <f t="shared" si="2"/>
        <v/>
      </c>
      <c r="J9135" s="86">
        <f t="shared" si="3"/>
        <v>0</v>
      </c>
      <c r="R9135" s="26"/>
    </row>
    <row r="9136" spans="1:18" ht="15.75" customHeight="1">
      <c r="A9136" s="26"/>
      <c r="B9136" s="86"/>
      <c r="D9136" s="26"/>
      <c r="F9136" s="87" t="str">
        <f t="shared" si="0"/>
        <v/>
      </c>
      <c r="H9136" s="26" t="str">
        <f t="shared" si="1"/>
        <v/>
      </c>
      <c r="I9136" s="26" t="str">
        <f t="shared" si="2"/>
        <v/>
      </c>
      <c r="J9136" s="86">
        <f t="shared" si="3"/>
        <v>0</v>
      </c>
      <c r="R9136" s="26"/>
    </row>
    <row r="9137" spans="1:18" ht="15.75" customHeight="1">
      <c r="A9137" s="26"/>
      <c r="B9137" s="86"/>
      <c r="D9137" s="26"/>
      <c r="F9137" s="87" t="str">
        <f t="shared" si="0"/>
        <v/>
      </c>
      <c r="H9137" s="26" t="str">
        <f t="shared" si="1"/>
        <v/>
      </c>
      <c r="I9137" s="26" t="str">
        <f t="shared" si="2"/>
        <v/>
      </c>
      <c r="J9137" s="86">
        <f t="shared" si="3"/>
        <v>0</v>
      </c>
      <c r="R9137" s="26"/>
    </row>
    <row r="9138" spans="1:18" ht="15.75" customHeight="1">
      <c r="A9138" s="26"/>
      <c r="B9138" s="86"/>
      <c r="D9138" s="26"/>
      <c r="F9138" s="87" t="str">
        <f t="shared" si="0"/>
        <v/>
      </c>
      <c r="H9138" s="26" t="str">
        <f t="shared" si="1"/>
        <v/>
      </c>
      <c r="I9138" s="26" t="str">
        <f t="shared" si="2"/>
        <v/>
      </c>
      <c r="J9138" s="86">
        <f t="shared" si="3"/>
        <v>0</v>
      </c>
      <c r="R9138" s="26"/>
    </row>
    <row r="9139" spans="1:18" ht="15.75" customHeight="1">
      <c r="A9139" s="26"/>
      <c r="B9139" s="86"/>
      <c r="D9139" s="26"/>
      <c r="F9139" s="87" t="str">
        <f t="shared" si="0"/>
        <v/>
      </c>
      <c r="H9139" s="26" t="str">
        <f t="shared" si="1"/>
        <v/>
      </c>
      <c r="I9139" s="26" t="str">
        <f t="shared" si="2"/>
        <v/>
      </c>
      <c r="J9139" s="86">
        <f t="shared" si="3"/>
        <v>0</v>
      </c>
      <c r="R9139" s="26"/>
    </row>
    <row r="9140" spans="1:18" ht="15.75" customHeight="1">
      <c r="A9140" s="26"/>
      <c r="B9140" s="86"/>
      <c r="D9140" s="26"/>
      <c r="F9140" s="87" t="str">
        <f t="shared" si="0"/>
        <v/>
      </c>
      <c r="H9140" s="26" t="str">
        <f t="shared" si="1"/>
        <v/>
      </c>
      <c r="I9140" s="26" t="str">
        <f t="shared" si="2"/>
        <v/>
      </c>
      <c r="J9140" s="86">
        <f t="shared" si="3"/>
        <v>0</v>
      </c>
      <c r="R9140" s="26"/>
    </row>
    <row r="9141" spans="1:18" ht="15.75" customHeight="1">
      <c r="A9141" s="26"/>
      <c r="B9141" s="86"/>
      <c r="D9141" s="26"/>
      <c r="F9141" s="87" t="str">
        <f t="shared" si="0"/>
        <v/>
      </c>
      <c r="H9141" s="26" t="str">
        <f t="shared" si="1"/>
        <v/>
      </c>
      <c r="I9141" s="26" t="str">
        <f t="shared" si="2"/>
        <v/>
      </c>
      <c r="J9141" s="86">
        <f t="shared" si="3"/>
        <v>0</v>
      </c>
      <c r="R9141" s="26"/>
    </row>
    <row r="9142" spans="1:18" ht="15.75" customHeight="1">
      <c r="A9142" s="26"/>
      <c r="B9142" s="86"/>
      <c r="D9142" s="26"/>
      <c r="F9142" s="87" t="str">
        <f t="shared" si="0"/>
        <v/>
      </c>
      <c r="H9142" s="26" t="str">
        <f t="shared" si="1"/>
        <v/>
      </c>
      <c r="I9142" s="26" t="str">
        <f t="shared" si="2"/>
        <v/>
      </c>
      <c r="J9142" s="86">
        <f t="shared" si="3"/>
        <v>0</v>
      </c>
      <c r="R9142" s="26"/>
    </row>
    <row r="9143" spans="1:18" ht="15.75" customHeight="1">
      <c r="A9143" s="26"/>
      <c r="B9143" s="86"/>
      <c r="D9143" s="26"/>
      <c r="F9143" s="87" t="str">
        <f t="shared" si="0"/>
        <v/>
      </c>
      <c r="H9143" s="26" t="str">
        <f t="shared" si="1"/>
        <v/>
      </c>
      <c r="I9143" s="26" t="str">
        <f t="shared" si="2"/>
        <v/>
      </c>
      <c r="J9143" s="86">
        <f t="shared" si="3"/>
        <v>0</v>
      </c>
      <c r="R9143" s="26"/>
    </row>
    <row r="9144" spans="1:18" ht="15.75" customHeight="1">
      <c r="A9144" s="26"/>
      <c r="B9144" s="86"/>
      <c r="D9144" s="26"/>
      <c r="F9144" s="87" t="str">
        <f t="shared" si="0"/>
        <v/>
      </c>
      <c r="H9144" s="26" t="str">
        <f t="shared" si="1"/>
        <v/>
      </c>
      <c r="I9144" s="26" t="str">
        <f t="shared" si="2"/>
        <v/>
      </c>
      <c r="J9144" s="86">
        <f t="shared" si="3"/>
        <v>0</v>
      </c>
      <c r="R9144" s="26"/>
    </row>
    <row r="9145" spans="1:18" ht="15.75" customHeight="1">
      <c r="A9145" s="26"/>
      <c r="B9145" s="86"/>
      <c r="D9145" s="26"/>
      <c r="F9145" s="87" t="str">
        <f t="shared" si="0"/>
        <v/>
      </c>
      <c r="H9145" s="26" t="str">
        <f t="shared" si="1"/>
        <v/>
      </c>
      <c r="I9145" s="26" t="str">
        <f t="shared" si="2"/>
        <v/>
      </c>
      <c r="J9145" s="86">
        <f t="shared" si="3"/>
        <v>0</v>
      </c>
      <c r="R9145" s="26"/>
    </row>
    <row r="9146" spans="1:18" ht="15.75" customHeight="1">
      <c r="A9146" s="26"/>
      <c r="B9146" s="86"/>
      <c r="D9146" s="26"/>
      <c r="F9146" s="87" t="str">
        <f t="shared" si="0"/>
        <v/>
      </c>
      <c r="H9146" s="26" t="str">
        <f t="shared" si="1"/>
        <v/>
      </c>
      <c r="I9146" s="26" t="str">
        <f t="shared" si="2"/>
        <v/>
      </c>
      <c r="J9146" s="86">
        <f t="shared" si="3"/>
        <v>0</v>
      </c>
      <c r="R9146" s="26"/>
    </row>
    <row r="9147" spans="1:18" ht="15.75" customHeight="1">
      <c r="A9147" s="26"/>
      <c r="B9147" s="86"/>
      <c r="D9147" s="26"/>
      <c r="F9147" s="87" t="str">
        <f t="shared" si="0"/>
        <v/>
      </c>
      <c r="H9147" s="26" t="str">
        <f t="shared" si="1"/>
        <v/>
      </c>
      <c r="I9147" s="26" t="str">
        <f t="shared" si="2"/>
        <v/>
      </c>
      <c r="J9147" s="86">
        <f t="shared" si="3"/>
        <v>0</v>
      </c>
      <c r="R9147" s="26"/>
    </row>
    <row r="9148" spans="1:18" ht="15.75" customHeight="1">
      <c r="A9148" s="26"/>
      <c r="B9148" s="86"/>
      <c r="D9148" s="26"/>
      <c r="F9148" s="87" t="str">
        <f t="shared" si="0"/>
        <v/>
      </c>
      <c r="H9148" s="26" t="str">
        <f t="shared" si="1"/>
        <v/>
      </c>
      <c r="I9148" s="26" t="str">
        <f t="shared" si="2"/>
        <v/>
      </c>
      <c r="J9148" s="86">
        <f t="shared" si="3"/>
        <v>0</v>
      </c>
      <c r="R9148" s="26"/>
    </row>
    <row r="9149" spans="1:18" ht="15.75" customHeight="1">
      <c r="A9149" s="26"/>
      <c r="B9149" s="86"/>
      <c r="D9149" s="26"/>
      <c r="F9149" s="87" t="str">
        <f t="shared" si="0"/>
        <v/>
      </c>
      <c r="H9149" s="26" t="str">
        <f t="shared" si="1"/>
        <v/>
      </c>
      <c r="I9149" s="26" t="str">
        <f t="shared" si="2"/>
        <v/>
      </c>
      <c r="J9149" s="86">
        <f t="shared" si="3"/>
        <v>0</v>
      </c>
      <c r="R9149" s="26"/>
    </row>
    <row r="9150" spans="1:18" ht="15.75" customHeight="1">
      <c r="A9150" s="26"/>
      <c r="B9150" s="86"/>
      <c r="D9150" s="26"/>
      <c r="F9150" s="87" t="str">
        <f t="shared" si="0"/>
        <v/>
      </c>
      <c r="H9150" s="26" t="str">
        <f t="shared" si="1"/>
        <v/>
      </c>
      <c r="I9150" s="26" t="str">
        <f t="shared" si="2"/>
        <v/>
      </c>
      <c r="J9150" s="86">
        <f t="shared" si="3"/>
        <v>0</v>
      </c>
      <c r="R9150" s="26"/>
    </row>
    <row r="9151" spans="1:18" ht="15.75" customHeight="1">
      <c r="A9151" s="26"/>
      <c r="B9151" s="86"/>
      <c r="D9151" s="26"/>
      <c r="F9151" s="87" t="str">
        <f t="shared" si="0"/>
        <v/>
      </c>
      <c r="H9151" s="26" t="str">
        <f t="shared" si="1"/>
        <v/>
      </c>
      <c r="I9151" s="26" t="str">
        <f t="shared" si="2"/>
        <v/>
      </c>
      <c r="J9151" s="86">
        <f t="shared" si="3"/>
        <v>0</v>
      </c>
      <c r="R9151" s="26"/>
    </row>
    <row r="9152" spans="1:18" ht="15.75" customHeight="1">
      <c r="A9152" s="26"/>
      <c r="B9152" s="86"/>
      <c r="D9152" s="26"/>
      <c r="F9152" s="87" t="str">
        <f t="shared" si="0"/>
        <v/>
      </c>
      <c r="H9152" s="26" t="str">
        <f t="shared" si="1"/>
        <v/>
      </c>
      <c r="I9152" s="26" t="str">
        <f t="shared" si="2"/>
        <v/>
      </c>
      <c r="J9152" s="86">
        <f t="shared" si="3"/>
        <v>0</v>
      </c>
      <c r="R9152" s="26"/>
    </row>
    <row r="9153" spans="1:18" ht="15.75" customHeight="1">
      <c r="A9153" s="26"/>
      <c r="B9153" s="86"/>
      <c r="D9153" s="26"/>
      <c r="F9153" s="87" t="str">
        <f t="shared" si="0"/>
        <v/>
      </c>
      <c r="H9153" s="26" t="str">
        <f t="shared" si="1"/>
        <v/>
      </c>
      <c r="I9153" s="26" t="str">
        <f t="shared" si="2"/>
        <v/>
      </c>
      <c r="J9153" s="86">
        <f t="shared" si="3"/>
        <v>0</v>
      </c>
      <c r="R9153" s="26"/>
    </row>
    <row r="9154" spans="1:18" ht="15.75" customHeight="1">
      <c r="A9154" s="26"/>
      <c r="B9154" s="86"/>
      <c r="D9154" s="26"/>
      <c r="F9154" s="87" t="str">
        <f t="shared" si="0"/>
        <v/>
      </c>
      <c r="H9154" s="26" t="str">
        <f t="shared" si="1"/>
        <v/>
      </c>
      <c r="I9154" s="26" t="str">
        <f t="shared" si="2"/>
        <v/>
      </c>
      <c r="J9154" s="86">
        <f t="shared" si="3"/>
        <v>0</v>
      </c>
      <c r="R9154" s="26"/>
    </row>
    <row r="9155" spans="1:18" ht="15.75" customHeight="1">
      <c r="A9155" s="26"/>
      <c r="B9155" s="86"/>
      <c r="D9155" s="26"/>
      <c r="F9155" s="87" t="str">
        <f t="shared" si="0"/>
        <v/>
      </c>
      <c r="H9155" s="26" t="str">
        <f t="shared" si="1"/>
        <v/>
      </c>
      <c r="I9155" s="26" t="str">
        <f t="shared" si="2"/>
        <v/>
      </c>
      <c r="J9155" s="86">
        <f t="shared" si="3"/>
        <v>0</v>
      </c>
      <c r="R9155" s="26"/>
    </row>
    <row r="9156" spans="1:18" ht="15.75" customHeight="1">
      <c r="A9156" s="26"/>
      <c r="B9156" s="86"/>
      <c r="D9156" s="26"/>
      <c r="F9156" s="87" t="str">
        <f t="shared" si="0"/>
        <v/>
      </c>
      <c r="H9156" s="26" t="str">
        <f t="shared" si="1"/>
        <v/>
      </c>
      <c r="I9156" s="26" t="str">
        <f t="shared" si="2"/>
        <v/>
      </c>
      <c r="J9156" s="86">
        <f t="shared" si="3"/>
        <v>0</v>
      </c>
      <c r="R9156" s="26"/>
    </row>
    <row r="9157" spans="1:18" ht="15.75" customHeight="1">
      <c r="A9157" s="26"/>
      <c r="B9157" s="86"/>
      <c r="D9157" s="26"/>
      <c r="F9157" s="87" t="str">
        <f t="shared" si="0"/>
        <v/>
      </c>
      <c r="H9157" s="26" t="str">
        <f t="shared" si="1"/>
        <v/>
      </c>
      <c r="I9157" s="26" t="str">
        <f t="shared" si="2"/>
        <v/>
      </c>
      <c r="J9157" s="86">
        <f t="shared" si="3"/>
        <v>0</v>
      </c>
      <c r="R9157" s="26"/>
    </row>
    <row r="9158" spans="1:18" ht="15.75" customHeight="1">
      <c r="A9158" s="26"/>
      <c r="B9158" s="86"/>
      <c r="D9158" s="26"/>
      <c r="F9158" s="87" t="str">
        <f t="shared" si="0"/>
        <v/>
      </c>
      <c r="H9158" s="26" t="str">
        <f t="shared" si="1"/>
        <v/>
      </c>
      <c r="I9158" s="26" t="str">
        <f t="shared" si="2"/>
        <v/>
      </c>
      <c r="J9158" s="86">
        <f t="shared" si="3"/>
        <v>0</v>
      </c>
      <c r="R9158" s="26"/>
    </row>
    <row r="9159" spans="1:18" ht="15.75" customHeight="1">
      <c r="A9159" s="26"/>
      <c r="B9159" s="86"/>
      <c r="D9159" s="26"/>
      <c r="F9159" s="87" t="str">
        <f t="shared" si="0"/>
        <v/>
      </c>
      <c r="H9159" s="26" t="str">
        <f t="shared" si="1"/>
        <v/>
      </c>
      <c r="I9159" s="26" t="str">
        <f t="shared" si="2"/>
        <v/>
      </c>
      <c r="J9159" s="86">
        <f t="shared" si="3"/>
        <v>0</v>
      </c>
      <c r="R9159" s="26"/>
    </row>
    <row r="9160" spans="1:18" ht="15.75" customHeight="1">
      <c r="A9160" s="26"/>
      <c r="B9160" s="86"/>
      <c r="D9160" s="26"/>
      <c r="F9160" s="87" t="str">
        <f t="shared" si="0"/>
        <v/>
      </c>
      <c r="H9160" s="26" t="str">
        <f t="shared" si="1"/>
        <v/>
      </c>
      <c r="I9160" s="26" t="str">
        <f t="shared" si="2"/>
        <v/>
      </c>
      <c r="J9160" s="86">
        <f t="shared" si="3"/>
        <v>0</v>
      </c>
      <c r="R9160" s="26"/>
    </row>
    <row r="9161" spans="1:18" ht="15.75" customHeight="1">
      <c r="A9161" s="26"/>
      <c r="B9161" s="86"/>
      <c r="D9161" s="26"/>
      <c r="F9161" s="87" t="str">
        <f t="shared" si="0"/>
        <v/>
      </c>
      <c r="H9161" s="26" t="str">
        <f t="shared" si="1"/>
        <v/>
      </c>
      <c r="I9161" s="26" t="str">
        <f t="shared" si="2"/>
        <v/>
      </c>
      <c r="J9161" s="86">
        <f t="shared" si="3"/>
        <v>0</v>
      </c>
      <c r="R9161" s="26"/>
    </row>
    <row r="9162" spans="1:18" ht="15.75" customHeight="1">
      <c r="A9162" s="26"/>
      <c r="B9162" s="86"/>
      <c r="D9162" s="26"/>
      <c r="F9162" s="87" t="str">
        <f t="shared" si="0"/>
        <v/>
      </c>
      <c r="H9162" s="26" t="str">
        <f t="shared" si="1"/>
        <v/>
      </c>
      <c r="I9162" s="26" t="str">
        <f t="shared" si="2"/>
        <v/>
      </c>
      <c r="J9162" s="86">
        <f t="shared" si="3"/>
        <v>0</v>
      </c>
      <c r="R9162" s="26"/>
    </row>
    <row r="9163" spans="1:18" ht="15.75" customHeight="1">
      <c r="A9163" s="26"/>
      <c r="B9163" s="86"/>
      <c r="D9163" s="26"/>
      <c r="F9163" s="87" t="str">
        <f t="shared" si="0"/>
        <v/>
      </c>
      <c r="H9163" s="26" t="str">
        <f t="shared" si="1"/>
        <v/>
      </c>
      <c r="I9163" s="26" t="str">
        <f t="shared" si="2"/>
        <v/>
      </c>
      <c r="J9163" s="86">
        <f t="shared" si="3"/>
        <v>0</v>
      </c>
      <c r="R9163" s="26"/>
    </row>
    <row r="9164" spans="1:18" ht="15.75" customHeight="1">
      <c r="A9164" s="26"/>
      <c r="B9164" s="86"/>
      <c r="D9164" s="26"/>
      <c r="F9164" s="87" t="str">
        <f t="shared" si="0"/>
        <v/>
      </c>
      <c r="H9164" s="26" t="str">
        <f t="shared" si="1"/>
        <v/>
      </c>
      <c r="I9164" s="26" t="str">
        <f t="shared" si="2"/>
        <v/>
      </c>
      <c r="J9164" s="86">
        <f t="shared" si="3"/>
        <v>0</v>
      </c>
      <c r="R9164" s="26"/>
    </row>
    <row r="9165" spans="1:18" ht="15.75" customHeight="1">
      <c r="A9165" s="26"/>
      <c r="B9165" s="86"/>
      <c r="D9165" s="26"/>
      <c r="F9165" s="87" t="str">
        <f t="shared" si="0"/>
        <v/>
      </c>
      <c r="H9165" s="26" t="str">
        <f t="shared" si="1"/>
        <v/>
      </c>
      <c r="I9165" s="26" t="str">
        <f t="shared" si="2"/>
        <v/>
      </c>
      <c r="J9165" s="86">
        <f t="shared" si="3"/>
        <v>0</v>
      </c>
      <c r="R9165" s="26"/>
    </row>
    <row r="9166" spans="1:18" ht="15.75" customHeight="1">
      <c r="A9166" s="26"/>
      <c r="B9166" s="86"/>
      <c r="D9166" s="26"/>
      <c r="F9166" s="87" t="str">
        <f t="shared" si="0"/>
        <v/>
      </c>
      <c r="H9166" s="26" t="str">
        <f t="shared" si="1"/>
        <v/>
      </c>
      <c r="I9166" s="26" t="str">
        <f t="shared" si="2"/>
        <v/>
      </c>
      <c r="J9166" s="86">
        <f t="shared" si="3"/>
        <v>0</v>
      </c>
      <c r="R9166" s="26"/>
    </row>
    <row r="9167" spans="1:18" ht="15.75" customHeight="1">
      <c r="A9167" s="26"/>
      <c r="B9167" s="86"/>
      <c r="D9167" s="26"/>
      <c r="F9167" s="87" t="str">
        <f t="shared" si="0"/>
        <v/>
      </c>
      <c r="H9167" s="26" t="str">
        <f t="shared" si="1"/>
        <v/>
      </c>
      <c r="I9167" s="26" t="str">
        <f t="shared" si="2"/>
        <v/>
      </c>
      <c r="J9167" s="86">
        <f t="shared" si="3"/>
        <v>0</v>
      </c>
      <c r="R9167" s="26"/>
    </row>
    <row r="9168" spans="1:18" ht="15.75" customHeight="1">
      <c r="A9168" s="26"/>
      <c r="B9168" s="86"/>
      <c r="D9168" s="26"/>
      <c r="F9168" s="87" t="str">
        <f t="shared" si="0"/>
        <v/>
      </c>
      <c r="H9168" s="26" t="str">
        <f t="shared" si="1"/>
        <v/>
      </c>
      <c r="I9168" s="26" t="str">
        <f t="shared" si="2"/>
        <v/>
      </c>
      <c r="J9168" s="86">
        <f t="shared" si="3"/>
        <v>0</v>
      </c>
      <c r="R9168" s="26"/>
    </row>
    <row r="9169" spans="1:18" ht="15.75" customHeight="1">
      <c r="A9169" s="26"/>
      <c r="B9169" s="86"/>
      <c r="D9169" s="26"/>
      <c r="F9169" s="87" t="str">
        <f t="shared" si="0"/>
        <v/>
      </c>
      <c r="H9169" s="26" t="str">
        <f t="shared" si="1"/>
        <v/>
      </c>
      <c r="I9169" s="26" t="str">
        <f t="shared" si="2"/>
        <v/>
      </c>
      <c r="J9169" s="86">
        <f t="shared" si="3"/>
        <v>0</v>
      </c>
      <c r="R9169" s="26"/>
    </row>
    <row r="9170" spans="1:18" ht="15.75" customHeight="1">
      <c r="A9170" s="26"/>
      <c r="B9170" s="86"/>
      <c r="D9170" s="26"/>
      <c r="F9170" s="87" t="str">
        <f t="shared" si="0"/>
        <v/>
      </c>
      <c r="H9170" s="26" t="str">
        <f t="shared" si="1"/>
        <v/>
      </c>
      <c r="I9170" s="26" t="str">
        <f t="shared" si="2"/>
        <v/>
      </c>
      <c r="J9170" s="86">
        <f t="shared" si="3"/>
        <v>0</v>
      </c>
      <c r="R9170" s="26"/>
    </row>
    <row r="9171" spans="1:18" ht="15.75" customHeight="1">
      <c r="A9171" s="26"/>
      <c r="B9171" s="86"/>
      <c r="D9171" s="26"/>
      <c r="F9171" s="87" t="str">
        <f t="shared" si="0"/>
        <v/>
      </c>
      <c r="H9171" s="26" t="str">
        <f t="shared" si="1"/>
        <v/>
      </c>
      <c r="I9171" s="26" t="str">
        <f t="shared" si="2"/>
        <v/>
      </c>
      <c r="J9171" s="86">
        <f t="shared" si="3"/>
        <v>0</v>
      </c>
      <c r="R9171" s="26"/>
    </row>
    <row r="9172" spans="1:18" ht="15.75" customHeight="1">
      <c r="A9172" s="26"/>
      <c r="B9172" s="86"/>
      <c r="D9172" s="26"/>
      <c r="F9172" s="87" t="str">
        <f t="shared" si="0"/>
        <v/>
      </c>
      <c r="H9172" s="26" t="str">
        <f t="shared" si="1"/>
        <v/>
      </c>
      <c r="I9172" s="26" t="str">
        <f t="shared" si="2"/>
        <v/>
      </c>
      <c r="J9172" s="86">
        <f t="shared" si="3"/>
        <v>0</v>
      </c>
      <c r="R9172" s="26"/>
    </row>
    <row r="9173" spans="1:18" ht="15.75" customHeight="1">
      <c r="A9173" s="26"/>
      <c r="B9173" s="86"/>
      <c r="D9173" s="26"/>
      <c r="F9173" s="87" t="str">
        <f t="shared" si="0"/>
        <v/>
      </c>
      <c r="H9173" s="26" t="str">
        <f t="shared" si="1"/>
        <v/>
      </c>
      <c r="I9173" s="26" t="str">
        <f t="shared" si="2"/>
        <v/>
      </c>
      <c r="J9173" s="86">
        <f t="shared" si="3"/>
        <v>0</v>
      </c>
      <c r="R9173" s="26"/>
    </row>
    <row r="9174" spans="1:18" ht="15.75" customHeight="1">
      <c r="A9174" s="26"/>
      <c r="B9174" s="86"/>
      <c r="D9174" s="26"/>
      <c r="F9174" s="87" t="str">
        <f t="shared" si="0"/>
        <v/>
      </c>
      <c r="H9174" s="26" t="str">
        <f t="shared" si="1"/>
        <v/>
      </c>
      <c r="I9174" s="26" t="str">
        <f t="shared" si="2"/>
        <v/>
      </c>
      <c r="J9174" s="86">
        <f t="shared" si="3"/>
        <v>0</v>
      </c>
      <c r="R9174" s="26"/>
    </row>
    <row r="9175" spans="1:18" ht="15.75" customHeight="1">
      <c r="A9175" s="26"/>
      <c r="B9175" s="86"/>
      <c r="D9175" s="26"/>
      <c r="F9175" s="87" t="str">
        <f t="shared" si="0"/>
        <v/>
      </c>
      <c r="H9175" s="26" t="str">
        <f t="shared" si="1"/>
        <v/>
      </c>
      <c r="I9175" s="26" t="str">
        <f t="shared" si="2"/>
        <v/>
      </c>
      <c r="J9175" s="86">
        <f t="shared" si="3"/>
        <v>0</v>
      </c>
      <c r="R9175" s="26"/>
    </row>
    <row r="9176" spans="1:18" ht="15.75" customHeight="1">
      <c r="A9176" s="26"/>
      <c r="B9176" s="86"/>
      <c r="D9176" s="26"/>
      <c r="F9176" s="87" t="str">
        <f t="shared" si="0"/>
        <v/>
      </c>
      <c r="H9176" s="26" t="str">
        <f t="shared" si="1"/>
        <v/>
      </c>
      <c r="I9176" s="26" t="str">
        <f t="shared" si="2"/>
        <v/>
      </c>
      <c r="J9176" s="86">
        <f t="shared" si="3"/>
        <v>0</v>
      </c>
      <c r="R9176" s="26"/>
    </row>
    <row r="9177" spans="1:18" ht="15.75" customHeight="1">
      <c r="A9177" s="26"/>
      <c r="B9177" s="86"/>
      <c r="D9177" s="26"/>
      <c r="F9177" s="87" t="str">
        <f t="shared" si="0"/>
        <v/>
      </c>
      <c r="H9177" s="26" t="str">
        <f t="shared" si="1"/>
        <v/>
      </c>
      <c r="I9177" s="26" t="str">
        <f t="shared" si="2"/>
        <v/>
      </c>
      <c r="J9177" s="86">
        <f t="shared" si="3"/>
        <v>0</v>
      </c>
      <c r="R9177" s="26"/>
    </row>
    <row r="9178" spans="1:18" ht="15.75" customHeight="1">
      <c r="A9178" s="26"/>
      <c r="B9178" s="86"/>
      <c r="D9178" s="26"/>
      <c r="F9178" s="87" t="str">
        <f t="shared" si="0"/>
        <v/>
      </c>
      <c r="H9178" s="26" t="str">
        <f t="shared" si="1"/>
        <v/>
      </c>
      <c r="I9178" s="26" t="str">
        <f t="shared" si="2"/>
        <v/>
      </c>
      <c r="J9178" s="86">
        <f t="shared" si="3"/>
        <v>0</v>
      </c>
      <c r="R9178" s="26"/>
    </row>
    <row r="9179" spans="1:18" ht="15.75" customHeight="1">
      <c r="A9179" s="26"/>
      <c r="B9179" s="86"/>
      <c r="D9179" s="26"/>
      <c r="F9179" s="87" t="str">
        <f t="shared" si="0"/>
        <v/>
      </c>
      <c r="H9179" s="26" t="str">
        <f t="shared" si="1"/>
        <v/>
      </c>
      <c r="I9179" s="26" t="str">
        <f t="shared" si="2"/>
        <v/>
      </c>
      <c r="J9179" s="86">
        <f t="shared" si="3"/>
        <v>0</v>
      </c>
      <c r="R9179" s="26"/>
    </row>
    <row r="9180" spans="1:18" ht="15.75" customHeight="1">
      <c r="A9180" s="26"/>
      <c r="B9180" s="86"/>
      <c r="D9180" s="26"/>
      <c r="F9180" s="87" t="str">
        <f t="shared" si="0"/>
        <v/>
      </c>
      <c r="H9180" s="26" t="str">
        <f t="shared" si="1"/>
        <v/>
      </c>
      <c r="I9180" s="26" t="str">
        <f t="shared" si="2"/>
        <v/>
      </c>
      <c r="J9180" s="86">
        <f t="shared" si="3"/>
        <v>0</v>
      </c>
      <c r="R9180" s="26"/>
    </row>
    <row r="9181" spans="1:18" ht="15.75" customHeight="1">
      <c r="A9181" s="26"/>
      <c r="B9181" s="86"/>
      <c r="D9181" s="26"/>
      <c r="F9181" s="87" t="str">
        <f t="shared" si="0"/>
        <v/>
      </c>
      <c r="H9181" s="26" t="str">
        <f t="shared" si="1"/>
        <v/>
      </c>
      <c r="I9181" s="26" t="str">
        <f t="shared" si="2"/>
        <v/>
      </c>
      <c r="J9181" s="86">
        <f t="shared" si="3"/>
        <v>0</v>
      </c>
      <c r="R9181" s="26"/>
    </row>
    <row r="9182" spans="1:18" ht="15.75" customHeight="1">
      <c r="A9182" s="26"/>
      <c r="B9182" s="86"/>
      <c r="D9182" s="26"/>
      <c r="F9182" s="87" t="str">
        <f t="shared" si="0"/>
        <v/>
      </c>
      <c r="H9182" s="26" t="str">
        <f t="shared" si="1"/>
        <v/>
      </c>
      <c r="I9182" s="26" t="str">
        <f t="shared" si="2"/>
        <v/>
      </c>
      <c r="J9182" s="86">
        <f t="shared" si="3"/>
        <v>0</v>
      </c>
      <c r="R9182" s="26"/>
    </row>
    <row r="9183" spans="1:18" ht="15.75" customHeight="1">
      <c r="A9183" s="26"/>
      <c r="B9183" s="86"/>
      <c r="D9183" s="26"/>
      <c r="F9183" s="87" t="str">
        <f t="shared" si="0"/>
        <v/>
      </c>
      <c r="H9183" s="26" t="str">
        <f t="shared" si="1"/>
        <v/>
      </c>
      <c r="I9183" s="26" t="str">
        <f t="shared" si="2"/>
        <v/>
      </c>
      <c r="J9183" s="86">
        <f t="shared" si="3"/>
        <v>0</v>
      </c>
      <c r="R9183" s="26"/>
    </row>
    <row r="9184" spans="1:18" ht="15.75" customHeight="1">
      <c r="A9184" s="26"/>
      <c r="B9184" s="86"/>
      <c r="D9184" s="26"/>
      <c r="F9184" s="87" t="str">
        <f t="shared" si="0"/>
        <v/>
      </c>
      <c r="H9184" s="26" t="str">
        <f t="shared" si="1"/>
        <v/>
      </c>
      <c r="I9184" s="26" t="str">
        <f t="shared" si="2"/>
        <v/>
      </c>
      <c r="J9184" s="86">
        <f t="shared" si="3"/>
        <v>0</v>
      </c>
      <c r="R9184" s="26"/>
    </row>
    <row r="9185" spans="1:18" ht="15.75" customHeight="1">
      <c r="A9185" s="26"/>
      <c r="B9185" s="86"/>
      <c r="D9185" s="26"/>
      <c r="F9185" s="87" t="str">
        <f t="shared" si="0"/>
        <v/>
      </c>
      <c r="H9185" s="26" t="str">
        <f t="shared" si="1"/>
        <v/>
      </c>
      <c r="I9185" s="26" t="str">
        <f t="shared" si="2"/>
        <v/>
      </c>
      <c r="J9185" s="86">
        <f t="shared" si="3"/>
        <v>0</v>
      </c>
      <c r="R9185" s="26"/>
    </row>
    <row r="9186" spans="1:18" ht="15.75" customHeight="1">
      <c r="A9186" s="26"/>
      <c r="B9186" s="86"/>
      <c r="D9186" s="26"/>
      <c r="F9186" s="87" t="str">
        <f t="shared" si="0"/>
        <v/>
      </c>
      <c r="H9186" s="26" t="str">
        <f t="shared" si="1"/>
        <v/>
      </c>
      <c r="I9186" s="26" t="str">
        <f t="shared" si="2"/>
        <v/>
      </c>
      <c r="J9186" s="86">
        <f t="shared" si="3"/>
        <v>0</v>
      </c>
      <c r="R9186" s="26"/>
    </row>
    <row r="9187" spans="1:18" ht="15.75" customHeight="1">
      <c r="A9187" s="26"/>
      <c r="B9187" s="86"/>
      <c r="D9187" s="26"/>
      <c r="F9187" s="87" t="str">
        <f t="shared" si="0"/>
        <v/>
      </c>
      <c r="H9187" s="26" t="str">
        <f t="shared" si="1"/>
        <v/>
      </c>
      <c r="I9187" s="26" t="str">
        <f t="shared" si="2"/>
        <v/>
      </c>
      <c r="J9187" s="86">
        <f t="shared" si="3"/>
        <v>0</v>
      </c>
      <c r="R9187" s="26"/>
    </row>
    <row r="9188" spans="1:18" ht="15.75" customHeight="1">
      <c r="A9188" s="26"/>
      <c r="B9188" s="86"/>
      <c r="D9188" s="26"/>
      <c r="F9188" s="87" t="str">
        <f t="shared" si="0"/>
        <v/>
      </c>
      <c r="H9188" s="26" t="str">
        <f t="shared" si="1"/>
        <v/>
      </c>
      <c r="I9188" s="26" t="str">
        <f t="shared" si="2"/>
        <v/>
      </c>
      <c r="J9188" s="86">
        <f t="shared" si="3"/>
        <v>0</v>
      </c>
      <c r="R9188" s="26"/>
    </row>
    <row r="9189" spans="1:18" ht="15.75" customHeight="1">
      <c r="A9189" s="26"/>
      <c r="B9189" s="86"/>
      <c r="D9189" s="26"/>
      <c r="F9189" s="87" t="str">
        <f t="shared" si="0"/>
        <v/>
      </c>
      <c r="H9189" s="26" t="str">
        <f t="shared" si="1"/>
        <v/>
      </c>
      <c r="I9189" s="26" t="str">
        <f t="shared" si="2"/>
        <v/>
      </c>
      <c r="J9189" s="86">
        <f t="shared" si="3"/>
        <v>0</v>
      </c>
      <c r="R9189" s="26"/>
    </row>
    <row r="9190" spans="1:18" ht="15.75" customHeight="1">
      <c r="A9190" s="26"/>
      <c r="B9190" s="86"/>
      <c r="D9190" s="26"/>
      <c r="F9190" s="87" t="str">
        <f t="shared" si="0"/>
        <v/>
      </c>
      <c r="H9190" s="26" t="str">
        <f t="shared" si="1"/>
        <v/>
      </c>
      <c r="I9190" s="26" t="str">
        <f t="shared" si="2"/>
        <v/>
      </c>
      <c r="J9190" s="86">
        <f t="shared" si="3"/>
        <v>0</v>
      </c>
      <c r="R9190" s="26"/>
    </row>
    <row r="9191" spans="1:18" ht="15.75" customHeight="1">
      <c r="A9191" s="26"/>
      <c r="B9191" s="86"/>
      <c r="D9191" s="26"/>
      <c r="F9191" s="87" t="str">
        <f t="shared" si="0"/>
        <v/>
      </c>
      <c r="H9191" s="26" t="str">
        <f t="shared" si="1"/>
        <v/>
      </c>
      <c r="I9191" s="26" t="str">
        <f t="shared" si="2"/>
        <v/>
      </c>
      <c r="J9191" s="86">
        <f t="shared" si="3"/>
        <v>0</v>
      </c>
      <c r="R9191" s="26"/>
    </row>
    <row r="9192" spans="1:18" ht="15.75" customHeight="1">
      <c r="A9192" s="26"/>
      <c r="B9192" s="86"/>
      <c r="D9192" s="26"/>
      <c r="F9192" s="87" t="str">
        <f t="shared" si="0"/>
        <v/>
      </c>
      <c r="H9192" s="26" t="str">
        <f t="shared" si="1"/>
        <v/>
      </c>
      <c r="I9192" s="26" t="str">
        <f t="shared" si="2"/>
        <v/>
      </c>
      <c r="J9192" s="86">
        <f t="shared" si="3"/>
        <v>0</v>
      </c>
      <c r="R9192" s="26"/>
    </row>
    <row r="9193" spans="1:18" ht="15.75" customHeight="1">
      <c r="A9193" s="26"/>
      <c r="B9193" s="86"/>
      <c r="D9193" s="26"/>
      <c r="F9193" s="87" t="str">
        <f t="shared" si="0"/>
        <v/>
      </c>
      <c r="H9193" s="26" t="str">
        <f t="shared" si="1"/>
        <v/>
      </c>
      <c r="I9193" s="26" t="str">
        <f t="shared" si="2"/>
        <v/>
      </c>
      <c r="J9193" s="86">
        <f t="shared" si="3"/>
        <v>0</v>
      </c>
      <c r="R9193" s="26"/>
    </row>
    <row r="9194" spans="1:18" ht="15.75" customHeight="1">
      <c r="A9194" s="26"/>
      <c r="B9194" s="86"/>
      <c r="D9194" s="26"/>
      <c r="F9194" s="87" t="str">
        <f t="shared" si="0"/>
        <v/>
      </c>
      <c r="H9194" s="26" t="str">
        <f t="shared" si="1"/>
        <v/>
      </c>
      <c r="I9194" s="26" t="str">
        <f t="shared" si="2"/>
        <v/>
      </c>
      <c r="J9194" s="86">
        <f t="shared" si="3"/>
        <v>0</v>
      </c>
      <c r="R9194" s="26"/>
    </row>
    <row r="9195" spans="1:18" ht="15.75" customHeight="1">
      <c r="A9195" s="26"/>
      <c r="B9195" s="86"/>
      <c r="D9195" s="26"/>
      <c r="F9195" s="87" t="str">
        <f t="shared" si="0"/>
        <v/>
      </c>
      <c r="H9195" s="26" t="str">
        <f t="shared" si="1"/>
        <v/>
      </c>
      <c r="I9195" s="26" t="str">
        <f t="shared" si="2"/>
        <v/>
      </c>
      <c r="J9195" s="86">
        <f t="shared" si="3"/>
        <v>0</v>
      </c>
      <c r="R9195" s="26"/>
    </row>
    <row r="9196" spans="1:18" ht="15.75" customHeight="1">
      <c r="A9196" s="26"/>
      <c r="B9196" s="86"/>
      <c r="D9196" s="26"/>
      <c r="F9196" s="87" t="str">
        <f t="shared" si="0"/>
        <v/>
      </c>
      <c r="H9196" s="26" t="str">
        <f t="shared" si="1"/>
        <v/>
      </c>
      <c r="I9196" s="26" t="str">
        <f t="shared" si="2"/>
        <v/>
      </c>
      <c r="J9196" s="86">
        <f t="shared" si="3"/>
        <v>0</v>
      </c>
      <c r="R9196" s="26"/>
    </row>
    <row r="9197" spans="1:18" ht="15.75" customHeight="1">
      <c r="A9197" s="26"/>
      <c r="B9197" s="86"/>
      <c r="D9197" s="26"/>
      <c r="F9197" s="87" t="str">
        <f t="shared" si="0"/>
        <v/>
      </c>
      <c r="H9197" s="26" t="str">
        <f t="shared" si="1"/>
        <v/>
      </c>
      <c r="I9197" s="26" t="str">
        <f t="shared" si="2"/>
        <v/>
      </c>
      <c r="J9197" s="86">
        <f t="shared" si="3"/>
        <v>0</v>
      </c>
      <c r="R9197" s="26"/>
    </row>
    <row r="9198" spans="1:18" ht="15.75" customHeight="1">
      <c r="A9198" s="26"/>
      <c r="B9198" s="86"/>
      <c r="D9198" s="26"/>
      <c r="F9198" s="87" t="str">
        <f t="shared" si="0"/>
        <v/>
      </c>
      <c r="H9198" s="26" t="str">
        <f t="shared" si="1"/>
        <v/>
      </c>
      <c r="I9198" s="26" t="str">
        <f t="shared" si="2"/>
        <v/>
      </c>
      <c r="J9198" s="86">
        <f t="shared" si="3"/>
        <v>0</v>
      </c>
      <c r="R9198" s="26"/>
    </row>
    <row r="9199" spans="1:18" ht="15.75" customHeight="1">
      <c r="A9199" s="26"/>
      <c r="B9199" s="86"/>
      <c r="D9199" s="26"/>
      <c r="F9199" s="87" t="str">
        <f t="shared" si="0"/>
        <v/>
      </c>
      <c r="H9199" s="26" t="str">
        <f t="shared" si="1"/>
        <v/>
      </c>
      <c r="I9199" s="26" t="str">
        <f t="shared" si="2"/>
        <v/>
      </c>
      <c r="J9199" s="86">
        <f t="shared" si="3"/>
        <v>0</v>
      </c>
      <c r="R9199" s="26"/>
    </row>
    <row r="9200" spans="1:18" ht="15.75" customHeight="1">
      <c r="A9200" s="26"/>
      <c r="B9200" s="86"/>
      <c r="D9200" s="26"/>
      <c r="F9200" s="87" t="str">
        <f t="shared" si="0"/>
        <v/>
      </c>
      <c r="H9200" s="26" t="str">
        <f t="shared" si="1"/>
        <v/>
      </c>
      <c r="I9200" s="26" t="str">
        <f t="shared" si="2"/>
        <v/>
      </c>
      <c r="J9200" s="86">
        <f t="shared" si="3"/>
        <v>0</v>
      </c>
      <c r="R9200" s="26"/>
    </row>
    <row r="9201" spans="1:18" ht="15.75" customHeight="1">
      <c r="A9201" s="26"/>
      <c r="B9201" s="86"/>
      <c r="D9201" s="26"/>
      <c r="F9201" s="87" t="str">
        <f t="shared" si="0"/>
        <v/>
      </c>
      <c r="H9201" s="26" t="str">
        <f t="shared" si="1"/>
        <v/>
      </c>
      <c r="I9201" s="26" t="str">
        <f t="shared" si="2"/>
        <v/>
      </c>
      <c r="J9201" s="86">
        <f t="shared" si="3"/>
        <v>0</v>
      </c>
      <c r="R9201" s="26"/>
    </row>
    <row r="9202" spans="1:18" ht="15.75" customHeight="1">
      <c r="A9202" s="26"/>
      <c r="B9202" s="86"/>
      <c r="D9202" s="26"/>
      <c r="F9202" s="87" t="str">
        <f t="shared" si="0"/>
        <v/>
      </c>
      <c r="H9202" s="26" t="str">
        <f t="shared" si="1"/>
        <v/>
      </c>
      <c r="I9202" s="26" t="str">
        <f t="shared" si="2"/>
        <v/>
      </c>
      <c r="J9202" s="86">
        <f t="shared" si="3"/>
        <v>0</v>
      </c>
      <c r="R9202" s="26"/>
    </row>
    <row r="9203" spans="1:18" ht="15.75" customHeight="1">
      <c r="A9203" s="26"/>
      <c r="B9203" s="86"/>
      <c r="D9203" s="26"/>
      <c r="F9203" s="87" t="str">
        <f t="shared" si="0"/>
        <v/>
      </c>
      <c r="H9203" s="26" t="str">
        <f t="shared" si="1"/>
        <v/>
      </c>
      <c r="I9203" s="26" t="str">
        <f t="shared" si="2"/>
        <v/>
      </c>
      <c r="J9203" s="86">
        <f t="shared" si="3"/>
        <v>0</v>
      </c>
      <c r="R9203" s="26"/>
    </row>
    <row r="9204" spans="1:18" ht="15.75" customHeight="1">
      <c r="A9204" s="26"/>
      <c r="B9204" s="86"/>
      <c r="D9204" s="26"/>
      <c r="F9204" s="87" t="str">
        <f t="shared" si="0"/>
        <v/>
      </c>
      <c r="H9204" s="26" t="str">
        <f t="shared" si="1"/>
        <v/>
      </c>
      <c r="I9204" s="26" t="str">
        <f t="shared" si="2"/>
        <v/>
      </c>
      <c r="J9204" s="86">
        <f t="shared" si="3"/>
        <v>0</v>
      </c>
      <c r="R9204" s="26"/>
    </row>
    <row r="9205" spans="1:18" ht="15.75" customHeight="1">
      <c r="A9205" s="26"/>
      <c r="B9205" s="86"/>
      <c r="D9205" s="26"/>
      <c r="F9205" s="87" t="str">
        <f t="shared" si="0"/>
        <v/>
      </c>
      <c r="H9205" s="26" t="str">
        <f t="shared" si="1"/>
        <v/>
      </c>
      <c r="I9205" s="26" t="str">
        <f t="shared" si="2"/>
        <v/>
      </c>
      <c r="J9205" s="86">
        <f t="shared" si="3"/>
        <v>0</v>
      </c>
      <c r="R9205" s="26"/>
    </row>
    <row r="9206" spans="1:18" ht="15.75" customHeight="1">
      <c r="A9206" s="26"/>
      <c r="B9206" s="86"/>
      <c r="D9206" s="26"/>
      <c r="F9206" s="87" t="str">
        <f t="shared" si="0"/>
        <v/>
      </c>
      <c r="H9206" s="26" t="str">
        <f t="shared" si="1"/>
        <v/>
      </c>
      <c r="I9206" s="26" t="str">
        <f t="shared" si="2"/>
        <v/>
      </c>
      <c r="J9206" s="86">
        <f t="shared" si="3"/>
        <v>0</v>
      </c>
      <c r="R9206" s="26"/>
    </row>
    <row r="9207" spans="1:18" ht="15.75" customHeight="1">
      <c r="A9207" s="26"/>
      <c r="B9207" s="86"/>
      <c r="D9207" s="26"/>
      <c r="F9207" s="87" t="str">
        <f t="shared" si="0"/>
        <v/>
      </c>
      <c r="H9207" s="26" t="str">
        <f t="shared" si="1"/>
        <v/>
      </c>
      <c r="I9207" s="26" t="str">
        <f t="shared" si="2"/>
        <v/>
      </c>
      <c r="J9207" s="86">
        <f t="shared" si="3"/>
        <v>0</v>
      </c>
      <c r="R9207" s="26"/>
    </row>
    <row r="9208" spans="1:18" ht="15.75" customHeight="1">
      <c r="A9208" s="26"/>
      <c r="B9208" s="86"/>
      <c r="D9208" s="26"/>
      <c r="F9208" s="87" t="str">
        <f t="shared" si="0"/>
        <v/>
      </c>
      <c r="H9208" s="26" t="str">
        <f t="shared" si="1"/>
        <v/>
      </c>
      <c r="I9208" s="26" t="str">
        <f t="shared" si="2"/>
        <v/>
      </c>
      <c r="J9208" s="86">
        <f t="shared" si="3"/>
        <v>0</v>
      </c>
      <c r="R9208" s="26"/>
    </row>
    <row r="9209" spans="1:18" ht="15.75" customHeight="1">
      <c r="A9209" s="26"/>
      <c r="B9209" s="86"/>
      <c r="D9209" s="26"/>
      <c r="F9209" s="87" t="str">
        <f t="shared" si="0"/>
        <v/>
      </c>
      <c r="H9209" s="26" t="str">
        <f t="shared" si="1"/>
        <v/>
      </c>
      <c r="I9209" s="26" t="str">
        <f t="shared" si="2"/>
        <v/>
      </c>
      <c r="J9209" s="86">
        <f t="shared" si="3"/>
        <v>0</v>
      </c>
      <c r="R9209" s="26"/>
    </row>
    <row r="9210" spans="1:18" ht="15.75" customHeight="1">
      <c r="A9210" s="26"/>
      <c r="B9210" s="86"/>
      <c r="D9210" s="26"/>
      <c r="F9210" s="87" t="str">
        <f t="shared" si="0"/>
        <v/>
      </c>
      <c r="H9210" s="26" t="str">
        <f t="shared" si="1"/>
        <v/>
      </c>
      <c r="I9210" s="26" t="str">
        <f t="shared" si="2"/>
        <v/>
      </c>
      <c r="J9210" s="86">
        <f t="shared" si="3"/>
        <v>0</v>
      </c>
      <c r="R9210" s="26"/>
    </row>
    <row r="9211" spans="1:18" ht="15.75" customHeight="1">
      <c r="A9211" s="26"/>
      <c r="B9211" s="86"/>
      <c r="D9211" s="26"/>
      <c r="F9211" s="87" t="str">
        <f t="shared" si="0"/>
        <v/>
      </c>
      <c r="H9211" s="26" t="str">
        <f t="shared" si="1"/>
        <v/>
      </c>
      <c r="I9211" s="26" t="str">
        <f t="shared" si="2"/>
        <v/>
      </c>
      <c r="J9211" s="86">
        <f t="shared" si="3"/>
        <v>0</v>
      </c>
      <c r="R9211" s="26"/>
    </row>
    <row r="9212" spans="1:18" ht="15.75" customHeight="1">
      <c r="A9212" s="26"/>
      <c r="B9212" s="86"/>
      <c r="D9212" s="26"/>
      <c r="F9212" s="87" t="str">
        <f t="shared" si="0"/>
        <v/>
      </c>
      <c r="H9212" s="26" t="str">
        <f t="shared" si="1"/>
        <v/>
      </c>
      <c r="I9212" s="26" t="str">
        <f t="shared" si="2"/>
        <v/>
      </c>
      <c r="J9212" s="86">
        <f t="shared" si="3"/>
        <v>0</v>
      </c>
      <c r="R9212" s="26"/>
    </row>
    <row r="9213" spans="1:18" ht="15.75" customHeight="1">
      <c r="A9213" s="26"/>
      <c r="B9213" s="86"/>
      <c r="D9213" s="26"/>
      <c r="F9213" s="87" t="str">
        <f t="shared" si="0"/>
        <v/>
      </c>
      <c r="H9213" s="26" t="str">
        <f t="shared" si="1"/>
        <v/>
      </c>
      <c r="I9213" s="26" t="str">
        <f t="shared" si="2"/>
        <v/>
      </c>
      <c r="J9213" s="86">
        <f t="shared" si="3"/>
        <v>0</v>
      </c>
      <c r="R9213" s="26"/>
    </row>
    <row r="9214" spans="1:18" ht="15.75" customHeight="1">
      <c r="A9214" s="26"/>
      <c r="B9214" s="86"/>
      <c r="D9214" s="26"/>
      <c r="F9214" s="87" t="str">
        <f t="shared" si="0"/>
        <v/>
      </c>
      <c r="H9214" s="26" t="str">
        <f t="shared" si="1"/>
        <v/>
      </c>
      <c r="I9214" s="26" t="str">
        <f t="shared" si="2"/>
        <v/>
      </c>
      <c r="J9214" s="86">
        <f t="shared" si="3"/>
        <v>0</v>
      </c>
      <c r="R9214" s="26"/>
    </row>
    <row r="9215" spans="1:18" ht="15.75" customHeight="1">
      <c r="A9215" s="26"/>
      <c r="B9215" s="86"/>
      <c r="D9215" s="26"/>
      <c r="F9215" s="87" t="str">
        <f t="shared" si="0"/>
        <v/>
      </c>
      <c r="H9215" s="26" t="str">
        <f t="shared" si="1"/>
        <v/>
      </c>
      <c r="I9215" s="26" t="str">
        <f t="shared" si="2"/>
        <v/>
      </c>
      <c r="J9215" s="86">
        <f t="shared" si="3"/>
        <v>0</v>
      </c>
      <c r="R9215" s="26"/>
    </row>
    <row r="9216" spans="1:18" ht="15.75" customHeight="1">
      <c r="A9216" s="26"/>
      <c r="B9216" s="86"/>
      <c r="D9216" s="26"/>
      <c r="F9216" s="87" t="str">
        <f t="shared" si="0"/>
        <v/>
      </c>
      <c r="H9216" s="26" t="str">
        <f t="shared" si="1"/>
        <v/>
      </c>
      <c r="I9216" s="26" t="str">
        <f t="shared" si="2"/>
        <v/>
      </c>
      <c r="J9216" s="86">
        <f t="shared" si="3"/>
        <v>0</v>
      </c>
      <c r="R9216" s="26"/>
    </row>
    <row r="9217" spans="1:18" ht="15.75" customHeight="1">
      <c r="A9217" s="26"/>
      <c r="B9217" s="86"/>
      <c r="D9217" s="26"/>
      <c r="F9217" s="87" t="str">
        <f t="shared" si="0"/>
        <v/>
      </c>
      <c r="H9217" s="26" t="str">
        <f t="shared" si="1"/>
        <v/>
      </c>
      <c r="I9217" s="26" t="str">
        <f t="shared" si="2"/>
        <v/>
      </c>
      <c r="J9217" s="86">
        <f t="shared" si="3"/>
        <v>0</v>
      </c>
      <c r="R9217" s="26"/>
    </row>
    <row r="9218" spans="1:18" ht="15.75" customHeight="1">
      <c r="A9218" s="26"/>
      <c r="B9218" s="86"/>
      <c r="D9218" s="26"/>
      <c r="F9218" s="87" t="str">
        <f t="shared" si="0"/>
        <v/>
      </c>
      <c r="H9218" s="26" t="str">
        <f t="shared" si="1"/>
        <v/>
      </c>
      <c r="I9218" s="26" t="str">
        <f t="shared" si="2"/>
        <v/>
      </c>
      <c r="J9218" s="86">
        <f t="shared" si="3"/>
        <v>0</v>
      </c>
      <c r="R9218" s="26"/>
    </row>
    <row r="9219" spans="1:18" ht="15.75" customHeight="1">
      <c r="A9219" s="26"/>
      <c r="B9219" s="86"/>
      <c r="D9219" s="26"/>
      <c r="F9219" s="87" t="str">
        <f t="shared" si="0"/>
        <v/>
      </c>
      <c r="H9219" s="26" t="str">
        <f t="shared" si="1"/>
        <v/>
      </c>
      <c r="I9219" s="26" t="str">
        <f t="shared" si="2"/>
        <v/>
      </c>
      <c r="J9219" s="86">
        <f t="shared" si="3"/>
        <v>0</v>
      </c>
      <c r="R9219" s="26"/>
    </row>
    <row r="9220" spans="1:18" ht="15.75" customHeight="1">
      <c r="A9220" s="26"/>
      <c r="B9220" s="86"/>
      <c r="D9220" s="26"/>
      <c r="F9220" s="87" t="str">
        <f t="shared" si="0"/>
        <v/>
      </c>
      <c r="H9220" s="26" t="str">
        <f t="shared" si="1"/>
        <v/>
      </c>
      <c r="I9220" s="26" t="str">
        <f t="shared" si="2"/>
        <v/>
      </c>
      <c r="J9220" s="86">
        <f t="shared" si="3"/>
        <v>0</v>
      </c>
      <c r="R9220" s="26"/>
    </row>
    <row r="9221" spans="1:18" ht="15.75" customHeight="1">
      <c r="A9221" s="26"/>
      <c r="B9221" s="86"/>
      <c r="D9221" s="26"/>
      <c r="F9221" s="87" t="str">
        <f t="shared" si="0"/>
        <v/>
      </c>
      <c r="H9221" s="26" t="str">
        <f t="shared" si="1"/>
        <v/>
      </c>
      <c r="I9221" s="26" t="str">
        <f t="shared" si="2"/>
        <v/>
      </c>
      <c r="J9221" s="86">
        <f t="shared" si="3"/>
        <v>0</v>
      </c>
      <c r="R9221" s="26"/>
    </row>
    <row r="9222" spans="1:18" ht="15.75" customHeight="1">
      <c r="A9222" s="26"/>
      <c r="B9222" s="86"/>
      <c r="D9222" s="26"/>
      <c r="F9222" s="87" t="str">
        <f t="shared" si="0"/>
        <v/>
      </c>
      <c r="H9222" s="26" t="str">
        <f t="shared" si="1"/>
        <v/>
      </c>
      <c r="I9222" s="26" t="str">
        <f t="shared" si="2"/>
        <v/>
      </c>
      <c r="J9222" s="86">
        <f t="shared" si="3"/>
        <v>0</v>
      </c>
      <c r="R9222" s="26"/>
    </row>
    <row r="9223" spans="1:18" ht="15.75" customHeight="1">
      <c r="A9223" s="26"/>
      <c r="B9223" s="86"/>
      <c r="D9223" s="26"/>
      <c r="F9223" s="87" t="str">
        <f t="shared" si="0"/>
        <v/>
      </c>
      <c r="H9223" s="26" t="str">
        <f t="shared" si="1"/>
        <v/>
      </c>
      <c r="I9223" s="26" t="str">
        <f t="shared" si="2"/>
        <v/>
      </c>
      <c r="J9223" s="86">
        <f t="shared" si="3"/>
        <v>0</v>
      </c>
      <c r="R9223" s="26"/>
    </row>
    <row r="9224" spans="1:18" ht="15.75" customHeight="1">
      <c r="A9224" s="26"/>
      <c r="B9224" s="86"/>
      <c r="D9224" s="26"/>
      <c r="F9224" s="87" t="str">
        <f t="shared" si="0"/>
        <v/>
      </c>
      <c r="H9224" s="26" t="str">
        <f t="shared" si="1"/>
        <v/>
      </c>
      <c r="I9224" s="26" t="str">
        <f t="shared" si="2"/>
        <v/>
      </c>
      <c r="J9224" s="86">
        <f t="shared" si="3"/>
        <v>0</v>
      </c>
      <c r="R9224" s="26"/>
    </row>
    <row r="9225" spans="1:18" ht="15.75" customHeight="1">
      <c r="A9225" s="26"/>
      <c r="B9225" s="86"/>
      <c r="D9225" s="26"/>
      <c r="F9225" s="87" t="str">
        <f t="shared" si="0"/>
        <v/>
      </c>
      <c r="H9225" s="26" t="str">
        <f t="shared" si="1"/>
        <v/>
      </c>
      <c r="I9225" s="26" t="str">
        <f t="shared" si="2"/>
        <v/>
      </c>
      <c r="J9225" s="86">
        <f t="shared" si="3"/>
        <v>0</v>
      </c>
      <c r="R9225" s="26"/>
    </row>
    <row r="9226" spans="1:18" ht="15.75" customHeight="1">
      <c r="A9226" s="26"/>
      <c r="B9226" s="86"/>
      <c r="D9226" s="26"/>
      <c r="F9226" s="87" t="str">
        <f t="shared" si="0"/>
        <v/>
      </c>
      <c r="H9226" s="26" t="str">
        <f t="shared" si="1"/>
        <v/>
      </c>
      <c r="I9226" s="26" t="str">
        <f t="shared" si="2"/>
        <v/>
      </c>
      <c r="J9226" s="86">
        <f t="shared" si="3"/>
        <v>0</v>
      </c>
      <c r="R9226" s="26"/>
    </row>
    <row r="9227" spans="1:18" ht="15.75" customHeight="1">
      <c r="A9227" s="26"/>
      <c r="B9227" s="86"/>
      <c r="D9227" s="26"/>
      <c r="F9227" s="87" t="str">
        <f t="shared" si="0"/>
        <v/>
      </c>
      <c r="H9227" s="26" t="str">
        <f t="shared" si="1"/>
        <v/>
      </c>
      <c r="I9227" s="26" t="str">
        <f t="shared" si="2"/>
        <v/>
      </c>
      <c r="J9227" s="86">
        <f t="shared" si="3"/>
        <v>0</v>
      </c>
      <c r="R9227" s="26"/>
    </row>
    <row r="9228" spans="1:18" ht="15.75" customHeight="1">
      <c r="A9228" s="26"/>
      <c r="B9228" s="86"/>
      <c r="D9228" s="26"/>
      <c r="F9228" s="87" t="str">
        <f t="shared" si="0"/>
        <v/>
      </c>
      <c r="H9228" s="26" t="str">
        <f t="shared" si="1"/>
        <v/>
      </c>
      <c r="I9228" s="26" t="str">
        <f t="shared" si="2"/>
        <v/>
      </c>
      <c r="J9228" s="86">
        <f t="shared" si="3"/>
        <v>0</v>
      </c>
      <c r="R9228" s="26"/>
    </row>
    <row r="9229" spans="1:18" ht="15.75" customHeight="1">
      <c r="A9229" s="26"/>
      <c r="B9229" s="86"/>
      <c r="D9229" s="26"/>
      <c r="F9229" s="87" t="str">
        <f t="shared" si="0"/>
        <v/>
      </c>
      <c r="H9229" s="26" t="str">
        <f t="shared" si="1"/>
        <v/>
      </c>
      <c r="I9229" s="26" t="str">
        <f t="shared" si="2"/>
        <v/>
      </c>
      <c r="J9229" s="86">
        <f t="shared" si="3"/>
        <v>0</v>
      </c>
      <c r="R9229" s="26"/>
    </row>
    <row r="9230" spans="1:18" ht="15.75" customHeight="1">
      <c r="A9230" s="26"/>
      <c r="B9230" s="86"/>
      <c r="D9230" s="26"/>
      <c r="F9230" s="87" t="str">
        <f t="shared" si="0"/>
        <v/>
      </c>
      <c r="H9230" s="26" t="str">
        <f t="shared" si="1"/>
        <v/>
      </c>
      <c r="I9230" s="26" t="str">
        <f t="shared" si="2"/>
        <v/>
      </c>
      <c r="J9230" s="86">
        <f t="shared" si="3"/>
        <v>0</v>
      </c>
      <c r="R9230" s="26"/>
    </row>
    <row r="9231" spans="1:18" ht="15.75" customHeight="1">
      <c r="A9231" s="26"/>
      <c r="B9231" s="86"/>
      <c r="D9231" s="26"/>
      <c r="F9231" s="87" t="str">
        <f t="shared" si="0"/>
        <v/>
      </c>
      <c r="H9231" s="26" t="str">
        <f t="shared" si="1"/>
        <v/>
      </c>
      <c r="I9231" s="26" t="str">
        <f t="shared" si="2"/>
        <v/>
      </c>
      <c r="J9231" s="86">
        <f t="shared" si="3"/>
        <v>0</v>
      </c>
      <c r="R9231" s="26"/>
    </row>
    <row r="9232" spans="1:18" ht="15.75" customHeight="1">
      <c r="A9232" s="26"/>
      <c r="B9232" s="86"/>
      <c r="D9232" s="26"/>
      <c r="F9232" s="87" t="str">
        <f t="shared" si="0"/>
        <v/>
      </c>
      <c r="H9232" s="26" t="str">
        <f t="shared" si="1"/>
        <v/>
      </c>
      <c r="I9232" s="26" t="str">
        <f t="shared" si="2"/>
        <v/>
      </c>
      <c r="J9232" s="86">
        <f t="shared" si="3"/>
        <v>0</v>
      </c>
      <c r="R9232" s="26"/>
    </row>
    <row r="9233" spans="1:18" ht="15.75" customHeight="1">
      <c r="A9233" s="26"/>
      <c r="B9233" s="86"/>
      <c r="D9233" s="26"/>
      <c r="F9233" s="87" t="str">
        <f t="shared" si="0"/>
        <v/>
      </c>
      <c r="H9233" s="26" t="str">
        <f t="shared" si="1"/>
        <v/>
      </c>
      <c r="I9233" s="26" t="str">
        <f t="shared" si="2"/>
        <v/>
      </c>
      <c r="J9233" s="86">
        <f t="shared" si="3"/>
        <v>0</v>
      </c>
      <c r="R9233" s="26"/>
    </row>
    <row r="9234" spans="1:18" ht="15.75" customHeight="1">
      <c r="A9234" s="26"/>
      <c r="B9234" s="86"/>
      <c r="D9234" s="26"/>
      <c r="F9234" s="87" t="str">
        <f t="shared" si="0"/>
        <v/>
      </c>
      <c r="H9234" s="26" t="str">
        <f t="shared" si="1"/>
        <v/>
      </c>
      <c r="I9234" s="26" t="str">
        <f t="shared" si="2"/>
        <v/>
      </c>
      <c r="J9234" s="86">
        <f t="shared" si="3"/>
        <v>0</v>
      </c>
      <c r="R9234" s="26"/>
    </row>
    <row r="9235" spans="1:18" ht="15.75" customHeight="1">
      <c r="A9235" s="26"/>
      <c r="B9235" s="86"/>
      <c r="D9235" s="26"/>
      <c r="F9235" s="87" t="str">
        <f t="shared" si="0"/>
        <v/>
      </c>
      <c r="H9235" s="26" t="str">
        <f t="shared" si="1"/>
        <v/>
      </c>
      <c r="I9235" s="26" t="str">
        <f t="shared" si="2"/>
        <v/>
      </c>
      <c r="J9235" s="86">
        <f t="shared" si="3"/>
        <v>0</v>
      </c>
      <c r="R9235" s="26"/>
    </row>
    <row r="9236" spans="1:18" ht="15.75" customHeight="1">
      <c r="A9236" s="26"/>
      <c r="B9236" s="86"/>
      <c r="D9236" s="26"/>
      <c r="F9236" s="87" t="str">
        <f t="shared" si="0"/>
        <v/>
      </c>
      <c r="H9236" s="26" t="str">
        <f t="shared" si="1"/>
        <v/>
      </c>
      <c r="I9236" s="26" t="str">
        <f t="shared" si="2"/>
        <v/>
      </c>
      <c r="J9236" s="86">
        <f t="shared" si="3"/>
        <v>0</v>
      </c>
      <c r="R9236" s="26"/>
    </row>
    <row r="9237" spans="1:18" ht="15.75" customHeight="1">
      <c r="A9237" s="26"/>
      <c r="B9237" s="86"/>
      <c r="D9237" s="26"/>
      <c r="F9237" s="87" t="str">
        <f t="shared" si="0"/>
        <v/>
      </c>
      <c r="H9237" s="26" t="str">
        <f t="shared" si="1"/>
        <v/>
      </c>
      <c r="I9237" s="26" t="str">
        <f t="shared" si="2"/>
        <v/>
      </c>
      <c r="J9237" s="86">
        <f t="shared" si="3"/>
        <v>0</v>
      </c>
      <c r="R9237" s="26"/>
    </row>
    <row r="9238" spans="1:18" ht="15.75" customHeight="1">
      <c r="A9238" s="26"/>
      <c r="B9238" s="86"/>
      <c r="D9238" s="26"/>
      <c r="F9238" s="87" t="str">
        <f t="shared" si="0"/>
        <v/>
      </c>
      <c r="H9238" s="26" t="str">
        <f t="shared" si="1"/>
        <v/>
      </c>
      <c r="I9238" s="26" t="str">
        <f t="shared" si="2"/>
        <v/>
      </c>
      <c r="J9238" s="86">
        <f t="shared" si="3"/>
        <v>0</v>
      </c>
      <c r="R9238" s="26"/>
    </row>
    <row r="9239" spans="1:18" ht="15.75" customHeight="1">
      <c r="A9239" s="26"/>
      <c r="B9239" s="86"/>
      <c r="D9239" s="26"/>
      <c r="F9239" s="87" t="str">
        <f t="shared" si="0"/>
        <v/>
      </c>
      <c r="H9239" s="26" t="str">
        <f t="shared" si="1"/>
        <v/>
      </c>
      <c r="I9239" s="26" t="str">
        <f t="shared" si="2"/>
        <v/>
      </c>
      <c r="J9239" s="86">
        <f t="shared" si="3"/>
        <v>0</v>
      </c>
      <c r="R9239" s="26"/>
    </row>
    <row r="9240" spans="1:18" ht="15.75" customHeight="1">
      <c r="A9240" s="26"/>
      <c r="B9240" s="86"/>
      <c r="D9240" s="26"/>
      <c r="F9240" s="87" t="str">
        <f t="shared" si="0"/>
        <v/>
      </c>
      <c r="H9240" s="26" t="str">
        <f t="shared" si="1"/>
        <v/>
      </c>
      <c r="I9240" s="26" t="str">
        <f t="shared" si="2"/>
        <v/>
      </c>
      <c r="J9240" s="86">
        <f t="shared" si="3"/>
        <v>0</v>
      </c>
      <c r="R9240" s="26"/>
    </row>
    <row r="9241" spans="1:18" ht="15.75" customHeight="1">
      <c r="A9241" s="26"/>
      <c r="B9241" s="86"/>
      <c r="D9241" s="26"/>
      <c r="F9241" s="87" t="str">
        <f t="shared" si="0"/>
        <v/>
      </c>
      <c r="H9241" s="26" t="str">
        <f t="shared" si="1"/>
        <v/>
      </c>
      <c r="I9241" s="26" t="str">
        <f t="shared" si="2"/>
        <v/>
      </c>
      <c r="J9241" s="86">
        <f t="shared" si="3"/>
        <v>0</v>
      </c>
      <c r="R9241" s="26"/>
    </row>
    <row r="9242" spans="1:18" ht="15.75" customHeight="1">
      <c r="A9242" s="26"/>
      <c r="B9242" s="86"/>
      <c r="D9242" s="26"/>
      <c r="F9242" s="87" t="str">
        <f t="shared" si="0"/>
        <v/>
      </c>
      <c r="H9242" s="26" t="str">
        <f t="shared" si="1"/>
        <v/>
      </c>
      <c r="I9242" s="26" t="str">
        <f t="shared" si="2"/>
        <v/>
      </c>
      <c r="J9242" s="86">
        <f t="shared" si="3"/>
        <v>0</v>
      </c>
      <c r="R9242" s="26"/>
    </row>
    <row r="9243" spans="1:18" ht="15.75" customHeight="1">
      <c r="A9243" s="26"/>
      <c r="B9243" s="86"/>
      <c r="D9243" s="26"/>
      <c r="F9243" s="87" t="str">
        <f t="shared" si="0"/>
        <v/>
      </c>
      <c r="H9243" s="26" t="str">
        <f t="shared" si="1"/>
        <v/>
      </c>
      <c r="I9243" s="26" t="str">
        <f t="shared" si="2"/>
        <v/>
      </c>
      <c r="J9243" s="86">
        <f t="shared" si="3"/>
        <v>0</v>
      </c>
      <c r="R9243" s="26"/>
    </row>
    <row r="9244" spans="1:18" ht="15.75" customHeight="1">
      <c r="A9244" s="26"/>
      <c r="B9244" s="86"/>
      <c r="D9244" s="26"/>
      <c r="F9244" s="87" t="str">
        <f t="shared" si="0"/>
        <v/>
      </c>
      <c r="H9244" s="26" t="str">
        <f t="shared" si="1"/>
        <v/>
      </c>
      <c r="I9244" s="26" t="str">
        <f t="shared" si="2"/>
        <v/>
      </c>
      <c r="J9244" s="86">
        <f t="shared" si="3"/>
        <v>0</v>
      </c>
      <c r="R9244" s="26"/>
    </row>
    <row r="9245" spans="1:18" ht="15.75" customHeight="1">
      <c r="A9245" s="26"/>
      <c r="B9245" s="86"/>
      <c r="D9245" s="26"/>
      <c r="F9245" s="87" t="str">
        <f t="shared" si="0"/>
        <v/>
      </c>
      <c r="H9245" s="26" t="str">
        <f t="shared" si="1"/>
        <v/>
      </c>
      <c r="I9245" s="26" t="str">
        <f t="shared" si="2"/>
        <v/>
      </c>
      <c r="J9245" s="86">
        <f t="shared" si="3"/>
        <v>0</v>
      </c>
      <c r="R9245" s="26"/>
    </row>
    <row r="9246" spans="1:18" ht="15.75" customHeight="1">
      <c r="A9246" s="26"/>
      <c r="B9246" s="86"/>
      <c r="D9246" s="26"/>
      <c r="F9246" s="87" t="str">
        <f t="shared" si="0"/>
        <v/>
      </c>
      <c r="H9246" s="26" t="str">
        <f t="shared" si="1"/>
        <v/>
      </c>
      <c r="I9246" s="26" t="str">
        <f t="shared" si="2"/>
        <v/>
      </c>
      <c r="J9246" s="86">
        <f t="shared" si="3"/>
        <v>0</v>
      </c>
      <c r="R9246" s="26"/>
    </row>
    <row r="9247" spans="1:18" ht="15.75" customHeight="1">
      <c r="A9247" s="26"/>
      <c r="B9247" s="86"/>
      <c r="D9247" s="26"/>
      <c r="F9247" s="87" t="str">
        <f t="shared" si="0"/>
        <v/>
      </c>
      <c r="H9247" s="26" t="str">
        <f t="shared" si="1"/>
        <v/>
      </c>
      <c r="I9247" s="26" t="str">
        <f t="shared" si="2"/>
        <v/>
      </c>
      <c r="J9247" s="86">
        <f t="shared" si="3"/>
        <v>0</v>
      </c>
      <c r="R9247" s="26"/>
    </row>
    <row r="9248" spans="1:18" ht="15.75" customHeight="1">
      <c r="A9248" s="26"/>
      <c r="B9248" s="86"/>
      <c r="D9248" s="26"/>
      <c r="F9248" s="87" t="str">
        <f t="shared" si="0"/>
        <v/>
      </c>
      <c r="H9248" s="26" t="str">
        <f t="shared" si="1"/>
        <v/>
      </c>
      <c r="I9248" s="26" t="str">
        <f t="shared" si="2"/>
        <v/>
      </c>
      <c r="J9248" s="86">
        <f t="shared" si="3"/>
        <v>0</v>
      </c>
      <c r="R9248" s="26"/>
    </row>
    <row r="9249" spans="1:18" ht="15.75" customHeight="1">
      <c r="A9249" s="26"/>
      <c r="B9249" s="86"/>
      <c r="D9249" s="26"/>
      <c r="F9249" s="87" t="str">
        <f t="shared" si="0"/>
        <v/>
      </c>
      <c r="H9249" s="26" t="str">
        <f t="shared" si="1"/>
        <v/>
      </c>
      <c r="I9249" s="26" t="str">
        <f t="shared" si="2"/>
        <v/>
      </c>
      <c r="J9249" s="86">
        <f t="shared" si="3"/>
        <v>0</v>
      </c>
      <c r="R9249" s="26"/>
    </row>
    <row r="9250" spans="1:18" ht="15.75" customHeight="1">
      <c r="A9250" s="26"/>
      <c r="B9250" s="86"/>
      <c r="D9250" s="26"/>
      <c r="F9250" s="87" t="str">
        <f t="shared" si="0"/>
        <v/>
      </c>
      <c r="H9250" s="26" t="str">
        <f t="shared" si="1"/>
        <v/>
      </c>
      <c r="I9250" s="26" t="str">
        <f t="shared" si="2"/>
        <v/>
      </c>
      <c r="J9250" s="86">
        <f t="shared" si="3"/>
        <v>0</v>
      </c>
      <c r="R9250" s="26"/>
    </row>
    <row r="9251" spans="1:18" ht="15.75" customHeight="1">
      <c r="A9251" s="26"/>
      <c r="B9251" s="86"/>
      <c r="D9251" s="26"/>
      <c r="F9251" s="87" t="str">
        <f t="shared" si="0"/>
        <v/>
      </c>
      <c r="H9251" s="26" t="str">
        <f t="shared" si="1"/>
        <v/>
      </c>
      <c r="I9251" s="26" t="str">
        <f t="shared" si="2"/>
        <v/>
      </c>
      <c r="J9251" s="86">
        <f t="shared" si="3"/>
        <v>0</v>
      </c>
      <c r="R9251" s="26"/>
    </row>
    <row r="9252" spans="1:18" ht="15.75" customHeight="1">
      <c r="A9252" s="26"/>
      <c r="B9252" s="86"/>
      <c r="D9252" s="26"/>
      <c r="F9252" s="87" t="str">
        <f t="shared" si="0"/>
        <v/>
      </c>
      <c r="H9252" s="26" t="str">
        <f t="shared" si="1"/>
        <v/>
      </c>
      <c r="I9252" s="26" t="str">
        <f t="shared" si="2"/>
        <v/>
      </c>
      <c r="J9252" s="86">
        <f t="shared" si="3"/>
        <v>0</v>
      </c>
      <c r="R9252" s="26"/>
    </row>
    <row r="9253" spans="1:18" ht="15.75" customHeight="1">
      <c r="A9253" s="26"/>
      <c r="B9253" s="86"/>
      <c r="D9253" s="26"/>
      <c r="F9253" s="87" t="str">
        <f t="shared" si="0"/>
        <v/>
      </c>
      <c r="H9253" s="26" t="str">
        <f t="shared" si="1"/>
        <v/>
      </c>
      <c r="I9253" s="26" t="str">
        <f t="shared" si="2"/>
        <v/>
      </c>
      <c r="J9253" s="86">
        <f t="shared" si="3"/>
        <v>0</v>
      </c>
      <c r="R9253" s="26"/>
    </row>
    <row r="9254" spans="1:18" ht="15.75" customHeight="1">
      <c r="A9254" s="26"/>
      <c r="B9254" s="86"/>
      <c r="D9254" s="26"/>
      <c r="F9254" s="87" t="str">
        <f t="shared" si="0"/>
        <v/>
      </c>
      <c r="H9254" s="26" t="str">
        <f t="shared" si="1"/>
        <v/>
      </c>
      <c r="I9254" s="26" t="str">
        <f t="shared" si="2"/>
        <v/>
      </c>
      <c r="J9254" s="86">
        <f t="shared" si="3"/>
        <v>0</v>
      </c>
      <c r="R9254" s="26"/>
    </row>
    <row r="9255" spans="1:18" ht="15.75" customHeight="1">
      <c r="A9255" s="26"/>
      <c r="B9255" s="86"/>
      <c r="D9255" s="26"/>
      <c r="F9255" s="87" t="str">
        <f t="shared" si="0"/>
        <v/>
      </c>
      <c r="H9255" s="26" t="str">
        <f t="shared" si="1"/>
        <v/>
      </c>
      <c r="I9255" s="26" t="str">
        <f t="shared" si="2"/>
        <v/>
      </c>
      <c r="J9255" s="86">
        <f t="shared" si="3"/>
        <v>0</v>
      </c>
      <c r="R9255" s="26"/>
    </row>
    <row r="9256" spans="1:18" ht="15.75" customHeight="1">
      <c r="A9256" s="26"/>
      <c r="B9256" s="86"/>
      <c r="D9256" s="26"/>
      <c r="F9256" s="87" t="str">
        <f t="shared" si="0"/>
        <v/>
      </c>
      <c r="H9256" s="26" t="str">
        <f t="shared" si="1"/>
        <v/>
      </c>
      <c r="I9256" s="26" t="str">
        <f t="shared" si="2"/>
        <v/>
      </c>
      <c r="J9256" s="86">
        <f t="shared" si="3"/>
        <v>0</v>
      </c>
      <c r="R9256" s="26"/>
    </row>
    <row r="9257" spans="1:18" ht="15.75" customHeight="1">
      <c r="A9257" s="26"/>
      <c r="B9257" s="86"/>
      <c r="D9257" s="26"/>
      <c r="F9257" s="87" t="str">
        <f t="shared" si="0"/>
        <v/>
      </c>
      <c r="H9257" s="26" t="str">
        <f t="shared" si="1"/>
        <v/>
      </c>
      <c r="I9257" s="26" t="str">
        <f t="shared" si="2"/>
        <v/>
      </c>
      <c r="J9257" s="86">
        <f t="shared" si="3"/>
        <v>0</v>
      </c>
      <c r="R9257" s="26"/>
    </row>
    <row r="9258" spans="1:18" ht="15.75" customHeight="1">
      <c r="A9258" s="26"/>
      <c r="B9258" s="86"/>
      <c r="D9258" s="26"/>
      <c r="F9258" s="87" t="str">
        <f t="shared" si="0"/>
        <v/>
      </c>
      <c r="H9258" s="26" t="str">
        <f t="shared" si="1"/>
        <v/>
      </c>
      <c r="I9258" s="26" t="str">
        <f t="shared" si="2"/>
        <v/>
      </c>
      <c r="J9258" s="86">
        <f t="shared" si="3"/>
        <v>0</v>
      </c>
      <c r="R9258" s="26"/>
    </row>
    <row r="9259" spans="1:18" ht="15.75" customHeight="1">
      <c r="A9259" s="26"/>
      <c r="B9259" s="86"/>
      <c r="D9259" s="26"/>
      <c r="F9259" s="87" t="str">
        <f t="shared" si="0"/>
        <v/>
      </c>
      <c r="H9259" s="26" t="str">
        <f t="shared" si="1"/>
        <v/>
      </c>
      <c r="I9259" s="26" t="str">
        <f t="shared" si="2"/>
        <v/>
      </c>
      <c r="J9259" s="86">
        <f t="shared" si="3"/>
        <v>0</v>
      </c>
      <c r="R9259" s="26"/>
    </row>
    <row r="9260" spans="1:18" ht="15.75" customHeight="1">
      <c r="A9260" s="26"/>
      <c r="B9260" s="86"/>
      <c r="D9260" s="26"/>
      <c r="F9260" s="87" t="str">
        <f t="shared" si="0"/>
        <v/>
      </c>
      <c r="H9260" s="26" t="str">
        <f t="shared" si="1"/>
        <v/>
      </c>
      <c r="I9260" s="26" t="str">
        <f t="shared" si="2"/>
        <v/>
      </c>
      <c r="J9260" s="86">
        <f t="shared" si="3"/>
        <v>0</v>
      </c>
      <c r="R9260" s="26"/>
    </row>
    <row r="9261" spans="1:18" ht="15.75" customHeight="1">
      <c r="A9261" s="26"/>
      <c r="B9261" s="86"/>
      <c r="D9261" s="26"/>
      <c r="F9261" s="87" t="str">
        <f t="shared" si="0"/>
        <v/>
      </c>
      <c r="H9261" s="26" t="str">
        <f t="shared" si="1"/>
        <v/>
      </c>
      <c r="I9261" s="26" t="str">
        <f t="shared" si="2"/>
        <v/>
      </c>
      <c r="J9261" s="86">
        <f t="shared" si="3"/>
        <v>0</v>
      </c>
      <c r="R9261" s="26"/>
    </row>
    <row r="9262" spans="1:18" ht="15.75" customHeight="1">
      <c r="A9262" s="26"/>
      <c r="B9262" s="86"/>
      <c r="D9262" s="26"/>
      <c r="F9262" s="87" t="str">
        <f t="shared" si="0"/>
        <v/>
      </c>
      <c r="H9262" s="26" t="str">
        <f t="shared" si="1"/>
        <v/>
      </c>
      <c r="I9262" s="26" t="str">
        <f t="shared" si="2"/>
        <v/>
      </c>
      <c r="J9262" s="86">
        <f t="shared" si="3"/>
        <v>0</v>
      </c>
      <c r="R9262" s="26"/>
    </row>
    <row r="9263" spans="1:18" ht="15.75" customHeight="1">
      <c r="A9263" s="26"/>
      <c r="B9263" s="86"/>
      <c r="D9263" s="26"/>
      <c r="F9263" s="87" t="str">
        <f t="shared" si="0"/>
        <v/>
      </c>
      <c r="H9263" s="26" t="str">
        <f t="shared" si="1"/>
        <v/>
      </c>
      <c r="I9263" s="26" t="str">
        <f t="shared" si="2"/>
        <v/>
      </c>
      <c r="J9263" s="86">
        <f t="shared" si="3"/>
        <v>0</v>
      </c>
      <c r="R9263" s="26"/>
    </row>
    <row r="9264" spans="1:18" ht="15.75" customHeight="1">
      <c r="A9264" s="26"/>
      <c r="B9264" s="86"/>
      <c r="D9264" s="26"/>
      <c r="F9264" s="87" t="str">
        <f t="shared" si="0"/>
        <v/>
      </c>
      <c r="H9264" s="26" t="str">
        <f t="shared" si="1"/>
        <v/>
      </c>
      <c r="I9264" s="26" t="str">
        <f t="shared" si="2"/>
        <v/>
      </c>
      <c r="J9264" s="86">
        <f t="shared" si="3"/>
        <v>0</v>
      </c>
      <c r="R9264" s="26"/>
    </row>
    <row r="9265" spans="1:18" ht="15.75" customHeight="1">
      <c r="A9265" s="26"/>
      <c r="B9265" s="86"/>
      <c r="D9265" s="26"/>
      <c r="F9265" s="87" t="str">
        <f t="shared" si="0"/>
        <v/>
      </c>
      <c r="H9265" s="26" t="str">
        <f t="shared" si="1"/>
        <v/>
      </c>
      <c r="I9265" s="26" t="str">
        <f t="shared" si="2"/>
        <v/>
      </c>
      <c r="J9265" s="86">
        <f t="shared" si="3"/>
        <v>0</v>
      </c>
      <c r="R9265" s="26"/>
    </row>
    <row r="9266" spans="1:18" ht="15.75" customHeight="1">
      <c r="A9266" s="26"/>
      <c r="B9266" s="86"/>
      <c r="D9266" s="26"/>
      <c r="F9266" s="87" t="str">
        <f t="shared" si="0"/>
        <v/>
      </c>
      <c r="H9266" s="26" t="str">
        <f t="shared" si="1"/>
        <v/>
      </c>
      <c r="I9266" s="26" t="str">
        <f t="shared" si="2"/>
        <v/>
      </c>
      <c r="J9266" s="86">
        <f t="shared" si="3"/>
        <v>0</v>
      </c>
      <c r="R9266" s="26"/>
    </row>
    <row r="9267" spans="1:18" ht="15.75" customHeight="1">
      <c r="A9267" s="26"/>
      <c r="B9267" s="86"/>
      <c r="D9267" s="26"/>
      <c r="F9267" s="87" t="str">
        <f t="shared" si="0"/>
        <v/>
      </c>
      <c r="H9267" s="26" t="str">
        <f t="shared" si="1"/>
        <v/>
      </c>
      <c r="I9267" s="26" t="str">
        <f t="shared" si="2"/>
        <v/>
      </c>
      <c r="J9267" s="86">
        <f t="shared" si="3"/>
        <v>0</v>
      </c>
      <c r="R9267" s="26"/>
    </row>
    <row r="9268" spans="1:18" ht="15.75" customHeight="1">
      <c r="A9268" s="26"/>
      <c r="B9268" s="86"/>
      <c r="D9268" s="26"/>
      <c r="F9268" s="87" t="str">
        <f t="shared" si="0"/>
        <v/>
      </c>
      <c r="H9268" s="26" t="str">
        <f t="shared" si="1"/>
        <v/>
      </c>
      <c r="I9268" s="26" t="str">
        <f t="shared" si="2"/>
        <v/>
      </c>
      <c r="J9268" s="86">
        <f t="shared" si="3"/>
        <v>0</v>
      </c>
      <c r="R9268" s="26"/>
    </row>
    <row r="9269" spans="1:18" ht="15.75" customHeight="1">
      <c r="A9269" s="26"/>
      <c r="B9269" s="86"/>
      <c r="D9269" s="26"/>
      <c r="F9269" s="87" t="str">
        <f t="shared" si="0"/>
        <v/>
      </c>
      <c r="H9269" s="26" t="str">
        <f t="shared" si="1"/>
        <v/>
      </c>
      <c r="I9269" s="26" t="str">
        <f t="shared" si="2"/>
        <v/>
      </c>
      <c r="J9269" s="86">
        <f t="shared" si="3"/>
        <v>0</v>
      </c>
      <c r="R9269" s="26"/>
    </row>
    <row r="9270" spans="1:18" ht="15.75" customHeight="1">
      <c r="A9270" s="26"/>
      <c r="B9270" s="86"/>
      <c r="D9270" s="26"/>
      <c r="F9270" s="87" t="str">
        <f t="shared" si="0"/>
        <v/>
      </c>
      <c r="H9270" s="26" t="str">
        <f t="shared" si="1"/>
        <v/>
      </c>
      <c r="I9270" s="26" t="str">
        <f t="shared" si="2"/>
        <v/>
      </c>
      <c r="J9270" s="86">
        <f t="shared" si="3"/>
        <v>0</v>
      </c>
      <c r="R9270" s="26"/>
    </row>
    <row r="9271" spans="1:18" ht="15.75" customHeight="1">
      <c r="A9271" s="26"/>
      <c r="B9271" s="86"/>
      <c r="D9271" s="26"/>
      <c r="F9271" s="87" t="str">
        <f t="shared" si="0"/>
        <v/>
      </c>
      <c r="H9271" s="26" t="str">
        <f t="shared" si="1"/>
        <v/>
      </c>
      <c r="I9271" s="26" t="str">
        <f t="shared" si="2"/>
        <v/>
      </c>
      <c r="J9271" s="86">
        <f t="shared" si="3"/>
        <v>0</v>
      </c>
      <c r="R9271" s="26"/>
    </row>
    <row r="9272" spans="1:18" ht="15.75" customHeight="1">
      <c r="A9272" s="26"/>
      <c r="B9272" s="86"/>
      <c r="D9272" s="26"/>
      <c r="F9272" s="87" t="str">
        <f t="shared" si="0"/>
        <v/>
      </c>
      <c r="H9272" s="26" t="str">
        <f t="shared" si="1"/>
        <v/>
      </c>
      <c r="I9272" s="26" t="str">
        <f t="shared" si="2"/>
        <v/>
      </c>
      <c r="J9272" s="86">
        <f t="shared" si="3"/>
        <v>0</v>
      </c>
      <c r="R9272" s="26"/>
    </row>
    <row r="9273" spans="1:18" ht="15.75" customHeight="1">
      <c r="A9273" s="26"/>
      <c r="B9273" s="86"/>
      <c r="D9273" s="26"/>
      <c r="F9273" s="87" t="str">
        <f t="shared" si="0"/>
        <v/>
      </c>
      <c r="H9273" s="26" t="str">
        <f t="shared" si="1"/>
        <v/>
      </c>
      <c r="I9273" s="26" t="str">
        <f t="shared" si="2"/>
        <v/>
      </c>
      <c r="J9273" s="86">
        <f t="shared" si="3"/>
        <v>0</v>
      </c>
      <c r="R9273" s="26"/>
    </row>
    <row r="9274" spans="1:18" ht="15.75" customHeight="1">
      <c r="A9274" s="26"/>
      <c r="B9274" s="86"/>
      <c r="D9274" s="26"/>
      <c r="F9274" s="87" t="str">
        <f t="shared" si="0"/>
        <v/>
      </c>
      <c r="H9274" s="26" t="str">
        <f t="shared" si="1"/>
        <v/>
      </c>
      <c r="I9274" s="26" t="str">
        <f t="shared" si="2"/>
        <v/>
      </c>
      <c r="J9274" s="86">
        <f t="shared" si="3"/>
        <v>0</v>
      </c>
      <c r="R9274" s="26"/>
    </row>
    <row r="9275" spans="1:18" ht="15.75" customHeight="1">
      <c r="A9275" s="26"/>
      <c r="B9275" s="86"/>
      <c r="D9275" s="26"/>
      <c r="F9275" s="87" t="str">
        <f t="shared" si="0"/>
        <v/>
      </c>
      <c r="H9275" s="26" t="str">
        <f t="shared" si="1"/>
        <v/>
      </c>
      <c r="I9275" s="26" t="str">
        <f t="shared" si="2"/>
        <v/>
      </c>
      <c r="J9275" s="86">
        <f t="shared" si="3"/>
        <v>0</v>
      </c>
      <c r="R9275" s="26"/>
    </row>
    <row r="9276" spans="1:18" ht="15.75" customHeight="1">
      <c r="A9276" s="26"/>
      <c r="B9276" s="86"/>
      <c r="D9276" s="26"/>
      <c r="F9276" s="87" t="str">
        <f t="shared" si="0"/>
        <v/>
      </c>
      <c r="H9276" s="26" t="str">
        <f t="shared" si="1"/>
        <v/>
      </c>
      <c r="I9276" s="26" t="str">
        <f t="shared" si="2"/>
        <v/>
      </c>
      <c r="J9276" s="86">
        <f t="shared" si="3"/>
        <v>0</v>
      </c>
      <c r="R9276" s="26"/>
    </row>
    <row r="9277" spans="1:18" ht="15.75" customHeight="1">
      <c r="A9277" s="26"/>
      <c r="B9277" s="86"/>
      <c r="D9277" s="26"/>
      <c r="F9277" s="87" t="str">
        <f t="shared" si="0"/>
        <v/>
      </c>
      <c r="H9277" s="26" t="str">
        <f t="shared" si="1"/>
        <v/>
      </c>
      <c r="I9277" s="26" t="str">
        <f t="shared" si="2"/>
        <v/>
      </c>
      <c r="J9277" s="86">
        <f t="shared" si="3"/>
        <v>0</v>
      </c>
      <c r="R9277" s="26"/>
    </row>
    <row r="9278" spans="1:18" ht="15.75" customHeight="1">
      <c r="A9278" s="26"/>
      <c r="B9278" s="86"/>
      <c r="D9278" s="26"/>
      <c r="F9278" s="87" t="str">
        <f t="shared" si="0"/>
        <v/>
      </c>
      <c r="H9278" s="26" t="str">
        <f t="shared" si="1"/>
        <v/>
      </c>
      <c r="I9278" s="26" t="str">
        <f t="shared" si="2"/>
        <v/>
      </c>
      <c r="J9278" s="86">
        <f t="shared" si="3"/>
        <v>0</v>
      </c>
      <c r="R9278" s="26"/>
    </row>
    <row r="9279" spans="1:18" ht="15.75" customHeight="1">
      <c r="A9279" s="26"/>
      <c r="B9279" s="86"/>
      <c r="D9279" s="26"/>
      <c r="F9279" s="87" t="str">
        <f t="shared" si="0"/>
        <v/>
      </c>
      <c r="H9279" s="26" t="str">
        <f t="shared" si="1"/>
        <v/>
      </c>
      <c r="I9279" s="26" t="str">
        <f t="shared" si="2"/>
        <v/>
      </c>
      <c r="J9279" s="86">
        <f t="shared" si="3"/>
        <v>0</v>
      </c>
      <c r="R9279" s="26"/>
    </row>
    <row r="9280" spans="1:18" ht="15.75" customHeight="1">
      <c r="A9280" s="26"/>
      <c r="B9280" s="86"/>
      <c r="D9280" s="26"/>
      <c r="F9280" s="87" t="str">
        <f t="shared" si="0"/>
        <v/>
      </c>
      <c r="H9280" s="26" t="str">
        <f t="shared" si="1"/>
        <v/>
      </c>
      <c r="I9280" s="26" t="str">
        <f t="shared" si="2"/>
        <v/>
      </c>
      <c r="J9280" s="86">
        <f t="shared" si="3"/>
        <v>0</v>
      </c>
      <c r="R9280" s="26"/>
    </row>
    <row r="9281" spans="1:18" ht="15.75" customHeight="1">
      <c r="A9281" s="26"/>
      <c r="B9281" s="86"/>
      <c r="D9281" s="26"/>
      <c r="F9281" s="87" t="str">
        <f t="shared" si="0"/>
        <v/>
      </c>
      <c r="H9281" s="26" t="str">
        <f t="shared" si="1"/>
        <v/>
      </c>
      <c r="I9281" s="26" t="str">
        <f t="shared" si="2"/>
        <v/>
      </c>
      <c r="J9281" s="86">
        <f t="shared" si="3"/>
        <v>0</v>
      </c>
      <c r="R9281" s="26"/>
    </row>
    <row r="9282" spans="1:18" ht="15.75" customHeight="1">
      <c r="A9282" s="26"/>
      <c r="B9282" s="86"/>
      <c r="D9282" s="26"/>
      <c r="F9282" s="87" t="str">
        <f t="shared" si="0"/>
        <v/>
      </c>
      <c r="H9282" s="26" t="str">
        <f t="shared" si="1"/>
        <v/>
      </c>
      <c r="I9282" s="26" t="str">
        <f t="shared" si="2"/>
        <v/>
      </c>
      <c r="J9282" s="86">
        <f t="shared" si="3"/>
        <v>0</v>
      </c>
      <c r="R9282" s="26"/>
    </row>
    <row r="9283" spans="1:18" ht="15.75" customHeight="1">
      <c r="A9283" s="26"/>
      <c r="B9283" s="86"/>
      <c r="D9283" s="26"/>
      <c r="F9283" s="87" t="str">
        <f t="shared" si="0"/>
        <v/>
      </c>
      <c r="H9283" s="26" t="str">
        <f t="shared" si="1"/>
        <v/>
      </c>
      <c r="I9283" s="26" t="str">
        <f t="shared" si="2"/>
        <v/>
      </c>
      <c r="J9283" s="86">
        <f t="shared" si="3"/>
        <v>0</v>
      </c>
      <c r="R9283" s="26"/>
    </row>
    <row r="9284" spans="1:18" ht="15.75" customHeight="1">
      <c r="A9284" s="26"/>
      <c r="B9284" s="86"/>
      <c r="D9284" s="26"/>
      <c r="F9284" s="87" t="str">
        <f t="shared" si="0"/>
        <v/>
      </c>
      <c r="H9284" s="26" t="str">
        <f t="shared" si="1"/>
        <v/>
      </c>
      <c r="I9284" s="26" t="str">
        <f t="shared" si="2"/>
        <v/>
      </c>
      <c r="J9284" s="86">
        <f t="shared" si="3"/>
        <v>0</v>
      </c>
      <c r="R9284" s="26"/>
    </row>
    <row r="9285" spans="1:18" ht="15.75" customHeight="1">
      <c r="A9285" s="26"/>
      <c r="B9285" s="86"/>
      <c r="D9285" s="26"/>
      <c r="F9285" s="87" t="str">
        <f t="shared" si="0"/>
        <v/>
      </c>
      <c r="H9285" s="26" t="str">
        <f t="shared" si="1"/>
        <v/>
      </c>
      <c r="I9285" s="26" t="str">
        <f t="shared" si="2"/>
        <v/>
      </c>
      <c r="J9285" s="86">
        <f t="shared" si="3"/>
        <v>0</v>
      </c>
      <c r="R9285" s="26"/>
    </row>
    <row r="9286" spans="1:18" ht="15.75" customHeight="1">
      <c r="A9286" s="26"/>
      <c r="B9286" s="86"/>
      <c r="D9286" s="26"/>
      <c r="F9286" s="87" t="str">
        <f t="shared" si="0"/>
        <v/>
      </c>
      <c r="H9286" s="26" t="str">
        <f t="shared" si="1"/>
        <v/>
      </c>
      <c r="I9286" s="26" t="str">
        <f t="shared" si="2"/>
        <v/>
      </c>
      <c r="J9286" s="86">
        <f t="shared" si="3"/>
        <v>0</v>
      </c>
      <c r="R9286" s="26"/>
    </row>
    <row r="9287" spans="1:18" ht="15.75" customHeight="1">
      <c r="A9287" s="26"/>
      <c r="B9287" s="86"/>
      <c r="D9287" s="26"/>
      <c r="F9287" s="87" t="str">
        <f t="shared" si="0"/>
        <v/>
      </c>
      <c r="H9287" s="26" t="str">
        <f t="shared" si="1"/>
        <v/>
      </c>
      <c r="I9287" s="26" t="str">
        <f t="shared" si="2"/>
        <v/>
      </c>
      <c r="J9287" s="86">
        <f t="shared" si="3"/>
        <v>0</v>
      </c>
      <c r="R9287" s="26"/>
    </row>
    <row r="9288" spans="1:18" ht="15.75" customHeight="1">
      <c r="A9288" s="26"/>
      <c r="B9288" s="86"/>
      <c r="D9288" s="26"/>
      <c r="F9288" s="87" t="str">
        <f t="shared" si="0"/>
        <v/>
      </c>
      <c r="H9288" s="26" t="str">
        <f t="shared" si="1"/>
        <v/>
      </c>
      <c r="I9288" s="26" t="str">
        <f t="shared" si="2"/>
        <v/>
      </c>
      <c r="J9288" s="86">
        <f t="shared" si="3"/>
        <v>0</v>
      </c>
      <c r="R9288" s="26"/>
    </row>
    <row r="9289" spans="1:18" ht="15.75" customHeight="1">
      <c r="A9289" s="26"/>
      <c r="B9289" s="86"/>
      <c r="D9289" s="26"/>
      <c r="F9289" s="87" t="str">
        <f t="shared" si="0"/>
        <v/>
      </c>
      <c r="H9289" s="26" t="str">
        <f t="shared" si="1"/>
        <v/>
      </c>
      <c r="I9289" s="26" t="str">
        <f t="shared" si="2"/>
        <v/>
      </c>
      <c r="J9289" s="86">
        <f t="shared" si="3"/>
        <v>0</v>
      </c>
      <c r="R9289" s="26"/>
    </row>
    <row r="9290" spans="1:18" ht="15.75" customHeight="1">
      <c r="A9290" s="26"/>
      <c r="B9290" s="86"/>
      <c r="D9290" s="26"/>
      <c r="F9290" s="87" t="str">
        <f t="shared" si="0"/>
        <v/>
      </c>
      <c r="H9290" s="26" t="str">
        <f t="shared" si="1"/>
        <v/>
      </c>
      <c r="I9290" s="26" t="str">
        <f t="shared" si="2"/>
        <v/>
      </c>
      <c r="J9290" s="86">
        <f t="shared" si="3"/>
        <v>0</v>
      </c>
      <c r="R9290" s="26"/>
    </row>
    <row r="9291" spans="1:18" ht="15.75" customHeight="1">
      <c r="A9291" s="26"/>
      <c r="B9291" s="86"/>
      <c r="D9291" s="26"/>
      <c r="F9291" s="87" t="str">
        <f t="shared" si="0"/>
        <v/>
      </c>
      <c r="H9291" s="26" t="str">
        <f t="shared" si="1"/>
        <v/>
      </c>
      <c r="I9291" s="26" t="str">
        <f t="shared" si="2"/>
        <v/>
      </c>
      <c r="J9291" s="86">
        <f t="shared" si="3"/>
        <v>0</v>
      </c>
      <c r="R9291" s="26"/>
    </row>
    <row r="9292" spans="1:18" ht="15.75" customHeight="1">
      <c r="A9292" s="26"/>
      <c r="B9292" s="86"/>
      <c r="D9292" s="26"/>
      <c r="F9292" s="87" t="str">
        <f t="shared" si="0"/>
        <v/>
      </c>
      <c r="H9292" s="26" t="str">
        <f t="shared" si="1"/>
        <v/>
      </c>
      <c r="I9292" s="26" t="str">
        <f t="shared" si="2"/>
        <v/>
      </c>
      <c r="J9292" s="86">
        <f t="shared" si="3"/>
        <v>0</v>
      </c>
      <c r="R9292" s="26"/>
    </row>
    <row r="9293" spans="1:18" ht="15.75" customHeight="1">
      <c r="A9293" s="26"/>
      <c r="B9293" s="86"/>
      <c r="D9293" s="26"/>
      <c r="F9293" s="87" t="str">
        <f t="shared" si="0"/>
        <v/>
      </c>
      <c r="H9293" s="26" t="str">
        <f t="shared" si="1"/>
        <v/>
      </c>
      <c r="I9293" s="26" t="str">
        <f t="shared" si="2"/>
        <v/>
      </c>
      <c r="J9293" s="86">
        <f t="shared" si="3"/>
        <v>0</v>
      </c>
      <c r="R9293" s="26"/>
    </row>
    <row r="9294" spans="1:18" ht="15.75" customHeight="1">
      <c r="A9294" s="26"/>
      <c r="B9294" s="86"/>
      <c r="D9294" s="26"/>
      <c r="F9294" s="87" t="str">
        <f t="shared" si="0"/>
        <v/>
      </c>
      <c r="H9294" s="26" t="str">
        <f t="shared" si="1"/>
        <v/>
      </c>
      <c r="I9294" s="26" t="str">
        <f t="shared" si="2"/>
        <v/>
      </c>
      <c r="J9294" s="86">
        <f t="shared" si="3"/>
        <v>0</v>
      </c>
      <c r="R9294" s="26"/>
    </row>
    <row r="9295" spans="1:18" ht="15.75" customHeight="1">
      <c r="A9295" s="26"/>
      <c r="B9295" s="86"/>
      <c r="D9295" s="26"/>
      <c r="F9295" s="87" t="str">
        <f t="shared" si="0"/>
        <v/>
      </c>
      <c r="H9295" s="26" t="str">
        <f t="shared" si="1"/>
        <v/>
      </c>
      <c r="I9295" s="26" t="str">
        <f t="shared" si="2"/>
        <v/>
      </c>
      <c r="J9295" s="86">
        <f t="shared" si="3"/>
        <v>0</v>
      </c>
      <c r="R9295" s="26"/>
    </row>
    <row r="9296" spans="1:18" ht="15.75" customHeight="1">
      <c r="A9296" s="26"/>
      <c r="B9296" s="86"/>
      <c r="D9296" s="26"/>
      <c r="F9296" s="87" t="str">
        <f t="shared" si="0"/>
        <v/>
      </c>
      <c r="H9296" s="26" t="str">
        <f t="shared" si="1"/>
        <v/>
      </c>
      <c r="I9296" s="26" t="str">
        <f t="shared" si="2"/>
        <v/>
      </c>
      <c r="J9296" s="86">
        <f t="shared" si="3"/>
        <v>0</v>
      </c>
      <c r="R9296" s="26"/>
    </row>
    <row r="9297" spans="1:18" ht="15.75" customHeight="1">
      <c r="A9297" s="26"/>
      <c r="B9297" s="86"/>
      <c r="D9297" s="26"/>
      <c r="F9297" s="87" t="str">
        <f t="shared" si="0"/>
        <v/>
      </c>
      <c r="H9297" s="26" t="str">
        <f t="shared" si="1"/>
        <v/>
      </c>
      <c r="I9297" s="26" t="str">
        <f t="shared" si="2"/>
        <v/>
      </c>
      <c r="J9297" s="86">
        <f t="shared" si="3"/>
        <v>0</v>
      </c>
      <c r="R9297" s="26"/>
    </row>
    <row r="9298" spans="1:18" ht="15.75" customHeight="1">
      <c r="A9298" s="26"/>
      <c r="B9298" s="86"/>
      <c r="D9298" s="26"/>
      <c r="F9298" s="87" t="str">
        <f t="shared" si="0"/>
        <v/>
      </c>
      <c r="H9298" s="26" t="str">
        <f t="shared" si="1"/>
        <v/>
      </c>
      <c r="I9298" s="26" t="str">
        <f t="shared" si="2"/>
        <v/>
      </c>
      <c r="J9298" s="86">
        <f t="shared" si="3"/>
        <v>0</v>
      </c>
      <c r="R9298" s="26"/>
    </row>
    <row r="9299" spans="1:18" ht="15.75" customHeight="1">
      <c r="A9299" s="26"/>
      <c r="B9299" s="86"/>
      <c r="D9299" s="26"/>
      <c r="F9299" s="87" t="str">
        <f t="shared" si="0"/>
        <v/>
      </c>
      <c r="H9299" s="26" t="str">
        <f t="shared" si="1"/>
        <v/>
      </c>
      <c r="I9299" s="26" t="str">
        <f t="shared" si="2"/>
        <v/>
      </c>
      <c r="J9299" s="86">
        <f t="shared" si="3"/>
        <v>0</v>
      </c>
      <c r="R9299" s="26"/>
    </row>
    <row r="9300" spans="1:18" ht="15.75" customHeight="1">
      <c r="A9300" s="26"/>
      <c r="B9300" s="86"/>
      <c r="D9300" s="26"/>
      <c r="F9300" s="87" t="str">
        <f t="shared" si="0"/>
        <v/>
      </c>
      <c r="H9300" s="26" t="str">
        <f t="shared" si="1"/>
        <v/>
      </c>
      <c r="I9300" s="26" t="str">
        <f t="shared" si="2"/>
        <v/>
      </c>
      <c r="J9300" s="86">
        <f t="shared" si="3"/>
        <v>0</v>
      </c>
      <c r="R9300" s="26"/>
    </row>
    <row r="9301" spans="1:18" ht="15.75" customHeight="1">
      <c r="A9301" s="26"/>
      <c r="B9301" s="86"/>
      <c r="D9301" s="26"/>
      <c r="F9301" s="87" t="str">
        <f t="shared" si="0"/>
        <v/>
      </c>
      <c r="H9301" s="26" t="str">
        <f t="shared" si="1"/>
        <v/>
      </c>
      <c r="I9301" s="26" t="str">
        <f t="shared" si="2"/>
        <v/>
      </c>
      <c r="J9301" s="86">
        <f t="shared" si="3"/>
        <v>0</v>
      </c>
      <c r="R9301" s="26"/>
    </row>
    <row r="9302" spans="1:18" ht="15.75" customHeight="1">
      <c r="A9302" s="26"/>
      <c r="B9302" s="86"/>
      <c r="D9302" s="26"/>
      <c r="F9302" s="87" t="str">
        <f t="shared" si="0"/>
        <v/>
      </c>
      <c r="H9302" s="26" t="str">
        <f t="shared" si="1"/>
        <v/>
      </c>
      <c r="I9302" s="26" t="str">
        <f t="shared" si="2"/>
        <v/>
      </c>
      <c r="J9302" s="86">
        <f t="shared" si="3"/>
        <v>0</v>
      </c>
      <c r="R9302" s="26"/>
    </row>
    <row r="9303" spans="1:18" ht="15.75" customHeight="1">
      <c r="A9303" s="26"/>
      <c r="B9303" s="86"/>
      <c r="D9303" s="26"/>
      <c r="F9303" s="87" t="str">
        <f t="shared" si="0"/>
        <v/>
      </c>
      <c r="H9303" s="26" t="str">
        <f t="shared" si="1"/>
        <v/>
      </c>
      <c r="I9303" s="26" t="str">
        <f t="shared" si="2"/>
        <v/>
      </c>
      <c r="J9303" s="86">
        <f t="shared" si="3"/>
        <v>0</v>
      </c>
      <c r="R9303" s="26"/>
    </row>
    <row r="9304" spans="1:18" ht="15.75" customHeight="1">
      <c r="A9304" s="26"/>
      <c r="B9304" s="86"/>
      <c r="D9304" s="26"/>
      <c r="F9304" s="87" t="str">
        <f t="shared" si="0"/>
        <v/>
      </c>
      <c r="H9304" s="26" t="str">
        <f t="shared" si="1"/>
        <v/>
      </c>
      <c r="I9304" s="26" t="str">
        <f t="shared" si="2"/>
        <v/>
      </c>
      <c r="J9304" s="86">
        <f t="shared" si="3"/>
        <v>0</v>
      </c>
      <c r="R9304" s="26"/>
    </row>
    <row r="9305" spans="1:18" ht="15.75" customHeight="1">
      <c r="A9305" s="26"/>
      <c r="B9305" s="86"/>
      <c r="D9305" s="26"/>
      <c r="F9305" s="87" t="str">
        <f t="shared" si="0"/>
        <v/>
      </c>
      <c r="H9305" s="26" t="str">
        <f t="shared" si="1"/>
        <v/>
      </c>
      <c r="I9305" s="26" t="str">
        <f t="shared" si="2"/>
        <v/>
      </c>
      <c r="J9305" s="86">
        <f t="shared" si="3"/>
        <v>0</v>
      </c>
      <c r="R9305" s="26"/>
    </row>
    <row r="9306" spans="1:18" ht="15.75" customHeight="1">
      <c r="A9306" s="26"/>
      <c r="B9306" s="86"/>
      <c r="D9306" s="26"/>
      <c r="F9306" s="87" t="str">
        <f t="shared" si="0"/>
        <v/>
      </c>
      <c r="H9306" s="26" t="str">
        <f t="shared" si="1"/>
        <v/>
      </c>
      <c r="I9306" s="26" t="str">
        <f t="shared" si="2"/>
        <v/>
      </c>
      <c r="J9306" s="86">
        <f t="shared" si="3"/>
        <v>0</v>
      </c>
      <c r="R9306" s="26"/>
    </row>
    <row r="9307" spans="1:18" ht="15.75" customHeight="1">
      <c r="A9307" s="26"/>
      <c r="B9307" s="86"/>
      <c r="D9307" s="26"/>
      <c r="F9307" s="87" t="str">
        <f t="shared" si="0"/>
        <v/>
      </c>
      <c r="H9307" s="26" t="str">
        <f t="shared" si="1"/>
        <v/>
      </c>
      <c r="I9307" s="26" t="str">
        <f t="shared" si="2"/>
        <v/>
      </c>
      <c r="J9307" s="86">
        <f t="shared" si="3"/>
        <v>0</v>
      </c>
      <c r="R9307" s="26"/>
    </row>
    <row r="9308" spans="1:18" ht="15.75" customHeight="1">
      <c r="A9308" s="26"/>
      <c r="B9308" s="86"/>
      <c r="D9308" s="26"/>
      <c r="F9308" s="87" t="str">
        <f t="shared" si="0"/>
        <v/>
      </c>
      <c r="H9308" s="26" t="str">
        <f t="shared" si="1"/>
        <v/>
      </c>
      <c r="I9308" s="26" t="str">
        <f t="shared" si="2"/>
        <v/>
      </c>
      <c r="J9308" s="86">
        <f t="shared" si="3"/>
        <v>0</v>
      </c>
      <c r="R9308" s="26"/>
    </row>
    <row r="9309" spans="1:18" ht="15.75" customHeight="1">
      <c r="A9309" s="26"/>
      <c r="B9309" s="86"/>
      <c r="D9309" s="26"/>
      <c r="F9309" s="87" t="str">
        <f t="shared" si="0"/>
        <v/>
      </c>
      <c r="H9309" s="26" t="str">
        <f t="shared" si="1"/>
        <v/>
      </c>
      <c r="I9309" s="26" t="str">
        <f t="shared" si="2"/>
        <v/>
      </c>
      <c r="J9309" s="86">
        <f t="shared" si="3"/>
        <v>0</v>
      </c>
      <c r="R9309" s="26"/>
    </row>
    <row r="9310" spans="1:18" ht="15.75" customHeight="1">
      <c r="A9310" s="26"/>
      <c r="B9310" s="86"/>
      <c r="D9310" s="26"/>
      <c r="F9310" s="87" t="str">
        <f t="shared" si="0"/>
        <v/>
      </c>
      <c r="H9310" s="26" t="str">
        <f t="shared" si="1"/>
        <v/>
      </c>
      <c r="I9310" s="26" t="str">
        <f t="shared" si="2"/>
        <v/>
      </c>
      <c r="J9310" s="86">
        <f t="shared" si="3"/>
        <v>0</v>
      </c>
      <c r="R9310" s="26"/>
    </row>
    <row r="9311" spans="1:18" ht="15.75" customHeight="1">
      <c r="A9311" s="26"/>
      <c r="B9311" s="86"/>
      <c r="D9311" s="26"/>
      <c r="F9311" s="87" t="str">
        <f t="shared" si="0"/>
        <v/>
      </c>
      <c r="H9311" s="26" t="str">
        <f t="shared" si="1"/>
        <v/>
      </c>
      <c r="I9311" s="26" t="str">
        <f t="shared" si="2"/>
        <v/>
      </c>
      <c r="J9311" s="86">
        <f t="shared" si="3"/>
        <v>0</v>
      </c>
      <c r="R9311" s="26"/>
    </row>
    <row r="9312" spans="1:18" ht="15.75" customHeight="1">
      <c r="A9312" s="26"/>
      <c r="B9312" s="86"/>
      <c r="D9312" s="26"/>
      <c r="F9312" s="87" t="str">
        <f t="shared" si="0"/>
        <v/>
      </c>
      <c r="H9312" s="26" t="str">
        <f t="shared" si="1"/>
        <v/>
      </c>
      <c r="I9312" s="26" t="str">
        <f t="shared" si="2"/>
        <v/>
      </c>
      <c r="J9312" s="86">
        <f t="shared" si="3"/>
        <v>0</v>
      </c>
      <c r="R9312" s="26"/>
    </row>
    <row r="9313" spans="1:18" ht="15.75" customHeight="1">
      <c r="A9313" s="26"/>
      <c r="B9313" s="86"/>
      <c r="D9313" s="26"/>
      <c r="F9313" s="87" t="str">
        <f t="shared" si="0"/>
        <v/>
      </c>
      <c r="H9313" s="26" t="str">
        <f t="shared" si="1"/>
        <v/>
      </c>
      <c r="I9313" s="26" t="str">
        <f t="shared" si="2"/>
        <v/>
      </c>
      <c r="J9313" s="86">
        <f t="shared" si="3"/>
        <v>0</v>
      </c>
      <c r="R9313" s="26"/>
    </row>
    <row r="9314" spans="1:18" ht="15.75" customHeight="1">
      <c r="A9314" s="26"/>
      <c r="B9314" s="86"/>
      <c r="D9314" s="26"/>
      <c r="F9314" s="87" t="str">
        <f t="shared" si="0"/>
        <v/>
      </c>
      <c r="H9314" s="26" t="str">
        <f t="shared" si="1"/>
        <v/>
      </c>
      <c r="I9314" s="26" t="str">
        <f t="shared" si="2"/>
        <v/>
      </c>
      <c r="J9314" s="86">
        <f t="shared" si="3"/>
        <v>0</v>
      </c>
      <c r="R9314" s="26"/>
    </row>
    <row r="9315" spans="1:18" ht="15.75" customHeight="1">
      <c r="A9315" s="26"/>
      <c r="B9315" s="86"/>
      <c r="D9315" s="26"/>
      <c r="F9315" s="87" t="str">
        <f t="shared" si="0"/>
        <v/>
      </c>
      <c r="H9315" s="26" t="str">
        <f t="shared" si="1"/>
        <v/>
      </c>
      <c r="I9315" s="26" t="str">
        <f t="shared" si="2"/>
        <v/>
      </c>
      <c r="J9315" s="86">
        <f t="shared" si="3"/>
        <v>0</v>
      </c>
      <c r="R9315" s="26"/>
    </row>
    <row r="9316" spans="1:18" ht="15.75" customHeight="1">
      <c r="A9316" s="26"/>
      <c r="B9316" s="86"/>
      <c r="D9316" s="26"/>
      <c r="F9316" s="87" t="str">
        <f t="shared" si="0"/>
        <v/>
      </c>
      <c r="H9316" s="26" t="str">
        <f t="shared" si="1"/>
        <v/>
      </c>
      <c r="I9316" s="26" t="str">
        <f t="shared" si="2"/>
        <v/>
      </c>
      <c r="J9316" s="86">
        <f t="shared" si="3"/>
        <v>0</v>
      </c>
      <c r="R9316" s="26"/>
    </row>
    <row r="9317" spans="1:18" ht="15.75" customHeight="1">
      <c r="A9317" s="26"/>
      <c r="B9317" s="86"/>
      <c r="D9317" s="26"/>
      <c r="F9317" s="87" t="str">
        <f t="shared" si="0"/>
        <v/>
      </c>
      <c r="H9317" s="26" t="str">
        <f t="shared" si="1"/>
        <v/>
      </c>
      <c r="I9317" s="26" t="str">
        <f t="shared" si="2"/>
        <v/>
      </c>
      <c r="J9317" s="86">
        <f t="shared" si="3"/>
        <v>0</v>
      </c>
      <c r="R9317" s="26"/>
    </row>
    <row r="9318" spans="1:18" ht="15.75" customHeight="1">
      <c r="A9318" s="26"/>
      <c r="B9318" s="86"/>
      <c r="D9318" s="26"/>
      <c r="F9318" s="87" t="str">
        <f t="shared" si="0"/>
        <v/>
      </c>
      <c r="H9318" s="26" t="str">
        <f t="shared" si="1"/>
        <v/>
      </c>
      <c r="I9318" s="26" t="str">
        <f t="shared" si="2"/>
        <v/>
      </c>
      <c r="J9318" s="86">
        <f t="shared" si="3"/>
        <v>0</v>
      </c>
      <c r="R9318" s="26"/>
    </row>
    <row r="9319" spans="1:18" ht="15.75" customHeight="1">
      <c r="A9319" s="26"/>
      <c r="B9319" s="86"/>
      <c r="D9319" s="26"/>
      <c r="F9319" s="87" t="str">
        <f t="shared" si="0"/>
        <v/>
      </c>
      <c r="H9319" s="26" t="str">
        <f t="shared" si="1"/>
        <v/>
      </c>
      <c r="I9319" s="26" t="str">
        <f t="shared" si="2"/>
        <v/>
      </c>
      <c r="J9319" s="86">
        <f t="shared" si="3"/>
        <v>0</v>
      </c>
      <c r="R9319" s="26"/>
    </row>
    <row r="9320" spans="1:18" ht="15.75" customHeight="1">
      <c r="A9320" s="26"/>
      <c r="B9320" s="86"/>
      <c r="D9320" s="26"/>
      <c r="F9320" s="87" t="str">
        <f t="shared" si="0"/>
        <v/>
      </c>
      <c r="H9320" s="26" t="str">
        <f t="shared" si="1"/>
        <v/>
      </c>
      <c r="I9320" s="26" t="str">
        <f t="shared" si="2"/>
        <v/>
      </c>
      <c r="J9320" s="86">
        <f t="shared" si="3"/>
        <v>0</v>
      </c>
      <c r="R9320" s="26"/>
    </row>
    <row r="9321" spans="1:18" ht="15.75" customHeight="1">
      <c r="A9321" s="26"/>
      <c r="B9321" s="86"/>
      <c r="D9321" s="26"/>
      <c r="F9321" s="87" t="str">
        <f t="shared" si="0"/>
        <v/>
      </c>
      <c r="H9321" s="26" t="str">
        <f t="shared" si="1"/>
        <v/>
      </c>
      <c r="I9321" s="26" t="str">
        <f t="shared" si="2"/>
        <v/>
      </c>
      <c r="J9321" s="86">
        <f t="shared" si="3"/>
        <v>0</v>
      </c>
      <c r="R9321" s="26"/>
    </row>
    <row r="9322" spans="1:18" ht="15.75" customHeight="1">
      <c r="A9322" s="26"/>
      <c r="B9322" s="86"/>
      <c r="D9322" s="26"/>
      <c r="F9322" s="87" t="str">
        <f t="shared" si="0"/>
        <v/>
      </c>
      <c r="H9322" s="26" t="str">
        <f t="shared" si="1"/>
        <v/>
      </c>
      <c r="I9322" s="26" t="str">
        <f t="shared" si="2"/>
        <v/>
      </c>
      <c r="J9322" s="86">
        <f t="shared" si="3"/>
        <v>0</v>
      </c>
      <c r="R9322" s="26"/>
    </row>
    <row r="9323" spans="1:18" ht="15.75" customHeight="1">
      <c r="A9323" s="26"/>
      <c r="B9323" s="86"/>
      <c r="D9323" s="26"/>
      <c r="F9323" s="87" t="str">
        <f t="shared" si="0"/>
        <v/>
      </c>
      <c r="H9323" s="26" t="str">
        <f t="shared" si="1"/>
        <v/>
      </c>
      <c r="I9323" s="26" t="str">
        <f t="shared" si="2"/>
        <v/>
      </c>
      <c r="J9323" s="86">
        <f t="shared" si="3"/>
        <v>0</v>
      </c>
      <c r="R9323" s="26"/>
    </row>
    <row r="9324" spans="1:18" ht="15.75" customHeight="1">
      <c r="A9324" s="26"/>
      <c r="B9324" s="86"/>
      <c r="D9324" s="26"/>
      <c r="F9324" s="87" t="str">
        <f t="shared" si="0"/>
        <v/>
      </c>
      <c r="H9324" s="26" t="str">
        <f t="shared" si="1"/>
        <v/>
      </c>
      <c r="I9324" s="26" t="str">
        <f t="shared" si="2"/>
        <v/>
      </c>
      <c r="J9324" s="86">
        <f t="shared" si="3"/>
        <v>0</v>
      </c>
      <c r="R9324" s="26"/>
    </row>
    <row r="9325" spans="1:18" ht="15.75" customHeight="1">
      <c r="A9325" s="26"/>
      <c r="B9325" s="86"/>
      <c r="D9325" s="26"/>
      <c r="F9325" s="87" t="str">
        <f t="shared" si="0"/>
        <v/>
      </c>
      <c r="H9325" s="26" t="str">
        <f t="shared" si="1"/>
        <v/>
      </c>
      <c r="I9325" s="26" t="str">
        <f t="shared" si="2"/>
        <v/>
      </c>
      <c r="J9325" s="86">
        <f t="shared" si="3"/>
        <v>0</v>
      </c>
      <c r="R9325" s="26"/>
    </row>
    <row r="9326" spans="1:18" ht="15.75" customHeight="1">
      <c r="A9326" s="26"/>
      <c r="B9326" s="86"/>
      <c r="D9326" s="26"/>
      <c r="F9326" s="87" t="str">
        <f t="shared" si="0"/>
        <v/>
      </c>
      <c r="H9326" s="26" t="str">
        <f t="shared" si="1"/>
        <v/>
      </c>
      <c r="I9326" s="26" t="str">
        <f t="shared" si="2"/>
        <v/>
      </c>
      <c r="J9326" s="86">
        <f t="shared" si="3"/>
        <v>0</v>
      </c>
      <c r="R9326" s="26"/>
    </row>
    <row r="9327" spans="1:18" ht="15.75" customHeight="1">
      <c r="A9327" s="26"/>
      <c r="B9327" s="86"/>
      <c r="D9327" s="26"/>
      <c r="F9327" s="87" t="str">
        <f t="shared" si="0"/>
        <v/>
      </c>
      <c r="H9327" s="26" t="str">
        <f t="shared" si="1"/>
        <v/>
      </c>
      <c r="I9327" s="26" t="str">
        <f t="shared" si="2"/>
        <v/>
      </c>
      <c r="J9327" s="86">
        <f t="shared" si="3"/>
        <v>0</v>
      </c>
      <c r="R9327" s="26"/>
    </row>
    <row r="9328" spans="1:18" ht="15.75" customHeight="1">
      <c r="A9328" s="26"/>
      <c r="B9328" s="86"/>
      <c r="D9328" s="26"/>
      <c r="F9328" s="87" t="str">
        <f t="shared" si="0"/>
        <v/>
      </c>
      <c r="H9328" s="26" t="str">
        <f t="shared" si="1"/>
        <v/>
      </c>
      <c r="I9328" s="26" t="str">
        <f t="shared" si="2"/>
        <v/>
      </c>
      <c r="J9328" s="86">
        <f t="shared" si="3"/>
        <v>0</v>
      </c>
      <c r="R9328" s="26"/>
    </row>
    <row r="9329" spans="1:18" ht="15.75" customHeight="1">
      <c r="A9329" s="26"/>
      <c r="B9329" s="86"/>
      <c r="D9329" s="26"/>
      <c r="F9329" s="87" t="str">
        <f t="shared" si="0"/>
        <v/>
      </c>
      <c r="H9329" s="26" t="str">
        <f t="shared" si="1"/>
        <v/>
      </c>
      <c r="I9329" s="26" t="str">
        <f t="shared" si="2"/>
        <v/>
      </c>
      <c r="J9329" s="86">
        <f t="shared" si="3"/>
        <v>0</v>
      </c>
      <c r="R9329" s="26"/>
    </row>
    <row r="9330" spans="1:18" ht="15.75" customHeight="1">
      <c r="A9330" s="26"/>
      <c r="B9330" s="86"/>
      <c r="D9330" s="26"/>
      <c r="F9330" s="87" t="str">
        <f t="shared" si="0"/>
        <v/>
      </c>
      <c r="H9330" s="26" t="str">
        <f t="shared" si="1"/>
        <v/>
      </c>
      <c r="I9330" s="26" t="str">
        <f t="shared" si="2"/>
        <v/>
      </c>
      <c r="J9330" s="86">
        <f t="shared" si="3"/>
        <v>0</v>
      </c>
      <c r="R9330" s="26"/>
    </row>
    <row r="9331" spans="1:18" ht="15.75" customHeight="1">
      <c r="A9331" s="26"/>
      <c r="B9331" s="86"/>
      <c r="D9331" s="26"/>
      <c r="F9331" s="87" t="str">
        <f t="shared" si="0"/>
        <v/>
      </c>
      <c r="H9331" s="26" t="str">
        <f t="shared" si="1"/>
        <v/>
      </c>
      <c r="I9331" s="26" t="str">
        <f t="shared" si="2"/>
        <v/>
      </c>
      <c r="J9331" s="86">
        <f t="shared" si="3"/>
        <v>0</v>
      </c>
      <c r="R9331" s="26"/>
    </row>
    <row r="9332" spans="1:18" ht="15.75" customHeight="1">
      <c r="A9332" s="26"/>
      <c r="B9332" s="86"/>
      <c r="D9332" s="26"/>
      <c r="F9332" s="87" t="str">
        <f t="shared" si="0"/>
        <v/>
      </c>
      <c r="H9332" s="26" t="str">
        <f t="shared" si="1"/>
        <v/>
      </c>
      <c r="I9332" s="26" t="str">
        <f t="shared" si="2"/>
        <v/>
      </c>
      <c r="J9332" s="86">
        <f t="shared" si="3"/>
        <v>0</v>
      </c>
      <c r="R9332" s="26"/>
    </row>
    <row r="9333" spans="1:18" ht="15.75" customHeight="1">
      <c r="A9333" s="26"/>
      <c r="B9333" s="86"/>
      <c r="D9333" s="26"/>
      <c r="F9333" s="87" t="str">
        <f t="shared" si="0"/>
        <v/>
      </c>
      <c r="H9333" s="26" t="str">
        <f t="shared" si="1"/>
        <v/>
      </c>
      <c r="I9333" s="26" t="str">
        <f t="shared" si="2"/>
        <v/>
      </c>
      <c r="J9333" s="86">
        <f t="shared" si="3"/>
        <v>0</v>
      </c>
      <c r="R9333" s="26"/>
    </row>
    <row r="9334" spans="1:18" ht="15.75" customHeight="1">
      <c r="A9334" s="26"/>
      <c r="B9334" s="86"/>
      <c r="D9334" s="26"/>
      <c r="F9334" s="87" t="str">
        <f t="shared" si="0"/>
        <v/>
      </c>
      <c r="H9334" s="26" t="str">
        <f t="shared" si="1"/>
        <v/>
      </c>
      <c r="I9334" s="26" t="str">
        <f t="shared" si="2"/>
        <v/>
      </c>
      <c r="J9334" s="86">
        <f t="shared" si="3"/>
        <v>0</v>
      </c>
      <c r="R9334" s="26"/>
    </row>
    <row r="9335" spans="1:18" ht="15.75" customHeight="1">
      <c r="A9335" s="26"/>
      <c r="B9335" s="86"/>
      <c r="D9335" s="26"/>
      <c r="F9335" s="87" t="str">
        <f t="shared" si="0"/>
        <v/>
      </c>
      <c r="H9335" s="26" t="str">
        <f t="shared" si="1"/>
        <v/>
      </c>
      <c r="I9335" s="26" t="str">
        <f t="shared" si="2"/>
        <v/>
      </c>
      <c r="J9335" s="86">
        <f t="shared" si="3"/>
        <v>0</v>
      </c>
      <c r="R9335" s="26"/>
    </row>
    <row r="9336" spans="1:18" ht="15.75" customHeight="1">
      <c r="A9336" s="26"/>
      <c r="B9336" s="86"/>
      <c r="D9336" s="26"/>
      <c r="F9336" s="87" t="str">
        <f t="shared" si="0"/>
        <v/>
      </c>
      <c r="H9336" s="26" t="str">
        <f t="shared" si="1"/>
        <v/>
      </c>
      <c r="I9336" s="26" t="str">
        <f t="shared" si="2"/>
        <v/>
      </c>
      <c r="J9336" s="86">
        <f t="shared" si="3"/>
        <v>0</v>
      </c>
      <c r="R9336" s="26"/>
    </row>
    <row r="9337" spans="1:18" ht="15.75" customHeight="1">
      <c r="A9337" s="26"/>
      <c r="B9337" s="86"/>
      <c r="D9337" s="26"/>
      <c r="F9337" s="87" t="str">
        <f t="shared" si="0"/>
        <v/>
      </c>
      <c r="H9337" s="26" t="str">
        <f t="shared" si="1"/>
        <v/>
      </c>
      <c r="I9337" s="26" t="str">
        <f t="shared" si="2"/>
        <v/>
      </c>
      <c r="J9337" s="86">
        <f t="shared" si="3"/>
        <v>0</v>
      </c>
      <c r="R9337" s="26"/>
    </row>
    <row r="9338" spans="1:18" ht="15.75" customHeight="1">
      <c r="A9338" s="26"/>
      <c r="B9338" s="86"/>
      <c r="D9338" s="26"/>
      <c r="F9338" s="87" t="str">
        <f t="shared" si="0"/>
        <v/>
      </c>
      <c r="H9338" s="26" t="str">
        <f t="shared" si="1"/>
        <v/>
      </c>
      <c r="I9338" s="26" t="str">
        <f t="shared" si="2"/>
        <v/>
      </c>
      <c r="J9338" s="86">
        <f t="shared" si="3"/>
        <v>0</v>
      </c>
      <c r="R9338" s="26"/>
    </row>
    <row r="9339" spans="1:18" ht="15.75" customHeight="1">
      <c r="A9339" s="26"/>
      <c r="B9339" s="86"/>
      <c r="D9339" s="26"/>
      <c r="F9339" s="87" t="str">
        <f t="shared" si="0"/>
        <v/>
      </c>
      <c r="H9339" s="26" t="str">
        <f t="shared" si="1"/>
        <v/>
      </c>
      <c r="I9339" s="26" t="str">
        <f t="shared" si="2"/>
        <v/>
      </c>
      <c r="J9339" s="86">
        <f t="shared" si="3"/>
        <v>0</v>
      </c>
      <c r="R9339" s="26"/>
    </row>
    <row r="9340" spans="1:18" ht="15.75" customHeight="1">
      <c r="A9340" s="26"/>
      <c r="B9340" s="86"/>
      <c r="D9340" s="26"/>
      <c r="F9340" s="87" t="str">
        <f t="shared" si="0"/>
        <v/>
      </c>
      <c r="H9340" s="26" t="str">
        <f t="shared" si="1"/>
        <v/>
      </c>
      <c r="I9340" s="26" t="str">
        <f t="shared" si="2"/>
        <v/>
      </c>
      <c r="J9340" s="86">
        <f t="shared" si="3"/>
        <v>0</v>
      </c>
      <c r="R9340" s="26"/>
    </row>
    <row r="9341" spans="1:18" ht="15.75" customHeight="1">
      <c r="A9341" s="26"/>
      <c r="B9341" s="86"/>
      <c r="D9341" s="26"/>
      <c r="F9341" s="87" t="str">
        <f t="shared" si="0"/>
        <v/>
      </c>
      <c r="H9341" s="26" t="str">
        <f t="shared" si="1"/>
        <v/>
      </c>
      <c r="I9341" s="26" t="str">
        <f t="shared" si="2"/>
        <v/>
      </c>
      <c r="J9341" s="86">
        <f t="shared" si="3"/>
        <v>0</v>
      </c>
      <c r="R9341" s="26"/>
    </row>
    <row r="9342" spans="1:18" ht="15.75" customHeight="1">
      <c r="A9342" s="26"/>
      <c r="B9342" s="86"/>
      <c r="D9342" s="26"/>
      <c r="F9342" s="87" t="str">
        <f t="shared" si="0"/>
        <v/>
      </c>
      <c r="H9342" s="26" t="str">
        <f t="shared" si="1"/>
        <v/>
      </c>
      <c r="I9342" s="26" t="str">
        <f t="shared" si="2"/>
        <v/>
      </c>
      <c r="J9342" s="86">
        <f t="shared" si="3"/>
        <v>0</v>
      </c>
      <c r="R9342" s="26"/>
    </row>
    <row r="9343" spans="1:18" ht="15.75" customHeight="1">
      <c r="A9343" s="26"/>
      <c r="B9343" s="86"/>
      <c r="D9343" s="26"/>
      <c r="F9343" s="87" t="str">
        <f t="shared" si="0"/>
        <v/>
      </c>
      <c r="H9343" s="26" t="str">
        <f t="shared" si="1"/>
        <v/>
      </c>
      <c r="I9343" s="26" t="str">
        <f t="shared" si="2"/>
        <v/>
      </c>
      <c r="J9343" s="86">
        <f t="shared" si="3"/>
        <v>0</v>
      </c>
      <c r="R9343" s="26"/>
    </row>
    <row r="9344" spans="1:18" ht="15.75" customHeight="1">
      <c r="A9344" s="26"/>
      <c r="B9344" s="86"/>
      <c r="D9344" s="26"/>
      <c r="F9344" s="87" t="str">
        <f t="shared" si="0"/>
        <v/>
      </c>
      <c r="H9344" s="26" t="str">
        <f t="shared" si="1"/>
        <v/>
      </c>
      <c r="I9344" s="26" t="str">
        <f t="shared" si="2"/>
        <v/>
      </c>
      <c r="J9344" s="86">
        <f t="shared" si="3"/>
        <v>0</v>
      </c>
      <c r="R9344" s="26"/>
    </row>
    <row r="9345" spans="1:18" ht="15.75" customHeight="1">
      <c r="A9345" s="26"/>
      <c r="B9345" s="86"/>
      <c r="D9345" s="26"/>
      <c r="F9345" s="87" t="str">
        <f t="shared" si="0"/>
        <v/>
      </c>
      <c r="H9345" s="26" t="str">
        <f t="shared" si="1"/>
        <v/>
      </c>
      <c r="I9345" s="26" t="str">
        <f t="shared" si="2"/>
        <v/>
      </c>
      <c r="J9345" s="86">
        <f t="shared" si="3"/>
        <v>0</v>
      </c>
      <c r="R9345" s="26"/>
    </row>
    <row r="9346" spans="1:18" ht="15.75" customHeight="1">
      <c r="A9346" s="26"/>
      <c r="B9346" s="86"/>
      <c r="D9346" s="26"/>
      <c r="F9346" s="87" t="str">
        <f t="shared" si="0"/>
        <v/>
      </c>
      <c r="H9346" s="26" t="str">
        <f t="shared" si="1"/>
        <v/>
      </c>
      <c r="I9346" s="26" t="str">
        <f t="shared" si="2"/>
        <v/>
      </c>
      <c r="J9346" s="86">
        <f t="shared" si="3"/>
        <v>0</v>
      </c>
      <c r="R9346" s="26"/>
    </row>
    <row r="9347" spans="1:18" ht="15.75" customHeight="1">
      <c r="A9347" s="26"/>
      <c r="B9347" s="86"/>
      <c r="D9347" s="26"/>
      <c r="F9347" s="87" t="str">
        <f t="shared" si="0"/>
        <v/>
      </c>
      <c r="H9347" s="26" t="str">
        <f t="shared" si="1"/>
        <v/>
      </c>
      <c r="I9347" s="26" t="str">
        <f t="shared" si="2"/>
        <v/>
      </c>
      <c r="J9347" s="86">
        <f t="shared" si="3"/>
        <v>0</v>
      </c>
      <c r="R9347" s="26"/>
    </row>
    <row r="9348" spans="1:18" ht="15.75" customHeight="1">
      <c r="A9348" s="26"/>
      <c r="B9348" s="86"/>
      <c r="D9348" s="26"/>
      <c r="F9348" s="87" t="str">
        <f t="shared" si="0"/>
        <v/>
      </c>
      <c r="H9348" s="26" t="str">
        <f t="shared" si="1"/>
        <v/>
      </c>
      <c r="I9348" s="26" t="str">
        <f t="shared" si="2"/>
        <v/>
      </c>
      <c r="J9348" s="86">
        <f t="shared" si="3"/>
        <v>0</v>
      </c>
      <c r="R9348" s="26"/>
    </row>
    <row r="9349" spans="1:18" ht="15.75" customHeight="1">
      <c r="A9349" s="26"/>
      <c r="B9349" s="86"/>
      <c r="D9349" s="26"/>
      <c r="F9349" s="87" t="str">
        <f t="shared" si="0"/>
        <v/>
      </c>
      <c r="H9349" s="26" t="str">
        <f t="shared" si="1"/>
        <v/>
      </c>
      <c r="I9349" s="26" t="str">
        <f t="shared" si="2"/>
        <v/>
      </c>
      <c r="J9349" s="86">
        <f t="shared" si="3"/>
        <v>0</v>
      </c>
      <c r="R9349" s="26"/>
    </row>
    <row r="9350" spans="1:18" ht="15.75" customHeight="1">
      <c r="A9350" s="26"/>
      <c r="B9350" s="86"/>
      <c r="D9350" s="26"/>
      <c r="F9350" s="87" t="str">
        <f t="shared" si="0"/>
        <v/>
      </c>
      <c r="H9350" s="26" t="str">
        <f t="shared" si="1"/>
        <v/>
      </c>
      <c r="I9350" s="26" t="str">
        <f t="shared" si="2"/>
        <v/>
      </c>
      <c r="J9350" s="86">
        <f t="shared" si="3"/>
        <v>0</v>
      </c>
      <c r="R9350" s="26"/>
    </row>
    <row r="9351" spans="1:18" ht="15.75" customHeight="1">
      <c r="A9351" s="26"/>
      <c r="B9351" s="86"/>
      <c r="D9351" s="26"/>
      <c r="F9351" s="87" t="str">
        <f t="shared" si="0"/>
        <v/>
      </c>
      <c r="H9351" s="26" t="str">
        <f t="shared" si="1"/>
        <v/>
      </c>
      <c r="I9351" s="26" t="str">
        <f t="shared" si="2"/>
        <v/>
      </c>
      <c r="J9351" s="86">
        <f t="shared" si="3"/>
        <v>0</v>
      </c>
      <c r="R9351" s="26"/>
    </row>
    <row r="9352" spans="1:18" ht="15.75" customHeight="1">
      <c r="A9352" s="26"/>
      <c r="B9352" s="86"/>
      <c r="D9352" s="26"/>
      <c r="F9352" s="87" t="str">
        <f t="shared" si="0"/>
        <v/>
      </c>
      <c r="H9352" s="26" t="str">
        <f t="shared" si="1"/>
        <v/>
      </c>
      <c r="I9352" s="26" t="str">
        <f t="shared" si="2"/>
        <v/>
      </c>
      <c r="J9352" s="86">
        <f t="shared" si="3"/>
        <v>0</v>
      </c>
      <c r="R9352" s="26"/>
    </row>
    <row r="9353" spans="1:18" ht="15.75" customHeight="1">
      <c r="A9353" s="26"/>
      <c r="B9353" s="86"/>
      <c r="D9353" s="26"/>
      <c r="F9353" s="87" t="str">
        <f t="shared" si="0"/>
        <v/>
      </c>
      <c r="H9353" s="26" t="str">
        <f t="shared" si="1"/>
        <v/>
      </c>
      <c r="I9353" s="26" t="str">
        <f t="shared" si="2"/>
        <v/>
      </c>
      <c r="J9353" s="86">
        <f t="shared" si="3"/>
        <v>0</v>
      </c>
      <c r="R9353" s="26"/>
    </row>
    <row r="9354" spans="1:18" ht="15.75" customHeight="1">
      <c r="A9354" s="26"/>
      <c r="B9354" s="86"/>
      <c r="D9354" s="26"/>
      <c r="F9354" s="87" t="str">
        <f t="shared" si="0"/>
        <v/>
      </c>
      <c r="H9354" s="26" t="str">
        <f t="shared" si="1"/>
        <v/>
      </c>
      <c r="I9354" s="26" t="str">
        <f t="shared" si="2"/>
        <v/>
      </c>
      <c r="J9354" s="86">
        <f t="shared" si="3"/>
        <v>0</v>
      </c>
      <c r="R9354" s="26"/>
    </row>
    <row r="9355" spans="1:18" ht="15.75" customHeight="1">
      <c r="A9355" s="26"/>
      <c r="B9355" s="86"/>
      <c r="D9355" s="26"/>
      <c r="F9355" s="87" t="str">
        <f t="shared" si="0"/>
        <v/>
      </c>
      <c r="H9355" s="26" t="str">
        <f t="shared" si="1"/>
        <v/>
      </c>
      <c r="I9355" s="26" t="str">
        <f t="shared" si="2"/>
        <v/>
      </c>
      <c r="J9355" s="86">
        <f t="shared" si="3"/>
        <v>0</v>
      </c>
      <c r="R9355" s="26"/>
    </row>
    <row r="9356" spans="1:18" ht="15.75" customHeight="1">
      <c r="A9356" s="26"/>
      <c r="B9356" s="86"/>
      <c r="D9356" s="26"/>
      <c r="F9356" s="87" t="str">
        <f t="shared" si="0"/>
        <v/>
      </c>
      <c r="H9356" s="26" t="str">
        <f t="shared" si="1"/>
        <v/>
      </c>
      <c r="I9356" s="26" t="str">
        <f t="shared" si="2"/>
        <v/>
      </c>
      <c r="J9356" s="86">
        <f t="shared" si="3"/>
        <v>0</v>
      </c>
      <c r="R9356" s="26"/>
    </row>
    <row r="9357" spans="1:18" ht="15.75" customHeight="1">
      <c r="A9357" s="26"/>
      <c r="B9357" s="86"/>
      <c r="D9357" s="26"/>
      <c r="F9357" s="87" t="str">
        <f t="shared" si="0"/>
        <v/>
      </c>
      <c r="H9357" s="26" t="str">
        <f t="shared" si="1"/>
        <v/>
      </c>
      <c r="I9357" s="26" t="str">
        <f t="shared" si="2"/>
        <v/>
      </c>
      <c r="J9357" s="86">
        <f t="shared" si="3"/>
        <v>0</v>
      </c>
      <c r="R9357" s="26"/>
    </row>
    <row r="9358" spans="1:18" ht="15.75" customHeight="1">
      <c r="A9358" s="26"/>
      <c r="B9358" s="86"/>
      <c r="D9358" s="26"/>
      <c r="F9358" s="87" t="str">
        <f t="shared" si="0"/>
        <v/>
      </c>
      <c r="H9358" s="26" t="str">
        <f t="shared" si="1"/>
        <v/>
      </c>
      <c r="I9358" s="26" t="str">
        <f t="shared" si="2"/>
        <v/>
      </c>
      <c r="J9358" s="86">
        <f t="shared" si="3"/>
        <v>0</v>
      </c>
      <c r="R9358" s="26"/>
    </row>
    <row r="9359" spans="1:18" ht="15.75" customHeight="1">
      <c r="A9359" s="26"/>
      <c r="B9359" s="86"/>
      <c r="D9359" s="26"/>
      <c r="F9359" s="87" t="str">
        <f t="shared" si="0"/>
        <v/>
      </c>
      <c r="H9359" s="26" t="str">
        <f t="shared" si="1"/>
        <v/>
      </c>
      <c r="I9359" s="26" t="str">
        <f t="shared" si="2"/>
        <v/>
      </c>
      <c r="J9359" s="86">
        <f t="shared" si="3"/>
        <v>0</v>
      </c>
      <c r="R9359" s="26"/>
    </row>
    <row r="9360" spans="1:18" ht="15.75" customHeight="1">
      <c r="A9360" s="26"/>
      <c r="B9360" s="86"/>
      <c r="D9360" s="26"/>
      <c r="F9360" s="87" t="str">
        <f t="shared" si="0"/>
        <v/>
      </c>
      <c r="H9360" s="26" t="str">
        <f t="shared" si="1"/>
        <v/>
      </c>
      <c r="I9360" s="26" t="str">
        <f t="shared" si="2"/>
        <v/>
      </c>
      <c r="J9360" s="86">
        <f t="shared" si="3"/>
        <v>0</v>
      </c>
      <c r="R9360" s="26"/>
    </row>
    <row r="9361" spans="1:18" ht="15.75" customHeight="1">
      <c r="A9361" s="26"/>
      <c r="B9361" s="86"/>
      <c r="D9361" s="26"/>
      <c r="F9361" s="87" t="str">
        <f t="shared" si="0"/>
        <v/>
      </c>
      <c r="H9361" s="26" t="str">
        <f t="shared" si="1"/>
        <v/>
      </c>
      <c r="I9361" s="26" t="str">
        <f t="shared" si="2"/>
        <v/>
      </c>
      <c r="J9361" s="86">
        <f t="shared" si="3"/>
        <v>0</v>
      </c>
      <c r="R9361" s="26"/>
    </row>
    <row r="9362" spans="1:18" ht="15.75" customHeight="1">
      <c r="A9362" s="26"/>
      <c r="B9362" s="86"/>
      <c r="D9362" s="26"/>
      <c r="F9362" s="87" t="str">
        <f t="shared" si="0"/>
        <v/>
      </c>
      <c r="H9362" s="26" t="str">
        <f t="shared" si="1"/>
        <v/>
      </c>
      <c r="I9362" s="26" t="str">
        <f t="shared" si="2"/>
        <v/>
      </c>
      <c r="J9362" s="86">
        <f t="shared" si="3"/>
        <v>0</v>
      </c>
      <c r="R9362" s="26"/>
    </row>
    <row r="9363" spans="1:18" ht="15.75" customHeight="1">
      <c r="A9363" s="26"/>
      <c r="B9363" s="86"/>
      <c r="D9363" s="26"/>
      <c r="F9363" s="87" t="str">
        <f t="shared" si="0"/>
        <v/>
      </c>
      <c r="H9363" s="26" t="str">
        <f t="shared" si="1"/>
        <v/>
      </c>
      <c r="I9363" s="26" t="str">
        <f t="shared" si="2"/>
        <v/>
      </c>
      <c r="J9363" s="86">
        <f t="shared" si="3"/>
        <v>0</v>
      </c>
      <c r="R9363" s="26"/>
    </row>
    <row r="9364" spans="1:18" ht="15.75" customHeight="1">
      <c r="A9364" s="26"/>
      <c r="B9364" s="86"/>
      <c r="D9364" s="26"/>
      <c r="F9364" s="87" t="str">
        <f t="shared" si="0"/>
        <v/>
      </c>
      <c r="H9364" s="26" t="str">
        <f t="shared" si="1"/>
        <v/>
      </c>
      <c r="I9364" s="26" t="str">
        <f t="shared" si="2"/>
        <v/>
      </c>
      <c r="J9364" s="86">
        <f t="shared" si="3"/>
        <v>0</v>
      </c>
      <c r="R9364" s="26"/>
    </row>
    <row r="9365" spans="1:18" ht="15.75" customHeight="1">
      <c r="A9365" s="26"/>
      <c r="B9365" s="86"/>
      <c r="D9365" s="26"/>
      <c r="F9365" s="87" t="str">
        <f t="shared" si="0"/>
        <v/>
      </c>
      <c r="H9365" s="26" t="str">
        <f t="shared" si="1"/>
        <v/>
      </c>
      <c r="I9365" s="26" t="str">
        <f t="shared" si="2"/>
        <v/>
      </c>
      <c r="J9365" s="86">
        <f t="shared" si="3"/>
        <v>0</v>
      </c>
      <c r="R9365" s="26"/>
    </row>
    <row r="9366" spans="1:18" ht="15.75" customHeight="1">
      <c r="A9366" s="26"/>
      <c r="B9366" s="86"/>
      <c r="D9366" s="26"/>
      <c r="F9366" s="87" t="str">
        <f t="shared" si="0"/>
        <v/>
      </c>
      <c r="H9366" s="26" t="str">
        <f t="shared" si="1"/>
        <v/>
      </c>
      <c r="I9366" s="26" t="str">
        <f t="shared" si="2"/>
        <v/>
      </c>
      <c r="J9366" s="86">
        <f t="shared" si="3"/>
        <v>0</v>
      </c>
      <c r="R9366" s="26"/>
    </row>
    <row r="9367" spans="1:18" ht="15.75" customHeight="1">
      <c r="A9367" s="26"/>
      <c r="B9367" s="86"/>
      <c r="D9367" s="26"/>
      <c r="F9367" s="87" t="str">
        <f t="shared" si="0"/>
        <v/>
      </c>
      <c r="H9367" s="26" t="str">
        <f t="shared" si="1"/>
        <v/>
      </c>
      <c r="I9367" s="26" t="str">
        <f t="shared" si="2"/>
        <v/>
      </c>
      <c r="J9367" s="86">
        <f t="shared" si="3"/>
        <v>0</v>
      </c>
      <c r="R9367" s="26"/>
    </row>
    <row r="9368" spans="1:18" ht="15.75" customHeight="1">
      <c r="A9368" s="26"/>
      <c r="B9368" s="86"/>
      <c r="D9368" s="26"/>
      <c r="F9368" s="87" t="str">
        <f t="shared" si="0"/>
        <v/>
      </c>
      <c r="H9368" s="26" t="str">
        <f t="shared" si="1"/>
        <v/>
      </c>
      <c r="I9368" s="26" t="str">
        <f t="shared" si="2"/>
        <v/>
      </c>
      <c r="J9368" s="86">
        <f t="shared" si="3"/>
        <v>0</v>
      </c>
      <c r="R9368" s="26"/>
    </row>
    <row r="9369" spans="1:18" ht="15.75" customHeight="1">
      <c r="A9369" s="26"/>
      <c r="B9369" s="86"/>
      <c r="D9369" s="26"/>
      <c r="F9369" s="87" t="str">
        <f t="shared" si="0"/>
        <v/>
      </c>
      <c r="H9369" s="26" t="str">
        <f t="shared" si="1"/>
        <v/>
      </c>
      <c r="I9369" s="26" t="str">
        <f t="shared" si="2"/>
        <v/>
      </c>
      <c r="J9369" s="86">
        <f t="shared" si="3"/>
        <v>0</v>
      </c>
      <c r="R9369" s="26"/>
    </row>
    <row r="9370" spans="1:18" ht="15.75" customHeight="1">
      <c r="A9370" s="26"/>
      <c r="B9370" s="86"/>
      <c r="D9370" s="26"/>
      <c r="F9370" s="87" t="str">
        <f t="shared" si="0"/>
        <v/>
      </c>
      <c r="H9370" s="26" t="str">
        <f t="shared" si="1"/>
        <v/>
      </c>
      <c r="I9370" s="26" t="str">
        <f t="shared" si="2"/>
        <v/>
      </c>
      <c r="J9370" s="86">
        <f t="shared" si="3"/>
        <v>0</v>
      </c>
      <c r="R9370" s="26"/>
    </row>
    <row r="9371" spans="1:18" ht="15.75" customHeight="1">
      <c r="A9371" s="26"/>
      <c r="B9371" s="86"/>
      <c r="D9371" s="26"/>
      <c r="F9371" s="87" t="str">
        <f t="shared" si="0"/>
        <v/>
      </c>
      <c r="H9371" s="26" t="str">
        <f t="shared" si="1"/>
        <v/>
      </c>
      <c r="I9371" s="26" t="str">
        <f t="shared" si="2"/>
        <v/>
      </c>
      <c r="J9371" s="86">
        <f t="shared" si="3"/>
        <v>0</v>
      </c>
      <c r="R9371" s="26"/>
    </row>
    <row r="9372" spans="1:18" ht="15.75" customHeight="1">
      <c r="A9372" s="26"/>
      <c r="B9372" s="86"/>
      <c r="D9372" s="26"/>
      <c r="F9372" s="87" t="str">
        <f t="shared" si="0"/>
        <v/>
      </c>
      <c r="H9372" s="26" t="str">
        <f t="shared" si="1"/>
        <v/>
      </c>
      <c r="I9372" s="26" t="str">
        <f t="shared" si="2"/>
        <v/>
      </c>
      <c r="J9372" s="86">
        <f t="shared" si="3"/>
        <v>0</v>
      </c>
      <c r="R9372" s="26"/>
    </row>
    <row r="9373" spans="1:18" ht="15.75" customHeight="1">
      <c r="A9373" s="26"/>
      <c r="B9373" s="86"/>
      <c r="D9373" s="26"/>
      <c r="F9373" s="87" t="str">
        <f t="shared" si="0"/>
        <v/>
      </c>
      <c r="H9373" s="26" t="str">
        <f t="shared" si="1"/>
        <v/>
      </c>
      <c r="I9373" s="26" t="str">
        <f t="shared" si="2"/>
        <v/>
      </c>
      <c r="J9373" s="86">
        <f t="shared" si="3"/>
        <v>0</v>
      </c>
      <c r="R9373" s="26"/>
    </row>
    <row r="9374" spans="1:18" ht="15.75" customHeight="1">
      <c r="A9374" s="26"/>
      <c r="B9374" s="86"/>
      <c r="D9374" s="26"/>
      <c r="F9374" s="87" t="str">
        <f t="shared" si="0"/>
        <v/>
      </c>
      <c r="H9374" s="26" t="str">
        <f t="shared" si="1"/>
        <v/>
      </c>
      <c r="I9374" s="26" t="str">
        <f t="shared" si="2"/>
        <v/>
      </c>
      <c r="J9374" s="86">
        <f t="shared" si="3"/>
        <v>0</v>
      </c>
      <c r="R9374" s="26"/>
    </row>
    <row r="9375" spans="1:18" ht="15.75" customHeight="1">
      <c r="A9375" s="26"/>
      <c r="B9375" s="86"/>
      <c r="D9375" s="26"/>
      <c r="F9375" s="87" t="str">
        <f t="shared" si="0"/>
        <v/>
      </c>
      <c r="H9375" s="26" t="str">
        <f t="shared" si="1"/>
        <v/>
      </c>
      <c r="I9375" s="26" t="str">
        <f t="shared" si="2"/>
        <v/>
      </c>
      <c r="J9375" s="86">
        <f t="shared" si="3"/>
        <v>0</v>
      </c>
      <c r="R9375" s="26"/>
    </row>
    <row r="9376" spans="1:18" ht="15.75" customHeight="1">
      <c r="A9376" s="26"/>
      <c r="B9376" s="86"/>
      <c r="D9376" s="26"/>
      <c r="F9376" s="87" t="str">
        <f t="shared" si="0"/>
        <v/>
      </c>
      <c r="H9376" s="26" t="str">
        <f t="shared" si="1"/>
        <v/>
      </c>
      <c r="I9376" s="26" t="str">
        <f t="shared" si="2"/>
        <v/>
      </c>
      <c r="J9376" s="86">
        <f t="shared" si="3"/>
        <v>0</v>
      </c>
      <c r="R9376" s="26"/>
    </row>
    <row r="9377" spans="1:18" ht="15.75" customHeight="1">
      <c r="A9377" s="26"/>
      <c r="B9377" s="86"/>
      <c r="D9377" s="26"/>
      <c r="F9377" s="87" t="str">
        <f t="shared" si="0"/>
        <v/>
      </c>
      <c r="H9377" s="26" t="str">
        <f t="shared" si="1"/>
        <v/>
      </c>
      <c r="I9377" s="26" t="str">
        <f t="shared" si="2"/>
        <v/>
      </c>
      <c r="J9377" s="86">
        <f t="shared" si="3"/>
        <v>0</v>
      </c>
      <c r="R9377" s="26"/>
    </row>
    <row r="9378" spans="1:18" ht="15.75" customHeight="1">
      <c r="A9378" s="26"/>
      <c r="B9378" s="86"/>
      <c r="D9378" s="26"/>
      <c r="F9378" s="87" t="str">
        <f t="shared" si="0"/>
        <v/>
      </c>
      <c r="H9378" s="26" t="str">
        <f t="shared" si="1"/>
        <v/>
      </c>
      <c r="I9378" s="26" t="str">
        <f t="shared" si="2"/>
        <v/>
      </c>
      <c r="J9378" s="86">
        <f t="shared" si="3"/>
        <v>0</v>
      </c>
      <c r="R9378" s="26"/>
    </row>
    <row r="9379" spans="1:18" ht="15.75" customHeight="1">
      <c r="A9379" s="26"/>
      <c r="B9379" s="86"/>
      <c r="D9379" s="26"/>
      <c r="F9379" s="87" t="str">
        <f t="shared" si="0"/>
        <v/>
      </c>
      <c r="H9379" s="26" t="str">
        <f t="shared" si="1"/>
        <v/>
      </c>
      <c r="I9379" s="26" t="str">
        <f t="shared" si="2"/>
        <v/>
      </c>
      <c r="J9379" s="86">
        <f t="shared" si="3"/>
        <v>0</v>
      </c>
      <c r="R9379" s="26"/>
    </row>
    <row r="9380" spans="1:18" ht="15.75" customHeight="1">
      <c r="A9380" s="26"/>
      <c r="B9380" s="86"/>
      <c r="D9380" s="26"/>
      <c r="F9380" s="87" t="str">
        <f t="shared" si="0"/>
        <v/>
      </c>
      <c r="H9380" s="26" t="str">
        <f t="shared" si="1"/>
        <v/>
      </c>
      <c r="I9380" s="26" t="str">
        <f t="shared" si="2"/>
        <v/>
      </c>
      <c r="J9380" s="86">
        <f t="shared" si="3"/>
        <v>0</v>
      </c>
      <c r="R9380" s="26"/>
    </row>
    <row r="9381" spans="1:18" ht="15.75" customHeight="1">
      <c r="A9381" s="26"/>
      <c r="B9381" s="86"/>
      <c r="D9381" s="26"/>
      <c r="F9381" s="87" t="str">
        <f t="shared" si="0"/>
        <v/>
      </c>
      <c r="H9381" s="26" t="str">
        <f t="shared" si="1"/>
        <v/>
      </c>
      <c r="I9381" s="26" t="str">
        <f t="shared" si="2"/>
        <v/>
      </c>
      <c r="J9381" s="86">
        <f t="shared" si="3"/>
        <v>0</v>
      </c>
      <c r="R9381" s="26"/>
    </row>
    <row r="9382" spans="1:18" ht="15.75" customHeight="1">
      <c r="A9382" s="26"/>
      <c r="B9382" s="86"/>
      <c r="D9382" s="26"/>
      <c r="F9382" s="87" t="str">
        <f t="shared" si="0"/>
        <v/>
      </c>
      <c r="H9382" s="26" t="str">
        <f t="shared" si="1"/>
        <v/>
      </c>
      <c r="I9382" s="26" t="str">
        <f t="shared" si="2"/>
        <v/>
      </c>
      <c r="J9382" s="86">
        <f t="shared" si="3"/>
        <v>0</v>
      </c>
      <c r="R9382" s="26"/>
    </row>
    <row r="9383" spans="1:18" ht="15.75" customHeight="1">
      <c r="A9383" s="26"/>
      <c r="B9383" s="86"/>
      <c r="D9383" s="26"/>
      <c r="F9383" s="87" t="str">
        <f t="shared" si="0"/>
        <v/>
      </c>
      <c r="H9383" s="26" t="str">
        <f t="shared" si="1"/>
        <v/>
      </c>
      <c r="I9383" s="26" t="str">
        <f t="shared" si="2"/>
        <v/>
      </c>
      <c r="J9383" s="86">
        <f t="shared" si="3"/>
        <v>0</v>
      </c>
      <c r="R9383" s="26"/>
    </row>
    <row r="9384" spans="1:18" ht="15.75" customHeight="1">
      <c r="A9384" s="26"/>
      <c r="B9384" s="86"/>
      <c r="D9384" s="26"/>
      <c r="F9384" s="87" t="str">
        <f t="shared" si="0"/>
        <v/>
      </c>
      <c r="H9384" s="26" t="str">
        <f t="shared" si="1"/>
        <v/>
      </c>
      <c r="I9384" s="26" t="str">
        <f t="shared" si="2"/>
        <v/>
      </c>
      <c r="J9384" s="86">
        <f t="shared" si="3"/>
        <v>0</v>
      </c>
      <c r="R9384" s="26"/>
    </row>
    <row r="9385" spans="1:18" ht="15.75" customHeight="1">
      <c r="A9385" s="26"/>
      <c r="B9385" s="86"/>
      <c r="D9385" s="26"/>
      <c r="F9385" s="87" t="str">
        <f t="shared" si="0"/>
        <v/>
      </c>
      <c r="H9385" s="26" t="str">
        <f t="shared" si="1"/>
        <v/>
      </c>
      <c r="I9385" s="26" t="str">
        <f t="shared" si="2"/>
        <v/>
      </c>
      <c r="J9385" s="86">
        <f t="shared" si="3"/>
        <v>0</v>
      </c>
      <c r="R9385" s="26"/>
    </row>
    <row r="9386" spans="1:18" ht="15.75" customHeight="1">
      <c r="A9386" s="26"/>
      <c r="B9386" s="86"/>
      <c r="D9386" s="26"/>
      <c r="F9386" s="87" t="str">
        <f t="shared" si="0"/>
        <v/>
      </c>
      <c r="H9386" s="26" t="str">
        <f t="shared" si="1"/>
        <v/>
      </c>
      <c r="I9386" s="26" t="str">
        <f t="shared" si="2"/>
        <v/>
      </c>
      <c r="J9386" s="86">
        <f t="shared" si="3"/>
        <v>0</v>
      </c>
      <c r="R9386" s="26"/>
    </row>
    <row r="9387" spans="1:18" ht="15.75" customHeight="1">
      <c r="A9387" s="26"/>
      <c r="B9387" s="86"/>
      <c r="D9387" s="26"/>
      <c r="F9387" s="87" t="str">
        <f t="shared" si="0"/>
        <v/>
      </c>
      <c r="H9387" s="26" t="str">
        <f t="shared" si="1"/>
        <v/>
      </c>
      <c r="I9387" s="26" t="str">
        <f t="shared" si="2"/>
        <v/>
      </c>
      <c r="J9387" s="86">
        <f t="shared" si="3"/>
        <v>0</v>
      </c>
      <c r="R9387" s="26"/>
    </row>
    <row r="9388" spans="1:18" ht="15.75" customHeight="1">
      <c r="A9388" s="26"/>
      <c r="B9388" s="86"/>
      <c r="D9388" s="26"/>
      <c r="F9388" s="87" t="str">
        <f t="shared" si="0"/>
        <v/>
      </c>
      <c r="H9388" s="26" t="str">
        <f t="shared" si="1"/>
        <v/>
      </c>
      <c r="I9388" s="26" t="str">
        <f t="shared" si="2"/>
        <v/>
      </c>
      <c r="J9388" s="86">
        <f t="shared" si="3"/>
        <v>0</v>
      </c>
      <c r="R9388" s="26"/>
    </row>
    <row r="9389" spans="1:18" ht="15.75" customHeight="1">
      <c r="A9389" s="26"/>
      <c r="B9389" s="86"/>
      <c r="D9389" s="26"/>
      <c r="F9389" s="87" t="str">
        <f t="shared" si="0"/>
        <v/>
      </c>
      <c r="H9389" s="26" t="str">
        <f t="shared" si="1"/>
        <v/>
      </c>
      <c r="I9389" s="26" t="str">
        <f t="shared" si="2"/>
        <v/>
      </c>
      <c r="J9389" s="86">
        <f t="shared" si="3"/>
        <v>0</v>
      </c>
      <c r="R9389" s="26"/>
    </row>
    <row r="9390" spans="1:18" ht="15.75" customHeight="1">
      <c r="A9390" s="26"/>
      <c r="B9390" s="86"/>
      <c r="D9390" s="26"/>
      <c r="F9390" s="87" t="str">
        <f t="shared" si="0"/>
        <v/>
      </c>
      <c r="H9390" s="26" t="str">
        <f t="shared" si="1"/>
        <v/>
      </c>
      <c r="I9390" s="26" t="str">
        <f t="shared" si="2"/>
        <v/>
      </c>
      <c r="J9390" s="86">
        <f t="shared" si="3"/>
        <v>0</v>
      </c>
      <c r="R9390" s="26"/>
    </row>
    <row r="9391" spans="1:18" ht="15.75" customHeight="1">
      <c r="A9391" s="26"/>
      <c r="B9391" s="86"/>
      <c r="D9391" s="26"/>
      <c r="F9391" s="87" t="str">
        <f t="shared" si="0"/>
        <v/>
      </c>
      <c r="H9391" s="26" t="str">
        <f t="shared" si="1"/>
        <v/>
      </c>
      <c r="I9391" s="26" t="str">
        <f t="shared" si="2"/>
        <v/>
      </c>
      <c r="J9391" s="86">
        <f t="shared" si="3"/>
        <v>0</v>
      </c>
      <c r="R9391" s="26"/>
    </row>
    <row r="9392" spans="1:18" ht="15.75" customHeight="1">
      <c r="A9392" s="26"/>
      <c r="B9392" s="86"/>
      <c r="D9392" s="26"/>
      <c r="F9392" s="87" t="str">
        <f t="shared" si="0"/>
        <v/>
      </c>
      <c r="H9392" s="26" t="str">
        <f t="shared" si="1"/>
        <v/>
      </c>
      <c r="I9392" s="26" t="str">
        <f t="shared" si="2"/>
        <v/>
      </c>
      <c r="J9392" s="86">
        <f t="shared" si="3"/>
        <v>0</v>
      </c>
      <c r="R9392" s="26"/>
    </row>
    <row r="9393" spans="1:18" ht="15.75" customHeight="1">
      <c r="A9393" s="26"/>
      <c r="B9393" s="86"/>
      <c r="D9393" s="26"/>
      <c r="F9393" s="87" t="str">
        <f t="shared" si="0"/>
        <v/>
      </c>
      <c r="H9393" s="26" t="str">
        <f t="shared" si="1"/>
        <v/>
      </c>
      <c r="I9393" s="26" t="str">
        <f t="shared" si="2"/>
        <v/>
      </c>
      <c r="J9393" s="86">
        <f t="shared" si="3"/>
        <v>0</v>
      </c>
      <c r="R9393" s="26"/>
    </row>
    <row r="9394" spans="1:18" ht="15.75" customHeight="1">
      <c r="A9394" s="26"/>
      <c r="B9394" s="86"/>
      <c r="D9394" s="26"/>
      <c r="F9394" s="87" t="str">
        <f t="shared" si="0"/>
        <v/>
      </c>
      <c r="H9394" s="26" t="str">
        <f t="shared" si="1"/>
        <v/>
      </c>
      <c r="I9394" s="26" t="str">
        <f t="shared" si="2"/>
        <v/>
      </c>
      <c r="J9394" s="86">
        <f t="shared" si="3"/>
        <v>0</v>
      </c>
      <c r="R9394" s="26"/>
    </row>
    <row r="9395" spans="1:18" ht="15.75" customHeight="1">
      <c r="A9395" s="26"/>
      <c r="B9395" s="86"/>
      <c r="D9395" s="26"/>
      <c r="F9395" s="87" t="str">
        <f t="shared" si="0"/>
        <v/>
      </c>
      <c r="H9395" s="26" t="str">
        <f t="shared" si="1"/>
        <v/>
      </c>
      <c r="I9395" s="26" t="str">
        <f t="shared" si="2"/>
        <v/>
      </c>
      <c r="J9395" s="86">
        <f t="shared" si="3"/>
        <v>0</v>
      </c>
      <c r="R9395" s="26"/>
    </row>
    <row r="9396" spans="1:18" ht="15.75" customHeight="1">
      <c r="A9396" s="26"/>
      <c r="B9396" s="86"/>
      <c r="D9396" s="26"/>
      <c r="F9396" s="87" t="str">
        <f t="shared" si="0"/>
        <v/>
      </c>
      <c r="H9396" s="26" t="str">
        <f t="shared" si="1"/>
        <v/>
      </c>
      <c r="I9396" s="26" t="str">
        <f t="shared" si="2"/>
        <v/>
      </c>
      <c r="J9396" s="86">
        <f t="shared" si="3"/>
        <v>0</v>
      </c>
      <c r="R9396" s="26"/>
    </row>
    <row r="9397" spans="1:18" ht="15.75" customHeight="1">
      <c r="A9397" s="26"/>
      <c r="B9397" s="86"/>
      <c r="D9397" s="26"/>
      <c r="F9397" s="87" t="str">
        <f t="shared" si="0"/>
        <v/>
      </c>
      <c r="H9397" s="26" t="str">
        <f t="shared" si="1"/>
        <v/>
      </c>
      <c r="I9397" s="26" t="str">
        <f t="shared" si="2"/>
        <v/>
      </c>
      <c r="J9397" s="86">
        <f t="shared" si="3"/>
        <v>0</v>
      </c>
      <c r="R9397" s="26"/>
    </row>
    <row r="9398" spans="1:18" ht="15.75" customHeight="1">
      <c r="A9398" s="26"/>
      <c r="B9398" s="86"/>
      <c r="D9398" s="26"/>
      <c r="F9398" s="87" t="str">
        <f t="shared" si="0"/>
        <v/>
      </c>
      <c r="H9398" s="26" t="str">
        <f t="shared" si="1"/>
        <v/>
      </c>
      <c r="I9398" s="26" t="str">
        <f t="shared" si="2"/>
        <v/>
      </c>
      <c r="J9398" s="86">
        <f t="shared" si="3"/>
        <v>0</v>
      </c>
      <c r="R9398" s="26"/>
    </row>
    <row r="9399" spans="1:18" ht="15.75" customHeight="1">
      <c r="A9399" s="26"/>
      <c r="B9399" s="86"/>
      <c r="D9399" s="26"/>
      <c r="F9399" s="87" t="str">
        <f t="shared" si="0"/>
        <v/>
      </c>
      <c r="H9399" s="26" t="str">
        <f t="shared" si="1"/>
        <v/>
      </c>
      <c r="I9399" s="26" t="str">
        <f t="shared" si="2"/>
        <v/>
      </c>
      <c r="J9399" s="86">
        <f t="shared" si="3"/>
        <v>0</v>
      </c>
      <c r="R9399" s="26"/>
    </row>
    <row r="9400" spans="1:18" ht="15.75" customHeight="1">
      <c r="A9400" s="26"/>
      <c r="B9400" s="86"/>
      <c r="D9400" s="26"/>
      <c r="F9400" s="87" t="str">
        <f t="shared" si="0"/>
        <v/>
      </c>
      <c r="H9400" s="26" t="str">
        <f t="shared" si="1"/>
        <v/>
      </c>
      <c r="I9400" s="26" t="str">
        <f t="shared" si="2"/>
        <v/>
      </c>
      <c r="J9400" s="86">
        <f t="shared" si="3"/>
        <v>0</v>
      </c>
      <c r="R9400" s="26"/>
    </row>
    <row r="9401" spans="1:18" ht="15.75" customHeight="1">
      <c r="A9401" s="26"/>
      <c r="B9401" s="86"/>
      <c r="D9401" s="26"/>
      <c r="F9401" s="87" t="str">
        <f t="shared" si="0"/>
        <v/>
      </c>
      <c r="H9401" s="26" t="str">
        <f t="shared" si="1"/>
        <v/>
      </c>
      <c r="I9401" s="26" t="str">
        <f t="shared" si="2"/>
        <v/>
      </c>
      <c r="J9401" s="86">
        <f t="shared" si="3"/>
        <v>0</v>
      </c>
      <c r="R9401" s="26"/>
    </row>
    <row r="9402" spans="1:18" ht="15.75" customHeight="1">
      <c r="A9402" s="26"/>
      <c r="B9402" s="86"/>
      <c r="D9402" s="26"/>
      <c r="F9402" s="87" t="str">
        <f t="shared" si="0"/>
        <v/>
      </c>
      <c r="H9402" s="26" t="str">
        <f t="shared" si="1"/>
        <v/>
      </c>
      <c r="I9402" s="26" t="str">
        <f t="shared" si="2"/>
        <v/>
      </c>
      <c r="J9402" s="86">
        <f t="shared" si="3"/>
        <v>0</v>
      </c>
      <c r="R9402" s="26"/>
    </row>
    <row r="9403" spans="1:18" ht="15.75" customHeight="1">
      <c r="A9403" s="26"/>
      <c r="B9403" s="86"/>
      <c r="D9403" s="26"/>
      <c r="F9403" s="87" t="str">
        <f t="shared" si="0"/>
        <v/>
      </c>
      <c r="H9403" s="26" t="str">
        <f t="shared" si="1"/>
        <v/>
      </c>
      <c r="I9403" s="26" t="str">
        <f t="shared" si="2"/>
        <v/>
      </c>
      <c r="J9403" s="86">
        <f t="shared" si="3"/>
        <v>0</v>
      </c>
      <c r="R9403" s="26"/>
    </row>
    <row r="9404" spans="1:18" ht="15.75" customHeight="1">
      <c r="A9404" s="26"/>
      <c r="B9404" s="86"/>
      <c r="D9404" s="26"/>
      <c r="F9404" s="87" t="str">
        <f t="shared" si="0"/>
        <v/>
      </c>
      <c r="H9404" s="26" t="str">
        <f t="shared" si="1"/>
        <v/>
      </c>
      <c r="I9404" s="26" t="str">
        <f t="shared" si="2"/>
        <v/>
      </c>
      <c r="J9404" s="86">
        <f t="shared" si="3"/>
        <v>0</v>
      </c>
      <c r="R9404" s="26"/>
    </row>
    <row r="9405" spans="1:18" ht="15.75" customHeight="1">
      <c r="A9405" s="26"/>
      <c r="B9405" s="86"/>
      <c r="D9405" s="26"/>
      <c r="F9405" s="87" t="str">
        <f t="shared" si="0"/>
        <v/>
      </c>
      <c r="H9405" s="26" t="str">
        <f t="shared" si="1"/>
        <v/>
      </c>
      <c r="I9405" s="26" t="str">
        <f t="shared" si="2"/>
        <v/>
      </c>
      <c r="J9405" s="86">
        <f t="shared" si="3"/>
        <v>0</v>
      </c>
      <c r="R9405" s="26"/>
    </row>
    <row r="9406" spans="1:18" ht="15.75" customHeight="1">
      <c r="A9406" s="26"/>
      <c r="B9406" s="86"/>
      <c r="D9406" s="26"/>
      <c r="F9406" s="87" t="str">
        <f t="shared" si="0"/>
        <v/>
      </c>
      <c r="H9406" s="26" t="str">
        <f t="shared" si="1"/>
        <v/>
      </c>
      <c r="I9406" s="26" t="str">
        <f t="shared" si="2"/>
        <v/>
      </c>
      <c r="J9406" s="86">
        <f t="shared" si="3"/>
        <v>0</v>
      </c>
      <c r="R9406" s="26"/>
    </row>
    <row r="9407" spans="1:18" ht="15.75" customHeight="1">
      <c r="A9407" s="26"/>
      <c r="B9407" s="86"/>
      <c r="D9407" s="26"/>
      <c r="F9407" s="87" t="str">
        <f t="shared" si="0"/>
        <v/>
      </c>
      <c r="H9407" s="26" t="str">
        <f t="shared" si="1"/>
        <v/>
      </c>
      <c r="I9407" s="26" t="str">
        <f t="shared" si="2"/>
        <v/>
      </c>
      <c r="J9407" s="86">
        <f t="shared" si="3"/>
        <v>0</v>
      </c>
      <c r="R9407" s="26"/>
    </row>
    <row r="9408" spans="1:18" ht="15.75" customHeight="1">
      <c r="A9408" s="26"/>
      <c r="B9408" s="86"/>
      <c r="D9408" s="26"/>
      <c r="F9408" s="87" t="str">
        <f t="shared" si="0"/>
        <v/>
      </c>
      <c r="H9408" s="26" t="str">
        <f t="shared" si="1"/>
        <v/>
      </c>
      <c r="I9408" s="26" t="str">
        <f t="shared" si="2"/>
        <v/>
      </c>
      <c r="J9408" s="86">
        <f t="shared" si="3"/>
        <v>0</v>
      </c>
      <c r="R9408" s="26"/>
    </row>
    <row r="9409" spans="1:18" ht="15.75" customHeight="1">
      <c r="A9409" s="26"/>
      <c r="B9409" s="86"/>
      <c r="D9409" s="26"/>
      <c r="F9409" s="87" t="str">
        <f t="shared" si="0"/>
        <v/>
      </c>
      <c r="H9409" s="26" t="str">
        <f t="shared" si="1"/>
        <v/>
      </c>
      <c r="I9409" s="26" t="str">
        <f t="shared" si="2"/>
        <v/>
      </c>
      <c r="J9409" s="86">
        <f t="shared" si="3"/>
        <v>0</v>
      </c>
      <c r="R9409" s="26"/>
    </row>
    <row r="9410" spans="1:18" ht="15.75" customHeight="1">
      <c r="A9410" s="26"/>
      <c r="B9410" s="86"/>
      <c r="D9410" s="26"/>
      <c r="F9410" s="87" t="str">
        <f t="shared" si="0"/>
        <v/>
      </c>
      <c r="H9410" s="26" t="str">
        <f t="shared" si="1"/>
        <v/>
      </c>
      <c r="I9410" s="26" t="str">
        <f t="shared" si="2"/>
        <v/>
      </c>
      <c r="J9410" s="86">
        <f t="shared" si="3"/>
        <v>0</v>
      </c>
      <c r="R9410" s="26"/>
    </row>
    <row r="9411" spans="1:18" ht="15.75" customHeight="1">
      <c r="A9411" s="26"/>
      <c r="B9411" s="86"/>
      <c r="D9411" s="26"/>
      <c r="F9411" s="87" t="str">
        <f t="shared" si="0"/>
        <v/>
      </c>
      <c r="H9411" s="26" t="str">
        <f t="shared" si="1"/>
        <v/>
      </c>
      <c r="I9411" s="26" t="str">
        <f t="shared" si="2"/>
        <v/>
      </c>
      <c r="J9411" s="86">
        <f t="shared" si="3"/>
        <v>0</v>
      </c>
      <c r="R9411" s="26"/>
    </row>
    <row r="9412" spans="1:18" ht="15.75" customHeight="1">
      <c r="A9412" s="26"/>
      <c r="B9412" s="86"/>
      <c r="D9412" s="26"/>
      <c r="F9412" s="87" t="str">
        <f t="shared" si="0"/>
        <v/>
      </c>
      <c r="H9412" s="26" t="str">
        <f t="shared" si="1"/>
        <v/>
      </c>
      <c r="I9412" s="26" t="str">
        <f t="shared" si="2"/>
        <v/>
      </c>
      <c r="J9412" s="86">
        <f t="shared" si="3"/>
        <v>0</v>
      </c>
      <c r="R9412" s="26"/>
    </row>
    <row r="9413" spans="1:18" ht="15.75" customHeight="1">
      <c r="A9413" s="26"/>
      <c r="B9413" s="86"/>
      <c r="D9413" s="26"/>
      <c r="F9413" s="87" t="str">
        <f t="shared" si="0"/>
        <v/>
      </c>
      <c r="H9413" s="26" t="str">
        <f t="shared" si="1"/>
        <v/>
      </c>
      <c r="I9413" s="26" t="str">
        <f t="shared" si="2"/>
        <v/>
      </c>
      <c r="J9413" s="86">
        <f t="shared" si="3"/>
        <v>0</v>
      </c>
      <c r="R9413" s="26"/>
    </row>
    <row r="9414" spans="1:18" ht="15.75" customHeight="1">
      <c r="A9414" s="26"/>
      <c r="B9414" s="86"/>
      <c r="D9414" s="26"/>
      <c r="F9414" s="87" t="str">
        <f t="shared" si="0"/>
        <v/>
      </c>
      <c r="H9414" s="26" t="str">
        <f t="shared" si="1"/>
        <v/>
      </c>
      <c r="I9414" s="26" t="str">
        <f t="shared" si="2"/>
        <v/>
      </c>
      <c r="J9414" s="86">
        <f t="shared" si="3"/>
        <v>0</v>
      </c>
      <c r="R9414" s="26"/>
    </row>
    <row r="9415" spans="1:18" ht="15.75" customHeight="1">
      <c r="A9415" s="26"/>
      <c r="B9415" s="86"/>
      <c r="D9415" s="26"/>
      <c r="F9415" s="87" t="str">
        <f t="shared" si="0"/>
        <v/>
      </c>
      <c r="H9415" s="26" t="str">
        <f t="shared" si="1"/>
        <v/>
      </c>
      <c r="I9415" s="26" t="str">
        <f t="shared" si="2"/>
        <v/>
      </c>
      <c r="J9415" s="86">
        <f t="shared" si="3"/>
        <v>0</v>
      </c>
      <c r="R9415" s="26"/>
    </row>
    <row r="9416" spans="1:18" ht="15.75" customHeight="1">
      <c r="A9416" s="26"/>
      <c r="B9416" s="86"/>
      <c r="D9416" s="26"/>
      <c r="F9416" s="87" t="str">
        <f t="shared" si="0"/>
        <v/>
      </c>
      <c r="H9416" s="26" t="str">
        <f t="shared" si="1"/>
        <v/>
      </c>
      <c r="I9416" s="26" t="str">
        <f t="shared" si="2"/>
        <v/>
      </c>
      <c r="J9416" s="86">
        <f t="shared" si="3"/>
        <v>0</v>
      </c>
      <c r="R9416" s="26"/>
    </row>
    <row r="9417" spans="1:18" ht="15.75" customHeight="1">
      <c r="A9417" s="26"/>
      <c r="B9417" s="86"/>
      <c r="D9417" s="26"/>
      <c r="F9417" s="87" t="str">
        <f t="shared" si="0"/>
        <v/>
      </c>
      <c r="H9417" s="26" t="str">
        <f t="shared" si="1"/>
        <v/>
      </c>
      <c r="I9417" s="26" t="str">
        <f t="shared" si="2"/>
        <v/>
      </c>
      <c r="J9417" s="86">
        <f t="shared" si="3"/>
        <v>0</v>
      </c>
      <c r="R9417" s="26"/>
    </row>
    <row r="9418" spans="1:18" ht="15.75" customHeight="1">
      <c r="A9418" s="26"/>
      <c r="B9418" s="86"/>
      <c r="D9418" s="26"/>
      <c r="F9418" s="87" t="str">
        <f t="shared" si="0"/>
        <v/>
      </c>
      <c r="H9418" s="26" t="str">
        <f t="shared" si="1"/>
        <v/>
      </c>
      <c r="I9418" s="26" t="str">
        <f t="shared" si="2"/>
        <v/>
      </c>
      <c r="J9418" s="86">
        <f t="shared" si="3"/>
        <v>0</v>
      </c>
      <c r="R9418" s="26"/>
    </row>
    <row r="9419" spans="1:18" ht="15.75" customHeight="1">
      <c r="A9419" s="26"/>
      <c r="B9419" s="86"/>
      <c r="D9419" s="26"/>
      <c r="F9419" s="87" t="str">
        <f t="shared" si="0"/>
        <v/>
      </c>
      <c r="H9419" s="26" t="str">
        <f t="shared" si="1"/>
        <v/>
      </c>
      <c r="I9419" s="26" t="str">
        <f t="shared" si="2"/>
        <v/>
      </c>
      <c r="J9419" s="86">
        <f t="shared" si="3"/>
        <v>0</v>
      </c>
      <c r="R9419" s="26"/>
    </row>
    <row r="9420" spans="1:18" ht="15.75" customHeight="1">
      <c r="A9420" s="26"/>
      <c r="B9420" s="86"/>
      <c r="D9420" s="26"/>
      <c r="F9420" s="87" t="str">
        <f t="shared" si="0"/>
        <v/>
      </c>
      <c r="H9420" s="26" t="str">
        <f t="shared" si="1"/>
        <v/>
      </c>
      <c r="I9420" s="26" t="str">
        <f t="shared" si="2"/>
        <v/>
      </c>
      <c r="J9420" s="86">
        <f t="shared" si="3"/>
        <v>0</v>
      </c>
      <c r="R9420" s="26"/>
    </row>
    <row r="9421" spans="1:18" ht="15.75" customHeight="1">
      <c r="A9421" s="26"/>
      <c r="B9421" s="86"/>
      <c r="D9421" s="26"/>
      <c r="F9421" s="87" t="str">
        <f t="shared" si="0"/>
        <v/>
      </c>
      <c r="H9421" s="26" t="str">
        <f t="shared" si="1"/>
        <v/>
      </c>
      <c r="I9421" s="26" t="str">
        <f t="shared" si="2"/>
        <v/>
      </c>
      <c r="J9421" s="86">
        <f t="shared" si="3"/>
        <v>0</v>
      </c>
      <c r="R9421" s="26"/>
    </row>
    <row r="9422" spans="1:18" ht="15.75" customHeight="1">
      <c r="A9422" s="26"/>
      <c r="B9422" s="86"/>
      <c r="D9422" s="26"/>
      <c r="F9422" s="87" t="str">
        <f t="shared" si="0"/>
        <v/>
      </c>
      <c r="H9422" s="26" t="str">
        <f t="shared" si="1"/>
        <v/>
      </c>
      <c r="I9422" s="26" t="str">
        <f t="shared" si="2"/>
        <v/>
      </c>
      <c r="J9422" s="86">
        <f t="shared" si="3"/>
        <v>0</v>
      </c>
      <c r="R9422" s="26"/>
    </row>
    <row r="9423" spans="1:18" ht="15.75" customHeight="1">
      <c r="A9423" s="26"/>
      <c r="B9423" s="86"/>
      <c r="D9423" s="26"/>
      <c r="F9423" s="87" t="str">
        <f t="shared" si="0"/>
        <v/>
      </c>
      <c r="H9423" s="26" t="str">
        <f t="shared" si="1"/>
        <v/>
      </c>
      <c r="I9423" s="26" t="str">
        <f t="shared" si="2"/>
        <v/>
      </c>
      <c r="J9423" s="86">
        <f t="shared" si="3"/>
        <v>0</v>
      </c>
      <c r="R9423" s="26"/>
    </row>
    <row r="9424" spans="1:18" ht="15.75" customHeight="1">
      <c r="A9424" s="26"/>
      <c r="B9424" s="86"/>
      <c r="D9424" s="26"/>
      <c r="F9424" s="87" t="str">
        <f t="shared" si="0"/>
        <v/>
      </c>
      <c r="H9424" s="26" t="str">
        <f t="shared" si="1"/>
        <v/>
      </c>
      <c r="I9424" s="26" t="str">
        <f t="shared" si="2"/>
        <v/>
      </c>
      <c r="J9424" s="86">
        <f t="shared" si="3"/>
        <v>0</v>
      </c>
      <c r="R9424" s="26"/>
    </row>
    <row r="9425" spans="1:18" ht="15.75" customHeight="1">
      <c r="A9425" s="26"/>
      <c r="B9425" s="86"/>
      <c r="D9425" s="26"/>
      <c r="F9425" s="87" t="str">
        <f t="shared" si="0"/>
        <v/>
      </c>
      <c r="H9425" s="26" t="str">
        <f t="shared" si="1"/>
        <v/>
      </c>
      <c r="I9425" s="26" t="str">
        <f t="shared" si="2"/>
        <v/>
      </c>
      <c r="J9425" s="86">
        <f t="shared" si="3"/>
        <v>0</v>
      </c>
      <c r="R9425" s="26"/>
    </row>
    <row r="9426" spans="1:18" ht="15.75" customHeight="1">
      <c r="A9426" s="26"/>
      <c r="B9426" s="86"/>
      <c r="D9426" s="26"/>
      <c r="F9426" s="87" t="str">
        <f t="shared" si="0"/>
        <v/>
      </c>
      <c r="H9426" s="26" t="str">
        <f t="shared" si="1"/>
        <v/>
      </c>
      <c r="I9426" s="26" t="str">
        <f t="shared" si="2"/>
        <v/>
      </c>
      <c r="J9426" s="86">
        <f t="shared" si="3"/>
        <v>0</v>
      </c>
      <c r="R9426" s="26"/>
    </row>
    <row r="9427" spans="1:18" ht="15.75" customHeight="1">
      <c r="A9427" s="26"/>
      <c r="B9427" s="86"/>
      <c r="D9427" s="26"/>
      <c r="F9427" s="87" t="str">
        <f t="shared" si="0"/>
        <v/>
      </c>
      <c r="H9427" s="26" t="str">
        <f t="shared" si="1"/>
        <v/>
      </c>
      <c r="I9427" s="26" t="str">
        <f t="shared" si="2"/>
        <v/>
      </c>
      <c r="J9427" s="86">
        <f t="shared" si="3"/>
        <v>0</v>
      </c>
      <c r="R9427" s="26"/>
    </row>
    <row r="9428" spans="1:18" ht="15.75" customHeight="1">
      <c r="A9428" s="26"/>
      <c r="B9428" s="86"/>
      <c r="D9428" s="26"/>
      <c r="F9428" s="87" t="str">
        <f t="shared" si="0"/>
        <v/>
      </c>
      <c r="H9428" s="26" t="str">
        <f t="shared" si="1"/>
        <v/>
      </c>
      <c r="I9428" s="26" t="str">
        <f t="shared" si="2"/>
        <v/>
      </c>
      <c r="J9428" s="86">
        <f t="shared" si="3"/>
        <v>0</v>
      </c>
      <c r="R9428" s="26"/>
    </row>
    <row r="9429" spans="1:18" ht="15.75" customHeight="1">
      <c r="A9429" s="26"/>
      <c r="B9429" s="86"/>
      <c r="D9429" s="26"/>
      <c r="F9429" s="87" t="str">
        <f t="shared" si="0"/>
        <v/>
      </c>
      <c r="H9429" s="26" t="str">
        <f t="shared" si="1"/>
        <v/>
      </c>
      <c r="I9429" s="26" t="str">
        <f t="shared" si="2"/>
        <v/>
      </c>
      <c r="J9429" s="86">
        <f t="shared" si="3"/>
        <v>0</v>
      </c>
      <c r="R9429" s="26"/>
    </row>
    <row r="9430" spans="1:18" ht="15.75" customHeight="1">
      <c r="A9430" s="26"/>
      <c r="B9430" s="86"/>
      <c r="D9430" s="26"/>
      <c r="F9430" s="87" t="str">
        <f t="shared" si="0"/>
        <v/>
      </c>
      <c r="H9430" s="26" t="str">
        <f t="shared" si="1"/>
        <v/>
      </c>
      <c r="I9430" s="26" t="str">
        <f t="shared" si="2"/>
        <v/>
      </c>
      <c r="J9430" s="86">
        <f t="shared" si="3"/>
        <v>0</v>
      </c>
      <c r="R9430" s="26"/>
    </row>
    <row r="9431" spans="1:18" ht="15.75" customHeight="1">
      <c r="A9431" s="26"/>
      <c r="B9431" s="86"/>
      <c r="D9431" s="26"/>
      <c r="F9431" s="87" t="str">
        <f t="shared" si="0"/>
        <v/>
      </c>
      <c r="H9431" s="26" t="str">
        <f t="shared" si="1"/>
        <v/>
      </c>
      <c r="I9431" s="26" t="str">
        <f t="shared" si="2"/>
        <v/>
      </c>
      <c r="J9431" s="86">
        <f t="shared" si="3"/>
        <v>0</v>
      </c>
      <c r="R9431" s="26"/>
    </row>
    <row r="9432" spans="1:18" ht="15.75" customHeight="1">
      <c r="A9432" s="26"/>
      <c r="B9432" s="86"/>
      <c r="D9432" s="26"/>
      <c r="F9432" s="87" t="str">
        <f t="shared" si="0"/>
        <v/>
      </c>
      <c r="H9432" s="26" t="str">
        <f t="shared" si="1"/>
        <v/>
      </c>
      <c r="I9432" s="26" t="str">
        <f t="shared" si="2"/>
        <v/>
      </c>
      <c r="J9432" s="86">
        <f t="shared" si="3"/>
        <v>0</v>
      </c>
      <c r="R9432" s="26"/>
    </row>
    <row r="9433" spans="1:18" ht="15.75" customHeight="1">
      <c r="A9433" s="26"/>
      <c r="B9433" s="86"/>
      <c r="D9433" s="26"/>
      <c r="F9433" s="87" t="str">
        <f t="shared" si="0"/>
        <v/>
      </c>
      <c r="H9433" s="26" t="str">
        <f t="shared" si="1"/>
        <v/>
      </c>
      <c r="I9433" s="26" t="str">
        <f t="shared" si="2"/>
        <v/>
      </c>
      <c r="J9433" s="86">
        <f t="shared" si="3"/>
        <v>0</v>
      </c>
      <c r="R9433" s="26"/>
    </row>
    <row r="9434" spans="1:18" ht="15.75" customHeight="1">
      <c r="A9434" s="26"/>
      <c r="B9434" s="86"/>
      <c r="D9434" s="26"/>
      <c r="F9434" s="87" t="str">
        <f t="shared" si="0"/>
        <v/>
      </c>
      <c r="H9434" s="26" t="str">
        <f t="shared" si="1"/>
        <v/>
      </c>
      <c r="I9434" s="26" t="str">
        <f t="shared" si="2"/>
        <v/>
      </c>
      <c r="J9434" s="86">
        <f t="shared" si="3"/>
        <v>0</v>
      </c>
      <c r="R9434" s="26"/>
    </row>
    <row r="9435" spans="1:18" ht="15.75" customHeight="1">
      <c r="A9435" s="26"/>
      <c r="B9435" s="86"/>
      <c r="D9435" s="26"/>
      <c r="F9435" s="87" t="str">
        <f t="shared" si="0"/>
        <v/>
      </c>
      <c r="H9435" s="26" t="str">
        <f t="shared" si="1"/>
        <v/>
      </c>
      <c r="I9435" s="26" t="str">
        <f t="shared" si="2"/>
        <v/>
      </c>
      <c r="J9435" s="86">
        <f t="shared" si="3"/>
        <v>0</v>
      </c>
      <c r="R9435" s="26"/>
    </row>
    <row r="9436" spans="1:18" ht="15.75" customHeight="1">
      <c r="A9436" s="26"/>
      <c r="B9436" s="86"/>
      <c r="D9436" s="26"/>
      <c r="F9436" s="87" t="str">
        <f t="shared" si="0"/>
        <v/>
      </c>
      <c r="H9436" s="26" t="str">
        <f t="shared" si="1"/>
        <v/>
      </c>
      <c r="I9436" s="26" t="str">
        <f t="shared" si="2"/>
        <v/>
      </c>
      <c r="J9436" s="86">
        <f t="shared" si="3"/>
        <v>0</v>
      </c>
      <c r="R9436" s="26"/>
    </row>
    <row r="9437" spans="1:18" ht="15.75" customHeight="1">
      <c r="A9437" s="26"/>
      <c r="B9437" s="86"/>
      <c r="D9437" s="26"/>
      <c r="F9437" s="87" t="str">
        <f t="shared" si="0"/>
        <v/>
      </c>
      <c r="H9437" s="26" t="str">
        <f t="shared" si="1"/>
        <v/>
      </c>
      <c r="I9437" s="26" t="str">
        <f t="shared" si="2"/>
        <v/>
      </c>
      <c r="J9437" s="86">
        <f t="shared" si="3"/>
        <v>0</v>
      </c>
      <c r="R9437" s="26"/>
    </row>
    <row r="9438" spans="1:18" ht="15.75" customHeight="1">
      <c r="A9438" s="26"/>
      <c r="B9438" s="86"/>
      <c r="D9438" s="26"/>
      <c r="F9438" s="87" t="str">
        <f t="shared" si="0"/>
        <v/>
      </c>
      <c r="H9438" s="26" t="str">
        <f t="shared" si="1"/>
        <v/>
      </c>
      <c r="I9438" s="26" t="str">
        <f t="shared" si="2"/>
        <v/>
      </c>
      <c r="J9438" s="86">
        <f t="shared" si="3"/>
        <v>0</v>
      </c>
      <c r="R9438" s="26"/>
    </row>
    <row r="9439" spans="1:18" ht="15.75" customHeight="1">
      <c r="A9439" s="26"/>
      <c r="B9439" s="86"/>
      <c r="D9439" s="26"/>
      <c r="F9439" s="87" t="str">
        <f t="shared" si="0"/>
        <v/>
      </c>
      <c r="H9439" s="26" t="str">
        <f t="shared" si="1"/>
        <v/>
      </c>
      <c r="I9439" s="26" t="str">
        <f t="shared" si="2"/>
        <v/>
      </c>
      <c r="J9439" s="86">
        <f t="shared" si="3"/>
        <v>0</v>
      </c>
      <c r="R9439" s="26"/>
    </row>
    <row r="9440" spans="1:18" ht="15.75" customHeight="1">
      <c r="A9440" s="26"/>
      <c r="B9440" s="86"/>
      <c r="D9440" s="26"/>
      <c r="F9440" s="87" t="str">
        <f t="shared" si="0"/>
        <v/>
      </c>
      <c r="H9440" s="26" t="str">
        <f t="shared" si="1"/>
        <v/>
      </c>
      <c r="I9440" s="26" t="str">
        <f t="shared" si="2"/>
        <v/>
      </c>
      <c r="J9440" s="86">
        <f t="shared" si="3"/>
        <v>0</v>
      </c>
      <c r="R9440" s="26"/>
    </row>
    <row r="9441" spans="1:18" ht="15.75" customHeight="1">
      <c r="A9441" s="26"/>
      <c r="B9441" s="86"/>
      <c r="D9441" s="26"/>
      <c r="F9441" s="87" t="str">
        <f t="shared" si="0"/>
        <v/>
      </c>
      <c r="H9441" s="26" t="str">
        <f t="shared" si="1"/>
        <v/>
      </c>
      <c r="I9441" s="26" t="str">
        <f t="shared" si="2"/>
        <v/>
      </c>
      <c r="J9441" s="86">
        <f t="shared" si="3"/>
        <v>0</v>
      </c>
      <c r="R9441" s="26"/>
    </row>
    <row r="9442" spans="1:18" ht="15.75" customHeight="1">
      <c r="A9442" s="26"/>
      <c r="B9442" s="86"/>
      <c r="D9442" s="26"/>
      <c r="F9442" s="87" t="str">
        <f t="shared" si="0"/>
        <v/>
      </c>
      <c r="H9442" s="26" t="str">
        <f t="shared" si="1"/>
        <v/>
      </c>
      <c r="I9442" s="26" t="str">
        <f t="shared" si="2"/>
        <v/>
      </c>
      <c r="J9442" s="86">
        <f t="shared" si="3"/>
        <v>0</v>
      </c>
      <c r="R9442" s="26"/>
    </row>
    <row r="9443" spans="1:18" ht="15.75" customHeight="1">
      <c r="A9443" s="26"/>
      <c r="B9443" s="86"/>
      <c r="D9443" s="26"/>
      <c r="F9443" s="87" t="str">
        <f t="shared" si="0"/>
        <v/>
      </c>
      <c r="H9443" s="26" t="str">
        <f t="shared" si="1"/>
        <v/>
      </c>
      <c r="I9443" s="26" t="str">
        <f t="shared" si="2"/>
        <v/>
      </c>
      <c r="J9443" s="86">
        <f t="shared" si="3"/>
        <v>0</v>
      </c>
      <c r="R9443" s="26"/>
    </row>
    <row r="9444" spans="1:18" ht="15.75" customHeight="1">
      <c r="A9444" s="26"/>
      <c r="B9444" s="86"/>
      <c r="D9444" s="26"/>
      <c r="F9444" s="87" t="str">
        <f t="shared" si="0"/>
        <v/>
      </c>
      <c r="H9444" s="26" t="str">
        <f t="shared" si="1"/>
        <v/>
      </c>
      <c r="I9444" s="26" t="str">
        <f t="shared" si="2"/>
        <v/>
      </c>
      <c r="J9444" s="86">
        <f t="shared" si="3"/>
        <v>0</v>
      </c>
      <c r="R9444" s="26"/>
    </row>
    <row r="9445" spans="1:18" ht="15.75" customHeight="1">
      <c r="A9445" s="26"/>
      <c r="B9445" s="86"/>
      <c r="D9445" s="26"/>
      <c r="F9445" s="87" t="str">
        <f t="shared" si="0"/>
        <v/>
      </c>
      <c r="H9445" s="26" t="str">
        <f t="shared" si="1"/>
        <v/>
      </c>
      <c r="I9445" s="26" t="str">
        <f t="shared" si="2"/>
        <v/>
      </c>
      <c r="J9445" s="86">
        <f t="shared" si="3"/>
        <v>0</v>
      </c>
      <c r="R9445" s="26"/>
    </row>
    <row r="9446" spans="1:18" ht="15.75" customHeight="1">
      <c r="A9446" s="26"/>
      <c r="B9446" s="86"/>
      <c r="D9446" s="26"/>
      <c r="F9446" s="87" t="str">
        <f t="shared" si="0"/>
        <v/>
      </c>
      <c r="H9446" s="26" t="str">
        <f t="shared" si="1"/>
        <v/>
      </c>
      <c r="I9446" s="26" t="str">
        <f t="shared" si="2"/>
        <v/>
      </c>
      <c r="J9446" s="86">
        <f t="shared" si="3"/>
        <v>0</v>
      </c>
      <c r="R9446" s="26"/>
    </row>
    <row r="9447" spans="1:18" ht="15.75" customHeight="1">
      <c r="A9447" s="26"/>
      <c r="B9447" s="86"/>
      <c r="D9447" s="26"/>
      <c r="F9447" s="87" t="str">
        <f t="shared" si="0"/>
        <v/>
      </c>
      <c r="H9447" s="26" t="str">
        <f t="shared" si="1"/>
        <v/>
      </c>
      <c r="I9447" s="26" t="str">
        <f t="shared" si="2"/>
        <v/>
      </c>
      <c r="J9447" s="86">
        <f t="shared" si="3"/>
        <v>0</v>
      </c>
      <c r="R9447" s="26"/>
    </row>
    <row r="9448" spans="1:18" ht="15.75" customHeight="1">
      <c r="A9448" s="26"/>
      <c r="B9448" s="86"/>
      <c r="D9448" s="26"/>
      <c r="F9448" s="87" t="str">
        <f t="shared" si="0"/>
        <v/>
      </c>
      <c r="H9448" s="26" t="str">
        <f t="shared" si="1"/>
        <v/>
      </c>
      <c r="I9448" s="26" t="str">
        <f t="shared" si="2"/>
        <v/>
      </c>
      <c r="J9448" s="86">
        <f t="shared" si="3"/>
        <v>0</v>
      </c>
      <c r="R9448" s="26"/>
    </row>
    <row r="9449" spans="1:18" ht="15.75" customHeight="1">
      <c r="A9449" s="26"/>
      <c r="B9449" s="86"/>
      <c r="D9449" s="26"/>
      <c r="F9449" s="87" t="str">
        <f t="shared" si="0"/>
        <v/>
      </c>
      <c r="H9449" s="26" t="str">
        <f t="shared" si="1"/>
        <v/>
      </c>
      <c r="I9449" s="26" t="str">
        <f t="shared" si="2"/>
        <v/>
      </c>
      <c r="J9449" s="86">
        <f t="shared" si="3"/>
        <v>0</v>
      </c>
      <c r="R9449" s="26"/>
    </row>
    <row r="9450" spans="1:18" ht="15.75" customHeight="1">
      <c r="A9450" s="26"/>
      <c r="B9450" s="86"/>
      <c r="D9450" s="26"/>
      <c r="F9450" s="87" t="str">
        <f t="shared" si="0"/>
        <v/>
      </c>
      <c r="H9450" s="26" t="str">
        <f t="shared" si="1"/>
        <v/>
      </c>
      <c r="I9450" s="26" t="str">
        <f t="shared" si="2"/>
        <v/>
      </c>
      <c r="J9450" s="86">
        <f t="shared" si="3"/>
        <v>0</v>
      </c>
      <c r="R9450" s="26"/>
    </row>
    <row r="9451" spans="1:18" ht="15.75" customHeight="1">
      <c r="A9451" s="26"/>
      <c r="B9451" s="86"/>
      <c r="D9451" s="26"/>
      <c r="F9451" s="87" t="str">
        <f t="shared" si="0"/>
        <v/>
      </c>
      <c r="H9451" s="26" t="str">
        <f t="shared" si="1"/>
        <v/>
      </c>
      <c r="I9451" s="26" t="str">
        <f t="shared" si="2"/>
        <v/>
      </c>
      <c r="J9451" s="86">
        <f t="shared" si="3"/>
        <v>0</v>
      </c>
      <c r="R9451" s="26"/>
    </row>
    <row r="9452" spans="1:18" ht="15.75" customHeight="1">
      <c r="A9452" s="26"/>
      <c r="B9452" s="86"/>
      <c r="D9452" s="26"/>
      <c r="F9452" s="87" t="str">
        <f t="shared" si="0"/>
        <v/>
      </c>
      <c r="H9452" s="26" t="str">
        <f t="shared" si="1"/>
        <v/>
      </c>
      <c r="I9452" s="26" t="str">
        <f t="shared" si="2"/>
        <v/>
      </c>
      <c r="J9452" s="86">
        <f t="shared" si="3"/>
        <v>0</v>
      </c>
      <c r="R9452" s="26"/>
    </row>
    <row r="9453" spans="1:18" ht="15.75" customHeight="1">
      <c r="A9453" s="26"/>
      <c r="B9453" s="86"/>
      <c r="D9453" s="26"/>
      <c r="F9453" s="87" t="str">
        <f t="shared" si="0"/>
        <v/>
      </c>
      <c r="H9453" s="26" t="str">
        <f t="shared" si="1"/>
        <v/>
      </c>
      <c r="I9453" s="26" t="str">
        <f t="shared" si="2"/>
        <v/>
      </c>
      <c r="J9453" s="86">
        <f t="shared" si="3"/>
        <v>0</v>
      </c>
      <c r="R9453" s="26"/>
    </row>
    <row r="9454" spans="1:18" ht="15.75" customHeight="1">
      <c r="A9454" s="26"/>
      <c r="B9454" s="86"/>
      <c r="D9454" s="26"/>
      <c r="F9454" s="87" t="str">
        <f t="shared" si="0"/>
        <v/>
      </c>
      <c r="H9454" s="26" t="str">
        <f t="shared" si="1"/>
        <v/>
      </c>
      <c r="I9454" s="26" t="str">
        <f t="shared" si="2"/>
        <v/>
      </c>
      <c r="J9454" s="86">
        <f t="shared" si="3"/>
        <v>0</v>
      </c>
      <c r="R9454" s="26"/>
    </row>
    <row r="9455" spans="1:18" ht="15.75" customHeight="1">
      <c r="A9455" s="26"/>
      <c r="B9455" s="86"/>
      <c r="D9455" s="26"/>
      <c r="F9455" s="87" t="str">
        <f t="shared" si="0"/>
        <v/>
      </c>
      <c r="H9455" s="26" t="str">
        <f t="shared" si="1"/>
        <v/>
      </c>
      <c r="I9455" s="26" t="str">
        <f t="shared" si="2"/>
        <v/>
      </c>
      <c r="J9455" s="86">
        <f t="shared" si="3"/>
        <v>0</v>
      </c>
      <c r="R9455" s="26"/>
    </row>
    <row r="9456" spans="1:18" ht="15.75" customHeight="1">
      <c r="A9456" s="26"/>
      <c r="B9456" s="86"/>
      <c r="D9456" s="26"/>
      <c r="F9456" s="87" t="str">
        <f t="shared" si="0"/>
        <v/>
      </c>
      <c r="H9456" s="26" t="str">
        <f t="shared" si="1"/>
        <v/>
      </c>
      <c r="I9456" s="26" t="str">
        <f t="shared" si="2"/>
        <v/>
      </c>
      <c r="J9456" s="86">
        <f t="shared" si="3"/>
        <v>0</v>
      </c>
      <c r="R9456" s="26"/>
    </row>
    <row r="9457" spans="1:18" ht="15.75" customHeight="1">
      <c r="A9457" s="26"/>
      <c r="B9457" s="86"/>
      <c r="D9457" s="26"/>
      <c r="F9457" s="87" t="str">
        <f t="shared" si="0"/>
        <v/>
      </c>
      <c r="H9457" s="26" t="str">
        <f t="shared" si="1"/>
        <v/>
      </c>
      <c r="I9457" s="26" t="str">
        <f t="shared" si="2"/>
        <v/>
      </c>
      <c r="J9457" s="86">
        <f t="shared" si="3"/>
        <v>0</v>
      </c>
      <c r="R9457" s="26"/>
    </row>
    <row r="9458" spans="1:18" ht="15.75" customHeight="1">
      <c r="A9458" s="26"/>
      <c r="B9458" s="86"/>
      <c r="D9458" s="26"/>
      <c r="F9458" s="87" t="str">
        <f t="shared" si="0"/>
        <v/>
      </c>
      <c r="H9458" s="26" t="str">
        <f t="shared" si="1"/>
        <v/>
      </c>
      <c r="I9458" s="26" t="str">
        <f t="shared" si="2"/>
        <v/>
      </c>
      <c r="J9458" s="86">
        <f t="shared" si="3"/>
        <v>0</v>
      </c>
      <c r="R9458" s="26"/>
    </row>
    <row r="9459" spans="1:18" ht="15.75" customHeight="1">
      <c r="A9459" s="26"/>
      <c r="B9459" s="86"/>
      <c r="D9459" s="26"/>
      <c r="F9459" s="87" t="str">
        <f t="shared" si="0"/>
        <v/>
      </c>
      <c r="H9459" s="26" t="str">
        <f t="shared" si="1"/>
        <v/>
      </c>
      <c r="I9459" s="26" t="str">
        <f t="shared" si="2"/>
        <v/>
      </c>
      <c r="J9459" s="86">
        <f t="shared" si="3"/>
        <v>0</v>
      </c>
      <c r="R9459" s="26"/>
    </row>
    <row r="9460" spans="1:18" ht="15.75" customHeight="1">
      <c r="A9460" s="26"/>
      <c r="B9460" s="86"/>
      <c r="D9460" s="26"/>
      <c r="F9460" s="87" t="str">
        <f t="shared" si="0"/>
        <v/>
      </c>
      <c r="H9460" s="26" t="str">
        <f t="shared" si="1"/>
        <v/>
      </c>
      <c r="I9460" s="26" t="str">
        <f t="shared" si="2"/>
        <v/>
      </c>
      <c r="J9460" s="86">
        <f t="shared" si="3"/>
        <v>0</v>
      </c>
      <c r="R9460" s="26"/>
    </row>
    <row r="9461" spans="1:18" ht="15.75" customHeight="1">
      <c r="A9461" s="26"/>
      <c r="B9461" s="86"/>
      <c r="D9461" s="26"/>
      <c r="F9461" s="87" t="str">
        <f t="shared" si="0"/>
        <v/>
      </c>
      <c r="H9461" s="26" t="str">
        <f t="shared" si="1"/>
        <v/>
      </c>
      <c r="I9461" s="26" t="str">
        <f t="shared" si="2"/>
        <v/>
      </c>
      <c r="J9461" s="86">
        <f t="shared" si="3"/>
        <v>0</v>
      </c>
      <c r="R9461" s="26"/>
    </row>
    <row r="9462" spans="1:18" ht="15.75" customHeight="1">
      <c r="A9462" s="26"/>
      <c r="B9462" s="86"/>
      <c r="D9462" s="26"/>
      <c r="F9462" s="87" t="str">
        <f t="shared" si="0"/>
        <v/>
      </c>
      <c r="H9462" s="26" t="str">
        <f t="shared" si="1"/>
        <v/>
      </c>
      <c r="I9462" s="26" t="str">
        <f t="shared" si="2"/>
        <v/>
      </c>
      <c r="J9462" s="86">
        <f t="shared" si="3"/>
        <v>0</v>
      </c>
      <c r="R9462" s="26"/>
    </row>
    <row r="9463" spans="1:18" ht="15.75" customHeight="1">
      <c r="A9463" s="26"/>
      <c r="B9463" s="86"/>
      <c r="D9463" s="26"/>
      <c r="F9463" s="87" t="str">
        <f t="shared" si="0"/>
        <v/>
      </c>
      <c r="H9463" s="26" t="str">
        <f t="shared" si="1"/>
        <v/>
      </c>
      <c r="I9463" s="26" t="str">
        <f t="shared" si="2"/>
        <v/>
      </c>
      <c r="J9463" s="86">
        <f t="shared" si="3"/>
        <v>0</v>
      </c>
      <c r="R9463" s="26"/>
    </row>
    <row r="9464" spans="1:18" ht="15.75" customHeight="1">
      <c r="A9464" s="26"/>
      <c r="B9464" s="86"/>
      <c r="D9464" s="26"/>
      <c r="F9464" s="87" t="str">
        <f t="shared" si="0"/>
        <v/>
      </c>
      <c r="H9464" s="26" t="str">
        <f t="shared" si="1"/>
        <v/>
      </c>
      <c r="I9464" s="26" t="str">
        <f t="shared" si="2"/>
        <v/>
      </c>
      <c r="J9464" s="86">
        <f t="shared" si="3"/>
        <v>0</v>
      </c>
      <c r="R9464" s="26"/>
    </row>
    <row r="9465" spans="1:18" ht="15.75" customHeight="1">
      <c r="A9465" s="26"/>
      <c r="B9465" s="86"/>
      <c r="D9465" s="26"/>
      <c r="F9465" s="87" t="str">
        <f t="shared" si="0"/>
        <v/>
      </c>
      <c r="H9465" s="26" t="str">
        <f t="shared" si="1"/>
        <v/>
      </c>
      <c r="I9465" s="26" t="str">
        <f t="shared" si="2"/>
        <v/>
      </c>
      <c r="J9465" s="86">
        <f t="shared" si="3"/>
        <v>0</v>
      </c>
      <c r="R9465" s="26"/>
    </row>
    <row r="9466" spans="1:18" ht="15.75" customHeight="1">
      <c r="A9466" s="26"/>
      <c r="B9466" s="86"/>
      <c r="D9466" s="26"/>
      <c r="F9466" s="87" t="str">
        <f t="shared" si="0"/>
        <v/>
      </c>
      <c r="H9466" s="26" t="str">
        <f t="shared" si="1"/>
        <v/>
      </c>
      <c r="I9466" s="26" t="str">
        <f t="shared" si="2"/>
        <v/>
      </c>
      <c r="J9466" s="86">
        <f t="shared" si="3"/>
        <v>0</v>
      </c>
      <c r="R9466" s="26"/>
    </row>
    <row r="9467" spans="1:18" ht="15.75" customHeight="1">
      <c r="A9467" s="26"/>
      <c r="B9467" s="86"/>
      <c r="D9467" s="26"/>
      <c r="F9467" s="87" t="str">
        <f t="shared" si="0"/>
        <v/>
      </c>
      <c r="H9467" s="26" t="str">
        <f t="shared" si="1"/>
        <v/>
      </c>
      <c r="I9467" s="26" t="str">
        <f t="shared" si="2"/>
        <v/>
      </c>
      <c r="J9467" s="86">
        <f t="shared" si="3"/>
        <v>0</v>
      </c>
      <c r="R9467" s="26"/>
    </row>
    <row r="9468" spans="1:18" ht="15.75" customHeight="1">
      <c r="A9468" s="26"/>
      <c r="B9468" s="86"/>
      <c r="D9468" s="26"/>
      <c r="F9468" s="87" t="str">
        <f t="shared" si="0"/>
        <v/>
      </c>
      <c r="H9468" s="26" t="str">
        <f t="shared" si="1"/>
        <v/>
      </c>
      <c r="I9468" s="26" t="str">
        <f t="shared" si="2"/>
        <v/>
      </c>
      <c r="J9468" s="86">
        <f t="shared" si="3"/>
        <v>0</v>
      </c>
      <c r="R9468" s="26"/>
    </row>
    <row r="9469" spans="1:18" ht="15.75" customHeight="1">
      <c r="A9469" s="26"/>
      <c r="B9469" s="86"/>
      <c r="D9469" s="26"/>
      <c r="F9469" s="87" t="str">
        <f t="shared" si="0"/>
        <v/>
      </c>
      <c r="H9469" s="26" t="str">
        <f t="shared" si="1"/>
        <v/>
      </c>
      <c r="I9469" s="26" t="str">
        <f t="shared" si="2"/>
        <v/>
      </c>
      <c r="J9469" s="86">
        <f t="shared" si="3"/>
        <v>0</v>
      </c>
      <c r="R9469" s="26"/>
    </row>
    <row r="9470" spans="1:18" ht="15.75" customHeight="1">
      <c r="A9470" s="26"/>
      <c r="B9470" s="86"/>
      <c r="D9470" s="26"/>
      <c r="F9470" s="87" t="str">
        <f t="shared" si="0"/>
        <v/>
      </c>
      <c r="H9470" s="26" t="str">
        <f t="shared" si="1"/>
        <v/>
      </c>
      <c r="I9470" s="26" t="str">
        <f t="shared" si="2"/>
        <v/>
      </c>
      <c r="J9470" s="86">
        <f t="shared" si="3"/>
        <v>0</v>
      </c>
      <c r="R9470" s="26"/>
    </row>
    <row r="9471" spans="1:18" ht="15.75" customHeight="1">
      <c r="A9471" s="26"/>
      <c r="B9471" s="86"/>
      <c r="D9471" s="26"/>
      <c r="F9471" s="87" t="str">
        <f t="shared" si="0"/>
        <v/>
      </c>
      <c r="H9471" s="26" t="str">
        <f t="shared" si="1"/>
        <v/>
      </c>
      <c r="I9471" s="26" t="str">
        <f t="shared" si="2"/>
        <v/>
      </c>
      <c r="J9471" s="86">
        <f t="shared" si="3"/>
        <v>0</v>
      </c>
      <c r="R9471" s="26"/>
    </row>
    <row r="9472" spans="1:18" ht="15.75" customHeight="1">
      <c r="A9472" s="26"/>
      <c r="B9472" s="86"/>
      <c r="D9472" s="26"/>
      <c r="F9472" s="87" t="str">
        <f t="shared" si="0"/>
        <v/>
      </c>
      <c r="H9472" s="26" t="str">
        <f t="shared" si="1"/>
        <v/>
      </c>
      <c r="I9472" s="26" t="str">
        <f t="shared" si="2"/>
        <v/>
      </c>
      <c r="J9472" s="86">
        <f t="shared" si="3"/>
        <v>0</v>
      </c>
      <c r="R9472" s="26"/>
    </row>
    <row r="9473" spans="1:18" ht="15.75" customHeight="1">
      <c r="A9473" s="26"/>
      <c r="B9473" s="86"/>
      <c r="D9473" s="26"/>
      <c r="F9473" s="87" t="str">
        <f t="shared" si="0"/>
        <v/>
      </c>
      <c r="H9473" s="26" t="str">
        <f t="shared" si="1"/>
        <v/>
      </c>
      <c r="I9473" s="26" t="str">
        <f t="shared" si="2"/>
        <v/>
      </c>
      <c r="J9473" s="86">
        <f t="shared" si="3"/>
        <v>0</v>
      </c>
      <c r="R9473" s="26"/>
    </row>
    <row r="9474" spans="1:18" ht="15.75" customHeight="1">
      <c r="A9474" s="26"/>
      <c r="B9474" s="86"/>
      <c r="D9474" s="26"/>
      <c r="F9474" s="87" t="str">
        <f t="shared" si="0"/>
        <v/>
      </c>
      <c r="H9474" s="26" t="str">
        <f t="shared" si="1"/>
        <v/>
      </c>
      <c r="I9474" s="26" t="str">
        <f t="shared" si="2"/>
        <v/>
      </c>
      <c r="J9474" s="86">
        <f t="shared" si="3"/>
        <v>0</v>
      </c>
      <c r="R9474" s="26"/>
    </row>
    <row r="9475" spans="1:18" ht="15.75" customHeight="1">
      <c r="A9475" s="26"/>
      <c r="B9475" s="86"/>
      <c r="D9475" s="26"/>
      <c r="F9475" s="87" t="str">
        <f t="shared" si="0"/>
        <v/>
      </c>
      <c r="H9475" s="26" t="str">
        <f t="shared" si="1"/>
        <v/>
      </c>
      <c r="I9475" s="26" t="str">
        <f t="shared" si="2"/>
        <v/>
      </c>
      <c r="J9475" s="86">
        <f t="shared" si="3"/>
        <v>0</v>
      </c>
      <c r="R9475" s="26"/>
    </row>
    <row r="9476" spans="1:18" ht="15.75" customHeight="1">
      <c r="A9476" s="26"/>
      <c r="B9476" s="86"/>
      <c r="D9476" s="26"/>
      <c r="F9476" s="87" t="str">
        <f t="shared" si="0"/>
        <v/>
      </c>
      <c r="H9476" s="26" t="str">
        <f t="shared" si="1"/>
        <v/>
      </c>
      <c r="I9476" s="26" t="str">
        <f t="shared" si="2"/>
        <v/>
      </c>
      <c r="J9476" s="86">
        <f t="shared" si="3"/>
        <v>0</v>
      </c>
      <c r="R9476" s="26"/>
    </row>
    <row r="9477" spans="1:18" ht="15.75" customHeight="1">
      <c r="A9477" s="26"/>
      <c r="B9477" s="86"/>
      <c r="D9477" s="26"/>
      <c r="F9477" s="87" t="str">
        <f t="shared" si="0"/>
        <v/>
      </c>
      <c r="H9477" s="26" t="str">
        <f t="shared" si="1"/>
        <v/>
      </c>
      <c r="I9477" s="26" t="str">
        <f t="shared" si="2"/>
        <v/>
      </c>
      <c r="J9477" s="86">
        <f t="shared" si="3"/>
        <v>0</v>
      </c>
      <c r="R9477" s="26"/>
    </row>
    <row r="9478" spans="1:18" ht="15.75" customHeight="1">
      <c r="A9478" s="26"/>
      <c r="B9478" s="86"/>
      <c r="D9478" s="26"/>
      <c r="F9478" s="87" t="str">
        <f t="shared" si="0"/>
        <v/>
      </c>
      <c r="H9478" s="26" t="str">
        <f t="shared" si="1"/>
        <v/>
      </c>
      <c r="I9478" s="26" t="str">
        <f t="shared" si="2"/>
        <v/>
      </c>
      <c r="J9478" s="86">
        <f t="shared" si="3"/>
        <v>0</v>
      </c>
      <c r="R9478" s="26"/>
    </row>
    <row r="9479" spans="1:18" ht="15.75" customHeight="1">
      <c r="A9479" s="26"/>
      <c r="B9479" s="86"/>
      <c r="D9479" s="26"/>
      <c r="F9479" s="87" t="str">
        <f t="shared" si="0"/>
        <v/>
      </c>
      <c r="H9479" s="26" t="str">
        <f t="shared" si="1"/>
        <v/>
      </c>
      <c r="I9479" s="26" t="str">
        <f t="shared" si="2"/>
        <v/>
      </c>
      <c r="J9479" s="86">
        <f t="shared" si="3"/>
        <v>0</v>
      </c>
      <c r="R9479" s="26"/>
    </row>
    <row r="9480" spans="1:18" ht="15.75" customHeight="1">
      <c r="A9480" s="26"/>
      <c r="B9480" s="86"/>
      <c r="D9480" s="26"/>
      <c r="F9480" s="87" t="str">
        <f t="shared" si="0"/>
        <v/>
      </c>
      <c r="H9480" s="26" t="str">
        <f t="shared" si="1"/>
        <v/>
      </c>
      <c r="I9480" s="26" t="str">
        <f t="shared" si="2"/>
        <v/>
      </c>
      <c r="J9480" s="86">
        <f t="shared" si="3"/>
        <v>0</v>
      </c>
      <c r="R9480" s="26"/>
    </row>
    <row r="9481" spans="1:18" ht="15.75" customHeight="1">
      <c r="A9481" s="26"/>
      <c r="B9481" s="86"/>
      <c r="D9481" s="26"/>
      <c r="F9481" s="87" t="str">
        <f t="shared" si="0"/>
        <v/>
      </c>
      <c r="H9481" s="26" t="str">
        <f t="shared" si="1"/>
        <v/>
      </c>
      <c r="I9481" s="26" t="str">
        <f t="shared" si="2"/>
        <v/>
      </c>
      <c r="J9481" s="86">
        <f t="shared" si="3"/>
        <v>0</v>
      </c>
      <c r="R9481" s="26"/>
    </row>
    <row r="9482" spans="1:18" ht="15.75" customHeight="1">
      <c r="A9482" s="26"/>
      <c r="B9482" s="86"/>
      <c r="D9482" s="26"/>
      <c r="F9482" s="87" t="str">
        <f t="shared" si="0"/>
        <v/>
      </c>
      <c r="H9482" s="26" t="str">
        <f t="shared" si="1"/>
        <v/>
      </c>
      <c r="I9482" s="26" t="str">
        <f t="shared" si="2"/>
        <v/>
      </c>
      <c r="J9482" s="86">
        <f t="shared" si="3"/>
        <v>0</v>
      </c>
      <c r="R9482" s="26"/>
    </row>
    <row r="9483" spans="1:18" ht="15.75" customHeight="1">
      <c r="A9483" s="26"/>
      <c r="B9483" s="86"/>
      <c r="D9483" s="26"/>
      <c r="F9483" s="87" t="str">
        <f t="shared" si="0"/>
        <v/>
      </c>
      <c r="H9483" s="26" t="str">
        <f t="shared" si="1"/>
        <v/>
      </c>
      <c r="I9483" s="26" t="str">
        <f t="shared" si="2"/>
        <v/>
      </c>
      <c r="J9483" s="86">
        <f t="shared" si="3"/>
        <v>0</v>
      </c>
      <c r="R9483" s="26"/>
    </row>
    <row r="9484" spans="1:18" ht="15.75" customHeight="1">
      <c r="A9484" s="26"/>
      <c r="B9484" s="86"/>
      <c r="D9484" s="26"/>
      <c r="F9484" s="87" t="str">
        <f t="shared" si="0"/>
        <v/>
      </c>
      <c r="H9484" s="26" t="str">
        <f t="shared" si="1"/>
        <v/>
      </c>
      <c r="I9484" s="26" t="str">
        <f t="shared" si="2"/>
        <v/>
      </c>
      <c r="J9484" s="86">
        <f t="shared" si="3"/>
        <v>0</v>
      </c>
      <c r="R9484" s="26"/>
    </row>
    <row r="9485" spans="1:18" ht="15.75" customHeight="1">
      <c r="A9485" s="26"/>
      <c r="B9485" s="86"/>
      <c r="D9485" s="26"/>
      <c r="F9485" s="87" t="str">
        <f t="shared" si="0"/>
        <v/>
      </c>
      <c r="H9485" s="26" t="str">
        <f t="shared" si="1"/>
        <v/>
      </c>
      <c r="I9485" s="26" t="str">
        <f t="shared" si="2"/>
        <v/>
      </c>
      <c r="J9485" s="86">
        <f t="shared" si="3"/>
        <v>0</v>
      </c>
      <c r="R9485" s="26"/>
    </row>
    <row r="9486" spans="1:18" ht="15.75" customHeight="1">
      <c r="A9486" s="26"/>
      <c r="B9486" s="86"/>
      <c r="D9486" s="26"/>
      <c r="F9486" s="87" t="str">
        <f t="shared" si="0"/>
        <v/>
      </c>
      <c r="H9486" s="26" t="str">
        <f t="shared" si="1"/>
        <v/>
      </c>
      <c r="I9486" s="26" t="str">
        <f t="shared" si="2"/>
        <v/>
      </c>
      <c r="J9486" s="86">
        <f t="shared" si="3"/>
        <v>0</v>
      </c>
      <c r="R9486" s="26"/>
    </row>
    <row r="9487" spans="1:18" ht="15.75" customHeight="1">
      <c r="A9487" s="26"/>
      <c r="B9487" s="86"/>
      <c r="D9487" s="26"/>
      <c r="F9487" s="87" t="str">
        <f t="shared" si="0"/>
        <v/>
      </c>
      <c r="H9487" s="26" t="str">
        <f t="shared" si="1"/>
        <v/>
      </c>
      <c r="I9487" s="26" t="str">
        <f t="shared" si="2"/>
        <v/>
      </c>
      <c r="J9487" s="86">
        <f t="shared" si="3"/>
        <v>0</v>
      </c>
      <c r="R9487" s="26"/>
    </row>
    <row r="9488" spans="1:18" ht="15.75" customHeight="1">
      <c r="A9488" s="26"/>
      <c r="B9488" s="86"/>
      <c r="D9488" s="26"/>
      <c r="F9488" s="87" t="str">
        <f t="shared" si="0"/>
        <v/>
      </c>
      <c r="H9488" s="26" t="str">
        <f t="shared" si="1"/>
        <v/>
      </c>
      <c r="I9488" s="26" t="str">
        <f t="shared" si="2"/>
        <v/>
      </c>
      <c r="J9488" s="86">
        <f t="shared" si="3"/>
        <v>0</v>
      </c>
      <c r="R9488" s="26"/>
    </row>
    <row r="9489" spans="1:18" ht="15.75" customHeight="1">
      <c r="A9489" s="26"/>
      <c r="B9489" s="86"/>
      <c r="D9489" s="26"/>
      <c r="F9489" s="87" t="str">
        <f t="shared" si="0"/>
        <v/>
      </c>
      <c r="H9489" s="26" t="str">
        <f t="shared" si="1"/>
        <v/>
      </c>
      <c r="I9489" s="26" t="str">
        <f t="shared" si="2"/>
        <v/>
      </c>
      <c r="J9489" s="86">
        <f t="shared" si="3"/>
        <v>0</v>
      </c>
      <c r="R9489" s="26"/>
    </row>
    <row r="9490" spans="1:18" ht="15.75" customHeight="1">
      <c r="A9490" s="26"/>
      <c r="B9490" s="86"/>
      <c r="D9490" s="26"/>
      <c r="F9490" s="87" t="str">
        <f t="shared" si="0"/>
        <v/>
      </c>
      <c r="H9490" s="26" t="str">
        <f t="shared" si="1"/>
        <v/>
      </c>
      <c r="I9490" s="26" t="str">
        <f t="shared" si="2"/>
        <v/>
      </c>
      <c r="J9490" s="86">
        <f t="shared" si="3"/>
        <v>0</v>
      </c>
      <c r="R9490" s="26"/>
    </row>
    <row r="9491" spans="1:18" ht="15.75" customHeight="1">
      <c r="A9491" s="26"/>
      <c r="B9491" s="86"/>
      <c r="D9491" s="26"/>
      <c r="F9491" s="87" t="str">
        <f t="shared" si="0"/>
        <v/>
      </c>
      <c r="H9491" s="26" t="str">
        <f t="shared" si="1"/>
        <v/>
      </c>
      <c r="I9491" s="26" t="str">
        <f t="shared" si="2"/>
        <v/>
      </c>
      <c r="J9491" s="86">
        <f t="shared" si="3"/>
        <v>0</v>
      </c>
      <c r="R9491" s="26"/>
    </row>
    <row r="9492" spans="1:18" ht="15.75" customHeight="1">
      <c r="A9492" s="26"/>
      <c r="B9492" s="86"/>
      <c r="D9492" s="26"/>
      <c r="F9492" s="87" t="str">
        <f t="shared" si="0"/>
        <v/>
      </c>
      <c r="H9492" s="26" t="str">
        <f t="shared" si="1"/>
        <v/>
      </c>
      <c r="I9492" s="26" t="str">
        <f t="shared" si="2"/>
        <v/>
      </c>
      <c r="J9492" s="86">
        <f t="shared" si="3"/>
        <v>0</v>
      </c>
      <c r="R9492" s="26"/>
    </row>
    <row r="9493" spans="1:18" ht="15.75" customHeight="1">
      <c r="A9493" s="26"/>
      <c r="B9493" s="86"/>
      <c r="D9493" s="26"/>
      <c r="F9493" s="87" t="str">
        <f t="shared" si="0"/>
        <v/>
      </c>
      <c r="H9493" s="26" t="str">
        <f t="shared" si="1"/>
        <v/>
      </c>
      <c r="I9493" s="26" t="str">
        <f t="shared" si="2"/>
        <v/>
      </c>
      <c r="J9493" s="86">
        <f t="shared" si="3"/>
        <v>0</v>
      </c>
      <c r="R9493" s="26"/>
    </row>
    <row r="9494" spans="1:18" ht="15.75" customHeight="1">
      <c r="A9494" s="26"/>
      <c r="B9494" s="86"/>
      <c r="D9494" s="26"/>
      <c r="F9494" s="87" t="str">
        <f t="shared" si="0"/>
        <v/>
      </c>
      <c r="H9494" s="26" t="str">
        <f t="shared" si="1"/>
        <v/>
      </c>
      <c r="I9494" s="26" t="str">
        <f t="shared" si="2"/>
        <v/>
      </c>
      <c r="J9494" s="86">
        <f t="shared" si="3"/>
        <v>0</v>
      </c>
      <c r="R9494" s="26"/>
    </row>
    <row r="9495" spans="1:18" ht="15.75" customHeight="1">
      <c r="A9495" s="26"/>
      <c r="B9495" s="86"/>
      <c r="D9495" s="26"/>
      <c r="F9495" s="87" t="str">
        <f t="shared" si="0"/>
        <v/>
      </c>
      <c r="H9495" s="26" t="str">
        <f t="shared" si="1"/>
        <v/>
      </c>
      <c r="I9495" s="26" t="str">
        <f t="shared" si="2"/>
        <v/>
      </c>
      <c r="J9495" s="86">
        <f t="shared" si="3"/>
        <v>0</v>
      </c>
      <c r="R9495" s="26"/>
    </row>
    <row r="9496" spans="1:18" ht="15.75" customHeight="1">
      <c r="A9496" s="26"/>
      <c r="B9496" s="86"/>
      <c r="D9496" s="26"/>
      <c r="F9496" s="87" t="str">
        <f t="shared" si="0"/>
        <v/>
      </c>
      <c r="H9496" s="26" t="str">
        <f t="shared" si="1"/>
        <v/>
      </c>
      <c r="I9496" s="26" t="str">
        <f t="shared" si="2"/>
        <v/>
      </c>
      <c r="J9496" s="86">
        <f t="shared" si="3"/>
        <v>0</v>
      </c>
      <c r="R9496" s="26"/>
    </row>
    <row r="9497" spans="1:18" ht="15.75" customHeight="1">
      <c r="A9497" s="26"/>
      <c r="B9497" s="86"/>
      <c r="D9497" s="26"/>
      <c r="F9497" s="87" t="str">
        <f t="shared" si="0"/>
        <v/>
      </c>
      <c r="H9497" s="26" t="str">
        <f t="shared" si="1"/>
        <v/>
      </c>
      <c r="I9497" s="26" t="str">
        <f t="shared" si="2"/>
        <v/>
      </c>
      <c r="J9497" s="86">
        <f t="shared" si="3"/>
        <v>0</v>
      </c>
      <c r="R9497" s="26"/>
    </row>
    <row r="9498" spans="1:18" ht="15.75" customHeight="1">
      <c r="A9498" s="26"/>
      <c r="B9498" s="86"/>
      <c r="D9498" s="26"/>
      <c r="F9498" s="87" t="str">
        <f t="shared" si="0"/>
        <v/>
      </c>
      <c r="H9498" s="26" t="str">
        <f t="shared" si="1"/>
        <v/>
      </c>
      <c r="I9498" s="26" t="str">
        <f t="shared" si="2"/>
        <v/>
      </c>
      <c r="J9498" s="86">
        <f t="shared" si="3"/>
        <v>0</v>
      </c>
      <c r="R9498" s="26"/>
    </row>
    <row r="9499" spans="1:18" ht="15.75" customHeight="1">
      <c r="A9499" s="26"/>
      <c r="B9499" s="86"/>
      <c r="D9499" s="26"/>
      <c r="F9499" s="87" t="str">
        <f t="shared" si="0"/>
        <v/>
      </c>
      <c r="H9499" s="26" t="str">
        <f t="shared" si="1"/>
        <v/>
      </c>
      <c r="I9499" s="26" t="str">
        <f t="shared" si="2"/>
        <v/>
      </c>
      <c r="J9499" s="86">
        <f t="shared" si="3"/>
        <v>0</v>
      </c>
      <c r="R9499" s="26"/>
    </row>
    <row r="9500" spans="1:18" ht="15.75" customHeight="1">
      <c r="A9500" s="26"/>
      <c r="B9500" s="86"/>
      <c r="D9500" s="26"/>
      <c r="F9500" s="87" t="str">
        <f t="shared" si="0"/>
        <v/>
      </c>
      <c r="H9500" s="26" t="str">
        <f t="shared" si="1"/>
        <v/>
      </c>
      <c r="I9500" s="26" t="str">
        <f t="shared" si="2"/>
        <v/>
      </c>
      <c r="J9500" s="86">
        <f t="shared" si="3"/>
        <v>0</v>
      </c>
      <c r="R9500" s="26"/>
    </row>
    <row r="9501" spans="1:18" ht="15.75" customHeight="1">
      <c r="A9501" s="26"/>
      <c r="B9501" s="86"/>
      <c r="D9501" s="26"/>
      <c r="F9501" s="87" t="str">
        <f t="shared" si="0"/>
        <v/>
      </c>
      <c r="H9501" s="26" t="str">
        <f t="shared" si="1"/>
        <v/>
      </c>
      <c r="I9501" s="26" t="str">
        <f t="shared" si="2"/>
        <v/>
      </c>
      <c r="J9501" s="86">
        <f t="shared" si="3"/>
        <v>0</v>
      </c>
      <c r="R9501" s="26"/>
    </row>
    <row r="9502" spans="1:18" ht="15.75" customHeight="1">
      <c r="A9502" s="26"/>
      <c r="B9502" s="86"/>
      <c r="D9502" s="26"/>
      <c r="F9502" s="87" t="str">
        <f t="shared" si="0"/>
        <v/>
      </c>
      <c r="H9502" s="26" t="str">
        <f t="shared" si="1"/>
        <v/>
      </c>
      <c r="I9502" s="26" t="str">
        <f t="shared" si="2"/>
        <v/>
      </c>
      <c r="J9502" s="86">
        <f t="shared" si="3"/>
        <v>0</v>
      </c>
      <c r="R9502" s="26"/>
    </row>
    <row r="9503" spans="1:18" ht="15.75" customHeight="1">
      <c r="A9503" s="26"/>
      <c r="B9503" s="86"/>
      <c r="D9503" s="26"/>
      <c r="F9503" s="87" t="str">
        <f t="shared" si="0"/>
        <v/>
      </c>
      <c r="H9503" s="26" t="str">
        <f t="shared" si="1"/>
        <v/>
      </c>
      <c r="I9503" s="26" t="str">
        <f t="shared" si="2"/>
        <v/>
      </c>
      <c r="J9503" s="86">
        <f t="shared" si="3"/>
        <v>0</v>
      </c>
      <c r="R9503" s="26"/>
    </row>
    <row r="9504" spans="1:18" ht="15.75" customHeight="1">
      <c r="A9504" s="26"/>
      <c r="B9504" s="86"/>
      <c r="D9504" s="26"/>
      <c r="F9504" s="87" t="str">
        <f t="shared" si="0"/>
        <v/>
      </c>
      <c r="H9504" s="26" t="str">
        <f t="shared" si="1"/>
        <v/>
      </c>
      <c r="I9504" s="26" t="str">
        <f t="shared" si="2"/>
        <v/>
      </c>
      <c r="J9504" s="86">
        <f t="shared" si="3"/>
        <v>0</v>
      </c>
      <c r="R9504" s="26"/>
    </row>
    <row r="9505" spans="1:18" ht="15.75" customHeight="1">
      <c r="A9505" s="26"/>
      <c r="B9505" s="86"/>
      <c r="D9505" s="26"/>
      <c r="F9505" s="87" t="str">
        <f t="shared" si="0"/>
        <v/>
      </c>
      <c r="H9505" s="26" t="str">
        <f t="shared" si="1"/>
        <v/>
      </c>
      <c r="I9505" s="26" t="str">
        <f t="shared" si="2"/>
        <v/>
      </c>
      <c r="J9505" s="86">
        <f t="shared" si="3"/>
        <v>0</v>
      </c>
      <c r="R9505" s="26"/>
    </row>
    <row r="9506" spans="1:18" ht="15.75" customHeight="1">
      <c r="A9506" s="26"/>
      <c r="B9506" s="86"/>
      <c r="D9506" s="26"/>
      <c r="F9506" s="87" t="str">
        <f t="shared" si="0"/>
        <v/>
      </c>
      <c r="H9506" s="26" t="str">
        <f t="shared" si="1"/>
        <v/>
      </c>
      <c r="I9506" s="26" t="str">
        <f t="shared" si="2"/>
        <v/>
      </c>
      <c r="J9506" s="86">
        <f t="shared" si="3"/>
        <v>0</v>
      </c>
      <c r="R9506" s="26"/>
    </row>
    <row r="9507" spans="1:18" ht="15.75" customHeight="1">
      <c r="A9507" s="26"/>
      <c r="B9507" s="86"/>
      <c r="D9507" s="26"/>
      <c r="F9507" s="87" t="str">
        <f t="shared" si="0"/>
        <v/>
      </c>
      <c r="H9507" s="26" t="str">
        <f t="shared" si="1"/>
        <v/>
      </c>
      <c r="I9507" s="26" t="str">
        <f t="shared" si="2"/>
        <v/>
      </c>
      <c r="J9507" s="86">
        <f t="shared" si="3"/>
        <v>0</v>
      </c>
      <c r="R9507" s="26"/>
    </row>
    <row r="9508" spans="1:18" ht="15.75" customHeight="1">
      <c r="A9508" s="26"/>
      <c r="B9508" s="86"/>
      <c r="D9508" s="26"/>
      <c r="F9508" s="87" t="str">
        <f t="shared" si="0"/>
        <v/>
      </c>
      <c r="H9508" s="26" t="str">
        <f t="shared" si="1"/>
        <v/>
      </c>
      <c r="I9508" s="26" t="str">
        <f t="shared" si="2"/>
        <v/>
      </c>
      <c r="J9508" s="86">
        <f t="shared" si="3"/>
        <v>0</v>
      </c>
      <c r="R9508" s="26"/>
    </row>
    <row r="9509" spans="1:18" ht="15.75" customHeight="1">
      <c r="A9509" s="26"/>
      <c r="B9509" s="86"/>
      <c r="D9509" s="26"/>
      <c r="F9509" s="87" t="str">
        <f t="shared" si="0"/>
        <v/>
      </c>
      <c r="H9509" s="26" t="str">
        <f t="shared" si="1"/>
        <v/>
      </c>
      <c r="I9509" s="26" t="str">
        <f t="shared" si="2"/>
        <v/>
      </c>
      <c r="J9509" s="86">
        <f t="shared" si="3"/>
        <v>0</v>
      </c>
      <c r="R9509" s="26"/>
    </row>
    <row r="9510" spans="1:18" ht="15.75" customHeight="1">
      <c r="A9510" s="26"/>
      <c r="B9510" s="86"/>
      <c r="D9510" s="26"/>
      <c r="F9510" s="87" t="str">
        <f t="shared" si="0"/>
        <v/>
      </c>
      <c r="H9510" s="26" t="str">
        <f t="shared" si="1"/>
        <v/>
      </c>
      <c r="I9510" s="26" t="str">
        <f t="shared" si="2"/>
        <v/>
      </c>
      <c r="J9510" s="86">
        <f t="shared" si="3"/>
        <v>0</v>
      </c>
      <c r="R9510" s="26"/>
    </row>
    <row r="9511" spans="1:18" ht="15.75" customHeight="1">
      <c r="A9511" s="26"/>
      <c r="B9511" s="86"/>
      <c r="D9511" s="26"/>
      <c r="F9511" s="87" t="str">
        <f t="shared" si="0"/>
        <v/>
      </c>
      <c r="H9511" s="26" t="str">
        <f t="shared" si="1"/>
        <v/>
      </c>
      <c r="I9511" s="26" t="str">
        <f t="shared" si="2"/>
        <v/>
      </c>
      <c r="J9511" s="86">
        <f t="shared" si="3"/>
        <v>0</v>
      </c>
      <c r="R9511" s="26"/>
    </row>
    <row r="9512" spans="1:18" ht="15.75" customHeight="1">
      <c r="A9512" s="26"/>
      <c r="B9512" s="86"/>
      <c r="D9512" s="26"/>
      <c r="F9512" s="87" t="str">
        <f t="shared" si="0"/>
        <v/>
      </c>
      <c r="H9512" s="26" t="str">
        <f t="shared" si="1"/>
        <v/>
      </c>
      <c r="I9512" s="26" t="str">
        <f t="shared" si="2"/>
        <v/>
      </c>
      <c r="J9512" s="86">
        <f t="shared" si="3"/>
        <v>0</v>
      </c>
      <c r="R9512" s="26"/>
    </row>
    <row r="9513" spans="1:18" ht="15.75" customHeight="1">
      <c r="A9513" s="26"/>
      <c r="B9513" s="86"/>
      <c r="D9513" s="26"/>
      <c r="F9513" s="87" t="str">
        <f t="shared" si="0"/>
        <v/>
      </c>
      <c r="H9513" s="26" t="str">
        <f t="shared" si="1"/>
        <v/>
      </c>
      <c r="I9513" s="26" t="str">
        <f t="shared" si="2"/>
        <v/>
      </c>
      <c r="J9513" s="86">
        <f t="shared" si="3"/>
        <v>0</v>
      </c>
      <c r="R9513" s="26"/>
    </row>
    <row r="9514" spans="1:18" ht="15.75" customHeight="1">
      <c r="A9514" s="26"/>
      <c r="B9514" s="86"/>
      <c r="D9514" s="26"/>
      <c r="F9514" s="87" t="str">
        <f t="shared" si="0"/>
        <v/>
      </c>
      <c r="H9514" s="26" t="str">
        <f t="shared" si="1"/>
        <v/>
      </c>
      <c r="I9514" s="26" t="str">
        <f t="shared" si="2"/>
        <v/>
      </c>
      <c r="J9514" s="86">
        <f t="shared" si="3"/>
        <v>0</v>
      </c>
      <c r="R9514" s="26"/>
    </row>
    <row r="9515" spans="1:18" ht="15.75" customHeight="1">
      <c r="A9515" s="26"/>
      <c r="B9515" s="86"/>
      <c r="D9515" s="26"/>
      <c r="F9515" s="87" t="str">
        <f t="shared" si="0"/>
        <v/>
      </c>
      <c r="H9515" s="26" t="str">
        <f t="shared" si="1"/>
        <v/>
      </c>
      <c r="I9515" s="26" t="str">
        <f t="shared" si="2"/>
        <v/>
      </c>
      <c r="J9515" s="86">
        <f t="shared" si="3"/>
        <v>0</v>
      </c>
      <c r="R9515" s="26"/>
    </row>
    <row r="9516" spans="1:18" ht="15.75" customHeight="1">
      <c r="A9516" s="26"/>
      <c r="B9516" s="86"/>
      <c r="D9516" s="26"/>
      <c r="F9516" s="87" t="str">
        <f t="shared" si="0"/>
        <v/>
      </c>
      <c r="H9516" s="26" t="str">
        <f t="shared" si="1"/>
        <v/>
      </c>
      <c r="I9516" s="26" t="str">
        <f t="shared" si="2"/>
        <v/>
      </c>
      <c r="J9516" s="86">
        <f t="shared" si="3"/>
        <v>0</v>
      </c>
      <c r="R9516" s="26"/>
    </row>
    <row r="9517" spans="1:18" ht="15.75" customHeight="1">
      <c r="A9517" s="26"/>
      <c r="B9517" s="86"/>
      <c r="D9517" s="26"/>
      <c r="F9517" s="87" t="str">
        <f t="shared" si="0"/>
        <v/>
      </c>
      <c r="H9517" s="26" t="str">
        <f t="shared" si="1"/>
        <v/>
      </c>
      <c r="I9517" s="26" t="str">
        <f t="shared" si="2"/>
        <v/>
      </c>
      <c r="J9517" s="86">
        <f t="shared" si="3"/>
        <v>0</v>
      </c>
      <c r="R9517" s="26"/>
    </row>
    <row r="9518" spans="1:18" ht="15.75" customHeight="1">
      <c r="A9518" s="26"/>
      <c r="B9518" s="86"/>
      <c r="D9518" s="26"/>
      <c r="F9518" s="87" t="str">
        <f t="shared" si="0"/>
        <v/>
      </c>
      <c r="H9518" s="26" t="str">
        <f t="shared" si="1"/>
        <v/>
      </c>
      <c r="I9518" s="26" t="str">
        <f t="shared" si="2"/>
        <v/>
      </c>
      <c r="J9518" s="86">
        <f t="shared" si="3"/>
        <v>0</v>
      </c>
      <c r="R9518" s="26"/>
    </row>
    <row r="9519" spans="1:18" ht="15.75" customHeight="1">
      <c r="A9519" s="26"/>
      <c r="B9519" s="86"/>
      <c r="D9519" s="26"/>
      <c r="F9519" s="87" t="str">
        <f t="shared" si="0"/>
        <v/>
      </c>
      <c r="H9519" s="26" t="str">
        <f t="shared" si="1"/>
        <v/>
      </c>
      <c r="I9519" s="26" t="str">
        <f t="shared" si="2"/>
        <v/>
      </c>
      <c r="J9519" s="86">
        <f t="shared" si="3"/>
        <v>0</v>
      </c>
      <c r="R9519" s="26"/>
    </row>
    <row r="9520" spans="1:18" ht="15.75" customHeight="1">
      <c r="A9520" s="26"/>
      <c r="B9520" s="86"/>
      <c r="D9520" s="26"/>
      <c r="F9520" s="87" t="str">
        <f t="shared" si="0"/>
        <v/>
      </c>
      <c r="H9520" s="26" t="str">
        <f t="shared" si="1"/>
        <v/>
      </c>
      <c r="I9520" s="26" t="str">
        <f t="shared" si="2"/>
        <v/>
      </c>
      <c r="J9520" s="86">
        <f t="shared" si="3"/>
        <v>0</v>
      </c>
      <c r="R9520" s="26"/>
    </row>
    <row r="9521" spans="1:18" ht="15.75" customHeight="1">
      <c r="A9521" s="26"/>
      <c r="B9521" s="86"/>
      <c r="D9521" s="26"/>
      <c r="F9521" s="87" t="str">
        <f t="shared" si="0"/>
        <v/>
      </c>
      <c r="H9521" s="26" t="str">
        <f t="shared" si="1"/>
        <v/>
      </c>
      <c r="I9521" s="26" t="str">
        <f t="shared" si="2"/>
        <v/>
      </c>
      <c r="J9521" s="86">
        <f t="shared" si="3"/>
        <v>0</v>
      </c>
      <c r="R9521" s="26"/>
    </row>
    <row r="9522" spans="1:18" ht="15.75" customHeight="1">
      <c r="A9522" s="26"/>
      <c r="B9522" s="86"/>
      <c r="D9522" s="26"/>
      <c r="F9522" s="87" t="str">
        <f t="shared" si="0"/>
        <v/>
      </c>
      <c r="H9522" s="26" t="str">
        <f t="shared" si="1"/>
        <v/>
      </c>
      <c r="I9522" s="26" t="str">
        <f t="shared" si="2"/>
        <v/>
      </c>
      <c r="J9522" s="86">
        <f t="shared" si="3"/>
        <v>0</v>
      </c>
      <c r="R9522" s="26"/>
    </row>
    <row r="9523" spans="1:18" ht="15.75" customHeight="1">
      <c r="A9523" s="26"/>
      <c r="B9523" s="86"/>
      <c r="D9523" s="26"/>
      <c r="F9523" s="87" t="str">
        <f t="shared" si="0"/>
        <v/>
      </c>
      <c r="H9523" s="26" t="str">
        <f t="shared" si="1"/>
        <v/>
      </c>
      <c r="I9523" s="26" t="str">
        <f t="shared" si="2"/>
        <v/>
      </c>
      <c r="J9523" s="86">
        <f t="shared" si="3"/>
        <v>0</v>
      </c>
      <c r="R9523" s="26"/>
    </row>
    <row r="9524" spans="1:18" ht="15.75" customHeight="1">
      <c r="A9524" s="26"/>
      <c r="B9524" s="86"/>
      <c r="D9524" s="26"/>
      <c r="F9524" s="87" t="str">
        <f t="shared" si="0"/>
        <v/>
      </c>
      <c r="H9524" s="26" t="str">
        <f t="shared" si="1"/>
        <v/>
      </c>
      <c r="I9524" s="26" t="str">
        <f t="shared" si="2"/>
        <v/>
      </c>
      <c r="J9524" s="86">
        <f t="shared" si="3"/>
        <v>0</v>
      </c>
      <c r="R9524" s="26"/>
    </row>
    <row r="9525" spans="1:18" ht="15.75" customHeight="1">
      <c r="A9525" s="26"/>
      <c r="B9525" s="86"/>
      <c r="D9525" s="26"/>
      <c r="F9525" s="87" t="str">
        <f t="shared" si="0"/>
        <v/>
      </c>
      <c r="H9525" s="26" t="str">
        <f t="shared" si="1"/>
        <v/>
      </c>
      <c r="I9525" s="26" t="str">
        <f t="shared" si="2"/>
        <v/>
      </c>
      <c r="J9525" s="86">
        <f t="shared" si="3"/>
        <v>0</v>
      </c>
      <c r="R9525" s="26"/>
    </row>
    <row r="9526" spans="1:18" ht="15.75" customHeight="1">
      <c r="A9526" s="26"/>
      <c r="B9526" s="86"/>
      <c r="D9526" s="26"/>
      <c r="F9526" s="87" t="str">
        <f t="shared" si="0"/>
        <v/>
      </c>
      <c r="H9526" s="26" t="str">
        <f t="shared" si="1"/>
        <v/>
      </c>
      <c r="I9526" s="26" t="str">
        <f t="shared" si="2"/>
        <v/>
      </c>
      <c r="J9526" s="86">
        <f t="shared" si="3"/>
        <v>0</v>
      </c>
      <c r="R9526" s="26"/>
    </row>
    <row r="9527" spans="1:18" ht="15.75" customHeight="1">
      <c r="A9527" s="26"/>
      <c r="B9527" s="86"/>
      <c r="D9527" s="26"/>
      <c r="F9527" s="87" t="str">
        <f t="shared" si="0"/>
        <v/>
      </c>
      <c r="H9527" s="26" t="str">
        <f t="shared" si="1"/>
        <v/>
      </c>
      <c r="I9527" s="26" t="str">
        <f t="shared" si="2"/>
        <v/>
      </c>
      <c r="J9527" s="86">
        <f t="shared" si="3"/>
        <v>0</v>
      </c>
      <c r="R9527" s="26"/>
    </row>
    <row r="9528" spans="1:18" ht="15.75" customHeight="1">
      <c r="A9528" s="26"/>
      <c r="B9528" s="86"/>
      <c r="D9528" s="26"/>
      <c r="F9528" s="87" t="str">
        <f t="shared" si="0"/>
        <v/>
      </c>
      <c r="H9528" s="26" t="str">
        <f t="shared" si="1"/>
        <v/>
      </c>
      <c r="I9528" s="26" t="str">
        <f t="shared" si="2"/>
        <v/>
      </c>
      <c r="J9528" s="86">
        <f t="shared" si="3"/>
        <v>0</v>
      </c>
      <c r="R9528" s="26"/>
    </row>
    <row r="9529" spans="1:18" ht="15.75" customHeight="1">
      <c r="A9529" s="26"/>
      <c r="B9529" s="86"/>
      <c r="D9529" s="26"/>
      <c r="F9529" s="87" t="str">
        <f t="shared" si="0"/>
        <v/>
      </c>
      <c r="H9529" s="26" t="str">
        <f t="shared" si="1"/>
        <v/>
      </c>
      <c r="I9529" s="26" t="str">
        <f t="shared" si="2"/>
        <v/>
      </c>
      <c r="J9529" s="86">
        <f t="shared" si="3"/>
        <v>0</v>
      </c>
      <c r="R9529" s="26"/>
    </row>
    <row r="9530" spans="1:18" ht="15.75" customHeight="1">
      <c r="A9530" s="26"/>
      <c r="B9530" s="86"/>
      <c r="D9530" s="26"/>
      <c r="F9530" s="87" t="str">
        <f t="shared" si="0"/>
        <v/>
      </c>
      <c r="H9530" s="26" t="str">
        <f t="shared" si="1"/>
        <v/>
      </c>
      <c r="I9530" s="26" t="str">
        <f t="shared" si="2"/>
        <v/>
      </c>
      <c r="J9530" s="86">
        <f t="shared" si="3"/>
        <v>0</v>
      </c>
      <c r="R9530" s="26"/>
    </row>
    <row r="9531" spans="1:18" ht="15.75" customHeight="1">
      <c r="A9531" s="26"/>
      <c r="B9531" s="86"/>
      <c r="D9531" s="26"/>
      <c r="F9531" s="87" t="str">
        <f t="shared" si="0"/>
        <v/>
      </c>
      <c r="H9531" s="26" t="str">
        <f t="shared" si="1"/>
        <v/>
      </c>
      <c r="I9531" s="26" t="str">
        <f t="shared" si="2"/>
        <v/>
      </c>
      <c r="J9531" s="86">
        <f t="shared" si="3"/>
        <v>0</v>
      </c>
      <c r="R9531" s="26"/>
    </row>
    <row r="9532" spans="1:18" ht="15.75" customHeight="1">
      <c r="A9532" s="26"/>
      <c r="B9532" s="86"/>
      <c r="D9532" s="26"/>
      <c r="F9532" s="87" t="str">
        <f t="shared" si="0"/>
        <v/>
      </c>
      <c r="H9532" s="26" t="str">
        <f t="shared" si="1"/>
        <v/>
      </c>
      <c r="I9532" s="26" t="str">
        <f t="shared" si="2"/>
        <v/>
      </c>
      <c r="J9532" s="86">
        <f t="shared" si="3"/>
        <v>0</v>
      </c>
      <c r="R9532" s="26"/>
    </row>
    <row r="9533" spans="1:18" ht="15.75" customHeight="1">
      <c r="A9533" s="26"/>
      <c r="B9533" s="86"/>
      <c r="D9533" s="26"/>
      <c r="F9533" s="87" t="str">
        <f t="shared" si="0"/>
        <v/>
      </c>
      <c r="H9533" s="26" t="str">
        <f t="shared" si="1"/>
        <v/>
      </c>
      <c r="I9533" s="26" t="str">
        <f t="shared" si="2"/>
        <v/>
      </c>
      <c r="J9533" s="86">
        <f t="shared" si="3"/>
        <v>0</v>
      </c>
      <c r="R9533" s="26"/>
    </row>
    <row r="9534" spans="1:18" ht="15.75" customHeight="1">
      <c r="A9534" s="26"/>
      <c r="B9534" s="86"/>
      <c r="D9534" s="26"/>
      <c r="F9534" s="87" t="str">
        <f t="shared" si="0"/>
        <v/>
      </c>
      <c r="H9534" s="26" t="str">
        <f t="shared" si="1"/>
        <v/>
      </c>
      <c r="I9534" s="26" t="str">
        <f t="shared" si="2"/>
        <v/>
      </c>
      <c r="J9534" s="86">
        <f t="shared" si="3"/>
        <v>0</v>
      </c>
      <c r="R9534" s="26"/>
    </row>
    <row r="9535" spans="1:18" ht="15.75" customHeight="1">
      <c r="A9535" s="26"/>
      <c r="B9535" s="86"/>
      <c r="D9535" s="26"/>
      <c r="F9535" s="87" t="str">
        <f t="shared" si="0"/>
        <v/>
      </c>
      <c r="H9535" s="26" t="str">
        <f t="shared" si="1"/>
        <v/>
      </c>
      <c r="I9535" s="26" t="str">
        <f t="shared" si="2"/>
        <v/>
      </c>
      <c r="J9535" s="86">
        <f t="shared" si="3"/>
        <v>0</v>
      </c>
      <c r="R9535" s="26"/>
    </row>
    <row r="9536" spans="1:18" ht="15.75" customHeight="1">
      <c r="A9536" s="26"/>
      <c r="B9536" s="86"/>
      <c r="D9536" s="26"/>
      <c r="F9536" s="87" t="str">
        <f t="shared" si="0"/>
        <v/>
      </c>
      <c r="H9536" s="26" t="str">
        <f t="shared" si="1"/>
        <v/>
      </c>
      <c r="I9536" s="26" t="str">
        <f t="shared" si="2"/>
        <v/>
      </c>
      <c r="J9536" s="86">
        <f t="shared" si="3"/>
        <v>0</v>
      </c>
      <c r="R9536" s="26"/>
    </row>
    <row r="9537" spans="1:18" ht="15.75" customHeight="1">
      <c r="A9537" s="26"/>
      <c r="B9537" s="86"/>
      <c r="D9537" s="26"/>
      <c r="F9537" s="87" t="str">
        <f t="shared" si="0"/>
        <v/>
      </c>
      <c r="H9537" s="26" t="str">
        <f t="shared" si="1"/>
        <v/>
      </c>
      <c r="I9537" s="26" t="str">
        <f t="shared" si="2"/>
        <v/>
      </c>
      <c r="J9537" s="86">
        <f t="shared" si="3"/>
        <v>0</v>
      </c>
      <c r="R9537" s="26"/>
    </row>
    <row r="9538" spans="1:18" ht="15.75" customHeight="1">
      <c r="A9538" s="26"/>
      <c r="B9538" s="86"/>
      <c r="D9538" s="26"/>
      <c r="F9538" s="87" t="str">
        <f t="shared" si="0"/>
        <v/>
      </c>
      <c r="H9538" s="26" t="str">
        <f t="shared" si="1"/>
        <v/>
      </c>
      <c r="I9538" s="26" t="str">
        <f t="shared" si="2"/>
        <v/>
      </c>
      <c r="J9538" s="86">
        <f t="shared" si="3"/>
        <v>0</v>
      </c>
      <c r="R9538" s="26"/>
    </row>
    <row r="9539" spans="1:18" ht="15.75" customHeight="1">
      <c r="A9539" s="26"/>
      <c r="B9539" s="86"/>
      <c r="D9539" s="26"/>
      <c r="F9539" s="87" t="str">
        <f t="shared" si="0"/>
        <v/>
      </c>
      <c r="H9539" s="26" t="str">
        <f t="shared" si="1"/>
        <v/>
      </c>
      <c r="I9539" s="26" t="str">
        <f t="shared" si="2"/>
        <v/>
      </c>
      <c r="J9539" s="86">
        <f t="shared" si="3"/>
        <v>0</v>
      </c>
      <c r="R9539" s="26"/>
    </row>
    <row r="9540" spans="1:18" ht="15.75" customHeight="1">
      <c r="A9540" s="26"/>
      <c r="B9540" s="86"/>
      <c r="D9540" s="26"/>
      <c r="F9540" s="87" t="str">
        <f t="shared" si="0"/>
        <v/>
      </c>
      <c r="H9540" s="26" t="str">
        <f t="shared" si="1"/>
        <v/>
      </c>
      <c r="I9540" s="26" t="str">
        <f t="shared" si="2"/>
        <v/>
      </c>
      <c r="J9540" s="86">
        <f t="shared" si="3"/>
        <v>0</v>
      </c>
      <c r="R9540" s="26"/>
    </row>
    <row r="9541" spans="1:18" ht="15.75" customHeight="1">
      <c r="A9541" s="26"/>
      <c r="B9541" s="86"/>
      <c r="D9541" s="26"/>
      <c r="F9541" s="87" t="str">
        <f t="shared" si="0"/>
        <v/>
      </c>
      <c r="H9541" s="26" t="str">
        <f t="shared" si="1"/>
        <v/>
      </c>
      <c r="I9541" s="26" t="str">
        <f t="shared" si="2"/>
        <v/>
      </c>
      <c r="J9541" s="86">
        <f t="shared" si="3"/>
        <v>0</v>
      </c>
      <c r="R9541" s="26"/>
    </row>
    <row r="9542" spans="1:18" ht="15.75" customHeight="1">
      <c r="A9542" s="26"/>
      <c r="B9542" s="86"/>
      <c r="D9542" s="26"/>
      <c r="F9542" s="87" t="str">
        <f t="shared" si="0"/>
        <v/>
      </c>
      <c r="H9542" s="26" t="str">
        <f t="shared" si="1"/>
        <v/>
      </c>
      <c r="I9542" s="26" t="str">
        <f t="shared" si="2"/>
        <v/>
      </c>
      <c r="J9542" s="86">
        <f t="shared" si="3"/>
        <v>0</v>
      </c>
      <c r="R9542" s="26"/>
    </row>
    <row r="9543" spans="1:18" ht="15.75" customHeight="1">
      <c r="A9543" s="26"/>
      <c r="B9543" s="86"/>
      <c r="D9543" s="26"/>
      <c r="F9543" s="87" t="str">
        <f t="shared" si="0"/>
        <v/>
      </c>
      <c r="H9543" s="26" t="str">
        <f t="shared" si="1"/>
        <v/>
      </c>
      <c r="I9543" s="26" t="str">
        <f t="shared" si="2"/>
        <v/>
      </c>
      <c r="J9543" s="86">
        <f t="shared" si="3"/>
        <v>0</v>
      </c>
      <c r="R9543" s="26"/>
    </row>
    <row r="9544" spans="1:18" ht="15.75" customHeight="1">
      <c r="A9544" s="26"/>
      <c r="B9544" s="86"/>
      <c r="D9544" s="26"/>
      <c r="F9544" s="87" t="str">
        <f t="shared" si="0"/>
        <v/>
      </c>
      <c r="H9544" s="26" t="str">
        <f t="shared" si="1"/>
        <v/>
      </c>
      <c r="I9544" s="26" t="str">
        <f t="shared" si="2"/>
        <v/>
      </c>
      <c r="J9544" s="86">
        <f t="shared" si="3"/>
        <v>0</v>
      </c>
      <c r="R9544" s="26"/>
    </row>
    <row r="9545" spans="1:18" ht="15.75" customHeight="1">
      <c r="A9545" s="26"/>
      <c r="B9545" s="86"/>
      <c r="D9545" s="26"/>
      <c r="F9545" s="87" t="str">
        <f t="shared" si="0"/>
        <v/>
      </c>
      <c r="H9545" s="26" t="str">
        <f t="shared" si="1"/>
        <v/>
      </c>
      <c r="I9545" s="26" t="str">
        <f t="shared" si="2"/>
        <v/>
      </c>
      <c r="J9545" s="86">
        <f t="shared" si="3"/>
        <v>0</v>
      </c>
      <c r="R9545" s="26"/>
    </row>
    <row r="9546" spans="1:18" ht="15.75" customHeight="1">
      <c r="A9546" s="26"/>
      <c r="B9546" s="86"/>
      <c r="D9546" s="26"/>
      <c r="F9546" s="87" t="str">
        <f t="shared" si="0"/>
        <v/>
      </c>
      <c r="H9546" s="26" t="str">
        <f t="shared" si="1"/>
        <v/>
      </c>
      <c r="I9546" s="26" t="str">
        <f t="shared" si="2"/>
        <v/>
      </c>
      <c r="J9546" s="86">
        <f t="shared" si="3"/>
        <v>0</v>
      </c>
      <c r="R9546" s="26"/>
    </row>
    <row r="9547" spans="1:18" ht="15.75" customHeight="1">
      <c r="A9547" s="26"/>
      <c r="B9547" s="86"/>
      <c r="D9547" s="26"/>
      <c r="F9547" s="87" t="str">
        <f t="shared" si="0"/>
        <v/>
      </c>
      <c r="H9547" s="26" t="str">
        <f t="shared" si="1"/>
        <v/>
      </c>
      <c r="I9547" s="26" t="str">
        <f t="shared" si="2"/>
        <v/>
      </c>
      <c r="J9547" s="86">
        <f t="shared" si="3"/>
        <v>0</v>
      </c>
      <c r="R9547" s="26"/>
    </row>
    <row r="9548" spans="1:18" ht="15.75" customHeight="1">
      <c r="A9548" s="26"/>
      <c r="B9548" s="86"/>
      <c r="D9548" s="26"/>
      <c r="F9548" s="87" t="str">
        <f t="shared" si="0"/>
        <v/>
      </c>
      <c r="H9548" s="26" t="str">
        <f t="shared" si="1"/>
        <v/>
      </c>
      <c r="I9548" s="26" t="str">
        <f t="shared" si="2"/>
        <v/>
      </c>
      <c r="J9548" s="86">
        <f t="shared" si="3"/>
        <v>0</v>
      </c>
      <c r="R9548" s="26"/>
    </row>
    <row r="9549" spans="1:18" ht="15.75" customHeight="1">
      <c r="A9549" s="26"/>
      <c r="B9549" s="86"/>
      <c r="D9549" s="26"/>
      <c r="F9549" s="87" t="str">
        <f t="shared" si="0"/>
        <v/>
      </c>
      <c r="H9549" s="26" t="str">
        <f t="shared" si="1"/>
        <v/>
      </c>
      <c r="I9549" s="26" t="str">
        <f t="shared" si="2"/>
        <v/>
      </c>
      <c r="J9549" s="86">
        <f t="shared" si="3"/>
        <v>0</v>
      </c>
      <c r="R9549" s="26"/>
    </row>
    <row r="9550" spans="1:18" ht="15.75" customHeight="1">
      <c r="A9550" s="26"/>
      <c r="B9550" s="86"/>
      <c r="D9550" s="26"/>
      <c r="F9550" s="87" t="str">
        <f t="shared" si="0"/>
        <v/>
      </c>
      <c r="H9550" s="26" t="str">
        <f t="shared" si="1"/>
        <v/>
      </c>
      <c r="I9550" s="26" t="str">
        <f t="shared" si="2"/>
        <v/>
      </c>
      <c r="J9550" s="86">
        <f t="shared" si="3"/>
        <v>0</v>
      </c>
      <c r="R9550" s="26"/>
    </row>
    <row r="9551" spans="1:18" ht="15.75" customHeight="1">
      <c r="A9551" s="26"/>
      <c r="B9551" s="86"/>
      <c r="D9551" s="26"/>
      <c r="F9551" s="87" t="str">
        <f t="shared" si="0"/>
        <v/>
      </c>
      <c r="H9551" s="26" t="str">
        <f t="shared" si="1"/>
        <v/>
      </c>
      <c r="I9551" s="26" t="str">
        <f t="shared" si="2"/>
        <v/>
      </c>
      <c r="J9551" s="86">
        <f t="shared" si="3"/>
        <v>0</v>
      </c>
      <c r="R9551" s="26"/>
    </row>
    <row r="9552" spans="1:18" ht="15.75" customHeight="1">
      <c r="A9552" s="26"/>
      <c r="B9552" s="86"/>
      <c r="D9552" s="26"/>
      <c r="F9552" s="87" t="str">
        <f t="shared" si="0"/>
        <v/>
      </c>
      <c r="H9552" s="26" t="str">
        <f t="shared" si="1"/>
        <v/>
      </c>
      <c r="I9552" s="26" t="str">
        <f t="shared" si="2"/>
        <v/>
      </c>
      <c r="J9552" s="86">
        <f t="shared" si="3"/>
        <v>0</v>
      </c>
      <c r="R9552" s="26"/>
    </row>
    <row r="9553" spans="1:18" ht="15.75" customHeight="1">
      <c r="A9553" s="26"/>
      <c r="B9553" s="86"/>
      <c r="D9553" s="26"/>
      <c r="F9553" s="87" t="str">
        <f t="shared" si="0"/>
        <v/>
      </c>
      <c r="H9553" s="26" t="str">
        <f t="shared" si="1"/>
        <v/>
      </c>
      <c r="I9553" s="26" t="str">
        <f t="shared" si="2"/>
        <v/>
      </c>
      <c r="J9553" s="86">
        <f t="shared" si="3"/>
        <v>0</v>
      </c>
      <c r="R9553" s="26"/>
    </row>
    <row r="9554" spans="1:18" ht="15.75" customHeight="1">
      <c r="A9554" s="26"/>
      <c r="B9554" s="86"/>
      <c r="D9554" s="26"/>
      <c r="F9554" s="87" t="str">
        <f t="shared" si="0"/>
        <v/>
      </c>
      <c r="H9554" s="26" t="str">
        <f t="shared" si="1"/>
        <v/>
      </c>
      <c r="I9554" s="26" t="str">
        <f t="shared" si="2"/>
        <v/>
      </c>
      <c r="J9554" s="86">
        <f t="shared" si="3"/>
        <v>0</v>
      </c>
      <c r="R9554" s="26"/>
    </row>
    <row r="9555" spans="1:18" ht="15.75" customHeight="1">
      <c r="A9555" s="26"/>
      <c r="B9555" s="86"/>
      <c r="D9555" s="26"/>
      <c r="F9555" s="87" t="str">
        <f t="shared" si="0"/>
        <v/>
      </c>
      <c r="H9555" s="26" t="str">
        <f t="shared" si="1"/>
        <v/>
      </c>
      <c r="I9555" s="26" t="str">
        <f t="shared" si="2"/>
        <v/>
      </c>
      <c r="J9555" s="86">
        <f t="shared" si="3"/>
        <v>0</v>
      </c>
      <c r="R9555" s="26"/>
    </row>
    <row r="9556" spans="1:18" ht="15.75" customHeight="1">
      <c r="A9556" s="26"/>
      <c r="B9556" s="86"/>
      <c r="D9556" s="26"/>
      <c r="F9556" s="87" t="str">
        <f t="shared" si="0"/>
        <v/>
      </c>
      <c r="H9556" s="26" t="str">
        <f t="shared" si="1"/>
        <v/>
      </c>
      <c r="I9556" s="26" t="str">
        <f t="shared" si="2"/>
        <v/>
      </c>
      <c r="J9556" s="86">
        <f t="shared" si="3"/>
        <v>0</v>
      </c>
      <c r="R9556" s="26"/>
    </row>
    <row r="9557" spans="1:18" ht="15.75" customHeight="1">
      <c r="A9557" s="26"/>
      <c r="B9557" s="86"/>
      <c r="D9557" s="26"/>
      <c r="F9557" s="87" t="str">
        <f t="shared" si="0"/>
        <v/>
      </c>
      <c r="H9557" s="26" t="str">
        <f t="shared" si="1"/>
        <v/>
      </c>
      <c r="I9557" s="26" t="str">
        <f t="shared" si="2"/>
        <v/>
      </c>
      <c r="J9557" s="86">
        <f t="shared" si="3"/>
        <v>0</v>
      </c>
      <c r="R9557" s="26"/>
    </row>
    <row r="9558" spans="1:18" ht="15.75" customHeight="1">
      <c r="A9558" s="26"/>
      <c r="B9558" s="86"/>
      <c r="D9558" s="26"/>
      <c r="F9558" s="87" t="str">
        <f t="shared" si="0"/>
        <v/>
      </c>
      <c r="H9558" s="26" t="str">
        <f t="shared" si="1"/>
        <v/>
      </c>
      <c r="I9558" s="26" t="str">
        <f t="shared" si="2"/>
        <v/>
      </c>
      <c r="J9558" s="86">
        <f t="shared" si="3"/>
        <v>0</v>
      </c>
      <c r="R9558" s="26"/>
    </row>
    <row r="9559" spans="1:18" ht="15.75" customHeight="1">
      <c r="A9559" s="26"/>
      <c r="B9559" s="86"/>
      <c r="D9559" s="26"/>
      <c r="F9559" s="87" t="str">
        <f t="shared" si="0"/>
        <v/>
      </c>
      <c r="H9559" s="26" t="str">
        <f t="shared" si="1"/>
        <v/>
      </c>
      <c r="I9559" s="26" t="str">
        <f t="shared" si="2"/>
        <v/>
      </c>
      <c r="J9559" s="86">
        <f t="shared" si="3"/>
        <v>0</v>
      </c>
      <c r="R9559" s="26"/>
    </row>
    <row r="9560" spans="1:18" ht="15.75" customHeight="1">
      <c r="A9560" s="26"/>
      <c r="B9560" s="86"/>
      <c r="D9560" s="26"/>
      <c r="F9560" s="87" t="str">
        <f t="shared" si="0"/>
        <v/>
      </c>
      <c r="H9560" s="26" t="str">
        <f t="shared" si="1"/>
        <v/>
      </c>
      <c r="I9560" s="26" t="str">
        <f t="shared" si="2"/>
        <v/>
      </c>
      <c r="J9560" s="86">
        <f t="shared" si="3"/>
        <v>0</v>
      </c>
      <c r="R9560" s="26"/>
    </row>
    <row r="9561" spans="1:18" ht="15.75" customHeight="1">
      <c r="A9561" s="26"/>
      <c r="B9561" s="86"/>
      <c r="D9561" s="26"/>
      <c r="F9561" s="87" t="str">
        <f t="shared" si="0"/>
        <v/>
      </c>
      <c r="H9561" s="26" t="str">
        <f t="shared" si="1"/>
        <v/>
      </c>
      <c r="I9561" s="26" t="str">
        <f t="shared" si="2"/>
        <v/>
      </c>
      <c r="J9561" s="86">
        <f t="shared" si="3"/>
        <v>0</v>
      </c>
      <c r="R9561" s="26"/>
    </row>
    <row r="9562" spans="1:18" ht="15.75" customHeight="1">
      <c r="A9562" s="26"/>
      <c r="B9562" s="86"/>
      <c r="D9562" s="26"/>
      <c r="F9562" s="87" t="str">
        <f t="shared" si="0"/>
        <v/>
      </c>
      <c r="H9562" s="26" t="str">
        <f t="shared" si="1"/>
        <v/>
      </c>
      <c r="I9562" s="26" t="str">
        <f t="shared" si="2"/>
        <v/>
      </c>
      <c r="J9562" s="86">
        <f t="shared" si="3"/>
        <v>0</v>
      </c>
      <c r="R9562" s="26"/>
    </row>
    <row r="9563" spans="1:18" ht="15.75" customHeight="1">
      <c r="A9563" s="26"/>
      <c r="B9563" s="86"/>
      <c r="D9563" s="26"/>
      <c r="F9563" s="87" t="str">
        <f t="shared" si="0"/>
        <v/>
      </c>
      <c r="H9563" s="26" t="str">
        <f t="shared" si="1"/>
        <v/>
      </c>
      <c r="I9563" s="26" t="str">
        <f t="shared" si="2"/>
        <v/>
      </c>
      <c r="J9563" s="86">
        <f t="shared" si="3"/>
        <v>0</v>
      </c>
      <c r="R9563" s="26"/>
    </row>
    <row r="9564" spans="1:18" ht="15.75" customHeight="1">
      <c r="A9564" s="26"/>
      <c r="B9564" s="86"/>
      <c r="D9564" s="26"/>
      <c r="F9564" s="87" t="str">
        <f t="shared" si="0"/>
        <v/>
      </c>
      <c r="H9564" s="26" t="str">
        <f t="shared" si="1"/>
        <v/>
      </c>
      <c r="I9564" s="26" t="str">
        <f t="shared" si="2"/>
        <v/>
      </c>
      <c r="J9564" s="86">
        <f t="shared" si="3"/>
        <v>0</v>
      </c>
      <c r="R9564" s="26"/>
    </row>
    <row r="9565" spans="1:18" ht="15.75" customHeight="1">
      <c r="A9565" s="26"/>
      <c r="B9565" s="86"/>
      <c r="D9565" s="26"/>
      <c r="F9565" s="87" t="str">
        <f t="shared" si="0"/>
        <v/>
      </c>
      <c r="H9565" s="26" t="str">
        <f t="shared" si="1"/>
        <v/>
      </c>
      <c r="I9565" s="26" t="str">
        <f t="shared" si="2"/>
        <v/>
      </c>
      <c r="J9565" s="86">
        <f t="shared" si="3"/>
        <v>0</v>
      </c>
      <c r="R9565" s="26"/>
    </row>
    <row r="9566" spans="1:18" ht="15.75" customHeight="1">
      <c r="A9566" s="26"/>
      <c r="B9566" s="86"/>
      <c r="D9566" s="26"/>
      <c r="F9566" s="87" t="str">
        <f t="shared" si="0"/>
        <v/>
      </c>
      <c r="H9566" s="26" t="str">
        <f t="shared" si="1"/>
        <v/>
      </c>
      <c r="I9566" s="26" t="str">
        <f t="shared" si="2"/>
        <v/>
      </c>
      <c r="J9566" s="86">
        <f t="shared" si="3"/>
        <v>0</v>
      </c>
      <c r="R9566" s="26"/>
    </row>
    <row r="9567" spans="1:18" ht="15.75" customHeight="1">
      <c r="A9567" s="26"/>
      <c r="B9567" s="86"/>
      <c r="D9567" s="26"/>
      <c r="F9567" s="87" t="str">
        <f t="shared" si="0"/>
        <v/>
      </c>
      <c r="H9567" s="26" t="str">
        <f t="shared" si="1"/>
        <v/>
      </c>
      <c r="I9567" s="26" t="str">
        <f t="shared" si="2"/>
        <v/>
      </c>
      <c r="J9567" s="86">
        <f t="shared" si="3"/>
        <v>0</v>
      </c>
      <c r="R9567" s="26"/>
    </row>
    <row r="9568" spans="1:18" ht="15.75" customHeight="1">
      <c r="A9568" s="26"/>
      <c r="B9568" s="86"/>
      <c r="D9568" s="26"/>
      <c r="F9568" s="87" t="str">
        <f t="shared" si="0"/>
        <v/>
      </c>
      <c r="H9568" s="26" t="str">
        <f t="shared" si="1"/>
        <v/>
      </c>
      <c r="I9568" s="26" t="str">
        <f t="shared" si="2"/>
        <v/>
      </c>
      <c r="J9568" s="86">
        <f t="shared" si="3"/>
        <v>0</v>
      </c>
      <c r="R9568" s="26"/>
    </row>
    <row r="9569" spans="1:18" ht="15.75" customHeight="1">
      <c r="A9569" s="26"/>
      <c r="B9569" s="86"/>
      <c r="D9569" s="26"/>
      <c r="F9569" s="87" t="str">
        <f t="shared" si="0"/>
        <v/>
      </c>
      <c r="H9569" s="26" t="str">
        <f t="shared" si="1"/>
        <v/>
      </c>
      <c r="I9569" s="26" t="str">
        <f t="shared" si="2"/>
        <v/>
      </c>
      <c r="J9569" s="86">
        <f t="shared" si="3"/>
        <v>0</v>
      </c>
      <c r="R9569" s="26"/>
    </row>
    <row r="9570" spans="1:18" ht="15.75" customHeight="1">
      <c r="A9570" s="26"/>
      <c r="B9570" s="86"/>
      <c r="D9570" s="26"/>
      <c r="F9570" s="87" t="str">
        <f t="shared" si="0"/>
        <v/>
      </c>
      <c r="H9570" s="26" t="str">
        <f t="shared" si="1"/>
        <v/>
      </c>
      <c r="I9570" s="26" t="str">
        <f t="shared" si="2"/>
        <v/>
      </c>
      <c r="J9570" s="86">
        <f t="shared" si="3"/>
        <v>0</v>
      </c>
      <c r="R9570" s="26"/>
    </row>
    <row r="9571" spans="1:18" ht="15.75" customHeight="1">
      <c r="A9571" s="26"/>
      <c r="B9571" s="86"/>
      <c r="D9571" s="26"/>
      <c r="F9571" s="87" t="str">
        <f t="shared" si="0"/>
        <v/>
      </c>
      <c r="H9571" s="26" t="str">
        <f t="shared" si="1"/>
        <v/>
      </c>
      <c r="I9571" s="26" t="str">
        <f t="shared" si="2"/>
        <v/>
      </c>
      <c r="J9571" s="86">
        <f t="shared" si="3"/>
        <v>0</v>
      </c>
      <c r="R9571" s="26"/>
    </row>
    <row r="9572" spans="1:18" ht="15.75" customHeight="1">
      <c r="A9572" s="26"/>
      <c r="B9572" s="86"/>
      <c r="D9572" s="26"/>
      <c r="F9572" s="87" t="str">
        <f t="shared" si="0"/>
        <v/>
      </c>
      <c r="H9572" s="26" t="str">
        <f t="shared" si="1"/>
        <v/>
      </c>
      <c r="I9572" s="26" t="str">
        <f t="shared" si="2"/>
        <v/>
      </c>
      <c r="J9572" s="86">
        <f t="shared" si="3"/>
        <v>0</v>
      </c>
      <c r="R9572" s="26"/>
    </row>
    <row r="9573" spans="1:18" ht="15.75" customHeight="1">
      <c r="A9573" s="26"/>
      <c r="B9573" s="86"/>
      <c r="D9573" s="26"/>
      <c r="F9573" s="87" t="str">
        <f t="shared" si="0"/>
        <v/>
      </c>
      <c r="H9573" s="26" t="str">
        <f t="shared" si="1"/>
        <v/>
      </c>
      <c r="I9573" s="26" t="str">
        <f t="shared" si="2"/>
        <v/>
      </c>
      <c r="J9573" s="86">
        <f t="shared" si="3"/>
        <v>0</v>
      </c>
      <c r="R9573" s="26"/>
    </row>
    <row r="9574" spans="1:18" ht="15.75" customHeight="1">
      <c r="A9574" s="26"/>
      <c r="B9574" s="86"/>
      <c r="D9574" s="26"/>
      <c r="F9574" s="87" t="str">
        <f t="shared" si="0"/>
        <v/>
      </c>
      <c r="H9574" s="26" t="str">
        <f t="shared" si="1"/>
        <v/>
      </c>
      <c r="I9574" s="26" t="str">
        <f t="shared" si="2"/>
        <v/>
      </c>
      <c r="J9574" s="86">
        <f t="shared" si="3"/>
        <v>0</v>
      </c>
      <c r="R9574" s="26"/>
    </row>
    <row r="9575" spans="1:18" ht="15.75" customHeight="1">
      <c r="A9575" s="26"/>
      <c r="B9575" s="86"/>
      <c r="D9575" s="26"/>
      <c r="F9575" s="87" t="str">
        <f t="shared" si="0"/>
        <v/>
      </c>
      <c r="H9575" s="26" t="str">
        <f t="shared" si="1"/>
        <v/>
      </c>
      <c r="I9575" s="26" t="str">
        <f t="shared" si="2"/>
        <v/>
      </c>
      <c r="J9575" s="86">
        <f t="shared" si="3"/>
        <v>0</v>
      </c>
      <c r="R9575" s="26"/>
    </row>
    <row r="9576" spans="1:18" ht="15.75" customHeight="1">
      <c r="A9576" s="26"/>
      <c r="B9576" s="86"/>
      <c r="D9576" s="26"/>
      <c r="F9576" s="87" t="str">
        <f t="shared" si="0"/>
        <v/>
      </c>
      <c r="H9576" s="26" t="str">
        <f t="shared" si="1"/>
        <v/>
      </c>
      <c r="I9576" s="26" t="str">
        <f t="shared" si="2"/>
        <v/>
      </c>
      <c r="J9576" s="86">
        <f t="shared" si="3"/>
        <v>0</v>
      </c>
      <c r="R9576" s="26"/>
    </row>
    <row r="9577" spans="1:18" ht="15.75" customHeight="1">
      <c r="A9577" s="26"/>
      <c r="B9577" s="86"/>
      <c r="D9577" s="26"/>
      <c r="F9577" s="87" t="str">
        <f t="shared" si="0"/>
        <v/>
      </c>
      <c r="H9577" s="26" t="str">
        <f t="shared" si="1"/>
        <v/>
      </c>
      <c r="I9577" s="26" t="str">
        <f t="shared" si="2"/>
        <v/>
      </c>
      <c r="J9577" s="86">
        <f t="shared" si="3"/>
        <v>0</v>
      </c>
      <c r="R9577" s="26"/>
    </row>
    <row r="9578" spans="1:18" ht="15.75" customHeight="1">
      <c r="A9578" s="26"/>
      <c r="B9578" s="86"/>
      <c r="D9578" s="26"/>
      <c r="F9578" s="87" t="str">
        <f t="shared" si="0"/>
        <v/>
      </c>
      <c r="H9578" s="26" t="str">
        <f t="shared" si="1"/>
        <v/>
      </c>
      <c r="I9578" s="26" t="str">
        <f t="shared" si="2"/>
        <v/>
      </c>
      <c r="J9578" s="86">
        <f t="shared" si="3"/>
        <v>0</v>
      </c>
      <c r="R9578" s="26"/>
    </row>
    <row r="9579" spans="1:18" ht="15.75" customHeight="1">
      <c r="A9579" s="26"/>
      <c r="B9579" s="86"/>
      <c r="D9579" s="26"/>
      <c r="F9579" s="87" t="str">
        <f t="shared" si="0"/>
        <v/>
      </c>
      <c r="H9579" s="26" t="str">
        <f t="shared" si="1"/>
        <v/>
      </c>
      <c r="I9579" s="26" t="str">
        <f t="shared" si="2"/>
        <v/>
      </c>
      <c r="J9579" s="86">
        <f t="shared" si="3"/>
        <v>0</v>
      </c>
      <c r="R9579" s="26"/>
    </row>
    <row r="9580" spans="1:18" ht="15.75" customHeight="1">
      <c r="A9580" s="26"/>
      <c r="B9580" s="86"/>
      <c r="D9580" s="26"/>
      <c r="F9580" s="87" t="str">
        <f t="shared" si="0"/>
        <v/>
      </c>
      <c r="H9580" s="26" t="str">
        <f t="shared" si="1"/>
        <v/>
      </c>
      <c r="I9580" s="26" t="str">
        <f t="shared" si="2"/>
        <v/>
      </c>
      <c r="J9580" s="86">
        <f t="shared" si="3"/>
        <v>0</v>
      </c>
      <c r="R9580" s="26"/>
    </row>
    <row r="9581" spans="1:18" ht="15.75" customHeight="1">
      <c r="A9581" s="26"/>
      <c r="B9581" s="86"/>
      <c r="D9581" s="26"/>
      <c r="F9581" s="87" t="str">
        <f t="shared" si="0"/>
        <v/>
      </c>
      <c r="H9581" s="26" t="str">
        <f t="shared" si="1"/>
        <v/>
      </c>
      <c r="I9581" s="26" t="str">
        <f t="shared" si="2"/>
        <v/>
      </c>
      <c r="J9581" s="86">
        <f t="shared" si="3"/>
        <v>0</v>
      </c>
      <c r="R9581" s="26"/>
    </row>
    <row r="9582" spans="1:18" ht="15.75" customHeight="1">
      <c r="A9582" s="26"/>
      <c r="B9582" s="86"/>
      <c r="D9582" s="26"/>
      <c r="F9582" s="87" t="str">
        <f t="shared" si="0"/>
        <v/>
      </c>
      <c r="H9582" s="26" t="str">
        <f t="shared" si="1"/>
        <v/>
      </c>
      <c r="I9582" s="26" t="str">
        <f t="shared" si="2"/>
        <v/>
      </c>
      <c r="J9582" s="86">
        <f t="shared" si="3"/>
        <v>0</v>
      </c>
      <c r="R9582" s="26"/>
    </row>
    <row r="9583" spans="1:18" ht="15.75" customHeight="1">
      <c r="A9583" s="26"/>
      <c r="B9583" s="86"/>
      <c r="D9583" s="26"/>
      <c r="F9583" s="87" t="str">
        <f t="shared" si="0"/>
        <v/>
      </c>
      <c r="H9583" s="26" t="str">
        <f t="shared" si="1"/>
        <v/>
      </c>
      <c r="I9583" s="26" t="str">
        <f t="shared" si="2"/>
        <v/>
      </c>
      <c r="J9583" s="86">
        <f t="shared" si="3"/>
        <v>0</v>
      </c>
      <c r="R9583" s="26"/>
    </row>
    <row r="9584" spans="1:18" ht="15.75" customHeight="1">
      <c r="A9584" s="26"/>
      <c r="B9584" s="86"/>
      <c r="D9584" s="26"/>
      <c r="F9584" s="87" t="str">
        <f t="shared" si="0"/>
        <v/>
      </c>
      <c r="H9584" s="26" t="str">
        <f t="shared" si="1"/>
        <v/>
      </c>
      <c r="I9584" s="26" t="str">
        <f t="shared" si="2"/>
        <v/>
      </c>
      <c r="J9584" s="86">
        <f t="shared" si="3"/>
        <v>0</v>
      </c>
      <c r="R9584" s="26"/>
    </row>
    <row r="9585" spans="1:18" ht="15.75" customHeight="1">
      <c r="A9585" s="26"/>
      <c r="B9585" s="86"/>
      <c r="D9585" s="26"/>
      <c r="F9585" s="87" t="str">
        <f t="shared" si="0"/>
        <v/>
      </c>
      <c r="H9585" s="26" t="str">
        <f t="shared" si="1"/>
        <v/>
      </c>
      <c r="I9585" s="26" t="str">
        <f t="shared" si="2"/>
        <v/>
      </c>
      <c r="J9585" s="86">
        <f t="shared" si="3"/>
        <v>0</v>
      </c>
      <c r="R9585" s="26"/>
    </row>
    <row r="9586" spans="1:18" ht="15.75" customHeight="1">
      <c r="A9586" s="26"/>
      <c r="B9586" s="86"/>
      <c r="D9586" s="26"/>
      <c r="F9586" s="87" t="str">
        <f t="shared" si="0"/>
        <v/>
      </c>
      <c r="H9586" s="26" t="str">
        <f t="shared" si="1"/>
        <v/>
      </c>
      <c r="I9586" s="26" t="str">
        <f t="shared" si="2"/>
        <v/>
      </c>
      <c r="J9586" s="86">
        <f t="shared" si="3"/>
        <v>0</v>
      </c>
      <c r="R9586" s="26"/>
    </row>
    <row r="9587" spans="1:18" ht="15.75" customHeight="1">
      <c r="A9587" s="26"/>
      <c r="B9587" s="86"/>
      <c r="D9587" s="26"/>
      <c r="F9587" s="87" t="str">
        <f t="shared" si="0"/>
        <v/>
      </c>
      <c r="H9587" s="26" t="str">
        <f t="shared" si="1"/>
        <v/>
      </c>
      <c r="I9587" s="26" t="str">
        <f t="shared" si="2"/>
        <v/>
      </c>
      <c r="J9587" s="86">
        <f t="shared" si="3"/>
        <v>0</v>
      </c>
      <c r="R9587" s="26"/>
    </row>
    <row r="9588" spans="1:18" ht="15.75" customHeight="1">
      <c r="A9588" s="26"/>
      <c r="B9588" s="86"/>
      <c r="D9588" s="26"/>
      <c r="F9588" s="87" t="str">
        <f t="shared" si="0"/>
        <v/>
      </c>
      <c r="H9588" s="26" t="str">
        <f t="shared" si="1"/>
        <v/>
      </c>
      <c r="I9588" s="26" t="str">
        <f t="shared" si="2"/>
        <v/>
      </c>
      <c r="J9588" s="86">
        <f t="shared" si="3"/>
        <v>0</v>
      </c>
      <c r="R9588" s="26"/>
    </row>
    <row r="9589" spans="1:18" ht="15.75" customHeight="1">
      <c r="A9589" s="26"/>
      <c r="B9589" s="86"/>
      <c r="D9589" s="26"/>
      <c r="F9589" s="87" t="str">
        <f t="shared" si="0"/>
        <v/>
      </c>
      <c r="H9589" s="26" t="str">
        <f t="shared" si="1"/>
        <v/>
      </c>
      <c r="I9589" s="26" t="str">
        <f t="shared" si="2"/>
        <v/>
      </c>
      <c r="J9589" s="86">
        <f t="shared" si="3"/>
        <v>0</v>
      </c>
      <c r="R9589" s="26"/>
    </row>
    <row r="9590" spans="1:18" ht="15.75" customHeight="1">
      <c r="A9590" s="26"/>
      <c r="B9590" s="86"/>
      <c r="D9590" s="26"/>
      <c r="F9590" s="87" t="str">
        <f t="shared" si="0"/>
        <v/>
      </c>
      <c r="H9590" s="26" t="str">
        <f t="shared" si="1"/>
        <v/>
      </c>
      <c r="I9590" s="26" t="str">
        <f t="shared" si="2"/>
        <v/>
      </c>
      <c r="J9590" s="86">
        <f t="shared" si="3"/>
        <v>0</v>
      </c>
      <c r="R9590" s="26"/>
    </row>
    <row r="9591" spans="1:18" ht="15.75" customHeight="1">
      <c r="A9591" s="26"/>
      <c r="B9591" s="86"/>
      <c r="D9591" s="26"/>
      <c r="F9591" s="87" t="str">
        <f t="shared" si="0"/>
        <v/>
      </c>
      <c r="H9591" s="26" t="str">
        <f t="shared" si="1"/>
        <v/>
      </c>
      <c r="I9591" s="26" t="str">
        <f t="shared" si="2"/>
        <v/>
      </c>
      <c r="J9591" s="86">
        <f t="shared" si="3"/>
        <v>0</v>
      </c>
      <c r="R9591" s="26"/>
    </row>
    <row r="9592" spans="1:18" ht="15.75" customHeight="1">
      <c r="A9592" s="26"/>
      <c r="B9592" s="86"/>
      <c r="D9592" s="26"/>
      <c r="F9592" s="87" t="str">
        <f t="shared" si="0"/>
        <v/>
      </c>
      <c r="H9592" s="26" t="str">
        <f t="shared" si="1"/>
        <v/>
      </c>
      <c r="I9592" s="26" t="str">
        <f t="shared" si="2"/>
        <v/>
      </c>
      <c r="J9592" s="86">
        <f t="shared" si="3"/>
        <v>0</v>
      </c>
      <c r="R9592" s="26"/>
    </row>
    <row r="9593" spans="1:18" ht="15.75" customHeight="1">
      <c r="A9593" s="26"/>
      <c r="B9593" s="86"/>
      <c r="D9593" s="26"/>
      <c r="F9593" s="87" t="str">
        <f t="shared" si="0"/>
        <v/>
      </c>
      <c r="H9593" s="26" t="str">
        <f t="shared" si="1"/>
        <v/>
      </c>
      <c r="I9593" s="26" t="str">
        <f t="shared" si="2"/>
        <v/>
      </c>
      <c r="J9593" s="86">
        <f t="shared" si="3"/>
        <v>0</v>
      </c>
      <c r="R9593" s="26"/>
    </row>
    <row r="9594" spans="1:18" ht="15.75" customHeight="1">
      <c r="A9594" s="26"/>
      <c r="B9594" s="86"/>
      <c r="D9594" s="26"/>
      <c r="F9594" s="87" t="str">
        <f t="shared" si="0"/>
        <v/>
      </c>
      <c r="H9594" s="26" t="str">
        <f t="shared" si="1"/>
        <v/>
      </c>
      <c r="I9594" s="26" t="str">
        <f t="shared" si="2"/>
        <v/>
      </c>
      <c r="J9594" s="86">
        <f t="shared" si="3"/>
        <v>0</v>
      </c>
      <c r="R9594" s="26"/>
    </row>
    <row r="9595" spans="1:18" ht="15.75" customHeight="1">
      <c r="A9595" s="26"/>
      <c r="B9595" s="86"/>
      <c r="D9595" s="26"/>
      <c r="F9595" s="87" t="str">
        <f t="shared" si="0"/>
        <v/>
      </c>
      <c r="H9595" s="26" t="str">
        <f t="shared" si="1"/>
        <v/>
      </c>
      <c r="I9595" s="26" t="str">
        <f t="shared" si="2"/>
        <v/>
      </c>
      <c r="J9595" s="86">
        <f t="shared" si="3"/>
        <v>0</v>
      </c>
      <c r="R9595" s="26"/>
    </row>
    <row r="9596" spans="1:18" ht="15.75" customHeight="1">
      <c r="A9596" s="26"/>
      <c r="B9596" s="86"/>
      <c r="D9596" s="26"/>
      <c r="F9596" s="87" t="str">
        <f t="shared" si="0"/>
        <v/>
      </c>
      <c r="H9596" s="26" t="str">
        <f t="shared" si="1"/>
        <v/>
      </c>
      <c r="I9596" s="26" t="str">
        <f t="shared" si="2"/>
        <v/>
      </c>
      <c r="J9596" s="86">
        <f t="shared" si="3"/>
        <v>0</v>
      </c>
      <c r="R9596" s="26"/>
    </row>
    <row r="9597" spans="1:18" ht="15.75" customHeight="1">
      <c r="A9597" s="26"/>
      <c r="B9597" s="86"/>
      <c r="D9597" s="26"/>
      <c r="F9597" s="87" t="str">
        <f t="shared" si="0"/>
        <v/>
      </c>
      <c r="H9597" s="26" t="str">
        <f t="shared" si="1"/>
        <v/>
      </c>
      <c r="I9597" s="26" t="str">
        <f t="shared" si="2"/>
        <v/>
      </c>
      <c r="J9597" s="86">
        <f t="shared" si="3"/>
        <v>0</v>
      </c>
      <c r="R9597" s="26"/>
    </row>
    <row r="9598" spans="1:18" ht="15.75" customHeight="1">
      <c r="A9598" s="26"/>
      <c r="B9598" s="86"/>
      <c r="D9598" s="26"/>
      <c r="F9598" s="87" t="str">
        <f t="shared" si="0"/>
        <v/>
      </c>
      <c r="H9598" s="26" t="str">
        <f t="shared" si="1"/>
        <v/>
      </c>
      <c r="I9598" s="26" t="str">
        <f t="shared" si="2"/>
        <v/>
      </c>
      <c r="J9598" s="86">
        <f t="shared" si="3"/>
        <v>0</v>
      </c>
      <c r="R9598" s="26"/>
    </row>
    <row r="9599" spans="1:18" ht="15.75" customHeight="1">
      <c r="A9599" s="26"/>
      <c r="B9599" s="86"/>
      <c r="D9599" s="26"/>
      <c r="F9599" s="87" t="str">
        <f t="shared" si="0"/>
        <v/>
      </c>
      <c r="H9599" s="26" t="str">
        <f t="shared" si="1"/>
        <v/>
      </c>
      <c r="I9599" s="26" t="str">
        <f t="shared" si="2"/>
        <v/>
      </c>
      <c r="J9599" s="86">
        <f t="shared" si="3"/>
        <v>0</v>
      </c>
      <c r="R9599" s="26"/>
    </row>
    <row r="9600" spans="1:18" ht="15.75" customHeight="1">
      <c r="A9600" s="26"/>
      <c r="B9600" s="86"/>
      <c r="D9600" s="26"/>
      <c r="F9600" s="87" t="str">
        <f t="shared" si="0"/>
        <v/>
      </c>
      <c r="H9600" s="26" t="str">
        <f t="shared" si="1"/>
        <v/>
      </c>
      <c r="I9600" s="26" t="str">
        <f t="shared" si="2"/>
        <v/>
      </c>
      <c r="J9600" s="86">
        <f t="shared" si="3"/>
        <v>0</v>
      </c>
      <c r="R9600" s="26"/>
    </row>
    <row r="9601" spans="1:18" ht="15.75" customHeight="1">
      <c r="A9601" s="26"/>
      <c r="B9601" s="86"/>
      <c r="D9601" s="26"/>
      <c r="F9601" s="87" t="str">
        <f t="shared" si="0"/>
        <v/>
      </c>
      <c r="H9601" s="26" t="str">
        <f t="shared" si="1"/>
        <v/>
      </c>
      <c r="I9601" s="26" t="str">
        <f t="shared" si="2"/>
        <v/>
      </c>
      <c r="J9601" s="86">
        <f t="shared" si="3"/>
        <v>0</v>
      </c>
      <c r="R9601" s="26"/>
    </row>
    <row r="9602" spans="1:18" ht="15.75" customHeight="1">
      <c r="A9602" s="26"/>
      <c r="B9602" s="86"/>
      <c r="D9602" s="26"/>
      <c r="F9602" s="87" t="str">
        <f t="shared" si="0"/>
        <v/>
      </c>
      <c r="H9602" s="26" t="str">
        <f t="shared" si="1"/>
        <v/>
      </c>
      <c r="I9602" s="26" t="str">
        <f t="shared" si="2"/>
        <v/>
      </c>
      <c r="J9602" s="86">
        <f t="shared" si="3"/>
        <v>0</v>
      </c>
      <c r="R9602" s="26"/>
    </row>
    <row r="9603" spans="1:18" ht="15.75" customHeight="1">
      <c r="A9603" s="26"/>
      <c r="B9603" s="86"/>
      <c r="D9603" s="26"/>
      <c r="F9603" s="87" t="str">
        <f t="shared" si="0"/>
        <v/>
      </c>
      <c r="H9603" s="26" t="str">
        <f t="shared" si="1"/>
        <v/>
      </c>
      <c r="I9603" s="26" t="str">
        <f t="shared" si="2"/>
        <v/>
      </c>
      <c r="J9603" s="86">
        <f t="shared" si="3"/>
        <v>0</v>
      </c>
      <c r="R9603" s="26"/>
    </row>
    <row r="9604" spans="1:18" ht="15.75" customHeight="1">
      <c r="A9604" s="26"/>
      <c r="B9604" s="86"/>
      <c r="D9604" s="26"/>
      <c r="F9604" s="87" t="str">
        <f t="shared" si="0"/>
        <v/>
      </c>
      <c r="H9604" s="26" t="str">
        <f t="shared" si="1"/>
        <v/>
      </c>
      <c r="I9604" s="26" t="str">
        <f t="shared" si="2"/>
        <v/>
      </c>
      <c r="J9604" s="86">
        <f t="shared" si="3"/>
        <v>0</v>
      </c>
      <c r="R9604" s="26"/>
    </row>
    <row r="9605" spans="1:18" ht="15.75" customHeight="1">
      <c r="A9605" s="26"/>
      <c r="B9605" s="86"/>
      <c r="D9605" s="26"/>
      <c r="F9605" s="87" t="str">
        <f t="shared" si="0"/>
        <v/>
      </c>
      <c r="H9605" s="26" t="str">
        <f t="shared" si="1"/>
        <v/>
      </c>
      <c r="I9605" s="26" t="str">
        <f t="shared" si="2"/>
        <v/>
      </c>
      <c r="J9605" s="86">
        <f t="shared" si="3"/>
        <v>0</v>
      </c>
      <c r="R9605" s="26"/>
    </row>
    <row r="9606" spans="1:18" ht="15.75" customHeight="1">
      <c r="A9606" s="26"/>
      <c r="B9606" s="86"/>
      <c r="D9606" s="26"/>
      <c r="F9606" s="87" t="str">
        <f t="shared" si="0"/>
        <v/>
      </c>
      <c r="H9606" s="26" t="str">
        <f t="shared" si="1"/>
        <v/>
      </c>
      <c r="I9606" s="26" t="str">
        <f t="shared" si="2"/>
        <v/>
      </c>
      <c r="J9606" s="86">
        <f t="shared" si="3"/>
        <v>0</v>
      </c>
      <c r="R9606" s="26"/>
    </row>
    <row r="9607" spans="1:18" ht="15.75" customHeight="1">
      <c r="A9607" s="26"/>
      <c r="B9607" s="86"/>
      <c r="D9607" s="26"/>
      <c r="F9607" s="87" t="str">
        <f t="shared" si="0"/>
        <v/>
      </c>
      <c r="H9607" s="26" t="str">
        <f t="shared" si="1"/>
        <v/>
      </c>
      <c r="I9607" s="26" t="str">
        <f t="shared" si="2"/>
        <v/>
      </c>
      <c r="J9607" s="86">
        <f t="shared" si="3"/>
        <v>0</v>
      </c>
      <c r="R9607" s="26"/>
    </row>
    <row r="9608" spans="1:18" ht="15.75" customHeight="1">
      <c r="A9608" s="26"/>
      <c r="B9608" s="86"/>
      <c r="D9608" s="26"/>
      <c r="F9608" s="87" t="str">
        <f t="shared" si="0"/>
        <v/>
      </c>
      <c r="H9608" s="26" t="str">
        <f t="shared" si="1"/>
        <v/>
      </c>
      <c r="I9608" s="26" t="str">
        <f t="shared" si="2"/>
        <v/>
      </c>
      <c r="J9608" s="86">
        <f t="shared" si="3"/>
        <v>0</v>
      </c>
      <c r="R9608" s="26"/>
    </row>
    <row r="9609" spans="1:18" ht="15.75" customHeight="1">
      <c r="A9609" s="26"/>
      <c r="B9609" s="86"/>
      <c r="D9609" s="26"/>
      <c r="F9609" s="87" t="str">
        <f t="shared" si="0"/>
        <v/>
      </c>
      <c r="H9609" s="26" t="str">
        <f t="shared" si="1"/>
        <v/>
      </c>
      <c r="I9609" s="26" t="str">
        <f t="shared" si="2"/>
        <v/>
      </c>
      <c r="J9609" s="86">
        <f t="shared" si="3"/>
        <v>0</v>
      </c>
      <c r="R9609" s="26"/>
    </row>
    <row r="9610" spans="1:18" ht="15.75" customHeight="1">
      <c r="A9610" s="26"/>
      <c r="B9610" s="86"/>
      <c r="D9610" s="26"/>
      <c r="F9610" s="87" t="str">
        <f t="shared" si="0"/>
        <v/>
      </c>
      <c r="H9610" s="26" t="str">
        <f t="shared" si="1"/>
        <v/>
      </c>
      <c r="I9610" s="26" t="str">
        <f t="shared" si="2"/>
        <v/>
      </c>
      <c r="J9610" s="86">
        <f t="shared" si="3"/>
        <v>0</v>
      </c>
      <c r="R9610" s="26"/>
    </row>
    <row r="9611" spans="1:18" ht="15.75" customHeight="1">
      <c r="A9611" s="26"/>
      <c r="B9611" s="86"/>
      <c r="D9611" s="26"/>
      <c r="F9611" s="87" t="str">
        <f t="shared" si="0"/>
        <v/>
      </c>
      <c r="H9611" s="26" t="str">
        <f t="shared" si="1"/>
        <v/>
      </c>
      <c r="I9611" s="26" t="str">
        <f t="shared" si="2"/>
        <v/>
      </c>
      <c r="J9611" s="86">
        <f t="shared" si="3"/>
        <v>0</v>
      </c>
      <c r="R9611" s="26"/>
    </row>
    <row r="9612" spans="1:18" ht="15.75" customHeight="1">
      <c r="A9612" s="26"/>
      <c r="B9612" s="86"/>
      <c r="D9612" s="26"/>
      <c r="F9612" s="87" t="str">
        <f t="shared" si="0"/>
        <v/>
      </c>
      <c r="H9612" s="26" t="str">
        <f t="shared" si="1"/>
        <v/>
      </c>
      <c r="I9612" s="26" t="str">
        <f t="shared" si="2"/>
        <v/>
      </c>
      <c r="J9612" s="86">
        <f t="shared" si="3"/>
        <v>0</v>
      </c>
      <c r="R9612" s="26"/>
    </row>
    <row r="9613" spans="1:18" ht="15.75" customHeight="1">
      <c r="A9613" s="26"/>
      <c r="B9613" s="86"/>
      <c r="D9613" s="26"/>
      <c r="F9613" s="87" t="str">
        <f t="shared" si="0"/>
        <v/>
      </c>
      <c r="H9613" s="26" t="str">
        <f t="shared" si="1"/>
        <v/>
      </c>
      <c r="I9613" s="26" t="str">
        <f t="shared" si="2"/>
        <v/>
      </c>
      <c r="J9613" s="86">
        <f t="shared" si="3"/>
        <v>0</v>
      </c>
      <c r="R9613" s="26"/>
    </row>
    <row r="9614" spans="1:18" ht="15.75" customHeight="1">
      <c r="A9614" s="26"/>
      <c r="B9614" s="86"/>
      <c r="D9614" s="26"/>
      <c r="F9614" s="87" t="str">
        <f t="shared" si="0"/>
        <v/>
      </c>
      <c r="H9614" s="26" t="str">
        <f t="shared" si="1"/>
        <v/>
      </c>
      <c r="I9614" s="26" t="str">
        <f t="shared" si="2"/>
        <v/>
      </c>
      <c r="J9614" s="86">
        <f t="shared" si="3"/>
        <v>0</v>
      </c>
      <c r="R9614" s="26"/>
    </row>
    <row r="9615" spans="1:18" ht="15.75" customHeight="1">
      <c r="A9615" s="26"/>
      <c r="B9615" s="86"/>
      <c r="D9615" s="26"/>
      <c r="F9615" s="87" t="str">
        <f t="shared" si="0"/>
        <v/>
      </c>
      <c r="H9615" s="26" t="str">
        <f t="shared" si="1"/>
        <v/>
      </c>
      <c r="I9615" s="26" t="str">
        <f t="shared" si="2"/>
        <v/>
      </c>
      <c r="J9615" s="86">
        <f t="shared" si="3"/>
        <v>0</v>
      </c>
      <c r="R9615" s="26"/>
    </row>
    <row r="9616" spans="1:18" ht="15.75" customHeight="1">
      <c r="A9616" s="26"/>
      <c r="B9616" s="86"/>
      <c r="D9616" s="26"/>
      <c r="F9616" s="87" t="str">
        <f t="shared" si="0"/>
        <v/>
      </c>
      <c r="H9616" s="26" t="str">
        <f t="shared" si="1"/>
        <v/>
      </c>
      <c r="I9616" s="26" t="str">
        <f t="shared" si="2"/>
        <v/>
      </c>
      <c r="J9616" s="86">
        <f t="shared" si="3"/>
        <v>0</v>
      </c>
      <c r="R9616" s="26"/>
    </row>
    <row r="9617" spans="1:18" ht="15.75" customHeight="1">
      <c r="A9617" s="26"/>
      <c r="B9617" s="86"/>
      <c r="D9617" s="26"/>
      <c r="F9617" s="87" t="str">
        <f t="shared" si="0"/>
        <v/>
      </c>
      <c r="H9617" s="26" t="str">
        <f t="shared" si="1"/>
        <v/>
      </c>
      <c r="I9617" s="26" t="str">
        <f t="shared" si="2"/>
        <v/>
      </c>
      <c r="J9617" s="86">
        <f t="shared" si="3"/>
        <v>0</v>
      </c>
      <c r="R9617" s="26"/>
    </row>
    <row r="9618" spans="1:18" ht="15.75" customHeight="1">
      <c r="A9618" s="26"/>
      <c r="B9618" s="86"/>
      <c r="D9618" s="26"/>
      <c r="F9618" s="87" t="str">
        <f t="shared" si="0"/>
        <v/>
      </c>
      <c r="H9618" s="26" t="str">
        <f t="shared" si="1"/>
        <v/>
      </c>
      <c r="I9618" s="26" t="str">
        <f t="shared" si="2"/>
        <v/>
      </c>
      <c r="J9618" s="86">
        <f t="shared" si="3"/>
        <v>0</v>
      </c>
      <c r="R9618" s="26"/>
    </row>
    <row r="9619" spans="1:18" ht="15.75" customHeight="1">
      <c r="A9619" s="26"/>
      <c r="B9619" s="86"/>
      <c r="D9619" s="26"/>
      <c r="F9619" s="87" t="str">
        <f t="shared" si="0"/>
        <v/>
      </c>
      <c r="H9619" s="26" t="str">
        <f t="shared" si="1"/>
        <v/>
      </c>
      <c r="I9619" s="26" t="str">
        <f t="shared" si="2"/>
        <v/>
      </c>
      <c r="J9619" s="86">
        <f t="shared" si="3"/>
        <v>0</v>
      </c>
      <c r="R9619" s="26"/>
    </row>
    <row r="9620" spans="1:18" ht="15.75" customHeight="1">
      <c r="A9620" s="26"/>
      <c r="B9620" s="86"/>
      <c r="D9620" s="26"/>
      <c r="F9620" s="87" t="str">
        <f t="shared" si="0"/>
        <v/>
      </c>
      <c r="H9620" s="26" t="str">
        <f t="shared" si="1"/>
        <v/>
      </c>
      <c r="I9620" s="26" t="str">
        <f t="shared" si="2"/>
        <v/>
      </c>
      <c r="J9620" s="86">
        <f t="shared" si="3"/>
        <v>0</v>
      </c>
      <c r="R9620" s="26"/>
    </row>
    <row r="9621" spans="1:18" ht="15.75" customHeight="1">
      <c r="A9621" s="26"/>
      <c r="B9621" s="86"/>
      <c r="D9621" s="26"/>
      <c r="F9621" s="87" t="str">
        <f t="shared" si="0"/>
        <v/>
      </c>
      <c r="H9621" s="26" t="str">
        <f t="shared" si="1"/>
        <v/>
      </c>
      <c r="I9621" s="26" t="str">
        <f t="shared" si="2"/>
        <v/>
      </c>
      <c r="J9621" s="86">
        <f t="shared" si="3"/>
        <v>0</v>
      </c>
      <c r="R9621" s="26"/>
    </row>
    <row r="9622" spans="1:18" ht="15.75" customHeight="1">
      <c r="A9622" s="26"/>
      <c r="B9622" s="86"/>
      <c r="D9622" s="26"/>
      <c r="F9622" s="87" t="str">
        <f t="shared" si="0"/>
        <v/>
      </c>
      <c r="H9622" s="26" t="str">
        <f t="shared" si="1"/>
        <v/>
      </c>
      <c r="I9622" s="26" t="str">
        <f t="shared" si="2"/>
        <v/>
      </c>
      <c r="J9622" s="86">
        <f t="shared" si="3"/>
        <v>0</v>
      </c>
      <c r="R9622" s="26"/>
    </row>
    <row r="9623" spans="1:18" ht="15.75" customHeight="1">
      <c r="A9623" s="26"/>
      <c r="B9623" s="86"/>
      <c r="D9623" s="26"/>
      <c r="F9623" s="87" t="str">
        <f t="shared" si="0"/>
        <v/>
      </c>
      <c r="H9623" s="26" t="str">
        <f t="shared" si="1"/>
        <v/>
      </c>
      <c r="I9623" s="26" t="str">
        <f t="shared" si="2"/>
        <v/>
      </c>
      <c r="J9623" s="86">
        <f t="shared" si="3"/>
        <v>0</v>
      </c>
      <c r="R9623" s="26"/>
    </row>
    <row r="9624" spans="1:18" ht="15.75" customHeight="1">
      <c r="A9624" s="26"/>
      <c r="B9624" s="86"/>
      <c r="D9624" s="26"/>
      <c r="F9624" s="87" t="str">
        <f t="shared" si="0"/>
        <v/>
      </c>
      <c r="H9624" s="26" t="str">
        <f t="shared" si="1"/>
        <v/>
      </c>
      <c r="I9624" s="26" t="str">
        <f t="shared" si="2"/>
        <v/>
      </c>
      <c r="J9624" s="86">
        <f t="shared" si="3"/>
        <v>0</v>
      </c>
      <c r="R9624" s="26"/>
    </row>
    <row r="9625" spans="1:18" ht="15.75" customHeight="1">
      <c r="A9625" s="26"/>
      <c r="B9625" s="86"/>
      <c r="D9625" s="26"/>
      <c r="F9625" s="87" t="str">
        <f t="shared" si="0"/>
        <v/>
      </c>
      <c r="H9625" s="26" t="str">
        <f t="shared" si="1"/>
        <v/>
      </c>
      <c r="I9625" s="26" t="str">
        <f t="shared" si="2"/>
        <v/>
      </c>
      <c r="J9625" s="86">
        <f t="shared" si="3"/>
        <v>0</v>
      </c>
      <c r="R9625" s="26"/>
    </row>
    <row r="9626" spans="1:18" ht="15.75" customHeight="1">
      <c r="A9626" s="26"/>
      <c r="B9626" s="86"/>
      <c r="D9626" s="26"/>
      <c r="F9626" s="87" t="str">
        <f t="shared" si="0"/>
        <v/>
      </c>
      <c r="H9626" s="26" t="str">
        <f t="shared" si="1"/>
        <v/>
      </c>
      <c r="I9626" s="26" t="str">
        <f t="shared" si="2"/>
        <v/>
      </c>
      <c r="J9626" s="86">
        <f t="shared" si="3"/>
        <v>0</v>
      </c>
      <c r="R9626" s="26"/>
    </row>
    <row r="9627" spans="1:18" ht="15.75" customHeight="1">
      <c r="A9627" s="26"/>
      <c r="B9627" s="86"/>
      <c r="D9627" s="26"/>
      <c r="F9627" s="87" t="str">
        <f t="shared" si="0"/>
        <v/>
      </c>
      <c r="H9627" s="26" t="str">
        <f t="shared" si="1"/>
        <v/>
      </c>
      <c r="I9627" s="26" t="str">
        <f t="shared" si="2"/>
        <v/>
      </c>
      <c r="J9627" s="86">
        <f t="shared" si="3"/>
        <v>0</v>
      </c>
      <c r="R9627" s="26"/>
    </row>
    <row r="9628" spans="1:18" ht="15.75" customHeight="1">
      <c r="A9628" s="26"/>
      <c r="B9628" s="86"/>
      <c r="D9628" s="26"/>
      <c r="F9628" s="87" t="str">
        <f t="shared" si="0"/>
        <v/>
      </c>
      <c r="H9628" s="26" t="str">
        <f t="shared" si="1"/>
        <v/>
      </c>
      <c r="I9628" s="26" t="str">
        <f t="shared" si="2"/>
        <v/>
      </c>
      <c r="J9628" s="86">
        <f t="shared" si="3"/>
        <v>0</v>
      </c>
      <c r="R9628" s="26"/>
    </row>
    <row r="9629" spans="1:18" ht="15.75" customHeight="1">
      <c r="A9629" s="26"/>
      <c r="B9629" s="86"/>
      <c r="D9629" s="26"/>
      <c r="F9629" s="87" t="str">
        <f t="shared" si="0"/>
        <v/>
      </c>
      <c r="H9629" s="26" t="str">
        <f t="shared" si="1"/>
        <v/>
      </c>
      <c r="I9629" s="26" t="str">
        <f t="shared" si="2"/>
        <v/>
      </c>
      <c r="J9629" s="86">
        <f t="shared" si="3"/>
        <v>0</v>
      </c>
      <c r="R9629" s="26"/>
    </row>
    <row r="9630" spans="1:18" ht="15.75" customHeight="1">
      <c r="A9630" s="26"/>
      <c r="B9630" s="86"/>
      <c r="D9630" s="26"/>
      <c r="F9630" s="87" t="str">
        <f t="shared" si="0"/>
        <v/>
      </c>
      <c r="H9630" s="26" t="str">
        <f t="shared" si="1"/>
        <v/>
      </c>
      <c r="I9630" s="26" t="str">
        <f t="shared" si="2"/>
        <v/>
      </c>
      <c r="J9630" s="86">
        <f t="shared" si="3"/>
        <v>0</v>
      </c>
      <c r="R9630" s="26"/>
    </row>
    <row r="9631" spans="1:18" ht="15.75" customHeight="1">
      <c r="A9631" s="26"/>
      <c r="B9631" s="86"/>
      <c r="D9631" s="26"/>
      <c r="F9631" s="87" t="str">
        <f t="shared" si="0"/>
        <v/>
      </c>
      <c r="H9631" s="26" t="str">
        <f t="shared" si="1"/>
        <v/>
      </c>
      <c r="I9631" s="26" t="str">
        <f t="shared" si="2"/>
        <v/>
      </c>
      <c r="J9631" s="86">
        <f t="shared" si="3"/>
        <v>0</v>
      </c>
      <c r="R9631" s="26"/>
    </row>
    <row r="9632" spans="1:18" ht="15.75" customHeight="1">
      <c r="A9632" s="26"/>
      <c r="B9632" s="86"/>
      <c r="D9632" s="26"/>
      <c r="F9632" s="87" t="str">
        <f t="shared" si="0"/>
        <v/>
      </c>
      <c r="H9632" s="26" t="str">
        <f t="shared" si="1"/>
        <v/>
      </c>
      <c r="I9632" s="26" t="str">
        <f t="shared" si="2"/>
        <v/>
      </c>
      <c r="J9632" s="86">
        <f t="shared" si="3"/>
        <v>0</v>
      </c>
      <c r="R9632" s="26"/>
    </row>
    <row r="9633" spans="1:18" ht="15.75" customHeight="1">
      <c r="A9633" s="26"/>
      <c r="B9633" s="86"/>
      <c r="D9633" s="26"/>
      <c r="F9633" s="87" t="str">
        <f t="shared" si="0"/>
        <v/>
      </c>
      <c r="H9633" s="26" t="str">
        <f t="shared" si="1"/>
        <v/>
      </c>
      <c r="I9633" s="26" t="str">
        <f t="shared" si="2"/>
        <v/>
      </c>
      <c r="J9633" s="86">
        <f t="shared" si="3"/>
        <v>0</v>
      </c>
      <c r="R9633" s="26"/>
    </row>
    <row r="9634" spans="1:18" ht="15.75" customHeight="1">
      <c r="A9634" s="26"/>
      <c r="B9634" s="86"/>
      <c r="D9634" s="26"/>
      <c r="F9634" s="87" t="str">
        <f t="shared" si="0"/>
        <v/>
      </c>
      <c r="H9634" s="26" t="str">
        <f t="shared" si="1"/>
        <v/>
      </c>
      <c r="I9634" s="26" t="str">
        <f t="shared" si="2"/>
        <v/>
      </c>
      <c r="J9634" s="86">
        <f t="shared" si="3"/>
        <v>0</v>
      </c>
      <c r="R9634" s="26"/>
    </row>
    <row r="9635" spans="1:18" ht="15.75" customHeight="1">
      <c r="A9635" s="26"/>
      <c r="B9635" s="86"/>
      <c r="D9635" s="26"/>
      <c r="F9635" s="87" t="str">
        <f t="shared" si="0"/>
        <v/>
      </c>
      <c r="H9635" s="26" t="str">
        <f t="shared" si="1"/>
        <v/>
      </c>
      <c r="I9635" s="26" t="str">
        <f t="shared" si="2"/>
        <v/>
      </c>
      <c r="J9635" s="86">
        <f t="shared" si="3"/>
        <v>0</v>
      </c>
      <c r="R9635" s="26"/>
    </row>
    <row r="9636" spans="1:18" ht="15.75" customHeight="1">
      <c r="A9636" s="26"/>
      <c r="B9636" s="86"/>
      <c r="D9636" s="26"/>
      <c r="F9636" s="87" t="str">
        <f t="shared" si="0"/>
        <v/>
      </c>
      <c r="H9636" s="26" t="str">
        <f t="shared" si="1"/>
        <v/>
      </c>
      <c r="I9636" s="26" t="str">
        <f t="shared" si="2"/>
        <v/>
      </c>
      <c r="J9636" s="86">
        <f t="shared" si="3"/>
        <v>0</v>
      </c>
      <c r="R9636" s="26"/>
    </row>
    <row r="9637" spans="1:18" ht="15.75" customHeight="1">
      <c r="A9637" s="26"/>
      <c r="B9637" s="86"/>
      <c r="D9637" s="26"/>
      <c r="F9637" s="87" t="str">
        <f t="shared" si="0"/>
        <v/>
      </c>
      <c r="H9637" s="26" t="str">
        <f t="shared" si="1"/>
        <v/>
      </c>
      <c r="I9637" s="26" t="str">
        <f t="shared" si="2"/>
        <v/>
      </c>
      <c r="J9637" s="86">
        <f t="shared" si="3"/>
        <v>0</v>
      </c>
      <c r="R9637" s="26"/>
    </row>
    <row r="9638" spans="1:18" ht="15.75" customHeight="1">
      <c r="A9638" s="26"/>
      <c r="B9638" s="86"/>
      <c r="D9638" s="26"/>
      <c r="F9638" s="87" t="str">
        <f t="shared" si="0"/>
        <v/>
      </c>
      <c r="H9638" s="26" t="str">
        <f t="shared" si="1"/>
        <v/>
      </c>
      <c r="I9638" s="26" t="str">
        <f t="shared" si="2"/>
        <v/>
      </c>
      <c r="J9638" s="86">
        <f t="shared" si="3"/>
        <v>0</v>
      </c>
      <c r="R9638" s="26"/>
    </row>
    <row r="9639" spans="1:18" ht="15.75" customHeight="1">
      <c r="A9639" s="26"/>
      <c r="B9639" s="86"/>
      <c r="D9639" s="26"/>
      <c r="F9639" s="87" t="str">
        <f t="shared" si="0"/>
        <v/>
      </c>
      <c r="H9639" s="26" t="str">
        <f t="shared" si="1"/>
        <v/>
      </c>
      <c r="I9639" s="26" t="str">
        <f t="shared" si="2"/>
        <v/>
      </c>
      <c r="J9639" s="86">
        <f t="shared" si="3"/>
        <v>0</v>
      </c>
      <c r="R9639" s="26"/>
    </row>
    <row r="9640" spans="1:18" ht="15.75" customHeight="1">
      <c r="A9640" s="26"/>
      <c r="B9640" s="86"/>
      <c r="D9640" s="26"/>
      <c r="F9640" s="87" t="str">
        <f t="shared" si="0"/>
        <v/>
      </c>
      <c r="H9640" s="26" t="str">
        <f t="shared" si="1"/>
        <v/>
      </c>
      <c r="I9640" s="26" t="str">
        <f t="shared" si="2"/>
        <v/>
      </c>
      <c r="J9640" s="86">
        <f t="shared" si="3"/>
        <v>0</v>
      </c>
      <c r="R9640" s="26"/>
    </row>
    <row r="9641" spans="1:18" ht="15.75" customHeight="1">
      <c r="A9641" s="26"/>
      <c r="B9641" s="86"/>
      <c r="D9641" s="26"/>
      <c r="F9641" s="87" t="str">
        <f t="shared" si="0"/>
        <v/>
      </c>
      <c r="H9641" s="26" t="str">
        <f t="shared" si="1"/>
        <v/>
      </c>
      <c r="I9641" s="26" t="str">
        <f t="shared" si="2"/>
        <v/>
      </c>
      <c r="J9641" s="86">
        <f t="shared" si="3"/>
        <v>0</v>
      </c>
      <c r="R9641" s="26"/>
    </row>
    <row r="9642" spans="1:18" ht="15.75" customHeight="1">
      <c r="A9642" s="26"/>
      <c r="B9642" s="86"/>
      <c r="D9642" s="26"/>
      <c r="F9642" s="87" t="str">
        <f t="shared" si="0"/>
        <v/>
      </c>
      <c r="H9642" s="26" t="str">
        <f t="shared" si="1"/>
        <v/>
      </c>
      <c r="I9642" s="26" t="str">
        <f t="shared" si="2"/>
        <v/>
      </c>
      <c r="J9642" s="86">
        <f t="shared" si="3"/>
        <v>0</v>
      </c>
      <c r="R9642" s="26"/>
    </row>
    <row r="9643" spans="1:18" ht="15.75" customHeight="1">
      <c r="A9643" s="26"/>
      <c r="B9643" s="86"/>
      <c r="D9643" s="26"/>
      <c r="F9643" s="87" t="str">
        <f t="shared" si="0"/>
        <v/>
      </c>
      <c r="H9643" s="26" t="str">
        <f t="shared" si="1"/>
        <v/>
      </c>
      <c r="I9643" s="26" t="str">
        <f t="shared" si="2"/>
        <v/>
      </c>
      <c r="J9643" s="86">
        <f t="shared" si="3"/>
        <v>0</v>
      </c>
      <c r="R9643" s="26"/>
    </row>
    <row r="9644" spans="1:18" ht="15.75" customHeight="1">
      <c r="A9644" s="26"/>
      <c r="B9644" s="86"/>
      <c r="D9644" s="26"/>
      <c r="F9644" s="87" t="str">
        <f t="shared" si="0"/>
        <v/>
      </c>
      <c r="H9644" s="26" t="str">
        <f t="shared" si="1"/>
        <v/>
      </c>
      <c r="I9644" s="26" t="str">
        <f t="shared" si="2"/>
        <v/>
      </c>
      <c r="J9644" s="86">
        <f t="shared" si="3"/>
        <v>0</v>
      </c>
      <c r="R9644" s="26"/>
    </row>
    <row r="9645" spans="1:18" ht="15.75" customHeight="1">
      <c r="A9645" s="26"/>
      <c r="B9645" s="86"/>
      <c r="D9645" s="26"/>
      <c r="F9645" s="87" t="str">
        <f t="shared" si="0"/>
        <v/>
      </c>
      <c r="H9645" s="26" t="str">
        <f t="shared" si="1"/>
        <v/>
      </c>
      <c r="I9645" s="26" t="str">
        <f t="shared" si="2"/>
        <v/>
      </c>
      <c r="J9645" s="86">
        <f t="shared" si="3"/>
        <v>0</v>
      </c>
      <c r="R9645" s="26"/>
    </row>
    <row r="9646" spans="1:18" ht="15.75" customHeight="1">
      <c r="A9646" s="26"/>
      <c r="B9646" s="86"/>
      <c r="D9646" s="26"/>
      <c r="F9646" s="87" t="str">
        <f t="shared" si="0"/>
        <v/>
      </c>
      <c r="H9646" s="26" t="str">
        <f t="shared" si="1"/>
        <v/>
      </c>
      <c r="I9646" s="26" t="str">
        <f t="shared" si="2"/>
        <v/>
      </c>
      <c r="J9646" s="86">
        <f t="shared" si="3"/>
        <v>0</v>
      </c>
      <c r="R9646" s="26"/>
    </row>
    <row r="9647" spans="1:18" ht="15.75" customHeight="1">
      <c r="A9647" s="26"/>
      <c r="B9647" s="86"/>
      <c r="D9647" s="26"/>
      <c r="F9647" s="87" t="str">
        <f t="shared" si="0"/>
        <v/>
      </c>
      <c r="H9647" s="26" t="str">
        <f t="shared" si="1"/>
        <v/>
      </c>
      <c r="I9647" s="26" t="str">
        <f t="shared" si="2"/>
        <v/>
      </c>
      <c r="J9647" s="86">
        <f t="shared" si="3"/>
        <v>0</v>
      </c>
      <c r="R9647" s="26"/>
    </row>
    <row r="9648" spans="1:18" ht="15.75" customHeight="1">
      <c r="A9648" s="26"/>
      <c r="B9648" s="86"/>
      <c r="D9648" s="26"/>
      <c r="F9648" s="87" t="str">
        <f t="shared" si="0"/>
        <v/>
      </c>
      <c r="H9648" s="26" t="str">
        <f t="shared" si="1"/>
        <v/>
      </c>
      <c r="I9648" s="26" t="str">
        <f t="shared" si="2"/>
        <v/>
      </c>
      <c r="J9648" s="86">
        <f t="shared" si="3"/>
        <v>0</v>
      </c>
      <c r="R9648" s="26"/>
    </row>
    <row r="9649" spans="1:18" ht="15.75" customHeight="1">
      <c r="A9649" s="26"/>
      <c r="B9649" s="86"/>
      <c r="D9649" s="26"/>
      <c r="F9649" s="87" t="str">
        <f t="shared" si="0"/>
        <v/>
      </c>
      <c r="H9649" s="26" t="str">
        <f t="shared" si="1"/>
        <v/>
      </c>
      <c r="I9649" s="26" t="str">
        <f t="shared" si="2"/>
        <v/>
      </c>
      <c r="J9649" s="86">
        <f t="shared" si="3"/>
        <v>0</v>
      </c>
      <c r="R9649" s="26"/>
    </row>
    <row r="9650" spans="1:18" ht="15.75" customHeight="1">
      <c r="A9650" s="26"/>
      <c r="B9650" s="86"/>
      <c r="D9650" s="26"/>
      <c r="F9650" s="87" t="str">
        <f t="shared" si="0"/>
        <v/>
      </c>
      <c r="H9650" s="26" t="str">
        <f t="shared" si="1"/>
        <v/>
      </c>
      <c r="I9650" s="26" t="str">
        <f t="shared" si="2"/>
        <v/>
      </c>
      <c r="J9650" s="86">
        <f t="shared" si="3"/>
        <v>0</v>
      </c>
      <c r="R9650" s="26"/>
    </row>
    <row r="9651" spans="1:18" ht="15.75" customHeight="1">
      <c r="A9651" s="26"/>
      <c r="B9651" s="86"/>
      <c r="D9651" s="26"/>
      <c r="F9651" s="87" t="str">
        <f t="shared" si="0"/>
        <v/>
      </c>
      <c r="H9651" s="26" t="str">
        <f t="shared" si="1"/>
        <v/>
      </c>
      <c r="I9651" s="26" t="str">
        <f t="shared" si="2"/>
        <v/>
      </c>
      <c r="J9651" s="86">
        <f t="shared" si="3"/>
        <v>0</v>
      </c>
      <c r="R9651" s="26"/>
    </row>
    <row r="9652" spans="1:18" ht="15.75" customHeight="1">
      <c r="A9652" s="26"/>
      <c r="B9652" s="86"/>
      <c r="D9652" s="26"/>
      <c r="F9652" s="87" t="str">
        <f t="shared" si="0"/>
        <v/>
      </c>
      <c r="H9652" s="26" t="str">
        <f t="shared" si="1"/>
        <v/>
      </c>
      <c r="I9652" s="26" t="str">
        <f t="shared" si="2"/>
        <v/>
      </c>
      <c r="J9652" s="86">
        <f t="shared" si="3"/>
        <v>0</v>
      </c>
      <c r="R9652" s="26"/>
    </row>
    <row r="9653" spans="1:18" ht="15.75" customHeight="1">
      <c r="A9653" s="26"/>
      <c r="B9653" s="86"/>
      <c r="D9653" s="26"/>
      <c r="F9653" s="87" t="str">
        <f t="shared" si="0"/>
        <v/>
      </c>
      <c r="H9653" s="26" t="str">
        <f t="shared" si="1"/>
        <v/>
      </c>
      <c r="I9653" s="26" t="str">
        <f t="shared" si="2"/>
        <v/>
      </c>
      <c r="J9653" s="86">
        <f t="shared" si="3"/>
        <v>0</v>
      </c>
      <c r="R9653" s="26"/>
    </row>
    <row r="9654" spans="1:18" ht="15.75" customHeight="1">
      <c r="A9654" s="26"/>
      <c r="B9654" s="86"/>
      <c r="D9654" s="26"/>
      <c r="F9654" s="87" t="str">
        <f t="shared" si="0"/>
        <v/>
      </c>
      <c r="H9654" s="26" t="str">
        <f t="shared" si="1"/>
        <v/>
      </c>
      <c r="I9654" s="26" t="str">
        <f t="shared" si="2"/>
        <v/>
      </c>
      <c r="J9654" s="86">
        <f t="shared" si="3"/>
        <v>0</v>
      </c>
      <c r="R9654" s="26"/>
    </row>
    <row r="9655" spans="1:18" ht="15.75" customHeight="1">
      <c r="A9655" s="26"/>
      <c r="B9655" s="86"/>
      <c r="D9655" s="26"/>
      <c r="F9655" s="87" t="str">
        <f t="shared" si="0"/>
        <v/>
      </c>
      <c r="H9655" s="26" t="str">
        <f t="shared" si="1"/>
        <v/>
      </c>
      <c r="I9655" s="26" t="str">
        <f t="shared" si="2"/>
        <v/>
      </c>
      <c r="J9655" s="86">
        <f t="shared" si="3"/>
        <v>0</v>
      </c>
      <c r="R9655" s="26"/>
    </row>
    <row r="9656" spans="1:18" ht="15.75" customHeight="1">
      <c r="A9656" s="26"/>
      <c r="B9656" s="86"/>
      <c r="D9656" s="26"/>
      <c r="F9656" s="87" t="str">
        <f t="shared" si="0"/>
        <v/>
      </c>
      <c r="H9656" s="26" t="str">
        <f t="shared" si="1"/>
        <v/>
      </c>
      <c r="I9656" s="26" t="str">
        <f t="shared" si="2"/>
        <v/>
      </c>
      <c r="J9656" s="86">
        <f t="shared" si="3"/>
        <v>0</v>
      </c>
      <c r="R9656" s="26"/>
    </row>
    <row r="9657" spans="1:18" ht="15.75" customHeight="1">
      <c r="A9657" s="26"/>
      <c r="B9657" s="86"/>
      <c r="D9657" s="26"/>
      <c r="F9657" s="87" t="str">
        <f t="shared" si="0"/>
        <v/>
      </c>
      <c r="H9657" s="26" t="str">
        <f t="shared" si="1"/>
        <v/>
      </c>
      <c r="I9657" s="26" t="str">
        <f t="shared" si="2"/>
        <v/>
      </c>
      <c r="J9657" s="86">
        <f t="shared" si="3"/>
        <v>0</v>
      </c>
      <c r="R9657" s="26"/>
    </row>
    <row r="9658" spans="1:18" ht="15.75" customHeight="1">
      <c r="A9658" s="26"/>
      <c r="B9658" s="86"/>
      <c r="D9658" s="26"/>
      <c r="F9658" s="87" t="str">
        <f t="shared" si="0"/>
        <v/>
      </c>
      <c r="H9658" s="26" t="str">
        <f t="shared" si="1"/>
        <v/>
      </c>
      <c r="I9658" s="26" t="str">
        <f t="shared" si="2"/>
        <v/>
      </c>
      <c r="J9658" s="86">
        <f t="shared" si="3"/>
        <v>0</v>
      </c>
      <c r="R9658" s="26"/>
    </row>
    <row r="9659" spans="1:18" ht="15.75" customHeight="1">
      <c r="A9659" s="26"/>
      <c r="B9659" s="86"/>
      <c r="D9659" s="26"/>
      <c r="F9659" s="87" t="str">
        <f t="shared" si="0"/>
        <v/>
      </c>
      <c r="H9659" s="26" t="str">
        <f t="shared" si="1"/>
        <v/>
      </c>
      <c r="I9659" s="26" t="str">
        <f t="shared" si="2"/>
        <v/>
      </c>
      <c r="J9659" s="86">
        <f t="shared" si="3"/>
        <v>0</v>
      </c>
      <c r="R9659" s="26"/>
    </row>
    <row r="9660" spans="1:18" ht="15.75" customHeight="1">
      <c r="A9660" s="26"/>
      <c r="B9660" s="86"/>
      <c r="D9660" s="26"/>
      <c r="F9660" s="87" t="str">
        <f t="shared" si="0"/>
        <v/>
      </c>
      <c r="H9660" s="26" t="str">
        <f t="shared" si="1"/>
        <v/>
      </c>
      <c r="I9660" s="26" t="str">
        <f t="shared" si="2"/>
        <v/>
      </c>
      <c r="J9660" s="86">
        <f t="shared" si="3"/>
        <v>0</v>
      </c>
      <c r="R9660" s="26"/>
    </row>
    <row r="9661" spans="1:18" ht="15.75" customHeight="1">
      <c r="A9661" s="26"/>
      <c r="B9661" s="86"/>
      <c r="D9661" s="26"/>
      <c r="F9661" s="87" t="str">
        <f t="shared" si="0"/>
        <v/>
      </c>
      <c r="H9661" s="26" t="str">
        <f t="shared" si="1"/>
        <v/>
      </c>
      <c r="I9661" s="26" t="str">
        <f t="shared" si="2"/>
        <v/>
      </c>
      <c r="J9661" s="86">
        <f t="shared" si="3"/>
        <v>0</v>
      </c>
      <c r="R9661" s="26"/>
    </row>
    <row r="9662" spans="1:18" ht="15.75" customHeight="1">
      <c r="A9662" s="26"/>
      <c r="B9662" s="86"/>
      <c r="D9662" s="26"/>
      <c r="F9662" s="87" t="str">
        <f t="shared" si="0"/>
        <v/>
      </c>
      <c r="H9662" s="26" t="str">
        <f t="shared" si="1"/>
        <v/>
      </c>
      <c r="I9662" s="26" t="str">
        <f t="shared" si="2"/>
        <v/>
      </c>
      <c r="J9662" s="86">
        <f t="shared" si="3"/>
        <v>0</v>
      </c>
      <c r="R9662" s="26"/>
    </row>
    <row r="9663" spans="1:18" ht="15.75" customHeight="1">
      <c r="A9663" s="26"/>
      <c r="B9663" s="86"/>
      <c r="D9663" s="26"/>
      <c r="F9663" s="87" t="str">
        <f t="shared" si="0"/>
        <v/>
      </c>
      <c r="H9663" s="26" t="str">
        <f t="shared" si="1"/>
        <v/>
      </c>
      <c r="I9663" s="26" t="str">
        <f t="shared" si="2"/>
        <v/>
      </c>
      <c r="J9663" s="86">
        <f t="shared" si="3"/>
        <v>0</v>
      </c>
      <c r="R9663" s="26"/>
    </row>
    <row r="9664" spans="1:18" ht="15.75" customHeight="1">
      <c r="A9664" s="26"/>
      <c r="B9664" s="86"/>
      <c r="D9664" s="26"/>
      <c r="F9664" s="87" t="str">
        <f t="shared" si="0"/>
        <v/>
      </c>
      <c r="H9664" s="26" t="str">
        <f t="shared" si="1"/>
        <v/>
      </c>
      <c r="I9664" s="26" t="str">
        <f t="shared" si="2"/>
        <v/>
      </c>
      <c r="J9664" s="86">
        <f t="shared" si="3"/>
        <v>0</v>
      </c>
      <c r="R9664" s="26"/>
    </row>
    <row r="9665" spans="1:18" ht="15.75" customHeight="1">
      <c r="A9665" s="26"/>
      <c r="B9665" s="86"/>
      <c r="D9665" s="26"/>
      <c r="F9665" s="87" t="str">
        <f t="shared" si="0"/>
        <v/>
      </c>
      <c r="H9665" s="26" t="str">
        <f t="shared" si="1"/>
        <v/>
      </c>
      <c r="I9665" s="26" t="str">
        <f t="shared" si="2"/>
        <v/>
      </c>
      <c r="J9665" s="86">
        <f t="shared" si="3"/>
        <v>0</v>
      </c>
      <c r="R9665" s="26"/>
    </row>
    <row r="9666" spans="1:18" ht="15.75" customHeight="1">
      <c r="A9666" s="26"/>
      <c r="B9666" s="86"/>
      <c r="D9666" s="26"/>
      <c r="F9666" s="87" t="str">
        <f t="shared" si="0"/>
        <v/>
      </c>
      <c r="H9666" s="26" t="str">
        <f t="shared" si="1"/>
        <v/>
      </c>
      <c r="I9666" s="26" t="str">
        <f t="shared" si="2"/>
        <v/>
      </c>
      <c r="J9666" s="86">
        <f t="shared" si="3"/>
        <v>0</v>
      </c>
      <c r="R9666" s="26"/>
    </row>
    <row r="9667" spans="1:18" ht="15.75" customHeight="1">
      <c r="A9667" s="26"/>
      <c r="B9667" s="86"/>
      <c r="D9667" s="26"/>
      <c r="F9667" s="87" t="str">
        <f t="shared" si="0"/>
        <v/>
      </c>
      <c r="H9667" s="26" t="str">
        <f t="shared" si="1"/>
        <v/>
      </c>
      <c r="I9667" s="26" t="str">
        <f t="shared" si="2"/>
        <v/>
      </c>
      <c r="J9667" s="86">
        <f t="shared" si="3"/>
        <v>0</v>
      </c>
      <c r="R9667" s="26"/>
    </row>
    <row r="9668" spans="1:18" ht="15.75" customHeight="1">
      <c r="A9668" s="26"/>
      <c r="B9668" s="86"/>
      <c r="D9668" s="26"/>
      <c r="F9668" s="87" t="str">
        <f t="shared" si="0"/>
        <v/>
      </c>
      <c r="H9668" s="26" t="str">
        <f t="shared" si="1"/>
        <v/>
      </c>
      <c r="I9668" s="26" t="str">
        <f t="shared" si="2"/>
        <v/>
      </c>
      <c r="J9668" s="86">
        <f t="shared" si="3"/>
        <v>0</v>
      </c>
      <c r="R9668" s="26"/>
    </row>
    <row r="9669" spans="1:18" ht="15.75" customHeight="1">
      <c r="A9669" s="26"/>
      <c r="B9669" s="86"/>
      <c r="D9669" s="26"/>
      <c r="F9669" s="87" t="str">
        <f t="shared" si="0"/>
        <v/>
      </c>
      <c r="H9669" s="26" t="str">
        <f t="shared" si="1"/>
        <v/>
      </c>
      <c r="I9669" s="26" t="str">
        <f t="shared" si="2"/>
        <v/>
      </c>
      <c r="J9669" s="86">
        <f t="shared" si="3"/>
        <v>0</v>
      </c>
      <c r="R9669" s="26"/>
    </row>
    <row r="9670" spans="1:18" ht="15.75" customHeight="1">
      <c r="A9670" s="26"/>
      <c r="B9670" s="86"/>
      <c r="D9670" s="26"/>
      <c r="F9670" s="87" t="str">
        <f t="shared" si="0"/>
        <v/>
      </c>
      <c r="H9670" s="26" t="str">
        <f t="shared" si="1"/>
        <v/>
      </c>
      <c r="I9670" s="26" t="str">
        <f t="shared" si="2"/>
        <v/>
      </c>
      <c r="J9670" s="86">
        <f t="shared" si="3"/>
        <v>0</v>
      </c>
      <c r="R9670" s="26"/>
    </row>
    <row r="9671" spans="1:18" ht="15.75" customHeight="1">
      <c r="A9671" s="26"/>
      <c r="B9671" s="86"/>
      <c r="D9671" s="26"/>
      <c r="F9671" s="87" t="str">
        <f t="shared" si="0"/>
        <v/>
      </c>
      <c r="H9671" s="26" t="str">
        <f t="shared" si="1"/>
        <v/>
      </c>
      <c r="I9671" s="26" t="str">
        <f t="shared" si="2"/>
        <v/>
      </c>
      <c r="J9671" s="86">
        <f t="shared" si="3"/>
        <v>0</v>
      </c>
      <c r="R9671" s="26"/>
    </row>
    <row r="9672" spans="1:18" ht="15.75" customHeight="1">
      <c r="A9672" s="26"/>
      <c r="B9672" s="86"/>
      <c r="D9672" s="26"/>
      <c r="F9672" s="87" t="str">
        <f t="shared" si="0"/>
        <v/>
      </c>
      <c r="H9672" s="26" t="str">
        <f t="shared" si="1"/>
        <v/>
      </c>
      <c r="I9672" s="26" t="str">
        <f t="shared" si="2"/>
        <v/>
      </c>
      <c r="J9672" s="86">
        <f t="shared" si="3"/>
        <v>0</v>
      </c>
      <c r="R9672" s="26"/>
    </row>
    <row r="9673" spans="1:18" ht="15.75" customHeight="1">
      <c r="A9673" s="26"/>
      <c r="B9673" s="86"/>
      <c r="D9673" s="26"/>
      <c r="F9673" s="87" t="str">
        <f t="shared" si="0"/>
        <v/>
      </c>
      <c r="H9673" s="26" t="str">
        <f t="shared" si="1"/>
        <v/>
      </c>
      <c r="I9673" s="26" t="str">
        <f t="shared" si="2"/>
        <v/>
      </c>
      <c r="J9673" s="86">
        <f t="shared" si="3"/>
        <v>0</v>
      </c>
      <c r="R9673" s="26"/>
    </row>
    <row r="9674" spans="1:18" ht="15.75" customHeight="1">
      <c r="A9674" s="26"/>
      <c r="B9674" s="86"/>
      <c r="D9674" s="26"/>
      <c r="F9674" s="87" t="str">
        <f t="shared" si="0"/>
        <v/>
      </c>
      <c r="H9674" s="26" t="str">
        <f t="shared" si="1"/>
        <v/>
      </c>
      <c r="I9674" s="26" t="str">
        <f t="shared" si="2"/>
        <v/>
      </c>
      <c r="J9674" s="86">
        <f t="shared" si="3"/>
        <v>0</v>
      </c>
      <c r="R9674" s="26"/>
    </row>
    <row r="9675" spans="1:18" ht="15.75" customHeight="1">
      <c r="A9675" s="26"/>
      <c r="B9675" s="86"/>
      <c r="D9675" s="26"/>
      <c r="F9675" s="87" t="str">
        <f t="shared" si="0"/>
        <v/>
      </c>
      <c r="H9675" s="26" t="str">
        <f t="shared" si="1"/>
        <v/>
      </c>
      <c r="I9675" s="26" t="str">
        <f t="shared" si="2"/>
        <v/>
      </c>
      <c r="J9675" s="86">
        <f t="shared" si="3"/>
        <v>0</v>
      </c>
      <c r="R9675" s="26"/>
    </row>
    <row r="9676" spans="1:18" ht="15.75" customHeight="1">
      <c r="A9676" s="26"/>
      <c r="B9676" s="86"/>
      <c r="D9676" s="26"/>
      <c r="F9676" s="87" t="str">
        <f t="shared" si="0"/>
        <v/>
      </c>
      <c r="H9676" s="26" t="str">
        <f t="shared" si="1"/>
        <v/>
      </c>
      <c r="I9676" s="26" t="str">
        <f t="shared" si="2"/>
        <v/>
      </c>
      <c r="J9676" s="86">
        <f t="shared" si="3"/>
        <v>0</v>
      </c>
      <c r="R9676" s="26"/>
    </row>
    <row r="9677" spans="1:18" ht="15.75" customHeight="1">
      <c r="A9677" s="26"/>
      <c r="B9677" s="86"/>
      <c r="D9677" s="26"/>
      <c r="F9677" s="87" t="str">
        <f t="shared" si="0"/>
        <v/>
      </c>
      <c r="H9677" s="26" t="str">
        <f t="shared" si="1"/>
        <v/>
      </c>
      <c r="I9677" s="26" t="str">
        <f t="shared" si="2"/>
        <v/>
      </c>
      <c r="J9677" s="86">
        <f t="shared" si="3"/>
        <v>0</v>
      </c>
      <c r="R9677" s="26"/>
    </row>
    <row r="9678" spans="1:18" ht="15.75" customHeight="1">
      <c r="A9678" s="26"/>
      <c r="B9678" s="86"/>
      <c r="D9678" s="26"/>
      <c r="F9678" s="87" t="str">
        <f t="shared" si="0"/>
        <v/>
      </c>
      <c r="H9678" s="26" t="str">
        <f t="shared" si="1"/>
        <v/>
      </c>
      <c r="I9678" s="26" t="str">
        <f t="shared" si="2"/>
        <v/>
      </c>
      <c r="J9678" s="86">
        <f t="shared" si="3"/>
        <v>0</v>
      </c>
      <c r="R9678" s="26"/>
    </row>
    <row r="9679" spans="1:18" ht="15.75" customHeight="1">
      <c r="A9679" s="26"/>
      <c r="B9679" s="86"/>
      <c r="D9679" s="26"/>
      <c r="F9679" s="87" t="str">
        <f t="shared" si="0"/>
        <v/>
      </c>
      <c r="H9679" s="26" t="str">
        <f t="shared" si="1"/>
        <v/>
      </c>
      <c r="I9679" s="26" t="str">
        <f t="shared" si="2"/>
        <v/>
      </c>
      <c r="J9679" s="86">
        <f t="shared" si="3"/>
        <v>0</v>
      </c>
      <c r="R9679" s="26"/>
    </row>
    <row r="9680" spans="1:18" ht="15.75" customHeight="1">
      <c r="A9680" s="26"/>
      <c r="B9680" s="86"/>
      <c r="D9680" s="26"/>
      <c r="F9680" s="87" t="str">
        <f t="shared" si="0"/>
        <v/>
      </c>
      <c r="H9680" s="26" t="str">
        <f t="shared" si="1"/>
        <v/>
      </c>
      <c r="I9680" s="26" t="str">
        <f t="shared" si="2"/>
        <v/>
      </c>
      <c r="J9680" s="86">
        <f t="shared" si="3"/>
        <v>0</v>
      </c>
      <c r="R9680" s="26"/>
    </row>
    <row r="9681" spans="1:18" ht="15.75" customHeight="1">
      <c r="A9681" s="26"/>
      <c r="B9681" s="86"/>
      <c r="D9681" s="26"/>
      <c r="F9681" s="87" t="str">
        <f t="shared" si="0"/>
        <v/>
      </c>
      <c r="H9681" s="26" t="str">
        <f t="shared" si="1"/>
        <v/>
      </c>
      <c r="I9681" s="26" t="str">
        <f t="shared" si="2"/>
        <v/>
      </c>
      <c r="J9681" s="86">
        <f t="shared" si="3"/>
        <v>0</v>
      </c>
      <c r="R9681" s="26"/>
    </row>
    <row r="9682" spans="1:18" ht="15.75" customHeight="1">
      <c r="A9682" s="26"/>
      <c r="B9682" s="86"/>
      <c r="D9682" s="26"/>
      <c r="F9682" s="87" t="str">
        <f t="shared" si="0"/>
        <v/>
      </c>
      <c r="H9682" s="26" t="str">
        <f t="shared" si="1"/>
        <v/>
      </c>
      <c r="I9682" s="26" t="str">
        <f t="shared" si="2"/>
        <v/>
      </c>
      <c r="J9682" s="86">
        <f t="shared" si="3"/>
        <v>0</v>
      </c>
      <c r="R9682" s="26"/>
    </row>
    <row r="9683" spans="1:18" ht="15.75" customHeight="1">
      <c r="A9683" s="26"/>
      <c r="B9683" s="86"/>
      <c r="D9683" s="26"/>
      <c r="F9683" s="87" t="str">
        <f t="shared" si="0"/>
        <v/>
      </c>
      <c r="H9683" s="26" t="str">
        <f t="shared" si="1"/>
        <v/>
      </c>
      <c r="I9683" s="26" t="str">
        <f t="shared" si="2"/>
        <v/>
      </c>
      <c r="J9683" s="86">
        <f t="shared" si="3"/>
        <v>0</v>
      </c>
      <c r="R9683" s="26"/>
    </row>
    <row r="9684" spans="1:18" ht="15.75" customHeight="1">
      <c r="A9684" s="26"/>
      <c r="B9684" s="86"/>
      <c r="D9684" s="26"/>
      <c r="F9684" s="87" t="str">
        <f t="shared" si="0"/>
        <v/>
      </c>
      <c r="H9684" s="26" t="str">
        <f t="shared" si="1"/>
        <v/>
      </c>
      <c r="I9684" s="26" t="str">
        <f t="shared" si="2"/>
        <v/>
      </c>
      <c r="J9684" s="86">
        <f t="shared" si="3"/>
        <v>0</v>
      </c>
      <c r="R9684" s="26"/>
    </row>
    <row r="9685" spans="1:18" ht="15.75" customHeight="1">
      <c r="A9685" s="26"/>
      <c r="B9685" s="86"/>
      <c r="D9685" s="26"/>
      <c r="F9685" s="87" t="str">
        <f t="shared" si="0"/>
        <v/>
      </c>
      <c r="H9685" s="26" t="str">
        <f t="shared" si="1"/>
        <v/>
      </c>
      <c r="I9685" s="26" t="str">
        <f t="shared" si="2"/>
        <v/>
      </c>
      <c r="J9685" s="86">
        <f t="shared" si="3"/>
        <v>0</v>
      </c>
      <c r="R9685" s="26"/>
    </row>
    <row r="9686" spans="1:18" ht="15.75" customHeight="1">
      <c r="A9686" s="26"/>
      <c r="B9686" s="86"/>
      <c r="D9686" s="26"/>
      <c r="F9686" s="87" t="str">
        <f t="shared" si="0"/>
        <v/>
      </c>
      <c r="H9686" s="26" t="str">
        <f t="shared" si="1"/>
        <v/>
      </c>
      <c r="I9686" s="26" t="str">
        <f t="shared" si="2"/>
        <v/>
      </c>
      <c r="J9686" s="86">
        <f t="shared" si="3"/>
        <v>0</v>
      </c>
      <c r="R9686" s="26"/>
    </row>
    <row r="9687" spans="1:18" ht="15.75" customHeight="1">
      <c r="A9687" s="26"/>
      <c r="B9687" s="86"/>
      <c r="D9687" s="26"/>
      <c r="F9687" s="87" t="str">
        <f t="shared" si="0"/>
        <v/>
      </c>
      <c r="H9687" s="26" t="str">
        <f t="shared" si="1"/>
        <v/>
      </c>
      <c r="I9687" s="26" t="str">
        <f t="shared" si="2"/>
        <v/>
      </c>
      <c r="J9687" s="86">
        <f t="shared" si="3"/>
        <v>0</v>
      </c>
      <c r="R9687" s="26"/>
    </row>
    <row r="9688" spans="1:18" ht="15.75" customHeight="1">
      <c r="A9688" s="26"/>
      <c r="B9688" s="86"/>
      <c r="D9688" s="26"/>
      <c r="F9688" s="87" t="str">
        <f t="shared" si="0"/>
        <v/>
      </c>
      <c r="H9688" s="26" t="str">
        <f t="shared" si="1"/>
        <v/>
      </c>
      <c r="I9688" s="26" t="str">
        <f t="shared" si="2"/>
        <v/>
      </c>
      <c r="J9688" s="86">
        <f t="shared" si="3"/>
        <v>0</v>
      </c>
      <c r="R9688" s="26"/>
    </row>
    <row r="9689" spans="1:18" ht="15.75" customHeight="1">
      <c r="A9689" s="26"/>
      <c r="B9689" s="86"/>
      <c r="D9689" s="26"/>
      <c r="F9689" s="87" t="str">
        <f t="shared" si="0"/>
        <v/>
      </c>
      <c r="H9689" s="26" t="str">
        <f t="shared" si="1"/>
        <v/>
      </c>
      <c r="I9689" s="26" t="str">
        <f t="shared" si="2"/>
        <v/>
      </c>
      <c r="J9689" s="86">
        <f t="shared" si="3"/>
        <v>0</v>
      </c>
      <c r="R9689" s="26"/>
    </row>
    <row r="9690" spans="1:18" ht="15.75" customHeight="1">
      <c r="A9690" s="26"/>
      <c r="B9690" s="86"/>
      <c r="D9690" s="26"/>
      <c r="F9690" s="87" t="str">
        <f t="shared" si="0"/>
        <v/>
      </c>
      <c r="H9690" s="26" t="str">
        <f t="shared" si="1"/>
        <v/>
      </c>
      <c r="I9690" s="26" t="str">
        <f t="shared" si="2"/>
        <v/>
      </c>
      <c r="J9690" s="86">
        <f t="shared" si="3"/>
        <v>0</v>
      </c>
      <c r="R9690" s="26"/>
    </row>
    <row r="9691" spans="1:18" ht="15.75" customHeight="1">
      <c r="A9691" s="26"/>
      <c r="B9691" s="86"/>
      <c r="D9691" s="26"/>
      <c r="F9691" s="87" t="str">
        <f t="shared" si="0"/>
        <v/>
      </c>
      <c r="H9691" s="26" t="str">
        <f t="shared" si="1"/>
        <v/>
      </c>
      <c r="I9691" s="26" t="str">
        <f t="shared" si="2"/>
        <v/>
      </c>
      <c r="J9691" s="86">
        <f t="shared" si="3"/>
        <v>0</v>
      </c>
      <c r="R9691" s="26"/>
    </row>
    <row r="9692" spans="1:18" ht="15.75" customHeight="1">
      <c r="A9692" s="26"/>
      <c r="B9692" s="86"/>
      <c r="D9692" s="26"/>
      <c r="F9692" s="87" t="str">
        <f t="shared" si="0"/>
        <v/>
      </c>
      <c r="H9692" s="26" t="str">
        <f t="shared" si="1"/>
        <v/>
      </c>
      <c r="I9692" s="26" t="str">
        <f t="shared" si="2"/>
        <v/>
      </c>
      <c r="J9692" s="86">
        <f t="shared" si="3"/>
        <v>0</v>
      </c>
      <c r="R9692" s="26"/>
    </row>
    <row r="9693" spans="1:18" ht="15.75" customHeight="1">
      <c r="A9693" s="26"/>
      <c r="B9693" s="86"/>
      <c r="D9693" s="26"/>
      <c r="F9693" s="87" t="str">
        <f t="shared" si="0"/>
        <v/>
      </c>
      <c r="H9693" s="26" t="str">
        <f t="shared" si="1"/>
        <v/>
      </c>
      <c r="I9693" s="26" t="str">
        <f t="shared" si="2"/>
        <v/>
      </c>
      <c r="J9693" s="86">
        <f t="shared" si="3"/>
        <v>0</v>
      </c>
      <c r="R9693" s="26"/>
    </row>
    <row r="9694" spans="1:18" ht="15.75" customHeight="1">
      <c r="A9694" s="26"/>
      <c r="B9694" s="86"/>
      <c r="D9694" s="26"/>
      <c r="F9694" s="87" t="str">
        <f t="shared" si="0"/>
        <v/>
      </c>
      <c r="H9694" s="26" t="str">
        <f t="shared" si="1"/>
        <v/>
      </c>
      <c r="I9694" s="26" t="str">
        <f t="shared" si="2"/>
        <v/>
      </c>
      <c r="J9694" s="86">
        <f t="shared" si="3"/>
        <v>0</v>
      </c>
      <c r="R9694" s="26"/>
    </row>
    <row r="9695" spans="1:18" ht="15.75" customHeight="1">
      <c r="A9695" s="26"/>
      <c r="B9695" s="86"/>
      <c r="D9695" s="26"/>
      <c r="F9695" s="87" t="str">
        <f t="shared" si="0"/>
        <v/>
      </c>
      <c r="H9695" s="26" t="str">
        <f t="shared" si="1"/>
        <v/>
      </c>
      <c r="I9695" s="26" t="str">
        <f t="shared" si="2"/>
        <v/>
      </c>
      <c r="J9695" s="86">
        <f t="shared" si="3"/>
        <v>0</v>
      </c>
      <c r="R9695" s="26"/>
    </row>
    <row r="9696" spans="1:18" ht="15.75" customHeight="1">
      <c r="A9696" s="26"/>
      <c r="B9696" s="86"/>
      <c r="D9696" s="26"/>
      <c r="F9696" s="87" t="str">
        <f t="shared" si="0"/>
        <v/>
      </c>
      <c r="H9696" s="26" t="str">
        <f t="shared" si="1"/>
        <v/>
      </c>
      <c r="I9696" s="26" t="str">
        <f t="shared" si="2"/>
        <v/>
      </c>
      <c r="J9696" s="86">
        <f t="shared" si="3"/>
        <v>0</v>
      </c>
      <c r="R9696" s="26"/>
    </row>
    <row r="9697" spans="1:18" ht="15.75" customHeight="1">
      <c r="A9697" s="26"/>
      <c r="B9697" s="86"/>
      <c r="D9697" s="26"/>
      <c r="F9697" s="87" t="str">
        <f t="shared" si="0"/>
        <v/>
      </c>
      <c r="H9697" s="26" t="str">
        <f t="shared" si="1"/>
        <v/>
      </c>
      <c r="I9697" s="26" t="str">
        <f t="shared" si="2"/>
        <v/>
      </c>
      <c r="J9697" s="86">
        <f t="shared" si="3"/>
        <v>0</v>
      </c>
      <c r="R9697" s="26"/>
    </row>
    <row r="9698" spans="1:18" ht="15.75" customHeight="1">
      <c r="A9698" s="26"/>
      <c r="B9698" s="86"/>
      <c r="D9698" s="26"/>
      <c r="F9698" s="87" t="str">
        <f t="shared" si="0"/>
        <v/>
      </c>
      <c r="H9698" s="26" t="str">
        <f t="shared" si="1"/>
        <v/>
      </c>
      <c r="I9698" s="26" t="str">
        <f t="shared" si="2"/>
        <v/>
      </c>
      <c r="J9698" s="86">
        <f t="shared" si="3"/>
        <v>0</v>
      </c>
      <c r="R9698" s="26"/>
    </row>
    <row r="9699" spans="1:18" ht="15.75" customHeight="1">
      <c r="A9699" s="26"/>
      <c r="B9699" s="86"/>
      <c r="D9699" s="26"/>
      <c r="F9699" s="87" t="str">
        <f t="shared" si="0"/>
        <v/>
      </c>
      <c r="H9699" s="26" t="str">
        <f t="shared" si="1"/>
        <v/>
      </c>
      <c r="I9699" s="26" t="str">
        <f t="shared" si="2"/>
        <v/>
      </c>
      <c r="J9699" s="86">
        <f t="shared" si="3"/>
        <v>0</v>
      </c>
      <c r="R9699" s="26"/>
    </row>
    <row r="9700" spans="1:18" ht="15.75" customHeight="1">
      <c r="A9700" s="26"/>
      <c r="B9700" s="86"/>
      <c r="D9700" s="26"/>
      <c r="F9700" s="87" t="str">
        <f t="shared" si="0"/>
        <v/>
      </c>
      <c r="H9700" s="26" t="str">
        <f t="shared" si="1"/>
        <v/>
      </c>
      <c r="I9700" s="26" t="str">
        <f t="shared" si="2"/>
        <v/>
      </c>
      <c r="J9700" s="86">
        <f t="shared" si="3"/>
        <v>0</v>
      </c>
      <c r="R9700" s="26"/>
    </row>
    <row r="9701" spans="1:18" ht="15.75" customHeight="1">
      <c r="A9701" s="26"/>
      <c r="B9701" s="86"/>
      <c r="D9701" s="26"/>
      <c r="F9701" s="87" t="str">
        <f t="shared" si="0"/>
        <v/>
      </c>
      <c r="H9701" s="26" t="str">
        <f t="shared" si="1"/>
        <v/>
      </c>
      <c r="I9701" s="26" t="str">
        <f t="shared" si="2"/>
        <v/>
      </c>
      <c r="J9701" s="86">
        <f t="shared" si="3"/>
        <v>0</v>
      </c>
      <c r="R9701" s="26"/>
    </row>
    <row r="9702" spans="1:18" ht="15.75" customHeight="1">
      <c r="A9702" s="26"/>
      <c r="B9702" s="86"/>
      <c r="D9702" s="26"/>
      <c r="F9702" s="87" t="str">
        <f t="shared" si="0"/>
        <v/>
      </c>
      <c r="H9702" s="26" t="str">
        <f t="shared" si="1"/>
        <v/>
      </c>
      <c r="I9702" s="26" t="str">
        <f t="shared" si="2"/>
        <v/>
      </c>
      <c r="J9702" s="86">
        <f t="shared" si="3"/>
        <v>0</v>
      </c>
      <c r="R9702" s="26"/>
    </row>
    <row r="9703" spans="1:18" ht="15.75" customHeight="1">
      <c r="A9703" s="26"/>
      <c r="B9703" s="86"/>
      <c r="D9703" s="26"/>
      <c r="F9703" s="87" t="str">
        <f t="shared" si="0"/>
        <v/>
      </c>
      <c r="H9703" s="26" t="str">
        <f t="shared" si="1"/>
        <v/>
      </c>
      <c r="I9703" s="26" t="str">
        <f t="shared" si="2"/>
        <v/>
      </c>
      <c r="J9703" s="86">
        <f t="shared" si="3"/>
        <v>0</v>
      </c>
      <c r="R9703" s="26"/>
    </row>
    <row r="9704" spans="1:18" ht="15.75" customHeight="1">
      <c r="A9704" s="26"/>
      <c r="B9704" s="86"/>
      <c r="D9704" s="26"/>
      <c r="F9704" s="87" t="str">
        <f t="shared" si="0"/>
        <v/>
      </c>
      <c r="H9704" s="26" t="str">
        <f t="shared" si="1"/>
        <v/>
      </c>
      <c r="I9704" s="26" t="str">
        <f t="shared" si="2"/>
        <v/>
      </c>
      <c r="J9704" s="86">
        <f t="shared" si="3"/>
        <v>0</v>
      </c>
      <c r="R9704" s="26"/>
    </row>
    <row r="9705" spans="1:18" ht="15.75" customHeight="1">
      <c r="A9705" s="26"/>
      <c r="B9705" s="86"/>
      <c r="D9705" s="26"/>
      <c r="F9705" s="87" t="str">
        <f t="shared" si="0"/>
        <v/>
      </c>
      <c r="H9705" s="26" t="str">
        <f t="shared" si="1"/>
        <v/>
      </c>
      <c r="I9705" s="26" t="str">
        <f t="shared" si="2"/>
        <v/>
      </c>
      <c r="J9705" s="86">
        <f t="shared" si="3"/>
        <v>0</v>
      </c>
      <c r="R9705" s="26"/>
    </row>
    <row r="9706" spans="1:18" ht="15.75" customHeight="1">
      <c r="A9706" s="26"/>
      <c r="B9706" s="86"/>
      <c r="D9706" s="26"/>
      <c r="F9706" s="87" t="str">
        <f t="shared" si="0"/>
        <v/>
      </c>
      <c r="H9706" s="26" t="str">
        <f t="shared" si="1"/>
        <v/>
      </c>
      <c r="I9706" s="26" t="str">
        <f t="shared" si="2"/>
        <v/>
      </c>
      <c r="J9706" s="86">
        <f t="shared" si="3"/>
        <v>0</v>
      </c>
      <c r="R9706" s="26"/>
    </row>
    <row r="9707" spans="1:18" ht="15.75" customHeight="1">
      <c r="A9707" s="26"/>
      <c r="B9707" s="86"/>
      <c r="D9707" s="26"/>
      <c r="F9707" s="87" t="str">
        <f t="shared" si="0"/>
        <v/>
      </c>
      <c r="H9707" s="26" t="str">
        <f t="shared" si="1"/>
        <v/>
      </c>
      <c r="I9707" s="26" t="str">
        <f t="shared" si="2"/>
        <v/>
      </c>
      <c r="J9707" s="86">
        <f t="shared" si="3"/>
        <v>0</v>
      </c>
      <c r="R9707" s="26"/>
    </row>
    <row r="9708" spans="1:18" ht="15.75" customHeight="1">
      <c r="A9708" s="26"/>
      <c r="B9708" s="86"/>
      <c r="D9708" s="26"/>
      <c r="F9708" s="87" t="str">
        <f t="shared" si="0"/>
        <v/>
      </c>
      <c r="H9708" s="26" t="str">
        <f t="shared" si="1"/>
        <v/>
      </c>
      <c r="I9708" s="26" t="str">
        <f t="shared" si="2"/>
        <v/>
      </c>
      <c r="J9708" s="86">
        <f t="shared" si="3"/>
        <v>0</v>
      </c>
      <c r="R9708" s="26"/>
    </row>
    <row r="9709" spans="1:18" ht="15.75" customHeight="1">
      <c r="A9709" s="26"/>
      <c r="B9709" s="86"/>
      <c r="D9709" s="26"/>
      <c r="F9709" s="87" t="str">
        <f t="shared" si="0"/>
        <v/>
      </c>
      <c r="H9709" s="26" t="str">
        <f t="shared" si="1"/>
        <v/>
      </c>
      <c r="I9709" s="26" t="str">
        <f t="shared" si="2"/>
        <v/>
      </c>
      <c r="J9709" s="86">
        <f t="shared" si="3"/>
        <v>0</v>
      </c>
      <c r="R9709" s="26"/>
    </row>
    <row r="9710" spans="1:18" ht="15.75" customHeight="1">
      <c r="A9710" s="26"/>
      <c r="B9710" s="86"/>
      <c r="D9710" s="26"/>
      <c r="F9710" s="87" t="str">
        <f t="shared" si="0"/>
        <v/>
      </c>
      <c r="H9710" s="26" t="str">
        <f t="shared" si="1"/>
        <v/>
      </c>
      <c r="I9710" s="26" t="str">
        <f t="shared" si="2"/>
        <v/>
      </c>
      <c r="J9710" s="86">
        <f t="shared" si="3"/>
        <v>0</v>
      </c>
      <c r="R9710" s="26"/>
    </row>
    <row r="9711" spans="1:18" ht="15.75" customHeight="1">
      <c r="A9711" s="26"/>
      <c r="B9711" s="86"/>
      <c r="D9711" s="26"/>
      <c r="F9711" s="87" t="str">
        <f t="shared" si="0"/>
        <v/>
      </c>
      <c r="H9711" s="26" t="str">
        <f t="shared" si="1"/>
        <v/>
      </c>
      <c r="I9711" s="26" t="str">
        <f t="shared" si="2"/>
        <v/>
      </c>
      <c r="J9711" s="86">
        <f t="shared" si="3"/>
        <v>0</v>
      </c>
      <c r="R9711" s="26"/>
    </row>
    <row r="9712" spans="1:18" ht="15.75" customHeight="1">
      <c r="A9712" s="26"/>
      <c r="B9712" s="86"/>
      <c r="D9712" s="26"/>
      <c r="F9712" s="87" t="str">
        <f t="shared" si="0"/>
        <v/>
      </c>
      <c r="H9712" s="26" t="str">
        <f t="shared" si="1"/>
        <v/>
      </c>
      <c r="I9712" s="26" t="str">
        <f t="shared" si="2"/>
        <v/>
      </c>
      <c r="J9712" s="86">
        <f t="shared" si="3"/>
        <v>0</v>
      </c>
      <c r="R9712" s="26"/>
    </row>
    <row r="9713" spans="1:18" ht="15.75" customHeight="1">
      <c r="A9713" s="26"/>
      <c r="B9713" s="86"/>
      <c r="D9713" s="26"/>
      <c r="F9713" s="87" t="str">
        <f t="shared" si="0"/>
        <v/>
      </c>
      <c r="H9713" s="26" t="str">
        <f t="shared" si="1"/>
        <v/>
      </c>
      <c r="I9713" s="26" t="str">
        <f t="shared" si="2"/>
        <v/>
      </c>
      <c r="J9713" s="86">
        <f t="shared" si="3"/>
        <v>0</v>
      </c>
      <c r="R9713" s="26"/>
    </row>
    <row r="9714" spans="1:18" ht="15.75" customHeight="1">
      <c r="A9714" s="26"/>
      <c r="B9714" s="86"/>
      <c r="D9714" s="26"/>
      <c r="F9714" s="87" t="str">
        <f t="shared" si="0"/>
        <v/>
      </c>
      <c r="H9714" s="26" t="str">
        <f t="shared" si="1"/>
        <v/>
      </c>
      <c r="I9714" s="26" t="str">
        <f t="shared" si="2"/>
        <v/>
      </c>
      <c r="J9714" s="86">
        <f t="shared" si="3"/>
        <v>0</v>
      </c>
      <c r="R9714" s="26"/>
    </row>
    <row r="9715" spans="1:18" ht="15.75" customHeight="1">
      <c r="A9715" s="26"/>
      <c r="B9715" s="86"/>
      <c r="D9715" s="26"/>
      <c r="F9715" s="87" t="str">
        <f t="shared" si="0"/>
        <v/>
      </c>
      <c r="H9715" s="26" t="str">
        <f t="shared" si="1"/>
        <v/>
      </c>
      <c r="I9715" s="26" t="str">
        <f t="shared" si="2"/>
        <v/>
      </c>
      <c r="J9715" s="86">
        <f t="shared" si="3"/>
        <v>0</v>
      </c>
      <c r="R9715" s="26"/>
    </row>
    <row r="9716" spans="1:18" ht="15.75" customHeight="1">
      <c r="A9716" s="26"/>
      <c r="B9716" s="86"/>
      <c r="D9716" s="26"/>
      <c r="F9716" s="87" t="str">
        <f t="shared" si="0"/>
        <v/>
      </c>
      <c r="H9716" s="26" t="str">
        <f t="shared" si="1"/>
        <v/>
      </c>
      <c r="I9716" s="26" t="str">
        <f t="shared" si="2"/>
        <v/>
      </c>
      <c r="J9716" s="86">
        <f t="shared" si="3"/>
        <v>0</v>
      </c>
      <c r="R9716" s="26"/>
    </row>
    <row r="9717" spans="1:18" ht="15.75" customHeight="1">
      <c r="A9717" s="26"/>
      <c r="B9717" s="86"/>
      <c r="D9717" s="26"/>
      <c r="F9717" s="87" t="str">
        <f t="shared" si="0"/>
        <v/>
      </c>
      <c r="H9717" s="26" t="str">
        <f t="shared" si="1"/>
        <v/>
      </c>
      <c r="I9717" s="26" t="str">
        <f t="shared" si="2"/>
        <v/>
      </c>
      <c r="J9717" s="86">
        <f t="shared" si="3"/>
        <v>0</v>
      </c>
      <c r="R9717" s="26"/>
    </row>
    <row r="9718" spans="1:18" ht="15.75" customHeight="1">
      <c r="A9718" s="26"/>
      <c r="B9718" s="86"/>
      <c r="D9718" s="26"/>
      <c r="F9718" s="87" t="str">
        <f t="shared" si="0"/>
        <v/>
      </c>
      <c r="H9718" s="26" t="str">
        <f t="shared" si="1"/>
        <v/>
      </c>
      <c r="I9718" s="26" t="str">
        <f t="shared" si="2"/>
        <v/>
      </c>
      <c r="J9718" s="86">
        <f t="shared" si="3"/>
        <v>0</v>
      </c>
      <c r="R9718" s="26"/>
    </row>
    <row r="9719" spans="1:18" ht="15.75" customHeight="1">
      <c r="A9719" s="26"/>
      <c r="B9719" s="86"/>
      <c r="D9719" s="26"/>
      <c r="F9719" s="87" t="str">
        <f t="shared" si="0"/>
        <v/>
      </c>
      <c r="H9719" s="26" t="str">
        <f t="shared" si="1"/>
        <v/>
      </c>
      <c r="I9719" s="26" t="str">
        <f t="shared" si="2"/>
        <v/>
      </c>
      <c r="J9719" s="86">
        <f t="shared" si="3"/>
        <v>0</v>
      </c>
      <c r="R9719" s="26"/>
    </row>
    <row r="9720" spans="1:18" ht="15.75" customHeight="1">
      <c r="A9720" s="26"/>
      <c r="B9720" s="86"/>
      <c r="D9720" s="26"/>
      <c r="F9720" s="87" t="str">
        <f t="shared" si="0"/>
        <v/>
      </c>
      <c r="H9720" s="26" t="str">
        <f t="shared" si="1"/>
        <v/>
      </c>
      <c r="I9720" s="26" t="str">
        <f t="shared" si="2"/>
        <v/>
      </c>
      <c r="J9720" s="86">
        <f t="shared" si="3"/>
        <v>0</v>
      </c>
      <c r="R9720" s="26"/>
    </row>
    <row r="9721" spans="1:18" ht="15.75" customHeight="1">
      <c r="A9721" s="26"/>
      <c r="B9721" s="86"/>
      <c r="D9721" s="26"/>
      <c r="F9721" s="87" t="str">
        <f t="shared" si="0"/>
        <v/>
      </c>
      <c r="H9721" s="26" t="str">
        <f t="shared" si="1"/>
        <v/>
      </c>
      <c r="I9721" s="26" t="str">
        <f t="shared" si="2"/>
        <v/>
      </c>
      <c r="J9721" s="86">
        <f t="shared" si="3"/>
        <v>0</v>
      </c>
      <c r="R9721" s="26"/>
    </row>
    <row r="9722" spans="1:18" ht="15.75" customHeight="1">
      <c r="A9722" s="26"/>
      <c r="B9722" s="86"/>
      <c r="D9722" s="26"/>
      <c r="F9722" s="87" t="str">
        <f t="shared" si="0"/>
        <v/>
      </c>
      <c r="H9722" s="26" t="str">
        <f t="shared" si="1"/>
        <v/>
      </c>
      <c r="I9722" s="26" t="str">
        <f t="shared" si="2"/>
        <v/>
      </c>
      <c r="J9722" s="86">
        <f t="shared" si="3"/>
        <v>0</v>
      </c>
      <c r="R9722" s="26"/>
    </row>
    <row r="9723" spans="1:18" ht="15.75" customHeight="1">
      <c r="A9723" s="26"/>
      <c r="B9723" s="86"/>
      <c r="D9723" s="26"/>
      <c r="F9723" s="87" t="str">
        <f t="shared" si="0"/>
        <v/>
      </c>
      <c r="H9723" s="26" t="str">
        <f t="shared" si="1"/>
        <v/>
      </c>
      <c r="I9723" s="26" t="str">
        <f t="shared" si="2"/>
        <v/>
      </c>
      <c r="J9723" s="86">
        <f t="shared" si="3"/>
        <v>0</v>
      </c>
      <c r="R9723" s="26"/>
    </row>
    <row r="9724" spans="1:18" ht="15.75" customHeight="1">
      <c r="A9724" s="26"/>
      <c r="B9724" s="86"/>
      <c r="D9724" s="26"/>
      <c r="F9724" s="87" t="str">
        <f t="shared" si="0"/>
        <v/>
      </c>
      <c r="H9724" s="26" t="str">
        <f t="shared" si="1"/>
        <v/>
      </c>
      <c r="I9724" s="26" t="str">
        <f t="shared" si="2"/>
        <v/>
      </c>
      <c r="J9724" s="86">
        <f t="shared" si="3"/>
        <v>0</v>
      </c>
      <c r="R9724" s="26"/>
    </row>
    <row r="9725" spans="1:18" ht="15.75" customHeight="1">
      <c r="A9725" s="26"/>
      <c r="B9725" s="86"/>
      <c r="D9725" s="26"/>
      <c r="F9725" s="87" t="str">
        <f t="shared" si="0"/>
        <v/>
      </c>
      <c r="H9725" s="26" t="str">
        <f t="shared" si="1"/>
        <v/>
      </c>
      <c r="I9725" s="26" t="str">
        <f t="shared" si="2"/>
        <v/>
      </c>
      <c r="J9725" s="86">
        <f t="shared" si="3"/>
        <v>0</v>
      </c>
      <c r="R9725" s="26"/>
    </row>
    <row r="9726" spans="1:18" ht="15.75" customHeight="1">
      <c r="A9726" s="26"/>
      <c r="B9726" s="86"/>
      <c r="D9726" s="26"/>
      <c r="F9726" s="87" t="str">
        <f t="shared" si="0"/>
        <v/>
      </c>
      <c r="H9726" s="26" t="str">
        <f t="shared" si="1"/>
        <v/>
      </c>
      <c r="I9726" s="26" t="str">
        <f t="shared" si="2"/>
        <v/>
      </c>
      <c r="J9726" s="86">
        <f t="shared" si="3"/>
        <v>0</v>
      </c>
      <c r="R9726" s="26"/>
    </row>
    <row r="9727" spans="1:18" ht="15.75" customHeight="1">
      <c r="A9727" s="26"/>
      <c r="B9727" s="86"/>
      <c r="D9727" s="26"/>
      <c r="F9727" s="87" t="str">
        <f t="shared" si="0"/>
        <v/>
      </c>
      <c r="H9727" s="26" t="str">
        <f t="shared" si="1"/>
        <v/>
      </c>
      <c r="I9727" s="26" t="str">
        <f t="shared" si="2"/>
        <v/>
      </c>
      <c r="J9727" s="86">
        <f t="shared" si="3"/>
        <v>0</v>
      </c>
      <c r="R9727" s="26"/>
    </row>
    <row r="9728" spans="1:18" ht="15.75" customHeight="1">
      <c r="A9728" s="26"/>
      <c r="B9728" s="86"/>
      <c r="D9728" s="26"/>
      <c r="F9728" s="87" t="str">
        <f t="shared" si="0"/>
        <v/>
      </c>
      <c r="H9728" s="26" t="str">
        <f t="shared" si="1"/>
        <v/>
      </c>
      <c r="I9728" s="26" t="str">
        <f t="shared" si="2"/>
        <v/>
      </c>
      <c r="J9728" s="86">
        <f t="shared" si="3"/>
        <v>0</v>
      </c>
      <c r="R9728" s="26"/>
    </row>
    <row r="9729" spans="1:18" ht="15.75" customHeight="1">
      <c r="A9729" s="26"/>
      <c r="B9729" s="86"/>
      <c r="D9729" s="26"/>
      <c r="F9729" s="87" t="str">
        <f t="shared" si="0"/>
        <v/>
      </c>
      <c r="H9729" s="26" t="str">
        <f t="shared" si="1"/>
        <v/>
      </c>
      <c r="I9729" s="26" t="str">
        <f t="shared" si="2"/>
        <v/>
      </c>
      <c r="J9729" s="86">
        <f t="shared" si="3"/>
        <v>0</v>
      </c>
      <c r="R9729" s="26"/>
    </row>
    <row r="9730" spans="1:18" ht="15.75" customHeight="1">
      <c r="A9730" s="26"/>
      <c r="B9730" s="86"/>
      <c r="D9730" s="26"/>
      <c r="F9730" s="87" t="str">
        <f t="shared" si="0"/>
        <v/>
      </c>
      <c r="H9730" s="26" t="str">
        <f t="shared" si="1"/>
        <v/>
      </c>
      <c r="I9730" s="26" t="str">
        <f t="shared" si="2"/>
        <v/>
      </c>
      <c r="J9730" s="86">
        <f t="shared" si="3"/>
        <v>0</v>
      </c>
      <c r="R9730" s="26"/>
    </row>
    <row r="9731" spans="1:18" ht="15.75" customHeight="1">
      <c r="A9731" s="26"/>
      <c r="B9731" s="86"/>
      <c r="D9731" s="26"/>
      <c r="F9731" s="87" t="str">
        <f t="shared" si="0"/>
        <v/>
      </c>
      <c r="H9731" s="26" t="str">
        <f t="shared" si="1"/>
        <v/>
      </c>
      <c r="I9731" s="26" t="str">
        <f t="shared" si="2"/>
        <v/>
      </c>
      <c r="J9731" s="86">
        <f t="shared" si="3"/>
        <v>0</v>
      </c>
      <c r="R9731" s="26"/>
    </row>
    <row r="9732" spans="1:18" ht="15.75" customHeight="1">
      <c r="A9732" s="26"/>
      <c r="B9732" s="86"/>
      <c r="D9732" s="26"/>
      <c r="F9732" s="87" t="str">
        <f t="shared" si="0"/>
        <v/>
      </c>
      <c r="H9732" s="26" t="str">
        <f t="shared" si="1"/>
        <v/>
      </c>
      <c r="I9732" s="26" t="str">
        <f t="shared" si="2"/>
        <v/>
      </c>
      <c r="J9732" s="86">
        <f t="shared" si="3"/>
        <v>0</v>
      </c>
      <c r="R9732" s="26"/>
    </row>
    <row r="9733" spans="1:18" ht="15.75" customHeight="1">
      <c r="A9733" s="26"/>
      <c r="B9733" s="86"/>
      <c r="D9733" s="26"/>
      <c r="F9733" s="87" t="str">
        <f t="shared" si="0"/>
        <v/>
      </c>
      <c r="H9733" s="26" t="str">
        <f t="shared" si="1"/>
        <v/>
      </c>
      <c r="I9733" s="26" t="str">
        <f t="shared" si="2"/>
        <v/>
      </c>
      <c r="J9733" s="86">
        <f t="shared" si="3"/>
        <v>0</v>
      </c>
      <c r="R9733" s="26"/>
    </row>
    <row r="9734" spans="1:18" ht="15.75" customHeight="1">
      <c r="A9734" s="26"/>
      <c r="B9734" s="86"/>
      <c r="D9734" s="26"/>
      <c r="F9734" s="87" t="str">
        <f t="shared" si="0"/>
        <v/>
      </c>
      <c r="H9734" s="26" t="str">
        <f t="shared" si="1"/>
        <v/>
      </c>
      <c r="I9734" s="26" t="str">
        <f t="shared" si="2"/>
        <v/>
      </c>
      <c r="J9734" s="86">
        <f t="shared" si="3"/>
        <v>0</v>
      </c>
      <c r="R9734" s="26"/>
    </row>
    <row r="9735" spans="1:18" ht="15.75" customHeight="1">
      <c r="A9735" s="26"/>
      <c r="B9735" s="86"/>
      <c r="D9735" s="26"/>
      <c r="F9735" s="87" t="str">
        <f t="shared" si="0"/>
        <v/>
      </c>
      <c r="H9735" s="26" t="str">
        <f t="shared" si="1"/>
        <v/>
      </c>
      <c r="I9735" s="26" t="str">
        <f t="shared" si="2"/>
        <v/>
      </c>
      <c r="J9735" s="86">
        <f t="shared" si="3"/>
        <v>0</v>
      </c>
      <c r="R9735" s="26"/>
    </row>
    <row r="9736" spans="1:18" ht="15.75" customHeight="1">
      <c r="A9736" s="26"/>
      <c r="B9736" s="86"/>
      <c r="D9736" s="26"/>
      <c r="F9736" s="87" t="str">
        <f t="shared" si="0"/>
        <v/>
      </c>
      <c r="H9736" s="26" t="str">
        <f t="shared" si="1"/>
        <v/>
      </c>
      <c r="I9736" s="26" t="str">
        <f t="shared" si="2"/>
        <v/>
      </c>
      <c r="J9736" s="86">
        <f t="shared" si="3"/>
        <v>0</v>
      </c>
      <c r="R9736" s="26"/>
    </row>
    <row r="9737" spans="1:18" ht="15.75" customHeight="1">
      <c r="A9737" s="26"/>
      <c r="B9737" s="86"/>
      <c r="D9737" s="26"/>
      <c r="F9737" s="87" t="str">
        <f t="shared" si="0"/>
        <v/>
      </c>
      <c r="H9737" s="26" t="str">
        <f t="shared" si="1"/>
        <v/>
      </c>
      <c r="I9737" s="26" t="str">
        <f t="shared" si="2"/>
        <v/>
      </c>
      <c r="J9737" s="86">
        <f t="shared" si="3"/>
        <v>0</v>
      </c>
      <c r="R9737" s="26"/>
    </row>
    <row r="9738" spans="1:18" ht="15.75" customHeight="1">
      <c r="A9738" s="26"/>
      <c r="B9738" s="86"/>
      <c r="D9738" s="26"/>
      <c r="F9738" s="87" t="str">
        <f t="shared" si="0"/>
        <v/>
      </c>
      <c r="H9738" s="26" t="str">
        <f t="shared" si="1"/>
        <v/>
      </c>
      <c r="I9738" s="26" t="str">
        <f t="shared" si="2"/>
        <v/>
      </c>
      <c r="J9738" s="86">
        <f t="shared" si="3"/>
        <v>0</v>
      </c>
      <c r="R9738" s="26"/>
    </row>
    <row r="9739" spans="1:18" ht="15.75" customHeight="1">
      <c r="A9739" s="26"/>
      <c r="B9739" s="86"/>
      <c r="D9739" s="26"/>
      <c r="F9739" s="87" t="str">
        <f t="shared" si="0"/>
        <v/>
      </c>
      <c r="H9739" s="26" t="str">
        <f t="shared" si="1"/>
        <v/>
      </c>
      <c r="I9739" s="26" t="str">
        <f t="shared" si="2"/>
        <v/>
      </c>
      <c r="J9739" s="86">
        <f t="shared" si="3"/>
        <v>0</v>
      </c>
      <c r="R9739" s="26"/>
    </row>
    <row r="9740" spans="1:18" ht="15.75" customHeight="1">
      <c r="A9740" s="26"/>
      <c r="B9740" s="86"/>
      <c r="D9740" s="26"/>
      <c r="F9740" s="87" t="str">
        <f t="shared" si="0"/>
        <v/>
      </c>
      <c r="H9740" s="26" t="str">
        <f t="shared" si="1"/>
        <v/>
      </c>
      <c r="I9740" s="26" t="str">
        <f t="shared" si="2"/>
        <v/>
      </c>
      <c r="J9740" s="86">
        <f t="shared" si="3"/>
        <v>0</v>
      </c>
      <c r="R9740" s="26"/>
    </row>
    <row r="9741" spans="1:18" ht="15.75" customHeight="1">
      <c r="A9741" s="26"/>
      <c r="B9741" s="86"/>
      <c r="D9741" s="26"/>
      <c r="F9741" s="87" t="str">
        <f t="shared" si="0"/>
        <v/>
      </c>
      <c r="H9741" s="26" t="str">
        <f t="shared" si="1"/>
        <v/>
      </c>
      <c r="I9741" s="26" t="str">
        <f t="shared" si="2"/>
        <v/>
      </c>
      <c r="J9741" s="86">
        <f t="shared" si="3"/>
        <v>0</v>
      </c>
      <c r="R9741" s="26"/>
    </row>
    <row r="9742" spans="1:18" ht="15.75" customHeight="1">
      <c r="A9742" s="26"/>
      <c r="B9742" s="86"/>
      <c r="D9742" s="26"/>
      <c r="F9742" s="87" t="str">
        <f t="shared" si="0"/>
        <v/>
      </c>
      <c r="H9742" s="26" t="str">
        <f t="shared" si="1"/>
        <v/>
      </c>
      <c r="I9742" s="26" t="str">
        <f t="shared" si="2"/>
        <v/>
      </c>
      <c r="J9742" s="86">
        <f t="shared" si="3"/>
        <v>0</v>
      </c>
      <c r="R9742" s="26"/>
    </row>
    <row r="9743" spans="1:18" ht="15.75" customHeight="1">
      <c r="A9743" s="26"/>
      <c r="B9743" s="86"/>
      <c r="D9743" s="26"/>
      <c r="F9743" s="87" t="str">
        <f t="shared" si="0"/>
        <v/>
      </c>
      <c r="H9743" s="26" t="str">
        <f t="shared" si="1"/>
        <v/>
      </c>
      <c r="I9743" s="26" t="str">
        <f t="shared" si="2"/>
        <v/>
      </c>
      <c r="J9743" s="86">
        <f t="shared" si="3"/>
        <v>0</v>
      </c>
      <c r="R9743" s="26"/>
    </row>
    <row r="9744" spans="1:18" ht="15.75" customHeight="1">
      <c r="A9744" s="26"/>
      <c r="B9744" s="86"/>
      <c r="D9744" s="26"/>
      <c r="F9744" s="87" t="str">
        <f t="shared" si="0"/>
        <v/>
      </c>
      <c r="H9744" s="26" t="str">
        <f t="shared" si="1"/>
        <v/>
      </c>
      <c r="I9744" s="26" t="str">
        <f t="shared" si="2"/>
        <v/>
      </c>
      <c r="J9744" s="86">
        <f t="shared" si="3"/>
        <v>0</v>
      </c>
      <c r="R9744" s="26"/>
    </row>
    <row r="9745" spans="1:18" ht="15.75" customHeight="1">
      <c r="A9745" s="26"/>
      <c r="B9745" s="86"/>
      <c r="D9745" s="26"/>
      <c r="F9745" s="87" t="str">
        <f t="shared" si="0"/>
        <v/>
      </c>
      <c r="H9745" s="26" t="str">
        <f t="shared" si="1"/>
        <v/>
      </c>
      <c r="I9745" s="26" t="str">
        <f t="shared" si="2"/>
        <v/>
      </c>
      <c r="J9745" s="86">
        <f t="shared" si="3"/>
        <v>0</v>
      </c>
      <c r="R9745" s="26"/>
    </row>
    <row r="9746" spans="1:18" ht="15.75" customHeight="1">
      <c r="A9746" s="26"/>
      <c r="B9746" s="86"/>
      <c r="D9746" s="26"/>
      <c r="F9746" s="87" t="str">
        <f t="shared" si="0"/>
        <v/>
      </c>
      <c r="H9746" s="26" t="str">
        <f t="shared" si="1"/>
        <v/>
      </c>
      <c r="I9746" s="26" t="str">
        <f t="shared" si="2"/>
        <v/>
      </c>
      <c r="J9746" s="86">
        <f t="shared" si="3"/>
        <v>0</v>
      </c>
      <c r="R9746" s="26"/>
    </row>
    <row r="9747" spans="1:18" ht="15.75" customHeight="1">
      <c r="A9747" s="26"/>
      <c r="B9747" s="86"/>
      <c r="D9747" s="26"/>
      <c r="F9747" s="87" t="str">
        <f t="shared" si="0"/>
        <v/>
      </c>
      <c r="H9747" s="26" t="str">
        <f t="shared" si="1"/>
        <v/>
      </c>
      <c r="I9747" s="26" t="str">
        <f t="shared" si="2"/>
        <v/>
      </c>
      <c r="J9747" s="86">
        <f t="shared" si="3"/>
        <v>0</v>
      </c>
      <c r="R9747" s="26"/>
    </row>
    <row r="9748" spans="1:18" ht="15.75" customHeight="1">
      <c r="A9748" s="26"/>
      <c r="B9748" s="86"/>
      <c r="D9748" s="26"/>
      <c r="F9748" s="87" t="str">
        <f t="shared" si="0"/>
        <v/>
      </c>
      <c r="H9748" s="26" t="str">
        <f t="shared" si="1"/>
        <v/>
      </c>
      <c r="I9748" s="26" t="str">
        <f t="shared" si="2"/>
        <v/>
      </c>
      <c r="J9748" s="86">
        <f t="shared" si="3"/>
        <v>0</v>
      </c>
      <c r="R9748" s="26"/>
    </row>
    <row r="9749" spans="1:18" ht="15.75" customHeight="1">
      <c r="A9749" s="26"/>
      <c r="B9749" s="86"/>
      <c r="D9749" s="26"/>
      <c r="F9749" s="87" t="str">
        <f t="shared" si="0"/>
        <v/>
      </c>
      <c r="H9749" s="26" t="str">
        <f t="shared" si="1"/>
        <v/>
      </c>
      <c r="I9749" s="26" t="str">
        <f t="shared" si="2"/>
        <v/>
      </c>
      <c r="J9749" s="86">
        <f t="shared" si="3"/>
        <v>0</v>
      </c>
      <c r="R9749" s="26"/>
    </row>
    <row r="9750" spans="1:18" ht="15.75" customHeight="1">
      <c r="A9750" s="26"/>
      <c r="B9750" s="86"/>
      <c r="D9750" s="26"/>
      <c r="F9750" s="87" t="str">
        <f t="shared" si="0"/>
        <v/>
      </c>
      <c r="H9750" s="26" t="str">
        <f t="shared" si="1"/>
        <v/>
      </c>
      <c r="I9750" s="26" t="str">
        <f t="shared" si="2"/>
        <v/>
      </c>
      <c r="J9750" s="86">
        <f t="shared" si="3"/>
        <v>0</v>
      </c>
      <c r="R9750" s="26"/>
    </row>
    <row r="9751" spans="1:18" ht="15.75" customHeight="1">
      <c r="A9751" s="26"/>
      <c r="B9751" s="86"/>
      <c r="D9751" s="26"/>
      <c r="F9751" s="87" t="str">
        <f t="shared" si="0"/>
        <v/>
      </c>
      <c r="H9751" s="26" t="str">
        <f t="shared" si="1"/>
        <v/>
      </c>
      <c r="I9751" s="26" t="str">
        <f t="shared" si="2"/>
        <v/>
      </c>
      <c r="J9751" s="86">
        <f t="shared" si="3"/>
        <v>0</v>
      </c>
      <c r="R9751" s="26"/>
    </row>
    <row r="9752" spans="1:18" ht="15.75" customHeight="1">
      <c r="A9752" s="26"/>
      <c r="B9752" s="86"/>
      <c r="D9752" s="26"/>
      <c r="F9752" s="87" t="str">
        <f t="shared" si="0"/>
        <v/>
      </c>
      <c r="H9752" s="26" t="str">
        <f t="shared" si="1"/>
        <v/>
      </c>
      <c r="I9752" s="26" t="str">
        <f t="shared" si="2"/>
        <v/>
      </c>
      <c r="J9752" s="86">
        <f t="shared" si="3"/>
        <v>0</v>
      </c>
      <c r="R9752" s="26"/>
    </row>
    <row r="9753" spans="1:18" ht="15.75" customHeight="1">
      <c r="A9753" s="26"/>
      <c r="B9753" s="86"/>
      <c r="D9753" s="26"/>
      <c r="F9753" s="87" t="str">
        <f t="shared" si="0"/>
        <v/>
      </c>
      <c r="H9753" s="26" t="str">
        <f t="shared" si="1"/>
        <v/>
      </c>
      <c r="I9753" s="26" t="str">
        <f t="shared" si="2"/>
        <v/>
      </c>
      <c r="J9753" s="86">
        <f t="shared" si="3"/>
        <v>0</v>
      </c>
      <c r="R9753" s="26"/>
    </row>
    <row r="9754" spans="1:18" ht="15.75" customHeight="1">
      <c r="A9754" s="26"/>
      <c r="B9754" s="86"/>
      <c r="D9754" s="26"/>
      <c r="F9754" s="87" t="str">
        <f t="shared" si="0"/>
        <v/>
      </c>
      <c r="H9754" s="26" t="str">
        <f t="shared" si="1"/>
        <v/>
      </c>
      <c r="I9754" s="26" t="str">
        <f t="shared" si="2"/>
        <v/>
      </c>
      <c r="J9754" s="86">
        <f t="shared" si="3"/>
        <v>0</v>
      </c>
      <c r="R9754" s="26"/>
    </row>
    <row r="9755" spans="1:18" ht="15.75" customHeight="1">
      <c r="A9755" s="26"/>
      <c r="B9755" s="86"/>
      <c r="D9755" s="26"/>
      <c r="F9755" s="87" t="str">
        <f t="shared" si="0"/>
        <v/>
      </c>
      <c r="H9755" s="26" t="str">
        <f t="shared" si="1"/>
        <v/>
      </c>
      <c r="I9755" s="26" t="str">
        <f t="shared" si="2"/>
        <v/>
      </c>
      <c r="J9755" s="86">
        <f t="shared" si="3"/>
        <v>0</v>
      </c>
      <c r="R9755" s="26"/>
    </row>
    <row r="9756" spans="1:18" ht="15.75" customHeight="1">
      <c r="A9756" s="26"/>
      <c r="B9756" s="86"/>
      <c r="D9756" s="26"/>
      <c r="F9756" s="87" t="str">
        <f t="shared" si="0"/>
        <v/>
      </c>
      <c r="H9756" s="26" t="str">
        <f t="shared" si="1"/>
        <v/>
      </c>
      <c r="I9756" s="26" t="str">
        <f t="shared" si="2"/>
        <v/>
      </c>
      <c r="J9756" s="86">
        <f t="shared" si="3"/>
        <v>0</v>
      </c>
      <c r="R9756" s="26"/>
    </row>
    <row r="9757" spans="1:18" ht="15.75" customHeight="1">
      <c r="A9757" s="26"/>
      <c r="B9757" s="86"/>
      <c r="D9757" s="26"/>
      <c r="F9757" s="87" t="str">
        <f t="shared" si="0"/>
        <v/>
      </c>
      <c r="H9757" s="26" t="str">
        <f t="shared" si="1"/>
        <v/>
      </c>
      <c r="I9757" s="26" t="str">
        <f t="shared" si="2"/>
        <v/>
      </c>
      <c r="J9757" s="86">
        <f t="shared" si="3"/>
        <v>0</v>
      </c>
      <c r="R9757" s="26"/>
    </row>
    <row r="9758" spans="1:18" ht="15.75" customHeight="1">
      <c r="A9758" s="26"/>
      <c r="B9758" s="86"/>
      <c r="D9758" s="26"/>
      <c r="F9758" s="87" t="str">
        <f t="shared" si="0"/>
        <v/>
      </c>
      <c r="H9758" s="26" t="str">
        <f t="shared" si="1"/>
        <v/>
      </c>
      <c r="I9758" s="26" t="str">
        <f t="shared" si="2"/>
        <v/>
      </c>
      <c r="J9758" s="86">
        <f t="shared" si="3"/>
        <v>0</v>
      </c>
      <c r="R9758" s="26"/>
    </row>
    <row r="9759" spans="1:18" ht="15.75" customHeight="1">
      <c r="A9759" s="26"/>
      <c r="B9759" s="86"/>
      <c r="D9759" s="26"/>
      <c r="F9759" s="87" t="str">
        <f t="shared" si="0"/>
        <v/>
      </c>
      <c r="H9759" s="26" t="str">
        <f t="shared" si="1"/>
        <v/>
      </c>
      <c r="I9759" s="26" t="str">
        <f t="shared" si="2"/>
        <v/>
      </c>
      <c r="J9759" s="86">
        <f t="shared" si="3"/>
        <v>0</v>
      </c>
      <c r="R9759" s="26"/>
    </row>
    <row r="9760" spans="1:18" ht="15.75" customHeight="1">
      <c r="A9760" s="26"/>
      <c r="B9760" s="86"/>
      <c r="D9760" s="26"/>
      <c r="F9760" s="87" t="str">
        <f t="shared" si="0"/>
        <v/>
      </c>
      <c r="H9760" s="26" t="str">
        <f t="shared" si="1"/>
        <v/>
      </c>
      <c r="I9760" s="26" t="str">
        <f t="shared" si="2"/>
        <v/>
      </c>
      <c r="J9760" s="86">
        <f t="shared" si="3"/>
        <v>0</v>
      </c>
      <c r="R9760" s="26"/>
    </row>
    <row r="9761" spans="1:18" ht="15.75" customHeight="1">
      <c r="A9761" s="26"/>
      <c r="B9761" s="86"/>
      <c r="D9761" s="26"/>
      <c r="F9761" s="87" t="str">
        <f t="shared" si="0"/>
        <v/>
      </c>
      <c r="H9761" s="26" t="str">
        <f t="shared" si="1"/>
        <v/>
      </c>
      <c r="I9761" s="26" t="str">
        <f t="shared" si="2"/>
        <v/>
      </c>
      <c r="J9761" s="86">
        <f t="shared" si="3"/>
        <v>0</v>
      </c>
      <c r="R9761" s="26"/>
    </row>
    <row r="9762" spans="1:18" ht="15.75" customHeight="1">
      <c r="A9762" s="26"/>
      <c r="B9762" s="86"/>
      <c r="D9762" s="26"/>
      <c r="F9762" s="87" t="str">
        <f t="shared" si="0"/>
        <v/>
      </c>
      <c r="H9762" s="26" t="str">
        <f t="shared" si="1"/>
        <v/>
      </c>
      <c r="I9762" s="26" t="str">
        <f t="shared" si="2"/>
        <v/>
      </c>
      <c r="J9762" s="86">
        <f t="shared" si="3"/>
        <v>0</v>
      </c>
      <c r="R9762" s="26"/>
    </row>
    <row r="9763" spans="1:18" ht="15.75" customHeight="1">
      <c r="A9763" s="26"/>
      <c r="B9763" s="86"/>
      <c r="D9763" s="26"/>
      <c r="F9763" s="87" t="str">
        <f t="shared" si="0"/>
        <v/>
      </c>
      <c r="H9763" s="26" t="str">
        <f t="shared" si="1"/>
        <v/>
      </c>
      <c r="I9763" s="26" t="str">
        <f t="shared" si="2"/>
        <v/>
      </c>
      <c r="J9763" s="86">
        <f t="shared" si="3"/>
        <v>0</v>
      </c>
      <c r="R9763" s="26"/>
    </row>
    <row r="9764" spans="1:18" ht="15.75" customHeight="1">
      <c r="A9764" s="26"/>
      <c r="B9764" s="86"/>
      <c r="D9764" s="26"/>
      <c r="F9764" s="87" t="str">
        <f t="shared" si="0"/>
        <v/>
      </c>
      <c r="H9764" s="26" t="str">
        <f t="shared" si="1"/>
        <v/>
      </c>
      <c r="I9764" s="26" t="str">
        <f t="shared" si="2"/>
        <v/>
      </c>
      <c r="J9764" s="86">
        <f t="shared" si="3"/>
        <v>0</v>
      </c>
      <c r="R9764" s="26"/>
    </row>
    <row r="9765" spans="1:18" ht="15.75" customHeight="1">
      <c r="A9765" s="26"/>
      <c r="B9765" s="86"/>
      <c r="D9765" s="26"/>
      <c r="F9765" s="87" t="str">
        <f t="shared" si="0"/>
        <v/>
      </c>
      <c r="H9765" s="26" t="str">
        <f t="shared" si="1"/>
        <v/>
      </c>
      <c r="I9765" s="26" t="str">
        <f t="shared" si="2"/>
        <v/>
      </c>
      <c r="J9765" s="86">
        <f t="shared" si="3"/>
        <v>0</v>
      </c>
      <c r="R9765" s="26"/>
    </row>
    <row r="9766" spans="1:18" ht="15.75" customHeight="1">
      <c r="A9766" s="26"/>
      <c r="B9766" s="86"/>
      <c r="D9766" s="26"/>
      <c r="F9766" s="87" t="str">
        <f t="shared" si="0"/>
        <v/>
      </c>
      <c r="H9766" s="26" t="str">
        <f t="shared" si="1"/>
        <v/>
      </c>
      <c r="I9766" s="26" t="str">
        <f t="shared" si="2"/>
        <v/>
      </c>
      <c r="J9766" s="86">
        <f t="shared" si="3"/>
        <v>0</v>
      </c>
      <c r="R9766" s="26"/>
    </row>
    <row r="9767" spans="1:18" ht="15.75" customHeight="1">
      <c r="A9767" s="26"/>
      <c r="B9767" s="86"/>
      <c r="D9767" s="26"/>
      <c r="F9767" s="87" t="str">
        <f t="shared" si="0"/>
        <v/>
      </c>
      <c r="H9767" s="26" t="str">
        <f t="shared" si="1"/>
        <v/>
      </c>
      <c r="I9767" s="26" t="str">
        <f t="shared" si="2"/>
        <v/>
      </c>
      <c r="J9767" s="86">
        <f t="shared" si="3"/>
        <v>0</v>
      </c>
      <c r="R9767" s="26"/>
    </row>
    <row r="9768" spans="1:18" ht="15.75" customHeight="1">
      <c r="A9768" s="26"/>
      <c r="B9768" s="86"/>
      <c r="D9768" s="26"/>
      <c r="F9768" s="87" t="str">
        <f t="shared" si="0"/>
        <v/>
      </c>
      <c r="H9768" s="26" t="str">
        <f t="shared" si="1"/>
        <v/>
      </c>
      <c r="I9768" s="26" t="str">
        <f t="shared" si="2"/>
        <v/>
      </c>
      <c r="J9768" s="86">
        <f t="shared" si="3"/>
        <v>0</v>
      </c>
      <c r="R9768" s="26"/>
    </row>
    <row r="9769" spans="1:18" ht="15.75" customHeight="1">
      <c r="A9769" s="26"/>
      <c r="B9769" s="86"/>
      <c r="D9769" s="26"/>
      <c r="F9769" s="87" t="str">
        <f t="shared" si="0"/>
        <v/>
      </c>
      <c r="H9769" s="26" t="str">
        <f t="shared" si="1"/>
        <v/>
      </c>
      <c r="I9769" s="26" t="str">
        <f t="shared" si="2"/>
        <v/>
      </c>
      <c r="J9769" s="86">
        <f t="shared" si="3"/>
        <v>0</v>
      </c>
      <c r="R9769" s="26"/>
    </row>
    <row r="9770" spans="1:18" ht="15.75" customHeight="1">
      <c r="A9770" s="26"/>
      <c r="B9770" s="86"/>
      <c r="D9770" s="26"/>
      <c r="F9770" s="87" t="str">
        <f t="shared" si="0"/>
        <v/>
      </c>
      <c r="H9770" s="26" t="str">
        <f t="shared" si="1"/>
        <v/>
      </c>
      <c r="I9770" s="26" t="str">
        <f t="shared" si="2"/>
        <v/>
      </c>
      <c r="J9770" s="86">
        <f t="shared" si="3"/>
        <v>0</v>
      </c>
      <c r="R9770" s="26"/>
    </row>
    <row r="9771" spans="1:18" ht="15.75" customHeight="1">
      <c r="A9771" s="26"/>
      <c r="B9771" s="86"/>
      <c r="D9771" s="26"/>
      <c r="F9771" s="87" t="str">
        <f t="shared" si="0"/>
        <v/>
      </c>
      <c r="H9771" s="26" t="str">
        <f t="shared" si="1"/>
        <v/>
      </c>
      <c r="I9771" s="26" t="str">
        <f t="shared" si="2"/>
        <v/>
      </c>
      <c r="J9771" s="86">
        <f t="shared" si="3"/>
        <v>0</v>
      </c>
      <c r="R9771" s="26"/>
    </row>
    <row r="9772" spans="1:18" ht="15.75" customHeight="1">
      <c r="A9772" s="26"/>
      <c r="B9772" s="86"/>
      <c r="D9772" s="26"/>
      <c r="F9772" s="87" t="str">
        <f t="shared" si="0"/>
        <v/>
      </c>
      <c r="H9772" s="26" t="str">
        <f t="shared" si="1"/>
        <v/>
      </c>
      <c r="I9772" s="26" t="str">
        <f t="shared" si="2"/>
        <v/>
      </c>
      <c r="J9772" s="86">
        <f t="shared" si="3"/>
        <v>0</v>
      </c>
      <c r="R9772" s="26"/>
    </row>
    <row r="9773" spans="1:18" ht="15.75" customHeight="1">
      <c r="A9773" s="26"/>
      <c r="B9773" s="86"/>
      <c r="D9773" s="26"/>
      <c r="F9773" s="87" t="str">
        <f t="shared" si="0"/>
        <v/>
      </c>
      <c r="H9773" s="26" t="str">
        <f t="shared" si="1"/>
        <v/>
      </c>
      <c r="I9773" s="26" t="str">
        <f t="shared" si="2"/>
        <v/>
      </c>
      <c r="J9773" s="86">
        <f t="shared" si="3"/>
        <v>0</v>
      </c>
      <c r="R9773" s="26"/>
    </row>
    <row r="9774" spans="1:18" ht="15.75" customHeight="1">
      <c r="A9774" s="26"/>
      <c r="B9774" s="86"/>
      <c r="D9774" s="26"/>
      <c r="F9774" s="87" t="str">
        <f t="shared" si="0"/>
        <v/>
      </c>
      <c r="H9774" s="26" t="str">
        <f t="shared" si="1"/>
        <v/>
      </c>
      <c r="I9774" s="26" t="str">
        <f t="shared" si="2"/>
        <v/>
      </c>
      <c r="J9774" s="86">
        <f t="shared" si="3"/>
        <v>0</v>
      </c>
      <c r="R9774" s="26"/>
    </row>
    <row r="9775" spans="1:18" ht="15.75" customHeight="1">
      <c r="A9775" s="26"/>
      <c r="B9775" s="86"/>
      <c r="D9775" s="26"/>
      <c r="F9775" s="87" t="str">
        <f t="shared" si="0"/>
        <v/>
      </c>
      <c r="H9775" s="26" t="str">
        <f t="shared" si="1"/>
        <v/>
      </c>
      <c r="I9775" s="26" t="str">
        <f t="shared" si="2"/>
        <v/>
      </c>
      <c r="J9775" s="86">
        <f t="shared" si="3"/>
        <v>0</v>
      </c>
      <c r="R9775" s="26"/>
    </row>
    <row r="9776" spans="1:18" ht="15.75" customHeight="1">
      <c r="A9776" s="26"/>
      <c r="B9776" s="86"/>
      <c r="D9776" s="26"/>
      <c r="F9776" s="87" t="str">
        <f t="shared" si="0"/>
        <v/>
      </c>
      <c r="H9776" s="26" t="str">
        <f t="shared" si="1"/>
        <v/>
      </c>
      <c r="I9776" s="26" t="str">
        <f t="shared" si="2"/>
        <v/>
      </c>
      <c r="J9776" s="86">
        <f t="shared" si="3"/>
        <v>0</v>
      </c>
      <c r="R9776" s="26"/>
    </row>
    <row r="9777" spans="1:18" ht="15.75" customHeight="1">
      <c r="A9777" s="26"/>
      <c r="B9777" s="86"/>
      <c r="D9777" s="26"/>
      <c r="F9777" s="87" t="str">
        <f t="shared" si="0"/>
        <v/>
      </c>
      <c r="H9777" s="26" t="str">
        <f t="shared" si="1"/>
        <v/>
      </c>
      <c r="I9777" s="26" t="str">
        <f t="shared" si="2"/>
        <v/>
      </c>
      <c r="J9777" s="86">
        <f t="shared" si="3"/>
        <v>0</v>
      </c>
      <c r="R9777" s="26"/>
    </row>
    <row r="9778" spans="1:18" ht="15.75" customHeight="1">
      <c r="A9778" s="26"/>
      <c r="B9778" s="86"/>
      <c r="D9778" s="26"/>
      <c r="F9778" s="87" t="str">
        <f t="shared" si="0"/>
        <v/>
      </c>
      <c r="H9778" s="26" t="str">
        <f t="shared" si="1"/>
        <v/>
      </c>
      <c r="I9778" s="26" t="str">
        <f t="shared" si="2"/>
        <v/>
      </c>
      <c r="J9778" s="86">
        <f t="shared" si="3"/>
        <v>0</v>
      </c>
      <c r="R9778" s="26"/>
    </row>
    <row r="9779" spans="1:18" ht="15.75" customHeight="1">
      <c r="A9779" s="26"/>
      <c r="B9779" s="86"/>
      <c r="D9779" s="26"/>
      <c r="F9779" s="87" t="str">
        <f t="shared" si="0"/>
        <v/>
      </c>
      <c r="H9779" s="26" t="str">
        <f t="shared" si="1"/>
        <v/>
      </c>
      <c r="I9779" s="26" t="str">
        <f t="shared" si="2"/>
        <v/>
      </c>
      <c r="J9779" s="86">
        <f t="shared" si="3"/>
        <v>0</v>
      </c>
      <c r="R9779" s="26"/>
    </row>
    <row r="9780" spans="1:18" ht="15.75" customHeight="1">
      <c r="A9780" s="26"/>
      <c r="B9780" s="86"/>
      <c r="D9780" s="26"/>
      <c r="F9780" s="87" t="str">
        <f t="shared" si="0"/>
        <v/>
      </c>
      <c r="H9780" s="26" t="str">
        <f t="shared" si="1"/>
        <v/>
      </c>
      <c r="I9780" s="26" t="str">
        <f t="shared" si="2"/>
        <v/>
      </c>
      <c r="J9780" s="86">
        <f t="shared" si="3"/>
        <v>0</v>
      </c>
      <c r="R9780" s="26"/>
    </row>
    <row r="9781" spans="1:18" ht="15.75" customHeight="1">
      <c r="A9781" s="26"/>
      <c r="B9781" s="86"/>
      <c r="D9781" s="26"/>
      <c r="F9781" s="87" t="str">
        <f t="shared" si="0"/>
        <v/>
      </c>
      <c r="H9781" s="26" t="str">
        <f t="shared" si="1"/>
        <v/>
      </c>
      <c r="I9781" s="26" t="str">
        <f t="shared" si="2"/>
        <v/>
      </c>
      <c r="J9781" s="86">
        <f t="shared" si="3"/>
        <v>0</v>
      </c>
      <c r="R9781" s="26"/>
    </row>
    <row r="9782" spans="1:18" ht="15.75" customHeight="1">
      <c r="A9782" s="26"/>
      <c r="B9782" s="86"/>
      <c r="D9782" s="26"/>
      <c r="F9782" s="87" t="str">
        <f t="shared" si="0"/>
        <v/>
      </c>
      <c r="H9782" s="26" t="str">
        <f t="shared" si="1"/>
        <v/>
      </c>
      <c r="I9782" s="26" t="str">
        <f t="shared" si="2"/>
        <v/>
      </c>
      <c r="J9782" s="86">
        <f t="shared" si="3"/>
        <v>0</v>
      </c>
      <c r="R9782" s="26"/>
    </row>
    <row r="9783" spans="1:18" ht="15.75" customHeight="1">
      <c r="A9783" s="26"/>
      <c r="B9783" s="86"/>
      <c r="D9783" s="26"/>
      <c r="F9783" s="87" t="str">
        <f t="shared" si="0"/>
        <v/>
      </c>
      <c r="H9783" s="26" t="str">
        <f t="shared" si="1"/>
        <v/>
      </c>
      <c r="I9783" s="26" t="str">
        <f t="shared" si="2"/>
        <v/>
      </c>
      <c r="J9783" s="86">
        <f t="shared" si="3"/>
        <v>0</v>
      </c>
      <c r="R9783" s="26"/>
    </row>
    <row r="9784" spans="1:18" ht="15.75" customHeight="1">
      <c r="A9784" s="26"/>
      <c r="B9784" s="86"/>
      <c r="D9784" s="26"/>
      <c r="F9784" s="87" t="str">
        <f t="shared" si="0"/>
        <v/>
      </c>
      <c r="H9784" s="26" t="str">
        <f t="shared" si="1"/>
        <v/>
      </c>
      <c r="I9784" s="26" t="str">
        <f t="shared" si="2"/>
        <v/>
      </c>
      <c r="J9784" s="86">
        <f t="shared" si="3"/>
        <v>0</v>
      </c>
      <c r="R9784" s="26"/>
    </row>
    <row r="9785" spans="1:18" ht="15.75" customHeight="1">
      <c r="A9785" s="26"/>
      <c r="B9785" s="86"/>
      <c r="D9785" s="26"/>
      <c r="F9785" s="87" t="str">
        <f t="shared" si="0"/>
        <v/>
      </c>
      <c r="H9785" s="26" t="str">
        <f t="shared" si="1"/>
        <v/>
      </c>
      <c r="I9785" s="26" t="str">
        <f t="shared" si="2"/>
        <v/>
      </c>
      <c r="J9785" s="86">
        <f t="shared" si="3"/>
        <v>0</v>
      </c>
      <c r="R9785" s="26"/>
    </row>
    <row r="9786" spans="1:18" ht="15.75" customHeight="1">
      <c r="A9786" s="26"/>
      <c r="B9786" s="86"/>
      <c r="D9786" s="26"/>
      <c r="F9786" s="87" t="str">
        <f t="shared" si="0"/>
        <v/>
      </c>
      <c r="H9786" s="26" t="str">
        <f t="shared" si="1"/>
        <v/>
      </c>
      <c r="I9786" s="26" t="str">
        <f t="shared" si="2"/>
        <v/>
      </c>
      <c r="J9786" s="86">
        <f t="shared" si="3"/>
        <v>0</v>
      </c>
      <c r="R9786" s="26"/>
    </row>
    <row r="9787" spans="1:18" ht="15.75" customHeight="1">
      <c r="A9787" s="26"/>
      <c r="B9787" s="86"/>
      <c r="D9787" s="26"/>
      <c r="F9787" s="87" t="str">
        <f t="shared" si="0"/>
        <v/>
      </c>
      <c r="H9787" s="26" t="str">
        <f t="shared" si="1"/>
        <v/>
      </c>
      <c r="I9787" s="26" t="str">
        <f t="shared" si="2"/>
        <v/>
      </c>
      <c r="J9787" s="86">
        <f t="shared" si="3"/>
        <v>0</v>
      </c>
      <c r="R9787" s="26"/>
    </row>
    <row r="9788" spans="1:18" ht="15.75" customHeight="1">
      <c r="A9788" s="26"/>
      <c r="B9788" s="86"/>
      <c r="D9788" s="26"/>
      <c r="F9788" s="87" t="str">
        <f t="shared" si="0"/>
        <v/>
      </c>
      <c r="H9788" s="26" t="str">
        <f t="shared" si="1"/>
        <v/>
      </c>
      <c r="I9788" s="26" t="str">
        <f t="shared" si="2"/>
        <v/>
      </c>
      <c r="J9788" s="86">
        <f t="shared" si="3"/>
        <v>0</v>
      </c>
      <c r="R9788" s="26"/>
    </row>
    <row r="9789" spans="1:18" ht="15.75" customHeight="1">
      <c r="A9789" s="26"/>
      <c r="B9789" s="86"/>
      <c r="D9789" s="26"/>
      <c r="F9789" s="87" t="str">
        <f t="shared" si="0"/>
        <v/>
      </c>
      <c r="H9789" s="26" t="str">
        <f t="shared" si="1"/>
        <v/>
      </c>
      <c r="I9789" s="26" t="str">
        <f t="shared" si="2"/>
        <v/>
      </c>
      <c r="J9789" s="86">
        <f t="shared" si="3"/>
        <v>0</v>
      </c>
      <c r="R9789" s="26"/>
    </row>
    <row r="9790" spans="1:18" ht="15.75" customHeight="1">
      <c r="A9790" s="26"/>
      <c r="B9790" s="86"/>
      <c r="D9790" s="26"/>
      <c r="F9790" s="87" t="str">
        <f t="shared" si="0"/>
        <v/>
      </c>
      <c r="H9790" s="26" t="str">
        <f t="shared" si="1"/>
        <v/>
      </c>
      <c r="I9790" s="26" t="str">
        <f t="shared" si="2"/>
        <v/>
      </c>
      <c r="J9790" s="86">
        <f t="shared" si="3"/>
        <v>0</v>
      </c>
      <c r="R9790" s="26"/>
    </row>
    <row r="9791" spans="1:18" ht="15.75" customHeight="1">
      <c r="A9791" s="26"/>
      <c r="B9791" s="86"/>
      <c r="D9791" s="26"/>
      <c r="F9791" s="87" t="str">
        <f t="shared" si="0"/>
        <v/>
      </c>
      <c r="H9791" s="26" t="str">
        <f t="shared" si="1"/>
        <v/>
      </c>
      <c r="I9791" s="26" t="str">
        <f t="shared" si="2"/>
        <v/>
      </c>
      <c r="J9791" s="86">
        <f t="shared" si="3"/>
        <v>0</v>
      </c>
      <c r="R9791" s="26"/>
    </row>
    <row r="9792" spans="1:18" ht="15.75" customHeight="1">
      <c r="A9792" s="26"/>
      <c r="B9792" s="86"/>
      <c r="D9792" s="26"/>
      <c r="F9792" s="87" t="str">
        <f t="shared" si="0"/>
        <v/>
      </c>
      <c r="H9792" s="26" t="str">
        <f t="shared" si="1"/>
        <v/>
      </c>
      <c r="I9792" s="26" t="str">
        <f t="shared" si="2"/>
        <v/>
      </c>
      <c r="J9792" s="86">
        <f t="shared" si="3"/>
        <v>0</v>
      </c>
      <c r="R9792" s="26"/>
    </row>
    <row r="9793" spans="1:18" ht="15.75" customHeight="1">
      <c r="A9793" s="26"/>
      <c r="B9793" s="86"/>
      <c r="D9793" s="26"/>
      <c r="F9793" s="87" t="str">
        <f t="shared" si="0"/>
        <v/>
      </c>
      <c r="H9793" s="26" t="str">
        <f t="shared" si="1"/>
        <v/>
      </c>
      <c r="I9793" s="26" t="str">
        <f t="shared" si="2"/>
        <v/>
      </c>
      <c r="J9793" s="86">
        <f t="shared" si="3"/>
        <v>0</v>
      </c>
      <c r="R9793" s="26"/>
    </row>
    <row r="9794" spans="1:18" ht="15.75" customHeight="1">
      <c r="A9794" s="26"/>
      <c r="B9794" s="86"/>
      <c r="D9794" s="26"/>
      <c r="F9794" s="87" t="str">
        <f t="shared" si="0"/>
        <v/>
      </c>
      <c r="H9794" s="26" t="str">
        <f t="shared" si="1"/>
        <v/>
      </c>
      <c r="I9794" s="26" t="str">
        <f t="shared" si="2"/>
        <v/>
      </c>
      <c r="J9794" s="86">
        <f t="shared" si="3"/>
        <v>0</v>
      </c>
      <c r="R9794" s="26"/>
    </row>
    <row r="9795" spans="1:18" ht="15.75" customHeight="1">
      <c r="A9795" s="26"/>
      <c r="B9795" s="86"/>
      <c r="D9795" s="26"/>
      <c r="F9795" s="87" t="str">
        <f t="shared" si="0"/>
        <v/>
      </c>
      <c r="H9795" s="26" t="str">
        <f t="shared" si="1"/>
        <v/>
      </c>
      <c r="I9795" s="26" t="str">
        <f t="shared" si="2"/>
        <v/>
      </c>
      <c r="J9795" s="86">
        <f t="shared" si="3"/>
        <v>0</v>
      </c>
      <c r="R9795" s="26"/>
    </row>
    <row r="9796" spans="1:18" ht="15.75" customHeight="1">
      <c r="A9796" s="26"/>
      <c r="B9796" s="86"/>
      <c r="D9796" s="26"/>
      <c r="F9796" s="87" t="str">
        <f t="shared" si="0"/>
        <v/>
      </c>
      <c r="H9796" s="26" t="str">
        <f t="shared" si="1"/>
        <v/>
      </c>
      <c r="I9796" s="26" t="str">
        <f t="shared" si="2"/>
        <v/>
      </c>
      <c r="J9796" s="86">
        <f t="shared" si="3"/>
        <v>0</v>
      </c>
      <c r="R9796" s="26"/>
    </row>
    <row r="9797" spans="1:18" ht="15.75" customHeight="1">
      <c r="A9797" s="26"/>
      <c r="B9797" s="86"/>
      <c r="D9797" s="26"/>
      <c r="F9797" s="87" t="str">
        <f t="shared" si="0"/>
        <v/>
      </c>
      <c r="H9797" s="26" t="str">
        <f t="shared" si="1"/>
        <v/>
      </c>
      <c r="I9797" s="26" t="str">
        <f t="shared" si="2"/>
        <v/>
      </c>
      <c r="J9797" s="86">
        <f t="shared" si="3"/>
        <v>0</v>
      </c>
      <c r="R9797" s="26"/>
    </row>
    <row r="9798" spans="1:18" ht="15.75" customHeight="1">
      <c r="A9798" s="26"/>
      <c r="B9798" s="86"/>
      <c r="D9798" s="26"/>
      <c r="F9798" s="87" t="str">
        <f t="shared" si="0"/>
        <v/>
      </c>
      <c r="H9798" s="26" t="str">
        <f t="shared" si="1"/>
        <v/>
      </c>
      <c r="I9798" s="26" t="str">
        <f t="shared" si="2"/>
        <v/>
      </c>
      <c r="J9798" s="86">
        <f t="shared" si="3"/>
        <v>0</v>
      </c>
      <c r="R9798" s="26"/>
    </row>
    <row r="9799" spans="1:18" ht="15.75" customHeight="1">
      <c r="A9799" s="26"/>
      <c r="B9799" s="86"/>
      <c r="D9799" s="26"/>
      <c r="F9799" s="87" t="str">
        <f t="shared" si="0"/>
        <v/>
      </c>
      <c r="H9799" s="26" t="str">
        <f t="shared" si="1"/>
        <v/>
      </c>
      <c r="I9799" s="26" t="str">
        <f t="shared" si="2"/>
        <v/>
      </c>
      <c r="J9799" s="86">
        <f t="shared" si="3"/>
        <v>0</v>
      </c>
      <c r="R9799" s="26"/>
    </row>
    <row r="9800" spans="1:18" ht="15.75" customHeight="1">
      <c r="A9800" s="26"/>
      <c r="B9800" s="86"/>
      <c r="D9800" s="26"/>
      <c r="F9800" s="87" t="str">
        <f t="shared" si="0"/>
        <v/>
      </c>
      <c r="H9800" s="26" t="str">
        <f t="shared" si="1"/>
        <v/>
      </c>
      <c r="I9800" s="26" t="str">
        <f t="shared" si="2"/>
        <v/>
      </c>
      <c r="J9800" s="86">
        <f t="shared" si="3"/>
        <v>0</v>
      </c>
      <c r="R9800" s="26"/>
    </row>
    <row r="9801" spans="1:18" ht="15.75" customHeight="1">
      <c r="A9801" s="26"/>
      <c r="B9801" s="86"/>
      <c r="D9801" s="26"/>
      <c r="F9801" s="87" t="str">
        <f t="shared" si="0"/>
        <v/>
      </c>
      <c r="H9801" s="26" t="str">
        <f t="shared" si="1"/>
        <v/>
      </c>
      <c r="I9801" s="26" t="str">
        <f t="shared" si="2"/>
        <v/>
      </c>
      <c r="J9801" s="86">
        <f t="shared" si="3"/>
        <v>0</v>
      </c>
      <c r="R9801" s="26"/>
    </row>
    <row r="9802" spans="1:18" ht="15.75" customHeight="1">
      <c r="A9802" s="26"/>
      <c r="B9802" s="86"/>
      <c r="D9802" s="26"/>
      <c r="F9802" s="87" t="str">
        <f t="shared" si="0"/>
        <v/>
      </c>
      <c r="H9802" s="26" t="str">
        <f t="shared" si="1"/>
        <v/>
      </c>
      <c r="I9802" s="26" t="str">
        <f t="shared" si="2"/>
        <v/>
      </c>
      <c r="J9802" s="86">
        <f t="shared" si="3"/>
        <v>0</v>
      </c>
      <c r="R9802" s="26"/>
    </row>
    <row r="9803" spans="1:18" ht="15.75" customHeight="1">
      <c r="A9803" s="26"/>
      <c r="B9803" s="86"/>
      <c r="D9803" s="26"/>
      <c r="F9803" s="87" t="str">
        <f t="shared" si="0"/>
        <v/>
      </c>
      <c r="H9803" s="26" t="str">
        <f t="shared" si="1"/>
        <v/>
      </c>
      <c r="I9803" s="26" t="str">
        <f t="shared" si="2"/>
        <v/>
      </c>
      <c r="J9803" s="86">
        <f t="shared" si="3"/>
        <v>0</v>
      </c>
      <c r="R9803" s="26"/>
    </row>
    <row r="9804" spans="1:18" ht="15.75" customHeight="1">
      <c r="A9804" s="26"/>
      <c r="B9804" s="86"/>
      <c r="D9804" s="26"/>
      <c r="F9804" s="87" t="str">
        <f t="shared" si="0"/>
        <v/>
      </c>
      <c r="H9804" s="26" t="str">
        <f t="shared" si="1"/>
        <v/>
      </c>
      <c r="I9804" s="26" t="str">
        <f t="shared" si="2"/>
        <v/>
      </c>
      <c r="J9804" s="86">
        <f t="shared" si="3"/>
        <v>0</v>
      </c>
      <c r="R9804" s="26"/>
    </row>
    <row r="9805" spans="1:18" ht="15.75" customHeight="1">
      <c r="A9805" s="26"/>
      <c r="B9805" s="86"/>
      <c r="D9805" s="26"/>
      <c r="F9805" s="87" t="str">
        <f t="shared" si="0"/>
        <v/>
      </c>
      <c r="H9805" s="26" t="str">
        <f t="shared" si="1"/>
        <v/>
      </c>
      <c r="I9805" s="26" t="str">
        <f t="shared" si="2"/>
        <v/>
      </c>
      <c r="J9805" s="86">
        <f t="shared" si="3"/>
        <v>0</v>
      </c>
      <c r="R9805" s="26"/>
    </row>
    <row r="9806" spans="1:18" ht="15.75" customHeight="1">
      <c r="A9806" s="26"/>
      <c r="B9806" s="86"/>
      <c r="D9806" s="26"/>
      <c r="F9806" s="87" t="str">
        <f t="shared" si="0"/>
        <v/>
      </c>
      <c r="H9806" s="26" t="str">
        <f t="shared" si="1"/>
        <v/>
      </c>
      <c r="I9806" s="26" t="str">
        <f t="shared" si="2"/>
        <v/>
      </c>
      <c r="J9806" s="86">
        <f t="shared" si="3"/>
        <v>0</v>
      </c>
      <c r="R9806" s="26"/>
    </row>
    <row r="9807" spans="1:18" ht="15.75" customHeight="1">
      <c r="A9807" s="26"/>
      <c r="B9807" s="86"/>
      <c r="D9807" s="26"/>
      <c r="F9807" s="87" t="str">
        <f t="shared" si="0"/>
        <v/>
      </c>
      <c r="H9807" s="26" t="str">
        <f t="shared" si="1"/>
        <v/>
      </c>
      <c r="I9807" s="26" t="str">
        <f t="shared" si="2"/>
        <v/>
      </c>
      <c r="J9807" s="86">
        <f t="shared" si="3"/>
        <v>0</v>
      </c>
      <c r="R9807" s="26"/>
    </row>
    <row r="9808" spans="1:18" ht="15.75" customHeight="1">
      <c r="A9808" s="26"/>
      <c r="B9808" s="86"/>
      <c r="D9808" s="26"/>
      <c r="F9808" s="87" t="str">
        <f t="shared" si="0"/>
        <v/>
      </c>
      <c r="H9808" s="26" t="str">
        <f t="shared" si="1"/>
        <v/>
      </c>
      <c r="I9808" s="26" t="str">
        <f t="shared" si="2"/>
        <v/>
      </c>
      <c r="J9808" s="86">
        <f t="shared" si="3"/>
        <v>0</v>
      </c>
      <c r="R9808" s="26"/>
    </row>
    <row r="9809" spans="1:18" ht="15.75" customHeight="1">
      <c r="A9809" s="26"/>
      <c r="B9809" s="86"/>
      <c r="D9809" s="26"/>
      <c r="F9809" s="87" t="str">
        <f t="shared" si="0"/>
        <v/>
      </c>
      <c r="H9809" s="26" t="str">
        <f t="shared" si="1"/>
        <v/>
      </c>
      <c r="I9809" s="26" t="str">
        <f t="shared" si="2"/>
        <v/>
      </c>
      <c r="J9809" s="86">
        <f t="shared" si="3"/>
        <v>0</v>
      </c>
      <c r="R9809" s="26"/>
    </row>
    <row r="9810" spans="1:18" ht="15.75" customHeight="1">
      <c r="A9810" s="26"/>
      <c r="B9810" s="86"/>
      <c r="D9810" s="26"/>
      <c r="F9810" s="87" t="str">
        <f t="shared" si="0"/>
        <v/>
      </c>
      <c r="H9810" s="26" t="str">
        <f t="shared" si="1"/>
        <v/>
      </c>
      <c r="I9810" s="26" t="str">
        <f t="shared" si="2"/>
        <v/>
      </c>
      <c r="J9810" s="86">
        <f t="shared" si="3"/>
        <v>0</v>
      </c>
      <c r="R9810" s="26"/>
    </row>
    <row r="9811" spans="1:18" ht="15.75" customHeight="1">
      <c r="A9811" s="26"/>
      <c r="B9811" s="86"/>
      <c r="D9811" s="26"/>
      <c r="F9811" s="87" t="str">
        <f t="shared" si="0"/>
        <v/>
      </c>
      <c r="H9811" s="26" t="str">
        <f t="shared" si="1"/>
        <v/>
      </c>
      <c r="I9811" s="26" t="str">
        <f t="shared" si="2"/>
        <v/>
      </c>
      <c r="J9811" s="86">
        <f t="shared" si="3"/>
        <v>0</v>
      </c>
      <c r="R9811" s="26"/>
    </row>
    <row r="9812" spans="1:18" ht="15.75" customHeight="1">
      <c r="A9812" s="26"/>
      <c r="B9812" s="86"/>
      <c r="D9812" s="26"/>
      <c r="F9812" s="87" t="str">
        <f t="shared" si="0"/>
        <v/>
      </c>
      <c r="H9812" s="26" t="str">
        <f t="shared" si="1"/>
        <v/>
      </c>
      <c r="I9812" s="26" t="str">
        <f t="shared" si="2"/>
        <v/>
      </c>
      <c r="J9812" s="86">
        <f t="shared" si="3"/>
        <v>0</v>
      </c>
      <c r="R9812" s="26"/>
    </row>
    <row r="9813" spans="1:18" ht="15.75" customHeight="1">
      <c r="A9813" s="26"/>
      <c r="B9813" s="86"/>
      <c r="D9813" s="26"/>
      <c r="F9813" s="87" t="str">
        <f t="shared" si="0"/>
        <v/>
      </c>
      <c r="H9813" s="26" t="str">
        <f t="shared" si="1"/>
        <v/>
      </c>
      <c r="I9813" s="26" t="str">
        <f t="shared" si="2"/>
        <v/>
      </c>
      <c r="J9813" s="86">
        <f t="shared" si="3"/>
        <v>0</v>
      </c>
      <c r="R9813" s="26"/>
    </row>
    <row r="9814" spans="1:18" ht="15.75" customHeight="1">
      <c r="A9814" s="26"/>
      <c r="B9814" s="86"/>
      <c r="D9814" s="26"/>
      <c r="F9814" s="87" t="str">
        <f t="shared" si="0"/>
        <v/>
      </c>
      <c r="H9814" s="26" t="str">
        <f t="shared" si="1"/>
        <v/>
      </c>
      <c r="I9814" s="26" t="str">
        <f t="shared" si="2"/>
        <v/>
      </c>
      <c r="J9814" s="86">
        <f t="shared" si="3"/>
        <v>0</v>
      </c>
      <c r="R9814" s="26"/>
    </row>
    <row r="9815" spans="1:18" ht="15.75" customHeight="1">
      <c r="A9815" s="26"/>
      <c r="B9815" s="86"/>
      <c r="D9815" s="26"/>
      <c r="F9815" s="87" t="str">
        <f t="shared" si="0"/>
        <v/>
      </c>
      <c r="H9815" s="26" t="str">
        <f t="shared" si="1"/>
        <v/>
      </c>
      <c r="I9815" s="26" t="str">
        <f t="shared" si="2"/>
        <v/>
      </c>
      <c r="J9815" s="86">
        <f t="shared" si="3"/>
        <v>0</v>
      </c>
      <c r="R9815" s="26"/>
    </row>
    <row r="9816" spans="1:18" ht="15.75" customHeight="1">
      <c r="A9816" s="26"/>
      <c r="B9816" s="86"/>
      <c r="D9816" s="26"/>
      <c r="F9816" s="87" t="str">
        <f t="shared" si="0"/>
        <v/>
      </c>
      <c r="H9816" s="26" t="str">
        <f t="shared" si="1"/>
        <v/>
      </c>
      <c r="I9816" s="26" t="str">
        <f t="shared" si="2"/>
        <v/>
      </c>
      <c r="J9816" s="86">
        <f t="shared" si="3"/>
        <v>0</v>
      </c>
      <c r="R9816" s="26"/>
    </row>
    <row r="9817" spans="1:18" ht="15.75" customHeight="1">
      <c r="A9817" s="26"/>
      <c r="B9817" s="86"/>
      <c r="D9817" s="26"/>
      <c r="F9817" s="87" t="str">
        <f t="shared" si="0"/>
        <v/>
      </c>
      <c r="H9817" s="26" t="str">
        <f t="shared" si="1"/>
        <v/>
      </c>
      <c r="I9817" s="26" t="str">
        <f t="shared" si="2"/>
        <v/>
      </c>
      <c r="J9817" s="86">
        <f t="shared" si="3"/>
        <v>0</v>
      </c>
      <c r="R9817" s="26"/>
    </row>
    <row r="9818" spans="1:18" ht="15.75" customHeight="1">
      <c r="A9818" s="26"/>
      <c r="B9818" s="86"/>
      <c r="D9818" s="26"/>
      <c r="F9818" s="87" t="str">
        <f t="shared" si="0"/>
        <v/>
      </c>
      <c r="H9818" s="26" t="str">
        <f t="shared" si="1"/>
        <v/>
      </c>
      <c r="I9818" s="26" t="str">
        <f t="shared" si="2"/>
        <v/>
      </c>
      <c r="J9818" s="86">
        <f t="shared" si="3"/>
        <v>0</v>
      </c>
      <c r="R9818" s="26"/>
    </row>
    <row r="9819" spans="1:18" ht="15.75" customHeight="1">
      <c r="A9819" s="26"/>
      <c r="B9819" s="86"/>
      <c r="D9819" s="26"/>
      <c r="F9819" s="87" t="str">
        <f t="shared" si="0"/>
        <v/>
      </c>
      <c r="H9819" s="26" t="str">
        <f t="shared" si="1"/>
        <v/>
      </c>
      <c r="I9819" s="26" t="str">
        <f t="shared" si="2"/>
        <v/>
      </c>
      <c r="J9819" s="86">
        <f t="shared" si="3"/>
        <v>0</v>
      </c>
      <c r="R9819" s="26"/>
    </row>
    <row r="9820" spans="1:18" ht="15.75" customHeight="1">
      <c r="A9820" s="26"/>
      <c r="B9820" s="86"/>
      <c r="D9820" s="26"/>
      <c r="F9820" s="87" t="str">
        <f t="shared" si="0"/>
        <v/>
      </c>
      <c r="H9820" s="26" t="str">
        <f t="shared" si="1"/>
        <v/>
      </c>
      <c r="I9820" s="26" t="str">
        <f t="shared" si="2"/>
        <v/>
      </c>
      <c r="J9820" s="86">
        <f t="shared" si="3"/>
        <v>0</v>
      </c>
      <c r="R9820" s="26"/>
    </row>
    <row r="9821" spans="1:18" ht="15.75" customHeight="1">
      <c r="A9821" s="26"/>
      <c r="B9821" s="86"/>
      <c r="D9821" s="26"/>
      <c r="F9821" s="87" t="str">
        <f t="shared" si="0"/>
        <v/>
      </c>
      <c r="H9821" s="26" t="str">
        <f t="shared" si="1"/>
        <v/>
      </c>
      <c r="I9821" s="26" t="str">
        <f t="shared" si="2"/>
        <v/>
      </c>
      <c r="J9821" s="86">
        <f t="shared" si="3"/>
        <v>0</v>
      </c>
      <c r="R9821" s="26"/>
    </row>
    <row r="9822" spans="1:18" ht="15.75" customHeight="1">
      <c r="A9822" s="26"/>
      <c r="B9822" s="86"/>
      <c r="D9822" s="26"/>
      <c r="F9822" s="87" t="str">
        <f t="shared" si="0"/>
        <v/>
      </c>
      <c r="H9822" s="26" t="str">
        <f t="shared" si="1"/>
        <v/>
      </c>
      <c r="I9822" s="26" t="str">
        <f t="shared" si="2"/>
        <v/>
      </c>
      <c r="J9822" s="86">
        <f t="shared" si="3"/>
        <v>0</v>
      </c>
      <c r="R9822" s="26"/>
    </row>
    <row r="9823" spans="1:18" ht="15.75" customHeight="1">
      <c r="A9823" s="26"/>
      <c r="B9823" s="86"/>
      <c r="D9823" s="26"/>
      <c r="F9823" s="87" t="str">
        <f t="shared" si="0"/>
        <v/>
      </c>
      <c r="H9823" s="26" t="str">
        <f t="shared" si="1"/>
        <v/>
      </c>
      <c r="I9823" s="26" t="str">
        <f t="shared" si="2"/>
        <v/>
      </c>
      <c r="J9823" s="86">
        <f t="shared" si="3"/>
        <v>0</v>
      </c>
      <c r="R9823" s="26"/>
    </row>
    <row r="9824" spans="1:18" ht="15.75" customHeight="1">
      <c r="A9824" s="26"/>
      <c r="B9824" s="86"/>
      <c r="D9824" s="26"/>
      <c r="F9824" s="87" t="str">
        <f t="shared" si="0"/>
        <v/>
      </c>
      <c r="H9824" s="26" t="str">
        <f t="shared" si="1"/>
        <v/>
      </c>
      <c r="I9824" s="26" t="str">
        <f t="shared" si="2"/>
        <v/>
      </c>
      <c r="J9824" s="86">
        <f t="shared" si="3"/>
        <v>0</v>
      </c>
      <c r="R9824" s="26"/>
    </row>
    <row r="9825" spans="1:18" ht="15.75" customHeight="1">
      <c r="A9825" s="26"/>
      <c r="B9825" s="86"/>
      <c r="D9825" s="26"/>
      <c r="F9825" s="87" t="str">
        <f t="shared" si="0"/>
        <v/>
      </c>
      <c r="H9825" s="26" t="str">
        <f t="shared" si="1"/>
        <v/>
      </c>
      <c r="I9825" s="26" t="str">
        <f t="shared" si="2"/>
        <v/>
      </c>
      <c r="J9825" s="86">
        <f t="shared" si="3"/>
        <v>0</v>
      </c>
      <c r="R9825" s="26"/>
    </row>
    <row r="9826" spans="1:18" ht="15.75" customHeight="1">
      <c r="A9826" s="26"/>
      <c r="B9826" s="86"/>
      <c r="D9826" s="26"/>
      <c r="F9826" s="87" t="str">
        <f t="shared" si="0"/>
        <v/>
      </c>
      <c r="H9826" s="26" t="str">
        <f t="shared" si="1"/>
        <v/>
      </c>
      <c r="I9826" s="26" t="str">
        <f t="shared" si="2"/>
        <v/>
      </c>
      <c r="J9826" s="86">
        <f t="shared" si="3"/>
        <v>0</v>
      </c>
      <c r="R9826" s="26"/>
    </row>
    <row r="9827" spans="1:18" ht="15.75" customHeight="1">
      <c r="A9827" s="26"/>
      <c r="B9827" s="86"/>
      <c r="D9827" s="26"/>
      <c r="F9827" s="87" t="str">
        <f t="shared" si="0"/>
        <v/>
      </c>
      <c r="H9827" s="26" t="str">
        <f t="shared" si="1"/>
        <v/>
      </c>
      <c r="I9827" s="26" t="str">
        <f t="shared" si="2"/>
        <v/>
      </c>
      <c r="J9827" s="86">
        <f t="shared" si="3"/>
        <v>0</v>
      </c>
      <c r="R9827" s="26"/>
    </row>
    <row r="9828" spans="1:18" ht="15.75" customHeight="1">
      <c r="A9828" s="26"/>
      <c r="B9828" s="86"/>
      <c r="D9828" s="26"/>
      <c r="F9828" s="87" t="str">
        <f t="shared" si="0"/>
        <v/>
      </c>
      <c r="H9828" s="26" t="str">
        <f t="shared" si="1"/>
        <v/>
      </c>
      <c r="I9828" s="26" t="str">
        <f t="shared" si="2"/>
        <v/>
      </c>
      <c r="J9828" s="86">
        <f t="shared" si="3"/>
        <v>0</v>
      </c>
      <c r="R9828" s="26"/>
    </row>
    <row r="9829" spans="1:18" ht="15.75" customHeight="1">
      <c r="A9829" s="26"/>
      <c r="B9829" s="86"/>
      <c r="D9829" s="26"/>
      <c r="F9829" s="87" t="str">
        <f t="shared" si="0"/>
        <v/>
      </c>
      <c r="H9829" s="26" t="str">
        <f t="shared" si="1"/>
        <v/>
      </c>
      <c r="I9829" s="26" t="str">
        <f t="shared" si="2"/>
        <v/>
      </c>
      <c r="J9829" s="86">
        <f t="shared" si="3"/>
        <v>0</v>
      </c>
      <c r="R9829" s="26"/>
    </row>
    <row r="9830" spans="1:18" ht="15.75" customHeight="1">
      <c r="A9830" s="26"/>
      <c r="B9830" s="86"/>
      <c r="D9830" s="26"/>
      <c r="F9830" s="87" t="str">
        <f t="shared" si="0"/>
        <v/>
      </c>
      <c r="H9830" s="26" t="str">
        <f t="shared" si="1"/>
        <v/>
      </c>
      <c r="I9830" s="26" t="str">
        <f t="shared" si="2"/>
        <v/>
      </c>
      <c r="J9830" s="86">
        <f t="shared" si="3"/>
        <v>0</v>
      </c>
      <c r="R9830" s="26"/>
    </row>
    <row r="9831" spans="1:18" ht="15.75" customHeight="1">
      <c r="A9831" s="26"/>
      <c r="B9831" s="86"/>
      <c r="D9831" s="26"/>
      <c r="F9831" s="87" t="str">
        <f t="shared" si="0"/>
        <v/>
      </c>
      <c r="H9831" s="26" t="str">
        <f t="shared" si="1"/>
        <v/>
      </c>
      <c r="I9831" s="26" t="str">
        <f t="shared" si="2"/>
        <v/>
      </c>
      <c r="J9831" s="86">
        <f t="shared" si="3"/>
        <v>0</v>
      </c>
      <c r="R9831" s="26"/>
    </row>
    <row r="9832" spans="1:18" ht="15.75" customHeight="1">
      <c r="A9832" s="26"/>
      <c r="B9832" s="86"/>
      <c r="D9832" s="26"/>
      <c r="F9832" s="87" t="str">
        <f t="shared" si="0"/>
        <v/>
      </c>
      <c r="H9832" s="26" t="str">
        <f t="shared" si="1"/>
        <v/>
      </c>
      <c r="I9832" s="26" t="str">
        <f t="shared" si="2"/>
        <v/>
      </c>
      <c r="J9832" s="86">
        <f t="shared" si="3"/>
        <v>0</v>
      </c>
      <c r="R9832" s="26"/>
    </row>
    <row r="9833" spans="1:18" ht="15.75" customHeight="1">
      <c r="A9833" s="26"/>
      <c r="B9833" s="86"/>
      <c r="D9833" s="26"/>
      <c r="F9833" s="87" t="str">
        <f t="shared" si="0"/>
        <v/>
      </c>
      <c r="H9833" s="26" t="str">
        <f t="shared" si="1"/>
        <v/>
      </c>
      <c r="I9833" s="26" t="str">
        <f t="shared" si="2"/>
        <v/>
      </c>
      <c r="J9833" s="86">
        <f t="shared" si="3"/>
        <v>0</v>
      </c>
      <c r="R9833" s="26"/>
    </row>
    <row r="9834" spans="1:18" ht="15.75" customHeight="1">
      <c r="A9834" s="26"/>
      <c r="B9834" s="86"/>
      <c r="D9834" s="26"/>
      <c r="F9834" s="87" t="str">
        <f t="shared" si="0"/>
        <v/>
      </c>
      <c r="H9834" s="26" t="str">
        <f t="shared" si="1"/>
        <v/>
      </c>
      <c r="I9834" s="26" t="str">
        <f t="shared" si="2"/>
        <v/>
      </c>
      <c r="J9834" s="86">
        <f t="shared" si="3"/>
        <v>0</v>
      </c>
      <c r="R9834" s="26"/>
    </row>
    <row r="9835" spans="1:18" ht="15.75" customHeight="1">
      <c r="A9835" s="26"/>
      <c r="B9835" s="86"/>
      <c r="D9835" s="26"/>
      <c r="F9835" s="87" t="str">
        <f t="shared" si="0"/>
        <v/>
      </c>
      <c r="H9835" s="26" t="str">
        <f t="shared" si="1"/>
        <v/>
      </c>
      <c r="I9835" s="26" t="str">
        <f t="shared" si="2"/>
        <v/>
      </c>
      <c r="J9835" s="86">
        <f t="shared" si="3"/>
        <v>0</v>
      </c>
      <c r="R9835" s="26"/>
    </row>
    <row r="9836" spans="1:18" ht="15.75" customHeight="1">
      <c r="A9836" s="26"/>
      <c r="B9836" s="86"/>
      <c r="D9836" s="26"/>
      <c r="F9836" s="87" t="str">
        <f t="shared" si="0"/>
        <v/>
      </c>
      <c r="H9836" s="26" t="str">
        <f t="shared" si="1"/>
        <v/>
      </c>
      <c r="I9836" s="26" t="str">
        <f t="shared" si="2"/>
        <v/>
      </c>
      <c r="J9836" s="86">
        <f t="shared" si="3"/>
        <v>0</v>
      </c>
      <c r="R9836" s="26"/>
    </row>
    <row r="9837" spans="1:18" ht="15.75" customHeight="1">
      <c r="A9837" s="26"/>
      <c r="B9837" s="86"/>
      <c r="D9837" s="26"/>
      <c r="F9837" s="87" t="str">
        <f t="shared" si="0"/>
        <v/>
      </c>
      <c r="H9837" s="26" t="str">
        <f t="shared" si="1"/>
        <v/>
      </c>
      <c r="I9837" s="26" t="str">
        <f t="shared" si="2"/>
        <v/>
      </c>
      <c r="J9837" s="86">
        <f t="shared" si="3"/>
        <v>0</v>
      </c>
      <c r="R9837" s="26"/>
    </row>
    <row r="9838" spans="1:18" ht="15.75" customHeight="1">
      <c r="A9838" s="26"/>
      <c r="B9838" s="86"/>
      <c r="D9838" s="26"/>
      <c r="F9838" s="87" t="str">
        <f t="shared" si="0"/>
        <v/>
      </c>
      <c r="H9838" s="26" t="str">
        <f t="shared" si="1"/>
        <v/>
      </c>
      <c r="I9838" s="26" t="str">
        <f t="shared" si="2"/>
        <v/>
      </c>
      <c r="J9838" s="86">
        <f t="shared" si="3"/>
        <v>0</v>
      </c>
      <c r="R9838" s="26"/>
    </row>
    <row r="9839" spans="1:18" ht="15.75" customHeight="1">
      <c r="A9839" s="26"/>
      <c r="B9839" s="86"/>
      <c r="D9839" s="26"/>
      <c r="F9839" s="87" t="str">
        <f t="shared" si="0"/>
        <v/>
      </c>
      <c r="H9839" s="26" t="str">
        <f t="shared" si="1"/>
        <v/>
      </c>
      <c r="I9839" s="26" t="str">
        <f t="shared" si="2"/>
        <v/>
      </c>
      <c r="J9839" s="86">
        <f t="shared" si="3"/>
        <v>0</v>
      </c>
      <c r="R9839" s="26"/>
    </row>
    <row r="9840" spans="1:18" ht="15.75" customHeight="1">
      <c r="A9840" s="26"/>
      <c r="B9840" s="86"/>
      <c r="D9840" s="26"/>
      <c r="F9840" s="87" t="str">
        <f t="shared" si="0"/>
        <v/>
      </c>
      <c r="H9840" s="26" t="str">
        <f t="shared" si="1"/>
        <v/>
      </c>
      <c r="I9840" s="26" t="str">
        <f t="shared" si="2"/>
        <v/>
      </c>
      <c r="J9840" s="86">
        <f t="shared" si="3"/>
        <v>0</v>
      </c>
      <c r="R9840" s="26"/>
    </row>
    <row r="9841" spans="1:18" ht="15.75" customHeight="1">
      <c r="A9841" s="26"/>
      <c r="B9841" s="86"/>
      <c r="D9841" s="26"/>
      <c r="F9841" s="87" t="str">
        <f t="shared" si="0"/>
        <v/>
      </c>
      <c r="H9841" s="26" t="str">
        <f t="shared" si="1"/>
        <v/>
      </c>
      <c r="I9841" s="26" t="str">
        <f t="shared" si="2"/>
        <v/>
      </c>
      <c r="J9841" s="86">
        <f t="shared" si="3"/>
        <v>0</v>
      </c>
      <c r="R9841" s="26"/>
    </row>
    <row r="9842" spans="1:18" ht="15.75" customHeight="1">
      <c r="A9842" s="26"/>
      <c r="B9842" s="86"/>
      <c r="D9842" s="26"/>
      <c r="F9842" s="87" t="str">
        <f t="shared" si="0"/>
        <v/>
      </c>
      <c r="H9842" s="26" t="str">
        <f t="shared" si="1"/>
        <v/>
      </c>
      <c r="I9842" s="26" t="str">
        <f t="shared" si="2"/>
        <v/>
      </c>
      <c r="J9842" s="86">
        <f t="shared" si="3"/>
        <v>0</v>
      </c>
      <c r="R9842" s="26"/>
    </row>
    <row r="9843" spans="1:18" ht="15.75" customHeight="1">
      <c r="A9843" s="26"/>
      <c r="B9843" s="86"/>
      <c r="D9843" s="26"/>
      <c r="F9843" s="87" t="str">
        <f t="shared" si="0"/>
        <v/>
      </c>
      <c r="H9843" s="26" t="str">
        <f t="shared" si="1"/>
        <v/>
      </c>
      <c r="I9843" s="26" t="str">
        <f t="shared" si="2"/>
        <v/>
      </c>
      <c r="J9843" s="86">
        <f t="shared" si="3"/>
        <v>0</v>
      </c>
      <c r="R9843" s="26"/>
    </row>
    <row r="9844" spans="1:18" ht="15.75" customHeight="1">
      <c r="A9844" s="26"/>
      <c r="B9844" s="86"/>
      <c r="D9844" s="26"/>
      <c r="F9844" s="87" t="str">
        <f t="shared" si="0"/>
        <v/>
      </c>
      <c r="H9844" s="26" t="str">
        <f t="shared" si="1"/>
        <v/>
      </c>
      <c r="I9844" s="26" t="str">
        <f t="shared" si="2"/>
        <v/>
      </c>
      <c r="J9844" s="86">
        <f t="shared" si="3"/>
        <v>0</v>
      </c>
      <c r="R9844" s="26"/>
    </row>
    <row r="9845" spans="1:18" ht="15.75" customHeight="1">
      <c r="A9845" s="26"/>
      <c r="B9845" s="86"/>
      <c r="D9845" s="26"/>
      <c r="F9845" s="87" t="str">
        <f t="shared" si="0"/>
        <v/>
      </c>
      <c r="H9845" s="26" t="str">
        <f t="shared" si="1"/>
        <v/>
      </c>
      <c r="I9845" s="26" t="str">
        <f t="shared" si="2"/>
        <v/>
      </c>
      <c r="J9845" s="86">
        <f t="shared" si="3"/>
        <v>0</v>
      </c>
      <c r="R9845" s="26"/>
    </row>
    <row r="9846" spans="1:18" ht="15.75" customHeight="1">
      <c r="A9846" s="26"/>
      <c r="B9846" s="86"/>
      <c r="D9846" s="26"/>
      <c r="F9846" s="87" t="str">
        <f t="shared" si="0"/>
        <v/>
      </c>
      <c r="H9846" s="26" t="str">
        <f t="shared" si="1"/>
        <v/>
      </c>
      <c r="I9846" s="26" t="str">
        <f t="shared" si="2"/>
        <v/>
      </c>
      <c r="J9846" s="86">
        <f t="shared" si="3"/>
        <v>0</v>
      </c>
      <c r="R9846" s="26"/>
    </row>
    <row r="9847" spans="1:18" ht="15.75" customHeight="1">
      <c r="A9847" s="26"/>
      <c r="B9847" s="86"/>
      <c r="D9847" s="26"/>
      <c r="F9847" s="87" t="str">
        <f t="shared" si="0"/>
        <v/>
      </c>
      <c r="H9847" s="26" t="str">
        <f t="shared" si="1"/>
        <v/>
      </c>
      <c r="I9847" s="26" t="str">
        <f t="shared" si="2"/>
        <v/>
      </c>
      <c r="J9847" s="86">
        <f t="shared" si="3"/>
        <v>0</v>
      </c>
      <c r="R9847" s="26"/>
    </row>
    <row r="9848" spans="1:18" ht="15.75" customHeight="1">
      <c r="A9848" s="26"/>
      <c r="B9848" s="86"/>
      <c r="D9848" s="26"/>
      <c r="F9848" s="87" t="str">
        <f t="shared" si="0"/>
        <v/>
      </c>
      <c r="H9848" s="26" t="str">
        <f t="shared" si="1"/>
        <v/>
      </c>
      <c r="I9848" s="26" t="str">
        <f t="shared" si="2"/>
        <v/>
      </c>
      <c r="J9848" s="86">
        <f t="shared" si="3"/>
        <v>0</v>
      </c>
      <c r="R9848" s="26"/>
    </row>
    <row r="9849" spans="1:18" ht="15.75" customHeight="1">
      <c r="A9849" s="26"/>
      <c r="B9849" s="86"/>
      <c r="D9849" s="26"/>
      <c r="F9849" s="87" t="str">
        <f t="shared" si="0"/>
        <v/>
      </c>
      <c r="H9849" s="26" t="str">
        <f t="shared" si="1"/>
        <v/>
      </c>
      <c r="I9849" s="26" t="str">
        <f t="shared" si="2"/>
        <v/>
      </c>
      <c r="J9849" s="86">
        <f t="shared" si="3"/>
        <v>0</v>
      </c>
      <c r="R9849" s="26"/>
    </row>
    <row r="9850" spans="1:18" ht="15.75" customHeight="1">
      <c r="A9850" s="26"/>
      <c r="B9850" s="86"/>
      <c r="D9850" s="26"/>
      <c r="F9850" s="87" t="str">
        <f t="shared" si="0"/>
        <v/>
      </c>
      <c r="H9850" s="26" t="str">
        <f t="shared" si="1"/>
        <v/>
      </c>
      <c r="I9850" s="26" t="str">
        <f t="shared" si="2"/>
        <v/>
      </c>
      <c r="J9850" s="86">
        <f t="shared" si="3"/>
        <v>0</v>
      </c>
      <c r="R9850" s="26"/>
    </row>
    <row r="9851" spans="1:18" ht="15.75" customHeight="1">
      <c r="A9851" s="26"/>
      <c r="B9851" s="86"/>
      <c r="D9851" s="26"/>
      <c r="F9851" s="87" t="str">
        <f t="shared" si="0"/>
        <v/>
      </c>
      <c r="H9851" s="26" t="str">
        <f t="shared" si="1"/>
        <v/>
      </c>
      <c r="I9851" s="26" t="str">
        <f t="shared" si="2"/>
        <v/>
      </c>
      <c r="J9851" s="86">
        <f t="shared" si="3"/>
        <v>0</v>
      </c>
      <c r="R9851" s="26"/>
    </row>
    <row r="9852" spans="1:18" ht="15.75" customHeight="1">
      <c r="A9852" s="26"/>
      <c r="B9852" s="86"/>
      <c r="D9852" s="26"/>
      <c r="F9852" s="87" t="str">
        <f t="shared" si="0"/>
        <v/>
      </c>
      <c r="H9852" s="26" t="str">
        <f t="shared" si="1"/>
        <v/>
      </c>
      <c r="I9852" s="26" t="str">
        <f t="shared" si="2"/>
        <v/>
      </c>
      <c r="J9852" s="86">
        <f t="shared" si="3"/>
        <v>0</v>
      </c>
      <c r="R9852" s="26"/>
    </row>
    <row r="9853" spans="1:18" ht="15.75" customHeight="1">
      <c r="A9853" s="26"/>
      <c r="B9853" s="86"/>
      <c r="D9853" s="26"/>
      <c r="F9853" s="87" t="str">
        <f t="shared" si="0"/>
        <v/>
      </c>
      <c r="H9853" s="26" t="str">
        <f t="shared" si="1"/>
        <v/>
      </c>
      <c r="I9853" s="26" t="str">
        <f t="shared" si="2"/>
        <v/>
      </c>
      <c r="J9853" s="86">
        <f t="shared" si="3"/>
        <v>0</v>
      </c>
      <c r="R9853" s="26"/>
    </row>
    <row r="9854" spans="1:18" ht="15.75" customHeight="1">
      <c r="A9854" s="26"/>
      <c r="B9854" s="86"/>
      <c r="D9854" s="26"/>
      <c r="F9854" s="87" t="str">
        <f t="shared" si="0"/>
        <v/>
      </c>
      <c r="H9854" s="26" t="str">
        <f t="shared" si="1"/>
        <v/>
      </c>
      <c r="I9854" s="26" t="str">
        <f t="shared" si="2"/>
        <v/>
      </c>
      <c r="J9854" s="86">
        <f t="shared" si="3"/>
        <v>0</v>
      </c>
      <c r="R9854" s="26"/>
    </row>
    <row r="9855" spans="1:18" ht="15.75" customHeight="1">
      <c r="A9855" s="26"/>
      <c r="B9855" s="86"/>
      <c r="D9855" s="26"/>
      <c r="F9855" s="87" t="str">
        <f t="shared" si="0"/>
        <v/>
      </c>
      <c r="H9855" s="26" t="str">
        <f t="shared" si="1"/>
        <v/>
      </c>
      <c r="I9855" s="26" t="str">
        <f t="shared" si="2"/>
        <v/>
      </c>
      <c r="J9855" s="86">
        <f t="shared" si="3"/>
        <v>0</v>
      </c>
      <c r="R9855" s="26"/>
    </row>
    <row r="9856" spans="1:18" ht="15.75" customHeight="1">
      <c r="A9856" s="26"/>
      <c r="B9856" s="86"/>
      <c r="D9856" s="26"/>
      <c r="F9856" s="87" t="str">
        <f t="shared" si="0"/>
        <v/>
      </c>
      <c r="H9856" s="26" t="str">
        <f t="shared" si="1"/>
        <v/>
      </c>
      <c r="I9856" s="26" t="str">
        <f t="shared" si="2"/>
        <v/>
      </c>
      <c r="J9856" s="86">
        <f t="shared" si="3"/>
        <v>0</v>
      </c>
      <c r="R9856" s="26"/>
    </row>
    <row r="9857" spans="1:18" ht="15.75" customHeight="1">
      <c r="A9857" s="26"/>
      <c r="B9857" s="86"/>
      <c r="D9857" s="26"/>
      <c r="F9857" s="87" t="str">
        <f t="shared" si="0"/>
        <v/>
      </c>
      <c r="H9857" s="26" t="str">
        <f t="shared" si="1"/>
        <v/>
      </c>
      <c r="I9857" s="26" t="str">
        <f t="shared" si="2"/>
        <v/>
      </c>
      <c r="J9857" s="86">
        <f t="shared" si="3"/>
        <v>0</v>
      </c>
      <c r="R9857" s="26"/>
    </row>
    <row r="9858" spans="1:18" ht="15.75" customHeight="1">
      <c r="A9858" s="26"/>
      <c r="B9858" s="86"/>
      <c r="D9858" s="26"/>
      <c r="F9858" s="87" t="str">
        <f t="shared" si="0"/>
        <v/>
      </c>
      <c r="H9858" s="26" t="str">
        <f t="shared" si="1"/>
        <v/>
      </c>
      <c r="I9858" s="26" t="str">
        <f t="shared" si="2"/>
        <v/>
      </c>
      <c r="J9858" s="86">
        <f t="shared" si="3"/>
        <v>0</v>
      </c>
      <c r="R9858" s="26"/>
    </row>
    <row r="9859" spans="1:18" ht="15.75" customHeight="1">
      <c r="A9859" s="26"/>
      <c r="B9859" s="86"/>
      <c r="D9859" s="26"/>
      <c r="F9859" s="87" t="str">
        <f t="shared" si="0"/>
        <v/>
      </c>
      <c r="H9859" s="26" t="str">
        <f t="shared" si="1"/>
        <v/>
      </c>
      <c r="I9859" s="26" t="str">
        <f t="shared" si="2"/>
        <v/>
      </c>
      <c r="J9859" s="86">
        <f t="shared" si="3"/>
        <v>0</v>
      </c>
      <c r="R9859" s="26"/>
    </row>
    <row r="9860" spans="1:18" ht="15.75" customHeight="1">
      <c r="A9860" s="26"/>
      <c r="B9860" s="86"/>
      <c r="D9860" s="26"/>
      <c r="F9860" s="87" t="str">
        <f t="shared" si="0"/>
        <v/>
      </c>
      <c r="H9860" s="26" t="str">
        <f t="shared" si="1"/>
        <v/>
      </c>
      <c r="I9860" s="26" t="str">
        <f t="shared" si="2"/>
        <v/>
      </c>
      <c r="J9860" s="86">
        <f t="shared" si="3"/>
        <v>0</v>
      </c>
      <c r="R9860" s="26"/>
    </row>
    <row r="9861" spans="1:18" ht="15.75" customHeight="1">
      <c r="A9861" s="26"/>
      <c r="B9861" s="86"/>
      <c r="D9861" s="26"/>
      <c r="F9861" s="87" t="str">
        <f t="shared" si="0"/>
        <v/>
      </c>
      <c r="H9861" s="26" t="str">
        <f t="shared" si="1"/>
        <v/>
      </c>
      <c r="I9861" s="26" t="str">
        <f t="shared" si="2"/>
        <v/>
      </c>
      <c r="J9861" s="86">
        <f t="shared" si="3"/>
        <v>0</v>
      </c>
      <c r="R9861" s="26"/>
    </row>
    <row r="9862" spans="1:18" ht="15.75" customHeight="1">
      <c r="A9862" s="26"/>
      <c r="B9862" s="86"/>
      <c r="D9862" s="26"/>
      <c r="F9862" s="87" t="str">
        <f t="shared" si="0"/>
        <v/>
      </c>
      <c r="H9862" s="26" t="str">
        <f t="shared" si="1"/>
        <v/>
      </c>
      <c r="I9862" s="26" t="str">
        <f t="shared" si="2"/>
        <v/>
      </c>
      <c r="J9862" s="86">
        <f t="shared" si="3"/>
        <v>0</v>
      </c>
      <c r="R9862" s="26"/>
    </row>
    <row r="9863" spans="1:18" ht="15.75" customHeight="1">
      <c r="A9863" s="26"/>
      <c r="B9863" s="86"/>
      <c r="D9863" s="26"/>
      <c r="F9863" s="87" t="str">
        <f t="shared" si="0"/>
        <v/>
      </c>
      <c r="H9863" s="26" t="str">
        <f t="shared" si="1"/>
        <v/>
      </c>
      <c r="I9863" s="26" t="str">
        <f t="shared" si="2"/>
        <v/>
      </c>
      <c r="J9863" s="86">
        <f t="shared" si="3"/>
        <v>0</v>
      </c>
      <c r="R9863" s="26"/>
    </row>
    <row r="9864" spans="1:18" ht="15.75" customHeight="1">
      <c r="A9864" s="26"/>
      <c r="B9864" s="86"/>
      <c r="D9864" s="26"/>
      <c r="F9864" s="87" t="str">
        <f t="shared" si="0"/>
        <v/>
      </c>
      <c r="H9864" s="26" t="str">
        <f t="shared" si="1"/>
        <v/>
      </c>
      <c r="I9864" s="26" t="str">
        <f t="shared" si="2"/>
        <v/>
      </c>
      <c r="J9864" s="86">
        <f t="shared" si="3"/>
        <v>0</v>
      </c>
      <c r="R9864" s="26"/>
    </row>
    <row r="9865" spans="1:18" ht="15.75" customHeight="1">
      <c r="A9865" s="26"/>
      <c r="B9865" s="86"/>
      <c r="D9865" s="26"/>
      <c r="F9865" s="87" t="str">
        <f t="shared" si="0"/>
        <v/>
      </c>
      <c r="H9865" s="26" t="str">
        <f t="shared" si="1"/>
        <v/>
      </c>
      <c r="I9865" s="26" t="str">
        <f t="shared" si="2"/>
        <v/>
      </c>
      <c r="J9865" s="86">
        <f t="shared" si="3"/>
        <v>0</v>
      </c>
      <c r="R9865" s="26"/>
    </row>
    <row r="9866" spans="1:18" ht="15.75" customHeight="1">
      <c r="A9866" s="26"/>
      <c r="B9866" s="86"/>
      <c r="D9866" s="26"/>
      <c r="F9866" s="87" t="str">
        <f t="shared" si="0"/>
        <v/>
      </c>
      <c r="H9866" s="26" t="str">
        <f t="shared" si="1"/>
        <v/>
      </c>
      <c r="I9866" s="26" t="str">
        <f t="shared" si="2"/>
        <v/>
      </c>
      <c r="J9866" s="86">
        <f t="shared" si="3"/>
        <v>0</v>
      </c>
      <c r="R9866" s="26"/>
    </row>
    <row r="9867" spans="1:18" ht="15.75" customHeight="1">
      <c r="A9867" s="26"/>
      <c r="B9867" s="86"/>
      <c r="D9867" s="26"/>
      <c r="F9867" s="87" t="str">
        <f t="shared" si="0"/>
        <v/>
      </c>
      <c r="H9867" s="26" t="str">
        <f t="shared" si="1"/>
        <v/>
      </c>
      <c r="I9867" s="26" t="str">
        <f t="shared" si="2"/>
        <v/>
      </c>
      <c r="J9867" s="86">
        <f t="shared" si="3"/>
        <v>0</v>
      </c>
      <c r="R9867" s="26"/>
    </row>
    <row r="9868" spans="1:18" ht="15.75" customHeight="1">
      <c r="A9868" s="26"/>
      <c r="B9868" s="86"/>
      <c r="D9868" s="26"/>
      <c r="F9868" s="87" t="str">
        <f t="shared" si="0"/>
        <v/>
      </c>
      <c r="H9868" s="26" t="str">
        <f t="shared" si="1"/>
        <v/>
      </c>
      <c r="I9868" s="26" t="str">
        <f t="shared" si="2"/>
        <v/>
      </c>
      <c r="J9868" s="86">
        <f t="shared" si="3"/>
        <v>0</v>
      </c>
      <c r="R9868" s="26"/>
    </row>
    <row r="9869" spans="1:18" ht="15.75" customHeight="1">
      <c r="A9869" s="26"/>
      <c r="B9869" s="86"/>
      <c r="D9869" s="26"/>
      <c r="F9869" s="87" t="str">
        <f t="shared" si="0"/>
        <v/>
      </c>
      <c r="H9869" s="26" t="str">
        <f t="shared" si="1"/>
        <v/>
      </c>
      <c r="I9869" s="26" t="str">
        <f t="shared" si="2"/>
        <v/>
      </c>
      <c r="J9869" s="86">
        <f t="shared" si="3"/>
        <v>0</v>
      </c>
      <c r="R9869" s="26"/>
    </row>
    <row r="9870" spans="1:18" ht="15.75" customHeight="1">
      <c r="A9870" s="26"/>
      <c r="B9870" s="86"/>
      <c r="D9870" s="26"/>
      <c r="F9870" s="87" t="str">
        <f t="shared" si="0"/>
        <v/>
      </c>
      <c r="H9870" s="26" t="str">
        <f t="shared" si="1"/>
        <v/>
      </c>
      <c r="I9870" s="26" t="str">
        <f t="shared" si="2"/>
        <v/>
      </c>
      <c r="J9870" s="86">
        <f t="shared" si="3"/>
        <v>0</v>
      </c>
      <c r="R9870" s="26"/>
    </row>
    <row r="9871" spans="1:18" ht="15.75" customHeight="1">
      <c r="A9871" s="26"/>
      <c r="B9871" s="86"/>
      <c r="D9871" s="26"/>
      <c r="F9871" s="87" t="str">
        <f t="shared" si="0"/>
        <v/>
      </c>
      <c r="H9871" s="26" t="str">
        <f t="shared" si="1"/>
        <v/>
      </c>
      <c r="I9871" s="26" t="str">
        <f t="shared" si="2"/>
        <v/>
      </c>
      <c r="J9871" s="86">
        <f t="shared" si="3"/>
        <v>0</v>
      </c>
      <c r="R9871" s="26"/>
    </row>
    <row r="9872" spans="1:18" ht="15.75" customHeight="1">
      <c r="A9872" s="26"/>
      <c r="B9872" s="86"/>
      <c r="D9872" s="26"/>
      <c r="F9872" s="87" t="str">
        <f t="shared" si="0"/>
        <v/>
      </c>
      <c r="H9872" s="26" t="str">
        <f t="shared" si="1"/>
        <v/>
      </c>
      <c r="I9872" s="26" t="str">
        <f t="shared" si="2"/>
        <v/>
      </c>
      <c r="J9872" s="86">
        <f t="shared" si="3"/>
        <v>0</v>
      </c>
      <c r="R9872" s="26"/>
    </row>
    <row r="9873" spans="1:18" ht="15.75" customHeight="1">
      <c r="A9873" s="26"/>
      <c r="B9873" s="86"/>
      <c r="D9873" s="26"/>
      <c r="F9873" s="87" t="str">
        <f t="shared" si="0"/>
        <v/>
      </c>
      <c r="H9873" s="26" t="str">
        <f t="shared" si="1"/>
        <v/>
      </c>
      <c r="I9873" s="26" t="str">
        <f t="shared" si="2"/>
        <v/>
      </c>
      <c r="J9873" s="86">
        <f t="shared" si="3"/>
        <v>0</v>
      </c>
      <c r="R9873" s="26"/>
    </row>
    <row r="9874" spans="1:18" ht="15.75" customHeight="1">
      <c r="A9874" s="26"/>
      <c r="B9874" s="86"/>
      <c r="D9874" s="26"/>
      <c r="F9874" s="87" t="str">
        <f t="shared" si="0"/>
        <v/>
      </c>
      <c r="H9874" s="26" t="str">
        <f t="shared" si="1"/>
        <v/>
      </c>
      <c r="I9874" s="26" t="str">
        <f t="shared" si="2"/>
        <v/>
      </c>
      <c r="J9874" s="86">
        <f t="shared" si="3"/>
        <v>0</v>
      </c>
      <c r="R9874" s="26"/>
    </row>
    <row r="9875" spans="1:18" ht="15.75" customHeight="1">
      <c r="A9875" s="26"/>
      <c r="B9875" s="86"/>
      <c r="D9875" s="26"/>
      <c r="F9875" s="87" t="str">
        <f t="shared" si="0"/>
        <v/>
      </c>
      <c r="H9875" s="26" t="str">
        <f t="shared" si="1"/>
        <v/>
      </c>
      <c r="I9875" s="26" t="str">
        <f t="shared" si="2"/>
        <v/>
      </c>
      <c r="J9875" s="86">
        <f t="shared" si="3"/>
        <v>0</v>
      </c>
      <c r="R9875" s="26"/>
    </row>
    <row r="9876" spans="1:18" ht="15.75" customHeight="1">
      <c r="A9876" s="26"/>
      <c r="B9876" s="86"/>
      <c r="D9876" s="26"/>
      <c r="F9876" s="87" t="str">
        <f t="shared" si="0"/>
        <v/>
      </c>
      <c r="H9876" s="26" t="str">
        <f t="shared" si="1"/>
        <v/>
      </c>
      <c r="I9876" s="26" t="str">
        <f t="shared" si="2"/>
        <v/>
      </c>
      <c r="J9876" s="86">
        <f t="shared" si="3"/>
        <v>0</v>
      </c>
      <c r="R9876" s="26"/>
    </row>
    <row r="9877" spans="1:18" ht="15.75" customHeight="1">
      <c r="A9877" s="26"/>
      <c r="B9877" s="86"/>
      <c r="D9877" s="26"/>
      <c r="F9877" s="87" t="str">
        <f t="shared" si="0"/>
        <v/>
      </c>
      <c r="H9877" s="26" t="str">
        <f t="shared" si="1"/>
        <v/>
      </c>
      <c r="I9877" s="26" t="str">
        <f t="shared" si="2"/>
        <v/>
      </c>
      <c r="J9877" s="86">
        <f t="shared" si="3"/>
        <v>0</v>
      </c>
      <c r="R9877" s="26"/>
    </row>
    <row r="9878" spans="1:18" ht="15.75" customHeight="1">
      <c r="A9878" s="26"/>
      <c r="B9878" s="86"/>
      <c r="D9878" s="26"/>
      <c r="F9878" s="87" t="str">
        <f t="shared" si="0"/>
        <v/>
      </c>
      <c r="H9878" s="26" t="str">
        <f t="shared" si="1"/>
        <v/>
      </c>
      <c r="I9878" s="26" t="str">
        <f t="shared" si="2"/>
        <v/>
      </c>
      <c r="J9878" s="86">
        <f t="shared" si="3"/>
        <v>0</v>
      </c>
      <c r="R9878" s="26"/>
    </row>
    <row r="9879" spans="1:18" ht="15.75" customHeight="1">
      <c r="A9879" s="26"/>
      <c r="B9879" s="86"/>
      <c r="D9879" s="26"/>
      <c r="F9879" s="87" t="str">
        <f t="shared" si="0"/>
        <v/>
      </c>
      <c r="H9879" s="26" t="str">
        <f t="shared" si="1"/>
        <v/>
      </c>
      <c r="I9879" s="26" t="str">
        <f t="shared" si="2"/>
        <v/>
      </c>
      <c r="J9879" s="86">
        <f t="shared" si="3"/>
        <v>0</v>
      </c>
      <c r="R9879" s="26"/>
    </row>
    <row r="9880" spans="1:18" ht="15.75" customHeight="1">
      <c r="A9880" s="26"/>
      <c r="B9880" s="86"/>
      <c r="D9880" s="26"/>
      <c r="F9880" s="87" t="str">
        <f t="shared" si="0"/>
        <v/>
      </c>
      <c r="H9880" s="26" t="str">
        <f t="shared" si="1"/>
        <v/>
      </c>
      <c r="I9880" s="26" t="str">
        <f t="shared" si="2"/>
        <v/>
      </c>
      <c r="J9880" s="86">
        <f t="shared" si="3"/>
        <v>0</v>
      </c>
      <c r="R9880" s="26"/>
    </row>
    <row r="9881" spans="1:18" ht="15.75" customHeight="1">
      <c r="A9881" s="26"/>
      <c r="B9881" s="86"/>
      <c r="D9881" s="26"/>
      <c r="F9881" s="87" t="str">
        <f t="shared" si="0"/>
        <v/>
      </c>
      <c r="H9881" s="26" t="str">
        <f t="shared" si="1"/>
        <v/>
      </c>
      <c r="I9881" s="26" t="str">
        <f t="shared" si="2"/>
        <v/>
      </c>
      <c r="J9881" s="86">
        <f t="shared" si="3"/>
        <v>0</v>
      </c>
      <c r="R9881" s="26"/>
    </row>
    <row r="9882" spans="1:18" ht="15.75" customHeight="1">
      <c r="A9882" s="26"/>
      <c r="B9882" s="86"/>
      <c r="D9882" s="26"/>
      <c r="F9882" s="87" t="str">
        <f t="shared" si="0"/>
        <v/>
      </c>
      <c r="H9882" s="26" t="str">
        <f t="shared" si="1"/>
        <v/>
      </c>
      <c r="I9882" s="26" t="str">
        <f t="shared" si="2"/>
        <v/>
      </c>
      <c r="J9882" s="86">
        <f t="shared" si="3"/>
        <v>0</v>
      </c>
      <c r="R9882" s="26"/>
    </row>
    <row r="9883" spans="1:18" ht="15.75" customHeight="1">
      <c r="A9883" s="26"/>
      <c r="B9883" s="86"/>
      <c r="D9883" s="26"/>
      <c r="F9883" s="87" t="str">
        <f t="shared" si="0"/>
        <v/>
      </c>
      <c r="H9883" s="26" t="str">
        <f t="shared" si="1"/>
        <v/>
      </c>
      <c r="I9883" s="26" t="str">
        <f t="shared" si="2"/>
        <v/>
      </c>
      <c r="J9883" s="86">
        <f t="shared" si="3"/>
        <v>0</v>
      </c>
      <c r="R9883" s="26"/>
    </row>
    <row r="9884" spans="1:18" ht="15.75" customHeight="1">
      <c r="A9884" s="26"/>
      <c r="B9884" s="86"/>
      <c r="D9884" s="26"/>
      <c r="F9884" s="87" t="str">
        <f t="shared" si="0"/>
        <v/>
      </c>
      <c r="H9884" s="26" t="str">
        <f t="shared" si="1"/>
        <v/>
      </c>
      <c r="I9884" s="26" t="str">
        <f t="shared" si="2"/>
        <v/>
      </c>
      <c r="J9884" s="86">
        <f t="shared" si="3"/>
        <v>0</v>
      </c>
      <c r="R9884" s="26"/>
    </row>
    <row r="9885" spans="1:18" ht="15.75" customHeight="1">
      <c r="A9885" s="26"/>
      <c r="B9885" s="86"/>
      <c r="D9885" s="26"/>
      <c r="F9885" s="87" t="str">
        <f t="shared" si="0"/>
        <v/>
      </c>
      <c r="H9885" s="26" t="str">
        <f t="shared" si="1"/>
        <v/>
      </c>
      <c r="I9885" s="26" t="str">
        <f t="shared" si="2"/>
        <v/>
      </c>
      <c r="J9885" s="86">
        <f t="shared" si="3"/>
        <v>0</v>
      </c>
      <c r="R9885" s="26"/>
    </row>
    <row r="9886" spans="1:18" ht="15.75" customHeight="1">
      <c r="A9886" s="26"/>
      <c r="B9886" s="86"/>
      <c r="D9886" s="26"/>
      <c r="F9886" s="87" t="str">
        <f t="shared" si="0"/>
        <v/>
      </c>
      <c r="H9886" s="26" t="str">
        <f t="shared" si="1"/>
        <v/>
      </c>
      <c r="I9886" s="26" t="str">
        <f t="shared" si="2"/>
        <v/>
      </c>
      <c r="J9886" s="86">
        <f t="shared" si="3"/>
        <v>0</v>
      </c>
      <c r="R9886" s="26"/>
    </row>
    <row r="9887" spans="1:18" ht="15.75" customHeight="1">
      <c r="A9887" s="26"/>
      <c r="B9887" s="86"/>
      <c r="D9887" s="26"/>
      <c r="F9887" s="87" t="str">
        <f t="shared" si="0"/>
        <v/>
      </c>
      <c r="H9887" s="26" t="str">
        <f t="shared" si="1"/>
        <v/>
      </c>
      <c r="I9887" s="26" t="str">
        <f t="shared" si="2"/>
        <v/>
      </c>
      <c r="J9887" s="86">
        <f t="shared" si="3"/>
        <v>0</v>
      </c>
      <c r="R9887" s="26"/>
    </row>
    <row r="9888" spans="1:18" ht="15.75" customHeight="1">
      <c r="A9888" s="26"/>
      <c r="B9888" s="86"/>
      <c r="D9888" s="26"/>
      <c r="F9888" s="87" t="str">
        <f t="shared" si="0"/>
        <v/>
      </c>
      <c r="H9888" s="26" t="str">
        <f t="shared" si="1"/>
        <v/>
      </c>
      <c r="I9888" s="26" t="str">
        <f t="shared" si="2"/>
        <v/>
      </c>
      <c r="J9888" s="86">
        <f t="shared" si="3"/>
        <v>0</v>
      </c>
      <c r="R9888" s="26"/>
    </row>
    <row r="9889" spans="1:18" ht="15.75" customHeight="1">
      <c r="A9889" s="26"/>
      <c r="B9889" s="86"/>
      <c r="D9889" s="26"/>
      <c r="F9889" s="87" t="str">
        <f t="shared" si="0"/>
        <v/>
      </c>
      <c r="H9889" s="26" t="str">
        <f t="shared" si="1"/>
        <v/>
      </c>
      <c r="I9889" s="26" t="str">
        <f t="shared" si="2"/>
        <v/>
      </c>
      <c r="J9889" s="86">
        <f t="shared" si="3"/>
        <v>0</v>
      </c>
      <c r="R9889" s="26"/>
    </row>
    <row r="9890" spans="1:18" ht="15.75" customHeight="1">
      <c r="A9890" s="26"/>
      <c r="B9890" s="86"/>
      <c r="D9890" s="26"/>
      <c r="F9890" s="87" t="str">
        <f t="shared" si="0"/>
        <v/>
      </c>
      <c r="H9890" s="26" t="str">
        <f t="shared" si="1"/>
        <v/>
      </c>
      <c r="I9890" s="26" t="str">
        <f t="shared" si="2"/>
        <v/>
      </c>
      <c r="J9890" s="86">
        <f t="shared" si="3"/>
        <v>0</v>
      </c>
      <c r="R9890" s="26"/>
    </row>
    <row r="9891" spans="1:18" ht="15.75" customHeight="1">
      <c r="A9891" s="26"/>
      <c r="B9891" s="86"/>
      <c r="D9891" s="26"/>
      <c r="F9891" s="87" t="str">
        <f t="shared" si="0"/>
        <v/>
      </c>
      <c r="H9891" s="26" t="str">
        <f t="shared" si="1"/>
        <v/>
      </c>
      <c r="I9891" s="26" t="str">
        <f t="shared" si="2"/>
        <v/>
      </c>
      <c r="J9891" s="86">
        <f t="shared" si="3"/>
        <v>0</v>
      </c>
      <c r="R9891" s="26"/>
    </row>
    <row r="9892" spans="1:18" ht="15.75" customHeight="1">
      <c r="A9892" s="26"/>
      <c r="B9892" s="86"/>
      <c r="D9892" s="26"/>
      <c r="F9892" s="87" t="str">
        <f t="shared" si="0"/>
        <v/>
      </c>
      <c r="H9892" s="26" t="str">
        <f t="shared" si="1"/>
        <v/>
      </c>
      <c r="I9892" s="26" t="str">
        <f t="shared" si="2"/>
        <v/>
      </c>
      <c r="J9892" s="86">
        <f t="shared" si="3"/>
        <v>0</v>
      </c>
      <c r="R9892" s="26"/>
    </row>
    <row r="9893" spans="1:18" ht="15.75" customHeight="1">
      <c r="A9893" s="26"/>
      <c r="B9893" s="86"/>
      <c r="D9893" s="26"/>
      <c r="F9893" s="87" t="str">
        <f t="shared" si="0"/>
        <v/>
      </c>
      <c r="H9893" s="26" t="str">
        <f t="shared" si="1"/>
        <v/>
      </c>
      <c r="I9893" s="26" t="str">
        <f t="shared" si="2"/>
        <v/>
      </c>
      <c r="J9893" s="86">
        <f t="shared" si="3"/>
        <v>0</v>
      </c>
      <c r="R9893" s="26"/>
    </row>
    <row r="9894" spans="1:18" ht="15.75" customHeight="1">
      <c r="A9894" s="26"/>
      <c r="B9894" s="86"/>
      <c r="D9894" s="26"/>
      <c r="F9894" s="87" t="str">
        <f t="shared" si="0"/>
        <v/>
      </c>
      <c r="H9894" s="26" t="str">
        <f t="shared" si="1"/>
        <v/>
      </c>
      <c r="I9894" s="26" t="str">
        <f t="shared" si="2"/>
        <v/>
      </c>
      <c r="J9894" s="86">
        <f t="shared" si="3"/>
        <v>0</v>
      </c>
      <c r="R9894" s="26"/>
    </row>
    <row r="9895" spans="1:18" ht="15.75" customHeight="1">
      <c r="A9895" s="26"/>
      <c r="B9895" s="86"/>
      <c r="D9895" s="26"/>
      <c r="F9895" s="87" t="str">
        <f t="shared" si="0"/>
        <v/>
      </c>
      <c r="H9895" s="26" t="str">
        <f t="shared" si="1"/>
        <v/>
      </c>
      <c r="I9895" s="26" t="str">
        <f t="shared" si="2"/>
        <v/>
      </c>
      <c r="J9895" s="86">
        <f t="shared" si="3"/>
        <v>0</v>
      </c>
      <c r="R9895" s="26"/>
    </row>
    <row r="9896" spans="1:18" ht="15.75" customHeight="1">
      <c r="A9896" s="26"/>
      <c r="B9896" s="86"/>
      <c r="D9896" s="26"/>
      <c r="F9896" s="87" t="str">
        <f t="shared" si="0"/>
        <v/>
      </c>
      <c r="H9896" s="26" t="str">
        <f t="shared" si="1"/>
        <v/>
      </c>
      <c r="I9896" s="26" t="str">
        <f t="shared" si="2"/>
        <v/>
      </c>
      <c r="J9896" s="86">
        <f t="shared" si="3"/>
        <v>0</v>
      </c>
      <c r="R9896" s="26"/>
    </row>
    <row r="9897" spans="1:18" ht="15.75" customHeight="1">
      <c r="A9897" s="26"/>
      <c r="B9897" s="86"/>
      <c r="D9897" s="26"/>
      <c r="F9897" s="87" t="str">
        <f t="shared" si="0"/>
        <v/>
      </c>
      <c r="H9897" s="26" t="str">
        <f t="shared" si="1"/>
        <v/>
      </c>
      <c r="I9897" s="26" t="str">
        <f t="shared" si="2"/>
        <v/>
      </c>
      <c r="J9897" s="86">
        <f t="shared" si="3"/>
        <v>0</v>
      </c>
      <c r="R9897" s="26"/>
    </row>
    <row r="9898" spans="1:18" ht="15.75" customHeight="1">
      <c r="A9898" s="26"/>
      <c r="B9898" s="86"/>
      <c r="D9898" s="26"/>
      <c r="F9898" s="87" t="str">
        <f t="shared" si="0"/>
        <v/>
      </c>
      <c r="H9898" s="26" t="str">
        <f t="shared" si="1"/>
        <v/>
      </c>
      <c r="I9898" s="26" t="str">
        <f t="shared" si="2"/>
        <v/>
      </c>
      <c r="J9898" s="86">
        <f t="shared" si="3"/>
        <v>0</v>
      </c>
      <c r="R9898" s="26"/>
    </row>
    <row r="9899" spans="1:18" ht="15.75" customHeight="1">
      <c r="A9899" s="26"/>
      <c r="B9899" s="86"/>
      <c r="D9899" s="26"/>
      <c r="F9899" s="87" t="str">
        <f t="shared" si="0"/>
        <v/>
      </c>
      <c r="H9899" s="26" t="str">
        <f t="shared" si="1"/>
        <v/>
      </c>
      <c r="I9899" s="26" t="str">
        <f t="shared" si="2"/>
        <v/>
      </c>
      <c r="J9899" s="86">
        <f t="shared" si="3"/>
        <v>0</v>
      </c>
      <c r="R9899" s="26"/>
    </row>
    <row r="9900" spans="1:18" ht="15.75" customHeight="1">
      <c r="A9900" s="26"/>
      <c r="B9900" s="86"/>
      <c r="D9900" s="26"/>
      <c r="F9900" s="87" t="str">
        <f t="shared" si="0"/>
        <v/>
      </c>
      <c r="H9900" s="26" t="str">
        <f t="shared" si="1"/>
        <v/>
      </c>
      <c r="I9900" s="26" t="str">
        <f t="shared" si="2"/>
        <v/>
      </c>
      <c r="J9900" s="86">
        <f t="shared" si="3"/>
        <v>0</v>
      </c>
      <c r="R9900" s="26"/>
    </row>
    <row r="9901" spans="1:18" ht="15.75" customHeight="1">
      <c r="A9901" s="26"/>
      <c r="B9901" s="86"/>
      <c r="D9901" s="26"/>
      <c r="F9901" s="87" t="str">
        <f t="shared" si="0"/>
        <v/>
      </c>
      <c r="H9901" s="26" t="str">
        <f t="shared" si="1"/>
        <v/>
      </c>
      <c r="I9901" s="26" t="str">
        <f t="shared" si="2"/>
        <v/>
      </c>
      <c r="J9901" s="86">
        <f t="shared" si="3"/>
        <v>0</v>
      </c>
      <c r="R9901" s="26"/>
    </row>
    <row r="9902" spans="1:18" ht="15.75" customHeight="1">
      <c r="A9902" s="26"/>
      <c r="B9902" s="86"/>
      <c r="D9902" s="26"/>
      <c r="F9902" s="87" t="str">
        <f t="shared" si="0"/>
        <v/>
      </c>
      <c r="H9902" s="26" t="str">
        <f t="shared" si="1"/>
        <v/>
      </c>
      <c r="I9902" s="26" t="str">
        <f t="shared" si="2"/>
        <v/>
      </c>
      <c r="J9902" s="86">
        <f t="shared" si="3"/>
        <v>0</v>
      </c>
      <c r="R9902" s="26"/>
    </row>
    <row r="9903" spans="1:18" ht="15.75" customHeight="1">
      <c r="A9903" s="26"/>
      <c r="B9903" s="86"/>
      <c r="D9903" s="26"/>
      <c r="F9903" s="87" t="str">
        <f t="shared" si="0"/>
        <v/>
      </c>
      <c r="H9903" s="26" t="str">
        <f t="shared" si="1"/>
        <v/>
      </c>
      <c r="I9903" s="26" t="str">
        <f t="shared" si="2"/>
        <v/>
      </c>
      <c r="J9903" s="86">
        <f t="shared" si="3"/>
        <v>0</v>
      </c>
      <c r="R9903" s="26"/>
    </row>
    <row r="9904" spans="1:18" ht="15.75" customHeight="1">
      <c r="A9904" s="26"/>
      <c r="B9904" s="86"/>
      <c r="D9904" s="26"/>
      <c r="F9904" s="87" t="str">
        <f t="shared" si="0"/>
        <v/>
      </c>
      <c r="H9904" s="26" t="str">
        <f t="shared" si="1"/>
        <v/>
      </c>
      <c r="I9904" s="26" t="str">
        <f t="shared" si="2"/>
        <v/>
      </c>
      <c r="J9904" s="86">
        <f t="shared" si="3"/>
        <v>0</v>
      </c>
      <c r="R9904" s="26"/>
    </row>
    <row r="9905" spans="1:18" ht="15.75" customHeight="1">
      <c r="A9905" s="26"/>
      <c r="B9905" s="86"/>
      <c r="D9905" s="26"/>
      <c r="F9905" s="87" t="str">
        <f t="shared" si="0"/>
        <v/>
      </c>
      <c r="H9905" s="26" t="str">
        <f t="shared" si="1"/>
        <v/>
      </c>
      <c r="I9905" s="26" t="str">
        <f t="shared" si="2"/>
        <v/>
      </c>
      <c r="J9905" s="86">
        <f t="shared" si="3"/>
        <v>0</v>
      </c>
      <c r="R9905" s="26"/>
    </row>
    <row r="9906" spans="1:18" ht="15.75" customHeight="1">
      <c r="A9906" s="26"/>
      <c r="B9906" s="86"/>
      <c r="D9906" s="26"/>
      <c r="F9906" s="87" t="str">
        <f t="shared" si="0"/>
        <v/>
      </c>
      <c r="H9906" s="26" t="str">
        <f t="shared" si="1"/>
        <v/>
      </c>
      <c r="I9906" s="26" t="str">
        <f t="shared" si="2"/>
        <v/>
      </c>
      <c r="J9906" s="86">
        <f t="shared" si="3"/>
        <v>0</v>
      </c>
      <c r="R9906" s="26"/>
    </row>
    <row r="9907" spans="1:18" ht="15.75" customHeight="1">
      <c r="A9907" s="26"/>
      <c r="B9907" s="86"/>
      <c r="D9907" s="26"/>
      <c r="F9907" s="87" t="str">
        <f t="shared" si="0"/>
        <v/>
      </c>
      <c r="H9907" s="26" t="str">
        <f t="shared" si="1"/>
        <v/>
      </c>
      <c r="I9907" s="26" t="str">
        <f t="shared" si="2"/>
        <v/>
      </c>
      <c r="J9907" s="86">
        <f t="shared" si="3"/>
        <v>0</v>
      </c>
      <c r="R9907" s="26"/>
    </row>
    <row r="9908" spans="1:18" ht="15.75" customHeight="1">
      <c r="A9908" s="26"/>
      <c r="B9908" s="86"/>
      <c r="D9908" s="26"/>
      <c r="F9908" s="87" t="str">
        <f t="shared" si="0"/>
        <v/>
      </c>
      <c r="H9908" s="26" t="str">
        <f t="shared" si="1"/>
        <v/>
      </c>
      <c r="I9908" s="26" t="str">
        <f t="shared" si="2"/>
        <v/>
      </c>
      <c r="J9908" s="86">
        <f t="shared" si="3"/>
        <v>0</v>
      </c>
      <c r="R9908" s="26"/>
    </row>
    <row r="9909" spans="1:18" ht="15.75" customHeight="1">
      <c r="A9909" s="26"/>
      <c r="B9909" s="86"/>
      <c r="D9909" s="26"/>
      <c r="F9909" s="87" t="str">
        <f t="shared" si="0"/>
        <v/>
      </c>
      <c r="H9909" s="26" t="str">
        <f t="shared" si="1"/>
        <v/>
      </c>
      <c r="I9909" s="26" t="str">
        <f t="shared" si="2"/>
        <v/>
      </c>
      <c r="J9909" s="86">
        <f t="shared" si="3"/>
        <v>0</v>
      </c>
      <c r="R9909" s="26"/>
    </row>
    <row r="9910" spans="1:18" ht="15.75" customHeight="1">
      <c r="A9910" s="26"/>
      <c r="B9910" s="86"/>
      <c r="D9910" s="26"/>
      <c r="F9910" s="87" t="str">
        <f t="shared" si="0"/>
        <v/>
      </c>
      <c r="H9910" s="26" t="str">
        <f t="shared" si="1"/>
        <v/>
      </c>
      <c r="I9910" s="26" t="str">
        <f t="shared" si="2"/>
        <v/>
      </c>
      <c r="J9910" s="86">
        <f t="shared" si="3"/>
        <v>0</v>
      </c>
      <c r="R9910" s="26"/>
    </row>
    <row r="9911" spans="1:18" ht="15.75" customHeight="1">
      <c r="A9911" s="26"/>
      <c r="B9911" s="86"/>
      <c r="D9911" s="26"/>
      <c r="F9911" s="87" t="str">
        <f t="shared" si="0"/>
        <v/>
      </c>
      <c r="H9911" s="26" t="str">
        <f t="shared" si="1"/>
        <v/>
      </c>
      <c r="I9911" s="26" t="str">
        <f t="shared" si="2"/>
        <v/>
      </c>
      <c r="J9911" s="86">
        <f t="shared" si="3"/>
        <v>0</v>
      </c>
      <c r="R9911" s="26"/>
    </row>
    <row r="9912" spans="1:18" ht="15.75" customHeight="1">
      <c r="A9912" s="26"/>
      <c r="B9912" s="86"/>
      <c r="D9912" s="26"/>
      <c r="F9912" s="87" t="str">
        <f t="shared" si="0"/>
        <v/>
      </c>
      <c r="H9912" s="26" t="str">
        <f t="shared" si="1"/>
        <v/>
      </c>
      <c r="I9912" s="26" t="str">
        <f t="shared" si="2"/>
        <v/>
      </c>
      <c r="J9912" s="86">
        <f t="shared" si="3"/>
        <v>0</v>
      </c>
      <c r="R9912" s="26"/>
    </row>
    <row r="9913" spans="1:18" ht="15.75" customHeight="1">
      <c r="A9913" s="26"/>
      <c r="B9913" s="86"/>
      <c r="D9913" s="26"/>
      <c r="F9913" s="87" t="str">
        <f t="shared" si="0"/>
        <v/>
      </c>
      <c r="H9913" s="26" t="str">
        <f t="shared" si="1"/>
        <v/>
      </c>
      <c r="I9913" s="26" t="str">
        <f t="shared" si="2"/>
        <v/>
      </c>
      <c r="J9913" s="86">
        <f t="shared" si="3"/>
        <v>0</v>
      </c>
      <c r="R9913" s="26"/>
    </row>
    <row r="9914" spans="1:18" ht="15.75" customHeight="1">
      <c r="A9914" s="26"/>
      <c r="B9914" s="86"/>
      <c r="D9914" s="26"/>
      <c r="F9914" s="87" t="str">
        <f t="shared" si="0"/>
        <v/>
      </c>
      <c r="H9914" s="26" t="str">
        <f t="shared" si="1"/>
        <v/>
      </c>
      <c r="I9914" s="26" t="str">
        <f t="shared" si="2"/>
        <v/>
      </c>
      <c r="J9914" s="86">
        <f t="shared" si="3"/>
        <v>0</v>
      </c>
      <c r="R9914" s="26"/>
    </row>
    <row r="9915" spans="1:18" ht="15.75" customHeight="1">
      <c r="A9915" s="26"/>
      <c r="B9915" s="86"/>
      <c r="D9915" s="26"/>
      <c r="F9915" s="87" t="str">
        <f t="shared" si="0"/>
        <v/>
      </c>
      <c r="H9915" s="26" t="str">
        <f t="shared" si="1"/>
        <v/>
      </c>
      <c r="I9915" s="26" t="str">
        <f t="shared" si="2"/>
        <v/>
      </c>
      <c r="J9915" s="86">
        <f t="shared" si="3"/>
        <v>0</v>
      </c>
      <c r="R9915" s="26"/>
    </row>
    <row r="9916" spans="1:18" ht="15.75" customHeight="1">
      <c r="A9916" s="26"/>
      <c r="B9916" s="86"/>
      <c r="D9916" s="26"/>
      <c r="F9916" s="87" t="str">
        <f t="shared" si="0"/>
        <v/>
      </c>
      <c r="H9916" s="26" t="str">
        <f t="shared" si="1"/>
        <v/>
      </c>
      <c r="I9916" s="26" t="str">
        <f t="shared" si="2"/>
        <v/>
      </c>
      <c r="J9916" s="86">
        <f t="shared" si="3"/>
        <v>0</v>
      </c>
      <c r="R9916" s="26"/>
    </row>
    <row r="9917" spans="1:18" ht="15.75" customHeight="1">
      <c r="A9917" s="26"/>
      <c r="B9917" s="86"/>
      <c r="D9917" s="26"/>
      <c r="F9917" s="87" t="str">
        <f t="shared" si="0"/>
        <v/>
      </c>
      <c r="H9917" s="26" t="str">
        <f t="shared" si="1"/>
        <v/>
      </c>
      <c r="I9917" s="26" t="str">
        <f t="shared" si="2"/>
        <v/>
      </c>
      <c r="J9917" s="86">
        <f t="shared" si="3"/>
        <v>0</v>
      </c>
      <c r="R9917" s="26"/>
    </row>
    <row r="9918" spans="1:18" ht="15.75" customHeight="1">
      <c r="A9918" s="26"/>
      <c r="B9918" s="86"/>
      <c r="D9918" s="26"/>
      <c r="F9918" s="87" t="str">
        <f t="shared" si="0"/>
        <v/>
      </c>
      <c r="H9918" s="26" t="str">
        <f t="shared" si="1"/>
        <v/>
      </c>
      <c r="I9918" s="26" t="str">
        <f t="shared" si="2"/>
        <v/>
      </c>
      <c r="J9918" s="86">
        <f t="shared" si="3"/>
        <v>0</v>
      </c>
      <c r="R9918" s="26"/>
    </row>
    <row r="9919" spans="1:18" ht="15.75" customHeight="1">
      <c r="A9919" s="26"/>
      <c r="B9919" s="86"/>
      <c r="D9919" s="26"/>
      <c r="F9919" s="87" t="str">
        <f t="shared" si="0"/>
        <v/>
      </c>
      <c r="H9919" s="26" t="str">
        <f t="shared" si="1"/>
        <v/>
      </c>
      <c r="I9919" s="26" t="str">
        <f t="shared" si="2"/>
        <v/>
      </c>
      <c r="J9919" s="86">
        <f t="shared" si="3"/>
        <v>0</v>
      </c>
      <c r="R9919" s="26"/>
    </row>
    <row r="9920" spans="1:18" ht="15.75" customHeight="1">
      <c r="A9920" s="26"/>
      <c r="B9920" s="86"/>
      <c r="D9920" s="26"/>
      <c r="F9920" s="87" t="str">
        <f t="shared" si="0"/>
        <v/>
      </c>
      <c r="H9920" s="26" t="str">
        <f t="shared" si="1"/>
        <v/>
      </c>
      <c r="I9920" s="26" t="str">
        <f t="shared" si="2"/>
        <v/>
      </c>
      <c r="J9920" s="86">
        <f t="shared" si="3"/>
        <v>0</v>
      </c>
      <c r="R9920" s="26"/>
    </row>
    <row r="9921" spans="1:18" ht="15.75" customHeight="1">
      <c r="A9921" s="26"/>
      <c r="B9921" s="86"/>
      <c r="D9921" s="26"/>
      <c r="F9921" s="87" t="str">
        <f t="shared" si="0"/>
        <v/>
      </c>
      <c r="H9921" s="26" t="str">
        <f t="shared" si="1"/>
        <v/>
      </c>
      <c r="I9921" s="26" t="str">
        <f t="shared" si="2"/>
        <v/>
      </c>
      <c r="J9921" s="86">
        <f t="shared" si="3"/>
        <v>0</v>
      </c>
      <c r="R9921" s="26"/>
    </row>
    <row r="9922" spans="1:18" ht="15.75" customHeight="1">
      <c r="A9922" s="26"/>
      <c r="B9922" s="86"/>
      <c r="D9922" s="26"/>
      <c r="F9922" s="87" t="str">
        <f t="shared" si="0"/>
        <v/>
      </c>
      <c r="H9922" s="26" t="str">
        <f t="shared" si="1"/>
        <v/>
      </c>
      <c r="I9922" s="26" t="str">
        <f t="shared" si="2"/>
        <v/>
      </c>
      <c r="J9922" s="86">
        <f t="shared" si="3"/>
        <v>0</v>
      </c>
      <c r="R9922" s="26"/>
    </row>
    <row r="9923" spans="1:18" ht="15.75" customHeight="1">
      <c r="A9923" s="26"/>
      <c r="B9923" s="86"/>
      <c r="D9923" s="26"/>
      <c r="F9923" s="87" t="str">
        <f t="shared" si="0"/>
        <v/>
      </c>
      <c r="H9923" s="26" t="str">
        <f t="shared" si="1"/>
        <v/>
      </c>
      <c r="I9923" s="26" t="str">
        <f t="shared" si="2"/>
        <v/>
      </c>
      <c r="J9923" s="86">
        <f t="shared" si="3"/>
        <v>0</v>
      </c>
      <c r="R9923" s="26"/>
    </row>
    <row r="9924" spans="1:18" ht="15.75" customHeight="1">
      <c r="A9924" s="26"/>
      <c r="B9924" s="86"/>
      <c r="D9924" s="26"/>
      <c r="F9924" s="87" t="str">
        <f t="shared" si="0"/>
        <v/>
      </c>
      <c r="H9924" s="26" t="str">
        <f t="shared" si="1"/>
        <v/>
      </c>
      <c r="I9924" s="26" t="str">
        <f t="shared" si="2"/>
        <v/>
      </c>
      <c r="J9924" s="86">
        <f t="shared" si="3"/>
        <v>0</v>
      </c>
      <c r="R9924" s="26"/>
    </row>
    <row r="9925" spans="1:18" ht="15.75" customHeight="1">
      <c r="A9925" s="26"/>
      <c r="B9925" s="86"/>
      <c r="D9925" s="26"/>
      <c r="F9925" s="87" t="str">
        <f t="shared" si="0"/>
        <v/>
      </c>
      <c r="H9925" s="26" t="str">
        <f t="shared" si="1"/>
        <v/>
      </c>
      <c r="I9925" s="26" t="str">
        <f t="shared" si="2"/>
        <v/>
      </c>
      <c r="J9925" s="86">
        <f t="shared" si="3"/>
        <v>0</v>
      </c>
      <c r="R9925" s="26"/>
    </row>
    <row r="9926" spans="1:18" ht="15.75" customHeight="1">
      <c r="A9926" s="26"/>
      <c r="B9926" s="86"/>
      <c r="D9926" s="26"/>
      <c r="F9926" s="87" t="str">
        <f t="shared" si="0"/>
        <v/>
      </c>
      <c r="H9926" s="26" t="str">
        <f t="shared" si="1"/>
        <v/>
      </c>
      <c r="I9926" s="26" t="str">
        <f t="shared" si="2"/>
        <v/>
      </c>
      <c r="J9926" s="86">
        <f t="shared" si="3"/>
        <v>0</v>
      </c>
      <c r="R9926" s="26"/>
    </row>
    <row r="9927" spans="1:18" ht="15.75" customHeight="1">
      <c r="A9927" s="26"/>
      <c r="B9927" s="86"/>
      <c r="D9927" s="26"/>
      <c r="F9927" s="87" t="str">
        <f t="shared" si="0"/>
        <v/>
      </c>
      <c r="H9927" s="26" t="str">
        <f t="shared" si="1"/>
        <v/>
      </c>
      <c r="I9927" s="26" t="str">
        <f t="shared" si="2"/>
        <v/>
      </c>
      <c r="J9927" s="86">
        <f t="shared" si="3"/>
        <v>0</v>
      </c>
      <c r="R9927" s="26"/>
    </row>
    <row r="9928" spans="1:18" ht="15.75" customHeight="1">
      <c r="A9928" s="26"/>
      <c r="B9928" s="86"/>
      <c r="D9928" s="26"/>
      <c r="F9928" s="87" t="str">
        <f t="shared" si="0"/>
        <v/>
      </c>
      <c r="H9928" s="26" t="str">
        <f t="shared" si="1"/>
        <v/>
      </c>
      <c r="I9928" s="26" t="str">
        <f t="shared" si="2"/>
        <v/>
      </c>
      <c r="J9928" s="86">
        <f t="shared" si="3"/>
        <v>0</v>
      </c>
      <c r="R9928" s="26"/>
    </row>
    <row r="9929" spans="1:18" ht="15.75" customHeight="1">
      <c r="A9929" s="26"/>
      <c r="B9929" s="86"/>
      <c r="D9929" s="26"/>
      <c r="F9929" s="87" t="str">
        <f t="shared" si="0"/>
        <v/>
      </c>
      <c r="H9929" s="26" t="str">
        <f t="shared" si="1"/>
        <v/>
      </c>
      <c r="I9929" s="26" t="str">
        <f t="shared" si="2"/>
        <v/>
      </c>
      <c r="J9929" s="86">
        <f t="shared" si="3"/>
        <v>0</v>
      </c>
      <c r="R9929" s="26"/>
    </row>
    <row r="9930" spans="1:18" ht="15.75" customHeight="1">
      <c r="A9930" s="26"/>
      <c r="B9930" s="86"/>
      <c r="D9930" s="26"/>
      <c r="F9930" s="87" t="str">
        <f t="shared" si="0"/>
        <v/>
      </c>
      <c r="H9930" s="26" t="str">
        <f t="shared" si="1"/>
        <v/>
      </c>
      <c r="I9930" s="26" t="str">
        <f t="shared" si="2"/>
        <v/>
      </c>
      <c r="J9930" s="86">
        <f t="shared" si="3"/>
        <v>0</v>
      </c>
      <c r="R9930" s="26"/>
    </row>
    <row r="9931" spans="1:18" ht="15.75" customHeight="1">
      <c r="A9931" s="26"/>
      <c r="B9931" s="86"/>
      <c r="D9931" s="26"/>
      <c r="F9931" s="87" t="str">
        <f t="shared" si="0"/>
        <v/>
      </c>
      <c r="H9931" s="26" t="str">
        <f t="shared" si="1"/>
        <v/>
      </c>
      <c r="I9931" s="26" t="str">
        <f t="shared" si="2"/>
        <v/>
      </c>
      <c r="J9931" s="86">
        <f t="shared" si="3"/>
        <v>0</v>
      </c>
      <c r="R9931" s="26"/>
    </row>
    <row r="9932" spans="1:18" ht="15.75" customHeight="1">
      <c r="A9932" s="26"/>
      <c r="B9932" s="86"/>
      <c r="D9932" s="26"/>
      <c r="F9932" s="87" t="str">
        <f t="shared" si="0"/>
        <v/>
      </c>
      <c r="H9932" s="26" t="str">
        <f t="shared" si="1"/>
        <v/>
      </c>
      <c r="I9932" s="26" t="str">
        <f t="shared" si="2"/>
        <v/>
      </c>
      <c r="J9932" s="86">
        <f t="shared" si="3"/>
        <v>0</v>
      </c>
      <c r="R9932" s="26"/>
    </row>
    <row r="9933" spans="1:18" ht="15.75" customHeight="1">
      <c r="A9933" s="26"/>
      <c r="B9933" s="86"/>
      <c r="D9933" s="26"/>
      <c r="F9933" s="87" t="str">
        <f t="shared" si="0"/>
        <v/>
      </c>
      <c r="H9933" s="26" t="str">
        <f t="shared" si="1"/>
        <v/>
      </c>
      <c r="I9933" s="26" t="str">
        <f t="shared" si="2"/>
        <v/>
      </c>
      <c r="J9933" s="86">
        <f t="shared" si="3"/>
        <v>0</v>
      </c>
      <c r="R9933" s="26"/>
    </row>
    <row r="9934" spans="1:18" ht="15.75" customHeight="1">
      <c r="A9934" s="26"/>
      <c r="B9934" s="86"/>
      <c r="D9934" s="26"/>
      <c r="F9934" s="87" t="str">
        <f t="shared" si="0"/>
        <v/>
      </c>
      <c r="H9934" s="26" t="str">
        <f t="shared" si="1"/>
        <v/>
      </c>
      <c r="I9934" s="26" t="str">
        <f t="shared" si="2"/>
        <v/>
      </c>
      <c r="J9934" s="86">
        <f t="shared" si="3"/>
        <v>0</v>
      </c>
      <c r="R9934" s="26"/>
    </row>
    <row r="9935" spans="1:18" ht="15.75" customHeight="1">
      <c r="A9935" s="26"/>
      <c r="B9935" s="86"/>
      <c r="D9935" s="26"/>
      <c r="F9935" s="87" t="str">
        <f t="shared" si="0"/>
        <v/>
      </c>
      <c r="H9935" s="26" t="str">
        <f t="shared" si="1"/>
        <v/>
      </c>
      <c r="I9935" s="26" t="str">
        <f t="shared" si="2"/>
        <v/>
      </c>
      <c r="J9935" s="86">
        <f t="shared" si="3"/>
        <v>0</v>
      </c>
      <c r="R9935" s="26"/>
    </row>
    <row r="9936" spans="1:18" ht="15.75" customHeight="1">
      <c r="A9936" s="26"/>
      <c r="B9936" s="86"/>
      <c r="D9936" s="26"/>
      <c r="F9936" s="87" t="str">
        <f t="shared" si="0"/>
        <v/>
      </c>
      <c r="H9936" s="26" t="str">
        <f t="shared" si="1"/>
        <v/>
      </c>
      <c r="I9936" s="26" t="str">
        <f t="shared" si="2"/>
        <v/>
      </c>
      <c r="J9936" s="86">
        <f t="shared" si="3"/>
        <v>0</v>
      </c>
      <c r="R9936" s="26"/>
    </row>
    <row r="9937" spans="1:18" ht="15.75" customHeight="1">
      <c r="A9937" s="26"/>
      <c r="B9937" s="86"/>
      <c r="D9937" s="26"/>
      <c r="F9937" s="87" t="str">
        <f t="shared" si="0"/>
        <v/>
      </c>
      <c r="H9937" s="26" t="str">
        <f t="shared" si="1"/>
        <v/>
      </c>
      <c r="I9937" s="26" t="str">
        <f t="shared" si="2"/>
        <v/>
      </c>
      <c r="J9937" s="86">
        <f t="shared" si="3"/>
        <v>0</v>
      </c>
      <c r="R9937" s="26"/>
    </row>
    <row r="9938" spans="1:18" ht="15.75" customHeight="1">
      <c r="A9938" s="26"/>
      <c r="B9938" s="86"/>
      <c r="D9938" s="26"/>
      <c r="F9938" s="87" t="str">
        <f t="shared" si="0"/>
        <v/>
      </c>
      <c r="H9938" s="26" t="str">
        <f t="shared" si="1"/>
        <v/>
      </c>
      <c r="I9938" s="26" t="str">
        <f t="shared" si="2"/>
        <v/>
      </c>
      <c r="J9938" s="86">
        <f t="shared" si="3"/>
        <v>0</v>
      </c>
      <c r="R9938" s="26"/>
    </row>
    <row r="9939" spans="1:18" ht="15.75" customHeight="1">
      <c r="A9939" s="26"/>
      <c r="B9939" s="86"/>
      <c r="D9939" s="26"/>
      <c r="F9939" s="87" t="str">
        <f t="shared" si="0"/>
        <v/>
      </c>
      <c r="H9939" s="26" t="str">
        <f t="shared" si="1"/>
        <v/>
      </c>
      <c r="I9939" s="26" t="str">
        <f t="shared" si="2"/>
        <v/>
      </c>
      <c r="J9939" s="86">
        <f t="shared" si="3"/>
        <v>0</v>
      </c>
      <c r="R9939" s="26"/>
    </row>
    <row r="9940" spans="1:18" ht="15.75" customHeight="1">
      <c r="A9940" s="26"/>
      <c r="B9940" s="86"/>
      <c r="D9940" s="26"/>
      <c r="F9940" s="87" t="str">
        <f t="shared" si="0"/>
        <v/>
      </c>
      <c r="H9940" s="26" t="str">
        <f t="shared" si="1"/>
        <v/>
      </c>
      <c r="I9940" s="26" t="str">
        <f t="shared" si="2"/>
        <v/>
      </c>
      <c r="J9940" s="86">
        <f t="shared" si="3"/>
        <v>0</v>
      </c>
      <c r="R9940" s="26"/>
    </row>
    <row r="9941" spans="1:18" ht="15.75" customHeight="1">
      <c r="A9941" s="26"/>
      <c r="B9941" s="86"/>
      <c r="D9941" s="26"/>
      <c r="F9941" s="87" t="str">
        <f t="shared" si="0"/>
        <v/>
      </c>
      <c r="H9941" s="26" t="str">
        <f t="shared" si="1"/>
        <v/>
      </c>
      <c r="I9941" s="26" t="str">
        <f t="shared" si="2"/>
        <v/>
      </c>
      <c r="J9941" s="86">
        <f t="shared" si="3"/>
        <v>0</v>
      </c>
      <c r="R9941" s="26"/>
    </row>
    <row r="9942" spans="1:18" ht="15.75" customHeight="1">
      <c r="A9942" s="26"/>
      <c r="B9942" s="86"/>
      <c r="D9942" s="26"/>
      <c r="F9942" s="87" t="str">
        <f t="shared" si="0"/>
        <v/>
      </c>
      <c r="H9942" s="26" t="str">
        <f t="shared" si="1"/>
        <v/>
      </c>
      <c r="I9942" s="26" t="str">
        <f t="shared" si="2"/>
        <v/>
      </c>
      <c r="J9942" s="86">
        <f t="shared" si="3"/>
        <v>0</v>
      </c>
      <c r="R9942" s="26"/>
    </row>
    <row r="9943" spans="1:18" ht="15.75" customHeight="1">
      <c r="A9943" s="26"/>
      <c r="B9943" s="86"/>
      <c r="D9943" s="26"/>
      <c r="F9943" s="87" t="str">
        <f t="shared" si="0"/>
        <v/>
      </c>
      <c r="H9943" s="26" t="str">
        <f t="shared" si="1"/>
        <v/>
      </c>
      <c r="I9943" s="26" t="str">
        <f t="shared" si="2"/>
        <v/>
      </c>
      <c r="J9943" s="86">
        <f t="shared" si="3"/>
        <v>0</v>
      </c>
      <c r="R9943" s="26"/>
    </row>
    <row r="9944" spans="1:18" ht="15.75" customHeight="1">
      <c r="A9944" s="26"/>
      <c r="B9944" s="86"/>
      <c r="D9944" s="26"/>
      <c r="F9944" s="87" t="str">
        <f t="shared" si="0"/>
        <v/>
      </c>
      <c r="H9944" s="26" t="str">
        <f t="shared" si="1"/>
        <v/>
      </c>
      <c r="I9944" s="26" t="str">
        <f t="shared" si="2"/>
        <v/>
      </c>
      <c r="J9944" s="86">
        <f t="shared" si="3"/>
        <v>0</v>
      </c>
      <c r="R9944" s="26"/>
    </row>
    <row r="9945" spans="1:18" ht="15.75" customHeight="1">
      <c r="A9945" s="26"/>
      <c r="B9945" s="86"/>
      <c r="D9945" s="26"/>
      <c r="F9945" s="87" t="str">
        <f t="shared" si="0"/>
        <v/>
      </c>
      <c r="H9945" s="26" t="str">
        <f t="shared" si="1"/>
        <v/>
      </c>
      <c r="I9945" s="26" t="str">
        <f t="shared" si="2"/>
        <v/>
      </c>
      <c r="J9945" s="86">
        <f t="shared" si="3"/>
        <v>0</v>
      </c>
      <c r="R9945" s="26"/>
    </row>
    <row r="9946" spans="1:18" ht="15.75" customHeight="1">
      <c r="A9946" s="26"/>
      <c r="B9946" s="86"/>
      <c r="D9946" s="26"/>
      <c r="F9946" s="87" t="str">
        <f t="shared" si="0"/>
        <v/>
      </c>
      <c r="H9946" s="26" t="str">
        <f t="shared" si="1"/>
        <v/>
      </c>
      <c r="I9946" s="26" t="str">
        <f t="shared" si="2"/>
        <v/>
      </c>
      <c r="J9946" s="86">
        <f t="shared" si="3"/>
        <v>0</v>
      </c>
      <c r="R9946" s="26"/>
    </row>
    <row r="9947" spans="1:18" ht="15.75" customHeight="1">
      <c r="A9947" s="26"/>
      <c r="B9947" s="86"/>
      <c r="D9947" s="26"/>
      <c r="F9947" s="87" t="str">
        <f t="shared" si="0"/>
        <v/>
      </c>
      <c r="H9947" s="26" t="str">
        <f t="shared" si="1"/>
        <v/>
      </c>
      <c r="I9947" s="26" t="str">
        <f t="shared" si="2"/>
        <v/>
      </c>
      <c r="J9947" s="86">
        <f t="shared" si="3"/>
        <v>0</v>
      </c>
      <c r="R9947" s="26"/>
    </row>
    <row r="9948" spans="1:18" ht="15.75" customHeight="1">
      <c r="A9948" s="26"/>
      <c r="B9948" s="86"/>
      <c r="D9948" s="26"/>
      <c r="F9948" s="87" t="str">
        <f t="shared" si="0"/>
        <v/>
      </c>
      <c r="H9948" s="26" t="str">
        <f t="shared" si="1"/>
        <v/>
      </c>
      <c r="I9948" s="26" t="str">
        <f t="shared" si="2"/>
        <v/>
      </c>
      <c r="J9948" s="86">
        <f t="shared" si="3"/>
        <v>0</v>
      </c>
      <c r="R9948" s="26"/>
    </row>
    <row r="9949" spans="1:18" ht="15.75" customHeight="1">
      <c r="A9949" s="26"/>
      <c r="B9949" s="86"/>
      <c r="D9949" s="26"/>
      <c r="F9949" s="87" t="str">
        <f t="shared" si="0"/>
        <v/>
      </c>
      <c r="H9949" s="26" t="str">
        <f t="shared" si="1"/>
        <v/>
      </c>
      <c r="I9949" s="26" t="str">
        <f t="shared" si="2"/>
        <v/>
      </c>
      <c r="J9949" s="86">
        <f t="shared" si="3"/>
        <v>0</v>
      </c>
      <c r="R9949" s="26"/>
    </row>
    <row r="9950" spans="1:18" ht="15.75" customHeight="1">
      <c r="A9950" s="26"/>
      <c r="B9950" s="86"/>
      <c r="D9950" s="26"/>
      <c r="F9950" s="87" t="str">
        <f t="shared" si="0"/>
        <v/>
      </c>
      <c r="H9950" s="26" t="str">
        <f t="shared" si="1"/>
        <v/>
      </c>
      <c r="I9950" s="26" t="str">
        <f t="shared" si="2"/>
        <v/>
      </c>
      <c r="J9950" s="86">
        <f t="shared" si="3"/>
        <v>0</v>
      </c>
      <c r="R9950" s="26"/>
    </row>
    <row r="9951" spans="1:18" ht="15.75" customHeight="1">
      <c r="A9951" s="26"/>
      <c r="B9951" s="86"/>
      <c r="D9951" s="26"/>
      <c r="F9951" s="87" t="str">
        <f t="shared" si="0"/>
        <v/>
      </c>
      <c r="H9951" s="26" t="str">
        <f t="shared" si="1"/>
        <v/>
      </c>
      <c r="I9951" s="26" t="str">
        <f t="shared" si="2"/>
        <v/>
      </c>
      <c r="J9951" s="86">
        <f t="shared" si="3"/>
        <v>0</v>
      </c>
      <c r="R9951" s="26"/>
    </row>
    <row r="9952" spans="1:18" ht="15.75" customHeight="1">
      <c r="A9952" s="26"/>
      <c r="B9952" s="86"/>
      <c r="D9952" s="26"/>
      <c r="F9952" s="87" t="str">
        <f t="shared" si="0"/>
        <v/>
      </c>
      <c r="H9952" s="26" t="str">
        <f t="shared" si="1"/>
        <v/>
      </c>
      <c r="I9952" s="26" t="str">
        <f t="shared" si="2"/>
        <v/>
      </c>
      <c r="J9952" s="86">
        <f t="shared" si="3"/>
        <v>0</v>
      </c>
      <c r="R9952" s="26"/>
    </row>
    <row r="9953" spans="1:18" ht="15.75" customHeight="1">
      <c r="A9953" s="26"/>
      <c r="B9953" s="86"/>
      <c r="D9953" s="26"/>
      <c r="F9953" s="87" t="str">
        <f t="shared" si="0"/>
        <v/>
      </c>
      <c r="H9953" s="26" t="str">
        <f t="shared" si="1"/>
        <v/>
      </c>
      <c r="I9953" s="26" t="str">
        <f t="shared" si="2"/>
        <v/>
      </c>
      <c r="J9953" s="86">
        <f t="shared" si="3"/>
        <v>0</v>
      </c>
      <c r="R9953" s="26"/>
    </row>
    <row r="9954" spans="1:18" ht="15.75" customHeight="1">
      <c r="A9954" s="26"/>
      <c r="B9954" s="86"/>
      <c r="D9954" s="26"/>
      <c r="F9954" s="87" t="str">
        <f t="shared" si="0"/>
        <v/>
      </c>
      <c r="H9954" s="26" t="str">
        <f t="shared" si="1"/>
        <v/>
      </c>
      <c r="I9954" s="26" t="str">
        <f t="shared" si="2"/>
        <v/>
      </c>
      <c r="J9954" s="86">
        <f t="shared" si="3"/>
        <v>0</v>
      </c>
      <c r="R9954" s="26"/>
    </row>
    <row r="9955" spans="1:18" ht="15.75" customHeight="1">
      <c r="A9955" s="26"/>
      <c r="B9955" s="86"/>
      <c r="D9955" s="26"/>
      <c r="F9955" s="87" t="str">
        <f t="shared" si="0"/>
        <v/>
      </c>
      <c r="H9955" s="26" t="str">
        <f t="shared" si="1"/>
        <v/>
      </c>
      <c r="I9955" s="26" t="str">
        <f t="shared" si="2"/>
        <v/>
      </c>
      <c r="J9955" s="86">
        <f t="shared" si="3"/>
        <v>0</v>
      </c>
      <c r="R9955" s="26"/>
    </row>
    <row r="9956" spans="1:18" ht="15.75" customHeight="1">
      <c r="A9956" s="26"/>
      <c r="B9956" s="86"/>
      <c r="D9956" s="26"/>
      <c r="F9956" s="87" t="str">
        <f t="shared" si="0"/>
        <v/>
      </c>
      <c r="H9956" s="26" t="str">
        <f t="shared" si="1"/>
        <v/>
      </c>
      <c r="I9956" s="26" t="str">
        <f t="shared" si="2"/>
        <v/>
      </c>
      <c r="J9956" s="86">
        <f t="shared" si="3"/>
        <v>0</v>
      </c>
      <c r="R9956" s="26"/>
    </row>
    <row r="9957" spans="1:18" ht="15.75" customHeight="1">
      <c r="A9957" s="26"/>
      <c r="B9957" s="86"/>
      <c r="D9957" s="26"/>
      <c r="F9957" s="87" t="str">
        <f t="shared" si="0"/>
        <v/>
      </c>
      <c r="H9957" s="26" t="str">
        <f t="shared" si="1"/>
        <v/>
      </c>
      <c r="I9957" s="26" t="str">
        <f t="shared" si="2"/>
        <v/>
      </c>
      <c r="J9957" s="86">
        <f t="shared" si="3"/>
        <v>0</v>
      </c>
      <c r="R9957" s="26"/>
    </row>
    <row r="9958" spans="1:18" ht="15.75" customHeight="1">
      <c r="A9958" s="26"/>
      <c r="B9958" s="86"/>
      <c r="D9958" s="26"/>
      <c r="F9958" s="87" t="str">
        <f t="shared" si="0"/>
        <v/>
      </c>
      <c r="H9958" s="26" t="str">
        <f t="shared" si="1"/>
        <v/>
      </c>
      <c r="I9958" s="26" t="str">
        <f t="shared" si="2"/>
        <v/>
      </c>
      <c r="J9958" s="86">
        <f t="shared" si="3"/>
        <v>0</v>
      </c>
      <c r="R9958" s="26"/>
    </row>
    <row r="9959" spans="1:18" ht="15.75" customHeight="1">
      <c r="A9959" s="26"/>
      <c r="B9959" s="86"/>
      <c r="D9959" s="26"/>
      <c r="F9959" s="87" t="str">
        <f t="shared" si="0"/>
        <v/>
      </c>
      <c r="H9959" s="26" t="str">
        <f t="shared" si="1"/>
        <v/>
      </c>
      <c r="I9959" s="26" t="str">
        <f t="shared" si="2"/>
        <v/>
      </c>
      <c r="J9959" s="86">
        <f t="shared" si="3"/>
        <v>0</v>
      </c>
      <c r="R9959" s="26"/>
    </row>
    <row r="9960" spans="1:18" ht="15.75" customHeight="1">
      <c r="A9960" s="26"/>
      <c r="B9960" s="86"/>
      <c r="D9960" s="26"/>
      <c r="F9960" s="87" t="str">
        <f t="shared" si="0"/>
        <v/>
      </c>
      <c r="H9960" s="26" t="str">
        <f t="shared" si="1"/>
        <v/>
      </c>
      <c r="I9960" s="26" t="str">
        <f t="shared" si="2"/>
        <v/>
      </c>
      <c r="J9960" s="86">
        <f t="shared" si="3"/>
        <v>0</v>
      </c>
      <c r="R9960" s="26"/>
    </row>
    <row r="9961" spans="1:18" ht="15.75" customHeight="1">
      <c r="A9961" s="26"/>
      <c r="B9961" s="86"/>
      <c r="D9961" s="26"/>
      <c r="F9961" s="87" t="str">
        <f t="shared" si="0"/>
        <v/>
      </c>
      <c r="H9961" s="26" t="str">
        <f t="shared" si="1"/>
        <v/>
      </c>
      <c r="I9961" s="26" t="str">
        <f t="shared" si="2"/>
        <v/>
      </c>
      <c r="J9961" s="86">
        <f t="shared" si="3"/>
        <v>0</v>
      </c>
      <c r="R9961" s="26"/>
    </row>
    <row r="9962" spans="1:18" ht="15.75" customHeight="1">
      <c r="A9962" s="26"/>
      <c r="B9962" s="86"/>
      <c r="D9962" s="26"/>
      <c r="F9962" s="87" t="str">
        <f t="shared" si="0"/>
        <v/>
      </c>
      <c r="H9962" s="26" t="str">
        <f t="shared" si="1"/>
        <v/>
      </c>
      <c r="I9962" s="26" t="str">
        <f t="shared" si="2"/>
        <v/>
      </c>
      <c r="J9962" s="86">
        <f t="shared" si="3"/>
        <v>0</v>
      </c>
      <c r="R9962" s="26"/>
    </row>
    <row r="9963" spans="1:18" ht="15.75" customHeight="1">
      <c r="A9963" s="26"/>
      <c r="B9963" s="86"/>
      <c r="D9963" s="26"/>
      <c r="F9963" s="87" t="str">
        <f t="shared" si="0"/>
        <v/>
      </c>
      <c r="H9963" s="26" t="str">
        <f t="shared" si="1"/>
        <v/>
      </c>
      <c r="I9963" s="26" t="str">
        <f t="shared" si="2"/>
        <v/>
      </c>
      <c r="J9963" s="86">
        <f t="shared" si="3"/>
        <v>0</v>
      </c>
      <c r="R9963" s="26"/>
    </row>
    <row r="9964" spans="1:18" ht="15.75" customHeight="1">
      <c r="A9964" s="26"/>
      <c r="B9964" s="86"/>
      <c r="D9964" s="26"/>
      <c r="F9964" s="87" t="str">
        <f t="shared" si="0"/>
        <v/>
      </c>
      <c r="H9964" s="26" t="str">
        <f t="shared" si="1"/>
        <v/>
      </c>
      <c r="I9964" s="26" t="str">
        <f t="shared" si="2"/>
        <v/>
      </c>
      <c r="J9964" s="86">
        <f t="shared" si="3"/>
        <v>0</v>
      </c>
      <c r="R9964" s="26"/>
    </row>
    <row r="9965" spans="1:18" ht="15.75" customHeight="1">
      <c r="A9965" s="26"/>
      <c r="B9965" s="86"/>
      <c r="D9965" s="26"/>
      <c r="F9965" s="87" t="str">
        <f t="shared" si="0"/>
        <v/>
      </c>
      <c r="H9965" s="26" t="str">
        <f t="shared" si="1"/>
        <v/>
      </c>
      <c r="I9965" s="26" t="str">
        <f t="shared" si="2"/>
        <v/>
      </c>
      <c r="J9965" s="86">
        <f t="shared" si="3"/>
        <v>0</v>
      </c>
      <c r="R9965" s="26"/>
    </row>
    <row r="9966" spans="1:18" ht="15.75" customHeight="1">
      <c r="A9966" s="26"/>
      <c r="B9966" s="86"/>
      <c r="D9966" s="26"/>
      <c r="F9966" s="87" t="str">
        <f t="shared" si="0"/>
        <v/>
      </c>
      <c r="H9966" s="26" t="str">
        <f t="shared" si="1"/>
        <v/>
      </c>
      <c r="I9966" s="26" t="str">
        <f t="shared" si="2"/>
        <v/>
      </c>
      <c r="J9966" s="86">
        <f t="shared" si="3"/>
        <v>0</v>
      </c>
      <c r="R9966" s="26"/>
    </row>
    <row r="9967" spans="1:18" ht="15.75" customHeight="1">
      <c r="A9967" s="26"/>
      <c r="B9967" s="86"/>
      <c r="D9967" s="26"/>
      <c r="F9967" s="87" t="str">
        <f t="shared" si="0"/>
        <v/>
      </c>
      <c r="H9967" s="26" t="str">
        <f t="shared" si="1"/>
        <v/>
      </c>
      <c r="I9967" s="26" t="str">
        <f t="shared" si="2"/>
        <v/>
      </c>
      <c r="J9967" s="86">
        <f t="shared" si="3"/>
        <v>0</v>
      </c>
      <c r="R9967" s="26"/>
    </row>
    <row r="9968" spans="1:18" ht="15.75" customHeight="1">
      <c r="A9968" s="26"/>
      <c r="B9968" s="86"/>
      <c r="D9968" s="26"/>
      <c r="F9968" s="87" t="str">
        <f t="shared" si="0"/>
        <v/>
      </c>
      <c r="H9968" s="26" t="str">
        <f t="shared" si="1"/>
        <v/>
      </c>
      <c r="I9968" s="26" t="str">
        <f t="shared" si="2"/>
        <v/>
      </c>
      <c r="J9968" s="86">
        <f t="shared" si="3"/>
        <v>0</v>
      </c>
      <c r="R9968" s="26"/>
    </row>
    <row r="9969" spans="1:18" ht="15.75" customHeight="1">
      <c r="A9969" s="26"/>
      <c r="B9969" s="86"/>
      <c r="D9969" s="26"/>
      <c r="F9969" s="87" t="str">
        <f t="shared" si="0"/>
        <v/>
      </c>
      <c r="H9969" s="26" t="str">
        <f t="shared" si="1"/>
        <v/>
      </c>
      <c r="I9969" s="26" t="str">
        <f t="shared" si="2"/>
        <v/>
      </c>
      <c r="J9969" s="86">
        <f t="shared" si="3"/>
        <v>0</v>
      </c>
      <c r="R9969" s="26"/>
    </row>
    <row r="9970" spans="1:18" ht="15.75" customHeight="1">
      <c r="A9970" s="26"/>
      <c r="B9970" s="86"/>
      <c r="D9970" s="26"/>
      <c r="F9970" s="87" t="str">
        <f t="shared" si="0"/>
        <v/>
      </c>
      <c r="H9970" s="26" t="str">
        <f t="shared" si="1"/>
        <v/>
      </c>
      <c r="I9970" s="26" t="str">
        <f t="shared" si="2"/>
        <v/>
      </c>
      <c r="J9970" s="86">
        <f t="shared" si="3"/>
        <v>0</v>
      </c>
      <c r="R9970" s="26"/>
    </row>
    <row r="9971" spans="1:18" ht="15.75" customHeight="1">
      <c r="A9971" s="26"/>
      <c r="B9971" s="86"/>
      <c r="D9971" s="26"/>
      <c r="F9971" s="87" t="str">
        <f t="shared" si="0"/>
        <v/>
      </c>
      <c r="H9971" s="26" t="str">
        <f t="shared" si="1"/>
        <v/>
      </c>
      <c r="I9971" s="26" t="str">
        <f t="shared" si="2"/>
        <v/>
      </c>
      <c r="J9971" s="86">
        <f t="shared" si="3"/>
        <v>0</v>
      </c>
      <c r="R9971" s="26"/>
    </row>
    <row r="9972" spans="1:18" ht="15.75" customHeight="1">
      <c r="A9972" s="26"/>
      <c r="B9972" s="86"/>
      <c r="D9972" s="26"/>
      <c r="F9972" s="87" t="str">
        <f t="shared" si="0"/>
        <v/>
      </c>
      <c r="H9972" s="26" t="str">
        <f t="shared" si="1"/>
        <v/>
      </c>
      <c r="I9972" s="26" t="str">
        <f t="shared" si="2"/>
        <v/>
      </c>
      <c r="J9972" s="86">
        <f t="shared" si="3"/>
        <v>0</v>
      </c>
      <c r="R9972" s="26"/>
    </row>
    <row r="9973" spans="1:18" ht="15.75" customHeight="1">
      <c r="A9973" s="26"/>
      <c r="B9973" s="86"/>
      <c r="D9973" s="26"/>
      <c r="F9973" s="87" t="str">
        <f t="shared" si="0"/>
        <v/>
      </c>
      <c r="H9973" s="26" t="str">
        <f t="shared" si="1"/>
        <v/>
      </c>
      <c r="I9973" s="26" t="str">
        <f t="shared" si="2"/>
        <v/>
      </c>
      <c r="J9973" s="86">
        <f t="shared" si="3"/>
        <v>0</v>
      </c>
      <c r="R9973" s="26"/>
    </row>
    <row r="9974" spans="1:18" ht="15.75" customHeight="1">
      <c r="A9974" s="26"/>
      <c r="B9974" s="86"/>
      <c r="D9974" s="26"/>
      <c r="F9974" s="87" t="str">
        <f t="shared" si="0"/>
        <v/>
      </c>
      <c r="H9974" s="26" t="str">
        <f t="shared" si="1"/>
        <v/>
      </c>
      <c r="I9974" s="26" t="str">
        <f t="shared" si="2"/>
        <v/>
      </c>
      <c r="J9974" s="86">
        <f t="shared" si="3"/>
        <v>0</v>
      </c>
      <c r="R9974" s="26"/>
    </row>
    <row r="9975" spans="1:18" ht="15.75" customHeight="1">
      <c r="A9975" s="26"/>
      <c r="B9975" s="86"/>
      <c r="D9975" s="26"/>
      <c r="F9975" s="87" t="str">
        <f t="shared" si="0"/>
        <v/>
      </c>
      <c r="H9975" s="26" t="str">
        <f t="shared" si="1"/>
        <v/>
      </c>
      <c r="I9975" s="26" t="str">
        <f t="shared" si="2"/>
        <v/>
      </c>
      <c r="J9975" s="86">
        <f t="shared" si="3"/>
        <v>0</v>
      </c>
      <c r="R9975" s="26"/>
    </row>
    <row r="9976" spans="1:18" ht="15.75" customHeight="1">
      <c r="A9976" s="26"/>
      <c r="B9976" s="86"/>
      <c r="D9976" s="26"/>
      <c r="F9976" s="87" t="str">
        <f t="shared" si="0"/>
        <v/>
      </c>
      <c r="H9976" s="26" t="str">
        <f t="shared" si="1"/>
        <v/>
      </c>
      <c r="I9976" s="26" t="str">
        <f t="shared" si="2"/>
        <v/>
      </c>
      <c r="J9976" s="86">
        <f t="shared" si="3"/>
        <v>0</v>
      </c>
      <c r="R9976" s="26"/>
    </row>
    <row r="9977" spans="1:18" ht="15.75" customHeight="1">
      <c r="A9977" s="26"/>
      <c r="B9977" s="86"/>
      <c r="D9977" s="26"/>
      <c r="F9977" s="87" t="str">
        <f t="shared" si="0"/>
        <v/>
      </c>
      <c r="H9977" s="26" t="str">
        <f t="shared" si="1"/>
        <v/>
      </c>
      <c r="I9977" s="26" t="str">
        <f t="shared" si="2"/>
        <v/>
      </c>
      <c r="J9977" s="86">
        <f t="shared" si="3"/>
        <v>0</v>
      </c>
      <c r="R9977" s="26"/>
    </row>
    <row r="9978" spans="1:18" ht="15.75" customHeight="1">
      <c r="A9978" s="26"/>
      <c r="B9978" s="86"/>
      <c r="D9978" s="26"/>
      <c r="F9978" s="87" t="str">
        <f t="shared" si="0"/>
        <v/>
      </c>
      <c r="H9978" s="26" t="str">
        <f t="shared" si="1"/>
        <v/>
      </c>
      <c r="I9978" s="26" t="str">
        <f t="shared" si="2"/>
        <v/>
      </c>
      <c r="J9978" s="86">
        <f t="shared" si="3"/>
        <v>0</v>
      </c>
      <c r="R9978" s="26"/>
    </row>
    <row r="9979" spans="1:18" ht="15.75" customHeight="1">
      <c r="A9979" s="26"/>
      <c r="B9979" s="86"/>
      <c r="D9979" s="26"/>
      <c r="F9979" s="87" t="str">
        <f t="shared" si="0"/>
        <v/>
      </c>
      <c r="H9979" s="26" t="str">
        <f t="shared" si="1"/>
        <v/>
      </c>
      <c r="I9979" s="26" t="str">
        <f t="shared" si="2"/>
        <v/>
      </c>
      <c r="J9979" s="86">
        <f t="shared" si="3"/>
        <v>0</v>
      </c>
      <c r="R9979" s="26"/>
    </row>
    <row r="9980" spans="1:18" ht="15.75" customHeight="1">
      <c r="A9980" s="26"/>
      <c r="B9980" s="86"/>
      <c r="D9980" s="26"/>
      <c r="F9980" s="87" t="str">
        <f t="shared" si="0"/>
        <v/>
      </c>
      <c r="H9980" s="26" t="str">
        <f t="shared" si="1"/>
        <v/>
      </c>
      <c r="I9980" s="26" t="str">
        <f t="shared" si="2"/>
        <v/>
      </c>
      <c r="J9980" s="86">
        <f t="shared" si="3"/>
        <v>0</v>
      </c>
      <c r="R9980" s="26"/>
    </row>
    <row r="9981" spans="1:18" ht="15.75" customHeight="1">
      <c r="A9981" s="26"/>
      <c r="B9981" s="86"/>
      <c r="D9981" s="26"/>
      <c r="F9981" s="87" t="str">
        <f t="shared" si="0"/>
        <v/>
      </c>
      <c r="H9981" s="26" t="str">
        <f t="shared" si="1"/>
        <v/>
      </c>
      <c r="I9981" s="26" t="str">
        <f t="shared" si="2"/>
        <v/>
      </c>
      <c r="J9981" s="86">
        <f t="shared" si="3"/>
        <v>0</v>
      </c>
      <c r="R9981" s="26"/>
    </row>
    <row r="9982" spans="1:18" ht="15.75" customHeight="1">
      <c r="A9982" s="26"/>
      <c r="B9982" s="86"/>
      <c r="D9982" s="26"/>
      <c r="F9982" s="87" t="str">
        <f t="shared" si="0"/>
        <v/>
      </c>
      <c r="H9982" s="26" t="str">
        <f t="shared" si="1"/>
        <v/>
      </c>
      <c r="I9982" s="26" t="str">
        <f t="shared" si="2"/>
        <v/>
      </c>
      <c r="J9982" s="86">
        <f t="shared" si="3"/>
        <v>0</v>
      </c>
      <c r="R9982" s="26"/>
    </row>
    <row r="9983" spans="1:18" ht="15.75" customHeight="1">
      <c r="A9983" s="26"/>
      <c r="B9983" s="86"/>
      <c r="D9983" s="26"/>
      <c r="F9983" s="87" t="str">
        <f t="shared" si="0"/>
        <v/>
      </c>
      <c r="H9983" s="26" t="str">
        <f t="shared" si="1"/>
        <v/>
      </c>
      <c r="I9983" s="26" t="str">
        <f t="shared" si="2"/>
        <v/>
      </c>
      <c r="J9983" s="86">
        <f t="shared" si="3"/>
        <v>0</v>
      </c>
      <c r="R9983" s="26"/>
    </row>
    <row r="9984" spans="1:18" ht="15.75" customHeight="1">
      <c r="A9984" s="26"/>
      <c r="B9984" s="86"/>
      <c r="D9984" s="26"/>
      <c r="F9984" s="87" t="str">
        <f t="shared" si="0"/>
        <v/>
      </c>
      <c r="H9984" s="26" t="str">
        <f t="shared" si="1"/>
        <v/>
      </c>
      <c r="I9984" s="26" t="str">
        <f t="shared" si="2"/>
        <v/>
      </c>
      <c r="J9984" s="86">
        <f t="shared" si="3"/>
        <v>0</v>
      </c>
      <c r="R9984" s="26"/>
    </row>
    <row r="9985" spans="1:18" ht="15.75" customHeight="1">
      <c r="A9985" s="26"/>
      <c r="B9985" s="86"/>
      <c r="D9985" s="26"/>
      <c r="F9985" s="87" t="str">
        <f t="shared" si="0"/>
        <v/>
      </c>
      <c r="H9985" s="26" t="str">
        <f t="shared" si="1"/>
        <v/>
      </c>
      <c r="I9985" s="26" t="str">
        <f t="shared" si="2"/>
        <v/>
      </c>
      <c r="J9985" s="86">
        <f t="shared" si="3"/>
        <v>0</v>
      </c>
      <c r="R9985" s="26"/>
    </row>
    <row r="9986" spans="1:18" ht="15.75" customHeight="1">
      <c r="A9986" s="26"/>
      <c r="B9986" s="86"/>
      <c r="D9986" s="26"/>
      <c r="F9986" s="87" t="str">
        <f t="shared" si="0"/>
        <v/>
      </c>
      <c r="H9986" s="26" t="str">
        <f t="shared" si="1"/>
        <v/>
      </c>
      <c r="I9986" s="26" t="str">
        <f t="shared" si="2"/>
        <v/>
      </c>
      <c r="J9986" s="86">
        <f t="shared" si="3"/>
        <v>0</v>
      </c>
      <c r="R9986" s="26"/>
    </row>
    <row r="9987" spans="1:18" ht="15.75" customHeight="1">
      <c r="A9987" s="26"/>
      <c r="B9987" s="86"/>
      <c r="D9987" s="26"/>
      <c r="F9987" s="87" t="str">
        <f t="shared" si="0"/>
        <v/>
      </c>
      <c r="H9987" s="26" t="str">
        <f t="shared" si="1"/>
        <v/>
      </c>
      <c r="I9987" s="26" t="str">
        <f t="shared" si="2"/>
        <v/>
      </c>
      <c r="J9987" s="86">
        <f t="shared" si="3"/>
        <v>0</v>
      </c>
      <c r="R9987" s="26"/>
    </row>
    <row r="9988" spans="1:18" ht="15.75" customHeight="1">
      <c r="A9988" s="26"/>
      <c r="B9988" s="86"/>
      <c r="D9988" s="26"/>
      <c r="F9988" s="87" t="str">
        <f t="shared" si="0"/>
        <v/>
      </c>
      <c r="H9988" s="26" t="str">
        <f t="shared" si="1"/>
        <v/>
      </c>
      <c r="I9988" s="26" t="str">
        <f t="shared" si="2"/>
        <v/>
      </c>
      <c r="J9988" s="86">
        <f t="shared" si="3"/>
        <v>0</v>
      </c>
      <c r="R9988" s="26"/>
    </row>
    <row r="9989" spans="1:18" ht="15.75" customHeight="1">
      <c r="A9989" s="26"/>
      <c r="B9989" s="86"/>
      <c r="D9989" s="26"/>
      <c r="F9989" s="87" t="str">
        <f t="shared" si="0"/>
        <v/>
      </c>
      <c r="H9989" s="26" t="str">
        <f t="shared" si="1"/>
        <v/>
      </c>
      <c r="I9989" s="26" t="str">
        <f t="shared" si="2"/>
        <v/>
      </c>
      <c r="J9989" s="86">
        <f t="shared" si="3"/>
        <v>0</v>
      </c>
      <c r="R9989" s="26"/>
    </row>
    <row r="9990" spans="1:18" ht="15.75" customHeight="1">
      <c r="A9990" s="26"/>
      <c r="B9990" s="86"/>
      <c r="D9990" s="26"/>
      <c r="F9990" s="87" t="str">
        <f t="shared" si="0"/>
        <v/>
      </c>
      <c r="H9990" s="26" t="str">
        <f t="shared" si="1"/>
        <v/>
      </c>
      <c r="I9990" s="26" t="str">
        <f t="shared" si="2"/>
        <v/>
      </c>
      <c r="J9990" s="86">
        <f t="shared" si="3"/>
        <v>0</v>
      </c>
      <c r="R9990" s="26"/>
    </row>
    <row r="9991" spans="1:18" ht="15.75" customHeight="1">
      <c r="A9991" s="26"/>
      <c r="B9991" s="86"/>
      <c r="D9991" s="26"/>
      <c r="F9991" s="87" t="str">
        <f t="shared" si="0"/>
        <v/>
      </c>
      <c r="H9991" s="26" t="str">
        <f t="shared" si="1"/>
        <v/>
      </c>
      <c r="I9991" s="26" t="str">
        <f t="shared" si="2"/>
        <v/>
      </c>
      <c r="J9991" s="86">
        <f t="shared" si="3"/>
        <v>0</v>
      </c>
      <c r="R9991" s="26"/>
    </row>
    <row r="9992" spans="1:18" ht="15.75" customHeight="1">
      <c r="A9992" s="26"/>
      <c r="B9992" s="86"/>
      <c r="D9992" s="26"/>
      <c r="F9992" s="87" t="str">
        <f t="shared" si="0"/>
        <v/>
      </c>
      <c r="H9992" s="26" t="str">
        <f t="shared" si="1"/>
        <v/>
      </c>
      <c r="I9992" s="26" t="str">
        <f t="shared" si="2"/>
        <v/>
      </c>
      <c r="J9992" s="86">
        <f t="shared" si="3"/>
        <v>0</v>
      </c>
      <c r="R9992" s="26"/>
    </row>
    <row r="9993" spans="1:18" ht="15.75" customHeight="1">
      <c r="A9993" s="26"/>
      <c r="B9993" s="86"/>
      <c r="D9993" s="26"/>
      <c r="F9993" s="87" t="str">
        <f t="shared" si="0"/>
        <v/>
      </c>
      <c r="H9993" s="26" t="str">
        <f t="shared" si="1"/>
        <v/>
      </c>
      <c r="I9993" s="26" t="str">
        <f t="shared" si="2"/>
        <v/>
      </c>
      <c r="J9993" s="86">
        <f t="shared" si="3"/>
        <v>0</v>
      </c>
      <c r="R9993" s="26"/>
    </row>
    <row r="9994" spans="1:18" ht="15.75" customHeight="1">
      <c r="A9994" s="26"/>
      <c r="B9994" s="86"/>
      <c r="D9994" s="26"/>
      <c r="F9994" s="87" t="str">
        <f t="shared" si="0"/>
        <v/>
      </c>
      <c r="H9994" s="26" t="str">
        <f t="shared" si="1"/>
        <v/>
      </c>
      <c r="I9994" s="26" t="str">
        <f t="shared" si="2"/>
        <v/>
      </c>
      <c r="J9994" s="86">
        <f t="shared" si="3"/>
        <v>0</v>
      </c>
      <c r="R9994" s="26"/>
    </row>
    <row r="9995" spans="1:18" ht="15.75" customHeight="1">
      <c r="A9995" s="26"/>
      <c r="B9995" s="86"/>
      <c r="D9995" s="26"/>
      <c r="F9995" s="87" t="str">
        <f t="shared" si="0"/>
        <v/>
      </c>
      <c r="H9995" s="26" t="str">
        <f t="shared" si="1"/>
        <v/>
      </c>
      <c r="I9995" s="26" t="str">
        <f t="shared" si="2"/>
        <v/>
      </c>
      <c r="J9995" s="86">
        <f t="shared" si="3"/>
        <v>0</v>
      </c>
      <c r="R9995" s="26"/>
    </row>
    <row r="9996" spans="1:18" ht="15.75" customHeight="1">
      <c r="A9996" s="26"/>
      <c r="B9996" s="86"/>
      <c r="D9996" s="26"/>
      <c r="F9996" s="87" t="str">
        <f t="shared" si="0"/>
        <v/>
      </c>
      <c r="H9996" s="26" t="str">
        <f t="shared" si="1"/>
        <v/>
      </c>
      <c r="I9996" s="26" t="str">
        <f t="shared" si="2"/>
        <v/>
      </c>
      <c r="J9996" s="86">
        <f t="shared" si="3"/>
        <v>0</v>
      </c>
      <c r="R9996" s="26"/>
    </row>
    <row r="9997" spans="1:18" ht="15.75" customHeight="1">
      <c r="A9997" s="26"/>
      <c r="B9997" s="86"/>
      <c r="D9997" s="26"/>
      <c r="F9997" s="87" t="str">
        <f t="shared" si="0"/>
        <v/>
      </c>
      <c r="H9997" s="26" t="str">
        <f t="shared" si="1"/>
        <v/>
      </c>
      <c r="I9997" s="26" t="str">
        <f t="shared" si="2"/>
        <v/>
      </c>
      <c r="J9997" s="86">
        <f t="shared" si="3"/>
        <v>0</v>
      </c>
      <c r="R9997" s="26"/>
    </row>
    <row r="9998" spans="1:18" ht="15.75" customHeight="1">
      <c r="A9998" s="26"/>
      <c r="B9998" s="86"/>
      <c r="D9998" s="26"/>
      <c r="F9998" s="87" t="str">
        <f t="shared" si="0"/>
        <v/>
      </c>
      <c r="H9998" s="26" t="str">
        <f t="shared" si="1"/>
        <v/>
      </c>
      <c r="I9998" s="26" t="str">
        <f t="shared" si="2"/>
        <v/>
      </c>
      <c r="J9998" s="86">
        <f t="shared" si="3"/>
        <v>0</v>
      </c>
      <c r="R9998" s="26"/>
    </row>
    <row r="9999" spans="1:18" ht="15.75" customHeight="1">
      <c r="A9999" s="26"/>
      <c r="B9999" s="86"/>
      <c r="D9999" s="26"/>
      <c r="F9999" s="87" t="str">
        <f t="shared" si="0"/>
        <v/>
      </c>
      <c r="H9999" s="26" t="str">
        <f t="shared" si="1"/>
        <v/>
      </c>
      <c r="I9999" s="26" t="str">
        <f t="shared" si="2"/>
        <v/>
      </c>
      <c r="J9999" s="86">
        <f t="shared" si="3"/>
        <v>0</v>
      </c>
      <c r="R9999" s="26"/>
    </row>
    <row r="10000" spans="1:18" ht="15.75" customHeight="1">
      <c r="A10000" s="26"/>
      <c r="B10000" s="86"/>
      <c r="D10000" s="26"/>
      <c r="F10000" s="87" t="str">
        <f t="shared" si="0"/>
        <v/>
      </c>
      <c r="H10000" s="26" t="str">
        <f t="shared" si="1"/>
        <v/>
      </c>
      <c r="I10000" s="26" t="str">
        <f t="shared" si="2"/>
        <v/>
      </c>
      <c r="J10000" s="86">
        <f t="shared" si="3"/>
        <v>0</v>
      </c>
      <c r="R10000" s="26"/>
    </row>
    <row r="10001" spans="1:18" ht="15.75" customHeight="1">
      <c r="A10001" s="26"/>
      <c r="B10001" s="86"/>
      <c r="D10001" s="26"/>
      <c r="F10001" s="87" t="str">
        <f t="shared" si="0"/>
        <v/>
      </c>
      <c r="H10001" s="26" t="str">
        <f t="shared" si="1"/>
        <v/>
      </c>
      <c r="I10001" s="26" t="str">
        <f t="shared" si="2"/>
        <v/>
      </c>
      <c r="J10001" s="86">
        <f t="shared" si="3"/>
        <v>0</v>
      </c>
      <c r="R10001" s="26"/>
    </row>
    <row r="10002" spans="1:18" ht="15.75" customHeight="1">
      <c r="A10002" s="26"/>
      <c r="B10002" s="86"/>
      <c r="D10002" s="26"/>
      <c r="F10002" s="87" t="str">
        <f t="shared" si="0"/>
        <v/>
      </c>
      <c r="H10002" s="26" t="str">
        <f t="shared" si="1"/>
        <v/>
      </c>
      <c r="I10002" s="26" t="str">
        <f t="shared" si="2"/>
        <v/>
      </c>
      <c r="J10002" s="86">
        <f t="shared" si="3"/>
        <v>0</v>
      </c>
      <c r="R10002" s="26"/>
    </row>
    <row r="10003" spans="1:18" ht="15.75" customHeight="1">
      <c r="A10003" s="26"/>
      <c r="B10003" s="86"/>
      <c r="D10003" s="26"/>
      <c r="F10003" s="87" t="str">
        <f t="shared" si="0"/>
        <v/>
      </c>
      <c r="H10003" s="26" t="str">
        <f t="shared" si="1"/>
        <v/>
      </c>
      <c r="I10003" s="26" t="str">
        <f t="shared" si="2"/>
        <v/>
      </c>
      <c r="J10003" s="86">
        <f t="shared" si="3"/>
        <v>0</v>
      </c>
      <c r="R10003" s="26"/>
    </row>
    <row r="10004" spans="1:18" ht="15.75" customHeight="1">
      <c r="A10004" s="26"/>
      <c r="B10004" s="86"/>
      <c r="D10004" s="26"/>
      <c r="F10004" s="87" t="str">
        <f t="shared" si="0"/>
        <v/>
      </c>
      <c r="H10004" s="26" t="str">
        <f t="shared" si="1"/>
        <v/>
      </c>
      <c r="I10004" s="26" t="str">
        <f t="shared" si="2"/>
        <v/>
      </c>
      <c r="J10004" s="86">
        <f t="shared" si="3"/>
        <v>0</v>
      </c>
      <c r="R10004" s="26"/>
    </row>
    <row r="10005" spans="1:18" ht="15.75" customHeight="1">
      <c r="A10005" s="26"/>
      <c r="B10005" s="86"/>
      <c r="D10005" s="26"/>
      <c r="F10005" s="87" t="str">
        <f t="shared" si="0"/>
        <v/>
      </c>
      <c r="H10005" s="26" t="str">
        <f t="shared" si="1"/>
        <v/>
      </c>
      <c r="I10005" s="26" t="str">
        <f t="shared" si="2"/>
        <v/>
      </c>
      <c r="J10005" s="86">
        <f t="shared" si="3"/>
        <v>0</v>
      </c>
      <c r="R10005" s="26"/>
    </row>
    <row r="10006" spans="1:18" ht="15.75" customHeight="1">
      <c r="A10006" s="26"/>
      <c r="B10006" s="86"/>
      <c r="D10006" s="26"/>
      <c r="F10006" s="87" t="str">
        <f t="shared" si="0"/>
        <v/>
      </c>
      <c r="H10006" s="26" t="str">
        <f t="shared" si="1"/>
        <v/>
      </c>
      <c r="I10006" s="26" t="str">
        <f t="shared" si="2"/>
        <v/>
      </c>
      <c r="J10006" s="86">
        <f t="shared" si="3"/>
        <v>0</v>
      </c>
      <c r="R10006" s="26"/>
    </row>
    <row r="10007" spans="1:18" ht="15.75" customHeight="1">
      <c r="A10007" s="26"/>
      <c r="B10007" s="86"/>
      <c r="D10007" s="26"/>
      <c r="F10007" s="87" t="str">
        <f t="shared" si="0"/>
        <v/>
      </c>
      <c r="H10007" s="26" t="str">
        <f t="shared" si="1"/>
        <v/>
      </c>
      <c r="I10007" s="26" t="str">
        <f t="shared" si="2"/>
        <v/>
      </c>
      <c r="J10007" s="86">
        <f t="shared" si="3"/>
        <v>0</v>
      </c>
      <c r="R10007" s="26"/>
    </row>
    <row r="10008" spans="1:18" ht="15.75" customHeight="1">
      <c r="A10008" s="26"/>
      <c r="B10008" s="86"/>
      <c r="D10008" s="26"/>
      <c r="F10008" s="87" t="str">
        <f t="shared" si="0"/>
        <v/>
      </c>
      <c r="H10008" s="26" t="str">
        <f t="shared" si="1"/>
        <v/>
      </c>
      <c r="I10008" s="26" t="str">
        <f t="shared" si="2"/>
        <v/>
      </c>
      <c r="J10008" s="86">
        <f t="shared" si="3"/>
        <v>0</v>
      </c>
      <c r="R10008" s="26"/>
    </row>
    <row r="10009" spans="1:18" ht="15.75" customHeight="1">
      <c r="A10009" s="26"/>
      <c r="B10009" s="86"/>
      <c r="D10009" s="26"/>
      <c r="F10009" s="87" t="str">
        <f t="shared" si="0"/>
        <v/>
      </c>
      <c r="H10009" s="26" t="str">
        <f t="shared" si="1"/>
        <v/>
      </c>
      <c r="I10009" s="26" t="str">
        <f t="shared" si="2"/>
        <v/>
      </c>
      <c r="J10009" s="86">
        <f t="shared" si="3"/>
        <v>0</v>
      </c>
      <c r="R10009" s="26"/>
    </row>
    <row r="10010" spans="1:18" ht="15.75" customHeight="1">
      <c r="A10010" s="26"/>
      <c r="B10010" s="86"/>
      <c r="D10010" s="26"/>
      <c r="F10010" s="87" t="str">
        <f t="shared" si="0"/>
        <v/>
      </c>
      <c r="H10010" s="26" t="str">
        <f t="shared" si="1"/>
        <v/>
      </c>
      <c r="I10010" s="26" t="str">
        <f t="shared" si="2"/>
        <v/>
      </c>
      <c r="J10010" s="86">
        <f t="shared" si="3"/>
        <v>0</v>
      </c>
      <c r="R10010" s="26"/>
    </row>
    <row r="10011" spans="1:18" ht="15.75" customHeight="1">
      <c r="A10011" s="26"/>
      <c r="B10011" s="86"/>
      <c r="D10011" s="26"/>
      <c r="F10011" s="87" t="str">
        <f t="shared" si="0"/>
        <v/>
      </c>
      <c r="H10011" s="26" t="str">
        <f t="shared" si="1"/>
        <v/>
      </c>
      <c r="I10011" s="26" t="str">
        <f t="shared" si="2"/>
        <v/>
      </c>
      <c r="J10011" s="86">
        <f t="shared" si="3"/>
        <v>0</v>
      </c>
      <c r="R10011" s="26"/>
    </row>
    <row r="10012" spans="1:18" ht="15.75" customHeight="1">
      <c r="A10012" s="26"/>
      <c r="B10012" s="86"/>
      <c r="D10012" s="26"/>
      <c r="F10012" s="87" t="str">
        <f t="shared" si="0"/>
        <v/>
      </c>
      <c r="H10012" s="26" t="str">
        <f t="shared" si="1"/>
        <v/>
      </c>
      <c r="I10012" s="26" t="str">
        <f t="shared" si="2"/>
        <v/>
      </c>
      <c r="J10012" s="86">
        <f t="shared" si="3"/>
        <v>0</v>
      </c>
      <c r="R10012" s="26"/>
    </row>
    <row r="10013" spans="1:18" ht="15.75" customHeight="1">
      <c r="A10013" s="26"/>
      <c r="B10013" s="86"/>
      <c r="D10013" s="26"/>
      <c r="F10013" s="87" t="str">
        <f t="shared" si="0"/>
        <v/>
      </c>
      <c r="H10013" s="26" t="str">
        <f t="shared" si="1"/>
        <v/>
      </c>
      <c r="I10013" s="26" t="str">
        <f t="shared" si="2"/>
        <v/>
      </c>
      <c r="J10013" s="86">
        <f t="shared" si="3"/>
        <v>0</v>
      </c>
      <c r="R10013" s="26"/>
    </row>
    <row r="10014" spans="1:18" ht="15.75" customHeight="1">
      <c r="A10014" s="26"/>
      <c r="B10014" s="86"/>
      <c r="D10014" s="26"/>
      <c r="F10014" s="87" t="str">
        <f t="shared" si="0"/>
        <v/>
      </c>
      <c r="H10014" s="26" t="str">
        <f t="shared" si="1"/>
        <v/>
      </c>
      <c r="I10014" s="26" t="str">
        <f t="shared" si="2"/>
        <v/>
      </c>
      <c r="J10014" s="86">
        <f t="shared" si="3"/>
        <v>0</v>
      </c>
      <c r="R10014" s="26"/>
    </row>
    <row r="10015" spans="1:18" ht="15.75" customHeight="1">
      <c r="A10015" s="26"/>
      <c r="B10015" s="86"/>
      <c r="D10015" s="26"/>
      <c r="F10015" s="87" t="str">
        <f t="shared" si="0"/>
        <v/>
      </c>
      <c r="H10015" s="26" t="str">
        <f t="shared" si="1"/>
        <v/>
      </c>
      <c r="I10015" s="26" t="str">
        <f t="shared" si="2"/>
        <v/>
      </c>
      <c r="J10015" s="86">
        <f t="shared" si="3"/>
        <v>0</v>
      </c>
      <c r="R10015" s="26"/>
    </row>
    <row r="10016" spans="1:18" ht="15.75" customHeight="1">
      <c r="A10016" s="26"/>
      <c r="B10016" s="86"/>
      <c r="D10016" s="26"/>
      <c r="F10016" s="87" t="str">
        <f t="shared" si="0"/>
        <v/>
      </c>
      <c r="H10016" s="26" t="str">
        <f t="shared" si="1"/>
        <v/>
      </c>
      <c r="I10016" s="26" t="str">
        <f t="shared" si="2"/>
        <v/>
      </c>
      <c r="J10016" s="86">
        <f t="shared" si="3"/>
        <v>0</v>
      </c>
      <c r="R10016" s="26"/>
    </row>
    <row r="10017" spans="1:18" ht="15.75" customHeight="1">
      <c r="A10017" s="26"/>
      <c r="B10017" s="86"/>
      <c r="D10017" s="26"/>
      <c r="F10017" s="87" t="str">
        <f t="shared" si="0"/>
        <v/>
      </c>
      <c r="H10017" s="26" t="str">
        <f t="shared" si="1"/>
        <v/>
      </c>
      <c r="I10017" s="26" t="str">
        <f t="shared" si="2"/>
        <v/>
      </c>
      <c r="J10017" s="86">
        <f t="shared" si="3"/>
        <v>0</v>
      </c>
      <c r="R10017" s="26"/>
    </row>
    <row r="10018" spans="1:18" ht="15.75" customHeight="1">
      <c r="A10018" s="26"/>
      <c r="B10018" s="86"/>
      <c r="D10018" s="26"/>
      <c r="F10018" s="87" t="str">
        <f t="shared" si="0"/>
        <v/>
      </c>
      <c r="H10018" s="26" t="str">
        <f t="shared" si="1"/>
        <v/>
      </c>
      <c r="I10018" s="26" t="str">
        <f t="shared" si="2"/>
        <v/>
      </c>
      <c r="J10018" s="86">
        <f t="shared" si="3"/>
        <v>0</v>
      </c>
      <c r="R10018" s="26"/>
    </row>
    <row r="10019" spans="1:18" ht="15.75" customHeight="1">
      <c r="A10019" s="26"/>
      <c r="B10019" s="86"/>
      <c r="D10019" s="26"/>
      <c r="F10019" s="87" t="str">
        <f t="shared" si="0"/>
        <v/>
      </c>
      <c r="H10019" s="26" t="str">
        <f t="shared" si="1"/>
        <v/>
      </c>
      <c r="I10019" s="26" t="str">
        <f t="shared" si="2"/>
        <v/>
      </c>
      <c r="J10019" s="86">
        <f t="shared" si="3"/>
        <v>0</v>
      </c>
      <c r="R10019" s="26"/>
    </row>
    <row r="10020" spans="1:18" ht="15.75" customHeight="1">
      <c r="A10020" s="26"/>
      <c r="B10020" s="86"/>
      <c r="D10020" s="26"/>
      <c r="F10020" s="87" t="str">
        <f t="shared" si="0"/>
        <v/>
      </c>
      <c r="H10020" s="26" t="str">
        <f t="shared" si="1"/>
        <v/>
      </c>
      <c r="I10020" s="26" t="str">
        <f t="shared" si="2"/>
        <v/>
      </c>
      <c r="J10020" s="86">
        <f t="shared" si="3"/>
        <v>0</v>
      </c>
      <c r="R10020" s="26"/>
    </row>
    <row r="10021" spans="1:18" ht="15.75" customHeight="1">
      <c r="A10021" s="26"/>
      <c r="B10021" s="86"/>
      <c r="D10021" s="26"/>
      <c r="F10021" s="87" t="str">
        <f t="shared" si="0"/>
        <v/>
      </c>
      <c r="H10021" s="26" t="str">
        <f t="shared" si="1"/>
        <v/>
      </c>
      <c r="I10021" s="26" t="str">
        <f t="shared" si="2"/>
        <v/>
      </c>
      <c r="J10021" s="86">
        <f t="shared" si="3"/>
        <v>0</v>
      </c>
      <c r="R10021" s="26"/>
    </row>
    <row r="10022" spans="1:18" ht="15.75" customHeight="1">
      <c r="A10022" s="26"/>
      <c r="B10022" s="86"/>
      <c r="D10022" s="26"/>
      <c r="F10022" s="87" t="str">
        <f t="shared" si="0"/>
        <v/>
      </c>
      <c r="H10022" s="26" t="str">
        <f t="shared" si="1"/>
        <v/>
      </c>
      <c r="I10022" s="26" t="str">
        <f t="shared" si="2"/>
        <v/>
      </c>
      <c r="J10022" s="86">
        <f t="shared" si="3"/>
        <v>0</v>
      </c>
      <c r="R10022" s="26"/>
    </row>
    <row r="10023" spans="1:18" ht="15.75" customHeight="1">
      <c r="A10023" s="26"/>
      <c r="B10023" s="86"/>
      <c r="D10023" s="26"/>
      <c r="F10023" s="87" t="str">
        <f t="shared" si="0"/>
        <v/>
      </c>
      <c r="H10023" s="26" t="str">
        <f t="shared" si="1"/>
        <v/>
      </c>
      <c r="I10023" s="26" t="str">
        <f t="shared" si="2"/>
        <v/>
      </c>
      <c r="J10023" s="86">
        <f t="shared" si="3"/>
        <v>0</v>
      </c>
      <c r="R10023" s="26"/>
    </row>
    <row r="10024" spans="1:18" ht="15.75" customHeight="1">
      <c r="A10024" s="26"/>
      <c r="B10024" s="86"/>
      <c r="D10024" s="26"/>
      <c r="F10024" s="87" t="str">
        <f t="shared" si="0"/>
        <v/>
      </c>
      <c r="H10024" s="26" t="str">
        <f t="shared" si="1"/>
        <v/>
      </c>
      <c r="I10024" s="26" t="str">
        <f t="shared" si="2"/>
        <v/>
      </c>
      <c r="J10024" s="86">
        <f t="shared" si="3"/>
        <v>0</v>
      </c>
      <c r="R10024" s="26"/>
    </row>
    <row r="10025" spans="1:18" ht="15.75" customHeight="1">
      <c r="A10025" s="26"/>
      <c r="B10025" s="86"/>
      <c r="D10025" s="26"/>
      <c r="F10025" s="87" t="str">
        <f t="shared" si="0"/>
        <v/>
      </c>
      <c r="H10025" s="26" t="str">
        <f t="shared" si="1"/>
        <v/>
      </c>
      <c r="I10025" s="26" t="str">
        <f t="shared" si="2"/>
        <v/>
      </c>
      <c r="J10025" s="86">
        <f t="shared" si="3"/>
        <v>0</v>
      </c>
      <c r="R10025" s="26"/>
    </row>
    <row r="10026" spans="1:18" ht="15.75" customHeight="1">
      <c r="A10026" s="26"/>
      <c r="B10026" s="86"/>
      <c r="D10026" s="26"/>
      <c r="F10026" s="87" t="str">
        <f t="shared" si="0"/>
        <v/>
      </c>
      <c r="H10026" s="26" t="str">
        <f t="shared" si="1"/>
        <v/>
      </c>
      <c r="I10026" s="26" t="str">
        <f t="shared" si="2"/>
        <v/>
      </c>
      <c r="J10026" s="86">
        <f t="shared" si="3"/>
        <v>0</v>
      </c>
      <c r="R10026" s="26"/>
    </row>
    <row r="10027" spans="1:18" ht="15.75" customHeight="1">
      <c r="A10027" s="26"/>
      <c r="B10027" s="86"/>
      <c r="D10027" s="26"/>
      <c r="F10027" s="87" t="str">
        <f t="shared" si="0"/>
        <v/>
      </c>
      <c r="H10027" s="26" t="str">
        <f t="shared" si="1"/>
        <v/>
      </c>
      <c r="I10027" s="26" t="str">
        <f t="shared" si="2"/>
        <v/>
      </c>
      <c r="J10027" s="86">
        <f t="shared" si="3"/>
        <v>0</v>
      </c>
      <c r="R10027" s="26"/>
    </row>
    <row r="10028" spans="1:18" ht="15.75" customHeight="1">
      <c r="A10028" s="26"/>
      <c r="B10028" s="86"/>
      <c r="D10028" s="26"/>
      <c r="F10028" s="87" t="str">
        <f t="shared" si="0"/>
        <v/>
      </c>
      <c r="H10028" s="26" t="str">
        <f t="shared" si="1"/>
        <v/>
      </c>
      <c r="I10028" s="26" t="str">
        <f t="shared" si="2"/>
        <v/>
      </c>
      <c r="J10028" s="86">
        <f t="shared" si="3"/>
        <v>0</v>
      </c>
      <c r="R10028" s="26"/>
    </row>
    <row r="10029" spans="1:18" ht="15.75" customHeight="1">
      <c r="A10029" s="26"/>
      <c r="B10029" s="86"/>
      <c r="D10029" s="26"/>
      <c r="F10029" s="87" t="str">
        <f t="shared" si="0"/>
        <v/>
      </c>
      <c r="H10029" s="26" t="str">
        <f t="shared" si="1"/>
        <v/>
      </c>
      <c r="I10029" s="26" t="str">
        <f t="shared" si="2"/>
        <v/>
      </c>
      <c r="J10029" s="86">
        <f t="shared" si="3"/>
        <v>0</v>
      </c>
      <c r="R10029" s="26"/>
    </row>
    <row r="10030" spans="1:18" ht="15.75" customHeight="1">
      <c r="A10030" s="26"/>
      <c r="B10030" s="86"/>
      <c r="D10030" s="26"/>
      <c r="F10030" s="87" t="str">
        <f t="shared" si="0"/>
        <v/>
      </c>
      <c r="H10030" s="26" t="str">
        <f t="shared" si="1"/>
        <v/>
      </c>
      <c r="I10030" s="26" t="str">
        <f t="shared" si="2"/>
        <v/>
      </c>
      <c r="J10030" s="86">
        <f t="shared" si="3"/>
        <v>0</v>
      </c>
      <c r="R10030" s="26"/>
    </row>
    <row r="10031" spans="1:18" ht="15.75" customHeight="1">
      <c r="A10031" s="26"/>
      <c r="B10031" s="86"/>
      <c r="D10031" s="26"/>
      <c r="F10031" s="87" t="str">
        <f t="shared" si="0"/>
        <v/>
      </c>
      <c r="H10031" s="26" t="str">
        <f t="shared" si="1"/>
        <v/>
      </c>
      <c r="I10031" s="26" t="str">
        <f t="shared" si="2"/>
        <v/>
      </c>
      <c r="J10031" s="86">
        <f t="shared" si="3"/>
        <v>0</v>
      </c>
      <c r="R10031" s="26"/>
    </row>
    <row r="10032" spans="1:18" ht="15.75" customHeight="1">
      <c r="A10032" s="26"/>
      <c r="B10032" s="86"/>
      <c r="D10032" s="26"/>
      <c r="F10032" s="87" t="str">
        <f t="shared" si="0"/>
        <v/>
      </c>
      <c r="H10032" s="26" t="str">
        <f t="shared" si="1"/>
        <v/>
      </c>
      <c r="I10032" s="26" t="str">
        <f t="shared" si="2"/>
        <v/>
      </c>
      <c r="J10032" s="86">
        <f t="shared" si="3"/>
        <v>0</v>
      </c>
      <c r="R10032" s="26"/>
    </row>
    <row r="10033" spans="1:18" ht="15.75" customHeight="1">
      <c r="A10033" s="26"/>
      <c r="B10033" s="86"/>
      <c r="D10033" s="26"/>
      <c r="F10033" s="87" t="str">
        <f t="shared" si="0"/>
        <v/>
      </c>
      <c r="H10033" s="26" t="str">
        <f t="shared" si="1"/>
        <v/>
      </c>
      <c r="I10033" s="26" t="str">
        <f t="shared" si="2"/>
        <v/>
      </c>
      <c r="J10033" s="86">
        <f t="shared" si="3"/>
        <v>0</v>
      </c>
      <c r="R10033" s="26"/>
    </row>
    <row r="10034" spans="1:18" ht="15.75" customHeight="1">
      <c r="A10034" s="26"/>
      <c r="B10034" s="86"/>
      <c r="D10034" s="26"/>
      <c r="F10034" s="87" t="str">
        <f t="shared" si="0"/>
        <v/>
      </c>
      <c r="H10034" s="26" t="str">
        <f t="shared" si="1"/>
        <v/>
      </c>
      <c r="I10034" s="26" t="str">
        <f t="shared" si="2"/>
        <v/>
      </c>
      <c r="J10034" s="86">
        <f t="shared" si="3"/>
        <v>0</v>
      </c>
      <c r="R10034" s="26"/>
    </row>
    <row r="10035" spans="1:18" ht="15.75" customHeight="1">
      <c r="A10035" s="26"/>
      <c r="B10035" s="86"/>
      <c r="D10035" s="26"/>
      <c r="F10035" s="87" t="str">
        <f t="shared" si="0"/>
        <v/>
      </c>
      <c r="H10035" s="26" t="str">
        <f t="shared" si="1"/>
        <v/>
      </c>
      <c r="I10035" s="26" t="str">
        <f t="shared" si="2"/>
        <v/>
      </c>
      <c r="J10035" s="86">
        <f t="shared" si="3"/>
        <v>0</v>
      </c>
      <c r="R10035" s="26"/>
    </row>
    <row r="10036" spans="1:18" ht="15.75" customHeight="1">
      <c r="A10036" s="26"/>
      <c r="B10036" s="86"/>
      <c r="D10036" s="26"/>
      <c r="F10036" s="87" t="str">
        <f t="shared" si="0"/>
        <v/>
      </c>
      <c r="H10036" s="26" t="str">
        <f t="shared" si="1"/>
        <v/>
      </c>
      <c r="I10036" s="26" t="str">
        <f t="shared" si="2"/>
        <v/>
      </c>
      <c r="J10036" s="86">
        <f t="shared" si="3"/>
        <v>0</v>
      </c>
      <c r="R10036" s="26"/>
    </row>
    <row r="10037" spans="1:18" ht="15.75" customHeight="1">
      <c r="A10037" s="26"/>
      <c r="B10037" s="86"/>
      <c r="D10037" s="26"/>
      <c r="F10037" s="87" t="str">
        <f t="shared" si="0"/>
        <v/>
      </c>
      <c r="H10037" s="26" t="str">
        <f t="shared" si="1"/>
        <v/>
      </c>
      <c r="I10037" s="26" t="str">
        <f t="shared" si="2"/>
        <v/>
      </c>
      <c r="J10037" s="86">
        <f t="shared" si="3"/>
        <v>0</v>
      </c>
      <c r="R10037" s="26"/>
    </row>
    <row r="10038" spans="1:18" ht="15.75" customHeight="1">
      <c r="A10038" s="26"/>
      <c r="B10038" s="86"/>
      <c r="D10038" s="26"/>
      <c r="F10038" s="87" t="str">
        <f t="shared" si="0"/>
        <v/>
      </c>
      <c r="H10038" s="26" t="str">
        <f t="shared" si="1"/>
        <v/>
      </c>
      <c r="I10038" s="26" t="str">
        <f t="shared" si="2"/>
        <v/>
      </c>
      <c r="J10038" s="86">
        <f t="shared" si="3"/>
        <v>0</v>
      </c>
      <c r="R10038" s="26"/>
    </row>
    <row r="10039" spans="1:18" ht="15.75" customHeight="1">
      <c r="A10039" s="26"/>
      <c r="B10039" s="86"/>
      <c r="D10039" s="26"/>
      <c r="F10039" s="87" t="str">
        <f t="shared" si="0"/>
        <v/>
      </c>
      <c r="H10039" s="26" t="str">
        <f t="shared" si="1"/>
        <v/>
      </c>
      <c r="I10039" s="26" t="str">
        <f t="shared" si="2"/>
        <v/>
      </c>
      <c r="J10039" s="86">
        <f t="shared" si="3"/>
        <v>0</v>
      </c>
      <c r="R10039" s="26"/>
    </row>
    <row r="10040" spans="1:18" ht="15.75" customHeight="1">
      <c r="A10040" s="26"/>
      <c r="B10040" s="86"/>
      <c r="D10040" s="26"/>
      <c r="F10040" s="87" t="str">
        <f t="shared" si="0"/>
        <v/>
      </c>
      <c r="H10040" s="26" t="str">
        <f t="shared" si="1"/>
        <v/>
      </c>
      <c r="I10040" s="26" t="str">
        <f t="shared" si="2"/>
        <v/>
      </c>
      <c r="J10040" s="86">
        <f t="shared" si="3"/>
        <v>0</v>
      </c>
      <c r="R10040" s="26"/>
    </row>
    <row r="10041" spans="1:18" ht="15.75" customHeight="1">
      <c r="A10041" s="26"/>
      <c r="B10041" s="86"/>
      <c r="D10041" s="26"/>
      <c r="F10041" s="87" t="str">
        <f t="shared" si="0"/>
        <v/>
      </c>
      <c r="H10041" s="26" t="str">
        <f t="shared" si="1"/>
        <v/>
      </c>
      <c r="I10041" s="26" t="str">
        <f t="shared" si="2"/>
        <v/>
      </c>
      <c r="J10041" s="86">
        <f t="shared" si="3"/>
        <v>0</v>
      </c>
      <c r="R10041" s="26"/>
    </row>
    <row r="10042" spans="1:18" ht="15.75" customHeight="1">
      <c r="A10042" s="26"/>
      <c r="B10042" s="86"/>
      <c r="D10042" s="26"/>
      <c r="F10042" s="87" t="str">
        <f t="shared" si="0"/>
        <v/>
      </c>
      <c r="H10042" s="26" t="str">
        <f t="shared" si="1"/>
        <v/>
      </c>
      <c r="I10042" s="26" t="str">
        <f t="shared" si="2"/>
        <v/>
      </c>
      <c r="J10042" s="86">
        <f t="shared" si="3"/>
        <v>0</v>
      </c>
      <c r="R10042" s="26"/>
    </row>
    <row r="10043" spans="1:18" ht="15.75" customHeight="1">
      <c r="A10043" s="26"/>
      <c r="B10043" s="86"/>
      <c r="D10043" s="26"/>
      <c r="F10043" s="87" t="str">
        <f t="shared" si="0"/>
        <v/>
      </c>
      <c r="H10043" s="26" t="str">
        <f t="shared" si="1"/>
        <v/>
      </c>
      <c r="I10043" s="26" t="str">
        <f t="shared" si="2"/>
        <v/>
      </c>
      <c r="J10043" s="86">
        <f t="shared" si="3"/>
        <v>0</v>
      </c>
      <c r="R10043" s="26"/>
    </row>
    <row r="10044" spans="1:18" ht="15.75" customHeight="1">
      <c r="A10044" s="26"/>
      <c r="B10044" s="86"/>
      <c r="D10044" s="26"/>
      <c r="F10044" s="87" t="str">
        <f t="shared" si="0"/>
        <v/>
      </c>
      <c r="H10044" s="26" t="str">
        <f t="shared" si="1"/>
        <v/>
      </c>
      <c r="I10044" s="26" t="str">
        <f t="shared" si="2"/>
        <v/>
      </c>
      <c r="J10044" s="86">
        <f t="shared" si="3"/>
        <v>0</v>
      </c>
      <c r="R10044" s="26"/>
    </row>
    <row r="10045" spans="1:18" ht="15.75" customHeight="1">
      <c r="A10045" s="26"/>
      <c r="B10045" s="86"/>
      <c r="D10045" s="26"/>
      <c r="F10045" s="87" t="str">
        <f t="shared" si="0"/>
        <v/>
      </c>
      <c r="H10045" s="26" t="str">
        <f t="shared" si="1"/>
        <v/>
      </c>
      <c r="I10045" s="26" t="str">
        <f t="shared" si="2"/>
        <v/>
      </c>
      <c r="J10045" s="86">
        <f t="shared" si="3"/>
        <v>0</v>
      </c>
      <c r="R10045" s="26"/>
    </row>
    <row r="10046" spans="1:18" ht="15.75" customHeight="1">
      <c r="A10046" s="26"/>
      <c r="B10046" s="86"/>
      <c r="D10046" s="26"/>
      <c r="F10046" s="87" t="str">
        <f t="shared" si="0"/>
        <v/>
      </c>
      <c r="H10046" s="26" t="str">
        <f t="shared" si="1"/>
        <v/>
      </c>
      <c r="I10046" s="26" t="str">
        <f t="shared" si="2"/>
        <v/>
      </c>
      <c r="J10046" s="86">
        <f t="shared" si="3"/>
        <v>0</v>
      </c>
      <c r="R10046" s="26"/>
    </row>
    <row r="10047" spans="1:18" ht="15.75" customHeight="1">
      <c r="A10047" s="26"/>
      <c r="B10047" s="86"/>
      <c r="D10047" s="26"/>
      <c r="F10047" s="87" t="str">
        <f t="shared" si="0"/>
        <v/>
      </c>
      <c r="H10047" s="26" t="str">
        <f t="shared" si="1"/>
        <v/>
      </c>
      <c r="I10047" s="26" t="str">
        <f t="shared" si="2"/>
        <v/>
      </c>
      <c r="J10047" s="86">
        <f t="shared" si="3"/>
        <v>0</v>
      </c>
      <c r="R10047" s="26"/>
    </row>
    <row r="10048" spans="1:18" ht="15.75" customHeight="1">
      <c r="A10048" s="26"/>
      <c r="B10048" s="86"/>
      <c r="D10048" s="26"/>
      <c r="F10048" s="87" t="str">
        <f t="shared" si="0"/>
        <v/>
      </c>
      <c r="H10048" s="26" t="str">
        <f t="shared" si="1"/>
        <v/>
      </c>
      <c r="I10048" s="26" t="str">
        <f t="shared" si="2"/>
        <v/>
      </c>
      <c r="J10048" s="86">
        <f t="shared" si="3"/>
        <v>0</v>
      </c>
      <c r="R10048" s="26"/>
    </row>
    <row r="10049" spans="1:18" ht="15.75" customHeight="1">
      <c r="A10049" s="26"/>
      <c r="B10049" s="86"/>
      <c r="D10049" s="26"/>
      <c r="F10049" s="87" t="str">
        <f t="shared" si="0"/>
        <v/>
      </c>
      <c r="H10049" s="26" t="str">
        <f t="shared" si="1"/>
        <v/>
      </c>
      <c r="I10049" s="26" t="str">
        <f t="shared" si="2"/>
        <v/>
      </c>
      <c r="J10049" s="86">
        <f t="shared" si="3"/>
        <v>0</v>
      </c>
      <c r="R10049" s="26"/>
    </row>
    <row r="10050" spans="1:18" ht="15.75" customHeight="1">
      <c r="A10050" s="26"/>
      <c r="B10050" s="86"/>
      <c r="D10050" s="26"/>
      <c r="F10050" s="87" t="str">
        <f t="shared" si="0"/>
        <v/>
      </c>
      <c r="H10050" s="26" t="str">
        <f t="shared" si="1"/>
        <v/>
      </c>
      <c r="I10050" s="26" t="str">
        <f t="shared" si="2"/>
        <v/>
      </c>
      <c r="J10050" s="86">
        <f t="shared" si="3"/>
        <v>0</v>
      </c>
      <c r="R10050" s="26"/>
    </row>
    <row r="10051" spans="1:18" ht="15.75" customHeight="1">
      <c r="A10051" s="26"/>
      <c r="B10051" s="86"/>
      <c r="D10051" s="26"/>
      <c r="F10051" s="87" t="str">
        <f t="shared" si="0"/>
        <v/>
      </c>
      <c r="H10051" s="26" t="str">
        <f t="shared" si="1"/>
        <v/>
      </c>
      <c r="I10051" s="26" t="str">
        <f t="shared" si="2"/>
        <v/>
      </c>
      <c r="J10051" s="86">
        <f t="shared" si="3"/>
        <v>0</v>
      </c>
      <c r="R10051" s="26"/>
    </row>
    <row r="10052" spans="1:18" ht="15.75" customHeight="1">
      <c r="A10052" s="26"/>
      <c r="B10052" s="86"/>
      <c r="D10052" s="26"/>
      <c r="F10052" s="87" t="str">
        <f t="shared" si="0"/>
        <v/>
      </c>
      <c r="H10052" s="26" t="str">
        <f t="shared" si="1"/>
        <v/>
      </c>
      <c r="I10052" s="26" t="str">
        <f t="shared" si="2"/>
        <v/>
      </c>
      <c r="J10052" s="86">
        <f t="shared" si="3"/>
        <v>0</v>
      </c>
      <c r="R10052" s="26"/>
    </row>
    <row r="10053" spans="1:18" ht="15.75" customHeight="1">
      <c r="A10053" s="26"/>
      <c r="B10053" s="86"/>
      <c r="D10053" s="26"/>
      <c r="F10053" s="87" t="str">
        <f t="shared" si="0"/>
        <v/>
      </c>
      <c r="H10053" s="26" t="str">
        <f t="shared" si="1"/>
        <v/>
      </c>
      <c r="I10053" s="26" t="str">
        <f t="shared" si="2"/>
        <v/>
      </c>
      <c r="J10053" s="86">
        <f t="shared" si="3"/>
        <v>0</v>
      </c>
      <c r="R10053" s="26"/>
    </row>
    <row r="10054" spans="1:18" ht="15.75" customHeight="1">
      <c r="A10054" s="26"/>
      <c r="B10054" s="86"/>
      <c r="D10054" s="26"/>
      <c r="F10054" s="87" t="str">
        <f t="shared" si="0"/>
        <v/>
      </c>
      <c r="H10054" s="26" t="str">
        <f t="shared" si="1"/>
        <v/>
      </c>
      <c r="I10054" s="26" t="str">
        <f t="shared" si="2"/>
        <v/>
      </c>
      <c r="J10054" s="86">
        <f t="shared" si="3"/>
        <v>0</v>
      </c>
      <c r="R10054" s="26"/>
    </row>
    <row r="10055" spans="1:18" ht="15.75" customHeight="1">
      <c r="A10055" s="26"/>
      <c r="B10055" s="86"/>
      <c r="D10055" s="26"/>
      <c r="F10055" s="87" t="str">
        <f t="shared" si="0"/>
        <v/>
      </c>
      <c r="H10055" s="26" t="str">
        <f t="shared" si="1"/>
        <v/>
      </c>
      <c r="I10055" s="26" t="str">
        <f t="shared" si="2"/>
        <v/>
      </c>
      <c r="J10055" s="86">
        <f t="shared" si="3"/>
        <v>0</v>
      </c>
      <c r="R10055" s="26"/>
    </row>
    <row r="10056" spans="1:18" ht="15.75" customHeight="1">
      <c r="A10056" s="26"/>
      <c r="B10056" s="86"/>
      <c r="D10056" s="26"/>
      <c r="F10056" s="87" t="str">
        <f t="shared" si="0"/>
        <v/>
      </c>
      <c r="H10056" s="26" t="str">
        <f t="shared" si="1"/>
        <v/>
      </c>
      <c r="I10056" s="26" t="str">
        <f t="shared" si="2"/>
        <v/>
      </c>
      <c r="J10056" s="86">
        <f t="shared" si="3"/>
        <v>0</v>
      </c>
      <c r="R10056" s="26"/>
    </row>
    <row r="10057" spans="1:18" ht="15.75" customHeight="1">
      <c r="A10057" s="26"/>
      <c r="B10057" s="86"/>
      <c r="D10057" s="26"/>
      <c r="F10057" s="87" t="str">
        <f t="shared" si="0"/>
        <v/>
      </c>
      <c r="H10057" s="26" t="str">
        <f t="shared" si="1"/>
        <v/>
      </c>
      <c r="I10057" s="26" t="str">
        <f t="shared" si="2"/>
        <v/>
      </c>
      <c r="J10057" s="86">
        <f t="shared" si="3"/>
        <v>0</v>
      </c>
      <c r="R10057" s="26"/>
    </row>
    <row r="10058" spans="1:18" ht="15.75" customHeight="1">
      <c r="A10058" s="26"/>
      <c r="B10058" s="86"/>
      <c r="D10058" s="26"/>
      <c r="F10058" s="87" t="str">
        <f t="shared" si="0"/>
        <v/>
      </c>
      <c r="H10058" s="26" t="str">
        <f t="shared" si="1"/>
        <v/>
      </c>
      <c r="I10058" s="26" t="str">
        <f t="shared" si="2"/>
        <v/>
      </c>
      <c r="J10058" s="86">
        <f t="shared" si="3"/>
        <v>0</v>
      </c>
      <c r="R10058" s="26"/>
    </row>
    <row r="10059" spans="1:18" ht="15.75" customHeight="1">
      <c r="A10059" s="26"/>
      <c r="B10059" s="86"/>
      <c r="D10059" s="26"/>
      <c r="F10059" s="87" t="str">
        <f t="shared" si="0"/>
        <v/>
      </c>
      <c r="H10059" s="26" t="str">
        <f t="shared" si="1"/>
        <v/>
      </c>
      <c r="I10059" s="26" t="str">
        <f t="shared" si="2"/>
        <v/>
      </c>
      <c r="J10059" s="86">
        <f t="shared" si="3"/>
        <v>0</v>
      </c>
      <c r="R10059" s="26"/>
    </row>
    <row r="10060" spans="1:18" ht="15.75" customHeight="1">
      <c r="A10060" s="26"/>
      <c r="B10060" s="86"/>
      <c r="D10060" s="26"/>
      <c r="F10060" s="87" t="str">
        <f t="shared" si="0"/>
        <v/>
      </c>
      <c r="H10060" s="26" t="str">
        <f t="shared" si="1"/>
        <v/>
      </c>
      <c r="I10060" s="26" t="str">
        <f t="shared" si="2"/>
        <v/>
      </c>
      <c r="J10060" s="86">
        <f t="shared" si="3"/>
        <v>0</v>
      </c>
      <c r="R10060" s="26"/>
    </row>
    <row r="10061" spans="1:18" ht="15.75" customHeight="1">
      <c r="A10061" s="26"/>
      <c r="B10061" s="86"/>
      <c r="D10061" s="26"/>
      <c r="F10061" s="87" t="str">
        <f t="shared" si="0"/>
        <v/>
      </c>
      <c r="H10061" s="26" t="str">
        <f t="shared" si="1"/>
        <v/>
      </c>
      <c r="I10061" s="26" t="str">
        <f t="shared" si="2"/>
        <v/>
      </c>
      <c r="J10061" s="86">
        <f t="shared" si="3"/>
        <v>0</v>
      </c>
      <c r="R10061" s="26"/>
    </row>
    <row r="10062" spans="1:18" ht="15.75" customHeight="1">
      <c r="A10062" s="26"/>
      <c r="B10062" s="86"/>
      <c r="D10062" s="26"/>
      <c r="F10062" s="87" t="str">
        <f t="shared" si="0"/>
        <v/>
      </c>
      <c r="H10062" s="26" t="str">
        <f t="shared" si="1"/>
        <v/>
      </c>
      <c r="I10062" s="26" t="str">
        <f t="shared" si="2"/>
        <v/>
      </c>
      <c r="J10062" s="86">
        <f t="shared" si="3"/>
        <v>0</v>
      </c>
      <c r="R10062" s="26"/>
    </row>
    <row r="10063" spans="1:18" ht="15.75" customHeight="1">
      <c r="A10063" s="26"/>
      <c r="B10063" s="86"/>
      <c r="D10063" s="26"/>
      <c r="F10063" s="87" t="str">
        <f t="shared" si="0"/>
        <v/>
      </c>
      <c r="H10063" s="26" t="str">
        <f t="shared" si="1"/>
        <v/>
      </c>
      <c r="I10063" s="26" t="str">
        <f t="shared" si="2"/>
        <v/>
      </c>
      <c r="J10063" s="86">
        <f t="shared" si="3"/>
        <v>0</v>
      </c>
      <c r="R10063" s="26"/>
    </row>
    <row r="10064" spans="1:18" ht="15.75" customHeight="1">
      <c r="A10064" s="26"/>
      <c r="B10064" s="86"/>
      <c r="D10064" s="26"/>
      <c r="F10064" s="87" t="str">
        <f t="shared" si="0"/>
        <v/>
      </c>
      <c r="H10064" s="26" t="str">
        <f t="shared" si="1"/>
        <v/>
      </c>
      <c r="I10064" s="26" t="str">
        <f t="shared" si="2"/>
        <v/>
      </c>
      <c r="J10064" s="86">
        <f t="shared" si="3"/>
        <v>0</v>
      </c>
      <c r="R10064" s="26"/>
    </row>
    <row r="10065" spans="1:18" ht="15.75" customHeight="1">
      <c r="A10065" s="26"/>
      <c r="B10065" s="86"/>
      <c r="D10065" s="26"/>
      <c r="F10065" s="87" t="str">
        <f t="shared" si="0"/>
        <v/>
      </c>
      <c r="H10065" s="26" t="str">
        <f t="shared" si="1"/>
        <v/>
      </c>
      <c r="I10065" s="26" t="str">
        <f t="shared" si="2"/>
        <v/>
      </c>
      <c r="J10065" s="86">
        <f t="shared" si="3"/>
        <v>0</v>
      </c>
      <c r="R10065" s="26"/>
    </row>
    <row r="10066" spans="1:18" ht="15.75" customHeight="1">
      <c r="A10066" s="26"/>
      <c r="B10066" s="86"/>
      <c r="D10066" s="26"/>
      <c r="F10066" s="87" t="str">
        <f t="shared" si="0"/>
        <v/>
      </c>
      <c r="H10066" s="26" t="str">
        <f t="shared" si="1"/>
        <v/>
      </c>
      <c r="I10066" s="26" t="str">
        <f t="shared" si="2"/>
        <v/>
      </c>
      <c r="J10066" s="86">
        <f t="shared" si="3"/>
        <v>0</v>
      </c>
      <c r="R10066" s="26"/>
    </row>
    <row r="10067" spans="1:18" ht="15.75" customHeight="1">
      <c r="A10067" s="26"/>
      <c r="B10067" s="86"/>
      <c r="D10067" s="26"/>
      <c r="F10067" s="87" t="str">
        <f t="shared" si="0"/>
        <v/>
      </c>
      <c r="H10067" s="26" t="str">
        <f t="shared" si="1"/>
        <v/>
      </c>
      <c r="I10067" s="26" t="str">
        <f t="shared" si="2"/>
        <v/>
      </c>
      <c r="J10067" s="86">
        <f t="shared" si="3"/>
        <v>0</v>
      </c>
      <c r="R10067" s="26"/>
    </row>
    <row r="10068" spans="1:18" ht="15.75" customHeight="1">
      <c r="A10068" s="26"/>
      <c r="B10068" s="86"/>
      <c r="D10068" s="26"/>
      <c r="F10068" s="87" t="str">
        <f t="shared" si="0"/>
        <v/>
      </c>
      <c r="H10068" s="26" t="str">
        <f t="shared" si="1"/>
        <v/>
      </c>
      <c r="I10068" s="26" t="str">
        <f t="shared" si="2"/>
        <v/>
      </c>
      <c r="J10068" s="86">
        <f t="shared" si="3"/>
        <v>0</v>
      </c>
      <c r="R10068" s="26"/>
    </row>
    <row r="10069" spans="1:18" ht="15.75" customHeight="1">
      <c r="A10069" s="26"/>
      <c r="B10069" s="86"/>
      <c r="D10069" s="26"/>
      <c r="F10069" s="87" t="str">
        <f t="shared" si="0"/>
        <v/>
      </c>
      <c r="H10069" s="26" t="str">
        <f t="shared" si="1"/>
        <v/>
      </c>
      <c r="I10069" s="26" t="str">
        <f t="shared" si="2"/>
        <v/>
      </c>
      <c r="J10069" s="86">
        <f t="shared" si="3"/>
        <v>0</v>
      </c>
      <c r="R10069" s="26"/>
    </row>
    <row r="10070" spans="1:18" ht="15.75" customHeight="1">
      <c r="A10070" s="26"/>
      <c r="B10070" s="86"/>
      <c r="D10070" s="26"/>
      <c r="F10070" s="87" t="str">
        <f t="shared" si="0"/>
        <v/>
      </c>
      <c r="H10070" s="26" t="str">
        <f t="shared" si="1"/>
        <v/>
      </c>
      <c r="I10070" s="26" t="str">
        <f t="shared" si="2"/>
        <v/>
      </c>
      <c r="J10070" s="86">
        <f t="shared" si="3"/>
        <v>0</v>
      </c>
      <c r="R10070" s="26"/>
    </row>
    <row r="10071" spans="1:18" ht="15.75" customHeight="1">
      <c r="A10071" s="26"/>
      <c r="B10071" s="86"/>
      <c r="D10071" s="26"/>
      <c r="F10071" s="87" t="str">
        <f t="shared" si="0"/>
        <v/>
      </c>
      <c r="H10071" s="26" t="str">
        <f t="shared" si="1"/>
        <v/>
      </c>
      <c r="I10071" s="26" t="str">
        <f t="shared" si="2"/>
        <v/>
      </c>
      <c r="J10071" s="86">
        <f t="shared" si="3"/>
        <v>0</v>
      </c>
      <c r="R10071" s="26"/>
    </row>
    <row r="10072" spans="1:18" ht="15.75" customHeight="1">
      <c r="A10072" s="26"/>
      <c r="B10072" s="86"/>
      <c r="D10072" s="26"/>
      <c r="F10072" s="87" t="str">
        <f t="shared" si="0"/>
        <v/>
      </c>
      <c r="H10072" s="26" t="str">
        <f t="shared" si="1"/>
        <v/>
      </c>
      <c r="I10072" s="26" t="str">
        <f t="shared" si="2"/>
        <v/>
      </c>
      <c r="J10072" s="86">
        <f t="shared" si="3"/>
        <v>0</v>
      </c>
      <c r="R10072" s="26"/>
    </row>
    <row r="10073" spans="1:18" ht="15.75" customHeight="1">
      <c r="A10073" s="26"/>
      <c r="B10073" s="86"/>
      <c r="D10073" s="26"/>
      <c r="F10073" s="87" t="str">
        <f t="shared" si="0"/>
        <v/>
      </c>
      <c r="H10073" s="26" t="str">
        <f t="shared" si="1"/>
        <v/>
      </c>
      <c r="I10073" s="26" t="str">
        <f t="shared" si="2"/>
        <v/>
      </c>
      <c r="J10073" s="86">
        <f t="shared" si="3"/>
        <v>0</v>
      </c>
      <c r="R10073" s="26"/>
    </row>
    <row r="10074" spans="1:18" ht="15.75" customHeight="1">
      <c r="A10074" s="26"/>
      <c r="B10074" s="86"/>
      <c r="D10074" s="26"/>
      <c r="F10074" s="87" t="str">
        <f t="shared" si="0"/>
        <v/>
      </c>
      <c r="H10074" s="26" t="str">
        <f t="shared" si="1"/>
        <v/>
      </c>
      <c r="I10074" s="26" t="str">
        <f t="shared" si="2"/>
        <v/>
      </c>
      <c r="J10074" s="86">
        <f t="shared" si="3"/>
        <v>0</v>
      </c>
      <c r="R10074" s="26"/>
    </row>
    <row r="10075" spans="1:18" ht="15.75" customHeight="1">
      <c r="A10075" s="26"/>
      <c r="B10075" s="86"/>
      <c r="D10075" s="26"/>
      <c r="F10075" s="87" t="str">
        <f t="shared" si="0"/>
        <v/>
      </c>
      <c r="H10075" s="26" t="str">
        <f t="shared" si="1"/>
        <v/>
      </c>
      <c r="I10075" s="26" t="str">
        <f t="shared" si="2"/>
        <v/>
      </c>
      <c r="J10075" s="86">
        <f t="shared" si="3"/>
        <v>0</v>
      </c>
      <c r="R10075" s="26"/>
    </row>
    <row r="10076" spans="1:18" ht="15.75" customHeight="1">
      <c r="A10076" s="26"/>
      <c r="B10076" s="86"/>
      <c r="D10076" s="26"/>
      <c r="F10076" s="87" t="str">
        <f t="shared" si="0"/>
        <v/>
      </c>
      <c r="H10076" s="26" t="str">
        <f t="shared" si="1"/>
        <v/>
      </c>
      <c r="I10076" s="26" t="str">
        <f t="shared" si="2"/>
        <v/>
      </c>
      <c r="J10076" s="86">
        <f t="shared" si="3"/>
        <v>0</v>
      </c>
      <c r="R10076" s="26"/>
    </row>
    <row r="10077" spans="1:18" ht="15.75" customHeight="1">
      <c r="A10077" s="26"/>
      <c r="B10077" s="86"/>
      <c r="D10077" s="26"/>
      <c r="F10077" s="87" t="str">
        <f t="shared" si="0"/>
        <v/>
      </c>
      <c r="H10077" s="26" t="str">
        <f t="shared" si="1"/>
        <v/>
      </c>
      <c r="I10077" s="26" t="str">
        <f t="shared" si="2"/>
        <v/>
      </c>
      <c r="J10077" s="86">
        <f t="shared" si="3"/>
        <v>0</v>
      </c>
      <c r="R10077" s="26"/>
    </row>
    <row r="10078" spans="1:18" ht="15.75" customHeight="1">
      <c r="A10078" s="26"/>
      <c r="B10078" s="86"/>
      <c r="D10078" s="26"/>
      <c r="F10078" s="87" t="str">
        <f t="shared" si="0"/>
        <v/>
      </c>
      <c r="H10078" s="26" t="str">
        <f t="shared" si="1"/>
        <v/>
      </c>
      <c r="I10078" s="26" t="str">
        <f t="shared" si="2"/>
        <v/>
      </c>
      <c r="J10078" s="86">
        <f t="shared" si="3"/>
        <v>0</v>
      </c>
      <c r="R10078" s="26"/>
    </row>
    <row r="10079" spans="1:18" ht="15.75" customHeight="1">
      <c r="A10079" s="26"/>
      <c r="B10079" s="86"/>
      <c r="D10079" s="26"/>
      <c r="F10079" s="87" t="str">
        <f t="shared" si="0"/>
        <v/>
      </c>
      <c r="H10079" s="26" t="str">
        <f t="shared" si="1"/>
        <v/>
      </c>
      <c r="I10079" s="26" t="str">
        <f t="shared" si="2"/>
        <v/>
      </c>
      <c r="J10079" s="86">
        <f t="shared" si="3"/>
        <v>0</v>
      </c>
      <c r="R10079" s="26"/>
    </row>
    <row r="10080" spans="1:18" ht="15.75" customHeight="1">
      <c r="A10080" s="26"/>
      <c r="B10080" s="86"/>
      <c r="D10080" s="26"/>
      <c r="F10080" s="87" t="str">
        <f t="shared" si="0"/>
        <v/>
      </c>
      <c r="H10080" s="26" t="str">
        <f t="shared" si="1"/>
        <v/>
      </c>
      <c r="I10080" s="26" t="str">
        <f t="shared" si="2"/>
        <v/>
      </c>
      <c r="J10080" s="86">
        <f t="shared" si="3"/>
        <v>0</v>
      </c>
      <c r="R10080" s="26"/>
    </row>
    <row r="10081" spans="1:18" ht="15.75" customHeight="1">
      <c r="A10081" s="26"/>
      <c r="B10081" s="86"/>
      <c r="D10081" s="26"/>
      <c r="F10081" s="87" t="str">
        <f t="shared" si="0"/>
        <v/>
      </c>
      <c r="H10081" s="26" t="str">
        <f t="shared" si="1"/>
        <v/>
      </c>
      <c r="I10081" s="26" t="str">
        <f t="shared" si="2"/>
        <v/>
      </c>
      <c r="J10081" s="86">
        <f t="shared" si="3"/>
        <v>0</v>
      </c>
      <c r="R10081" s="26"/>
    </row>
    <row r="10082" spans="1:18" ht="15.75" customHeight="1">
      <c r="A10082" s="26"/>
      <c r="B10082" s="86"/>
      <c r="D10082" s="26"/>
      <c r="F10082" s="87" t="str">
        <f t="shared" si="0"/>
        <v/>
      </c>
      <c r="H10082" s="26" t="str">
        <f t="shared" si="1"/>
        <v/>
      </c>
      <c r="I10082" s="26" t="str">
        <f t="shared" si="2"/>
        <v/>
      </c>
      <c r="J10082" s="86">
        <f t="shared" si="3"/>
        <v>0</v>
      </c>
      <c r="R10082" s="26"/>
    </row>
    <row r="10083" spans="1:18" ht="15.75" customHeight="1">
      <c r="A10083" s="26"/>
      <c r="B10083" s="86"/>
      <c r="D10083" s="26"/>
      <c r="F10083" s="87" t="str">
        <f t="shared" si="0"/>
        <v/>
      </c>
      <c r="H10083" s="26" t="str">
        <f t="shared" si="1"/>
        <v/>
      </c>
      <c r="I10083" s="26" t="str">
        <f t="shared" si="2"/>
        <v/>
      </c>
      <c r="J10083" s="86">
        <f t="shared" si="3"/>
        <v>0</v>
      </c>
      <c r="R10083" s="26"/>
    </row>
    <row r="10084" spans="1:18" ht="15.75" customHeight="1">
      <c r="A10084" s="26"/>
      <c r="B10084" s="86"/>
      <c r="D10084" s="26"/>
      <c r="F10084" s="87" t="str">
        <f t="shared" si="0"/>
        <v/>
      </c>
      <c r="H10084" s="26" t="str">
        <f t="shared" si="1"/>
        <v/>
      </c>
      <c r="I10084" s="26" t="str">
        <f t="shared" si="2"/>
        <v/>
      </c>
      <c r="J10084" s="86">
        <f t="shared" si="3"/>
        <v>0</v>
      </c>
      <c r="R10084" s="26"/>
    </row>
    <row r="10085" spans="1:18" ht="15.75" customHeight="1">
      <c r="A10085" s="26"/>
      <c r="B10085" s="86"/>
      <c r="D10085" s="26"/>
      <c r="F10085" s="87" t="str">
        <f t="shared" si="0"/>
        <v/>
      </c>
      <c r="H10085" s="26" t="str">
        <f t="shared" si="1"/>
        <v/>
      </c>
      <c r="I10085" s="26" t="str">
        <f t="shared" si="2"/>
        <v/>
      </c>
      <c r="J10085" s="86">
        <f t="shared" si="3"/>
        <v>0</v>
      </c>
      <c r="R10085" s="26"/>
    </row>
    <row r="10086" spans="1:18" ht="15.75" customHeight="1">
      <c r="A10086" s="26"/>
      <c r="B10086" s="86"/>
      <c r="D10086" s="26"/>
      <c r="F10086" s="87" t="str">
        <f t="shared" si="0"/>
        <v/>
      </c>
      <c r="H10086" s="26" t="str">
        <f t="shared" si="1"/>
        <v/>
      </c>
      <c r="I10086" s="26" t="str">
        <f t="shared" si="2"/>
        <v/>
      </c>
      <c r="J10086" s="86">
        <f t="shared" si="3"/>
        <v>0</v>
      </c>
      <c r="R10086" s="26"/>
    </row>
    <row r="10087" spans="1:18" ht="15.75" customHeight="1">
      <c r="A10087" s="26"/>
      <c r="B10087" s="86"/>
      <c r="D10087" s="26"/>
      <c r="F10087" s="87" t="str">
        <f t="shared" si="0"/>
        <v/>
      </c>
      <c r="H10087" s="26" t="str">
        <f t="shared" si="1"/>
        <v/>
      </c>
      <c r="I10087" s="26" t="str">
        <f t="shared" si="2"/>
        <v/>
      </c>
      <c r="J10087" s="86">
        <f t="shared" si="3"/>
        <v>0</v>
      </c>
      <c r="R10087" s="26"/>
    </row>
    <row r="10088" spans="1:18" ht="15.75" customHeight="1">
      <c r="A10088" s="26"/>
      <c r="B10088" s="86"/>
      <c r="D10088" s="26"/>
      <c r="F10088" s="87" t="str">
        <f t="shared" si="0"/>
        <v/>
      </c>
      <c r="H10088" s="26" t="str">
        <f t="shared" si="1"/>
        <v/>
      </c>
      <c r="I10088" s="26" t="str">
        <f t="shared" si="2"/>
        <v/>
      </c>
      <c r="J10088" s="86">
        <f t="shared" si="3"/>
        <v>0</v>
      </c>
      <c r="R10088" s="26"/>
    </row>
    <row r="10089" spans="1:18" ht="15.75" customHeight="1">
      <c r="A10089" s="26"/>
      <c r="B10089" s="86"/>
      <c r="D10089" s="26"/>
      <c r="F10089" s="87" t="str">
        <f t="shared" si="0"/>
        <v/>
      </c>
      <c r="H10089" s="26" t="str">
        <f t="shared" si="1"/>
        <v/>
      </c>
      <c r="I10089" s="26" t="str">
        <f t="shared" si="2"/>
        <v/>
      </c>
      <c r="J10089" s="86">
        <f t="shared" si="3"/>
        <v>0</v>
      </c>
      <c r="R10089" s="26"/>
    </row>
    <row r="10090" spans="1:18" ht="15.75" customHeight="1">
      <c r="A10090" s="26"/>
      <c r="B10090" s="86"/>
      <c r="D10090" s="26"/>
      <c r="F10090" s="87" t="str">
        <f t="shared" si="0"/>
        <v/>
      </c>
      <c r="H10090" s="26" t="str">
        <f t="shared" si="1"/>
        <v/>
      </c>
      <c r="I10090" s="26" t="str">
        <f t="shared" si="2"/>
        <v/>
      </c>
      <c r="J10090" s="86">
        <f t="shared" si="3"/>
        <v>0</v>
      </c>
      <c r="R10090" s="26"/>
    </row>
    <row r="10091" spans="1:18" ht="15.75" customHeight="1">
      <c r="A10091" s="26"/>
      <c r="B10091" s="86"/>
      <c r="D10091" s="26"/>
      <c r="F10091" s="87" t="str">
        <f t="shared" si="0"/>
        <v/>
      </c>
      <c r="H10091" s="26" t="str">
        <f t="shared" si="1"/>
        <v/>
      </c>
      <c r="I10091" s="26" t="str">
        <f t="shared" si="2"/>
        <v/>
      </c>
      <c r="J10091" s="86">
        <f t="shared" si="3"/>
        <v>0</v>
      </c>
      <c r="R10091" s="26"/>
    </row>
    <row r="10092" spans="1:18" ht="15.75" customHeight="1">
      <c r="A10092" s="26"/>
      <c r="B10092" s="86"/>
      <c r="D10092" s="26"/>
      <c r="F10092" s="87" t="str">
        <f t="shared" si="0"/>
        <v/>
      </c>
      <c r="H10092" s="26" t="str">
        <f t="shared" si="1"/>
        <v/>
      </c>
      <c r="I10092" s="26" t="str">
        <f t="shared" si="2"/>
        <v/>
      </c>
      <c r="J10092" s="86">
        <f t="shared" si="3"/>
        <v>0</v>
      </c>
      <c r="R10092" s="26"/>
    </row>
    <row r="10093" spans="1:18" ht="15.75" customHeight="1">
      <c r="A10093" s="26"/>
      <c r="B10093" s="86"/>
      <c r="D10093" s="26"/>
      <c r="F10093" s="87" t="str">
        <f t="shared" si="0"/>
        <v/>
      </c>
      <c r="H10093" s="26" t="str">
        <f t="shared" si="1"/>
        <v/>
      </c>
      <c r="I10093" s="26" t="str">
        <f t="shared" si="2"/>
        <v/>
      </c>
      <c r="J10093" s="86">
        <f t="shared" si="3"/>
        <v>0</v>
      </c>
      <c r="R10093" s="26"/>
    </row>
    <row r="10094" spans="1:18" ht="15.75" customHeight="1">
      <c r="A10094" s="26"/>
      <c r="B10094" s="86"/>
      <c r="D10094" s="26"/>
      <c r="F10094" s="87" t="str">
        <f t="shared" si="0"/>
        <v/>
      </c>
      <c r="H10094" s="26" t="str">
        <f t="shared" si="1"/>
        <v/>
      </c>
      <c r="I10094" s="26" t="str">
        <f t="shared" si="2"/>
        <v/>
      </c>
      <c r="J10094" s="86">
        <f t="shared" si="3"/>
        <v>0</v>
      </c>
      <c r="R10094" s="26"/>
    </row>
    <row r="10095" spans="1:18" ht="15.75" customHeight="1">
      <c r="A10095" s="26"/>
      <c r="B10095" s="86"/>
      <c r="D10095" s="26"/>
      <c r="F10095" s="87" t="str">
        <f t="shared" si="0"/>
        <v/>
      </c>
      <c r="H10095" s="26" t="str">
        <f t="shared" si="1"/>
        <v/>
      </c>
      <c r="I10095" s="26" t="str">
        <f t="shared" si="2"/>
        <v/>
      </c>
      <c r="J10095" s="86">
        <f t="shared" si="3"/>
        <v>0</v>
      </c>
      <c r="R10095" s="26"/>
    </row>
    <row r="10096" spans="1:18" ht="15.75" customHeight="1">
      <c r="A10096" s="26"/>
      <c r="B10096" s="86"/>
      <c r="D10096" s="26"/>
      <c r="F10096" s="87" t="str">
        <f t="shared" si="0"/>
        <v/>
      </c>
      <c r="H10096" s="26" t="str">
        <f t="shared" si="1"/>
        <v/>
      </c>
      <c r="I10096" s="26" t="str">
        <f t="shared" si="2"/>
        <v/>
      </c>
      <c r="J10096" s="86">
        <f t="shared" si="3"/>
        <v>0</v>
      </c>
      <c r="R10096" s="26"/>
    </row>
    <row r="10097" spans="1:18" ht="15.75" customHeight="1">
      <c r="A10097" s="26"/>
      <c r="B10097" s="86"/>
      <c r="D10097" s="26"/>
      <c r="F10097" s="87" t="str">
        <f t="shared" si="0"/>
        <v/>
      </c>
      <c r="H10097" s="26" t="str">
        <f t="shared" si="1"/>
        <v/>
      </c>
      <c r="I10097" s="26" t="str">
        <f t="shared" si="2"/>
        <v/>
      </c>
      <c r="J10097" s="86">
        <f t="shared" si="3"/>
        <v>0</v>
      </c>
      <c r="R10097" s="26"/>
    </row>
    <row r="10098" spans="1:18" ht="15.75" customHeight="1">
      <c r="A10098" s="26"/>
      <c r="B10098" s="86"/>
      <c r="D10098" s="26"/>
      <c r="F10098" s="87" t="str">
        <f t="shared" si="0"/>
        <v/>
      </c>
      <c r="H10098" s="26" t="str">
        <f t="shared" si="1"/>
        <v/>
      </c>
      <c r="I10098" s="26" t="str">
        <f t="shared" si="2"/>
        <v/>
      </c>
      <c r="J10098" s="86">
        <f t="shared" si="3"/>
        <v>0</v>
      </c>
      <c r="R10098" s="26"/>
    </row>
    <row r="10099" spans="1:18" ht="15.75" customHeight="1">
      <c r="A10099" s="26"/>
      <c r="B10099" s="86"/>
      <c r="D10099" s="26"/>
      <c r="F10099" s="87" t="str">
        <f t="shared" si="0"/>
        <v/>
      </c>
      <c r="H10099" s="26" t="str">
        <f t="shared" si="1"/>
        <v/>
      </c>
      <c r="I10099" s="26" t="str">
        <f t="shared" si="2"/>
        <v/>
      </c>
      <c r="J10099" s="86">
        <f t="shared" si="3"/>
        <v>0</v>
      </c>
      <c r="R10099" s="26"/>
    </row>
    <row r="10100" spans="1:18" ht="15.75" customHeight="1">
      <c r="A10100" s="26"/>
      <c r="B10100" s="86"/>
      <c r="D10100" s="26"/>
      <c r="F10100" s="87" t="str">
        <f t="shared" si="0"/>
        <v/>
      </c>
      <c r="H10100" s="26" t="str">
        <f t="shared" si="1"/>
        <v/>
      </c>
      <c r="I10100" s="26" t="str">
        <f t="shared" si="2"/>
        <v/>
      </c>
      <c r="J10100" s="86">
        <f t="shared" si="3"/>
        <v>0</v>
      </c>
      <c r="R10100" s="26"/>
    </row>
    <row r="10101" spans="1:18" ht="15.75" customHeight="1">
      <c r="A10101" s="26"/>
      <c r="B10101" s="86"/>
      <c r="D10101" s="26"/>
      <c r="F10101" s="87" t="str">
        <f t="shared" si="0"/>
        <v/>
      </c>
      <c r="H10101" s="26" t="str">
        <f t="shared" si="1"/>
        <v/>
      </c>
      <c r="I10101" s="26" t="str">
        <f t="shared" si="2"/>
        <v/>
      </c>
      <c r="J10101" s="86">
        <f t="shared" si="3"/>
        <v>0</v>
      </c>
      <c r="R10101" s="26"/>
    </row>
    <row r="10102" spans="1:18" ht="15.75" customHeight="1">
      <c r="A10102" s="26"/>
      <c r="B10102" s="86"/>
      <c r="D10102" s="26"/>
      <c r="F10102" s="87" t="str">
        <f t="shared" si="0"/>
        <v/>
      </c>
      <c r="H10102" s="26" t="str">
        <f t="shared" si="1"/>
        <v/>
      </c>
      <c r="I10102" s="26" t="str">
        <f t="shared" si="2"/>
        <v/>
      </c>
      <c r="J10102" s="86">
        <f t="shared" si="3"/>
        <v>0</v>
      </c>
      <c r="R10102" s="26"/>
    </row>
    <row r="10103" spans="1:18" ht="15.75" customHeight="1">
      <c r="A10103" s="26"/>
      <c r="B10103" s="86"/>
      <c r="D10103" s="26"/>
      <c r="F10103" s="87" t="str">
        <f t="shared" si="0"/>
        <v/>
      </c>
      <c r="H10103" s="26" t="str">
        <f t="shared" si="1"/>
        <v/>
      </c>
      <c r="I10103" s="26" t="str">
        <f t="shared" si="2"/>
        <v/>
      </c>
      <c r="J10103" s="86">
        <f t="shared" si="3"/>
        <v>0</v>
      </c>
      <c r="R10103" s="26"/>
    </row>
    <row r="10104" spans="1:18" ht="15.75" customHeight="1">
      <c r="A10104" s="26"/>
      <c r="B10104" s="86"/>
      <c r="D10104" s="26"/>
      <c r="F10104" s="87" t="str">
        <f t="shared" si="0"/>
        <v/>
      </c>
      <c r="H10104" s="26" t="str">
        <f t="shared" si="1"/>
        <v/>
      </c>
      <c r="I10104" s="26" t="str">
        <f t="shared" si="2"/>
        <v/>
      </c>
      <c r="J10104" s="86">
        <f t="shared" si="3"/>
        <v>0</v>
      </c>
      <c r="R10104" s="26"/>
    </row>
    <row r="10105" spans="1:18" ht="15.75" customHeight="1">
      <c r="A10105" s="26"/>
      <c r="B10105" s="86"/>
      <c r="D10105" s="26"/>
      <c r="F10105" s="87" t="str">
        <f t="shared" si="0"/>
        <v/>
      </c>
      <c r="H10105" s="26" t="str">
        <f t="shared" si="1"/>
        <v/>
      </c>
      <c r="I10105" s="26" t="str">
        <f t="shared" si="2"/>
        <v/>
      </c>
      <c r="J10105" s="86">
        <f t="shared" si="3"/>
        <v>0</v>
      </c>
      <c r="R10105" s="26"/>
    </row>
    <row r="10106" spans="1:18" ht="15.75" customHeight="1">
      <c r="A10106" s="26"/>
      <c r="B10106" s="86"/>
      <c r="D10106" s="26"/>
      <c r="F10106" s="87" t="str">
        <f t="shared" si="0"/>
        <v/>
      </c>
      <c r="H10106" s="26" t="str">
        <f t="shared" si="1"/>
        <v/>
      </c>
      <c r="I10106" s="26" t="str">
        <f t="shared" si="2"/>
        <v/>
      </c>
      <c r="J10106" s="86">
        <f t="shared" si="3"/>
        <v>0</v>
      </c>
      <c r="R10106" s="26"/>
    </row>
    <row r="10107" spans="1:18" ht="15.75" customHeight="1">
      <c r="A10107" s="26"/>
      <c r="B10107" s="86"/>
      <c r="D10107" s="26"/>
      <c r="F10107" s="87" t="str">
        <f t="shared" si="0"/>
        <v/>
      </c>
      <c r="H10107" s="26" t="str">
        <f t="shared" si="1"/>
        <v/>
      </c>
      <c r="I10107" s="26" t="str">
        <f t="shared" si="2"/>
        <v/>
      </c>
      <c r="J10107" s="86">
        <f t="shared" si="3"/>
        <v>0</v>
      </c>
      <c r="R10107" s="26"/>
    </row>
    <row r="10108" spans="1:18" ht="15.75" customHeight="1">
      <c r="A10108" s="26"/>
      <c r="B10108" s="86"/>
      <c r="D10108" s="26"/>
      <c r="F10108" s="87" t="str">
        <f t="shared" si="0"/>
        <v/>
      </c>
      <c r="H10108" s="26" t="str">
        <f t="shared" si="1"/>
        <v/>
      </c>
      <c r="I10108" s="26" t="str">
        <f t="shared" si="2"/>
        <v/>
      </c>
      <c r="J10108" s="86">
        <f t="shared" si="3"/>
        <v>0</v>
      </c>
      <c r="R10108" s="26"/>
    </row>
    <row r="10109" spans="1:18" ht="15.75" customHeight="1">
      <c r="A10109" s="26"/>
      <c r="B10109" s="86"/>
      <c r="D10109" s="26"/>
      <c r="F10109" s="87" t="str">
        <f t="shared" si="0"/>
        <v/>
      </c>
      <c r="H10109" s="26" t="str">
        <f t="shared" si="1"/>
        <v/>
      </c>
      <c r="I10109" s="26" t="str">
        <f t="shared" si="2"/>
        <v/>
      </c>
      <c r="J10109" s="86">
        <f t="shared" si="3"/>
        <v>0</v>
      </c>
      <c r="R10109" s="26"/>
    </row>
    <row r="10110" spans="1:18" ht="15.75" customHeight="1">
      <c r="A10110" s="26"/>
      <c r="B10110" s="86"/>
      <c r="D10110" s="26"/>
      <c r="F10110" s="87" t="str">
        <f t="shared" si="0"/>
        <v/>
      </c>
      <c r="H10110" s="26" t="str">
        <f t="shared" si="1"/>
        <v/>
      </c>
      <c r="I10110" s="26" t="str">
        <f t="shared" si="2"/>
        <v/>
      </c>
      <c r="J10110" s="86">
        <f t="shared" si="3"/>
        <v>0</v>
      </c>
      <c r="R10110" s="26"/>
    </row>
    <row r="10111" spans="1:18" ht="15.75" customHeight="1">
      <c r="A10111" s="26"/>
      <c r="B10111" s="86"/>
      <c r="D10111" s="26"/>
      <c r="F10111" s="87" t="str">
        <f t="shared" si="0"/>
        <v/>
      </c>
      <c r="H10111" s="26" t="str">
        <f t="shared" si="1"/>
        <v/>
      </c>
      <c r="I10111" s="26" t="str">
        <f t="shared" si="2"/>
        <v/>
      </c>
      <c r="J10111" s="86">
        <f t="shared" si="3"/>
        <v>0</v>
      </c>
      <c r="R10111" s="26"/>
    </row>
    <row r="10112" spans="1:18" ht="15.75" customHeight="1">
      <c r="A10112" s="26"/>
      <c r="B10112" s="86"/>
      <c r="D10112" s="26"/>
      <c r="F10112" s="87" t="str">
        <f t="shared" si="0"/>
        <v/>
      </c>
      <c r="H10112" s="26" t="str">
        <f t="shared" si="1"/>
        <v/>
      </c>
      <c r="I10112" s="26" t="str">
        <f t="shared" si="2"/>
        <v/>
      </c>
      <c r="J10112" s="86">
        <f t="shared" si="3"/>
        <v>0</v>
      </c>
      <c r="R10112" s="26"/>
    </row>
    <row r="10113" spans="1:18" ht="15.75" customHeight="1">
      <c r="A10113" s="26"/>
      <c r="B10113" s="86"/>
      <c r="D10113" s="26"/>
      <c r="F10113" s="87" t="str">
        <f t="shared" si="0"/>
        <v/>
      </c>
      <c r="H10113" s="26" t="str">
        <f t="shared" si="1"/>
        <v/>
      </c>
      <c r="I10113" s="26" t="str">
        <f t="shared" si="2"/>
        <v/>
      </c>
      <c r="J10113" s="86">
        <f t="shared" si="3"/>
        <v>0</v>
      </c>
      <c r="R10113" s="26"/>
    </row>
    <row r="10114" spans="1:18" ht="15.75" customHeight="1">
      <c r="A10114" s="26"/>
      <c r="B10114" s="86"/>
      <c r="D10114" s="26"/>
      <c r="F10114" s="87" t="str">
        <f t="shared" si="0"/>
        <v/>
      </c>
      <c r="H10114" s="26" t="str">
        <f t="shared" si="1"/>
        <v/>
      </c>
      <c r="I10114" s="26" t="str">
        <f t="shared" si="2"/>
        <v/>
      </c>
      <c r="J10114" s="86">
        <f t="shared" si="3"/>
        <v>0</v>
      </c>
      <c r="R10114" s="26"/>
    </row>
    <row r="10115" spans="1:18" ht="15.75" customHeight="1">
      <c r="A10115" s="26"/>
      <c r="B10115" s="86"/>
      <c r="D10115" s="26"/>
      <c r="F10115" s="87" t="str">
        <f t="shared" si="0"/>
        <v/>
      </c>
      <c r="H10115" s="26" t="str">
        <f t="shared" si="1"/>
        <v/>
      </c>
      <c r="I10115" s="26" t="str">
        <f t="shared" si="2"/>
        <v/>
      </c>
      <c r="J10115" s="86">
        <f t="shared" si="3"/>
        <v>0</v>
      </c>
      <c r="R10115" s="26"/>
    </row>
    <row r="10116" spans="1:18" ht="15.75" customHeight="1">
      <c r="A10116" s="26"/>
      <c r="B10116" s="86"/>
      <c r="D10116" s="26"/>
      <c r="F10116" s="87" t="str">
        <f t="shared" si="0"/>
        <v/>
      </c>
      <c r="H10116" s="26" t="str">
        <f t="shared" si="1"/>
        <v/>
      </c>
      <c r="I10116" s="26" t="str">
        <f t="shared" si="2"/>
        <v/>
      </c>
      <c r="J10116" s="86">
        <f t="shared" si="3"/>
        <v>0</v>
      </c>
      <c r="R10116" s="26"/>
    </row>
    <row r="10117" spans="1:18" ht="15.75" customHeight="1">
      <c r="A10117" s="26"/>
      <c r="B10117" s="86"/>
      <c r="D10117" s="26"/>
      <c r="F10117" s="87" t="str">
        <f t="shared" si="0"/>
        <v/>
      </c>
      <c r="H10117" s="26" t="str">
        <f t="shared" si="1"/>
        <v/>
      </c>
      <c r="I10117" s="26" t="str">
        <f t="shared" si="2"/>
        <v/>
      </c>
      <c r="J10117" s="86">
        <f t="shared" si="3"/>
        <v>0</v>
      </c>
      <c r="R10117" s="26"/>
    </row>
    <row r="10118" spans="1:18" ht="15.75" customHeight="1">
      <c r="A10118" s="26"/>
      <c r="B10118" s="86"/>
      <c r="D10118" s="26"/>
      <c r="F10118" s="87" t="str">
        <f t="shared" si="0"/>
        <v/>
      </c>
      <c r="H10118" s="26" t="str">
        <f t="shared" si="1"/>
        <v/>
      </c>
      <c r="I10118" s="26" t="str">
        <f t="shared" si="2"/>
        <v/>
      </c>
      <c r="J10118" s="86">
        <f t="shared" si="3"/>
        <v>0</v>
      </c>
      <c r="R10118" s="26"/>
    </row>
    <row r="10119" spans="1:18" ht="15.75" customHeight="1">
      <c r="A10119" s="26"/>
      <c r="B10119" s="86"/>
      <c r="D10119" s="26"/>
      <c r="F10119" s="87" t="str">
        <f t="shared" si="0"/>
        <v/>
      </c>
      <c r="H10119" s="26" t="str">
        <f t="shared" si="1"/>
        <v/>
      </c>
      <c r="I10119" s="26" t="str">
        <f t="shared" si="2"/>
        <v/>
      </c>
      <c r="J10119" s="86">
        <f t="shared" si="3"/>
        <v>0</v>
      </c>
      <c r="R10119" s="26"/>
    </row>
    <row r="10120" spans="1:18" ht="15.75" customHeight="1">
      <c r="A10120" s="26"/>
      <c r="B10120" s="86"/>
      <c r="D10120" s="26"/>
      <c r="F10120" s="87" t="str">
        <f t="shared" si="0"/>
        <v/>
      </c>
      <c r="H10120" s="26" t="str">
        <f t="shared" si="1"/>
        <v/>
      </c>
      <c r="I10120" s="26" t="str">
        <f t="shared" si="2"/>
        <v/>
      </c>
      <c r="J10120" s="86">
        <f t="shared" si="3"/>
        <v>0</v>
      </c>
      <c r="R10120" s="26"/>
    </row>
    <row r="10121" spans="1:18" ht="15.75" customHeight="1">
      <c r="A10121" s="26"/>
      <c r="B10121" s="86"/>
      <c r="D10121" s="26"/>
      <c r="F10121" s="87" t="str">
        <f t="shared" si="0"/>
        <v/>
      </c>
      <c r="H10121" s="26" t="str">
        <f t="shared" si="1"/>
        <v/>
      </c>
      <c r="I10121" s="26" t="str">
        <f t="shared" si="2"/>
        <v/>
      </c>
      <c r="J10121" s="86">
        <f t="shared" si="3"/>
        <v>0</v>
      </c>
      <c r="R10121" s="26"/>
    </row>
    <row r="10122" spans="1:18" ht="15.75" customHeight="1">
      <c r="A10122" s="26"/>
      <c r="B10122" s="86"/>
      <c r="D10122" s="26"/>
      <c r="F10122" s="87" t="str">
        <f t="shared" si="0"/>
        <v/>
      </c>
      <c r="H10122" s="26" t="str">
        <f t="shared" si="1"/>
        <v/>
      </c>
      <c r="I10122" s="26" t="str">
        <f t="shared" si="2"/>
        <v/>
      </c>
      <c r="J10122" s="86">
        <f t="shared" si="3"/>
        <v>0</v>
      </c>
      <c r="R10122" s="26"/>
    </row>
    <row r="10123" spans="1:18" ht="15.75" customHeight="1">
      <c r="A10123" s="26"/>
      <c r="B10123" s="86"/>
      <c r="D10123" s="26"/>
      <c r="F10123" s="87" t="str">
        <f t="shared" si="0"/>
        <v/>
      </c>
      <c r="H10123" s="26" t="str">
        <f t="shared" si="1"/>
        <v/>
      </c>
      <c r="I10123" s="26" t="str">
        <f t="shared" si="2"/>
        <v/>
      </c>
      <c r="J10123" s="86">
        <f t="shared" si="3"/>
        <v>0</v>
      </c>
      <c r="R10123" s="26"/>
    </row>
    <row r="10124" spans="1:18" ht="15.75" customHeight="1">
      <c r="A10124" s="26"/>
      <c r="B10124" s="86"/>
      <c r="D10124" s="26"/>
      <c r="F10124" s="87" t="str">
        <f t="shared" si="0"/>
        <v/>
      </c>
      <c r="H10124" s="26" t="str">
        <f t="shared" si="1"/>
        <v/>
      </c>
      <c r="I10124" s="26" t="str">
        <f t="shared" si="2"/>
        <v/>
      </c>
      <c r="J10124" s="86">
        <f t="shared" si="3"/>
        <v>0</v>
      </c>
      <c r="R10124" s="26"/>
    </row>
    <row r="10125" spans="1:18" ht="15.75" customHeight="1">
      <c r="A10125" s="26"/>
      <c r="B10125" s="86"/>
      <c r="D10125" s="26"/>
      <c r="F10125" s="87" t="str">
        <f t="shared" si="0"/>
        <v/>
      </c>
      <c r="H10125" s="26" t="str">
        <f t="shared" si="1"/>
        <v/>
      </c>
      <c r="I10125" s="26" t="str">
        <f t="shared" si="2"/>
        <v/>
      </c>
      <c r="J10125" s="86">
        <f t="shared" si="3"/>
        <v>0</v>
      </c>
      <c r="R10125" s="26"/>
    </row>
    <row r="10126" spans="1:18" ht="15.75" customHeight="1">
      <c r="A10126" s="26"/>
      <c r="B10126" s="86"/>
      <c r="D10126" s="26"/>
      <c r="F10126" s="87" t="str">
        <f t="shared" si="0"/>
        <v/>
      </c>
      <c r="H10126" s="26" t="str">
        <f t="shared" si="1"/>
        <v/>
      </c>
      <c r="I10126" s="26" t="str">
        <f t="shared" si="2"/>
        <v/>
      </c>
      <c r="J10126" s="86">
        <f t="shared" si="3"/>
        <v>0</v>
      </c>
      <c r="R10126" s="26"/>
    </row>
    <row r="10127" spans="1:18" ht="15.75" customHeight="1">
      <c r="A10127" s="26"/>
      <c r="B10127" s="86"/>
      <c r="D10127" s="26"/>
      <c r="F10127" s="87" t="str">
        <f t="shared" si="0"/>
        <v/>
      </c>
      <c r="H10127" s="26" t="str">
        <f t="shared" si="1"/>
        <v/>
      </c>
      <c r="I10127" s="26" t="str">
        <f t="shared" si="2"/>
        <v/>
      </c>
      <c r="J10127" s="86">
        <f t="shared" si="3"/>
        <v>0</v>
      </c>
      <c r="R10127" s="26"/>
    </row>
    <row r="10128" spans="1:18" ht="15.75" customHeight="1">
      <c r="A10128" s="26"/>
      <c r="B10128" s="86"/>
      <c r="D10128" s="26"/>
      <c r="F10128" s="87" t="str">
        <f t="shared" si="0"/>
        <v/>
      </c>
      <c r="H10128" s="26" t="str">
        <f t="shared" si="1"/>
        <v/>
      </c>
      <c r="I10128" s="26" t="str">
        <f t="shared" si="2"/>
        <v/>
      </c>
      <c r="J10128" s="86">
        <f t="shared" si="3"/>
        <v>0</v>
      </c>
      <c r="R10128" s="26"/>
    </row>
    <row r="10129" spans="1:18" ht="15.75" customHeight="1">
      <c r="A10129" s="26"/>
      <c r="B10129" s="86"/>
      <c r="D10129" s="26"/>
      <c r="F10129" s="87" t="str">
        <f t="shared" si="0"/>
        <v/>
      </c>
      <c r="H10129" s="26" t="str">
        <f t="shared" si="1"/>
        <v/>
      </c>
      <c r="I10129" s="26" t="str">
        <f t="shared" si="2"/>
        <v/>
      </c>
      <c r="J10129" s="86">
        <f t="shared" si="3"/>
        <v>0</v>
      </c>
      <c r="R10129" s="26"/>
    </row>
    <row r="10130" spans="1:18" ht="15.75" customHeight="1">
      <c r="A10130" s="26"/>
      <c r="B10130" s="86"/>
      <c r="D10130" s="26"/>
      <c r="F10130" s="87" t="str">
        <f t="shared" si="0"/>
        <v/>
      </c>
      <c r="H10130" s="26" t="str">
        <f t="shared" si="1"/>
        <v/>
      </c>
      <c r="I10130" s="26" t="str">
        <f t="shared" si="2"/>
        <v/>
      </c>
      <c r="J10130" s="86">
        <f t="shared" si="3"/>
        <v>0</v>
      </c>
      <c r="R10130" s="26"/>
    </row>
    <row r="10131" spans="1:18" ht="15.75" customHeight="1">
      <c r="A10131" s="26"/>
      <c r="B10131" s="86"/>
      <c r="D10131" s="26"/>
      <c r="F10131" s="87" t="str">
        <f t="shared" si="0"/>
        <v/>
      </c>
      <c r="H10131" s="26" t="str">
        <f t="shared" si="1"/>
        <v/>
      </c>
      <c r="I10131" s="26" t="str">
        <f t="shared" si="2"/>
        <v/>
      </c>
      <c r="J10131" s="86">
        <f t="shared" si="3"/>
        <v>0</v>
      </c>
      <c r="R10131" s="26"/>
    </row>
    <row r="10132" spans="1:18" ht="15.75" customHeight="1">
      <c r="A10132" s="26"/>
      <c r="B10132" s="86"/>
      <c r="D10132" s="26"/>
      <c r="F10132" s="87" t="str">
        <f t="shared" si="0"/>
        <v/>
      </c>
      <c r="H10132" s="26" t="str">
        <f t="shared" si="1"/>
        <v/>
      </c>
      <c r="I10132" s="26" t="str">
        <f t="shared" si="2"/>
        <v/>
      </c>
      <c r="J10132" s="86">
        <f t="shared" si="3"/>
        <v>0</v>
      </c>
      <c r="R10132" s="26"/>
    </row>
    <row r="10133" spans="1:18" ht="15.75" customHeight="1">
      <c r="A10133" s="26"/>
      <c r="B10133" s="86"/>
      <c r="D10133" s="26"/>
      <c r="F10133" s="87" t="str">
        <f t="shared" si="0"/>
        <v/>
      </c>
      <c r="H10133" s="26" t="str">
        <f t="shared" si="1"/>
        <v/>
      </c>
      <c r="I10133" s="26" t="str">
        <f t="shared" si="2"/>
        <v/>
      </c>
      <c r="J10133" s="86">
        <f t="shared" si="3"/>
        <v>0</v>
      </c>
      <c r="R10133" s="26"/>
    </row>
    <row r="10134" spans="1:18" ht="15.75" customHeight="1">
      <c r="A10134" s="26"/>
      <c r="B10134" s="86"/>
      <c r="D10134" s="26"/>
      <c r="F10134" s="87" t="str">
        <f t="shared" si="0"/>
        <v/>
      </c>
      <c r="H10134" s="26" t="str">
        <f t="shared" si="1"/>
        <v/>
      </c>
      <c r="I10134" s="26" t="str">
        <f t="shared" si="2"/>
        <v/>
      </c>
      <c r="J10134" s="86">
        <f t="shared" si="3"/>
        <v>0</v>
      </c>
      <c r="R10134" s="26"/>
    </row>
    <row r="10135" spans="1:18" ht="15.75" customHeight="1">
      <c r="A10135" s="26"/>
      <c r="B10135" s="86"/>
      <c r="D10135" s="26"/>
      <c r="F10135" s="87" t="str">
        <f t="shared" si="0"/>
        <v/>
      </c>
      <c r="H10135" s="26" t="str">
        <f t="shared" si="1"/>
        <v/>
      </c>
      <c r="I10135" s="26" t="str">
        <f t="shared" si="2"/>
        <v/>
      </c>
      <c r="J10135" s="86">
        <f t="shared" si="3"/>
        <v>0</v>
      </c>
      <c r="R10135" s="26"/>
    </row>
    <row r="10136" spans="1:18" ht="15.75" customHeight="1">
      <c r="A10136" s="26"/>
      <c r="B10136" s="86"/>
      <c r="D10136" s="26"/>
      <c r="F10136" s="87" t="str">
        <f t="shared" si="0"/>
        <v/>
      </c>
      <c r="H10136" s="26" t="str">
        <f t="shared" si="1"/>
        <v/>
      </c>
      <c r="I10136" s="26" t="str">
        <f t="shared" si="2"/>
        <v/>
      </c>
      <c r="J10136" s="86">
        <f t="shared" si="3"/>
        <v>0</v>
      </c>
      <c r="R10136" s="26"/>
    </row>
    <row r="10137" spans="1:18" ht="15.75" customHeight="1">
      <c r="A10137" s="26"/>
      <c r="B10137" s="86"/>
      <c r="D10137" s="26"/>
      <c r="F10137" s="87" t="str">
        <f t="shared" si="0"/>
        <v/>
      </c>
      <c r="H10137" s="26" t="str">
        <f t="shared" si="1"/>
        <v/>
      </c>
      <c r="I10137" s="26" t="str">
        <f t="shared" si="2"/>
        <v/>
      </c>
      <c r="J10137" s="86">
        <f t="shared" si="3"/>
        <v>0</v>
      </c>
      <c r="R10137" s="26"/>
    </row>
    <row r="10138" spans="1:18" ht="15.75" customHeight="1">
      <c r="A10138" s="26"/>
      <c r="B10138" s="86"/>
      <c r="D10138" s="26"/>
      <c r="F10138" s="87" t="str">
        <f t="shared" si="0"/>
        <v/>
      </c>
      <c r="H10138" s="26" t="str">
        <f t="shared" si="1"/>
        <v/>
      </c>
      <c r="I10138" s="26" t="str">
        <f t="shared" si="2"/>
        <v/>
      </c>
      <c r="J10138" s="86">
        <f t="shared" si="3"/>
        <v>0</v>
      </c>
      <c r="R10138" s="26"/>
    </row>
    <row r="10139" spans="1:18" ht="15.75" customHeight="1">
      <c r="A10139" s="26"/>
      <c r="B10139" s="86"/>
      <c r="D10139" s="26"/>
      <c r="F10139" s="87" t="str">
        <f t="shared" si="0"/>
        <v/>
      </c>
      <c r="H10139" s="26" t="str">
        <f t="shared" si="1"/>
        <v/>
      </c>
      <c r="I10139" s="26" t="str">
        <f t="shared" si="2"/>
        <v/>
      </c>
      <c r="J10139" s="86">
        <f t="shared" si="3"/>
        <v>0</v>
      </c>
      <c r="R10139" s="26"/>
    </row>
    <row r="10140" spans="1:18" ht="15.75" customHeight="1">
      <c r="A10140" s="26"/>
      <c r="B10140" s="86"/>
      <c r="D10140" s="26"/>
      <c r="F10140" s="87" t="str">
        <f t="shared" si="0"/>
        <v/>
      </c>
      <c r="H10140" s="26" t="str">
        <f t="shared" si="1"/>
        <v/>
      </c>
      <c r="I10140" s="26" t="str">
        <f t="shared" si="2"/>
        <v/>
      </c>
      <c r="J10140" s="86">
        <f t="shared" si="3"/>
        <v>0</v>
      </c>
      <c r="R10140" s="26"/>
    </row>
    <row r="10141" spans="1:18" ht="15.75" customHeight="1">
      <c r="A10141" s="26"/>
      <c r="B10141" s="86"/>
      <c r="D10141" s="26"/>
      <c r="F10141" s="87" t="str">
        <f t="shared" si="0"/>
        <v/>
      </c>
      <c r="H10141" s="26" t="str">
        <f t="shared" si="1"/>
        <v/>
      </c>
      <c r="I10141" s="26" t="str">
        <f t="shared" si="2"/>
        <v/>
      </c>
      <c r="J10141" s="86">
        <f t="shared" si="3"/>
        <v>0</v>
      </c>
      <c r="R10141" s="26"/>
    </row>
    <row r="10142" spans="1:18" ht="15.75" customHeight="1">
      <c r="A10142" s="26"/>
      <c r="B10142" s="86"/>
      <c r="D10142" s="26"/>
      <c r="F10142" s="87" t="str">
        <f t="shared" si="0"/>
        <v/>
      </c>
      <c r="H10142" s="26" t="str">
        <f t="shared" si="1"/>
        <v/>
      </c>
      <c r="I10142" s="26" t="str">
        <f t="shared" si="2"/>
        <v/>
      </c>
      <c r="J10142" s="86">
        <f t="shared" si="3"/>
        <v>0</v>
      </c>
      <c r="R10142" s="26"/>
    </row>
    <row r="10143" spans="1:18" ht="15.75" customHeight="1">
      <c r="A10143" s="26"/>
      <c r="B10143" s="86"/>
      <c r="D10143" s="26"/>
      <c r="F10143" s="87" t="str">
        <f t="shared" si="0"/>
        <v/>
      </c>
      <c r="H10143" s="26" t="str">
        <f t="shared" si="1"/>
        <v/>
      </c>
      <c r="I10143" s="26" t="str">
        <f t="shared" si="2"/>
        <v/>
      </c>
      <c r="J10143" s="86">
        <f t="shared" si="3"/>
        <v>0</v>
      </c>
      <c r="R10143" s="26"/>
    </row>
    <row r="10144" spans="1:18" ht="15.75" customHeight="1">
      <c r="A10144" s="26"/>
      <c r="B10144" s="86"/>
      <c r="D10144" s="26"/>
      <c r="F10144" s="87" t="str">
        <f t="shared" si="0"/>
        <v/>
      </c>
      <c r="H10144" s="26" t="str">
        <f t="shared" si="1"/>
        <v/>
      </c>
      <c r="I10144" s="26" t="str">
        <f t="shared" si="2"/>
        <v/>
      </c>
      <c r="J10144" s="86">
        <f t="shared" si="3"/>
        <v>0</v>
      </c>
      <c r="R10144" s="26"/>
    </row>
    <row r="10145" spans="1:18" ht="15.75" customHeight="1">
      <c r="A10145" s="26"/>
      <c r="B10145" s="86"/>
      <c r="D10145" s="26"/>
      <c r="F10145" s="87" t="str">
        <f t="shared" si="0"/>
        <v/>
      </c>
      <c r="H10145" s="26" t="str">
        <f t="shared" si="1"/>
        <v/>
      </c>
      <c r="I10145" s="26" t="str">
        <f t="shared" si="2"/>
        <v/>
      </c>
      <c r="J10145" s="86">
        <f t="shared" si="3"/>
        <v>0</v>
      </c>
      <c r="R10145" s="26"/>
    </row>
    <row r="10146" spans="1:18" ht="15.75" customHeight="1">
      <c r="A10146" s="26"/>
      <c r="B10146" s="86"/>
      <c r="D10146" s="26"/>
      <c r="F10146" s="87" t="str">
        <f t="shared" si="0"/>
        <v/>
      </c>
      <c r="H10146" s="26" t="str">
        <f t="shared" si="1"/>
        <v/>
      </c>
      <c r="I10146" s="26" t="str">
        <f t="shared" si="2"/>
        <v/>
      </c>
      <c r="J10146" s="86">
        <f t="shared" si="3"/>
        <v>0</v>
      </c>
      <c r="R10146" s="26"/>
    </row>
    <row r="10147" spans="1:18" ht="15.75" customHeight="1">
      <c r="A10147" s="26"/>
      <c r="B10147" s="86"/>
      <c r="D10147" s="26"/>
      <c r="F10147" s="87" t="str">
        <f t="shared" si="0"/>
        <v/>
      </c>
      <c r="H10147" s="26" t="str">
        <f t="shared" si="1"/>
        <v/>
      </c>
      <c r="I10147" s="26" t="str">
        <f t="shared" si="2"/>
        <v/>
      </c>
      <c r="J10147" s="86">
        <f t="shared" si="3"/>
        <v>0</v>
      </c>
      <c r="R10147" s="26"/>
    </row>
    <row r="10148" spans="1:18" ht="15.75" customHeight="1">
      <c r="A10148" s="26"/>
      <c r="B10148" s="86"/>
      <c r="D10148" s="26"/>
      <c r="F10148" s="87" t="str">
        <f t="shared" si="0"/>
        <v/>
      </c>
      <c r="H10148" s="26" t="str">
        <f t="shared" si="1"/>
        <v/>
      </c>
      <c r="I10148" s="26" t="str">
        <f t="shared" si="2"/>
        <v/>
      </c>
      <c r="J10148" s="86">
        <f t="shared" si="3"/>
        <v>0</v>
      </c>
      <c r="R10148" s="26"/>
    </row>
    <row r="10149" spans="1:18" ht="15.75" customHeight="1">
      <c r="A10149" s="26"/>
      <c r="B10149" s="86"/>
      <c r="D10149" s="26"/>
      <c r="F10149" s="87" t="str">
        <f t="shared" si="0"/>
        <v/>
      </c>
      <c r="H10149" s="26" t="str">
        <f t="shared" si="1"/>
        <v/>
      </c>
      <c r="I10149" s="26" t="str">
        <f t="shared" si="2"/>
        <v/>
      </c>
      <c r="J10149" s="86">
        <f t="shared" si="3"/>
        <v>0</v>
      </c>
      <c r="R10149" s="26"/>
    </row>
    <row r="10150" spans="1:18" ht="15.75" customHeight="1">
      <c r="A10150" s="26"/>
      <c r="B10150" s="86"/>
      <c r="D10150" s="26"/>
      <c r="F10150" s="87" t="str">
        <f t="shared" si="0"/>
        <v/>
      </c>
      <c r="H10150" s="26" t="str">
        <f t="shared" si="1"/>
        <v/>
      </c>
      <c r="I10150" s="26" t="str">
        <f t="shared" si="2"/>
        <v/>
      </c>
      <c r="J10150" s="86">
        <f t="shared" si="3"/>
        <v>0</v>
      </c>
      <c r="R10150" s="26"/>
    </row>
    <row r="10151" spans="1:18" ht="15.75" customHeight="1">
      <c r="A10151" s="26"/>
      <c r="B10151" s="86"/>
      <c r="D10151" s="26"/>
      <c r="F10151" s="87" t="str">
        <f t="shared" si="0"/>
        <v/>
      </c>
      <c r="H10151" s="26" t="str">
        <f t="shared" si="1"/>
        <v/>
      </c>
      <c r="I10151" s="26" t="str">
        <f t="shared" si="2"/>
        <v/>
      </c>
      <c r="J10151" s="86">
        <f t="shared" si="3"/>
        <v>0</v>
      </c>
      <c r="R10151" s="26"/>
    </row>
    <row r="10152" spans="1:18" ht="15.75" customHeight="1">
      <c r="A10152" s="26"/>
      <c r="B10152" s="86"/>
      <c r="D10152" s="26"/>
      <c r="F10152" s="87" t="str">
        <f t="shared" si="0"/>
        <v/>
      </c>
      <c r="H10152" s="26" t="str">
        <f t="shared" si="1"/>
        <v/>
      </c>
      <c r="I10152" s="26" t="str">
        <f t="shared" si="2"/>
        <v/>
      </c>
      <c r="J10152" s="86">
        <f t="shared" si="3"/>
        <v>0</v>
      </c>
      <c r="R10152" s="26"/>
    </row>
    <row r="10153" spans="1:18" ht="15.75" customHeight="1">
      <c r="A10153" s="26"/>
      <c r="B10153" s="86"/>
      <c r="D10153" s="26"/>
      <c r="F10153" s="87" t="str">
        <f t="shared" si="0"/>
        <v/>
      </c>
      <c r="H10153" s="26" t="str">
        <f t="shared" si="1"/>
        <v/>
      </c>
      <c r="I10153" s="26" t="str">
        <f t="shared" si="2"/>
        <v/>
      </c>
      <c r="J10153" s="86">
        <f t="shared" si="3"/>
        <v>0</v>
      </c>
      <c r="R10153" s="26"/>
    </row>
    <row r="10154" spans="1:18" ht="15.75" customHeight="1">
      <c r="A10154" s="26"/>
      <c r="B10154" s="86"/>
      <c r="D10154" s="26"/>
      <c r="F10154" s="87" t="str">
        <f t="shared" si="0"/>
        <v/>
      </c>
      <c r="H10154" s="26" t="str">
        <f t="shared" si="1"/>
        <v/>
      </c>
      <c r="I10154" s="26" t="str">
        <f t="shared" si="2"/>
        <v/>
      </c>
      <c r="J10154" s="86">
        <f t="shared" si="3"/>
        <v>0</v>
      </c>
      <c r="R10154" s="26"/>
    </row>
    <row r="10155" spans="1:18" ht="15.75" customHeight="1">
      <c r="A10155" s="26"/>
      <c r="B10155" s="86"/>
      <c r="D10155" s="26"/>
      <c r="F10155" s="87" t="str">
        <f t="shared" si="0"/>
        <v/>
      </c>
      <c r="H10155" s="26" t="str">
        <f t="shared" si="1"/>
        <v/>
      </c>
      <c r="I10155" s="26" t="str">
        <f t="shared" si="2"/>
        <v/>
      </c>
      <c r="J10155" s="86">
        <f t="shared" si="3"/>
        <v>0</v>
      </c>
      <c r="R10155" s="26"/>
    </row>
    <row r="10156" spans="1:18" ht="15.75" customHeight="1">
      <c r="A10156" s="26"/>
      <c r="B10156" s="86"/>
      <c r="D10156" s="26"/>
      <c r="F10156" s="87" t="str">
        <f t="shared" si="0"/>
        <v/>
      </c>
      <c r="H10156" s="26" t="str">
        <f t="shared" si="1"/>
        <v/>
      </c>
      <c r="I10156" s="26" t="str">
        <f t="shared" si="2"/>
        <v/>
      </c>
      <c r="J10156" s="86">
        <f t="shared" si="3"/>
        <v>0</v>
      </c>
      <c r="R10156" s="26"/>
    </row>
    <row r="10157" spans="1:18" ht="15.75" customHeight="1">
      <c r="A10157" s="26"/>
      <c r="B10157" s="86"/>
      <c r="D10157" s="26"/>
      <c r="F10157" s="87" t="str">
        <f t="shared" si="0"/>
        <v/>
      </c>
      <c r="H10157" s="26" t="str">
        <f t="shared" si="1"/>
        <v/>
      </c>
      <c r="I10157" s="26" t="str">
        <f t="shared" si="2"/>
        <v/>
      </c>
      <c r="J10157" s="86">
        <f t="shared" si="3"/>
        <v>0</v>
      </c>
      <c r="R10157" s="26"/>
    </row>
    <row r="10158" spans="1:18" ht="15.75" customHeight="1">
      <c r="A10158" s="26"/>
      <c r="B10158" s="86"/>
      <c r="D10158" s="26"/>
      <c r="F10158" s="87" t="str">
        <f t="shared" si="0"/>
        <v/>
      </c>
      <c r="H10158" s="26" t="str">
        <f t="shared" si="1"/>
        <v/>
      </c>
      <c r="I10158" s="26" t="str">
        <f t="shared" si="2"/>
        <v/>
      </c>
      <c r="J10158" s="86">
        <f t="shared" si="3"/>
        <v>0</v>
      </c>
      <c r="R10158" s="26"/>
    </row>
    <row r="10159" spans="1:18" ht="15.75" customHeight="1">
      <c r="A10159" s="26"/>
      <c r="B10159" s="86"/>
      <c r="D10159" s="26"/>
      <c r="F10159" s="87" t="str">
        <f t="shared" si="0"/>
        <v/>
      </c>
      <c r="H10159" s="26" t="str">
        <f t="shared" si="1"/>
        <v/>
      </c>
      <c r="I10159" s="26" t="str">
        <f t="shared" si="2"/>
        <v/>
      </c>
      <c r="J10159" s="86">
        <f t="shared" si="3"/>
        <v>0</v>
      </c>
      <c r="R10159" s="26"/>
    </row>
    <row r="10160" spans="1:18" ht="15.75" customHeight="1">
      <c r="A10160" s="26"/>
      <c r="B10160" s="86"/>
      <c r="D10160" s="26"/>
      <c r="F10160" s="87" t="str">
        <f t="shared" si="0"/>
        <v/>
      </c>
      <c r="H10160" s="26" t="str">
        <f t="shared" si="1"/>
        <v/>
      </c>
      <c r="I10160" s="26" t="str">
        <f t="shared" si="2"/>
        <v/>
      </c>
      <c r="J10160" s="86">
        <f t="shared" si="3"/>
        <v>0</v>
      </c>
      <c r="R10160" s="26"/>
    </row>
    <row r="10161" spans="1:18" ht="15.75" customHeight="1">
      <c r="A10161" s="26"/>
      <c r="B10161" s="86"/>
      <c r="D10161" s="26"/>
      <c r="F10161" s="87" t="str">
        <f t="shared" si="0"/>
        <v/>
      </c>
      <c r="H10161" s="26" t="str">
        <f t="shared" si="1"/>
        <v/>
      </c>
      <c r="I10161" s="26" t="str">
        <f t="shared" si="2"/>
        <v/>
      </c>
      <c r="J10161" s="86">
        <f t="shared" si="3"/>
        <v>0</v>
      </c>
      <c r="R10161" s="26"/>
    </row>
    <row r="10162" spans="1:18" ht="15.75" customHeight="1">
      <c r="A10162" s="26"/>
      <c r="B10162" s="86"/>
      <c r="D10162" s="26"/>
      <c r="F10162" s="87" t="str">
        <f t="shared" si="0"/>
        <v/>
      </c>
      <c r="H10162" s="26" t="str">
        <f t="shared" si="1"/>
        <v/>
      </c>
      <c r="I10162" s="26" t="str">
        <f t="shared" si="2"/>
        <v/>
      </c>
      <c r="J10162" s="86">
        <f t="shared" si="3"/>
        <v>0</v>
      </c>
      <c r="R10162" s="26"/>
    </row>
    <row r="10163" spans="1:18" ht="15.75" customHeight="1">
      <c r="A10163" s="26"/>
      <c r="B10163" s="86"/>
      <c r="D10163" s="26"/>
      <c r="F10163" s="87" t="str">
        <f t="shared" si="0"/>
        <v/>
      </c>
      <c r="H10163" s="26" t="str">
        <f t="shared" si="1"/>
        <v/>
      </c>
      <c r="I10163" s="26" t="str">
        <f t="shared" si="2"/>
        <v/>
      </c>
      <c r="J10163" s="86">
        <f t="shared" si="3"/>
        <v>0</v>
      </c>
      <c r="R10163" s="26"/>
    </row>
    <row r="10164" spans="1:18" ht="15.75" customHeight="1">
      <c r="A10164" s="26"/>
      <c r="B10164" s="86"/>
      <c r="D10164" s="26"/>
      <c r="F10164" s="87" t="str">
        <f t="shared" si="0"/>
        <v/>
      </c>
      <c r="H10164" s="26" t="str">
        <f t="shared" si="1"/>
        <v/>
      </c>
      <c r="I10164" s="26" t="str">
        <f t="shared" si="2"/>
        <v/>
      </c>
      <c r="J10164" s="86">
        <f t="shared" si="3"/>
        <v>0</v>
      </c>
      <c r="R10164" s="26"/>
    </row>
    <row r="10165" spans="1:18" ht="15.75" customHeight="1">
      <c r="A10165" s="26"/>
      <c r="B10165" s="86"/>
      <c r="D10165" s="26"/>
      <c r="F10165" s="87" t="str">
        <f t="shared" si="0"/>
        <v/>
      </c>
      <c r="H10165" s="26" t="str">
        <f t="shared" si="1"/>
        <v/>
      </c>
      <c r="I10165" s="26" t="str">
        <f t="shared" si="2"/>
        <v/>
      </c>
      <c r="J10165" s="86">
        <f t="shared" si="3"/>
        <v>0</v>
      </c>
      <c r="R10165" s="26"/>
    </row>
    <row r="10166" spans="1:18" ht="15.75" customHeight="1">
      <c r="A10166" s="26"/>
      <c r="B10166" s="86"/>
      <c r="D10166" s="26"/>
      <c r="F10166" s="87" t="str">
        <f t="shared" si="0"/>
        <v/>
      </c>
      <c r="H10166" s="26" t="str">
        <f t="shared" si="1"/>
        <v/>
      </c>
      <c r="I10166" s="26" t="str">
        <f t="shared" si="2"/>
        <v/>
      </c>
      <c r="J10166" s="86">
        <f t="shared" si="3"/>
        <v>0</v>
      </c>
      <c r="R10166" s="26"/>
    </row>
    <row r="10167" spans="1:18" ht="15.75" customHeight="1">
      <c r="A10167" s="26"/>
      <c r="B10167" s="86"/>
      <c r="D10167" s="26"/>
      <c r="F10167" s="87" t="str">
        <f t="shared" si="0"/>
        <v/>
      </c>
      <c r="H10167" s="26" t="str">
        <f t="shared" si="1"/>
        <v/>
      </c>
      <c r="I10167" s="26" t="str">
        <f t="shared" si="2"/>
        <v/>
      </c>
      <c r="J10167" s="86">
        <f t="shared" si="3"/>
        <v>0</v>
      </c>
      <c r="R10167" s="26"/>
    </row>
    <row r="10168" spans="1:18" ht="15.75" customHeight="1">
      <c r="A10168" s="26"/>
      <c r="B10168" s="86"/>
      <c r="D10168" s="26"/>
      <c r="F10168" s="87" t="str">
        <f t="shared" si="0"/>
        <v/>
      </c>
      <c r="H10168" s="26" t="str">
        <f t="shared" si="1"/>
        <v/>
      </c>
      <c r="I10168" s="26" t="str">
        <f t="shared" si="2"/>
        <v/>
      </c>
      <c r="J10168" s="86">
        <f t="shared" si="3"/>
        <v>0</v>
      </c>
      <c r="R10168" s="26"/>
    </row>
    <row r="10169" spans="1:18" ht="15.75" customHeight="1">
      <c r="A10169" s="26"/>
      <c r="B10169" s="86"/>
      <c r="D10169" s="26"/>
      <c r="F10169" s="87" t="str">
        <f t="shared" si="0"/>
        <v/>
      </c>
      <c r="H10169" s="26" t="str">
        <f t="shared" si="1"/>
        <v/>
      </c>
      <c r="I10169" s="26" t="str">
        <f t="shared" si="2"/>
        <v/>
      </c>
      <c r="J10169" s="86">
        <f t="shared" si="3"/>
        <v>0</v>
      </c>
      <c r="R10169" s="26"/>
    </row>
    <row r="10170" spans="1:18" ht="15.75" customHeight="1">
      <c r="A10170" s="26"/>
      <c r="B10170" s="86"/>
      <c r="D10170" s="26"/>
      <c r="F10170" s="87" t="str">
        <f t="shared" si="0"/>
        <v/>
      </c>
      <c r="H10170" s="26" t="str">
        <f t="shared" si="1"/>
        <v/>
      </c>
      <c r="I10170" s="26" t="str">
        <f t="shared" si="2"/>
        <v/>
      </c>
      <c r="J10170" s="86">
        <f t="shared" si="3"/>
        <v>0</v>
      </c>
      <c r="R10170" s="26"/>
    </row>
    <row r="10171" spans="1:18" ht="15.75" customHeight="1">
      <c r="A10171" s="26"/>
      <c r="B10171" s="86"/>
      <c r="D10171" s="26"/>
      <c r="F10171" s="87" t="str">
        <f t="shared" si="0"/>
        <v/>
      </c>
      <c r="H10171" s="26" t="str">
        <f t="shared" si="1"/>
        <v/>
      </c>
      <c r="I10171" s="26" t="str">
        <f t="shared" si="2"/>
        <v/>
      </c>
      <c r="J10171" s="86">
        <f t="shared" si="3"/>
        <v>0</v>
      </c>
      <c r="R10171" s="26"/>
    </row>
    <row r="10172" spans="1:18" ht="15.75" customHeight="1">
      <c r="A10172" s="26"/>
      <c r="B10172" s="86"/>
      <c r="D10172" s="26"/>
      <c r="F10172" s="87" t="str">
        <f t="shared" si="0"/>
        <v/>
      </c>
      <c r="H10172" s="26" t="str">
        <f t="shared" si="1"/>
        <v/>
      </c>
      <c r="I10172" s="26" t="str">
        <f t="shared" si="2"/>
        <v/>
      </c>
      <c r="J10172" s="86">
        <f t="shared" si="3"/>
        <v>0</v>
      </c>
      <c r="R10172" s="26"/>
    </row>
    <row r="10173" spans="1:18" ht="15.75" customHeight="1">
      <c r="A10173" s="26"/>
      <c r="B10173" s="86"/>
      <c r="D10173" s="26"/>
      <c r="F10173" s="87" t="str">
        <f t="shared" si="0"/>
        <v/>
      </c>
      <c r="H10173" s="26" t="str">
        <f t="shared" si="1"/>
        <v/>
      </c>
      <c r="I10173" s="26" t="str">
        <f t="shared" si="2"/>
        <v/>
      </c>
      <c r="J10173" s="86">
        <f t="shared" si="3"/>
        <v>0</v>
      </c>
      <c r="R10173" s="26"/>
    </row>
    <row r="10174" spans="1:18" ht="15.75" customHeight="1">
      <c r="A10174" s="26"/>
      <c r="B10174" s="86"/>
      <c r="D10174" s="26"/>
      <c r="F10174" s="87" t="str">
        <f t="shared" si="0"/>
        <v/>
      </c>
      <c r="H10174" s="26" t="str">
        <f t="shared" si="1"/>
        <v/>
      </c>
      <c r="I10174" s="26" t="str">
        <f t="shared" si="2"/>
        <v/>
      </c>
      <c r="J10174" s="86">
        <f t="shared" si="3"/>
        <v>0</v>
      </c>
      <c r="R10174" s="26"/>
    </row>
    <row r="10175" spans="1:18" ht="15.75" customHeight="1">
      <c r="A10175" s="26"/>
      <c r="B10175" s="86"/>
      <c r="D10175" s="26"/>
      <c r="F10175" s="87" t="str">
        <f t="shared" si="0"/>
        <v/>
      </c>
      <c r="H10175" s="26" t="str">
        <f t="shared" si="1"/>
        <v/>
      </c>
      <c r="I10175" s="26" t="str">
        <f t="shared" si="2"/>
        <v/>
      </c>
      <c r="J10175" s="86">
        <f t="shared" si="3"/>
        <v>0</v>
      </c>
      <c r="R10175" s="26"/>
    </row>
    <row r="10176" spans="1:18" ht="15.75" customHeight="1">
      <c r="A10176" s="26"/>
      <c r="B10176" s="86"/>
      <c r="D10176" s="26"/>
      <c r="F10176" s="87" t="str">
        <f t="shared" si="0"/>
        <v/>
      </c>
      <c r="H10176" s="26" t="str">
        <f t="shared" si="1"/>
        <v/>
      </c>
      <c r="I10176" s="26" t="str">
        <f t="shared" si="2"/>
        <v/>
      </c>
      <c r="J10176" s="86">
        <f t="shared" si="3"/>
        <v>0</v>
      </c>
      <c r="R10176" s="26"/>
    </row>
    <row r="10177" spans="1:18" ht="15.75" customHeight="1">
      <c r="A10177" s="26"/>
      <c r="B10177" s="86"/>
      <c r="D10177" s="26"/>
      <c r="F10177" s="87" t="str">
        <f t="shared" si="0"/>
        <v/>
      </c>
      <c r="H10177" s="26" t="str">
        <f t="shared" si="1"/>
        <v/>
      </c>
      <c r="I10177" s="26" t="str">
        <f t="shared" si="2"/>
        <v/>
      </c>
      <c r="J10177" s="86">
        <f t="shared" si="3"/>
        <v>0</v>
      </c>
      <c r="R10177" s="26"/>
    </row>
    <row r="10178" spans="1:18" ht="15.75" customHeight="1">
      <c r="A10178" s="26"/>
      <c r="B10178" s="86"/>
      <c r="D10178" s="26"/>
      <c r="F10178" s="87" t="str">
        <f t="shared" si="0"/>
        <v/>
      </c>
      <c r="H10178" s="26" t="str">
        <f t="shared" si="1"/>
        <v/>
      </c>
      <c r="I10178" s="26" t="str">
        <f t="shared" si="2"/>
        <v/>
      </c>
      <c r="J10178" s="86">
        <f t="shared" si="3"/>
        <v>0</v>
      </c>
      <c r="R10178" s="26"/>
    </row>
    <row r="10179" spans="1:18" ht="15.75" customHeight="1">
      <c r="A10179" s="26"/>
      <c r="B10179" s="86"/>
      <c r="D10179" s="26"/>
      <c r="F10179" s="87" t="str">
        <f t="shared" si="0"/>
        <v/>
      </c>
      <c r="H10179" s="26" t="str">
        <f t="shared" si="1"/>
        <v/>
      </c>
      <c r="I10179" s="26" t="str">
        <f t="shared" si="2"/>
        <v/>
      </c>
      <c r="J10179" s="86">
        <f t="shared" si="3"/>
        <v>0</v>
      </c>
      <c r="R10179" s="26"/>
    </row>
    <row r="10180" spans="1:18" ht="15.75" customHeight="1">
      <c r="A10180" s="26"/>
      <c r="B10180" s="86"/>
      <c r="D10180" s="26"/>
      <c r="F10180" s="87" t="str">
        <f t="shared" si="0"/>
        <v/>
      </c>
      <c r="H10180" s="26" t="str">
        <f t="shared" si="1"/>
        <v/>
      </c>
      <c r="I10180" s="26" t="str">
        <f t="shared" si="2"/>
        <v/>
      </c>
      <c r="J10180" s="86">
        <f t="shared" si="3"/>
        <v>0</v>
      </c>
      <c r="R10180" s="26"/>
    </row>
    <row r="10181" spans="1:18" ht="15.75" customHeight="1">
      <c r="A10181" s="26"/>
      <c r="B10181" s="86"/>
      <c r="D10181" s="26"/>
      <c r="F10181" s="87" t="str">
        <f t="shared" si="0"/>
        <v/>
      </c>
      <c r="H10181" s="26" t="str">
        <f t="shared" si="1"/>
        <v/>
      </c>
      <c r="I10181" s="26" t="str">
        <f t="shared" si="2"/>
        <v/>
      </c>
      <c r="J10181" s="86">
        <f t="shared" si="3"/>
        <v>0</v>
      </c>
      <c r="R10181" s="26"/>
    </row>
    <row r="10182" spans="1:18" ht="15.75" customHeight="1">
      <c r="A10182" s="26"/>
      <c r="B10182" s="86"/>
      <c r="D10182" s="26"/>
      <c r="F10182" s="87" t="str">
        <f t="shared" si="0"/>
        <v/>
      </c>
      <c r="H10182" s="26" t="str">
        <f t="shared" si="1"/>
        <v/>
      </c>
      <c r="I10182" s="26" t="str">
        <f t="shared" si="2"/>
        <v/>
      </c>
      <c r="J10182" s="86">
        <f t="shared" si="3"/>
        <v>0</v>
      </c>
      <c r="R10182" s="26"/>
    </row>
    <row r="10183" spans="1:18" ht="15.75" customHeight="1">
      <c r="A10183" s="26"/>
      <c r="B10183" s="86"/>
      <c r="D10183" s="26"/>
      <c r="F10183" s="87" t="str">
        <f t="shared" si="0"/>
        <v/>
      </c>
      <c r="H10183" s="26" t="str">
        <f t="shared" si="1"/>
        <v/>
      </c>
      <c r="I10183" s="26" t="str">
        <f t="shared" si="2"/>
        <v/>
      </c>
      <c r="J10183" s="86">
        <f t="shared" si="3"/>
        <v>0</v>
      </c>
      <c r="R10183" s="26"/>
    </row>
    <row r="10184" spans="1:18" ht="15.75" customHeight="1">
      <c r="A10184" s="26"/>
      <c r="B10184" s="86"/>
      <c r="D10184" s="26"/>
      <c r="F10184" s="87" t="str">
        <f t="shared" si="0"/>
        <v/>
      </c>
      <c r="H10184" s="26" t="str">
        <f t="shared" si="1"/>
        <v/>
      </c>
      <c r="I10184" s="26" t="str">
        <f t="shared" si="2"/>
        <v/>
      </c>
      <c r="J10184" s="86">
        <f t="shared" si="3"/>
        <v>0</v>
      </c>
      <c r="R10184" s="26"/>
    </row>
    <row r="10185" spans="1:18" ht="15.75" customHeight="1">
      <c r="A10185" s="26"/>
      <c r="B10185" s="86"/>
      <c r="D10185" s="26"/>
      <c r="F10185" s="87" t="str">
        <f t="shared" si="0"/>
        <v/>
      </c>
      <c r="H10185" s="26" t="str">
        <f t="shared" si="1"/>
        <v/>
      </c>
      <c r="I10185" s="26" t="str">
        <f t="shared" si="2"/>
        <v/>
      </c>
      <c r="J10185" s="86">
        <f t="shared" si="3"/>
        <v>0</v>
      </c>
      <c r="R10185" s="26"/>
    </row>
    <row r="10186" spans="1:18" ht="15.75" customHeight="1">
      <c r="A10186" s="26"/>
      <c r="B10186" s="86"/>
      <c r="D10186" s="26"/>
      <c r="F10186" s="87" t="str">
        <f t="shared" si="0"/>
        <v/>
      </c>
      <c r="H10186" s="26" t="str">
        <f t="shared" si="1"/>
        <v/>
      </c>
      <c r="I10186" s="26" t="str">
        <f t="shared" si="2"/>
        <v/>
      </c>
      <c r="J10186" s="86">
        <f t="shared" si="3"/>
        <v>0</v>
      </c>
      <c r="R10186" s="26"/>
    </row>
    <row r="10187" spans="1:18" ht="15.75" customHeight="1">
      <c r="A10187" s="26"/>
      <c r="B10187" s="86"/>
      <c r="D10187" s="26"/>
      <c r="F10187" s="87" t="str">
        <f t="shared" si="0"/>
        <v/>
      </c>
      <c r="H10187" s="26" t="str">
        <f t="shared" si="1"/>
        <v/>
      </c>
      <c r="I10187" s="26" t="str">
        <f t="shared" si="2"/>
        <v/>
      </c>
      <c r="J10187" s="86">
        <f t="shared" si="3"/>
        <v>0</v>
      </c>
      <c r="R10187" s="26"/>
    </row>
    <row r="10188" spans="1:18" ht="15.75" customHeight="1">
      <c r="A10188" s="26"/>
      <c r="B10188" s="86"/>
      <c r="D10188" s="26"/>
      <c r="F10188" s="87" t="str">
        <f t="shared" si="0"/>
        <v/>
      </c>
      <c r="H10188" s="26" t="str">
        <f t="shared" si="1"/>
        <v/>
      </c>
      <c r="I10188" s="26" t="str">
        <f t="shared" si="2"/>
        <v/>
      </c>
      <c r="J10188" s="86">
        <f t="shared" si="3"/>
        <v>0</v>
      </c>
      <c r="R10188" s="26"/>
    </row>
    <row r="10189" spans="1:18" ht="15.75" customHeight="1">
      <c r="A10189" s="26"/>
      <c r="B10189" s="86"/>
      <c r="D10189" s="26"/>
      <c r="F10189" s="87" t="str">
        <f t="shared" si="0"/>
        <v/>
      </c>
      <c r="H10189" s="26" t="str">
        <f t="shared" si="1"/>
        <v/>
      </c>
      <c r="I10189" s="26" t="str">
        <f t="shared" si="2"/>
        <v/>
      </c>
      <c r="J10189" s="86">
        <f t="shared" si="3"/>
        <v>0</v>
      </c>
      <c r="R10189" s="26"/>
    </row>
    <row r="10190" spans="1:18" ht="15.75" customHeight="1">
      <c r="A10190" s="26"/>
      <c r="B10190" s="86"/>
      <c r="D10190" s="26"/>
      <c r="F10190" s="87" t="str">
        <f t="shared" si="0"/>
        <v/>
      </c>
      <c r="H10190" s="26" t="str">
        <f t="shared" si="1"/>
        <v/>
      </c>
      <c r="I10190" s="26" t="str">
        <f t="shared" si="2"/>
        <v/>
      </c>
      <c r="J10190" s="86">
        <f t="shared" si="3"/>
        <v>0</v>
      </c>
      <c r="R10190" s="26"/>
    </row>
    <row r="10191" spans="1:18" ht="15.75" customHeight="1">
      <c r="A10191" s="26"/>
      <c r="B10191" s="86"/>
      <c r="D10191" s="26"/>
      <c r="F10191" s="87" t="str">
        <f t="shared" si="0"/>
        <v/>
      </c>
      <c r="H10191" s="26" t="str">
        <f t="shared" si="1"/>
        <v/>
      </c>
      <c r="I10191" s="26" t="str">
        <f t="shared" si="2"/>
        <v/>
      </c>
      <c r="J10191" s="86">
        <f t="shared" si="3"/>
        <v>0</v>
      </c>
      <c r="R10191" s="26"/>
    </row>
    <row r="10192" spans="1:18" ht="15.75" customHeight="1">
      <c r="A10192" s="26"/>
      <c r="B10192" s="86"/>
      <c r="D10192" s="26"/>
      <c r="F10192" s="87" t="str">
        <f t="shared" si="0"/>
        <v/>
      </c>
      <c r="H10192" s="26" t="str">
        <f t="shared" si="1"/>
        <v/>
      </c>
      <c r="I10192" s="26" t="str">
        <f t="shared" si="2"/>
        <v/>
      </c>
      <c r="J10192" s="86">
        <f t="shared" si="3"/>
        <v>0</v>
      </c>
      <c r="R10192" s="26"/>
    </row>
    <row r="10193" spans="1:18" ht="15.75" customHeight="1">
      <c r="A10193" s="26"/>
      <c r="B10193" s="86"/>
      <c r="D10193" s="26"/>
      <c r="F10193" s="87" t="str">
        <f t="shared" si="0"/>
        <v/>
      </c>
      <c r="H10193" s="26" t="str">
        <f t="shared" si="1"/>
        <v/>
      </c>
      <c r="I10193" s="26" t="str">
        <f t="shared" si="2"/>
        <v/>
      </c>
      <c r="J10193" s="86">
        <f t="shared" si="3"/>
        <v>0</v>
      </c>
      <c r="R10193" s="26"/>
    </row>
    <row r="10194" spans="1:18" ht="15.75" customHeight="1">
      <c r="A10194" s="26"/>
      <c r="B10194" s="86"/>
      <c r="D10194" s="26"/>
      <c r="F10194" s="87" t="str">
        <f t="shared" si="0"/>
        <v/>
      </c>
      <c r="H10194" s="26" t="str">
        <f t="shared" si="1"/>
        <v/>
      </c>
      <c r="I10194" s="26" t="str">
        <f t="shared" si="2"/>
        <v/>
      </c>
      <c r="J10194" s="86">
        <f t="shared" si="3"/>
        <v>0</v>
      </c>
      <c r="R10194" s="26"/>
    </row>
    <row r="10195" spans="1:18" ht="15.75" customHeight="1">
      <c r="A10195" s="26"/>
      <c r="B10195" s="86"/>
      <c r="D10195" s="26"/>
      <c r="F10195" s="87" t="str">
        <f t="shared" si="0"/>
        <v/>
      </c>
      <c r="H10195" s="26" t="str">
        <f t="shared" si="1"/>
        <v/>
      </c>
      <c r="I10195" s="26" t="str">
        <f t="shared" si="2"/>
        <v/>
      </c>
      <c r="J10195" s="86">
        <f t="shared" si="3"/>
        <v>0</v>
      </c>
      <c r="R10195" s="26"/>
    </row>
    <row r="10196" spans="1:18" ht="15.75" customHeight="1">
      <c r="A10196" s="26"/>
      <c r="B10196" s="86"/>
      <c r="D10196" s="26"/>
      <c r="F10196" s="87" t="str">
        <f t="shared" si="0"/>
        <v/>
      </c>
      <c r="H10196" s="26" t="str">
        <f t="shared" si="1"/>
        <v/>
      </c>
      <c r="I10196" s="26" t="str">
        <f t="shared" si="2"/>
        <v/>
      </c>
      <c r="J10196" s="86">
        <f t="shared" si="3"/>
        <v>0</v>
      </c>
      <c r="R10196" s="26"/>
    </row>
    <row r="10197" spans="1:18" ht="15.75" customHeight="1">
      <c r="A10197" s="26"/>
      <c r="B10197" s="86"/>
      <c r="D10197" s="26"/>
      <c r="F10197" s="87" t="str">
        <f t="shared" si="0"/>
        <v/>
      </c>
      <c r="H10197" s="26" t="str">
        <f t="shared" si="1"/>
        <v/>
      </c>
      <c r="I10197" s="26" t="str">
        <f t="shared" si="2"/>
        <v/>
      </c>
      <c r="J10197" s="86">
        <f t="shared" si="3"/>
        <v>0</v>
      </c>
      <c r="R10197" s="26"/>
    </row>
    <row r="10198" spans="1:18" ht="15.75" customHeight="1">
      <c r="A10198" s="26"/>
      <c r="B10198" s="86"/>
      <c r="D10198" s="26"/>
      <c r="F10198" s="87" t="str">
        <f t="shared" si="0"/>
        <v/>
      </c>
      <c r="H10198" s="26" t="str">
        <f t="shared" si="1"/>
        <v/>
      </c>
      <c r="I10198" s="26" t="str">
        <f t="shared" si="2"/>
        <v/>
      </c>
      <c r="J10198" s="86">
        <f t="shared" si="3"/>
        <v>0</v>
      </c>
      <c r="R10198" s="26"/>
    </row>
    <row r="10199" spans="1:18" ht="15.75" customHeight="1">
      <c r="A10199" s="26"/>
      <c r="B10199" s="86"/>
      <c r="D10199" s="26"/>
      <c r="F10199" s="87" t="str">
        <f t="shared" si="0"/>
        <v/>
      </c>
      <c r="H10199" s="26" t="str">
        <f t="shared" si="1"/>
        <v/>
      </c>
      <c r="I10199" s="26" t="str">
        <f t="shared" si="2"/>
        <v/>
      </c>
      <c r="J10199" s="86">
        <f t="shared" si="3"/>
        <v>0</v>
      </c>
      <c r="R10199" s="26"/>
    </row>
    <row r="10200" spans="1:18" ht="15.75" customHeight="1">
      <c r="A10200" s="26"/>
      <c r="B10200" s="86"/>
      <c r="D10200" s="26"/>
      <c r="F10200" s="87" t="str">
        <f t="shared" si="0"/>
        <v/>
      </c>
      <c r="H10200" s="26" t="str">
        <f t="shared" si="1"/>
        <v/>
      </c>
      <c r="I10200" s="26" t="str">
        <f t="shared" si="2"/>
        <v/>
      </c>
      <c r="J10200" s="86">
        <f t="shared" si="3"/>
        <v>0</v>
      </c>
      <c r="R10200" s="26"/>
    </row>
    <row r="10201" spans="1:18" ht="15.75" customHeight="1">
      <c r="A10201" s="26"/>
      <c r="B10201" s="86"/>
      <c r="D10201" s="26"/>
      <c r="F10201" s="87" t="str">
        <f t="shared" si="0"/>
        <v/>
      </c>
      <c r="H10201" s="26" t="str">
        <f t="shared" si="1"/>
        <v/>
      </c>
      <c r="I10201" s="26" t="str">
        <f t="shared" si="2"/>
        <v/>
      </c>
      <c r="J10201" s="86">
        <f t="shared" si="3"/>
        <v>0</v>
      </c>
      <c r="R10201" s="26"/>
    </row>
    <row r="10202" spans="1:18" ht="15.75" customHeight="1">
      <c r="A10202" s="26"/>
      <c r="B10202" s="86"/>
      <c r="D10202" s="26"/>
      <c r="F10202" s="87" t="str">
        <f t="shared" si="0"/>
        <v/>
      </c>
      <c r="H10202" s="26" t="str">
        <f t="shared" si="1"/>
        <v/>
      </c>
      <c r="I10202" s="26" t="str">
        <f t="shared" si="2"/>
        <v/>
      </c>
      <c r="J10202" s="86">
        <f t="shared" si="3"/>
        <v>0</v>
      </c>
      <c r="R10202" s="26"/>
    </row>
    <row r="10203" spans="1:18" ht="15.75" customHeight="1">
      <c r="A10203" s="26"/>
      <c r="B10203" s="86"/>
      <c r="D10203" s="26"/>
      <c r="F10203" s="87" t="str">
        <f t="shared" si="0"/>
        <v/>
      </c>
      <c r="H10203" s="26" t="str">
        <f t="shared" si="1"/>
        <v/>
      </c>
      <c r="I10203" s="26" t="str">
        <f t="shared" si="2"/>
        <v/>
      </c>
      <c r="J10203" s="86">
        <f t="shared" si="3"/>
        <v>0</v>
      </c>
      <c r="R10203" s="26"/>
    </row>
    <row r="10204" spans="1:18" ht="15.75" customHeight="1">
      <c r="A10204" s="26"/>
      <c r="B10204" s="86"/>
      <c r="D10204" s="26"/>
      <c r="F10204" s="87" t="str">
        <f t="shared" si="0"/>
        <v/>
      </c>
      <c r="H10204" s="26" t="str">
        <f t="shared" si="1"/>
        <v/>
      </c>
      <c r="I10204" s="26" t="str">
        <f t="shared" si="2"/>
        <v/>
      </c>
      <c r="J10204" s="86">
        <f t="shared" si="3"/>
        <v>0</v>
      </c>
      <c r="R10204" s="26"/>
    </row>
    <row r="10205" spans="1:18" ht="15.75" customHeight="1">
      <c r="A10205" s="26"/>
      <c r="B10205" s="86"/>
      <c r="D10205" s="26"/>
      <c r="F10205" s="87" t="str">
        <f t="shared" si="0"/>
        <v/>
      </c>
      <c r="H10205" s="26" t="str">
        <f t="shared" si="1"/>
        <v/>
      </c>
      <c r="I10205" s="26" t="str">
        <f t="shared" si="2"/>
        <v/>
      </c>
      <c r="J10205" s="86">
        <f t="shared" si="3"/>
        <v>0</v>
      </c>
      <c r="R10205" s="26"/>
    </row>
    <row r="10206" spans="1:18" ht="15.75" customHeight="1">
      <c r="A10206" s="26"/>
      <c r="B10206" s="86"/>
      <c r="D10206" s="26"/>
      <c r="F10206" s="87" t="str">
        <f t="shared" si="0"/>
        <v/>
      </c>
      <c r="H10206" s="26" t="str">
        <f t="shared" si="1"/>
        <v/>
      </c>
      <c r="I10206" s="26" t="str">
        <f t="shared" si="2"/>
        <v/>
      </c>
      <c r="J10206" s="86">
        <f t="shared" si="3"/>
        <v>0</v>
      </c>
      <c r="R10206" s="26"/>
    </row>
    <row r="10207" spans="1:18" ht="15.75" customHeight="1">
      <c r="A10207" s="26"/>
      <c r="B10207" s="86"/>
      <c r="D10207" s="26"/>
      <c r="F10207" s="87" t="str">
        <f t="shared" si="0"/>
        <v/>
      </c>
      <c r="H10207" s="26" t="str">
        <f t="shared" si="1"/>
        <v/>
      </c>
      <c r="I10207" s="26" t="str">
        <f t="shared" si="2"/>
        <v/>
      </c>
      <c r="J10207" s="86">
        <f t="shared" si="3"/>
        <v>0</v>
      </c>
      <c r="R10207" s="26"/>
    </row>
    <row r="10208" spans="1:18" ht="15.75" customHeight="1">
      <c r="A10208" s="26"/>
      <c r="B10208" s="86"/>
      <c r="D10208" s="26"/>
      <c r="F10208" s="87" t="str">
        <f t="shared" si="0"/>
        <v/>
      </c>
      <c r="H10208" s="26" t="str">
        <f t="shared" si="1"/>
        <v/>
      </c>
      <c r="I10208" s="26" t="str">
        <f t="shared" si="2"/>
        <v/>
      </c>
      <c r="J10208" s="86">
        <f t="shared" si="3"/>
        <v>0</v>
      </c>
      <c r="R10208" s="26"/>
    </row>
    <row r="10209" spans="1:18" ht="15.75" customHeight="1">
      <c r="A10209" s="26"/>
      <c r="B10209" s="86"/>
      <c r="D10209" s="26"/>
      <c r="F10209" s="87" t="str">
        <f t="shared" si="0"/>
        <v/>
      </c>
      <c r="H10209" s="26" t="str">
        <f t="shared" si="1"/>
        <v/>
      </c>
      <c r="I10209" s="26" t="str">
        <f t="shared" si="2"/>
        <v/>
      </c>
      <c r="J10209" s="86">
        <f t="shared" si="3"/>
        <v>0</v>
      </c>
      <c r="R10209" s="26"/>
    </row>
    <row r="10210" spans="1:18" ht="15.75" customHeight="1">
      <c r="A10210" s="26"/>
      <c r="B10210" s="86"/>
      <c r="D10210" s="26"/>
      <c r="F10210" s="87" t="str">
        <f t="shared" si="0"/>
        <v/>
      </c>
      <c r="H10210" s="26" t="str">
        <f t="shared" si="1"/>
        <v/>
      </c>
      <c r="I10210" s="26" t="str">
        <f t="shared" si="2"/>
        <v/>
      </c>
      <c r="J10210" s="86">
        <f t="shared" si="3"/>
        <v>0</v>
      </c>
      <c r="R10210" s="26"/>
    </row>
    <row r="10211" spans="1:18" ht="15.75" customHeight="1">
      <c r="A10211" s="26"/>
      <c r="B10211" s="86"/>
      <c r="D10211" s="26"/>
      <c r="F10211" s="87" t="str">
        <f t="shared" si="0"/>
        <v/>
      </c>
      <c r="H10211" s="26" t="str">
        <f t="shared" si="1"/>
        <v/>
      </c>
      <c r="I10211" s="26" t="str">
        <f t="shared" si="2"/>
        <v/>
      </c>
      <c r="J10211" s="86">
        <f t="shared" si="3"/>
        <v>0</v>
      </c>
      <c r="R10211" s="26"/>
    </row>
    <row r="10212" spans="1:18" ht="15.75" customHeight="1">
      <c r="A10212" s="26"/>
      <c r="B10212" s="86"/>
      <c r="D10212" s="26"/>
      <c r="F10212" s="87" t="str">
        <f t="shared" si="0"/>
        <v/>
      </c>
      <c r="H10212" s="26" t="str">
        <f t="shared" si="1"/>
        <v/>
      </c>
      <c r="I10212" s="26" t="str">
        <f t="shared" si="2"/>
        <v/>
      </c>
      <c r="J10212" s="86">
        <f t="shared" si="3"/>
        <v>0</v>
      </c>
      <c r="R10212" s="26"/>
    </row>
    <row r="10213" spans="1:18" ht="15.75" customHeight="1">
      <c r="A10213" s="26"/>
      <c r="B10213" s="86"/>
      <c r="D10213" s="26"/>
      <c r="F10213" s="87" t="str">
        <f t="shared" si="0"/>
        <v/>
      </c>
      <c r="H10213" s="26" t="str">
        <f t="shared" si="1"/>
        <v/>
      </c>
      <c r="I10213" s="26" t="str">
        <f t="shared" si="2"/>
        <v/>
      </c>
      <c r="J10213" s="86">
        <f t="shared" si="3"/>
        <v>0</v>
      </c>
      <c r="R10213" s="26"/>
    </row>
    <row r="10214" spans="1:18" ht="15.75" customHeight="1">
      <c r="A10214" s="26"/>
      <c r="B10214" s="86"/>
      <c r="D10214" s="26"/>
      <c r="F10214" s="87" t="str">
        <f t="shared" si="0"/>
        <v/>
      </c>
      <c r="H10214" s="26" t="str">
        <f t="shared" si="1"/>
        <v/>
      </c>
      <c r="I10214" s="26" t="str">
        <f t="shared" si="2"/>
        <v/>
      </c>
      <c r="J10214" s="86">
        <f t="shared" si="3"/>
        <v>0</v>
      </c>
      <c r="R10214" s="26"/>
    </row>
    <row r="10215" spans="1:18" ht="15.75" customHeight="1">
      <c r="A10215" s="26"/>
      <c r="B10215" s="86"/>
      <c r="D10215" s="26"/>
      <c r="F10215" s="87" t="str">
        <f t="shared" si="0"/>
        <v/>
      </c>
      <c r="H10215" s="26" t="str">
        <f t="shared" si="1"/>
        <v/>
      </c>
      <c r="I10215" s="26" t="str">
        <f t="shared" si="2"/>
        <v/>
      </c>
      <c r="J10215" s="86">
        <f t="shared" si="3"/>
        <v>0</v>
      </c>
      <c r="R10215" s="26"/>
    </row>
    <row r="10216" spans="1:18" ht="15.75" customHeight="1">
      <c r="A10216" s="26"/>
      <c r="B10216" s="86"/>
      <c r="D10216" s="26"/>
      <c r="F10216" s="87" t="str">
        <f t="shared" si="0"/>
        <v/>
      </c>
      <c r="H10216" s="26" t="str">
        <f t="shared" si="1"/>
        <v/>
      </c>
      <c r="I10216" s="26" t="str">
        <f t="shared" si="2"/>
        <v/>
      </c>
      <c r="J10216" s="86">
        <f t="shared" si="3"/>
        <v>0</v>
      </c>
      <c r="R10216" s="26"/>
    </row>
    <row r="10217" spans="1:18" ht="15.75" customHeight="1">
      <c r="A10217" s="26"/>
      <c r="B10217" s="86"/>
      <c r="D10217" s="26"/>
      <c r="F10217" s="87" t="str">
        <f t="shared" si="0"/>
        <v/>
      </c>
      <c r="H10217" s="26" t="str">
        <f t="shared" si="1"/>
        <v/>
      </c>
      <c r="I10217" s="26" t="str">
        <f t="shared" si="2"/>
        <v/>
      </c>
      <c r="J10217" s="86">
        <f t="shared" si="3"/>
        <v>0</v>
      </c>
      <c r="R10217" s="26"/>
    </row>
    <row r="10218" spans="1:18" ht="15.75" customHeight="1">
      <c r="A10218" s="26"/>
      <c r="B10218" s="86"/>
      <c r="D10218" s="26"/>
      <c r="F10218" s="87" t="str">
        <f t="shared" si="0"/>
        <v/>
      </c>
      <c r="H10218" s="26" t="str">
        <f t="shared" si="1"/>
        <v/>
      </c>
      <c r="I10218" s="26" t="str">
        <f t="shared" si="2"/>
        <v/>
      </c>
      <c r="J10218" s="86">
        <f t="shared" si="3"/>
        <v>0</v>
      </c>
      <c r="R10218" s="26"/>
    </row>
    <row r="10219" spans="1:18" ht="15.75" customHeight="1">
      <c r="A10219" s="26"/>
      <c r="B10219" s="86"/>
      <c r="D10219" s="26"/>
      <c r="F10219" s="87" t="str">
        <f t="shared" si="0"/>
        <v/>
      </c>
      <c r="H10219" s="26" t="str">
        <f t="shared" si="1"/>
        <v/>
      </c>
      <c r="I10219" s="26" t="str">
        <f t="shared" si="2"/>
        <v/>
      </c>
      <c r="J10219" s="86">
        <f t="shared" si="3"/>
        <v>0</v>
      </c>
      <c r="R10219" s="26"/>
    </row>
    <row r="10220" spans="1:18" ht="15.75" customHeight="1">
      <c r="A10220" s="26"/>
      <c r="B10220" s="86"/>
      <c r="D10220" s="26"/>
      <c r="F10220" s="87" t="str">
        <f t="shared" si="0"/>
        <v/>
      </c>
      <c r="H10220" s="26" t="str">
        <f t="shared" si="1"/>
        <v/>
      </c>
      <c r="I10220" s="26" t="str">
        <f t="shared" si="2"/>
        <v/>
      </c>
      <c r="J10220" s="86">
        <f t="shared" si="3"/>
        <v>0</v>
      </c>
      <c r="R10220" s="26"/>
    </row>
    <row r="10221" spans="1:18" ht="15.75" customHeight="1">
      <c r="A10221" s="26"/>
      <c r="B10221" s="86"/>
      <c r="D10221" s="26"/>
      <c r="F10221" s="87" t="str">
        <f t="shared" si="0"/>
        <v/>
      </c>
      <c r="H10221" s="26" t="str">
        <f t="shared" si="1"/>
        <v/>
      </c>
      <c r="I10221" s="26" t="str">
        <f t="shared" si="2"/>
        <v/>
      </c>
      <c r="J10221" s="86">
        <f t="shared" si="3"/>
        <v>0</v>
      </c>
      <c r="R10221" s="26"/>
    </row>
    <row r="10222" spans="1:18" ht="15.75" customHeight="1">
      <c r="A10222" s="26"/>
      <c r="B10222" s="86"/>
      <c r="D10222" s="26"/>
      <c r="F10222" s="87" t="str">
        <f t="shared" si="0"/>
        <v/>
      </c>
      <c r="H10222" s="26" t="str">
        <f t="shared" si="1"/>
        <v/>
      </c>
      <c r="I10222" s="26" t="str">
        <f t="shared" si="2"/>
        <v/>
      </c>
      <c r="J10222" s="86">
        <f t="shared" si="3"/>
        <v>0</v>
      </c>
      <c r="R10222" s="26"/>
    </row>
    <row r="10223" spans="1:18" ht="15.75" customHeight="1">
      <c r="A10223" s="26"/>
      <c r="B10223" s="86"/>
      <c r="D10223" s="26"/>
      <c r="F10223" s="87" t="str">
        <f t="shared" si="0"/>
        <v/>
      </c>
      <c r="H10223" s="26" t="str">
        <f t="shared" si="1"/>
        <v/>
      </c>
      <c r="I10223" s="26" t="str">
        <f t="shared" si="2"/>
        <v/>
      </c>
      <c r="J10223" s="86">
        <f t="shared" si="3"/>
        <v>0</v>
      </c>
      <c r="R10223" s="26"/>
    </row>
    <row r="10224" spans="1:18" ht="15.75" customHeight="1">
      <c r="A10224" s="26"/>
      <c r="B10224" s="86"/>
      <c r="D10224" s="26"/>
      <c r="F10224" s="87" t="str">
        <f t="shared" si="0"/>
        <v/>
      </c>
      <c r="H10224" s="26" t="str">
        <f t="shared" si="1"/>
        <v/>
      </c>
      <c r="I10224" s="26" t="str">
        <f t="shared" si="2"/>
        <v/>
      </c>
      <c r="J10224" s="86">
        <f t="shared" si="3"/>
        <v>0</v>
      </c>
      <c r="R10224" s="26"/>
    </row>
    <row r="10225" spans="1:18" ht="15.75" customHeight="1">
      <c r="A10225" s="26"/>
      <c r="B10225" s="86"/>
      <c r="D10225" s="26"/>
      <c r="F10225" s="87" t="str">
        <f t="shared" si="0"/>
        <v/>
      </c>
      <c r="H10225" s="26" t="str">
        <f t="shared" si="1"/>
        <v/>
      </c>
      <c r="I10225" s="26" t="str">
        <f t="shared" si="2"/>
        <v/>
      </c>
      <c r="J10225" s="86">
        <f t="shared" si="3"/>
        <v>0</v>
      </c>
      <c r="R10225" s="26"/>
    </row>
    <row r="10226" spans="1:18" ht="15.75" customHeight="1">
      <c r="A10226" s="26"/>
      <c r="B10226" s="86"/>
      <c r="D10226" s="26"/>
      <c r="F10226" s="87" t="str">
        <f t="shared" si="0"/>
        <v/>
      </c>
      <c r="H10226" s="26" t="str">
        <f t="shared" si="1"/>
        <v/>
      </c>
      <c r="I10226" s="26" t="str">
        <f t="shared" si="2"/>
        <v/>
      </c>
      <c r="J10226" s="86">
        <f t="shared" si="3"/>
        <v>0</v>
      </c>
      <c r="R10226" s="26"/>
    </row>
    <row r="10227" spans="1:18" ht="15.75" customHeight="1">
      <c r="A10227" s="26"/>
      <c r="B10227" s="86"/>
      <c r="D10227" s="26"/>
      <c r="F10227" s="87" t="str">
        <f t="shared" si="0"/>
        <v/>
      </c>
      <c r="H10227" s="26" t="str">
        <f t="shared" si="1"/>
        <v/>
      </c>
      <c r="I10227" s="26" t="str">
        <f t="shared" si="2"/>
        <v/>
      </c>
      <c r="J10227" s="86">
        <f t="shared" si="3"/>
        <v>0</v>
      </c>
      <c r="R10227" s="26"/>
    </row>
    <row r="10228" spans="1:18" ht="15.75" customHeight="1">
      <c r="A10228" s="26"/>
      <c r="B10228" s="86"/>
      <c r="D10228" s="26"/>
      <c r="F10228" s="87" t="str">
        <f t="shared" si="0"/>
        <v/>
      </c>
      <c r="H10228" s="26" t="str">
        <f t="shared" si="1"/>
        <v/>
      </c>
      <c r="I10228" s="26" t="str">
        <f t="shared" si="2"/>
        <v/>
      </c>
      <c r="J10228" s="86">
        <f t="shared" si="3"/>
        <v>0</v>
      </c>
      <c r="R10228" s="26"/>
    </row>
    <row r="10229" spans="1:18" ht="15.75" customHeight="1">
      <c r="A10229" s="26"/>
      <c r="B10229" s="86"/>
      <c r="D10229" s="26"/>
      <c r="F10229" s="87" t="str">
        <f t="shared" si="0"/>
        <v/>
      </c>
      <c r="H10229" s="26" t="str">
        <f t="shared" si="1"/>
        <v/>
      </c>
      <c r="I10229" s="26" t="str">
        <f t="shared" si="2"/>
        <v/>
      </c>
      <c r="J10229" s="86">
        <f t="shared" si="3"/>
        <v>0</v>
      </c>
      <c r="R10229" s="26"/>
    </row>
    <row r="10230" spans="1:18" ht="15.75" customHeight="1">
      <c r="A10230" s="26"/>
      <c r="B10230" s="86"/>
      <c r="D10230" s="26"/>
      <c r="F10230" s="87" t="str">
        <f t="shared" si="0"/>
        <v/>
      </c>
      <c r="H10230" s="26" t="str">
        <f t="shared" si="1"/>
        <v/>
      </c>
      <c r="I10230" s="26" t="str">
        <f t="shared" si="2"/>
        <v/>
      </c>
      <c r="J10230" s="86">
        <f t="shared" si="3"/>
        <v>0</v>
      </c>
      <c r="R10230" s="26"/>
    </row>
    <row r="10231" spans="1:18" ht="15.75" customHeight="1">
      <c r="A10231" s="26"/>
      <c r="B10231" s="86"/>
      <c r="D10231" s="26"/>
      <c r="F10231" s="87" t="str">
        <f t="shared" si="0"/>
        <v/>
      </c>
      <c r="H10231" s="26" t="str">
        <f t="shared" si="1"/>
        <v/>
      </c>
      <c r="I10231" s="26" t="str">
        <f t="shared" si="2"/>
        <v/>
      </c>
      <c r="J10231" s="86">
        <f t="shared" si="3"/>
        <v>0</v>
      </c>
      <c r="R10231" s="26"/>
    </row>
    <row r="10232" spans="1:18" ht="15.75" customHeight="1">
      <c r="A10232" s="26"/>
      <c r="B10232" s="86"/>
      <c r="D10232" s="26"/>
      <c r="F10232" s="87" t="str">
        <f t="shared" si="0"/>
        <v/>
      </c>
      <c r="H10232" s="26" t="str">
        <f t="shared" si="1"/>
        <v/>
      </c>
      <c r="I10232" s="26" t="str">
        <f t="shared" si="2"/>
        <v/>
      </c>
      <c r="J10232" s="86">
        <f t="shared" si="3"/>
        <v>0</v>
      </c>
      <c r="R10232" s="26"/>
    </row>
    <row r="10233" spans="1:18" ht="15.75" customHeight="1">
      <c r="A10233" s="26"/>
      <c r="B10233" s="86"/>
      <c r="D10233" s="26"/>
      <c r="F10233" s="87" t="str">
        <f t="shared" si="0"/>
        <v/>
      </c>
      <c r="H10233" s="26" t="str">
        <f t="shared" si="1"/>
        <v/>
      </c>
      <c r="I10233" s="26" t="str">
        <f t="shared" si="2"/>
        <v/>
      </c>
      <c r="J10233" s="86">
        <f t="shared" si="3"/>
        <v>0</v>
      </c>
      <c r="R10233" s="26"/>
    </row>
    <row r="10234" spans="1:18" ht="15.75" customHeight="1">
      <c r="A10234" s="26"/>
      <c r="B10234" s="86"/>
      <c r="D10234" s="26"/>
      <c r="F10234" s="87" t="str">
        <f t="shared" si="0"/>
        <v/>
      </c>
      <c r="H10234" s="26" t="str">
        <f t="shared" si="1"/>
        <v/>
      </c>
      <c r="I10234" s="26" t="str">
        <f t="shared" si="2"/>
        <v/>
      </c>
      <c r="J10234" s="86">
        <f t="shared" si="3"/>
        <v>0</v>
      </c>
      <c r="R10234" s="26"/>
    </row>
    <row r="10235" spans="1:18" ht="15.75" customHeight="1">
      <c r="A10235" s="26"/>
      <c r="B10235" s="86"/>
      <c r="D10235" s="26"/>
      <c r="F10235" s="87" t="str">
        <f t="shared" si="0"/>
        <v/>
      </c>
      <c r="H10235" s="26" t="str">
        <f t="shared" si="1"/>
        <v/>
      </c>
      <c r="I10235" s="26" t="str">
        <f t="shared" si="2"/>
        <v/>
      </c>
      <c r="J10235" s="86">
        <f t="shared" si="3"/>
        <v>0</v>
      </c>
      <c r="R10235" s="26"/>
    </row>
    <row r="10236" spans="1:18" ht="15.75" customHeight="1">
      <c r="A10236" s="26"/>
      <c r="B10236" s="86"/>
      <c r="D10236" s="26"/>
      <c r="F10236" s="87" t="str">
        <f t="shared" si="0"/>
        <v/>
      </c>
      <c r="H10236" s="26" t="str">
        <f t="shared" si="1"/>
        <v/>
      </c>
      <c r="I10236" s="26" t="str">
        <f t="shared" si="2"/>
        <v/>
      </c>
      <c r="J10236" s="86">
        <f t="shared" si="3"/>
        <v>0</v>
      </c>
      <c r="R10236" s="26"/>
    </row>
    <row r="10237" spans="1:18" ht="15.75" customHeight="1">
      <c r="A10237" s="26"/>
      <c r="B10237" s="86"/>
      <c r="D10237" s="26"/>
      <c r="F10237" s="87" t="str">
        <f t="shared" si="0"/>
        <v/>
      </c>
      <c r="H10237" s="26" t="str">
        <f t="shared" si="1"/>
        <v/>
      </c>
      <c r="I10237" s="26" t="str">
        <f t="shared" si="2"/>
        <v/>
      </c>
      <c r="J10237" s="86">
        <f t="shared" si="3"/>
        <v>0</v>
      </c>
      <c r="R10237" s="26"/>
    </row>
    <row r="10238" spans="1:18" ht="15.75" customHeight="1">
      <c r="A10238" s="26"/>
      <c r="B10238" s="86"/>
      <c r="D10238" s="26"/>
      <c r="F10238" s="87" t="str">
        <f t="shared" si="0"/>
        <v/>
      </c>
      <c r="H10238" s="26" t="str">
        <f t="shared" si="1"/>
        <v/>
      </c>
      <c r="I10238" s="26" t="str">
        <f t="shared" si="2"/>
        <v/>
      </c>
      <c r="J10238" s="86">
        <f t="shared" si="3"/>
        <v>0</v>
      </c>
      <c r="R10238" s="26"/>
    </row>
    <row r="10239" spans="1:18" ht="15.75" customHeight="1">
      <c r="A10239" s="26"/>
      <c r="B10239" s="86"/>
      <c r="D10239" s="26"/>
      <c r="F10239" s="87" t="str">
        <f t="shared" si="0"/>
        <v/>
      </c>
      <c r="H10239" s="26" t="str">
        <f t="shared" si="1"/>
        <v/>
      </c>
      <c r="I10239" s="26" t="str">
        <f t="shared" si="2"/>
        <v/>
      </c>
      <c r="J10239" s="86">
        <f t="shared" si="3"/>
        <v>0</v>
      </c>
      <c r="R10239" s="26"/>
    </row>
    <row r="10240" spans="1:18" ht="15.75" customHeight="1">
      <c r="A10240" s="26"/>
      <c r="B10240" s="86"/>
      <c r="D10240" s="26"/>
      <c r="F10240" s="87" t="str">
        <f t="shared" si="0"/>
        <v/>
      </c>
      <c r="H10240" s="26" t="str">
        <f t="shared" si="1"/>
        <v/>
      </c>
      <c r="I10240" s="26" t="str">
        <f t="shared" si="2"/>
        <v/>
      </c>
      <c r="J10240" s="86">
        <f t="shared" si="3"/>
        <v>0</v>
      </c>
      <c r="R10240" s="26"/>
    </row>
    <row r="10241" spans="1:18" ht="15.75" customHeight="1">
      <c r="A10241" s="26"/>
      <c r="B10241" s="86"/>
      <c r="D10241" s="26"/>
      <c r="F10241" s="87" t="str">
        <f t="shared" si="0"/>
        <v/>
      </c>
      <c r="H10241" s="26" t="str">
        <f t="shared" si="1"/>
        <v/>
      </c>
      <c r="I10241" s="26" t="str">
        <f t="shared" si="2"/>
        <v/>
      </c>
      <c r="J10241" s="86">
        <f t="shared" si="3"/>
        <v>0</v>
      </c>
      <c r="R10241" s="26"/>
    </row>
    <row r="10242" spans="1:18" ht="15.75" customHeight="1">
      <c r="A10242" s="26"/>
      <c r="B10242" s="86"/>
      <c r="D10242" s="26"/>
      <c r="F10242" s="87" t="str">
        <f t="shared" si="0"/>
        <v/>
      </c>
      <c r="H10242" s="26" t="str">
        <f t="shared" si="1"/>
        <v/>
      </c>
      <c r="I10242" s="26" t="str">
        <f t="shared" si="2"/>
        <v/>
      </c>
      <c r="J10242" s="86">
        <f t="shared" si="3"/>
        <v>0</v>
      </c>
      <c r="R10242" s="26"/>
    </row>
    <row r="10243" spans="1:18" ht="15.75" customHeight="1">
      <c r="A10243" s="26"/>
      <c r="B10243" s="86"/>
      <c r="D10243" s="26"/>
      <c r="F10243" s="87" t="str">
        <f t="shared" si="0"/>
        <v/>
      </c>
      <c r="H10243" s="26" t="str">
        <f t="shared" si="1"/>
        <v/>
      </c>
      <c r="I10243" s="26" t="str">
        <f t="shared" si="2"/>
        <v/>
      </c>
      <c r="J10243" s="86">
        <f t="shared" si="3"/>
        <v>0</v>
      </c>
      <c r="R10243" s="26"/>
    </row>
    <row r="10244" spans="1:18" ht="15.75" customHeight="1">
      <c r="A10244" s="26"/>
      <c r="B10244" s="86"/>
      <c r="D10244" s="26"/>
      <c r="F10244" s="87" t="str">
        <f t="shared" si="0"/>
        <v/>
      </c>
      <c r="H10244" s="26" t="str">
        <f t="shared" si="1"/>
        <v/>
      </c>
      <c r="I10244" s="26" t="str">
        <f t="shared" si="2"/>
        <v/>
      </c>
      <c r="J10244" s="86">
        <f t="shared" si="3"/>
        <v>0</v>
      </c>
      <c r="R10244" s="26"/>
    </row>
    <row r="10245" spans="1:18" ht="15.75" customHeight="1">
      <c r="A10245" s="26"/>
      <c r="B10245" s="86"/>
      <c r="D10245" s="26"/>
      <c r="F10245" s="87" t="str">
        <f t="shared" si="0"/>
        <v/>
      </c>
      <c r="H10245" s="26" t="str">
        <f t="shared" si="1"/>
        <v/>
      </c>
      <c r="I10245" s="26" t="str">
        <f t="shared" si="2"/>
        <v/>
      </c>
      <c r="J10245" s="86">
        <f t="shared" si="3"/>
        <v>0</v>
      </c>
      <c r="R10245" s="26"/>
    </row>
    <row r="10246" spans="1:18" ht="15.75" customHeight="1">
      <c r="A10246" s="26"/>
      <c r="B10246" s="86"/>
      <c r="D10246" s="26"/>
      <c r="F10246" s="87" t="str">
        <f t="shared" si="0"/>
        <v/>
      </c>
      <c r="H10246" s="26" t="str">
        <f t="shared" si="1"/>
        <v/>
      </c>
      <c r="I10246" s="26" t="str">
        <f t="shared" si="2"/>
        <v/>
      </c>
      <c r="J10246" s="86">
        <f t="shared" si="3"/>
        <v>0</v>
      </c>
      <c r="R10246" s="26"/>
    </row>
    <row r="10247" spans="1:18" ht="15.75" customHeight="1">
      <c r="A10247" s="26"/>
      <c r="B10247" s="86"/>
      <c r="D10247" s="26"/>
      <c r="F10247" s="87" t="str">
        <f t="shared" si="0"/>
        <v/>
      </c>
      <c r="H10247" s="26" t="str">
        <f t="shared" si="1"/>
        <v/>
      </c>
      <c r="I10247" s="26" t="str">
        <f t="shared" si="2"/>
        <v/>
      </c>
      <c r="J10247" s="86">
        <f t="shared" si="3"/>
        <v>0</v>
      </c>
      <c r="R10247" s="26"/>
    </row>
    <row r="10248" spans="1:18" ht="15.75" customHeight="1">
      <c r="A10248" s="26"/>
      <c r="B10248" s="86"/>
      <c r="D10248" s="26"/>
      <c r="F10248" s="87" t="str">
        <f t="shared" si="0"/>
        <v/>
      </c>
      <c r="H10248" s="26" t="str">
        <f t="shared" si="1"/>
        <v/>
      </c>
      <c r="I10248" s="26" t="str">
        <f t="shared" si="2"/>
        <v/>
      </c>
      <c r="J10248" s="86">
        <f t="shared" si="3"/>
        <v>0</v>
      </c>
      <c r="R10248" s="26"/>
    </row>
    <row r="10249" spans="1:18" ht="15.75" customHeight="1">
      <c r="A10249" s="26"/>
      <c r="B10249" s="86"/>
      <c r="D10249" s="26"/>
      <c r="F10249" s="87" t="str">
        <f t="shared" si="0"/>
        <v/>
      </c>
      <c r="H10249" s="26" t="str">
        <f t="shared" si="1"/>
        <v/>
      </c>
      <c r="I10249" s="26" t="str">
        <f t="shared" si="2"/>
        <v/>
      </c>
      <c r="J10249" s="86">
        <f t="shared" si="3"/>
        <v>0</v>
      </c>
      <c r="R10249" s="26"/>
    </row>
    <row r="10250" spans="1:18" ht="15.75" customHeight="1">
      <c r="A10250" s="26"/>
      <c r="B10250" s="86"/>
      <c r="D10250" s="26"/>
      <c r="F10250" s="87" t="str">
        <f t="shared" si="0"/>
        <v/>
      </c>
      <c r="H10250" s="26" t="str">
        <f t="shared" si="1"/>
        <v/>
      </c>
      <c r="I10250" s="26" t="str">
        <f t="shared" si="2"/>
        <v/>
      </c>
      <c r="J10250" s="86">
        <f t="shared" si="3"/>
        <v>0</v>
      </c>
      <c r="R10250" s="26"/>
    </row>
    <row r="10251" spans="1:18" ht="15.75" customHeight="1">
      <c r="A10251" s="26"/>
      <c r="B10251" s="86"/>
      <c r="D10251" s="26"/>
      <c r="F10251" s="87" t="str">
        <f t="shared" si="0"/>
        <v/>
      </c>
      <c r="H10251" s="26" t="str">
        <f t="shared" si="1"/>
        <v/>
      </c>
      <c r="I10251" s="26" t="str">
        <f t="shared" si="2"/>
        <v/>
      </c>
      <c r="J10251" s="86">
        <f t="shared" si="3"/>
        <v>0</v>
      </c>
      <c r="R10251" s="26"/>
    </row>
    <row r="10252" spans="1:18" ht="15.75" customHeight="1">
      <c r="A10252" s="26"/>
      <c r="B10252" s="86"/>
      <c r="D10252" s="26"/>
      <c r="F10252" s="87" t="str">
        <f t="shared" si="0"/>
        <v/>
      </c>
      <c r="H10252" s="26" t="str">
        <f t="shared" si="1"/>
        <v/>
      </c>
      <c r="I10252" s="26" t="str">
        <f t="shared" si="2"/>
        <v/>
      </c>
      <c r="J10252" s="86">
        <f t="shared" si="3"/>
        <v>0</v>
      </c>
      <c r="R10252" s="26"/>
    </row>
    <row r="10253" spans="1:18" ht="15.75" customHeight="1">
      <c r="A10253" s="26"/>
      <c r="B10253" s="86"/>
      <c r="D10253" s="26"/>
      <c r="F10253" s="87" t="str">
        <f t="shared" si="0"/>
        <v/>
      </c>
      <c r="H10253" s="26" t="str">
        <f t="shared" si="1"/>
        <v/>
      </c>
      <c r="I10253" s="26" t="str">
        <f t="shared" si="2"/>
        <v/>
      </c>
      <c r="J10253" s="86">
        <f t="shared" si="3"/>
        <v>0</v>
      </c>
      <c r="R10253" s="26"/>
    </row>
    <row r="10254" spans="1:18" ht="15.75" customHeight="1">
      <c r="A10254" s="26"/>
      <c r="B10254" s="86"/>
      <c r="D10254" s="26"/>
      <c r="F10254" s="87" t="str">
        <f t="shared" si="0"/>
        <v/>
      </c>
      <c r="H10254" s="26" t="str">
        <f t="shared" si="1"/>
        <v/>
      </c>
      <c r="I10254" s="26" t="str">
        <f t="shared" si="2"/>
        <v/>
      </c>
      <c r="J10254" s="86">
        <f t="shared" si="3"/>
        <v>0</v>
      </c>
      <c r="R10254" s="26"/>
    </row>
    <row r="10255" spans="1:18" ht="15.75" customHeight="1">
      <c r="A10255" s="26"/>
      <c r="B10255" s="86"/>
      <c r="D10255" s="26"/>
      <c r="F10255" s="87" t="str">
        <f t="shared" si="0"/>
        <v/>
      </c>
      <c r="H10255" s="26" t="str">
        <f t="shared" si="1"/>
        <v/>
      </c>
      <c r="I10255" s="26" t="str">
        <f t="shared" si="2"/>
        <v/>
      </c>
      <c r="J10255" s="86">
        <f t="shared" si="3"/>
        <v>0</v>
      </c>
      <c r="R10255" s="26"/>
    </row>
    <row r="10256" spans="1:18" ht="15.75" customHeight="1">
      <c r="A10256" s="26"/>
      <c r="B10256" s="86"/>
      <c r="D10256" s="26"/>
      <c r="F10256" s="87" t="str">
        <f t="shared" si="0"/>
        <v/>
      </c>
      <c r="H10256" s="26" t="str">
        <f t="shared" si="1"/>
        <v/>
      </c>
      <c r="I10256" s="26" t="str">
        <f t="shared" si="2"/>
        <v/>
      </c>
      <c r="J10256" s="86">
        <f t="shared" si="3"/>
        <v>0</v>
      </c>
      <c r="R10256" s="26"/>
    </row>
    <row r="10257" spans="1:18" ht="15.75" customHeight="1">
      <c r="A10257" s="26"/>
      <c r="B10257" s="86"/>
      <c r="D10257" s="26"/>
      <c r="F10257" s="87" t="str">
        <f t="shared" si="0"/>
        <v/>
      </c>
      <c r="H10257" s="26" t="str">
        <f t="shared" si="1"/>
        <v/>
      </c>
      <c r="I10257" s="26" t="str">
        <f t="shared" si="2"/>
        <v/>
      </c>
      <c r="J10257" s="86">
        <f t="shared" si="3"/>
        <v>0</v>
      </c>
      <c r="R10257" s="26"/>
    </row>
    <row r="10258" spans="1:18" ht="15.75" customHeight="1">
      <c r="A10258" s="26"/>
      <c r="B10258" s="86"/>
      <c r="D10258" s="26"/>
      <c r="F10258" s="87" t="str">
        <f t="shared" si="0"/>
        <v/>
      </c>
      <c r="H10258" s="26" t="str">
        <f t="shared" si="1"/>
        <v/>
      </c>
      <c r="I10258" s="26" t="str">
        <f t="shared" si="2"/>
        <v/>
      </c>
      <c r="J10258" s="86">
        <f t="shared" si="3"/>
        <v>0</v>
      </c>
      <c r="R10258" s="26"/>
    </row>
    <row r="10259" spans="1:18" ht="15.75" customHeight="1">
      <c r="A10259" s="26"/>
      <c r="B10259" s="86"/>
      <c r="D10259" s="26"/>
      <c r="F10259" s="87" t="str">
        <f t="shared" si="0"/>
        <v/>
      </c>
      <c r="H10259" s="26" t="str">
        <f t="shared" si="1"/>
        <v/>
      </c>
      <c r="I10259" s="26" t="str">
        <f t="shared" si="2"/>
        <v/>
      </c>
      <c r="J10259" s="86">
        <f t="shared" si="3"/>
        <v>0</v>
      </c>
      <c r="R10259" s="26"/>
    </row>
    <row r="10260" spans="1:18" ht="15.75" customHeight="1">
      <c r="A10260" s="26"/>
      <c r="B10260" s="86"/>
      <c r="D10260" s="26"/>
      <c r="F10260" s="87" t="str">
        <f t="shared" si="0"/>
        <v/>
      </c>
      <c r="H10260" s="26" t="str">
        <f t="shared" si="1"/>
        <v/>
      </c>
      <c r="I10260" s="26" t="str">
        <f t="shared" si="2"/>
        <v/>
      </c>
      <c r="J10260" s="86">
        <f t="shared" si="3"/>
        <v>0</v>
      </c>
      <c r="R10260" s="26"/>
    </row>
    <row r="10261" spans="1:18" ht="15.75" customHeight="1">
      <c r="A10261" s="26"/>
      <c r="B10261" s="86"/>
      <c r="D10261" s="26"/>
      <c r="F10261" s="87" t="str">
        <f t="shared" si="0"/>
        <v/>
      </c>
      <c r="H10261" s="26" t="str">
        <f t="shared" si="1"/>
        <v/>
      </c>
      <c r="I10261" s="26" t="str">
        <f t="shared" si="2"/>
        <v/>
      </c>
      <c r="J10261" s="86">
        <f t="shared" si="3"/>
        <v>0</v>
      </c>
      <c r="R10261" s="26"/>
    </row>
    <row r="10262" spans="1:18" ht="15.75" customHeight="1">
      <c r="A10262" s="26"/>
      <c r="B10262" s="86"/>
      <c r="D10262" s="26"/>
      <c r="F10262" s="87" t="str">
        <f t="shared" si="0"/>
        <v/>
      </c>
      <c r="H10262" s="26" t="str">
        <f t="shared" si="1"/>
        <v/>
      </c>
      <c r="I10262" s="26" t="str">
        <f t="shared" si="2"/>
        <v/>
      </c>
      <c r="J10262" s="86">
        <f t="shared" si="3"/>
        <v>0</v>
      </c>
      <c r="R10262" s="26"/>
    </row>
    <row r="10263" spans="1:18" ht="15.75" customHeight="1">
      <c r="A10263" s="26"/>
      <c r="B10263" s="86"/>
      <c r="D10263" s="26"/>
      <c r="F10263" s="87" t="str">
        <f t="shared" si="0"/>
        <v/>
      </c>
      <c r="H10263" s="26" t="str">
        <f t="shared" si="1"/>
        <v/>
      </c>
      <c r="I10263" s="26" t="str">
        <f t="shared" si="2"/>
        <v/>
      </c>
      <c r="J10263" s="86">
        <f t="shared" si="3"/>
        <v>0</v>
      </c>
      <c r="R10263" s="26"/>
    </row>
    <row r="10264" spans="1:18" ht="15.75" customHeight="1">
      <c r="A10264" s="26"/>
      <c r="B10264" s="86"/>
      <c r="D10264" s="26"/>
      <c r="F10264" s="87" t="str">
        <f t="shared" si="0"/>
        <v/>
      </c>
      <c r="H10264" s="26" t="str">
        <f t="shared" si="1"/>
        <v/>
      </c>
      <c r="I10264" s="26" t="str">
        <f t="shared" si="2"/>
        <v/>
      </c>
      <c r="J10264" s="86">
        <f t="shared" si="3"/>
        <v>0</v>
      </c>
      <c r="R10264" s="26"/>
    </row>
    <row r="10265" spans="1:18" ht="15.75" customHeight="1">
      <c r="A10265" s="26"/>
      <c r="B10265" s="86"/>
      <c r="D10265" s="26"/>
      <c r="F10265" s="87" t="str">
        <f t="shared" si="0"/>
        <v/>
      </c>
      <c r="H10265" s="26" t="str">
        <f t="shared" si="1"/>
        <v/>
      </c>
      <c r="I10265" s="26" t="str">
        <f t="shared" si="2"/>
        <v/>
      </c>
      <c r="J10265" s="86">
        <f t="shared" si="3"/>
        <v>0</v>
      </c>
      <c r="R10265" s="26"/>
    </row>
    <row r="10266" spans="1:18" ht="15.75" customHeight="1">
      <c r="A10266" s="26"/>
      <c r="B10266" s="86"/>
      <c r="D10266" s="26"/>
      <c r="F10266" s="87" t="str">
        <f t="shared" si="0"/>
        <v/>
      </c>
      <c r="H10266" s="26" t="str">
        <f t="shared" si="1"/>
        <v/>
      </c>
      <c r="I10266" s="26" t="str">
        <f t="shared" si="2"/>
        <v/>
      </c>
      <c r="J10266" s="86">
        <f t="shared" si="3"/>
        <v>0</v>
      </c>
      <c r="R10266" s="26"/>
    </row>
    <row r="10267" spans="1:18" ht="15.75" customHeight="1">
      <c r="A10267" s="26"/>
      <c r="B10267" s="86"/>
      <c r="D10267" s="26"/>
      <c r="F10267" s="87" t="str">
        <f t="shared" si="0"/>
        <v/>
      </c>
      <c r="H10267" s="26" t="str">
        <f t="shared" si="1"/>
        <v/>
      </c>
      <c r="I10267" s="26" t="str">
        <f t="shared" si="2"/>
        <v/>
      </c>
      <c r="J10267" s="86">
        <f t="shared" si="3"/>
        <v>0</v>
      </c>
      <c r="R10267" s="26"/>
    </row>
    <row r="10268" spans="1:18" ht="15.75" customHeight="1">
      <c r="A10268" s="26"/>
      <c r="B10268" s="86"/>
      <c r="D10268" s="26"/>
      <c r="F10268" s="87" t="str">
        <f t="shared" si="0"/>
        <v/>
      </c>
      <c r="H10268" s="26" t="str">
        <f t="shared" si="1"/>
        <v/>
      </c>
      <c r="I10268" s="26" t="str">
        <f t="shared" si="2"/>
        <v/>
      </c>
      <c r="J10268" s="86">
        <f t="shared" si="3"/>
        <v>0</v>
      </c>
      <c r="R10268" s="26"/>
    </row>
    <row r="10269" spans="1:18" ht="15.75" customHeight="1">
      <c r="A10269" s="26"/>
      <c r="B10269" s="86"/>
      <c r="D10269" s="26"/>
      <c r="F10269" s="87" t="str">
        <f t="shared" si="0"/>
        <v/>
      </c>
      <c r="H10269" s="26" t="str">
        <f t="shared" si="1"/>
        <v/>
      </c>
      <c r="I10269" s="26" t="str">
        <f t="shared" si="2"/>
        <v/>
      </c>
      <c r="J10269" s="86">
        <f t="shared" si="3"/>
        <v>0</v>
      </c>
      <c r="R10269" s="26"/>
    </row>
    <row r="10270" spans="1:18" ht="15.75" customHeight="1">
      <c r="A10270" s="26"/>
      <c r="B10270" s="86"/>
      <c r="D10270" s="26"/>
      <c r="F10270" s="87" t="str">
        <f t="shared" si="0"/>
        <v/>
      </c>
      <c r="H10270" s="26" t="str">
        <f t="shared" si="1"/>
        <v/>
      </c>
      <c r="I10270" s="26" t="str">
        <f t="shared" si="2"/>
        <v/>
      </c>
      <c r="J10270" s="86">
        <f t="shared" si="3"/>
        <v>0</v>
      </c>
      <c r="R10270" s="26"/>
    </row>
    <row r="10271" spans="1:18" ht="15.75" customHeight="1">
      <c r="A10271" s="26"/>
      <c r="B10271" s="86"/>
      <c r="D10271" s="26"/>
      <c r="F10271" s="87" t="str">
        <f t="shared" si="0"/>
        <v/>
      </c>
      <c r="H10271" s="26" t="str">
        <f t="shared" si="1"/>
        <v/>
      </c>
      <c r="I10271" s="26" t="str">
        <f t="shared" si="2"/>
        <v/>
      </c>
      <c r="J10271" s="86">
        <f t="shared" si="3"/>
        <v>0</v>
      </c>
      <c r="R10271" s="26"/>
    </row>
    <row r="10272" spans="1:18" ht="15.75" customHeight="1">
      <c r="A10272" s="26"/>
      <c r="B10272" s="86"/>
      <c r="D10272" s="26"/>
      <c r="F10272" s="87" t="str">
        <f t="shared" si="0"/>
        <v/>
      </c>
      <c r="H10272" s="26" t="str">
        <f t="shared" si="1"/>
        <v/>
      </c>
      <c r="I10272" s="26" t="str">
        <f t="shared" si="2"/>
        <v/>
      </c>
      <c r="J10272" s="86">
        <f t="shared" si="3"/>
        <v>0</v>
      </c>
      <c r="R10272" s="26"/>
    </row>
    <row r="10273" spans="1:18" ht="15.75" customHeight="1">
      <c r="A10273" s="26"/>
      <c r="B10273" s="86"/>
      <c r="D10273" s="26"/>
      <c r="F10273" s="87" t="str">
        <f t="shared" si="0"/>
        <v/>
      </c>
      <c r="H10273" s="26" t="str">
        <f t="shared" si="1"/>
        <v/>
      </c>
      <c r="I10273" s="26" t="str">
        <f t="shared" si="2"/>
        <v/>
      </c>
      <c r="J10273" s="86">
        <f t="shared" si="3"/>
        <v>0</v>
      </c>
      <c r="R10273" s="26"/>
    </row>
    <row r="10274" spans="1:18" ht="15.75" customHeight="1">
      <c r="A10274" s="26"/>
      <c r="B10274" s="86"/>
      <c r="D10274" s="26"/>
      <c r="F10274" s="87" t="str">
        <f t="shared" si="0"/>
        <v/>
      </c>
      <c r="H10274" s="26" t="str">
        <f t="shared" si="1"/>
        <v/>
      </c>
      <c r="I10274" s="26" t="str">
        <f t="shared" si="2"/>
        <v/>
      </c>
      <c r="J10274" s="86">
        <f t="shared" si="3"/>
        <v>0</v>
      </c>
      <c r="R10274" s="26"/>
    </row>
    <row r="10275" spans="1:18" ht="15.75" customHeight="1">
      <c r="A10275" s="26"/>
      <c r="B10275" s="86"/>
      <c r="D10275" s="26"/>
      <c r="F10275" s="87" t="str">
        <f t="shared" si="0"/>
        <v/>
      </c>
      <c r="H10275" s="26" t="str">
        <f t="shared" si="1"/>
        <v/>
      </c>
      <c r="I10275" s="26" t="str">
        <f t="shared" si="2"/>
        <v/>
      </c>
      <c r="J10275" s="86">
        <f t="shared" si="3"/>
        <v>0</v>
      </c>
      <c r="R10275" s="26"/>
    </row>
    <row r="10276" spans="1:18" ht="15.75" customHeight="1">
      <c r="A10276" s="26"/>
      <c r="B10276" s="86"/>
      <c r="D10276" s="26"/>
      <c r="F10276" s="87" t="str">
        <f t="shared" si="0"/>
        <v/>
      </c>
      <c r="H10276" s="26" t="str">
        <f t="shared" si="1"/>
        <v/>
      </c>
      <c r="I10276" s="26" t="str">
        <f t="shared" si="2"/>
        <v/>
      </c>
      <c r="J10276" s="86">
        <f t="shared" si="3"/>
        <v>0</v>
      </c>
      <c r="R10276" s="26"/>
    </row>
    <row r="10277" spans="1:18" ht="15.75" customHeight="1">
      <c r="A10277" s="26"/>
      <c r="B10277" s="86"/>
      <c r="D10277" s="26"/>
      <c r="F10277" s="87" t="str">
        <f t="shared" si="0"/>
        <v/>
      </c>
      <c r="H10277" s="26" t="str">
        <f t="shared" si="1"/>
        <v/>
      </c>
      <c r="I10277" s="26" t="str">
        <f t="shared" si="2"/>
        <v/>
      </c>
      <c r="J10277" s="86">
        <f t="shared" si="3"/>
        <v>0</v>
      </c>
      <c r="R10277" s="26"/>
    </row>
    <row r="10278" spans="1:18" ht="15.75" customHeight="1">
      <c r="A10278" s="26"/>
      <c r="B10278" s="86"/>
      <c r="D10278" s="26"/>
      <c r="F10278" s="87" t="str">
        <f t="shared" si="0"/>
        <v/>
      </c>
      <c r="H10278" s="26" t="str">
        <f t="shared" si="1"/>
        <v/>
      </c>
      <c r="I10278" s="26" t="str">
        <f t="shared" si="2"/>
        <v/>
      </c>
      <c r="J10278" s="86">
        <f t="shared" si="3"/>
        <v>0</v>
      </c>
      <c r="R10278" s="26"/>
    </row>
    <row r="10279" spans="1:18" ht="15.75" customHeight="1">
      <c r="A10279" s="26"/>
      <c r="B10279" s="86"/>
      <c r="D10279" s="26"/>
      <c r="F10279" s="87" t="str">
        <f t="shared" si="0"/>
        <v/>
      </c>
      <c r="H10279" s="26" t="str">
        <f t="shared" si="1"/>
        <v/>
      </c>
      <c r="I10279" s="26" t="str">
        <f t="shared" si="2"/>
        <v/>
      </c>
      <c r="J10279" s="86">
        <f t="shared" si="3"/>
        <v>0</v>
      </c>
      <c r="R10279" s="26"/>
    </row>
    <row r="10280" spans="1:18" ht="15.75" customHeight="1">
      <c r="A10280" s="26"/>
      <c r="B10280" s="86"/>
      <c r="D10280" s="26"/>
      <c r="F10280" s="87" t="str">
        <f t="shared" si="0"/>
        <v/>
      </c>
      <c r="H10280" s="26" t="str">
        <f t="shared" si="1"/>
        <v/>
      </c>
      <c r="I10280" s="26" t="str">
        <f t="shared" si="2"/>
        <v/>
      </c>
      <c r="J10280" s="86">
        <f t="shared" si="3"/>
        <v>0</v>
      </c>
      <c r="R10280" s="26"/>
    </row>
    <row r="10281" spans="1:18" ht="15.75" customHeight="1">
      <c r="A10281" s="26"/>
      <c r="B10281" s="86"/>
      <c r="D10281" s="26"/>
      <c r="F10281" s="87" t="str">
        <f t="shared" si="0"/>
        <v/>
      </c>
      <c r="H10281" s="26" t="str">
        <f t="shared" si="1"/>
        <v/>
      </c>
      <c r="I10281" s="26" t="str">
        <f t="shared" si="2"/>
        <v/>
      </c>
      <c r="J10281" s="86">
        <f t="shared" si="3"/>
        <v>0</v>
      </c>
      <c r="R10281" s="26"/>
    </row>
    <row r="10282" spans="1:18" ht="15.75" customHeight="1">
      <c r="A10282" s="26"/>
      <c r="B10282" s="86"/>
      <c r="D10282" s="26"/>
      <c r="F10282" s="87" t="str">
        <f t="shared" si="0"/>
        <v/>
      </c>
      <c r="H10282" s="26" t="str">
        <f t="shared" si="1"/>
        <v/>
      </c>
      <c r="I10282" s="26" t="str">
        <f t="shared" si="2"/>
        <v/>
      </c>
      <c r="J10282" s="86">
        <f t="shared" si="3"/>
        <v>0</v>
      </c>
      <c r="R10282" s="26"/>
    </row>
    <row r="10283" spans="1:18" ht="15.75" customHeight="1">
      <c r="A10283" s="26"/>
      <c r="B10283" s="86"/>
      <c r="D10283" s="26"/>
      <c r="F10283" s="87" t="str">
        <f t="shared" si="0"/>
        <v/>
      </c>
      <c r="H10283" s="26" t="str">
        <f t="shared" si="1"/>
        <v/>
      </c>
      <c r="I10283" s="26" t="str">
        <f t="shared" si="2"/>
        <v/>
      </c>
      <c r="J10283" s="86">
        <f t="shared" si="3"/>
        <v>0</v>
      </c>
      <c r="R10283" s="26"/>
    </row>
    <row r="10284" spans="1:18" ht="15.75" customHeight="1">
      <c r="A10284" s="26"/>
      <c r="B10284" s="86"/>
      <c r="D10284" s="26"/>
      <c r="F10284" s="87" t="str">
        <f t="shared" si="0"/>
        <v/>
      </c>
      <c r="H10284" s="26" t="str">
        <f t="shared" si="1"/>
        <v/>
      </c>
      <c r="I10284" s="26" t="str">
        <f t="shared" si="2"/>
        <v/>
      </c>
      <c r="J10284" s="86">
        <f t="shared" si="3"/>
        <v>0</v>
      </c>
      <c r="R10284" s="26"/>
    </row>
    <row r="10285" spans="1:18" ht="15.75" customHeight="1">
      <c r="A10285" s="26"/>
      <c r="B10285" s="86"/>
      <c r="D10285" s="26"/>
      <c r="F10285" s="87" t="str">
        <f t="shared" si="0"/>
        <v/>
      </c>
      <c r="H10285" s="26" t="str">
        <f t="shared" si="1"/>
        <v/>
      </c>
      <c r="I10285" s="26" t="str">
        <f t="shared" si="2"/>
        <v/>
      </c>
      <c r="J10285" s="86">
        <f t="shared" si="3"/>
        <v>0</v>
      </c>
      <c r="R10285" s="26"/>
    </row>
    <row r="10286" spans="1:18" ht="15.75" customHeight="1">
      <c r="A10286" s="26"/>
      <c r="B10286" s="86"/>
      <c r="D10286" s="26"/>
      <c r="F10286" s="87" t="str">
        <f t="shared" si="0"/>
        <v/>
      </c>
      <c r="H10286" s="26" t="str">
        <f t="shared" si="1"/>
        <v/>
      </c>
      <c r="I10286" s="26" t="str">
        <f t="shared" si="2"/>
        <v/>
      </c>
      <c r="J10286" s="86">
        <f t="shared" si="3"/>
        <v>0</v>
      </c>
      <c r="R10286" s="26"/>
    </row>
    <row r="10287" spans="1:18" ht="15.75" customHeight="1">
      <c r="A10287" s="26"/>
      <c r="B10287" s="86"/>
      <c r="D10287" s="26"/>
      <c r="F10287" s="87" t="str">
        <f t="shared" si="0"/>
        <v/>
      </c>
      <c r="H10287" s="26" t="str">
        <f t="shared" si="1"/>
        <v/>
      </c>
      <c r="I10287" s="26" t="str">
        <f t="shared" si="2"/>
        <v/>
      </c>
      <c r="J10287" s="86">
        <f t="shared" si="3"/>
        <v>0</v>
      </c>
      <c r="R10287" s="26"/>
    </row>
    <row r="10288" spans="1:18" ht="15.75" customHeight="1">
      <c r="A10288" s="26"/>
      <c r="B10288" s="86"/>
      <c r="D10288" s="26"/>
      <c r="F10288" s="87" t="str">
        <f t="shared" si="0"/>
        <v/>
      </c>
      <c r="H10288" s="26" t="str">
        <f t="shared" si="1"/>
        <v/>
      </c>
      <c r="I10288" s="26" t="str">
        <f t="shared" si="2"/>
        <v/>
      </c>
      <c r="J10288" s="86">
        <f t="shared" si="3"/>
        <v>0</v>
      </c>
      <c r="R10288" s="26"/>
    </row>
    <row r="10289" spans="1:18" ht="15.75" customHeight="1">
      <c r="A10289" s="26"/>
      <c r="B10289" s="86"/>
      <c r="D10289" s="26"/>
      <c r="F10289" s="87" t="str">
        <f t="shared" si="0"/>
        <v/>
      </c>
      <c r="H10289" s="26" t="str">
        <f t="shared" si="1"/>
        <v/>
      </c>
      <c r="I10289" s="26" t="str">
        <f t="shared" si="2"/>
        <v/>
      </c>
      <c r="J10289" s="86">
        <f t="shared" si="3"/>
        <v>0</v>
      </c>
      <c r="R10289" s="26"/>
    </row>
    <row r="10290" spans="1:18" ht="15.75" customHeight="1">
      <c r="A10290" s="26"/>
      <c r="B10290" s="86"/>
      <c r="D10290" s="26"/>
      <c r="F10290" s="87" t="str">
        <f t="shared" si="0"/>
        <v/>
      </c>
      <c r="H10290" s="26" t="str">
        <f t="shared" si="1"/>
        <v/>
      </c>
      <c r="I10290" s="26" t="str">
        <f t="shared" si="2"/>
        <v/>
      </c>
      <c r="J10290" s="86">
        <f t="shared" si="3"/>
        <v>0</v>
      </c>
      <c r="R10290" s="26"/>
    </row>
    <row r="10291" spans="1:18" ht="15.75" customHeight="1">
      <c r="A10291" s="26"/>
      <c r="B10291" s="86"/>
      <c r="D10291" s="26"/>
      <c r="F10291" s="87" t="str">
        <f t="shared" si="0"/>
        <v/>
      </c>
      <c r="H10291" s="26" t="str">
        <f t="shared" si="1"/>
        <v/>
      </c>
      <c r="I10291" s="26" t="str">
        <f t="shared" si="2"/>
        <v/>
      </c>
      <c r="J10291" s="86">
        <f t="shared" si="3"/>
        <v>0</v>
      </c>
      <c r="R10291" s="26"/>
    </row>
    <row r="10292" spans="1:18" ht="15.75" customHeight="1">
      <c r="A10292" s="26"/>
      <c r="B10292" s="86"/>
      <c r="D10292" s="26"/>
      <c r="F10292" s="87" t="str">
        <f t="shared" si="0"/>
        <v/>
      </c>
      <c r="H10292" s="26" t="str">
        <f t="shared" si="1"/>
        <v/>
      </c>
      <c r="I10292" s="26" t="str">
        <f t="shared" si="2"/>
        <v/>
      </c>
      <c r="J10292" s="86">
        <f t="shared" si="3"/>
        <v>0</v>
      </c>
      <c r="R10292" s="26"/>
    </row>
    <row r="10293" spans="1:18" ht="15.75" customHeight="1">
      <c r="A10293" s="26"/>
      <c r="B10293" s="86"/>
      <c r="D10293" s="26"/>
      <c r="F10293" s="87" t="str">
        <f t="shared" si="0"/>
        <v/>
      </c>
      <c r="H10293" s="26" t="str">
        <f t="shared" si="1"/>
        <v/>
      </c>
      <c r="I10293" s="26" t="str">
        <f t="shared" si="2"/>
        <v/>
      </c>
      <c r="J10293" s="86">
        <f t="shared" si="3"/>
        <v>0</v>
      </c>
      <c r="R10293" s="26"/>
    </row>
    <row r="10294" spans="1:18" ht="15.75" customHeight="1">
      <c r="A10294" s="26"/>
      <c r="B10294" s="86"/>
      <c r="D10294" s="26"/>
      <c r="F10294" s="87" t="str">
        <f t="shared" si="0"/>
        <v/>
      </c>
      <c r="H10294" s="26" t="str">
        <f t="shared" si="1"/>
        <v/>
      </c>
      <c r="I10294" s="26" t="str">
        <f t="shared" si="2"/>
        <v/>
      </c>
      <c r="J10294" s="86">
        <f t="shared" si="3"/>
        <v>0</v>
      </c>
      <c r="R10294" s="26"/>
    </row>
    <row r="10295" spans="1:18" ht="15.75" customHeight="1">
      <c r="A10295" s="26"/>
      <c r="B10295" s="86"/>
      <c r="D10295" s="26"/>
      <c r="F10295" s="87" t="str">
        <f t="shared" si="0"/>
        <v/>
      </c>
      <c r="H10295" s="26" t="str">
        <f t="shared" si="1"/>
        <v/>
      </c>
      <c r="I10295" s="26" t="str">
        <f t="shared" si="2"/>
        <v/>
      </c>
      <c r="J10295" s="86">
        <f t="shared" si="3"/>
        <v>0</v>
      </c>
      <c r="R10295" s="26"/>
    </row>
    <row r="10296" spans="1:18" ht="15.75" customHeight="1">
      <c r="A10296" s="26"/>
      <c r="B10296" s="86"/>
      <c r="D10296" s="26"/>
      <c r="F10296" s="87" t="str">
        <f t="shared" si="0"/>
        <v/>
      </c>
      <c r="H10296" s="26" t="str">
        <f t="shared" si="1"/>
        <v/>
      </c>
      <c r="I10296" s="26" t="str">
        <f t="shared" si="2"/>
        <v/>
      </c>
      <c r="J10296" s="86">
        <f t="shared" si="3"/>
        <v>0</v>
      </c>
      <c r="R10296" s="26"/>
    </row>
    <row r="10297" spans="1:18" ht="15.75" customHeight="1">
      <c r="A10297" s="26"/>
      <c r="B10297" s="86"/>
      <c r="D10297" s="26"/>
      <c r="F10297" s="87" t="str">
        <f t="shared" si="0"/>
        <v/>
      </c>
      <c r="H10297" s="26" t="str">
        <f t="shared" si="1"/>
        <v/>
      </c>
      <c r="I10297" s="26" t="str">
        <f t="shared" si="2"/>
        <v/>
      </c>
      <c r="J10297" s="86">
        <f t="shared" si="3"/>
        <v>0</v>
      </c>
      <c r="R10297" s="26"/>
    </row>
    <row r="10298" spans="1:18" ht="15.75" customHeight="1">
      <c r="A10298" s="26"/>
      <c r="B10298" s="86"/>
      <c r="D10298" s="26"/>
      <c r="F10298" s="87" t="str">
        <f t="shared" si="0"/>
        <v/>
      </c>
      <c r="H10298" s="26" t="str">
        <f t="shared" si="1"/>
        <v/>
      </c>
      <c r="I10298" s="26" t="str">
        <f t="shared" si="2"/>
        <v/>
      </c>
      <c r="J10298" s="86">
        <f t="shared" si="3"/>
        <v>0</v>
      </c>
      <c r="R10298" s="26"/>
    </row>
    <row r="10299" spans="1:18" ht="15.75" customHeight="1">
      <c r="A10299" s="26"/>
      <c r="B10299" s="86"/>
      <c r="D10299" s="26"/>
      <c r="F10299" s="87" t="str">
        <f t="shared" si="0"/>
        <v/>
      </c>
      <c r="H10299" s="26" t="str">
        <f t="shared" si="1"/>
        <v/>
      </c>
      <c r="I10299" s="26" t="str">
        <f t="shared" si="2"/>
        <v/>
      </c>
      <c r="J10299" s="86">
        <f t="shared" si="3"/>
        <v>0</v>
      </c>
      <c r="R10299" s="26"/>
    </row>
    <row r="10300" spans="1:18" ht="15.75" customHeight="1">
      <c r="A10300" s="26"/>
      <c r="B10300" s="86"/>
      <c r="D10300" s="26"/>
      <c r="F10300" s="87" t="str">
        <f t="shared" si="0"/>
        <v/>
      </c>
      <c r="H10300" s="26" t="str">
        <f t="shared" si="1"/>
        <v/>
      </c>
      <c r="I10300" s="26" t="str">
        <f t="shared" si="2"/>
        <v/>
      </c>
      <c r="J10300" s="86">
        <f t="shared" si="3"/>
        <v>0</v>
      </c>
      <c r="R10300" s="26"/>
    </row>
    <row r="10301" spans="1:18" ht="15.75" customHeight="1">
      <c r="A10301" s="26"/>
      <c r="B10301" s="86"/>
      <c r="D10301" s="26"/>
      <c r="F10301" s="87" t="str">
        <f t="shared" si="0"/>
        <v/>
      </c>
      <c r="H10301" s="26" t="str">
        <f t="shared" si="1"/>
        <v/>
      </c>
      <c r="I10301" s="26" t="str">
        <f t="shared" si="2"/>
        <v/>
      </c>
      <c r="J10301" s="86">
        <f t="shared" si="3"/>
        <v>0</v>
      </c>
      <c r="R10301" s="26"/>
    </row>
    <row r="10302" spans="1:18" ht="15.75" customHeight="1">
      <c r="A10302" s="26"/>
      <c r="B10302" s="86"/>
      <c r="D10302" s="26"/>
      <c r="F10302" s="87" t="str">
        <f t="shared" si="0"/>
        <v/>
      </c>
      <c r="H10302" s="26" t="str">
        <f t="shared" si="1"/>
        <v/>
      </c>
      <c r="I10302" s="26" t="str">
        <f t="shared" si="2"/>
        <v/>
      </c>
      <c r="J10302" s="86">
        <f t="shared" si="3"/>
        <v>0</v>
      </c>
      <c r="R10302" s="26"/>
    </row>
    <row r="10303" spans="1:18" ht="15.75" customHeight="1">
      <c r="A10303" s="26"/>
      <c r="B10303" s="86"/>
      <c r="D10303" s="26"/>
      <c r="F10303" s="87" t="str">
        <f t="shared" si="0"/>
        <v/>
      </c>
      <c r="H10303" s="26" t="str">
        <f t="shared" si="1"/>
        <v/>
      </c>
      <c r="I10303" s="26" t="str">
        <f t="shared" si="2"/>
        <v/>
      </c>
      <c r="J10303" s="86">
        <f t="shared" si="3"/>
        <v>0</v>
      </c>
      <c r="R10303" s="26"/>
    </row>
    <row r="10304" spans="1:18" ht="15.75" customHeight="1">
      <c r="A10304" s="26"/>
      <c r="B10304" s="86"/>
      <c r="D10304" s="26"/>
      <c r="F10304" s="87" t="str">
        <f t="shared" si="0"/>
        <v/>
      </c>
      <c r="H10304" s="26" t="str">
        <f t="shared" si="1"/>
        <v/>
      </c>
      <c r="I10304" s="26" t="str">
        <f t="shared" si="2"/>
        <v/>
      </c>
      <c r="J10304" s="86">
        <f t="shared" si="3"/>
        <v>0</v>
      </c>
      <c r="R10304" s="26"/>
    </row>
    <row r="10305" spans="1:18" ht="15.75" customHeight="1">
      <c r="A10305" s="26"/>
      <c r="B10305" s="86"/>
      <c r="D10305" s="26"/>
      <c r="F10305" s="87" t="str">
        <f t="shared" si="0"/>
        <v/>
      </c>
      <c r="H10305" s="26" t="str">
        <f t="shared" si="1"/>
        <v/>
      </c>
      <c r="I10305" s="26" t="str">
        <f t="shared" si="2"/>
        <v/>
      </c>
      <c r="J10305" s="86">
        <f t="shared" si="3"/>
        <v>0</v>
      </c>
      <c r="R10305" s="26"/>
    </row>
    <row r="10306" spans="1:18" ht="15.75" customHeight="1">
      <c r="A10306" s="26"/>
      <c r="B10306" s="86"/>
      <c r="D10306" s="26"/>
      <c r="F10306" s="87" t="str">
        <f t="shared" si="0"/>
        <v/>
      </c>
      <c r="H10306" s="26" t="str">
        <f t="shared" si="1"/>
        <v/>
      </c>
      <c r="I10306" s="26" t="str">
        <f t="shared" si="2"/>
        <v/>
      </c>
      <c r="J10306" s="86">
        <f t="shared" si="3"/>
        <v>0</v>
      </c>
      <c r="R10306" s="26"/>
    </row>
    <row r="10307" spans="1:18" ht="15.75" customHeight="1">
      <c r="A10307" s="26"/>
      <c r="B10307" s="86"/>
      <c r="D10307" s="26"/>
      <c r="F10307" s="87" t="str">
        <f t="shared" si="0"/>
        <v/>
      </c>
      <c r="H10307" s="26" t="str">
        <f t="shared" si="1"/>
        <v/>
      </c>
      <c r="I10307" s="26" t="str">
        <f t="shared" si="2"/>
        <v/>
      </c>
      <c r="J10307" s="86">
        <f t="shared" si="3"/>
        <v>0</v>
      </c>
      <c r="R10307" s="26"/>
    </row>
    <row r="10308" spans="1:18" ht="15.75" customHeight="1">
      <c r="A10308" s="26"/>
      <c r="B10308" s="86"/>
      <c r="D10308" s="26"/>
      <c r="F10308" s="87" t="str">
        <f t="shared" si="0"/>
        <v/>
      </c>
      <c r="H10308" s="26" t="str">
        <f t="shared" si="1"/>
        <v/>
      </c>
      <c r="I10308" s="26" t="str">
        <f t="shared" si="2"/>
        <v/>
      </c>
      <c r="J10308" s="86">
        <f t="shared" si="3"/>
        <v>0</v>
      </c>
      <c r="R10308" s="26"/>
    </row>
    <row r="10309" spans="1:18" ht="15.75" customHeight="1">
      <c r="A10309" s="26"/>
      <c r="B10309" s="86"/>
      <c r="D10309" s="26"/>
      <c r="F10309" s="87" t="str">
        <f t="shared" si="0"/>
        <v/>
      </c>
      <c r="H10309" s="26" t="str">
        <f t="shared" si="1"/>
        <v/>
      </c>
      <c r="I10309" s="26" t="str">
        <f t="shared" si="2"/>
        <v/>
      </c>
      <c r="J10309" s="86">
        <f t="shared" si="3"/>
        <v>0</v>
      </c>
      <c r="R10309" s="26"/>
    </row>
    <row r="10310" spans="1:18" ht="15.75" customHeight="1">
      <c r="A10310" s="26"/>
      <c r="B10310" s="86"/>
      <c r="D10310" s="26"/>
      <c r="F10310" s="87" t="str">
        <f t="shared" si="0"/>
        <v/>
      </c>
      <c r="H10310" s="26" t="str">
        <f t="shared" si="1"/>
        <v/>
      </c>
      <c r="I10310" s="26" t="str">
        <f t="shared" si="2"/>
        <v/>
      </c>
      <c r="J10310" s="86">
        <f t="shared" si="3"/>
        <v>0</v>
      </c>
      <c r="R10310" s="26"/>
    </row>
    <row r="10311" spans="1:18" ht="15.75" customHeight="1">
      <c r="A10311" s="26"/>
      <c r="B10311" s="86"/>
      <c r="D10311" s="26"/>
      <c r="F10311" s="87" t="str">
        <f t="shared" si="0"/>
        <v/>
      </c>
      <c r="H10311" s="26" t="str">
        <f t="shared" si="1"/>
        <v/>
      </c>
      <c r="I10311" s="26" t="str">
        <f t="shared" si="2"/>
        <v/>
      </c>
      <c r="J10311" s="86">
        <f t="shared" si="3"/>
        <v>0</v>
      </c>
      <c r="R10311" s="26"/>
    </row>
    <row r="10312" spans="1:18" ht="15.75" customHeight="1">
      <c r="A10312" s="26"/>
      <c r="B10312" s="86"/>
      <c r="D10312" s="26"/>
      <c r="F10312" s="87" t="str">
        <f t="shared" si="0"/>
        <v/>
      </c>
      <c r="H10312" s="26" t="str">
        <f t="shared" si="1"/>
        <v/>
      </c>
      <c r="I10312" s="26" t="str">
        <f t="shared" si="2"/>
        <v/>
      </c>
      <c r="J10312" s="86">
        <f t="shared" si="3"/>
        <v>0</v>
      </c>
      <c r="R10312" s="26"/>
    </row>
    <row r="10313" spans="1:18" ht="15.75" customHeight="1">
      <c r="A10313" s="26"/>
      <c r="B10313" s="86"/>
      <c r="D10313" s="26"/>
      <c r="F10313" s="87" t="str">
        <f t="shared" si="0"/>
        <v/>
      </c>
      <c r="H10313" s="26" t="str">
        <f t="shared" si="1"/>
        <v/>
      </c>
      <c r="I10313" s="26" t="str">
        <f t="shared" si="2"/>
        <v/>
      </c>
      <c r="J10313" s="86">
        <f t="shared" si="3"/>
        <v>0</v>
      </c>
      <c r="R10313" s="26"/>
    </row>
    <row r="10314" spans="1:18" ht="15.75" customHeight="1">
      <c r="A10314" s="26"/>
      <c r="B10314" s="86"/>
      <c r="D10314" s="26"/>
      <c r="F10314" s="87" t="str">
        <f t="shared" si="0"/>
        <v/>
      </c>
      <c r="H10314" s="26" t="str">
        <f t="shared" si="1"/>
        <v/>
      </c>
      <c r="I10314" s="26" t="str">
        <f t="shared" si="2"/>
        <v/>
      </c>
      <c r="J10314" s="86">
        <f t="shared" si="3"/>
        <v>0</v>
      </c>
      <c r="R10314" s="26"/>
    </row>
    <row r="10315" spans="1:18" ht="15.75" customHeight="1">
      <c r="A10315" s="26"/>
      <c r="B10315" s="86"/>
      <c r="D10315" s="26"/>
      <c r="F10315" s="87" t="str">
        <f t="shared" si="0"/>
        <v/>
      </c>
      <c r="H10315" s="26" t="str">
        <f t="shared" si="1"/>
        <v/>
      </c>
      <c r="I10315" s="26" t="str">
        <f t="shared" si="2"/>
        <v/>
      </c>
      <c r="J10315" s="86">
        <f t="shared" si="3"/>
        <v>0</v>
      </c>
      <c r="R10315" s="26"/>
    </row>
    <row r="10316" spans="1:18" ht="15.75" customHeight="1">
      <c r="A10316" s="26"/>
      <c r="B10316" s="86"/>
      <c r="D10316" s="26"/>
      <c r="F10316" s="87" t="str">
        <f t="shared" si="0"/>
        <v/>
      </c>
      <c r="H10316" s="26" t="str">
        <f t="shared" si="1"/>
        <v/>
      </c>
      <c r="I10316" s="26" t="str">
        <f t="shared" si="2"/>
        <v/>
      </c>
      <c r="J10316" s="86">
        <f t="shared" si="3"/>
        <v>0</v>
      </c>
      <c r="R10316" s="26"/>
    </row>
    <row r="10317" spans="1:18" ht="15.75" customHeight="1">
      <c r="A10317" s="26"/>
      <c r="B10317" s="86"/>
      <c r="D10317" s="26"/>
      <c r="F10317" s="87" t="str">
        <f t="shared" si="0"/>
        <v/>
      </c>
      <c r="H10317" s="26" t="str">
        <f t="shared" si="1"/>
        <v/>
      </c>
      <c r="I10317" s="26" t="str">
        <f t="shared" si="2"/>
        <v/>
      </c>
      <c r="J10317" s="86">
        <f t="shared" si="3"/>
        <v>0</v>
      </c>
      <c r="R10317" s="26"/>
    </row>
    <row r="10318" spans="1:18" ht="15.75" customHeight="1">
      <c r="A10318" s="26"/>
      <c r="B10318" s="86"/>
      <c r="D10318" s="26"/>
      <c r="F10318" s="87" t="str">
        <f t="shared" si="0"/>
        <v/>
      </c>
      <c r="H10318" s="26" t="str">
        <f t="shared" si="1"/>
        <v/>
      </c>
      <c r="I10318" s="26" t="str">
        <f t="shared" si="2"/>
        <v/>
      </c>
      <c r="J10318" s="86">
        <f t="shared" si="3"/>
        <v>0</v>
      </c>
      <c r="R10318" s="26"/>
    </row>
    <row r="10319" spans="1:18" ht="15.75" customHeight="1">
      <c r="A10319" s="26"/>
      <c r="B10319" s="86"/>
      <c r="D10319" s="26"/>
      <c r="F10319" s="87" t="str">
        <f t="shared" si="0"/>
        <v/>
      </c>
      <c r="H10319" s="26" t="str">
        <f t="shared" si="1"/>
        <v/>
      </c>
      <c r="I10319" s="26" t="str">
        <f t="shared" si="2"/>
        <v/>
      </c>
      <c r="J10319" s="86">
        <f t="shared" si="3"/>
        <v>0</v>
      </c>
      <c r="R10319" s="26"/>
    </row>
    <row r="10320" spans="1:18" ht="15.75" customHeight="1">
      <c r="A10320" s="26"/>
      <c r="B10320" s="86"/>
      <c r="D10320" s="26"/>
      <c r="F10320" s="87" t="str">
        <f t="shared" si="0"/>
        <v/>
      </c>
      <c r="H10320" s="26" t="str">
        <f t="shared" si="1"/>
        <v/>
      </c>
      <c r="I10320" s="26" t="str">
        <f t="shared" si="2"/>
        <v/>
      </c>
      <c r="J10320" s="86">
        <f t="shared" si="3"/>
        <v>0</v>
      </c>
      <c r="R10320" s="26"/>
    </row>
    <row r="10321" spans="1:18" ht="15.75" customHeight="1">
      <c r="A10321" s="26"/>
      <c r="B10321" s="86"/>
      <c r="D10321" s="26"/>
      <c r="F10321" s="87" t="str">
        <f t="shared" si="0"/>
        <v/>
      </c>
      <c r="H10321" s="26" t="str">
        <f t="shared" si="1"/>
        <v/>
      </c>
      <c r="I10321" s="26" t="str">
        <f t="shared" si="2"/>
        <v/>
      </c>
      <c r="J10321" s="86">
        <f t="shared" si="3"/>
        <v>0</v>
      </c>
      <c r="R10321" s="26"/>
    </row>
    <row r="10322" spans="1:18" ht="15.75" customHeight="1">
      <c r="A10322" s="26"/>
      <c r="B10322" s="86"/>
      <c r="D10322" s="26"/>
      <c r="F10322" s="87" t="str">
        <f t="shared" si="0"/>
        <v/>
      </c>
      <c r="H10322" s="26" t="str">
        <f t="shared" si="1"/>
        <v/>
      </c>
      <c r="I10322" s="26" t="str">
        <f t="shared" si="2"/>
        <v/>
      </c>
      <c r="J10322" s="86">
        <f t="shared" si="3"/>
        <v>0</v>
      </c>
      <c r="R10322" s="26"/>
    </row>
    <row r="10323" spans="1:18" ht="15.75" customHeight="1">
      <c r="A10323" s="26"/>
      <c r="B10323" s="86"/>
      <c r="D10323" s="26"/>
      <c r="F10323" s="87" t="str">
        <f t="shared" si="0"/>
        <v/>
      </c>
      <c r="H10323" s="26" t="str">
        <f t="shared" si="1"/>
        <v/>
      </c>
      <c r="I10323" s="26" t="str">
        <f t="shared" si="2"/>
        <v/>
      </c>
      <c r="J10323" s="86">
        <f t="shared" si="3"/>
        <v>0</v>
      </c>
      <c r="R10323" s="26"/>
    </row>
    <row r="10324" spans="1:18" ht="15.75" customHeight="1">
      <c r="A10324" s="26"/>
      <c r="B10324" s="86"/>
      <c r="D10324" s="26"/>
      <c r="F10324" s="87" t="str">
        <f t="shared" si="0"/>
        <v/>
      </c>
      <c r="H10324" s="26" t="str">
        <f t="shared" si="1"/>
        <v/>
      </c>
      <c r="I10324" s="26" t="str">
        <f t="shared" si="2"/>
        <v/>
      </c>
      <c r="J10324" s="86">
        <f t="shared" si="3"/>
        <v>0</v>
      </c>
      <c r="R10324" s="26"/>
    </row>
    <row r="10325" spans="1:18" ht="15.75" customHeight="1">
      <c r="A10325" s="26"/>
      <c r="B10325" s="86"/>
      <c r="D10325" s="26"/>
      <c r="F10325" s="87" t="str">
        <f t="shared" si="0"/>
        <v/>
      </c>
      <c r="H10325" s="26" t="str">
        <f t="shared" si="1"/>
        <v/>
      </c>
      <c r="I10325" s="26" t="str">
        <f t="shared" si="2"/>
        <v/>
      </c>
      <c r="J10325" s="86">
        <f t="shared" si="3"/>
        <v>0</v>
      </c>
      <c r="R10325" s="26"/>
    </row>
    <row r="10326" spans="1:18" ht="15.75" customHeight="1">
      <c r="A10326" s="26"/>
      <c r="B10326" s="86"/>
      <c r="D10326" s="26"/>
      <c r="F10326" s="87" t="str">
        <f t="shared" si="0"/>
        <v/>
      </c>
      <c r="H10326" s="26" t="str">
        <f t="shared" si="1"/>
        <v/>
      </c>
      <c r="I10326" s="26" t="str">
        <f t="shared" si="2"/>
        <v/>
      </c>
      <c r="J10326" s="86">
        <f t="shared" si="3"/>
        <v>0</v>
      </c>
      <c r="R10326" s="26"/>
    </row>
    <row r="10327" spans="1:18" ht="15.75" customHeight="1">
      <c r="A10327" s="26"/>
      <c r="B10327" s="86"/>
      <c r="D10327" s="26"/>
      <c r="F10327" s="87" t="str">
        <f t="shared" si="0"/>
        <v/>
      </c>
      <c r="H10327" s="26" t="str">
        <f t="shared" si="1"/>
        <v/>
      </c>
      <c r="I10327" s="26" t="str">
        <f t="shared" si="2"/>
        <v/>
      </c>
      <c r="J10327" s="86">
        <f t="shared" si="3"/>
        <v>0</v>
      </c>
      <c r="R10327" s="26"/>
    </row>
    <row r="10328" spans="1:18" ht="15.75" customHeight="1">
      <c r="A10328" s="26"/>
      <c r="B10328" s="86"/>
      <c r="D10328" s="26"/>
      <c r="F10328" s="87" t="str">
        <f t="shared" si="0"/>
        <v/>
      </c>
      <c r="H10328" s="26" t="str">
        <f t="shared" si="1"/>
        <v/>
      </c>
      <c r="I10328" s="26" t="str">
        <f t="shared" si="2"/>
        <v/>
      </c>
      <c r="J10328" s="86">
        <f t="shared" si="3"/>
        <v>0</v>
      </c>
      <c r="R10328" s="26"/>
    </row>
    <row r="10329" spans="1:18" ht="15.75" customHeight="1">
      <c r="A10329" s="26"/>
      <c r="B10329" s="86"/>
      <c r="D10329" s="26"/>
      <c r="F10329" s="87" t="str">
        <f t="shared" si="0"/>
        <v/>
      </c>
      <c r="H10329" s="26" t="str">
        <f t="shared" si="1"/>
        <v/>
      </c>
      <c r="I10329" s="26" t="str">
        <f t="shared" si="2"/>
        <v/>
      </c>
      <c r="J10329" s="86">
        <f t="shared" si="3"/>
        <v>0</v>
      </c>
      <c r="R10329" s="26"/>
    </row>
    <row r="10330" spans="1:18" ht="15.75" customHeight="1">
      <c r="A10330" s="26"/>
      <c r="B10330" s="86"/>
      <c r="D10330" s="26"/>
      <c r="F10330" s="87" t="str">
        <f t="shared" si="0"/>
        <v/>
      </c>
      <c r="H10330" s="26" t="str">
        <f t="shared" si="1"/>
        <v/>
      </c>
      <c r="I10330" s="26" t="str">
        <f t="shared" si="2"/>
        <v/>
      </c>
      <c r="J10330" s="86">
        <f t="shared" si="3"/>
        <v>0</v>
      </c>
      <c r="R10330" s="26"/>
    </row>
    <row r="10331" spans="1:18" ht="15.75" customHeight="1">
      <c r="A10331" s="26"/>
      <c r="B10331" s="86"/>
      <c r="D10331" s="26"/>
      <c r="F10331" s="87" t="str">
        <f t="shared" si="0"/>
        <v/>
      </c>
      <c r="H10331" s="26" t="str">
        <f t="shared" si="1"/>
        <v/>
      </c>
      <c r="I10331" s="26" t="str">
        <f t="shared" si="2"/>
        <v/>
      </c>
      <c r="J10331" s="86">
        <f t="shared" si="3"/>
        <v>0</v>
      </c>
      <c r="R10331" s="26"/>
    </row>
    <row r="10332" spans="1:18" ht="15.75" customHeight="1">
      <c r="A10332" s="26"/>
      <c r="B10332" s="86"/>
      <c r="D10332" s="26"/>
      <c r="F10332" s="87" t="str">
        <f t="shared" si="0"/>
        <v/>
      </c>
      <c r="H10332" s="26" t="str">
        <f t="shared" si="1"/>
        <v/>
      </c>
      <c r="I10332" s="26" t="str">
        <f t="shared" si="2"/>
        <v/>
      </c>
      <c r="J10332" s="86">
        <f t="shared" si="3"/>
        <v>0</v>
      </c>
      <c r="R10332" s="26"/>
    </row>
    <row r="10333" spans="1:18" ht="15.75" customHeight="1">
      <c r="A10333" s="26"/>
      <c r="B10333" s="86"/>
      <c r="D10333" s="26"/>
      <c r="F10333" s="87" t="str">
        <f t="shared" si="0"/>
        <v/>
      </c>
      <c r="H10333" s="26" t="str">
        <f t="shared" si="1"/>
        <v/>
      </c>
      <c r="I10333" s="26" t="str">
        <f t="shared" si="2"/>
        <v/>
      </c>
      <c r="J10333" s="86">
        <f t="shared" si="3"/>
        <v>0</v>
      </c>
      <c r="R10333" s="26"/>
    </row>
    <row r="10334" spans="1:18" ht="15.75" customHeight="1">
      <c r="A10334" s="26"/>
      <c r="B10334" s="86"/>
      <c r="D10334" s="26"/>
      <c r="F10334" s="87" t="str">
        <f t="shared" si="0"/>
        <v/>
      </c>
      <c r="H10334" s="26" t="str">
        <f t="shared" si="1"/>
        <v/>
      </c>
      <c r="I10334" s="26" t="str">
        <f t="shared" si="2"/>
        <v/>
      </c>
      <c r="J10334" s="86">
        <f t="shared" si="3"/>
        <v>0</v>
      </c>
      <c r="R10334" s="26"/>
    </row>
    <row r="10335" spans="1:18" ht="15.75" customHeight="1">
      <c r="A10335" s="26"/>
      <c r="B10335" s="86"/>
      <c r="D10335" s="26"/>
      <c r="F10335" s="87" t="str">
        <f t="shared" si="0"/>
        <v/>
      </c>
      <c r="H10335" s="26" t="str">
        <f t="shared" si="1"/>
        <v/>
      </c>
      <c r="I10335" s="26" t="str">
        <f t="shared" si="2"/>
        <v/>
      </c>
      <c r="J10335" s="86">
        <f t="shared" si="3"/>
        <v>0</v>
      </c>
      <c r="R10335" s="26"/>
    </row>
    <row r="10336" spans="1:18" ht="15.75" customHeight="1">
      <c r="A10336" s="26"/>
      <c r="B10336" s="86"/>
      <c r="D10336" s="26"/>
      <c r="F10336" s="87" t="str">
        <f t="shared" si="0"/>
        <v/>
      </c>
      <c r="H10336" s="26" t="str">
        <f t="shared" si="1"/>
        <v/>
      </c>
      <c r="I10336" s="26" t="str">
        <f t="shared" si="2"/>
        <v/>
      </c>
      <c r="J10336" s="86">
        <f t="shared" si="3"/>
        <v>0</v>
      </c>
      <c r="R10336" s="26"/>
    </row>
    <row r="10337" spans="1:18" ht="15.75" customHeight="1">
      <c r="A10337" s="26"/>
      <c r="B10337" s="86"/>
      <c r="D10337" s="26"/>
      <c r="F10337" s="87" t="str">
        <f t="shared" si="0"/>
        <v/>
      </c>
      <c r="H10337" s="26" t="str">
        <f t="shared" si="1"/>
        <v/>
      </c>
      <c r="I10337" s="26" t="str">
        <f t="shared" si="2"/>
        <v/>
      </c>
      <c r="J10337" s="86">
        <f t="shared" si="3"/>
        <v>0</v>
      </c>
      <c r="R10337" s="26"/>
    </row>
    <row r="10338" spans="1:18" ht="15.75" customHeight="1">
      <c r="A10338" s="26"/>
      <c r="B10338" s="86"/>
      <c r="D10338" s="26"/>
      <c r="F10338" s="87" t="str">
        <f t="shared" si="0"/>
        <v/>
      </c>
      <c r="H10338" s="26" t="str">
        <f t="shared" si="1"/>
        <v/>
      </c>
      <c r="I10338" s="26" t="str">
        <f t="shared" si="2"/>
        <v/>
      </c>
      <c r="J10338" s="86">
        <f t="shared" si="3"/>
        <v>0</v>
      </c>
      <c r="R10338" s="26"/>
    </row>
    <row r="10339" spans="1:18" ht="15.75" customHeight="1">
      <c r="A10339" s="26"/>
      <c r="B10339" s="86"/>
      <c r="D10339" s="26"/>
      <c r="F10339" s="87" t="str">
        <f t="shared" si="0"/>
        <v/>
      </c>
      <c r="H10339" s="26" t="str">
        <f t="shared" si="1"/>
        <v/>
      </c>
      <c r="I10339" s="26" t="str">
        <f t="shared" si="2"/>
        <v/>
      </c>
      <c r="J10339" s="86">
        <f t="shared" si="3"/>
        <v>0</v>
      </c>
      <c r="R10339" s="26"/>
    </row>
    <row r="10340" spans="1:18" ht="15.75" customHeight="1">
      <c r="A10340" s="26"/>
      <c r="B10340" s="86"/>
      <c r="D10340" s="26"/>
      <c r="F10340" s="87" t="str">
        <f t="shared" si="0"/>
        <v/>
      </c>
      <c r="H10340" s="26" t="str">
        <f t="shared" si="1"/>
        <v/>
      </c>
      <c r="I10340" s="26" t="str">
        <f t="shared" si="2"/>
        <v/>
      </c>
      <c r="J10340" s="86">
        <f t="shared" si="3"/>
        <v>0</v>
      </c>
      <c r="R10340" s="26"/>
    </row>
    <row r="10341" spans="1:18" ht="15.75" customHeight="1">
      <c r="A10341" s="26"/>
      <c r="B10341" s="86"/>
      <c r="D10341" s="26"/>
      <c r="F10341" s="87" t="str">
        <f t="shared" si="0"/>
        <v/>
      </c>
      <c r="H10341" s="26" t="str">
        <f t="shared" si="1"/>
        <v/>
      </c>
      <c r="I10341" s="26" t="str">
        <f t="shared" si="2"/>
        <v/>
      </c>
      <c r="J10341" s="86">
        <f t="shared" si="3"/>
        <v>0</v>
      </c>
      <c r="R10341" s="26"/>
    </row>
    <row r="10342" spans="1:18" ht="15.75" customHeight="1">
      <c r="A10342" s="26"/>
      <c r="B10342" s="86"/>
      <c r="D10342" s="26"/>
      <c r="F10342" s="87" t="str">
        <f t="shared" si="0"/>
        <v/>
      </c>
      <c r="H10342" s="26" t="str">
        <f t="shared" si="1"/>
        <v/>
      </c>
      <c r="I10342" s="26" t="str">
        <f t="shared" si="2"/>
        <v/>
      </c>
      <c r="J10342" s="86">
        <f t="shared" si="3"/>
        <v>0</v>
      </c>
      <c r="R10342" s="26"/>
    </row>
    <row r="10343" spans="1:18" ht="15.75" customHeight="1">
      <c r="A10343" s="26"/>
      <c r="B10343" s="86"/>
      <c r="D10343" s="26"/>
      <c r="F10343" s="87" t="str">
        <f t="shared" si="0"/>
        <v/>
      </c>
      <c r="H10343" s="26" t="str">
        <f t="shared" si="1"/>
        <v/>
      </c>
      <c r="I10343" s="26" t="str">
        <f t="shared" si="2"/>
        <v/>
      </c>
      <c r="J10343" s="86">
        <f t="shared" si="3"/>
        <v>0</v>
      </c>
      <c r="R10343" s="26"/>
    </row>
    <row r="10344" spans="1:18" ht="15.75" customHeight="1">
      <c r="A10344" s="26"/>
      <c r="B10344" s="86"/>
      <c r="D10344" s="26"/>
      <c r="F10344" s="87" t="str">
        <f t="shared" si="0"/>
        <v/>
      </c>
      <c r="H10344" s="26" t="str">
        <f t="shared" si="1"/>
        <v/>
      </c>
      <c r="I10344" s="26" t="str">
        <f t="shared" si="2"/>
        <v/>
      </c>
      <c r="J10344" s="86">
        <f t="shared" si="3"/>
        <v>0</v>
      </c>
      <c r="R10344" s="26"/>
    </row>
    <row r="10345" spans="1:18" ht="15.75" customHeight="1">
      <c r="A10345" s="26"/>
      <c r="B10345" s="86"/>
      <c r="D10345" s="26"/>
      <c r="F10345" s="87" t="str">
        <f t="shared" si="0"/>
        <v/>
      </c>
      <c r="H10345" s="26" t="str">
        <f t="shared" si="1"/>
        <v/>
      </c>
      <c r="I10345" s="26" t="str">
        <f t="shared" si="2"/>
        <v/>
      </c>
      <c r="J10345" s="86">
        <f t="shared" si="3"/>
        <v>0</v>
      </c>
      <c r="R10345" s="26"/>
    </row>
    <row r="10346" spans="1:18" ht="15.75" customHeight="1">
      <c r="A10346" s="26"/>
      <c r="B10346" s="86"/>
      <c r="D10346" s="26"/>
      <c r="F10346" s="87" t="str">
        <f t="shared" si="0"/>
        <v/>
      </c>
      <c r="H10346" s="26" t="str">
        <f t="shared" si="1"/>
        <v/>
      </c>
      <c r="I10346" s="26" t="str">
        <f t="shared" si="2"/>
        <v/>
      </c>
      <c r="J10346" s="86">
        <f t="shared" si="3"/>
        <v>0</v>
      </c>
      <c r="R10346" s="26"/>
    </row>
    <row r="10347" spans="1:18" ht="15.75" customHeight="1">
      <c r="A10347" s="26"/>
      <c r="B10347" s="86"/>
      <c r="D10347" s="26"/>
      <c r="F10347" s="87" t="str">
        <f t="shared" si="0"/>
        <v/>
      </c>
      <c r="H10347" s="26" t="str">
        <f t="shared" si="1"/>
        <v/>
      </c>
      <c r="I10347" s="26" t="str">
        <f t="shared" si="2"/>
        <v/>
      </c>
      <c r="J10347" s="86">
        <f t="shared" si="3"/>
        <v>0</v>
      </c>
      <c r="R10347" s="26"/>
    </row>
    <row r="10348" spans="1:18" ht="15.75" customHeight="1">
      <c r="A10348" s="26"/>
      <c r="B10348" s="86"/>
      <c r="D10348" s="26"/>
      <c r="F10348" s="87" t="str">
        <f t="shared" si="0"/>
        <v/>
      </c>
      <c r="H10348" s="26" t="str">
        <f t="shared" si="1"/>
        <v/>
      </c>
      <c r="I10348" s="26" t="str">
        <f t="shared" si="2"/>
        <v/>
      </c>
      <c r="J10348" s="86">
        <f t="shared" si="3"/>
        <v>0</v>
      </c>
      <c r="R10348" s="26"/>
    </row>
    <row r="10349" spans="1:18" ht="15.75" customHeight="1">
      <c r="A10349" s="26"/>
      <c r="B10349" s="86"/>
      <c r="D10349" s="26"/>
      <c r="F10349" s="87" t="str">
        <f t="shared" si="0"/>
        <v/>
      </c>
      <c r="H10349" s="26" t="str">
        <f t="shared" si="1"/>
        <v/>
      </c>
      <c r="I10349" s="26" t="str">
        <f t="shared" si="2"/>
        <v/>
      </c>
      <c r="J10349" s="86">
        <f t="shared" si="3"/>
        <v>0</v>
      </c>
      <c r="R10349" s="26"/>
    </row>
    <row r="10350" spans="1:18" ht="15.75" customHeight="1">
      <c r="A10350" s="26"/>
      <c r="B10350" s="86"/>
      <c r="D10350" s="26"/>
      <c r="F10350" s="87" t="str">
        <f t="shared" si="0"/>
        <v/>
      </c>
      <c r="H10350" s="26" t="str">
        <f t="shared" si="1"/>
        <v/>
      </c>
      <c r="I10350" s="26" t="str">
        <f t="shared" si="2"/>
        <v/>
      </c>
      <c r="J10350" s="86">
        <f t="shared" si="3"/>
        <v>0</v>
      </c>
      <c r="R10350" s="26"/>
    </row>
    <row r="10351" spans="1:18" ht="15.75" customHeight="1">
      <c r="A10351" s="26"/>
      <c r="B10351" s="86"/>
      <c r="D10351" s="26"/>
      <c r="F10351" s="87" t="str">
        <f t="shared" si="0"/>
        <v/>
      </c>
      <c r="H10351" s="26" t="str">
        <f t="shared" si="1"/>
        <v/>
      </c>
      <c r="I10351" s="26" t="str">
        <f t="shared" si="2"/>
        <v/>
      </c>
      <c r="J10351" s="86">
        <f t="shared" si="3"/>
        <v>0</v>
      </c>
      <c r="R10351" s="26"/>
    </row>
    <row r="10352" spans="1:18" ht="15.75" customHeight="1">
      <c r="A10352" s="26"/>
      <c r="B10352" s="86"/>
      <c r="D10352" s="26"/>
      <c r="F10352" s="87" t="str">
        <f t="shared" si="0"/>
        <v/>
      </c>
      <c r="H10352" s="26" t="str">
        <f t="shared" si="1"/>
        <v/>
      </c>
      <c r="I10352" s="26" t="str">
        <f t="shared" si="2"/>
        <v/>
      </c>
      <c r="J10352" s="86">
        <f t="shared" si="3"/>
        <v>0</v>
      </c>
      <c r="R10352" s="26"/>
    </row>
    <row r="10353" spans="1:18" ht="15.75" customHeight="1">
      <c r="A10353" s="26"/>
      <c r="B10353" s="86"/>
      <c r="D10353" s="26"/>
      <c r="F10353" s="87" t="str">
        <f t="shared" si="0"/>
        <v/>
      </c>
      <c r="H10353" s="26" t="str">
        <f t="shared" si="1"/>
        <v/>
      </c>
      <c r="I10353" s="26" t="str">
        <f t="shared" si="2"/>
        <v/>
      </c>
      <c r="J10353" s="86">
        <f t="shared" si="3"/>
        <v>0</v>
      </c>
      <c r="R10353" s="26"/>
    </row>
    <row r="10354" spans="1:18" ht="15.75" customHeight="1">
      <c r="A10354" s="26"/>
      <c r="B10354" s="86"/>
      <c r="D10354" s="26"/>
      <c r="F10354" s="87" t="str">
        <f t="shared" si="0"/>
        <v/>
      </c>
      <c r="H10354" s="26" t="str">
        <f t="shared" si="1"/>
        <v/>
      </c>
      <c r="I10354" s="26" t="str">
        <f t="shared" si="2"/>
        <v/>
      </c>
      <c r="J10354" s="86">
        <f t="shared" si="3"/>
        <v>0</v>
      </c>
      <c r="R10354" s="26"/>
    </row>
    <row r="10355" spans="1:18" ht="15.75" customHeight="1">
      <c r="A10355" s="26"/>
      <c r="B10355" s="86"/>
      <c r="D10355" s="26"/>
      <c r="F10355" s="87" t="str">
        <f t="shared" si="0"/>
        <v/>
      </c>
      <c r="H10355" s="26" t="str">
        <f t="shared" si="1"/>
        <v/>
      </c>
      <c r="I10355" s="26" t="str">
        <f t="shared" si="2"/>
        <v/>
      </c>
      <c r="J10355" s="86">
        <f t="shared" si="3"/>
        <v>0</v>
      </c>
      <c r="R10355" s="26"/>
    </row>
    <row r="10356" spans="1:18" ht="15.75" customHeight="1">
      <c r="A10356" s="26"/>
      <c r="B10356" s="86"/>
      <c r="D10356" s="26"/>
      <c r="F10356" s="87" t="str">
        <f t="shared" si="0"/>
        <v/>
      </c>
      <c r="H10356" s="26" t="str">
        <f t="shared" si="1"/>
        <v/>
      </c>
      <c r="I10356" s="26" t="str">
        <f t="shared" si="2"/>
        <v/>
      </c>
      <c r="J10356" s="86">
        <f t="shared" si="3"/>
        <v>0</v>
      </c>
      <c r="R10356" s="26"/>
    </row>
    <row r="10357" spans="1:18" ht="15.75" customHeight="1">
      <c r="A10357" s="26"/>
      <c r="B10357" s="86"/>
      <c r="D10357" s="26"/>
      <c r="F10357" s="87" t="str">
        <f t="shared" si="0"/>
        <v/>
      </c>
      <c r="H10357" s="26" t="str">
        <f t="shared" si="1"/>
        <v/>
      </c>
      <c r="I10357" s="26" t="str">
        <f t="shared" si="2"/>
        <v/>
      </c>
      <c r="J10357" s="86">
        <f t="shared" si="3"/>
        <v>0</v>
      </c>
      <c r="R10357" s="26"/>
    </row>
    <row r="10358" spans="1:18" ht="15.75" customHeight="1">
      <c r="A10358" s="26"/>
      <c r="B10358" s="86"/>
      <c r="D10358" s="26"/>
      <c r="F10358" s="87" t="str">
        <f t="shared" si="0"/>
        <v/>
      </c>
      <c r="H10358" s="26" t="str">
        <f t="shared" si="1"/>
        <v/>
      </c>
      <c r="I10358" s="26" t="str">
        <f t="shared" si="2"/>
        <v/>
      </c>
      <c r="J10358" s="86">
        <f t="shared" si="3"/>
        <v>0</v>
      </c>
      <c r="R10358" s="26"/>
    </row>
    <row r="10359" spans="1:18" ht="15.75" customHeight="1">
      <c r="A10359" s="26"/>
      <c r="B10359" s="86"/>
      <c r="D10359" s="26"/>
      <c r="F10359" s="87" t="str">
        <f t="shared" si="0"/>
        <v/>
      </c>
      <c r="H10359" s="26" t="str">
        <f t="shared" si="1"/>
        <v/>
      </c>
      <c r="I10359" s="26" t="str">
        <f t="shared" si="2"/>
        <v/>
      </c>
      <c r="J10359" s="86">
        <f t="shared" si="3"/>
        <v>0</v>
      </c>
      <c r="R10359" s="26"/>
    </row>
    <row r="10360" spans="1:18" ht="15.75" customHeight="1">
      <c r="A10360" s="26"/>
      <c r="B10360" s="86"/>
      <c r="D10360" s="26"/>
      <c r="F10360" s="87" t="str">
        <f t="shared" si="0"/>
        <v/>
      </c>
      <c r="H10360" s="26" t="str">
        <f t="shared" si="1"/>
        <v/>
      </c>
      <c r="I10360" s="26" t="str">
        <f t="shared" si="2"/>
        <v/>
      </c>
      <c r="J10360" s="86">
        <f t="shared" si="3"/>
        <v>0</v>
      </c>
      <c r="R10360" s="26"/>
    </row>
    <row r="10361" spans="1:18" ht="15.75" customHeight="1">
      <c r="A10361" s="26"/>
      <c r="B10361" s="86"/>
      <c r="D10361" s="26"/>
      <c r="F10361" s="87" t="str">
        <f t="shared" si="0"/>
        <v/>
      </c>
      <c r="H10361" s="26" t="str">
        <f t="shared" si="1"/>
        <v/>
      </c>
      <c r="I10361" s="26" t="str">
        <f t="shared" si="2"/>
        <v/>
      </c>
      <c r="J10361" s="86">
        <f t="shared" si="3"/>
        <v>0</v>
      </c>
      <c r="R10361" s="26"/>
    </row>
    <row r="10362" spans="1:18" ht="15.75" customHeight="1">
      <c r="A10362" s="26"/>
      <c r="B10362" s="86"/>
      <c r="D10362" s="26"/>
      <c r="F10362" s="87" t="str">
        <f t="shared" si="0"/>
        <v/>
      </c>
      <c r="H10362" s="26" t="str">
        <f t="shared" si="1"/>
        <v/>
      </c>
      <c r="I10362" s="26" t="str">
        <f t="shared" si="2"/>
        <v/>
      </c>
      <c r="J10362" s="86">
        <f t="shared" si="3"/>
        <v>0</v>
      </c>
      <c r="R10362" s="26"/>
    </row>
    <row r="10363" spans="1:18" ht="15.75" customHeight="1">
      <c r="A10363" s="26"/>
      <c r="B10363" s="86"/>
      <c r="D10363" s="26"/>
      <c r="F10363" s="87" t="str">
        <f t="shared" si="0"/>
        <v/>
      </c>
      <c r="H10363" s="26" t="str">
        <f t="shared" si="1"/>
        <v/>
      </c>
      <c r="I10363" s="26" t="str">
        <f t="shared" si="2"/>
        <v/>
      </c>
      <c r="J10363" s="86">
        <f t="shared" si="3"/>
        <v>0</v>
      </c>
      <c r="R10363" s="26"/>
    </row>
    <row r="10364" spans="1:18" ht="15.75" customHeight="1">
      <c r="A10364" s="26"/>
      <c r="B10364" s="86"/>
      <c r="D10364" s="26"/>
      <c r="F10364" s="87" t="str">
        <f t="shared" si="0"/>
        <v/>
      </c>
      <c r="H10364" s="26" t="str">
        <f t="shared" si="1"/>
        <v/>
      </c>
      <c r="I10364" s="26" t="str">
        <f t="shared" si="2"/>
        <v/>
      </c>
      <c r="J10364" s="86">
        <f t="shared" si="3"/>
        <v>0</v>
      </c>
      <c r="R10364" s="26"/>
    </row>
    <row r="10365" spans="1:18" ht="15.75" customHeight="1">
      <c r="A10365" s="26"/>
      <c r="B10365" s="86"/>
      <c r="D10365" s="26"/>
      <c r="F10365" s="87" t="str">
        <f t="shared" si="0"/>
        <v/>
      </c>
      <c r="H10365" s="26" t="str">
        <f t="shared" si="1"/>
        <v/>
      </c>
      <c r="I10365" s="26" t="str">
        <f t="shared" si="2"/>
        <v/>
      </c>
      <c r="J10365" s="86">
        <f t="shared" si="3"/>
        <v>0</v>
      </c>
      <c r="R10365" s="26"/>
    </row>
    <row r="10366" spans="1:18" ht="15.75" customHeight="1">
      <c r="A10366" s="26"/>
      <c r="B10366" s="86"/>
      <c r="D10366" s="26"/>
      <c r="F10366" s="87" t="str">
        <f t="shared" si="0"/>
        <v/>
      </c>
      <c r="H10366" s="26" t="str">
        <f t="shared" si="1"/>
        <v/>
      </c>
      <c r="I10366" s="26" t="str">
        <f t="shared" si="2"/>
        <v/>
      </c>
      <c r="J10366" s="86">
        <f t="shared" si="3"/>
        <v>0</v>
      </c>
      <c r="R10366" s="26"/>
    </row>
    <row r="10367" spans="1:18" ht="15.75" customHeight="1">
      <c r="A10367" s="26"/>
      <c r="B10367" s="86"/>
      <c r="D10367" s="26"/>
      <c r="F10367" s="87" t="str">
        <f t="shared" si="0"/>
        <v/>
      </c>
      <c r="H10367" s="26" t="str">
        <f t="shared" si="1"/>
        <v/>
      </c>
      <c r="I10367" s="26" t="str">
        <f t="shared" si="2"/>
        <v/>
      </c>
      <c r="J10367" s="86">
        <f t="shared" si="3"/>
        <v>0</v>
      </c>
      <c r="R10367" s="26"/>
    </row>
    <row r="10368" spans="1:18" ht="15.75" customHeight="1">
      <c r="A10368" s="26"/>
      <c r="B10368" s="86"/>
      <c r="D10368" s="26"/>
      <c r="F10368" s="87" t="str">
        <f t="shared" si="0"/>
        <v/>
      </c>
      <c r="H10368" s="26" t="str">
        <f t="shared" si="1"/>
        <v/>
      </c>
      <c r="I10368" s="26" t="str">
        <f t="shared" si="2"/>
        <v/>
      </c>
      <c r="J10368" s="86">
        <f t="shared" si="3"/>
        <v>0</v>
      </c>
      <c r="R10368" s="26"/>
    </row>
    <row r="10369" spans="1:18" ht="15.75" customHeight="1">
      <c r="A10369" s="26"/>
      <c r="B10369" s="86"/>
      <c r="D10369" s="26"/>
      <c r="F10369" s="87" t="str">
        <f t="shared" si="0"/>
        <v/>
      </c>
      <c r="H10369" s="26" t="str">
        <f t="shared" si="1"/>
        <v/>
      </c>
      <c r="I10369" s="26" t="str">
        <f t="shared" si="2"/>
        <v/>
      </c>
      <c r="J10369" s="86">
        <f t="shared" si="3"/>
        <v>0</v>
      </c>
      <c r="R10369" s="26"/>
    </row>
    <row r="10370" spans="1:18" ht="15.75" customHeight="1">
      <c r="A10370" s="26"/>
      <c r="B10370" s="86"/>
      <c r="D10370" s="26"/>
      <c r="F10370" s="87" t="str">
        <f t="shared" si="0"/>
        <v/>
      </c>
      <c r="H10370" s="26" t="str">
        <f t="shared" si="1"/>
        <v/>
      </c>
      <c r="I10370" s="26" t="str">
        <f t="shared" si="2"/>
        <v/>
      </c>
      <c r="J10370" s="86">
        <f t="shared" si="3"/>
        <v>0</v>
      </c>
      <c r="R10370" s="26"/>
    </row>
    <row r="10371" spans="1:18" ht="15.75" customHeight="1">
      <c r="A10371" s="26"/>
      <c r="B10371" s="86"/>
      <c r="D10371" s="26"/>
      <c r="F10371" s="87" t="str">
        <f t="shared" si="0"/>
        <v/>
      </c>
      <c r="H10371" s="26" t="str">
        <f t="shared" si="1"/>
        <v/>
      </c>
      <c r="I10371" s="26" t="str">
        <f t="shared" si="2"/>
        <v/>
      </c>
      <c r="J10371" s="86">
        <f t="shared" si="3"/>
        <v>0</v>
      </c>
      <c r="R10371" s="26"/>
    </row>
    <row r="10372" spans="1:18" ht="15.75" customHeight="1">
      <c r="A10372" s="26"/>
      <c r="B10372" s="86"/>
      <c r="D10372" s="26"/>
      <c r="F10372" s="87" t="str">
        <f t="shared" si="0"/>
        <v/>
      </c>
      <c r="H10372" s="26" t="str">
        <f t="shared" si="1"/>
        <v/>
      </c>
      <c r="I10372" s="26" t="str">
        <f t="shared" si="2"/>
        <v/>
      </c>
      <c r="J10372" s="86">
        <f t="shared" si="3"/>
        <v>0</v>
      </c>
      <c r="R10372" s="26"/>
    </row>
    <row r="10373" spans="1:18" ht="15.75" customHeight="1">
      <c r="A10373" s="26"/>
      <c r="B10373" s="86"/>
      <c r="D10373" s="26"/>
      <c r="F10373" s="87" t="str">
        <f t="shared" si="0"/>
        <v/>
      </c>
      <c r="H10373" s="26" t="str">
        <f t="shared" si="1"/>
        <v/>
      </c>
      <c r="I10373" s="26" t="str">
        <f t="shared" si="2"/>
        <v/>
      </c>
      <c r="J10373" s="86">
        <f t="shared" si="3"/>
        <v>0</v>
      </c>
      <c r="R10373" s="26"/>
    </row>
    <row r="10374" spans="1:18" ht="15.75" customHeight="1">
      <c r="A10374" s="26"/>
      <c r="B10374" s="86"/>
      <c r="D10374" s="26"/>
      <c r="F10374" s="87" t="str">
        <f t="shared" si="0"/>
        <v/>
      </c>
      <c r="H10374" s="26" t="str">
        <f t="shared" si="1"/>
        <v/>
      </c>
      <c r="I10374" s="26" t="str">
        <f t="shared" si="2"/>
        <v/>
      </c>
      <c r="J10374" s="86">
        <f t="shared" si="3"/>
        <v>0</v>
      </c>
      <c r="R10374" s="26"/>
    </row>
    <row r="10375" spans="1:18" ht="15.75" customHeight="1">
      <c r="A10375" s="26"/>
      <c r="B10375" s="86"/>
      <c r="D10375" s="26"/>
      <c r="F10375" s="87" t="str">
        <f t="shared" si="0"/>
        <v/>
      </c>
      <c r="H10375" s="26" t="str">
        <f t="shared" si="1"/>
        <v/>
      </c>
      <c r="I10375" s="26" t="str">
        <f t="shared" si="2"/>
        <v/>
      </c>
      <c r="J10375" s="86">
        <f t="shared" si="3"/>
        <v>0</v>
      </c>
      <c r="R10375" s="26"/>
    </row>
    <row r="10376" spans="1:18" ht="15.75" customHeight="1">
      <c r="A10376" s="26"/>
      <c r="B10376" s="86"/>
      <c r="D10376" s="26"/>
      <c r="F10376" s="87" t="str">
        <f t="shared" si="0"/>
        <v/>
      </c>
      <c r="H10376" s="26" t="str">
        <f t="shared" si="1"/>
        <v/>
      </c>
      <c r="I10376" s="26" t="str">
        <f t="shared" si="2"/>
        <v/>
      </c>
      <c r="J10376" s="86">
        <f t="shared" si="3"/>
        <v>0</v>
      </c>
      <c r="R10376" s="26"/>
    </row>
    <row r="10377" spans="1:18" ht="15.75" customHeight="1">
      <c r="A10377" s="26"/>
      <c r="B10377" s="86"/>
      <c r="D10377" s="26"/>
      <c r="F10377" s="87" t="str">
        <f t="shared" si="0"/>
        <v/>
      </c>
      <c r="H10377" s="26" t="str">
        <f t="shared" si="1"/>
        <v/>
      </c>
      <c r="I10377" s="26" t="str">
        <f t="shared" si="2"/>
        <v/>
      </c>
      <c r="J10377" s="86">
        <f t="shared" si="3"/>
        <v>0</v>
      </c>
      <c r="R10377" s="26"/>
    </row>
    <row r="10378" spans="1:18" ht="15.75" customHeight="1">
      <c r="A10378" s="26"/>
      <c r="B10378" s="86"/>
      <c r="D10378" s="26"/>
      <c r="F10378" s="87" t="str">
        <f t="shared" si="0"/>
        <v/>
      </c>
      <c r="H10378" s="26" t="str">
        <f t="shared" si="1"/>
        <v/>
      </c>
      <c r="I10378" s="26" t="str">
        <f t="shared" si="2"/>
        <v/>
      </c>
      <c r="J10378" s="86">
        <f t="shared" si="3"/>
        <v>0</v>
      </c>
      <c r="R10378" s="26"/>
    </row>
    <row r="10379" spans="1:18" ht="15.75" customHeight="1">
      <c r="A10379" s="26"/>
      <c r="B10379" s="86"/>
      <c r="D10379" s="26"/>
      <c r="F10379" s="87" t="str">
        <f t="shared" si="0"/>
        <v/>
      </c>
      <c r="H10379" s="26" t="str">
        <f t="shared" si="1"/>
        <v/>
      </c>
      <c r="I10379" s="26" t="str">
        <f t="shared" si="2"/>
        <v/>
      </c>
      <c r="J10379" s="86">
        <f t="shared" si="3"/>
        <v>0</v>
      </c>
      <c r="R10379" s="26"/>
    </row>
    <row r="10380" spans="1:18" ht="15.75" customHeight="1">
      <c r="A10380" s="26"/>
      <c r="B10380" s="86"/>
      <c r="D10380" s="26"/>
      <c r="F10380" s="87" t="str">
        <f t="shared" si="0"/>
        <v/>
      </c>
      <c r="H10380" s="26" t="str">
        <f t="shared" si="1"/>
        <v/>
      </c>
      <c r="I10380" s="26" t="str">
        <f t="shared" si="2"/>
        <v/>
      </c>
      <c r="J10380" s="86">
        <f t="shared" si="3"/>
        <v>0</v>
      </c>
      <c r="R10380" s="26"/>
    </row>
    <row r="10381" spans="1:18" ht="15.75" customHeight="1">
      <c r="A10381" s="26"/>
      <c r="B10381" s="86"/>
      <c r="D10381" s="26"/>
      <c r="F10381" s="87" t="str">
        <f t="shared" si="0"/>
        <v/>
      </c>
      <c r="H10381" s="26" t="str">
        <f t="shared" si="1"/>
        <v/>
      </c>
      <c r="I10381" s="26" t="str">
        <f t="shared" si="2"/>
        <v/>
      </c>
      <c r="J10381" s="86">
        <f t="shared" si="3"/>
        <v>0</v>
      </c>
      <c r="R10381" s="26"/>
    </row>
    <row r="10382" spans="1:18" ht="15.75" customHeight="1">
      <c r="A10382" s="26"/>
      <c r="B10382" s="86"/>
      <c r="D10382" s="26"/>
      <c r="F10382" s="87" t="str">
        <f t="shared" si="0"/>
        <v/>
      </c>
      <c r="H10382" s="26" t="str">
        <f t="shared" si="1"/>
        <v/>
      </c>
      <c r="I10382" s="26" t="str">
        <f t="shared" si="2"/>
        <v/>
      </c>
      <c r="J10382" s="86">
        <f t="shared" si="3"/>
        <v>0</v>
      </c>
      <c r="R10382" s="26"/>
    </row>
    <row r="10383" spans="1:18" ht="15.75" customHeight="1">
      <c r="A10383" s="26"/>
      <c r="B10383" s="86"/>
      <c r="D10383" s="26"/>
      <c r="F10383" s="87" t="str">
        <f t="shared" si="0"/>
        <v/>
      </c>
      <c r="H10383" s="26" t="str">
        <f t="shared" si="1"/>
        <v/>
      </c>
      <c r="I10383" s="26" t="str">
        <f t="shared" si="2"/>
        <v/>
      </c>
      <c r="J10383" s="86">
        <f t="shared" si="3"/>
        <v>0</v>
      </c>
      <c r="R10383" s="26"/>
    </row>
    <row r="10384" spans="1:18" ht="15.75" customHeight="1">
      <c r="A10384" s="26"/>
      <c r="B10384" s="86"/>
      <c r="D10384" s="26"/>
      <c r="F10384" s="87" t="str">
        <f t="shared" si="0"/>
        <v/>
      </c>
      <c r="H10384" s="26" t="str">
        <f t="shared" si="1"/>
        <v/>
      </c>
      <c r="I10384" s="26" t="str">
        <f t="shared" si="2"/>
        <v/>
      </c>
      <c r="J10384" s="86">
        <f t="shared" si="3"/>
        <v>0</v>
      </c>
      <c r="R10384" s="26"/>
    </row>
    <row r="10385" spans="1:18" ht="15.75" customHeight="1">
      <c r="A10385" s="26"/>
      <c r="B10385" s="86"/>
      <c r="D10385" s="26"/>
      <c r="F10385" s="87" t="str">
        <f t="shared" si="0"/>
        <v/>
      </c>
      <c r="H10385" s="26" t="str">
        <f t="shared" si="1"/>
        <v/>
      </c>
      <c r="I10385" s="26" t="str">
        <f t="shared" si="2"/>
        <v/>
      </c>
      <c r="J10385" s="86">
        <f t="shared" si="3"/>
        <v>0</v>
      </c>
      <c r="R10385" s="26"/>
    </row>
    <row r="10386" spans="1:18" ht="15.75" customHeight="1">
      <c r="A10386" s="26"/>
      <c r="B10386" s="86"/>
      <c r="D10386" s="26"/>
      <c r="F10386" s="87" t="str">
        <f t="shared" si="0"/>
        <v/>
      </c>
      <c r="H10386" s="26" t="str">
        <f t="shared" si="1"/>
        <v/>
      </c>
      <c r="I10386" s="26" t="str">
        <f t="shared" si="2"/>
        <v/>
      </c>
      <c r="J10386" s="86">
        <f t="shared" si="3"/>
        <v>0</v>
      </c>
      <c r="R10386" s="26"/>
    </row>
    <row r="10387" spans="1:18" ht="15.75" customHeight="1">
      <c r="A10387" s="26"/>
      <c r="B10387" s="86"/>
      <c r="D10387" s="26"/>
      <c r="F10387" s="87" t="str">
        <f t="shared" si="0"/>
        <v/>
      </c>
      <c r="H10387" s="26" t="str">
        <f t="shared" si="1"/>
        <v/>
      </c>
      <c r="I10387" s="26" t="str">
        <f t="shared" si="2"/>
        <v/>
      </c>
      <c r="J10387" s="86">
        <f t="shared" si="3"/>
        <v>0</v>
      </c>
      <c r="R10387" s="26"/>
    </row>
    <row r="10388" spans="1:18" ht="15.75" customHeight="1">
      <c r="A10388" s="26"/>
      <c r="B10388" s="86"/>
      <c r="D10388" s="26"/>
      <c r="F10388" s="87" t="str">
        <f t="shared" si="0"/>
        <v/>
      </c>
      <c r="H10388" s="26" t="str">
        <f t="shared" si="1"/>
        <v/>
      </c>
      <c r="I10388" s="26" t="str">
        <f t="shared" si="2"/>
        <v/>
      </c>
      <c r="J10388" s="86">
        <f t="shared" si="3"/>
        <v>0</v>
      </c>
      <c r="R10388" s="26"/>
    </row>
    <row r="10389" spans="1:18" ht="15.75" customHeight="1">
      <c r="A10389" s="26"/>
      <c r="B10389" s="86"/>
      <c r="D10389" s="26"/>
      <c r="F10389" s="87" t="str">
        <f t="shared" si="0"/>
        <v/>
      </c>
      <c r="H10389" s="26" t="str">
        <f t="shared" si="1"/>
        <v/>
      </c>
      <c r="I10389" s="26" t="str">
        <f t="shared" si="2"/>
        <v/>
      </c>
      <c r="J10389" s="86">
        <f t="shared" si="3"/>
        <v>0</v>
      </c>
      <c r="R10389" s="26"/>
    </row>
    <row r="10390" spans="1:18" ht="15.75" customHeight="1">
      <c r="A10390" s="26"/>
      <c r="B10390" s="86"/>
      <c r="D10390" s="26"/>
      <c r="F10390" s="87" t="str">
        <f t="shared" si="0"/>
        <v/>
      </c>
      <c r="H10390" s="26" t="str">
        <f t="shared" si="1"/>
        <v/>
      </c>
      <c r="I10390" s="26" t="str">
        <f t="shared" si="2"/>
        <v/>
      </c>
      <c r="J10390" s="86">
        <f t="shared" si="3"/>
        <v>0</v>
      </c>
      <c r="R10390" s="26"/>
    </row>
    <row r="10391" spans="1:18" ht="15.75" customHeight="1">
      <c r="A10391" s="26"/>
      <c r="B10391" s="86"/>
      <c r="D10391" s="26"/>
      <c r="F10391" s="87" t="str">
        <f t="shared" si="0"/>
        <v/>
      </c>
      <c r="H10391" s="26" t="str">
        <f t="shared" si="1"/>
        <v/>
      </c>
      <c r="I10391" s="26" t="str">
        <f t="shared" si="2"/>
        <v/>
      </c>
      <c r="J10391" s="86">
        <f t="shared" si="3"/>
        <v>0</v>
      </c>
      <c r="R10391" s="26"/>
    </row>
    <row r="10392" spans="1:18" ht="15.75" customHeight="1">
      <c r="A10392" s="26"/>
      <c r="B10392" s="86"/>
      <c r="D10392" s="26"/>
      <c r="F10392" s="87" t="str">
        <f t="shared" si="0"/>
        <v/>
      </c>
      <c r="H10392" s="26" t="str">
        <f t="shared" si="1"/>
        <v/>
      </c>
      <c r="I10392" s="26" t="str">
        <f t="shared" si="2"/>
        <v/>
      </c>
      <c r="J10392" s="86">
        <f t="shared" si="3"/>
        <v>0</v>
      </c>
      <c r="R10392" s="26"/>
    </row>
    <row r="10393" spans="1:18" ht="15.75" customHeight="1">
      <c r="A10393" s="26"/>
      <c r="B10393" s="86"/>
      <c r="D10393" s="26"/>
      <c r="F10393" s="87" t="str">
        <f t="shared" si="0"/>
        <v/>
      </c>
      <c r="H10393" s="26" t="str">
        <f t="shared" si="1"/>
        <v/>
      </c>
      <c r="I10393" s="26" t="str">
        <f t="shared" si="2"/>
        <v/>
      </c>
      <c r="J10393" s="86">
        <f t="shared" si="3"/>
        <v>0</v>
      </c>
      <c r="R10393" s="26"/>
    </row>
    <row r="10394" spans="1:18" ht="15.75" customHeight="1">
      <c r="A10394" s="26"/>
      <c r="B10394" s="86"/>
      <c r="D10394" s="26"/>
      <c r="F10394" s="87" t="str">
        <f t="shared" si="0"/>
        <v/>
      </c>
      <c r="H10394" s="26" t="str">
        <f t="shared" si="1"/>
        <v/>
      </c>
      <c r="I10394" s="26" t="str">
        <f t="shared" si="2"/>
        <v/>
      </c>
      <c r="J10394" s="86">
        <f t="shared" si="3"/>
        <v>0</v>
      </c>
      <c r="R10394" s="26"/>
    </row>
    <row r="10395" spans="1:18" ht="15.75" customHeight="1">
      <c r="A10395" s="26"/>
      <c r="B10395" s="86"/>
      <c r="D10395" s="26"/>
      <c r="F10395" s="87" t="str">
        <f t="shared" si="0"/>
        <v/>
      </c>
      <c r="H10395" s="26" t="str">
        <f t="shared" si="1"/>
        <v/>
      </c>
      <c r="I10395" s="26" t="str">
        <f t="shared" si="2"/>
        <v/>
      </c>
      <c r="J10395" s="86">
        <f t="shared" si="3"/>
        <v>0</v>
      </c>
      <c r="R10395" s="26"/>
    </row>
    <row r="10396" spans="1:18" ht="15.75" customHeight="1">
      <c r="A10396" s="26"/>
      <c r="B10396" s="86"/>
      <c r="D10396" s="26"/>
      <c r="F10396" s="87" t="str">
        <f t="shared" si="0"/>
        <v/>
      </c>
      <c r="H10396" s="26" t="str">
        <f t="shared" si="1"/>
        <v/>
      </c>
      <c r="I10396" s="26" t="str">
        <f t="shared" si="2"/>
        <v/>
      </c>
      <c r="J10396" s="86">
        <f t="shared" si="3"/>
        <v>0</v>
      </c>
      <c r="R10396" s="26"/>
    </row>
    <row r="10397" spans="1:18" ht="15.75" customHeight="1">
      <c r="A10397" s="26"/>
      <c r="B10397" s="86"/>
      <c r="D10397" s="26"/>
      <c r="F10397" s="87" t="str">
        <f t="shared" si="0"/>
        <v/>
      </c>
      <c r="H10397" s="26" t="str">
        <f t="shared" si="1"/>
        <v/>
      </c>
      <c r="I10397" s="26" t="str">
        <f t="shared" si="2"/>
        <v/>
      </c>
      <c r="J10397" s="86">
        <f t="shared" si="3"/>
        <v>0</v>
      </c>
      <c r="R10397" s="26"/>
    </row>
    <row r="10398" spans="1:18" ht="15.75" customHeight="1">
      <c r="A10398" s="26"/>
      <c r="B10398" s="86"/>
      <c r="D10398" s="26"/>
      <c r="F10398" s="87" t="str">
        <f t="shared" si="0"/>
        <v/>
      </c>
      <c r="H10398" s="26" t="str">
        <f t="shared" si="1"/>
        <v/>
      </c>
      <c r="I10398" s="26" t="str">
        <f t="shared" si="2"/>
        <v/>
      </c>
      <c r="J10398" s="86">
        <f t="shared" si="3"/>
        <v>0</v>
      </c>
      <c r="R10398" s="26"/>
    </row>
    <row r="10399" spans="1:18" ht="15.75" customHeight="1">
      <c r="A10399" s="26"/>
      <c r="B10399" s="86"/>
      <c r="D10399" s="26"/>
      <c r="F10399" s="87" t="str">
        <f t="shared" si="0"/>
        <v/>
      </c>
      <c r="H10399" s="26" t="str">
        <f t="shared" si="1"/>
        <v/>
      </c>
      <c r="I10399" s="26" t="str">
        <f t="shared" si="2"/>
        <v/>
      </c>
      <c r="J10399" s="86">
        <f t="shared" si="3"/>
        <v>0</v>
      </c>
      <c r="R10399" s="26"/>
    </row>
    <row r="10400" spans="1:18" ht="15.75" customHeight="1">
      <c r="A10400" s="26"/>
      <c r="B10400" s="86"/>
      <c r="D10400" s="26"/>
      <c r="F10400" s="87" t="str">
        <f t="shared" si="0"/>
        <v/>
      </c>
      <c r="H10400" s="26" t="str">
        <f t="shared" si="1"/>
        <v/>
      </c>
      <c r="I10400" s="26" t="str">
        <f t="shared" si="2"/>
        <v/>
      </c>
      <c r="J10400" s="86">
        <f t="shared" si="3"/>
        <v>0</v>
      </c>
      <c r="R10400" s="26"/>
    </row>
    <row r="10401" spans="1:18" ht="15.75" customHeight="1">
      <c r="A10401" s="26"/>
      <c r="B10401" s="86"/>
      <c r="D10401" s="26"/>
      <c r="F10401" s="87" t="str">
        <f t="shared" si="0"/>
        <v/>
      </c>
      <c r="H10401" s="26" t="str">
        <f t="shared" si="1"/>
        <v/>
      </c>
      <c r="I10401" s="26" t="str">
        <f t="shared" si="2"/>
        <v/>
      </c>
      <c r="J10401" s="86">
        <f t="shared" si="3"/>
        <v>0</v>
      </c>
      <c r="R10401" s="26"/>
    </row>
    <row r="10402" spans="1:18" ht="15.75" customHeight="1">
      <c r="A10402" s="26"/>
      <c r="B10402" s="86"/>
      <c r="D10402" s="26"/>
      <c r="F10402" s="87" t="str">
        <f t="shared" si="0"/>
        <v/>
      </c>
      <c r="H10402" s="26" t="str">
        <f t="shared" si="1"/>
        <v/>
      </c>
      <c r="I10402" s="26" t="str">
        <f t="shared" si="2"/>
        <v/>
      </c>
      <c r="J10402" s="86">
        <f t="shared" si="3"/>
        <v>0</v>
      </c>
      <c r="R10402" s="26"/>
    </row>
    <row r="10403" spans="1:18" ht="15.75" customHeight="1">
      <c r="A10403" s="26"/>
      <c r="B10403" s="86"/>
      <c r="D10403" s="26"/>
      <c r="F10403" s="87" t="str">
        <f t="shared" si="0"/>
        <v/>
      </c>
      <c r="H10403" s="26" t="str">
        <f t="shared" si="1"/>
        <v/>
      </c>
      <c r="I10403" s="26" t="str">
        <f t="shared" si="2"/>
        <v/>
      </c>
      <c r="J10403" s="86">
        <f t="shared" si="3"/>
        <v>0</v>
      </c>
      <c r="R10403" s="26"/>
    </row>
    <row r="10404" spans="1:18" ht="15.75" customHeight="1">
      <c r="A10404" s="26"/>
      <c r="B10404" s="86"/>
      <c r="D10404" s="26"/>
      <c r="F10404" s="87" t="str">
        <f t="shared" si="0"/>
        <v/>
      </c>
      <c r="H10404" s="26" t="str">
        <f t="shared" si="1"/>
        <v/>
      </c>
      <c r="I10404" s="26" t="str">
        <f t="shared" si="2"/>
        <v/>
      </c>
      <c r="J10404" s="86">
        <f t="shared" si="3"/>
        <v>0</v>
      </c>
      <c r="R10404" s="26"/>
    </row>
    <row r="10405" spans="1:18" ht="15.75" customHeight="1">
      <c r="A10405" s="26"/>
      <c r="B10405" s="86"/>
      <c r="D10405" s="26"/>
      <c r="F10405" s="87" t="str">
        <f t="shared" si="0"/>
        <v/>
      </c>
      <c r="H10405" s="26" t="str">
        <f t="shared" si="1"/>
        <v/>
      </c>
      <c r="I10405" s="26" t="str">
        <f t="shared" si="2"/>
        <v/>
      </c>
      <c r="J10405" s="86">
        <f t="shared" si="3"/>
        <v>0</v>
      </c>
      <c r="R10405" s="26"/>
    </row>
    <row r="10406" spans="1:18" ht="15.75" customHeight="1">
      <c r="A10406" s="26"/>
      <c r="B10406" s="86"/>
      <c r="D10406" s="26"/>
      <c r="F10406" s="87" t="str">
        <f t="shared" si="0"/>
        <v/>
      </c>
      <c r="H10406" s="26" t="str">
        <f t="shared" si="1"/>
        <v/>
      </c>
      <c r="I10406" s="26" t="str">
        <f t="shared" si="2"/>
        <v/>
      </c>
      <c r="J10406" s="86">
        <f t="shared" si="3"/>
        <v>0</v>
      </c>
      <c r="R10406" s="26"/>
    </row>
    <row r="10407" spans="1:18" ht="15.75" customHeight="1">
      <c r="A10407" s="26"/>
      <c r="B10407" s="86"/>
      <c r="D10407" s="26"/>
      <c r="F10407" s="87" t="str">
        <f t="shared" si="0"/>
        <v/>
      </c>
      <c r="H10407" s="26" t="str">
        <f t="shared" si="1"/>
        <v/>
      </c>
      <c r="I10407" s="26" t="str">
        <f t="shared" si="2"/>
        <v/>
      </c>
      <c r="J10407" s="86">
        <f t="shared" si="3"/>
        <v>0</v>
      </c>
      <c r="R10407" s="26"/>
    </row>
    <row r="10408" spans="1:18" ht="15.75" customHeight="1">
      <c r="A10408" s="26"/>
      <c r="B10408" s="86"/>
      <c r="D10408" s="26"/>
      <c r="F10408" s="87" t="str">
        <f t="shared" si="0"/>
        <v/>
      </c>
      <c r="H10408" s="26" t="str">
        <f t="shared" si="1"/>
        <v/>
      </c>
      <c r="I10408" s="26" t="str">
        <f t="shared" si="2"/>
        <v/>
      </c>
      <c r="J10408" s="86">
        <f t="shared" si="3"/>
        <v>0</v>
      </c>
      <c r="R10408" s="26"/>
    </row>
    <row r="10409" spans="1:18" ht="15.75" customHeight="1">
      <c r="A10409" s="26"/>
      <c r="B10409" s="86"/>
      <c r="D10409" s="26"/>
      <c r="F10409" s="87" t="str">
        <f t="shared" si="0"/>
        <v/>
      </c>
      <c r="H10409" s="26" t="str">
        <f t="shared" si="1"/>
        <v/>
      </c>
      <c r="I10409" s="26" t="str">
        <f t="shared" si="2"/>
        <v/>
      </c>
      <c r="J10409" s="86">
        <f t="shared" si="3"/>
        <v>0</v>
      </c>
      <c r="R10409" s="26"/>
    </row>
    <row r="10410" spans="1:18" ht="15.75" customHeight="1">
      <c r="A10410" s="26"/>
      <c r="B10410" s="86"/>
      <c r="D10410" s="26"/>
      <c r="F10410" s="87" t="str">
        <f t="shared" si="0"/>
        <v/>
      </c>
      <c r="H10410" s="26" t="str">
        <f t="shared" si="1"/>
        <v/>
      </c>
      <c r="I10410" s="26" t="str">
        <f t="shared" si="2"/>
        <v/>
      </c>
      <c r="J10410" s="86">
        <f t="shared" si="3"/>
        <v>0</v>
      </c>
      <c r="R10410" s="26"/>
    </row>
    <row r="10411" spans="1:18" ht="15.75" customHeight="1">
      <c r="A10411" s="26"/>
      <c r="B10411" s="86"/>
      <c r="D10411" s="26"/>
      <c r="F10411" s="87" t="str">
        <f t="shared" si="0"/>
        <v/>
      </c>
      <c r="H10411" s="26" t="str">
        <f t="shared" si="1"/>
        <v/>
      </c>
      <c r="I10411" s="26" t="str">
        <f t="shared" si="2"/>
        <v/>
      </c>
      <c r="J10411" s="86">
        <f t="shared" si="3"/>
        <v>0</v>
      </c>
      <c r="R10411" s="26"/>
    </row>
    <row r="10412" spans="1:18" ht="15.75" customHeight="1">
      <c r="A10412" s="26"/>
      <c r="B10412" s="86"/>
      <c r="D10412" s="26"/>
      <c r="F10412" s="87" t="str">
        <f t="shared" si="0"/>
        <v/>
      </c>
      <c r="H10412" s="26" t="str">
        <f t="shared" si="1"/>
        <v/>
      </c>
      <c r="I10412" s="26" t="str">
        <f t="shared" si="2"/>
        <v/>
      </c>
      <c r="J10412" s="86">
        <f t="shared" si="3"/>
        <v>0</v>
      </c>
      <c r="R10412" s="26"/>
    </row>
    <row r="10413" spans="1:18" ht="15.75" customHeight="1">
      <c r="A10413" s="26"/>
      <c r="B10413" s="86"/>
      <c r="D10413" s="26"/>
      <c r="F10413" s="87" t="str">
        <f t="shared" si="0"/>
        <v/>
      </c>
      <c r="H10413" s="26" t="str">
        <f t="shared" si="1"/>
        <v/>
      </c>
      <c r="I10413" s="26" t="str">
        <f t="shared" si="2"/>
        <v/>
      </c>
      <c r="J10413" s="86">
        <f t="shared" si="3"/>
        <v>0</v>
      </c>
      <c r="R10413" s="26"/>
    </row>
    <row r="10414" spans="1:18" ht="15.75" customHeight="1">
      <c r="A10414" s="26"/>
      <c r="B10414" s="86"/>
      <c r="D10414" s="26"/>
      <c r="F10414" s="87" t="str">
        <f t="shared" si="0"/>
        <v/>
      </c>
      <c r="H10414" s="26" t="str">
        <f t="shared" si="1"/>
        <v/>
      </c>
      <c r="I10414" s="26" t="str">
        <f t="shared" si="2"/>
        <v/>
      </c>
      <c r="J10414" s="86">
        <f t="shared" si="3"/>
        <v>0</v>
      </c>
      <c r="R10414" s="26"/>
    </row>
    <row r="10415" spans="1:18" ht="15.75" customHeight="1">
      <c r="A10415" s="26"/>
      <c r="B10415" s="86"/>
      <c r="D10415" s="26"/>
      <c r="F10415" s="87" t="str">
        <f t="shared" si="0"/>
        <v/>
      </c>
      <c r="H10415" s="26" t="str">
        <f t="shared" si="1"/>
        <v/>
      </c>
      <c r="I10415" s="26" t="str">
        <f t="shared" si="2"/>
        <v/>
      </c>
      <c r="J10415" s="86">
        <f t="shared" si="3"/>
        <v>0</v>
      </c>
      <c r="R10415" s="26"/>
    </row>
    <row r="10416" spans="1:18" ht="15.75" customHeight="1">
      <c r="A10416" s="26"/>
      <c r="B10416" s="86"/>
      <c r="D10416" s="26"/>
      <c r="F10416" s="87" t="str">
        <f t="shared" si="0"/>
        <v/>
      </c>
      <c r="H10416" s="26" t="str">
        <f t="shared" si="1"/>
        <v/>
      </c>
      <c r="I10416" s="26" t="str">
        <f t="shared" si="2"/>
        <v/>
      </c>
      <c r="J10416" s="86">
        <f t="shared" si="3"/>
        <v>0</v>
      </c>
      <c r="R10416" s="26"/>
    </row>
    <row r="10417" spans="1:18" ht="15.75" customHeight="1">
      <c r="A10417" s="26"/>
      <c r="B10417" s="86"/>
      <c r="D10417" s="26"/>
      <c r="F10417" s="87" t="str">
        <f t="shared" si="0"/>
        <v/>
      </c>
      <c r="H10417" s="26" t="str">
        <f t="shared" si="1"/>
        <v/>
      </c>
      <c r="I10417" s="26" t="str">
        <f t="shared" si="2"/>
        <v/>
      </c>
      <c r="J10417" s="86">
        <f t="shared" si="3"/>
        <v>0</v>
      </c>
      <c r="R10417" s="26"/>
    </row>
    <row r="10418" spans="1:18" ht="15.75" customHeight="1">
      <c r="A10418" s="26"/>
      <c r="B10418" s="86"/>
      <c r="D10418" s="26"/>
      <c r="F10418" s="87" t="str">
        <f t="shared" si="0"/>
        <v/>
      </c>
      <c r="H10418" s="26" t="str">
        <f t="shared" si="1"/>
        <v/>
      </c>
      <c r="I10418" s="26" t="str">
        <f t="shared" si="2"/>
        <v/>
      </c>
      <c r="J10418" s="86">
        <f t="shared" si="3"/>
        <v>0</v>
      </c>
      <c r="R10418" s="26"/>
    </row>
    <row r="10419" spans="1:18" ht="15.75" customHeight="1">
      <c r="A10419" s="26"/>
      <c r="B10419" s="86"/>
      <c r="D10419" s="26"/>
      <c r="F10419" s="87" t="str">
        <f t="shared" si="0"/>
        <v/>
      </c>
      <c r="H10419" s="26" t="str">
        <f t="shared" si="1"/>
        <v/>
      </c>
      <c r="I10419" s="26" t="str">
        <f t="shared" si="2"/>
        <v/>
      </c>
      <c r="J10419" s="86">
        <f t="shared" si="3"/>
        <v>0</v>
      </c>
      <c r="R10419" s="26"/>
    </row>
    <row r="10420" spans="1:18" ht="15.75" customHeight="1">
      <c r="A10420" s="26"/>
      <c r="B10420" s="86"/>
      <c r="D10420" s="26"/>
      <c r="F10420" s="87" t="str">
        <f t="shared" si="0"/>
        <v/>
      </c>
      <c r="H10420" s="26" t="str">
        <f t="shared" si="1"/>
        <v/>
      </c>
      <c r="I10420" s="26" t="str">
        <f t="shared" si="2"/>
        <v/>
      </c>
      <c r="J10420" s="86">
        <f t="shared" si="3"/>
        <v>0</v>
      </c>
      <c r="R10420" s="26"/>
    </row>
    <row r="10421" spans="1:18" ht="15.75" customHeight="1">
      <c r="A10421" s="26"/>
      <c r="B10421" s="86"/>
      <c r="D10421" s="26"/>
      <c r="F10421" s="87" t="str">
        <f t="shared" si="0"/>
        <v/>
      </c>
      <c r="H10421" s="26" t="str">
        <f t="shared" si="1"/>
        <v/>
      </c>
      <c r="I10421" s="26" t="str">
        <f t="shared" si="2"/>
        <v/>
      </c>
      <c r="J10421" s="86">
        <f t="shared" si="3"/>
        <v>0</v>
      </c>
      <c r="R10421" s="26"/>
    </row>
    <row r="10422" spans="1:18" ht="15.75" customHeight="1">
      <c r="A10422" s="26"/>
      <c r="B10422" s="86"/>
      <c r="D10422" s="26"/>
      <c r="F10422" s="87" t="str">
        <f t="shared" si="0"/>
        <v/>
      </c>
      <c r="H10422" s="26" t="str">
        <f t="shared" si="1"/>
        <v/>
      </c>
      <c r="I10422" s="26" t="str">
        <f t="shared" si="2"/>
        <v/>
      </c>
      <c r="J10422" s="86">
        <f t="shared" si="3"/>
        <v>0</v>
      </c>
      <c r="R10422" s="26"/>
    </row>
    <row r="10423" spans="1:18" ht="15.75" customHeight="1">
      <c r="A10423" s="26"/>
      <c r="B10423" s="86"/>
      <c r="D10423" s="26"/>
      <c r="F10423" s="87" t="str">
        <f t="shared" si="0"/>
        <v/>
      </c>
      <c r="H10423" s="26" t="str">
        <f t="shared" si="1"/>
        <v/>
      </c>
      <c r="I10423" s="26" t="str">
        <f t="shared" si="2"/>
        <v/>
      </c>
      <c r="J10423" s="86">
        <f t="shared" si="3"/>
        <v>0</v>
      </c>
      <c r="R10423" s="26"/>
    </row>
    <row r="10424" spans="1:18" ht="15.75" customHeight="1">
      <c r="A10424" s="26"/>
      <c r="B10424" s="86"/>
      <c r="D10424" s="26"/>
      <c r="F10424" s="87" t="str">
        <f t="shared" si="0"/>
        <v/>
      </c>
      <c r="H10424" s="26" t="str">
        <f t="shared" si="1"/>
        <v/>
      </c>
      <c r="I10424" s="26" t="str">
        <f t="shared" si="2"/>
        <v/>
      </c>
      <c r="J10424" s="86">
        <f t="shared" si="3"/>
        <v>0</v>
      </c>
      <c r="R10424" s="26"/>
    </row>
    <row r="10425" spans="1:18" ht="15.75" customHeight="1">
      <c r="A10425" s="26"/>
      <c r="B10425" s="86"/>
      <c r="D10425" s="26"/>
      <c r="F10425" s="87" t="str">
        <f t="shared" si="0"/>
        <v/>
      </c>
      <c r="H10425" s="26" t="str">
        <f t="shared" si="1"/>
        <v/>
      </c>
      <c r="I10425" s="26" t="str">
        <f t="shared" si="2"/>
        <v/>
      </c>
      <c r="J10425" s="86">
        <f t="shared" si="3"/>
        <v>0</v>
      </c>
      <c r="R10425" s="26"/>
    </row>
    <row r="10426" spans="1:18" ht="15.75" customHeight="1">
      <c r="A10426" s="26"/>
      <c r="B10426" s="86"/>
      <c r="D10426" s="26"/>
      <c r="F10426" s="87" t="str">
        <f t="shared" si="0"/>
        <v/>
      </c>
      <c r="H10426" s="26" t="str">
        <f t="shared" si="1"/>
        <v/>
      </c>
      <c r="I10426" s="26" t="str">
        <f t="shared" si="2"/>
        <v/>
      </c>
      <c r="J10426" s="86">
        <f t="shared" si="3"/>
        <v>0</v>
      </c>
      <c r="R10426" s="26"/>
    </row>
    <row r="10427" spans="1:18" ht="15.75" customHeight="1">
      <c r="A10427" s="26"/>
      <c r="B10427" s="86"/>
      <c r="D10427" s="26"/>
      <c r="F10427" s="87" t="str">
        <f t="shared" si="0"/>
        <v/>
      </c>
      <c r="H10427" s="26" t="str">
        <f t="shared" si="1"/>
        <v/>
      </c>
      <c r="I10427" s="26" t="str">
        <f t="shared" si="2"/>
        <v/>
      </c>
      <c r="J10427" s="86">
        <f t="shared" si="3"/>
        <v>0</v>
      </c>
      <c r="R10427" s="26"/>
    </row>
    <row r="10428" spans="1:18" ht="15.75" customHeight="1">
      <c r="A10428" s="26"/>
      <c r="B10428" s="86"/>
      <c r="D10428" s="26"/>
      <c r="F10428" s="87" t="str">
        <f t="shared" si="0"/>
        <v/>
      </c>
      <c r="H10428" s="26" t="str">
        <f t="shared" si="1"/>
        <v/>
      </c>
      <c r="I10428" s="26" t="str">
        <f t="shared" si="2"/>
        <v/>
      </c>
      <c r="J10428" s="86">
        <f t="shared" si="3"/>
        <v>0</v>
      </c>
      <c r="R10428" s="26"/>
    </row>
    <row r="10429" spans="1:18" ht="15.75" customHeight="1">
      <c r="A10429" s="26"/>
      <c r="B10429" s="86"/>
      <c r="D10429" s="26"/>
      <c r="F10429" s="87" t="str">
        <f t="shared" si="0"/>
        <v/>
      </c>
      <c r="H10429" s="26" t="str">
        <f t="shared" si="1"/>
        <v/>
      </c>
      <c r="I10429" s="26" t="str">
        <f t="shared" si="2"/>
        <v/>
      </c>
      <c r="J10429" s="86">
        <f t="shared" si="3"/>
        <v>0</v>
      </c>
      <c r="R10429" s="26"/>
    </row>
    <row r="10430" spans="1:18" ht="15.75" customHeight="1">
      <c r="A10430" s="26"/>
      <c r="B10430" s="86"/>
      <c r="D10430" s="26"/>
      <c r="F10430" s="87" t="str">
        <f t="shared" si="0"/>
        <v/>
      </c>
      <c r="H10430" s="26" t="str">
        <f t="shared" si="1"/>
        <v/>
      </c>
      <c r="I10430" s="26" t="str">
        <f t="shared" si="2"/>
        <v/>
      </c>
      <c r="J10430" s="86">
        <f t="shared" si="3"/>
        <v>0</v>
      </c>
      <c r="R10430" s="26"/>
    </row>
    <row r="10431" spans="1:18" ht="15.75" customHeight="1">
      <c r="A10431" s="26"/>
      <c r="B10431" s="86"/>
      <c r="D10431" s="26"/>
      <c r="F10431" s="87" t="str">
        <f t="shared" si="0"/>
        <v/>
      </c>
      <c r="H10431" s="26" t="str">
        <f t="shared" si="1"/>
        <v/>
      </c>
      <c r="I10431" s="26" t="str">
        <f t="shared" si="2"/>
        <v/>
      </c>
      <c r="J10431" s="86">
        <f t="shared" si="3"/>
        <v>0</v>
      </c>
      <c r="R10431" s="26"/>
    </row>
    <row r="10432" spans="1:18" ht="15.75" customHeight="1">
      <c r="A10432" s="26"/>
      <c r="B10432" s="86"/>
      <c r="D10432" s="26"/>
      <c r="F10432" s="87" t="str">
        <f t="shared" si="0"/>
        <v/>
      </c>
      <c r="H10432" s="26" t="str">
        <f t="shared" si="1"/>
        <v/>
      </c>
      <c r="I10432" s="26" t="str">
        <f t="shared" si="2"/>
        <v/>
      </c>
      <c r="J10432" s="86">
        <f t="shared" si="3"/>
        <v>0</v>
      </c>
      <c r="R10432" s="26"/>
    </row>
    <row r="10433" spans="1:18" ht="15.75" customHeight="1">
      <c r="A10433" s="26"/>
      <c r="B10433" s="86"/>
      <c r="D10433" s="26"/>
      <c r="F10433" s="87" t="str">
        <f t="shared" si="0"/>
        <v/>
      </c>
      <c r="H10433" s="26" t="str">
        <f t="shared" si="1"/>
        <v/>
      </c>
      <c r="I10433" s="26" t="str">
        <f t="shared" si="2"/>
        <v/>
      </c>
      <c r="J10433" s="86">
        <f t="shared" si="3"/>
        <v>0</v>
      </c>
      <c r="R10433" s="26"/>
    </row>
    <row r="10434" spans="1:18" ht="15.75" customHeight="1">
      <c r="A10434" s="26"/>
      <c r="B10434" s="86"/>
      <c r="D10434" s="26"/>
      <c r="F10434" s="87" t="str">
        <f t="shared" si="0"/>
        <v/>
      </c>
      <c r="H10434" s="26" t="str">
        <f t="shared" si="1"/>
        <v/>
      </c>
      <c r="I10434" s="26" t="str">
        <f t="shared" si="2"/>
        <v/>
      </c>
      <c r="J10434" s="86">
        <f t="shared" si="3"/>
        <v>0</v>
      </c>
      <c r="R10434" s="26"/>
    </row>
    <row r="10435" spans="1:18" ht="15.75" customHeight="1">
      <c r="A10435" s="26"/>
      <c r="B10435" s="86"/>
      <c r="D10435" s="26"/>
      <c r="F10435" s="87" t="str">
        <f t="shared" si="0"/>
        <v/>
      </c>
      <c r="H10435" s="26" t="str">
        <f t="shared" si="1"/>
        <v/>
      </c>
      <c r="I10435" s="26" t="str">
        <f t="shared" si="2"/>
        <v/>
      </c>
      <c r="J10435" s="86">
        <f t="shared" si="3"/>
        <v>0</v>
      </c>
      <c r="R10435" s="26"/>
    </row>
    <row r="10436" spans="1:18" ht="15.75" customHeight="1">
      <c r="A10436" s="26"/>
      <c r="B10436" s="86"/>
      <c r="D10436" s="26"/>
      <c r="F10436" s="87" t="str">
        <f t="shared" si="0"/>
        <v/>
      </c>
      <c r="H10436" s="26" t="str">
        <f t="shared" si="1"/>
        <v/>
      </c>
      <c r="I10436" s="26" t="str">
        <f t="shared" si="2"/>
        <v/>
      </c>
      <c r="J10436" s="86">
        <f t="shared" si="3"/>
        <v>0</v>
      </c>
      <c r="R10436" s="26"/>
    </row>
    <row r="10437" spans="1:18" ht="15.75" customHeight="1">
      <c r="A10437" s="26"/>
      <c r="B10437" s="86"/>
      <c r="D10437" s="26"/>
      <c r="F10437" s="87" t="str">
        <f t="shared" si="0"/>
        <v/>
      </c>
      <c r="H10437" s="26" t="str">
        <f t="shared" si="1"/>
        <v/>
      </c>
      <c r="I10437" s="26" t="str">
        <f t="shared" si="2"/>
        <v/>
      </c>
      <c r="J10437" s="86">
        <f t="shared" si="3"/>
        <v>0</v>
      </c>
      <c r="R10437" s="26"/>
    </row>
    <row r="10438" spans="1:18" ht="15.75" customHeight="1">
      <c r="A10438" s="26"/>
      <c r="B10438" s="86"/>
      <c r="D10438" s="26"/>
      <c r="F10438" s="87" t="str">
        <f t="shared" si="0"/>
        <v/>
      </c>
      <c r="H10438" s="26" t="str">
        <f t="shared" si="1"/>
        <v/>
      </c>
      <c r="I10438" s="26" t="str">
        <f t="shared" si="2"/>
        <v/>
      </c>
      <c r="J10438" s="86">
        <f t="shared" si="3"/>
        <v>0</v>
      </c>
      <c r="R10438" s="26"/>
    </row>
    <row r="10439" spans="1:18" ht="15.75" customHeight="1">
      <c r="A10439" s="26"/>
      <c r="B10439" s="86"/>
      <c r="D10439" s="26"/>
      <c r="F10439" s="87" t="str">
        <f t="shared" si="0"/>
        <v/>
      </c>
      <c r="H10439" s="26" t="str">
        <f t="shared" si="1"/>
        <v/>
      </c>
      <c r="I10439" s="26" t="str">
        <f t="shared" si="2"/>
        <v/>
      </c>
      <c r="J10439" s="86">
        <f t="shared" si="3"/>
        <v>0</v>
      </c>
      <c r="R10439" s="26"/>
    </row>
    <row r="10440" spans="1:18" ht="15.75" customHeight="1">
      <c r="A10440" s="26"/>
      <c r="B10440" s="86"/>
      <c r="D10440" s="26"/>
      <c r="F10440" s="87" t="str">
        <f t="shared" si="0"/>
        <v/>
      </c>
      <c r="H10440" s="26" t="str">
        <f t="shared" si="1"/>
        <v/>
      </c>
      <c r="I10440" s="26" t="str">
        <f t="shared" si="2"/>
        <v/>
      </c>
      <c r="J10440" s="86">
        <f t="shared" si="3"/>
        <v>0</v>
      </c>
      <c r="R10440" s="26"/>
    </row>
    <row r="10441" spans="1:18" ht="15.75" customHeight="1">
      <c r="A10441" s="26"/>
      <c r="B10441" s="86"/>
      <c r="D10441" s="26"/>
      <c r="F10441" s="87" t="str">
        <f t="shared" si="0"/>
        <v/>
      </c>
      <c r="H10441" s="26" t="str">
        <f t="shared" si="1"/>
        <v/>
      </c>
      <c r="I10441" s="26" t="str">
        <f t="shared" si="2"/>
        <v/>
      </c>
      <c r="J10441" s="86">
        <f t="shared" si="3"/>
        <v>0</v>
      </c>
      <c r="R10441" s="26"/>
    </row>
    <row r="10442" spans="1:18" ht="15.75" customHeight="1">
      <c r="A10442" s="26"/>
      <c r="B10442" s="86"/>
      <c r="D10442" s="26"/>
      <c r="F10442" s="87" t="str">
        <f t="shared" si="0"/>
        <v/>
      </c>
      <c r="H10442" s="26" t="str">
        <f t="shared" si="1"/>
        <v/>
      </c>
      <c r="I10442" s="26" t="str">
        <f t="shared" si="2"/>
        <v/>
      </c>
      <c r="J10442" s="86">
        <f t="shared" si="3"/>
        <v>0</v>
      </c>
      <c r="R10442" s="26"/>
    </row>
    <row r="10443" spans="1:18" ht="15.75" customHeight="1">
      <c r="A10443" s="26"/>
      <c r="B10443" s="86"/>
      <c r="D10443" s="26"/>
      <c r="F10443" s="87" t="str">
        <f t="shared" si="0"/>
        <v/>
      </c>
      <c r="H10443" s="26" t="str">
        <f t="shared" si="1"/>
        <v/>
      </c>
      <c r="I10443" s="26" t="str">
        <f t="shared" si="2"/>
        <v/>
      </c>
      <c r="J10443" s="86">
        <f t="shared" si="3"/>
        <v>0</v>
      </c>
      <c r="R10443" s="26"/>
    </row>
    <row r="10444" spans="1:18" ht="15.75" customHeight="1">
      <c r="A10444" s="26"/>
      <c r="B10444" s="86"/>
      <c r="D10444" s="26"/>
      <c r="F10444" s="87" t="str">
        <f t="shared" si="0"/>
        <v/>
      </c>
      <c r="H10444" s="26" t="str">
        <f t="shared" si="1"/>
        <v/>
      </c>
      <c r="I10444" s="26" t="str">
        <f t="shared" si="2"/>
        <v/>
      </c>
      <c r="J10444" s="86">
        <f t="shared" si="3"/>
        <v>0</v>
      </c>
      <c r="R10444" s="26"/>
    </row>
    <row r="10445" spans="1:18" ht="15.75" customHeight="1">
      <c r="A10445" s="26"/>
      <c r="B10445" s="86"/>
      <c r="D10445" s="26"/>
      <c r="F10445" s="87" t="str">
        <f t="shared" si="0"/>
        <v/>
      </c>
      <c r="H10445" s="26" t="str">
        <f t="shared" si="1"/>
        <v/>
      </c>
      <c r="I10445" s="26" t="str">
        <f t="shared" si="2"/>
        <v/>
      </c>
      <c r="J10445" s="86">
        <f t="shared" si="3"/>
        <v>0</v>
      </c>
      <c r="R10445" s="26"/>
    </row>
    <row r="10446" spans="1:18" ht="15.75" customHeight="1">
      <c r="A10446" s="26"/>
      <c r="B10446" s="86"/>
      <c r="D10446" s="26"/>
      <c r="F10446" s="87" t="str">
        <f t="shared" si="0"/>
        <v/>
      </c>
      <c r="H10446" s="26" t="str">
        <f t="shared" si="1"/>
        <v/>
      </c>
      <c r="I10446" s="26" t="str">
        <f t="shared" si="2"/>
        <v/>
      </c>
      <c r="J10446" s="86">
        <f t="shared" si="3"/>
        <v>0</v>
      </c>
      <c r="R10446" s="26"/>
    </row>
    <row r="10447" spans="1:18" ht="15.75" customHeight="1">
      <c r="A10447" s="26"/>
      <c r="B10447" s="86"/>
      <c r="D10447" s="26"/>
      <c r="F10447" s="87" t="str">
        <f t="shared" si="0"/>
        <v/>
      </c>
      <c r="H10447" s="26" t="str">
        <f t="shared" si="1"/>
        <v/>
      </c>
      <c r="I10447" s="26" t="str">
        <f t="shared" si="2"/>
        <v/>
      </c>
      <c r="J10447" s="86">
        <f t="shared" si="3"/>
        <v>0</v>
      </c>
      <c r="R10447" s="26"/>
    </row>
    <row r="10448" spans="1:18" ht="15.75" customHeight="1">
      <c r="A10448" s="26"/>
      <c r="B10448" s="86"/>
      <c r="D10448" s="26"/>
      <c r="F10448" s="87" t="str">
        <f t="shared" si="0"/>
        <v/>
      </c>
      <c r="H10448" s="26" t="str">
        <f t="shared" si="1"/>
        <v/>
      </c>
      <c r="I10448" s="26" t="str">
        <f t="shared" si="2"/>
        <v/>
      </c>
      <c r="J10448" s="86">
        <f t="shared" si="3"/>
        <v>0</v>
      </c>
      <c r="R10448" s="26"/>
    </row>
    <row r="10449" spans="1:18" ht="15.75" customHeight="1">
      <c r="A10449" s="26"/>
      <c r="B10449" s="86"/>
      <c r="D10449" s="26"/>
      <c r="F10449" s="87" t="str">
        <f t="shared" si="0"/>
        <v/>
      </c>
      <c r="H10449" s="26" t="str">
        <f t="shared" si="1"/>
        <v/>
      </c>
      <c r="I10449" s="26" t="str">
        <f t="shared" si="2"/>
        <v/>
      </c>
      <c r="J10449" s="86">
        <f t="shared" si="3"/>
        <v>0</v>
      </c>
      <c r="R10449" s="26"/>
    </row>
    <row r="10450" spans="1:18" ht="15.75" customHeight="1">
      <c r="A10450" s="26"/>
      <c r="B10450" s="86"/>
      <c r="D10450" s="26"/>
      <c r="F10450" s="87" t="str">
        <f t="shared" si="0"/>
        <v/>
      </c>
      <c r="H10450" s="26" t="str">
        <f t="shared" si="1"/>
        <v/>
      </c>
      <c r="I10450" s="26" t="str">
        <f t="shared" si="2"/>
        <v/>
      </c>
      <c r="J10450" s="86">
        <f t="shared" si="3"/>
        <v>0</v>
      </c>
      <c r="R10450" s="26"/>
    </row>
    <row r="10451" spans="1:18" ht="15.75" customHeight="1">
      <c r="A10451" s="26"/>
      <c r="B10451" s="86"/>
      <c r="D10451" s="26"/>
      <c r="F10451" s="87" t="str">
        <f t="shared" si="0"/>
        <v/>
      </c>
      <c r="H10451" s="26" t="str">
        <f t="shared" si="1"/>
        <v/>
      </c>
      <c r="I10451" s="26" t="str">
        <f t="shared" si="2"/>
        <v/>
      </c>
      <c r="J10451" s="86">
        <f t="shared" si="3"/>
        <v>0</v>
      </c>
      <c r="R10451" s="26"/>
    </row>
    <row r="10452" spans="1:18" ht="15.75" customHeight="1">
      <c r="A10452" s="26"/>
      <c r="B10452" s="86"/>
      <c r="D10452" s="26"/>
      <c r="F10452" s="87" t="str">
        <f t="shared" si="0"/>
        <v/>
      </c>
      <c r="H10452" s="26" t="str">
        <f t="shared" si="1"/>
        <v/>
      </c>
      <c r="I10452" s="26" t="str">
        <f t="shared" si="2"/>
        <v/>
      </c>
      <c r="J10452" s="86">
        <f t="shared" si="3"/>
        <v>0</v>
      </c>
      <c r="R10452" s="26"/>
    </row>
    <row r="10453" spans="1:18" ht="15.75" customHeight="1">
      <c r="A10453" s="26"/>
      <c r="B10453" s="86"/>
      <c r="D10453" s="26"/>
      <c r="F10453" s="87" t="str">
        <f t="shared" si="0"/>
        <v/>
      </c>
      <c r="H10453" s="26" t="str">
        <f t="shared" si="1"/>
        <v/>
      </c>
      <c r="I10453" s="26" t="str">
        <f t="shared" si="2"/>
        <v/>
      </c>
      <c r="J10453" s="86">
        <f t="shared" si="3"/>
        <v>0</v>
      </c>
      <c r="R10453" s="26"/>
    </row>
    <row r="10454" spans="1:18" ht="15.75" customHeight="1">
      <c r="A10454" s="26"/>
      <c r="B10454" s="86"/>
      <c r="D10454" s="26"/>
      <c r="F10454" s="87" t="str">
        <f t="shared" si="0"/>
        <v/>
      </c>
      <c r="H10454" s="26" t="str">
        <f t="shared" si="1"/>
        <v/>
      </c>
      <c r="I10454" s="26" t="str">
        <f t="shared" si="2"/>
        <v/>
      </c>
      <c r="J10454" s="86">
        <f t="shared" si="3"/>
        <v>0</v>
      </c>
      <c r="R10454" s="26"/>
    </row>
    <row r="10455" spans="1:18" ht="15.75" customHeight="1">
      <c r="A10455" s="26"/>
      <c r="B10455" s="86"/>
      <c r="D10455" s="26"/>
      <c r="F10455" s="87" t="str">
        <f t="shared" si="0"/>
        <v/>
      </c>
      <c r="H10455" s="26" t="str">
        <f t="shared" si="1"/>
        <v/>
      </c>
      <c r="I10455" s="26" t="str">
        <f t="shared" si="2"/>
        <v/>
      </c>
      <c r="J10455" s="86">
        <f t="shared" si="3"/>
        <v>0</v>
      </c>
      <c r="R10455" s="26"/>
    </row>
    <row r="10456" spans="1:18" ht="15.75" customHeight="1">
      <c r="A10456" s="26"/>
      <c r="B10456" s="86"/>
      <c r="D10456" s="26"/>
      <c r="F10456" s="87" t="str">
        <f t="shared" si="0"/>
        <v/>
      </c>
      <c r="H10456" s="26" t="str">
        <f t="shared" si="1"/>
        <v/>
      </c>
      <c r="I10456" s="26" t="str">
        <f t="shared" si="2"/>
        <v/>
      </c>
      <c r="J10456" s="86">
        <f t="shared" si="3"/>
        <v>0</v>
      </c>
      <c r="R10456" s="26"/>
    </row>
    <row r="10457" spans="1:18" ht="15.75" customHeight="1">
      <c r="A10457" s="26"/>
      <c r="B10457" s="86"/>
      <c r="D10457" s="26"/>
      <c r="F10457" s="87" t="str">
        <f t="shared" si="0"/>
        <v/>
      </c>
      <c r="H10457" s="26" t="str">
        <f t="shared" si="1"/>
        <v/>
      </c>
      <c r="I10457" s="26" t="str">
        <f t="shared" si="2"/>
        <v/>
      </c>
      <c r="J10457" s="86">
        <f t="shared" si="3"/>
        <v>0</v>
      </c>
      <c r="R10457" s="26"/>
    </row>
    <row r="10458" spans="1:18" ht="15.75" customHeight="1">
      <c r="A10458" s="26"/>
      <c r="B10458" s="86"/>
      <c r="D10458" s="26"/>
      <c r="F10458" s="87" t="str">
        <f t="shared" si="0"/>
        <v/>
      </c>
      <c r="H10458" s="26" t="str">
        <f t="shared" si="1"/>
        <v/>
      </c>
      <c r="I10458" s="26" t="str">
        <f t="shared" si="2"/>
        <v/>
      </c>
      <c r="J10458" s="86">
        <f t="shared" si="3"/>
        <v>0</v>
      </c>
      <c r="R10458" s="26"/>
    </row>
    <row r="10459" spans="1:18" ht="15.75" customHeight="1">
      <c r="A10459" s="26"/>
      <c r="B10459" s="86"/>
      <c r="D10459" s="26"/>
      <c r="F10459" s="87" t="str">
        <f t="shared" si="0"/>
        <v/>
      </c>
      <c r="H10459" s="26" t="str">
        <f t="shared" si="1"/>
        <v/>
      </c>
      <c r="I10459" s="26" t="str">
        <f t="shared" si="2"/>
        <v/>
      </c>
      <c r="J10459" s="86">
        <f t="shared" si="3"/>
        <v>0</v>
      </c>
      <c r="R10459" s="26"/>
    </row>
    <row r="10460" spans="1:18" ht="15.75" customHeight="1">
      <c r="A10460" s="26"/>
      <c r="B10460" s="86"/>
      <c r="D10460" s="26"/>
      <c r="F10460" s="87" t="str">
        <f t="shared" si="0"/>
        <v/>
      </c>
      <c r="H10460" s="26" t="str">
        <f t="shared" si="1"/>
        <v/>
      </c>
      <c r="I10460" s="26" t="str">
        <f t="shared" si="2"/>
        <v/>
      </c>
      <c r="J10460" s="86">
        <f t="shared" si="3"/>
        <v>0</v>
      </c>
      <c r="R10460" s="26"/>
    </row>
    <row r="10461" spans="1:18" ht="15.75" customHeight="1">
      <c r="A10461" s="26"/>
      <c r="B10461" s="86"/>
      <c r="D10461" s="26"/>
      <c r="F10461" s="87" t="str">
        <f t="shared" si="0"/>
        <v/>
      </c>
      <c r="H10461" s="26" t="str">
        <f t="shared" si="1"/>
        <v/>
      </c>
      <c r="I10461" s="26" t="str">
        <f t="shared" si="2"/>
        <v/>
      </c>
      <c r="J10461" s="86">
        <f t="shared" si="3"/>
        <v>0</v>
      </c>
      <c r="R10461" s="26"/>
    </row>
    <row r="10462" spans="1:18" ht="15.75" customHeight="1">
      <c r="A10462" s="26"/>
      <c r="B10462" s="86"/>
      <c r="D10462" s="26"/>
      <c r="F10462" s="87" t="str">
        <f t="shared" si="0"/>
        <v/>
      </c>
      <c r="H10462" s="26" t="str">
        <f t="shared" si="1"/>
        <v/>
      </c>
      <c r="I10462" s="26" t="str">
        <f t="shared" si="2"/>
        <v/>
      </c>
      <c r="J10462" s="86">
        <f t="shared" si="3"/>
        <v>0</v>
      </c>
      <c r="R10462" s="26"/>
    </row>
    <row r="10463" spans="1:18" ht="15.75" customHeight="1">
      <c r="A10463" s="26"/>
      <c r="B10463" s="86"/>
      <c r="D10463" s="26"/>
      <c r="F10463" s="87" t="str">
        <f t="shared" si="0"/>
        <v/>
      </c>
      <c r="H10463" s="26" t="str">
        <f t="shared" si="1"/>
        <v/>
      </c>
      <c r="I10463" s="26" t="str">
        <f t="shared" si="2"/>
        <v/>
      </c>
      <c r="J10463" s="86">
        <f t="shared" si="3"/>
        <v>0</v>
      </c>
      <c r="R10463" s="26"/>
    </row>
    <row r="10464" spans="1:18" ht="15.75" customHeight="1">
      <c r="A10464" s="26"/>
      <c r="B10464" s="86"/>
      <c r="D10464" s="26"/>
      <c r="F10464" s="87" t="str">
        <f t="shared" si="0"/>
        <v/>
      </c>
      <c r="H10464" s="26" t="str">
        <f t="shared" si="1"/>
        <v/>
      </c>
      <c r="I10464" s="26" t="str">
        <f t="shared" si="2"/>
        <v/>
      </c>
      <c r="J10464" s="86">
        <f t="shared" si="3"/>
        <v>0</v>
      </c>
      <c r="R10464" s="26"/>
    </row>
    <row r="10465" spans="1:18" ht="15.75" customHeight="1">
      <c r="A10465" s="26"/>
      <c r="B10465" s="86"/>
      <c r="D10465" s="26"/>
      <c r="F10465" s="87" t="str">
        <f t="shared" si="0"/>
        <v/>
      </c>
      <c r="H10465" s="26" t="str">
        <f t="shared" si="1"/>
        <v/>
      </c>
      <c r="I10465" s="26" t="str">
        <f t="shared" si="2"/>
        <v/>
      </c>
      <c r="J10465" s="86">
        <f t="shared" si="3"/>
        <v>0</v>
      </c>
      <c r="R10465" s="26"/>
    </row>
    <row r="10466" spans="1:18" ht="15.75" customHeight="1">
      <c r="A10466" s="26"/>
      <c r="B10466" s="86"/>
      <c r="D10466" s="26"/>
      <c r="F10466" s="87" t="str">
        <f t="shared" si="0"/>
        <v/>
      </c>
      <c r="H10466" s="26" t="str">
        <f t="shared" si="1"/>
        <v/>
      </c>
      <c r="I10466" s="26" t="str">
        <f t="shared" si="2"/>
        <v/>
      </c>
      <c r="J10466" s="86">
        <f t="shared" si="3"/>
        <v>0</v>
      </c>
      <c r="R10466" s="26"/>
    </row>
    <row r="10467" spans="1:18" ht="15.75" customHeight="1">
      <c r="A10467" s="26"/>
      <c r="B10467" s="86"/>
      <c r="D10467" s="26"/>
      <c r="F10467" s="87" t="str">
        <f t="shared" si="0"/>
        <v/>
      </c>
      <c r="H10467" s="26" t="str">
        <f t="shared" si="1"/>
        <v/>
      </c>
      <c r="I10467" s="26" t="str">
        <f t="shared" si="2"/>
        <v/>
      </c>
      <c r="J10467" s="86">
        <f t="shared" si="3"/>
        <v>0</v>
      </c>
      <c r="R10467" s="26"/>
    </row>
    <row r="10468" spans="1:18" ht="15.75" customHeight="1">
      <c r="A10468" s="26"/>
      <c r="B10468" s="86"/>
      <c r="D10468" s="26"/>
      <c r="F10468" s="87" t="str">
        <f t="shared" si="0"/>
        <v/>
      </c>
      <c r="H10468" s="26" t="str">
        <f t="shared" si="1"/>
        <v/>
      </c>
      <c r="I10468" s="26" t="str">
        <f t="shared" si="2"/>
        <v/>
      </c>
      <c r="J10468" s="86">
        <f t="shared" si="3"/>
        <v>0</v>
      </c>
      <c r="R10468" s="26"/>
    </row>
    <row r="10469" spans="1:18" ht="15.75" customHeight="1">
      <c r="A10469" s="26"/>
      <c r="B10469" s="86"/>
      <c r="D10469" s="26"/>
      <c r="F10469" s="87" t="str">
        <f t="shared" si="0"/>
        <v/>
      </c>
      <c r="H10469" s="26" t="str">
        <f t="shared" si="1"/>
        <v/>
      </c>
      <c r="I10469" s="26" t="str">
        <f t="shared" si="2"/>
        <v/>
      </c>
      <c r="J10469" s="86">
        <f t="shared" si="3"/>
        <v>0</v>
      </c>
      <c r="R10469" s="26"/>
    </row>
    <row r="10470" spans="1:18" ht="15.75" customHeight="1">
      <c r="A10470" s="26"/>
      <c r="B10470" s="86"/>
      <c r="D10470" s="26"/>
      <c r="F10470" s="87" t="str">
        <f t="shared" si="0"/>
        <v/>
      </c>
      <c r="H10470" s="26" t="str">
        <f t="shared" si="1"/>
        <v/>
      </c>
      <c r="I10470" s="26" t="str">
        <f t="shared" si="2"/>
        <v/>
      </c>
      <c r="J10470" s="86">
        <f t="shared" si="3"/>
        <v>0</v>
      </c>
      <c r="R10470" s="26"/>
    </row>
    <row r="10471" spans="1:18" ht="15.75" customHeight="1">
      <c r="A10471" s="26"/>
      <c r="B10471" s="86"/>
      <c r="D10471" s="26"/>
      <c r="F10471" s="87" t="str">
        <f t="shared" si="0"/>
        <v/>
      </c>
      <c r="H10471" s="26" t="str">
        <f t="shared" si="1"/>
        <v/>
      </c>
      <c r="I10471" s="26" t="str">
        <f t="shared" si="2"/>
        <v/>
      </c>
      <c r="J10471" s="86">
        <f t="shared" si="3"/>
        <v>0</v>
      </c>
      <c r="R10471" s="26"/>
    </row>
    <row r="10472" spans="1:18" ht="15.75" customHeight="1">
      <c r="A10472" s="26"/>
      <c r="B10472" s="86"/>
      <c r="D10472" s="26"/>
      <c r="F10472" s="87" t="str">
        <f t="shared" si="0"/>
        <v/>
      </c>
      <c r="H10472" s="26" t="str">
        <f t="shared" si="1"/>
        <v/>
      </c>
      <c r="I10472" s="26" t="str">
        <f t="shared" si="2"/>
        <v/>
      </c>
      <c r="J10472" s="86">
        <f t="shared" si="3"/>
        <v>0</v>
      </c>
      <c r="R10472" s="26"/>
    </row>
    <row r="10473" spans="1:18" ht="15.75" customHeight="1">
      <c r="A10473" s="26"/>
      <c r="B10473" s="86"/>
      <c r="D10473" s="26"/>
      <c r="F10473" s="87" t="str">
        <f t="shared" si="0"/>
        <v/>
      </c>
      <c r="H10473" s="26" t="str">
        <f t="shared" si="1"/>
        <v/>
      </c>
      <c r="I10473" s="26" t="str">
        <f t="shared" si="2"/>
        <v/>
      </c>
      <c r="J10473" s="86">
        <f t="shared" si="3"/>
        <v>0</v>
      </c>
      <c r="R10473" s="26"/>
    </row>
    <row r="10474" spans="1:18" ht="15.75" customHeight="1">
      <c r="A10474" s="26"/>
      <c r="B10474" s="86"/>
      <c r="D10474" s="26"/>
      <c r="F10474" s="87" t="str">
        <f t="shared" si="0"/>
        <v/>
      </c>
      <c r="H10474" s="26" t="str">
        <f t="shared" si="1"/>
        <v/>
      </c>
      <c r="I10474" s="26" t="str">
        <f t="shared" si="2"/>
        <v/>
      </c>
      <c r="J10474" s="86">
        <f t="shared" si="3"/>
        <v>0</v>
      </c>
      <c r="R10474" s="26"/>
    </row>
    <row r="10475" spans="1:18" ht="15.75" customHeight="1">
      <c r="A10475" s="26"/>
      <c r="B10475" s="86"/>
      <c r="D10475" s="26"/>
      <c r="F10475" s="87" t="str">
        <f t="shared" si="0"/>
        <v/>
      </c>
      <c r="H10475" s="26" t="str">
        <f t="shared" si="1"/>
        <v/>
      </c>
      <c r="I10475" s="26" t="str">
        <f t="shared" si="2"/>
        <v/>
      </c>
      <c r="J10475" s="86">
        <f t="shared" si="3"/>
        <v>0</v>
      </c>
      <c r="R10475" s="26"/>
    </row>
    <row r="10476" spans="1:18" ht="15.75" customHeight="1">
      <c r="A10476" s="26"/>
      <c r="B10476" s="86"/>
      <c r="D10476" s="26"/>
      <c r="F10476" s="87" t="str">
        <f t="shared" si="0"/>
        <v/>
      </c>
      <c r="H10476" s="26" t="str">
        <f t="shared" si="1"/>
        <v/>
      </c>
      <c r="I10476" s="26" t="str">
        <f t="shared" si="2"/>
        <v/>
      </c>
      <c r="J10476" s="86">
        <f t="shared" si="3"/>
        <v>0</v>
      </c>
      <c r="R10476" s="26"/>
    </row>
    <row r="10477" spans="1:18" ht="15.75" customHeight="1">
      <c r="A10477" s="26"/>
      <c r="B10477" s="86"/>
      <c r="D10477" s="26"/>
      <c r="F10477" s="87" t="str">
        <f t="shared" si="0"/>
        <v/>
      </c>
      <c r="H10477" s="26" t="str">
        <f t="shared" si="1"/>
        <v/>
      </c>
      <c r="I10477" s="26" t="str">
        <f t="shared" si="2"/>
        <v/>
      </c>
      <c r="J10477" s="86">
        <f t="shared" si="3"/>
        <v>0</v>
      </c>
      <c r="R10477" s="26"/>
    </row>
    <row r="10478" spans="1:18" ht="15.75" customHeight="1">
      <c r="A10478" s="26"/>
      <c r="B10478" s="86"/>
      <c r="D10478" s="26"/>
      <c r="F10478" s="87" t="str">
        <f t="shared" si="0"/>
        <v/>
      </c>
      <c r="H10478" s="26" t="str">
        <f t="shared" si="1"/>
        <v/>
      </c>
      <c r="I10478" s="26" t="str">
        <f t="shared" si="2"/>
        <v/>
      </c>
      <c r="J10478" s="86">
        <f t="shared" si="3"/>
        <v>0</v>
      </c>
      <c r="R10478" s="26"/>
    </row>
    <row r="10479" spans="1:18" ht="15.75" customHeight="1">
      <c r="A10479" s="26"/>
      <c r="B10479" s="86"/>
      <c r="D10479" s="26"/>
      <c r="F10479" s="87" t="str">
        <f t="shared" si="0"/>
        <v/>
      </c>
      <c r="H10479" s="26" t="str">
        <f t="shared" si="1"/>
        <v/>
      </c>
      <c r="I10479" s="26" t="str">
        <f t="shared" si="2"/>
        <v/>
      </c>
      <c r="J10479" s="86">
        <f t="shared" si="3"/>
        <v>0</v>
      </c>
      <c r="R10479" s="26"/>
    </row>
    <row r="10480" spans="1:18" ht="15.75" customHeight="1">
      <c r="A10480" s="26"/>
      <c r="B10480" s="86"/>
      <c r="D10480" s="26"/>
      <c r="F10480" s="87" t="str">
        <f t="shared" si="0"/>
        <v/>
      </c>
      <c r="H10480" s="26" t="str">
        <f t="shared" si="1"/>
        <v/>
      </c>
      <c r="I10480" s="26" t="str">
        <f t="shared" si="2"/>
        <v/>
      </c>
      <c r="J10480" s="86">
        <f t="shared" si="3"/>
        <v>0</v>
      </c>
      <c r="R10480" s="26"/>
    </row>
    <row r="10481" spans="1:18" ht="15.75" customHeight="1">
      <c r="A10481" s="26"/>
      <c r="B10481" s="86"/>
      <c r="D10481" s="26"/>
      <c r="F10481" s="87" t="str">
        <f t="shared" si="0"/>
        <v/>
      </c>
      <c r="H10481" s="26" t="str">
        <f t="shared" si="1"/>
        <v/>
      </c>
      <c r="I10481" s="26" t="str">
        <f t="shared" si="2"/>
        <v/>
      </c>
      <c r="J10481" s="86">
        <f t="shared" si="3"/>
        <v>0</v>
      </c>
      <c r="R10481" s="26"/>
    </row>
    <row r="10482" spans="1:18" ht="15.75" customHeight="1">
      <c r="A10482" s="26"/>
      <c r="B10482" s="86"/>
      <c r="D10482" s="26"/>
      <c r="F10482" s="87" t="str">
        <f t="shared" si="0"/>
        <v/>
      </c>
      <c r="H10482" s="26" t="str">
        <f t="shared" si="1"/>
        <v/>
      </c>
      <c r="I10482" s="26" t="str">
        <f t="shared" si="2"/>
        <v/>
      </c>
      <c r="J10482" s="86">
        <f t="shared" si="3"/>
        <v>0</v>
      </c>
      <c r="R10482" s="26"/>
    </row>
    <row r="10483" spans="1:18" ht="15.75" customHeight="1">
      <c r="A10483" s="26"/>
      <c r="B10483" s="86"/>
      <c r="D10483" s="26"/>
      <c r="F10483" s="87" t="str">
        <f t="shared" si="0"/>
        <v/>
      </c>
      <c r="H10483" s="26" t="str">
        <f t="shared" si="1"/>
        <v/>
      </c>
      <c r="I10483" s="26" t="str">
        <f t="shared" si="2"/>
        <v/>
      </c>
      <c r="J10483" s="86">
        <f t="shared" si="3"/>
        <v>0</v>
      </c>
      <c r="R10483" s="26"/>
    </row>
    <row r="10484" spans="1:18" ht="15.75" customHeight="1">
      <c r="A10484" s="26"/>
      <c r="B10484" s="86"/>
      <c r="D10484" s="26"/>
      <c r="F10484" s="87" t="str">
        <f t="shared" si="0"/>
        <v/>
      </c>
      <c r="H10484" s="26" t="str">
        <f t="shared" si="1"/>
        <v/>
      </c>
      <c r="I10484" s="26" t="str">
        <f t="shared" si="2"/>
        <v/>
      </c>
      <c r="J10484" s="86">
        <f t="shared" si="3"/>
        <v>0</v>
      </c>
      <c r="R10484" s="26"/>
    </row>
    <row r="10485" spans="1:18" ht="15.75" customHeight="1">
      <c r="A10485" s="26"/>
      <c r="B10485" s="86"/>
      <c r="D10485" s="26"/>
      <c r="F10485" s="87" t="str">
        <f t="shared" si="0"/>
        <v/>
      </c>
      <c r="H10485" s="26" t="str">
        <f t="shared" si="1"/>
        <v/>
      </c>
      <c r="I10485" s="26" t="str">
        <f t="shared" si="2"/>
        <v/>
      </c>
      <c r="J10485" s="86">
        <f t="shared" si="3"/>
        <v>0</v>
      </c>
      <c r="R10485" s="26"/>
    </row>
    <row r="10486" spans="1:18" ht="15.75" customHeight="1">
      <c r="A10486" s="26"/>
      <c r="B10486" s="86"/>
      <c r="D10486" s="26"/>
      <c r="F10486" s="87" t="str">
        <f t="shared" si="0"/>
        <v/>
      </c>
      <c r="H10486" s="26" t="str">
        <f t="shared" si="1"/>
        <v/>
      </c>
      <c r="I10486" s="26" t="str">
        <f t="shared" si="2"/>
        <v/>
      </c>
      <c r="J10486" s="86">
        <f t="shared" si="3"/>
        <v>0</v>
      </c>
      <c r="R10486" s="26"/>
    </row>
    <row r="10487" spans="1:18" ht="15.75" customHeight="1">
      <c r="A10487" s="26"/>
      <c r="B10487" s="86"/>
      <c r="D10487" s="26"/>
      <c r="F10487" s="87" t="str">
        <f t="shared" si="0"/>
        <v/>
      </c>
      <c r="H10487" s="26" t="str">
        <f t="shared" si="1"/>
        <v/>
      </c>
      <c r="I10487" s="26" t="str">
        <f t="shared" si="2"/>
        <v/>
      </c>
      <c r="J10487" s="86">
        <f t="shared" si="3"/>
        <v>0</v>
      </c>
      <c r="R10487" s="26"/>
    </row>
    <row r="10488" spans="1:18" ht="15.75" customHeight="1">
      <c r="A10488" s="26"/>
      <c r="B10488" s="86"/>
      <c r="D10488" s="26"/>
      <c r="F10488" s="87" t="str">
        <f t="shared" si="0"/>
        <v/>
      </c>
      <c r="H10488" s="26" t="str">
        <f t="shared" si="1"/>
        <v/>
      </c>
      <c r="I10488" s="26" t="str">
        <f t="shared" si="2"/>
        <v/>
      </c>
      <c r="J10488" s="86">
        <f t="shared" si="3"/>
        <v>0</v>
      </c>
      <c r="R10488" s="26"/>
    </row>
    <row r="10489" spans="1:18" ht="15.75" customHeight="1">
      <c r="A10489" s="26"/>
      <c r="B10489" s="86"/>
      <c r="D10489" s="26"/>
      <c r="F10489" s="87" t="str">
        <f t="shared" si="0"/>
        <v/>
      </c>
      <c r="H10489" s="26" t="str">
        <f t="shared" si="1"/>
        <v/>
      </c>
      <c r="I10489" s="26" t="str">
        <f t="shared" si="2"/>
        <v/>
      </c>
      <c r="J10489" s="86">
        <f t="shared" si="3"/>
        <v>0</v>
      </c>
      <c r="R10489" s="26"/>
    </row>
    <row r="10490" spans="1:18" ht="15.75" customHeight="1">
      <c r="A10490" s="26"/>
      <c r="B10490" s="86"/>
      <c r="D10490" s="26"/>
      <c r="F10490" s="87" t="str">
        <f t="shared" si="0"/>
        <v/>
      </c>
      <c r="H10490" s="26" t="str">
        <f t="shared" si="1"/>
        <v/>
      </c>
      <c r="I10490" s="26" t="str">
        <f t="shared" si="2"/>
        <v/>
      </c>
      <c r="J10490" s="86">
        <f t="shared" si="3"/>
        <v>0</v>
      </c>
      <c r="R10490" s="26"/>
    </row>
    <row r="10491" spans="1:18" ht="15.75" customHeight="1">
      <c r="A10491" s="26"/>
      <c r="B10491" s="86"/>
      <c r="D10491" s="26"/>
      <c r="F10491" s="87" t="str">
        <f t="shared" si="0"/>
        <v/>
      </c>
      <c r="H10491" s="26" t="str">
        <f t="shared" si="1"/>
        <v/>
      </c>
      <c r="I10491" s="26" t="str">
        <f t="shared" si="2"/>
        <v/>
      </c>
      <c r="J10491" s="86">
        <f t="shared" si="3"/>
        <v>0</v>
      </c>
      <c r="R10491" s="26"/>
    </row>
    <row r="10492" spans="1:18" ht="15.75" customHeight="1">
      <c r="A10492" s="26"/>
      <c r="B10492" s="86"/>
      <c r="D10492" s="26"/>
      <c r="F10492" s="87" t="str">
        <f t="shared" si="0"/>
        <v/>
      </c>
      <c r="H10492" s="26" t="str">
        <f t="shared" si="1"/>
        <v/>
      </c>
      <c r="I10492" s="26" t="str">
        <f t="shared" si="2"/>
        <v/>
      </c>
      <c r="J10492" s="86">
        <f t="shared" si="3"/>
        <v>0</v>
      </c>
      <c r="R10492" s="26"/>
    </row>
    <row r="10493" spans="1:18" ht="15.75" customHeight="1">
      <c r="A10493" s="26"/>
      <c r="B10493" s="86"/>
      <c r="D10493" s="26"/>
      <c r="F10493" s="87" t="str">
        <f t="shared" si="0"/>
        <v/>
      </c>
      <c r="H10493" s="26" t="str">
        <f t="shared" si="1"/>
        <v/>
      </c>
      <c r="I10493" s="26" t="str">
        <f t="shared" si="2"/>
        <v/>
      </c>
      <c r="J10493" s="86">
        <f t="shared" si="3"/>
        <v>0</v>
      </c>
      <c r="R10493" s="26"/>
    </row>
    <row r="10494" spans="1:18" ht="15.75" customHeight="1">
      <c r="A10494" s="26"/>
      <c r="B10494" s="86"/>
      <c r="D10494" s="26"/>
      <c r="F10494" s="87" t="str">
        <f t="shared" si="0"/>
        <v/>
      </c>
      <c r="H10494" s="26" t="str">
        <f t="shared" si="1"/>
        <v/>
      </c>
      <c r="I10494" s="26" t="str">
        <f t="shared" si="2"/>
        <v/>
      </c>
      <c r="J10494" s="86">
        <f t="shared" si="3"/>
        <v>0</v>
      </c>
      <c r="R10494" s="26"/>
    </row>
    <row r="10495" spans="1:18" ht="15.75" customHeight="1">
      <c r="A10495" s="26"/>
      <c r="B10495" s="86"/>
      <c r="D10495" s="26"/>
      <c r="F10495" s="87" t="str">
        <f t="shared" si="0"/>
        <v/>
      </c>
      <c r="H10495" s="26" t="str">
        <f t="shared" si="1"/>
        <v/>
      </c>
      <c r="I10495" s="26" t="str">
        <f t="shared" si="2"/>
        <v/>
      </c>
      <c r="J10495" s="86">
        <f t="shared" si="3"/>
        <v>0</v>
      </c>
      <c r="R10495" s="26"/>
    </row>
    <row r="10496" spans="1:18" ht="15.75" customHeight="1">
      <c r="A10496" s="26"/>
      <c r="B10496" s="86"/>
      <c r="D10496" s="26"/>
      <c r="F10496" s="87" t="str">
        <f t="shared" si="0"/>
        <v/>
      </c>
      <c r="H10496" s="26" t="str">
        <f t="shared" si="1"/>
        <v/>
      </c>
      <c r="I10496" s="26" t="str">
        <f t="shared" si="2"/>
        <v/>
      </c>
      <c r="J10496" s="86">
        <f t="shared" si="3"/>
        <v>0</v>
      </c>
      <c r="R10496" s="26"/>
    </row>
    <row r="10497" spans="1:18" ht="15.75" customHeight="1">
      <c r="A10497" s="26"/>
      <c r="B10497" s="86"/>
      <c r="D10497" s="26"/>
      <c r="F10497" s="87" t="str">
        <f t="shared" si="0"/>
        <v/>
      </c>
      <c r="H10497" s="26" t="str">
        <f t="shared" si="1"/>
        <v/>
      </c>
      <c r="I10497" s="26" t="str">
        <f t="shared" si="2"/>
        <v/>
      </c>
      <c r="J10497" s="86">
        <f t="shared" si="3"/>
        <v>0</v>
      </c>
      <c r="R10497" s="26"/>
    </row>
    <row r="10498" spans="1:18" ht="15.75" customHeight="1">
      <c r="A10498" s="26"/>
      <c r="B10498" s="86"/>
      <c r="D10498" s="26"/>
      <c r="F10498" s="87" t="str">
        <f t="shared" si="0"/>
        <v/>
      </c>
      <c r="H10498" s="26" t="str">
        <f t="shared" si="1"/>
        <v/>
      </c>
      <c r="I10498" s="26" t="str">
        <f t="shared" si="2"/>
        <v/>
      </c>
      <c r="J10498" s="86">
        <f t="shared" si="3"/>
        <v>0</v>
      </c>
      <c r="R10498" s="26"/>
    </row>
    <row r="10499" spans="1:18" ht="15.75" customHeight="1">
      <c r="A10499" s="26"/>
      <c r="B10499" s="86"/>
      <c r="D10499" s="26"/>
      <c r="F10499" s="87" t="str">
        <f t="shared" si="0"/>
        <v/>
      </c>
      <c r="H10499" s="26" t="str">
        <f t="shared" si="1"/>
        <v/>
      </c>
      <c r="I10499" s="26" t="str">
        <f t="shared" si="2"/>
        <v/>
      </c>
      <c r="J10499" s="86">
        <f t="shared" si="3"/>
        <v>0</v>
      </c>
      <c r="R10499" s="26"/>
    </row>
    <row r="10500" spans="1:18" ht="15.75" customHeight="1">
      <c r="A10500" s="26"/>
      <c r="B10500" s="86"/>
      <c r="D10500" s="26"/>
      <c r="F10500" s="87" t="str">
        <f t="shared" si="0"/>
        <v/>
      </c>
      <c r="H10500" s="26" t="str">
        <f t="shared" si="1"/>
        <v/>
      </c>
      <c r="I10500" s="26" t="str">
        <f t="shared" si="2"/>
        <v/>
      </c>
      <c r="J10500" s="86">
        <f t="shared" si="3"/>
        <v>0</v>
      </c>
      <c r="R10500" s="26"/>
    </row>
    <row r="10501" spans="1:18" ht="15.75" customHeight="1">
      <c r="A10501" s="26"/>
      <c r="B10501" s="86"/>
      <c r="D10501" s="26"/>
      <c r="F10501" s="87" t="str">
        <f t="shared" si="0"/>
        <v/>
      </c>
      <c r="H10501" s="26" t="str">
        <f t="shared" si="1"/>
        <v/>
      </c>
      <c r="I10501" s="26" t="str">
        <f t="shared" si="2"/>
        <v/>
      </c>
      <c r="J10501" s="86">
        <f t="shared" si="3"/>
        <v>0</v>
      </c>
      <c r="R10501" s="26"/>
    </row>
    <row r="10502" spans="1:18" ht="15.75" customHeight="1">
      <c r="A10502" s="26"/>
      <c r="B10502" s="86"/>
      <c r="D10502" s="26"/>
      <c r="F10502" s="87" t="str">
        <f t="shared" si="0"/>
        <v/>
      </c>
      <c r="H10502" s="26" t="str">
        <f t="shared" si="1"/>
        <v/>
      </c>
      <c r="I10502" s="26" t="str">
        <f t="shared" si="2"/>
        <v/>
      </c>
      <c r="J10502" s="86">
        <f t="shared" si="3"/>
        <v>0</v>
      </c>
      <c r="R10502" s="26"/>
    </row>
    <row r="10503" spans="1:18" ht="15.75" customHeight="1">
      <c r="A10503" s="26"/>
      <c r="B10503" s="86"/>
      <c r="D10503" s="26"/>
      <c r="F10503" s="87" t="str">
        <f t="shared" si="0"/>
        <v/>
      </c>
      <c r="H10503" s="26" t="str">
        <f t="shared" si="1"/>
        <v/>
      </c>
      <c r="I10503" s="26" t="str">
        <f t="shared" si="2"/>
        <v/>
      </c>
      <c r="J10503" s="86">
        <f t="shared" si="3"/>
        <v>0</v>
      </c>
      <c r="R10503" s="26"/>
    </row>
    <row r="10504" spans="1:18" ht="15.75" customHeight="1">
      <c r="A10504" s="26"/>
      <c r="B10504" s="86"/>
      <c r="D10504" s="26"/>
      <c r="F10504" s="87" t="str">
        <f t="shared" si="0"/>
        <v/>
      </c>
      <c r="H10504" s="26" t="str">
        <f t="shared" si="1"/>
        <v/>
      </c>
      <c r="I10504" s="26" t="str">
        <f t="shared" si="2"/>
        <v/>
      </c>
      <c r="J10504" s="86">
        <f t="shared" si="3"/>
        <v>0</v>
      </c>
      <c r="R10504" s="26"/>
    </row>
    <row r="10505" spans="1:18" ht="15.75" customHeight="1">
      <c r="A10505" s="26"/>
      <c r="B10505" s="86"/>
      <c r="D10505" s="26"/>
      <c r="F10505" s="87" t="str">
        <f t="shared" si="0"/>
        <v/>
      </c>
      <c r="H10505" s="26" t="str">
        <f t="shared" si="1"/>
        <v/>
      </c>
      <c r="I10505" s="26" t="str">
        <f t="shared" si="2"/>
        <v/>
      </c>
      <c r="J10505" s="86">
        <f t="shared" si="3"/>
        <v>0</v>
      </c>
      <c r="R10505" s="26"/>
    </row>
    <row r="10506" spans="1:18" ht="15.75" customHeight="1">
      <c r="A10506" s="26"/>
      <c r="B10506" s="86"/>
      <c r="D10506" s="26"/>
      <c r="F10506" s="87" t="str">
        <f t="shared" si="0"/>
        <v/>
      </c>
      <c r="H10506" s="26" t="str">
        <f t="shared" si="1"/>
        <v/>
      </c>
      <c r="I10506" s="26" t="str">
        <f t="shared" si="2"/>
        <v/>
      </c>
      <c r="J10506" s="86">
        <f t="shared" si="3"/>
        <v>0</v>
      </c>
      <c r="R10506" s="26"/>
    </row>
    <row r="10507" spans="1:18" ht="15.75" customHeight="1">
      <c r="A10507" s="26"/>
      <c r="B10507" s="86"/>
      <c r="D10507" s="26"/>
      <c r="F10507" s="87" t="str">
        <f t="shared" si="0"/>
        <v/>
      </c>
      <c r="H10507" s="26" t="str">
        <f t="shared" si="1"/>
        <v/>
      </c>
      <c r="I10507" s="26" t="str">
        <f t="shared" si="2"/>
        <v/>
      </c>
      <c r="J10507" s="86">
        <f t="shared" si="3"/>
        <v>0</v>
      </c>
      <c r="R10507" s="26"/>
    </row>
    <row r="10508" spans="1:18" ht="15.75" customHeight="1">
      <c r="A10508" s="26"/>
      <c r="B10508" s="86"/>
      <c r="D10508" s="26"/>
      <c r="F10508" s="87" t="str">
        <f t="shared" si="0"/>
        <v/>
      </c>
      <c r="H10508" s="26" t="str">
        <f t="shared" si="1"/>
        <v/>
      </c>
      <c r="I10508" s="26" t="str">
        <f t="shared" si="2"/>
        <v/>
      </c>
      <c r="J10508" s="86">
        <f t="shared" si="3"/>
        <v>0</v>
      </c>
      <c r="R10508" s="26"/>
    </row>
    <row r="10509" spans="1:18" ht="15.75" customHeight="1">
      <c r="A10509" s="26"/>
      <c r="B10509" s="86"/>
      <c r="D10509" s="26"/>
      <c r="F10509" s="87" t="str">
        <f t="shared" si="0"/>
        <v/>
      </c>
      <c r="H10509" s="26" t="str">
        <f t="shared" si="1"/>
        <v/>
      </c>
      <c r="I10509" s="26" t="str">
        <f t="shared" si="2"/>
        <v/>
      </c>
      <c r="J10509" s="86">
        <f t="shared" si="3"/>
        <v>0</v>
      </c>
      <c r="R10509" s="26"/>
    </row>
    <row r="10510" spans="1:18" ht="15.75" customHeight="1">
      <c r="A10510" s="26"/>
      <c r="B10510" s="86"/>
      <c r="D10510" s="26"/>
      <c r="F10510" s="87" t="str">
        <f t="shared" si="0"/>
        <v/>
      </c>
      <c r="H10510" s="26" t="str">
        <f t="shared" si="1"/>
        <v/>
      </c>
      <c r="I10510" s="26" t="str">
        <f t="shared" si="2"/>
        <v/>
      </c>
      <c r="J10510" s="86">
        <f t="shared" si="3"/>
        <v>0</v>
      </c>
      <c r="R10510" s="26"/>
    </row>
    <row r="10511" spans="1:18" ht="15.75" customHeight="1">
      <c r="A10511" s="26"/>
      <c r="B10511" s="86"/>
      <c r="D10511" s="26"/>
      <c r="F10511" s="87" t="str">
        <f t="shared" si="0"/>
        <v/>
      </c>
      <c r="H10511" s="26" t="str">
        <f t="shared" si="1"/>
        <v/>
      </c>
      <c r="I10511" s="26" t="str">
        <f t="shared" si="2"/>
        <v/>
      </c>
      <c r="J10511" s="86">
        <f t="shared" si="3"/>
        <v>0</v>
      </c>
      <c r="R10511" s="26"/>
    </row>
    <row r="10512" spans="1:18" ht="15.75" customHeight="1">
      <c r="A10512" s="26"/>
      <c r="B10512" s="86"/>
      <c r="D10512" s="26"/>
      <c r="F10512" s="87" t="str">
        <f t="shared" si="0"/>
        <v/>
      </c>
      <c r="H10512" s="26" t="str">
        <f t="shared" si="1"/>
        <v/>
      </c>
      <c r="I10512" s="26" t="str">
        <f t="shared" si="2"/>
        <v/>
      </c>
      <c r="J10512" s="86">
        <f t="shared" si="3"/>
        <v>0</v>
      </c>
      <c r="R10512" s="26"/>
    </row>
    <row r="10513" spans="1:18" ht="15.75" customHeight="1">
      <c r="A10513" s="26"/>
      <c r="B10513" s="86"/>
      <c r="D10513" s="26"/>
      <c r="F10513" s="87" t="str">
        <f t="shared" si="0"/>
        <v/>
      </c>
      <c r="H10513" s="26" t="str">
        <f t="shared" si="1"/>
        <v/>
      </c>
      <c r="I10513" s="26" t="str">
        <f t="shared" si="2"/>
        <v/>
      </c>
      <c r="J10513" s="86">
        <f t="shared" si="3"/>
        <v>0</v>
      </c>
      <c r="R10513" s="26"/>
    </row>
    <row r="10514" spans="1:18" ht="15.75" customHeight="1">
      <c r="A10514" s="26"/>
      <c r="B10514" s="86"/>
      <c r="D10514" s="26"/>
      <c r="F10514" s="87" t="str">
        <f t="shared" si="0"/>
        <v/>
      </c>
      <c r="H10514" s="26" t="str">
        <f t="shared" si="1"/>
        <v/>
      </c>
      <c r="I10514" s="26" t="str">
        <f t="shared" si="2"/>
        <v/>
      </c>
      <c r="J10514" s="86">
        <f t="shared" si="3"/>
        <v>0</v>
      </c>
      <c r="R10514" s="26"/>
    </row>
    <row r="10515" spans="1:18" ht="15.75" customHeight="1">
      <c r="A10515" s="26"/>
      <c r="B10515" s="86"/>
      <c r="D10515" s="26"/>
      <c r="F10515" s="87" t="str">
        <f t="shared" si="0"/>
        <v/>
      </c>
      <c r="H10515" s="26" t="str">
        <f t="shared" si="1"/>
        <v/>
      </c>
      <c r="I10515" s="26" t="str">
        <f t="shared" si="2"/>
        <v/>
      </c>
      <c r="J10515" s="86">
        <f t="shared" si="3"/>
        <v>0</v>
      </c>
      <c r="R10515" s="26"/>
    </row>
    <row r="10516" spans="1:18" ht="15.75" customHeight="1">
      <c r="A10516" s="26"/>
      <c r="B10516" s="86"/>
      <c r="D10516" s="26"/>
      <c r="F10516" s="87" t="str">
        <f t="shared" si="0"/>
        <v/>
      </c>
      <c r="H10516" s="26" t="str">
        <f t="shared" si="1"/>
        <v/>
      </c>
      <c r="I10516" s="26" t="str">
        <f t="shared" si="2"/>
        <v/>
      </c>
      <c r="J10516" s="86">
        <f t="shared" si="3"/>
        <v>0</v>
      </c>
      <c r="R10516" s="26"/>
    </row>
    <row r="10517" spans="1:18" ht="15.75" customHeight="1">
      <c r="A10517" s="26"/>
      <c r="B10517" s="86"/>
      <c r="D10517" s="26"/>
      <c r="F10517" s="87" t="str">
        <f t="shared" si="0"/>
        <v/>
      </c>
      <c r="H10517" s="26" t="str">
        <f t="shared" si="1"/>
        <v/>
      </c>
      <c r="I10517" s="26" t="str">
        <f t="shared" si="2"/>
        <v/>
      </c>
      <c r="J10517" s="86">
        <f t="shared" si="3"/>
        <v>0</v>
      </c>
      <c r="R10517" s="26"/>
    </row>
    <row r="10518" spans="1:18" ht="15.75" customHeight="1">
      <c r="A10518" s="26"/>
      <c r="B10518" s="86"/>
      <c r="D10518" s="26"/>
      <c r="F10518" s="87" t="str">
        <f t="shared" si="0"/>
        <v/>
      </c>
      <c r="H10518" s="26" t="str">
        <f t="shared" si="1"/>
        <v/>
      </c>
      <c r="I10518" s="26" t="str">
        <f t="shared" si="2"/>
        <v/>
      </c>
      <c r="J10518" s="86">
        <f t="shared" si="3"/>
        <v>0</v>
      </c>
      <c r="R10518" s="26"/>
    </row>
    <row r="10519" spans="1:18" ht="15.75" customHeight="1">
      <c r="A10519" s="26"/>
      <c r="B10519" s="86"/>
      <c r="D10519" s="26"/>
      <c r="F10519" s="87" t="str">
        <f t="shared" si="0"/>
        <v/>
      </c>
      <c r="H10519" s="26" t="str">
        <f t="shared" si="1"/>
        <v/>
      </c>
      <c r="I10519" s="26" t="str">
        <f t="shared" si="2"/>
        <v/>
      </c>
      <c r="J10519" s="86">
        <f t="shared" si="3"/>
        <v>0</v>
      </c>
      <c r="R10519" s="26"/>
    </row>
    <row r="10520" spans="1:18" ht="15.75" customHeight="1">
      <c r="A10520" s="26"/>
      <c r="B10520" s="86"/>
      <c r="D10520" s="26"/>
      <c r="F10520" s="87" t="str">
        <f t="shared" si="0"/>
        <v/>
      </c>
      <c r="H10520" s="26" t="str">
        <f t="shared" si="1"/>
        <v/>
      </c>
      <c r="I10520" s="26" t="str">
        <f t="shared" si="2"/>
        <v/>
      </c>
      <c r="J10520" s="86">
        <f t="shared" si="3"/>
        <v>0</v>
      </c>
      <c r="R10520" s="26"/>
    </row>
    <row r="10521" spans="1:18" ht="15.75" customHeight="1">
      <c r="A10521" s="26"/>
      <c r="B10521" s="86"/>
      <c r="D10521" s="26"/>
      <c r="F10521" s="87" t="str">
        <f t="shared" si="0"/>
        <v/>
      </c>
      <c r="H10521" s="26" t="str">
        <f t="shared" si="1"/>
        <v/>
      </c>
      <c r="I10521" s="26" t="str">
        <f t="shared" si="2"/>
        <v/>
      </c>
      <c r="J10521" s="86">
        <f t="shared" si="3"/>
        <v>0</v>
      </c>
      <c r="R10521" s="26"/>
    </row>
    <row r="10522" spans="1:18" ht="15.75" customHeight="1">
      <c r="A10522" s="26"/>
      <c r="B10522" s="86"/>
      <c r="D10522" s="26"/>
      <c r="F10522" s="87" t="str">
        <f t="shared" si="0"/>
        <v/>
      </c>
      <c r="H10522" s="26" t="str">
        <f t="shared" si="1"/>
        <v/>
      </c>
      <c r="I10522" s="26" t="str">
        <f t="shared" si="2"/>
        <v/>
      </c>
      <c r="J10522" s="86">
        <f t="shared" si="3"/>
        <v>0</v>
      </c>
      <c r="R10522" s="26"/>
    </row>
    <row r="10523" spans="1:18" ht="15.75" customHeight="1">
      <c r="A10523" s="26"/>
      <c r="B10523" s="86"/>
      <c r="D10523" s="26"/>
      <c r="F10523" s="87" t="str">
        <f t="shared" si="0"/>
        <v/>
      </c>
      <c r="H10523" s="26" t="str">
        <f t="shared" si="1"/>
        <v/>
      </c>
      <c r="I10523" s="26" t="str">
        <f t="shared" si="2"/>
        <v/>
      </c>
      <c r="J10523" s="86">
        <f t="shared" si="3"/>
        <v>0</v>
      </c>
      <c r="R10523" s="26"/>
    </row>
    <row r="10524" spans="1:18" ht="15.75" customHeight="1">
      <c r="A10524" s="26"/>
      <c r="B10524" s="86"/>
      <c r="D10524" s="26"/>
      <c r="F10524" s="87" t="str">
        <f t="shared" si="0"/>
        <v/>
      </c>
      <c r="H10524" s="26" t="str">
        <f t="shared" si="1"/>
        <v/>
      </c>
      <c r="I10524" s="26" t="str">
        <f t="shared" si="2"/>
        <v/>
      </c>
      <c r="J10524" s="86">
        <f t="shared" si="3"/>
        <v>0</v>
      </c>
      <c r="R10524" s="26"/>
    </row>
    <row r="10525" spans="1:18" ht="15.75" customHeight="1">
      <c r="A10525" s="26"/>
      <c r="B10525" s="86"/>
      <c r="D10525" s="26"/>
      <c r="F10525" s="87" t="str">
        <f t="shared" si="0"/>
        <v/>
      </c>
      <c r="H10525" s="26" t="str">
        <f t="shared" si="1"/>
        <v/>
      </c>
      <c r="I10525" s="26" t="str">
        <f t="shared" si="2"/>
        <v/>
      </c>
      <c r="J10525" s="86">
        <f t="shared" si="3"/>
        <v>0</v>
      </c>
      <c r="R10525" s="26"/>
    </row>
    <row r="10526" spans="1:18" ht="15.75" customHeight="1">
      <c r="A10526" s="26"/>
      <c r="B10526" s="86"/>
      <c r="D10526" s="26"/>
      <c r="F10526" s="87" t="str">
        <f t="shared" si="0"/>
        <v/>
      </c>
      <c r="H10526" s="26" t="str">
        <f t="shared" si="1"/>
        <v/>
      </c>
      <c r="I10526" s="26" t="str">
        <f t="shared" si="2"/>
        <v/>
      </c>
      <c r="J10526" s="86">
        <f t="shared" si="3"/>
        <v>0</v>
      </c>
      <c r="R10526" s="26"/>
    </row>
    <row r="10527" spans="1:18" ht="15.75" customHeight="1">
      <c r="A10527" s="26"/>
      <c r="B10527" s="86"/>
      <c r="D10527" s="26"/>
      <c r="F10527" s="87" t="str">
        <f t="shared" si="0"/>
        <v/>
      </c>
      <c r="H10527" s="26" t="str">
        <f t="shared" si="1"/>
        <v/>
      </c>
      <c r="I10527" s="26" t="str">
        <f t="shared" si="2"/>
        <v/>
      </c>
      <c r="J10527" s="86">
        <f t="shared" si="3"/>
        <v>0</v>
      </c>
      <c r="R10527" s="26"/>
    </row>
    <row r="10528" spans="1:18" ht="15.75" customHeight="1">
      <c r="A10528" s="26"/>
      <c r="B10528" s="86"/>
      <c r="D10528" s="26"/>
      <c r="F10528" s="87" t="str">
        <f t="shared" si="0"/>
        <v/>
      </c>
      <c r="H10528" s="26" t="str">
        <f t="shared" si="1"/>
        <v/>
      </c>
      <c r="I10528" s="26" t="str">
        <f t="shared" si="2"/>
        <v/>
      </c>
      <c r="J10528" s="86">
        <f t="shared" si="3"/>
        <v>0</v>
      </c>
      <c r="R10528" s="26"/>
    </row>
    <row r="10529" spans="1:18" ht="15.75" customHeight="1">
      <c r="A10529" s="26"/>
      <c r="B10529" s="86"/>
      <c r="D10529" s="26"/>
      <c r="F10529" s="87" t="str">
        <f t="shared" si="0"/>
        <v/>
      </c>
      <c r="H10529" s="26" t="str">
        <f t="shared" si="1"/>
        <v/>
      </c>
      <c r="I10529" s="26" t="str">
        <f t="shared" si="2"/>
        <v/>
      </c>
      <c r="J10529" s="86">
        <f t="shared" si="3"/>
        <v>0</v>
      </c>
      <c r="R10529" s="26"/>
    </row>
    <row r="10530" spans="1:18" ht="15.75" customHeight="1">
      <c r="A10530" s="26"/>
      <c r="B10530" s="86"/>
      <c r="D10530" s="26"/>
      <c r="F10530" s="87" t="str">
        <f t="shared" si="0"/>
        <v/>
      </c>
      <c r="H10530" s="26" t="str">
        <f t="shared" si="1"/>
        <v/>
      </c>
      <c r="I10530" s="26" t="str">
        <f t="shared" si="2"/>
        <v/>
      </c>
      <c r="J10530" s="86">
        <f t="shared" si="3"/>
        <v>0</v>
      </c>
      <c r="R10530" s="26"/>
    </row>
    <row r="10531" spans="1:18" ht="15.75" customHeight="1">
      <c r="A10531" s="26"/>
      <c r="B10531" s="86"/>
      <c r="D10531" s="26"/>
      <c r="F10531" s="87" t="str">
        <f t="shared" si="0"/>
        <v/>
      </c>
      <c r="H10531" s="26" t="str">
        <f t="shared" si="1"/>
        <v/>
      </c>
      <c r="I10531" s="26" t="str">
        <f t="shared" si="2"/>
        <v/>
      </c>
      <c r="J10531" s="86">
        <f t="shared" si="3"/>
        <v>0</v>
      </c>
      <c r="R10531" s="26"/>
    </row>
    <row r="10532" spans="1:18" ht="15.75" customHeight="1">
      <c r="A10532" s="26"/>
      <c r="B10532" s="86"/>
      <c r="D10532" s="26"/>
      <c r="F10532" s="87" t="str">
        <f t="shared" si="0"/>
        <v/>
      </c>
      <c r="H10532" s="26" t="str">
        <f t="shared" si="1"/>
        <v/>
      </c>
      <c r="I10532" s="26" t="str">
        <f t="shared" si="2"/>
        <v/>
      </c>
      <c r="J10532" s="86">
        <f t="shared" si="3"/>
        <v>0</v>
      </c>
      <c r="R10532" s="26"/>
    </row>
    <row r="10533" spans="1:18" ht="15.75" customHeight="1">
      <c r="A10533" s="26"/>
      <c r="B10533" s="86"/>
      <c r="D10533" s="26"/>
      <c r="F10533" s="87" t="str">
        <f t="shared" si="0"/>
        <v/>
      </c>
      <c r="H10533" s="26" t="str">
        <f t="shared" si="1"/>
        <v/>
      </c>
      <c r="I10533" s="26" t="str">
        <f t="shared" si="2"/>
        <v/>
      </c>
      <c r="J10533" s="86">
        <f t="shared" si="3"/>
        <v>0</v>
      </c>
      <c r="R10533" s="26"/>
    </row>
    <row r="10534" spans="1:18" ht="15.75" customHeight="1">
      <c r="A10534" s="26"/>
      <c r="B10534" s="86"/>
      <c r="D10534" s="26"/>
      <c r="F10534" s="87" t="str">
        <f t="shared" si="0"/>
        <v/>
      </c>
      <c r="H10534" s="26" t="str">
        <f t="shared" si="1"/>
        <v/>
      </c>
      <c r="I10534" s="26" t="str">
        <f t="shared" si="2"/>
        <v/>
      </c>
      <c r="J10534" s="86">
        <f t="shared" si="3"/>
        <v>0</v>
      </c>
      <c r="R10534" s="26"/>
    </row>
    <row r="10535" spans="1:18" ht="15.75" customHeight="1">
      <c r="A10535" s="26"/>
      <c r="B10535" s="86"/>
      <c r="D10535" s="26"/>
      <c r="F10535" s="87" t="str">
        <f t="shared" si="0"/>
        <v/>
      </c>
      <c r="H10535" s="26" t="str">
        <f t="shared" si="1"/>
        <v/>
      </c>
      <c r="I10535" s="26" t="str">
        <f t="shared" si="2"/>
        <v/>
      </c>
      <c r="J10535" s="86">
        <f t="shared" si="3"/>
        <v>0</v>
      </c>
      <c r="R10535" s="26"/>
    </row>
    <row r="10536" spans="1:18" ht="15.75" customHeight="1">
      <c r="A10536" s="26"/>
      <c r="B10536" s="86"/>
      <c r="D10536" s="26"/>
      <c r="F10536" s="87" t="str">
        <f t="shared" si="0"/>
        <v/>
      </c>
      <c r="H10536" s="26" t="str">
        <f t="shared" si="1"/>
        <v/>
      </c>
      <c r="I10536" s="26" t="str">
        <f t="shared" si="2"/>
        <v/>
      </c>
      <c r="J10536" s="86">
        <f t="shared" si="3"/>
        <v>0</v>
      </c>
      <c r="R10536" s="26"/>
    </row>
    <row r="10537" spans="1:18" ht="15.75" customHeight="1">
      <c r="A10537" s="26"/>
      <c r="B10537" s="86"/>
      <c r="D10537" s="26"/>
      <c r="F10537" s="87" t="str">
        <f t="shared" si="0"/>
        <v/>
      </c>
      <c r="H10537" s="26" t="str">
        <f t="shared" si="1"/>
        <v/>
      </c>
      <c r="I10537" s="26" t="str">
        <f t="shared" si="2"/>
        <v/>
      </c>
      <c r="J10537" s="86">
        <f t="shared" si="3"/>
        <v>0</v>
      </c>
      <c r="R10537" s="26"/>
    </row>
    <row r="10538" spans="1:18" ht="15.75" customHeight="1">
      <c r="A10538" s="26"/>
      <c r="B10538" s="86"/>
      <c r="D10538" s="26"/>
      <c r="F10538" s="87" t="str">
        <f t="shared" si="0"/>
        <v/>
      </c>
      <c r="H10538" s="26" t="str">
        <f t="shared" si="1"/>
        <v/>
      </c>
      <c r="I10538" s="26" t="str">
        <f t="shared" si="2"/>
        <v/>
      </c>
      <c r="J10538" s="86">
        <f t="shared" si="3"/>
        <v>0</v>
      </c>
      <c r="R10538" s="26"/>
    </row>
    <row r="10539" spans="1:18" ht="15.75" customHeight="1">
      <c r="A10539" s="26"/>
      <c r="B10539" s="86"/>
      <c r="D10539" s="26"/>
      <c r="F10539" s="87" t="str">
        <f t="shared" si="0"/>
        <v/>
      </c>
      <c r="H10539" s="26" t="str">
        <f t="shared" si="1"/>
        <v/>
      </c>
      <c r="I10539" s="26" t="str">
        <f t="shared" si="2"/>
        <v/>
      </c>
      <c r="J10539" s="86">
        <f t="shared" si="3"/>
        <v>0</v>
      </c>
      <c r="R10539" s="26"/>
    </row>
    <row r="10540" spans="1:18" ht="15.75" customHeight="1">
      <c r="A10540" s="26"/>
      <c r="B10540" s="86"/>
      <c r="D10540" s="26"/>
      <c r="F10540" s="87" t="str">
        <f t="shared" si="0"/>
        <v/>
      </c>
      <c r="H10540" s="26" t="str">
        <f t="shared" si="1"/>
        <v/>
      </c>
      <c r="I10540" s="26" t="str">
        <f t="shared" si="2"/>
        <v/>
      </c>
      <c r="J10540" s="86">
        <f t="shared" si="3"/>
        <v>0</v>
      </c>
      <c r="R10540" s="26"/>
    </row>
    <row r="10541" spans="1:18" ht="15.75" customHeight="1">
      <c r="A10541" s="26"/>
      <c r="B10541" s="86"/>
      <c r="D10541" s="26"/>
      <c r="F10541" s="87" t="str">
        <f t="shared" si="0"/>
        <v/>
      </c>
      <c r="H10541" s="26" t="str">
        <f t="shared" si="1"/>
        <v/>
      </c>
      <c r="I10541" s="26" t="str">
        <f t="shared" si="2"/>
        <v/>
      </c>
      <c r="J10541" s="86">
        <f t="shared" si="3"/>
        <v>0</v>
      </c>
      <c r="R10541" s="26"/>
    </row>
    <row r="10542" spans="1:18" ht="15.75" customHeight="1">
      <c r="A10542" s="26"/>
      <c r="B10542" s="86"/>
      <c r="D10542" s="26"/>
      <c r="F10542" s="87" t="str">
        <f t="shared" si="0"/>
        <v/>
      </c>
      <c r="H10542" s="26" t="str">
        <f t="shared" si="1"/>
        <v/>
      </c>
      <c r="I10542" s="26" t="str">
        <f t="shared" si="2"/>
        <v/>
      </c>
      <c r="J10542" s="86">
        <f t="shared" si="3"/>
        <v>0</v>
      </c>
      <c r="R10542" s="26"/>
    </row>
    <row r="10543" spans="1:18" ht="15.75" customHeight="1">
      <c r="A10543" s="26"/>
      <c r="B10543" s="86"/>
      <c r="D10543" s="26"/>
      <c r="F10543" s="87" t="str">
        <f t="shared" si="0"/>
        <v/>
      </c>
      <c r="H10543" s="26" t="str">
        <f t="shared" si="1"/>
        <v/>
      </c>
      <c r="I10543" s="26" t="str">
        <f t="shared" si="2"/>
        <v/>
      </c>
      <c r="J10543" s="86">
        <f t="shared" si="3"/>
        <v>0</v>
      </c>
      <c r="R10543" s="26"/>
    </row>
    <row r="10544" spans="1:18" ht="15.75" customHeight="1">
      <c r="A10544" s="26"/>
      <c r="B10544" s="86"/>
      <c r="D10544" s="26"/>
      <c r="F10544" s="87" t="str">
        <f t="shared" si="0"/>
        <v/>
      </c>
      <c r="H10544" s="26" t="str">
        <f t="shared" si="1"/>
        <v/>
      </c>
      <c r="I10544" s="26" t="str">
        <f t="shared" si="2"/>
        <v/>
      </c>
      <c r="J10544" s="86">
        <f t="shared" si="3"/>
        <v>0</v>
      </c>
      <c r="R10544" s="26"/>
    </row>
    <row r="10545" spans="1:18" ht="15.75" customHeight="1">
      <c r="A10545" s="26"/>
      <c r="B10545" s="86"/>
      <c r="D10545" s="26"/>
      <c r="F10545" s="87" t="str">
        <f t="shared" si="0"/>
        <v/>
      </c>
      <c r="H10545" s="26" t="str">
        <f t="shared" si="1"/>
        <v/>
      </c>
      <c r="I10545" s="26" t="str">
        <f t="shared" si="2"/>
        <v/>
      </c>
      <c r="J10545" s="86">
        <f t="shared" si="3"/>
        <v>0</v>
      </c>
      <c r="R10545" s="26"/>
    </row>
    <row r="10546" spans="1:18" ht="15.75" customHeight="1">
      <c r="A10546" s="26"/>
      <c r="B10546" s="86"/>
      <c r="D10546" s="26"/>
      <c r="F10546" s="87" t="str">
        <f t="shared" si="0"/>
        <v/>
      </c>
      <c r="H10546" s="26" t="str">
        <f t="shared" si="1"/>
        <v/>
      </c>
      <c r="I10546" s="26" t="str">
        <f t="shared" si="2"/>
        <v/>
      </c>
      <c r="J10546" s="86">
        <f t="shared" si="3"/>
        <v>0</v>
      </c>
      <c r="R10546" s="26"/>
    </row>
    <row r="10547" spans="1:18" ht="15.75" customHeight="1">
      <c r="A10547" s="26"/>
      <c r="B10547" s="86"/>
      <c r="D10547" s="26"/>
      <c r="F10547" s="87" t="str">
        <f t="shared" si="0"/>
        <v/>
      </c>
      <c r="H10547" s="26" t="str">
        <f t="shared" si="1"/>
        <v/>
      </c>
      <c r="I10547" s="26" t="str">
        <f t="shared" si="2"/>
        <v/>
      </c>
      <c r="J10547" s="86">
        <f t="shared" si="3"/>
        <v>0</v>
      </c>
      <c r="R10547" s="26"/>
    </row>
    <row r="10548" spans="1:18" ht="15.75" customHeight="1">
      <c r="A10548" s="26"/>
      <c r="B10548" s="86"/>
      <c r="D10548" s="26"/>
      <c r="F10548" s="87" t="str">
        <f t="shared" si="0"/>
        <v/>
      </c>
      <c r="H10548" s="26" t="str">
        <f t="shared" si="1"/>
        <v/>
      </c>
      <c r="I10548" s="26" t="str">
        <f t="shared" si="2"/>
        <v/>
      </c>
      <c r="J10548" s="86">
        <f t="shared" si="3"/>
        <v>0</v>
      </c>
      <c r="R10548" s="26"/>
    </row>
    <row r="10549" spans="1:18" ht="15.75" customHeight="1">
      <c r="A10549" s="26"/>
      <c r="B10549" s="86"/>
      <c r="D10549" s="26"/>
      <c r="F10549" s="87" t="str">
        <f t="shared" si="0"/>
        <v/>
      </c>
      <c r="H10549" s="26" t="str">
        <f t="shared" si="1"/>
        <v/>
      </c>
      <c r="I10549" s="26" t="str">
        <f t="shared" si="2"/>
        <v/>
      </c>
      <c r="J10549" s="86">
        <f t="shared" si="3"/>
        <v>0</v>
      </c>
      <c r="R10549" s="26"/>
    </row>
    <row r="10550" spans="1:18" ht="15.75" customHeight="1">
      <c r="A10550" s="26"/>
      <c r="B10550" s="86"/>
      <c r="D10550" s="26"/>
      <c r="F10550" s="87" t="str">
        <f t="shared" si="0"/>
        <v/>
      </c>
      <c r="H10550" s="26" t="str">
        <f t="shared" si="1"/>
        <v/>
      </c>
      <c r="I10550" s="26" t="str">
        <f t="shared" si="2"/>
        <v/>
      </c>
      <c r="J10550" s="86">
        <f t="shared" si="3"/>
        <v>0</v>
      </c>
      <c r="R10550" s="26"/>
    </row>
    <row r="10551" spans="1:18" ht="15.75" customHeight="1">
      <c r="A10551" s="26"/>
      <c r="B10551" s="86"/>
      <c r="D10551" s="26"/>
      <c r="F10551" s="87" t="str">
        <f t="shared" si="0"/>
        <v/>
      </c>
      <c r="H10551" s="26" t="str">
        <f t="shared" si="1"/>
        <v/>
      </c>
      <c r="I10551" s="26" t="str">
        <f t="shared" si="2"/>
        <v/>
      </c>
      <c r="J10551" s="86">
        <f t="shared" si="3"/>
        <v>0</v>
      </c>
      <c r="R10551" s="26"/>
    </row>
    <row r="10552" spans="1:18" ht="15.75" customHeight="1">
      <c r="A10552" s="26"/>
      <c r="B10552" s="86"/>
      <c r="D10552" s="26"/>
      <c r="F10552" s="87" t="str">
        <f t="shared" si="0"/>
        <v/>
      </c>
      <c r="H10552" s="26" t="str">
        <f t="shared" si="1"/>
        <v/>
      </c>
      <c r="I10552" s="26" t="str">
        <f t="shared" si="2"/>
        <v/>
      </c>
      <c r="J10552" s="86">
        <f t="shared" si="3"/>
        <v>0</v>
      </c>
      <c r="R10552" s="26"/>
    </row>
    <row r="10553" spans="1:18" ht="15.75" customHeight="1">
      <c r="A10553" s="26"/>
      <c r="B10553" s="86"/>
      <c r="D10553" s="26"/>
      <c r="F10553" s="87" t="str">
        <f t="shared" si="0"/>
        <v/>
      </c>
      <c r="H10553" s="26" t="str">
        <f t="shared" si="1"/>
        <v/>
      </c>
      <c r="I10553" s="26" t="str">
        <f t="shared" si="2"/>
        <v/>
      </c>
      <c r="J10553" s="86">
        <f t="shared" si="3"/>
        <v>0</v>
      </c>
      <c r="R10553" s="26"/>
    </row>
    <row r="10554" spans="1:18" ht="15.75" customHeight="1">
      <c r="A10554" s="26"/>
      <c r="B10554" s="86"/>
      <c r="D10554" s="26"/>
      <c r="F10554" s="87" t="str">
        <f t="shared" si="0"/>
        <v/>
      </c>
      <c r="H10554" s="26" t="str">
        <f t="shared" si="1"/>
        <v/>
      </c>
      <c r="I10554" s="26" t="str">
        <f t="shared" si="2"/>
        <v/>
      </c>
      <c r="J10554" s="86">
        <f t="shared" si="3"/>
        <v>0</v>
      </c>
      <c r="R10554" s="26"/>
    </row>
    <row r="10555" spans="1:18" ht="15.75" customHeight="1">
      <c r="A10555" s="26"/>
      <c r="B10555" s="86"/>
      <c r="D10555" s="26"/>
      <c r="F10555" s="87" t="str">
        <f t="shared" si="0"/>
        <v/>
      </c>
      <c r="H10555" s="26" t="str">
        <f t="shared" si="1"/>
        <v/>
      </c>
      <c r="I10555" s="26" t="str">
        <f t="shared" si="2"/>
        <v/>
      </c>
      <c r="J10555" s="86">
        <f t="shared" si="3"/>
        <v>0</v>
      </c>
      <c r="R10555" s="26"/>
    </row>
    <row r="10556" spans="1:18" ht="15.75" customHeight="1">
      <c r="A10556" s="26"/>
      <c r="B10556" s="86"/>
      <c r="D10556" s="26"/>
      <c r="F10556" s="87" t="str">
        <f t="shared" si="0"/>
        <v/>
      </c>
      <c r="H10556" s="26" t="str">
        <f t="shared" si="1"/>
        <v/>
      </c>
      <c r="I10556" s="26" t="str">
        <f t="shared" si="2"/>
        <v/>
      </c>
      <c r="J10556" s="86">
        <f t="shared" si="3"/>
        <v>0</v>
      </c>
      <c r="R10556" s="26"/>
    </row>
    <row r="10557" spans="1:18" ht="15.75" customHeight="1">
      <c r="A10557" s="26"/>
      <c r="B10557" s="86"/>
      <c r="D10557" s="26"/>
      <c r="F10557" s="87" t="str">
        <f t="shared" si="0"/>
        <v/>
      </c>
      <c r="H10557" s="26" t="str">
        <f t="shared" si="1"/>
        <v/>
      </c>
      <c r="I10557" s="26" t="str">
        <f t="shared" si="2"/>
        <v/>
      </c>
      <c r="J10557" s="86">
        <f t="shared" si="3"/>
        <v>0</v>
      </c>
      <c r="R10557" s="26"/>
    </row>
    <row r="10558" spans="1:18" ht="15.75" customHeight="1">
      <c r="A10558" s="26"/>
      <c r="B10558" s="86"/>
      <c r="D10558" s="26"/>
      <c r="F10558" s="87" t="str">
        <f t="shared" si="0"/>
        <v/>
      </c>
      <c r="H10558" s="26" t="str">
        <f t="shared" si="1"/>
        <v/>
      </c>
      <c r="I10558" s="26" t="str">
        <f t="shared" si="2"/>
        <v/>
      </c>
      <c r="J10558" s="86">
        <f t="shared" si="3"/>
        <v>0</v>
      </c>
      <c r="R10558" s="26"/>
    </row>
    <row r="10559" spans="1:18" ht="15.75" customHeight="1">
      <c r="A10559" s="26"/>
      <c r="B10559" s="86"/>
      <c r="D10559" s="26"/>
      <c r="F10559" s="87" t="str">
        <f t="shared" si="0"/>
        <v/>
      </c>
      <c r="H10559" s="26" t="str">
        <f t="shared" si="1"/>
        <v/>
      </c>
      <c r="I10559" s="26" t="str">
        <f t="shared" si="2"/>
        <v/>
      </c>
      <c r="J10559" s="86">
        <f t="shared" si="3"/>
        <v>0</v>
      </c>
      <c r="R10559" s="26"/>
    </row>
    <row r="10560" spans="1:18" ht="15.75" customHeight="1">
      <c r="A10560" s="26"/>
      <c r="B10560" s="86"/>
      <c r="D10560" s="26"/>
      <c r="F10560" s="87" t="str">
        <f t="shared" si="0"/>
        <v/>
      </c>
      <c r="H10560" s="26" t="str">
        <f t="shared" si="1"/>
        <v/>
      </c>
      <c r="I10560" s="26" t="str">
        <f t="shared" si="2"/>
        <v/>
      </c>
      <c r="J10560" s="86">
        <f t="shared" si="3"/>
        <v>0</v>
      </c>
      <c r="R10560" s="26"/>
    </row>
    <row r="10561" spans="1:18" ht="15.75" customHeight="1">
      <c r="A10561" s="26"/>
      <c r="B10561" s="86"/>
      <c r="D10561" s="26"/>
      <c r="F10561" s="87" t="str">
        <f t="shared" si="0"/>
        <v/>
      </c>
      <c r="H10561" s="26" t="str">
        <f t="shared" si="1"/>
        <v/>
      </c>
      <c r="I10561" s="26" t="str">
        <f t="shared" si="2"/>
        <v/>
      </c>
      <c r="J10561" s="86">
        <f t="shared" si="3"/>
        <v>0</v>
      </c>
      <c r="R10561" s="26"/>
    </row>
    <row r="10562" spans="1:18" ht="15.75" customHeight="1">
      <c r="A10562" s="26"/>
      <c r="B10562" s="86"/>
      <c r="D10562" s="26"/>
      <c r="F10562" s="87" t="str">
        <f t="shared" si="0"/>
        <v/>
      </c>
      <c r="H10562" s="26" t="str">
        <f t="shared" si="1"/>
        <v/>
      </c>
      <c r="I10562" s="26" t="str">
        <f t="shared" si="2"/>
        <v/>
      </c>
      <c r="J10562" s="86">
        <f t="shared" si="3"/>
        <v>0</v>
      </c>
      <c r="R10562" s="26"/>
    </row>
    <row r="10563" spans="1:18" ht="15.75" customHeight="1">
      <c r="A10563" s="26"/>
      <c r="B10563" s="86"/>
      <c r="D10563" s="26"/>
      <c r="F10563" s="87" t="str">
        <f t="shared" si="0"/>
        <v/>
      </c>
      <c r="H10563" s="26" t="str">
        <f t="shared" si="1"/>
        <v/>
      </c>
      <c r="I10563" s="26" t="str">
        <f t="shared" si="2"/>
        <v/>
      </c>
      <c r="J10563" s="86">
        <f t="shared" si="3"/>
        <v>0</v>
      </c>
      <c r="R10563" s="26"/>
    </row>
    <row r="10564" spans="1:18" ht="15.75" customHeight="1">
      <c r="A10564" s="26"/>
      <c r="B10564" s="86"/>
      <c r="D10564" s="26"/>
      <c r="F10564" s="87" t="str">
        <f t="shared" si="0"/>
        <v/>
      </c>
      <c r="H10564" s="26" t="str">
        <f t="shared" si="1"/>
        <v/>
      </c>
      <c r="I10564" s="26" t="str">
        <f t="shared" si="2"/>
        <v/>
      </c>
      <c r="J10564" s="86">
        <f t="shared" si="3"/>
        <v>0</v>
      </c>
      <c r="R10564" s="26"/>
    </row>
    <row r="10565" spans="1:18" ht="15.75" customHeight="1">
      <c r="A10565" s="26"/>
      <c r="B10565" s="86"/>
      <c r="D10565" s="26"/>
      <c r="F10565" s="87" t="str">
        <f t="shared" si="0"/>
        <v/>
      </c>
      <c r="H10565" s="26" t="str">
        <f t="shared" si="1"/>
        <v/>
      </c>
      <c r="I10565" s="26" t="str">
        <f t="shared" si="2"/>
        <v/>
      </c>
      <c r="J10565" s="86">
        <f t="shared" si="3"/>
        <v>0</v>
      </c>
      <c r="R10565" s="26"/>
    </row>
    <row r="10566" spans="1:18" ht="15.75" customHeight="1">
      <c r="A10566" s="26"/>
      <c r="B10566" s="86"/>
      <c r="D10566" s="26"/>
      <c r="F10566" s="87" t="str">
        <f t="shared" si="0"/>
        <v/>
      </c>
      <c r="H10566" s="26" t="str">
        <f t="shared" si="1"/>
        <v/>
      </c>
      <c r="I10566" s="26" t="str">
        <f t="shared" si="2"/>
        <v/>
      </c>
      <c r="J10566" s="86">
        <f t="shared" si="3"/>
        <v>0</v>
      </c>
      <c r="R10566" s="26"/>
    </row>
    <row r="10567" spans="1:18" ht="15.75" customHeight="1">
      <c r="A10567" s="26"/>
      <c r="B10567" s="86"/>
      <c r="D10567" s="26"/>
      <c r="F10567" s="87" t="str">
        <f t="shared" si="0"/>
        <v/>
      </c>
      <c r="H10567" s="26" t="str">
        <f t="shared" si="1"/>
        <v/>
      </c>
      <c r="I10567" s="26" t="str">
        <f t="shared" si="2"/>
        <v/>
      </c>
      <c r="J10567" s="86">
        <f t="shared" si="3"/>
        <v>0</v>
      </c>
      <c r="R10567" s="26"/>
    </row>
    <row r="10568" spans="1:18" ht="15.75" customHeight="1">
      <c r="A10568" s="26"/>
      <c r="B10568" s="86"/>
      <c r="D10568" s="26"/>
      <c r="F10568" s="87" t="str">
        <f t="shared" si="0"/>
        <v/>
      </c>
      <c r="H10568" s="26" t="str">
        <f t="shared" si="1"/>
        <v/>
      </c>
      <c r="I10568" s="26" t="str">
        <f t="shared" si="2"/>
        <v/>
      </c>
      <c r="J10568" s="86">
        <f t="shared" si="3"/>
        <v>0</v>
      </c>
      <c r="R10568" s="26"/>
    </row>
    <row r="10569" spans="1:18" ht="15.75" customHeight="1">
      <c r="A10569" s="26"/>
      <c r="B10569" s="86"/>
      <c r="D10569" s="26"/>
      <c r="F10569" s="87" t="str">
        <f t="shared" si="0"/>
        <v/>
      </c>
      <c r="H10569" s="26" t="str">
        <f t="shared" si="1"/>
        <v/>
      </c>
      <c r="I10569" s="26" t="str">
        <f t="shared" si="2"/>
        <v/>
      </c>
      <c r="J10569" s="86">
        <f t="shared" si="3"/>
        <v>0</v>
      </c>
      <c r="R10569" s="26"/>
    </row>
    <row r="10570" spans="1:18" ht="15.75" customHeight="1">
      <c r="A10570" s="26"/>
      <c r="B10570" s="86"/>
      <c r="D10570" s="26"/>
      <c r="F10570" s="87" t="str">
        <f t="shared" si="0"/>
        <v/>
      </c>
      <c r="H10570" s="26" t="str">
        <f t="shared" si="1"/>
        <v/>
      </c>
      <c r="I10570" s="26" t="str">
        <f t="shared" si="2"/>
        <v/>
      </c>
      <c r="J10570" s="86">
        <f t="shared" si="3"/>
        <v>0</v>
      </c>
      <c r="R10570" s="26"/>
    </row>
    <row r="10571" spans="1:18" ht="15.75" customHeight="1">
      <c r="A10571" s="26"/>
      <c r="B10571" s="86"/>
      <c r="D10571" s="26"/>
      <c r="F10571" s="87" t="str">
        <f t="shared" si="0"/>
        <v/>
      </c>
      <c r="H10571" s="26" t="str">
        <f t="shared" si="1"/>
        <v/>
      </c>
      <c r="I10571" s="26" t="str">
        <f t="shared" si="2"/>
        <v/>
      </c>
      <c r="J10571" s="86">
        <f t="shared" si="3"/>
        <v>0</v>
      </c>
      <c r="R10571" s="26"/>
    </row>
    <row r="10572" spans="1:18" ht="15.75" customHeight="1">
      <c r="A10572" s="26"/>
      <c r="B10572" s="86"/>
      <c r="D10572" s="26"/>
      <c r="F10572" s="87" t="str">
        <f t="shared" si="0"/>
        <v/>
      </c>
      <c r="H10572" s="26" t="str">
        <f t="shared" si="1"/>
        <v/>
      </c>
      <c r="I10572" s="26" t="str">
        <f t="shared" si="2"/>
        <v/>
      </c>
      <c r="J10572" s="86">
        <f t="shared" si="3"/>
        <v>0</v>
      </c>
      <c r="R10572" s="26"/>
    </row>
    <row r="10573" spans="1:18" ht="15.75" customHeight="1">
      <c r="A10573" s="26"/>
      <c r="B10573" s="86"/>
      <c r="D10573" s="26"/>
      <c r="F10573" s="87" t="str">
        <f t="shared" si="0"/>
        <v/>
      </c>
      <c r="H10573" s="26" t="str">
        <f t="shared" si="1"/>
        <v/>
      </c>
      <c r="I10573" s="26" t="str">
        <f t="shared" si="2"/>
        <v/>
      </c>
      <c r="J10573" s="86">
        <f t="shared" si="3"/>
        <v>0</v>
      </c>
      <c r="R10573" s="26"/>
    </row>
    <row r="10574" spans="1:18" ht="15.75" customHeight="1">
      <c r="A10574" s="26"/>
      <c r="B10574" s="86"/>
      <c r="D10574" s="26"/>
      <c r="F10574" s="87" t="str">
        <f t="shared" si="0"/>
        <v/>
      </c>
      <c r="H10574" s="26" t="str">
        <f t="shared" si="1"/>
        <v/>
      </c>
      <c r="I10574" s="26" t="str">
        <f t="shared" si="2"/>
        <v/>
      </c>
      <c r="J10574" s="86">
        <f t="shared" si="3"/>
        <v>0</v>
      </c>
      <c r="R10574" s="26"/>
    </row>
    <row r="10575" spans="1:18" ht="15.75" customHeight="1">
      <c r="A10575" s="26"/>
      <c r="B10575" s="86"/>
      <c r="D10575" s="26"/>
      <c r="F10575" s="87" t="str">
        <f t="shared" si="0"/>
        <v/>
      </c>
      <c r="H10575" s="26" t="str">
        <f t="shared" si="1"/>
        <v/>
      </c>
      <c r="I10575" s="26" t="str">
        <f t="shared" si="2"/>
        <v/>
      </c>
      <c r="J10575" s="86">
        <f t="shared" si="3"/>
        <v>0</v>
      </c>
      <c r="R10575" s="26"/>
    </row>
    <row r="10576" spans="1:18" ht="15.75" customHeight="1">
      <c r="A10576" s="26"/>
      <c r="B10576" s="86"/>
      <c r="D10576" s="26"/>
      <c r="F10576" s="87" t="str">
        <f t="shared" si="0"/>
        <v/>
      </c>
      <c r="H10576" s="26" t="str">
        <f t="shared" si="1"/>
        <v/>
      </c>
      <c r="I10576" s="26" t="str">
        <f t="shared" si="2"/>
        <v/>
      </c>
      <c r="J10576" s="86">
        <f t="shared" si="3"/>
        <v>0</v>
      </c>
      <c r="R10576" s="26"/>
    </row>
    <row r="10577" spans="1:18" ht="15.75" customHeight="1">
      <c r="A10577" s="26"/>
      <c r="B10577" s="86"/>
      <c r="D10577" s="26"/>
      <c r="F10577" s="87" t="str">
        <f t="shared" si="0"/>
        <v/>
      </c>
      <c r="H10577" s="26" t="str">
        <f t="shared" si="1"/>
        <v/>
      </c>
      <c r="I10577" s="26" t="str">
        <f t="shared" si="2"/>
        <v/>
      </c>
      <c r="J10577" s="86">
        <f t="shared" si="3"/>
        <v>0</v>
      </c>
      <c r="R10577" s="26"/>
    </row>
    <row r="10578" spans="1:18" ht="15.75" customHeight="1">
      <c r="A10578" s="26"/>
      <c r="B10578" s="86"/>
      <c r="D10578" s="26"/>
      <c r="F10578" s="87" t="str">
        <f t="shared" si="0"/>
        <v/>
      </c>
      <c r="H10578" s="26" t="str">
        <f t="shared" si="1"/>
        <v/>
      </c>
      <c r="I10578" s="26" t="str">
        <f t="shared" si="2"/>
        <v/>
      </c>
      <c r="J10578" s="86">
        <f t="shared" si="3"/>
        <v>0</v>
      </c>
      <c r="R10578" s="26"/>
    </row>
    <row r="10579" spans="1:18" ht="15.75" customHeight="1">
      <c r="A10579" s="26"/>
      <c r="B10579" s="86"/>
      <c r="D10579" s="26"/>
      <c r="F10579" s="87" t="str">
        <f t="shared" si="0"/>
        <v/>
      </c>
      <c r="H10579" s="26" t="str">
        <f t="shared" si="1"/>
        <v/>
      </c>
      <c r="I10579" s="26" t="str">
        <f t="shared" si="2"/>
        <v/>
      </c>
      <c r="J10579" s="86">
        <f t="shared" si="3"/>
        <v>0</v>
      </c>
      <c r="R10579" s="26"/>
    </row>
    <row r="10580" spans="1:18" ht="15.75" customHeight="1">
      <c r="A10580" s="26"/>
      <c r="B10580" s="86"/>
      <c r="D10580" s="26"/>
      <c r="F10580" s="87" t="str">
        <f t="shared" si="0"/>
        <v/>
      </c>
      <c r="H10580" s="26" t="str">
        <f t="shared" si="1"/>
        <v/>
      </c>
      <c r="I10580" s="26" t="str">
        <f t="shared" si="2"/>
        <v/>
      </c>
      <c r="J10580" s="86">
        <f t="shared" si="3"/>
        <v>0</v>
      </c>
      <c r="R10580" s="26"/>
    </row>
    <row r="10581" spans="1:18" ht="15.75" customHeight="1">
      <c r="A10581" s="26"/>
      <c r="B10581" s="86"/>
      <c r="D10581" s="26"/>
      <c r="F10581" s="87" t="str">
        <f t="shared" si="0"/>
        <v/>
      </c>
      <c r="H10581" s="26" t="str">
        <f t="shared" si="1"/>
        <v/>
      </c>
      <c r="I10581" s="26" t="str">
        <f t="shared" si="2"/>
        <v/>
      </c>
      <c r="J10581" s="86">
        <f t="shared" si="3"/>
        <v>0</v>
      </c>
      <c r="R10581" s="26"/>
    </row>
    <row r="10582" spans="1:18" ht="15.75" customHeight="1">
      <c r="A10582" s="26"/>
      <c r="B10582" s="86"/>
      <c r="D10582" s="26"/>
      <c r="F10582" s="87" t="str">
        <f t="shared" si="0"/>
        <v/>
      </c>
      <c r="H10582" s="26" t="str">
        <f t="shared" si="1"/>
        <v/>
      </c>
      <c r="I10582" s="26" t="str">
        <f t="shared" si="2"/>
        <v/>
      </c>
      <c r="J10582" s="86">
        <f t="shared" si="3"/>
        <v>0</v>
      </c>
      <c r="R10582" s="26"/>
    </row>
    <row r="10583" spans="1:18" ht="15.75" customHeight="1">
      <c r="A10583" s="26"/>
      <c r="B10583" s="86"/>
      <c r="D10583" s="26"/>
      <c r="F10583" s="87" t="str">
        <f t="shared" si="0"/>
        <v/>
      </c>
      <c r="H10583" s="26" t="str">
        <f t="shared" si="1"/>
        <v/>
      </c>
      <c r="I10583" s="26" t="str">
        <f t="shared" si="2"/>
        <v/>
      </c>
      <c r="J10583" s="86">
        <f t="shared" si="3"/>
        <v>0</v>
      </c>
      <c r="R10583" s="26"/>
    </row>
    <row r="10584" spans="1:18" ht="15.75" customHeight="1">
      <c r="A10584" s="26"/>
      <c r="B10584" s="86"/>
      <c r="D10584" s="26"/>
      <c r="F10584" s="87" t="str">
        <f t="shared" si="0"/>
        <v/>
      </c>
      <c r="H10584" s="26" t="str">
        <f t="shared" si="1"/>
        <v/>
      </c>
      <c r="I10584" s="26" t="str">
        <f t="shared" si="2"/>
        <v/>
      </c>
      <c r="J10584" s="86">
        <f t="shared" si="3"/>
        <v>0</v>
      </c>
      <c r="R10584" s="26"/>
    </row>
    <row r="10585" spans="1:18" ht="15.75" customHeight="1">
      <c r="A10585" s="26"/>
      <c r="B10585" s="86"/>
      <c r="D10585" s="26"/>
      <c r="F10585" s="87" t="str">
        <f t="shared" si="0"/>
        <v/>
      </c>
      <c r="H10585" s="26" t="str">
        <f t="shared" si="1"/>
        <v/>
      </c>
      <c r="I10585" s="26" t="str">
        <f t="shared" si="2"/>
        <v/>
      </c>
      <c r="J10585" s="86">
        <f t="shared" si="3"/>
        <v>0</v>
      </c>
      <c r="R10585" s="26"/>
    </row>
    <row r="10586" spans="1:18" ht="15.75" customHeight="1">
      <c r="A10586" s="26"/>
      <c r="B10586" s="86"/>
      <c r="D10586" s="26"/>
      <c r="F10586" s="87" t="str">
        <f t="shared" si="0"/>
        <v/>
      </c>
      <c r="H10586" s="26" t="str">
        <f t="shared" si="1"/>
        <v/>
      </c>
      <c r="I10586" s="26" t="str">
        <f t="shared" si="2"/>
        <v/>
      </c>
      <c r="J10586" s="86">
        <f t="shared" si="3"/>
        <v>0</v>
      </c>
      <c r="R10586" s="26"/>
    </row>
    <row r="10587" spans="1:18" ht="15.75" customHeight="1">
      <c r="A10587" s="26"/>
      <c r="B10587" s="86"/>
      <c r="D10587" s="26"/>
      <c r="F10587" s="87" t="str">
        <f t="shared" si="0"/>
        <v/>
      </c>
      <c r="H10587" s="26" t="str">
        <f t="shared" si="1"/>
        <v/>
      </c>
      <c r="I10587" s="26" t="str">
        <f t="shared" si="2"/>
        <v/>
      </c>
      <c r="J10587" s="86">
        <f t="shared" si="3"/>
        <v>0</v>
      </c>
      <c r="R10587" s="26"/>
    </row>
    <row r="10588" spans="1:18" ht="15.75" customHeight="1">
      <c r="A10588" s="26"/>
      <c r="B10588" s="86"/>
      <c r="D10588" s="26"/>
      <c r="F10588" s="87" t="str">
        <f t="shared" si="0"/>
        <v/>
      </c>
      <c r="H10588" s="26" t="str">
        <f t="shared" si="1"/>
        <v/>
      </c>
      <c r="I10588" s="26" t="str">
        <f t="shared" si="2"/>
        <v/>
      </c>
      <c r="J10588" s="86">
        <f t="shared" si="3"/>
        <v>0</v>
      </c>
      <c r="R10588" s="26"/>
    </row>
    <row r="10589" spans="1:18" ht="15.75" customHeight="1">
      <c r="A10589" s="26"/>
      <c r="B10589" s="86"/>
      <c r="D10589" s="26"/>
      <c r="F10589" s="87" t="str">
        <f t="shared" si="0"/>
        <v/>
      </c>
      <c r="H10589" s="26" t="str">
        <f t="shared" si="1"/>
        <v/>
      </c>
      <c r="I10589" s="26" t="str">
        <f t="shared" si="2"/>
        <v/>
      </c>
      <c r="J10589" s="86">
        <f t="shared" si="3"/>
        <v>0</v>
      </c>
      <c r="R10589" s="26"/>
    </row>
    <row r="10590" spans="1:18" ht="15.75" customHeight="1">
      <c r="A10590" s="26"/>
      <c r="B10590" s="86"/>
      <c r="D10590" s="26"/>
      <c r="F10590" s="87" t="str">
        <f t="shared" si="0"/>
        <v/>
      </c>
      <c r="H10590" s="26" t="str">
        <f t="shared" si="1"/>
        <v/>
      </c>
      <c r="I10590" s="26" t="str">
        <f t="shared" si="2"/>
        <v/>
      </c>
      <c r="J10590" s="86">
        <f t="shared" si="3"/>
        <v>0</v>
      </c>
      <c r="R10590" s="26"/>
    </row>
    <row r="10591" spans="1:18" ht="15.75" customHeight="1">
      <c r="A10591" s="26"/>
      <c r="B10591" s="86"/>
      <c r="D10591" s="26"/>
      <c r="F10591" s="87" t="str">
        <f t="shared" si="0"/>
        <v/>
      </c>
      <c r="H10591" s="26" t="str">
        <f t="shared" si="1"/>
        <v/>
      </c>
      <c r="I10591" s="26" t="str">
        <f t="shared" si="2"/>
        <v/>
      </c>
      <c r="J10591" s="86">
        <f t="shared" si="3"/>
        <v>0</v>
      </c>
      <c r="R10591" s="26"/>
    </row>
    <row r="10592" spans="1:18" ht="15.75" customHeight="1">
      <c r="A10592" s="26"/>
      <c r="B10592" s="86"/>
      <c r="D10592" s="26"/>
      <c r="F10592" s="87" t="str">
        <f t="shared" si="0"/>
        <v/>
      </c>
      <c r="H10592" s="26" t="str">
        <f t="shared" si="1"/>
        <v/>
      </c>
      <c r="I10592" s="26" t="str">
        <f t="shared" si="2"/>
        <v/>
      </c>
      <c r="J10592" s="86">
        <f t="shared" si="3"/>
        <v>0</v>
      </c>
      <c r="R10592" s="26"/>
    </row>
    <row r="10593" spans="1:18" ht="15.75" customHeight="1">
      <c r="A10593" s="26"/>
      <c r="B10593" s="86"/>
      <c r="D10593" s="26"/>
      <c r="F10593" s="87" t="str">
        <f t="shared" si="0"/>
        <v/>
      </c>
      <c r="H10593" s="26" t="str">
        <f t="shared" si="1"/>
        <v/>
      </c>
      <c r="I10593" s="26" t="str">
        <f t="shared" si="2"/>
        <v/>
      </c>
      <c r="J10593" s="86">
        <f t="shared" si="3"/>
        <v>0</v>
      </c>
      <c r="R10593" s="26"/>
    </row>
    <row r="10594" spans="1:18" ht="15.75" customHeight="1">
      <c r="A10594" s="26"/>
      <c r="B10594" s="86"/>
      <c r="D10594" s="26"/>
      <c r="F10594" s="87" t="str">
        <f t="shared" si="0"/>
        <v/>
      </c>
      <c r="H10594" s="26" t="str">
        <f t="shared" si="1"/>
        <v/>
      </c>
      <c r="I10594" s="26" t="str">
        <f t="shared" si="2"/>
        <v/>
      </c>
      <c r="J10594" s="86">
        <f t="shared" si="3"/>
        <v>0</v>
      </c>
      <c r="R10594" s="26"/>
    </row>
    <row r="10595" spans="1:18" ht="15.75" customHeight="1">
      <c r="A10595" s="26"/>
      <c r="B10595" s="86"/>
      <c r="D10595" s="26"/>
      <c r="F10595" s="87" t="str">
        <f t="shared" si="0"/>
        <v/>
      </c>
      <c r="H10595" s="26" t="str">
        <f t="shared" si="1"/>
        <v/>
      </c>
      <c r="I10595" s="26" t="str">
        <f t="shared" si="2"/>
        <v/>
      </c>
      <c r="J10595" s="86">
        <f t="shared" si="3"/>
        <v>0</v>
      </c>
      <c r="R10595" s="26"/>
    </row>
    <row r="10596" spans="1:18" ht="15.75" customHeight="1">
      <c r="A10596" s="26"/>
      <c r="B10596" s="86"/>
      <c r="D10596" s="26"/>
      <c r="F10596" s="87" t="str">
        <f t="shared" si="0"/>
        <v/>
      </c>
      <c r="H10596" s="26" t="str">
        <f t="shared" si="1"/>
        <v/>
      </c>
      <c r="I10596" s="26" t="str">
        <f t="shared" si="2"/>
        <v/>
      </c>
      <c r="J10596" s="86">
        <f t="shared" si="3"/>
        <v>0</v>
      </c>
      <c r="R10596" s="26"/>
    </row>
    <row r="10597" spans="1:18" ht="15.75" customHeight="1">
      <c r="A10597" s="26"/>
      <c r="B10597" s="86"/>
      <c r="D10597" s="26"/>
      <c r="F10597" s="87" t="str">
        <f t="shared" si="0"/>
        <v/>
      </c>
      <c r="H10597" s="26" t="str">
        <f t="shared" si="1"/>
        <v/>
      </c>
      <c r="I10597" s="26" t="str">
        <f t="shared" si="2"/>
        <v/>
      </c>
      <c r="J10597" s="86">
        <f t="shared" si="3"/>
        <v>0</v>
      </c>
      <c r="R10597" s="26"/>
    </row>
    <row r="10598" spans="1:18" ht="15.75" customHeight="1">
      <c r="A10598" s="26"/>
      <c r="B10598" s="86"/>
      <c r="D10598" s="26"/>
      <c r="F10598" s="87" t="str">
        <f t="shared" si="0"/>
        <v/>
      </c>
      <c r="H10598" s="26" t="str">
        <f t="shared" si="1"/>
        <v/>
      </c>
      <c r="I10598" s="26" t="str">
        <f t="shared" si="2"/>
        <v/>
      </c>
      <c r="J10598" s="86">
        <f t="shared" si="3"/>
        <v>0</v>
      </c>
      <c r="R10598" s="26"/>
    </row>
    <row r="10599" spans="1:18" ht="15.75" customHeight="1">
      <c r="A10599" s="26"/>
      <c r="B10599" s="86"/>
      <c r="D10599" s="26"/>
      <c r="F10599" s="87" t="str">
        <f t="shared" si="0"/>
        <v/>
      </c>
      <c r="H10599" s="26" t="str">
        <f t="shared" si="1"/>
        <v/>
      </c>
      <c r="I10599" s="26" t="str">
        <f t="shared" si="2"/>
        <v/>
      </c>
      <c r="J10599" s="86">
        <f t="shared" si="3"/>
        <v>0</v>
      </c>
      <c r="R10599" s="26"/>
    </row>
    <row r="10600" spans="1:18" ht="15.75" customHeight="1">
      <c r="A10600" s="26"/>
      <c r="B10600" s="86"/>
      <c r="D10600" s="26"/>
      <c r="F10600" s="87" t="str">
        <f t="shared" si="0"/>
        <v/>
      </c>
      <c r="H10600" s="26" t="str">
        <f t="shared" si="1"/>
        <v/>
      </c>
      <c r="I10600" s="26" t="str">
        <f t="shared" si="2"/>
        <v/>
      </c>
      <c r="J10600" s="86">
        <f t="shared" si="3"/>
        <v>0</v>
      </c>
      <c r="R10600" s="26"/>
    </row>
    <row r="10601" spans="1:18" ht="15.75" customHeight="1">
      <c r="A10601" s="26"/>
      <c r="B10601" s="86"/>
      <c r="D10601" s="26"/>
      <c r="F10601" s="87" t="str">
        <f t="shared" si="0"/>
        <v/>
      </c>
      <c r="H10601" s="26" t="str">
        <f t="shared" si="1"/>
        <v/>
      </c>
      <c r="I10601" s="26" t="str">
        <f t="shared" si="2"/>
        <v/>
      </c>
      <c r="J10601" s="86">
        <f t="shared" si="3"/>
        <v>0</v>
      </c>
      <c r="R10601" s="26"/>
    </row>
    <row r="10602" spans="1:18" ht="15.75" customHeight="1">
      <c r="A10602" s="26"/>
      <c r="B10602" s="86"/>
      <c r="D10602" s="26"/>
      <c r="F10602" s="87" t="str">
        <f t="shared" si="0"/>
        <v/>
      </c>
      <c r="H10602" s="26" t="str">
        <f t="shared" si="1"/>
        <v/>
      </c>
      <c r="I10602" s="26" t="str">
        <f t="shared" si="2"/>
        <v/>
      </c>
      <c r="J10602" s="86">
        <f t="shared" si="3"/>
        <v>0</v>
      </c>
      <c r="R10602" s="26"/>
    </row>
    <row r="10603" spans="1:18" ht="15.75" customHeight="1">
      <c r="A10603" s="26"/>
      <c r="B10603" s="86"/>
      <c r="D10603" s="26"/>
      <c r="F10603" s="87" t="str">
        <f t="shared" si="0"/>
        <v/>
      </c>
      <c r="H10603" s="26" t="str">
        <f t="shared" si="1"/>
        <v/>
      </c>
      <c r="I10603" s="26" t="str">
        <f t="shared" si="2"/>
        <v/>
      </c>
      <c r="J10603" s="86">
        <f t="shared" si="3"/>
        <v>0</v>
      </c>
      <c r="R10603" s="26"/>
    </row>
    <row r="10604" spans="1:18" ht="15.75" customHeight="1">
      <c r="A10604" s="26"/>
      <c r="B10604" s="86"/>
      <c r="D10604" s="26"/>
      <c r="F10604" s="87" t="str">
        <f t="shared" si="0"/>
        <v/>
      </c>
      <c r="H10604" s="26" t="str">
        <f t="shared" si="1"/>
        <v/>
      </c>
      <c r="I10604" s="26" t="str">
        <f t="shared" si="2"/>
        <v/>
      </c>
      <c r="J10604" s="86">
        <f t="shared" si="3"/>
        <v>0</v>
      </c>
      <c r="R10604" s="26"/>
    </row>
    <row r="10605" spans="1:18" ht="15.75" customHeight="1">
      <c r="A10605" s="26"/>
      <c r="B10605" s="86"/>
      <c r="D10605" s="26"/>
      <c r="F10605" s="87" t="str">
        <f t="shared" si="0"/>
        <v/>
      </c>
      <c r="H10605" s="26" t="str">
        <f t="shared" si="1"/>
        <v/>
      </c>
      <c r="I10605" s="26" t="str">
        <f t="shared" si="2"/>
        <v/>
      </c>
      <c r="J10605" s="86">
        <f t="shared" si="3"/>
        <v>0</v>
      </c>
      <c r="R10605" s="26"/>
    </row>
    <row r="10606" spans="1:18" ht="15.75" customHeight="1">
      <c r="A10606" s="26"/>
      <c r="B10606" s="86"/>
      <c r="D10606" s="26"/>
      <c r="F10606" s="87" t="str">
        <f t="shared" si="0"/>
        <v/>
      </c>
      <c r="H10606" s="26" t="str">
        <f t="shared" si="1"/>
        <v/>
      </c>
      <c r="I10606" s="26" t="str">
        <f t="shared" si="2"/>
        <v/>
      </c>
      <c r="J10606" s="86">
        <f t="shared" si="3"/>
        <v>0</v>
      </c>
      <c r="R10606" s="26"/>
    </row>
    <row r="10607" spans="1:18" ht="15.75" customHeight="1">
      <c r="A10607" s="26"/>
      <c r="B10607" s="86"/>
      <c r="D10607" s="26"/>
      <c r="F10607" s="87" t="str">
        <f t="shared" si="0"/>
        <v/>
      </c>
      <c r="H10607" s="26" t="str">
        <f t="shared" si="1"/>
        <v/>
      </c>
      <c r="I10607" s="26" t="str">
        <f t="shared" si="2"/>
        <v/>
      </c>
      <c r="J10607" s="86">
        <f t="shared" si="3"/>
        <v>0</v>
      </c>
      <c r="R10607" s="26"/>
    </row>
    <row r="10608" spans="1:18" ht="15.75" customHeight="1">
      <c r="A10608" s="26"/>
      <c r="B10608" s="86"/>
      <c r="D10608" s="26"/>
      <c r="F10608" s="87" t="str">
        <f t="shared" si="0"/>
        <v/>
      </c>
      <c r="H10608" s="26" t="str">
        <f t="shared" si="1"/>
        <v/>
      </c>
      <c r="I10608" s="26" t="str">
        <f t="shared" si="2"/>
        <v/>
      </c>
      <c r="J10608" s="86">
        <f t="shared" si="3"/>
        <v>0</v>
      </c>
      <c r="R10608" s="26"/>
    </row>
    <row r="10609" spans="1:18" ht="15.75" customHeight="1">
      <c r="A10609" s="26"/>
      <c r="B10609" s="86"/>
      <c r="D10609" s="26"/>
      <c r="F10609" s="87" t="str">
        <f t="shared" si="0"/>
        <v/>
      </c>
      <c r="H10609" s="26" t="str">
        <f t="shared" si="1"/>
        <v/>
      </c>
      <c r="I10609" s="26" t="str">
        <f t="shared" si="2"/>
        <v/>
      </c>
      <c r="J10609" s="86">
        <f t="shared" si="3"/>
        <v>0</v>
      </c>
      <c r="R10609" s="26"/>
    </row>
    <row r="10610" spans="1:18" ht="15.75" customHeight="1">
      <c r="A10610" s="26"/>
      <c r="B10610" s="86"/>
      <c r="D10610" s="26"/>
      <c r="F10610" s="87" t="str">
        <f t="shared" si="0"/>
        <v/>
      </c>
      <c r="H10610" s="26" t="str">
        <f t="shared" si="1"/>
        <v/>
      </c>
      <c r="I10610" s="26" t="str">
        <f t="shared" si="2"/>
        <v/>
      </c>
      <c r="J10610" s="86">
        <f t="shared" si="3"/>
        <v>0</v>
      </c>
      <c r="R10610" s="26"/>
    </row>
    <row r="10611" spans="1:18" ht="15.75" customHeight="1">
      <c r="A10611" s="26"/>
      <c r="B10611" s="86"/>
      <c r="D10611" s="26"/>
      <c r="F10611" s="87" t="str">
        <f t="shared" si="0"/>
        <v/>
      </c>
      <c r="H10611" s="26" t="str">
        <f t="shared" si="1"/>
        <v/>
      </c>
      <c r="I10611" s="26" t="str">
        <f t="shared" si="2"/>
        <v/>
      </c>
      <c r="J10611" s="86">
        <f t="shared" si="3"/>
        <v>0</v>
      </c>
      <c r="R10611" s="26"/>
    </row>
    <row r="10612" spans="1:18" ht="15.75" customHeight="1">
      <c r="A10612" s="26"/>
      <c r="B10612" s="86"/>
      <c r="D10612" s="26"/>
      <c r="F10612" s="87" t="str">
        <f t="shared" si="0"/>
        <v/>
      </c>
      <c r="H10612" s="26" t="str">
        <f t="shared" si="1"/>
        <v/>
      </c>
      <c r="I10612" s="26" t="str">
        <f t="shared" si="2"/>
        <v/>
      </c>
      <c r="J10612" s="86">
        <f t="shared" si="3"/>
        <v>0</v>
      </c>
      <c r="R10612" s="26"/>
    </row>
    <row r="10613" spans="1:18" ht="15.75" customHeight="1">
      <c r="A10613" s="26"/>
      <c r="B10613" s="86"/>
      <c r="D10613" s="26"/>
      <c r="F10613" s="87" t="str">
        <f t="shared" si="0"/>
        <v/>
      </c>
      <c r="H10613" s="26" t="str">
        <f t="shared" si="1"/>
        <v/>
      </c>
      <c r="I10613" s="26" t="str">
        <f t="shared" si="2"/>
        <v/>
      </c>
      <c r="J10613" s="86">
        <f t="shared" si="3"/>
        <v>0</v>
      </c>
      <c r="R10613" s="26"/>
    </row>
    <row r="10614" spans="1:18" ht="15.75" customHeight="1">
      <c r="A10614" s="26"/>
      <c r="B10614" s="86"/>
      <c r="D10614" s="26"/>
      <c r="F10614" s="87" t="str">
        <f t="shared" si="0"/>
        <v/>
      </c>
      <c r="H10614" s="26" t="str">
        <f t="shared" si="1"/>
        <v/>
      </c>
      <c r="I10614" s="26" t="str">
        <f t="shared" si="2"/>
        <v/>
      </c>
      <c r="J10614" s="86">
        <f t="shared" si="3"/>
        <v>0</v>
      </c>
      <c r="R10614" s="26"/>
    </row>
    <row r="10615" spans="1:18" ht="15.75" customHeight="1">
      <c r="A10615" s="26"/>
      <c r="B10615" s="86"/>
      <c r="D10615" s="26"/>
      <c r="F10615" s="87" t="str">
        <f t="shared" si="0"/>
        <v/>
      </c>
      <c r="H10615" s="26" t="str">
        <f t="shared" si="1"/>
        <v/>
      </c>
      <c r="I10615" s="26" t="str">
        <f t="shared" si="2"/>
        <v/>
      </c>
      <c r="J10615" s="86">
        <f t="shared" si="3"/>
        <v>0</v>
      </c>
      <c r="R10615" s="26"/>
    </row>
    <row r="10616" spans="1:18" ht="15.75" customHeight="1">
      <c r="A10616" s="26"/>
      <c r="B10616" s="86"/>
      <c r="D10616" s="26"/>
      <c r="F10616" s="87" t="str">
        <f t="shared" si="0"/>
        <v/>
      </c>
      <c r="H10616" s="26" t="str">
        <f t="shared" si="1"/>
        <v/>
      </c>
      <c r="I10616" s="26" t="str">
        <f t="shared" si="2"/>
        <v/>
      </c>
      <c r="J10616" s="86">
        <f t="shared" si="3"/>
        <v>0</v>
      </c>
      <c r="R10616" s="26"/>
    </row>
    <row r="10617" spans="1:18" ht="15.75" customHeight="1">
      <c r="A10617" s="26"/>
      <c r="B10617" s="86"/>
      <c r="D10617" s="26"/>
      <c r="F10617" s="87" t="str">
        <f t="shared" si="0"/>
        <v/>
      </c>
      <c r="H10617" s="26" t="str">
        <f t="shared" si="1"/>
        <v/>
      </c>
      <c r="I10617" s="26" t="str">
        <f t="shared" si="2"/>
        <v/>
      </c>
      <c r="J10617" s="86">
        <f t="shared" si="3"/>
        <v>0</v>
      </c>
      <c r="R10617" s="26"/>
    </row>
    <row r="10618" spans="1:18" ht="15.75" customHeight="1">
      <c r="A10618" s="26"/>
      <c r="B10618" s="86"/>
      <c r="D10618" s="26"/>
      <c r="F10618" s="87" t="str">
        <f t="shared" si="0"/>
        <v/>
      </c>
      <c r="H10618" s="26" t="str">
        <f t="shared" si="1"/>
        <v/>
      </c>
      <c r="I10618" s="26" t="str">
        <f t="shared" si="2"/>
        <v/>
      </c>
      <c r="J10618" s="86">
        <f t="shared" si="3"/>
        <v>0</v>
      </c>
      <c r="R10618" s="26"/>
    </row>
    <row r="10619" spans="1:18" ht="15.75" customHeight="1">
      <c r="A10619" s="26"/>
      <c r="B10619" s="86"/>
      <c r="D10619" s="26"/>
      <c r="F10619" s="87" t="str">
        <f t="shared" si="0"/>
        <v/>
      </c>
      <c r="H10619" s="26" t="str">
        <f t="shared" si="1"/>
        <v/>
      </c>
      <c r="I10619" s="26" t="str">
        <f t="shared" si="2"/>
        <v/>
      </c>
      <c r="J10619" s="86">
        <f t="shared" si="3"/>
        <v>0</v>
      </c>
      <c r="R10619" s="26"/>
    </row>
    <row r="10620" spans="1:18" ht="15.75" customHeight="1">
      <c r="A10620" s="26"/>
      <c r="B10620" s="86"/>
      <c r="D10620" s="26"/>
      <c r="F10620" s="87" t="str">
        <f t="shared" si="0"/>
        <v/>
      </c>
      <c r="H10620" s="26" t="str">
        <f t="shared" si="1"/>
        <v/>
      </c>
      <c r="I10620" s="26" t="str">
        <f t="shared" si="2"/>
        <v/>
      </c>
      <c r="J10620" s="86">
        <f t="shared" si="3"/>
        <v>0</v>
      </c>
      <c r="R10620" s="26"/>
    </row>
    <row r="10621" spans="1:18" ht="15.75" customHeight="1">
      <c r="A10621" s="26"/>
      <c r="B10621" s="86"/>
      <c r="D10621" s="26"/>
      <c r="F10621" s="87" t="str">
        <f t="shared" si="0"/>
        <v/>
      </c>
      <c r="H10621" s="26" t="str">
        <f t="shared" si="1"/>
        <v/>
      </c>
      <c r="I10621" s="26" t="str">
        <f t="shared" si="2"/>
        <v/>
      </c>
      <c r="J10621" s="86">
        <f t="shared" si="3"/>
        <v>0</v>
      </c>
      <c r="R10621" s="26"/>
    </row>
    <row r="10622" spans="1:18" ht="15.75" customHeight="1">
      <c r="A10622" s="26"/>
      <c r="B10622" s="86"/>
      <c r="D10622" s="26"/>
      <c r="F10622" s="87" t="str">
        <f t="shared" si="0"/>
        <v/>
      </c>
      <c r="H10622" s="26" t="str">
        <f t="shared" si="1"/>
        <v/>
      </c>
      <c r="I10622" s="26" t="str">
        <f t="shared" si="2"/>
        <v/>
      </c>
      <c r="J10622" s="86">
        <f t="shared" si="3"/>
        <v>0</v>
      </c>
      <c r="R10622" s="26"/>
    </row>
    <row r="10623" spans="1:18" ht="15.75" customHeight="1">
      <c r="A10623" s="26"/>
      <c r="B10623" s="86"/>
      <c r="D10623" s="26"/>
      <c r="F10623" s="87" t="str">
        <f t="shared" si="0"/>
        <v/>
      </c>
      <c r="H10623" s="26" t="str">
        <f t="shared" si="1"/>
        <v/>
      </c>
      <c r="I10623" s="26" t="str">
        <f t="shared" si="2"/>
        <v/>
      </c>
      <c r="J10623" s="86">
        <f t="shared" si="3"/>
        <v>0</v>
      </c>
      <c r="R10623" s="26"/>
    </row>
    <row r="10624" spans="1:18" ht="15.75" customHeight="1">
      <c r="A10624" s="26"/>
      <c r="B10624" s="86"/>
      <c r="D10624" s="26"/>
      <c r="F10624" s="87" t="str">
        <f t="shared" si="0"/>
        <v/>
      </c>
      <c r="H10624" s="26" t="str">
        <f t="shared" si="1"/>
        <v/>
      </c>
      <c r="I10624" s="26" t="str">
        <f t="shared" si="2"/>
        <v/>
      </c>
      <c r="J10624" s="86">
        <f t="shared" si="3"/>
        <v>0</v>
      </c>
      <c r="R10624" s="26"/>
    </row>
    <row r="10625" spans="1:18" ht="15.75" customHeight="1">
      <c r="A10625" s="26"/>
      <c r="B10625" s="86"/>
      <c r="D10625" s="26"/>
      <c r="F10625" s="87" t="str">
        <f t="shared" si="0"/>
        <v/>
      </c>
      <c r="H10625" s="26" t="str">
        <f t="shared" si="1"/>
        <v/>
      </c>
      <c r="I10625" s="26" t="str">
        <f t="shared" si="2"/>
        <v/>
      </c>
      <c r="J10625" s="86">
        <f t="shared" si="3"/>
        <v>0</v>
      </c>
      <c r="R10625" s="26"/>
    </row>
    <row r="10626" spans="1:18" ht="15.75" customHeight="1">
      <c r="A10626" s="26"/>
      <c r="B10626" s="86"/>
      <c r="D10626" s="26"/>
      <c r="F10626" s="87" t="str">
        <f t="shared" si="0"/>
        <v/>
      </c>
      <c r="H10626" s="26" t="str">
        <f t="shared" si="1"/>
        <v/>
      </c>
      <c r="I10626" s="26" t="str">
        <f t="shared" si="2"/>
        <v/>
      </c>
      <c r="J10626" s="86">
        <f t="shared" si="3"/>
        <v>0</v>
      </c>
      <c r="R10626" s="26"/>
    </row>
    <row r="10627" spans="1:18" ht="15.75" customHeight="1">
      <c r="A10627" s="26"/>
      <c r="B10627" s="86"/>
      <c r="D10627" s="26"/>
      <c r="F10627" s="87" t="str">
        <f t="shared" si="0"/>
        <v/>
      </c>
      <c r="H10627" s="26" t="str">
        <f t="shared" si="1"/>
        <v/>
      </c>
      <c r="I10627" s="26" t="str">
        <f t="shared" si="2"/>
        <v/>
      </c>
      <c r="J10627" s="86">
        <f t="shared" si="3"/>
        <v>0</v>
      </c>
      <c r="R10627" s="26"/>
    </row>
    <row r="10628" spans="1:18" ht="15.75" customHeight="1">
      <c r="A10628" s="26"/>
      <c r="B10628" s="86"/>
      <c r="D10628" s="26"/>
      <c r="F10628" s="87" t="str">
        <f t="shared" si="0"/>
        <v/>
      </c>
      <c r="H10628" s="26" t="str">
        <f t="shared" si="1"/>
        <v/>
      </c>
      <c r="I10628" s="26" t="str">
        <f t="shared" si="2"/>
        <v/>
      </c>
      <c r="J10628" s="86">
        <f t="shared" si="3"/>
        <v>0</v>
      </c>
      <c r="R10628" s="26"/>
    </row>
    <row r="10629" spans="1:18" ht="15.75" customHeight="1">
      <c r="A10629" s="26"/>
      <c r="B10629" s="86"/>
      <c r="D10629" s="26"/>
      <c r="F10629" s="87" t="str">
        <f t="shared" si="0"/>
        <v/>
      </c>
      <c r="H10629" s="26" t="str">
        <f t="shared" si="1"/>
        <v/>
      </c>
      <c r="I10629" s="26" t="str">
        <f t="shared" si="2"/>
        <v/>
      </c>
      <c r="J10629" s="86">
        <f t="shared" si="3"/>
        <v>0</v>
      </c>
      <c r="R10629" s="26"/>
    </row>
    <row r="10630" spans="1:18" ht="15.75" customHeight="1">
      <c r="A10630" s="26"/>
      <c r="B10630" s="86"/>
      <c r="D10630" s="26"/>
      <c r="F10630" s="87" t="str">
        <f t="shared" si="0"/>
        <v/>
      </c>
      <c r="H10630" s="26" t="str">
        <f t="shared" si="1"/>
        <v/>
      </c>
      <c r="I10630" s="26" t="str">
        <f t="shared" si="2"/>
        <v/>
      </c>
      <c r="J10630" s="86">
        <f t="shared" si="3"/>
        <v>0</v>
      </c>
      <c r="R10630" s="26"/>
    </row>
    <row r="10631" spans="1:18" ht="15.75" customHeight="1">
      <c r="A10631" s="26"/>
      <c r="B10631" s="86"/>
      <c r="D10631" s="26"/>
      <c r="F10631" s="87" t="str">
        <f t="shared" si="0"/>
        <v/>
      </c>
      <c r="H10631" s="26" t="str">
        <f t="shared" si="1"/>
        <v/>
      </c>
      <c r="I10631" s="26" t="str">
        <f t="shared" si="2"/>
        <v/>
      </c>
      <c r="J10631" s="86">
        <f t="shared" si="3"/>
        <v>0</v>
      </c>
      <c r="R10631" s="26"/>
    </row>
    <row r="10632" spans="1:18" ht="15.75" customHeight="1">
      <c r="A10632" s="26"/>
      <c r="B10632" s="86"/>
      <c r="D10632" s="26"/>
      <c r="F10632" s="87" t="str">
        <f t="shared" si="0"/>
        <v/>
      </c>
      <c r="H10632" s="26" t="str">
        <f t="shared" si="1"/>
        <v/>
      </c>
      <c r="I10632" s="26" t="str">
        <f t="shared" si="2"/>
        <v/>
      </c>
      <c r="J10632" s="86">
        <f t="shared" si="3"/>
        <v>0</v>
      </c>
      <c r="R10632" s="26"/>
    </row>
    <row r="10633" spans="1:18" ht="15.75" customHeight="1">
      <c r="A10633" s="26"/>
      <c r="B10633" s="86"/>
      <c r="D10633" s="26"/>
      <c r="F10633" s="87" t="str">
        <f t="shared" si="0"/>
        <v/>
      </c>
      <c r="H10633" s="26" t="str">
        <f t="shared" si="1"/>
        <v/>
      </c>
      <c r="I10633" s="26" t="str">
        <f t="shared" si="2"/>
        <v/>
      </c>
      <c r="J10633" s="86">
        <f t="shared" si="3"/>
        <v>0</v>
      </c>
      <c r="R10633" s="26"/>
    </row>
    <row r="10634" spans="1:18" ht="15.75" customHeight="1">
      <c r="A10634" s="26"/>
      <c r="B10634" s="86"/>
      <c r="D10634" s="26"/>
      <c r="F10634" s="87" t="str">
        <f t="shared" si="0"/>
        <v/>
      </c>
      <c r="H10634" s="26" t="str">
        <f t="shared" si="1"/>
        <v/>
      </c>
      <c r="I10634" s="26" t="str">
        <f t="shared" si="2"/>
        <v/>
      </c>
      <c r="J10634" s="86">
        <f t="shared" si="3"/>
        <v>0</v>
      </c>
      <c r="R10634" s="26"/>
    </row>
    <row r="10635" spans="1:18" ht="15.75" customHeight="1">
      <c r="A10635" s="26"/>
      <c r="B10635" s="86"/>
      <c r="D10635" s="26"/>
      <c r="F10635" s="87" t="str">
        <f t="shared" si="0"/>
        <v/>
      </c>
      <c r="H10635" s="26" t="str">
        <f t="shared" si="1"/>
        <v/>
      </c>
      <c r="I10635" s="26" t="str">
        <f t="shared" si="2"/>
        <v/>
      </c>
      <c r="J10635" s="86">
        <f t="shared" si="3"/>
        <v>0</v>
      </c>
      <c r="R10635" s="26"/>
    </row>
    <row r="10636" spans="1:18" ht="15.75" customHeight="1">
      <c r="A10636" s="26"/>
      <c r="B10636" s="86"/>
      <c r="D10636" s="26"/>
      <c r="F10636" s="87" t="str">
        <f t="shared" si="0"/>
        <v/>
      </c>
      <c r="H10636" s="26" t="str">
        <f t="shared" si="1"/>
        <v/>
      </c>
      <c r="I10636" s="26" t="str">
        <f t="shared" si="2"/>
        <v/>
      </c>
      <c r="J10636" s="86">
        <f t="shared" si="3"/>
        <v>0</v>
      </c>
      <c r="R10636" s="26"/>
    </row>
    <row r="10637" spans="1:18" ht="15.75" customHeight="1">
      <c r="A10637" s="26"/>
      <c r="B10637" s="86"/>
      <c r="D10637" s="26"/>
      <c r="F10637" s="87" t="str">
        <f t="shared" si="0"/>
        <v/>
      </c>
      <c r="H10637" s="26" t="str">
        <f t="shared" si="1"/>
        <v/>
      </c>
      <c r="I10637" s="26" t="str">
        <f t="shared" si="2"/>
        <v/>
      </c>
      <c r="J10637" s="86">
        <f t="shared" si="3"/>
        <v>0</v>
      </c>
      <c r="R10637" s="26"/>
    </row>
    <row r="10638" spans="1:18" ht="15.75" customHeight="1">
      <c r="A10638" s="26"/>
      <c r="B10638" s="86"/>
      <c r="D10638" s="26"/>
      <c r="F10638" s="87" t="str">
        <f t="shared" si="0"/>
        <v/>
      </c>
      <c r="H10638" s="26" t="str">
        <f t="shared" si="1"/>
        <v/>
      </c>
      <c r="I10638" s="26" t="str">
        <f t="shared" si="2"/>
        <v/>
      </c>
      <c r="J10638" s="86">
        <f t="shared" si="3"/>
        <v>0</v>
      </c>
      <c r="R10638" s="26"/>
    </row>
    <row r="10639" spans="1:18" ht="15.75" customHeight="1">
      <c r="A10639" s="26"/>
      <c r="B10639" s="86"/>
      <c r="D10639" s="26"/>
      <c r="F10639" s="87" t="str">
        <f t="shared" si="0"/>
        <v/>
      </c>
      <c r="H10639" s="26" t="str">
        <f t="shared" si="1"/>
        <v/>
      </c>
      <c r="I10639" s="26" t="str">
        <f t="shared" si="2"/>
        <v/>
      </c>
      <c r="J10639" s="86">
        <f t="shared" si="3"/>
        <v>0</v>
      </c>
      <c r="R10639" s="26"/>
    </row>
    <row r="10640" spans="1:18" ht="15.75" customHeight="1">
      <c r="A10640" s="26"/>
      <c r="B10640" s="86"/>
      <c r="D10640" s="26"/>
      <c r="F10640" s="87" t="str">
        <f t="shared" si="0"/>
        <v/>
      </c>
      <c r="H10640" s="26" t="str">
        <f t="shared" si="1"/>
        <v/>
      </c>
      <c r="I10640" s="26" t="str">
        <f t="shared" si="2"/>
        <v/>
      </c>
      <c r="J10640" s="86">
        <f t="shared" si="3"/>
        <v>0</v>
      </c>
      <c r="R10640" s="26"/>
    </row>
    <row r="10641" spans="1:18" ht="15.75" customHeight="1">
      <c r="A10641" s="26"/>
      <c r="B10641" s="86"/>
      <c r="D10641" s="26"/>
      <c r="F10641" s="87" t="str">
        <f t="shared" si="0"/>
        <v/>
      </c>
      <c r="H10641" s="26" t="str">
        <f t="shared" si="1"/>
        <v/>
      </c>
      <c r="I10641" s="26" t="str">
        <f t="shared" si="2"/>
        <v/>
      </c>
      <c r="J10641" s="86">
        <f t="shared" si="3"/>
        <v>0</v>
      </c>
      <c r="R10641" s="26"/>
    </row>
    <row r="10642" spans="1:18" ht="15.75" customHeight="1">
      <c r="A10642" s="26"/>
      <c r="B10642" s="86"/>
      <c r="D10642" s="26"/>
      <c r="F10642" s="87" t="str">
        <f t="shared" si="0"/>
        <v/>
      </c>
      <c r="H10642" s="26" t="str">
        <f t="shared" si="1"/>
        <v/>
      </c>
      <c r="I10642" s="26" t="str">
        <f t="shared" si="2"/>
        <v/>
      </c>
      <c r="J10642" s="86">
        <f t="shared" si="3"/>
        <v>0</v>
      </c>
      <c r="R10642" s="26"/>
    </row>
    <row r="10643" spans="1:18" ht="15.75" customHeight="1">
      <c r="A10643" s="26"/>
      <c r="B10643" s="86"/>
      <c r="D10643" s="26"/>
      <c r="F10643" s="87" t="str">
        <f t="shared" si="0"/>
        <v/>
      </c>
      <c r="H10643" s="26" t="str">
        <f t="shared" si="1"/>
        <v/>
      </c>
      <c r="I10643" s="26" t="str">
        <f t="shared" si="2"/>
        <v/>
      </c>
      <c r="J10643" s="86">
        <f t="shared" si="3"/>
        <v>0</v>
      </c>
      <c r="R10643" s="26"/>
    </row>
    <row r="10644" spans="1:18" ht="15.75" customHeight="1">
      <c r="A10644" s="26"/>
      <c r="B10644" s="86"/>
      <c r="D10644" s="26"/>
      <c r="F10644" s="87" t="str">
        <f t="shared" si="0"/>
        <v/>
      </c>
      <c r="H10644" s="26" t="str">
        <f t="shared" si="1"/>
        <v/>
      </c>
      <c r="I10644" s="26" t="str">
        <f t="shared" si="2"/>
        <v/>
      </c>
      <c r="J10644" s="86">
        <f t="shared" si="3"/>
        <v>0</v>
      </c>
      <c r="R10644" s="26"/>
    </row>
    <row r="10645" spans="1:18" ht="15.75" customHeight="1">
      <c r="A10645" s="26"/>
      <c r="B10645" s="86"/>
      <c r="D10645" s="26"/>
      <c r="F10645" s="87" t="str">
        <f t="shared" si="0"/>
        <v/>
      </c>
      <c r="H10645" s="26" t="str">
        <f t="shared" si="1"/>
        <v/>
      </c>
      <c r="I10645" s="26" t="str">
        <f t="shared" si="2"/>
        <v/>
      </c>
      <c r="J10645" s="86">
        <f t="shared" si="3"/>
        <v>0</v>
      </c>
      <c r="R10645" s="26"/>
    </row>
    <row r="10646" spans="1:18" ht="15.75" customHeight="1">
      <c r="A10646" s="26"/>
      <c r="B10646" s="86"/>
      <c r="D10646" s="26"/>
      <c r="F10646" s="87" t="str">
        <f t="shared" si="0"/>
        <v/>
      </c>
      <c r="H10646" s="26" t="str">
        <f t="shared" si="1"/>
        <v/>
      </c>
      <c r="I10646" s="26" t="str">
        <f t="shared" si="2"/>
        <v/>
      </c>
      <c r="J10646" s="86">
        <f t="shared" si="3"/>
        <v>0</v>
      </c>
      <c r="R10646" s="26"/>
    </row>
    <row r="10647" spans="1:18" ht="15.75" customHeight="1">
      <c r="A10647" s="26"/>
      <c r="B10647" s="86"/>
      <c r="D10647" s="26"/>
      <c r="F10647" s="87" t="str">
        <f t="shared" si="0"/>
        <v/>
      </c>
      <c r="H10647" s="26" t="str">
        <f t="shared" si="1"/>
        <v/>
      </c>
      <c r="I10647" s="26" t="str">
        <f t="shared" si="2"/>
        <v/>
      </c>
      <c r="J10647" s="86">
        <f t="shared" si="3"/>
        <v>0</v>
      </c>
      <c r="R10647" s="26"/>
    </row>
    <row r="10648" spans="1:18" ht="15.75" customHeight="1">
      <c r="A10648" s="26"/>
      <c r="B10648" s="86"/>
      <c r="D10648" s="26"/>
      <c r="F10648" s="87" t="str">
        <f t="shared" si="0"/>
        <v/>
      </c>
      <c r="H10648" s="26" t="str">
        <f t="shared" si="1"/>
        <v/>
      </c>
      <c r="I10648" s="26" t="str">
        <f t="shared" si="2"/>
        <v/>
      </c>
      <c r="J10648" s="86">
        <f t="shared" si="3"/>
        <v>0</v>
      </c>
      <c r="R10648" s="26"/>
    </row>
    <row r="10649" spans="1:18" ht="15.75" customHeight="1">
      <c r="A10649" s="26"/>
      <c r="B10649" s="86"/>
      <c r="D10649" s="26"/>
      <c r="F10649" s="87" t="str">
        <f t="shared" si="0"/>
        <v/>
      </c>
      <c r="H10649" s="26" t="str">
        <f t="shared" si="1"/>
        <v/>
      </c>
      <c r="I10649" s="26" t="str">
        <f t="shared" si="2"/>
        <v/>
      </c>
      <c r="J10649" s="86">
        <f t="shared" si="3"/>
        <v>0</v>
      </c>
      <c r="R10649" s="26"/>
    </row>
    <row r="10650" spans="1:18" ht="15.75" customHeight="1">
      <c r="A10650" s="26"/>
      <c r="B10650" s="86"/>
      <c r="D10650" s="26"/>
      <c r="F10650" s="87" t="str">
        <f t="shared" si="0"/>
        <v/>
      </c>
      <c r="H10650" s="26" t="str">
        <f t="shared" si="1"/>
        <v/>
      </c>
      <c r="I10650" s="26" t="str">
        <f t="shared" si="2"/>
        <v/>
      </c>
      <c r="J10650" s="86">
        <f t="shared" si="3"/>
        <v>0</v>
      </c>
      <c r="R10650" s="26"/>
    </row>
    <row r="10651" spans="1:18" ht="15.75" customHeight="1">
      <c r="A10651" s="26"/>
      <c r="B10651" s="86"/>
      <c r="D10651" s="26"/>
      <c r="F10651" s="87" t="str">
        <f t="shared" si="0"/>
        <v/>
      </c>
      <c r="H10651" s="26" t="str">
        <f t="shared" si="1"/>
        <v/>
      </c>
      <c r="I10651" s="26" t="str">
        <f t="shared" si="2"/>
        <v/>
      </c>
      <c r="J10651" s="86">
        <f t="shared" si="3"/>
        <v>0</v>
      </c>
      <c r="R10651" s="26"/>
    </row>
    <row r="10652" spans="1:18" ht="15.75" customHeight="1">
      <c r="A10652" s="26"/>
      <c r="B10652" s="86"/>
      <c r="D10652" s="26"/>
      <c r="F10652" s="87" t="str">
        <f t="shared" si="0"/>
        <v/>
      </c>
      <c r="H10652" s="26" t="str">
        <f t="shared" si="1"/>
        <v/>
      </c>
      <c r="I10652" s="26" t="str">
        <f t="shared" si="2"/>
        <v/>
      </c>
      <c r="J10652" s="86">
        <f t="shared" si="3"/>
        <v>0</v>
      </c>
      <c r="R10652" s="26"/>
    </row>
    <row r="10653" spans="1:18" ht="15.75" customHeight="1">
      <c r="A10653" s="26"/>
      <c r="B10653" s="86"/>
      <c r="D10653" s="26"/>
      <c r="F10653" s="87" t="str">
        <f t="shared" si="0"/>
        <v/>
      </c>
      <c r="H10653" s="26" t="str">
        <f t="shared" si="1"/>
        <v/>
      </c>
      <c r="I10653" s="26" t="str">
        <f t="shared" si="2"/>
        <v/>
      </c>
      <c r="J10653" s="86">
        <f t="shared" si="3"/>
        <v>0</v>
      </c>
      <c r="R10653" s="26"/>
    </row>
    <row r="10654" spans="1:18" ht="15.75" customHeight="1">
      <c r="A10654" s="26"/>
      <c r="B10654" s="86"/>
      <c r="D10654" s="26"/>
      <c r="F10654" s="87" t="str">
        <f t="shared" si="0"/>
        <v/>
      </c>
      <c r="H10654" s="26" t="str">
        <f t="shared" si="1"/>
        <v/>
      </c>
      <c r="I10654" s="26" t="str">
        <f t="shared" si="2"/>
        <v/>
      </c>
      <c r="J10654" s="86">
        <f t="shared" si="3"/>
        <v>0</v>
      </c>
      <c r="R10654" s="26"/>
    </row>
    <row r="10655" spans="1:18" ht="15.75" customHeight="1">
      <c r="A10655" s="26"/>
      <c r="B10655" s="86"/>
      <c r="D10655" s="26"/>
      <c r="F10655" s="87" t="str">
        <f t="shared" si="0"/>
        <v/>
      </c>
      <c r="H10655" s="26" t="str">
        <f t="shared" si="1"/>
        <v/>
      </c>
      <c r="I10655" s="26" t="str">
        <f t="shared" si="2"/>
        <v/>
      </c>
      <c r="J10655" s="86">
        <f t="shared" si="3"/>
        <v>0</v>
      </c>
      <c r="R10655" s="26"/>
    </row>
    <row r="10656" spans="1:18" ht="15.75" customHeight="1">
      <c r="A10656" s="26"/>
      <c r="B10656" s="86"/>
      <c r="D10656" s="26"/>
      <c r="F10656" s="87" t="str">
        <f t="shared" si="0"/>
        <v/>
      </c>
      <c r="H10656" s="26" t="str">
        <f t="shared" si="1"/>
        <v/>
      </c>
      <c r="I10656" s="26" t="str">
        <f t="shared" si="2"/>
        <v/>
      </c>
      <c r="J10656" s="86">
        <f t="shared" si="3"/>
        <v>0</v>
      </c>
      <c r="R10656" s="26"/>
    </row>
    <row r="10657" spans="1:18" ht="15.75" customHeight="1">
      <c r="A10657" s="26"/>
      <c r="B10657" s="86"/>
      <c r="D10657" s="26"/>
      <c r="F10657" s="87" t="str">
        <f t="shared" si="0"/>
        <v/>
      </c>
      <c r="H10657" s="26" t="str">
        <f t="shared" si="1"/>
        <v/>
      </c>
      <c r="I10657" s="26" t="str">
        <f t="shared" si="2"/>
        <v/>
      </c>
      <c r="J10657" s="86">
        <f t="shared" si="3"/>
        <v>0</v>
      </c>
      <c r="R10657" s="26"/>
    </row>
    <row r="10658" spans="1:18" ht="15.75" customHeight="1">
      <c r="A10658" s="26"/>
      <c r="B10658" s="86"/>
      <c r="D10658" s="26"/>
      <c r="F10658" s="87" t="str">
        <f t="shared" si="0"/>
        <v/>
      </c>
      <c r="H10658" s="26" t="str">
        <f t="shared" si="1"/>
        <v/>
      </c>
      <c r="I10658" s="26" t="str">
        <f t="shared" si="2"/>
        <v/>
      </c>
      <c r="J10658" s="86">
        <f t="shared" si="3"/>
        <v>0</v>
      </c>
      <c r="R10658" s="26"/>
    </row>
    <row r="10659" spans="1:18" ht="15.75" customHeight="1">
      <c r="A10659" s="26"/>
      <c r="B10659" s="86"/>
      <c r="D10659" s="26"/>
      <c r="F10659" s="87" t="str">
        <f t="shared" si="0"/>
        <v/>
      </c>
      <c r="H10659" s="26" t="str">
        <f t="shared" si="1"/>
        <v/>
      </c>
      <c r="I10659" s="26" t="str">
        <f t="shared" si="2"/>
        <v/>
      </c>
      <c r="J10659" s="86">
        <f t="shared" si="3"/>
        <v>0</v>
      </c>
      <c r="R10659" s="26"/>
    </row>
    <row r="10660" spans="1:18" ht="15.75" customHeight="1">
      <c r="A10660" s="26"/>
      <c r="B10660" s="86"/>
      <c r="D10660" s="26"/>
      <c r="F10660" s="87" t="str">
        <f t="shared" si="0"/>
        <v/>
      </c>
      <c r="H10660" s="26" t="str">
        <f t="shared" si="1"/>
        <v/>
      </c>
      <c r="I10660" s="26" t="str">
        <f t="shared" si="2"/>
        <v/>
      </c>
      <c r="J10660" s="86">
        <f t="shared" si="3"/>
        <v>0</v>
      </c>
      <c r="R10660" s="26"/>
    </row>
    <row r="10661" spans="1:18" ht="15.75" customHeight="1">
      <c r="A10661" s="26"/>
      <c r="B10661" s="86"/>
      <c r="D10661" s="26"/>
      <c r="F10661" s="87" t="str">
        <f t="shared" si="0"/>
        <v/>
      </c>
      <c r="H10661" s="26" t="str">
        <f t="shared" si="1"/>
        <v/>
      </c>
      <c r="I10661" s="26" t="str">
        <f t="shared" si="2"/>
        <v/>
      </c>
      <c r="J10661" s="86">
        <f t="shared" si="3"/>
        <v>0</v>
      </c>
      <c r="R10661" s="26"/>
    </row>
    <row r="10662" spans="1:18" ht="15.75" customHeight="1">
      <c r="A10662" s="26"/>
      <c r="B10662" s="86"/>
      <c r="D10662" s="26"/>
      <c r="F10662" s="87" t="str">
        <f t="shared" si="0"/>
        <v/>
      </c>
      <c r="H10662" s="26" t="str">
        <f t="shared" si="1"/>
        <v/>
      </c>
      <c r="I10662" s="26" t="str">
        <f t="shared" si="2"/>
        <v/>
      </c>
      <c r="J10662" s="86">
        <f t="shared" si="3"/>
        <v>0</v>
      </c>
      <c r="R10662" s="26"/>
    </row>
    <row r="10663" spans="1:18" ht="15.75" customHeight="1">
      <c r="A10663" s="26"/>
      <c r="B10663" s="86"/>
      <c r="D10663" s="26"/>
      <c r="F10663" s="87" t="str">
        <f t="shared" si="0"/>
        <v/>
      </c>
      <c r="H10663" s="26" t="str">
        <f t="shared" si="1"/>
        <v/>
      </c>
      <c r="I10663" s="26" t="str">
        <f t="shared" si="2"/>
        <v/>
      </c>
      <c r="J10663" s="86">
        <f t="shared" si="3"/>
        <v>0</v>
      </c>
      <c r="R10663" s="26"/>
    </row>
    <row r="10664" spans="1:18" ht="15.75" customHeight="1">
      <c r="A10664" s="26"/>
      <c r="B10664" s="86"/>
      <c r="D10664" s="26"/>
      <c r="F10664" s="87" t="str">
        <f t="shared" si="0"/>
        <v/>
      </c>
      <c r="H10664" s="26" t="str">
        <f t="shared" si="1"/>
        <v/>
      </c>
      <c r="I10664" s="26" t="str">
        <f t="shared" si="2"/>
        <v/>
      </c>
      <c r="J10664" s="86">
        <f t="shared" si="3"/>
        <v>0</v>
      </c>
      <c r="R10664" s="26"/>
    </row>
    <row r="10665" spans="1:18" ht="15.75" customHeight="1">
      <c r="A10665" s="26"/>
      <c r="B10665" s="86"/>
      <c r="D10665" s="26"/>
      <c r="F10665" s="87" t="str">
        <f t="shared" si="0"/>
        <v/>
      </c>
      <c r="H10665" s="26" t="str">
        <f t="shared" si="1"/>
        <v/>
      </c>
      <c r="I10665" s="26" t="str">
        <f t="shared" si="2"/>
        <v/>
      </c>
      <c r="J10665" s="86">
        <f t="shared" si="3"/>
        <v>0</v>
      </c>
      <c r="R10665" s="26"/>
    </row>
    <row r="10666" spans="1:18" ht="15.75" customHeight="1">
      <c r="A10666" s="26"/>
      <c r="B10666" s="86"/>
      <c r="D10666" s="26"/>
      <c r="F10666" s="87" t="str">
        <f t="shared" si="0"/>
        <v/>
      </c>
      <c r="H10666" s="26" t="str">
        <f t="shared" si="1"/>
        <v/>
      </c>
      <c r="I10666" s="26" t="str">
        <f t="shared" si="2"/>
        <v/>
      </c>
      <c r="J10666" s="86">
        <f t="shared" si="3"/>
        <v>0</v>
      </c>
      <c r="R10666" s="26"/>
    </row>
    <row r="10667" spans="1:18" ht="15.75" customHeight="1">
      <c r="A10667" s="26"/>
      <c r="B10667" s="86"/>
      <c r="D10667" s="26"/>
      <c r="F10667" s="87" t="str">
        <f t="shared" si="0"/>
        <v/>
      </c>
      <c r="H10667" s="26" t="str">
        <f t="shared" si="1"/>
        <v/>
      </c>
      <c r="I10667" s="26" t="str">
        <f t="shared" si="2"/>
        <v/>
      </c>
      <c r="J10667" s="86">
        <f t="shared" si="3"/>
        <v>0</v>
      </c>
      <c r="R10667" s="26"/>
    </row>
    <row r="10668" spans="1:18" ht="15.75" customHeight="1">
      <c r="A10668" s="26"/>
      <c r="B10668" s="86"/>
      <c r="D10668" s="26"/>
      <c r="F10668" s="87" t="str">
        <f t="shared" si="0"/>
        <v/>
      </c>
      <c r="H10668" s="26" t="str">
        <f t="shared" si="1"/>
        <v/>
      </c>
      <c r="I10668" s="26" t="str">
        <f t="shared" si="2"/>
        <v/>
      </c>
      <c r="J10668" s="86">
        <f t="shared" si="3"/>
        <v>0</v>
      </c>
      <c r="R10668" s="26"/>
    </row>
    <row r="10669" spans="1:18" ht="15.75" customHeight="1">
      <c r="A10669" s="26"/>
      <c r="B10669" s="86"/>
      <c r="D10669" s="26"/>
      <c r="F10669" s="87" t="str">
        <f t="shared" si="0"/>
        <v/>
      </c>
      <c r="H10669" s="26" t="str">
        <f t="shared" si="1"/>
        <v/>
      </c>
      <c r="I10669" s="26" t="str">
        <f t="shared" si="2"/>
        <v/>
      </c>
      <c r="J10669" s="86">
        <f t="shared" si="3"/>
        <v>0</v>
      </c>
      <c r="R10669" s="26"/>
    </row>
    <row r="10670" spans="1:18" ht="15.75" customHeight="1">
      <c r="A10670" s="26"/>
      <c r="B10670" s="86"/>
      <c r="D10670" s="26"/>
      <c r="F10670" s="87" t="str">
        <f t="shared" si="0"/>
        <v/>
      </c>
      <c r="H10670" s="26" t="str">
        <f t="shared" si="1"/>
        <v/>
      </c>
      <c r="I10670" s="26" t="str">
        <f t="shared" si="2"/>
        <v/>
      </c>
      <c r="J10670" s="86">
        <f t="shared" si="3"/>
        <v>0</v>
      </c>
      <c r="R10670" s="26"/>
    </row>
    <row r="10671" spans="1:18" ht="15.75" customHeight="1">
      <c r="A10671" s="26"/>
      <c r="B10671" s="86"/>
      <c r="D10671" s="26"/>
      <c r="F10671" s="87" t="str">
        <f t="shared" si="0"/>
        <v/>
      </c>
      <c r="H10671" s="26" t="str">
        <f t="shared" si="1"/>
        <v/>
      </c>
      <c r="I10671" s="26" t="str">
        <f t="shared" si="2"/>
        <v/>
      </c>
      <c r="J10671" s="86">
        <f t="shared" si="3"/>
        <v>0</v>
      </c>
      <c r="R10671" s="26"/>
    </row>
    <row r="10672" spans="1:18" ht="15.75" customHeight="1">
      <c r="A10672" s="26"/>
      <c r="B10672" s="86"/>
      <c r="D10672" s="26"/>
      <c r="F10672" s="87" t="str">
        <f t="shared" si="0"/>
        <v/>
      </c>
      <c r="H10672" s="26" t="str">
        <f t="shared" si="1"/>
        <v/>
      </c>
      <c r="I10672" s="26" t="str">
        <f t="shared" si="2"/>
        <v/>
      </c>
      <c r="J10672" s="86">
        <f t="shared" si="3"/>
        <v>0</v>
      </c>
      <c r="R10672" s="26"/>
    </row>
    <row r="10673" spans="1:18" ht="15.75" customHeight="1">
      <c r="A10673" s="26"/>
      <c r="B10673" s="86"/>
      <c r="D10673" s="26"/>
      <c r="F10673" s="87" t="str">
        <f t="shared" si="0"/>
        <v/>
      </c>
      <c r="H10673" s="26" t="str">
        <f t="shared" si="1"/>
        <v/>
      </c>
      <c r="I10673" s="26" t="str">
        <f t="shared" si="2"/>
        <v/>
      </c>
      <c r="J10673" s="86">
        <f t="shared" si="3"/>
        <v>0</v>
      </c>
      <c r="R10673" s="26"/>
    </row>
    <row r="10674" spans="1:18" ht="15.75" customHeight="1">
      <c r="A10674" s="26"/>
      <c r="B10674" s="86"/>
      <c r="D10674" s="26"/>
      <c r="F10674" s="87" t="str">
        <f t="shared" si="0"/>
        <v/>
      </c>
      <c r="H10674" s="26" t="str">
        <f t="shared" si="1"/>
        <v/>
      </c>
      <c r="I10674" s="26" t="str">
        <f t="shared" si="2"/>
        <v/>
      </c>
      <c r="J10674" s="86">
        <f t="shared" si="3"/>
        <v>0</v>
      </c>
      <c r="R10674" s="26"/>
    </row>
    <row r="10675" spans="1:18" ht="15.75" customHeight="1">
      <c r="A10675" s="26"/>
      <c r="B10675" s="86"/>
      <c r="D10675" s="26"/>
      <c r="F10675" s="87" t="str">
        <f t="shared" si="0"/>
        <v/>
      </c>
      <c r="H10675" s="26" t="str">
        <f t="shared" si="1"/>
        <v/>
      </c>
      <c r="I10675" s="26" t="str">
        <f t="shared" si="2"/>
        <v/>
      </c>
      <c r="J10675" s="86">
        <f t="shared" si="3"/>
        <v>0</v>
      </c>
      <c r="R10675" s="26"/>
    </row>
    <row r="10676" spans="1:18" ht="15.75" customHeight="1">
      <c r="A10676" s="26"/>
      <c r="B10676" s="86"/>
      <c r="D10676" s="26"/>
      <c r="F10676" s="87" t="str">
        <f t="shared" si="0"/>
        <v/>
      </c>
      <c r="H10676" s="26" t="str">
        <f t="shared" si="1"/>
        <v/>
      </c>
      <c r="I10676" s="26" t="str">
        <f t="shared" si="2"/>
        <v/>
      </c>
      <c r="J10676" s="86">
        <f t="shared" si="3"/>
        <v>0</v>
      </c>
      <c r="R10676" s="26"/>
    </row>
    <row r="10677" spans="1:18" ht="15.75" customHeight="1">
      <c r="A10677" s="26"/>
      <c r="B10677" s="86"/>
      <c r="D10677" s="26"/>
      <c r="F10677" s="87" t="str">
        <f t="shared" si="0"/>
        <v/>
      </c>
      <c r="H10677" s="26" t="str">
        <f t="shared" si="1"/>
        <v/>
      </c>
      <c r="I10677" s="26" t="str">
        <f t="shared" si="2"/>
        <v/>
      </c>
      <c r="J10677" s="86">
        <f t="shared" si="3"/>
        <v>0</v>
      </c>
      <c r="R10677" s="26"/>
    </row>
    <row r="10678" spans="1:18" ht="15.75" customHeight="1">
      <c r="A10678" s="26"/>
      <c r="B10678" s="86"/>
      <c r="D10678" s="26"/>
      <c r="F10678" s="87" t="str">
        <f t="shared" si="0"/>
        <v/>
      </c>
      <c r="H10678" s="26" t="str">
        <f t="shared" si="1"/>
        <v/>
      </c>
      <c r="I10678" s="26" t="str">
        <f t="shared" si="2"/>
        <v/>
      </c>
      <c r="J10678" s="86">
        <f t="shared" si="3"/>
        <v>0</v>
      </c>
      <c r="R10678" s="26"/>
    </row>
    <row r="10679" spans="1:18" ht="15.75" customHeight="1">
      <c r="A10679" s="26"/>
      <c r="B10679" s="86"/>
      <c r="D10679" s="26"/>
      <c r="F10679" s="87" t="str">
        <f t="shared" si="0"/>
        <v/>
      </c>
      <c r="H10679" s="26" t="str">
        <f t="shared" si="1"/>
        <v/>
      </c>
      <c r="I10679" s="26" t="str">
        <f t="shared" si="2"/>
        <v/>
      </c>
      <c r="J10679" s="86">
        <f t="shared" si="3"/>
        <v>0</v>
      </c>
      <c r="R10679" s="26"/>
    </row>
    <row r="10680" spans="1:18" ht="15.75" customHeight="1">
      <c r="A10680" s="26"/>
      <c r="B10680" s="86"/>
      <c r="D10680" s="26"/>
      <c r="F10680" s="87" t="str">
        <f t="shared" si="0"/>
        <v/>
      </c>
      <c r="H10680" s="26" t="str">
        <f t="shared" si="1"/>
        <v/>
      </c>
      <c r="I10680" s="26" t="str">
        <f t="shared" si="2"/>
        <v/>
      </c>
      <c r="J10680" s="86">
        <f t="shared" si="3"/>
        <v>0</v>
      </c>
      <c r="R10680" s="26"/>
    </row>
    <row r="10681" spans="1:18" ht="15.75" customHeight="1">
      <c r="A10681" s="26"/>
      <c r="B10681" s="86"/>
      <c r="D10681" s="26"/>
      <c r="F10681" s="87" t="str">
        <f t="shared" si="0"/>
        <v/>
      </c>
      <c r="H10681" s="26" t="str">
        <f t="shared" si="1"/>
        <v/>
      </c>
      <c r="I10681" s="26" t="str">
        <f t="shared" si="2"/>
        <v/>
      </c>
      <c r="J10681" s="86">
        <f t="shared" si="3"/>
        <v>0</v>
      </c>
      <c r="R10681" s="26"/>
    </row>
    <row r="10682" spans="1:18" ht="15.75" customHeight="1">
      <c r="A10682" s="26"/>
      <c r="B10682" s="86"/>
      <c r="D10682" s="26"/>
      <c r="F10682" s="87" t="str">
        <f t="shared" si="0"/>
        <v/>
      </c>
      <c r="H10682" s="26" t="str">
        <f t="shared" si="1"/>
        <v/>
      </c>
      <c r="I10682" s="26" t="str">
        <f t="shared" si="2"/>
        <v/>
      </c>
      <c r="J10682" s="86">
        <f t="shared" si="3"/>
        <v>0</v>
      </c>
      <c r="R10682" s="26"/>
    </row>
    <row r="10683" spans="1:18" ht="15.75" customHeight="1">
      <c r="A10683" s="26"/>
      <c r="B10683" s="86"/>
      <c r="D10683" s="26"/>
      <c r="F10683" s="87" t="str">
        <f t="shared" si="0"/>
        <v/>
      </c>
      <c r="H10683" s="26" t="str">
        <f t="shared" si="1"/>
        <v/>
      </c>
      <c r="I10683" s="26" t="str">
        <f t="shared" si="2"/>
        <v/>
      </c>
      <c r="J10683" s="86">
        <f t="shared" si="3"/>
        <v>0</v>
      </c>
      <c r="R10683" s="26"/>
    </row>
    <row r="10684" spans="1:18" ht="15.75" customHeight="1">
      <c r="A10684" s="26"/>
      <c r="B10684" s="86"/>
      <c r="D10684" s="26"/>
      <c r="F10684" s="87" t="str">
        <f t="shared" si="0"/>
        <v/>
      </c>
      <c r="H10684" s="26" t="str">
        <f t="shared" si="1"/>
        <v/>
      </c>
      <c r="I10684" s="26" t="str">
        <f t="shared" si="2"/>
        <v/>
      </c>
      <c r="J10684" s="86">
        <f t="shared" si="3"/>
        <v>0</v>
      </c>
      <c r="R10684" s="26"/>
    </row>
    <row r="10685" spans="1:18" ht="15.75" customHeight="1">
      <c r="A10685" s="26"/>
      <c r="B10685" s="86"/>
      <c r="D10685" s="26"/>
      <c r="F10685" s="87" t="str">
        <f t="shared" si="0"/>
        <v/>
      </c>
      <c r="H10685" s="26" t="str">
        <f t="shared" si="1"/>
        <v/>
      </c>
      <c r="I10685" s="26" t="str">
        <f t="shared" si="2"/>
        <v/>
      </c>
      <c r="J10685" s="86">
        <f t="shared" si="3"/>
        <v>0</v>
      </c>
      <c r="R10685" s="26"/>
    </row>
    <row r="10686" spans="1:18" ht="15.75" customHeight="1">
      <c r="A10686" s="26"/>
      <c r="B10686" s="86"/>
      <c r="D10686" s="26"/>
      <c r="F10686" s="87" t="str">
        <f t="shared" si="0"/>
        <v/>
      </c>
      <c r="H10686" s="26" t="str">
        <f t="shared" si="1"/>
        <v/>
      </c>
      <c r="I10686" s="26" t="str">
        <f t="shared" si="2"/>
        <v/>
      </c>
      <c r="J10686" s="86">
        <f t="shared" si="3"/>
        <v>0</v>
      </c>
      <c r="R10686" s="26"/>
    </row>
    <row r="10687" spans="1:18" ht="15.75" customHeight="1">
      <c r="A10687" s="26"/>
      <c r="B10687" s="86"/>
      <c r="D10687" s="26"/>
      <c r="F10687" s="87" t="str">
        <f t="shared" si="0"/>
        <v/>
      </c>
      <c r="H10687" s="26" t="str">
        <f t="shared" si="1"/>
        <v/>
      </c>
      <c r="I10687" s="26" t="str">
        <f t="shared" si="2"/>
        <v/>
      </c>
      <c r="J10687" s="86">
        <f t="shared" si="3"/>
        <v>0</v>
      </c>
      <c r="R10687" s="26"/>
    </row>
    <row r="10688" spans="1:18" ht="15.75" customHeight="1">
      <c r="A10688" s="26"/>
      <c r="B10688" s="86"/>
      <c r="D10688" s="26"/>
      <c r="F10688" s="87" t="str">
        <f t="shared" si="0"/>
        <v/>
      </c>
      <c r="H10688" s="26" t="str">
        <f t="shared" si="1"/>
        <v/>
      </c>
      <c r="I10688" s="26" t="str">
        <f t="shared" si="2"/>
        <v/>
      </c>
      <c r="J10688" s="86">
        <f t="shared" si="3"/>
        <v>0</v>
      </c>
      <c r="R10688" s="26"/>
    </row>
    <row r="10689" spans="1:18" ht="15.75" customHeight="1">
      <c r="A10689" s="26"/>
      <c r="B10689" s="86"/>
      <c r="D10689" s="26"/>
      <c r="F10689" s="87" t="str">
        <f t="shared" si="0"/>
        <v/>
      </c>
      <c r="H10689" s="26" t="str">
        <f t="shared" si="1"/>
        <v/>
      </c>
      <c r="I10689" s="26" t="str">
        <f t="shared" si="2"/>
        <v/>
      </c>
      <c r="J10689" s="86">
        <f t="shared" si="3"/>
        <v>0</v>
      </c>
      <c r="R10689" s="26"/>
    </row>
    <row r="10690" spans="1:18" ht="15.75" customHeight="1">
      <c r="A10690" s="26"/>
      <c r="B10690" s="86"/>
      <c r="D10690" s="26"/>
      <c r="F10690" s="87" t="str">
        <f t="shared" si="0"/>
        <v/>
      </c>
      <c r="H10690" s="26" t="str">
        <f t="shared" si="1"/>
        <v/>
      </c>
      <c r="I10690" s="26" t="str">
        <f t="shared" si="2"/>
        <v/>
      </c>
      <c r="J10690" s="86">
        <f t="shared" si="3"/>
        <v>0</v>
      </c>
      <c r="R10690" s="26"/>
    </row>
    <row r="10691" spans="1:18" ht="15.75" customHeight="1">
      <c r="A10691" s="26"/>
      <c r="B10691" s="86"/>
      <c r="D10691" s="26"/>
      <c r="F10691" s="87" t="str">
        <f t="shared" si="0"/>
        <v/>
      </c>
      <c r="H10691" s="26" t="str">
        <f t="shared" si="1"/>
        <v/>
      </c>
      <c r="I10691" s="26" t="str">
        <f t="shared" si="2"/>
        <v/>
      </c>
      <c r="J10691" s="86">
        <f t="shared" si="3"/>
        <v>0</v>
      </c>
      <c r="R10691" s="26"/>
    </row>
    <row r="10692" spans="1:18" ht="15.75" customHeight="1">
      <c r="A10692" s="26"/>
      <c r="B10692" s="86"/>
      <c r="D10692" s="26"/>
      <c r="F10692" s="87" t="str">
        <f t="shared" si="0"/>
        <v/>
      </c>
      <c r="H10692" s="26" t="str">
        <f t="shared" si="1"/>
        <v/>
      </c>
      <c r="I10692" s="26" t="str">
        <f t="shared" si="2"/>
        <v/>
      </c>
      <c r="J10692" s="86">
        <f t="shared" si="3"/>
        <v>0</v>
      </c>
      <c r="R10692" s="26"/>
    </row>
    <row r="10693" spans="1:18" ht="15.75" customHeight="1">
      <c r="A10693" s="26"/>
      <c r="B10693" s="86"/>
      <c r="D10693" s="26"/>
      <c r="F10693" s="87" t="str">
        <f t="shared" si="0"/>
        <v/>
      </c>
      <c r="H10693" s="26" t="str">
        <f t="shared" si="1"/>
        <v/>
      </c>
      <c r="I10693" s="26" t="str">
        <f t="shared" si="2"/>
        <v/>
      </c>
      <c r="J10693" s="86">
        <f t="shared" si="3"/>
        <v>0</v>
      </c>
      <c r="R10693" s="26"/>
    </row>
    <row r="10694" spans="1:18" ht="15.75" customHeight="1">
      <c r="A10694" s="26"/>
      <c r="B10694" s="86"/>
      <c r="D10694" s="26"/>
      <c r="F10694" s="87" t="str">
        <f t="shared" si="0"/>
        <v/>
      </c>
      <c r="H10694" s="26" t="str">
        <f t="shared" si="1"/>
        <v/>
      </c>
      <c r="I10694" s="26" t="str">
        <f t="shared" si="2"/>
        <v/>
      </c>
      <c r="J10694" s="86">
        <f t="shared" si="3"/>
        <v>0</v>
      </c>
      <c r="R10694" s="26"/>
    </row>
    <row r="10695" spans="1:18" ht="15.75" customHeight="1">
      <c r="A10695" s="26"/>
      <c r="B10695" s="86"/>
      <c r="D10695" s="26"/>
      <c r="F10695" s="87" t="str">
        <f t="shared" si="0"/>
        <v/>
      </c>
      <c r="H10695" s="26" t="str">
        <f t="shared" si="1"/>
        <v/>
      </c>
      <c r="I10695" s="26" t="str">
        <f t="shared" si="2"/>
        <v/>
      </c>
      <c r="J10695" s="86">
        <f t="shared" si="3"/>
        <v>0</v>
      </c>
      <c r="R10695" s="26"/>
    </row>
    <row r="10696" spans="1:18" ht="15.75" customHeight="1">
      <c r="A10696" s="26"/>
      <c r="B10696" s="86"/>
      <c r="D10696" s="26"/>
      <c r="F10696" s="87" t="str">
        <f t="shared" si="0"/>
        <v/>
      </c>
      <c r="H10696" s="26" t="str">
        <f t="shared" si="1"/>
        <v/>
      </c>
      <c r="I10696" s="26" t="str">
        <f t="shared" si="2"/>
        <v/>
      </c>
      <c r="J10696" s="86">
        <f t="shared" si="3"/>
        <v>0</v>
      </c>
      <c r="R10696" s="26"/>
    </row>
    <row r="10697" spans="1:18" ht="15.75" customHeight="1">
      <c r="A10697" s="26"/>
      <c r="B10697" s="86"/>
      <c r="D10697" s="26"/>
      <c r="F10697" s="87" t="str">
        <f t="shared" si="0"/>
        <v/>
      </c>
      <c r="H10697" s="26" t="str">
        <f t="shared" si="1"/>
        <v/>
      </c>
      <c r="I10697" s="26" t="str">
        <f t="shared" si="2"/>
        <v/>
      </c>
      <c r="J10697" s="86">
        <f t="shared" si="3"/>
        <v>0</v>
      </c>
      <c r="R10697" s="26"/>
    </row>
    <row r="10698" spans="1:18" ht="15.75" customHeight="1">
      <c r="A10698" s="26"/>
      <c r="B10698" s="86"/>
      <c r="D10698" s="26"/>
      <c r="F10698" s="87" t="str">
        <f t="shared" si="0"/>
        <v/>
      </c>
      <c r="H10698" s="26" t="str">
        <f t="shared" si="1"/>
        <v/>
      </c>
      <c r="I10698" s="26" t="str">
        <f t="shared" si="2"/>
        <v/>
      </c>
      <c r="J10698" s="86">
        <f t="shared" si="3"/>
        <v>0</v>
      </c>
      <c r="R10698" s="26"/>
    </row>
    <row r="10699" spans="1:18" ht="15.75" customHeight="1">
      <c r="A10699" s="26"/>
      <c r="B10699" s="86"/>
      <c r="D10699" s="26"/>
      <c r="F10699" s="87" t="str">
        <f t="shared" si="0"/>
        <v/>
      </c>
      <c r="H10699" s="26" t="str">
        <f t="shared" si="1"/>
        <v/>
      </c>
      <c r="I10699" s="26" t="str">
        <f t="shared" si="2"/>
        <v/>
      </c>
      <c r="J10699" s="86">
        <f t="shared" si="3"/>
        <v>0</v>
      </c>
      <c r="R10699" s="26"/>
    </row>
    <row r="10700" spans="1:18" ht="15.75" customHeight="1">
      <c r="A10700" s="26"/>
      <c r="B10700" s="86"/>
      <c r="D10700" s="26"/>
      <c r="F10700" s="87" t="str">
        <f t="shared" si="0"/>
        <v/>
      </c>
      <c r="H10700" s="26" t="str">
        <f t="shared" si="1"/>
        <v/>
      </c>
      <c r="I10700" s="26" t="str">
        <f t="shared" si="2"/>
        <v/>
      </c>
      <c r="J10700" s="86">
        <f t="shared" si="3"/>
        <v>0</v>
      </c>
      <c r="R10700" s="26"/>
    </row>
    <row r="10701" spans="1:18" ht="15.75" customHeight="1">
      <c r="A10701" s="26"/>
      <c r="B10701" s="86"/>
      <c r="D10701" s="26"/>
      <c r="F10701" s="87" t="str">
        <f t="shared" si="0"/>
        <v/>
      </c>
      <c r="H10701" s="26" t="str">
        <f t="shared" si="1"/>
        <v/>
      </c>
      <c r="I10701" s="26" t="str">
        <f t="shared" si="2"/>
        <v/>
      </c>
      <c r="J10701" s="86">
        <f t="shared" si="3"/>
        <v>0</v>
      </c>
      <c r="R10701" s="26"/>
    </row>
    <row r="10702" spans="1:18" ht="15.75" customHeight="1">
      <c r="A10702" s="26"/>
      <c r="B10702" s="86"/>
      <c r="D10702" s="26"/>
      <c r="F10702" s="87" t="str">
        <f t="shared" si="0"/>
        <v/>
      </c>
      <c r="H10702" s="26" t="str">
        <f t="shared" si="1"/>
        <v/>
      </c>
      <c r="I10702" s="26" t="str">
        <f t="shared" si="2"/>
        <v/>
      </c>
      <c r="J10702" s="86">
        <f t="shared" si="3"/>
        <v>0</v>
      </c>
      <c r="R10702" s="26"/>
    </row>
    <row r="10703" spans="1:18" ht="15.75" customHeight="1">
      <c r="A10703" s="26"/>
      <c r="B10703" s="86"/>
      <c r="D10703" s="26"/>
      <c r="F10703" s="87" t="str">
        <f t="shared" si="0"/>
        <v/>
      </c>
      <c r="H10703" s="26" t="str">
        <f t="shared" si="1"/>
        <v/>
      </c>
      <c r="I10703" s="26" t="str">
        <f t="shared" si="2"/>
        <v/>
      </c>
      <c r="J10703" s="86">
        <f t="shared" si="3"/>
        <v>0</v>
      </c>
      <c r="R10703" s="26"/>
    </row>
    <row r="10704" spans="1:18" ht="15.75" customHeight="1">
      <c r="A10704" s="26"/>
      <c r="B10704" s="86"/>
      <c r="D10704" s="26"/>
      <c r="F10704" s="87" t="str">
        <f t="shared" si="0"/>
        <v/>
      </c>
      <c r="H10704" s="26" t="str">
        <f t="shared" si="1"/>
        <v/>
      </c>
      <c r="I10704" s="26" t="str">
        <f t="shared" si="2"/>
        <v/>
      </c>
      <c r="J10704" s="86">
        <f t="shared" si="3"/>
        <v>0</v>
      </c>
      <c r="R10704" s="26"/>
    </row>
    <row r="10705" spans="1:18" ht="15.75" customHeight="1">
      <c r="A10705" s="26"/>
      <c r="B10705" s="86"/>
      <c r="D10705" s="26"/>
      <c r="F10705" s="87" t="str">
        <f t="shared" si="0"/>
        <v/>
      </c>
      <c r="H10705" s="26" t="str">
        <f t="shared" si="1"/>
        <v/>
      </c>
      <c r="I10705" s="26" t="str">
        <f t="shared" si="2"/>
        <v/>
      </c>
      <c r="J10705" s="86">
        <f t="shared" si="3"/>
        <v>0</v>
      </c>
      <c r="R10705" s="26"/>
    </row>
    <row r="10706" spans="1:18" ht="15.75" customHeight="1">
      <c r="A10706" s="26"/>
      <c r="B10706" s="86"/>
      <c r="D10706" s="26"/>
      <c r="F10706" s="87" t="str">
        <f t="shared" si="0"/>
        <v/>
      </c>
      <c r="H10706" s="26" t="str">
        <f t="shared" si="1"/>
        <v/>
      </c>
      <c r="I10706" s="26" t="str">
        <f t="shared" si="2"/>
        <v/>
      </c>
      <c r="J10706" s="86">
        <f t="shared" si="3"/>
        <v>0</v>
      </c>
      <c r="R10706" s="26"/>
    </row>
    <row r="10707" spans="1:18" ht="15.75" customHeight="1">
      <c r="A10707" s="26"/>
      <c r="B10707" s="86"/>
      <c r="D10707" s="26"/>
      <c r="F10707" s="87" t="str">
        <f t="shared" si="0"/>
        <v/>
      </c>
      <c r="H10707" s="26" t="str">
        <f t="shared" si="1"/>
        <v/>
      </c>
      <c r="I10707" s="26" t="str">
        <f t="shared" si="2"/>
        <v/>
      </c>
      <c r="J10707" s="86">
        <f t="shared" si="3"/>
        <v>0</v>
      </c>
      <c r="R10707" s="26"/>
    </row>
    <row r="10708" spans="1:18" ht="15.75" customHeight="1">
      <c r="A10708" s="26"/>
      <c r="B10708" s="86"/>
      <c r="D10708" s="26"/>
      <c r="F10708" s="87" t="str">
        <f t="shared" si="0"/>
        <v/>
      </c>
      <c r="H10708" s="26" t="str">
        <f t="shared" si="1"/>
        <v/>
      </c>
      <c r="I10708" s="26" t="str">
        <f t="shared" si="2"/>
        <v/>
      </c>
      <c r="J10708" s="86">
        <f t="shared" si="3"/>
        <v>0</v>
      </c>
      <c r="R10708" s="26"/>
    </row>
    <row r="10709" spans="1:18" ht="15.75" customHeight="1">
      <c r="A10709" s="26"/>
      <c r="B10709" s="86"/>
      <c r="D10709" s="26"/>
      <c r="F10709" s="87" t="str">
        <f t="shared" si="0"/>
        <v/>
      </c>
      <c r="H10709" s="26" t="str">
        <f t="shared" si="1"/>
        <v/>
      </c>
      <c r="I10709" s="26" t="str">
        <f t="shared" si="2"/>
        <v/>
      </c>
      <c r="J10709" s="86">
        <f t="shared" si="3"/>
        <v>0</v>
      </c>
      <c r="R10709" s="26"/>
    </row>
    <row r="10710" spans="1:18" ht="15.75" customHeight="1">
      <c r="A10710" s="26"/>
      <c r="B10710" s="86"/>
      <c r="D10710" s="26"/>
      <c r="F10710" s="87" t="str">
        <f t="shared" si="0"/>
        <v/>
      </c>
      <c r="H10710" s="26" t="str">
        <f t="shared" si="1"/>
        <v/>
      </c>
      <c r="I10710" s="26" t="str">
        <f t="shared" si="2"/>
        <v/>
      </c>
      <c r="J10710" s="86">
        <f t="shared" si="3"/>
        <v>0</v>
      </c>
      <c r="R10710" s="26"/>
    </row>
    <row r="10711" spans="1:18" ht="15.75" customHeight="1">
      <c r="A10711" s="26"/>
      <c r="B10711" s="86"/>
      <c r="D10711" s="26"/>
      <c r="F10711" s="87" t="str">
        <f t="shared" si="0"/>
        <v/>
      </c>
      <c r="H10711" s="26" t="str">
        <f t="shared" si="1"/>
        <v/>
      </c>
      <c r="I10711" s="26" t="str">
        <f t="shared" si="2"/>
        <v/>
      </c>
      <c r="J10711" s="86">
        <f t="shared" si="3"/>
        <v>0</v>
      </c>
      <c r="R10711" s="26"/>
    </row>
    <row r="10712" spans="1:18" ht="15.75" customHeight="1">
      <c r="A10712" s="26"/>
      <c r="B10712" s="86"/>
      <c r="D10712" s="26"/>
      <c r="F10712" s="87" t="str">
        <f t="shared" si="0"/>
        <v/>
      </c>
      <c r="H10712" s="26" t="str">
        <f t="shared" si="1"/>
        <v/>
      </c>
      <c r="I10712" s="26" t="str">
        <f t="shared" si="2"/>
        <v/>
      </c>
      <c r="J10712" s="86">
        <f t="shared" si="3"/>
        <v>0</v>
      </c>
      <c r="R10712" s="26"/>
    </row>
    <row r="10713" spans="1:18" ht="15.75" customHeight="1">
      <c r="A10713" s="26"/>
      <c r="B10713" s="86"/>
      <c r="D10713" s="26"/>
      <c r="F10713" s="87" t="str">
        <f t="shared" si="0"/>
        <v/>
      </c>
      <c r="H10713" s="26" t="str">
        <f t="shared" si="1"/>
        <v/>
      </c>
      <c r="I10713" s="26" t="str">
        <f t="shared" si="2"/>
        <v/>
      </c>
      <c r="J10713" s="86">
        <f t="shared" si="3"/>
        <v>0</v>
      </c>
      <c r="R10713" s="26"/>
    </row>
    <row r="10714" spans="1:18" ht="15.75" customHeight="1">
      <c r="A10714" s="26"/>
      <c r="B10714" s="86"/>
      <c r="D10714" s="26"/>
      <c r="F10714" s="87" t="str">
        <f t="shared" si="0"/>
        <v/>
      </c>
      <c r="H10714" s="26" t="str">
        <f t="shared" si="1"/>
        <v/>
      </c>
      <c r="I10714" s="26" t="str">
        <f t="shared" si="2"/>
        <v/>
      </c>
      <c r="J10714" s="86">
        <f t="shared" si="3"/>
        <v>0</v>
      </c>
      <c r="R10714" s="26"/>
    </row>
    <row r="10715" spans="1:18" ht="15.75" customHeight="1">
      <c r="A10715" s="26"/>
      <c r="B10715" s="86"/>
      <c r="D10715" s="26"/>
      <c r="F10715" s="87" t="str">
        <f t="shared" si="0"/>
        <v/>
      </c>
      <c r="H10715" s="26" t="str">
        <f t="shared" si="1"/>
        <v/>
      </c>
      <c r="I10715" s="26" t="str">
        <f t="shared" si="2"/>
        <v/>
      </c>
      <c r="J10715" s="86">
        <f t="shared" si="3"/>
        <v>0</v>
      </c>
      <c r="R10715" s="26"/>
    </row>
    <row r="10716" spans="1:18" ht="15.75" customHeight="1">
      <c r="A10716" s="26"/>
      <c r="B10716" s="86"/>
      <c r="D10716" s="26"/>
      <c r="F10716" s="87" t="str">
        <f t="shared" si="0"/>
        <v/>
      </c>
      <c r="H10716" s="26" t="str">
        <f t="shared" si="1"/>
        <v/>
      </c>
      <c r="I10716" s="26" t="str">
        <f t="shared" si="2"/>
        <v/>
      </c>
      <c r="J10716" s="86">
        <f t="shared" si="3"/>
        <v>0</v>
      </c>
      <c r="R10716" s="26"/>
    </row>
    <row r="10717" spans="1:18" ht="15.75" customHeight="1">
      <c r="A10717" s="26"/>
      <c r="B10717" s="86"/>
      <c r="D10717" s="26"/>
      <c r="F10717" s="87" t="str">
        <f t="shared" si="0"/>
        <v/>
      </c>
      <c r="H10717" s="26" t="str">
        <f t="shared" si="1"/>
        <v/>
      </c>
      <c r="I10717" s="26" t="str">
        <f t="shared" si="2"/>
        <v/>
      </c>
      <c r="J10717" s="86">
        <f t="shared" si="3"/>
        <v>0</v>
      </c>
      <c r="R10717" s="26"/>
    </row>
    <row r="10718" spans="1:18" ht="15.75" customHeight="1">
      <c r="A10718" s="26"/>
      <c r="B10718" s="86"/>
      <c r="D10718" s="26"/>
      <c r="F10718" s="87" t="str">
        <f t="shared" si="0"/>
        <v/>
      </c>
      <c r="H10718" s="26" t="str">
        <f t="shared" si="1"/>
        <v/>
      </c>
      <c r="I10718" s="26" t="str">
        <f t="shared" si="2"/>
        <v/>
      </c>
      <c r="J10718" s="86">
        <f t="shared" si="3"/>
        <v>0</v>
      </c>
      <c r="R10718" s="26"/>
    </row>
    <row r="10719" spans="1:18" ht="15.75" customHeight="1">
      <c r="A10719" s="26"/>
      <c r="B10719" s="86"/>
      <c r="D10719" s="26"/>
      <c r="F10719" s="87" t="str">
        <f t="shared" si="0"/>
        <v/>
      </c>
      <c r="H10719" s="26" t="str">
        <f t="shared" si="1"/>
        <v/>
      </c>
      <c r="I10719" s="26" t="str">
        <f t="shared" si="2"/>
        <v/>
      </c>
      <c r="J10719" s="86">
        <f t="shared" si="3"/>
        <v>0</v>
      </c>
      <c r="R10719" s="26"/>
    </row>
    <row r="10720" spans="1:18" ht="15.75" customHeight="1">
      <c r="A10720" s="26"/>
      <c r="B10720" s="86"/>
      <c r="D10720" s="26"/>
      <c r="F10720" s="87" t="str">
        <f t="shared" si="0"/>
        <v/>
      </c>
      <c r="H10720" s="26" t="str">
        <f t="shared" si="1"/>
        <v/>
      </c>
      <c r="I10720" s="26" t="str">
        <f t="shared" si="2"/>
        <v/>
      </c>
      <c r="J10720" s="86">
        <f t="shared" si="3"/>
        <v>0</v>
      </c>
      <c r="R10720" s="26"/>
    </row>
    <row r="10721" spans="1:18" ht="15.75" customHeight="1">
      <c r="A10721" s="26"/>
      <c r="B10721" s="86"/>
      <c r="D10721" s="26"/>
      <c r="F10721" s="87" t="str">
        <f t="shared" si="0"/>
        <v/>
      </c>
      <c r="H10721" s="26" t="str">
        <f t="shared" si="1"/>
        <v/>
      </c>
      <c r="I10721" s="26" t="str">
        <f t="shared" si="2"/>
        <v/>
      </c>
      <c r="J10721" s="86">
        <f t="shared" si="3"/>
        <v>0</v>
      </c>
      <c r="R10721" s="26"/>
    </row>
    <row r="10722" spans="1:18" ht="15.75" customHeight="1">
      <c r="A10722" s="26"/>
      <c r="B10722" s="86"/>
      <c r="D10722" s="26"/>
      <c r="F10722" s="87" t="str">
        <f t="shared" si="0"/>
        <v/>
      </c>
      <c r="H10722" s="26" t="str">
        <f t="shared" si="1"/>
        <v/>
      </c>
      <c r="I10722" s="26" t="str">
        <f t="shared" si="2"/>
        <v/>
      </c>
      <c r="J10722" s="86">
        <f t="shared" si="3"/>
        <v>0</v>
      </c>
      <c r="R10722" s="26"/>
    </row>
    <row r="10723" spans="1:18" ht="15.75" customHeight="1">
      <c r="A10723" s="26"/>
      <c r="B10723" s="86"/>
      <c r="D10723" s="26"/>
      <c r="F10723" s="87" t="str">
        <f t="shared" si="0"/>
        <v/>
      </c>
      <c r="H10723" s="26" t="str">
        <f t="shared" si="1"/>
        <v/>
      </c>
      <c r="I10723" s="26" t="str">
        <f t="shared" si="2"/>
        <v/>
      </c>
      <c r="J10723" s="86">
        <f t="shared" si="3"/>
        <v>0</v>
      </c>
      <c r="R10723" s="26"/>
    </row>
    <row r="10724" spans="1:18" ht="15.75" customHeight="1">
      <c r="A10724" s="26"/>
      <c r="B10724" s="86"/>
      <c r="D10724" s="26"/>
      <c r="F10724" s="87" t="str">
        <f t="shared" si="0"/>
        <v/>
      </c>
      <c r="H10724" s="26" t="str">
        <f t="shared" si="1"/>
        <v/>
      </c>
      <c r="I10724" s="26" t="str">
        <f t="shared" si="2"/>
        <v/>
      </c>
      <c r="J10724" s="86">
        <f t="shared" si="3"/>
        <v>0</v>
      </c>
      <c r="R10724" s="26"/>
    </row>
    <row r="10725" spans="1:18" ht="15.75" customHeight="1">
      <c r="A10725" s="26"/>
      <c r="B10725" s="86"/>
      <c r="D10725" s="26"/>
      <c r="F10725" s="87" t="str">
        <f t="shared" si="0"/>
        <v/>
      </c>
      <c r="H10725" s="26" t="str">
        <f t="shared" si="1"/>
        <v/>
      </c>
      <c r="I10725" s="26" t="str">
        <f t="shared" si="2"/>
        <v/>
      </c>
      <c r="J10725" s="86">
        <f t="shared" si="3"/>
        <v>0</v>
      </c>
      <c r="R10725" s="26"/>
    </row>
    <row r="10726" spans="1:18" ht="15.75" customHeight="1">
      <c r="A10726" s="26"/>
      <c r="B10726" s="86"/>
      <c r="D10726" s="26"/>
      <c r="F10726" s="87" t="str">
        <f t="shared" si="0"/>
        <v/>
      </c>
      <c r="H10726" s="26" t="str">
        <f t="shared" si="1"/>
        <v/>
      </c>
      <c r="I10726" s="26" t="str">
        <f t="shared" si="2"/>
        <v/>
      </c>
      <c r="J10726" s="86">
        <f t="shared" si="3"/>
        <v>0</v>
      </c>
      <c r="R10726" s="26"/>
    </row>
    <row r="10727" spans="1:18" ht="15.75" customHeight="1">
      <c r="A10727" s="26"/>
      <c r="B10727" s="86"/>
      <c r="D10727" s="26"/>
      <c r="F10727" s="87" t="str">
        <f t="shared" si="0"/>
        <v/>
      </c>
      <c r="H10727" s="26" t="str">
        <f t="shared" si="1"/>
        <v/>
      </c>
      <c r="I10727" s="26" t="str">
        <f t="shared" si="2"/>
        <v/>
      </c>
      <c r="J10727" s="86">
        <f t="shared" si="3"/>
        <v>0</v>
      </c>
      <c r="R10727" s="26"/>
    </row>
    <row r="10728" spans="1:18" ht="15.75" customHeight="1">
      <c r="A10728" s="26"/>
      <c r="B10728" s="86"/>
      <c r="D10728" s="26"/>
      <c r="F10728" s="87" t="str">
        <f t="shared" si="0"/>
        <v/>
      </c>
      <c r="H10728" s="26" t="str">
        <f t="shared" si="1"/>
        <v/>
      </c>
      <c r="I10728" s="26" t="str">
        <f t="shared" si="2"/>
        <v/>
      </c>
      <c r="J10728" s="86">
        <f t="shared" si="3"/>
        <v>0</v>
      </c>
      <c r="R10728" s="26"/>
    </row>
    <row r="10729" spans="1:18" ht="15.75" customHeight="1">
      <c r="A10729" s="26"/>
      <c r="B10729" s="86"/>
      <c r="D10729" s="26"/>
      <c r="F10729" s="87" t="str">
        <f t="shared" si="0"/>
        <v/>
      </c>
      <c r="H10729" s="26" t="str">
        <f t="shared" si="1"/>
        <v/>
      </c>
      <c r="I10729" s="26" t="str">
        <f t="shared" si="2"/>
        <v/>
      </c>
      <c r="J10729" s="86">
        <f t="shared" si="3"/>
        <v>0</v>
      </c>
      <c r="R10729" s="26"/>
    </row>
    <row r="10730" spans="1:18" ht="15.75" customHeight="1">
      <c r="A10730" s="26"/>
      <c r="B10730" s="86"/>
      <c r="D10730" s="26"/>
      <c r="F10730" s="87" t="str">
        <f t="shared" si="0"/>
        <v/>
      </c>
      <c r="H10730" s="26" t="str">
        <f t="shared" si="1"/>
        <v/>
      </c>
      <c r="I10730" s="26" t="str">
        <f t="shared" si="2"/>
        <v/>
      </c>
      <c r="J10730" s="86">
        <f t="shared" si="3"/>
        <v>0</v>
      </c>
      <c r="R10730" s="26"/>
    </row>
    <row r="10731" spans="1:18" ht="15.75" customHeight="1">
      <c r="A10731" s="26"/>
      <c r="B10731" s="86"/>
      <c r="D10731" s="26"/>
      <c r="F10731" s="87" t="str">
        <f t="shared" si="0"/>
        <v/>
      </c>
      <c r="H10731" s="26" t="str">
        <f t="shared" si="1"/>
        <v/>
      </c>
      <c r="I10731" s="26" t="str">
        <f t="shared" si="2"/>
        <v/>
      </c>
      <c r="J10731" s="86">
        <f t="shared" si="3"/>
        <v>0</v>
      </c>
      <c r="R10731" s="26"/>
    </row>
    <row r="10732" spans="1:18" ht="15.75" customHeight="1">
      <c r="A10732" s="26"/>
      <c r="B10732" s="86"/>
      <c r="D10732" s="26"/>
      <c r="F10732" s="87" t="str">
        <f t="shared" si="0"/>
        <v/>
      </c>
      <c r="H10732" s="26" t="str">
        <f t="shared" si="1"/>
        <v/>
      </c>
      <c r="I10732" s="26" t="str">
        <f t="shared" si="2"/>
        <v/>
      </c>
      <c r="J10732" s="86">
        <f t="shared" si="3"/>
        <v>0</v>
      </c>
      <c r="R10732" s="26"/>
    </row>
    <row r="10733" spans="1:18" ht="15.75" customHeight="1">
      <c r="A10733" s="26"/>
      <c r="B10733" s="86"/>
      <c r="D10733" s="26"/>
      <c r="F10733" s="87" t="str">
        <f t="shared" si="0"/>
        <v/>
      </c>
      <c r="H10733" s="26" t="str">
        <f t="shared" si="1"/>
        <v/>
      </c>
      <c r="I10733" s="26" t="str">
        <f t="shared" si="2"/>
        <v/>
      </c>
      <c r="J10733" s="86">
        <f t="shared" si="3"/>
        <v>0</v>
      </c>
      <c r="R10733" s="26"/>
    </row>
    <row r="10734" spans="1:18" ht="15.75" customHeight="1">
      <c r="A10734" s="26"/>
      <c r="B10734" s="86"/>
      <c r="D10734" s="26"/>
      <c r="F10734" s="87" t="str">
        <f t="shared" si="0"/>
        <v/>
      </c>
      <c r="H10734" s="26" t="str">
        <f t="shared" si="1"/>
        <v/>
      </c>
      <c r="I10734" s="26" t="str">
        <f t="shared" si="2"/>
        <v/>
      </c>
      <c r="J10734" s="86">
        <f t="shared" si="3"/>
        <v>0</v>
      </c>
      <c r="R10734" s="26"/>
    </row>
    <row r="10735" spans="1:18" ht="15.75" customHeight="1">
      <c r="A10735" s="26"/>
      <c r="B10735" s="86"/>
      <c r="D10735" s="26"/>
      <c r="F10735" s="87" t="str">
        <f t="shared" si="0"/>
        <v/>
      </c>
      <c r="H10735" s="26" t="str">
        <f t="shared" si="1"/>
        <v/>
      </c>
      <c r="I10735" s="26" t="str">
        <f t="shared" si="2"/>
        <v/>
      </c>
      <c r="J10735" s="86">
        <f t="shared" si="3"/>
        <v>0</v>
      </c>
      <c r="R10735" s="26"/>
    </row>
    <row r="10736" spans="1:18" ht="15.75" customHeight="1">
      <c r="A10736" s="26"/>
      <c r="B10736" s="86"/>
      <c r="D10736" s="26"/>
      <c r="F10736" s="87" t="str">
        <f t="shared" si="0"/>
        <v/>
      </c>
      <c r="H10736" s="26" t="str">
        <f t="shared" si="1"/>
        <v/>
      </c>
      <c r="I10736" s="26" t="str">
        <f t="shared" si="2"/>
        <v/>
      </c>
      <c r="J10736" s="86">
        <f t="shared" si="3"/>
        <v>0</v>
      </c>
      <c r="R10736" s="26"/>
    </row>
    <row r="10737" spans="1:18" ht="15.75" customHeight="1">
      <c r="A10737" s="26"/>
      <c r="B10737" s="86"/>
      <c r="D10737" s="26"/>
      <c r="F10737" s="87" t="str">
        <f t="shared" si="0"/>
        <v/>
      </c>
      <c r="H10737" s="26" t="str">
        <f t="shared" si="1"/>
        <v/>
      </c>
      <c r="I10737" s="26" t="str">
        <f t="shared" si="2"/>
        <v/>
      </c>
      <c r="J10737" s="86">
        <f t="shared" si="3"/>
        <v>0</v>
      </c>
      <c r="R10737" s="26"/>
    </row>
    <row r="10738" spans="1:18" ht="15.75" customHeight="1">
      <c r="A10738" s="26"/>
      <c r="B10738" s="86"/>
      <c r="D10738" s="26"/>
      <c r="F10738" s="87" t="str">
        <f t="shared" si="0"/>
        <v/>
      </c>
      <c r="H10738" s="26" t="str">
        <f t="shared" si="1"/>
        <v/>
      </c>
      <c r="I10738" s="26" t="str">
        <f t="shared" si="2"/>
        <v/>
      </c>
      <c r="J10738" s="86">
        <f t="shared" si="3"/>
        <v>0</v>
      </c>
      <c r="R10738" s="26"/>
    </row>
    <row r="10739" spans="1:18" ht="15.75" customHeight="1">
      <c r="A10739" s="26"/>
      <c r="B10739" s="86"/>
      <c r="D10739" s="26"/>
      <c r="F10739" s="87" t="str">
        <f t="shared" si="0"/>
        <v/>
      </c>
      <c r="H10739" s="26" t="str">
        <f t="shared" si="1"/>
        <v/>
      </c>
      <c r="I10739" s="26" t="str">
        <f t="shared" si="2"/>
        <v/>
      </c>
      <c r="J10739" s="86">
        <f t="shared" si="3"/>
        <v>0</v>
      </c>
      <c r="R10739" s="26"/>
    </row>
    <row r="10740" spans="1:18" ht="15.75" customHeight="1">
      <c r="A10740" s="26"/>
      <c r="B10740" s="86"/>
      <c r="D10740" s="26"/>
      <c r="F10740" s="87" t="str">
        <f t="shared" si="0"/>
        <v/>
      </c>
      <c r="H10740" s="26" t="str">
        <f t="shared" si="1"/>
        <v/>
      </c>
      <c r="I10740" s="26" t="str">
        <f t="shared" si="2"/>
        <v/>
      </c>
      <c r="J10740" s="86">
        <f t="shared" si="3"/>
        <v>0</v>
      </c>
      <c r="R10740" s="26"/>
    </row>
    <row r="10741" spans="1:18" ht="15.75" customHeight="1">
      <c r="A10741" s="26"/>
      <c r="B10741" s="86"/>
      <c r="D10741" s="26"/>
      <c r="F10741" s="87" t="str">
        <f t="shared" si="0"/>
        <v/>
      </c>
      <c r="H10741" s="26" t="str">
        <f t="shared" si="1"/>
        <v/>
      </c>
      <c r="I10741" s="26" t="str">
        <f t="shared" si="2"/>
        <v/>
      </c>
      <c r="J10741" s="86">
        <f t="shared" si="3"/>
        <v>0</v>
      </c>
      <c r="R10741" s="26"/>
    </row>
    <row r="10742" spans="1:18" ht="15.75" customHeight="1">
      <c r="A10742" s="26"/>
      <c r="B10742" s="86"/>
      <c r="D10742" s="26"/>
      <c r="F10742" s="87" t="str">
        <f t="shared" si="0"/>
        <v/>
      </c>
      <c r="H10742" s="26" t="str">
        <f t="shared" si="1"/>
        <v/>
      </c>
      <c r="I10742" s="26" t="str">
        <f t="shared" si="2"/>
        <v/>
      </c>
      <c r="J10742" s="86">
        <f t="shared" si="3"/>
        <v>0</v>
      </c>
      <c r="R10742" s="26"/>
    </row>
    <row r="10743" spans="1:18" ht="15.75" customHeight="1">
      <c r="A10743" s="26"/>
      <c r="B10743" s="86"/>
      <c r="D10743" s="26"/>
      <c r="F10743" s="87" t="str">
        <f t="shared" si="0"/>
        <v/>
      </c>
      <c r="H10743" s="26" t="str">
        <f t="shared" si="1"/>
        <v/>
      </c>
      <c r="I10743" s="26" t="str">
        <f t="shared" si="2"/>
        <v/>
      </c>
      <c r="J10743" s="86">
        <f t="shared" si="3"/>
        <v>0</v>
      </c>
      <c r="R10743" s="26"/>
    </row>
    <row r="10744" spans="1:18" ht="15.75" customHeight="1">
      <c r="A10744" s="26"/>
      <c r="B10744" s="86"/>
      <c r="D10744" s="26"/>
      <c r="F10744" s="87" t="str">
        <f t="shared" si="0"/>
        <v/>
      </c>
      <c r="H10744" s="26" t="str">
        <f t="shared" si="1"/>
        <v/>
      </c>
      <c r="I10744" s="26" t="str">
        <f t="shared" si="2"/>
        <v/>
      </c>
      <c r="J10744" s="86">
        <f t="shared" si="3"/>
        <v>0</v>
      </c>
      <c r="R10744" s="26"/>
    </row>
    <row r="10745" spans="1:18" ht="15.75" customHeight="1">
      <c r="A10745" s="26"/>
      <c r="B10745" s="86"/>
      <c r="D10745" s="26"/>
      <c r="F10745" s="87" t="str">
        <f t="shared" si="0"/>
        <v/>
      </c>
      <c r="H10745" s="26" t="str">
        <f t="shared" si="1"/>
        <v/>
      </c>
      <c r="I10745" s="26" t="str">
        <f t="shared" si="2"/>
        <v/>
      </c>
      <c r="J10745" s="86">
        <f t="shared" si="3"/>
        <v>0</v>
      </c>
      <c r="R10745" s="26"/>
    </row>
    <row r="10746" spans="1:18" ht="15.75" customHeight="1">
      <c r="A10746" s="26"/>
      <c r="B10746" s="86"/>
      <c r="D10746" s="26"/>
      <c r="F10746" s="87" t="str">
        <f t="shared" si="0"/>
        <v/>
      </c>
      <c r="H10746" s="26" t="str">
        <f t="shared" si="1"/>
        <v/>
      </c>
      <c r="I10746" s="26" t="str">
        <f t="shared" si="2"/>
        <v/>
      </c>
      <c r="J10746" s="86">
        <f t="shared" si="3"/>
        <v>0</v>
      </c>
      <c r="R10746" s="26"/>
    </row>
    <row r="10747" spans="1:18" ht="15.75" customHeight="1">
      <c r="A10747" s="26"/>
      <c r="B10747" s="86"/>
      <c r="D10747" s="26"/>
      <c r="F10747" s="87" t="str">
        <f t="shared" si="0"/>
        <v/>
      </c>
      <c r="H10747" s="26" t="str">
        <f t="shared" si="1"/>
        <v/>
      </c>
      <c r="I10747" s="26" t="str">
        <f t="shared" si="2"/>
        <v/>
      </c>
      <c r="J10747" s="86">
        <f t="shared" si="3"/>
        <v>0</v>
      </c>
      <c r="R10747" s="26"/>
    </row>
    <row r="10748" spans="1:18" ht="15.75" customHeight="1">
      <c r="A10748" s="26"/>
      <c r="B10748" s="86"/>
      <c r="D10748" s="26"/>
      <c r="F10748" s="87" t="str">
        <f t="shared" si="0"/>
        <v/>
      </c>
      <c r="H10748" s="26" t="str">
        <f t="shared" si="1"/>
        <v/>
      </c>
      <c r="I10748" s="26" t="str">
        <f t="shared" si="2"/>
        <v/>
      </c>
      <c r="J10748" s="86">
        <f t="shared" si="3"/>
        <v>0</v>
      </c>
      <c r="R10748" s="26"/>
    </row>
    <row r="10749" spans="1:18" ht="15.75" customHeight="1">
      <c r="A10749" s="26"/>
      <c r="B10749" s="86"/>
      <c r="D10749" s="26"/>
      <c r="F10749" s="87" t="str">
        <f t="shared" si="0"/>
        <v/>
      </c>
      <c r="H10749" s="26" t="str">
        <f t="shared" si="1"/>
        <v/>
      </c>
      <c r="I10749" s="26" t="str">
        <f t="shared" si="2"/>
        <v/>
      </c>
      <c r="J10749" s="86">
        <f t="shared" si="3"/>
        <v>0</v>
      </c>
      <c r="R10749" s="26"/>
    </row>
    <row r="10750" spans="1:18" ht="15.75" customHeight="1">
      <c r="A10750" s="26"/>
      <c r="B10750" s="86"/>
      <c r="D10750" s="26"/>
      <c r="F10750" s="87" t="str">
        <f t="shared" si="0"/>
        <v/>
      </c>
      <c r="H10750" s="26" t="str">
        <f t="shared" si="1"/>
        <v/>
      </c>
      <c r="I10750" s="26" t="str">
        <f t="shared" si="2"/>
        <v/>
      </c>
      <c r="J10750" s="86">
        <f t="shared" si="3"/>
        <v>0</v>
      </c>
      <c r="R10750" s="26"/>
    </row>
    <row r="10751" spans="1:18" ht="15.75" customHeight="1">
      <c r="A10751" s="26"/>
      <c r="B10751" s="86"/>
      <c r="D10751" s="26"/>
      <c r="F10751" s="87" t="str">
        <f t="shared" si="0"/>
        <v/>
      </c>
      <c r="H10751" s="26" t="str">
        <f t="shared" si="1"/>
        <v/>
      </c>
      <c r="I10751" s="26" t="str">
        <f t="shared" si="2"/>
        <v/>
      </c>
      <c r="J10751" s="86">
        <f t="shared" si="3"/>
        <v>0</v>
      </c>
      <c r="R10751" s="26"/>
    </row>
    <row r="10752" spans="1:18" ht="15.75" customHeight="1">
      <c r="A10752" s="26"/>
      <c r="B10752" s="86"/>
      <c r="D10752" s="26"/>
      <c r="F10752" s="87" t="str">
        <f t="shared" si="0"/>
        <v/>
      </c>
      <c r="H10752" s="26" t="str">
        <f t="shared" si="1"/>
        <v/>
      </c>
      <c r="I10752" s="26" t="str">
        <f t="shared" si="2"/>
        <v/>
      </c>
      <c r="J10752" s="86">
        <f t="shared" si="3"/>
        <v>0</v>
      </c>
      <c r="R10752" s="26"/>
    </row>
    <row r="10753" spans="1:18" ht="15.75" customHeight="1">
      <c r="A10753" s="26"/>
      <c r="B10753" s="86"/>
      <c r="D10753" s="26"/>
      <c r="F10753" s="87" t="str">
        <f t="shared" si="0"/>
        <v/>
      </c>
      <c r="H10753" s="26" t="str">
        <f t="shared" si="1"/>
        <v/>
      </c>
      <c r="I10753" s="26" t="str">
        <f t="shared" si="2"/>
        <v/>
      </c>
      <c r="J10753" s="86">
        <f t="shared" si="3"/>
        <v>0</v>
      </c>
      <c r="R10753" s="26"/>
    </row>
    <row r="10754" spans="1:18" ht="15.75" customHeight="1">
      <c r="A10754" s="26"/>
      <c r="B10754" s="86"/>
      <c r="D10754" s="26"/>
      <c r="F10754" s="87" t="str">
        <f t="shared" si="0"/>
        <v/>
      </c>
      <c r="H10754" s="26" t="str">
        <f t="shared" si="1"/>
        <v/>
      </c>
      <c r="I10754" s="26" t="str">
        <f t="shared" si="2"/>
        <v/>
      </c>
      <c r="J10754" s="86">
        <f t="shared" si="3"/>
        <v>0</v>
      </c>
      <c r="R10754" s="26"/>
    </row>
    <row r="10755" spans="1:18" ht="15.75" customHeight="1">
      <c r="A10755" s="26"/>
      <c r="B10755" s="86"/>
      <c r="D10755" s="26"/>
      <c r="F10755" s="87" t="str">
        <f t="shared" si="0"/>
        <v/>
      </c>
      <c r="H10755" s="26" t="str">
        <f t="shared" si="1"/>
        <v/>
      </c>
      <c r="I10755" s="26" t="str">
        <f t="shared" si="2"/>
        <v/>
      </c>
      <c r="J10755" s="86">
        <f t="shared" si="3"/>
        <v>0</v>
      </c>
      <c r="R10755" s="26"/>
    </row>
    <row r="10756" spans="1:18" ht="15.75" customHeight="1">
      <c r="A10756" s="26"/>
      <c r="B10756" s="86"/>
      <c r="D10756" s="26"/>
      <c r="F10756" s="87" t="str">
        <f t="shared" si="0"/>
        <v/>
      </c>
      <c r="H10756" s="26" t="str">
        <f t="shared" si="1"/>
        <v/>
      </c>
      <c r="I10756" s="26" t="str">
        <f t="shared" si="2"/>
        <v/>
      </c>
      <c r="J10756" s="86">
        <f t="shared" si="3"/>
        <v>0</v>
      </c>
      <c r="R10756" s="26"/>
    </row>
    <row r="10757" spans="1:18" ht="15.75" customHeight="1">
      <c r="A10757" s="26"/>
      <c r="B10757" s="86"/>
      <c r="D10757" s="26"/>
      <c r="F10757" s="87" t="str">
        <f t="shared" si="0"/>
        <v/>
      </c>
      <c r="H10757" s="26" t="str">
        <f t="shared" si="1"/>
        <v/>
      </c>
      <c r="I10757" s="26" t="str">
        <f t="shared" si="2"/>
        <v/>
      </c>
      <c r="J10757" s="86">
        <f t="shared" si="3"/>
        <v>0</v>
      </c>
      <c r="R10757" s="26"/>
    </row>
    <row r="10758" spans="1:18" ht="15.75" customHeight="1">
      <c r="A10758" s="26"/>
      <c r="B10758" s="86"/>
      <c r="D10758" s="26"/>
      <c r="F10758" s="87" t="str">
        <f t="shared" si="0"/>
        <v/>
      </c>
      <c r="H10758" s="26" t="str">
        <f t="shared" si="1"/>
        <v/>
      </c>
      <c r="I10758" s="26" t="str">
        <f t="shared" si="2"/>
        <v/>
      </c>
      <c r="J10758" s="86">
        <f t="shared" si="3"/>
        <v>0</v>
      </c>
      <c r="R10758" s="26"/>
    </row>
    <row r="10759" spans="1:18" ht="15.75" customHeight="1">
      <c r="A10759" s="26"/>
      <c r="B10759" s="86"/>
      <c r="D10759" s="26"/>
      <c r="F10759" s="87" t="str">
        <f t="shared" si="0"/>
        <v/>
      </c>
      <c r="H10759" s="26" t="str">
        <f t="shared" si="1"/>
        <v/>
      </c>
      <c r="I10759" s="26" t="str">
        <f t="shared" si="2"/>
        <v/>
      </c>
      <c r="J10759" s="86">
        <f t="shared" si="3"/>
        <v>0</v>
      </c>
      <c r="R10759" s="26"/>
    </row>
    <row r="10760" spans="1:18" ht="15.75" customHeight="1">
      <c r="A10760" s="26"/>
      <c r="B10760" s="86"/>
      <c r="D10760" s="26"/>
      <c r="F10760" s="87" t="str">
        <f t="shared" si="0"/>
        <v/>
      </c>
      <c r="H10760" s="26" t="str">
        <f t="shared" si="1"/>
        <v/>
      </c>
      <c r="I10760" s="26" t="str">
        <f t="shared" si="2"/>
        <v/>
      </c>
      <c r="J10760" s="86">
        <f t="shared" si="3"/>
        <v>0</v>
      </c>
      <c r="R10760" s="26"/>
    </row>
    <row r="10761" spans="1:18" ht="15.75" customHeight="1">
      <c r="A10761" s="26"/>
      <c r="B10761" s="86"/>
      <c r="D10761" s="26"/>
      <c r="F10761" s="87" t="str">
        <f t="shared" si="0"/>
        <v/>
      </c>
      <c r="H10761" s="26" t="str">
        <f t="shared" si="1"/>
        <v/>
      </c>
      <c r="I10761" s="26" t="str">
        <f t="shared" si="2"/>
        <v/>
      </c>
      <c r="J10761" s="86">
        <f t="shared" si="3"/>
        <v>0</v>
      </c>
      <c r="R10761" s="26"/>
    </row>
    <row r="10762" spans="1:18" ht="15.75" customHeight="1">
      <c r="A10762" s="26"/>
      <c r="B10762" s="86"/>
      <c r="D10762" s="26"/>
      <c r="F10762" s="87" t="str">
        <f t="shared" si="0"/>
        <v/>
      </c>
      <c r="H10762" s="26" t="str">
        <f t="shared" si="1"/>
        <v/>
      </c>
      <c r="I10762" s="26" t="str">
        <f t="shared" si="2"/>
        <v/>
      </c>
      <c r="J10762" s="86">
        <f t="shared" si="3"/>
        <v>0</v>
      </c>
      <c r="R10762" s="26"/>
    </row>
    <row r="10763" spans="1:18" ht="15.75" customHeight="1">
      <c r="A10763" s="26"/>
      <c r="B10763" s="86"/>
      <c r="D10763" s="26"/>
      <c r="F10763" s="87" t="str">
        <f t="shared" si="0"/>
        <v/>
      </c>
      <c r="H10763" s="26" t="str">
        <f t="shared" si="1"/>
        <v/>
      </c>
      <c r="I10763" s="26" t="str">
        <f t="shared" si="2"/>
        <v/>
      </c>
      <c r="J10763" s="86">
        <f t="shared" si="3"/>
        <v>0</v>
      </c>
      <c r="R10763" s="26"/>
    </row>
    <row r="10764" spans="1:18" ht="15.75" customHeight="1">
      <c r="A10764" s="26"/>
      <c r="B10764" s="86"/>
      <c r="D10764" s="26"/>
      <c r="F10764" s="87" t="str">
        <f t="shared" si="0"/>
        <v/>
      </c>
      <c r="H10764" s="26" t="str">
        <f t="shared" si="1"/>
        <v/>
      </c>
      <c r="I10764" s="26" t="str">
        <f t="shared" si="2"/>
        <v/>
      </c>
      <c r="J10764" s="86">
        <f t="shared" si="3"/>
        <v>0</v>
      </c>
      <c r="R10764" s="26"/>
    </row>
    <row r="10765" spans="1:18" ht="15.75" customHeight="1">
      <c r="A10765" s="26"/>
      <c r="B10765" s="86"/>
      <c r="D10765" s="26"/>
      <c r="F10765" s="87" t="str">
        <f t="shared" si="0"/>
        <v/>
      </c>
      <c r="H10765" s="26" t="str">
        <f t="shared" si="1"/>
        <v/>
      </c>
      <c r="I10765" s="26" t="str">
        <f t="shared" si="2"/>
        <v/>
      </c>
      <c r="J10765" s="86">
        <f t="shared" si="3"/>
        <v>0</v>
      </c>
      <c r="R10765" s="26"/>
    </row>
    <row r="10766" spans="1:18" ht="15.75" customHeight="1">
      <c r="A10766" s="26"/>
      <c r="B10766" s="86"/>
      <c r="D10766" s="26"/>
      <c r="F10766" s="87" t="str">
        <f t="shared" si="0"/>
        <v/>
      </c>
      <c r="H10766" s="26" t="str">
        <f t="shared" si="1"/>
        <v/>
      </c>
      <c r="I10766" s="26" t="str">
        <f t="shared" si="2"/>
        <v/>
      </c>
      <c r="J10766" s="86">
        <f t="shared" si="3"/>
        <v>0</v>
      </c>
      <c r="R10766" s="26"/>
    </row>
    <row r="10767" spans="1:18" ht="15.75" customHeight="1">
      <c r="A10767" s="26"/>
      <c r="B10767" s="86"/>
      <c r="D10767" s="26"/>
      <c r="F10767" s="87" t="str">
        <f t="shared" si="0"/>
        <v/>
      </c>
      <c r="H10767" s="26" t="str">
        <f t="shared" si="1"/>
        <v/>
      </c>
      <c r="I10767" s="26" t="str">
        <f t="shared" si="2"/>
        <v/>
      </c>
      <c r="J10767" s="86">
        <f t="shared" si="3"/>
        <v>0</v>
      </c>
      <c r="R10767" s="26"/>
    </row>
    <row r="10768" spans="1:18" ht="15.75" customHeight="1">
      <c r="A10768" s="26"/>
      <c r="B10768" s="86"/>
      <c r="D10768" s="26"/>
      <c r="F10768" s="87" t="str">
        <f t="shared" si="0"/>
        <v/>
      </c>
      <c r="H10768" s="26" t="str">
        <f t="shared" si="1"/>
        <v/>
      </c>
      <c r="I10768" s="26" t="str">
        <f t="shared" si="2"/>
        <v/>
      </c>
      <c r="J10768" s="86">
        <f t="shared" si="3"/>
        <v>0</v>
      </c>
      <c r="R10768" s="26"/>
    </row>
    <row r="10769" spans="1:18" ht="15.75" customHeight="1">
      <c r="A10769" s="26"/>
      <c r="B10769" s="86"/>
      <c r="D10769" s="26"/>
      <c r="F10769" s="87" t="str">
        <f t="shared" si="0"/>
        <v/>
      </c>
      <c r="H10769" s="26" t="str">
        <f t="shared" si="1"/>
        <v/>
      </c>
      <c r="I10769" s="26" t="str">
        <f t="shared" si="2"/>
        <v/>
      </c>
      <c r="J10769" s="86">
        <f t="shared" si="3"/>
        <v>0</v>
      </c>
      <c r="R10769" s="26"/>
    </row>
    <row r="10770" spans="1:18" ht="15.75" customHeight="1">
      <c r="A10770" s="26"/>
      <c r="B10770" s="86"/>
      <c r="D10770" s="26"/>
      <c r="F10770" s="87" t="str">
        <f t="shared" si="0"/>
        <v/>
      </c>
      <c r="H10770" s="26" t="str">
        <f t="shared" si="1"/>
        <v/>
      </c>
      <c r="I10770" s="26" t="str">
        <f t="shared" si="2"/>
        <v/>
      </c>
      <c r="J10770" s="86">
        <f t="shared" si="3"/>
        <v>0</v>
      </c>
      <c r="R10770" s="26"/>
    </row>
    <row r="10771" spans="1:18" ht="15.75" customHeight="1">
      <c r="A10771" s="26"/>
      <c r="B10771" s="86"/>
      <c r="D10771" s="26"/>
      <c r="F10771" s="87" t="str">
        <f t="shared" si="0"/>
        <v/>
      </c>
      <c r="H10771" s="26" t="str">
        <f t="shared" si="1"/>
        <v/>
      </c>
      <c r="I10771" s="26" t="str">
        <f t="shared" si="2"/>
        <v/>
      </c>
      <c r="J10771" s="86">
        <f t="shared" si="3"/>
        <v>0</v>
      </c>
      <c r="R10771" s="26"/>
    </row>
    <row r="10772" spans="1:18" ht="15.75" customHeight="1">
      <c r="A10772" s="26"/>
      <c r="B10772" s="86"/>
      <c r="D10772" s="26"/>
      <c r="F10772" s="87" t="str">
        <f t="shared" si="0"/>
        <v/>
      </c>
      <c r="H10772" s="26" t="str">
        <f t="shared" si="1"/>
        <v/>
      </c>
      <c r="I10772" s="26" t="str">
        <f t="shared" si="2"/>
        <v/>
      </c>
      <c r="J10772" s="86">
        <f t="shared" si="3"/>
        <v>0</v>
      </c>
      <c r="R10772" s="26"/>
    </row>
    <row r="10773" spans="1:18" ht="15.75" customHeight="1">
      <c r="A10773" s="26"/>
      <c r="B10773" s="86"/>
      <c r="D10773" s="26"/>
      <c r="F10773" s="87" t="str">
        <f t="shared" si="0"/>
        <v/>
      </c>
      <c r="H10773" s="26" t="str">
        <f t="shared" si="1"/>
        <v/>
      </c>
      <c r="I10773" s="26" t="str">
        <f t="shared" si="2"/>
        <v/>
      </c>
      <c r="J10773" s="86">
        <f t="shared" si="3"/>
        <v>0</v>
      </c>
      <c r="R10773" s="26"/>
    </row>
    <row r="10774" spans="1:18" ht="15.75" customHeight="1">
      <c r="A10774" s="26"/>
      <c r="B10774" s="86"/>
      <c r="D10774" s="26"/>
      <c r="F10774" s="87" t="str">
        <f t="shared" si="0"/>
        <v/>
      </c>
      <c r="H10774" s="26" t="str">
        <f t="shared" si="1"/>
        <v/>
      </c>
      <c r="I10774" s="26" t="str">
        <f t="shared" si="2"/>
        <v/>
      </c>
      <c r="J10774" s="86">
        <f t="shared" si="3"/>
        <v>0</v>
      </c>
      <c r="R10774" s="26"/>
    </row>
    <row r="10775" spans="1:18" ht="15.75" customHeight="1">
      <c r="A10775" s="26"/>
      <c r="B10775" s="86"/>
      <c r="D10775" s="26"/>
      <c r="F10775" s="87" t="str">
        <f t="shared" si="0"/>
        <v/>
      </c>
      <c r="H10775" s="26" t="str">
        <f t="shared" si="1"/>
        <v/>
      </c>
      <c r="I10775" s="26" t="str">
        <f t="shared" si="2"/>
        <v/>
      </c>
      <c r="J10775" s="86">
        <f t="shared" si="3"/>
        <v>0</v>
      </c>
      <c r="R10775" s="26"/>
    </row>
    <row r="10776" spans="1:18" ht="15.75" customHeight="1">
      <c r="A10776" s="26"/>
      <c r="B10776" s="86"/>
      <c r="D10776" s="26"/>
      <c r="F10776" s="87" t="str">
        <f t="shared" si="0"/>
        <v/>
      </c>
      <c r="H10776" s="26" t="str">
        <f t="shared" si="1"/>
        <v/>
      </c>
      <c r="I10776" s="26" t="str">
        <f t="shared" si="2"/>
        <v/>
      </c>
      <c r="J10776" s="86">
        <f t="shared" si="3"/>
        <v>0</v>
      </c>
      <c r="R10776" s="26"/>
    </row>
    <row r="10777" spans="1:18" ht="15.75" customHeight="1">
      <c r="A10777" s="26"/>
      <c r="B10777" s="86"/>
      <c r="D10777" s="26"/>
      <c r="F10777" s="87" t="str">
        <f t="shared" si="0"/>
        <v/>
      </c>
      <c r="H10777" s="26" t="str">
        <f t="shared" si="1"/>
        <v/>
      </c>
      <c r="I10777" s="26" t="str">
        <f t="shared" si="2"/>
        <v/>
      </c>
      <c r="J10777" s="86">
        <f t="shared" si="3"/>
        <v>0</v>
      </c>
      <c r="R10777" s="26"/>
    </row>
    <row r="10778" spans="1:18" ht="15.75" customHeight="1">
      <c r="A10778" s="26"/>
      <c r="B10778" s="86"/>
      <c r="D10778" s="26"/>
      <c r="F10778" s="87" t="str">
        <f t="shared" si="0"/>
        <v/>
      </c>
      <c r="H10778" s="26" t="str">
        <f t="shared" si="1"/>
        <v/>
      </c>
      <c r="I10778" s="26" t="str">
        <f t="shared" si="2"/>
        <v/>
      </c>
      <c r="J10778" s="86">
        <f t="shared" si="3"/>
        <v>0</v>
      </c>
      <c r="R10778" s="26"/>
    </row>
    <row r="10779" spans="1:18" ht="15.75" customHeight="1">
      <c r="A10779" s="26"/>
      <c r="B10779" s="86"/>
      <c r="D10779" s="26"/>
      <c r="F10779" s="87" t="str">
        <f t="shared" si="0"/>
        <v/>
      </c>
      <c r="H10779" s="26" t="str">
        <f t="shared" si="1"/>
        <v/>
      </c>
      <c r="I10779" s="26" t="str">
        <f t="shared" si="2"/>
        <v/>
      </c>
      <c r="J10779" s="86">
        <f t="shared" si="3"/>
        <v>0</v>
      </c>
      <c r="R10779" s="26"/>
    </row>
    <row r="10780" spans="1:18" ht="15.75" customHeight="1">
      <c r="A10780" s="26"/>
      <c r="B10780" s="86"/>
      <c r="D10780" s="26"/>
      <c r="F10780" s="87" t="str">
        <f t="shared" si="0"/>
        <v/>
      </c>
      <c r="H10780" s="26" t="str">
        <f t="shared" si="1"/>
        <v/>
      </c>
      <c r="I10780" s="26" t="str">
        <f t="shared" si="2"/>
        <v/>
      </c>
      <c r="J10780" s="86">
        <f t="shared" si="3"/>
        <v>0</v>
      </c>
      <c r="R10780" s="26"/>
    </row>
    <row r="10781" spans="1:18" ht="15.75" customHeight="1">
      <c r="A10781" s="26"/>
      <c r="B10781" s="86"/>
      <c r="D10781" s="26"/>
      <c r="F10781" s="87" t="str">
        <f t="shared" si="0"/>
        <v/>
      </c>
      <c r="H10781" s="26" t="str">
        <f t="shared" si="1"/>
        <v/>
      </c>
      <c r="I10781" s="26" t="str">
        <f t="shared" si="2"/>
        <v/>
      </c>
      <c r="J10781" s="86">
        <f t="shared" si="3"/>
        <v>0</v>
      </c>
      <c r="R10781" s="26"/>
    </row>
    <row r="10782" spans="1:18" ht="15.75" customHeight="1">
      <c r="A10782" s="26"/>
      <c r="B10782" s="86"/>
      <c r="D10782" s="26"/>
      <c r="F10782" s="87" t="str">
        <f t="shared" si="0"/>
        <v/>
      </c>
      <c r="H10782" s="26" t="str">
        <f t="shared" si="1"/>
        <v/>
      </c>
      <c r="I10782" s="26" t="str">
        <f t="shared" si="2"/>
        <v/>
      </c>
      <c r="J10782" s="86">
        <f t="shared" si="3"/>
        <v>0</v>
      </c>
      <c r="R10782" s="26"/>
    </row>
    <row r="10783" spans="1:18" ht="15.75" customHeight="1">
      <c r="A10783" s="26"/>
      <c r="B10783" s="86"/>
      <c r="D10783" s="26"/>
      <c r="F10783" s="87" t="str">
        <f t="shared" si="0"/>
        <v/>
      </c>
      <c r="H10783" s="26" t="str">
        <f t="shared" si="1"/>
        <v/>
      </c>
      <c r="I10783" s="26" t="str">
        <f t="shared" si="2"/>
        <v/>
      </c>
      <c r="J10783" s="86">
        <f t="shared" si="3"/>
        <v>0</v>
      </c>
      <c r="R10783" s="26"/>
    </row>
    <row r="10784" spans="1:18" ht="15.75" customHeight="1">
      <c r="A10784" s="26"/>
      <c r="B10784" s="86"/>
      <c r="D10784" s="26"/>
      <c r="F10784" s="87" t="str">
        <f t="shared" si="0"/>
        <v/>
      </c>
      <c r="H10784" s="26" t="str">
        <f t="shared" si="1"/>
        <v/>
      </c>
      <c r="I10784" s="26" t="str">
        <f t="shared" si="2"/>
        <v/>
      </c>
      <c r="J10784" s="86">
        <f t="shared" si="3"/>
        <v>0</v>
      </c>
      <c r="R10784" s="26"/>
    </row>
    <row r="10785" spans="1:18" ht="15.75" customHeight="1">
      <c r="A10785" s="26"/>
      <c r="B10785" s="86"/>
      <c r="D10785" s="26"/>
      <c r="F10785" s="87" t="str">
        <f t="shared" si="0"/>
        <v/>
      </c>
      <c r="H10785" s="26" t="str">
        <f t="shared" si="1"/>
        <v/>
      </c>
      <c r="I10785" s="26" t="str">
        <f t="shared" si="2"/>
        <v/>
      </c>
      <c r="J10785" s="86">
        <f t="shared" si="3"/>
        <v>0</v>
      </c>
      <c r="R10785" s="26"/>
    </row>
    <row r="10786" spans="1:18" ht="15.75" customHeight="1">
      <c r="A10786" s="26"/>
      <c r="B10786" s="86"/>
      <c r="D10786" s="26"/>
      <c r="F10786" s="87" t="str">
        <f t="shared" si="0"/>
        <v/>
      </c>
      <c r="H10786" s="26" t="str">
        <f t="shared" si="1"/>
        <v/>
      </c>
      <c r="I10786" s="26" t="str">
        <f t="shared" si="2"/>
        <v/>
      </c>
      <c r="J10786" s="86">
        <f t="shared" si="3"/>
        <v>0</v>
      </c>
      <c r="R10786" s="26"/>
    </row>
    <row r="10787" spans="1:18" ht="15.75" customHeight="1">
      <c r="A10787" s="26"/>
      <c r="B10787" s="86"/>
      <c r="D10787" s="26"/>
      <c r="F10787" s="87" t="str">
        <f t="shared" si="0"/>
        <v/>
      </c>
      <c r="H10787" s="26" t="str">
        <f t="shared" si="1"/>
        <v/>
      </c>
      <c r="I10787" s="26" t="str">
        <f t="shared" si="2"/>
        <v/>
      </c>
      <c r="J10787" s="86">
        <f t="shared" si="3"/>
        <v>0</v>
      </c>
      <c r="R10787" s="26"/>
    </row>
    <row r="10788" spans="1:18" ht="15.75" customHeight="1">
      <c r="A10788" s="26"/>
      <c r="B10788" s="86"/>
      <c r="D10788" s="26"/>
      <c r="F10788" s="87" t="str">
        <f t="shared" si="0"/>
        <v/>
      </c>
      <c r="H10788" s="26" t="str">
        <f t="shared" si="1"/>
        <v/>
      </c>
      <c r="I10788" s="26" t="str">
        <f t="shared" si="2"/>
        <v/>
      </c>
      <c r="J10788" s="86">
        <f t="shared" si="3"/>
        <v>0</v>
      </c>
      <c r="R10788" s="26"/>
    </row>
    <row r="10789" spans="1:18" ht="15.75" customHeight="1">
      <c r="A10789" s="26"/>
      <c r="B10789" s="86"/>
      <c r="D10789" s="26"/>
      <c r="F10789" s="87" t="str">
        <f t="shared" si="0"/>
        <v/>
      </c>
      <c r="H10789" s="26" t="str">
        <f t="shared" si="1"/>
        <v/>
      </c>
      <c r="I10789" s="26" t="str">
        <f t="shared" si="2"/>
        <v/>
      </c>
      <c r="J10789" s="86">
        <f t="shared" si="3"/>
        <v>0</v>
      </c>
      <c r="R10789" s="26"/>
    </row>
    <row r="10790" spans="1:18" ht="15.75" customHeight="1">
      <c r="A10790" s="26"/>
      <c r="B10790" s="86"/>
      <c r="D10790" s="26"/>
      <c r="F10790" s="87" t="str">
        <f t="shared" si="0"/>
        <v/>
      </c>
      <c r="H10790" s="26" t="str">
        <f t="shared" si="1"/>
        <v/>
      </c>
      <c r="I10790" s="26" t="str">
        <f t="shared" si="2"/>
        <v/>
      </c>
      <c r="J10790" s="86">
        <f t="shared" si="3"/>
        <v>0</v>
      </c>
      <c r="R10790" s="26"/>
    </row>
    <row r="10791" spans="1:18" ht="15.75" customHeight="1">
      <c r="A10791" s="26"/>
      <c r="B10791" s="86"/>
      <c r="D10791" s="26"/>
      <c r="F10791" s="87" t="str">
        <f t="shared" si="0"/>
        <v/>
      </c>
      <c r="H10791" s="26" t="str">
        <f t="shared" si="1"/>
        <v/>
      </c>
      <c r="I10791" s="26" t="str">
        <f t="shared" si="2"/>
        <v/>
      </c>
      <c r="J10791" s="86">
        <f t="shared" si="3"/>
        <v>0</v>
      </c>
      <c r="R10791" s="26"/>
    </row>
    <row r="10792" spans="1:18" ht="15.75" customHeight="1">
      <c r="A10792" s="26"/>
      <c r="B10792" s="86"/>
      <c r="D10792" s="26"/>
      <c r="F10792" s="87" t="str">
        <f t="shared" si="0"/>
        <v/>
      </c>
      <c r="H10792" s="26" t="str">
        <f t="shared" si="1"/>
        <v/>
      </c>
      <c r="I10792" s="26" t="str">
        <f t="shared" si="2"/>
        <v/>
      </c>
      <c r="J10792" s="86">
        <f t="shared" si="3"/>
        <v>0</v>
      </c>
      <c r="R10792" s="26"/>
    </row>
    <row r="10793" spans="1:18" ht="15.75" customHeight="1">
      <c r="A10793" s="26"/>
      <c r="B10793" s="86"/>
      <c r="D10793" s="26"/>
      <c r="F10793" s="87" t="str">
        <f t="shared" si="0"/>
        <v/>
      </c>
      <c r="H10793" s="26" t="str">
        <f t="shared" si="1"/>
        <v/>
      </c>
      <c r="I10793" s="26" t="str">
        <f t="shared" si="2"/>
        <v/>
      </c>
      <c r="J10793" s="86">
        <f t="shared" si="3"/>
        <v>0</v>
      </c>
      <c r="R10793" s="26"/>
    </row>
    <row r="10794" spans="1:18" ht="15.75" customHeight="1">
      <c r="A10794" s="26"/>
      <c r="B10794" s="86"/>
      <c r="D10794" s="26"/>
      <c r="F10794" s="87" t="str">
        <f t="shared" si="0"/>
        <v/>
      </c>
      <c r="H10794" s="26" t="str">
        <f t="shared" si="1"/>
        <v/>
      </c>
      <c r="I10794" s="26" t="str">
        <f t="shared" si="2"/>
        <v/>
      </c>
      <c r="J10794" s="86">
        <f t="shared" si="3"/>
        <v>0</v>
      </c>
      <c r="R10794" s="26"/>
    </row>
    <row r="10795" spans="1:18" ht="15.75" customHeight="1">
      <c r="A10795" s="26"/>
      <c r="B10795" s="86"/>
      <c r="D10795" s="26"/>
      <c r="F10795" s="87" t="str">
        <f t="shared" si="0"/>
        <v/>
      </c>
      <c r="H10795" s="26" t="str">
        <f t="shared" si="1"/>
        <v/>
      </c>
      <c r="I10795" s="26" t="str">
        <f t="shared" si="2"/>
        <v/>
      </c>
      <c r="J10795" s="86">
        <f t="shared" si="3"/>
        <v>0</v>
      </c>
      <c r="R10795" s="26"/>
    </row>
    <row r="10796" spans="1:18" ht="15.75" customHeight="1">
      <c r="A10796" s="26"/>
      <c r="B10796" s="86"/>
      <c r="D10796" s="26"/>
      <c r="F10796" s="87" t="str">
        <f t="shared" si="0"/>
        <v/>
      </c>
      <c r="H10796" s="26" t="str">
        <f t="shared" si="1"/>
        <v/>
      </c>
      <c r="I10796" s="26" t="str">
        <f t="shared" si="2"/>
        <v/>
      </c>
      <c r="J10796" s="86">
        <f t="shared" si="3"/>
        <v>0</v>
      </c>
      <c r="R10796" s="26"/>
    </row>
    <row r="10797" spans="1:18" ht="15.75" customHeight="1">
      <c r="A10797" s="26"/>
      <c r="B10797" s="86"/>
      <c r="D10797" s="26"/>
      <c r="F10797" s="87" t="str">
        <f t="shared" si="0"/>
        <v/>
      </c>
      <c r="H10797" s="26" t="str">
        <f t="shared" si="1"/>
        <v/>
      </c>
      <c r="I10797" s="26" t="str">
        <f t="shared" si="2"/>
        <v/>
      </c>
      <c r="J10797" s="86">
        <f t="shared" si="3"/>
        <v>0</v>
      </c>
      <c r="R10797" s="26"/>
    </row>
    <row r="10798" spans="1:18" ht="15.75" customHeight="1">
      <c r="A10798" s="26"/>
      <c r="B10798" s="86"/>
      <c r="D10798" s="26"/>
      <c r="F10798" s="87" t="str">
        <f t="shared" si="0"/>
        <v/>
      </c>
      <c r="H10798" s="26" t="str">
        <f t="shared" si="1"/>
        <v/>
      </c>
      <c r="I10798" s="26" t="str">
        <f t="shared" si="2"/>
        <v/>
      </c>
      <c r="J10798" s="86">
        <f t="shared" si="3"/>
        <v>0</v>
      </c>
      <c r="R10798" s="26"/>
    </row>
    <row r="10799" spans="1:18" ht="15.75" customHeight="1">
      <c r="A10799" s="26"/>
      <c r="B10799" s="86"/>
      <c r="D10799" s="26"/>
      <c r="F10799" s="87" t="str">
        <f t="shared" si="0"/>
        <v/>
      </c>
      <c r="H10799" s="26" t="str">
        <f t="shared" si="1"/>
        <v/>
      </c>
      <c r="I10799" s="26" t="str">
        <f t="shared" si="2"/>
        <v/>
      </c>
      <c r="J10799" s="86">
        <f t="shared" si="3"/>
        <v>0</v>
      </c>
      <c r="R10799" s="26"/>
    </row>
    <row r="10800" spans="1:18" ht="15.75" customHeight="1">
      <c r="A10800" s="26"/>
      <c r="B10800" s="86"/>
      <c r="D10800" s="26"/>
      <c r="F10800" s="87" t="str">
        <f t="shared" si="0"/>
        <v/>
      </c>
      <c r="H10800" s="26" t="str">
        <f t="shared" si="1"/>
        <v/>
      </c>
      <c r="I10800" s="26" t="str">
        <f t="shared" si="2"/>
        <v/>
      </c>
      <c r="J10800" s="86">
        <f t="shared" si="3"/>
        <v>0</v>
      </c>
      <c r="R10800" s="26"/>
    </row>
    <row r="10801" spans="1:18" ht="15.75" customHeight="1">
      <c r="A10801" s="26"/>
      <c r="B10801" s="86"/>
      <c r="D10801" s="26"/>
      <c r="F10801" s="87" t="str">
        <f t="shared" si="0"/>
        <v/>
      </c>
      <c r="H10801" s="26" t="str">
        <f t="shared" si="1"/>
        <v/>
      </c>
      <c r="I10801" s="26" t="str">
        <f t="shared" si="2"/>
        <v/>
      </c>
      <c r="J10801" s="86">
        <f t="shared" si="3"/>
        <v>0</v>
      </c>
      <c r="R10801" s="26"/>
    </row>
    <row r="10802" spans="1:18" ht="15.75" customHeight="1">
      <c r="A10802" s="26"/>
      <c r="B10802" s="86"/>
      <c r="D10802" s="26"/>
      <c r="F10802" s="87" t="str">
        <f t="shared" si="0"/>
        <v/>
      </c>
      <c r="H10802" s="26" t="str">
        <f t="shared" si="1"/>
        <v/>
      </c>
      <c r="I10802" s="26" t="str">
        <f t="shared" si="2"/>
        <v/>
      </c>
      <c r="J10802" s="86">
        <f t="shared" si="3"/>
        <v>0</v>
      </c>
      <c r="R10802" s="26"/>
    </row>
    <row r="10803" spans="1:18" ht="15.75" customHeight="1">
      <c r="A10803" s="26"/>
      <c r="B10803" s="86"/>
      <c r="D10803" s="26"/>
      <c r="F10803" s="87" t="str">
        <f t="shared" si="0"/>
        <v/>
      </c>
      <c r="H10803" s="26" t="str">
        <f t="shared" si="1"/>
        <v/>
      </c>
      <c r="I10803" s="26" t="str">
        <f t="shared" si="2"/>
        <v/>
      </c>
      <c r="J10803" s="86">
        <f t="shared" si="3"/>
        <v>0</v>
      </c>
      <c r="R10803" s="26"/>
    </row>
    <row r="10804" spans="1:18" ht="15.75" customHeight="1">
      <c r="A10804" s="26"/>
      <c r="B10804" s="86"/>
      <c r="D10804" s="26"/>
      <c r="F10804" s="87" t="str">
        <f t="shared" si="0"/>
        <v/>
      </c>
      <c r="H10804" s="26" t="str">
        <f t="shared" si="1"/>
        <v/>
      </c>
      <c r="I10804" s="26" t="str">
        <f t="shared" si="2"/>
        <v/>
      </c>
      <c r="J10804" s="86">
        <f t="shared" si="3"/>
        <v>0</v>
      </c>
      <c r="R10804" s="26"/>
    </row>
    <row r="10805" spans="1:18" ht="15.75" customHeight="1">
      <c r="A10805" s="26"/>
      <c r="B10805" s="86"/>
      <c r="D10805" s="26"/>
      <c r="F10805" s="87" t="str">
        <f t="shared" si="0"/>
        <v/>
      </c>
      <c r="H10805" s="26" t="str">
        <f t="shared" si="1"/>
        <v/>
      </c>
      <c r="I10805" s="26" t="str">
        <f t="shared" si="2"/>
        <v/>
      </c>
      <c r="J10805" s="86">
        <f t="shared" si="3"/>
        <v>0</v>
      </c>
      <c r="R10805" s="26"/>
    </row>
    <row r="10806" spans="1:18" ht="15.75" customHeight="1">
      <c r="A10806" s="26"/>
      <c r="B10806" s="86"/>
      <c r="D10806" s="26"/>
      <c r="F10806" s="87" t="str">
        <f t="shared" si="0"/>
        <v/>
      </c>
      <c r="H10806" s="26" t="str">
        <f t="shared" si="1"/>
        <v/>
      </c>
      <c r="I10806" s="26" t="str">
        <f t="shared" si="2"/>
        <v/>
      </c>
      <c r="J10806" s="86">
        <f t="shared" si="3"/>
        <v>0</v>
      </c>
      <c r="R10806" s="26"/>
    </row>
    <row r="10807" spans="1:18" ht="15.75" customHeight="1">
      <c r="A10807" s="26"/>
      <c r="B10807" s="86"/>
      <c r="D10807" s="26"/>
      <c r="F10807" s="87" t="str">
        <f t="shared" si="0"/>
        <v/>
      </c>
      <c r="H10807" s="26" t="str">
        <f t="shared" si="1"/>
        <v/>
      </c>
      <c r="I10807" s="26" t="str">
        <f t="shared" si="2"/>
        <v/>
      </c>
      <c r="J10807" s="86">
        <f t="shared" si="3"/>
        <v>0</v>
      </c>
      <c r="R10807" s="26"/>
    </row>
    <row r="10808" spans="1:18" ht="15.75" customHeight="1">
      <c r="A10808" s="26"/>
      <c r="B10808" s="86"/>
      <c r="D10808" s="26"/>
      <c r="F10808" s="87" t="str">
        <f t="shared" si="0"/>
        <v/>
      </c>
      <c r="H10808" s="26" t="str">
        <f t="shared" si="1"/>
        <v/>
      </c>
      <c r="I10808" s="26" t="str">
        <f t="shared" si="2"/>
        <v/>
      </c>
      <c r="J10808" s="86">
        <f t="shared" si="3"/>
        <v>0</v>
      </c>
      <c r="R10808" s="26"/>
    </row>
    <row r="10809" spans="1:18" ht="15.75" customHeight="1">
      <c r="A10809" s="26"/>
      <c r="B10809" s="86"/>
      <c r="D10809" s="26"/>
      <c r="F10809" s="87" t="str">
        <f t="shared" si="0"/>
        <v/>
      </c>
      <c r="H10809" s="26" t="str">
        <f t="shared" si="1"/>
        <v/>
      </c>
      <c r="I10809" s="26" t="str">
        <f t="shared" si="2"/>
        <v/>
      </c>
      <c r="J10809" s="86">
        <f t="shared" si="3"/>
        <v>0</v>
      </c>
      <c r="R10809" s="26"/>
    </row>
    <row r="10810" spans="1:18" ht="15.75" customHeight="1">
      <c r="A10810" s="26"/>
      <c r="B10810" s="86"/>
      <c r="D10810" s="26"/>
      <c r="F10810" s="87" t="str">
        <f t="shared" si="0"/>
        <v/>
      </c>
      <c r="H10810" s="26" t="str">
        <f t="shared" si="1"/>
        <v/>
      </c>
      <c r="I10810" s="26" t="str">
        <f t="shared" si="2"/>
        <v/>
      </c>
      <c r="J10810" s="86">
        <f t="shared" si="3"/>
        <v>0</v>
      </c>
      <c r="R10810" s="26"/>
    </row>
    <row r="10811" spans="1:18" ht="15.75" customHeight="1">
      <c r="A10811" s="26"/>
      <c r="B10811" s="86"/>
      <c r="D10811" s="26"/>
      <c r="F10811" s="87" t="str">
        <f t="shared" si="0"/>
        <v/>
      </c>
      <c r="H10811" s="26" t="str">
        <f t="shared" si="1"/>
        <v/>
      </c>
      <c r="I10811" s="26" t="str">
        <f t="shared" si="2"/>
        <v/>
      </c>
      <c r="J10811" s="86">
        <f t="shared" si="3"/>
        <v>0</v>
      </c>
      <c r="R10811" s="26"/>
    </row>
    <row r="10812" spans="1:18" ht="15.75" customHeight="1">
      <c r="A10812" s="26"/>
      <c r="B10812" s="86"/>
      <c r="D10812" s="26"/>
      <c r="F10812" s="87" t="str">
        <f t="shared" si="0"/>
        <v/>
      </c>
      <c r="H10812" s="26" t="str">
        <f t="shared" si="1"/>
        <v/>
      </c>
      <c r="I10812" s="26" t="str">
        <f t="shared" si="2"/>
        <v/>
      </c>
      <c r="J10812" s="86">
        <f t="shared" si="3"/>
        <v>0</v>
      </c>
      <c r="R10812" s="26"/>
    </row>
    <row r="10813" spans="1:18" ht="15.75" customHeight="1">
      <c r="A10813" s="26"/>
      <c r="B10813" s="86"/>
      <c r="D10813" s="26"/>
      <c r="F10813" s="87" t="str">
        <f t="shared" si="0"/>
        <v/>
      </c>
      <c r="H10813" s="26" t="str">
        <f t="shared" si="1"/>
        <v/>
      </c>
      <c r="I10813" s="26" t="str">
        <f t="shared" si="2"/>
        <v/>
      </c>
      <c r="J10813" s="86">
        <f t="shared" si="3"/>
        <v>0</v>
      </c>
      <c r="R10813" s="26"/>
    </row>
    <row r="10814" spans="1:18" ht="15.75" customHeight="1">
      <c r="A10814" s="26"/>
      <c r="B10814" s="86"/>
      <c r="D10814" s="26"/>
      <c r="F10814" s="87" t="str">
        <f t="shared" si="0"/>
        <v/>
      </c>
      <c r="H10814" s="26" t="str">
        <f t="shared" si="1"/>
        <v/>
      </c>
      <c r="I10814" s="26" t="str">
        <f t="shared" si="2"/>
        <v/>
      </c>
      <c r="J10814" s="86">
        <f t="shared" si="3"/>
        <v>0</v>
      </c>
      <c r="R10814" s="26"/>
    </row>
    <row r="10815" spans="1:18" ht="15.75" customHeight="1">
      <c r="A10815" s="26"/>
      <c r="B10815" s="86"/>
      <c r="D10815" s="26"/>
      <c r="F10815" s="87" t="str">
        <f t="shared" si="0"/>
        <v/>
      </c>
      <c r="H10815" s="26" t="str">
        <f t="shared" si="1"/>
        <v/>
      </c>
      <c r="I10815" s="26" t="str">
        <f t="shared" si="2"/>
        <v/>
      </c>
      <c r="J10815" s="86">
        <f t="shared" si="3"/>
        <v>0</v>
      </c>
      <c r="R10815" s="26"/>
    </row>
    <row r="10816" spans="1:18" ht="15.75" customHeight="1">
      <c r="A10816" s="26"/>
      <c r="B10816" s="86"/>
      <c r="D10816" s="26"/>
      <c r="F10816" s="87" t="str">
        <f t="shared" si="0"/>
        <v/>
      </c>
      <c r="H10816" s="26" t="str">
        <f t="shared" si="1"/>
        <v/>
      </c>
      <c r="I10816" s="26" t="str">
        <f t="shared" si="2"/>
        <v/>
      </c>
      <c r="J10816" s="86">
        <f t="shared" si="3"/>
        <v>0</v>
      </c>
      <c r="R10816" s="26"/>
    </row>
    <row r="10817" spans="1:18" ht="15.75" customHeight="1">
      <c r="A10817" s="26"/>
      <c r="B10817" s="86"/>
      <c r="D10817" s="26"/>
      <c r="F10817" s="87" t="str">
        <f t="shared" si="0"/>
        <v/>
      </c>
      <c r="H10817" s="26" t="str">
        <f t="shared" si="1"/>
        <v/>
      </c>
      <c r="I10817" s="26" t="str">
        <f t="shared" si="2"/>
        <v/>
      </c>
      <c r="J10817" s="86">
        <f t="shared" si="3"/>
        <v>0</v>
      </c>
      <c r="R10817" s="26"/>
    </row>
    <row r="10818" spans="1:18" ht="15.75" customHeight="1">
      <c r="A10818" s="26"/>
      <c r="B10818" s="86"/>
      <c r="D10818" s="26"/>
      <c r="F10818" s="87" t="str">
        <f t="shared" si="0"/>
        <v/>
      </c>
      <c r="H10818" s="26" t="str">
        <f t="shared" si="1"/>
        <v/>
      </c>
      <c r="I10818" s="26" t="str">
        <f t="shared" si="2"/>
        <v/>
      </c>
      <c r="J10818" s="86">
        <f t="shared" si="3"/>
        <v>0</v>
      </c>
      <c r="R10818" s="26"/>
    </row>
    <row r="10819" spans="1:18" ht="15.75" customHeight="1">
      <c r="A10819" s="26"/>
      <c r="B10819" s="86"/>
      <c r="D10819" s="26"/>
      <c r="F10819" s="87" t="str">
        <f t="shared" si="0"/>
        <v/>
      </c>
      <c r="H10819" s="26" t="str">
        <f t="shared" si="1"/>
        <v/>
      </c>
      <c r="I10819" s="26" t="str">
        <f t="shared" si="2"/>
        <v/>
      </c>
      <c r="J10819" s="86">
        <f t="shared" si="3"/>
        <v>0</v>
      </c>
      <c r="R10819" s="26"/>
    </row>
    <row r="10820" spans="1:18" ht="15.75" customHeight="1">
      <c r="A10820" s="26"/>
      <c r="B10820" s="86"/>
      <c r="D10820" s="26"/>
      <c r="F10820" s="87" t="str">
        <f t="shared" si="0"/>
        <v/>
      </c>
      <c r="H10820" s="26" t="str">
        <f t="shared" si="1"/>
        <v/>
      </c>
      <c r="I10820" s="26" t="str">
        <f t="shared" si="2"/>
        <v/>
      </c>
      <c r="J10820" s="86">
        <f t="shared" si="3"/>
        <v>0</v>
      </c>
      <c r="R10820" s="26"/>
    </row>
    <row r="10821" spans="1:18" ht="15.75" customHeight="1">
      <c r="A10821" s="26"/>
      <c r="B10821" s="86"/>
      <c r="D10821" s="26"/>
      <c r="F10821" s="87" t="str">
        <f t="shared" si="0"/>
        <v/>
      </c>
      <c r="H10821" s="26" t="str">
        <f t="shared" si="1"/>
        <v/>
      </c>
      <c r="I10821" s="26" t="str">
        <f t="shared" si="2"/>
        <v/>
      </c>
      <c r="J10821" s="86">
        <f t="shared" si="3"/>
        <v>0</v>
      </c>
      <c r="R10821" s="26"/>
    </row>
    <row r="10822" spans="1:18" ht="15.75" customHeight="1">
      <c r="A10822" s="26"/>
      <c r="B10822" s="86"/>
      <c r="D10822" s="26"/>
      <c r="F10822" s="87" t="str">
        <f t="shared" si="0"/>
        <v/>
      </c>
      <c r="H10822" s="26" t="str">
        <f t="shared" si="1"/>
        <v/>
      </c>
      <c r="I10822" s="26" t="str">
        <f t="shared" si="2"/>
        <v/>
      </c>
      <c r="J10822" s="86">
        <f t="shared" si="3"/>
        <v>0</v>
      </c>
      <c r="R10822" s="26"/>
    </row>
    <row r="10823" spans="1:18" ht="15.75" customHeight="1">
      <c r="A10823" s="26"/>
      <c r="B10823" s="86"/>
      <c r="D10823" s="26"/>
      <c r="F10823" s="87" t="str">
        <f t="shared" si="0"/>
        <v/>
      </c>
      <c r="H10823" s="26" t="str">
        <f t="shared" si="1"/>
        <v/>
      </c>
      <c r="I10823" s="26" t="str">
        <f t="shared" si="2"/>
        <v/>
      </c>
      <c r="J10823" s="86">
        <f t="shared" si="3"/>
        <v>0</v>
      </c>
      <c r="R10823" s="26"/>
    </row>
    <row r="10824" spans="1:18" ht="15.75" customHeight="1">
      <c r="A10824" s="26"/>
      <c r="B10824" s="86"/>
      <c r="D10824" s="26"/>
      <c r="F10824" s="87" t="str">
        <f t="shared" si="0"/>
        <v/>
      </c>
      <c r="H10824" s="26" t="str">
        <f t="shared" si="1"/>
        <v/>
      </c>
      <c r="I10824" s="26" t="str">
        <f t="shared" si="2"/>
        <v/>
      </c>
      <c r="J10824" s="86">
        <f t="shared" si="3"/>
        <v>0</v>
      </c>
      <c r="R10824" s="26"/>
    </row>
    <row r="10825" spans="1:18" ht="15.75" customHeight="1">
      <c r="A10825" s="26"/>
      <c r="B10825" s="86"/>
      <c r="D10825" s="26"/>
      <c r="F10825" s="87" t="str">
        <f t="shared" si="0"/>
        <v/>
      </c>
      <c r="H10825" s="26" t="str">
        <f t="shared" si="1"/>
        <v/>
      </c>
      <c r="I10825" s="26" t="str">
        <f t="shared" si="2"/>
        <v/>
      </c>
      <c r="J10825" s="86">
        <f t="shared" si="3"/>
        <v>0</v>
      </c>
      <c r="R10825" s="26"/>
    </row>
    <row r="10826" spans="1:18" ht="15.75" customHeight="1">
      <c r="A10826" s="26"/>
      <c r="B10826" s="86"/>
      <c r="D10826" s="26"/>
      <c r="F10826" s="87" t="str">
        <f t="shared" si="0"/>
        <v/>
      </c>
      <c r="H10826" s="26" t="str">
        <f t="shared" si="1"/>
        <v/>
      </c>
      <c r="I10826" s="26" t="str">
        <f t="shared" si="2"/>
        <v/>
      </c>
      <c r="J10826" s="86">
        <f t="shared" si="3"/>
        <v>0</v>
      </c>
      <c r="R10826" s="26"/>
    </row>
    <row r="10827" spans="1:18" ht="15.75" customHeight="1">
      <c r="A10827" s="26"/>
      <c r="B10827" s="86"/>
      <c r="D10827" s="26"/>
      <c r="F10827" s="87" t="str">
        <f t="shared" si="0"/>
        <v/>
      </c>
      <c r="H10827" s="26" t="str">
        <f t="shared" si="1"/>
        <v/>
      </c>
      <c r="I10827" s="26" t="str">
        <f t="shared" si="2"/>
        <v/>
      </c>
      <c r="J10827" s="86">
        <f t="shared" si="3"/>
        <v>0</v>
      </c>
      <c r="R10827" s="26"/>
    </row>
    <row r="10828" spans="1:18" ht="15.75" customHeight="1">
      <c r="A10828" s="26"/>
      <c r="B10828" s="86"/>
      <c r="D10828" s="26"/>
      <c r="F10828" s="87" t="str">
        <f t="shared" si="0"/>
        <v/>
      </c>
      <c r="H10828" s="26" t="str">
        <f t="shared" si="1"/>
        <v/>
      </c>
      <c r="I10828" s="26" t="str">
        <f t="shared" si="2"/>
        <v/>
      </c>
      <c r="J10828" s="86">
        <f t="shared" si="3"/>
        <v>0</v>
      </c>
      <c r="R10828" s="26"/>
    </row>
    <row r="10829" spans="1:18" ht="15.75" customHeight="1">
      <c r="A10829" s="26"/>
      <c r="B10829" s="86"/>
      <c r="D10829" s="26"/>
      <c r="F10829" s="87" t="str">
        <f t="shared" si="0"/>
        <v/>
      </c>
      <c r="H10829" s="26" t="str">
        <f t="shared" si="1"/>
        <v/>
      </c>
      <c r="I10829" s="26" t="str">
        <f t="shared" si="2"/>
        <v/>
      </c>
      <c r="J10829" s="86">
        <f t="shared" si="3"/>
        <v>0</v>
      </c>
      <c r="R10829" s="26"/>
    </row>
    <row r="10830" spans="1:18" ht="15.75" customHeight="1">
      <c r="A10830" s="26"/>
      <c r="B10830" s="86"/>
      <c r="D10830" s="26"/>
      <c r="F10830" s="87" t="str">
        <f t="shared" si="0"/>
        <v/>
      </c>
      <c r="H10830" s="26" t="str">
        <f t="shared" si="1"/>
        <v/>
      </c>
      <c r="I10830" s="26" t="str">
        <f t="shared" si="2"/>
        <v/>
      </c>
      <c r="J10830" s="86">
        <f t="shared" si="3"/>
        <v>0</v>
      </c>
      <c r="R10830" s="26"/>
    </row>
    <row r="10831" spans="1:18" ht="15.75" customHeight="1">
      <c r="A10831" s="26"/>
      <c r="B10831" s="86"/>
      <c r="D10831" s="26"/>
      <c r="F10831" s="87" t="str">
        <f t="shared" si="0"/>
        <v/>
      </c>
      <c r="H10831" s="26" t="str">
        <f t="shared" si="1"/>
        <v/>
      </c>
      <c r="I10831" s="26" t="str">
        <f t="shared" si="2"/>
        <v/>
      </c>
      <c r="J10831" s="86">
        <f t="shared" si="3"/>
        <v>0</v>
      </c>
      <c r="R10831" s="26"/>
    </row>
    <row r="10832" spans="1:18" ht="15.75" customHeight="1">
      <c r="A10832" s="26"/>
      <c r="B10832" s="86"/>
      <c r="D10832" s="26"/>
      <c r="F10832" s="87" t="str">
        <f t="shared" si="0"/>
        <v/>
      </c>
      <c r="H10832" s="26" t="str">
        <f t="shared" si="1"/>
        <v/>
      </c>
      <c r="I10832" s="26" t="str">
        <f t="shared" si="2"/>
        <v/>
      </c>
      <c r="J10832" s="86">
        <f t="shared" si="3"/>
        <v>0</v>
      </c>
      <c r="R10832" s="26"/>
    </row>
    <row r="10833" spans="1:18" ht="15.75" customHeight="1">
      <c r="A10833" s="26"/>
      <c r="B10833" s="86"/>
      <c r="D10833" s="26"/>
      <c r="F10833" s="87" t="str">
        <f t="shared" si="0"/>
        <v/>
      </c>
      <c r="H10833" s="26" t="str">
        <f t="shared" si="1"/>
        <v/>
      </c>
      <c r="I10833" s="26" t="str">
        <f t="shared" si="2"/>
        <v/>
      </c>
      <c r="J10833" s="86">
        <f t="shared" si="3"/>
        <v>0</v>
      </c>
      <c r="R10833" s="26"/>
    </row>
    <row r="10834" spans="1:18" ht="15.75" customHeight="1">
      <c r="A10834" s="26"/>
      <c r="B10834" s="86"/>
      <c r="D10834" s="26"/>
      <c r="F10834" s="87" t="str">
        <f t="shared" si="0"/>
        <v/>
      </c>
      <c r="H10834" s="26" t="str">
        <f t="shared" si="1"/>
        <v/>
      </c>
      <c r="I10834" s="26" t="str">
        <f t="shared" si="2"/>
        <v/>
      </c>
      <c r="J10834" s="86">
        <f t="shared" si="3"/>
        <v>0</v>
      </c>
      <c r="R10834" s="26"/>
    </row>
    <row r="10835" spans="1:18" ht="15.75" customHeight="1">
      <c r="A10835" s="26"/>
      <c r="B10835" s="86"/>
      <c r="D10835" s="26"/>
      <c r="F10835" s="87" t="str">
        <f t="shared" si="0"/>
        <v/>
      </c>
      <c r="H10835" s="26" t="str">
        <f t="shared" si="1"/>
        <v/>
      </c>
      <c r="I10835" s="26" t="str">
        <f t="shared" si="2"/>
        <v/>
      </c>
      <c r="J10835" s="86">
        <f t="shared" si="3"/>
        <v>0</v>
      </c>
      <c r="R10835" s="26"/>
    </row>
    <row r="10836" spans="1:18" ht="15.75" customHeight="1">
      <c r="A10836" s="26"/>
      <c r="B10836" s="86"/>
      <c r="D10836" s="26"/>
      <c r="F10836" s="87" t="str">
        <f t="shared" si="0"/>
        <v/>
      </c>
      <c r="H10836" s="26" t="str">
        <f t="shared" si="1"/>
        <v/>
      </c>
      <c r="I10836" s="26" t="str">
        <f t="shared" si="2"/>
        <v/>
      </c>
      <c r="J10836" s="86">
        <f t="shared" si="3"/>
        <v>0</v>
      </c>
      <c r="R10836" s="26"/>
    </row>
    <row r="10837" spans="1:18" ht="15.75" customHeight="1">
      <c r="A10837" s="26"/>
      <c r="B10837" s="86"/>
      <c r="D10837" s="26"/>
      <c r="F10837" s="87" t="str">
        <f t="shared" si="0"/>
        <v/>
      </c>
      <c r="H10837" s="26" t="str">
        <f t="shared" si="1"/>
        <v/>
      </c>
      <c r="I10837" s="26" t="str">
        <f t="shared" si="2"/>
        <v/>
      </c>
      <c r="J10837" s="86">
        <f t="shared" si="3"/>
        <v>0</v>
      </c>
      <c r="R10837" s="26"/>
    </row>
    <row r="10838" spans="1:18" ht="15.75" customHeight="1">
      <c r="A10838" s="26"/>
      <c r="B10838" s="86"/>
      <c r="D10838" s="26"/>
      <c r="F10838" s="87" t="str">
        <f t="shared" si="0"/>
        <v/>
      </c>
      <c r="H10838" s="26" t="str">
        <f t="shared" si="1"/>
        <v/>
      </c>
      <c r="I10838" s="26" t="str">
        <f t="shared" si="2"/>
        <v/>
      </c>
      <c r="J10838" s="86">
        <f t="shared" si="3"/>
        <v>0</v>
      </c>
      <c r="R10838" s="26"/>
    </row>
    <row r="10839" spans="1:18" ht="15.75" customHeight="1">
      <c r="A10839" s="26"/>
      <c r="B10839" s="86"/>
      <c r="D10839" s="26"/>
      <c r="F10839" s="87" t="str">
        <f t="shared" si="0"/>
        <v/>
      </c>
      <c r="H10839" s="26" t="str">
        <f t="shared" si="1"/>
        <v/>
      </c>
      <c r="I10839" s="26" t="str">
        <f t="shared" si="2"/>
        <v/>
      </c>
      <c r="J10839" s="86">
        <f t="shared" si="3"/>
        <v>0</v>
      </c>
      <c r="R10839" s="26"/>
    </row>
    <row r="10840" spans="1:18" ht="15.75" customHeight="1">
      <c r="A10840" s="26"/>
      <c r="B10840" s="86"/>
      <c r="D10840" s="26"/>
      <c r="F10840" s="87" t="str">
        <f t="shared" si="0"/>
        <v/>
      </c>
      <c r="H10840" s="26" t="str">
        <f t="shared" si="1"/>
        <v/>
      </c>
      <c r="I10840" s="26" t="str">
        <f t="shared" si="2"/>
        <v/>
      </c>
      <c r="J10840" s="86">
        <f t="shared" si="3"/>
        <v>0</v>
      </c>
      <c r="R10840" s="26"/>
    </row>
    <row r="10841" spans="1:18" ht="15.75" customHeight="1">
      <c r="A10841" s="26"/>
      <c r="B10841" s="86"/>
      <c r="D10841" s="26"/>
      <c r="F10841" s="87" t="str">
        <f t="shared" si="0"/>
        <v/>
      </c>
      <c r="H10841" s="26" t="str">
        <f t="shared" si="1"/>
        <v/>
      </c>
      <c r="I10841" s="26" t="str">
        <f t="shared" si="2"/>
        <v/>
      </c>
      <c r="J10841" s="86">
        <f t="shared" si="3"/>
        <v>0</v>
      </c>
      <c r="R10841" s="26"/>
    </row>
    <row r="10842" spans="1:18" ht="15.75" customHeight="1">
      <c r="A10842" s="26"/>
      <c r="B10842" s="86"/>
      <c r="D10842" s="26"/>
      <c r="F10842" s="87" t="str">
        <f t="shared" si="0"/>
        <v/>
      </c>
      <c r="H10842" s="26" t="str">
        <f t="shared" si="1"/>
        <v/>
      </c>
      <c r="I10842" s="26" t="str">
        <f t="shared" si="2"/>
        <v/>
      </c>
      <c r="J10842" s="86">
        <f t="shared" si="3"/>
        <v>0</v>
      </c>
      <c r="R10842" s="26"/>
    </row>
    <row r="10843" spans="1:18" ht="15.75" customHeight="1">
      <c r="A10843" s="26"/>
      <c r="B10843" s="86"/>
      <c r="D10843" s="26"/>
      <c r="F10843" s="87" t="str">
        <f t="shared" si="0"/>
        <v/>
      </c>
      <c r="H10843" s="26" t="str">
        <f t="shared" si="1"/>
        <v/>
      </c>
      <c r="I10843" s="26" t="str">
        <f t="shared" si="2"/>
        <v/>
      </c>
      <c r="J10843" s="86">
        <f t="shared" si="3"/>
        <v>0</v>
      </c>
      <c r="R10843" s="26"/>
    </row>
    <row r="10844" spans="1:18" ht="15.75" customHeight="1">
      <c r="A10844" s="26"/>
      <c r="B10844" s="86"/>
      <c r="D10844" s="26"/>
      <c r="F10844" s="87" t="str">
        <f t="shared" si="0"/>
        <v/>
      </c>
      <c r="H10844" s="26" t="str">
        <f t="shared" si="1"/>
        <v/>
      </c>
      <c r="I10844" s="26" t="str">
        <f t="shared" si="2"/>
        <v/>
      </c>
      <c r="J10844" s="86">
        <f t="shared" si="3"/>
        <v>0</v>
      </c>
      <c r="R10844" s="26"/>
    </row>
    <row r="10845" spans="1:18" ht="15.75" customHeight="1">
      <c r="A10845" s="26"/>
      <c r="B10845" s="86"/>
      <c r="D10845" s="26"/>
      <c r="F10845" s="87" t="str">
        <f t="shared" si="0"/>
        <v/>
      </c>
      <c r="H10845" s="26" t="str">
        <f t="shared" si="1"/>
        <v/>
      </c>
      <c r="I10845" s="26" t="str">
        <f t="shared" si="2"/>
        <v/>
      </c>
      <c r="J10845" s="86">
        <f t="shared" si="3"/>
        <v>0</v>
      </c>
      <c r="R10845" s="26"/>
    </row>
    <row r="10846" spans="1:18" ht="15.75" customHeight="1">
      <c r="A10846" s="26"/>
      <c r="B10846" s="86"/>
      <c r="D10846" s="26"/>
      <c r="F10846" s="87" t="str">
        <f t="shared" si="0"/>
        <v/>
      </c>
      <c r="H10846" s="26" t="str">
        <f t="shared" si="1"/>
        <v/>
      </c>
      <c r="I10846" s="26" t="str">
        <f t="shared" si="2"/>
        <v/>
      </c>
      <c r="J10846" s="86">
        <f t="shared" si="3"/>
        <v>0</v>
      </c>
      <c r="R10846" s="26"/>
    </row>
    <row r="10847" spans="1:18" ht="15.75" customHeight="1">
      <c r="A10847" s="26"/>
      <c r="B10847" s="86"/>
      <c r="D10847" s="26"/>
      <c r="F10847" s="87" t="str">
        <f t="shared" si="0"/>
        <v/>
      </c>
      <c r="H10847" s="26" t="str">
        <f t="shared" si="1"/>
        <v/>
      </c>
      <c r="I10847" s="26" t="str">
        <f t="shared" si="2"/>
        <v/>
      </c>
      <c r="J10847" s="86">
        <f t="shared" si="3"/>
        <v>0</v>
      </c>
      <c r="R10847" s="26"/>
    </row>
    <row r="10848" spans="1:18" ht="15.75" customHeight="1">
      <c r="A10848" s="26"/>
      <c r="B10848" s="86"/>
      <c r="D10848" s="26"/>
      <c r="F10848" s="87" t="str">
        <f t="shared" si="0"/>
        <v/>
      </c>
      <c r="H10848" s="26" t="str">
        <f t="shared" si="1"/>
        <v/>
      </c>
      <c r="I10848" s="26" t="str">
        <f t="shared" si="2"/>
        <v/>
      </c>
      <c r="J10848" s="86">
        <f t="shared" si="3"/>
        <v>0</v>
      </c>
      <c r="R10848" s="26"/>
    </row>
    <row r="10849" spans="1:18" ht="15.75" customHeight="1">
      <c r="A10849" s="26"/>
      <c r="B10849" s="86"/>
      <c r="D10849" s="26"/>
      <c r="F10849" s="87" t="str">
        <f t="shared" si="0"/>
        <v/>
      </c>
      <c r="H10849" s="26" t="str">
        <f t="shared" si="1"/>
        <v/>
      </c>
      <c r="I10849" s="26" t="str">
        <f t="shared" si="2"/>
        <v/>
      </c>
      <c r="J10849" s="86">
        <f t="shared" si="3"/>
        <v>0</v>
      </c>
      <c r="R10849" s="26"/>
    </row>
    <row r="10850" spans="1:18" ht="15.75" customHeight="1">
      <c r="A10850" s="26"/>
      <c r="B10850" s="86"/>
      <c r="D10850" s="26"/>
      <c r="F10850" s="87" t="str">
        <f t="shared" si="0"/>
        <v/>
      </c>
      <c r="H10850" s="26" t="str">
        <f t="shared" si="1"/>
        <v/>
      </c>
      <c r="I10850" s="26" t="str">
        <f t="shared" si="2"/>
        <v/>
      </c>
      <c r="J10850" s="86">
        <f t="shared" si="3"/>
        <v>0</v>
      </c>
      <c r="R10850" s="26"/>
    </row>
    <row r="10851" spans="1:18" ht="15.75" customHeight="1">
      <c r="A10851" s="26"/>
      <c r="B10851" s="86"/>
      <c r="D10851" s="26"/>
      <c r="F10851" s="87" t="str">
        <f t="shared" si="0"/>
        <v/>
      </c>
      <c r="H10851" s="26" t="str">
        <f t="shared" si="1"/>
        <v/>
      </c>
      <c r="I10851" s="26" t="str">
        <f t="shared" si="2"/>
        <v/>
      </c>
      <c r="J10851" s="86">
        <f t="shared" si="3"/>
        <v>0</v>
      </c>
      <c r="R10851" s="26"/>
    </row>
    <row r="10852" spans="1:18" ht="15.75" customHeight="1">
      <c r="A10852" s="26"/>
      <c r="B10852" s="86"/>
      <c r="D10852" s="26"/>
      <c r="F10852" s="87" t="str">
        <f t="shared" si="0"/>
        <v/>
      </c>
      <c r="H10852" s="26" t="str">
        <f t="shared" si="1"/>
        <v/>
      </c>
      <c r="I10852" s="26" t="str">
        <f t="shared" si="2"/>
        <v/>
      </c>
      <c r="J10852" s="86">
        <f t="shared" si="3"/>
        <v>0</v>
      </c>
      <c r="R10852" s="26"/>
    </row>
    <row r="10853" spans="1:18" ht="15.75" customHeight="1">
      <c r="A10853" s="26"/>
      <c r="B10853" s="86"/>
      <c r="D10853" s="26"/>
      <c r="F10853" s="87" t="str">
        <f t="shared" si="0"/>
        <v/>
      </c>
      <c r="H10853" s="26" t="str">
        <f t="shared" si="1"/>
        <v/>
      </c>
      <c r="I10853" s="26" t="str">
        <f t="shared" si="2"/>
        <v/>
      </c>
      <c r="J10853" s="86">
        <f t="shared" si="3"/>
        <v>0</v>
      </c>
      <c r="R10853" s="26"/>
    </row>
    <row r="10854" spans="1:18" ht="15.75" customHeight="1">
      <c r="A10854" s="26"/>
      <c r="B10854" s="86"/>
      <c r="D10854" s="26"/>
      <c r="F10854" s="87" t="str">
        <f t="shared" si="0"/>
        <v/>
      </c>
      <c r="H10854" s="26" t="str">
        <f t="shared" si="1"/>
        <v/>
      </c>
      <c r="I10854" s="26" t="str">
        <f t="shared" si="2"/>
        <v/>
      </c>
      <c r="J10854" s="86">
        <f t="shared" si="3"/>
        <v>0</v>
      </c>
      <c r="R10854" s="26"/>
    </row>
    <row r="10855" spans="1:18" ht="15.75" customHeight="1">
      <c r="A10855" s="26"/>
      <c r="B10855" s="86"/>
      <c r="D10855" s="26"/>
      <c r="F10855" s="87" t="str">
        <f t="shared" si="0"/>
        <v/>
      </c>
      <c r="H10855" s="26" t="str">
        <f t="shared" si="1"/>
        <v/>
      </c>
      <c r="I10855" s="26" t="str">
        <f t="shared" si="2"/>
        <v/>
      </c>
      <c r="J10855" s="86">
        <f t="shared" si="3"/>
        <v>0</v>
      </c>
      <c r="R10855" s="26"/>
    </row>
    <row r="10856" spans="1:18" ht="15.75" customHeight="1">
      <c r="A10856" s="26"/>
      <c r="B10856" s="86"/>
      <c r="D10856" s="26"/>
      <c r="F10856" s="87" t="str">
        <f t="shared" si="0"/>
        <v/>
      </c>
      <c r="H10856" s="26" t="str">
        <f t="shared" si="1"/>
        <v/>
      </c>
      <c r="I10856" s="26" t="str">
        <f t="shared" si="2"/>
        <v/>
      </c>
      <c r="J10856" s="86">
        <f t="shared" si="3"/>
        <v>0</v>
      </c>
      <c r="R10856" s="26"/>
    </row>
    <row r="10857" spans="1:18" ht="15.75" customHeight="1">
      <c r="A10857" s="26"/>
      <c r="B10857" s="86"/>
      <c r="D10857" s="26"/>
      <c r="F10857" s="87" t="str">
        <f t="shared" si="0"/>
        <v/>
      </c>
      <c r="H10857" s="26" t="str">
        <f t="shared" si="1"/>
        <v/>
      </c>
      <c r="I10857" s="26" t="str">
        <f t="shared" si="2"/>
        <v/>
      </c>
      <c r="J10857" s="86">
        <f t="shared" si="3"/>
        <v>0</v>
      </c>
      <c r="R10857" s="26"/>
    </row>
    <row r="10858" spans="1:18" ht="15.75" customHeight="1">
      <c r="A10858" s="26"/>
      <c r="B10858" s="86"/>
      <c r="D10858" s="26"/>
      <c r="F10858" s="87" t="str">
        <f t="shared" si="0"/>
        <v/>
      </c>
      <c r="H10858" s="26" t="str">
        <f t="shared" si="1"/>
        <v/>
      </c>
      <c r="I10858" s="26" t="str">
        <f t="shared" si="2"/>
        <v/>
      </c>
      <c r="J10858" s="86">
        <f t="shared" si="3"/>
        <v>0</v>
      </c>
      <c r="R10858" s="26"/>
    </row>
    <row r="10859" spans="1:18" ht="15.75" customHeight="1">
      <c r="A10859" s="26"/>
      <c r="B10859" s="86"/>
      <c r="D10859" s="26"/>
      <c r="F10859" s="87" t="str">
        <f t="shared" si="0"/>
        <v/>
      </c>
      <c r="H10859" s="26" t="str">
        <f t="shared" si="1"/>
        <v/>
      </c>
      <c r="I10859" s="26" t="str">
        <f t="shared" si="2"/>
        <v/>
      </c>
      <c r="J10859" s="86">
        <f t="shared" si="3"/>
        <v>0</v>
      </c>
      <c r="R10859" s="26"/>
    </row>
    <row r="10860" spans="1:18" ht="15.75" customHeight="1">
      <c r="A10860" s="26"/>
      <c r="B10860" s="86"/>
      <c r="D10860" s="26"/>
      <c r="F10860" s="87" t="str">
        <f t="shared" si="0"/>
        <v/>
      </c>
      <c r="H10860" s="26" t="str">
        <f t="shared" si="1"/>
        <v/>
      </c>
      <c r="I10860" s="26" t="str">
        <f t="shared" si="2"/>
        <v/>
      </c>
      <c r="J10860" s="86">
        <f t="shared" si="3"/>
        <v>0</v>
      </c>
      <c r="R10860" s="26"/>
    </row>
    <row r="10861" spans="1:18" ht="15.75" customHeight="1">
      <c r="A10861" s="26"/>
      <c r="B10861" s="86"/>
      <c r="D10861" s="26"/>
      <c r="F10861" s="87" t="str">
        <f t="shared" si="0"/>
        <v/>
      </c>
      <c r="H10861" s="26" t="str">
        <f t="shared" si="1"/>
        <v/>
      </c>
      <c r="I10861" s="26" t="str">
        <f t="shared" si="2"/>
        <v/>
      </c>
      <c r="J10861" s="86">
        <f t="shared" si="3"/>
        <v>0</v>
      </c>
      <c r="R10861" s="26"/>
    </row>
    <row r="10862" spans="1:18" ht="15.75" customHeight="1">
      <c r="A10862" s="26"/>
      <c r="B10862" s="86"/>
      <c r="D10862" s="26"/>
      <c r="F10862" s="87" t="str">
        <f t="shared" si="0"/>
        <v/>
      </c>
      <c r="H10862" s="26" t="str">
        <f t="shared" si="1"/>
        <v/>
      </c>
      <c r="I10862" s="26" t="str">
        <f t="shared" si="2"/>
        <v/>
      </c>
      <c r="J10862" s="86">
        <f t="shared" si="3"/>
        <v>0</v>
      </c>
      <c r="R10862" s="26"/>
    </row>
    <row r="10863" spans="1:18" ht="15.75" customHeight="1">
      <c r="A10863" s="26"/>
      <c r="B10863" s="86"/>
      <c r="D10863" s="26"/>
      <c r="F10863" s="87" t="str">
        <f t="shared" si="0"/>
        <v/>
      </c>
      <c r="H10863" s="26" t="str">
        <f t="shared" si="1"/>
        <v/>
      </c>
      <c r="I10863" s="26" t="str">
        <f t="shared" si="2"/>
        <v/>
      </c>
      <c r="J10863" s="86">
        <f t="shared" si="3"/>
        <v>0</v>
      </c>
      <c r="R10863" s="26"/>
    </row>
    <row r="10864" spans="1:18" ht="15.75" customHeight="1">
      <c r="A10864" s="26"/>
      <c r="B10864" s="86"/>
      <c r="D10864" s="26"/>
      <c r="F10864" s="87" t="str">
        <f t="shared" si="0"/>
        <v/>
      </c>
      <c r="H10864" s="26" t="str">
        <f t="shared" si="1"/>
        <v/>
      </c>
      <c r="I10864" s="26" t="str">
        <f t="shared" si="2"/>
        <v/>
      </c>
      <c r="J10864" s="86">
        <f t="shared" si="3"/>
        <v>0</v>
      </c>
      <c r="R10864" s="26"/>
    </row>
    <row r="10865" spans="1:18" ht="15.75" customHeight="1">
      <c r="A10865" s="26"/>
      <c r="B10865" s="86"/>
      <c r="D10865" s="26"/>
      <c r="F10865" s="87" t="str">
        <f t="shared" si="0"/>
        <v/>
      </c>
      <c r="H10865" s="26" t="str">
        <f t="shared" si="1"/>
        <v/>
      </c>
      <c r="I10865" s="26" t="str">
        <f t="shared" si="2"/>
        <v/>
      </c>
      <c r="J10865" s="86">
        <f t="shared" si="3"/>
        <v>0</v>
      </c>
      <c r="R10865" s="26"/>
    </row>
    <row r="10866" spans="1:18" ht="15.75" customHeight="1">
      <c r="A10866" s="26"/>
      <c r="B10866" s="86"/>
      <c r="D10866" s="26"/>
      <c r="F10866" s="87" t="str">
        <f t="shared" si="0"/>
        <v/>
      </c>
      <c r="H10866" s="26" t="str">
        <f t="shared" si="1"/>
        <v/>
      </c>
      <c r="I10866" s="26" t="str">
        <f t="shared" si="2"/>
        <v/>
      </c>
      <c r="J10866" s="86">
        <f t="shared" si="3"/>
        <v>0</v>
      </c>
      <c r="R10866" s="26"/>
    </row>
    <row r="10867" spans="1:18" ht="15.75" customHeight="1">
      <c r="A10867" s="26"/>
      <c r="B10867" s="86"/>
      <c r="D10867" s="26"/>
      <c r="F10867" s="87" t="str">
        <f t="shared" si="0"/>
        <v/>
      </c>
      <c r="H10867" s="26" t="str">
        <f t="shared" si="1"/>
        <v/>
      </c>
      <c r="I10867" s="26" t="str">
        <f t="shared" si="2"/>
        <v/>
      </c>
      <c r="J10867" s="86">
        <f t="shared" si="3"/>
        <v>0</v>
      </c>
      <c r="R10867" s="26"/>
    </row>
    <row r="10868" spans="1:18" ht="15.75" customHeight="1">
      <c r="A10868" s="26"/>
      <c r="B10868" s="86"/>
      <c r="D10868" s="26"/>
      <c r="F10868" s="87" t="str">
        <f t="shared" si="0"/>
        <v/>
      </c>
      <c r="H10868" s="26" t="str">
        <f t="shared" si="1"/>
        <v/>
      </c>
      <c r="I10868" s="26" t="str">
        <f t="shared" si="2"/>
        <v/>
      </c>
      <c r="J10868" s="86">
        <f t="shared" si="3"/>
        <v>0</v>
      </c>
      <c r="R10868" s="26"/>
    </row>
    <row r="10869" spans="1:18" ht="15.75" customHeight="1">
      <c r="A10869" s="26"/>
      <c r="B10869" s="86"/>
      <c r="D10869" s="26"/>
      <c r="F10869" s="87" t="str">
        <f t="shared" si="0"/>
        <v/>
      </c>
      <c r="H10869" s="26" t="str">
        <f t="shared" si="1"/>
        <v/>
      </c>
      <c r="I10869" s="26" t="str">
        <f t="shared" si="2"/>
        <v/>
      </c>
      <c r="J10869" s="86">
        <f t="shared" si="3"/>
        <v>0</v>
      </c>
      <c r="R10869" s="26"/>
    </row>
    <row r="10870" spans="1:18" ht="15.75" customHeight="1">
      <c r="A10870" s="26"/>
      <c r="B10870" s="86"/>
      <c r="D10870" s="26"/>
      <c r="F10870" s="87" t="str">
        <f t="shared" si="0"/>
        <v/>
      </c>
      <c r="H10870" s="26" t="str">
        <f t="shared" si="1"/>
        <v/>
      </c>
      <c r="I10870" s="26" t="str">
        <f t="shared" si="2"/>
        <v/>
      </c>
      <c r="J10870" s="86">
        <f t="shared" si="3"/>
        <v>0</v>
      </c>
      <c r="R10870" s="26"/>
    </row>
    <row r="10871" spans="1:18" ht="15.75" customHeight="1">
      <c r="A10871" s="26"/>
      <c r="B10871" s="86"/>
      <c r="D10871" s="26"/>
      <c r="F10871" s="87" t="str">
        <f t="shared" si="0"/>
        <v/>
      </c>
      <c r="H10871" s="26" t="str">
        <f t="shared" si="1"/>
        <v/>
      </c>
      <c r="I10871" s="26" t="str">
        <f t="shared" si="2"/>
        <v/>
      </c>
      <c r="J10871" s="86">
        <f t="shared" si="3"/>
        <v>0</v>
      </c>
      <c r="R10871" s="26"/>
    </row>
    <row r="10872" spans="1:18" ht="15.75" customHeight="1">
      <c r="A10872" s="26"/>
      <c r="B10872" s="86"/>
      <c r="D10872" s="26"/>
      <c r="F10872" s="87" t="str">
        <f t="shared" si="0"/>
        <v/>
      </c>
      <c r="H10872" s="26" t="str">
        <f t="shared" si="1"/>
        <v/>
      </c>
      <c r="I10872" s="26" t="str">
        <f t="shared" si="2"/>
        <v/>
      </c>
      <c r="J10872" s="86">
        <f t="shared" si="3"/>
        <v>0</v>
      </c>
      <c r="R10872" s="26"/>
    </row>
    <row r="10873" spans="1:18" ht="15.75" customHeight="1">
      <c r="A10873" s="26"/>
      <c r="B10873" s="86"/>
      <c r="D10873" s="26"/>
      <c r="F10873" s="87" t="str">
        <f t="shared" si="0"/>
        <v/>
      </c>
      <c r="H10873" s="26" t="str">
        <f t="shared" si="1"/>
        <v/>
      </c>
      <c r="I10873" s="26" t="str">
        <f t="shared" si="2"/>
        <v/>
      </c>
      <c r="J10873" s="86">
        <f t="shared" si="3"/>
        <v>0</v>
      </c>
      <c r="R10873" s="26"/>
    </row>
    <row r="10874" spans="1:18" ht="15.75" customHeight="1">
      <c r="A10874" s="26"/>
      <c r="B10874" s="86"/>
      <c r="D10874" s="26"/>
      <c r="F10874" s="87" t="str">
        <f t="shared" si="0"/>
        <v/>
      </c>
      <c r="H10874" s="26" t="str">
        <f t="shared" si="1"/>
        <v/>
      </c>
      <c r="I10874" s="26" t="str">
        <f t="shared" si="2"/>
        <v/>
      </c>
      <c r="J10874" s="86">
        <f t="shared" si="3"/>
        <v>0</v>
      </c>
      <c r="R10874" s="26"/>
    </row>
    <row r="10875" spans="1:18" ht="15.75" customHeight="1">
      <c r="A10875" s="26"/>
      <c r="B10875" s="86"/>
      <c r="D10875" s="26"/>
      <c r="F10875" s="87" t="str">
        <f t="shared" si="0"/>
        <v/>
      </c>
      <c r="H10875" s="26" t="str">
        <f t="shared" si="1"/>
        <v/>
      </c>
      <c r="I10875" s="26" t="str">
        <f t="shared" si="2"/>
        <v/>
      </c>
      <c r="J10875" s="86">
        <f t="shared" si="3"/>
        <v>0</v>
      </c>
      <c r="R10875" s="26"/>
    </row>
    <row r="10876" spans="1:18" ht="15.75" customHeight="1">
      <c r="A10876" s="26"/>
      <c r="B10876" s="86"/>
      <c r="D10876" s="26"/>
      <c r="F10876" s="87" t="str">
        <f t="shared" si="0"/>
        <v/>
      </c>
      <c r="H10876" s="26" t="str">
        <f t="shared" si="1"/>
        <v/>
      </c>
      <c r="I10876" s="26" t="str">
        <f t="shared" si="2"/>
        <v/>
      </c>
      <c r="J10876" s="86">
        <f t="shared" si="3"/>
        <v>0</v>
      </c>
      <c r="R10876" s="26"/>
    </row>
    <row r="10877" spans="1:18" ht="15.75" customHeight="1">
      <c r="A10877" s="26"/>
      <c r="B10877" s="86"/>
      <c r="D10877" s="26"/>
      <c r="F10877" s="87" t="str">
        <f t="shared" si="0"/>
        <v/>
      </c>
      <c r="H10877" s="26" t="str">
        <f t="shared" si="1"/>
        <v/>
      </c>
      <c r="I10877" s="26" t="str">
        <f t="shared" si="2"/>
        <v/>
      </c>
      <c r="J10877" s="86">
        <f t="shared" si="3"/>
        <v>0</v>
      </c>
      <c r="R10877" s="26"/>
    </row>
    <row r="10878" spans="1:18" ht="15.75" customHeight="1">
      <c r="A10878" s="26"/>
      <c r="B10878" s="86"/>
      <c r="D10878" s="26"/>
      <c r="F10878" s="87" t="str">
        <f t="shared" si="0"/>
        <v/>
      </c>
      <c r="H10878" s="26" t="str">
        <f t="shared" si="1"/>
        <v/>
      </c>
      <c r="I10878" s="26" t="str">
        <f t="shared" si="2"/>
        <v/>
      </c>
      <c r="J10878" s="86">
        <f t="shared" si="3"/>
        <v>0</v>
      </c>
      <c r="R10878" s="26"/>
    </row>
    <row r="10879" spans="1:18" ht="15.75" customHeight="1">
      <c r="A10879" s="26"/>
      <c r="B10879" s="86"/>
      <c r="D10879" s="26"/>
      <c r="F10879" s="87" t="str">
        <f t="shared" si="0"/>
        <v/>
      </c>
      <c r="H10879" s="26" t="str">
        <f t="shared" si="1"/>
        <v/>
      </c>
      <c r="I10879" s="26" t="str">
        <f t="shared" si="2"/>
        <v/>
      </c>
      <c r="J10879" s="86">
        <f t="shared" si="3"/>
        <v>0</v>
      </c>
      <c r="R10879" s="26"/>
    </row>
    <row r="10880" spans="1:18" ht="15.75" customHeight="1">
      <c r="A10880" s="26"/>
      <c r="B10880" s="86"/>
      <c r="D10880" s="26"/>
      <c r="F10880" s="87" t="str">
        <f t="shared" si="0"/>
        <v/>
      </c>
      <c r="H10880" s="26" t="str">
        <f t="shared" si="1"/>
        <v/>
      </c>
      <c r="I10880" s="26" t="str">
        <f t="shared" si="2"/>
        <v/>
      </c>
      <c r="J10880" s="86">
        <f t="shared" si="3"/>
        <v>0</v>
      </c>
      <c r="R10880" s="26"/>
    </row>
    <row r="10881" spans="1:18" ht="15.75" customHeight="1">
      <c r="A10881" s="26"/>
      <c r="B10881" s="86"/>
      <c r="D10881" s="26"/>
      <c r="F10881" s="87" t="str">
        <f t="shared" si="0"/>
        <v/>
      </c>
      <c r="H10881" s="26" t="str">
        <f t="shared" si="1"/>
        <v/>
      </c>
      <c r="I10881" s="26" t="str">
        <f t="shared" si="2"/>
        <v/>
      </c>
      <c r="J10881" s="86">
        <f t="shared" si="3"/>
        <v>0</v>
      </c>
      <c r="R10881" s="26"/>
    </row>
    <row r="10882" spans="1:18" ht="15.75" customHeight="1">
      <c r="A10882" s="26"/>
      <c r="B10882" s="86"/>
      <c r="D10882" s="26"/>
      <c r="F10882" s="87" t="str">
        <f t="shared" si="0"/>
        <v/>
      </c>
      <c r="H10882" s="26" t="str">
        <f t="shared" si="1"/>
        <v/>
      </c>
      <c r="I10882" s="26" t="str">
        <f t="shared" si="2"/>
        <v/>
      </c>
      <c r="J10882" s="86">
        <f t="shared" si="3"/>
        <v>0</v>
      </c>
      <c r="R10882" s="26"/>
    </row>
    <row r="10883" spans="1:18" ht="15.75" customHeight="1">
      <c r="A10883" s="26"/>
      <c r="B10883" s="86"/>
      <c r="D10883" s="26"/>
      <c r="F10883" s="87" t="str">
        <f t="shared" si="0"/>
        <v/>
      </c>
      <c r="H10883" s="26" t="str">
        <f t="shared" si="1"/>
        <v/>
      </c>
      <c r="I10883" s="26" t="str">
        <f t="shared" si="2"/>
        <v/>
      </c>
      <c r="J10883" s="86">
        <f t="shared" si="3"/>
        <v>0</v>
      </c>
      <c r="R10883" s="26"/>
    </row>
    <row r="10884" spans="1:18" ht="15.75" customHeight="1">
      <c r="A10884" s="26"/>
      <c r="B10884" s="86"/>
      <c r="D10884" s="26"/>
      <c r="F10884" s="87" t="str">
        <f t="shared" si="0"/>
        <v/>
      </c>
      <c r="H10884" s="26" t="str">
        <f t="shared" si="1"/>
        <v/>
      </c>
      <c r="I10884" s="26" t="str">
        <f t="shared" si="2"/>
        <v/>
      </c>
      <c r="J10884" s="86">
        <f t="shared" si="3"/>
        <v>0</v>
      </c>
      <c r="R10884" s="26"/>
    </row>
    <row r="10885" spans="1:18" ht="15.75" customHeight="1">
      <c r="A10885" s="26"/>
      <c r="B10885" s="86"/>
      <c r="D10885" s="26"/>
      <c r="F10885" s="87" t="str">
        <f t="shared" si="0"/>
        <v/>
      </c>
      <c r="H10885" s="26" t="str">
        <f t="shared" si="1"/>
        <v/>
      </c>
      <c r="I10885" s="26" t="str">
        <f t="shared" si="2"/>
        <v/>
      </c>
      <c r="J10885" s="86">
        <f t="shared" si="3"/>
        <v>0</v>
      </c>
      <c r="R10885" s="26"/>
    </row>
    <row r="10886" spans="1:18" ht="15.75" customHeight="1">
      <c r="A10886" s="26"/>
      <c r="B10886" s="86"/>
      <c r="D10886" s="26"/>
      <c r="F10886" s="87" t="str">
        <f t="shared" si="0"/>
        <v/>
      </c>
      <c r="H10886" s="26" t="str">
        <f t="shared" si="1"/>
        <v/>
      </c>
      <c r="I10886" s="26" t="str">
        <f t="shared" si="2"/>
        <v/>
      </c>
      <c r="J10886" s="86">
        <f t="shared" si="3"/>
        <v>0</v>
      </c>
      <c r="R10886" s="26"/>
    </row>
    <row r="10887" spans="1:18" ht="15.75" customHeight="1">
      <c r="A10887" s="26"/>
      <c r="B10887" s="86"/>
      <c r="D10887" s="26"/>
      <c r="F10887" s="87" t="str">
        <f t="shared" si="0"/>
        <v/>
      </c>
      <c r="H10887" s="26" t="str">
        <f t="shared" si="1"/>
        <v/>
      </c>
      <c r="I10887" s="26" t="str">
        <f t="shared" si="2"/>
        <v/>
      </c>
      <c r="J10887" s="86">
        <f t="shared" si="3"/>
        <v>0</v>
      </c>
      <c r="R10887" s="26"/>
    </row>
    <row r="10888" spans="1:18" ht="15.75" customHeight="1">
      <c r="A10888" s="26"/>
      <c r="B10888" s="86"/>
      <c r="D10888" s="26"/>
      <c r="F10888" s="87" t="str">
        <f t="shared" si="0"/>
        <v/>
      </c>
      <c r="H10888" s="26" t="str">
        <f t="shared" si="1"/>
        <v/>
      </c>
      <c r="I10888" s="26" t="str">
        <f t="shared" si="2"/>
        <v/>
      </c>
      <c r="J10888" s="86">
        <f t="shared" si="3"/>
        <v>0</v>
      </c>
      <c r="R10888" s="26"/>
    </row>
    <row r="10889" spans="1:18" ht="15.75" customHeight="1">
      <c r="A10889" s="26"/>
      <c r="B10889" s="86"/>
      <c r="D10889" s="26"/>
      <c r="F10889" s="87" t="str">
        <f t="shared" si="0"/>
        <v/>
      </c>
      <c r="H10889" s="26" t="str">
        <f t="shared" si="1"/>
        <v/>
      </c>
      <c r="I10889" s="26" t="str">
        <f t="shared" si="2"/>
        <v/>
      </c>
      <c r="J10889" s="86">
        <f t="shared" si="3"/>
        <v>0</v>
      </c>
      <c r="R10889" s="26"/>
    </row>
    <row r="10890" spans="1:18" ht="15.75" customHeight="1">
      <c r="A10890" s="26"/>
      <c r="B10890" s="86"/>
      <c r="D10890" s="26"/>
      <c r="F10890" s="87" t="str">
        <f t="shared" si="0"/>
        <v/>
      </c>
      <c r="H10890" s="26" t="str">
        <f t="shared" si="1"/>
        <v/>
      </c>
      <c r="I10890" s="26" t="str">
        <f t="shared" si="2"/>
        <v/>
      </c>
      <c r="J10890" s="86">
        <f t="shared" si="3"/>
        <v>0</v>
      </c>
      <c r="R10890" s="26"/>
    </row>
    <row r="10891" spans="1:18" ht="15.75" customHeight="1">
      <c r="A10891" s="26"/>
      <c r="B10891" s="86"/>
      <c r="D10891" s="26"/>
      <c r="F10891" s="87" t="str">
        <f t="shared" si="0"/>
        <v/>
      </c>
      <c r="H10891" s="26" t="str">
        <f t="shared" si="1"/>
        <v/>
      </c>
      <c r="I10891" s="26" t="str">
        <f t="shared" si="2"/>
        <v/>
      </c>
      <c r="J10891" s="86">
        <f t="shared" si="3"/>
        <v>0</v>
      </c>
      <c r="R10891" s="26"/>
    </row>
    <row r="10892" spans="1:18" ht="15.75" customHeight="1">
      <c r="A10892" s="26"/>
      <c r="B10892" s="86"/>
      <c r="D10892" s="26"/>
      <c r="F10892" s="87" t="str">
        <f t="shared" si="0"/>
        <v/>
      </c>
      <c r="H10892" s="26" t="str">
        <f t="shared" si="1"/>
        <v/>
      </c>
      <c r="I10892" s="26" t="str">
        <f t="shared" si="2"/>
        <v/>
      </c>
      <c r="J10892" s="86">
        <f t="shared" si="3"/>
        <v>0</v>
      </c>
      <c r="R10892" s="26"/>
    </row>
    <row r="10893" spans="1:18" ht="15.75" customHeight="1">
      <c r="A10893" s="26"/>
      <c r="B10893" s="86"/>
      <c r="D10893" s="26"/>
      <c r="F10893" s="87" t="str">
        <f t="shared" si="0"/>
        <v/>
      </c>
      <c r="H10893" s="26" t="str">
        <f t="shared" si="1"/>
        <v/>
      </c>
      <c r="I10893" s="26" t="str">
        <f t="shared" si="2"/>
        <v/>
      </c>
      <c r="J10893" s="86">
        <f t="shared" si="3"/>
        <v>0</v>
      </c>
      <c r="R10893" s="26"/>
    </row>
    <row r="10894" spans="1:18" ht="15.75" customHeight="1">
      <c r="A10894" s="26"/>
      <c r="B10894" s="86"/>
      <c r="D10894" s="26"/>
      <c r="F10894" s="87" t="str">
        <f t="shared" si="0"/>
        <v/>
      </c>
      <c r="H10894" s="26" t="str">
        <f t="shared" si="1"/>
        <v/>
      </c>
      <c r="I10894" s="26" t="str">
        <f t="shared" si="2"/>
        <v/>
      </c>
      <c r="J10894" s="86">
        <f t="shared" si="3"/>
        <v>0</v>
      </c>
      <c r="R10894" s="26"/>
    </row>
    <row r="10895" spans="1:18" ht="15.75" customHeight="1">
      <c r="A10895" s="26"/>
      <c r="B10895" s="86"/>
      <c r="D10895" s="26"/>
      <c r="F10895" s="87" t="str">
        <f t="shared" si="0"/>
        <v/>
      </c>
      <c r="H10895" s="26" t="str">
        <f t="shared" si="1"/>
        <v/>
      </c>
      <c r="I10895" s="26" t="str">
        <f t="shared" si="2"/>
        <v/>
      </c>
      <c r="J10895" s="86">
        <f t="shared" si="3"/>
        <v>0</v>
      </c>
      <c r="R10895" s="26"/>
    </row>
    <row r="10896" spans="1:18" ht="15.75" customHeight="1">
      <c r="A10896" s="26"/>
      <c r="B10896" s="86"/>
      <c r="D10896" s="26"/>
      <c r="F10896" s="87" t="str">
        <f t="shared" si="0"/>
        <v/>
      </c>
      <c r="H10896" s="26" t="str">
        <f t="shared" si="1"/>
        <v/>
      </c>
      <c r="I10896" s="26" t="str">
        <f t="shared" si="2"/>
        <v/>
      </c>
      <c r="J10896" s="86">
        <f t="shared" si="3"/>
        <v>0</v>
      </c>
      <c r="R10896" s="26"/>
    </row>
    <row r="10897" spans="1:18" ht="15.75" customHeight="1">
      <c r="A10897" s="26"/>
      <c r="B10897" s="86"/>
      <c r="D10897" s="26"/>
      <c r="F10897" s="87" t="str">
        <f t="shared" si="0"/>
        <v/>
      </c>
      <c r="H10897" s="26" t="str">
        <f t="shared" si="1"/>
        <v/>
      </c>
      <c r="I10897" s="26" t="str">
        <f t="shared" si="2"/>
        <v/>
      </c>
      <c r="J10897" s="86">
        <f t="shared" si="3"/>
        <v>0</v>
      </c>
      <c r="R10897" s="26"/>
    </row>
    <row r="10898" spans="1:18" ht="15.75" customHeight="1">
      <c r="A10898" s="26"/>
      <c r="B10898" s="86"/>
      <c r="D10898" s="26"/>
      <c r="F10898" s="87" t="str">
        <f t="shared" si="0"/>
        <v/>
      </c>
      <c r="H10898" s="26" t="str">
        <f t="shared" si="1"/>
        <v/>
      </c>
      <c r="I10898" s="26" t="str">
        <f t="shared" si="2"/>
        <v/>
      </c>
      <c r="J10898" s="86">
        <f t="shared" si="3"/>
        <v>0</v>
      </c>
      <c r="R10898" s="26"/>
    </row>
    <row r="10899" spans="1:18" ht="15.75" customHeight="1">
      <c r="A10899" s="26"/>
      <c r="B10899" s="86"/>
      <c r="D10899" s="26"/>
      <c r="F10899" s="87" t="str">
        <f t="shared" si="0"/>
        <v/>
      </c>
      <c r="H10899" s="26" t="str">
        <f t="shared" si="1"/>
        <v/>
      </c>
      <c r="I10899" s="26" t="str">
        <f t="shared" si="2"/>
        <v/>
      </c>
      <c r="J10899" s="86">
        <f t="shared" si="3"/>
        <v>0</v>
      </c>
      <c r="R10899" s="26"/>
    </row>
    <row r="10900" spans="1:18" ht="15.75" customHeight="1">
      <c r="A10900" s="26"/>
      <c r="B10900" s="86"/>
      <c r="D10900" s="26"/>
      <c r="F10900" s="87" t="str">
        <f t="shared" si="0"/>
        <v/>
      </c>
      <c r="H10900" s="26" t="str">
        <f t="shared" si="1"/>
        <v/>
      </c>
      <c r="I10900" s="26" t="str">
        <f t="shared" si="2"/>
        <v/>
      </c>
      <c r="J10900" s="86">
        <f t="shared" si="3"/>
        <v>0</v>
      </c>
      <c r="R10900" s="26"/>
    </row>
    <row r="10901" spans="1:18" ht="15.75" customHeight="1">
      <c r="A10901" s="26"/>
      <c r="B10901" s="86"/>
      <c r="D10901" s="26"/>
      <c r="F10901" s="87" t="str">
        <f t="shared" si="0"/>
        <v/>
      </c>
      <c r="H10901" s="26" t="str">
        <f t="shared" si="1"/>
        <v/>
      </c>
      <c r="I10901" s="26" t="str">
        <f t="shared" si="2"/>
        <v/>
      </c>
      <c r="J10901" s="86">
        <f t="shared" si="3"/>
        <v>0</v>
      </c>
      <c r="R10901" s="26"/>
    </row>
    <row r="10902" spans="1:18" ht="15.75" customHeight="1">
      <c r="A10902" s="26"/>
      <c r="B10902" s="86"/>
      <c r="D10902" s="26"/>
      <c r="F10902" s="87" t="str">
        <f t="shared" si="0"/>
        <v/>
      </c>
      <c r="H10902" s="26" t="str">
        <f t="shared" si="1"/>
        <v/>
      </c>
      <c r="I10902" s="26" t="str">
        <f t="shared" si="2"/>
        <v/>
      </c>
      <c r="J10902" s="86">
        <f t="shared" si="3"/>
        <v>0</v>
      </c>
      <c r="R10902" s="26"/>
    </row>
    <row r="10903" spans="1:18" ht="15.75" customHeight="1">
      <c r="A10903" s="26"/>
      <c r="B10903" s="86"/>
      <c r="D10903" s="26"/>
      <c r="F10903" s="87" t="str">
        <f t="shared" si="0"/>
        <v/>
      </c>
      <c r="H10903" s="26" t="str">
        <f t="shared" si="1"/>
        <v/>
      </c>
      <c r="I10903" s="26" t="str">
        <f t="shared" si="2"/>
        <v/>
      </c>
      <c r="J10903" s="86">
        <f t="shared" si="3"/>
        <v>0</v>
      </c>
      <c r="R10903" s="26"/>
    </row>
    <row r="10904" spans="1:18" ht="15.75" customHeight="1">
      <c r="A10904" s="26"/>
      <c r="B10904" s="86"/>
      <c r="D10904" s="26"/>
      <c r="F10904" s="87" t="str">
        <f t="shared" si="0"/>
        <v/>
      </c>
      <c r="H10904" s="26" t="str">
        <f t="shared" si="1"/>
        <v/>
      </c>
      <c r="I10904" s="26" t="str">
        <f t="shared" si="2"/>
        <v/>
      </c>
      <c r="J10904" s="86">
        <f t="shared" si="3"/>
        <v>0</v>
      </c>
      <c r="R10904" s="26"/>
    </row>
    <row r="10905" spans="1:18" ht="15.75" customHeight="1">
      <c r="A10905" s="26"/>
      <c r="B10905" s="86"/>
      <c r="D10905" s="26"/>
      <c r="F10905" s="87" t="str">
        <f t="shared" si="0"/>
        <v/>
      </c>
      <c r="H10905" s="26" t="str">
        <f t="shared" si="1"/>
        <v/>
      </c>
      <c r="I10905" s="26" t="str">
        <f t="shared" si="2"/>
        <v/>
      </c>
      <c r="J10905" s="86">
        <f t="shared" si="3"/>
        <v>0</v>
      </c>
      <c r="R10905" s="26"/>
    </row>
    <row r="10906" spans="1:18" ht="15.75" customHeight="1">
      <c r="A10906" s="26"/>
      <c r="B10906" s="86"/>
      <c r="D10906" s="26"/>
      <c r="F10906" s="87" t="str">
        <f t="shared" si="0"/>
        <v/>
      </c>
      <c r="H10906" s="26" t="str">
        <f t="shared" si="1"/>
        <v/>
      </c>
      <c r="I10906" s="26" t="str">
        <f t="shared" si="2"/>
        <v/>
      </c>
      <c r="J10906" s="86">
        <f t="shared" si="3"/>
        <v>0</v>
      </c>
      <c r="R10906" s="26"/>
    </row>
    <row r="10907" spans="1:18" ht="15.75" customHeight="1">
      <c r="A10907" s="26"/>
      <c r="B10907" s="86"/>
      <c r="D10907" s="26"/>
      <c r="F10907" s="87" t="str">
        <f t="shared" si="0"/>
        <v/>
      </c>
      <c r="H10907" s="26" t="str">
        <f t="shared" si="1"/>
        <v/>
      </c>
      <c r="I10907" s="26" t="str">
        <f t="shared" si="2"/>
        <v/>
      </c>
      <c r="J10907" s="86">
        <f t="shared" si="3"/>
        <v>0</v>
      </c>
      <c r="R10907" s="26"/>
    </row>
    <row r="10908" spans="1:18" ht="15.75" customHeight="1">
      <c r="A10908" s="26"/>
      <c r="B10908" s="86"/>
      <c r="D10908" s="26"/>
      <c r="F10908" s="87" t="str">
        <f t="shared" si="0"/>
        <v/>
      </c>
      <c r="H10908" s="26" t="str">
        <f t="shared" si="1"/>
        <v/>
      </c>
      <c r="I10908" s="26" t="str">
        <f t="shared" si="2"/>
        <v/>
      </c>
      <c r="J10908" s="86">
        <f t="shared" si="3"/>
        <v>0</v>
      </c>
      <c r="R10908" s="26"/>
    </row>
    <row r="10909" spans="1:18" ht="15.75" customHeight="1">
      <c r="A10909" s="26"/>
      <c r="B10909" s="86"/>
      <c r="D10909" s="26"/>
      <c r="F10909" s="87" t="str">
        <f t="shared" si="0"/>
        <v/>
      </c>
      <c r="H10909" s="26" t="str">
        <f t="shared" si="1"/>
        <v/>
      </c>
      <c r="I10909" s="26" t="str">
        <f t="shared" si="2"/>
        <v/>
      </c>
      <c r="J10909" s="86">
        <f t="shared" si="3"/>
        <v>0</v>
      </c>
      <c r="R10909" s="26"/>
    </row>
    <row r="10910" spans="1:18" ht="15.75" customHeight="1">
      <c r="A10910" s="26"/>
      <c r="B10910" s="86"/>
      <c r="D10910" s="26"/>
      <c r="F10910" s="87" t="str">
        <f t="shared" si="0"/>
        <v/>
      </c>
      <c r="H10910" s="26" t="str">
        <f t="shared" si="1"/>
        <v/>
      </c>
      <c r="I10910" s="26" t="str">
        <f t="shared" si="2"/>
        <v/>
      </c>
      <c r="J10910" s="86">
        <f t="shared" si="3"/>
        <v>0</v>
      </c>
      <c r="R10910" s="26"/>
    </row>
    <row r="10911" spans="1:18" ht="15.75" customHeight="1">
      <c r="A10911" s="26"/>
      <c r="B10911" s="86"/>
      <c r="D10911" s="26"/>
      <c r="F10911" s="87" t="str">
        <f t="shared" si="0"/>
        <v/>
      </c>
      <c r="H10911" s="26" t="str">
        <f t="shared" si="1"/>
        <v/>
      </c>
      <c r="I10911" s="26" t="str">
        <f t="shared" si="2"/>
        <v/>
      </c>
      <c r="J10911" s="86">
        <f t="shared" si="3"/>
        <v>0</v>
      </c>
      <c r="R10911" s="26"/>
    </row>
    <row r="10912" spans="1:18" ht="15.75" customHeight="1">
      <c r="A10912" s="26"/>
      <c r="B10912" s="86"/>
      <c r="D10912" s="26"/>
      <c r="F10912" s="87" t="str">
        <f t="shared" si="0"/>
        <v/>
      </c>
      <c r="H10912" s="26" t="str">
        <f t="shared" si="1"/>
        <v/>
      </c>
      <c r="I10912" s="26" t="str">
        <f t="shared" si="2"/>
        <v/>
      </c>
      <c r="J10912" s="86">
        <f t="shared" si="3"/>
        <v>0</v>
      </c>
      <c r="R10912" s="26"/>
    </row>
    <row r="10913" spans="1:18" ht="15.75" customHeight="1">
      <c r="A10913" s="26"/>
      <c r="B10913" s="86"/>
      <c r="D10913" s="26"/>
      <c r="F10913" s="87" t="str">
        <f t="shared" si="0"/>
        <v/>
      </c>
      <c r="H10913" s="26" t="str">
        <f t="shared" si="1"/>
        <v/>
      </c>
      <c r="I10913" s="26" t="str">
        <f t="shared" si="2"/>
        <v/>
      </c>
      <c r="J10913" s="86">
        <f t="shared" si="3"/>
        <v>0</v>
      </c>
      <c r="R10913" s="26"/>
    </row>
    <row r="10914" spans="1:18" ht="15.75" customHeight="1">
      <c r="A10914" s="26"/>
      <c r="B10914" s="86"/>
      <c r="D10914" s="26"/>
      <c r="F10914" s="87" t="str">
        <f t="shared" si="0"/>
        <v/>
      </c>
      <c r="H10914" s="26" t="str">
        <f t="shared" si="1"/>
        <v/>
      </c>
      <c r="I10914" s="26" t="str">
        <f t="shared" si="2"/>
        <v/>
      </c>
      <c r="J10914" s="86">
        <f t="shared" si="3"/>
        <v>0</v>
      </c>
      <c r="R10914" s="26"/>
    </row>
    <row r="10915" spans="1:18" ht="15.75" customHeight="1">
      <c r="A10915" s="26"/>
      <c r="B10915" s="86"/>
      <c r="D10915" s="26"/>
      <c r="F10915" s="87" t="str">
        <f t="shared" si="0"/>
        <v/>
      </c>
      <c r="H10915" s="26" t="str">
        <f t="shared" si="1"/>
        <v/>
      </c>
      <c r="I10915" s="26" t="str">
        <f t="shared" si="2"/>
        <v/>
      </c>
      <c r="J10915" s="86">
        <f t="shared" si="3"/>
        <v>0</v>
      </c>
      <c r="R10915" s="26"/>
    </row>
    <row r="10916" spans="1:18" ht="15.75" customHeight="1">
      <c r="A10916" s="26"/>
      <c r="B10916" s="86"/>
      <c r="D10916" s="26"/>
      <c r="F10916" s="87" t="str">
        <f t="shared" si="0"/>
        <v/>
      </c>
      <c r="H10916" s="26" t="str">
        <f t="shared" si="1"/>
        <v/>
      </c>
      <c r="I10916" s="26" t="str">
        <f t="shared" si="2"/>
        <v/>
      </c>
      <c r="J10916" s="86">
        <f t="shared" si="3"/>
        <v>0</v>
      </c>
      <c r="R10916" s="26"/>
    </row>
    <row r="10917" spans="1:18" ht="15.75" customHeight="1">
      <c r="A10917" s="26"/>
      <c r="B10917" s="86"/>
      <c r="D10917" s="26"/>
      <c r="F10917" s="87" t="str">
        <f t="shared" si="0"/>
        <v/>
      </c>
      <c r="H10917" s="26" t="str">
        <f t="shared" si="1"/>
        <v/>
      </c>
      <c r="I10917" s="26" t="str">
        <f t="shared" si="2"/>
        <v/>
      </c>
      <c r="J10917" s="86">
        <f t="shared" si="3"/>
        <v>0</v>
      </c>
      <c r="R10917" s="26"/>
    </row>
    <row r="10918" spans="1:18" ht="15.75" customHeight="1">
      <c r="A10918" s="26"/>
      <c r="B10918" s="86"/>
      <c r="D10918" s="26"/>
      <c r="F10918" s="87" t="str">
        <f t="shared" si="0"/>
        <v/>
      </c>
      <c r="H10918" s="26" t="str">
        <f t="shared" si="1"/>
        <v/>
      </c>
      <c r="I10918" s="26" t="str">
        <f t="shared" si="2"/>
        <v/>
      </c>
      <c r="J10918" s="86">
        <f t="shared" si="3"/>
        <v>0</v>
      </c>
      <c r="R10918" s="26"/>
    </row>
    <row r="10919" spans="1:18" ht="15.75" customHeight="1">
      <c r="A10919" s="26"/>
      <c r="B10919" s="86"/>
      <c r="D10919" s="26"/>
      <c r="F10919" s="87" t="str">
        <f t="shared" si="0"/>
        <v/>
      </c>
      <c r="H10919" s="26" t="str">
        <f t="shared" si="1"/>
        <v/>
      </c>
      <c r="I10919" s="26" t="str">
        <f t="shared" si="2"/>
        <v/>
      </c>
      <c r="J10919" s="86">
        <f t="shared" si="3"/>
        <v>0</v>
      </c>
      <c r="R10919" s="26"/>
    </row>
    <row r="10920" spans="1:18" ht="15.75" customHeight="1">
      <c r="A10920" s="26"/>
      <c r="B10920" s="86"/>
      <c r="D10920" s="26"/>
      <c r="F10920" s="87" t="str">
        <f t="shared" si="0"/>
        <v/>
      </c>
      <c r="H10920" s="26" t="str">
        <f t="shared" si="1"/>
        <v/>
      </c>
      <c r="I10920" s="26" t="str">
        <f t="shared" si="2"/>
        <v/>
      </c>
      <c r="J10920" s="86">
        <f t="shared" si="3"/>
        <v>0</v>
      </c>
      <c r="R10920" s="26"/>
    </row>
    <row r="10921" spans="1:18" ht="15.75" customHeight="1">
      <c r="A10921" s="26"/>
      <c r="B10921" s="86"/>
      <c r="D10921" s="26"/>
      <c r="F10921" s="87" t="str">
        <f t="shared" si="0"/>
        <v/>
      </c>
      <c r="H10921" s="26" t="str">
        <f t="shared" si="1"/>
        <v/>
      </c>
      <c r="I10921" s="26" t="str">
        <f t="shared" si="2"/>
        <v/>
      </c>
      <c r="J10921" s="86">
        <f t="shared" si="3"/>
        <v>0</v>
      </c>
      <c r="R10921" s="26"/>
    </row>
    <row r="10922" spans="1:18" ht="15.75" customHeight="1">
      <c r="A10922" s="26"/>
      <c r="B10922" s="86"/>
      <c r="D10922" s="26"/>
      <c r="F10922" s="87" t="str">
        <f t="shared" si="0"/>
        <v/>
      </c>
      <c r="H10922" s="26" t="str">
        <f t="shared" si="1"/>
        <v/>
      </c>
      <c r="I10922" s="26" t="str">
        <f t="shared" si="2"/>
        <v/>
      </c>
      <c r="J10922" s="86">
        <f t="shared" si="3"/>
        <v>0</v>
      </c>
      <c r="R10922" s="26"/>
    </row>
    <row r="10923" spans="1:18" ht="15.75" customHeight="1">
      <c r="A10923" s="26"/>
      <c r="B10923" s="86"/>
      <c r="D10923" s="26"/>
      <c r="F10923" s="87" t="str">
        <f t="shared" si="0"/>
        <v/>
      </c>
      <c r="H10923" s="26" t="str">
        <f t="shared" si="1"/>
        <v/>
      </c>
      <c r="I10923" s="26" t="str">
        <f t="shared" si="2"/>
        <v/>
      </c>
      <c r="J10923" s="86">
        <f t="shared" si="3"/>
        <v>0</v>
      </c>
      <c r="R10923" s="26"/>
    </row>
    <row r="10924" spans="1:18" ht="15.75" customHeight="1">
      <c r="A10924" s="26"/>
      <c r="B10924" s="86"/>
      <c r="D10924" s="26"/>
      <c r="F10924" s="87" t="str">
        <f t="shared" si="0"/>
        <v/>
      </c>
      <c r="H10924" s="26" t="str">
        <f t="shared" si="1"/>
        <v/>
      </c>
      <c r="I10924" s="26" t="str">
        <f t="shared" si="2"/>
        <v/>
      </c>
      <c r="J10924" s="86">
        <f t="shared" si="3"/>
        <v>0</v>
      </c>
      <c r="R10924" s="26"/>
    </row>
    <row r="10925" spans="1:18" ht="15.75" customHeight="1">
      <c r="A10925" s="26"/>
      <c r="B10925" s="86"/>
      <c r="D10925" s="26"/>
      <c r="F10925" s="87" t="str">
        <f t="shared" si="0"/>
        <v/>
      </c>
      <c r="H10925" s="26" t="str">
        <f t="shared" si="1"/>
        <v/>
      </c>
      <c r="I10925" s="26" t="str">
        <f t="shared" si="2"/>
        <v/>
      </c>
      <c r="J10925" s="86">
        <f t="shared" si="3"/>
        <v>0</v>
      </c>
      <c r="R10925" s="26"/>
    </row>
    <row r="10926" spans="1:18" ht="15.75" customHeight="1">
      <c r="A10926" s="26"/>
      <c r="B10926" s="86"/>
      <c r="D10926" s="26"/>
      <c r="F10926" s="87" t="str">
        <f t="shared" si="0"/>
        <v/>
      </c>
      <c r="H10926" s="26" t="str">
        <f t="shared" si="1"/>
        <v/>
      </c>
      <c r="I10926" s="26" t="str">
        <f t="shared" si="2"/>
        <v/>
      </c>
      <c r="J10926" s="86">
        <f t="shared" si="3"/>
        <v>0</v>
      </c>
      <c r="R10926" s="26"/>
    </row>
    <row r="10927" spans="1:18" ht="15.75" customHeight="1">
      <c r="A10927" s="26"/>
      <c r="B10927" s="86"/>
      <c r="D10927" s="26"/>
      <c r="F10927" s="87" t="str">
        <f t="shared" si="0"/>
        <v/>
      </c>
      <c r="H10927" s="26" t="str">
        <f t="shared" si="1"/>
        <v/>
      </c>
      <c r="I10927" s="26" t="str">
        <f t="shared" si="2"/>
        <v/>
      </c>
      <c r="J10927" s="86">
        <f t="shared" si="3"/>
        <v>0</v>
      </c>
      <c r="R10927" s="26"/>
    </row>
    <row r="10928" spans="1:18" ht="15.75" customHeight="1">
      <c r="A10928" s="26"/>
      <c r="B10928" s="86"/>
      <c r="D10928" s="26"/>
      <c r="F10928" s="87" t="str">
        <f t="shared" si="0"/>
        <v/>
      </c>
      <c r="H10928" s="26" t="str">
        <f t="shared" si="1"/>
        <v/>
      </c>
      <c r="I10928" s="26" t="str">
        <f t="shared" si="2"/>
        <v/>
      </c>
      <c r="J10928" s="86">
        <f t="shared" si="3"/>
        <v>0</v>
      </c>
      <c r="R10928" s="26"/>
    </row>
    <row r="10929" spans="1:18" ht="15.75" customHeight="1">
      <c r="A10929" s="26"/>
      <c r="B10929" s="86"/>
      <c r="D10929" s="26"/>
      <c r="F10929" s="87" t="str">
        <f t="shared" si="0"/>
        <v/>
      </c>
      <c r="H10929" s="26" t="str">
        <f t="shared" si="1"/>
        <v/>
      </c>
      <c r="I10929" s="26" t="str">
        <f t="shared" si="2"/>
        <v/>
      </c>
      <c r="J10929" s="86">
        <f t="shared" si="3"/>
        <v>0</v>
      </c>
      <c r="R10929" s="26"/>
    </row>
    <row r="10930" spans="1:18" ht="15.75" customHeight="1">
      <c r="A10930" s="26"/>
      <c r="B10930" s="86"/>
      <c r="D10930" s="26"/>
      <c r="F10930" s="87" t="str">
        <f t="shared" si="0"/>
        <v/>
      </c>
      <c r="H10930" s="26" t="str">
        <f t="shared" si="1"/>
        <v/>
      </c>
      <c r="I10930" s="26" t="str">
        <f t="shared" si="2"/>
        <v/>
      </c>
      <c r="J10930" s="86">
        <f t="shared" si="3"/>
        <v>0</v>
      </c>
      <c r="R10930" s="26"/>
    </row>
    <row r="10931" spans="1:18" ht="15.75" customHeight="1">
      <c r="A10931" s="26"/>
      <c r="B10931" s="86"/>
      <c r="D10931" s="26"/>
      <c r="F10931" s="87" t="str">
        <f t="shared" si="0"/>
        <v/>
      </c>
      <c r="H10931" s="26" t="str">
        <f t="shared" si="1"/>
        <v/>
      </c>
      <c r="I10931" s="26" t="str">
        <f t="shared" si="2"/>
        <v/>
      </c>
      <c r="J10931" s="86">
        <f t="shared" si="3"/>
        <v>0</v>
      </c>
      <c r="R10931" s="26"/>
    </row>
    <row r="10932" spans="1:18" ht="15.75" customHeight="1">
      <c r="A10932" s="26"/>
      <c r="B10932" s="86"/>
      <c r="D10932" s="26"/>
      <c r="F10932" s="87" t="str">
        <f t="shared" si="0"/>
        <v/>
      </c>
      <c r="H10932" s="26" t="str">
        <f t="shared" si="1"/>
        <v/>
      </c>
      <c r="I10932" s="26" t="str">
        <f t="shared" si="2"/>
        <v/>
      </c>
      <c r="J10932" s="86">
        <f t="shared" si="3"/>
        <v>0</v>
      </c>
      <c r="R10932" s="26"/>
    </row>
    <row r="10933" spans="1:18" ht="15.75" customHeight="1">
      <c r="A10933" s="26"/>
      <c r="B10933" s="86"/>
      <c r="D10933" s="26"/>
      <c r="F10933" s="87" t="str">
        <f t="shared" si="0"/>
        <v/>
      </c>
      <c r="H10933" s="26" t="str">
        <f t="shared" si="1"/>
        <v/>
      </c>
      <c r="I10933" s="26" t="str">
        <f t="shared" si="2"/>
        <v/>
      </c>
      <c r="J10933" s="86">
        <f t="shared" si="3"/>
        <v>0</v>
      </c>
      <c r="R10933" s="26"/>
    </row>
    <row r="10934" spans="1:18" ht="15.75" customHeight="1">
      <c r="A10934" s="26"/>
      <c r="B10934" s="86"/>
      <c r="D10934" s="26"/>
      <c r="F10934" s="87" t="str">
        <f t="shared" si="0"/>
        <v/>
      </c>
      <c r="H10934" s="26" t="str">
        <f t="shared" si="1"/>
        <v/>
      </c>
      <c r="I10934" s="26" t="str">
        <f t="shared" si="2"/>
        <v/>
      </c>
      <c r="J10934" s="86">
        <f t="shared" si="3"/>
        <v>0</v>
      </c>
      <c r="R10934" s="26"/>
    </row>
    <row r="10935" spans="1:18" ht="15.75" customHeight="1">
      <c r="A10935" s="26"/>
      <c r="B10935" s="86"/>
      <c r="D10935" s="26"/>
      <c r="F10935" s="87" t="str">
        <f t="shared" si="0"/>
        <v/>
      </c>
      <c r="H10935" s="26" t="str">
        <f t="shared" si="1"/>
        <v/>
      </c>
      <c r="I10935" s="26" t="str">
        <f t="shared" si="2"/>
        <v/>
      </c>
      <c r="J10935" s="86">
        <f t="shared" si="3"/>
        <v>0</v>
      </c>
      <c r="R10935" s="26"/>
    </row>
    <row r="10936" spans="1:18" ht="15.75" customHeight="1">
      <c r="A10936" s="26"/>
      <c r="B10936" s="86"/>
      <c r="D10936" s="26"/>
      <c r="F10936" s="87" t="str">
        <f t="shared" si="0"/>
        <v/>
      </c>
      <c r="H10936" s="26" t="str">
        <f t="shared" si="1"/>
        <v/>
      </c>
      <c r="I10936" s="26" t="str">
        <f t="shared" si="2"/>
        <v/>
      </c>
      <c r="J10936" s="86">
        <f t="shared" si="3"/>
        <v>0</v>
      </c>
      <c r="R10936" s="26"/>
    </row>
    <row r="10937" spans="1:18" ht="15.75" customHeight="1">
      <c r="A10937" s="26"/>
      <c r="B10937" s="86"/>
      <c r="D10937" s="26"/>
      <c r="F10937" s="87" t="str">
        <f t="shared" si="0"/>
        <v/>
      </c>
      <c r="H10937" s="26" t="str">
        <f t="shared" si="1"/>
        <v/>
      </c>
      <c r="I10937" s="26" t="str">
        <f t="shared" si="2"/>
        <v/>
      </c>
      <c r="J10937" s="86">
        <f t="shared" si="3"/>
        <v>0</v>
      </c>
      <c r="R10937" s="26"/>
    </row>
    <row r="10938" spans="1:18" ht="15.75" customHeight="1">
      <c r="A10938" s="26"/>
      <c r="B10938" s="86"/>
      <c r="D10938" s="26"/>
      <c r="F10938" s="87" t="str">
        <f t="shared" si="0"/>
        <v/>
      </c>
      <c r="H10938" s="26" t="str">
        <f t="shared" si="1"/>
        <v/>
      </c>
      <c r="I10938" s="26" t="str">
        <f t="shared" si="2"/>
        <v/>
      </c>
      <c r="J10938" s="86">
        <f t="shared" si="3"/>
        <v>0</v>
      </c>
      <c r="R10938" s="26"/>
    </row>
    <row r="10939" spans="1:18" ht="15.75" customHeight="1">
      <c r="A10939" s="26"/>
      <c r="B10939" s="86"/>
      <c r="D10939" s="26"/>
      <c r="F10939" s="87" t="str">
        <f t="shared" si="0"/>
        <v/>
      </c>
      <c r="H10939" s="26" t="str">
        <f t="shared" si="1"/>
        <v/>
      </c>
      <c r="I10939" s="26" t="str">
        <f t="shared" si="2"/>
        <v/>
      </c>
      <c r="J10939" s="86">
        <f t="shared" si="3"/>
        <v>0</v>
      </c>
      <c r="R10939" s="26"/>
    </row>
    <row r="10940" spans="1:18" ht="15.75" customHeight="1">
      <c r="A10940" s="26"/>
      <c r="B10940" s="86"/>
      <c r="D10940" s="26"/>
      <c r="F10940" s="87" t="str">
        <f t="shared" si="0"/>
        <v/>
      </c>
      <c r="H10940" s="26" t="str">
        <f t="shared" si="1"/>
        <v/>
      </c>
      <c r="I10940" s="26" t="str">
        <f t="shared" si="2"/>
        <v/>
      </c>
      <c r="J10940" s="86">
        <f t="shared" si="3"/>
        <v>0</v>
      </c>
      <c r="R10940" s="26"/>
    </row>
    <row r="10941" spans="1:18" ht="15.75" customHeight="1">
      <c r="A10941" s="26"/>
      <c r="B10941" s="86"/>
      <c r="D10941" s="26"/>
      <c r="F10941" s="87" t="str">
        <f t="shared" si="0"/>
        <v/>
      </c>
      <c r="H10941" s="26" t="str">
        <f t="shared" si="1"/>
        <v/>
      </c>
      <c r="I10941" s="26" t="str">
        <f t="shared" si="2"/>
        <v/>
      </c>
      <c r="J10941" s="86">
        <f t="shared" si="3"/>
        <v>0</v>
      </c>
      <c r="R10941" s="26"/>
    </row>
    <row r="10942" spans="1:18" ht="15.75" customHeight="1">
      <c r="A10942" s="26"/>
      <c r="B10942" s="86"/>
      <c r="D10942" s="26"/>
      <c r="F10942" s="87" t="str">
        <f t="shared" si="0"/>
        <v/>
      </c>
      <c r="H10942" s="26" t="str">
        <f t="shared" si="1"/>
        <v/>
      </c>
      <c r="I10942" s="26" t="str">
        <f t="shared" si="2"/>
        <v/>
      </c>
      <c r="J10942" s="86">
        <f t="shared" si="3"/>
        <v>0</v>
      </c>
      <c r="R10942" s="26"/>
    </row>
    <row r="10943" spans="1:18" ht="15.75" customHeight="1">
      <c r="A10943" s="26"/>
      <c r="B10943" s="86"/>
      <c r="D10943" s="26"/>
      <c r="F10943" s="87" t="str">
        <f t="shared" si="0"/>
        <v/>
      </c>
      <c r="H10943" s="26" t="str">
        <f t="shared" si="1"/>
        <v/>
      </c>
      <c r="I10943" s="26" t="str">
        <f t="shared" si="2"/>
        <v/>
      </c>
      <c r="J10943" s="86">
        <f t="shared" si="3"/>
        <v>0</v>
      </c>
      <c r="R10943" s="26"/>
    </row>
    <row r="10944" spans="1:18" ht="15.75" customHeight="1">
      <c r="A10944" s="26"/>
      <c r="B10944" s="86"/>
      <c r="D10944" s="26"/>
      <c r="F10944" s="87" t="str">
        <f t="shared" si="0"/>
        <v/>
      </c>
      <c r="H10944" s="26" t="str">
        <f t="shared" si="1"/>
        <v/>
      </c>
      <c r="I10944" s="26" t="str">
        <f t="shared" si="2"/>
        <v/>
      </c>
      <c r="J10944" s="86">
        <f t="shared" si="3"/>
        <v>0</v>
      </c>
      <c r="R10944" s="26"/>
    </row>
    <row r="10945" spans="1:18" ht="15.75" customHeight="1">
      <c r="A10945" s="26"/>
      <c r="B10945" s="86"/>
      <c r="D10945" s="26"/>
      <c r="F10945" s="87" t="str">
        <f t="shared" si="0"/>
        <v/>
      </c>
      <c r="H10945" s="26" t="str">
        <f t="shared" si="1"/>
        <v/>
      </c>
      <c r="I10945" s="26" t="str">
        <f t="shared" si="2"/>
        <v/>
      </c>
      <c r="J10945" s="86">
        <f t="shared" si="3"/>
        <v>0</v>
      </c>
      <c r="R10945" s="26"/>
    </row>
    <row r="10946" spans="1:18" ht="15.75" customHeight="1">
      <c r="A10946" s="26"/>
      <c r="B10946" s="86"/>
      <c r="D10946" s="26"/>
      <c r="F10946" s="87" t="str">
        <f t="shared" si="0"/>
        <v/>
      </c>
      <c r="H10946" s="26" t="str">
        <f t="shared" si="1"/>
        <v/>
      </c>
      <c r="I10946" s="26" t="str">
        <f t="shared" si="2"/>
        <v/>
      </c>
      <c r="J10946" s="86">
        <f t="shared" si="3"/>
        <v>0</v>
      </c>
      <c r="R10946" s="26"/>
    </row>
    <row r="10947" spans="1:18" ht="15.75" customHeight="1">
      <c r="A10947" s="26"/>
      <c r="B10947" s="86"/>
      <c r="D10947" s="26"/>
      <c r="F10947" s="87" t="str">
        <f t="shared" si="0"/>
        <v/>
      </c>
      <c r="H10947" s="26" t="str">
        <f t="shared" si="1"/>
        <v/>
      </c>
      <c r="I10947" s="26" t="str">
        <f t="shared" si="2"/>
        <v/>
      </c>
      <c r="J10947" s="86">
        <f t="shared" si="3"/>
        <v>0</v>
      </c>
      <c r="R10947" s="26"/>
    </row>
    <row r="10948" spans="1:18" ht="15.75" customHeight="1">
      <c r="A10948" s="26"/>
      <c r="B10948" s="86"/>
      <c r="D10948" s="26"/>
      <c r="F10948" s="87" t="str">
        <f t="shared" si="0"/>
        <v/>
      </c>
      <c r="H10948" s="26" t="str">
        <f t="shared" si="1"/>
        <v/>
      </c>
      <c r="I10948" s="26" t="str">
        <f t="shared" si="2"/>
        <v/>
      </c>
      <c r="J10948" s="86">
        <f t="shared" si="3"/>
        <v>0</v>
      </c>
      <c r="R10948" s="26"/>
    </row>
    <row r="10949" spans="1:18" ht="15.75" customHeight="1">
      <c r="A10949" s="26"/>
      <c r="B10949" s="86"/>
      <c r="D10949" s="26"/>
      <c r="F10949" s="87" t="str">
        <f t="shared" si="0"/>
        <v/>
      </c>
      <c r="H10949" s="26" t="str">
        <f t="shared" si="1"/>
        <v/>
      </c>
      <c r="I10949" s="26" t="str">
        <f t="shared" si="2"/>
        <v/>
      </c>
      <c r="J10949" s="86">
        <f t="shared" si="3"/>
        <v>0</v>
      </c>
      <c r="R10949" s="26"/>
    </row>
    <row r="10950" spans="1:18" ht="15.75" customHeight="1">
      <c r="A10950" s="26"/>
      <c r="B10950" s="86"/>
      <c r="D10950" s="26"/>
      <c r="F10950" s="87" t="str">
        <f t="shared" si="0"/>
        <v/>
      </c>
      <c r="H10950" s="26" t="str">
        <f t="shared" si="1"/>
        <v/>
      </c>
      <c r="I10950" s="26" t="str">
        <f t="shared" si="2"/>
        <v/>
      </c>
      <c r="J10950" s="86">
        <f t="shared" si="3"/>
        <v>0</v>
      </c>
      <c r="R10950" s="26"/>
    </row>
    <row r="10951" spans="1:18" ht="15.75" customHeight="1">
      <c r="A10951" s="26"/>
      <c r="B10951" s="86"/>
      <c r="D10951" s="26"/>
      <c r="F10951" s="87" t="str">
        <f t="shared" si="0"/>
        <v/>
      </c>
      <c r="H10951" s="26" t="str">
        <f t="shared" si="1"/>
        <v/>
      </c>
      <c r="I10951" s="26" t="str">
        <f t="shared" si="2"/>
        <v/>
      </c>
      <c r="J10951" s="86">
        <f t="shared" si="3"/>
        <v>0</v>
      </c>
      <c r="R10951" s="26"/>
    </row>
    <row r="10952" spans="1:18" ht="15.75" customHeight="1">
      <c r="A10952" s="26"/>
      <c r="B10952" s="86"/>
      <c r="D10952" s="26"/>
      <c r="F10952" s="87" t="str">
        <f t="shared" si="0"/>
        <v/>
      </c>
      <c r="H10952" s="26" t="str">
        <f t="shared" si="1"/>
        <v/>
      </c>
      <c r="I10952" s="26" t="str">
        <f t="shared" si="2"/>
        <v/>
      </c>
      <c r="J10952" s="86">
        <f t="shared" si="3"/>
        <v>0</v>
      </c>
      <c r="R10952" s="26"/>
    </row>
    <row r="10953" spans="1:18" ht="15.75" customHeight="1">
      <c r="A10953" s="26"/>
      <c r="B10953" s="86"/>
      <c r="D10953" s="26"/>
      <c r="F10953" s="87" t="str">
        <f t="shared" si="0"/>
        <v/>
      </c>
      <c r="H10953" s="26" t="str">
        <f t="shared" si="1"/>
        <v/>
      </c>
      <c r="I10953" s="26" t="str">
        <f t="shared" si="2"/>
        <v/>
      </c>
      <c r="J10953" s="86">
        <f t="shared" si="3"/>
        <v>0</v>
      </c>
      <c r="R10953" s="26"/>
    </row>
    <row r="10954" spans="1:18" ht="15.75" customHeight="1">
      <c r="A10954" s="26"/>
      <c r="B10954" s="86"/>
      <c r="D10954" s="26"/>
      <c r="F10954" s="87" t="str">
        <f t="shared" si="0"/>
        <v/>
      </c>
      <c r="H10954" s="26" t="str">
        <f t="shared" si="1"/>
        <v/>
      </c>
      <c r="I10954" s="26" t="str">
        <f t="shared" si="2"/>
        <v/>
      </c>
      <c r="J10954" s="86">
        <f t="shared" si="3"/>
        <v>0</v>
      </c>
      <c r="R10954" s="26"/>
    </row>
    <row r="10955" spans="1:18" ht="15.75" customHeight="1">
      <c r="A10955" s="26"/>
      <c r="B10955" s="86"/>
      <c r="D10955" s="26"/>
      <c r="F10955" s="87" t="str">
        <f t="shared" si="0"/>
        <v/>
      </c>
      <c r="H10955" s="26" t="str">
        <f t="shared" si="1"/>
        <v/>
      </c>
      <c r="I10955" s="26" t="str">
        <f t="shared" si="2"/>
        <v/>
      </c>
      <c r="J10955" s="86">
        <f t="shared" si="3"/>
        <v>0</v>
      </c>
      <c r="R10955" s="26"/>
    </row>
    <row r="10956" spans="1:18" ht="15.75" customHeight="1">
      <c r="A10956" s="26"/>
      <c r="B10956" s="86"/>
      <c r="D10956" s="26"/>
      <c r="F10956" s="87" t="str">
        <f t="shared" si="0"/>
        <v/>
      </c>
      <c r="H10956" s="26" t="str">
        <f t="shared" si="1"/>
        <v/>
      </c>
      <c r="I10956" s="26" t="str">
        <f t="shared" si="2"/>
        <v/>
      </c>
      <c r="J10956" s="86">
        <f t="shared" si="3"/>
        <v>0</v>
      </c>
      <c r="R10956" s="26"/>
    </row>
    <row r="10957" spans="1:18" ht="15.75" customHeight="1">
      <c r="A10957" s="26"/>
      <c r="B10957" s="86"/>
      <c r="D10957" s="26"/>
      <c r="F10957" s="87" t="str">
        <f t="shared" si="0"/>
        <v/>
      </c>
      <c r="H10957" s="26" t="str">
        <f t="shared" si="1"/>
        <v/>
      </c>
      <c r="I10957" s="26" t="str">
        <f t="shared" si="2"/>
        <v/>
      </c>
      <c r="J10957" s="86">
        <f t="shared" si="3"/>
        <v>0</v>
      </c>
      <c r="R10957" s="26"/>
    </row>
    <row r="10958" spans="1:18" ht="15.75" customHeight="1">
      <c r="A10958" s="26"/>
      <c r="B10958" s="86"/>
      <c r="D10958" s="26"/>
      <c r="F10958" s="87" t="str">
        <f t="shared" si="0"/>
        <v/>
      </c>
      <c r="H10958" s="26" t="str">
        <f t="shared" si="1"/>
        <v/>
      </c>
      <c r="I10958" s="26" t="str">
        <f t="shared" si="2"/>
        <v/>
      </c>
      <c r="J10958" s="86">
        <f t="shared" si="3"/>
        <v>0</v>
      </c>
      <c r="R10958" s="26"/>
    </row>
    <row r="10959" spans="1:18" ht="15.75" customHeight="1">
      <c r="A10959" s="26"/>
      <c r="B10959" s="86"/>
      <c r="D10959" s="26"/>
      <c r="F10959" s="87" t="str">
        <f t="shared" si="0"/>
        <v/>
      </c>
      <c r="H10959" s="26" t="str">
        <f t="shared" si="1"/>
        <v/>
      </c>
      <c r="I10959" s="26" t="str">
        <f t="shared" si="2"/>
        <v/>
      </c>
      <c r="J10959" s="86">
        <f t="shared" si="3"/>
        <v>0</v>
      </c>
      <c r="R10959" s="26"/>
    </row>
    <row r="10960" spans="1:18" ht="15.75" customHeight="1">
      <c r="A10960" s="26"/>
      <c r="B10960" s="86"/>
      <c r="D10960" s="26"/>
      <c r="F10960" s="87" t="str">
        <f t="shared" si="0"/>
        <v/>
      </c>
      <c r="H10960" s="26" t="str">
        <f t="shared" si="1"/>
        <v/>
      </c>
      <c r="I10960" s="26" t="str">
        <f t="shared" si="2"/>
        <v/>
      </c>
      <c r="J10960" s="86">
        <f t="shared" si="3"/>
        <v>0</v>
      </c>
      <c r="R10960" s="26"/>
    </row>
    <row r="10961" spans="1:18" ht="15.75" customHeight="1">
      <c r="A10961" s="26"/>
      <c r="B10961" s="86"/>
      <c r="D10961" s="26"/>
      <c r="F10961" s="87" t="str">
        <f t="shared" si="0"/>
        <v/>
      </c>
      <c r="H10961" s="26" t="str">
        <f t="shared" si="1"/>
        <v/>
      </c>
      <c r="I10961" s="26" t="str">
        <f t="shared" si="2"/>
        <v/>
      </c>
      <c r="J10961" s="86">
        <f t="shared" si="3"/>
        <v>0</v>
      </c>
      <c r="R10961" s="26"/>
    </row>
    <row r="10962" spans="1:18" ht="15.75" customHeight="1">
      <c r="A10962" s="26"/>
      <c r="B10962" s="86"/>
      <c r="D10962" s="26"/>
      <c r="F10962" s="87" t="str">
        <f t="shared" si="0"/>
        <v/>
      </c>
      <c r="H10962" s="26" t="str">
        <f t="shared" si="1"/>
        <v/>
      </c>
      <c r="I10962" s="26" t="str">
        <f t="shared" si="2"/>
        <v/>
      </c>
      <c r="J10962" s="86">
        <f t="shared" si="3"/>
        <v>0</v>
      </c>
      <c r="R10962" s="26"/>
    </row>
    <row r="10963" spans="1:18" ht="15.75" customHeight="1">
      <c r="A10963" s="26"/>
      <c r="B10963" s="86"/>
      <c r="D10963" s="26"/>
      <c r="F10963" s="87" t="str">
        <f t="shared" si="0"/>
        <v/>
      </c>
      <c r="H10963" s="26" t="str">
        <f t="shared" si="1"/>
        <v/>
      </c>
      <c r="I10963" s="26" t="str">
        <f t="shared" si="2"/>
        <v/>
      </c>
      <c r="J10963" s="86">
        <f t="shared" si="3"/>
        <v>0</v>
      </c>
      <c r="R10963" s="26"/>
    </row>
    <row r="10964" spans="1:18" ht="15.75" customHeight="1">
      <c r="A10964" s="26"/>
      <c r="B10964" s="86"/>
      <c r="D10964" s="26"/>
      <c r="F10964" s="87" t="str">
        <f t="shared" si="0"/>
        <v/>
      </c>
      <c r="H10964" s="26" t="str">
        <f t="shared" si="1"/>
        <v/>
      </c>
      <c r="I10964" s="26" t="str">
        <f t="shared" si="2"/>
        <v/>
      </c>
      <c r="J10964" s="86">
        <f t="shared" si="3"/>
        <v>0</v>
      </c>
      <c r="R10964" s="26"/>
    </row>
    <row r="10965" spans="1:18" ht="15.75" customHeight="1">
      <c r="A10965" s="26"/>
      <c r="B10965" s="86"/>
      <c r="D10965" s="26"/>
      <c r="F10965" s="87" t="str">
        <f t="shared" si="0"/>
        <v/>
      </c>
      <c r="H10965" s="26" t="str">
        <f t="shared" si="1"/>
        <v/>
      </c>
      <c r="I10965" s="26" t="str">
        <f t="shared" si="2"/>
        <v/>
      </c>
      <c r="J10965" s="86">
        <f t="shared" si="3"/>
        <v>0</v>
      </c>
      <c r="R10965" s="26"/>
    </row>
    <row r="10966" spans="1:18" ht="15.75" customHeight="1">
      <c r="A10966" s="26"/>
      <c r="B10966" s="86"/>
      <c r="D10966" s="26"/>
      <c r="F10966" s="87" t="str">
        <f t="shared" si="0"/>
        <v/>
      </c>
      <c r="H10966" s="26" t="str">
        <f t="shared" si="1"/>
        <v/>
      </c>
      <c r="I10966" s="26" t="str">
        <f t="shared" si="2"/>
        <v/>
      </c>
      <c r="J10966" s="86">
        <f t="shared" si="3"/>
        <v>0</v>
      </c>
      <c r="R10966" s="26"/>
    </row>
    <row r="10967" spans="1:18" ht="15.75" customHeight="1">
      <c r="A10967" s="26"/>
      <c r="B10967" s="86"/>
      <c r="D10967" s="26"/>
      <c r="F10967" s="87" t="str">
        <f t="shared" si="0"/>
        <v/>
      </c>
      <c r="H10967" s="26" t="str">
        <f t="shared" si="1"/>
        <v/>
      </c>
      <c r="I10967" s="26" t="str">
        <f t="shared" si="2"/>
        <v/>
      </c>
      <c r="J10967" s="86">
        <f t="shared" si="3"/>
        <v>0</v>
      </c>
      <c r="R10967" s="26"/>
    </row>
    <row r="10968" spans="1:18" ht="15.75" customHeight="1">
      <c r="A10968" s="26"/>
      <c r="B10968" s="86"/>
      <c r="D10968" s="26"/>
      <c r="F10968" s="87" t="str">
        <f t="shared" si="0"/>
        <v/>
      </c>
      <c r="H10968" s="26" t="str">
        <f t="shared" si="1"/>
        <v/>
      </c>
      <c r="I10968" s="26" t="str">
        <f t="shared" si="2"/>
        <v/>
      </c>
      <c r="J10968" s="86">
        <f t="shared" si="3"/>
        <v>0</v>
      </c>
      <c r="R10968" s="26"/>
    </row>
    <row r="10969" spans="1:18" ht="15.75" customHeight="1">
      <c r="A10969" s="26"/>
      <c r="B10969" s="86"/>
      <c r="D10969" s="26"/>
      <c r="F10969" s="87" t="str">
        <f t="shared" si="0"/>
        <v/>
      </c>
      <c r="H10969" s="26" t="str">
        <f t="shared" si="1"/>
        <v/>
      </c>
      <c r="I10969" s="26" t="str">
        <f t="shared" si="2"/>
        <v/>
      </c>
      <c r="J10969" s="86">
        <f t="shared" si="3"/>
        <v>0</v>
      </c>
      <c r="R10969" s="26"/>
    </row>
    <row r="10970" spans="1:18" ht="15.75" customHeight="1">
      <c r="A10970" s="26"/>
      <c r="B10970" s="86"/>
      <c r="D10970" s="26"/>
      <c r="F10970" s="87" t="str">
        <f t="shared" si="0"/>
        <v/>
      </c>
      <c r="H10970" s="26" t="str">
        <f t="shared" si="1"/>
        <v/>
      </c>
      <c r="I10970" s="26" t="str">
        <f t="shared" si="2"/>
        <v/>
      </c>
      <c r="J10970" s="86">
        <f t="shared" si="3"/>
        <v>0</v>
      </c>
      <c r="R10970" s="26"/>
    </row>
    <row r="10971" spans="1:18" ht="15.75" customHeight="1">
      <c r="A10971" s="26"/>
      <c r="B10971" s="86"/>
      <c r="D10971" s="26"/>
      <c r="F10971" s="87" t="str">
        <f t="shared" si="0"/>
        <v/>
      </c>
      <c r="H10971" s="26" t="str">
        <f t="shared" si="1"/>
        <v/>
      </c>
      <c r="I10971" s="26" t="str">
        <f t="shared" si="2"/>
        <v/>
      </c>
      <c r="J10971" s="86">
        <f t="shared" si="3"/>
        <v>0</v>
      </c>
      <c r="R10971" s="26"/>
    </row>
    <row r="10972" spans="1:18" ht="15.75" customHeight="1">
      <c r="A10972" s="26"/>
      <c r="B10972" s="86"/>
      <c r="D10972" s="26"/>
      <c r="F10972" s="87" t="str">
        <f t="shared" si="0"/>
        <v/>
      </c>
      <c r="H10972" s="26" t="str">
        <f t="shared" si="1"/>
        <v/>
      </c>
      <c r="I10972" s="26" t="str">
        <f t="shared" si="2"/>
        <v/>
      </c>
      <c r="J10972" s="86">
        <f t="shared" si="3"/>
        <v>0</v>
      </c>
      <c r="R10972" s="26"/>
    </row>
    <row r="10973" spans="1:18" ht="15.75" customHeight="1">
      <c r="A10973" s="26"/>
      <c r="B10973" s="86"/>
      <c r="D10973" s="26"/>
      <c r="F10973" s="87" t="str">
        <f t="shared" si="0"/>
        <v/>
      </c>
      <c r="H10973" s="26" t="str">
        <f t="shared" si="1"/>
        <v/>
      </c>
      <c r="I10973" s="26" t="str">
        <f t="shared" si="2"/>
        <v/>
      </c>
      <c r="J10973" s="86">
        <f t="shared" si="3"/>
        <v>0</v>
      </c>
      <c r="R10973" s="26"/>
    </row>
    <row r="10974" spans="1:18" ht="15.75" customHeight="1">
      <c r="A10974" s="26"/>
      <c r="B10974" s="86"/>
      <c r="D10974" s="26"/>
      <c r="F10974" s="87" t="str">
        <f t="shared" si="0"/>
        <v/>
      </c>
      <c r="H10974" s="26" t="str">
        <f t="shared" si="1"/>
        <v/>
      </c>
      <c r="I10974" s="26" t="str">
        <f t="shared" si="2"/>
        <v/>
      </c>
      <c r="J10974" s="86">
        <f t="shared" si="3"/>
        <v>0</v>
      </c>
      <c r="R10974" s="26"/>
    </row>
    <row r="10975" spans="1:18" ht="15.75" customHeight="1">
      <c r="A10975" s="26"/>
      <c r="B10975" s="86"/>
      <c r="D10975" s="26"/>
      <c r="F10975" s="87" t="str">
        <f t="shared" si="0"/>
        <v/>
      </c>
      <c r="H10975" s="26" t="str">
        <f t="shared" si="1"/>
        <v/>
      </c>
      <c r="I10975" s="26" t="str">
        <f t="shared" si="2"/>
        <v/>
      </c>
      <c r="J10975" s="86">
        <f t="shared" si="3"/>
        <v>0</v>
      </c>
      <c r="R10975" s="26"/>
    </row>
    <row r="10976" spans="1:18" ht="15.75" customHeight="1">
      <c r="A10976" s="26"/>
      <c r="B10976" s="86"/>
      <c r="D10976" s="26"/>
      <c r="F10976" s="87" t="str">
        <f t="shared" si="0"/>
        <v/>
      </c>
      <c r="H10976" s="26" t="str">
        <f t="shared" si="1"/>
        <v/>
      </c>
      <c r="I10976" s="26" t="str">
        <f t="shared" si="2"/>
        <v/>
      </c>
      <c r="J10976" s="86">
        <f t="shared" si="3"/>
        <v>0</v>
      </c>
      <c r="R10976" s="26"/>
    </row>
    <row r="10977" spans="1:18" ht="15.75" customHeight="1">
      <c r="A10977" s="26"/>
      <c r="B10977" s="86"/>
      <c r="D10977" s="26"/>
      <c r="F10977" s="87" t="str">
        <f t="shared" si="0"/>
        <v/>
      </c>
      <c r="H10977" s="26" t="str">
        <f t="shared" si="1"/>
        <v/>
      </c>
      <c r="I10977" s="26" t="str">
        <f t="shared" si="2"/>
        <v/>
      </c>
      <c r="J10977" s="86">
        <f t="shared" si="3"/>
        <v>0</v>
      </c>
      <c r="R10977" s="26"/>
    </row>
    <row r="10978" spans="1:18" ht="15.75" customHeight="1">
      <c r="A10978" s="26"/>
      <c r="B10978" s="86"/>
      <c r="D10978" s="26"/>
      <c r="F10978" s="87" t="str">
        <f t="shared" si="0"/>
        <v/>
      </c>
      <c r="H10978" s="26" t="str">
        <f t="shared" si="1"/>
        <v/>
      </c>
      <c r="I10978" s="26" t="str">
        <f t="shared" si="2"/>
        <v/>
      </c>
      <c r="J10978" s="86">
        <f t="shared" si="3"/>
        <v>0</v>
      </c>
      <c r="R10978" s="26"/>
    </row>
    <row r="10979" spans="1:18" ht="15.75" customHeight="1">
      <c r="A10979" s="26"/>
      <c r="B10979" s="86"/>
      <c r="D10979" s="26"/>
      <c r="F10979" s="87" t="str">
        <f t="shared" si="0"/>
        <v/>
      </c>
      <c r="H10979" s="26" t="str">
        <f t="shared" si="1"/>
        <v/>
      </c>
      <c r="I10979" s="26" t="str">
        <f t="shared" si="2"/>
        <v/>
      </c>
      <c r="J10979" s="86">
        <f t="shared" si="3"/>
        <v>0</v>
      </c>
      <c r="R10979" s="26"/>
    </row>
    <row r="10980" spans="1:18" ht="15.75" customHeight="1">
      <c r="A10980" s="26"/>
      <c r="B10980" s="86"/>
      <c r="D10980" s="26"/>
      <c r="F10980" s="87" t="str">
        <f t="shared" si="0"/>
        <v/>
      </c>
      <c r="H10980" s="26" t="str">
        <f t="shared" si="1"/>
        <v/>
      </c>
      <c r="I10980" s="26" t="str">
        <f t="shared" si="2"/>
        <v/>
      </c>
      <c r="J10980" s="86">
        <f t="shared" si="3"/>
        <v>0</v>
      </c>
      <c r="R10980" s="26"/>
    </row>
    <row r="10981" spans="1:18" ht="15.75" customHeight="1">
      <c r="A10981" s="26"/>
      <c r="B10981" s="86"/>
      <c r="D10981" s="26"/>
      <c r="F10981" s="87" t="str">
        <f t="shared" si="0"/>
        <v/>
      </c>
      <c r="H10981" s="26" t="str">
        <f t="shared" si="1"/>
        <v/>
      </c>
      <c r="I10981" s="26" t="str">
        <f t="shared" si="2"/>
        <v/>
      </c>
      <c r="J10981" s="86">
        <f t="shared" si="3"/>
        <v>0</v>
      </c>
      <c r="R10981" s="26"/>
    </row>
    <row r="10982" spans="1:18" ht="15.75" customHeight="1">
      <c r="A10982" s="26"/>
      <c r="B10982" s="86"/>
      <c r="D10982" s="26"/>
      <c r="F10982" s="87" t="str">
        <f t="shared" si="0"/>
        <v/>
      </c>
      <c r="H10982" s="26" t="str">
        <f t="shared" si="1"/>
        <v/>
      </c>
      <c r="I10982" s="26" t="str">
        <f t="shared" si="2"/>
        <v/>
      </c>
      <c r="J10982" s="86">
        <f t="shared" si="3"/>
        <v>0</v>
      </c>
      <c r="R10982" s="26"/>
    </row>
    <row r="10983" spans="1:18" ht="15.75" customHeight="1">
      <c r="A10983" s="26"/>
      <c r="B10983" s="86"/>
      <c r="D10983" s="26"/>
      <c r="F10983" s="87" t="str">
        <f t="shared" si="0"/>
        <v/>
      </c>
      <c r="H10983" s="26" t="str">
        <f t="shared" si="1"/>
        <v/>
      </c>
      <c r="I10983" s="26" t="str">
        <f t="shared" si="2"/>
        <v/>
      </c>
      <c r="J10983" s="86">
        <f t="shared" si="3"/>
        <v>0</v>
      </c>
      <c r="R10983" s="26"/>
    </row>
    <row r="10984" spans="1:18" ht="15.75" customHeight="1">
      <c r="A10984" s="26"/>
      <c r="B10984" s="86"/>
      <c r="D10984" s="26"/>
      <c r="F10984" s="87" t="str">
        <f t="shared" si="0"/>
        <v/>
      </c>
      <c r="H10984" s="26" t="str">
        <f t="shared" si="1"/>
        <v/>
      </c>
      <c r="I10984" s="26" t="str">
        <f t="shared" si="2"/>
        <v/>
      </c>
      <c r="J10984" s="86">
        <f t="shared" si="3"/>
        <v>0</v>
      </c>
      <c r="R10984" s="26"/>
    </row>
    <row r="10985" spans="1:18" ht="15.75" customHeight="1">
      <c r="A10985" s="26"/>
      <c r="B10985" s="86"/>
      <c r="D10985" s="26"/>
      <c r="F10985" s="87" t="str">
        <f t="shared" si="0"/>
        <v/>
      </c>
      <c r="H10985" s="26" t="str">
        <f t="shared" si="1"/>
        <v/>
      </c>
      <c r="I10985" s="26" t="str">
        <f t="shared" si="2"/>
        <v/>
      </c>
      <c r="J10985" s="86">
        <f t="shared" si="3"/>
        <v>0</v>
      </c>
      <c r="R10985" s="26"/>
    </row>
    <row r="10986" spans="1:18" ht="15.75" customHeight="1">
      <c r="A10986" s="26"/>
      <c r="B10986" s="86"/>
      <c r="D10986" s="26"/>
      <c r="F10986" s="87" t="str">
        <f t="shared" si="0"/>
        <v/>
      </c>
      <c r="H10986" s="26" t="str">
        <f t="shared" si="1"/>
        <v/>
      </c>
      <c r="I10986" s="26" t="str">
        <f t="shared" si="2"/>
        <v/>
      </c>
      <c r="J10986" s="86">
        <f t="shared" si="3"/>
        <v>0</v>
      </c>
      <c r="R10986" s="26"/>
    </row>
    <row r="10987" spans="1:18" ht="15.75" customHeight="1">
      <c r="A10987" s="26"/>
      <c r="B10987" s="86"/>
      <c r="D10987" s="26"/>
      <c r="F10987" s="87" t="str">
        <f t="shared" si="0"/>
        <v/>
      </c>
      <c r="H10987" s="26" t="str">
        <f t="shared" si="1"/>
        <v/>
      </c>
      <c r="I10987" s="26" t="str">
        <f t="shared" si="2"/>
        <v/>
      </c>
      <c r="J10987" s="86">
        <f t="shared" si="3"/>
        <v>0</v>
      </c>
      <c r="R10987" s="26"/>
    </row>
    <row r="10988" spans="1:18" ht="15.75" customHeight="1">
      <c r="A10988" s="26"/>
      <c r="B10988" s="86"/>
      <c r="D10988" s="26"/>
      <c r="F10988" s="87" t="str">
        <f t="shared" si="0"/>
        <v/>
      </c>
      <c r="H10988" s="26" t="str">
        <f t="shared" si="1"/>
        <v/>
      </c>
      <c r="I10988" s="26" t="str">
        <f t="shared" si="2"/>
        <v/>
      </c>
      <c r="J10988" s="86">
        <f t="shared" si="3"/>
        <v>0</v>
      </c>
      <c r="R10988" s="26"/>
    </row>
    <row r="10989" spans="1:18" ht="15.75" customHeight="1">
      <c r="A10989" s="26"/>
      <c r="B10989" s="86"/>
      <c r="D10989" s="26"/>
      <c r="F10989" s="87" t="str">
        <f t="shared" si="0"/>
        <v/>
      </c>
      <c r="H10989" s="26" t="str">
        <f t="shared" si="1"/>
        <v/>
      </c>
      <c r="I10989" s="26" t="str">
        <f t="shared" si="2"/>
        <v/>
      </c>
      <c r="J10989" s="86">
        <f t="shared" si="3"/>
        <v>0</v>
      </c>
      <c r="R10989" s="26"/>
    </row>
    <row r="10990" spans="1:18" ht="15.75" customHeight="1">
      <c r="A10990" s="26"/>
      <c r="B10990" s="86"/>
      <c r="D10990" s="26"/>
      <c r="F10990" s="87" t="str">
        <f t="shared" si="0"/>
        <v/>
      </c>
      <c r="H10990" s="26" t="str">
        <f t="shared" si="1"/>
        <v/>
      </c>
      <c r="I10990" s="26" t="str">
        <f t="shared" si="2"/>
        <v/>
      </c>
      <c r="J10990" s="86">
        <f t="shared" si="3"/>
        <v>0</v>
      </c>
      <c r="R10990" s="26"/>
    </row>
    <row r="10991" spans="1:18" ht="15.75" customHeight="1">
      <c r="A10991" s="26"/>
      <c r="B10991" s="86"/>
      <c r="D10991" s="26"/>
      <c r="F10991" s="87" t="str">
        <f t="shared" si="0"/>
        <v/>
      </c>
      <c r="H10991" s="26" t="str">
        <f t="shared" si="1"/>
        <v/>
      </c>
      <c r="I10991" s="26" t="str">
        <f t="shared" si="2"/>
        <v/>
      </c>
      <c r="J10991" s="86">
        <f t="shared" si="3"/>
        <v>0</v>
      </c>
      <c r="R10991" s="26"/>
    </row>
    <row r="10992" spans="1:18" ht="15.75" customHeight="1">
      <c r="A10992" s="26"/>
      <c r="B10992" s="86"/>
      <c r="D10992" s="26"/>
      <c r="F10992" s="87" t="str">
        <f t="shared" si="0"/>
        <v/>
      </c>
      <c r="H10992" s="26" t="str">
        <f t="shared" si="1"/>
        <v/>
      </c>
      <c r="I10992" s="26" t="str">
        <f t="shared" si="2"/>
        <v/>
      </c>
      <c r="J10992" s="86">
        <f t="shared" si="3"/>
        <v>0</v>
      </c>
      <c r="R10992" s="26"/>
    </row>
    <row r="10993" spans="1:18" ht="15.75" customHeight="1">
      <c r="A10993" s="26"/>
      <c r="B10993" s="86"/>
      <c r="D10993" s="26"/>
      <c r="F10993" s="87" t="str">
        <f t="shared" si="0"/>
        <v/>
      </c>
      <c r="H10993" s="26" t="str">
        <f t="shared" si="1"/>
        <v/>
      </c>
      <c r="I10993" s="26" t="str">
        <f t="shared" si="2"/>
        <v/>
      </c>
      <c r="J10993" s="86">
        <f t="shared" si="3"/>
        <v>0</v>
      </c>
      <c r="R10993" s="26"/>
    </row>
    <row r="10994" spans="1:18" ht="15.75" customHeight="1">
      <c r="A10994" s="26"/>
      <c r="B10994" s="86"/>
      <c r="D10994" s="26"/>
      <c r="F10994" s="87" t="str">
        <f t="shared" si="0"/>
        <v/>
      </c>
      <c r="H10994" s="26" t="str">
        <f t="shared" si="1"/>
        <v/>
      </c>
      <c r="I10994" s="26" t="str">
        <f t="shared" si="2"/>
        <v/>
      </c>
      <c r="J10994" s="86">
        <f t="shared" si="3"/>
        <v>0</v>
      </c>
      <c r="R10994" s="26"/>
    </row>
    <row r="10995" spans="1:18" ht="15.75" customHeight="1">
      <c r="A10995" s="26"/>
      <c r="B10995" s="86"/>
      <c r="D10995" s="26"/>
      <c r="F10995" s="87" t="str">
        <f t="shared" si="0"/>
        <v/>
      </c>
      <c r="H10995" s="26" t="str">
        <f t="shared" si="1"/>
        <v/>
      </c>
      <c r="I10995" s="26" t="str">
        <f t="shared" si="2"/>
        <v/>
      </c>
      <c r="J10995" s="86">
        <f t="shared" si="3"/>
        <v>0</v>
      </c>
      <c r="R10995" s="26"/>
    </row>
    <row r="10996" spans="1:18" ht="15.75" customHeight="1">
      <c r="A10996" s="26"/>
      <c r="B10996" s="86"/>
      <c r="D10996" s="26"/>
      <c r="F10996" s="87" t="str">
        <f t="shared" si="0"/>
        <v/>
      </c>
      <c r="H10996" s="26" t="str">
        <f t="shared" si="1"/>
        <v/>
      </c>
      <c r="I10996" s="26" t="str">
        <f t="shared" si="2"/>
        <v/>
      </c>
      <c r="J10996" s="86">
        <f t="shared" si="3"/>
        <v>0</v>
      </c>
      <c r="R10996" s="26"/>
    </row>
    <row r="10997" spans="1:18" ht="15.75" customHeight="1">
      <c r="A10997" s="26"/>
      <c r="B10997" s="86"/>
      <c r="D10997" s="26"/>
      <c r="F10997" s="87" t="str">
        <f t="shared" si="0"/>
        <v/>
      </c>
      <c r="H10997" s="26" t="str">
        <f t="shared" si="1"/>
        <v/>
      </c>
      <c r="I10997" s="26" t="str">
        <f t="shared" si="2"/>
        <v/>
      </c>
      <c r="J10997" s="86">
        <f t="shared" si="3"/>
        <v>0</v>
      </c>
      <c r="R10997" s="26"/>
    </row>
    <row r="10998" spans="1:18" ht="15.75" customHeight="1">
      <c r="A10998" s="26"/>
      <c r="B10998" s="86"/>
      <c r="D10998" s="26"/>
      <c r="F10998" s="87" t="str">
        <f t="shared" si="0"/>
        <v/>
      </c>
      <c r="H10998" s="26" t="str">
        <f t="shared" si="1"/>
        <v/>
      </c>
      <c r="I10998" s="26" t="str">
        <f t="shared" si="2"/>
        <v/>
      </c>
      <c r="J10998" s="86">
        <f t="shared" si="3"/>
        <v>0</v>
      </c>
      <c r="R10998" s="26"/>
    </row>
    <row r="10999" spans="1:18" ht="15.75" customHeight="1">
      <c r="A10999" s="26"/>
      <c r="B10999" s="86"/>
      <c r="D10999" s="26"/>
      <c r="F10999" s="87" t="str">
        <f t="shared" si="0"/>
        <v/>
      </c>
      <c r="H10999" s="26" t="str">
        <f t="shared" si="1"/>
        <v/>
      </c>
      <c r="I10999" s="26" t="str">
        <f t="shared" si="2"/>
        <v/>
      </c>
      <c r="J10999" s="86">
        <f t="shared" si="3"/>
        <v>0</v>
      </c>
      <c r="R10999" s="26"/>
    </row>
    <row r="11000" spans="1:18" ht="15.75" customHeight="1">
      <c r="A11000" s="26"/>
      <c r="B11000" s="86"/>
      <c r="D11000" s="26"/>
      <c r="F11000" s="87" t="str">
        <f t="shared" si="0"/>
        <v/>
      </c>
      <c r="H11000" s="26" t="str">
        <f t="shared" si="1"/>
        <v/>
      </c>
      <c r="I11000" s="26" t="str">
        <f t="shared" si="2"/>
        <v/>
      </c>
      <c r="J11000" s="86">
        <f t="shared" si="3"/>
        <v>0</v>
      </c>
      <c r="R11000" s="26"/>
    </row>
    <row r="11001" spans="1:18" ht="15.75" customHeight="1">
      <c r="A11001" s="26"/>
      <c r="B11001" s="86"/>
      <c r="D11001" s="26"/>
      <c r="F11001" s="87" t="str">
        <f t="shared" si="0"/>
        <v/>
      </c>
      <c r="H11001" s="26" t="str">
        <f t="shared" si="1"/>
        <v/>
      </c>
      <c r="I11001" s="26" t="str">
        <f t="shared" si="2"/>
        <v/>
      </c>
      <c r="J11001" s="86">
        <f t="shared" si="3"/>
        <v>0</v>
      </c>
      <c r="R11001" s="26"/>
    </row>
    <row r="11002" spans="1:18" ht="15.75" customHeight="1">
      <c r="A11002" s="26"/>
      <c r="B11002" s="86"/>
      <c r="D11002" s="26"/>
      <c r="F11002" s="87" t="str">
        <f t="shared" si="0"/>
        <v/>
      </c>
      <c r="H11002" s="26" t="str">
        <f t="shared" si="1"/>
        <v/>
      </c>
      <c r="I11002" s="26" t="str">
        <f t="shared" si="2"/>
        <v/>
      </c>
      <c r="J11002" s="86">
        <f t="shared" si="3"/>
        <v>0</v>
      </c>
      <c r="R11002" s="26"/>
    </row>
    <row r="11003" spans="1:18" ht="15.75" customHeight="1">
      <c r="A11003" s="26"/>
      <c r="B11003" s="86"/>
      <c r="D11003" s="26"/>
      <c r="F11003" s="87" t="str">
        <f t="shared" si="0"/>
        <v/>
      </c>
      <c r="H11003" s="26" t="str">
        <f t="shared" si="1"/>
        <v/>
      </c>
      <c r="I11003" s="26" t="str">
        <f t="shared" si="2"/>
        <v/>
      </c>
      <c r="J11003" s="86">
        <f t="shared" si="3"/>
        <v>0</v>
      </c>
      <c r="R11003" s="26"/>
    </row>
    <row r="11004" spans="1:18" ht="15.75" customHeight="1">
      <c r="A11004" s="26"/>
      <c r="B11004" s="86"/>
      <c r="D11004" s="26"/>
      <c r="F11004" s="87" t="str">
        <f t="shared" si="0"/>
        <v/>
      </c>
      <c r="H11004" s="26" t="str">
        <f t="shared" si="1"/>
        <v/>
      </c>
      <c r="I11004" s="26" t="str">
        <f t="shared" si="2"/>
        <v/>
      </c>
      <c r="J11004" s="86">
        <f t="shared" si="3"/>
        <v>0</v>
      </c>
      <c r="R11004" s="26"/>
    </row>
    <row r="11005" spans="1:18" ht="15.75" customHeight="1">
      <c r="A11005" s="26"/>
      <c r="B11005" s="86"/>
      <c r="D11005" s="26"/>
      <c r="F11005" s="87" t="str">
        <f t="shared" si="0"/>
        <v/>
      </c>
      <c r="H11005" s="26" t="str">
        <f t="shared" si="1"/>
        <v/>
      </c>
      <c r="I11005" s="26" t="str">
        <f t="shared" si="2"/>
        <v/>
      </c>
      <c r="J11005" s="86">
        <f t="shared" si="3"/>
        <v>0</v>
      </c>
      <c r="R11005" s="26"/>
    </row>
    <row r="11006" spans="1:18" ht="15.75" customHeight="1">
      <c r="A11006" s="26"/>
      <c r="B11006" s="86"/>
      <c r="D11006" s="26"/>
      <c r="F11006" s="87" t="str">
        <f t="shared" si="0"/>
        <v/>
      </c>
      <c r="H11006" s="26" t="str">
        <f t="shared" si="1"/>
        <v/>
      </c>
      <c r="I11006" s="26" t="str">
        <f t="shared" si="2"/>
        <v/>
      </c>
      <c r="J11006" s="86">
        <f t="shared" si="3"/>
        <v>0</v>
      </c>
      <c r="R11006" s="26"/>
    </row>
    <row r="11007" spans="1:18" ht="15.75" customHeight="1">
      <c r="A11007" s="26"/>
      <c r="B11007" s="86"/>
      <c r="D11007" s="26"/>
      <c r="F11007" s="87" t="str">
        <f t="shared" si="0"/>
        <v/>
      </c>
      <c r="H11007" s="26" t="str">
        <f t="shared" si="1"/>
        <v/>
      </c>
      <c r="I11007" s="26" t="str">
        <f t="shared" si="2"/>
        <v/>
      </c>
      <c r="J11007" s="86">
        <f t="shared" si="3"/>
        <v>0</v>
      </c>
      <c r="R11007" s="26"/>
    </row>
    <row r="11008" spans="1:18" ht="15.75" customHeight="1">
      <c r="A11008" s="26"/>
      <c r="B11008" s="86"/>
      <c r="D11008" s="26"/>
      <c r="F11008" s="87" t="str">
        <f t="shared" si="0"/>
        <v/>
      </c>
      <c r="H11008" s="26" t="str">
        <f t="shared" si="1"/>
        <v/>
      </c>
      <c r="I11008" s="26" t="str">
        <f t="shared" si="2"/>
        <v/>
      </c>
      <c r="J11008" s="86">
        <f t="shared" si="3"/>
        <v>0</v>
      </c>
      <c r="R11008" s="26"/>
    </row>
    <row r="11009" spans="1:18" ht="15.75" customHeight="1">
      <c r="A11009" s="26"/>
      <c r="B11009" s="86"/>
      <c r="D11009" s="26"/>
      <c r="F11009" s="87" t="str">
        <f t="shared" si="0"/>
        <v/>
      </c>
      <c r="H11009" s="26" t="str">
        <f t="shared" si="1"/>
        <v/>
      </c>
      <c r="I11009" s="26" t="str">
        <f t="shared" si="2"/>
        <v/>
      </c>
      <c r="J11009" s="86">
        <f t="shared" si="3"/>
        <v>0</v>
      </c>
      <c r="R11009" s="26"/>
    </row>
    <row r="11010" spans="1:18" ht="15.75" customHeight="1">
      <c r="A11010" s="26"/>
      <c r="B11010" s="86"/>
      <c r="D11010" s="26"/>
      <c r="F11010" s="87" t="str">
        <f t="shared" si="0"/>
        <v/>
      </c>
      <c r="H11010" s="26" t="str">
        <f t="shared" si="1"/>
        <v/>
      </c>
      <c r="I11010" s="26" t="str">
        <f t="shared" si="2"/>
        <v/>
      </c>
      <c r="J11010" s="86">
        <f t="shared" si="3"/>
        <v>0</v>
      </c>
      <c r="R11010" s="26"/>
    </row>
    <row r="11011" spans="1:18" ht="15.75" customHeight="1">
      <c r="A11011" s="26"/>
      <c r="B11011" s="86"/>
      <c r="D11011" s="26"/>
      <c r="F11011" s="87" t="str">
        <f t="shared" si="0"/>
        <v/>
      </c>
      <c r="H11011" s="26" t="str">
        <f t="shared" si="1"/>
        <v/>
      </c>
      <c r="I11011" s="26" t="str">
        <f t="shared" si="2"/>
        <v/>
      </c>
      <c r="J11011" s="86">
        <f t="shared" si="3"/>
        <v>0</v>
      </c>
      <c r="R11011" s="26"/>
    </row>
    <row r="11012" spans="1:18" ht="15.75" customHeight="1">
      <c r="A11012" s="26"/>
      <c r="B11012" s="86"/>
      <c r="D11012" s="26"/>
      <c r="F11012" s="87" t="str">
        <f t="shared" si="0"/>
        <v/>
      </c>
      <c r="H11012" s="26" t="str">
        <f t="shared" si="1"/>
        <v/>
      </c>
      <c r="I11012" s="26" t="str">
        <f t="shared" si="2"/>
        <v/>
      </c>
      <c r="J11012" s="86">
        <f t="shared" si="3"/>
        <v>0</v>
      </c>
      <c r="R11012" s="26"/>
    </row>
    <row r="11013" spans="1:18" ht="15.75" customHeight="1">
      <c r="A11013" s="26"/>
      <c r="B11013" s="86"/>
      <c r="D11013" s="26"/>
      <c r="F11013" s="87" t="str">
        <f t="shared" si="0"/>
        <v/>
      </c>
      <c r="H11013" s="26" t="str">
        <f t="shared" si="1"/>
        <v/>
      </c>
      <c r="I11013" s="26" t="str">
        <f t="shared" si="2"/>
        <v/>
      </c>
      <c r="J11013" s="86">
        <f t="shared" si="3"/>
        <v>0</v>
      </c>
      <c r="R11013" s="26"/>
    </row>
    <row r="11014" spans="1:18" ht="15.75" customHeight="1">
      <c r="A11014" s="26"/>
      <c r="B11014" s="86"/>
      <c r="D11014" s="26"/>
      <c r="F11014" s="87" t="str">
        <f t="shared" si="0"/>
        <v/>
      </c>
      <c r="H11014" s="26" t="str">
        <f t="shared" si="1"/>
        <v/>
      </c>
      <c r="I11014" s="26" t="str">
        <f t="shared" si="2"/>
        <v/>
      </c>
      <c r="J11014" s="86">
        <f t="shared" si="3"/>
        <v>0</v>
      </c>
      <c r="R11014" s="26"/>
    </row>
    <row r="11015" spans="1:18" ht="15.75" customHeight="1">
      <c r="A11015" s="26"/>
      <c r="B11015" s="86"/>
      <c r="D11015" s="26"/>
      <c r="F11015" s="87" t="str">
        <f t="shared" si="0"/>
        <v/>
      </c>
      <c r="H11015" s="26" t="str">
        <f t="shared" si="1"/>
        <v/>
      </c>
      <c r="I11015" s="26" t="str">
        <f t="shared" si="2"/>
        <v/>
      </c>
      <c r="J11015" s="86">
        <f t="shared" si="3"/>
        <v>0</v>
      </c>
      <c r="R11015" s="26"/>
    </row>
    <row r="11016" spans="1:18" ht="15.75" customHeight="1">
      <c r="A11016" s="26"/>
      <c r="B11016" s="86"/>
      <c r="D11016" s="26"/>
      <c r="F11016" s="87" t="str">
        <f t="shared" si="0"/>
        <v/>
      </c>
      <c r="H11016" s="26" t="str">
        <f t="shared" si="1"/>
        <v/>
      </c>
      <c r="I11016" s="26" t="str">
        <f t="shared" si="2"/>
        <v/>
      </c>
      <c r="J11016" s="86">
        <f t="shared" si="3"/>
        <v>0</v>
      </c>
      <c r="R11016" s="26"/>
    </row>
    <row r="11017" spans="1:18" ht="15.75" customHeight="1">
      <c r="A11017" s="26"/>
      <c r="B11017" s="86"/>
      <c r="D11017" s="26"/>
      <c r="F11017" s="87" t="str">
        <f t="shared" si="0"/>
        <v/>
      </c>
      <c r="H11017" s="26" t="str">
        <f t="shared" si="1"/>
        <v/>
      </c>
      <c r="I11017" s="26" t="str">
        <f t="shared" si="2"/>
        <v/>
      </c>
      <c r="J11017" s="86">
        <f t="shared" si="3"/>
        <v>0</v>
      </c>
      <c r="R11017" s="26"/>
    </row>
    <row r="11018" spans="1:18" ht="15.75" customHeight="1">
      <c r="A11018" s="26"/>
      <c r="B11018" s="86"/>
      <c r="D11018" s="26"/>
      <c r="F11018" s="87" t="str">
        <f t="shared" si="0"/>
        <v/>
      </c>
      <c r="H11018" s="26" t="str">
        <f t="shared" si="1"/>
        <v/>
      </c>
      <c r="I11018" s="26" t="str">
        <f t="shared" si="2"/>
        <v/>
      </c>
      <c r="J11018" s="86">
        <f t="shared" si="3"/>
        <v>0</v>
      </c>
      <c r="R11018" s="26"/>
    </row>
    <row r="11019" spans="1:18" ht="15.75" customHeight="1">
      <c r="A11019" s="26"/>
      <c r="B11019" s="86"/>
      <c r="D11019" s="26"/>
      <c r="F11019" s="87" t="str">
        <f t="shared" si="0"/>
        <v/>
      </c>
      <c r="H11019" s="26" t="str">
        <f t="shared" si="1"/>
        <v/>
      </c>
      <c r="I11019" s="26" t="str">
        <f t="shared" si="2"/>
        <v/>
      </c>
      <c r="J11019" s="86">
        <f t="shared" si="3"/>
        <v>0</v>
      </c>
      <c r="R11019" s="26"/>
    </row>
    <row r="11020" spans="1:18" ht="15.75" customHeight="1">
      <c r="A11020" s="26"/>
      <c r="B11020" s="86"/>
      <c r="D11020" s="26"/>
      <c r="F11020" s="87" t="str">
        <f t="shared" si="0"/>
        <v/>
      </c>
      <c r="H11020" s="26" t="str">
        <f t="shared" si="1"/>
        <v/>
      </c>
      <c r="I11020" s="26" t="str">
        <f t="shared" si="2"/>
        <v/>
      </c>
      <c r="J11020" s="86">
        <f t="shared" si="3"/>
        <v>0</v>
      </c>
      <c r="R11020" s="26"/>
    </row>
    <row r="11021" spans="1:18" ht="15.75" customHeight="1">
      <c r="A11021" s="26"/>
      <c r="B11021" s="86"/>
      <c r="D11021" s="26"/>
      <c r="F11021" s="87" t="str">
        <f t="shared" si="0"/>
        <v/>
      </c>
      <c r="H11021" s="26" t="str">
        <f t="shared" si="1"/>
        <v/>
      </c>
      <c r="I11021" s="26" t="str">
        <f t="shared" si="2"/>
        <v/>
      </c>
      <c r="J11021" s="86">
        <f t="shared" si="3"/>
        <v>0</v>
      </c>
      <c r="R11021" s="26"/>
    </row>
    <row r="11022" spans="1:18" ht="15.75" customHeight="1">
      <c r="A11022" s="26"/>
      <c r="B11022" s="86"/>
      <c r="D11022" s="26"/>
      <c r="F11022" s="87" t="str">
        <f t="shared" si="0"/>
        <v/>
      </c>
      <c r="H11022" s="26" t="str">
        <f t="shared" si="1"/>
        <v/>
      </c>
      <c r="I11022" s="26" t="str">
        <f t="shared" si="2"/>
        <v/>
      </c>
      <c r="J11022" s="86">
        <f t="shared" si="3"/>
        <v>0</v>
      </c>
      <c r="R11022" s="26"/>
    </row>
    <row r="11023" spans="1:18" ht="15.75" customHeight="1">
      <c r="A11023" s="26"/>
      <c r="B11023" s="86"/>
      <c r="D11023" s="26"/>
      <c r="F11023" s="87" t="str">
        <f t="shared" si="0"/>
        <v/>
      </c>
      <c r="H11023" s="26" t="str">
        <f t="shared" si="1"/>
        <v/>
      </c>
      <c r="I11023" s="26" t="str">
        <f t="shared" si="2"/>
        <v/>
      </c>
      <c r="J11023" s="86">
        <f t="shared" si="3"/>
        <v>0</v>
      </c>
      <c r="R11023" s="26"/>
    </row>
    <row r="11024" spans="1:18" ht="15.75" customHeight="1">
      <c r="A11024" s="26"/>
      <c r="B11024" s="86"/>
      <c r="D11024" s="26"/>
      <c r="F11024" s="87" t="str">
        <f t="shared" si="0"/>
        <v/>
      </c>
      <c r="H11024" s="26" t="str">
        <f t="shared" si="1"/>
        <v/>
      </c>
      <c r="I11024" s="26" t="str">
        <f t="shared" si="2"/>
        <v/>
      </c>
      <c r="J11024" s="86">
        <f t="shared" si="3"/>
        <v>0</v>
      </c>
      <c r="R11024" s="26"/>
    </row>
    <row r="11025" spans="1:18" ht="15.75" customHeight="1">
      <c r="A11025" s="26"/>
      <c r="B11025" s="86"/>
      <c r="D11025" s="26"/>
      <c r="F11025" s="87" t="str">
        <f t="shared" si="0"/>
        <v/>
      </c>
      <c r="H11025" s="26" t="str">
        <f t="shared" si="1"/>
        <v/>
      </c>
      <c r="I11025" s="26" t="str">
        <f t="shared" si="2"/>
        <v/>
      </c>
      <c r="J11025" s="86">
        <f t="shared" si="3"/>
        <v>0</v>
      </c>
      <c r="R11025" s="26"/>
    </row>
    <row r="11026" spans="1:18" ht="15.75" customHeight="1">
      <c r="A11026" s="26"/>
      <c r="B11026" s="86"/>
      <c r="D11026" s="26"/>
      <c r="F11026" s="87" t="str">
        <f t="shared" si="0"/>
        <v/>
      </c>
      <c r="H11026" s="26" t="str">
        <f t="shared" si="1"/>
        <v/>
      </c>
      <c r="I11026" s="26" t="str">
        <f t="shared" si="2"/>
        <v/>
      </c>
      <c r="J11026" s="86">
        <f t="shared" si="3"/>
        <v>0</v>
      </c>
      <c r="R11026" s="26"/>
    </row>
    <row r="11027" spans="1:18" ht="15.75" customHeight="1">
      <c r="A11027" s="26"/>
      <c r="B11027" s="86"/>
      <c r="D11027" s="26"/>
      <c r="F11027" s="87" t="str">
        <f t="shared" si="0"/>
        <v/>
      </c>
      <c r="H11027" s="26" t="str">
        <f t="shared" si="1"/>
        <v/>
      </c>
      <c r="I11027" s="26" t="str">
        <f t="shared" si="2"/>
        <v/>
      </c>
      <c r="J11027" s="86">
        <f t="shared" si="3"/>
        <v>0</v>
      </c>
      <c r="R11027" s="26"/>
    </row>
    <row r="11028" spans="1:18" ht="15.75" customHeight="1">
      <c r="A11028" s="26"/>
      <c r="B11028" s="86"/>
      <c r="D11028" s="26"/>
      <c r="F11028" s="87" t="str">
        <f t="shared" si="0"/>
        <v/>
      </c>
      <c r="H11028" s="26" t="str">
        <f t="shared" si="1"/>
        <v/>
      </c>
      <c r="I11028" s="26" t="str">
        <f t="shared" si="2"/>
        <v/>
      </c>
      <c r="J11028" s="86">
        <f t="shared" si="3"/>
        <v>0</v>
      </c>
      <c r="R11028" s="26"/>
    </row>
    <row r="11029" spans="1:18" ht="15.75" customHeight="1">
      <c r="A11029" s="26"/>
      <c r="B11029" s="86"/>
      <c r="D11029" s="26"/>
      <c r="F11029" s="87" t="str">
        <f t="shared" si="0"/>
        <v/>
      </c>
      <c r="H11029" s="26" t="str">
        <f t="shared" si="1"/>
        <v/>
      </c>
      <c r="I11029" s="26" t="str">
        <f t="shared" si="2"/>
        <v/>
      </c>
      <c r="J11029" s="86">
        <f t="shared" si="3"/>
        <v>0</v>
      </c>
      <c r="R11029" s="26"/>
    </row>
    <row r="11030" spans="1:18" ht="15.75" customHeight="1">
      <c r="A11030" s="26"/>
      <c r="B11030" s="86"/>
      <c r="D11030" s="26"/>
      <c r="F11030" s="87" t="str">
        <f t="shared" si="0"/>
        <v/>
      </c>
      <c r="H11030" s="26" t="str">
        <f t="shared" si="1"/>
        <v/>
      </c>
      <c r="I11030" s="26" t="str">
        <f t="shared" si="2"/>
        <v/>
      </c>
      <c r="J11030" s="86">
        <f t="shared" si="3"/>
        <v>0</v>
      </c>
      <c r="R11030" s="26"/>
    </row>
    <row r="11031" spans="1:18" ht="15.75" customHeight="1">
      <c r="A11031" s="26"/>
      <c r="B11031" s="86"/>
      <c r="D11031" s="26"/>
      <c r="F11031" s="87" t="str">
        <f t="shared" si="0"/>
        <v/>
      </c>
      <c r="H11031" s="26" t="str">
        <f t="shared" si="1"/>
        <v/>
      </c>
      <c r="I11031" s="26" t="str">
        <f t="shared" si="2"/>
        <v/>
      </c>
      <c r="J11031" s="86">
        <f t="shared" si="3"/>
        <v>0</v>
      </c>
      <c r="R11031" s="26"/>
    </row>
    <row r="11032" spans="1:18" ht="15.75" customHeight="1">
      <c r="A11032" s="26"/>
      <c r="B11032" s="86"/>
      <c r="D11032" s="26"/>
      <c r="F11032" s="87" t="str">
        <f t="shared" si="0"/>
        <v/>
      </c>
      <c r="H11032" s="26" t="str">
        <f t="shared" si="1"/>
        <v/>
      </c>
      <c r="I11032" s="26" t="str">
        <f t="shared" si="2"/>
        <v/>
      </c>
      <c r="J11032" s="86">
        <f t="shared" si="3"/>
        <v>0</v>
      </c>
      <c r="R11032" s="26"/>
    </row>
    <row r="11033" spans="1:18" ht="15.75" customHeight="1">
      <c r="A11033" s="26"/>
      <c r="B11033" s="86"/>
      <c r="D11033" s="26"/>
      <c r="F11033" s="87" t="str">
        <f t="shared" si="0"/>
        <v/>
      </c>
      <c r="H11033" s="26" t="str">
        <f t="shared" si="1"/>
        <v/>
      </c>
      <c r="I11033" s="26" t="str">
        <f t="shared" si="2"/>
        <v/>
      </c>
      <c r="J11033" s="86">
        <f t="shared" si="3"/>
        <v>0</v>
      </c>
      <c r="R11033" s="26"/>
    </row>
    <row r="11034" spans="1:18" ht="15.75" customHeight="1">
      <c r="A11034" s="26"/>
      <c r="B11034" s="86"/>
      <c r="D11034" s="26"/>
      <c r="F11034" s="87" t="str">
        <f t="shared" si="0"/>
        <v/>
      </c>
      <c r="H11034" s="26" t="str">
        <f t="shared" si="1"/>
        <v/>
      </c>
      <c r="I11034" s="26" t="str">
        <f t="shared" si="2"/>
        <v/>
      </c>
      <c r="J11034" s="86">
        <f t="shared" si="3"/>
        <v>0</v>
      </c>
      <c r="R11034" s="26"/>
    </row>
    <row r="11035" spans="1:18" ht="15.75" customHeight="1">
      <c r="A11035" s="26"/>
      <c r="B11035" s="86"/>
      <c r="D11035" s="26"/>
      <c r="F11035" s="87" t="str">
        <f t="shared" si="0"/>
        <v/>
      </c>
      <c r="H11035" s="26" t="str">
        <f t="shared" si="1"/>
        <v/>
      </c>
      <c r="I11035" s="26" t="str">
        <f t="shared" si="2"/>
        <v/>
      </c>
      <c r="J11035" s="86">
        <f t="shared" si="3"/>
        <v>0</v>
      </c>
      <c r="R11035" s="26"/>
    </row>
    <row r="11036" spans="1:18" ht="15.75" customHeight="1">
      <c r="A11036" s="26"/>
      <c r="B11036" s="86"/>
      <c r="D11036" s="26"/>
      <c r="F11036" s="87" t="str">
        <f t="shared" si="0"/>
        <v/>
      </c>
      <c r="H11036" s="26" t="str">
        <f t="shared" si="1"/>
        <v/>
      </c>
      <c r="I11036" s="26" t="str">
        <f t="shared" si="2"/>
        <v/>
      </c>
      <c r="J11036" s="86">
        <f t="shared" si="3"/>
        <v>0</v>
      </c>
      <c r="R11036" s="26"/>
    </row>
    <row r="11037" spans="1:18" ht="15.75" customHeight="1">
      <c r="A11037" s="26"/>
      <c r="B11037" s="86"/>
      <c r="D11037" s="26"/>
      <c r="F11037" s="87" t="str">
        <f t="shared" si="0"/>
        <v/>
      </c>
      <c r="H11037" s="26" t="str">
        <f t="shared" si="1"/>
        <v/>
      </c>
      <c r="I11037" s="26" t="str">
        <f t="shared" si="2"/>
        <v/>
      </c>
      <c r="J11037" s="86">
        <f t="shared" si="3"/>
        <v>0</v>
      </c>
      <c r="R11037" s="26"/>
    </row>
    <row r="11038" spans="1:18" ht="15.75" customHeight="1">
      <c r="A11038" s="26"/>
      <c r="B11038" s="86"/>
      <c r="D11038" s="26"/>
      <c r="F11038" s="87" t="str">
        <f t="shared" si="0"/>
        <v/>
      </c>
      <c r="H11038" s="26" t="str">
        <f t="shared" si="1"/>
        <v/>
      </c>
      <c r="I11038" s="26" t="str">
        <f t="shared" si="2"/>
        <v/>
      </c>
      <c r="J11038" s="86">
        <f t="shared" si="3"/>
        <v>0</v>
      </c>
      <c r="R11038" s="26"/>
    </row>
    <row r="11039" spans="1:18" ht="15.75" customHeight="1">
      <c r="A11039" s="26"/>
      <c r="B11039" s="86"/>
      <c r="D11039" s="26"/>
      <c r="F11039" s="87" t="str">
        <f t="shared" si="0"/>
        <v/>
      </c>
      <c r="H11039" s="26" t="str">
        <f t="shared" si="1"/>
        <v/>
      </c>
      <c r="I11039" s="26" t="str">
        <f t="shared" si="2"/>
        <v/>
      </c>
      <c r="J11039" s="86">
        <f t="shared" si="3"/>
        <v>0</v>
      </c>
      <c r="R11039" s="26"/>
    </row>
    <row r="11040" spans="1:18" ht="15.75" customHeight="1">
      <c r="A11040" s="26"/>
      <c r="B11040" s="86"/>
      <c r="D11040" s="26"/>
      <c r="F11040" s="87" t="str">
        <f t="shared" si="0"/>
        <v/>
      </c>
      <c r="H11040" s="26" t="str">
        <f t="shared" si="1"/>
        <v/>
      </c>
      <c r="I11040" s="26" t="str">
        <f t="shared" si="2"/>
        <v/>
      </c>
      <c r="J11040" s="86">
        <f t="shared" si="3"/>
        <v>0</v>
      </c>
      <c r="R11040" s="26"/>
    </row>
    <row r="11041" spans="1:18" ht="15.75" customHeight="1">
      <c r="A11041" s="26"/>
      <c r="B11041" s="86"/>
      <c r="D11041" s="26"/>
      <c r="F11041" s="87" t="str">
        <f t="shared" si="0"/>
        <v/>
      </c>
      <c r="H11041" s="26" t="str">
        <f t="shared" si="1"/>
        <v/>
      </c>
      <c r="I11041" s="26" t="str">
        <f t="shared" si="2"/>
        <v/>
      </c>
      <c r="J11041" s="86">
        <f t="shared" si="3"/>
        <v>0</v>
      </c>
      <c r="R11041" s="26"/>
    </row>
    <row r="11042" spans="1:18" ht="15.75" customHeight="1">
      <c r="A11042" s="26"/>
      <c r="B11042" s="86"/>
      <c r="D11042" s="26"/>
      <c r="F11042" s="87" t="str">
        <f t="shared" si="0"/>
        <v/>
      </c>
      <c r="H11042" s="26" t="str">
        <f t="shared" si="1"/>
        <v/>
      </c>
      <c r="I11042" s="26" t="str">
        <f t="shared" si="2"/>
        <v/>
      </c>
      <c r="J11042" s="86">
        <f t="shared" si="3"/>
        <v>0</v>
      </c>
      <c r="R11042" s="26"/>
    </row>
    <row r="11043" spans="1:18" ht="15.75" customHeight="1">
      <c r="A11043" s="26"/>
      <c r="B11043" s="86"/>
      <c r="D11043" s="26"/>
      <c r="F11043" s="87" t="str">
        <f t="shared" si="0"/>
        <v/>
      </c>
      <c r="H11043" s="26" t="str">
        <f t="shared" si="1"/>
        <v/>
      </c>
      <c r="I11043" s="26" t="str">
        <f t="shared" si="2"/>
        <v/>
      </c>
      <c r="J11043" s="86">
        <f t="shared" si="3"/>
        <v>0</v>
      </c>
      <c r="R11043" s="26"/>
    </row>
    <row r="11044" spans="1:18" ht="15.75" customHeight="1">
      <c r="A11044" s="26"/>
      <c r="B11044" s="86"/>
      <c r="D11044" s="26"/>
      <c r="F11044" s="87" t="str">
        <f t="shared" si="0"/>
        <v/>
      </c>
      <c r="H11044" s="26" t="str">
        <f t="shared" si="1"/>
        <v/>
      </c>
      <c r="I11044" s="26" t="str">
        <f t="shared" si="2"/>
        <v/>
      </c>
      <c r="J11044" s="86">
        <f t="shared" si="3"/>
        <v>0</v>
      </c>
      <c r="R11044" s="26"/>
    </row>
    <row r="11045" spans="1:18" ht="15.75" customHeight="1">
      <c r="A11045" s="26"/>
      <c r="B11045" s="86"/>
      <c r="D11045" s="26"/>
      <c r="F11045" s="87" t="str">
        <f t="shared" si="0"/>
        <v/>
      </c>
      <c r="H11045" s="26" t="str">
        <f t="shared" si="1"/>
        <v/>
      </c>
      <c r="I11045" s="26" t="str">
        <f t="shared" si="2"/>
        <v/>
      </c>
      <c r="J11045" s="86">
        <f t="shared" si="3"/>
        <v>0</v>
      </c>
      <c r="R11045" s="26"/>
    </row>
    <row r="11046" spans="1:18" ht="15.75" customHeight="1">
      <c r="A11046" s="26"/>
      <c r="B11046" s="86"/>
      <c r="D11046" s="26"/>
      <c r="F11046" s="87" t="str">
        <f t="shared" si="0"/>
        <v/>
      </c>
      <c r="H11046" s="26" t="str">
        <f t="shared" si="1"/>
        <v/>
      </c>
      <c r="I11046" s="26" t="str">
        <f t="shared" si="2"/>
        <v/>
      </c>
      <c r="J11046" s="86">
        <f t="shared" si="3"/>
        <v>0</v>
      </c>
      <c r="R11046" s="26"/>
    </row>
    <row r="11047" spans="1:18" ht="15.75" customHeight="1">
      <c r="A11047" s="26"/>
      <c r="B11047" s="86"/>
      <c r="D11047" s="26"/>
      <c r="F11047" s="87" t="str">
        <f t="shared" si="0"/>
        <v/>
      </c>
      <c r="H11047" s="26" t="str">
        <f t="shared" si="1"/>
        <v/>
      </c>
      <c r="I11047" s="26" t="str">
        <f t="shared" si="2"/>
        <v/>
      </c>
      <c r="J11047" s="86">
        <f t="shared" si="3"/>
        <v>0</v>
      </c>
      <c r="R11047" s="26"/>
    </row>
    <row r="11048" spans="1:18" ht="15.75" customHeight="1">
      <c r="A11048" s="26"/>
      <c r="B11048" s="86"/>
      <c r="D11048" s="26"/>
      <c r="F11048" s="87" t="str">
        <f t="shared" si="0"/>
        <v/>
      </c>
      <c r="H11048" s="26" t="str">
        <f t="shared" si="1"/>
        <v/>
      </c>
      <c r="I11048" s="26" t="str">
        <f t="shared" si="2"/>
        <v/>
      </c>
      <c r="J11048" s="86">
        <f t="shared" si="3"/>
        <v>0</v>
      </c>
      <c r="R11048" s="26"/>
    </row>
    <row r="11049" spans="1:18" ht="15.75" customHeight="1">
      <c r="A11049" s="26"/>
      <c r="B11049" s="86"/>
      <c r="D11049" s="26"/>
      <c r="F11049" s="87" t="str">
        <f t="shared" si="0"/>
        <v/>
      </c>
      <c r="H11049" s="26" t="str">
        <f t="shared" si="1"/>
        <v/>
      </c>
      <c r="I11049" s="26" t="str">
        <f t="shared" si="2"/>
        <v/>
      </c>
      <c r="J11049" s="86">
        <f t="shared" si="3"/>
        <v>0</v>
      </c>
      <c r="R11049" s="26"/>
    </row>
    <row r="11050" spans="1:18" ht="15.75" customHeight="1">
      <c r="A11050" s="26"/>
      <c r="B11050" s="86"/>
      <c r="D11050" s="26"/>
      <c r="F11050" s="87" t="str">
        <f t="shared" si="0"/>
        <v/>
      </c>
      <c r="H11050" s="26" t="str">
        <f t="shared" si="1"/>
        <v/>
      </c>
      <c r="I11050" s="26" t="str">
        <f t="shared" si="2"/>
        <v/>
      </c>
      <c r="J11050" s="86">
        <f t="shared" si="3"/>
        <v>0</v>
      </c>
      <c r="R11050" s="26"/>
    </row>
    <row r="11051" spans="1:18" ht="15.75" customHeight="1">
      <c r="A11051" s="26"/>
      <c r="B11051" s="86"/>
      <c r="D11051" s="26"/>
      <c r="F11051" s="87" t="str">
        <f t="shared" si="0"/>
        <v/>
      </c>
      <c r="H11051" s="26" t="str">
        <f t="shared" si="1"/>
        <v/>
      </c>
      <c r="I11051" s="26" t="str">
        <f t="shared" si="2"/>
        <v/>
      </c>
      <c r="J11051" s="86">
        <f t="shared" si="3"/>
        <v>0</v>
      </c>
      <c r="R11051" s="26"/>
    </row>
    <row r="11052" spans="1:18" ht="15.75" customHeight="1">
      <c r="A11052" s="26"/>
      <c r="B11052" s="86"/>
      <c r="D11052" s="26"/>
      <c r="F11052" s="87" t="str">
        <f t="shared" si="0"/>
        <v/>
      </c>
      <c r="H11052" s="26" t="str">
        <f t="shared" si="1"/>
        <v/>
      </c>
      <c r="I11052" s="26" t="str">
        <f t="shared" si="2"/>
        <v/>
      </c>
      <c r="J11052" s="86">
        <f t="shared" si="3"/>
        <v>0</v>
      </c>
      <c r="R11052" s="26"/>
    </row>
    <row r="11053" spans="1:18" ht="15.75" customHeight="1">
      <c r="A11053" s="26"/>
      <c r="B11053" s="86"/>
      <c r="D11053" s="26"/>
      <c r="F11053" s="87" t="str">
        <f t="shared" si="0"/>
        <v/>
      </c>
      <c r="H11053" s="26" t="str">
        <f t="shared" si="1"/>
        <v/>
      </c>
      <c r="I11053" s="26" t="str">
        <f t="shared" si="2"/>
        <v/>
      </c>
      <c r="J11053" s="86">
        <f t="shared" si="3"/>
        <v>0</v>
      </c>
      <c r="R11053" s="26"/>
    </row>
    <row r="11054" spans="1:18" ht="15.75" customHeight="1">
      <c r="A11054" s="26"/>
      <c r="B11054" s="86"/>
      <c r="D11054" s="26"/>
      <c r="F11054" s="87" t="str">
        <f t="shared" si="0"/>
        <v/>
      </c>
      <c r="H11054" s="26" t="str">
        <f t="shared" si="1"/>
        <v/>
      </c>
      <c r="I11054" s="26" t="str">
        <f t="shared" si="2"/>
        <v/>
      </c>
      <c r="J11054" s="86">
        <f t="shared" si="3"/>
        <v>0</v>
      </c>
      <c r="R11054" s="26"/>
    </row>
    <row r="11055" spans="1:18" ht="15.75" customHeight="1">
      <c r="A11055" s="26"/>
      <c r="B11055" s="86"/>
      <c r="D11055" s="26"/>
      <c r="F11055" s="87" t="str">
        <f t="shared" si="0"/>
        <v/>
      </c>
      <c r="H11055" s="26" t="str">
        <f t="shared" si="1"/>
        <v/>
      </c>
      <c r="I11055" s="26" t="str">
        <f t="shared" si="2"/>
        <v/>
      </c>
      <c r="J11055" s="86">
        <f t="shared" si="3"/>
        <v>0</v>
      </c>
      <c r="R11055" s="26"/>
    </row>
    <row r="11056" spans="1:18" ht="15.75" customHeight="1">
      <c r="A11056" s="26"/>
      <c r="B11056" s="86"/>
      <c r="D11056" s="26"/>
      <c r="F11056" s="87" t="str">
        <f t="shared" si="0"/>
        <v/>
      </c>
      <c r="H11056" s="26" t="str">
        <f t="shared" si="1"/>
        <v/>
      </c>
      <c r="I11056" s="26" t="str">
        <f t="shared" si="2"/>
        <v/>
      </c>
      <c r="J11056" s="86">
        <f t="shared" si="3"/>
        <v>0</v>
      </c>
      <c r="R11056" s="26"/>
    </row>
    <row r="11057" spans="1:18" ht="15.75" customHeight="1">
      <c r="A11057" s="26"/>
      <c r="B11057" s="86"/>
      <c r="D11057" s="26"/>
      <c r="F11057" s="87" t="str">
        <f t="shared" si="0"/>
        <v/>
      </c>
      <c r="H11057" s="26" t="str">
        <f t="shared" si="1"/>
        <v/>
      </c>
      <c r="I11057" s="26" t="str">
        <f t="shared" si="2"/>
        <v/>
      </c>
      <c r="J11057" s="86">
        <f t="shared" si="3"/>
        <v>0</v>
      </c>
      <c r="R11057" s="26"/>
    </row>
    <row r="11058" spans="1:18" ht="15.75" customHeight="1">
      <c r="A11058" s="26"/>
      <c r="B11058" s="86"/>
      <c r="D11058" s="26"/>
      <c r="F11058" s="87" t="str">
        <f t="shared" si="0"/>
        <v/>
      </c>
      <c r="H11058" s="26" t="str">
        <f t="shared" si="1"/>
        <v/>
      </c>
      <c r="I11058" s="26" t="str">
        <f t="shared" si="2"/>
        <v/>
      </c>
      <c r="J11058" s="86">
        <f t="shared" si="3"/>
        <v>0</v>
      </c>
      <c r="R11058" s="26"/>
    </row>
    <row r="11059" spans="1:18" ht="15.75" customHeight="1">
      <c r="A11059" s="26"/>
      <c r="B11059" s="86"/>
      <c r="D11059" s="26"/>
      <c r="F11059" s="87" t="str">
        <f t="shared" si="0"/>
        <v/>
      </c>
      <c r="H11059" s="26" t="str">
        <f t="shared" si="1"/>
        <v/>
      </c>
      <c r="I11059" s="26" t="str">
        <f t="shared" si="2"/>
        <v/>
      </c>
      <c r="J11059" s="86">
        <f t="shared" si="3"/>
        <v>0</v>
      </c>
      <c r="R11059" s="26"/>
    </row>
    <row r="11060" spans="1:18" ht="15.75" customHeight="1">
      <c r="A11060" s="26"/>
      <c r="B11060" s="86"/>
      <c r="D11060" s="26"/>
      <c r="F11060" s="87" t="str">
        <f t="shared" si="0"/>
        <v/>
      </c>
      <c r="H11060" s="26" t="str">
        <f t="shared" si="1"/>
        <v/>
      </c>
      <c r="I11060" s="26" t="str">
        <f t="shared" si="2"/>
        <v/>
      </c>
      <c r="J11060" s="86">
        <f t="shared" si="3"/>
        <v>0</v>
      </c>
      <c r="R11060" s="26"/>
    </row>
    <row r="11061" spans="1:18" ht="15.75" customHeight="1">
      <c r="A11061" s="26"/>
      <c r="B11061" s="86"/>
      <c r="D11061" s="26"/>
      <c r="F11061" s="87" t="str">
        <f t="shared" si="0"/>
        <v/>
      </c>
      <c r="H11061" s="26" t="str">
        <f t="shared" si="1"/>
        <v/>
      </c>
      <c r="I11061" s="26" t="str">
        <f t="shared" si="2"/>
        <v/>
      </c>
      <c r="J11061" s="86">
        <f t="shared" si="3"/>
        <v>0</v>
      </c>
      <c r="R11061" s="26"/>
    </row>
    <row r="11062" spans="1:18" ht="15.75" customHeight="1">
      <c r="A11062" s="26"/>
      <c r="B11062" s="86"/>
      <c r="D11062" s="26"/>
      <c r="F11062" s="87" t="str">
        <f t="shared" si="0"/>
        <v/>
      </c>
      <c r="H11062" s="26" t="str">
        <f t="shared" si="1"/>
        <v/>
      </c>
      <c r="I11062" s="26" t="str">
        <f t="shared" si="2"/>
        <v/>
      </c>
      <c r="J11062" s="86">
        <f t="shared" si="3"/>
        <v>0</v>
      </c>
      <c r="R11062" s="26"/>
    </row>
    <row r="11063" spans="1:18" ht="15.75" customHeight="1">
      <c r="A11063" s="26"/>
      <c r="B11063" s="86"/>
      <c r="D11063" s="26"/>
      <c r="F11063" s="87" t="str">
        <f t="shared" si="0"/>
        <v/>
      </c>
      <c r="H11063" s="26" t="str">
        <f t="shared" si="1"/>
        <v/>
      </c>
      <c r="I11063" s="26" t="str">
        <f t="shared" si="2"/>
        <v/>
      </c>
      <c r="J11063" s="86">
        <f t="shared" si="3"/>
        <v>0</v>
      </c>
      <c r="R11063" s="26"/>
    </row>
    <row r="11064" spans="1:18" ht="15.75" customHeight="1">
      <c r="A11064" s="26"/>
      <c r="B11064" s="86"/>
      <c r="D11064" s="26"/>
      <c r="F11064" s="87" t="str">
        <f t="shared" si="0"/>
        <v/>
      </c>
      <c r="H11064" s="26" t="str">
        <f t="shared" si="1"/>
        <v/>
      </c>
      <c r="I11064" s="26" t="str">
        <f t="shared" si="2"/>
        <v/>
      </c>
      <c r="J11064" s="86">
        <f t="shared" si="3"/>
        <v>0</v>
      </c>
      <c r="R11064" s="26"/>
    </row>
    <row r="11065" spans="1:18" ht="15.75" customHeight="1">
      <c r="A11065" s="26"/>
      <c r="B11065" s="86"/>
      <c r="D11065" s="26"/>
      <c r="F11065" s="87" t="str">
        <f t="shared" si="0"/>
        <v/>
      </c>
      <c r="H11065" s="26" t="str">
        <f t="shared" si="1"/>
        <v/>
      </c>
      <c r="I11065" s="26" t="str">
        <f t="shared" si="2"/>
        <v/>
      </c>
      <c r="J11065" s="86">
        <f t="shared" si="3"/>
        <v>0</v>
      </c>
      <c r="R11065" s="26"/>
    </row>
    <row r="11066" spans="1:18" ht="15.75" customHeight="1">
      <c r="A11066" s="26"/>
      <c r="B11066" s="86"/>
      <c r="D11066" s="26"/>
      <c r="F11066" s="87" t="str">
        <f t="shared" si="0"/>
        <v/>
      </c>
      <c r="H11066" s="26" t="str">
        <f t="shared" si="1"/>
        <v/>
      </c>
      <c r="I11066" s="26" t="str">
        <f t="shared" si="2"/>
        <v/>
      </c>
      <c r="J11066" s="86">
        <f t="shared" si="3"/>
        <v>0</v>
      </c>
      <c r="R11066" s="26"/>
    </row>
    <row r="11067" spans="1:18" ht="15.75" customHeight="1">
      <c r="A11067" s="26"/>
      <c r="B11067" s="86"/>
      <c r="D11067" s="26"/>
      <c r="F11067" s="87" t="str">
        <f t="shared" si="0"/>
        <v/>
      </c>
      <c r="H11067" s="26" t="str">
        <f t="shared" si="1"/>
        <v/>
      </c>
      <c r="I11067" s="26" t="str">
        <f t="shared" si="2"/>
        <v/>
      </c>
      <c r="J11067" s="86">
        <f t="shared" si="3"/>
        <v>0</v>
      </c>
      <c r="R11067" s="26"/>
    </row>
    <row r="11068" spans="1:18" ht="15.75" customHeight="1">
      <c r="A11068" s="26"/>
      <c r="B11068" s="86"/>
      <c r="D11068" s="26"/>
      <c r="F11068" s="87" t="str">
        <f t="shared" si="0"/>
        <v/>
      </c>
      <c r="H11068" s="26" t="str">
        <f t="shared" si="1"/>
        <v/>
      </c>
      <c r="I11068" s="26" t="str">
        <f t="shared" si="2"/>
        <v/>
      </c>
      <c r="J11068" s="86">
        <f t="shared" si="3"/>
        <v>0</v>
      </c>
      <c r="R11068" s="26"/>
    </row>
    <row r="11069" spans="1:18" ht="15.75" customHeight="1">
      <c r="A11069" s="26"/>
      <c r="B11069" s="86"/>
      <c r="D11069" s="26"/>
      <c r="F11069" s="87" t="str">
        <f t="shared" si="0"/>
        <v/>
      </c>
      <c r="H11069" s="26" t="str">
        <f t="shared" si="1"/>
        <v/>
      </c>
      <c r="I11069" s="26" t="str">
        <f t="shared" si="2"/>
        <v/>
      </c>
      <c r="J11069" s="86">
        <f t="shared" si="3"/>
        <v>0</v>
      </c>
      <c r="R11069" s="26"/>
    </row>
    <row r="11070" spans="1:18" ht="15.75" customHeight="1">
      <c r="A11070" s="26"/>
      <c r="B11070" s="86"/>
      <c r="D11070" s="26"/>
      <c r="F11070" s="87" t="str">
        <f t="shared" si="0"/>
        <v/>
      </c>
      <c r="H11070" s="26" t="str">
        <f t="shared" si="1"/>
        <v/>
      </c>
      <c r="I11070" s="26" t="str">
        <f t="shared" si="2"/>
        <v/>
      </c>
      <c r="J11070" s="86">
        <f t="shared" si="3"/>
        <v>0</v>
      </c>
      <c r="R11070" s="26"/>
    </row>
    <row r="11071" spans="1:18" ht="15.75" customHeight="1">
      <c r="A11071" s="26"/>
      <c r="B11071" s="86"/>
      <c r="D11071" s="26"/>
      <c r="F11071" s="87" t="str">
        <f t="shared" si="0"/>
        <v/>
      </c>
      <c r="H11071" s="26" t="str">
        <f t="shared" si="1"/>
        <v/>
      </c>
      <c r="I11071" s="26" t="str">
        <f t="shared" si="2"/>
        <v/>
      </c>
      <c r="J11071" s="86">
        <f t="shared" si="3"/>
        <v>0</v>
      </c>
      <c r="R11071" s="26"/>
    </row>
    <row r="11072" spans="1:18" ht="15.75" customHeight="1">
      <c r="A11072" s="26"/>
      <c r="B11072" s="86"/>
      <c r="D11072" s="26"/>
      <c r="F11072" s="87" t="str">
        <f t="shared" si="0"/>
        <v/>
      </c>
      <c r="H11072" s="26" t="str">
        <f t="shared" si="1"/>
        <v/>
      </c>
      <c r="I11072" s="26" t="str">
        <f t="shared" si="2"/>
        <v/>
      </c>
      <c r="J11072" s="86">
        <f t="shared" si="3"/>
        <v>0</v>
      </c>
      <c r="R11072" s="26"/>
    </row>
    <row r="11073" spans="1:18" ht="15.75" customHeight="1">
      <c r="A11073" s="26"/>
      <c r="B11073" s="86"/>
      <c r="D11073" s="26"/>
      <c r="F11073" s="87" t="str">
        <f t="shared" si="0"/>
        <v/>
      </c>
      <c r="H11073" s="26" t="str">
        <f t="shared" si="1"/>
        <v/>
      </c>
      <c r="I11073" s="26" t="str">
        <f t="shared" si="2"/>
        <v/>
      </c>
      <c r="J11073" s="86">
        <f t="shared" si="3"/>
        <v>0</v>
      </c>
      <c r="R11073" s="26"/>
    </row>
    <row r="11074" spans="1:18" ht="15.75" customHeight="1">
      <c r="A11074" s="26"/>
      <c r="B11074" s="86"/>
      <c r="D11074" s="26"/>
      <c r="F11074" s="87" t="str">
        <f t="shared" si="0"/>
        <v/>
      </c>
      <c r="H11074" s="26" t="str">
        <f t="shared" si="1"/>
        <v/>
      </c>
      <c r="I11074" s="26" t="str">
        <f t="shared" si="2"/>
        <v/>
      </c>
      <c r="J11074" s="86">
        <f t="shared" si="3"/>
        <v>0</v>
      </c>
      <c r="R11074" s="26"/>
    </row>
    <row r="11075" spans="1:18" ht="15.75" customHeight="1">
      <c r="A11075" s="26"/>
      <c r="B11075" s="86"/>
      <c r="D11075" s="26"/>
      <c r="F11075" s="87" t="str">
        <f t="shared" si="0"/>
        <v/>
      </c>
      <c r="H11075" s="26" t="str">
        <f t="shared" si="1"/>
        <v/>
      </c>
      <c r="I11075" s="26" t="str">
        <f t="shared" si="2"/>
        <v/>
      </c>
      <c r="J11075" s="86">
        <f t="shared" si="3"/>
        <v>0</v>
      </c>
      <c r="R11075" s="26"/>
    </row>
    <row r="11076" spans="1:18" ht="15.75" customHeight="1">
      <c r="A11076" s="26"/>
      <c r="B11076" s="86"/>
      <c r="D11076" s="26"/>
      <c r="F11076" s="87" t="str">
        <f t="shared" si="0"/>
        <v/>
      </c>
      <c r="H11076" s="26" t="str">
        <f t="shared" si="1"/>
        <v/>
      </c>
      <c r="I11076" s="26" t="str">
        <f t="shared" si="2"/>
        <v/>
      </c>
      <c r="J11076" s="86">
        <f t="shared" si="3"/>
        <v>0</v>
      </c>
      <c r="R11076" s="26"/>
    </row>
    <row r="11077" spans="1:18" ht="15.75" customHeight="1">
      <c r="A11077" s="26"/>
      <c r="B11077" s="86"/>
      <c r="D11077" s="26"/>
      <c r="F11077" s="87" t="str">
        <f t="shared" si="0"/>
        <v/>
      </c>
      <c r="H11077" s="26" t="str">
        <f t="shared" si="1"/>
        <v/>
      </c>
      <c r="I11077" s="26" t="str">
        <f t="shared" si="2"/>
        <v/>
      </c>
      <c r="J11077" s="86">
        <f t="shared" si="3"/>
        <v>0</v>
      </c>
      <c r="R11077" s="26"/>
    </row>
    <row r="11078" spans="1:18" ht="15.75" customHeight="1">
      <c r="A11078" s="26"/>
      <c r="B11078" s="86"/>
      <c r="D11078" s="26"/>
      <c r="F11078" s="87" t="str">
        <f t="shared" si="0"/>
        <v/>
      </c>
      <c r="H11078" s="26" t="str">
        <f t="shared" si="1"/>
        <v/>
      </c>
      <c r="I11078" s="26" t="str">
        <f t="shared" si="2"/>
        <v/>
      </c>
      <c r="J11078" s="86">
        <f t="shared" si="3"/>
        <v>0</v>
      </c>
      <c r="R11078" s="26"/>
    </row>
    <row r="11079" spans="1:18" ht="15.75" customHeight="1">
      <c r="A11079" s="26"/>
      <c r="B11079" s="86"/>
      <c r="D11079" s="26"/>
      <c r="F11079" s="87" t="str">
        <f t="shared" si="0"/>
        <v/>
      </c>
      <c r="H11079" s="26" t="str">
        <f t="shared" si="1"/>
        <v/>
      </c>
      <c r="I11079" s="26" t="str">
        <f t="shared" si="2"/>
        <v/>
      </c>
      <c r="J11079" s="86">
        <f t="shared" si="3"/>
        <v>0</v>
      </c>
      <c r="R11079" s="26"/>
    </row>
    <row r="11080" spans="1:18" ht="15.75" customHeight="1">
      <c r="A11080" s="26"/>
      <c r="B11080" s="86"/>
      <c r="D11080" s="26"/>
      <c r="F11080" s="87" t="str">
        <f t="shared" si="0"/>
        <v/>
      </c>
      <c r="H11080" s="26" t="str">
        <f t="shared" si="1"/>
        <v/>
      </c>
      <c r="I11080" s="26" t="str">
        <f t="shared" si="2"/>
        <v/>
      </c>
      <c r="J11080" s="86">
        <f t="shared" si="3"/>
        <v>0</v>
      </c>
      <c r="R11080" s="26"/>
    </row>
    <row r="11081" spans="1:18" ht="15.75" customHeight="1">
      <c r="A11081" s="26"/>
      <c r="B11081" s="86"/>
      <c r="D11081" s="26"/>
      <c r="F11081" s="87" t="str">
        <f t="shared" si="0"/>
        <v/>
      </c>
      <c r="H11081" s="26" t="str">
        <f t="shared" si="1"/>
        <v/>
      </c>
      <c r="I11081" s="26" t="str">
        <f t="shared" si="2"/>
        <v/>
      </c>
      <c r="J11081" s="86">
        <f t="shared" si="3"/>
        <v>0</v>
      </c>
      <c r="R11081" s="26"/>
    </row>
    <row r="11082" spans="1:18" ht="15.75" customHeight="1">
      <c r="A11082" s="26"/>
      <c r="B11082" s="86"/>
      <c r="D11082" s="26"/>
      <c r="F11082" s="87" t="str">
        <f t="shared" si="0"/>
        <v/>
      </c>
      <c r="H11082" s="26" t="str">
        <f t="shared" si="1"/>
        <v/>
      </c>
      <c r="I11082" s="26" t="str">
        <f t="shared" si="2"/>
        <v/>
      </c>
      <c r="J11082" s="86">
        <f t="shared" si="3"/>
        <v>0</v>
      </c>
      <c r="R11082" s="26"/>
    </row>
    <row r="11083" spans="1:18" ht="15.75" customHeight="1">
      <c r="A11083" s="26"/>
      <c r="B11083" s="86"/>
      <c r="D11083" s="26"/>
      <c r="F11083" s="87" t="str">
        <f t="shared" si="0"/>
        <v/>
      </c>
      <c r="H11083" s="26" t="str">
        <f t="shared" si="1"/>
        <v/>
      </c>
      <c r="I11083" s="26" t="str">
        <f t="shared" si="2"/>
        <v/>
      </c>
      <c r="J11083" s="86">
        <f t="shared" si="3"/>
        <v>0</v>
      </c>
      <c r="R11083" s="26"/>
    </row>
    <row r="11084" spans="1:18" ht="15.75" customHeight="1">
      <c r="A11084" s="26"/>
      <c r="B11084" s="86"/>
      <c r="D11084" s="26"/>
      <c r="F11084" s="87" t="str">
        <f t="shared" si="0"/>
        <v/>
      </c>
      <c r="H11084" s="26" t="str">
        <f t="shared" si="1"/>
        <v/>
      </c>
      <c r="I11084" s="26" t="str">
        <f t="shared" si="2"/>
        <v/>
      </c>
      <c r="J11084" s="86">
        <f t="shared" si="3"/>
        <v>0</v>
      </c>
      <c r="R11084" s="26"/>
    </row>
    <row r="11085" spans="1:18" ht="15.75" customHeight="1">
      <c r="A11085" s="26"/>
      <c r="B11085" s="86"/>
      <c r="D11085" s="26"/>
      <c r="F11085" s="87" t="str">
        <f t="shared" si="0"/>
        <v/>
      </c>
      <c r="H11085" s="26" t="str">
        <f t="shared" si="1"/>
        <v/>
      </c>
      <c r="I11085" s="26" t="str">
        <f t="shared" si="2"/>
        <v/>
      </c>
      <c r="J11085" s="86">
        <f t="shared" si="3"/>
        <v>0</v>
      </c>
      <c r="R11085" s="26"/>
    </row>
    <row r="11086" spans="1:18" ht="15.75" customHeight="1">
      <c r="A11086" s="26"/>
      <c r="B11086" s="86"/>
      <c r="D11086" s="26"/>
      <c r="F11086" s="87" t="str">
        <f t="shared" si="0"/>
        <v/>
      </c>
      <c r="H11086" s="26" t="str">
        <f t="shared" si="1"/>
        <v/>
      </c>
      <c r="I11086" s="26" t="str">
        <f t="shared" si="2"/>
        <v/>
      </c>
      <c r="J11086" s="86">
        <f t="shared" si="3"/>
        <v>0</v>
      </c>
      <c r="R11086" s="26"/>
    </row>
    <row r="11087" spans="1:18" ht="15.75" customHeight="1">
      <c r="A11087" s="26"/>
      <c r="B11087" s="86"/>
      <c r="D11087" s="26"/>
      <c r="F11087" s="87" t="str">
        <f t="shared" si="0"/>
        <v/>
      </c>
      <c r="H11087" s="26" t="str">
        <f t="shared" si="1"/>
        <v/>
      </c>
      <c r="I11087" s="26" t="str">
        <f t="shared" si="2"/>
        <v/>
      </c>
      <c r="J11087" s="86">
        <f t="shared" si="3"/>
        <v>0</v>
      </c>
      <c r="R11087" s="26"/>
    </row>
    <row r="11088" spans="1:18" ht="15.75" customHeight="1">
      <c r="A11088" s="26"/>
      <c r="B11088" s="86"/>
      <c r="D11088" s="26"/>
      <c r="F11088" s="87" t="str">
        <f t="shared" si="0"/>
        <v/>
      </c>
      <c r="H11088" s="26" t="str">
        <f t="shared" si="1"/>
        <v/>
      </c>
      <c r="I11088" s="26" t="str">
        <f t="shared" si="2"/>
        <v/>
      </c>
      <c r="J11088" s="86">
        <f t="shared" si="3"/>
        <v>0</v>
      </c>
      <c r="R11088" s="26"/>
    </row>
    <row r="11089" spans="1:18" ht="15.75" customHeight="1">
      <c r="A11089" s="26"/>
      <c r="B11089" s="86"/>
      <c r="D11089" s="26"/>
      <c r="F11089" s="87" t="str">
        <f t="shared" si="0"/>
        <v/>
      </c>
      <c r="H11089" s="26" t="str">
        <f t="shared" si="1"/>
        <v/>
      </c>
      <c r="I11089" s="26" t="str">
        <f t="shared" si="2"/>
        <v/>
      </c>
      <c r="J11089" s="86">
        <f t="shared" si="3"/>
        <v>0</v>
      </c>
      <c r="R11089" s="26"/>
    </row>
    <row r="11090" spans="1:18" ht="15.75" customHeight="1">
      <c r="A11090" s="26"/>
      <c r="B11090" s="86"/>
      <c r="D11090" s="26"/>
      <c r="F11090" s="87" t="str">
        <f t="shared" si="0"/>
        <v/>
      </c>
      <c r="H11090" s="26" t="str">
        <f t="shared" si="1"/>
        <v/>
      </c>
      <c r="I11090" s="26" t="str">
        <f t="shared" si="2"/>
        <v/>
      </c>
      <c r="J11090" s="86">
        <f t="shared" si="3"/>
        <v>0</v>
      </c>
      <c r="R11090" s="26"/>
    </row>
    <row r="11091" spans="1:18" ht="15.75" customHeight="1">
      <c r="A11091" s="26"/>
      <c r="B11091" s="86"/>
      <c r="D11091" s="26"/>
      <c r="F11091" s="87" t="str">
        <f t="shared" si="0"/>
        <v/>
      </c>
      <c r="H11091" s="26" t="str">
        <f t="shared" si="1"/>
        <v/>
      </c>
      <c r="I11091" s="26" t="str">
        <f t="shared" si="2"/>
        <v/>
      </c>
      <c r="J11091" s="86">
        <f t="shared" si="3"/>
        <v>0</v>
      </c>
      <c r="R11091" s="26"/>
    </row>
    <row r="11092" spans="1:18" ht="15.75" customHeight="1">
      <c r="A11092" s="26"/>
      <c r="B11092" s="86"/>
      <c r="D11092" s="26"/>
      <c r="F11092" s="87" t="str">
        <f t="shared" si="0"/>
        <v/>
      </c>
      <c r="H11092" s="26" t="str">
        <f t="shared" si="1"/>
        <v/>
      </c>
      <c r="I11092" s="26" t="str">
        <f t="shared" si="2"/>
        <v/>
      </c>
      <c r="J11092" s="86">
        <f t="shared" si="3"/>
        <v>0</v>
      </c>
      <c r="R11092" s="26"/>
    </row>
    <row r="11093" spans="1:18" ht="15.75" customHeight="1">
      <c r="A11093" s="26"/>
      <c r="B11093" s="86"/>
      <c r="D11093" s="26"/>
      <c r="F11093" s="87" t="str">
        <f t="shared" si="0"/>
        <v/>
      </c>
      <c r="H11093" s="26" t="str">
        <f t="shared" si="1"/>
        <v/>
      </c>
      <c r="I11093" s="26" t="str">
        <f t="shared" si="2"/>
        <v/>
      </c>
      <c r="J11093" s="86">
        <f t="shared" si="3"/>
        <v>0</v>
      </c>
      <c r="R11093" s="26"/>
    </row>
    <row r="11094" spans="1:18" ht="15.75" customHeight="1">
      <c r="A11094" s="26"/>
      <c r="B11094" s="86"/>
      <c r="D11094" s="26"/>
      <c r="F11094" s="87" t="str">
        <f t="shared" si="0"/>
        <v/>
      </c>
      <c r="H11094" s="26" t="str">
        <f t="shared" si="1"/>
        <v/>
      </c>
      <c r="I11094" s="26" t="str">
        <f t="shared" si="2"/>
        <v/>
      </c>
      <c r="J11094" s="86">
        <f t="shared" si="3"/>
        <v>0</v>
      </c>
      <c r="R11094" s="26"/>
    </row>
    <row r="11095" spans="1:18" ht="15.75" customHeight="1">
      <c r="A11095" s="26"/>
      <c r="B11095" s="86"/>
      <c r="D11095" s="26"/>
      <c r="F11095" s="87" t="str">
        <f t="shared" si="0"/>
        <v/>
      </c>
      <c r="H11095" s="26" t="str">
        <f t="shared" si="1"/>
        <v/>
      </c>
      <c r="I11095" s="26" t="str">
        <f t="shared" si="2"/>
        <v/>
      </c>
      <c r="J11095" s="86">
        <f t="shared" si="3"/>
        <v>0</v>
      </c>
      <c r="R11095" s="26"/>
    </row>
    <row r="11096" spans="1:18" ht="15.75" customHeight="1">
      <c r="A11096" s="26"/>
      <c r="B11096" s="86"/>
      <c r="D11096" s="26"/>
      <c r="F11096" s="87" t="str">
        <f t="shared" si="0"/>
        <v/>
      </c>
      <c r="H11096" s="26" t="str">
        <f t="shared" si="1"/>
        <v/>
      </c>
      <c r="I11096" s="26" t="str">
        <f t="shared" si="2"/>
        <v/>
      </c>
      <c r="J11096" s="86">
        <f t="shared" si="3"/>
        <v>0</v>
      </c>
      <c r="R11096" s="26"/>
    </row>
    <row r="11097" spans="1:18" ht="15.75" customHeight="1">
      <c r="A11097" s="26"/>
      <c r="B11097" s="86"/>
      <c r="D11097" s="26"/>
      <c r="F11097" s="87" t="str">
        <f t="shared" si="0"/>
        <v/>
      </c>
      <c r="H11097" s="26" t="str">
        <f t="shared" si="1"/>
        <v/>
      </c>
      <c r="I11097" s="26" t="str">
        <f t="shared" si="2"/>
        <v/>
      </c>
      <c r="J11097" s="86">
        <f t="shared" si="3"/>
        <v>0</v>
      </c>
      <c r="R11097" s="26"/>
    </row>
    <row r="11098" spans="1:18" ht="15.75" customHeight="1">
      <c r="A11098" s="26"/>
      <c r="B11098" s="86"/>
      <c r="D11098" s="26"/>
      <c r="F11098" s="87" t="str">
        <f t="shared" si="0"/>
        <v/>
      </c>
      <c r="H11098" s="26" t="str">
        <f t="shared" si="1"/>
        <v/>
      </c>
      <c r="I11098" s="26" t="str">
        <f t="shared" si="2"/>
        <v/>
      </c>
      <c r="J11098" s="86">
        <f t="shared" si="3"/>
        <v>0</v>
      </c>
      <c r="R11098" s="26"/>
    </row>
    <row r="11099" spans="1:18" ht="15.75" customHeight="1">
      <c r="A11099" s="26"/>
      <c r="B11099" s="86"/>
      <c r="D11099" s="26"/>
      <c r="F11099" s="87" t="str">
        <f t="shared" si="0"/>
        <v/>
      </c>
      <c r="H11099" s="26" t="str">
        <f t="shared" si="1"/>
        <v/>
      </c>
      <c r="I11099" s="26" t="str">
        <f t="shared" si="2"/>
        <v/>
      </c>
      <c r="J11099" s="86">
        <f t="shared" si="3"/>
        <v>0</v>
      </c>
      <c r="R11099" s="26"/>
    </row>
    <row r="11100" spans="1:18" ht="15.75" customHeight="1">
      <c r="A11100" s="26"/>
      <c r="B11100" s="86"/>
      <c r="D11100" s="26"/>
      <c r="F11100" s="87" t="str">
        <f t="shared" si="0"/>
        <v/>
      </c>
      <c r="H11100" s="26" t="str">
        <f t="shared" si="1"/>
        <v/>
      </c>
      <c r="I11100" s="26" t="str">
        <f t="shared" si="2"/>
        <v/>
      </c>
      <c r="J11100" s="86">
        <f t="shared" si="3"/>
        <v>0</v>
      </c>
      <c r="R11100" s="26"/>
    </row>
    <row r="11101" spans="1:18" ht="15.75" customHeight="1">
      <c r="A11101" s="26"/>
      <c r="B11101" s="86"/>
      <c r="D11101" s="26"/>
      <c r="F11101" s="87" t="str">
        <f t="shared" si="0"/>
        <v/>
      </c>
      <c r="H11101" s="26" t="str">
        <f t="shared" si="1"/>
        <v/>
      </c>
      <c r="I11101" s="26" t="str">
        <f t="shared" si="2"/>
        <v/>
      </c>
      <c r="J11101" s="86">
        <f t="shared" si="3"/>
        <v>0</v>
      </c>
      <c r="R11101" s="26"/>
    </row>
    <row r="11102" spans="1:18" ht="15.75" customHeight="1">
      <c r="A11102" s="26"/>
      <c r="B11102" s="86"/>
      <c r="D11102" s="26"/>
      <c r="F11102" s="87" t="str">
        <f t="shared" si="0"/>
        <v/>
      </c>
      <c r="H11102" s="26" t="str">
        <f t="shared" si="1"/>
        <v/>
      </c>
      <c r="I11102" s="26" t="str">
        <f t="shared" si="2"/>
        <v/>
      </c>
      <c r="J11102" s="86">
        <f t="shared" si="3"/>
        <v>0</v>
      </c>
      <c r="R11102" s="26"/>
    </row>
    <row r="11103" spans="1:18" ht="15.75" customHeight="1">
      <c r="A11103" s="26"/>
      <c r="B11103" s="86"/>
      <c r="D11103" s="26"/>
      <c r="F11103" s="87" t="str">
        <f t="shared" si="0"/>
        <v/>
      </c>
      <c r="H11103" s="26" t="str">
        <f t="shared" si="1"/>
        <v/>
      </c>
      <c r="I11103" s="26" t="str">
        <f t="shared" si="2"/>
        <v/>
      </c>
      <c r="J11103" s="86">
        <f t="shared" si="3"/>
        <v>0</v>
      </c>
      <c r="R11103" s="26"/>
    </row>
    <row r="11104" spans="1:18" ht="15.75" customHeight="1">
      <c r="A11104" s="26"/>
      <c r="B11104" s="86"/>
      <c r="D11104" s="26"/>
      <c r="F11104" s="87" t="str">
        <f t="shared" si="0"/>
        <v/>
      </c>
      <c r="H11104" s="26" t="str">
        <f t="shared" si="1"/>
        <v/>
      </c>
      <c r="I11104" s="26" t="str">
        <f t="shared" si="2"/>
        <v/>
      </c>
      <c r="J11104" s="86">
        <f t="shared" si="3"/>
        <v>0</v>
      </c>
      <c r="R11104" s="26"/>
    </row>
    <row r="11105" spans="1:18" ht="15.75" customHeight="1">
      <c r="A11105" s="26"/>
      <c r="B11105" s="86"/>
      <c r="D11105" s="26"/>
      <c r="F11105" s="87" t="str">
        <f t="shared" si="0"/>
        <v/>
      </c>
      <c r="H11105" s="26" t="str">
        <f t="shared" si="1"/>
        <v/>
      </c>
      <c r="I11105" s="26" t="str">
        <f t="shared" si="2"/>
        <v/>
      </c>
      <c r="J11105" s="86">
        <f t="shared" si="3"/>
        <v>0</v>
      </c>
      <c r="R11105" s="26"/>
    </row>
    <row r="11106" spans="1:18" ht="15.75" customHeight="1">
      <c r="A11106" s="26"/>
      <c r="B11106" s="86"/>
      <c r="D11106" s="26"/>
      <c r="F11106" s="87" t="str">
        <f t="shared" si="0"/>
        <v/>
      </c>
      <c r="H11106" s="26" t="str">
        <f t="shared" si="1"/>
        <v/>
      </c>
      <c r="I11106" s="26" t="str">
        <f t="shared" si="2"/>
        <v/>
      </c>
      <c r="J11106" s="86">
        <f t="shared" si="3"/>
        <v>0</v>
      </c>
      <c r="R11106" s="26"/>
    </row>
    <row r="11107" spans="1:18" ht="15.75" customHeight="1">
      <c r="A11107" s="26"/>
      <c r="B11107" s="86"/>
      <c r="D11107" s="26"/>
      <c r="F11107" s="87" t="str">
        <f t="shared" si="0"/>
        <v/>
      </c>
      <c r="H11107" s="26" t="str">
        <f t="shared" si="1"/>
        <v/>
      </c>
      <c r="I11107" s="26" t="str">
        <f t="shared" si="2"/>
        <v/>
      </c>
      <c r="J11107" s="86">
        <f t="shared" si="3"/>
        <v>0</v>
      </c>
      <c r="R11107" s="26"/>
    </row>
    <row r="11108" spans="1:18" ht="15.75" customHeight="1">
      <c r="A11108" s="26"/>
      <c r="B11108" s="86"/>
      <c r="D11108" s="26"/>
      <c r="F11108" s="87" t="str">
        <f t="shared" si="0"/>
        <v/>
      </c>
      <c r="H11108" s="26" t="str">
        <f t="shared" si="1"/>
        <v/>
      </c>
      <c r="I11108" s="26" t="str">
        <f t="shared" si="2"/>
        <v/>
      </c>
      <c r="J11108" s="86">
        <f t="shared" si="3"/>
        <v>0</v>
      </c>
      <c r="R11108" s="26"/>
    </row>
    <row r="11109" spans="1:18" ht="15.75" customHeight="1">
      <c r="A11109" s="26"/>
      <c r="B11109" s="86"/>
      <c r="D11109" s="26"/>
      <c r="F11109" s="87" t="str">
        <f t="shared" si="0"/>
        <v/>
      </c>
      <c r="H11109" s="26" t="str">
        <f t="shared" si="1"/>
        <v/>
      </c>
      <c r="I11109" s="26" t="str">
        <f t="shared" si="2"/>
        <v/>
      </c>
      <c r="J11109" s="86">
        <f t="shared" si="3"/>
        <v>0</v>
      </c>
      <c r="R11109" s="26"/>
    </row>
    <row r="11110" spans="1:18" ht="15.75" customHeight="1">
      <c r="A11110" s="26"/>
      <c r="B11110" s="86"/>
      <c r="D11110" s="26"/>
      <c r="F11110" s="87" t="str">
        <f t="shared" si="0"/>
        <v/>
      </c>
      <c r="H11110" s="26" t="str">
        <f t="shared" si="1"/>
        <v/>
      </c>
      <c r="I11110" s="26" t="str">
        <f t="shared" si="2"/>
        <v/>
      </c>
      <c r="J11110" s="86">
        <f t="shared" si="3"/>
        <v>0</v>
      </c>
      <c r="R11110" s="26"/>
    </row>
    <row r="11111" spans="1:18" ht="15.75" customHeight="1">
      <c r="A11111" s="26"/>
      <c r="B11111" s="86"/>
      <c r="D11111" s="26"/>
      <c r="F11111" s="87" t="str">
        <f t="shared" si="0"/>
        <v/>
      </c>
      <c r="H11111" s="26" t="str">
        <f t="shared" si="1"/>
        <v/>
      </c>
      <c r="I11111" s="26" t="str">
        <f t="shared" si="2"/>
        <v/>
      </c>
      <c r="J11111" s="86">
        <f t="shared" si="3"/>
        <v>0</v>
      </c>
      <c r="R11111" s="26"/>
    </row>
    <row r="11112" spans="1:18" ht="15.75" customHeight="1">
      <c r="A11112" s="26"/>
      <c r="B11112" s="86"/>
      <c r="D11112" s="26"/>
      <c r="F11112" s="87" t="str">
        <f t="shared" si="0"/>
        <v/>
      </c>
      <c r="H11112" s="26" t="str">
        <f t="shared" si="1"/>
        <v/>
      </c>
      <c r="I11112" s="26" t="str">
        <f t="shared" si="2"/>
        <v/>
      </c>
      <c r="J11112" s="86">
        <f t="shared" si="3"/>
        <v>0</v>
      </c>
      <c r="R11112" s="26"/>
    </row>
    <row r="11113" spans="1:18" ht="15.75" customHeight="1">
      <c r="A11113" s="26"/>
      <c r="B11113" s="86"/>
      <c r="D11113" s="26"/>
      <c r="F11113" s="87" t="str">
        <f t="shared" si="0"/>
        <v/>
      </c>
      <c r="H11113" s="26" t="str">
        <f t="shared" si="1"/>
        <v/>
      </c>
      <c r="I11113" s="26" t="str">
        <f t="shared" si="2"/>
        <v/>
      </c>
      <c r="J11113" s="86">
        <f t="shared" si="3"/>
        <v>0</v>
      </c>
      <c r="R11113" s="26"/>
    </row>
    <row r="11114" spans="1:18" ht="15.75" customHeight="1">
      <c r="A11114" s="26"/>
      <c r="B11114" s="86"/>
      <c r="D11114" s="26"/>
      <c r="F11114" s="87" t="str">
        <f t="shared" si="0"/>
        <v/>
      </c>
      <c r="H11114" s="26" t="str">
        <f t="shared" si="1"/>
        <v/>
      </c>
      <c r="I11114" s="26" t="str">
        <f t="shared" si="2"/>
        <v/>
      </c>
      <c r="J11114" s="86">
        <f t="shared" si="3"/>
        <v>0</v>
      </c>
      <c r="R11114" s="26"/>
    </row>
    <row r="11115" spans="1:18" ht="15.75" customHeight="1">
      <c r="A11115" s="26"/>
      <c r="B11115" s="86"/>
      <c r="D11115" s="26"/>
      <c r="F11115" s="87" t="str">
        <f t="shared" si="0"/>
        <v/>
      </c>
      <c r="H11115" s="26" t="str">
        <f t="shared" si="1"/>
        <v/>
      </c>
      <c r="I11115" s="26" t="str">
        <f t="shared" si="2"/>
        <v/>
      </c>
      <c r="J11115" s="86">
        <f t="shared" si="3"/>
        <v>0</v>
      </c>
      <c r="R11115" s="26"/>
    </row>
    <row r="11116" spans="1:18" ht="15.75" customHeight="1">
      <c r="A11116" s="26"/>
      <c r="B11116" s="86"/>
      <c r="D11116" s="26"/>
      <c r="F11116" s="87" t="str">
        <f t="shared" si="0"/>
        <v/>
      </c>
      <c r="H11116" s="26" t="str">
        <f t="shared" si="1"/>
        <v/>
      </c>
      <c r="I11116" s="26" t="str">
        <f t="shared" si="2"/>
        <v/>
      </c>
      <c r="J11116" s="86">
        <f t="shared" si="3"/>
        <v>0</v>
      </c>
      <c r="R11116" s="26"/>
    </row>
    <row r="11117" spans="1:18" ht="15.75" customHeight="1">
      <c r="A11117" s="26"/>
      <c r="B11117" s="86"/>
      <c r="D11117" s="26"/>
      <c r="F11117" s="87" t="str">
        <f t="shared" si="0"/>
        <v/>
      </c>
      <c r="H11117" s="26" t="str">
        <f t="shared" si="1"/>
        <v/>
      </c>
      <c r="I11117" s="26" t="str">
        <f t="shared" si="2"/>
        <v/>
      </c>
      <c r="J11117" s="86">
        <f t="shared" si="3"/>
        <v>0</v>
      </c>
      <c r="R11117" s="26"/>
    </row>
    <row r="11118" spans="1:18" ht="15.75" customHeight="1">
      <c r="A11118" s="26"/>
      <c r="B11118" s="86"/>
      <c r="D11118" s="26"/>
      <c r="F11118" s="87" t="str">
        <f t="shared" si="0"/>
        <v/>
      </c>
      <c r="H11118" s="26" t="str">
        <f t="shared" si="1"/>
        <v/>
      </c>
      <c r="I11118" s="26" t="str">
        <f t="shared" si="2"/>
        <v/>
      </c>
      <c r="J11118" s="86">
        <f t="shared" si="3"/>
        <v>0</v>
      </c>
      <c r="R11118" s="26"/>
    </row>
    <row r="11119" spans="1:18" ht="15.75" customHeight="1">
      <c r="A11119" s="26"/>
      <c r="B11119" s="86"/>
      <c r="D11119" s="26"/>
      <c r="F11119" s="87" t="str">
        <f t="shared" si="0"/>
        <v/>
      </c>
      <c r="H11119" s="26" t="str">
        <f t="shared" si="1"/>
        <v/>
      </c>
      <c r="I11119" s="26" t="str">
        <f t="shared" si="2"/>
        <v/>
      </c>
      <c r="J11119" s="86">
        <f t="shared" si="3"/>
        <v>0</v>
      </c>
      <c r="R11119" s="26"/>
    </row>
    <row r="11120" spans="1:18" ht="15.75" customHeight="1">
      <c r="A11120" s="26"/>
      <c r="B11120" s="86"/>
      <c r="D11120" s="26"/>
      <c r="F11120" s="87" t="str">
        <f t="shared" si="0"/>
        <v/>
      </c>
      <c r="H11120" s="26" t="str">
        <f t="shared" si="1"/>
        <v/>
      </c>
      <c r="I11120" s="26" t="str">
        <f t="shared" si="2"/>
        <v/>
      </c>
      <c r="J11120" s="86">
        <f t="shared" si="3"/>
        <v>0</v>
      </c>
      <c r="R11120" s="26"/>
    </row>
    <row r="11121" spans="1:18" ht="15.75" customHeight="1">
      <c r="A11121" s="26"/>
      <c r="B11121" s="86"/>
      <c r="D11121" s="26"/>
      <c r="F11121" s="87" t="str">
        <f t="shared" si="0"/>
        <v/>
      </c>
      <c r="H11121" s="26" t="str">
        <f t="shared" si="1"/>
        <v/>
      </c>
      <c r="I11121" s="26" t="str">
        <f t="shared" si="2"/>
        <v/>
      </c>
      <c r="J11121" s="86">
        <f t="shared" si="3"/>
        <v>0</v>
      </c>
      <c r="R11121" s="26"/>
    </row>
    <row r="11122" spans="1:18" ht="15.75" customHeight="1">
      <c r="A11122" s="26"/>
      <c r="B11122" s="86"/>
      <c r="D11122" s="26"/>
      <c r="F11122" s="87" t="str">
        <f t="shared" si="0"/>
        <v/>
      </c>
      <c r="H11122" s="26" t="str">
        <f t="shared" si="1"/>
        <v/>
      </c>
      <c r="I11122" s="26" t="str">
        <f t="shared" si="2"/>
        <v/>
      </c>
      <c r="J11122" s="86">
        <f t="shared" si="3"/>
        <v>0</v>
      </c>
      <c r="R11122" s="26"/>
    </row>
    <row r="11123" spans="1:18" ht="15.75" customHeight="1">
      <c r="A11123" s="26"/>
      <c r="B11123" s="86"/>
      <c r="D11123" s="26"/>
      <c r="F11123" s="87" t="str">
        <f t="shared" si="0"/>
        <v/>
      </c>
      <c r="H11123" s="26" t="str">
        <f t="shared" si="1"/>
        <v/>
      </c>
      <c r="I11123" s="26" t="str">
        <f t="shared" si="2"/>
        <v/>
      </c>
      <c r="J11123" s="86">
        <f t="shared" si="3"/>
        <v>0</v>
      </c>
      <c r="R11123" s="26"/>
    </row>
    <row r="11124" spans="1:18" ht="15.75" customHeight="1">
      <c r="A11124" s="26"/>
      <c r="B11124" s="86"/>
      <c r="D11124" s="26"/>
      <c r="F11124" s="87" t="str">
        <f t="shared" si="0"/>
        <v/>
      </c>
      <c r="H11124" s="26" t="str">
        <f t="shared" si="1"/>
        <v/>
      </c>
      <c r="I11124" s="26" t="str">
        <f t="shared" si="2"/>
        <v/>
      </c>
      <c r="J11124" s="86">
        <f t="shared" si="3"/>
        <v>0</v>
      </c>
      <c r="R11124" s="26"/>
    </row>
    <row r="11125" spans="1:18" ht="15.75" customHeight="1">
      <c r="A11125" s="26"/>
      <c r="B11125" s="86"/>
      <c r="D11125" s="26"/>
      <c r="F11125" s="87" t="str">
        <f t="shared" si="0"/>
        <v/>
      </c>
      <c r="H11125" s="26" t="str">
        <f t="shared" si="1"/>
        <v/>
      </c>
      <c r="I11125" s="26" t="str">
        <f t="shared" si="2"/>
        <v/>
      </c>
      <c r="J11125" s="86">
        <f t="shared" si="3"/>
        <v>0</v>
      </c>
      <c r="R11125" s="26"/>
    </row>
    <row r="11126" spans="1:18" ht="15.75" customHeight="1">
      <c r="A11126" s="26"/>
      <c r="B11126" s="86"/>
      <c r="D11126" s="26"/>
      <c r="F11126" s="87" t="str">
        <f t="shared" si="0"/>
        <v/>
      </c>
      <c r="H11126" s="26" t="str">
        <f t="shared" si="1"/>
        <v/>
      </c>
      <c r="I11126" s="26" t="str">
        <f t="shared" si="2"/>
        <v/>
      </c>
      <c r="J11126" s="86">
        <f t="shared" si="3"/>
        <v>0</v>
      </c>
      <c r="R11126" s="26"/>
    </row>
    <row r="11127" spans="1:18" ht="15.75" customHeight="1">
      <c r="A11127" s="26"/>
      <c r="B11127" s="86"/>
      <c r="D11127" s="26"/>
      <c r="F11127" s="87" t="str">
        <f t="shared" si="0"/>
        <v/>
      </c>
      <c r="H11127" s="26" t="str">
        <f t="shared" si="1"/>
        <v/>
      </c>
      <c r="I11127" s="26" t="str">
        <f t="shared" si="2"/>
        <v/>
      </c>
      <c r="J11127" s="86">
        <f t="shared" si="3"/>
        <v>0</v>
      </c>
      <c r="R11127" s="26"/>
    </row>
    <row r="11128" spans="1:18" ht="15.75" customHeight="1">
      <c r="A11128" s="26"/>
      <c r="B11128" s="86"/>
      <c r="D11128" s="26"/>
      <c r="F11128" s="87" t="str">
        <f t="shared" si="0"/>
        <v/>
      </c>
      <c r="H11128" s="26" t="str">
        <f t="shared" si="1"/>
        <v/>
      </c>
      <c r="I11128" s="26" t="str">
        <f t="shared" si="2"/>
        <v/>
      </c>
      <c r="J11128" s="86">
        <f t="shared" si="3"/>
        <v>0</v>
      </c>
      <c r="R11128" s="26"/>
    </row>
    <row r="11129" spans="1:18" ht="15.75" customHeight="1">
      <c r="A11129" s="26"/>
      <c r="B11129" s="86"/>
      <c r="D11129" s="26"/>
      <c r="F11129" s="87" t="str">
        <f t="shared" si="0"/>
        <v/>
      </c>
      <c r="H11129" s="26" t="str">
        <f t="shared" si="1"/>
        <v/>
      </c>
      <c r="I11129" s="26" t="str">
        <f t="shared" si="2"/>
        <v/>
      </c>
      <c r="J11129" s="86">
        <f t="shared" si="3"/>
        <v>0</v>
      </c>
      <c r="R11129" s="26"/>
    </row>
    <row r="11130" spans="1:18" ht="15.75" customHeight="1">
      <c r="A11130" s="26"/>
      <c r="B11130" s="86"/>
      <c r="D11130" s="26"/>
      <c r="F11130" s="87" t="str">
        <f t="shared" si="0"/>
        <v/>
      </c>
      <c r="H11130" s="26" t="str">
        <f t="shared" si="1"/>
        <v/>
      </c>
      <c r="I11130" s="26" t="str">
        <f t="shared" si="2"/>
        <v/>
      </c>
      <c r="J11130" s="86">
        <f t="shared" si="3"/>
        <v>0</v>
      </c>
      <c r="R11130" s="26"/>
    </row>
    <row r="11131" spans="1:18" ht="15.75" customHeight="1">
      <c r="A11131" s="26"/>
      <c r="B11131" s="86"/>
      <c r="D11131" s="26"/>
      <c r="F11131" s="87" t="str">
        <f t="shared" si="0"/>
        <v/>
      </c>
      <c r="H11131" s="26" t="str">
        <f t="shared" si="1"/>
        <v/>
      </c>
      <c r="I11131" s="26" t="str">
        <f t="shared" si="2"/>
        <v/>
      </c>
      <c r="J11131" s="86">
        <f t="shared" si="3"/>
        <v>0</v>
      </c>
      <c r="R11131" s="26"/>
    </row>
    <row r="11132" spans="1:18" ht="15.75" customHeight="1">
      <c r="A11132" s="26"/>
      <c r="B11132" s="86"/>
      <c r="D11132" s="26"/>
      <c r="F11132" s="87" t="str">
        <f t="shared" si="0"/>
        <v/>
      </c>
      <c r="H11132" s="26" t="str">
        <f t="shared" si="1"/>
        <v/>
      </c>
      <c r="I11132" s="26" t="str">
        <f t="shared" si="2"/>
        <v/>
      </c>
      <c r="J11132" s="86">
        <f t="shared" si="3"/>
        <v>0</v>
      </c>
      <c r="R11132" s="26"/>
    </row>
    <row r="11133" spans="1:18" ht="15.75" customHeight="1">
      <c r="A11133" s="26"/>
      <c r="B11133" s="86"/>
      <c r="D11133" s="26"/>
      <c r="F11133" s="87" t="str">
        <f t="shared" si="0"/>
        <v/>
      </c>
      <c r="H11133" s="26" t="str">
        <f t="shared" si="1"/>
        <v/>
      </c>
      <c r="I11133" s="26" t="str">
        <f t="shared" si="2"/>
        <v/>
      </c>
      <c r="J11133" s="86">
        <f t="shared" si="3"/>
        <v>0</v>
      </c>
      <c r="R11133" s="26"/>
    </row>
    <row r="11134" spans="1:18" ht="15.75" customHeight="1">
      <c r="A11134" s="26"/>
      <c r="B11134" s="86"/>
      <c r="D11134" s="26"/>
      <c r="F11134" s="87" t="str">
        <f t="shared" si="0"/>
        <v/>
      </c>
      <c r="H11134" s="26" t="str">
        <f t="shared" si="1"/>
        <v/>
      </c>
      <c r="I11134" s="26" t="str">
        <f t="shared" si="2"/>
        <v/>
      </c>
      <c r="J11134" s="86">
        <f t="shared" si="3"/>
        <v>0</v>
      </c>
      <c r="R11134" s="26"/>
    </row>
    <row r="11135" spans="1:18" ht="15.75" customHeight="1">
      <c r="A11135" s="26"/>
      <c r="B11135" s="86"/>
      <c r="D11135" s="26"/>
      <c r="F11135" s="87" t="str">
        <f t="shared" si="0"/>
        <v/>
      </c>
      <c r="H11135" s="26" t="str">
        <f t="shared" si="1"/>
        <v/>
      </c>
      <c r="I11135" s="26" t="str">
        <f t="shared" si="2"/>
        <v/>
      </c>
      <c r="J11135" s="86">
        <f t="shared" si="3"/>
        <v>0</v>
      </c>
      <c r="R11135" s="26"/>
    </row>
    <row r="11136" spans="1:18" ht="15.75" customHeight="1">
      <c r="A11136" s="26"/>
      <c r="B11136" s="86"/>
      <c r="D11136" s="26"/>
      <c r="F11136" s="87" t="str">
        <f t="shared" si="0"/>
        <v/>
      </c>
      <c r="H11136" s="26" t="str">
        <f t="shared" si="1"/>
        <v/>
      </c>
      <c r="I11136" s="26" t="str">
        <f t="shared" si="2"/>
        <v/>
      </c>
      <c r="J11136" s="86">
        <f t="shared" si="3"/>
        <v>0</v>
      </c>
      <c r="R11136" s="26"/>
    </row>
    <row r="11137" spans="1:18" ht="15.75" customHeight="1">
      <c r="A11137" s="26"/>
      <c r="B11137" s="86"/>
      <c r="D11137" s="26"/>
      <c r="F11137" s="87" t="str">
        <f t="shared" si="0"/>
        <v/>
      </c>
      <c r="H11137" s="26" t="str">
        <f t="shared" si="1"/>
        <v/>
      </c>
      <c r="I11137" s="26" t="str">
        <f t="shared" si="2"/>
        <v/>
      </c>
      <c r="J11137" s="86">
        <f t="shared" si="3"/>
        <v>0</v>
      </c>
      <c r="R11137" s="26"/>
    </row>
    <row r="11138" spans="1:18" ht="15.75" customHeight="1">
      <c r="A11138" s="26"/>
      <c r="B11138" s="86"/>
      <c r="D11138" s="26"/>
      <c r="F11138" s="87" t="str">
        <f t="shared" si="0"/>
        <v/>
      </c>
      <c r="H11138" s="26" t="str">
        <f t="shared" si="1"/>
        <v/>
      </c>
      <c r="I11138" s="26" t="str">
        <f t="shared" si="2"/>
        <v/>
      </c>
      <c r="J11138" s="86">
        <f t="shared" si="3"/>
        <v>0</v>
      </c>
      <c r="R11138" s="26"/>
    </row>
    <row r="11139" spans="1:18" ht="15.75" customHeight="1">
      <c r="A11139" s="26"/>
      <c r="B11139" s="86"/>
      <c r="D11139" s="26"/>
      <c r="F11139" s="87" t="str">
        <f t="shared" si="0"/>
        <v/>
      </c>
      <c r="H11139" s="26" t="str">
        <f t="shared" si="1"/>
        <v/>
      </c>
      <c r="I11139" s="26" t="str">
        <f t="shared" si="2"/>
        <v/>
      </c>
      <c r="J11139" s="86">
        <f t="shared" si="3"/>
        <v>0</v>
      </c>
      <c r="R11139" s="26"/>
    </row>
    <row r="11140" spans="1:18" ht="15.75" customHeight="1">
      <c r="A11140" s="26"/>
      <c r="B11140" s="86"/>
      <c r="D11140" s="26"/>
      <c r="F11140" s="87" t="str">
        <f t="shared" si="0"/>
        <v/>
      </c>
      <c r="H11140" s="26" t="str">
        <f t="shared" si="1"/>
        <v/>
      </c>
      <c r="I11140" s="26" t="str">
        <f t="shared" si="2"/>
        <v/>
      </c>
      <c r="J11140" s="86">
        <f t="shared" si="3"/>
        <v>0</v>
      </c>
      <c r="R11140" s="26"/>
    </row>
    <row r="11141" spans="1:18" ht="15.75" customHeight="1">
      <c r="A11141" s="26"/>
      <c r="B11141" s="86"/>
      <c r="D11141" s="26"/>
      <c r="F11141" s="87" t="str">
        <f t="shared" si="0"/>
        <v/>
      </c>
      <c r="H11141" s="26" t="str">
        <f t="shared" si="1"/>
        <v/>
      </c>
      <c r="I11141" s="26" t="str">
        <f t="shared" si="2"/>
        <v/>
      </c>
      <c r="J11141" s="86">
        <f t="shared" si="3"/>
        <v>0</v>
      </c>
      <c r="R11141" s="26"/>
    </row>
    <row r="11142" spans="1:18" ht="15.75" customHeight="1">
      <c r="A11142" s="26"/>
      <c r="B11142" s="86"/>
      <c r="D11142" s="26"/>
      <c r="F11142" s="87" t="str">
        <f t="shared" si="0"/>
        <v/>
      </c>
      <c r="H11142" s="26" t="str">
        <f t="shared" si="1"/>
        <v/>
      </c>
      <c r="I11142" s="26" t="str">
        <f t="shared" si="2"/>
        <v/>
      </c>
      <c r="J11142" s="86">
        <f t="shared" si="3"/>
        <v>0</v>
      </c>
      <c r="R11142" s="26"/>
    </row>
    <row r="11143" spans="1:18" ht="15.75" customHeight="1">
      <c r="A11143" s="26"/>
      <c r="B11143" s="86"/>
      <c r="D11143" s="26"/>
      <c r="F11143" s="87" t="str">
        <f t="shared" si="0"/>
        <v/>
      </c>
      <c r="H11143" s="26" t="str">
        <f t="shared" si="1"/>
        <v/>
      </c>
      <c r="I11143" s="26" t="str">
        <f t="shared" si="2"/>
        <v/>
      </c>
      <c r="J11143" s="86">
        <f t="shared" si="3"/>
        <v>0</v>
      </c>
      <c r="R11143" s="26"/>
    </row>
    <row r="11144" spans="1:18" ht="15.75" customHeight="1">
      <c r="A11144" s="26"/>
      <c r="B11144" s="86"/>
      <c r="D11144" s="26"/>
      <c r="F11144" s="87" t="str">
        <f t="shared" si="0"/>
        <v/>
      </c>
      <c r="H11144" s="26" t="str">
        <f t="shared" si="1"/>
        <v/>
      </c>
      <c r="I11144" s="26" t="str">
        <f t="shared" si="2"/>
        <v/>
      </c>
      <c r="J11144" s="86">
        <f t="shared" si="3"/>
        <v>0</v>
      </c>
      <c r="R11144" s="26"/>
    </row>
    <row r="11145" spans="1:18" ht="15.75" customHeight="1">
      <c r="A11145" s="26"/>
      <c r="B11145" s="86"/>
      <c r="D11145" s="26"/>
      <c r="F11145" s="87" t="str">
        <f t="shared" si="0"/>
        <v/>
      </c>
      <c r="H11145" s="26" t="str">
        <f t="shared" si="1"/>
        <v/>
      </c>
      <c r="I11145" s="26" t="str">
        <f t="shared" si="2"/>
        <v/>
      </c>
      <c r="J11145" s="86">
        <f t="shared" si="3"/>
        <v>0</v>
      </c>
      <c r="R11145" s="26"/>
    </row>
    <row r="11146" spans="1:18" ht="15.75" customHeight="1">
      <c r="A11146" s="26"/>
      <c r="B11146" s="86"/>
      <c r="D11146" s="26"/>
      <c r="F11146" s="87" t="str">
        <f t="shared" si="0"/>
        <v/>
      </c>
      <c r="H11146" s="26" t="str">
        <f t="shared" si="1"/>
        <v/>
      </c>
      <c r="I11146" s="26" t="str">
        <f t="shared" si="2"/>
        <v/>
      </c>
      <c r="J11146" s="86">
        <f t="shared" si="3"/>
        <v>0</v>
      </c>
      <c r="R11146" s="26"/>
    </row>
    <row r="11147" spans="1:18" ht="15.75" customHeight="1">
      <c r="A11147" s="26"/>
      <c r="B11147" s="86"/>
      <c r="D11147" s="26"/>
      <c r="F11147" s="87" t="str">
        <f t="shared" si="0"/>
        <v/>
      </c>
      <c r="H11147" s="26" t="str">
        <f t="shared" si="1"/>
        <v/>
      </c>
      <c r="I11147" s="26" t="str">
        <f t="shared" si="2"/>
        <v/>
      </c>
      <c r="J11147" s="86">
        <f t="shared" si="3"/>
        <v>0</v>
      </c>
      <c r="R11147" s="26"/>
    </row>
    <row r="11148" spans="1:18" ht="15.75" customHeight="1">
      <c r="A11148" s="26"/>
      <c r="B11148" s="86"/>
      <c r="D11148" s="26"/>
      <c r="F11148" s="87" t="str">
        <f t="shared" si="0"/>
        <v/>
      </c>
      <c r="H11148" s="26" t="str">
        <f t="shared" si="1"/>
        <v/>
      </c>
      <c r="I11148" s="26" t="str">
        <f t="shared" si="2"/>
        <v/>
      </c>
      <c r="J11148" s="86">
        <f t="shared" si="3"/>
        <v>0</v>
      </c>
      <c r="R11148" s="26"/>
    </row>
    <row r="11149" spans="1:18" ht="15.75" customHeight="1">
      <c r="A11149" s="26"/>
      <c r="B11149" s="86"/>
      <c r="D11149" s="26"/>
      <c r="F11149" s="87" t="str">
        <f t="shared" si="0"/>
        <v/>
      </c>
      <c r="H11149" s="26" t="str">
        <f t="shared" si="1"/>
        <v/>
      </c>
      <c r="I11149" s="26" t="str">
        <f t="shared" si="2"/>
        <v/>
      </c>
      <c r="J11149" s="86">
        <f t="shared" si="3"/>
        <v>0</v>
      </c>
      <c r="R11149" s="26"/>
    </row>
    <row r="11150" spans="1:18" ht="15.75" customHeight="1">
      <c r="A11150" s="26"/>
      <c r="B11150" s="86"/>
      <c r="D11150" s="26"/>
      <c r="F11150" s="87" t="str">
        <f t="shared" si="0"/>
        <v/>
      </c>
      <c r="H11150" s="26" t="str">
        <f t="shared" si="1"/>
        <v/>
      </c>
      <c r="I11150" s="26" t="str">
        <f t="shared" si="2"/>
        <v/>
      </c>
      <c r="J11150" s="86">
        <f t="shared" si="3"/>
        <v>0</v>
      </c>
      <c r="R11150" s="26"/>
    </row>
    <row r="11151" spans="1:18" ht="15.75" customHeight="1">
      <c r="A11151" s="26"/>
      <c r="B11151" s="86"/>
      <c r="D11151" s="26"/>
      <c r="F11151" s="87" t="str">
        <f t="shared" si="0"/>
        <v/>
      </c>
      <c r="H11151" s="26" t="str">
        <f t="shared" si="1"/>
        <v/>
      </c>
      <c r="I11151" s="26" t="str">
        <f t="shared" si="2"/>
        <v/>
      </c>
      <c r="J11151" s="86">
        <f t="shared" si="3"/>
        <v>0</v>
      </c>
      <c r="R11151" s="26"/>
    </row>
    <row r="11152" spans="1:18" ht="15.75" customHeight="1">
      <c r="A11152" s="26"/>
      <c r="B11152" s="86"/>
      <c r="D11152" s="26"/>
      <c r="F11152" s="87" t="str">
        <f t="shared" si="0"/>
        <v/>
      </c>
      <c r="H11152" s="26" t="str">
        <f t="shared" si="1"/>
        <v/>
      </c>
      <c r="I11152" s="26" t="str">
        <f t="shared" si="2"/>
        <v/>
      </c>
      <c r="J11152" s="86">
        <f t="shared" si="3"/>
        <v>0</v>
      </c>
      <c r="R11152" s="26"/>
    </row>
    <row r="11153" spans="1:18" ht="15.75" customHeight="1">
      <c r="A11153" s="26"/>
      <c r="B11153" s="86"/>
      <c r="D11153" s="26"/>
      <c r="F11153" s="87" t="str">
        <f t="shared" si="0"/>
        <v/>
      </c>
      <c r="H11153" s="26" t="str">
        <f t="shared" si="1"/>
        <v/>
      </c>
      <c r="I11153" s="26" t="str">
        <f t="shared" si="2"/>
        <v/>
      </c>
      <c r="J11153" s="86">
        <f t="shared" si="3"/>
        <v>0</v>
      </c>
      <c r="R11153" s="26"/>
    </row>
    <row r="11154" spans="1:18" ht="15.75" customHeight="1">
      <c r="A11154" s="26"/>
      <c r="B11154" s="86"/>
      <c r="D11154" s="26"/>
      <c r="F11154" s="87" t="str">
        <f t="shared" si="0"/>
        <v/>
      </c>
      <c r="H11154" s="26" t="str">
        <f t="shared" si="1"/>
        <v/>
      </c>
      <c r="I11154" s="26" t="str">
        <f t="shared" si="2"/>
        <v/>
      </c>
      <c r="J11154" s="86">
        <f t="shared" si="3"/>
        <v>0</v>
      </c>
      <c r="R11154" s="26"/>
    </row>
    <row r="11155" spans="1:18" ht="15.75" customHeight="1">
      <c r="A11155" s="26"/>
      <c r="B11155" s="86"/>
      <c r="D11155" s="26"/>
      <c r="F11155" s="87" t="str">
        <f t="shared" si="0"/>
        <v/>
      </c>
      <c r="H11155" s="26" t="str">
        <f t="shared" si="1"/>
        <v/>
      </c>
      <c r="I11155" s="26" t="str">
        <f t="shared" si="2"/>
        <v/>
      </c>
      <c r="J11155" s="86">
        <f t="shared" si="3"/>
        <v>0</v>
      </c>
      <c r="R11155" s="26"/>
    </row>
    <row r="11156" spans="1:18" ht="15.75" customHeight="1">
      <c r="A11156" s="26"/>
      <c r="B11156" s="86"/>
      <c r="D11156" s="26"/>
      <c r="F11156" s="87" t="str">
        <f t="shared" si="0"/>
        <v/>
      </c>
      <c r="H11156" s="26" t="str">
        <f t="shared" si="1"/>
        <v/>
      </c>
      <c r="I11156" s="26" t="str">
        <f t="shared" si="2"/>
        <v/>
      </c>
      <c r="J11156" s="86">
        <f t="shared" si="3"/>
        <v>0</v>
      </c>
      <c r="R11156" s="26"/>
    </row>
    <row r="11157" spans="1:18" ht="15.75" customHeight="1">
      <c r="A11157" s="26"/>
      <c r="B11157" s="86"/>
      <c r="D11157" s="26"/>
      <c r="F11157" s="87" t="str">
        <f t="shared" si="0"/>
        <v/>
      </c>
      <c r="H11157" s="26" t="str">
        <f t="shared" si="1"/>
        <v/>
      </c>
      <c r="I11157" s="26" t="str">
        <f t="shared" si="2"/>
        <v/>
      </c>
      <c r="J11157" s="86">
        <f t="shared" si="3"/>
        <v>0</v>
      </c>
      <c r="R11157" s="26"/>
    </row>
    <row r="11158" spans="1:18" ht="15.75" customHeight="1">
      <c r="A11158" s="26"/>
      <c r="B11158" s="86"/>
      <c r="D11158" s="26"/>
      <c r="F11158" s="87" t="str">
        <f t="shared" si="0"/>
        <v/>
      </c>
      <c r="H11158" s="26" t="str">
        <f t="shared" si="1"/>
        <v/>
      </c>
      <c r="I11158" s="26" t="str">
        <f t="shared" si="2"/>
        <v/>
      </c>
      <c r="J11158" s="86">
        <f t="shared" si="3"/>
        <v>0</v>
      </c>
      <c r="R11158" s="26"/>
    </row>
    <row r="11159" spans="1:18" ht="15.75" customHeight="1">
      <c r="A11159" s="26"/>
      <c r="B11159" s="86"/>
      <c r="D11159" s="26"/>
      <c r="F11159" s="87" t="str">
        <f t="shared" si="0"/>
        <v/>
      </c>
      <c r="H11159" s="26" t="str">
        <f t="shared" si="1"/>
        <v/>
      </c>
      <c r="I11159" s="26" t="str">
        <f t="shared" si="2"/>
        <v/>
      </c>
      <c r="J11159" s="86">
        <f t="shared" si="3"/>
        <v>0</v>
      </c>
      <c r="R11159" s="26"/>
    </row>
    <row r="11160" spans="1:18" ht="15.75" customHeight="1">
      <c r="A11160" s="26"/>
      <c r="B11160" s="86"/>
      <c r="D11160" s="26"/>
      <c r="F11160" s="87" t="str">
        <f t="shared" si="0"/>
        <v/>
      </c>
      <c r="H11160" s="26" t="str">
        <f t="shared" si="1"/>
        <v/>
      </c>
      <c r="I11160" s="26" t="str">
        <f t="shared" si="2"/>
        <v/>
      </c>
      <c r="J11160" s="86">
        <f t="shared" si="3"/>
        <v>0</v>
      </c>
      <c r="R11160" s="26"/>
    </row>
    <row r="11161" spans="1:18" ht="15.75" customHeight="1">
      <c r="A11161" s="26"/>
      <c r="B11161" s="86"/>
      <c r="D11161" s="26"/>
      <c r="F11161" s="87" t="str">
        <f t="shared" si="0"/>
        <v/>
      </c>
      <c r="H11161" s="26" t="str">
        <f t="shared" si="1"/>
        <v/>
      </c>
      <c r="I11161" s="26" t="str">
        <f t="shared" si="2"/>
        <v/>
      </c>
      <c r="J11161" s="86">
        <f t="shared" si="3"/>
        <v>0</v>
      </c>
      <c r="R11161" s="26"/>
    </row>
    <row r="11162" spans="1:18" ht="15.75" customHeight="1">
      <c r="A11162" s="26"/>
      <c r="B11162" s="86"/>
      <c r="D11162" s="26"/>
      <c r="F11162" s="87" t="str">
        <f t="shared" si="0"/>
        <v/>
      </c>
      <c r="H11162" s="26" t="str">
        <f t="shared" si="1"/>
        <v/>
      </c>
      <c r="I11162" s="26" t="str">
        <f t="shared" si="2"/>
        <v/>
      </c>
      <c r="J11162" s="86">
        <f t="shared" si="3"/>
        <v>0</v>
      </c>
      <c r="R11162" s="26"/>
    </row>
    <row r="11163" spans="1:18" ht="15.75" customHeight="1">
      <c r="A11163" s="26"/>
      <c r="B11163" s="86"/>
      <c r="D11163" s="26"/>
      <c r="F11163" s="87" t="str">
        <f t="shared" si="0"/>
        <v/>
      </c>
      <c r="H11163" s="26" t="str">
        <f t="shared" si="1"/>
        <v/>
      </c>
      <c r="I11163" s="26" t="str">
        <f t="shared" si="2"/>
        <v/>
      </c>
      <c r="J11163" s="86">
        <f t="shared" si="3"/>
        <v>0</v>
      </c>
      <c r="R11163" s="26"/>
    </row>
    <row r="11164" spans="1:18" ht="15.75" customHeight="1">
      <c r="A11164" s="26"/>
      <c r="B11164" s="86"/>
      <c r="D11164" s="26"/>
      <c r="F11164" s="87" t="str">
        <f t="shared" si="0"/>
        <v/>
      </c>
      <c r="H11164" s="26" t="str">
        <f t="shared" si="1"/>
        <v/>
      </c>
      <c r="I11164" s="26" t="str">
        <f t="shared" si="2"/>
        <v/>
      </c>
      <c r="J11164" s="86">
        <f t="shared" si="3"/>
        <v>0</v>
      </c>
      <c r="R11164" s="26"/>
    </row>
    <row r="11165" spans="1:18" ht="15.75" customHeight="1">
      <c r="A11165" s="26"/>
      <c r="B11165" s="86"/>
      <c r="D11165" s="26"/>
      <c r="F11165" s="87" t="str">
        <f t="shared" si="0"/>
        <v/>
      </c>
      <c r="H11165" s="26" t="str">
        <f t="shared" si="1"/>
        <v/>
      </c>
      <c r="I11165" s="26" t="str">
        <f t="shared" si="2"/>
        <v/>
      </c>
      <c r="J11165" s="86">
        <f t="shared" si="3"/>
        <v>0</v>
      </c>
      <c r="R11165" s="26"/>
    </row>
    <row r="11166" spans="1:18" ht="15.75" customHeight="1">
      <c r="A11166" s="26"/>
      <c r="B11166" s="86"/>
      <c r="D11166" s="26"/>
      <c r="F11166" s="87" t="str">
        <f t="shared" si="0"/>
        <v/>
      </c>
      <c r="H11166" s="26" t="str">
        <f t="shared" si="1"/>
        <v/>
      </c>
      <c r="I11166" s="26" t="str">
        <f t="shared" si="2"/>
        <v/>
      </c>
      <c r="J11166" s="86">
        <f t="shared" si="3"/>
        <v>0</v>
      </c>
      <c r="R11166" s="26"/>
    </row>
    <row r="11167" spans="1:18" ht="15.75" customHeight="1">
      <c r="A11167" s="26"/>
      <c r="B11167" s="86"/>
      <c r="D11167" s="26"/>
      <c r="F11167" s="87" t="str">
        <f t="shared" si="0"/>
        <v/>
      </c>
      <c r="H11167" s="26" t="str">
        <f t="shared" si="1"/>
        <v/>
      </c>
      <c r="I11167" s="26" t="str">
        <f t="shared" si="2"/>
        <v/>
      </c>
      <c r="J11167" s="86">
        <f t="shared" si="3"/>
        <v>0</v>
      </c>
      <c r="R11167" s="26"/>
    </row>
    <row r="11168" spans="1:18" ht="15.75" customHeight="1">
      <c r="A11168" s="26"/>
      <c r="B11168" s="86"/>
      <c r="D11168" s="26"/>
      <c r="F11168" s="87" t="str">
        <f t="shared" si="0"/>
        <v/>
      </c>
      <c r="H11168" s="26" t="str">
        <f t="shared" si="1"/>
        <v/>
      </c>
      <c r="I11168" s="26" t="str">
        <f t="shared" si="2"/>
        <v/>
      </c>
      <c r="J11168" s="86">
        <f t="shared" si="3"/>
        <v>0</v>
      </c>
      <c r="R11168" s="26"/>
    </row>
    <row r="11169" spans="1:18" ht="15.75" customHeight="1">
      <c r="A11169" s="26"/>
      <c r="B11169" s="86"/>
      <c r="D11169" s="26"/>
      <c r="F11169" s="87" t="str">
        <f t="shared" si="0"/>
        <v/>
      </c>
      <c r="H11169" s="26" t="str">
        <f t="shared" si="1"/>
        <v/>
      </c>
      <c r="I11169" s="26" t="str">
        <f t="shared" si="2"/>
        <v/>
      </c>
      <c r="J11169" s="86">
        <f t="shared" si="3"/>
        <v>0</v>
      </c>
      <c r="R11169" s="26"/>
    </row>
    <row r="11170" spans="1:18" ht="15.75" customHeight="1">
      <c r="A11170" s="26"/>
      <c r="B11170" s="86"/>
      <c r="D11170" s="26"/>
      <c r="F11170" s="87" t="str">
        <f t="shared" si="0"/>
        <v/>
      </c>
      <c r="H11170" s="26" t="str">
        <f t="shared" si="1"/>
        <v/>
      </c>
      <c r="I11170" s="26" t="str">
        <f t="shared" si="2"/>
        <v/>
      </c>
      <c r="J11170" s="86">
        <f t="shared" si="3"/>
        <v>0</v>
      </c>
      <c r="R11170" s="26"/>
    </row>
    <row r="11171" spans="1:18" ht="15.75" customHeight="1">
      <c r="A11171" s="26"/>
      <c r="B11171" s="86"/>
      <c r="D11171" s="26"/>
      <c r="F11171" s="87" t="str">
        <f t="shared" si="0"/>
        <v/>
      </c>
      <c r="H11171" s="26" t="str">
        <f t="shared" si="1"/>
        <v/>
      </c>
      <c r="I11171" s="26" t="str">
        <f t="shared" si="2"/>
        <v/>
      </c>
      <c r="J11171" s="86">
        <f t="shared" si="3"/>
        <v>0</v>
      </c>
      <c r="R11171" s="26"/>
    </row>
    <row r="11172" spans="1:18" ht="15.75" customHeight="1">
      <c r="A11172" s="26"/>
      <c r="B11172" s="86"/>
      <c r="D11172" s="26"/>
      <c r="F11172" s="87" t="str">
        <f t="shared" si="0"/>
        <v/>
      </c>
      <c r="H11172" s="26" t="str">
        <f t="shared" si="1"/>
        <v/>
      </c>
      <c r="I11172" s="26" t="str">
        <f t="shared" si="2"/>
        <v/>
      </c>
      <c r="J11172" s="86">
        <f t="shared" si="3"/>
        <v>0</v>
      </c>
      <c r="R11172" s="26"/>
    </row>
    <row r="11173" spans="1:18" ht="15.75" customHeight="1">
      <c r="A11173" s="26"/>
      <c r="B11173" s="86"/>
      <c r="D11173" s="26"/>
      <c r="F11173" s="87" t="str">
        <f t="shared" si="0"/>
        <v/>
      </c>
      <c r="H11173" s="26" t="str">
        <f t="shared" si="1"/>
        <v/>
      </c>
      <c r="I11173" s="26" t="str">
        <f t="shared" si="2"/>
        <v/>
      </c>
      <c r="J11173" s="86">
        <f t="shared" si="3"/>
        <v>0</v>
      </c>
      <c r="R11173" s="26"/>
    </row>
    <row r="11174" spans="1:18" ht="15.75" customHeight="1">
      <c r="A11174" s="26"/>
      <c r="B11174" s="86"/>
      <c r="D11174" s="26"/>
      <c r="F11174" s="87" t="str">
        <f t="shared" si="0"/>
        <v/>
      </c>
      <c r="H11174" s="26" t="str">
        <f t="shared" si="1"/>
        <v/>
      </c>
      <c r="I11174" s="26" t="str">
        <f t="shared" si="2"/>
        <v/>
      </c>
      <c r="J11174" s="86">
        <f t="shared" si="3"/>
        <v>0</v>
      </c>
      <c r="R11174" s="26"/>
    </row>
    <row r="11175" spans="1:18" ht="15.75" customHeight="1">
      <c r="A11175" s="26"/>
      <c r="B11175" s="86"/>
      <c r="D11175" s="26"/>
      <c r="F11175" s="87" t="str">
        <f t="shared" si="0"/>
        <v/>
      </c>
      <c r="H11175" s="26" t="str">
        <f t="shared" si="1"/>
        <v/>
      </c>
      <c r="I11175" s="26" t="str">
        <f t="shared" si="2"/>
        <v/>
      </c>
      <c r="J11175" s="86">
        <f t="shared" si="3"/>
        <v>0</v>
      </c>
      <c r="R11175" s="26"/>
    </row>
    <row r="11176" spans="1:18" ht="15.75" customHeight="1">
      <c r="A11176" s="26"/>
      <c r="B11176" s="86"/>
      <c r="D11176" s="26"/>
      <c r="F11176" s="87" t="str">
        <f t="shared" si="0"/>
        <v/>
      </c>
      <c r="H11176" s="26" t="str">
        <f t="shared" si="1"/>
        <v/>
      </c>
      <c r="I11176" s="26" t="str">
        <f t="shared" si="2"/>
        <v/>
      </c>
      <c r="J11176" s="86">
        <f t="shared" si="3"/>
        <v>0</v>
      </c>
      <c r="R11176" s="26"/>
    </row>
    <row r="11177" spans="1:18" ht="15.75" customHeight="1">
      <c r="A11177" s="26"/>
      <c r="B11177" s="86"/>
      <c r="D11177" s="26"/>
      <c r="F11177" s="87" t="str">
        <f t="shared" si="0"/>
        <v/>
      </c>
      <c r="H11177" s="26" t="str">
        <f t="shared" si="1"/>
        <v/>
      </c>
      <c r="I11177" s="26" t="str">
        <f t="shared" si="2"/>
        <v/>
      </c>
      <c r="J11177" s="86">
        <f t="shared" si="3"/>
        <v>0</v>
      </c>
      <c r="R11177" s="26"/>
    </row>
    <row r="11178" spans="1:18" ht="15.75" customHeight="1">
      <c r="A11178" s="26"/>
      <c r="B11178" s="86"/>
      <c r="D11178" s="26"/>
      <c r="F11178" s="87" t="str">
        <f t="shared" si="0"/>
        <v/>
      </c>
      <c r="H11178" s="26" t="str">
        <f t="shared" si="1"/>
        <v/>
      </c>
      <c r="I11178" s="26" t="str">
        <f t="shared" si="2"/>
        <v/>
      </c>
      <c r="J11178" s="86">
        <f t="shared" si="3"/>
        <v>0</v>
      </c>
      <c r="R11178" s="26"/>
    </row>
    <row r="11179" spans="1:18" ht="15.75" customHeight="1">
      <c r="A11179" s="26"/>
      <c r="B11179" s="86"/>
      <c r="D11179" s="26"/>
      <c r="F11179" s="87" t="str">
        <f t="shared" si="0"/>
        <v/>
      </c>
      <c r="H11179" s="26" t="str">
        <f t="shared" si="1"/>
        <v/>
      </c>
      <c r="I11179" s="26" t="str">
        <f t="shared" si="2"/>
        <v/>
      </c>
      <c r="J11179" s="86">
        <f t="shared" si="3"/>
        <v>0</v>
      </c>
      <c r="R11179" s="26"/>
    </row>
    <row r="11180" spans="1:18" ht="15.75" customHeight="1">
      <c r="A11180" s="26"/>
      <c r="B11180" s="86"/>
      <c r="D11180" s="26"/>
      <c r="F11180" s="87" t="str">
        <f t="shared" si="0"/>
        <v/>
      </c>
      <c r="H11180" s="26" t="str">
        <f t="shared" si="1"/>
        <v/>
      </c>
      <c r="I11180" s="26" t="str">
        <f t="shared" si="2"/>
        <v/>
      </c>
      <c r="J11180" s="86">
        <f t="shared" si="3"/>
        <v>0</v>
      </c>
      <c r="R11180" s="26"/>
    </row>
    <row r="11181" spans="1:18" ht="15.75" customHeight="1">
      <c r="A11181" s="26"/>
      <c r="B11181" s="86"/>
      <c r="D11181" s="26"/>
      <c r="F11181" s="87" t="str">
        <f t="shared" si="0"/>
        <v/>
      </c>
      <c r="H11181" s="26" t="str">
        <f t="shared" si="1"/>
        <v/>
      </c>
      <c r="I11181" s="26" t="str">
        <f t="shared" si="2"/>
        <v/>
      </c>
      <c r="J11181" s="86">
        <f t="shared" si="3"/>
        <v>0</v>
      </c>
      <c r="R11181" s="26"/>
    </row>
    <row r="11182" spans="1:18" ht="15.75" customHeight="1">
      <c r="A11182" s="26"/>
      <c r="B11182" s="86"/>
      <c r="D11182" s="26"/>
      <c r="F11182" s="87" t="str">
        <f t="shared" si="0"/>
        <v/>
      </c>
      <c r="H11182" s="26" t="str">
        <f t="shared" si="1"/>
        <v/>
      </c>
      <c r="I11182" s="26" t="str">
        <f t="shared" si="2"/>
        <v/>
      </c>
      <c r="J11182" s="86">
        <f t="shared" si="3"/>
        <v>0</v>
      </c>
      <c r="R11182" s="26"/>
    </row>
    <row r="11183" spans="1:18" ht="15.75" customHeight="1">
      <c r="A11183" s="26"/>
      <c r="B11183" s="86"/>
      <c r="D11183" s="26"/>
      <c r="F11183" s="87" t="str">
        <f t="shared" si="0"/>
        <v/>
      </c>
      <c r="H11183" s="26" t="str">
        <f t="shared" si="1"/>
        <v/>
      </c>
      <c r="I11183" s="26" t="str">
        <f t="shared" si="2"/>
        <v/>
      </c>
      <c r="J11183" s="86">
        <f t="shared" si="3"/>
        <v>0</v>
      </c>
      <c r="R11183" s="26"/>
    </row>
    <row r="11184" spans="1:18" ht="15.75" customHeight="1">
      <c r="A11184" s="26"/>
      <c r="B11184" s="86"/>
      <c r="D11184" s="26"/>
      <c r="F11184" s="87" t="str">
        <f t="shared" si="0"/>
        <v/>
      </c>
      <c r="H11184" s="26" t="str">
        <f t="shared" si="1"/>
        <v/>
      </c>
      <c r="I11184" s="26" t="str">
        <f t="shared" si="2"/>
        <v/>
      </c>
      <c r="J11184" s="86">
        <f t="shared" si="3"/>
        <v>0</v>
      </c>
      <c r="R11184" s="26"/>
    </row>
    <row r="11185" spans="1:18" ht="15.75" customHeight="1">
      <c r="A11185" s="26"/>
      <c r="B11185" s="86"/>
      <c r="D11185" s="26"/>
      <c r="F11185" s="87" t="str">
        <f t="shared" si="0"/>
        <v/>
      </c>
      <c r="H11185" s="26" t="str">
        <f t="shared" si="1"/>
        <v/>
      </c>
      <c r="I11185" s="26" t="str">
        <f t="shared" si="2"/>
        <v/>
      </c>
      <c r="J11185" s="86">
        <f t="shared" si="3"/>
        <v>0</v>
      </c>
      <c r="R11185" s="26"/>
    </row>
    <row r="11186" spans="1:18" ht="15.75" customHeight="1">
      <c r="A11186" s="26"/>
      <c r="B11186" s="86"/>
      <c r="D11186" s="26"/>
      <c r="F11186" s="87" t="str">
        <f t="shared" si="0"/>
        <v/>
      </c>
      <c r="H11186" s="26" t="str">
        <f t="shared" si="1"/>
        <v/>
      </c>
      <c r="I11186" s="26" t="str">
        <f t="shared" si="2"/>
        <v/>
      </c>
      <c r="J11186" s="86">
        <f t="shared" si="3"/>
        <v>0</v>
      </c>
      <c r="R11186" s="26"/>
    </row>
    <row r="11187" spans="1:18" ht="15.75" customHeight="1">
      <c r="A11187" s="26"/>
      <c r="B11187" s="86"/>
      <c r="D11187" s="26"/>
      <c r="F11187" s="87" t="str">
        <f t="shared" si="0"/>
        <v/>
      </c>
      <c r="H11187" s="26" t="str">
        <f t="shared" si="1"/>
        <v/>
      </c>
      <c r="I11187" s="26" t="str">
        <f t="shared" si="2"/>
        <v/>
      </c>
      <c r="J11187" s="86">
        <f t="shared" si="3"/>
        <v>0</v>
      </c>
      <c r="R11187" s="26"/>
    </row>
    <row r="11188" spans="1:18" ht="15.75" customHeight="1">
      <c r="A11188" s="26"/>
      <c r="B11188" s="86"/>
      <c r="D11188" s="26"/>
      <c r="F11188" s="87" t="str">
        <f t="shared" si="0"/>
        <v/>
      </c>
      <c r="H11188" s="26" t="str">
        <f t="shared" si="1"/>
        <v/>
      </c>
      <c r="I11188" s="26" t="str">
        <f t="shared" si="2"/>
        <v/>
      </c>
      <c r="J11188" s="86">
        <f t="shared" si="3"/>
        <v>0</v>
      </c>
      <c r="R11188" s="26"/>
    </row>
    <row r="11189" spans="1:18" ht="15.75" customHeight="1">
      <c r="A11189" s="26"/>
      <c r="B11189" s="86"/>
      <c r="D11189" s="26"/>
      <c r="F11189" s="87" t="str">
        <f t="shared" si="0"/>
        <v/>
      </c>
      <c r="H11189" s="26" t="str">
        <f t="shared" si="1"/>
        <v/>
      </c>
      <c r="I11189" s="26" t="str">
        <f t="shared" si="2"/>
        <v/>
      </c>
      <c r="J11189" s="86">
        <f t="shared" si="3"/>
        <v>0</v>
      </c>
      <c r="R11189" s="26"/>
    </row>
    <row r="11190" spans="1:18" ht="15.75" customHeight="1">
      <c r="A11190" s="26"/>
      <c r="B11190" s="86"/>
      <c r="D11190" s="26"/>
      <c r="F11190" s="87" t="str">
        <f t="shared" si="0"/>
        <v/>
      </c>
      <c r="H11190" s="26" t="str">
        <f t="shared" si="1"/>
        <v/>
      </c>
      <c r="I11190" s="26" t="str">
        <f t="shared" si="2"/>
        <v/>
      </c>
      <c r="J11190" s="86">
        <f t="shared" si="3"/>
        <v>0</v>
      </c>
      <c r="R11190" s="26"/>
    </row>
    <row r="11191" spans="1:18" ht="15.75" customHeight="1">
      <c r="A11191" s="26"/>
      <c r="B11191" s="86"/>
      <c r="D11191" s="26"/>
      <c r="F11191" s="87" t="str">
        <f t="shared" si="0"/>
        <v/>
      </c>
      <c r="H11191" s="26" t="str">
        <f t="shared" si="1"/>
        <v/>
      </c>
      <c r="I11191" s="26" t="str">
        <f t="shared" si="2"/>
        <v/>
      </c>
      <c r="J11191" s="86">
        <f t="shared" si="3"/>
        <v>0</v>
      </c>
      <c r="R11191" s="26"/>
    </row>
    <row r="11192" spans="1:18" ht="15.75" customHeight="1">
      <c r="A11192" s="26"/>
      <c r="B11192" s="86"/>
      <c r="D11192" s="26"/>
      <c r="F11192" s="87" t="str">
        <f t="shared" si="0"/>
        <v/>
      </c>
      <c r="H11192" s="26" t="str">
        <f t="shared" si="1"/>
        <v/>
      </c>
      <c r="I11192" s="26" t="str">
        <f t="shared" si="2"/>
        <v/>
      </c>
      <c r="J11192" s="86">
        <f t="shared" si="3"/>
        <v>0</v>
      </c>
      <c r="R11192" s="26"/>
    </row>
    <row r="11193" spans="1:18" ht="15.75" customHeight="1">
      <c r="A11193" s="26"/>
      <c r="B11193" s="86"/>
      <c r="D11193" s="26"/>
      <c r="F11193" s="87" t="str">
        <f t="shared" si="0"/>
        <v/>
      </c>
      <c r="H11193" s="26" t="str">
        <f t="shared" si="1"/>
        <v/>
      </c>
      <c r="I11193" s="26" t="str">
        <f t="shared" si="2"/>
        <v/>
      </c>
      <c r="J11193" s="86">
        <f t="shared" si="3"/>
        <v>0</v>
      </c>
      <c r="R11193" s="26"/>
    </row>
    <row r="11194" spans="1:18" ht="15.75" customHeight="1">
      <c r="A11194" s="26"/>
      <c r="B11194" s="86"/>
      <c r="D11194" s="26"/>
      <c r="F11194" s="87" t="str">
        <f t="shared" si="0"/>
        <v/>
      </c>
      <c r="H11194" s="26" t="str">
        <f t="shared" si="1"/>
        <v/>
      </c>
      <c r="I11194" s="26" t="str">
        <f t="shared" si="2"/>
        <v/>
      </c>
      <c r="J11194" s="86">
        <f t="shared" si="3"/>
        <v>0</v>
      </c>
      <c r="R11194" s="26"/>
    </row>
    <row r="11195" spans="1:18" ht="15.75" customHeight="1">
      <c r="A11195" s="26"/>
      <c r="B11195" s="86"/>
      <c r="D11195" s="26"/>
      <c r="F11195" s="87" t="str">
        <f t="shared" si="0"/>
        <v/>
      </c>
      <c r="H11195" s="26" t="str">
        <f t="shared" si="1"/>
        <v/>
      </c>
      <c r="I11195" s="26" t="str">
        <f t="shared" si="2"/>
        <v/>
      </c>
      <c r="J11195" s="86">
        <f t="shared" si="3"/>
        <v>0</v>
      </c>
      <c r="R11195" s="26"/>
    </row>
    <row r="11196" spans="1:18" ht="15.75" customHeight="1">
      <c r="A11196" s="26"/>
      <c r="B11196" s="86"/>
      <c r="D11196" s="26"/>
      <c r="F11196" s="87" t="str">
        <f t="shared" si="0"/>
        <v/>
      </c>
      <c r="H11196" s="26" t="str">
        <f t="shared" si="1"/>
        <v/>
      </c>
      <c r="I11196" s="26" t="str">
        <f t="shared" si="2"/>
        <v/>
      </c>
      <c r="J11196" s="86">
        <f t="shared" si="3"/>
        <v>0</v>
      </c>
      <c r="R11196" s="26"/>
    </row>
    <row r="11197" spans="1:18" ht="15.75" customHeight="1">
      <c r="A11197" s="26"/>
      <c r="B11197" s="86"/>
      <c r="D11197" s="26"/>
      <c r="F11197" s="87" t="str">
        <f t="shared" si="0"/>
        <v/>
      </c>
      <c r="H11197" s="26" t="str">
        <f t="shared" si="1"/>
        <v/>
      </c>
      <c r="I11197" s="26" t="str">
        <f t="shared" si="2"/>
        <v/>
      </c>
      <c r="J11197" s="86">
        <f t="shared" si="3"/>
        <v>0</v>
      </c>
      <c r="R11197" s="26"/>
    </row>
    <row r="11198" spans="1:18" ht="15.75" customHeight="1">
      <c r="A11198" s="26"/>
      <c r="B11198" s="86"/>
      <c r="D11198" s="26"/>
      <c r="F11198" s="87" t="str">
        <f t="shared" si="0"/>
        <v/>
      </c>
      <c r="H11198" s="26" t="str">
        <f t="shared" si="1"/>
        <v/>
      </c>
      <c r="I11198" s="26" t="str">
        <f t="shared" si="2"/>
        <v/>
      </c>
      <c r="J11198" s="86">
        <f t="shared" si="3"/>
        <v>0</v>
      </c>
      <c r="R11198" s="26"/>
    </row>
    <row r="11199" spans="1:18" ht="15.75" customHeight="1">
      <c r="A11199" s="26"/>
      <c r="B11199" s="86"/>
      <c r="D11199" s="26"/>
      <c r="F11199" s="87" t="str">
        <f t="shared" si="0"/>
        <v/>
      </c>
      <c r="H11199" s="26" t="str">
        <f t="shared" si="1"/>
        <v/>
      </c>
      <c r="I11199" s="26" t="str">
        <f t="shared" si="2"/>
        <v/>
      </c>
      <c r="J11199" s="86">
        <f t="shared" si="3"/>
        <v>0</v>
      </c>
      <c r="R11199" s="26"/>
    </row>
    <row r="11200" spans="1:18" ht="15.75" customHeight="1">
      <c r="A11200" s="26"/>
      <c r="B11200" s="86"/>
      <c r="D11200" s="26"/>
      <c r="F11200" s="87" t="str">
        <f t="shared" si="0"/>
        <v/>
      </c>
      <c r="H11200" s="26" t="str">
        <f t="shared" si="1"/>
        <v/>
      </c>
      <c r="I11200" s="26" t="str">
        <f t="shared" si="2"/>
        <v/>
      </c>
      <c r="J11200" s="86">
        <f t="shared" si="3"/>
        <v>0</v>
      </c>
      <c r="R11200" s="26"/>
    </row>
    <row r="11201" spans="1:18" ht="15.75" customHeight="1">
      <c r="A11201" s="26"/>
      <c r="B11201" s="86"/>
      <c r="D11201" s="26"/>
      <c r="F11201" s="87" t="str">
        <f t="shared" si="0"/>
        <v/>
      </c>
      <c r="H11201" s="26" t="str">
        <f t="shared" si="1"/>
        <v/>
      </c>
      <c r="I11201" s="26" t="str">
        <f t="shared" si="2"/>
        <v/>
      </c>
      <c r="J11201" s="86">
        <f t="shared" si="3"/>
        <v>0</v>
      </c>
      <c r="R11201" s="26"/>
    </row>
    <row r="11202" spans="1:18" ht="15.75" customHeight="1">
      <c r="A11202" s="26"/>
      <c r="B11202" s="86"/>
      <c r="D11202" s="26"/>
      <c r="F11202" s="87" t="str">
        <f t="shared" si="0"/>
        <v/>
      </c>
      <c r="H11202" s="26" t="str">
        <f t="shared" si="1"/>
        <v/>
      </c>
      <c r="I11202" s="26" t="str">
        <f t="shared" si="2"/>
        <v/>
      </c>
      <c r="J11202" s="86">
        <f t="shared" si="3"/>
        <v>0</v>
      </c>
      <c r="R11202" s="26"/>
    </row>
    <row r="11203" spans="1:18" ht="15.75" customHeight="1">
      <c r="A11203" s="26"/>
      <c r="B11203" s="86"/>
      <c r="D11203" s="26"/>
      <c r="F11203" s="87" t="str">
        <f t="shared" si="0"/>
        <v/>
      </c>
      <c r="H11203" s="26" t="str">
        <f t="shared" si="1"/>
        <v/>
      </c>
      <c r="I11203" s="26" t="str">
        <f t="shared" si="2"/>
        <v/>
      </c>
      <c r="J11203" s="86">
        <f t="shared" si="3"/>
        <v>0</v>
      </c>
      <c r="R11203" s="26"/>
    </row>
    <row r="11204" spans="1:18" ht="15.75" customHeight="1">
      <c r="A11204" s="26"/>
      <c r="B11204" s="86"/>
      <c r="D11204" s="26"/>
      <c r="F11204" s="87" t="str">
        <f t="shared" si="0"/>
        <v/>
      </c>
      <c r="H11204" s="26" t="str">
        <f t="shared" si="1"/>
        <v/>
      </c>
      <c r="I11204" s="26" t="str">
        <f t="shared" si="2"/>
        <v/>
      </c>
      <c r="J11204" s="86">
        <f t="shared" si="3"/>
        <v>0</v>
      </c>
      <c r="R11204" s="26"/>
    </row>
    <row r="11205" spans="1:18" ht="15.75" customHeight="1">
      <c r="A11205" s="26"/>
      <c r="B11205" s="86"/>
      <c r="D11205" s="26"/>
      <c r="F11205" s="87" t="str">
        <f t="shared" si="0"/>
        <v/>
      </c>
      <c r="H11205" s="26" t="str">
        <f t="shared" si="1"/>
        <v/>
      </c>
      <c r="I11205" s="26" t="str">
        <f t="shared" si="2"/>
        <v/>
      </c>
      <c r="J11205" s="86">
        <f t="shared" si="3"/>
        <v>0</v>
      </c>
      <c r="R11205" s="26"/>
    </row>
    <row r="11206" spans="1:18" ht="15.75" customHeight="1">
      <c r="A11206" s="26"/>
      <c r="B11206" s="86"/>
      <c r="D11206" s="26"/>
      <c r="F11206" s="87" t="str">
        <f t="shared" si="0"/>
        <v/>
      </c>
      <c r="H11206" s="26" t="str">
        <f t="shared" si="1"/>
        <v/>
      </c>
      <c r="I11206" s="26" t="str">
        <f t="shared" si="2"/>
        <v/>
      </c>
      <c r="J11206" s="86">
        <f t="shared" si="3"/>
        <v>0</v>
      </c>
      <c r="R11206" s="26"/>
    </row>
    <row r="11207" spans="1:18" ht="15.75" customHeight="1">
      <c r="A11207" s="26"/>
      <c r="B11207" s="86"/>
      <c r="D11207" s="26"/>
      <c r="F11207" s="87" t="str">
        <f t="shared" si="0"/>
        <v/>
      </c>
      <c r="H11207" s="26" t="str">
        <f t="shared" si="1"/>
        <v/>
      </c>
      <c r="I11207" s="26" t="str">
        <f t="shared" si="2"/>
        <v/>
      </c>
      <c r="J11207" s="86">
        <f t="shared" si="3"/>
        <v>0</v>
      </c>
      <c r="R11207" s="26"/>
    </row>
    <row r="11208" spans="1:18" ht="15.75" customHeight="1">
      <c r="A11208" s="26"/>
      <c r="B11208" s="86"/>
      <c r="D11208" s="26"/>
      <c r="F11208" s="87" t="str">
        <f t="shared" si="0"/>
        <v/>
      </c>
      <c r="H11208" s="26" t="str">
        <f t="shared" si="1"/>
        <v/>
      </c>
      <c r="I11208" s="26" t="str">
        <f t="shared" si="2"/>
        <v/>
      </c>
      <c r="J11208" s="86">
        <f t="shared" si="3"/>
        <v>0</v>
      </c>
      <c r="R11208" s="26"/>
    </row>
    <row r="11209" spans="1:18" ht="15.75" customHeight="1">
      <c r="A11209" s="26"/>
      <c r="B11209" s="86"/>
      <c r="D11209" s="26"/>
      <c r="F11209" s="87" t="str">
        <f t="shared" si="0"/>
        <v/>
      </c>
      <c r="H11209" s="26" t="str">
        <f t="shared" si="1"/>
        <v/>
      </c>
      <c r="I11209" s="26" t="str">
        <f t="shared" si="2"/>
        <v/>
      </c>
      <c r="J11209" s="86">
        <f t="shared" si="3"/>
        <v>0</v>
      </c>
      <c r="R11209" s="26"/>
    </row>
    <row r="11210" spans="1:18" ht="15.75" customHeight="1">
      <c r="A11210" s="26"/>
      <c r="B11210" s="86"/>
      <c r="D11210" s="26"/>
      <c r="F11210" s="87" t="str">
        <f t="shared" si="0"/>
        <v/>
      </c>
      <c r="H11210" s="26" t="str">
        <f t="shared" si="1"/>
        <v/>
      </c>
      <c r="I11210" s="26" t="str">
        <f t="shared" si="2"/>
        <v/>
      </c>
      <c r="J11210" s="86">
        <f t="shared" si="3"/>
        <v>0</v>
      </c>
      <c r="R11210" s="26"/>
    </row>
    <row r="11211" spans="1:18" ht="15.75" customHeight="1">
      <c r="A11211" s="26"/>
      <c r="B11211" s="86"/>
      <c r="D11211" s="26"/>
      <c r="F11211" s="87" t="str">
        <f t="shared" si="0"/>
        <v/>
      </c>
      <c r="H11211" s="26" t="str">
        <f t="shared" si="1"/>
        <v/>
      </c>
      <c r="I11211" s="26" t="str">
        <f t="shared" si="2"/>
        <v/>
      </c>
      <c r="J11211" s="86">
        <f t="shared" si="3"/>
        <v>0</v>
      </c>
      <c r="R11211" s="26"/>
    </row>
    <row r="11212" spans="1:18" ht="15.75" customHeight="1">
      <c r="A11212" s="26"/>
      <c r="B11212" s="86"/>
      <c r="D11212" s="26"/>
      <c r="F11212" s="87" t="str">
        <f t="shared" si="0"/>
        <v/>
      </c>
      <c r="H11212" s="26" t="str">
        <f t="shared" si="1"/>
        <v/>
      </c>
      <c r="I11212" s="26" t="str">
        <f t="shared" si="2"/>
        <v/>
      </c>
      <c r="J11212" s="86">
        <f t="shared" si="3"/>
        <v>0</v>
      </c>
      <c r="R11212" s="26"/>
    </row>
    <row r="11213" spans="1:18" ht="15.75" customHeight="1">
      <c r="A11213" s="26"/>
      <c r="B11213" s="86"/>
      <c r="D11213" s="26"/>
      <c r="F11213" s="87" t="str">
        <f t="shared" si="0"/>
        <v/>
      </c>
      <c r="H11213" s="26" t="str">
        <f t="shared" si="1"/>
        <v/>
      </c>
      <c r="I11213" s="26" t="str">
        <f t="shared" si="2"/>
        <v/>
      </c>
      <c r="J11213" s="86">
        <f t="shared" si="3"/>
        <v>0</v>
      </c>
      <c r="R11213" s="26"/>
    </row>
    <row r="11214" spans="1:18" ht="15.75" customHeight="1">
      <c r="A11214" s="26"/>
      <c r="B11214" s="86"/>
      <c r="D11214" s="26"/>
      <c r="F11214" s="87" t="str">
        <f t="shared" si="0"/>
        <v/>
      </c>
      <c r="H11214" s="26" t="str">
        <f t="shared" si="1"/>
        <v/>
      </c>
      <c r="I11214" s="26" t="str">
        <f t="shared" si="2"/>
        <v/>
      </c>
      <c r="J11214" s="86">
        <f t="shared" si="3"/>
        <v>0</v>
      </c>
      <c r="R11214" s="26"/>
    </row>
    <row r="11215" spans="1:18" ht="15.75" customHeight="1">
      <c r="A11215" s="26"/>
      <c r="B11215" s="86"/>
      <c r="D11215" s="26"/>
      <c r="F11215" s="87" t="str">
        <f t="shared" si="0"/>
        <v/>
      </c>
      <c r="H11215" s="26" t="str">
        <f t="shared" si="1"/>
        <v/>
      </c>
      <c r="I11215" s="26" t="str">
        <f t="shared" si="2"/>
        <v/>
      </c>
      <c r="J11215" s="86">
        <f t="shared" si="3"/>
        <v>0</v>
      </c>
      <c r="R11215" s="26"/>
    </row>
    <row r="11216" spans="1:18" ht="15.75" customHeight="1">
      <c r="A11216" s="26"/>
      <c r="B11216" s="86"/>
      <c r="D11216" s="26"/>
      <c r="F11216" s="87" t="str">
        <f t="shared" si="0"/>
        <v/>
      </c>
      <c r="H11216" s="26" t="str">
        <f t="shared" si="1"/>
        <v/>
      </c>
      <c r="I11216" s="26" t="str">
        <f t="shared" si="2"/>
        <v/>
      </c>
      <c r="J11216" s="86">
        <f t="shared" si="3"/>
        <v>0</v>
      </c>
      <c r="R11216" s="26"/>
    </row>
    <row r="11217" spans="1:18" ht="15.75" customHeight="1">
      <c r="A11217" s="26"/>
      <c r="B11217" s="86"/>
      <c r="D11217" s="26"/>
      <c r="F11217" s="87" t="str">
        <f t="shared" si="0"/>
        <v/>
      </c>
      <c r="H11217" s="26" t="str">
        <f t="shared" si="1"/>
        <v/>
      </c>
      <c r="I11217" s="26" t="str">
        <f t="shared" si="2"/>
        <v/>
      </c>
      <c r="J11217" s="86">
        <f t="shared" si="3"/>
        <v>0</v>
      </c>
      <c r="R11217" s="26"/>
    </row>
    <row r="11218" spans="1:18" ht="15.75" customHeight="1">
      <c r="A11218" s="26"/>
      <c r="B11218" s="86"/>
      <c r="D11218" s="26"/>
      <c r="F11218" s="87" t="str">
        <f t="shared" si="0"/>
        <v/>
      </c>
      <c r="H11218" s="26" t="str">
        <f t="shared" si="1"/>
        <v/>
      </c>
      <c r="I11218" s="26" t="str">
        <f t="shared" si="2"/>
        <v/>
      </c>
      <c r="J11218" s="86">
        <f t="shared" si="3"/>
        <v>0</v>
      </c>
      <c r="R11218" s="26"/>
    </row>
    <row r="11219" spans="1:18" ht="15.75" customHeight="1">
      <c r="A11219" s="26"/>
      <c r="B11219" s="86"/>
      <c r="D11219" s="26"/>
      <c r="F11219" s="87" t="str">
        <f t="shared" si="0"/>
        <v/>
      </c>
      <c r="H11219" s="26" t="str">
        <f t="shared" si="1"/>
        <v/>
      </c>
      <c r="I11219" s="26" t="str">
        <f t="shared" si="2"/>
        <v/>
      </c>
      <c r="J11219" s="86">
        <f t="shared" si="3"/>
        <v>0</v>
      </c>
      <c r="R11219" s="26"/>
    </row>
    <row r="11220" spans="1:18" ht="15.75" customHeight="1">
      <c r="A11220" s="26"/>
      <c r="B11220" s="86"/>
      <c r="D11220" s="26"/>
      <c r="F11220" s="87" t="str">
        <f t="shared" si="0"/>
        <v/>
      </c>
      <c r="H11220" s="26" t="str">
        <f t="shared" si="1"/>
        <v/>
      </c>
      <c r="I11220" s="26" t="str">
        <f t="shared" si="2"/>
        <v/>
      </c>
      <c r="J11220" s="86">
        <f t="shared" si="3"/>
        <v>0</v>
      </c>
      <c r="R11220" s="26"/>
    </row>
    <row r="11221" spans="1:18" ht="15.75" customHeight="1">
      <c r="A11221" s="26"/>
      <c r="B11221" s="86"/>
      <c r="D11221" s="26"/>
      <c r="F11221" s="87" t="str">
        <f t="shared" si="0"/>
        <v/>
      </c>
      <c r="H11221" s="26" t="str">
        <f t="shared" si="1"/>
        <v/>
      </c>
      <c r="I11221" s="26" t="str">
        <f t="shared" si="2"/>
        <v/>
      </c>
      <c r="J11221" s="86">
        <f t="shared" si="3"/>
        <v>0</v>
      </c>
      <c r="R11221" s="26"/>
    </row>
    <row r="11222" spans="1:18" ht="15.75" customHeight="1">
      <c r="A11222" s="26"/>
      <c r="B11222" s="86"/>
      <c r="D11222" s="26"/>
      <c r="F11222" s="87" t="str">
        <f t="shared" si="0"/>
        <v/>
      </c>
      <c r="H11222" s="26" t="str">
        <f t="shared" si="1"/>
        <v/>
      </c>
      <c r="I11222" s="26" t="str">
        <f t="shared" si="2"/>
        <v/>
      </c>
      <c r="J11222" s="86">
        <f t="shared" si="3"/>
        <v>0</v>
      </c>
      <c r="R11222" s="26"/>
    </row>
    <row r="11223" spans="1:18" ht="15.75" customHeight="1">
      <c r="A11223" s="26"/>
      <c r="B11223" s="86"/>
      <c r="D11223" s="26"/>
      <c r="F11223" s="87" t="str">
        <f t="shared" si="0"/>
        <v/>
      </c>
      <c r="H11223" s="26" t="str">
        <f t="shared" si="1"/>
        <v/>
      </c>
      <c r="I11223" s="26" t="str">
        <f t="shared" si="2"/>
        <v/>
      </c>
      <c r="J11223" s="86">
        <f t="shared" si="3"/>
        <v>0</v>
      </c>
      <c r="R11223" s="26"/>
    </row>
    <row r="11224" spans="1:18" ht="15.75" customHeight="1">
      <c r="A11224" s="26"/>
      <c r="B11224" s="86"/>
      <c r="D11224" s="26"/>
      <c r="F11224" s="87" t="str">
        <f t="shared" si="0"/>
        <v/>
      </c>
      <c r="H11224" s="26" t="str">
        <f t="shared" si="1"/>
        <v/>
      </c>
      <c r="I11224" s="26" t="str">
        <f t="shared" si="2"/>
        <v/>
      </c>
      <c r="J11224" s="86">
        <f t="shared" si="3"/>
        <v>0</v>
      </c>
      <c r="R11224" s="26"/>
    </row>
    <row r="11225" spans="1:18" ht="15.75" customHeight="1">
      <c r="A11225" s="26"/>
      <c r="B11225" s="86"/>
      <c r="D11225" s="26"/>
      <c r="F11225" s="87" t="str">
        <f t="shared" si="0"/>
        <v/>
      </c>
      <c r="H11225" s="26" t="str">
        <f t="shared" si="1"/>
        <v/>
      </c>
      <c r="I11225" s="26" t="str">
        <f t="shared" si="2"/>
        <v/>
      </c>
      <c r="J11225" s="86">
        <f t="shared" si="3"/>
        <v>0</v>
      </c>
      <c r="R11225" s="26"/>
    </row>
    <row r="11226" spans="1:18" ht="15.75" customHeight="1">
      <c r="A11226" s="26"/>
      <c r="B11226" s="86"/>
      <c r="D11226" s="26"/>
      <c r="F11226" s="87" t="str">
        <f t="shared" si="0"/>
        <v/>
      </c>
      <c r="H11226" s="26" t="str">
        <f t="shared" si="1"/>
        <v/>
      </c>
      <c r="I11226" s="26" t="str">
        <f t="shared" si="2"/>
        <v/>
      </c>
      <c r="J11226" s="86">
        <f t="shared" si="3"/>
        <v>0</v>
      </c>
      <c r="R11226" s="26"/>
    </row>
    <row r="11227" spans="1:18" ht="15.75" customHeight="1">
      <c r="A11227" s="26"/>
      <c r="B11227" s="86"/>
      <c r="D11227" s="26"/>
      <c r="F11227" s="87" t="str">
        <f t="shared" si="0"/>
        <v/>
      </c>
      <c r="H11227" s="26" t="str">
        <f t="shared" si="1"/>
        <v/>
      </c>
      <c r="I11227" s="26" t="str">
        <f t="shared" si="2"/>
        <v/>
      </c>
      <c r="J11227" s="86">
        <f t="shared" si="3"/>
        <v>0</v>
      </c>
      <c r="R11227" s="26"/>
    </row>
    <row r="11228" spans="1:18" ht="15.75" customHeight="1">
      <c r="A11228" s="26"/>
      <c r="B11228" s="86"/>
      <c r="D11228" s="26"/>
      <c r="F11228" s="87" t="str">
        <f t="shared" si="0"/>
        <v/>
      </c>
      <c r="H11228" s="26" t="str">
        <f t="shared" si="1"/>
        <v/>
      </c>
      <c r="I11228" s="26" t="str">
        <f t="shared" si="2"/>
        <v/>
      </c>
      <c r="J11228" s="86">
        <f t="shared" si="3"/>
        <v>0</v>
      </c>
      <c r="R11228" s="26"/>
    </row>
    <row r="11229" spans="1:18" ht="15.75" customHeight="1">
      <c r="A11229" s="26"/>
      <c r="B11229" s="86"/>
      <c r="D11229" s="26"/>
      <c r="F11229" s="87" t="str">
        <f t="shared" si="0"/>
        <v/>
      </c>
      <c r="H11229" s="26" t="str">
        <f t="shared" si="1"/>
        <v/>
      </c>
      <c r="I11229" s="26" t="str">
        <f t="shared" si="2"/>
        <v/>
      </c>
      <c r="J11229" s="86">
        <f t="shared" si="3"/>
        <v>0</v>
      </c>
      <c r="R11229" s="26"/>
    </row>
    <row r="11230" spans="1:18" ht="15.75" customHeight="1">
      <c r="A11230" s="26"/>
      <c r="B11230" s="86"/>
      <c r="D11230" s="26"/>
      <c r="F11230" s="87" t="str">
        <f t="shared" si="0"/>
        <v/>
      </c>
      <c r="H11230" s="26" t="str">
        <f t="shared" si="1"/>
        <v/>
      </c>
      <c r="I11230" s="26" t="str">
        <f t="shared" si="2"/>
        <v/>
      </c>
      <c r="J11230" s="86">
        <f t="shared" si="3"/>
        <v>0</v>
      </c>
      <c r="R11230" s="26"/>
    </row>
    <row r="11231" spans="1:18" ht="15.75" customHeight="1">
      <c r="A11231" s="26"/>
      <c r="B11231" s="86"/>
      <c r="D11231" s="26"/>
      <c r="F11231" s="87" t="str">
        <f t="shared" si="0"/>
        <v/>
      </c>
      <c r="H11231" s="26" t="str">
        <f t="shared" si="1"/>
        <v/>
      </c>
      <c r="I11231" s="26" t="str">
        <f t="shared" si="2"/>
        <v/>
      </c>
      <c r="J11231" s="86">
        <f t="shared" si="3"/>
        <v>0</v>
      </c>
      <c r="R11231" s="26"/>
    </row>
    <row r="11232" spans="1:18" ht="15.75" customHeight="1">
      <c r="A11232" s="26"/>
      <c r="B11232" s="86"/>
      <c r="D11232" s="26"/>
      <c r="F11232" s="87" t="str">
        <f t="shared" si="0"/>
        <v/>
      </c>
      <c r="H11232" s="26" t="str">
        <f t="shared" si="1"/>
        <v/>
      </c>
      <c r="I11232" s="26" t="str">
        <f t="shared" si="2"/>
        <v/>
      </c>
      <c r="J11232" s="86">
        <f t="shared" si="3"/>
        <v>0</v>
      </c>
      <c r="R11232" s="26"/>
    </row>
    <row r="11233" spans="1:18" ht="15.75" customHeight="1">
      <c r="A11233" s="26"/>
      <c r="B11233" s="86"/>
      <c r="D11233" s="26"/>
      <c r="F11233" s="87" t="str">
        <f t="shared" si="0"/>
        <v/>
      </c>
      <c r="H11233" s="26" t="str">
        <f t="shared" si="1"/>
        <v/>
      </c>
      <c r="I11233" s="26" t="str">
        <f t="shared" si="2"/>
        <v/>
      </c>
      <c r="J11233" s="86">
        <f t="shared" si="3"/>
        <v>0</v>
      </c>
      <c r="R11233" s="26"/>
    </row>
    <row r="11234" spans="1:18" ht="15.75" customHeight="1">
      <c r="A11234" s="26"/>
      <c r="B11234" s="86"/>
      <c r="D11234" s="26"/>
      <c r="F11234" s="87" t="str">
        <f t="shared" si="0"/>
        <v/>
      </c>
      <c r="H11234" s="26" t="str">
        <f t="shared" si="1"/>
        <v/>
      </c>
      <c r="I11234" s="26" t="str">
        <f t="shared" si="2"/>
        <v/>
      </c>
      <c r="J11234" s="86">
        <f t="shared" si="3"/>
        <v>0</v>
      </c>
      <c r="R11234" s="26"/>
    </row>
    <row r="11235" spans="1:18" ht="15.75" customHeight="1">
      <c r="A11235" s="26"/>
      <c r="B11235" s="86"/>
      <c r="D11235" s="26"/>
      <c r="F11235" s="87" t="str">
        <f t="shared" si="0"/>
        <v/>
      </c>
      <c r="H11235" s="26" t="str">
        <f t="shared" si="1"/>
        <v/>
      </c>
      <c r="I11235" s="26" t="str">
        <f t="shared" si="2"/>
        <v/>
      </c>
      <c r="J11235" s="86">
        <f t="shared" si="3"/>
        <v>0</v>
      </c>
      <c r="R11235" s="26"/>
    </row>
    <row r="11236" spans="1:18" ht="15.75" customHeight="1">
      <c r="A11236" s="26"/>
      <c r="B11236" s="86"/>
      <c r="D11236" s="26"/>
      <c r="F11236" s="87" t="str">
        <f t="shared" si="0"/>
        <v/>
      </c>
      <c r="H11236" s="26" t="str">
        <f t="shared" si="1"/>
        <v/>
      </c>
      <c r="I11236" s="26" t="str">
        <f t="shared" si="2"/>
        <v/>
      </c>
      <c r="J11236" s="86">
        <f t="shared" si="3"/>
        <v>0</v>
      </c>
      <c r="R11236" s="26"/>
    </row>
    <row r="11237" spans="1:18" ht="15.75" customHeight="1">
      <c r="A11237" s="26"/>
      <c r="B11237" s="86"/>
      <c r="D11237" s="26"/>
      <c r="F11237" s="87" t="str">
        <f t="shared" si="0"/>
        <v/>
      </c>
      <c r="H11237" s="26" t="str">
        <f t="shared" si="1"/>
        <v/>
      </c>
      <c r="I11237" s="26" t="str">
        <f t="shared" si="2"/>
        <v/>
      </c>
      <c r="J11237" s="86">
        <f t="shared" si="3"/>
        <v>0</v>
      </c>
      <c r="R11237" s="26"/>
    </row>
    <row r="11238" spans="1:18" ht="15.75" customHeight="1">
      <c r="A11238" s="26"/>
      <c r="B11238" s="86"/>
      <c r="D11238" s="26"/>
      <c r="F11238" s="87" t="str">
        <f t="shared" si="0"/>
        <v/>
      </c>
      <c r="H11238" s="26" t="str">
        <f t="shared" si="1"/>
        <v/>
      </c>
      <c r="I11238" s="26" t="str">
        <f t="shared" si="2"/>
        <v/>
      </c>
      <c r="J11238" s="86">
        <f t="shared" si="3"/>
        <v>0</v>
      </c>
      <c r="R11238" s="26"/>
    </row>
    <row r="11239" spans="1:18" ht="15.75" customHeight="1">
      <c r="A11239" s="26"/>
      <c r="B11239" s="86"/>
      <c r="D11239" s="26"/>
      <c r="F11239" s="87" t="str">
        <f t="shared" si="0"/>
        <v/>
      </c>
      <c r="H11239" s="26" t="str">
        <f t="shared" si="1"/>
        <v/>
      </c>
      <c r="I11239" s="26" t="str">
        <f t="shared" si="2"/>
        <v/>
      </c>
      <c r="J11239" s="86">
        <f t="shared" si="3"/>
        <v>0</v>
      </c>
      <c r="R11239" s="26"/>
    </row>
    <row r="11240" spans="1:18" ht="15.75" customHeight="1">
      <c r="A11240" s="26"/>
      <c r="B11240" s="86"/>
      <c r="D11240" s="26"/>
      <c r="F11240" s="87" t="str">
        <f t="shared" si="0"/>
        <v/>
      </c>
      <c r="H11240" s="26" t="str">
        <f t="shared" si="1"/>
        <v/>
      </c>
      <c r="I11240" s="26" t="str">
        <f t="shared" si="2"/>
        <v/>
      </c>
      <c r="J11240" s="86">
        <f t="shared" si="3"/>
        <v>0</v>
      </c>
      <c r="R11240" s="26"/>
    </row>
    <row r="11241" spans="1:18" ht="15.75" customHeight="1">
      <c r="A11241" s="26"/>
      <c r="B11241" s="86"/>
      <c r="D11241" s="26"/>
      <c r="F11241" s="87" t="str">
        <f t="shared" si="0"/>
        <v/>
      </c>
      <c r="H11241" s="26" t="str">
        <f t="shared" si="1"/>
        <v/>
      </c>
      <c r="I11241" s="26" t="str">
        <f t="shared" si="2"/>
        <v/>
      </c>
      <c r="J11241" s="86">
        <f t="shared" si="3"/>
        <v>0</v>
      </c>
      <c r="R11241" s="26"/>
    </row>
    <row r="11242" spans="1:18" ht="15.75" customHeight="1">
      <c r="A11242" s="26"/>
      <c r="B11242" s="86"/>
      <c r="D11242" s="26"/>
      <c r="F11242" s="87" t="str">
        <f t="shared" si="0"/>
        <v/>
      </c>
      <c r="H11242" s="26" t="str">
        <f t="shared" si="1"/>
        <v/>
      </c>
      <c r="I11242" s="26" t="str">
        <f t="shared" si="2"/>
        <v/>
      </c>
      <c r="J11242" s="86">
        <f t="shared" si="3"/>
        <v>0</v>
      </c>
      <c r="R11242" s="26"/>
    </row>
    <row r="11243" spans="1:18" ht="15.75" customHeight="1">
      <c r="A11243" s="26"/>
      <c r="B11243" s="86"/>
      <c r="D11243" s="26"/>
      <c r="F11243" s="87" t="str">
        <f t="shared" si="0"/>
        <v/>
      </c>
      <c r="H11243" s="26" t="str">
        <f t="shared" si="1"/>
        <v/>
      </c>
      <c r="I11243" s="26" t="str">
        <f t="shared" si="2"/>
        <v/>
      </c>
      <c r="J11243" s="86">
        <f t="shared" si="3"/>
        <v>0</v>
      </c>
      <c r="R11243" s="26"/>
    </row>
    <row r="11244" spans="1:18" ht="15.75" customHeight="1">
      <c r="A11244" s="26"/>
      <c r="B11244" s="86"/>
      <c r="D11244" s="26"/>
      <c r="F11244" s="87" t="str">
        <f t="shared" si="0"/>
        <v/>
      </c>
      <c r="H11244" s="26" t="str">
        <f t="shared" si="1"/>
        <v/>
      </c>
      <c r="I11244" s="26" t="str">
        <f t="shared" si="2"/>
        <v/>
      </c>
      <c r="J11244" s="86">
        <f t="shared" si="3"/>
        <v>0</v>
      </c>
      <c r="R11244" s="26"/>
    </row>
    <row r="11245" spans="1:18" ht="15.75" customHeight="1">
      <c r="A11245" s="26"/>
      <c r="B11245" s="86"/>
      <c r="D11245" s="26"/>
      <c r="F11245" s="87" t="str">
        <f t="shared" si="0"/>
        <v/>
      </c>
      <c r="H11245" s="26" t="str">
        <f t="shared" si="1"/>
        <v/>
      </c>
      <c r="I11245" s="26" t="str">
        <f t="shared" si="2"/>
        <v/>
      </c>
      <c r="J11245" s="86">
        <f t="shared" si="3"/>
        <v>0</v>
      </c>
      <c r="R11245" s="26"/>
    </row>
    <row r="11246" spans="1:18" ht="15.75" customHeight="1">
      <c r="A11246" s="26"/>
      <c r="B11246" s="86"/>
      <c r="D11246" s="26"/>
      <c r="F11246" s="87" t="str">
        <f t="shared" si="0"/>
        <v/>
      </c>
      <c r="H11246" s="26" t="str">
        <f t="shared" si="1"/>
        <v/>
      </c>
      <c r="I11246" s="26" t="str">
        <f t="shared" si="2"/>
        <v/>
      </c>
      <c r="J11246" s="86">
        <f t="shared" si="3"/>
        <v>0</v>
      </c>
      <c r="R11246" s="26"/>
    </row>
    <row r="11247" spans="1:18" ht="15.75" customHeight="1">
      <c r="A11247" s="26"/>
      <c r="B11247" s="86"/>
      <c r="D11247" s="26"/>
      <c r="F11247" s="87" t="str">
        <f t="shared" si="0"/>
        <v/>
      </c>
      <c r="H11247" s="26" t="str">
        <f t="shared" si="1"/>
        <v/>
      </c>
      <c r="I11247" s="26" t="str">
        <f t="shared" si="2"/>
        <v/>
      </c>
      <c r="J11247" s="86">
        <f t="shared" si="3"/>
        <v>0</v>
      </c>
      <c r="R11247" s="26"/>
    </row>
    <row r="11248" spans="1:18" ht="15.75" customHeight="1">
      <c r="A11248" s="26"/>
      <c r="B11248" s="86"/>
      <c r="D11248" s="26"/>
      <c r="F11248" s="87" t="str">
        <f t="shared" si="0"/>
        <v/>
      </c>
      <c r="H11248" s="26" t="str">
        <f t="shared" si="1"/>
        <v/>
      </c>
      <c r="I11248" s="26" t="str">
        <f t="shared" si="2"/>
        <v/>
      </c>
      <c r="J11248" s="86">
        <f t="shared" si="3"/>
        <v>0</v>
      </c>
      <c r="R11248" s="26"/>
    </row>
    <row r="11249" spans="1:18" ht="15.75" customHeight="1">
      <c r="A11249" s="26"/>
      <c r="B11249" s="86"/>
      <c r="D11249" s="26"/>
      <c r="F11249" s="87" t="str">
        <f t="shared" si="0"/>
        <v/>
      </c>
      <c r="H11249" s="26" t="str">
        <f t="shared" si="1"/>
        <v/>
      </c>
      <c r="I11249" s="26" t="str">
        <f t="shared" si="2"/>
        <v/>
      </c>
      <c r="J11249" s="86">
        <f t="shared" si="3"/>
        <v>0</v>
      </c>
      <c r="R11249" s="26"/>
    </row>
    <row r="11250" spans="1:18" ht="15.75" customHeight="1">
      <c r="A11250" s="26"/>
      <c r="B11250" s="86"/>
      <c r="D11250" s="26"/>
      <c r="F11250" s="87" t="str">
        <f t="shared" si="0"/>
        <v/>
      </c>
      <c r="H11250" s="26" t="str">
        <f t="shared" si="1"/>
        <v/>
      </c>
      <c r="I11250" s="26" t="str">
        <f t="shared" si="2"/>
        <v/>
      </c>
      <c r="J11250" s="86">
        <f t="shared" si="3"/>
        <v>0</v>
      </c>
      <c r="R11250" s="26"/>
    </row>
    <row r="11251" spans="1:18" ht="15.75" customHeight="1">
      <c r="A11251" s="26"/>
      <c r="B11251" s="86"/>
      <c r="D11251" s="26"/>
      <c r="F11251" s="87" t="str">
        <f t="shared" si="0"/>
        <v/>
      </c>
      <c r="H11251" s="26" t="str">
        <f t="shared" si="1"/>
        <v/>
      </c>
      <c r="I11251" s="26" t="str">
        <f t="shared" si="2"/>
        <v/>
      </c>
      <c r="J11251" s="86">
        <f t="shared" si="3"/>
        <v>0</v>
      </c>
      <c r="R11251" s="26"/>
    </row>
    <row r="11252" spans="1:18" ht="15.75" customHeight="1">
      <c r="A11252" s="26"/>
      <c r="B11252" s="86"/>
      <c r="D11252" s="26"/>
      <c r="F11252" s="87" t="str">
        <f t="shared" si="0"/>
        <v/>
      </c>
      <c r="H11252" s="26" t="str">
        <f t="shared" si="1"/>
        <v/>
      </c>
      <c r="I11252" s="26" t="str">
        <f t="shared" si="2"/>
        <v/>
      </c>
      <c r="J11252" s="86">
        <f t="shared" si="3"/>
        <v>0</v>
      </c>
      <c r="R11252" s="26"/>
    </row>
    <row r="11253" spans="1:18" ht="15.75" customHeight="1">
      <c r="A11253" s="26"/>
      <c r="B11253" s="86"/>
      <c r="D11253" s="26"/>
      <c r="F11253" s="87" t="str">
        <f t="shared" si="0"/>
        <v/>
      </c>
      <c r="H11253" s="26" t="str">
        <f t="shared" si="1"/>
        <v/>
      </c>
      <c r="I11253" s="26" t="str">
        <f t="shared" si="2"/>
        <v/>
      </c>
      <c r="J11253" s="86">
        <f t="shared" si="3"/>
        <v>0</v>
      </c>
      <c r="R11253" s="26"/>
    </row>
    <row r="11254" spans="1:18" ht="15.75" customHeight="1">
      <c r="A11254" s="26"/>
      <c r="B11254" s="86"/>
      <c r="D11254" s="26"/>
      <c r="F11254" s="87" t="str">
        <f t="shared" si="0"/>
        <v/>
      </c>
      <c r="H11254" s="26" t="str">
        <f t="shared" si="1"/>
        <v/>
      </c>
      <c r="I11254" s="26" t="str">
        <f t="shared" si="2"/>
        <v/>
      </c>
      <c r="J11254" s="86">
        <f t="shared" si="3"/>
        <v>0</v>
      </c>
      <c r="R11254" s="26"/>
    </row>
    <row r="11255" spans="1:18" ht="15.75" customHeight="1">
      <c r="A11255" s="26"/>
      <c r="B11255" s="86"/>
      <c r="D11255" s="26"/>
      <c r="F11255" s="87" t="str">
        <f t="shared" si="0"/>
        <v/>
      </c>
      <c r="H11255" s="26" t="str">
        <f t="shared" si="1"/>
        <v/>
      </c>
      <c r="I11255" s="26" t="str">
        <f t="shared" si="2"/>
        <v/>
      </c>
      <c r="J11255" s="86">
        <f t="shared" si="3"/>
        <v>0</v>
      </c>
      <c r="R11255" s="26"/>
    </row>
    <row r="11256" spans="1:18" ht="15.75" customHeight="1">
      <c r="A11256" s="26"/>
      <c r="B11256" s="86"/>
      <c r="D11256" s="26"/>
      <c r="F11256" s="87" t="str">
        <f t="shared" si="0"/>
        <v/>
      </c>
      <c r="H11256" s="26" t="str">
        <f t="shared" si="1"/>
        <v/>
      </c>
      <c r="I11256" s="26" t="str">
        <f t="shared" si="2"/>
        <v/>
      </c>
      <c r="J11256" s="86">
        <f t="shared" si="3"/>
        <v>0</v>
      </c>
      <c r="R11256" s="26"/>
    </row>
    <row r="11257" spans="1:18" ht="15.75" customHeight="1">
      <c r="A11257" s="26"/>
      <c r="B11257" s="86"/>
      <c r="D11257" s="26"/>
      <c r="F11257" s="87" t="str">
        <f t="shared" si="0"/>
        <v/>
      </c>
      <c r="H11257" s="26" t="str">
        <f t="shared" si="1"/>
        <v/>
      </c>
      <c r="I11257" s="26" t="str">
        <f t="shared" si="2"/>
        <v/>
      </c>
      <c r="J11257" s="86">
        <f t="shared" si="3"/>
        <v>0</v>
      </c>
      <c r="R11257" s="26"/>
    </row>
    <row r="11258" spans="1:18" ht="15.75" customHeight="1">
      <c r="A11258" s="26"/>
      <c r="B11258" s="86"/>
      <c r="D11258" s="26"/>
      <c r="F11258" s="87" t="str">
        <f t="shared" si="0"/>
        <v/>
      </c>
      <c r="H11258" s="26" t="str">
        <f t="shared" si="1"/>
        <v/>
      </c>
      <c r="I11258" s="26" t="str">
        <f t="shared" si="2"/>
        <v/>
      </c>
      <c r="J11258" s="86">
        <f t="shared" si="3"/>
        <v>0</v>
      </c>
      <c r="R11258" s="26"/>
    </row>
    <row r="11259" spans="1:18" ht="15.75" customHeight="1">
      <c r="A11259" s="26"/>
      <c r="B11259" s="86"/>
      <c r="D11259" s="26"/>
      <c r="F11259" s="87" t="str">
        <f t="shared" si="0"/>
        <v/>
      </c>
      <c r="H11259" s="26" t="str">
        <f t="shared" si="1"/>
        <v/>
      </c>
      <c r="I11259" s="26" t="str">
        <f t="shared" si="2"/>
        <v/>
      </c>
      <c r="J11259" s="86">
        <f t="shared" si="3"/>
        <v>0</v>
      </c>
      <c r="R11259" s="26"/>
    </row>
    <row r="11260" spans="1:18" ht="15.75" customHeight="1">
      <c r="A11260" s="26"/>
      <c r="B11260" s="86"/>
      <c r="D11260" s="26"/>
      <c r="F11260" s="87" t="str">
        <f t="shared" si="0"/>
        <v/>
      </c>
      <c r="H11260" s="26" t="str">
        <f t="shared" si="1"/>
        <v/>
      </c>
      <c r="I11260" s="26" t="str">
        <f t="shared" si="2"/>
        <v/>
      </c>
      <c r="J11260" s="86">
        <f t="shared" si="3"/>
        <v>0</v>
      </c>
      <c r="R11260" s="26"/>
    </row>
    <row r="11261" spans="1:18" ht="15.75" customHeight="1">
      <c r="A11261" s="26"/>
      <c r="B11261" s="86"/>
      <c r="D11261" s="26"/>
      <c r="F11261" s="87" t="str">
        <f t="shared" si="0"/>
        <v/>
      </c>
      <c r="H11261" s="26" t="str">
        <f t="shared" si="1"/>
        <v/>
      </c>
      <c r="I11261" s="26" t="str">
        <f t="shared" si="2"/>
        <v/>
      </c>
      <c r="J11261" s="86">
        <f t="shared" si="3"/>
        <v>0</v>
      </c>
      <c r="R11261" s="26"/>
    </row>
    <row r="11262" spans="1:18" ht="15.75" customHeight="1">
      <c r="A11262" s="26"/>
      <c r="B11262" s="86"/>
      <c r="D11262" s="26"/>
      <c r="F11262" s="87" t="str">
        <f t="shared" si="0"/>
        <v/>
      </c>
      <c r="H11262" s="26" t="str">
        <f t="shared" si="1"/>
        <v/>
      </c>
      <c r="I11262" s="26" t="str">
        <f t="shared" si="2"/>
        <v/>
      </c>
      <c r="J11262" s="86">
        <f t="shared" si="3"/>
        <v>0</v>
      </c>
      <c r="R11262" s="26"/>
    </row>
    <row r="11263" spans="1:18" ht="15.75" customHeight="1">
      <c r="A11263" s="26"/>
      <c r="B11263" s="86"/>
      <c r="D11263" s="26"/>
      <c r="F11263" s="87" t="str">
        <f t="shared" si="0"/>
        <v/>
      </c>
      <c r="H11263" s="26" t="str">
        <f t="shared" si="1"/>
        <v/>
      </c>
      <c r="I11263" s="26" t="str">
        <f t="shared" si="2"/>
        <v/>
      </c>
      <c r="J11263" s="86">
        <f t="shared" si="3"/>
        <v>0</v>
      </c>
      <c r="R11263" s="26"/>
    </row>
    <row r="11264" spans="1:18" ht="15.75" customHeight="1">
      <c r="A11264" s="26"/>
      <c r="B11264" s="86"/>
      <c r="D11264" s="26"/>
      <c r="F11264" s="87" t="str">
        <f t="shared" si="0"/>
        <v/>
      </c>
      <c r="H11264" s="26" t="str">
        <f t="shared" si="1"/>
        <v/>
      </c>
      <c r="I11264" s="26" t="str">
        <f t="shared" si="2"/>
        <v/>
      </c>
      <c r="J11264" s="86">
        <f t="shared" si="3"/>
        <v>0</v>
      </c>
      <c r="R11264" s="26"/>
    </row>
    <row r="11265" spans="1:18" ht="15.75" customHeight="1">
      <c r="A11265" s="26"/>
      <c r="B11265" s="86"/>
      <c r="D11265" s="26"/>
      <c r="F11265" s="87" t="str">
        <f t="shared" si="0"/>
        <v/>
      </c>
      <c r="H11265" s="26" t="str">
        <f t="shared" si="1"/>
        <v/>
      </c>
      <c r="I11265" s="26" t="str">
        <f t="shared" si="2"/>
        <v/>
      </c>
      <c r="J11265" s="86">
        <f t="shared" si="3"/>
        <v>0</v>
      </c>
      <c r="R11265" s="26"/>
    </row>
    <row r="11266" spans="1:18" ht="15.75" customHeight="1">
      <c r="A11266" s="26"/>
      <c r="B11266" s="86"/>
      <c r="D11266" s="26"/>
      <c r="F11266" s="87" t="str">
        <f t="shared" si="0"/>
        <v/>
      </c>
      <c r="H11266" s="26" t="str">
        <f t="shared" si="1"/>
        <v/>
      </c>
      <c r="I11266" s="26" t="str">
        <f t="shared" si="2"/>
        <v/>
      </c>
      <c r="J11266" s="86">
        <f t="shared" si="3"/>
        <v>0</v>
      </c>
      <c r="R11266" s="26"/>
    </row>
    <row r="11267" spans="1:18" ht="15.75" customHeight="1">
      <c r="A11267" s="26"/>
      <c r="B11267" s="86"/>
      <c r="D11267" s="26"/>
      <c r="F11267" s="87" t="str">
        <f t="shared" si="0"/>
        <v/>
      </c>
      <c r="H11267" s="26" t="str">
        <f t="shared" si="1"/>
        <v/>
      </c>
      <c r="I11267" s="26" t="str">
        <f t="shared" si="2"/>
        <v/>
      </c>
      <c r="J11267" s="86">
        <f t="shared" si="3"/>
        <v>0</v>
      </c>
      <c r="R11267" s="26"/>
    </row>
    <row r="11268" spans="1:18" ht="15.75" customHeight="1">
      <c r="A11268" s="26"/>
      <c r="B11268" s="86"/>
      <c r="D11268" s="26"/>
      <c r="F11268" s="87" t="str">
        <f t="shared" si="0"/>
        <v/>
      </c>
      <c r="H11268" s="26" t="str">
        <f t="shared" si="1"/>
        <v/>
      </c>
      <c r="I11268" s="26" t="str">
        <f t="shared" si="2"/>
        <v/>
      </c>
      <c r="J11268" s="86">
        <f t="shared" si="3"/>
        <v>0</v>
      </c>
      <c r="R11268" s="26"/>
    </row>
    <row r="11269" spans="1:18" ht="15.75" customHeight="1">
      <c r="A11269" s="26"/>
      <c r="B11269" s="86"/>
      <c r="D11269" s="26"/>
      <c r="F11269" s="87" t="str">
        <f t="shared" si="0"/>
        <v/>
      </c>
      <c r="H11269" s="26" t="str">
        <f t="shared" si="1"/>
        <v/>
      </c>
      <c r="I11269" s="26" t="str">
        <f t="shared" si="2"/>
        <v/>
      </c>
      <c r="J11269" s="86">
        <f t="shared" si="3"/>
        <v>0</v>
      </c>
      <c r="R11269" s="26"/>
    </row>
    <row r="11270" spans="1:18" ht="15.75" customHeight="1">
      <c r="A11270" s="26"/>
      <c r="B11270" s="86"/>
      <c r="D11270" s="26"/>
      <c r="F11270" s="87" t="str">
        <f t="shared" si="0"/>
        <v/>
      </c>
      <c r="H11270" s="26" t="str">
        <f t="shared" si="1"/>
        <v/>
      </c>
      <c r="I11270" s="26" t="str">
        <f t="shared" si="2"/>
        <v/>
      </c>
      <c r="J11270" s="86">
        <f t="shared" si="3"/>
        <v>0</v>
      </c>
      <c r="R11270" s="26"/>
    </row>
    <row r="11271" spans="1:18" ht="15.75" customHeight="1">
      <c r="A11271" s="26"/>
      <c r="B11271" s="86"/>
      <c r="D11271" s="26"/>
      <c r="F11271" s="87" t="str">
        <f t="shared" si="0"/>
        <v/>
      </c>
      <c r="H11271" s="26" t="str">
        <f t="shared" si="1"/>
        <v/>
      </c>
      <c r="I11271" s="26" t="str">
        <f t="shared" si="2"/>
        <v/>
      </c>
      <c r="J11271" s="86">
        <f t="shared" si="3"/>
        <v>0</v>
      </c>
      <c r="R11271" s="26"/>
    </row>
    <row r="11272" spans="1:18" ht="15.75" customHeight="1">
      <c r="A11272" s="26"/>
      <c r="B11272" s="86"/>
      <c r="D11272" s="26"/>
      <c r="F11272" s="87" t="str">
        <f t="shared" si="0"/>
        <v/>
      </c>
      <c r="H11272" s="26" t="str">
        <f t="shared" si="1"/>
        <v/>
      </c>
      <c r="I11272" s="26" t="str">
        <f t="shared" si="2"/>
        <v/>
      </c>
      <c r="J11272" s="86">
        <f t="shared" si="3"/>
        <v>0</v>
      </c>
      <c r="R11272" s="26"/>
    </row>
    <row r="11273" spans="1:18" ht="15.75" customHeight="1">
      <c r="A11273" s="26"/>
      <c r="B11273" s="86"/>
      <c r="D11273" s="26"/>
      <c r="F11273" s="87" t="str">
        <f t="shared" si="0"/>
        <v/>
      </c>
      <c r="H11273" s="26" t="str">
        <f t="shared" si="1"/>
        <v/>
      </c>
      <c r="I11273" s="26" t="str">
        <f t="shared" si="2"/>
        <v/>
      </c>
      <c r="J11273" s="86">
        <f t="shared" si="3"/>
        <v>0</v>
      </c>
      <c r="R11273" s="26"/>
    </row>
    <row r="11274" spans="1:18" ht="15.75" customHeight="1">
      <c r="A11274" s="26"/>
      <c r="B11274" s="86"/>
      <c r="D11274" s="26"/>
      <c r="F11274" s="87" t="str">
        <f t="shared" si="0"/>
        <v/>
      </c>
      <c r="H11274" s="26" t="str">
        <f t="shared" si="1"/>
        <v/>
      </c>
      <c r="I11274" s="26" t="str">
        <f t="shared" si="2"/>
        <v/>
      </c>
      <c r="J11274" s="86">
        <f t="shared" si="3"/>
        <v>0</v>
      </c>
      <c r="R11274" s="26"/>
    </row>
    <row r="11275" spans="1:18" ht="15.75" customHeight="1">
      <c r="A11275" s="26"/>
      <c r="B11275" s="86"/>
      <c r="D11275" s="26"/>
      <c r="F11275" s="87" t="str">
        <f t="shared" si="0"/>
        <v/>
      </c>
      <c r="H11275" s="26" t="str">
        <f t="shared" si="1"/>
        <v/>
      </c>
      <c r="I11275" s="26" t="str">
        <f t="shared" si="2"/>
        <v/>
      </c>
      <c r="J11275" s="86">
        <f t="shared" si="3"/>
        <v>0</v>
      </c>
      <c r="R11275" s="26"/>
    </row>
    <row r="11276" spans="1:18" ht="15.75" customHeight="1">
      <c r="A11276" s="26"/>
      <c r="B11276" s="86"/>
      <c r="D11276" s="26"/>
      <c r="F11276" s="87" t="str">
        <f t="shared" si="0"/>
        <v/>
      </c>
      <c r="H11276" s="26" t="str">
        <f t="shared" si="1"/>
        <v/>
      </c>
      <c r="I11276" s="26" t="str">
        <f t="shared" si="2"/>
        <v/>
      </c>
      <c r="J11276" s="86">
        <f t="shared" si="3"/>
        <v>0</v>
      </c>
      <c r="R11276" s="26"/>
    </row>
    <row r="11277" spans="1:18" ht="15.75" customHeight="1">
      <c r="A11277" s="26"/>
      <c r="B11277" s="86"/>
      <c r="D11277" s="26"/>
      <c r="F11277" s="87" t="str">
        <f t="shared" si="0"/>
        <v/>
      </c>
      <c r="H11277" s="26" t="str">
        <f t="shared" si="1"/>
        <v/>
      </c>
      <c r="I11277" s="26" t="str">
        <f t="shared" si="2"/>
        <v/>
      </c>
      <c r="J11277" s="86">
        <f t="shared" si="3"/>
        <v>0</v>
      </c>
      <c r="R11277" s="26"/>
    </row>
    <row r="11278" spans="1:18" ht="15.75" customHeight="1">
      <c r="A11278" s="26"/>
      <c r="B11278" s="86"/>
      <c r="D11278" s="26"/>
      <c r="F11278" s="87" t="str">
        <f t="shared" si="0"/>
        <v/>
      </c>
      <c r="H11278" s="26" t="str">
        <f t="shared" si="1"/>
        <v/>
      </c>
      <c r="I11278" s="26" t="str">
        <f t="shared" si="2"/>
        <v/>
      </c>
      <c r="J11278" s="86">
        <f t="shared" si="3"/>
        <v>0</v>
      </c>
      <c r="R11278" s="26"/>
    </row>
    <row r="11279" spans="1:18" ht="15.75" customHeight="1">
      <c r="A11279" s="26"/>
      <c r="B11279" s="86"/>
      <c r="D11279" s="26"/>
      <c r="F11279" s="87" t="str">
        <f t="shared" si="0"/>
        <v/>
      </c>
      <c r="H11279" s="26" t="str">
        <f t="shared" si="1"/>
        <v/>
      </c>
      <c r="I11279" s="26" t="str">
        <f t="shared" si="2"/>
        <v/>
      </c>
      <c r="J11279" s="86">
        <f t="shared" si="3"/>
        <v>0</v>
      </c>
      <c r="R11279" s="26"/>
    </row>
    <row r="11280" spans="1:18" ht="15.75" customHeight="1">
      <c r="A11280" s="26"/>
      <c r="B11280" s="86"/>
      <c r="D11280" s="26"/>
      <c r="F11280" s="87" t="str">
        <f t="shared" si="0"/>
        <v/>
      </c>
      <c r="H11280" s="26" t="str">
        <f t="shared" si="1"/>
        <v/>
      </c>
      <c r="I11280" s="26" t="str">
        <f t="shared" si="2"/>
        <v/>
      </c>
      <c r="J11280" s="86">
        <f t="shared" si="3"/>
        <v>0</v>
      </c>
      <c r="R11280" s="26"/>
    </row>
    <row r="11281" spans="1:18" ht="15.75" customHeight="1">
      <c r="A11281" s="26"/>
      <c r="B11281" s="86"/>
      <c r="D11281" s="26"/>
      <c r="F11281" s="87" t="str">
        <f t="shared" si="0"/>
        <v/>
      </c>
      <c r="H11281" s="26" t="str">
        <f t="shared" si="1"/>
        <v/>
      </c>
      <c r="I11281" s="26" t="str">
        <f t="shared" si="2"/>
        <v/>
      </c>
      <c r="J11281" s="86">
        <f t="shared" si="3"/>
        <v>0</v>
      </c>
      <c r="R11281" s="26"/>
    </row>
    <row r="11282" spans="1:18" ht="15.75" customHeight="1">
      <c r="A11282" s="26"/>
      <c r="B11282" s="86"/>
      <c r="D11282" s="26"/>
      <c r="F11282" s="87" t="str">
        <f t="shared" si="0"/>
        <v/>
      </c>
      <c r="H11282" s="26" t="str">
        <f t="shared" si="1"/>
        <v/>
      </c>
      <c r="I11282" s="26" t="str">
        <f t="shared" si="2"/>
        <v/>
      </c>
      <c r="J11282" s="86">
        <f t="shared" si="3"/>
        <v>0</v>
      </c>
      <c r="R11282" s="26"/>
    </row>
    <row r="11283" spans="1:18" ht="15.75" customHeight="1">
      <c r="A11283" s="26"/>
      <c r="B11283" s="86"/>
      <c r="D11283" s="26"/>
      <c r="F11283" s="87" t="str">
        <f t="shared" si="0"/>
        <v/>
      </c>
      <c r="H11283" s="26" t="str">
        <f t="shared" si="1"/>
        <v/>
      </c>
      <c r="I11283" s="26" t="str">
        <f t="shared" si="2"/>
        <v/>
      </c>
      <c r="J11283" s="86">
        <f t="shared" si="3"/>
        <v>0</v>
      </c>
      <c r="R11283" s="26"/>
    </row>
    <row r="11284" spans="1:18" ht="15.75" customHeight="1">
      <c r="A11284" s="26"/>
      <c r="B11284" s="86"/>
      <c r="D11284" s="26"/>
      <c r="F11284" s="87" t="str">
        <f t="shared" si="0"/>
        <v/>
      </c>
      <c r="H11284" s="26" t="str">
        <f t="shared" si="1"/>
        <v/>
      </c>
      <c r="I11284" s="26" t="str">
        <f t="shared" si="2"/>
        <v/>
      </c>
      <c r="J11284" s="86">
        <f t="shared" si="3"/>
        <v>0</v>
      </c>
      <c r="R11284" s="26"/>
    </row>
    <row r="11285" spans="1:18" ht="15.75" customHeight="1">
      <c r="A11285" s="26"/>
      <c r="B11285" s="86"/>
      <c r="D11285" s="26"/>
      <c r="F11285" s="87" t="str">
        <f t="shared" si="0"/>
        <v/>
      </c>
      <c r="H11285" s="26" t="str">
        <f t="shared" si="1"/>
        <v/>
      </c>
      <c r="I11285" s="26" t="str">
        <f t="shared" si="2"/>
        <v/>
      </c>
      <c r="J11285" s="86">
        <f t="shared" si="3"/>
        <v>0</v>
      </c>
      <c r="R11285" s="26"/>
    </row>
    <row r="11286" spans="1:18" ht="15.75" customHeight="1">
      <c r="A11286" s="26"/>
      <c r="B11286" s="86"/>
      <c r="D11286" s="26"/>
      <c r="F11286" s="87" t="str">
        <f t="shared" si="0"/>
        <v/>
      </c>
      <c r="H11286" s="26" t="str">
        <f t="shared" si="1"/>
        <v/>
      </c>
      <c r="I11286" s="26" t="str">
        <f t="shared" si="2"/>
        <v/>
      </c>
      <c r="J11286" s="86">
        <f t="shared" si="3"/>
        <v>0</v>
      </c>
      <c r="R11286" s="26"/>
    </row>
    <row r="11287" spans="1:18" ht="15.75" customHeight="1">
      <c r="A11287" s="26"/>
      <c r="B11287" s="86"/>
      <c r="D11287" s="26"/>
      <c r="F11287" s="87" t="str">
        <f t="shared" si="0"/>
        <v/>
      </c>
      <c r="H11287" s="26" t="str">
        <f t="shared" si="1"/>
        <v/>
      </c>
      <c r="I11287" s="26" t="str">
        <f t="shared" si="2"/>
        <v/>
      </c>
      <c r="J11287" s="86">
        <f t="shared" si="3"/>
        <v>0</v>
      </c>
      <c r="R11287" s="26"/>
    </row>
    <row r="11288" spans="1:18" ht="15.75" customHeight="1">
      <c r="A11288" s="26"/>
      <c r="B11288" s="86"/>
      <c r="D11288" s="26"/>
      <c r="F11288" s="87" t="str">
        <f t="shared" si="0"/>
        <v/>
      </c>
      <c r="H11288" s="26" t="str">
        <f t="shared" si="1"/>
        <v/>
      </c>
      <c r="I11288" s="26" t="str">
        <f t="shared" si="2"/>
        <v/>
      </c>
      <c r="J11288" s="86">
        <f t="shared" si="3"/>
        <v>0</v>
      </c>
      <c r="R11288" s="26"/>
    </row>
    <row r="11289" spans="1:18" ht="15.75" customHeight="1">
      <c r="A11289" s="26"/>
      <c r="B11289" s="86"/>
      <c r="D11289" s="26"/>
      <c r="F11289" s="87" t="str">
        <f t="shared" si="0"/>
        <v/>
      </c>
      <c r="H11289" s="26" t="str">
        <f t="shared" si="1"/>
        <v/>
      </c>
      <c r="I11289" s="26" t="str">
        <f t="shared" si="2"/>
        <v/>
      </c>
      <c r="J11289" s="86">
        <f t="shared" si="3"/>
        <v>0</v>
      </c>
      <c r="R11289" s="26"/>
    </row>
    <row r="11290" spans="1:18" ht="15.75" customHeight="1">
      <c r="A11290" s="26"/>
      <c r="B11290" s="86"/>
      <c r="D11290" s="26"/>
      <c r="F11290" s="87" t="str">
        <f t="shared" si="0"/>
        <v/>
      </c>
      <c r="H11290" s="26" t="str">
        <f t="shared" si="1"/>
        <v/>
      </c>
      <c r="I11290" s="26" t="str">
        <f t="shared" si="2"/>
        <v/>
      </c>
      <c r="J11290" s="86">
        <f t="shared" si="3"/>
        <v>0</v>
      </c>
      <c r="R11290" s="26"/>
    </row>
    <row r="11291" spans="1:18" ht="15.75" customHeight="1">
      <c r="A11291" s="26"/>
      <c r="B11291" s="86"/>
      <c r="D11291" s="26"/>
      <c r="F11291" s="87" t="str">
        <f t="shared" si="0"/>
        <v/>
      </c>
      <c r="H11291" s="26" t="str">
        <f t="shared" si="1"/>
        <v/>
      </c>
      <c r="I11291" s="26" t="str">
        <f t="shared" si="2"/>
        <v/>
      </c>
      <c r="J11291" s="86">
        <f t="shared" si="3"/>
        <v>0</v>
      </c>
      <c r="R11291" s="26"/>
    </row>
    <row r="11292" spans="1:18" ht="15.75" customHeight="1">
      <c r="A11292" s="26"/>
      <c r="B11292" s="86"/>
      <c r="D11292" s="26"/>
      <c r="F11292" s="87" t="str">
        <f t="shared" si="0"/>
        <v/>
      </c>
      <c r="H11292" s="26" t="str">
        <f t="shared" si="1"/>
        <v/>
      </c>
      <c r="I11292" s="26" t="str">
        <f t="shared" si="2"/>
        <v/>
      </c>
      <c r="J11292" s="86">
        <f t="shared" si="3"/>
        <v>0</v>
      </c>
      <c r="R11292" s="26"/>
    </row>
    <row r="11293" spans="1:18" ht="15.75" customHeight="1">
      <c r="A11293" s="26"/>
      <c r="B11293" s="86"/>
      <c r="D11293" s="26"/>
      <c r="F11293" s="87" t="str">
        <f t="shared" si="0"/>
        <v/>
      </c>
      <c r="H11293" s="26" t="str">
        <f t="shared" si="1"/>
        <v/>
      </c>
      <c r="I11293" s="26" t="str">
        <f t="shared" si="2"/>
        <v/>
      </c>
      <c r="J11293" s="86">
        <f t="shared" si="3"/>
        <v>0</v>
      </c>
      <c r="R11293" s="26"/>
    </row>
    <row r="11294" spans="1:18" ht="15.75" customHeight="1">
      <c r="A11294" s="26"/>
      <c r="B11294" s="86"/>
      <c r="D11294" s="26"/>
      <c r="F11294" s="87" t="str">
        <f t="shared" si="0"/>
        <v/>
      </c>
      <c r="H11294" s="26" t="str">
        <f t="shared" si="1"/>
        <v/>
      </c>
      <c r="I11294" s="26" t="str">
        <f t="shared" si="2"/>
        <v/>
      </c>
      <c r="J11294" s="86">
        <f t="shared" si="3"/>
        <v>0</v>
      </c>
      <c r="R11294" s="26"/>
    </row>
    <row r="11295" spans="1:18" ht="15.75" customHeight="1">
      <c r="A11295" s="26"/>
      <c r="B11295" s="86"/>
      <c r="D11295" s="26"/>
      <c r="F11295" s="87" t="str">
        <f t="shared" si="0"/>
        <v/>
      </c>
      <c r="H11295" s="26" t="str">
        <f t="shared" si="1"/>
        <v/>
      </c>
      <c r="I11295" s="26" t="str">
        <f t="shared" si="2"/>
        <v/>
      </c>
      <c r="J11295" s="86">
        <f t="shared" si="3"/>
        <v>0</v>
      </c>
      <c r="R11295" s="26"/>
    </row>
    <row r="11296" spans="1:18" ht="15.75" customHeight="1">
      <c r="A11296" s="26"/>
      <c r="B11296" s="86"/>
      <c r="D11296" s="26"/>
      <c r="F11296" s="87" t="str">
        <f t="shared" si="0"/>
        <v/>
      </c>
      <c r="H11296" s="26" t="str">
        <f t="shared" si="1"/>
        <v/>
      </c>
      <c r="I11296" s="26" t="str">
        <f t="shared" si="2"/>
        <v/>
      </c>
      <c r="J11296" s="86">
        <f t="shared" si="3"/>
        <v>0</v>
      </c>
      <c r="R11296" s="26"/>
    </row>
    <row r="11297" spans="1:18" ht="15.75" customHeight="1">
      <c r="A11297" s="26"/>
      <c r="B11297" s="86"/>
      <c r="D11297" s="26"/>
      <c r="F11297" s="87" t="str">
        <f t="shared" si="0"/>
        <v/>
      </c>
      <c r="H11297" s="26" t="str">
        <f t="shared" si="1"/>
        <v/>
      </c>
      <c r="I11297" s="26" t="str">
        <f t="shared" si="2"/>
        <v/>
      </c>
      <c r="J11297" s="86">
        <f t="shared" si="3"/>
        <v>0</v>
      </c>
      <c r="R11297" s="26"/>
    </row>
    <row r="11298" spans="1:18" ht="15.75" customHeight="1">
      <c r="A11298" s="26"/>
      <c r="B11298" s="86"/>
      <c r="D11298" s="26"/>
      <c r="F11298" s="87" t="str">
        <f t="shared" si="0"/>
        <v/>
      </c>
      <c r="H11298" s="26" t="str">
        <f t="shared" si="1"/>
        <v/>
      </c>
      <c r="I11298" s="26" t="str">
        <f t="shared" si="2"/>
        <v/>
      </c>
      <c r="J11298" s="86">
        <f t="shared" si="3"/>
        <v>0</v>
      </c>
      <c r="R11298" s="26"/>
    </row>
    <row r="11299" spans="1:18" ht="15.75" customHeight="1">
      <c r="A11299" s="26"/>
      <c r="B11299" s="86"/>
      <c r="D11299" s="26"/>
      <c r="F11299" s="87" t="str">
        <f t="shared" si="0"/>
        <v/>
      </c>
      <c r="H11299" s="26" t="str">
        <f t="shared" si="1"/>
        <v/>
      </c>
      <c r="I11299" s="26" t="str">
        <f t="shared" si="2"/>
        <v/>
      </c>
      <c r="J11299" s="86">
        <f t="shared" si="3"/>
        <v>0</v>
      </c>
      <c r="R11299" s="26"/>
    </row>
    <row r="11300" spans="1:18" ht="15.75" customHeight="1">
      <c r="A11300" s="26"/>
      <c r="B11300" s="86"/>
      <c r="D11300" s="26"/>
      <c r="F11300" s="87" t="str">
        <f t="shared" si="0"/>
        <v/>
      </c>
      <c r="H11300" s="26" t="str">
        <f t="shared" si="1"/>
        <v/>
      </c>
      <c r="I11300" s="26" t="str">
        <f t="shared" si="2"/>
        <v/>
      </c>
      <c r="J11300" s="86">
        <f t="shared" si="3"/>
        <v>0</v>
      </c>
      <c r="R11300" s="26"/>
    </row>
    <row r="11301" spans="1:18" ht="15.75" customHeight="1">
      <c r="A11301" s="26"/>
      <c r="B11301" s="86"/>
      <c r="D11301" s="26"/>
      <c r="F11301" s="87" t="str">
        <f t="shared" si="0"/>
        <v/>
      </c>
      <c r="H11301" s="26" t="str">
        <f t="shared" si="1"/>
        <v/>
      </c>
      <c r="I11301" s="26" t="str">
        <f t="shared" si="2"/>
        <v/>
      </c>
      <c r="J11301" s="86">
        <f t="shared" si="3"/>
        <v>0</v>
      </c>
      <c r="R11301" s="26"/>
    </row>
    <row r="11302" spans="1:18" ht="15.75" customHeight="1">
      <c r="A11302" s="26"/>
      <c r="B11302" s="86"/>
      <c r="D11302" s="26"/>
      <c r="F11302" s="87" t="str">
        <f t="shared" si="0"/>
        <v/>
      </c>
      <c r="H11302" s="26" t="str">
        <f t="shared" si="1"/>
        <v/>
      </c>
      <c r="I11302" s="26" t="str">
        <f t="shared" si="2"/>
        <v/>
      </c>
      <c r="J11302" s="86">
        <f t="shared" si="3"/>
        <v>0</v>
      </c>
      <c r="R11302" s="26"/>
    </row>
    <row r="11303" spans="1:18" ht="15.75" customHeight="1">
      <c r="A11303" s="26"/>
      <c r="B11303" s="86"/>
      <c r="D11303" s="26"/>
      <c r="F11303" s="87" t="str">
        <f t="shared" si="0"/>
        <v/>
      </c>
      <c r="H11303" s="26" t="str">
        <f t="shared" si="1"/>
        <v/>
      </c>
      <c r="I11303" s="26" t="str">
        <f t="shared" si="2"/>
        <v/>
      </c>
      <c r="J11303" s="86">
        <f t="shared" si="3"/>
        <v>0</v>
      </c>
      <c r="R11303" s="26"/>
    </row>
    <row r="11304" spans="1:18" ht="15.75" customHeight="1">
      <c r="A11304" s="26"/>
      <c r="B11304" s="86"/>
      <c r="D11304" s="26"/>
      <c r="F11304" s="87" t="str">
        <f t="shared" si="0"/>
        <v/>
      </c>
      <c r="H11304" s="26" t="str">
        <f t="shared" si="1"/>
        <v/>
      </c>
      <c r="I11304" s="26" t="str">
        <f t="shared" si="2"/>
        <v/>
      </c>
      <c r="J11304" s="86">
        <f t="shared" si="3"/>
        <v>0</v>
      </c>
      <c r="R11304" s="26"/>
    </row>
    <row r="11305" spans="1:18" ht="15.75" customHeight="1">
      <c r="A11305" s="26"/>
      <c r="B11305" s="86"/>
      <c r="D11305" s="26"/>
      <c r="F11305" s="87" t="str">
        <f t="shared" si="0"/>
        <v/>
      </c>
      <c r="H11305" s="26" t="str">
        <f t="shared" si="1"/>
        <v/>
      </c>
      <c r="I11305" s="26" t="str">
        <f t="shared" si="2"/>
        <v/>
      </c>
      <c r="J11305" s="86">
        <f t="shared" si="3"/>
        <v>0</v>
      </c>
      <c r="R11305" s="26"/>
    </row>
    <row r="11306" spans="1:18" ht="15.75" customHeight="1">
      <c r="A11306" s="26"/>
      <c r="B11306" s="86"/>
      <c r="D11306" s="26"/>
      <c r="F11306" s="87" t="str">
        <f t="shared" si="0"/>
        <v/>
      </c>
      <c r="H11306" s="26" t="str">
        <f t="shared" si="1"/>
        <v/>
      </c>
      <c r="I11306" s="26" t="str">
        <f t="shared" si="2"/>
        <v/>
      </c>
      <c r="J11306" s="86">
        <f t="shared" si="3"/>
        <v>0</v>
      </c>
      <c r="R11306" s="26"/>
    </row>
    <row r="11307" spans="1:18" ht="15.75" customHeight="1">
      <c r="A11307" s="26"/>
      <c r="B11307" s="86"/>
      <c r="D11307" s="26"/>
      <c r="F11307" s="87" t="str">
        <f t="shared" si="0"/>
        <v/>
      </c>
      <c r="H11307" s="26" t="str">
        <f t="shared" si="1"/>
        <v/>
      </c>
      <c r="I11307" s="26" t="str">
        <f t="shared" si="2"/>
        <v/>
      </c>
      <c r="J11307" s="86">
        <f t="shared" si="3"/>
        <v>0</v>
      </c>
      <c r="R11307" s="26"/>
    </row>
    <row r="11308" spans="1:18" ht="15.75" customHeight="1">
      <c r="A11308" s="26"/>
      <c r="B11308" s="86"/>
      <c r="D11308" s="26"/>
      <c r="F11308" s="87" t="str">
        <f t="shared" si="0"/>
        <v/>
      </c>
      <c r="H11308" s="26" t="str">
        <f t="shared" si="1"/>
        <v/>
      </c>
      <c r="I11308" s="26" t="str">
        <f t="shared" si="2"/>
        <v/>
      </c>
      <c r="J11308" s="86">
        <f t="shared" si="3"/>
        <v>0</v>
      </c>
      <c r="R11308" s="26"/>
    </row>
    <row r="11309" spans="1:18" ht="15.75" customHeight="1">
      <c r="A11309" s="26"/>
      <c r="B11309" s="86"/>
      <c r="D11309" s="26"/>
      <c r="F11309" s="87" t="str">
        <f t="shared" si="0"/>
        <v/>
      </c>
      <c r="H11309" s="26" t="str">
        <f t="shared" si="1"/>
        <v/>
      </c>
      <c r="I11309" s="26" t="str">
        <f t="shared" si="2"/>
        <v/>
      </c>
      <c r="J11309" s="86">
        <f t="shared" si="3"/>
        <v>0</v>
      </c>
      <c r="R11309" s="26"/>
    </row>
    <row r="11310" spans="1:18" ht="15.75" customHeight="1">
      <c r="A11310" s="26"/>
      <c r="B11310" s="86"/>
      <c r="D11310" s="26"/>
      <c r="F11310" s="87" t="str">
        <f t="shared" si="0"/>
        <v/>
      </c>
      <c r="H11310" s="26" t="str">
        <f t="shared" si="1"/>
        <v/>
      </c>
      <c r="I11310" s="26" t="str">
        <f t="shared" si="2"/>
        <v/>
      </c>
      <c r="J11310" s="86">
        <f t="shared" si="3"/>
        <v>0</v>
      </c>
      <c r="R11310" s="26"/>
    </row>
    <row r="11311" spans="1:18" ht="15.75" customHeight="1">
      <c r="A11311" s="26"/>
      <c r="B11311" s="86"/>
      <c r="D11311" s="26"/>
      <c r="F11311" s="87" t="str">
        <f t="shared" si="0"/>
        <v/>
      </c>
      <c r="H11311" s="26" t="str">
        <f t="shared" si="1"/>
        <v/>
      </c>
      <c r="I11311" s="26" t="str">
        <f t="shared" si="2"/>
        <v/>
      </c>
      <c r="J11311" s="86">
        <f t="shared" si="3"/>
        <v>0</v>
      </c>
      <c r="R11311" s="26"/>
    </row>
    <row r="11312" spans="1:18" ht="15.75" customHeight="1">
      <c r="A11312" s="26"/>
      <c r="B11312" s="86"/>
      <c r="D11312" s="26"/>
      <c r="F11312" s="87" t="str">
        <f t="shared" si="0"/>
        <v/>
      </c>
      <c r="H11312" s="26" t="str">
        <f t="shared" si="1"/>
        <v/>
      </c>
      <c r="I11312" s="26" t="str">
        <f t="shared" si="2"/>
        <v/>
      </c>
      <c r="J11312" s="86">
        <f t="shared" si="3"/>
        <v>0</v>
      </c>
      <c r="R11312" s="26"/>
    </row>
    <row r="11313" spans="1:18" ht="15.75" customHeight="1">
      <c r="A11313" s="26"/>
      <c r="B11313" s="86"/>
      <c r="D11313" s="26"/>
      <c r="F11313" s="87" t="str">
        <f t="shared" si="0"/>
        <v/>
      </c>
      <c r="H11313" s="26" t="str">
        <f t="shared" si="1"/>
        <v/>
      </c>
      <c r="I11313" s="26" t="str">
        <f t="shared" si="2"/>
        <v/>
      </c>
      <c r="J11313" s="86">
        <f t="shared" si="3"/>
        <v>0</v>
      </c>
      <c r="R11313" s="26"/>
    </row>
    <row r="11314" spans="1:18" ht="15.75" customHeight="1">
      <c r="A11314" s="26"/>
      <c r="B11314" s="86"/>
      <c r="D11314" s="26"/>
      <c r="F11314" s="87" t="str">
        <f t="shared" si="0"/>
        <v/>
      </c>
      <c r="H11314" s="26" t="str">
        <f t="shared" si="1"/>
        <v/>
      </c>
      <c r="I11314" s="26" t="str">
        <f t="shared" si="2"/>
        <v/>
      </c>
      <c r="J11314" s="86">
        <f t="shared" si="3"/>
        <v>0</v>
      </c>
      <c r="R11314" s="26"/>
    </row>
    <row r="11315" spans="1:18" ht="15.75" customHeight="1">
      <c r="A11315" s="26"/>
      <c r="B11315" s="86"/>
      <c r="D11315" s="26"/>
      <c r="F11315" s="87" t="str">
        <f t="shared" si="0"/>
        <v/>
      </c>
      <c r="H11315" s="26" t="str">
        <f t="shared" si="1"/>
        <v/>
      </c>
      <c r="I11315" s="26" t="str">
        <f t="shared" si="2"/>
        <v/>
      </c>
      <c r="J11315" s="86">
        <f t="shared" si="3"/>
        <v>0</v>
      </c>
      <c r="R11315" s="26"/>
    </row>
    <row r="11316" spans="1:18" ht="15.75" customHeight="1">
      <c r="A11316" s="26"/>
      <c r="B11316" s="86"/>
      <c r="D11316" s="26"/>
      <c r="F11316" s="87" t="str">
        <f t="shared" si="0"/>
        <v/>
      </c>
      <c r="H11316" s="26" t="str">
        <f t="shared" si="1"/>
        <v/>
      </c>
      <c r="I11316" s="26" t="str">
        <f t="shared" si="2"/>
        <v/>
      </c>
      <c r="J11316" s="86">
        <f t="shared" si="3"/>
        <v>0</v>
      </c>
      <c r="R11316" s="26"/>
    </row>
    <row r="11317" spans="1:18" ht="15.75" customHeight="1">
      <c r="A11317" s="26"/>
      <c r="B11317" s="86"/>
      <c r="D11317" s="26"/>
      <c r="F11317" s="87" t="str">
        <f t="shared" si="0"/>
        <v/>
      </c>
      <c r="H11317" s="26" t="str">
        <f t="shared" si="1"/>
        <v/>
      </c>
      <c r="I11317" s="26" t="str">
        <f t="shared" si="2"/>
        <v/>
      </c>
      <c r="J11317" s="86">
        <f t="shared" si="3"/>
        <v>0</v>
      </c>
      <c r="R11317" s="26"/>
    </row>
    <row r="11318" spans="1:18" ht="15.75" customHeight="1">
      <c r="A11318" s="26"/>
      <c r="B11318" s="86"/>
      <c r="D11318" s="26"/>
      <c r="F11318" s="87" t="str">
        <f t="shared" si="0"/>
        <v/>
      </c>
      <c r="H11318" s="26" t="str">
        <f t="shared" si="1"/>
        <v/>
      </c>
      <c r="I11318" s="26" t="str">
        <f t="shared" si="2"/>
        <v/>
      </c>
      <c r="J11318" s="86">
        <f t="shared" si="3"/>
        <v>0</v>
      </c>
      <c r="R11318" s="26"/>
    </row>
    <row r="11319" spans="1:18" ht="15.75" customHeight="1">
      <c r="A11319" s="26"/>
      <c r="B11319" s="86"/>
      <c r="D11319" s="26"/>
      <c r="F11319" s="87" t="str">
        <f t="shared" si="0"/>
        <v/>
      </c>
      <c r="H11319" s="26" t="str">
        <f t="shared" si="1"/>
        <v/>
      </c>
      <c r="I11319" s="26" t="str">
        <f t="shared" si="2"/>
        <v/>
      </c>
      <c r="J11319" s="86">
        <f t="shared" si="3"/>
        <v>0</v>
      </c>
      <c r="R11319" s="26"/>
    </row>
    <row r="11320" spans="1:18" ht="15.75" customHeight="1">
      <c r="A11320" s="26"/>
      <c r="B11320" s="86"/>
      <c r="D11320" s="26"/>
      <c r="F11320" s="87" t="str">
        <f t="shared" si="0"/>
        <v/>
      </c>
      <c r="H11320" s="26" t="str">
        <f t="shared" si="1"/>
        <v/>
      </c>
      <c r="I11320" s="26" t="str">
        <f t="shared" si="2"/>
        <v/>
      </c>
      <c r="J11320" s="86">
        <f t="shared" si="3"/>
        <v>0</v>
      </c>
      <c r="R11320" s="26"/>
    </row>
    <row r="11321" spans="1:18" ht="15.75" customHeight="1">
      <c r="A11321" s="26"/>
      <c r="B11321" s="86"/>
      <c r="D11321" s="26"/>
      <c r="F11321" s="87" t="str">
        <f t="shared" si="0"/>
        <v/>
      </c>
      <c r="H11321" s="26" t="str">
        <f t="shared" si="1"/>
        <v/>
      </c>
      <c r="I11321" s="26" t="str">
        <f t="shared" si="2"/>
        <v/>
      </c>
      <c r="J11321" s="86">
        <f t="shared" si="3"/>
        <v>0</v>
      </c>
      <c r="R11321" s="26"/>
    </row>
    <row r="11322" spans="1:18" ht="15.75" customHeight="1">
      <c r="A11322" s="26"/>
      <c r="B11322" s="86"/>
      <c r="D11322" s="26"/>
      <c r="F11322" s="87" t="str">
        <f t="shared" si="0"/>
        <v/>
      </c>
      <c r="H11322" s="26" t="str">
        <f t="shared" si="1"/>
        <v/>
      </c>
      <c r="I11322" s="26" t="str">
        <f t="shared" si="2"/>
        <v/>
      </c>
      <c r="J11322" s="86">
        <f t="shared" si="3"/>
        <v>0</v>
      </c>
      <c r="R11322" s="26"/>
    </row>
    <row r="11323" spans="1:18" ht="15.75" customHeight="1">
      <c r="A11323" s="26"/>
      <c r="B11323" s="86"/>
      <c r="D11323" s="26"/>
      <c r="F11323" s="87" t="str">
        <f t="shared" si="0"/>
        <v/>
      </c>
      <c r="H11323" s="26" t="str">
        <f t="shared" si="1"/>
        <v/>
      </c>
      <c r="I11323" s="26" t="str">
        <f t="shared" si="2"/>
        <v/>
      </c>
      <c r="J11323" s="86">
        <f t="shared" si="3"/>
        <v>0</v>
      </c>
      <c r="R11323" s="26"/>
    </row>
    <row r="11324" spans="1:18" ht="15.75" customHeight="1">
      <c r="A11324" s="26"/>
      <c r="B11324" s="86"/>
      <c r="D11324" s="26"/>
      <c r="F11324" s="87" t="str">
        <f t="shared" si="0"/>
        <v/>
      </c>
      <c r="H11324" s="26" t="str">
        <f t="shared" si="1"/>
        <v/>
      </c>
      <c r="I11324" s="26" t="str">
        <f t="shared" si="2"/>
        <v/>
      </c>
      <c r="J11324" s="86">
        <f t="shared" si="3"/>
        <v>0</v>
      </c>
      <c r="R11324" s="26"/>
    </row>
    <row r="11325" spans="1:18" ht="15.75" customHeight="1">
      <c r="A11325" s="26"/>
      <c r="B11325" s="86"/>
      <c r="D11325" s="26"/>
      <c r="F11325" s="87" t="str">
        <f t="shared" si="0"/>
        <v/>
      </c>
      <c r="H11325" s="26" t="str">
        <f t="shared" si="1"/>
        <v/>
      </c>
      <c r="I11325" s="26" t="str">
        <f t="shared" si="2"/>
        <v/>
      </c>
      <c r="J11325" s="86">
        <f t="shared" si="3"/>
        <v>0</v>
      </c>
      <c r="R11325" s="26"/>
    </row>
    <row r="11326" spans="1:18" ht="15.75" customHeight="1">
      <c r="A11326" s="26"/>
      <c r="B11326" s="86"/>
      <c r="D11326" s="26"/>
      <c r="F11326" s="87" t="str">
        <f t="shared" si="0"/>
        <v/>
      </c>
      <c r="H11326" s="26" t="str">
        <f t="shared" si="1"/>
        <v/>
      </c>
      <c r="I11326" s="26" t="str">
        <f t="shared" si="2"/>
        <v/>
      </c>
      <c r="J11326" s="86">
        <f t="shared" si="3"/>
        <v>0</v>
      </c>
      <c r="R11326" s="26"/>
    </row>
    <row r="11327" spans="1:18" ht="15.75" customHeight="1">
      <c r="A11327" s="26"/>
      <c r="B11327" s="86"/>
      <c r="D11327" s="26"/>
      <c r="F11327" s="87" t="str">
        <f t="shared" si="0"/>
        <v/>
      </c>
      <c r="H11327" s="26" t="str">
        <f t="shared" si="1"/>
        <v/>
      </c>
      <c r="I11327" s="26" t="str">
        <f t="shared" si="2"/>
        <v/>
      </c>
      <c r="J11327" s="86">
        <f t="shared" si="3"/>
        <v>0</v>
      </c>
      <c r="R11327" s="26"/>
    </row>
    <row r="11328" spans="1:18" ht="15.75" customHeight="1">
      <c r="A11328" s="26"/>
      <c r="B11328" s="86"/>
      <c r="D11328" s="26"/>
      <c r="F11328" s="87" t="str">
        <f t="shared" si="0"/>
        <v/>
      </c>
      <c r="H11328" s="26" t="str">
        <f t="shared" si="1"/>
        <v/>
      </c>
      <c r="I11328" s="26" t="str">
        <f t="shared" si="2"/>
        <v/>
      </c>
      <c r="J11328" s="86">
        <f t="shared" si="3"/>
        <v>0</v>
      </c>
      <c r="R11328" s="26"/>
    </row>
    <row r="11329" spans="1:18" ht="15.75" customHeight="1">
      <c r="A11329" s="26"/>
      <c r="B11329" s="86"/>
      <c r="D11329" s="26"/>
      <c r="F11329" s="87" t="str">
        <f t="shared" si="0"/>
        <v/>
      </c>
      <c r="H11329" s="26" t="str">
        <f t="shared" si="1"/>
        <v/>
      </c>
      <c r="I11329" s="26" t="str">
        <f t="shared" si="2"/>
        <v/>
      </c>
      <c r="J11329" s="86">
        <f t="shared" si="3"/>
        <v>0</v>
      </c>
      <c r="R11329" s="26"/>
    </row>
    <row r="11330" spans="1:18" ht="15.75" customHeight="1">
      <c r="A11330" s="26"/>
      <c r="B11330" s="86"/>
      <c r="D11330" s="26"/>
      <c r="F11330" s="87" t="str">
        <f t="shared" si="0"/>
        <v/>
      </c>
      <c r="H11330" s="26" t="str">
        <f t="shared" si="1"/>
        <v/>
      </c>
      <c r="I11330" s="26" t="str">
        <f t="shared" si="2"/>
        <v/>
      </c>
      <c r="J11330" s="86">
        <f t="shared" si="3"/>
        <v>0</v>
      </c>
      <c r="R11330" s="26"/>
    </row>
    <row r="11331" spans="1:18" ht="15.75" customHeight="1">
      <c r="A11331" s="26"/>
      <c r="B11331" s="86"/>
      <c r="D11331" s="26"/>
      <c r="F11331" s="87" t="str">
        <f t="shared" si="0"/>
        <v/>
      </c>
      <c r="H11331" s="26" t="str">
        <f t="shared" si="1"/>
        <v/>
      </c>
      <c r="I11331" s="26" t="str">
        <f t="shared" si="2"/>
        <v/>
      </c>
      <c r="J11331" s="86">
        <f t="shared" si="3"/>
        <v>0</v>
      </c>
      <c r="R11331" s="26"/>
    </row>
    <row r="11332" spans="1:18" ht="15.75" customHeight="1">
      <c r="A11332" s="26"/>
      <c r="B11332" s="86"/>
      <c r="D11332" s="26"/>
      <c r="F11332" s="87" t="str">
        <f t="shared" si="0"/>
        <v/>
      </c>
      <c r="H11332" s="26" t="str">
        <f t="shared" si="1"/>
        <v/>
      </c>
      <c r="I11332" s="26" t="str">
        <f t="shared" si="2"/>
        <v/>
      </c>
      <c r="J11332" s="86">
        <f t="shared" si="3"/>
        <v>0</v>
      </c>
      <c r="R11332" s="26"/>
    </row>
    <row r="11333" spans="1:18" ht="15.75" customHeight="1">
      <c r="A11333" s="26"/>
      <c r="B11333" s="86"/>
      <c r="D11333" s="26"/>
      <c r="F11333" s="87" t="str">
        <f t="shared" si="0"/>
        <v/>
      </c>
      <c r="H11333" s="26" t="str">
        <f t="shared" si="1"/>
        <v/>
      </c>
      <c r="I11333" s="26" t="str">
        <f t="shared" si="2"/>
        <v/>
      </c>
      <c r="J11333" s="86">
        <f t="shared" si="3"/>
        <v>0</v>
      </c>
      <c r="R11333" s="26"/>
    </row>
    <row r="11334" spans="1:18" ht="15.75" customHeight="1">
      <c r="A11334" s="26"/>
      <c r="B11334" s="86"/>
      <c r="D11334" s="26"/>
      <c r="F11334" s="87" t="str">
        <f t="shared" si="0"/>
        <v/>
      </c>
      <c r="H11334" s="26" t="str">
        <f t="shared" si="1"/>
        <v/>
      </c>
      <c r="I11334" s="26" t="str">
        <f t="shared" si="2"/>
        <v/>
      </c>
      <c r="J11334" s="86">
        <f t="shared" si="3"/>
        <v>0</v>
      </c>
      <c r="R11334" s="26"/>
    </row>
    <row r="11335" spans="1:18" ht="15.75" customHeight="1">
      <c r="A11335" s="26"/>
      <c r="B11335" s="86"/>
      <c r="D11335" s="26"/>
      <c r="F11335" s="87" t="str">
        <f t="shared" si="0"/>
        <v/>
      </c>
      <c r="H11335" s="26" t="str">
        <f t="shared" si="1"/>
        <v/>
      </c>
      <c r="I11335" s="26" t="str">
        <f t="shared" si="2"/>
        <v/>
      </c>
      <c r="J11335" s="86">
        <f t="shared" si="3"/>
        <v>0</v>
      </c>
      <c r="R11335" s="26"/>
    </row>
    <row r="11336" spans="1:18" ht="15.75" customHeight="1">
      <c r="A11336" s="26"/>
      <c r="B11336" s="86"/>
      <c r="D11336" s="26"/>
      <c r="F11336" s="87" t="str">
        <f t="shared" si="0"/>
        <v/>
      </c>
      <c r="H11336" s="26" t="str">
        <f t="shared" si="1"/>
        <v/>
      </c>
      <c r="I11336" s="26" t="str">
        <f t="shared" si="2"/>
        <v/>
      </c>
      <c r="J11336" s="86">
        <f t="shared" si="3"/>
        <v>0</v>
      </c>
      <c r="R11336" s="26"/>
    </row>
    <row r="11337" spans="1:18" ht="15.75" customHeight="1">
      <c r="A11337" s="26"/>
      <c r="B11337" s="86"/>
      <c r="D11337" s="26"/>
      <c r="F11337" s="87" t="str">
        <f t="shared" si="0"/>
        <v/>
      </c>
      <c r="H11337" s="26" t="str">
        <f t="shared" si="1"/>
        <v/>
      </c>
      <c r="I11337" s="26" t="str">
        <f t="shared" si="2"/>
        <v/>
      </c>
      <c r="J11337" s="86">
        <f t="shared" si="3"/>
        <v>0</v>
      </c>
      <c r="R11337" s="26"/>
    </row>
    <row r="11338" spans="1:18" ht="15.75" customHeight="1">
      <c r="A11338" s="26"/>
      <c r="B11338" s="86"/>
      <c r="D11338" s="26"/>
      <c r="F11338" s="87" t="str">
        <f t="shared" si="0"/>
        <v/>
      </c>
      <c r="H11338" s="26" t="str">
        <f t="shared" si="1"/>
        <v/>
      </c>
      <c r="I11338" s="26" t="str">
        <f t="shared" si="2"/>
        <v/>
      </c>
      <c r="J11338" s="86">
        <f t="shared" si="3"/>
        <v>0</v>
      </c>
      <c r="R11338" s="26"/>
    </row>
    <row r="11339" spans="1:18" ht="15.75" customHeight="1">
      <c r="A11339" s="26"/>
      <c r="B11339" s="86"/>
      <c r="D11339" s="26"/>
      <c r="F11339" s="87" t="str">
        <f t="shared" si="0"/>
        <v/>
      </c>
      <c r="H11339" s="26" t="str">
        <f t="shared" si="1"/>
        <v/>
      </c>
      <c r="I11339" s="26" t="str">
        <f t="shared" si="2"/>
        <v/>
      </c>
      <c r="J11339" s="86">
        <f t="shared" si="3"/>
        <v>0</v>
      </c>
      <c r="R11339" s="26"/>
    </row>
    <row r="11340" spans="1:18" ht="15.75" customHeight="1">
      <c r="A11340" s="26"/>
      <c r="B11340" s="86"/>
      <c r="D11340" s="26"/>
      <c r="F11340" s="87" t="str">
        <f t="shared" si="0"/>
        <v/>
      </c>
      <c r="H11340" s="26" t="str">
        <f t="shared" si="1"/>
        <v/>
      </c>
      <c r="I11340" s="26" t="str">
        <f t="shared" si="2"/>
        <v/>
      </c>
      <c r="J11340" s="86">
        <f t="shared" si="3"/>
        <v>0</v>
      </c>
      <c r="R11340" s="26"/>
    </row>
    <row r="11341" spans="1:18" ht="15.75" customHeight="1">
      <c r="A11341" s="26"/>
      <c r="B11341" s="86"/>
      <c r="D11341" s="26"/>
      <c r="F11341" s="87" t="str">
        <f t="shared" si="0"/>
        <v/>
      </c>
      <c r="H11341" s="26" t="str">
        <f t="shared" si="1"/>
        <v/>
      </c>
      <c r="I11341" s="26" t="str">
        <f t="shared" si="2"/>
        <v/>
      </c>
      <c r="J11341" s="86">
        <f t="shared" si="3"/>
        <v>0</v>
      </c>
      <c r="R11341" s="26"/>
    </row>
    <row r="11342" spans="1:18" ht="15.75" customHeight="1">
      <c r="A11342" s="26"/>
      <c r="B11342" s="86"/>
      <c r="D11342" s="26"/>
      <c r="F11342" s="87" t="str">
        <f t="shared" si="0"/>
        <v/>
      </c>
      <c r="H11342" s="26" t="str">
        <f t="shared" si="1"/>
        <v/>
      </c>
      <c r="I11342" s="26" t="str">
        <f t="shared" si="2"/>
        <v/>
      </c>
      <c r="J11342" s="86">
        <f t="shared" si="3"/>
        <v>0</v>
      </c>
      <c r="R11342" s="26"/>
    </row>
    <row r="11343" spans="1:18" ht="15.75" customHeight="1">
      <c r="A11343" s="26"/>
      <c r="B11343" s="86"/>
      <c r="D11343" s="26"/>
      <c r="F11343" s="87" t="str">
        <f t="shared" si="0"/>
        <v/>
      </c>
      <c r="H11343" s="26" t="str">
        <f t="shared" si="1"/>
        <v/>
      </c>
      <c r="I11343" s="26" t="str">
        <f t="shared" si="2"/>
        <v/>
      </c>
      <c r="J11343" s="86">
        <f t="shared" si="3"/>
        <v>0</v>
      </c>
      <c r="R11343" s="26"/>
    </row>
    <row r="11344" spans="1:18" ht="15.75" customHeight="1">
      <c r="A11344" s="26"/>
      <c r="B11344" s="86"/>
      <c r="D11344" s="26"/>
      <c r="F11344" s="87" t="str">
        <f t="shared" si="0"/>
        <v/>
      </c>
      <c r="H11344" s="26" t="str">
        <f t="shared" si="1"/>
        <v/>
      </c>
      <c r="I11344" s="26" t="str">
        <f t="shared" si="2"/>
        <v/>
      </c>
      <c r="J11344" s="86">
        <f t="shared" si="3"/>
        <v>0</v>
      </c>
      <c r="R11344" s="26"/>
    </row>
    <row r="11345" spans="1:18" ht="15.75" customHeight="1">
      <c r="A11345" s="26"/>
      <c r="B11345" s="86"/>
      <c r="D11345" s="26"/>
      <c r="F11345" s="87" t="str">
        <f t="shared" si="0"/>
        <v/>
      </c>
      <c r="H11345" s="26" t="str">
        <f t="shared" si="1"/>
        <v/>
      </c>
      <c r="I11345" s="26" t="str">
        <f t="shared" si="2"/>
        <v/>
      </c>
      <c r="J11345" s="86">
        <f t="shared" si="3"/>
        <v>0</v>
      </c>
      <c r="R11345" s="26"/>
    </row>
    <row r="11346" spans="1:18" ht="15.75" customHeight="1">
      <c r="A11346" s="26"/>
      <c r="B11346" s="86"/>
      <c r="D11346" s="26"/>
      <c r="F11346" s="87" t="str">
        <f t="shared" si="0"/>
        <v/>
      </c>
      <c r="H11346" s="26" t="str">
        <f t="shared" si="1"/>
        <v/>
      </c>
      <c r="I11346" s="26" t="str">
        <f t="shared" si="2"/>
        <v/>
      </c>
      <c r="J11346" s="86">
        <f t="shared" si="3"/>
        <v>0</v>
      </c>
      <c r="R11346" s="26"/>
    </row>
    <row r="11347" spans="1:18" ht="15.75" customHeight="1">
      <c r="A11347" s="26"/>
      <c r="B11347" s="86"/>
      <c r="D11347" s="26"/>
      <c r="F11347" s="87" t="str">
        <f t="shared" si="0"/>
        <v/>
      </c>
      <c r="H11347" s="26" t="str">
        <f t="shared" si="1"/>
        <v/>
      </c>
      <c r="I11347" s="26" t="str">
        <f t="shared" si="2"/>
        <v/>
      </c>
      <c r="J11347" s="86">
        <f t="shared" si="3"/>
        <v>0</v>
      </c>
      <c r="R11347" s="26"/>
    </row>
    <row r="11348" spans="1:18" ht="15.75" customHeight="1">
      <c r="A11348" s="26"/>
      <c r="B11348" s="86"/>
      <c r="D11348" s="26"/>
      <c r="F11348" s="87" t="str">
        <f t="shared" si="0"/>
        <v/>
      </c>
      <c r="H11348" s="26" t="str">
        <f t="shared" si="1"/>
        <v/>
      </c>
      <c r="I11348" s="26" t="str">
        <f t="shared" si="2"/>
        <v/>
      </c>
      <c r="J11348" s="86">
        <f t="shared" si="3"/>
        <v>0</v>
      </c>
      <c r="R11348" s="26"/>
    </row>
    <row r="11349" spans="1:18" ht="15.75" customHeight="1">
      <c r="A11349" s="26"/>
      <c r="B11349" s="86"/>
      <c r="D11349" s="26"/>
      <c r="F11349" s="87" t="str">
        <f t="shared" si="0"/>
        <v/>
      </c>
      <c r="H11349" s="26" t="str">
        <f t="shared" si="1"/>
        <v/>
      </c>
      <c r="I11349" s="26" t="str">
        <f t="shared" si="2"/>
        <v/>
      </c>
      <c r="J11349" s="86">
        <f t="shared" si="3"/>
        <v>0</v>
      </c>
      <c r="R11349" s="26"/>
    </row>
    <row r="11350" spans="1:18" ht="15.75" customHeight="1">
      <c r="A11350" s="26"/>
      <c r="B11350" s="86"/>
      <c r="D11350" s="26"/>
      <c r="F11350" s="87" t="str">
        <f t="shared" si="0"/>
        <v/>
      </c>
      <c r="H11350" s="26" t="str">
        <f t="shared" si="1"/>
        <v/>
      </c>
      <c r="I11350" s="26" t="str">
        <f t="shared" si="2"/>
        <v/>
      </c>
      <c r="J11350" s="86">
        <f t="shared" si="3"/>
        <v>0</v>
      </c>
      <c r="R11350" s="26"/>
    </row>
    <row r="11351" spans="1:18" ht="15.75" customHeight="1">
      <c r="A11351" s="26"/>
      <c r="B11351" s="86"/>
      <c r="D11351" s="26"/>
      <c r="F11351" s="87" t="str">
        <f t="shared" si="0"/>
        <v/>
      </c>
      <c r="H11351" s="26" t="str">
        <f t="shared" si="1"/>
        <v/>
      </c>
      <c r="I11351" s="26" t="str">
        <f t="shared" si="2"/>
        <v/>
      </c>
      <c r="J11351" s="86">
        <f t="shared" si="3"/>
        <v>0</v>
      </c>
      <c r="R11351" s="26"/>
    </row>
    <row r="11352" spans="1:18" ht="15.75" customHeight="1">
      <c r="A11352" s="26"/>
      <c r="B11352" s="86"/>
      <c r="D11352" s="26"/>
      <c r="F11352" s="87" t="str">
        <f t="shared" si="0"/>
        <v/>
      </c>
      <c r="H11352" s="26" t="str">
        <f t="shared" si="1"/>
        <v/>
      </c>
      <c r="I11352" s="26" t="str">
        <f t="shared" si="2"/>
        <v/>
      </c>
      <c r="J11352" s="86">
        <f t="shared" si="3"/>
        <v>0</v>
      </c>
      <c r="R11352" s="26"/>
    </row>
    <row r="11353" spans="1:18" ht="15.75" customHeight="1">
      <c r="A11353" s="26"/>
      <c r="B11353" s="86"/>
      <c r="D11353" s="26"/>
      <c r="F11353" s="87" t="str">
        <f t="shared" si="0"/>
        <v/>
      </c>
      <c r="H11353" s="26" t="str">
        <f t="shared" si="1"/>
        <v/>
      </c>
      <c r="I11353" s="26" t="str">
        <f t="shared" si="2"/>
        <v/>
      </c>
      <c r="J11353" s="86">
        <f t="shared" si="3"/>
        <v>0</v>
      </c>
      <c r="R11353" s="26"/>
    </row>
    <row r="11354" spans="1:18" ht="15.75" customHeight="1">
      <c r="A11354" s="26"/>
      <c r="B11354" s="86"/>
      <c r="D11354" s="26"/>
      <c r="F11354" s="87" t="str">
        <f t="shared" si="0"/>
        <v/>
      </c>
      <c r="H11354" s="26" t="str">
        <f t="shared" si="1"/>
        <v/>
      </c>
      <c r="I11354" s="26" t="str">
        <f t="shared" si="2"/>
        <v/>
      </c>
      <c r="J11354" s="86">
        <f t="shared" si="3"/>
        <v>0</v>
      </c>
      <c r="R11354" s="26"/>
    </row>
    <row r="11355" spans="1:18" ht="15.75" customHeight="1">
      <c r="A11355" s="26"/>
      <c r="B11355" s="86"/>
      <c r="D11355" s="26"/>
      <c r="F11355" s="87" t="str">
        <f t="shared" si="0"/>
        <v/>
      </c>
      <c r="H11355" s="26" t="str">
        <f t="shared" si="1"/>
        <v/>
      </c>
      <c r="I11355" s="26" t="str">
        <f t="shared" si="2"/>
        <v/>
      </c>
      <c r="J11355" s="86">
        <f t="shared" si="3"/>
        <v>0</v>
      </c>
      <c r="R11355" s="26"/>
    </row>
    <row r="11356" spans="1:18" ht="15.75" customHeight="1">
      <c r="A11356" s="26"/>
      <c r="B11356" s="86"/>
      <c r="D11356" s="26"/>
      <c r="F11356" s="87" t="str">
        <f t="shared" si="0"/>
        <v/>
      </c>
      <c r="H11356" s="26" t="str">
        <f t="shared" si="1"/>
        <v/>
      </c>
      <c r="I11356" s="26" t="str">
        <f t="shared" si="2"/>
        <v/>
      </c>
      <c r="J11356" s="86">
        <f t="shared" si="3"/>
        <v>0</v>
      </c>
      <c r="R11356" s="26"/>
    </row>
    <row r="11357" spans="1:18" ht="15.75" customHeight="1">
      <c r="A11357" s="26"/>
      <c r="B11357" s="86"/>
      <c r="D11357" s="26"/>
      <c r="F11357" s="87" t="str">
        <f t="shared" si="0"/>
        <v/>
      </c>
      <c r="H11357" s="26" t="str">
        <f t="shared" si="1"/>
        <v/>
      </c>
      <c r="I11357" s="26" t="str">
        <f t="shared" si="2"/>
        <v/>
      </c>
      <c r="J11357" s="86">
        <f t="shared" si="3"/>
        <v>0</v>
      </c>
      <c r="R11357" s="26"/>
    </row>
    <row r="11358" spans="1:18" ht="15.75" customHeight="1">
      <c r="A11358" s="26"/>
      <c r="B11358" s="86"/>
      <c r="D11358" s="26"/>
      <c r="F11358" s="87" t="str">
        <f t="shared" si="0"/>
        <v/>
      </c>
      <c r="H11358" s="26" t="str">
        <f t="shared" si="1"/>
        <v/>
      </c>
      <c r="I11358" s="26" t="str">
        <f t="shared" si="2"/>
        <v/>
      </c>
      <c r="J11358" s="86">
        <f t="shared" si="3"/>
        <v>0</v>
      </c>
      <c r="R11358" s="26"/>
    </row>
    <row r="11359" spans="1:18" ht="15.75" customHeight="1">
      <c r="A11359" s="26"/>
      <c r="B11359" s="86"/>
      <c r="D11359" s="26"/>
      <c r="F11359" s="87" t="str">
        <f t="shared" si="0"/>
        <v/>
      </c>
      <c r="H11359" s="26" t="str">
        <f t="shared" si="1"/>
        <v/>
      </c>
      <c r="I11359" s="26" t="str">
        <f t="shared" si="2"/>
        <v/>
      </c>
      <c r="J11359" s="86">
        <f t="shared" si="3"/>
        <v>0</v>
      </c>
      <c r="R11359" s="26"/>
    </row>
    <row r="11360" spans="1:18" ht="15.75" customHeight="1">
      <c r="A11360" s="26"/>
      <c r="B11360" s="86"/>
      <c r="D11360" s="26"/>
      <c r="F11360" s="87" t="str">
        <f t="shared" si="0"/>
        <v/>
      </c>
      <c r="H11360" s="26" t="str">
        <f t="shared" si="1"/>
        <v/>
      </c>
      <c r="I11360" s="26" t="str">
        <f t="shared" si="2"/>
        <v/>
      </c>
      <c r="J11360" s="86">
        <f t="shared" si="3"/>
        <v>0</v>
      </c>
      <c r="R11360" s="26"/>
    </row>
    <row r="11361" spans="1:18" ht="15.75" customHeight="1">
      <c r="A11361" s="26"/>
      <c r="B11361" s="86"/>
      <c r="D11361" s="26"/>
      <c r="F11361" s="87" t="str">
        <f t="shared" si="0"/>
        <v/>
      </c>
      <c r="H11361" s="26" t="str">
        <f t="shared" si="1"/>
        <v/>
      </c>
      <c r="I11361" s="26" t="str">
        <f t="shared" si="2"/>
        <v/>
      </c>
      <c r="J11361" s="86">
        <f t="shared" si="3"/>
        <v>0</v>
      </c>
      <c r="R11361" s="26"/>
    </row>
    <row r="11362" spans="1:18" ht="15.75" customHeight="1">
      <c r="A11362" s="26"/>
      <c r="B11362" s="86"/>
      <c r="D11362" s="26"/>
      <c r="F11362" s="87" t="str">
        <f t="shared" si="0"/>
        <v/>
      </c>
      <c r="H11362" s="26" t="str">
        <f t="shared" si="1"/>
        <v/>
      </c>
      <c r="I11362" s="26" t="str">
        <f t="shared" si="2"/>
        <v/>
      </c>
      <c r="J11362" s="86">
        <f t="shared" si="3"/>
        <v>0</v>
      </c>
      <c r="R11362" s="26"/>
    </row>
    <row r="11363" spans="1:18" ht="15.75" customHeight="1">
      <c r="A11363" s="26"/>
      <c r="B11363" s="86"/>
      <c r="D11363" s="26"/>
      <c r="F11363" s="87" t="str">
        <f t="shared" si="0"/>
        <v/>
      </c>
      <c r="H11363" s="26" t="str">
        <f t="shared" si="1"/>
        <v/>
      </c>
      <c r="I11363" s="26" t="str">
        <f t="shared" si="2"/>
        <v/>
      </c>
      <c r="J11363" s="86">
        <f t="shared" si="3"/>
        <v>0</v>
      </c>
      <c r="R11363" s="26"/>
    </row>
    <row r="11364" spans="1:18" ht="15.75" customHeight="1">
      <c r="A11364" s="26"/>
      <c r="B11364" s="86"/>
      <c r="D11364" s="26"/>
      <c r="F11364" s="87" t="str">
        <f t="shared" si="0"/>
        <v/>
      </c>
      <c r="H11364" s="26" t="str">
        <f t="shared" si="1"/>
        <v/>
      </c>
      <c r="I11364" s="26" t="str">
        <f t="shared" si="2"/>
        <v/>
      </c>
      <c r="J11364" s="86">
        <f t="shared" si="3"/>
        <v>0</v>
      </c>
      <c r="R11364" s="26"/>
    </row>
    <row r="11365" spans="1:18" ht="15.75" customHeight="1">
      <c r="A11365" s="26"/>
      <c r="B11365" s="86"/>
      <c r="D11365" s="26"/>
      <c r="F11365" s="87" t="str">
        <f t="shared" si="0"/>
        <v/>
      </c>
      <c r="H11365" s="26" t="str">
        <f t="shared" si="1"/>
        <v/>
      </c>
      <c r="I11365" s="26" t="str">
        <f t="shared" si="2"/>
        <v/>
      </c>
      <c r="J11365" s="86">
        <f t="shared" si="3"/>
        <v>0</v>
      </c>
      <c r="R11365" s="26"/>
    </row>
    <row r="11366" spans="1:18" ht="15.75" customHeight="1">
      <c r="A11366" s="26"/>
      <c r="B11366" s="86"/>
      <c r="D11366" s="26"/>
      <c r="F11366" s="87" t="str">
        <f t="shared" si="0"/>
        <v/>
      </c>
      <c r="H11366" s="26" t="str">
        <f t="shared" si="1"/>
        <v/>
      </c>
      <c r="I11366" s="26" t="str">
        <f t="shared" si="2"/>
        <v/>
      </c>
      <c r="J11366" s="86">
        <f t="shared" si="3"/>
        <v>0</v>
      </c>
      <c r="R11366" s="26"/>
    </row>
    <row r="11367" spans="1:18" ht="15.75" customHeight="1">
      <c r="A11367" s="26"/>
      <c r="B11367" s="86"/>
      <c r="D11367" s="26"/>
      <c r="F11367" s="87" t="str">
        <f t="shared" si="0"/>
        <v/>
      </c>
      <c r="H11367" s="26" t="str">
        <f t="shared" si="1"/>
        <v/>
      </c>
      <c r="I11367" s="26" t="str">
        <f t="shared" si="2"/>
        <v/>
      </c>
      <c r="J11367" s="86">
        <f t="shared" si="3"/>
        <v>0</v>
      </c>
      <c r="R11367" s="26"/>
    </row>
    <row r="11368" spans="1:18" ht="15.75" customHeight="1">
      <c r="A11368" s="26"/>
      <c r="B11368" s="86"/>
      <c r="D11368" s="26"/>
      <c r="F11368" s="87" t="str">
        <f t="shared" si="0"/>
        <v/>
      </c>
      <c r="H11368" s="26" t="str">
        <f t="shared" si="1"/>
        <v/>
      </c>
      <c r="I11368" s="26" t="str">
        <f t="shared" si="2"/>
        <v/>
      </c>
      <c r="J11368" s="86">
        <f t="shared" si="3"/>
        <v>0</v>
      </c>
      <c r="R11368" s="26"/>
    </row>
    <row r="11369" spans="1:18" ht="15.75" customHeight="1">
      <c r="A11369" s="26"/>
      <c r="B11369" s="86"/>
      <c r="D11369" s="26"/>
      <c r="F11369" s="87" t="str">
        <f t="shared" si="0"/>
        <v/>
      </c>
      <c r="H11369" s="26" t="str">
        <f t="shared" si="1"/>
        <v/>
      </c>
      <c r="I11369" s="26" t="str">
        <f t="shared" si="2"/>
        <v/>
      </c>
      <c r="J11369" s="86">
        <f t="shared" si="3"/>
        <v>0</v>
      </c>
      <c r="R11369" s="26"/>
    </row>
    <row r="11370" spans="1:18" ht="15.75" customHeight="1">
      <c r="A11370" s="26"/>
      <c r="B11370" s="86"/>
      <c r="D11370" s="26"/>
      <c r="F11370" s="87" t="str">
        <f t="shared" si="0"/>
        <v/>
      </c>
      <c r="H11370" s="26" t="str">
        <f t="shared" si="1"/>
        <v/>
      </c>
      <c r="I11370" s="26" t="str">
        <f t="shared" si="2"/>
        <v/>
      </c>
      <c r="J11370" s="86">
        <f t="shared" si="3"/>
        <v>0</v>
      </c>
      <c r="R11370" s="26"/>
    </row>
    <row r="11371" spans="1:18" ht="15.75" customHeight="1">
      <c r="A11371" s="26"/>
      <c r="B11371" s="86"/>
      <c r="D11371" s="26"/>
      <c r="F11371" s="87" t="str">
        <f t="shared" si="0"/>
        <v/>
      </c>
      <c r="H11371" s="26" t="str">
        <f t="shared" si="1"/>
        <v/>
      </c>
      <c r="I11371" s="26" t="str">
        <f t="shared" si="2"/>
        <v/>
      </c>
      <c r="J11371" s="86">
        <f t="shared" si="3"/>
        <v>0</v>
      </c>
      <c r="R11371" s="26"/>
    </row>
    <row r="11372" spans="1:18" ht="15.75" customHeight="1">
      <c r="A11372" s="26"/>
      <c r="B11372" s="86"/>
      <c r="D11372" s="26"/>
      <c r="F11372" s="87" t="str">
        <f t="shared" si="0"/>
        <v/>
      </c>
      <c r="H11372" s="26" t="str">
        <f t="shared" si="1"/>
        <v/>
      </c>
      <c r="I11372" s="26" t="str">
        <f t="shared" si="2"/>
        <v/>
      </c>
      <c r="J11372" s="86">
        <f t="shared" si="3"/>
        <v>0</v>
      </c>
      <c r="R11372" s="26"/>
    </row>
    <row r="11373" spans="1:18" ht="15.75" customHeight="1">
      <c r="A11373" s="26"/>
      <c r="B11373" s="86"/>
      <c r="D11373" s="26"/>
      <c r="F11373" s="87" t="str">
        <f t="shared" si="0"/>
        <v/>
      </c>
      <c r="H11373" s="26" t="str">
        <f t="shared" si="1"/>
        <v/>
      </c>
      <c r="I11373" s="26" t="str">
        <f t="shared" si="2"/>
        <v/>
      </c>
      <c r="J11373" s="86">
        <f t="shared" si="3"/>
        <v>0</v>
      </c>
      <c r="R11373" s="26"/>
    </row>
    <row r="11374" spans="1:18" ht="15.75" customHeight="1">
      <c r="A11374" s="26"/>
      <c r="B11374" s="86"/>
      <c r="D11374" s="26"/>
      <c r="F11374" s="87" t="str">
        <f t="shared" si="0"/>
        <v/>
      </c>
      <c r="H11374" s="26" t="str">
        <f t="shared" si="1"/>
        <v/>
      </c>
      <c r="I11374" s="26" t="str">
        <f t="shared" si="2"/>
        <v/>
      </c>
      <c r="J11374" s="86">
        <f t="shared" si="3"/>
        <v>0</v>
      </c>
      <c r="R11374" s="26"/>
    </row>
    <row r="11375" spans="1:18" ht="15.75" customHeight="1">
      <c r="A11375" s="26"/>
      <c r="B11375" s="86"/>
      <c r="D11375" s="26"/>
      <c r="F11375" s="87" t="str">
        <f t="shared" si="0"/>
        <v/>
      </c>
      <c r="H11375" s="26" t="str">
        <f t="shared" si="1"/>
        <v/>
      </c>
      <c r="I11375" s="26" t="str">
        <f t="shared" si="2"/>
        <v/>
      </c>
      <c r="J11375" s="86">
        <f t="shared" si="3"/>
        <v>0</v>
      </c>
      <c r="R11375" s="26"/>
    </row>
    <row r="11376" spans="1:18" ht="15.75" customHeight="1">
      <c r="A11376" s="26"/>
      <c r="B11376" s="86"/>
      <c r="D11376" s="26"/>
      <c r="F11376" s="87" t="str">
        <f t="shared" si="0"/>
        <v/>
      </c>
      <c r="H11376" s="26" t="str">
        <f t="shared" si="1"/>
        <v/>
      </c>
      <c r="I11376" s="26" t="str">
        <f t="shared" si="2"/>
        <v/>
      </c>
      <c r="J11376" s="86">
        <f t="shared" si="3"/>
        <v>0</v>
      </c>
      <c r="R11376" s="26"/>
    </row>
    <row r="11377" spans="1:18" ht="15.75" customHeight="1">
      <c r="A11377" s="26"/>
      <c r="B11377" s="86"/>
      <c r="D11377" s="26"/>
      <c r="F11377" s="87" t="str">
        <f t="shared" si="0"/>
        <v/>
      </c>
      <c r="H11377" s="26" t="str">
        <f t="shared" si="1"/>
        <v/>
      </c>
      <c r="I11377" s="26" t="str">
        <f t="shared" si="2"/>
        <v/>
      </c>
      <c r="J11377" s="86">
        <f t="shared" si="3"/>
        <v>0</v>
      </c>
      <c r="R11377" s="26"/>
    </row>
    <row r="11378" spans="1:18" ht="15.75" customHeight="1">
      <c r="A11378" s="26"/>
      <c r="B11378" s="86"/>
      <c r="D11378" s="26"/>
      <c r="F11378" s="87" t="str">
        <f t="shared" si="0"/>
        <v/>
      </c>
      <c r="H11378" s="26" t="str">
        <f t="shared" si="1"/>
        <v/>
      </c>
      <c r="I11378" s="26" t="str">
        <f t="shared" si="2"/>
        <v/>
      </c>
      <c r="J11378" s="86">
        <f t="shared" si="3"/>
        <v>0</v>
      </c>
      <c r="R11378" s="26"/>
    </row>
    <row r="11379" spans="1:18" ht="15.75" customHeight="1">
      <c r="A11379" s="26"/>
      <c r="B11379" s="86"/>
      <c r="D11379" s="26"/>
      <c r="F11379" s="87" t="str">
        <f t="shared" si="0"/>
        <v/>
      </c>
      <c r="H11379" s="26" t="str">
        <f t="shared" si="1"/>
        <v/>
      </c>
      <c r="I11379" s="26" t="str">
        <f t="shared" si="2"/>
        <v/>
      </c>
      <c r="J11379" s="86">
        <f t="shared" si="3"/>
        <v>0</v>
      </c>
      <c r="R11379" s="26"/>
    </row>
    <row r="11380" spans="1:18" ht="15.75" customHeight="1">
      <c r="A11380" s="26"/>
      <c r="B11380" s="86"/>
      <c r="D11380" s="26"/>
      <c r="F11380" s="87" t="str">
        <f t="shared" si="0"/>
        <v/>
      </c>
      <c r="H11380" s="26" t="str">
        <f t="shared" si="1"/>
        <v/>
      </c>
      <c r="I11380" s="26" t="str">
        <f t="shared" si="2"/>
        <v/>
      </c>
      <c r="J11380" s="86">
        <f t="shared" si="3"/>
        <v>0</v>
      </c>
      <c r="R11380" s="26"/>
    </row>
    <row r="11381" spans="1:18" ht="15.75" customHeight="1">
      <c r="A11381" s="26"/>
      <c r="B11381" s="86"/>
      <c r="D11381" s="26"/>
      <c r="F11381" s="87" t="str">
        <f t="shared" si="0"/>
        <v/>
      </c>
      <c r="H11381" s="26" t="str">
        <f t="shared" si="1"/>
        <v/>
      </c>
      <c r="I11381" s="26" t="str">
        <f t="shared" si="2"/>
        <v/>
      </c>
      <c r="J11381" s="86">
        <f t="shared" si="3"/>
        <v>0</v>
      </c>
      <c r="R11381" s="26"/>
    </row>
    <row r="11382" spans="1:18" ht="15.75" customHeight="1">
      <c r="A11382" s="26"/>
      <c r="B11382" s="86"/>
      <c r="D11382" s="26"/>
      <c r="F11382" s="87" t="str">
        <f t="shared" si="0"/>
        <v/>
      </c>
      <c r="H11382" s="26" t="str">
        <f t="shared" si="1"/>
        <v/>
      </c>
      <c r="I11382" s="26" t="str">
        <f t="shared" si="2"/>
        <v/>
      </c>
      <c r="J11382" s="86">
        <f t="shared" si="3"/>
        <v>0</v>
      </c>
      <c r="R11382" s="26"/>
    </row>
    <row r="11383" spans="1:18" ht="15.75" customHeight="1">
      <c r="A11383" s="26"/>
      <c r="B11383" s="86"/>
      <c r="D11383" s="26"/>
      <c r="F11383" s="87" t="str">
        <f t="shared" si="0"/>
        <v/>
      </c>
      <c r="H11383" s="26" t="str">
        <f t="shared" si="1"/>
        <v/>
      </c>
      <c r="I11383" s="26" t="str">
        <f t="shared" si="2"/>
        <v/>
      </c>
      <c r="J11383" s="86">
        <f t="shared" si="3"/>
        <v>0</v>
      </c>
      <c r="R11383" s="26"/>
    </row>
    <row r="11384" spans="1:18" ht="15.75" customHeight="1">
      <c r="A11384" s="26"/>
      <c r="B11384" s="86"/>
      <c r="D11384" s="26"/>
      <c r="F11384" s="87" t="str">
        <f t="shared" si="0"/>
        <v/>
      </c>
      <c r="H11384" s="26" t="str">
        <f t="shared" si="1"/>
        <v/>
      </c>
      <c r="I11384" s="26" t="str">
        <f t="shared" si="2"/>
        <v/>
      </c>
      <c r="J11384" s="86">
        <f t="shared" si="3"/>
        <v>0</v>
      </c>
      <c r="R11384" s="26"/>
    </row>
    <row r="11385" spans="1:18" ht="15.75" customHeight="1">
      <c r="A11385" s="26"/>
      <c r="B11385" s="86"/>
      <c r="D11385" s="26"/>
      <c r="F11385" s="87" t="str">
        <f t="shared" si="0"/>
        <v/>
      </c>
      <c r="H11385" s="26" t="str">
        <f t="shared" si="1"/>
        <v/>
      </c>
      <c r="I11385" s="26" t="str">
        <f t="shared" si="2"/>
        <v/>
      </c>
      <c r="J11385" s="86">
        <f t="shared" si="3"/>
        <v>0</v>
      </c>
      <c r="R11385" s="26"/>
    </row>
    <row r="11386" spans="1:18" ht="15.75" customHeight="1">
      <c r="A11386" s="26"/>
      <c r="B11386" s="86"/>
      <c r="D11386" s="26"/>
      <c r="F11386" s="87" t="str">
        <f t="shared" si="0"/>
        <v/>
      </c>
      <c r="H11386" s="26" t="str">
        <f t="shared" si="1"/>
        <v/>
      </c>
      <c r="I11386" s="26" t="str">
        <f t="shared" si="2"/>
        <v/>
      </c>
      <c r="J11386" s="86">
        <f t="shared" si="3"/>
        <v>0</v>
      </c>
      <c r="R11386" s="26"/>
    </row>
    <row r="11387" spans="1:18" ht="15.75" customHeight="1">
      <c r="A11387" s="26"/>
      <c r="B11387" s="86"/>
      <c r="D11387" s="26"/>
      <c r="F11387" s="87" t="str">
        <f t="shared" si="0"/>
        <v/>
      </c>
      <c r="H11387" s="26" t="str">
        <f t="shared" si="1"/>
        <v/>
      </c>
      <c r="I11387" s="26" t="str">
        <f t="shared" si="2"/>
        <v/>
      </c>
      <c r="J11387" s="86">
        <f t="shared" si="3"/>
        <v>0</v>
      </c>
      <c r="R11387" s="26"/>
    </row>
    <row r="11388" spans="1:18" ht="15.75" customHeight="1">
      <c r="A11388" s="26"/>
      <c r="B11388" s="86"/>
      <c r="D11388" s="26"/>
      <c r="F11388" s="87" t="str">
        <f t="shared" si="0"/>
        <v/>
      </c>
      <c r="H11388" s="26" t="str">
        <f t="shared" si="1"/>
        <v/>
      </c>
      <c r="I11388" s="26" t="str">
        <f t="shared" si="2"/>
        <v/>
      </c>
      <c r="J11388" s="86">
        <f t="shared" si="3"/>
        <v>0</v>
      </c>
      <c r="R11388" s="26"/>
    </row>
    <row r="11389" spans="1:18" ht="15.75" customHeight="1">
      <c r="A11389" s="26"/>
      <c r="B11389" s="86"/>
      <c r="D11389" s="26"/>
      <c r="F11389" s="87" t="str">
        <f t="shared" si="0"/>
        <v/>
      </c>
      <c r="H11389" s="26" t="str">
        <f t="shared" si="1"/>
        <v/>
      </c>
      <c r="I11389" s="26" t="str">
        <f t="shared" si="2"/>
        <v/>
      </c>
      <c r="J11389" s="86">
        <f t="shared" si="3"/>
        <v>0</v>
      </c>
      <c r="R11389" s="26"/>
    </row>
    <row r="11390" spans="1:18" ht="15.75" customHeight="1">
      <c r="A11390" s="26"/>
      <c r="B11390" s="86"/>
      <c r="D11390" s="26"/>
      <c r="F11390" s="87" t="str">
        <f t="shared" si="0"/>
        <v/>
      </c>
      <c r="H11390" s="26" t="str">
        <f t="shared" si="1"/>
        <v/>
      </c>
      <c r="I11390" s="26" t="str">
        <f t="shared" si="2"/>
        <v/>
      </c>
      <c r="J11390" s="86">
        <f t="shared" si="3"/>
        <v>0</v>
      </c>
      <c r="R11390" s="26"/>
    </row>
    <row r="11391" spans="1:18" ht="15.75" customHeight="1">
      <c r="A11391" s="26"/>
      <c r="B11391" s="86"/>
      <c r="D11391" s="26"/>
      <c r="F11391" s="87" t="str">
        <f t="shared" si="0"/>
        <v/>
      </c>
      <c r="H11391" s="26" t="str">
        <f t="shared" si="1"/>
        <v/>
      </c>
      <c r="I11391" s="26" t="str">
        <f t="shared" si="2"/>
        <v/>
      </c>
      <c r="J11391" s="86">
        <f t="shared" si="3"/>
        <v>0</v>
      </c>
      <c r="R11391" s="26"/>
    </row>
    <row r="11392" spans="1:18" ht="15.75" customHeight="1">
      <c r="A11392" s="26"/>
      <c r="B11392" s="86"/>
      <c r="D11392" s="26"/>
      <c r="F11392" s="87" t="str">
        <f t="shared" si="0"/>
        <v/>
      </c>
      <c r="H11392" s="26" t="str">
        <f t="shared" si="1"/>
        <v/>
      </c>
      <c r="I11392" s="26" t="str">
        <f t="shared" si="2"/>
        <v/>
      </c>
      <c r="J11392" s="86">
        <f t="shared" si="3"/>
        <v>0</v>
      </c>
      <c r="R11392" s="26"/>
    </row>
    <row r="11393" spans="1:18" ht="15.75" customHeight="1">
      <c r="A11393" s="26"/>
      <c r="B11393" s="86"/>
      <c r="D11393" s="26"/>
      <c r="F11393" s="87" t="str">
        <f t="shared" si="0"/>
        <v/>
      </c>
      <c r="H11393" s="26" t="str">
        <f t="shared" si="1"/>
        <v/>
      </c>
      <c r="I11393" s="26" t="str">
        <f t="shared" si="2"/>
        <v/>
      </c>
      <c r="J11393" s="86">
        <f t="shared" si="3"/>
        <v>0</v>
      </c>
      <c r="R11393" s="26"/>
    </row>
    <row r="11394" spans="1:18" ht="15.75" customHeight="1">
      <c r="A11394" s="26"/>
      <c r="B11394" s="86"/>
      <c r="D11394" s="26"/>
      <c r="F11394" s="87" t="str">
        <f t="shared" si="0"/>
        <v/>
      </c>
      <c r="H11394" s="26" t="str">
        <f t="shared" si="1"/>
        <v/>
      </c>
      <c r="I11394" s="26" t="str">
        <f t="shared" si="2"/>
        <v/>
      </c>
      <c r="J11394" s="86">
        <f t="shared" si="3"/>
        <v>0</v>
      </c>
      <c r="R11394" s="26"/>
    </row>
    <row r="11395" spans="1:18" ht="15.75" customHeight="1">
      <c r="A11395" s="26"/>
      <c r="B11395" s="86"/>
      <c r="D11395" s="26"/>
      <c r="F11395" s="87" t="str">
        <f t="shared" si="0"/>
        <v/>
      </c>
      <c r="H11395" s="26" t="str">
        <f t="shared" si="1"/>
        <v/>
      </c>
      <c r="I11395" s="26" t="str">
        <f t="shared" si="2"/>
        <v/>
      </c>
      <c r="J11395" s="86">
        <f t="shared" si="3"/>
        <v>0</v>
      </c>
      <c r="R11395" s="26"/>
    </row>
    <row r="11396" spans="1:18" ht="15.75" customHeight="1">
      <c r="A11396" s="26"/>
      <c r="B11396" s="86"/>
      <c r="D11396" s="26"/>
      <c r="F11396" s="87" t="str">
        <f t="shared" si="0"/>
        <v/>
      </c>
      <c r="H11396" s="26" t="str">
        <f t="shared" si="1"/>
        <v/>
      </c>
      <c r="I11396" s="26" t="str">
        <f t="shared" si="2"/>
        <v/>
      </c>
      <c r="J11396" s="86">
        <f t="shared" si="3"/>
        <v>0</v>
      </c>
      <c r="R11396" s="26"/>
    </row>
    <row r="11397" spans="1:18" ht="15.75" customHeight="1">
      <c r="A11397" s="26"/>
      <c r="B11397" s="86"/>
      <c r="D11397" s="26"/>
      <c r="F11397" s="87" t="str">
        <f t="shared" si="0"/>
        <v/>
      </c>
      <c r="H11397" s="26" t="str">
        <f t="shared" si="1"/>
        <v/>
      </c>
      <c r="I11397" s="26" t="str">
        <f t="shared" si="2"/>
        <v/>
      </c>
      <c r="J11397" s="86">
        <f t="shared" si="3"/>
        <v>0</v>
      </c>
      <c r="R11397" s="26"/>
    </row>
    <row r="11398" spans="1:18" ht="15.75" customHeight="1">
      <c r="A11398" s="26"/>
      <c r="B11398" s="86"/>
      <c r="D11398" s="26"/>
      <c r="F11398" s="87" t="str">
        <f t="shared" si="0"/>
        <v/>
      </c>
      <c r="H11398" s="26" t="str">
        <f t="shared" si="1"/>
        <v/>
      </c>
      <c r="I11398" s="26" t="str">
        <f t="shared" si="2"/>
        <v/>
      </c>
      <c r="J11398" s="86">
        <f t="shared" si="3"/>
        <v>0</v>
      </c>
      <c r="R11398" s="26"/>
    </row>
    <row r="11399" spans="1:18" ht="15.75" customHeight="1">
      <c r="A11399" s="26"/>
      <c r="B11399" s="86"/>
      <c r="D11399" s="26"/>
      <c r="F11399" s="87" t="str">
        <f t="shared" si="0"/>
        <v/>
      </c>
      <c r="H11399" s="26" t="str">
        <f t="shared" si="1"/>
        <v/>
      </c>
      <c r="I11399" s="26" t="str">
        <f t="shared" si="2"/>
        <v/>
      </c>
      <c r="J11399" s="86">
        <f t="shared" si="3"/>
        <v>0</v>
      </c>
      <c r="R11399" s="26"/>
    </row>
    <row r="11400" spans="1:18" ht="15.75" customHeight="1">
      <c r="A11400" s="26"/>
      <c r="B11400" s="86"/>
      <c r="D11400" s="26"/>
      <c r="F11400" s="87" t="str">
        <f t="shared" si="0"/>
        <v/>
      </c>
      <c r="H11400" s="26" t="str">
        <f t="shared" si="1"/>
        <v/>
      </c>
      <c r="I11400" s="26" t="str">
        <f t="shared" si="2"/>
        <v/>
      </c>
      <c r="J11400" s="86">
        <f t="shared" si="3"/>
        <v>0</v>
      </c>
      <c r="R11400" s="26"/>
    </row>
    <row r="11401" spans="1:18" ht="15.75" customHeight="1">
      <c r="A11401" s="26"/>
      <c r="B11401" s="86"/>
      <c r="D11401" s="26"/>
      <c r="F11401" s="87" t="str">
        <f t="shared" si="0"/>
        <v/>
      </c>
      <c r="H11401" s="26" t="str">
        <f t="shared" si="1"/>
        <v/>
      </c>
      <c r="I11401" s="26" t="str">
        <f t="shared" si="2"/>
        <v/>
      </c>
      <c r="J11401" s="86">
        <f t="shared" si="3"/>
        <v>0</v>
      </c>
      <c r="R11401" s="26"/>
    </row>
    <row r="11402" spans="1:18" ht="15.75" customHeight="1">
      <c r="A11402" s="26"/>
      <c r="B11402" s="86"/>
      <c r="D11402" s="26"/>
      <c r="F11402" s="87" t="str">
        <f t="shared" si="0"/>
        <v/>
      </c>
      <c r="H11402" s="26" t="str">
        <f t="shared" si="1"/>
        <v/>
      </c>
      <c r="I11402" s="26" t="str">
        <f t="shared" si="2"/>
        <v/>
      </c>
      <c r="J11402" s="86">
        <f t="shared" si="3"/>
        <v>0</v>
      </c>
      <c r="R11402" s="26"/>
    </row>
    <row r="11403" spans="1:18" ht="15.75" customHeight="1">
      <c r="A11403" s="26"/>
      <c r="B11403" s="86"/>
      <c r="D11403" s="26"/>
      <c r="F11403" s="87" t="str">
        <f t="shared" si="0"/>
        <v/>
      </c>
      <c r="H11403" s="26" t="str">
        <f t="shared" si="1"/>
        <v/>
      </c>
      <c r="I11403" s="26" t="str">
        <f t="shared" si="2"/>
        <v/>
      </c>
      <c r="J11403" s="86">
        <f t="shared" si="3"/>
        <v>0</v>
      </c>
      <c r="R11403" s="26"/>
    </row>
    <row r="11404" spans="1:18" ht="15.75" customHeight="1">
      <c r="A11404" s="26"/>
      <c r="B11404" s="86"/>
      <c r="D11404" s="26"/>
      <c r="F11404" s="87" t="str">
        <f t="shared" si="0"/>
        <v/>
      </c>
      <c r="H11404" s="26" t="str">
        <f t="shared" si="1"/>
        <v/>
      </c>
      <c r="I11404" s="26" t="str">
        <f t="shared" si="2"/>
        <v/>
      </c>
      <c r="J11404" s="86">
        <f t="shared" si="3"/>
        <v>0</v>
      </c>
      <c r="R11404" s="26"/>
    </row>
    <row r="11405" spans="1:18" ht="15.75" customHeight="1">
      <c r="A11405" s="26"/>
      <c r="B11405" s="86"/>
      <c r="D11405" s="26"/>
      <c r="F11405" s="87" t="str">
        <f t="shared" si="0"/>
        <v/>
      </c>
      <c r="H11405" s="26" t="str">
        <f t="shared" si="1"/>
        <v/>
      </c>
      <c r="I11405" s="26" t="str">
        <f t="shared" si="2"/>
        <v/>
      </c>
      <c r="J11405" s="86">
        <f t="shared" si="3"/>
        <v>0</v>
      </c>
      <c r="R11405" s="26"/>
    </row>
    <row r="11406" spans="1:18" ht="15.75" customHeight="1">
      <c r="A11406" s="26"/>
      <c r="B11406" s="86"/>
      <c r="D11406" s="26"/>
      <c r="F11406" s="87" t="str">
        <f t="shared" si="0"/>
        <v/>
      </c>
      <c r="H11406" s="26" t="str">
        <f t="shared" si="1"/>
        <v/>
      </c>
      <c r="I11406" s="26" t="str">
        <f t="shared" si="2"/>
        <v/>
      </c>
      <c r="J11406" s="86">
        <f t="shared" si="3"/>
        <v>0</v>
      </c>
      <c r="R11406" s="26"/>
    </row>
    <row r="11407" spans="1:18" ht="15.75" customHeight="1">
      <c r="A11407" s="26"/>
      <c r="B11407" s="86"/>
      <c r="D11407" s="26"/>
      <c r="F11407" s="87" t="str">
        <f t="shared" si="0"/>
        <v/>
      </c>
      <c r="H11407" s="26" t="str">
        <f t="shared" si="1"/>
        <v/>
      </c>
      <c r="I11407" s="26" t="str">
        <f t="shared" si="2"/>
        <v/>
      </c>
      <c r="J11407" s="86">
        <f t="shared" si="3"/>
        <v>0</v>
      </c>
      <c r="R11407" s="26"/>
    </row>
    <row r="11408" spans="1:18" ht="15.75" customHeight="1">
      <c r="A11408" s="26"/>
      <c r="B11408" s="86"/>
      <c r="D11408" s="26"/>
      <c r="F11408" s="87" t="str">
        <f t="shared" si="0"/>
        <v/>
      </c>
      <c r="H11408" s="26" t="str">
        <f t="shared" si="1"/>
        <v/>
      </c>
      <c r="I11408" s="26" t="str">
        <f t="shared" si="2"/>
        <v/>
      </c>
      <c r="J11408" s="86">
        <f t="shared" si="3"/>
        <v>0</v>
      </c>
      <c r="R11408" s="26"/>
    </row>
    <row r="11409" spans="1:18" ht="15.75" customHeight="1">
      <c r="A11409" s="26"/>
      <c r="B11409" s="86"/>
      <c r="D11409" s="26"/>
      <c r="F11409" s="87" t="str">
        <f t="shared" si="0"/>
        <v/>
      </c>
      <c r="H11409" s="26" t="str">
        <f t="shared" si="1"/>
        <v/>
      </c>
      <c r="I11409" s="26" t="str">
        <f t="shared" si="2"/>
        <v/>
      </c>
      <c r="J11409" s="86">
        <f t="shared" si="3"/>
        <v>0</v>
      </c>
      <c r="R11409" s="26"/>
    </row>
    <row r="11410" spans="1:18" ht="15.75" customHeight="1">
      <c r="A11410" s="26"/>
      <c r="B11410" s="86"/>
      <c r="D11410" s="26"/>
      <c r="F11410" s="87" t="str">
        <f t="shared" si="0"/>
        <v/>
      </c>
      <c r="H11410" s="26" t="str">
        <f t="shared" si="1"/>
        <v/>
      </c>
      <c r="I11410" s="26" t="str">
        <f t="shared" si="2"/>
        <v/>
      </c>
      <c r="J11410" s="86">
        <f t="shared" si="3"/>
        <v>0</v>
      </c>
      <c r="R11410" s="26"/>
    </row>
    <row r="11411" spans="1:18" ht="15.75" customHeight="1">
      <c r="A11411" s="26"/>
      <c r="B11411" s="86"/>
      <c r="D11411" s="26"/>
      <c r="F11411" s="87" t="str">
        <f t="shared" si="0"/>
        <v/>
      </c>
      <c r="H11411" s="26" t="str">
        <f t="shared" si="1"/>
        <v/>
      </c>
      <c r="I11411" s="26" t="str">
        <f t="shared" si="2"/>
        <v/>
      </c>
      <c r="J11411" s="86">
        <f t="shared" si="3"/>
        <v>0</v>
      </c>
      <c r="R11411" s="26"/>
    </row>
    <row r="11412" spans="1:18" ht="15.75" customHeight="1">
      <c r="A11412" s="26"/>
      <c r="B11412" s="86"/>
      <c r="D11412" s="26"/>
      <c r="F11412" s="87" t="str">
        <f t="shared" si="0"/>
        <v/>
      </c>
      <c r="H11412" s="26" t="str">
        <f t="shared" si="1"/>
        <v/>
      </c>
      <c r="I11412" s="26" t="str">
        <f t="shared" si="2"/>
        <v/>
      </c>
      <c r="J11412" s="86">
        <f t="shared" si="3"/>
        <v>0</v>
      </c>
      <c r="R11412" s="26"/>
    </row>
    <row r="11413" spans="1:18" ht="15.75" customHeight="1">
      <c r="A11413" s="26"/>
      <c r="B11413" s="86"/>
      <c r="D11413" s="26"/>
      <c r="F11413" s="87" t="str">
        <f t="shared" si="0"/>
        <v/>
      </c>
      <c r="H11413" s="26" t="str">
        <f t="shared" si="1"/>
        <v/>
      </c>
      <c r="I11413" s="26" t="str">
        <f t="shared" si="2"/>
        <v/>
      </c>
      <c r="J11413" s="86">
        <f t="shared" si="3"/>
        <v>0</v>
      </c>
      <c r="R11413" s="26"/>
    </row>
    <row r="11414" spans="1:18" ht="15.75" customHeight="1">
      <c r="A11414" s="26"/>
      <c r="B11414" s="86"/>
      <c r="D11414" s="26"/>
      <c r="F11414" s="87" t="str">
        <f t="shared" si="0"/>
        <v/>
      </c>
      <c r="H11414" s="26" t="str">
        <f t="shared" si="1"/>
        <v/>
      </c>
      <c r="I11414" s="26" t="str">
        <f t="shared" si="2"/>
        <v/>
      </c>
      <c r="J11414" s="86">
        <f t="shared" si="3"/>
        <v>0</v>
      </c>
      <c r="R11414" s="26"/>
    </row>
    <row r="11415" spans="1:18" ht="15.75" customHeight="1">
      <c r="A11415" s="26"/>
      <c r="B11415" s="86"/>
      <c r="D11415" s="26"/>
      <c r="F11415" s="87" t="str">
        <f t="shared" si="0"/>
        <v/>
      </c>
      <c r="H11415" s="26" t="str">
        <f t="shared" si="1"/>
        <v/>
      </c>
      <c r="I11415" s="26" t="str">
        <f t="shared" si="2"/>
        <v/>
      </c>
      <c r="J11415" s="86">
        <f t="shared" si="3"/>
        <v>0</v>
      </c>
      <c r="R11415" s="26"/>
    </row>
    <row r="11416" spans="1:18" ht="15.75" customHeight="1">
      <c r="A11416" s="26"/>
      <c r="B11416" s="86"/>
      <c r="D11416" s="26"/>
      <c r="F11416" s="87" t="str">
        <f t="shared" si="0"/>
        <v/>
      </c>
      <c r="H11416" s="26" t="str">
        <f t="shared" si="1"/>
        <v/>
      </c>
      <c r="I11416" s="26" t="str">
        <f t="shared" si="2"/>
        <v/>
      </c>
      <c r="J11416" s="86">
        <f t="shared" si="3"/>
        <v>0</v>
      </c>
      <c r="R11416" s="26"/>
    </row>
    <row r="11417" spans="1:18" ht="15.75" customHeight="1">
      <c r="A11417" s="26"/>
      <c r="B11417" s="86"/>
      <c r="D11417" s="26"/>
      <c r="F11417" s="87" t="str">
        <f t="shared" si="0"/>
        <v/>
      </c>
      <c r="H11417" s="26" t="str">
        <f t="shared" si="1"/>
        <v/>
      </c>
      <c r="I11417" s="26" t="str">
        <f t="shared" si="2"/>
        <v/>
      </c>
      <c r="J11417" s="86">
        <f t="shared" si="3"/>
        <v>0</v>
      </c>
      <c r="R11417" s="26"/>
    </row>
    <row r="11418" spans="1:18" ht="15.75" customHeight="1">
      <c r="A11418" s="26"/>
      <c r="B11418" s="86"/>
      <c r="D11418" s="26"/>
      <c r="F11418" s="87" t="str">
        <f t="shared" si="0"/>
        <v/>
      </c>
      <c r="H11418" s="26" t="str">
        <f t="shared" si="1"/>
        <v/>
      </c>
      <c r="I11418" s="26" t="str">
        <f t="shared" si="2"/>
        <v/>
      </c>
      <c r="J11418" s="86">
        <f t="shared" si="3"/>
        <v>0</v>
      </c>
      <c r="R11418" s="26"/>
    </row>
    <row r="11419" spans="1:18" ht="15.75" customHeight="1">
      <c r="A11419" s="26"/>
      <c r="B11419" s="86"/>
      <c r="D11419" s="26"/>
      <c r="F11419" s="87" t="str">
        <f t="shared" si="0"/>
        <v/>
      </c>
      <c r="H11419" s="26" t="str">
        <f t="shared" si="1"/>
        <v/>
      </c>
      <c r="I11419" s="26" t="str">
        <f t="shared" si="2"/>
        <v/>
      </c>
      <c r="J11419" s="86">
        <f t="shared" si="3"/>
        <v>0</v>
      </c>
      <c r="R11419" s="26"/>
    </row>
    <row r="11420" spans="1:18" ht="15.75" customHeight="1">
      <c r="A11420" s="26"/>
      <c r="B11420" s="86"/>
      <c r="D11420" s="26"/>
      <c r="F11420" s="87" t="str">
        <f t="shared" si="0"/>
        <v/>
      </c>
      <c r="H11420" s="26" t="str">
        <f t="shared" si="1"/>
        <v/>
      </c>
      <c r="I11420" s="26" t="str">
        <f t="shared" si="2"/>
        <v/>
      </c>
      <c r="J11420" s="86">
        <f t="shared" si="3"/>
        <v>0</v>
      </c>
      <c r="R11420" s="26"/>
    </row>
    <row r="11421" spans="1:18" ht="15.75" customHeight="1">
      <c r="A11421" s="26"/>
      <c r="B11421" s="86"/>
      <c r="D11421" s="26"/>
      <c r="F11421" s="87" t="str">
        <f t="shared" si="0"/>
        <v/>
      </c>
      <c r="H11421" s="26" t="str">
        <f t="shared" si="1"/>
        <v/>
      </c>
      <c r="I11421" s="26" t="str">
        <f t="shared" si="2"/>
        <v/>
      </c>
      <c r="J11421" s="86">
        <f t="shared" si="3"/>
        <v>0</v>
      </c>
      <c r="R11421" s="26"/>
    </row>
    <row r="11422" spans="1:18" ht="15.75" customHeight="1">
      <c r="A11422" s="26"/>
      <c r="B11422" s="86"/>
      <c r="D11422" s="26"/>
      <c r="F11422" s="87" t="str">
        <f t="shared" si="0"/>
        <v/>
      </c>
      <c r="H11422" s="26" t="str">
        <f t="shared" si="1"/>
        <v/>
      </c>
      <c r="I11422" s="26" t="str">
        <f t="shared" si="2"/>
        <v/>
      </c>
      <c r="J11422" s="86">
        <f t="shared" si="3"/>
        <v>0</v>
      </c>
      <c r="R11422" s="26"/>
    </row>
    <row r="11423" spans="1:18" ht="15.75" customHeight="1">
      <c r="A11423" s="26"/>
      <c r="B11423" s="86"/>
      <c r="D11423" s="26"/>
      <c r="F11423" s="87" t="str">
        <f t="shared" si="0"/>
        <v/>
      </c>
      <c r="H11423" s="26" t="str">
        <f t="shared" si="1"/>
        <v/>
      </c>
      <c r="I11423" s="26" t="str">
        <f t="shared" si="2"/>
        <v/>
      </c>
      <c r="J11423" s="86">
        <f t="shared" si="3"/>
        <v>0</v>
      </c>
      <c r="R11423" s="26"/>
    </row>
    <row r="11424" spans="1:18" ht="15.75" customHeight="1">
      <c r="A11424" s="26"/>
      <c r="B11424" s="86"/>
      <c r="D11424" s="26"/>
      <c r="F11424" s="87" t="str">
        <f t="shared" si="0"/>
        <v/>
      </c>
      <c r="H11424" s="26" t="str">
        <f t="shared" si="1"/>
        <v/>
      </c>
      <c r="I11424" s="26" t="str">
        <f t="shared" si="2"/>
        <v/>
      </c>
      <c r="J11424" s="86">
        <f t="shared" si="3"/>
        <v>0</v>
      </c>
      <c r="R11424" s="26"/>
    </row>
    <row r="11425" spans="1:18" ht="15.75" customHeight="1">
      <c r="A11425" s="26"/>
      <c r="B11425" s="86"/>
      <c r="D11425" s="26"/>
      <c r="F11425" s="87" t="str">
        <f t="shared" si="0"/>
        <v/>
      </c>
      <c r="H11425" s="26" t="str">
        <f t="shared" si="1"/>
        <v/>
      </c>
      <c r="I11425" s="26" t="str">
        <f t="shared" si="2"/>
        <v/>
      </c>
      <c r="J11425" s="86">
        <f t="shared" si="3"/>
        <v>0</v>
      </c>
      <c r="R11425" s="26"/>
    </row>
    <row r="11426" spans="1:18" ht="15.75" customHeight="1">
      <c r="A11426" s="26"/>
      <c r="B11426" s="86"/>
      <c r="D11426" s="26"/>
      <c r="F11426" s="87" t="str">
        <f t="shared" si="0"/>
        <v/>
      </c>
      <c r="H11426" s="26" t="str">
        <f t="shared" si="1"/>
        <v/>
      </c>
      <c r="I11426" s="26" t="str">
        <f t="shared" si="2"/>
        <v/>
      </c>
      <c r="J11426" s="86">
        <f t="shared" si="3"/>
        <v>0</v>
      </c>
      <c r="R11426" s="26"/>
    </row>
    <row r="11427" spans="1:18" ht="15.75" customHeight="1">
      <c r="A11427" s="26"/>
      <c r="B11427" s="86"/>
      <c r="D11427" s="26"/>
      <c r="F11427" s="87" t="str">
        <f t="shared" si="0"/>
        <v/>
      </c>
      <c r="H11427" s="26" t="str">
        <f t="shared" si="1"/>
        <v/>
      </c>
      <c r="I11427" s="26" t="str">
        <f t="shared" si="2"/>
        <v/>
      </c>
      <c r="J11427" s="86">
        <f t="shared" si="3"/>
        <v>0</v>
      </c>
      <c r="R11427" s="26"/>
    </row>
    <row r="11428" spans="1:18" ht="15.75" customHeight="1">
      <c r="A11428" s="26"/>
      <c r="B11428" s="86"/>
      <c r="D11428" s="26"/>
      <c r="F11428" s="87" t="str">
        <f t="shared" si="0"/>
        <v/>
      </c>
      <c r="H11428" s="26" t="str">
        <f t="shared" si="1"/>
        <v/>
      </c>
      <c r="I11428" s="26" t="str">
        <f t="shared" si="2"/>
        <v/>
      </c>
      <c r="J11428" s="86">
        <f t="shared" si="3"/>
        <v>0</v>
      </c>
      <c r="R11428" s="26"/>
    </row>
    <row r="11429" spans="1:18" ht="15.75" customHeight="1">
      <c r="A11429" s="26"/>
      <c r="B11429" s="86"/>
      <c r="D11429" s="26"/>
      <c r="F11429" s="87" t="str">
        <f t="shared" si="0"/>
        <v/>
      </c>
      <c r="H11429" s="26" t="str">
        <f t="shared" si="1"/>
        <v/>
      </c>
      <c r="I11429" s="26" t="str">
        <f t="shared" si="2"/>
        <v/>
      </c>
      <c r="J11429" s="86">
        <f t="shared" si="3"/>
        <v>0</v>
      </c>
      <c r="R11429" s="26"/>
    </row>
    <row r="11430" spans="1:18" ht="15.75" customHeight="1">
      <c r="A11430" s="26"/>
      <c r="B11430" s="86"/>
      <c r="D11430" s="26"/>
      <c r="F11430" s="87" t="str">
        <f t="shared" si="0"/>
        <v/>
      </c>
      <c r="H11430" s="26" t="str">
        <f t="shared" si="1"/>
        <v/>
      </c>
      <c r="I11430" s="26" t="str">
        <f t="shared" si="2"/>
        <v/>
      </c>
      <c r="J11430" s="86">
        <f t="shared" si="3"/>
        <v>0</v>
      </c>
      <c r="R11430" s="26"/>
    </row>
    <row r="11431" spans="1:18" ht="15.75" customHeight="1">
      <c r="A11431" s="26"/>
      <c r="B11431" s="86"/>
      <c r="D11431" s="26"/>
      <c r="F11431" s="87" t="str">
        <f t="shared" si="0"/>
        <v/>
      </c>
      <c r="H11431" s="26" t="str">
        <f t="shared" si="1"/>
        <v/>
      </c>
      <c r="I11431" s="26" t="str">
        <f t="shared" si="2"/>
        <v/>
      </c>
      <c r="J11431" s="86">
        <f t="shared" si="3"/>
        <v>0</v>
      </c>
      <c r="R11431" s="26"/>
    </row>
    <row r="11432" spans="1:18" ht="15.75" customHeight="1">
      <c r="A11432" s="26"/>
      <c r="B11432" s="86"/>
      <c r="D11432" s="26"/>
      <c r="F11432" s="87" t="str">
        <f t="shared" si="0"/>
        <v/>
      </c>
      <c r="H11432" s="26" t="str">
        <f t="shared" si="1"/>
        <v/>
      </c>
      <c r="I11432" s="26" t="str">
        <f t="shared" si="2"/>
        <v/>
      </c>
      <c r="J11432" s="86">
        <f t="shared" si="3"/>
        <v>0</v>
      </c>
      <c r="R11432" s="26"/>
    </row>
    <row r="11433" spans="1:18" ht="15.75" customHeight="1">
      <c r="A11433" s="26"/>
      <c r="B11433" s="86"/>
      <c r="D11433" s="26"/>
      <c r="F11433" s="87" t="str">
        <f t="shared" si="0"/>
        <v/>
      </c>
      <c r="H11433" s="26" t="str">
        <f t="shared" si="1"/>
        <v/>
      </c>
      <c r="I11433" s="26" t="str">
        <f t="shared" si="2"/>
        <v/>
      </c>
      <c r="J11433" s="86">
        <f t="shared" si="3"/>
        <v>0</v>
      </c>
      <c r="R11433" s="26"/>
    </row>
    <row r="11434" spans="1:18" ht="15.75" customHeight="1">
      <c r="A11434" s="26"/>
      <c r="B11434" s="86"/>
      <c r="D11434" s="26"/>
      <c r="F11434" s="87" t="str">
        <f t="shared" si="0"/>
        <v/>
      </c>
      <c r="H11434" s="26" t="str">
        <f t="shared" si="1"/>
        <v/>
      </c>
      <c r="I11434" s="26" t="str">
        <f t="shared" si="2"/>
        <v/>
      </c>
      <c r="J11434" s="86">
        <f t="shared" si="3"/>
        <v>0</v>
      </c>
      <c r="R11434" s="26"/>
    </row>
    <row r="11435" spans="1:18" ht="15.75" customHeight="1">
      <c r="A11435" s="26"/>
      <c r="B11435" s="86"/>
      <c r="D11435" s="26"/>
      <c r="F11435" s="87" t="str">
        <f t="shared" si="0"/>
        <v/>
      </c>
      <c r="H11435" s="26" t="str">
        <f t="shared" si="1"/>
        <v/>
      </c>
      <c r="I11435" s="26" t="str">
        <f t="shared" si="2"/>
        <v/>
      </c>
      <c r="J11435" s="86">
        <f t="shared" si="3"/>
        <v>0</v>
      </c>
      <c r="R11435" s="26"/>
    </row>
    <row r="11436" spans="1:18" ht="15.75" customHeight="1">
      <c r="A11436" s="26"/>
      <c r="B11436" s="86"/>
      <c r="D11436" s="26"/>
      <c r="F11436" s="87" t="str">
        <f t="shared" si="0"/>
        <v/>
      </c>
      <c r="H11436" s="26" t="str">
        <f t="shared" si="1"/>
        <v/>
      </c>
      <c r="I11436" s="26" t="str">
        <f t="shared" si="2"/>
        <v/>
      </c>
      <c r="J11436" s="86">
        <f t="shared" si="3"/>
        <v>0</v>
      </c>
      <c r="R11436" s="26"/>
    </row>
    <row r="11437" spans="1:18" ht="15.75" customHeight="1">
      <c r="A11437" s="26"/>
      <c r="B11437" s="86"/>
      <c r="D11437" s="26"/>
      <c r="F11437" s="87" t="str">
        <f t="shared" si="0"/>
        <v/>
      </c>
      <c r="H11437" s="26" t="str">
        <f t="shared" si="1"/>
        <v/>
      </c>
      <c r="I11437" s="26" t="str">
        <f t="shared" si="2"/>
        <v/>
      </c>
      <c r="J11437" s="86">
        <f t="shared" si="3"/>
        <v>0</v>
      </c>
      <c r="R11437" s="26"/>
    </row>
    <row r="11438" spans="1:18" ht="15.75" customHeight="1">
      <c r="A11438" s="26"/>
      <c r="B11438" s="86"/>
      <c r="D11438" s="26"/>
      <c r="F11438" s="87" t="str">
        <f t="shared" si="0"/>
        <v/>
      </c>
      <c r="H11438" s="26" t="str">
        <f t="shared" si="1"/>
        <v/>
      </c>
      <c r="I11438" s="26" t="str">
        <f t="shared" si="2"/>
        <v/>
      </c>
      <c r="J11438" s="86">
        <f t="shared" si="3"/>
        <v>0</v>
      </c>
      <c r="R11438" s="26"/>
    </row>
    <row r="11439" spans="1:18" ht="15.75" customHeight="1">
      <c r="A11439" s="26"/>
      <c r="B11439" s="86"/>
      <c r="D11439" s="26"/>
      <c r="F11439" s="87" t="str">
        <f t="shared" si="0"/>
        <v/>
      </c>
      <c r="H11439" s="26" t="str">
        <f t="shared" si="1"/>
        <v/>
      </c>
      <c r="I11439" s="26" t="str">
        <f t="shared" si="2"/>
        <v/>
      </c>
      <c r="J11439" s="86">
        <f t="shared" si="3"/>
        <v>0</v>
      </c>
      <c r="R11439" s="26"/>
    </row>
    <row r="11440" spans="1:18" ht="15.75" customHeight="1">
      <c r="A11440" s="26"/>
      <c r="B11440" s="86"/>
      <c r="D11440" s="26"/>
      <c r="F11440" s="87" t="str">
        <f t="shared" si="0"/>
        <v/>
      </c>
      <c r="H11440" s="26" t="str">
        <f t="shared" si="1"/>
        <v/>
      </c>
      <c r="I11440" s="26" t="str">
        <f t="shared" si="2"/>
        <v/>
      </c>
      <c r="J11440" s="86">
        <f t="shared" si="3"/>
        <v>0</v>
      </c>
      <c r="R11440" s="26"/>
    </row>
    <row r="11441" spans="1:18" ht="15.75" customHeight="1">
      <c r="A11441" s="26"/>
      <c r="B11441" s="86"/>
      <c r="D11441" s="26"/>
      <c r="F11441" s="87" t="str">
        <f t="shared" si="0"/>
        <v/>
      </c>
      <c r="H11441" s="26" t="str">
        <f t="shared" si="1"/>
        <v/>
      </c>
      <c r="I11441" s="26" t="str">
        <f t="shared" si="2"/>
        <v/>
      </c>
      <c r="J11441" s="86">
        <f t="shared" si="3"/>
        <v>0</v>
      </c>
      <c r="R11441" s="26"/>
    </row>
    <row r="11442" spans="1:18" ht="15.75" customHeight="1">
      <c r="A11442" s="26"/>
      <c r="B11442" s="86"/>
      <c r="D11442" s="26"/>
      <c r="F11442" s="87" t="str">
        <f t="shared" si="0"/>
        <v/>
      </c>
      <c r="H11442" s="26" t="str">
        <f t="shared" si="1"/>
        <v/>
      </c>
      <c r="I11442" s="26" t="str">
        <f t="shared" si="2"/>
        <v/>
      </c>
      <c r="J11442" s="86">
        <f t="shared" si="3"/>
        <v>0</v>
      </c>
      <c r="R11442" s="26"/>
    </row>
    <row r="11443" spans="1:18" ht="15.75" customHeight="1">
      <c r="A11443" s="26"/>
      <c r="B11443" s="86"/>
      <c r="D11443" s="26"/>
      <c r="F11443" s="87" t="str">
        <f t="shared" si="0"/>
        <v/>
      </c>
      <c r="H11443" s="26" t="str">
        <f t="shared" si="1"/>
        <v/>
      </c>
      <c r="I11443" s="26" t="str">
        <f t="shared" si="2"/>
        <v/>
      </c>
      <c r="J11443" s="86">
        <f t="shared" si="3"/>
        <v>0</v>
      </c>
      <c r="R11443" s="26"/>
    </row>
    <row r="11444" spans="1:18" ht="15.75" customHeight="1">
      <c r="A11444" s="26"/>
      <c r="B11444" s="86"/>
      <c r="D11444" s="26"/>
      <c r="F11444" s="87" t="str">
        <f t="shared" si="0"/>
        <v/>
      </c>
      <c r="H11444" s="26" t="str">
        <f t="shared" si="1"/>
        <v/>
      </c>
      <c r="I11444" s="26" t="str">
        <f t="shared" si="2"/>
        <v/>
      </c>
      <c r="J11444" s="86">
        <f t="shared" si="3"/>
        <v>0</v>
      </c>
      <c r="R11444" s="26"/>
    </row>
    <row r="11445" spans="1:18" ht="15.75" customHeight="1">
      <c r="A11445" s="26"/>
      <c r="B11445" s="86"/>
      <c r="D11445" s="26"/>
      <c r="F11445" s="87" t="str">
        <f t="shared" si="0"/>
        <v/>
      </c>
      <c r="H11445" s="26" t="str">
        <f t="shared" si="1"/>
        <v/>
      </c>
      <c r="I11445" s="26" t="str">
        <f t="shared" si="2"/>
        <v/>
      </c>
      <c r="J11445" s="86">
        <f t="shared" si="3"/>
        <v>0</v>
      </c>
      <c r="R11445" s="26"/>
    </row>
    <row r="11446" spans="1:18" ht="15.75" customHeight="1">
      <c r="A11446" s="26"/>
      <c r="B11446" s="86"/>
      <c r="D11446" s="26"/>
      <c r="F11446" s="87" t="str">
        <f t="shared" si="0"/>
        <v/>
      </c>
      <c r="H11446" s="26" t="str">
        <f t="shared" si="1"/>
        <v/>
      </c>
      <c r="I11446" s="26" t="str">
        <f t="shared" si="2"/>
        <v/>
      </c>
      <c r="J11446" s="86">
        <f t="shared" si="3"/>
        <v>0</v>
      </c>
      <c r="R11446" s="26"/>
    </row>
    <row r="11447" spans="1:18" ht="15.75" customHeight="1">
      <c r="A11447" s="26"/>
      <c r="B11447" s="86"/>
      <c r="D11447" s="26"/>
      <c r="F11447" s="87" t="str">
        <f t="shared" si="0"/>
        <v/>
      </c>
      <c r="H11447" s="26" t="str">
        <f t="shared" si="1"/>
        <v/>
      </c>
      <c r="I11447" s="26" t="str">
        <f t="shared" si="2"/>
        <v/>
      </c>
      <c r="J11447" s="86">
        <f t="shared" si="3"/>
        <v>0</v>
      </c>
      <c r="R11447" s="26"/>
    </row>
    <row r="11448" spans="1:18" ht="15.75" customHeight="1">
      <c r="A11448" s="26"/>
      <c r="B11448" s="86"/>
      <c r="D11448" s="26"/>
      <c r="F11448" s="87" t="str">
        <f t="shared" si="0"/>
        <v/>
      </c>
      <c r="H11448" s="26" t="str">
        <f t="shared" si="1"/>
        <v/>
      </c>
      <c r="I11448" s="26" t="str">
        <f t="shared" si="2"/>
        <v/>
      </c>
      <c r="J11448" s="86">
        <f t="shared" si="3"/>
        <v>0</v>
      </c>
      <c r="R11448" s="26"/>
    </row>
    <row r="11449" spans="1:18" ht="15.75" customHeight="1">
      <c r="A11449" s="26"/>
      <c r="B11449" s="86"/>
      <c r="D11449" s="26"/>
      <c r="F11449" s="87" t="str">
        <f t="shared" si="0"/>
        <v/>
      </c>
      <c r="H11449" s="26" t="str">
        <f t="shared" si="1"/>
        <v/>
      </c>
      <c r="I11449" s="26" t="str">
        <f t="shared" si="2"/>
        <v/>
      </c>
      <c r="J11449" s="86">
        <f t="shared" si="3"/>
        <v>0</v>
      </c>
      <c r="R11449" s="26"/>
    </row>
    <row r="11450" spans="1:18" ht="15.75" customHeight="1">
      <c r="A11450" s="26"/>
      <c r="B11450" s="86"/>
      <c r="D11450" s="26"/>
      <c r="F11450" s="87" t="str">
        <f t="shared" si="0"/>
        <v/>
      </c>
      <c r="H11450" s="26" t="str">
        <f t="shared" si="1"/>
        <v/>
      </c>
      <c r="I11450" s="26" t="str">
        <f t="shared" si="2"/>
        <v/>
      </c>
      <c r="J11450" s="86">
        <f t="shared" si="3"/>
        <v>0</v>
      </c>
      <c r="R11450" s="26"/>
    </row>
    <row r="11451" spans="1:18" ht="15.75" customHeight="1">
      <c r="A11451" s="26"/>
      <c r="B11451" s="86"/>
      <c r="D11451" s="26"/>
      <c r="F11451" s="87" t="str">
        <f t="shared" si="0"/>
        <v/>
      </c>
      <c r="H11451" s="26" t="str">
        <f t="shared" si="1"/>
        <v/>
      </c>
      <c r="I11451" s="26" t="str">
        <f t="shared" si="2"/>
        <v/>
      </c>
      <c r="J11451" s="86">
        <f t="shared" si="3"/>
        <v>0</v>
      </c>
      <c r="R11451" s="26"/>
    </row>
    <row r="11452" spans="1:18" ht="15.75" customHeight="1">
      <c r="A11452" s="26"/>
      <c r="B11452" s="86"/>
      <c r="D11452" s="26"/>
      <c r="F11452" s="87" t="str">
        <f t="shared" si="0"/>
        <v/>
      </c>
      <c r="H11452" s="26" t="str">
        <f t="shared" si="1"/>
        <v/>
      </c>
      <c r="I11452" s="26" t="str">
        <f t="shared" si="2"/>
        <v/>
      </c>
      <c r="J11452" s="86">
        <f t="shared" si="3"/>
        <v>0</v>
      </c>
      <c r="R11452" s="26"/>
    </row>
    <row r="11453" spans="1:18" ht="15.75" customHeight="1">
      <c r="A11453" s="26"/>
      <c r="B11453" s="86"/>
      <c r="D11453" s="26"/>
      <c r="F11453" s="87" t="str">
        <f t="shared" si="0"/>
        <v/>
      </c>
      <c r="H11453" s="26" t="str">
        <f t="shared" si="1"/>
        <v/>
      </c>
      <c r="I11453" s="26" t="str">
        <f t="shared" si="2"/>
        <v/>
      </c>
      <c r="J11453" s="86">
        <f t="shared" si="3"/>
        <v>0</v>
      </c>
      <c r="R11453" s="26"/>
    </row>
    <row r="11454" spans="1:18" ht="15.75" customHeight="1">
      <c r="A11454" s="26"/>
      <c r="B11454" s="86"/>
      <c r="D11454" s="26"/>
      <c r="F11454" s="87" t="str">
        <f t="shared" si="0"/>
        <v/>
      </c>
      <c r="H11454" s="26" t="str">
        <f t="shared" si="1"/>
        <v/>
      </c>
      <c r="I11454" s="26" t="str">
        <f t="shared" si="2"/>
        <v/>
      </c>
      <c r="J11454" s="86">
        <f t="shared" si="3"/>
        <v>0</v>
      </c>
      <c r="R11454" s="26"/>
    </row>
    <row r="11455" spans="1:18" ht="15.75" customHeight="1">
      <c r="A11455" s="26"/>
      <c r="B11455" s="86"/>
      <c r="D11455" s="26"/>
      <c r="F11455" s="87" t="str">
        <f t="shared" si="0"/>
        <v/>
      </c>
      <c r="H11455" s="26" t="str">
        <f t="shared" si="1"/>
        <v/>
      </c>
      <c r="I11455" s="26" t="str">
        <f t="shared" si="2"/>
        <v/>
      </c>
      <c r="J11455" s="86">
        <f t="shared" si="3"/>
        <v>0</v>
      </c>
      <c r="R11455" s="26"/>
    </row>
    <row r="11456" spans="1:18" ht="15.75" customHeight="1">
      <c r="A11456" s="26"/>
      <c r="B11456" s="86"/>
      <c r="D11456" s="26"/>
      <c r="F11456" s="87" t="str">
        <f t="shared" si="0"/>
        <v/>
      </c>
      <c r="H11456" s="26" t="str">
        <f t="shared" si="1"/>
        <v/>
      </c>
      <c r="I11456" s="26" t="str">
        <f t="shared" si="2"/>
        <v/>
      </c>
      <c r="J11456" s="86">
        <f t="shared" si="3"/>
        <v>0</v>
      </c>
      <c r="R11456" s="26"/>
    </row>
    <row r="11457" spans="1:18" ht="15.75" customHeight="1">
      <c r="A11457" s="26"/>
      <c r="B11457" s="86"/>
      <c r="D11457" s="26"/>
      <c r="F11457" s="87" t="str">
        <f t="shared" si="0"/>
        <v/>
      </c>
      <c r="H11457" s="26" t="str">
        <f t="shared" si="1"/>
        <v/>
      </c>
      <c r="I11457" s="26" t="str">
        <f t="shared" si="2"/>
        <v/>
      </c>
      <c r="J11457" s="86">
        <f t="shared" si="3"/>
        <v>0</v>
      </c>
      <c r="R11457" s="26"/>
    </row>
    <row r="11458" spans="1:18" ht="15.75" customHeight="1">
      <c r="A11458" s="26"/>
      <c r="B11458" s="86"/>
      <c r="D11458" s="26"/>
      <c r="F11458" s="87" t="str">
        <f t="shared" si="0"/>
        <v/>
      </c>
      <c r="H11458" s="26" t="str">
        <f t="shared" si="1"/>
        <v/>
      </c>
      <c r="I11458" s="26" t="str">
        <f t="shared" si="2"/>
        <v/>
      </c>
      <c r="J11458" s="86">
        <f t="shared" si="3"/>
        <v>0</v>
      </c>
      <c r="R11458" s="26"/>
    </row>
    <row r="11459" spans="1:18" ht="15.75" customHeight="1">
      <c r="A11459" s="26"/>
      <c r="B11459" s="86"/>
      <c r="D11459" s="26"/>
      <c r="F11459" s="87" t="str">
        <f t="shared" si="0"/>
        <v/>
      </c>
      <c r="H11459" s="26" t="str">
        <f t="shared" si="1"/>
        <v/>
      </c>
      <c r="I11459" s="26" t="str">
        <f t="shared" si="2"/>
        <v/>
      </c>
      <c r="J11459" s="86">
        <f t="shared" si="3"/>
        <v>0</v>
      </c>
      <c r="R11459" s="26"/>
    </row>
    <row r="11460" spans="1:18" ht="15.75" customHeight="1">
      <c r="A11460" s="26"/>
      <c r="B11460" s="86"/>
      <c r="D11460" s="26"/>
      <c r="F11460" s="87" t="str">
        <f t="shared" si="0"/>
        <v/>
      </c>
      <c r="H11460" s="26" t="str">
        <f t="shared" si="1"/>
        <v/>
      </c>
      <c r="I11460" s="26" t="str">
        <f t="shared" si="2"/>
        <v/>
      </c>
      <c r="J11460" s="86">
        <f t="shared" si="3"/>
        <v>0</v>
      </c>
      <c r="R11460" s="26"/>
    </row>
    <row r="11461" spans="1:18" ht="15.75" customHeight="1">
      <c r="A11461" s="26"/>
      <c r="B11461" s="86"/>
      <c r="D11461" s="26"/>
      <c r="F11461" s="87" t="str">
        <f t="shared" si="0"/>
        <v/>
      </c>
      <c r="H11461" s="26" t="str">
        <f t="shared" si="1"/>
        <v/>
      </c>
      <c r="I11461" s="26" t="str">
        <f t="shared" si="2"/>
        <v/>
      </c>
      <c r="J11461" s="86">
        <f t="shared" si="3"/>
        <v>0</v>
      </c>
      <c r="R11461" s="26"/>
    </row>
    <row r="11462" spans="1:18" ht="15.75" customHeight="1">
      <c r="A11462" s="26"/>
      <c r="B11462" s="86"/>
      <c r="D11462" s="26"/>
      <c r="F11462" s="87" t="str">
        <f t="shared" si="0"/>
        <v/>
      </c>
      <c r="H11462" s="26" t="str">
        <f t="shared" si="1"/>
        <v/>
      </c>
      <c r="I11462" s="26" t="str">
        <f t="shared" si="2"/>
        <v/>
      </c>
      <c r="J11462" s="86">
        <f t="shared" si="3"/>
        <v>0</v>
      </c>
      <c r="R11462" s="26"/>
    </row>
    <row r="11463" spans="1:18" ht="15.75" customHeight="1">
      <c r="A11463" s="26"/>
      <c r="B11463" s="86"/>
      <c r="D11463" s="26"/>
      <c r="F11463" s="87" t="str">
        <f t="shared" si="0"/>
        <v/>
      </c>
      <c r="H11463" s="26" t="str">
        <f t="shared" si="1"/>
        <v/>
      </c>
      <c r="I11463" s="26" t="str">
        <f t="shared" si="2"/>
        <v/>
      </c>
      <c r="J11463" s="86">
        <f t="shared" si="3"/>
        <v>0</v>
      </c>
      <c r="R11463" s="26"/>
    </row>
    <row r="11464" spans="1:18" ht="15.75" customHeight="1">
      <c r="A11464" s="26"/>
      <c r="B11464" s="86"/>
      <c r="D11464" s="26"/>
      <c r="F11464" s="87" t="str">
        <f t="shared" si="0"/>
        <v/>
      </c>
      <c r="H11464" s="26" t="str">
        <f t="shared" si="1"/>
        <v/>
      </c>
      <c r="I11464" s="26" t="str">
        <f t="shared" si="2"/>
        <v/>
      </c>
      <c r="J11464" s="86">
        <f t="shared" si="3"/>
        <v>0</v>
      </c>
      <c r="R11464" s="26"/>
    </row>
    <row r="11465" spans="1:18" ht="15.75" customHeight="1">
      <c r="A11465" s="26"/>
      <c r="B11465" s="86"/>
      <c r="D11465" s="26"/>
      <c r="F11465" s="87" t="str">
        <f t="shared" si="0"/>
        <v/>
      </c>
      <c r="H11465" s="26" t="str">
        <f t="shared" si="1"/>
        <v/>
      </c>
      <c r="I11465" s="26" t="str">
        <f t="shared" si="2"/>
        <v/>
      </c>
      <c r="J11465" s="86">
        <f t="shared" si="3"/>
        <v>0</v>
      </c>
      <c r="R11465" s="26"/>
    </row>
    <row r="11466" spans="1:18" ht="15.75" customHeight="1">
      <c r="A11466" s="26"/>
      <c r="B11466" s="86"/>
      <c r="D11466" s="26"/>
      <c r="F11466" s="87" t="str">
        <f t="shared" si="0"/>
        <v/>
      </c>
      <c r="H11466" s="26" t="str">
        <f t="shared" si="1"/>
        <v/>
      </c>
      <c r="I11466" s="26" t="str">
        <f t="shared" si="2"/>
        <v/>
      </c>
      <c r="J11466" s="86">
        <f t="shared" si="3"/>
        <v>0</v>
      </c>
      <c r="R11466" s="26"/>
    </row>
    <row r="11467" spans="1:18" ht="15.75" customHeight="1">
      <c r="A11467" s="26"/>
      <c r="B11467" s="86"/>
      <c r="D11467" s="26"/>
      <c r="F11467" s="87" t="str">
        <f t="shared" si="0"/>
        <v/>
      </c>
      <c r="H11467" s="26" t="str">
        <f t="shared" si="1"/>
        <v/>
      </c>
      <c r="I11467" s="26" t="str">
        <f t="shared" si="2"/>
        <v/>
      </c>
      <c r="J11467" s="86">
        <f t="shared" si="3"/>
        <v>0</v>
      </c>
      <c r="R11467" s="26"/>
    </row>
    <row r="11468" spans="1:18" ht="15.75" customHeight="1">
      <c r="A11468" s="26"/>
      <c r="B11468" s="86"/>
      <c r="D11468" s="26"/>
      <c r="F11468" s="87" t="str">
        <f t="shared" si="0"/>
        <v/>
      </c>
      <c r="H11468" s="26" t="str">
        <f t="shared" si="1"/>
        <v/>
      </c>
      <c r="I11468" s="26" t="str">
        <f t="shared" si="2"/>
        <v/>
      </c>
      <c r="J11468" s="86">
        <f t="shared" si="3"/>
        <v>0</v>
      </c>
      <c r="R11468" s="26"/>
    </row>
    <row r="11469" spans="1:18" ht="15.75" customHeight="1">
      <c r="A11469" s="26"/>
      <c r="B11469" s="86"/>
      <c r="D11469" s="26"/>
      <c r="F11469" s="87" t="str">
        <f t="shared" si="0"/>
        <v/>
      </c>
      <c r="H11469" s="26" t="str">
        <f t="shared" si="1"/>
        <v/>
      </c>
      <c r="I11469" s="26" t="str">
        <f t="shared" si="2"/>
        <v/>
      </c>
      <c r="J11469" s="86">
        <f t="shared" si="3"/>
        <v>0</v>
      </c>
      <c r="R11469" s="26"/>
    </row>
    <row r="11470" spans="1:18" ht="15.75" customHeight="1">
      <c r="A11470" s="26"/>
      <c r="B11470" s="86"/>
      <c r="D11470" s="26"/>
      <c r="F11470" s="87" t="str">
        <f t="shared" si="0"/>
        <v/>
      </c>
      <c r="H11470" s="26" t="str">
        <f t="shared" si="1"/>
        <v/>
      </c>
      <c r="I11470" s="26" t="str">
        <f t="shared" si="2"/>
        <v/>
      </c>
      <c r="J11470" s="86">
        <f t="shared" si="3"/>
        <v>0</v>
      </c>
      <c r="R11470" s="26"/>
    </row>
    <row r="11471" spans="1:18" ht="15.75" customHeight="1">
      <c r="A11471" s="26"/>
      <c r="B11471" s="86"/>
      <c r="D11471" s="26"/>
      <c r="F11471" s="87" t="str">
        <f t="shared" si="0"/>
        <v/>
      </c>
      <c r="H11471" s="26" t="str">
        <f t="shared" si="1"/>
        <v/>
      </c>
      <c r="I11471" s="26" t="str">
        <f t="shared" si="2"/>
        <v/>
      </c>
      <c r="J11471" s="86">
        <f t="shared" si="3"/>
        <v>0</v>
      </c>
      <c r="R11471" s="26"/>
    </row>
    <row r="11472" spans="1:18" ht="15.75" customHeight="1">
      <c r="A11472" s="26"/>
      <c r="B11472" s="86"/>
      <c r="D11472" s="26"/>
      <c r="F11472" s="87" t="str">
        <f t="shared" si="0"/>
        <v/>
      </c>
      <c r="H11472" s="26" t="str">
        <f t="shared" si="1"/>
        <v/>
      </c>
      <c r="I11472" s="26" t="str">
        <f t="shared" si="2"/>
        <v/>
      </c>
      <c r="J11472" s="86">
        <f t="shared" si="3"/>
        <v>0</v>
      </c>
      <c r="R11472" s="26"/>
    </row>
    <row r="11473" spans="1:18" ht="15.75" customHeight="1">
      <c r="A11473" s="26"/>
      <c r="B11473" s="86"/>
      <c r="D11473" s="26"/>
      <c r="F11473" s="87" t="str">
        <f t="shared" si="0"/>
        <v/>
      </c>
      <c r="H11473" s="26" t="str">
        <f t="shared" si="1"/>
        <v/>
      </c>
      <c r="I11473" s="26" t="str">
        <f t="shared" si="2"/>
        <v/>
      </c>
      <c r="J11473" s="86">
        <f t="shared" si="3"/>
        <v>0</v>
      </c>
      <c r="R11473" s="26"/>
    </row>
    <row r="11474" spans="1:18" ht="15.75" customHeight="1">
      <c r="A11474" s="26"/>
      <c r="B11474" s="86"/>
      <c r="D11474" s="26"/>
      <c r="F11474" s="87" t="str">
        <f t="shared" si="0"/>
        <v/>
      </c>
      <c r="H11474" s="26" t="str">
        <f t="shared" si="1"/>
        <v/>
      </c>
      <c r="I11474" s="26" t="str">
        <f t="shared" si="2"/>
        <v/>
      </c>
      <c r="J11474" s="86">
        <f t="shared" si="3"/>
        <v>0</v>
      </c>
      <c r="R11474" s="26"/>
    </row>
    <row r="11475" spans="1:18" ht="15.75" customHeight="1">
      <c r="A11475" s="26"/>
      <c r="B11475" s="86"/>
      <c r="D11475" s="26"/>
      <c r="F11475" s="87" t="str">
        <f t="shared" si="0"/>
        <v/>
      </c>
      <c r="H11475" s="26" t="str">
        <f t="shared" si="1"/>
        <v/>
      </c>
      <c r="I11475" s="26" t="str">
        <f t="shared" si="2"/>
        <v/>
      </c>
      <c r="J11475" s="86">
        <f t="shared" si="3"/>
        <v>0</v>
      </c>
      <c r="R11475" s="26"/>
    </row>
    <row r="11476" spans="1:18" ht="15.75" customHeight="1">
      <c r="A11476" s="26"/>
      <c r="B11476" s="86"/>
      <c r="D11476" s="26"/>
      <c r="F11476" s="87" t="str">
        <f t="shared" si="0"/>
        <v/>
      </c>
      <c r="H11476" s="26" t="str">
        <f t="shared" si="1"/>
        <v/>
      </c>
      <c r="I11476" s="26" t="str">
        <f t="shared" si="2"/>
        <v/>
      </c>
      <c r="J11476" s="86">
        <f t="shared" si="3"/>
        <v>0</v>
      </c>
      <c r="R11476" s="26"/>
    </row>
    <row r="11477" spans="1:18" ht="15.75" customHeight="1">
      <c r="A11477" s="26"/>
      <c r="B11477" s="86"/>
      <c r="D11477" s="26"/>
      <c r="F11477" s="87" t="str">
        <f t="shared" si="0"/>
        <v/>
      </c>
      <c r="H11477" s="26" t="str">
        <f t="shared" si="1"/>
        <v/>
      </c>
      <c r="I11477" s="26" t="str">
        <f t="shared" si="2"/>
        <v/>
      </c>
      <c r="J11477" s="86">
        <f t="shared" si="3"/>
        <v>0</v>
      </c>
      <c r="R11477" s="26"/>
    </row>
    <row r="11478" spans="1:18" ht="15.75" customHeight="1">
      <c r="A11478" s="26"/>
      <c r="B11478" s="86"/>
      <c r="D11478" s="26"/>
      <c r="F11478" s="87" t="str">
        <f t="shared" si="0"/>
        <v/>
      </c>
      <c r="H11478" s="26" t="str">
        <f t="shared" si="1"/>
        <v/>
      </c>
      <c r="I11478" s="26" t="str">
        <f t="shared" si="2"/>
        <v/>
      </c>
      <c r="J11478" s="86">
        <f t="shared" si="3"/>
        <v>0</v>
      </c>
      <c r="R11478" s="26"/>
    </row>
    <row r="11479" spans="1:18" ht="15.75" customHeight="1">
      <c r="A11479" s="26"/>
      <c r="B11479" s="86"/>
      <c r="D11479" s="26"/>
      <c r="F11479" s="87" t="str">
        <f t="shared" si="0"/>
        <v/>
      </c>
      <c r="H11479" s="26" t="str">
        <f t="shared" si="1"/>
        <v/>
      </c>
      <c r="I11479" s="26" t="str">
        <f t="shared" si="2"/>
        <v/>
      </c>
      <c r="J11479" s="86">
        <f t="shared" si="3"/>
        <v>0</v>
      </c>
      <c r="R11479" s="26"/>
    </row>
    <row r="11480" spans="1:18" ht="15.75" customHeight="1">
      <c r="A11480" s="26"/>
      <c r="B11480" s="86"/>
      <c r="D11480" s="26"/>
      <c r="F11480" s="87" t="str">
        <f t="shared" si="0"/>
        <v/>
      </c>
      <c r="H11480" s="26" t="str">
        <f t="shared" si="1"/>
        <v/>
      </c>
      <c r="I11480" s="26" t="str">
        <f t="shared" si="2"/>
        <v/>
      </c>
      <c r="J11480" s="86">
        <f t="shared" si="3"/>
        <v>0</v>
      </c>
      <c r="R11480" s="26"/>
    </row>
    <row r="11481" spans="1:18" ht="15.75" customHeight="1">
      <c r="A11481" s="26"/>
      <c r="B11481" s="86"/>
      <c r="D11481" s="26"/>
      <c r="F11481" s="87" t="str">
        <f t="shared" si="0"/>
        <v/>
      </c>
      <c r="H11481" s="26" t="str">
        <f t="shared" si="1"/>
        <v/>
      </c>
      <c r="I11481" s="26" t="str">
        <f t="shared" si="2"/>
        <v/>
      </c>
      <c r="J11481" s="86">
        <f t="shared" si="3"/>
        <v>0</v>
      </c>
      <c r="R11481" s="26"/>
    </row>
    <row r="11482" spans="1:18" ht="15.75" customHeight="1">
      <c r="A11482" s="26"/>
      <c r="B11482" s="86"/>
      <c r="D11482" s="26"/>
      <c r="F11482" s="87" t="str">
        <f t="shared" si="0"/>
        <v/>
      </c>
      <c r="H11482" s="26" t="str">
        <f t="shared" si="1"/>
        <v/>
      </c>
      <c r="I11482" s="26" t="str">
        <f t="shared" si="2"/>
        <v/>
      </c>
      <c r="J11482" s="86">
        <f t="shared" si="3"/>
        <v>0</v>
      </c>
      <c r="R11482" s="26"/>
    </row>
    <row r="11483" spans="1:18" ht="15.75" customHeight="1">
      <c r="A11483" s="26"/>
      <c r="B11483" s="86"/>
      <c r="D11483" s="26"/>
      <c r="F11483" s="87" t="str">
        <f t="shared" si="0"/>
        <v/>
      </c>
      <c r="H11483" s="26" t="str">
        <f t="shared" si="1"/>
        <v/>
      </c>
      <c r="I11483" s="26" t="str">
        <f t="shared" si="2"/>
        <v/>
      </c>
      <c r="J11483" s="86">
        <f t="shared" si="3"/>
        <v>0</v>
      </c>
      <c r="R11483" s="26"/>
    </row>
    <row r="11484" spans="1:18" ht="15.75" customHeight="1">
      <c r="A11484" s="26"/>
      <c r="B11484" s="86"/>
      <c r="D11484" s="26"/>
      <c r="F11484" s="87" t="str">
        <f t="shared" si="0"/>
        <v/>
      </c>
      <c r="H11484" s="26" t="str">
        <f t="shared" si="1"/>
        <v/>
      </c>
      <c r="I11484" s="26" t="str">
        <f t="shared" si="2"/>
        <v/>
      </c>
      <c r="J11484" s="86">
        <f t="shared" si="3"/>
        <v>0</v>
      </c>
      <c r="R11484" s="26"/>
    </row>
    <row r="11485" spans="1:18" ht="15.75" customHeight="1">
      <c r="A11485" s="26"/>
      <c r="B11485" s="86"/>
      <c r="D11485" s="26"/>
      <c r="F11485" s="87" t="str">
        <f t="shared" si="0"/>
        <v/>
      </c>
      <c r="H11485" s="26" t="str">
        <f t="shared" si="1"/>
        <v/>
      </c>
      <c r="I11485" s="26" t="str">
        <f t="shared" si="2"/>
        <v/>
      </c>
      <c r="J11485" s="86">
        <f t="shared" si="3"/>
        <v>0</v>
      </c>
      <c r="R11485" s="26"/>
    </row>
    <row r="11486" spans="1:18" ht="15.75" customHeight="1">
      <c r="A11486" s="26"/>
      <c r="B11486" s="86"/>
      <c r="D11486" s="26"/>
      <c r="F11486" s="87" t="str">
        <f t="shared" si="0"/>
        <v/>
      </c>
      <c r="H11486" s="26" t="str">
        <f t="shared" si="1"/>
        <v/>
      </c>
      <c r="I11486" s="26" t="str">
        <f t="shared" si="2"/>
        <v/>
      </c>
      <c r="J11486" s="86">
        <f t="shared" si="3"/>
        <v>0</v>
      </c>
      <c r="R11486" s="26"/>
    </row>
    <row r="11487" spans="1:18" ht="15.75" customHeight="1">
      <c r="A11487" s="26"/>
      <c r="B11487" s="86"/>
      <c r="D11487" s="26"/>
      <c r="F11487" s="87" t="str">
        <f t="shared" si="0"/>
        <v/>
      </c>
      <c r="H11487" s="26" t="str">
        <f t="shared" si="1"/>
        <v/>
      </c>
      <c r="I11487" s="26" t="str">
        <f t="shared" si="2"/>
        <v/>
      </c>
      <c r="J11487" s="86">
        <f t="shared" si="3"/>
        <v>0</v>
      </c>
      <c r="R11487" s="26"/>
    </row>
    <row r="11488" spans="1:18" ht="15.75" customHeight="1">
      <c r="A11488" s="26"/>
      <c r="B11488" s="86"/>
      <c r="D11488" s="26"/>
      <c r="F11488" s="87" t="str">
        <f t="shared" si="0"/>
        <v/>
      </c>
      <c r="H11488" s="26" t="str">
        <f t="shared" si="1"/>
        <v/>
      </c>
      <c r="I11488" s="26" t="str">
        <f t="shared" si="2"/>
        <v/>
      </c>
      <c r="J11488" s="86">
        <f t="shared" si="3"/>
        <v>0</v>
      </c>
      <c r="R11488" s="26"/>
    </row>
    <row r="11489" spans="1:18" ht="15.75" customHeight="1">
      <c r="A11489" s="26"/>
      <c r="B11489" s="86"/>
      <c r="D11489" s="26"/>
      <c r="F11489" s="87" t="str">
        <f t="shared" si="0"/>
        <v/>
      </c>
      <c r="H11489" s="26" t="str">
        <f t="shared" si="1"/>
        <v/>
      </c>
      <c r="I11489" s="26" t="str">
        <f t="shared" si="2"/>
        <v/>
      </c>
      <c r="J11489" s="86">
        <f t="shared" si="3"/>
        <v>0</v>
      </c>
      <c r="R11489" s="26"/>
    </row>
    <row r="11490" spans="1:18" ht="15.75" customHeight="1">
      <c r="A11490" s="26"/>
      <c r="B11490" s="86"/>
      <c r="D11490" s="26"/>
      <c r="F11490" s="87" t="str">
        <f t="shared" si="0"/>
        <v/>
      </c>
      <c r="H11490" s="26" t="str">
        <f t="shared" si="1"/>
        <v/>
      </c>
      <c r="I11490" s="26" t="str">
        <f t="shared" si="2"/>
        <v/>
      </c>
      <c r="J11490" s="86">
        <f t="shared" si="3"/>
        <v>0</v>
      </c>
      <c r="R11490" s="26"/>
    </row>
    <row r="11491" spans="1:18" ht="15.75" customHeight="1">
      <c r="A11491" s="26"/>
      <c r="B11491" s="86"/>
      <c r="D11491" s="26"/>
      <c r="F11491" s="87" t="str">
        <f t="shared" si="0"/>
        <v/>
      </c>
      <c r="H11491" s="26" t="str">
        <f t="shared" si="1"/>
        <v/>
      </c>
      <c r="I11491" s="26" t="str">
        <f t="shared" si="2"/>
        <v/>
      </c>
      <c r="J11491" s="86">
        <f t="shared" si="3"/>
        <v>0</v>
      </c>
      <c r="R11491" s="26"/>
    </row>
    <row r="11492" spans="1:18" ht="15.75" customHeight="1">
      <c r="A11492" s="26"/>
      <c r="B11492" s="86"/>
      <c r="D11492" s="26"/>
      <c r="F11492" s="87" t="str">
        <f t="shared" si="0"/>
        <v/>
      </c>
      <c r="H11492" s="26" t="str">
        <f t="shared" si="1"/>
        <v/>
      </c>
      <c r="I11492" s="26" t="str">
        <f t="shared" si="2"/>
        <v/>
      </c>
      <c r="J11492" s="86">
        <f t="shared" si="3"/>
        <v>0</v>
      </c>
      <c r="R11492" s="26"/>
    </row>
    <row r="11493" spans="1:18" ht="15.75" customHeight="1">
      <c r="A11493" s="26"/>
      <c r="B11493" s="86"/>
      <c r="D11493" s="26"/>
      <c r="F11493" s="87" t="str">
        <f t="shared" si="0"/>
        <v/>
      </c>
      <c r="H11493" s="26" t="str">
        <f t="shared" si="1"/>
        <v/>
      </c>
      <c r="I11493" s="26" t="str">
        <f t="shared" si="2"/>
        <v/>
      </c>
      <c r="J11493" s="86">
        <f t="shared" si="3"/>
        <v>0</v>
      </c>
      <c r="R11493" s="26"/>
    </row>
    <row r="11494" spans="1:18" ht="15.75" customHeight="1">
      <c r="A11494" s="26"/>
      <c r="B11494" s="86"/>
      <c r="D11494" s="26"/>
      <c r="F11494" s="87" t="str">
        <f t="shared" si="0"/>
        <v/>
      </c>
      <c r="H11494" s="26" t="str">
        <f t="shared" si="1"/>
        <v/>
      </c>
      <c r="I11494" s="26" t="str">
        <f t="shared" si="2"/>
        <v/>
      </c>
      <c r="J11494" s="86">
        <f t="shared" si="3"/>
        <v>0</v>
      </c>
      <c r="R11494" s="26"/>
    </row>
    <row r="11495" spans="1:18" ht="15.75" customHeight="1">
      <c r="A11495" s="26"/>
      <c r="B11495" s="86"/>
      <c r="D11495" s="26"/>
      <c r="F11495" s="87" t="str">
        <f t="shared" si="0"/>
        <v/>
      </c>
      <c r="H11495" s="26" t="str">
        <f t="shared" si="1"/>
        <v/>
      </c>
      <c r="I11495" s="26" t="str">
        <f t="shared" si="2"/>
        <v/>
      </c>
      <c r="J11495" s="86">
        <f t="shared" si="3"/>
        <v>0</v>
      </c>
      <c r="R11495" s="26"/>
    </row>
    <row r="11496" spans="1:18" ht="15.75" customHeight="1">
      <c r="A11496" s="26"/>
      <c r="B11496" s="86"/>
      <c r="D11496" s="26"/>
      <c r="F11496" s="87" t="str">
        <f t="shared" si="0"/>
        <v/>
      </c>
      <c r="H11496" s="26" t="str">
        <f t="shared" si="1"/>
        <v/>
      </c>
      <c r="I11496" s="26" t="str">
        <f t="shared" si="2"/>
        <v/>
      </c>
      <c r="J11496" s="86">
        <f t="shared" si="3"/>
        <v>0</v>
      </c>
      <c r="R11496" s="26"/>
    </row>
    <row r="11497" spans="1:18" ht="15.75" customHeight="1">
      <c r="A11497" s="26"/>
      <c r="B11497" s="86"/>
      <c r="D11497" s="26"/>
      <c r="F11497" s="87" t="str">
        <f t="shared" si="0"/>
        <v/>
      </c>
      <c r="H11497" s="26" t="str">
        <f t="shared" si="1"/>
        <v/>
      </c>
      <c r="I11497" s="26" t="str">
        <f t="shared" si="2"/>
        <v/>
      </c>
      <c r="J11497" s="86">
        <f t="shared" si="3"/>
        <v>0</v>
      </c>
      <c r="R11497" s="26"/>
    </row>
    <row r="11498" spans="1:18" ht="15.75" customHeight="1">
      <c r="A11498" s="26"/>
      <c r="B11498" s="86"/>
      <c r="D11498" s="26"/>
      <c r="F11498" s="87" t="str">
        <f t="shared" si="0"/>
        <v/>
      </c>
      <c r="H11498" s="26" t="str">
        <f t="shared" si="1"/>
        <v/>
      </c>
      <c r="I11498" s="26" t="str">
        <f t="shared" si="2"/>
        <v/>
      </c>
      <c r="J11498" s="86">
        <f t="shared" si="3"/>
        <v>0</v>
      </c>
      <c r="R11498" s="26"/>
    </row>
    <row r="11499" spans="1:18" ht="15.75" customHeight="1">
      <c r="A11499" s="26"/>
      <c r="B11499" s="86"/>
      <c r="D11499" s="26"/>
      <c r="F11499" s="87" t="str">
        <f t="shared" si="0"/>
        <v/>
      </c>
      <c r="H11499" s="26" t="str">
        <f t="shared" si="1"/>
        <v/>
      </c>
      <c r="I11499" s="26" t="str">
        <f t="shared" si="2"/>
        <v/>
      </c>
      <c r="J11499" s="86">
        <f t="shared" si="3"/>
        <v>0</v>
      </c>
      <c r="R11499" s="26"/>
    </row>
    <row r="11500" spans="1:18" ht="15.75" customHeight="1">
      <c r="A11500" s="26"/>
      <c r="B11500" s="86"/>
      <c r="D11500" s="26"/>
      <c r="F11500" s="87" t="str">
        <f t="shared" si="0"/>
        <v/>
      </c>
      <c r="H11500" s="26" t="str">
        <f t="shared" si="1"/>
        <v/>
      </c>
      <c r="I11500" s="26" t="str">
        <f t="shared" si="2"/>
        <v/>
      </c>
      <c r="J11500" s="86">
        <f t="shared" si="3"/>
        <v>0</v>
      </c>
      <c r="R11500" s="26"/>
    </row>
    <row r="11501" spans="1:18" ht="15.75" customHeight="1">
      <c r="A11501" s="26"/>
      <c r="B11501" s="86"/>
      <c r="D11501" s="26"/>
      <c r="F11501" s="87" t="str">
        <f t="shared" si="0"/>
        <v/>
      </c>
      <c r="H11501" s="26" t="str">
        <f t="shared" si="1"/>
        <v/>
      </c>
      <c r="I11501" s="26" t="str">
        <f t="shared" si="2"/>
        <v/>
      </c>
      <c r="J11501" s="86">
        <f t="shared" si="3"/>
        <v>0</v>
      </c>
      <c r="R11501" s="26"/>
    </row>
    <row r="11502" spans="1:18" ht="15.75" customHeight="1">
      <c r="A11502" s="26"/>
      <c r="B11502" s="86"/>
      <c r="D11502" s="26"/>
      <c r="F11502" s="87" t="str">
        <f t="shared" si="0"/>
        <v/>
      </c>
      <c r="H11502" s="26" t="str">
        <f t="shared" si="1"/>
        <v/>
      </c>
      <c r="I11502" s="26" t="str">
        <f t="shared" si="2"/>
        <v/>
      </c>
      <c r="J11502" s="86">
        <f t="shared" si="3"/>
        <v>0</v>
      </c>
      <c r="R11502" s="26"/>
    </row>
    <row r="11503" spans="1:18" ht="15.75" customHeight="1">
      <c r="A11503" s="26"/>
      <c r="B11503" s="86"/>
      <c r="D11503" s="26"/>
      <c r="F11503" s="87" t="str">
        <f t="shared" si="0"/>
        <v/>
      </c>
      <c r="H11503" s="26" t="str">
        <f t="shared" si="1"/>
        <v/>
      </c>
      <c r="I11503" s="26" t="str">
        <f t="shared" si="2"/>
        <v/>
      </c>
      <c r="J11503" s="86">
        <f t="shared" si="3"/>
        <v>0</v>
      </c>
      <c r="R11503" s="26"/>
    </row>
    <row r="11504" spans="1:18" ht="15.75" customHeight="1">
      <c r="A11504" s="26"/>
      <c r="B11504" s="86"/>
      <c r="D11504" s="26"/>
      <c r="F11504" s="87" t="str">
        <f t="shared" si="0"/>
        <v/>
      </c>
      <c r="H11504" s="26" t="str">
        <f t="shared" si="1"/>
        <v/>
      </c>
      <c r="I11504" s="26" t="str">
        <f t="shared" si="2"/>
        <v/>
      </c>
      <c r="J11504" s="86">
        <f t="shared" si="3"/>
        <v>0</v>
      </c>
      <c r="R11504" s="26"/>
    </row>
    <row r="11505" spans="1:18" ht="15.75" customHeight="1">
      <c r="A11505" s="26"/>
      <c r="B11505" s="86"/>
      <c r="D11505" s="26"/>
      <c r="F11505" s="87" t="str">
        <f t="shared" si="0"/>
        <v/>
      </c>
      <c r="H11505" s="26" t="str">
        <f t="shared" si="1"/>
        <v/>
      </c>
      <c r="I11505" s="26" t="str">
        <f t="shared" si="2"/>
        <v/>
      </c>
      <c r="J11505" s="86">
        <f t="shared" si="3"/>
        <v>0</v>
      </c>
      <c r="R11505" s="26"/>
    </row>
    <row r="11506" spans="1:18" ht="15.75" customHeight="1">
      <c r="A11506" s="26"/>
      <c r="B11506" s="86"/>
      <c r="D11506" s="26"/>
      <c r="F11506" s="87" t="str">
        <f t="shared" si="0"/>
        <v/>
      </c>
      <c r="H11506" s="26" t="str">
        <f t="shared" si="1"/>
        <v/>
      </c>
      <c r="I11506" s="26" t="str">
        <f t="shared" si="2"/>
        <v/>
      </c>
      <c r="J11506" s="86">
        <f t="shared" si="3"/>
        <v>0</v>
      </c>
      <c r="R11506" s="26"/>
    </row>
    <row r="11507" spans="1:18" ht="15.75" customHeight="1">
      <c r="A11507" s="26"/>
      <c r="B11507" s="86"/>
      <c r="D11507" s="26"/>
      <c r="F11507" s="87" t="str">
        <f t="shared" si="0"/>
        <v/>
      </c>
      <c r="H11507" s="26" t="str">
        <f t="shared" si="1"/>
        <v/>
      </c>
      <c r="I11507" s="26" t="str">
        <f t="shared" si="2"/>
        <v/>
      </c>
      <c r="J11507" s="86">
        <f t="shared" si="3"/>
        <v>0</v>
      </c>
      <c r="R11507" s="26"/>
    </row>
    <row r="11508" spans="1:18" ht="15.75" customHeight="1">
      <c r="A11508" s="26"/>
      <c r="B11508" s="86"/>
      <c r="D11508" s="26"/>
      <c r="F11508" s="87" t="str">
        <f t="shared" si="0"/>
        <v/>
      </c>
      <c r="H11508" s="26" t="str">
        <f t="shared" si="1"/>
        <v/>
      </c>
      <c r="I11508" s="26" t="str">
        <f t="shared" si="2"/>
        <v/>
      </c>
      <c r="J11508" s="86">
        <f t="shared" si="3"/>
        <v>0</v>
      </c>
      <c r="R11508" s="26"/>
    </row>
    <row r="11509" spans="1:18" ht="15.75" customHeight="1">
      <c r="A11509" s="26"/>
      <c r="B11509" s="86"/>
      <c r="D11509" s="26"/>
      <c r="F11509" s="87" t="str">
        <f t="shared" si="0"/>
        <v/>
      </c>
      <c r="H11509" s="26" t="str">
        <f t="shared" si="1"/>
        <v/>
      </c>
      <c r="I11509" s="26" t="str">
        <f t="shared" si="2"/>
        <v/>
      </c>
      <c r="J11509" s="86">
        <f t="shared" si="3"/>
        <v>0</v>
      </c>
      <c r="R11509" s="26"/>
    </row>
    <row r="11510" spans="1:18" ht="15.75" customHeight="1">
      <c r="A11510" s="26"/>
      <c r="B11510" s="86"/>
      <c r="D11510" s="26"/>
      <c r="F11510" s="87" t="str">
        <f t="shared" si="0"/>
        <v/>
      </c>
      <c r="H11510" s="26" t="str">
        <f t="shared" si="1"/>
        <v/>
      </c>
      <c r="I11510" s="26" t="str">
        <f t="shared" si="2"/>
        <v/>
      </c>
      <c r="J11510" s="86">
        <f t="shared" si="3"/>
        <v>0</v>
      </c>
      <c r="R11510" s="26"/>
    </row>
    <row r="11511" spans="1:18" ht="15.75" customHeight="1">
      <c r="A11511" s="26"/>
      <c r="B11511" s="86"/>
      <c r="D11511" s="26"/>
      <c r="F11511" s="87" t="str">
        <f t="shared" si="0"/>
        <v/>
      </c>
      <c r="H11511" s="26" t="str">
        <f t="shared" si="1"/>
        <v/>
      </c>
      <c r="I11511" s="26" t="str">
        <f t="shared" si="2"/>
        <v/>
      </c>
      <c r="J11511" s="86">
        <f t="shared" si="3"/>
        <v>0</v>
      </c>
      <c r="R11511" s="26"/>
    </row>
    <row r="11512" spans="1:18" ht="15.75" customHeight="1">
      <c r="A11512" s="26"/>
      <c r="B11512" s="86"/>
      <c r="D11512" s="26"/>
      <c r="F11512" s="87" t="str">
        <f t="shared" si="0"/>
        <v/>
      </c>
      <c r="H11512" s="26" t="str">
        <f t="shared" si="1"/>
        <v/>
      </c>
      <c r="I11512" s="26" t="str">
        <f t="shared" si="2"/>
        <v/>
      </c>
      <c r="J11512" s="86">
        <f t="shared" si="3"/>
        <v>0</v>
      </c>
      <c r="R11512" s="26"/>
    </row>
    <row r="11513" spans="1:18" ht="15.75" customHeight="1">
      <c r="A11513" s="26"/>
      <c r="B11513" s="86"/>
      <c r="D11513" s="26"/>
      <c r="F11513" s="87" t="str">
        <f t="shared" si="0"/>
        <v/>
      </c>
      <c r="H11513" s="26" t="str">
        <f t="shared" si="1"/>
        <v/>
      </c>
      <c r="I11513" s="26" t="str">
        <f t="shared" si="2"/>
        <v/>
      </c>
      <c r="J11513" s="86">
        <f t="shared" si="3"/>
        <v>0</v>
      </c>
      <c r="R11513" s="26"/>
    </row>
    <row r="11514" spans="1:18" ht="15.75" customHeight="1">
      <c r="A11514" s="26"/>
      <c r="B11514" s="86"/>
      <c r="D11514" s="26"/>
      <c r="F11514" s="87" t="str">
        <f t="shared" si="0"/>
        <v/>
      </c>
      <c r="H11514" s="26" t="str">
        <f t="shared" si="1"/>
        <v/>
      </c>
      <c r="I11514" s="26" t="str">
        <f t="shared" si="2"/>
        <v/>
      </c>
      <c r="J11514" s="86">
        <f t="shared" si="3"/>
        <v>0</v>
      </c>
      <c r="R11514" s="26"/>
    </row>
    <row r="11515" spans="1:18" ht="15.75" customHeight="1">
      <c r="A11515" s="26"/>
      <c r="B11515" s="86"/>
      <c r="D11515" s="26"/>
      <c r="F11515" s="87" t="str">
        <f t="shared" si="0"/>
        <v/>
      </c>
      <c r="H11515" s="26" t="str">
        <f t="shared" si="1"/>
        <v/>
      </c>
      <c r="I11515" s="26" t="str">
        <f t="shared" si="2"/>
        <v/>
      </c>
      <c r="J11515" s="86">
        <f t="shared" si="3"/>
        <v>0</v>
      </c>
      <c r="R11515" s="26"/>
    </row>
    <row r="11516" spans="1:18" ht="15.75" customHeight="1">
      <c r="A11516" s="26"/>
      <c r="B11516" s="86"/>
      <c r="D11516" s="26"/>
      <c r="F11516" s="87" t="str">
        <f t="shared" si="0"/>
        <v/>
      </c>
      <c r="H11516" s="26" t="str">
        <f t="shared" si="1"/>
        <v/>
      </c>
      <c r="I11516" s="26" t="str">
        <f t="shared" si="2"/>
        <v/>
      </c>
      <c r="J11516" s="86">
        <f t="shared" si="3"/>
        <v>0</v>
      </c>
      <c r="R11516" s="26"/>
    </row>
    <row r="11517" spans="1:18" ht="15.75" customHeight="1">
      <c r="A11517" s="26"/>
      <c r="B11517" s="86"/>
      <c r="D11517" s="26"/>
      <c r="F11517" s="87" t="str">
        <f t="shared" si="0"/>
        <v/>
      </c>
      <c r="H11517" s="26" t="str">
        <f t="shared" si="1"/>
        <v/>
      </c>
      <c r="I11517" s="26" t="str">
        <f t="shared" si="2"/>
        <v/>
      </c>
      <c r="J11517" s="86">
        <f t="shared" si="3"/>
        <v>0</v>
      </c>
      <c r="R11517" s="26"/>
    </row>
    <row r="11518" spans="1:18" ht="15.75" customHeight="1">
      <c r="A11518" s="26"/>
      <c r="B11518" s="86"/>
      <c r="D11518" s="26"/>
      <c r="F11518" s="87" t="str">
        <f t="shared" si="0"/>
        <v/>
      </c>
      <c r="H11518" s="26" t="str">
        <f t="shared" si="1"/>
        <v/>
      </c>
      <c r="I11518" s="26" t="str">
        <f t="shared" si="2"/>
        <v/>
      </c>
      <c r="J11518" s="86">
        <f t="shared" si="3"/>
        <v>0</v>
      </c>
      <c r="R11518" s="26"/>
    </row>
    <row r="11519" spans="1:18" ht="15.75" customHeight="1">
      <c r="A11519" s="26"/>
      <c r="B11519" s="86"/>
      <c r="D11519" s="26"/>
      <c r="F11519" s="87" t="str">
        <f t="shared" si="0"/>
        <v/>
      </c>
      <c r="H11519" s="26" t="str">
        <f t="shared" si="1"/>
        <v/>
      </c>
      <c r="I11519" s="26" t="str">
        <f t="shared" si="2"/>
        <v/>
      </c>
      <c r="J11519" s="86">
        <f t="shared" si="3"/>
        <v>0</v>
      </c>
      <c r="R11519" s="26"/>
    </row>
    <row r="11520" spans="1:18" ht="15.75" customHeight="1">
      <c r="A11520" s="26"/>
      <c r="B11520" s="86"/>
      <c r="D11520" s="26"/>
      <c r="F11520" s="87" t="str">
        <f t="shared" si="0"/>
        <v/>
      </c>
      <c r="H11520" s="26" t="str">
        <f t="shared" si="1"/>
        <v/>
      </c>
      <c r="I11520" s="26" t="str">
        <f t="shared" si="2"/>
        <v/>
      </c>
      <c r="J11520" s="86">
        <f t="shared" si="3"/>
        <v>0</v>
      </c>
      <c r="R11520" s="26"/>
    </row>
    <row r="11521" spans="1:18" ht="15.75" customHeight="1">
      <c r="A11521" s="26"/>
      <c r="B11521" s="86"/>
      <c r="D11521" s="26"/>
      <c r="F11521" s="87" t="str">
        <f t="shared" si="0"/>
        <v/>
      </c>
      <c r="H11521" s="26" t="str">
        <f t="shared" si="1"/>
        <v/>
      </c>
      <c r="I11521" s="26" t="str">
        <f t="shared" si="2"/>
        <v/>
      </c>
      <c r="J11521" s="86">
        <f t="shared" si="3"/>
        <v>0</v>
      </c>
      <c r="R11521" s="26"/>
    </row>
    <row r="11522" spans="1:18" ht="15.75" customHeight="1">
      <c r="A11522" s="26"/>
      <c r="B11522" s="86"/>
      <c r="D11522" s="26"/>
      <c r="F11522" s="87" t="str">
        <f t="shared" si="0"/>
        <v/>
      </c>
      <c r="H11522" s="26" t="str">
        <f t="shared" si="1"/>
        <v/>
      </c>
      <c r="I11522" s="26" t="str">
        <f t="shared" si="2"/>
        <v/>
      </c>
      <c r="J11522" s="86">
        <f t="shared" si="3"/>
        <v>0</v>
      </c>
      <c r="R11522" s="26"/>
    </row>
    <row r="11523" spans="1:18" ht="15.75" customHeight="1">
      <c r="A11523" s="26"/>
      <c r="B11523" s="86"/>
      <c r="D11523" s="26"/>
      <c r="F11523" s="87" t="str">
        <f t="shared" si="0"/>
        <v/>
      </c>
      <c r="H11523" s="26" t="str">
        <f t="shared" si="1"/>
        <v/>
      </c>
      <c r="I11523" s="26" t="str">
        <f t="shared" si="2"/>
        <v/>
      </c>
      <c r="J11523" s="86">
        <f t="shared" si="3"/>
        <v>0</v>
      </c>
      <c r="R11523" s="26"/>
    </row>
    <row r="11524" spans="1:18" ht="15.75" customHeight="1">
      <c r="A11524" s="26"/>
      <c r="B11524" s="86"/>
      <c r="D11524" s="26"/>
      <c r="F11524" s="87" t="str">
        <f t="shared" si="0"/>
        <v/>
      </c>
      <c r="H11524" s="26" t="str">
        <f t="shared" si="1"/>
        <v/>
      </c>
      <c r="I11524" s="26" t="str">
        <f t="shared" si="2"/>
        <v/>
      </c>
      <c r="J11524" s="86">
        <f t="shared" si="3"/>
        <v>0</v>
      </c>
      <c r="R11524" s="26"/>
    </row>
    <row r="11525" spans="1:18" ht="15.75" customHeight="1">
      <c r="A11525" s="26"/>
      <c r="B11525" s="86"/>
      <c r="D11525" s="26"/>
      <c r="F11525" s="87" t="str">
        <f t="shared" si="0"/>
        <v/>
      </c>
      <c r="H11525" s="26" t="str">
        <f t="shared" si="1"/>
        <v/>
      </c>
      <c r="I11525" s="26" t="str">
        <f t="shared" si="2"/>
        <v/>
      </c>
      <c r="J11525" s="86">
        <f t="shared" si="3"/>
        <v>0</v>
      </c>
      <c r="R11525" s="26"/>
    </row>
    <row r="11526" spans="1:18" ht="15.75" customHeight="1">
      <c r="A11526" s="26"/>
      <c r="B11526" s="86"/>
      <c r="D11526" s="26"/>
      <c r="F11526" s="87" t="str">
        <f t="shared" si="0"/>
        <v/>
      </c>
      <c r="H11526" s="26" t="str">
        <f t="shared" si="1"/>
        <v/>
      </c>
      <c r="I11526" s="26" t="str">
        <f t="shared" si="2"/>
        <v/>
      </c>
      <c r="J11526" s="86">
        <f t="shared" si="3"/>
        <v>0</v>
      </c>
      <c r="R11526" s="26"/>
    </row>
    <row r="11527" spans="1:18" ht="15.75" customHeight="1">
      <c r="A11527" s="26"/>
      <c r="B11527" s="86"/>
      <c r="D11527" s="26"/>
      <c r="F11527" s="87" t="str">
        <f t="shared" si="0"/>
        <v/>
      </c>
      <c r="H11527" s="26" t="str">
        <f t="shared" si="1"/>
        <v/>
      </c>
      <c r="I11527" s="26" t="str">
        <f t="shared" si="2"/>
        <v/>
      </c>
      <c r="J11527" s="86">
        <f t="shared" si="3"/>
        <v>0</v>
      </c>
      <c r="R11527" s="26"/>
    </row>
    <row r="11528" spans="1:18" ht="15.75" customHeight="1">
      <c r="A11528" s="26"/>
      <c r="B11528" s="86"/>
      <c r="D11528" s="26"/>
      <c r="F11528" s="87" t="str">
        <f t="shared" si="0"/>
        <v/>
      </c>
      <c r="H11528" s="26" t="str">
        <f t="shared" si="1"/>
        <v/>
      </c>
      <c r="I11528" s="26" t="str">
        <f t="shared" si="2"/>
        <v/>
      </c>
      <c r="J11528" s="86">
        <f t="shared" si="3"/>
        <v>0</v>
      </c>
      <c r="R11528" s="26"/>
    </row>
    <row r="11529" spans="1:18" ht="15.75" customHeight="1">
      <c r="A11529" s="26"/>
      <c r="B11529" s="86"/>
      <c r="D11529" s="26"/>
      <c r="F11529" s="87" t="str">
        <f t="shared" si="0"/>
        <v/>
      </c>
      <c r="H11529" s="26" t="str">
        <f t="shared" si="1"/>
        <v/>
      </c>
      <c r="I11529" s="26" t="str">
        <f t="shared" si="2"/>
        <v/>
      </c>
      <c r="J11529" s="86">
        <f t="shared" si="3"/>
        <v>0</v>
      </c>
      <c r="R11529" s="26"/>
    </row>
    <row r="11530" spans="1:18" ht="15.75" customHeight="1">
      <c r="A11530" s="26"/>
      <c r="B11530" s="86"/>
      <c r="D11530" s="26"/>
      <c r="F11530" s="87" t="str">
        <f t="shared" si="0"/>
        <v/>
      </c>
      <c r="H11530" s="26" t="str">
        <f t="shared" si="1"/>
        <v/>
      </c>
      <c r="I11530" s="26" t="str">
        <f t="shared" si="2"/>
        <v/>
      </c>
      <c r="J11530" s="86">
        <f t="shared" si="3"/>
        <v>0</v>
      </c>
      <c r="R11530" s="26"/>
    </row>
    <row r="11531" spans="1:18" ht="15.75" customHeight="1">
      <c r="A11531" s="26"/>
      <c r="B11531" s="86"/>
      <c r="D11531" s="26"/>
      <c r="F11531" s="87" t="str">
        <f t="shared" si="0"/>
        <v/>
      </c>
      <c r="H11531" s="26" t="str">
        <f t="shared" si="1"/>
        <v/>
      </c>
      <c r="I11531" s="26" t="str">
        <f t="shared" si="2"/>
        <v/>
      </c>
      <c r="J11531" s="86">
        <f t="shared" si="3"/>
        <v>0</v>
      </c>
      <c r="R11531" s="26"/>
    </row>
    <row r="11532" spans="1:18" ht="15.75" customHeight="1">
      <c r="A11532" s="26"/>
      <c r="B11532" s="86"/>
      <c r="D11532" s="26"/>
      <c r="F11532" s="87" t="str">
        <f t="shared" si="0"/>
        <v/>
      </c>
      <c r="H11532" s="26" t="str">
        <f t="shared" si="1"/>
        <v/>
      </c>
      <c r="I11532" s="26" t="str">
        <f t="shared" si="2"/>
        <v/>
      </c>
      <c r="J11532" s="86">
        <f t="shared" si="3"/>
        <v>0</v>
      </c>
      <c r="R11532" s="26"/>
    </row>
    <row r="11533" spans="1:18" ht="15.75" customHeight="1">
      <c r="A11533" s="26"/>
      <c r="B11533" s="86"/>
      <c r="D11533" s="26"/>
      <c r="F11533" s="87" t="str">
        <f t="shared" si="0"/>
        <v/>
      </c>
      <c r="H11533" s="26" t="str">
        <f t="shared" si="1"/>
        <v/>
      </c>
      <c r="I11533" s="26" t="str">
        <f t="shared" si="2"/>
        <v/>
      </c>
      <c r="J11533" s="86">
        <f t="shared" si="3"/>
        <v>0</v>
      </c>
      <c r="R11533" s="26"/>
    </row>
    <row r="11534" spans="1:18" ht="15.75" customHeight="1">
      <c r="A11534" s="26"/>
      <c r="B11534" s="86"/>
      <c r="D11534" s="26"/>
      <c r="F11534" s="87" t="str">
        <f t="shared" si="0"/>
        <v/>
      </c>
      <c r="H11534" s="26" t="str">
        <f t="shared" si="1"/>
        <v/>
      </c>
      <c r="I11534" s="26" t="str">
        <f t="shared" si="2"/>
        <v/>
      </c>
      <c r="J11534" s="86">
        <f t="shared" si="3"/>
        <v>0</v>
      </c>
      <c r="R11534" s="26"/>
    </row>
    <row r="11535" spans="1:18" ht="15.75" customHeight="1">
      <c r="A11535" s="26"/>
      <c r="B11535" s="86"/>
      <c r="D11535" s="26"/>
      <c r="F11535" s="87" t="str">
        <f t="shared" si="0"/>
        <v/>
      </c>
      <c r="H11535" s="26" t="str">
        <f t="shared" si="1"/>
        <v/>
      </c>
      <c r="I11535" s="26" t="str">
        <f t="shared" si="2"/>
        <v/>
      </c>
      <c r="J11535" s="86">
        <f t="shared" si="3"/>
        <v>0</v>
      </c>
      <c r="R11535" s="26"/>
    </row>
    <row r="11536" spans="1:18" ht="15.75" customHeight="1">
      <c r="A11536" s="26"/>
      <c r="B11536" s="86"/>
      <c r="D11536" s="26"/>
      <c r="F11536" s="87" t="str">
        <f t="shared" si="0"/>
        <v/>
      </c>
      <c r="H11536" s="26" t="str">
        <f t="shared" si="1"/>
        <v/>
      </c>
      <c r="I11536" s="26" t="str">
        <f t="shared" si="2"/>
        <v/>
      </c>
      <c r="J11536" s="86">
        <f t="shared" si="3"/>
        <v>0</v>
      </c>
      <c r="R11536" s="26"/>
    </row>
    <row r="11537" spans="1:18" ht="15.75" customHeight="1">
      <c r="A11537" s="26"/>
      <c r="B11537" s="86"/>
      <c r="D11537" s="26"/>
      <c r="F11537" s="87" t="str">
        <f t="shared" si="0"/>
        <v/>
      </c>
      <c r="H11537" s="26" t="str">
        <f t="shared" si="1"/>
        <v/>
      </c>
      <c r="I11537" s="26" t="str">
        <f t="shared" si="2"/>
        <v/>
      </c>
      <c r="J11537" s="86">
        <f t="shared" si="3"/>
        <v>0</v>
      </c>
      <c r="R11537" s="26"/>
    </row>
    <row r="11538" spans="1:18" ht="15.75" customHeight="1">
      <c r="A11538" s="26"/>
      <c r="B11538" s="86"/>
      <c r="D11538" s="26"/>
      <c r="F11538" s="87" t="str">
        <f t="shared" si="0"/>
        <v/>
      </c>
      <c r="H11538" s="26" t="str">
        <f t="shared" si="1"/>
        <v/>
      </c>
      <c r="I11538" s="26" t="str">
        <f t="shared" si="2"/>
        <v/>
      </c>
      <c r="J11538" s="86">
        <f t="shared" si="3"/>
        <v>0</v>
      </c>
      <c r="R11538" s="26"/>
    </row>
    <row r="11539" spans="1:18" ht="15.75" customHeight="1">
      <c r="A11539" s="26"/>
      <c r="B11539" s="86"/>
      <c r="D11539" s="26"/>
      <c r="F11539" s="87" t="str">
        <f t="shared" si="0"/>
        <v/>
      </c>
      <c r="H11539" s="26" t="str">
        <f t="shared" si="1"/>
        <v/>
      </c>
      <c r="I11539" s="26" t="str">
        <f t="shared" si="2"/>
        <v/>
      </c>
      <c r="J11539" s="86">
        <f t="shared" si="3"/>
        <v>0</v>
      </c>
      <c r="R11539" s="26"/>
    </row>
    <row r="11540" spans="1:18" ht="15.75" customHeight="1">
      <c r="A11540" s="26"/>
      <c r="B11540" s="86"/>
      <c r="D11540" s="26"/>
      <c r="F11540" s="87" t="str">
        <f t="shared" si="0"/>
        <v/>
      </c>
      <c r="H11540" s="26" t="str">
        <f t="shared" si="1"/>
        <v/>
      </c>
      <c r="I11540" s="26" t="str">
        <f t="shared" si="2"/>
        <v/>
      </c>
      <c r="J11540" s="86">
        <f t="shared" si="3"/>
        <v>0</v>
      </c>
      <c r="R11540" s="26"/>
    </row>
    <row r="11541" spans="1:18" ht="15.75" customHeight="1">
      <c r="A11541" s="26"/>
      <c r="B11541" s="86"/>
      <c r="D11541" s="26"/>
      <c r="F11541" s="87" t="str">
        <f t="shared" si="0"/>
        <v/>
      </c>
      <c r="H11541" s="26" t="str">
        <f t="shared" si="1"/>
        <v/>
      </c>
      <c r="I11541" s="26" t="str">
        <f t="shared" si="2"/>
        <v/>
      </c>
      <c r="J11541" s="86">
        <f t="shared" si="3"/>
        <v>0</v>
      </c>
      <c r="R11541" s="26"/>
    </row>
    <row r="11542" spans="1:18" ht="15.75" customHeight="1">
      <c r="A11542" s="26"/>
      <c r="B11542" s="86"/>
      <c r="D11542" s="26"/>
      <c r="F11542" s="87" t="str">
        <f t="shared" si="0"/>
        <v/>
      </c>
      <c r="H11542" s="26" t="str">
        <f t="shared" si="1"/>
        <v/>
      </c>
      <c r="I11542" s="26" t="str">
        <f t="shared" si="2"/>
        <v/>
      </c>
      <c r="J11542" s="86">
        <f t="shared" si="3"/>
        <v>0</v>
      </c>
      <c r="R11542" s="26"/>
    </row>
    <row r="11543" spans="1:18" ht="15.75" customHeight="1">
      <c r="A11543" s="26"/>
      <c r="B11543" s="86"/>
      <c r="D11543" s="26"/>
      <c r="F11543" s="87" t="str">
        <f t="shared" si="0"/>
        <v/>
      </c>
      <c r="H11543" s="26" t="str">
        <f t="shared" si="1"/>
        <v/>
      </c>
      <c r="I11543" s="26" t="str">
        <f t="shared" si="2"/>
        <v/>
      </c>
      <c r="J11543" s="86">
        <f t="shared" si="3"/>
        <v>0</v>
      </c>
      <c r="R11543" s="26"/>
    </row>
    <row r="11544" spans="1:18" ht="15.75" customHeight="1">
      <c r="A11544" s="26"/>
      <c r="B11544" s="86"/>
      <c r="D11544" s="26"/>
      <c r="F11544" s="87" t="str">
        <f t="shared" si="0"/>
        <v/>
      </c>
      <c r="H11544" s="26" t="str">
        <f t="shared" si="1"/>
        <v/>
      </c>
      <c r="I11544" s="26" t="str">
        <f t="shared" si="2"/>
        <v/>
      </c>
      <c r="J11544" s="86">
        <f t="shared" si="3"/>
        <v>0</v>
      </c>
      <c r="R11544" s="26"/>
    </row>
    <row r="11545" spans="1:18" ht="15.75" customHeight="1">
      <c r="A11545" s="26"/>
      <c r="B11545" s="86"/>
      <c r="D11545" s="26"/>
      <c r="F11545" s="87" t="str">
        <f t="shared" si="0"/>
        <v/>
      </c>
      <c r="H11545" s="26" t="str">
        <f t="shared" si="1"/>
        <v/>
      </c>
      <c r="I11545" s="26" t="str">
        <f t="shared" si="2"/>
        <v/>
      </c>
      <c r="J11545" s="86">
        <f t="shared" si="3"/>
        <v>0</v>
      </c>
      <c r="R11545" s="26"/>
    </row>
    <row r="11546" spans="1:18" ht="15.75" customHeight="1">
      <c r="A11546" s="26"/>
      <c r="B11546" s="86"/>
      <c r="D11546" s="26"/>
      <c r="F11546" s="87" t="str">
        <f t="shared" si="0"/>
        <v/>
      </c>
      <c r="H11546" s="26" t="str">
        <f t="shared" si="1"/>
        <v/>
      </c>
      <c r="I11546" s="26" t="str">
        <f t="shared" si="2"/>
        <v/>
      </c>
      <c r="J11546" s="86">
        <f t="shared" si="3"/>
        <v>0</v>
      </c>
      <c r="R11546" s="26"/>
    </row>
    <row r="11547" spans="1:18" ht="15.75" customHeight="1">
      <c r="A11547" s="26"/>
      <c r="B11547" s="86"/>
      <c r="D11547" s="26"/>
      <c r="F11547" s="87" t="str">
        <f t="shared" si="0"/>
        <v/>
      </c>
      <c r="H11547" s="26" t="str">
        <f t="shared" si="1"/>
        <v/>
      </c>
      <c r="I11547" s="26" t="str">
        <f t="shared" si="2"/>
        <v/>
      </c>
      <c r="J11547" s="86">
        <f t="shared" si="3"/>
        <v>0</v>
      </c>
      <c r="R11547" s="26"/>
    </row>
    <row r="11548" spans="1:18" ht="15.75" customHeight="1">
      <c r="A11548" s="26"/>
      <c r="B11548" s="86"/>
      <c r="D11548" s="26"/>
      <c r="F11548" s="87" t="str">
        <f t="shared" si="0"/>
        <v/>
      </c>
      <c r="H11548" s="26" t="str">
        <f t="shared" si="1"/>
        <v/>
      </c>
      <c r="I11548" s="26" t="str">
        <f t="shared" si="2"/>
        <v/>
      </c>
      <c r="J11548" s="86">
        <f t="shared" si="3"/>
        <v>0</v>
      </c>
      <c r="R11548" s="26"/>
    </row>
    <row r="11549" spans="1:18" ht="15.75" customHeight="1">
      <c r="A11549" s="26"/>
      <c r="B11549" s="86"/>
      <c r="D11549" s="26"/>
      <c r="F11549" s="87" t="str">
        <f t="shared" si="0"/>
        <v/>
      </c>
      <c r="H11549" s="26" t="str">
        <f t="shared" si="1"/>
        <v/>
      </c>
      <c r="I11549" s="26" t="str">
        <f t="shared" si="2"/>
        <v/>
      </c>
      <c r="J11549" s="86">
        <f t="shared" si="3"/>
        <v>0</v>
      </c>
      <c r="R11549" s="26"/>
    </row>
    <row r="11550" spans="1:18" ht="15.75" customHeight="1">
      <c r="A11550" s="26"/>
      <c r="B11550" s="86"/>
      <c r="D11550" s="26"/>
      <c r="F11550" s="87" t="str">
        <f t="shared" si="0"/>
        <v/>
      </c>
      <c r="H11550" s="26" t="str">
        <f t="shared" si="1"/>
        <v/>
      </c>
      <c r="I11550" s="26" t="str">
        <f t="shared" si="2"/>
        <v/>
      </c>
      <c r="J11550" s="86">
        <f t="shared" si="3"/>
        <v>0</v>
      </c>
      <c r="R11550" s="26"/>
    </row>
    <row r="11551" spans="1:18" ht="15.75" customHeight="1">
      <c r="A11551" s="26"/>
      <c r="B11551" s="86"/>
      <c r="D11551" s="26"/>
      <c r="F11551" s="87" t="str">
        <f t="shared" si="0"/>
        <v/>
      </c>
      <c r="H11551" s="26" t="str">
        <f t="shared" si="1"/>
        <v/>
      </c>
      <c r="I11551" s="26" t="str">
        <f t="shared" si="2"/>
        <v/>
      </c>
      <c r="J11551" s="86">
        <f t="shared" si="3"/>
        <v>0</v>
      </c>
      <c r="R11551" s="26"/>
    </row>
    <row r="11552" spans="1:18" ht="15.75" customHeight="1">
      <c r="A11552" s="26"/>
      <c r="B11552" s="86"/>
      <c r="D11552" s="26"/>
      <c r="F11552" s="87" t="str">
        <f t="shared" si="0"/>
        <v/>
      </c>
      <c r="H11552" s="26" t="str">
        <f t="shared" si="1"/>
        <v/>
      </c>
      <c r="I11552" s="26" t="str">
        <f t="shared" si="2"/>
        <v/>
      </c>
      <c r="J11552" s="86">
        <f t="shared" si="3"/>
        <v>0</v>
      </c>
      <c r="R11552" s="26"/>
    </row>
    <row r="11553" spans="1:18" ht="15.75" customHeight="1">
      <c r="A11553" s="26"/>
      <c r="B11553" s="86"/>
      <c r="D11553" s="26"/>
      <c r="F11553" s="87" t="str">
        <f t="shared" si="0"/>
        <v/>
      </c>
      <c r="H11553" s="26" t="str">
        <f t="shared" si="1"/>
        <v/>
      </c>
      <c r="I11553" s="26" t="str">
        <f t="shared" si="2"/>
        <v/>
      </c>
      <c r="J11553" s="86">
        <f t="shared" si="3"/>
        <v>0</v>
      </c>
      <c r="R11553" s="26"/>
    </row>
    <row r="11554" spans="1:18" ht="15.75" customHeight="1">
      <c r="A11554" s="26"/>
      <c r="B11554" s="86"/>
      <c r="D11554" s="26"/>
      <c r="F11554" s="87" t="str">
        <f t="shared" si="0"/>
        <v/>
      </c>
      <c r="H11554" s="26" t="str">
        <f t="shared" si="1"/>
        <v/>
      </c>
      <c r="I11554" s="26" t="str">
        <f t="shared" si="2"/>
        <v/>
      </c>
      <c r="J11554" s="86">
        <f t="shared" si="3"/>
        <v>0</v>
      </c>
      <c r="R11554" s="26"/>
    </row>
    <row r="11555" spans="1:18" ht="15.75" customHeight="1">
      <c r="A11555" s="26"/>
      <c r="B11555" s="86"/>
      <c r="D11555" s="26"/>
      <c r="F11555" s="87" t="str">
        <f t="shared" si="0"/>
        <v/>
      </c>
      <c r="H11555" s="26" t="str">
        <f t="shared" si="1"/>
        <v/>
      </c>
      <c r="I11555" s="26" t="str">
        <f t="shared" si="2"/>
        <v/>
      </c>
      <c r="J11555" s="86">
        <f t="shared" si="3"/>
        <v>0</v>
      </c>
      <c r="R11555" s="26"/>
    </row>
    <row r="11556" spans="1:18" ht="15.75" customHeight="1">
      <c r="A11556" s="26"/>
      <c r="B11556" s="86"/>
      <c r="D11556" s="26"/>
      <c r="F11556" s="87" t="str">
        <f t="shared" si="0"/>
        <v/>
      </c>
      <c r="H11556" s="26" t="str">
        <f t="shared" si="1"/>
        <v/>
      </c>
      <c r="I11556" s="26" t="str">
        <f t="shared" si="2"/>
        <v/>
      </c>
      <c r="J11556" s="86">
        <f t="shared" si="3"/>
        <v>0</v>
      </c>
      <c r="R11556" s="26"/>
    </row>
    <row r="11557" spans="1:18" ht="15.75" customHeight="1">
      <c r="A11557" s="26"/>
      <c r="B11557" s="86"/>
      <c r="D11557" s="26"/>
      <c r="F11557" s="87" t="str">
        <f t="shared" si="0"/>
        <v/>
      </c>
      <c r="H11557" s="26" t="str">
        <f t="shared" si="1"/>
        <v/>
      </c>
      <c r="I11557" s="26" t="str">
        <f t="shared" si="2"/>
        <v/>
      </c>
      <c r="J11557" s="86">
        <f t="shared" si="3"/>
        <v>0</v>
      </c>
      <c r="R11557" s="26"/>
    </row>
    <row r="11558" spans="1:18" ht="15.75" customHeight="1">
      <c r="A11558" s="26"/>
      <c r="B11558" s="86"/>
      <c r="D11558" s="26"/>
      <c r="F11558" s="87" t="str">
        <f t="shared" si="0"/>
        <v/>
      </c>
      <c r="H11558" s="26" t="str">
        <f t="shared" si="1"/>
        <v/>
      </c>
      <c r="I11558" s="26" t="str">
        <f t="shared" si="2"/>
        <v/>
      </c>
      <c r="J11558" s="86">
        <f t="shared" si="3"/>
        <v>0</v>
      </c>
      <c r="R11558" s="26"/>
    </row>
    <row r="11559" spans="1:18" ht="15.75" customHeight="1">
      <c r="A11559" s="26"/>
      <c r="B11559" s="86"/>
      <c r="D11559" s="26"/>
      <c r="F11559" s="87" t="str">
        <f t="shared" si="0"/>
        <v/>
      </c>
      <c r="H11559" s="26" t="str">
        <f t="shared" si="1"/>
        <v/>
      </c>
      <c r="I11559" s="26" t="str">
        <f t="shared" si="2"/>
        <v/>
      </c>
      <c r="J11559" s="86">
        <f t="shared" si="3"/>
        <v>0</v>
      </c>
      <c r="R11559" s="26"/>
    </row>
    <row r="11560" spans="1:18" ht="15.75" customHeight="1">
      <c r="A11560" s="26"/>
      <c r="B11560" s="86"/>
      <c r="D11560" s="26"/>
      <c r="F11560" s="87" t="str">
        <f t="shared" si="0"/>
        <v/>
      </c>
      <c r="H11560" s="26" t="str">
        <f t="shared" si="1"/>
        <v/>
      </c>
      <c r="I11560" s="26" t="str">
        <f t="shared" si="2"/>
        <v/>
      </c>
      <c r="J11560" s="86">
        <f t="shared" si="3"/>
        <v>0</v>
      </c>
      <c r="R11560" s="26"/>
    </row>
    <row r="11561" spans="1:18" ht="15.75" customHeight="1">
      <c r="A11561" s="26"/>
      <c r="B11561" s="86"/>
      <c r="D11561" s="26"/>
      <c r="F11561" s="87" t="str">
        <f t="shared" si="0"/>
        <v/>
      </c>
      <c r="H11561" s="26" t="str">
        <f t="shared" si="1"/>
        <v/>
      </c>
      <c r="I11561" s="26" t="str">
        <f t="shared" si="2"/>
        <v/>
      </c>
      <c r="J11561" s="86">
        <f t="shared" si="3"/>
        <v>0</v>
      </c>
      <c r="R11561" s="26"/>
    </row>
    <row r="11562" spans="1:18" ht="15.75" customHeight="1">
      <c r="A11562" s="26"/>
      <c r="B11562" s="86"/>
      <c r="D11562" s="26"/>
      <c r="F11562" s="87" t="str">
        <f t="shared" si="0"/>
        <v/>
      </c>
      <c r="H11562" s="26" t="str">
        <f t="shared" si="1"/>
        <v/>
      </c>
      <c r="I11562" s="26" t="str">
        <f t="shared" si="2"/>
        <v/>
      </c>
      <c r="J11562" s="86">
        <f t="shared" si="3"/>
        <v>0</v>
      </c>
      <c r="R11562" s="26"/>
    </row>
    <row r="11563" spans="1:18" ht="15.75" customHeight="1">
      <c r="A11563" s="26"/>
      <c r="B11563" s="86"/>
      <c r="D11563" s="26"/>
      <c r="F11563" s="87" t="str">
        <f t="shared" si="0"/>
        <v/>
      </c>
      <c r="H11563" s="26" t="str">
        <f t="shared" si="1"/>
        <v/>
      </c>
      <c r="I11563" s="26" t="str">
        <f t="shared" si="2"/>
        <v/>
      </c>
      <c r="J11563" s="86">
        <f t="shared" si="3"/>
        <v>0</v>
      </c>
      <c r="R11563" s="26"/>
    </row>
    <row r="11564" spans="1:18" ht="15.75" customHeight="1">
      <c r="A11564" s="26"/>
      <c r="B11564" s="86"/>
      <c r="D11564" s="26"/>
      <c r="F11564" s="87" t="str">
        <f t="shared" si="0"/>
        <v/>
      </c>
      <c r="H11564" s="26" t="str">
        <f t="shared" si="1"/>
        <v/>
      </c>
      <c r="I11564" s="26" t="str">
        <f t="shared" si="2"/>
        <v/>
      </c>
      <c r="J11564" s="86">
        <f t="shared" si="3"/>
        <v>0</v>
      </c>
      <c r="R11564" s="26"/>
    </row>
    <row r="11565" spans="1:18" ht="15.75" customHeight="1">
      <c r="A11565" s="26"/>
      <c r="B11565" s="86"/>
      <c r="D11565" s="26"/>
      <c r="F11565" s="87" t="str">
        <f t="shared" si="0"/>
        <v/>
      </c>
      <c r="H11565" s="26" t="str">
        <f t="shared" si="1"/>
        <v/>
      </c>
      <c r="I11565" s="26" t="str">
        <f t="shared" si="2"/>
        <v/>
      </c>
      <c r="J11565" s="86">
        <f t="shared" si="3"/>
        <v>0</v>
      </c>
      <c r="R11565" s="26"/>
    </row>
    <row r="11566" spans="1:18" ht="15.75" customHeight="1">
      <c r="A11566" s="26"/>
      <c r="B11566" s="86"/>
      <c r="D11566" s="26"/>
      <c r="F11566" s="87" t="str">
        <f t="shared" si="0"/>
        <v/>
      </c>
      <c r="H11566" s="26" t="str">
        <f t="shared" si="1"/>
        <v/>
      </c>
      <c r="I11566" s="26" t="str">
        <f t="shared" si="2"/>
        <v/>
      </c>
      <c r="J11566" s="86">
        <f t="shared" si="3"/>
        <v>0</v>
      </c>
      <c r="R11566" s="26"/>
    </row>
    <row r="11567" spans="1:18" ht="15.75" customHeight="1">
      <c r="A11567" s="26"/>
      <c r="B11567" s="86"/>
      <c r="D11567" s="26"/>
      <c r="F11567" s="87" t="str">
        <f t="shared" si="0"/>
        <v/>
      </c>
      <c r="H11567" s="26" t="str">
        <f t="shared" si="1"/>
        <v/>
      </c>
      <c r="I11567" s="26" t="str">
        <f t="shared" si="2"/>
        <v/>
      </c>
      <c r="J11567" s="86">
        <f t="shared" si="3"/>
        <v>0</v>
      </c>
      <c r="R11567" s="26"/>
    </row>
    <row r="11568" spans="1:18" ht="15.75" customHeight="1">
      <c r="A11568" s="26"/>
      <c r="B11568" s="86"/>
      <c r="D11568" s="26"/>
      <c r="F11568" s="87" t="str">
        <f t="shared" si="0"/>
        <v/>
      </c>
      <c r="H11568" s="26" t="str">
        <f t="shared" si="1"/>
        <v/>
      </c>
      <c r="I11568" s="26" t="str">
        <f t="shared" si="2"/>
        <v/>
      </c>
      <c r="J11568" s="86">
        <f t="shared" si="3"/>
        <v>0</v>
      </c>
      <c r="R11568" s="26"/>
    </row>
    <row r="11569" spans="1:18" ht="15.75" customHeight="1">
      <c r="A11569" s="26"/>
      <c r="B11569" s="86"/>
      <c r="D11569" s="26"/>
      <c r="F11569" s="87" t="str">
        <f t="shared" si="0"/>
        <v/>
      </c>
      <c r="H11569" s="26" t="str">
        <f t="shared" si="1"/>
        <v/>
      </c>
      <c r="I11569" s="26" t="str">
        <f t="shared" si="2"/>
        <v/>
      </c>
      <c r="J11569" s="86">
        <f t="shared" si="3"/>
        <v>0</v>
      </c>
      <c r="R11569" s="26"/>
    </row>
    <row r="11570" spans="1:18" ht="15.75" customHeight="1">
      <c r="A11570" s="26"/>
      <c r="B11570" s="86"/>
      <c r="D11570" s="26"/>
      <c r="F11570" s="87" t="str">
        <f t="shared" si="0"/>
        <v/>
      </c>
      <c r="H11570" s="26" t="str">
        <f t="shared" si="1"/>
        <v/>
      </c>
      <c r="I11570" s="26" t="str">
        <f t="shared" si="2"/>
        <v/>
      </c>
      <c r="J11570" s="86">
        <f t="shared" si="3"/>
        <v>0</v>
      </c>
      <c r="R11570" s="26"/>
    </row>
    <row r="11571" spans="1:18" ht="15.75" customHeight="1">
      <c r="A11571" s="26"/>
      <c r="B11571" s="86"/>
      <c r="D11571" s="26"/>
      <c r="F11571" s="87" t="str">
        <f t="shared" si="0"/>
        <v/>
      </c>
      <c r="H11571" s="26" t="str">
        <f t="shared" si="1"/>
        <v/>
      </c>
      <c r="I11571" s="26" t="str">
        <f t="shared" si="2"/>
        <v/>
      </c>
      <c r="J11571" s="86">
        <f t="shared" si="3"/>
        <v>0</v>
      </c>
      <c r="R11571" s="26"/>
    </row>
    <row r="11572" spans="1:18" ht="15.75" customHeight="1">
      <c r="A11572" s="26"/>
      <c r="B11572" s="86"/>
      <c r="D11572" s="26"/>
      <c r="F11572" s="87" t="str">
        <f t="shared" si="0"/>
        <v/>
      </c>
      <c r="H11572" s="26" t="str">
        <f t="shared" si="1"/>
        <v/>
      </c>
      <c r="I11572" s="26" t="str">
        <f t="shared" si="2"/>
        <v/>
      </c>
      <c r="J11572" s="86">
        <f t="shared" si="3"/>
        <v>0</v>
      </c>
      <c r="R11572" s="26"/>
    </row>
    <row r="11573" spans="1:18" ht="15.75" customHeight="1">
      <c r="A11573" s="26"/>
      <c r="B11573" s="86"/>
      <c r="D11573" s="26"/>
      <c r="F11573" s="87" t="str">
        <f t="shared" si="0"/>
        <v/>
      </c>
      <c r="H11573" s="26" t="str">
        <f t="shared" si="1"/>
        <v/>
      </c>
      <c r="I11573" s="26" t="str">
        <f t="shared" si="2"/>
        <v/>
      </c>
      <c r="J11573" s="86">
        <f t="shared" si="3"/>
        <v>0</v>
      </c>
      <c r="R11573" s="26"/>
    </row>
    <row r="11574" spans="1:18" ht="15.75" customHeight="1">
      <c r="A11574" s="26"/>
      <c r="B11574" s="86"/>
      <c r="D11574" s="26"/>
      <c r="F11574" s="87" t="str">
        <f t="shared" si="0"/>
        <v/>
      </c>
      <c r="H11574" s="26" t="str">
        <f t="shared" si="1"/>
        <v/>
      </c>
      <c r="I11574" s="26" t="str">
        <f t="shared" si="2"/>
        <v/>
      </c>
      <c r="J11574" s="86">
        <f t="shared" si="3"/>
        <v>0</v>
      </c>
      <c r="R11574" s="26"/>
    </row>
    <row r="11575" spans="1:18" ht="15.75" customHeight="1">
      <c r="A11575" s="26"/>
      <c r="B11575" s="86"/>
      <c r="D11575" s="26"/>
      <c r="F11575" s="87" t="str">
        <f t="shared" si="0"/>
        <v/>
      </c>
      <c r="H11575" s="26" t="str">
        <f t="shared" si="1"/>
        <v/>
      </c>
      <c r="I11575" s="26" t="str">
        <f t="shared" si="2"/>
        <v/>
      </c>
      <c r="J11575" s="86">
        <f t="shared" si="3"/>
        <v>0</v>
      </c>
      <c r="R11575" s="26"/>
    </row>
    <row r="11576" spans="1:18" ht="15.75" customHeight="1">
      <c r="A11576" s="26"/>
      <c r="B11576" s="86"/>
      <c r="D11576" s="26"/>
      <c r="F11576" s="87" t="str">
        <f t="shared" si="0"/>
        <v/>
      </c>
      <c r="H11576" s="26" t="str">
        <f t="shared" si="1"/>
        <v/>
      </c>
      <c r="I11576" s="26" t="str">
        <f t="shared" si="2"/>
        <v/>
      </c>
      <c r="J11576" s="86">
        <f t="shared" si="3"/>
        <v>0</v>
      </c>
      <c r="R11576" s="26"/>
    </row>
    <row r="11577" spans="1:18" ht="15.75" customHeight="1">
      <c r="A11577" s="26"/>
      <c r="B11577" s="86"/>
      <c r="D11577" s="26"/>
      <c r="F11577" s="87" t="str">
        <f t="shared" si="0"/>
        <v/>
      </c>
      <c r="H11577" s="26" t="str">
        <f t="shared" si="1"/>
        <v/>
      </c>
      <c r="I11577" s="26" t="str">
        <f t="shared" si="2"/>
        <v/>
      </c>
      <c r="J11577" s="86">
        <f t="shared" si="3"/>
        <v>0</v>
      </c>
      <c r="R11577" s="26"/>
    </row>
    <row r="11578" spans="1:18" ht="15.75" customHeight="1">
      <c r="A11578" s="26"/>
      <c r="B11578" s="86"/>
      <c r="D11578" s="26"/>
      <c r="F11578" s="87" t="str">
        <f t="shared" si="0"/>
        <v/>
      </c>
      <c r="H11578" s="26" t="str">
        <f t="shared" si="1"/>
        <v/>
      </c>
      <c r="I11578" s="26" t="str">
        <f t="shared" si="2"/>
        <v/>
      </c>
      <c r="J11578" s="86">
        <f t="shared" si="3"/>
        <v>0</v>
      </c>
      <c r="R11578" s="26"/>
    </row>
    <row r="11579" spans="1:18" ht="15.75" customHeight="1">
      <c r="A11579" s="26"/>
      <c r="B11579" s="86"/>
      <c r="D11579" s="26"/>
      <c r="F11579" s="87" t="str">
        <f t="shared" si="0"/>
        <v/>
      </c>
      <c r="H11579" s="26" t="str">
        <f t="shared" si="1"/>
        <v/>
      </c>
      <c r="I11579" s="26" t="str">
        <f t="shared" si="2"/>
        <v/>
      </c>
      <c r="J11579" s="86">
        <f t="shared" si="3"/>
        <v>0</v>
      </c>
      <c r="R11579" s="26"/>
    </row>
    <row r="11580" spans="1:18" ht="15.75" customHeight="1">
      <c r="A11580" s="26"/>
      <c r="B11580" s="86"/>
      <c r="D11580" s="26"/>
      <c r="F11580" s="87" t="str">
        <f t="shared" si="0"/>
        <v/>
      </c>
      <c r="H11580" s="26" t="str">
        <f t="shared" si="1"/>
        <v/>
      </c>
      <c r="I11580" s="26" t="str">
        <f t="shared" si="2"/>
        <v/>
      </c>
      <c r="J11580" s="86">
        <f t="shared" si="3"/>
        <v>0</v>
      </c>
      <c r="R11580" s="26"/>
    </row>
    <row r="11581" spans="1:18" ht="15.75" customHeight="1">
      <c r="A11581" s="26"/>
      <c r="B11581" s="86"/>
      <c r="D11581" s="26"/>
      <c r="F11581" s="87" t="str">
        <f t="shared" si="0"/>
        <v/>
      </c>
      <c r="H11581" s="26" t="str">
        <f t="shared" si="1"/>
        <v/>
      </c>
      <c r="I11581" s="26" t="str">
        <f t="shared" si="2"/>
        <v/>
      </c>
      <c r="J11581" s="86">
        <f t="shared" si="3"/>
        <v>0</v>
      </c>
      <c r="R11581" s="26"/>
    </row>
    <row r="11582" spans="1:18" ht="15.75" customHeight="1">
      <c r="A11582" s="26"/>
      <c r="B11582" s="86"/>
      <c r="D11582" s="26"/>
      <c r="F11582" s="87" t="str">
        <f t="shared" si="0"/>
        <v/>
      </c>
      <c r="H11582" s="26" t="str">
        <f t="shared" si="1"/>
        <v/>
      </c>
      <c r="I11582" s="26" t="str">
        <f t="shared" si="2"/>
        <v/>
      </c>
      <c r="J11582" s="86">
        <f t="shared" si="3"/>
        <v>0</v>
      </c>
      <c r="R11582" s="26"/>
    </row>
    <row r="11583" spans="1:18" ht="15.75" customHeight="1">
      <c r="A11583" s="26"/>
      <c r="B11583" s="86"/>
      <c r="D11583" s="26"/>
      <c r="F11583" s="87" t="str">
        <f t="shared" si="0"/>
        <v/>
      </c>
      <c r="H11583" s="26" t="str">
        <f t="shared" si="1"/>
        <v/>
      </c>
      <c r="I11583" s="26" t="str">
        <f t="shared" si="2"/>
        <v/>
      </c>
      <c r="J11583" s="86">
        <f t="shared" si="3"/>
        <v>0</v>
      </c>
      <c r="R11583" s="26"/>
    </row>
    <row r="11584" spans="1:18" ht="15.75" customHeight="1">
      <c r="A11584" s="26"/>
      <c r="B11584" s="86"/>
      <c r="D11584" s="26"/>
      <c r="F11584" s="87" t="str">
        <f t="shared" si="0"/>
        <v/>
      </c>
      <c r="H11584" s="26" t="str">
        <f t="shared" si="1"/>
        <v/>
      </c>
      <c r="I11584" s="26" t="str">
        <f t="shared" si="2"/>
        <v/>
      </c>
      <c r="J11584" s="86">
        <f t="shared" si="3"/>
        <v>0</v>
      </c>
      <c r="R11584" s="26"/>
    </row>
    <row r="11585" spans="1:18" ht="15.75" customHeight="1">
      <c r="A11585" s="26"/>
      <c r="B11585" s="86"/>
      <c r="D11585" s="26"/>
      <c r="F11585" s="87" t="str">
        <f t="shared" si="0"/>
        <v/>
      </c>
      <c r="H11585" s="26" t="str">
        <f t="shared" si="1"/>
        <v/>
      </c>
      <c r="I11585" s="26" t="str">
        <f t="shared" si="2"/>
        <v/>
      </c>
      <c r="J11585" s="86">
        <f t="shared" si="3"/>
        <v>0</v>
      </c>
      <c r="R11585" s="26"/>
    </row>
    <row r="11586" spans="1:18" ht="15.75" customHeight="1">
      <c r="A11586" s="26"/>
      <c r="B11586" s="86"/>
      <c r="D11586" s="26"/>
      <c r="F11586" s="87" t="str">
        <f t="shared" si="0"/>
        <v/>
      </c>
      <c r="H11586" s="26" t="str">
        <f t="shared" si="1"/>
        <v/>
      </c>
      <c r="I11586" s="26" t="str">
        <f t="shared" si="2"/>
        <v/>
      </c>
      <c r="J11586" s="86">
        <f t="shared" si="3"/>
        <v>0</v>
      </c>
      <c r="R11586" s="26"/>
    </row>
    <row r="11587" spans="1:18" ht="15.75" customHeight="1">
      <c r="A11587" s="26"/>
      <c r="B11587" s="86"/>
      <c r="D11587" s="26"/>
      <c r="F11587" s="87" t="str">
        <f t="shared" si="0"/>
        <v/>
      </c>
      <c r="H11587" s="26" t="str">
        <f t="shared" si="1"/>
        <v/>
      </c>
      <c r="I11587" s="26" t="str">
        <f t="shared" si="2"/>
        <v/>
      </c>
      <c r="J11587" s="86">
        <f t="shared" si="3"/>
        <v>0</v>
      </c>
      <c r="R11587" s="26"/>
    </row>
    <row r="11588" spans="1:18" ht="15.75" customHeight="1">
      <c r="A11588" s="26"/>
      <c r="B11588" s="86"/>
      <c r="D11588" s="26"/>
      <c r="F11588" s="87" t="str">
        <f t="shared" si="0"/>
        <v/>
      </c>
      <c r="H11588" s="26" t="str">
        <f t="shared" si="1"/>
        <v/>
      </c>
      <c r="I11588" s="26" t="str">
        <f t="shared" si="2"/>
        <v/>
      </c>
      <c r="J11588" s="86">
        <f t="shared" si="3"/>
        <v>0</v>
      </c>
      <c r="R11588" s="26"/>
    </row>
    <row r="11589" spans="1:18" ht="15.75" customHeight="1">
      <c r="A11589" s="26"/>
      <c r="B11589" s="86"/>
      <c r="D11589" s="26"/>
      <c r="F11589" s="87" t="str">
        <f t="shared" si="0"/>
        <v/>
      </c>
      <c r="H11589" s="26" t="str">
        <f t="shared" si="1"/>
        <v/>
      </c>
      <c r="I11589" s="26" t="str">
        <f t="shared" si="2"/>
        <v/>
      </c>
      <c r="J11589" s="86">
        <f t="shared" si="3"/>
        <v>0</v>
      </c>
      <c r="R11589" s="26"/>
    </row>
    <row r="11590" spans="1:18" ht="15.75" customHeight="1">
      <c r="A11590" s="26"/>
      <c r="B11590" s="86"/>
      <c r="D11590" s="26"/>
      <c r="F11590" s="87" t="str">
        <f t="shared" si="0"/>
        <v/>
      </c>
      <c r="H11590" s="26" t="str">
        <f t="shared" si="1"/>
        <v/>
      </c>
      <c r="I11590" s="26" t="str">
        <f t="shared" si="2"/>
        <v/>
      </c>
      <c r="J11590" s="86">
        <f t="shared" si="3"/>
        <v>0</v>
      </c>
      <c r="R11590" s="26"/>
    </row>
    <row r="11591" spans="1:18" ht="15.75" customHeight="1">
      <c r="A11591" s="26"/>
      <c r="B11591" s="86"/>
      <c r="D11591" s="26"/>
      <c r="F11591" s="87" t="str">
        <f t="shared" si="0"/>
        <v/>
      </c>
      <c r="H11591" s="26" t="str">
        <f t="shared" si="1"/>
        <v/>
      </c>
      <c r="I11591" s="26" t="str">
        <f t="shared" si="2"/>
        <v/>
      </c>
      <c r="J11591" s="86">
        <f t="shared" si="3"/>
        <v>0</v>
      </c>
      <c r="R11591" s="26"/>
    </row>
    <row r="11592" spans="1:18" ht="15.75" customHeight="1">
      <c r="A11592" s="26"/>
      <c r="B11592" s="86"/>
      <c r="D11592" s="26"/>
      <c r="F11592" s="87" t="str">
        <f t="shared" si="0"/>
        <v/>
      </c>
      <c r="H11592" s="26" t="str">
        <f t="shared" si="1"/>
        <v/>
      </c>
      <c r="I11592" s="26" t="str">
        <f t="shared" si="2"/>
        <v/>
      </c>
      <c r="J11592" s="86">
        <f t="shared" si="3"/>
        <v>0</v>
      </c>
      <c r="R11592" s="26"/>
    </row>
    <row r="11593" spans="1:18" ht="15.75" customHeight="1">
      <c r="A11593" s="26"/>
      <c r="B11593" s="86"/>
      <c r="D11593" s="26"/>
      <c r="F11593" s="87" t="str">
        <f t="shared" si="0"/>
        <v/>
      </c>
      <c r="H11593" s="26" t="str">
        <f t="shared" si="1"/>
        <v/>
      </c>
      <c r="I11593" s="26" t="str">
        <f t="shared" si="2"/>
        <v/>
      </c>
      <c r="J11593" s="86">
        <f t="shared" si="3"/>
        <v>0</v>
      </c>
      <c r="R11593" s="26"/>
    </row>
    <row r="11594" spans="1:18" ht="15.75" customHeight="1">
      <c r="A11594" s="26"/>
      <c r="B11594" s="86"/>
      <c r="D11594" s="26"/>
      <c r="F11594" s="87" t="str">
        <f t="shared" si="0"/>
        <v/>
      </c>
      <c r="H11594" s="26" t="str">
        <f t="shared" si="1"/>
        <v/>
      </c>
      <c r="I11594" s="26" t="str">
        <f t="shared" si="2"/>
        <v/>
      </c>
      <c r="J11594" s="86">
        <f t="shared" si="3"/>
        <v>0</v>
      </c>
      <c r="R11594" s="26"/>
    </row>
    <row r="11595" spans="1:18" ht="15.75" customHeight="1">
      <c r="A11595" s="26"/>
      <c r="B11595" s="86"/>
      <c r="D11595" s="26"/>
      <c r="F11595" s="87" t="str">
        <f t="shared" si="0"/>
        <v/>
      </c>
      <c r="H11595" s="26" t="str">
        <f t="shared" si="1"/>
        <v/>
      </c>
      <c r="I11595" s="26" t="str">
        <f t="shared" si="2"/>
        <v/>
      </c>
      <c r="J11595" s="86">
        <f t="shared" si="3"/>
        <v>0</v>
      </c>
      <c r="R11595" s="26"/>
    </row>
    <row r="11596" spans="1:18" ht="15.75" customHeight="1">
      <c r="A11596" s="26"/>
      <c r="B11596" s="86"/>
      <c r="D11596" s="26"/>
      <c r="F11596" s="87" t="str">
        <f t="shared" si="0"/>
        <v/>
      </c>
      <c r="H11596" s="26" t="str">
        <f t="shared" si="1"/>
        <v/>
      </c>
      <c r="I11596" s="26" t="str">
        <f t="shared" si="2"/>
        <v/>
      </c>
      <c r="J11596" s="86">
        <f t="shared" si="3"/>
        <v>0</v>
      </c>
      <c r="R11596" s="26"/>
    </row>
    <row r="11597" spans="1:18" ht="15.75" customHeight="1">
      <c r="A11597" s="26"/>
      <c r="B11597" s="86"/>
      <c r="D11597" s="26"/>
      <c r="F11597" s="87" t="str">
        <f t="shared" si="0"/>
        <v/>
      </c>
      <c r="H11597" s="26" t="str">
        <f t="shared" si="1"/>
        <v/>
      </c>
      <c r="I11597" s="26" t="str">
        <f t="shared" si="2"/>
        <v/>
      </c>
      <c r="J11597" s="86">
        <f t="shared" si="3"/>
        <v>0</v>
      </c>
      <c r="R11597" s="26"/>
    </row>
    <row r="11598" spans="1:18" ht="15.75" customHeight="1">
      <c r="A11598" s="26"/>
      <c r="B11598" s="86"/>
      <c r="D11598" s="26"/>
      <c r="F11598" s="87" t="str">
        <f t="shared" si="0"/>
        <v/>
      </c>
      <c r="H11598" s="26" t="str">
        <f t="shared" si="1"/>
        <v/>
      </c>
      <c r="I11598" s="26" t="str">
        <f t="shared" si="2"/>
        <v/>
      </c>
      <c r="J11598" s="86">
        <f t="shared" si="3"/>
        <v>0</v>
      </c>
      <c r="R11598" s="26"/>
    </row>
    <row r="11599" spans="1:18" ht="15.75" customHeight="1">
      <c r="A11599" s="26"/>
      <c r="B11599" s="86"/>
      <c r="D11599" s="26"/>
      <c r="F11599" s="87" t="str">
        <f t="shared" si="0"/>
        <v/>
      </c>
      <c r="H11599" s="26" t="str">
        <f t="shared" si="1"/>
        <v/>
      </c>
      <c r="I11599" s="26" t="str">
        <f t="shared" si="2"/>
        <v/>
      </c>
      <c r="J11599" s="86">
        <f t="shared" si="3"/>
        <v>0</v>
      </c>
      <c r="R11599" s="26"/>
    </row>
    <row r="11600" spans="1:18" ht="15.75" customHeight="1">
      <c r="A11600" s="26"/>
      <c r="B11600" s="86"/>
      <c r="D11600" s="26"/>
      <c r="F11600" s="87" t="str">
        <f t="shared" si="0"/>
        <v/>
      </c>
      <c r="H11600" s="26" t="str">
        <f t="shared" si="1"/>
        <v/>
      </c>
      <c r="I11600" s="26" t="str">
        <f t="shared" si="2"/>
        <v/>
      </c>
      <c r="J11600" s="86">
        <f t="shared" si="3"/>
        <v>0</v>
      </c>
      <c r="R11600" s="26"/>
    </row>
    <row r="11601" spans="1:18" ht="15.75" customHeight="1">
      <c r="A11601" s="26"/>
      <c r="B11601" s="86"/>
      <c r="D11601" s="26"/>
      <c r="F11601" s="87" t="str">
        <f t="shared" si="0"/>
        <v/>
      </c>
      <c r="H11601" s="26" t="str">
        <f t="shared" si="1"/>
        <v/>
      </c>
      <c r="I11601" s="26" t="str">
        <f t="shared" si="2"/>
        <v/>
      </c>
      <c r="J11601" s="86">
        <f t="shared" si="3"/>
        <v>0</v>
      </c>
      <c r="R11601" s="26"/>
    </row>
    <row r="11602" spans="1:18" ht="15.75" customHeight="1">
      <c r="A11602" s="26"/>
      <c r="B11602" s="86"/>
      <c r="D11602" s="26"/>
      <c r="F11602" s="87" t="str">
        <f t="shared" si="0"/>
        <v/>
      </c>
      <c r="H11602" s="26" t="str">
        <f t="shared" si="1"/>
        <v/>
      </c>
      <c r="I11602" s="26" t="str">
        <f t="shared" si="2"/>
        <v/>
      </c>
      <c r="J11602" s="86">
        <f t="shared" si="3"/>
        <v>0</v>
      </c>
      <c r="R11602" s="26"/>
    </row>
    <row r="11603" spans="1:18" ht="15.75" customHeight="1">
      <c r="A11603" s="26"/>
      <c r="B11603" s="86"/>
      <c r="D11603" s="26"/>
      <c r="F11603" s="87" t="str">
        <f t="shared" si="0"/>
        <v/>
      </c>
      <c r="H11603" s="26" t="str">
        <f t="shared" si="1"/>
        <v/>
      </c>
      <c r="I11603" s="26" t="str">
        <f t="shared" si="2"/>
        <v/>
      </c>
      <c r="J11603" s="86">
        <f t="shared" si="3"/>
        <v>0</v>
      </c>
      <c r="R11603" s="26"/>
    </row>
    <row r="11604" spans="1:18" ht="15.75" customHeight="1">
      <c r="A11604" s="26"/>
      <c r="B11604" s="86"/>
      <c r="D11604" s="26"/>
      <c r="F11604" s="87" t="str">
        <f t="shared" si="0"/>
        <v/>
      </c>
      <c r="H11604" s="26" t="str">
        <f t="shared" si="1"/>
        <v/>
      </c>
      <c r="I11604" s="26" t="str">
        <f t="shared" si="2"/>
        <v/>
      </c>
      <c r="J11604" s="86">
        <f t="shared" si="3"/>
        <v>0</v>
      </c>
      <c r="R11604" s="26"/>
    </row>
    <row r="11605" spans="1:18" ht="15.75" customHeight="1">
      <c r="A11605" s="26"/>
      <c r="B11605" s="86"/>
      <c r="D11605" s="26"/>
      <c r="F11605" s="87" t="str">
        <f t="shared" si="0"/>
        <v/>
      </c>
      <c r="H11605" s="26" t="str">
        <f t="shared" si="1"/>
        <v/>
      </c>
      <c r="I11605" s="26" t="str">
        <f t="shared" si="2"/>
        <v/>
      </c>
      <c r="J11605" s="86">
        <f t="shared" si="3"/>
        <v>0</v>
      </c>
      <c r="R11605" s="26"/>
    </row>
    <row r="11606" spans="1:18" ht="15.75" customHeight="1">
      <c r="A11606" s="26"/>
      <c r="B11606" s="86"/>
      <c r="D11606" s="26"/>
      <c r="F11606" s="87" t="str">
        <f t="shared" si="0"/>
        <v/>
      </c>
      <c r="H11606" s="26" t="str">
        <f t="shared" si="1"/>
        <v/>
      </c>
      <c r="I11606" s="26" t="str">
        <f t="shared" si="2"/>
        <v/>
      </c>
      <c r="J11606" s="86">
        <f t="shared" si="3"/>
        <v>0</v>
      </c>
      <c r="R11606" s="26"/>
    </row>
    <row r="11607" spans="1:18" ht="15.75" customHeight="1">
      <c r="A11607" s="26"/>
      <c r="B11607" s="86"/>
      <c r="D11607" s="26"/>
      <c r="F11607" s="87" t="str">
        <f t="shared" si="0"/>
        <v/>
      </c>
      <c r="H11607" s="26" t="str">
        <f t="shared" si="1"/>
        <v/>
      </c>
      <c r="I11607" s="26" t="str">
        <f t="shared" si="2"/>
        <v/>
      </c>
      <c r="J11607" s="86">
        <f t="shared" si="3"/>
        <v>0</v>
      </c>
      <c r="R11607" s="26"/>
    </row>
    <row r="11608" spans="1:18" ht="15.75" customHeight="1">
      <c r="A11608" s="26"/>
      <c r="B11608" s="86"/>
      <c r="D11608" s="26"/>
      <c r="F11608" s="87" t="str">
        <f t="shared" si="0"/>
        <v/>
      </c>
      <c r="H11608" s="26" t="str">
        <f t="shared" si="1"/>
        <v/>
      </c>
      <c r="I11608" s="26" t="str">
        <f t="shared" si="2"/>
        <v/>
      </c>
      <c r="J11608" s="86">
        <f t="shared" si="3"/>
        <v>0</v>
      </c>
      <c r="R11608" s="26"/>
    </row>
    <row r="11609" spans="1:18" ht="15.75" customHeight="1">
      <c r="A11609" s="26"/>
      <c r="B11609" s="86"/>
      <c r="D11609" s="26"/>
      <c r="F11609" s="87" t="str">
        <f t="shared" si="0"/>
        <v/>
      </c>
      <c r="H11609" s="26" t="str">
        <f t="shared" si="1"/>
        <v/>
      </c>
      <c r="I11609" s="26" t="str">
        <f t="shared" si="2"/>
        <v/>
      </c>
      <c r="J11609" s="86">
        <f t="shared" si="3"/>
        <v>0</v>
      </c>
      <c r="R11609" s="26"/>
    </row>
    <row r="11610" spans="1:18" ht="15.75" customHeight="1">
      <c r="A11610" s="26"/>
      <c r="B11610" s="86"/>
      <c r="D11610" s="26"/>
      <c r="F11610" s="87" t="str">
        <f t="shared" si="0"/>
        <v/>
      </c>
      <c r="H11610" s="26" t="str">
        <f t="shared" si="1"/>
        <v/>
      </c>
      <c r="I11610" s="26" t="str">
        <f t="shared" si="2"/>
        <v/>
      </c>
      <c r="J11610" s="86">
        <f t="shared" si="3"/>
        <v>0</v>
      </c>
      <c r="R11610" s="26"/>
    </row>
    <row r="11611" spans="1:18" ht="15.75" customHeight="1">
      <c r="A11611" s="26"/>
      <c r="B11611" s="86"/>
      <c r="D11611" s="26"/>
      <c r="F11611" s="87" t="str">
        <f t="shared" si="0"/>
        <v/>
      </c>
      <c r="H11611" s="26" t="str">
        <f t="shared" si="1"/>
        <v/>
      </c>
      <c r="I11611" s="26" t="str">
        <f t="shared" si="2"/>
        <v/>
      </c>
      <c r="J11611" s="86">
        <f t="shared" si="3"/>
        <v>0</v>
      </c>
      <c r="R11611" s="26"/>
    </row>
    <row r="11612" spans="1:18" ht="15.75" customHeight="1">
      <c r="A11612" s="26"/>
      <c r="B11612" s="86"/>
      <c r="D11612" s="26"/>
      <c r="F11612" s="87" t="str">
        <f t="shared" si="0"/>
        <v/>
      </c>
      <c r="H11612" s="26" t="str">
        <f t="shared" si="1"/>
        <v/>
      </c>
      <c r="I11612" s="26" t="str">
        <f t="shared" si="2"/>
        <v/>
      </c>
      <c r="J11612" s="86">
        <f t="shared" si="3"/>
        <v>0</v>
      </c>
      <c r="R11612" s="26"/>
    </row>
    <row r="11613" spans="1:18" ht="15.75" customHeight="1">
      <c r="A11613" s="26"/>
      <c r="B11613" s="86"/>
      <c r="D11613" s="26"/>
      <c r="F11613" s="87" t="str">
        <f t="shared" si="0"/>
        <v/>
      </c>
      <c r="H11613" s="26" t="str">
        <f t="shared" si="1"/>
        <v/>
      </c>
      <c r="I11613" s="26" t="str">
        <f t="shared" si="2"/>
        <v/>
      </c>
      <c r="J11613" s="86">
        <f t="shared" si="3"/>
        <v>0</v>
      </c>
      <c r="R11613" s="26"/>
    </row>
    <row r="11614" spans="1:18" ht="15.75" customHeight="1">
      <c r="A11614" s="26"/>
      <c r="B11614" s="86"/>
      <c r="D11614" s="26"/>
      <c r="F11614" s="87" t="str">
        <f t="shared" si="0"/>
        <v/>
      </c>
      <c r="H11614" s="26" t="str">
        <f t="shared" si="1"/>
        <v/>
      </c>
      <c r="I11614" s="26" t="str">
        <f t="shared" si="2"/>
        <v/>
      </c>
      <c r="J11614" s="86">
        <f t="shared" si="3"/>
        <v>0</v>
      </c>
      <c r="R11614" s="26"/>
    </row>
    <row r="11615" spans="1:18" ht="15.75" customHeight="1">
      <c r="A11615" s="26"/>
      <c r="B11615" s="86"/>
      <c r="D11615" s="26"/>
      <c r="F11615" s="87" t="str">
        <f t="shared" si="0"/>
        <v/>
      </c>
      <c r="H11615" s="26" t="str">
        <f t="shared" si="1"/>
        <v/>
      </c>
      <c r="I11615" s="26" t="str">
        <f t="shared" si="2"/>
        <v/>
      </c>
      <c r="J11615" s="86">
        <f t="shared" si="3"/>
        <v>0</v>
      </c>
      <c r="R11615" s="26"/>
    </row>
    <row r="11616" spans="1:18" ht="15.75" customHeight="1">
      <c r="A11616" s="26"/>
      <c r="B11616" s="86"/>
      <c r="D11616" s="26"/>
      <c r="F11616" s="87" t="str">
        <f t="shared" si="0"/>
        <v/>
      </c>
      <c r="H11616" s="26" t="str">
        <f t="shared" si="1"/>
        <v/>
      </c>
      <c r="I11616" s="26" t="str">
        <f t="shared" si="2"/>
        <v/>
      </c>
      <c r="J11616" s="86">
        <f t="shared" si="3"/>
        <v>0</v>
      </c>
      <c r="R11616" s="26"/>
    </row>
    <row r="11617" spans="1:18" ht="15.75" customHeight="1">
      <c r="A11617" s="26"/>
      <c r="B11617" s="86"/>
      <c r="D11617" s="26"/>
      <c r="F11617" s="87" t="str">
        <f t="shared" si="0"/>
        <v/>
      </c>
      <c r="H11617" s="26" t="str">
        <f t="shared" si="1"/>
        <v/>
      </c>
      <c r="I11617" s="26" t="str">
        <f t="shared" si="2"/>
        <v/>
      </c>
      <c r="J11617" s="86">
        <f t="shared" si="3"/>
        <v>0</v>
      </c>
      <c r="R11617" s="26"/>
    </row>
    <row r="11618" spans="1:18" ht="15.75" customHeight="1">
      <c r="A11618" s="26"/>
      <c r="B11618" s="86"/>
      <c r="D11618" s="26"/>
      <c r="F11618" s="87" t="str">
        <f t="shared" si="0"/>
        <v/>
      </c>
      <c r="H11618" s="26" t="str">
        <f t="shared" si="1"/>
        <v/>
      </c>
      <c r="I11618" s="26" t="str">
        <f t="shared" si="2"/>
        <v/>
      </c>
      <c r="J11618" s="86">
        <f t="shared" si="3"/>
        <v>0</v>
      </c>
      <c r="R11618" s="26"/>
    </row>
    <row r="11619" spans="1:18" ht="15.75" customHeight="1">
      <c r="A11619" s="26"/>
      <c r="B11619" s="86"/>
      <c r="D11619" s="26"/>
      <c r="F11619" s="87" t="str">
        <f t="shared" si="0"/>
        <v/>
      </c>
      <c r="H11619" s="26" t="str">
        <f t="shared" si="1"/>
        <v/>
      </c>
      <c r="I11619" s="26" t="str">
        <f t="shared" si="2"/>
        <v/>
      </c>
      <c r="J11619" s="86">
        <f t="shared" si="3"/>
        <v>0</v>
      </c>
      <c r="R11619" s="26"/>
    </row>
    <row r="11620" spans="1:18" ht="15.75" customHeight="1">
      <c r="A11620" s="26"/>
      <c r="B11620" s="86"/>
      <c r="D11620" s="26"/>
      <c r="F11620" s="87" t="str">
        <f t="shared" si="0"/>
        <v/>
      </c>
      <c r="H11620" s="26" t="str">
        <f t="shared" si="1"/>
        <v/>
      </c>
      <c r="I11620" s="26" t="str">
        <f t="shared" si="2"/>
        <v/>
      </c>
      <c r="J11620" s="86">
        <f t="shared" si="3"/>
        <v>0</v>
      </c>
      <c r="R11620" s="26"/>
    </row>
    <row r="11621" spans="1:18" ht="15.75" customHeight="1">
      <c r="A11621" s="26"/>
      <c r="B11621" s="86"/>
      <c r="D11621" s="26"/>
      <c r="F11621" s="87" t="str">
        <f t="shared" si="0"/>
        <v/>
      </c>
      <c r="H11621" s="26" t="str">
        <f t="shared" si="1"/>
        <v/>
      </c>
      <c r="I11621" s="26" t="str">
        <f t="shared" si="2"/>
        <v/>
      </c>
      <c r="J11621" s="86">
        <f t="shared" si="3"/>
        <v>0</v>
      </c>
      <c r="R11621" s="26"/>
    </row>
    <row r="11622" spans="1:18" ht="15.75" customHeight="1">
      <c r="A11622" s="26"/>
      <c r="B11622" s="86"/>
      <c r="D11622" s="26"/>
      <c r="F11622" s="87" t="str">
        <f t="shared" si="0"/>
        <v/>
      </c>
      <c r="H11622" s="26" t="str">
        <f t="shared" si="1"/>
        <v/>
      </c>
      <c r="I11622" s="26" t="str">
        <f t="shared" si="2"/>
        <v/>
      </c>
      <c r="J11622" s="86">
        <f t="shared" si="3"/>
        <v>0</v>
      </c>
      <c r="R11622" s="26"/>
    </row>
    <row r="11623" spans="1:18" ht="15.75" customHeight="1">
      <c r="A11623" s="26"/>
      <c r="B11623" s="86"/>
      <c r="D11623" s="26"/>
      <c r="F11623" s="87" t="str">
        <f t="shared" si="0"/>
        <v/>
      </c>
      <c r="H11623" s="26" t="str">
        <f t="shared" si="1"/>
        <v/>
      </c>
      <c r="I11623" s="26" t="str">
        <f t="shared" si="2"/>
        <v/>
      </c>
      <c r="J11623" s="86">
        <f t="shared" si="3"/>
        <v>0</v>
      </c>
      <c r="R11623" s="26"/>
    </row>
    <row r="11624" spans="1:18" ht="15.75" customHeight="1">
      <c r="A11624" s="26"/>
      <c r="B11624" s="86"/>
      <c r="D11624" s="26"/>
      <c r="F11624" s="87" t="str">
        <f t="shared" si="0"/>
        <v/>
      </c>
      <c r="H11624" s="26" t="str">
        <f t="shared" si="1"/>
        <v/>
      </c>
      <c r="I11624" s="26" t="str">
        <f t="shared" si="2"/>
        <v/>
      </c>
      <c r="J11624" s="86">
        <f t="shared" si="3"/>
        <v>0</v>
      </c>
      <c r="R11624" s="26"/>
    </row>
    <row r="11625" spans="1:18" ht="15.75" customHeight="1">
      <c r="A11625" s="26"/>
      <c r="B11625" s="86"/>
      <c r="D11625" s="26"/>
      <c r="F11625" s="87" t="str">
        <f t="shared" si="0"/>
        <v/>
      </c>
      <c r="H11625" s="26" t="str">
        <f t="shared" si="1"/>
        <v/>
      </c>
      <c r="I11625" s="26" t="str">
        <f t="shared" si="2"/>
        <v/>
      </c>
      <c r="J11625" s="86">
        <f t="shared" si="3"/>
        <v>0</v>
      </c>
      <c r="R11625" s="26"/>
    </row>
    <row r="11626" spans="1:18" ht="15.75" customHeight="1">
      <c r="A11626" s="26"/>
      <c r="B11626" s="86"/>
      <c r="D11626" s="26"/>
      <c r="F11626" s="87" t="str">
        <f t="shared" si="0"/>
        <v/>
      </c>
      <c r="H11626" s="26" t="str">
        <f t="shared" si="1"/>
        <v/>
      </c>
      <c r="I11626" s="26" t="str">
        <f t="shared" si="2"/>
        <v/>
      </c>
      <c r="J11626" s="86">
        <f t="shared" si="3"/>
        <v>0</v>
      </c>
      <c r="R11626" s="26"/>
    </row>
    <row r="11627" spans="1:18" ht="15.75" customHeight="1">
      <c r="A11627" s="26"/>
      <c r="B11627" s="86"/>
      <c r="D11627" s="26"/>
      <c r="F11627" s="87" t="str">
        <f t="shared" si="0"/>
        <v/>
      </c>
      <c r="H11627" s="26" t="str">
        <f t="shared" si="1"/>
        <v/>
      </c>
      <c r="I11627" s="26" t="str">
        <f t="shared" si="2"/>
        <v/>
      </c>
      <c r="J11627" s="86">
        <f t="shared" si="3"/>
        <v>0</v>
      </c>
      <c r="R11627" s="26"/>
    </row>
    <row r="11628" spans="1:18" ht="15.75" customHeight="1">
      <c r="A11628" s="26"/>
      <c r="B11628" s="86"/>
      <c r="D11628" s="26"/>
      <c r="F11628" s="87" t="str">
        <f t="shared" si="0"/>
        <v/>
      </c>
      <c r="H11628" s="26" t="str">
        <f t="shared" si="1"/>
        <v/>
      </c>
      <c r="I11628" s="26" t="str">
        <f t="shared" si="2"/>
        <v/>
      </c>
      <c r="J11628" s="86">
        <f t="shared" si="3"/>
        <v>0</v>
      </c>
      <c r="R11628" s="26"/>
    </row>
    <row r="11629" spans="1:18" ht="15.75" customHeight="1">
      <c r="A11629" s="26"/>
      <c r="B11629" s="86"/>
      <c r="D11629" s="26"/>
      <c r="F11629" s="87" t="str">
        <f t="shared" si="0"/>
        <v/>
      </c>
      <c r="H11629" s="26" t="str">
        <f t="shared" si="1"/>
        <v/>
      </c>
      <c r="I11629" s="26" t="str">
        <f t="shared" si="2"/>
        <v/>
      </c>
      <c r="J11629" s="86">
        <f t="shared" si="3"/>
        <v>0</v>
      </c>
      <c r="R11629" s="26"/>
    </row>
    <row r="11630" spans="1:18" ht="15.75" customHeight="1">
      <c r="A11630" s="26"/>
      <c r="B11630" s="86"/>
      <c r="D11630" s="26"/>
      <c r="F11630" s="87" t="str">
        <f t="shared" si="0"/>
        <v/>
      </c>
      <c r="H11630" s="26" t="str">
        <f t="shared" si="1"/>
        <v/>
      </c>
      <c r="I11630" s="26" t="str">
        <f t="shared" si="2"/>
        <v/>
      </c>
      <c r="J11630" s="86">
        <f t="shared" si="3"/>
        <v>0</v>
      </c>
      <c r="R11630" s="26"/>
    </row>
    <row r="11631" spans="1:18" ht="15.75" customHeight="1">
      <c r="A11631" s="26"/>
      <c r="B11631" s="86"/>
      <c r="D11631" s="26"/>
      <c r="F11631" s="87" t="str">
        <f t="shared" si="0"/>
        <v/>
      </c>
      <c r="H11631" s="26" t="str">
        <f t="shared" si="1"/>
        <v/>
      </c>
      <c r="I11631" s="26" t="str">
        <f t="shared" si="2"/>
        <v/>
      </c>
      <c r="J11631" s="86">
        <f t="shared" si="3"/>
        <v>0</v>
      </c>
      <c r="R11631" s="26"/>
    </row>
    <row r="11632" spans="1:18" ht="15.75" customHeight="1">
      <c r="A11632" s="26"/>
      <c r="B11632" s="86"/>
      <c r="D11632" s="26"/>
      <c r="F11632" s="87" t="str">
        <f t="shared" si="0"/>
        <v/>
      </c>
      <c r="H11632" s="26" t="str">
        <f t="shared" si="1"/>
        <v/>
      </c>
      <c r="I11632" s="26" t="str">
        <f t="shared" si="2"/>
        <v/>
      </c>
      <c r="J11632" s="86">
        <f t="shared" si="3"/>
        <v>0</v>
      </c>
      <c r="R11632" s="26"/>
    </row>
    <row r="11633" spans="1:18" ht="15.75" customHeight="1">
      <c r="A11633" s="26"/>
      <c r="B11633" s="86"/>
      <c r="D11633" s="26"/>
      <c r="F11633" s="87" t="str">
        <f t="shared" si="0"/>
        <v/>
      </c>
      <c r="H11633" s="26" t="str">
        <f t="shared" si="1"/>
        <v/>
      </c>
      <c r="I11633" s="26" t="str">
        <f t="shared" si="2"/>
        <v/>
      </c>
      <c r="J11633" s="86">
        <f t="shared" si="3"/>
        <v>0</v>
      </c>
      <c r="R11633" s="26"/>
    </row>
    <row r="11634" spans="1:18" ht="15.75" customHeight="1">
      <c r="A11634" s="26"/>
      <c r="B11634" s="86"/>
      <c r="D11634" s="26"/>
      <c r="F11634" s="87" t="str">
        <f t="shared" si="0"/>
        <v/>
      </c>
      <c r="H11634" s="26" t="str">
        <f t="shared" si="1"/>
        <v/>
      </c>
      <c r="I11634" s="26" t="str">
        <f t="shared" si="2"/>
        <v/>
      </c>
      <c r="J11634" s="86">
        <f t="shared" si="3"/>
        <v>0</v>
      </c>
      <c r="R11634" s="26"/>
    </row>
    <row r="11635" spans="1:18" ht="15.75" customHeight="1">
      <c r="A11635" s="26"/>
      <c r="B11635" s="86"/>
      <c r="D11635" s="26"/>
      <c r="F11635" s="87" t="str">
        <f t="shared" si="0"/>
        <v/>
      </c>
      <c r="H11635" s="26" t="str">
        <f t="shared" si="1"/>
        <v/>
      </c>
      <c r="I11635" s="26" t="str">
        <f t="shared" si="2"/>
        <v/>
      </c>
      <c r="J11635" s="86">
        <f t="shared" si="3"/>
        <v>0</v>
      </c>
      <c r="R11635" s="26"/>
    </row>
    <row r="11636" spans="1:18" ht="15.75" customHeight="1">
      <c r="A11636" s="26"/>
      <c r="B11636" s="86"/>
      <c r="D11636" s="26"/>
      <c r="F11636" s="87" t="str">
        <f t="shared" si="0"/>
        <v/>
      </c>
      <c r="H11636" s="26" t="str">
        <f t="shared" si="1"/>
        <v/>
      </c>
      <c r="I11636" s="26" t="str">
        <f t="shared" si="2"/>
        <v/>
      </c>
      <c r="J11636" s="86">
        <f t="shared" si="3"/>
        <v>0</v>
      </c>
      <c r="R11636" s="26"/>
    </row>
    <row r="11637" spans="1:18" ht="15.75" customHeight="1">
      <c r="A11637" s="26"/>
      <c r="B11637" s="86"/>
      <c r="D11637" s="26"/>
      <c r="F11637" s="87" t="str">
        <f t="shared" si="0"/>
        <v/>
      </c>
      <c r="H11637" s="26" t="str">
        <f t="shared" si="1"/>
        <v/>
      </c>
      <c r="I11637" s="26" t="str">
        <f t="shared" si="2"/>
        <v/>
      </c>
      <c r="J11637" s="86">
        <f t="shared" si="3"/>
        <v>0</v>
      </c>
      <c r="R11637" s="26"/>
    </row>
    <row r="11638" spans="1:18" ht="15.75" customHeight="1">
      <c r="A11638" s="26"/>
      <c r="B11638" s="86"/>
      <c r="D11638" s="26"/>
      <c r="F11638" s="87" t="str">
        <f t="shared" si="0"/>
        <v/>
      </c>
      <c r="H11638" s="26" t="str">
        <f t="shared" si="1"/>
        <v/>
      </c>
      <c r="I11638" s="26" t="str">
        <f t="shared" si="2"/>
        <v/>
      </c>
      <c r="J11638" s="86">
        <f t="shared" si="3"/>
        <v>0</v>
      </c>
      <c r="R11638" s="26"/>
    </row>
    <row r="11639" spans="1:18" ht="15.75" customHeight="1">
      <c r="A11639" s="26"/>
      <c r="B11639" s="86"/>
      <c r="D11639" s="26"/>
      <c r="F11639" s="87" t="str">
        <f t="shared" si="0"/>
        <v/>
      </c>
      <c r="H11639" s="26" t="str">
        <f t="shared" si="1"/>
        <v/>
      </c>
      <c r="I11639" s="26" t="str">
        <f t="shared" si="2"/>
        <v/>
      </c>
      <c r="J11639" s="86">
        <f t="shared" si="3"/>
        <v>0</v>
      </c>
      <c r="R11639" s="26"/>
    </row>
    <row r="11640" spans="1:18" ht="15.75" customHeight="1">
      <c r="A11640" s="26"/>
      <c r="B11640" s="86"/>
      <c r="D11640" s="26"/>
      <c r="F11640" s="87" t="str">
        <f t="shared" si="0"/>
        <v/>
      </c>
      <c r="H11640" s="26" t="str">
        <f t="shared" si="1"/>
        <v/>
      </c>
      <c r="I11640" s="26" t="str">
        <f t="shared" si="2"/>
        <v/>
      </c>
      <c r="J11640" s="86">
        <f t="shared" si="3"/>
        <v>0</v>
      </c>
      <c r="R11640" s="26"/>
    </row>
    <row r="11641" spans="1:18" ht="15.75" customHeight="1">
      <c r="A11641" s="26"/>
      <c r="B11641" s="86"/>
      <c r="D11641" s="26"/>
      <c r="F11641" s="87" t="str">
        <f t="shared" si="0"/>
        <v/>
      </c>
      <c r="H11641" s="26" t="str">
        <f t="shared" si="1"/>
        <v/>
      </c>
      <c r="I11641" s="26" t="str">
        <f t="shared" si="2"/>
        <v/>
      </c>
      <c r="J11641" s="86">
        <f t="shared" si="3"/>
        <v>0</v>
      </c>
      <c r="R11641" s="26"/>
    </row>
    <row r="11642" spans="1:18" ht="15.75" customHeight="1">
      <c r="A11642" s="26"/>
      <c r="B11642" s="86"/>
      <c r="D11642" s="26"/>
      <c r="F11642" s="87" t="str">
        <f t="shared" si="0"/>
        <v/>
      </c>
      <c r="H11642" s="26" t="str">
        <f t="shared" si="1"/>
        <v/>
      </c>
      <c r="I11642" s="26" t="str">
        <f t="shared" si="2"/>
        <v/>
      </c>
      <c r="J11642" s="86">
        <f t="shared" si="3"/>
        <v>0</v>
      </c>
      <c r="R11642" s="26"/>
    </row>
    <row r="11643" spans="1:18" ht="15.75" customHeight="1">
      <c r="A11643" s="26"/>
      <c r="B11643" s="86"/>
      <c r="D11643" s="26"/>
      <c r="F11643" s="87" t="str">
        <f t="shared" si="0"/>
        <v/>
      </c>
      <c r="H11643" s="26" t="str">
        <f t="shared" si="1"/>
        <v/>
      </c>
      <c r="I11643" s="26" t="str">
        <f t="shared" si="2"/>
        <v/>
      </c>
      <c r="J11643" s="86">
        <f t="shared" si="3"/>
        <v>0</v>
      </c>
      <c r="R11643" s="26"/>
    </row>
    <row r="11644" spans="1:18" ht="15.75" customHeight="1">
      <c r="A11644" s="26"/>
      <c r="B11644" s="86"/>
      <c r="D11644" s="26"/>
      <c r="F11644" s="87" t="str">
        <f t="shared" si="0"/>
        <v/>
      </c>
      <c r="H11644" s="26" t="str">
        <f t="shared" si="1"/>
        <v/>
      </c>
      <c r="I11644" s="26" t="str">
        <f t="shared" si="2"/>
        <v/>
      </c>
      <c r="J11644" s="86">
        <f t="shared" si="3"/>
        <v>0</v>
      </c>
      <c r="R11644" s="26"/>
    </row>
    <row r="11645" spans="1:18" ht="15.75" customHeight="1">
      <c r="A11645" s="26"/>
      <c r="B11645" s="86"/>
      <c r="D11645" s="26"/>
      <c r="F11645" s="87" t="str">
        <f t="shared" si="0"/>
        <v/>
      </c>
      <c r="H11645" s="26" t="str">
        <f t="shared" si="1"/>
        <v/>
      </c>
      <c r="I11645" s="26" t="str">
        <f t="shared" si="2"/>
        <v/>
      </c>
      <c r="J11645" s="86">
        <f t="shared" si="3"/>
        <v>0</v>
      </c>
      <c r="R11645" s="26"/>
    </row>
    <row r="11646" spans="1:18" ht="15.75" customHeight="1">
      <c r="A11646" s="26"/>
      <c r="B11646" s="86"/>
      <c r="D11646" s="26"/>
      <c r="F11646" s="87" t="str">
        <f t="shared" si="0"/>
        <v/>
      </c>
      <c r="H11646" s="26" t="str">
        <f t="shared" si="1"/>
        <v/>
      </c>
      <c r="I11646" s="26" t="str">
        <f t="shared" si="2"/>
        <v/>
      </c>
      <c r="J11646" s="86">
        <f t="shared" si="3"/>
        <v>0</v>
      </c>
      <c r="R11646" s="26"/>
    </row>
    <row r="11647" spans="1:18" ht="15.75" customHeight="1">
      <c r="A11647" s="26"/>
      <c r="B11647" s="86"/>
      <c r="D11647" s="26"/>
      <c r="F11647" s="87" t="str">
        <f t="shared" si="0"/>
        <v/>
      </c>
      <c r="H11647" s="26" t="str">
        <f t="shared" si="1"/>
        <v/>
      </c>
      <c r="I11647" s="26" t="str">
        <f t="shared" si="2"/>
        <v/>
      </c>
      <c r="J11647" s="86">
        <f t="shared" si="3"/>
        <v>0</v>
      </c>
      <c r="R11647" s="26"/>
    </row>
    <row r="11648" spans="1:18" ht="15.75" customHeight="1">
      <c r="A11648" s="26"/>
      <c r="B11648" s="86"/>
      <c r="D11648" s="26"/>
      <c r="F11648" s="87" t="str">
        <f t="shared" si="0"/>
        <v/>
      </c>
      <c r="H11648" s="26" t="str">
        <f t="shared" si="1"/>
        <v/>
      </c>
      <c r="I11648" s="26" t="str">
        <f t="shared" si="2"/>
        <v/>
      </c>
      <c r="J11648" s="86">
        <f t="shared" si="3"/>
        <v>0</v>
      </c>
      <c r="R11648" s="26"/>
    </row>
    <row r="11649" spans="1:18" ht="15.75" customHeight="1">
      <c r="A11649" s="26"/>
      <c r="B11649" s="86"/>
      <c r="D11649" s="26"/>
      <c r="F11649" s="87" t="str">
        <f t="shared" si="0"/>
        <v/>
      </c>
      <c r="H11649" s="26" t="str">
        <f t="shared" si="1"/>
        <v/>
      </c>
      <c r="I11649" s="26" t="str">
        <f t="shared" si="2"/>
        <v/>
      </c>
      <c r="J11649" s="86">
        <f t="shared" si="3"/>
        <v>0</v>
      </c>
      <c r="R11649" s="26"/>
    </row>
    <row r="11650" spans="1:18" ht="15.75" customHeight="1">
      <c r="A11650" s="26"/>
      <c r="B11650" s="86"/>
      <c r="D11650" s="26"/>
      <c r="F11650" s="87" t="str">
        <f t="shared" si="0"/>
        <v/>
      </c>
      <c r="H11650" s="26" t="str">
        <f t="shared" si="1"/>
        <v/>
      </c>
      <c r="I11650" s="26" t="str">
        <f t="shared" si="2"/>
        <v/>
      </c>
      <c r="J11650" s="86">
        <f t="shared" si="3"/>
        <v>0</v>
      </c>
      <c r="R11650" s="26"/>
    </row>
    <row r="11651" spans="1:18" ht="15.75" customHeight="1">
      <c r="A11651" s="26"/>
      <c r="B11651" s="86"/>
      <c r="D11651" s="26"/>
      <c r="F11651" s="87" t="str">
        <f t="shared" si="0"/>
        <v/>
      </c>
      <c r="H11651" s="26" t="str">
        <f t="shared" si="1"/>
        <v/>
      </c>
      <c r="I11651" s="26" t="str">
        <f t="shared" si="2"/>
        <v/>
      </c>
      <c r="J11651" s="86">
        <f t="shared" si="3"/>
        <v>0</v>
      </c>
      <c r="R11651" s="26"/>
    </row>
    <row r="11652" spans="1:18" ht="15.75" customHeight="1">
      <c r="A11652" s="26"/>
      <c r="B11652" s="86"/>
      <c r="D11652" s="26"/>
      <c r="F11652" s="87" t="str">
        <f t="shared" si="0"/>
        <v/>
      </c>
      <c r="H11652" s="26" t="str">
        <f t="shared" si="1"/>
        <v/>
      </c>
      <c r="I11652" s="26" t="str">
        <f t="shared" si="2"/>
        <v/>
      </c>
      <c r="J11652" s="86">
        <f t="shared" si="3"/>
        <v>0</v>
      </c>
      <c r="R11652" s="26"/>
    </row>
    <row r="11653" spans="1:18" ht="15.75" customHeight="1">
      <c r="A11653" s="26"/>
      <c r="B11653" s="86"/>
      <c r="D11653" s="26"/>
      <c r="F11653" s="87" t="str">
        <f t="shared" si="0"/>
        <v/>
      </c>
      <c r="H11653" s="26" t="str">
        <f t="shared" si="1"/>
        <v/>
      </c>
      <c r="I11653" s="26" t="str">
        <f t="shared" si="2"/>
        <v/>
      </c>
      <c r="J11653" s="86">
        <f t="shared" si="3"/>
        <v>0</v>
      </c>
      <c r="R11653" s="26"/>
    </row>
    <row r="11654" spans="1:18" ht="15.75" customHeight="1">
      <c r="A11654" s="26"/>
      <c r="B11654" s="86"/>
      <c r="D11654" s="26"/>
      <c r="F11654" s="87" t="str">
        <f t="shared" si="0"/>
        <v/>
      </c>
      <c r="H11654" s="26" t="str">
        <f t="shared" si="1"/>
        <v/>
      </c>
      <c r="I11654" s="26" t="str">
        <f t="shared" si="2"/>
        <v/>
      </c>
      <c r="J11654" s="86">
        <f t="shared" si="3"/>
        <v>0</v>
      </c>
      <c r="R11654" s="26"/>
    </row>
    <row r="11655" spans="1:18" ht="15.75" customHeight="1">
      <c r="A11655" s="26"/>
      <c r="B11655" s="86"/>
      <c r="D11655" s="26"/>
      <c r="F11655" s="87" t="str">
        <f t="shared" si="0"/>
        <v/>
      </c>
      <c r="H11655" s="26" t="str">
        <f t="shared" si="1"/>
        <v/>
      </c>
      <c r="I11655" s="26" t="str">
        <f t="shared" si="2"/>
        <v/>
      </c>
      <c r="J11655" s="86">
        <f t="shared" si="3"/>
        <v>0</v>
      </c>
      <c r="R11655" s="26"/>
    </row>
    <row r="11656" spans="1:18" ht="15.75" customHeight="1">
      <c r="A11656" s="26"/>
      <c r="B11656" s="86"/>
      <c r="D11656" s="26"/>
      <c r="F11656" s="87" t="str">
        <f t="shared" si="0"/>
        <v/>
      </c>
      <c r="H11656" s="26" t="str">
        <f t="shared" si="1"/>
        <v/>
      </c>
      <c r="I11656" s="26" t="str">
        <f t="shared" si="2"/>
        <v/>
      </c>
      <c r="J11656" s="86">
        <f t="shared" si="3"/>
        <v>0</v>
      </c>
      <c r="R11656" s="26"/>
    </row>
    <row r="11657" spans="1:18" ht="15.75" customHeight="1">
      <c r="A11657" s="26"/>
      <c r="B11657" s="86"/>
      <c r="D11657" s="26"/>
      <c r="F11657" s="87" t="str">
        <f t="shared" si="0"/>
        <v/>
      </c>
      <c r="H11657" s="26" t="str">
        <f t="shared" si="1"/>
        <v/>
      </c>
      <c r="I11657" s="26" t="str">
        <f t="shared" si="2"/>
        <v/>
      </c>
      <c r="J11657" s="86">
        <f t="shared" si="3"/>
        <v>0</v>
      </c>
      <c r="R11657" s="26"/>
    </row>
    <row r="11658" spans="1:18" ht="15.75" customHeight="1">
      <c r="A11658" s="26"/>
      <c r="B11658" s="86"/>
      <c r="D11658" s="26"/>
      <c r="F11658" s="87" t="str">
        <f t="shared" si="0"/>
        <v/>
      </c>
      <c r="H11658" s="26" t="str">
        <f t="shared" si="1"/>
        <v/>
      </c>
      <c r="I11658" s="26" t="str">
        <f t="shared" si="2"/>
        <v/>
      </c>
      <c r="J11658" s="86">
        <f t="shared" si="3"/>
        <v>0</v>
      </c>
      <c r="R11658" s="26"/>
    </row>
    <row r="11659" spans="1:18" ht="15.75" customHeight="1">
      <c r="A11659" s="26"/>
      <c r="B11659" s="86"/>
      <c r="D11659" s="26"/>
      <c r="F11659" s="87" t="str">
        <f t="shared" si="0"/>
        <v/>
      </c>
      <c r="H11659" s="26" t="str">
        <f t="shared" si="1"/>
        <v/>
      </c>
      <c r="I11659" s="26" t="str">
        <f t="shared" si="2"/>
        <v/>
      </c>
      <c r="J11659" s="86">
        <f t="shared" si="3"/>
        <v>0</v>
      </c>
      <c r="R11659" s="26"/>
    </row>
    <row r="11660" spans="1:18" ht="15.75" customHeight="1">
      <c r="A11660" s="26"/>
      <c r="B11660" s="86"/>
      <c r="D11660" s="26"/>
      <c r="F11660" s="87" t="str">
        <f t="shared" si="0"/>
        <v/>
      </c>
      <c r="H11660" s="26" t="str">
        <f t="shared" si="1"/>
        <v/>
      </c>
      <c r="I11660" s="26" t="str">
        <f t="shared" si="2"/>
        <v/>
      </c>
      <c r="J11660" s="86">
        <f t="shared" si="3"/>
        <v>0</v>
      </c>
      <c r="R11660" s="26"/>
    </row>
    <row r="11661" spans="1:18" ht="15.75" customHeight="1">
      <c r="A11661" s="26"/>
      <c r="B11661" s="86"/>
      <c r="D11661" s="26"/>
      <c r="F11661" s="87" t="str">
        <f t="shared" si="0"/>
        <v/>
      </c>
      <c r="H11661" s="26" t="str">
        <f t="shared" si="1"/>
        <v/>
      </c>
      <c r="I11661" s="26" t="str">
        <f t="shared" si="2"/>
        <v/>
      </c>
      <c r="J11661" s="86">
        <f t="shared" si="3"/>
        <v>0</v>
      </c>
      <c r="R11661" s="26"/>
    </row>
    <row r="11662" spans="1:18" ht="15.75" customHeight="1">
      <c r="A11662" s="26"/>
      <c r="B11662" s="86"/>
      <c r="D11662" s="26"/>
      <c r="F11662" s="87" t="str">
        <f t="shared" si="0"/>
        <v/>
      </c>
      <c r="H11662" s="26" t="str">
        <f t="shared" si="1"/>
        <v/>
      </c>
      <c r="I11662" s="26" t="str">
        <f t="shared" si="2"/>
        <v/>
      </c>
      <c r="J11662" s="86">
        <f t="shared" si="3"/>
        <v>0</v>
      </c>
      <c r="R11662" s="26"/>
    </row>
    <row r="11663" spans="1:18" ht="15.75" customHeight="1">
      <c r="A11663" s="26"/>
      <c r="B11663" s="86"/>
      <c r="D11663" s="26"/>
      <c r="F11663" s="87" t="str">
        <f t="shared" si="0"/>
        <v/>
      </c>
      <c r="H11663" s="26" t="str">
        <f t="shared" si="1"/>
        <v/>
      </c>
      <c r="I11663" s="26" t="str">
        <f t="shared" si="2"/>
        <v/>
      </c>
      <c r="J11663" s="86">
        <f t="shared" si="3"/>
        <v>0</v>
      </c>
      <c r="R11663" s="26"/>
    </row>
    <row r="11664" spans="1:18" ht="15.75" customHeight="1">
      <c r="A11664" s="26"/>
      <c r="B11664" s="86"/>
      <c r="D11664" s="26"/>
      <c r="F11664" s="87" t="str">
        <f t="shared" si="0"/>
        <v/>
      </c>
      <c r="H11664" s="26" t="str">
        <f t="shared" si="1"/>
        <v/>
      </c>
      <c r="I11664" s="26" t="str">
        <f t="shared" si="2"/>
        <v/>
      </c>
      <c r="J11664" s="86">
        <f t="shared" si="3"/>
        <v>0</v>
      </c>
      <c r="R11664" s="26"/>
    </row>
    <row r="11665" spans="1:18" ht="15.75" customHeight="1">
      <c r="A11665" s="26"/>
      <c r="B11665" s="86"/>
      <c r="D11665" s="26"/>
      <c r="F11665" s="87" t="str">
        <f t="shared" si="0"/>
        <v/>
      </c>
      <c r="H11665" s="26" t="str">
        <f t="shared" si="1"/>
        <v/>
      </c>
      <c r="I11665" s="26" t="str">
        <f t="shared" si="2"/>
        <v/>
      </c>
      <c r="J11665" s="86">
        <f t="shared" si="3"/>
        <v>0</v>
      </c>
      <c r="R11665" s="26"/>
    </row>
    <row r="11666" spans="1:18" ht="15.75" customHeight="1">
      <c r="A11666" s="26"/>
      <c r="B11666" s="86"/>
      <c r="D11666" s="26"/>
      <c r="F11666" s="87" t="str">
        <f t="shared" si="0"/>
        <v/>
      </c>
      <c r="H11666" s="26" t="str">
        <f t="shared" si="1"/>
        <v/>
      </c>
      <c r="I11666" s="26" t="str">
        <f t="shared" si="2"/>
        <v/>
      </c>
      <c r="J11666" s="86">
        <f t="shared" si="3"/>
        <v>0</v>
      </c>
      <c r="R11666" s="26"/>
    </row>
    <row r="11667" spans="1:18" ht="15.75" customHeight="1">
      <c r="A11667" s="26"/>
      <c r="B11667" s="86"/>
      <c r="D11667" s="26"/>
      <c r="F11667" s="87" t="str">
        <f t="shared" si="0"/>
        <v/>
      </c>
      <c r="H11667" s="26" t="str">
        <f t="shared" si="1"/>
        <v/>
      </c>
      <c r="I11667" s="26" t="str">
        <f t="shared" si="2"/>
        <v/>
      </c>
      <c r="J11667" s="86">
        <f t="shared" si="3"/>
        <v>0</v>
      </c>
      <c r="R11667" s="26"/>
    </row>
    <row r="11668" spans="1:18" ht="15.75" customHeight="1">
      <c r="A11668" s="26"/>
      <c r="B11668" s="86"/>
      <c r="D11668" s="26"/>
      <c r="F11668" s="87" t="str">
        <f t="shared" si="0"/>
        <v/>
      </c>
      <c r="H11668" s="26" t="str">
        <f t="shared" si="1"/>
        <v/>
      </c>
      <c r="I11668" s="26" t="str">
        <f t="shared" si="2"/>
        <v/>
      </c>
      <c r="J11668" s="86">
        <f t="shared" si="3"/>
        <v>0</v>
      </c>
      <c r="R11668" s="26"/>
    </row>
    <row r="11669" spans="1:18" ht="15.75" customHeight="1">
      <c r="A11669" s="26"/>
      <c r="B11669" s="86"/>
      <c r="D11669" s="26"/>
      <c r="F11669" s="87" t="str">
        <f t="shared" si="0"/>
        <v/>
      </c>
      <c r="H11669" s="26" t="str">
        <f t="shared" si="1"/>
        <v/>
      </c>
      <c r="I11669" s="26" t="str">
        <f t="shared" si="2"/>
        <v/>
      </c>
      <c r="J11669" s="86">
        <f t="shared" si="3"/>
        <v>0</v>
      </c>
      <c r="R11669" s="26"/>
    </row>
    <row r="11670" spans="1:18" ht="15.75" customHeight="1">
      <c r="A11670" s="26"/>
      <c r="B11670" s="86"/>
      <c r="D11670" s="26"/>
      <c r="F11670" s="87" t="str">
        <f t="shared" si="0"/>
        <v/>
      </c>
      <c r="H11670" s="26" t="str">
        <f t="shared" si="1"/>
        <v/>
      </c>
      <c r="I11670" s="26" t="str">
        <f t="shared" si="2"/>
        <v/>
      </c>
      <c r="J11670" s="86">
        <f t="shared" si="3"/>
        <v>0</v>
      </c>
      <c r="R11670" s="26"/>
    </row>
    <row r="11671" spans="1:18" ht="15.75" customHeight="1">
      <c r="A11671" s="26"/>
      <c r="B11671" s="86"/>
      <c r="D11671" s="26"/>
      <c r="F11671" s="87" t="str">
        <f t="shared" si="0"/>
        <v/>
      </c>
      <c r="H11671" s="26" t="str">
        <f t="shared" si="1"/>
        <v/>
      </c>
      <c r="I11671" s="26" t="str">
        <f t="shared" si="2"/>
        <v/>
      </c>
      <c r="J11671" s="86">
        <f t="shared" si="3"/>
        <v>0</v>
      </c>
      <c r="R11671" s="26"/>
    </row>
    <row r="11672" spans="1:18" ht="15.75" customHeight="1">
      <c r="A11672" s="26"/>
      <c r="B11672" s="86"/>
      <c r="D11672" s="26"/>
      <c r="F11672" s="87" t="str">
        <f t="shared" si="0"/>
        <v/>
      </c>
      <c r="H11672" s="26" t="str">
        <f t="shared" si="1"/>
        <v/>
      </c>
      <c r="I11672" s="26" t="str">
        <f t="shared" si="2"/>
        <v/>
      </c>
      <c r="J11672" s="86">
        <f t="shared" si="3"/>
        <v>0</v>
      </c>
      <c r="R11672" s="26"/>
    </row>
    <row r="11673" spans="1:18" ht="15.75" customHeight="1">
      <c r="A11673" s="26"/>
      <c r="B11673" s="86"/>
      <c r="D11673" s="26"/>
      <c r="F11673" s="87" t="str">
        <f t="shared" si="0"/>
        <v/>
      </c>
      <c r="H11673" s="26" t="str">
        <f t="shared" si="1"/>
        <v/>
      </c>
      <c r="I11673" s="26" t="str">
        <f t="shared" si="2"/>
        <v/>
      </c>
      <c r="J11673" s="86">
        <f t="shared" si="3"/>
        <v>0</v>
      </c>
      <c r="R11673" s="26"/>
    </row>
    <row r="11674" spans="1:18" ht="15.75" customHeight="1">
      <c r="A11674" s="26"/>
      <c r="B11674" s="86"/>
      <c r="D11674" s="26"/>
      <c r="F11674" s="87" t="str">
        <f t="shared" si="0"/>
        <v/>
      </c>
      <c r="H11674" s="26" t="str">
        <f t="shared" si="1"/>
        <v/>
      </c>
      <c r="I11674" s="26" t="str">
        <f t="shared" si="2"/>
        <v/>
      </c>
      <c r="J11674" s="86">
        <f t="shared" si="3"/>
        <v>0</v>
      </c>
      <c r="R11674" s="26"/>
    </row>
    <row r="11675" spans="1:18" ht="15.75" customHeight="1">
      <c r="A11675" s="26"/>
      <c r="B11675" s="86"/>
      <c r="D11675" s="26"/>
      <c r="F11675" s="87" t="str">
        <f t="shared" si="0"/>
        <v/>
      </c>
      <c r="H11675" s="26" t="str">
        <f t="shared" si="1"/>
        <v/>
      </c>
      <c r="I11675" s="26" t="str">
        <f t="shared" si="2"/>
        <v/>
      </c>
      <c r="J11675" s="86">
        <f t="shared" si="3"/>
        <v>0</v>
      </c>
      <c r="R11675" s="26"/>
    </row>
    <row r="11676" spans="1:18" ht="15.75" customHeight="1">
      <c r="A11676" s="26"/>
      <c r="B11676" s="86"/>
      <c r="D11676" s="26"/>
      <c r="F11676" s="87" t="str">
        <f t="shared" si="0"/>
        <v/>
      </c>
      <c r="H11676" s="26" t="str">
        <f t="shared" si="1"/>
        <v/>
      </c>
      <c r="I11676" s="26" t="str">
        <f t="shared" si="2"/>
        <v/>
      </c>
      <c r="J11676" s="86">
        <f t="shared" si="3"/>
        <v>0</v>
      </c>
      <c r="R11676" s="26"/>
    </row>
    <row r="11677" spans="1:18" ht="15.75" customHeight="1">
      <c r="A11677" s="26"/>
      <c r="B11677" s="86"/>
      <c r="D11677" s="26"/>
      <c r="F11677" s="87" t="str">
        <f t="shared" si="0"/>
        <v/>
      </c>
      <c r="H11677" s="26" t="str">
        <f t="shared" si="1"/>
        <v/>
      </c>
      <c r="I11677" s="26" t="str">
        <f t="shared" si="2"/>
        <v/>
      </c>
      <c r="J11677" s="86">
        <f t="shared" si="3"/>
        <v>0</v>
      </c>
      <c r="R11677" s="26"/>
    </row>
    <row r="11678" spans="1:18" ht="15.75" customHeight="1">
      <c r="A11678" s="26"/>
      <c r="B11678" s="86"/>
      <c r="D11678" s="26"/>
      <c r="F11678" s="87" t="str">
        <f t="shared" si="0"/>
        <v/>
      </c>
      <c r="H11678" s="26" t="str">
        <f t="shared" si="1"/>
        <v/>
      </c>
      <c r="I11678" s="26" t="str">
        <f t="shared" si="2"/>
        <v/>
      </c>
      <c r="J11678" s="86">
        <f t="shared" si="3"/>
        <v>0</v>
      </c>
      <c r="R11678" s="26"/>
    </row>
    <row r="11679" spans="1:18" ht="15.75" customHeight="1">
      <c r="A11679" s="26"/>
      <c r="B11679" s="86"/>
      <c r="D11679" s="26"/>
      <c r="F11679" s="87" t="str">
        <f t="shared" si="0"/>
        <v/>
      </c>
      <c r="H11679" s="26" t="str">
        <f t="shared" si="1"/>
        <v/>
      </c>
      <c r="I11679" s="26" t="str">
        <f t="shared" si="2"/>
        <v/>
      </c>
      <c r="J11679" s="86">
        <f t="shared" si="3"/>
        <v>0</v>
      </c>
      <c r="R11679" s="26"/>
    </row>
    <row r="11680" spans="1:18" ht="15.75" customHeight="1">
      <c r="A11680" s="26"/>
      <c r="B11680" s="86"/>
      <c r="D11680" s="26"/>
      <c r="F11680" s="87" t="str">
        <f t="shared" si="0"/>
        <v/>
      </c>
      <c r="H11680" s="26" t="str">
        <f t="shared" si="1"/>
        <v/>
      </c>
      <c r="I11680" s="26" t="str">
        <f t="shared" si="2"/>
        <v/>
      </c>
      <c r="J11680" s="86">
        <f t="shared" si="3"/>
        <v>0</v>
      </c>
      <c r="R11680" s="26"/>
    </row>
    <row r="11681" spans="1:18" ht="15.75" customHeight="1">
      <c r="A11681" s="26"/>
      <c r="B11681" s="86"/>
      <c r="D11681" s="26"/>
      <c r="F11681" s="87" t="str">
        <f t="shared" si="0"/>
        <v/>
      </c>
      <c r="H11681" s="26" t="str">
        <f t="shared" si="1"/>
        <v/>
      </c>
      <c r="I11681" s="26" t="str">
        <f t="shared" si="2"/>
        <v/>
      </c>
      <c r="J11681" s="86">
        <f t="shared" si="3"/>
        <v>0</v>
      </c>
      <c r="R11681" s="26"/>
    </row>
    <row r="11682" spans="1:18" ht="15.75" customHeight="1">
      <c r="A11682" s="26"/>
      <c r="B11682" s="86"/>
      <c r="D11682" s="26"/>
      <c r="F11682" s="87" t="str">
        <f t="shared" si="0"/>
        <v/>
      </c>
      <c r="H11682" s="26" t="str">
        <f t="shared" si="1"/>
        <v/>
      </c>
      <c r="I11682" s="26" t="str">
        <f t="shared" si="2"/>
        <v/>
      </c>
      <c r="J11682" s="86">
        <f t="shared" si="3"/>
        <v>0</v>
      </c>
      <c r="R11682" s="26"/>
    </row>
    <row r="11683" spans="1:18" ht="15.75" customHeight="1">
      <c r="A11683" s="26"/>
      <c r="B11683" s="86"/>
      <c r="D11683" s="26"/>
      <c r="F11683" s="87" t="str">
        <f t="shared" si="0"/>
        <v/>
      </c>
      <c r="H11683" s="26" t="str">
        <f t="shared" si="1"/>
        <v/>
      </c>
      <c r="I11683" s="26" t="str">
        <f t="shared" si="2"/>
        <v/>
      </c>
      <c r="J11683" s="86">
        <f t="shared" si="3"/>
        <v>0</v>
      </c>
      <c r="R11683" s="26"/>
    </row>
    <row r="11684" spans="1:18" ht="15.75" customHeight="1">
      <c r="A11684" s="26"/>
      <c r="B11684" s="86"/>
      <c r="D11684" s="26"/>
      <c r="F11684" s="87" t="str">
        <f t="shared" si="0"/>
        <v/>
      </c>
      <c r="H11684" s="26" t="str">
        <f t="shared" si="1"/>
        <v/>
      </c>
      <c r="I11684" s="26" t="str">
        <f t="shared" si="2"/>
        <v/>
      </c>
      <c r="J11684" s="86">
        <f t="shared" si="3"/>
        <v>0</v>
      </c>
      <c r="R11684" s="26"/>
    </row>
    <row r="11685" spans="1:18" ht="15.75" customHeight="1">
      <c r="A11685" s="26"/>
      <c r="B11685" s="86"/>
      <c r="D11685" s="26"/>
      <c r="F11685" s="87" t="str">
        <f t="shared" si="0"/>
        <v/>
      </c>
      <c r="H11685" s="26" t="str">
        <f t="shared" si="1"/>
        <v/>
      </c>
      <c r="I11685" s="26" t="str">
        <f t="shared" si="2"/>
        <v/>
      </c>
      <c r="J11685" s="86">
        <f t="shared" si="3"/>
        <v>0</v>
      </c>
      <c r="R11685" s="26"/>
    </row>
    <row r="11686" spans="1:18" ht="15.75" customHeight="1">
      <c r="A11686" s="26"/>
      <c r="B11686" s="86"/>
      <c r="D11686" s="26"/>
      <c r="F11686" s="87" t="str">
        <f t="shared" si="0"/>
        <v/>
      </c>
      <c r="H11686" s="26" t="str">
        <f t="shared" si="1"/>
        <v/>
      </c>
      <c r="I11686" s="26" t="str">
        <f t="shared" si="2"/>
        <v/>
      </c>
      <c r="J11686" s="86">
        <f t="shared" si="3"/>
        <v>0</v>
      </c>
      <c r="R11686" s="26"/>
    </row>
    <row r="11687" spans="1:18" ht="15.75" customHeight="1">
      <c r="A11687" s="26"/>
      <c r="B11687" s="86"/>
      <c r="D11687" s="26"/>
      <c r="F11687" s="87" t="str">
        <f t="shared" si="0"/>
        <v/>
      </c>
      <c r="H11687" s="26" t="str">
        <f t="shared" si="1"/>
        <v/>
      </c>
      <c r="I11687" s="26" t="str">
        <f t="shared" si="2"/>
        <v/>
      </c>
      <c r="J11687" s="86">
        <f t="shared" si="3"/>
        <v>0</v>
      </c>
      <c r="R11687" s="26"/>
    </row>
    <row r="11688" spans="1:18" ht="15.75" customHeight="1">
      <c r="A11688" s="26"/>
      <c r="B11688" s="86"/>
      <c r="D11688" s="26"/>
      <c r="F11688" s="87" t="str">
        <f t="shared" si="0"/>
        <v/>
      </c>
      <c r="H11688" s="26" t="str">
        <f t="shared" si="1"/>
        <v/>
      </c>
      <c r="I11688" s="26" t="str">
        <f t="shared" si="2"/>
        <v/>
      </c>
      <c r="J11688" s="86">
        <f t="shared" si="3"/>
        <v>0</v>
      </c>
      <c r="R11688" s="26"/>
    </row>
    <row r="11689" spans="1:18" ht="15.75" customHeight="1">
      <c r="A11689" s="26"/>
      <c r="B11689" s="86"/>
      <c r="D11689" s="26"/>
      <c r="F11689" s="87" t="str">
        <f t="shared" si="0"/>
        <v/>
      </c>
      <c r="H11689" s="26" t="str">
        <f t="shared" si="1"/>
        <v/>
      </c>
      <c r="I11689" s="26" t="str">
        <f t="shared" si="2"/>
        <v/>
      </c>
      <c r="J11689" s="86">
        <f t="shared" si="3"/>
        <v>0</v>
      </c>
      <c r="R11689" s="26"/>
    </row>
    <row r="11690" spans="1:18" ht="15.75" customHeight="1">
      <c r="A11690" s="26"/>
      <c r="B11690" s="86"/>
      <c r="D11690" s="26"/>
      <c r="F11690" s="87" t="str">
        <f t="shared" si="0"/>
        <v/>
      </c>
      <c r="H11690" s="26" t="str">
        <f t="shared" si="1"/>
        <v/>
      </c>
      <c r="I11690" s="26" t="str">
        <f t="shared" si="2"/>
        <v/>
      </c>
      <c r="J11690" s="86">
        <f t="shared" si="3"/>
        <v>0</v>
      </c>
      <c r="R11690" s="26"/>
    </row>
    <row r="11691" spans="1:18" ht="15.75" customHeight="1">
      <c r="A11691" s="26"/>
      <c r="B11691" s="86"/>
      <c r="D11691" s="26"/>
      <c r="F11691" s="87" t="str">
        <f t="shared" si="0"/>
        <v/>
      </c>
      <c r="H11691" s="26" t="str">
        <f t="shared" si="1"/>
        <v/>
      </c>
      <c r="I11691" s="26" t="str">
        <f t="shared" si="2"/>
        <v/>
      </c>
      <c r="J11691" s="86">
        <f t="shared" si="3"/>
        <v>0</v>
      </c>
      <c r="R11691" s="26"/>
    </row>
    <row r="11692" spans="1:18" ht="15.75" customHeight="1">
      <c r="A11692" s="26"/>
      <c r="B11692" s="86"/>
      <c r="D11692" s="26"/>
      <c r="F11692" s="87" t="str">
        <f t="shared" si="0"/>
        <v/>
      </c>
      <c r="H11692" s="26" t="str">
        <f t="shared" si="1"/>
        <v/>
      </c>
      <c r="I11692" s="26" t="str">
        <f t="shared" si="2"/>
        <v/>
      </c>
      <c r="J11692" s="86">
        <f t="shared" si="3"/>
        <v>0</v>
      </c>
      <c r="R11692" s="26"/>
    </row>
    <row r="11693" spans="1:18" ht="15.75" customHeight="1">
      <c r="A11693" s="26"/>
      <c r="B11693" s="86"/>
      <c r="D11693" s="26"/>
      <c r="F11693" s="87" t="str">
        <f t="shared" si="0"/>
        <v/>
      </c>
      <c r="H11693" s="26" t="str">
        <f t="shared" si="1"/>
        <v/>
      </c>
      <c r="I11693" s="26" t="str">
        <f t="shared" si="2"/>
        <v/>
      </c>
      <c r="J11693" s="86">
        <f t="shared" si="3"/>
        <v>0</v>
      </c>
      <c r="R11693" s="26"/>
    </row>
    <row r="11694" spans="1:18" ht="15.75" customHeight="1">
      <c r="A11694" s="26"/>
      <c r="B11694" s="86"/>
      <c r="D11694" s="26"/>
      <c r="F11694" s="87" t="str">
        <f t="shared" si="0"/>
        <v/>
      </c>
      <c r="H11694" s="26" t="str">
        <f t="shared" si="1"/>
        <v/>
      </c>
      <c r="I11694" s="26" t="str">
        <f t="shared" si="2"/>
        <v/>
      </c>
      <c r="J11694" s="86">
        <f t="shared" si="3"/>
        <v>0</v>
      </c>
      <c r="R11694" s="26"/>
    </row>
    <row r="11695" spans="1:18" ht="15.75" customHeight="1">
      <c r="A11695" s="26"/>
      <c r="B11695" s="86"/>
      <c r="D11695" s="26"/>
      <c r="F11695" s="87" t="str">
        <f t="shared" si="0"/>
        <v/>
      </c>
      <c r="H11695" s="26" t="str">
        <f t="shared" si="1"/>
        <v/>
      </c>
      <c r="I11695" s="26" t="str">
        <f t="shared" si="2"/>
        <v/>
      </c>
      <c r="J11695" s="86">
        <f t="shared" si="3"/>
        <v>0</v>
      </c>
      <c r="R11695" s="26"/>
    </row>
    <row r="11696" spans="1:18" ht="15.75" customHeight="1">
      <c r="A11696" s="26"/>
      <c r="B11696" s="86"/>
      <c r="D11696" s="26"/>
      <c r="F11696" s="87" t="str">
        <f t="shared" si="0"/>
        <v/>
      </c>
      <c r="H11696" s="26" t="str">
        <f t="shared" si="1"/>
        <v/>
      </c>
      <c r="I11696" s="26" t="str">
        <f t="shared" si="2"/>
        <v/>
      </c>
      <c r="J11696" s="86">
        <f t="shared" si="3"/>
        <v>0</v>
      </c>
      <c r="R11696" s="26"/>
    </row>
    <row r="11697" spans="1:18" ht="15.75" customHeight="1">
      <c r="A11697" s="26"/>
      <c r="B11697" s="86"/>
      <c r="D11697" s="26"/>
      <c r="F11697" s="87" t="str">
        <f t="shared" si="0"/>
        <v/>
      </c>
      <c r="H11697" s="26" t="str">
        <f t="shared" si="1"/>
        <v/>
      </c>
      <c r="I11697" s="26" t="str">
        <f t="shared" si="2"/>
        <v/>
      </c>
      <c r="J11697" s="86">
        <f t="shared" si="3"/>
        <v>0</v>
      </c>
      <c r="R11697" s="26"/>
    </row>
    <row r="11698" spans="1:18" ht="15.75" customHeight="1">
      <c r="A11698" s="26"/>
      <c r="B11698" s="86"/>
      <c r="D11698" s="26"/>
      <c r="F11698" s="87" t="str">
        <f t="shared" si="0"/>
        <v/>
      </c>
      <c r="H11698" s="26" t="str">
        <f t="shared" si="1"/>
        <v/>
      </c>
      <c r="I11698" s="26" t="str">
        <f t="shared" si="2"/>
        <v/>
      </c>
      <c r="J11698" s="86">
        <f t="shared" si="3"/>
        <v>0</v>
      </c>
      <c r="R11698" s="26"/>
    </row>
    <row r="11699" spans="1:18" ht="15.75" customHeight="1">
      <c r="A11699" s="26"/>
      <c r="B11699" s="86"/>
      <c r="D11699" s="26"/>
      <c r="F11699" s="87" t="str">
        <f t="shared" si="0"/>
        <v/>
      </c>
      <c r="H11699" s="26" t="str">
        <f t="shared" si="1"/>
        <v/>
      </c>
      <c r="I11699" s="26" t="str">
        <f t="shared" si="2"/>
        <v/>
      </c>
      <c r="J11699" s="86">
        <f t="shared" si="3"/>
        <v>0</v>
      </c>
      <c r="R11699" s="26"/>
    </row>
    <row r="11700" spans="1:18" ht="15.75" customHeight="1">
      <c r="A11700" s="26"/>
      <c r="B11700" s="86"/>
      <c r="D11700" s="26"/>
      <c r="F11700" s="87" t="str">
        <f t="shared" si="0"/>
        <v/>
      </c>
      <c r="H11700" s="26" t="str">
        <f t="shared" si="1"/>
        <v/>
      </c>
      <c r="I11700" s="26" t="str">
        <f t="shared" si="2"/>
        <v/>
      </c>
      <c r="J11700" s="86">
        <f t="shared" si="3"/>
        <v>0</v>
      </c>
      <c r="R11700" s="26"/>
    </row>
    <row r="11701" spans="1:18" ht="15.75" customHeight="1">
      <c r="A11701" s="26"/>
      <c r="B11701" s="86"/>
      <c r="D11701" s="26"/>
      <c r="F11701" s="87" t="str">
        <f t="shared" si="0"/>
        <v/>
      </c>
      <c r="H11701" s="26" t="str">
        <f t="shared" si="1"/>
        <v/>
      </c>
      <c r="I11701" s="26" t="str">
        <f t="shared" si="2"/>
        <v/>
      </c>
      <c r="J11701" s="86">
        <f t="shared" si="3"/>
        <v>0</v>
      </c>
      <c r="R11701" s="26"/>
    </row>
    <row r="11702" spans="1:18" ht="15.75" customHeight="1">
      <c r="A11702" s="26"/>
      <c r="B11702" s="86"/>
      <c r="D11702" s="26"/>
      <c r="F11702" s="87" t="str">
        <f t="shared" si="0"/>
        <v/>
      </c>
      <c r="H11702" s="26" t="str">
        <f t="shared" si="1"/>
        <v/>
      </c>
      <c r="I11702" s="26" t="str">
        <f t="shared" si="2"/>
        <v/>
      </c>
      <c r="J11702" s="86">
        <f t="shared" si="3"/>
        <v>0</v>
      </c>
      <c r="R11702" s="26"/>
    </row>
    <row r="11703" spans="1:18" ht="15.75" customHeight="1">
      <c r="A11703" s="26"/>
      <c r="B11703" s="86"/>
      <c r="D11703" s="26"/>
      <c r="F11703" s="87" t="str">
        <f t="shared" si="0"/>
        <v/>
      </c>
      <c r="H11703" s="26" t="str">
        <f t="shared" si="1"/>
        <v/>
      </c>
      <c r="I11703" s="26" t="str">
        <f t="shared" si="2"/>
        <v/>
      </c>
      <c r="J11703" s="86">
        <f t="shared" si="3"/>
        <v>0</v>
      </c>
      <c r="R11703" s="26"/>
    </row>
    <row r="11704" spans="1:18" ht="15.75" customHeight="1">
      <c r="A11704" s="26"/>
      <c r="B11704" s="86"/>
      <c r="D11704" s="26"/>
      <c r="F11704" s="87" t="str">
        <f t="shared" si="0"/>
        <v/>
      </c>
      <c r="H11704" s="26" t="str">
        <f t="shared" si="1"/>
        <v/>
      </c>
      <c r="I11704" s="26" t="str">
        <f t="shared" si="2"/>
        <v/>
      </c>
      <c r="J11704" s="86">
        <f t="shared" si="3"/>
        <v>0</v>
      </c>
      <c r="R11704" s="26"/>
    </row>
    <row r="11705" spans="1:18" ht="15.75" customHeight="1">
      <c r="A11705" s="26"/>
      <c r="B11705" s="86"/>
      <c r="D11705" s="26"/>
      <c r="F11705" s="87" t="str">
        <f t="shared" si="0"/>
        <v/>
      </c>
      <c r="H11705" s="26" t="str">
        <f t="shared" si="1"/>
        <v/>
      </c>
      <c r="I11705" s="26" t="str">
        <f t="shared" si="2"/>
        <v/>
      </c>
      <c r="J11705" s="86">
        <f t="shared" si="3"/>
        <v>0</v>
      </c>
      <c r="R11705" s="26"/>
    </row>
    <row r="11706" spans="1:18" ht="15.75" customHeight="1">
      <c r="A11706" s="26"/>
      <c r="B11706" s="86"/>
      <c r="D11706" s="26"/>
      <c r="F11706" s="87" t="str">
        <f t="shared" si="0"/>
        <v/>
      </c>
      <c r="H11706" s="26" t="str">
        <f t="shared" si="1"/>
        <v/>
      </c>
      <c r="I11706" s="26" t="str">
        <f t="shared" si="2"/>
        <v/>
      </c>
      <c r="J11706" s="86">
        <f t="shared" si="3"/>
        <v>0</v>
      </c>
      <c r="R11706" s="26"/>
    </row>
    <row r="11707" spans="1:18" ht="15.75" customHeight="1">
      <c r="A11707" s="26"/>
      <c r="B11707" s="86"/>
      <c r="D11707" s="26"/>
      <c r="F11707" s="87" t="str">
        <f t="shared" si="0"/>
        <v/>
      </c>
      <c r="H11707" s="26" t="str">
        <f t="shared" si="1"/>
        <v/>
      </c>
      <c r="I11707" s="26" t="str">
        <f t="shared" si="2"/>
        <v/>
      </c>
      <c r="J11707" s="86">
        <f t="shared" si="3"/>
        <v>0</v>
      </c>
      <c r="R11707" s="26"/>
    </row>
    <row r="11708" spans="1:18" ht="15.75" customHeight="1">
      <c r="A11708" s="26"/>
      <c r="B11708" s="86"/>
      <c r="D11708" s="26"/>
      <c r="F11708" s="87" t="str">
        <f t="shared" si="0"/>
        <v/>
      </c>
      <c r="H11708" s="26" t="str">
        <f t="shared" si="1"/>
        <v/>
      </c>
      <c r="I11708" s="26" t="str">
        <f t="shared" si="2"/>
        <v/>
      </c>
      <c r="J11708" s="86">
        <f t="shared" si="3"/>
        <v>0</v>
      </c>
      <c r="R11708" s="26"/>
    </row>
    <row r="11709" spans="1:18" ht="15.75" customHeight="1">
      <c r="A11709" s="26"/>
      <c r="B11709" s="86"/>
      <c r="D11709" s="26"/>
      <c r="F11709" s="87" t="str">
        <f t="shared" si="0"/>
        <v/>
      </c>
      <c r="H11709" s="26" t="str">
        <f t="shared" si="1"/>
        <v/>
      </c>
      <c r="I11709" s="26" t="str">
        <f t="shared" si="2"/>
        <v/>
      </c>
      <c r="J11709" s="86">
        <f t="shared" si="3"/>
        <v>0</v>
      </c>
      <c r="R11709" s="26"/>
    </row>
    <row r="11710" spans="1:18" ht="15.75" customHeight="1">
      <c r="A11710" s="26"/>
      <c r="B11710" s="86"/>
      <c r="D11710" s="26"/>
      <c r="F11710" s="87" t="str">
        <f t="shared" si="0"/>
        <v/>
      </c>
      <c r="H11710" s="26" t="str">
        <f t="shared" si="1"/>
        <v/>
      </c>
      <c r="I11710" s="26" t="str">
        <f t="shared" si="2"/>
        <v/>
      </c>
      <c r="J11710" s="86">
        <f t="shared" si="3"/>
        <v>0</v>
      </c>
      <c r="R11710" s="26"/>
    </row>
    <row r="11711" spans="1:18" ht="15.75" customHeight="1">
      <c r="A11711" s="26"/>
      <c r="B11711" s="86"/>
      <c r="D11711" s="26"/>
      <c r="F11711" s="87" t="str">
        <f t="shared" si="0"/>
        <v/>
      </c>
      <c r="H11711" s="26" t="str">
        <f t="shared" si="1"/>
        <v/>
      </c>
      <c r="I11711" s="26" t="str">
        <f t="shared" si="2"/>
        <v/>
      </c>
      <c r="J11711" s="86">
        <f t="shared" si="3"/>
        <v>0</v>
      </c>
      <c r="R11711" s="26"/>
    </row>
    <row r="11712" spans="1:18" ht="15.75" customHeight="1">
      <c r="A11712" s="26"/>
      <c r="B11712" s="86"/>
      <c r="D11712" s="26"/>
      <c r="F11712" s="87" t="str">
        <f t="shared" si="0"/>
        <v/>
      </c>
      <c r="H11712" s="26" t="str">
        <f t="shared" si="1"/>
        <v/>
      </c>
      <c r="I11712" s="26" t="str">
        <f t="shared" si="2"/>
        <v/>
      </c>
      <c r="J11712" s="86">
        <f t="shared" si="3"/>
        <v>0</v>
      </c>
      <c r="R11712" s="26"/>
    </row>
    <row r="11713" spans="1:18" ht="15.75" customHeight="1">
      <c r="A11713" s="26"/>
      <c r="B11713" s="86"/>
      <c r="D11713" s="26"/>
      <c r="F11713" s="87" t="str">
        <f t="shared" si="0"/>
        <v/>
      </c>
      <c r="H11713" s="26" t="str">
        <f t="shared" si="1"/>
        <v/>
      </c>
      <c r="I11713" s="26" t="str">
        <f t="shared" si="2"/>
        <v/>
      </c>
      <c r="J11713" s="86">
        <f t="shared" si="3"/>
        <v>0</v>
      </c>
      <c r="R11713" s="26"/>
    </row>
    <row r="11714" spans="1:18" ht="15.75" customHeight="1">
      <c r="A11714" s="26"/>
      <c r="B11714" s="86"/>
      <c r="D11714" s="26"/>
      <c r="F11714" s="87" t="str">
        <f t="shared" si="0"/>
        <v/>
      </c>
      <c r="H11714" s="26" t="str">
        <f t="shared" si="1"/>
        <v/>
      </c>
      <c r="I11714" s="26" t="str">
        <f t="shared" si="2"/>
        <v/>
      </c>
      <c r="J11714" s="86">
        <f t="shared" si="3"/>
        <v>0</v>
      </c>
      <c r="R11714" s="26"/>
    </row>
    <row r="11715" spans="1:18" ht="15.75" customHeight="1">
      <c r="A11715" s="26"/>
      <c r="B11715" s="86"/>
      <c r="D11715" s="26"/>
      <c r="F11715" s="87" t="str">
        <f t="shared" si="0"/>
        <v/>
      </c>
      <c r="H11715" s="26" t="str">
        <f t="shared" si="1"/>
        <v/>
      </c>
      <c r="I11715" s="26" t="str">
        <f t="shared" si="2"/>
        <v/>
      </c>
      <c r="J11715" s="86">
        <f t="shared" si="3"/>
        <v>0</v>
      </c>
      <c r="R11715" s="26"/>
    </row>
    <row r="11716" spans="1:18" ht="15.75" customHeight="1">
      <c r="A11716" s="26"/>
      <c r="B11716" s="86"/>
      <c r="D11716" s="26"/>
      <c r="F11716" s="87" t="str">
        <f t="shared" si="0"/>
        <v/>
      </c>
      <c r="H11716" s="26" t="str">
        <f t="shared" si="1"/>
        <v/>
      </c>
      <c r="I11716" s="26" t="str">
        <f t="shared" si="2"/>
        <v/>
      </c>
      <c r="J11716" s="86">
        <f t="shared" si="3"/>
        <v>0</v>
      </c>
      <c r="R11716" s="26"/>
    </row>
    <row r="11717" spans="1:18" ht="15.75" customHeight="1">
      <c r="A11717" s="26"/>
      <c r="B11717" s="86"/>
      <c r="D11717" s="26"/>
      <c r="F11717" s="87" t="str">
        <f t="shared" si="0"/>
        <v/>
      </c>
      <c r="H11717" s="26" t="str">
        <f t="shared" si="1"/>
        <v/>
      </c>
      <c r="I11717" s="26" t="str">
        <f t="shared" si="2"/>
        <v/>
      </c>
      <c r="J11717" s="86">
        <f t="shared" si="3"/>
        <v>0</v>
      </c>
      <c r="R11717" s="26"/>
    </row>
    <row r="11718" spans="1:18" ht="15.75" customHeight="1">
      <c r="A11718" s="26"/>
      <c r="B11718" s="86"/>
      <c r="D11718" s="26"/>
      <c r="F11718" s="87" t="str">
        <f t="shared" si="0"/>
        <v/>
      </c>
      <c r="H11718" s="26" t="str">
        <f t="shared" si="1"/>
        <v/>
      </c>
      <c r="I11718" s="26" t="str">
        <f t="shared" si="2"/>
        <v/>
      </c>
      <c r="J11718" s="86">
        <f t="shared" si="3"/>
        <v>0</v>
      </c>
      <c r="R11718" s="26"/>
    </row>
    <row r="11719" spans="1:18" ht="15.75" customHeight="1">
      <c r="A11719" s="26"/>
      <c r="B11719" s="86"/>
      <c r="D11719" s="26"/>
      <c r="F11719" s="87" t="str">
        <f t="shared" si="0"/>
        <v/>
      </c>
      <c r="H11719" s="26" t="str">
        <f t="shared" si="1"/>
        <v/>
      </c>
      <c r="I11719" s="26" t="str">
        <f t="shared" si="2"/>
        <v/>
      </c>
      <c r="J11719" s="86">
        <f t="shared" si="3"/>
        <v>0</v>
      </c>
      <c r="R11719" s="26"/>
    </row>
    <row r="11720" spans="1:18" ht="15.75" customHeight="1">
      <c r="A11720" s="26"/>
      <c r="B11720" s="86"/>
      <c r="D11720" s="26"/>
      <c r="F11720" s="87" t="str">
        <f t="shared" si="0"/>
        <v/>
      </c>
      <c r="H11720" s="26" t="str">
        <f t="shared" si="1"/>
        <v/>
      </c>
      <c r="I11720" s="26" t="str">
        <f t="shared" si="2"/>
        <v/>
      </c>
      <c r="J11720" s="86">
        <f t="shared" si="3"/>
        <v>0</v>
      </c>
      <c r="R11720" s="26"/>
    </row>
    <row r="11721" spans="1:18" ht="15.75" customHeight="1">
      <c r="A11721" s="26"/>
      <c r="B11721" s="86"/>
      <c r="D11721" s="26"/>
      <c r="F11721" s="87" t="str">
        <f t="shared" si="0"/>
        <v/>
      </c>
      <c r="H11721" s="26" t="str">
        <f t="shared" si="1"/>
        <v/>
      </c>
      <c r="I11721" s="26" t="str">
        <f t="shared" si="2"/>
        <v/>
      </c>
      <c r="J11721" s="86">
        <f t="shared" si="3"/>
        <v>0</v>
      </c>
      <c r="R11721" s="26"/>
    </row>
    <row r="11722" spans="1:18" ht="15.75" customHeight="1">
      <c r="A11722" s="26"/>
      <c r="B11722" s="86"/>
      <c r="D11722" s="26"/>
      <c r="F11722" s="87" t="str">
        <f t="shared" si="0"/>
        <v/>
      </c>
      <c r="H11722" s="26" t="str">
        <f t="shared" si="1"/>
        <v/>
      </c>
      <c r="I11722" s="26" t="str">
        <f t="shared" si="2"/>
        <v/>
      </c>
      <c r="J11722" s="86">
        <f t="shared" si="3"/>
        <v>0</v>
      </c>
      <c r="R11722" s="26"/>
    </row>
    <row r="11723" spans="1:18" ht="15.75" customHeight="1">
      <c r="A11723" s="26"/>
      <c r="B11723" s="86"/>
      <c r="D11723" s="26"/>
      <c r="F11723" s="87" t="str">
        <f t="shared" si="0"/>
        <v/>
      </c>
      <c r="H11723" s="26" t="str">
        <f t="shared" si="1"/>
        <v/>
      </c>
      <c r="I11723" s="26" t="str">
        <f t="shared" si="2"/>
        <v/>
      </c>
      <c r="J11723" s="86">
        <f t="shared" si="3"/>
        <v>0</v>
      </c>
      <c r="R11723" s="26"/>
    </row>
    <row r="11724" spans="1:18" ht="15.75" customHeight="1">
      <c r="A11724" s="26"/>
      <c r="B11724" s="86"/>
      <c r="D11724" s="26"/>
      <c r="F11724" s="87" t="str">
        <f t="shared" si="0"/>
        <v/>
      </c>
      <c r="H11724" s="26" t="str">
        <f t="shared" si="1"/>
        <v/>
      </c>
      <c r="I11724" s="26" t="str">
        <f t="shared" si="2"/>
        <v/>
      </c>
      <c r="J11724" s="86">
        <f t="shared" si="3"/>
        <v>0</v>
      </c>
      <c r="R11724" s="26"/>
    </row>
    <row r="11725" spans="1:18" ht="15.75" customHeight="1">
      <c r="A11725" s="26"/>
      <c r="B11725" s="86"/>
      <c r="D11725" s="26"/>
      <c r="F11725" s="87" t="str">
        <f t="shared" si="0"/>
        <v/>
      </c>
      <c r="H11725" s="26" t="str">
        <f t="shared" si="1"/>
        <v/>
      </c>
      <c r="I11725" s="26" t="str">
        <f t="shared" si="2"/>
        <v/>
      </c>
      <c r="J11725" s="86">
        <f t="shared" si="3"/>
        <v>0</v>
      </c>
      <c r="R11725" s="26"/>
    </row>
    <row r="11726" spans="1:18" ht="15.75" customHeight="1">
      <c r="A11726" s="26"/>
      <c r="B11726" s="86"/>
      <c r="D11726" s="26"/>
      <c r="F11726" s="87" t="str">
        <f t="shared" si="0"/>
        <v/>
      </c>
      <c r="H11726" s="26" t="str">
        <f t="shared" si="1"/>
        <v/>
      </c>
      <c r="I11726" s="26" t="str">
        <f t="shared" si="2"/>
        <v/>
      </c>
      <c r="J11726" s="86">
        <f t="shared" si="3"/>
        <v>0</v>
      </c>
      <c r="R11726" s="26"/>
    </row>
    <row r="11727" spans="1:18" ht="15.75" customHeight="1">
      <c r="A11727" s="26"/>
      <c r="B11727" s="86"/>
      <c r="D11727" s="26"/>
      <c r="F11727" s="87" t="str">
        <f t="shared" si="0"/>
        <v/>
      </c>
      <c r="H11727" s="26" t="str">
        <f t="shared" si="1"/>
        <v/>
      </c>
      <c r="I11727" s="26" t="str">
        <f t="shared" si="2"/>
        <v/>
      </c>
      <c r="J11727" s="86">
        <f t="shared" si="3"/>
        <v>0</v>
      </c>
      <c r="R11727" s="26"/>
    </row>
    <row r="11728" spans="1:18" ht="15.75" customHeight="1">
      <c r="A11728" s="26"/>
      <c r="B11728" s="86"/>
      <c r="D11728" s="26"/>
      <c r="F11728" s="87" t="str">
        <f t="shared" si="0"/>
        <v/>
      </c>
      <c r="H11728" s="26" t="str">
        <f t="shared" si="1"/>
        <v/>
      </c>
      <c r="I11728" s="26" t="str">
        <f t="shared" si="2"/>
        <v/>
      </c>
      <c r="J11728" s="86">
        <f t="shared" si="3"/>
        <v>0</v>
      </c>
      <c r="R11728" s="26"/>
    </row>
    <row r="11729" spans="1:18" ht="15.75" customHeight="1">
      <c r="A11729" s="26"/>
      <c r="B11729" s="86"/>
      <c r="D11729" s="26"/>
      <c r="F11729" s="87" t="str">
        <f t="shared" si="0"/>
        <v/>
      </c>
      <c r="H11729" s="26" t="str">
        <f t="shared" si="1"/>
        <v/>
      </c>
      <c r="I11729" s="26" t="str">
        <f t="shared" si="2"/>
        <v/>
      </c>
      <c r="J11729" s="86">
        <f t="shared" si="3"/>
        <v>0</v>
      </c>
      <c r="R11729" s="26"/>
    </row>
    <row r="11730" spans="1:18" ht="15.75" customHeight="1">
      <c r="A11730" s="26"/>
      <c r="B11730" s="86"/>
      <c r="D11730" s="26"/>
      <c r="F11730" s="87" t="str">
        <f t="shared" si="0"/>
        <v/>
      </c>
      <c r="H11730" s="26" t="str">
        <f t="shared" si="1"/>
        <v/>
      </c>
      <c r="I11730" s="26" t="str">
        <f t="shared" si="2"/>
        <v/>
      </c>
      <c r="J11730" s="86">
        <f t="shared" si="3"/>
        <v>0</v>
      </c>
      <c r="R11730" s="26"/>
    </row>
    <row r="11731" spans="1:18" ht="15.75" customHeight="1">
      <c r="A11731" s="26"/>
      <c r="B11731" s="86"/>
      <c r="D11731" s="26"/>
      <c r="F11731" s="87" t="str">
        <f t="shared" si="0"/>
        <v/>
      </c>
      <c r="H11731" s="26" t="str">
        <f t="shared" si="1"/>
        <v/>
      </c>
      <c r="I11731" s="26" t="str">
        <f t="shared" si="2"/>
        <v/>
      </c>
      <c r="J11731" s="86">
        <f t="shared" si="3"/>
        <v>0</v>
      </c>
      <c r="R11731" s="26"/>
    </row>
    <row r="11732" spans="1:18" ht="15.75" customHeight="1">
      <c r="A11732" s="26"/>
      <c r="B11732" s="86"/>
      <c r="D11732" s="26"/>
      <c r="F11732" s="87" t="str">
        <f t="shared" si="0"/>
        <v/>
      </c>
      <c r="H11732" s="26" t="str">
        <f t="shared" si="1"/>
        <v/>
      </c>
      <c r="I11732" s="26" t="str">
        <f t="shared" si="2"/>
        <v/>
      </c>
      <c r="J11732" s="86">
        <f t="shared" si="3"/>
        <v>0</v>
      </c>
      <c r="R11732" s="26"/>
    </row>
    <row r="11733" spans="1:18" ht="15.75" customHeight="1">
      <c r="A11733" s="26"/>
      <c r="B11733" s="86"/>
      <c r="D11733" s="26"/>
      <c r="F11733" s="87" t="str">
        <f t="shared" si="0"/>
        <v/>
      </c>
      <c r="H11733" s="26" t="str">
        <f t="shared" si="1"/>
        <v/>
      </c>
      <c r="I11733" s="26" t="str">
        <f t="shared" si="2"/>
        <v/>
      </c>
      <c r="J11733" s="86">
        <f t="shared" si="3"/>
        <v>0</v>
      </c>
      <c r="R11733" s="26"/>
    </row>
    <row r="11734" spans="1:18" ht="15.75" customHeight="1">
      <c r="A11734" s="26"/>
      <c r="B11734" s="86"/>
      <c r="D11734" s="26"/>
      <c r="F11734" s="87" t="str">
        <f t="shared" si="0"/>
        <v/>
      </c>
      <c r="H11734" s="26" t="str">
        <f t="shared" si="1"/>
        <v/>
      </c>
      <c r="I11734" s="26" t="str">
        <f t="shared" si="2"/>
        <v/>
      </c>
      <c r="J11734" s="86">
        <f t="shared" si="3"/>
        <v>0</v>
      </c>
      <c r="R11734" s="26"/>
    </row>
    <row r="11735" spans="1:18" ht="15.75" customHeight="1">
      <c r="A11735" s="26"/>
      <c r="B11735" s="86"/>
      <c r="D11735" s="26"/>
      <c r="F11735" s="87" t="str">
        <f t="shared" si="0"/>
        <v/>
      </c>
      <c r="H11735" s="26" t="str">
        <f t="shared" si="1"/>
        <v/>
      </c>
      <c r="I11735" s="26" t="str">
        <f t="shared" si="2"/>
        <v/>
      </c>
      <c r="J11735" s="86">
        <f t="shared" si="3"/>
        <v>0</v>
      </c>
      <c r="R11735" s="26"/>
    </row>
    <row r="11736" spans="1:18" ht="15.75" customHeight="1">
      <c r="A11736" s="26"/>
      <c r="B11736" s="86"/>
      <c r="D11736" s="26"/>
      <c r="F11736" s="87" t="str">
        <f t="shared" si="0"/>
        <v/>
      </c>
      <c r="H11736" s="26" t="str">
        <f t="shared" si="1"/>
        <v/>
      </c>
      <c r="I11736" s="26" t="str">
        <f t="shared" si="2"/>
        <v/>
      </c>
      <c r="J11736" s="86">
        <f t="shared" si="3"/>
        <v>0</v>
      </c>
      <c r="R11736" s="26"/>
    </row>
    <row r="11737" spans="1:18" ht="15.75" customHeight="1">
      <c r="A11737" s="26"/>
      <c r="B11737" s="86"/>
      <c r="D11737" s="26"/>
      <c r="F11737" s="87" t="str">
        <f t="shared" si="0"/>
        <v/>
      </c>
      <c r="H11737" s="26" t="str">
        <f t="shared" si="1"/>
        <v/>
      </c>
      <c r="I11737" s="26" t="str">
        <f t="shared" si="2"/>
        <v/>
      </c>
      <c r="J11737" s="86">
        <f t="shared" si="3"/>
        <v>0</v>
      </c>
      <c r="R11737" s="26"/>
    </row>
    <row r="11738" spans="1:18" ht="15.75" customHeight="1">
      <c r="A11738" s="26"/>
      <c r="B11738" s="86"/>
      <c r="D11738" s="26"/>
      <c r="F11738" s="87" t="str">
        <f t="shared" si="0"/>
        <v/>
      </c>
      <c r="H11738" s="26" t="str">
        <f t="shared" si="1"/>
        <v/>
      </c>
      <c r="I11738" s="26" t="str">
        <f t="shared" si="2"/>
        <v/>
      </c>
      <c r="J11738" s="86">
        <f t="shared" si="3"/>
        <v>0</v>
      </c>
      <c r="R11738" s="26"/>
    </row>
    <row r="11739" spans="1:18" ht="15.75" customHeight="1">
      <c r="A11739" s="26"/>
      <c r="B11739" s="86"/>
      <c r="D11739" s="26"/>
      <c r="F11739" s="87" t="str">
        <f t="shared" si="0"/>
        <v/>
      </c>
      <c r="H11739" s="26" t="str">
        <f t="shared" si="1"/>
        <v/>
      </c>
      <c r="I11739" s="26" t="str">
        <f t="shared" si="2"/>
        <v/>
      </c>
      <c r="J11739" s="86">
        <f t="shared" si="3"/>
        <v>0</v>
      </c>
      <c r="R11739" s="26"/>
    </row>
    <row r="11740" spans="1:18" ht="15.75" customHeight="1">
      <c r="A11740" s="26"/>
      <c r="B11740" s="86"/>
      <c r="D11740" s="26"/>
      <c r="F11740" s="87" t="str">
        <f t="shared" si="0"/>
        <v/>
      </c>
      <c r="H11740" s="26" t="str">
        <f t="shared" si="1"/>
        <v/>
      </c>
      <c r="I11740" s="26" t="str">
        <f t="shared" si="2"/>
        <v/>
      </c>
      <c r="J11740" s="86">
        <f t="shared" si="3"/>
        <v>0</v>
      </c>
      <c r="R11740" s="26"/>
    </row>
    <row r="11741" spans="1:18" ht="15.75" customHeight="1">
      <c r="A11741" s="26"/>
      <c r="B11741" s="86"/>
      <c r="D11741" s="26"/>
      <c r="F11741" s="87" t="str">
        <f t="shared" si="0"/>
        <v/>
      </c>
      <c r="H11741" s="26" t="str">
        <f t="shared" si="1"/>
        <v/>
      </c>
      <c r="I11741" s="26" t="str">
        <f t="shared" si="2"/>
        <v/>
      </c>
      <c r="J11741" s="86">
        <f t="shared" si="3"/>
        <v>0</v>
      </c>
      <c r="R11741" s="26"/>
    </row>
    <row r="11742" spans="1:18" ht="15.75" customHeight="1">
      <c r="A11742" s="26"/>
      <c r="B11742" s="86"/>
      <c r="D11742" s="26"/>
      <c r="F11742" s="87" t="str">
        <f t="shared" si="0"/>
        <v/>
      </c>
      <c r="H11742" s="26" t="str">
        <f t="shared" si="1"/>
        <v/>
      </c>
      <c r="I11742" s="26" t="str">
        <f t="shared" si="2"/>
        <v/>
      </c>
      <c r="J11742" s="86">
        <f t="shared" si="3"/>
        <v>0</v>
      </c>
      <c r="R11742" s="26"/>
    </row>
    <row r="11743" spans="1:18" ht="15.75" customHeight="1">
      <c r="A11743" s="26"/>
      <c r="B11743" s="86"/>
      <c r="D11743" s="26"/>
      <c r="F11743" s="87" t="str">
        <f t="shared" si="0"/>
        <v/>
      </c>
      <c r="H11743" s="26" t="str">
        <f t="shared" si="1"/>
        <v/>
      </c>
      <c r="I11743" s="26" t="str">
        <f t="shared" si="2"/>
        <v/>
      </c>
      <c r="J11743" s="86">
        <f t="shared" si="3"/>
        <v>0</v>
      </c>
      <c r="R11743" s="26"/>
    </row>
    <row r="11744" spans="1:18" ht="15.75" customHeight="1">
      <c r="A11744" s="26"/>
      <c r="B11744" s="86"/>
      <c r="D11744" s="26"/>
      <c r="F11744" s="87" t="str">
        <f t="shared" si="0"/>
        <v/>
      </c>
      <c r="H11744" s="26" t="str">
        <f t="shared" si="1"/>
        <v/>
      </c>
      <c r="I11744" s="26" t="str">
        <f t="shared" si="2"/>
        <v/>
      </c>
      <c r="J11744" s="86">
        <f t="shared" si="3"/>
        <v>0</v>
      </c>
      <c r="R11744" s="26"/>
    </row>
    <row r="11745" spans="1:18" ht="15.75" customHeight="1">
      <c r="A11745" s="26"/>
      <c r="B11745" s="86"/>
      <c r="D11745" s="26"/>
      <c r="F11745" s="87" t="str">
        <f t="shared" si="0"/>
        <v/>
      </c>
      <c r="H11745" s="26" t="str">
        <f t="shared" si="1"/>
        <v/>
      </c>
      <c r="I11745" s="26" t="str">
        <f t="shared" si="2"/>
        <v/>
      </c>
      <c r="J11745" s="86">
        <f t="shared" si="3"/>
        <v>0</v>
      </c>
      <c r="R11745" s="26"/>
    </row>
    <row r="11746" spans="1:18" ht="15.75" customHeight="1">
      <c r="A11746" s="26"/>
      <c r="B11746" s="86"/>
      <c r="D11746" s="26"/>
      <c r="F11746" s="87" t="str">
        <f t="shared" si="0"/>
        <v/>
      </c>
      <c r="H11746" s="26" t="str">
        <f t="shared" si="1"/>
        <v/>
      </c>
      <c r="I11746" s="26" t="str">
        <f t="shared" si="2"/>
        <v/>
      </c>
      <c r="J11746" s="86">
        <f t="shared" si="3"/>
        <v>0</v>
      </c>
      <c r="R11746" s="26"/>
    </row>
    <row r="11747" spans="1:18" ht="15.75" customHeight="1">
      <c r="A11747" s="26"/>
      <c r="B11747" s="86"/>
      <c r="D11747" s="26"/>
      <c r="F11747" s="87" t="str">
        <f t="shared" si="0"/>
        <v/>
      </c>
      <c r="H11747" s="26" t="str">
        <f t="shared" si="1"/>
        <v/>
      </c>
      <c r="I11747" s="26" t="str">
        <f t="shared" si="2"/>
        <v/>
      </c>
      <c r="J11747" s="86">
        <f t="shared" si="3"/>
        <v>0</v>
      </c>
      <c r="R11747" s="26"/>
    </row>
    <row r="11748" spans="1:18" ht="15.75" customHeight="1">
      <c r="A11748" s="26"/>
      <c r="B11748" s="86"/>
      <c r="D11748" s="26"/>
      <c r="F11748" s="87" t="str">
        <f t="shared" si="0"/>
        <v/>
      </c>
      <c r="H11748" s="26" t="str">
        <f t="shared" si="1"/>
        <v/>
      </c>
      <c r="I11748" s="26" t="str">
        <f t="shared" si="2"/>
        <v/>
      </c>
      <c r="J11748" s="86">
        <f t="shared" si="3"/>
        <v>0</v>
      </c>
      <c r="R11748" s="26"/>
    </row>
    <row r="11749" spans="1:18" ht="15.75" customHeight="1">
      <c r="A11749" s="26"/>
      <c r="B11749" s="86"/>
      <c r="D11749" s="26"/>
      <c r="F11749" s="87" t="str">
        <f t="shared" si="0"/>
        <v/>
      </c>
      <c r="H11749" s="26" t="str">
        <f t="shared" si="1"/>
        <v/>
      </c>
      <c r="I11749" s="26" t="str">
        <f t="shared" si="2"/>
        <v/>
      </c>
      <c r="J11749" s="86">
        <f t="shared" si="3"/>
        <v>0</v>
      </c>
      <c r="R11749" s="26"/>
    </row>
    <row r="11750" spans="1:18" ht="15.75" customHeight="1">
      <c r="A11750" s="26"/>
      <c r="B11750" s="86"/>
      <c r="D11750" s="26"/>
      <c r="F11750" s="87" t="str">
        <f t="shared" si="0"/>
        <v/>
      </c>
      <c r="H11750" s="26" t="str">
        <f t="shared" si="1"/>
        <v/>
      </c>
      <c r="I11750" s="26" t="str">
        <f t="shared" si="2"/>
        <v/>
      </c>
      <c r="J11750" s="86">
        <f t="shared" si="3"/>
        <v>0</v>
      </c>
      <c r="R11750" s="26"/>
    </row>
    <row r="11751" spans="1:18" ht="15.75" customHeight="1">
      <c r="A11751" s="26"/>
      <c r="B11751" s="86"/>
      <c r="D11751" s="26"/>
      <c r="F11751" s="87" t="str">
        <f t="shared" si="0"/>
        <v/>
      </c>
      <c r="H11751" s="26" t="str">
        <f t="shared" si="1"/>
        <v/>
      </c>
      <c r="I11751" s="26" t="str">
        <f t="shared" si="2"/>
        <v/>
      </c>
      <c r="J11751" s="86">
        <f t="shared" si="3"/>
        <v>0</v>
      </c>
      <c r="R11751" s="26"/>
    </row>
    <row r="11752" spans="1:18" ht="15.75" customHeight="1">
      <c r="A11752" s="26"/>
      <c r="B11752" s="86"/>
      <c r="D11752" s="26"/>
      <c r="F11752" s="87" t="str">
        <f t="shared" si="0"/>
        <v/>
      </c>
      <c r="H11752" s="26" t="str">
        <f t="shared" si="1"/>
        <v/>
      </c>
      <c r="I11752" s="26" t="str">
        <f t="shared" si="2"/>
        <v/>
      </c>
      <c r="J11752" s="86">
        <f t="shared" si="3"/>
        <v>0</v>
      </c>
      <c r="R11752" s="26"/>
    </row>
    <row r="11753" spans="1:18" ht="15.75" customHeight="1">
      <c r="A11753" s="26"/>
      <c r="B11753" s="86"/>
      <c r="D11753" s="26"/>
      <c r="F11753" s="87" t="str">
        <f t="shared" si="0"/>
        <v/>
      </c>
      <c r="H11753" s="26" t="str">
        <f t="shared" si="1"/>
        <v/>
      </c>
      <c r="I11753" s="26" t="str">
        <f t="shared" si="2"/>
        <v/>
      </c>
      <c r="J11753" s="86">
        <f t="shared" si="3"/>
        <v>0</v>
      </c>
      <c r="R11753" s="26"/>
    </row>
    <row r="11754" spans="1:18" ht="15.75" customHeight="1">
      <c r="A11754" s="26"/>
      <c r="B11754" s="86"/>
      <c r="D11754" s="26"/>
      <c r="F11754" s="87" t="str">
        <f t="shared" si="0"/>
        <v/>
      </c>
      <c r="H11754" s="26" t="str">
        <f t="shared" si="1"/>
        <v/>
      </c>
      <c r="I11754" s="26" t="str">
        <f t="shared" si="2"/>
        <v/>
      </c>
      <c r="J11754" s="86">
        <f t="shared" si="3"/>
        <v>0</v>
      </c>
      <c r="R11754" s="26"/>
    </row>
    <row r="11755" spans="1:18" ht="15.75" customHeight="1">
      <c r="A11755" s="26"/>
      <c r="B11755" s="86"/>
      <c r="D11755" s="26"/>
      <c r="F11755" s="87" t="str">
        <f t="shared" si="0"/>
        <v/>
      </c>
      <c r="H11755" s="26" t="str">
        <f t="shared" si="1"/>
        <v/>
      </c>
      <c r="I11755" s="26" t="str">
        <f t="shared" si="2"/>
        <v/>
      </c>
      <c r="J11755" s="86">
        <f t="shared" si="3"/>
        <v>0</v>
      </c>
      <c r="R11755" s="26"/>
    </row>
    <row r="11756" spans="1:18" ht="15.75" customHeight="1">
      <c r="A11756" s="26"/>
      <c r="B11756" s="86"/>
      <c r="D11756" s="26"/>
      <c r="F11756" s="87" t="str">
        <f t="shared" si="0"/>
        <v/>
      </c>
      <c r="H11756" s="26" t="str">
        <f t="shared" si="1"/>
        <v/>
      </c>
      <c r="I11756" s="26" t="str">
        <f t="shared" si="2"/>
        <v/>
      </c>
      <c r="J11756" s="86">
        <f t="shared" si="3"/>
        <v>0</v>
      </c>
      <c r="R11756" s="26"/>
    </row>
    <row r="11757" spans="1:18" ht="15.75" customHeight="1">
      <c r="A11757" s="26"/>
      <c r="B11757" s="86"/>
      <c r="D11757" s="26"/>
      <c r="F11757" s="87" t="str">
        <f t="shared" si="0"/>
        <v/>
      </c>
      <c r="H11757" s="26" t="str">
        <f t="shared" si="1"/>
        <v/>
      </c>
      <c r="I11757" s="26" t="str">
        <f t="shared" si="2"/>
        <v/>
      </c>
      <c r="J11757" s="86">
        <f t="shared" si="3"/>
        <v>0</v>
      </c>
      <c r="R11757" s="26"/>
    </row>
    <row r="11758" spans="1:18" ht="15.75" customHeight="1">
      <c r="A11758" s="26"/>
      <c r="B11758" s="86"/>
      <c r="D11758" s="26"/>
      <c r="F11758" s="87" t="str">
        <f t="shared" si="0"/>
        <v/>
      </c>
      <c r="H11758" s="26" t="str">
        <f t="shared" si="1"/>
        <v/>
      </c>
      <c r="I11758" s="26" t="str">
        <f t="shared" si="2"/>
        <v/>
      </c>
      <c r="J11758" s="86">
        <f t="shared" si="3"/>
        <v>0</v>
      </c>
      <c r="R11758" s="26"/>
    </row>
    <row r="11759" spans="1:18" ht="15.75" customHeight="1">
      <c r="A11759" s="26"/>
      <c r="B11759" s="86"/>
      <c r="D11759" s="26"/>
      <c r="F11759" s="87" t="str">
        <f t="shared" si="0"/>
        <v/>
      </c>
      <c r="H11759" s="26" t="str">
        <f t="shared" si="1"/>
        <v/>
      </c>
      <c r="I11759" s="26" t="str">
        <f t="shared" si="2"/>
        <v/>
      </c>
      <c r="J11759" s="86">
        <f t="shared" si="3"/>
        <v>0</v>
      </c>
      <c r="R11759" s="26"/>
    </row>
    <row r="11760" spans="1:18" ht="15.75" customHeight="1">
      <c r="A11760" s="26"/>
      <c r="B11760" s="86"/>
      <c r="D11760" s="26"/>
      <c r="F11760" s="87" t="str">
        <f t="shared" si="0"/>
        <v/>
      </c>
      <c r="H11760" s="26" t="str">
        <f t="shared" si="1"/>
        <v/>
      </c>
      <c r="I11760" s="26" t="str">
        <f t="shared" si="2"/>
        <v/>
      </c>
      <c r="J11760" s="86">
        <f t="shared" si="3"/>
        <v>0</v>
      </c>
      <c r="R11760" s="26"/>
    </row>
    <row r="11761" spans="1:18" ht="15.75" customHeight="1">
      <c r="A11761" s="26"/>
      <c r="B11761" s="86"/>
      <c r="D11761" s="26"/>
      <c r="F11761" s="87" t="str">
        <f t="shared" si="0"/>
        <v/>
      </c>
      <c r="H11761" s="26" t="str">
        <f t="shared" si="1"/>
        <v/>
      </c>
      <c r="I11761" s="26" t="str">
        <f t="shared" si="2"/>
        <v/>
      </c>
      <c r="J11761" s="86">
        <f t="shared" si="3"/>
        <v>0</v>
      </c>
      <c r="R11761" s="26"/>
    </row>
    <row r="11762" spans="1:18" ht="15.75" customHeight="1">
      <c r="A11762" s="26"/>
      <c r="B11762" s="86"/>
      <c r="D11762" s="26"/>
      <c r="F11762" s="87" t="str">
        <f t="shared" si="0"/>
        <v/>
      </c>
      <c r="H11762" s="26" t="str">
        <f t="shared" si="1"/>
        <v/>
      </c>
      <c r="I11762" s="26" t="str">
        <f t="shared" si="2"/>
        <v/>
      </c>
      <c r="J11762" s="86">
        <f t="shared" si="3"/>
        <v>0</v>
      </c>
      <c r="R11762" s="26"/>
    </row>
    <row r="11763" spans="1:18" ht="15.75" customHeight="1">
      <c r="A11763" s="26"/>
      <c r="B11763" s="86"/>
      <c r="D11763" s="26"/>
      <c r="F11763" s="87" t="str">
        <f t="shared" si="0"/>
        <v/>
      </c>
      <c r="H11763" s="26" t="str">
        <f t="shared" si="1"/>
        <v/>
      </c>
      <c r="I11763" s="26" t="str">
        <f t="shared" si="2"/>
        <v/>
      </c>
      <c r="J11763" s="86">
        <f t="shared" si="3"/>
        <v>0</v>
      </c>
      <c r="R11763" s="26"/>
    </row>
    <row r="11764" spans="1:18" ht="15.75" customHeight="1">
      <c r="A11764" s="26"/>
      <c r="B11764" s="86"/>
      <c r="D11764" s="26"/>
      <c r="F11764" s="87" t="str">
        <f t="shared" si="0"/>
        <v/>
      </c>
      <c r="H11764" s="26" t="str">
        <f t="shared" si="1"/>
        <v/>
      </c>
      <c r="I11764" s="26" t="str">
        <f t="shared" si="2"/>
        <v/>
      </c>
      <c r="J11764" s="86">
        <f t="shared" si="3"/>
        <v>0</v>
      </c>
      <c r="R11764" s="26"/>
    </row>
    <row r="11765" spans="1:18" ht="15.75" customHeight="1">
      <c r="A11765" s="26"/>
      <c r="B11765" s="86"/>
      <c r="D11765" s="26"/>
      <c r="F11765" s="87" t="str">
        <f t="shared" si="0"/>
        <v/>
      </c>
      <c r="H11765" s="26" t="str">
        <f t="shared" si="1"/>
        <v/>
      </c>
      <c r="I11765" s="26" t="str">
        <f t="shared" si="2"/>
        <v/>
      </c>
      <c r="J11765" s="86">
        <f t="shared" si="3"/>
        <v>0</v>
      </c>
      <c r="R11765" s="26"/>
    </row>
    <row r="11766" spans="1:18" ht="15.75" customHeight="1">
      <c r="A11766" s="26"/>
      <c r="B11766" s="86"/>
      <c r="D11766" s="26"/>
      <c r="F11766" s="87" t="str">
        <f t="shared" si="0"/>
        <v/>
      </c>
      <c r="H11766" s="26" t="str">
        <f t="shared" si="1"/>
        <v/>
      </c>
      <c r="I11766" s="26" t="str">
        <f t="shared" si="2"/>
        <v/>
      </c>
      <c r="J11766" s="86">
        <f t="shared" si="3"/>
        <v>0</v>
      </c>
      <c r="R11766" s="26"/>
    </row>
    <row r="11767" spans="1:18" ht="15.75" customHeight="1">
      <c r="A11767" s="26"/>
      <c r="B11767" s="86"/>
      <c r="D11767" s="26"/>
      <c r="F11767" s="87" t="str">
        <f t="shared" si="0"/>
        <v/>
      </c>
      <c r="H11767" s="26" t="str">
        <f t="shared" si="1"/>
        <v/>
      </c>
      <c r="I11767" s="26" t="str">
        <f t="shared" si="2"/>
        <v/>
      </c>
      <c r="J11767" s="86">
        <f t="shared" si="3"/>
        <v>0</v>
      </c>
      <c r="R11767" s="26"/>
    </row>
    <row r="11768" spans="1:18" ht="15.75" customHeight="1">
      <c r="A11768" s="26"/>
      <c r="B11768" s="86"/>
      <c r="D11768" s="26"/>
      <c r="F11768" s="87" t="str">
        <f t="shared" si="0"/>
        <v/>
      </c>
      <c r="H11768" s="26" t="str">
        <f t="shared" si="1"/>
        <v/>
      </c>
      <c r="I11768" s="26" t="str">
        <f t="shared" si="2"/>
        <v/>
      </c>
      <c r="J11768" s="86">
        <f t="shared" si="3"/>
        <v>0</v>
      </c>
      <c r="R11768" s="26"/>
    </row>
    <row r="11769" spans="1:18" ht="15.75" customHeight="1">
      <c r="A11769" s="26"/>
      <c r="B11769" s="86"/>
      <c r="D11769" s="26"/>
      <c r="F11769" s="87" t="str">
        <f t="shared" si="0"/>
        <v/>
      </c>
      <c r="H11769" s="26" t="str">
        <f t="shared" si="1"/>
        <v/>
      </c>
      <c r="I11769" s="26" t="str">
        <f t="shared" si="2"/>
        <v/>
      </c>
      <c r="J11769" s="86">
        <f t="shared" si="3"/>
        <v>0</v>
      </c>
      <c r="R11769" s="26"/>
    </row>
    <row r="11770" spans="1:18" ht="15.75" customHeight="1">
      <c r="A11770" s="26"/>
      <c r="B11770" s="86"/>
      <c r="D11770" s="26"/>
      <c r="F11770" s="87" t="str">
        <f t="shared" si="0"/>
        <v/>
      </c>
      <c r="H11770" s="26" t="str">
        <f t="shared" si="1"/>
        <v/>
      </c>
      <c r="I11770" s="26" t="str">
        <f t="shared" si="2"/>
        <v/>
      </c>
      <c r="J11770" s="86">
        <f t="shared" si="3"/>
        <v>0</v>
      </c>
      <c r="R11770" s="26"/>
    </row>
    <row r="11771" spans="1:18" ht="15.75" customHeight="1">
      <c r="A11771" s="26"/>
      <c r="B11771" s="86"/>
      <c r="D11771" s="26"/>
      <c r="F11771" s="87" t="str">
        <f t="shared" si="0"/>
        <v/>
      </c>
      <c r="H11771" s="26" t="str">
        <f t="shared" si="1"/>
        <v/>
      </c>
      <c r="I11771" s="26" t="str">
        <f t="shared" si="2"/>
        <v/>
      </c>
      <c r="J11771" s="86">
        <f t="shared" si="3"/>
        <v>0</v>
      </c>
      <c r="R11771" s="26"/>
    </row>
    <row r="11772" spans="1:18" ht="15.75" customHeight="1">
      <c r="A11772" s="26"/>
      <c r="B11772" s="86"/>
      <c r="D11772" s="26"/>
      <c r="F11772" s="87" t="str">
        <f t="shared" si="0"/>
        <v/>
      </c>
      <c r="H11772" s="26" t="str">
        <f t="shared" si="1"/>
        <v/>
      </c>
      <c r="I11772" s="26" t="str">
        <f t="shared" si="2"/>
        <v/>
      </c>
      <c r="J11772" s="86">
        <f t="shared" si="3"/>
        <v>0</v>
      </c>
      <c r="R11772" s="26"/>
    </row>
    <row r="11773" spans="1:18" ht="15.75" customHeight="1">
      <c r="A11773" s="26"/>
      <c r="B11773" s="86"/>
      <c r="D11773" s="26"/>
      <c r="F11773" s="87" t="str">
        <f t="shared" si="0"/>
        <v/>
      </c>
      <c r="H11773" s="26" t="str">
        <f t="shared" si="1"/>
        <v/>
      </c>
      <c r="I11773" s="26" t="str">
        <f t="shared" si="2"/>
        <v/>
      </c>
      <c r="J11773" s="86">
        <f t="shared" si="3"/>
        <v>0</v>
      </c>
      <c r="R11773" s="26"/>
    </row>
    <row r="11774" spans="1:18" ht="15.75" customHeight="1">
      <c r="A11774" s="26"/>
      <c r="B11774" s="86"/>
      <c r="D11774" s="26"/>
      <c r="F11774" s="87" t="str">
        <f t="shared" si="0"/>
        <v/>
      </c>
      <c r="H11774" s="26" t="str">
        <f t="shared" si="1"/>
        <v/>
      </c>
      <c r="I11774" s="26" t="str">
        <f t="shared" si="2"/>
        <v/>
      </c>
      <c r="J11774" s="86">
        <f t="shared" si="3"/>
        <v>0</v>
      </c>
      <c r="R11774" s="26"/>
    </row>
    <row r="11775" spans="1:18" ht="15.75" customHeight="1">
      <c r="A11775" s="26"/>
      <c r="B11775" s="86"/>
      <c r="D11775" s="26"/>
      <c r="F11775" s="87" t="str">
        <f t="shared" si="0"/>
        <v/>
      </c>
      <c r="H11775" s="26" t="str">
        <f t="shared" si="1"/>
        <v/>
      </c>
      <c r="I11775" s="26" t="str">
        <f t="shared" si="2"/>
        <v/>
      </c>
      <c r="J11775" s="86">
        <f t="shared" si="3"/>
        <v>0</v>
      </c>
      <c r="R11775" s="26"/>
    </row>
    <row r="11776" spans="1:18" ht="15.75" customHeight="1">
      <c r="A11776" s="26"/>
      <c r="B11776" s="86"/>
      <c r="D11776" s="26"/>
      <c r="F11776" s="87" t="str">
        <f t="shared" si="0"/>
        <v/>
      </c>
      <c r="H11776" s="26" t="str">
        <f t="shared" si="1"/>
        <v/>
      </c>
      <c r="I11776" s="26" t="str">
        <f t="shared" si="2"/>
        <v/>
      </c>
      <c r="J11776" s="86">
        <f t="shared" si="3"/>
        <v>0</v>
      </c>
      <c r="R11776" s="26"/>
    </row>
    <row r="11777" spans="1:18" ht="15.75" customHeight="1">
      <c r="A11777" s="26"/>
      <c r="B11777" s="86"/>
      <c r="D11777" s="26"/>
      <c r="F11777" s="87" t="str">
        <f t="shared" si="0"/>
        <v/>
      </c>
      <c r="H11777" s="26" t="str">
        <f t="shared" si="1"/>
        <v/>
      </c>
      <c r="I11777" s="26" t="str">
        <f t="shared" si="2"/>
        <v/>
      </c>
      <c r="J11777" s="86">
        <f t="shared" si="3"/>
        <v>0</v>
      </c>
      <c r="R11777" s="26"/>
    </row>
    <row r="11778" spans="1:18" ht="15.75" customHeight="1">
      <c r="A11778" s="26"/>
      <c r="B11778" s="86"/>
      <c r="D11778" s="26"/>
      <c r="F11778" s="87" t="str">
        <f t="shared" si="0"/>
        <v/>
      </c>
      <c r="H11778" s="26" t="str">
        <f t="shared" si="1"/>
        <v/>
      </c>
      <c r="I11778" s="26" t="str">
        <f t="shared" si="2"/>
        <v/>
      </c>
      <c r="J11778" s="86">
        <f t="shared" si="3"/>
        <v>0</v>
      </c>
      <c r="R11778" s="26"/>
    </row>
    <row r="11779" spans="1:18" ht="15.75" customHeight="1">
      <c r="A11779" s="26"/>
      <c r="B11779" s="86"/>
      <c r="D11779" s="26"/>
      <c r="F11779" s="87" t="str">
        <f t="shared" si="0"/>
        <v/>
      </c>
      <c r="H11779" s="26" t="str">
        <f t="shared" si="1"/>
        <v/>
      </c>
      <c r="I11779" s="26" t="str">
        <f t="shared" si="2"/>
        <v/>
      </c>
      <c r="J11779" s="86">
        <f t="shared" si="3"/>
        <v>0</v>
      </c>
      <c r="R11779" s="26"/>
    </row>
    <row r="11780" spans="1:18" ht="15.75" customHeight="1">
      <c r="A11780" s="26"/>
      <c r="B11780" s="86"/>
      <c r="D11780" s="26"/>
      <c r="F11780" s="87" t="str">
        <f t="shared" si="0"/>
        <v/>
      </c>
      <c r="H11780" s="26" t="str">
        <f t="shared" si="1"/>
        <v/>
      </c>
      <c r="I11780" s="26" t="str">
        <f t="shared" si="2"/>
        <v/>
      </c>
      <c r="J11780" s="86">
        <f t="shared" si="3"/>
        <v>0</v>
      </c>
      <c r="R11780" s="26"/>
    </row>
    <row r="11781" spans="1:18" ht="15.75" customHeight="1">
      <c r="A11781" s="26"/>
      <c r="B11781" s="86"/>
      <c r="D11781" s="26"/>
      <c r="F11781" s="87" t="str">
        <f t="shared" si="0"/>
        <v/>
      </c>
      <c r="H11781" s="26" t="str">
        <f t="shared" si="1"/>
        <v/>
      </c>
      <c r="I11781" s="26" t="str">
        <f t="shared" si="2"/>
        <v/>
      </c>
      <c r="J11781" s="86">
        <f t="shared" si="3"/>
        <v>0</v>
      </c>
      <c r="R11781" s="26"/>
    </row>
    <row r="11782" spans="1:18" ht="15.75" customHeight="1">
      <c r="A11782" s="26"/>
      <c r="B11782" s="86"/>
      <c r="D11782" s="26"/>
      <c r="F11782" s="87" t="str">
        <f t="shared" si="0"/>
        <v/>
      </c>
      <c r="H11782" s="26" t="str">
        <f t="shared" si="1"/>
        <v/>
      </c>
      <c r="I11782" s="26" t="str">
        <f t="shared" si="2"/>
        <v/>
      </c>
      <c r="J11782" s="86">
        <f t="shared" si="3"/>
        <v>0</v>
      </c>
      <c r="R11782" s="26"/>
    </row>
    <row r="11783" spans="1:18" ht="15.75" customHeight="1">
      <c r="A11783" s="26"/>
      <c r="B11783" s="86"/>
      <c r="D11783" s="26"/>
      <c r="F11783" s="87" t="str">
        <f t="shared" si="0"/>
        <v/>
      </c>
      <c r="H11783" s="26" t="str">
        <f t="shared" si="1"/>
        <v/>
      </c>
      <c r="I11783" s="26" t="str">
        <f t="shared" si="2"/>
        <v/>
      </c>
      <c r="J11783" s="86">
        <f t="shared" si="3"/>
        <v>0</v>
      </c>
      <c r="R11783" s="26"/>
    </row>
    <row r="11784" spans="1:18" ht="15.75" customHeight="1">
      <c r="A11784" s="26"/>
      <c r="B11784" s="86"/>
      <c r="D11784" s="26"/>
      <c r="F11784" s="87" t="str">
        <f t="shared" si="0"/>
        <v/>
      </c>
      <c r="H11784" s="26" t="str">
        <f t="shared" si="1"/>
        <v/>
      </c>
      <c r="I11784" s="26" t="str">
        <f t="shared" si="2"/>
        <v/>
      </c>
      <c r="J11784" s="86">
        <f t="shared" si="3"/>
        <v>0</v>
      </c>
      <c r="R11784" s="26"/>
    </row>
    <row r="11785" spans="1:18" ht="15.75" customHeight="1">
      <c r="A11785" s="26"/>
      <c r="B11785" s="86"/>
      <c r="D11785" s="26"/>
      <c r="F11785" s="87" t="str">
        <f t="shared" si="0"/>
        <v/>
      </c>
      <c r="H11785" s="26" t="str">
        <f t="shared" si="1"/>
        <v/>
      </c>
      <c r="I11785" s="26" t="str">
        <f t="shared" si="2"/>
        <v/>
      </c>
      <c r="J11785" s="86">
        <f t="shared" si="3"/>
        <v>0</v>
      </c>
      <c r="R11785" s="26"/>
    </row>
    <row r="11786" spans="1:18" ht="15.75" customHeight="1">
      <c r="A11786" s="26"/>
      <c r="B11786" s="86"/>
      <c r="D11786" s="26"/>
      <c r="F11786" s="87" t="str">
        <f t="shared" si="0"/>
        <v/>
      </c>
      <c r="H11786" s="26" t="str">
        <f t="shared" si="1"/>
        <v/>
      </c>
      <c r="I11786" s="26" t="str">
        <f t="shared" si="2"/>
        <v/>
      </c>
      <c r="J11786" s="86">
        <f t="shared" si="3"/>
        <v>0</v>
      </c>
      <c r="R11786" s="26"/>
    </row>
    <row r="11787" spans="1:18" ht="15.75" customHeight="1">
      <c r="A11787" s="26"/>
      <c r="B11787" s="86"/>
      <c r="D11787" s="26"/>
      <c r="F11787" s="87" t="str">
        <f t="shared" si="0"/>
        <v/>
      </c>
      <c r="H11787" s="26" t="str">
        <f t="shared" si="1"/>
        <v/>
      </c>
      <c r="I11787" s="26" t="str">
        <f t="shared" si="2"/>
        <v/>
      </c>
      <c r="J11787" s="86">
        <f t="shared" si="3"/>
        <v>0</v>
      </c>
      <c r="R11787" s="26"/>
    </row>
    <row r="11788" spans="1:18" ht="15.75" customHeight="1">
      <c r="A11788" s="26"/>
      <c r="B11788" s="86"/>
      <c r="D11788" s="26"/>
      <c r="F11788" s="87" t="str">
        <f t="shared" si="0"/>
        <v/>
      </c>
      <c r="H11788" s="26" t="str">
        <f t="shared" si="1"/>
        <v/>
      </c>
      <c r="I11788" s="26" t="str">
        <f t="shared" si="2"/>
        <v/>
      </c>
      <c r="J11788" s="86">
        <f t="shared" si="3"/>
        <v>0</v>
      </c>
      <c r="R11788" s="26"/>
    </row>
    <row r="11789" spans="1:18" ht="15.75" customHeight="1">
      <c r="A11789" s="26"/>
      <c r="B11789" s="86"/>
      <c r="D11789" s="26"/>
      <c r="F11789" s="87" t="str">
        <f t="shared" si="0"/>
        <v/>
      </c>
      <c r="H11789" s="26" t="str">
        <f t="shared" si="1"/>
        <v/>
      </c>
      <c r="I11789" s="26" t="str">
        <f t="shared" si="2"/>
        <v/>
      </c>
      <c r="J11789" s="86">
        <f t="shared" si="3"/>
        <v>0</v>
      </c>
      <c r="R11789" s="26"/>
    </row>
    <row r="11790" spans="1:18" ht="15.75" customHeight="1">
      <c r="A11790" s="26"/>
      <c r="B11790" s="86"/>
      <c r="D11790" s="26"/>
      <c r="F11790" s="87" t="str">
        <f t="shared" si="0"/>
        <v/>
      </c>
      <c r="H11790" s="26" t="str">
        <f t="shared" si="1"/>
        <v/>
      </c>
      <c r="I11790" s="26" t="str">
        <f t="shared" si="2"/>
        <v/>
      </c>
      <c r="J11790" s="86">
        <f t="shared" si="3"/>
        <v>0</v>
      </c>
      <c r="R11790" s="26"/>
    </row>
    <row r="11791" spans="1:18" ht="15.75" customHeight="1">
      <c r="A11791" s="26"/>
      <c r="B11791" s="86"/>
      <c r="D11791" s="26"/>
      <c r="F11791" s="87" t="str">
        <f t="shared" si="0"/>
        <v/>
      </c>
      <c r="H11791" s="26" t="str">
        <f t="shared" si="1"/>
        <v/>
      </c>
      <c r="I11791" s="26" t="str">
        <f t="shared" si="2"/>
        <v/>
      </c>
      <c r="J11791" s="86">
        <f t="shared" si="3"/>
        <v>0</v>
      </c>
      <c r="R11791" s="26"/>
    </row>
    <row r="11792" spans="1:18" ht="15.75" customHeight="1">
      <c r="A11792" s="26"/>
      <c r="B11792" s="86"/>
      <c r="D11792" s="26"/>
      <c r="F11792" s="87" t="str">
        <f t="shared" si="0"/>
        <v/>
      </c>
      <c r="H11792" s="26" t="str">
        <f t="shared" si="1"/>
        <v/>
      </c>
      <c r="I11792" s="26" t="str">
        <f t="shared" si="2"/>
        <v/>
      </c>
      <c r="J11792" s="86">
        <f t="shared" si="3"/>
        <v>0</v>
      </c>
      <c r="R11792" s="26"/>
    </row>
    <row r="11793" spans="1:18" ht="15.75" customHeight="1">
      <c r="A11793" s="26"/>
      <c r="B11793" s="86"/>
      <c r="D11793" s="26"/>
      <c r="F11793" s="87" t="str">
        <f t="shared" si="0"/>
        <v/>
      </c>
      <c r="H11793" s="26" t="str">
        <f t="shared" si="1"/>
        <v/>
      </c>
      <c r="I11793" s="26" t="str">
        <f t="shared" si="2"/>
        <v/>
      </c>
      <c r="J11793" s="86">
        <f t="shared" si="3"/>
        <v>0</v>
      </c>
      <c r="R11793" s="26"/>
    </row>
    <row r="11794" spans="1:18" ht="15.75" customHeight="1">
      <c r="A11794" s="26"/>
      <c r="B11794" s="86"/>
      <c r="D11794" s="26"/>
      <c r="F11794" s="87" t="str">
        <f t="shared" si="0"/>
        <v/>
      </c>
      <c r="H11794" s="26" t="str">
        <f t="shared" si="1"/>
        <v/>
      </c>
      <c r="I11794" s="26" t="str">
        <f t="shared" si="2"/>
        <v/>
      </c>
      <c r="J11794" s="86">
        <f t="shared" si="3"/>
        <v>0</v>
      </c>
      <c r="R11794" s="26"/>
    </row>
    <row r="11795" spans="1:18" ht="15.75" customHeight="1">
      <c r="A11795" s="26"/>
      <c r="B11795" s="86"/>
      <c r="D11795" s="26"/>
      <c r="F11795" s="87" t="str">
        <f t="shared" si="0"/>
        <v/>
      </c>
      <c r="H11795" s="26" t="str">
        <f t="shared" si="1"/>
        <v/>
      </c>
      <c r="I11795" s="26" t="str">
        <f t="shared" si="2"/>
        <v/>
      </c>
      <c r="J11795" s="86">
        <f t="shared" si="3"/>
        <v>0</v>
      </c>
      <c r="R11795" s="26"/>
    </row>
    <row r="11796" spans="1:18" ht="15.75" customHeight="1">
      <c r="A11796" s="26"/>
      <c r="B11796" s="86"/>
      <c r="D11796" s="26"/>
      <c r="F11796" s="87" t="str">
        <f t="shared" si="0"/>
        <v/>
      </c>
      <c r="H11796" s="26" t="str">
        <f t="shared" si="1"/>
        <v/>
      </c>
      <c r="I11796" s="26" t="str">
        <f t="shared" si="2"/>
        <v/>
      </c>
      <c r="J11796" s="86">
        <f t="shared" si="3"/>
        <v>0</v>
      </c>
      <c r="R11796" s="26"/>
    </row>
    <row r="11797" spans="1:18" ht="15.75" customHeight="1">
      <c r="A11797" s="26"/>
      <c r="B11797" s="86"/>
      <c r="D11797" s="26"/>
      <c r="F11797" s="87" t="str">
        <f t="shared" si="0"/>
        <v/>
      </c>
      <c r="H11797" s="26" t="str">
        <f t="shared" si="1"/>
        <v/>
      </c>
      <c r="I11797" s="26" t="str">
        <f t="shared" si="2"/>
        <v/>
      </c>
      <c r="J11797" s="86">
        <f t="shared" si="3"/>
        <v>0</v>
      </c>
      <c r="R11797" s="26"/>
    </row>
    <row r="11798" spans="1:18" ht="15.75" customHeight="1">
      <c r="A11798" s="26"/>
      <c r="B11798" s="86"/>
      <c r="D11798" s="26"/>
      <c r="F11798" s="87" t="str">
        <f t="shared" si="0"/>
        <v/>
      </c>
      <c r="H11798" s="26" t="str">
        <f t="shared" si="1"/>
        <v/>
      </c>
      <c r="I11798" s="26" t="str">
        <f t="shared" si="2"/>
        <v/>
      </c>
      <c r="J11798" s="86">
        <f t="shared" si="3"/>
        <v>0</v>
      </c>
      <c r="R11798" s="26"/>
    </row>
    <row r="11799" spans="1:18" ht="15.75" customHeight="1">
      <c r="A11799" s="26"/>
      <c r="B11799" s="86"/>
      <c r="D11799" s="26"/>
      <c r="F11799" s="87" t="str">
        <f t="shared" si="0"/>
        <v/>
      </c>
      <c r="H11799" s="26" t="str">
        <f t="shared" si="1"/>
        <v/>
      </c>
      <c r="I11799" s="26" t="str">
        <f t="shared" si="2"/>
        <v/>
      </c>
      <c r="J11799" s="86">
        <f t="shared" si="3"/>
        <v>0</v>
      </c>
      <c r="R11799" s="26"/>
    </row>
    <row r="11800" spans="1:18" ht="15.75" customHeight="1">
      <c r="A11800" s="26"/>
      <c r="B11800" s="86"/>
      <c r="D11800" s="26"/>
      <c r="F11800" s="87" t="str">
        <f t="shared" si="0"/>
        <v/>
      </c>
      <c r="H11800" s="26" t="str">
        <f t="shared" si="1"/>
        <v/>
      </c>
      <c r="I11800" s="26" t="str">
        <f t="shared" si="2"/>
        <v/>
      </c>
      <c r="J11800" s="86">
        <f t="shared" si="3"/>
        <v>0</v>
      </c>
      <c r="R11800" s="26"/>
    </row>
    <row r="11801" spans="1:18" ht="15.75" customHeight="1">
      <c r="A11801" s="26"/>
      <c r="B11801" s="86"/>
      <c r="D11801" s="26"/>
      <c r="F11801" s="87" t="str">
        <f t="shared" si="0"/>
        <v/>
      </c>
      <c r="H11801" s="26" t="str">
        <f t="shared" si="1"/>
        <v/>
      </c>
      <c r="I11801" s="26" t="str">
        <f t="shared" si="2"/>
        <v/>
      </c>
      <c r="J11801" s="86">
        <f t="shared" si="3"/>
        <v>0</v>
      </c>
      <c r="R11801" s="26"/>
    </row>
    <row r="11802" spans="1:18" ht="15.75" customHeight="1">
      <c r="A11802" s="26"/>
      <c r="B11802" s="86"/>
      <c r="D11802" s="26"/>
      <c r="F11802" s="87" t="str">
        <f t="shared" si="0"/>
        <v/>
      </c>
      <c r="H11802" s="26" t="str">
        <f t="shared" si="1"/>
        <v/>
      </c>
      <c r="I11802" s="26" t="str">
        <f t="shared" si="2"/>
        <v/>
      </c>
      <c r="J11802" s="86">
        <f t="shared" si="3"/>
        <v>0</v>
      </c>
      <c r="R11802" s="26"/>
    </row>
    <row r="11803" spans="1:18" ht="15.75" customHeight="1">
      <c r="A11803" s="26"/>
      <c r="B11803" s="86"/>
      <c r="D11803" s="26"/>
      <c r="F11803" s="87" t="str">
        <f t="shared" si="0"/>
        <v/>
      </c>
      <c r="H11803" s="26" t="str">
        <f t="shared" si="1"/>
        <v/>
      </c>
      <c r="I11803" s="26" t="str">
        <f t="shared" si="2"/>
        <v/>
      </c>
      <c r="J11803" s="86">
        <f t="shared" si="3"/>
        <v>0</v>
      </c>
      <c r="R11803" s="26"/>
    </row>
    <row r="11804" spans="1:18" ht="15.75" customHeight="1">
      <c r="A11804" s="26"/>
      <c r="B11804" s="86"/>
      <c r="D11804" s="26"/>
      <c r="F11804" s="87" t="str">
        <f t="shared" si="0"/>
        <v/>
      </c>
      <c r="H11804" s="26" t="str">
        <f t="shared" si="1"/>
        <v/>
      </c>
      <c r="I11804" s="26" t="str">
        <f t="shared" si="2"/>
        <v/>
      </c>
      <c r="J11804" s="86">
        <f t="shared" si="3"/>
        <v>0</v>
      </c>
      <c r="R11804" s="26"/>
    </row>
    <row r="11805" spans="1:18" ht="15.75" customHeight="1">
      <c r="A11805" s="26"/>
      <c r="B11805" s="86"/>
      <c r="D11805" s="26"/>
      <c r="F11805" s="87" t="str">
        <f t="shared" si="0"/>
        <v/>
      </c>
      <c r="H11805" s="26" t="str">
        <f t="shared" si="1"/>
        <v/>
      </c>
      <c r="I11805" s="26" t="str">
        <f t="shared" si="2"/>
        <v/>
      </c>
      <c r="J11805" s="86">
        <f t="shared" si="3"/>
        <v>0</v>
      </c>
      <c r="R11805" s="26"/>
    </row>
    <row r="11806" spans="1:18" ht="15.75" customHeight="1">
      <c r="A11806" s="26"/>
      <c r="B11806" s="86"/>
      <c r="D11806" s="26"/>
      <c r="F11806" s="87" t="str">
        <f t="shared" si="0"/>
        <v/>
      </c>
      <c r="H11806" s="26" t="str">
        <f t="shared" si="1"/>
        <v/>
      </c>
      <c r="I11806" s="26" t="str">
        <f t="shared" si="2"/>
        <v/>
      </c>
      <c r="J11806" s="86">
        <f t="shared" si="3"/>
        <v>0</v>
      </c>
      <c r="R11806" s="26"/>
    </row>
    <row r="11807" spans="1:18" ht="15.75" customHeight="1">
      <c r="A11807" s="26"/>
      <c r="B11807" s="86"/>
      <c r="D11807" s="26"/>
      <c r="F11807" s="87" t="str">
        <f t="shared" si="0"/>
        <v/>
      </c>
      <c r="H11807" s="26" t="str">
        <f t="shared" si="1"/>
        <v/>
      </c>
      <c r="I11807" s="26" t="str">
        <f t="shared" si="2"/>
        <v/>
      </c>
      <c r="J11807" s="86">
        <f t="shared" si="3"/>
        <v>0</v>
      </c>
      <c r="R11807" s="26"/>
    </row>
    <row r="11808" spans="1:18" ht="15.75" customHeight="1">
      <c r="A11808" s="26"/>
      <c r="B11808" s="86"/>
      <c r="D11808" s="26"/>
      <c r="F11808" s="87" t="str">
        <f t="shared" si="0"/>
        <v/>
      </c>
      <c r="H11808" s="26" t="str">
        <f t="shared" si="1"/>
        <v/>
      </c>
      <c r="I11808" s="26" t="str">
        <f t="shared" si="2"/>
        <v/>
      </c>
      <c r="J11808" s="86">
        <f t="shared" si="3"/>
        <v>0</v>
      </c>
      <c r="R11808" s="26"/>
    </row>
    <row r="11809" spans="1:18" ht="15.75" customHeight="1">
      <c r="A11809" s="26"/>
      <c r="B11809" s="86"/>
      <c r="D11809" s="26"/>
      <c r="F11809" s="87" t="str">
        <f t="shared" si="0"/>
        <v/>
      </c>
      <c r="H11809" s="26" t="str">
        <f t="shared" si="1"/>
        <v/>
      </c>
      <c r="I11809" s="26" t="str">
        <f t="shared" si="2"/>
        <v/>
      </c>
      <c r="J11809" s="86">
        <f t="shared" si="3"/>
        <v>0</v>
      </c>
      <c r="R11809" s="26"/>
    </row>
    <row r="11810" spans="1:18" ht="15.75" customHeight="1">
      <c r="A11810" s="26"/>
      <c r="B11810" s="86"/>
      <c r="D11810" s="26"/>
      <c r="F11810" s="87" t="str">
        <f t="shared" si="0"/>
        <v/>
      </c>
      <c r="H11810" s="26" t="str">
        <f t="shared" si="1"/>
        <v/>
      </c>
      <c r="I11810" s="26" t="str">
        <f t="shared" si="2"/>
        <v/>
      </c>
      <c r="J11810" s="86">
        <f t="shared" si="3"/>
        <v>0</v>
      </c>
      <c r="R11810" s="26"/>
    </row>
    <row r="11811" spans="1:18" ht="15.75" customHeight="1">
      <c r="A11811" s="26"/>
      <c r="B11811" s="86"/>
      <c r="D11811" s="26"/>
      <c r="F11811" s="87" t="str">
        <f t="shared" si="0"/>
        <v/>
      </c>
      <c r="H11811" s="26" t="str">
        <f t="shared" si="1"/>
        <v/>
      </c>
      <c r="I11811" s="26" t="str">
        <f t="shared" si="2"/>
        <v/>
      </c>
      <c r="J11811" s="86">
        <f t="shared" si="3"/>
        <v>0</v>
      </c>
      <c r="R11811" s="26"/>
    </row>
    <row r="11812" spans="1:18" ht="15.75" customHeight="1">
      <c r="A11812" s="26"/>
      <c r="B11812" s="86"/>
      <c r="D11812" s="26"/>
      <c r="F11812" s="87" t="str">
        <f t="shared" si="0"/>
        <v/>
      </c>
      <c r="H11812" s="26" t="str">
        <f t="shared" si="1"/>
        <v/>
      </c>
      <c r="I11812" s="26" t="str">
        <f t="shared" si="2"/>
        <v/>
      </c>
      <c r="J11812" s="86">
        <f t="shared" si="3"/>
        <v>0</v>
      </c>
      <c r="R11812" s="26"/>
    </row>
    <row r="11813" spans="1:18" ht="15.75" customHeight="1">
      <c r="A11813" s="26"/>
      <c r="B11813" s="86"/>
      <c r="D11813" s="26"/>
      <c r="F11813" s="87" t="str">
        <f t="shared" si="0"/>
        <v/>
      </c>
      <c r="H11813" s="26" t="str">
        <f t="shared" si="1"/>
        <v/>
      </c>
      <c r="I11813" s="26" t="str">
        <f t="shared" si="2"/>
        <v/>
      </c>
      <c r="J11813" s="86">
        <f t="shared" si="3"/>
        <v>0</v>
      </c>
      <c r="R11813" s="26"/>
    </row>
    <row r="11814" spans="1:18" ht="15.75" customHeight="1">
      <c r="A11814" s="26"/>
      <c r="B11814" s="86"/>
      <c r="D11814" s="26"/>
      <c r="F11814" s="87" t="str">
        <f t="shared" si="0"/>
        <v/>
      </c>
      <c r="H11814" s="26" t="str">
        <f t="shared" si="1"/>
        <v/>
      </c>
      <c r="I11814" s="26" t="str">
        <f t="shared" si="2"/>
        <v/>
      </c>
      <c r="J11814" s="86">
        <f t="shared" si="3"/>
        <v>0</v>
      </c>
      <c r="R11814" s="26"/>
    </row>
    <row r="11815" spans="1:18" ht="15.75" customHeight="1">
      <c r="A11815" s="26"/>
      <c r="B11815" s="86"/>
      <c r="D11815" s="26"/>
      <c r="F11815" s="87" t="str">
        <f t="shared" si="0"/>
        <v/>
      </c>
      <c r="H11815" s="26" t="str">
        <f t="shared" si="1"/>
        <v/>
      </c>
      <c r="I11815" s="26" t="str">
        <f t="shared" si="2"/>
        <v/>
      </c>
      <c r="J11815" s="86">
        <f t="shared" si="3"/>
        <v>0</v>
      </c>
      <c r="R11815" s="26"/>
    </row>
    <row r="11816" spans="1:18" ht="15.75" customHeight="1">
      <c r="A11816" s="26"/>
      <c r="B11816" s="86"/>
      <c r="D11816" s="26"/>
      <c r="F11816" s="87" t="str">
        <f t="shared" si="0"/>
        <v/>
      </c>
      <c r="H11816" s="26" t="str">
        <f t="shared" si="1"/>
        <v/>
      </c>
      <c r="I11816" s="26" t="str">
        <f t="shared" si="2"/>
        <v/>
      </c>
      <c r="J11816" s="86">
        <f t="shared" si="3"/>
        <v>0</v>
      </c>
      <c r="R11816" s="26"/>
    </row>
    <row r="11817" spans="1:18" ht="15.75" customHeight="1">
      <c r="A11817" s="26"/>
      <c r="B11817" s="86"/>
      <c r="D11817" s="26"/>
      <c r="F11817" s="87" t="str">
        <f t="shared" si="0"/>
        <v/>
      </c>
      <c r="H11817" s="26" t="str">
        <f t="shared" si="1"/>
        <v/>
      </c>
      <c r="I11817" s="26" t="str">
        <f t="shared" si="2"/>
        <v/>
      </c>
      <c r="J11817" s="86">
        <f t="shared" si="3"/>
        <v>0</v>
      </c>
      <c r="R11817" s="26"/>
    </row>
    <row r="11818" spans="1:18" ht="15.75" customHeight="1">
      <c r="A11818" s="26"/>
      <c r="B11818" s="86"/>
      <c r="D11818" s="26"/>
      <c r="F11818" s="87" t="str">
        <f t="shared" si="0"/>
        <v/>
      </c>
      <c r="H11818" s="26" t="str">
        <f t="shared" si="1"/>
        <v/>
      </c>
      <c r="I11818" s="26" t="str">
        <f t="shared" si="2"/>
        <v/>
      </c>
      <c r="J11818" s="86">
        <f t="shared" si="3"/>
        <v>0</v>
      </c>
      <c r="R11818" s="26"/>
    </row>
    <row r="11819" spans="1:18" ht="15.75" customHeight="1">
      <c r="A11819" s="26"/>
      <c r="B11819" s="86"/>
      <c r="D11819" s="26"/>
      <c r="F11819" s="87" t="str">
        <f t="shared" si="0"/>
        <v/>
      </c>
      <c r="H11819" s="26" t="str">
        <f t="shared" si="1"/>
        <v/>
      </c>
      <c r="I11819" s="26" t="str">
        <f t="shared" si="2"/>
        <v/>
      </c>
      <c r="J11819" s="86">
        <f t="shared" si="3"/>
        <v>0</v>
      </c>
      <c r="R11819" s="26"/>
    </row>
    <row r="11820" spans="1:18" ht="15.75" customHeight="1">
      <c r="A11820" s="26"/>
      <c r="B11820" s="86"/>
      <c r="D11820" s="26"/>
      <c r="F11820" s="87" t="str">
        <f t="shared" si="0"/>
        <v/>
      </c>
      <c r="H11820" s="26" t="str">
        <f t="shared" si="1"/>
        <v/>
      </c>
      <c r="I11820" s="26" t="str">
        <f t="shared" si="2"/>
        <v/>
      </c>
      <c r="J11820" s="86">
        <f t="shared" si="3"/>
        <v>0</v>
      </c>
      <c r="R11820" s="26"/>
    </row>
    <row r="11821" spans="1:18" ht="15.75" customHeight="1">
      <c r="A11821" s="26"/>
      <c r="B11821" s="86"/>
      <c r="D11821" s="26"/>
      <c r="F11821" s="87" t="str">
        <f t="shared" si="0"/>
        <v/>
      </c>
      <c r="H11821" s="26" t="str">
        <f t="shared" si="1"/>
        <v/>
      </c>
      <c r="I11821" s="26" t="str">
        <f t="shared" si="2"/>
        <v/>
      </c>
      <c r="J11821" s="86">
        <f t="shared" si="3"/>
        <v>0</v>
      </c>
      <c r="R11821" s="26"/>
    </row>
    <row r="11822" spans="1:18" ht="15.75" customHeight="1">
      <c r="A11822" s="26"/>
      <c r="B11822" s="86"/>
      <c r="D11822" s="26"/>
      <c r="F11822" s="87" t="str">
        <f t="shared" si="0"/>
        <v/>
      </c>
      <c r="H11822" s="26" t="str">
        <f t="shared" si="1"/>
        <v/>
      </c>
      <c r="I11822" s="26" t="str">
        <f t="shared" si="2"/>
        <v/>
      </c>
      <c r="J11822" s="86">
        <f t="shared" si="3"/>
        <v>0</v>
      </c>
      <c r="R11822" s="26"/>
    </row>
    <row r="11823" spans="1:18" ht="15.75" customHeight="1">
      <c r="A11823" s="26"/>
      <c r="B11823" s="86"/>
      <c r="D11823" s="26"/>
      <c r="F11823" s="87" t="str">
        <f t="shared" si="0"/>
        <v/>
      </c>
      <c r="H11823" s="26" t="str">
        <f t="shared" si="1"/>
        <v/>
      </c>
      <c r="I11823" s="26" t="str">
        <f t="shared" si="2"/>
        <v/>
      </c>
      <c r="J11823" s="86">
        <f t="shared" si="3"/>
        <v>0</v>
      </c>
      <c r="R11823" s="26"/>
    </row>
    <row r="11824" spans="1:18" ht="15.75" customHeight="1">
      <c r="A11824" s="26"/>
      <c r="B11824" s="86"/>
      <c r="D11824" s="26"/>
      <c r="F11824" s="87" t="str">
        <f t="shared" si="0"/>
        <v/>
      </c>
      <c r="H11824" s="26" t="str">
        <f t="shared" si="1"/>
        <v/>
      </c>
      <c r="I11824" s="26" t="str">
        <f t="shared" si="2"/>
        <v/>
      </c>
      <c r="J11824" s="86">
        <f t="shared" si="3"/>
        <v>0</v>
      </c>
      <c r="R11824" s="26"/>
    </row>
    <row r="11825" spans="1:18" ht="15.75" customHeight="1">
      <c r="A11825" s="26"/>
      <c r="B11825" s="86"/>
      <c r="D11825" s="26"/>
      <c r="F11825" s="87" t="str">
        <f t="shared" si="0"/>
        <v/>
      </c>
      <c r="H11825" s="26" t="str">
        <f t="shared" si="1"/>
        <v/>
      </c>
      <c r="I11825" s="26" t="str">
        <f t="shared" si="2"/>
        <v/>
      </c>
      <c r="J11825" s="86">
        <f t="shared" si="3"/>
        <v>0</v>
      </c>
      <c r="R11825" s="26"/>
    </row>
    <row r="11826" spans="1:18" ht="15.75" customHeight="1">
      <c r="A11826" s="26"/>
      <c r="B11826" s="86"/>
      <c r="D11826" s="26"/>
      <c r="F11826" s="87" t="str">
        <f t="shared" si="0"/>
        <v/>
      </c>
      <c r="H11826" s="26" t="str">
        <f t="shared" si="1"/>
        <v/>
      </c>
      <c r="I11826" s="26" t="str">
        <f t="shared" si="2"/>
        <v/>
      </c>
      <c r="J11826" s="86">
        <f t="shared" si="3"/>
        <v>0</v>
      </c>
      <c r="R11826" s="26"/>
    </row>
    <row r="11827" spans="1:18" ht="15.75" customHeight="1">
      <c r="A11827" s="26"/>
      <c r="B11827" s="86"/>
      <c r="D11827" s="26"/>
      <c r="F11827" s="87" t="str">
        <f t="shared" si="0"/>
        <v/>
      </c>
      <c r="H11827" s="26" t="str">
        <f t="shared" si="1"/>
        <v/>
      </c>
      <c r="I11827" s="26" t="str">
        <f t="shared" si="2"/>
        <v/>
      </c>
      <c r="J11827" s="86">
        <f t="shared" si="3"/>
        <v>0</v>
      </c>
      <c r="R11827" s="26"/>
    </row>
    <row r="11828" spans="1:18" ht="15.75" customHeight="1">
      <c r="A11828" s="26"/>
      <c r="B11828" s="86"/>
      <c r="D11828" s="26"/>
      <c r="F11828" s="87" t="str">
        <f t="shared" si="0"/>
        <v/>
      </c>
      <c r="H11828" s="26" t="str">
        <f t="shared" si="1"/>
        <v/>
      </c>
      <c r="I11828" s="26" t="str">
        <f t="shared" si="2"/>
        <v/>
      </c>
      <c r="J11828" s="86">
        <f t="shared" si="3"/>
        <v>0</v>
      </c>
      <c r="R11828" s="26"/>
    </row>
    <row r="11829" spans="1:18" ht="15.75" customHeight="1">
      <c r="A11829" s="26"/>
      <c r="B11829" s="86"/>
      <c r="D11829" s="26"/>
      <c r="F11829" s="87" t="str">
        <f t="shared" si="0"/>
        <v/>
      </c>
      <c r="H11829" s="26" t="str">
        <f t="shared" si="1"/>
        <v/>
      </c>
      <c r="I11829" s="26" t="str">
        <f t="shared" si="2"/>
        <v/>
      </c>
      <c r="J11829" s="86">
        <f t="shared" si="3"/>
        <v>0</v>
      </c>
      <c r="R11829" s="26"/>
    </row>
    <row r="11830" spans="1:18" ht="15.75" customHeight="1">
      <c r="A11830" s="26"/>
      <c r="B11830" s="86"/>
      <c r="D11830" s="26"/>
      <c r="F11830" s="87" t="str">
        <f t="shared" si="0"/>
        <v/>
      </c>
      <c r="H11830" s="26" t="str">
        <f t="shared" si="1"/>
        <v/>
      </c>
      <c r="I11830" s="26" t="str">
        <f t="shared" si="2"/>
        <v/>
      </c>
      <c r="J11830" s="86">
        <f t="shared" si="3"/>
        <v>0</v>
      </c>
      <c r="R11830" s="26"/>
    </row>
    <row r="11831" spans="1:18" ht="15.75" customHeight="1">
      <c r="A11831" s="26"/>
      <c r="B11831" s="86"/>
      <c r="D11831" s="26"/>
      <c r="F11831" s="87" t="str">
        <f t="shared" si="0"/>
        <v/>
      </c>
      <c r="H11831" s="26" t="str">
        <f t="shared" si="1"/>
        <v/>
      </c>
      <c r="I11831" s="26" t="str">
        <f t="shared" si="2"/>
        <v/>
      </c>
      <c r="J11831" s="86">
        <f t="shared" si="3"/>
        <v>0</v>
      </c>
      <c r="R11831" s="26"/>
    </row>
    <row r="11832" spans="1:18" ht="15.75" customHeight="1">
      <c r="A11832" s="26"/>
      <c r="B11832" s="86"/>
      <c r="D11832" s="26"/>
      <c r="F11832" s="87" t="str">
        <f t="shared" si="0"/>
        <v/>
      </c>
      <c r="H11832" s="26" t="str">
        <f t="shared" si="1"/>
        <v/>
      </c>
      <c r="I11832" s="26" t="str">
        <f t="shared" si="2"/>
        <v/>
      </c>
      <c r="J11832" s="86">
        <f t="shared" si="3"/>
        <v>0</v>
      </c>
      <c r="R11832" s="26"/>
    </row>
    <row r="11833" spans="1:18" ht="15.75" customHeight="1">
      <c r="A11833" s="26"/>
      <c r="B11833" s="86"/>
      <c r="D11833" s="26"/>
      <c r="F11833" s="87" t="str">
        <f t="shared" si="0"/>
        <v/>
      </c>
      <c r="H11833" s="26" t="str">
        <f t="shared" si="1"/>
        <v/>
      </c>
      <c r="I11833" s="26" t="str">
        <f t="shared" si="2"/>
        <v/>
      </c>
      <c r="J11833" s="86">
        <f t="shared" si="3"/>
        <v>0</v>
      </c>
      <c r="R11833" s="26"/>
    </row>
    <row r="11834" spans="1:18" ht="15.75" customHeight="1">
      <c r="A11834" s="26"/>
      <c r="B11834" s="86"/>
      <c r="D11834" s="26"/>
      <c r="F11834" s="87" t="str">
        <f t="shared" si="0"/>
        <v/>
      </c>
      <c r="H11834" s="26" t="str">
        <f t="shared" si="1"/>
        <v/>
      </c>
      <c r="I11834" s="26" t="str">
        <f t="shared" si="2"/>
        <v/>
      </c>
      <c r="J11834" s="86">
        <f t="shared" si="3"/>
        <v>0</v>
      </c>
      <c r="R11834" s="26"/>
    </row>
    <row r="11835" spans="1:18" ht="15.75" customHeight="1">
      <c r="A11835" s="26"/>
      <c r="B11835" s="86"/>
      <c r="D11835" s="26"/>
      <c r="F11835" s="87" t="str">
        <f t="shared" si="0"/>
        <v/>
      </c>
      <c r="H11835" s="26" t="str">
        <f t="shared" si="1"/>
        <v/>
      </c>
      <c r="I11835" s="26" t="str">
        <f t="shared" si="2"/>
        <v/>
      </c>
      <c r="J11835" s="86">
        <f t="shared" si="3"/>
        <v>0</v>
      </c>
      <c r="R11835" s="26"/>
    </row>
    <row r="11836" spans="1:18" ht="15.75" customHeight="1">
      <c r="A11836" s="26"/>
      <c r="B11836" s="86"/>
      <c r="D11836" s="26"/>
      <c r="F11836" s="87" t="str">
        <f t="shared" si="0"/>
        <v/>
      </c>
      <c r="H11836" s="26" t="str">
        <f t="shared" si="1"/>
        <v/>
      </c>
      <c r="I11836" s="26" t="str">
        <f t="shared" si="2"/>
        <v/>
      </c>
      <c r="J11836" s="86">
        <f t="shared" si="3"/>
        <v>0</v>
      </c>
      <c r="R11836" s="26"/>
    </row>
    <row r="11837" spans="1:18" ht="15.75" customHeight="1">
      <c r="A11837" s="26"/>
      <c r="B11837" s="86"/>
      <c r="D11837" s="26"/>
      <c r="F11837" s="87" t="str">
        <f t="shared" si="0"/>
        <v/>
      </c>
      <c r="H11837" s="26" t="str">
        <f t="shared" si="1"/>
        <v/>
      </c>
      <c r="I11837" s="26" t="str">
        <f t="shared" si="2"/>
        <v/>
      </c>
      <c r="J11837" s="86">
        <f t="shared" si="3"/>
        <v>0</v>
      </c>
      <c r="R11837" s="26"/>
    </row>
    <row r="11838" spans="1:18" ht="15.75" customHeight="1">
      <c r="A11838" s="26"/>
      <c r="B11838" s="86"/>
      <c r="D11838" s="26"/>
      <c r="F11838" s="87" t="str">
        <f t="shared" si="0"/>
        <v/>
      </c>
      <c r="H11838" s="26" t="str">
        <f t="shared" si="1"/>
        <v/>
      </c>
      <c r="I11838" s="26" t="str">
        <f t="shared" si="2"/>
        <v/>
      </c>
      <c r="J11838" s="86">
        <f t="shared" si="3"/>
        <v>0</v>
      </c>
      <c r="R11838" s="26"/>
    </row>
    <row r="11839" spans="1:18" ht="15.75" customHeight="1">
      <c r="A11839" s="26"/>
      <c r="B11839" s="86"/>
      <c r="D11839" s="26"/>
      <c r="F11839" s="87" t="str">
        <f t="shared" si="0"/>
        <v/>
      </c>
      <c r="H11839" s="26" t="str">
        <f t="shared" si="1"/>
        <v/>
      </c>
      <c r="I11839" s="26" t="str">
        <f t="shared" si="2"/>
        <v/>
      </c>
      <c r="J11839" s="86">
        <f t="shared" si="3"/>
        <v>0</v>
      </c>
      <c r="R11839" s="26"/>
    </row>
    <row r="11840" spans="1:18" ht="15.75" customHeight="1">
      <c r="A11840" s="26"/>
      <c r="B11840" s="86"/>
      <c r="D11840" s="26"/>
      <c r="F11840" s="87" t="str">
        <f t="shared" si="0"/>
        <v/>
      </c>
      <c r="H11840" s="26" t="str">
        <f t="shared" si="1"/>
        <v/>
      </c>
      <c r="I11840" s="26" t="str">
        <f t="shared" si="2"/>
        <v/>
      </c>
      <c r="J11840" s="86">
        <f t="shared" si="3"/>
        <v>0</v>
      </c>
      <c r="R11840" s="26"/>
    </row>
    <row r="11841" spans="1:18" ht="15.75" customHeight="1">
      <c r="A11841" s="26"/>
      <c r="B11841" s="86"/>
      <c r="D11841" s="26"/>
      <c r="F11841" s="87" t="str">
        <f t="shared" si="0"/>
        <v/>
      </c>
      <c r="H11841" s="26" t="str">
        <f t="shared" si="1"/>
        <v/>
      </c>
      <c r="I11841" s="26" t="str">
        <f t="shared" si="2"/>
        <v/>
      </c>
      <c r="J11841" s="86">
        <f t="shared" si="3"/>
        <v>0</v>
      </c>
      <c r="R11841" s="26"/>
    </row>
    <row r="11842" spans="1:18" ht="15.75" customHeight="1">
      <c r="A11842" s="26"/>
      <c r="B11842" s="86"/>
      <c r="D11842" s="26"/>
      <c r="F11842" s="87" t="str">
        <f t="shared" si="0"/>
        <v/>
      </c>
      <c r="H11842" s="26" t="str">
        <f t="shared" si="1"/>
        <v/>
      </c>
      <c r="I11842" s="26" t="str">
        <f t="shared" si="2"/>
        <v/>
      </c>
      <c r="J11842" s="86">
        <f t="shared" si="3"/>
        <v>0</v>
      </c>
      <c r="R11842" s="26"/>
    </row>
    <row r="11843" spans="1:18" ht="15.75" customHeight="1">
      <c r="A11843" s="26"/>
      <c r="B11843" s="86"/>
      <c r="D11843" s="26"/>
      <c r="F11843" s="87" t="str">
        <f t="shared" si="0"/>
        <v/>
      </c>
      <c r="H11843" s="26" t="str">
        <f t="shared" si="1"/>
        <v/>
      </c>
      <c r="I11843" s="26" t="str">
        <f t="shared" si="2"/>
        <v/>
      </c>
      <c r="J11843" s="86">
        <f t="shared" si="3"/>
        <v>0</v>
      </c>
      <c r="R11843" s="26"/>
    </row>
    <row r="11844" spans="1:18" ht="15.75" customHeight="1">
      <c r="A11844" s="26"/>
      <c r="B11844" s="86"/>
      <c r="D11844" s="26"/>
      <c r="F11844" s="87" t="str">
        <f t="shared" si="0"/>
        <v/>
      </c>
      <c r="H11844" s="26" t="str">
        <f t="shared" si="1"/>
        <v/>
      </c>
      <c r="I11844" s="26" t="str">
        <f t="shared" si="2"/>
        <v/>
      </c>
      <c r="J11844" s="86">
        <f t="shared" si="3"/>
        <v>0</v>
      </c>
      <c r="R11844" s="26"/>
    </row>
    <row r="11845" spans="1:18" ht="15.75" customHeight="1">
      <c r="A11845" s="26"/>
      <c r="B11845" s="86"/>
      <c r="D11845" s="26"/>
      <c r="F11845" s="87" t="str">
        <f t="shared" si="0"/>
        <v/>
      </c>
      <c r="H11845" s="26" t="str">
        <f t="shared" si="1"/>
        <v/>
      </c>
      <c r="I11845" s="26" t="str">
        <f t="shared" si="2"/>
        <v/>
      </c>
      <c r="J11845" s="86">
        <f t="shared" si="3"/>
        <v>0</v>
      </c>
      <c r="R11845" s="26"/>
    </row>
    <row r="11846" spans="1:18" ht="15.75" customHeight="1">
      <c r="A11846" s="26"/>
      <c r="B11846" s="86"/>
      <c r="D11846" s="26"/>
      <c r="F11846" s="87" t="str">
        <f t="shared" si="0"/>
        <v/>
      </c>
      <c r="H11846" s="26" t="str">
        <f t="shared" si="1"/>
        <v/>
      </c>
      <c r="I11846" s="26" t="str">
        <f t="shared" si="2"/>
        <v/>
      </c>
      <c r="J11846" s="86">
        <f t="shared" si="3"/>
        <v>0</v>
      </c>
      <c r="R11846" s="26"/>
    </row>
    <row r="11847" spans="1:18" ht="15.75" customHeight="1">
      <c r="A11847" s="26"/>
      <c r="B11847" s="86"/>
      <c r="D11847" s="26"/>
      <c r="F11847" s="87" t="str">
        <f t="shared" si="0"/>
        <v/>
      </c>
      <c r="H11847" s="26" t="str">
        <f t="shared" si="1"/>
        <v/>
      </c>
      <c r="I11847" s="26" t="str">
        <f t="shared" si="2"/>
        <v/>
      </c>
      <c r="J11847" s="86">
        <f t="shared" si="3"/>
        <v>0</v>
      </c>
      <c r="R11847" s="26"/>
    </row>
    <row r="11848" spans="1:18" ht="15.75" customHeight="1">
      <c r="A11848" s="26"/>
      <c r="B11848" s="86"/>
      <c r="D11848" s="26"/>
      <c r="F11848" s="87" t="str">
        <f t="shared" si="0"/>
        <v/>
      </c>
      <c r="H11848" s="26" t="str">
        <f t="shared" si="1"/>
        <v/>
      </c>
      <c r="I11848" s="26" t="str">
        <f t="shared" si="2"/>
        <v/>
      </c>
      <c r="J11848" s="86">
        <f t="shared" si="3"/>
        <v>0</v>
      </c>
      <c r="R11848" s="26"/>
    </row>
    <row r="11849" spans="1:18" ht="15.75" customHeight="1">
      <c r="A11849" s="26"/>
      <c r="B11849" s="86"/>
      <c r="D11849" s="26"/>
      <c r="F11849" s="87" t="str">
        <f t="shared" si="0"/>
        <v/>
      </c>
      <c r="H11849" s="26" t="str">
        <f t="shared" si="1"/>
        <v/>
      </c>
      <c r="I11849" s="26" t="str">
        <f t="shared" si="2"/>
        <v/>
      </c>
      <c r="J11849" s="86">
        <f t="shared" si="3"/>
        <v>0</v>
      </c>
      <c r="R11849" s="26"/>
    </row>
    <row r="11850" spans="1:18" ht="15.75" customHeight="1">
      <c r="A11850" s="26"/>
      <c r="B11850" s="86"/>
      <c r="D11850" s="26"/>
      <c r="F11850" s="87" t="str">
        <f t="shared" si="0"/>
        <v/>
      </c>
      <c r="H11850" s="26" t="str">
        <f t="shared" si="1"/>
        <v/>
      </c>
      <c r="I11850" s="26" t="str">
        <f t="shared" si="2"/>
        <v/>
      </c>
      <c r="J11850" s="86">
        <f t="shared" si="3"/>
        <v>0</v>
      </c>
      <c r="R11850" s="26"/>
    </row>
    <row r="11851" spans="1:18" ht="15.75" customHeight="1">
      <c r="A11851" s="26"/>
      <c r="B11851" s="86"/>
      <c r="D11851" s="26"/>
      <c r="F11851" s="87" t="str">
        <f t="shared" si="0"/>
        <v/>
      </c>
      <c r="H11851" s="26" t="str">
        <f t="shared" si="1"/>
        <v/>
      </c>
      <c r="I11851" s="26" t="str">
        <f t="shared" si="2"/>
        <v/>
      </c>
      <c r="J11851" s="86">
        <f t="shared" si="3"/>
        <v>0</v>
      </c>
      <c r="R11851" s="26"/>
    </row>
    <row r="11852" spans="1:18" ht="15.75" customHeight="1">
      <c r="A11852" s="26"/>
      <c r="B11852" s="86"/>
      <c r="D11852" s="26"/>
      <c r="F11852" s="87" t="str">
        <f t="shared" si="0"/>
        <v/>
      </c>
      <c r="H11852" s="26" t="str">
        <f t="shared" si="1"/>
        <v/>
      </c>
      <c r="I11852" s="26" t="str">
        <f t="shared" si="2"/>
        <v/>
      </c>
      <c r="J11852" s="86">
        <f t="shared" si="3"/>
        <v>0</v>
      </c>
      <c r="R11852" s="26"/>
    </row>
    <row r="11853" spans="1:18" ht="15.75" customHeight="1">
      <c r="A11853" s="26"/>
      <c r="B11853" s="86"/>
      <c r="D11853" s="26"/>
      <c r="F11853" s="87" t="str">
        <f t="shared" si="0"/>
        <v/>
      </c>
      <c r="H11853" s="26" t="str">
        <f t="shared" si="1"/>
        <v/>
      </c>
      <c r="I11853" s="26" t="str">
        <f t="shared" si="2"/>
        <v/>
      </c>
      <c r="J11853" s="86">
        <f t="shared" si="3"/>
        <v>0</v>
      </c>
      <c r="R11853" s="26"/>
    </row>
    <row r="11854" spans="1:18" ht="15.75" customHeight="1">
      <c r="A11854" s="26"/>
      <c r="B11854" s="86"/>
      <c r="D11854" s="26"/>
      <c r="F11854" s="87" t="str">
        <f t="shared" si="0"/>
        <v/>
      </c>
      <c r="H11854" s="26" t="str">
        <f t="shared" si="1"/>
        <v/>
      </c>
      <c r="I11854" s="26" t="str">
        <f t="shared" si="2"/>
        <v/>
      </c>
      <c r="J11854" s="86">
        <f t="shared" si="3"/>
        <v>0</v>
      </c>
      <c r="R11854" s="26"/>
    </row>
    <row r="11855" spans="1:18" ht="15.75" customHeight="1">
      <c r="A11855" s="26"/>
      <c r="B11855" s="86"/>
      <c r="D11855" s="26"/>
      <c r="F11855" s="87" t="str">
        <f t="shared" si="0"/>
        <v/>
      </c>
      <c r="H11855" s="26" t="str">
        <f t="shared" si="1"/>
        <v/>
      </c>
      <c r="I11855" s="26" t="str">
        <f t="shared" si="2"/>
        <v/>
      </c>
      <c r="J11855" s="86">
        <f t="shared" si="3"/>
        <v>0</v>
      </c>
      <c r="R11855" s="26"/>
    </row>
    <row r="11856" spans="1:18" ht="15.75" customHeight="1">
      <c r="A11856" s="26"/>
      <c r="B11856" s="86"/>
      <c r="D11856" s="26"/>
      <c r="F11856" s="87" t="str">
        <f t="shared" si="0"/>
        <v/>
      </c>
      <c r="H11856" s="26" t="str">
        <f t="shared" si="1"/>
        <v/>
      </c>
      <c r="I11856" s="26" t="str">
        <f t="shared" si="2"/>
        <v/>
      </c>
      <c r="J11856" s="86">
        <f t="shared" si="3"/>
        <v>0</v>
      </c>
      <c r="R11856" s="26"/>
    </row>
    <row r="11857" spans="1:18" ht="15.75" customHeight="1">
      <c r="A11857" s="26"/>
      <c r="B11857" s="86"/>
      <c r="D11857" s="26"/>
      <c r="F11857" s="87" t="str">
        <f t="shared" si="0"/>
        <v/>
      </c>
      <c r="H11857" s="26" t="str">
        <f t="shared" si="1"/>
        <v/>
      </c>
      <c r="I11857" s="26" t="str">
        <f t="shared" si="2"/>
        <v/>
      </c>
      <c r="J11857" s="86">
        <f t="shared" si="3"/>
        <v>0</v>
      </c>
      <c r="R11857" s="26"/>
    </row>
    <row r="11858" spans="1:18" ht="15.75" customHeight="1">
      <c r="A11858" s="26"/>
      <c r="B11858" s="86"/>
      <c r="D11858" s="26"/>
      <c r="F11858" s="87" t="str">
        <f t="shared" si="0"/>
        <v/>
      </c>
      <c r="H11858" s="26" t="str">
        <f t="shared" si="1"/>
        <v/>
      </c>
      <c r="I11858" s="26" t="str">
        <f t="shared" si="2"/>
        <v/>
      </c>
      <c r="J11858" s="86">
        <f t="shared" si="3"/>
        <v>0</v>
      </c>
      <c r="R11858" s="26"/>
    </row>
    <row r="11859" spans="1:18" ht="15.75" customHeight="1">
      <c r="A11859" s="26"/>
      <c r="B11859" s="86"/>
      <c r="D11859" s="26"/>
      <c r="F11859" s="87" t="str">
        <f t="shared" si="0"/>
        <v/>
      </c>
      <c r="H11859" s="26" t="str">
        <f t="shared" si="1"/>
        <v/>
      </c>
      <c r="I11859" s="26" t="str">
        <f t="shared" si="2"/>
        <v/>
      </c>
      <c r="J11859" s="86">
        <f t="shared" si="3"/>
        <v>0</v>
      </c>
      <c r="R11859" s="26"/>
    </row>
    <row r="11860" spans="1:18" ht="15.75" customHeight="1">
      <c r="A11860" s="26"/>
      <c r="B11860" s="86"/>
      <c r="D11860" s="26"/>
      <c r="F11860" s="87" t="str">
        <f t="shared" si="0"/>
        <v/>
      </c>
      <c r="H11860" s="26" t="str">
        <f t="shared" si="1"/>
        <v/>
      </c>
      <c r="I11860" s="26" t="str">
        <f t="shared" si="2"/>
        <v/>
      </c>
      <c r="J11860" s="86">
        <f t="shared" si="3"/>
        <v>0</v>
      </c>
      <c r="R11860" s="26"/>
    </row>
    <row r="11861" spans="1:18" ht="15.75" customHeight="1">
      <c r="A11861" s="26"/>
      <c r="B11861" s="86"/>
      <c r="D11861" s="26"/>
      <c r="F11861" s="87" t="str">
        <f t="shared" si="0"/>
        <v/>
      </c>
      <c r="H11861" s="26" t="str">
        <f t="shared" si="1"/>
        <v/>
      </c>
      <c r="I11861" s="26" t="str">
        <f t="shared" si="2"/>
        <v/>
      </c>
      <c r="J11861" s="86">
        <f t="shared" si="3"/>
        <v>0</v>
      </c>
      <c r="R11861" s="26"/>
    </row>
    <row r="11862" spans="1:18" ht="15.75" customHeight="1">
      <c r="A11862" s="26"/>
      <c r="B11862" s="86"/>
      <c r="D11862" s="26"/>
      <c r="F11862" s="87" t="str">
        <f t="shared" si="0"/>
        <v/>
      </c>
      <c r="H11862" s="26" t="str">
        <f t="shared" si="1"/>
        <v/>
      </c>
      <c r="I11862" s="26" t="str">
        <f t="shared" si="2"/>
        <v/>
      </c>
      <c r="J11862" s="86">
        <f t="shared" si="3"/>
        <v>0</v>
      </c>
      <c r="R11862" s="26"/>
    </row>
    <row r="11863" spans="1:18" ht="15.75" customHeight="1">
      <c r="A11863" s="26"/>
      <c r="B11863" s="86"/>
      <c r="D11863" s="26"/>
      <c r="F11863" s="87" t="str">
        <f t="shared" si="0"/>
        <v/>
      </c>
      <c r="H11863" s="26" t="str">
        <f t="shared" si="1"/>
        <v/>
      </c>
      <c r="I11863" s="26" t="str">
        <f t="shared" si="2"/>
        <v/>
      </c>
      <c r="J11863" s="86">
        <f t="shared" si="3"/>
        <v>0</v>
      </c>
      <c r="R11863" s="26"/>
    </row>
    <row r="11864" spans="1:18" ht="15.75" customHeight="1">
      <c r="A11864" s="26"/>
      <c r="B11864" s="86"/>
      <c r="D11864" s="26"/>
      <c r="F11864" s="87" t="str">
        <f t="shared" si="0"/>
        <v/>
      </c>
      <c r="H11864" s="26" t="str">
        <f t="shared" si="1"/>
        <v/>
      </c>
      <c r="I11864" s="26" t="str">
        <f t="shared" si="2"/>
        <v/>
      </c>
      <c r="J11864" s="86">
        <f t="shared" si="3"/>
        <v>0</v>
      </c>
      <c r="R11864" s="26"/>
    </row>
    <row r="11865" spans="1:18" ht="15.75" customHeight="1">
      <c r="A11865" s="26"/>
      <c r="B11865" s="86"/>
      <c r="D11865" s="26"/>
      <c r="F11865" s="87" t="str">
        <f t="shared" si="0"/>
        <v/>
      </c>
      <c r="H11865" s="26" t="str">
        <f t="shared" si="1"/>
        <v/>
      </c>
      <c r="I11865" s="26" t="str">
        <f t="shared" si="2"/>
        <v/>
      </c>
      <c r="J11865" s="86">
        <f t="shared" si="3"/>
        <v>0</v>
      </c>
      <c r="R11865" s="26"/>
    </row>
    <row r="11866" spans="1:18" ht="15.75" customHeight="1">
      <c r="A11866" s="26"/>
      <c r="B11866" s="86"/>
      <c r="D11866" s="26"/>
      <c r="F11866" s="87" t="str">
        <f t="shared" si="0"/>
        <v/>
      </c>
      <c r="H11866" s="26" t="str">
        <f t="shared" si="1"/>
        <v/>
      </c>
      <c r="I11866" s="26" t="str">
        <f t="shared" si="2"/>
        <v/>
      </c>
      <c r="J11866" s="86">
        <f t="shared" si="3"/>
        <v>0</v>
      </c>
      <c r="R11866" s="26"/>
    </row>
    <row r="11867" spans="1:18" ht="15.75" customHeight="1">
      <c r="A11867" s="26"/>
      <c r="B11867" s="86"/>
      <c r="D11867" s="26"/>
      <c r="F11867" s="87" t="str">
        <f t="shared" si="0"/>
        <v/>
      </c>
      <c r="H11867" s="26" t="str">
        <f t="shared" si="1"/>
        <v/>
      </c>
      <c r="I11867" s="26" t="str">
        <f t="shared" si="2"/>
        <v/>
      </c>
      <c r="J11867" s="86">
        <f t="shared" si="3"/>
        <v>0</v>
      </c>
      <c r="R11867" s="26"/>
    </row>
    <row r="11868" spans="1:18" ht="15.75" customHeight="1">
      <c r="A11868" s="26"/>
      <c r="B11868" s="86"/>
      <c r="D11868" s="26"/>
      <c r="F11868" s="87" t="str">
        <f t="shared" si="0"/>
        <v/>
      </c>
      <c r="H11868" s="26" t="str">
        <f t="shared" si="1"/>
        <v/>
      </c>
      <c r="I11868" s="26" t="str">
        <f t="shared" si="2"/>
        <v/>
      </c>
      <c r="J11868" s="86">
        <f t="shared" si="3"/>
        <v>0</v>
      </c>
      <c r="R11868" s="26"/>
    </row>
    <row r="11869" spans="1:18" ht="15.75" customHeight="1">
      <c r="A11869" s="26"/>
      <c r="B11869" s="86"/>
      <c r="D11869" s="26"/>
      <c r="F11869" s="87" t="str">
        <f t="shared" si="0"/>
        <v/>
      </c>
      <c r="H11869" s="26" t="str">
        <f t="shared" si="1"/>
        <v/>
      </c>
      <c r="I11869" s="26" t="str">
        <f t="shared" si="2"/>
        <v/>
      </c>
      <c r="J11869" s="86">
        <f t="shared" si="3"/>
        <v>0</v>
      </c>
      <c r="R11869" s="26"/>
    </row>
    <row r="11870" spans="1:18" ht="15.75" customHeight="1">
      <c r="A11870" s="26"/>
      <c r="B11870" s="86"/>
      <c r="D11870" s="26"/>
      <c r="F11870" s="87" t="str">
        <f t="shared" si="0"/>
        <v/>
      </c>
      <c r="H11870" s="26" t="str">
        <f t="shared" si="1"/>
        <v/>
      </c>
      <c r="I11870" s="26" t="str">
        <f t="shared" si="2"/>
        <v/>
      </c>
      <c r="J11870" s="86">
        <f t="shared" si="3"/>
        <v>0</v>
      </c>
      <c r="R11870" s="26"/>
    </row>
    <row r="11871" spans="1:18" ht="15.75" customHeight="1">
      <c r="A11871" s="26"/>
      <c r="B11871" s="86"/>
      <c r="D11871" s="26"/>
      <c r="F11871" s="87" t="str">
        <f t="shared" si="0"/>
        <v/>
      </c>
      <c r="H11871" s="26" t="str">
        <f t="shared" si="1"/>
        <v/>
      </c>
      <c r="I11871" s="26" t="str">
        <f t="shared" si="2"/>
        <v/>
      </c>
      <c r="J11871" s="86">
        <f t="shared" si="3"/>
        <v>0</v>
      </c>
      <c r="R11871" s="26"/>
    </row>
    <row r="11872" spans="1:18" ht="15.75" customHeight="1">
      <c r="A11872" s="26"/>
      <c r="B11872" s="86"/>
      <c r="D11872" s="26"/>
      <c r="F11872" s="87" t="str">
        <f t="shared" si="0"/>
        <v/>
      </c>
      <c r="H11872" s="26" t="str">
        <f t="shared" si="1"/>
        <v/>
      </c>
      <c r="I11872" s="26" t="str">
        <f t="shared" si="2"/>
        <v/>
      </c>
      <c r="J11872" s="86">
        <f t="shared" si="3"/>
        <v>0</v>
      </c>
      <c r="R11872" s="26"/>
    </row>
    <row r="11873" spans="1:18" ht="15.75" customHeight="1">
      <c r="A11873" s="26"/>
      <c r="B11873" s="86"/>
      <c r="D11873" s="26"/>
      <c r="F11873" s="87" t="str">
        <f t="shared" si="0"/>
        <v/>
      </c>
      <c r="H11873" s="26" t="str">
        <f t="shared" si="1"/>
        <v/>
      </c>
      <c r="I11873" s="26" t="str">
        <f t="shared" si="2"/>
        <v/>
      </c>
      <c r="J11873" s="86">
        <f t="shared" si="3"/>
        <v>0</v>
      </c>
      <c r="R11873" s="26"/>
    </row>
    <row r="11874" spans="1:18" ht="15.75" customHeight="1">
      <c r="A11874" s="26"/>
      <c r="B11874" s="86"/>
      <c r="D11874" s="26"/>
      <c r="F11874" s="87" t="str">
        <f t="shared" si="0"/>
        <v/>
      </c>
      <c r="H11874" s="26" t="str">
        <f t="shared" si="1"/>
        <v/>
      </c>
      <c r="I11874" s="26" t="str">
        <f t="shared" si="2"/>
        <v/>
      </c>
      <c r="J11874" s="86">
        <f t="shared" si="3"/>
        <v>0</v>
      </c>
      <c r="R11874" s="26"/>
    </row>
    <row r="11875" spans="1:18" ht="15.75" customHeight="1">
      <c r="A11875" s="26"/>
      <c r="B11875" s="86"/>
      <c r="D11875" s="26"/>
      <c r="F11875" s="87" t="str">
        <f t="shared" si="0"/>
        <v/>
      </c>
      <c r="H11875" s="26" t="str">
        <f t="shared" si="1"/>
        <v/>
      </c>
      <c r="I11875" s="26" t="str">
        <f t="shared" si="2"/>
        <v/>
      </c>
      <c r="J11875" s="86">
        <f t="shared" si="3"/>
        <v>0</v>
      </c>
      <c r="R11875" s="26"/>
    </row>
    <row r="11876" spans="1:18" ht="15.75" customHeight="1">
      <c r="A11876" s="26"/>
      <c r="B11876" s="86"/>
      <c r="D11876" s="26"/>
      <c r="F11876" s="87" t="str">
        <f t="shared" si="0"/>
        <v/>
      </c>
      <c r="H11876" s="26" t="str">
        <f t="shared" si="1"/>
        <v/>
      </c>
      <c r="I11876" s="26" t="str">
        <f t="shared" si="2"/>
        <v/>
      </c>
      <c r="J11876" s="86">
        <f t="shared" si="3"/>
        <v>0</v>
      </c>
      <c r="R11876" s="26"/>
    </row>
    <row r="11877" spans="1:18" ht="15.75" customHeight="1">
      <c r="A11877" s="26"/>
      <c r="B11877" s="86"/>
      <c r="D11877" s="26"/>
      <c r="F11877" s="87" t="str">
        <f t="shared" si="0"/>
        <v/>
      </c>
      <c r="H11877" s="26" t="str">
        <f t="shared" si="1"/>
        <v/>
      </c>
      <c r="I11877" s="26" t="str">
        <f t="shared" si="2"/>
        <v/>
      </c>
      <c r="J11877" s="86">
        <f t="shared" si="3"/>
        <v>0</v>
      </c>
      <c r="R11877" s="26"/>
    </row>
    <row r="11878" spans="1:18" ht="15.75" customHeight="1">
      <c r="A11878" s="26"/>
      <c r="B11878" s="86"/>
      <c r="D11878" s="26"/>
      <c r="F11878" s="87" t="str">
        <f t="shared" si="0"/>
        <v/>
      </c>
      <c r="H11878" s="26" t="str">
        <f t="shared" si="1"/>
        <v/>
      </c>
      <c r="I11878" s="26" t="str">
        <f t="shared" si="2"/>
        <v/>
      </c>
      <c r="J11878" s="86">
        <f t="shared" si="3"/>
        <v>0</v>
      </c>
      <c r="R11878" s="26"/>
    </row>
    <row r="11879" spans="1:18" ht="15.75" customHeight="1">
      <c r="A11879" s="26"/>
      <c r="B11879" s="86"/>
      <c r="D11879" s="26"/>
      <c r="F11879" s="87" t="str">
        <f t="shared" si="0"/>
        <v/>
      </c>
      <c r="H11879" s="26" t="str">
        <f t="shared" si="1"/>
        <v/>
      </c>
      <c r="I11879" s="26" t="str">
        <f t="shared" si="2"/>
        <v/>
      </c>
      <c r="J11879" s="86">
        <f t="shared" si="3"/>
        <v>0</v>
      </c>
      <c r="R11879" s="26"/>
    </row>
    <row r="11880" spans="1:18" ht="15.75" customHeight="1">
      <c r="A11880" s="26"/>
      <c r="B11880" s="86"/>
      <c r="D11880" s="26"/>
      <c r="F11880" s="87" t="str">
        <f t="shared" si="0"/>
        <v/>
      </c>
      <c r="H11880" s="26" t="str">
        <f t="shared" si="1"/>
        <v/>
      </c>
      <c r="I11880" s="26" t="str">
        <f t="shared" si="2"/>
        <v/>
      </c>
      <c r="J11880" s="86">
        <f t="shared" si="3"/>
        <v>0</v>
      </c>
      <c r="R11880" s="26"/>
    </row>
    <row r="11881" spans="1:18" ht="15.75" customHeight="1">
      <c r="A11881" s="26"/>
      <c r="B11881" s="86"/>
      <c r="D11881" s="26"/>
      <c r="F11881" s="87" t="str">
        <f t="shared" si="0"/>
        <v/>
      </c>
      <c r="H11881" s="26" t="str">
        <f t="shared" si="1"/>
        <v/>
      </c>
      <c r="I11881" s="26" t="str">
        <f t="shared" si="2"/>
        <v/>
      </c>
      <c r="J11881" s="86">
        <f t="shared" si="3"/>
        <v>0</v>
      </c>
      <c r="R11881" s="26"/>
    </row>
    <row r="11882" spans="1:18" ht="15.75" customHeight="1">
      <c r="A11882" s="26"/>
      <c r="B11882" s="86"/>
      <c r="D11882" s="26"/>
      <c r="F11882" s="87" t="str">
        <f t="shared" si="0"/>
        <v/>
      </c>
      <c r="H11882" s="26" t="str">
        <f t="shared" si="1"/>
        <v/>
      </c>
      <c r="I11882" s="26" t="str">
        <f t="shared" si="2"/>
        <v/>
      </c>
      <c r="J11882" s="86">
        <f t="shared" si="3"/>
        <v>0</v>
      </c>
      <c r="R11882" s="26"/>
    </row>
    <row r="11883" spans="1:18" ht="15.75" customHeight="1">
      <c r="A11883" s="26"/>
      <c r="B11883" s="86"/>
      <c r="D11883" s="26"/>
      <c r="F11883" s="87" t="str">
        <f t="shared" si="0"/>
        <v/>
      </c>
      <c r="H11883" s="26" t="str">
        <f t="shared" si="1"/>
        <v/>
      </c>
      <c r="I11883" s="26" t="str">
        <f t="shared" si="2"/>
        <v/>
      </c>
      <c r="J11883" s="86">
        <f t="shared" si="3"/>
        <v>0</v>
      </c>
      <c r="R11883" s="26"/>
    </row>
    <row r="11884" spans="1:18" ht="15.75" customHeight="1">
      <c r="A11884" s="26"/>
      <c r="B11884" s="86"/>
      <c r="D11884" s="26"/>
      <c r="F11884" s="87" t="str">
        <f t="shared" si="0"/>
        <v/>
      </c>
      <c r="H11884" s="26" t="str">
        <f t="shared" si="1"/>
        <v/>
      </c>
      <c r="I11884" s="26" t="str">
        <f t="shared" si="2"/>
        <v/>
      </c>
      <c r="J11884" s="86">
        <f t="shared" si="3"/>
        <v>0</v>
      </c>
      <c r="R11884" s="26"/>
    </row>
    <row r="11885" spans="1:18" ht="15.75" customHeight="1">
      <c r="A11885" s="26"/>
      <c r="B11885" s="86"/>
      <c r="D11885" s="26"/>
      <c r="F11885" s="87" t="str">
        <f t="shared" si="0"/>
        <v/>
      </c>
      <c r="H11885" s="26" t="str">
        <f t="shared" si="1"/>
        <v/>
      </c>
      <c r="I11885" s="26" t="str">
        <f t="shared" si="2"/>
        <v/>
      </c>
      <c r="J11885" s="86">
        <f t="shared" si="3"/>
        <v>0</v>
      </c>
      <c r="R11885" s="26"/>
    </row>
    <row r="11886" spans="1:18" ht="15.75" customHeight="1">
      <c r="A11886" s="26"/>
      <c r="B11886" s="86"/>
      <c r="D11886" s="26"/>
      <c r="F11886" s="87" t="str">
        <f t="shared" si="0"/>
        <v/>
      </c>
      <c r="H11886" s="26" t="str">
        <f t="shared" si="1"/>
        <v/>
      </c>
      <c r="I11886" s="26" t="str">
        <f t="shared" si="2"/>
        <v/>
      </c>
      <c r="J11886" s="86">
        <f t="shared" si="3"/>
        <v>0</v>
      </c>
      <c r="R11886" s="26"/>
    </row>
    <row r="11887" spans="1:18" ht="15.75" customHeight="1">
      <c r="A11887" s="26"/>
      <c r="B11887" s="86"/>
      <c r="D11887" s="26"/>
      <c r="F11887" s="87" t="str">
        <f t="shared" si="0"/>
        <v/>
      </c>
      <c r="H11887" s="26" t="str">
        <f t="shared" si="1"/>
        <v/>
      </c>
      <c r="I11887" s="26" t="str">
        <f t="shared" si="2"/>
        <v/>
      </c>
      <c r="J11887" s="86">
        <f t="shared" si="3"/>
        <v>0</v>
      </c>
      <c r="R11887" s="26"/>
    </row>
    <row r="11888" spans="1:18" ht="15.75" customHeight="1">
      <c r="A11888" s="26"/>
      <c r="B11888" s="86"/>
      <c r="D11888" s="26"/>
      <c r="F11888" s="87" t="str">
        <f t="shared" si="0"/>
        <v/>
      </c>
      <c r="H11888" s="26" t="str">
        <f t="shared" si="1"/>
        <v/>
      </c>
      <c r="I11888" s="26" t="str">
        <f t="shared" si="2"/>
        <v/>
      </c>
      <c r="J11888" s="86">
        <f t="shared" si="3"/>
        <v>0</v>
      </c>
      <c r="R11888" s="26"/>
    </row>
    <row r="11889" spans="1:18" ht="15.75" customHeight="1">
      <c r="A11889" s="26"/>
      <c r="B11889" s="86"/>
      <c r="D11889" s="26"/>
      <c r="F11889" s="87" t="str">
        <f t="shared" si="0"/>
        <v/>
      </c>
      <c r="H11889" s="26" t="str">
        <f t="shared" si="1"/>
        <v/>
      </c>
      <c r="I11889" s="26" t="str">
        <f t="shared" si="2"/>
        <v/>
      </c>
      <c r="J11889" s="86">
        <f t="shared" si="3"/>
        <v>0</v>
      </c>
      <c r="R11889" s="26"/>
    </row>
    <row r="11890" spans="1:18" ht="15.75" customHeight="1">
      <c r="A11890" s="26"/>
      <c r="B11890" s="86"/>
      <c r="D11890" s="26"/>
      <c r="F11890" s="87" t="str">
        <f t="shared" si="0"/>
        <v/>
      </c>
      <c r="H11890" s="26" t="str">
        <f t="shared" si="1"/>
        <v/>
      </c>
      <c r="I11890" s="26" t="str">
        <f t="shared" si="2"/>
        <v/>
      </c>
      <c r="J11890" s="86">
        <f t="shared" si="3"/>
        <v>0</v>
      </c>
      <c r="R11890" s="26"/>
    </row>
    <row r="11891" spans="1:18" ht="15.75" customHeight="1">
      <c r="A11891" s="26"/>
      <c r="B11891" s="86"/>
      <c r="D11891" s="26"/>
      <c r="F11891" s="87" t="str">
        <f t="shared" si="0"/>
        <v/>
      </c>
      <c r="H11891" s="26" t="str">
        <f t="shared" si="1"/>
        <v/>
      </c>
      <c r="I11891" s="26" t="str">
        <f t="shared" si="2"/>
        <v/>
      </c>
      <c r="J11891" s="86">
        <f t="shared" si="3"/>
        <v>0</v>
      </c>
      <c r="R11891" s="26"/>
    </row>
    <row r="11892" spans="1:18" ht="15.75" customHeight="1">
      <c r="A11892" s="26"/>
      <c r="B11892" s="86"/>
      <c r="D11892" s="26"/>
      <c r="F11892" s="87" t="str">
        <f t="shared" si="0"/>
        <v/>
      </c>
      <c r="H11892" s="26" t="str">
        <f t="shared" si="1"/>
        <v/>
      </c>
      <c r="I11892" s="26" t="str">
        <f t="shared" si="2"/>
        <v/>
      </c>
      <c r="J11892" s="86">
        <f t="shared" si="3"/>
        <v>0</v>
      </c>
      <c r="R11892" s="26"/>
    </row>
    <row r="11893" spans="1:18" ht="15.75" customHeight="1">
      <c r="A11893" s="26"/>
      <c r="B11893" s="86"/>
      <c r="D11893" s="26"/>
      <c r="F11893" s="87" t="str">
        <f t="shared" si="0"/>
        <v/>
      </c>
      <c r="H11893" s="26" t="str">
        <f t="shared" si="1"/>
        <v/>
      </c>
      <c r="I11893" s="26" t="str">
        <f t="shared" si="2"/>
        <v/>
      </c>
      <c r="J11893" s="86">
        <f t="shared" si="3"/>
        <v>0</v>
      </c>
      <c r="R11893" s="26"/>
    </row>
    <row r="11894" spans="1:18" ht="15.75" customHeight="1">
      <c r="A11894" s="26"/>
      <c r="B11894" s="86"/>
      <c r="D11894" s="26"/>
      <c r="F11894" s="87" t="str">
        <f t="shared" si="0"/>
        <v/>
      </c>
      <c r="H11894" s="26" t="str">
        <f t="shared" si="1"/>
        <v/>
      </c>
      <c r="I11894" s="26" t="str">
        <f t="shared" si="2"/>
        <v/>
      </c>
      <c r="J11894" s="86">
        <f t="shared" si="3"/>
        <v>0</v>
      </c>
      <c r="R11894" s="26"/>
    </row>
    <row r="11895" spans="1:18" ht="15.75" customHeight="1">
      <c r="A11895" s="26"/>
      <c r="B11895" s="86"/>
      <c r="D11895" s="26"/>
      <c r="F11895" s="87" t="str">
        <f t="shared" si="0"/>
        <v/>
      </c>
      <c r="H11895" s="26" t="str">
        <f t="shared" si="1"/>
        <v/>
      </c>
      <c r="I11895" s="26" t="str">
        <f t="shared" si="2"/>
        <v/>
      </c>
      <c r="J11895" s="86">
        <f t="shared" si="3"/>
        <v>0</v>
      </c>
      <c r="R11895" s="26"/>
    </row>
    <row r="11896" spans="1:18" ht="15.75" customHeight="1">
      <c r="A11896" s="26"/>
      <c r="B11896" s="86"/>
      <c r="D11896" s="26"/>
      <c r="F11896" s="87" t="str">
        <f t="shared" si="0"/>
        <v/>
      </c>
      <c r="H11896" s="26" t="str">
        <f t="shared" si="1"/>
        <v/>
      </c>
      <c r="I11896" s="26" t="str">
        <f t="shared" si="2"/>
        <v/>
      </c>
      <c r="J11896" s="86">
        <f t="shared" si="3"/>
        <v>0</v>
      </c>
      <c r="R11896" s="26"/>
    </row>
    <row r="11897" spans="1:18" ht="15.75" customHeight="1">
      <c r="A11897" s="26"/>
      <c r="B11897" s="86"/>
      <c r="D11897" s="26"/>
      <c r="F11897" s="87" t="str">
        <f t="shared" si="0"/>
        <v/>
      </c>
      <c r="H11897" s="26" t="str">
        <f t="shared" si="1"/>
        <v/>
      </c>
      <c r="I11897" s="26" t="str">
        <f t="shared" si="2"/>
        <v/>
      </c>
      <c r="J11897" s="86">
        <f t="shared" si="3"/>
        <v>0</v>
      </c>
      <c r="R11897" s="26"/>
    </row>
    <row r="11898" spans="1:18" ht="15.75" customHeight="1">
      <c r="A11898" s="26"/>
      <c r="B11898" s="86"/>
      <c r="D11898" s="26"/>
      <c r="F11898" s="87" t="str">
        <f t="shared" si="0"/>
        <v/>
      </c>
      <c r="H11898" s="26" t="str">
        <f t="shared" si="1"/>
        <v/>
      </c>
      <c r="I11898" s="26" t="str">
        <f t="shared" si="2"/>
        <v/>
      </c>
      <c r="J11898" s="86">
        <f t="shared" si="3"/>
        <v>0</v>
      </c>
      <c r="R11898" s="26"/>
    </row>
    <row r="11899" spans="1:18" ht="15.75" customHeight="1">
      <c r="A11899" s="26"/>
      <c r="B11899" s="86"/>
      <c r="D11899" s="26"/>
      <c r="F11899" s="87" t="str">
        <f t="shared" si="0"/>
        <v/>
      </c>
      <c r="H11899" s="26" t="str">
        <f t="shared" si="1"/>
        <v/>
      </c>
      <c r="I11899" s="26" t="str">
        <f t="shared" si="2"/>
        <v/>
      </c>
      <c r="J11899" s="86">
        <f t="shared" si="3"/>
        <v>0</v>
      </c>
      <c r="R11899" s="26"/>
    </row>
    <row r="11900" spans="1:18" ht="15.75" customHeight="1">
      <c r="A11900" s="26"/>
      <c r="B11900" s="86"/>
      <c r="D11900" s="26"/>
      <c r="F11900" s="87" t="str">
        <f t="shared" si="0"/>
        <v/>
      </c>
      <c r="H11900" s="26" t="str">
        <f t="shared" si="1"/>
        <v/>
      </c>
      <c r="I11900" s="26" t="str">
        <f t="shared" si="2"/>
        <v/>
      </c>
      <c r="J11900" s="86">
        <f t="shared" si="3"/>
        <v>0</v>
      </c>
      <c r="R11900" s="26"/>
    </row>
    <row r="11901" spans="1:18" ht="15.75" customHeight="1">
      <c r="A11901" s="26"/>
      <c r="B11901" s="86"/>
      <c r="D11901" s="26"/>
      <c r="F11901" s="87" t="str">
        <f t="shared" si="0"/>
        <v/>
      </c>
      <c r="H11901" s="26" t="str">
        <f t="shared" si="1"/>
        <v/>
      </c>
      <c r="I11901" s="26" t="str">
        <f t="shared" si="2"/>
        <v/>
      </c>
      <c r="J11901" s="86">
        <f t="shared" si="3"/>
        <v>0</v>
      </c>
      <c r="R11901" s="26"/>
    </row>
    <row r="11902" spans="1:18" ht="15.75" customHeight="1">
      <c r="A11902" s="26"/>
      <c r="B11902" s="86"/>
      <c r="D11902" s="26"/>
      <c r="F11902" s="87" t="str">
        <f t="shared" si="0"/>
        <v/>
      </c>
      <c r="H11902" s="26" t="str">
        <f t="shared" si="1"/>
        <v/>
      </c>
      <c r="I11902" s="26" t="str">
        <f t="shared" si="2"/>
        <v/>
      </c>
      <c r="J11902" s="86">
        <f t="shared" si="3"/>
        <v>0</v>
      </c>
      <c r="R11902" s="26"/>
    </row>
    <row r="11903" spans="1:18" ht="15.75" customHeight="1">
      <c r="A11903" s="26"/>
      <c r="B11903" s="86"/>
      <c r="D11903" s="26"/>
      <c r="F11903" s="87" t="str">
        <f t="shared" si="0"/>
        <v/>
      </c>
      <c r="H11903" s="26" t="str">
        <f t="shared" si="1"/>
        <v/>
      </c>
      <c r="I11903" s="26" t="str">
        <f t="shared" si="2"/>
        <v/>
      </c>
      <c r="J11903" s="86">
        <f t="shared" si="3"/>
        <v>0</v>
      </c>
      <c r="R11903" s="26"/>
    </row>
    <row r="11904" spans="1:18" ht="15.75" customHeight="1">
      <c r="A11904" s="26"/>
      <c r="B11904" s="86"/>
      <c r="D11904" s="26"/>
      <c r="F11904" s="87" t="str">
        <f t="shared" si="0"/>
        <v/>
      </c>
      <c r="H11904" s="26" t="str">
        <f t="shared" si="1"/>
        <v/>
      </c>
      <c r="I11904" s="26" t="str">
        <f t="shared" si="2"/>
        <v/>
      </c>
      <c r="J11904" s="86">
        <f t="shared" si="3"/>
        <v>0</v>
      </c>
      <c r="R11904" s="26"/>
    </row>
    <row r="11905" spans="1:18" ht="15.75" customHeight="1">
      <c r="A11905" s="26"/>
      <c r="B11905" s="86"/>
      <c r="D11905" s="26"/>
      <c r="F11905" s="87" t="str">
        <f t="shared" si="0"/>
        <v/>
      </c>
      <c r="H11905" s="26" t="str">
        <f t="shared" si="1"/>
        <v/>
      </c>
      <c r="I11905" s="26" t="str">
        <f t="shared" si="2"/>
        <v/>
      </c>
      <c r="J11905" s="86">
        <f t="shared" si="3"/>
        <v>0</v>
      </c>
      <c r="R11905" s="26"/>
    </row>
    <row r="11906" spans="1:18" ht="15.75" customHeight="1">
      <c r="A11906" s="26"/>
      <c r="B11906" s="86"/>
      <c r="D11906" s="26"/>
      <c r="F11906" s="87" t="str">
        <f t="shared" si="0"/>
        <v/>
      </c>
      <c r="H11906" s="26" t="str">
        <f t="shared" si="1"/>
        <v/>
      </c>
      <c r="I11906" s="26" t="str">
        <f t="shared" si="2"/>
        <v/>
      </c>
      <c r="J11906" s="86">
        <f t="shared" si="3"/>
        <v>0</v>
      </c>
      <c r="R11906" s="26"/>
    </row>
    <row r="11907" spans="1:18" ht="15.75" customHeight="1">
      <c r="A11907" s="26"/>
      <c r="B11907" s="86"/>
      <c r="D11907" s="26"/>
      <c r="F11907" s="87" t="str">
        <f t="shared" si="0"/>
        <v/>
      </c>
      <c r="H11907" s="26" t="str">
        <f t="shared" si="1"/>
        <v/>
      </c>
      <c r="I11907" s="26" t="str">
        <f t="shared" si="2"/>
        <v/>
      </c>
      <c r="J11907" s="86">
        <f t="shared" si="3"/>
        <v>0</v>
      </c>
      <c r="R11907" s="26"/>
    </row>
    <row r="11908" spans="1:18" ht="15.75" customHeight="1">
      <c r="A11908" s="26"/>
      <c r="B11908" s="86"/>
      <c r="D11908" s="26"/>
      <c r="F11908" s="87" t="str">
        <f t="shared" si="0"/>
        <v/>
      </c>
      <c r="H11908" s="26" t="str">
        <f t="shared" si="1"/>
        <v/>
      </c>
      <c r="I11908" s="26" t="str">
        <f t="shared" si="2"/>
        <v/>
      </c>
      <c r="J11908" s="86">
        <f t="shared" si="3"/>
        <v>0</v>
      </c>
      <c r="R11908" s="26"/>
    </row>
    <row r="11909" spans="1:18" ht="15.75" customHeight="1">
      <c r="A11909" s="26"/>
      <c r="B11909" s="86"/>
      <c r="D11909" s="26"/>
      <c r="F11909" s="87" t="str">
        <f t="shared" si="0"/>
        <v/>
      </c>
      <c r="H11909" s="26" t="str">
        <f t="shared" si="1"/>
        <v/>
      </c>
      <c r="I11909" s="26" t="str">
        <f t="shared" si="2"/>
        <v/>
      </c>
      <c r="J11909" s="86">
        <f t="shared" si="3"/>
        <v>0</v>
      </c>
      <c r="R11909" s="26"/>
    </row>
    <row r="11910" spans="1:18" ht="15.75" customHeight="1">
      <c r="A11910" s="26"/>
      <c r="B11910" s="86"/>
      <c r="D11910" s="26"/>
      <c r="F11910" s="87" t="str">
        <f t="shared" si="0"/>
        <v/>
      </c>
      <c r="H11910" s="26" t="str">
        <f t="shared" si="1"/>
        <v/>
      </c>
      <c r="I11910" s="26" t="str">
        <f t="shared" si="2"/>
        <v/>
      </c>
      <c r="J11910" s="86">
        <f t="shared" si="3"/>
        <v>0</v>
      </c>
      <c r="R11910" s="26"/>
    </row>
    <row r="11911" spans="1:18" ht="15.75" customHeight="1">
      <c r="A11911" s="26"/>
      <c r="B11911" s="86"/>
      <c r="D11911" s="26"/>
      <c r="F11911" s="87" t="str">
        <f t="shared" si="0"/>
        <v/>
      </c>
      <c r="H11911" s="26" t="str">
        <f t="shared" si="1"/>
        <v/>
      </c>
      <c r="I11911" s="26" t="str">
        <f t="shared" si="2"/>
        <v/>
      </c>
      <c r="J11911" s="86">
        <f t="shared" si="3"/>
        <v>0</v>
      </c>
      <c r="R11911" s="26"/>
    </row>
    <row r="11912" spans="1:18" ht="15.75" customHeight="1">
      <c r="A11912" s="26"/>
      <c r="B11912" s="86"/>
      <c r="D11912" s="26"/>
      <c r="F11912" s="87" t="str">
        <f t="shared" si="0"/>
        <v/>
      </c>
      <c r="H11912" s="26" t="str">
        <f t="shared" si="1"/>
        <v/>
      </c>
      <c r="I11912" s="26" t="str">
        <f t="shared" si="2"/>
        <v/>
      </c>
      <c r="J11912" s="86">
        <f t="shared" si="3"/>
        <v>0</v>
      </c>
      <c r="R11912" s="26"/>
    </row>
    <row r="11913" spans="1:18" ht="15.75" customHeight="1">
      <c r="A11913" s="26"/>
      <c r="B11913" s="86"/>
      <c r="D11913" s="26"/>
      <c r="F11913" s="87" t="str">
        <f t="shared" si="0"/>
        <v/>
      </c>
      <c r="H11913" s="26" t="str">
        <f t="shared" si="1"/>
        <v/>
      </c>
      <c r="I11913" s="26" t="str">
        <f t="shared" si="2"/>
        <v/>
      </c>
      <c r="J11913" s="86">
        <f t="shared" si="3"/>
        <v>0</v>
      </c>
      <c r="R11913" s="26"/>
    </row>
    <row r="11914" spans="1:18" ht="15.75" customHeight="1">
      <c r="A11914" s="26"/>
      <c r="B11914" s="86"/>
      <c r="D11914" s="26"/>
      <c r="F11914" s="87" t="str">
        <f t="shared" si="0"/>
        <v/>
      </c>
      <c r="H11914" s="26" t="str">
        <f t="shared" si="1"/>
        <v/>
      </c>
      <c r="I11914" s="26" t="str">
        <f t="shared" si="2"/>
        <v/>
      </c>
      <c r="J11914" s="86">
        <f t="shared" si="3"/>
        <v>0</v>
      </c>
      <c r="R11914" s="26"/>
    </row>
    <row r="11915" spans="1:18" ht="15.75" customHeight="1">
      <c r="A11915" s="26"/>
      <c r="B11915" s="86"/>
      <c r="D11915" s="26"/>
      <c r="F11915" s="87" t="str">
        <f t="shared" si="0"/>
        <v/>
      </c>
      <c r="H11915" s="26" t="str">
        <f t="shared" si="1"/>
        <v/>
      </c>
      <c r="I11915" s="26" t="str">
        <f t="shared" si="2"/>
        <v/>
      </c>
      <c r="J11915" s="86">
        <f t="shared" si="3"/>
        <v>0</v>
      </c>
      <c r="R11915" s="26"/>
    </row>
    <row r="11916" spans="1:18" ht="15.75" customHeight="1">
      <c r="A11916" s="26"/>
      <c r="B11916" s="86"/>
      <c r="D11916" s="26"/>
      <c r="F11916" s="87" t="str">
        <f t="shared" si="0"/>
        <v/>
      </c>
      <c r="H11916" s="26" t="str">
        <f t="shared" si="1"/>
        <v/>
      </c>
      <c r="I11916" s="26" t="str">
        <f t="shared" si="2"/>
        <v/>
      </c>
      <c r="J11916" s="86">
        <f t="shared" si="3"/>
        <v>0</v>
      </c>
      <c r="R11916" s="26"/>
    </row>
    <row r="11917" spans="1:18" ht="15.75" customHeight="1">
      <c r="A11917" s="26"/>
      <c r="B11917" s="86"/>
      <c r="D11917" s="26"/>
      <c r="F11917" s="87" t="str">
        <f t="shared" si="0"/>
        <v/>
      </c>
      <c r="H11917" s="26" t="str">
        <f t="shared" si="1"/>
        <v/>
      </c>
      <c r="I11917" s="26" t="str">
        <f t="shared" si="2"/>
        <v/>
      </c>
      <c r="J11917" s="86">
        <f t="shared" si="3"/>
        <v>0</v>
      </c>
      <c r="R11917" s="26"/>
    </row>
    <row r="11918" spans="1:18" ht="15.75" customHeight="1">
      <c r="A11918" s="26"/>
      <c r="B11918" s="86"/>
      <c r="D11918" s="26"/>
      <c r="F11918" s="87" t="str">
        <f t="shared" si="0"/>
        <v/>
      </c>
      <c r="H11918" s="26" t="str">
        <f t="shared" si="1"/>
        <v/>
      </c>
      <c r="I11918" s="26" t="str">
        <f t="shared" si="2"/>
        <v/>
      </c>
      <c r="J11918" s="86">
        <f t="shared" si="3"/>
        <v>0</v>
      </c>
      <c r="R11918" s="26"/>
    </row>
    <row r="11919" spans="1:18" ht="15.75" customHeight="1">
      <c r="A11919" s="26"/>
      <c r="B11919" s="86"/>
      <c r="D11919" s="26"/>
      <c r="F11919" s="87" t="str">
        <f t="shared" si="0"/>
        <v/>
      </c>
      <c r="H11919" s="26" t="str">
        <f t="shared" si="1"/>
        <v/>
      </c>
      <c r="I11919" s="26" t="str">
        <f t="shared" si="2"/>
        <v/>
      </c>
      <c r="J11919" s="86">
        <f t="shared" si="3"/>
        <v>0</v>
      </c>
      <c r="R11919" s="26"/>
    </row>
    <row r="11920" spans="1:18" ht="15.75" customHeight="1">
      <c r="A11920" s="26"/>
      <c r="B11920" s="86"/>
      <c r="D11920" s="26"/>
      <c r="F11920" s="87" t="str">
        <f t="shared" si="0"/>
        <v/>
      </c>
      <c r="H11920" s="26" t="str">
        <f t="shared" si="1"/>
        <v/>
      </c>
      <c r="I11920" s="26" t="str">
        <f t="shared" si="2"/>
        <v/>
      </c>
      <c r="J11920" s="86">
        <f t="shared" si="3"/>
        <v>0</v>
      </c>
      <c r="R11920" s="26"/>
    </row>
    <row r="11921" spans="1:18" ht="15.75" customHeight="1">
      <c r="A11921" s="26"/>
      <c r="B11921" s="86"/>
      <c r="D11921" s="26"/>
      <c r="F11921" s="87" t="str">
        <f t="shared" si="0"/>
        <v/>
      </c>
      <c r="H11921" s="26" t="str">
        <f t="shared" si="1"/>
        <v/>
      </c>
      <c r="I11921" s="26" t="str">
        <f t="shared" si="2"/>
        <v/>
      </c>
      <c r="J11921" s="86">
        <f t="shared" si="3"/>
        <v>0</v>
      </c>
      <c r="R11921" s="26"/>
    </row>
    <row r="11922" spans="1:18" ht="15.75" customHeight="1">
      <c r="A11922" s="26"/>
      <c r="B11922" s="86"/>
      <c r="D11922" s="26"/>
      <c r="F11922" s="87" t="str">
        <f t="shared" si="0"/>
        <v/>
      </c>
      <c r="H11922" s="26" t="str">
        <f t="shared" si="1"/>
        <v/>
      </c>
      <c r="I11922" s="26" t="str">
        <f t="shared" si="2"/>
        <v/>
      </c>
      <c r="J11922" s="86">
        <f t="shared" si="3"/>
        <v>0</v>
      </c>
      <c r="R11922" s="26"/>
    </row>
    <row r="11923" spans="1:18" ht="15.75" customHeight="1">
      <c r="A11923" s="26"/>
      <c r="B11923" s="86"/>
      <c r="D11923" s="26"/>
      <c r="F11923" s="87" t="str">
        <f t="shared" si="0"/>
        <v/>
      </c>
      <c r="H11923" s="26" t="str">
        <f t="shared" si="1"/>
        <v/>
      </c>
      <c r="I11923" s="26" t="str">
        <f t="shared" si="2"/>
        <v/>
      </c>
      <c r="J11923" s="86">
        <f t="shared" si="3"/>
        <v>0</v>
      </c>
      <c r="R11923" s="26"/>
    </row>
    <row r="11924" spans="1:18" ht="15.75" customHeight="1">
      <c r="A11924" s="26"/>
      <c r="B11924" s="86"/>
      <c r="D11924" s="26"/>
      <c r="F11924" s="87" t="str">
        <f t="shared" si="0"/>
        <v/>
      </c>
      <c r="H11924" s="26" t="str">
        <f t="shared" si="1"/>
        <v/>
      </c>
      <c r="I11924" s="26" t="str">
        <f t="shared" si="2"/>
        <v/>
      </c>
      <c r="J11924" s="86">
        <f t="shared" si="3"/>
        <v>0</v>
      </c>
      <c r="R11924" s="26"/>
    </row>
    <row r="11925" spans="1:18" ht="15.75" customHeight="1">
      <c r="A11925" s="26"/>
      <c r="B11925" s="86"/>
      <c r="D11925" s="26"/>
      <c r="F11925" s="87" t="str">
        <f t="shared" si="0"/>
        <v/>
      </c>
      <c r="H11925" s="26" t="str">
        <f t="shared" si="1"/>
        <v/>
      </c>
      <c r="I11925" s="26" t="str">
        <f t="shared" si="2"/>
        <v/>
      </c>
      <c r="J11925" s="86">
        <f t="shared" si="3"/>
        <v>0</v>
      </c>
      <c r="R11925" s="26"/>
    </row>
    <row r="11926" spans="1:18" ht="15.75" customHeight="1">
      <c r="A11926" s="26"/>
      <c r="B11926" s="86"/>
      <c r="D11926" s="26"/>
      <c r="F11926" s="87" t="str">
        <f t="shared" si="0"/>
        <v/>
      </c>
      <c r="H11926" s="26" t="str">
        <f t="shared" si="1"/>
        <v/>
      </c>
      <c r="I11926" s="26" t="str">
        <f t="shared" si="2"/>
        <v/>
      </c>
      <c r="J11926" s="86">
        <f t="shared" si="3"/>
        <v>0</v>
      </c>
      <c r="R11926" s="26"/>
    </row>
    <row r="11927" spans="1:18" ht="15.75" customHeight="1">
      <c r="A11927" s="26"/>
      <c r="B11927" s="86"/>
      <c r="D11927" s="26"/>
      <c r="F11927" s="87" t="str">
        <f t="shared" si="0"/>
        <v/>
      </c>
      <c r="H11927" s="26" t="str">
        <f t="shared" si="1"/>
        <v/>
      </c>
      <c r="I11927" s="26" t="str">
        <f t="shared" si="2"/>
        <v/>
      </c>
      <c r="J11927" s="86">
        <f t="shared" si="3"/>
        <v>0</v>
      </c>
      <c r="R11927" s="26"/>
    </row>
    <row r="11928" spans="1:18" ht="15.75" customHeight="1">
      <c r="A11928" s="26"/>
      <c r="B11928" s="86"/>
      <c r="D11928" s="26"/>
      <c r="F11928" s="87" t="str">
        <f t="shared" si="0"/>
        <v/>
      </c>
      <c r="H11928" s="26" t="str">
        <f t="shared" si="1"/>
        <v/>
      </c>
      <c r="I11928" s="26" t="str">
        <f t="shared" si="2"/>
        <v/>
      </c>
      <c r="J11928" s="86">
        <f t="shared" si="3"/>
        <v>0</v>
      </c>
      <c r="R11928" s="26"/>
    </row>
    <row r="11929" spans="1:18" ht="15.75" customHeight="1">
      <c r="A11929" s="26"/>
      <c r="B11929" s="86"/>
      <c r="D11929" s="26"/>
      <c r="F11929" s="87" t="str">
        <f t="shared" si="0"/>
        <v/>
      </c>
      <c r="H11929" s="26" t="str">
        <f t="shared" si="1"/>
        <v/>
      </c>
      <c r="I11929" s="26" t="str">
        <f t="shared" si="2"/>
        <v/>
      </c>
      <c r="J11929" s="86">
        <f t="shared" si="3"/>
        <v>0</v>
      </c>
      <c r="R11929" s="26"/>
    </row>
    <row r="11930" spans="1:18" ht="15.75" customHeight="1">
      <c r="A11930" s="26"/>
      <c r="B11930" s="86"/>
      <c r="D11930" s="26"/>
      <c r="F11930" s="87" t="str">
        <f t="shared" si="0"/>
        <v/>
      </c>
      <c r="H11930" s="26" t="str">
        <f t="shared" si="1"/>
        <v/>
      </c>
      <c r="I11930" s="26" t="str">
        <f t="shared" si="2"/>
        <v/>
      </c>
      <c r="J11930" s="86">
        <f t="shared" si="3"/>
        <v>0</v>
      </c>
      <c r="R11930" s="26"/>
    </row>
    <row r="11931" spans="1:18" ht="15.75" customHeight="1">
      <c r="A11931" s="26"/>
      <c r="B11931" s="86"/>
      <c r="D11931" s="26"/>
      <c r="F11931" s="87" t="str">
        <f t="shared" si="0"/>
        <v/>
      </c>
      <c r="H11931" s="26" t="str">
        <f t="shared" si="1"/>
        <v/>
      </c>
      <c r="I11931" s="26" t="str">
        <f t="shared" si="2"/>
        <v/>
      </c>
      <c r="J11931" s="86">
        <f t="shared" si="3"/>
        <v>0</v>
      </c>
      <c r="R11931" s="26"/>
    </row>
    <row r="11932" spans="1:18" ht="15.75" customHeight="1">
      <c r="A11932" s="26"/>
      <c r="B11932" s="86"/>
      <c r="D11932" s="26"/>
      <c r="F11932" s="87" t="str">
        <f t="shared" si="0"/>
        <v/>
      </c>
      <c r="H11932" s="26" t="str">
        <f t="shared" si="1"/>
        <v/>
      </c>
      <c r="I11932" s="26" t="str">
        <f t="shared" si="2"/>
        <v/>
      </c>
      <c r="J11932" s="86">
        <f t="shared" si="3"/>
        <v>0</v>
      </c>
      <c r="R11932" s="26"/>
    </row>
    <row r="11933" spans="1:18" ht="15.75" customHeight="1">
      <c r="A11933" s="26"/>
      <c r="B11933" s="86"/>
      <c r="D11933" s="26"/>
      <c r="F11933" s="87" t="str">
        <f t="shared" si="0"/>
        <v/>
      </c>
      <c r="H11933" s="26" t="str">
        <f t="shared" si="1"/>
        <v/>
      </c>
      <c r="I11933" s="26" t="str">
        <f t="shared" si="2"/>
        <v/>
      </c>
      <c r="J11933" s="86">
        <f t="shared" si="3"/>
        <v>0</v>
      </c>
      <c r="R11933" s="26"/>
    </row>
    <row r="11934" spans="1:18" ht="15.75" customHeight="1">
      <c r="A11934" s="26"/>
      <c r="B11934" s="86"/>
      <c r="D11934" s="26"/>
      <c r="F11934" s="87" t="str">
        <f t="shared" si="0"/>
        <v/>
      </c>
      <c r="H11934" s="26" t="str">
        <f t="shared" si="1"/>
        <v/>
      </c>
      <c r="I11934" s="26" t="str">
        <f t="shared" si="2"/>
        <v/>
      </c>
      <c r="J11934" s="86">
        <f t="shared" si="3"/>
        <v>0</v>
      </c>
      <c r="R11934" s="26"/>
    </row>
    <row r="11935" spans="1:18" ht="15.75" customHeight="1">
      <c r="A11935" s="26"/>
      <c r="B11935" s="86"/>
      <c r="D11935" s="26"/>
      <c r="F11935" s="87" t="str">
        <f t="shared" si="0"/>
        <v/>
      </c>
      <c r="H11935" s="26" t="str">
        <f t="shared" si="1"/>
        <v/>
      </c>
      <c r="I11935" s="26" t="str">
        <f t="shared" si="2"/>
        <v/>
      </c>
      <c r="J11935" s="86">
        <f t="shared" si="3"/>
        <v>0</v>
      </c>
      <c r="R11935" s="26"/>
    </row>
    <row r="11936" spans="1:18" ht="15.75" customHeight="1">
      <c r="A11936" s="26"/>
      <c r="B11936" s="86"/>
      <c r="D11936" s="26"/>
      <c r="F11936" s="87" t="str">
        <f t="shared" si="0"/>
        <v/>
      </c>
      <c r="H11936" s="26" t="str">
        <f t="shared" si="1"/>
        <v/>
      </c>
      <c r="I11936" s="26" t="str">
        <f t="shared" si="2"/>
        <v/>
      </c>
      <c r="J11936" s="86">
        <f t="shared" si="3"/>
        <v>0</v>
      </c>
      <c r="R11936" s="26"/>
    </row>
    <row r="11937" spans="1:18" ht="15.75" customHeight="1">
      <c r="A11937" s="26"/>
      <c r="B11937" s="86"/>
      <c r="D11937" s="26"/>
      <c r="F11937" s="87" t="str">
        <f t="shared" si="0"/>
        <v/>
      </c>
      <c r="H11937" s="26" t="str">
        <f t="shared" si="1"/>
        <v/>
      </c>
      <c r="I11937" s="26" t="str">
        <f t="shared" si="2"/>
        <v/>
      </c>
      <c r="J11937" s="86">
        <f t="shared" si="3"/>
        <v>0</v>
      </c>
      <c r="R11937" s="26"/>
    </row>
    <row r="11938" spans="1:18" ht="15.75" customHeight="1">
      <c r="A11938" s="26"/>
      <c r="B11938" s="86"/>
      <c r="D11938" s="26"/>
      <c r="F11938" s="87" t="str">
        <f t="shared" si="0"/>
        <v/>
      </c>
      <c r="H11938" s="26" t="str">
        <f t="shared" si="1"/>
        <v/>
      </c>
      <c r="I11938" s="26" t="str">
        <f t="shared" si="2"/>
        <v/>
      </c>
      <c r="J11938" s="86">
        <f t="shared" si="3"/>
        <v>0</v>
      </c>
      <c r="R11938" s="26"/>
    </row>
    <row r="11939" spans="1:18" ht="15.75" customHeight="1">
      <c r="A11939" s="26"/>
      <c r="B11939" s="86"/>
      <c r="D11939" s="26"/>
      <c r="F11939" s="87" t="str">
        <f t="shared" si="0"/>
        <v/>
      </c>
      <c r="H11939" s="26" t="str">
        <f t="shared" si="1"/>
        <v/>
      </c>
      <c r="I11939" s="26" t="str">
        <f t="shared" si="2"/>
        <v/>
      </c>
      <c r="J11939" s="86">
        <f t="shared" si="3"/>
        <v>0</v>
      </c>
      <c r="R11939" s="26"/>
    </row>
    <row r="11940" spans="1:18" ht="15.75" customHeight="1">
      <c r="A11940" s="26"/>
      <c r="B11940" s="86"/>
      <c r="D11940" s="26"/>
      <c r="F11940" s="87" t="str">
        <f t="shared" si="0"/>
        <v/>
      </c>
      <c r="H11940" s="26" t="str">
        <f t="shared" si="1"/>
        <v/>
      </c>
      <c r="I11940" s="26" t="str">
        <f t="shared" si="2"/>
        <v/>
      </c>
      <c r="J11940" s="86">
        <f t="shared" si="3"/>
        <v>0</v>
      </c>
      <c r="R11940" s="26"/>
    </row>
    <row r="11941" spans="1:18" ht="15.75" customHeight="1">
      <c r="A11941" s="26"/>
      <c r="B11941" s="86"/>
      <c r="D11941" s="26"/>
      <c r="F11941" s="87" t="str">
        <f t="shared" si="0"/>
        <v/>
      </c>
      <c r="H11941" s="26" t="str">
        <f t="shared" si="1"/>
        <v/>
      </c>
      <c r="I11941" s="26" t="str">
        <f t="shared" si="2"/>
        <v/>
      </c>
      <c r="J11941" s="86">
        <f t="shared" si="3"/>
        <v>0</v>
      </c>
      <c r="R11941" s="26"/>
    </row>
    <row r="11942" spans="1:18" ht="15.75" customHeight="1">
      <c r="A11942" s="26"/>
      <c r="B11942" s="86"/>
      <c r="D11942" s="26"/>
      <c r="F11942" s="87" t="str">
        <f t="shared" si="0"/>
        <v/>
      </c>
      <c r="H11942" s="26" t="str">
        <f t="shared" si="1"/>
        <v/>
      </c>
      <c r="I11942" s="26" t="str">
        <f t="shared" si="2"/>
        <v/>
      </c>
      <c r="J11942" s="86">
        <f t="shared" si="3"/>
        <v>0</v>
      </c>
      <c r="R11942" s="26"/>
    </row>
    <row r="11943" spans="1:18" ht="15.75" customHeight="1">
      <c r="A11943" s="26"/>
      <c r="B11943" s="86"/>
      <c r="D11943" s="26"/>
      <c r="F11943" s="87" t="str">
        <f t="shared" si="0"/>
        <v/>
      </c>
      <c r="H11943" s="26" t="str">
        <f t="shared" si="1"/>
        <v/>
      </c>
      <c r="I11943" s="26" t="str">
        <f t="shared" si="2"/>
        <v/>
      </c>
      <c r="J11943" s="86">
        <f t="shared" si="3"/>
        <v>0</v>
      </c>
      <c r="R11943" s="26"/>
    </row>
    <row r="11944" spans="1:18" ht="15.75" customHeight="1">
      <c r="A11944" s="26"/>
      <c r="B11944" s="86"/>
      <c r="D11944" s="26"/>
      <c r="F11944" s="87" t="str">
        <f t="shared" si="0"/>
        <v/>
      </c>
      <c r="H11944" s="26" t="str">
        <f t="shared" si="1"/>
        <v/>
      </c>
      <c r="I11944" s="26" t="str">
        <f t="shared" si="2"/>
        <v/>
      </c>
      <c r="J11944" s="86">
        <f t="shared" si="3"/>
        <v>0</v>
      </c>
      <c r="R11944" s="26"/>
    </row>
    <row r="11945" spans="1:18" ht="15.75" customHeight="1">
      <c r="A11945" s="26"/>
      <c r="B11945" s="86"/>
      <c r="D11945" s="26"/>
      <c r="F11945" s="87" t="str">
        <f t="shared" si="0"/>
        <v/>
      </c>
      <c r="H11945" s="26" t="str">
        <f t="shared" si="1"/>
        <v/>
      </c>
      <c r="I11945" s="26" t="str">
        <f t="shared" si="2"/>
        <v/>
      </c>
      <c r="J11945" s="86">
        <f t="shared" si="3"/>
        <v>0</v>
      </c>
      <c r="R11945" s="26"/>
    </row>
    <row r="11946" spans="1:18" ht="15.75" customHeight="1">
      <c r="A11946" s="26"/>
      <c r="B11946" s="86"/>
      <c r="D11946" s="26"/>
      <c r="F11946" s="87" t="str">
        <f t="shared" si="0"/>
        <v/>
      </c>
      <c r="H11946" s="26" t="str">
        <f t="shared" si="1"/>
        <v/>
      </c>
      <c r="I11946" s="26" t="str">
        <f t="shared" si="2"/>
        <v/>
      </c>
      <c r="J11946" s="86">
        <f t="shared" si="3"/>
        <v>0</v>
      </c>
      <c r="R11946" s="26"/>
    </row>
    <row r="11947" spans="1:18" ht="15.75" customHeight="1">
      <c r="A11947" s="26"/>
      <c r="B11947" s="86"/>
      <c r="D11947" s="26"/>
      <c r="F11947" s="87" t="str">
        <f t="shared" si="0"/>
        <v/>
      </c>
      <c r="H11947" s="26" t="str">
        <f t="shared" si="1"/>
        <v/>
      </c>
      <c r="I11947" s="26" t="str">
        <f t="shared" si="2"/>
        <v/>
      </c>
      <c r="J11947" s="86">
        <f t="shared" si="3"/>
        <v>0</v>
      </c>
      <c r="R11947" s="26"/>
    </row>
    <row r="11948" spans="1:18" ht="15.75" customHeight="1">
      <c r="A11948" s="26"/>
      <c r="B11948" s="86"/>
      <c r="D11948" s="26"/>
      <c r="F11948" s="87" t="str">
        <f t="shared" si="0"/>
        <v/>
      </c>
      <c r="H11948" s="26" t="str">
        <f t="shared" si="1"/>
        <v/>
      </c>
      <c r="I11948" s="26" t="str">
        <f t="shared" si="2"/>
        <v/>
      </c>
      <c r="J11948" s="86">
        <f t="shared" si="3"/>
        <v>0</v>
      </c>
      <c r="R11948" s="26"/>
    </row>
    <row r="11949" spans="1:18" ht="15.75" customHeight="1">
      <c r="A11949" s="26"/>
      <c r="B11949" s="86"/>
      <c r="D11949" s="26"/>
      <c r="F11949" s="87" t="str">
        <f t="shared" si="0"/>
        <v/>
      </c>
      <c r="H11949" s="26" t="str">
        <f t="shared" si="1"/>
        <v/>
      </c>
      <c r="I11949" s="26" t="str">
        <f t="shared" si="2"/>
        <v/>
      </c>
      <c r="J11949" s="86">
        <f t="shared" si="3"/>
        <v>0</v>
      </c>
      <c r="R11949" s="26"/>
    </row>
    <row r="11950" spans="1:18" ht="15.75" customHeight="1">
      <c r="A11950" s="26"/>
      <c r="B11950" s="86"/>
      <c r="D11950" s="26"/>
      <c r="F11950" s="87" t="str">
        <f t="shared" si="0"/>
        <v/>
      </c>
      <c r="H11950" s="26" t="str">
        <f t="shared" si="1"/>
        <v/>
      </c>
      <c r="I11950" s="26" t="str">
        <f t="shared" si="2"/>
        <v/>
      </c>
      <c r="J11950" s="86">
        <f t="shared" si="3"/>
        <v>0</v>
      </c>
      <c r="R11950" s="26"/>
    </row>
    <row r="11951" spans="1:18" ht="15.75" customHeight="1">
      <c r="A11951" s="26"/>
      <c r="B11951" s="86"/>
      <c r="D11951" s="26"/>
      <c r="F11951" s="87" t="str">
        <f t="shared" si="0"/>
        <v/>
      </c>
      <c r="H11951" s="26" t="str">
        <f t="shared" si="1"/>
        <v/>
      </c>
      <c r="I11951" s="26" t="str">
        <f t="shared" si="2"/>
        <v/>
      </c>
      <c r="J11951" s="86">
        <f t="shared" si="3"/>
        <v>0</v>
      </c>
      <c r="R11951" s="26"/>
    </row>
    <row r="11952" spans="1:18" ht="15.75" customHeight="1">
      <c r="A11952" s="26"/>
      <c r="B11952" s="86"/>
      <c r="D11952" s="26"/>
      <c r="F11952" s="87" t="str">
        <f t="shared" si="0"/>
        <v/>
      </c>
      <c r="H11952" s="26" t="str">
        <f t="shared" si="1"/>
        <v/>
      </c>
      <c r="I11952" s="26" t="str">
        <f t="shared" si="2"/>
        <v/>
      </c>
      <c r="J11952" s="86">
        <f t="shared" si="3"/>
        <v>0</v>
      </c>
      <c r="R11952" s="26"/>
    </row>
    <row r="11953" spans="1:18" ht="15.75" customHeight="1">
      <c r="A11953" s="26"/>
      <c r="B11953" s="86"/>
      <c r="D11953" s="26"/>
      <c r="F11953" s="87" t="str">
        <f t="shared" si="0"/>
        <v/>
      </c>
      <c r="H11953" s="26" t="str">
        <f t="shared" si="1"/>
        <v/>
      </c>
      <c r="I11953" s="26" t="str">
        <f t="shared" si="2"/>
        <v/>
      </c>
      <c r="J11953" s="86">
        <f t="shared" si="3"/>
        <v>0</v>
      </c>
      <c r="R11953" s="26"/>
    </row>
    <row r="11954" spans="1:18" ht="15.75" customHeight="1">
      <c r="A11954" s="26"/>
      <c r="B11954" s="86"/>
      <c r="D11954" s="26"/>
      <c r="F11954" s="87" t="str">
        <f t="shared" si="0"/>
        <v/>
      </c>
      <c r="H11954" s="26" t="str">
        <f t="shared" si="1"/>
        <v/>
      </c>
      <c r="I11954" s="26" t="str">
        <f t="shared" si="2"/>
        <v/>
      </c>
      <c r="J11954" s="86">
        <f t="shared" si="3"/>
        <v>0</v>
      </c>
      <c r="R11954" s="26"/>
    </row>
    <row r="11955" spans="1:18" ht="15.75" customHeight="1">
      <c r="A11955" s="26"/>
      <c r="B11955" s="86"/>
      <c r="D11955" s="26"/>
      <c r="F11955" s="87" t="str">
        <f t="shared" si="0"/>
        <v/>
      </c>
      <c r="H11955" s="26" t="str">
        <f t="shared" si="1"/>
        <v/>
      </c>
      <c r="I11955" s="26" t="str">
        <f t="shared" si="2"/>
        <v/>
      </c>
      <c r="J11955" s="86">
        <f t="shared" si="3"/>
        <v>0</v>
      </c>
      <c r="R11955" s="26"/>
    </row>
    <row r="11956" spans="1:18" ht="15.75" customHeight="1">
      <c r="A11956" s="26"/>
      <c r="B11956" s="86"/>
      <c r="D11956" s="26"/>
      <c r="F11956" s="87" t="str">
        <f t="shared" si="0"/>
        <v/>
      </c>
      <c r="H11956" s="26" t="str">
        <f t="shared" si="1"/>
        <v/>
      </c>
      <c r="I11956" s="26" t="str">
        <f t="shared" si="2"/>
        <v/>
      </c>
      <c r="J11956" s="86">
        <f t="shared" si="3"/>
        <v>0</v>
      </c>
      <c r="R11956" s="26"/>
    </row>
    <row r="11957" spans="1:18" ht="15.75" customHeight="1">
      <c r="A11957" s="26"/>
      <c r="B11957" s="86"/>
      <c r="D11957" s="26"/>
      <c r="F11957" s="87" t="str">
        <f t="shared" si="0"/>
        <v/>
      </c>
      <c r="H11957" s="26" t="str">
        <f t="shared" si="1"/>
        <v/>
      </c>
      <c r="I11957" s="26" t="str">
        <f t="shared" si="2"/>
        <v/>
      </c>
      <c r="J11957" s="86">
        <f t="shared" si="3"/>
        <v>0</v>
      </c>
      <c r="R11957" s="26"/>
    </row>
    <row r="11958" spans="1:18" ht="15.75" customHeight="1">
      <c r="A11958" s="26"/>
      <c r="B11958" s="86"/>
      <c r="D11958" s="26"/>
      <c r="F11958" s="87" t="str">
        <f t="shared" si="0"/>
        <v/>
      </c>
      <c r="H11958" s="26" t="str">
        <f t="shared" si="1"/>
        <v/>
      </c>
      <c r="I11958" s="26" t="str">
        <f t="shared" si="2"/>
        <v/>
      </c>
      <c r="J11958" s="86">
        <f t="shared" si="3"/>
        <v>0</v>
      </c>
      <c r="R11958" s="26"/>
    </row>
    <row r="11959" spans="1:18" ht="15.75" customHeight="1">
      <c r="A11959" s="26"/>
      <c r="B11959" s="86"/>
      <c r="D11959" s="26"/>
      <c r="F11959" s="87" t="str">
        <f t="shared" si="0"/>
        <v/>
      </c>
      <c r="H11959" s="26" t="str">
        <f t="shared" si="1"/>
        <v/>
      </c>
      <c r="I11959" s="26" t="str">
        <f t="shared" si="2"/>
        <v/>
      </c>
      <c r="J11959" s="86">
        <f t="shared" si="3"/>
        <v>0</v>
      </c>
      <c r="R11959" s="26"/>
    </row>
    <row r="11960" spans="1:18" ht="15.75" customHeight="1">
      <c r="A11960" s="26"/>
      <c r="B11960" s="86"/>
      <c r="D11960" s="26"/>
      <c r="F11960" s="87" t="str">
        <f t="shared" si="0"/>
        <v/>
      </c>
      <c r="H11960" s="26" t="str">
        <f t="shared" si="1"/>
        <v/>
      </c>
      <c r="I11960" s="26" t="str">
        <f t="shared" si="2"/>
        <v/>
      </c>
      <c r="J11960" s="86">
        <f t="shared" si="3"/>
        <v>0</v>
      </c>
      <c r="R11960" s="26"/>
    </row>
    <row r="11961" spans="1:18" ht="15.75" customHeight="1">
      <c r="A11961" s="26"/>
      <c r="B11961" s="86"/>
      <c r="D11961" s="26"/>
      <c r="F11961" s="87" t="str">
        <f t="shared" si="0"/>
        <v/>
      </c>
      <c r="H11961" s="26" t="str">
        <f t="shared" si="1"/>
        <v/>
      </c>
      <c r="I11961" s="26" t="str">
        <f t="shared" si="2"/>
        <v/>
      </c>
      <c r="J11961" s="86">
        <f t="shared" si="3"/>
        <v>0</v>
      </c>
      <c r="R11961" s="26"/>
    </row>
    <row r="11962" spans="1:18" ht="15.75" customHeight="1">
      <c r="A11962" s="26"/>
      <c r="B11962" s="86"/>
      <c r="D11962" s="26"/>
      <c r="F11962" s="87" t="str">
        <f t="shared" si="0"/>
        <v/>
      </c>
      <c r="H11962" s="26" t="str">
        <f t="shared" si="1"/>
        <v/>
      </c>
      <c r="I11962" s="26" t="str">
        <f t="shared" si="2"/>
        <v/>
      </c>
      <c r="J11962" s="86">
        <f t="shared" si="3"/>
        <v>0</v>
      </c>
      <c r="R11962" s="26"/>
    </row>
    <row r="11963" spans="1:18" ht="15.75" customHeight="1">
      <c r="A11963" s="26"/>
      <c r="B11963" s="86"/>
      <c r="D11963" s="26"/>
      <c r="F11963" s="87" t="str">
        <f t="shared" si="0"/>
        <v/>
      </c>
      <c r="H11963" s="26" t="str">
        <f t="shared" si="1"/>
        <v/>
      </c>
      <c r="I11963" s="26" t="str">
        <f t="shared" si="2"/>
        <v/>
      </c>
      <c r="J11963" s="86">
        <f t="shared" si="3"/>
        <v>0</v>
      </c>
      <c r="R11963" s="26"/>
    </row>
    <row r="11964" spans="1:18" ht="15.75" customHeight="1">
      <c r="A11964" s="26"/>
      <c r="B11964" s="86"/>
      <c r="D11964" s="26"/>
      <c r="F11964" s="87" t="str">
        <f t="shared" si="0"/>
        <v/>
      </c>
      <c r="H11964" s="26" t="str">
        <f t="shared" si="1"/>
        <v/>
      </c>
      <c r="I11964" s="26" t="str">
        <f t="shared" si="2"/>
        <v/>
      </c>
      <c r="J11964" s="86">
        <f t="shared" si="3"/>
        <v>0</v>
      </c>
      <c r="R11964" s="26"/>
    </row>
    <row r="11965" spans="1:18" ht="15.75" customHeight="1">
      <c r="A11965" s="26"/>
      <c r="B11965" s="86"/>
      <c r="D11965" s="26"/>
      <c r="F11965" s="87" t="str">
        <f t="shared" si="0"/>
        <v/>
      </c>
      <c r="H11965" s="26" t="str">
        <f t="shared" si="1"/>
        <v/>
      </c>
      <c r="I11965" s="26" t="str">
        <f t="shared" si="2"/>
        <v/>
      </c>
      <c r="J11965" s="86">
        <f t="shared" si="3"/>
        <v>0</v>
      </c>
      <c r="R11965" s="26"/>
    </row>
    <row r="11966" spans="1:18" ht="15.75" customHeight="1">
      <c r="A11966" s="26"/>
      <c r="B11966" s="86"/>
      <c r="D11966" s="26"/>
      <c r="F11966" s="87" t="str">
        <f t="shared" si="0"/>
        <v/>
      </c>
      <c r="H11966" s="26" t="str">
        <f t="shared" si="1"/>
        <v/>
      </c>
      <c r="I11966" s="26" t="str">
        <f t="shared" si="2"/>
        <v/>
      </c>
      <c r="J11966" s="86">
        <f t="shared" si="3"/>
        <v>0</v>
      </c>
      <c r="R11966" s="26"/>
    </row>
    <row r="11967" spans="1:18" ht="15.75" customHeight="1">
      <c r="A11967" s="26"/>
      <c r="B11967" s="86"/>
      <c r="D11967" s="26"/>
      <c r="F11967" s="87" t="str">
        <f t="shared" si="0"/>
        <v/>
      </c>
      <c r="H11967" s="26" t="str">
        <f t="shared" si="1"/>
        <v/>
      </c>
      <c r="I11967" s="26" t="str">
        <f t="shared" si="2"/>
        <v/>
      </c>
      <c r="J11967" s="86">
        <f t="shared" si="3"/>
        <v>0</v>
      </c>
      <c r="R11967" s="26"/>
    </row>
    <row r="11968" spans="1:18" ht="15.75" customHeight="1">
      <c r="A11968" s="26"/>
      <c r="B11968" s="86"/>
      <c r="D11968" s="26"/>
      <c r="F11968" s="87" t="str">
        <f t="shared" si="0"/>
        <v/>
      </c>
      <c r="H11968" s="26" t="str">
        <f t="shared" si="1"/>
        <v/>
      </c>
      <c r="I11968" s="26" t="str">
        <f t="shared" si="2"/>
        <v/>
      </c>
      <c r="J11968" s="86">
        <f t="shared" si="3"/>
        <v>0</v>
      </c>
      <c r="R11968" s="26"/>
    </row>
    <row r="11969" spans="1:18" ht="15.75" customHeight="1">
      <c r="A11969" s="26"/>
      <c r="B11969" s="86"/>
      <c r="D11969" s="26"/>
      <c r="F11969" s="87" t="str">
        <f t="shared" si="0"/>
        <v/>
      </c>
      <c r="H11969" s="26" t="str">
        <f t="shared" si="1"/>
        <v/>
      </c>
      <c r="I11969" s="26" t="str">
        <f t="shared" si="2"/>
        <v/>
      </c>
      <c r="J11969" s="86">
        <f t="shared" si="3"/>
        <v>0</v>
      </c>
      <c r="R11969" s="26"/>
    </row>
    <row r="11970" spans="1:18" ht="15.75" customHeight="1">
      <c r="A11970" s="26"/>
      <c r="B11970" s="86"/>
      <c r="D11970" s="26"/>
      <c r="F11970" s="87" t="str">
        <f t="shared" si="0"/>
        <v/>
      </c>
      <c r="H11970" s="26" t="str">
        <f t="shared" si="1"/>
        <v/>
      </c>
      <c r="I11970" s="26" t="str">
        <f t="shared" si="2"/>
        <v/>
      </c>
      <c r="J11970" s="86">
        <f t="shared" si="3"/>
        <v>0</v>
      </c>
      <c r="R11970" s="26"/>
    </row>
    <row r="11971" spans="1:18" ht="15.75" customHeight="1">
      <c r="A11971" s="26"/>
      <c r="B11971" s="86"/>
      <c r="D11971" s="26"/>
      <c r="F11971" s="87" t="str">
        <f t="shared" si="0"/>
        <v/>
      </c>
      <c r="H11971" s="26" t="str">
        <f t="shared" si="1"/>
        <v/>
      </c>
      <c r="I11971" s="26" t="str">
        <f t="shared" si="2"/>
        <v/>
      </c>
      <c r="J11971" s="86">
        <f t="shared" si="3"/>
        <v>0</v>
      </c>
      <c r="R11971" s="26"/>
    </row>
    <row r="11972" spans="1:18" ht="15.75" customHeight="1">
      <c r="A11972" s="26"/>
      <c r="B11972" s="86"/>
      <c r="D11972" s="26"/>
      <c r="F11972" s="87" t="str">
        <f t="shared" si="0"/>
        <v/>
      </c>
      <c r="H11972" s="26" t="str">
        <f t="shared" si="1"/>
        <v/>
      </c>
      <c r="I11972" s="26" t="str">
        <f t="shared" si="2"/>
        <v/>
      </c>
      <c r="J11972" s="86">
        <f t="shared" si="3"/>
        <v>0</v>
      </c>
      <c r="R11972" s="26"/>
    </row>
    <row r="11973" spans="1:18" ht="15.75" customHeight="1">
      <c r="A11973" s="26"/>
      <c r="B11973" s="86"/>
      <c r="D11973" s="26"/>
      <c r="F11973" s="87" t="str">
        <f t="shared" si="0"/>
        <v/>
      </c>
      <c r="H11973" s="26" t="str">
        <f t="shared" si="1"/>
        <v/>
      </c>
      <c r="I11973" s="26" t="str">
        <f t="shared" si="2"/>
        <v/>
      </c>
      <c r="J11973" s="86">
        <f t="shared" si="3"/>
        <v>0</v>
      </c>
      <c r="R11973" s="26"/>
    </row>
    <row r="11974" spans="1:18" ht="15.75" customHeight="1">
      <c r="A11974" s="26"/>
      <c r="B11974" s="86"/>
      <c r="D11974" s="26"/>
      <c r="F11974" s="87" t="str">
        <f t="shared" si="0"/>
        <v/>
      </c>
      <c r="H11974" s="26" t="str">
        <f t="shared" si="1"/>
        <v/>
      </c>
      <c r="I11974" s="26" t="str">
        <f t="shared" si="2"/>
        <v/>
      </c>
      <c r="J11974" s="86">
        <f t="shared" si="3"/>
        <v>0</v>
      </c>
      <c r="R11974" s="26"/>
    </row>
    <row r="11975" spans="1:18" ht="15.75" customHeight="1">
      <c r="A11975" s="26"/>
      <c r="B11975" s="86"/>
      <c r="D11975" s="26"/>
      <c r="F11975" s="87" t="str">
        <f t="shared" si="0"/>
        <v/>
      </c>
      <c r="H11975" s="26" t="str">
        <f t="shared" si="1"/>
        <v/>
      </c>
      <c r="I11975" s="26" t="str">
        <f t="shared" si="2"/>
        <v/>
      </c>
      <c r="J11975" s="86">
        <f t="shared" si="3"/>
        <v>0</v>
      </c>
      <c r="R11975" s="26"/>
    </row>
    <row r="11976" spans="1:18" ht="15.75" customHeight="1">
      <c r="A11976" s="26"/>
      <c r="B11976" s="86"/>
      <c r="D11976" s="26"/>
      <c r="F11976" s="87" t="str">
        <f t="shared" si="0"/>
        <v/>
      </c>
      <c r="H11976" s="26" t="str">
        <f t="shared" si="1"/>
        <v/>
      </c>
      <c r="I11976" s="26" t="str">
        <f t="shared" si="2"/>
        <v/>
      </c>
      <c r="J11976" s="86">
        <f t="shared" si="3"/>
        <v>0</v>
      </c>
      <c r="R11976" s="26"/>
    </row>
    <row r="11977" spans="1:18" ht="15.75" customHeight="1">
      <c r="A11977" s="26"/>
      <c r="B11977" s="86"/>
      <c r="D11977" s="26"/>
      <c r="F11977" s="87" t="str">
        <f t="shared" si="0"/>
        <v/>
      </c>
      <c r="H11977" s="26" t="str">
        <f t="shared" si="1"/>
        <v/>
      </c>
      <c r="I11977" s="26" t="str">
        <f t="shared" si="2"/>
        <v/>
      </c>
      <c r="J11977" s="86">
        <f t="shared" si="3"/>
        <v>0</v>
      </c>
      <c r="R11977" s="26"/>
    </row>
    <row r="11978" spans="1:18" ht="15.75" customHeight="1">
      <c r="A11978" s="26"/>
      <c r="B11978" s="86"/>
      <c r="D11978" s="26"/>
      <c r="F11978" s="87" t="str">
        <f t="shared" si="0"/>
        <v/>
      </c>
      <c r="H11978" s="26" t="str">
        <f t="shared" si="1"/>
        <v/>
      </c>
      <c r="I11978" s="26" t="str">
        <f t="shared" si="2"/>
        <v/>
      </c>
      <c r="J11978" s="86">
        <f t="shared" si="3"/>
        <v>0</v>
      </c>
      <c r="R11978" s="26"/>
    </row>
    <row r="11979" spans="1:18" ht="15.75" customHeight="1">
      <c r="A11979" s="26"/>
      <c r="B11979" s="86"/>
      <c r="D11979" s="26"/>
      <c r="F11979" s="87" t="str">
        <f t="shared" si="0"/>
        <v/>
      </c>
      <c r="H11979" s="26" t="str">
        <f t="shared" si="1"/>
        <v/>
      </c>
      <c r="I11979" s="26" t="str">
        <f t="shared" si="2"/>
        <v/>
      </c>
      <c r="J11979" s="86">
        <f t="shared" si="3"/>
        <v>0</v>
      </c>
      <c r="R11979" s="26"/>
    </row>
    <row r="11980" spans="1:18" ht="15.75" customHeight="1">
      <c r="A11980" s="26"/>
      <c r="B11980" s="86"/>
      <c r="D11980" s="26"/>
      <c r="F11980" s="87" t="str">
        <f t="shared" si="0"/>
        <v/>
      </c>
      <c r="H11980" s="26" t="str">
        <f t="shared" si="1"/>
        <v/>
      </c>
      <c r="I11980" s="26" t="str">
        <f t="shared" si="2"/>
        <v/>
      </c>
      <c r="J11980" s="86">
        <f t="shared" si="3"/>
        <v>0</v>
      </c>
      <c r="R11980" s="26"/>
    </row>
    <row r="11981" spans="1:18" ht="15.75" customHeight="1">
      <c r="A11981" s="26"/>
      <c r="B11981" s="86"/>
      <c r="D11981" s="26"/>
      <c r="F11981" s="87" t="str">
        <f t="shared" si="0"/>
        <v/>
      </c>
      <c r="H11981" s="26" t="str">
        <f t="shared" si="1"/>
        <v/>
      </c>
      <c r="I11981" s="26" t="str">
        <f t="shared" si="2"/>
        <v/>
      </c>
      <c r="J11981" s="86">
        <f t="shared" si="3"/>
        <v>0</v>
      </c>
      <c r="R11981" s="26"/>
    </row>
    <row r="11982" spans="1:18" ht="15.75" customHeight="1">
      <c r="A11982" s="26"/>
      <c r="B11982" s="86"/>
      <c r="D11982" s="26"/>
      <c r="F11982" s="87" t="str">
        <f t="shared" si="0"/>
        <v/>
      </c>
      <c r="H11982" s="26" t="str">
        <f t="shared" si="1"/>
        <v/>
      </c>
      <c r="I11982" s="26" t="str">
        <f t="shared" si="2"/>
        <v/>
      </c>
      <c r="J11982" s="86">
        <f t="shared" si="3"/>
        <v>0</v>
      </c>
      <c r="R11982" s="26"/>
    </row>
    <row r="11983" spans="1:18" ht="15.75" customHeight="1">
      <c r="A11983" s="26"/>
      <c r="B11983" s="86"/>
      <c r="D11983" s="26"/>
      <c r="F11983" s="87" t="str">
        <f t="shared" si="0"/>
        <v/>
      </c>
      <c r="H11983" s="26" t="str">
        <f t="shared" si="1"/>
        <v/>
      </c>
      <c r="I11983" s="26" t="str">
        <f t="shared" si="2"/>
        <v/>
      </c>
      <c r="J11983" s="86">
        <f t="shared" si="3"/>
        <v>0</v>
      </c>
      <c r="R11983" s="26"/>
    </row>
    <row r="11984" spans="1:18" ht="15.75" customHeight="1">
      <c r="A11984" s="26"/>
      <c r="B11984" s="86"/>
      <c r="D11984" s="26"/>
      <c r="F11984" s="87" t="str">
        <f t="shared" si="0"/>
        <v/>
      </c>
      <c r="H11984" s="26" t="str">
        <f t="shared" si="1"/>
        <v/>
      </c>
      <c r="I11984" s="26" t="str">
        <f t="shared" si="2"/>
        <v/>
      </c>
      <c r="J11984" s="86">
        <f t="shared" si="3"/>
        <v>0</v>
      </c>
      <c r="R11984" s="26"/>
    </row>
    <row r="11985" spans="1:18" ht="15.75" customHeight="1">
      <c r="A11985" s="26"/>
      <c r="B11985" s="86"/>
      <c r="D11985" s="26"/>
      <c r="F11985" s="87" t="str">
        <f t="shared" si="0"/>
        <v/>
      </c>
      <c r="H11985" s="26" t="str">
        <f t="shared" si="1"/>
        <v/>
      </c>
      <c r="I11985" s="26" t="str">
        <f t="shared" si="2"/>
        <v/>
      </c>
      <c r="J11985" s="86">
        <f t="shared" si="3"/>
        <v>0</v>
      </c>
      <c r="R11985" s="26"/>
    </row>
    <row r="11986" spans="1:18" ht="15.75" customHeight="1">
      <c r="A11986" s="26"/>
      <c r="B11986" s="86"/>
      <c r="D11986" s="26"/>
      <c r="F11986" s="87" t="str">
        <f t="shared" si="0"/>
        <v/>
      </c>
      <c r="H11986" s="26" t="str">
        <f t="shared" si="1"/>
        <v/>
      </c>
      <c r="I11986" s="26" t="str">
        <f t="shared" si="2"/>
        <v/>
      </c>
      <c r="J11986" s="86">
        <f t="shared" si="3"/>
        <v>0</v>
      </c>
      <c r="R11986" s="26"/>
    </row>
    <row r="11987" spans="1:18" ht="15.75" customHeight="1">
      <c r="A11987" s="26"/>
      <c r="B11987" s="86"/>
      <c r="D11987" s="26"/>
      <c r="F11987" s="87" t="str">
        <f t="shared" si="0"/>
        <v/>
      </c>
      <c r="H11987" s="26" t="str">
        <f t="shared" si="1"/>
        <v/>
      </c>
      <c r="I11987" s="26" t="str">
        <f t="shared" si="2"/>
        <v/>
      </c>
      <c r="J11987" s="86">
        <f t="shared" si="3"/>
        <v>0</v>
      </c>
      <c r="R11987" s="26"/>
    </row>
    <row r="11988" spans="1:18" ht="15.75" customHeight="1">
      <c r="A11988" s="26"/>
      <c r="B11988" s="86"/>
      <c r="D11988" s="26"/>
      <c r="F11988" s="87" t="str">
        <f t="shared" si="0"/>
        <v/>
      </c>
      <c r="H11988" s="26" t="str">
        <f t="shared" si="1"/>
        <v/>
      </c>
      <c r="I11988" s="26" t="str">
        <f t="shared" si="2"/>
        <v/>
      </c>
      <c r="J11988" s="86">
        <f t="shared" si="3"/>
        <v>0</v>
      </c>
      <c r="R11988" s="26"/>
    </row>
    <row r="11989" spans="1:18" ht="15.75" customHeight="1">
      <c r="A11989" s="26"/>
      <c r="B11989" s="86"/>
      <c r="D11989" s="26"/>
      <c r="F11989" s="87" t="str">
        <f t="shared" si="0"/>
        <v/>
      </c>
      <c r="H11989" s="26" t="str">
        <f t="shared" si="1"/>
        <v/>
      </c>
      <c r="I11989" s="26" t="str">
        <f t="shared" si="2"/>
        <v/>
      </c>
      <c r="J11989" s="86">
        <f t="shared" si="3"/>
        <v>0</v>
      </c>
      <c r="R11989" s="26"/>
    </row>
    <row r="11990" spans="1:18" ht="15.75" customHeight="1">
      <c r="A11990" s="26"/>
      <c r="B11990" s="86"/>
      <c r="D11990" s="26"/>
      <c r="F11990" s="87" t="str">
        <f t="shared" si="0"/>
        <v/>
      </c>
      <c r="H11990" s="26" t="str">
        <f t="shared" si="1"/>
        <v/>
      </c>
      <c r="I11990" s="26" t="str">
        <f t="shared" si="2"/>
        <v/>
      </c>
      <c r="J11990" s="86">
        <f t="shared" si="3"/>
        <v>0</v>
      </c>
      <c r="R11990" s="26"/>
    </row>
    <row r="11991" spans="1:18" ht="15.75" customHeight="1">
      <c r="A11991" s="26"/>
      <c r="B11991" s="86"/>
      <c r="D11991" s="26"/>
      <c r="F11991" s="87" t="str">
        <f t="shared" si="0"/>
        <v/>
      </c>
      <c r="H11991" s="26" t="str">
        <f t="shared" si="1"/>
        <v/>
      </c>
      <c r="I11991" s="26" t="str">
        <f t="shared" si="2"/>
        <v/>
      </c>
      <c r="J11991" s="86">
        <f t="shared" si="3"/>
        <v>0</v>
      </c>
      <c r="R11991" s="26"/>
    </row>
    <row r="11992" spans="1:18" ht="15.75" customHeight="1">
      <c r="A11992" s="26"/>
      <c r="B11992" s="86"/>
      <c r="D11992" s="26"/>
      <c r="F11992" s="87" t="str">
        <f t="shared" si="0"/>
        <v/>
      </c>
      <c r="H11992" s="26" t="str">
        <f t="shared" si="1"/>
        <v/>
      </c>
      <c r="I11992" s="26" t="str">
        <f t="shared" si="2"/>
        <v/>
      </c>
      <c r="J11992" s="86">
        <f t="shared" si="3"/>
        <v>0</v>
      </c>
      <c r="R11992" s="26"/>
    </row>
    <row r="11993" spans="1:18" ht="15.75" customHeight="1">
      <c r="A11993" s="26"/>
      <c r="B11993" s="86"/>
      <c r="D11993" s="26"/>
      <c r="F11993" s="87" t="str">
        <f t="shared" si="0"/>
        <v/>
      </c>
      <c r="H11993" s="26" t="str">
        <f t="shared" si="1"/>
        <v/>
      </c>
      <c r="I11993" s="26" t="str">
        <f t="shared" si="2"/>
        <v/>
      </c>
      <c r="J11993" s="86">
        <f t="shared" si="3"/>
        <v>0</v>
      </c>
      <c r="R11993" s="26"/>
    </row>
    <row r="11994" spans="1:18" ht="15.75" customHeight="1">
      <c r="A11994" s="26"/>
      <c r="B11994" s="86"/>
      <c r="D11994" s="26"/>
      <c r="F11994" s="87" t="str">
        <f t="shared" si="0"/>
        <v/>
      </c>
      <c r="H11994" s="26" t="str">
        <f t="shared" si="1"/>
        <v/>
      </c>
      <c r="I11994" s="26" t="str">
        <f t="shared" si="2"/>
        <v/>
      </c>
      <c r="J11994" s="86">
        <f t="shared" si="3"/>
        <v>0</v>
      </c>
      <c r="R11994" s="26"/>
    </row>
    <row r="11995" spans="1:18" ht="15.75" customHeight="1">
      <c r="A11995" s="26"/>
      <c r="B11995" s="86"/>
      <c r="D11995" s="26"/>
      <c r="F11995" s="87" t="str">
        <f t="shared" si="0"/>
        <v/>
      </c>
      <c r="H11995" s="26" t="str">
        <f t="shared" si="1"/>
        <v/>
      </c>
      <c r="I11995" s="26" t="str">
        <f t="shared" si="2"/>
        <v/>
      </c>
      <c r="J11995" s="86">
        <f t="shared" si="3"/>
        <v>0</v>
      </c>
      <c r="R11995" s="26"/>
    </row>
    <row r="11996" spans="1:18" ht="15.75" customHeight="1">
      <c r="A11996" s="26"/>
      <c r="B11996" s="86"/>
      <c r="D11996" s="26"/>
      <c r="F11996" s="87" t="str">
        <f t="shared" si="0"/>
        <v/>
      </c>
      <c r="H11996" s="26" t="str">
        <f t="shared" si="1"/>
        <v/>
      </c>
      <c r="I11996" s="26" t="str">
        <f t="shared" si="2"/>
        <v/>
      </c>
      <c r="J11996" s="86">
        <f t="shared" si="3"/>
        <v>0</v>
      </c>
      <c r="R11996" s="26"/>
    </row>
    <row r="11997" spans="1:18" ht="15.75" customHeight="1">
      <c r="A11997" s="26"/>
      <c r="B11997" s="86"/>
      <c r="D11997" s="26"/>
      <c r="F11997" s="87" t="str">
        <f t="shared" si="0"/>
        <v/>
      </c>
      <c r="H11997" s="26" t="str">
        <f t="shared" si="1"/>
        <v/>
      </c>
      <c r="I11997" s="26" t="str">
        <f t="shared" si="2"/>
        <v/>
      </c>
      <c r="J11997" s="86">
        <f t="shared" si="3"/>
        <v>0</v>
      </c>
      <c r="R11997" s="26"/>
    </row>
    <row r="11998" spans="1:18" ht="15.75" customHeight="1">
      <c r="A11998" s="26"/>
      <c r="B11998" s="86"/>
      <c r="D11998" s="26"/>
      <c r="F11998" s="87" t="str">
        <f t="shared" si="0"/>
        <v/>
      </c>
      <c r="H11998" s="26" t="str">
        <f t="shared" si="1"/>
        <v/>
      </c>
      <c r="I11998" s="26" t="str">
        <f t="shared" si="2"/>
        <v/>
      </c>
      <c r="J11998" s="86">
        <f t="shared" si="3"/>
        <v>0</v>
      </c>
      <c r="R11998" s="26"/>
    </row>
    <row r="11999" spans="1:18" ht="15.75" customHeight="1">
      <c r="A11999" s="26"/>
      <c r="B11999" s="86"/>
      <c r="D11999" s="26"/>
      <c r="F11999" s="87" t="str">
        <f t="shared" si="0"/>
        <v/>
      </c>
      <c r="H11999" s="26" t="str">
        <f t="shared" si="1"/>
        <v/>
      </c>
      <c r="I11999" s="26" t="str">
        <f t="shared" si="2"/>
        <v/>
      </c>
      <c r="J11999" s="86">
        <f t="shared" si="3"/>
        <v>0</v>
      </c>
      <c r="R11999" s="26"/>
    </row>
    <row r="12000" spans="1:18" ht="15.75" customHeight="1">
      <c r="A12000" s="26"/>
      <c r="B12000" s="86"/>
      <c r="D12000" s="26"/>
      <c r="F12000" s="87" t="str">
        <f t="shared" si="0"/>
        <v/>
      </c>
      <c r="H12000" s="26" t="str">
        <f t="shared" si="1"/>
        <v/>
      </c>
      <c r="I12000" s="26" t="str">
        <f t="shared" si="2"/>
        <v/>
      </c>
      <c r="J12000" s="86">
        <f t="shared" si="3"/>
        <v>0</v>
      </c>
      <c r="R12000" s="26"/>
    </row>
    <row r="12001" spans="1:18" ht="15.75" customHeight="1">
      <c r="A12001" s="26"/>
      <c r="B12001" s="86"/>
      <c r="D12001" s="26"/>
      <c r="F12001" s="87" t="str">
        <f t="shared" si="0"/>
        <v/>
      </c>
      <c r="H12001" s="26" t="str">
        <f t="shared" si="1"/>
        <v/>
      </c>
      <c r="I12001" s="26" t="str">
        <f t="shared" si="2"/>
        <v/>
      </c>
      <c r="J12001" s="86">
        <f t="shared" si="3"/>
        <v>0</v>
      </c>
      <c r="R12001" s="26"/>
    </row>
    <row r="12002" spans="1:18" ht="15.75" customHeight="1">
      <c r="A12002" s="26"/>
      <c r="B12002" s="86"/>
      <c r="D12002" s="26"/>
      <c r="F12002" s="87" t="str">
        <f t="shared" si="0"/>
        <v/>
      </c>
      <c r="H12002" s="26" t="str">
        <f t="shared" si="1"/>
        <v/>
      </c>
      <c r="I12002" s="26" t="str">
        <f t="shared" si="2"/>
        <v/>
      </c>
      <c r="J12002" s="86">
        <f t="shared" si="3"/>
        <v>0</v>
      </c>
      <c r="R12002" s="26"/>
    </row>
    <row r="12003" spans="1:18" ht="15.75" customHeight="1">
      <c r="A12003" s="26"/>
      <c r="B12003" s="86"/>
      <c r="D12003" s="26"/>
      <c r="F12003" s="87" t="str">
        <f t="shared" si="0"/>
        <v/>
      </c>
      <c r="H12003" s="26" t="str">
        <f t="shared" si="1"/>
        <v/>
      </c>
      <c r="I12003" s="26" t="str">
        <f t="shared" si="2"/>
        <v/>
      </c>
      <c r="J12003" s="86">
        <f t="shared" si="3"/>
        <v>0</v>
      </c>
      <c r="R12003" s="26"/>
    </row>
    <row r="12004" spans="1:18" ht="15.75" customHeight="1">
      <c r="A12004" s="26"/>
      <c r="B12004" s="86"/>
      <c r="D12004" s="26"/>
      <c r="F12004" s="87" t="str">
        <f t="shared" si="0"/>
        <v/>
      </c>
      <c r="H12004" s="26" t="str">
        <f t="shared" si="1"/>
        <v/>
      </c>
      <c r="I12004" s="26" t="str">
        <f t="shared" si="2"/>
        <v/>
      </c>
      <c r="J12004" s="86">
        <f t="shared" si="3"/>
        <v>0</v>
      </c>
      <c r="R12004" s="26"/>
    </row>
    <row r="12005" spans="1:18" ht="15.75" customHeight="1">
      <c r="A12005" s="26"/>
      <c r="B12005" s="86"/>
      <c r="D12005" s="26"/>
      <c r="F12005" s="87" t="str">
        <f t="shared" si="0"/>
        <v/>
      </c>
      <c r="H12005" s="26" t="str">
        <f t="shared" si="1"/>
        <v/>
      </c>
      <c r="I12005" s="26" t="str">
        <f t="shared" si="2"/>
        <v/>
      </c>
      <c r="J12005" s="86">
        <f t="shared" si="3"/>
        <v>0</v>
      </c>
      <c r="R12005" s="26"/>
    </row>
    <row r="12006" spans="1:18" ht="15.75" customHeight="1">
      <c r="A12006" s="26"/>
      <c r="B12006" s="86"/>
      <c r="D12006" s="26"/>
      <c r="F12006" s="87" t="str">
        <f t="shared" si="0"/>
        <v/>
      </c>
      <c r="H12006" s="26" t="str">
        <f t="shared" si="1"/>
        <v/>
      </c>
      <c r="I12006" s="26" t="str">
        <f t="shared" si="2"/>
        <v/>
      </c>
      <c r="J12006" s="86">
        <f t="shared" si="3"/>
        <v>0</v>
      </c>
      <c r="R12006" s="26"/>
    </row>
    <row r="12007" spans="1:18" ht="15.75" customHeight="1">
      <c r="A12007" s="26"/>
      <c r="B12007" s="86"/>
      <c r="D12007" s="26"/>
      <c r="F12007" s="87" t="str">
        <f t="shared" si="0"/>
        <v/>
      </c>
      <c r="H12007" s="26" t="str">
        <f t="shared" si="1"/>
        <v/>
      </c>
      <c r="I12007" s="26" t="str">
        <f t="shared" si="2"/>
        <v/>
      </c>
      <c r="J12007" s="86">
        <f t="shared" si="3"/>
        <v>0</v>
      </c>
      <c r="R12007" s="26"/>
    </row>
    <row r="12008" spans="1:18" ht="15.75" customHeight="1">
      <c r="A12008" s="26"/>
      <c r="B12008" s="86"/>
      <c r="D12008" s="26"/>
      <c r="F12008" s="87" t="str">
        <f t="shared" si="0"/>
        <v/>
      </c>
      <c r="H12008" s="26" t="str">
        <f t="shared" si="1"/>
        <v/>
      </c>
      <c r="I12008" s="26" t="str">
        <f t="shared" si="2"/>
        <v/>
      </c>
      <c r="J12008" s="86">
        <f t="shared" si="3"/>
        <v>0</v>
      </c>
      <c r="R12008" s="26"/>
    </row>
    <row r="12009" spans="1:18" ht="15.75" customHeight="1">
      <c r="A12009" s="26"/>
      <c r="B12009" s="86"/>
      <c r="D12009" s="26"/>
      <c r="F12009" s="87" t="str">
        <f t="shared" si="0"/>
        <v/>
      </c>
      <c r="H12009" s="26" t="str">
        <f t="shared" si="1"/>
        <v/>
      </c>
      <c r="I12009" s="26" t="str">
        <f t="shared" si="2"/>
        <v/>
      </c>
      <c r="J12009" s="86">
        <f t="shared" si="3"/>
        <v>0</v>
      </c>
      <c r="R12009" s="26"/>
    </row>
    <row r="12010" spans="1:18" ht="15.75" customHeight="1">
      <c r="A12010" s="26"/>
      <c r="B12010" s="86"/>
      <c r="D12010" s="26"/>
      <c r="F12010" s="87" t="str">
        <f t="shared" si="0"/>
        <v/>
      </c>
      <c r="H12010" s="26" t="str">
        <f t="shared" si="1"/>
        <v/>
      </c>
      <c r="I12010" s="26" t="str">
        <f t="shared" si="2"/>
        <v/>
      </c>
      <c r="J12010" s="86">
        <f t="shared" si="3"/>
        <v>0</v>
      </c>
      <c r="R12010" s="26"/>
    </row>
    <row r="12011" spans="1:18" ht="15.75" customHeight="1">
      <c r="A12011" s="26"/>
      <c r="B12011" s="86"/>
      <c r="D12011" s="26"/>
      <c r="F12011" s="87" t="str">
        <f t="shared" si="0"/>
        <v/>
      </c>
      <c r="H12011" s="26" t="str">
        <f t="shared" si="1"/>
        <v/>
      </c>
      <c r="I12011" s="26" t="str">
        <f t="shared" si="2"/>
        <v/>
      </c>
      <c r="J12011" s="86">
        <f t="shared" si="3"/>
        <v>0</v>
      </c>
      <c r="R12011" s="26"/>
    </row>
    <row r="12012" spans="1:18" ht="15.75" customHeight="1">
      <c r="A12012" s="26"/>
      <c r="B12012" s="86"/>
      <c r="D12012" s="26"/>
      <c r="F12012" s="87" t="str">
        <f t="shared" si="0"/>
        <v/>
      </c>
      <c r="H12012" s="26" t="str">
        <f t="shared" si="1"/>
        <v/>
      </c>
      <c r="I12012" s="26" t="str">
        <f t="shared" si="2"/>
        <v/>
      </c>
      <c r="J12012" s="86">
        <f t="shared" si="3"/>
        <v>0</v>
      </c>
      <c r="R12012" s="26"/>
    </row>
    <row r="12013" spans="1:18" ht="15.75" customHeight="1">
      <c r="A12013" s="26"/>
      <c r="B12013" s="86"/>
      <c r="D12013" s="26"/>
      <c r="F12013" s="87" t="str">
        <f t="shared" si="0"/>
        <v/>
      </c>
      <c r="H12013" s="26" t="str">
        <f t="shared" si="1"/>
        <v/>
      </c>
      <c r="I12013" s="26" t="str">
        <f t="shared" si="2"/>
        <v/>
      </c>
      <c r="J12013" s="86">
        <f t="shared" si="3"/>
        <v>0</v>
      </c>
      <c r="R12013" s="26"/>
    </row>
    <row r="12014" spans="1:18" ht="15.75" customHeight="1">
      <c r="A12014" s="26"/>
      <c r="B12014" s="86"/>
      <c r="D12014" s="26"/>
      <c r="F12014" s="87" t="str">
        <f t="shared" si="0"/>
        <v/>
      </c>
      <c r="H12014" s="26" t="str">
        <f t="shared" si="1"/>
        <v/>
      </c>
      <c r="I12014" s="26" t="str">
        <f t="shared" si="2"/>
        <v/>
      </c>
      <c r="J12014" s="86">
        <f t="shared" si="3"/>
        <v>0</v>
      </c>
      <c r="R12014" s="26"/>
    </row>
    <row r="12015" spans="1:18" ht="15.75" customHeight="1">
      <c r="A12015" s="26"/>
      <c r="B12015" s="86"/>
      <c r="D12015" s="26"/>
      <c r="F12015" s="87" t="str">
        <f t="shared" si="0"/>
        <v/>
      </c>
      <c r="H12015" s="26" t="str">
        <f t="shared" si="1"/>
        <v/>
      </c>
      <c r="I12015" s="26" t="str">
        <f t="shared" si="2"/>
        <v/>
      </c>
      <c r="J12015" s="86">
        <f t="shared" si="3"/>
        <v>0</v>
      </c>
      <c r="R12015" s="26"/>
    </row>
    <row r="12016" spans="1:18" ht="15.75" customHeight="1">
      <c r="A12016" s="26"/>
      <c r="B12016" s="86"/>
      <c r="D12016" s="26"/>
      <c r="F12016" s="87" t="str">
        <f t="shared" si="0"/>
        <v/>
      </c>
      <c r="H12016" s="26" t="str">
        <f t="shared" si="1"/>
        <v/>
      </c>
      <c r="I12016" s="26" t="str">
        <f t="shared" si="2"/>
        <v/>
      </c>
      <c r="J12016" s="86">
        <f t="shared" si="3"/>
        <v>0</v>
      </c>
      <c r="R12016" s="26"/>
    </row>
    <row r="12017" spans="1:18" ht="15.75" customHeight="1">
      <c r="A12017" s="26"/>
      <c r="B12017" s="86"/>
      <c r="D12017" s="26"/>
      <c r="F12017" s="87" t="str">
        <f t="shared" si="0"/>
        <v/>
      </c>
      <c r="H12017" s="26" t="str">
        <f t="shared" si="1"/>
        <v/>
      </c>
      <c r="I12017" s="26" t="str">
        <f t="shared" si="2"/>
        <v/>
      </c>
      <c r="J12017" s="86">
        <f t="shared" si="3"/>
        <v>0</v>
      </c>
      <c r="R12017" s="26"/>
    </row>
    <row r="12018" spans="1:18" ht="15.75" customHeight="1">
      <c r="A12018" s="26"/>
      <c r="B12018" s="86"/>
      <c r="D12018" s="26"/>
      <c r="F12018" s="87" t="str">
        <f t="shared" si="0"/>
        <v/>
      </c>
      <c r="H12018" s="26" t="str">
        <f t="shared" si="1"/>
        <v/>
      </c>
      <c r="I12018" s="26" t="str">
        <f t="shared" si="2"/>
        <v/>
      </c>
      <c r="J12018" s="86">
        <f t="shared" si="3"/>
        <v>0</v>
      </c>
      <c r="R12018" s="26"/>
    </row>
    <row r="12019" spans="1:18" ht="15.75" customHeight="1">
      <c r="A12019" s="26"/>
      <c r="B12019" s="86"/>
      <c r="D12019" s="26"/>
      <c r="F12019" s="87" t="str">
        <f t="shared" si="0"/>
        <v/>
      </c>
      <c r="H12019" s="26" t="str">
        <f t="shared" si="1"/>
        <v/>
      </c>
      <c r="I12019" s="26" t="str">
        <f t="shared" si="2"/>
        <v/>
      </c>
      <c r="J12019" s="86">
        <f t="shared" si="3"/>
        <v>0</v>
      </c>
      <c r="R12019" s="26"/>
    </row>
    <row r="12020" spans="1:18" ht="15.75" customHeight="1">
      <c r="A12020" s="26"/>
      <c r="B12020" s="86"/>
      <c r="D12020" s="26"/>
      <c r="F12020" s="87" t="str">
        <f t="shared" si="0"/>
        <v/>
      </c>
      <c r="H12020" s="26" t="str">
        <f t="shared" si="1"/>
        <v/>
      </c>
      <c r="I12020" s="26" t="str">
        <f t="shared" si="2"/>
        <v/>
      </c>
      <c r="J12020" s="86">
        <f t="shared" si="3"/>
        <v>0</v>
      </c>
      <c r="R12020" s="26"/>
    </row>
    <row r="12021" spans="1:18" ht="15.75" customHeight="1">
      <c r="A12021" s="26"/>
      <c r="B12021" s="86"/>
      <c r="D12021" s="26"/>
      <c r="F12021" s="87" t="str">
        <f t="shared" si="0"/>
        <v/>
      </c>
      <c r="H12021" s="26" t="str">
        <f t="shared" si="1"/>
        <v/>
      </c>
      <c r="I12021" s="26" t="str">
        <f t="shared" si="2"/>
        <v/>
      </c>
      <c r="J12021" s="86">
        <f t="shared" si="3"/>
        <v>0</v>
      </c>
      <c r="R12021" s="26"/>
    </row>
    <row r="12022" spans="1:18" ht="15.75" customHeight="1">
      <c r="A12022" s="26"/>
      <c r="B12022" s="86"/>
      <c r="D12022" s="26"/>
      <c r="F12022" s="87" t="str">
        <f t="shared" si="0"/>
        <v/>
      </c>
      <c r="H12022" s="26" t="str">
        <f t="shared" si="1"/>
        <v/>
      </c>
      <c r="I12022" s="26" t="str">
        <f t="shared" si="2"/>
        <v/>
      </c>
      <c r="J12022" s="86">
        <f t="shared" si="3"/>
        <v>0</v>
      </c>
      <c r="R12022" s="26"/>
    </row>
    <row r="12023" spans="1:18" ht="15.75" customHeight="1">
      <c r="A12023" s="26"/>
      <c r="B12023" s="86"/>
      <c r="D12023" s="26"/>
      <c r="F12023" s="87" t="str">
        <f t="shared" si="0"/>
        <v/>
      </c>
      <c r="H12023" s="26" t="str">
        <f t="shared" si="1"/>
        <v/>
      </c>
      <c r="I12023" s="26" t="str">
        <f t="shared" si="2"/>
        <v/>
      </c>
      <c r="J12023" s="86">
        <f t="shared" si="3"/>
        <v>0</v>
      </c>
      <c r="R12023" s="26"/>
    </row>
    <row r="12024" spans="1:18" ht="15.75" customHeight="1">
      <c r="A12024" s="26"/>
      <c r="B12024" s="86"/>
      <c r="D12024" s="26"/>
      <c r="F12024" s="87" t="str">
        <f t="shared" si="0"/>
        <v/>
      </c>
      <c r="H12024" s="26" t="str">
        <f t="shared" si="1"/>
        <v/>
      </c>
      <c r="I12024" s="26" t="str">
        <f t="shared" si="2"/>
        <v/>
      </c>
      <c r="J12024" s="86">
        <f t="shared" si="3"/>
        <v>0</v>
      </c>
      <c r="R12024" s="26"/>
    </row>
    <row r="12025" spans="1:18" ht="15.75" customHeight="1">
      <c r="A12025" s="26"/>
      <c r="B12025" s="86"/>
      <c r="D12025" s="26"/>
      <c r="F12025" s="87" t="str">
        <f t="shared" si="0"/>
        <v/>
      </c>
      <c r="H12025" s="26" t="str">
        <f t="shared" si="1"/>
        <v/>
      </c>
      <c r="I12025" s="26" t="str">
        <f t="shared" si="2"/>
        <v/>
      </c>
      <c r="J12025" s="86">
        <f t="shared" si="3"/>
        <v>0</v>
      </c>
      <c r="R12025" s="26"/>
    </row>
    <row r="12026" spans="1:18" ht="15.75" customHeight="1">
      <c r="A12026" s="26"/>
      <c r="B12026" s="86"/>
      <c r="D12026" s="26"/>
      <c r="F12026" s="87" t="str">
        <f t="shared" si="0"/>
        <v/>
      </c>
      <c r="H12026" s="26" t="str">
        <f t="shared" si="1"/>
        <v/>
      </c>
      <c r="I12026" s="26" t="str">
        <f t="shared" si="2"/>
        <v/>
      </c>
      <c r="J12026" s="86">
        <f t="shared" si="3"/>
        <v>0</v>
      </c>
      <c r="R12026" s="26"/>
    </row>
    <row r="12027" spans="1:18" ht="15.75" customHeight="1">
      <c r="A12027" s="26"/>
      <c r="B12027" s="86"/>
      <c r="D12027" s="26"/>
      <c r="F12027" s="87" t="str">
        <f t="shared" si="0"/>
        <v/>
      </c>
      <c r="H12027" s="26" t="str">
        <f t="shared" si="1"/>
        <v/>
      </c>
      <c r="I12027" s="26" t="str">
        <f t="shared" si="2"/>
        <v/>
      </c>
      <c r="J12027" s="86">
        <f t="shared" si="3"/>
        <v>0</v>
      </c>
      <c r="R12027" s="26"/>
    </row>
    <row r="12028" spans="1:18" ht="15.75" customHeight="1">
      <c r="A12028" s="26"/>
      <c r="B12028" s="86"/>
      <c r="D12028" s="26"/>
      <c r="F12028" s="87" t="str">
        <f t="shared" si="0"/>
        <v/>
      </c>
      <c r="H12028" s="26" t="str">
        <f t="shared" si="1"/>
        <v/>
      </c>
      <c r="I12028" s="26" t="str">
        <f t="shared" si="2"/>
        <v/>
      </c>
      <c r="J12028" s="86">
        <f t="shared" si="3"/>
        <v>0</v>
      </c>
      <c r="R12028" s="26"/>
    </row>
    <row r="12029" spans="1:18" ht="15.75" customHeight="1">
      <c r="A12029" s="26"/>
      <c r="B12029" s="86"/>
      <c r="D12029" s="26"/>
      <c r="F12029" s="87" t="str">
        <f t="shared" si="0"/>
        <v/>
      </c>
      <c r="H12029" s="26" t="str">
        <f t="shared" si="1"/>
        <v/>
      </c>
      <c r="I12029" s="26" t="str">
        <f t="shared" si="2"/>
        <v/>
      </c>
      <c r="J12029" s="86">
        <f t="shared" si="3"/>
        <v>0</v>
      </c>
      <c r="R12029" s="26"/>
    </row>
    <row r="12030" spans="1:18" ht="15.75" customHeight="1">
      <c r="A12030" s="26"/>
      <c r="B12030" s="86"/>
      <c r="D12030" s="26"/>
      <c r="F12030" s="87" t="str">
        <f t="shared" si="0"/>
        <v/>
      </c>
      <c r="H12030" s="26" t="str">
        <f t="shared" si="1"/>
        <v/>
      </c>
      <c r="I12030" s="26" t="str">
        <f t="shared" si="2"/>
        <v/>
      </c>
      <c r="J12030" s="86">
        <f t="shared" si="3"/>
        <v>0</v>
      </c>
      <c r="R12030" s="26"/>
    </row>
    <row r="12031" spans="1:18" ht="15.75" customHeight="1">
      <c r="A12031" s="26"/>
      <c r="B12031" s="86"/>
      <c r="D12031" s="26"/>
      <c r="F12031" s="87" t="str">
        <f t="shared" si="0"/>
        <v/>
      </c>
      <c r="H12031" s="26" t="str">
        <f t="shared" si="1"/>
        <v/>
      </c>
      <c r="I12031" s="26" t="str">
        <f t="shared" si="2"/>
        <v/>
      </c>
      <c r="J12031" s="86">
        <f t="shared" si="3"/>
        <v>0</v>
      </c>
      <c r="R12031" s="26"/>
    </row>
    <row r="12032" spans="1:18" ht="15.75" customHeight="1">
      <c r="A12032" s="26"/>
      <c r="B12032" s="86"/>
      <c r="D12032" s="26"/>
      <c r="F12032" s="87" t="str">
        <f t="shared" si="0"/>
        <v/>
      </c>
      <c r="H12032" s="26" t="str">
        <f t="shared" si="1"/>
        <v/>
      </c>
      <c r="I12032" s="26" t="str">
        <f t="shared" si="2"/>
        <v/>
      </c>
      <c r="J12032" s="86">
        <f t="shared" si="3"/>
        <v>0</v>
      </c>
      <c r="R12032" s="26"/>
    </row>
    <row r="12033" spans="1:18" ht="15.75" customHeight="1">
      <c r="A12033" s="26"/>
      <c r="B12033" s="86"/>
      <c r="D12033" s="26"/>
      <c r="F12033" s="87" t="str">
        <f t="shared" si="0"/>
        <v/>
      </c>
      <c r="H12033" s="26" t="str">
        <f t="shared" si="1"/>
        <v/>
      </c>
      <c r="I12033" s="26" t="str">
        <f t="shared" si="2"/>
        <v/>
      </c>
      <c r="J12033" s="86">
        <f t="shared" si="3"/>
        <v>0</v>
      </c>
      <c r="R12033" s="26"/>
    </row>
    <row r="12034" spans="1:18" ht="15.75" customHeight="1">
      <c r="A12034" s="26"/>
      <c r="B12034" s="86"/>
      <c r="D12034" s="26"/>
      <c r="F12034" s="87" t="str">
        <f t="shared" si="0"/>
        <v/>
      </c>
      <c r="H12034" s="26" t="str">
        <f t="shared" si="1"/>
        <v/>
      </c>
      <c r="I12034" s="26" t="str">
        <f t="shared" si="2"/>
        <v/>
      </c>
      <c r="J12034" s="86">
        <f t="shared" si="3"/>
        <v>0</v>
      </c>
      <c r="R12034" s="26"/>
    </row>
    <row r="12035" spans="1:18" ht="15.75" customHeight="1">
      <c r="A12035" s="26"/>
      <c r="B12035" s="86"/>
      <c r="D12035" s="26"/>
      <c r="F12035" s="87" t="str">
        <f t="shared" si="0"/>
        <v/>
      </c>
      <c r="H12035" s="26" t="str">
        <f t="shared" si="1"/>
        <v/>
      </c>
      <c r="I12035" s="26" t="str">
        <f t="shared" si="2"/>
        <v/>
      </c>
      <c r="J12035" s="86">
        <f t="shared" si="3"/>
        <v>0</v>
      </c>
      <c r="R12035" s="26"/>
    </row>
    <row r="12036" spans="1:18" ht="15.75" customHeight="1">
      <c r="A12036" s="26"/>
      <c r="B12036" s="86"/>
      <c r="D12036" s="26"/>
      <c r="F12036" s="87" t="str">
        <f t="shared" si="0"/>
        <v/>
      </c>
      <c r="H12036" s="26" t="str">
        <f t="shared" si="1"/>
        <v/>
      </c>
      <c r="I12036" s="26" t="str">
        <f t="shared" si="2"/>
        <v/>
      </c>
      <c r="J12036" s="86">
        <f t="shared" si="3"/>
        <v>0</v>
      </c>
      <c r="R12036" s="26"/>
    </row>
    <row r="12037" spans="1:18" ht="15.75" customHeight="1">
      <c r="A12037" s="26"/>
      <c r="B12037" s="86"/>
      <c r="D12037" s="26"/>
      <c r="F12037" s="87" t="str">
        <f t="shared" si="0"/>
        <v/>
      </c>
      <c r="H12037" s="26" t="str">
        <f t="shared" si="1"/>
        <v/>
      </c>
      <c r="I12037" s="26" t="str">
        <f t="shared" si="2"/>
        <v/>
      </c>
      <c r="J12037" s="86">
        <f t="shared" si="3"/>
        <v>0</v>
      </c>
      <c r="R12037" s="26"/>
    </row>
    <row r="12038" spans="1:18" ht="15.75" customHeight="1">
      <c r="A12038" s="26"/>
      <c r="B12038" s="86"/>
      <c r="D12038" s="26"/>
      <c r="F12038" s="87" t="str">
        <f t="shared" si="0"/>
        <v/>
      </c>
      <c r="H12038" s="26" t="str">
        <f t="shared" si="1"/>
        <v/>
      </c>
      <c r="I12038" s="26" t="str">
        <f t="shared" si="2"/>
        <v/>
      </c>
      <c r="J12038" s="86">
        <f t="shared" si="3"/>
        <v>0</v>
      </c>
      <c r="R12038" s="26"/>
    </row>
    <row r="12039" spans="1:18" ht="15.75" customHeight="1">
      <c r="A12039" s="26"/>
      <c r="B12039" s="86"/>
      <c r="D12039" s="26"/>
      <c r="F12039" s="87" t="str">
        <f t="shared" si="0"/>
        <v/>
      </c>
      <c r="H12039" s="26" t="str">
        <f t="shared" si="1"/>
        <v/>
      </c>
      <c r="I12039" s="26" t="str">
        <f t="shared" si="2"/>
        <v/>
      </c>
      <c r="J12039" s="86">
        <f t="shared" si="3"/>
        <v>0</v>
      </c>
      <c r="R12039" s="26"/>
    </row>
    <row r="12040" spans="1:18" ht="15.75" customHeight="1">
      <c r="A12040" s="26"/>
      <c r="B12040" s="86"/>
      <c r="D12040" s="26"/>
      <c r="F12040" s="87" t="str">
        <f t="shared" si="0"/>
        <v/>
      </c>
      <c r="H12040" s="26" t="str">
        <f t="shared" si="1"/>
        <v/>
      </c>
      <c r="I12040" s="26" t="str">
        <f t="shared" si="2"/>
        <v/>
      </c>
      <c r="J12040" s="86">
        <f t="shared" si="3"/>
        <v>0</v>
      </c>
      <c r="R12040" s="26"/>
    </row>
    <row r="12041" spans="1:18" ht="15.75" customHeight="1">
      <c r="A12041" s="26"/>
      <c r="B12041" s="86"/>
      <c r="D12041" s="26"/>
      <c r="F12041" s="87" t="str">
        <f t="shared" si="0"/>
        <v/>
      </c>
      <c r="H12041" s="26" t="str">
        <f t="shared" si="1"/>
        <v/>
      </c>
      <c r="I12041" s="26" t="str">
        <f t="shared" si="2"/>
        <v/>
      </c>
      <c r="J12041" s="86">
        <f t="shared" si="3"/>
        <v>0</v>
      </c>
      <c r="R12041" s="26"/>
    </row>
    <row r="12042" spans="1:18" ht="15.75" customHeight="1">
      <c r="A12042" s="26"/>
      <c r="B12042" s="86"/>
      <c r="D12042" s="26"/>
      <c r="F12042" s="87" t="str">
        <f t="shared" si="0"/>
        <v/>
      </c>
      <c r="H12042" s="26" t="str">
        <f t="shared" si="1"/>
        <v/>
      </c>
      <c r="I12042" s="26" t="str">
        <f t="shared" si="2"/>
        <v/>
      </c>
      <c r="J12042" s="86">
        <f t="shared" si="3"/>
        <v>0</v>
      </c>
      <c r="R12042" s="26"/>
    </row>
    <row r="12043" spans="1:18" ht="15.75" customHeight="1">
      <c r="A12043" s="26"/>
      <c r="B12043" s="86"/>
      <c r="D12043" s="26"/>
      <c r="F12043" s="87" t="str">
        <f t="shared" si="0"/>
        <v/>
      </c>
      <c r="H12043" s="26" t="str">
        <f t="shared" si="1"/>
        <v/>
      </c>
      <c r="I12043" s="26" t="str">
        <f t="shared" si="2"/>
        <v/>
      </c>
      <c r="J12043" s="86">
        <f t="shared" si="3"/>
        <v>0</v>
      </c>
      <c r="R12043" s="26"/>
    </row>
    <row r="12044" spans="1:18" ht="15.75" customHeight="1">
      <c r="A12044" s="26"/>
      <c r="B12044" s="86"/>
      <c r="D12044" s="26"/>
      <c r="F12044" s="87" t="str">
        <f t="shared" si="0"/>
        <v/>
      </c>
      <c r="H12044" s="26" t="str">
        <f t="shared" si="1"/>
        <v/>
      </c>
      <c r="I12044" s="26" t="str">
        <f t="shared" si="2"/>
        <v/>
      </c>
      <c r="J12044" s="86">
        <f t="shared" si="3"/>
        <v>0</v>
      </c>
      <c r="R12044" s="26"/>
    </row>
    <row r="12045" spans="1:18" ht="15.75" customHeight="1">
      <c r="A12045" s="26"/>
      <c r="B12045" s="86"/>
      <c r="D12045" s="26"/>
      <c r="F12045" s="87" t="str">
        <f t="shared" si="0"/>
        <v/>
      </c>
      <c r="H12045" s="26" t="str">
        <f t="shared" si="1"/>
        <v/>
      </c>
      <c r="I12045" s="26" t="str">
        <f t="shared" si="2"/>
        <v/>
      </c>
      <c r="J12045" s="86">
        <f t="shared" si="3"/>
        <v>0</v>
      </c>
      <c r="R12045" s="26"/>
    </row>
    <row r="12046" spans="1:18" ht="15.75" customHeight="1">
      <c r="A12046" s="26"/>
      <c r="B12046" s="86"/>
      <c r="D12046" s="26"/>
      <c r="F12046" s="87" t="str">
        <f t="shared" si="0"/>
        <v/>
      </c>
      <c r="H12046" s="26" t="str">
        <f t="shared" si="1"/>
        <v/>
      </c>
      <c r="I12046" s="26" t="str">
        <f t="shared" si="2"/>
        <v/>
      </c>
      <c r="J12046" s="86">
        <f t="shared" si="3"/>
        <v>0</v>
      </c>
      <c r="R12046" s="26"/>
    </row>
    <row r="12047" spans="1:18" ht="15.75" customHeight="1">
      <c r="A12047" s="26"/>
      <c r="B12047" s="86"/>
      <c r="D12047" s="26"/>
      <c r="F12047" s="87" t="str">
        <f t="shared" si="0"/>
        <v/>
      </c>
      <c r="H12047" s="26" t="str">
        <f t="shared" si="1"/>
        <v/>
      </c>
      <c r="I12047" s="26" t="str">
        <f t="shared" si="2"/>
        <v/>
      </c>
      <c r="J12047" s="86">
        <f t="shared" si="3"/>
        <v>0</v>
      </c>
      <c r="R12047" s="26"/>
    </row>
    <row r="12048" spans="1:18" ht="15.75" customHeight="1">
      <c r="A12048" s="26"/>
      <c r="B12048" s="86"/>
      <c r="D12048" s="26"/>
      <c r="F12048" s="87" t="str">
        <f t="shared" si="0"/>
        <v/>
      </c>
      <c r="H12048" s="26" t="str">
        <f t="shared" si="1"/>
        <v/>
      </c>
      <c r="I12048" s="26" t="str">
        <f t="shared" si="2"/>
        <v/>
      </c>
      <c r="J12048" s="86">
        <f t="shared" si="3"/>
        <v>0</v>
      </c>
      <c r="R12048" s="26"/>
    </row>
    <row r="12049" spans="1:18" ht="15.75" customHeight="1">
      <c r="A12049" s="26"/>
      <c r="B12049" s="86"/>
      <c r="D12049" s="26"/>
      <c r="F12049" s="87" t="str">
        <f t="shared" si="0"/>
        <v/>
      </c>
      <c r="H12049" s="26" t="str">
        <f t="shared" si="1"/>
        <v/>
      </c>
      <c r="I12049" s="26" t="str">
        <f t="shared" si="2"/>
        <v/>
      </c>
      <c r="J12049" s="86">
        <f t="shared" si="3"/>
        <v>0</v>
      </c>
      <c r="R12049" s="26"/>
    </row>
    <row r="12050" spans="1:18" ht="15.75" customHeight="1">
      <c r="A12050" s="26"/>
      <c r="B12050" s="86"/>
      <c r="D12050" s="26"/>
      <c r="F12050" s="87" t="str">
        <f t="shared" si="0"/>
        <v/>
      </c>
      <c r="H12050" s="26" t="str">
        <f t="shared" si="1"/>
        <v/>
      </c>
      <c r="I12050" s="26" t="str">
        <f t="shared" si="2"/>
        <v/>
      </c>
      <c r="J12050" s="86">
        <f t="shared" si="3"/>
        <v>0</v>
      </c>
      <c r="R12050" s="26"/>
    </row>
    <row r="12051" spans="1:18" ht="15.75" customHeight="1">
      <c r="A12051" s="26"/>
      <c r="B12051" s="86"/>
      <c r="D12051" s="26"/>
      <c r="F12051" s="87" t="str">
        <f t="shared" si="0"/>
        <v/>
      </c>
      <c r="H12051" s="26" t="str">
        <f t="shared" si="1"/>
        <v/>
      </c>
      <c r="I12051" s="26" t="str">
        <f t="shared" si="2"/>
        <v/>
      </c>
      <c r="J12051" s="86">
        <f t="shared" si="3"/>
        <v>0</v>
      </c>
      <c r="R12051" s="26"/>
    </row>
    <row r="12052" spans="1:18" ht="15.75" customHeight="1">
      <c r="A12052" s="26"/>
      <c r="B12052" s="86"/>
      <c r="D12052" s="26"/>
      <c r="F12052" s="87" t="str">
        <f t="shared" si="0"/>
        <v/>
      </c>
      <c r="H12052" s="26" t="str">
        <f t="shared" si="1"/>
        <v/>
      </c>
      <c r="I12052" s="26" t="str">
        <f t="shared" si="2"/>
        <v/>
      </c>
      <c r="J12052" s="86">
        <f t="shared" si="3"/>
        <v>0</v>
      </c>
      <c r="R12052" s="26"/>
    </row>
    <row r="12053" spans="1:18" ht="15.75" customHeight="1">
      <c r="A12053" s="26"/>
      <c r="B12053" s="86"/>
      <c r="D12053" s="26"/>
      <c r="F12053" s="87" t="str">
        <f t="shared" si="0"/>
        <v/>
      </c>
      <c r="H12053" s="26" t="str">
        <f t="shared" si="1"/>
        <v/>
      </c>
      <c r="I12053" s="26" t="str">
        <f t="shared" si="2"/>
        <v/>
      </c>
      <c r="J12053" s="86">
        <f t="shared" si="3"/>
        <v>0</v>
      </c>
      <c r="R12053" s="26"/>
    </row>
    <row r="12054" spans="1:18" ht="15.75" customHeight="1">
      <c r="A12054" s="26"/>
      <c r="B12054" s="86"/>
      <c r="D12054" s="26"/>
      <c r="F12054" s="87" t="str">
        <f t="shared" si="0"/>
        <v/>
      </c>
      <c r="H12054" s="26" t="str">
        <f t="shared" si="1"/>
        <v/>
      </c>
      <c r="I12054" s="26" t="str">
        <f t="shared" si="2"/>
        <v/>
      </c>
      <c r="J12054" s="86">
        <f t="shared" si="3"/>
        <v>0</v>
      </c>
      <c r="R12054" s="26"/>
    </row>
    <row r="12055" spans="1:18" ht="15.75" customHeight="1">
      <c r="A12055" s="26"/>
      <c r="B12055" s="86"/>
      <c r="D12055" s="26"/>
      <c r="F12055" s="87" t="str">
        <f t="shared" si="0"/>
        <v/>
      </c>
      <c r="H12055" s="26" t="str">
        <f t="shared" si="1"/>
        <v/>
      </c>
      <c r="I12055" s="26" t="str">
        <f t="shared" si="2"/>
        <v/>
      </c>
      <c r="J12055" s="86">
        <f t="shared" si="3"/>
        <v>0</v>
      </c>
      <c r="R12055" s="26"/>
    </row>
    <row r="12056" spans="1:18" ht="15.75" customHeight="1">
      <c r="A12056" s="26"/>
      <c r="B12056" s="86"/>
      <c r="D12056" s="26"/>
      <c r="F12056" s="87" t="str">
        <f t="shared" si="0"/>
        <v/>
      </c>
      <c r="H12056" s="26" t="str">
        <f t="shared" si="1"/>
        <v/>
      </c>
      <c r="I12056" s="26" t="str">
        <f t="shared" si="2"/>
        <v/>
      </c>
      <c r="J12056" s="86">
        <f t="shared" si="3"/>
        <v>0</v>
      </c>
      <c r="R12056" s="26"/>
    </row>
    <row r="12057" spans="1:18" ht="15.75" customHeight="1">
      <c r="A12057" s="26"/>
      <c r="B12057" s="86"/>
      <c r="D12057" s="26"/>
      <c r="F12057" s="87" t="str">
        <f t="shared" si="0"/>
        <v/>
      </c>
      <c r="H12057" s="26" t="str">
        <f t="shared" si="1"/>
        <v/>
      </c>
      <c r="I12057" s="26" t="str">
        <f t="shared" si="2"/>
        <v/>
      </c>
      <c r="J12057" s="86">
        <f t="shared" si="3"/>
        <v>0</v>
      </c>
      <c r="R12057" s="26"/>
    </row>
    <row r="12058" spans="1:18" ht="15.75" customHeight="1">
      <c r="A12058" s="26"/>
      <c r="B12058" s="86"/>
      <c r="D12058" s="26"/>
      <c r="F12058" s="87" t="str">
        <f t="shared" si="0"/>
        <v/>
      </c>
      <c r="H12058" s="26" t="str">
        <f t="shared" si="1"/>
        <v/>
      </c>
      <c r="I12058" s="26" t="str">
        <f t="shared" si="2"/>
        <v/>
      </c>
      <c r="J12058" s="86">
        <f t="shared" si="3"/>
        <v>0</v>
      </c>
      <c r="R12058" s="26"/>
    </row>
    <row r="12059" spans="1:18" ht="15.75" customHeight="1">
      <c r="A12059" s="26"/>
      <c r="B12059" s="86"/>
      <c r="D12059" s="26"/>
      <c r="F12059" s="87" t="str">
        <f t="shared" si="0"/>
        <v/>
      </c>
      <c r="H12059" s="26" t="str">
        <f t="shared" si="1"/>
        <v/>
      </c>
      <c r="I12059" s="26" t="str">
        <f t="shared" si="2"/>
        <v/>
      </c>
      <c r="J12059" s="86">
        <f t="shared" si="3"/>
        <v>0</v>
      </c>
      <c r="R12059" s="26"/>
    </row>
    <row r="12060" spans="1:18" ht="15.75" customHeight="1">
      <c r="A12060" s="26"/>
      <c r="B12060" s="86"/>
      <c r="D12060" s="26"/>
      <c r="F12060" s="87" t="str">
        <f t="shared" si="0"/>
        <v/>
      </c>
      <c r="H12060" s="26" t="str">
        <f t="shared" si="1"/>
        <v/>
      </c>
      <c r="I12060" s="26" t="str">
        <f t="shared" si="2"/>
        <v/>
      </c>
      <c r="J12060" s="86">
        <f t="shared" si="3"/>
        <v>0</v>
      </c>
      <c r="R12060" s="26"/>
    </row>
    <row r="12061" spans="1:18" ht="15.75" customHeight="1">
      <c r="A12061" s="26"/>
      <c r="B12061" s="86"/>
      <c r="D12061" s="26"/>
      <c r="F12061" s="87" t="str">
        <f t="shared" si="0"/>
        <v/>
      </c>
      <c r="H12061" s="26" t="str">
        <f t="shared" si="1"/>
        <v/>
      </c>
      <c r="I12061" s="26" t="str">
        <f t="shared" si="2"/>
        <v/>
      </c>
      <c r="J12061" s="86">
        <f t="shared" si="3"/>
        <v>0</v>
      </c>
      <c r="R12061" s="26"/>
    </row>
    <row r="12062" spans="1:18" ht="15.75" customHeight="1">
      <c r="A12062" s="26"/>
      <c r="B12062" s="86"/>
      <c r="D12062" s="26"/>
      <c r="F12062" s="87" t="str">
        <f t="shared" si="0"/>
        <v/>
      </c>
      <c r="H12062" s="26" t="str">
        <f t="shared" si="1"/>
        <v/>
      </c>
      <c r="I12062" s="26" t="str">
        <f t="shared" si="2"/>
        <v/>
      </c>
      <c r="J12062" s="86">
        <f t="shared" si="3"/>
        <v>0</v>
      </c>
      <c r="R12062" s="26"/>
    </row>
    <row r="12063" spans="1:18" ht="15.75" customHeight="1">
      <c r="A12063" s="26"/>
      <c r="B12063" s="86"/>
      <c r="D12063" s="26"/>
      <c r="F12063" s="87" t="str">
        <f t="shared" si="0"/>
        <v/>
      </c>
      <c r="H12063" s="26" t="str">
        <f t="shared" si="1"/>
        <v/>
      </c>
      <c r="I12063" s="26" t="str">
        <f t="shared" si="2"/>
        <v/>
      </c>
      <c r="J12063" s="86">
        <f t="shared" si="3"/>
        <v>0</v>
      </c>
      <c r="R12063" s="26"/>
    </row>
    <row r="12064" spans="1:18" ht="15.75" customHeight="1">
      <c r="A12064" s="26"/>
      <c r="B12064" s="86"/>
      <c r="D12064" s="26"/>
      <c r="F12064" s="87" t="str">
        <f t="shared" si="0"/>
        <v/>
      </c>
      <c r="H12064" s="26" t="str">
        <f t="shared" si="1"/>
        <v/>
      </c>
      <c r="I12064" s="26" t="str">
        <f t="shared" si="2"/>
        <v/>
      </c>
      <c r="J12064" s="86">
        <f t="shared" si="3"/>
        <v>0</v>
      </c>
      <c r="R12064" s="26"/>
    </row>
    <row r="12065" spans="1:18" ht="15.75" customHeight="1">
      <c r="A12065" s="26"/>
      <c r="B12065" s="86"/>
      <c r="D12065" s="26"/>
      <c r="F12065" s="87" t="str">
        <f t="shared" si="0"/>
        <v/>
      </c>
      <c r="H12065" s="26" t="str">
        <f t="shared" si="1"/>
        <v/>
      </c>
      <c r="I12065" s="26" t="str">
        <f t="shared" si="2"/>
        <v/>
      </c>
      <c r="J12065" s="86">
        <f t="shared" si="3"/>
        <v>0</v>
      </c>
      <c r="R12065" s="26"/>
    </row>
    <row r="12066" spans="1:18" ht="15.75" customHeight="1">
      <c r="A12066" s="26"/>
      <c r="B12066" s="86"/>
      <c r="D12066" s="26"/>
      <c r="F12066" s="87" t="str">
        <f t="shared" si="0"/>
        <v/>
      </c>
      <c r="H12066" s="26" t="str">
        <f t="shared" si="1"/>
        <v/>
      </c>
      <c r="I12066" s="26" t="str">
        <f t="shared" si="2"/>
        <v/>
      </c>
      <c r="J12066" s="86">
        <f t="shared" si="3"/>
        <v>0</v>
      </c>
      <c r="R12066" s="26"/>
    </row>
    <row r="12067" spans="1:18" ht="15.75" customHeight="1">
      <c r="A12067" s="26"/>
      <c r="B12067" s="86"/>
      <c r="D12067" s="26"/>
      <c r="F12067" s="87" t="str">
        <f t="shared" si="0"/>
        <v/>
      </c>
      <c r="H12067" s="26" t="str">
        <f t="shared" si="1"/>
        <v/>
      </c>
      <c r="I12067" s="26" t="str">
        <f t="shared" si="2"/>
        <v/>
      </c>
      <c r="J12067" s="86">
        <f t="shared" si="3"/>
        <v>0</v>
      </c>
      <c r="R12067" s="26"/>
    </row>
    <row r="12068" spans="1:18" ht="15.75" customHeight="1">
      <c r="A12068" s="26"/>
      <c r="B12068" s="86"/>
      <c r="D12068" s="26"/>
      <c r="F12068" s="87" t="str">
        <f t="shared" si="0"/>
        <v/>
      </c>
      <c r="H12068" s="26" t="str">
        <f t="shared" si="1"/>
        <v/>
      </c>
      <c r="I12068" s="26" t="str">
        <f t="shared" si="2"/>
        <v/>
      </c>
      <c r="J12068" s="86">
        <f t="shared" si="3"/>
        <v>0</v>
      </c>
      <c r="R12068" s="26"/>
    </row>
    <row r="12069" spans="1:18" ht="15.75" customHeight="1">
      <c r="A12069" s="26"/>
      <c r="B12069" s="86"/>
      <c r="D12069" s="26"/>
      <c r="F12069" s="87" t="str">
        <f t="shared" si="0"/>
        <v/>
      </c>
      <c r="H12069" s="26" t="str">
        <f t="shared" si="1"/>
        <v/>
      </c>
      <c r="I12069" s="26" t="str">
        <f t="shared" si="2"/>
        <v/>
      </c>
      <c r="J12069" s="86">
        <f t="shared" si="3"/>
        <v>0</v>
      </c>
      <c r="R12069" s="26"/>
    </row>
    <row r="12070" spans="1:18" ht="15.75" customHeight="1">
      <c r="A12070" s="26"/>
      <c r="B12070" s="86"/>
      <c r="D12070" s="26"/>
      <c r="F12070" s="87" t="str">
        <f t="shared" si="0"/>
        <v/>
      </c>
      <c r="H12070" s="26" t="str">
        <f t="shared" si="1"/>
        <v/>
      </c>
      <c r="I12070" s="26" t="str">
        <f t="shared" si="2"/>
        <v/>
      </c>
      <c r="J12070" s="86">
        <f t="shared" si="3"/>
        <v>0</v>
      </c>
      <c r="R12070" s="26"/>
    </row>
    <row r="12071" spans="1:18" ht="15.75" customHeight="1">
      <c r="A12071" s="26"/>
      <c r="B12071" s="86"/>
      <c r="D12071" s="26"/>
      <c r="F12071" s="87" t="str">
        <f t="shared" si="0"/>
        <v/>
      </c>
      <c r="H12071" s="26" t="str">
        <f t="shared" si="1"/>
        <v/>
      </c>
      <c r="I12071" s="26" t="str">
        <f t="shared" si="2"/>
        <v/>
      </c>
      <c r="J12071" s="86">
        <f t="shared" si="3"/>
        <v>0</v>
      </c>
      <c r="R12071" s="26"/>
    </row>
    <row r="12072" spans="1:18" ht="15.75" customHeight="1">
      <c r="A12072" s="26"/>
      <c r="B12072" s="86"/>
      <c r="D12072" s="26"/>
      <c r="F12072" s="87" t="str">
        <f t="shared" si="0"/>
        <v/>
      </c>
      <c r="H12072" s="26" t="str">
        <f t="shared" si="1"/>
        <v/>
      </c>
      <c r="I12072" s="26" t="str">
        <f t="shared" si="2"/>
        <v/>
      </c>
      <c r="J12072" s="86">
        <f t="shared" si="3"/>
        <v>0</v>
      </c>
      <c r="R12072" s="26"/>
    </row>
    <row r="12073" spans="1:18" ht="15.75" customHeight="1">
      <c r="A12073" s="26"/>
      <c r="B12073" s="86"/>
      <c r="D12073" s="26"/>
      <c r="F12073" s="87" t="str">
        <f t="shared" si="0"/>
        <v/>
      </c>
      <c r="H12073" s="26" t="str">
        <f t="shared" si="1"/>
        <v/>
      </c>
      <c r="I12073" s="26" t="str">
        <f t="shared" si="2"/>
        <v/>
      </c>
      <c r="J12073" s="86">
        <f t="shared" si="3"/>
        <v>0</v>
      </c>
      <c r="R12073" s="26"/>
    </row>
    <row r="12074" spans="1:18" ht="15.75" customHeight="1">
      <c r="A12074" s="26"/>
      <c r="B12074" s="86"/>
      <c r="D12074" s="26"/>
      <c r="F12074" s="87" t="str">
        <f t="shared" si="0"/>
        <v/>
      </c>
      <c r="H12074" s="26" t="str">
        <f t="shared" si="1"/>
        <v/>
      </c>
      <c r="I12074" s="26" t="str">
        <f t="shared" si="2"/>
        <v/>
      </c>
      <c r="J12074" s="86">
        <f t="shared" si="3"/>
        <v>0</v>
      </c>
      <c r="R12074" s="26"/>
    </row>
    <row r="12075" spans="1:18" ht="15.75" customHeight="1">
      <c r="A12075" s="26"/>
      <c r="B12075" s="86"/>
      <c r="D12075" s="26"/>
      <c r="F12075" s="87" t="str">
        <f t="shared" si="0"/>
        <v/>
      </c>
      <c r="H12075" s="26" t="str">
        <f t="shared" si="1"/>
        <v/>
      </c>
      <c r="I12075" s="26" t="str">
        <f t="shared" si="2"/>
        <v/>
      </c>
      <c r="J12075" s="86">
        <f t="shared" si="3"/>
        <v>0</v>
      </c>
      <c r="R12075" s="26"/>
    </row>
    <row r="12076" spans="1:18" ht="15.75" customHeight="1">
      <c r="A12076" s="26"/>
      <c r="B12076" s="86"/>
      <c r="D12076" s="26"/>
      <c r="F12076" s="87" t="str">
        <f t="shared" si="0"/>
        <v/>
      </c>
      <c r="H12076" s="26" t="str">
        <f t="shared" si="1"/>
        <v/>
      </c>
      <c r="I12076" s="26" t="str">
        <f t="shared" si="2"/>
        <v/>
      </c>
      <c r="J12076" s="86">
        <f t="shared" si="3"/>
        <v>0</v>
      </c>
      <c r="R12076" s="26"/>
    </row>
    <row r="12077" spans="1:18" ht="15.75" customHeight="1">
      <c r="A12077" s="26"/>
      <c r="B12077" s="86"/>
      <c r="D12077" s="26"/>
      <c r="F12077" s="87" t="str">
        <f t="shared" si="0"/>
        <v/>
      </c>
      <c r="H12077" s="26" t="str">
        <f t="shared" si="1"/>
        <v/>
      </c>
      <c r="I12077" s="26" t="str">
        <f t="shared" si="2"/>
        <v/>
      </c>
      <c r="J12077" s="86">
        <f t="shared" si="3"/>
        <v>0</v>
      </c>
      <c r="R12077" s="26"/>
    </row>
    <row r="12078" spans="1:18" ht="15.75" customHeight="1">
      <c r="A12078" s="26"/>
      <c r="B12078" s="86"/>
      <c r="D12078" s="26"/>
      <c r="F12078" s="87" t="str">
        <f t="shared" si="0"/>
        <v/>
      </c>
      <c r="H12078" s="26" t="str">
        <f t="shared" si="1"/>
        <v/>
      </c>
      <c r="I12078" s="26" t="str">
        <f t="shared" si="2"/>
        <v/>
      </c>
      <c r="J12078" s="86">
        <f t="shared" si="3"/>
        <v>0</v>
      </c>
      <c r="R12078" s="26"/>
    </row>
    <row r="12079" spans="1:18" ht="15.75" customHeight="1">
      <c r="A12079" s="26"/>
      <c r="B12079" s="86"/>
      <c r="D12079" s="26"/>
      <c r="F12079" s="87" t="str">
        <f t="shared" si="0"/>
        <v/>
      </c>
      <c r="H12079" s="26" t="str">
        <f t="shared" si="1"/>
        <v/>
      </c>
      <c r="I12079" s="26" t="str">
        <f t="shared" si="2"/>
        <v/>
      </c>
      <c r="J12079" s="86">
        <f t="shared" si="3"/>
        <v>0</v>
      </c>
      <c r="R12079" s="26"/>
    </row>
    <row r="12080" spans="1:18" ht="15.75" customHeight="1">
      <c r="A12080" s="26"/>
      <c r="B12080" s="86"/>
      <c r="D12080" s="26"/>
      <c r="F12080" s="87" t="str">
        <f t="shared" si="0"/>
        <v/>
      </c>
      <c r="H12080" s="26" t="str">
        <f t="shared" si="1"/>
        <v/>
      </c>
      <c r="I12080" s="26" t="str">
        <f t="shared" si="2"/>
        <v/>
      </c>
      <c r="J12080" s="86">
        <f t="shared" si="3"/>
        <v>0</v>
      </c>
      <c r="R12080" s="26"/>
    </row>
    <row r="12081" spans="1:18" ht="15.75" customHeight="1">
      <c r="A12081" s="26"/>
      <c r="B12081" s="86"/>
      <c r="D12081" s="26"/>
      <c r="F12081" s="87" t="str">
        <f t="shared" si="0"/>
        <v/>
      </c>
      <c r="H12081" s="26" t="str">
        <f t="shared" si="1"/>
        <v/>
      </c>
      <c r="I12081" s="26" t="str">
        <f t="shared" si="2"/>
        <v/>
      </c>
      <c r="J12081" s="86">
        <f t="shared" si="3"/>
        <v>0</v>
      </c>
      <c r="R12081" s="26"/>
    </row>
    <row r="12082" spans="1:18" ht="15.75" customHeight="1">
      <c r="A12082" s="26"/>
      <c r="B12082" s="86"/>
      <c r="D12082" s="26"/>
      <c r="F12082" s="87" t="str">
        <f t="shared" si="0"/>
        <v/>
      </c>
      <c r="H12082" s="26" t="str">
        <f t="shared" si="1"/>
        <v/>
      </c>
      <c r="I12082" s="26" t="str">
        <f t="shared" si="2"/>
        <v/>
      </c>
      <c r="J12082" s="86">
        <f t="shared" si="3"/>
        <v>0</v>
      </c>
      <c r="R12082" s="26"/>
    </row>
    <row r="12083" spans="1:18" ht="15.75" customHeight="1">
      <c r="A12083" s="26"/>
      <c r="B12083" s="86"/>
      <c r="D12083" s="26"/>
      <c r="F12083" s="87" t="str">
        <f t="shared" si="0"/>
        <v/>
      </c>
      <c r="H12083" s="26" t="str">
        <f t="shared" si="1"/>
        <v/>
      </c>
      <c r="I12083" s="26" t="str">
        <f t="shared" si="2"/>
        <v/>
      </c>
      <c r="J12083" s="86">
        <f t="shared" si="3"/>
        <v>0</v>
      </c>
      <c r="R12083" s="26"/>
    </row>
    <row r="12084" spans="1:18" ht="15.75" customHeight="1">
      <c r="A12084" s="26"/>
      <c r="B12084" s="86"/>
      <c r="D12084" s="26"/>
      <c r="F12084" s="87" t="str">
        <f t="shared" si="0"/>
        <v/>
      </c>
      <c r="H12084" s="26" t="str">
        <f t="shared" si="1"/>
        <v/>
      </c>
      <c r="I12084" s="26" t="str">
        <f t="shared" si="2"/>
        <v/>
      </c>
      <c r="J12084" s="86">
        <f t="shared" si="3"/>
        <v>0</v>
      </c>
      <c r="R12084" s="26"/>
    </row>
    <row r="12085" spans="1:18" ht="15.75" customHeight="1">
      <c r="A12085" s="26"/>
      <c r="B12085" s="86"/>
      <c r="D12085" s="26"/>
      <c r="F12085" s="87" t="str">
        <f t="shared" si="0"/>
        <v/>
      </c>
      <c r="H12085" s="26" t="str">
        <f t="shared" si="1"/>
        <v/>
      </c>
      <c r="I12085" s="26" t="str">
        <f t="shared" si="2"/>
        <v/>
      </c>
      <c r="J12085" s="86">
        <f t="shared" si="3"/>
        <v>0</v>
      </c>
      <c r="R12085" s="26"/>
    </row>
    <row r="12086" spans="1:18" ht="15.75" customHeight="1">
      <c r="A12086" s="26"/>
      <c r="B12086" s="86"/>
      <c r="D12086" s="26"/>
      <c r="F12086" s="87" t="str">
        <f t="shared" si="0"/>
        <v/>
      </c>
      <c r="H12086" s="26" t="str">
        <f t="shared" si="1"/>
        <v/>
      </c>
      <c r="I12086" s="26" t="str">
        <f t="shared" si="2"/>
        <v/>
      </c>
      <c r="J12086" s="86">
        <f t="shared" si="3"/>
        <v>0</v>
      </c>
      <c r="R12086" s="26"/>
    </row>
    <row r="12087" spans="1:18" ht="15.75" customHeight="1">
      <c r="A12087" s="26"/>
      <c r="B12087" s="86"/>
      <c r="D12087" s="26"/>
      <c r="F12087" s="87" t="str">
        <f t="shared" si="0"/>
        <v/>
      </c>
      <c r="H12087" s="26" t="str">
        <f t="shared" si="1"/>
        <v/>
      </c>
      <c r="I12087" s="26" t="str">
        <f t="shared" si="2"/>
        <v/>
      </c>
      <c r="J12087" s="86">
        <f t="shared" si="3"/>
        <v>0</v>
      </c>
      <c r="R12087" s="26"/>
    </row>
    <row r="12088" spans="1:18" ht="15.75" customHeight="1">
      <c r="A12088" s="26"/>
      <c r="B12088" s="86"/>
      <c r="D12088" s="26"/>
      <c r="F12088" s="87" t="str">
        <f t="shared" si="0"/>
        <v/>
      </c>
      <c r="H12088" s="26" t="str">
        <f t="shared" si="1"/>
        <v/>
      </c>
      <c r="I12088" s="26" t="str">
        <f t="shared" si="2"/>
        <v/>
      </c>
      <c r="J12088" s="86">
        <f t="shared" si="3"/>
        <v>0</v>
      </c>
      <c r="R12088" s="26"/>
    </row>
    <row r="12089" spans="1:18" ht="15.75" customHeight="1">
      <c r="A12089" s="26"/>
      <c r="B12089" s="86"/>
      <c r="D12089" s="26"/>
      <c r="F12089" s="87" t="str">
        <f t="shared" si="0"/>
        <v/>
      </c>
      <c r="H12089" s="26" t="str">
        <f t="shared" si="1"/>
        <v/>
      </c>
      <c r="I12089" s="26" t="str">
        <f t="shared" si="2"/>
        <v/>
      </c>
      <c r="J12089" s="86">
        <f t="shared" si="3"/>
        <v>0</v>
      </c>
      <c r="R12089" s="26"/>
    </row>
    <row r="12090" spans="1:18" ht="15.75" customHeight="1">
      <c r="A12090" s="26"/>
      <c r="B12090" s="86"/>
      <c r="D12090" s="26"/>
      <c r="F12090" s="87" t="str">
        <f t="shared" si="0"/>
        <v/>
      </c>
      <c r="H12090" s="26" t="str">
        <f t="shared" si="1"/>
        <v/>
      </c>
      <c r="I12090" s="26" t="str">
        <f t="shared" si="2"/>
        <v/>
      </c>
      <c r="J12090" s="86">
        <f t="shared" si="3"/>
        <v>0</v>
      </c>
      <c r="R12090" s="26"/>
    </row>
    <row r="12091" spans="1:18" ht="15.75" customHeight="1">
      <c r="A12091" s="26"/>
      <c r="B12091" s="86"/>
      <c r="D12091" s="26"/>
      <c r="F12091" s="87" t="str">
        <f t="shared" si="0"/>
        <v/>
      </c>
      <c r="H12091" s="26" t="str">
        <f t="shared" si="1"/>
        <v/>
      </c>
      <c r="I12091" s="26" t="str">
        <f t="shared" si="2"/>
        <v/>
      </c>
      <c r="J12091" s="86">
        <f t="shared" si="3"/>
        <v>0</v>
      </c>
      <c r="R12091" s="26"/>
    </row>
    <row r="12092" spans="1:18" ht="15.75" customHeight="1">
      <c r="A12092" s="26"/>
      <c r="B12092" s="86"/>
      <c r="D12092" s="26"/>
      <c r="F12092" s="87" t="str">
        <f t="shared" si="0"/>
        <v/>
      </c>
      <c r="H12092" s="26" t="str">
        <f t="shared" si="1"/>
        <v/>
      </c>
      <c r="I12092" s="26" t="str">
        <f t="shared" si="2"/>
        <v/>
      </c>
      <c r="J12092" s="86">
        <f t="shared" si="3"/>
        <v>0</v>
      </c>
      <c r="R12092" s="26"/>
    </row>
    <row r="12093" spans="1:18" ht="15.75" customHeight="1">
      <c r="A12093" s="26"/>
      <c r="B12093" s="86"/>
      <c r="D12093" s="26"/>
      <c r="F12093" s="87" t="str">
        <f t="shared" si="0"/>
        <v/>
      </c>
      <c r="H12093" s="26" t="str">
        <f t="shared" si="1"/>
        <v/>
      </c>
      <c r="I12093" s="26" t="str">
        <f t="shared" si="2"/>
        <v/>
      </c>
      <c r="J12093" s="86">
        <f t="shared" si="3"/>
        <v>0</v>
      </c>
      <c r="R12093" s="26"/>
    </row>
    <row r="12094" spans="1:18" ht="15.75" customHeight="1">
      <c r="A12094" s="26"/>
      <c r="B12094" s="86"/>
      <c r="D12094" s="26"/>
      <c r="F12094" s="87" t="str">
        <f t="shared" si="0"/>
        <v/>
      </c>
      <c r="H12094" s="26" t="str">
        <f t="shared" si="1"/>
        <v/>
      </c>
      <c r="I12094" s="26" t="str">
        <f t="shared" si="2"/>
        <v/>
      </c>
      <c r="J12094" s="86">
        <f t="shared" si="3"/>
        <v>0</v>
      </c>
      <c r="R12094" s="26"/>
    </row>
    <row r="12095" spans="1:18" ht="15.75" customHeight="1">
      <c r="A12095" s="26"/>
      <c r="B12095" s="86"/>
      <c r="D12095" s="26"/>
      <c r="F12095" s="87" t="str">
        <f t="shared" si="0"/>
        <v/>
      </c>
      <c r="H12095" s="26" t="str">
        <f t="shared" si="1"/>
        <v/>
      </c>
      <c r="I12095" s="26" t="str">
        <f t="shared" si="2"/>
        <v/>
      </c>
      <c r="J12095" s="86">
        <f t="shared" si="3"/>
        <v>0</v>
      </c>
      <c r="R12095" s="26"/>
    </row>
    <row r="12096" spans="1:18" ht="15.75" customHeight="1">
      <c r="A12096" s="26"/>
      <c r="B12096" s="86"/>
      <c r="D12096" s="26"/>
      <c r="F12096" s="87" t="str">
        <f t="shared" si="0"/>
        <v/>
      </c>
      <c r="H12096" s="26" t="str">
        <f t="shared" si="1"/>
        <v/>
      </c>
      <c r="I12096" s="26" t="str">
        <f t="shared" si="2"/>
        <v/>
      </c>
      <c r="J12096" s="86">
        <f t="shared" si="3"/>
        <v>0</v>
      </c>
      <c r="R12096" s="26"/>
    </row>
    <row r="12097" spans="1:18" ht="15.75" customHeight="1">
      <c r="A12097" s="26"/>
      <c r="B12097" s="86"/>
      <c r="D12097" s="26"/>
      <c r="F12097" s="87" t="str">
        <f t="shared" si="0"/>
        <v/>
      </c>
      <c r="H12097" s="26" t="str">
        <f t="shared" si="1"/>
        <v/>
      </c>
      <c r="I12097" s="26" t="str">
        <f t="shared" si="2"/>
        <v/>
      </c>
      <c r="J12097" s="86">
        <f t="shared" si="3"/>
        <v>0</v>
      </c>
      <c r="R12097" s="26"/>
    </row>
    <row r="12098" spans="1:18" ht="15.75" customHeight="1">
      <c r="A12098" s="26"/>
      <c r="B12098" s="86"/>
      <c r="D12098" s="26"/>
      <c r="F12098" s="87" t="str">
        <f t="shared" si="0"/>
        <v/>
      </c>
      <c r="H12098" s="26" t="str">
        <f t="shared" si="1"/>
        <v/>
      </c>
      <c r="I12098" s="26" t="str">
        <f t="shared" si="2"/>
        <v/>
      </c>
      <c r="J12098" s="86">
        <f t="shared" si="3"/>
        <v>0</v>
      </c>
      <c r="R12098" s="26"/>
    </row>
    <row r="12099" spans="1:18" ht="15.75" customHeight="1">
      <c r="A12099" s="26"/>
      <c r="B12099" s="86"/>
      <c r="D12099" s="26"/>
      <c r="F12099" s="87" t="str">
        <f t="shared" si="0"/>
        <v/>
      </c>
      <c r="H12099" s="26" t="str">
        <f t="shared" si="1"/>
        <v/>
      </c>
      <c r="I12099" s="26" t="str">
        <f t="shared" si="2"/>
        <v/>
      </c>
      <c r="J12099" s="86">
        <f t="shared" si="3"/>
        <v>0</v>
      </c>
      <c r="R12099" s="26"/>
    </row>
    <row r="12100" spans="1:18" ht="15.75" customHeight="1">
      <c r="A12100" s="26"/>
      <c r="B12100" s="86"/>
      <c r="D12100" s="26"/>
      <c r="F12100" s="87" t="str">
        <f t="shared" si="0"/>
        <v/>
      </c>
      <c r="H12100" s="26" t="str">
        <f t="shared" si="1"/>
        <v/>
      </c>
      <c r="I12100" s="26" t="str">
        <f t="shared" si="2"/>
        <v/>
      </c>
      <c r="J12100" s="86">
        <f t="shared" si="3"/>
        <v>0</v>
      </c>
      <c r="R12100" s="26"/>
    </row>
    <row r="12101" spans="1:18" ht="15.75" customHeight="1">
      <c r="A12101" s="26"/>
      <c r="B12101" s="86"/>
      <c r="D12101" s="26"/>
      <c r="F12101" s="87" t="str">
        <f t="shared" si="0"/>
        <v/>
      </c>
      <c r="H12101" s="26" t="str">
        <f t="shared" si="1"/>
        <v/>
      </c>
      <c r="I12101" s="26" t="str">
        <f t="shared" si="2"/>
        <v/>
      </c>
      <c r="J12101" s="86">
        <f t="shared" si="3"/>
        <v>0</v>
      </c>
      <c r="R12101" s="26"/>
    </row>
    <row r="12102" spans="1:18" ht="15.75" customHeight="1">
      <c r="A12102" s="26"/>
      <c r="B12102" s="86"/>
      <c r="D12102" s="26"/>
      <c r="F12102" s="87" t="str">
        <f t="shared" si="0"/>
        <v/>
      </c>
      <c r="H12102" s="26" t="str">
        <f t="shared" si="1"/>
        <v/>
      </c>
      <c r="I12102" s="26" t="str">
        <f t="shared" si="2"/>
        <v/>
      </c>
      <c r="J12102" s="86">
        <f t="shared" si="3"/>
        <v>0</v>
      </c>
      <c r="R12102" s="26"/>
    </row>
    <row r="12103" spans="1:18" ht="15.75" customHeight="1">
      <c r="A12103" s="26"/>
      <c r="B12103" s="86"/>
      <c r="D12103" s="26"/>
      <c r="F12103" s="87" t="str">
        <f t="shared" si="0"/>
        <v/>
      </c>
      <c r="H12103" s="26" t="str">
        <f t="shared" si="1"/>
        <v/>
      </c>
      <c r="I12103" s="26" t="str">
        <f t="shared" si="2"/>
        <v/>
      </c>
      <c r="J12103" s="86">
        <f t="shared" si="3"/>
        <v>0</v>
      </c>
      <c r="R12103" s="26"/>
    </row>
    <row r="12104" spans="1:18" ht="15.75" customHeight="1">
      <c r="A12104" s="26"/>
      <c r="B12104" s="86"/>
      <c r="D12104" s="26"/>
      <c r="F12104" s="87" t="str">
        <f t="shared" si="0"/>
        <v/>
      </c>
      <c r="H12104" s="26" t="str">
        <f t="shared" si="1"/>
        <v/>
      </c>
      <c r="I12104" s="26" t="str">
        <f t="shared" si="2"/>
        <v/>
      </c>
      <c r="J12104" s="86">
        <f t="shared" si="3"/>
        <v>0</v>
      </c>
      <c r="R12104" s="26"/>
    </row>
    <row r="12105" spans="1:18" ht="15.75" customHeight="1">
      <c r="A12105" s="26"/>
      <c r="B12105" s="86"/>
      <c r="D12105" s="26"/>
      <c r="F12105" s="87" t="str">
        <f t="shared" si="0"/>
        <v/>
      </c>
      <c r="H12105" s="26" t="str">
        <f t="shared" si="1"/>
        <v/>
      </c>
      <c r="I12105" s="26" t="str">
        <f t="shared" si="2"/>
        <v/>
      </c>
      <c r="J12105" s="86">
        <f t="shared" si="3"/>
        <v>0</v>
      </c>
      <c r="R12105" s="26"/>
    </row>
    <row r="12106" spans="1:18" ht="15.75" customHeight="1">
      <c r="A12106" s="26"/>
      <c r="B12106" s="86"/>
      <c r="D12106" s="26"/>
      <c r="F12106" s="87" t="str">
        <f t="shared" si="0"/>
        <v/>
      </c>
      <c r="H12106" s="26" t="str">
        <f t="shared" si="1"/>
        <v/>
      </c>
      <c r="I12106" s="26" t="str">
        <f t="shared" si="2"/>
        <v/>
      </c>
      <c r="J12106" s="86">
        <f t="shared" si="3"/>
        <v>0</v>
      </c>
      <c r="R12106" s="26"/>
    </row>
    <row r="12107" spans="1:18" ht="15.75" customHeight="1">
      <c r="A12107" s="26"/>
      <c r="B12107" s="86"/>
      <c r="D12107" s="26"/>
      <c r="F12107" s="87" t="str">
        <f t="shared" si="0"/>
        <v/>
      </c>
      <c r="H12107" s="26" t="str">
        <f t="shared" si="1"/>
        <v/>
      </c>
      <c r="I12107" s="26" t="str">
        <f t="shared" si="2"/>
        <v/>
      </c>
      <c r="J12107" s="86">
        <f t="shared" si="3"/>
        <v>0</v>
      </c>
      <c r="R12107" s="26"/>
    </row>
    <row r="12108" spans="1:18" ht="15.75" customHeight="1">
      <c r="A12108" s="26"/>
      <c r="B12108" s="86"/>
      <c r="D12108" s="26"/>
      <c r="F12108" s="87" t="str">
        <f t="shared" si="0"/>
        <v/>
      </c>
      <c r="H12108" s="26" t="str">
        <f t="shared" si="1"/>
        <v/>
      </c>
      <c r="I12108" s="26" t="str">
        <f t="shared" si="2"/>
        <v/>
      </c>
      <c r="J12108" s="86">
        <f t="shared" si="3"/>
        <v>0</v>
      </c>
      <c r="R12108" s="26"/>
    </row>
    <row r="12109" spans="1:18" ht="15.75" customHeight="1">
      <c r="A12109" s="26"/>
      <c r="B12109" s="86"/>
      <c r="D12109" s="26"/>
      <c r="F12109" s="87" t="str">
        <f t="shared" si="0"/>
        <v/>
      </c>
      <c r="H12109" s="26" t="str">
        <f t="shared" si="1"/>
        <v/>
      </c>
      <c r="I12109" s="26" t="str">
        <f t="shared" si="2"/>
        <v/>
      </c>
      <c r="J12109" s="86">
        <f t="shared" si="3"/>
        <v>0</v>
      </c>
      <c r="R12109" s="26"/>
    </row>
    <row r="12110" spans="1:18" ht="15.75" customHeight="1">
      <c r="A12110" s="26"/>
      <c r="B12110" s="86"/>
      <c r="D12110" s="26"/>
      <c r="F12110" s="87" t="str">
        <f t="shared" si="0"/>
        <v/>
      </c>
      <c r="H12110" s="26" t="str">
        <f t="shared" si="1"/>
        <v/>
      </c>
      <c r="I12110" s="26" t="str">
        <f t="shared" si="2"/>
        <v/>
      </c>
      <c r="J12110" s="86">
        <f t="shared" si="3"/>
        <v>0</v>
      </c>
      <c r="R12110" s="26"/>
    </row>
    <row r="12111" spans="1:18" ht="15.75" customHeight="1">
      <c r="A12111" s="26"/>
      <c r="B12111" s="86"/>
      <c r="D12111" s="26"/>
      <c r="F12111" s="87" t="str">
        <f t="shared" si="0"/>
        <v/>
      </c>
      <c r="H12111" s="26" t="str">
        <f t="shared" si="1"/>
        <v/>
      </c>
      <c r="I12111" s="26" t="str">
        <f t="shared" si="2"/>
        <v/>
      </c>
      <c r="J12111" s="86">
        <f t="shared" si="3"/>
        <v>0</v>
      </c>
      <c r="R12111" s="26"/>
    </row>
    <row r="12112" spans="1:18" ht="15.75" customHeight="1">
      <c r="A12112" s="26"/>
      <c r="B12112" s="86"/>
      <c r="D12112" s="26"/>
      <c r="F12112" s="87" t="str">
        <f t="shared" si="0"/>
        <v/>
      </c>
      <c r="H12112" s="26" t="str">
        <f t="shared" si="1"/>
        <v/>
      </c>
      <c r="I12112" s="26" t="str">
        <f t="shared" si="2"/>
        <v/>
      </c>
      <c r="J12112" s="86">
        <f t="shared" si="3"/>
        <v>0</v>
      </c>
      <c r="R12112" s="26"/>
    </row>
    <row r="12113" spans="1:18" ht="15.75" customHeight="1">
      <c r="A12113" s="26"/>
      <c r="B12113" s="86"/>
      <c r="D12113" s="26"/>
      <c r="F12113" s="87" t="str">
        <f t="shared" si="0"/>
        <v/>
      </c>
      <c r="H12113" s="26" t="str">
        <f t="shared" si="1"/>
        <v/>
      </c>
      <c r="I12113" s="26" t="str">
        <f t="shared" si="2"/>
        <v/>
      </c>
      <c r="J12113" s="86">
        <f t="shared" si="3"/>
        <v>0</v>
      </c>
      <c r="R12113" s="26"/>
    </row>
    <row r="12114" spans="1:18" ht="15.75" customHeight="1">
      <c r="A12114" s="26"/>
      <c r="B12114" s="86"/>
      <c r="D12114" s="26"/>
      <c r="F12114" s="87" t="str">
        <f t="shared" si="0"/>
        <v/>
      </c>
      <c r="H12114" s="26" t="str">
        <f t="shared" si="1"/>
        <v/>
      </c>
      <c r="I12114" s="26" t="str">
        <f t="shared" si="2"/>
        <v/>
      </c>
      <c r="J12114" s="86">
        <f t="shared" si="3"/>
        <v>0</v>
      </c>
      <c r="R12114" s="26"/>
    </row>
    <row r="12115" spans="1:18" ht="15.75" customHeight="1">
      <c r="A12115" s="26"/>
      <c r="B12115" s="86"/>
      <c r="D12115" s="26"/>
      <c r="F12115" s="87" t="str">
        <f t="shared" si="0"/>
        <v/>
      </c>
      <c r="H12115" s="26" t="str">
        <f t="shared" si="1"/>
        <v/>
      </c>
      <c r="I12115" s="26" t="str">
        <f t="shared" si="2"/>
        <v/>
      </c>
      <c r="J12115" s="86">
        <f t="shared" si="3"/>
        <v>0</v>
      </c>
      <c r="R12115" s="26"/>
    </row>
    <row r="12116" spans="1:18" ht="15.75" customHeight="1">
      <c r="A12116" s="26"/>
      <c r="B12116" s="86"/>
      <c r="D12116" s="26"/>
      <c r="F12116" s="87" t="str">
        <f t="shared" si="0"/>
        <v/>
      </c>
      <c r="H12116" s="26" t="str">
        <f t="shared" si="1"/>
        <v/>
      </c>
      <c r="I12116" s="26" t="str">
        <f t="shared" si="2"/>
        <v/>
      </c>
      <c r="J12116" s="86">
        <f t="shared" si="3"/>
        <v>0</v>
      </c>
      <c r="R12116" s="26"/>
    </row>
    <row r="12117" spans="1:18" ht="15.75" customHeight="1">
      <c r="A12117" s="26"/>
      <c r="B12117" s="86"/>
      <c r="D12117" s="26"/>
      <c r="F12117" s="87" t="str">
        <f t="shared" si="0"/>
        <v/>
      </c>
      <c r="H12117" s="26" t="str">
        <f t="shared" si="1"/>
        <v/>
      </c>
      <c r="I12117" s="26" t="str">
        <f t="shared" si="2"/>
        <v/>
      </c>
      <c r="J12117" s="86">
        <f t="shared" si="3"/>
        <v>0</v>
      </c>
      <c r="R12117" s="26"/>
    </row>
    <row r="12118" spans="1:18" ht="15.75" customHeight="1">
      <c r="A12118" s="26"/>
      <c r="B12118" s="86"/>
      <c r="D12118" s="26"/>
      <c r="F12118" s="87" t="str">
        <f t="shared" si="0"/>
        <v/>
      </c>
      <c r="H12118" s="26" t="str">
        <f t="shared" si="1"/>
        <v/>
      </c>
      <c r="I12118" s="26" t="str">
        <f t="shared" si="2"/>
        <v/>
      </c>
      <c r="J12118" s="86">
        <f t="shared" si="3"/>
        <v>0</v>
      </c>
      <c r="R12118" s="26"/>
    </row>
    <row r="12119" spans="1:18" ht="15.75" customHeight="1">
      <c r="A12119" s="26"/>
      <c r="B12119" s="86"/>
      <c r="D12119" s="26"/>
      <c r="F12119" s="87" t="str">
        <f t="shared" si="0"/>
        <v/>
      </c>
      <c r="H12119" s="26" t="str">
        <f t="shared" si="1"/>
        <v/>
      </c>
      <c r="I12119" s="26" t="str">
        <f t="shared" si="2"/>
        <v/>
      </c>
      <c r="J12119" s="86">
        <f t="shared" si="3"/>
        <v>0</v>
      </c>
      <c r="R12119" s="26"/>
    </row>
    <row r="12120" spans="1:18" ht="15.75" customHeight="1">
      <c r="A12120" s="26"/>
      <c r="B12120" s="86"/>
      <c r="D12120" s="26"/>
      <c r="F12120" s="87" t="str">
        <f t="shared" si="0"/>
        <v/>
      </c>
      <c r="H12120" s="26" t="str">
        <f t="shared" si="1"/>
        <v/>
      </c>
      <c r="I12120" s="26" t="str">
        <f t="shared" si="2"/>
        <v/>
      </c>
      <c r="J12120" s="86">
        <f t="shared" si="3"/>
        <v>0</v>
      </c>
      <c r="R12120" s="26"/>
    </row>
    <row r="12121" spans="1:18" ht="15.75" customHeight="1">
      <c r="A12121" s="26"/>
      <c r="B12121" s="86"/>
      <c r="D12121" s="26"/>
      <c r="F12121" s="87" t="str">
        <f t="shared" si="0"/>
        <v/>
      </c>
      <c r="H12121" s="26" t="str">
        <f t="shared" si="1"/>
        <v/>
      </c>
      <c r="I12121" s="26" t="str">
        <f t="shared" si="2"/>
        <v/>
      </c>
      <c r="J12121" s="86">
        <f t="shared" si="3"/>
        <v>0</v>
      </c>
      <c r="R12121" s="26"/>
    </row>
    <row r="12122" spans="1:18" ht="15.75" customHeight="1">
      <c r="A12122" s="26"/>
      <c r="B12122" s="86"/>
      <c r="D12122" s="26"/>
      <c r="F12122" s="87" t="str">
        <f t="shared" si="0"/>
        <v/>
      </c>
      <c r="H12122" s="26" t="str">
        <f t="shared" si="1"/>
        <v/>
      </c>
      <c r="I12122" s="26" t="str">
        <f t="shared" si="2"/>
        <v/>
      </c>
      <c r="J12122" s="86">
        <f t="shared" si="3"/>
        <v>0</v>
      </c>
      <c r="R12122" s="26"/>
    </row>
    <row r="12123" spans="1:18" ht="15.75" customHeight="1">
      <c r="A12123" s="26"/>
      <c r="B12123" s="86"/>
      <c r="D12123" s="26"/>
      <c r="F12123" s="87" t="str">
        <f t="shared" si="0"/>
        <v/>
      </c>
      <c r="H12123" s="26" t="str">
        <f t="shared" si="1"/>
        <v/>
      </c>
      <c r="I12123" s="26" t="str">
        <f t="shared" si="2"/>
        <v/>
      </c>
      <c r="J12123" s="86">
        <f t="shared" si="3"/>
        <v>0</v>
      </c>
      <c r="R12123" s="26"/>
    </row>
    <row r="12124" spans="1:18" ht="15.75" customHeight="1">
      <c r="A12124" s="26"/>
      <c r="B12124" s="86"/>
      <c r="D12124" s="26"/>
      <c r="F12124" s="87" t="str">
        <f t="shared" si="0"/>
        <v/>
      </c>
      <c r="H12124" s="26" t="str">
        <f t="shared" si="1"/>
        <v/>
      </c>
      <c r="I12124" s="26" t="str">
        <f t="shared" si="2"/>
        <v/>
      </c>
      <c r="J12124" s="86">
        <f t="shared" si="3"/>
        <v>0</v>
      </c>
      <c r="R12124" s="26"/>
    </row>
    <row r="12125" spans="1:18" ht="15.75" customHeight="1">
      <c r="A12125" s="26"/>
      <c r="B12125" s="86"/>
      <c r="D12125" s="26"/>
      <c r="F12125" s="87" t="str">
        <f t="shared" si="0"/>
        <v/>
      </c>
      <c r="H12125" s="26" t="str">
        <f t="shared" si="1"/>
        <v/>
      </c>
      <c r="I12125" s="26" t="str">
        <f t="shared" si="2"/>
        <v/>
      </c>
      <c r="J12125" s="86">
        <f t="shared" si="3"/>
        <v>0</v>
      </c>
      <c r="R12125" s="26"/>
    </row>
    <row r="12126" spans="1:18" ht="15.75" customHeight="1">
      <c r="A12126" s="26"/>
      <c r="B12126" s="86"/>
      <c r="D12126" s="26"/>
      <c r="F12126" s="87" t="str">
        <f t="shared" si="0"/>
        <v/>
      </c>
      <c r="H12126" s="26" t="str">
        <f t="shared" si="1"/>
        <v/>
      </c>
      <c r="I12126" s="26" t="str">
        <f t="shared" si="2"/>
        <v/>
      </c>
      <c r="J12126" s="86">
        <f t="shared" si="3"/>
        <v>0</v>
      </c>
      <c r="R12126" s="26"/>
    </row>
    <row r="12127" spans="1:18" ht="15.75" customHeight="1">
      <c r="A12127" s="26"/>
      <c r="B12127" s="86"/>
      <c r="D12127" s="26"/>
      <c r="F12127" s="87" t="str">
        <f t="shared" si="0"/>
        <v/>
      </c>
      <c r="H12127" s="26" t="str">
        <f t="shared" si="1"/>
        <v/>
      </c>
      <c r="I12127" s="26" t="str">
        <f t="shared" si="2"/>
        <v/>
      </c>
      <c r="J12127" s="86">
        <f t="shared" si="3"/>
        <v>0</v>
      </c>
      <c r="R12127" s="26"/>
    </row>
    <row r="12128" spans="1:18" ht="15.75" customHeight="1">
      <c r="A12128" s="26"/>
      <c r="B12128" s="86"/>
      <c r="D12128" s="26"/>
      <c r="F12128" s="87" t="str">
        <f t="shared" si="0"/>
        <v/>
      </c>
      <c r="H12128" s="26" t="str">
        <f t="shared" si="1"/>
        <v/>
      </c>
      <c r="I12128" s="26" t="str">
        <f t="shared" si="2"/>
        <v/>
      </c>
      <c r="J12128" s="86">
        <f t="shared" si="3"/>
        <v>0</v>
      </c>
      <c r="R12128" s="26"/>
    </row>
    <row r="12129" spans="1:18" ht="15.75" customHeight="1">
      <c r="A12129" s="26"/>
      <c r="B12129" s="86"/>
      <c r="D12129" s="26"/>
      <c r="F12129" s="87" t="str">
        <f t="shared" si="0"/>
        <v/>
      </c>
      <c r="H12129" s="26" t="str">
        <f t="shared" si="1"/>
        <v/>
      </c>
      <c r="I12129" s="26" t="str">
        <f t="shared" si="2"/>
        <v/>
      </c>
      <c r="J12129" s="86">
        <f t="shared" si="3"/>
        <v>0</v>
      </c>
      <c r="R12129" s="26"/>
    </row>
    <row r="12130" spans="1:18" ht="15.75" customHeight="1">
      <c r="A12130" s="26"/>
      <c r="B12130" s="86"/>
      <c r="D12130" s="26"/>
      <c r="F12130" s="87" t="str">
        <f t="shared" si="0"/>
        <v/>
      </c>
      <c r="H12130" s="26" t="str">
        <f t="shared" si="1"/>
        <v/>
      </c>
      <c r="I12130" s="26" t="str">
        <f t="shared" si="2"/>
        <v/>
      </c>
      <c r="J12130" s="86">
        <f t="shared" si="3"/>
        <v>0</v>
      </c>
      <c r="R12130" s="26"/>
    </row>
    <row r="12131" spans="1:18" ht="15.75" customHeight="1">
      <c r="A12131" s="26"/>
      <c r="B12131" s="86"/>
      <c r="D12131" s="26"/>
      <c r="F12131" s="87" t="str">
        <f t="shared" si="0"/>
        <v/>
      </c>
      <c r="H12131" s="26" t="str">
        <f t="shared" si="1"/>
        <v/>
      </c>
      <c r="I12131" s="26" t="str">
        <f t="shared" si="2"/>
        <v/>
      </c>
      <c r="J12131" s="86">
        <f t="shared" si="3"/>
        <v>0</v>
      </c>
      <c r="R12131" s="26"/>
    </row>
    <row r="12132" spans="1:18" ht="15.75" customHeight="1">
      <c r="A12132" s="26"/>
      <c r="B12132" s="86"/>
      <c r="D12132" s="26"/>
      <c r="F12132" s="87" t="str">
        <f t="shared" si="0"/>
        <v/>
      </c>
      <c r="H12132" s="26" t="str">
        <f t="shared" si="1"/>
        <v/>
      </c>
      <c r="I12132" s="26" t="str">
        <f t="shared" si="2"/>
        <v/>
      </c>
      <c r="J12132" s="86">
        <f t="shared" si="3"/>
        <v>0</v>
      </c>
      <c r="R12132" s="26"/>
    </row>
    <row r="12133" spans="1:18" ht="15.75" customHeight="1">
      <c r="A12133" s="26"/>
      <c r="B12133" s="86"/>
      <c r="D12133" s="26"/>
      <c r="F12133" s="87" t="str">
        <f t="shared" si="0"/>
        <v/>
      </c>
      <c r="H12133" s="26" t="str">
        <f t="shared" si="1"/>
        <v/>
      </c>
      <c r="I12133" s="26" t="str">
        <f t="shared" si="2"/>
        <v/>
      </c>
      <c r="J12133" s="86">
        <f t="shared" si="3"/>
        <v>0</v>
      </c>
      <c r="R12133" s="26"/>
    </row>
    <row r="12134" spans="1:18" ht="15.75" customHeight="1">
      <c r="A12134" s="26"/>
      <c r="B12134" s="86"/>
      <c r="D12134" s="26"/>
      <c r="F12134" s="87" t="str">
        <f t="shared" si="0"/>
        <v/>
      </c>
      <c r="H12134" s="26" t="str">
        <f t="shared" si="1"/>
        <v/>
      </c>
      <c r="I12134" s="26" t="str">
        <f t="shared" si="2"/>
        <v/>
      </c>
      <c r="J12134" s="86">
        <f t="shared" si="3"/>
        <v>0</v>
      </c>
      <c r="R12134" s="26"/>
    </row>
    <row r="12135" spans="1:18" ht="15.75" customHeight="1">
      <c r="A12135" s="26"/>
      <c r="B12135" s="86"/>
      <c r="D12135" s="26"/>
      <c r="F12135" s="87" t="str">
        <f t="shared" si="0"/>
        <v/>
      </c>
      <c r="H12135" s="26" t="str">
        <f t="shared" si="1"/>
        <v/>
      </c>
      <c r="I12135" s="26" t="str">
        <f t="shared" si="2"/>
        <v/>
      </c>
      <c r="J12135" s="86">
        <f t="shared" si="3"/>
        <v>0</v>
      </c>
      <c r="R12135" s="26"/>
    </row>
    <row r="12136" spans="1:18" ht="15.75" customHeight="1">
      <c r="A12136" s="26"/>
      <c r="B12136" s="86"/>
      <c r="D12136" s="26"/>
      <c r="F12136" s="87" t="str">
        <f t="shared" si="0"/>
        <v/>
      </c>
      <c r="H12136" s="26" t="str">
        <f t="shared" si="1"/>
        <v/>
      </c>
      <c r="I12136" s="26" t="str">
        <f t="shared" si="2"/>
        <v/>
      </c>
      <c r="J12136" s="86">
        <f t="shared" si="3"/>
        <v>0</v>
      </c>
      <c r="R12136" s="26"/>
    </row>
    <row r="12137" spans="1:18" ht="15.75" customHeight="1">
      <c r="A12137" s="26"/>
      <c r="B12137" s="86"/>
      <c r="D12137" s="26"/>
      <c r="F12137" s="87" t="str">
        <f t="shared" si="0"/>
        <v/>
      </c>
      <c r="H12137" s="26" t="str">
        <f t="shared" si="1"/>
        <v/>
      </c>
      <c r="I12137" s="26" t="str">
        <f t="shared" si="2"/>
        <v/>
      </c>
      <c r="J12137" s="86">
        <f t="shared" si="3"/>
        <v>0</v>
      </c>
      <c r="R12137" s="26"/>
    </row>
    <row r="12138" spans="1:18" ht="15.75" customHeight="1">
      <c r="A12138" s="26"/>
      <c r="B12138" s="86"/>
      <c r="D12138" s="26"/>
      <c r="F12138" s="87" t="str">
        <f t="shared" si="0"/>
        <v/>
      </c>
      <c r="H12138" s="26" t="str">
        <f t="shared" si="1"/>
        <v/>
      </c>
      <c r="I12138" s="26" t="str">
        <f t="shared" si="2"/>
        <v/>
      </c>
      <c r="J12138" s="86">
        <f t="shared" si="3"/>
        <v>0</v>
      </c>
      <c r="R12138" s="26"/>
    </row>
    <row r="12139" spans="1:18" ht="15.75" customHeight="1">
      <c r="A12139" s="26"/>
      <c r="B12139" s="86"/>
      <c r="D12139" s="26"/>
      <c r="F12139" s="87" t="str">
        <f t="shared" si="0"/>
        <v/>
      </c>
      <c r="H12139" s="26" t="str">
        <f t="shared" si="1"/>
        <v/>
      </c>
      <c r="I12139" s="26" t="str">
        <f t="shared" si="2"/>
        <v/>
      </c>
      <c r="J12139" s="86">
        <f t="shared" si="3"/>
        <v>0</v>
      </c>
      <c r="R12139" s="26"/>
    </row>
    <row r="12140" spans="1:18" ht="15.75" customHeight="1">
      <c r="A12140" s="26"/>
      <c r="B12140" s="86"/>
      <c r="D12140" s="26"/>
      <c r="F12140" s="87" t="str">
        <f t="shared" si="0"/>
        <v/>
      </c>
      <c r="H12140" s="26" t="str">
        <f t="shared" si="1"/>
        <v/>
      </c>
      <c r="I12140" s="26" t="str">
        <f t="shared" si="2"/>
        <v/>
      </c>
      <c r="J12140" s="86">
        <f t="shared" si="3"/>
        <v>0</v>
      </c>
      <c r="R12140" s="26"/>
    </row>
    <row r="12141" spans="1:18" ht="15.75" customHeight="1">
      <c r="A12141" s="26"/>
      <c r="B12141" s="86"/>
      <c r="D12141" s="26"/>
      <c r="F12141" s="87" t="str">
        <f t="shared" si="0"/>
        <v/>
      </c>
      <c r="H12141" s="26" t="str">
        <f t="shared" si="1"/>
        <v/>
      </c>
      <c r="I12141" s="26" t="str">
        <f t="shared" si="2"/>
        <v/>
      </c>
      <c r="J12141" s="86">
        <f t="shared" si="3"/>
        <v>0</v>
      </c>
      <c r="R12141" s="26"/>
    </row>
    <row r="12142" spans="1:18" ht="15.75" customHeight="1">
      <c r="A12142" s="26"/>
      <c r="B12142" s="86"/>
      <c r="D12142" s="26"/>
      <c r="F12142" s="87" t="str">
        <f t="shared" si="0"/>
        <v/>
      </c>
      <c r="H12142" s="26" t="str">
        <f t="shared" si="1"/>
        <v/>
      </c>
      <c r="I12142" s="26" t="str">
        <f t="shared" si="2"/>
        <v/>
      </c>
      <c r="J12142" s="86">
        <f t="shared" si="3"/>
        <v>0</v>
      </c>
      <c r="R12142" s="26"/>
    </row>
    <row r="12143" spans="1:18" ht="15.75" customHeight="1">
      <c r="A12143" s="26"/>
      <c r="B12143" s="86"/>
      <c r="D12143" s="26"/>
      <c r="F12143" s="87" t="str">
        <f t="shared" si="0"/>
        <v/>
      </c>
      <c r="H12143" s="26" t="str">
        <f t="shared" si="1"/>
        <v/>
      </c>
      <c r="I12143" s="26" t="str">
        <f t="shared" si="2"/>
        <v/>
      </c>
      <c r="J12143" s="86">
        <f t="shared" si="3"/>
        <v>0</v>
      </c>
      <c r="R12143" s="26"/>
    </row>
    <row r="12144" spans="1:18" ht="15.75" customHeight="1">
      <c r="A12144" s="26"/>
      <c r="B12144" s="86"/>
      <c r="D12144" s="26"/>
      <c r="F12144" s="87" t="str">
        <f t="shared" si="0"/>
        <v/>
      </c>
      <c r="H12144" s="26" t="str">
        <f t="shared" si="1"/>
        <v/>
      </c>
      <c r="I12144" s="26" t="str">
        <f t="shared" si="2"/>
        <v/>
      </c>
      <c r="J12144" s="86">
        <f t="shared" si="3"/>
        <v>0</v>
      </c>
      <c r="R12144" s="26"/>
    </row>
    <row r="12145" spans="1:18" ht="15.75" customHeight="1">
      <c r="A12145" s="26"/>
      <c r="B12145" s="86"/>
      <c r="D12145" s="26"/>
      <c r="F12145" s="87" t="str">
        <f t="shared" si="0"/>
        <v/>
      </c>
      <c r="H12145" s="26" t="str">
        <f t="shared" si="1"/>
        <v/>
      </c>
      <c r="I12145" s="26" t="str">
        <f t="shared" si="2"/>
        <v/>
      </c>
      <c r="J12145" s="86">
        <f t="shared" si="3"/>
        <v>0</v>
      </c>
      <c r="R12145" s="26"/>
    </row>
    <row r="12146" spans="1:18" ht="15.75" customHeight="1">
      <c r="A12146" s="26"/>
      <c r="B12146" s="86"/>
      <c r="D12146" s="26"/>
      <c r="F12146" s="87" t="str">
        <f t="shared" si="0"/>
        <v/>
      </c>
      <c r="H12146" s="26" t="str">
        <f t="shared" si="1"/>
        <v/>
      </c>
      <c r="I12146" s="26" t="str">
        <f t="shared" si="2"/>
        <v/>
      </c>
      <c r="J12146" s="86">
        <f t="shared" si="3"/>
        <v>0</v>
      </c>
      <c r="R12146" s="26"/>
    </row>
    <row r="12147" spans="1:18" ht="15.75" customHeight="1">
      <c r="A12147" s="26"/>
      <c r="B12147" s="86"/>
      <c r="D12147" s="26"/>
      <c r="F12147" s="87" t="str">
        <f t="shared" si="0"/>
        <v/>
      </c>
      <c r="H12147" s="26" t="str">
        <f t="shared" si="1"/>
        <v/>
      </c>
      <c r="I12147" s="26" t="str">
        <f t="shared" si="2"/>
        <v/>
      </c>
      <c r="J12147" s="86">
        <f t="shared" si="3"/>
        <v>0</v>
      </c>
      <c r="R12147" s="26"/>
    </row>
    <row r="12148" spans="1:18" ht="15.75" customHeight="1">
      <c r="A12148" s="26"/>
      <c r="B12148" s="86"/>
      <c r="D12148" s="26"/>
      <c r="F12148" s="87" t="str">
        <f t="shared" si="0"/>
        <v/>
      </c>
      <c r="H12148" s="26" t="str">
        <f t="shared" si="1"/>
        <v/>
      </c>
      <c r="I12148" s="26" t="str">
        <f t="shared" si="2"/>
        <v/>
      </c>
      <c r="J12148" s="86">
        <f t="shared" si="3"/>
        <v>0</v>
      </c>
      <c r="R12148" s="26"/>
    </row>
    <row r="12149" spans="1:18" ht="15.75" customHeight="1">
      <c r="A12149" s="26"/>
      <c r="B12149" s="86"/>
      <c r="D12149" s="26"/>
      <c r="F12149" s="87" t="str">
        <f t="shared" si="0"/>
        <v/>
      </c>
      <c r="H12149" s="26" t="str">
        <f t="shared" si="1"/>
        <v/>
      </c>
      <c r="I12149" s="26" t="str">
        <f t="shared" si="2"/>
        <v/>
      </c>
      <c r="J12149" s="86">
        <f t="shared" si="3"/>
        <v>0</v>
      </c>
      <c r="R12149" s="26"/>
    </row>
    <row r="12150" spans="1:18" ht="15.75" customHeight="1">
      <c r="A12150" s="26"/>
      <c r="B12150" s="86"/>
      <c r="D12150" s="26"/>
      <c r="F12150" s="87" t="str">
        <f t="shared" si="0"/>
        <v/>
      </c>
      <c r="H12150" s="26" t="str">
        <f t="shared" si="1"/>
        <v/>
      </c>
      <c r="I12150" s="26" t="str">
        <f t="shared" si="2"/>
        <v/>
      </c>
      <c r="J12150" s="86">
        <f t="shared" si="3"/>
        <v>0</v>
      </c>
      <c r="R12150" s="26"/>
    </row>
    <row r="12151" spans="1:18" ht="15.75" customHeight="1">
      <c r="A12151" s="26"/>
      <c r="B12151" s="86"/>
      <c r="D12151" s="26"/>
      <c r="F12151" s="87" t="str">
        <f t="shared" si="0"/>
        <v/>
      </c>
      <c r="H12151" s="26" t="str">
        <f t="shared" si="1"/>
        <v/>
      </c>
      <c r="I12151" s="26" t="str">
        <f t="shared" si="2"/>
        <v/>
      </c>
      <c r="J12151" s="86">
        <f t="shared" si="3"/>
        <v>0</v>
      </c>
      <c r="R12151" s="26"/>
    </row>
    <row r="12152" spans="1:18" ht="15.75" customHeight="1">
      <c r="A12152" s="26"/>
      <c r="B12152" s="86"/>
      <c r="D12152" s="26"/>
      <c r="F12152" s="87" t="str">
        <f t="shared" si="0"/>
        <v/>
      </c>
      <c r="H12152" s="26" t="str">
        <f t="shared" si="1"/>
        <v/>
      </c>
      <c r="I12152" s="26" t="str">
        <f t="shared" si="2"/>
        <v/>
      </c>
      <c r="J12152" s="86">
        <f t="shared" si="3"/>
        <v>0</v>
      </c>
      <c r="R12152" s="26"/>
    </row>
    <row r="12153" spans="1:18" ht="15.75" customHeight="1">
      <c r="A12153" s="26"/>
      <c r="B12153" s="86"/>
      <c r="D12153" s="26"/>
      <c r="F12153" s="87" t="str">
        <f t="shared" si="0"/>
        <v/>
      </c>
      <c r="H12153" s="26" t="str">
        <f t="shared" si="1"/>
        <v/>
      </c>
      <c r="I12153" s="26" t="str">
        <f t="shared" si="2"/>
        <v/>
      </c>
      <c r="J12153" s="86">
        <f t="shared" si="3"/>
        <v>0</v>
      </c>
      <c r="R12153" s="26"/>
    </row>
    <row r="12154" spans="1:18" ht="15.75" customHeight="1">
      <c r="A12154" s="26"/>
      <c r="B12154" s="86"/>
      <c r="D12154" s="26"/>
      <c r="F12154" s="87" t="str">
        <f t="shared" si="0"/>
        <v/>
      </c>
      <c r="H12154" s="26" t="str">
        <f t="shared" si="1"/>
        <v/>
      </c>
      <c r="I12154" s="26" t="str">
        <f t="shared" si="2"/>
        <v/>
      </c>
      <c r="J12154" s="86">
        <f t="shared" si="3"/>
        <v>0</v>
      </c>
      <c r="R12154" s="26"/>
    </row>
    <row r="12155" spans="1:18" ht="15.75" customHeight="1">
      <c r="A12155" s="26"/>
      <c r="B12155" s="86"/>
      <c r="D12155" s="26"/>
      <c r="F12155" s="87" t="str">
        <f t="shared" si="0"/>
        <v/>
      </c>
      <c r="H12155" s="26" t="str">
        <f t="shared" si="1"/>
        <v/>
      </c>
      <c r="I12155" s="26" t="str">
        <f t="shared" si="2"/>
        <v/>
      </c>
      <c r="J12155" s="86">
        <f t="shared" si="3"/>
        <v>0</v>
      </c>
      <c r="R12155" s="26"/>
    </row>
    <row r="12156" spans="1:18" ht="15.75" customHeight="1">
      <c r="A12156" s="26"/>
      <c r="B12156" s="86"/>
      <c r="D12156" s="26"/>
      <c r="F12156" s="87" t="str">
        <f t="shared" si="0"/>
        <v/>
      </c>
      <c r="H12156" s="26" t="str">
        <f t="shared" si="1"/>
        <v/>
      </c>
      <c r="I12156" s="26" t="str">
        <f t="shared" si="2"/>
        <v/>
      </c>
      <c r="J12156" s="86">
        <f t="shared" si="3"/>
        <v>0</v>
      </c>
      <c r="R12156" s="26"/>
    </row>
    <row r="12157" spans="1:18" ht="15.75" customHeight="1">
      <c r="A12157" s="26"/>
      <c r="B12157" s="86"/>
      <c r="D12157" s="26"/>
      <c r="F12157" s="87" t="str">
        <f t="shared" si="0"/>
        <v/>
      </c>
      <c r="H12157" s="26" t="str">
        <f t="shared" si="1"/>
        <v/>
      </c>
      <c r="I12157" s="26" t="str">
        <f t="shared" si="2"/>
        <v/>
      </c>
      <c r="J12157" s="86">
        <f t="shared" si="3"/>
        <v>0</v>
      </c>
      <c r="R12157" s="26"/>
    </row>
    <row r="12158" spans="1:18" ht="15.75" customHeight="1">
      <c r="A12158" s="26"/>
      <c r="B12158" s="86"/>
      <c r="D12158" s="26"/>
      <c r="F12158" s="87" t="str">
        <f t="shared" si="0"/>
        <v/>
      </c>
      <c r="H12158" s="26" t="str">
        <f t="shared" si="1"/>
        <v/>
      </c>
      <c r="I12158" s="26" t="str">
        <f t="shared" si="2"/>
        <v/>
      </c>
      <c r="J12158" s="86">
        <f t="shared" si="3"/>
        <v>0</v>
      </c>
      <c r="R12158" s="26"/>
    </row>
    <row r="12159" spans="1:18" ht="15.75" customHeight="1">
      <c r="A12159" s="26"/>
      <c r="B12159" s="86"/>
      <c r="D12159" s="26"/>
      <c r="F12159" s="87" t="str">
        <f t="shared" si="0"/>
        <v/>
      </c>
      <c r="H12159" s="26" t="str">
        <f t="shared" si="1"/>
        <v/>
      </c>
      <c r="I12159" s="26" t="str">
        <f t="shared" si="2"/>
        <v/>
      </c>
      <c r="J12159" s="86">
        <f t="shared" si="3"/>
        <v>0</v>
      </c>
      <c r="R12159" s="26"/>
    </row>
    <row r="12160" spans="1:18" ht="15.75" customHeight="1">
      <c r="A12160" s="26"/>
      <c r="B12160" s="86"/>
      <c r="D12160" s="26"/>
      <c r="F12160" s="87" t="str">
        <f t="shared" si="0"/>
        <v/>
      </c>
      <c r="H12160" s="26" t="str">
        <f t="shared" si="1"/>
        <v/>
      </c>
      <c r="I12160" s="26" t="str">
        <f t="shared" si="2"/>
        <v/>
      </c>
      <c r="J12160" s="86">
        <f t="shared" si="3"/>
        <v>0</v>
      </c>
      <c r="R12160" s="26"/>
    </row>
    <row r="12161" spans="1:18" ht="15.75" customHeight="1">
      <c r="A12161" s="26"/>
      <c r="B12161" s="86"/>
      <c r="D12161" s="26"/>
      <c r="F12161" s="87" t="str">
        <f t="shared" si="0"/>
        <v/>
      </c>
      <c r="H12161" s="26" t="str">
        <f t="shared" si="1"/>
        <v/>
      </c>
      <c r="I12161" s="26" t="str">
        <f t="shared" si="2"/>
        <v/>
      </c>
      <c r="J12161" s="86">
        <f t="shared" si="3"/>
        <v>0</v>
      </c>
      <c r="R12161" s="26"/>
    </row>
    <row r="12162" spans="1:18" ht="15.75" customHeight="1">
      <c r="A12162" s="26"/>
      <c r="B12162" s="86"/>
      <c r="D12162" s="26"/>
      <c r="F12162" s="87" t="str">
        <f t="shared" si="0"/>
        <v/>
      </c>
      <c r="H12162" s="26" t="str">
        <f t="shared" si="1"/>
        <v/>
      </c>
      <c r="I12162" s="26" t="str">
        <f t="shared" si="2"/>
        <v/>
      </c>
      <c r="J12162" s="86">
        <f t="shared" si="3"/>
        <v>0</v>
      </c>
      <c r="R12162" s="26"/>
    </row>
    <row r="12163" spans="1:18" ht="15.75" customHeight="1">
      <c r="A12163" s="26"/>
      <c r="B12163" s="86"/>
      <c r="D12163" s="26"/>
      <c r="F12163" s="87" t="str">
        <f t="shared" si="0"/>
        <v/>
      </c>
      <c r="H12163" s="26" t="str">
        <f t="shared" si="1"/>
        <v/>
      </c>
      <c r="I12163" s="26" t="str">
        <f t="shared" si="2"/>
        <v/>
      </c>
      <c r="J12163" s="86">
        <f t="shared" si="3"/>
        <v>0</v>
      </c>
      <c r="R12163" s="26"/>
    </row>
    <row r="12164" spans="1:18" ht="15.75" customHeight="1">
      <c r="A12164" s="26"/>
      <c r="B12164" s="86"/>
      <c r="D12164" s="26"/>
      <c r="F12164" s="87" t="str">
        <f t="shared" si="0"/>
        <v/>
      </c>
      <c r="H12164" s="26" t="str">
        <f t="shared" si="1"/>
        <v/>
      </c>
      <c r="I12164" s="26" t="str">
        <f t="shared" si="2"/>
        <v/>
      </c>
      <c r="J12164" s="86">
        <f t="shared" si="3"/>
        <v>0</v>
      </c>
      <c r="R12164" s="26"/>
    </row>
    <row r="12165" spans="1:18" ht="15.75" customHeight="1">
      <c r="A12165" s="26"/>
      <c r="B12165" s="86"/>
      <c r="D12165" s="26"/>
      <c r="F12165" s="87" t="str">
        <f t="shared" si="0"/>
        <v/>
      </c>
      <c r="H12165" s="26" t="str">
        <f t="shared" si="1"/>
        <v/>
      </c>
      <c r="I12165" s="26" t="str">
        <f t="shared" si="2"/>
        <v/>
      </c>
      <c r="J12165" s="86">
        <f t="shared" si="3"/>
        <v>0</v>
      </c>
      <c r="R12165" s="26"/>
    </row>
    <row r="12166" spans="1:18" ht="15.75" customHeight="1">
      <c r="A12166" s="26"/>
      <c r="B12166" s="86"/>
      <c r="D12166" s="26"/>
      <c r="F12166" s="87" t="str">
        <f t="shared" si="0"/>
        <v/>
      </c>
      <c r="H12166" s="26" t="str">
        <f t="shared" si="1"/>
        <v/>
      </c>
      <c r="I12166" s="26" t="str">
        <f t="shared" si="2"/>
        <v/>
      </c>
      <c r="J12166" s="86">
        <f t="shared" si="3"/>
        <v>0</v>
      </c>
      <c r="R12166" s="26"/>
    </row>
    <row r="12167" spans="1:18" ht="15.75" customHeight="1">
      <c r="A12167" s="26"/>
      <c r="B12167" s="86"/>
      <c r="D12167" s="26"/>
      <c r="F12167" s="87" t="str">
        <f t="shared" si="0"/>
        <v/>
      </c>
      <c r="H12167" s="26" t="str">
        <f t="shared" si="1"/>
        <v/>
      </c>
      <c r="I12167" s="26" t="str">
        <f t="shared" si="2"/>
        <v/>
      </c>
      <c r="J12167" s="86">
        <f t="shared" si="3"/>
        <v>0</v>
      </c>
      <c r="R12167" s="26"/>
    </row>
    <row r="12168" spans="1:18" ht="15.75" customHeight="1">
      <c r="A12168" s="26"/>
      <c r="B12168" s="86"/>
      <c r="D12168" s="26"/>
      <c r="F12168" s="87" t="str">
        <f t="shared" si="0"/>
        <v/>
      </c>
      <c r="H12168" s="26" t="str">
        <f t="shared" si="1"/>
        <v/>
      </c>
      <c r="I12168" s="26" t="str">
        <f t="shared" si="2"/>
        <v/>
      </c>
      <c r="J12168" s="86">
        <f t="shared" si="3"/>
        <v>0</v>
      </c>
      <c r="R12168" s="26"/>
    </row>
    <row r="12169" spans="1:18" ht="15.75" customHeight="1">
      <c r="A12169" s="26"/>
      <c r="B12169" s="86"/>
      <c r="D12169" s="26"/>
      <c r="F12169" s="87" t="str">
        <f t="shared" si="0"/>
        <v/>
      </c>
      <c r="H12169" s="26" t="str">
        <f t="shared" si="1"/>
        <v/>
      </c>
      <c r="I12169" s="26" t="str">
        <f t="shared" si="2"/>
        <v/>
      </c>
      <c r="J12169" s="86">
        <f t="shared" si="3"/>
        <v>0</v>
      </c>
      <c r="R12169" s="26"/>
    </row>
    <row r="12170" spans="1:18" ht="15.75" customHeight="1">
      <c r="A12170" s="26"/>
      <c r="B12170" s="86"/>
      <c r="D12170" s="26"/>
      <c r="F12170" s="87" t="str">
        <f t="shared" si="0"/>
        <v/>
      </c>
      <c r="H12170" s="26" t="str">
        <f t="shared" si="1"/>
        <v/>
      </c>
      <c r="I12170" s="26" t="str">
        <f t="shared" si="2"/>
        <v/>
      </c>
      <c r="J12170" s="86">
        <f t="shared" si="3"/>
        <v>0</v>
      </c>
      <c r="R12170" s="26"/>
    </row>
    <row r="12171" spans="1:18" ht="15.75" customHeight="1">
      <c r="A12171" s="26"/>
      <c r="B12171" s="86"/>
      <c r="D12171" s="26"/>
      <c r="F12171" s="87" t="str">
        <f t="shared" si="0"/>
        <v/>
      </c>
      <c r="H12171" s="26" t="str">
        <f t="shared" si="1"/>
        <v/>
      </c>
      <c r="I12171" s="26" t="str">
        <f t="shared" si="2"/>
        <v/>
      </c>
      <c r="J12171" s="86">
        <f t="shared" si="3"/>
        <v>0</v>
      </c>
      <c r="R12171" s="26"/>
    </row>
    <row r="12172" spans="1:18" ht="15.75" customHeight="1">
      <c r="A12172" s="26"/>
      <c r="B12172" s="86"/>
      <c r="D12172" s="26"/>
      <c r="F12172" s="87" t="str">
        <f t="shared" si="0"/>
        <v/>
      </c>
      <c r="H12172" s="26" t="str">
        <f t="shared" si="1"/>
        <v/>
      </c>
      <c r="I12172" s="26" t="str">
        <f t="shared" si="2"/>
        <v/>
      </c>
      <c r="J12172" s="86">
        <f t="shared" si="3"/>
        <v>0</v>
      </c>
      <c r="R12172" s="26"/>
    </row>
    <row r="12173" spans="1:18" ht="15.75" customHeight="1">
      <c r="A12173" s="26"/>
      <c r="B12173" s="86"/>
      <c r="D12173" s="26"/>
      <c r="F12173" s="87" t="str">
        <f t="shared" si="0"/>
        <v/>
      </c>
      <c r="H12173" s="26" t="str">
        <f t="shared" si="1"/>
        <v/>
      </c>
      <c r="I12173" s="26" t="str">
        <f t="shared" si="2"/>
        <v/>
      </c>
      <c r="J12173" s="86">
        <f t="shared" si="3"/>
        <v>0</v>
      </c>
      <c r="R12173" s="26"/>
    </row>
    <row r="12174" spans="1:18" ht="15.75" customHeight="1">
      <c r="A12174" s="26"/>
      <c r="B12174" s="86"/>
      <c r="D12174" s="26"/>
      <c r="F12174" s="87" t="str">
        <f t="shared" si="0"/>
        <v/>
      </c>
      <c r="H12174" s="26" t="str">
        <f t="shared" si="1"/>
        <v/>
      </c>
      <c r="I12174" s="26" t="str">
        <f t="shared" si="2"/>
        <v/>
      </c>
      <c r="J12174" s="86">
        <f t="shared" si="3"/>
        <v>0</v>
      </c>
      <c r="R12174" s="26"/>
    </row>
    <row r="12175" spans="1:18" ht="15.75" customHeight="1">
      <c r="A12175" s="26"/>
      <c r="B12175" s="86"/>
      <c r="D12175" s="26"/>
      <c r="F12175" s="87" t="str">
        <f t="shared" si="0"/>
        <v/>
      </c>
      <c r="H12175" s="26" t="str">
        <f t="shared" si="1"/>
        <v/>
      </c>
      <c r="I12175" s="26" t="str">
        <f t="shared" si="2"/>
        <v/>
      </c>
      <c r="J12175" s="86">
        <f t="shared" si="3"/>
        <v>0</v>
      </c>
      <c r="R12175" s="26"/>
    </row>
    <row r="12176" spans="1:18" ht="15.75" customHeight="1">
      <c r="A12176" s="26"/>
      <c r="B12176" s="86"/>
      <c r="D12176" s="26"/>
      <c r="F12176" s="87" t="str">
        <f t="shared" si="0"/>
        <v/>
      </c>
      <c r="H12176" s="26" t="str">
        <f t="shared" si="1"/>
        <v/>
      </c>
      <c r="I12176" s="26" t="str">
        <f t="shared" si="2"/>
        <v/>
      </c>
      <c r="J12176" s="86">
        <f t="shared" si="3"/>
        <v>0</v>
      </c>
      <c r="R12176" s="26"/>
    </row>
    <row r="12177" spans="1:18" ht="15.75" customHeight="1">
      <c r="A12177" s="26"/>
      <c r="B12177" s="86"/>
      <c r="D12177" s="26"/>
      <c r="F12177" s="87" t="str">
        <f t="shared" si="0"/>
        <v/>
      </c>
      <c r="H12177" s="26" t="str">
        <f t="shared" si="1"/>
        <v/>
      </c>
      <c r="I12177" s="26" t="str">
        <f t="shared" si="2"/>
        <v/>
      </c>
      <c r="J12177" s="86">
        <f t="shared" si="3"/>
        <v>0</v>
      </c>
      <c r="R12177" s="26"/>
    </row>
    <row r="12178" spans="1:18" ht="15.75" customHeight="1">
      <c r="A12178" s="26"/>
      <c r="B12178" s="86"/>
      <c r="D12178" s="26"/>
      <c r="F12178" s="87" t="str">
        <f t="shared" si="0"/>
        <v/>
      </c>
      <c r="H12178" s="26" t="str">
        <f t="shared" si="1"/>
        <v/>
      </c>
      <c r="I12178" s="26" t="str">
        <f t="shared" si="2"/>
        <v/>
      </c>
      <c r="J12178" s="86">
        <f t="shared" si="3"/>
        <v>0</v>
      </c>
      <c r="R12178" s="26"/>
    </row>
    <row r="12179" spans="1:18" ht="15.75" customHeight="1">
      <c r="A12179" s="26"/>
      <c r="B12179" s="86"/>
      <c r="D12179" s="26"/>
      <c r="F12179" s="87" t="str">
        <f t="shared" si="0"/>
        <v/>
      </c>
      <c r="H12179" s="26" t="str">
        <f t="shared" si="1"/>
        <v/>
      </c>
      <c r="I12179" s="26" t="str">
        <f t="shared" si="2"/>
        <v/>
      </c>
      <c r="J12179" s="86">
        <f t="shared" si="3"/>
        <v>0</v>
      </c>
      <c r="R12179" s="26"/>
    </row>
    <row r="12180" spans="1:18" ht="15.75" customHeight="1">
      <c r="A12180" s="26"/>
      <c r="B12180" s="86"/>
      <c r="D12180" s="26"/>
      <c r="F12180" s="87" t="str">
        <f t="shared" si="0"/>
        <v/>
      </c>
      <c r="H12180" s="26" t="str">
        <f t="shared" si="1"/>
        <v/>
      </c>
      <c r="I12180" s="26" t="str">
        <f t="shared" si="2"/>
        <v/>
      </c>
      <c r="J12180" s="86">
        <f t="shared" si="3"/>
        <v>0</v>
      </c>
      <c r="R12180" s="26"/>
    </row>
    <row r="12181" spans="1:18" ht="15.75" customHeight="1">
      <c r="A12181" s="26"/>
      <c r="B12181" s="86"/>
      <c r="D12181" s="26"/>
      <c r="F12181" s="87" t="str">
        <f t="shared" si="0"/>
        <v/>
      </c>
      <c r="H12181" s="26" t="str">
        <f t="shared" si="1"/>
        <v/>
      </c>
      <c r="I12181" s="26" t="str">
        <f t="shared" si="2"/>
        <v/>
      </c>
      <c r="J12181" s="86">
        <f t="shared" si="3"/>
        <v>0</v>
      </c>
      <c r="R12181" s="26"/>
    </row>
    <row r="12182" spans="1:18" ht="15.75" customHeight="1">
      <c r="A12182" s="26"/>
      <c r="B12182" s="86"/>
      <c r="D12182" s="26"/>
      <c r="F12182" s="87" t="str">
        <f t="shared" si="0"/>
        <v/>
      </c>
      <c r="H12182" s="26" t="str">
        <f t="shared" si="1"/>
        <v/>
      </c>
      <c r="I12182" s="26" t="str">
        <f t="shared" si="2"/>
        <v/>
      </c>
      <c r="J12182" s="86">
        <f t="shared" si="3"/>
        <v>0</v>
      </c>
      <c r="R12182" s="26"/>
    </row>
    <row r="12183" spans="1:18" ht="15.75" customHeight="1">
      <c r="A12183" s="26"/>
      <c r="B12183" s="86"/>
      <c r="D12183" s="26"/>
      <c r="F12183" s="87" t="str">
        <f t="shared" si="0"/>
        <v/>
      </c>
      <c r="H12183" s="26" t="str">
        <f t="shared" si="1"/>
        <v/>
      </c>
      <c r="I12183" s="26" t="str">
        <f t="shared" si="2"/>
        <v/>
      </c>
      <c r="J12183" s="86">
        <f t="shared" si="3"/>
        <v>0</v>
      </c>
      <c r="R12183" s="26"/>
    </row>
    <row r="12184" spans="1:18" ht="15.75" customHeight="1">
      <c r="A12184" s="26"/>
      <c r="B12184" s="86"/>
      <c r="D12184" s="26"/>
      <c r="F12184" s="87" t="str">
        <f t="shared" si="0"/>
        <v/>
      </c>
      <c r="H12184" s="26" t="str">
        <f t="shared" si="1"/>
        <v/>
      </c>
      <c r="I12184" s="26" t="str">
        <f t="shared" si="2"/>
        <v/>
      </c>
      <c r="J12184" s="86">
        <f t="shared" si="3"/>
        <v>0</v>
      </c>
      <c r="R12184" s="26"/>
    </row>
    <row r="12185" spans="1:18" ht="15.75" customHeight="1">
      <c r="A12185" s="26"/>
      <c r="B12185" s="86"/>
      <c r="D12185" s="26"/>
      <c r="F12185" s="87" t="str">
        <f t="shared" si="0"/>
        <v/>
      </c>
      <c r="H12185" s="26" t="str">
        <f t="shared" si="1"/>
        <v/>
      </c>
      <c r="I12185" s="26" t="str">
        <f t="shared" si="2"/>
        <v/>
      </c>
      <c r="J12185" s="86">
        <f t="shared" si="3"/>
        <v>0</v>
      </c>
      <c r="R12185" s="26"/>
    </row>
    <row r="12186" spans="1:18" ht="15.75" customHeight="1">
      <c r="A12186" s="26"/>
      <c r="B12186" s="86"/>
      <c r="D12186" s="26"/>
      <c r="F12186" s="87" t="str">
        <f t="shared" si="0"/>
        <v/>
      </c>
      <c r="H12186" s="26" t="str">
        <f t="shared" si="1"/>
        <v/>
      </c>
      <c r="I12186" s="26" t="str">
        <f t="shared" si="2"/>
        <v/>
      </c>
      <c r="J12186" s="86">
        <f t="shared" si="3"/>
        <v>0</v>
      </c>
      <c r="R12186" s="26"/>
    </row>
    <row r="12187" spans="1:18" ht="15.75" customHeight="1">
      <c r="A12187" s="26"/>
      <c r="B12187" s="86"/>
      <c r="D12187" s="26"/>
      <c r="F12187" s="87" t="str">
        <f t="shared" si="0"/>
        <v/>
      </c>
      <c r="H12187" s="26" t="str">
        <f t="shared" si="1"/>
        <v/>
      </c>
      <c r="I12187" s="26" t="str">
        <f t="shared" si="2"/>
        <v/>
      </c>
      <c r="J12187" s="86">
        <f t="shared" si="3"/>
        <v>0</v>
      </c>
      <c r="R12187" s="26"/>
    </row>
    <row r="12188" spans="1:18" ht="15.75" customHeight="1">
      <c r="A12188" s="26"/>
      <c r="B12188" s="86"/>
      <c r="D12188" s="26"/>
      <c r="F12188" s="87" t="str">
        <f t="shared" si="0"/>
        <v/>
      </c>
      <c r="H12188" s="26" t="str">
        <f t="shared" si="1"/>
        <v/>
      </c>
      <c r="I12188" s="26" t="str">
        <f t="shared" si="2"/>
        <v/>
      </c>
      <c r="J12188" s="86">
        <f t="shared" si="3"/>
        <v>0</v>
      </c>
      <c r="R12188" s="26"/>
    </row>
    <row r="12189" spans="1:18" ht="15.75" customHeight="1">
      <c r="A12189" s="26"/>
      <c r="B12189" s="86"/>
      <c r="D12189" s="26"/>
      <c r="F12189" s="87" t="str">
        <f t="shared" si="0"/>
        <v/>
      </c>
      <c r="H12189" s="26" t="str">
        <f t="shared" si="1"/>
        <v/>
      </c>
      <c r="I12189" s="26" t="str">
        <f t="shared" si="2"/>
        <v/>
      </c>
      <c r="J12189" s="86">
        <f t="shared" si="3"/>
        <v>0</v>
      </c>
      <c r="R12189" s="26"/>
    </row>
    <row r="12190" spans="1:18" ht="15.75" customHeight="1">
      <c r="A12190" s="26"/>
      <c r="B12190" s="86"/>
      <c r="D12190" s="26"/>
      <c r="F12190" s="87" t="str">
        <f t="shared" si="0"/>
        <v/>
      </c>
      <c r="H12190" s="26" t="str">
        <f t="shared" si="1"/>
        <v/>
      </c>
      <c r="I12190" s="26" t="str">
        <f t="shared" si="2"/>
        <v/>
      </c>
      <c r="J12190" s="86">
        <f t="shared" si="3"/>
        <v>0</v>
      </c>
      <c r="R12190" s="26"/>
    </row>
    <row r="12191" spans="1:18" ht="15.75" customHeight="1">
      <c r="A12191" s="26"/>
      <c r="B12191" s="86"/>
      <c r="D12191" s="26"/>
      <c r="F12191" s="87" t="str">
        <f t="shared" si="0"/>
        <v/>
      </c>
      <c r="H12191" s="26" t="str">
        <f t="shared" si="1"/>
        <v/>
      </c>
      <c r="I12191" s="26" t="str">
        <f t="shared" si="2"/>
        <v/>
      </c>
      <c r="J12191" s="86">
        <f t="shared" si="3"/>
        <v>0</v>
      </c>
      <c r="R12191" s="26"/>
    </row>
    <row r="12192" spans="1:18" ht="15.75" customHeight="1">
      <c r="A12192" s="26"/>
      <c r="B12192" s="86"/>
      <c r="D12192" s="26"/>
      <c r="F12192" s="87" t="str">
        <f t="shared" si="0"/>
        <v/>
      </c>
      <c r="H12192" s="26" t="str">
        <f t="shared" si="1"/>
        <v/>
      </c>
      <c r="I12192" s="26" t="str">
        <f t="shared" si="2"/>
        <v/>
      </c>
      <c r="J12192" s="86">
        <f t="shared" si="3"/>
        <v>0</v>
      </c>
      <c r="R12192" s="26"/>
    </row>
    <row r="12193" spans="1:18" ht="15.75" customHeight="1">
      <c r="A12193" s="26"/>
      <c r="B12193" s="86"/>
      <c r="D12193" s="26"/>
      <c r="F12193" s="87" t="str">
        <f t="shared" si="0"/>
        <v/>
      </c>
      <c r="H12193" s="26" t="str">
        <f t="shared" si="1"/>
        <v/>
      </c>
      <c r="I12193" s="26" t="str">
        <f t="shared" si="2"/>
        <v/>
      </c>
      <c r="J12193" s="86">
        <f t="shared" si="3"/>
        <v>0</v>
      </c>
      <c r="R12193" s="26"/>
    </row>
    <row r="12194" spans="1:18" ht="15.75" customHeight="1">
      <c r="A12194" s="26"/>
      <c r="B12194" s="86"/>
      <c r="D12194" s="26"/>
      <c r="F12194" s="87" t="str">
        <f t="shared" si="0"/>
        <v/>
      </c>
      <c r="H12194" s="26" t="str">
        <f t="shared" si="1"/>
        <v/>
      </c>
      <c r="I12194" s="26" t="str">
        <f t="shared" si="2"/>
        <v/>
      </c>
      <c r="J12194" s="86">
        <f t="shared" si="3"/>
        <v>0</v>
      </c>
      <c r="R12194" s="26"/>
    </row>
    <row r="12195" spans="1:18" ht="15.75" customHeight="1">
      <c r="A12195" s="26"/>
      <c r="B12195" s="86"/>
      <c r="D12195" s="26"/>
      <c r="F12195" s="87" t="str">
        <f t="shared" si="0"/>
        <v/>
      </c>
      <c r="H12195" s="26" t="str">
        <f t="shared" si="1"/>
        <v/>
      </c>
      <c r="I12195" s="26" t="str">
        <f t="shared" si="2"/>
        <v/>
      </c>
      <c r="J12195" s="86">
        <f t="shared" si="3"/>
        <v>0</v>
      </c>
      <c r="R12195" s="26"/>
    </row>
    <row r="12196" spans="1:18" ht="15.75" customHeight="1">
      <c r="A12196" s="26"/>
      <c r="B12196" s="86"/>
      <c r="D12196" s="26"/>
      <c r="F12196" s="87" t="str">
        <f t="shared" si="0"/>
        <v/>
      </c>
      <c r="H12196" s="26" t="str">
        <f t="shared" si="1"/>
        <v/>
      </c>
      <c r="I12196" s="26" t="str">
        <f t="shared" si="2"/>
        <v/>
      </c>
      <c r="J12196" s="86">
        <f t="shared" si="3"/>
        <v>0</v>
      </c>
      <c r="R12196" s="26"/>
    </row>
    <row r="12197" spans="1:18" ht="15.75" customHeight="1">
      <c r="A12197" s="26"/>
      <c r="B12197" s="86"/>
      <c r="D12197" s="26"/>
      <c r="F12197" s="87" t="str">
        <f t="shared" si="0"/>
        <v/>
      </c>
      <c r="H12197" s="26" t="str">
        <f t="shared" si="1"/>
        <v/>
      </c>
      <c r="I12197" s="26" t="str">
        <f t="shared" si="2"/>
        <v/>
      </c>
      <c r="J12197" s="86">
        <f t="shared" si="3"/>
        <v>0</v>
      </c>
      <c r="R12197" s="26"/>
    </row>
    <row r="12198" spans="1:18" ht="15.75" customHeight="1">
      <c r="A12198" s="26"/>
      <c r="B12198" s="86"/>
      <c r="D12198" s="26"/>
      <c r="F12198" s="87" t="str">
        <f t="shared" si="0"/>
        <v/>
      </c>
      <c r="H12198" s="26" t="str">
        <f t="shared" si="1"/>
        <v/>
      </c>
      <c r="I12198" s="26" t="str">
        <f t="shared" si="2"/>
        <v/>
      </c>
      <c r="J12198" s="86">
        <f t="shared" si="3"/>
        <v>0</v>
      </c>
      <c r="R12198" s="26"/>
    </row>
    <row r="12199" spans="1:18" ht="15.75" customHeight="1">
      <c r="A12199" s="26"/>
      <c r="B12199" s="86"/>
      <c r="D12199" s="26"/>
      <c r="F12199" s="87" t="str">
        <f t="shared" si="0"/>
        <v/>
      </c>
      <c r="H12199" s="26" t="str">
        <f t="shared" si="1"/>
        <v/>
      </c>
      <c r="I12199" s="26" t="str">
        <f t="shared" si="2"/>
        <v/>
      </c>
      <c r="J12199" s="86">
        <f t="shared" si="3"/>
        <v>0</v>
      </c>
      <c r="R12199" s="26"/>
    </row>
    <row r="12200" spans="1:18" ht="15.75" customHeight="1">
      <c r="A12200" s="26"/>
      <c r="B12200" s="86"/>
      <c r="D12200" s="26"/>
      <c r="F12200" s="87" t="str">
        <f t="shared" si="0"/>
        <v/>
      </c>
      <c r="H12200" s="26" t="str">
        <f t="shared" si="1"/>
        <v/>
      </c>
      <c r="I12200" s="26" t="str">
        <f t="shared" si="2"/>
        <v/>
      </c>
      <c r="J12200" s="86">
        <f t="shared" si="3"/>
        <v>0</v>
      </c>
      <c r="R12200" s="26"/>
    </row>
    <row r="12201" spans="1:18" ht="15.75" customHeight="1">
      <c r="A12201" s="26"/>
      <c r="B12201" s="86"/>
      <c r="D12201" s="26"/>
      <c r="F12201" s="87" t="str">
        <f t="shared" si="0"/>
        <v/>
      </c>
      <c r="H12201" s="26" t="str">
        <f t="shared" si="1"/>
        <v/>
      </c>
      <c r="I12201" s="26" t="str">
        <f t="shared" si="2"/>
        <v/>
      </c>
      <c r="J12201" s="86">
        <f t="shared" si="3"/>
        <v>0</v>
      </c>
      <c r="R12201" s="26"/>
    </row>
    <row r="12202" spans="1:18" ht="15.75" customHeight="1">
      <c r="A12202" s="26"/>
      <c r="B12202" s="86"/>
      <c r="D12202" s="26"/>
      <c r="F12202" s="87" t="str">
        <f t="shared" si="0"/>
        <v/>
      </c>
      <c r="H12202" s="26" t="str">
        <f t="shared" si="1"/>
        <v/>
      </c>
      <c r="I12202" s="26" t="str">
        <f t="shared" si="2"/>
        <v/>
      </c>
      <c r="J12202" s="86">
        <f t="shared" si="3"/>
        <v>0</v>
      </c>
      <c r="R12202" s="26"/>
    </row>
    <row r="12203" spans="1:18" ht="15.75" customHeight="1">
      <c r="A12203" s="26"/>
      <c r="B12203" s="86"/>
      <c r="D12203" s="26"/>
      <c r="F12203" s="87" t="str">
        <f t="shared" si="0"/>
        <v/>
      </c>
      <c r="H12203" s="26" t="str">
        <f t="shared" si="1"/>
        <v/>
      </c>
      <c r="I12203" s="26" t="str">
        <f t="shared" si="2"/>
        <v/>
      </c>
      <c r="J12203" s="86">
        <f t="shared" si="3"/>
        <v>0</v>
      </c>
      <c r="R12203" s="26"/>
    </row>
    <row r="12204" spans="1:18" ht="15.75" customHeight="1">
      <c r="A12204" s="26"/>
      <c r="B12204" s="86"/>
      <c r="D12204" s="26"/>
      <c r="F12204" s="87" t="str">
        <f t="shared" si="0"/>
        <v/>
      </c>
      <c r="H12204" s="26" t="str">
        <f t="shared" si="1"/>
        <v/>
      </c>
      <c r="I12204" s="26" t="str">
        <f t="shared" si="2"/>
        <v/>
      </c>
      <c r="J12204" s="86">
        <f t="shared" si="3"/>
        <v>0</v>
      </c>
      <c r="R12204" s="26"/>
    </row>
    <row r="12205" spans="1:18" ht="15.75" customHeight="1">
      <c r="A12205" s="26"/>
      <c r="B12205" s="86"/>
      <c r="D12205" s="26"/>
      <c r="F12205" s="87" t="str">
        <f t="shared" si="0"/>
        <v/>
      </c>
      <c r="H12205" s="26" t="str">
        <f t="shared" si="1"/>
        <v/>
      </c>
      <c r="I12205" s="26" t="str">
        <f t="shared" si="2"/>
        <v/>
      </c>
      <c r="J12205" s="86">
        <f t="shared" si="3"/>
        <v>0</v>
      </c>
      <c r="R12205" s="26"/>
    </row>
    <row r="12206" spans="1:18" ht="15.75" customHeight="1">
      <c r="A12206" s="26"/>
      <c r="B12206" s="86"/>
      <c r="D12206" s="26"/>
      <c r="F12206" s="87" t="str">
        <f t="shared" si="0"/>
        <v/>
      </c>
      <c r="H12206" s="26" t="str">
        <f t="shared" si="1"/>
        <v/>
      </c>
      <c r="I12206" s="26" t="str">
        <f t="shared" si="2"/>
        <v/>
      </c>
      <c r="J12206" s="86">
        <f t="shared" si="3"/>
        <v>0</v>
      </c>
      <c r="R12206" s="26"/>
    </row>
    <row r="12207" spans="1:18" ht="15.75" customHeight="1">
      <c r="A12207" s="26"/>
      <c r="B12207" s="86"/>
      <c r="D12207" s="26"/>
      <c r="F12207" s="87" t="str">
        <f t="shared" si="0"/>
        <v/>
      </c>
      <c r="H12207" s="26" t="str">
        <f t="shared" si="1"/>
        <v/>
      </c>
      <c r="I12207" s="26" t="str">
        <f t="shared" si="2"/>
        <v/>
      </c>
      <c r="J12207" s="86">
        <f t="shared" si="3"/>
        <v>0</v>
      </c>
      <c r="R12207" s="26"/>
    </row>
    <row r="12208" spans="1:18" ht="15.75" customHeight="1">
      <c r="A12208" s="26"/>
      <c r="B12208" s="86"/>
      <c r="D12208" s="26"/>
      <c r="F12208" s="87" t="str">
        <f t="shared" si="0"/>
        <v/>
      </c>
      <c r="H12208" s="26" t="str">
        <f t="shared" si="1"/>
        <v/>
      </c>
      <c r="I12208" s="26" t="str">
        <f t="shared" si="2"/>
        <v/>
      </c>
      <c r="J12208" s="86">
        <f t="shared" si="3"/>
        <v>0</v>
      </c>
      <c r="R12208" s="26"/>
    </row>
    <row r="12209" spans="1:18" ht="15.75" customHeight="1">
      <c r="A12209" s="26"/>
      <c r="B12209" s="86"/>
      <c r="D12209" s="26"/>
      <c r="F12209" s="87" t="str">
        <f t="shared" si="0"/>
        <v/>
      </c>
      <c r="H12209" s="26" t="str">
        <f t="shared" si="1"/>
        <v/>
      </c>
      <c r="I12209" s="26" t="str">
        <f t="shared" si="2"/>
        <v/>
      </c>
      <c r="J12209" s="86">
        <f t="shared" si="3"/>
        <v>0</v>
      </c>
      <c r="R12209" s="26"/>
    </row>
    <row r="12210" spans="1:18" ht="15.75" customHeight="1">
      <c r="A12210" s="26"/>
      <c r="B12210" s="86"/>
      <c r="D12210" s="26"/>
      <c r="F12210" s="87" t="str">
        <f t="shared" si="0"/>
        <v/>
      </c>
      <c r="H12210" s="26" t="str">
        <f t="shared" si="1"/>
        <v/>
      </c>
      <c r="I12210" s="26" t="str">
        <f t="shared" si="2"/>
        <v/>
      </c>
      <c r="J12210" s="86">
        <f t="shared" si="3"/>
        <v>0</v>
      </c>
      <c r="R12210" s="26"/>
    </row>
    <row r="12211" spans="1:18" ht="15.75" customHeight="1">
      <c r="A12211" s="26"/>
      <c r="B12211" s="86"/>
      <c r="D12211" s="26"/>
      <c r="F12211" s="87" t="str">
        <f t="shared" si="0"/>
        <v/>
      </c>
      <c r="H12211" s="26" t="str">
        <f t="shared" si="1"/>
        <v/>
      </c>
      <c r="I12211" s="26" t="str">
        <f t="shared" si="2"/>
        <v/>
      </c>
      <c r="J12211" s="86">
        <f t="shared" si="3"/>
        <v>0</v>
      </c>
      <c r="R12211" s="26"/>
    </row>
    <row r="12212" spans="1:18" ht="15.75" customHeight="1">
      <c r="A12212" s="26"/>
      <c r="B12212" s="86"/>
      <c r="D12212" s="26"/>
      <c r="F12212" s="87" t="str">
        <f t="shared" si="0"/>
        <v/>
      </c>
      <c r="H12212" s="26" t="str">
        <f t="shared" si="1"/>
        <v/>
      </c>
      <c r="I12212" s="26" t="str">
        <f t="shared" si="2"/>
        <v/>
      </c>
      <c r="J12212" s="86">
        <f t="shared" si="3"/>
        <v>0</v>
      </c>
      <c r="R12212" s="26"/>
    </row>
    <row r="12213" spans="1:18" ht="15.75" customHeight="1">
      <c r="A12213" s="26"/>
      <c r="B12213" s="86"/>
      <c r="D12213" s="26"/>
      <c r="F12213" s="87" t="str">
        <f t="shared" si="0"/>
        <v/>
      </c>
      <c r="H12213" s="26" t="str">
        <f t="shared" si="1"/>
        <v/>
      </c>
      <c r="I12213" s="26" t="str">
        <f t="shared" si="2"/>
        <v/>
      </c>
      <c r="J12213" s="86">
        <f t="shared" si="3"/>
        <v>0</v>
      </c>
      <c r="R12213" s="26"/>
    </row>
    <row r="12214" spans="1:18" ht="15.75" customHeight="1">
      <c r="A12214" s="26"/>
      <c r="B12214" s="86"/>
      <c r="D12214" s="26"/>
      <c r="F12214" s="87" t="str">
        <f t="shared" si="0"/>
        <v/>
      </c>
      <c r="H12214" s="26" t="str">
        <f t="shared" si="1"/>
        <v/>
      </c>
      <c r="I12214" s="26" t="str">
        <f t="shared" si="2"/>
        <v/>
      </c>
      <c r="J12214" s="86">
        <f t="shared" si="3"/>
        <v>0</v>
      </c>
      <c r="R12214" s="26"/>
    </row>
    <row r="12215" spans="1:18" ht="15.75" customHeight="1">
      <c r="A12215" s="26"/>
      <c r="B12215" s="86"/>
      <c r="D12215" s="26"/>
      <c r="F12215" s="87" t="str">
        <f t="shared" si="0"/>
        <v/>
      </c>
      <c r="H12215" s="26" t="str">
        <f t="shared" si="1"/>
        <v/>
      </c>
      <c r="I12215" s="26" t="str">
        <f t="shared" si="2"/>
        <v/>
      </c>
      <c r="J12215" s="86">
        <f t="shared" si="3"/>
        <v>0</v>
      </c>
      <c r="R12215" s="26"/>
    </row>
    <row r="12216" spans="1:18" ht="15.75" customHeight="1">
      <c r="A12216" s="26"/>
      <c r="B12216" s="86"/>
      <c r="D12216" s="26"/>
      <c r="F12216" s="87" t="str">
        <f t="shared" si="0"/>
        <v/>
      </c>
      <c r="H12216" s="26" t="str">
        <f t="shared" si="1"/>
        <v/>
      </c>
      <c r="I12216" s="26" t="str">
        <f t="shared" si="2"/>
        <v/>
      </c>
      <c r="J12216" s="86">
        <f t="shared" si="3"/>
        <v>0</v>
      </c>
      <c r="R12216" s="26"/>
    </row>
    <row r="12217" spans="1:18" ht="15.75" customHeight="1">
      <c r="A12217" s="26"/>
      <c r="B12217" s="86"/>
      <c r="D12217" s="26"/>
      <c r="F12217" s="87" t="str">
        <f t="shared" si="0"/>
        <v/>
      </c>
      <c r="H12217" s="26" t="str">
        <f t="shared" si="1"/>
        <v/>
      </c>
      <c r="I12217" s="26" t="str">
        <f t="shared" si="2"/>
        <v/>
      </c>
      <c r="J12217" s="86">
        <f t="shared" si="3"/>
        <v>0</v>
      </c>
      <c r="R12217" s="26"/>
    </row>
    <row r="12218" spans="1:18" ht="15.75" customHeight="1">
      <c r="A12218" s="26"/>
      <c r="B12218" s="86"/>
      <c r="D12218" s="26"/>
      <c r="F12218" s="87" t="str">
        <f t="shared" si="0"/>
        <v/>
      </c>
      <c r="H12218" s="26" t="str">
        <f t="shared" si="1"/>
        <v/>
      </c>
      <c r="I12218" s="26" t="str">
        <f t="shared" si="2"/>
        <v/>
      </c>
      <c r="J12218" s="86">
        <f t="shared" si="3"/>
        <v>0</v>
      </c>
      <c r="R12218" s="26"/>
    </row>
    <row r="12219" spans="1:18" ht="15.75" customHeight="1">
      <c r="A12219" s="26"/>
      <c r="B12219" s="86"/>
      <c r="D12219" s="26"/>
      <c r="F12219" s="87" t="str">
        <f t="shared" si="0"/>
        <v/>
      </c>
      <c r="H12219" s="26" t="str">
        <f t="shared" si="1"/>
        <v/>
      </c>
      <c r="I12219" s="26" t="str">
        <f t="shared" si="2"/>
        <v/>
      </c>
      <c r="J12219" s="86">
        <f t="shared" si="3"/>
        <v>0</v>
      </c>
      <c r="R12219" s="26"/>
    </row>
    <row r="12220" spans="1:18" ht="15.75" customHeight="1">
      <c r="A12220" s="26"/>
      <c r="B12220" s="86"/>
      <c r="D12220" s="26"/>
      <c r="F12220" s="87" t="str">
        <f t="shared" si="0"/>
        <v/>
      </c>
      <c r="H12220" s="26" t="str">
        <f t="shared" si="1"/>
        <v/>
      </c>
      <c r="I12220" s="26" t="str">
        <f t="shared" si="2"/>
        <v/>
      </c>
      <c r="J12220" s="86">
        <f t="shared" si="3"/>
        <v>0</v>
      </c>
      <c r="R12220" s="26"/>
    </row>
    <row r="12221" spans="1:18" ht="15.75" customHeight="1">
      <c r="A12221" s="26"/>
      <c r="B12221" s="86"/>
      <c r="D12221" s="26"/>
      <c r="F12221" s="87" t="str">
        <f t="shared" si="0"/>
        <v/>
      </c>
      <c r="H12221" s="26" t="str">
        <f t="shared" si="1"/>
        <v/>
      </c>
      <c r="I12221" s="26" t="str">
        <f t="shared" si="2"/>
        <v/>
      </c>
      <c r="J12221" s="86">
        <f t="shared" si="3"/>
        <v>0</v>
      </c>
      <c r="R12221" s="26"/>
    </row>
    <row r="12222" spans="1:18" ht="15.75" customHeight="1">
      <c r="A12222" s="26"/>
      <c r="B12222" s="86"/>
      <c r="D12222" s="26"/>
      <c r="F12222" s="87" t="str">
        <f t="shared" si="0"/>
        <v/>
      </c>
      <c r="H12222" s="26" t="str">
        <f t="shared" si="1"/>
        <v/>
      </c>
      <c r="I12222" s="26" t="str">
        <f t="shared" si="2"/>
        <v/>
      </c>
      <c r="J12222" s="86">
        <f t="shared" si="3"/>
        <v>0</v>
      </c>
      <c r="R12222" s="26"/>
    </row>
    <row r="12223" spans="1:18" ht="15.75" customHeight="1">
      <c r="A12223" s="26"/>
      <c r="B12223" s="86"/>
      <c r="D12223" s="26"/>
      <c r="F12223" s="87" t="str">
        <f t="shared" si="0"/>
        <v/>
      </c>
      <c r="H12223" s="26" t="str">
        <f t="shared" si="1"/>
        <v/>
      </c>
      <c r="I12223" s="26" t="str">
        <f t="shared" si="2"/>
        <v/>
      </c>
      <c r="J12223" s="86">
        <f t="shared" si="3"/>
        <v>0</v>
      </c>
      <c r="R12223" s="26"/>
    </row>
    <row r="12224" spans="1:18" ht="15.75" customHeight="1">
      <c r="A12224" s="26"/>
      <c r="B12224" s="86"/>
      <c r="D12224" s="26"/>
      <c r="F12224" s="87" t="str">
        <f t="shared" si="0"/>
        <v/>
      </c>
      <c r="H12224" s="26" t="str">
        <f t="shared" si="1"/>
        <v/>
      </c>
      <c r="I12224" s="26" t="str">
        <f t="shared" si="2"/>
        <v/>
      </c>
      <c r="J12224" s="86">
        <f t="shared" si="3"/>
        <v>0</v>
      </c>
      <c r="R12224" s="26"/>
    </row>
    <row r="12225" spans="1:18" ht="15.75" customHeight="1">
      <c r="A12225" s="26"/>
      <c r="B12225" s="86"/>
      <c r="D12225" s="26"/>
      <c r="F12225" s="87" t="str">
        <f t="shared" si="0"/>
        <v/>
      </c>
      <c r="H12225" s="26" t="str">
        <f t="shared" si="1"/>
        <v/>
      </c>
      <c r="I12225" s="26" t="str">
        <f t="shared" si="2"/>
        <v/>
      </c>
      <c r="J12225" s="86">
        <f t="shared" si="3"/>
        <v>0</v>
      </c>
      <c r="R12225" s="26"/>
    </row>
    <row r="12226" spans="1:18" ht="15.75" customHeight="1">
      <c r="A12226" s="26"/>
      <c r="B12226" s="86"/>
      <c r="D12226" s="26"/>
      <c r="F12226" s="87" t="str">
        <f t="shared" si="0"/>
        <v/>
      </c>
      <c r="H12226" s="26" t="str">
        <f t="shared" si="1"/>
        <v/>
      </c>
      <c r="I12226" s="26" t="str">
        <f t="shared" si="2"/>
        <v/>
      </c>
      <c r="J12226" s="86">
        <f t="shared" si="3"/>
        <v>0</v>
      </c>
      <c r="R12226" s="26"/>
    </row>
    <row r="12227" spans="1:18" ht="15.75" customHeight="1">
      <c r="A12227" s="26"/>
      <c r="B12227" s="86"/>
      <c r="D12227" s="26"/>
      <c r="F12227" s="87" t="str">
        <f t="shared" si="0"/>
        <v/>
      </c>
      <c r="H12227" s="26" t="str">
        <f t="shared" si="1"/>
        <v/>
      </c>
      <c r="I12227" s="26" t="str">
        <f t="shared" si="2"/>
        <v/>
      </c>
      <c r="J12227" s="86">
        <f t="shared" si="3"/>
        <v>0</v>
      </c>
      <c r="R12227" s="26"/>
    </row>
    <row r="12228" spans="1:18" ht="15.75" customHeight="1">
      <c r="A12228" s="26"/>
      <c r="B12228" s="86"/>
      <c r="D12228" s="26"/>
      <c r="F12228" s="87" t="str">
        <f t="shared" si="0"/>
        <v/>
      </c>
      <c r="H12228" s="26" t="str">
        <f t="shared" si="1"/>
        <v/>
      </c>
      <c r="I12228" s="26" t="str">
        <f t="shared" si="2"/>
        <v/>
      </c>
      <c r="J12228" s="86">
        <f t="shared" si="3"/>
        <v>0</v>
      </c>
      <c r="R12228" s="26"/>
    </row>
    <row r="12229" spans="1:18" ht="15.75" customHeight="1">
      <c r="A12229" s="26"/>
      <c r="B12229" s="86"/>
      <c r="D12229" s="26"/>
      <c r="F12229" s="87" t="str">
        <f t="shared" si="0"/>
        <v/>
      </c>
      <c r="H12229" s="26" t="str">
        <f t="shared" si="1"/>
        <v/>
      </c>
      <c r="I12229" s="26" t="str">
        <f t="shared" si="2"/>
        <v/>
      </c>
      <c r="J12229" s="86">
        <f t="shared" si="3"/>
        <v>0</v>
      </c>
      <c r="R12229" s="26"/>
    </row>
    <row r="12230" spans="1:18" ht="15.75" customHeight="1">
      <c r="A12230" s="26"/>
      <c r="B12230" s="86"/>
      <c r="D12230" s="26"/>
      <c r="F12230" s="87" t="str">
        <f t="shared" si="0"/>
        <v/>
      </c>
      <c r="H12230" s="26" t="str">
        <f t="shared" si="1"/>
        <v/>
      </c>
      <c r="I12230" s="26" t="str">
        <f t="shared" si="2"/>
        <v/>
      </c>
      <c r="J12230" s="86">
        <f t="shared" si="3"/>
        <v>0</v>
      </c>
      <c r="R12230" s="26"/>
    </row>
    <row r="12231" spans="1:18" ht="15.75" customHeight="1">
      <c r="A12231" s="26"/>
      <c r="B12231" s="86"/>
      <c r="D12231" s="26"/>
      <c r="F12231" s="87" t="str">
        <f t="shared" si="0"/>
        <v/>
      </c>
      <c r="H12231" s="26" t="str">
        <f t="shared" si="1"/>
        <v/>
      </c>
      <c r="I12231" s="26" t="str">
        <f t="shared" si="2"/>
        <v/>
      </c>
      <c r="J12231" s="86">
        <f t="shared" si="3"/>
        <v>0</v>
      </c>
      <c r="R12231" s="26"/>
    </row>
    <row r="12232" spans="1:18" ht="15.75" customHeight="1">
      <c r="A12232" s="26"/>
      <c r="B12232" s="86"/>
      <c r="D12232" s="26"/>
      <c r="F12232" s="87" t="str">
        <f t="shared" si="0"/>
        <v/>
      </c>
      <c r="H12232" s="26" t="str">
        <f t="shared" si="1"/>
        <v/>
      </c>
      <c r="I12232" s="26" t="str">
        <f t="shared" si="2"/>
        <v/>
      </c>
      <c r="J12232" s="86">
        <f t="shared" si="3"/>
        <v>0</v>
      </c>
      <c r="R12232" s="26"/>
    </row>
    <row r="12233" spans="1:18" ht="15.75" customHeight="1">
      <c r="A12233" s="26"/>
      <c r="B12233" s="86"/>
      <c r="D12233" s="26"/>
      <c r="F12233" s="87" t="str">
        <f t="shared" si="0"/>
        <v/>
      </c>
      <c r="H12233" s="26" t="str">
        <f t="shared" si="1"/>
        <v/>
      </c>
      <c r="I12233" s="26" t="str">
        <f t="shared" si="2"/>
        <v/>
      </c>
      <c r="J12233" s="86">
        <f t="shared" si="3"/>
        <v>0</v>
      </c>
      <c r="R12233" s="26"/>
    </row>
    <row r="12234" spans="1:18" ht="15.75" customHeight="1">
      <c r="A12234" s="26"/>
      <c r="B12234" s="86"/>
      <c r="D12234" s="26"/>
      <c r="F12234" s="87" t="str">
        <f t="shared" si="0"/>
        <v/>
      </c>
      <c r="H12234" s="26" t="str">
        <f t="shared" si="1"/>
        <v/>
      </c>
      <c r="I12234" s="26" t="str">
        <f t="shared" si="2"/>
        <v/>
      </c>
      <c r="J12234" s="86">
        <f t="shared" si="3"/>
        <v>0</v>
      </c>
      <c r="R12234" s="26"/>
    </row>
    <row r="12235" spans="1:18" ht="15.75" customHeight="1">
      <c r="A12235" s="26"/>
      <c r="B12235" s="86"/>
      <c r="D12235" s="26"/>
      <c r="F12235" s="87" t="str">
        <f t="shared" si="0"/>
        <v/>
      </c>
      <c r="H12235" s="26" t="str">
        <f t="shared" si="1"/>
        <v/>
      </c>
      <c r="I12235" s="26" t="str">
        <f t="shared" si="2"/>
        <v/>
      </c>
      <c r="J12235" s="86">
        <f t="shared" si="3"/>
        <v>0</v>
      </c>
      <c r="R12235" s="26"/>
    </row>
    <row r="12236" spans="1:18" ht="15.75" customHeight="1">
      <c r="A12236" s="26"/>
      <c r="B12236" s="86"/>
      <c r="D12236" s="26"/>
      <c r="F12236" s="87" t="str">
        <f t="shared" si="0"/>
        <v/>
      </c>
      <c r="H12236" s="26" t="str">
        <f t="shared" si="1"/>
        <v/>
      </c>
      <c r="I12236" s="26" t="str">
        <f t="shared" si="2"/>
        <v/>
      </c>
      <c r="J12236" s="86">
        <f t="shared" si="3"/>
        <v>0</v>
      </c>
      <c r="R12236" s="26"/>
    </row>
    <row r="12237" spans="1:18" ht="15.75" customHeight="1">
      <c r="A12237" s="26"/>
      <c r="B12237" s="86"/>
      <c r="D12237" s="26"/>
      <c r="F12237" s="87" t="str">
        <f t="shared" si="0"/>
        <v/>
      </c>
      <c r="H12237" s="26" t="str">
        <f t="shared" si="1"/>
        <v/>
      </c>
      <c r="I12237" s="26" t="str">
        <f t="shared" si="2"/>
        <v/>
      </c>
      <c r="J12237" s="86">
        <f t="shared" si="3"/>
        <v>0</v>
      </c>
      <c r="R12237" s="26"/>
    </row>
    <row r="12238" spans="1:18" ht="15.75" customHeight="1">
      <c r="A12238" s="26"/>
      <c r="B12238" s="86"/>
      <c r="D12238" s="26"/>
      <c r="F12238" s="87" t="str">
        <f t="shared" si="0"/>
        <v/>
      </c>
      <c r="H12238" s="26" t="str">
        <f t="shared" si="1"/>
        <v/>
      </c>
      <c r="I12238" s="26" t="str">
        <f t="shared" si="2"/>
        <v/>
      </c>
      <c r="J12238" s="86">
        <f t="shared" si="3"/>
        <v>0</v>
      </c>
      <c r="R12238" s="26"/>
    </row>
    <row r="12239" spans="1:18" ht="15.75" customHeight="1">
      <c r="A12239" s="26"/>
      <c r="B12239" s="86"/>
      <c r="D12239" s="26"/>
      <c r="F12239" s="87" t="str">
        <f t="shared" si="0"/>
        <v/>
      </c>
      <c r="H12239" s="26" t="str">
        <f t="shared" si="1"/>
        <v/>
      </c>
      <c r="I12239" s="26" t="str">
        <f t="shared" si="2"/>
        <v/>
      </c>
      <c r="J12239" s="86">
        <f t="shared" si="3"/>
        <v>0</v>
      </c>
      <c r="R12239" s="26"/>
    </row>
    <row r="12240" spans="1:18" ht="15.75" customHeight="1">
      <c r="A12240" s="26"/>
      <c r="B12240" s="86"/>
      <c r="D12240" s="26"/>
      <c r="F12240" s="87" t="str">
        <f t="shared" si="0"/>
        <v/>
      </c>
      <c r="H12240" s="26" t="str">
        <f t="shared" si="1"/>
        <v/>
      </c>
      <c r="I12240" s="26" t="str">
        <f t="shared" si="2"/>
        <v/>
      </c>
      <c r="J12240" s="86">
        <f t="shared" si="3"/>
        <v>0</v>
      </c>
      <c r="R12240" s="26"/>
    </row>
    <row r="12241" spans="1:18" ht="15.75" customHeight="1">
      <c r="A12241" s="26"/>
      <c r="B12241" s="86"/>
      <c r="D12241" s="26"/>
      <c r="F12241" s="87" t="str">
        <f t="shared" si="0"/>
        <v/>
      </c>
      <c r="H12241" s="26" t="str">
        <f t="shared" si="1"/>
        <v/>
      </c>
      <c r="I12241" s="26" t="str">
        <f t="shared" si="2"/>
        <v/>
      </c>
      <c r="J12241" s="86">
        <f t="shared" si="3"/>
        <v>0</v>
      </c>
      <c r="R12241" s="26"/>
    </row>
    <row r="12242" spans="1:18" ht="15.75" customHeight="1">
      <c r="A12242" s="26"/>
      <c r="B12242" s="86"/>
      <c r="D12242" s="26"/>
      <c r="F12242" s="87" t="str">
        <f t="shared" si="0"/>
        <v/>
      </c>
      <c r="H12242" s="26" t="str">
        <f t="shared" si="1"/>
        <v/>
      </c>
      <c r="I12242" s="26" t="str">
        <f t="shared" si="2"/>
        <v/>
      </c>
      <c r="J12242" s="86">
        <f t="shared" si="3"/>
        <v>0</v>
      </c>
      <c r="R12242" s="26"/>
    </row>
    <row r="12243" spans="1:18" ht="15.75" customHeight="1">
      <c r="A12243" s="26"/>
      <c r="B12243" s="86"/>
      <c r="D12243" s="26"/>
      <c r="F12243" s="87" t="str">
        <f t="shared" si="0"/>
        <v/>
      </c>
      <c r="H12243" s="26" t="str">
        <f t="shared" si="1"/>
        <v/>
      </c>
      <c r="I12243" s="26" t="str">
        <f t="shared" si="2"/>
        <v/>
      </c>
      <c r="J12243" s="86">
        <f t="shared" si="3"/>
        <v>0</v>
      </c>
      <c r="R12243" s="26"/>
    </row>
    <row r="12244" spans="1:18" ht="15.75" customHeight="1">
      <c r="A12244" s="26"/>
      <c r="B12244" s="86"/>
      <c r="D12244" s="26"/>
      <c r="F12244" s="87" t="str">
        <f t="shared" si="0"/>
        <v/>
      </c>
      <c r="H12244" s="26" t="str">
        <f t="shared" si="1"/>
        <v/>
      </c>
      <c r="I12244" s="26" t="str">
        <f t="shared" si="2"/>
        <v/>
      </c>
      <c r="J12244" s="86">
        <f t="shared" si="3"/>
        <v>0</v>
      </c>
      <c r="R12244" s="26"/>
    </row>
    <row r="12245" spans="1:18" ht="15.75" customHeight="1">
      <c r="A12245" s="26"/>
      <c r="B12245" s="86"/>
      <c r="D12245" s="26"/>
      <c r="F12245" s="87" t="str">
        <f t="shared" si="0"/>
        <v/>
      </c>
      <c r="H12245" s="26" t="str">
        <f t="shared" si="1"/>
        <v/>
      </c>
      <c r="I12245" s="26" t="str">
        <f t="shared" si="2"/>
        <v/>
      </c>
      <c r="J12245" s="86">
        <f t="shared" si="3"/>
        <v>0</v>
      </c>
      <c r="R12245" s="26"/>
    </row>
    <row r="12246" spans="1:18" ht="15.75" customHeight="1">
      <c r="A12246" s="26"/>
      <c r="B12246" s="86"/>
      <c r="D12246" s="26"/>
      <c r="F12246" s="87" t="str">
        <f t="shared" si="0"/>
        <v/>
      </c>
      <c r="H12246" s="26" t="str">
        <f t="shared" si="1"/>
        <v/>
      </c>
      <c r="I12246" s="26" t="str">
        <f t="shared" si="2"/>
        <v/>
      </c>
      <c r="J12246" s="86">
        <f t="shared" si="3"/>
        <v>0</v>
      </c>
      <c r="R12246" s="26"/>
    </row>
    <row r="12247" spans="1:18" ht="15.75" customHeight="1">
      <c r="A12247" s="26"/>
      <c r="B12247" s="86"/>
      <c r="D12247" s="26"/>
      <c r="F12247" s="87" t="str">
        <f t="shared" si="0"/>
        <v/>
      </c>
      <c r="H12247" s="26" t="str">
        <f t="shared" si="1"/>
        <v/>
      </c>
      <c r="I12247" s="26" t="str">
        <f t="shared" si="2"/>
        <v/>
      </c>
      <c r="J12247" s="86">
        <f t="shared" si="3"/>
        <v>0</v>
      </c>
      <c r="R12247" s="26"/>
    </row>
    <row r="12248" spans="1:18" ht="15.75" customHeight="1">
      <c r="A12248" s="26"/>
      <c r="B12248" s="86"/>
      <c r="D12248" s="26"/>
      <c r="F12248" s="87" t="str">
        <f t="shared" si="0"/>
        <v/>
      </c>
      <c r="H12248" s="26" t="str">
        <f t="shared" si="1"/>
        <v/>
      </c>
      <c r="I12248" s="26" t="str">
        <f t="shared" si="2"/>
        <v/>
      </c>
      <c r="J12248" s="86">
        <f t="shared" si="3"/>
        <v>0</v>
      </c>
      <c r="R12248" s="26"/>
    </row>
    <row r="12249" spans="1:18" ht="15.75" customHeight="1">
      <c r="A12249" s="26"/>
      <c r="B12249" s="86"/>
      <c r="D12249" s="26"/>
      <c r="F12249" s="87" t="str">
        <f t="shared" si="0"/>
        <v/>
      </c>
      <c r="H12249" s="26" t="str">
        <f t="shared" si="1"/>
        <v/>
      </c>
      <c r="I12249" s="26" t="str">
        <f t="shared" si="2"/>
        <v/>
      </c>
      <c r="J12249" s="86">
        <f t="shared" si="3"/>
        <v>0</v>
      </c>
      <c r="R12249" s="26"/>
    </row>
    <row r="12250" spans="1:18" ht="15.75" customHeight="1">
      <c r="A12250" s="26"/>
      <c r="B12250" s="86"/>
      <c r="D12250" s="26"/>
      <c r="F12250" s="87" t="str">
        <f t="shared" si="0"/>
        <v/>
      </c>
      <c r="H12250" s="26" t="str">
        <f t="shared" si="1"/>
        <v/>
      </c>
      <c r="I12250" s="26" t="str">
        <f t="shared" si="2"/>
        <v/>
      </c>
      <c r="J12250" s="86">
        <f t="shared" si="3"/>
        <v>0</v>
      </c>
      <c r="R12250" s="26"/>
    </row>
    <row r="12251" spans="1:18" ht="15.75" customHeight="1">
      <c r="A12251" s="26"/>
      <c r="B12251" s="86"/>
      <c r="D12251" s="26"/>
      <c r="F12251" s="87" t="str">
        <f t="shared" si="0"/>
        <v/>
      </c>
      <c r="H12251" s="26" t="str">
        <f t="shared" si="1"/>
        <v/>
      </c>
      <c r="I12251" s="26" t="str">
        <f t="shared" si="2"/>
        <v/>
      </c>
      <c r="J12251" s="86">
        <f t="shared" si="3"/>
        <v>0</v>
      </c>
      <c r="R12251" s="26"/>
    </row>
    <row r="12252" spans="1:18" ht="15.75" customHeight="1">
      <c r="A12252" s="26"/>
      <c r="B12252" s="86"/>
      <c r="D12252" s="26"/>
      <c r="F12252" s="87" t="str">
        <f t="shared" si="0"/>
        <v/>
      </c>
      <c r="H12252" s="26" t="str">
        <f t="shared" si="1"/>
        <v/>
      </c>
      <c r="I12252" s="26" t="str">
        <f t="shared" si="2"/>
        <v/>
      </c>
      <c r="J12252" s="86">
        <f t="shared" si="3"/>
        <v>0</v>
      </c>
      <c r="R12252" s="26"/>
    </row>
    <row r="12253" spans="1:18" ht="15.75" customHeight="1">
      <c r="A12253" s="26"/>
      <c r="B12253" s="86"/>
      <c r="D12253" s="26"/>
      <c r="F12253" s="87" t="str">
        <f t="shared" si="0"/>
        <v/>
      </c>
      <c r="H12253" s="26" t="str">
        <f t="shared" si="1"/>
        <v/>
      </c>
      <c r="I12253" s="26" t="str">
        <f t="shared" si="2"/>
        <v/>
      </c>
      <c r="J12253" s="86">
        <f t="shared" si="3"/>
        <v>0</v>
      </c>
      <c r="R12253" s="26"/>
    </row>
    <row r="12254" spans="1:18" ht="15.75" customHeight="1">
      <c r="A12254" s="26"/>
      <c r="B12254" s="86"/>
      <c r="D12254" s="26"/>
      <c r="F12254" s="87" t="str">
        <f t="shared" si="0"/>
        <v/>
      </c>
      <c r="H12254" s="26" t="str">
        <f t="shared" si="1"/>
        <v/>
      </c>
      <c r="I12254" s="26" t="str">
        <f t="shared" si="2"/>
        <v/>
      </c>
      <c r="J12254" s="86">
        <f t="shared" si="3"/>
        <v>0</v>
      </c>
      <c r="R12254" s="26"/>
    </row>
    <row r="12255" spans="1:18" ht="15.75" customHeight="1">
      <c r="A12255" s="26"/>
      <c r="B12255" s="86"/>
      <c r="D12255" s="26"/>
      <c r="F12255" s="87" t="str">
        <f t="shared" si="0"/>
        <v/>
      </c>
      <c r="H12255" s="26" t="str">
        <f t="shared" si="1"/>
        <v/>
      </c>
      <c r="I12255" s="26" t="str">
        <f t="shared" si="2"/>
        <v/>
      </c>
      <c r="J12255" s="86">
        <f t="shared" si="3"/>
        <v>0</v>
      </c>
      <c r="R12255" s="26"/>
    </row>
    <row r="12256" spans="1:18" ht="15.75" customHeight="1">
      <c r="A12256" s="26"/>
      <c r="B12256" s="86"/>
      <c r="D12256" s="26"/>
      <c r="F12256" s="87" t="str">
        <f t="shared" si="0"/>
        <v/>
      </c>
      <c r="H12256" s="26" t="str">
        <f t="shared" si="1"/>
        <v/>
      </c>
      <c r="I12256" s="26" t="str">
        <f t="shared" si="2"/>
        <v/>
      </c>
      <c r="J12256" s="86">
        <f t="shared" si="3"/>
        <v>0</v>
      </c>
      <c r="R12256" s="26"/>
    </row>
    <row r="12257" spans="1:18" ht="15.75" customHeight="1">
      <c r="A12257" s="26"/>
      <c r="B12257" s="86"/>
      <c r="D12257" s="26"/>
      <c r="F12257" s="87" t="str">
        <f t="shared" si="0"/>
        <v/>
      </c>
      <c r="H12257" s="26" t="str">
        <f t="shared" si="1"/>
        <v/>
      </c>
      <c r="I12257" s="26" t="str">
        <f t="shared" si="2"/>
        <v/>
      </c>
      <c r="J12257" s="86">
        <f t="shared" si="3"/>
        <v>0</v>
      </c>
      <c r="R12257" s="26"/>
    </row>
    <row r="12258" spans="1:18" ht="15.75" customHeight="1">
      <c r="A12258" s="26"/>
      <c r="B12258" s="86"/>
      <c r="D12258" s="26"/>
      <c r="F12258" s="87" t="str">
        <f t="shared" si="0"/>
        <v/>
      </c>
      <c r="H12258" s="26" t="str">
        <f t="shared" si="1"/>
        <v/>
      </c>
      <c r="I12258" s="26" t="str">
        <f t="shared" si="2"/>
        <v/>
      </c>
      <c r="J12258" s="86">
        <f t="shared" si="3"/>
        <v>0</v>
      </c>
      <c r="R12258" s="26"/>
    </row>
    <row r="12259" spans="1:18" ht="15.75" customHeight="1">
      <c r="A12259" s="26"/>
      <c r="B12259" s="86"/>
      <c r="D12259" s="26"/>
      <c r="F12259" s="87" t="str">
        <f t="shared" si="0"/>
        <v/>
      </c>
      <c r="H12259" s="26" t="str">
        <f t="shared" si="1"/>
        <v/>
      </c>
      <c r="I12259" s="26" t="str">
        <f t="shared" si="2"/>
        <v/>
      </c>
      <c r="J12259" s="86">
        <f t="shared" si="3"/>
        <v>0</v>
      </c>
      <c r="R12259" s="26"/>
    </row>
    <row r="12260" spans="1:18" ht="15.75" customHeight="1">
      <c r="A12260" s="26"/>
      <c r="B12260" s="86"/>
      <c r="D12260" s="26"/>
      <c r="F12260" s="87" t="str">
        <f t="shared" si="0"/>
        <v/>
      </c>
      <c r="H12260" s="26" t="str">
        <f t="shared" si="1"/>
        <v/>
      </c>
      <c r="I12260" s="26" t="str">
        <f t="shared" si="2"/>
        <v/>
      </c>
      <c r="J12260" s="86">
        <f t="shared" si="3"/>
        <v>0</v>
      </c>
      <c r="R12260" s="26"/>
    </row>
    <row r="12261" spans="1:18" ht="15.75" customHeight="1">
      <c r="A12261" s="26"/>
      <c r="B12261" s="86"/>
      <c r="D12261" s="26"/>
      <c r="F12261" s="87" t="str">
        <f t="shared" si="0"/>
        <v/>
      </c>
      <c r="H12261" s="26" t="str">
        <f t="shared" si="1"/>
        <v/>
      </c>
      <c r="I12261" s="26" t="str">
        <f t="shared" si="2"/>
        <v/>
      </c>
      <c r="J12261" s="86">
        <f t="shared" si="3"/>
        <v>0</v>
      </c>
      <c r="R12261" s="26"/>
    </row>
    <row r="12262" spans="1:18" ht="15.75" customHeight="1">
      <c r="A12262" s="26"/>
      <c r="B12262" s="86"/>
      <c r="D12262" s="26"/>
      <c r="F12262" s="87" t="str">
        <f t="shared" si="0"/>
        <v/>
      </c>
      <c r="H12262" s="26" t="str">
        <f t="shared" si="1"/>
        <v/>
      </c>
      <c r="I12262" s="26" t="str">
        <f t="shared" si="2"/>
        <v/>
      </c>
      <c r="J12262" s="86">
        <f t="shared" si="3"/>
        <v>0</v>
      </c>
      <c r="R12262" s="26"/>
    </row>
    <row r="12263" spans="1:18" ht="15.75" customHeight="1">
      <c r="A12263" s="26"/>
      <c r="B12263" s="86"/>
      <c r="D12263" s="26"/>
      <c r="F12263" s="87" t="str">
        <f t="shared" si="0"/>
        <v/>
      </c>
      <c r="H12263" s="26" t="str">
        <f t="shared" si="1"/>
        <v/>
      </c>
      <c r="I12263" s="26" t="str">
        <f t="shared" si="2"/>
        <v/>
      </c>
      <c r="J12263" s="86">
        <f t="shared" si="3"/>
        <v>0</v>
      </c>
      <c r="R12263" s="26"/>
    </row>
    <row r="12264" spans="1:18" ht="15.75" customHeight="1">
      <c r="A12264" s="26"/>
      <c r="B12264" s="86"/>
      <c r="D12264" s="26"/>
      <c r="F12264" s="87" t="str">
        <f t="shared" si="0"/>
        <v/>
      </c>
      <c r="H12264" s="26" t="str">
        <f t="shared" si="1"/>
        <v/>
      </c>
      <c r="I12264" s="26" t="str">
        <f t="shared" si="2"/>
        <v/>
      </c>
      <c r="J12264" s="86">
        <f t="shared" si="3"/>
        <v>0</v>
      </c>
      <c r="R12264" s="26"/>
    </row>
    <row r="12265" spans="1:18" ht="15.75" customHeight="1">
      <c r="A12265" s="26"/>
      <c r="B12265" s="86"/>
      <c r="D12265" s="26"/>
      <c r="F12265" s="87" t="str">
        <f t="shared" si="0"/>
        <v/>
      </c>
      <c r="H12265" s="26" t="str">
        <f t="shared" si="1"/>
        <v/>
      </c>
      <c r="I12265" s="26" t="str">
        <f t="shared" si="2"/>
        <v/>
      </c>
      <c r="J12265" s="86">
        <f t="shared" si="3"/>
        <v>0</v>
      </c>
      <c r="R12265" s="26"/>
    </row>
    <row r="12266" spans="1:18" ht="15.75" customHeight="1">
      <c r="A12266" s="26"/>
      <c r="B12266" s="86"/>
      <c r="D12266" s="26"/>
      <c r="F12266" s="87" t="str">
        <f t="shared" si="0"/>
        <v/>
      </c>
      <c r="H12266" s="26" t="str">
        <f t="shared" si="1"/>
        <v/>
      </c>
      <c r="I12266" s="26" t="str">
        <f t="shared" si="2"/>
        <v/>
      </c>
      <c r="J12266" s="86">
        <f t="shared" si="3"/>
        <v>0</v>
      </c>
      <c r="R12266" s="26"/>
    </row>
    <row r="12267" spans="1:18" ht="15.75" customHeight="1">
      <c r="A12267" s="26"/>
      <c r="B12267" s="86"/>
      <c r="D12267" s="26"/>
      <c r="F12267" s="87" t="str">
        <f t="shared" si="0"/>
        <v/>
      </c>
      <c r="H12267" s="26" t="str">
        <f t="shared" si="1"/>
        <v/>
      </c>
      <c r="I12267" s="26" t="str">
        <f t="shared" si="2"/>
        <v/>
      </c>
      <c r="J12267" s="86">
        <f t="shared" si="3"/>
        <v>0</v>
      </c>
      <c r="R12267" s="26"/>
    </row>
    <row r="12268" spans="1:18" ht="15.75" customHeight="1">
      <c r="A12268" s="26"/>
      <c r="B12268" s="86"/>
      <c r="D12268" s="26"/>
      <c r="F12268" s="87" t="str">
        <f t="shared" si="0"/>
        <v/>
      </c>
      <c r="H12268" s="26" t="str">
        <f t="shared" si="1"/>
        <v/>
      </c>
      <c r="I12268" s="26" t="str">
        <f t="shared" si="2"/>
        <v/>
      </c>
      <c r="J12268" s="86">
        <f t="shared" si="3"/>
        <v>0</v>
      </c>
      <c r="R12268" s="26"/>
    </row>
    <row r="12269" spans="1:18" ht="15.75" customHeight="1">
      <c r="A12269" s="26"/>
      <c r="B12269" s="86"/>
      <c r="D12269" s="26"/>
      <c r="F12269" s="87" t="str">
        <f t="shared" si="0"/>
        <v/>
      </c>
      <c r="H12269" s="26" t="str">
        <f t="shared" si="1"/>
        <v/>
      </c>
      <c r="I12269" s="26" t="str">
        <f t="shared" si="2"/>
        <v/>
      </c>
      <c r="J12269" s="86">
        <f t="shared" si="3"/>
        <v>0</v>
      </c>
      <c r="R12269" s="26"/>
    </row>
    <row r="12270" spans="1:18" ht="15.75" customHeight="1">
      <c r="A12270" s="26"/>
      <c r="B12270" s="86"/>
      <c r="D12270" s="26"/>
      <c r="F12270" s="87" t="str">
        <f t="shared" si="0"/>
        <v/>
      </c>
      <c r="H12270" s="26" t="str">
        <f t="shared" si="1"/>
        <v/>
      </c>
      <c r="I12270" s="26" t="str">
        <f t="shared" si="2"/>
        <v/>
      </c>
      <c r="J12270" s="86">
        <f t="shared" si="3"/>
        <v>0</v>
      </c>
      <c r="R12270" s="26"/>
    </row>
    <row r="12271" spans="1:18" ht="15.75" customHeight="1">
      <c r="A12271" s="26"/>
      <c r="B12271" s="86"/>
      <c r="D12271" s="26"/>
      <c r="F12271" s="87" t="str">
        <f t="shared" si="0"/>
        <v/>
      </c>
      <c r="H12271" s="26" t="str">
        <f t="shared" si="1"/>
        <v/>
      </c>
      <c r="I12271" s="26" t="str">
        <f t="shared" si="2"/>
        <v/>
      </c>
      <c r="J12271" s="86">
        <f t="shared" si="3"/>
        <v>0</v>
      </c>
      <c r="R12271" s="26"/>
    </row>
    <row r="12272" spans="1:18" ht="15.75" customHeight="1">
      <c r="A12272" s="26"/>
      <c r="B12272" s="86"/>
      <c r="D12272" s="26"/>
      <c r="F12272" s="87" t="str">
        <f t="shared" si="0"/>
        <v/>
      </c>
      <c r="H12272" s="26" t="str">
        <f t="shared" si="1"/>
        <v/>
      </c>
      <c r="I12272" s="26" t="str">
        <f t="shared" si="2"/>
        <v/>
      </c>
      <c r="J12272" s="86">
        <f t="shared" si="3"/>
        <v>0</v>
      </c>
      <c r="R12272" s="26"/>
    </row>
    <row r="12273" spans="1:18" ht="15.75" customHeight="1">
      <c r="A12273" s="26"/>
      <c r="B12273" s="86"/>
      <c r="D12273" s="26"/>
      <c r="F12273" s="87" t="str">
        <f t="shared" si="0"/>
        <v/>
      </c>
      <c r="H12273" s="26" t="str">
        <f t="shared" si="1"/>
        <v/>
      </c>
      <c r="I12273" s="26" t="str">
        <f t="shared" si="2"/>
        <v/>
      </c>
      <c r="J12273" s="86">
        <f t="shared" si="3"/>
        <v>0</v>
      </c>
      <c r="R12273" s="26"/>
    </row>
    <row r="12274" spans="1:18" ht="15.75" customHeight="1">
      <c r="A12274" s="26"/>
      <c r="B12274" s="86"/>
      <c r="D12274" s="26"/>
      <c r="F12274" s="87" t="str">
        <f t="shared" si="0"/>
        <v/>
      </c>
      <c r="H12274" s="26" t="str">
        <f t="shared" si="1"/>
        <v/>
      </c>
      <c r="I12274" s="26" t="str">
        <f t="shared" si="2"/>
        <v/>
      </c>
      <c r="J12274" s="86">
        <f t="shared" si="3"/>
        <v>0</v>
      </c>
      <c r="R12274" s="26"/>
    </row>
    <row r="12275" spans="1:18" ht="15.75" customHeight="1">
      <c r="A12275" s="26"/>
      <c r="B12275" s="86"/>
      <c r="D12275" s="26"/>
      <c r="F12275" s="87" t="str">
        <f t="shared" si="0"/>
        <v/>
      </c>
      <c r="H12275" s="26" t="str">
        <f t="shared" si="1"/>
        <v/>
      </c>
      <c r="I12275" s="26" t="str">
        <f t="shared" si="2"/>
        <v/>
      </c>
      <c r="J12275" s="86">
        <f t="shared" si="3"/>
        <v>0</v>
      </c>
      <c r="R12275" s="26"/>
    </row>
    <row r="12276" spans="1:18" ht="15.75" customHeight="1">
      <c r="A12276" s="26"/>
      <c r="B12276" s="86"/>
      <c r="D12276" s="26"/>
      <c r="F12276" s="87" t="str">
        <f t="shared" si="0"/>
        <v/>
      </c>
      <c r="H12276" s="26" t="str">
        <f t="shared" si="1"/>
        <v/>
      </c>
      <c r="I12276" s="26" t="str">
        <f t="shared" si="2"/>
        <v/>
      </c>
      <c r="J12276" s="86">
        <f t="shared" si="3"/>
        <v>0</v>
      </c>
      <c r="R12276" s="26"/>
    </row>
    <row r="12277" spans="1:18" ht="15.75" customHeight="1">
      <c r="A12277" s="26"/>
      <c r="B12277" s="86"/>
      <c r="D12277" s="26"/>
      <c r="F12277" s="87" t="str">
        <f t="shared" si="0"/>
        <v/>
      </c>
      <c r="H12277" s="26" t="str">
        <f t="shared" si="1"/>
        <v/>
      </c>
      <c r="I12277" s="26" t="str">
        <f t="shared" si="2"/>
        <v/>
      </c>
      <c r="J12277" s="86">
        <f t="shared" si="3"/>
        <v>0</v>
      </c>
      <c r="R12277" s="26"/>
    </row>
    <row r="12278" spans="1:18" ht="15.75" customHeight="1">
      <c r="A12278" s="26"/>
      <c r="B12278" s="86"/>
      <c r="D12278" s="26"/>
      <c r="F12278" s="87" t="str">
        <f t="shared" si="0"/>
        <v/>
      </c>
      <c r="H12278" s="26" t="str">
        <f t="shared" si="1"/>
        <v/>
      </c>
      <c r="I12278" s="26" t="str">
        <f t="shared" si="2"/>
        <v/>
      </c>
      <c r="J12278" s="86">
        <f t="shared" si="3"/>
        <v>0</v>
      </c>
      <c r="R12278" s="26"/>
    </row>
    <row r="12279" spans="1:18" ht="15.75" customHeight="1">
      <c r="A12279" s="26"/>
      <c r="B12279" s="86"/>
      <c r="D12279" s="26"/>
      <c r="F12279" s="87" t="str">
        <f t="shared" si="0"/>
        <v/>
      </c>
      <c r="H12279" s="26" t="str">
        <f t="shared" si="1"/>
        <v/>
      </c>
      <c r="I12279" s="26" t="str">
        <f t="shared" si="2"/>
        <v/>
      </c>
      <c r="J12279" s="86">
        <f t="shared" si="3"/>
        <v>0</v>
      </c>
      <c r="R12279" s="26"/>
    </row>
    <row r="12280" spans="1:18" ht="15.75" customHeight="1">
      <c r="A12280" s="26"/>
      <c r="B12280" s="86"/>
      <c r="D12280" s="26"/>
      <c r="F12280" s="87" t="str">
        <f t="shared" si="0"/>
        <v/>
      </c>
      <c r="H12280" s="26" t="str">
        <f t="shared" si="1"/>
        <v/>
      </c>
      <c r="I12280" s="26" t="str">
        <f t="shared" si="2"/>
        <v/>
      </c>
      <c r="J12280" s="86">
        <f t="shared" si="3"/>
        <v>0</v>
      </c>
      <c r="R12280" s="26"/>
    </row>
    <row r="12281" spans="1:18" ht="15.75" customHeight="1">
      <c r="A12281" s="26"/>
      <c r="B12281" s="86"/>
      <c r="D12281" s="26"/>
      <c r="F12281" s="87" t="str">
        <f t="shared" si="0"/>
        <v/>
      </c>
      <c r="H12281" s="26" t="str">
        <f t="shared" si="1"/>
        <v/>
      </c>
      <c r="I12281" s="26" t="str">
        <f t="shared" si="2"/>
        <v/>
      </c>
      <c r="J12281" s="86">
        <f t="shared" si="3"/>
        <v>0</v>
      </c>
      <c r="R12281" s="26"/>
    </row>
    <row r="12282" spans="1:18" ht="15.75" customHeight="1">
      <c r="A12282" s="26"/>
      <c r="B12282" s="86"/>
      <c r="D12282" s="26"/>
      <c r="F12282" s="87" t="str">
        <f t="shared" si="0"/>
        <v/>
      </c>
      <c r="H12282" s="26" t="str">
        <f t="shared" si="1"/>
        <v/>
      </c>
      <c r="I12282" s="26" t="str">
        <f t="shared" si="2"/>
        <v/>
      </c>
      <c r="J12282" s="86">
        <f t="shared" si="3"/>
        <v>0</v>
      </c>
      <c r="R12282" s="26"/>
    </row>
    <row r="12283" spans="1:18" ht="15.75" customHeight="1">
      <c r="A12283" s="26"/>
      <c r="B12283" s="86"/>
      <c r="D12283" s="26"/>
      <c r="F12283" s="87" t="str">
        <f t="shared" si="0"/>
        <v/>
      </c>
      <c r="H12283" s="26" t="str">
        <f t="shared" si="1"/>
        <v/>
      </c>
      <c r="I12283" s="26" t="str">
        <f t="shared" si="2"/>
        <v/>
      </c>
      <c r="J12283" s="86">
        <f t="shared" si="3"/>
        <v>0</v>
      </c>
      <c r="R12283" s="26"/>
    </row>
    <row r="12284" spans="1:18" ht="15.75" customHeight="1">
      <c r="A12284" s="26"/>
      <c r="B12284" s="86"/>
      <c r="D12284" s="26"/>
      <c r="F12284" s="87" t="str">
        <f t="shared" si="0"/>
        <v/>
      </c>
      <c r="H12284" s="26" t="str">
        <f t="shared" si="1"/>
        <v/>
      </c>
      <c r="I12284" s="26" t="str">
        <f t="shared" si="2"/>
        <v/>
      </c>
      <c r="J12284" s="86">
        <f t="shared" si="3"/>
        <v>0</v>
      </c>
      <c r="R12284" s="26"/>
    </row>
    <row r="12285" spans="1:18" ht="15.75" customHeight="1">
      <c r="A12285" s="26"/>
      <c r="B12285" s="86"/>
      <c r="D12285" s="26"/>
      <c r="F12285" s="87" t="str">
        <f t="shared" si="0"/>
        <v/>
      </c>
      <c r="H12285" s="26" t="str">
        <f t="shared" si="1"/>
        <v/>
      </c>
      <c r="I12285" s="26" t="str">
        <f t="shared" si="2"/>
        <v/>
      </c>
      <c r="J12285" s="86">
        <f t="shared" si="3"/>
        <v>0</v>
      </c>
      <c r="R12285" s="26"/>
    </row>
    <row r="12286" spans="1:18" ht="15.75" customHeight="1">
      <c r="A12286" s="26"/>
      <c r="B12286" s="86"/>
      <c r="D12286" s="26"/>
      <c r="F12286" s="87" t="str">
        <f t="shared" si="0"/>
        <v/>
      </c>
      <c r="H12286" s="26" t="str">
        <f t="shared" si="1"/>
        <v/>
      </c>
      <c r="I12286" s="26" t="str">
        <f t="shared" si="2"/>
        <v/>
      </c>
      <c r="J12286" s="86">
        <f t="shared" si="3"/>
        <v>0</v>
      </c>
      <c r="R12286" s="26"/>
    </row>
    <row r="12287" spans="1:18" ht="15.75" customHeight="1">
      <c r="A12287" s="26"/>
      <c r="B12287" s="86"/>
      <c r="D12287" s="26"/>
      <c r="F12287" s="87" t="str">
        <f t="shared" si="0"/>
        <v/>
      </c>
      <c r="H12287" s="26" t="str">
        <f t="shared" si="1"/>
        <v/>
      </c>
      <c r="I12287" s="26" t="str">
        <f t="shared" si="2"/>
        <v/>
      </c>
      <c r="J12287" s="86">
        <f t="shared" si="3"/>
        <v>0</v>
      </c>
      <c r="R12287" s="26"/>
    </row>
    <row r="12288" spans="1:18" ht="15.75" customHeight="1">
      <c r="A12288" s="26"/>
      <c r="B12288" s="86"/>
      <c r="D12288" s="26"/>
      <c r="F12288" s="87" t="str">
        <f t="shared" si="0"/>
        <v/>
      </c>
      <c r="H12288" s="26" t="str">
        <f t="shared" si="1"/>
        <v/>
      </c>
      <c r="I12288" s="26" t="str">
        <f t="shared" si="2"/>
        <v/>
      </c>
      <c r="J12288" s="86">
        <f t="shared" si="3"/>
        <v>0</v>
      </c>
      <c r="R12288" s="26"/>
    </row>
    <row r="12289" spans="1:18" ht="15.75" customHeight="1">
      <c r="A12289" s="26"/>
      <c r="B12289" s="86"/>
      <c r="D12289" s="26"/>
      <c r="F12289" s="87" t="str">
        <f t="shared" si="0"/>
        <v/>
      </c>
      <c r="H12289" s="26" t="str">
        <f t="shared" si="1"/>
        <v/>
      </c>
      <c r="I12289" s="26" t="str">
        <f t="shared" si="2"/>
        <v/>
      </c>
      <c r="J12289" s="86">
        <f t="shared" si="3"/>
        <v>0</v>
      </c>
      <c r="R12289" s="26"/>
    </row>
    <row r="12290" spans="1:18" ht="15.75" customHeight="1">
      <c r="A12290" s="26"/>
      <c r="B12290" s="86"/>
      <c r="D12290" s="26"/>
      <c r="F12290" s="87" t="str">
        <f t="shared" si="0"/>
        <v/>
      </c>
      <c r="H12290" s="26" t="str">
        <f t="shared" si="1"/>
        <v/>
      </c>
      <c r="I12290" s="26" t="str">
        <f t="shared" si="2"/>
        <v/>
      </c>
      <c r="J12290" s="86">
        <f t="shared" si="3"/>
        <v>0</v>
      </c>
      <c r="R12290" s="26"/>
    </row>
    <row r="12291" spans="1:18" ht="15.75" customHeight="1">
      <c r="A12291" s="26"/>
      <c r="B12291" s="86"/>
      <c r="D12291" s="26"/>
      <c r="F12291" s="87" t="str">
        <f t="shared" si="0"/>
        <v/>
      </c>
      <c r="H12291" s="26" t="str">
        <f t="shared" si="1"/>
        <v/>
      </c>
      <c r="I12291" s="26" t="str">
        <f t="shared" si="2"/>
        <v/>
      </c>
      <c r="J12291" s="86">
        <f t="shared" si="3"/>
        <v>0</v>
      </c>
      <c r="R12291" s="26"/>
    </row>
    <row r="12292" spans="1:18" ht="15.75" customHeight="1">
      <c r="A12292" s="26"/>
      <c r="B12292" s="86"/>
      <c r="D12292" s="26"/>
      <c r="F12292" s="87" t="str">
        <f t="shared" si="0"/>
        <v/>
      </c>
      <c r="H12292" s="26" t="str">
        <f t="shared" si="1"/>
        <v/>
      </c>
      <c r="I12292" s="26" t="str">
        <f t="shared" si="2"/>
        <v/>
      </c>
      <c r="J12292" s="86">
        <f t="shared" si="3"/>
        <v>0</v>
      </c>
      <c r="R12292" s="26"/>
    </row>
    <row r="12293" spans="1:18" ht="15.75" customHeight="1">
      <c r="A12293" s="26"/>
      <c r="B12293" s="86"/>
      <c r="D12293" s="26"/>
      <c r="F12293" s="87" t="str">
        <f t="shared" si="0"/>
        <v/>
      </c>
      <c r="H12293" s="26" t="str">
        <f t="shared" si="1"/>
        <v/>
      </c>
      <c r="I12293" s="26" t="str">
        <f t="shared" si="2"/>
        <v/>
      </c>
      <c r="J12293" s="86">
        <f t="shared" si="3"/>
        <v>0</v>
      </c>
      <c r="R12293" s="26"/>
    </row>
    <row r="12294" spans="1:18" ht="15.75" customHeight="1">
      <c r="A12294" s="26"/>
      <c r="B12294" s="86"/>
      <c r="D12294" s="26"/>
      <c r="F12294" s="87" t="str">
        <f t="shared" si="0"/>
        <v/>
      </c>
      <c r="H12294" s="26" t="str">
        <f t="shared" si="1"/>
        <v/>
      </c>
      <c r="I12294" s="26" t="str">
        <f t="shared" si="2"/>
        <v/>
      </c>
      <c r="J12294" s="86">
        <f t="shared" si="3"/>
        <v>0</v>
      </c>
      <c r="R12294" s="26"/>
    </row>
    <row r="12295" spans="1:18" ht="15.75" customHeight="1">
      <c r="A12295" s="26"/>
      <c r="B12295" s="86"/>
      <c r="D12295" s="26"/>
      <c r="F12295" s="87" t="str">
        <f t="shared" si="0"/>
        <v/>
      </c>
      <c r="H12295" s="26" t="str">
        <f t="shared" si="1"/>
        <v/>
      </c>
      <c r="I12295" s="26" t="str">
        <f t="shared" si="2"/>
        <v/>
      </c>
      <c r="J12295" s="86">
        <f t="shared" si="3"/>
        <v>0</v>
      </c>
      <c r="R12295" s="26"/>
    </row>
    <row r="12296" spans="1:18" ht="15.75" customHeight="1">
      <c r="A12296" s="26"/>
      <c r="B12296" s="86"/>
      <c r="D12296" s="26"/>
      <c r="F12296" s="87" t="str">
        <f t="shared" si="0"/>
        <v/>
      </c>
      <c r="H12296" s="26" t="str">
        <f t="shared" si="1"/>
        <v/>
      </c>
      <c r="I12296" s="26" t="str">
        <f t="shared" si="2"/>
        <v/>
      </c>
      <c r="J12296" s="86">
        <f t="shared" si="3"/>
        <v>0</v>
      </c>
      <c r="R12296" s="26"/>
    </row>
    <row r="12297" spans="1:18" ht="15.75" customHeight="1">
      <c r="A12297" s="26"/>
      <c r="B12297" s="86"/>
      <c r="D12297" s="26"/>
      <c r="F12297" s="87" t="str">
        <f t="shared" si="0"/>
        <v/>
      </c>
      <c r="H12297" s="26" t="str">
        <f t="shared" si="1"/>
        <v/>
      </c>
      <c r="I12297" s="26" t="str">
        <f t="shared" si="2"/>
        <v/>
      </c>
      <c r="J12297" s="86">
        <f t="shared" si="3"/>
        <v>0</v>
      </c>
      <c r="R12297" s="26"/>
    </row>
    <row r="12298" spans="1:18" ht="15.75" customHeight="1">
      <c r="A12298" s="26"/>
      <c r="B12298" s="86"/>
      <c r="D12298" s="26"/>
      <c r="F12298" s="87" t="str">
        <f t="shared" si="0"/>
        <v/>
      </c>
      <c r="H12298" s="26" t="str">
        <f t="shared" si="1"/>
        <v/>
      </c>
      <c r="I12298" s="26" t="str">
        <f t="shared" si="2"/>
        <v/>
      </c>
      <c r="J12298" s="86">
        <f t="shared" si="3"/>
        <v>0</v>
      </c>
      <c r="R12298" s="26"/>
    </row>
    <row r="12299" spans="1:18" ht="15.75" customHeight="1">
      <c r="A12299" s="26"/>
      <c r="B12299" s="86"/>
      <c r="D12299" s="26"/>
      <c r="F12299" s="87" t="str">
        <f t="shared" si="0"/>
        <v/>
      </c>
      <c r="H12299" s="26" t="str">
        <f t="shared" si="1"/>
        <v/>
      </c>
      <c r="I12299" s="26" t="str">
        <f t="shared" si="2"/>
        <v/>
      </c>
      <c r="J12299" s="86">
        <f t="shared" si="3"/>
        <v>0</v>
      </c>
      <c r="R12299" s="26"/>
    </row>
    <row r="12300" spans="1:18" ht="15.75" customHeight="1">
      <c r="A12300" s="26"/>
      <c r="B12300" s="86"/>
      <c r="D12300" s="26"/>
      <c r="F12300" s="87" t="str">
        <f t="shared" si="0"/>
        <v/>
      </c>
      <c r="H12300" s="26" t="str">
        <f t="shared" si="1"/>
        <v/>
      </c>
      <c r="I12300" s="26" t="str">
        <f t="shared" si="2"/>
        <v/>
      </c>
      <c r="J12300" s="86">
        <f t="shared" si="3"/>
        <v>0</v>
      </c>
      <c r="R12300" s="26"/>
    </row>
    <row r="12301" spans="1:18" ht="15.75" customHeight="1">
      <c r="A12301" s="26"/>
      <c r="B12301" s="86"/>
      <c r="D12301" s="26"/>
      <c r="F12301" s="87" t="str">
        <f t="shared" si="0"/>
        <v/>
      </c>
      <c r="H12301" s="26" t="str">
        <f t="shared" si="1"/>
        <v/>
      </c>
      <c r="I12301" s="26" t="str">
        <f t="shared" si="2"/>
        <v/>
      </c>
      <c r="J12301" s="86">
        <f t="shared" si="3"/>
        <v>0</v>
      </c>
      <c r="R12301" s="26"/>
    </row>
    <row r="12302" spans="1:18" ht="15.75" customHeight="1">
      <c r="A12302" s="26"/>
      <c r="B12302" s="86"/>
      <c r="D12302" s="26"/>
      <c r="F12302" s="87" t="str">
        <f t="shared" si="0"/>
        <v/>
      </c>
      <c r="H12302" s="26" t="str">
        <f t="shared" si="1"/>
        <v/>
      </c>
      <c r="I12302" s="26" t="str">
        <f t="shared" si="2"/>
        <v/>
      </c>
      <c r="J12302" s="86">
        <f t="shared" si="3"/>
        <v>0</v>
      </c>
      <c r="R12302" s="26"/>
    </row>
    <row r="12303" spans="1:18" ht="15.75" customHeight="1">
      <c r="A12303" s="26"/>
      <c r="B12303" s="86"/>
      <c r="D12303" s="26"/>
      <c r="F12303" s="87" t="str">
        <f t="shared" si="0"/>
        <v/>
      </c>
      <c r="H12303" s="26" t="str">
        <f t="shared" si="1"/>
        <v/>
      </c>
      <c r="I12303" s="26" t="str">
        <f t="shared" si="2"/>
        <v/>
      </c>
      <c r="J12303" s="86">
        <f t="shared" si="3"/>
        <v>0</v>
      </c>
      <c r="R12303" s="26"/>
    </row>
    <row r="12304" spans="1:18" ht="15.75" customHeight="1">
      <c r="A12304" s="26"/>
      <c r="B12304" s="86"/>
      <c r="D12304" s="26"/>
      <c r="F12304" s="87" t="str">
        <f t="shared" si="0"/>
        <v/>
      </c>
      <c r="H12304" s="26" t="str">
        <f t="shared" si="1"/>
        <v/>
      </c>
      <c r="I12304" s="26" t="str">
        <f t="shared" si="2"/>
        <v/>
      </c>
      <c r="J12304" s="86">
        <f t="shared" si="3"/>
        <v>0</v>
      </c>
      <c r="R12304" s="26"/>
    </row>
    <row r="12305" spans="1:18" ht="15.75" customHeight="1">
      <c r="A12305" s="26"/>
      <c r="B12305" s="86"/>
      <c r="D12305" s="26"/>
      <c r="F12305" s="87" t="str">
        <f t="shared" si="0"/>
        <v/>
      </c>
      <c r="H12305" s="26" t="str">
        <f t="shared" si="1"/>
        <v/>
      </c>
      <c r="I12305" s="26" t="str">
        <f t="shared" si="2"/>
        <v/>
      </c>
      <c r="J12305" s="86">
        <f t="shared" si="3"/>
        <v>0</v>
      </c>
      <c r="R12305" s="26"/>
    </row>
    <row r="12306" spans="1:18" ht="15.75" customHeight="1">
      <c r="A12306" s="26"/>
      <c r="B12306" s="86"/>
      <c r="D12306" s="26"/>
      <c r="F12306" s="87" t="str">
        <f t="shared" si="0"/>
        <v/>
      </c>
      <c r="H12306" s="26" t="str">
        <f t="shared" si="1"/>
        <v/>
      </c>
      <c r="I12306" s="26" t="str">
        <f t="shared" si="2"/>
        <v/>
      </c>
      <c r="J12306" s="86">
        <f t="shared" si="3"/>
        <v>0</v>
      </c>
      <c r="R12306" s="26"/>
    </row>
    <row r="12307" spans="1:18" ht="15.75" customHeight="1">
      <c r="A12307" s="26"/>
      <c r="B12307" s="86"/>
      <c r="D12307" s="26"/>
      <c r="F12307" s="87" t="str">
        <f t="shared" si="0"/>
        <v/>
      </c>
      <c r="H12307" s="26" t="str">
        <f t="shared" si="1"/>
        <v/>
      </c>
      <c r="I12307" s="26" t="str">
        <f t="shared" si="2"/>
        <v/>
      </c>
      <c r="J12307" s="86">
        <f t="shared" si="3"/>
        <v>0</v>
      </c>
      <c r="R12307" s="26"/>
    </row>
    <row r="12308" spans="1:18" ht="15.75" customHeight="1">
      <c r="A12308" s="26"/>
      <c r="B12308" s="86"/>
      <c r="D12308" s="26"/>
      <c r="F12308" s="87" t="str">
        <f t="shared" si="0"/>
        <v/>
      </c>
      <c r="H12308" s="26" t="str">
        <f t="shared" si="1"/>
        <v/>
      </c>
      <c r="I12308" s="26" t="str">
        <f t="shared" si="2"/>
        <v/>
      </c>
      <c r="J12308" s="86">
        <f t="shared" si="3"/>
        <v>0</v>
      </c>
      <c r="R12308" s="26"/>
    </row>
    <row r="12309" spans="1:18" ht="15.75" customHeight="1">
      <c r="A12309" s="26"/>
      <c r="B12309" s="86"/>
      <c r="D12309" s="26"/>
      <c r="F12309" s="87" t="str">
        <f t="shared" si="0"/>
        <v/>
      </c>
      <c r="H12309" s="26" t="str">
        <f t="shared" si="1"/>
        <v/>
      </c>
      <c r="I12309" s="26" t="str">
        <f t="shared" si="2"/>
        <v/>
      </c>
      <c r="J12309" s="86">
        <f t="shared" si="3"/>
        <v>0</v>
      </c>
      <c r="R12309" s="26"/>
    </row>
    <row r="12310" spans="1:18" ht="15.75" customHeight="1">
      <c r="A12310" s="26"/>
      <c r="B12310" s="86"/>
      <c r="D12310" s="26"/>
      <c r="F12310" s="87" t="str">
        <f t="shared" si="0"/>
        <v/>
      </c>
      <c r="H12310" s="26" t="str">
        <f t="shared" si="1"/>
        <v/>
      </c>
      <c r="I12310" s="26" t="str">
        <f t="shared" si="2"/>
        <v/>
      </c>
      <c r="J12310" s="86">
        <f t="shared" si="3"/>
        <v>0</v>
      </c>
      <c r="R12310" s="26"/>
    </row>
    <row r="12311" spans="1:18" ht="15.75" customHeight="1">
      <c r="A12311" s="26"/>
      <c r="B12311" s="86"/>
      <c r="D12311" s="26"/>
      <c r="F12311" s="87" t="str">
        <f t="shared" si="0"/>
        <v/>
      </c>
      <c r="H12311" s="26" t="str">
        <f t="shared" si="1"/>
        <v/>
      </c>
      <c r="I12311" s="26" t="str">
        <f t="shared" si="2"/>
        <v/>
      </c>
      <c r="J12311" s="86">
        <f t="shared" si="3"/>
        <v>0</v>
      </c>
      <c r="R12311" s="26"/>
    </row>
    <row r="12312" spans="1:18" ht="15.75" customHeight="1">
      <c r="A12312" s="26"/>
      <c r="B12312" s="86"/>
      <c r="D12312" s="26"/>
      <c r="F12312" s="87" t="str">
        <f t="shared" si="0"/>
        <v/>
      </c>
      <c r="H12312" s="26" t="str">
        <f t="shared" si="1"/>
        <v/>
      </c>
      <c r="I12312" s="26" t="str">
        <f t="shared" si="2"/>
        <v/>
      </c>
      <c r="J12312" s="86">
        <f t="shared" si="3"/>
        <v>0</v>
      </c>
      <c r="R12312" s="26"/>
    </row>
    <row r="12313" spans="1:18" ht="15.75" customHeight="1">
      <c r="A12313" s="26"/>
      <c r="B12313" s="86"/>
      <c r="D12313" s="26"/>
      <c r="F12313" s="87" t="str">
        <f t="shared" si="0"/>
        <v/>
      </c>
      <c r="H12313" s="26" t="str">
        <f t="shared" si="1"/>
        <v/>
      </c>
      <c r="I12313" s="26" t="str">
        <f t="shared" si="2"/>
        <v/>
      </c>
      <c r="J12313" s="86">
        <f t="shared" si="3"/>
        <v>0</v>
      </c>
      <c r="R12313" s="26"/>
    </row>
    <row r="12314" spans="1:18" ht="15.75" customHeight="1">
      <c r="A12314" s="26"/>
      <c r="B12314" s="86"/>
      <c r="D12314" s="26"/>
      <c r="F12314" s="87" t="str">
        <f t="shared" si="0"/>
        <v/>
      </c>
      <c r="H12314" s="26" t="str">
        <f t="shared" si="1"/>
        <v/>
      </c>
      <c r="I12314" s="26" t="str">
        <f t="shared" si="2"/>
        <v/>
      </c>
      <c r="J12314" s="86">
        <f t="shared" si="3"/>
        <v>0</v>
      </c>
      <c r="R12314" s="26"/>
    </row>
    <row r="12315" spans="1:18" ht="15.75" customHeight="1">
      <c r="A12315" s="26"/>
      <c r="B12315" s="86"/>
      <c r="D12315" s="26"/>
      <c r="F12315" s="87" t="str">
        <f t="shared" si="0"/>
        <v/>
      </c>
      <c r="H12315" s="26" t="str">
        <f t="shared" si="1"/>
        <v/>
      </c>
      <c r="I12315" s="26" t="str">
        <f t="shared" si="2"/>
        <v/>
      </c>
      <c r="J12315" s="86">
        <f t="shared" si="3"/>
        <v>0</v>
      </c>
      <c r="R12315" s="26"/>
    </row>
    <row r="12316" spans="1:18" ht="15.75" customHeight="1">
      <c r="A12316" s="26"/>
      <c r="B12316" s="86"/>
      <c r="D12316" s="26"/>
      <c r="F12316" s="87" t="str">
        <f t="shared" si="0"/>
        <v/>
      </c>
      <c r="H12316" s="26" t="str">
        <f t="shared" si="1"/>
        <v/>
      </c>
      <c r="I12316" s="26" t="str">
        <f t="shared" si="2"/>
        <v/>
      </c>
      <c r="J12316" s="86">
        <f t="shared" si="3"/>
        <v>0</v>
      </c>
      <c r="R12316" s="26"/>
    </row>
    <row r="12317" spans="1:18" ht="15.75" customHeight="1">
      <c r="A12317" s="26"/>
      <c r="B12317" s="86"/>
      <c r="D12317" s="26"/>
      <c r="F12317" s="87" t="str">
        <f t="shared" si="0"/>
        <v/>
      </c>
      <c r="H12317" s="26" t="str">
        <f t="shared" si="1"/>
        <v/>
      </c>
      <c r="I12317" s="26" t="str">
        <f t="shared" si="2"/>
        <v/>
      </c>
      <c r="J12317" s="86">
        <f t="shared" si="3"/>
        <v>0</v>
      </c>
      <c r="R12317" s="26"/>
    </row>
    <row r="12318" spans="1:18" ht="15.75" customHeight="1">
      <c r="A12318" s="26"/>
      <c r="B12318" s="86"/>
      <c r="D12318" s="26"/>
      <c r="F12318" s="87" t="str">
        <f t="shared" si="0"/>
        <v/>
      </c>
      <c r="H12318" s="26" t="str">
        <f t="shared" si="1"/>
        <v/>
      </c>
      <c r="I12318" s="26" t="str">
        <f t="shared" si="2"/>
        <v/>
      </c>
      <c r="J12318" s="86">
        <f t="shared" si="3"/>
        <v>0</v>
      </c>
      <c r="R12318" s="26"/>
    </row>
    <row r="12319" spans="1:18" ht="15.75" customHeight="1">
      <c r="A12319" s="26"/>
      <c r="B12319" s="86"/>
      <c r="D12319" s="26"/>
      <c r="F12319" s="87" t="str">
        <f t="shared" si="0"/>
        <v/>
      </c>
      <c r="H12319" s="26" t="str">
        <f t="shared" si="1"/>
        <v/>
      </c>
      <c r="I12319" s="26" t="str">
        <f t="shared" si="2"/>
        <v/>
      </c>
      <c r="J12319" s="86">
        <f t="shared" si="3"/>
        <v>0</v>
      </c>
      <c r="R12319" s="26"/>
    </row>
    <row r="12320" spans="1:18" ht="15.75" customHeight="1">
      <c r="A12320" s="26"/>
      <c r="B12320" s="86"/>
      <c r="D12320" s="26"/>
      <c r="F12320" s="87" t="str">
        <f t="shared" si="0"/>
        <v/>
      </c>
      <c r="H12320" s="26" t="str">
        <f t="shared" si="1"/>
        <v/>
      </c>
      <c r="I12320" s="26" t="str">
        <f t="shared" si="2"/>
        <v/>
      </c>
      <c r="J12320" s="86">
        <f t="shared" si="3"/>
        <v>0</v>
      </c>
      <c r="R12320" s="26"/>
    </row>
    <row r="12321" spans="1:18" ht="15.75" customHeight="1">
      <c r="A12321" s="26"/>
      <c r="B12321" s="86"/>
      <c r="D12321" s="26"/>
      <c r="F12321" s="87" t="str">
        <f t="shared" si="0"/>
        <v/>
      </c>
      <c r="H12321" s="26" t="str">
        <f t="shared" si="1"/>
        <v/>
      </c>
      <c r="I12321" s="26" t="str">
        <f t="shared" si="2"/>
        <v/>
      </c>
      <c r="J12321" s="86">
        <f t="shared" si="3"/>
        <v>0</v>
      </c>
      <c r="R12321" s="26"/>
    </row>
    <row r="12322" spans="1:18" ht="15.75" customHeight="1">
      <c r="A12322" s="26"/>
      <c r="B12322" s="86"/>
      <c r="D12322" s="26"/>
      <c r="F12322" s="87" t="str">
        <f t="shared" si="0"/>
        <v/>
      </c>
      <c r="H12322" s="26" t="str">
        <f t="shared" si="1"/>
        <v/>
      </c>
      <c r="I12322" s="26" t="str">
        <f t="shared" si="2"/>
        <v/>
      </c>
      <c r="J12322" s="86">
        <f t="shared" si="3"/>
        <v>0</v>
      </c>
      <c r="R12322" s="26"/>
    </row>
    <row r="12323" spans="1:18" ht="15.75" customHeight="1">
      <c r="A12323" s="26"/>
      <c r="B12323" s="86"/>
      <c r="D12323" s="26"/>
      <c r="F12323" s="87" t="str">
        <f t="shared" si="0"/>
        <v/>
      </c>
      <c r="H12323" s="26" t="str">
        <f t="shared" si="1"/>
        <v/>
      </c>
      <c r="I12323" s="26" t="str">
        <f t="shared" si="2"/>
        <v/>
      </c>
      <c r="J12323" s="86">
        <f t="shared" si="3"/>
        <v>0</v>
      </c>
      <c r="R12323" s="26"/>
    </row>
    <row r="12324" spans="1:18" ht="15.75" customHeight="1">
      <c r="A12324" s="26"/>
      <c r="B12324" s="86"/>
      <c r="D12324" s="26"/>
      <c r="F12324" s="87" t="str">
        <f t="shared" si="0"/>
        <v/>
      </c>
      <c r="H12324" s="26" t="str">
        <f t="shared" si="1"/>
        <v/>
      </c>
      <c r="I12324" s="26" t="str">
        <f t="shared" si="2"/>
        <v/>
      </c>
      <c r="J12324" s="86">
        <f t="shared" si="3"/>
        <v>0</v>
      </c>
      <c r="R12324" s="26"/>
    </row>
    <row r="12325" spans="1:18" ht="15.75" customHeight="1">
      <c r="A12325" s="26"/>
      <c r="B12325" s="86"/>
      <c r="D12325" s="26"/>
      <c r="F12325" s="87" t="str">
        <f t="shared" si="0"/>
        <v/>
      </c>
      <c r="H12325" s="26" t="str">
        <f t="shared" si="1"/>
        <v/>
      </c>
      <c r="I12325" s="26" t="str">
        <f t="shared" si="2"/>
        <v/>
      </c>
      <c r="J12325" s="86">
        <f t="shared" si="3"/>
        <v>0</v>
      </c>
      <c r="R12325" s="26"/>
    </row>
    <row r="12326" spans="1:18" ht="15.75" customHeight="1">
      <c r="A12326" s="26"/>
      <c r="B12326" s="86"/>
      <c r="D12326" s="26"/>
      <c r="F12326" s="87" t="str">
        <f t="shared" si="0"/>
        <v/>
      </c>
      <c r="H12326" s="26" t="str">
        <f t="shared" si="1"/>
        <v/>
      </c>
      <c r="I12326" s="26" t="str">
        <f t="shared" si="2"/>
        <v/>
      </c>
      <c r="J12326" s="86">
        <f t="shared" si="3"/>
        <v>0</v>
      </c>
      <c r="R12326" s="26"/>
    </row>
    <row r="12327" spans="1:18" ht="15.75" customHeight="1">
      <c r="A12327" s="26"/>
      <c r="B12327" s="86"/>
      <c r="D12327" s="26"/>
      <c r="F12327" s="87" t="str">
        <f t="shared" si="0"/>
        <v/>
      </c>
      <c r="H12327" s="26" t="str">
        <f t="shared" si="1"/>
        <v/>
      </c>
      <c r="I12327" s="26" t="str">
        <f t="shared" si="2"/>
        <v/>
      </c>
      <c r="J12327" s="86">
        <f t="shared" si="3"/>
        <v>0</v>
      </c>
      <c r="R12327" s="26"/>
    </row>
    <row r="12328" spans="1:18" ht="15.75" customHeight="1">
      <c r="A12328" s="26"/>
      <c r="B12328" s="86"/>
      <c r="D12328" s="26"/>
      <c r="F12328" s="87" t="str">
        <f t="shared" si="0"/>
        <v/>
      </c>
      <c r="H12328" s="26" t="str">
        <f t="shared" si="1"/>
        <v/>
      </c>
      <c r="I12328" s="26" t="str">
        <f t="shared" si="2"/>
        <v/>
      </c>
      <c r="J12328" s="86">
        <f t="shared" si="3"/>
        <v>0</v>
      </c>
      <c r="R12328" s="26"/>
    </row>
    <row r="12329" spans="1:18" ht="15.75" customHeight="1">
      <c r="A12329" s="26"/>
      <c r="B12329" s="86"/>
      <c r="D12329" s="26"/>
      <c r="F12329" s="87" t="str">
        <f t="shared" si="0"/>
        <v/>
      </c>
      <c r="H12329" s="26" t="str">
        <f t="shared" si="1"/>
        <v/>
      </c>
      <c r="I12329" s="26" t="str">
        <f t="shared" si="2"/>
        <v/>
      </c>
      <c r="J12329" s="86">
        <f t="shared" si="3"/>
        <v>0</v>
      </c>
      <c r="R12329" s="26"/>
    </row>
    <row r="12330" spans="1:18" ht="15.75" customHeight="1">
      <c r="A12330" s="26"/>
      <c r="B12330" s="86"/>
      <c r="D12330" s="26"/>
      <c r="F12330" s="87" t="str">
        <f t="shared" si="0"/>
        <v/>
      </c>
      <c r="H12330" s="26" t="str">
        <f t="shared" si="1"/>
        <v/>
      </c>
      <c r="I12330" s="26" t="str">
        <f t="shared" si="2"/>
        <v/>
      </c>
      <c r="J12330" s="86">
        <f t="shared" si="3"/>
        <v>0</v>
      </c>
      <c r="R12330" s="26"/>
    </row>
    <row r="12331" spans="1:18" ht="15.75" customHeight="1">
      <c r="A12331" s="26"/>
      <c r="B12331" s="86"/>
      <c r="D12331" s="26"/>
      <c r="F12331" s="87" t="str">
        <f t="shared" si="0"/>
        <v/>
      </c>
      <c r="H12331" s="26" t="str">
        <f t="shared" si="1"/>
        <v/>
      </c>
      <c r="I12331" s="26" t="str">
        <f t="shared" si="2"/>
        <v/>
      </c>
      <c r="J12331" s="86">
        <f t="shared" si="3"/>
        <v>0</v>
      </c>
      <c r="R12331" s="26"/>
    </row>
    <row r="12332" spans="1:18" ht="15.75" customHeight="1">
      <c r="A12332" s="26"/>
      <c r="B12332" s="86"/>
      <c r="D12332" s="26"/>
      <c r="F12332" s="87" t="str">
        <f t="shared" si="0"/>
        <v/>
      </c>
      <c r="H12332" s="26" t="str">
        <f t="shared" si="1"/>
        <v/>
      </c>
      <c r="I12332" s="26" t="str">
        <f t="shared" si="2"/>
        <v/>
      </c>
      <c r="J12332" s="86">
        <f t="shared" si="3"/>
        <v>0</v>
      </c>
      <c r="R12332" s="26"/>
    </row>
    <row r="12333" spans="1:18" ht="15.75" customHeight="1">
      <c r="A12333" s="26"/>
      <c r="B12333" s="86"/>
      <c r="D12333" s="26"/>
      <c r="F12333" s="87" t="str">
        <f t="shared" si="0"/>
        <v/>
      </c>
      <c r="H12333" s="26" t="str">
        <f t="shared" si="1"/>
        <v/>
      </c>
      <c r="I12333" s="26" t="str">
        <f t="shared" si="2"/>
        <v/>
      </c>
      <c r="J12333" s="86">
        <f t="shared" si="3"/>
        <v>0</v>
      </c>
      <c r="R12333" s="26"/>
    </row>
    <row r="12334" spans="1:18" ht="15.75" customHeight="1">
      <c r="A12334" s="26"/>
      <c r="B12334" s="86"/>
      <c r="D12334" s="26"/>
      <c r="F12334" s="87" t="str">
        <f t="shared" si="0"/>
        <v/>
      </c>
      <c r="H12334" s="26" t="str">
        <f t="shared" si="1"/>
        <v/>
      </c>
      <c r="I12334" s="26" t="str">
        <f t="shared" si="2"/>
        <v/>
      </c>
      <c r="J12334" s="86">
        <f t="shared" si="3"/>
        <v>0</v>
      </c>
      <c r="R12334" s="26"/>
    </row>
    <row r="12335" spans="1:18" ht="15.75" customHeight="1">
      <c r="A12335" s="26"/>
      <c r="B12335" s="86"/>
      <c r="D12335" s="26"/>
      <c r="F12335" s="87" t="str">
        <f t="shared" si="0"/>
        <v/>
      </c>
      <c r="H12335" s="26" t="str">
        <f t="shared" si="1"/>
        <v/>
      </c>
      <c r="I12335" s="26" t="str">
        <f t="shared" si="2"/>
        <v/>
      </c>
      <c r="J12335" s="86">
        <f t="shared" si="3"/>
        <v>0</v>
      </c>
      <c r="R12335" s="26"/>
    </row>
    <row r="12336" spans="1:18" ht="15.75" customHeight="1">
      <c r="A12336" s="26"/>
      <c r="B12336" s="86"/>
      <c r="D12336" s="26"/>
      <c r="F12336" s="87" t="str">
        <f t="shared" si="0"/>
        <v/>
      </c>
      <c r="H12336" s="26" t="str">
        <f t="shared" si="1"/>
        <v/>
      </c>
      <c r="I12336" s="26" t="str">
        <f t="shared" si="2"/>
        <v/>
      </c>
      <c r="J12336" s="86">
        <f t="shared" si="3"/>
        <v>0</v>
      </c>
      <c r="R12336" s="26"/>
    </row>
    <row r="12337" spans="1:18" ht="15.75" customHeight="1">
      <c r="A12337" s="26"/>
      <c r="B12337" s="86"/>
      <c r="D12337" s="26"/>
      <c r="F12337" s="87" t="str">
        <f t="shared" si="0"/>
        <v/>
      </c>
      <c r="H12337" s="26" t="str">
        <f t="shared" si="1"/>
        <v/>
      </c>
      <c r="I12337" s="26" t="str">
        <f t="shared" si="2"/>
        <v/>
      </c>
      <c r="J12337" s="86">
        <f t="shared" si="3"/>
        <v>0</v>
      </c>
      <c r="R12337" s="26"/>
    </row>
    <row r="12338" spans="1:18" ht="15.75" customHeight="1">
      <c r="A12338" s="26"/>
      <c r="B12338" s="86"/>
      <c r="D12338" s="26"/>
      <c r="F12338" s="87" t="str">
        <f t="shared" si="0"/>
        <v/>
      </c>
      <c r="H12338" s="26" t="str">
        <f t="shared" si="1"/>
        <v/>
      </c>
      <c r="I12338" s="26" t="str">
        <f t="shared" si="2"/>
        <v/>
      </c>
      <c r="J12338" s="86">
        <f t="shared" si="3"/>
        <v>0</v>
      </c>
      <c r="R12338" s="26"/>
    </row>
    <row r="12339" spans="1:18" ht="15.75" customHeight="1">
      <c r="A12339" s="26"/>
      <c r="B12339" s="86"/>
      <c r="D12339" s="26"/>
      <c r="F12339" s="87" t="str">
        <f t="shared" si="0"/>
        <v/>
      </c>
      <c r="H12339" s="26" t="str">
        <f t="shared" si="1"/>
        <v/>
      </c>
      <c r="I12339" s="26" t="str">
        <f t="shared" si="2"/>
        <v/>
      </c>
      <c r="J12339" s="86">
        <f t="shared" si="3"/>
        <v>0</v>
      </c>
      <c r="R12339" s="26"/>
    </row>
    <row r="12340" spans="1:18" ht="15.75" customHeight="1">
      <c r="A12340" s="26"/>
      <c r="B12340" s="86"/>
      <c r="D12340" s="26"/>
      <c r="F12340" s="87" t="str">
        <f t="shared" si="0"/>
        <v/>
      </c>
      <c r="H12340" s="26" t="str">
        <f t="shared" si="1"/>
        <v/>
      </c>
      <c r="I12340" s="26" t="str">
        <f t="shared" si="2"/>
        <v/>
      </c>
      <c r="J12340" s="86">
        <f t="shared" si="3"/>
        <v>0</v>
      </c>
      <c r="R12340" s="26"/>
    </row>
    <row r="12341" spans="1:18" ht="15.75" customHeight="1">
      <c r="A12341" s="26"/>
      <c r="B12341" s="86"/>
      <c r="D12341" s="26"/>
      <c r="F12341" s="87" t="str">
        <f t="shared" si="0"/>
        <v/>
      </c>
      <c r="H12341" s="26" t="str">
        <f t="shared" si="1"/>
        <v/>
      </c>
      <c r="I12341" s="26" t="str">
        <f t="shared" si="2"/>
        <v/>
      </c>
      <c r="J12341" s="86">
        <f t="shared" si="3"/>
        <v>0</v>
      </c>
      <c r="R12341" s="26"/>
    </row>
    <row r="12342" spans="1:18" ht="15.75" customHeight="1">
      <c r="A12342" s="26"/>
      <c r="B12342" s="86"/>
      <c r="D12342" s="26"/>
      <c r="F12342" s="87" t="str">
        <f t="shared" si="0"/>
        <v/>
      </c>
      <c r="H12342" s="26" t="str">
        <f t="shared" si="1"/>
        <v/>
      </c>
      <c r="I12342" s="26" t="str">
        <f t="shared" si="2"/>
        <v/>
      </c>
      <c r="J12342" s="86">
        <f t="shared" si="3"/>
        <v>0</v>
      </c>
      <c r="R12342" s="26"/>
    </row>
    <row r="12343" spans="1:18" ht="15.75" customHeight="1">
      <c r="A12343" s="26"/>
      <c r="B12343" s="86"/>
      <c r="D12343" s="26"/>
      <c r="F12343" s="87" t="str">
        <f t="shared" si="0"/>
        <v/>
      </c>
      <c r="H12343" s="26" t="str">
        <f t="shared" si="1"/>
        <v/>
      </c>
      <c r="I12343" s="26" t="str">
        <f t="shared" si="2"/>
        <v/>
      </c>
      <c r="J12343" s="86">
        <f t="shared" si="3"/>
        <v>0</v>
      </c>
      <c r="R12343" s="26"/>
    </row>
    <row r="12344" spans="1:18" ht="15.75" customHeight="1">
      <c r="A12344" s="26"/>
      <c r="B12344" s="86"/>
      <c r="D12344" s="26"/>
      <c r="F12344" s="87" t="str">
        <f t="shared" si="0"/>
        <v/>
      </c>
      <c r="H12344" s="26" t="str">
        <f t="shared" si="1"/>
        <v/>
      </c>
      <c r="I12344" s="26" t="str">
        <f t="shared" si="2"/>
        <v/>
      </c>
      <c r="J12344" s="86">
        <f t="shared" si="3"/>
        <v>0</v>
      </c>
      <c r="R12344" s="26"/>
    </row>
    <row r="12345" spans="1:18" ht="15.75" customHeight="1">
      <c r="A12345" s="26"/>
      <c r="B12345" s="86"/>
      <c r="D12345" s="26"/>
      <c r="F12345" s="87" t="str">
        <f t="shared" si="0"/>
        <v/>
      </c>
      <c r="H12345" s="26" t="str">
        <f t="shared" si="1"/>
        <v/>
      </c>
      <c r="I12345" s="26" t="str">
        <f t="shared" si="2"/>
        <v/>
      </c>
      <c r="J12345" s="86">
        <f t="shared" si="3"/>
        <v>0</v>
      </c>
      <c r="R12345" s="26"/>
    </row>
    <row r="12346" spans="1:18" ht="15.75" customHeight="1">
      <c r="A12346" s="26"/>
      <c r="B12346" s="86"/>
      <c r="D12346" s="26"/>
      <c r="F12346" s="87" t="str">
        <f t="shared" si="0"/>
        <v/>
      </c>
      <c r="H12346" s="26" t="str">
        <f t="shared" si="1"/>
        <v/>
      </c>
      <c r="I12346" s="26" t="str">
        <f t="shared" si="2"/>
        <v/>
      </c>
      <c r="J12346" s="86">
        <f t="shared" si="3"/>
        <v>0</v>
      </c>
      <c r="R12346" s="26"/>
    </row>
    <row r="12347" spans="1:18" ht="15.75" customHeight="1">
      <c r="A12347" s="26"/>
      <c r="B12347" s="86"/>
      <c r="D12347" s="26"/>
      <c r="F12347" s="87" t="str">
        <f t="shared" si="0"/>
        <v/>
      </c>
      <c r="H12347" s="26" t="str">
        <f t="shared" si="1"/>
        <v/>
      </c>
      <c r="I12347" s="26" t="str">
        <f t="shared" si="2"/>
        <v/>
      </c>
      <c r="J12347" s="86">
        <f t="shared" si="3"/>
        <v>0</v>
      </c>
      <c r="R12347" s="26"/>
    </row>
    <row r="12348" spans="1:18" ht="15.75" customHeight="1">
      <c r="A12348" s="26"/>
      <c r="B12348" s="86"/>
      <c r="D12348" s="26"/>
      <c r="F12348" s="87" t="str">
        <f t="shared" si="0"/>
        <v/>
      </c>
      <c r="H12348" s="26" t="str">
        <f t="shared" si="1"/>
        <v/>
      </c>
      <c r="I12348" s="26" t="str">
        <f t="shared" si="2"/>
        <v/>
      </c>
      <c r="J12348" s="86">
        <f t="shared" si="3"/>
        <v>0</v>
      </c>
      <c r="R12348" s="26"/>
    </row>
    <row r="12349" spans="1:18" ht="15.75" customHeight="1">
      <c r="A12349" s="26"/>
      <c r="B12349" s="86"/>
      <c r="D12349" s="26"/>
      <c r="F12349" s="87" t="str">
        <f t="shared" si="0"/>
        <v/>
      </c>
      <c r="H12349" s="26" t="str">
        <f t="shared" si="1"/>
        <v/>
      </c>
      <c r="I12349" s="26" t="str">
        <f t="shared" si="2"/>
        <v/>
      </c>
      <c r="J12349" s="86">
        <f t="shared" si="3"/>
        <v>0</v>
      </c>
      <c r="R12349" s="26"/>
    </row>
    <row r="12350" spans="1:18" ht="15.75" customHeight="1">
      <c r="A12350" s="26"/>
      <c r="B12350" s="86"/>
      <c r="D12350" s="26"/>
      <c r="F12350" s="87" t="str">
        <f t="shared" si="0"/>
        <v/>
      </c>
      <c r="H12350" s="26" t="str">
        <f t="shared" si="1"/>
        <v/>
      </c>
      <c r="I12350" s="26" t="str">
        <f t="shared" si="2"/>
        <v/>
      </c>
      <c r="J12350" s="86">
        <f t="shared" si="3"/>
        <v>0</v>
      </c>
      <c r="R12350" s="26"/>
    </row>
    <row r="12351" spans="1:18" ht="15.75" customHeight="1">
      <c r="A12351" s="26"/>
      <c r="B12351" s="86"/>
      <c r="D12351" s="26"/>
      <c r="F12351" s="87" t="str">
        <f t="shared" si="0"/>
        <v/>
      </c>
      <c r="H12351" s="26" t="str">
        <f t="shared" si="1"/>
        <v/>
      </c>
      <c r="I12351" s="26" t="str">
        <f t="shared" si="2"/>
        <v/>
      </c>
      <c r="J12351" s="86">
        <f t="shared" si="3"/>
        <v>0</v>
      </c>
      <c r="R12351" s="26"/>
    </row>
    <row r="12352" spans="1:18" ht="15.75" customHeight="1">
      <c r="A12352" s="26"/>
      <c r="B12352" s="86"/>
      <c r="D12352" s="26"/>
      <c r="F12352" s="87" t="str">
        <f t="shared" si="0"/>
        <v/>
      </c>
      <c r="H12352" s="26" t="str">
        <f t="shared" si="1"/>
        <v/>
      </c>
      <c r="I12352" s="26" t="str">
        <f t="shared" si="2"/>
        <v/>
      </c>
      <c r="J12352" s="86">
        <f t="shared" si="3"/>
        <v>0</v>
      </c>
      <c r="R12352" s="26"/>
    </row>
    <row r="12353" spans="1:18" ht="15.75" customHeight="1">
      <c r="A12353" s="26"/>
      <c r="B12353" s="86"/>
      <c r="D12353" s="26"/>
      <c r="F12353" s="87" t="str">
        <f t="shared" si="0"/>
        <v/>
      </c>
      <c r="H12353" s="26" t="str">
        <f t="shared" si="1"/>
        <v/>
      </c>
      <c r="I12353" s="26" t="str">
        <f t="shared" si="2"/>
        <v/>
      </c>
      <c r="J12353" s="86">
        <f t="shared" si="3"/>
        <v>0</v>
      </c>
      <c r="R12353" s="26"/>
    </row>
    <row r="12354" spans="1:18" ht="15.75" customHeight="1">
      <c r="A12354" s="26"/>
      <c r="B12354" s="86"/>
      <c r="D12354" s="26"/>
      <c r="F12354" s="87" t="str">
        <f t="shared" si="0"/>
        <v/>
      </c>
      <c r="H12354" s="26" t="str">
        <f t="shared" si="1"/>
        <v/>
      </c>
      <c r="I12354" s="26" t="str">
        <f t="shared" si="2"/>
        <v/>
      </c>
      <c r="J12354" s="86">
        <f t="shared" si="3"/>
        <v>0</v>
      </c>
      <c r="R12354" s="26"/>
    </row>
    <row r="12355" spans="1:18" ht="15.75" customHeight="1">
      <c r="A12355" s="26"/>
      <c r="B12355" s="86"/>
      <c r="D12355" s="26"/>
      <c r="F12355" s="87" t="str">
        <f t="shared" si="0"/>
        <v/>
      </c>
      <c r="H12355" s="26" t="str">
        <f t="shared" si="1"/>
        <v/>
      </c>
      <c r="I12355" s="26" t="str">
        <f t="shared" si="2"/>
        <v/>
      </c>
      <c r="J12355" s="86">
        <f t="shared" si="3"/>
        <v>0</v>
      </c>
      <c r="R12355" s="26"/>
    </row>
    <row r="12356" spans="1:18" ht="15.75" customHeight="1">
      <c r="A12356" s="26"/>
      <c r="B12356" s="86"/>
      <c r="D12356" s="26"/>
      <c r="F12356" s="87" t="str">
        <f t="shared" si="0"/>
        <v/>
      </c>
      <c r="H12356" s="26" t="str">
        <f t="shared" si="1"/>
        <v/>
      </c>
      <c r="I12356" s="26" t="str">
        <f t="shared" si="2"/>
        <v/>
      </c>
      <c r="J12356" s="86">
        <f t="shared" si="3"/>
        <v>0</v>
      </c>
      <c r="R12356" s="26"/>
    </row>
    <row r="12357" spans="1:18" ht="15.75" customHeight="1">
      <c r="A12357" s="26"/>
      <c r="B12357" s="86"/>
      <c r="D12357" s="26"/>
      <c r="F12357" s="87" t="str">
        <f t="shared" si="0"/>
        <v/>
      </c>
      <c r="H12357" s="26" t="str">
        <f t="shared" si="1"/>
        <v/>
      </c>
      <c r="I12357" s="26" t="str">
        <f t="shared" si="2"/>
        <v/>
      </c>
      <c r="J12357" s="86">
        <f t="shared" si="3"/>
        <v>0</v>
      </c>
      <c r="R12357" s="26"/>
    </row>
    <row r="12358" spans="1:18" ht="15.75" customHeight="1">
      <c r="A12358" s="26"/>
      <c r="B12358" s="86"/>
      <c r="D12358" s="26"/>
      <c r="F12358" s="87" t="str">
        <f t="shared" si="0"/>
        <v/>
      </c>
      <c r="H12358" s="26" t="str">
        <f t="shared" si="1"/>
        <v/>
      </c>
      <c r="I12358" s="26" t="str">
        <f t="shared" si="2"/>
        <v/>
      </c>
      <c r="J12358" s="86">
        <f t="shared" si="3"/>
        <v>0</v>
      </c>
      <c r="R12358" s="26"/>
    </row>
    <row r="12359" spans="1:18" ht="15.75" customHeight="1">
      <c r="A12359" s="26"/>
      <c r="B12359" s="86"/>
      <c r="D12359" s="26"/>
      <c r="F12359" s="87" t="str">
        <f t="shared" si="0"/>
        <v/>
      </c>
      <c r="H12359" s="26" t="str">
        <f t="shared" si="1"/>
        <v/>
      </c>
      <c r="I12359" s="26" t="str">
        <f t="shared" si="2"/>
        <v/>
      </c>
      <c r="J12359" s="86">
        <f t="shared" si="3"/>
        <v>0</v>
      </c>
      <c r="R12359" s="26"/>
    </row>
    <row r="12360" spans="1:18" ht="15.75" customHeight="1">
      <c r="A12360" s="26"/>
      <c r="B12360" s="86"/>
      <c r="D12360" s="26"/>
      <c r="F12360" s="87" t="str">
        <f t="shared" si="0"/>
        <v/>
      </c>
      <c r="H12360" s="26" t="str">
        <f t="shared" si="1"/>
        <v/>
      </c>
      <c r="I12360" s="26" t="str">
        <f t="shared" si="2"/>
        <v/>
      </c>
      <c r="J12360" s="86">
        <f t="shared" si="3"/>
        <v>0</v>
      </c>
      <c r="R12360" s="26"/>
    </row>
    <row r="12361" spans="1:18" ht="15.75" customHeight="1">
      <c r="A12361" s="26"/>
      <c r="B12361" s="86"/>
      <c r="D12361" s="26"/>
      <c r="F12361" s="87" t="str">
        <f t="shared" si="0"/>
        <v/>
      </c>
      <c r="H12361" s="26" t="str">
        <f t="shared" si="1"/>
        <v/>
      </c>
      <c r="I12361" s="26" t="str">
        <f t="shared" si="2"/>
        <v/>
      </c>
      <c r="J12361" s="86">
        <f t="shared" si="3"/>
        <v>0</v>
      </c>
      <c r="R12361" s="26"/>
    </row>
    <row r="12362" spans="1:18" ht="15.75" customHeight="1">
      <c r="A12362" s="26"/>
      <c r="B12362" s="86"/>
      <c r="D12362" s="26"/>
      <c r="F12362" s="87" t="str">
        <f t="shared" si="0"/>
        <v/>
      </c>
      <c r="H12362" s="26" t="str">
        <f t="shared" si="1"/>
        <v/>
      </c>
      <c r="I12362" s="26" t="str">
        <f t="shared" si="2"/>
        <v/>
      </c>
      <c r="J12362" s="86">
        <f t="shared" si="3"/>
        <v>0</v>
      </c>
      <c r="R12362" s="26"/>
    </row>
    <row r="12363" spans="1:18" ht="15.75" customHeight="1">
      <c r="A12363" s="26"/>
      <c r="B12363" s="86"/>
      <c r="D12363" s="26"/>
      <c r="F12363" s="87" t="str">
        <f t="shared" si="0"/>
        <v/>
      </c>
      <c r="H12363" s="26" t="str">
        <f t="shared" si="1"/>
        <v/>
      </c>
      <c r="I12363" s="26" t="str">
        <f t="shared" si="2"/>
        <v/>
      </c>
      <c r="J12363" s="86">
        <f t="shared" si="3"/>
        <v>0</v>
      </c>
      <c r="R12363" s="26"/>
    </row>
    <row r="12364" spans="1:18" ht="15.75" customHeight="1">
      <c r="A12364" s="26"/>
      <c r="B12364" s="86"/>
      <c r="D12364" s="26"/>
      <c r="F12364" s="87" t="str">
        <f t="shared" si="0"/>
        <v/>
      </c>
      <c r="H12364" s="26" t="str">
        <f t="shared" si="1"/>
        <v/>
      </c>
      <c r="I12364" s="26" t="str">
        <f t="shared" si="2"/>
        <v/>
      </c>
      <c r="J12364" s="86">
        <f t="shared" si="3"/>
        <v>0</v>
      </c>
      <c r="R12364" s="26"/>
    </row>
    <row r="12365" spans="1:18" ht="15.75" customHeight="1">
      <c r="A12365" s="26"/>
      <c r="B12365" s="86"/>
      <c r="D12365" s="26"/>
      <c r="F12365" s="87" t="str">
        <f t="shared" si="0"/>
        <v/>
      </c>
      <c r="H12365" s="26" t="str">
        <f t="shared" si="1"/>
        <v/>
      </c>
      <c r="I12365" s="26" t="str">
        <f t="shared" si="2"/>
        <v/>
      </c>
      <c r="J12365" s="86">
        <f t="shared" si="3"/>
        <v>0</v>
      </c>
      <c r="R12365" s="26"/>
    </row>
    <row r="12366" spans="1:18" ht="15.75" customHeight="1">
      <c r="A12366" s="26"/>
      <c r="B12366" s="86"/>
      <c r="D12366" s="26"/>
      <c r="F12366" s="87" t="str">
        <f t="shared" si="0"/>
        <v/>
      </c>
      <c r="H12366" s="26" t="str">
        <f t="shared" si="1"/>
        <v/>
      </c>
      <c r="I12366" s="26" t="str">
        <f t="shared" si="2"/>
        <v/>
      </c>
      <c r="J12366" s="86">
        <f t="shared" si="3"/>
        <v>0</v>
      </c>
      <c r="R12366" s="26"/>
    </row>
    <row r="12367" spans="1:18" ht="15.75" customHeight="1">
      <c r="A12367" s="26"/>
      <c r="B12367" s="86"/>
      <c r="D12367" s="26"/>
      <c r="F12367" s="87" t="str">
        <f t="shared" si="0"/>
        <v/>
      </c>
      <c r="H12367" s="26" t="str">
        <f t="shared" si="1"/>
        <v/>
      </c>
      <c r="I12367" s="26" t="str">
        <f t="shared" si="2"/>
        <v/>
      </c>
      <c r="J12367" s="86">
        <f t="shared" si="3"/>
        <v>0</v>
      </c>
      <c r="R12367" s="26"/>
    </row>
    <row r="12368" spans="1:18" ht="15.75" customHeight="1">
      <c r="A12368" s="26"/>
      <c r="B12368" s="86"/>
      <c r="D12368" s="26"/>
      <c r="F12368" s="87" t="str">
        <f t="shared" si="0"/>
        <v/>
      </c>
      <c r="H12368" s="26" t="str">
        <f t="shared" si="1"/>
        <v/>
      </c>
      <c r="I12368" s="26" t="str">
        <f t="shared" si="2"/>
        <v/>
      </c>
      <c r="J12368" s="86">
        <f t="shared" si="3"/>
        <v>0</v>
      </c>
      <c r="R12368" s="26"/>
    </row>
    <row r="12369" spans="1:18" ht="15.75" customHeight="1">
      <c r="A12369" s="26"/>
      <c r="B12369" s="86"/>
      <c r="D12369" s="26"/>
      <c r="F12369" s="87" t="str">
        <f t="shared" si="0"/>
        <v/>
      </c>
      <c r="H12369" s="26" t="str">
        <f t="shared" si="1"/>
        <v/>
      </c>
      <c r="I12369" s="26" t="str">
        <f t="shared" si="2"/>
        <v/>
      </c>
      <c r="J12369" s="86">
        <f t="shared" si="3"/>
        <v>0</v>
      </c>
      <c r="R12369" s="26"/>
    </row>
    <row r="12370" spans="1:18" ht="15.75" customHeight="1">
      <c r="A12370" s="26"/>
      <c r="B12370" s="86"/>
      <c r="D12370" s="26"/>
      <c r="F12370" s="87" t="str">
        <f t="shared" si="0"/>
        <v/>
      </c>
      <c r="H12370" s="26" t="str">
        <f t="shared" si="1"/>
        <v/>
      </c>
      <c r="I12370" s="26" t="str">
        <f t="shared" si="2"/>
        <v/>
      </c>
      <c r="J12370" s="86">
        <f t="shared" si="3"/>
        <v>0</v>
      </c>
      <c r="R12370" s="26"/>
    </row>
    <row r="12371" spans="1:18" ht="15.75" customHeight="1">
      <c r="A12371" s="26"/>
      <c r="B12371" s="86"/>
      <c r="D12371" s="26"/>
      <c r="F12371" s="87" t="str">
        <f t="shared" si="0"/>
        <v/>
      </c>
      <c r="H12371" s="26" t="str">
        <f t="shared" si="1"/>
        <v/>
      </c>
      <c r="I12371" s="26" t="str">
        <f t="shared" si="2"/>
        <v/>
      </c>
      <c r="J12371" s="86">
        <f t="shared" si="3"/>
        <v>0</v>
      </c>
      <c r="R12371" s="26"/>
    </row>
    <row r="12372" spans="1:18" ht="15.75" customHeight="1">
      <c r="A12372" s="26"/>
      <c r="B12372" s="86"/>
      <c r="D12372" s="26"/>
      <c r="F12372" s="87" t="str">
        <f t="shared" si="0"/>
        <v/>
      </c>
      <c r="H12372" s="26" t="str">
        <f t="shared" si="1"/>
        <v/>
      </c>
      <c r="I12372" s="26" t="str">
        <f t="shared" si="2"/>
        <v/>
      </c>
      <c r="J12372" s="86">
        <f t="shared" si="3"/>
        <v>0</v>
      </c>
      <c r="R12372" s="26"/>
    </row>
    <row r="12373" spans="1:18" ht="15.75" customHeight="1">
      <c r="A12373" s="26"/>
      <c r="B12373" s="86"/>
      <c r="D12373" s="26"/>
      <c r="F12373" s="87" t="str">
        <f t="shared" si="0"/>
        <v/>
      </c>
      <c r="H12373" s="26" t="str">
        <f t="shared" si="1"/>
        <v/>
      </c>
      <c r="I12373" s="26" t="str">
        <f t="shared" si="2"/>
        <v/>
      </c>
      <c r="J12373" s="86">
        <f t="shared" si="3"/>
        <v>0</v>
      </c>
      <c r="R12373" s="26"/>
    </row>
    <row r="12374" spans="1:18" ht="15.75" customHeight="1">
      <c r="A12374" s="26"/>
      <c r="B12374" s="86"/>
      <c r="D12374" s="26"/>
      <c r="F12374" s="87" t="str">
        <f t="shared" si="0"/>
        <v/>
      </c>
      <c r="H12374" s="26" t="str">
        <f t="shared" si="1"/>
        <v/>
      </c>
      <c r="I12374" s="26" t="str">
        <f t="shared" si="2"/>
        <v/>
      </c>
      <c r="J12374" s="86">
        <f t="shared" si="3"/>
        <v>0</v>
      </c>
      <c r="R12374" s="26"/>
    </row>
    <row r="12375" spans="1:18" ht="15.75" customHeight="1">
      <c r="A12375" s="26"/>
      <c r="B12375" s="86"/>
      <c r="D12375" s="26"/>
      <c r="F12375" s="87" t="str">
        <f t="shared" si="0"/>
        <v/>
      </c>
      <c r="H12375" s="26" t="str">
        <f t="shared" si="1"/>
        <v/>
      </c>
      <c r="I12375" s="26" t="str">
        <f t="shared" si="2"/>
        <v/>
      </c>
      <c r="J12375" s="86">
        <f t="shared" si="3"/>
        <v>0</v>
      </c>
      <c r="R12375" s="26"/>
    </row>
    <row r="12376" spans="1:18" ht="15.75" customHeight="1">
      <c r="A12376" s="26"/>
      <c r="B12376" s="86"/>
      <c r="D12376" s="26"/>
      <c r="F12376" s="87" t="str">
        <f t="shared" si="0"/>
        <v/>
      </c>
      <c r="H12376" s="26" t="str">
        <f t="shared" si="1"/>
        <v/>
      </c>
      <c r="I12376" s="26" t="str">
        <f t="shared" si="2"/>
        <v/>
      </c>
      <c r="J12376" s="86">
        <f t="shared" si="3"/>
        <v>0</v>
      </c>
      <c r="R12376" s="26"/>
    </row>
    <row r="12377" spans="1:18" ht="15.75" customHeight="1">
      <c r="A12377" s="26"/>
      <c r="B12377" s="86"/>
      <c r="D12377" s="26"/>
      <c r="F12377" s="87" t="str">
        <f t="shared" si="0"/>
        <v/>
      </c>
      <c r="H12377" s="26" t="str">
        <f t="shared" si="1"/>
        <v/>
      </c>
      <c r="I12377" s="26" t="str">
        <f t="shared" si="2"/>
        <v/>
      </c>
      <c r="J12377" s="86">
        <f t="shared" si="3"/>
        <v>0</v>
      </c>
      <c r="R12377" s="26"/>
    </row>
    <row r="12378" spans="1:18" ht="15.75" customHeight="1">
      <c r="A12378" s="26"/>
      <c r="B12378" s="86"/>
      <c r="D12378" s="26"/>
      <c r="F12378" s="87" t="str">
        <f t="shared" si="0"/>
        <v/>
      </c>
      <c r="H12378" s="26" t="str">
        <f t="shared" si="1"/>
        <v/>
      </c>
      <c r="I12378" s="26" t="str">
        <f t="shared" si="2"/>
        <v/>
      </c>
      <c r="J12378" s="86">
        <f t="shared" si="3"/>
        <v>0</v>
      </c>
      <c r="R12378" s="26"/>
    </row>
    <row r="12379" spans="1:18" ht="15.75" customHeight="1">
      <c r="A12379" s="26"/>
      <c r="B12379" s="86"/>
      <c r="D12379" s="26"/>
      <c r="F12379" s="87" t="str">
        <f t="shared" si="0"/>
        <v/>
      </c>
      <c r="H12379" s="26" t="str">
        <f t="shared" si="1"/>
        <v/>
      </c>
      <c r="I12379" s="26" t="str">
        <f t="shared" si="2"/>
        <v/>
      </c>
      <c r="J12379" s="86">
        <f t="shared" si="3"/>
        <v>0</v>
      </c>
      <c r="R12379" s="26"/>
    </row>
    <row r="12380" spans="1:18" ht="15.75" customHeight="1">
      <c r="A12380" s="26"/>
      <c r="B12380" s="86"/>
      <c r="D12380" s="26"/>
      <c r="F12380" s="87" t="str">
        <f t="shared" si="0"/>
        <v/>
      </c>
      <c r="H12380" s="26" t="str">
        <f t="shared" si="1"/>
        <v/>
      </c>
      <c r="I12380" s="26" t="str">
        <f t="shared" si="2"/>
        <v/>
      </c>
      <c r="J12380" s="86">
        <f t="shared" si="3"/>
        <v>0</v>
      </c>
      <c r="R12380" s="26"/>
    </row>
    <row r="12381" spans="1:18" ht="15.75" customHeight="1">
      <c r="A12381" s="26"/>
      <c r="B12381" s="86"/>
      <c r="D12381" s="26"/>
      <c r="F12381" s="87" t="str">
        <f t="shared" si="0"/>
        <v/>
      </c>
      <c r="H12381" s="26" t="str">
        <f t="shared" si="1"/>
        <v/>
      </c>
      <c r="I12381" s="26" t="str">
        <f t="shared" si="2"/>
        <v/>
      </c>
      <c r="J12381" s="86">
        <f t="shared" si="3"/>
        <v>0</v>
      </c>
      <c r="R12381" s="26"/>
    </row>
    <row r="12382" spans="1:18" ht="15.75" customHeight="1">
      <c r="A12382" s="26"/>
      <c r="B12382" s="86"/>
      <c r="D12382" s="26"/>
      <c r="F12382" s="87" t="str">
        <f t="shared" si="0"/>
        <v/>
      </c>
      <c r="H12382" s="26" t="str">
        <f t="shared" si="1"/>
        <v/>
      </c>
      <c r="I12382" s="26" t="str">
        <f t="shared" si="2"/>
        <v/>
      </c>
      <c r="J12382" s="86">
        <f t="shared" si="3"/>
        <v>0</v>
      </c>
      <c r="R12382" s="26"/>
    </row>
    <row r="12383" spans="1:18" ht="15.75" customHeight="1">
      <c r="A12383" s="26"/>
      <c r="B12383" s="86"/>
      <c r="D12383" s="26"/>
      <c r="F12383" s="87" t="str">
        <f t="shared" si="0"/>
        <v/>
      </c>
      <c r="H12383" s="26" t="str">
        <f t="shared" si="1"/>
        <v/>
      </c>
      <c r="I12383" s="26" t="str">
        <f t="shared" si="2"/>
        <v/>
      </c>
      <c r="J12383" s="86">
        <f t="shared" si="3"/>
        <v>0</v>
      </c>
      <c r="R12383" s="26"/>
    </row>
    <row r="12384" spans="1:18" ht="15.75" customHeight="1">
      <c r="A12384" s="26"/>
      <c r="B12384" s="86"/>
      <c r="D12384" s="26"/>
      <c r="F12384" s="87" t="str">
        <f t="shared" si="0"/>
        <v/>
      </c>
      <c r="H12384" s="26" t="str">
        <f t="shared" si="1"/>
        <v/>
      </c>
      <c r="I12384" s="26" t="str">
        <f t="shared" si="2"/>
        <v/>
      </c>
      <c r="J12384" s="86">
        <f t="shared" si="3"/>
        <v>0</v>
      </c>
      <c r="R12384" s="26"/>
    </row>
    <row r="12385" spans="1:18" ht="15.75" customHeight="1">
      <c r="A12385" s="26"/>
      <c r="B12385" s="86"/>
      <c r="D12385" s="26"/>
      <c r="F12385" s="87" t="str">
        <f t="shared" si="0"/>
        <v/>
      </c>
      <c r="H12385" s="26" t="str">
        <f t="shared" si="1"/>
        <v/>
      </c>
      <c r="I12385" s="26" t="str">
        <f t="shared" si="2"/>
        <v/>
      </c>
      <c r="J12385" s="86">
        <f t="shared" si="3"/>
        <v>0</v>
      </c>
      <c r="R12385" s="26"/>
    </row>
    <row r="12386" spans="1:18" ht="15.75" customHeight="1">
      <c r="A12386" s="26"/>
      <c r="B12386" s="86"/>
      <c r="D12386" s="26"/>
      <c r="F12386" s="87" t="str">
        <f t="shared" si="0"/>
        <v/>
      </c>
      <c r="H12386" s="26" t="str">
        <f t="shared" si="1"/>
        <v/>
      </c>
      <c r="I12386" s="26" t="str">
        <f t="shared" si="2"/>
        <v/>
      </c>
      <c r="J12386" s="86">
        <f t="shared" si="3"/>
        <v>0</v>
      </c>
      <c r="R12386" s="26"/>
    </row>
    <row r="12387" spans="1:18" ht="15.75" customHeight="1">
      <c r="A12387" s="26"/>
      <c r="B12387" s="86"/>
      <c r="D12387" s="26"/>
      <c r="F12387" s="87" t="str">
        <f t="shared" si="0"/>
        <v/>
      </c>
      <c r="H12387" s="26" t="str">
        <f t="shared" si="1"/>
        <v/>
      </c>
      <c r="I12387" s="26" t="str">
        <f t="shared" si="2"/>
        <v/>
      </c>
      <c r="J12387" s="86">
        <f t="shared" si="3"/>
        <v>0</v>
      </c>
      <c r="R12387" s="26"/>
    </row>
    <row r="12388" spans="1:18" ht="15.75" customHeight="1">
      <c r="A12388" s="26"/>
      <c r="B12388" s="86"/>
      <c r="D12388" s="26"/>
      <c r="F12388" s="87" t="str">
        <f t="shared" si="0"/>
        <v/>
      </c>
      <c r="H12388" s="26" t="str">
        <f t="shared" si="1"/>
        <v/>
      </c>
      <c r="I12388" s="26" t="str">
        <f t="shared" si="2"/>
        <v/>
      </c>
      <c r="J12388" s="86">
        <f t="shared" si="3"/>
        <v>0</v>
      </c>
      <c r="R12388" s="26"/>
    </row>
    <row r="12389" spans="1:18" ht="15.75" customHeight="1">
      <c r="A12389" s="26"/>
      <c r="B12389" s="86"/>
      <c r="D12389" s="26"/>
      <c r="F12389" s="87" t="str">
        <f t="shared" si="0"/>
        <v/>
      </c>
      <c r="H12389" s="26" t="str">
        <f t="shared" si="1"/>
        <v/>
      </c>
      <c r="I12389" s="26" t="str">
        <f t="shared" si="2"/>
        <v/>
      </c>
      <c r="J12389" s="86">
        <f t="shared" si="3"/>
        <v>0</v>
      </c>
      <c r="R12389" s="26"/>
    </row>
    <row r="12390" spans="1:18" ht="15.75" customHeight="1">
      <c r="A12390" s="26"/>
      <c r="B12390" s="86"/>
      <c r="D12390" s="26"/>
      <c r="F12390" s="87" t="str">
        <f t="shared" si="0"/>
        <v/>
      </c>
      <c r="H12390" s="26" t="str">
        <f t="shared" si="1"/>
        <v/>
      </c>
      <c r="I12390" s="26" t="str">
        <f t="shared" si="2"/>
        <v/>
      </c>
      <c r="J12390" s="86">
        <f t="shared" si="3"/>
        <v>0</v>
      </c>
      <c r="R12390" s="26"/>
    </row>
    <row r="12391" spans="1:18" ht="15.75" customHeight="1">
      <c r="A12391" s="26"/>
      <c r="B12391" s="86"/>
      <c r="D12391" s="26"/>
      <c r="F12391" s="87" t="str">
        <f t="shared" si="0"/>
        <v/>
      </c>
      <c r="H12391" s="26" t="str">
        <f t="shared" si="1"/>
        <v/>
      </c>
      <c r="I12391" s="26" t="str">
        <f t="shared" si="2"/>
        <v/>
      </c>
      <c r="J12391" s="86">
        <f t="shared" si="3"/>
        <v>0</v>
      </c>
      <c r="R12391" s="26"/>
    </row>
    <row r="12392" spans="1:18" ht="15.75" customHeight="1">
      <c r="A12392" s="26"/>
      <c r="B12392" s="86"/>
      <c r="D12392" s="26"/>
      <c r="F12392" s="87" t="str">
        <f t="shared" si="0"/>
        <v/>
      </c>
      <c r="H12392" s="26" t="str">
        <f t="shared" si="1"/>
        <v/>
      </c>
      <c r="I12392" s="26" t="str">
        <f t="shared" si="2"/>
        <v/>
      </c>
      <c r="J12392" s="86">
        <f t="shared" si="3"/>
        <v>0</v>
      </c>
      <c r="R12392" s="26"/>
    </row>
    <row r="12393" spans="1:18" ht="15.75" customHeight="1">
      <c r="A12393" s="26"/>
      <c r="B12393" s="86"/>
      <c r="D12393" s="26"/>
      <c r="F12393" s="87" t="str">
        <f t="shared" si="0"/>
        <v/>
      </c>
      <c r="H12393" s="26" t="str">
        <f t="shared" si="1"/>
        <v/>
      </c>
      <c r="I12393" s="26" t="str">
        <f t="shared" si="2"/>
        <v/>
      </c>
      <c r="J12393" s="86">
        <f t="shared" si="3"/>
        <v>0</v>
      </c>
      <c r="R12393" s="26"/>
    </row>
    <row r="12394" spans="1:18" ht="15.75" customHeight="1">
      <c r="A12394" s="26"/>
      <c r="B12394" s="86"/>
      <c r="D12394" s="26"/>
      <c r="F12394" s="87" t="str">
        <f t="shared" si="0"/>
        <v/>
      </c>
      <c r="H12394" s="26" t="str">
        <f t="shared" si="1"/>
        <v/>
      </c>
      <c r="I12394" s="26" t="str">
        <f t="shared" si="2"/>
        <v/>
      </c>
      <c r="J12394" s="86">
        <f t="shared" si="3"/>
        <v>0</v>
      </c>
      <c r="R12394" s="26"/>
    </row>
    <row r="12395" spans="1:18" ht="15.75" customHeight="1">
      <c r="A12395" s="26"/>
      <c r="B12395" s="86"/>
      <c r="D12395" s="26"/>
      <c r="F12395" s="87" t="str">
        <f t="shared" si="0"/>
        <v/>
      </c>
      <c r="H12395" s="26" t="str">
        <f t="shared" si="1"/>
        <v/>
      </c>
      <c r="I12395" s="26" t="str">
        <f t="shared" si="2"/>
        <v/>
      </c>
      <c r="J12395" s="86">
        <f t="shared" si="3"/>
        <v>0</v>
      </c>
      <c r="R12395" s="26"/>
    </row>
    <row r="12396" spans="1:18" ht="15.75" customHeight="1">
      <c r="A12396" s="26"/>
      <c r="B12396" s="86"/>
      <c r="D12396" s="26"/>
      <c r="F12396" s="87" t="str">
        <f t="shared" si="0"/>
        <v/>
      </c>
      <c r="H12396" s="26" t="str">
        <f t="shared" si="1"/>
        <v/>
      </c>
      <c r="I12396" s="26" t="str">
        <f t="shared" si="2"/>
        <v/>
      </c>
      <c r="J12396" s="86">
        <f t="shared" si="3"/>
        <v>0</v>
      </c>
      <c r="R12396" s="26"/>
    </row>
    <row r="12397" spans="1:18" ht="15.75" customHeight="1">
      <c r="A12397" s="26"/>
      <c r="B12397" s="86"/>
      <c r="D12397" s="26"/>
      <c r="F12397" s="87" t="str">
        <f t="shared" si="0"/>
        <v/>
      </c>
      <c r="H12397" s="26" t="str">
        <f t="shared" si="1"/>
        <v/>
      </c>
      <c r="I12397" s="26" t="str">
        <f t="shared" si="2"/>
        <v/>
      </c>
      <c r="J12397" s="86">
        <f t="shared" si="3"/>
        <v>0</v>
      </c>
      <c r="R12397" s="26"/>
    </row>
    <row r="12398" spans="1:18" ht="15.75" customHeight="1">
      <c r="A12398" s="26"/>
      <c r="B12398" s="86"/>
      <c r="D12398" s="26"/>
      <c r="F12398" s="87" t="str">
        <f t="shared" si="0"/>
        <v/>
      </c>
      <c r="H12398" s="26" t="str">
        <f t="shared" si="1"/>
        <v/>
      </c>
      <c r="I12398" s="26" t="str">
        <f t="shared" si="2"/>
        <v/>
      </c>
      <c r="J12398" s="86">
        <f t="shared" si="3"/>
        <v>0</v>
      </c>
      <c r="R12398" s="26"/>
    </row>
    <row r="12399" spans="1:18" ht="15.75" customHeight="1">
      <c r="A12399" s="26"/>
      <c r="B12399" s="86"/>
      <c r="D12399" s="26"/>
      <c r="F12399" s="87" t="str">
        <f t="shared" si="0"/>
        <v/>
      </c>
      <c r="H12399" s="26" t="str">
        <f t="shared" si="1"/>
        <v/>
      </c>
      <c r="I12399" s="26" t="str">
        <f t="shared" si="2"/>
        <v/>
      </c>
      <c r="J12399" s="86">
        <f t="shared" si="3"/>
        <v>0</v>
      </c>
      <c r="R12399" s="26"/>
    </row>
    <row r="12400" spans="1:18" ht="15.75" customHeight="1">
      <c r="A12400" s="26"/>
      <c r="B12400" s="86"/>
      <c r="D12400" s="26"/>
      <c r="F12400" s="87" t="str">
        <f t="shared" si="0"/>
        <v/>
      </c>
      <c r="H12400" s="26" t="str">
        <f t="shared" si="1"/>
        <v/>
      </c>
      <c r="I12400" s="26" t="str">
        <f t="shared" si="2"/>
        <v/>
      </c>
      <c r="J12400" s="86">
        <f t="shared" si="3"/>
        <v>0</v>
      </c>
      <c r="R12400" s="26"/>
    </row>
    <row r="12401" spans="1:18" ht="15.75" customHeight="1">
      <c r="A12401" s="26"/>
      <c r="B12401" s="86"/>
      <c r="D12401" s="26"/>
      <c r="F12401" s="87" t="str">
        <f t="shared" si="0"/>
        <v/>
      </c>
      <c r="H12401" s="26" t="str">
        <f t="shared" si="1"/>
        <v/>
      </c>
      <c r="I12401" s="26" t="str">
        <f t="shared" si="2"/>
        <v/>
      </c>
      <c r="J12401" s="86">
        <f t="shared" si="3"/>
        <v>0</v>
      </c>
      <c r="R12401" s="26"/>
    </row>
    <row r="12402" spans="1:18" ht="15.75" customHeight="1">
      <c r="A12402" s="26"/>
      <c r="B12402" s="86"/>
      <c r="D12402" s="26"/>
      <c r="F12402" s="87" t="str">
        <f t="shared" si="0"/>
        <v/>
      </c>
      <c r="H12402" s="26" t="str">
        <f t="shared" si="1"/>
        <v/>
      </c>
      <c r="I12402" s="26" t="str">
        <f t="shared" si="2"/>
        <v/>
      </c>
      <c r="J12402" s="86">
        <f t="shared" si="3"/>
        <v>0</v>
      </c>
      <c r="R12402" s="26"/>
    </row>
    <row r="12403" spans="1:18" ht="15.75" customHeight="1">
      <c r="A12403" s="26"/>
      <c r="B12403" s="86"/>
      <c r="D12403" s="26"/>
      <c r="F12403" s="87" t="str">
        <f t="shared" si="0"/>
        <v/>
      </c>
      <c r="H12403" s="26" t="str">
        <f t="shared" si="1"/>
        <v/>
      </c>
      <c r="I12403" s="26" t="str">
        <f t="shared" si="2"/>
        <v/>
      </c>
      <c r="J12403" s="86">
        <f t="shared" si="3"/>
        <v>0</v>
      </c>
      <c r="R12403" s="26"/>
    </row>
    <row r="12404" spans="1:18" ht="15.75" customHeight="1">
      <c r="A12404" s="26"/>
      <c r="B12404" s="86"/>
      <c r="D12404" s="26"/>
      <c r="F12404" s="87" t="str">
        <f t="shared" si="0"/>
        <v/>
      </c>
      <c r="H12404" s="26" t="str">
        <f t="shared" si="1"/>
        <v/>
      </c>
      <c r="I12404" s="26" t="str">
        <f t="shared" si="2"/>
        <v/>
      </c>
      <c r="J12404" s="86">
        <f t="shared" si="3"/>
        <v>0</v>
      </c>
      <c r="R12404" s="26"/>
    </row>
    <row r="12405" spans="1:18" ht="15.75" customHeight="1">
      <c r="A12405" s="26"/>
      <c r="B12405" s="86"/>
      <c r="D12405" s="26"/>
      <c r="F12405" s="87" t="str">
        <f t="shared" si="0"/>
        <v/>
      </c>
      <c r="H12405" s="26" t="str">
        <f t="shared" si="1"/>
        <v/>
      </c>
      <c r="I12405" s="26" t="str">
        <f t="shared" si="2"/>
        <v/>
      </c>
      <c r="J12405" s="86">
        <f t="shared" si="3"/>
        <v>0</v>
      </c>
      <c r="R12405" s="26"/>
    </row>
    <row r="12406" spans="1:18" ht="15.75" customHeight="1">
      <c r="A12406" s="26"/>
      <c r="B12406" s="86"/>
      <c r="D12406" s="26"/>
      <c r="F12406" s="87" t="str">
        <f t="shared" si="0"/>
        <v/>
      </c>
      <c r="H12406" s="26" t="str">
        <f t="shared" si="1"/>
        <v/>
      </c>
      <c r="I12406" s="26" t="str">
        <f t="shared" si="2"/>
        <v/>
      </c>
      <c r="J12406" s="86">
        <f t="shared" si="3"/>
        <v>0</v>
      </c>
      <c r="R12406" s="26"/>
    </row>
    <row r="12407" spans="1:18" ht="15.75" customHeight="1">
      <c r="A12407" s="26"/>
      <c r="B12407" s="86"/>
      <c r="D12407" s="26"/>
      <c r="F12407" s="87" t="str">
        <f t="shared" si="0"/>
        <v/>
      </c>
      <c r="H12407" s="26" t="str">
        <f t="shared" si="1"/>
        <v/>
      </c>
      <c r="I12407" s="26" t="str">
        <f t="shared" si="2"/>
        <v/>
      </c>
      <c r="J12407" s="86">
        <f t="shared" si="3"/>
        <v>0</v>
      </c>
      <c r="R12407" s="26"/>
    </row>
    <row r="12408" spans="1:18" ht="15.75" customHeight="1">
      <c r="A12408" s="26"/>
      <c r="B12408" s="86"/>
      <c r="D12408" s="26"/>
      <c r="F12408" s="87" t="str">
        <f t="shared" si="0"/>
        <v/>
      </c>
      <c r="H12408" s="26" t="str">
        <f t="shared" si="1"/>
        <v/>
      </c>
      <c r="I12408" s="26" t="str">
        <f t="shared" si="2"/>
        <v/>
      </c>
      <c r="J12408" s="86">
        <f t="shared" si="3"/>
        <v>0</v>
      </c>
      <c r="R12408" s="26"/>
    </row>
    <row r="12409" spans="1:18" ht="15.75" customHeight="1">
      <c r="A12409" s="26"/>
      <c r="B12409" s="86"/>
      <c r="D12409" s="26"/>
      <c r="F12409" s="87" t="str">
        <f t="shared" si="0"/>
        <v/>
      </c>
      <c r="H12409" s="26" t="str">
        <f t="shared" si="1"/>
        <v/>
      </c>
      <c r="I12409" s="26" t="str">
        <f t="shared" si="2"/>
        <v/>
      </c>
      <c r="J12409" s="86">
        <f t="shared" si="3"/>
        <v>0</v>
      </c>
      <c r="R12409" s="26"/>
    </row>
    <row r="12410" spans="1:18" ht="15.75" customHeight="1">
      <c r="A12410" s="26"/>
      <c r="B12410" s="86"/>
      <c r="D12410" s="26"/>
      <c r="F12410" s="87" t="str">
        <f t="shared" si="0"/>
        <v/>
      </c>
      <c r="H12410" s="26" t="str">
        <f t="shared" si="1"/>
        <v/>
      </c>
      <c r="I12410" s="26" t="str">
        <f t="shared" si="2"/>
        <v/>
      </c>
      <c r="J12410" s="86">
        <f t="shared" si="3"/>
        <v>0</v>
      </c>
      <c r="R12410" s="26"/>
    </row>
    <row r="12411" spans="1:18" ht="15.75" customHeight="1">
      <c r="A12411" s="26"/>
      <c r="B12411" s="86"/>
      <c r="D12411" s="26"/>
      <c r="F12411" s="87" t="str">
        <f t="shared" si="0"/>
        <v/>
      </c>
      <c r="H12411" s="26" t="str">
        <f t="shared" si="1"/>
        <v/>
      </c>
      <c r="I12411" s="26" t="str">
        <f t="shared" si="2"/>
        <v/>
      </c>
      <c r="J12411" s="86">
        <f t="shared" si="3"/>
        <v>0</v>
      </c>
      <c r="R12411" s="26"/>
    </row>
    <row r="12412" spans="1:18" ht="15.75" customHeight="1">
      <c r="A12412" s="26"/>
      <c r="B12412" s="86"/>
      <c r="D12412" s="26"/>
      <c r="F12412" s="87" t="str">
        <f t="shared" si="0"/>
        <v/>
      </c>
      <c r="H12412" s="26" t="str">
        <f t="shared" si="1"/>
        <v/>
      </c>
      <c r="I12412" s="26" t="str">
        <f t="shared" si="2"/>
        <v/>
      </c>
      <c r="J12412" s="86">
        <f t="shared" si="3"/>
        <v>0</v>
      </c>
      <c r="R12412" s="26"/>
    </row>
    <row r="12413" spans="1:18" ht="15.75" customHeight="1">
      <c r="A12413" s="26"/>
      <c r="B12413" s="86"/>
      <c r="D12413" s="26"/>
      <c r="F12413" s="87" t="str">
        <f t="shared" si="0"/>
        <v/>
      </c>
      <c r="H12413" s="26" t="str">
        <f t="shared" si="1"/>
        <v/>
      </c>
      <c r="I12413" s="26" t="str">
        <f t="shared" si="2"/>
        <v/>
      </c>
      <c r="J12413" s="86">
        <f t="shared" si="3"/>
        <v>0</v>
      </c>
      <c r="R12413" s="26"/>
    </row>
    <row r="12414" spans="1:18" ht="15.75" customHeight="1">
      <c r="A12414" s="26"/>
      <c r="B12414" s="86"/>
      <c r="D12414" s="26"/>
      <c r="F12414" s="87" t="str">
        <f t="shared" si="0"/>
        <v/>
      </c>
      <c r="H12414" s="26" t="str">
        <f t="shared" si="1"/>
        <v/>
      </c>
      <c r="I12414" s="26" t="str">
        <f t="shared" si="2"/>
        <v/>
      </c>
      <c r="J12414" s="86">
        <f t="shared" si="3"/>
        <v>0</v>
      </c>
      <c r="R12414" s="26"/>
    </row>
    <row r="12415" spans="1:18" ht="15.75" customHeight="1">
      <c r="A12415" s="26"/>
      <c r="B12415" s="86"/>
      <c r="D12415" s="26"/>
      <c r="F12415" s="87" t="str">
        <f t="shared" si="0"/>
        <v/>
      </c>
      <c r="H12415" s="26" t="str">
        <f t="shared" si="1"/>
        <v/>
      </c>
      <c r="I12415" s="26" t="str">
        <f t="shared" si="2"/>
        <v/>
      </c>
      <c r="J12415" s="86">
        <f t="shared" si="3"/>
        <v>0</v>
      </c>
      <c r="R12415" s="26"/>
    </row>
    <row r="12416" spans="1:18" ht="15.75" customHeight="1">
      <c r="A12416" s="26"/>
      <c r="B12416" s="86"/>
      <c r="D12416" s="26"/>
      <c r="F12416" s="87" t="str">
        <f t="shared" si="0"/>
        <v/>
      </c>
      <c r="H12416" s="26" t="str">
        <f t="shared" si="1"/>
        <v/>
      </c>
      <c r="I12416" s="26" t="str">
        <f t="shared" si="2"/>
        <v/>
      </c>
      <c r="J12416" s="86">
        <f t="shared" si="3"/>
        <v>0</v>
      </c>
      <c r="R12416" s="26"/>
    </row>
    <row r="12417" spans="1:18" ht="15.75" customHeight="1">
      <c r="A12417" s="26"/>
      <c r="B12417" s="86"/>
      <c r="D12417" s="26"/>
      <c r="F12417" s="87" t="str">
        <f t="shared" si="0"/>
        <v/>
      </c>
      <c r="H12417" s="26" t="str">
        <f t="shared" si="1"/>
        <v/>
      </c>
      <c r="I12417" s="26" t="str">
        <f t="shared" si="2"/>
        <v/>
      </c>
      <c r="J12417" s="86">
        <f t="shared" si="3"/>
        <v>0</v>
      </c>
      <c r="R12417" s="26"/>
    </row>
    <row r="12418" spans="1:18" ht="15.75" customHeight="1">
      <c r="A12418" s="26"/>
      <c r="B12418" s="86"/>
      <c r="D12418" s="26"/>
      <c r="F12418" s="87" t="str">
        <f t="shared" si="0"/>
        <v/>
      </c>
      <c r="H12418" s="26" t="str">
        <f t="shared" si="1"/>
        <v/>
      </c>
      <c r="I12418" s="26" t="str">
        <f t="shared" si="2"/>
        <v/>
      </c>
      <c r="J12418" s="86">
        <f t="shared" si="3"/>
        <v>0</v>
      </c>
      <c r="R12418" s="26"/>
    </row>
    <row r="12419" spans="1:18" ht="15.75" customHeight="1">
      <c r="A12419" s="26"/>
      <c r="B12419" s="86"/>
      <c r="D12419" s="26"/>
      <c r="F12419" s="87" t="str">
        <f t="shared" si="0"/>
        <v/>
      </c>
      <c r="H12419" s="26" t="str">
        <f t="shared" si="1"/>
        <v/>
      </c>
      <c r="I12419" s="26" t="str">
        <f t="shared" si="2"/>
        <v/>
      </c>
      <c r="J12419" s="86">
        <f t="shared" si="3"/>
        <v>0</v>
      </c>
      <c r="R12419" s="26"/>
    </row>
    <row r="12420" spans="1:18" ht="15.75" customHeight="1">
      <c r="A12420" s="26"/>
      <c r="B12420" s="86"/>
      <c r="D12420" s="26"/>
      <c r="F12420" s="87" t="str">
        <f t="shared" si="0"/>
        <v/>
      </c>
      <c r="H12420" s="26" t="str">
        <f t="shared" si="1"/>
        <v/>
      </c>
      <c r="I12420" s="26" t="str">
        <f t="shared" si="2"/>
        <v/>
      </c>
      <c r="J12420" s="86">
        <f t="shared" si="3"/>
        <v>0</v>
      </c>
      <c r="R12420" s="26"/>
    </row>
    <row r="12421" spans="1:18" ht="15.75" customHeight="1">
      <c r="A12421" s="26"/>
      <c r="B12421" s="86"/>
      <c r="D12421" s="26"/>
      <c r="F12421" s="87" t="str">
        <f t="shared" si="0"/>
        <v/>
      </c>
      <c r="H12421" s="26" t="str">
        <f t="shared" si="1"/>
        <v/>
      </c>
      <c r="I12421" s="26" t="str">
        <f t="shared" si="2"/>
        <v/>
      </c>
      <c r="J12421" s="86">
        <f t="shared" si="3"/>
        <v>0</v>
      </c>
      <c r="R12421" s="26"/>
    </row>
    <row r="12422" spans="1:18" ht="15.75" customHeight="1">
      <c r="A12422" s="26"/>
      <c r="B12422" s="86"/>
      <c r="D12422" s="26"/>
      <c r="F12422" s="87" t="str">
        <f t="shared" si="0"/>
        <v/>
      </c>
      <c r="H12422" s="26" t="str">
        <f t="shared" si="1"/>
        <v/>
      </c>
      <c r="I12422" s="26" t="str">
        <f t="shared" si="2"/>
        <v/>
      </c>
      <c r="J12422" s="86">
        <f t="shared" si="3"/>
        <v>0</v>
      </c>
      <c r="R12422" s="26"/>
    </row>
    <row r="12423" spans="1:18" ht="15.75" customHeight="1">
      <c r="A12423" s="26"/>
      <c r="B12423" s="86"/>
      <c r="D12423" s="26"/>
      <c r="F12423" s="87" t="str">
        <f t="shared" si="0"/>
        <v/>
      </c>
      <c r="H12423" s="26" t="str">
        <f t="shared" si="1"/>
        <v/>
      </c>
      <c r="I12423" s="26" t="str">
        <f t="shared" si="2"/>
        <v/>
      </c>
      <c r="J12423" s="86">
        <f t="shared" si="3"/>
        <v>0</v>
      </c>
      <c r="R12423" s="26"/>
    </row>
    <row r="12424" spans="1:18" ht="15.75" customHeight="1">
      <c r="A12424" s="26"/>
      <c r="B12424" s="86"/>
      <c r="D12424" s="26"/>
      <c r="F12424" s="87" t="str">
        <f t="shared" si="0"/>
        <v/>
      </c>
      <c r="H12424" s="26" t="str">
        <f t="shared" si="1"/>
        <v/>
      </c>
      <c r="I12424" s="26" t="str">
        <f t="shared" si="2"/>
        <v/>
      </c>
      <c r="J12424" s="86">
        <f t="shared" si="3"/>
        <v>0</v>
      </c>
      <c r="R12424" s="26"/>
    </row>
    <row r="12425" spans="1:18" ht="15.75" customHeight="1">
      <c r="A12425" s="26"/>
      <c r="B12425" s="86"/>
      <c r="D12425" s="26"/>
      <c r="F12425" s="87" t="str">
        <f t="shared" si="0"/>
        <v/>
      </c>
      <c r="H12425" s="26" t="str">
        <f t="shared" si="1"/>
        <v/>
      </c>
      <c r="I12425" s="26" t="str">
        <f t="shared" si="2"/>
        <v/>
      </c>
      <c r="J12425" s="86">
        <f t="shared" si="3"/>
        <v>0</v>
      </c>
      <c r="R12425" s="26"/>
    </row>
    <row r="12426" spans="1:18" ht="15.75" customHeight="1">
      <c r="A12426" s="26"/>
      <c r="B12426" s="86"/>
      <c r="D12426" s="26"/>
      <c r="F12426" s="87" t="str">
        <f t="shared" si="0"/>
        <v/>
      </c>
      <c r="H12426" s="26" t="str">
        <f t="shared" si="1"/>
        <v/>
      </c>
      <c r="I12426" s="26" t="str">
        <f t="shared" si="2"/>
        <v/>
      </c>
      <c r="J12426" s="86">
        <f t="shared" si="3"/>
        <v>0</v>
      </c>
      <c r="R12426" s="26"/>
    </row>
    <row r="12427" spans="1:18" ht="15.75" customHeight="1">
      <c r="A12427" s="26"/>
      <c r="B12427" s="86"/>
      <c r="D12427" s="26"/>
      <c r="F12427" s="87" t="str">
        <f t="shared" si="0"/>
        <v/>
      </c>
      <c r="H12427" s="26" t="str">
        <f t="shared" si="1"/>
        <v/>
      </c>
      <c r="I12427" s="26" t="str">
        <f t="shared" si="2"/>
        <v/>
      </c>
      <c r="J12427" s="86">
        <f t="shared" si="3"/>
        <v>0</v>
      </c>
      <c r="R12427" s="26"/>
    </row>
    <row r="12428" spans="1:18" ht="15.75" customHeight="1">
      <c r="A12428" s="26"/>
      <c r="B12428" s="86"/>
      <c r="D12428" s="26"/>
      <c r="F12428" s="87" t="str">
        <f t="shared" si="0"/>
        <v/>
      </c>
      <c r="H12428" s="26" t="str">
        <f t="shared" si="1"/>
        <v/>
      </c>
      <c r="I12428" s="26" t="str">
        <f t="shared" si="2"/>
        <v/>
      </c>
      <c r="J12428" s="86">
        <f t="shared" si="3"/>
        <v>0</v>
      </c>
      <c r="R12428" s="26"/>
    </row>
    <row r="12429" spans="1:18" ht="15.75" customHeight="1">
      <c r="A12429" s="26"/>
      <c r="B12429" s="86"/>
      <c r="D12429" s="26"/>
      <c r="F12429" s="87" t="str">
        <f t="shared" si="0"/>
        <v/>
      </c>
      <c r="H12429" s="26" t="str">
        <f t="shared" si="1"/>
        <v/>
      </c>
      <c r="I12429" s="26" t="str">
        <f t="shared" si="2"/>
        <v/>
      </c>
      <c r="J12429" s="86">
        <f t="shared" si="3"/>
        <v>0</v>
      </c>
      <c r="R12429" s="26"/>
    </row>
    <row r="12430" spans="1:18" ht="15.75" customHeight="1">
      <c r="A12430" s="26"/>
      <c r="B12430" s="86"/>
      <c r="D12430" s="26"/>
      <c r="F12430" s="87" t="str">
        <f t="shared" si="0"/>
        <v/>
      </c>
      <c r="H12430" s="26" t="str">
        <f t="shared" si="1"/>
        <v/>
      </c>
      <c r="I12430" s="26" t="str">
        <f t="shared" si="2"/>
        <v/>
      </c>
      <c r="J12430" s="86">
        <f t="shared" si="3"/>
        <v>0</v>
      </c>
      <c r="R12430" s="26"/>
    </row>
    <row r="12431" spans="1:18" ht="15.75" customHeight="1">
      <c r="A12431" s="26"/>
      <c r="B12431" s="86"/>
      <c r="D12431" s="26"/>
      <c r="F12431" s="87" t="str">
        <f t="shared" si="0"/>
        <v/>
      </c>
      <c r="H12431" s="26" t="str">
        <f t="shared" si="1"/>
        <v/>
      </c>
      <c r="I12431" s="26" t="str">
        <f t="shared" si="2"/>
        <v/>
      </c>
      <c r="J12431" s="86">
        <f t="shared" si="3"/>
        <v>0</v>
      </c>
      <c r="R12431" s="26"/>
    </row>
    <row r="12432" spans="1:18" ht="15.75" customHeight="1">
      <c r="A12432" s="26"/>
      <c r="B12432" s="86"/>
      <c r="D12432" s="26"/>
      <c r="F12432" s="87" t="str">
        <f t="shared" si="0"/>
        <v/>
      </c>
      <c r="H12432" s="26" t="str">
        <f t="shared" si="1"/>
        <v/>
      </c>
      <c r="I12432" s="26" t="str">
        <f t="shared" si="2"/>
        <v/>
      </c>
      <c r="J12432" s="86">
        <f t="shared" si="3"/>
        <v>0</v>
      </c>
      <c r="R12432" s="26"/>
    </row>
    <row r="12433" spans="1:18" ht="15.75" customHeight="1">
      <c r="A12433" s="26"/>
      <c r="B12433" s="86"/>
      <c r="D12433" s="26"/>
      <c r="F12433" s="87" t="str">
        <f t="shared" si="0"/>
        <v/>
      </c>
      <c r="H12433" s="26" t="str">
        <f t="shared" si="1"/>
        <v/>
      </c>
      <c r="I12433" s="26" t="str">
        <f t="shared" si="2"/>
        <v/>
      </c>
      <c r="J12433" s="86">
        <f t="shared" si="3"/>
        <v>0</v>
      </c>
      <c r="R12433" s="26"/>
    </row>
    <row r="12434" spans="1:18" ht="15.75" customHeight="1">
      <c r="A12434" s="26"/>
      <c r="B12434" s="86"/>
      <c r="D12434" s="26"/>
      <c r="F12434" s="87" t="str">
        <f t="shared" si="0"/>
        <v/>
      </c>
      <c r="H12434" s="26" t="str">
        <f t="shared" si="1"/>
        <v/>
      </c>
      <c r="I12434" s="26" t="str">
        <f t="shared" si="2"/>
        <v/>
      </c>
      <c r="J12434" s="86">
        <f t="shared" si="3"/>
        <v>0</v>
      </c>
      <c r="R12434" s="26"/>
    </row>
    <row r="12435" spans="1:18" ht="15.75" customHeight="1">
      <c r="A12435" s="26"/>
      <c r="B12435" s="86"/>
      <c r="D12435" s="26"/>
      <c r="F12435" s="87" t="str">
        <f t="shared" si="0"/>
        <v/>
      </c>
      <c r="H12435" s="26" t="str">
        <f t="shared" si="1"/>
        <v/>
      </c>
      <c r="I12435" s="26" t="str">
        <f t="shared" si="2"/>
        <v/>
      </c>
      <c r="J12435" s="86">
        <f t="shared" si="3"/>
        <v>0</v>
      </c>
      <c r="R12435" s="26"/>
    </row>
    <row r="12436" spans="1:18" ht="15.75" customHeight="1">
      <c r="A12436" s="26"/>
      <c r="B12436" s="86"/>
      <c r="D12436" s="26"/>
      <c r="F12436" s="87" t="str">
        <f t="shared" si="0"/>
        <v/>
      </c>
      <c r="H12436" s="26" t="str">
        <f t="shared" si="1"/>
        <v/>
      </c>
      <c r="I12436" s="26" t="str">
        <f t="shared" si="2"/>
        <v/>
      </c>
      <c r="J12436" s="86">
        <f t="shared" si="3"/>
        <v>0</v>
      </c>
      <c r="R12436" s="26"/>
    </row>
    <row r="12437" spans="1:18" ht="15.75" customHeight="1">
      <c r="A12437" s="26"/>
      <c r="B12437" s="86"/>
      <c r="D12437" s="26"/>
      <c r="F12437" s="87" t="str">
        <f t="shared" si="0"/>
        <v/>
      </c>
      <c r="H12437" s="26" t="str">
        <f t="shared" si="1"/>
        <v/>
      </c>
      <c r="I12437" s="26" t="str">
        <f t="shared" si="2"/>
        <v/>
      </c>
      <c r="J12437" s="86">
        <f t="shared" si="3"/>
        <v>0</v>
      </c>
      <c r="R12437" s="26"/>
    </row>
    <row r="12438" spans="1:18" ht="15.75" customHeight="1">
      <c r="A12438" s="26"/>
      <c r="B12438" s="86"/>
      <c r="D12438" s="26"/>
      <c r="F12438" s="87" t="str">
        <f t="shared" si="0"/>
        <v/>
      </c>
      <c r="H12438" s="26" t="str">
        <f t="shared" si="1"/>
        <v/>
      </c>
      <c r="I12438" s="26" t="str">
        <f t="shared" si="2"/>
        <v/>
      </c>
      <c r="J12438" s="86">
        <f t="shared" si="3"/>
        <v>0</v>
      </c>
      <c r="R12438" s="26"/>
    </row>
    <row r="12439" spans="1:18" ht="15.75" customHeight="1">
      <c r="A12439" s="26"/>
      <c r="B12439" s="86"/>
      <c r="D12439" s="26"/>
      <c r="F12439" s="87" t="str">
        <f t="shared" si="0"/>
        <v/>
      </c>
      <c r="H12439" s="26" t="str">
        <f t="shared" si="1"/>
        <v/>
      </c>
      <c r="I12439" s="26" t="str">
        <f t="shared" si="2"/>
        <v/>
      </c>
      <c r="J12439" s="86">
        <f t="shared" si="3"/>
        <v>0</v>
      </c>
      <c r="R12439" s="26"/>
    </row>
    <row r="12440" spans="1:18" ht="15.75" customHeight="1">
      <c r="A12440" s="26"/>
      <c r="B12440" s="86"/>
      <c r="D12440" s="26"/>
      <c r="F12440" s="87" t="str">
        <f t="shared" si="0"/>
        <v/>
      </c>
      <c r="H12440" s="26" t="str">
        <f t="shared" si="1"/>
        <v/>
      </c>
      <c r="I12440" s="26" t="str">
        <f t="shared" si="2"/>
        <v/>
      </c>
      <c r="J12440" s="86">
        <f t="shared" si="3"/>
        <v>0</v>
      </c>
      <c r="R12440" s="26"/>
    </row>
    <row r="12441" spans="1:18" ht="15.75" customHeight="1">
      <c r="A12441" s="26"/>
      <c r="B12441" s="86"/>
      <c r="D12441" s="26"/>
      <c r="F12441" s="87" t="str">
        <f t="shared" si="0"/>
        <v/>
      </c>
      <c r="H12441" s="26" t="str">
        <f t="shared" si="1"/>
        <v/>
      </c>
      <c r="I12441" s="26" t="str">
        <f t="shared" si="2"/>
        <v/>
      </c>
      <c r="J12441" s="86">
        <f t="shared" si="3"/>
        <v>0</v>
      </c>
      <c r="R12441" s="26"/>
    </row>
    <row r="12442" spans="1:18" ht="15.75" customHeight="1">
      <c r="A12442" s="26"/>
      <c r="B12442" s="86"/>
      <c r="D12442" s="26"/>
      <c r="F12442" s="87" t="str">
        <f t="shared" si="0"/>
        <v/>
      </c>
      <c r="H12442" s="26" t="str">
        <f t="shared" si="1"/>
        <v/>
      </c>
      <c r="I12442" s="26" t="str">
        <f t="shared" si="2"/>
        <v/>
      </c>
      <c r="J12442" s="86">
        <f t="shared" si="3"/>
        <v>0</v>
      </c>
      <c r="R12442" s="26"/>
    </row>
    <row r="12443" spans="1:18" ht="15.75" customHeight="1">
      <c r="A12443" s="26"/>
      <c r="B12443" s="86"/>
      <c r="D12443" s="26"/>
      <c r="F12443" s="87" t="str">
        <f t="shared" si="0"/>
        <v/>
      </c>
      <c r="H12443" s="26" t="str">
        <f t="shared" si="1"/>
        <v/>
      </c>
      <c r="I12443" s="26" t="str">
        <f t="shared" si="2"/>
        <v/>
      </c>
      <c r="J12443" s="86">
        <f t="shared" si="3"/>
        <v>0</v>
      </c>
      <c r="R12443" s="26"/>
    </row>
    <row r="12444" spans="1:18" ht="15.75" customHeight="1">
      <c r="A12444" s="26"/>
      <c r="B12444" s="86"/>
      <c r="D12444" s="26"/>
      <c r="F12444" s="87" t="str">
        <f t="shared" si="0"/>
        <v/>
      </c>
      <c r="H12444" s="26" t="str">
        <f t="shared" si="1"/>
        <v/>
      </c>
      <c r="I12444" s="26" t="str">
        <f t="shared" si="2"/>
        <v/>
      </c>
      <c r="J12444" s="86">
        <f t="shared" si="3"/>
        <v>0</v>
      </c>
      <c r="R12444" s="26"/>
    </row>
    <row r="12445" spans="1:18" ht="15.75" customHeight="1">
      <c r="A12445" s="26"/>
      <c r="B12445" s="86"/>
      <c r="D12445" s="26"/>
      <c r="F12445" s="87" t="str">
        <f t="shared" si="0"/>
        <v/>
      </c>
      <c r="H12445" s="26" t="str">
        <f t="shared" si="1"/>
        <v/>
      </c>
      <c r="I12445" s="26" t="str">
        <f t="shared" si="2"/>
        <v/>
      </c>
      <c r="J12445" s="86">
        <f t="shared" si="3"/>
        <v>0</v>
      </c>
      <c r="R12445" s="26"/>
    </row>
    <row r="12446" spans="1:18" ht="15.75" customHeight="1">
      <c r="A12446" s="26"/>
      <c r="B12446" s="86"/>
      <c r="D12446" s="26"/>
      <c r="F12446" s="87" t="str">
        <f t="shared" si="0"/>
        <v/>
      </c>
      <c r="H12446" s="26" t="str">
        <f t="shared" si="1"/>
        <v/>
      </c>
      <c r="I12446" s="26" t="str">
        <f t="shared" si="2"/>
        <v/>
      </c>
      <c r="J12446" s="86">
        <f t="shared" si="3"/>
        <v>0</v>
      </c>
      <c r="R12446" s="26"/>
    </row>
    <row r="12447" spans="1:18" ht="15.75" customHeight="1">
      <c r="A12447" s="26"/>
      <c r="B12447" s="86"/>
      <c r="D12447" s="26"/>
      <c r="F12447" s="87" t="str">
        <f t="shared" si="0"/>
        <v/>
      </c>
      <c r="H12447" s="26" t="str">
        <f t="shared" si="1"/>
        <v/>
      </c>
      <c r="I12447" s="26" t="str">
        <f t="shared" si="2"/>
        <v/>
      </c>
      <c r="J12447" s="86">
        <f t="shared" si="3"/>
        <v>0</v>
      </c>
      <c r="R12447" s="26"/>
    </row>
    <row r="12448" spans="1:18" ht="15.75" customHeight="1">
      <c r="A12448" s="26"/>
      <c r="B12448" s="86"/>
      <c r="D12448" s="26"/>
      <c r="F12448" s="87" t="str">
        <f t="shared" si="0"/>
        <v/>
      </c>
      <c r="H12448" s="26" t="str">
        <f t="shared" si="1"/>
        <v/>
      </c>
      <c r="I12448" s="26" t="str">
        <f t="shared" si="2"/>
        <v/>
      </c>
      <c r="J12448" s="86">
        <f t="shared" si="3"/>
        <v>0</v>
      </c>
      <c r="R12448" s="26"/>
    </row>
    <row r="12449" spans="1:18" ht="15.75" customHeight="1">
      <c r="A12449" s="26"/>
      <c r="B12449" s="86"/>
      <c r="D12449" s="26"/>
      <c r="F12449" s="87" t="str">
        <f t="shared" si="0"/>
        <v/>
      </c>
      <c r="H12449" s="26" t="str">
        <f t="shared" si="1"/>
        <v/>
      </c>
      <c r="I12449" s="26" t="str">
        <f t="shared" si="2"/>
        <v/>
      </c>
      <c r="J12449" s="86">
        <f t="shared" si="3"/>
        <v>0</v>
      </c>
      <c r="R12449" s="26"/>
    </row>
    <row r="12450" spans="1:18" ht="15.75" customHeight="1">
      <c r="A12450" s="26"/>
      <c r="B12450" s="86"/>
      <c r="D12450" s="26"/>
      <c r="F12450" s="87" t="str">
        <f t="shared" si="0"/>
        <v/>
      </c>
      <c r="H12450" s="26" t="str">
        <f t="shared" si="1"/>
        <v/>
      </c>
      <c r="I12450" s="26" t="str">
        <f t="shared" si="2"/>
        <v/>
      </c>
      <c r="J12450" s="86">
        <f t="shared" si="3"/>
        <v>0</v>
      </c>
      <c r="R12450" s="26"/>
    </row>
    <row r="12451" spans="1:18" ht="15.75" customHeight="1">
      <c r="A12451" s="26"/>
      <c r="B12451" s="86"/>
      <c r="D12451" s="26"/>
      <c r="F12451" s="87" t="str">
        <f t="shared" si="0"/>
        <v/>
      </c>
      <c r="H12451" s="26" t="str">
        <f t="shared" si="1"/>
        <v/>
      </c>
      <c r="I12451" s="26" t="str">
        <f t="shared" si="2"/>
        <v/>
      </c>
      <c r="J12451" s="86">
        <f t="shared" si="3"/>
        <v>0</v>
      </c>
      <c r="R12451" s="26"/>
    </row>
    <row r="12452" spans="1:18" ht="15.75" customHeight="1">
      <c r="A12452" s="26"/>
      <c r="B12452" s="86"/>
      <c r="D12452" s="26"/>
      <c r="F12452" s="87" t="str">
        <f t="shared" si="0"/>
        <v/>
      </c>
      <c r="H12452" s="26" t="str">
        <f t="shared" si="1"/>
        <v/>
      </c>
      <c r="I12452" s="26" t="str">
        <f t="shared" si="2"/>
        <v/>
      </c>
      <c r="J12452" s="86">
        <f t="shared" si="3"/>
        <v>0</v>
      </c>
      <c r="R12452" s="26"/>
    </row>
    <row r="12453" spans="1:18" ht="15.75" customHeight="1">
      <c r="A12453" s="26"/>
      <c r="B12453" s="86"/>
      <c r="D12453" s="26"/>
      <c r="F12453" s="87" t="str">
        <f t="shared" si="0"/>
        <v/>
      </c>
      <c r="H12453" s="26" t="str">
        <f t="shared" si="1"/>
        <v/>
      </c>
      <c r="I12453" s="26" t="str">
        <f t="shared" si="2"/>
        <v/>
      </c>
      <c r="J12453" s="86">
        <f t="shared" si="3"/>
        <v>0</v>
      </c>
      <c r="R12453" s="26"/>
    </row>
    <row r="12454" spans="1:18" ht="15.75" customHeight="1">
      <c r="A12454" s="26"/>
      <c r="B12454" s="86"/>
      <c r="D12454" s="26"/>
      <c r="F12454" s="87" t="str">
        <f t="shared" si="0"/>
        <v/>
      </c>
      <c r="H12454" s="26" t="str">
        <f t="shared" si="1"/>
        <v/>
      </c>
      <c r="I12454" s="26" t="str">
        <f t="shared" si="2"/>
        <v/>
      </c>
      <c r="J12454" s="86">
        <f t="shared" si="3"/>
        <v>0</v>
      </c>
      <c r="R12454" s="26"/>
    </row>
    <row r="12455" spans="1:18" ht="15.75" customHeight="1">
      <c r="A12455" s="26"/>
      <c r="B12455" s="86"/>
      <c r="D12455" s="26"/>
      <c r="F12455" s="87" t="str">
        <f t="shared" si="0"/>
        <v/>
      </c>
      <c r="H12455" s="26" t="str">
        <f t="shared" si="1"/>
        <v/>
      </c>
      <c r="I12455" s="26" t="str">
        <f t="shared" si="2"/>
        <v/>
      </c>
      <c r="J12455" s="86">
        <f t="shared" si="3"/>
        <v>0</v>
      </c>
      <c r="R12455" s="26"/>
    </row>
    <row r="12456" spans="1:18" ht="15.75" customHeight="1">
      <c r="A12456" s="26"/>
      <c r="B12456" s="86"/>
      <c r="D12456" s="26"/>
      <c r="F12456" s="87" t="str">
        <f t="shared" si="0"/>
        <v/>
      </c>
      <c r="H12456" s="26" t="str">
        <f t="shared" si="1"/>
        <v/>
      </c>
      <c r="I12456" s="26" t="str">
        <f t="shared" si="2"/>
        <v/>
      </c>
      <c r="J12456" s="86">
        <f t="shared" si="3"/>
        <v>0</v>
      </c>
      <c r="R12456" s="26"/>
    </row>
    <row r="12457" spans="1:18" ht="15.75" customHeight="1">
      <c r="A12457" s="26"/>
      <c r="B12457" s="86"/>
      <c r="D12457" s="26"/>
      <c r="F12457" s="87" t="str">
        <f t="shared" si="0"/>
        <v/>
      </c>
      <c r="H12457" s="26" t="str">
        <f t="shared" si="1"/>
        <v/>
      </c>
      <c r="I12457" s="26" t="str">
        <f t="shared" si="2"/>
        <v/>
      </c>
      <c r="J12457" s="86">
        <f t="shared" si="3"/>
        <v>0</v>
      </c>
      <c r="R12457" s="26"/>
    </row>
    <row r="12458" spans="1:18" ht="15.75" customHeight="1">
      <c r="A12458" s="26"/>
      <c r="B12458" s="86"/>
      <c r="D12458" s="26"/>
      <c r="F12458" s="87" t="str">
        <f t="shared" si="0"/>
        <v/>
      </c>
      <c r="H12458" s="26" t="str">
        <f t="shared" si="1"/>
        <v/>
      </c>
      <c r="I12458" s="26" t="str">
        <f t="shared" si="2"/>
        <v/>
      </c>
      <c r="J12458" s="86">
        <f t="shared" si="3"/>
        <v>0</v>
      </c>
      <c r="R12458" s="26"/>
    </row>
    <row r="12459" spans="1:18" ht="15.75" customHeight="1">
      <c r="A12459" s="26"/>
      <c r="B12459" s="86"/>
      <c r="D12459" s="26"/>
      <c r="F12459" s="87" t="str">
        <f t="shared" si="0"/>
        <v/>
      </c>
      <c r="H12459" s="26" t="str">
        <f t="shared" si="1"/>
        <v/>
      </c>
      <c r="I12459" s="26" t="str">
        <f t="shared" si="2"/>
        <v/>
      </c>
      <c r="J12459" s="86">
        <f t="shared" si="3"/>
        <v>0</v>
      </c>
      <c r="R12459" s="26"/>
    </row>
    <row r="12460" spans="1:18" ht="15.75" customHeight="1">
      <c r="A12460" s="26"/>
      <c r="B12460" s="86"/>
      <c r="D12460" s="26"/>
      <c r="F12460" s="87" t="str">
        <f t="shared" si="0"/>
        <v/>
      </c>
      <c r="H12460" s="26" t="str">
        <f t="shared" si="1"/>
        <v/>
      </c>
      <c r="I12460" s="26" t="str">
        <f t="shared" si="2"/>
        <v/>
      </c>
      <c r="J12460" s="86">
        <f t="shared" si="3"/>
        <v>0</v>
      </c>
      <c r="R12460" s="26"/>
    </row>
    <row r="12461" spans="1:18" ht="15.75" customHeight="1">
      <c r="A12461" s="26"/>
      <c r="B12461" s="86"/>
      <c r="D12461" s="26"/>
      <c r="F12461" s="87" t="str">
        <f t="shared" si="0"/>
        <v/>
      </c>
      <c r="H12461" s="26" t="str">
        <f t="shared" si="1"/>
        <v/>
      </c>
      <c r="I12461" s="26" t="str">
        <f t="shared" si="2"/>
        <v/>
      </c>
      <c r="J12461" s="86">
        <f t="shared" si="3"/>
        <v>0</v>
      </c>
      <c r="R12461" s="26"/>
    </row>
    <row r="12462" spans="1:18" ht="15.75" customHeight="1">
      <c r="A12462" s="26"/>
      <c r="B12462" s="86"/>
      <c r="D12462" s="26"/>
      <c r="F12462" s="87" t="str">
        <f t="shared" si="0"/>
        <v/>
      </c>
      <c r="H12462" s="26" t="str">
        <f t="shared" si="1"/>
        <v/>
      </c>
      <c r="I12462" s="26" t="str">
        <f t="shared" si="2"/>
        <v/>
      </c>
      <c r="J12462" s="86">
        <f t="shared" si="3"/>
        <v>0</v>
      </c>
      <c r="R12462" s="26"/>
    </row>
    <row r="12463" spans="1:18" ht="15.75" customHeight="1">
      <c r="A12463" s="26"/>
      <c r="B12463" s="86"/>
      <c r="D12463" s="26"/>
      <c r="F12463" s="87" t="str">
        <f t="shared" si="0"/>
        <v/>
      </c>
      <c r="H12463" s="26" t="str">
        <f t="shared" si="1"/>
        <v/>
      </c>
      <c r="I12463" s="26" t="str">
        <f t="shared" si="2"/>
        <v/>
      </c>
      <c r="J12463" s="86">
        <f t="shared" si="3"/>
        <v>0</v>
      </c>
      <c r="R12463" s="26"/>
    </row>
    <row r="12464" spans="1:18" ht="15.75" customHeight="1">
      <c r="A12464" s="26"/>
      <c r="B12464" s="86"/>
      <c r="D12464" s="26"/>
      <c r="F12464" s="87" t="str">
        <f t="shared" si="0"/>
        <v/>
      </c>
      <c r="H12464" s="26" t="str">
        <f t="shared" si="1"/>
        <v/>
      </c>
      <c r="I12464" s="26" t="str">
        <f t="shared" si="2"/>
        <v/>
      </c>
      <c r="J12464" s="86">
        <f t="shared" si="3"/>
        <v>0</v>
      </c>
      <c r="R12464" s="26"/>
    </row>
    <row r="12465" spans="1:18" ht="15.75" customHeight="1">
      <c r="A12465" s="26"/>
      <c r="B12465" s="86"/>
      <c r="D12465" s="26"/>
      <c r="F12465" s="87" t="str">
        <f t="shared" si="0"/>
        <v/>
      </c>
      <c r="H12465" s="26" t="str">
        <f t="shared" si="1"/>
        <v/>
      </c>
      <c r="I12465" s="26" t="str">
        <f t="shared" si="2"/>
        <v/>
      </c>
      <c r="J12465" s="86">
        <f t="shared" si="3"/>
        <v>0</v>
      </c>
      <c r="R12465" s="26"/>
    </row>
    <row r="12466" spans="1:18" ht="15.75" customHeight="1">
      <c r="A12466" s="26"/>
      <c r="B12466" s="86"/>
      <c r="D12466" s="26"/>
      <c r="F12466" s="87" t="str">
        <f t="shared" si="0"/>
        <v/>
      </c>
      <c r="H12466" s="26" t="str">
        <f t="shared" si="1"/>
        <v/>
      </c>
      <c r="I12466" s="26" t="str">
        <f t="shared" si="2"/>
        <v/>
      </c>
      <c r="J12466" s="86">
        <f t="shared" si="3"/>
        <v>0</v>
      </c>
      <c r="R12466" s="26"/>
    </row>
    <row r="12467" spans="1:18" ht="15.75" customHeight="1">
      <c r="A12467" s="26"/>
      <c r="B12467" s="86"/>
      <c r="D12467" s="26"/>
      <c r="F12467" s="87" t="str">
        <f t="shared" si="0"/>
        <v/>
      </c>
      <c r="H12467" s="26" t="str">
        <f t="shared" si="1"/>
        <v/>
      </c>
      <c r="I12467" s="26" t="str">
        <f t="shared" si="2"/>
        <v/>
      </c>
      <c r="J12467" s="86">
        <f t="shared" si="3"/>
        <v>0</v>
      </c>
      <c r="R12467" s="26"/>
    </row>
    <row r="12468" spans="1:18" ht="15.75" customHeight="1">
      <c r="A12468" s="26"/>
      <c r="B12468" s="86"/>
      <c r="D12468" s="26"/>
      <c r="F12468" s="87" t="str">
        <f t="shared" si="0"/>
        <v/>
      </c>
      <c r="H12468" s="26" t="str">
        <f t="shared" si="1"/>
        <v/>
      </c>
      <c r="I12468" s="26" t="str">
        <f t="shared" si="2"/>
        <v/>
      </c>
      <c r="J12468" s="86">
        <f t="shared" si="3"/>
        <v>0</v>
      </c>
      <c r="R12468" s="26"/>
    </row>
    <row r="12469" spans="1:18" ht="15.75" customHeight="1">
      <c r="A12469" s="26"/>
      <c r="B12469" s="86"/>
      <c r="D12469" s="26"/>
      <c r="F12469" s="87" t="str">
        <f t="shared" si="0"/>
        <v/>
      </c>
      <c r="H12469" s="26" t="str">
        <f t="shared" si="1"/>
        <v/>
      </c>
      <c r="I12469" s="26" t="str">
        <f t="shared" si="2"/>
        <v/>
      </c>
      <c r="J12469" s="86">
        <f t="shared" si="3"/>
        <v>0</v>
      </c>
      <c r="R12469" s="26"/>
    </row>
    <row r="12470" spans="1:18" ht="15.75" customHeight="1">
      <c r="A12470" s="26"/>
      <c r="B12470" s="86"/>
      <c r="D12470" s="26"/>
      <c r="F12470" s="87" t="str">
        <f t="shared" si="0"/>
        <v/>
      </c>
      <c r="H12470" s="26" t="str">
        <f t="shared" si="1"/>
        <v/>
      </c>
      <c r="I12470" s="26" t="str">
        <f t="shared" si="2"/>
        <v/>
      </c>
      <c r="J12470" s="86">
        <f t="shared" si="3"/>
        <v>0</v>
      </c>
      <c r="R12470" s="26"/>
    </row>
    <row r="12471" spans="1:18" ht="15.75" customHeight="1">
      <c r="A12471" s="26"/>
      <c r="B12471" s="86"/>
      <c r="D12471" s="26"/>
      <c r="F12471" s="87" t="str">
        <f t="shared" si="0"/>
        <v/>
      </c>
      <c r="H12471" s="26" t="str">
        <f t="shared" si="1"/>
        <v/>
      </c>
      <c r="I12471" s="26" t="str">
        <f t="shared" si="2"/>
        <v/>
      </c>
      <c r="J12471" s="86">
        <f t="shared" si="3"/>
        <v>0</v>
      </c>
      <c r="R12471" s="26"/>
    </row>
    <row r="12472" spans="1:18" ht="15.75" customHeight="1">
      <c r="A12472" s="26"/>
      <c r="B12472" s="86"/>
      <c r="D12472" s="26"/>
      <c r="F12472" s="87" t="str">
        <f t="shared" si="0"/>
        <v/>
      </c>
      <c r="H12472" s="26" t="str">
        <f t="shared" si="1"/>
        <v/>
      </c>
      <c r="I12472" s="26" t="str">
        <f t="shared" si="2"/>
        <v/>
      </c>
      <c r="J12472" s="86">
        <f t="shared" si="3"/>
        <v>0</v>
      </c>
      <c r="R12472" s="26"/>
    </row>
    <row r="12473" spans="1:18" ht="15.75" customHeight="1">
      <c r="A12473" s="26"/>
      <c r="B12473" s="86"/>
      <c r="D12473" s="26"/>
      <c r="F12473" s="87" t="str">
        <f t="shared" si="0"/>
        <v/>
      </c>
      <c r="H12473" s="26" t="str">
        <f t="shared" si="1"/>
        <v/>
      </c>
      <c r="I12473" s="26" t="str">
        <f t="shared" si="2"/>
        <v/>
      </c>
      <c r="J12473" s="86">
        <f t="shared" si="3"/>
        <v>0</v>
      </c>
      <c r="R12473" s="26"/>
    </row>
    <row r="12474" spans="1:18" ht="15.75" customHeight="1">
      <c r="A12474" s="26"/>
      <c r="B12474" s="86"/>
      <c r="D12474" s="26"/>
      <c r="F12474" s="87" t="str">
        <f t="shared" si="0"/>
        <v/>
      </c>
      <c r="H12474" s="26" t="str">
        <f t="shared" si="1"/>
        <v/>
      </c>
      <c r="I12474" s="26" t="str">
        <f t="shared" si="2"/>
        <v/>
      </c>
      <c r="J12474" s="86">
        <f t="shared" si="3"/>
        <v>0</v>
      </c>
      <c r="R12474" s="26"/>
    </row>
    <row r="12475" spans="1:18" ht="15.75" customHeight="1">
      <c r="A12475" s="26"/>
      <c r="B12475" s="86"/>
      <c r="D12475" s="26"/>
      <c r="F12475" s="87" t="str">
        <f t="shared" si="0"/>
        <v/>
      </c>
      <c r="H12475" s="26" t="str">
        <f t="shared" si="1"/>
        <v/>
      </c>
      <c r="I12475" s="26" t="str">
        <f t="shared" si="2"/>
        <v/>
      </c>
      <c r="J12475" s="86">
        <f t="shared" si="3"/>
        <v>0</v>
      </c>
      <c r="R12475" s="26"/>
    </row>
    <row r="12476" spans="1:18" ht="15.75" customHeight="1">
      <c r="A12476" s="26"/>
      <c r="B12476" s="86"/>
      <c r="D12476" s="26"/>
      <c r="F12476" s="87" t="str">
        <f t="shared" si="0"/>
        <v/>
      </c>
      <c r="H12476" s="26" t="str">
        <f t="shared" si="1"/>
        <v/>
      </c>
      <c r="I12476" s="26" t="str">
        <f t="shared" si="2"/>
        <v/>
      </c>
      <c r="J12476" s="86">
        <f t="shared" si="3"/>
        <v>0</v>
      </c>
      <c r="R12476" s="26"/>
    </row>
    <row r="12477" spans="1:18" ht="15.75" customHeight="1">
      <c r="A12477" s="26"/>
      <c r="B12477" s="86"/>
      <c r="D12477" s="26"/>
      <c r="F12477" s="87" t="str">
        <f t="shared" si="0"/>
        <v/>
      </c>
      <c r="H12477" s="26" t="str">
        <f t="shared" si="1"/>
        <v/>
      </c>
      <c r="I12477" s="26" t="str">
        <f t="shared" si="2"/>
        <v/>
      </c>
      <c r="J12477" s="86">
        <f t="shared" si="3"/>
        <v>0</v>
      </c>
      <c r="R12477" s="26"/>
    </row>
    <row r="12478" spans="1:18" ht="15.75" customHeight="1">
      <c r="A12478" s="26"/>
      <c r="B12478" s="86"/>
      <c r="D12478" s="26"/>
      <c r="F12478" s="87" t="str">
        <f t="shared" si="0"/>
        <v/>
      </c>
      <c r="H12478" s="26" t="str">
        <f t="shared" si="1"/>
        <v/>
      </c>
      <c r="I12478" s="26" t="str">
        <f t="shared" si="2"/>
        <v/>
      </c>
      <c r="J12478" s="86">
        <f t="shared" si="3"/>
        <v>0</v>
      </c>
      <c r="R12478" s="26"/>
    </row>
    <row r="12479" spans="1:18" ht="15.75" customHeight="1">
      <c r="A12479" s="26"/>
      <c r="B12479" s="86"/>
      <c r="D12479" s="26"/>
      <c r="F12479" s="87" t="str">
        <f t="shared" si="0"/>
        <v/>
      </c>
      <c r="H12479" s="26" t="str">
        <f t="shared" si="1"/>
        <v/>
      </c>
      <c r="I12479" s="26" t="str">
        <f t="shared" si="2"/>
        <v/>
      </c>
      <c r="J12479" s="86">
        <f t="shared" si="3"/>
        <v>0</v>
      </c>
      <c r="R12479" s="26"/>
    </row>
    <row r="12480" spans="1:18" ht="15.75" customHeight="1">
      <c r="A12480" s="26"/>
      <c r="B12480" s="86"/>
      <c r="D12480" s="26"/>
      <c r="F12480" s="87" t="str">
        <f t="shared" si="0"/>
        <v/>
      </c>
      <c r="H12480" s="26" t="str">
        <f t="shared" si="1"/>
        <v/>
      </c>
      <c r="I12480" s="26" t="str">
        <f t="shared" si="2"/>
        <v/>
      </c>
      <c r="J12480" s="86">
        <f t="shared" si="3"/>
        <v>0</v>
      </c>
      <c r="R12480" s="26"/>
    </row>
    <row r="12481" spans="1:18" ht="15.75" customHeight="1">
      <c r="A12481" s="26"/>
      <c r="B12481" s="86"/>
      <c r="D12481" s="26"/>
      <c r="F12481" s="87" t="str">
        <f t="shared" si="0"/>
        <v/>
      </c>
      <c r="H12481" s="26" t="str">
        <f t="shared" si="1"/>
        <v/>
      </c>
      <c r="I12481" s="26" t="str">
        <f t="shared" si="2"/>
        <v/>
      </c>
      <c r="J12481" s="86">
        <f t="shared" si="3"/>
        <v>0</v>
      </c>
      <c r="R12481" s="26"/>
    </row>
    <row r="12482" spans="1:18" ht="15.75" customHeight="1">
      <c r="A12482" s="26"/>
      <c r="B12482" s="86"/>
      <c r="D12482" s="26"/>
      <c r="F12482" s="87" t="str">
        <f t="shared" si="0"/>
        <v/>
      </c>
      <c r="H12482" s="26" t="str">
        <f t="shared" si="1"/>
        <v/>
      </c>
      <c r="I12482" s="26" t="str">
        <f t="shared" si="2"/>
        <v/>
      </c>
      <c r="J12482" s="86">
        <f t="shared" si="3"/>
        <v>0</v>
      </c>
      <c r="R12482" s="26"/>
    </row>
    <row r="12483" spans="1:18" ht="15.75" customHeight="1">
      <c r="A12483" s="26"/>
      <c r="B12483" s="86"/>
      <c r="D12483" s="26"/>
      <c r="F12483" s="87" t="str">
        <f t="shared" si="0"/>
        <v/>
      </c>
      <c r="H12483" s="26" t="str">
        <f t="shared" si="1"/>
        <v/>
      </c>
      <c r="I12483" s="26" t="str">
        <f t="shared" si="2"/>
        <v/>
      </c>
      <c r="J12483" s="86">
        <f t="shared" si="3"/>
        <v>0</v>
      </c>
      <c r="R12483" s="26"/>
    </row>
    <row r="12484" spans="1:18" ht="15.75" customHeight="1">
      <c r="A12484" s="26"/>
      <c r="B12484" s="86"/>
      <c r="D12484" s="26"/>
      <c r="F12484" s="87" t="str">
        <f t="shared" si="0"/>
        <v/>
      </c>
      <c r="H12484" s="26" t="str">
        <f t="shared" si="1"/>
        <v/>
      </c>
      <c r="I12484" s="26" t="str">
        <f t="shared" si="2"/>
        <v/>
      </c>
      <c r="J12484" s="86">
        <f t="shared" si="3"/>
        <v>0</v>
      </c>
      <c r="R12484" s="26"/>
    </row>
    <row r="12485" spans="1:18" ht="15.75" customHeight="1">
      <c r="A12485" s="26"/>
      <c r="B12485" s="86"/>
      <c r="D12485" s="26"/>
      <c r="F12485" s="87" t="str">
        <f t="shared" si="0"/>
        <v/>
      </c>
      <c r="H12485" s="26" t="str">
        <f t="shared" si="1"/>
        <v/>
      </c>
      <c r="I12485" s="26" t="str">
        <f t="shared" si="2"/>
        <v/>
      </c>
      <c r="J12485" s="86">
        <f t="shared" si="3"/>
        <v>0</v>
      </c>
      <c r="R12485" s="26"/>
    </row>
    <row r="12486" spans="1:18" ht="15.75" customHeight="1">
      <c r="A12486" s="26"/>
      <c r="B12486" s="86"/>
      <c r="D12486" s="26"/>
      <c r="F12486" s="87" t="str">
        <f t="shared" si="0"/>
        <v/>
      </c>
      <c r="H12486" s="26" t="str">
        <f t="shared" si="1"/>
        <v/>
      </c>
      <c r="I12486" s="26" t="str">
        <f t="shared" si="2"/>
        <v/>
      </c>
      <c r="J12486" s="86">
        <f t="shared" si="3"/>
        <v>0</v>
      </c>
      <c r="R12486" s="26"/>
    </row>
    <row r="12487" spans="1:18" ht="15.75" customHeight="1">
      <c r="A12487" s="26"/>
      <c r="B12487" s="86"/>
      <c r="D12487" s="26"/>
      <c r="F12487" s="87" t="str">
        <f t="shared" si="0"/>
        <v/>
      </c>
      <c r="H12487" s="26" t="str">
        <f t="shared" si="1"/>
        <v/>
      </c>
      <c r="I12487" s="26" t="str">
        <f t="shared" si="2"/>
        <v/>
      </c>
      <c r="J12487" s="86">
        <f t="shared" si="3"/>
        <v>0</v>
      </c>
      <c r="R12487" s="26"/>
    </row>
    <row r="12488" spans="1:18" ht="15.75" customHeight="1">
      <c r="A12488" s="26"/>
      <c r="B12488" s="86"/>
      <c r="D12488" s="26"/>
      <c r="F12488" s="87" t="str">
        <f t="shared" si="0"/>
        <v/>
      </c>
      <c r="H12488" s="26" t="str">
        <f t="shared" si="1"/>
        <v/>
      </c>
      <c r="I12488" s="26" t="str">
        <f t="shared" si="2"/>
        <v/>
      </c>
      <c r="J12488" s="86">
        <f t="shared" si="3"/>
        <v>0</v>
      </c>
      <c r="R12488" s="26"/>
    </row>
    <row r="12489" spans="1:18" ht="15.75" customHeight="1">
      <c r="A12489" s="26"/>
      <c r="B12489" s="86"/>
      <c r="D12489" s="26"/>
      <c r="F12489" s="87" t="str">
        <f t="shared" si="0"/>
        <v/>
      </c>
      <c r="H12489" s="26" t="str">
        <f t="shared" si="1"/>
        <v/>
      </c>
      <c r="I12489" s="26" t="str">
        <f t="shared" si="2"/>
        <v/>
      </c>
      <c r="J12489" s="86">
        <f t="shared" si="3"/>
        <v>0</v>
      </c>
      <c r="R12489" s="26"/>
    </row>
    <row r="12490" spans="1:18" ht="15.75" customHeight="1">
      <c r="A12490" s="26"/>
      <c r="B12490" s="86"/>
      <c r="D12490" s="26"/>
      <c r="F12490" s="87" t="str">
        <f t="shared" si="0"/>
        <v/>
      </c>
      <c r="H12490" s="26" t="str">
        <f t="shared" si="1"/>
        <v/>
      </c>
      <c r="I12490" s="26" t="str">
        <f t="shared" si="2"/>
        <v/>
      </c>
      <c r="J12490" s="86">
        <f t="shared" si="3"/>
        <v>0</v>
      </c>
      <c r="R12490" s="26"/>
    </row>
    <row r="12491" spans="1:18" ht="15.75" customHeight="1">
      <c r="A12491" s="26"/>
      <c r="B12491" s="86"/>
      <c r="D12491" s="26"/>
      <c r="F12491" s="87" t="str">
        <f t="shared" si="0"/>
        <v/>
      </c>
      <c r="H12491" s="26" t="str">
        <f t="shared" si="1"/>
        <v/>
      </c>
      <c r="I12491" s="26" t="str">
        <f t="shared" si="2"/>
        <v/>
      </c>
      <c r="J12491" s="86">
        <f t="shared" si="3"/>
        <v>0</v>
      </c>
      <c r="R12491" s="26"/>
    </row>
    <row r="12492" spans="1:18" ht="15.75" customHeight="1">
      <c r="A12492" s="26"/>
      <c r="B12492" s="86"/>
      <c r="D12492" s="26"/>
      <c r="F12492" s="87" t="str">
        <f t="shared" si="0"/>
        <v/>
      </c>
      <c r="H12492" s="26" t="str">
        <f t="shared" si="1"/>
        <v/>
      </c>
      <c r="I12492" s="26" t="str">
        <f t="shared" si="2"/>
        <v/>
      </c>
      <c r="J12492" s="86">
        <f t="shared" si="3"/>
        <v>0</v>
      </c>
      <c r="R12492" s="26"/>
    </row>
    <row r="12493" spans="1:18" ht="15.75" customHeight="1">
      <c r="A12493" s="26"/>
      <c r="B12493" s="86"/>
      <c r="D12493" s="26"/>
      <c r="F12493" s="87" t="str">
        <f t="shared" si="0"/>
        <v/>
      </c>
      <c r="H12493" s="26" t="str">
        <f t="shared" si="1"/>
        <v/>
      </c>
      <c r="I12493" s="26" t="str">
        <f t="shared" si="2"/>
        <v/>
      </c>
      <c r="J12493" s="86">
        <f t="shared" si="3"/>
        <v>0</v>
      </c>
      <c r="R12493" s="26"/>
    </row>
    <row r="12494" spans="1:18" ht="15.75" customHeight="1">
      <c r="A12494" s="26"/>
      <c r="B12494" s="86"/>
      <c r="D12494" s="26"/>
      <c r="F12494" s="87" t="str">
        <f t="shared" si="0"/>
        <v/>
      </c>
      <c r="H12494" s="26" t="str">
        <f t="shared" si="1"/>
        <v/>
      </c>
      <c r="I12494" s="26" t="str">
        <f t="shared" si="2"/>
        <v/>
      </c>
      <c r="J12494" s="86">
        <f t="shared" si="3"/>
        <v>0</v>
      </c>
      <c r="R12494" s="26"/>
    </row>
    <row r="12495" spans="1:18" ht="15.75" customHeight="1">
      <c r="A12495" s="26"/>
      <c r="B12495" s="86"/>
      <c r="D12495" s="26"/>
      <c r="F12495" s="87" t="str">
        <f t="shared" si="0"/>
        <v/>
      </c>
      <c r="H12495" s="26" t="str">
        <f t="shared" si="1"/>
        <v/>
      </c>
      <c r="I12495" s="26" t="str">
        <f t="shared" si="2"/>
        <v/>
      </c>
      <c r="J12495" s="86">
        <f t="shared" si="3"/>
        <v>0</v>
      </c>
      <c r="R12495" s="26"/>
    </row>
    <row r="12496" spans="1:18" ht="15.75" customHeight="1">
      <c r="A12496" s="26"/>
      <c r="B12496" s="86"/>
      <c r="D12496" s="26"/>
      <c r="F12496" s="87" t="str">
        <f t="shared" si="0"/>
        <v/>
      </c>
      <c r="H12496" s="26" t="str">
        <f t="shared" si="1"/>
        <v/>
      </c>
      <c r="I12496" s="26" t="str">
        <f t="shared" si="2"/>
        <v/>
      </c>
      <c r="J12496" s="86">
        <f t="shared" si="3"/>
        <v>0</v>
      </c>
      <c r="R12496" s="26"/>
    </row>
    <row r="12497" spans="1:18" ht="15.75" customHeight="1">
      <c r="A12497" s="26"/>
      <c r="B12497" s="86"/>
      <c r="D12497" s="26"/>
      <c r="F12497" s="87" t="str">
        <f t="shared" si="0"/>
        <v/>
      </c>
      <c r="H12497" s="26" t="str">
        <f t="shared" si="1"/>
        <v/>
      </c>
      <c r="I12497" s="26" t="str">
        <f t="shared" si="2"/>
        <v/>
      </c>
      <c r="J12497" s="86">
        <f t="shared" si="3"/>
        <v>0</v>
      </c>
      <c r="R12497" s="26"/>
    </row>
    <row r="12498" spans="1:18" ht="15.75" customHeight="1">
      <c r="A12498" s="26"/>
      <c r="B12498" s="86"/>
      <c r="D12498" s="26"/>
      <c r="F12498" s="87" t="str">
        <f t="shared" si="0"/>
        <v/>
      </c>
      <c r="H12498" s="26" t="str">
        <f t="shared" si="1"/>
        <v/>
      </c>
      <c r="I12498" s="26" t="str">
        <f t="shared" si="2"/>
        <v/>
      </c>
      <c r="J12498" s="86">
        <f t="shared" si="3"/>
        <v>0</v>
      </c>
      <c r="R12498" s="26"/>
    </row>
    <row r="12499" spans="1:18" ht="15.75" customHeight="1">
      <c r="A12499" s="26"/>
      <c r="B12499" s="86"/>
      <c r="D12499" s="26"/>
      <c r="F12499" s="87" t="str">
        <f t="shared" si="0"/>
        <v/>
      </c>
      <c r="H12499" s="26" t="str">
        <f t="shared" si="1"/>
        <v/>
      </c>
      <c r="I12499" s="26" t="str">
        <f t="shared" si="2"/>
        <v/>
      </c>
      <c r="J12499" s="86">
        <f t="shared" si="3"/>
        <v>0</v>
      </c>
      <c r="R12499" s="26"/>
    </row>
    <row r="12500" spans="1:18" ht="15.75" customHeight="1">
      <c r="A12500" s="26"/>
      <c r="B12500" s="86"/>
      <c r="D12500" s="26"/>
      <c r="F12500" s="87" t="str">
        <f t="shared" si="0"/>
        <v/>
      </c>
      <c r="H12500" s="26" t="str">
        <f t="shared" si="1"/>
        <v/>
      </c>
      <c r="I12500" s="26" t="str">
        <f t="shared" si="2"/>
        <v/>
      </c>
      <c r="J12500" s="86">
        <f t="shared" si="3"/>
        <v>0</v>
      </c>
      <c r="R12500" s="26"/>
    </row>
    <row r="12501" spans="1:18" ht="15.75" customHeight="1">
      <c r="A12501" s="26"/>
      <c r="B12501" s="86"/>
      <c r="D12501" s="26"/>
      <c r="F12501" s="87" t="str">
        <f t="shared" si="0"/>
        <v/>
      </c>
      <c r="H12501" s="26" t="str">
        <f t="shared" si="1"/>
        <v/>
      </c>
      <c r="I12501" s="26" t="str">
        <f t="shared" si="2"/>
        <v/>
      </c>
      <c r="J12501" s="86">
        <f t="shared" si="3"/>
        <v>0</v>
      </c>
      <c r="R12501" s="26"/>
    </row>
    <row r="12502" spans="1:18" ht="15.75" customHeight="1">
      <c r="A12502" s="26"/>
      <c r="B12502" s="86"/>
      <c r="D12502" s="26"/>
      <c r="F12502" s="87" t="str">
        <f t="shared" si="0"/>
        <v/>
      </c>
      <c r="H12502" s="26" t="str">
        <f t="shared" si="1"/>
        <v/>
      </c>
      <c r="I12502" s="26" t="str">
        <f t="shared" si="2"/>
        <v/>
      </c>
      <c r="J12502" s="86">
        <f t="shared" si="3"/>
        <v>0</v>
      </c>
      <c r="R12502" s="26"/>
    </row>
    <row r="12503" spans="1:18" ht="15.75" customHeight="1">
      <c r="A12503" s="26"/>
      <c r="B12503" s="86"/>
      <c r="D12503" s="26"/>
      <c r="F12503" s="87" t="str">
        <f t="shared" si="0"/>
        <v/>
      </c>
      <c r="H12503" s="26" t="str">
        <f t="shared" si="1"/>
        <v/>
      </c>
      <c r="I12503" s="26" t="str">
        <f t="shared" si="2"/>
        <v/>
      </c>
      <c r="J12503" s="86">
        <f t="shared" si="3"/>
        <v>0</v>
      </c>
      <c r="R12503" s="26"/>
    </row>
    <row r="12504" spans="1:18" ht="15.75" customHeight="1">
      <c r="A12504" s="26"/>
      <c r="B12504" s="86"/>
      <c r="D12504" s="26"/>
      <c r="F12504" s="87" t="str">
        <f t="shared" si="0"/>
        <v/>
      </c>
      <c r="H12504" s="26" t="str">
        <f t="shared" si="1"/>
        <v/>
      </c>
      <c r="I12504" s="26" t="str">
        <f t="shared" si="2"/>
        <v/>
      </c>
      <c r="J12504" s="86">
        <f t="shared" si="3"/>
        <v>0</v>
      </c>
      <c r="R12504" s="26"/>
    </row>
    <row r="12505" spans="1:18" ht="15.75" customHeight="1">
      <c r="A12505" s="26"/>
      <c r="B12505" s="86"/>
      <c r="D12505" s="26"/>
      <c r="F12505" s="87" t="str">
        <f t="shared" si="0"/>
        <v/>
      </c>
      <c r="H12505" s="26" t="str">
        <f t="shared" si="1"/>
        <v/>
      </c>
      <c r="I12505" s="26" t="str">
        <f t="shared" si="2"/>
        <v/>
      </c>
      <c r="J12505" s="86">
        <f t="shared" si="3"/>
        <v>0</v>
      </c>
      <c r="R12505" s="26"/>
    </row>
    <row r="12506" spans="1:18" ht="15.75" customHeight="1">
      <c r="A12506" s="26"/>
      <c r="B12506" s="86"/>
      <c r="D12506" s="26"/>
      <c r="F12506" s="87" t="str">
        <f t="shared" si="0"/>
        <v/>
      </c>
      <c r="H12506" s="26" t="str">
        <f t="shared" si="1"/>
        <v/>
      </c>
      <c r="I12506" s="26" t="str">
        <f t="shared" si="2"/>
        <v/>
      </c>
      <c r="J12506" s="86">
        <f t="shared" si="3"/>
        <v>0</v>
      </c>
      <c r="R12506" s="26"/>
    </row>
    <row r="12507" spans="1:18" ht="15.75" customHeight="1">
      <c r="A12507" s="26"/>
      <c r="B12507" s="86"/>
      <c r="D12507" s="26"/>
      <c r="F12507" s="87" t="str">
        <f t="shared" si="0"/>
        <v/>
      </c>
      <c r="H12507" s="26" t="str">
        <f t="shared" si="1"/>
        <v/>
      </c>
      <c r="I12507" s="26" t="str">
        <f t="shared" si="2"/>
        <v/>
      </c>
      <c r="J12507" s="86">
        <f t="shared" si="3"/>
        <v>0</v>
      </c>
      <c r="R12507" s="26"/>
    </row>
    <row r="12508" spans="1:18" ht="15.75" customHeight="1">
      <c r="A12508" s="26"/>
      <c r="B12508" s="86"/>
      <c r="D12508" s="26"/>
      <c r="F12508" s="87" t="str">
        <f t="shared" si="0"/>
        <v/>
      </c>
      <c r="H12508" s="26" t="str">
        <f t="shared" si="1"/>
        <v/>
      </c>
      <c r="I12508" s="26" t="str">
        <f t="shared" si="2"/>
        <v/>
      </c>
      <c r="J12508" s="86">
        <f t="shared" si="3"/>
        <v>0</v>
      </c>
      <c r="R12508" s="26"/>
    </row>
    <row r="12509" spans="1:18" ht="15.75" customHeight="1">
      <c r="A12509" s="26"/>
      <c r="B12509" s="86"/>
      <c r="D12509" s="26"/>
      <c r="F12509" s="87" t="str">
        <f t="shared" si="0"/>
        <v/>
      </c>
      <c r="H12509" s="26" t="str">
        <f t="shared" si="1"/>
        <v/>
      </c>
      <c r="I12509" s="26" t="str">
        <f t="shared" si="2"/>
        <v/>
      </c>
      <c r="J12509" s="86">
        <f t="shared" si="3"/>
        <v>0</v>
      </c>
      <c r="R12509" s="26"/>
    </row>
    <row r="12510" spans="1:18" ht="15.75" customHeight="1">
      <c r="A12510" s="26"/>
      <c r="B12510" s="86"/>
      <c r="D12510" s="26"/>
      <c r="F12510" s="87" t="str">
        <f t="shared" si="0"/>
        <v/>
      </c>
      <c r="H12510" s="26" t="str">
        <f t="shared" si="1"/>
        <v/>
      </c>
      <c r="I12510" s="26" t="str">
        <f t="shared" si="2"/>
        <v/>
      </c>
      <c r="J12510" s="86">
        <f t="shared" si="3"/>
        <v>0</v>
      </c>
      <c r="R12510" s="26"/>
    </row>
    <row r="12511" spans="1:18" ht="15.75" customHeight="1">
      <c r="A12511" s="26"/>
      <c r="B12511" s="86"/>
      <c r="D12511" s="26"/>
      <c r="F12511" s="87" t="str">
        <f t="shared" si="0"/>
        <v/>
      </c>
      <c r="H12511" s="26" t="str">
        <f t="shared" si="1"/>
        <v/>
      </c>
      <c r="I12511" s="26" t="str">
        <f t="shared" si="2"/>
        <v/>
      </c>
      <c r="J12511" s="86">
        <f t="shared" si="3"/>
        <v>0</v>
      </c>
      <c r="R12511" s="26"/>
    </row>
    <row r="12512" spans="1:18" ht="15.75" customHeight="1">
      <c r="A12512" s="26"/>
      <c r="B12512" s="86"/>
      <c r="D12512" s="26"/>
      <c r="F12512" s="87" t="str">
        <f t="shared" si="0"/>
        <v/>
      </c>
      <c r="H12512" s="26" t="str">
        <f t="shared" si="1"/>
        <v/>
      </c>
      <c r="I12512" s="26" t="str">
        <f t="shared" si="2"/>
        <v/>
      </c>
      <c r="J12512" s="86">
        <f t="shared" si="3"/>
        <v>0</v>
      </c>
      <c r="R12512" s="26"/>
    </row>
    <row r="12513" spans="1:18" ht="15.75" customHeight="1">
      <c r="A12513" s="26"/>
      <c r="B12513" s="86"/>
      <c r="D12513" s="26"/>
      <c r="F12513" s="87" t="str">
        <f t="shared" si="0"/>
        <v/>
      </c>
      <c r="H12513" s="26" t="str">
        <f t="shared" si="1"/>
        <v/>
      </c>
      <c r="I12513" s="26" t="str">
        <f t="shared" si="2"/>
        <v/>
      </c>
      <c r="J12513" s="86">
        <f t="shared" si="3"/>
        <v>0</v>
      </c>
      <c r="R12513" s="26"/>
    </row>
    <row r="12514" spans="1:18" ht="15.75" customHeight="1">
      <c r="A12514" s="26"/>
      <c r="B12514" s="86"/>
      <c r="D12514" s="26"/>
      <c r="F12514" s="87" t="str">
        <f t="shared" si="0"/>
        <v/>
      </c>
      <c r="H12514" s="26" t="str">
        <f t="shared" si="1"/>
        <v/>
      </c>
      <c r="I12514" s="26" t="str">
        <f t="shared" si="2"/>
        <v/>
      </c>
      <c r="J12514" s="86">
        <f t="shared" si="3"/>
        <v>0</v>
      </c>
      <c r="R12514" s="26"/>
    </row>
    <row r="12515" spans="1:18" ht="15.75" customHeight="1">
      <c r="A12515" s="26"/>
      <c r="B12515" s="86"/>
      <c r="D12515" s="26"/>
      <c r="F12515" s="87" t="str">
        <f t="shared" si="0"/>
        <v/>
      </c>
      <c r="H12515" s="26" t="str">
        <f t="shared" si="1"/>
        <v/>
      </c>
      <c r="I12515" s="26" t="str">
        <f t="shared" si="2"/>
        <v/>
      </c>
      <c r="J12515" s="86">
        <f t="shared" si="3"/>
        <v>0</v>
      </c>
      <c r="R12515" s="26"/>
    </row>
    <row r="12516" spans="1:18" ht="15.75" customHeight="1">
      <c r="A12516" s="26"/>
      <c r="B12516" s="86"/>
      <c r="D12516" s="26"/>
      <c r="F12516" s="87" t="str">
        <f t="shared" si="0"/>
        <v/>
      </c>
      <c r="H12516" s="26" t="str">
        <f t="shared" si="1"/>
        <v/>
      </c>
      <c r="I12516" s="26" t="str">
        <f t="shared" si="2"/>
        <v/>
      </c>
      <c r="J12516" s="86">
        <f t="shared" si="3"/>
        <v>0</v>
      </c>
      <c r="R12516" s="26"/>
    </row>
    <row r="12517" spans="1:18" ht="15.75" customHeight="1">
      <c r="A12517" s="26"/>
      <c r="B12517" s="86"/>
      <c r="D12517" s="26"/>
      <c r="F12517" s="87" t="str">
        <f t="shared" si="0"/>
        <v/>
      </c>
      <c r="H12517" s="26" t="str">
        <f t="shared" si="1"/>
        <v/>
      </c>
      <c r="I12517" s="26" t="str">
        <f t="shared" si="2"/>
        <v/>
      </c>
      <c r="J12517" s="86">
        <f t="shared" si="3"/>
        <v>0</v>
      </c>
      <c r="R12517" s="26"/>
    </row>
    <row r="12518" spans="1:18" ht="15.75" customHeight="1">
      <c r="A12518" s="26"/>
      <c r="B12518" s="86"/>
      <c r="D12518" s="26"/>
      <c r="F12518" s="87" t="str">
        <f t="shared" si="0"/>
        <v/>
      </c>
      <c r="H12518" s="26" t="str">
        <f t="shared" si="1"/>
        <v/>
      </c>
      <c r="I12518" s="26" t="str">
        <f t="shared" si="2"/>
        <v/>
      </c>
      <c r="J12518" s="86">
        <f t="shared" si="3"/>
        <v>0</v>
      </c>
      <c r="R12518" s="26"/>
    </row>
    <row r="12519" spans="1:18" ht="15.75" customHeight="1">
      <c r="A12519" s="26"/>
      <c r="B12519" s="86"/>
      <c r="D12519" s="26"/>
      <c r="F12519" s="87" t="str">
        <f t="shared" si="0"/>
        <v/>
      </c>
      <c r="H12519" s="26" t="str">
        <f t="shared" si="1"/>
        <v/>
      </c>
      <c r="I12519" s="26" t="str">
        <f t="shared" si="2"/>
        <v/>
      </c>
      <c r="J12519" s="86">
        <f t="shared" si="3"/>
        <v>0</v>
      </c>
      <c r="R12519" s="26"/>
    </row>
    <row r="12520" spans="1:18" ht="15.75" customHeight="1">
      <c r="A12520" s="26"/>
      <c r="B12520" s="86"/>
      <c r="D12520" s="26"/>
      <c r="F12520" s="87" t="str">
        <f t="shared" si="0"/>
        <v/>
      </c>
      <c r="H12520" s="26" t="str">
        <f t="shared" si="1"/>
        <v/>
      </c>
      <c r="I12520" s="26" t="str">
        <f t="shared" si="2"/>
        <v/>
      </c>
      <c r="J12520" s="86">
        <f t="shared" si="3"/>
        <v>0</v>
      </c>
      <c r="R12520" s="26"/>
    </row>
    <row r="12521" spans="1:18" ht="15.75" customHeight="1">
      <c r="A12521" s="26"/>
      <c r="B12521" s="86"/>
      <c r="D12521" s="26"/>
      <c r="F12521" s="87" t="str">
        <f t="shared" si="0"/>
        <v/>
      </c>
      <c r="H12521" s="26" t="str">
        <f t="shared" si="1"/>
        <v/>
      </c>
      <c r="I12521" s="26" t="str">
        <f t="shared" si="2"/>
        <v/>
      </c>
      <c r="J12521" s="86">
        <f t="shared" si="3"/>
        <v>0</v>
      </c>
      <c r="R12521" s="26"/>
    </row>
    <row r="12522" spans="1:18" ht="15.75" customHeight="1">
      <c r="A12522" s="26"/>
      <c r="B12522" s="86"/>
      <c r="D12522" s="26"/>
      <c r="F12522" s="87" t="str">
        <f t="shared" si="0"/>
        <v/>
      </c>
      <c r="H12522" s="26" t="str">
        <f t="shared" si="1"/>
        <v/>
      </c>
      <c r="I12522" s="26" t="str">
        <f t="shared" si="2"/>
        <v/>
      </c>
      <c r="J12522" s="86">
        <f t="shared" si="3"/>
        <v>0</v>
      </c>
      <c r="R12522" s="26"/>
    </row>
    <row r="12523" spans="1:18" ht="15.75" customHeight="1">
      <c r="A12523" s="26"/>
      <c r="B12523" s="86"/>
      <c r="D12523" s="26"/>
      <c r="F12523" s="87" t="str">
        <f t="shared" si="0"/>
        <v/>
      </c>
      <c r="H12523" s="26" t="str">
        <f t="shared" si="1"/>
        <v/>
      </c>
      <c r="I12523" s="26" t="str">
        <f t="shared" si="2"/>
        <v/>
      </c>
      <c r="J12523" s="86">
        <f t="shared" si="3"/>
        <v>0</v>
      </c>
      <c r="R12523" s="26"/>
    </row>
    <row r="12524" spans="1:18" ht="15.75" customHeight="1">
      <c r="A12524" s="26"/>
      <c r="B12524" s="86"/>
      <c r="D12524" s="26"/>
      <c r="F12524" s="87" t="str">
        <f t="shared" si="0"/>
        <v/>
      </c>
      <c r="H12524" s="26" t="str">
        <f t="shared" si="1"/>
        <v/>
      </c>
      <c r="I12524" s="26" t="str">
        <f t="shared" si="2"/>
        <v/>
      </c>
      <c r="J12524" s="86">
        <f t="shared" si="3"/>
        <v>0</v>
      </c>
      <c r="R12524" s="26"/>
    </row>
    <row r="12525" spans="1:18" ht="15.75" customHeight="1">
      <c r="A12525" s="26"/>
      <c r="B12525" s="86"/>
      <c r="D12525" s="26"/>
      <c r="F12525" s="87" t="str">
        <f t="shared" si="0"/>
        <v/>
      </c>
      <c r="H12525" s="26" t="str">
        <f t="shared" si="1"/>
        <v/>
      </c>
      <c r="I12525" s="26" t="str">
        <f t="shared" si="2"/>
        <v/>
      </c>
      <c r="J12525" s="86">
        <f t="shared" si="3"/>
        <v>0</v>
      </c>
      <c r="R12525" s="26"/>
    </row>
    <row r="12526" spans="1:18" ht="15.75" customHeight="1">
      <c r="A12526" s="26"/>
      <c r="B12526" s="86"/>
      <c r="D12526" s="26"/>
      <c r="F12526" s="87" t="str">
        <f t="shared" si="0"/>
        <v/>
      </c>
      <c r="H12526" s="26" t="str">
        <f t="shared" si="1"/>
        <v/>
      </c>
      <c r="I12526" s="26" t="str">
        <f t="shared" si="2"/>
        <v/>
      </c>
      <c r="J12526" s="86">
        <f t="shared" si="3"/>
        <v>0</v>
      </c>
      <c r="R12526" s="26"/>
    </row>
    <row r="12527" spans="1:18" ht="15.75" customHeight="1">
      <c r="A12527" s="26"/>
      <c r="B12527" s="86"/>
      <c r="D12527" s="26"/>
      <c r="F12527" s="87" t="str">
        <f t="shared" si="0"/>
        <v/>
      </c>
      <c r="H12527" s="26" t="str">
        <f t="shared" si="1"/>
        <v/>
      </c>
      <c r="I12527" s="26" t="str">
        <f t="shared" si="2"/>
        <v/>
      </c>
      <c r="J12527" s="86">
        <f t="shared" si="3"/>
        <v>0</v>
      </c>
      <c r="R12527" s="26"/>
    </row>
    <row r="12528" spans="1:18" ht="15.75" customHeight="1">
      <c r="A12528" s="26"/>
      <c r="B12528" s="86"/>
      <c r="D12528" s="26"/>
      <c r="F12528" s="87" t="str">
        <f t="shared" si="0"/>
        <v/>
      </c>
      <c r="H12528" s="26" t="str">
        <f t="shared" si="1"/>
        <v/>
      </c>
      <c r="I12528" s="26" t="str">
        <f t="shared" si="2"/>
        <v/>
      </c>
      <c r="J12528" s="86">
        <f t="shared" si="3"/>
        <v>0</v>
      </c>
      <c r="R12528" s="26"/>
    </row>
    <row r="12529" spans="1:18" ht="15.75" customHeight="1">
      <c r="A12529" s="26"/>
      <c r="B12529" s="86"/>
      <c r="D12529" s="26"/>
      <c r="F12529" s="87" t="str">
        <f t="shared" si="0"/>
        <v/>
      </c>
      <c r="H12529" s="26" t="str">
        <f t="shared" si="1"/>
        <v/>
      </c>
      <c r="I12529" s="26" t="str">
        <f t="shared" si="2"/>
        <v/>
      </c>
      <c r="J12529" s="86">
        <f t="shared" si="3"/>
        <v>0</v>
      </c>
      <c r="R12529" s="26"/>
    </row>
    <row r="12530" spans="1:18" ht="15.75" customHeight="1">
      <c r="A12530" s="26"/>
      <c r="B12530" s="86"/>
      <c r="D12530" s="26"/>
      <c r="F12530" s="87" t="str">
        <f t="shared" si="0"/>
        <v/>
      </c>
      <c r="H12530" s="26" t="str">
        <f t="shared" si="1"/>
        <v/>
      </c>
      <c r="I12530" s="26" t="str">
        <f t="shared" si="2"/>
        <v/>
      </c>
      <c r="J12530" s="86">
        <f t="shared" si="3"/>
        <v>0</v>
      </c>
      <c r="R12530" s="26"/>
    </row>
    <row r="12531" spans="1:18" ht="15.75" customHeight="1">
      <c r="A12531" s="26"/>
      <c r="B12531" s="86"/>
      <c r="D12531" s="26"/>
      <c r="F12531" s="87" t="str">
        <f t="shared" si="0"/>
        <v/>
      </c>
      <c r="H12531" s="26" t="str">
        <f t="shared" si="1"/>
        <v/>
      </c>
      <c r="I12531" s="26" t="str">
        <f t="shared" si="2"/>
        <v/>
      </c>
      <c r="J12531" s="86">
        <f t="shared" si="3"/>
        <v>0</v>
      </c>
      <c r="R12531" s="26"/>
    </row>
    <row r="12532" spans="1:18" ht="15.75" customHeight="1">
      <c r="A12532" s="26"/>
      <c r="B12532" s="86"/>
      <c r="D12532" s="26"/>
      <c r="F12532" s="87" t="str">
        <f t="shared" si="0"/>
        <v/>
      </c>
      <c r="H12532" s="26" t="str">
        <f t="shared" si="1"/>
        <v/>
      </c>
      <c r="I12532" s="26" t="str">
        <f t="shared" si="2"/>
        <v/>
      </c>
      <c r="J12532" s="86">
        <f t="shared" si="3"/>
        <v>0</v>
      </c>
      <c r="R12532" s="26"/>
    </row>
    <row r="12533" spans="1:18" ht="15.75" customHeight="1">
      <c r="A12533" s="26"/>
      <c r="B12533" s="86"/>
      <c r="D12533" s="26"/>
      <c r="F12533" s="87" t="str">
        <f t="shared" si="0"/>
        <v/>
      </c>
      <c r="H12533" s="26" t="str">
        <f t="shared" si="1"/>
        <v/>
      </c>
      <c r="I12533" s="26" t="str">
        <f t="shared" si="2"/>
        <v/>
      </c>
      <c r="J12533" s="86">
        <f t="shared" si="3"/>
        <v>0</v>
      </c>
      <c r="R12533" s="26"/>
    </row>
    <row r="12534" spans="1:18" ht="15.75" customHeight="1">
      <c r="A12534" s="26"/>
      <c r="B12534" s="86"/>
      <c r="D12534" s="26"/>
      <c r="F12534" s="87" t="str">
        <f t="shared" si="0"/>
        <v/>
      </c>
      <c r="H12534" s="26" t="str">
        <f t="shared" si="1"/>
        <v/>
      </c>
      <c r="I12534" s="26" t="str">
        <f t="shared" si="2"/>
        <v/>
      </c>
      <c r="J12534" s="86">
        <f t="shared" si="3"/>
        <v>0</v>
      </c>
      <c r="R12534" s="26"/>
    </row>
    <row r="12535" spans="1:18" ht="15.75" customHeight="1">
      <c r="A12535" s="26"/>
      <c r="B12535" s="86"/>
      <c r="D12535" s="26"/>
      <c r="F12535" s="87" t="str">
        <f t="shared" si="0"/>
        <v/>
      </c>
      <c r="H12535" s="26" t="str">
        <f t="shared" si="1"/>
        <v/>
      </c>
      <c r="I12535" s="26" t="str">
        <f t="shared" si="2"/>
        <v/>
      </c>
      <c r="J12535" s="86">
        <f t="shared" si="3"/>
        <v>0</v>
      </c>
      <c r="R12535" s="26"/>
    </row>
    <row r="12536" spans="1:18" ht="15.75" customHeight="1">
      <c r="A12536" s="26"/>
      <c r="B12536" s="86"/>
      <c r="D12536" s="26"/>
      <c r="F12536" s="87" t="str">
        <f t="shared" si="0"/>
        <v/>
      </c>
      <c r="H12536" s="26" t="str">
        <f t="shared" si="1"/>
        <v/>
      </c>
      <c r="I12536" s="26" t="str">
        <f t="shared" si="2"/>
        <v/>
      </c>
      <c r="J12536" s="86">
        <f t="shared" si="3"/>
        <v>0</v>
      </c>
      <c r="R12536" s="26"/>
    </row>
    <row r="12537" spans="1:18" ht="15.75" customHeight="1">
      <c r="A12537" s="26"/>
      <c r="B12537" s="86"/>
      <c r="D12537" s="26"/>
      <c r="F12537" s="87" t="str">
        <f t="shared" si="0"/>
        <v/>
      </c>
      <c r="H12537" s="26" t="str">
        <f t="shared" si="1"/>
        <v/>
      </c>
      <c r="I12537" s="26" t="str">
        <f t="shared" si="2"/>
        <v/>
      </c>
      <c r="J12537" s="86">
        <f t="shared" si="3"/>
        <v>0</v>
      </c>
      <c r="R12537" s="26"/>
    </row>
    <row r="12538" spans="1:18" ht="15.75" customHeight="1">
      <c r="A12538" s="26"/>
      <c r="B12538" s="86"/>
      <c r="D12538" s="26"/>
      <c r="F12538" s="87" t="str">
        <f t="shared" si="0"/>
        <v/>
      </c>
      <c r="H12538" s="26" t="str">
        <f t="shared" si="1"/>
        <v/>
      </c>
      <c r="I12538" s="26" t="str">
        <f t="shared" si="2"/>
        <v/>
      </c>
      <c r="J12538" s="86">
        <f t="shared" si="3"/>
        <v>0</v>
      </c>
      <c r="R12538" s="26"/>
    </row>
    <row r="12539" spans="1:18" ht="15.75" customHeight="1">
      <c r="A12539" s="26"/>
      <c r="B12539" s="86"/>
      <c r="D12539" s="26"/>
      <c r="F12539" s="87" t="str">
        <f t="shared" si="0"/>
        <v/>
      </c>
      <c r="H12539" s="26" t="str">
        <f t="shared" si="1"/>
        <v/>
      </c>
      <c r="I12539" s="26" t="str">
        <f t="shared" si="2"/>
        <v/>
      </c>
      <c r="J12539" s="86">
        <f t="shared" si="3"/>
        <v>0</v>
      </c>
      <c r="R12539" s="26"/>
    </row>
    <row r="12540" spans="1:18" ht="15.75" customHeight="1">
      <c r="A12540" s="26"/>
      <c r="B12540" s="86"/>
      <c r="D12540" s="26"/>
      <c r="F12540" s="87" t="str">
        <f t="shared" si="0"/>
        <v/>
      </c>
      <c r="H12540" s="26" t="str">
        <f t="shared" si="1"/>
        <v/>
      </c>
      <c r="I12540" s="26" t="str">
        <f t="shared" si="2"/>
        <v/>
      </c>
      <c r="J12540" s="86">
        <f t="shared" si="3"/>
        <v>0</v>
      </c>
      <c r="R12540" s="26"/>
    </row>
    <row r="12541" spans="1:18" ht="15.75" customHeight="1">
      <c r="A12541" s="26"/>
      <c r="B12541" s="86"/>
      <c r="D12541" s="26"/>
      <c r="F12541" s="87" t="str">
        <f t="shared" si="0"/>
        <v/>
      </c>
      <c r="H12541" s="26" t="str">
        <f t="shared" si="1"/>
        <v/>
      </c>
      <c r="I12541" s="26" t="str">
        <f t="shared" si="2"/>
        <v/>
      </c>
      <c r="J12541" s="86">
        <f t="shared" si="3"/>
        <v>0</v>
      </c>
      <c r="R12541" s="26"/>
    </row>
    <row r="12542" spans="1:18" ht="15.75" customHeight="1">
      <c r="A12542" s="26"/>
      <c r="B12542" s="86"/>
      <c r="D12542" s="26"/>
      <c r="F12542" s="87" t="str">
        <f t="shared" si="0"/>
        <v/>
      </c>
      <c r="H12542" s="26" t="str">
        <f t="shared" si="1"/>
        <v/>
      </c>
      <c r="I12542" s="26" t="str">
        <f t="shared" si="2"/>
        <v/>
      </c>
      <c r="J12542" s="86">
        <f t="shared" si="3"/>
        <v>0</v>
      </c>
      <c r="R12542" s="26"/>
    </row>
    <row r="12543" spans="1:18" ht="15.75" customHeight="1">
      <c r="A12543" s="26"/>
      <c r="B12543" s="86"/>
      <c r="D12543" s="26"/>
      <c r="F12543" s="87" t="str">
        <f t="shared" si="0"/>
        <v/>
      </c>
      <c r="H12543" s="26" t="str">
        <f t="shared" si="1"/>
        <v/>
      </c>
      <c r="I12543" s="26" t="str">
        <f t="shared" si="2"/>
        <v/>
      </c>
      <c r="J12543" s="86">
        <f t="shared" si="3"/>
        <v>0</v>
      </c>
      <c r="R12543" s="26"/>
    </row>
    <row r="12544" spans="1:18" ht="15.75" customHeight="1">
      <c r="A12544" s="26"/>
      <c r="B12544" s="86"/>
      <c r="D12544" s="26"/>
      <c r="F12544" s="87" t="str">
        <f t="shared" si="0"/>
        <v/>
      </c>
      <c r="H12544" s="26" t="str">
        <f t="shared" si="1"/>
        <v/>
      </c>
      <c r="I12544" s="26" t="str">
        <f t="shared" si="2"/>
        <v/>
      </c>
      <c r="J12544" s="86">
        <f t="shared" si="3"/>
        <v>0</v>
      </c>
      <c r="R12544" s="26"/>
    </row>
    <row r="12545" spans="1:18" ht="15.75" customHeight="1">
      <c r="A12545" s="26"/>
      <c r="B12545" s="86"/>
      <c r="D12545" s="26"/>
      <c r="F12545" s="87" t="str">
        <f t="shared" si="0"/>
        <v/>
      </c>
      <c r="H12545" s="26" t="str">
        <f t="shared" si="1"/>
        <v/>
      </c>
      <c r="I12545" s="26" t="str">
        <f t="shared" si="2"/>
        <v/>
      </c>
      <c r="J12545" s="86">
        <f t="shared" si="3"/>
        <v>0</v>
      </c>
      <c r="R12545" s="26"/>
    </row>
    <row r="12546" spans="1:18" ht="15.75" customHeight="1">
      <c r="A12546" s="26"/>
      <c r="B12546" s="86"/>
      <c r="D12546" s="26"/>
      <c r="F12546" s="87" t="str">
        <f t="shared" si="0"/>
        <v/>
      </c>
      <c r="H12546" s="26" t="str">
        <f t="shared" si="1"/>
        <v/>
      </c>
      <c r="I12546" s="26" t="str">
        <f t="shared" si="2"/>
        <v/>
      </c>
      <c r="J12546" s="86">
        <f t="shared" si="3"/>
        <v>0</v>
      </c>
      <c r="R12546" s="26"/>
    </row>
    <row r="12547" spans="1:18" ht="15.75" customHeight="1">
      <c r="A12547" s="26"/>
      <c r="B12547" s="86"/>
      <c r="D12547" s="26"/>
      <c r="F12547" s="87" t="str">
        <f t="shared" si="0"/>
        <v/>
      </c>
      <c r="H12547" s="26" t="str">
        <f t="shared" si="1"/>
        <v/>
      </c>
      <c r="I12547" s="26" t="str">
        <f t="shared" si="2"/>
        <v/>
      </c>
      <c r="J12547" s="86">
        <f t="shared" si="3"/>
        <v>0</v>
      </c>
      <c r="R12547" s="26"/>
    </row>
    <row r="12548" spans="1:18" ht="15.75" customHeight="1">
      <c r="A12548" s="26"/>
      <c r="B12548" s="86"/>
      <c r="D12548" s="26"/>
      <c r="F12548" s="87" t="str">
        <f t="shared" si="0"/>
        <v/>
      </c>
      <c r="H12548" s="26" t="str">
        <f t="shared" si="1"/>
        <v/>
      </c>
      <c r="I12548" s="26" t="str">
        <f t="shared" si="2"/>
        <v/>
      </c>
      <c r="J12548" s="86">
        <f t="shared" si="3"/>
        <v>0</v>
      </c>
      <c r="R12548" s="26"/>
    </row>
    <row r="12549" spans="1:18" ht="15.75" customHeight="1">
      <c r="A12549" s="26"/>
      <c r="B12549" s="86"/>
      <c r="D12549" s="26"/>
      <c r="F12549" s="87" t="str">
        <f t="shared" si="0"/>
        <v/>
      </c>
      <c r="H12549" s="26" t="str">
        <f t="shared" si="1"/>
        <v/>
      </c>
      <c r="I12549" s="26" t="str">
        <f t="shared" si="2"/>
        <v/>
      </c>
      <c r="J12549" s="86">
        <f t="shared" si="3"/>
        <v>0</v>
      </c>
      <c r="R12549" s="26"/>
    </row>
    <row r="12550" spans="1:18" ht="15.75" customHeight="1">
      <c r="A12550" s="26"/>
      <c r="B12550" s="86"/>
      <c r="D12550" s="26"/>
      <c r="F12550" s="87" t="str">
        <f t="shared" si="0"/>
        <v/>
      </c>
      <c r="H12550" s="26" t="str">
        <f t="shared" si="1"/>
        <v/>
      </c>
      <c r="I12550" s="26" t="str">
        <f t="shared" si="2"/>
        <v/>
      </c>
      <c r="J12550" s="86">
        <f t="shared" si="3"/>
        <v>0</v>
      </c>
      <c r="R12550" s="26"/>
    </row>
    <row r="12551" spans="1:18" ht="15.75" customHeight="1">
      <c r="A12551" s="26"/>
      <c r="B12551" s="86"/>
      <c r="D12551" s="26"/>
      <c r="F12551" s="87" t="str">
        <f t="shared" si="0"/>
        <v/>
      </c>
      <c r="H12551" s="26" t="str">
        <f t="shared" si="1"/>
        <v/>
      </c>
      <c r="I12551" s="26" t="str">
        <f t="shared" si="2"/>
        <v/>
      </c>
      <c r="J12551" s="86">
        <f t="shared" si="3"/>
        <v>0</v>
      </c>
      <c r="R12551" s="26"/>
    </row>
    <row r="12552" spans="1:18" ht="15.75" customHeight="1">
      <c r="A12552" s="26"/>
      <c r="B12552" s="86"/>
      <c r="D12552" s="26"/>
      <c r="F12552" s="87" t="str">
        <f t="shared" si="0"/>
        <v/>
      </c>
      <c r="H12552" s="26" t="str">
        <f t="shared" si="1"/>
        <v/>
      </c>
      <c r="I12552" s="26" t="str">
        <f t="shared" si="2"/>
        <v/>
      </c>
      <c r="J12552" s="86">
        <f t="shared" si="3"/>
        <v>0</v>
      </c>
      <c r="R12552" s="26"/>
    </row>
    <row r="12553" spans="1:18" ht="15.75" customHeight="1">
      <c r="A12553" s="26"/>
      <c r="B12553" s="86"/>
      <c r="D12553" s="26"/>
      <c r="F12553" s="87" t="str">
        <f t="shared" si="0"/>
        <v/>
      </c>
      <c r="H12553" s="26" t="str">
        <f t="shared" si="1"/>
        <v/>
      </c>
      <c r="I12553" s="26" t="str">
        <f t="shared" si="2"/>
        <v/>
      </c>
      <c r="J12553" s="86">
        <f t="shared" si="3"/>
        <v>0</v>
      </c>
      <c r="R12553" s="26"/>
    </row>
    <row r="12554" spans="1:18" ht="15.75" customHeight="1">
      <c r="A12554" s="26"/>
      <c r="B12554" s="86"/>
      <c r="D12554" s="26"/>
      <c r="F12554" s="87" t="str">
        <f t="shared" si="0"/>
        <v/>
      </c>
      <c r="H12554" s="26" t="str">
        <f t="shared" si="1"/>
        <v/>
      </c>
      <c r="I12554" s="26" t="str">
        <f t="shared" si="2"/>
        <v/>
      </c>
      <c r="J12554" s="86">
        <f t="shared" si="3"/>
        <v>0</v>
      </c>
      <c r="R12554" s="26"/>
    </row>
    <row r="12555" spans="1:18" ht="15.75" customHeight="1">
      <c r="A12555" s="26"/>
      <c r="B12555" s="86"/>
      <c r="D12555" s="26"/>
      <c r="F12555" s="87" t="str">
        <f t="shared" si="0"/>
        <v/>
      </c>
      <c r="H12555" s="26" t="str">
        <f t="shared" si="1"/>
        <v/>
      </c>
      <c r="I12555" s="26" t="str">
        <f t="shared" si="2"/>
        <v/>
      </c>
      <c r="J12555" s="86">
        <f t="shared" si="3"/>
        <v>0</v>
      </c>
      <c r="R12555" s="26"/>
    </row>
    <row r="12556" spans="1:18" ht="15.75" customHeight="1">
      <c r="A12556" s="26"/>
      <c r="B12556" s="86"/>
      <c r="D12556" s="26"/>
      <c r="F12556" s="87" t="str">
        <f t="shared" si="0"/>
        <v/>
      </c>
      <c r="H12556" s="26" t="str">
        <f t="shared" si="1"/>
        <v/>
      </c>
      <c r="I12556" s="26" t="str">
        <f t="shared" si="2"/>
        <v/>
      </c>
      <c r="J12556" s="86">
        <f t="shared" si="3"/>
        <v>0</v>
      </c>
      <c r="R12556" s="26"/>
    </row>
    <row r="12557" spans="1:18" ht="15.75" customHeight="1">
      <c r="A12557" s="26"/>
      <c r="B12557" s="86"/>
      <c r="D12557" s="26"/>
      <c r="F12557" s="87" t="str">
        <f t="shared" si="0"/>
        <v/>
      </c>
      <c r="H12557" s="26" t="str">
        <f t="shared" si="1"/>
        <v/>
      </c>
      <c r="I12557" s="26" t="str">
        <f t="shared" si="2"/>
        <v/>
      </c>
      <c r="J12557" s="86">
        <f t="shared" si="3"/>
        <v>0</v>
      </c>
      <c r="R12557" s="26"/>
    </row>
    <row r="12558" spans="1:18" ht="15.75" customHeight="1">
      <c r="A12558" s="26"/>
      <c r="B12558" s="86"/>
      <c r="D12558" s="26"/>
      <c r="F12558" s="87" t="str">
        <f t="shared" si="0"/>
        <v/>
      </c>
      <c r="H12558" s="26" t="str">
        <f t="shared" si="1"/>
        <v/>
      </c>
      <c r="I12558" s="26" t="str">
        <f t="shared" si="2"/>
        <v/>
      </c>
      <c r="J12558" s="86">
        <f t="shared" si="3"/>
        <v>0</v>
      </c>
      <c r="R12558" s="26"/>
    </row>
    <row r="12559" spans="1:18" ht="15.75" customHeight="1">
      <c r="A12559" s="26"/>
      <c r="B12559" s="86"/>
      <c r="D12559" s="26"/>
      <c r="F12559" s="87" t="str">
        <f t="shared" si="0"/>
        <v/>
      </c>
      <c r="H12559" s="26" t="str">
        <f t="shared" si="1"/>
        <v/>
      </c>
      <c r="I12559" s="26" t="str">
        <f t="shared" si="2"/>
        <v/>
      </c>
      <c r="J12559" s="86">
        <f t="shared" si="3"/>
        <v>0</v>
      </c>
      <c r="R12559" s="26"/>
    </row>
    <row r="12560" spans="1:18" ht="15.75" customHeight="1">
      <c r="A12560" s="26"/>
      <c r="B12560" s="86"/>
      <c r="D12560" s="26"/>
      <c r="F12560" s="87" t="str">
        <f t="shared" si="0"/>
        <v/>
      </c>
      <c r="H12560" s="26" t="str">
        <f t="shared" si="1"/>
        <v/>
      </c>
      <c r="I12560" s="26" t="str">
        <f t="shared" si="2"/>
        <v/>
      </c>
      <c r="J12560" s="86">
        <f t="shared" si="3"/>
        <v>0</v>
      </c>
      <c r="R12560" s="26"/>
    </row>
    <row r="12561" spans="1:18" ht="15.75" customHeight="1">
      <c r="A12561" s="26"/>
      <c r="B12561" s="86"/>
      <c r="D12561" s="26"/>
      <c r="F12561" s="87" t="str">
        <f t="shared" si="0"/>
        <v/>
      </c>
      <c r="H12561" s="26" t="str">
        <f t="shared" si="1"/>
        <v/>
      </c>
      <c r="I12561" s="26" t="str">
        <f t="shared" si="2"/>
        <v/>
      </c>
      <c r="J12561" s="86">
        <f t="shared" si="3"/>
        <v>0</v>
      </c>
      <c r="R12561" s="26"/>
    </row>
    <row r="12562" spans="1:18" ht="15.75" customHeight="1">
      <c r="A12562" s="26"/>
      <c r="B12562" s="86"/>
      <c r="D12562" s="26"/>
      <c r="F12562" s="87" t="str">
        <f t="shared" si="0"/>
        <v/>
      </c>
      <c r="H12562" s="26" t="str">
        <f t="shared" si="1"/>
        <v/>
      </c>
      <c r="I12562" s="26" t="str">
        <f t="shared" si="2"/>
        <v/>
      </c>
      <c r="J12562" s="86">
        <f t="shared" si="3"/>
        <v>0</v>
      </c>
      <c r="R12562" s="26"/>
    </row>
    <row r="12563" spans="1:18" ht="15.75" customHeight="1">
      <c r="A12563" s="26"/>
      <c r="B12563" s="86"/>
      <c r="D12563" s="26"/>
      <c r="F12563" s="87" t="str">
        <f t="shared" si="0"/>
        <v/>
      </c>
      <c r="H12563" s="26" t="str">
        <f t="shared" si="1"/>
        <v/>
      </c>
      <c r="I12563" s="26" t="str">
        <f t="shared" si="2"/>
        <v/>
      </c>
      <c r="J12563" s="86">
        <f t="shared" si="3"/>
        <v>0</v>
      </c>
      <c r="R12563" s="26"/>
    </row>
    <row r="12564" spans="1:18" ht="15.75" customHeight="1">
      <c r="A12564" s="26"/>
      <c r="B12564" s="86"/>
      <c r="D12564" s="26"/>
      <c r="F12564" s="87" t="str">
        <f t="shared" si="0"/>
        <v/>
      </c>
      <c r="H12564" s="26" t="str">
        <f t="shared" si="1"/>
        <v/>
      </c>
      <c r="I12564" s="26" t="str">
        <f t="shared" si="2"/>
        <v/>
      </c>
      <c r="J12564" s="86">
        <f t="shared" si="3"/>
        <v>0</v>
      </c>
      <c r="R12564" s="26"/>
    </row>
    <row r="12565" spans="1:18" ht="15.75" customHeight="1">
      <c r="A12565" s="26"/>
      <c r="B12565" s="86"/>
      <c r="D12565" s="26"/>
      <c r="F12565" s="87" t="str">
        <f t="shared" si="0"/>
        <v/>
      </c>
      <c r="H12565" s="26" t="str">
        <f t="shared" si="1"/>
        <v/>
      </c>
      <c r="I12565" s="26" t="str">
        <f t="shared" si="2"/>
        <v/>
      </c>
      <c r="J12565" s="86">
        <f t="shared" si="3"/>
        <v>0</v>
      </c>
      <c r="R12565" s="26"/>
    </row>
    <row r="12566" spans="1:18" ht="15.75" customHeight="1">
      <c r="A12566" s="26"/>
      <c r="B12566" s="86"/>
      <c r="D12566" s="26"/>
      <c r="F12566" s="87" t="str">
        <f t="shared" si="0"/>
        <v/>
      </c>
      <c r="H12566" s="26" t="str">
        <f t="shared" si="1"/>
        <v/>
      </c>
      <c r="I12566" s="26" t="str">
        <f t="shared" si="2"/>
        <v/>
      </c>
      <c r="J12566" s="86">
        <f t="shared" si="3"/>
        <v>0</v>
      </c>
      <c r="R12566" s="26"/>
    </row>
    <row r="12567" spans="1:18" ht="15.75" customHeight="1">
      <c r="A12567" s="26"/>
      <c r="B12567" s="86"/>
      <c r="D12567" s="26"/>
      <c r="F12567" s="87" t="str">
        <f t="shared" si="0"/>
        <v/>
      </c>
      <c r="H12567" s="26" t="str">
        <f t="shared" si="1"/>
        <v/>
      </c>
      <c r="I12567" s="26" t="str">
        <f t="shared" si="2"/>
        <v/>
      </c>
      <c r="J12567" s="86">
        <f t="shared" si="3"/>
        <v>0</v>
      </c>
      <c r="R12567" s="26"/>
    </row>
    <row r="12568" spans="1:18" ht="15.75" customHeight="1">
      <c r="A12568" s="26"/>
      <c r="B12568" s="86"/>
      <c r="D12568" s="26"/>
      <c r="F12568" s="87" t="str">
        <f t="shared" si="0"/>
        <v/>
      </c>
      <c r="H12568" s="26" t="str">
        <f t="shared" si="1"/>
        <v/>
      </c>
      <c r="I12568" s="26" t="str">
        <f t="shared" si="2"/>
        <v/>
      </c>
      <c r="J12568" s="86">
        <f t="shared" si="3"/>
        <v>0</v>
      </c>
      <c r="R12568" s="26"/>
    </row>
    <row r="12569" spans="1:18" ht="15.75" customHeight="1">
      <c r="A12569" s="26"/>
      <c r="B12569" s="86"/>
      <c r="D12569" s="26"/>
      <c r="F12569" s="87" t="str">
        <f t="shared" si="0"/>
        <v/>
      </c>
      <c r="H12569" s="26" t="str">
        <f t="shared" si="1"/>
        <v/>
      </c>
      <c r="I12569" s="26" t="str">
        <f t="shared" si="2"/>
        <v/>
      </c>
      <c r="J12569" s="86">
        <f t="shared" si="3"/>
        <v>0</v>
      </c>
      <c r="R12569" s="26"/>
    </row>
    <row r="12570" spans="1:18" ht="15.75" customHeight="1">
      <c r="A12570" s="26"/>
      <c r="B12570" s="86"/>
      <c r="D12570" s="26"/>
      <c r="F12570" s="87" t="str">
        <f t="shared" si="0"/>
        <v/>
      </c>
      <c r="H12570" s="26" t="str">
        <f t="shared" si="1"/>
        <v/>
      </c>
      <c r="I12570" s="26" t="str">
        <f t="shared" si="2"/>
        <v/>
      </c>
      <c r="J12570" s="86">
        <f t="shared" si="3"/>
        <v>0</v>
      </c>
      <c r="R12570" s="26"/>
    </row>
    <row r="12571" spans="1:18" ht="15.75" customHeight="1">
      <c r="A12571" s="26"/>
      <c r="B12571" s="86"/>
      <c r="D12571" s="26"/>
      <c r="F12571" s="87" t="str">
        <f t="shared" si="0"/>
        <v/>
      </c>
      <c r="H12571" s="26" t="str">
        <f t="shared" si="1"/>
        <v/>
      </c>
      <c r="I12571" s="26" t="str">
        <f t="shared" si="2"/>
        <v/>
      </c>
      <c r="J12571" s="86">
        <f t="shared" si="3"/>
        <v>0</v>
      </c>
      <c r="R12571" s="26"/>
    </row>
    <row r="12572" spans="1:18" ht="15.75" customHeight="1">
      <c r="A12572" s="26"/>
      <c r="B12572" s="86"/>
      <c r="D12572" s="26"/>
      <c r="F12572" s="87" t="str">
        <f t="shared" si="0"/>
        <v/>
      </c>
      <c r="H12572" s="26" t="str">
        <f t="shared" si="1"/>
        <v/>
      </c>
      <c r="I12572" s="26" t="str">
        <f t="shared" si="2"/>
        <v/>
      </c>
      <c r="J12572" s="86">
        <f t="shared" si="3"/>
        <v>0</v>
      </c>
      <c r="R12572" s="26"/>
    </row>
    <row r="12573" spans="1:18" ht="15.75" customHeight="1">
      <c r="A12573" s="26"/>
      <c r="B12573" s="86"/>
      <c r="D12573" s="26"/>
      <c r="F12573" s="87" t="str">
        <f t="shared" si="0"/>
        <v/>
      </c>
      <c r="H12573" s="26" t="str">
        <f t="shared" si="1"/>
        <v/>
      </c>
      <c r="I12573" s="26" t="str">
        <f t="shared" si="2"/>
        <v/>
      </c>
      <c r="J12573" s="86">
        <f t="shared" si="3"/>
        <v>0</v>
      </c>
      <c r="R12573" s="26"/>
    </row>
    <row r="12574" spans="1:18" ht="15.75" customHeight="1">
      <c r="A12574" s="26"/>
      <c r="B12574" s="86"/>
      <c r="D12574" s="26"/>
      <c r="F12574" s="87" t="str">
        <f t="shared" si="0"/>
        <v/>
      </c>
      <c r="H12574" s="26" t="str">
        <f t="shared" si="1"/>
        <v/>
      </c>
      <c r="I12574" s="26" t="str">
        <f t="shared" si="2"/>
        <v/>
      </c>
      <c r="J12574" s="86">
        <f t="shared" si="3"/>
        <v>0</v>
      </c>
      <c r="R12574" s="26"/>
    </row>
    <row r="12575" spans="1:18" ht="15.75" customHeight="1">
      <c r="A12575" s="26"/>
      <c r="B12575" s="86"/>
      <c r="D12575" s="26"/>
      <c r="F12575" s="87" t="str">
        <f t="shared" si="0"/>
        <v/>
      </c>
      <c r="H12575" s="26" t="str">
        <f t="shared" si="1"/>
        <v/>
      </c>
      <c r="I12575" s="26" t="str">
        <f t="shared" si="2"/>
        <v/>
      </c>
      <c r="J12575" s="86">
        <f t="shared" si="3"/>
        <v>0</v>
      </c>
      <c r="R12575" s="26"/>
    </row>
    <row r="12576" spans="1:18" ht="15.75" customHeight="1">
      <c r="A12576" s="26"/>
      <c r="B12576" s="86"/>
      <c r="D12576" s="26"/>
      <c r="F12576" s="87" t="str">
        <f t="shared" si="0"/>
        <v/>
      </c>
      <c r="H12576" s="26" t="str">
        <f t="shared" si="1"/>
        <v/>
      </c>
      <c r="I12576" s="26" t="str">
        <f t="shared" si="2"/>
        <v/>
      </c>
      <c r="J12576" s="86">
        <f t="shared" si="3"/>
        <v>0</v>
      </c>
      <c r="R12576" s="26"/>
    </row>
    <row r="12577" spans="1:18" ht="15.75" customHeight="1">
      <c r="A12577" s="26"/>
      <c r="B12577" s="86"/>
      <c r="D12577" s="26"/>
      <c r="F12577" s="87" t="str">
        <f t="shared" si="0"/>
        <v/>
      </c>
      <c r="H12577" s="26" t="str">
        <f t="shared" si="1"/>
        <v/>
      </c>
      <c r="I12577" s="26" t="str">
        <f t="shared" si="2"/>
        <v/>
      </c>
      <c r="J12577" s="86">
        <f t="shared" si="3"/>
        <v>0</v>
      </c>
      <c r="R12577" s="26"/>
    </row>
    <row r="12578" spans="1:18" ht="15.75" customHeight="1">
      <c r="A12578" s="26"/>
      <c r="B12578" s="86"/>
      <c r="D12578" s="26"/>
      <c r="F12578" s="87" t="str">
        <f t="shared" si="0"/>
        <v/>
      </c>
      <c r="H12578" s="26" t="str">
        <f t="shared" si="1"/>
        <v/>
      </c>
      <c r="I12578" s="26" t="str">
        <f t="shared" si="2"/>
        <v/>
      </c>
      <c r="J12578" s="86">
        <f t="shared" si="3"/>
        <v>0</v>
      </c>
      <c r="R12578" s="26"/>
    </row>
    <row r="12579" spans="1:18" ht="15.75" customHeight="1">
      <c r="A12579" s="26"/>
      <c r="B12579" s="86"/>
      <c r="D12579" s="26"/>
      <c r="F12579" s="87" t="str">
        <f t="shared" si="0"/>
        <v/>
      </c>
      <c r="H12579" s="26" t="str">
        <f t="shared" si="1"/>
        <v/>
      </c>
      <c r="I12579" s="26" t="str">
        <f t="shared" si="2"/>
        <v/>
      </c>
      <c r="J12579" s="86">
        <f t="shared" si="3"/>
        <v>0</v>
      </c>
      <c r="R12579" s="26"/>
    </row>
    <row r="12580" spans="1:18" ht="15.75" customHeight="1">
      <c r="A12580" s="26"/>
      <c r="B12580" s="86"/>
      <c r="D12580" s="26"/>
      <c r="F12580" s="87" t="str">
        <f t="shared" si="0"/>
        <v/>
      </c>
      <c r="H12580" s="26" t="str">
        <f t="shared" si="1"/>
        <v/>
      </c>
      <c r="I12580" s="26" t="str">
        <f t="shared" si="2"/>
        <v/>
      </c>
      <c r="J12580" s="86">
        <f t="shared" si="3"/>
        <v>0</v>
      </c>
      <c r="R12580" s="26"/>
    </row>
    <row r="12581" spans="1:18" ht="15.75" customHeight="1">
      <c r="A12581" s="26"/>
      <c r="B12581" s="86"/>
      <c r="D12581" s="26"/>
      <c r="F12581" s="87" t="str">
        <f t="shared" si="0"/>
        <v/>
      </c>
      <c r="H12581" s="26" t="str">
        <f t="shared" si="1"/>
        <v/>
      </c>
      <c r="I12581" s="26" t="str">
        <f t="shared" si="2"/>
        <v/>
      </c>
      <c r="J12581" s="86">
        <f t="shared" si="3"/>
        <v>0</v>
      </c>
      <c r="R12581" s="26"/>
    </row>
    <row r="12582" spans="1:18" ht="15.75" customHeight="1">
      <c r="A12582" s="26"/>
      <c r="B12582" s="86"/>
      <c r="D12582" s="26"/>
      <c r="F12582" s="87" t="str">
        <f t="shared" si="0"/>
        <v/>
      </c>
      <c r="H12582" s="26" t="str">
        <f t="shared" si="1"/>
        <v/>
      </c>
      <c r="I12582" s="26" t="str">
        <f t="shared" si="2"/>
        <v/>
      </c>
      <c r="J12582" s="86">
        <f t="shared" si="3"/>
        <v>0</v>
      </c>
      <c r="R12582" s="26"/>
    </row>
    <row r="12583" spans="1:18" ht="15.75" customHeight="1">
      <c r="A12583" s="26"/>
      <c r="B12583" s="86"/>
      <c r="D12583" s="26"/>
      <c r="F12583" s="87" t="str">
        <f t="shared" si="0"/>
        <v/>
      </c>
      <c r="H12583" s="26" t="str">
        <f t="shared" si="1"/>
        <v/>
      </c>
      <c r="I12583" s="26" t="str">
        <f t="shared" si="2"/>
        <v/>
      </c>
      <c r="J12583" s="86">
        <f t="shared" si="3"/>
        <v>0</v>
      </c>
      <c r="R12583" s="26"/>
    </row>
    <row r="12584" spans="1:18" ht="15.75" customHeight="1">
      <c r="A12584" s="26"/>
      <c r="B12584" s="86"/>
      <c r="D12584" s="26"/>
      <c r="F12584" s="87" t="str">
        <f t="shared" si="0"/>
        <v/>
      </c>
      <c r="H12584" s="26" t="str">
        <f t="shared" si="1"/>
        <v/>
      </c>
      <c r="I12584" s="26" t="str">
        <f t="shared" si="2"/>
        <v/>
      </c>
      <c r="J12584" s="86">
        <f t="shared" si="3"/>
        <v>0</v>
      </c>
      <c r="R12584" s="26"/>
    </row>
    <row r="12585" spans="1:18" ht="15.75" customHeight="1">
      <c r="A12585" s="26"/>
      <c r="B12585" s="86"/>
      <c r="D12585" s="26"/>
      <c r="F12585" s="87" t="str">
        <f t="shared" si="0"/>
        <v/>
      </c>
      <c r="H12585" s="26" t="str">
        <f t="shared" si="1"/>
        <v/>
      </c>
      <c r="I12585" s="26" t="str">
        <f t="shared" si="2"/>
        <v/>
      </c>
      <c r="J12585" s="86">
        <f t="shared" si="3"/>
        <v>0</v>
      </c>
      <c r="R12585" s="26"/>
    </row>
    <row r="12586" spans="1:18" ht="15.75" customHeight="1">
      <c r="A12586" s="26"/>
      <c r="B12586" s="86"/>
      <c r="D12586" s="26"/>
      <c r="F12586" s="87" t="str">
        <f t="shared" si="0"/>
        <v/>
      </c>
      <c r="H12586" s="26" t="str">
        <f t="shared" si="1"/>
        <v/>
      </c>
      <c r="I12586" s="26" t="str">
        <f t="shared" si="2"/>
        <v/>
      </c>
      <c r="J12586" s="86">
        <f t="shared" si="3"/>
        <v>0</v>
      </c>
      <c r="R12586" s="26"/>
    </row>
    <row r="12587" spans="1:18" ht="15.75" customHeight="1">
      <c r="A12587" s="26"/>
      <c r="B12587" s="86"/>
      <c r="D12587" s="26"/>
      <c r="F12587" s="87" t="str">
        <f t="shared" si="0"/>
        <v/>
      </c>
      <c r="H12587" s="26" t="str">
        <f t="shared" si="1"/>
        <v/>
      </c>
      <c r="I12587" s="26" t="str">
        <f t="shared" si="2"/>
        <v/>
      </c>
      <c r="J12587" s="86">
        <f t="shared" si="3"/>
        <v>0</v>
      </c>
      <c r="R12587" s="26"/>
    </row>
    <row r="12588" spans="1:18" ht="15.75" customHeight="1">
      <c r="A12588" s="26"/>
      <c r="B12588" s="86"/>
      <c r="D12588" s="26"/>
      <c r="F12588" s="87" t="str">
        <f t="shared" si="0"/>
        <v/>
      </c>
      <c r="H12588" s="26" t="str">
        <f t="shared" si="1"/>
        <v/>
      </c>
      <c r="I12588" s="26" t="str">
        <f t="shared" si="2"/>
        <v/>
      </c>
      <c r="J12588" s="86">
        <f t="shared" si="3"/>
        <v>0</v>
      </c>
      <c r="R12588" s="26"/>
    </row>
    <row r="12589" spans="1:18" ht="15.75" customHeight="1">
      <c r="A12589" s="26"/>
      <c r="B12589" s="86"/>
      <c r="D12589" s="26"/>
      <c r="F12589" s="87" t="str">
        <f t="shared" si="0"/>
        <v/>
      </c>
      <c r="H12589" s="26" t="str">
        <f t="shared" si="1"/>
        <v/>
      </c>
      <c r="I12589" s="26" t="str">
        <f t="shared" si="2"/>
        <v/>
      </c>
      <c r="J12589" s="86">
        <f t="shared" si="3"/>
        <v>0</v>
      </c>
      <c r="R12589" s="26"/>
    </row>
    <row r="12590" spans="1:18" ht="15.75" customHeight="1">
      <c r="A12590" s="26"/>
      <c r="B12590" s="86"/>
      <c r="D12590" s="26"/>
      <c r="F12590" s="87" t="str">
        <f t="shared" si="0"/>
        <v/>
      </c>
      <c r="H12590" s="26" t="str">
        <f t="shared" si="1"/>
        <v/>
      </c>
      <c r="I12590" s="26" t="str">
        <f t="shared" si="2"/>
        <v/>
      </c>
      <c r="J12590" s="86">
        <f t="shared" si="3"/>
        <v>0</v>
      </c>
      <c r="R12590" s="26"/>
    </row>
    <row r="12591" spans="1:18" ht="15.75" customHeight="1">
      <c r="A12591" s="26"/>
      <c r="B12591" s="86"/>
      <c r="D12591" s="26"/>
      <c r="F12591" s="87" t="str">
        <f t="shared" si="0"/>
        <v/>
      </c>
      <c r="H12591" s="26" t="str">
        <f t="shared" si="1"/>
        <v/>
      </c>
      <c r="I12591" s="26" t="str">
        <f t="shared" si="2"/>
        <v/>
      </c>
      <c r="J12591" s="86">
        <f t="shared" si="3"/>
        <v>0</v>
      </c>
      <c r="R12591" s="26"/>
    </row>
    <row r="12592" spans="1:18" ht="15.75" customHeight="1">
      <c r="A12592" s="26"/>
      <c r="B12592" s="86"/>
      <c r="D12592" s="26"/>
      <c r="F12592" s="87" t="str">
        <f t="shared" si="0"/>
        <v/>
      </c>
      <c r="H12592" s="26" t="str">
        <f t="shared" si="1"/>
        <v/>
      </c>
      <c r="I12592" s="26" t="str">
        <f t="shared" si="2"/>
        <v/>
      </c>
      <c r="J12592" s="86">
        <f t="shared" si="3"/>
        <v>0</v>
      </c>
      <c r="R12592" s="26"/>
    </row>
    <row r="12593" spans="1:18" ht="15.75" customHeight="1">
      <c r="A12593" s="26"/>
      <c r="B12593" s="86"/>
      <c r="D12593" s="26"/>
      <c r="F12593" s="87" t="str">
        <f t="shared" si="0"/>
        <v/>
      </c>
      <c r="H12593" s="26" t="str">
        <f t="shared" si="1"/>
        <v/>
      </c>
      <c r="I12593" s="26" t="str">
        <f t="shared" si="2"/>
        <v/>
      </c>
      <c r="J12593" s="86">
        <f t="shared" si="3"/>
        <v>0</v>
      </c>
      <c r="R12593" s="26"/>
    </row>
    <row r="12594" spans="1:18" ht="15.75" customHeight="1">
      <c r="A12594" s="26"/>
      <c r="B12594" s="86"/>
      <c r="D12594" s="26"/>
      <c r="F12594" s="87" t="str">
        <f t="shared" si="0"/>
        <v/>
      </c>
      <c r="H12594" s="26" t="str">
        <f t="shared" si="1"/>
        <v/>
      </c>
      <c r="I12594" s="26" t="str">
        <f t="shared" si="2"/>
        <v/>
      </c>
      <c r="J12594" s="86">
        <f t="shared" si="3"/>
        <v>0</v>
      </c>
      <c r="R12594" s="26"/>
    </row>
    <row r="12595" spans="1:18" ht="15.75" customHeight="1">
      <c r="A12595" s="26"/>
      <c r="B12595" s="86"/>
      <c r="D12595" s="26"/>
      <c r="F12595" s="87" t="str">
        <f t="shared" si="0"/>
        <v/>
      </c>
      <c r="H12595" s="26" t="str">
        <f t="shared" si="1"/>
        <v/>
      </c>
      <c r="I12595" s="26" t="str">
        <f t="shared" si="2"/>
        <v/>
      </c>
      <c r="J12595" s="86">
        <f t="shared" si="3"/>
        <v>0</v>
      </c>
      <c r="R12595" s="26"/>
    </row>
    <row r="12596" spans="1:18" ht="15.75" customHeight="1">
      <c r="A12596" s="26"/>
      <c r="B12596" s="86"/>
      <c r="D12596" s="26"/>
      <c r="F12596" s="87" t="str">
        <f t="shared" si="0"/>
        <v/>
      </c>
      <c r="H12596" s="26" t="str">
        <f t="shared" si="1"/>
        <v/>
      </c>
      <c r="I12596" s="26" t="str">
        <f t="shared" si="2"/>
        <v/>
      </c>
      <c r="J12596" s="86">
        <f t="shared" si="3"/>
        <v>0</v>
      </c>
      <c r="R12596" s="26"/>
    </row>
    <row r="12597" spans="1:18" ht="15.75" customHeight="1">
      <c r="A12597" s="26"/>
      <c r="B12597" s="86"/>
      <c r="D12597" s="26"/>
      <c r="F12597" s="87" t="str">
        <f t="shared" si="0"/>
        <v/>
      </c>
      <c r="H12597" s="26" t="str">
        <f t="shared" si="1"/>
        <v/>
      </c>
      <c r="I12597" s="26" t="str">
        <f t="shared" si="2"/>
        <v/>
      </c>
      <c r="J12597" s="86">
        <f t="shared" si="3"/>
        <v>0</v>
      </c>
      <c r="R12597" s="26"/>
    </row>
    <row r="12598" spans="1:18" ht="15.75" customHeight="1">
      <c r="A12598" s="26"/>
      <c r="B12598" s="86"/>
      <c r="D12598" s="26"/>
      <c r="F12598" s="87" t="str">
        <f t="shared" si="0"/>
        <v/>
      </c>
      <c r="H12598" s="26" t="str">
        <f t="shared" si="1"/>
        <v/>
      </c>
      <c r="I12598" s="26" t="str">
        <f t="shared" si="2"/>
        <v/>
      </c>
      <c r="J12598" s="86">
        <f t="shared" si="3"/>
        <v>0</v>
      </c>
      <c r="R12598" s="26"/>
    </row>
    <row r="12599" spans="1:18" ht="15.75" customHeight="1">
      <c r="A12599" s="26"/>
      <c r="B12599" s="86"/>
      <c r="D12599" s="26"/>
      <c r="F12599" s="87" t="str">
        <f t="shared" si="0"/>
        <v/>
      </c>
      <c r="H12599" s="26" t="str">
        <f t="shared" si="1"/>
        <v/>
      </c>
      <c r="I12599" s="26" t="str">
        <f t="shared" si="2"/>
        <v/>
      </c>
      <c r="J12599" s="86">
        <f t="shared" si="3"/>
        <v>0</v>
      </c>
      <c r="R12599" s="26"/>
    </row>
    <row r="12600" spans="1:18" ht="15.75" customHeight="1">
      <c r="A12600" s="26"/>
      <c r="B12600" s="86"/>
      <c r="D12600" s="26"/>
      <c r="F12600" s="87" t="str">
        <f t="shared" si="0"/>
        <v/>
      </c>
      <c r="H12600" s="26" t="str">
        <f t="shared" si="1"/>
        <v/>
      </c>
      <c r="I12600" s="26" t="str">
        <f t="shared" si="2"/>
        <v/>
      </c>
      <c r="J12600" s="86">
        <f t="shared" si="3"/>
        <v>0</v>
      </c>
      <c r="R12600" s="26"/>
    </row>
    <row r="12601" spans="1:18" ht="15.75" customHeight="1">
      <c r="A12601" s="26"/>
      <c r="B12601" s="86"/>
      <c r="D12601" s="26"/>
      <c r="F12601" s="87" t="str">
        <f t="shared" si="0"/>
        <v/>
      </c>
      <c r="H12601" s="26" t="str">
        <f t="shared" si="1"/>
        <v/>
      </c>
      <c r="I12601" s="26" t="str">
        <f t="shared" si="2"/>
        <v/>
      </c>
      <c r="J12601" s="86">
        <f t="shared" si="3"/>
        <v>0</v>
      </c>
      <c r="R12601" s="26"/>
    </row>
    <row r="12602" spans="1:18" ht="15.75" customHeight="1">
      <c r="A12602" s="26"/>
      <c r="B12602" s="86"/>
      <c r="D12602" s="26"/>
      <c r="F12602" s="87" t="str">
        <f t="shared" si="0"/>
        <v/>
      </c>
      <c r="H12602" s="26" t="str">
        <f t="shared" si="1"/>
        <v/>
      </c>
      <c r="I12602" s="26" t="str">
        <f t="shared" si="2"/>
        <v/>
      </c>
      <c r="J12602" s="86">
        <f t="shared" si="3"/>
        <v>0</v>
      </c>
      <c r="R12602" s="26"/>
    </row>
    <row r="12603" spans="1:18" ht="15.75" customHeight="1">
      <c r="A12603" s="26"/>
      <c r="B12603" s="86"/>
      <c r="D12603" s="26"/>
      <c r="F12603" s="87" t="str">
        <f t="shared" si="0"/>
        <v/>
      </c>
      <c r="H12603" s="26" t="str">
        <f t="shared" si="1"/>
        <v/>
      </c>
      <c r="I12603" s="26" t="str">
        <f t="shared" si="2"/>
        <v/>
      </c>
      <c r="J12603" s="86">
        <f t="shared" si="3"/>
        <v>0</v>
      </c>
      <c r="R12603" s="26"/>
    </row>
    <row r="12604" spans="1:18" ht="15.75" customHeight="1">
      <c r="A12604" s="26"/>
      <c r="B12604" s="86"/>
      <c r="D12604" s="26"/>
      <c r="F12604" s="87" t="str">
        <f t="shared" si="0"/>
        <v/>
      </c>
      <c r="H12604" s="26" t="str">
        <f t="shared" si="1"/>
        <v/>
      </c>
      <c r="I12604" s="26" t="str">
        <f t="shared" si="2"/>
        <v/>
      </c>
      <c r="J12604" s="86">
        <f t="shared" si="3"/>
        <v>0</v>
      </c>
      <c r="R12604" s="26"/>
    </row>
    <row r="12605" spans="1:18" ht="15.75" customHeight="1">
      <c r="A12605" s="26"/>
      <c r="B12605" s="86"/>
      <c r="D12605" s="26"/>
      <c r="F12605" s="87" t="str">
        <f t="shared" si="0"/>
        <v/>
      </c>
      <c r="H12605" s="26" t="str">
        <f t="shared" si="1"/>
        <v/>
      </c>
      <c r="I12605" s="26" t="str">
        <f t="shared" si="2"/>
        <v/>
      </c>
      <c r="J12605" s="86">
        <f t="shared" si="3"/>
        <v>0</v>
      </c>
      <c r="R12605" s="26"/>
    </row>
    <row r="12606" spans="1:18" ht="15.75" customHeight="1">
      <c r="A12606" s="26"/>
      <c r="B12606" s="86"/>
      <c r="D12606" s="26"/>
      <c r="F12606" s="87" t="str">
        <f t="shared" si="0"/>
        <v/>
      </c>
      <c r="H12606" s="26" t="str">
        <f t="shared" si="1"/>
        <v/>
      </c>
      <c r="I12606" s="26" t="str">
        <f t="shared" si="2"/>
        <v/>
      </c>
      <c r="J12606" s="86">
        <f t="shared" si="3"/>
        <v>0</v>
      </c>
      <c r="R12606" s="26"/>
    </row>
    <row r="12607" spans="1:18" ht="15.75" customHeight="1">
      <c r="A12607" s="26"/>
      <c r="B12607" s="86"/>
      <c r="D12607" s="26"/>
      <c r="F12607" s="87" t="str">
        <f t="shared" si="0"/>
        <v/>
      </c>
      <c r="H12607" s="26" t="str">
        <f t="shared" si="1"/>
        <v/>
      </c>
      <c r="I12607" s="26" t="str">
        <f t="shared" si="2"/>
        <v/>
      </c>
      <c r="J12607" s="86">
        <f t="shared" si="3"/>
        <v>0</v>
      </c>
      <c r="R12607" s="26"/>
    </row>
    <row r="12608" spans="1:18" ht="15.75" customHeight="1">
      <c r="A12608" s="26"/>
      <c r="B12608" s="86"/>
      <c r="D12608" s="26"/>
      <c r="F12608" s="87" t="str">
        <f t="shared" si="0"/>
        <v/>
      </c>
      <c r="H12608" s="26" t="str">
        <f t="shared" si="1"/>
        <v/>
      </c>
      <c r="I12608" s="26" t="str">
        <f t="shared" si="2"/>
        <v/>
      </c>
      <c r="J12608" s="86">
        <f t="shared" si="3"/>
        <v>0</v>
      </c>
      <c r="R12608" s="26"/>
    </row>
    <row r="12609" spans="1:18" ht="15.75" customHeight="1">
      <c r="A12609" s="26"/>
      <c r="B12609" s="86"/>
      <c r="D12609" s="26"/>
      <c r="F12609" s="87" t="str">
        <f t="shared" si="0"/>
        <v/>
      </c>
      <c r="H12609" s="26" t="str">
        <f t="shared" si="1"/>
        <v/>
      </c>
      <c r="I12609" s="26" t="str">
        <f t="shared" si="2"/>
        <v/>
      </c>
      <c r="J12609" s="86">
        <f t="shared" si="3"/>
        <v>0</v>
      </c>
      <c r="R12609" s="26"/>
    </row>
    <row r="12610" spans="1:18" ht="15.75" customHeight="1">
      <c r="A12610" s="26"/>
      <c r="B12610" s="86"/>
      <c r="D12610" s="26"/>
      <c r="F12610" s="87" t="str">
        <f t="shared" si="0"/>
        <v/>
      </c>
      <c r="H12610" s="26" t="str">
        <f t="shared" si="1"/>
        <v/>
      </c>
      <c r="I12610" s="26" t="str">
        <f t="shared" si="2"/>
        <v/>
      </c>
      <c r="J12610" s="86">
        <f t="shared" si="3"/>
        <v>0</v>
      </c>
      <c r="R12610" s="26"/>
    </row>
    <row r="12611" spans="1:18" ht="15.75" customHeight="1">
      <c r="A12611" s="26"/>
      <c r="B12611" s="86"/>
      <c r="D12611" s="26"/>
      <c r="F12611" s="87" t="str">
        <f t="shared" si="0"/>
        <v/>
      </c>
      <c r="H12611" s="26" t="str">
        <f t="shared" si="1"/>
        <v/>
      </c>
      <c r="I12611" s="26" t="str">
        <f t="shared" si="2"/>
        <v/>
      </c>
      <c r="J12611" s="86">
        <f t="shared" si="3"/>
        <v>0</v>
      </c>
      <c r="R12611" s="26"/>
    </row>
    <row r="12612" spans="1:18" ht="15.75" customHeight="1">
      <c r="A12612" s="26"/>
      <c r="B12612" s="86"/>
      <c r="D12612" s="26"/>
      <c r="F12612" s="87" t="str">
        <f t="shared" si="0"/>
        <v/>
      </c>
      <c r="H12612" s="26" t="str">
        <f t="shared" si="1"/>
        <v/>
      </c>
      <c r="I12612" s="26" t="str">
        <f t="shared" si="2"/>
        <v/>
      </c>
      <c r="J12612" s="86">
        <f t="shared" si="3"/>
        <v>0</v>
      </c>
      <c r="R12612" s="26"/>
    </row>
    <row r="12613" spans="1:18" ht="15.75" customHeight="1">
      <c r="A12613" s="26"/>
      <c r="B12613" s="86"/>
      <c r="D12613" s="26"/>
      <c r="F12613" s="87" t="str">
        <f t="shared" si="0"/>
        <v/>
      </c>
      <c r="H12613" s="26" t="str">
        <f t="shared" si="1"/>
        <v/>
      </c>
      <c r="I12613" s="26" t="str">
        <f t="shared" si="2"/>
        <v/>
      </c>
      <c r="J12613" s="86">
        <f t="shared" si="3"/>
        <v>0</v>
      </c>
      <c r="R12613" s="26"/>
    </row>
    <row r="12614" spans="1:18" ht="15.75" customHeight="1">
      <c r="A12614" s="26"/>
      <c r="B12614" s="86"/>
      <c r="D12614" s="26"/>
      <c r="F12614" s="87" t="str">
        <f t="shared" si="0"/>
        <v/>
      </c>
      <c r="H12614" s="26" t="str">
        <f t="shared" si="1"/>
        <v/>
      </c>
      <c r="I12614" s="26" t="str">
        <f t="shared" si="2"/>
        <v/>
      </c>
      <c r="J12614" s="86">
        <f t="shared" si="3"/>
        <v>0</v>
      </c>
      <c r="R12614" s="26"/>
    </row>
    <row r="12615" spans="1:18" ht="15.75" customHeight="1">
      <c r="A12615" s="26"/>
      <c r="B12615" s="86"/>
      <c r="D12615" s="26"/>
      <c r="F12615" s="87" t="str">
        <f t="shared" si="0"/>
        <v/>
      </c>
      <c r="H12615" s="26" t="str">
        <f t="shared" si="1"/>
        <v/>
      </c>
      <c r="I12615" s="26" t="str">
        <f t="shared" si="2"/>
        <v/>
      </c>
      <c r="J12615" s="86">
        <f t="shared" si="3"/>
        <v>0</v>
      </c>
      <c r="R12615" s="26"/>
    </row>
    <row r="12616" spans="1:18" ht="15.75" customHeight="1">
      <c r="A12616" s="26"/>
      <c r="B12616" s="86"/>
      <c r="D12616" s="26"/>
      <c r="F12616" s="87" t="str">
        <f t="shared" si="0"/>
        <v/>
      </c>
      <c r="H12616" s="26" t="str">
        <f t="shared" si="1"/>
        <v/>
      </c>
      <c r="I12616" s="26" t="str">
        <f t="shared" si="2"/>
        <v/>
      </c>
      <c r="J12616" s="86">
        <f t="shared" si="3"/>
        <v>0</v>
      </c>
      <c r="R12616" s="26"/>
    </row>
    <row r="12617" spans="1:18" ht="15.75" customHeight="1">
      <c r="A12617" s="26"/>
      <c r="B12617" s="86"/>
      <c r="D12617" s="26"/>
      <c r="F12617" s="87" t="str">
        <f t="shared" si="0"/>
        <v/>
      </c>
      <c r="H12617" s="26" t="str">
        <f t="shared" si="1"/>
        <v/>
      </c>
      <c r="I12617" s="26" t="str">
        <f t="shared" si="2"/>
        <v/>
      </c>
      <c r="J12617" s="86">
        <f t="shared" si="3"/>
        <v>0</v>
      </c>
      <c r="R12617" s="26"/>
    </row>
    <row r="12618" spans="1:18" ht="15.75" customHeight="1">
      <c r="A12618" s="26"/>
      <c r="B12618" s="86"/>
      <c r="D12618" s="26"/>
      <c r="F12618" s="87" t="str">
        <f t="shared" si="0"/>
        <v/>
      </c>
      <c r="H12618" s="26" t="str">
        <f t="shared" si="1"/>
        <v/>
      </c>
      <c r="I12618" s="26" t="str">
        <f t="shared" si="2"/>
        <v/>
      </c>
      <c r="J12618" s="86">
        <f t="shared" si="3"/>
        <v>0</v>
      </c>
      <c r="R12618" s="26"/>
    </row>
    <row r="12619" spans="1:18" ht="15.75" customHeight="1">
      <c r="A12619" s="26"/>
      <c r="B12619" s="86"/>
      <c r="D12619" s="26"/>
      <c r="F12619" s="87" t="str">
        <f t="shared" si="0"/>
        <v/>
      </c>
      <c r="H12619" s="26" t="str">
        <f t="shared" si="1"/>
        <v/>
      </c>
      <c r="I12619" s="26" t="str">
        <f t="shared" si="2"/>
        <v/>
      </c>
      <c r="J12619" s="86">
        <f t="shared" si="3"/>
        <v>0</v>
      </c>
      <c r="R12619" s="26"/>
    </row>
    <row r="12620" spans="1:18" ht="15.75" customHeight="1">
      <c r="A12620" s="26"/>
      <c r="B12620" s="86"/>
      <c r="D12620" s="26"/>
      <c r="F12620" s="87" t="str">
        <f t="shared" si="0"/>
        <v/>
      </c>
      <c r="H12620" s="26" t="str">
        <f t="shared" si="1"/>
        <v/>
      </c>
      <c r="I12620" s="26" t="str">
        <f t="shared" si="2"/>
        <v/>
      </c>
      <c r="J12620" s="86">
        <f t="shared" si="3"/>
        <v>0</v>
      </c>
      <c r="R12620" s="26"/>
    </row>
    <row r="12621" spans="1:18" ht="15.75" customHeight="1">
      <c r="A12621" s="26"/>
      <c r="B12621" s="86"/>
      <c r="D12621" s="26"/>
      <c r="F12621" s="87" t="str">
        <f t="shared" si="0"/>
        <v/>
      </c>
      <c r="H12621" s="26" t="str">
        <f t="shared" si="1"/>
        <v/>
      </c>
      <c r="I12621" s="26" t="str">
        <f t="shared" si="2"/>
        <v/>
      </c>
      <c r="J12621" s="86">
        <f t="shared" si="3"/>
        <v>0</v>
      </c>
      <c r="R12621" s="26"/>
    </row>
    <row r="12622" spans="1:18" ht="15.75" customHeight="1">
      <c r="A12622" s="26"/>
      <c r="B12622" s="86"/>
      <c r="D12622" s="26"/>
      <c r="F12622" s="87" t="str">
        <f t="shared" si="0"/>
        <v/>
      </c>
      <c r="H12622" s="26" t="str">
        <f t="shared" si="1"/>
        <v/>
      </c>
      <c r="I12622" s="26" t="str">
        <f t="shared" si="2"/>
        <v/>
      </c>
      <c r="J12622" s="86">
        <f t="shared" si="3"/>
        <v>0</v>
      </c>
      <c r="R12622" s="26"/>
    </row>
    <row r="12623" spans="1:18" ht="15.75" customHeight="1">
      <c r="A12623" s="26"/>
      <c r="B12623" s="86"/>
      <c r="D12623" s="26"/>
      <c r="F12623" s="87" t="str">
        <f t="shared" si="0"/>
        <v/>
      </c>
      <c r="H12623" s="26" t="str">
        <f t="shared" si="1"/>
        <v/>
      </c>
      <c r="I12623" s="26" t="str">
        <f t="shared" si="2"/>
        <v/>
      </c>
      <c r="J12623" s="86">
        <f t="shared" si="3"/>
        <v>0</v>
      </c>
      <c r="R12623" s="26"/>
    </row>
    <row r="12624" spans="1:18" ht="15.75" customHeight="1">
      <c r="A12624" s="26"/>
      <c r="B12624" s="86"/>
      <c r="D12624" s="26"/>
      <c r="F12624" s="87" t="str">
        <f t="shared" si="0"/>
        <v/>
      </c>
      <c r="H12624" s="26" t="str">
        <f t="shared" si="1"/>
        <v/>
      </c>
      <c r="I12624" s="26" t="str">
        <f t="shared" si="2"/>
        <v/>
      </c>
      <c r="J12624" s="86">
        <f t="shared" si="3"/>
        <v>0</v>
      </c>
      <c r="R12624" s="26"/>
    </row>
    <row r="12625" spans="1:18" ht="15.75" customHeight="1">
      <c r="A12625" s="26"/>
      <c r="B12625" s="86"/>
      <c r="D12625" s="26"/>
      <c r="F12625" s="87" t="str">
        <f t="shared" si="0"/>
        <v/>
      </c>
      <c r="H12625" s="26" t="str">
        <f t="shared" si="1"/>
        <v/>
      </c>
      <c r="I12625" s="26" t="str">
        <f t="shared" si="2"/>
        <v/>
      </c>
      <c r="J12625" s="86">
        <f t="shared" si="3"/>
        <v>0</v>
      </c>
      <c r="R12625" s="26"/>
    </row>
    <row r="12626" spans="1:18" ht="15.75" customHeight="1">
      <c r="A12626" s="26"/>
      <c r="B12626" s="86"/>
      <c r="D12626" s="26"/>
      <c r="F12626" s="87" t="str">
        <f t="shared" si="0"/>
        <v/>
      </c>
      <c r="H12626" s="26" t="str">
        <f t="shared" si="1"/>
        <v/>
      </c>
      <c r="I12626" s="26" t="str">
        <f t="shared" si="2"/>
        <v/>
      </c>
      <c r="J12626" s="86">
        <f t="shared" si="3"/>
        <v>0</v>
      </c>
      <c r="R12626" s="26"/>
    </row>
    <row r="12627" spans="1:18" ht="15.75" customHeight="1">
      <c r="A12627" s="26"/>
      <c r="B12627" s="86"/>
      <c r="D12627" s="26"/>
      <c r="F12627" s="87" t="str">
        <f t="shared" si="0"/>
        <v/>
      </c>
      <c r="H12627" s="26" t="str">
        <f t="shared" si="1"/>
        <v/>
      </c>
      <c r="I12627" s="26" t="str">
        <f t="shared" si="2"/>
        <v/>
      </c>
      <c r="J12627" s="86">
        <f t="shared" si="3"/>
        <v>0</v>
      </c>
      <c r="R12627" s="26"/>
    </row>
    <row r="12628" spans="1:18" ht="15.75" customHeight="1">
      <c r="A12628" s="26"/>
      <c r="B12628" s="86"/>
      <c r="D12628" s="26"/>
      <c r="F12628" s="87" t="str">
        <f t="shared" si="0"/>
        <v/>
      </c>
      <c r="H12628" s="26" t="str">
        <f t="shared" si="1"/>
        <v/>
      </c>
      <c r="I12628" s="26" t="str">
        <f t="shared" si="2"/>
        <v/>
      </c>
      <c r="J12628" s="86">
        <f t="shared" si="3"/>
        <v>0</v>
      </c>
      <c r="R12628" s="26"/>
    </row>
    <row r="12629" spans="1:18" ht="15.75" customHeight="1">
      <c r="A12629" s="26"/>
      <c r="B12629" s="86"/>
      <c r="D12629" s="26"/>
      <c r="F12629" s="87" t="str">
        <f t="shared" si="0"/>
        <v/>
      </c>
      <c r="H12629" s="26" t="str">
        <f t="shared" si="1"/>
        <v/>
      </c>
      <c r="I12629" s="26" t="str">
        <f t="shared" si="2"/>
        <v/>
      </c>
      <c r="J12629" s="86">
        <f t="shared" si="3"/>
        <v>0</v>
      </c>
      <c r="R12629" s="26"/>
    </row>
    <row r="12630" spans="1:18" ht="15.75" customHeight="1">
      <c r="A12630" s="26"/>
      <c r="B12630" s="86"/>
      <c r="D12630" s="26"/>
      <c r="F12630" s="87" t="str">
        <f t="shared" si="0"/>
        <v/>
      </c>
      <c r="H12630" s="26" t="str">
        <f t="shared" si="1"/>
        <v/>
      </c>
      <c r="I12630" s="26" t="str">
        <f t="shared" si="2"/>
        <v/>
      </c>
      <c r="J12630" s="86">
        <f t="shared" si="3"/>
        <v>0</v>
      </c>
      <c r="R12630" s="26"/>
    </row>
    <row r="12631" spans="1:18" ht="15.75" customHeight="1">
      <c r="A12631" s="26"/>
      <c r="B12631" s="86"/>
      <c r="D12631" s="26"/>
      <c r="F12631" s="87" t="str">
        <f t="shared" si="0"/>
        <v/>
      </c>
      <c r="H12631" s="26" t="str">
        <f t="shared" si="1"/>
        <v/>
      </c>
      <c r="I12631" s="26" t="str">
        <f t="shared" si="2"/>
        <v/>
      </c>
      <c r="J12631" s="86">
        <f t="shared" si="3"/>
        <v>0</v>
      </c>
      <c r="R12631" s="26"/>
    </row>
    <row r="12632" spans="1:18" ht="15.75" customHeight="1">
      <c r="A12632" s="26"/>
      <c r="B12632" s="86"/>
      <c r="D12632" s="26"/>
      <c r="F12632" s="87" t="str">
        <f t="shared" si="0"/>
        <v/>
      </c>
      <c r="H12632" s="26" t="str">
        <f t="shared" si="1"/>
        <v/>
      </c>
      <c r="I12632" s="26" t="str">
        <f t="shared" si="2"/>
        <v/>
      </c>
      <c r="J12632" s="86">
        <f t="shared" si="3"/>
        <v>0</v>
      </c>
      <c r="R12632" s="26"/>
    </row>
    <row r="12633" spans="1:18" ht="15.75" customHeight="1">
      <c r="A12633" s="26"/>
      <c r="B12633" s="86"/>
      <c r="D12633" s="26"/>
      <c r="F12633" s="87" t="str">
        <f t="shared" si="0"/>
        <v/>
      </c>
      <c r="H12633" s="26" t="str">
        <f t="shared" si="1"/>
        <v/>
      </c>
      <c r="I12633" s="26" t="str">
        <f t="shared" si="2"/>
        <v/>
      </c>
      <c r="J12633" s="86">
        <f t="shared" si="3"/>
        <v>0</v>
      </c>
      <c r="R12633" s="26"/>
    </row>
    <row r="12634" spans="1:18" ht="15.75" customHeight="1">
      <c r="A12634" s="26"/>
      <c r="B12634" s="86"/>
      <c r="D12634" s="26"/>
      <c r="F12634" s="87" t="str">
        <f t="shared" si="0"/>
        <v/>
      </c>
      <c r="H12634" s="26" t="str">
        <f t="shared" si="1"/>
        <v/>
      </c>
      <c r="I12634" s="26" t="str">
        <f t="shared" si="2"/>
        <v/>
      </c>
      <c r="J12634" s="86">
        <f t="shared" si="3"/>
        <v>0</v>
      </c>
      <c r="R12634" s="26"/>
    </row>
    <row r="12635" spans="1:18" ht="15.75" customHeight="1">
      <c r="A12635" s="26"/>
      <c r="B12635" s="86"/>
      <c r="D12635" s="26"/>
      <c r="F12635" s="87" t="str">
        <f t="shared" si="0"/>
        <v/>
      </c>
      <c r="H12635" s="26" t="str">
        <f t="shared" si="1"/>
        <v/>
      </c>
      <c r="I12635" s="26" t="str">
        <f t="shared" si="2"/>
        <v/>
      </c>
      <c r="J12635" s="86">
        <f t="shared" si="3"/>
        <v>0</v>
      </c>
      <c r="R12635" s="26"/>
    </row>
    <row r="12636" spans="1:18" ht="15.75" customHeight="1">
      <c r="A12636" s="26"/>
      <c r="B12636" s="86"/>
      <c r="D12636" s="26"/>
      <c r="F12636" s="87" t="str">
        <f t="shared" si="0"/>
        <v/>
      </c>
      <c r="H12636" s="26" t="str">
        <f t="shared" si="1"/>
        <v/>
      </c>
      <c r="I12636" s="26" t="str">
        <f t="shared" si="2"/>
        <v/>
      </c>
      <c r="J12636" s="86">
        <f t="shared" si="3"/>
        <v>0</v>
      </c>
      <c r="R12636" s="26"/>
    </row>
    <row r="12637" spans="1:18" ht="15.75" customHeight="1">
      <c r="A12637" s="26"/>
      <c r="B12637" s="86"/>
      <c r="D12637" s="26"/>
      <c r="F12637" s="87" t="str">
        <f t="shared" si="0"/>
        <v/>
      </c>
      <c r="H12637" s="26" t="str">
        <f t="shared" si="1"/>
        <v/>
      </c>
      <c r="I12637" s="26" t="str">
        <f t="shared" si="2"/>
        <v/>
      </c>
      <c r="J12637" s="86">
        <f t="shared" si="3"/>
        <v>0</v>
      </c>
      <c r="R12637" s="26"/>
    </row>
    <row r="12638" spans="1:18" ht="15.75" customHeight="1">
      <c r="A12638" s="26"/>
      <c r="B12638" s="86"/>
      <c r="D12638" s="26"/>
      <c r="F12638" s="87" t="str">
        <f t="shared" si="0"/>
        <v/>
      </c>
      <c r="H12638" s="26" t="str">
        <f t="shared" si="1"/>
        <v/>
      </c>
      <c r="I12638" s="26" t="str">
        <f t="shared" si="2"/>
        <v/>
      </c>
      <c r="J12638" s="86">
        <f t="shared" si="3"/>
        <v>0</v>
      </c>
      <c r="R12638" s="26"/>
    </row>
    <row r="12639" spans="1:18" ht="15.75" customHeight="1">
      <c r="A12639" s="26"/>
      <c r="B12639" s="86"/>
      <c r="D12639" s="26"/>
      <c r="F12639" s="87" t="str">
        <f t="shared" si="0"/>
        <v/>
      </c>
      <c r="H12639" s="26" t="str">
        <f t="shared" si="1"/>
        <v/>
      </c>
      <c r="I12639" s="26" t="str">
        <f t="shared" si="2"/>
        <v/>
      </c>
      <c r="J12639" s="86">
        <f t="shared" si="3"/>
        <v>0</v>
      </c>
      <c r="R12639" s="26"/>
    </row>
    <row r="12640" spans="1:18" ht="15.75" customHeight="1">
      <c r="A12640" s="26"/>
      <c r="B12640" s="86"/>
      <c r="D12640" s="26"/>
      <c r="F12640" s="87" t="str">
        <f t="shared" si="0"/>
        <v/>
      </c>
      <c r="H12640" s="26" t="str">
        <f t="shared" si="1"/>
        <v/>
      </c>
      <c r="I12640" s="26" t="str">
        <f t="shared" si="2"/>
        <v/>
      </c>
      <c r="J12640" s="86">
        <f t="shared" si="3"/>
        <v>0</v>
      </c>
      <c r="R12640" s="26"/>
    </row>
    <row r="12641" spans="1:18" ht="15.75" customHeight="1">
      <c r="A12641" s="26"/>
      <c r="B12641" s="86"/>
      <c r="D12641" s="26"/>
      <c r="F12641" s="87" t="str">
        <f t="shared" si="0"/>
        <v/>
      </c>
      <c r="H12641" s="26" t="str">
        <f t="shared" si="1"/>
        <v/>
      </c>
      <c r="I12641" s="26" t="str">
        <f t="shared" si="2"/>
        <v/>
      </c>
      <c r="J12641" s="86">
        <f t="shared" si="3"/>
        <v>0</v>
      </c>
      <c r="R12641" s="26"/>
    </row>
    <row r="12642" spans="1:18" ht="15.75" customHeight="1">
      <c r="A12642" s="26"/>
      <c r="B12642" s="86"/>
      <c r="D12642" s="26"/>
      <c r="F12642" s="87" t="str">
        <f t="shared" si="0"/>
        <v/>
      </c>
      <c r="H12642" s="26" t="str">
        <f t="shared" si="1"/>
        <v/>
      </c>
      <c r="I12642" s="26" t="str">
        <f t="shared" si="2"/>
        <v/>
      </c>
      <c r="J12642" s="86">
        <f t="shared" si="3"/>
        <v>0</v>
      </c>
      <c r="R12642" s="26"/>
    </row>
    <row r="12643" spans="1:18" ht="15.75" customHeight="1">
      <c r="A12643" s="26"/>
      <c r="B12643" s="86"/>
      <c r="D12643" s="26"/>
      <c r="F12643" s="87" t="str">
        <f t="shared" si="0"/>
        <v/>
      </c>
      <c r="H12643" s="26" t="str">
        <f t="shared" si="1"/>
        <v/>
      </c>
      <c r="I12643" s="26" t="str">
        <f t="shared" si="2"/>
        <v/>
      </c>
      <c r="J12643" s="86">
        <f t="shared" si="3"/>
        <v>0</v>
      </c>
      <c r="R12643" s="26"/>
    </row>
    <row r="12644" spans="1:18" ht="15.75" customHeight="1">
      <c r="A12644" s="26"/>
      <c r="B12644" s="86"/>
      <c r="D12644" s="26"/>
      <c r="F12644" s="87" t="str">
        <f t="shared" si="0"/>
        <v/>
      </c>
      <c r="H12644" s="26" t="str">
        <f t="shared" si="1"/>
        <v/>
      </c>
      <c r="I12644" s="26" t="str">
        <f t="shared" si="2"/>
        <v/>
      </c>
      <c r="J12644" s="86">
        <f t="shared" si="3"/>
        <v>0</v>
      </c>
      <c r="R12644" s="26"/>
    </row>
    <row r="12645" spans="1:18" ht="15.75" customHeight="1">
      <c r="A12645" s="26"/>
      <c r="B12645" s="86"/>
      <c r="D12645" s="26"/>
      <c r="F12645" s="87" t="str">
        <f t="shared" si="0"/>
        <v/>
      </c>
      <c r="H12645" s="26" t="str">
        <f t="shared" si="1"/>
        <v/>
      </c>
      <c r="I12645" s="26" t="str">
        <f t="shared" si="2"/>
        <v/>
      </c>
      <c r="J12645" s="86">
        <f t="shared" si="3"/>
        <v>0</v>
      </c>
      <c r="R12645" s="26"/>
    </row>
    <row r="12646" spans="1:18" ht="15.75" customHeight="1">
      <c r="A12646" s="26"/>
      <c r="B12646" s="86"/>
      <c r="D12646" s="26"/>
      <c r="F12646" s="87" t="str">
        <f t="shared" si="0"/>
        <v/>
      </c>
      <c r="H12646" s="26" t="str">
        <f t="shared" si="1"/>
        <v/>
      </c>
      <c r="I12646" s="26" t="str">
        <f t="shared" si="2"/>
        <v/>
      </c>
      <c r="J12646" s="86">
        <f t="shared" si="3"/>
        <v>0</v>
      </c>
      <c r="R12646" s="26"/>
    </row>
    <row r="12647" spans="1:18" ht="15.75" customHeight="1">
      <c r="A12647" s="26"/>
      <c r="B12647" s="86"/>
      <c r="D12647" s="26"/>
      <c r="F12647" s="87" t="str">
        <f t="shared" si="0"/>
        <v/>
      </c>
      <c r="H12647" s="26" t="str">
        <f t="shared" si="1"/>
        <v/>
      </c>
      <c r="I12647" s="26" t="str">
        <f t="shared" si="2"/>
        <v/>
      </c>
      <c r="J12647" s="86">
        <f t="shared" si="3"/>
        <v>0</v>
      </c>
      <c r="R12647" s="26"/>
    </row>
    <row r="12648" spans="1:18" ht="15.75" customHeight="1">
      <c r="A12648" s="26"/>
      <c r="B12648" s="86"/>
      <c r="D12648" s="26"/>
      <c r="F12648" s="87" t="str">
        <f t="shared" si="0"/>
        <v/>
      </c>
      <c r="H12648" s="26" t="str">
        <f t="shared" si="1"/>
        <v/>
      </c>
      <c r="I12648" s="26" t="str">
        <f t="shared" si="2"/>
        <v/>
      </c>
      <c r="J12648" s="86">
        <f t="shared" si="3"/>
        <v>0</v>
      </c>
      <c r="R12648" s="26"/>
    </row>
    <row r="12649" spans="1:18" ht="15.75" customHeight="1">
      <c r="A12649" s="26"/>
      <c r="B12649" s="86"/>
      <c r="D12649" s="26"/>
      <c r="F12649" s="87" t="str">
        <f t="shared" si="0"/>
        <v/>
      </c>
      <c r="H12649" s="26" t="str">
        <f t="shared" si="1"/>
        <v/>
      </c>
      <c r="I12649" s="26" t="str">
        <f t="shared" si="2"/>
        <v/>
      </c>
      <c r="J12649" s="86">
        <f t="shared" si="3"/>
        <v>0</v>
      </c>
      <c r="R12649" s="26"/>
    </row>
    <row r="12650" spans="1:18" ht="15.75" customHeight="1">
      <c r="A12650" s="26"/>
      <c r="B12650" s="86"/>
      <c r="D12650" s="26"/>
      <c r="F12650" s="87" t="str">
        <f t="shared" si="0"/>
        <v/>
      </c>
      <c r="H12650" s="26" t="str">
        <f t="shared" si="1"/>
        <v/>
      </c>
      <c r="I12650" s="26" t="str">
        <f t="shared" si="2"/>
        <v/>
      </c>
      <c r="J12650" s="86">
        <f t="shared" si="3"/>
        <v>0</v>
      </c>
      <c r="R12650" s="26"/>
    </row>
    <row r="12651" spans="1:18" ht="15.75" customHeight="1">
      <c r="A12651" s="26"/>
      <c r="B12651" s="86"/>
      <c r="D12651" s="26"/>
      <c r="F12651" s="87" t="str">
        <f t="shared" si="0"/>
        <v/>
      </c>
      <c r="H12651" s="26" t="str">
        <f t="shared" si="1"/>
        <v/>
      </c>
      <c r="I12651" s="26" t="str">
        <f t="shared" si="2"/>
        <v/>
      </c>
      <c r="J12651" s="86">
        <f t="shared" si="3"/>
        <v>0</v>
      </c>
      <c r="R12651" s="26"/>
    </row>
    <row r="12652" spans="1:18" ht="15.75" customHeight="1">
      <c r="A12652" s="26"/>
      <c r="B12652" s="86"/>
      <c r="D12652" s="26"/>
      <c r="F12652" s="87" t="str">
        <f t="shared" si="0"/>
        <v/>
      </c>
      <c r="H12652" s="26" t="str">
        <f t="shared" si="1"/>
        <v/>
      </c>
      <c r="I12652" s="26" t="str">
        <f t="shared" si="2"/>
        <v/>
      </c>
      <c r="J12652" s="86">
        <f t="shared" si="3"/>
        <v>0</v>
      </c>
      <c r="R12652" s="26"/>
    </row>
    <row r="12653" spans="1:18" ht="15.75" customHeight="1">
      <c r="A12653" s="26"/>
      <c r="B12653" s="86"/>
      <c r="D12653" s="26"/>
      <c r="F12653" s="87" t="str">
        <f t="shared" si="0"/>
        <v/>
      </c>
      <c r="H12653" s="26" t="str">
        <f t="shared" si="1"/>
        <v/>
      </c>
      <c r="I12653" s="26" t="str">
        <f t="shared" si="2"/>
        <v/>
      </c>
      <c r="J12653" s="86">
        <f t="shared" si="3"/>
        <v>0</v>
      </c>
      <c r="R12653" s="26"/>
    </row>
    <row r="12654" spans="1:18" ht="15.75" customHeight="1">
      <c r="A12654" s="26"/>
      <c r="B12654" s="86"/>
      <c r="D12654" s="26"/>
      <c r="F12654" s="87" t="str">
        <f t="shared" si="0"/>
        <v/>
      </c>
      <c r="H12654" s="26" t="str">
        <f t="shared" si="1"/>
        <v/>
      </c>
      <c r="I12654" s="26" t="str">
        <f t="shared" si="2"/>
        <v/>
      </c>
      <c r="J12654" s="86">
        <f t="shared" si="3"/>
        <v>0</v>
      </c>
      <c r="R12654" s="26"/>
    </row>
    <row r="12655" spans="1:18" ht="15.75" customHeight="1">
      <c r="A12655" s="26"/>
      <c r="B12655" s="86"/>
      <c r="D12655" s="26"/>
      <c r="F12655" s="87" t="str">
        <f t="shared" si="0"/>
        <v/>
      </c>
      <c r="H12655" s="26" t="str">
        <f t="shared" si="1"/>
        <v/>
      </c>
      <c r="I12655" s="26" t="str">
        <f t="shared" si="2"/>
        <v/>
      </c>
      <c r="J12655" s="86">
        <f t="shared" si="3"/>
        <v>0</v>
      </c>
      <c r="R12655" s="26"/>
    </row>
    <row r="12656" spans="1:18" ht="15.75" customHeight="1">
      <c r="A12656" s="26"/>
      <c r="B12656" s="86"/>
      <c r="D12656" s="26"/>
      <c r="F12656" s="87" t="str">
        <f t="shared" si="0"/>
        <v/>
      </c>
      <c r="H12656" s="26" t="str">
        <f t="shared" si="1"/>
        <v/>
      </c>
      <c r="I12656" s="26" t="str">
        <f t="shared" si="2"/>
        <v/>
      </c>
      <c r="J12656" s="86">
        <f t="shared" si="3"/>
        <v>0</v>
      </c>
      <c r="R12656" s="26"/>
    </row>
    <row r="12657" spans="1:18" ht="15.75" customHeight="1">
      <c r="A12657" s="26"/>
      <c r="B12657" s="86"/>
      <c r="D12657" s="26"/>
      <c r="F12657" s="87" t="str">
        <f t="shared" si="0"/>
        <v/>
      </c>
      <c r="H12657" s="26" t="str">
        <f t="shared" si="1"/>
        <v/>
      </c>
      <c r="I12657" s="26" t="str">
        <f t="shared" si="2"/>
        <v/>
      </c>
      <c r="J12657" s="86">
        <f t="shared" si="3"/>
        <v>0</v>
      </c>
      <c r="R12657" s="26"/>
    </row>
    <row r="12658" spans="1:18" ht="15.75" customHeight="1">
      <c r="A12658" s="26"/>
      <c r="B12658" s="86"/>
      <c r="D12658" s="26"/>
      <c r="F12658" s="87" t="str">
        <f t="shared" si="0"/>
        <v/>
      </c>
      <c r="H12658" s="26" t="str">
        <f t="shared" si="1"/>
        <v/>
      </c>
      <c r="I12658" s="26" t="str">
        <f t="shared" si="2"/>
        <v/>
      </c>
      <c r="J12658" s="86">
        <f t="shared" si="3"/>
        <v>0</v>
      </c>
      <c r="R12658" s="26"/>
    </row>
    <row r="12659" spans="1:18" ht="15.75" customHeight="1">
      <c r="A12659" s="26"/>
      <c r="B12659" s="86"/>
      <c r="D12659" s="26"/>
      <c r="F12659" s="87" t="str">
        <f t="shared" si="0"/>
        <v/>
      </c>
      <c r="H12659" s="26" t="str">
        <f t="shared" si="1"/>
        <v/>
      </c>
      <c r="I12659" s="26" t="str">
        <f t="shared" si="2"/>
        <v/>
      </c>
      <c r="J12659" s="86">
        <f t="shared" si="3"/>
        <v>0</v>
      </c>
      <c r="R12659" s="26"/>
    </row>
    <row r="12660" spans="1:18" ht="15.75" customHeight="1">
      <c r="A12660" s="26"/>
      <c r="B12660" s="86"/>
      <c r="D12660" s="26"/>
      <c r="F12660" s="87" t="str">
        <f t="shared" si="0"/>
        <v/>
      </c>
      <c r="H12660" s="26" t="str">
        <f t="shared" si="1"/>
        <v/>
      </c>
      <c r="I12660" s="26" t="str">
        <f t="shared" si="2"/>
        <v/>
      </c>
      <c r="J12660" s="86">
        <f t="shared" si="3"/>
        <v>0</v>
      </c>
      <c r="R12660" s="26"/>
    </row>
    <row r="12661" spans="1:18" ht="15.75" customHeight="1">
      <c r="A12661" s="26"/>
      <c r="B12661" s="86"/>
      <c r="D12661" s="26"/>
      <c r="F12661" s="87" t="str">
        <f t="shared" si="0"/>
        <v/>
      </c>
      <c r="H12661" s="26" t="str">
        <f t="shared" si="1"/>
        <v/>
      </c>
      <c r="I12661" s="26" t="str">
        <f t="shared" si="2"/>
        <v/>
      </c>
      <c r="J12661" s="86">
        <f t="shared" si="3"/>
        <v>0</v>
      </c>
      <c r="R12661" s="26"/>
    </row>
    <row r="12662" spans="1:18" ht="15.75" customHeight="1">
      <c r="A12662" s="26"/>
      <c r="B12662" s="86"/>
      <c r="D12662" s="26"/>
      <c r="F12662" s="87" t="str">
        <f t="shared" si="0"/>
        <v/>
      </c>
      <c r="H12662" s="26" t="str">
        <f t="shared" si="1"/>
        <v/>
      </c>
      <c r="I12662" s="26" t="str">
        <f t="shared" si="2"/>
        <v/>
      </c>
      <c r="J12662" s="86">
        <f t="shared" si="3"/>
        <v>0</v>
      </c>
      <c r="R12662" s="26"/>
    </row>
    <row r="12663" spans="1:18" ht="15.75" customHeight="1">
      <c r="A12663" s="26"/>
      <c r="B12663" s="86"/>
      <c r="D12663" s="26"/>
      <c r="F12663" s="87" t="str">
        <f t="shared" si="0"/>
        <v/>
      </c>
      <c r="H12663" s="26" t="str">
        <f t="shared" si="1"/>
        <v/>
      </c>
      <c r="I12663" s="26" t="str">
        <f t="shared" si="2"/>
        <v/>
      </c>
      <c r="J12663" s="86">
        <f t="shared" si="3"/>
        <v>0</v>
      </c>
      <c r="R12663" s="26"/>
    </row>
    <row r="12664" spans="1:18" ht="15.75" customHeight="1">
      <c r="A12664" s="26"/>
      <c r="B12664" s="86"/>
      <c r="D12664" s="26"/>
      <c r="F12664" s="87" t="str">
        <f t="shared" si="0"/>
        <v/>
      </c>
      <c r="H12664" s="26" t="str">
        <f t="shared" si="1"/>
        <v/>
      </c>
      <c r="I12664" s="26" t="str">
        <f t="shared" si="2"/>
        <v/>
      </c>
      <c r="J12664" s="86">
        <f t="shared" si="3"/>
        <v>0</v>
      </c>
      <c r="R12664" s="26"/>
    </row>
    <row r="12665" spans="1:18" ht="15.75" customHeight="1">
      <c r="A12665" s="26"/>
      <c r="B12665" s="86"/>
      <c r="D12665" s="26"/>
      <c r="F12665" s="87" t="str">
        <f t="shared" si="0"/>
        <v/>
      </c>
      <c r="H12665" s="26" t="str">
        <f t="shared" si="1"/>
        <v/>
      </c>
      <c r="I12665" s="26" t="str">
        <f t="shared" si="2"/>
        <v/>
      </c>
      <c r="J12665" s="86">
        <f t="shared" si="3"/>
        <v>0</v>
      </c>
      <c r="R12665" s="26"/>
    </row>
    <row r="12666" spans="1:18" ht="15.75" customHeight="1">
      <c r="A12666" s="26"/>
      <c r="B12666" s="86"/>
      <c r="D12666" s="26"/>
      <c r="F12666" s="87" t="str">
        <f t="shared" si="0"/>
        <v/>
      </c>
      <c r="H12666" s="26" t="str">
        <f t="shared" si="1"/>
        <v/>
      </c>
      <c r="I12666" s="26" t="str">
        <f t="shared" si="2"/>
        <v/>
      </c>
      <c r="J12666" s="86">
        <f t="shared" si="3"/>
        <v>0</v>
      </c>
      <c r="R12666" s="26"/>
    </row>
    <row r="12667" spans="1:18" ht="15.75" customHeight="1">
      <c r="A12667" s="26"/>
      <c r="B12667" s="86"/>
      <c r="D12667" s="26"/>
      <c r="F12667" s="87" t="str">
        <f t="shared" si="0"/>
        <v/>
      </c>
      <c r="H12667" s="26" t="str">
        <f t="shared" si="1"/>
        <v/>
      </c>
      <c r="I12667" s="26" t="str">
        <f t="shared" si="2"/>
        <v/>
      </c>
      <c r="J12667" s="86">
        <f t="shared" si="3"/>
        <v>0</v>
      </c>
      <c r="R12667" s="26"/>
    </row>
    <row r="12668" spans="1:18" ht="15.75" customHeight="1">
      <c r="A12668" s="26"/>
      <c r="B12668" s="86"/>
      <c r="D12668" s="26"/>
      <c r="F12668" s="87" t="str">
        <f t="shared" si="0"/>
        <v/>
      </c>
      <c r="H12668" s="26" t="str">
        <f t="shared" si="1"/>
        <v/>
      </c>
      <c r="I12668" s="26" t="str">
        <f t="shared" si="2"/>
        <v/>
      </c>
      <c r="J12668" s="86">
        <f t="shared" si="3"/>
        <v>0</v>
      </c>
      <c r="R12668" s="26"/>
    </row>
    <row r="12669" spans="1:18" ht="15.75" customHeight="1">
      <c r="A12669" s="26"/>
      <c r="B12669" s="86"/>
      <c r="D12669" s="26"/>
      <c r="F12669" s="87" t="str">
        <f t="shared" si="0"/>
        <v/>
      </c>
      <c r="H12669" s="26" t="str">
        <f t="shared" si="1"/>
        <v/>
      </c>
      <c r="I12669" s="26" t="str">
        <f t="shared" si="2"/>
        <v/>
      </c>
      <c r="J12669" s="86">
        <f t="shared" si="3"/>
        <v>0</v>
      </c>
      <c r="R12669" s="26"/>
    </row>
    <row r="12670" spans="1:18" ht="15.75" customHeight="1">
      <c r="A12670" s="26"/>
      <c r="B12670" s="86"/>
      <c r="D12670" s="26"/>
      <c r="F12670" s="87" t="str">
        <f t="shared" si="0"/>
        <v/>
      </c>
      <c r="H12670" s="26" t="str">
        <f t="shared" si="1"/>
        <v/>
      </c>
      <c r="I12670" s="26" t="str">
        <f t="shared" si="2"/>
        <v/>
      </c>
      <c r="J12670" s="86">
        <f t="shared" si="3"/>
        <v>0</v>
      </c>
      <c r="R12670" s="26"/>
    </row>
    <row r="12671" spans="1:18" ht="15.75" customHeight="1">
      <c r="A12671" s="26"/>
      <c r="B12671" s="86"/>
      <c r="D12671" s="26"/>
      <c r="F12671" s="87" t="str">
        <f t="shared" si="0"/>
        <v/>
      </c>
      <c r="H12671" s="26" t="str">
        <f t="shared" si="1"/>
        <v/>
      </c>
      <c r="I12671" s="26" t="str">
        <f t="shared" si="2"/>
        <v/>
      </c>
      <c r="J12671" s="86">
        <f t="shared" si="3"/>
        <v>0</v>
      </c>
      <c r="R12671" s="26"/>
    </row>
    <row r="12672" spans="1:18" ht="15.75" customHeight="1">
      <c r="A12672" s="26"/>
      <c r="B12672" s="86"/>
      <c r="D12672" s="26"/>
      <c r="F12672" s="87" t="str">
        <f t="shared" si="0"/>
        <v/>
      </c>
      <c r="H12672" s="26" t="str">
        <f t="shared" si="1"/>
        <v/>
      </c>
      <c r="I12672" s="26" t="str">
        <f t="shared" si="2"/>
        <v/>
      </c>
      <c r="J12672" s="86">
        <f t="shared" si="3"/>
        <v>0</v>
      </c>
      <c r="R12672" s="26"/>
    </row>
    <row r="12673" spans="1:18" ht="15.75" customHeight="1">
      <c r="A12673" s="26"/>
      <c r="B12673" s="86"/>
      <c r="D12673" s="26"/>
      <c r="F12673" s="87" t="str">
        <f t="shared" si="0"/>
        <v/>
      </c>
      <c r="H12673" s="26" t="str">
        <f t="shared" si="1"/>
        <v/>
      </c>
      <c r="I12673" s="26" t="str">
        <f t="shared" si="2"/>
        <v/>
      </c>
      <c r="J12673" s="86">
        <f t="shared" si="3"/>
        <v>0</v>
      </c>
      <c r="R12673" s="26"/>
    </row>
    <row r="12674" spans="1:18" ht="15.75" customHeight="1">
      <c r="A12674" s="26"/>
      <c r="B12674" s="86"/>
      <c r="D12674" s="26"/>
      <c r="F12674" s="87" t="str">
        <f t="shared" si="0"/>
        <v/>
      </c>
      <c r="H12674" s="26" t="str">
        <f t="shared" si="1"/>
        <v/>
      </c>
      <c r="I12674" s="26" t="str">
        <f t="shared" si="2"/>
        <v/>
      </c>
      <c r="J12674" s="86">
        <f t="shared" si="3"/>
        <v>0</v>
      </c>
      <c r="R12674" s="26"/>
    </row>
    <row r="12675" spans="1:18" ht="15.75" customHeight="1">
      <c r="A12675" s="26"/>
      <c r="B12675" s="86"/>
      <c r="D12675" s="26"/>
      <c r="F12675" s="87" t="str">
        <f t="shared" si="0"/>
        <v/>
      </c>
      <c r="H12675" s="26" t="str">
        <f t="shared" si="1"/>
        <v/>
      </c>
      <c r="I12675" s="26" t="str">
        <f t="shared" si="2"/>
        <v/>
      </c>
      <c r="J12675" s="86">
        <f t="shared" si="3"/>
        <v>0</v>
      </c>
      <c r="R12675" s="26"/>
    </row>
    <row r="12676" spans="1:18" ht="15.75" customHeight="1">
      <c r="A12676" s="26"/>
      <c r="B12676" s="86"/>
      <c r="D12676" s="26"/>
      <c r="F12676" s="87" t="str">
        <f t="shared" si="0"/>
        <v/>
      </c>
      <c r="H12676" s="26" t="str">
        <f t="shared" si="1"/>
        <v/>
      </c>
      <c r="I12676" s="26" t="str">
        <f t="shared" si="2"/>
        <v/>
      </c>
      <c r="J12676" s="86">
        <f t="shared" si="3"/>
        <v>0</v>
      </c>
      <c r="R12676" s="26"/>
    </row>
    <row r="12677" spans="1:18" ht="15.75" customHeight="1">
      <c r="A12677" s="26"/>
      <c r="B12677" s="86"/>
      <c r="D12677" s="26"/>
      <c r="F12677" s="87" t="str">
        <f t="shared" si="0"/>
        <v/>
      </c>
      <c r="H12677" s="26" t="str">
        <f t="shared" si="1"/>
        <v/>
      </c>
      <c r="I12677" s="26" t="str">
        <f t="shared" si="2"/>
        <v/>
      </c>
      <c r="J12677" s="86">
        <f t="shared" si="3"/>
        <v>0</v>
      </c>
      <c r="R12677" s="26"/>
    </row>
    <row r="12678" spans="1:18" ht="15.75" customHeight="1">
      <c r="A12678" s="26"/>
      <c r="B12678" s="86"/>
      <c r="D12678" s="26"/>
      <c r="F12678" s="87" t="str">
        <f t="shared" si="0"/>
        <v/>
      </c>
      <c r="H12678" s="26" t="str">
        <f t="shared" si="1"/>
        <v/>
      </c>
      <c r="I12678" s="26" t="str">
        <f t="shared" si="2"/>
        <v/>
      </c>
      <c r="J12678" s="86">
        <f t="shared" si="3"/>
        <v>0</v>
      </c>
      <c r="R12678" s="26"/>
    </row>
    <row r="12679" spans="1:18" ht="15.75" customHeight="1">
      <c r="A12679" s="26"/>
      <c r="B12679" s="86"/>
      <c r="D12679" s="26"/>
      <c r="F12679" s="87" t="str">
        <f t="shared" si="0"/>
        <v/>
      </c>
      <c r="H12679" s="26" t="str">
        <f t="shared" si="1"/>
        <v/>
      </c>
      <c r="I12679" s="26" t="str">
        <f t="shared" si="2"/>
        <v/>
      </c>
      <c r="J12679" s="86">
        <f t="shared" si="3"/>
        <v>0</v>
      </c>
      <c r="R12679" s="26"/>
    </row>
    <row r="12680" spans="1:18" ht="15.75" customHeight="1">
      <c r="A12680" s="26"/>
      <c r="B12680" s="86"/>
      <c r="D12680" s="26"/>
      <c r="F12680" s="87" t="str">
        <f t="shared" si="0"/>
        <v/>
      </c>
      <c r="H12680" s="26" t="str">
        <f t="shared" si="1"/>
        <v/>
      </c>
      <c r="I12680" s="26" t="str">
        <f t="shared" si="2"/>
        <v/>
      </c>
      <c r="J12680" s="86">
        <f t="shared" si="3"/>
        <v>0</v>
      </c>
      <c r="R12680" s="26"/>
    </row>
    <row r="12681" spans="1:18" ht="15.75" customHeight="1">
      <c r="A12681" s="26"/>
      <c r="B12681" s="86"/>
      <c r="D12681" s="26"/>
      <c r="F12681" s="87" t="str">
        <f t="shared" si="0"/>
        <v/>
      </c>
      <c r="H12681" s="26" t="str">
        <f t="shared" si="1"/>
        <v/>
      </c>
      <c r="I12681" s="26" t="str">
        <f t="shared" si="2"/>
        <v/>
      </c>
      <c r="J12681" s="86">
        <f t="shared" si="3"/>
        <v>0</v>
      </c>
      <c r="R12681" s="26"/>
    </row>
    <row r="12682" spans="1:18" ht="15.75" customHeight="1">
      <c r="A12682" s="26"/>
      <c r="B12682" s="86"/>
      <c r="D12682" s="26"/>
      <c r="F12682" s="87" t="str">
        <f t="shared" si="0"/>
        <v/>
      </c>
      <c r="H12682" s="26" t="str">
        <f t="shared" si="1"/>
        <v/>
      </c>
      <c r="I12682" s="26" t="str">
        <f t="shared" si="2"/>
        <v/>
      </c>
      <c r="J12682" s="86">
        <f t="shared" si="3"/>
        <v>0</v>
      </c>
      <c r="R12682" s="26"/>
    </row>
    <row r="12683" spans="1:18" ht="15.75" customHeight="1">
      <c r="A12683" s="26"/>
      <c r="B12683" s="86"/>
      <c r="D12683" s="26"/>
      <c r="F12683" s="87" t="str">
        <f t="shared" si="0"/>
        <v/>
      </c>
      <c r="H12683" s="26" t="str">
        <f t="shared" si="1"/>
        <v/>
      </c>
      <c r="I12683" s="26" t="str">
        <f t="shared" si="2"/>
        <v/>
      </c>
      <c r="J12683" s="86">
        <f t="shared" si="3"/>
        <v>0</v>
      </c>
      <c r="R12683" s="26"/>
    </row>
    <row r="12684" spans="1:18" ht="15.75" customHeight="1">
      <c r="A12684" s="26"/>
      <c r="B12684" s="86"/>
      <c r="D12684" s="26"/>
      <c r="F12684" s="87" t="str">
        <f t="shared" si="0"/>
        <v/>
      </c>
      <c r="H12684" s="26" t="str">
        <f t="shared" si="1"/>
        <v/>
      </c>
      <c r="I12684" s="26" t="str">
        <f t="shared" si="2"/>
        <v/>
      </c>
      <c r="J12684" s="86">
        <f t="shared" si="3"/>
        <v>0</v>
      </c>
      <c r="R12684" s="26"/>
    </row>
    <row r="12685" spans="1:18" ht="15.75" customHeight="1">
      <c r="A12685" s="26"/>
      <c r="B12685" s="86"/>
      <c r="D12685" s="26"/>
      <c r="F12685" s="87" t="str">
        <f t="shared" si="0"/>
        <v/>
      </c>
      <c r="H12685" s="26" t="str">
        <f t="shared" si="1"/>
        <v/>
      </c>
      <c r="I12685" s="26" t="str">
        <f t="shared" si="2"/>
        <v/>
      </c>
      <c r="J12685" s="86">
        <f t="shared" si="3"/>
        <v>0</v>
      </c>
      <c r="R12685" s="26"/>
    </row>
    <row r="12686" spans="1:18" ht="15.75" customHeight="1">
      <c r="A12686" s="26"/>
      <c r="B12686" s="86"/>
      <c r="D12686" s="26"/>
      <c r="F12686" s="87" t="str">
        <f t="shared" si="0"/>
        <v/>
      </c>
      <c r="H12686" s="26" t="str">
        <f t="shared" si="1"/>
        <v/>
      </c>
      <c r="I12686" s="26" t="str">
        <f t="shared" si="2"/>
        <v/>
      </c>
      <c r="J12686" s="86">
        <f t="shared" si="3"/>
        <v>0</v>
      </c>
      <c r="R12686" s="26"/>
    </row>
    <row r="12687" spans="1:18" ht="15.75" customHeight="1">
      <c r="A12687" s="26"/>
      <c r="B12687" s="86"/>
      <c r="D12687" s="26"/>
      <c r="F12687" s="87" t="str">
        <f t="shared" si="0"/>
        <v/>
      </c>
      <c r="H12687" s="26" t="str">
        <f t="shared" si="1"/>
        <v/>
      </c>
      <c r="I12687" s="26" t="str">
        <f t="shared" si="2"/>
        <v/>
      </c>
      <c r="J12687" s="86">
        <f t="shared" si="3"/>
        <v>0</v>
      </c>
      <c r="R12687" s="26"/>
    </row>
    <row r="12688" spans="1:18" ht="15.75" customHeight="1">
      <c r="A12688" s="26"/>
      <c r="B12688" s="86"/>
      <c r="D12688" s="26"/>
      <c r="F12688" s="87" t="str">
        <f t="shared" si="0"/>
        <v/>
      </c>
      <c r="H12688" s="26" t="str">
        <f t="shared" si="1"/>
        <v/>
      </c>
      <c r="I12688" s="26" t="str">
        <f t="shared" si="2"/>
        <v/>
      </c>
      <c r="J12688" s="86">
        <f t="shared" si="3"/>
        <v>0</v>
      </c>
      <c r="R12688" s="26"/>
    </row>
    <row r="12689" spans="1:18" ht="15.75" customHeight="1">
      <c r="A12689" s="26"/>
      <c r="B12689" s="86"/>
      <c r="D12689" s="26"/>
      <c r="F12689" s="87" t="str">
        <f t="shared" si="0"/>
        <v/>
      </c>
      <c r="H12689" s="26" t="str">
        <f t="shared" si="1"/>
        <v/>
      </c>
      <c r="I12689" s="26" t="str">
        <f t="shared" si="2"/>
        <v/>
      </c>
      <c r="J12689" s="86">
        <f t="shared" si="3"/>
        <v>0</v>
      </c>
      <c r="R12689" s="26"/>
    </row>
    <row r="12690" spans="1:18" ht="15.75" customHeight="1">
      <c r="A12690" s="26"/>
      <c r="B12690" s="86"/>
      <c r="D12690" s="26"/>
      <c r="F12690" s="87" t="str">
        <f t="shared" si="0"/>
        <v/>
      </c>
      <c r="H12690" s="26" t="str">
        <f t="shared" si="1"/>
        <v/>
      </c>
      <c r="I12690" s="26" t="str">
        <f t="shared" si="2"/>
        <v/>
      </c>
      <c r="J12690" s="86">
        <f t="shared" si="3"/>
        <v>0</v>
      </c>
      <c r="R12690" s="26"/>
    </row>
    <row r="12691" spans="1:18" ht="15.75" customHeight="1">
      <c r="A12691" s="26"/>
      <c r="B12691" s="86"/>
      <c r="D12691" s="26"/>
      <c r="F12691" s="87" t="str">
        <f t="shared" si="0"/>
        <v/>
      </c>
      <c r="H12691" s="26" t="str">
        <f t="shared" si="1"/>
        <v/>
      </c>
      <c r="I12691" s="26" t="str">
        <f t="shared" si="2"/>
        <v/>
      </c>
      <c r="J12691" s="86">
        <f t="shared" si="3"/>
        <v>0</v>
      </c>
      <c r="R12691" s="26"/>
    </row>
    <row r="12692" spans="1:18" ht="15.75" customHeight="1">
      <c r="A12692" s="26"/>
      <c r="B12692" s="86"/>
      <c r="D12692" s="26"/>
      <c r="F12692" s="87" t="str">
        <f t="shared" si="0"/>
        <v/>
      </c>
      <c r="H12692" s="26" t="str">
        <f t="shared" si="1"/>
        <v/>
      </c>
      <c r="I12692" s="26" t="str">
        <f t="shared" si="2"/>
        <v/>
      </c>
      <c r="J12692" s="86">
        <f t="shared" si="3"/>
        <v>0</v>
      </c>
      <c r="R12692" s="26"/>
    </row>
    <row r="12693" spans="1:18" ht="15.75" customHeight="1">
      <c r="A12693" s="26"/>
      <c r="B12693" s="86"/>
      <c r="D12693" s="26"/>
      <c r="F12693" s="87" t="str">
        <f t="shared" si="0"/>
        <v/>
      </c>
      <c r="H12693" s="26" t="str">
        <f t="shared" si="1"/>
        <v/>
      </c>
      <c r="I12693" s="26" t="str">
        <f t="shared" si="2"/>
        <v/>
      </c>
      <c r="J12693" s="86">
        <f t="shared" si="3"/>
        <v>0</v>
      </c>
      <c r="R12693" s="26"/>
    </row>
    <row r="12694" spans="1:18" ht="15.75" customHeight="1">
      <c r="A12694" s="26"/>
      <c r="B12694" s="86"/>
      <c r="D12694" s="26"/>
      <c r="F12694" s="87" t="str">
        <f t="shared" si="0"/>
        <v/>
      </c>
      <c r="H12694" s="26" t="str">
        <f t="shared" si="1"/>
        <v/>
      </c>
      <c r="I12694" s="26" t="str">
        <f t="shared" si="2"/>
        <v/>
      </c>
      <c r="J12694" s="86">
        <f t="shared" si="3"/>
        <v>0</v>
      </c>
      <c r="R12694" s="26"/>
    </row>
    <row r="12695" spans="1:18" ht="15.75" customHeight="1">
      <c r="A12695" s="26"/>
      <c r="B12695" s="86"/>
      <c r="D12695" s="26"/>
      <c r="F12695" s="87" t="str">
        <f t="shared" si="0"/>
        <v/>
      </c>
      <c r="H12695" s="26" t="str">
        <f t="shared" si="1"/>
        <v/>
      </c>
      <c r="I12695" s="26" t="str">
        <f t="shared" si="2"/>
        <v/>
      </c>
      <c r="J12695" s="86">
        <f t="shared" si="3"/>
        <v>0</v>
      </c>
      <c r="R12695" s="26"/>
    </row>
    <row r="12696" spans="1:18" ht="15.75" customHeight="1">
      <c r="A12696" s="26"/>
      <c r="B12696" s="86"/>
      <c r="D12696" s="26"/>
      <c r="F12696" s="87" t="str">
        <f t="shared" si="0"/>
        <v/>
      </c>
      <c r="H12696" s="26" t="str">
        <f t="shared" si="1"/>
        <v/>
      </c>
      <c r="I12696" s="26" t="str">
        <f t="shared" si="2"/>
        <v/>
      </c>
      <c r="J12696" s="86">
        <f t="shared" si="3"/>
        <v>0</v>
      </c>
      <c r="R12696" s="26"/>
    </row>
    <row r="12697" spans="1:18" ht="15.75" customHeight="1">
      <c r="A12697" s="26"/>
      <c r="B12697" s="86"/>
      <c r="D12697" s="26"/>
      <c r="F12697" s="87" t="str">
        <f t="shared" si="0"/>
        <v/>
      </c>
      <c r="H12697" s="26" t="str">
        <f t="shared" si="1"/>
        <v/>
      </c>
      <c r="I12697" s="26" t="str">
        <f t="shared" si="2"/>
        <v/>
      </c>
      <c r="J12697" s="86">
        <f t="shared" si="3"/>
        <v>0</v>
      </c>
      <c r="R12697" s="26"/>
    </row>
    <row r="12698" spans="1:18" ht="15.75" customHeight="1">
      <c r="A12698" s="26"/>
      <c r="B12698" s="86"/>
      <c r="D12698" s="26"/>
      <c r="F12698" s="87" t="str">
        <f t="shared" si="0"/>
        <v/>
      </c>
      <c r="H12698" s="26" t="str">
        <f t="shared" si="1"/>
        <v/>
      </c>
      <c r="I12698" s="26" t="str">
        <f t="shared" si="2"/>
        <v/>
      </c>
      <c r="J12698" s="86">
        <f t="shared" si="3"/>
        <v>0</v>
      </c>
      <c r="R12698" s="26"/>
    </row>
    <row r="12699" spans="1:18" ht="15.75" customHeight="1">
      <c r="A12699" s="26"/>
      <c r="B12699" s="86"/>
      <c r="D12699" s="26"/>
      <c r="F12699" s="87" t="str">
        <f t="shared" si="0"/>
        <v/>
      </c>
      <c r="H12699" s="26" t="str">
        <f t="shared" si="1"/>
        <v/>
      </c>
      <c r="I12699" s="26" t="str">
        <f t="shared" si="2"/>
        <v/>
      </c>
      <c r="J12699" s="86">
        <f t="shared" si="3"/>
        <v>0</v>
      </c>
      <c r="R12699" s="26"/>
    </row>
    <row r="12700" spans="1:18" ht="15.75" customHeight="1">
      <c r="A12700" s="26"/>
      <c r="B12700" s="86"/>
      <c r="D12700" s="26"/>
      <c r="F12700" s="87" t="str">
        <f t="shared" si="0"/>
        <v/>
      </c>
      <c r="H12700" s="26" t="str">
        <f t="shared" si="1"/>
        <v/>
      </c>
      <c r="I12700" s="26" t="str">
        <f t="shared" si="2"/>
        <v/>
      </c>
      <c r="J12700" s="86">
        <f t="shared" si="3"/>
        <v>0</v>
      </c>
      <c r="R12700" s="26"/>
    </row>
    <row r="12701" spans="1:18" ht="15.75" customHeight="1">
      <c r="A12701" s="26"/>
      <c r="B12701" s="86"/>
      <c r="D12701" s="26"/>
      <c r="F12701" s="87" t="str">
        <f t="shared" si="0"/>
        <v/>
      </c>
      <c r="H12701" s="26" t="str">
        <f t="shared" si="1"/>
        <v/>
      </c>
      <c r="I12701" s="26" t="str">
        <f t="shared" si="2"/>
        <v/>
      </c>
      <c r="J12701" s="86">
        <f t="shared" si="3"/>
        <v>0</v>
      </c>
      <c r="R12701" s="26"/>
    </row>
    <row r="12702" spans="1:18" ht="15.75" customHeight="1">
      <c r="A12702" s="26"/>
      <c r="B12702" s="86"/>
      <c r="D12702" s="26"/>
      <c r="F12702" s="87" t="str">
        <f t="shared" si="0"/>
        <v/>
      </c>
      <c r="H12702" s="26" t="str">
        <f t="shared" si="1"/>
        <v/>
      </c>
      <c r="I12702" s="26" t="str">
        <f t="shared" si="2"/>
        <v/>
      </c>
      <c r="J12702" s="86">
        <f t="shared" si="3"/>
        <v>0</v>
      </c>
      <c r="R12702" s="26"/>
    </row>
    <row r="12703" spans="1:18" ht="15.75" customHeight="1">
      <c r="A12703" s="26"/>
      <c r="B12703" s="86"/>
      <c r="D12703" s="26"/>
      <c r="F12703" s="87" t="str">
        <f t="shared" si="0"/>
        <v/>
      </c>
      <c r="H12703" s="26" t="str">
        <f t="shared" si="1"/>
        <v/>
      </c>
      <c r="I12703" s="26" t="str">
        <f t="shared" si="2"/>
        <v/>
      </c>
      <c r="J12703" s="86">
        <f t="shared" si="3"/>
        <v>0</v>
      </c>
      <c r="R12703" s="26"/>
    </row>
    <row r="12704" spans="1:18" ht="15.75" customHeight="1">
      <c r="A12704" s="26"/>
      <c r="B12704" s="86"/>
      <c r="D12704" s="26"/>
      <c r="F12704" s="87" t="str">
        <f t="shared" si="0"/>
        <v/>
      </c>
      <c r="H12704" s="26" t="str">
        <f t="shared" si="1"/>
        <v/>
      </c>
      <c r="I12704" s="26" t="str">
        <f t="shared" si="2"/>
        <v/>
      </c>
      <c r="J12704" s="86">
        <f t="shared" si="3"/>
        <v>0</v>
      </c>
      <c r="R12704" s="26"/>
    </row>
    <row r="12705" spans="1:18" ht="15.75" customHeight="1">
      <c r="A12705" s="26"/>
      <c r="B12705" s="86"/>
      <c r="D12705" s="26"/>
      <c r="F12705" s="87" t="str">
        <f t="shared" si="0"/>
        <v/>
      </c>
      <c r="H12705" s="26" t="str">
        <f t="shared" si="1"/>
        <v/>
      </c>
      <c r="I12705" s="26" t="str">
        <f t="shared" si="2"/>
        <v/>
      </c>
      <c r="J12705" s="86">
        <f t="shared" si="3"/>
        <v>0</v>
      </c>
      <c r="R12705" s="26"/>
    </row>
    <row r="12706" spans="1:18" ht="15.75" customHeight="1">
      <c r="A12706" s="26"/>
      <c r="B12706" s="86"/>
      <c r="D12706" s="26"/>
      <c r="F12706" s="87" t="str">
        <f t="shared" si="0"/>
        <v/>
      </c>
      <c r="H12706" s="26" t="str">
        <f t="shared" si="1"/>
        <v/>
      </c>
      <c r="I12706" s="26" t="str">
        <f t="shared" si="2"/>
        <v/>
      </c>
      <c r="J12706" s="86">
        <f t="shared" si="3"/>
        <v>0</v>
      </c>
      <c r="R12706" s="26"/>
    </row>
    <row r="12707" spans="1:18" ht="15.75" customHeight="1">
      <c r="A12707" s="26"/>
      <c r="B12707" s="86"/>
      <c r="D12707" s="26"/>
      <c r="F12707" s="87" t="str">
        <f t="shared" si="0"/>
        <v/>
      </c>
      <c r="H12707" s="26" t="str">
        <f t="shared" si="1"/>
        <v/>
      </c>
      <c r="I12707" s="26" t="str">
        <f t="shared" si="2"/>
        <v/>
      </c>
      <c r="J12707" s="86">
        <f t="shared" si="3"/>
        <v>0</v>
      </c>
      <c r="R12707" s="26"/>
    </row>
    <row r="12708" spans="1:18" ht="15.75" customHeight="1">
      <c r="A12708" s="26"/>
      <c r="B12708" s="86"/>
      <c r="D12708" s="26"/>
      <c r="F12708" s="87" t="str">
        <f t="shared" si="0"/>
        <v/>
      </c>
      <c r="H12708" s="26" t="str">
        <f t="shared" si="1"/>
        <v/>
      </c>
      <c r="I12708" s="26" t="str">
        <f t="shared" si="2"/>
        <v/>
      </c>
      <c r="J12708" s="86">
        <f t="shared" si="3"/>
        <v>0</v>
      </c>
      <c r="R12708" s="26"/>
    </row>
    <row r="12709" spans="1:18" ht="15.75" customHeight="1">
      <c r="A12709" s="26"/>
      <c r="B12709" s="86"/>
      <c r="D12709" s="26"/>
      <c r="F12709" s="87" t="str">
        <f t="shared" si="0"/>
        <v/>
      </c>
      <c r="H12709" s="26" t="str">
        <f t="shared" si="1"/>
        <v/>
      </c>
      <c r="I12709" s="26" t="str">
        <f t="shared" si="2"/>
        <v/>
      </c>
      <c r="J12709" s="86">
        <f t="shared" si="3"/>
        <v>0</v>
      </c>
      <c r="R12709" s="26"/>
    </row>
    <row r="12710" spans="1:18" ht="15.75" customHeight="1">
      <c r="A12710" s="26"/>
      <c r="B12710" s="86"/>
      <c r="D12710" s="26"/>
      <c r="F12710" s="87" t="str">
        <f t="shared" si="0"/>
        <v/>
      </c>
      <c r="H12710" s="26" t="str">
        <f t="shared" si="1"/>
        <v/>
      </c>
      <c r="I12710" s="26" t="str">
        <f t="shared" si="2"/>
        <v/>
      </c>
      <c r="J12710" s="86">
        <f t="shared" si="3"/>
        <v>0</v>
      </c>
      <c r="R12710" s="26"/>
    </row>
    <row r="12711" spans="1:18" ht="15.75" customHeight="1">
      <c r="A12711" s="26"/>
      <c r="B12711" s="86"/>
      <c r="D12711" s="26"/>
      <c r="F12711" s="87" t="str">
        <f t="shared" si="0"/>
        <v/>
      </c>
      <c r="H12711" s="26" t="str">
        <f t="shared" si="1"/>
        <v/>
      </c>
      <c r="I12711" s="26" t="str">
        <f t="shared" si="2"/>
        <v/>
      </c>
      <c r="J12711" s="86">
        <f t="shared" si="3"/>
        <v>0</v>
      </c>
      <c r="R12711" s="26"/>
    </row>
    <row r="12712" spans="1:18" ht="15.75" customHeight="1">
      <c r="A12712" s="26"/>
      <c r="B12712" s="86"/>
      <c r="D12712" s="26"/>
      <c r="F12712" s="87" t="str">
        <f t="shared" si="0"/>
        <v/>
      </c>
      <c r="H12712" s="26" t="str">
        <f t="shared" si="1"/>
        <v/>
      </c>
      <c r="I12712" s="26" t="str">
        <f t="shared" si="2"/>
        <v/>
      </c>
      <c r="J12712" s="86">
        <f t="shared" si="3"/>
        <v>0</v>
      </c>
      <c r="R12712" s="26"/>
    </row>
    <row r="12713" spans="1:18" ht="15.75" customHeight="1">
      <c r="A12713" s="26"/>
      <c r="B12713" s="86"/>
      <c r="D12713" s="26"/>
      <c r="F12713" s="87" t="str">
        <f t="shared" si="0"/>
        <v/>
      </c>
      <c r="H12713" s="26" t="str">
        <f t="shared" si="1"/>
        <v/>
      </c>
      <c r="I12713" s="26" t="str">
        <f t="shared" si="2"/>
        <v/>
      </c>
      <c r="J12713" s="86">
        <f t="shared" si="3"/>
        <v>0</v>
      </c>
      <c r="R12713" s="26"/>
    </row>
    <row r="12714" spans="1:18" ht="15.75" customHeight="1">
      <c r="A12714" s="26"/>
      <c r="B12714" s="86"/>
      <c r="D12714" s="26"/>
      <c r="F12714" s="87" t="str">
        <f t="shared" si="0"/>
        <v/>
      </c>
      <c r="H12714" s="26" t="str">
        <f t="shared" si="1"/>
        <v/>
      </c>
      <c r="I12714" s="26" t="str">
        <f t="shared" si="2"/>
        <v/>
      </c>
      <c r="J12714" s="86">
        <f t="shared" si="3"/>
        <v>0</v>
      </c>
      <c r="R12714" s="26"/>
    </row>
    <row r="12715" spans="1:18" ht="15.75" customHeight="1">
      <c r="A12715" s="26"/>
      <c r="B12715" s="86"/>
      <c r="D12715" s="26"/>
      <c r="F12715" s="87" t="str">
        <f t="shared" si="0"/>
        <v/>
      </c>
      <c r="H12715" s="26" t="str">
        <f t="shared" si="1"/>
        <v/>
      </c>
      <c r="I12715" s="26" t="str">
        <f t="shared" si="2"/>
        <v/>
      </c>
      <c r="J12715" s="86">
        <f t="shared" si="3"/>
        <v>0</v>
      </c>
      <c r="R12715" s="26"/>
    </row>
    <row r="12716" spans="1:18" ht="15.75" customHeight="1">
      <c r="A12716" s="26"/>
      <c r="B12716" s="86"/>
      <c r="D12716" s="26"/>
      <c r="F12716" s="87" t="str">
        <f t="shared" si="0"/>
        <v/>
      </c>
      <c r="H12716" s="26" t="str">
        <f t="shared" si="1"/>
        <v/>
      </c>
      <c r="I12716" s="26" t="str">
        <f t="shared" si="2"/>
        <v/>
      </c>
      <c r="J12716" s="86">
        <f t="shared" si="3"/>
        <v>0</v>
      </c>
      <c r="R12716" s="26"/>
    </row>
    <row r="12717" spans="1:18" ht="15.75" customHeight="1">
      <c r="A12717" s="26"/>
      <c r="B12717" s="86"/>
      <c r="D12717" s="26"/>
      <c r="F12717" s="87" t="str">
        <f t="shared" si="0"/>
        <v/>
      </c>
      <c r="H12717" s="26" t="str">
        <f t="shared" si="1"/>
        <v/>
      </c>
      <c r="I12717" s="26" t="str">
        <f t="shared" si="2"/>
        <v/>
      </c>
      <c r="J12717" s="86">
        <f t="shared" si="3"/>
        <v>0</v>
      </c>
      <c r="R12717" s="26"/>
    </row>
    <row r="12718" spans="1:18" ht="15.75" customHeight="1">
      <c r="A12718" s="26"/>
      <c r="B12718" s="86"/>
      <c r="D12718" s="26"/>
      <c r="F12718" s="87" t="str">
        <f t="shared" si="0"/>
        <v/>
      </c>
      <c r="H12718" s="26" t="str">
        <f t="shared" si="1"/>
        <v/>
      </c>
      <c r="I12718" s="26" t="str">
        <f t="shared" si="2"/>
        <v/>
      </c>
      <c r="J12718" s="86">
        <f t="shared" si="3"/>
        <v>0</v>
      </c>
      <c r="R12718" s="26"/>
    </row>
    <row r="12719" spans="1:18" ht="15.75" customHeight="1">
      <c r="A12719" s="26"/>
      <c r="B12719" s="86"/>
      <c r="D12719" s="26"/>
      <c r="F12719" s="87" t="str">
        <f t="shared" si="0"/>
        <v/>
      </c>
      <c r="H12719" s="26" t="str">
        <f t="shared" si="1"/>
        <v/>
      </c>
      <c r="I12719" s="26" t="str">
        <f t="shared" si="2"/>
        <v/>
      </c>
      <c r="J12719" s="86">
        <f t="shared" si="3"/>
        <v>0</v>
      </c>
      <c r="R12719" s="26"/>
    </row>
    <row r="12720" spans="1:18" ht="15.75" customHeight="1">
      <c r="A12720" s="26"/>
      <c r="B12720" s="86"/>
      <c r="D12720" s="26"/>
      <c r="F12720" s="87" t="str">
        <f t="shared" si="0"/>
        <v/>
      </c>
      <c r="H12720" s="26" t="str">
        <f t="shared" si="1"/>
        <v/>
      </c>
      <c r="I12720" s="26" t="str">
        <f t="shared" si="2"/>
        <v/>
      </c>
      <c r="J12720" s="86">
        <f t="shared" si="3"/>
        <v>0</v>
      </c>
      <c r="R12720" s="26"/>
    </row>
    <row r="12721" spans="1:18" ht="15.75" customHeight="1">
      <c r="A12721" s="26"/>
      <c r="B12721" s="86"/>
      <c r="D12721" s="26"/>
      <c r="F12721" s="87" t="str">
        <f t="shared" si="0"/>
        <v/>
      </c>
      <c r="H12721" s="26" t="str">
        <f t="shared" si="1"/>
        <v/>
      </c>
      <c r="I12721" s="26" t="str">
        <f t="shared" si="2"/>
        <v/>
      </c>
      <c r="J12721" s="86">
        <f t="shared" si="3"/>
        <v>0</v>
      </c>
      <c r="R12721" s="26"/>
    </row>
    <row r="12722" spans="1:18" ht="15.75" customHeight="1">
      <c r="A12722" s="26"/>
      <c r="B12722" s="86"/>
      <c r="D12722" s="26"/>
      <c r="F12722" s="87" t="str">
        <f t="shared" si="0"/>
        <v/>
      </c>
      <c r="H12722" s="26" t="str">
        <f t="shared" si="1"/>
        <v/>
      </c>
      <c r="I12722" s="26" t="str">
        <f t="shared" si="2"/>
        <v/>
      </c>
      <c r="J12722" s="86">
        <f t="shared" si="3"/>
        <v>0</v>
      </c>
      <c r="R12722" s="26"/>
    </row>
    <row r="12723" spans="1:18" ht="15.75" customHeight="1">
      <c r="A12723" s="26"/>
      <c r="B12723" s="86"/>
      <c r="D12723" s="26"/>
      <c r="F12723" s="87" t="str">
        <f t="shared" si="0"/>
        <v/>
      </c>
      <c r="H12723" s="26" t="str">
        <f t="shared" si="1"/>
        <v/>
      </c>
      <c r="I12723" s="26" t="str">
        <f t="shared" si="2"/>
        <v/>
      </c>
      <c r="J12723" s="86">
        <f t="shared" si="3"/>
        <v>0</v>
      </c>
      <c r="R12723" s="26"/>
    </row>
    <row r="12724" spans="1:18" ht="15.75" customHeight="1">
      <c r="A12724" s="26"/>
      <c r="B12724" s="86"/>
      <c r="D12724" s="26"/>
      <c r="F12724" s="87" t="str">
        <f t="shared" si="0"/>
        <v/>
      </c>
      <c r="H12724" s="26" t="str">
        <f t="shared" si="1"/>
        <v/>
      </c>
      <c r="I12724" s="26" t="str">
        <f t="shared" si="2"/>
        <v/>
      </c>
      <c r="J12724" s="86">
        <f t="shared" si="3"/>
        <v>0</v>
      </c>
      <c r="R12724" s="26"/>
    </row>
    <row r="12725" spans="1:18" ht="15.75" customHeight="1">
      <c r="A12725" s="26"/>
      <c r="B12725" s="86"/>
      <c r="D12725" s="26"/>
      <c r="F12725" s="87" t="str">
        <f t="shared" si="0"/>
        <v/>
      </c>
      <c r="H12725" s="26" t="str">
        <f t="shared" si="1"/>
        <v/>
      </c>
      <c r="I12725" s="26" t="str">
        <f t="shared" si="2"/>
        <v/>
      </c>
      <c r="J12725" s="86">
        <f t="shared" si="3"/>
        <v>0</v>
      </c>
      <c r="R12725" s="26"/>
    </row>
    <row r="12726" spans="1:18" ht="15.75" customHeight="1">
      <c r="A12726" s="26"/>
      <c r="B12726" s="86"/>
      <c r="D12726" s="26"/>
      <c r="F12726" s="87" t="str">
        <f t="shared" si="0"/>
        <v/>
      </c>
      <c r="H12726" s="26" t="str">
        <f t="shared" si="1"/>
        <v/>
      </c>
      <c r="I12726" s="26" t="str">
        <f t="shared" si="2"/>
        <v/>
      </c>
      <c r="J12726" s="86">
        <f t="shared" si="3"/>
        <v>0</v>
      </c>
      <c r="R12726" s="26"/>
    </row>
    <row r="12727" spans="1:18" ht="15.75" customHeight="1">
      <c r="A12727" s="26"/>
      <c r="B12727" s="86"/>
      <c r="D12727" s="26"/>
      <c r="F12727" s="87" t="str">
        <f t="shared" si="0"/>
        <v/>
      </c>
      <c r="H12727" s="26" t="str">
        <f t="shared" si="1"/>
        <v/>
      </c>
      <c r="I12727" s="26" t="str">
        <f t="shared" si="2"/>
        <v/>
      </c>
      <c r="J12727" s="86">
        <f t="shared" si="3"/>
        <v>0</v>
      </c>
      <c r="R12727" s="26"/>
    </row>
    <row r="12728" spans="1:18" ht="15.75" customHeight="1">
      <c r="A12728" s="26"/>
      <c r="B12728" s="86"/>
      <c r="D12728" s="26"/>
      <c r="F12728" s="87" t="str">
        <f t="shared" si="0"/>
        <v/>
      </c>
      <c r="H12728" s="26" t="str">
        <f t="shared" si="1"/>
        <v/>
      </c>
      <c r="I12728" s="26" t="str">
        <f t="shared" si="2"/>
        <v/>
      </c>
      <c r="J12728" s="86">
        <f t="shared" si="3"/>
        <v>0</v>
      </c>
      <c r="R12728" s="26"/>
    </row>
    <row r="12729" spans="1:18" ht="15.75" customHeight="1">
      <c r="A12729" s="26"/>
      <c r="B12729" s="86"/>
      <c r="D12729" s="26"/>
      <c r="F12729" s="87" t="str">
        <f t="shared" si="0"/>
        <v/>
      </c>
      <c r="H12729" s="26" t="str">
        <f t="shared" si="1"/>
        <v/>
      </c>
      <c r="I12729" s="26" t="str">
        <f t="shared" si="2"/>
        <v/>
      </c>
      <c r="J12729" s="86">
        <f t="shared" si="3"/>
        <v>0</v>
      </c>
      <c r="R12729" s="26"/>
    </row>
    <row r="12730" spans="1:18" ht="15.75" customHeight="1">
      <c r="A12730" s="26"/>
      <c r="B12730" s="86"/>
      <c r="D12730" s="26"/>
      <c r="F12730" s="87" t="str">
        <f t="shared" si="0"/>
        <v/>
      </c>
      <c r="H12730" s="26" t="str">
        <f t="shared" si="1"/>
        <v/>
      </c>
      <c r="I12730" s="26" t="str">
        <f t="shared" si="2"/>
        <v/>
      </c>
      <c r="J12730" s="86">
        <f t="shared" si="3"/>
        <v>0</v>
      </c>
      <c r="R12730" s="26"/>
    </row>
    <row r="12731" spans="1:18" ht="15.75" customHeight="1">
      <c r="A12731" s="26"/>
      <c r="B12731" s="86"/>
      <c r="D12731" s="26"/>
      <c r="F12731" s="87" t="str">
        <f t="shared" si="0"/>
        <v/>
      </c>
      <c r="H12731" s="26" t="str">
        <f t="shared" si="1"/>
        <v/>
      </c>
      <c r="I12731" s="26" t="str">
        <f t="shared" si="2"/>
        <v/>
      </c>
      <c r="J12731" s="86">
        <f t="shared" si="3"/>
        <v>0</v>
      </c>
      <c r="R12731" s="26"/>
    </row>
    <row r="12732" spans="1:18" ht="15.75" customHeight="1">
      <c r="A12732" s="26"/>
      <c r="B12732" s="86"/>
      <c r="D12732" s="26"/>
      <c r="F12732" s="87" t="str">
        <f t="shared" si="0"/>
        <v/>
      </c>
      <c r="H12732" s="26" t="str">
        <f t="shared" si="1"/>
        <v/>
      </c>
      <c r="I12732" s="26" t="str">
        <f t="shared" si="2"/>
        <v/>
      </c>
      <c r="J12732" s="86">
        <f t="shared" si="3"/>
        <v>0</v>
      </c>
      <c r="R12732" s="26"/>
    </row>
    <row r="12733" spans="1:18" ht="15.75" customHeight="1">
      <c r="A12733" s="26"/>
      <c r="B12733" s="86"/>
      <c r="D12733" s="26"/>
      <c r="F12733" s="87" t="str">
        <f t="shared" si="0"/>
        <v/>
      </c>
      <c r="H12733" s="26" t="str">
        <f t="shared" si="1"/>
        <v/>
      </c>
      <c r="I12733" s="26" t="str">
        <f t="shared" si="2"/>
        <v/>
      </c>
      <c r="J12733" s="86">
        <f t="shared" si="3"/>
        <v>0</v>
      </c>
      <c r="R12733" s="26"/>
    </row>
    <row r="12734" spans="1:18" ht="15.75" customHeight="1">
      <c r="A12734" s="26"/>
      <c r="B12734" s="86"/>
      <c r="D12734" s="26"/>
      <c r="F12734" s="87" t="str">
        <f t="shared" si="0"/>
        <v/>
      </c>
      <c r="H12734" s="26" t="str">
        <f t="shared" si="1"/>
        <v/>
      </c>
      <c r="I12734" s="26" t="str">
        <f t="shared" si="2"/>
        <v/>
      </c>
      <c r="J12734" s="86">
        <f t="shared" si="3"/>
        <v>0</v>
      </c>
      <c r="R12734" s="26"/>
    </row>
    <row r="12735" spans="1:18" ht="15.75" customHeight="1">
      <c r="A12735" s="26"/>
      <c r="B12735" s="86"/>
      <c r="D12735" s="26"/>
      <c r="F12735" s="87" t="str">
        <f t="shared" si="0"/>
        <v/>
      </c>
      <c r="H12735" s="26" t="str">
        <f t="shared" si="1"/>
        <v/>
      </c>
      <c r="I12735" s="26" t="str">
        <f t="shared" si="2"/>
        <v/>
      </c>
      <c r="J12735" s="86">
        <f t="shared" si="3"/>
        <v>0</v>
      </c>
      <c r="R12735" s="26"/>
    </row>
    <row r="12736" spans="1:18" ht="15.75" customHeight="1">
      <c r="A12736" s="26"/>
      <c r="B12736" s="86"/>
      <c r="D12736" s="26"/>
      <c r="F12736" s="87" t="str">
        <f t="shared" si="0"/>
        <v/>
      </c>
      <c r="H12736" s="26" t="str">
        <f t="shared" si="1"/>
        <v/>
      </c>
      <c r="I12736" s="26" t="str">
        <f t="shared" si="2"/>
        <v/>
      </c>
      <c r="J12736" s="86">
        <f t="shared" si="3"/>
        <v>0</v>
      </c>
      <c r="R12736" s="26"/>
    </row>
    <row r="12737" spans="1:18" ht="15.75" customHeight="1">
      <c r="A12737" s="26"/>
      <c r="B12737" s="86"/>
      <c r="D12737" s="26"/>
      <c r="F12737" s="87" t="str">
        <f t="shared" si="0"/>
        <v/>
      </c>
      <c r="H12737" s="26" t="str">
        <f t="shared" si="1"/>
        <v/>
      </c>
      <c r="I12737" s="26" t="str">
        <f t="shared" si="2"/>
        <v/>
      </c>
      <c r="J12737" s="86">
        <f t="shared" si="3"/>
        <v>0</v>
      </c>
      <c r="R12737" s="26"/>
    </row>
    <row r="12738" spans="1:18" ht="15.75" customHeight="1">
      <c r="A12738" s="26"/>
      <c r="B12738" s="86"/>
      <c r="D12738" s="26"/>
      <c r="F12738" s="87" t="str">
        <f t="shared" si="0"/>
        <v/>
      </c>
      <c r="H12738" s="26" t="str">
        <f t="shared" si="1"/>
        <v/>
      </c>
      <c r="I12738" s="26" t="str">
        <f t="shared" si="2"/>
        <v/>
      </c>
      <c r="J12738" s="86">
        <f t="shared" si="3"/>
        <v>0</v>
      </c>
      <c r="R12738" s="26"/>
    </row>
    <row r="12739" spans="1:18" ht="15.75" customHeight="1">
      <c r="A12739" s="26"/>
      <c r="B12739" s="86"/>
      <c r="D12739" s="26"/>
      <c r="F12739" s="87" t="str">
        <f t="shared" si="0"/>
        <v/>
      </c>
      <c r="H12739" s="26" t="str">
        <f t="shared" si="1"/>
        <v/>
      </c>
      <c r="I12739" s="26" t="str">
        <f t="shared" si="2"/>
        <v/>
      </c>
      <c r="J12739" s="86">
        <f t="shared" si="3"/>
        <v>0</v>
      </c>
      <c r="R12739" s="26"/>
    </row>
    <row r="12740" spans="1:18" ht="15.75" customHeight="1">
      <c r="A12740" s="26"/>
      <c r="B12740" s="86"/>
      <c r="D12740" s="26"/>
      <c r="F12740" s="87" t="str">
        <f t="shared" si="0"/>
        <v/>
      </c>
      <c r="H12740" s="26" t="str">
        <f t="shared" si="1"/>
        <v/>
      </c>
      <c r="I12740" s="26" t="str">
        <f t="shared" si="2"/>
        <v/>
      </c>
      <c r="J12740" s="86">
        <f t="shared" si="3"/>
        <v>0</v>
      </c>
      <c r="R12740" s="26"/>
    </row>
    <row r="12741" spans="1:18" ht="15.75" customHeight="1">
      <c r="A12741" s="26"/>
      <c r="B12741" s="86"/>
      <c r="D12741" s="26"/>
      <c r="F12741" s="87" t="str">
        <f t="shared" si="0"/>
        <v/>
      </c>
      <c r="H12741" s="26" t="str">
        <f t="shared" si="1"/>
        <v/>
      </c>
      <c r="I12741" s="26" t="str">
        <f t="shared" si="2"/>
        <v/>
      </c>
      <c r="J12741" s="86">
        <f t="shared" si="3"/>
        <v>0</v>
      </c>
      <c r="R12741" s="26"/>
    </row>
    <row r="12742" spans="1:18" ht="15.75" customHeight="1">
      <c r="A12742" s="26"/>
      <c r="B12742" s="86"/>
      <c r="D12742" s="26"/>
      <c r="F12742" s="87" t="str">
        <f t="shared" si="0"/>
        <v/>
      </c>
      <c r="H12742" s="26" t="str">
        <f t="shared" si="1"/>
        <v/>
      </c>
      <c r="I12742" s="26" t="str">
        <f t="shared" si="2"/>
        <v/>
      </c>
      <c r="J12742" s="86">
        <f t="shared" si="3"/>
        <v>0</v>
      </c>
      <c r="R12742" s="26"/>
    </row>
    <row r="12743" spans="1:18" ht="15.75" customHeight="1">
      <c r="A12743" s="26"/>
      <c r="B12743" s="86"/>
      <c r="D12743" s="26"/>
      <c r="F12743" s="87" t="str">
        <f t="shared" si="0"/>
        <v/>
      </c>
      <c r="H12743" s="26" t="str">
        <f t="shared" si="1"/>
        <v/>
      </c>
      <c r="I12743" s="26" t="str">
        <f t="shared" si="2"/>
        <v/>
      </c>
      <c r="J12743" s="86">
        <f t="shared" si="3"/>
        <v>0</v>
      </c>
      <c r="R12743" s="26"/>
    </row>
    <row r="12744" spans="1:18" ht="15.75" customHeight="1">
      <c r="A12744" s="26"/>
      <c r="B12744" s="86"/>
      <c r="D12744" s="26"/>
      <c r="F12744" s="87" t="str">
        <f t="shared" si="0"/>
        <v/>
      </c>
      <c r="H12744" s="26" t="str">
        <f t="shared" si="1"/>
        <v/>
      </c>
      <c r="I12744" s="26" t="str">
        <f t="shared" si="2"/>
        <v/>
      </c>
      <c r="J12744" s="86">
        <f t="shared" si="3"/>
        <v>0</v>
      </c>
      <c r="R12744" s="26"/>
    </row>
    <row r="12745" spans="1:18" ht="15.75" customHeight="1">
      <c r="A12745" s="26"/>
      <c r="B12745" s="86"/>
      <c r="D12745" s="26"/>
      <c r="F12745" s="87" t="str">
        <f t="shared" si="0"/>
        <v/>
      </c>
      <c r="H12745" s="26" t="str">
        <f t="shared" si="1"/>
        <v/>
      </c>
      <c r="I12745" s="26" t="str">
        <f t="shared" si="2"/>
        <v/>
      </c>
      <c r="J12745" s="86">
        <f t="shared" si="3"/>
        <v>0</v>
      </c>
      <c r="R12745" s="26"/>
    </row>
    <row r="12746" spans="1:18" ht="15.75" customHeight="1">
      <c r="A12746" s="26"/>
      <c r="B12746" s="86"/>
      <c r="D12746" s="26"/>
      <c r="F12746" s="87" t="str">
        <f t="shared" si="0"/>
        <v/>
      </c>
      <c r="H12746" s="26" t="str">
        <f t="shared" si="1"/>
        <v/>
      </c>
      <c r="I12746" s="26" t="str">
        <f t="shared" si="2"/>
        <v/>
      </c>
      <c r="J12746" s="86">
        <f t="shared" si="3"/>
        <v>0</v>
      </c>
      <c r="R12746" s="26"/>
    </row>
    <row r="12747" spans="1:18" ht="15.75" customHeight="1">
      <c r="A12747" s="26"/>
      <c r="B12747" s="86"/>
      <c r="D12747" s="26"/>
      <c r="F12747" s="87" t="str">
        <f t="shared" si="0"/>
        <v/>
      </c>
      <c r="H12747" s="26" t="str">
        <f t="shared" si="1"/>
        <v/>
      </c>
      <c r="I12747" s="26" t="str">
        <f t="shared" si="2"/>
        <v/>
      </c>
      <c r="J12747" s="86">
        <f t="shared" si="3"/>
        <v>0</v>
      </c>
      <c r="R12747" s="26"/>
    </row>
    <row r="12748" spans="1:18" ht="15.75" customHeight="1">
      <c r="A12748" s="26"/>
      <c r="B12748" s="86"/>
      <c r="D12748" s="26"/>
      <c r="F12748" s="87" t="str">
        <f t="shared" si="0"/>
        <v/>
      </c>
      <c r="H12748" s="26" t="str">
        <f t="shared" si="1"/>
        <v/>
      </c>
      <c r="I12748" s="26" t="str">
        <f t="shared" si="2"/>
        <v/>
      </c>
      <c r="J12748" s="86">
        <f t="shared" si="3"/>
        <v>0</v>
      </c>
      <c r="R12748" s="26"/>
    </row>
    <row r="12749" spans="1:18" ht="15.75" customHeight="1">
      <c r="A12749" s="26"/>
      <c r="B12749" s="86"/>
      <c r="D12749" s="26"/>
      <c r="F12749" s="87" t="str">
        <f t="shared" si="0"/>
        <v/>
      </c>
      <c r="H12749" s="26" t="str">
        <f t="shared" si="1"/>
        <v/>
      </c>
      <c r="I12749" s="26" t="str">
        <f t="shared" si="2"/>
        <v/>
      </c>
      <c r="J12749" s="86">
        <f t="shared" si="3"/>
        <v>0</v>
      </c>
      <c r="R12749" s="26"/>
    </row>
    <row r="12750" spans="1:18" ht="15.75" customHeight="1">
      <c r="A12750" s="26"/>
      <c r="B12750" s="86"/>
      <c r="D12750" s="26"/>
      <c r="F12750" s="87" t="str">
        <f t="shared" si="0"/>
        <v/>
      </c>
      <c r="H12750" s="26" t="str">
        <f t="shared" si="1"/>
        <v/>
      </c>
      <c r="I12750" s="26" t="str">
        <f t="shared" si="2"/>
        <v/>
      </c>
      <c r="J12750" s="86">
        <f t="shared" si="3"/>
        <v>0</v>
      </c>
      <c r="R12750" s="26"/>
    </row>
    <row r="12751" spans="1:18" ht="15.75" customHeight="1">
      <c r="A12751" s="26"/>
      <c r="B12751" s="86"/>
      <c r="D12751" s="26"/>
      <c r="F12751" s="87" t="str">
        <f t="shared" si="0"/>
        <v/>
      </c>
      <c r="H12751" s="26" t="str">
        <f t="shared" si="1"/>
        <v/>
      </c>
      <c r="I12751" s="26" t="str">
        <f t="shared" si="2"/>
        <v/>
      </c>
      <c r="J12751" s="86">
        <f t="shared" si="3"/>
        <v>0</v>
      </c>
      <c r="R12751" s="26"/>
    </row>
    <row r="12752" spans="1:18" ht="15.75" customHeight="1">
      <c r="A12752" s="26"/>
      <c r="B12752" s="86"/>
      <c r="D12752" s="26"/>
      <c r="F12752" s="87" t="str">
        <f t="shared" si="0"/>
        <v/>
      </c>
      <c r="H12752" s="26" t="str">
        <f t="shared" si="1"/>
        <v/>
      </c>
      <c r="I12752" s="26" t="str">
        <f t="shared" si="2"/>
        <v/>
      </c>
      <c r="J12752" s="86">
        <f t="shared" si="3"/>
        <v>0</v>
      </c>
      <c r="R12752" s="26"/>
    </row>
    <row r="12753" spans="1:18" ht="15.75" customHeight="1">
      <c r="A12753" s="26"/>
      <c r="B12753" s="86"/>
      <c r="D12753" s="26"/>
      <c r="F12753" s="87" t="str">
        <f t="shared" si="0"/>
        <v/>
      </c>
      <c r="H12753" s="26" t="str">
        <f t="shared" si="1"/>
        <v/>
      </c>
      <c r="I12753" s="26" t="str">
        <f t="shared" si="2"/>
        <v/>
      </c>
      <c r="J12753" s="86">
        <f t="shared" si="3"/>
        <v>0</v>
      </c>
      <c r="R12753" s="26"/>
    </row>
    <row r="12754" spans="1:18" ht="15.75" customHeight="1">
      <c r="A12754" s="26"/>
      <c r="B12754" s="86"/>
      <c r="D12754" s="26"/>
      <c r="F12754" s="87" t="str">
        <f t="shared" si="0"/>
        <v/>
      </c>
      <c r="H12754" s="26" t="str">
        <f t="shared" si="1"/>
        <v/>
      </c>
      <c r="I12754" s="26" t="str">
        <f t="shared" si="2"/>
        <v/>
      </c>
      <c r="J12754" s="86">
        <f t="shared" si="3"/>
        <v>0</v>
      </c>
      <c r="R12754" s="26"/>
    </row>
    <row r="12755" spans="1:18" ht="15.75" customHeight="1">
      <c r="A12755" s="26"/>
      <c r="B12755" s="86"/>
      <c r="D12755" s="26"/>
      <c r="F12755" s="87" t="str">
        <f t="shared" si="0"/>
        <v/>
      </c>
      <c r="H12755" s="26" t="str">
        <f t="shared" si="1"/>
        <v/>
      </c>
      <c r="I12755" s="26" t="str">
        <f t="shared" si="2"/>
        <v/>
      </c>
      <c r="J12755" s="86">
        <f t="shared" si="3"/>
        <v>0</v>
      </c>
      <c r="R12755" s="26"/>
    </row>
    <row r="12756" spans="1:18" ht="15.75" customHeight="1">
      <c r="A12756" s="26"/>
      <c r="B12756" s="86"/>
      <c r="D12756" s="26"/>
      <c r="F12756" s="87" t="str">
        <f t="shared" si="0"/>
        <v/>
      </c>
      <c r="H12756" s="26" t="str">
        <f t="shared" si="1"/>
        <v/>
      </c>
      <c r="I12756" s="26" t="str">
        <f t="shared" si="2"/>
        <v/>
      </c>
      <c r="J12756" s="86">
        <f t="shared" si="3"/>
        <v>0</v>
      </c>
      <c r="R12756" s="26"/>
    </row>
    <row r="12757" spans="1:18" ht="15.75" customHeight="1">
      <c r="A12757" s="26"/>
      <c r="B12757" s="86"/>
      <c r="D12757" s="26"/>
      <c r="F12757" s="87" t="str">
        <f t="shared" si="0"/>
        <v/>
      </c>
      <c r="H12757" s="26" t="str">
        <f t="shared" si="1"/>
        <v/>
      </c>
      <c r="I12757" s="26" t="str">
        <f t="shared" si="2"/>
        <v/>
      </c>
      <c r="J12757" s="86">
        <f t="shared" si="3"/>
        <v>0</v>
      </c>
      <c r="R12757" s="26"/>
    </row>
    <row r="12758" spans="1:18" ht="15.75" customHeight="1">
      <c r="A12758" s="26"/>
      <c r="B12758" s="86"/>
      <c r="D12758" s="26"/>
      <c r="F12758" s="87" t="str">
        <f t="shared" si="0"/>
        <v/>
      </c>
      <c r="H12758" s="26" t="str">
        <f t="shared" si="1"/>
        <v/>
      </c>
      <c r="I12758" s="26" t="str">
        <f t="shared" si="2"/>
        <v/>
      </c>
      <c r="J12758" s="86">
        <f t="shared" si="3"/>
        <v>0</v>
      </c>
      <c r="R12758" s="26"/>
    </row>
    <row r="12759" spans="1:18" ht="15.75" customHeight="1">
      <c r="A12759" s="26"/>
      <c r="B12759" s="86"/>
      <c r="D12759" s="26"/>
      <c r="F12759" s="87" t="str">
        <f t="shared" si="0"/>
        <v/>
      </c>
      <c r="H12759" s="26" t="str">
        <f t="shared" si="1"/>
        <v/>
      </c>
      <c r="I12759" s="26" t="str">
        <f t="shared" si="2"/>
        <v/>
      </c>
      <c r="J12759" s="86">
        <f t="shared" si="3"/>
        <v>0</v>
      </c>
      <c r="R12759" s="26"/>
    </row>
    <row r="12760" spans="1:18" ht="15.75" customHeight="1">
      <c r="A12760" s="26"/>
      <c r="B12760" s="86"/>
      <c r="D12760" s="26"/>
      <c r="F12760" s="87" t="str">
        <f t="shared" si="0"/>
        <v/>
      </c>
      <c r="H12760" s="26" t="str">
        <f t="shared" si="1"/>
        <v/>
      </c>
      <c r="I12760" s="26" t="str">
        <f t="shared" si="2"/>
        <v/>
      </c>
      <c r="J12760" s="86">
        <f t="shared" si="3"/>
        <v>0</v>
      </c>
      <c r="R12760" s="26"/>
    </row>
    <row r="12761" spans="1:18" ht="15.75" customHeight="1">
      <c r="A12761" s="26"/>
      <c r="B12761" s="86"/>
      <c r="D12761" s="26"/>
      <c r="F12761" s="87" t="str">
        <f t="shared" si="0"/>
        <v/>
      </c>
      <c r="H12761" s="26" t="str">
        <f t="shared" si="1"/>
        <v/>
      </c>
      <c r="I12761" s="26" t="str">
        <f t="shared" si="2"/>
        <v/>
      </c>
      <c r="J12761" s="86">
        <f t="shared" si="3"/>
        <v>0</v>
      </c>
      <c r="R12761" s="26"/>
    </row>
    <row r="12762" spans="1:18" ht="15.75" customHeight="1">
      <c r="A12762" s="26"/>
      <c r="B12762" s="86"/>
      <c r="D12762" s="26"/>
      <c r="F12762" s="87" t="str">
        <f t="shared" si="0"/>
        <v/>
      </c>
      <c r="H12762" s="26" t="str">
        <f t="shared" si="1"/>
        <v/>
      </c>
      <c r="I12762" s="26" t="str">
        <f t="shared" si="2"/>
        <v/>
      </c>
      <c r="J12762" s="86">
        <f t="shared" si="3"/>
        <v>0</v>
      </c>
      <c r="R12762" s="26"/>
    </row>
    <row r="12763" spans="1:18" ht="15.75" customHeight="1">
      <c r="A12763" s="26"/>
      <c r="B12763" s="86"/>
      <c r="D12763" s="26"/>
      <c r="F12763" s="87" t="str">
        <f t="shared" si="0"/>
        <v/>
      </c>
      <c r="H12763" s="26" t="str">
        <f t="shared" si="1"/>
        <v/>
      </c>
      <c r="I12763" s="26" t="str">
        <f t="shared" si="2"/>
        <v/>
      </c>
      <c r="J12763" s="86">
        <f t="shared" si="3"/>
        <v>0</v>
      </c>
      <c r="R12763" s="26"/>
    </row>
    <row r="12764" spans="1:18" ht="15.75" customHeight="1">
      <c r="A12764" s="26"/>
      <c r="B12764" s="86"/>
      <c r="D12764" s="26"/>
      <c r="F12764" s="87" t="str">
        <f t="shared" si="0"/>
        <v/>
      </c>
      <c r="H12764" s="26" t="str">
        <f t="shared" si="1"/>
        <v/>
      </c>
      <c r="I12764" s="26" t="str">
        <f t="shared" si="2"/>
        <v/>
      </c>
      <c r="J12764" s="86">
        <f t="shared" si="3"/>
        <v>0</v>
      </c>
      <c r="R12764" s="26"/>
    </row>
    <row r="12765" spans="1:18" ht="15.75" customHeight="1">
      <c r="A12765" s="26"/>
      <c r="B12765" s="86"/>
      <c r="D12765" s="26"/>
      <c r="F12765" s="87" t="str">
        <f t="shared" si="0"/>
        <v/>
      </c>
      <c r="H12765" s="26" t="str">
        <f t="shared" si="1"/>
        <v/>
      </c>
      <c r="I12765" s="26" t="str">
        <f t="shared" si="2"/>
        <v/>
      </c>
      <c r="J12765" s="86">
        <f t="shared" si="3"/>
        <v>0</v>
      </c>
      <c r="R12765" s="26"/>
    </row>
    <row r="12766" spans="1:18" ht="15.75" customHeight="1">
      <c r="A12766" s="26"/>
      <c r="B12766" s="86"/>
      <c r="D12766" s="26"/>
      <c r="F12766" s="87" t="str">
        <f t="shared" si="0"/>
        <v/>
      </c>
      <c r="H12766" s="26" t="str">
        <f t="shared" si="1"/>
        <v/>
      </c>
      <c r="I12766" s="26" t="str">
        <f t="shared" si="2"/>
        <v/>
      </c>
      <c r="J12766" s="86">
        <f t="shared" si="3"/>
        <v>0</v>
      </c>
      <c r="R12766" s="26"/>
    </row>
    <row r="12767" spans="1:18" ht="15.75" customHeight="1">
      <c r="A12767" s="26"/>
      <c r="B12767" s="86"/>
      <c r="D12767" s="26"/>
      <c r="F12767" s="87" t="str">
        <f t="shared" si="0"/>
        <v/>
      </c>
      <c r="H12767" s="26" t="str">
        <f t="shared" si="1"/>
        <v/>
      </c>
      <c r="I12767" s="26" t="str">
        <f t="shared" si="2"/>
        <v/>
      </c>
      <c r="J12767" s="86">
        <f t="shared" si="3"/>
        <v>0</v>
      </c>
      <c r="R12767" s="26"/>
    </row>
    <row r="12768" spans="1:18" ht="15.75" customHeight="1">
      <c r="A12768" s="26"/>
      <c r="B12768" s="86"/>
      <c r="D12768" s="26"/>
      <c r="F12768" s="87" t="str">
        <f t="shared" si="0"/>
        <v/>
      </c>
      <c r="H12768" s="26" t="str">
        <f t="shared" si="1"/>
        <v/>
      </c>
      <c r="I12768" s="26" t="str">
        <f t="shared" si="2"/>
        <v/>
      </c>
      <c r="J12768" s="86">
        <f t="shared" si="3"/>
        <v>0</v>
      </c>
      <c r="R12768" s="26"/>
    </row>
    <row r="12769" spans="1:18" ht="15.75" customHeight="1">
      <c r="A12769" s="26"/>
      <c r="B12769" s="86"/>
      <c r="D12769" s="26"/>
      <c r="F12769" s="87" t="str">
        <f t="shared" si="0"/>
        <v/>
      </c>
      <c r="H12769" s="26" t="str">
        <f t="shared" si="1"/>
        <v/>
      </c>
      <c r="I12769" s="26" t="str">
        <f t="shared" si="2"/>
        <v/>
      </c>
      <c r="J12769" s="86">
        <f t="shared" si="3"/>
        <v>0</v>
      </c>
      <c r="R12769" s="26"/>
    </row>
    <row r="12770" spans="1:18" ht="15.75" customHeight="1">
      <c r="A12770" s="26"/>
      <c r="B12770" s="86"/>
      <c r="D12770" s="26"/>
      <c r="F12770" s="87" t="str">
        <f t="shared" si="0"/>
        <v/>
      </c>
      <c r="H12770" s="26" t="str">
        <f t="shared" si="1"/>
        <v/>
      </c>
      <c r="I12770" s="26" t="str">
        <f t="shared" si="2"/>
        <v/>
      </c>
      <c r="J12770" s="86">
        <f t="shared" si="3"/>
        <v>0</v>
      </c>
      <c r="R12770" s="26"/>
    </row>
    <row r="12771" spans="1:18" ht="15.75" customHeight="1">
      <c r="A12771" s="26"/>
      <c r="B12771" s="86"/>
      <c r="D12771" s="26"/>
      <c r="F12771" s="87" t="str">
        <f t="shared" si="0"/>
        <v/>
      </c>
      <c r="H12771" s="26" t="str">
        <f t="shared" si="1"/>
        <v/>
      </c>
      <c r="I12771" s="26" t="str">
        <f t="shared" si="2"/>
        <v/>
      </c>
      <c r="J12771" s="86">
        <f t="shared" si="3"/>
        <v>0</v>
      </c>
      <c r="R12771" s="26"/>
    </row>
    <row r="12772" spans="1:18" ht="15.75" customHeight="1">
      <c r="A12772" s="26"/>
      <c r="B12772" s="86"/>
      <c r="D12772" s="26"/>
      <c r="F12772" s="87" t="str">
        <f t="shared" si="0"/>
        <v/>
      </c>
      <c r="H12772" s="26" t="str">
        <f t="shared" si="1"/>
        <v/>
      </c>
      <c r="I12772" s="26" t="str">
        <f t="shared" si="2"/>
        <v/>
      </c>
      <c r="J12772" s="86">
        <f t="shared" si="3"/>
        <v>0</v>
      </c>
      <c r="R12772" s="26"/>
    </row>
    <row r="12773" spans="1:18" ht="15.75" customHeight="1">
      <c r="A12773" s="26"/>
      <c r="B12773" s="86"/>
      <c r="D12773" s="26"/>
      <c r="F12773" s="87" t="str">
        <f t="shared" si="0"/>
        <v/>
      </c>
      <c r="H12773" s="26" t="str">
        <f t="shared" si="1"/>
        <v/>
      </c>
      <c r="I12773" s="26" t="str">
        <f t="shared" si="2"/>
        <v/>
      </c>
      <c r="J12773" s="86">
        <f t="shared" si="3"/>
        <v>0</v>
      </c>
      <c r="R12773" s="26"/>
    </row>
    <row r="12774" spans="1:18" ht="15.75" customHeight="1">
      <c r="A12774" s="26"/>
      <c r="B12774" s="86"/>
      <c r="D12774" s="26"/>
      <c r="F12774" s="87" t="str">
        <f t="shared" si="0"/>
        <v/>
      </c>
      <c r="H12774" s="26" t="str">
        <f t="shared" si="1"/>
        <v/>
      </c>
      <c r="I12774" s="26" t="str">
        <f t="shared" si="2"/>
        <v/>
      </c>
      <c r="J12774" s="86">
        <f t="shared" si="3"/>
        <v>0</v>
      </c>
      <c r="R12774" s="26"/>
    </row>
    <row r="12775" spans="1:18" ht="15.75" customHeight="1">
      <c r="A12775" s="26"/>
      <c r="B12775" s="86"/>
      <c r="D12775" s="26"/>
      <c r="F12775" s="87" t="str">
        <f t="shared" si="0"/>
        <v/>
      </c>
      <c r="H12775" s="26" t="str">
        <f t="shared" si="1"/>
        <v/>
      </c>
      <c r="I12775" s="26" t="str">
        <f t="shared" si="2"/>
        <v/>
      </c>
      <c r="J12775" s="86">
        <f t="shared" si="3"/>
        <v>0</v>
      </c>
      <c r="R12775" s="26"/>
    </row>
    <row r="12776" spans="1:18" ht="15.75" customHeight="1">
      <c r="A12776" s="26"/>
      <c r="B12776" s="86"/>
      <c r="D12776" s="26"/>
      <c r="F12776" s="87" t="str">
        <f t="shared" si="0"/>
        <v/>
      </c>
      <c r="H12776" s="26" t="str">
        <f t="shared" si="1"/>
        <v/>
      </c>
      <c r="I12776" s="26" t="str">
        <f t="shared" si="2"/>
        <v/>
      </c>
      <c r="J12776" s="86">
        <f t="shared" si="3"/>
        <v>0</v>
      </c>
      <c r="R12776" s="26"/>
    </row>
    <row r="12777" spans="1:18" ht="15.75" customHeight="1">
      <c r="A12777" s="26"/>
      <c r="B12777" s="86"/>
      <c r="D12777" s="26"/>
      <c r="F12777" s="87" t="str">
        <f t="shared" si="0"/>
        <v/>
      </c>
      <c r="H12777" s="26" t="str">
        <f t="shared" si="1"/>
        <v/>
      </c>
      <c r="I12777" s="26" t="str">
        <f t="shared" si="2"/>
        <v/>
      </c>
      <c r="J12777" s="86">
        <f t="shared" si="3"/>
        <v>0</v>
      </c>
      <c r="R12777" s="26"/>
    </row>
    <row r="12778" spans="1:18" ht="15.75" customHeight="1">
      <c r="A12778" s="26"/>
      <c r="B12778" s="86"/>
      <c r="D12778" s="26"/>
      <c r="F12778" s="87" t="str">
        <f t="shared" si="0"/>
        <v/>
      </c>
      <c r="H12778" s="26" t="str">
        <f t="shared" si="1"/>
        <v/>
      </c>
      <c r="I12778" s="26" t="str">
        <f t="shared" si="2"/>
        <v/>
      </c>
      <c r="J12778" s="86">
        <f t="shared" si="3"/>
        <v>0</v>
      </c>
      <c r="R12778" s="26"/>
    </row>
    <row r="12779" spans="1:18" ht="15.75" customHeight="1">
      <c r="A12779" s="26"/>
      <c r="B12779" s="86"/>
      <c r="D12779" s="26"/>
      <c r="F12779" s="87" t="str">
        <f t="shared" si="0"/>
        <v/>
      </c>
      <c r="H12779" s="26" t="str">
        <f t="shared" si="1"/>
        <v/>
      </c>
      <c r="I12779" s="26" t="str">
        <f t="shared" si="2"/>
        <v/>
      </c>
      <c r="J12779" s="86">
        <f t="shared" si="3"/>
        <v>0</v>
      </c>
      <c r="R12779" s="26"/>
    </row>
    <row r="12780" spans="1:18" ht="15.75" customHeight="1">
      <c r="A12780" s="26"/>
      <c r="B12780" s="86"/>
      <c r="D12780" s="26"/>
      <c r="F12780" s="87" t="str">
        <f t="shared" si="0"/>
        <v/>
      </c>
      <c r="H12780" s="26" t="str">
        <f t="shared" si="1"/>
        <v/>
      </c>
      <c r="I12780" s="26" t="str">
        <f t="shared" si="2"/>
        <v/>
      </c>
      <c r="J12780" s="86">
        <f t="shared" si="3"/>
        <v>0</v>
      </c>
      <c r="R12780" s="26"/>
    </row>
    <row r="12781" spans="1:18" ht="15.75" customHeight="1">
      <c r="A12781" s="26"/>
      <c r="B12781" s="86"/>
      <c r="D12781" s="26"/>
      <c r="F12781" s="87" t="str">
        <f t="shared" si="0"/>
        <v/>
      </c>
      <c r="H12781" s="26" t="str">
        <f t="shared" si="1"/>
        <v/>
      </c>
      <c r="I12781" s="26" t="str">
        <f t="shared" si="2"/>
        <v/>
      </c>
      <c r="J12781" s="86">
        <f t="shared" si="3"/>
        <v>0</v>
      </c>
      <c r="R12781" s="26"/>
    </row>
    <row r="12782" spans="1:18" ht="15.75" customHeight="1">
      <c r="A12782" s="26"/>
      <c r="B12782" s="86"/>
      <c r="D12782" s="26"/>
      <c r="F12782" s="87" t="str">
        <f t="shared" si="0"/>
        <v/>
      </c>
      <c r="H12782" s="26" t="str">
        <f t="shared" si="1"/>
        <v/>
      </c>
      <c r="I12782" s="26" t="str">
        <f t="shared" si="2"/>
        <v/>
      </c>
      <c r="J12782" s="86">
        <f t="shared" si="3"/>
        <v>0</v>
      </c>
      <c r="R12782" s="26"/>
    </row>
    <row r="12783" spans="1:18" ht="15.75" customHeight="1">
      <c r="A12783" s="26"/>
      <c r="B12783" s="86"/>
      <c r="D12783" s="26"/>
      <c r="F12783" s="87" t="str">
        <f t="shared" si="0"/>
        <v/>
      </c>
      <c r="H12783" s="26" t="str">
        <f t="shared" si="1"/>
        <v/>
      </c>
      <c r="I12783" s="26" t="str">
        <f t="shared" si="2"/>
        <v/>
      </c>
      <c r="J12783" s="86">
        <f t="shared" si="3"/>
        <v>0</v>
      </c>
      <c r="R12783" s="26"/>
    </row>
    <row r="12784" spans="1:18" ht="15.75" customHeight="1">
      <c r="A12784" s="26"/>
      <c r="B12784" s="86"/>
      <c r="D12784" s="26"/>
      <c r="F12784" s="87" t="str">
        <f t="shared" si="0"/>
        <v/>
      </c>
      <c r="H12784" s="26" t="str">
        <f t="shared" si="1"/>
        <v/>
      </c>
      <c r="I12784" s="26" t="str">
        <f t="shared" si="2"/>
        <v/>
      </c>
      <c r="J12784" s="86">
        <f t="shared" si="3"/>
        <v>0</v>
      </c>
      <c r="R12784" s="26"/>
    </row>
    <row r="12785" spans="1:18" ht="15.75" customHeight="1">
      <c r="A12785" s="26"/>
      <c r="B12785" s="86"/>
      <c r="D12785" s="26"/>
      <c r="F12785" s="87" t="str">
        <f t="shared" si="0"/>
        <v/>
      </c>
      <c r="H12785" s="26" t="str">
        <f t="shared" si="1"/>
        <v/>
      </c>
      <c r="I12785" s="26" t="str">
        <f t="shared" si="2"/>
        <v/>
      </c>
      <c r="J12785" s="86">
        <f t="shared" si="3"/>
        <v>0</v>
      </c>
      <c r="R12785" s="26"/>
    </row>
    <row r="12786" spans="1:18" ht="15.75" customHeight="1">
      <c r="A12786" s="26"/>
      <c r="B12786" s="86"/>
      <c r="D12786" s="26"/>
      <c r="F12786" s="87" t="str">
        <f t="shared" si="0"/>
        <v/>
      </c>
      <c r="H12786" s="26" t="str">
        <f t="shared" si="1"/>
        <v/>
      </c>
      <c r="I12786" s="26" t="str">
        <f t="shared" si="2"/>
        <v/>
      </c>
      <c r="J12786" s="86">
        <f t="shared" si="3"/>
        <v>0</v>
      </c>
      <c r="R12786" s="26"/>
    </row>
    <row r="12787" spans="1:18" ht="15.75" customHeight="1">
      <c r="A12787" s="26"/>
      <c r="B12787" s="86"/>
      <c r="D12787" s="26"/>
      <c r="F12787" s="87" t="str">
        <f t="shared" si="0"/>
        <v/>
      </c>
      <c r="H12787" s="26" t="str">
        <f t="shared" si="1"/>
        <v/>
      </c>
      <c r="I12787" s="26" t="str">
        <f t="shared" si="2"/>
        <v/>
      </c>
      <c r="J12787" s="86">
        <f t="shared" si="3"/>
        <v>0</v>
      </c>
      <c r="R12787" s="26"/>
    </row>
    <row r="12788" spans="1:18" ht="15.75" customHeight="1">
      <c r="A12788" s="26"/>
      <c r="B12788" s="86"/>
      <c r="D12788" s="26"/>
      <c r="F12788" s="87" t="str">
        <f t="shared" si="0"/>
        <v/>
      </c>
      <c r="H12788" s="26" t="str">
        <f t="shared" si="1"/>
        <v/>
      </c>
      <c r="I12788" s="26" t="str">
        <f t="shared" si="2"/>
        <v/>
      </c>
      <c r="J12788" s="86">
        <f t="shared" si="3"/>
        <v>0</v>
      </c>
      <c r="R12788" s="26"/>
    </row>
    <row r="12789" spans="1:18" ht="15.75" customHeight="1">
      <c r="A12789" s="26"/>
      <c r="B12789" s="86"/>
      <c r="D12789" s="26"/>
      <c r="F12789" s="87" t="str">
        <f t="shared" si="0"/>
        <v/>
      </c>
      <c r="H12789" s="26" t="str">
        <f t="shared" si="1"/>
        <v/>
      </c>
      <c r="I12789" s="26" t="str">
        <f t="shared" si="2"/>
        <v/>
      </c>
      <c r="J12789" s="86">
        <f t="shared" si="3"/>
        <v>0</v>
      </c>
      <c r="R12789" s="26"/>
    </row>
    <row r="12790" spans="1:18" ht="15.75" customHeight="1">
      <c r="A12790" s="26"/>
      <c r="B12790" s="86"/>
      <c r="D12790" s="26"/>
      <c r="F12790" s="87" t="str">
        <f t="shared" si="0"/>
        <v/>
      </c>
      <c r="H12790" s="26" t="str">
        <f t="shared" si="1"/>
        <v/>
      </c>
      <c r="I12790" s="26" t="str">
        <f t="shared" si="2"/>
        <v/>
      </c>
      <c r="J12790" s="86">
        <f t="shared" si="3"/>
        <v>0</v>
      </c>
      <c r="R12790" s="26"/>
    </row>
    <row r="12791" spans="1:18" ht="15.75" customHeight="1">
      <c r="A12791" s="26"/>
      <c r="B12791" s="86"/>
      <c r="D12791" s="26"/>
      <c r="F12791" s="87" t="str">
        <f t="shared" si="0"/>
        <v/>
      </c>
      <c r="H12791" s="26" t="str">
        <f t="shared" si="1"/>
        <v/>
      </c>
      <c r="I12791" s="26" t="str">
        <f t="shared" si="2"/>
        <v/>
      </c>
      <c r="J12791" s="86">
        <f t="shared" si="3"/>
        <v>0</v>
      </c>
      <c r="R12791" s="26"/>
    </row>
    <row r="12792" spans="1:18" ht="15.75" customHeight="1">
      <c r="A12792" s="26"/>
      <c r="B12792" s="86"/>
      <c r="D12792" s="26"/>
      <c r="F12792" s="87" t="str">
        <f t="shared" si="0"/>
        <v/>
      </c>
      <c r="H12792" s="26" t="str">
        <f t="shared" si="1"/>
        <v/>
      </c>
      <c r="I12792" s="26" t="str">
        <f t="shared" si="2"/>
        <v/>
      </c>
      <c r="J12792" s="86">
        <f t="shared" si="3"/>
        <v>0</v>
      </c>
      <c r="R12792" s="26"/>
    </row>
    <row r="12793" spans="1:18" ht="15.75" customHeight="1">
      <c r="A12793" s="26"/>
      <c r="B12793" s="86"/>
      <c r="D12793" s="26"/>
      <c r="F12793" s="87" t="str">
        <f t="shared" si="0"/>
        <v/>
      </c>
      <c r="H12793" s="26" t="str">
        <f t="shared" si="1"/>
        <v/>
      </c>
      <c r="I12793" s="26" t="str">
        <f t="shared" si="2"/>
        <v/>
      </c>
      <c r="J12793" s="86">
        <f t="shared" si="3"/>
        <v>0</v>
      </c>
      <c r="R12793" s="26"/>
    </row>
    <row r="12794" spans="1:18" ht="15.75" customHeight="1">
      <c r="A12794" s="26"/>
      <c r="B12794" s="86"/>
      <c r="D12794" s="26"/>
      <c r="F12794" s="87" t="str">
        <f t="shared" si="0"/>
        <v/>
      </c>
      <c r="H12794" s="26" t="str">
        <f t="shared" si="1"/>
        <v/>
      </c>
      <c r="I12794" s="26" t="str">
        <f t="shared" si="2"/>
        <v/>
      </c>
      <c r="J12794" s="86">
        <f t="shared" si="3"/>
        <v>0</v>
      </c>
      <c r="R12794" s="26"/>
    </row>
    <row r="12795" spans="1:18" ht="15.75" customHeight="1">
      <c r="A12795" s="26"/>
      <c r="B12795" s="86"/>
      <c r="D12795" s="26"/>
      <c r="F12795" s="87" t="str">
        <f t="shared" si="0"/>
        <v/>
      </c>
      <c r="H12795" s="26" t="str">
        <f t="shared" si="1"/>
        <v/>
      </c>
      <c r="I12795" s="26" t="str">
        <f t="shared" si="2"/>
        <v/>
      </c>
      <c r="J12795" s="86">
        <f t="shared" si="3"/>
        <v>0</v>
      </c>
      <c r="R12795" s="26"/>
    </row>
    <row r="12796" spans="1:18" ht="15.75" customHeight="1">
      <c r="A12796" s="26"/>
      <c r="B12796" s="86"/>
      <c r="D12796" s="26"/>
      <c r="F12796" s="87" t="str">
        <f t="shared" si="0"/>
        <v/>
      </c>
      <c r="H12796" s="26" t="str">
        <f t="shared" si="1"/>
        <v/>
      </c>
      <c r="I12796" s="26" t="str">
        <f t="shared" si="2"/>
        <v/>
      </c>
      <c r="J12796" s="86">
        <f t="shared" si="3"/>
        <v>0</v>
      </c>
      <c r="R12796" s="26"/>
    </row>
    <row r="12797" spans="1:18" ht="15.75" customHeight="1">
      <c r="A12797" s="26"/>
      <c r="B12797" s="86"/>
      <c r="D12797" s="26"/>
      <c r="F12797" s="87" t="str">
        <f t="shared" si="0"/>
        <v/>
      </c>
      <c r="H12797" s="26" t="str">
        <f t="shared" si="1"/>
        <v/>
      </c>
      <c r="I12797" s="26" t="str">
        <f t="shared" si="2"/>
        <v/>
      </c>
      <c r="J12797" s="86">
        <f t="shared" si="3"/>
        <v>0</v>
      </c>
      <c r="R12797" s="26"/>
    </row>
    <row r="12798" spans="1:18" ht="15.75" customHeight="1">
      <c r="A12798" s="26"/>
      <c r="B12798" s="86"/>
      <c r="D12798" s="26"/>
      <c r="F12798" s="87" t="str">
        <f t="shared" si="0"/>
        <v/>
      </c>
      <c r="H12798" s="26" t="str">
        <f t="shared" si="1"/>
        <v/>
      </c>
      <c r="I12798" s="26" t="str">
        <f t="shared" si="2"/>
        <v/>
      </c>
      <c r="J12798" s="86">
        <f t="shared" si="3"/>
        <v>0</v>
      </c>
      <c r="R12798" s="26"/>
    </row>
    <row r="12799" spans="1:18" ht="15.75" customHeight="1">
      <c r="A12799" s="26"/>
      <c r="B12799" s="86"/>
      <c r="D12799" s="26"/>
      <c r="F12799" s="87" t="str">
        <f t="shared" si="0"/>
        <v/>
      </c>
      <c r="H12799" s="26" t="str">
        <f t="shared" si="1"/>
        <v/>
      </c>
      <c r="I12799" s="26" t="str">
        <f t="shared" si="2"/>
        <v/>
      </c>
      <c r="J12799" s="86">
        <f t="shared" si="3"/>
        <v>0</v>
      </c>
      <c r="R12799" s="26"/>
    </row>
    <row r="12800" spans="1:18" ht="15.75" customHeight="1">
      <c r="A12800" s="26"/>
      <c r="B12800" s="86"/>
      <c r="D12800" s="26"/>
      <c r="F12800" s="87" t="str">
        <f t="shared" si="0"/>
        <v/>
      </c>
      <c r="H12800" s="26" t="str">
        <f t="shared" si="1"/>
        <v/>
      </c>
      <c r="I12800" s="26" t="str">
        <f t="shared" si="2"/>
        <v/>
      </c>
      <c r="J12800" s="86">
        <f t="shared" si="3"/>
        <v>0</v>
      </c>
      <c r="R12800" s="26"/>
    </row>
    <row r="12801" spans="1:18" ht="15.75" customHeight="1">
      <c r="A12801" s="26"/>
      <c r="B12801" s="86"/>
      <c r="D12801" s="26"/>
      <c r="F12801" s="87" t="str">
        <f t="shared" si="0"/>
        <v/>
      </c>
      <c r="H12801" s="26" t="str">
        <f t="shared" si="1"/>
        <v/>
      </c>
      <c r="I12801" s="26" t="str">
        <f t="shared" si="2"/>
        <v/>
      </c>
      <c r="J12801" s="86">
        <f t="shared" si="3"/>
        <v>0</v>
      </c>
      <c r="R12801" s="26"/>
    </row>
    <row r="12802" spans="1:18" ht="15.75" customHeight="1">
      <c r="A12802" s="26"/>
      <c r="B12802" s="86"/>
      <c r="D12802" s="26"/>
      <c r="F12802" s="87" t="str">
        <f t="shared" si="0"/>
        <v/>
      </c>
      <c r="H12802" s="26" t="str">
        <f t="shared" si="1"/>
        <v/>
      </c>
      <c r="I12802" s="26" t="str">
        <f t="shared" si="2"/>
        <v/>
      </c>
      <c r="J12802" s="86">
        <f t="shared" si="3"/>
        <v>0</v>
      </c>
      <c r="R12802" s="26"/>
    </row>
    <row r="12803" spans="1:18" ht="15.75" customHeight="1">
      <c r="A12803" s="26"/>
      <c r="B12803" s="86"/>
      <c r="D12803" s="26"/>
      <c r="F12803" s="87" t="str">
        <f t="shared" si="0"/>
        <v/>
      </c>
      <c r="H12803" s="26" t="str">
        <f t="shared" si="1"/>
        <v/>
      </c>
      <c r="I12803" s="26" t="str">
        <f t="shared" si="2"/>
        <v/>
      </c>
      <c r="J12803" s="86">
        <f t="shared" si="3"/>
        <v>0</v>
      </c>
      <c r="R12803" s="26"/>
    </row>
    <row r="12804" spans="1:18" ht="15.75" customHeight="1">
      <c r="A12804" s="26"/>
      <c r="B12804" s="86"/>
      <c r="D12804" s="26"/>
      <c r="F12804" s="87" t="str">
        <f t="shared" si="0"/>
        <v/>
      </c>
      <c r="H12804" s="26" t="str">
        <f t="shared" si="1"/>
        <v/>
      </c>
      <c r="I12804" s="26" t="str">
        <f t="shared" si="2"/>
        <v/>
      </c>
      <c r="J12804" s="86">
        <f t="shared" si="3"/>
        <v>0</v>
      </c>
      <c r="R12804" s="26"/>
    </row>
    <row r="12805" spans="1:18" ht="15.75" customHeight="1">
      <c r="A12805" s="26"/>
      <c r="B12805" s="86"/>
      <c r="D12805" s="26"/>
      <c r="F12805" s="87" t="str">
        <f t="shared" si="0"/>
        <v/>
      </c>
      <c r="H12805" s="26" t="str">
        <f t="shared" si="1"/>
        <v/>
      </c>
      <c r="I12805" s="26" t="str">
        <f t="shared" si="2"/>
        <v/>
      </c>
      <c r="J12805" s="86">
        <f t="shared" si="3"/>
        <v>0</v>
      </c>
      <c r="R12805" s="26"/>
    </row>
    <row r="12806" spans="1:18" ht="15.75" customHeight="1">
      <c r="A12806" s="26"/>
      <c r="B12806" s="86"/>
      <c r="D12806" s="26"/>
      <c r="F12806" s="87" t="str">
        <f t="shared" si="0"/>
        <v/>
      </c>
      <c r="H12806" s="26" t="str">
        <f t="shared" si="1"/>
        <v/>
      </c>
      <c r="I12806" s="26" t="str">
        <f t="shared" si="2"/>
        <v/>
      </c>
      <c r="J12806" s="86">
        <f t="shared" si="3"/>
        <v>0</v>
      </c>
      <c r="R12806" s="26"/>
    </row>
    <row r="12807" spans="1:18" ht="15.75" customHeight="1">
      <c r="A12807" s="26"/>
      <c r="B12807" s="86"/>
      <c r="D12807" s="26"/>
      <c r="F12807" s="87" t="str">
        <f t="shared" si="0"/>
        <v/>
      </c>
      <c r="H12807" s="26" t="str">
        <f t="shared" si="1"/>
        <v/>
      </c>
      <c r="I12807" s="26" t="str">
        <f t="shared" si="2"/>
        <v/>
      </c>
      <c r="J12807" s="86">
        <f t="shared" si="3"/>
        <v>0</v>
      </c>
      <c r="R12807" s="26"/>
    </row>
    <row r="12808" spans="1:18" ht="15.75" customHeight="1">
      <c r="A12808" s="26"/>
      <c r="B12808" s="86"/>
      <c r="D12808" s="26"/>
      <c r="F12808" s="87" t="str">
        <f t="shared" si="0"/>
        <v/>
      </c>
      <c r="H12808" s="26" t="str">
        <f t="shared" si="1"/>
        <v/>
      </c>
      <c r="I12808" s="26" t="str">
        <f t="shared" si="2"/>
        <v/>
      </c>
      <c r="J12808" s="86">
        <f t="shared" si="3"/>
        <v>0</v>
      </c>
      <c r="R12808" s="26"/>
    </row>
    <row r="12809" spans="1:18" ht="15.75" customHeight="1">
      <c r="A12809" s="26"/>
      <c r="B12809" s="86"/>
      <c r="D12809" s="26"/>
      <c r="F12809" s="87" t="str">
        <f t="shared" si="0"/>
        <v/>
      </c>
      <c r="H12809" s="26" t="str">
        <f t="shared" si="1"/>
        <v/>
      </c>
      <c r="I12809" s="26" t="str">
        <f t="shared" si="2"/>
        <v/>
      </c>
      <c r="J12809" s="86">
        <f t="shared" si="3"/>
        <v>0</v>
      </c>
      <c r="R12809" s="26"/>
    </row>
    <row r="12810" spans="1:18" ht="15.75" customHeight="1">
      <c r="A12810" s="26"/>
      <c r="B12810" s="86"/>
      <c r="D12810" s="26"/>
      <c r="F12810" s="87" t="str">
        <f t="shared" si="0"/>
        <v/>
      </c>
      <c r="H12810" s="26" t="str">
        <f t="shared" si="1"/>
        <v/>
      </c>
      <c r="I12810" s="26" t="str">
        <f t="shared" si="2"/>
        <v/>
      </c>
      <c r="J12810" s="86">
        <f t="shared" si="3"/>
        <v>0</v>
      </c>
      <c r="R12810" s="26"/>
    </row>
    <row r="12811" spans="1:18" ht="15.75" customHeight="1">
      <c r="A12811" s="26"/>
      <c r="B12811" s="86"/>
      <c r="D12811" s="26"/>
      <c r="F12811" s="87" t="str">
        <f t="shared" si="0"/>
        <v/>
      </c>
      <c r="H12811" s="26" t="str">
        <f t="shared" si="1"/>
        <v/>
      </c>
      <c r="I12811" s="26" t="str">
        <f t="shared" si="2"/>
        <v/>
      </c>
      <c r="J12811" s="86">
        <f t="shared" si="3"/>
        <v>0</v>
      </c>
      <c r="R12811" s="26"/>
    </row>
    <row r="12812" spans="1:18" ht="15.75" customHeight="1">
      <c r="A12812" s="26"/>
      <c r="B12812" s="86"/>
      <c r="D12812" s="26"/>
      <c r="F12812" s="87" t="str">
        <f t="shared" si="0"/>
        <v/>
      </c>
      <c r="H12812" s="26" t="str">
        <f t="shared" si="1"/>
        <v/>
      </c>
      <c r="I12812" s="26" t="str">
        <f t="shared" si="2"/>
        <v/>
      </c>
      <c r="J12812" s="86">
        <f t="shared" si="3"/>
        <v>0</v>
      </c>
      <c r="R12812" s="26"/>
    </row>
    <row r="12813" spans="1:18" ht="15.75" customHeight="1">
      <c r="A12813" s="26"/>
      <c r="B12813" s="86"/>
      <c r="D12813" s="26"/>
      <c r="F12813" s="87" t="str">
        <f t="shared" si="0"/>
        <v/>
      </c>
      <c r="H12813" s="26" t="str">
        <f t="shared" si="1"/>
        <v/>
      </c>
      <c r="I12813" s="26" t="str">
        <f t="shared" si="2"/>
        <v/>
      </c>
      <c r="J12813" s="86">
        <f t="shared" si="3"/>
        <v>0</v>
      </c>
      <c r="R12813" s="26"/>
    </row>
    <row r="12814" spans="1:18" ht="15.75" customHeight="1">
      <c r="A12814" s="26"/>
      <c r="B12814" s="86"/>
      <c r="D12814" s="26"/>
      <c r="F12814" s="87" t="str">
        <f t="shared" si="0"/>
        <v/>
      </c>
      <c r="H12814" s="26" t="str">
        <f t="shared" si="1"/>
        <v/>
      </c>
      <c r="I12814" s="26" t="str">
        <f t="shared" si="2"/>
        <v/>
      </c>
      <c r="J12814" s="86">
        <f t="shared" si="3"/>
        <v>0</v>
      </c>
      <c r="R12814" s="26"/>
    </row>
    <row r="12815" spans="1:18" ht="15.75" customHeight="1">
      <c r="A12815" s="26"/>
      <c r="B12815" s="86"/>
      <c r="D12815" s="26"/>
      <c r="F12815" s="87" t="str">
        <f t="shared" si="0"/>
        <v/>
      </c>
      <c r="H12815" s="26" t="str">
        <f t="shared" si="1"/>
        <v/>
      </c>
      <c r="I12815" s="26" t="str">
        <f t="shared" si="2"/>
        <v/>
      </c>
      <c r="J12815" s="86">
        <f t="shared" si="3"/>
        <v>0</v>
      </c>
      <c r="R12815" s="26"/>
    </row>
    <row r="12816" spans="1:18" ht="15.75" customHeight="1">
      <c r="A12816" s="26"/>
      <c r="B12816" s="86"/>
      <c r="D12816" s="26"/>
      <c r="F12816" s="87" t="str">
        <f t="shared" si="0"/>
        <v/>
      </c>
      <c r="H12816" s="26" t="str">
        <f t="shared" si="1"/>
        <v/>
      </c>
      <c r="I12816" s="26" t="str">
        <f t="shared" si="2"/>
        <v/>
      </c>
      <c r="J12816" s="86">
        <f t="shared" si="3"/>
        <v>0</v>
      </c>
      <c r="R12816" s="26"/>
    </row>
    <row r="12817" spans="1:18" ht="15.75" customHeight="1">
      <c r="A12817" s="26"/>
      <c r="B12817" s="86"/>
      <c r="D12817" s="26"/>
      <c r="F12817" s="87" t="str">
        <f t="shared" si="0"/>
        <v/>
      </c>
      <c r="H12817" s="26" t="str">
        <f t="shared" si="1"/>
        <v/>
      </c>
      <c r="I12817" s="26" t="str">
        <f t="shared" si="2"/>
        <v/>
      </c>
      <c r="J12817" s="86">
        <f t="shared" si="3"/>
        <v>0</v>
      </c>
      <c r="R12817" s="26"/>
    </row>
    <row r="12818" spans="1:18" ht="15.75" customHeight="1">
      <c r="A12818" s="26"/>
      <c r="B12818" s="86"/>
      <c r="D12818" s="26"/>
      <c r="F12818" s="87" t="str">
        <f t="shared" si="0"/>
        <v/>
      </c>
      <c r="H12818" s="26" t="str">
        <f t="shared" si="1"/>
        <v/>
      </c>
      <c r="I12818" s="26" t="str">
        <f t="shared" si="2"/>
        <v/>
      </c>
      <c r="J12818" s="86">
        <f t="shared" si="3"/>
        <v>0</v>
      </c>
      <c r="R12818" s="26"/>
    </row>
    <row r="12819" spans="1:18" ht="15.75" customHeight="1">
      <c r="A12819" s="26"/>
      <c r="B12819" s="86"/>
      <c r="D12819" s="26"/>
      <c r="F12819" s="87" t="str">
        <f t="shared" si="0"/>
        <v/>
      </c>
      <c r="H12819" s="26" t="str">
        <f t="shared" si="1"/>
        <v/>
      </c>
      <c r="I12819" s="26" t="str">
        <f t="shared" si="2"/>
        <v/>
      </c>
      <c r="J12819" s="86">
        <f t="shared" si="3"/>
        <v>0</v>
      </c>
      <c r="R12819" s="26"/>
    </row>
    <row r="12820" spans="1:18" ht="15.75" customHeight="1">
      <c r="A12820" s="26"/>
      <c r="B12820" s="86"/>
      <c r="D12820" s="26"/>
      <c r="F12820" s="87" t="str">
        <f t="shared" si="0"/>
        <v/>
      </c>
      <c r="H12820" s="26" t="str">
        <f t="shared" si="1"/>
        <v/>
      </c>
      <c r="I12820" s="26" t="str">
        <f t="shared" si="2"/>
        <v/>
      </c>
      <c r="J12820" s="86">
        <f t="shared" si="3"/>
        <v>0</v>
      </c>
      <c r="R12820" s="26"/>
    </row>
    <row r="12821" spans="1:18" ht="15.75" customHeight="1">
      <c r="A12821" s="26"/>
      <c r="B12821" s="86"/>
      <c r="D12821" s="26"/>
      <c r="F12821" s="87" t="str">
        <f t="shared" si="0"/>
        <v/>
      </c>
      <c r="H12821" s="26" t="str">
        <f t="shared" si="1"/>
        <v/>
      </c>
      <c r="I12821" s="26" t="str">
        <f t="shared" si="2"/>
        <v/>
      </c>
      <c r="J12821" s="86">
        <f t="shared" si="3"/>
        <v>0</v>
      </c>
      <c r="R12821" s="26"/>
    </row>
    <row r="12822" spans="1:18" ht="15.75" customHeight="1">
      <c r="A12822" s="26"/>
      <c r="B12822" s="86"/>
      <c r="D12822" s="26"/>
      <c r="F12822" s="87" t="str">
        <f t="shared" si="0"/>
        <v/>
      </c>
      <c r="H12822" s="26" t="str">
        <f t="shared" si="1"/>
        <v/>
      </c>
      <c r="I12822" s="26" t="str">
        <f t="shared" si="2"/>
        <v/>
      </c>
      <c r="J12822" s="86">
        <f t="shared" si="3"/>
        <v>0</v>
      </c>
      <c r="R12822" s="26"/>
    </row>
    <row r="12823" spans="1:18" ht="15.75" customHeight="1">
      <c r="A12823" s="26"/>
      <c r="B12823" s="86"/>
      <c r="D12823" s="26"/>
      <c r="F12823" s="87" t="str">
        <f t="shared" si="0"/>
        <v/>
      </c>
      <c r="H12823" s="26" t="str">
        <f t="shared" si="1"/>
        <v/>
      </c>
      <c r="I12823" s="26" t="str">
        <f t="shared" si="2"/>
        <v/>
      </c>
      <c r="J12823" s="86">
        <f t="shared" si="3"/>
        <v>0</v>
      </c>
      <c r="R12823" s="26"/>
    </row>
    <row r="12824" spans="1:18" ht="15.75" customHeight="1">
      <c r="A12824" s="26"/>
      <c r="B12824" s="86"/>
      <c r="D12824" s="26"/>
      <c r="F12824" s="87" t="str">
        <f t="shared" si="0"/>
        <v/>
      </c>
      <c r="H12824" s="26" t="str">
        <f t="shared" si="1"/>
        <v/>
      </c>
      <c r="I12824" s="26" t="str">
        <f t="shared" si="2"/>
        <v/>
      </c>
      <c r="J12824" s="86">
        <f t="shared" si="3"/>
        <v>0</v>
      </c>
      <c r="R12824" s="26"/>
    </row>
    <row r="12825" spans="1:18" ht="15.75" customHeight="1">
      <c r="A12825" s="26"/>
      <c r="B12825" s="86"/>
      <c r="D12825" s="26"/>
      <c r="F12825" s="87" t="str">
        <f t="shared" si="0"/>
        <v/>
      </c>
      <c r="H12825" s="26" t="str">
        <f t="shared" si="1"/>
        <v/>
      </c>
      <c r="I12825" s="26" t="str">
        <f t="shared" si="2"/>
        <v/>
      </c>
      <c r="J12825" s="86">
        <f t="shared" si="3"/>
        <v>0</v>
      </c>
      <c r="R12825" s="26"/>
    </row>
    <row r="12826" spans="1:18" ht="15.75" customHeight="1">
      <c r="A12826" s="26"/>
      <c r="B12826" s="86"/>
      <c r="D12826" s="26"/>
      <c r="F12826" s="87" t="str">
        <f t="shared" si="0"/>
        <v/>
      </c>
      <c r="H12826" s="26" t="str">
        <f t="shared" si="1"/>
        <v/>
      </c>
      <c r="I12826" s="26" t="str">
        <f t="shared" si="2"/>
        <v/>
      </c>
      <c r="J12826" s="86">
        <f t="shared" si="3"/>
        <v>0</v>
      </c>
      <c r="R12826" s="26"/>
    </row>
    <row r="12827" spans="1:18" ht="15.75" customHeight="1">
      <c r="A12827" s="26"/>
      <c r="B12827" s="86"/>
      <c r="D12827" s="26"/>
      <c r="F12827" s="87" t="str">
        <f t="shared" si="0"/>
        <v/>
      </c>
      <c r="H12827" s="26" t="str">
        <f t="shared" si="1"/>
        <v/>
      </c>
      <c r="I12827" s="26" t="str">
        <f t="shared" si="2"/>
        <v/>
      </c>
      <c r="J12827" s="86">
        <f t="shared" si="3"/>
        <v>0</v>
      </c>
      <c r="R12827" s="26"/>
    </row>
    <row r="12828" spans="1:18" ht="15.75" customHeight="1">
      <c r="A12828" s="26"/>
      <c r="B12828" s="86"/>
      <c r="D12828" s="26"/>
      <c r="F12828" s="87" t="str">
        <f t="shared" si="0"/>
        <v/>
      </c>
      <c r="H12828" s="26" t="str">
        <f t="shared" si="1"/>
        <v/>
      </c>
      <c r="I12828" s="26" t="str">
        <f t="shared" si="2"/>
        <v/>
      </c>
      <c r="J12828" s="86">
        <f t="shared" si="3"/>
        <v>0</v>
      </c>
      <c r="R12828" s="26"/>
    </row>
    <row r="12829" spans="1:18" ht="15.75" customHeight="1">
      <c r="A12829" s="26"/>
      <c r="B12829" s="86"/>
      <c r="D12829" s="26"/>
      <c r="F12829" s="87" t="str">
        <f t="shared" si="0"/>
        <v/>
      </c>
      <c r="H12829" s="26" t="str">
        <f t="shared" si="1"/>
        <v/>
      </c>
      <c r="I12829" s="26" t="str">
        <f t="shared" si="2"/>
        <v/>
      </c>
      <c r="J12829" s="86">
        <f t="shared" si="3"/>
        <v>0</v>
      </c>
      <c r="R12829" s="26"/>
    </row>
    <row r="12830" spans="1:18" ht="15.75" customHeight="1">
      <c r="A12830" s="26"/>
      <c r="B12830" s="86"/>
      <c r="D12830" s="26"/>
      <c r="F12830" s="87" t="str">
        <f t="shared" si="0"/>
        <v/>
      </c>
      <c r="H12830" s="26" t="str">
        <f t="shared" si="1"/>
        <v/>
      </c>
      <c r="I12830" s="26" t="str">
        <f t="shared" si="2"/>
        <v/>
      </c>
      <c r="J12830" s="86">
        <f t="shared" si="3"/>
        <v>0</v>
      </c>
      <c r="R12830" s="26"/>
    </row>
    <row r="12831" spans="1:18" ht="15.75" customHeight="1">
      <c r="A12831" s="26"/>
      <c r="B12831" s="86"/>
      <c r="D12831" s="26"/>
      <c r="F12831" s="87" t="str">
        <f t="shared" si="0"/>
        <v/>
      </c>
      <c r="H12831" s="26" t="str">
        <f t="shared" si="1"/>
        <v/>
      </c>
      <c r="I12831" s="26" t="str">
        <f t="shared" si="2"/>
        <v/>
      </c>
      <c r="J12831" s="86">
        <f t="shared" si="3"/>
        <v>0</v>
      </c>
      <c r="R12831" s="26"/>
    </row>
    <row r="12832" spans="1:18" ht="15.75" customHeight="1">
      <c r="A12832" s="26"/>
      <c r="B12832" s="86"/>
      <c r="D12832" s="26"/>
      <c r="F12832" s="87" t="str">
        <f t="shared" si="0"/>
        <v/>
      </c>
      <c r="H12832" s="26" t="str">
        <f t="shared" si="1"/>
        <v/>
      </c>
      <c r="I12832" s="26" t="str">
        <f t="shared" si="2"/>
        <v/>
      </c>
      <c r="J12832" s="86">
        <f t="shared" si="3"/>
        <v>0</v>
      </c>
      <c r="R12832" s="26"/>
    </row>
    <row r="12833" spans="1:18" ht="15.75" customHeight="1">
      <c r="A12833" s="26"/>
      <c r="B12833" s="86"/>
      <c r="D12833" s="26"/>
      <c r="F12833" s="87" t="str">
        <f t="shared" si="0"/>
        <v/>
      </c>
      <c r="H12833" s="26" t="str">
        <f t="shared" si="1"/>
        <v/>
      </c>
      <c r="I12833" s="26" t="str">
        <f t="shared" si="2"/>
        <v/>
      </c>
      <c r="J12833" s="86">
        <f t="shared" si="3"/>
        <v>0</v>
      </c>
      <c r="R12833" s="26"/>
    </row>
    <row r="12834" spans="1:18" ht="15.75" customHeight="1">
      <c r="A12834" s="26"/>
      <c r="B12834" s="86"/>
      <c r="D12834" s="26"/>
      <c r="F12834" s="87" t="str">
        <f t="shared" si="0"/>
        <v/>
      </c>
      <c r="H12834" s="26" t="str">
        <f t="shared" si="1"/>
        <v/>
      </c>
      <c r="I12834" s="26" t="str">
        <f t="shared" si="2"/>
        <v/>
      </c>
      <c r="J12834" s="86">
        <f t="shared" si="3"/>
        <v>0</v>
      </c>
      <c r="R12834" s="26"/>
    </row>
    <row r="12835" spans="1:18" ht="15.75" customHeight="1">
      <c r="A12835" s="26"/>
      <c r="B12835" s="86"/>
      <c r="D12835" s="26"/>
      <c r="F12835" s="87" t="str">
        <f t="shared" si="0"/>
        <v/>
      </c>
      <c r="H12835" s="26" t="str">
        <f t="shared" si="1"/>
        <v/>
      </c>
      <c r="I12835" s="26" t="str">
        <f t="shared" si="2"/>
        <v/>
      </c>
      <c r="J12835" s="86">
        <f t="shared" si="3"/>
        <v>0</v>
      </c>
      <c r="R12835" s="26"/>
    </row>
    <row r="12836" spans="1:18" ht="15.75" customHeight="1">
      <c r="A12836" s="26"/>
      <c r="B12836" s="86"/>
      <c r="D12836" s="26"/>
      <c r="F12836" s="87" t="str">
        <f t="shared" si="0"/>
        <v/>
      </c>
      <c r="H12836" s="26" t="str">
        <f t="shared" si="1"/>
        <v/>
      </c>
      <c r="I12836" s="26" t="str">
        <f t="shared" si="2"/>
        <v/>
      </c>
      <c r="J12836" s="86">
        <f t="shared" si="3"/>
        <v>0</v>
      </c>
      <c r="R12836" s="26"/>
    </row>
    <row r="12837" spans="1:18" ht="15.75" customHeight="1">
      <c r="A12837" s="26"/>
      <c r="B12837" s="86"/>
      <c r="D12837" s="26"/>
      <c r="F12837" s="87" t="str">
        <f t="shared" si="0"/>
        <v/>
      </c>
      <c r="H12837" s="26" t="str">
        <f t="shared" si="1"/>
        <v/>
      </c>
      <c r="I12837" s="26" t="str">
        <f t="shared" si="2"/>
        <v/>
      </c>
      <c r="J12837" s="86">
        <f t="shared" si="3"/>
        <v>0</v>
      </c>
      <c r="R12837" s="26"/>
    </row>
    <row r="12838" spans="1:18" ht="15.75" customHeight="1">
      <c r="A12838" s="26"/>
      <c r="B12838" s="86"/>
      <c r="D12838" s="26"/>
      <c r="F12838" s="87" t="str">
        <f t="shared" si="0"/>
        <v/>
      </c>
      <c r="H12838" s="26" t="str">
        <f t="shared" si="1"/>
        <v/>
      </c>
      <c r="I12838" s="26" t="str">
        <f t="shared" si="2"/>
        <v/>
      </c>
      <c r="J12838" s="86">
        <f t="shared" si="3"/>
        <v>0</v>
      </c>
      <c r="R12838" s="26"/>
    </row>
    <row r="12839" spans="1:18" ht="15.75" customHeight="1">
      <c r="A12839" s="26"/>
      <c r="B12839" s="86"/>
      <c r="D12839" s="26"/>
      <c r="F12839" s="87" t="str">
        <f t="shared" si="0"/>
        <v/>
      </c>
      <c r="H12839" s="26" t="str">
        <f t="shared" si="1"/>
        <v/>
      </c>
      <c r="I12839" s="26" t="str">
        <f t="shared" si="2"/>
        <v/>
      </c>
      <c r="J12839" s="86">
        <f t="shared" si="3"/>
        <v>0</v>
      </c>
      <c r="R12839" s="26"/>
    </row>
    <row r="12840" spans="1:18" ht="15.75" customHeight="1">
      <c r="A12840" s="26"/>
      <c r="B12840" s="86"/>
      <c r="D12840" s="26"/>
      <c r="F12840" s="87" t="str">
        <f t="shared" si="0"/>
        <v/>
      </c>
      <c r="H12840" s="26" t="str">
        <f t="shared" si="1"/>
        <v/>
      </c>
      <c r="I12840" s="26" t="str">
        <f t="shared" si="2"/>
        <v/>
      </c>
      <c r="J12840" s="86">
        <f t="shared" si="3"/>
        <v>0</v>
      </c>
      <c r="R12840" s="26"/>
    </row>
    <row r="12841" spans="1:18" ht="15.75" customHeight="1">
      <c r="A12841" s="26"/>
      <c r="B12841" s="86"/>
      <c r="D12841" s="26"/>
      <c r="F12841" s="87" t="str">
        <f t="shared" si="0"/>
        <v/>
      </c>
      <c r="H12841" s="26" t="str">
        <f t="shared" si="1"/>
        <v/>
      </c>
      <c r="I12841" s="26" t="str">
        <f t="shared" si="2"/>
        <v/>
      </c>
      <c r="J12841" s="86">
        <f t="shared" si="3"/>
        <v>0</v>
      </c>
      <c r="R12841" s="26"/>
    </row>
    <row r="12842" spans="1:18" ht="15.75" customHeight="1">
      <c r="A12842" s="26"/>
      <c r="B12842" s="86"/>
      <c r="D12842" s="26"/>
      <c r="F12842" s="87" t="str">
        <f t="shared" si="0"/>
        <v/>
      </c>
      <c r="H12842" s="26" t="str">
        <f t="shared" si="1"/>
        <v/>
      </c>
      <c r="I12842" s="26" t="str">
        <f t="shared" si="2"/>
        <v/>
      </c>
      <c r="J12842" s="86">
        <f t="shared" si="3"/>
        <v>0</v>
      </c>
      <c r="R12842" s="26"/>
    </row>
    <row r="12843" spans="1:18" ht="15.75" customHeight="1">
      <c r="A12843" s="26"/>
      <c r="B12843" s="86"/>
      <c r="D12843" s="26"/>
      <c r="F12843" s="87" t="str">
        <f t="shared" si="0"/>
        <v/>
      </c>
      <c r="H12843" s="26" t="str">
        <f t="shared" si="1"/>
        <v/>
      </c>
      <c r="I12843" s="26" t="str">
        <f t="shared" si="2"/>
        <v/>
      </c>
      <c r="J12843" s="86">
        <f t="shared" si="3"/>
        <v>0</v>
      </c>
      <c r="R12843" s="26"/>
    </row>
    <row r="12844" spans="1:18" ht="15.75" customHeight="1">
      <c r="A12844" s="26"/>
      <c r="B12844" s="86"/>
      <c r="D12844" s="26"/>
      <c r="F12844" s="87" t="str">
        <f t="shared" si="0"/>
        <v/>
      </c>
      <c r="H12844" s="26" t="str">
        <f t="shared" si="1"/>
        <v/>
      </c>
      <c r="I12844" s="26" t="str">
        <f t="shared" si="2"/>
        <v/>
      </c>
      <c r="J12844" s="86">
        <f t="shared" si="3"/>
        <v>0</v>
      </c>
      <c r="R12844" s="26"/>
    </row>
    <row r="12845" spans="1:18" ht="15.75" customHeight="1">
      <c r="A12845" s="26"/>
      <c r="B12845" s="86"/>
      <c r="D12845" s="26"/>
      <c r="F12845" s="87" t="str">
        <f t="shared" si="0"/>
        <v/>
      </c>
      <c r="H12845" s="26" t="str">
        <f t="shared" si="1"/>
        <v/>
      </c>
      <c r="I12845" s="26" t="str">
        <f t="shared" si="2"/>
        <v/>
      </c>
      <c r="J12845" s="86">
        <f t="shared" si="3"/>
        <v>0</v>
      </c>
      <c r="R12845" s="26"/>
    </row>
    <row r="12846" spans="1:18" ht="15.75" customHeight="1">
      <c r="A12846" s="26"/>
      <c r="B12846" s="86"/>
      <c r="D12846" s="26"/>
      <c r="F12846" s="87" t="str">
        <f t="shared" si="0"/>
        <v/>
      </c>
      <c r="H12846" s="26" t="str">
        <f t="shared" si="1"/>
        <v/>
      </c>
      <c r="I12846" s="26" t="str">
        <f t="shared" si="2"/>
        <v/>
      </c>
      <c r="J12846" s="86">
        <f t="shared" si="3"/>
        <v>0</v>
      </c>
      <c r="R12846" s="26"/>
    </row>
    <row r="12847" spans="1:18" ht="15.75" customHeight="1">
      <c r="A12847" s="26"/>
      <c r="B12847" s="86"/>
      <c r="D12847" s="26"/>
      <c r="F12847" s="87" t="str">
        <f t="shared" si="0"/>
        <v/>
      </c>
      <c r="H12847" s="26" t="str">
        <f t="shared" si="1"/>
        <v/>
      </c>
      <c r="I12847" s="26" t="str">
        <f t="shared" si="2"/>
        <v/>
      </c>
      <c r="J12847" s="86">
        <f t="shared" si="3"/>
        <v>0</v>
      </c>
      <c r="R12847" s="26"/>
    </row>
    <row r="12848" spans="1:18" ht="15.75" customHeight="1">
      <c r="A12848" s="26"/>
      <c r="B12848" s="86"/>
      <c r="D12848" s="26"/>
      <c r="F12848" s="87" t="str">
        <f t="shared" si="0"/>
        <v/>
      </c>
      <c r="H12848" s="26" t="str">
        <f t="shared" si="1"/>
        <v/>
      </c>
      <c r="I12848" s="26" t="str">
        <f t="shared" si="2"/>
        <v/>
      </c>
      <c r="J12848" s="86">
        <f t="shared" si="3"/>
        <v>0</v>
      </c>
      <c r="R12848" s="26"/>
    </row>
    <row r="12849" spans="1:18" ht="15.75" customHeight="1">
      <c r="A12849" s="26"/>
      <c r="B12849" s="86"/>
      <c r="D12849" s="26"/>
      <c r="F12849" s="87" t="str">
        <f t="shared" si="0"/>
        <v/>
      </c>
      <c r="H12849" s="26" t="str">
        <f t="shared" si="1"/>
        <v/>
      </c>
      <c r="I12849" s="26" t="str">
        <f t="shared" si="2"/>
        <v/>
      </c>
      <c r="J12849" s="86">
        <f t="shared" si="3"/>
        <v>0</v>
      </c>
      <c r="R12849" s="26"/>
    </row>
    <row r="12850" spans="1:18" ht="15.75" customHeight="1">
      <c r="A12850" s="26"/>
      <c r="B12850" s="86"/>
      <c r="D12850" s="26"/>
      <c r="F12850" s="87" t="str">
        <f t="shared" si="0"/>
        <v/>
      </c>
      <c r="H12850" s="26" t="str">
        <f t="shared" si="1"/>
        <v/>
      </c>
      <c r="I12850" s="26" t="str">
        <f t="shared" si="2"/>
        <v/>
      </c>
      <c r="J12850" s="86">
        <f t="shared" si="3"/>
        <v>0</v>
      </c>
      <c r="R12850" s="26"/>
    </row>
    <row r="12851" spans="1:18" ht="15.75" customHeight="1">
      <c r="A12851" s="26"/>
      <c r="B12851" s="86"/>
      <c r="D12851" s="26"/>
      <c r="F12851" s="87" t="str">
        <f t="shared" si="0"/>
        <v/>
      </c>
      <c r="H12851" s="26" t="str">
        <f t="shared" si="1"/>
        <v/>
      </c>
      <c r="I12851" s="26" t="str">
        <f t="shared" si="2"/>
        <v/>
      </c>
      <c r="J12851" s="86">
        <f t="shared" si="3"/>
        <v>0</v>
      </c>
      <c r="R12851" s="26"/>
    </row>
    <row r="12852" spans="1:18" ht="15.75" customHeight="1">
      <c r="A12852" s="26"/>
      <c r="B12852" s="86"/>
      <c r="D12852" s="26"/>
      <c r="F12852" s="87" t="str">
        <f t="shared" si="0"/>
        <v/>
      </c>
      <c r="H12852" s="26" t="str">
        <f t="shared" si="1"/>
        <v/>
      </c>
      <c r="I12852" s="26" t="str">
        <f t="shared" si="2"/>
        <v/>
      </c>
      <c r="J12852" s="86">
        <f t="shared" si="3"/>
        <v>0</v>
      </c>
      <c r="R12852" s="26"/>
    </row>
    <row r="12853" spans="1:18" ht="15.75" customHeight="1">
      <c r="A12853" s="26"/>
      <c r="B12853" s="86"/>
      <c r="D12853" s="26"/>
      <c r="F12853" s="87" t="str">
        <f t="shared" si="0"/>
        <v/>
      </c>
      <c r="H12853" s="26" t="str">
        <f t="shared" si="1"/>
        <v/>
      </c>
      <c r="I12853" s="26" t="str">
        <f t="shared" si="2"/>
        <v/>
      </c>
      <c r="J12853" s="86">
        <f t="shared" si="3"/>
        <v>0</v>
      </c>
      <c r="R12853" s="26"/>
    </row>
    <row r="12854" spans="1:18" ht="15.75" customHeight="1">
      <c r="A12854" s="26"/>
      <c r="B12854" s="86"/>
      <c r="D12854" s="26"/>
      <c r="F12854" s="87" t="str">
        <f t="shared" si="0"/>
        <v/>
      </c>
      <c r="H12854" s="26" t="str">
        <f t="shared" si="1"/>
        <v/>
      </c>
      <c r="I12854" s="26" t="str">
        <f t="shared" si="2"/>
        <v/>
      </c>
      <c r="J12854" s="86">
        <f t="shared" si="3"/>
        <v>0</v>
      </c>
      <c r="R12854" s="26"/>
    </row>
    <row r="12855" spans="1:18" ht="15.75" customHeight="1">
      <c r="A12855" s="26"/>
      <c r="B12855" s="86"/>
      <c r="D12855" s="26"/>
      <c r="F12855" s="87" t="str">
        <f t="shared" si="0"/>
        <v/>
      </c>
      <c r="H12855" s="26" t="str">
        <f t="shared" si="1"/>
        <v/>
      </c>
      <c r="I12855" s="26" t="str">
        <f t="shared" si="2"/>
        <v/>
      </c>
      <c r="J12855" s="86">
        <f t="shared" si="3"/>
        <v>0</v>
      </c>
      <c r="R12855" s="26"/>
    </row>
    <row r="12856" spans="1:18" ht="15.75" customHeight="1">
      <c r="A12856" s="26"/>
      <c r="B12856" s="86"/>
      <c r="D12856" s="26"/>
      <c r="F12856" s="87" t="str">
        <f t="shared" si="0"/>
        <v/>
      </c>
      <c r="H12856" s="26" t="str">
        <f t="shared" si="1"/>
        <v/>
      </c>
      <c r="I12856" s="26" t="str">
        <f t="shared" si="2"/>
        <v/>
      </c>
      <c r="J12856" s="86">
        <f t="shared" si="3"/>
        <v>0</v>
      </c>
      <c r="R12856" s="26"/>
    </row>
    <row r="12857" spans="1:18" ht="15.75" customHeight="1">
      <c r="A12857" s="26"/>
      <c r="B12857" s="86"/>
      <c r="D12857" s="26"/>
      <c r="F12857" s="87" t="str">
        <f t="shared" si="0"/>
        <v/>
      </c>
      <c r="H12857" s="26" t="str">
        <f t="shared" si="1"/>
        <v/>
      </c>
      <c r="I12857" s="26" t="str">
        <f t="shared" si="2"/>
        <v/>
      </c>
      <c r="J12857" s="86">
        <f t="shared" si="3"/>
        <v>0</v>
      </c>
      <c r="R12857" s="26"/>
    </row>
    <row r="12858" spans="1:18" ht="15.75" customHeight="1">
      <c r="A12858" s="26"/>
      <c r="B12858" s="86"/>
      <c r="D12858" s="26"/>
      <c r="F12858" s="87" t="str">
        <f t="shared" si="0"/>
        <v/>
      </c>
      <c r="H12858" s="26" t="str">
        <f t="shared" si="1"/>
        <v/>
      </c>
      <c r="I12858" s="26" t="str">
        <f t="shared" si="2"/>
        <v/>
      </c>
      <c r="J12858" s="86">
        <f t="shared" si="3"/>
        <v>0</v>
      </c>
      <c r="R12858" s="26"/>
    </row>
    <row r="12859" spans="1:18" ht="15.75" customHeight="1">
      <c r="A12859" s="26"/>
      <c r="B12859" s="86"/>
      <c r="D12859" s="26"/>
      <c r="F12859" s="87" t="str">
        <f t="shared" si="0"/>
        <v/>
      </c>
      <c r="H12859" s="26" t="str">
        <f t="shared" si="1"/>
        <v/>
      </c>
      <c r="I12859" s="26" t="str">
        <f t="shared" si="2"/>
        <v/>
      </c>
      <c r="J12859" s="86">
        <f t="shared" si="3"/>
        <v>0</v>
      </c>
      <c r="R12859" s="26"/>
    </row>
    <row r="12860" spans="1:18" ht="15.75" customHeight="1">
      <c r="A12860" s="26"/>
      <c r="B12860" s="86"/>
      <c r="D12860" s="26"/>
      <c r="F12860" s="87" t="str">
        <f t="shared" si="0"/>
        <v/>
      </c>
      <c r="H12860" s="26" t="str">
        <f t="shared" si="1"/>
        <v/>
      </c>
      <c r="I12860" s="26" t="str">
        <f t="shared" si="2"/>
        <v/>
      </c>
      <c r="J12860" s="86">
        <f t="shared" si="3"/>
        <v>0</v>
      </c>
      <c r="R12860" s="26"/>
    </row>
    <row r="12861" spans="1:18" ht="15.75" customHeight="1">
      <c r="A12861" s="26"/>
      <c r="B12861" s="86"/>
      <c r="D12861" s="26"/>
      <c r="F12861" s="87" t="str">
        <f t="shared" si="0"/>
        <v/>
      </c>
      <c r="H12861" s="26" t="str">
        <f t="shared" si="1"/>
        <v/>
      </c>
      <c r="I12861" s="26" t="str">
        <f t="shared" si="2"/>
        <v/>
      </c>
      <c r="J12861" s="86">
        <f t="shared" si="3"/>
        <v>0</v>
      </c>
      <c r="R12861" s="26"/>
    </row>
    <row r="12862" spans="1:18" ht="15.75" customHeight="1">
      <c r="A12862" s="26"/>
      <c r="B12862" s="86"/>
      <c r="D12862" s="26"/>
      <c r="F12862" s="87" t="str">
        <f t="shared" si="0"/>
        <v/>
      </c>
      <c r="H12862" s="26" t="str">
        <f t="shared" si="1"/>
        <v/>
      </c>
      <c r="I12862" s="26" t="str">
        <f t="shared" si="2"/>
        <v/>
      </c>
      <c r="J12862" s="86">
        <f t="shared" si="3"/>
        <v>0</v>
      </c>
      <c r="R12862" s="26"/>
    </row>
    <row r="12863" spans="1:18" ht="15.75" customHeight="1">
      <c r="A12863" s="26"/>
      <c r="B12863" s="86"/>
      <c r="D12863" s="26"/>
      <c r="F12863" s="87" t="str">
        <f t="shared" si="0"/>
        <v/>
      </c>
      <c r="H12863" s="26" t="str">
        <f t="shared" si="1"/>
        <v/>
      </c>
      <c r="I12863" s="26" t="str">
        <f t="shared" si="2"/>
        <v/>
      </c>
      <c r="J12863" s="86">
        <f t="shared" si="3"/>
        <v>0</v>
      </c>
      <c r="R12863" s="26"/>
    </row>
    <row r="12864" spans="1:18" ht="15.75" customHeight="1">
      <c r="A12864" s="26"/>
      <c r="B12864" s="86"/>
      <c r="D12864" s="26"/>
      <c r="F12864" s="87" t="str">
        <f t="shared" si="0"/>
        <v/>
      </c>
      <c r="H12864" s="26" t="str">
        <f t="shared" si="1"/>
        <v/>
      </c>
      <c r="I12864" s="26" t="str">
        <f t="shared" si="2"/>
        <v/>
      </c>
      <c r="J12864" s="86">
        <f t="shared" si="3"/>
        <v>0</v>
      </c>
      <c r="R12864" s="26"/>
    </row>
    <row r="12865" spans="1:18" ht="15.75" customHeight="1">
      <c r="A12865" s="26"/>
      <c r="B12865" s="86"/>
      <c r="D12865" s="26"/>
      <c r="F12865" s="87" t="str">
        <f t="shared" si="0"/>
        <v/>
      </c>
      <c r="H12865" s="26" t="str">
        <f t="shared" si="1"/>
        <v/>
      </c>
      <c r="I12865" s="26" t="str">
        <f t="shared" si="2"/>
        <v/>
      </c>
      <c r="J12865" s="86">
        <f t="shared" si="3"/>
        <v>0</v>
      </c>
      <c r="R12865" s="26"/>
    </row>
    <row r="12866" spans="1:18" ht="15.75" customHeight="1">
      <c r="A12866" s="26"/>
      <c r="B12866" s="86"/>
      <c r="D12866" s="26"/>
      <c r="F12866" s="87" t="str">
        <f t="shared" si="0"/>
        <v/>
      </c>
      <c r="H12866" s="26" t="str">
        <f t="shared" si="1"/>
        <v/>
      </c>
      <c r="I12866" s="26" t="str">
        <f t="shared" si="2"/>
        <v/>
      </c>
      <c r="J12866" s="86">
        <f t="shared" si="3"/>
        <v>0</v>
      </c>
      <c r="R12866" s="26"/>
    </row>
    <row r="12867" spans="1:18" ht="15.75" customHeight="1">
      <c r="A12867" s="26"/>
      <c r="B12867" s="86"/>
      <c r="D12867" s="26"/>
      <c r="F12867" s="87" t="str">
        <f t="shared" si="0"/>
        <v/>
      </c>
      <c r="H12867" s="26" t="str">
        <f t="shared" si="1"/>
        <v/>
      </c>
      <c r="I12867" s="26" t="str">
        <f t="shared" si="2"/>
        <v/>
      </c>
      <c r="J12867" s="86">
        <f t="shared" si="3"/>
        <v>0</v>
      </c>
      <c r="R12867" s="26"/>
    </row>
    <row r="12868" spans="1:18" ht="15.75" customHeight="1">
      <c r="A12868" s="26"/>
      <c r="B12868" s="86"/>
      <c r="D12868" s="26"/>
      <c r="F12868" s="87" t="str">
        <f t="shared" si="0"/>
        <v/>
      </c>
      <c r="H12868" s="26" t="str">
        <f t="shared" si="1"/>
        <v/>
      </c>
      <c r="I12868" s="26" t="str">
        <f t="shared" si="2"/>
        <v/>
      </c>
      <c r="J12868" s="86">
        <f t="shared" si="3"/>
        <v>0</v>
      </c>
      <c r="R12868" s="26"/>
    </row>
    <row r="12869" spans="1:18" ht="15.75" customHeight="1">
      <c r="A12869" s="26"/>
      <c r="B12869" s="86"/>
      <c r="D12869" s="26"/>
      <c r="F12869" s="87" t="str">
        <f t="shared" si="0"/>
        <v/>
      </c>
      <c r="H12869" s="26" t="str">
        <f t="shared" si="1"/>
        <v/>
      </c>
      <c r="I12869" s="26" t="str">
        <f t="shared" si="2"/>
        <v/>
      </c>
      <c r="J12869" s="86">
        <f t="shared" si="3"/>
        <v>0</v>
      </c>
      <c r="R12869" s="26"/>
    </row>
    <row r="12870" spans="1:18" ht="15.75" customHeight="1">
      <c r="A12870" s="26"/>
      <c r="B12870" s="86"/>
      <c r="D12870" s="26"/>
      <c r="F12870" s="87" t="str">
        <f t="shared" si="0"/>
        <v/>
      </c>
      <c r="H12870" s="26" t="str">
        <f t="shared" si="1"/>
        <v/>
      </c>
      <c r="I12870" s="26" t="str">
        <f t="shared" si="2"/>
        <v/>
      </c>
      <c r="J12870" s="86">
        <f t="shared" si="3"/>
        <v>0</v>
      </c>
      <c r="R12870" s="26"/>
    </row>
    <row r="12871" spans="1:18" ht="15.75" customHeight="1">
      <c r="A12871" s="26"/>
      <c r="B12871" s="86"/>
      <c r="D12871" s="26"/>
      <c r="F12871" s="87" t="str">
        <f t="shared" si="0"/>
        <v/>
      </c>
      <c r="H12871" s="26" t="str">
        <f t="shared" si="1"/>
        <v/>
      </c>
      <c r="I12871" s="26" t="str">
        <f t="shared" si="2"/>
        <v/>
      </c>
      <c r="J12871" s="86">
        <f t="shared" si="3"/>
        <v>0</v>
      </c>
      <c r="R12871" s="26"/>
    </row>
    <row r="12872" spans="1:18" ht="15.75" customHeight="1">
      <c r="A12872" s="26"/>
      <c r="B12872" s="86"/>
      <c r="D12872" s="26"/>
      <c r="F12872" s="87" t="str">
        <f t="shared" si="0"/>
        <v/>
      </c>
      <c r="H12872" s="26" t="str">
        <f t="shared" si="1"/>
        <v/>
      </c>
      <c r="I12872" s="26" t="str">
        <f t="shared" si="2"/>
        <v/>
      </c>
      <c r="J12872" s="86">
        <f t="shared" si="3"/>
        <v>0</v>
      </c>
      <c r="R12872" s="26"/>
    </row>
    <row r="12873" spans="1:18" ht="15.75" customHeight="1">
      <c r="A12873" s="26"/>
      <c r="B12873" s="86"/>
      <c r="D12873" s="26"/>
      <c r="F12873" s="87" t="str">
        <f t="shared" si="0"/>
        <v/>
      </c>
      <c r="H12873" s="26" t="str">
        <f t="shared" si="1"/>
        <v/>
      </c>
      <c r="I12873" s="26" t="str">
        <f t="shared" si="2"/>
        <v/>
      </c>
      <c r="J12873" s="86">
        <f t="shared" si="3"/>
        <v>0</v>
      </c>
      <c r="R12873" s="26"/>
    </row>
    <row r="12874" spans="1:18" ht="15.75" customHeight="1">
      <c r="A12874" s="26"/>
      <c r="B12874" s="86"/>
      <c r="D12874" s="26"/>
      <c r="F12874" s="87" t="str">
        <f t="shared" si="0"/>
        <v/>
      </c>
      <c r="H12874" s="26" t="str">
        <f t="shared" si="1"/>
        <v/>
      </c>
      <c r="I12874" s="26" t="str">
        <f t="shared" si="2"/>
        <v/>
      </c>
      <c r="J12874" s="86">
        <f t="shared" si="3"/>
        <v>0</v>
      </c>
      <c r="R12874" s="26"/>
    </row>
    <row r="12875" spans="1:18" ht="15.75" customHeight="1">
      <c r="A12875" s="26"/>
      <c r="B12875" s="86"/>
      <c r="D12875" s="26"/>
      <c r="F12875" s="87" t="str">
        <f t="shared" si="0"/>
        <v/>
      </c>
      <c r="H12875" s="26" t="str">
        <f t="shared" si="1"/>
        <v/>
      </c>
      <c r="I12875" s="26" t="str">
        <f t="shared" si="2"/>
        <v/>
      </c>
      <c r="J12875" s="86">
        <f t="shared" si="3"/>
        <v>0</v>
      </c>
      <c r="R12875" s="26"/>
    </row>
    <row r="12876" spans="1:18" ht="15.75" customHeight="1">
      <c r="A12876" s="26"/>
      <c r="B12876" s="86"/>
      <c r="D12876" s="26"/>
      <c r="F12876" s="87" t="str">
        <f t="shared" si="0"/>
        <v/>
      </c>
      <c r="H12876" s="26" t="str">
        <f t="shared" si="1"/>
        <v/>
      </c>
      <c r="I12876" s="26" t="str">
        <f t="shared" si="2"/>
        <v/>
      </c>
      <c r="J12876" s="86">
        <f t="shared" si="3"/>
        <v>0</v>
      </c>
      <c r="R12876" s="26"/>
    </row>
    <row r="12877" spans="1:18" ht="15.75" customHeight="1">
      <c r="A12877" s="26"/>
      <c r="B12877" s="86"/>
      <c r="D12877" s="26"/>
      <c r="F12877" s="87" t="str">
        <f t="shared" si="0"/>
        <v/>
      </c>
      <c r="H12877" s="26" t="str">
        <f t="shared" si="1"/>
        <v/>
      </c>
      <c r="I12877" s="26" t="str">
        <f t="shared" si="2"/>
        <v/>
      </c>
      <c r="J12877" s="86">
        <f t="shared" si="3"/>
        <v>0</v>
      </c>
      <c r="R12877" s="26"/>
    </row>
    <row r="12878" spans="1:18" ht="15.75" customHeight="1">
      <c r="A12878" s="26"/>
      <c r="B12878" s="86"/>
      <c r="D12878" s="26"/>
      <c r="F12878" s="87" t="str">
        <f t="shared" si="0"/>
        <v/>
      </c>
      <c r="H12878" s="26" t="str">
        <f t="shared" si="1"/>
        <v/>
      </c>
      <c r="I12878" s="26" t="str">
        <f t="shared" si="2"/>
        <v/>
      </c>
      <c r="J12878" s="86">
        <f t="shared" si="3"/>
        <v>0</v>
      </c>
      <c r="R12878" s="26"/>
    </row>
    <row r="12879" spans="1:18" ht="15.75" customHeight="1">
      <c r="A12879" s="26"/>
      <c r="B12879" s="86"/>
      <c r="D12879" s="26"/>
      <c r="F12879" s="87" t="str">
        <f t="shared" si="0"/>
        <v/>
      </c>
      <c r="H12879" s="26" t="str">
        <f t="shared" si="1"/>
        <v/>
      </c>
      <c r="I12879" s="26" t="str">
        <f t="shared" si="2"/>
        <v/>
      </c>
      <c r="J12879" s="86">
        <f t="shared" si="3"/>
        <v>0</v>
      </c>
      <c r="R12879" s="26"/>
    </row>
    <row r="12880" spans="1:18" ht="15.75" customHeight="1">
      <c r="A12880" s="26"/>
      <c r="B12880" s="86"/>
      <c r="D12880" s="26"/>
      <c r="F12880" s="87" t="str">
        <f t="shared" si="0"/>
        <v/>
      </c>
      <c r="H12880" s="26" t="str">
        <f t="shared" si="1"/>
        <v/>
      </c>
      <c r="I12880" s="26" t="str">
        <f t="shared" si="2"/>
        <v/>
      </c>
      <c r="J12880" s="86">
        <f t="shared" si="3"/>
        <v>0</v>
      </c>
      <c r="R12880" s="26"/>
    </row>
    <row r="12881" spans="1:18" ht="15.75" customHeight="1">
      <c r="A12881" s="26"/>
      <c r="B12881" s="86"/>
      <c r="D12881" s="26"/>
      <c r="F12881" s="87" t="str">
        <f t="shared" si="0"/>
        <v/>
      </c>
      <c r="H12881" s="26" t="str">
        <f t="shared" si="1"/>
        <v/>
      </c>
      <c r="I12881" s="26" t="str">
        <f t="shared" si="2"/>
        <v/>
      </c>
      <c r="J12881" s="86">
        <f t="shared" si="3"/>
        <v>0</v>
      </c>
      <c r="R12881" s="26"/>
    </row>
    <row r="12882" spans="1:18" ht="15.75" customHeight="1">
      <c r="A12882" s="26"/>
      <c r="B12882" s="86"/>
      <c r="D12882" s="26"/>
      <c r="F12882" s="87" t="str">
        <f t="shared" si="0"/>
        <v/>
      </c>
      <c r="H12882" s="26" t="str">
        <f t="shared" si="1"/>
        <v/>
      </c>
      <c r="I12882" s="26" t="str">
        <f t="shared" si="2"/>
        <v/>
      </c>
      <c r="J12882" s="86">
        <f t="shared" si="3"/>
        <v>0</v>
      </c>
      <c r="R12882" s="26"/>
    </row>
    <row r="12883" spans="1:18" ht="15.75" customHeight="1">
      <c r="A12883" s="26"/>
      <c r="B12883" s="86"/>
      <c r="D12883" s="26"/>
      <c r="F12883" s="87" t="str">
        <f t="shared" si="0"/>
        <v/>
      </c>
      <c r="H12883" s="26" t="str">
        <f t="shared" si="1"/>
        <v/>
      </c>
      <c r="I12883" s="26" t="str">
        <f t="shared" si="2"/>
        <v/>
      </c>
      <c r="J12883" s="86">
        <f t="shared" si="3"/>
        <v>0</v>
      </c>
      <c r="R12883" s="26"/>
    </row>
    <row r="12884" spans="1:18" ht="15.75" customHeight="1">
      <c r="A12884" s="26"/>
      <c r="B12884" s="86"/>
      <c r="D12884" s="26"/>
      <c r="F12884" s="87" t="str">
        <f t="shared" si="0"/>
        <v/>
      </c>
      <c r="H12884" s="26" t="str">
        <f t="shared" si="1"/>
        <v/>
      </c>
      <c r="I12884" s="26" t="str">
        <f t="shared" si="2"/>
        <v/>
      </c>
      <c r="J12884" s="86">
        <f t="shared" si="3"/>
        <v>0</v>
      </c>
      <c r="R12884" s="26"/>
    </row>
    <row r="12885" spans="1:18" ht="15.75" customHeight="1">
      <c r="A12885" s="26"/>
      <c r="B12885" s="86"/>
      <c r="D12885" s="26"/>
      <c r="F12885" s="87" t="str">
        <f t="shared" si="0"/>
        <v/>
      </c>
      <c r="H12885" s="26" t="str">
        <f t="shared" si="1"/>
        <v/>
      </c>
      <c r="I12885" s="26" t="str">
        <f t="shared" si="2"/>
        <v/>
      </c>
      <c r="J12885" s="86">
        <f t="shared" si="3"/>
        <v>0</v>
      </c>
      <c r="R12885" s="26"/>
    </row>
    <row r="12886" spans="1:18" ht="15.75" customHeight="1">
      <c r="A12886" s="26"/>
      <c r="B12886" s="86"/>
      <c r="D12886" s="26"/>
      <c r="F12886" s="87" t="str">
        <f t="shared" si="0"/>
        <v/>
      </c>
      <c r="H12886" s="26" t="str">
        <f t="shared" si="1"/>
        <v/>
      </c>
      <c r="I12886" s="26" t="str">
        <f t="shared" si="2"/>
        <v/>
      </c>
      <c r="J12886" s="86">
        <f t="shared" si="3"/>
        <v>0</v>
      </c>
      <c r="R12886" s="26"/>
    </row>
    <row r="12887" spans="1:18" ht="15.75" customHeight="1">
      <c r="A12887" s="26"/>
      <c r="B12887" s="86"/>
      <c r="D12887" s="26"/>
      <c r="F12887" s="87" t="str">
        <f t="shared" si="0"/>
        <v/>
      </c>
      <c r="H12887" s="26" t="str">
        <f t="shared" si="1"/>
        <v/>
      </c>
      <c r="I12887" s="26" t="str">
        <f t="shared" si="2"/>
        <v/>
      </c>
      <c r="J12887" s="86">
        <f t="shared" si="3"/>
        <v>0</v>
      </c>
      <c r="R12887" s="26"/>
    </row>
    <row r="12888" spans="1:18" ht="15.75" customHeight="1">
      <c r="A12888" s="26"/>
      <c r="B12888" s="86"/>
      <c r="D12888" s="26"/>
      <c r="F12888" s="87" t="str">
        <f t="shared" si="0"/>
        <v/>
      </c>
      <c r="H12888" s="26" t="str">
        <f t="shared" si="1"/>
        <v/>
      </c>
      <c r="I12888" s="26" t="str">
        <f t="shared" si="2"/>
        <v/>
      </c>
      <c r="J12888" s="86">
        <f t="shared" si="3"/>
        <v>0</v>
      </c>
      <c r="R12888" s="26"/>
    </row>
    <row r="12889" spans="1:18" ht="15.75" customHeight="1">
      <c r="A12889" s="26"/>
      <c r="B12889" s="86"/>
      <c r="D12889" s="26"/>
      <c r="F12889" s="87" t="str">
        <f t="shared" si="0"/>
        <v/>
      </c>
      <c r="H12889" s="26" t="str">
        <f t="shared" si="1"/>
        <v/>
      </c>
      <c r="I12889" s="26" t="str">
        <f t="shared" si="2"/>
        <v/>
      </c>
      <c r="J12889" s="86">
        <f t="shared" si="3"/>
        <v>0</v>
      </c>
      <c r="R12889" s="26"/>
    </row>
    <row r="12890" spans="1:18" ht="15.75" customHeight="1">
      <c r="A12890" s="26"/>
      <c r="B12890" s="86"/>
      <c r="D12890" s="26"/>
      <c r="F12890" s="87" t="str">
        <f t="shared" si="0"/>
        <v/>
      </c>
      <c r="H12890" s="26" t="str">
        <f t="shared" si="1"/>
        <v/>
      </c>
      <c r="I12890" s="26" t="str">
        <f t="shared" si="2"/>
        <v/>
      </c>
      <c r="J12890" s="86">
        <f t="shared" si="3"/>
        <v>0</v>
      </c>
      <c r="R12890" s="26"/>
    </row>
    <row r="12891" spans="1:18" ht="15.75" customHeight="1">
      <c r="A12891" s="26"/>
      <c r="B12891" s="86"/>
      <c r="D12891" s="26"/>
      <c r="F12891" s="87" t="str">
        <f t="shared" si="0"/>
        <v/>
      </c>
      <c r="H12891" s="26" t="str">
        <f t="shared" si="1"/>
        <v/>
      </c>
      <c r="I12891" s="26" t="str">
        <f t="shared" si="2"/>
        <v/>
      </c>
      <c r="J12891" s="86">
        <f t="shared" si="3"/>
        <v>0</v>
      </c>
      <c r="R12891" s="26"/>
    </row>
    <row r="12892" spans="1:18" ht="15.75" customHeight="1">
      <c r="A12892" s="26"/>
      <c r="B12892" s="86"/>
      <c r="D12892" s="26"/>
      <c r="F12892" s="87" t="str">
        <f t="shared" si="0"/>
        <v/>
      </c>
      <c r="H12892" s="26" t="str">
        <f t="shared" si="1"/>
        <v/>
      </c>
      <c r="I12892" s="26" t="str">
        <f t="shared" si="2"/>
        <v/>
      </c>
      <c r="J12892" s="86">
        <f t="shared" si="3"/>
        <v>0</v>
      </c>
      <c r="R12892" s="26"/>
    </row>
    <row r="12893" spans="1:18" ht="15.75" customHeight="1">
      <c r="A12893" s="26"/>
      <c r="B12893" s="86"/>
      <c r="D12893" s="26"/>
      <c r="F12893" s="87" t="str">
        <f t="shared" si="0"/>
        <v/>
      </c>
      <c r="H12893" s="26" t="str">
        <f t="shared" si="1"/>
        <v/>
      </c>
      <c r="I12893" s="26" t="str">
        <f t="shared" si="2"/>
        <v/>
      </c>
      <c r="J12893" s="86">
        <f t="shared" si="3"/>
        <v>0</v>
      </c>
      <c r="R12893" s="26"/>
    </row>
    <row r="12894" spans="1:18" ht="15.75" customHeight="1">
      <c r="A12894" s="26"/>
      <c r="B12894" s="86"/>
      <c r="D12894" s="26"/>
      <c r="F12894" s="87" t="str">
        <f t="shared" si="0"/>
        <v/>
      </c>
      <c r="H12894" s="26" t="str">
        <f t="shared" si="1"/>
        <v/>
      </c>
      <c r="I12894" s="26" t="str">
        <f t="shared" si="2"/>
        <v/>
      </c>
      <c r="J12894" s="86">
        <f t="shared" si="3"/>
        <v>0</v>
      </c>
      <c r="R12894" s="26"/>
    </row>
    <row r="12895" spans="1:18" ht="15.75" customHeight="1">
      <c r="A12895" s="26"/>
      <c r="B12895" s="86"/>
      <c r="D12895" s="26"/>
      <c r="F12895" s="87" t="str">
        <f t="shared" si="0"/>
        <v/>
      </c>
      <c r="H12895" s="26" t="str">
        <f t="shared" si="1"/>
        <v/>
      </c>
      <c r="I12895" s="26" t="str">
        <f t="shared" si="2"/>
        <v/>
      </c>
      <c r="J12895" s="86">
        <f t="shared" si="3"/>
        <v>0</v>
      </c>
      <c r="R12895" s="26"/>
    </row>
    <row r="12896" spans="1:18" ht="15.75" customHeight="1">
      <c r="A12896" s="26"/>
      <c r="B12896" s="86"/>
      <c r="D12896" s="26"/>
      <c r="F12896" s="87" t="str">
        <f t="shared" si="0"/>
        <v/>
      </c>
      <c r="H12896" s="26" t="str">
        <f t="shared" si="1"/>
        <v/>
      </c>
      <c r="I12896" s="26" t="str">
        <f t="shared" si="2"/>
        <v/>
      </c>
      <c r="J12896" s="86">
        <f t="shared" si="3"/>
        <v>0</v>
      </c>
      <c r="R12896" s="26"/>
    </row>
    <row r="12897" spans="1:18" ht="15.75" customHeight="1">
      <c r="A12897" s="26"/>
      <c r="B12897" s="86"/>
      <c r="D12897" s="26"/>
      <c r="F12897" s="87" t="str">
        <f t="shared" si="0"/>
        <v/>
      </c>
      <c r="H12897" s="26" t="str">
        <f t="shared" si="1"/>
        <v/>
      </c>
      <c r="I12897" s="26" t="str">
        <f t="shared" si="2"/>
        <v/>
      </c>
      <c r="J12897" s="86">
        <f t="shared" si="3"/>
        <v>0</v>
      </c>
      <c r="R12897" s="26"/>
    </row>
    <row r="12898" spans="1:18" ht="15.75" customHeight="1">
      <c r="A12898" s="26"/>
      <c r="B12898" s="86"/>
      <c r="D12898" s="26"/>
      <c r="F12898" s="87" t="str">
        <f t="shared" si="0"/>
        <v/>
      </c>
      <c r="H12898" s="26" t="str">
        <f t="shared" si="1"/>
        <v/>
      </c>
      <c r="I12898" s="26" t="str">
        <f t="shared" si="2"/>
        <v/>
      </c>
      <c r="J12898" s="86">
        <f t="shared" si="3"/>
        <v>0</v>
      </c>
      <c r="R12898" s="26"/>
    </row>
    <row r="12899" spans="1:18" ht="15.75" customHeight="1">
      <c r="A12899" s="26"/>
      <c r="B12899" s="86"/>
      <c r="D12899" s="26"/>
      <c r="F12899" s="87" t="str">
        <f t="shared" si="0"/>
        <v/>
      </c>
      <c r="H12899" s="26" t="str">
        <f t="shared" si="1"/>
        <v/>
      </c>
      <c r="I12899" s="26" t="str">
        <f t="shared" si="2"/>
        <v/>
      </c>
      <c r="J12899" s="86">
        <f t="shared" si="3"/>
        <v>0</v>
      </c>
      <c r="R12899" s="26"/>
    </row>
    <row r="12900" spans="1:18" ht="15.75" customHeight="1">
      <c r="A12900" s="26"/>
      <c r="B12900" s="86"/>
      <c r="D12900" s="26"/>
      <c r="F12900" s="87" t="str">
        <f t="shared" si="0"/>
        <v/>
      </c>
      <c r="H12900" s="26" t="str">
        <f t="shared" si="1"/>
        <v/>
      </c>
      <c r="I12900" s="26" t="str">
        <f t="shared" si="2"/>
        <v/>
      </c>
      <c r="J12900" s="86">
        <f t="shared" si="3"/>
        <v>0</v>
      </c>
      <c r="R12900" s="26"/>
    </row>
    <row r="12901" spans="1:18" ht="15.75" customHeight="1">
      <c r="A12901" s="26"/>
      <c r="B12901" s="86"/>
      <c r="D12901" s="26"/>
      <c r="F12901" s="87" t="str">
        <f t="shared" si="0"/>
        <v/>
      </c>
      <c r="H12901" s="26" t="str">
        <f t="shared" si="1"/>
        <v/>
      </c>
      <c r="I12901" s="26" t="str">
        <f t="shared" si="2"/>
        <v/>
      </c>
      <c r="J12901" s="86">
        <f t="shared" si="3"/>
        <v>0</v>
      </c>
      <c r="R12901" s="26"/>
    </row>
    <row r="12902" spans="1:18" ht="15.75" customHeight="1">
      <c r="A12902" s="26"/>
      <c r="B12902" s="86"/>
      <c r="D12902" s="26"/>
      <c r="F12902" s="87" t="str">
        <f t="shared" si="0"/>
        <v/>
      </c>
      <c r="H12902" s="26" t="str">
        <f t="shared" si="1"/>
        <v/>
      </c>
      <c r="I12902" s="26" t="str">
        <f t="shared" si="2"/>
        <v/>
      </c>
      <c r="J12902" s="86">
        <f t="shared" si="3"/>
        <v>0</v>
      </c>
      <c r="R12902" s="26"/>
    </row>
    <row r="12903" spans="1:18" ht="15.75" customHeight="1">
      <c r="A12903" s="26"/>
      <c r="B12903" s="86"/>
      <c r="D12903" s="26"/>
      <c r="F12903" s="87" t="str">
        <f t="shared" si="0"/>
        <v/>
      </c>
      <c r="H12903" s="26" t="str">
        <f t="shared" si="1"/>
        <v/>
      </c>
      <c r="I12903" s="26" t="str">
        <f t="shared" si="2"/>
        <v/>
      </c>
      <c r="J12903" s="86">
        <f t="shared" si="3"/>
        <v>0</v>
      </c>
      <c r="R12903" s="26"/>
    </row>
    <row r="12904" spans="1:18" ht="15.75" customHeight="1">
      <c r="A12904" s="26"/>
      <c r="B12904" s="86"/>
      <c r="D12904" s="26"/>
      <c r="F12904" s="87" t="str">
        <f t="shared" si="0"/>
        <v/>
      </c>
      <c r="H12904" s="26" t="str">
        <f t="shared" si="1"/>
        <v/>
      </c>
      <c r="I12904" s="26" t="str">
        <f t="shared" si="2"/>
        <v/>
      </c>
      <c r="J12904" s="86">
        <f t="shared" si="3"/>
        <v>0</v>
      </c>
      <c r="R12904" s="26"/>
    </row>
    <row r="12905" spans="1:18" ht="15.75" customHeight="1">
      <c r="A12905" s="26"/>
      <c r="B12905" s="86"/>
      <c r="D12905" s="26"/>
      <c r="F12905" s="87" t="str">
        <f t="shared" si="0"/>
        <v/>
      </c>
      <c r="H12905" s="26" t="str">
        <f t="shared" si="1"/>
        <v/>
      </c>
      <c r="I12905" s="26" t="str">
        <f t="shared" si="2"/>
        <v/>
      </c>
      <c r="J12905" s="86">
        <f t="shared" si="3"/>
        <v>0</v>
      </c>
      <c r="R12905" s="26"/>
    </row>
    <row r="12906" spans="1:18" ht="15.75" customHeight="1">
      <c r="A12906" s="26"/>
      <c r="B12906" s="86"/>
      <c r="D12906" s="26"/>
      <c r="F12906" s="87" t="str">
        <f t="shared" si="0"/>
        <v/>
      </c>
      <c r="H12906" s="26" t="str">
        <f t="shared" si="1"/>
        <v/>
      </c>
      <c r="I12906" s="26" t="str">
        <f t="shared" si="2"/>
        <v/>
      </c>
      <c r="J12906" s="86">
        <f t="shared" si="3"/>
        <v>0</v>
      </c>
      <c r="R12906" s="26"/>
    </row>
    <row r="12907" spans="1:18" ht="15.75" customHeight="1">
      <c r="A12907" s="26"/>
      <c r="B12907" s="86"/>
      <c r="D12907" s="26"/>
      <c r="F12907" s="87" t="str">
        <f t="shared" si="0"/>
        <v/>
      </c>
      <c r="H12907" s="26" t="str">
        <f t="shared" si="1"/>
        <v/>
      </c>
      <c r="I12907" s="26" t="str">
        <f t="shared" si="2"/>
        <v/>
      </c>
      <c r="J12907" s="86">
        <f t="shared" si="3"/>
        <v>0</v>
      </c>
      <c r="R12907" s="26"/>
    </row>
    <row r="12908" spans="1:18" ht="15.75" customHeight="1">
      <c r="A12908" s="26"/>
      <c r="B12908" s="86"/>
      <c r="D12908" s="26"/>
      <c r="F12908" s="87" t="str">
        <f t="shared" si="0"/>
        <v/>
      </c>
      <c r="H12908" s="26" t="str">
        <f t="shared" si="1"/>
        <v/>
      </c>
      <c r="I12908" s="26" t="str">
        <f t="shared" si="2"/>
        <v/>
      </c>
      <c r="J12908" s="86">
        <f t="shared" si="3"/>
        <v>0</v>
      </c>
      <c r="R12908" s="26"/>
    </row>
    <row r="12909" spans="1:18" ht="15.75" customHeight="1">
      <c r="A12909" s="26"/>
      <c r="B12909" s="86"/>
      <c r="D12909" s="26"/>
      <c r="F12909" s="87" t="str">
        <f t="shared" si="0"/>
        <v/>
      </c>
      <c r="H12909" s="26" t="str">
        <f t="shared" si="1"/>
        <v/>
      </c>
      <c r="I12909" s="26" t="str">
        <f t="shared" si="2"/>
        <v/>
      </c>
      <c r="J12909" s="86">
        <f t="shared" si="3"/>
        <v>0</v>
      </c>
      <c r="R12909" s="26"/>
    </row>
    <row r="12910" spans="1:18" ht="15.75" customHeight="1">
      <c r="A12910" s="26"/>
      <c r="B12910" s="86"/>
      <c r="D12910" s="26"/>
      <c r="F12910" s="87" t="str">
        <f t="shared" si="0"/>
        <v/>
      </c>
      <c r="H12910" s="26" t="str">
        <f t="shared" si="1"/>
        <v/>
      </c>
      <c r="I12910" s="26" t="str">
        <f t="shared" si="2"/>
        <v/>
      </c>
      <c r="J12910" s="86">
        <f t="shared" si="3"/>
        <v>0</v>
      </c>
      <c r="R12910" s="26"/>
    </row>
    <row r="12911" spans="1:18" ht="15.75" customHeight="1">
      <c r="A12911" s="26"/>
      <c r="B12911" s="86"/>
      <c r="D12911" s="26"/>
      <c r="F12911" s="87" t="str">
        <f t="shared" si="0"/>
        <v/>
      </c>
      <c r="H12911" s="26" t="str">
        <f t="shared" si="1"/>
        <v/>
      </c>
      <c r="I12911" s="26" t="str">
        <f t="shared" si="2"/>
        <v/>
      </c>
      <c r="J12911" s="86">
        <f t="shared" si="3"/>
        <v>0</v>
      </c>
      <c r="R12911" s="26"/>
    </row>
    <row r="12912" spans="1:18" ht="15.75" customHeight="1">
      <c r="A12912" s="26"/>
      <c r="B12912" s="86"/>
      <c r="D12912" s="26"/>
      <c r="F12912" s="87" t="str">
        <f t="shared" si="0"/>
        <v/>
      </c>
      <c r="H12912" s="26" t="str">
        <f t="shared" si="1"/>
        <v/>
      </c>
      <c r="I12912" s="26" t="str">
        <f t="shared" si="2"/>
        <v/>
      </c>
      <c r="J12912" s="86">
        <f t="shared" si="3"/>
        <v>0</v>
      </c>
      <c r="R12912" s="26"/>
    </row>
    <row r="12913" spans="1:18" ht="15.75" customHeight="1">
      <c r="A12913" s="26"/>
      <c r="B12913" s="86"/>
      <c r="D12913" s="26"/>
      <c r="F12913" s="87" t="str">
        <f t="shared" si="0"/>
        <v/>
      </c>
      <c r="H12913" s="26" t="str">
        <f t="shared" si="1"/>
        <v/>
      </c>
      <c r="I12913" s="26" t="str">
        <f t="shared" si="2"/>
        <v/>
      </c>
      <c r="J12913" s="86">
        <f t="shared" si="3"/>
        <v>0</v>
      </c>
      <c r="R12913" s="26"/>
    </row>
    <row r="12914" spans="1:18" ht="15.75" customHeight="1">
      <c r="A12914" s="26"/>
      <c r="B12914" s="86"/>
      <c r="D12914" s="26"/>
      <c r="F12914" s="87" t="str">
        <f t="shared" si="0"/>
        <v/>
      </c>
      <c r="H12914" s="26" t="str">
        <f t="shared" si="1"/>
        <v/>
      </c>
      <c r="I12914" s="26" t="str">
        <f t="shared" si="2"/>
        <v/>
      </c>
      <c r="J12914" s="86">
        <f t="shared" si="3"/>
        <v>0</v>
      </c>
      <c r="R12914" s="26"/>
    </row>
    <row r="12915" spans="1:18" ht="15.75" customHeight="1">
      <c r="A12915" s="26"/>
      <c r="B12915" s="86"/>
      <c r="D12915" s="26"/>
      <c r="F12915" s="87" t="str">
        <f t="shared" si="0"/>
        <v/>
      </c>
      <c r="H12915" s="26" t="str">
        <f t="shared" si="1"/>
        <v/>
      </c>
      <c r="I12915" s="26" t="str">
        <f t="shared" si="2"/>
        <v/>
      </c>
      <c r="J12915" s="86">
        <f t="shared" si="3"/>
        <v>0</v>
      </c>
      <c r="R12915" s="26"/>
    </row>
    <row r="12916" spans="1:18" ht="15.75" customHeight="1">
      <c r="A12916" s="26"/>
      <c r="B12916" s="86"/>
      <c r="D12916" s="26"/>
      <c r="F12916" s="87" t="str">
        <f t="shared" si="0"/>
        <v/>
      </c>
      <c r="H12916" s="26" t="str">
        <f t="shared" si="1"/>
        <v/>
      </c>
      <c r="I12916" s="26" t="str">
        <f t="shared" si="2"/>
        <v/>
      </c>
      <c r="J12916" s="86">
        <f t="shared" si="3"/>
        <v>0</v>
      </c>
      <c r="R12916" s="26"/>
    </row>
    <row r="12917" spans="1:18" ht="15.75" customHeight="1">
      <c r="A12917" s="26"/>
      <c r="B12917" s="86"/>
      <c r="D12917" s="26"/>
      <c r="F12917" s="87" t="str">
        <f t="shared" si="0"/>
        <v/>
      </c>
      <c r="H12917" s="26" t="str">
        <f t="shared" si="1"/>
        <v/>
      </c>
      <c r="I12917" s="26" t="str">
        <f t="shared" si="2"/>
        <v/>
      </c>
      <c r="J12917" s="86">
        <f t="shared" si="3"/>
        <v>0</v>
      </c>
      <c r="R12917" s="26"/>
    </row>
    <row r="12918" spans="1:18" ht="15.75" customHeight="1">
      <c r="A12918" s="26"/>
      <c r="B12918" s="86"/>
      <c r="D12918" s="26"/>
      <c r="F12918" s="87" t="str">
        <f t="shared" si="0"/>
        <v/>
      </c>
      <c r="H12918" s="26" t="str">
        <f t="shared" si="1"/>
        <v/>
      </c>
      <c r="I12918" s="26" t="str">
        <f t="shared" si="2"/>
        <v/>
      </c>
      <c r="J12918" s="86">
        <f t="shared" si="3"/>
        <v>0</v>
      </c>
      <c r="R12918" s="26"/>
    </row>
    <row r="12919" spans="1:18" ht="15.75" customHeight="1">
      <c r="A12919" s="26"/>
      <c r="B12919" s="86"/>
      <c r="D12919" s="26"/>
      <c r="F12919" s="87" t="str">
        <f t="shared" si="0"/>
        <v/>
      </c>
      <c r="H12919" s="26" t="str">
        <f t="shared" si="1"/>
        <v/>
      </c>
      <c r="I12919" s="26" t="str">
        <f t="shared" si="2"/>
        <v/>
      </c>
      <c r="J12919" s="86">
        <f t="shared" si="3"/>
        <v>0</v>
      </c>
      <c r="R12919" s="26"/>
    </row>
    <row r="12920" spans="1:18" ht="15.75" customHeight="1">
      <c r="A12920" s="26"/>
      <c r="B12920" s="86"/>
      <c r="D12920" s="26"/>
      <c r="F12920" s="87" t="str">
        <f t="shared" si="0"/>
        <v/>
      </c>
      <c r="H12920" s="26" t="str">
        <f t="shared" si="1"/>
        <v/>
      </c>
      <c r="I12920" s="26" t="str">
        <f t="shared" si="2"/>
        <v/>
      </c>
      <c r="J12920" s="86">
        <f t="shared" si="3"/>
        <v>0</v>
      </c>
      <c r="R12920" s="26"/>
    </row>
    <row r="12921" spans="1:18" ht="15.75" customHeight="1">
      <c r="A12921" s="26"/>
      <c r="B12921" s="86"/>
      <c r="D12921" s="26"/>
      <c r="F12921" s="87" t="str">
        <f t="shared" si="0"/>
        <v/>
      </c>
      <c r="H12921" s="26" t="str">
        <f t="shared" si="1"/>
        <v/>
      </c>
      <c r="I12921" s="26" t="str">
        <f t="shared" si="2"/>
        <v/>
      </c>
      <c r="J12921" s="86">
        <f t="shared" si="3"/>
        <v>0</v>
      </c>
      <c r="R12921" s="26"/>
    </row>
    <row r="12922" spans="1:18" ht="15.75" customHeight="1">
      <c r="A12922" s="26"/>
      <c r="B12922" s="86"/>
      <c r="D12922" s="26"/>
      <c r="F12922" s="87" t="str">
        <f t="shared" si="0"/>
        <v/>
      </c>
      <c r="H12922" s="26" t="str">
        <f t="shared" si="1"/>
        <v/>
      </c>
      <c r="I12922" s="26" t="str">
        <f t="shared" si="2"/>
        <v/>
      </c>
      <c r="J12922" s="86">
        <f t="shared" si="3"/>
        <v>0</v>
      </c>
      <c r="R12922" s="26"/>
    </row>
    <row r="12923" spans="1:18" ht="15.75" customHeight="1">
      <c r="A12923" s="26"/>
      <c r="B12923" s="86"/>
      <c r="D12923" s="26"/>
      <c r="F12923" s="87" t="str">
        <f t="shared" si="0"/>
        <v/>
      </c>
      <c r="H12923" s="26" t="str">
        <f t="shared" si="1"/>
        <v/>
      </c>
      <c r="I12923" s="26" t="str">
        <f t="shared" si="2"/>
        <v/>
      </c>
      <c r="J12923" s="86">
        <f t="shared" si="3"/>
        <v>0</v>
      </c>
      <c r="R12923" s="26"/>
    </row>
    <row r="12924" spans="1:18" ht="15.75" customHeight="1">
      <c r="A12924" s="26"/>
      <c r="B12924" s="86"/>
      <c r="D12924" s="26"/>
      <c r="F12924" s="87" t="str">
        <f t="shared" si="0"/>
        <v/>
      </c>
      <c r="H12924" s="26" t="str">
        <f t="shared" si="1"/>
        <v/>
      </c>
      <c r="I12924" s="26" t="str">
        <f t="shared" si="2"/>
        <v/>
      </c>
      <c r="J12924" s="86">
        <f t="shared" si="3"/>
        <v>0</v>
      </c>
      <c r="R12924" s="26"/>
    </row>
    <row r="12925" spans="1:18" ht="15.75" customHeight="1">
      <c r="A12925" s="26"/>
      <c r="B12925" s="86"/>
      <c r="D12925" s="26"/>
      <c r="F12925" s="87" t="str">
        <f t="shared" si="0"/>
        <v/>
      </c>
      <c r="H12925" s="26" t="str">
        <f t="shared" si="1"/>
        <v/>
      </c>
      <c r="I12925" s="26" t="str">
        <f t="shared" si="2"/>
        <v/>
      </c>
      <c r="J12925" s="86">
        <f t="shared" si="3"/>
        <v>0</v>
      </c>
      <c r="R12925" s="26"/>
    </row>
    <row r="12926" spans="1:18" ht="15.75" customHeight="1">
      <c r="A12926" s="26"/>
      <c r="B12926" s="86"/>
      <c r="D12926" s="26"/>
      <c r="F12926" s="87" t="str">
        <f t="shared" si="0"/>
        <v/>
      </c>
      <c r="H12926" s="26" t="str">
        <f t="shared" si="1"/>
        <v/>
      </c>
      <c r="I12926" s="26" t="str">
        <f t="shared" si="2"/>
        <v/>
      </c>
      <c r="J12926" s="86">
        <f t="shared" si="3"/>
        <v>0</v>
      </c>
      <c r="R12926" s="26"/>
    </row>
    <row r="12927" spans="1:18" ht="15.75" customHeight="1">
      <c r="A12927" s="26"/>
      <c r="B12927" s="86"/>
      <c r="D12927" s="26"/>
      <c r="F12927" s="87" t="str">
        <f t="shared" si="0"/>
        <v/>
      </c>
      <c r="H12927" s="26" t="str">
        <f t="shared" si="1"/>
        <v/>
      </c>
      <c r="I12927" s="26" t="str">
        <f t="shared" si="2"/>
        <v/>
      </c>
      <c r="J12927" s="86">
        <f t="shared" si="3"/>
        <v>0</v>
      </c>
      <c r="R12927" s="26"/>
    </row>
    <row r="12928" spans="1:18" ht="15.75" customHeight="1">
      <c r="A12928" s="26"/>
      <c r="B12928" s="86"/>
      <c r="D12928" s="26"/>
      <c r="F12928" s="87" t="str">
        <f t="shared" si="0"/>
        <v/>
      </c>
      <c r="H12928" s="26" t="str">
        <f t="shared" si="1"/>
        <v/>
      </c>
      <c r="I12928" s="26" t="str">
        <f t="shared" si="2"/>
        <v/>
      </c>
      <c r="J12928" s="86">
        <f t="shared" si="3"/>
        <v>0</v>
      </c>
      <c r="R12928" s="26"/>
    </row>
    <row r="12929" spans="1:18" ht="15.75" customHeight="1">
      <c r="A12929" s="26"/>
      <c r="B12929" s="86"/>
      <c r="D12929" s="26"/>
      <c r="F12929" s="87" t="str">
        <f t="shared" si="0"/>
        <v/>
      </c>
      <c r="H12929" s="26" t="str">
        <f t="shared" si="1"/>
        <v/>
      </c>
      <c r="I12929" s="26" t="str">
        <f t="shared" si="2"/>
        <v/>
      </c>
      <c r="J12929" s="86">
        <f t="shared" si="3"/>
        <v>0</v>
      </c>
      <c r="R12929" s="26"/>
    </row>
    <row r="12930" spans="1:18" ht="15.75" customHeight="1">
      <c r="A12930" s="26"/>
      <c r="B12930" s="86"/>
      <c r="D12930" s="26"/>
      <c r="F12930" s="87" t="str">
        <f t="shared" si="0"/>
        <v/>
      </c>
      <c r="H12930" s="26" t="str">
        <f t="shared" si="1"/>
        <v/>
      </c>
      <c r="I12930" s="26" t="str">
        <f t="shared" si="2"/>
        <v/>
      </c>
      <c r="J12930" s="86">
        <f t="shared" si="3"/>
        <v>0</v>
      </c>
      <c r="R12930" s="26"/>
    </row>
    <row r="12931" spans="1:18" ht="15.75" customHeight="1">
      <c r="A12931" s="26"/>
      <c r="B12931" s="86"/>
      <c r="D12931" s="26"/>
      <c r="F12931" s="87" t="str">
        <f t="shared" si="0"/>
        <v/>
      </c>
      <c r="H12931" s="26" t="str">
        <f t="shared" si="1"/>
        <v/>
      </c>
      <c r="I12931" s="26" t="str">
        <f t="shared" si="2"/>
        <v/>
      </c>
      <c r="J12931" s="86">
        <f t="shared" si="3"/>
        <v>0</v>
      </c>
      <c r="R12931" s="26"/>
    </row>
    <row r="12932" spans="1:18" ht="15.75" customHeight="1">
      <c r="A12932" s="26"/>
      <c r="B12932" s="86"/>
      <c r="D12932" s="26"/>
      <c r="F12932" s="87" t="str">
        <f t="shared" si="0"/>
        <v/>
      </c>
      <c r="H12932" s="26" t="str">
        <f t="shared" si="1"/>
        <v/>
      </c>
      <c r="I12932" s="26" t="str">
        <f t="shared" si="2"/>
        <v/>
      </c>
      <c r="J12932" s="86">
        <f t="shared" si="3"/>
        <v>0</v>
      </c>
      <c r="R12932" s="26"/>
    </row>
    <row r="12933" spans="1:18" ht="15.75" customHeight="1">
      <c r="A12933" s="26"/>
      <c r="B12933" s="86"/>
      <c r="D12933" s="26"/>
      <c r="F12933" s="87" t="str">
        <f t="shared" si="0"/>
        <v/>
      </c>
      <c r="H12933" s="26" t="str">
        <f t="shared" si="1"/>
        <v/>
      </c>
      <c r="I12933" s="26" t="str">
        <f t="shared" si="2"/>
        <v/>
      </c>
      <c r="J12933" s="86">
        <f t="shared" si="3"/>
        <v>0</v>
      </c>
      <c r="R12933" s="26"/>
    </row>
    <row r="12934" spans="1:18" ht="15.75" customHeight="1">
      <c r="A12934" s="26"/>
      <c r="B12934" s="86"/>
      <c r="D12934" s="26"/>
      <c r="F12934" s="87" t="str">
        <f t="shared" si="0"/>
        <v/>
      </c>
      <c r="H12934" s="26" t="str">
        <f t="shared" si="1"/>
        <v/>
      </c>
      <c r="I12934" s="26" t="str">
        <f t="shared" si="2"/>
        <v/>
      </c>
      <c r="J12934" s="86">
        <f t="shared" si="3"/>
        <v>0</v>
      </c>
      <c r="R12934" s="26"/>
    </row>
    <row r="12935" spans="1:18" ht="15.75" customHeight="1">
      <c r="A12935" s="26"/>
      <c r="B12935" s="86"/>
      <c r="D12935" s="26"/>
      <c r="F12935" s="87" t="str">
        <f t="shared" si="0"/>
        <v/>
      </c>
      <c r="H12935" s="26" t="str">
        <f t="shared" si="1"/>
        <v/>
      </c>
      <c r="I12935" s="26" t="str">
        <f t="shared" si="2"/>
        <v/>
      </c>
      <c r="J12935" s="86">
        <f t="shared" si="3"/>
        <v>0</v>
      </c>
      <c r="R12935" s="26"/>
    </row>
    <row r="12936" spans="1:18" ht="15.75" customHeight="1">
      <c r="A12936" s="26"/>
      <c r="B12936" s="86"/>
      <c r="D12936" s="26"/>
      <c r="F12936" s="87" t="str">
        <f t="shared" si="0"/>
        <v/>
      </c>
      <c r="H12936" s="26" t="str">
        <f t="shared" si="1"/>
        <v/>
      </c>
      <c r="I12936" s="26" t="str">
        <f t="shared" si="2"/>
        <v/>
      </c>
      <c r="J12936" s="86">
        <f t="shared" si="3"/>
        <v>0</v>
      </c>
      <c r="R12936" s="26"/>
    </row>
    <row r="12937" spans="1:18" ht="15.75" customHeight="1">
      <c r="A12937" s="26"/>
      <c r="B12937" s="86"/>
      <c r="D12937" s="26"/>
      <c r="F12937" s="87" t="str">
        <f t="shared" si="0"/>
        <v/>
      </c>
      <c r="H12937" s="26" t="str">
        <f t="shared" si="1"/>
        <v/>
      </c>
      <c r="I12937" s="26" t="str">
        <f t="shared" si="2"/>
        <v/>
      </c>
      <c r="J12937" s="86">
        <f t="shared" si="3"/>
        <v>0</v>
      </c>
      <c r="R12937" s="26"/>
    </row>
    <row r="12938" spans="1:18" ht="15.75" customHeight="1">
      <c r="A12938" s="26"/>
      <c r="B12938" s="86"/>
      <c r="D12938" s="26"/>
      <c r="F12938" s="87" t="str">
        <f t="shared" si="0"/>
        <v/>
      </c>
      <c r="H12938" s="26" t="str">
        <f t="shared" si="1"/>
        <v/>
      </c>
      <c r="I12938" s="26" t="str">
        <f t="shared" si="2"/>
        <v/>
      </c>
      <c r="J12938" s="86">
        <f t="shared" si="3"/>
        <v>0</v>
      </c>
      <c r="R12938" s="26"/>
    </row>
    <row r="12939" spans="1:18" ht="15.75" customHeight="1">
      <c r="A12939" s="26"/>
      <c r="B12939" s="86"/>
      <c r="D12939" s="26"/>
      <c r="F12939" s="87" t="str">
        <f t="shared" si="0"/>
        <v/>
      </c>
      <c r="H12939" s="26" t="str">
        <f t="shared" si="1"/>
        <v/>
      </c>
      <c r="I12939" s="26" t="str">
        <f t="shared" si="2"/>
        <v/>
      </c>
      <c r="J12939" s="86">
        <f t="shared" si="3"/>
        <v>0</v>
      </c>
      <c r="R12939" s="26"/>
    </row>
    <row r="12940" spans="1:18" ht="15.75" customHeight="1">
      <c r="A12940" s="26"/>
      <c r="B12940" s="86"/>
      <c r="D12940" s="26"/>
      <c r="F12940" s="87" t="str">
        <f t="shared" si="0"/>
        <v/>
      </c>
      <c r="H12940" s="26" t="str">
        <f t="shared" si="1"/>
        <v/>
      </c>
      <c r="I12940" s="26" t="str">
        <f t="shared" si="2"/>
        <v/>
      </c>
      <c r="J12940" s="86">
        <f t="shared" si="3"/>
        <v>0</v>
      </c>
      <c r="R12940" s="26"/>
    </row>
    <row r="12941" spans="1:18" ht="15.75" customHeight="1">
      <c r="A12941" s="26"/>
      <c r="B12941" s="86"/>
      <c r="D12941" s="26"/>
      <c r="F12941" s="87" t="str">
        <f t="shared" si="0"/>
        <v/>
      </c>
      <c r="H12941" s="26" t="str">
        <f t="shared" si="1"/>
        <v/>
      </c>
      <c r="I12941" s="26" t="str">
        <f t="shared" si="2"/>
        <v/>
      </c>
      <c r="J12941" s="86">
        <f t="shared" si="3"/>
        <v>0</v>
      </c>
      <c r="R12941" s="26"/>
    </row>
    <row r="12942" spans="1:18" ht="15.75" customHeight="1">
      <c r="A12942" s="26"/>
      <c r="B12942" s="86"/>
      <c r="D12942" s="26"/>
      <c r="F12942" s="87" t="str">
        <f t="shared" si="0"/>
        <v/>
      </c>
      <c r="H12942" s="26" t="str">
        <f t="shared" si="1"/>
        <v/>
      </c>
      <c r="I12942" s="26" t="str">
        <f t="shared" si="2"/>
        <v/>
      </c>
      <c r="J12942" s="86">
        <f t="shared" si="3"/>
        <v>0</v>
      </c>
      <c r="R12942" s="26"/>
    </row>
    <row r="12943" spans="1:18" ht="15.75" customHeight="1">
      <c r="A12943" s="26"/>
      <c r="B12943" s="86"/>
      <c r="D12943" s="26"/>
      <c r="F12943" s="87" t="str">
        <f t="shared" si="0"/>
        <v/>
      </c>
      <c r="H12943" s="26" t="str">
        <f t="shared" si="1"/>
        <v/>
      </c>
      <c r="I12943" s="26" t="str">
        <f t="shared" si="2"/>
        <v/>
      </c>
      <c r="J12943" s="86">
        <f t="shared" si="3"/>
        <v>0</v>
      </c>
      <c r="R12943" s="26"/>
    </row>
    <row r="12944" spans="1:18" ht="15.75" customHeight="1">
      <c r="A12944" s="26"/>
      <c r="B12944" s="86"/>
      <c r="D12944" s="26"/>
      <c r="F12944" s="87" t="str">
        <f t="shared" si="0"/>
        <v/>
      </c>
      <c r="H12944" s="26" t="str">
        <f t="shared" si="1"/>
        <v/>
      </c>
      <c r="I12944" s="26" t="str">
        <f t="shared" si="2"/>
        <v/>
      </c>
      <c r="J12944" s="86">
        <f t="shared" si="3"/>
        <v>0</v>
      </c>
      <c r="R12944" s="26"/>
    </row>
    <row r="12945" spans="1:18" ht="15.75" customHeight="1">
      <c r="A12945" s="26"/>
      <c r="B12945" s="86"/>
      <c r="D12945" s="26"/>
      <c r="F12945" s="87" t="str">
        <f t="shared" si="0"/>
        <v/>
      </c>
      <c r="H12945" s="26" t="str">
        <f t="shared" si="1"/>
        <v/>
      </c>
      <c r="I12945" s="26" t="str">
        <f t="shared" si="2"/>
        <v/>
      </c>
      <c r="J12945" s="86">
        <f t="shared" si="3"/>
        <v>0</v>
      </c>
      <c r="R12945" s="26"/>
    </row>
    <row r="12946" spans="1:18" ht="15.75" customHeight="1">
      <c r="A12946" s="26"/>
      <c r="B12946" s="86"/>
      <c r="D12946" s="26"/>
      <c r="F12946" s="87" t="str">
        <f t="shared" si="0"/>
        <v/>
      </c>
      <c r="H12946" s="26" t="str">
        <f t="shared" si="1"/>
        <v/>
      </c>
      <c r="I12946" s="26" t="str">
        <f t="shared" si="2"/>
        <v/>
      </c>
      <c r="J12946" s="86">
        <f t="shared" si="3"/>
        <v>0</v>
      </c>
      <c r="R12946" s="26"/>
    </row>
    <row r="12947" spans="1:18" ht="15.75" customHeight="1">
      <c r="A12947" s="26"/>
      <c r="B12947" s="86"/>
      <c r="D12947" s="26"/>
      <c r="F12947" s="87" t="str">
        <f t="shared" si="0"/>
        <v/>
      </c>
      <c r="H12947" s="26" t="str">
        <f t="shared" si="1"/>
        <v/>
      </c>
      <c r="I12947" s="26" t="str">
        <f t="shared" si="2"/>
        <v/>
      </c>
      <c r="J12947" s="86">
        <f t="shared" si="3"/>
        <v>0</v>
      </c>
      <c r="R12947" s="26"/>
    </row>
    <row r="12948" spans="1:18" ht="15.75" customHeight="1">
      <c r="A12948" s="26"/>
      <c r="B12948" s="86"/>
      <c r="D12948" s="26"/>
      <c r="F12948" s="87" t="str">
        <f t="shared" si="0"/>
        <v/>
      </c>
      <c r="H12948" s="26" t="str">
        <f t="shared" si="1"/>
        <v/>
      </c>
      <c r="I12948" s="26" t="str">
        <f t="shared" si="2"/>
        <v/>
      </c>
      <c r="J12948" s="86">
        <f t="shared" si="3"/>
        <v>0</v>
      </c>
      <c r="R12948" s="26"/>
    </row>
    <row r="12949" spans="1:18" ht="15.75" customHeight="1">
      <c r="A12949" s="26"/>
      <c r="B12949" s="86"/>
      <c r="D12949" s="26"/>
      <c r="F12949" s="87" t="str">
        <f t="shared" si="0"/>
        <v/>
      </c>
      <c r="H12949" s="26" t="str">
        <f t="shared" si="1"/>
        <v/>
      </c>
      <c r="I12949" s="26" t="str">
        <f t="shared" si="2"/>
        <v/>
      </c>
      <c r="J12949" s="86">
        <f t="shared" si="3"/>
        <v>0</v>
      </c>
      <c r="R12949" s="26"/>
    </row>
    <row r="12950" spans="1:18" ht="15.75" customHeight="1">
      <c r="A12950" s="26"/>
      <c r="B12950" s="86"/>
      <c r="D12950" s="26"/>
      <c r="F12950" s="87" t="str">
        <f t="shared" si="0"/>
        <v/>
      </c>
      <c r="H12950" s="26" t="str">
        <f t="shared" si="1"/>
        <v/>
      </c>
      <c r="I12950" s="26" t="str">
        <f t="shared" si="2"/>
        <v/>
      </c>
      <c r="J12950" s="86">
        <f t="shared" si="3"/>
        <v>0</v>
      </c>
      <c r="R12950" s="26"/>
    </row>
    <row r="12951" spans="1:18" ht="15.75" customHeight="1">
      <c r="A12951" s="26"/>
      <c r="B12951" s="86"/>
      <c r="D12951" s="26"/>
      <c r="F12951" s="87" t="str">
        <f t="shared" si="0"/>
        <v/>
      </c>
      <c r="H12951" s="26" t="str">
        <f t="shared" si="1"/>
        <v/>
      </c>
      <c r="I12951" s="26" t="str">
        <f t="shared" si="2"/>
        <v/>
      </c>
      <c r="J12951" s="86">
        <f t="shared" si="3"/>
        <v>0</v>
      </c>
      <c r="R12951" s="26"/>
    </row>
    <row r="12952" spans="1:18" ht="15.75" customHeight="1">
      <c r="A12952" s="26"/>
      <c r="B12952" s="86"/>
      <c r="D12952" s="26"/>
      <c r="F12952" s="87" t="str">
        <f t="shared" si="0"/>
        <v/>
      </c>
      <c r="H12952" s="26" t="str">
        <f t="shared" si="1"/>
        <v/>
      </c>
      <c r="I12952" s="26" t="str">
        <f t="shared" si="2"/>
        <v/>
      </c>
      <c r="J12952" s="86">
        <f t="shared" si="3"/>
        <v>0</v>
      </c>
      <c r="R12952" s="26"/>
    </row>
    <row r="12953" spans="1:18" ht="15.75" customHeight="1">
      <c r="A12953" s="26"/>
      <c r="B12953" s="86"/>
      <c r="D12953" s="26"/>
      <c r="F12953" s="87" t="str">
        <f t="shared" si="0"/>
        <v/>
      </c>
      <c r="H12953" s="26" t="str">
        <f t="shared" si="1"/>
        <v/>
      </c>
      <c r="I12953" s="26" t="str">
        <f t="shared" si="2"/>
        <v/>
      </c>
      <c r="J12953" s="86">
        <f t="shared" si="3"/>
        <v>0</v>
      </c>
      <c r="R12953" s="26"/>
    </row>
    <row r="12954" spans="1:18" ht="15.75" customHeight="1">
      <c r="A12954" s="26"/>
      <c r="B12954" s="86"/>
      <c r="D12954" s="26"/>
      <c r="F12954" s="87" t="str">
        <f t="shared" si="0"/>
        <v/>
      </c>
      <c r="H12954" s="26" t="str">
        <f t="shared" si="1"/>
        <v/>
      </c>
      <c r="I12954" s="26" t="str">
        <f t="shared" si="2"/>
        <v/>
      </c>
      <c r="J12954" s="86">
        <f t="shared" si="3"/>
        <v>0</v>
      </c>
      <c r="R12954" s="26"/>
    </row>
    <row r="12955" spans="1:18" ht="15.75" customHeight="1">
      <c r="A12955" s="26"/>
      <c r="B12955" s="86"/>
      <c r="D12955" s="26"/>
      <c r="F12955" s="87" t="str">
        <f t="shared" si="0"/>
        <v/>
      </c>
      <c r="H12955" s="26" t="str">
        <f t="shared" si="1"/>
        <v/>
      </c>
      <c r="I12955" s="26" t="str">
        <f t="shared" si="2"/>
        <v/>
      </c>
      <c r="J12955" s="86">
        <f t="shared" si="3"/>
        <v>0</v>
      </c>
      <c r="R12955" s="26"/>
    </row>
    <row r="12956" spans="1:18" ht="15.75" customHeight="1">
      <c r="A12956" s="26"/>
      <c r="B12956" s="86"/>
      <c r="D12956" s="26"/>
      <c r="F12956" s="87" t="str">
        <f t="shared" si="0"/>
        <v/>
      </c>
      <c r="H12956" s="26" t="str">
        <f t="shared" si="1"/>
        <v/>
      </c>
      <c r="I12956" s="26" t="str">
        <f t="shared" si="2"/>
        <v/>
      </c>
      <c r="J12956" s="86">
        <f t="shared" si="3"/>
        <v>0</v>
      </c>
      <c r="R12956" s="26"/>
    </row>
    <row r="12957" spans="1:18" ht="15.75" customHeight="1">
      <c r="A12957" s="26"/>
      <c r="B12957" s="86"/>
      <c r="D12957" s="26"/>
      <c r="F12957" s="87" t="str">
        <f t="shared" si="0"/>
        <v/>
      </c>
      <c r="H12957" s="26" t="str">
        <f t="shared" si="1"/>
        <v/>
      </c>
      <c r="I12957" s="26" t="str">
        <f t="shared" si="2"/>
        <v/>
      </c>
      <c r="J12957" s="86">
        <f t="shared" si="3"/>
        <v>0</v>
      </c>
      <c r="R12957" s="26"/>
    </row>
    <row r="12958" spans="1:18" ht="15.75" customHeight="1">
      <c r="A12958" s="26"/>
      <c r="B12958" s="86"/>
      <c r="D12958" s="26"/>
      <c r="F12958" s="87" t="str">
        <f t="shared" si="0"/>
        <v/>
      </c>
      <c r="H12958" s="26" t="str">
        <f t="shared" si="1"/>
        <v/>
      </c>
      <c r="I12958" s="26" t="str">
        <f t="shared" si="2"/>
        <v/>
      </c>
      <c r="J12958" s="86">
        <f t="shared" si="3"/>
        <v>0</v>
      </c>
      <c r="R12958" s="26"/>
    </row>
    <row r="12959" spans="1:18" ht="15.75" customHeight="1">
      <c r="A12959" s="26"/>
      <c r="B12959" s="86"/>
      <c r="D12959" s="26"/>
      <c r="F12959" s="87" t="str">
        <f t="shared" si="0"/>
        <v/>
      </c>
      <c r="H12959" s="26" t="str">
        <f t="shared" si="1"/>
        <v/>
      </c>
      <c r="I12959" s="26" t="str">
        <f t="shared" si="2"/>
        <v/>
      </c>
      <c r="J12959" s="86">
        <f t="shared" si="3"/>
        <v>0</v>
      </c>
      <c r="R12959" s="26"/>
    </row>
    <row r="12960" spans="1:18" ht="15.75" customHeight="1">
      <c r="A12960" s="26"/>
      <c r="B12960" s="86"/>
      <c r="D12960" s="26"/>
      <c r="F12960" s="87" t="str">
        <f t="shared" si="0"/>
        <v/>
      </c>
      <c r="H12960" s="26" t="str">
        <f t="shared" si="1"/>
        <v/>
      </c>
      <c r="I12960" s="26" t="str">
        <f t="shared" si="2"/>
        <v/>
      </c>
      <c r="J12960" s="86">
        <f t="shared" si="3"/>
        <v>0</v>
      </c>
      <c r="R12960" s="26"/>
    </row>
    <row r="12961" spans="1:18" ht="15.75" customHeight="1">
      <c r="A12961" s="26"/>
      <c r="B12961" s="86"/>
      <c r="D12961" s="26"/>
      <c r="F12961" s="87" t="str">
        <f t="shared" si="0"/>
        <v/>
      </c>
      <c r="H12961" s="26" t="str">
        <f t="shared" si="1"/>
        <v/>
      </c>
      <c r="I12961" s="26" t="str">
        <f t="shared" si="2"/>
        <v/>
      </c>
      <c r="J12961" s="86">
        <f t="shared" si="3"/>
        <v>0</v>
      </c>
      <c r="R12961" s="26"/>
    </row>
    <row r="12962" spans="1:18" ht="15.75" customHeight="1">
      <c r="A12962" s="26"/>
      <c r="B12962" s="86"/>
      <c r="D12962" s="26"/>
      <c r="F12962" s="87" t="str">
        <f t="shared" si="0"/>
        <v/>
      </c>
      <c r="H12962" s="26" t="str">
        <f t="shared" si="1"/>
        <v/>
      </c>
      <c r="I12962" s="26" t="str">
        <f t="shared" si="2"/>
        <v/>
      </c>
      <c r="J12962" s="86">
        <f t="shared" si="3"/>
        <v>0</v>
      </c>
      <c r="R12962" s="26"/>
    </row>
    <row r="12963" spans="1:18" ht="15.75" customHeight="1">
      <c r="A12963" s="26"/>
      <c r="B12963" s="86"/>
      <c r="D12963" s="26"/>
      <c r="F12963" s="87" t="str">
        <f t="shared" si="0"/>
        <v/>
      </c>
      <c r="H12963" s="26" t="str">
        <f t="shared" si="1"/>
        <v/>
      </c>
      <c r="I12963" s="26" t="str">
        <f t="shared" si="2"/>
        <v/>
      </c>
      <c r="J12963" s="86">
        <f t="shared" si="3"/>
        <v>0</v>
      </c>
      <c r="R12963" s="26"/>
    </row>
    <row r="12964" spans="1:18" ht="15.75" customHeight="1">
      <c r="A12964" s="26"/>
      <c r="B12964" s="86"/>
      <c r="D12964" s="26"/>
      <c r="F12964" s="87" t="str">
        <f t="shared" si="0"/>
        <v/>
      </c>
      <c r="H12964" s="26" t="str">
        <f t="shared" si="1"/>
        <v/>
      </c>
      <c r="I12964" s="26" t="str">
        <f t="shared" si="2"/>
        <v/>
      </c>
      <c r="J12964" s="86">
        <f t="shared" si="3"/>
        <v>0</v>
      </c>
      <c r="R12964" s="26"/>
    </row>
    <row r="12965" spans="1:18" ht="15.75" customHeight="1">
      <c r="A12965" s="26"/>
      <c r="B12965" s="86"/>
      <c r="D12965" s="26"/>
      <c r="F12965" s="87" t="str">
        <f t="shared" si="0"/>
        <v/>
      </c>
      <c r="H12965" s="26" t="str">
        <f t="shared" si="1"/>
        <v/>
      </c>
      <c r="I12965" s="26" t="str">
        <f t="shared" si="2"/>
        <v/>
      </c>
      <c r="J12965" s="86">
        <f t="shared" si="3"/>
        <v>0</v>
      </c>
      <c r="R12965" s="26"/>
    </row>
    <row r="12966" spans="1:18" ht="15.75" customHeight="1">
      <c r="A12966" s="26"/>
      <c r="B12966" s="86"/>
      <c r="D12966" s="26"/>
      <c r="F12966" s="87" t="str">
        <f t="shared" si="0"/>
        <v/>
      </c>
      <c r="H12966" s="26" t="str">
        <f t="shared" si="1"/>
        <v/>
      </c>
      <c r="I12966" s="26" t="str">
        <f t="shared" si="2"/>
        <v/>
      </c>
      <c r="J12966" s="86">
        <f t="shared" si="3"/>
        <v>0</v>
      </c>
      <c r="R12966" s="26"/>
    </row>
    <row r="12967" spans="1:18" ht="15.75" customHeight="1">
      <c r="A12967" s="26"/>
      <c r="B12967" s="86"/>
      <c r="D12967" s="26"/>
      <c r="F12967" s="87" t="str">
        <f t="shared" si="0"/>
        <v/>
      </c>
      <c r="H12967" s="26" t="str">
        <f t="shared" si="1"/>
        <v/>
      </c>
      <c r="I12967" s="26" t="str">
        <f t="shared" si="2"/>
        <v/>
      </c>
      <c r="J12967" s="86">
        <f t="shared" si="3"/>
        <v>0</v>
      </c>
      <c r="R12967" s="26"/>
    </row>
    <row r="12968" spans="1:18" ht="15.75" customHeight="1">
      <c r="A12968" s="26"/>
      <c r="B12968" s="86"/>
      <c r="D12968" s="26"/>
      <c r="F12968" s="87" t="str">
        <f t="shared" si="0"/>
        <v/>
      </c>
      <c r="H12968" s="26" t="str">
        <f t="shared" si="1"/>
        <v/>
      </c>
      <c r="I12968" s="26" t="str">
        <f t="shared" si="2"/>
        <v/>
      </c>
      <c r="J12968" s="86">
        <f t="shared" si="3"/>
        <v>0</v>
      </c>
      <c r="R12968" s="26"/>
    </row>
    <row r="12969" spans="1:18" ht="15.75" customHeight="1">
      <c r="A12969" s="26"/>
      <c r="B12969" s="86"/>
      <c r="D12969" s="26"/>
      <c r="F12969" s="87" t="str">
        <f t="shared" si="0"/>
        <v/>
      </c>
      <c r="H12969" s="26" t="str">
        <f t="shared" si="1"/>
        <v/>
      </c>
      <c r="I12969" s="26" t="str">
        <f t="shared" si="2"/>
        <v/>
      </c>
      <c r="J12969" s="86">
        <f t="shared" si="3"/>
        <v>0</v>
      </c>
      <c r="R12969" s="26"/>
    </row>
    <row r="12970" spans="1:18" ht="15.75" customHeight="1">
      <c r="A12970" s="26"/>
      <c r="B12970" s="86"/>
      <c r="D12970" s="26"/>
      <c r="F12970" s="87" t="str">
        <f t="shared" si="0"/>
        <v/>
      </c>
      <c r="H12970" s="26" t="str">
        <f t="shared" si="1"/>
        <v/>
      </c>
      <c r="I12970" s="26" t="str">
        <f t="shared" si="2"/>
        <v/>
      </c>
      <c r="J12970" s="86">
        <f t="shared" si="3"/>
        <v>0</v>
      </c>
      <c r="R12970" s="26"/>
    </row>
    <row r="12971" spans="1:18" ht="15.75" customHeight="1">
      <c r="A12971" s="26"/>
      <c r="B12971" s="86"/>
      <c r="D12971" s="26"/>
      <c r="F12971" s="87" t="str">
        <f t="shared" si="0"/>
        <v/>
      </c>
      <c r="H12971" s="26" t="str">
        <f t="shared" si="1"/>
        <v/>
      </c>
      <c r="I12971" s="26" t="str">
        <f t="shared" si="2"/>
        <v/>
      </c>
      <c r="J12971" s="86">
        <f t="shared" si="3"/>
        <v>0</v>
      </c>
      <c r="R12971" s="26"/>
    </row>
    <row r="12972" spans="1:18" ht="15.75" customHeight="1">
      <c r="A12972" s="26"/>
      <c r="B12972" s="86"/>
      <c r="D12972" s="26"/>
      <c r="F12972" s="87" t="str">
        <f t="shared" si="0"/>
        <v/>
      </c>
      <c r="H12972" s="26" t="str">
        <f t="shared" si="1"/>
        <v/>
      </c>
      <c r="I12972" s="26" t="str">
        <f t="shared" si="2"/>
        <v/>
      </c>
      <c r="J12972" s="86">
        <f t="shared" si="3"/>
        <v>0</v>
      </c>
      <c r="R12972" s="26"/>
    </row>
    <row r="12973" spans="1:18" ht="15.75" customHeight="1">
      <c r="A12973" s="26"/>
      <c r="B12973" s="86"/>
      <c r="D12973" s="26"/>
      <c r="F12973" s="87" t="str">
        <f t="shared" si="0"/>
        <v/>
      </c>
      <c r="H12973" s="26" t="str">
        <f t="shared" si="1"/>
        <v/>
      </c>
      <c r="I12973" s="26" t="str">
        <f t="shared" si="2"/>
        <v/>
      </c>
      <c r="J12973" s="86">
        <f t="shared" si="3"/>
        <v>0</v>
      </c>
      <c r="R12973" s="26"/>
    </row>
    <row r="12974" spans="1:18" ht="15.75" customHeight="1">
      <c r="A12974" s="26"/>
      <c r="B12974" s="86"/>
      <c r="D12974" s="26"/>
      <c r="F12974" s="87" t="str">
        <f t="shared" si="0"/>
        <v/>
      </c>
      <c r="H12974" s="26" t="str">
        <f t="shared" si="1"/>
        <v/>
      </c>
      <c r="I12974" s="26" t="str">
        <f t="shared" si="2"/>
        <v/>
      </c>
      <c r="J12974" s="86">
        <f t="shared" si="3"/>
        <v>0</v>
      </c>
      <c r="R12974" s="26"/>
    </row>
    <row r="12975" spans="1:18" ht="15.75" customHeight="1">
      <c r="A12975" s="26"/>
      <c r="B12975" s="86"/>
      <c r="D12975" s="26"/>
      <c r="F12975" s="87" t="str">
        <f t="shared" si="0"/>
        <v/>
      </c>
      <c r="H12975" s="26" t="str">
        <f t="shared" si="1"/>
        <v/>
      </c>
      <c r="I12975" s="26" t="str">
        <f t="shared" si="2"/>
        <v/>
      </c>
      <c r="J12975" s="86">
        <f t="shared" si="3"/>
        <v>0</v>
      </c>
      <c r="R12975" s="26"/>
    </row>
    <row r="12976" spans="1:18" ht="15.75" customHeight="1">
      <c r="A12976" s="26"/>
      <c r="B12976" s="86"/>
      <c r="D12976" s="26"/>
      <c r="F12976" s="87" t="str">
        <f t="shared" si="0"/>
        <v/>
      </c>
      <c r="H12976" s="26" t="str">
        <f t="shared" si="1"/>
        <v/>
      </c>
      <c r="I12976" s="26" t="str">
        <f t="shared" si="2"/>
        <v/>
      </c>
      <c r="J12976" s="86">
        <f t="shared" si="3"/>
        <v>0</v>
      </c>
      <c r="R12976" s="26"/>
    </row>
    <row r="12977" spans="1:18" ht="15.75" customHeight="1">
      <c r="A12977" s="26"/>
      <c r="B12977" s="86"/>
      <c r="D12977" s="26"/>
      <c r="F12977" s="87" t="str">
        <f t="shared" si="0"/>
        <v/>
      </c>
      <c r="H12977" s="26" t="str">
        <f t="shared" si="1"/>
        <v/>
      </c>
      <c r="I12977" s="26" t="str">
        <f t="shared" si="2"/>
        <v/>
      </c>
      <c r="J12977" s="86">
        <f t="shared" si="3"/>
        <v>0</v>
      </c>
      <c r="R12977" s="26"/>
    </row>
    <row r="12978" spans="1:18" ht="15.75" customHeight="1">
      <c r="A12978" s="26"/>
      <c r="B12978" s="86"/>
      <c r="D12978" s="26"/>
      <c r="F12978" s="87" t="str">
        <f t="shared" si="0"/>
        <v/>
      </c>
      <c r="H12978" s="26" t="str">
        <f t="shared" si="1"/>
        <v/>
      </c>
      <c r="I12978" s="26" t="str">
        <f t="shared" si="2"/>
        <v/>
      </c>
      <c r="J12978" s="86">
        <f t="shared" si="3"/>
        <v>0</v>
      </c>
      <c r="R12978" s="26"/>
    </row>
    <row r="12979" spans="1:18" ht="15.75" customHeight="1">
      <c r="A12979" s="26"/>
      <c r="B12979" s="86"/>
      <c r="D12979" s="26"/>
      <c r="F12979" s="87" t="str">
        <f t="shared" si="0"/>
        <v/>
      </c>
      <c r="H12979" s="26" t="str">
        <f t="shared" si="1"/>
        <v/>
      </c>
      <c r="I12979" s="26" t="str">
        <f t="shared" si="2"/>
        <v/>
      </c>
      <c r="J12979" s="86">
        <f t="shared" si="3"/>
        <v>0</v>
      </c>
      <c r="R12979" s="26"/>
    </row>
    <row r="12980" spans="1:18" ht="15.75" customHeight="1">
      <c r="A12980" s="26"/>
      <c r="B12980" s="86"/>
      <c r="D12980" s="26"/>
      <c r="F12980" s="87" t="str">
        <f t="shared" si="0"/>
        <v/>
      </c>
      <c r="H12980" s="26" t="str">
        <f t="shared" si="1"/>
        <v/>
      </c>
      <c r="I12980" s="26" t="str">
        <f t="shared" si="2"/>
        <v/>
      </c>
      <c r="J12980" s="86">
        <f t="shared" si="3"/>
        <v>0</v>
      </c>
      <c r="R12980" s="26"/>
    </row>
    <row r="12981" spans="1:18" ht="15.75" customHeight="1">
      <c r="A12981" s="26"/>
      <c r="B12981" s="86"/>
      <c r="D12981" s="26"/>
      <c r="F12981" s="87" t="str">
        <f t="shared" si="0"/>
        <v/>
      </c>
      <c r="H12981" s="26" t="str">
        <f t="shared" si="1"/>
        <v/>
      </c>
      <c r="I12981" s="26" t="str">
        <f t="shared" si="2"/>
        <v/>
      </c>
      <c r="J12981" s="86">
        <f t="shared" si="3"/>
        <v>0</v>
      </c>
      <c r="R12981" s="26"/>
    </row>
    <row r="12982" spans="1:18" ht="15.75" customHeight="1">
      <c r="A12982" s="26"/>
      <c r="B12982" s="86"/>
      <c r="D12982" s="26"/>
      <c r="F12982" s="87" t="str">
        <f t="shared" si="0"/>
        <v/>
      </c>
      <c r="H12982" s="26" t="str">
        <f t="shared" si="1"/>
        <v/>
      </c>
      <c r="I12982" s="26" t="str">
        <f t="shared" si="2"/>
        <v/>
      </c>
      <c r="J12982" s="86">
        <f t="shared" si="3"/>
        <v>0</v>
      </c>
      <c r="R12982" s="26"/>
    </row>
    <row r="12983" spans="1:18" ht="15.75" customHeight="1">
      <c r="A12983" s="26"/>
      <c r="B12983" s="86"/>
      <c r="D12983" s="26"/>
      <c r="F12983" s="87" t="str">
        <f t="shared" si="0"/>
        <v/>
      </c>
      <c r="H12983" s="26" t="str">
        <f t="shared" si="1"/>
        <v/>
      </c>
      <c r="I12983" s="26" t="str">
        <f t="shared" si="2"/>
        <v/>
      </c>
      <c r="J12983" s="86">
        <f t="shared" si="3"/>
        <v>0</v>
      </c>
      <c r="R12983" s="26"/>
    </row>
    <row r="12984" spans="1:18" ht="15.75" customHeight="1">
      <c r="A12984" s="26"/>
      <c r="B12984" s="86"/>
      <c r="D12984" s="26"/>
      <c r="F12984" s="87" t="str">
        <f t="shared" si="0"/>
        <v/>
      </c>
      <c r="H12984" s="26" t="str">
        <f t="shared" si="1"/>
        <v/>
      </c>
      <c r="I12984" s="26" t="str">
        <f t="shared" si="2"/>
        <v/>
      </c>
      <c r="J12984" s="86">
        <f t="shared" si="3"/>
        <v>0</v>
      </c>
      <c r="R12984" s="26"/>
    </row>
    <row r="12985" spans="1:18" ht="15.75" customHeight="1">
      <c r="A12985" s="26"/>
      <c r="B12985" s="86"/>
      <c r="D12985" s="26"/>
      <c r="F12985" s="87" t="str">
        <f t="shared" si="0"/>
        <v/>
      </c>
      <c r="H12985" s="26" t="str">
        <f t="shared" si="1"/>
        <v/>
      </c>
      <c r="I12985" s="26" t="str">
        <f t="shared" si="2"/>
        <v/>
      </c>
      <c r="J12985" s="86">
        <f t="shared" si="3"/>
        <v>0</v>
      </c>
      <c r="R12985" s="26"/>
    </row>
    <row r="12986" spans="1:18" ht="15.75" customHeight="1">
      <c r="A12986" s="26"/>
      <c r="B12986" s="86"/>
      <c r="D12986" s="26"/>
      <c r="F12986" s="87" t="str">
        <f t="shared" si="0"/>
        <v/>
      </c>
      <c r="H12986" s="26" t="str">
        <f t="shared" si="1"/>
        <v/>
      </c>
      <c r="I12986" s="26" t="str">
        <f t="shared" si="2"/>
        <v/>
      </c>
      <c r="J12986" s="86">
        <f t="shared" si="3"/>
        <v>0</v>
      </c>
      <c r="R12986" s="26"/>
    </row>
    <row r="12987" spans="1:18" ht="15.75" customHeight="1">
      <c r="A12987" s="26"/>
      <c r="B12987" s="86"/>
      <c r="D12987" s="26"/>
      <c r="F12987" s="87" t="str">
        <f t="shared" si="0"/>
        <v/>
      </c>
      <c r="H12987" s="26" t="str">
        <f t="shared" si="1"/>
        <v/>
      </c>
      <c r="I12987" s="26" t="str">
        <f t="shared" si="2"/>
        <v/>
      </c>
      <c r="J12987" s="86">
        <f t="shared" si="3"/>
        <v>0</v>
      </c>
      <c r="R12987" s="26"/>
    </row>
    <row r="12988" spans="1:18" ht="15.75" customHeight="1">
      <c r="A12988" s="26"/>
      <c r="B12988" s="86"/>
      <c r="D12988" s="26"/>
      <c r="F12988" s="87" t="str">
        <f t="shared" si="0"/>
        <v/>
      </c>
      <c r="H12988" s="26" t="str">
        <f t="shared" si="1"/>
        <v/>
      </c>
      <c r="I12988" s="26" t="str">
        <f t="shared" si="2"/>
        <v/>
      </c>
      <c r="J12988" s="86">
        <f t="shared" si="3"/>
        <v>0</v>
      </c>
      <c r="R12988" s="26"/>
    </row>
    <row r="12989" spans="1:18" ht="15.75" customHeight="1">
      <c r="A12989" s="26"/>
      <c r="B12989" s="86"/>
      <c r="D12989" s="26"/>
      <c r="F12989" s="87" t="str">
        <f t="shared" si="0"/>
        <v/>
      </c>
      <c r="H12989" s="26" t="str">
        <f t="shared" si="1"/>
        <v/>
      </c>
      <c r="I12989" s="26" t="str">
        <f t="shared" si="2"/>
        <v/>
      </c>
      <c r="J12989" s="86">
        <f t="shared" si="3"/>
        <v>0</v>
      </c>
      <c r="R12989" s="26"/>
    </row>
    <row r="12990" spans="1:18" ht="15.75" customHeight="1">
      <c r="A12990" s="26"/>
      <c r="B12990" s="86"/>
      <c r="D12990" s="26"/>
      <c r="F12990" s="87" t="str">
        <f t="shared" si="0"/>
        <v/>
      </c>
      <c r="H12990" s="26" t="str">
        <f t="shared" si="1"/>
        <v/>
      </c>
      <c r="I12990" s="26" t="str">
        <f t="shared" si="2"/>
        <v/>
      </c>
      <c r="J12990" s="86">
        <f t="shared" si="3"/>
        <v>0</v>
      </c>
      <c r="R12990" s="26"/>
    </row>
    <row r="12991" spans="1:18" ht="15.75" customHeight="1">
      <c r="A12991" s="26"/>
      <c r="B12991" s="86"/>
      <c r="D12991" s="26"/>
      <c r="F12991" s="87" t="str">
        <f t="shared" si="0"/>
        <v/>
      </c>
      <c r="H12991" s="26" t="str">
        <f t="shared" si="1"/>
        <v/>
      </c>
      <c r="I12991" s="26" t="str">
        <f t="shared" si="2"/>
        <v/>
      </c>
      <c r="J12991" s="86">
        <f t="shared" si="3"/>
        <v>0</v>
      </c>
      <c r="R12991" s="26"/>
    </row>
    <row r="12992" spans="1:18" ht="15.75" customHeight="1">
      <c r="A12992" s="26"/>
      <c r="B12992" s="86"/>
      <c r="D12992" s="26"/>
      <c r="F12992" s="87" t="str">
        <f t="shared" si="0"/>
        <v/>
      </c>
      <c r="H12992" s="26" t="str">
        <f t="shared" si="1"/>
        <v/>
      </c>
      <c r="I12992" s="26" t="str">
        <f t="shared" si="2"/>
        <v/>
      </c>
      <c r="J12992" s="86">
        <f t="shared" si="3"/>
        <v>0</v>
      </c>
      <c r="R12992" s="26"/>
    </row>
    <row r="12993" spans="1:18" ht="15.75" customHeight="1">
      <c r="A12993" s="26"/>
      <c r="B12993" s="86"/>
      <c r="D12993" s="26"/>
      <c r="F12993" s="87" t="str">
        <f t="shared" si="0"/>
        <v/>
      </c>
      <c r="H12993" s="26" t="str">
        <f t="shared" si="1"/>
        <v/>
      </c>
      <c r="I12993" s="26" t="str">
        <f t="shared" si="2"/>
        <v/>
      </c>
      <c r="J12993" s="86">
        <f t="shared" si="3"/>
        <v>0</v>
      </c>
      <c r="R12993" s="26"/>
    </row>
    <row r="12994" spans="1:18" ht="15.75" customHeight="1">
      <c r="A12994" s="26"/>
      <c r="B12994" s="86"/>
      <c r="D12994" s="26"/>
      <c r="F12994" s="87" t="str">
        <f t="shared" si="0"/>
        <v/>
      </c>
      <c r="H12994" s="26" t="str">
        <f t="shared" si="1"/>
        <v/>
      </c>
      <c r="I12994" s="26" t="str">
        <f t="shared" si="2"/>
        <v/>
      </c>
      <c r="J12994" s="86">
        <f t="shared" si="3"/>
        <v>0</v>
      </c>
      <c r="R12994" s="26"/>
    </row>
    <row r="12995" spans="1:18" ht="15.75" customHeight="1">
      <c r="A12995" s="26"/>
      <c r="B12995" s="86"/>
      <c r="D12995" s="26"/>
      <c r="F12995" s="87" t="str">
        <f t="shared" si="0"/>
        <v/>
      </c>
      <c r="H12995" s="26" t="str">
        <f t="shared" si="1"/>
        <v/>
      </c>
      <c r="I12995" s="26" t="str">
        <f t="shared" si="2"/>
        <v/>
      </c>
      <c r="J12995" s="86">
        <f t="shared" si="3"/>
        <v>0</v>
      </c>
      <c r="R12995" s="26"/>
    </row>
    <row r="12996" spans="1:18" ht="15.75" customHeight="1">
      <c r="A12996" s="26"/>
      <c r="B12996" s="86"/>
      <c r="D12996" s="26"/>
      <c r="F12996" s="87" t="str">
        <f t="shared" si="0"/>
        <v/>
      </c>
      <c r="H12996" s="26" t="str">
        <f t="shared" si="1"/>
        <v/>
      </c>
      <c r="I12996" s="26" t="str">
        <f t="shared" si="2"/>
        <v/>
      </c>
      <c r="J12996" s="86">
        <f t="shared" si="3"/>
        <v>0</v>
      </c>
      <c r="R12996" s="26"/>
    </row>
    <row r="12997" spans="1:18" ht="15.75" customHeight="1">
      <c r="A12997" s="26"/>
      <c r="B12997" s="86"/>
      <c r="D12997" s="26"/>
      <c r="F12997" s="87" t="str">
        <f t="shared" si="0"/>
        <v/>
      </c>
      <c r="H12997" s="26" t="str">
        <f t="shared" si="1"/>
        <v/>
      </c>
      <c r="I12997" s="26" t="str">
        <f t="shared" si="2"/>
        <v/>
      </c>
      <c r="J12997" s="86">
        <f t="shared" si="3"/>
        <v>0</v>
      </c>
      <c r="R12997" s="26"/>
    </row>
    <row r="12998" spans="1:18" ht="15.75" customHeight="1">
      <c r="A12998" s="26"/>
      <c r="B12998" s="86"/>
      <c r="D12998" s="26"/>
      <c r="F12998" s="87" t="str">
        <f t="shared" si="0"/>
        <v/>
      </c>
      <c r="H12998" s="26" t="str">
        <f t="shared" si="1"/>
        <v/>
      </c>
      <c r="I12998" s="26" t="str">
        <f t="shared" si="2"/>
        <v/>
      </c>
      <c r="J12998" s="86">
        <f t="shared" si="3"/>
        <v>0</v>
      </c>
      <c r="R12998" s="26"/>
    </row>
    <row r="12999" spans="1:18" ht="15.75" customHeight="1">
      <c r="A12999" s="26"/>
      <c r="B12999" s="86"/>
      <c r="D12999" s="26"/>
      <c r="F12999" s="87" t="str">
        <f t="shared" si="0"/>
        <v/>
      </c>
      <c r="H12999" s="26" t="str">
        <f t="shared" si="1"/>
        <v/>
      </c>
      <c r="I12999" s="26" t="str">
        <f t="shared" si="2"/>
        <v/>
      </c>
      <c r="J12999" s="86">
        <f t="shared" si="3"/>
        <v>0</v>
      </c>
      <c r="R12999" s="26"/>
    </row>
    <row r="13000" spans="1:18" ht="15.75" customHeight="1">
      <c r="A13000" s="26"/>
      <c r="B13000" s="86"/>
      <c r="D13000" s="26"/>
      <c r="F13000" s="87" t="str">
        <f t="shared" si="0"/>
        <v/>
      </c>
      <c r="H13000" s="26" t="str">
        <f t="shared" si="1"/>
        <v/>
      </c>
      <c r="I13000" s="26" t="str">
        <f t="shared" si="2"/>
        <v/>
      </c>
      <c r="J13000" s="86">
        <f t="shared" si="3"/>
        <v>0</v>
      </c>
      <c r="R13000" s="26"/>
    </row>
    <row r="13001" spans="1:18" ht="15.75" customHeight="1">
      <c r="A13001" s="26"/>
      <c r="B13001" s="86"/>
      <c r="D13001" s="26"/>
      <c r="F13001" s="87" t="str">
        <f t="shared" si="0"/>
        <v/>
      </c>
      <c r="H13001" s="26" t="str">
        <f t="shared" si="1"/>
        <v/>
      </c>
      <c r="I13001" s="26" t="str">
        <f t="shared" si="2"/>
        <v/>
      </c>
      <c r="J13001" s="86">
        <f t="shared" si="3"/>
        <v>0</v>
      </c>
      <c r="R13001" s="26"/>
    </row>
    <row r="13002" spans="1:18" ht="15.75" customHeight="1">
      <c r="A13002" s="26"/>
      <c r="B13002" s="86"/>
      <c r="D13002" s="26"/>
      <c r="F13002" s="87" t="str">
        <f t="shared" si="0"/>
        <v/>
      </c>
      <c r="H13002" s="26" t="str">
        <f t="shared" si="1"/>
        <v/>
      </c>
      <c r="I13002" s="26" t="str">
        <f t="shared" si="2"/>
        <v/>
      </c>
      <c r="J13002" s="86">
        <f t="shared" si="3"/>
        <v>0</v>
      </c>
      <c r="R13002" s="26"/>
    </row>
    <row r="13003" spans="1:18" ht="15.75" customHeight="1">
      <c r="A13003" s="26"/>
      <c r="B13003" s="86"/>
      <c r="D13003" s="26"/>
      <c r="F13003" s="87" t="str">
        <f t="shared" si="0"/>
        <v/>
      </c>
      <c r="H13003" s="26" t="str">
        <f t="shared" si="1"/>
        <v/>
      </c>
      <c r="I13003" s="26" t="str">
        <f t="shared" si="2"/>
        <v/>
      </c>
      <c r="J13003" s="86">
        <f t="shared" si="3"/>
        <v>0</v>
      </c>
      <c r="R13003" s="26"/>
    </row>
    <row r="13004" spans="1:18" ht="15.75" customHeight="1">
      <c r="A13004" s="26"/>
      <c r="B13004" s="86"/>
      <c r="D13004" s="26"/>
      <c r="F13004" s="87" t="str">
        <f t="shared" si="0"/>
        <v/>
      </c>
      <c r="H13004" s="26" t="str">
        <f t="shared" si="1"/>
        <v/>
      </c>
      <c r="I13004" s="26" t="str">
        <f t="shared" si="2"/>
        <v/>
      </c>
      <c r="J13004" s="86">
        <f t="shared" si="3"/>
        <v>0</v>
      </c>
      <c r="R13004" s="26"/>
    </row>
    <row r="13005" spans="1:18" ht="15.75" customHeight="1">
      <c r="A13005" s="26"/>
      <c r="B13005" s="86"/>
      <c r="D13005" s="26"/>
      <c r="F13005" s="87" t="str">
        <f t="shared" si="0"/>
        <v/>
      </c>
      <c r="H13005" s="26" t="str">
        <f t="shared" si="1"/>
        <v/>
      </c>
      <c r="I13005" s="26" t="str">
        <f t="shared" si="2"/>
        <v/>
      </c>
      <c r="J13005" s="86">
        <f t="shared" si="3"/>
        <v>0</v>
      </c>
      <c r="R13005" s="26"/>
    </row>
    <row r="13006" spans="1:18" ht="15.75" customHeight="1">
      <c r="A13006" s="26"/>
      <c r="B13006" s="86"/>
      <c r="D13006" s="26"/>
      <c r="F13006" s="87" t="str">
        <f t="shared" si="0"/>
        <v/>
      </c>
      <c r="H13006" s="26" t="str">
        <f t="shared" si="1"/>
        <v/>
      </c>
      <c r="I13006" s="26" t="str">
        <f t="shared" si="2"/>
        <v/>
      </c>
      <c r="J13006" s="86">
        <f t="shared" si="3"/>
        <v>0</v>
      </c>
      <c r="R13006" s="26"/>
    </row>
    <row r="13007" spans="1:18" ht="15.75" customHeight="1">
      <c r="A13007" s="26"/>
      <c r="B13007" s="86"/>
      <c r="D13007" s="26"/>
      <c r="F13007" s="87" t="str">
        <f t="shared" si="0"/>
        <v/>
      </c>
      <c r="H13007" s="26" t="str">
        <f t="shared" si="1"/>
        <v/>
      </c>
      <c r="I13007" s="26" t="str">
        <f t="shared" si="2"/>
        <v/>
      </c>
      <c r="J13007" s="86">
        <f t="shared" si="3"/>
        <v>0</v>
      </c>
      <c r="R13007" s="26"/>
    </row>
    <row r="13008" spans="1:18" ht="15.75" customHeight="1">
      <c r="A13008" s="26"/>
      <c r="B13008" s="86"/>
      <c r="D13008" s="26"/>
      <c r="F13008" s="87" t="str">
        <f t="shared" si="0"/>
        <v/>
      </c>
      <c r="H13008" s="26" t="str">
        <f t="shared" si="1"/>
        <v/>
      </c>
      <c r="I13008" s="26" t="str">
        <f t="shared" si="2"/>
        <v/>
      </c>
      <c r="J13008" s="86">
        <f t="shared" si="3"/>
        <v>0</v>
      </c>
      <c r="R13008" s="26"/>
    </row>
    <row r="13009" spans="1:18" ht="15.75" customHeight="1">
      <c r="A13009" s="26"/>
      <c r="B13009" s="86"/>
      <c r="D13009" s="26"/>
      <c r="F13009" s="87" t="str">
        <f t="shared" si="0"/>
        <v/>
      </c>
      <c r="H13009" s="26" t="str">
        <f t="shared" si="1"/>
        <v/>
      </c>
      <c r="I13009" s="26" t="str">
        <f t="shared" si="2"/>
        <v/>
      </c>
      <c r="J13009" s="86">
        <f t="shared" si="3"/>
        <v>0</v>
      </c>
      <c r="R13009" s="26"/>
    </row>
    <row r="13010" spans="1:18" ht="15.75" customHeight="1">
      <c r="A13010" s="26"/>
      <c r="B13010" s="86"/>
      <c r="D13010" s="26"/>
      <c r="F13010" s="87" t="str">
        <f t="shared" si="0"/>
        <v/>
      </c>
      <c r="H13010" s="26" t="str">
        <f t="shared" si="1"/>
        <v/>
      </c>
      <c r="I13010" s="26" t="str">
        <f t="shared" si="2"/>
        <v/>
      </c>
      <c r="J13010" s="86">
        <f t="shared" si="3"/>
        <v>0</v>
      </c>
      <c r="R13010" s="26"/>
    </row>
    <row r="13011" spans="1:18" ht="15.75" customHeight="1">
      <c r="A13011" s="26"/>
      <c r="B13011" s="86"/>
      <c r="D13011" s="26"/>
      <c r="F13011" s="87" t="str">
        <f t="shared" si="0"/>
        <v/>
      </c>
      <c r="H13011" s="26" t="str">
        <f t="shared" si="1"/>
        <v/>
      </c>
      <c r="I13011" s="26" t="str">
        <f t="shared" si="2"/>
        <v/>
      </c>
      <c r="J13011" s="86">
        <f t="shared" si="3"/>
        <v>0</v>
      </c>
      <c r="R13011" s="26"/>
    </row>
    <row r="13012" spans="1:18" ht="15.75" customHeight="1">
      <c r="A13012" s="26"/>
      <c r="B13012" s="86"/>
      <c r="D13012" s="26"/>
      <c r="F13012" s="87" t="str">
        <f t="shared" si="0"/>
        <v/>
      </c>
      <c r="H13012" s="26" t="str">
        <f t="shared" si="1"/>
        <v/>
      </c>
      <c r="I13012" s="26" t="str">
        <f t="shared" si="2"/>
        <v/>
      </c>
      <c r="J13012" s="86">
        <f t="shared" si="3"/>
        <v>0</v>
      </c>
      <c r="R13012" s="26"/>
    </row>
    <row r="13013" spans="1:18" ht="15.75" customHeight="1">
      <c r="A13013" s="26"/>
      <c r="B13013" s="86"/>
      <c r="D13013" s="26"/>
      <c r="F13013" s="87" t="str">
        <f t="shared" si="0"/>
        <v/>
      </c>
      <c r="H13013" s="26" t="str">
        <f t="shared" si="1"/>
        <v/>
      </c>
      <c r="I13013" s="26" t="str">
        <f t="shared" si="2"/>
        <v/>
      </c>
      <c r="J13013" s="86">
        <f t="shared" si="3"/>
        <v>0</v>
      </c>
      <c r="R13013" s="26"/>
    </row>
    <row r="13014" spans="1:18" ht="15.75" customHeight="1">
      <c r="A13014" s="26"/>
      <c r="B13014" s="86"/>
      <c r="D13014" s="26"/>
      <c r="F13014" s="87" t="str">
        <f t="shared" si="0"/>
        <v/>
      </c>
      <c r="H13014" s="26" t="str">
        <f t="shared" si="1"/>
        <v/>
      </c>
      <c r="I13014" s="26" t="str">
        <f t="shared" si="2"/>
        <v/>
      </c>
      <c r="J13014" s="86">
        <f t="shared" si="3"/>
        <v>0</v>
      </c>
      <c r="R13014" s="26"/>
    </row>
    <row r="13015" spans="1:18" ht="15.75" customHeight="1">
      <c r="A13015" s="26"/>
      <c r="B13015" s="86"/>
      <c r="D13015" s="26"/>
      <c r="F13015" s="87" t="str">
        <f t="shared" si="0"/>
        <v/>
      </c>
      <c r="H13015" s="26" t="str">
        <f t="shared" si="1"/>
        <v/>
      </c>
      <c r="I13015" s="26" t="str">
        <f t="shared" si="2"/>
        <v/>
      </c>
      <c r="J13015" s="86">
        <f t="shared" si="3"/>
        <v>0</v>
      </c>
      <c r="R13015" s="26"/>
    </row>
    <row r="13016" spans="1:18" ht="15.75" customHeight="1">
      <c r="A13016" s="26"/>
      <c r="B13016" s="86"/>
      <c r="D13016" s="26"/>
      <c r="F13016" s="87" t="str">
        <f t="shared" si="0"/>
        <v/>
      </c>
      <c r="H13016" s="26" t="str">
        <f t="shared" si="1"/>
        <v/>
      </c>
      <c r="I13016" s="26" t="str">
        <f t="shared" si="2"/>
        <v/>
      </c>
      <c r="J13016" s="86">
        <f t="shared" si="3"/>
        <v>0</v>
      </c>
      <c r="R13016" s="26"/>
    </row>
    <row r="13017" spans="1:18" ht="15.75" customHeight="1">
      <c r="A13017" s="26"/>
      <c r="B13017" s="86"/>
      <c r="D13017" s="26"/>
      <c r="F13017" s="87" t="str">
        <f t="shared" si="0"/>
        <v/>
      </c>
      <c r="H13017" s="26" t="str">
        <f t="shared" si="1"/>
        <v/>
      </c>
      <c r="I13017" s="26" t="str">
        <f t="shared" si="2"/>
        <v/>
      </c>
      <c r="J13017" s="86">
        <f t="shared" si="3"/>
        <v>0</v>
      </c>
      <c r="R13017" s="26"/>
    </row>
    <row r="13018" spans="1:18" ht="15.75" customHeight="1">
      <c r="A13018" s="26"/>
      <c r="B13018" s="86"/>
      <c r="D13018" s="26"/>
      <c r="F13018" s="87" t="str">
        <f t="shared" si="0"/>
        <v/>
      </c>
      <c r="H13018" s="26" t="str">
        <f t="shared" si="1"/>
        <v/>
      </c>
      <c r="I13018" s="26" t="str">
        <f t="shared" si="2"/>
        <v/>
      </c>
      <c r="J13018" s="86">
        <f t="shared" si="3"/>
        <v>0</v>
      </c>
      <c r="R13018" s="26"/>
    </row>
    <row r="13019" spans="1:18" ht="15.75" customHeight="1">
      <c r="A13019" s="26"/>
      <c r="B13019" s="86"/>
      <c r="D13019" s="26"/>
      <c r="F13019" s="87" t="str">
        <f t="shared" si="0"/>
        <v/>
      </c>
      <c r="H13019" s="26" t="str">
        <f t="shared" si="1"/>
        <v/>
      </c>
      <c r="I13019" s="26" t="str">
        <f t="shared" si="2"/>
        <v/>
      </c>
      <c r="J13019" s="86">
        <f t="shared" si="3"/>
        <v>0</v>
      </c>
      <c r="R13019" s="26"/>
    </row>
    <row r="13020" spans="1:18" ht="15.75" customHeight="1">
      <c r="A13020" s="26"/>
      <c r="B13020" s="86"/>
      <c r="D13020" s="26"/>
      <c r="F13020" s="87" t="str">
        <f t="shared" si="0"/>
        <v/>
      </c>
      <c r="H13020" s="26" t="str">
        <f t="shared" si="1"/>
        <v/>
      </c>
      <c r="I13020" s="26" t="str">
        <f t="shared" si="2"/>
        <v/>
      </c>
      <c r="J13020" s="86">
        <f t="shared" si="3"/>
        <v>0</v>
      </c>
      <c r="R13020" s="26"/>
    </row>
    <row r="13021" spans="1:18" ht="15.75" customHeight="1">
      <c r="A13021" s="26"/>
      <c r="B13021" s="86"/>
      <c r="D13021" s="26"/>
      <c r="F13021" s="87" t="str">
        <f t="shared" si="0"/>
        <v/>
      </c>
      <c r="H13021" s="26" t="str">
        <f t="shared" si="1"/>
        <v/>
      </c>
      <c r="I13021" s="26" t="str">
        <f t="shared" si="2"/>
        <v/>
      </c>
      <c r="J13021" s="86">
        <f t="shared" si="3"/>
        <v>0</v>
      </c>
      <c r="R13021" s="26"/>
    </row>
    <row r="13022" spans="1:18" ht="15.75" customHeight="1">
      <c r="A13022" s="26"/>
      <c r="B13022" s="86"/>
      <c r="D13022" s="26"/>
      <c r="F13022" s="87" t="str">
        <f t="shared" si="0"/>
        <v/>
      </c>
      <c r="H13022" s="26" t="str">
        <f t="shared" si="1"/>
        <v/>
      </c>
      <c r="I13022" s="26" t="str">
        <f t="shared" si="2"/>
        <v/>
      </c>
      <c r="J13022" s="86">
        <f t="shared" si="3"/>
        <v>0</v>
      </c>
      <c r="R13022" s="26"/>
    </row>
    <row r="13023" spans="1:18" ht="15.75" customHeight="1">
      <c r="A13023" s="26"/>
      <c r="B13023" s="86"/>
      <c r="D13023" s="26"/>
      <c r="F13023" s="87" t="str">
        <f t="shared" si="0"/>
        <v/>
      </c>
      <c r="H13023" s="26" t="str">
        <f t="shared" si="1"/>
        <v/>
      </c>
      <c r="I13023" s="26" t="str">
        <f t="shared" si="2"/>
        <v/>
      </c>
      <c r="J13023" s="86">
        <f t="shared" si="3"/>
        <v>0</v>
      </c>
      <c r="R13023" s="26"/>
    </row>
    <row r="13024" spans="1:18" ht="15.75" customHeight="1">
      <c r="A13024" s="26"/>
      <c r="B13024" s="86"/>
      <c r="D13024" s="26"/>
      <c r="F13024" s="87" t="str">
        <f t="shared" si="0"/>
        <v/>
      </c>
      <c r="H13024" s="26" t="str">
        <f t="shared" si="1"/>
        <v/>
      </c>
      <c r="I13024" s="26" t="str">
        <f t="shared" si="2"/>
        <v/>
      </c>
      <c r="J13024" s="86">
        <f t="shared" si="3"/>
        <v>0</v>
      </c>
      <c r="R13024" s="26"/>
    </row>
    <row r="13025" spans="1:18" ht="15.75" customHeight="1">
      <c r="A13025" s="26"/>
      <c r="B13025" s="86"/>
      <c r="D13025" s="26"/>
      <c r="F13025" s="87" t="str">
        <f t="shared" si="0"/>
        <v/>
      </c>
      <c r="H13025" s="26" t="str">
        <f t="shared" si="1"/>
        <v/>
      </c>
      <c r="I13025" s="26" t="str">
        <f t="shared" si="2"/>
        <v/>
      </c>
      <c r="J13025" s="86">
        <f t="shared" si="3"/>
        <v>0</v>
      </c>
      <c r="R13025" s="26"/>
    </row>
    <row r="13026" spans="1:18" ht="15.75" customHeight="1">
      <c r="A13026" s="26"/>
      <c r="B13026" s="86"/>
      <c r="D13026" s="26"/>
      <c r="F13026" s="87" t="str">
        <f t="shared" si="0"/>
        <v/>
      </c>
      <c r="H13026" s="26" t="str">
        <f t="shared" si="1"/>
        <v/>
      </c>
      <c r="I13026" s="26" t="str">
        <f t="shared" si="2"/>
        <v/>
      </c>
      <c r="J13026" s="86">
        <f t="shared" si="3"/>
        <v>0</v>
      </c>
      <c r="R13026" s="26"/>
    </row>
    <row r="13027" spans="1:18" ht="15.75" customHeight="1">
      <c r="A13027" s="26"/>
      <c r="B13027" s="86"/>
      <c r="D13027" s="26"/>
      <c r="F13027" s="87" t="str">
        <f t="shared" si="0"/>
        <v/>
      </c>
      <c r="H13027" s="26" t="str">
        <f t="shared" si="1"/>
        <v/>
      </c>
      <c r="I13027" s="26" t="str">
        <f t="shared" si="2"/>
        <v/>
      </c>
      <c r="J13027" s="86">
        <f t="shared" si="3"/>
        <v>0</v>
      </c>
      <c r="R13027" s="26"/>
    </row>
    <row r="13028" spans="1:18" ht="15.75" customHeight="1">
      <c r="A13028" s="26"/>
      <c r="B13028" s="86"/>
      <c r="D13028" s="26"/>
      <c r="F13028" s="87" t="str">
        <f t="shared" si="0"/>
        <v/>
      </c>
      <c r="H13028" s="26" t="str">
        <f t="shared" si="1"/>
        <v/>
      </c>
      <c r="I13028" s="26" t="str">
        <f t="shared" si="2"/>
        <v/>
      </c>
      <c r="J13028" s="86">
        <f t="shared" si="3"/>
        <v>0</v>
      </c>
      <c r="R13028" s="26"/>
    </row>
    <row r="13029" spans="1:18" ht="15.75" customHeight="1">
      <c r="A13029" s="26"/>
      <c r="B13029" s="86"/>
      <c r="D13029" s="26"/>
      <c r="F13029" s="87" t="str">
        <f t="shared" si="0"/>
        <v/>
      </c>
      <c r="H13029" s="26" t="str">
        <f t="shared" si="1"/>
        <v/>
      </c>
      <c r="I13029" s="26" t="str">
        <f t="shared" si="2"/>
        <v/>
      </c>
      <c r="J13029" s="86">
        <f t="shared" si="3"/>
        <v>0</v>
      </c>
      <c r="R13029" s="26"/>
    </row>
    <row r="13030" spans="1:18" ht="15.75" customHeight="1">
      <c r="A13030" s="26"/>
      <c r="B13030" s="86"/>
      <c r="D13030" s="26"/>
      <c r="F13030" s="87" t="str">
        <f t="shared" si="0"/>
        <v/>
      </c>
      <c r="H13030" s="26" t="str">
        <f t="shared" si="1"/>
        <v/>
      </c>
      <c r="I13030" s="26" t="str">
        <f t="shared" si="2"/>
        <v/>
      </c>
      <c r="J13030" s="86">
        <f t="shared" si="3"/>
        <v>0</v>
      </c>
      <c r="R13030" s="26"/>
    </row>
    <row r="13031" spans="1:18" ht="15.75" customHeight="1">
      <c r="A13031" s="26"/>
      <c r="B13031" s="86"/>
      <c r="D13031" s="26"/>
      <c r="F13031" s="87" t="str">
        <f t="shared" si="0"/>
        <v/>
      </c>
      <c r="H13031" s="26" t="str">
        <f t="shared" si="1"/>
        <v/>
      </c>
      <c r="I13031" s="26" t="str">
        <f t="shared" si="2"/>
        <v/>
      </c>
      <c r="J13031" s="86">
        <f t="shared" si="3"/>
        <v>0</v>
      </c>
      <c r="R13031" s="26"/>
    </row>
    <row r="13032" spans="1:18" ht="15.75" customHeight="1">
      <c r="A13032" s="26"/>
      <c r="B13032" s="86"/>
      <c r="D13032" s="26"/>
      <c r="F13032" s="87" t="str">
        <f t="shared" si="0"/>
        <v/>
      </c>
      <c r="H13032" s="26" t="str">
        <f t="shared" si="1"/>
        <v/>
      </c>
      <c r="I13032" s="26" t="str">
        <f t="shared" si="2"/>
        <v/>
      </c>
      <c r="J13032" s="86">
        <f t="shared" si="3"/>
        <v>0</v>
      </c>
      <c r="R13032" s="26"/>
    </row>
    <row r="13033" spans="1:18" ht="15.75" customHeight="1">
      <c r="A13033" s="26"/>
      <c r="B13033" s="86"/>
      <c r="D13033" s="26"/>
      <c r="F13033" s="87" t="str">
        <f t="shared" si="0"/>
        <v/>
      </c>
      <c r="H13033" s="26" t="str">
        <f t="shared" si="1"/>
        <v/>
      </c>
      <c r="I13033" s="26" t="str">
        <f t="shared" si="2"/>
        <v/>
      </c>
      <c r="J13033" s="86">
        <f t="shared" si="3"/>
        <v>0</v>
      </c>
      <c r="R13033" s="26"/>
    </row>
    <row r="13034" spans="1:18" ht="15.75" customHeight="1">
      <c r="A13034" s="26"/>
      <c r="B13034" s="86"/>
      <c r="D13034" s="26"/>
      <c r="F13034" s="87" t="str">
        <f t="shared" si="0"/>
        <v/>
      </c>
      <c r="H13034" s="26" t="str">
        <f t="shared" si="1"/>
        <v/>
      </c>
      <c r="I13034" s="26" t="str">
        <f t="shared" si="2"/>
        <v/>
      </c>
      <c r="J13034" s="86">
        <f t="shared" si="3"/>
        <v>0</v>
      </c>
      <c r="R13034" s="26"/>
    </row>
    <row r="13035" spans="1:18" ht="15.75" customHeight="1">
      <c r="A13035" s="26"/>
      <c r="B13035" s="86"/>
      <c r="D13035" s="26"/>
      <c r="F13035" s="87" t="str">
        <f t="shared" si="0"/>
        <v/>
      </c>
      <c r="H13035" s="26" t="str">
        <f t="shared" si="1"/>
        <v/>
      </c>
      <c r="I13035" s="26" t="str">
        <f t="shared" si="2"/>
        <v/>
      </c>
      <c r="J13035" s="86">
        <f t="shared" si="3"/>
        <v>0</v>
      </c>
      <c r="R13035" s="26"/>
    </row>
    <row r="13036" spans="1:18" ht="15.75" customHeight="1">
      <c r="A13036" s="26"/>
      <c r="B13036" s="86"/>
      <c r="D13036" s="26"/>
      <c r="F13036" s="87" t="str">
        <f t="shared" si="0"/>
        <v/>
      </c>
      <c r="H13036" s="26" t="str">
        <f t="shared" si="1"/>
        <v/>
      </c>
      <c r="I13036" s="26" t="str">
        <f t="shared" si="2"/>
        <v/>
      </c>
      <c r="J13036" s="86">
        <f t="shared" si="3"/>
        <v>0</v>
      </c>
      <c r="R13036" s="26"/>
    </row>
    <row r="13037" spans="1:18" ht="15.75" customHeight="1">
      <c r="A13037" s="26"/>
      <c r="B13037" s="86"/>
      <c r="D13037" s="26"/>
      <c r="F13037" s="87" t="str">
        <f t="shared" si="0"/>
        <v/>
      </c>
      <c r="H13037" s="26" t="str">
        <f t="shared" si="1"/>
        <v/>
      </c>
      <c r="I13037" s="26" t="str">
        <f t="shared" si="2"/>
        <v/>
      </c>
      <c r="J13037" s="86">
        <f t="shared" si="3"/>
        <v>0</v>
      </c>
      <c r="R13037" s="26"/>
    </row>
    <row r="13038" spans="1:18" ht="15.75" customHeight="1">
      <c r="A13038" s="26"/>
      <c r="B13038" s="86"/>
      <c r="D13038" s="26"/>
      <c r="F13038" s="87" t="str">
        <f t="shared" si="0"/>
        <v/>
      </c>
      <c r="H13038" s="26" t="str">
        <f t="shared" si="1"/>
        <v/>
      </c>
      <c r="I13038" s="26" t="str">
        <f t="shared" si="2"/>
        <v/>
      </c>
      <c r="J13038" s="86">
        <f t="shared" si="3"/>
        <v>0</v>
      </c>
      <c r="R13038" s="26"/>
    </row>
    <row r="13039" spans="1:18" ht="15.75" customHeight="1">
      <c r="A13039" s="26"/>
      <c r="B13039" s="86"/>
      <c r="D13039" s="26"/>
      <c r="F13039" s="87" t="str">
        <f t="shared" si="0"/>
        <v/>
      </c>
      <c r="H13039" s="26" t="str">
        <f t="shared" si="1"/>
        <v/>
      </c>
      <c r="I13039" s="26" t="str">
        <f t="shared" si="2"/>
        <v/>
      </c>
      <c r="J13039" s="86">
        <f t="shared" si="3"/>
        <v>0</v>
      </c>
      <c r="R13039" s="26"/>
    </row>
    <row r="13040" spans="1:18" ht="15.75" customHeight="1">
      <c r="A13040" s="26"/>
      <c r="B13040" s="86"/>
      <c r="D13040" s="26"/>
      <c r="F13040" s="87" t="str">
        <f t="shared" si="0"/>
        <v/>
      </c>
      <c r="H13040" s="26" t="str">
        <f t="shared" si="1"/>
        <v/>
      </c>
      <c r="I13040" s="26" t="str">
        <f t="shared" si="2"/>
        <v/>
      </c>
      <c r="J13040" s="86">
        <f t="shared" si="3"/>
        <v>0</v>
      </c>
      <c r="R13040" s="26"/>
    </row>
    <row r="13041" spans="1:18" ht="15.75" customHeight="1">
      <c r="A13041" s="26"/>
      <c r="B13041" s="86"/>
      <c r="D13041" s="26"/>
      <c r="F13041" s="87" t="str">
        <f t="shared" si="0"/>
        <v/>
      </c>
      <c r="H13041" s="26" t="str">
        <f t="shared" si="1"/>
        <v/>
      </c>
      <c r="I13041" s="26" t="str">
        <f t="shared" si="2"/>
        <v/>
      </c>
      <c r="J13041" s="86">
        <f t="shared" si="3"/>
        <v>0</v>
      </c>
      <c r="R13041" s="26"/>
    </row>
    <row r="13042" spans="1:18" ht="15.75" customHeight="1">
      <c r="A13042" s="26"/>
      <c r="B13042" s="86"/>
      <c r="D13042" s="26"/>
      <c r="F13042" s="87" t="str">
        <f t="shared" si="0"/>
        <v/>
      </c>
      <c r="H13042" s="26" t="str">
        <f t="shared" si="1"/>
        <v/>
      </c>
      <c r="I13042" s="26" t="str">
        <f t="shared" si="2"/>
        <v/>
      </c>
      <c r="J13042" s="86">
        <f t="shared" si="3"/>
        <v>0</v>
      </c>
      <c r="R13042" s="26"/>
    </row>
    <row r="13043" spans="1:18" ht="15.75" customHeight="1">
      <c r="A13043" s="26"/>
      <c r="B13043" s="86"/>
      <c r="D13043" s="26"/>
      <c r="F13043" s="87" t="str">
        <f t="shared" si="0"/>
        <v/>
      </c>
      <c r="H13043" s="26" t="str">
        <f t="shared" si="1"/>
        <v/>
      </c>
      <c r="I13043" s="26" t="str">
        <f t="shared" si="2"/>
        <v/>
      </c>
      <c r="J13043" s="86">
        <f t="shared" si="3"/>
        <v>0</v>
      </c>
      <c r="R13043" s="26"/>
    </row>
    <row r="13044" spans="1:18" ht="15.75" customHeight="1">
      <c r="A13044" s="26"/>
      <c r="B13044" s="86"/>
      <c r="D13044" s="26"/>
      <c r="F13044" s="87" t="str">
        <f t="shared" si="0"/>
        <v/>
      </c>
      <c r="H13044" s="26" t="str">
        <f t="shared" si="1"/>
        <v/>
      </c>
      <c r="I13044" s="26" t="str">
        <f t="shared" si="2"/>
        <v/>
      </c>
      <c r="J13044" s="86">
        <f t="shared" si="3"/>
        <v>0</v>
      </c>
      <c r="R13044" s="26"/>
    </row>
    <row r="13045" spans="1:18" ht="15.75" customHeight="1">
      <c r="A13045" s="26"/>
      <c r="B13045" s="86"/>
      <c r="D13045" s="26"/>
      <c r="F13045" s="87" t="str">
        <f t="shared" si="0"/>
        <v/>
      </c>
      <c r="H13045" s="26" t="str">
        <f t="shared" si="1"/>
        <v/>
      </c>
      <c r="I13045" s="26" t="str">
        <f t="shared" si="2"/>
        <v/>
      </c>
      <c r="J13045" s="86">
        <f t="shared" si="3"/>
        <v>0</v>
      </c>
      <c r="R13045" s="26"/>
    </row>
    <row r="13046" spans="1:18" ht="15.75" customHeight="1">
      <c r="A13046" s="26"/>
      <c r="B13046" s="86"/>
      <c r="D13046" s="26"/>
      <c r="F13046" s="87" t="str">
        <f t="shared" si="0"/>
        <v/>
      </c>
      <c r="H13046" s="26" t="str">
        <f t="shared" si="1"/>
        <v/>
      </c>
      <c r="I13046" s="26" t="str">
        <f t="shared" si="2"/>
        <v/>
      </c>
      <c r="J13046" s="86">
        <f t="shared" si="3"/>
        <v>0</v>
      </c>
      <c r="R13046" s="26"/>
    </row>
    <row r="13047" spans="1:18" ht="15.75" customHeight="1">
      <c r="A13047" s="26"/>
      <c r="B13047" s="86"/>
      <c r="D13047" s="26"/>
      <c r="F13047" s="87" t="str">
        <f t="shared" si="0"/>
        <v/>
      </c>
      <c r="H13047" s="26" t="str">
        <f t="shared" si="1"/>
        <v/>
      </c>
      <c r="I13047" s="26" t="str">
        <f t="shared" si="2"/>
        <v/>
      </c>
      <c r="J13047" s="86">
        <f t="shared" si="3"/>
        <v>0</v>
      </c>
      <c r="R13047" s="26"/>
    </row>
    <row r="13048" spans="1:18" ht="15.75" customHeight="1">
      <c r="A13048" s="26"/>
      <c r="B13048" s="86"/>
      <c r="D13048" s="26"/>
      <c r="F13048" s="87" t="str">
        <f t="shared" si="0"/>
        <v/>
      </c>
      <c r="H13048" s="26" t="str">
        <f t="shared" si="1"/>
        <v/>
      </c>
      <c r="I13048" s="26" t="str">
        <f t="shared" si="2"/>
        <v/>
      </c>
      <c r="J13048" s="86">
        <f t="shared" si="3"/>
        <v>0</v>
      </c>
      <c r="R13048" s="26"/>
    </row>
    <row r="13049" spans="1:18" ht="15.75" customHeight="1">
      <c r="A13049" s="26"/>
      <c r="B13049" s="86"/>
      <c r="D13049" s="26"/>
      <c r="F13049" s="87" t="str">
        <f t="shared" si="0"/>
        <v/>
      </c>
      <c r="H13049" s="26" t="str">
        <f t="shared" si="1"/>
        <v/>
      </c>
      <c r="I13049" s="26" t="str">
        <f t="shared" si="2"/>
        <v/>
      </c>
      <c r="J13049" s="86">
        <f t="shared" si="3"/>
        <v>0</v>
      </c>
      <c r="R13049" s="26"/>
    </row>
    <row r="13050" spans="1:18" ht="15.75" customHeight="1">
      <c r="A13050" s="26"/>
      <c r="B13050" s="86"/>
      <c r="D13050" s="26"/>
      <c r="F13050" s="87" t="str">
        <f t="shared" si="0"/>
        <v/>
      </c>
      <c r="H13050" s="26" t="str">
        <f t="shared" si="1"/>
        <v/>
      </c>
      <c r="I13050" s="26" t="str">
        <f t="shared" si="2"/>
        <v/>
      </c>
      <c r="J13050" s="86">
        <f t="shared" si="3"/>
        <v>0</v>
      </c>
      <c r="R13050" s="26"/>
    </row>
    <row r="13051" spans="1:18" ht="15.75" customHeight="1">
      <c r="A13051" s="26"/>
      <c r="B13051" s="86"/>
      <c r="D13051" s="26"/>
      <c r="F13051" s="87" t="str">
        <f t="shared" si="0"/>
        <v/>
      </c>
      <c r="H13051" s="26" t="str">
        <f t="shared" si="1"/>
        <v/>
      </c>
      <c r="I13051" s="26" t="str">
        <f t="shared" si="2"/>
        <v/>
      </c>
      <c r="J13051" s="86">
        <f t="shared" si="3"/>
        <v>0</v>
      </c>
      <c r="R13051" s="26"/>
    </row>
    <row r="13052" spans="1:18" ht="15.75" customHeight="1">
      <c r="A13052" s="26"/>
      <c r="B13052" s="86"/>
      <c r="D13052" s="26"/>
      <c r="F13052" s="87" t="str">
        <f t="shared" si="0"/>
        <v/>
      </c>
      <c r="H13052" s="26" t="str">
        <f t="shared" si="1"/>
        <v/>
      </c>
      <c r="I13052" s="26" t="str">
        <f t="shared" si="2"/>
        <v/>
      </c>
      <c r="J13052" s="86">
        <f t="shared" si="3"/>
        <v>0</v>
      </c>
      <c r="R13052" s="26"/>
    </row>
    <row r="13053" spans="1:18" ht="15.75" customHeight="1">
      <c r="A13053" s="26"/>
      <c r="B13053" s="86"/>
      <c r="D13053" s="26"/>
      <c r="F13053" s="87" t="str">
        <f t="shared" si="0"/>
        <v/>
      </c>
      <c r="H13053" s="26" t="str">
        <f t="shared" si="1"/>
        <v/>
      </c>
      <c r="I13053" s="26" t="str">
        <f t="shared" si="2"/>
        <v/>
      </c>
      <c r="J13053" s="86">
        <f t="shared" si="3"/>
        <v>0</v>
      </c>
      <c r="R13053" s="26"/>
    </row>
    <row r="13054" spans="1:18" ht="15.75" customHeight="1">
      <c r="A13054" s="26"/>
      <c r="B13054" s="86"/>
      <c r="D13054" s="26"/>
      <c r="F13054" s="87" t="str">
        <f t="shared" si="0"/>
        <v/>
      </c>
      <c r="H13054" s="26" t="str">
        <f t="shared" si="1"/>
        <v/>
      </c>
      <c r="I13054" s="26" t="str">
        <f t="shared" si="2"/>
        <v/>
      </c>
      <c r="J13054" s="86">
        <f t="shared" si="3"/>
        <v>0</v>
      </c>
      <c r="R13054" s="26"/>
    </row>
    <row r="13055" spans="1:18" ht="15.75" customHeight="1">
      <c r="A13055" s="26"/>
      <c r="B13055" s="86"/>
      <c r="D13055" s="26"/>
      <c r="F13055" s="87" t="str">
        <f t="shared" si="0"/>
        <v/>
      </c>
      <c r="H13055" s="26" t="str">
        <f t="shared" si="1"/>
        <v/>
      </c>
      <c r="I13055" s="26" t="str">
        <f t="shared" si="2"/>
        <v/>
      </c>
      <c r="J13055" s="86">
        <f t="shared" si="3"/>
        <v>0</v>
      </c>
      <c r="R13055" s="26"/>
    </row>
    <row r="13056" spans="1:18" ht="15.75" customHeight="1">
      <c r="A13056" s="26"/>
      <c r="B13056" s="86"/>
      <c r="D13056" s="26"/>
      <c r="F13056" s="87" t="str">
        <f t="shared" si="0"/>
        <v/>
      </c>
      <c r="H13056" s="26" t="str">
        <f t="shared" si="1"/>
        <v/>
      </c>
      <c r="I13056" s="26" t="str">
        <f t="shared" si="2"/>
        <v/>
      </c>
      <c r="J13056" s="86">
        <f t="shared" si="3"/>
        <v>0</v>
      </c>
      <c r="R13056" s="26"/>
    </row>
    <row r="13057" spans="1:18" ht="15.75" customHeight="1">
      <c r="A13057" s="26"/>
      <c r="B13057" s="86"/>
      <c r="D13057" s="26"/>
      <c r="F13057" s="87" t="str">
        <f t="shared" si="0"/>
        <v/>
      </c>
      <c r="H13057" s="26" t="str">
        <f t="shared" si="1"/>
        <v/>
      </c>
      <c r="I13057" s="26" t="str">
        <f t="shared" si="2"/>
        <v/>
      </c>
      <c r="J13057" s="86">
        <f t="shared" si="3"/>
        <v>0</v>
      </c>
      <c r="R13057" s="26"/>
    </row>
    <row r="13058" spans="1:18" ht="15.75" customHeight="1">
      <c r="A13058" s="26"/>
      <c r="B13058" s="86"/>
      <c r="D13058" s="26"/>
      <c r="F13058" s="87" t="str">
        <f t="shared" si="0"/>
        <v/>
      </c>
      <c r="H13058" s="26" t="str">
        <f t="shared" si="1"/>
        <v/>
      </c>
      <c r="I13058" s="26" t="str">
        <f t="shared" si="2"/>
        <v/>
      </c>
      <c r="J13058" s="86">
        <f t="shared" si="3"/>
        <v>0</v>
      </c>
      <c r="R13058" s="26"/>
    </row>
    <row r="13059" spans="1:18" ht="15.75" customHeight="1">
      <c r="A13059" s="26"/>
      <c r="B13059" s="86"/>
      <c r="D13059" s="26"/>
      <c r="F13059" s="87" t="str">
        <f t="shared" si="0"/>
        <v/>
      </c>
      <c r="H13059" s="26" t="str">
        <f t="shared" si="1"/>
        <v/>
      </c>
      <c r="I13059" s="26" t="str">
        <f t="shared" si="2"/>
        <v/>
      </c>
      <c r="J13059" s="86">
        <f t="shared" si="3"/>
        <v>0</v>
      </c>
      <c r="R13059" s="26"/>
    </row>
    <row r="13060" spans="1:18" ht="15.75" customHeight="1">
      <c r="A13060" s="26"/>
      <c r="B13060" s="86"/>
      <c r="D13060" s="26"/>
      <c r="F13060" s="87" t="str">
        <f t="shared" si="0"/>
        <v/>
      </c>
      <c r="H13060" s="26" t="str">
        <f t="shared" si="1"/>
        <v/>
      </c>
      <c r="I13060" s="26" t="str">
        <f t="shared" si="2"/>
        <v/>
      </c>
      <c r="J13060" s="86">
        <f t="shared" si="3"/>
        <v>0</v>
      </c>
      <c r="R13060" s="26"/>
    </row>
    <row r="13061" spans="1:18" ht="15.75" customHeight="1">
      <c r="A13061" s="26"/>
      <c r="B13061" s="86"/>
      <c r="D13061" s="26"/>
      <c r="F13061" s="87" t="str">
        <f t="shared" si="0"/>
        <v/>
      </c>
      <c r="H13061" s="26" t="str">
        <f t="shared" si="1"/>
        <v/>
      </c>
      <c r="I13061" s="26" t="str">
        <f t="shared" si="2"/>
        <v/>
      </c>
      <c r="J13061" s="86">
        <f t="shared" si="3"/>
        <v>0</v>
      </c>
      <c r="R13061" s="26"/>
    </row>
    <row r="13062" spans="1:18" ht="15.75" customHeight="1">
      <c r="A13062" s="26"/>
      <c r="B13062" s="86"/>
      <c r="D13062" s="26"/>
      <c r="F13062" s="87" t="str">
        <f t="shared" si="0"/>
        <v/>
      </c>
      <c r="H13062" s="26" t="str">
        <f t="shared" si="1"/>
        <v/>
      </c>
      <c r="I13062" s="26" t="str">
        <f t="shared" si="2"/>
        <v/>
      </c>
      <c r="J13062" s="86">
        <f t="shared" si="3"/>
        <v>0</v>
      </c>
      <c r="R13062" s="26"/>
    </row>
    <row r="13063" spans="1:18" ht="15.75" customHeight="1">
      <c r="A13063" s="26"/>
      <c r="B13063" s="86"/>
      <c r="D13063" s="26"/>
      <c r="F13063" s="87" t="str">
        <f t="shared" si="0"/>
        <v/>
      </c>
      <c r="H13063" s="26" t="str">
        <f t="shared" si="1"/>
        <v/>
      </c>
      <c r="I13063" s="26" t="str">
        <f t="shared" si="2"/>
        <v/>
      </c>
      <c r="J13063" s="86">
        <f t="shared" si="3"/>
        <v>0</v>
      </c>
      <c r="R13063" s="26"/>
    </row>
    <row r="13064" spans="1:18" ht="15.75" customHeight="1">
      <c r="A13064" s="26"/>
      <c r="B13064" s="86"/>
      <c r="D13064" s="26"/>
      <c r="F13064" s="87" t="str">
        <f t="shared" si="0"/>
        <v/>
      </c>
      <c r="H13064" s="26" t="str">
        <f t="shared" si="1"/>
        <v/>
      </c>
      <c r="I13064" s="26" t="str">
        <f t="shared" si="2"/>
        <v/>
      </c>
      <c r="J13064" s="86">
        <f t="shared" si="3"/>
        <v>0</v>
      </c>
      <c r="R13064" s="26"/>
    </row>
    <row r="13065" spans="1:18" ht="15.75" customHeight="1">
      <c r="A13065" s="26"/>
      <c r="B13065" s="86"/>
      <c r="D13065" s="26"/>
      <c r="F13065" s="87" t="str">
        <f t="shared" si="0"/>
        <v/>
      </c>
      <c r="H13065" s="26" t="str">
        <f t="shared" si="1"/>
        <v/>
      </c>
      <c r="I13065" s="26" t="str">
        <f t="shared" si="2"/>
        <v/>
      </c>
      <c r="J13065" s="86">
        <f t="shared" si="3"/>
        <v>0</v>
      </c>
      <c r="R13065" s="26"/>
    </row>
    <row r="13066" spans="1:18" ht="15.75" customHeight="1">
      <c r="A13066" s="26"/>
      <c r="B13066" s="86"/>
      <c r="D13066" s="26"/>
      <c r="F13066" s="87" t="str">
        <f t="shared" si="0"/>
        <v/>
      </c>
      <c r="H13066" s="26" t="str">
        <f t="shared" si="1"/>
        <v/>
      </c>
      <c r="I13066" s="26" t="str">
        <f t="shared" si="2"/>
        <v/>
      </c>
      <c r="J13066" s="86">
        <f t="shared" si="3"/>
        <v>0</v>
      </c>
      <c r="R13066" s="26"/>
    </row>
    <row r="13067" spans="1:18" ht="15.75" customHeight="1">
      <c r="A13067" s="26"/>
      <c r="B13067" s="86"/>
      <c r="D13067" s="26"/>
      <c r="F13067" s="87" t="str">
        <f t="shared" si="0"/>
        <v/>
      </c>
      <c r="H13067" s="26" t="str">
        <f t="shared" si="1"/>
        <v/>
      </c>
      <c r="I13067" s="26" t="str">
        <f t="shared" si="2"/>
        <v/>
      </c>
      <c r="J13067" s="86">
        <f t="shared" si="3"/>
        <v>0</v>
      </c>
      <c r="R13067" s="26"/>
    </row>
    <row r="13068" spans="1:18" ht="15.75" customHeight="1">
      <c r="A13068" s="26"/>
      <c r="B13068" s="86"/>
      <c r="D13068" s="26"/>
      <c r="F13068" s="87" t="str">
        <f t="shared" si="0"/>
        <v/>
      </c>
      <c r="H13068" s="26" t="str">
        <f t="shared" si="1"/>
        <v/>
      </c>
      <c r="I13068" s="26" t="str">
        <f t="shared" si="2"/>
        <v/>
      </c>
      <c r="J13068" s="86">
        <f t="shared" si="3"/>
        <v>0</v>
      </c>
      <c r="R13068" s="26"/>
    </row>
    <row r="13069" spans="1:18" ht="15.75" customHeight="1">
      <c r="A13069" s="26"/>
      <c r="B13069" s="86"/>
      <c r="D13069" s="26"/>
      <c r="F13069" s="87" t="str">
        <f t="shared" si="0"/>
        <v/>
      </c>
      <c r="H13069" s="26" t="str">
        <f t="shared" si="1"/>
        <v/>
      </c>
      <c r="I13069" s="26" t="str">
        <f t="shared" si="2"/>
        <v/>
      </c>
      <c r="J13069" s="86">
        <f t="shared" si="3"/>
        <v>0</v>
      </c>
      <c r="R13069" s="26"/>
    </row>
    <row r="13070" spans="1:18" ht="15.75" customHeight="1">
      <c r="A13070" s="26"/>
      <c r="B13070" s="86"/>
      <c r="D13070" s="26"/>
      <c r="F13070" s="87" t="str">
        <f t="shared" si="0"/>
        <v/>
      </c>
      <c r="H13070" s="26" t="str">
        <f t="shared" si="1"/>
        <v/>
      </c>
      <c r="I13070" s="26" t="str">
        <f t="shared" si="2"/>
        <v/>
      </c>
      <c r="J13070" s="86">
        <f t="shared" si="3"/>
        <v>0</v>
      </c>
      <c r="R13070" s="26"/>
    </row>
    <row r="13071" spans="1:18" ht="15.75" customHeight="1">
      <c r="A13071" s="26"/>
      <c r="B13071" s="86"/>
      <c r="D13071" s="26"/>
      <c r="F13071" s="87" t="str">
        <f t="shared" si="0"/>
        <v/>
      </c>
      <c r="H13071" s="26" t="str">
        <f t="shared" si="1"/>
        <v/>
      </c>
      <c r="I13071" s="26" t="str">
        <f t="shared" si="2"/>
        <v/>
      </c>
      <c r="J13071" s="86">
        <f t="shared" si="3"/>
        <v>0</v>
      </c>
      <c r="R13071" s="26"/>
    </row>
    <row r="13072" spans="1:18" ht="15.75" customHeight="1">
      <c r="A13072" s="26"/>
      <c r="B13072" s="86"/>
      <c r="D13072" s="26"/>
      <c r="F13072" s="87" t="str">
        <f t="shared" si="0"/>
        <v/>
      </c>
      <c r="H13072" s="26" t="str">
        <f t="shared" si="1"/>
        <v/>
      </c>
      <c r="I13072" s="26" t="str">
        <f t="shared" si="2"/>
        <v/>
      </c>
      <c r="J13072" s="86">
        <f t="shared" si="3"/>
        <v>0</v>
      </c>
      <c r="R13072" s="26"/>
    </row>
    <row r="13073" spans="1:18" ht="15.75" customHeight="1">
      <c r="A13073" s="26"/>
      <c r="B13073" s="86"/>
      <c r="D13073" s="26"/>
      <c r="F13073" s="87" t="str">
        <f t="shared" si="0"/>
        <v/>
      </c>
      <c r="H13073" s="26" t="str">
        <f t="shared" si="1"/>
        <v/>
      </c>
      <c r="I13073" s="26" t="str">
        <f t="shared" si="2"/>
        <v/>
      </c>
      <c r="J13073" s="86">
        <f t="shared" si="3"/>
        <v>0</v>
      </c>
      <c r="R13073" s="26"/>
    </row>
    <row r="13074" spans="1:18" ht="15.75" customHeight="1">
      <c r="A13074" s="26"/>
      <c r="B13074" s="86"/>
      <c r="D13074" s="26"/>
      <c r="F13074" s="87" t="str">
        <f t="shared" si="0"/>
        <v/>
      </c>
      <c r="H13074" s="26" t="str">
        <f t="shared" si="1"/>
        <v/>
      </c>
      <c r="I13074" s="26" t="str">
        <f t="shared" si="2"/>
        <v/>
      </c>
      <c r="J13074" s="86">
        <f t="shared" si="3"/>
        <v>0</v>
      </c>
      <c r="R13074" s="26"/>
    </row>
    <row r="13075" spans="1:18" ht="15.75" customHeight="1">
      <c r="A13075" s="26"/>
      <c r="B13075" s="86"/>
      <c r="D13075" s="26"/>
      <c r="F13075" s="87" t="str">
        <f t="shared" si="0"/>
        <v/>
      </c>
      <c r="H13075" s="26" t="str">
        <f t="shared" si="1"/>
        <v/>
      </c>
      <c r="I13075" s="26" t="str">
        <f t="shared" si="2"/>
        <v/>
      </c>
      <c r="J13075" s="86">
        <f t="shared" si="3"/>
        <v>0</v>
      </c>
      <c r="R13075" s="26"/>
    </row>
    <row r="13076" spans="1:18" ht="15.75" customHeight="1">
      <c r="A13076" s="26"/>
      <c r="B13076" s="86"/>
      <c r="D13076" s="26"/>
      <c r="F13076" s="87" t="str">
        <f t="shared" si="0"/>
        <v/>
      </c>
      <c r="H13076" s="26" t="str">
        <f t="shared" si="1"/>
        <v/>
      </c>
      <c r="I13076" s="26" t="str">
        <f t="shared" si="2"/>
        <v/>
      </c>
      <c r="J13076" s="86">
        <f t="shared" si="3"/>
        <v>0</v>
      </c>
      <c r="R13076" s="26"/>
    </row>
    <row r="13077" spans="1:18" ht="15.75" customHeight="1">
      <c r="A13077" s="26"/>
      <c r="B13077" s="86"/>
      <c r="D13077" s="26"/>
      <c r="F13077" s="87" t="str">
        <f t="shared" si="0"/>
        <v/>
      </c>
      <c r="H13077" s="26" t="str">
        <f t="shared" si="1"/>
        <v/>
      </c>
      <c r="I13077" s="26" t="str">
        <f t="shared" si="2"/>
        <v/>
      </c>
      <c r="J13077" s="86">
        <f t="shared" si="3"/>
        <v>0</v>
      </c>
      <c r="R13077" s="26"/>
    </row>
    <row r="13078" spans="1:18" ht="15.75" customHeight="1">
      <c r="A13078" s="26"/>
      <c r="B13078" s="86"/>
      <c r="D13078" s="26"/>
      <c r="F13078" s="87" t="str">
        <f t="shared" si="0"/>
        <v/>
      </c>
      <c r="H13078" s="26" t="str">
        <f t="shared" si="1"/>
        <v/>
      </c>
      <c r="I13078" s="26" t="str">
        <f t="shared" si="2"/>
        <v/>
      </c>
      <c r="J13078" s="86">
        <f t="shared" si="3"/>
        <v>0</v>
      </c>
      <c r="R13078" s="26"/>
    </row>
    <row r="13079" spans="1:18" ht="15.75" customHeight="1">
      <c r="A13079" s="26"/>
      <c r="B13079" s="86"/>
      <c r="D13079" s="26"/>
      <c r="F13079" s="87" t="str">
        <f t="shared" si="0"/>
        <v/>
      </c>
      <c r="H13079" s="26" t="str">
        <f t="shared" si="1"/>
        <v/>
      </c>
      <c r="I13079" s="26" t="str">
        <f t="shared" si="2"/>
        <v/>
      </c>
      <c r="J13079" s="86">
        <f t="shared" si="3"/>
        <v>0</v>
      </c>
      <c r="R13079" s="26"/>
    </row>
    <row r="13080" spans="1:18" ht="15.75" customHeight="1">
      <c r="A13080" s="26"/>
      <c r="B13080" s="86"/>
      <c r="D13080" s="26"/>
      <c r="F13080" s="87" t="str">
        <f t="shared" si="0"/>
        <v/>
      </c>
      <c r="H13080" s="26" t="str">
        <f t="shared" si="1"/>
        <v/>
      </c>
      <c r="I13080" s="26" t="str">
        <f t="shared" si="2"/>
        <v/>
      </c>
      <c r="J13080" s="86">
        <f t="shared" si="3"/>
        <v>0</v>
      </c>
      <c r="R13080" s="26"/>
    </row>
    <row r="13081" spans="1:18" ht="15.75" customHeight="1">
      <c r="A13081" s="26"/>
      <c r="B13081" s="86"/>
      <c r="D13081" s="26"/>
      <c r="F13081" s="87" t="str">
        <f t="shared" si="0"/>
        <v/>
      </c>
      <c r="H13081" s="26" t="str">
        <f t="shared" si="1"/>
        <v/>
      </c>
      <c r="I13081" s="26" t="str">
        <f t="shared" si="2"/>
        <v/>
      </c>
      <c r="J13081" s="86">
        <f t="shared" si="3"/>
        <v>0</v>
      </c>
      <c r="R13081" s="26"/>
    </row>
    <row r="13082" spans="1:18" ht="15.75" customHeight="1">
      <c r="A13082" s="26"/>
      <c r="B13082" s="86"/>
      <c r="D13082" s="26"/>
      <c r="F13082" s="87" t="str">
        <f t="shared" si="0"/>
        <v/>
      </c>
      <c r="H13082" s="26" t="str">
        <f t="shared" si="1"/>
        <v/>
      </c>
      <c r="I13082" s="26" t="str">
        <f t="shared" si="2"/>
        <v/>
      </c>
      <c r="J13082" s="86">
        <f t="shared" si="3"/>
        <v>0</v>
      </c>
      <c r="R13082" s="26"/>
    </row>
    <row r="13083" spans="1:18" ht="15.75" customHeight="1">
      <c r="A13083" s="26"/>
      <c r="B13083" s="86"/>
      <c r="D13083" s="26"/>
      <c r="F13083" s="87" t="str">
        <f t="shared" si="0"/>
        <v/>
      </c>
      <c r="H13083" s="26" t="str">
        <f t="shared" si="1"/>
        <v/>
      </c>
      <c r="I13083" s="26" t="str">
        <f t="shared" si="2"/>
        <v/>
      </c>
      <c r="J13083" s="86">
        <f t="shared" si="3"/>
        <v>0</v>
      </c>
      <c r="R13083" s="26"/>
    </row>
    <row r="13084" spans="1:18" ht="15.75" customHeight="1">
      <c r="A13084" s="26"/>
      <c r="B13084" s="86"/>
      <c r="D13084" s="26"/>
      <c r="F13084" s="87" t="str">
        <f t="shared" si="0"/>
        <v/>
      </c>
      <c r="H13084" s="26" t="str">
        <f t="shared" si="1"/>
        <v/>
      </c>
      <c r="I13084" s="26" t="str">
        <f t="shared" si="2"/>
        <v/>
      </c>
      <c r="J13084" s="86">
        <f t="shared" si="3"/>
        <v>0</v>
      </c>
      <c r="R13084" s="26"/>
    </row>
    <row r="13085" spans="1:18" ht="15.75" customHeight="1">
      <c r="A13085" s="26"/>
      <c r="B13085" s="86"/>
      <c r="D13085" s="26"/>
      <c r="F13085" s="87" t="str">
        <f t="shared" si="0"/>
        <v/>
      </c>
      <c r="H13085" s="26" t="str">
        <f t="shared" si="1"/>
        <v/>
      </c>
      <c r="I13085" s="26" t="str">
        <f t="shared" si="2"/>
        <v/>
      </c>
      <c r="J13085" s="86">
        <f t="shared" si="3"/>
        <v>0</v>
      </c>
      <c r="R13085" s="26"/>
    </row>
    <row r="13086" spans="1:18" ht="15.75" customHeight="1">
      <c r="A13086" s="26"/>
      <c r="B13086" s="86"/>
      <c r="D13086" s="26"/>
      <c r="F13086" s="87" t="str">
        <f t="shared" si="0"/>
        <v/>
      </c>
      <c r="H13086" s="26" t="str">
        <f t="shared" si="1"/>
        <v/>
      </c>
      <c r="I13086" s="26" t="str">
        <f t="shared" si="2"/>
        <v/>
      </c>
      <c r="J13086" s="86">
        <f t="shared" si="3"/>
        <v>0</v>
      </c>
      <c r="R13086" s="26"/>
    </row>
    <row r="13087" spans="1:18" ht="15.75" customHeight="1">
      <c r="A13087" s="26"/>
      <c r="B13087" s="86"/>
      <c r="D13087" s="26"/>
      <c r="F13087" s="87" t="str">
        <f t="shared" si="0"/>
        <v/>
      </c>
      <c r="H13087" s="26" t="str">
        <f t="shared" si="1"/>
        <v/>
      </c>
      <c r="I13087" s="26" t="str">
        <f t="shared" si="2"/>
        <v/>
      </c>
      <c r="J13087" s="86">
        <f t="shared" si="3"/>
        <v>0</v>
      </c>
      <c r="R13087" s="26"/>
    </row>
    <row r="13088" spans="1:18" ht="15.75" customHeight="1">
      <c r="A13088" s="26"/>
      <c r="B13088" s="86"/>
      <c r="D13088" s="26"/>
      <c r="F13088" s="87" t="str">
        <f t="shared" si="0"/>
        <v/>
      </c>
      <c r="H13088" s="26" t="str">
        <f t="shared" si="1"/>
        <v/>
      </c>
      <c r="I13088" s="26" t="str">
        <f t="shared" si="2"/>
        <v/>
      </c>
      <c r="J13088" s="86">
        <f t="shared" si="3"/>
        <v>0</v>
      </c>
      <c r="R13088" s="26"/>
    </row>
    <row r="13089" spans="1:18" ht="15.75" customHeight="1">
      <c r="A13089" s="26"/>
      <c r="B13089" s="86"/>
      <c r="D13089" s="26"/>
      <c r="F13089" s="87" t="str">
        <f t="shared" si="0"/>
        <v/>
      </c>
      <c r="H13089" s="26" t="str">
        <f t="shared" si="1"/>
        <v/>
      </c>
      <c r="I13089" s="26" t="str">
        <f t="shared" si="2"/>
        <v/>
      </c>
      <c r="J13089" s="86">
        <f t="shared" si="3"/>
        <v>0</v>
      </c>
      <c r="R13089" s="26"/>
    </row>
    <row r="13090" spans="1:18" ht="15.75" customHeight="1">
      <c r="A13090" s="26"/>
      <c r="B13090" s="86"/>
      <c r="D13090" s="26"/>
      <c r="F13090" s="87" t="str">
        <f t="shared" si="0"/>
        <v/>
      </c>
      <c r="H13090" s="26" t="str">
        <f t="shared" si="1"/>
        <v/>
      </c>
      <c r="I13090" s="26" t="str">
        <f t="shared" si="2"/>
        <v/>
      </c>
      <c r="J13090" s="86">
        <f t="shared" si="3"/>
        <v>0</v>
      </c>
      <c r="R13090" s="26"/>
    </row>
    <row r="13091" spans="1:18" ht="15.75" customHeight="1">
      <c r="A13091" s="26"/>
      <c r="B13091" s="86"/>
      <c r="D13091" s="26"/>
      <c r="F13091" s="87" t="str">
        <f t="shared" si="0"/>
        <v/>
      </c>
      <c r="H13091" s="26" t="str">
        <f t="shared" si="1"/>
        <v/>
      </c>
      <c r="I13091" s="26" t="str">
        <f t="shared" si="2"/>
        <v/>
      </c>
      <c r="J13091" s="86">
        <f t="shared" si="3"/>
        <v>0</v>
      </c>
      <c r="R13091" s="26"/>
    </row>
    <row r="13092" spans="1:18" ht="15.75" customHeight="1">
      <c r="A13092" s="26"/>
      <c r="B13092" s="86"/>
      <c r="D13092" s="26"/>
      <c r="F13092" s="87" t="str">
        <f t="shared" si="0"/>
        <v/>
      </c>
      <c r="H13092" s="26" t="str">
        <f t="shared" si="1"/>
        <v/>
      </c>
      <c r="I13092" s="26" t="str">
        <f t="shared" si="2"/>
        <v/>
      </c>
      <c r="J13092" s="86">
        <f t="shared" si="3"/>
        <v>0</v>
      </c>
      <c r="R13092" s="26"/>
    </row>
    <row r="13093" spans="1:18" ht="15.75" customHeight="1">
      <c r="A13093" s="26"/>
      <c r="B13093" s="86"/>
      <c r="D13093" s="26"/>
      <c r="F13093" s="87" t="str">
        <f t="shared" si="0"/>
        <v/>
      </c>
      <c r="H13093" s="26" t="str">
        <f t="shared" si="1"/>
        <v/>
      </c>
      <c r="I13093" s="26" t="str">
        <f t="shared" si="2"/>
        <v/>
      </c>
      <c r="J13093" s="86">
        <f t="shared" si="3"/>
        <v>0</v>
      </c>
      <c r="R13093" s="26"/>
    </row>
    <row r="13094" spans="1:18" ht="15.75" customHeight="1">
      <c r="A13094" s="26"/>
      <c r="B13094" s="86"/>
      <c r="D13094" s="26"/>
      <c r="F13094" s="87" t="str">
        <f t="shared" si="0"/>
        <v/>
      </c>
      <c r="H13094" s="26" t="str">
        <f t="shared" si="1"/>
        <v/>
      </c>
      <c r="I13094" s="26" t="str">
        <f t="shared" si="2"/>
        <v/>
      </c>
      <c r="J13094" s="86">
        <f t="shared" si="3"/>
        <v>0</v>
      </c>
      <c r="R13094" s="26"/>
    </row>
    <row r="13095" spans="1:18" ht="15.75" customHeight="1">
      <c r="A13095" s="26"/>
      <c r="B13095" s="86"/>
      <c r="D13095" s="26"/>
      <c r="F13095" s="87" t="str">
        <f t="shared" si="0"/>
        <v/>
      </c>
      <c r="H13095" s="26" t="str">
        <f t="shared" si="1"/>
        <v/>
      </c>
      <c r="I13095" s="26" t="str">
        <f t="shared" si="2"/>
        <v/>
      </c>
      <c r="J13095" s="86">
        <f t="shared" si="3"/>
        <v>0</v>
      </c>
      <c r="R13095" s="26"/>
    </row>
    <row r="13096" spans="1:18" ht="15.75" customHeight="1">
      <c r="A13096" s="26"/>
      <c r="B13096" s="86"/>
      <c r="D13096" s="26"/>
      <c r="F13096" s="87" t="str">
        <f t="shared" si="0"/>
        <v/>
      </c>
      <c r="H13096" s="26" t="str">
        <f t="shared" si="1"/>
        <v/>
      </c>
      <c r="I13096" s="26" t="str">
        <f t="shared" si="2"/>
        <v/>
      </c>
      <c r="J13096" s="86">
        <f t="shared" si="3"/>
        <v>0</v>
      </c>
      <c r="R13096" s="26"/>
    </row>
    <row r="13097" spans="1:18" ht="15.75" customHeight="1">
      <c r="A13097" s="26"/>
      <c r="B13097" s="86"/>
      <c r="D13097" s="26"/>
      <c r="F13097" s="87" t="str">
        <f t="shared" si="0"/>
        <v/>
      </c>
      <c r="H13097" s="26" t="str">
        <f t="shared" si="1"/>
        <v/>
      </c>
      <c r="I13097" s="26" t="str">
        <f t="shared" si="2"/>
        <v/>
      </c>
      <c r="J13097" s="86">
        <f t="shared" si="3"/>
        <v>0</v>
      </c>
      <c r="R13097" s="26"/>
    </row>
    <row r="13098" spans="1:18" ht="15.75" customHeight="1">
      <c r="A13098" s="26"/>
      <c r="B13098" s="86"/>
      <c r="D13098" s="26"/>
      <c r="F13098" s="87" t="str">
        <f t="shared" si="0"/>
        <v/>
      </c>
      <c r="H13098" s="26" t="str">
        <f t="shared" si="1"/>
        <v/>
      </c>
      <c r="I13098" s="26" t="str">
        <f t="shared" si="2"/>
        <v/>
      </c>
      <c r="J13098" s="86">
        <f t="shared" si="3"/>
        <v>0</v>
      </c>
      <c r="R13098" s="26"/>
    </row>
    <row r="13099" spans="1:18" ht="15.75" customHeight="1">
      <c r="A13099" s="26"/>
      <c r="B13099" s="86"/>
      <c r="D13099" s="26"/>
      <c r="F13099" s="87" t="str">
        <f t="shared" si="0"/>
        <v/>
      </c>
      <c r="H13099" s="26" t="str">
        <f t="shared" si="1"/>
        <v/>
      </c>
      <c r="I13099" s="26" t="str">
        <f t="shared" si="2"/>
        <v/>
      </c>
      <c r="J13099" s="86">
        <f t="shared" si="3"/>
        <v>0</v>
      </c>
      <c r="R13099" s="26"/>
    </row>
    <row r="13100" spans="1:18" ht="15.75" customHeight="1">
      <c r="A13100" s="26"/>
      <c r="B13100" s="86"/>
      <c r="D13100" s="26"/>
      <c r="F13100" s="87" t="str">
        <f t="shared" si="0"/>
        <v/>
      </c>
      <c r="H13100" s="26" t="str">
        <f t="shared" si="1"/>
        <v/>
      </c>
      <c r="I13100" s="26" t="str">
        <f t="shared" si="2"/>
        <v/>
      </c>
      <c r="J13100" s="86">
        <f t="shared" si="3"/>
        <v>0</v>
      </c>
      <c r="R13100" s="26"/>
    </row>
    <row r="13101" spans="1:18" ht="15.75" customHeight="1">
      <c r="A13101" s="26"/>
      <c r="B13101" s="86"/>
      <c r="D13101" s="26"/>
      <c r="F13101" s="87" t="str">
        <f t="shared" si="0"/>
        <v/>
      </c>
      <c r="H13101" s="26" t="str">
        <f t="shared" si="1"/>
        <v/>
      </c>
      <c r="I13101" s="26" t="str">
        <f t="shared" si="2"/>
        <v/>
      </c>
      <c r="J13101" s="86">
        <f t="shared" si="3"/>
        <v>0</v>
      </c>
      <c r="R13101" s="26"/>
    </row>
    <row r="13102" spans="1:18" ht="15.75" customHeight="1">
      <c r="A13102" s="26"/>
      <c r="B13102" s="86"/>
      <c r="D13102" s="26"/>
      <c r="F13102" s="87" t="str">
        <f t="shared" si="0"/>
        <v/>
      </c>
      <c r="H13102" s="26" t="str">
        <f t="shared" si="1"/>
        <v/>
      </c>
      <c r="I13102" s="26" t="str">
        <f t="shared" si="2"/>
        <v/>
      </c>
      <c r="J13102" s="86">
        <f t="shared" si="3"/>
        <v>0</v>
      </c>
      <c r="R13102" s="26"/>
    </row>
    <row r="13103" spans="1:18" ht="15.75" customHeight="1">
      <c r="A13103" s="26"/>
      <c r="B13103" s="86"/>
      <c r="D13103" s="26"/>
      <c r="F13103" s="87" t="str">
        <f t="shared" si="0"/>
        <v/>
      </c>
      <c r="H13103" s="26" t="str">
        <f t="shared" si="1"/>
        <v/>
      </c>
      <c r="I13103" s="26" t="str">
        <f t="shared" si="2"/>
        <v/>
      </c>
      <c r="J13103" s="86">
        <f t="shared" si="3"/>
        <v>0</v>
      </c>
      <c r="R13103" s="26"/>
    </row>
    <row r="13104" spans="1:18" ht="15.75" customHeight="1">
      <c r="A13104" s="26"/>
      <c r="B13104" s="86"/>
      <c r="D13104" s="26"/>
      <c r="F13104" s="87" t="str">
        <f t="shared" si="0"/>
        <v/>
      </c>
      <c r="H13104" s="26" t="str">
        <f t="shared" si="1"/>
        <v/>
      </c>
      <c r="I13104" s="26" t="str">
        <f t="shared" si="2"/>
        <v/>
      </c>
      <c r="J13104" s="86">
        <f t="shared" si="3"/>
        <v>0</v>
      </c>
      <c r="R13104" s="26"/>
    </row>
    <row r="13105" spans="1:18" ht="15.75" customHeight="1">
      <c r="A13105" s="26"/>
      <c r="B13105" s="86"/>
      <c r="D13105" s="26"/>
      <c r="F13105" s="87" t="str">
        <f t="shared" si="0"/>
        <v/>
      </c>
      <c r="H13105" s="26" t="str">
        <f t="shared" si="1"/>
        <v/>
      </c>
      <c r="I13105" s="26" t="str">
        <f t="shared" si="2"/>
        <v/>
      </c>
      <c r="J13105" s="86">
        <f t="shared" si="3"/>
        <v>0</v>
      </c>
      <c r="R13105" s="26"/>
    </row>
    <row r="13106" spans="1:18" ht="15.75" customHeight="1">
      <c r="A13106" s="26"/>
      <c r="B13106" s="86"/>
      <c r="D13106" s="26"/>
      <c r="F13106" s="87" t="str">
        <f t="shared" si="0"/>
        <v/>
      </c>
      <c r="H13106" s="26" t="str">
        <f t="shared" si="1"/>
        <v/>
      </c>
      <c r="I13106" s="26" t="str">
        <f t="shared" si="2"/>
        <v/>
      </c>
      <c r="J13106" s="86">
        <f t="shared" si="3"/>
        <v>0</v>
      </c>
      <c r="R13106" s="26"/>
    </row>
    <row r="13107" spans="1:18" ht="15.75" customHeight="1">
      <c r="A13107" s="26"/>
      <c r="B13107" s="86"/>
      <c r="D13107" s="26"/>
      <c r="F13107" s="87" t="str">
        <f t="shared" si="0"/>
        <v/>
      </c>
      <c r="H13107" s="26" t="str">
        <f t="shared" si="1"/>
        <v/>
      </c>
      <c r="I13107" s="26" t="str">
        <f t="shared" si="2"/>
        <v/>
      </c>
      <c r="J13107" s="86">
        <f t="shared" si="3"/>
        <v>0</v>
      </c>
      <c r="R13107" s="26"/>
    </row>
    <row r="13108" spans="1:18" ht="15.75" customHeight="1">
      <c r="A13108" s="26"/>
      <c r="B13108" s="86"/>
      <c r="D13108" s="26"/>
      <c r="F13108" s="87" t="str">
        <f t="shared" si="0"/>
        <v/>
      </c>
      <c r="H13108" s="26" t="str">
        <f t="shared" si="1"/>
        <v/>
      </c>
      <c r="I13108" s="26" t="str">
        <f t="shared" si="2"/>
        <v/>
      </c>
      <c r="J13108" s="86">
        <f t="shared" si="3"/>
        <v>0</v>
      </c>
      <c r="R13108" s="26"/>
    </row>
    <row r="13109" spans="1:18" ht="15.75" customHeight="1">
      <c r="A13109" s="26"/>
      <c r="B13109" s="86"/>
      <c r="D13109" s="26"/>
      <c r="F13109" s="87" t="str">
        <f t="shared" si="0"/>
        <v/>
      </c>
      <c r="H13109" s="26" t="str">
        <f t="shared" si="1"/>
        <v/>
      </c>
      <c r="I13109" s="26" t="str">
        <f t="shared" si="2"/>
        <v/>
      </c>
      <c r="J13109" s="86">
        <f t="shared" si="3"/>
        <v>0</v>
      </c>
      <c r="R13109" s="26"/>
    </row>
    <row r="13110" spans="1:18" ht="15.75" customHeight="1">
      <c r="A13110" s="26"/>
      <c r="B13110" s="86"/>
      <c r="D13110" s="26"/>
      <c r="F13110" s="87" t="str">
        <f t="shared" si="0"/>
        <v/>
      </c>
      <c r="H13110" s="26" t="str">
        <f t="shared" si="1"/>
        <v/>
      </c>
      <c r="I13110" s="26" t="str">
        <f t="shared" si="2"/>
        <v/>
      </c>
      <c r="J13110" s="86">
        <f t="shared" si="3"/>
        <v>0</v>
      </c>
      <c r="R13110" s="26"/>
    </row>
    <row r="13111" spans="1:18" ht="15.75" customHeight="1">
      <c r="A13111" s="26"/>
      <c r="B13111" s="86"/>
      <c r="D13111" s="26"/>
      <c r="F13111" s="87" t="str">
        <f t="shared" si="0"/>
        <v/>
      </c>
      <c r="H13111" s="26" t="str">
        <f t="shared" si="1"/>
        <v/>
      </c>
      <c r="I13111" s="26" t="str">
        <f t="shared" si="2"/>
        <v/>
      </c>
      <c r="J13111" s="86">
        <f t="shared" si="3"/>
        <v>0</v>
      </c>
      <c r="R13111" s="26"/>
    </row>
    <row r="13112" spans="1:18" ht="15.75" customHeight="1">
      <c r="A13112" s="26"/>
      <c r="B13112" s="86"/>
      <c r="D13112" s="26"/>
      <c r="F13112" s="87" t="str">
        <f t="shared" si="0"/>
        <v/>
      </c>
      <c r="H13112" s="26" t="str">
        <f t="shared" si="1"/>
        <v/>
      </c>
      <c r="I13112" s="26" t="str">
        <f t="shared" si="2"/>
        <v/>
      </c>
      <c r="J13112" s="86">
        <f t="shared" si="3"/>
        <v>0</v>
      </c>
      <c r="R13112" s="26"/>
    </row>
    <row r="13113" spans="1:18" ht="15.75" customHeight="1">
      <c r="A13113" s="26"/>
      <c r="B13113" s="86"/>
      <c r="D13113" s="26"/>
      <c r="F13113" s="87" t="str">
        <f t="shared" si="0"/>
        <v/>
      </c>
      <c r="H13113" s="26" t="str">
        <f t="shared" si="1"/>
        <v/>
      </c>
      <c r="I13113" s="26" t="str">
        <f t="shared" si="2"/>
        <v/>
      </c>
      <c r="J13113" s="86">
        <f t="shared" si="3"/>
        <v>0</v>
      </c>
      <c r="R13113" s="26"/>
    </row>
    <row r="13114" spans="1:18" ht="15.75" customHeight="1">
      <c r="A13114" s="26"/>
      <c r="B13114" s="86"/>
      <c r="D13114" s="26"/>
      <c r="F13114" s="87" t="str">
        <f t="shared" si="0"/>
        <v/>
      </c>
      <c r="H13114" s="26" t="str">
        <f t="shared" si="1"/>
        <v/>
      </c>
      <c r="I13114" s="26" t="str">
        <f t="shared" si="2"/>
        <v/>
      </c>
      <c r="J13114" s="86">
        <f t="shared" si="3"/>
        <v>0</v>
      </c>
      <c r="R13114" s="26"/>
    </row>
    <row r="13115" spans="1:18" ht="15.75" customHeight="1">
      <c r="A13115" s="26"/>
      <c r="B13115" s="86"/>
      <c r="D13115" s="26"/>
      <c r="F13115" s="87" t="str">
        <f t="shared" si="0"/>
        <v/>
      </c>
      <c r="H13115" s="26" t="str">
        <f t="shared" si="1"/>
        <v/>
      </c>
      <c r="I13115" s="26" t="str">
        <f t="shared" si="2"/>
        <v/>
      </c>
      <c r="J13115" s="86">
        <f t="shared" si="3"/>
        <v>0</v>
      </c>
      <c r="R13115" s="26"/>
    </row>
    <row r="13116" spans="1:18" ht="15.75" customHeight="1">
      <c r="A13116" s="26"/>
      <c r="B13116" s="86"/>
      <c r="D13116" s="26"/>
      <c r="F13116" s="87" t="str">
        <f t="shared" si="0"/>
        <v/>
      </c>
      <c r="H13116" s="26" t="str">
        <f t="shared" si="1"/>
        <v/>
      </c>
      <c r="I13116" s="26" t="str">
        <f t="shared" si="2"/>
        <v/>
      </c>
      <c r="J13116" s="86">
        <f t="shared" si="3"/>
        <v>0</v>
      </c>
      <c r="R13116" s="26"/>
    </row>
    <row r="13117" spans="1:18" ht="15.75" customHeight="1">
      <c r="A13117" s="26"/>
      <c r="B13117" s="86"/>
      <c r="D13117" s="26"/>
      <c r="F13117" s="87" t="str">
        <f t="shared" si="0"/>
        <v/>
      </c>
      <c r="H13117" s="26" t="str">
        <f t="shared" si="1"/>
        <v/>
      </c>
      <c r="I13117" s="26" t="str">
        <f t="shared" si="2"/>
        <v/>
      </c>
      <c r="J13117" s="86">
        <f t="shared" si="3"/>
        <v>0</v>
      </c>
      <c r="R13117" s="26"/>
    </row>
    <row r="13118" spans="1:18" ht="15.75" customHeight="1">
      <c r="A13118" s="26"/>
      <c r="B13118" s="86"/>
      <c r="D13118" s="26"/>
      <c r="F13118" s="87" t="str">
        <f t="shared" si="0"/>
        <v/>
      </c>
      <c r="H13118" s="26" t="str">
        <f t="shared" si="1"/>
        <v/>
      </c>
      <c r="I13118" s="26" t="str">
        <f t="shared" si="2"/>
        <v/>
      </c>
      <c r="J13118" s="86">
        <f t="shared" si="3"/>
        <v>0</v>
      </c>
      <c r="R13118" s="26"/>
    </row>
    <row r="13119" spans="1:18" ht="15.75" customHeight="1">
      <c r="A13119" s="26"/>
      <c r="B13119" s="86"/>
      <c r="D13119" s="26"/>
      <c r="F13119" s="87" t="str">
        <f t="shared" si="0"/>
        <v/>
      </c>
      <c r="H13119" s="26" t="str">
        <f t="shared" si="1"/>
        <v/>
      </c>
      <c r="I13119" s="26" t="str">
        <f t="shared" si="2"/>
        <v/>
      </c>
      <c r="J13119" s="86">
        <f t="shared" si="3"/>
        <v>0</v>
      </c>
      <c r="R13119" s="26"/>
    </row>
    <row r="13120" spans="1:18" ht="15.75" customHeight="1">
      <c r="A13120" s="26"/>
      <c r="B13120" s="86"/>
      <c r="D13120" s="26"/>
      <c r="F13120" s="87" t="str">
        <f t="shared" si="0"/>
        <v/>
      </c>
      <c r="H13120" s="26" t="str">
        <f t="shared" si="1"/>
        <v/>
      </c>
      <c r="I13120" s="26" t="str">
        <f t="shared" si="2"/>
        <v/>
      </c>
      <c r="J13120" s="86">
        <f t="shared" si="3"/>
        <v>0</v>
      </c>
      <c r="R13120" s="26"/>
    </row>
    <row r="13121" spans="1:18" ht="15.75" customHeight="1">
      <c r="A13121" s="26"/>
      <c r="B13121" s="86"/>
      <c r="D13121" s="26"/>
      <c r="F13121" s="87" t="str">
        <f t="shared" si="0"/>
        <v/>
      </c>
      <c r="H13121" s="26" t="str">
        <f t="shared" si="1"/>
        <v/>
      </c>
      <c r="I13121" s="26" t="str">
        <f t="shared" si="2"/>
        <v/>
      </c>
      <c r="J13121" s="86">
        <f t="shared" si="3"/>
        <v>0</v>
      </c>
      <c r="R13121" s="26"/>
    </row>
    <row r="13122" spans="1:18" ht="15.75" customHeight="1">
      <c r="A13122" s="26"/>
      <c r="B13122" s="86"/>
      <c r="D13122" s="26"/>
      <c r="F13122" s="87" t="str">
        <f t="shared" si="0"/>
        <v/>
      </c>
      <c r="H13122" s="26" t="str">
        <f t="shared" si="1"/>
        <v/>
      </c>
      <c r="I13122" s="26" t="str">
        <f t="shared" si="2"/>
        <v/>
      </c>
      <c r="J13122" s="86">
        <f t="shared" si="3"/>
        <v>0</v>
      </c>
      <c r="R13122" s="26"/>
    </row>
    <row r="13123" spans="1:18" ht="15.75" customHeight="1">
      <c r="A13123" s="26"/>
      <c r="B13123" s="86"/>
      <c r="D13123" s="26"/>
      <c r="F13123" s="87" t="str">
        <f t="shared" si="0"/>
        <v/>
      </c>
      <c r="H13123" s="26" t="str">
        <f t="shared" si="1"/>
        <v/>
      </c>
      <c r="I13123" s="26" t="str">
        <f t="shared" si="2"/>
        <v/>
      </c>
      <c r="J13123" s="86">
        <f t="shared" si="3"/>
        <v>0</v>
      </c>
      <c r="R13123" s="26"/>
    </row>
    <row r="13124" spans="1:18" ht="15.75" customHeight="1">
      <c r="A13124" s="26"/>
      <c r="B13124" s="86"/>
      <c r="D13124" s="26"/>
      <c r="F13124" s="87" t="str">
        <f t="shared" si="0"/>
        <v/>
      </c>
      <c r="H13124" s="26" t="str">
        <f t="shared" si="1"/>
        <v/>
      </c>
      <c r="I13124" s="26" t="str">
        <f t="shared" si="2"/>
        <v/>
      </c>
      <c r="J13124" s="86">
        <f t="shared" si="3"/>
        <v>0</v>
      </c>
      <c r="R13124" s="26"/>
    </row>
    <row r="13125" spans="1:18" ht="15.75" customHeight="1">
      <c r="A13125" s="26"/>
      <c r="B13125" s="86"/>
      <c r="D13125" s="26"/>
      <c r="F13125" s="87" t="str">
        <f t="shared" si="0"/>
        <v/>
      </c>
      <c r="H13125" s="26" t="str">
        <f t="shared" si="1"/>
        <v/>
      </c>
      <c r="I13125" s="26" t="str">
        <f t="shared" si="2"/>
        <v/>
      </c>
      <c r="J13125" s="86">
        <f t="shared" si="3"/>
        <v>0</v>
      </c>
      <c r="R13125" s="26"/>
    </row>
    <row r="13126" spans="1:18" ht="15.75" customHeight="1">
      <c r="A13126" s="26"/>
      <c r="B13126" s="86"/>
      <c r="D13126" s="26"/>
      <c r="F13126" s="87" t="str">
        <f t="shared" si="0"/>
        <v/>
      </c>
      <c r="H13126" s="26" t="str">
        <f t="shared" si="1"/>
        <v/>
      </c>
      <c r="I13126" s="26" t="str">
        <f t="shared" si="2"/>
        <v/>
      </c>
      <c r="J13126" s="86">
        <f t="shared" si="3"/>
        <v>0</v>
      </c>
      <c r="R13126" s="26"/>
    </row>
    <row r="13127" spans="1:18" ht="15.75" customHeight="1">
      <c r="A13127" s="26"/>
      <c r="B13127" s="86"/>
      <c r="D13127" s="26"/>
      <c r="F13127" s="87" t="str">
        <f t="shared" si="0"/>
        <v/>
      </c>
      <c r="H13127" s="26" t="str">
        <f t="shared" si="1"/>
        <v/>
      </c>
      <c r="I13127" s="26" t="str">
        <f t="shared" si="2"/>
        <v/>
      </c>
      <c r="J13127" s="86">
        <f t="shared" si="3"/>
        <v>0</v>
      </c>
      <c r="R13127" s="26"/>
    </row>
    <row r="13128" spans="1:18" ht="15.75" customHeight="1">
      <c r="A13128" s="26"/>
      <c r="B13128" s="86"/>
      <c r="D13128" s="26"/>
      <c r="F13128" s="87" t="str">
        <f t="shared" si="0"/>
        <v/>
      </c>
      <c r="H13128" s="26" t="str">
        <f t="shared" si="1"/>
        <v/>
      </c>
      <c r="I13128" s="26" t="str">
        <f t="shared" si="2"/>
        <v/>
      </c>
      <c r="J13128" s="86">
        <f t="shared" si="3"/>
        <v>0</v>
      </c>
      <c r="R13128" s="26"/>
    </row>
    <row r="13129" spans="1:18" ht="15.75" customHeight="1">
      <c r="A13129" s="26"/>
      <c r="B13129" s="86"/>
      <c r="D13129" s="26"/>
      <c r="F13129" s="87" t="str">
        <f t="shared" si="0"/>
        <v/>
      </c>
      <c r="H13129" s="26" t="str">
        <f t="shared" si="1"/>
        <v/>
      </c>
      <c r="I13129" s="26" t="str">
        <f t="shared" si="2"/>
        <v/>
      </c>
      <c r="J13129" s="86">
        <f t="shared" si="3"/>
        <v>0</v>
      </c>
      <c r="R13129" s="26"/>
    </row>
    <row r="13130" spans="1:18" ht="15.75" customHeight="1">
      <c r="A13130" s="26"/>
      <c r="B13130" s="86"/>
      <c r="D13130" s="26"/>
      <c r="F13130" s="87" t="str">
        <f t="shared" si="0"/>
        <v/>
      </c>
      <c r="H13130" s="26" t="str">
        <f t="shared" si="1"/>
        <v/>
      </c>
      <c r="I13130" s="26" t="str">
        <f t="shared" si="2"/>
        <v/>
      </c>
      <c r="J13130" s="86">
        <f t="shared" si="3"/>
        <v>0</v>
      </c>
      <c r="R13130" s="26"/>
    </row>
    <row r="13131" spans="1:18" ht="15.75" customHeight="1">
      <c r="A13131" s="26"/>
      <c r="B13131" s="86"/>
      <c r="D13131" s="26"/>
      <c r="F13131" s="87" t="str">
        <f t="shared" si="0"/>
        <v/>
      </c>
      <c r="H13131" s="26" t="str">
        <f t="shared" si="1"/>
        <v/>
      </c>
      <c r="I13131" s="26" t="str">
        <f t="shared" si="2"/>
        <v/>
      </c>
      <c r="J13131" s="86">
        <f t="shared" si="3"/>
        <v>0</v>
      </c>
      <c r="R13131" s="26"/>
    </row>
    <row r="13132" spans="1:18" ht="15.75" customHeight="1">
      <c r="A13132" s="26"/>
      <c r="B13132" s="86"/>
      <c r="D13132" s="26"/>
      <c r="F13132" s="87" t="str">
        <f t="shared" si="0"/>
        <v/>
      </c>
      <c r="H13132" s="26" t="str">
        <f t="shared" si="1"/>
        <v/>
      </c>
      <c r="I13132" s="26" t="str">
        <f t="shared" si="2"/>
        <v/>
      </c>
      <c r="J13132" s="86">
        <f t="shared" si="3"/>
        <v>0</v>
      </c>
      <c r="R13132" s="26"/>
    </row>
    <row r="13133" spans="1:18" ht="15.75" customHeight="1">
      <c r="A13133" s="26"/>
      <c r="B13133" s="86"/>
      <c r="D13133" s="26"/>
      <c r="F13133" s="87" t="str">
        <f t="shared" si="0"/>
        <v/>
      </c>
      <c r="H13133" s="26" t="str">
        <f t="shared" si="1"/>
        <v/>
      </c>
      <c r="I13133" s="26" t="str">
        <f t="shared" si="2"/>
        <v/>
      </c>
      <c r="J13133" s="86">
        <f t="shared" si="3"/>
        <v>0</v>
      </c>
      <c r="R13133" s="26"/>
    </row>
    <row r="13134" spans="1:18" ht="15.75" customHeight="1">
      <c r="A13134" s="26"/>
      <c r="B13134" s="86"/>
      <c r="D13134" s="26"/>
      <c r="F13134" s="87" t="str">
        <f t="shared" si="0"/>
        <v/>
      </c>
      <c r="H13134" s="26" t="str">
        <f t="shared" si="1"/>
        <v/>
      </c>
      <c r="I13134" s="26" t="str">
        <f t="shared" si="2"/>
        <v/>
      </c>
      <c r="J13134" s="86">
        <f t="shared" si="3"/>
        <v>0</v>
      </c>
      <c r="R13134" s="26"/>
    </row>
    <row r="13135" spans="1:18" ht="15.75" customHeight="1">
      <c r="A13135" s="26"/>
      <c r="B13135" s="86"/>
      <c r="D13135" s="26"/>
      <c r="F13135" s="87" t="str">
        <f t="shared" si="0"/>
        <v/>
      </c>
      <c r="H13135" s="26" t="str">
        <f t="shared" si="1"/>
        <v/>
      </c>
      <c r="I13135" s="26" t="str">
        <f t="shared" si="2"/>
        <v/>
      </c>
      <c r="J13135" s="86">
        <f t="shared" si="3"/>
        <v>0</v>
      </c>
      <c r="R13135" s="26"/>
    </row>
    <row r="13136" spans="1:18" ht="15.75" customHeight="1">
      <c r="A13136" s="26"/>
      <c r="B13136" s="86"/>
      <c r="D13136" s="26"/>
      <c r="F13136" s="87" t="str">
        <f t="shared" si="0"/>
        <v/>
      </c>
      <c r="H13136" s="26" t="str">
        <f t="shared" si="1"/>
        <v/>
      </c>
      <c r="I13136" s="26" t="str">
        <f t="shared" si="2"/>
        <v/>
      </c>
      <c r="J13136" s="86">
        <f t="shared" si="3"/>
        <v>0</v>
      </c>
      <c r="R13136" s="26"/>
    </row>
    <row r="13137" spans="1:18" ht="15.75" customHeight="1">
      <c r="A13137" s="26"/>
      <c r="B13137" s="86"/>
      <c r="D13137" s="26"/>
      <c r="F13137" s="87" t="str">
        <f t="shared" si="0"/>
        <v/>
      </c>
      <c r="H13137" s="26" t="str">
        <f t="shared" si="1"/>
        <v/>
      </c>
      <c r="I13137" s="26" t="str">
        <f t="shared" si="2"/>
        <v/>
      </c>
      <c r="J13137" s="86">
        <f t="shared" si="3"/>
        <v>0</v>
      </c>
      <c r="R13137" s="26"/>
    </row>
    <row r="13138" spans="1:18" ht="15.75" customHeight="1">
      <c r="A13138" s="26"/>
      <c r="B13138" s="86"/>
      <c r="D13138" s="26"/>
      <c r="F13138" s="87" t="str">
        <f t="shared" si="0"/>
        <v/>
      </c>
      <c r="H13138" s="26" t="str">
        <f t="shared" si="1"/>
        <v/>
      </c>
      <c r="I13138" s="26" t="str">
        <f t="shared" si="2"/>
        <v/>
      </c>
      <c r="J13138" s="86">
        <f t="shared" si="3"/>
        <v>0</v>
      </c>
      <c r="R13138" s="26"/>
    </row>
    <row r="13139" spans="1:18" ht="15.75" customHeight="1">
      <c r="A13139" s="26"/>
      <c r="B13139" s="86"/>
      <c r="D13139" s="26"/>
      <c r="F13139" s="87" t="str">
        <f t="shared" si="0"/>
        <v/>
      </c>
      <c r="H13139" s="26" t="str">
        <f t="shared" si="1"/>
        <v/>
      </c>
      <c r="I13139" s="26" t="str">
        <f t="shared" si="2"/>
        <v/>
      </c>
      <c r="J13139" s="86">
        <f t="shared" si="3"/>
        <v>0</v>
      </c>
      <c r="R13139" s="26"/>
    </row>
    <row r="13140" spans="1:18" ht="15.75" customHeight="1">
      <c r="A13140" s="26"/>
      <c r="B13140" s="86"/>
      <c r="D13140" s="26"/>
      <c r="F13140" s="87" t="str">
        <f t="shared" si="0"/>
        <v/>
      </c>
      <c r="H13140" s="26" t="str">
        <f t="shared" si="1"/>
        <v/>
      </c>
      <c r="I13140" s="26" t="str">
        <f t="shared" si="2"/>
        <v/>
      </c>
      <c r="J13140" s="86">
        <f t="shared" si="3"/>
        <v>0</v>
      </c>
      <c r="R13140" s="26"/>
    </row>
    <row r="13141" spans="1:18" ht="15.75" customHeight="1">
      <c r="A13141" s="26"/>
      <c r="B13141" s="86"/>
      <c r="D13141" s="26"/>
      <c r="F13141" s="87" t="str">
        <f t="shared" si="0"/>
        <v/>
      </c>
      <c r="H13141" s="26" t="str">
        <f t="shared" si="1"/>
        <v/>
      </c>
      <c r="I13141" s="26" t="str">
        <f t="shared" si="2"/>
        <v/>
      </c>
      <c r="J13141" s="86">
        <f t="shared" si="3"/>
        <v>0</v>
      </c>
      <c r="R13141" s="26"/>
    </row>
    <row r="13142" spans="1:18" ht="15.75" customHeight="1">
      <c r="A13142" s="26"/>
      <c r="B13142" s="86"/>
      <c r="D13142" s="26"/>
      <c r="F13142" s="87" t="str">
        <f t="shared" si="0"/>
        <v/>
      </c>
      <c r="H13142" s="26" t="str">
        <f t="shared" si="1"/>
        <v/>
      </c>
      <c r="I13142" s="26" t="str">
        <f t="shared" si="2"/>
        <v/>
      </c>
      <c r="J13142" s="86">
        <f t="shared" si="3"/>
        <v>0</v>
      </c>
      <c r="R13142" s="26"/>
    </row>
    <row r="13143" spans="1:18" ht="15.75" customHeight="1">
      <c r="A13143" s="26"/>
      <c r="B13143" s="86"/>
      <c r="D13143" s="26"/>
      <c r="F13143" s="87" t="str">
        <f t="shared" si="0"/>
        <v/>
      </c>
      <c r="H13143" s="26" t="str">
        <f t="shared" si="1"/>
        <v/>
      </c>
      <c r="I13143" s="26" t="str">
        <f t="shared" si="2"/>
        <v/>
      </c>
      <c r="J13143" s="86">
        <f t="shared" si="3"/>
        <v>0</v>
      </c>
      <c r="R13143" s="26"/>
    </row>
    <row r="13144" spans="1:18" ht="15.75" customHeight="1">
      <c r="A13144" s="26"/>
      <c r="B13144" s="86"/>
      <c r="D13144" s="26"/>
      <c r="F13144" s="87" t="str">
        <f t="shared" si="0"/>
        <v/>
      </c>
      <c r="H13144" s="26" t="str">
        <f t="shared" si="1"/>
        <v/>
      </c>
      <c r="I13144" s="26" t="str">
        <f t="shared" si="2"/>
        <v/>
      </c>
      <c r="J13144" s="86">
        <f t="shared" si="3"/>
        <v>0</v>
      </c>
      <c r="R13144" s="26"/>
    </row>
    <row r="13145" spans="1:18" ht="15.75" customHeight="1">
      <c r="A13145" s="26"/>
      <c r="B13145" s="86"/>
      <c r="D13145" s="26"/>
      <c r="F13145" s="87" t="str">
        <f t="shared" si="0"/>
        <v/>
      </c>
      <c r="H13145" s="26" t="str">
        <f t="shared" si="1"/>
        <v/>
      </c>
      <c r="I13145" s="26" t="str">
        <f t="shared" si="2"/>
        <v/>
      </c>
      <c r="J13145" s="86">
        <f t="shared" si="3"/>
        <v>0</v>
      </c>
      <c r="R13145" s="26"/>
    </row>
    <row r="13146" spans="1:18" ht="15.75" customHeight="1">
      <c r="A13146" s="26"/>
      <c r="B13146" s="86"/>
      <c r="D13146" s="26"/>
      <c r="F13146" s="87" t="str">
        <f t="shared" si="0"/>
        <v/>
      </c>
      <c r="H13146" s="26" t="str">
        <f t="shared" si="1"/>
        <v/>
      </c>
      <c r="I13146" s="26" t="str">
        <f t="shared" si="2"/>
        <v/>
      </c>
      <c r="J13146" s="86">
        <f t="shared" si="3"/>
        <v>0</v>
      </c>
      <c r="R13146" s="26"/>
    </row>
    <row r="13147" spans="1:18" ht="15.75" customHeight="1">
      <c r="A13147" s="26"/>
      <c r="B13147" s="86"/>
      <c r="D13147" s="26"/>
      <c r="F13147" s="87" t="str">
        <f t="shared" si="0"/>
        <v/>
      </c>
      <c r="H13147" s="26" t="str">
        <f t="shared" si="1"/>
        <v/>
      </c>
      <c r="I13147" s="26" t="str">
        <f t="shared" si="2"/>
        <v/>
      </c>
      <c r="J13147" s="86">
        <f t="shared" si="3"/>
        <v>0</v>
      </c>
      <c r="R13147" s="26"/>
    </row>
    <row r="13148" spans="1:18" ht="15.75" customHeight="1">
      <c r="A13148" s="26"/>
      <c r="B13148" s="86"/>
      <c r="D13148" s="26"/>
      <c r="F13148" s="87" t="str">
        <f t="shared" si="0"/>
        <v/>
      </c>
      <c r="H13148" s="26" t="str">
        <f t="shared" si="1"/>
        <v/>
      </c>
      <c r="I13148" s="26" t="str">
        <f t="shared" si="2"/>
        <v/>
      </c>
      <c r="J13148" s="86">
        <f t="shared" si="3"/>
        <v>0</v>
      </c>
      <c r="R13148" s="26"/>
    </row>
    <row r="13149" spans="1:18" ht="15.75" customHeight="1">
      <c r="A13149" s="26"/>
      <c r="B13149" s="86"/>
      <c r="D13149" s="26"/>
      <c r="F13149" s="87" t="str">
        <f t="shared" si="0"/>
        <v/>
      </c>
      <c r="H13149" s="26" t="str">
        <f t="shared" si="1"/>
        <v/>
      </c>
      <c r="I13149" s="26" t="str">
        <f t="shared" si="2"/>
        <v/>
      </c>
      <c r="J13149" s="86">
        <f t="shared" si="3"/>
        <v>0</v>
      </c>
      <c r="R13149" s="26"/>
    </row>
    <row r="13150" spans="1:18" ht="15.75" customHeight="1">
      <c r="A13150" s="26"/>
      <c r="B13150" s="86"/>
      <c r="D13150" s="26"/>
      <c r="F13150" s="87" t="str">
        <f t="shared" si="0"/>
        <v/>
      </c>
      <c r="H13150" s="26" t="str">
        <f t="shared" si="1"/>
        <v/>
      </c>
      <c r="I13150" s="26" t="str">
        <f t="shared" si="2"/>
        <v/>
      </c>
      <c r="J13150" s="86">
        <f t="shared" si="3"/>
        <v>0</v>
      </c>
      <c r="R13150" s="26"/>
    </row>
    <row r="13151" spans="1:18" ht="15.75" customHeight="1">
      <c r="A13151" s="26"/>
      <c r="B13151" s="86"/>
      <c r="D13151" s="26"/>
      <c r="F13151" s="87" t="str">
        <f t="shared" si="0"/>
        <v/>
      </c>
      <c r="H13151" s="26" t="str">
        <f t="shared" si="1"/>
        <v/>
      </c>
      <c r="I13151" s="26" t="str">
        <f t="shared" si="2"/>
        <v/>
      </c>
      <c r="J13151" s="86">
        <f t="shared" si="3"/>
        <v>0</v>
      </c>
      <c r="R13151" s="26"/>
    </row>
    <row r="13152" spans="1:18" ht="15.75" customHeight="1">
      <c r="A13152" s="26"/>
      <c r="B13152" s="86"/>
      <c r="D13152" s="26"/>
      <c r="F13152" s="87" t="str">
        <f t="shared" si="0"/>
        <v/>
      </c>
      <c r="H13152" s="26" t="str">
        <f t="shared" si="1"/>
        <v/>
      </c>
      <c r="I13152" s="26" t="str">
        <f t="shared" si="2"/>
        <v/>
      </c>
      <c r="J13152" s="86">
        <f t="shared" si="3"/>
        <v>0</v>
      </c>
      <c r="R13152" s="26"/>
    </row>
    <row r="13153" spans="1:18" ht="15.75" customHeight="1">
      <c r="A13153" s="26"/>
      <c r="B13153" s="86"/>
      <c r="D13153" s="26"/>
      <c r="F13153" s="87" t="str">
        <f t="shared" si="0"/>
        <v/>
      </c>
      <c r="H13153" s="26" t="str">
        <f t="shared" si="1"/>
        <v/>
      </c>
      <c r="I13153" s="26" t="str">
        <f t="shared" si="2"/>
        <v/>
      </c>
      <c r="J13153" s="86">
        <f t="shared" si="3"/>
        <v>0</v>
      </c>
      <c r="R13153" s="26"/>
    </row>
    <row r="13154" spans="1:18" ht="15.75" customHeight="1">
      <c r="A13154" s="26"/>
      <c r="B13154" s="86"/>
      <c r="D13154" s="26"/>
      <c r="F13154" s="87" t="str">
        <f t="shared" si="0"/>
        <v/>
      </c>
      <c r="H13154" s="26" t="str">
        <f t="shared" si="1"/>
        <v/>
      </c>
      <c r="I13154" s="26" t="str">
        <f t="shared" si="2"/>
        <v/>
      </c>
      <c r="J13154" s="86">
        <f t="shared" si="3"/>
        <v>0</v>
      </c>
      <c r="R13154" s="26"/>
    </row>
    <row r="13155" spans="1:18" ht="15.75" customHeight="1">
      <c r="A13155" s="26"/>
      <c r="B13155" s="86"/>
      <c r="D13155" s="26"/>
      <c r="F13155" s="87" t="str">
        <f t="shared" si="0"/>
        <v/>
      </c>
      <c r="H13155" s="26" t="str">
        <f t="shared" si="1"/>
        <v/>
      </c>
      <c r="I13155" s="26" t="str">
        <f t="shared" si="2"/>
        <v/>
      </c>
      <c r="J13155" s="86">
        <f t="shared" si="3"/>
        <v>0</v>
      </c>
      <c r="R13155" s="26"/>
    </row>
    <row r="13156" spans="1:18" ht="15.75" customHeight="1">
      <c r="A13156" s="26"/>
      <c r="B13156" s="86"/>
      <c r="D13156" s="26"/>
      <c r="F13156" s="87" t="str">
        <f t="shared" si="0"/>
        <v/>
      </c>
      <c r="H13156" s="26" t="str">
        <f t="shared" si="1"/>
        <v/>
      </c>
      <c r="I13156" s="26" t="str">
        <f t="shared" si="2"/>
        <v/>
      </c>
      <c r="J13156" s="86">
        <f t="shared" si="3"/>
        <v>0</v>
      </c>
      <c r="R13156" s="26"/>
    </row>
    <row r="13157" spans="1:18" ht="15.75" customHeight="1">
      <c r="A13157" s="26"/>
      <c r="B13157" s="86"/>
      <c r="D13157" s="26"/>
      <c r="F13157" s="87" t="str">
        <f t="shared" si="0"/>
        <v/>
      </c>
      <c r="H13157" s="26" t="str">
        <f t="shared" si="1"/>
        <v/>
      </c>
      <c r="I13157" s="26" t="str">
        <f t="shared" si="2"/>
        <v/>
      </c>
      <c r="J13157" s="86">
        <f t="shared" si="3"/>
        <v>0</v>
      </c>
      <c r="R13157" s="26"/>
    </row>
    <row r="13158" spans="1:18" ht="15.75" customHeight="1">
      <c r="A13158" s="26"/>
      <c r="B13158" s="86"/>
      <c r="D13158" s="26"/>
      <c r="F13158" s="87" t="str">
        <f t="shared" si="0"/>
        <v/>
      </c>
      <c r="H13158" s="26" t="str">
        <f t="shared" si="1"/>
        <v/>
      </c>
      <c r="I13158" s="26" t="str">
        <f t="shared" si="2"/>
        <v/>
      </c>
      <c r="J13158" s="86">
        <f t="shared" si="3"/>
        <v>0</v>
      </c>
      <c r="R13158" s="26"/>
    </row>
    <row r="13159" spans="1:18" ht="15.75" customHeight="1">
      <c r="A13159" s="26"/>
      <c r="B13159" s="86"/>
      <c r="D13159" s="26"/>
      <c r="F13159" s="87" t="str">
        <f t="shared" si="0"/>
        <v/>
      </c>
      <c r="H13159" s="26" t="str">
        <f t="shared" si="1"/>
        <v/>
      </c>
      <c r="I13159" s="26" t="str">
        <f t="shared" si="2"/>
        <v/>
      </c>
      <c r="J13159" s="86">
        <f t="shared" si="3"/>
        <v>0</v>
      </c>
      <c r="R13159" s="26"/>
    </row>
    <row r="13160" spans="1:18" ht="15.75" customHeight="1">
      <c r="A13160" s="26"/>
      <c r="B13160" s="86"/>
      <c r="D13160" s="26"/>
      <c r="F13160" s="87" t="str">
        <f t="shared" si="0"/>
        <v/>
      </c>
      <c r="H13160" s="26" t="str">
        <f t="shared" si="1"/>
        <v/>
      </c>
      <c r="I13160" s="26" t="str">
        <f t="shared" si="2"/>
        <v/>
      </c>
      <c r="J13160" s="86">
        <f t="shared" si="3"/>
        <v>0</v>
      </c>
      <c r="R13160" s="26"/>
    </row>
    <row r="13161" spans="1:18" ht="15.75" customHeight="1">
      <c r="A13161" s="26"/>
      <c r="B13161" s="86"/>
      <c r="D13161" s="26"/>
      <c r="F13161" s="87" t="str">
        <f t="shared" si="0"/>
        <v/>
      </c>
      <c r="H13161" s="26" t="str">
        <f t="shared" si="1"/>
        <v/>
      </c>
      <c r="I13161" s="26" t="str">
        <f t="shared" si="2"/>
        <v/>
      </c>
      <c r="J13161" s="86">
        <f t="shared" si="3"/>
        <v>0</v>
      </c>
      <c r="R13161" s="26"/>
    </row>
    <row r="13162" spans="1:18" ht="15.75" customHeight="1">
      <c r="A13162" s="26"/>
      <c r="B13162" s="86"/>
      <c r="D13162" s="26"/>
      <c r="F13162" s="87" t="str">
        <f t="shared" si="0"/>
        <v/>
      </c>
      <c r="H13162" s="26" t="str">
        <f t="shared" si="1"/>
        <v/>
      </c>
      <c r="I13162" s="26" t="str">
        <f t="shared" si="2"/>
        <v/>
      </c>
      <c r="J13162" s="86">
        <f t="shared" si="3"/>
        <v>0</v>
      </c>
      <c r="R13162" s="26"/>
    </row>
    <row r="13163" spans="1:18" ht="15.75" customHeight="1">
      <c r="A13163" s="26"/>
      <c r="B13163" s="86"/>
      <c r="D13163" s="26"/>
      <c r="F13163" s="87" t="str">
        <f t="shared" si="0"/>
        <v/>
      </c>
      <c r="H13163" s="26" t="str">
        <f t="shared" si="1"/>
        <v/>
      </c>
      <c r="I13163" s="26" t="str">
        <f t="shared" si="2"/>
        <v/>
      </c>
      <c r="J13163" s="86">
        <f t="shared" si="3"/>
        <v>0</v>
      </c>
      <c r="R13163" s="26"/>
    </row>
    <row r="13164" spans="1:18" ht="15.75" customHeight="1">
      <c r="A13164" s="26"/>
      <c r="B13164" s="86"/>
      <c r="D13164" s="26"/>
      <c r="F13164" s="87" t="str">
        <f t="shared" si="0"/>
        <v/>
      </c>
      <c r="H13164" s="26" t="str">
        <f t="shared" si="1"/>
        <v/>
      </c>
      <c r="I13164" s="26" t="str">
        <f t="shared" si="2"/>
        <v/>
      </c>
      <c r="J13164" s="86">
        <f t="shared" si="3"/>
        <v>0</v>
      </c>
      <c r="R13164" s="26"/>
    </row>
    <row r="13165" spans="1:18" ht="15.75" customHeight="1">
      <c r="A13165" s="26"/>
      <c r="B13165" s="86"/>
      <c r="D13165" s="26"/>
      <c r="F13165" s="87" t="str">
        <f t="shared" si="0"/>
        <v/>
      </c>
      <c r="H13165" s="26" t="str">
        <f t="shared" si="1"/>
        <v/>
      </c>
      <c r="I13165" s="26" t="str">
        <f t="shared" si="2"/>
        <v/>
      </c>
      <c r="J13165" s="86">
        <f t="shared" si="3"/>
        <v>0</v>
      </c>
      <c r="R13165" s="26"/>
    </row>
    <row r="13166" spans="1:18" ht="15.75" customHeight="1">
      <c r="A13166" s="26"/>
      <c r="B13166" s="86"/>
      <c r="D13166" s="26"/>
      <c r="F13166" s="87" t="str">
        <f t="shared" si="0"/>
        <v/>
      </c>
      <c r="H13166" s="26" t="str">
        <f t="shared" si="1"/>
        <v/>
      </c>
      <c r="I13166" s="26" t="str">
        <f t="shared" si="2"/>
        <v/>
      </c>
      <c r="J13166" s="86">
        <f t="shared" si="3"/>
        <v>0</v>
      </c>
      <c r="R13166" s="26"/>
    </row>
    <row r="13167" spans="1:18" ht="15.75" customHeight="1">
      <c r="A13167" s="26"/>
      <c r="B13167" s="86"/>
      <c r="D13167" s="26"/>
      <c r="F13167" s="87" t="str">
        <f t="shared" si="0"/>
        <v/>
      </c>
      <c r="H13167" s="26" t="str">
        <f t="shared" si="1"/>
        <v/>
      </c>
      <c r="I13167" s="26" t="str">
        <f t="shared" si="2"/>
        <v/>
      </c>
      <c r="J13167" s="86">
        <f t="shared" si="3"/>
        <v>0</v>
      </c>
      <c r="R13167" s="26"/>
    </row>
    <row r="13168" spans="1:18" ht="15.75" customHeight="1">
      <c r="A13168" s="26"/>
      <c r="B13168" s="86"/>
      <c r="D13168" s="26"/>
      <c r="F13168" s="87" t="str">
        <f t="shared" si="0"/>
        <v/>
      </c>
      <c r="H13168" s="26" t="str">
        <f t="shared" si="1"/>
        <v/>
      </c>
      <c r="I13168" s="26" t="str">
        <f t="shared" si="2"/>
        <v/>
      </c>
      <c r="J13168" s="86">
        <f t="shared" si="3"/>
        <v>0</v>
      </c>
      <c r="R13168" s="26"/>
    </row>
    <row r="13169" spans="1:18" ht="15.75" customHeight="1">
      <c r="A13169" s="26"/>
      <c r="B13169" s="86"/>
      <c r="D13169" s="26"/>
      <c r="F13169" s="87" t="str">
        <f t="shared" si="0"/>
        <v/>
      </c>
      <c r="H13169" s="26" t="str">
        <f t="shared" si="1"/>
        <v/>
      </c>
      <c r="I13169" s="26" t="str">
        <f t="shared" si="2"/>
        <v/>
      </c>
      <c r="J13169" s="86">
        <f t="shared" si="3"/>
        <v>0</v>
      </c>
      <c r="R13169" s="26"/>
    </row>
    <row r="13170" spans="1:18" ht="15.75" customHeight="1">
      <c r="A13170" s="26"/>
      <c r="B13170" s="86"/>
      <c r="D13170" s="26"/>
      <c r="F13170" s="87" t="str">
        <f t="shared" si="0"/>
        <v/>
      </c>
      <c r="H13170" s="26" t="str">
        <f t="shared" si="1"/>
        <v/>
      </c>
      <c r="I13170" s="26" t="str">
        <f t="shared" si="2"/>
        <v/>
      </c>
      <c r="J13170" s="86">
        <f t="shared" si="3"/>
        <v>0</v>
      </c>
      <c r="R13170" s="26"/>
    </row>
    <row r="13171" spans="1:18" ht="15.75" customHeight="1">
      <c r="A13171" s="26"/>
      <c r="B13171" s="86"/>
      <c r="D13171" s="26"/>
      <c r="F13171" s="87" t="str">
        <f t="shared" si="0"/>
        <v/>
      </c>
      <c r="H13171" s="26" t="str">
        <f t="shared" si="1"/>
        <v/>
      </c>
      <c r="I13171" s="26" t="str">
        <f t="shared" si="2"/>
        <v/>
      </c>
      <c r="J13171" s="86">
        <f t="shared" si="3"/>
        <v>0</v>
      </c>
      <c r="R13171" s="26"/>
    </row>
    <row r="13172" spans="1:18" ht="15.75" customHeight="1">
      <c r="A13172" s="26"/>
      <c r="B13172" s="86"/>
      <c r="D13172" s="26"/>
      <c r="F13172" s="87" t="str">
        <f t="shared" si="0"/>
        <v/>
      </c>
      <c r="H13172" s="26" t="str">
        <f t="shared" si="1"/>
        <v/>
      </c>
      <c r="I13172" s="26" t="str">
        <f t="shared" si="2"/>
        <v/>
      </c>
      <c r="J13172" s="86">
        <f t="shared" si="3"/>
        <v>0</v>
      </c>
      <c r="R13172" s="26"/>
    </row>
    <row r="13173" spans="1:18" ht="15.75" customHeight="1">
      <c r="A13173" s="26"/>
      <c r="B13173" s="86"/>
      <c r="D13173" s="26"/>
      <c r="F13173" s="87" t="str">
        <f t="shared" si="0"/>
        <v/>
      </c>
      <c r="H13173" s="26" t="str">
        <f t="shared" si="1"/>
        <v/>
      </c>
      <c r="I13173" s="26" t="str">
        <f t="shared" si="2"/>
        <v/>
      </c>
      <c r="J13173" s="86">
        <f t="shared" si="3"/>
        <v>0</v>
      </c>
      <c r="R13173" s="26"/>
    </row>
    <row r="13174" spans="1:18" ht="15.75" customHeight="1">
      <c r="A13174" s="26"/>
      <c r="B13174" s="86"/>
      <c r="D13174" s="26"/>
      <c r="F13174" s="87" t="str">
        <f t="shared" si="0"/>
        <v/>
      </c>
      <c r="H13174" s="26" t="str">
        <f t="shared" si="1"/>
        <v/>
      </c>
      <c r="I13174" s="26" t="str">
        <f t="shared" si="2"/>
        <v/>
      </c>
      <c r="J13174" s="86">
        <f t="shared" si="3"/>
        <v>0</v>
      </c>
      <c r="R13174" s="26"/>
    </row>
    <row r="13175" spans="1:18" ht="15.75" customHeight="1">
      <c r="A13175" s="26"/>
      <c r="B13175" s="86"/>
      <c r="D13175" s="26"/>
      <c r="F13175" s="87" t="str">
        <f t="shared" si="0"/>
        <v/>
      </c>
      <c r="H13175" s="26" t="str">
        <f t="shared" si="1"/>
        <v/>
      </c>
      <c r="I13175" s="26" t="str">
        <f t="shared" si="2"/>
        <v/>
      </c>
      <c r="J13175" s="86">
        <f t="shared" si="3"/>
        <v>0</v>
      </c>
      <c r="R13175" s="26"/>
    </row>
    <row r="13176" spans="1:18" ht="15.75" customHeight="1">
      <c r="A13176" s="26"/>
      <c r="B13176" s="86"/>
      <c r="D13176" s="26"/>
      <c r="F13176" s="87" t="str">
        <f t="shared" si="0"/>
        <v/>
      </c>
      <c r="H13176" s="26" t="str">
        <f t="shared" si="1"/>
        <v/>
      </c>
      <c r="I13176" s="26" t="str">
        <f t="shared" si="2"/>
        <v/>
      </c>
      <c r="J13176" s="86">
        <f t="shared" si="3"/>
        <v>0</v>
      </c>
      <c r="R13176" s="26"/>
    </row>
    <row r="13177" spans="1:18" ht="15.75" customHeight="1">
      <c r="A13177" s="26"/>
      <c r="B13177" s="86"/>
      <c r="D13177" s="26"/>
      <c r="F13177" s="87" t="str">
        <f t="shared" si="0"/>
        <v/>
      </c>
      <c r="H13177" s="26" t="str">
        <f t="shared" si="1"/>
        <v/>
      </c>
      <c r="I13177" s="26" t="str">
        <f t="shared" si="2"/>
        <v/>
      </c>
      <c r="J13177" s="86">
        <f t="shared" si="3"/>
        <v>0</v>
      </c>
      <c r="R13177" s="26"/>
    </row>
    <row r="13178" spans="1:18" ht="15.75" customHeight="1">
      <c r="A13178" s="26"/>
      <c r="B13178" s="86"/>
      <c r="D13178" s="26"/>
      <c r="F13178" s="87" t="str">
        <f t="shared" si="0"/>
        <v/>
      </c>
      <c r="H13178" s="26" t="str">
        <f t="shared" si="1"/>
        <v/>
      </c>
      <c r="I13178" s="26" t="str">
        <f t="shared" si="2"/>
        <v/>
      </c>
      <c r="J13178" s="86">
        <f t="shared" si="3"/>
        <v>0</v>
      </c>
      <c r="R13178" s="26"/>
    </row>
    <row r="13179" spans="1:18" ht="15.75" customHeight="1">
      <c r="A13179" s="26"/>
      <c r="B13179" s="86"/>
      <c r="D13179" s="26"/>
      <c r="F13179" s="87" t="str">
        <f t="shared" si="0"/>
        <v/>
      </c>
      <c r="H13179" s="26" t="str">
        <f t="shared" si="1"/>
        <v/>
      </c>
      <c r="I13179" s="26" t="str">
        <f t="shared" si="2"/>
        <v/>
      </c>
      <c r="J13179" s="86">
        <f t="shared" si="3"/>
        <v>0</v>
      </c>
      <c r="R13179" s="26"/>
    </row>
    <row r="13180" spans="1:18" ht="15.75" customHeight="1">
      <c r="A13180" s="26"/>
      <c r="B13180" s="86"/>
      <c r="D13180" s="26"/>
      <c r="F13180" s="87" t="str">
        <f t="shared" si="0"/>
        <v/>
      </c>
      <c r="H13180" s="26" t="str">
        <f t="shared" si="1"/>
        <v/>
      </c>
      <c r="I13180" s="26" t="str">
        <f t="shared" si="2"/>
        <v/>
      </c>
      <c r="J13180" s="86">
        <f t="shared" si="3"/>
        <v>0</v>
      </c>
      <c r="R13180" s="26"/>
    </row>
    <row r="13181" spans="1:18" ht="15.75" customHeight="1">
      <c r="A13181" s="26"/>
      <c r="B13181" s="86"/>
      <c r="D13181" s="26"/>
      <c r="F13181" s="87" t="str">
        <f t="shared" si="0"/>
        <v/>
      </c>
      <c r="H13181" s="26" t="str">
        <f t="shared" si="1"/>
        <v/>
      </c>
      <c r="I13181" s="26" t="str">
        <f t="shared" si="2"/>
        <v/>
      </c>
      <c r="J13181" s="86">
        <f t="shared" si="3"/>
        <v>0</v>
      </c>
      <c r="R13181" s="26"/>
    </row>
    <row r="13182" spans="1:18" ht="15.75" customHeight="1">
      <c r="A13182" s="26"/>
      <c r="B13182" s="86"/>
      <c r="D13182" s="26"/>
      <c r="F13182" s="87" t="str">
        <f t="shared" si="0"/>
        <v/>
      </c>
      <c r="H13182" s="26" t="str">
        <f t="shared" si="1"/>
        <v/>
      </c>
      <c r="I13182" s="26" t="str">
        <f t="shared" si="2"/>
        <v/>
      </c>
      <c r="J13182" s="86">
        <f t="shared" si="3"/>
        <v>0</v>
      </c>
      <c r="R13182" s="26"/>
    </row>
    <row r="13183" spans="1:18" ht="15.75" customHeight="1">
      <c r="A13183" s="26"/>
      <c r="B13183" s="86"/>
      <c r="D13183" s="26"/>
      <c r="F13183" s="87" t="str">
        <f t="shared" si="0"/>
        <v/>
      </c>
      <c r="H13183" s="26" t="str">
        <f t="shared" si="1"/>
        <v/>
      </c>
      <c r="I13183" s="26" t="str">
        <f t="shared" si="2"/>
        <v/>
      </c>
      <c r="J13183" s="86">
        <f t="shared" si="3"/>
        <v>0</v>
      </c>
      <c r="R13183" s="26"/>
    </row>
    <row r="13184" spans="1:18" ht="15.75" customHeight="1">
      <c r="A13184" s="26"/>
      <c r="B13184" s="86"/>
      <c r="D13184" s="26"/>
      <c r="F13184" s="87" t="str">
        <f t="shared" si="0"/>
        <v/>
      </c>
      <c r="H13184" s="26" t="str">
        <f t="shared" si="1"/>
        <v/>
      </c>
      <c r="I13184" s="26" t="str">
        <f t="shared" si="2"/>
        <v/>
      </c>
      <c r="J13184" s="86">
        <f t="shared" si="3"/>
        <v>0</v>
      </c>
      <c r="R13184" s="26"/>
    </row>
    <row r="13185" spans="1:18" ht="15.75" customHeight="1">
      <c r="A13185" s="26"/>
      <c r="B13185" s="86"/>
      <c r="D13185" s="26"/>
      <c r="F13185" s="87" t="str">
        <f t="shared" si="0"/>
        <v/>
      </c>
      <c r="H13185" s="26" t="str">
        <f t="shared" si="1"/>
        <v/>
      </c>
      <c r="I13185" s="26" t="str">
        <f t="shared" si="2"/>
        <v/>
      </c>
      <c r="J13185" s="86">
        <f t="shared" si="3"/>
        <v>0</v>
      </c>
      <c r="R13185" s="26"/>
    </row>
    <row r="13186" spans="1:18" ht="15.75" customHeight="1">
      <c r="A13186" s="26"/>
      <c r="B13186" s="86"/>
      <c r="D13186" s="26"/>
      <c r="F13186" s="87" t="str">
        <f t="shared" si="0"/>
        <v/>
      </c>
      <c r="H13186" s="26" t="str">
        <f t="shared" si="1"/>
        <v/>
      </c>
      <c r="I13186" s="26" t="str">
        <f t="shared" si="2"/>
        <v/>
      </c>
      <c r="J13186" s="86">
        <f t="shared" si="3"/>
        <v>0</v>
      </c>
      <c r="R13186" s="26"/>
    </row>
    <row r="13187" spans="1:18" ht="15.75" customHeight="1">
      <c r="A13187" s="26"/>
      <c r="B13187" s="86"/>
      <c r="D13187" s="26"/>
      <c r="F13187" s="87" t="str">
        <f t="shared" si="0"/>
        <v/>
      </c>
      <c r="H13187" s="26" t="str">
        <f t="shared" si="1"/>
        <v/>
      </c>
      <c r="I13187" s="26" t="str">
        <f t="shared" si="2"/>
        <v/>
      </c>
      <c r="J13187" s="86">
        <f t="shared" si="3"/>
        <v>0</v>
      </c>
      <c r="R13187" s="26"/>
    </row>
    <row r="13188" spans="1:18" ht="15.75" customHeight="1">
      <c r="A13188" s="26"/>
      <c r="B13188" s="86"/>
      <c r="D13188" s="26"/>
      <c r="F13188" s="87" t="str">
        <f t="shared" si="0"/>
        <v/>
      </c>
      <c r="H13188" s="26" t="str">
        <f t="shared" si="1"/>
        <v/>
      </c>
      <c r="I13188" s="26" t="str">
        <f t="shared" si="2"/>
        <v/>
      </c>
      <c r="J13188" s="86">
        <f t="shared" si="3"/>
        <v>0</v>
      </c>
      <c r="R13188" s="26"/>
    </row>
    <row r="13189" spans="1:18" ht="15.75" customHeight="1">
      <c r="A13189" s="26"/>
      <c r="B13189" s="86"/>
      <c r="D13189" s="26"/>
      <c r="F13189" s="87" t="str">
        <f t="shared" si="0"/>
        <v/>
      </c>
      <c r="H13189" s="26" t="str">
        <f t="shared" si="1"/>
        <v/>
      </c>
      <c r="I13189" s="26" t="str">
        <f t="shared" si="2"/>
        <v/>
      </c>
      <c r="J13189" s="86">
        <f t="shared" si="3"/>
        <v>0</v>
      </c>
      <c r="R13189" s="26"/>
    </row>
    <row r="13190" spans="1:18" ht="15.75" customHeight="1">
      <c r="A13190" s="26"/>
      <c r="B13190" s="86"/>
      <c r="D13190" s="26"/>
      <c r="F13190" s="87" t="str">
        <f t="shared" si="0"/>
        <v/>
      </c>
      <c r="H13190" s="26" t="str">
        <f t="shared" si="1"/>
        <v/>
      </c>
      <c r="I13190" s="26" t="str">
        <f t="shared" si="2"/>
        <v/>
      </c>
      <c r="J13190" s="86">
        <f t="shared" si="3"/>
        <v>0</v>
      </c>
      <c r="R13190" s="26"/>
    </row>
    <row r="13191" spans="1:18" ht="15.75" customHeight="1">
      <c r="A13191" s="26"/>
      <c r="B13191" s="86"/>
      <c r="D13191" s="26"/>
      <c r="F13191" s="87" t="str">
        <f t="shared" si="0"/>
        <v/>
      </c>
      <c r="H13191" s="26" t="str">
        <f t="shared" si="1"/>
        <v/>
      </c>
      <c r="I13191" s="26" t="str">
        <f t="shared" si="2"/>
        <v/>
      </c>
      <c r="J13191" s="86">
        <f t="shared" si="3"/>
        <v>0</v>
      </c>
      <c r="R13191" s="26"/>
    </row>
    <row r="13192" spans="1:18" ht="15.75" customHeight="1">
      <c r="A13192" s="26"/>
      <c r="B13192" s="86"/>
      <c r="D13192" s="26"/>
      <c r="F13192" s="87" t="str">
        <f t="shared" si="0"/>
        <v/>
      </c>
      <c r="H13192" s="26" t="str">
        <f t="shared" si="1"/>
        <v/>
      </c>
      <c r="I13192" s="26" t="str">
        <f t="shared" si="2"/>
        <v/>
      </c>
      <c r="J13192" s="86">
        <f t="shared" si="3"/>
        <v>0</v>
      </c>
      <c r="R13192" s="26"/>
    </row>
    <row r="13193" spans="1:18" ht="15.75" customHeight="1">
      <c r="A13193" s="26"/>
      <c r="B13193" s="86"/>
      <c r="D13193" s="26"/>
      <c r="F13193" s="87" t="str">
        <f t="shared" si="0"/>
        <v/>
      </c>
      <c r="H13193" s="26" t="str">
        <f t="shared" si="1"/>
        <v/>
      </c>
      <c r="I13193" s="26" t="str">
        <f t="shared" si="2"/>
        <v/>
      </c>
      <c r="J13193" s="86">
        <f t="shared" si="3"/>
        <v>0</v>
      </c>
      <c r="R13193" s="26"/>
    </row>
    <row r="13194" spans="1:18" ht="15.75" customHeight="1">
      <c r="A13194" s="26"/>
      <c r="B13194" s="86"/>
      <c r="D13194" s="26"/>
      <c r="F13194" s="87" t="str">
        <f t="shared" si="0"/>
        <v/>
      </c>
      <c r="H13194" s="26" t="str">
        <f t="shared" si="1"/>
        <v/>
      </c>
      <c r="I13194" s="26" t="str">
        <f t="shared" si="2"/>
        <v/>
      </c>
      <c r="J13194" s="86">
        <f t="shared" si="3"/>
        <v>0</v>
      </c>
      <c r="R13194" s="26"/>
    </row>
    <row r="13195" spans="1:18" ht="15.75" customHeight="1">
      <c r="A13195" s="26"/>
      <c r="B13195" s="86"/>
      <c r="D13195" s="26"/>
      <c r="F13195" s="87" t="str">
        <f t="shared" si="0"/>
        <v/>
      </c>
      <c r="H13195" s="26" t="str">
        <f t="shared" si="1"/>
        <v/>
      </c>
      <c r="I13195" s="26" t="str">
        <f t="shared" si="2"/>
        <v/>
      </c>
      <c r="J13195" s="86">
        <f t="shared" si="3"/>
        <v>0</v>
      </c>
      <c r="R13195" s="26"/>
    </row>
    <row r="13196" spans="1:18" ht="15.75" customHeight="1">
      <c r="A13196" s="26"/>
      <c r="B13196" s="86"/>
      <c r="D13196" s="26"/>
      <c r="F13196" s="87" t="str">
        <f t="shared" si="0"/>
        <v/>
      </c>
      <c r="H13196" s="26" t="str">
        <f t="shared" si="1"/>
        <v/>
      </c>
      <c r="I13196" s="26" t="str">
        <f t="shared" si="2"/>
        <v/>
      </c>
      <c r="J13196" s="86">
        <f t="shared" si="3"/>
        <v>0</v>
      </c>
      <c r="R13196" s="26"/>
    </row>
    <row r="13197" spans="1:18" ht="15.75" customHeight="1">
      <c r="A13197" s="26"/>
      <c r="B13197" s="86"/>
      <c r="D13197" s="26"/>
      <c r="F13197" s="87" t="str">
        <f t="shared" si="0"/>
        <v/>
      </c>
      <c r="H13197" s="26" t="str">
        <f t="shared" si="1"/>
        <v/>
      </c>
      <c r="I13197" s="26" t="str">
        <f t="shared" si="2"/>
        <v/>
      </c>
      <c r="J13197" s="86">
        <f t="shared" si="3"/>
        <v>0</v>
      </c>
      <c r="R13197" s="26"/>
    </row>
    <row r="13198" spans="1:18" ht="15.75" customHeight="1">
      <c r="A13198" s="26"/>
      <c r="B13198" s="86"/>
      <c r="D13198" s="26"/>
      <c r="F13198" s="87" t="str">
        <f t="shared" si="0"/>
        <v/>
      </c>
      <c r="H13198" s="26" t="str">
        <f t="shared" si="1"/>
        <v/>
      </c>
      <c r="I13198" s="26" t="str">
        <f t="shared" si="2"/>
        <v/>
      </c>
      <c r="J13198" s="86">
        <f t="shared" si="3"/>
        <v>0</v>
      </c>
      <c r="R13198" s="26"/>
    </row>
    <row r="13199" spans="1:18" ht="15.75" customHeight="1">
      <c r="A13199" s="26"/>
      <c r="B13199" s="86"/>
      <c r="D13199" s="26"/>
      <c r="F13199" s="87" t="str">
        <f t="shared" si="0"/>
        <v/>
      </c>
      <c r="H13199" s="26" t="str">
        <f t="shared" si="1"/>
        <v/>
      </c>
      <c r="I13199" s="26" t="str">
        <f t="shared" si="2"/>
        <v/>
      </c>
      <c r="J13199" s="86">
        <f t="shared" si="3"/>
        <v>0</v>
      </c>
      <c r="R13199" s="26"/>
    </row>
    <row r="13200" spans="1:18" ht="15.75" customHeight="1">
      <c r="A13200" s="26"/>
      <c r="B13200" s="86"/>
      <c r="D13200" s="26"/>
      <c r="F13200" s="87" t="str">
        <f t="shared" si="0"/>
        <v/>
      </c>
      <c r="H13200" s="26" t="str">
        <f t="shared" si="1"/>
        <v/>
      </c>
      <c r="I13200" s="26" t="str">
        <f t="shared" si="2"/>
        <v/>
      </c>
      <c r="J13200" s="86">
        <f t="shared" si="3"/>
        <v>0</v>
      </c>
      <c r="R13200" s="26"/>
    </row>
    <row r="13201" spans="1:18" ht="15.75" customHeight="1">
      <c r="A13201" s="26"/>
      <c r="B13201" s="86"/>
      <c r="D13201" s="26"/>
      <c r="F13201" s="87" t="str">
        <f t="shared" si="0"/>
        <v/>
      </c>
      <c r="H13201" s="26" t="str">
        <f t="shared" si="1"/>
        <v/>
      </c>
      <c r="I13201" s="26" t="str">
        <f t="shared" si="2"/>
        <v/>
      </c>
      <c r="J13201" s="86">
        <f t="shared" si="3"/>
        <v>0</v>
      </c>
      <c r="R13201" s="26"/>
    </row>
    <row r="13202" spans="1:18" ht="15.75" customHeight="1">
      <c r="A13202" s="26"/>
      <c r="B13202" s="86"/>
      <c r="D13202" s="26"/>
      <c r="F13202" s="87" t="str">
        <f t="shared" si="0"/>
        <v/>
      </c>
      <c r="H13202" s="26" t="str">
        <f t="shared" si="1"/>
        <v/>
      </c>
      <c r="I13202" s="26" t="str">
        <f t="shared" si="2"/>
        <v/>
      </c>
      <c r="J13202" s="86">
        <f t="shared" si="3"/>
        <v>0</v>
      </c>
      <c r="R13202" s="26"/>
    </row>
    <row r="13203" spans="1:18" ht="15.75" customHeight="1">
      <c r="A13203" s="26"/>
      <c r="B13203" s="86"/>
      <c r="D13203" s="26"/>
      <c r="F13203" s="87" t="str">
        <f t="shared" si="0"/>
        <v/>
      </c>
      <c r="H13203" s="26" t="str">
        <f t="shared" si="1"/>
        <v/>
      </c>
      <c r="I13203" s="26" t="str">
        <f t="shared" si="2"/>
        <v/>
      </c>
      <c r="J13203" s="86">
        <f t="shared" si="3"/>
        <v>0</v>
      </c>
      <c r="R13203" s="26"/>
    </row>
    <row r="13204" spans="1:18" ht="15.75" customHeight="1">
      <c r="A13204" s="26"/>
      <c r="B13204" s="86"/>
      <c r="D13204" s="26"/>
      <c r="F13204" s="87" t="str">
        <f t="shared" si="0"/>
        <v/>
      </c>
      <c r="H13204" s="26" t="str">
        <f t="shared" si="1"/>
        <v/>
      </c>
      <c r="I13204" s="26" t="str">
        <f t="shared" si="2"/>
        <v/>
      </c>
      <c r="J13204" s="86">
        <f t="shared" si="3"/>
        <v>0</v>
      </c>
      <c r="R13204" s="26"/>
    </row>
    <row r="13205" spans="1:18" ht="15.75" customHeight="1">
      <c r="A13205" s="26"/>
      <c r="B13205" s="86"/>
      <c r="D13205" s="26"/>
      <c r="F13205" s="87" t="str">
        <f t="shared" si="0"/>
        <v/>
      </c>
      <c r="H13205" s="26" t="str">
        <f t="shared" si="1"/>
        <v/>
      </c>
      <c r="I13205" s="26" t="str">
        <f t="shared" si="2"/>
        <v/>
      </c>
      <c r="J13205" s="86">
        <f t="shared" si="3"/>
        <v>0</v>
      </c>
      <c r="R13205" s="26"/>
    </row>
    <row r="13206" spans="1:18" ht="15.75" customHeight="1">
      <c r="A13206" s="26"/>
      <c r="B13206" s="86"/>
      <c r="D13206" s="26"/>
      <c r="F13206" s="87" t="str">
        <f t="shared" si="0"/>
        <v/>
      </c>
      <c r="H13206" s="26" t="str">
        <f t="shared" si="1"/>
        <v/>
      </c>
      <c r="I13206" s="26" t="str">
        <f t="shared" si="2"/>
        <v/>
      </c>
      <c r="J13206" s="86">
        <f t="shared" si="3"/>
        <v>0</v>
      </c>
      <c r="R13206" s="26"/>
    </row>
    <row r="13207" spans="1:18" ht="15.75" customHeight="1">
      <c r="A13207" s="26"/>
      <c r="B13207" s="86"/>
      <c r="D13207" s="26"/>
      <c r="F13207" s="87" t="str">
        <f t="shared" si="0"/>
        <v/>
      </c>
      <c r="H13207" s="26" t="str">
        <f t="shared" si="1"/>
        <v/>
      </c>
      <c r="I13207" s="26" t="str">
        <f t="shared" si="2"/>
        <v/>
      </c>
      <c r="J13207" s="86">
        <f t="shared" si="3"/>
        <v>0</v>
      </c>
      <c r="R13207" s="26"/>
    </row>
    <row r="13208" spans="1:18" ht="15.75" customHeight="1">
      <c r="A13208" s="26"/>
      <c r="B13208" s="86"/>
      <c r="D13208" s="26"/>
      <c r="F13208" s="87" t="str">
        <f t="shared" si="0"/>
        <v/>
      </c>
      <c r="H13208" s="26" t="str">
        <f t="shared" si="1"/>
        <v/>
      </c>
      <c r="I13208" s="26" t="str">
        <f t="shared" si="2"/>
        <v/>
      </c>
      <c r="J13208" s="86">
        <f t="shared" si="3"/>
        <v>0</v>
      </c>
      <c r="R13208" s="26"/>
    </row>
    <row r="13209" spans="1:18" ht="15.75" customHeight="1">
      <c r="A13209" s="26"/>
      <c r="B13209" s="86"/>
      <c r="D13209" s="26"/>
      <c r="F13209" s="87" t="str">
        <f t="shared" si="0"/>
        <v/>
      </c>
      <c r="H13209" s="26" t="str">
        <f t="shared" si="1"/>
        <v/>
      </c>
      <c r="I13209" s="26" t="str">
        <f t="shared" si="2"/>
        <v/>
      </c>
      <c r="J13209" s="86">
        <f t="shared" si="3"/>
        <v>0</v>
      </c>
      <c r="R13209" s="26"/>
    </row>
    <row r="13210" spans="1:18" ht="15.75" customHeight="1">
      <c r="A13210" s="26"/>
      <c r="B13210" s="86"/>
      <c r="D13210" s="26"/>
      <c r="F13210" s="87" t="str">
        <f t="shared" si="0"/>
        <v/>
      </c>
      <c r="H13210" s="26" t="str">
        <f t="shared" si="1"/>
        <v/>
      </c>
      <c r="I13210" s="26" t="str">
        <f t="shared" si="2"/>
        <v/>
      </c>
      <c r="J13210" s="86">
        <f t="shared" si="3"/>
        <v>0</v>
      </c>
      <c r="R13210" s="26"/>
    </row>
    <row r="13211" spans="1:18" ht="15.75" customHeight="1">
      <c r="A13211" s="26"/>
      <c r="B13211" s="86"/>
      <c r="D13211" s="26"/>
      <c r="F13211" s="87" t="str">
        <f t="shared" si="0"/>
        <v/>
      </c>
      <c r="H13211" s="26" t="str">
        <f t="shared" si="1"/>
        <v/>
      </c>
      <c r="I13211" s="26" t="str">
        <f t="shared" si="2"/>
        <v/>
      </c>
      <c r="J13211" s="86">
        <f t="shared" si="3"/>
        <v>0</v>
      </c>
      <c r="R13211" s="26"/>
    </row>
    <row r="13212" spans="1:18" ht="15.75" customHeight="1">
      <c r="A13212" s="26"/>
      <c r="B13212" s="86"/>
      <c r="D13212" s="26"/>
      <c r="F13212" s="87" t="str">
        <f t="shared" si="0"/>
        <v/>
      </c>
      <c r="H13212" s="26" t="str">
        <f t="shared" si="1"/>
        <v/>
      </c>
      <c r="I13212" s="26" t="str">
        <f t="shared" si="2"/>
        <v/>
      </c>
      <c r="J13212" s="86">
        <f t="shared" si="3"/>
        <v>0</v>
      </c>
      <c r="R13212" s="26"/>
    </row>
    <row r="13213" spans="1:18" ht="15.75" customHeight="1">
      <c r="A13213" s="26"/>
      <c r="B13213" s="86"/>
      <c r="D13213" s="26"/>
      <c r="F13213" s="87" t="str">
        <f t="shared" si="0"/>
        <v/>
      </c>
      <c r="H13213" s="26" t="str">
        <f t="shared" si="1"/>
        <v/>
      </c>
      <c r="I13213" s="26" t="str">
        <f t="shared" si="2"/>
        <v/>
      </c>
      <c r="J13213" s="86">
        <f t="shared" si="3"/>
        <v>0</v>
      </c>
      <c r="R13213" s="26"/>
    </row>
    <row r="13214" spans="1:18" ht="15.75" customHeight="1">
      <c r="A13214" s="26"/>
      <c r="B13214" s="86"/>
      <c r="D13214" s="26"/>
      <c r="F13214" s="87" t="str">
        <f t="shared" si="0"/>
        <v/>
      </c>
      <c r="H13214" s="26" t="str">
        <f t="shared" si="1"/>
        <v/>
      </c>
      <c r="I13214" s="26" t="str">
        <f t="shared" si="2"/>
        <v/>
      </c>
      <c r="J13214" s="86">
        <f t="shared" si="3"/>
        <v>0</v>
      </c>
      <c r="R13214" s="26"/>
    </row>
    <row r="13215" spans="1:18" ht="15.75" customHeight="1">
      <c r="A13215" s="26"/>
      <c r="B13215" s="86"/>
      <c r="D13215" s="26"/>
      <c r="F13215" s="87" t="str">
        <f t="shared" si="0"/>
        <v/>
      </c>
      <c r="H13215" s="26" t="str">
        <f t="shared" si="1"/>
        <v/>
      </c>
      <c r="I13215" s="26" t="str">
        <f t="shared" si="2"/>
        <v/>
      </c>
      <c r="J13215" s="86">
        <f t="shared" si="3"/>
        <v>0</v>
      </c>
      <c r="R13215" s="26"/>
    </row>
    <row r="13216" spans="1:18" ht="15.75" customHeight="1">
      <c r="A13216" s="26"/>
      <c r="B13216" s="86"/>
      <c r="D13216" s="26"/>
      <c r="F13216" s="87" t="str">
        <f t="shared" si="0"/>
        <v/>
      </c>
      <c r="H13216" s="26" t="str">
        <f t="shared" si="1"/>
        <v/>
      </c>
      <c r="I13216" s="26" t="str">
        <f t="shared" si="2"/>
        <v/>
      </c>
      <c r="J13216" s="86">
        <f t="shared" si="3"/>
        <v>0</v>
      </c>
      <c r="R13216" s="26"/>
    </row>
    <row r="13217" spans="1:18" ht="15.75" customHeight="1">
      <c r="A13217" s="26"/>
      <c r="B13217" s="86"/>
      <c r="D13217" s="26"/>
      <c r="F13217" s="87" t="str">
        <f t="shared" si="0"/>
        <v/>
      </c>
      <c r="H13217" s="26" t="str">
        <f t="shared" si="1"/>
        <v/>
      </c>
      <c r="I13217" s="26" t="str">
        <f t="shared" si="2"/>
        <v/>
      </c>
      <c r="J13217" s="86">
        <f t="shared" si="3"/>
        <v>0</v>
      </c>
      <c r="R13217" s="26"/>
    </row>
    <row r="13218" spans="1:18" ht="15.75" customHeight="1">
      <c r="A13218" s="26"/>
      <c r="B13218" s="86"/>
      <c r="D13218" s="26"/>
      <c r="F13218" s="87" t="str">
        <f t="shared" si="0"/>
        <v/>
      </c>
      <c r="H13218" s="26" t="str">
        <f t="shared" si="1"/>
        <v/>
      </c>
      <c r="I13218" s="26" t="str">
        <f t="shared" si="2"/>
        <v/>
      </c>
      <c r="J13218" s="86">
        <f t="shared" si="3"/>
        <v>0</v>
      </c>
      <c r="R13218" s="26"/>
    </row>
    <row r="13219" spans="1:18" ht="15.75" customHeight="1">
      <c r="A13219" s="26"/>
      <c r="B13219" s="86"/>
      <c r="D13219" s="26"/>
      <c r="F13219" s="87" t="str">
        <f t="shared" si="0"/>
        <v/>
      </c>
      <c r="H13219" s="26" t="str">
        <f t="shared" si="1"/>
        <v/>
      </c>
      <c r="I13219" s="26" t="str">
        <f t="shared" si="2"/>
        <v/>
      </c>
      <c r="J13219" s="86">
        <f t="shared" si="3"/>
        <v>0</v>
      </c>
      <c r="R13219" s="26"/>
    </row>
    <row r="13220" spans="1:18" ht="15.75" customHeight="1">
      <c r="A13220" s="26"/>
      <c r="B13220" s="86"/>
      <c r="D13220" s="26"/>
      <c r="F13220" s="87" t="str">
        <f t="shared" si="0"/>
        <v/>
      </c>
      <c r="H13220" s="26" t="str">
        <f t="shared" si="1"/>
        <v/>
      </c>
      <c r="I13220" s="26" t="str">
        <f t="shared" si="2"/>
        <v/>
      </c>
      <c r="J13220" s="86">
        <f t="shared" si="3"/>
        <v>0</v>
      </c>
      <c r="R13220" s="26"/>
    </row>
    <row r="13221" spans="1:18" ht="15.75" customHeight="1">
      <c r="A13221" s="26"/>
      <c r="B13221" s="86"/>
      <c r="D13221" s="26"/>
      <c r="F13221" s="87" t="str">
        <f t="shared" si="0"/>
        <v/>
      </c>
      <c r="H13221" s="26" t="str">
        <f t="shared" si="1"/>
        <v/>
      </c>
      <c r="I13221" s="26" t="str">
        <f t="shared" si="2"/>
        <v/>
      </c>
      <c r="J13221" s="86">
        <f t="shared" si="3"/>
        <v>0</v>
      </c>
      <c r="R13221" s="26"/>
    </row>
    <row r="13222" spans="1:18" ht="15.75" customHeight="1">
      <c r="A13222" s="26"/>
      <c r="B13222" s="86"/>
      <c r="D13222" s="26"/>
      <c r="F13222" s="87" t="str">
        <f t="shared" si="0"/>
        <v/>
      </c>
      <c r="H13222" s="26" t="str">
        <f t="shared" si="1"/>
        <v/>
      </c>
      <c r="I13222" s="26" t="str">
        <f t="shared" si="2"/>
        <v/>
      </c>
      <c r="J13222" s="86">
        <f t="shared" si="3"/>
        <v>0</v>
      </c>
      <c r="R13222" s="26"/>
    </row>
    <row r="13223" spans="1:18" ht="15.75" customHeight="1">
      <c r="A13223" s="26"/>
      <c r="B13223" s="86"/>
      <c r="D13223" s="26"/>
      <c r="F13223" s="87" t="str">
        <f t="shared" si="0"/>
        <v/>
      </c>
      <c r="H13223" s="26" t="str">
        <f t="shared" si="1"/>
        <v/>
      </c>
      <c r="I13223" s="26" t="str">
        <f t="shared" si="2"/>
        <v/>
      </c>
      <c r="J13223" s="86">
        <f t="shared" si="3"/>
        <v>0</v>
      </c>
      <c r="R13223" s="26"/>
    </row>
    <row r="13224" spans="1:18" ht="15.75" customHeight="1">
      <c r="A13224" s="26"/>
      <c r="B13224" s="86"/>
      <c r="D13224" s="26"/>
      <c r="F13224" s="87" t="str">
        <f t="shared" si="0"/>
        <v/>
      </c>
      <c r="H13224" s="26" t="str">
        <f t="shared" si="1"/>
        <v/>
      </c>
      <c r="I13224" s="26" t="str">
        <f t="shared" si="2"/>
        <v/>
      </c>
      <c r="J13224" s="86">
        <f t="shared" si="3"/>
        <v>0</v>
      </c>
      <c r="R13224" s="26"/>
    </row>
    <row r="13225" spans="1:18" ht="15.75" customHeight="1">
      <c r="A13225" s="26"/>
      <c r="B13225" s="86"/>
      <c r="D13225" s="26"/>
      <c r="F13225" s="87" t="str">
        <f t="shared" si="0"/>
        <v/>
      </c>
      <c r="H13225" s="26" t="str">
        <f t="shared" si="1"/>
        <v/>
      </c>
      <c r="I13225" s="26" t="str">
        <f t="shared" si="2"/>
        <v/>
      </c>
      <c r="J13225" s="86">
        <f t="shared" si="3"/>
        <v>0</v>
      </c>
      <c r="R13225" s="26"/>
    </row>
    <row r="13226" spans="1:18" ht="15.75" customHeight="1">
      <c r="A13226" s="26"/>
      <c r="B13226" s="86"/>
      <c r="D13226" s="26"/>
      <c r="F13226" s="87" t="str">
        <f t="shared" si="0"/>
        <v/>
      </c>
      <c r="H13226" s="26" t="str">
        <f t="shared" si="1"/>
        <v/>
      </c>
      <c r="I13226" s="26" t="str">
        <f t="shared" si="2"/>
        <v/>
      </c>
      <c r="J13226" s="86">
        <f t="shared" si="3"/>
        <v>0</v>
      </c>
      <c r="R13226" s="26"/>
    </row>
    <row r="13227" spans="1:18" ht="15.75" customHeight="1">
      <c r="A13227" s="26"/>
      <c r="B13227" s="86"/>
      <c r="D13227" s="26"/>
      <c r="F13227" s="87" t="str">
        <f t="shared" si="0"/>
        <v/>
      </c>
      <c r="H13227" s="26" t="str">
        <f t="shared" si="1"/>
        <v/>
      </c>
      <c r="I13227" s="26" t="str">
        <f t="shared" si="2"/>
        <v/>
      </c>
      <c r="J13227" s="86">
        <f t="shared" si="3"/>
        <v>0</v>
      </c>
      <c r="R13227" s="26"/>
    </row>
    <row r="13228" spans="1:18" ht="15.75" customHeight="1">
      <c r="A13228" s="26"/>
      <c r="B13228" s="86"/>
      <c r="D13228" s="26"/>
      <c r="F13228" s="87" t="str">
        <f t="shared" si="0"/>
        <v/>
      </c>
      <c r="H13228" s="26" t="str">
        <f t="shared" si="1"/>
        <v/>
      </c>
      <c r="I13228" s="26" t="str">
        <f t="shared" si="2"/>
        <v/>
      </c>
      <c r="J13228" s="86">
        <f t="shared" si="3"/>
        <v>0</v>
      </c>
      <c r="R13228" s="26"/>
    </row>
    <row r="13229" spans="1:18" ht="15.75" customHeight="1">
      <c r="A13229" s="26"/>
      <c r="B13229" s="86"/>
      <c r="D13229" s="26"/>
      <c r="F13229" s="87" t="str">
        <f t="shared" si="0"/>
        <v/>
      </c>
      <c r="H13229" s="26" t="str">
        <f t="shared" si="1"/>
        <v/>
      </c>
      <c r="I13229" s="26" t="str">
        <f t="shared" si="2"/>
        <v/>
      </c>
      <c r="J13229" s="86">
        <f t="shared" si="3"/>
        <v>0</v>
      </c>
      <c r="R13229" s="26"/>
    </row>
    <row r="13230" spans="1:18" ht="15.75" customHeight="1">
      <c r="A13230" s="26"/>
      <c r="B13230" s="86"/>
      <c r="D13230" s="26"/>
      <c r="F13230" s="87" t="str">
        <f t="shared" si="0"/>
        <v/>
      </c>
      <c r="H13230" s="26" t="str">
        <f t="shared" si="1"/>
        <v/>
      </c>
      <c r="I13230" s="26" t="str">
        <f t="shared" si="2"/>
        <v/>
      </c>
      <c r="J13230" s="86">
        <f t="shared" si="3"/>
        <v>0</v>
      </c>
      <c r="R13230" s="26"/>
    </row>
    <row r="13231" spans="1:18" ht="15.75" customHeight="1">
      <c r="A13231" s="26"/>
      <c r="B13231" s="86"/>
      <c r="D13231" s="26"/>
      <c r="F13231" s="87" t="str">
        <f t="shared" si="0"/>
        <v/>
      </c>
      <c r="H13231" s="26" t="str">
        <f t="shared" si="1"/>
        <v/>
      </c>
      <c r="I13231" s="26" t="str">
        <f t="shared" si="2"/>
        <v/>
      </c>
      <c r="J13231" s="86">
        <f t="shared" si="3"/>
        <v>0</v>
      </c>
      <c r="R13231" s="26"/>
    </row>
    <row r="13232" spans="1:18" ht="15.75" customHeight="1">
      <c r="A13232" s="26"/>
      <c r="B13232" s="86"/>
      <c r="D13232" s="26"/>
      <c r="F13232" s="87" t="str">
        <f t="shared" si="0"/>
        <v/>
      </c>
      <c r="H13232" s="26" t="str">
        <f t="shared" si="1"/>
        <v/>
      </c>
      <c r="I13232" s="26" t="str">
        <f t="shared" si="2"/>
        <v/>
      </c>
      <c r="J13232" s="86">
        <f t="shared" si="3"/>
        <v>0</v>
      </c>
      <c r="R13232" s="26"/>
    </row>
    <row r="13233" spans="1:18" ht="15.75" customHeight="1">
      <c r="A13233" s="26"/>
      <c r="B13233" s="86"/>
      <c r="D13233" s="26"/>
      <c r="F13233" s="87" t="str">
        <f t="shared" si="0"/>
        <v/>
      </c>
      <c r="H13233" s="26" t="str">
        <f t="shared" si="1"/>
        <v/>
      </c>
      <c r="I13233" s="26" t="str">
        <f t="shared" si="2"/>
        <v/>
      </c>
      <c r="J13233" s="86">
        <f t="shared" si="3"/>
        <v>0</v>
      </c>
      <c r="R13233" s="26"/>
    </row>
    <row r="13234" spans="1:18" ht="15.75" customHeight="1">
      <c r="A13234" s="26"/>
      <c r="B13234" s="86"/>
      <c r="D13234" s="26"/>
      <c r="F13234" s="87" t="str">
        <f t="shared" si="0"/>
        <v/>
      </c>
      <c r="H13234" s="26" t="str">
        <f t="shared" si="1"/>
        <v/>
      </c>
      <c r="I13234" s="26" t="str">
        <f t="shared" si="2"/>
        <v/>
      </c>
      <c r="J13234" s="86">
        <f t="shared" si="3"/>
        <v>0</v>
      </c>
      <c r="R13234" s="26"/>
    </row>
    <row r="13235" spans="1:18" ht="15.75" customHeight="1">
      <c r="A13235" s="26"/>
      <c r="B13235" s="86"/>
      <c r="D13235" s="26"/>
      <c r="F13235" s="87" t="str">
        <f t="shared" si="0"/>
        <v/>
      </c>
      <c r="H13235" s="26" t="str">
        <f t="shared" si="1"/>
        <v/>
      </c>
      <c r="I13235" s="26" t="str">
        <f t="shared" si="2"/>
        <v/>
      </c>
      <c r="J13235" s="86">
        <f t="shared" si="3"/>
        <v>0</v>
      </c>
      <c r="R13235" s="26"/>
    </row>
    <row r="13236" spans="1:18" ht="15.75" customHeight="1">
      <c r="A13236" s="26"/>
      <c r="B13236" s="86"/>
      <c r="D13236" s="26"/>
      <c r="F13236" s="87" t="str">
        <f t="shared" si="0"/>
        <v/>
      </c>
      <c r="H13236" s="26" t="str">
        <f t="shared" si="1"/>
        <v/>
      </c>
      <c r="I13236" s="26" t="str">
        <f t="shared" si="2"/>
        <v/>
      </c>
      <c r="J13236" s="86">
        <f t="shared" si="3"/>
        <v>0</v>
      </c>
      <c r="R13236" s="26"/>
    </row>
    <row r="13237" spans="1:18" ht="15.75" customHeight="1">
      <c r="A13237" s="26"/>
      <c r="B13237" s="86"/>
      <c r="D13237" s="26"/>
      <c r="F13237" s="87" t="str">
        <f t="shared" si="0"/>
        <v/>
      </c>
      <c r="H13237" s="26" t="str">
        <f t="shared" si="1"/>
        <v/>
      </c>
      <c r="I13237" s="26" t="str">
        <f t="shared" si="2"/>
        <v/>
      </c>
      <c r="J13237" s="86">
        <f t="shared" si="3"/>
        <v>0</v>
      </c>
      <c r="R13237" s="26"/>
    </row>
    <row r="13238" spans="1:18" ht="15.75" customHeight="1">
      <c r="A13238" s="26"/>
      <c r="B13238" s="86"/>
      <c r="D13238" s="26"/>
      <c r="F13238" s="87" t="str">
        <f t="shared" si="0"/>
        <v/>
      </c>
      <c r="H13238" s="26" t="str">
        <f t="shared" si="1"/>
        <v/>
      </c>
      <c r="I13238" s="26" t="str">
        <f t="shared" si="2"/>
        <v/>
      </c>
      <c r="J13238" s="86">
        <f t="shared" si="3"/>
        <v>0</v>
      </c>
      <c r="R13238" s="26"/>
    </row>
    <row r="13239" spans="1:18" ht="15.75" customHeight="1">
      <c r="A13239" s="26"/>
      <c r="B13239" s="86"/>
      <c r="D13239" s="26"/>
      <c r="F13239" s="87" t="str">
        <f t="shared" si="0"/>
        <v/>
      </c>
      <c r="H13239" s="26" t="str">
        <f t="shared" si="1"/>
        <v/>
      </c>
      <c r="I13239" s="26" t="str">
        <f t="shared" si="2"/>
        <v/>
      </c>
      <c r="J13239" s="86">
        <f t="shared" si="3"/>
        <v>0</v>
      </c>
      <c r="R13239" s="26"/>
    </row>
    <row r="13240" spans="1:18" ht="15.75" customHeight="1">
      <c r="A13240" s="26"/>
      <c r="B13240" s="86"/>
      <c r="D13240" s="26"/>
      <c r="F13240" s="87" t="str">
        <f t="shared" si="0"/>
        <v/>
      </c>
      <c r="H13240" s="26" t="str">
        <f t="shared" si="1"/>
        <v/>
      </c>
      <c r="I13240" s="26" t="str">
        <f t="shared" si="2"/>
        <v/>
      </c>
      <c r="J13240" s="86">
        <f t="shared" si="3"/>
        <v>0</v>
      </c>
      <c r="R13240" s="26"/>
    </row>
    <row r="13241" spans="1:18" ht="15.75" customHeight="1">
      <c r="A13241" s="26"/>
      <c r="B13241" s="86"/>
      <c r="D13241" s="26"/>
      <c r="F13241" s="87" t="str">
        <f t="shared" si="0"/>
        <v/>
      </c>
      <c r="H13241" s="26" t="str">
        <f t="shared" si="1"/>
        <v/>
      </c>
      <c r="I13241" s="26" t="str">
        <f t="shared" si="2"/>
        <v/>
      </c>
      <c r="J13241" s="86">
        <f t="shared" si="3"/>
        <v>0</v>
      </c>
      <c r="R13241" s="26"/>
    </row>
    <row r="13242" spans="1:18" ht="15.75" customHeight="1">
      <c r="A13242" s="26"/>
      <c r="B13242" s="86"/>
      <c r="D13242" s="26"/>
      <c r="F13242" s="87" t="str">
        <f t="shared" si="0"/>
        <v/>
      </c>
      <c r="H13242" s="26" t="str">
        <f t="shared" si="1"/>
        <v/>
      </c>
      <c r="I13242" s="26" t="str">
        <f t="shared" si="2"/>
        <v/>
      </c>
      <c r="J13242" s="86">
        <f t="shared" si="3"/>
        <v>0</v>
      </c>
      <c r="R13242" s="26"/>
    </row>
    <row r="13243" spans="1:18" ht="15.75" customHeight="1">
      <c r="A13243" s="26"/>
      <c r="B13243" s="86"/>
      <c r="D13243" s="26"/>
      <c r="F13243" s="87" t="str">
        <f t="shared" si="0"/>
        <v/>
      </c>
      <c r="H13243" s="26" t="str">
        <f t="shared" si="1"/>
        <v/>
      </c>
      <c r="I13243" s="26" t="str">
        <f t="shared" si="2"/>
        <v/>
      </c>
      <c r="J13243" s="86">
        <f t="shared" si="3"/>
        <v>0</v>
      </c>
      <c r="R13243" s="26"/>
    </row>
    <row r="13244" spans="1:18" ht="15.75" customHeight="1">
      <c r="A13244" s="26"/>
      <c r="B13244" s="86"/>
      <c r="D13244" s="26"/>
      <c r="F13244" s="87" t="str">
        <f t="shared" si="0"/>
        <v/>
      </c>
      <c r="H13244" s="26" t="str">
        <f t="shared" si="1"/>
        <v/>
      </c>
      <c r="I13244" s="26" t="str">
        <f t="shared" si="2"/>
        <v/>
      </c>
      <c r="J13244" s="86">
        <f t="shared" si="3"/>
        <v>0</v>
      </c>
      <c r="R13244" s="26"/>
    </row>
    <row r="13245" spans="1:18" ht="15.75" customHeight="1">
      <c r="A13245" s="26"/>
      <c r="B13245" s="86"/>
      <c r="D13245" s="26"/>
      <c r="F13245" s="87" t="str">
        <f t="shared" si="0"/>
        <v/>
      </c>
      <c r="H13245" s="26" t="str">
        <f t="shared" si="1"/>
        <v/>
      </c>
      <c r="I13245" s="26" t="str">
        <f t="shared" si="2"/>
        <v/>
      </c>
      <c r="J13245" s="86">
        <f t="shared" si="3"/>
        <v>0</v>
      </c>
      <c r="R13245" s="26"/>
    </row>
    <row r="13246" spans="1:18" ht="15.75" customHeight="1">
      <c r="A13246" s="26"/>
      <c r="B13246" s="86"/>
      <c r="D13246" s="26"/>
      <c r="F13246" s="87" t="str">
        <f t="shared" si="0"/>
        <v/>
      </c>
      <c r="H13246" s="26" t="str">
        <f t="shared" si="1"/>
        <v/>
      </c>
      <c r="I13246" s="26" t="str">
        <f t="shared" si="2"/>
        <v/>
      </c>
      <c r="J13246" s="86">
        <f t="shared" si="3"/>
        <v>0</v>
      </c>
      <c r="R13246" s="26"/>
    </row>
    <row r="13247" spans="1:18" ht="15.75" customHeight="1">
      <c r="A13247" s="26"/>
      <c r="B13247" s="86"/>
      <c r="D13247" s="26"/>
      <c r="F13247" s="87" t="str">
        <f t="shared" si="0"/>
        <v/>
      </c>
      <c r="H13247" s="26" t="str">
        <f t="shared" si="1"/>
        <v/>
      </c>
      <c r="I13247" s="26" t="str">
        <f t="shared" si="2"/>
        <v/>
      </c>
      <c r="J13247" s="86">
        <f t="shared" si="3"/>
        <v>0</v>
      </c>
      <c r="R13247" s="26"/>
    </row>
    <row r="13248" spans="1:18" ht="15.75" customHeight="1">
      <c r="A13248" s="26"/>
      <c r="B13248" s="86"/>
      <c r="D13248" s="26"/>
      <c r="F13248" s="87" t="str">
        <f t="shared" si="0"/>
        <v/>
      </c>
      <c r="H13248" s="26" t="str">
        <f t="shared" si="1"/>
        <v/>
      </c>
      <c r="I13248" s="26" t="str">
        <f t="shared" si="2"/>
        <v/>
      </c>
      <c r="J13248" s="86">
        <f t="shared" si="3"/>
        <v>0</v>
      </c>
      <c r="R13248" s="26"/>
    </row>
    <row r="13249" spans="1:18" ht="15.75" customHeight="1">
      <c r="A13249" s="26"/>
      <c r="B13249" s="86"/>
      <c r="D13249" s="26"/>
      <c r="F13249" s="87" t="str">
        <f t="shared" si="0"/>
        <v/>
      </c>
      <c r="H13249" s="26" t="str">
        <f t="shared" si="1"/>
        <v/>
      </c>
      <c r="I13249" s="26" t="str">
        <f t="shared" si="2"/>
        <v/>
      </c>
      <c r="J13249" s="86">
        <f t="shared" si="3"/>
        <v>0</v>
      </c>
      <c r="R13249" s="26"/>
    </row>
    <row r="13250" spans="1:18" ht="15.75" customHeight="1">
      <c r="A13250" s="26"/>
      <c r="B13250" s="86"/>
      <c r="D13250" s="26"/>
      <c r="F13250" s="87" t="str">
        <f t="shared" si="0"/>
        <v/>
      </c>
      <c r="H13250" s="26" t="str">
        <f t="shared" si="1"/>
        <v/>
      </c>
      <c r="I13250" s="26" t="str">
        <f t="shared" si="2"/>
        <v/>
      </c>
      <c r="J13250" s="86">
        <f t="shared" si="3"/>
        <v>0</v>
      </c>
      <c r="R13250" s="26"/>
    </row>
    <row r="13251" spans="1:18" ht="15.75" customHeight="1">
      <c r="A13251" s="26"/>
      <c r="B13251" s="86"/>
      <c r="D13251" s="26"/>
      <c r="F13251" s="87" t="str">
        <f t="shared" si="0"/>
        <v/>
      </c>
      <c r="H13251" s="26" t="str">
        <f t="shared" si="1"/>
        <v/>
      </c>
      <c r="I13251" s="26" t="str">
        <f t="shared" si="2"/>
        <v/>
      </c>
      <c r="J13251" s="86">
        <f t="shared" si="3"/>
        <v>0</v>
      </c>
      <c r="R13251" s="26"/>
    </row>
    <row r="13252" spans="1:18" ht="15.75" customHeight="1">
      <c r="A13252" s="26"/>
      <c r="B13252" s="86"/>
      <c r="D13252" s="26"/>
      <c r="F13252" s="87" t="str">
        <f t="shared" si="0"/>
        <v/>
      </c>
      <c r="H13252" s="26" t="str">
        <f t="shared" si="1"/>
        <v/>
      </c>
      <c r="I13252" s="26" t="str">
        <f t="shared" si="2"/>
        <v/>
      </c>
      <c r="J13252" s="86">
        <f t="shared" si="3"/>
        <v>0</v>
      </c>
      <c r="R13252" s="26"/>
    </row>
    <row r="13253" spans="1:18" ht="15.75" customHeight="1">
      <c r="A13253" s="26"/>
      <c r="B13253" s="86"/>
      <c r="D13253" s="26"/>
      <c r="F13253" s="87" t="str">
        <f t="shared" si="0"/>
        <v/>
      </c>
      <c r="H13253" s="26" t="str">
        <f t="shared" si="1"/>
        <v/>
      </c>
      <c r="I13253" s="26" t="str">
        <f t="shared" si="2"/>
        <v/>
      </c>
      <c r="J13253" s="86">
        <f t="shared" si="3"/>
        <v>0</v>
      </c>
      <c r="R13253" s="26"/>
    </row>
    <row r="13254" spans="1:18" ht="15.75" customHeight="1">
      <c r="A13254" s="26"/>
      <c r="B13254" s="86"/>
      <c r="D13254" s="26"/>
      <c r="F13254" s="87" t="str">
        <f t="shared" si="0"/>
        <v/>
      </c>
      <c r="H13254" s="26" t="str">
        <f t="shared" si="1"/>
        <v/>
      </c>
      <c r="I13254" s="26" t="str">
        <f t="shared" si="2"/>
        <v/>
      </c>
      <c r="J13254" s="86">
        <f t="shared" si="3"/>
        <v>0</v>
      </c>
      <c r="R13254" s="26"/>
    </row>
    <row r="13255" spans="1:18" ht="15.75" customHeight="1">
      <c r="A13255" s="26"/>
      <c r="B13255" s="86"/>
      <c r="D13255" s="26"/>
      <c r="F13255" s="87" t="str">
        <f t="shared" si="0"/>
        <v/>
      </c>
      <c r="H13255" s="26" t="str">
        <f t="shared" si="1"/>
        <v/>
      </c>
      <c r="I13255" s="26" t="str">
        <f t="shared" si="2"/>
        <v/>
      </c>
      <c r="J13255" s="86">
        <f t="shared" si="3"/>
        <v>0</v>
      </c>
      <c r="R13255" s="26"/>
    </row>
    <row r="13256" spans="1:18" ht="15.75" customHeight="1">
      <c r="A13256" s="26"/>
      <c r="B13256" s="86"/>
      <c r="D13256" s="26"/>
      <c r="F13256" s="87" t="str">
        <f t="shared" si="0"/>
        <v/>
      </c>
      <c r="H13256" s="26" t="str">
        <f t="shared" si="1"/>
        <v/>
      </c>
      <c r="I13256" s="26" t="str">
        <f t="shared" si="2"/>
        <v/>
      </c>
      <c r="J13256" s="86">
        <f t="shared" si="3"/>
        <v>0</v>
      </c>
      <c r="R13256" s="26"/>
    </row>
    <row r="13257" spans="1:18" ht="15.75" customHeight="1">
      <c r="A13257" s="26"/>
      <c r="B13257" s="86"/>
      <c r="D13257" s="26"/>
      <c r="F13257" s="87" t="str">
        <f t="shared" si="0"/>
        <v/>
      </c>
      <c r="H13257" s="26" t="str">
        <f t="shared" si="1"/>
        <v/>
      </c>
      <c r="I13257" s="26" t="str">
        <f t="shared" si="2"/>
        <v/>
      </c>
      <c r="J13257" s="86">
        <f t="shared" si="3"/>
        <v>0</v>
      </c>
      <c r="R13257" s="26"/>
    </row>
    <row r="13258" spans="1:18" ht="15.75" customHeight="1">
      <c r="A13258" s="26"/>
      <c r="B13258" s="86"/>
      <c r="D13258" s="26"/>
      <c r="F13258" s="87" t="str">
        <f t="shared" si="0"/>
        <v/>
      </c>
      <c r="H13258" s="26" t="str">
        <f t="shared" si="1"/>
        <v/>
      </c>
      <c r="I13258" s="26" t="str">
        <f t="shared" si="2"/>
        <v/>
      </c>
      <c r="J13258" s="86">
        <f t="shared" si="3"/>
        <v>0</v>
      </c>
      <c r="R13258" s="26"/>
    </row>
    <row r="13259" spans="1:18" ht="15.75" customHeight="1">
      <c r="A13259" s="26"/>
      <c r="B13259" s="86"/>
      <c r="D13259" s="26"/>
      <c r="F13259" s="87" t="str">
        <f t="shared" si="0"/>
        <v/>
      </c>
      <c r="H13259" s="26" t="str">
        <f t="shared" si="1"/>
        <v/>
      </c>
      <c r="I13259" s="26" t="str">
        <f t="shared" si="2"/>
        <v/>
      </c>
      <c r="J13259" s="86">
        <f t="shared" si="3"/>
        <v>0</v>
      </c>
      <c r="R13259" s="26"/>
    </row>
    <row r="13260" spans="1:18" ht="15.75" customHeight="1">
      <c r="A13260" s="26"/>
      <c r="B13260" s="86"/>
      <c r="D13260" s="26"/>
      <c r="F13260" s="87" t="str">
        <f t="shared" si="0"/>
        <v/>
      </c>
      <c r="H13260" s="26" t="str">
        <f t="shared" si="1"/>
        <v/>
      </c>
      <c r="I13260" s="26" t="str">
        <f t="shared" si="2"/>
        <v/>
      </c>
      <c r="J13260" s="86">
        <f t="shared" si="3"/>
        <v>0</v>
      </c>
      <c r="R13260" s="26"/>
    </row>
    <row r="13261" spans="1:18" ht="15.75" customHeight="1">
      <c r="A13261" s="26"/>
      <c r="B13261" s="86"/>
      <c r="D13261" s="26"/>
      <c r="F13261" s="87" t="str">
        <f t="shared" si="0"/>
        <v/>
      </c>
      <c r="H13261" s="26" t="str">
        <f t="shared" si="1"/>
        <v/>
      </c>
      <c r="I13261" s="26" t="str">
        <f t="shared" si="2"/>
        <v/>
      </c>
      <c r="J13261" s="86">
        <f t="shared" si="3"/>
        <v>0</v>
      </c>
      <c r="R13261" s="26"/>
    </row>
    <row r="13262" spans="1:18" ht="15.75" customHeight="1">
      <c r="A13262" s="26"/>
      <c r="B13262" s="86"/>
      <c r="D13262" s="26"/>
      <c r="F13262" s="87" t="str">
        <f t="shared" si="0"/>
        <v/>
      </c>
      <c r="H13262" s="26" t="str">
        <f t="shared" si="1"/>
        <v/>
      </c>
      <c r="I13262" s="26" t="str">
        <f t="shared" si="2"/>
        <v/>
      </c>
      <c r="J13262" s="86">
        <f t="shared" si="3"/>
        <v>0</v>
      </c>
      <c r="R13262" s="26"/>
    </row>
    <row r="13263" spans="1:18" ht="15.75" customHeight="1">
      <c r="A13263" s="26"/>
      <c r="B13263" s="86"/>
      <c r="D13263" s="26"/>
      <c r="F13263" s="87" t="str">
        <f t="shared" si="0"/>
        <v/>
      </c>
      <c r="H13263" s="26" t="str">
        <f t="shared" si="1"/>
        <v/>
      </c>
      <c r="I13263" s="26" t="str">
        <f t="shared" si="2"/>
        <v/>
      </c>
      <c r="J13263" s="86">
        <f t="shared" si="3"/>
        <v>0</v>
      </c>
      <c r="R13263" s="26"/>
    </row>
    <row r="13264" spans="1:18" ht="15.75" customHeight="1">
      <c r="A13264" s="26"/>
      <c r="B13264" s="86"/>
      <c r="D13264" s="26"/>
      <c r="F13264" s="87" t="str">
        <f t="shared" si="0"/>
        <v/>
      </c>
      <c r="H13264" s="26" t="str">
        <f t="shared" si="1"/>
        <v/>
      </c>
      <c r="I13264" s="26" t="str">
        <f t="shared" si="2"/>
        <v/>
      </c>
      <c r="J13264" s="86">
        <f t="shared" si="3"/>
        <v>0</v>
      </c>
      <c r="R13264" s="26"/>
    </row>
    <row r="13265" spans="1:18" ht="15.75" customHeight="1">
      <c r="A13265" s="26"/>
      <c r="B13265" s="86"/>
      <c r="D13265" s="26"/>
      <c r="F13265" s="87" t="str">
        <f t="shared" si="0"/>
        <v/>
      </c>
      <c r="H13265" s="26" t="str">
        <f t="shared" si="1"/>
        <v/>
      </c>
      <c r="I13265" s="26" t="str">
        <f t="shared" si="2"/>
        <v/>
      </c>
      <c r="J13265" s="86">
        <f t="shared" si="3"/>
        <v>0</v>
      </c>
      <c r="R13265" s="26"/>
    </row>
    <row r="13266" spans="1:18" ht="15.75" customHeight="1">
      <c r="A13266" s="26"/>
      <c r="B13266" s="86"/>
      <c r="D13266" s="26"/>
      <c r="F13266" s="87" t="str">
        <f t="shared" si="0"/>
        <v/>
      </c>
      <c r="H13266" s="26" t="str">
        <f t="shared" si="1"/>
        <v/>
      </c>
      <c r="I13266" s="26" t="str">
        <f t="shared" si="2"/>
        <v/>
      </c>
      <c r="J13266" s="86">
        <f t="shared" si="3"/>
        <v>0</v>
      </c>
      <c r="R13266" s="26"/>
    </row>
    <row r="13267" spans="1:18" ht="15.75" customHeight="1">
      <c r="A13267" s="26"/>
      <c r="B13267" s="86"/>
      <c r="D13267" s="26"/>
      <c r="F13267" s="87" t="str">
        <f t="shared" si="0"/>
        <v/>
      </c>
      <c r="H13267" s="26" t="str">
        <f t="shared" si="1"/>
        <v/>
      </c>
      <c r="I13267" s="26" t="str">
        <f t="shared" si="2"/>
        <v/>
      </c>
      <c r="J13267" s="86">
        <f t="shared" si="3"/>
        <v>0</v>
      </c>
      <c r="R13267" s="26"/>
    </row>
    <row r="13268" spans="1:18" ht="15.75" customHeight="1">
      <c r="A13268" s="26"/>
      <c r="B13268" s="86"/>
      <c r="D13268" s="26"/>
      <c r="F13268" s="87" t="str">
        <f t="shared" si="0"/>
        <v/>
      </c>
      <c r="H13268" s="26" t="str">
        <f t="shared" si="1"/>
        <v/>
      </c>
      <c r="I13268" s="26" t="str">
        <f t="shared" si="2"/>
        <v/>
      </c>
      <c r="J13268" s="86">
        <f t="shared" si="3"/>
        <v>0</v>
      </c>
      <c r="R13268" s="26"/>
    </row>
    <row r="13269" spans="1:18" ht="15.75" customHeight="1">
      <c r="A13269" s="26"/>
      <c r="B13269" s="86"/>
      <c r="D13269" s="26"/>
      <c r="F13269" s="87" t="str">
        <f t="shared" si="0"/>
        <v/>
      </c>
      <c r="H13269" s="26" t="str">
        <f t="shared" si="1"/>
        <v/>
      </c>
      <c r="I13269" s="26" t="str">
        <f t="shared" si="2"/>
        <v/>
      </c>
      <c r="J13269" s="86">
        <f t="shared" si="3"/>
        <v>0</v>
      </c>
      <c r="R13269" s="26"/>
    </row>
    <row r="13270" spans="1:18" ht="15.75" customHeight="1">
      <c r="A13270" s="26"/>
      <c r="B13270" s="86"/>
      <c r="D13270" s="26"/>
      <c r="F13270" s="87" t="str">
        <f t="shared" si="0"/>
        <v/>
      </c>
      <c r="H13270" s="26" t="str">
        <f t="shared" si="1"/>
        <v/>
      </c>
      <c r="I13270" s="26" t="str">
        <f t="shared" si="2"/>
        <v/>
      </c>
      <c r="J13270" s="86">
        <f t="shared" si="3"/>
        <v>0</v>
      </c>
      <c r="R13270" s="26"/>
    </row>
    <row r="13271" spans="1:18" ht="15.75" customHeight="1">
      <c r="A13271" s="26"/>
      <c r="B13271" s="86"/>
      <c r="D13271" s="26"/>
      <c r="F13271" s="87" t="str">
        <f t="shared" si="0"/>
        <v/>
      </c>
      <c r="H13271" s="26" t="str">
        <f t="shared" si="1"/>
        <v/>
      </c>
      <c r="I13271" s="26" t="str">
        <f t="shared" si="2"/>
        <v/>
      </c>
      <c r="J13271" s="86">
        <f t="shared" si="3"/>
        <v>0</v>
      </c>
      <c r="R13271" s="26"/>
    </row>
    <row r="13272" spans="1:18" ht="15.75" customHeight="1">
      <c r="A13272" s="26"/>
      <c r="B13272" s="86"/>
      <c r="D13272" s="26"/>
      <c r="F13272" s="87" t="str">
        <f t="shared" si="0"/>
        <v/>
      </c>
      <c r="H13272" s="26" t="str">
        <f t="shared" si="1"/>
        <v/>
      </c>
      <c r="I13272" s="26" t="str">
        <f t="shared" si="2"/>
        <v/>
      </c>
      <c r="J13272" s="86">
        <f t="shared" si="3"/>
        <v>0</v>
      </c>
      <c r="R13272" s="26"/>
    </row>
    <row r="13273" spans="1:18" ht="15.75" customHeight="1">
      <c r="A13273" s="26"/>
      <c r="B13273" s="86"/>
      <c r="D13273" s="26"/>
      <c r="F13273" s="87" t="str">
        <f t="shared" si="0"/>
        <v/>
      </c>
      <c r="H13273" s="26" t="str">
        <f t="shared" si="1"/>
        <v/>
      </c>
      <c r="I13273" s="26" t="str">
        <f t="shared" si="2"/>
        <v/>
      </c>
      <c r="J13273" s="86">
        <f t="shared" si="3"/>
        <v>0</v>
      </c>
      <c r="R13273" s="26"/>
    </row>
    <row r="13274" spans="1:18" ht="15.75" customHeight="1">
      <c r="A13274" s="26"/>
      <c r="B13274" s="86"/>
      <c r="D13274" s="26"/>
      <c r="F13274" s="87" t="str">
        <f t="shared" si="0"/>
        <v/>
      </c>
      <c r="H13274" s="26" t="str">
        <f t="shared" si="1"/>
        <v/>
      </c>
      <c r="I13274" s="26" t="str">
        <f t="shared" si="2"/>
        <v/>
      </c>
      <c r="J13274" s="86">
        <f t="shared" si="3"/>
        <v>0</v>
      </c>
      <c r="R13274" s="26"/>
    </row>
    <row r="13275" spans="1:18" ht="15.75" customHeight="1">
      <c r="A13275" s="26"/>
      <c r="B13275" s="86"/>
      <c r="D13275" s="26"/>
      <c r="F13275" s="87" t="str">
        <f t="shared" si="0"/>
        <v/>
      </c>
      <c r="H13275" s="26" t="str">
        <f t="shared" si="1"/>
        <v/>
      </c>
      <c r="I13275" s="26" t="str">
        <f t="shared" si="2"/>
        <v/>
      </c>
      <c r="J13275" s="86">
        <f t="shared" si="3"/>
        <v>0</v>
      </c>
      <c r="R13275" s="26"/>
    </row>
    <row r="13276" spans="1:18" ht="15.75" customHeight="1">
      <c r="A13276" s="26"/>
      <c r="B13276" s="86"/>
      <c r="D13276" s="26"/>
      <c r="F13276" s="87" t="str">
        <f t="shared" si="0"/>
        <v/>
      </c>
      <c r="H13276" s="26" t="str">
        <f t="shared" si="1"/>
        <v/>
      </c>
      <c r="I13276" s="26" t="str">
        <f t="shared" si="2"/>
        <v/>
      </c>
      <c r="J13276" s="86">
        <f t="shared" si="3"/>
        <v>0</v>
      </c>
      <c r="R13276" s="26"/>
    </row>
    <row r="13277" spans="1:18" ht="15.75" customHeight="1">
      <c r="A13277" s="26"/>
      <c r="B13277" s="86"/>
      <c r="D13277" s="26"/>
      <c r="F13277" s="87" t="str">
        <f t="shared" si="0"/>
        <v/>
      </c>
      <c r="H13277" s="26" t="str">
        <f t="shared" si="1"/>
        <v/>
      </c>
      <c r="I13277" s="26" t="str">
        <f t="shared" si="2"/>
        <v/>
      </c>
      <c r="J13277" s="86">
        <f t="shared" si="3"/>
        <v>0</v>
      </c>
      <c r="R13277" s="26"/>
    </row>
    <row r="13278" spans="1:18" ht="15.75" customHeight="1">
      <c r="A13278" s="26"/>
      <c r="B13278" s="86"/>
      <c r="D13278" s="26"/>
      <c r="F13278" s="87" t="str">
        <f t="shared" si="0"/>
        <v/>
      </c>
      <c r="H13278" s="26" t="str">
        <f t="shared" si="1"/>
        <v/>
      </c>
      <c r="I13278" s="26" t="str">
        <f t="shared" si="2"/>
        <v/>
      </c>
      <c r="J13278" s="86">
        <f t="shared" si="3"/>
        <v>0</v>
      </c>
      <c r="R13278" s="26"/>
    </row>
    <row r="13279" spans="1:18" ht="15.75" customHeight="1">
      <c r="A13279" s="26"/>
      <c r="B13279" s="86"/>
      <c r="D13279" s="26"/>
      <c r="F13279" s="87" t="str">
        <f t="shared" si="0"/>
        <v/>
      </c>
      <c r="H13279" s="26" t="str">
        <f t="shared" si="1"/>
        <v/>
      </c>
      <c r="I13279" s="26" t="str">
        <f t="shared" si="2"/>
        <v/>
      </c>
      <c r="J13279" s="86">
        <f t="shared" si="3"/>
        <v>0</v>
      </c>
      <c r="R13279" s="26"/>
    </row>
    <row r="13280" spans="1:18" ht="15.75" customHeight="1">
      <c r="A13280" s="26"/>
      <c r="B13280" s="86"/>
      <c r="D13280" s="26"/>
      <c r="F13280" s="87" t="str">
        <f t="shared" si="0"/>
        <v/>
      </c>
      <c r="H13280" s="26" t="str">
        <f t="shared" si="1"/>
        <v/>
      </c>
      <c r="I13280" s="26" t="str">
        <f t="shared" si="2"/>
        <v/>
      </c>
      <c r="J13280" s="86">
        <f t="shared" si="3"/>
        <v>0</v>
      </c>
      <c r="R13280" s="26"/>
    </row>
    <row r="13281" spans="1:18" ht="15.75" customHeight="1">
      <c r="A13281" s="26"/>
      <c r="B13281" s="86"/>
      <c r="D13281" s="26"/>
      <c r="F13281" s="87" t="str">
        <f t="shared" si="0"/>
        <v/>
      </c>
      <c r="H13281" s="26" t="str">
        <f t="shared" si="1"/>
        <v/>
      </c>
      <c r="I13281" s="26" t="str">
        <f t="shared" si="2"/>
        <v/>
      </c>
      <c r="J13281" s="86">
        <f t="shared" si="3"/>
        <v>0</v>
      </c>
      <c r="R13281" s="26"/>
    </row>
    <row r="13282" spans="1:18" ht="15.75" customHeight="1">
      <c r="A13282" s="26"/>
      <c r="B13282" s="86"/>
      <c r="D13282" s="26"/>
      <c r="F13282" s="87" t="str">
        <f t="shared" si="0"/>
        <v/>
      </c>
      <c r="H13282" s="26" t="str">
        <f t="shared" si="1"/>
        <v/>
      </c>
      <c r="I13282" s="26" t="str">
        <f t="shared" si="2"/>
        <v/>
      </c>
      <c r="J13282" s="86">
        <f t="shared" si="3"/>
        <v>0</v>
      </c>
      <c r="R13282" s="26"/>
    </row>
    <row r="13283" spans="1:18" ht="15.75" customHeight="1">
      <c r="A13283" s="26"/>
      <c r="B13283" s="86"/>
      <c r="D13283" s="26"/>
      <c r="F13283" s="87" t="str">
        <f t="shared" si="0"/>
        <v/>
      </c>
      <c r="H13283" s="26" t="str">
        <f t="shared" si="1"/>
        <v/>
      </c>
      <c r="I13283" s="26" t="str">
        <f t="shared" si="2"/>
        <v/>
      </c>
      <c r="J13283" s="86">
        <f t="shared" si="3"/>
        <v>0</v>
      </c>
      <c r="R13283" s="26"/>
    </row>
    <row r="13284" spans="1:18" ht="15.75" customHeight="1">
      <c r="A13284" s="26"/>
      <c r="B13284" s="86"/>
      <c r="D13284" s="26"/>
      <c r="F13284" s="87" t="str">
        <f t="shared" si="0"/>
        <v/>
      </c>
      <c r="H13284" s="26" t="str">
        <f t="shared" si="1"/>
        <v/>
      </c>
      <c r="I13284" s="26" t="str">
        <f t="shared" si="2"/>
        <v/>
      </c>
      <c r="J13284" s="86">
        <f t="shared" si="3"/>
        <v>0</v>
      </c>
      <c r="R13284" s="26"/>
    </row>
    <row r="13285" spans="1:18" ht="15.75" customHeight="1">
      <c r="A13285" s="26"/>
      <c r="B13285" s="86"/>
      <c r="D13285" s="26"/>
      <c r="F13285" s="87" t="str">
        <f t="shared" si="0"/>
        <v/>
      </c>
      <c r="H13285" s="26" t="str">
        <f t="shared" si="1"/>
        <v/>
      </c>
      <c r="I13285" s="26" t="str">
        <f t="shared" si="2"/>
        <v/>
      </c>
      <c r="J13285" s="86">
        <f t="shared" si="3"/>
        <v>0</v>
      </c>
      <c r="R13285" s="26"/>
    </row>
    <row r="13286" spans="1:18" ht="15.75" customHeight="1">
      <c r="A13286" s="26"/>
      <c r="B13286" s="86"/>
      <c r="D13286" s="26"/>
      <c r="F13286" s="87" t="str">
        <f t="shared" si="0"/>
        <v/>
      </c>
      <c r="H13286" s="26" t="str">
        <f t="shared" si="1"/>
        <v/>
      </c>
      <c r="I13286" s="26" t="str">
        <f t="shared" si="2"/>
        <v/>
      </c>
      <c r="J13286" s="86">
        <f t="shared" si="3"/>
        <v>0</v>
      </c>
      <c r="R13286" s="26"/>
    </row>
    <row r="13287" spans="1:18" ht="15.75" customHeight="1">
      <c r="A13287" s="26"/>
      <c r="B13287" s="86"/>
      <c r="D13287" s="26"/>
      <c r="F13287" s="87" t="str">
        <f t="shared" si="0"/>
        <v/>
      </c>
      <c r="H13287" s="26" t="str">
        <f t="shared" si="1"/>
        <v/>
      </c>
      <c r="I13287" s="26" t="str">
        <f t="shared" si="2"/>
        <v/>
      </c>
      <c r="J13287" s="86">
        <f t="shared" si="3"/>
        <v>0</v>
      </c>
      <c r="R13287" s="26"/>
    </row>
    <row r="13288" spans="1:18" ht="15.75" customHeight="1">
      <c r="A13288" s="26"/>
      <c r="B13288" s="86"/>
      <c r="D13288" s="26"/>
      <c r="F13288" s="87" t="str">
        <f t="shared" si="0"/>
        <v/>
      </c>
      <c r="H13288" s="26" t="str">
        <f t="shared" si="1"/>
        <v/>
      </c>
      <c r="I13288" s="26" t="str">
        <f t="shared" si="2"/>
        <v/>
      </c>
      <c r="J13288" s="86">
        <f t="shared" si="3"/>
        <v>0</v>
      </c>
      <c r="R13288" s="26"/>
    </row>
    <row r="13289" spans="1:18" ht="15.75" customHeight="1">
      <c r="A13289" s="26"/>
      <c r="B13289" s="86"/>
      <c r="D13289" s="26"/>
      <c r="F13289" s="87" t="str">
        <f t="shared" si="0"/>
        <v/>
      </c>
      <c r="H13289" s="26" t="str">
        <f t="shared" si="1"/>
        <v/>
      </c>
      <c r="I13289" s="26" t="str">
        <f t="shared" si="2"/>
        <v/>
      </c>
      <c r="J13289" s="86">
        <f t="shared" si="3"/>
        <v>0</v>
      </c>
      <c r="R13289" s="26"/>
    </row>
    <row r="13290" spans="1:18" ht="15.75" customHeight="1">
      <c r="A13290" s="26"/>
      <c r="B13290" s="86"/>
      <c r="D13290" s="26"/>
      <c r="F13290" s="87" t="str">
        <f t="shared" si="0"/>
        <v/>
      </c>
      <c r="H13290" s="26" t="str">
        <f t="shared" si="1"/>
        <v/>
      </c>
      <c r="I13290" s="26" t="str">
        <f t="shared" si="2"/>
        <v/>
      </c>
      <c r="J13290" s="86">
        <f t="shared" si="3"/>
        <v>0</v>
      </c>
      <c r="R13290" s="26"/>
    </row>
    <row r="13291" spans="1:18" ht="15.75" customHeight="1">
      <c r="A13291" s="26"/>
      <c r="B13291" s="86"/>
      <c r="D13291" s="26"/>
      <c r="F13291" s="87" t="str">
        <f t="shared" si="0"/>
        <v/>
      </c>
      <c r="H13291" s="26" t="str">
        <f t="shared" si="1"/>
        <v/>
      </c>
      <c r="I13291" s="26" t="str">
        <f t="shared" si="2"/>
        <v/>
      </c>
      <c r="J13291" s="86">
        <f t="shared" si="3"/>
        <v>0</v>
      </c>
      <c r="R13291" s="26"/>
    </row>
    <row r="13292" spans="1:18" ht="15.75" customHeight="1">
      <c r="A13292" s="26"/>
      <c r="B13292" s="86"/>
      <c r="D13292" s="26"/>
      <c r="F13292" s="87" t="str">
        <f t="shared" si="0"/>
        <v/>
      </c>
      <c r="H13292" s="26" t="str">
        <f t="shared" si="1"/>
        <v/>
      </c>
      <c r="I13292" s="26" t="str">
        <f t="shared" si="2"/>
        <v/>
      </c>
      <c r="J13292" s="86">
        <f t="shared" si="3"/>
        <v>0</v>
      </c>
      <c r="R13292" s="26"/>
    </row>
    <row r="13293" spans="1:18" ht="15.75" customHeight="1">
      <c r="A13293" s="26"/>
      <c r="B13293" s="86"/>
      <c r="D13293" s="26"/>
      <c r="F13293" s="87" t="str">
        <f t="shared" si="0"/>
        <v/>
      </c>
      <c r="H13293" s="26" t="str">
        <f t="shared" si="1"/>
        <v/>
      </c>
      <c r="I13293" s="26" t="str">
        <f t="shared" si="2"/>
        <v/>
      </c>
      <c r="J13293" s="86">
        <f t="shared" si="3"/>
        <v>0</v>
      </c>
      <c r="R13293" s="26"/>
    </row>
    <row r="13294" spans="1:18" ht="15.75" customHeight="1">
      <c r="A13294" s="26"/>
      <c r="B13294" s="86"/>
      <c r="D13294" s="26"/>
      <c r="F13294" s="87" t="str">
        <f t="shared" si="0"/>
        <v/>
      </c>
      <c r="H13294" s="26" t="str">
        <f t="shared" si="1"/>
        <v/>
      </c>
      <c r="I13294" s="26" t="str">
        <f t="shared" si="2"/>
        <v/>
      </c>
      <c r="J13294" s="86">
        <f t="shared" si="3"/>
        <v>0</v>
      </c>
      <c r="R13294" s="26"/>
    </row>
    <row r="13295" spans="1:18" ht="15.75" customHeight="1">
      <c r="A13295" s="26"/>
      <c r="B13295" s="86"/>
      <c r="D13295" s="26"/>
      <c r="F13295" s="87" t="str">
        <f t="shared" si="0"/>
        <v/>
      </c>
      <c r="H13295" s="26" t="str">
        <f t="shared" si="1"/>
        <v/>
      </c>
      <c r="I13295" s="26" t="str">
        <f t="shared" si="2"/>
        <v/>
      </c>
      <c r="J13295" s="86">
        <f t="shared" si="3"/>
        <v>0</v>
      </c>
      <c r="R13295" s="26"/>
    </row>
    <row r="13296" spans="1:18" ht="15.75" customHeight="1">
      <c r="A13296" s="26"/>
      <c r="B13296" s="86"/>
      <c r="D13296" s="26"/>
      <c r="F13296" s="87" t="str">
        <f t="shared" si="0"/>
        <v/>
      </c>
      <c r="H13296" s="26" t="str">
        <f t="shared" si="1"/>
        <v/>
      </c>
      <c r="I13296" s="26" t="str">
        <f t="shared" si="2"/>
        <v/>
      </c>
      <c r="J13296" s="86">
        <f t="shared" si="3"/>
        <v>0</v>
      </c>
      <c r="R13296" s="26"/>
    </row>
    <row r="13297" spans="1:18" ht="15.75" customHeight="1">
      <c r="A13297" s="26"/>
      <c r="B13297" s="86"/>
      <c r="D13297" s="26"/>
      <c r="F13297" s="87" t="str">
        <f t="shared" si="0"/>
        <v/>
      </c>
      <c r="H13297" s="26" t="str">
        <f t="shared" si="1"/>
        <v/>
      </c>
      <c r="I13297" s="26" t="str">
        <f t="shared" si="2"/>
        <v/>
      </c>
      <c r="J13297" s="86">
        <f t="shared" si="3"/>
        <v>0</v>
      </c>
      <c r="R13297" s="26"/>
    </row>
    <row r="13298" spans="1:18" ht="15.75" customHeight="1">
      <c r="A13298" s="26"/>
      <c r="B13298" s="86"/>
      <c r="D13298" s="26"/>
      <c r="F13298" s="87" t="str">
        <f t="shared" si="0"/>
        <v/>
      </c>
      <c r="H13298" s="26" t="str">
        <f t="shared" si="1"/>
        <v/>
      </c>
      <c r="I13298" s="26" t="str">
        <f t="shared" si="2"/>
        <v/>
      </c>
      <c r="J13298" s="86">
        <f t="shared" si="3"/>
        <v>0</v>
      </c>
      <c r="R13298" s="26"/>
    </row>
    <row r="13299" spans="1:18" ht="15.75" customHeight="1">
      <c r="A13299" s="26"/>
      <c r="B13299" s="86"/>
      <c r="D13299" s="26"/>
      <c r="F13299" s="87" t="str">
        <f t="shared" si="0"/>
        <v/>
      </c>
      <c r="H13299" s="26" t="str">
        <f t="shared" si="1"/>
        <v/>
      </c>
      <c r="I13299" s="26" t="str">
        <f t="shared" si="2"/>
        <v/>
      </c>
      <c r="J13299" s="86">
        <f t="shared" si="3"/>
        <v>0</v>
      </c>
      <c r="R13299" s="26"/>
    </row>
    <row r="13300" spans="1:18" ht="15.75" customHeight="1">
      <c r="A13300" s="26"/>
      <c r="B13300" s="86"/>
      <c r="D13300" s="26"/>
      <c r="F13300" s="87" t="str">
        <f t="shared" si="0"/>
        <v/>
      </c>
      <c r="H13300" s="26" t="str">
        <f t="shared" si="1"/>
        <v/>
      </c>
      <c r="I13300" s="26" t="str">
        <f t="shared" si="2"/>
        <v/>
      </c>
      <c r="J13300" s="86">
        <f t="shared" si="3"/>
        <v>0</v>
      </c>
      <c r="R13300" s="26"/>
    </row>
    <row r="13301" spans="1:18" ht="15.75" customHeight="1">
      <c r="A13301" s="26"/>
      <c r="B13301" s="86"/>
      <c r="D13301" s="26"/>
      <c r="F13301" s="87" t="str">
        <f t="shared" si="0"/>
        <v/>
      </c>
      <c r="H13301" s="26" t="str">
        <f t="shared" si="1"/>
        <v/>
      </c>
      <c r="I13301" s="26" t="str">
        <f t="shared" si="2"/>
        <v/>
      </c>
      <c r="J13301" s="86">
        <f t="shared" si="3"/>
        <v>0</v>
      </c>
      <c r="R13301" s="26"/>
    </row>
    <row r="13302" spans="1:18" ht="15.75" customHeight="1">
      <c r="A13302" s="26"/>
      <c r="B13302" s="86"/>
      <c r="D13302" s="26"/>
      <c r="F13302" s="87" t="str">
        <f t="shared" si="0"/>
        <v/>
      </c>
      <c r="H13302" s="26" t="str">
        <f t="shared" si="1"/>
        <v/>
      </c>
      <c r="I13302" s="26" t="str">
        <f t="shared" si="2"/>
        <v/>
      </c>
      <c r="J13302" s="86">
        <f t="shared" si="3"/>
        <v>0</v>
      </c>
      <c r="R13302" s="26"/>
    </row>
    <row r="13303" spans="1:18" ht="15.75" customHeight="1">
      <c r="A13303" s="26"/>
      <c r="B13303" s="86"/>
      <c r="D13303" s="26"/>
      <c r="F13303" s="87" t="str">
        <f t="shared" si="0"/>
        <v/>
      </c>
      <c r="H13303" s="26" t="str">
        <f t="shared" si="1"/>
        <v/>
      </c>
      <c r="I13303" s="26" t="str">
        <f t="shared" si="2"/>
        <v/>
      </c>
      <c r="J13303" s="86">
        <f t="shared" si="3"/>
        <v>0</v>
      </c>
      <c r="R13303" s="26"/>
    </row>
    <row r="13304" spans="1:18" ht="15.75" customHeight="1">
      <c r="A13304" s="26"/>
      <c r="B13304" s="86"/>
      <c r="D13304" s="26"/>
      <c r="F13304" s="87" t="str">
        <f t="shared" si="0"/>
        <v/>
      </c>
      <c r="H13304" s="26" t="str">
        <f t="shared" si="1"/>
        <v/>
      </c>
      <c r="I13304" s="26" t="str">
        <f t="shared" si="2"/>
        <v/>
      </c>
      <c r="J13304" s="86">
        <f t="shared" si="3"/>
        <v>0</v>
      </c>
      <c r="R13304" s="26"/>
    </row>
    <row r="13305" spans="1:18" ht="15.75" customHeight="1">
      <c r="A13305" s="26"/>
      <c r="B13305" s="86"/>
      <c r="D13305" s="26"/>
      <c r="F13305" s="87" t="str">
        <f t="shared" si="0"/>
        <v/>
      </c>
      <c r="H13305" s="26" t="str">
        <f t="shared" si="1"/>
        <v/>
      </c>
      <c r="I13305" s="26" t="str">
        <f t="shared" si="2"/>
        <v/>
      </c>
      <c r="J13305" s="86">
        <f t="shared" si="3"/>
        <v>0</v>
      </c>
      <c r="R13305" s="26"/>
    </row>
    <row r="13306" spans="1:18" ht="15.75" customHeight="1">
      <c r="A13306" s="26"/>
      <c r="B13306" s="86"/>
      <c r="D13306" s="26"/>
      <c r="F13306" s="87" t="str">
        <f t="shared" si="0"/>
        <v/>
      </c>
      <c r="H13306" s="26" t="str">
        <f t="shared" si="1"/>
        <v/>
      </c>
      <c r="I13306" s="26" t="str">
        <f t="shared" si="2"/>
        <v/>
      </c>
      <c r="J13306" s="86">
        <f t="shared" si="3"/>
        <v>0</v>
      </c>
      <c r="R13306" s="26"/>
    </row>
    <row r="13307" spans="1:18" ht="15.75" customHeight="1">
      <c r="A13307" s="26"/>
      <c r="B13307" s="86"/>
      <c r="D13307" s="26"/>
      <c r="F13307" s="87" t="str">
        <f t="shared" si="0"/>
        <v/>
      </c>
      <c r="H13307" s="26" t="str">
        <f t="shared" si="1"/>
        <v/>
      </c>
      <c r="I13307" s="26" t="str">
        <f t="shared" si="2"/>
        <v/>
      </c>
      <c r="J13307" s="86">
        <f t="shared" si="3"/>
        <v>0</v>
      </c>
      <c r="R13307" s="26"/>
    </row>
    <row r="13308" spans="1:18" ht="15.75" customHeight="1">
      <c r="A13308" s="26"/>
      <c r="B13308" s="86"/>
      <c r="D13308" s="26"/>
      <c r="F13308" s="87" t="str">
        <f t="shared" si="0"/>
        <v/>
      </c>
      <c r="H13308" s="26" t="str">
        <f t="shared" si="1"/>
        <v/>
      </c>
      <c r="I13308" s="26" t="str">
        <f t="shared" si="2"/>
        <v/>
      </c>
      <c r="J13308" s="86">
        <f t="shared" si="3"/>
        <v>0</v>
      </c>
      <c r="R13308" s="26"/>
    </row>
    <row r="13309" spans="1:18" ht="15.75" customHeight="1">
      <c r="A13309" s="26"/>
      <c r="B13309" s="86"/>
      <c r="D13309" s="26"/>
      <c r="F13309" s="87" t="str">
        <f t="shared" si="0"/>
        <v/>
      </c>
      <c r="H13309" s="26" t="str">
        <f t="shared" si="1"/>
        <v/>
      </c>
      <c r="I13309" s="26" t="str">
        <f t="shared" si="2"/>
        <v/>
      </c>
      <c r="J13309" s="86">
        <f t="shared" si="3"/>
        <v>0</v>
      </c>
      <c r="R13309" s="26"/>
    </row>
    <row r="13310" spans="1:18" ht="15.75" customHeight="1">
      <c r="A13310" s="26"/>
      <c r="B13310" s="86"/>
      <c r="D13310" s="26"/>
      <c r="F13310" s="87" t="str">
        <f t="shared" si="0"/>
        <v/>
      </c>
      <c r="H13310" s="26" t="str">
        <f t="shared" si="1"/>
        <v/>
      </c>
      <c r="I13310" s="26" t="str">
        <f t="shared" si="2"/>
        <v/>
      </c>
      <c r="J13310" s="86">
        <f t="shared" si="3"/>
        <v>0</v>
      </c>
      <c r="R13310" s="26"/>
    </row>
    <row r="13311" spans="1:18" ht="15.75" customHeight="1">
      <c r="A13311" s="26"/>
      <c r="B13311" s="86"/>
      <c r="D13311" s="26"/>
      <c r="F13311" s="87" t="str">
        <f t="shared" si="0"/>
        <v/>
      </c>
      <c r="H13311" s="26" t="str">
        <f t="shared" si="1"/>
        <v/>
      </c>
      <c r="I13311" s="26" t="str">
        <f t="shared" si="2"/>
        <v/>
      </c>
      <c r="J13311" s="86">
        <f t="shared" si="3"/>
        <v>0</v>
      </c>
      <c r="R13311" s="26"/>
    </row>
    <row r="13312" spans="1:18" ht="15.75" customHeight="1">
      <c r="A13312" s="26"/>
      <c r="B13312" s="86"/>
      <c r="D13312" s="26"/>
      <c r="F13312" s="87" t="str">
        <f t="shared" si="0"/>
        <v/>
      </c>
      <c r="H13312" s="26" t="str">
        <f t="shared" si="1"/>
        <v/>
      </c>
      <c r="I13312" s="26" t="str">
        <f t="shared" si="2"/>
        <v/>
      </c>
      <c r="J13312" s="86">
        <f t="shared" si="3"/>
        <v>0</v>
      </c>
      <c r="R13312" s="26"/>
    </row>
    <row r="13313" spans="1:18" ht="15.75" customHeight="1">
      <c r="A13313" s="26"/>
      <c r="B13313" s="86"/>
      <c r="D13313" s="26"/>
      <c r="F13313" s="87" t="str">
        <f t="shared" si="0"/>
        <v/>
      </c>
      <c r="H13313" s="26" t="str">
        <f t="shared" si="1"/>
        <v/>
      </c>
      <c r="I13313" s="26" t="str">
        <f t="shared" si="2"/>
        <v/>
      </c>
      <c r="J13313" s="86">
        <f t="shared" si="3"/>
        <v>0</v>
      </c>
      <c r="R13313" s="26"/>
    </row>
    <row r="13314" spans="1:18" ht="15.75" customHeight="1">
      <c r="A13314" s="26"/>
      <c r="B13314" s="86"/>
      <c r="D13314" s="26"/>
      <c r="F13314" s="87" t="str">
        <f t="shared" si="0"/>
        <v/>
      </c>
      <c r="H13314" s="26" t="str">
        <f t="shared" si="1"/>
        <v/>
      </c>
      <c r="I13314" s="26" t="str">
        <f t="shared" si="2"/>
        <v/>
      </c>
      <c r="J13314" s="86">
        <f t="shared" si="3"/>
        <v>0</v>
      </c>
      <c r="R13314" s="26"/>
    </row>
    <row r="13315" spans="1:18" ht="15.75" customHeight="1">
      <c r="A13315" s="26"/>
      <c r="B13315" s="86"/>
      <c r="D13315" s="26"/>
      <c r="F13315" s="87" t="str">
        <f t="shared" si="0"/>
        <v/>
      </c>
      <c r="H13315" s="26" t="str">
        <f t="shared" si="1"/>
        <v/>
      </c>
      <c r="I13315" s="26" t="str">
        <f t="shared" si="2"/>
        <v/>
      </c>
      <c r="J13315" s="86">
        <f t="shared" si="3"/>
        <v>0</v>
      </c>
      <c r="R13315" s="26"/>
    </row>
    <row r="13316" spans="1:18" ht="15.75" customHeight="1">
      <c r="A13316" s="26"/>
      <c r="B13316" s="86"/>
      <c r="D13316" s="26"/>
      <c r="F13316" s="87" t="str">
        <f t="shared" si="0"/>
        <v/>
      </c>
      <c r="H13316" s="26" t="str">
        <f t="shared" si="1"/>
        <v/>
      </c>
      <c r="I13316" s="26" t="str">
        <f t="shared" si="2"/>
        <v/>
      </c>
      <c r="J13316" s="86">
        <f t="shared" si="3"/>
        <v>0</v>
      </c>
      <c r="R13316" s="26"/>
    </row>
    <row r="13317" spans="1:18" ht="15.75" customHeight="1">
      <c r="A13317" s="26"/>
      <c r="B13317" s="86"/>
      <c r="D13317" s="26"/>
      <c r="F13317" s="87" t="str">
        <f t="shared" si="0"/>
        <v/>
      </c>
      <c r="H13317" s="26" t="str">
        <f t="shared" si="1"/>
        <v/>
      </c>
      <c r="I13317" s="26" t="str">
        <f t="shared" si="2"/>
        <v/>
      </c>
      <c r="J13317" s="86">
        <f t="shared" si="3"/>
        <v>0</v>
      </c>
      <c r="R13317" s="26"/>
    </row>
    <row r="13318" spans="1:18" ht="15.75" customHeight="1">
      <c r="A13318" s="26"/>
      <c r="B13318" s="86"/>
      <c r="D13318" s="26"/>
      <c r="F13318" s="87" t="str">
        <f t="shared" si="0"/>
        <v/>
      </c>
      <c r="H13318" s="26" t="str">
        <f t="shared" si="1"/>
        <v/>
      </c>
      <c r="I13318" s="26" t="str">
        <f t="shared" si="2"/>
        <v/>
      </c>
      <c r="J13318" s="86">
        <f t="shared" si="3"/>
        <v>0</v>
      </c>
      <c r="R13318" s="26"/>
    </row>
    <row r="13319" spans="1:18" ht="15.75" customHeight="1">
      <c r="A13319" s="26"/>
      <c r="B13319" s="86"/>
      <c r="D13319" s="26"/>
      <c r="F13319" s="87" t="str">
        <f t="shared" si="0"/>
        <v/>
      </c>
      <c r="H13319" s="26" t="str">
        <f t="shared" si="1"/>
        <v/>
      </c>
      <c r="I13319" s="26" t="str">
        <f t="shared" si="2"/>
        <v/>
      </c>
      <c r="J13319" s="86">
        <f t="shared" si="3"/>
        <v>0</v>
      </c>
      <c r="R13319" s="26"/>
    </row>
    <row r="13320" spans="1:18" ht="15.75" customHeight="1">
      <c r="A13320" s="26"/>
      <c r="B13320" s="86"/>
      <c r="D13320" s="26"/>
      <c r="F13320" s="87" t="str">
        <f t="shared" si="0"/>
        <v/>
      </c>
      <c r="H13320" s="26" t="str">
        <f t="shared" si="1"/>
        <v/>
      </c>
      <c r="I13320" s="26" t="str">
        <f t="shared" si="2"/>
        <v/>
      </c>
      <c r="J13320" s="86">
        <f t="shared" si="3"/>
        <v>0</v>
      </c>
      <c r="R13320" s="26"/>
    </row>
    <row r="13321" spans="1:18" ht="15.75" customHeight="1">
      <c r="A13321" s="26"/>
      <c r="B13321" s="86"/>
      <c r="D13321" s="26"/>
      <c r="F13321" s="87" t="str">
        <f t="shared" si="0"/>
        <v/>
      </c>
      <c r="H13321" s="26" t="str">
        <f t="shared" si="1"/>
        <v/>
      </c>
      <c r="I13321" s="26" t="str">
        <f t="shared" si="2"/>
        <v/>
      </c>
      <c r="J13321" s="86">
        <f t="shared" si="3"/>
        <v>0</v>
      </c>
      <c r="R13321" s="26"/>
    </row>
    <row r="13322" spans="1:18" ht="15.75" customHeight="1">
      <c r="A13322" s="26"/>
      <c r="B13322" s="86"/>
      <c r="D13322" s="26"/>
      <c r="F13322" s="87" t="str">
        <f t="shared" si="0"/>
        <v/>
      </c>
      <c r="H13322" s="26" t="str">
        <f t="shared" si="1"/>
        <v/>
      </c>
      <c r="I13322" s="26" t="str">
        <f t="shared" si="2"/>
        <v/>
      </c>
      <c r="J13322" s="86">
        <f t="shared" si="3"/>
        <v>0</v>
      </c>
      <c r="R13322" s="26"/>
    </row>
    <row r="13323" spans="1:18" ht="15.75" customHeight="1">
      <c r="A13323" s="26"/>
      <c r="B13323" s="86"/>
      <c r="D13323" s="26"/>
      <c r="F13323" s="87" t="str">
        <f t="shared" si="0"/>
        <v/>
      </c>
      <c r="H13323" s="26" t="str">
        <f t="shared" si="1"/>
        <v/>
      </c>
      <c r="I13323" s="26" t="str">
        <f t="shared" si="2"/>
        <v/>
      </c>
      <c r="J13323" s="86">
        <f t="shared" si="3"/>
        <v>0</v>
      </c>
      <c r="R13323" s="26"/>
    </row>
    <row r="13324" spans="1:18" ht="15.75" customHeight="1">
      <c r="A13324" s="26"/>
      <c r="B13324" s="86"/>
      <c r="D13324" s="26"/>
      <c r="F13324" s="87" t="str">
        <f t="shared" si="0"/>
        <v/>
      </c>
      <c r="H13324" s="26" t="str">
        <f t="shared" si="1"/>
        <v/>
      </c>
      <c r="I13324" s="26" t="str">
        <f t="shared" si="2"/>
        <v/>
      </c>
      <c r="J13324" s="86">
        <f t="shared" si="3"/>
        <v>0</v>
      </c>
      <c r="R13324" s="26"/>
    </row>
    <row r="13325" spans="1:18" ht="15.75" customHeight="1">
      <c r="A13325" s="26"/>
      <c r="B13325" s="86"/>
      <c r="D13325" s="26"/>
      <c r="F13325" s="87" t="str">
        <f t="shared" si="0"/>
        <v/>
      </c>
      <c r="H13325" s="26" t="str">
        <f t="shared" si="1"/>
        <v/>
      </c>
      <c r="I13325" s="26" t="str">
        <f t="shared" si="2"/>
        <v/>
      </c>
      <c r="J13325" s="86">
        <f t="shared" si="3"/>
        <v>0</v>
      </c>
      <c r="R13325" s="26"/>
    </row>
    <row r="13326" spans="1:18" ht="15.75" customHeight="1">
      <c r="A13326" s="26"/>
      <c r="B13326" s="86"/>
      <c r="D13326" s="26"/>
      <c r="F13326" s="87" t="str">
        <f t="shared" si="0"/>
        <v/>
      </c>
      <c r="H13326" s="26" t="str">
        <f t="shared" si="1"/>
        <v/>
      </c>
      <c r="I13326" s="26" t="str">
        <f t="shared" si="2"/>
        <v/>
      </c>
      <c r="J13326" s="86">
        <f t="shared" si="3"/>
        <v>0</v>
      </c>
      <c r="R13326" s="26"/>
    </row>
    <row r="13327" spans="1:18" ht="15.75" customHeight="1">
      <c r="A13327" s="26"/>
      <c r="B13327" s="86"/>
      <c r="D13327" s="26"/>
      <c r="F13327" s="87" t="str">
        <f t="shared" si="0"/>
        <v/>
      </c>
      <c r="H13327" s="26" t="str">
        <f t="shared" si="1"/>
        <v/>
      </c>
      <c r="I13327" s="26" t="str">
        <f t="shared" si="2"/>
        <v/>
      </c>
      <c r="J13327" s="86">
        <f t="shared" si="3"/>
        <v>0</v>
      </c>
      <c r="R13327" s="26"/>
    </row>
    <row r="13328" spans="1:18" ht="15.75" customHeight="1">
      <c r="A13328" s="26"/>
      <c r="B13328" s="86"/>
      <c r="D13328" s="26"/>
      <c r="F13328" s="87" t="str">
        <f t="shared" si="0"/>
        <v/>
      </c>
      <c r="H13328" s="26" t="str">
        <f t="shared" si="1"/>
        <v/>
      </c>
      <c r="I13328" s="26" t="str">
        <f t="shared" si="2"/>
        <v/>
      </c>
      <c r="J13328" s="86">
        <f t="shared" si="3"/>
        <v>0</v>
      </c>
      <c r="R13328" s="26"/>
    </row>
    <row r="13329" spans="1:18" ht="15.75" customHeight="1">
      <c r="A13329" s="26"/>
      <c r="B13329" s="86"/>
      <c r="D13329" s="26"/>
      <c r="F13329" s="87" t="str">
        <f t="shared" si="0"/>
        <v/>
      </c>
      <c r="H13329" s="26" t="str">
        <f t="shared" si="1"/>
        <v/>
      </c>
      <c r="I13329" s="26" t="str">
        <f t="shared" si="2"/>
        <v/>
      </c>
      <c r="J13329" s="86">
        <f t="shared" si="3"/>
        <v>0</v>
      </c>
      <c r="R13329" s="26"/>
    </row>
    <row r="13330" spans="1:18" ht="15.75" customHeight="1">
      <c r="A13330" s="26"/>
      <c r="B13330" s="86"/>
      <c r="D13330" s="26"/>
      <c r="F13330" s="87" t="str">
        <f t="shared" si="0"/>
        <v/>
      </c>
      <c r="H13330" s="26" t="str">
        <f t="shared" si="1"/>
        <v/>
      </c>
      <c r="I13330" s="26" t="str">
        <f t="shared" si="2"/>
        <v/>
      </c>
      <c r="J13330" s="86">
        <f t="shared" si="3"/>
        <v>0</v>
      </c>
      <c r="R13330" s="26"/>
    </row>
    <row r="13331" spans="1:18" ht="15.75" customHeight="1">
      <c r="A13331" s="26"/>
      <c r="B13331" s="86"/>
      <c r="D13331" s="26"/>
      <c r="F13331" s="87" t="str">
        <f t="shared" si="0"/>
        <v/>
      </c>
      <c r="H13331" s="26" t="str">
        <f t="shared" si="1"/>
        <v/>
      </c>
      <c r="I13331" s="26" t="str">
        <f t="shared" si="2"/>
        <v/>
      </c>
      <c r="J13331" s="86">
        <f t="shared" si="3"/>
        <v>0</v>
      </c>
      <c r="R13331" s="26"/>
    </row>
    <row r="13332" spans="1:18" ht="15.75" customHeight="1">
      <c r="A13332" s="26"/>
      <c r="B13332" s="86"/>
      <c r="D13332" s="26"/>
      <c r="F13332" s="87" t="str">
        <f t="shared" si="0"/>
        <v/>
      </c>
      <c r="H13332" s="26" t="str">
        <f t="shared" si="1"/>
        <v/>
      </c>
      <c r="I13332" s="26" t="str">
        <f t="shared" si="2"/>
        <v/>
      </c>
      <c r="J13332" s="86">
        <f t="shared" si="3"/>
        <v>0</v>
      </c>
      <c r="R13332" s="26"/>
    </row>
    <row r="13333" spans="1:18" ht="15.75" customHeight="1">
      <c r="A13333" s="26"/>
      <c r="B13333" s="86"/>
      <c r="D13333" s="26"/>
      <c r="F13333" s="87" t="str">
        <f t="shared" si="0"/>
        <v/>
      </c>
      <c r="H13333" s="26" t="str">
        <f t="shared" si="1"/>
        <v/>
      </c>
      <c r="I13333" s="26" t="str">
        <f t="shared" si="2"/>
        <v/>
      </c>
      <c r="J13333" s="86">
        <f t="shared" si="3"/>
        <v>0</v>
      </c>
      <c r="R13333" s="26"/>
    </row>
    <row r="13334" spans="1:18" ht="15.75" customHeight="1">
      <c r="A13334" s="26"/>
      <c r="B13334" s="86"/>
      <c r="D13334" s="26"/>
      <c r="F13334" s="87" t="str">
        <f t="shared" si="0"/>
        <v/>
      </c>
      <c r="H13334" s="26" t="str">
        <f t="shared" si="1"/>
        <v/>
      </c>
      <c r="I13334" s="26" t="str">
        <f t="shared" si="2"/>
        <v/>
      </c>
      <c r="J13334" s="86">
        <f t="shared" si="3"/>
        <v>0</v>
      </c>
      <c r="R13334" s="26"/>
    </row>
    <row r="13335" spans="1:18" ht="15.75" customHeight="1">
      <c r="A13335" s="26"/>
      <c r="B13335" s="86"/>
      <c r="D13335" s="26"/>
      <c r="F13335" s="87" t="str">
        <f t="shared" si="0"/>
        <v/>
      </c>
      <c r="H13335" s="26" t="str">
        <f t="shared" si="1"/>
        <v/>
      </c>
      <c r="I13335" s="26" t="str">
        <f t="shared" si="2"/>
        <v/>
      </c>
      <c r="J13335" s="86">
        <f t="shared" si="3"/>
        <v>0</v>
      </c>
      <c r="R13335" s="26"/>
    </row>
    <row r="13336" spans="1:18" ht="15.75" customHeight="1">
      <c r="A13336" s="26"/>
      <c r="B13336" s="86"/>
      <c r="D13336" s="26"/>
      <c r="F13336" s="87" t="str">
        <f t="shared" si="0"/>
        <v/>
      </c>
      <c r="H13336" s="26" t="str">
        <f t="shared" si="1"/>
        <v/>
      </c>
      <c r="I13336" s="26" t="str">
        <f t="shared" si="2"/>
        <v/>
      </c>
      <c r="J13336" s="86">
        <f t="shared" si="3"/>
        <v>0</v>
      </c>
      <c r="R13336" s="26"/>
    </row>
    <row r="13337" spans="1:18" ht="15.75" customHeight="1">
      <c r="A13337" s="26"/>
      <c r="B13337" s="86"/>
      <c r="D13337" s="26"/>
      <c r="F13337" s="87" t="str">
        <f t="shared" si="0"/>
        <v/>
      </c>
      <c r="H13337" s="26" t="str">
        <f t="shared" si="1"/>
        <v/>
      </c>
      <c r="I13337" s="26" t="str">
        <f t="shared" si="2"/>
        <v/>
      </c>
      <c r="J13337" s="86">
        <f t="shared" si="3"/>
        <v>0</v>
      </c>
      <c r="R13337" s="26"/>
    </row>
  </sheetData>
  <autoFilter ref="A1:J13337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3975"/>
  <sheetViews>
    <sheetView workbookViewId="0"/>
  </sheetViews>
  <sheetFormatPr defaultColWidth="12.5703125" defaultRowHeight="15" customHeight="1"/>
  <cols>
    <col min="1" max="1" width="16.85546875" customWidth="1"/>
    <col min="2" max="2" width="23" customWidth="1"/>
    <col min="3" max="3" width="30.28515625" customWidth="1"/>
    <col min="4" max="4" width="30" customWidth="1"/>
    <col min="5" max="5" width="24.28515625" customWidth="1"/>
    <col min="6" max="6" width="14.42578125" customWidth="1"/>
    <col min="7" max="7" width="16.140625" customWidth="1"/>
  </cols>
  <sheetData>
    <row r="1" spans="1:10" ht="15.75" customHeight="1">
      <c r="A1" s="90" t="s">
        <v>110</v>
      </c>
      <c r="B1" s="90" t="s">
        <v>42</v>
      </c>
      <c r="C1" s="90" t="s">
        <v>43</v>
      </c>
      <c r="D1" s="90" t="s">
        <v>111</v>
      </c>
      <c r="E1" s="90" t="s">
        <v>112</v>
      </c>
      <c r="F1" s="90" t="s">
        <v>113</v>
      </c>
      <c r="G1" s="90" t="s">
        <v>114</v>
      </c>
      <c r="H1" s="90" t="s">
        <v>115</v>
      </c>
    </row>
    <row r="2" spans="1:10" ht="15.75" customHeight="1">
      <c r="A2" s="28">
        <v>19899</v>
      </c>
      <c r="B2" s="91">
        <v>45166.029270833329</v>
      </c>
      <c r="C2" s="28" t="s">
        <v>8</v>
      </c>
      <c r="D2" s="28" t="s">
        <v>116</v>
      </c>
      <c r="E2" s="28" t="s">
        <v>74</v>
      </c>
      <c r="F2" s="28">
        <v>0</v>
      </c>
      <c r="G2" s="28" t="s">
        <v>117</v>
      </c>
      <c r="H2" s="28">
        <f t="array" ref="H2:H3975">IF(F2:F3975=0, 0, IFERROR(VLOOKUP(G2:G3975,#REF!, 2, 0), 0))</f>
        <v>0</v>
      </c>
      <c r="J2" s="28"/>
    </row>
    <row r="3" spans="1:10" ht="15.75" customHeight="1">
      <c r="A3" s="28">
        <v>19899</v>
      </c>
      <c r="B3" s="91">
        <v>45166.029270833329</v>
      </c>
      <c r="C3" s="28" t="s">
        <v>8</v>
      </c>
      <c r="D3" s="28" t="s">
        <v>116</v>
      </c>
      <c r="E3" s="28" t="s">
        <v>74</v>
      </c>
      <c r="F3" s="28">
        <v>70</v>
      </c>
      <c r="G3" s="28">
        <v>1010113</v>
      </c>
      <c r="H3" s="28">
        <v>0</v>
      </c>
      <c r="J3" s="28"/>
    </row>
    <row r="4" spans="1:10" ht="15.75" customHeight="1">
      <c r="A4" s="28">
        <v>19899</v>
      </c>
      <c r="B4" s="91">
        <v>45166.029270833329</v>
      </c>
      <c r="C4" s="28" t="s">
        <v>8</v>
      </c>
      <c r="D4" s="28" t="s">
        <v>116</v>
      </c>
      <c r="E4" s="28" t="s">
        <v>74</v>
      </c>
      <c r="F4" s="28">
        <v>0</v>
      </c>
      <c r="G4" s="28" t="s">
        <v>118</v>
      </c>
      <c r="H4" s="28">
        <v>0</v>
      </c>
      <c r="J4" s="28"/>
    </row>
    <row r="5" spans="1:10" ht="15.75" customHeight="1">
      <c r="A5" s="28">
        <v>19899</v>
      </c>
      <c r="B5" s="91">
        <v>45166.029270833329</v>
      </c>
      <c r="C5" s="28" t="s">
        <v>8</v>
      </c>
      <c r="D5" s="28" t="s">
        <v>116</v>
      </c>
      <c r="E5" s="28" t="s">
        <v>74</v>
      </c>
      <c r="F5" s="28">
        <v>0</v>
      </c>
      <c r="G5" s="28" t="s">
        <v>119</v>
      </c>
      <c r="H5" s="28">
        <v>0</v>
      </c>
      <c r="J5" s="28"/>
    </row>
    <row r="6" spans="1:10" ht="15.75" customHeight="1">
      <c r="A6" s="28">
        <v>19899</v>
      </c>
      <c r="B6" s="91">
        <v>45166.029270833329</v>
      </c>
      <c r="C6" s="28" t="s">
        <v>8</v>
      </c>
      <c r="D6" s="28" t="s">
        <v>116</v>
      </c>
      <c r="E6" s="28" t="s">
        <v>74</v>
      </c>
      <c r="F6" s="28">
        <v>0</v>
      </c>
      <c r="G6" s="28" t="s">
        <v>120</v>
      </c>
      <c r="H6" s="28">
        <v>0</v>
      </c>
      <c r="J6" s="28"/>
    </row>
    <row r="7" spans="1:10" ht="15.75" customHeight="1">
      <c r="A7" s="28">
        <v>19899</v>
      </c>
      <c r="B7" s="91">
        <v>45166.029270833329</v>
      </c>
      <c r="C7" s="28" t="s">
        <v>8</v>
      </c>
      <c r="D7" s="28" t="s">
        <v>116</v>
      </c>
      <c r="E7" s="28" t="s">
        <v>74</v>
      </c>
      <c r="F7" s="28">
        <v>0</v>
      </c>
      <c r="G7" s="28" t="s">
        <v>121</v>
      </c>
      <c r="H7" s="28">
        <v>0</v>
      </c>
      <c r="J7" s="28"/>
    </row>
    <row r="8" spans="1:10" ht="15.75" customHeight="1">
      <c r="A8" s="28">
        <v>19899</v>
      </c>
      <c r="B8" s="91">
        <v>45166.029270833329</v>
      </c>
      <c r="C8" s="28" t="s">
        <v>8</v>
      </c>
      <c r="D8" s="28" t="s">
        <v>116</v>
      </c>
      <c r="E8" s="28" t="s">
        <v>74</v>
      </c>
      <c r="F8" s="28">
        <v>0</v>
      </c>
      <c r="G8" s="28" t="s">
        <v>122</v>
      </c>
      <c r="H8" s="28">
        <v>0</v>
      </c>
      <c r="J8" s="28"/>
    </row>
    <row r="9" spans="1:10" ht="15.75" customHeight="1">
      <c r="A9" s="28">
        <v>19890</v>
      </c>
      <c r="B9" s="91">
        <v>45165.758958333332</v>
      </c>
      <c r="C9" s="28" t="s">
        <v>8</v>
      </c>
      <c r="D9" s="28" t="s">
        <v>123</v>
      </c>
      <c r="E9" s="28" t="s">
        <v>74</v>
      </c>
      <c r="F9" s="28">
        <v>26</v>
      </c>
      <c r="G9" s="28" t="s">
        <v>122</v>
      </c>
      <c r="H9" s="28">
        <v>0</v>
      </c>
      <c r="J9" s="28"/>
    </row>
    <row r="10" spans="1:10" ht="15.75" customHeight="1">
      <c r="A10" s="28">
        <v>19890</v>
      </c>
      <c r="B10" s="91">
        <v>45165.758958333332</v>
      </c>
      <c r="C10" s="28" t="s">
        <v>8</v>
      </c>
      <c r="D10" s="28" t="s">
        <v>123</v>
      </c>
      <c r="E10" s="28" t="s">
        <v>74</v>
      </c>
      <c r="F10" s="28">
        <v>35</v>
      </c>
      <c r="G10" s="28" t="s">
        <v>124</v>
      </c>
      <c r="H10" s="28">
        <v>0</v>
      </c>
      <c r="J10" s="28"/>
    </row>
    <row r="11" spans="1:10" ht="15.75" customHeight="1">
      <c r="A11" s="28">
        <v>19890</v>
      </c>
      <c r="B11" s="91">
        <v>45165.758958333332</v>
      </c>
      <c r="C11" s="28" t="s">
        <v>8</v>
      </c>
      <c r="D11" s="28" t="s">
        <v>123</v>
      </c>
      <c r="E11" s="28" t="s">
        <v>74</v>
      </c>
      <c r="F11" s="28">
        <v>0</v>
      </c>
      <c r="G11" s="28" t="s">
        <v>125</v>
      </c>
      <c r="H11" s="28">
        <v>0</v>
      </c>
      <c r="J11" s="28"/>
    </row>
    <row r="12" spans="1:10" ht="15.75" customHeight="1">
      <c r="A12" s="28">
        <v>19890</v>
      </c>
      <c r="B12" s="91">
        <v>45165.758958333332</v>
      </c>
      <c r="C12" s="28" t="s">
        <v>8</v>
      </c>
      <c r="D12" s="28" t="s">
        <v>123</v>
      </c>
      <c r="E12" s="28" t="s">
        <v>74</v>
      </c>
      <c r="F12" s="28">
        <v>0</v>
      </c>
      <c r="G12" s="28" t="s">
        <v>119</v>
      </c>
      <c r="H12" s="28">
        <v>0</v>
      </c>
      <c r="J12" s="28"/>
    </row>
    <row r="13" spans="1:10" ht="15.75" customHeight="1">
      <c r="A13" s="28">
        <v>19890</v>
      </c>
      <c r="B13" s="91">
        <v>45165.758958333332</v>
      </c>
      <c r="C13" s="28" t="s">
        <v>8</v>
      </c>
      <c r="D13" s="28" t="s">
        <v>123</v>
      </c>
      <c r="E13" s="28" t="s">
        <v>74</v>
      </c>
      <c r="F13" s="28">
        <v>0</v>
      </c>
      <c r="G13" s="28" t="s">
        <v>121</v>
      </c>
      <c r="H13" s="28">
        <v>0</v>
      </c>
      <c r="J13" s="28"/>
    </row>
    <row r="14" spans="1:10" ht="15.75" customHeight="1">
      <c r="A14" s="28">
        <v>19851</v>
      </c>
      <c r="B14" s="91">
        <v>45164.59480324074</v>
      </c>
      <c r="C14" s="28" t="s">
        <v>8</v>
      </c>
      <c r="D14" s="28" t="s">
        <v>126</v>
      </c>
      <c r="E14" s="28" t="s">
        <v>28</v>
      </c>
      <c r="F14" s="28">
        <v>25</v>
      </c>
      <c r="G14" s="28">
        <v>100692</v>
      </c>
      <c r="H14" s="28">
        <v>0</v>
      </c>
      <c r="J14" s="28"/>
    </row>
    <row r="15" spans="1:10" ht="15.75" customHeight="1">
      <c r="A15" s="28">
        <v>19851</v>
      </c>
      <c r="B15" s="91">
        <v>45164.59480324074</v>
      </c>
      <c r="C15" s="28" t="s">
        <v>8</v>
      </c>
      <c r="D15" s="28" t="s">
        <v>126</v>
      </c>
      <c r="E15" s="28" t="s">
        <v>28</v>
      </c>
      <c r="F15" s="28">
        <v>0</v>
      </c>
      <c r="G15" s="28" t="s">
        <v>125</v>
      </c>
      <c r="H15" s="28">
        <v>0</v>
      </c>
      <c r="J15" s="28"/>
    </row>
    <row r="16" spans="1:10" ht="15.75" customHeight="1">
      <c r="A16" s="28">
        <v>19851</v>
      </c>
      <c r="B16" s="91">
        <v>45164.59480324074</v>
      </c>
      <c r="C16" s="28" t="s">
        <v>8</v>
      </c>
      <c r="D16" s="28" t="s">
        <v>126</v>
      </c>
      <c r="E16" s="28" t="s">
        <v>28</v>
      </c>
      <c r="F16" s="28">
        <v>0</v>
      </c>
      <c r="G16" s="28" t="s">
        <v>119</v>
      </c>
      <c r="H16" s="28">
        <v>0</v>
      </c>
      <c r="J16" s="28"/>
    </row>
    <row r="17" spans="1:10" ht="15.75" customHeight="1">
      <c r="A17" s="28">
        <v>19851</v>
      </c>
      <c r="B17" s="91">
        <v>45164.59480324074</v>
      </c>
      <c r="C17" s="28" t="s">
        <v>8</v>
      </c>
      <c r="D17" s="28" t="s">
        <v>126</v>
      </c>
      <c r="E17" s="28" t="s">
        <v>28</v>
      </c>
      <c r="F17" s="28">
        <v>0</v>
      </c>
      <c r="G17" s="28" t="s">
        <v>117</v>
      </c>
      <c r="H17" s="28">
        <v>0</v>
      </c>
      <c r="J17" s="28"/>
    </row>
    <row r="18" spans="1:10" ht="15.75" customHeight="1">
      <c r="A18" s="28">
        <v>19850</v>
      </c>
      <c r="B18" s="91">
        <v>45164.592129629629</v>
      </c>
      <c r="C18" s="28" t="s">
        <v>8</v>
      </c>
      <c r="D18" s="28" t="s">
        <v>127</v>
      </c>
      <c r="E18" s="28" t="s">
        <v>28</v>
      </c>
      <c r="F18" s="28">
        <v>0</v>
      </c>
      <c r="G18" s="28" t="s">
        <v>117</v>
      </c>
      <c r="H18" s="28">
        <v>0</v>
      </c>
      <c r="J18" s="28"/>
    </row>
    <row r="19" spans="1:10" ht="15.75" customHeight="1">
      <c r="A19" s="28">
        <v>19850</v>
      </c>
      <c r="B19" s="91">
        <v>45164.592129629629</v>
      </c>
      <c r="C19" s="28" t="s">
        <v>8</v>
      </c>
      <c r="D19" s="28" t="s">
        <v>127</v>
      </c>
      <c r="E19" s="28" t="s">
        <v>28</v>
      </c>
      <c r="F19" s="28">
        <v>25</v>
      </c>
      <c r="G19" s="28">
        <v>100692</v>
      </c>
      <c r="H19" s="28">
        <v>0</v>
      </c>
      <c r="J19" s="28"/>
    </row>
    <row r="20" spans="1:10" ht="15.75" customHeight="1">
      <c r="A20" s="28">
        <v>19850</v>
      </c>
      <c r="B20" s="91">
        <v>45164.592129629629</v>
      </c>
      <c r="C20" s="28" t="s">
        <v>8</v>
      </c>
      <c r="D20" s="28" t="s">
        <v>127</v>
      </c>
      <c r="E20" s="28" t="s">
        <v>28</v>
      </c>
      <c r="F20" s="28">
        <v>0</v>
      </c>
      <c r="G20" s="28" t="s">
        <v>125</v>
      </c>
      <c r="H20" s="28">
        <v>0</v>
      </c>
      <c r="J20" s="28"/>
    </row>
    <row r="21" spans="1:10" ht="15.75" customHeight="1">
      <c r="A21" s="28">
        <v>19850</v>
      </c>
      <c r="B21" s="91">
        <v>45164.592129629629</v>
      </c>
      <c r="C21" s="28" t="s">
        <v>8</v>
      </c>
      <c r="D21" s="28" t="s">
        <v>127</v>
      </c>
      <c r="E21" s="28" t="s">
        <v>28</v>
      </c>
      <c r="F21" s="28">
        <v>0</v>
      </c>
      <c r="G21" s="28" t="s">
        <v>119</v>
      </c>
      <c r="H21" s="28">
        <v>0</v>
      </c>
      <c r="J21" s="28"/>
    </row>
    <row r="22" spans="1:10" ht="15.75" customHeight="1">
      <c r="A22" s="28">
        <v>19850</v>
      </c>
      <c r="B22" s="91">
        <v>45164.592129629629</v>
      </c>
      <c r="C22" s="28" t="s">
        <v>8</v>
      </c>
      <c r="D22" s="28" t="s">
        <v>127</v>
      </c>
      <c r="E22" s="28" t="s">
        <v>28</v>
      </c>
      <c r="F22" s="28">
        <v>30</v>
      </c>
      <c r="G22" s="28" t="s">
        <v>128</v>
      </c>
      <c r="H22" s="28">
        <v>0</v>
      </c>
      <c r="J22" s="28"/>
    </row>
    <row r="23" spans="1:10" ht="15.75" customHeight="1">
      <c r="A23" s="28">
        <v>19850</v>
      </c>
      <c r="B23" s="91">
        <v>45164.592129629629</v>
      </c>
      <c r="C23" s="28" t="s">
        <v>8</v>
      </c>
      <c r="D23" s="28" t="s">
        <v>127</v>
      </c>
      <c r="E23" s="28" t="s">
        <v>28</v>
      </c>
      <c r="F23" s="28">
        <v>0</v>
      </c>
      <c r="G23" s="28" t="s">
        <v>125</v>
      </c>
      <c r="H23" s="28">
        <v>0</v>
      </c>
      <c r="J23" s="28"/>
    </row>
    <row r="24" spans="1:10" ht="15.75" customHeight="1">
      <c r="A24" s="28">
        <v>19850</v>
      </c>
      <c r="B24" s="91">
        <v>45164.592129629629</v>
      </c>
      <c r="C24" s="28" t="s">
        <v>8</v>
      </c>
      <c r="D24" s="28" t="s">
        <v>127</v>
      </c>
      <c r="E24" s="28" t="s">
        <v>28</v>
      </c>
      <c r="F24" s="28">
        <v>0</v>
      </c>
      <c r="G24" s="28" t="s">
        <v>119</v>
      </c>
      <c r="H24" s="28">
        <v>0</v>
      </c>
      <c r="J24" s="28"/>
    </row>
    <row r="25" spans="1:10" ht="15.75" customHeight="1">
      <c r="A25" s="28">
        <v>19849</v>
      </c>
      <c r="B25" s="91">
        <v>45163.964143518519</v>
      </c>
      <c r="C25" s="28" t="s">
        <v>8</v>
      </c>
      <c r="D25" s="28" t="s">
        <v>129</v>
      </c>
      <c r="E25" s="28" t="s">
        <v>74</v>
      </c>
      <c r="F25" s="28">
        <v>25</v>
      </c>
      <c r="G25" s="28" t="s">
        <v>130</v>
      </c>
      <c r="H25" s="28">
        <v>0</v>
      </c>
      <c r="J25" s="28"/>
    </row>
    <row r="26" spans="1:10" ht="15.75" customHeight="1">
      <c r="A26" s="28">
        <v>19848</v>
      </c>
      <c r="B26" s="91">
        <v>45163.819178240738</v>
      </c>
      <c r="C26" s="28" t="s">
        <v>8</v>
      </c>
      <c r="D26" s="28" t="s">
        <v>131</v>
      </c>
      <c r="E26" s="28" t="s">
        <v>74</v>
      </c>
      <c r="F26" s="28">
        <v>26</v>
      </c>
      <c r="G26" s="28"/>
      <c r="H26" s="28">
        <v>0</v>
      </c>
      <c r="J26" s="28"/>
    </row>
    <row r="27" spans="1:10" ht="15.75" customHeight="1">
      <c r="A27" s="28">
        <v>19848</v>
      </c>
      <c r="B27" s="91">
        <v>45163.819178240738</v>
      </c>
      <c r="C27" s="28" t="s">
        <v>8</v>
      </c>
      <c r="D27" s="28" t="s">
        <v>131</v>
      </c>
      <c r="E27" s="28" t="s">
        <v>74</v>
      </c>
      <c r="F27" s="28">
        <v>25</v>
      </c>
      <c r="G27" s="28">
        <v>100692</v>
      </c>
      <c r="H27" s="28">
        <v>0</v>
      </c>
      <c r="J27" s="28"/>
    </row>
    <row r="28" spans="1:10" ht="15.75" customHeight="1">
      <c r="A28" s="28">
        <v>19848</v>
      </c>
      <c r="B28" s="91">
        <v>45163.819178240738</v>
      </c>
      <c r="C28" s="28" t="s">
        <v>8</v>
      </c>
      <c r="D28" s="28" t="s">
        <v>131</v>
      </c>
      <c r="E28" s="28" t="s">
        <v>74</v>
      </c>
      <c r="F28" s="28">
        <v>0</v>
      </c>
      <c r="G28" s="28" t="s">
        <v>125</v>
      </c>
      <c r="H28" s="28">
        <v>0</v>
      </c>
      <c r="J28" s="28"/>
    </row>
    <row r="29" spans="1:10" ht="15.75" customHeight="1">
      <c r="A29" s="28">
        <v>19848</v>
      </c>
      <c r="B29" s="91">
        <v>45163.819178240738</v>
      </c>
      <c r="C29" s="28" t="s">
        <v>8</v>
      </c>
      <c r="D29" s="28" t="s">
        <v>131</v>
      </c>
      <c r="E29" s="28" t="s">
        <v>74</v>
      </c>
      <c r="F29" s="28">
        <v>0</v>
      </c>
      <c r="G29" s="28" t="s">
        <v>119</v>
      </c>
      <c r="H29" s="28">
        <v>0</v>
      </c>
      <c r="J29" s="28"/>
    </row>
    <row r="30" spans="1:10" ht="15.75" customHeight="1">
      <c r="A30" s="28">
        <v>19848</v>
      </c>
      <c r="B30" s="91">
        <v>45163.819178240738</v>
      </c>
      <c r="C30" s="28" t="s">
        <v>8</v>
      </c>
      <c r="D30" s="28" t="s">
        <v>131</v>
      </c>
      <c r="E30" s="28" t="s">
        <v>74</v>
      </c>
      <c r="F30" s="28">
        <v>0</v>
      </c>
      <c r="G30" s="28" t="s">
        <v>117</v>
      </c>
      <c r="H30" s="28">
        <v>0</v>
      </c>
      <c r="J30" s="28"/>
    </row>
    <row r="31" spans="1:10" ht="15.75" customHeight="1">
      <c r="A31" s="28">
        <v>19784</v>
      </c>
      <c r="B31" s="91">
        <v>45161.103368055556</v>
      </c>
      <c r="C31" s="28" t="s">
        <v>51</v>
      </c>
      <c r="D31" s="28" t="s">
        <v>132</v>
      </c>
      <c r="E31" s="28" t="s">
        <v>28</v>
      </c>
      <c r="F31" s="28">
        <v>178.5</v>
      </c>
      <c r="G31" s="28" t="s">
        <v>117</v>
      </c>
      <c r="H31" s="28">
        <v>0</v>
      </c>
      <c r="J31" s="28"/>
    </row>
    <row r="32" spans="1:10" ht="15.75" customHeight="1">
      <c r="A32" s="28">
        <v>19784</v>
      </c>
      <c r="B32" s="91">
        <v>45161.103368055556</v>
      </c>
      <c r="C32" s="28" t="s">
        <v>51</v>
      </c>
      <c r="D32" s="28" t="s">
        <v>132</v>
      </c>
      <c r="E32" s="28" t="s">
        <v>28</v>
      </c>
      <c r="F32" s="28">
        <v>153</v>
      </c>
      <c r="G32" s="28" t="s">
        <v>117</v>
      </c>
      <c r="H32" s="28">
        <v>0</v>
      </c>
      <c r="J32" s="28"/>
    </row>
    <row r="33" spans="1:10" ht="15.75" customHeight="1">
      <c r="A33" s="28">
        <v>19784</v>
      </c>
      <c r="B33" s="91">
        <v>45161.103368055556</v>
      </c>
      <c r="C33" s="28" t="s">
        <v>51</v>
      </c>
      <c r="D33" s="28" t="s">
        <v>132</v>
      </c>
      <c r="E33" s="28" t="s">
        <v>28</v>
      </c>
      <c r="F33" s="28">
        <v>162</v>
      </c>
      <c r="G33" s="28" t="s">
        <v>117</v>
      </c>
      <c r="H33" s="28">
        <v>0</v>
      </c>
      <c r="J33" s="28"/>
    </row>
    <row r="34" spans="1:10" ht="15.75" customHeight="1">
      <c r="A34" s="28">
        <v>19784</v>
      </c>
      <c r="B34" s="91">
        <v>45161.103368055556</v>
      </c>
      <c r="C34" s="28" t="s">
        <v>51</v>
      </c>
      <c r="D34" s="28" t="s">
        <v>132</v>
      </c>
      <c r="E34" s="28" t="s">
        <v>28</v>
      </c>
      <c r="F34" s="28">
        <v>286.5</v>
      </c>
      <c r="G34" s="28" t="s">
        <v>117</v>
      </c>
      <c r="H34" s="28">
        <v>0</v>
      </c>
      <c r="J34" s="28"/>
    </row>
    <row r="35" spans="1:10" ht="15.75" customHeight="1">
      <c r="A35" s="28">
        <v>19784</v>
      </c>
      <c r="B35" s="91">
        <v>45161.103368055556</v>
      </c>
      <c r="C35" s="28" t="s">
        <v>51</v>
      </c>
      <c r="D35" s="28" t="s">
        <v>132</v>
      </c>
      <c r="E35" s="28" t="s">
        <v>28</v>
      </c>
      <c r="F35" s="28">
        <v>361.5</v>
      </c>
      <c r="G35" s="28" t="s">
        <v>117</v>
      </c>
      <c r="H35" s="28">
        <v>0</v>
      </c>
      <c r="J35" s="28"/>
    </row>
    <row r="36" spans="1:10" ht="15.75" customHeight="1">
      <c r="A36" s="28">
        <v>19784</v>
      </c>
      <c r="B36" s="91">
        <v>45161.103368055556</v>
      </c>
      <c r="C36" s="28" t="s">
        <v>51</v>
      </c>
      <c r="D36" s="28" t="s">
        <v>132</v>
      </c>
      <c r="E36" s="28" t="s">
        <v>28</v>
      </c>
      <c r="F36" s="28">
        <v>391.5</v>
      </c>
      <c r="G36" s="28" t="s">
        <v>117</v>
      </c>
      <c r="H36" s="28">
        <v>0</v>
      </c>
      <c r="J36" s="28"/>
    </row>
    <row r="37" spans="1:10" ht="15.75" customHeight="1">
      <c r="A37" s="28">
        <v>19784</v>
      </c>
      <c r="B37" s="91">
        <v>45161.103368055556</v>
      </c>
      <c r="C37" s="28" t="s">
        <v>51</v>
      </c>
      <c r="D37" s="28" t="s">
        <v>132</v>
      </c>
      <c r="E37" s="28" t="s">
        <v>28</v>
      </c>
      <c r="F37" s="28">
        <v>243</v>
      </c>
      <c r="G37" s="28" t="s">
        <v>117</v>
      </c>
      <c r="H37" s="28">
        <v>0</v>
      </c>
      <c r="J37" s="28"/>
    </row>
    <row r="38" spans="1:10" ht="15.75" customHeight="1">
      <c r="A38" s="28">
        <v>19784</v>
      </c>
      <c r="B38" s="91">
        <v>45161.103368055556</v>
      </c>
      <c r="C38" s="28" t="s">
        <v>51</v>
      </c>
      <c r="D38" s="28" t="s">
        <v>132</v>
      </c>
      <c r="E38" s="28" t="s">
        <v>28</v>
      </c>
      <c r="F38" s="28">
        <v>198</v>
      </c>
      <c r="G38" s="28" t="s">
        <v>117</v>
      </c>
      <c r="H38" s="28">
        <v>0</v>
      </c>
      <c r="J38" s="28"/>
    </row>
    <row r="39" spans="1:10" ht="15.75" customHeight="1">
      <c r="A39" s="28">
        <v>19784</v>
      </c>
      <c r="B39" s="91">
        <v>45161.103368055556</v>
      </c>
      <c r="C39" s="28" t="s">
        <v>51</v>
      </c>
      <c r="D39" s="28" t="s">
        <v>132</v>
      </c>
      <c r="E39" s="28" t="s">
        <v>28</v>
      </c>
      <c r="F39" s="28">
        <v>27</v>
      </c>
      <c r="G39" s="28" t="s">
        <v>117</v>
      </c>
      <c r="H39" s="28">
        <v>0</v>
      </c>
      <c r="J39" s="28"/>
    </row>
    <row r="40" spans="1:10" ht="15.75" customHeight="1">
      <c r="A40" s="28">
        <v>19783</v>
      </c>
      <c r="B40" s="91">
        <v>45161.068252314813</v>
      </c>
      <c r="C40" s="28" t="s">
        <v>8</v>
      </c>
      <c r="D40" s="28" t="s">
        <v>133</v>
      </c>
      <c r="E40" s="28" t="s">
        <v>79</v>
      </c>
      <c r="F40" s="28">
        <v>26</v>
      </c>
      <c r="G40" s="28" t="s">
        <v>122</v>
      </c>
      <c r="H40" s="28">
        <v>0</v>
      </c>
      <c r="J40" s="28"/>
    </row>
    <row r="41" spans="1:10" ht="15.75" customHeight="1">
      <c r="A41" s="28">
        <v>19783</v>
      </c>
      <c r="B41" s="91">
        <v>45161.068252314813</v>
      </c>
      <c r="C41" s="28" t="s">
        <v>8</v>
      </c>
      <c r="D41" s="28" t="s">
        <v>133</v>
      </c>
      <c r="E41" s="28" t="s">
        <v>79</v>
      </c>
      <c r="F41" s="28">
        <v>26</v>
      </c>
      <c r="G41" s="28" t="s">
        <v>122</v>
      </c>
      <c r="H41" s="28">
        <v>0</v>
      </c>
      <c r="J41" s="28"/>
    </row>
    <row r="42" spans="1:10" ht="15.75" customHeight="1">
      <c r="A42" s="28">
        <v>19782</v>
      </c>
      <c r="B42" s="91">
        <v>45161.044803240744</v>
      </c>
      <c r="C42" s="28" t="s">
        <v>10</v>
      </c>
      <c r="D42" s="28" t="s">
        <v>134</v>
      </c>
      <c r="E42" s="28"/>
      <c r="F42" s="28">
        <v>84</v>
      </c>
      <c r="G42" s="28" t="s">
        <v>117</v>
      </c>
      <c r="H42" s="28">
        <v>0</v>
      </c>
      <c r="J42" s="28"/>
    </row>
    <row r="43" spans="1:10" ht="15.75" customHeight="1">
      <c r="A43" s="28">
        <v>19782</v>
      </c>
      <c r="B43" s="91">
        <v>45161.044803240744</v>
      </c>
      <c r="C43" s="28" t="s">
        <v>10</v>
      </c>
      <c r="D43" s="28" t="s">
        <v>134</v>
      </c>
      <c r="E43" s="28"/>
      <c r="F43" s="28">
        <v>190</v>
      </c>
      <c r="G43" s="28" t="s">
        <v>117</v>
      </c>
      <c r="H43" s="28">
        <v>0</v>
      </c>
      <c r="J43" s="28"/>
    </row>
    <row r="44" spans="1:10" ht="15.75" customHeight="1">
      <c r="A44" s="28">
        <v>19782</v>
      </c>
      <c r="B44" s="91">
        <v>45161.044803240744</v>
      </c>
      <c r="C44" s="28" t="s">
        <v>10</v>
      </c>
      <c r="D44" s="28" t="s">
        <v>134</v>
      </c>
      <c r="E44" s="28"/>
      <c r="F44" s="28">
        <v>208.5</v>
      </c>
      <c r="G44" s="28" t="s">
        <v>117</v>
      </c>
      <c r="H44" s="28">
        <v>0</v>
      </c>
      <c r="J44" s="28"/>
    </row>
    <row r="45" spans="1:10" ht="15.75" customHeight="1">
      <c r="A45" s="28">
        <v>19782</v>
      </c>
      <c r="B45" s="91">
        <v>45161.044803240744</v>
      </c>
      <c r="C45" s="28" t="s">
        <v>10</v>
      </c>
      <c r="D45" s="28" t="s">
        <v>134</v>
      </c>
      <c r="E45" s="28"/>
      <c r="F45" s="28">
        <v>106.5</v>
      </c>
      <c r="G45" s="28" t="s">
        <v>117</v>
      </c>
      <c r="H45" s="28">
        <v>0</v>
      </c>
      <c r="J45" s="28"/>
    </row>
    <row r="46" spans="1:10" ht="15.75" customHeight="1">
      <c r="A46" s="28">
        <v>19627</v>
      </c>
      <c r="B46" s="91">
        <v>45158.66878472222</v>
      </c>
      <c r="C46" s="28" t="s">
        <v>10</v>
      </c>
      <c r="D46" s="28" t="s">
        <v>135</v>
      </c>
      <c r="E46" s="28" t="s">
        <v>28</v>
      </c>
      <c r="F46" s="28">
        <v>15</v>
      </c>
      <c r="G46" s="28" t="s">
        <v>125</v>
      </c>
      <c r="H46" s="28">
        <v>0</v>
      </c>
      <c r="J46" s="28"/>
    </row>
    <row r="47" spans="1:10" ht="15.75" customHeight="1">
      <c r="A47" s="28">
        <v>19626</v>
      </c>
      <c r="B47" s="91">
        <v>45158.194467592592</v>
      </c>
      <c r="C47" s="28" t="s">
        <v>8</v>
      </c>
      <c r="D47" s="28" t="s">
        <v>136</v>
      </c>
      <c r="E47" s="28" t="s">
        <v>28</v>
      </c>
      <c r="F47" s="28">
        <v>22</v>
      </c>
      <c r="G47" s="28" t="s">
        <v>137</v>
      </c>
      <c r="H47" s="28">
        <v>0</v>
      </c>
      <c r="J47" s="28"/>
    </row>
    <row r="48" spans="1:10" ht="15.75" customHeight="1">
      <c r="A48" s="28">
        <v>19626</v>
      </c>
      <c r="B48" s="91">
        <v>45158.194467592592</v>
      </c>
      <c r="C48" s="28" t="s">
        <v>8</v>
      </c>
      <c r="D48" s="28" t="s">
        <v>136</v>
      </c>
      <c r="E48" s="28" t="s">
        <v>28</v>
      </c>
      <c r="F48" s="28">
        <v>50</v>
      </c>
      <c r="G48" s="28">
        <v>100692</v>
      </c>
      <c r="H48" s="28">
        <v>0</v>
      </c>
      <c r="J48" s="28"/>
    </row>
    <row r="49" spans="1:10" ht="15.75" customHeight="1">
      <c r="A49" s="28">
        <v>19626</v>
      </c>
      <c r="B49" s="91">
        <v>45158.194467592592</v>
      </c>
      <c r="C49" s="28" t="s">
        <v>8</v>
      </c>
      <c r="D49" s="28" t="s">
        <v>136</v>
      </c>
      <c r="E49" s="28" t="s">
        <v>28</v>
      </c>
      <c r="F49" s="28">
        <v>0</v>
      </c>
      <c r="G49" s="28" t="s">
        <v>125</v>
      </c>
      <c r="H49" s="28">
        <v>0</v>
      </c>
      <c r="J49" s="28"/>
    </row>
    <row r="50" spans="1:10" ht="15.75" customHeight="1">
      <c r="A50" s="28">
        <v>19626</v>
      </c>
      <c r="B50" s="91">
        <v>45158.194467592592</v>
      </c>
      <c r="C50" s="28" t="s">
        <v>8</v>
      </c>
      <c r="D50" s="28" t="s">
        <v>136</v>
      </c>
      <c r="E50" s="28" t="s">
        <v>28</v>
      </c>
      <c r="F50" s="28">
        <v>0</v>
      </c>
      <c r="G50" s="28" t="s">
        <v>119</v>
      </c>
      <c r="H50" s="28">
        <v>0</v>
      </c>
      <c r="J50" s="28"/>
    </row>
    <row r="51" spans="1:10" ht="15.75" customHeight="1">
      <c r="A51" s="28">
        <v>19626</v>
      </c>
      <c r="B51" s="91">
        <v>45158.194467592592</v>
      </c>
      <c r="C51" s="28" t="s">
        <v>8</v>
      </c>
      <c r="D51" s="28" t="s">
        <v>136</v>
      </c>
      <c r="E51" s="28" t="s">
        <v>28</v>
      </c>
      <c r="F51" s="28">
        <v>0</v>
      </c>
      <c r="G51" s="28" t="s">
        <v>117</v>
      </c>
      <c r="H51" s="28">
        <v>0</v>
      </c>
      <c r="J51" s="28"/>
    </row>
    <row r="52" spans="1:10" ht="15.75" customHeight="1">
      <c r="A52" s="28">
        <v>19623</v>
      </c>
      <c r="B52" s="91">
        <v>45157.568657407406</v>
      </c>
      <c r="C52" s="28" t="s">
        <v>8</v>
      </c>
      <c r="D52" s="28" t="s">
        <v>138</v>
      </c>
      <c r="E52" s="28" t="s">
        <v>74</v>
      </c>
      <c r="F52" s="28">
        <v>26</v>
      </c>
      <c r="G52" s="28" t="s">
        <v>122</v>
      </c>
      <c r="H52" s="28">
        <v>0</v>
      </c>
      <c r="J52" s="28"/>
    </row>
    <row r="53" spans="1:10" ht="15.75" customHeight="1">
      <c r="A53" s="28">
        <v>19623</v>
      </c>
      <c r="B53" s="91">
        <v>45157.568657407406</v>
      </c>
      <c r="C53" s="28" t="s">
        <v>8</v>
      </c>
      <c r="D53" s="28" t="s">
        <v>138</v>
      </c>
      <c r="E53" s="28" t="s">
        <v>74</v>
      </c>
      <c r="F53" s="28">
        <v>15</v>
      </c>
      <c r="G53" s="28" t="s">
        <v>139</v>
      </c>
      <c r="H53" s="28">
        <v>0</v>
      </c>
      <c r="J53" s="28"/>
    </row>
    <row r="54" spans="1:10" ht="15.75" customHeight="1">
      <c r="A54" s="28">
        <v>19621</v>
      </c>
      <c r="B54" s="91">
        <v>45156.963807870372</v>
      </c>
      <c r="C54" s="28" t="s">
        <v>8</v>
      </c>
      <c r="D54" s="28" t="s">
        <v>140</v>
      </c>
      <c r="E54" s="28" t="s">
        <v>74</v>
      </c>
      <c r="F54" s="28">
        <v>0</v>
      </c>
      <c r="G54" s="28" t="s">
        <v>117</v>
      </c>
      <c r="H54" s="28">
        <v>0</v>
      </c>
      <c r="J54" s="28"/>
    </row>
    <row r="55" spans="1:10" ht="15.75" customHeight="1">
      <c r="A55" s="28">
        <v>19621</v>
      </c>
      <c r="B55" s="91">
        <v>45156.963807870372</v>
      </c>
      <c r="C55" s="28" t="s">
        <v>8</v>
      </c>
      <c r="D55" s="28" t="s">
        <v>140</v>
      </c>
      <c r="E55" s="28" t="s">
        <v>74</v>
      </c>
      <c r="F55" s="28">
        <v>25</v>
      </c>
      <c r="G55" s="28" t="s">
        <v>141</v>
      </c>
      <c r="H55" s="28">
        <v>0</v>
      </c>
      <c r="J55" s="28"/>
    </row>
    <row r="56" spans="1:10" ht="15.75" customHeight="1">
      <c r="A56" s="28">
        <v>19621</v>
      </c>
      <c r="B56" s="91">
        <v>45156.963807870372</v>
      </c>
      <c r="C56" s="28" t="s">
        <v>8</v>
      </c>
      <c r="D56" s="28" t="s">
        <v>140</v>
      </c>
      <c r="E56" s="28" t="s">
        <v>74</v>
      </c>
      <c r="F56" s="28">
        <v>26</v>
      </c>
      <c r="G56" s="28" t="s">
        <v>122</v>
      </c>
      <c r="H56" s="28">
        <v>0</v>
      </c>
      <c r="J56" s="28"/>
    </row>
    <row r="57" spans="1:10" ht="15.75" customHeight="1">
      <c r="A57" s="28">
        <v>19620</v>
      </c>
      <c r="B57" s="91">
        <v>45156.935844907406</v>
      </c>
      <c r="C57" s="28" t="s">
        <v>8</v>
      </c>
      <c r="D57" s="28" t="s">
        <v>142</v>
      </c>
      <c r="E57" s="28" t="s">
        <v>74</v>
      </c>
      <c r="F57" s="28">
        <v>28</v>
      </c>
      <c r="G57" s="28" t="s">
        <v>143</v>
      </c>
      <c r="H57" s="28">
        <v>0</v>
      </c>
      <c r="J57" s="28"/>
    </row>
    <row r="58" spans="1:10" ht="15.75" customHeight="1">
      <c r="A58" s="28">
        <v>19620</v>
      </c>
      <c r="B58" s="91">
        <v>45156.935844907406</v>
      </c>
      <c r="C58" s="28" t="s">
        <v>8</v>
      </c>
      <c r="D58" s="28" t="s">
        <v>142</v>
      </c>
      <c r="E58" s="28" t="s">
        <v>74</v>
      </c>
      <c r="F58" s="28">
        <v>0</v>
      </c>
      <c r="G58" s="28" t="s">
        <v>117</v>
      </c>
      <c r="H58" s="28">
        <v>0</v>
      </c>
      <c r="J58" s="28"/>
    </row>
    <row r="59" spans="1:10" ht="15.75" customHeight="1">
      <c r="A59" s="28">
        <v>19619</v>
      </c>
      <c r="B59" s="91">
        <v>45156.934108796297</v>
      </c>
      <c r="C59" s="28" t="s">
        <v>8</v>
      </c>
      <c r="D59" s="28" t="s">
        <v>144</v>
      </c>
      <c r="E59" s="28" t="s">
        <v>74</v>
      </c>
      <c r="F59" s="28">
        <v>0</v>
      </c>
      <c r="G59" s="28" t="s">
        <v>117</v>
      </c>
      <c r="H59" s="28">
        <v>0</v>
      </c>
      <c r="J59" s="28"/>
    </row>
    <row r="60" spans="1:10" ht="15.75" customHeight="1">
      <c r="A60" s="28">
        <v>19619</v>
      </c>
      <c r="B60" s="91">
        <v>45156.934108796297</v>
      </c>
      <c r="C60" s="28" t="s">
        <v>8</v>
      </c>
      <c r="D60" s="28" t="s">
        <v>144</v>
      </c>
      <c r="E60" s="28" t="s">
        <v>74</v>
      </c>
      <c r="F60" s="28">
        <v>28</v>
      </c>
      <c r="G60" s="28" t="s">
        <v>143</v>
      </c>
      <c r="H60" s="28">
        <v>0</v>
      </c>
      <c r="J60" s="28"/>
    </row>
    <row r="61" spans="1:10" ht="15.75" customHeight="1">
      <c r="A61" s="28">
        <v>19618</v>
      </c>
      <c r="B61" s="91">
        <v>45156.899930555555</v>
      </c>
      <c r="C61" s="28" t="s">
        <v>8</v>
      </c>
      <c r="D61" s="28" t="s">
        <v>145</v>
      </c>
      <c r="E61" s="28" t="s">
        <v>74</v>
      </c>
      <c r="F61" s="28">
        <v>0</v>
      </c>
      <c r="G61" s="28" t="s">
        <v>117</v>
      </c>
      <c r="H61" s="28">
        <v>0</v>
      </c>
      <c r="J61" s="28"/>
    </row>
    <row r="62" spans="1:10" ht="15.75" customHeight="1">
      <c r="A62" s="28">
        <v>19618</v>
      </c>
      <c r="B62" s="91">
        <v>45156.899930555555</v>
      </c>
      <c r="C62" s="28" t="s">
        <v>8</v>
      </c>
      <c r="D62" s="28" t="s">
        <v>145</v>
      </c>
      <c r="E62" s="28" t="s">
        <v>74</v>
      </c>
      <c r="F62" s="28">
        <v>28</v>
      </c>
      <c r="G62" s="28" t="s">
        <v>143</v>
      </c>
      <c r="H62" s="28">
        <v>0</v>
      </c>
      <c r="J62" s="28"/>
    </row>
    <row r="63" spans="1:10" ht="15.75" customHeight="1">
      <c r="A63" s="28">
        <v>19617</v>
      </c>
      <c r="B63" s="91">
        <v>45156.88890046296</v>
      </c>
      <c r="C63" s="28" t="s">
        <v>8</v>
      </c>
      <c r="D63" s="28" t="s">
        <v>146</v>
      </c>
      <c r="E63" s="28" t="s">
        <v>74</v>
      </c>
      <c r="F63" s="28">
        <v>55</v>
      </c>
      <c r="G63" s="28">
        <v>101684</v>
      </c>
      <c r="H63" s="28">
        <v>0</v>
      </c>
      <c r="J63" s="28"/>
    </row>
    <row r="64" spans="1:10" ht="15.75" customHeight="1">
      <c r="A64" s="28">
        <v>19617</v>
      </c>
      <c r="B64" s="91">
        <v>45156.88890046296</v>
      </c>
      <c r="C64" s="28" t="s">
        <v>8</v>
      </c>
      <c r="D64" s="28" t="s">
        <v>146</v>
      </c>
      <c r="E64" s="28" t="s">
        <v>74</v>
      </c>
      <c r="F64" s="28">
        <v>0</v>
      </c>
      <c r="G64" s="28" t="s">
        <v>118</v>
      </c>
      <c r="H64" s="28">
        <v>0</v>
      </c>
      <c r="J64" s="28"/>
    </row>
    <row r="65" spans="1:10" ht="15.75" customHeight="1">
      <c r="A65" s="28">
        <v>19617</v>
      </c>
      <c r="B65" s="91">
        <v>45156.88890046296</v>
      </c>
      <c r="C65" s="28" t="s">
        <v>8</v>
      </c>
      <c r="D65" s="28" t="s">
        <v>146</v>
      </c>
      <c r="E65" s="28" t="s">
        <v>74</v>
      </c>
      <c r="F65" s="28">
        <v>0</v>
      </c>
      <c r="G65" s="28" t="s">
        <v>119</v>
      </c>
      <c r="H65" s="28">
        <v>0</v>
      </c>
      <c r="J65" s="28"/>
    </row>
    <row r="66" spans="1:10" ht="15.75" customHeight="1">
      <c r="A66" s="28">
        <v>19617</v>
      </c>
      <c r="B66" s="91">
        <v>45156.88890046296</v>
      </c>
      <c r="C66" s="28" t="s">
        <v>8</v>
      </c>
      <c r="D66" s="28" t="s">
        <v>146</v>
      </c>
      <c r="E66" s="28" t="s">
        <v>74</v>
      </c>
      <c r="F66" s="28">
        <v>0</v>
      </c>
      <c r="G66" s="28" t="s">
        <v>120</v>
      </c>
      <c r="H66" s="28">
        <v>0</v>
      </c>
      <c r="J66" s="28"/>
    </row>
    <row r="67" spans="1:10" ht="15.75" customHeight="1">
      <c r="A67" s="28">
        <v>19617</v>
      </c>
      <c r="B67" s="91">
        <v>45156.88890046296</v>
      </c>
      <c r="C67" s="28" t="s">
        <v>8</v>
      </c>
      <c r="D67" s="28" t="s">
        <v>146</v>
      </c>
      <c r="E67" s="28" t="s">
        <v>74</v>
      </c>
      <c r="F67" s="28">
        <v>0</v>
      </c>
      <c r="G67" s="28" t="s">
        <v>121</v>
      </c>
      <c r="H67" s="28">
        <v>0</v>
      </c>
      <c r="J67" s="28"/>
    </row>
    <row r="68" spans="1:10" ht="15.75" customHeight="1">
      <c r="A68" s="28">
        <v>19617</v>
      </c>
      <c r="B68" s="91">
        <v>45156.88890046296</v>
      </c>
      <c r="C68" s="28" t="s">
        <v>8</v>
      </c>
      <c r="D68" s="28" t="s">
        <v>146</v>
      </c>
      <c r="E68" s="28" t="s">
        <v>74</v>
      </c>
      <c r="F68" s="28">
        <v>22</v>
      </c>
      <c r="G68" s="28" t="s">
        <v>137</v>
      </c>
      <c r="H68" s="28">
        <v>0</v>
      </c>
      <c r="J68" s="28"/>
    </row>
    <row r="69" spans="1:10" ht="15.75" customHeight="1">
      <c r="A69" s="28">
        <v>19616</v>
      </c>
      <c r="B69" s="91">
        <v>45156.878634259258</v>
      </c>
      <c r="C69" s="28" t="s">
        <v>0</v>
      </c>
      <c r="D69" s="28" t="s">
        <v>147</v>
      </c>
      <c r="E69" s="28" t="s">
        <v>74</v>
      </c>
      <c r="F69" s="28">
        <v>20</v>
      </c>
      <c r="G69" s="28" t="s">
        <v>148</v>
      </c>
      <c r="H69" s="28">
        <v>0</v>
      </c>
      <c r="J69" s="28"/>
    </row>
    <row r="70" spans="1:10" ht="15.75" customHeight="1">
      <c r="A70" s="28">
        <v>19615</v>
      </c>
      <c r="B70" s="91">
        <v>45156.877465277779</v>
      </c>
      <c r="C70" s="28" t="s">
        <v>8</v>
      </c>
      <c r="D70" s="28" t="s">
        <v>149</v>
      </c>
      <c r="E70" s="28" t="s">
        <v>74</v>
      </c>
      <c r="F70" s="28">
        <v>25</v>
      </c>
      <c r="G70" s="28">
        <v>100692</v>
      </c>
      <c r="H70" s="28">
        <v>0</v>
      </c>
      <c r="J70" s="28"/>
    </row>
    <row r="71" spans="1:10" ht="15.75" customHeight="1">
      <c r="A71" s="28">
        <v>19615</v>
      </c>
      <c r="B71" s="91">
        <v>45156.877465277779</v>
      </c>
      <c r="C71" s="28" t="s">
        <v>8</v>
      </c>
      <c r="D71" s="28" t="s">
        <v>149</v>
      </c>
      <c r="E71" s="28" t="s">
        <v>74</v>
      </c>
      <c r="F71" s="28">
        <v>0</v>
      </c>
      <c r="G71" s="28" t="s">
        <v>125</v>
      </c>
      <c r="H71" s="28">
        <v>0</v>
      </c>
      <c r="J71" s="28"/>
    </row>
    <row r="72" spans="1:10" ht="15.75" customHeight="1">
      <c r="A72" s="28">
        <v>19615</v>
      </c>
      <c r="B72" s="91">
        <v>45156.877465277779</v>
      </c>
      <c r="C72" s="28" t="s">
        <v>8</v>
      </c>
      <c r="D72" s="28" t="s">
        <v>149</v>
      </c>
      <c r="E72" s="28" t="s">
        <v>74</v>
      </c>
      <c r="F72" s="28">
        <v>0</v>
      </c>
      <c r="G72" s="28" t="s">
        <v>119</v>
      </c>
      <c r="H72" s="28">
        <v>0</v>
      </c>
      <c r="J72" s="28"/>
    </row>
    <row r="73" spans="1:10" ht="15.75" customHeight="1">
      <c r="A73" s="28">
        <v>19615</v>
      </c>
      <c r="B73" s="91">
        <v>45156.877465277779</v>
      </c>
      <c r="C73" s="28" t="s">
        <v>8</v>
      </c>
      <c r="D73" s="28" t="s">
        <v>149</v>
      </c>
      <c r="E73" s="28" t="s">
        <v>74</v>
      </c>
      <c r="F73" s="28">
        <v>0</v>
      </c>
      <c r="G73" s="28" t="s">
        <v>117</v>
      </c>
      <c r="H73" s="28">
        <v>0</v>
      </c>
      <c r="J73" s="28"/>
    </row>
    <row r="74" spans="1:10" ht="15.75" customHeight="1">
      <c r="A74" s="28">
        <v>19615</v>
      </c>
      <c r="B74" s="91">
        <v>45156.877465277779</v>
      </c>
      <c r="C74" s="28" t="s">
        <v>8</v>
      </c>
      <c r="D74" s="28" t="s">
        <v>149</v>
      </c>
      <c r="E74" s="28" t="s">
        <v>74</v>
      </c>
      <c r="F74" s="28">
        <v>26</v>
      </c>
      <c r="G74" s="28" t="s">
        <v>122</v>
      </c>
      <c r="H74" s="28">
        <v>0</v>
      </c>
      <c r="J74" s="28"/>
    </row>
    <row r="75" spans="1:10" ht="15.75" customHeight="1">
      <c r="A75" s="28">
        <v>19614</v>
      </c>
      <c r="B75" s="91">
        <v>45156.87663194444</v>
      </c>
      <c r="C75" s="28" t="s">
        <v>8</v>
      </c>
      <c r="D75" s="28" t="s">
        <v>150</v>
      </c>
      <c r="E75" s="28" t="s">
        <v>74</v>
      </c>
      <c r="F75" s="28">
        <v>35</v>
      </c>
      <c r="G75" s="28" t="s">
        <v>124</v>
      </c>
      <c r="H75" s="28">
        <v>0</v>
      </c>
      <c r="J75" s="28"/>
    </row>
    <row r="76" spans="1:10" ht="15.75" customHeight="1">
      <c r="A76" s="28">
        <v>19614</v>
      </c>
      <c r="B76" s="91">
        <v>45156.87663194444</v>
      </c>
      <c r="C76" s="28" t="s">
        <v>8</v>
      </c>
      <c r="D76" s="28" t="s">
        <v>150</v>
      </c>
      <c r="E76" s="28" t="s">
        <v>74</v>
      </c>
      <c r="F76" s="28">
        <v>0</v>
      </c>
      <c r="G76" s="28" t="s">
        <v>125</v>
      </c>
      <c r="H76" s="28">
        <v>0</v>
      </c>
      <c r="J76" s="28"/>
    </row>
    <row r="77" spans="1:10" ht="15.75" customHeight="1">
      <c r="A77" s="28">
        <v>19614</v>
      </c>
      <c r="B77" s="91">
        <v>45156.87663194444</v>
      </c>
      <c r="C77" s="28" t="s">
        <v>8</v>
      </c>
      <c r="D77" s="28" t="s">
        <v>150</v>
      </c>
      <c r="E77" s="28" t="s">
        <v>74</v>
      </c>
      <c r="F77" s="28">
        <v>0</v>
      </c>
      <c r="G77" s="28" t="s">
        <v>119</v>
      </c>
      <c r="H77" s="28">
        <v>0</v>
      </c>
      <c r="J77" s="28"/>
    </row>
    <row r="78" spans="1:10" ht="15.75" customHeight="1">
      <c r="A78" s="28">
        <v>19614</v>
      </c>
      <c r="B78" s="91">
        <v>45156.87663194444</v>
      </c>
      <c r="C78" s="28" t="s">
        <v>8</v>
      </c>
      <c r="D78" s="28" t="s">
        <v>150</v>
      </c>
      <c r="E78" s="28" t="s">
        <v>74</v>
      </c>
      <c r="F78" s="28">
        <v>0</v>
      </c>
      <c r="G78" s="28" t="s">
        <v>121</v>
      </c>
      <c r="H78" s="28">
        <v>0</v>
      </c>
      <c r="J78" s="28"/>
    </row>
    <row r="79" spans="1:10" ht="15.75" customHeight="1">
      <c r="A79" s="28">
        <v>19614</v>
      </c>
      <c r="B79" s="91">
        <v>45156.87663194444</v>
      </c>
      <c r="C79" s="28" t="s">
        <v>8</v>
      </c>
      <c r="D79" s="28" t="s">
        <v>150</v>
      </c>
      <c r="E79" s="28" t="s">
        <v>74</v>
      </c>
      <c r="F79" s="28">
        <v>26</v>
      </c>
      <c r="G79" s="28" t="s">
        <v>122</v>
      </c>
      <c r="H79" s="28">
        <v>0</v>
      </c>
      <c r="J79" s="28"/>
    </row>
    <row r="80" spans="1:10" ht="15.75" customHeight="1">
      <c r="A80" s="28">
        <v>19614</v>
      </c>
      <c r="B80" s="91">
        <v>45156.87663194444</v>
      </c>
      <c r="C80" s="28" t="s">
        <v>8</v>
      </c>
      <c r="D80" s="28" t="s">
        <v>150</v>
      </c>
      <c r="E80" s="28" t="s">
        <v>74</v>
      </c>
      <c r="F80" s="28">
        <v>0</v>
      </c>
      <c r="G80" s="28" t="s">
        <v>117</v>
      </c>
      <c r="H80" s="28">
        <v>0</v>
      </c>
      <c r="J80" s="28"/>
    </row>
    <row r="81" spans="1:10" ht="15.75" customHeight="1">
      <c r="A81" s="28">
        <v>19613</v>
      </c>
      <c r="B81" s="91">
        <v>45156.874710648146</v>
      </c>
      <c r="C81" s="28" t="s">
        <v>8</v>
      </c>
      <c r="D81" s="28" t="s">
        <v>151</v>
      </c>
      <c r="E81" s="28" t="s">
        <v>74</v>
      </c>
      <c r="F81" s="28">
        <v>28</v>
      </c>
      <c r="G81" s="28" t="s">
        <v>143</v>
      </c>
      <c r="H81" s="28">
        <v>0</v>
      </c>
      <c r="J81" s="28"/>
    </row>
    <row r="82" spans="1:10" ht="15.75" customHeight="1">
      <c r="A82" s="28">
        <v>19613</v>
      </c>
      <c r="B82" s="91">
        <v>45156.874710648146</v>
      </c>
      <c r="C82" s="28" t="s">
        <v>8</v>
      </c>
      <c r="D82" s="28" t="s">
        <v>151</v>
      </c>
      <c r="E82" s="28" t="s">
        <v>74</v>
      </c>
      <c r="F82" s="28">
        <v>0</v>
      </c>
      <c r="G82" s="28" t="s">
        <v>117</v>
      </c>
      <c r="H82" s="28">
        <v>0</v>
      </c>
      <c r="J82" s="28"/>
    </row>
    <row r="83" spans="1:10" ht="15.75" customHeight="1">
      <c r="A83" s="28">
        <v>19612</v>
      </c>
      <c r="B83" s="91">
        <v>45156.873344907406</v>
      </c>
      <c r="C83" s="28" t="s">
        <v>8</v>
      </c>
      <c r="D83" s="28" t="s">
        <v>152</v>
      </c>
      <c r="E83" s="28" t="s">
        <v>74</v>
      </c>
      <c r="F83" s="28">
        <v>0</v>
      </c>
      <c r="G83" s="28" t="s">
        <v>117</v>
      </c>
      <c r="H83" s="28">
        <v>0</v>
      </c>
      <c r="J83" s="28"/>
    </row>
    <row r="84" spans="1:10" ht="15.75" customHeight="1">
      <c r="A84" s="28">
        <v>19612</v>
      </c>
      <c r="B84" s="91">
        <v>45156.873344907406</v>
      </c>
      <c r="C84" s="28" t="s">
        <v>8</v>
      </c>
      <c r="D84" s="28" t="s">
        <v>152</v>
      </c>
      <c r="E84" s="28" t="s">
        <v>74</v>
      </c>
      <c r="F84" s="28">
        <v>20</v>
      </c>
      <c r="G84" s="28" t="s">
        <v>121</v>
      </c>
      <c r="H84" s="28">
        <v>0</v>
      </c>
      <c r="J84" s="28"/>
    </row>
    <row r="85" spans="1:10" ht="15.75" customHeight="1">
      <c r="A85" s="28">
        <v>19612</v>
      </c>
      <c r="B85" s="91">
        <v>45156.873344907406</v>
      </c>
      <c r="C85" s="28" t="s">
        <v>8</v>
      </c>
      <c r="D85" s="28" t="s">
        <v>152</v>
      </c>
      <c r="E85" s="28" t="s">
        <v>74</v>
      </c>
      <c r="F85" s="28">
        <v>25</v>
      </c>
      <c r="G85" s="28">
        <v>100692</v>
      </c>
      <c r="H85" s="28">
        <v>0</v>
      </c>
      <c r="J85" s="28"/>
    </row>
    <row r="86" spans="1:10" ht="15.75" customHeight="1">
      <c r="A86" s="28">
        <v>19612</v>
      </c>
      <c r="B86" s="91">
        <v>45156.873344907406</v>
      </c>
      <c r="C86" s="28" t="s">
        <v>8</v>
      </c>
      <c r="D86" s="28" t="s">
        <v>152</v>
      </c>
      <c r="E86" s="28" t="s">
        <v>74</v>
      </c>
      <c r="F86" s="28">
        <v>0</v>
      </c>
      <c r="G86" s="28" t="s">
        <v>125</v>
      </c>
      <c r="H86" s="28">
        <v>0</v>
      </c>
      <c r="J86" s="28"/>
    </row>
    <row r="87" spans="1:10" ht="15.75" customHeight="1">
      <c r="A87" s="28">
        <v>19612</v>
      </c>
      <c r="B87" s="91">
        <v>45156.873344907406</v>
      </c>
      <c r="C87" s="28" t="s">
        <v>8</v>
      </c>
      <c r="D87" s="28" t="s">
        <v>152</v>
      </c>
      <c r="E87" s="28" t="s">
        <v>74</v>
      </c>
      <c r="F87" s="28">
        <v>0</v>
      </c>
      <c r="G87" s="28" t="s">
        <v>119</v>
      </c>
      <c r="H87" s="28">
        <v>0</v>
      </c>
      <c r="J87" s="28"/>
    </row>
    <row r="88" spans="1:10" ht="15.75" customHeight="1">
      <c r="A88" s="28">
        <v>19611</v>
      </c>
      <c r="B88" s="91">
        <v>45156.871701388889</v>
      </c>
      <c r="C88" s="28" t="s">
        <v>8</v>
      </c>
      <c r="D88" s="28" t="s">
        <v>153</v>
      </c>
      <c r="E88" s="28" t="s">
        <v>74</v>
      </c>
      <c r="F88" s="28">
        <v>25</v>
      </c>
      <c r="G88" s="28" t="s">
        <v>141</v>
      </c>
      <c r="H88" s="28">
        <v>0</v>
      </c>
      <c r="J88" s="28"/>
    </row>
    <row r="89" spans="1:10" ht="15.75" customHeight="1">
      <c r="A89" s="28">
        <v>19611</v>
      </c>
      <c r="B89" s="91">
        <v>45156.871701388889</v>
      </c>
      <c r="C89" s="28" t="s">
        <v>8</v>
      </c>
      <c r="D89" s="28" t="s">
        <v>153</v>
      </c>
      <c r="E89" s="28" t="s">
        <v>74</v>
      </c>
      <c r="F89" s="28">
        <v>0</v>
      </c>
      <c r="G89" s="28" t="s">
        <v>117</v>
      </c>
      <c r="H89" s="28">
        <v>0</v>
      </c>
      <c r="J89" s="28"/>
    </row>
    <row r="90" spans="1:10" ht="15.75" customHeight="1">
      <c r="A90" s="28">
        <v>19610</v>
      </c>
      <c r="B90" s="91">
        <v>45156.871307870373</v>
      </c>
      <c r="C90" s="28" t="s">
        <v>8</v>
      </c>
      <c r="D90" s="28" t="s">
        <v>154</v>
      </c>
      <c r="E90" s="28" t="s">
        <v>74</v>
      </c>
      <c r="F90" s="28">
        <v>35</v>
      </c>
      <c r="G90" s="28" t="s">
        <v>124</v>
      </c>
      <c r="H90" s="28">
        <v>0</v>
      </c>
      <c r="J90" s="28"/>
    </row>
    <row r="91" spans="1:10" ht="15.75" customHeight="1">
      <c r="A91" s="28">
        <v>19610</v>
      </c>
      <c r="B91" s="91">
        <v>45156.871307870373</v>
      </c>
      <c r="C91" s="28" t="s">
        <v>8</v>
      </c>
      <c r="D91" s="28" t="s">
        <v>154</v>
      </c>
      <c r="E91" s="28" t="s">
        <v>74</v>
      </c>
      <c r="F91" s="28">
        <v>0</v>
      </c>
      <c r="G91" s="28" t="s">
        <v>125</v>
      </c>
      <c r="H91" s="28">
        <v>0</v>
      </c>
      <c r="J91" s="28"/>
    </row>
    <row r="92" spans="1:10" ht="15.75" customHeight="1">
      <c r="A92" s="28">
        <v>19610</v>
      </c>
      <c r="B92" s="91">
        <v>45156.871307870373</v>
      </c>
      <c r="C92" s="28" t="s">
        <v>8</v>
      </c>
      <c r="D92" s="28" t="s">
        <v>154</v>
      </c>
      <c r="E92" s="28" t="s">
        <v>74</v>
      </c>
      <c r="F92" s="28">
        <v>0</v>
      </c>
      <c r="G92" s="28" t="s">
        <v>119</v>
      </c>
      <c r="H92" s="28">
        <v>0</v>
      </c>
      <c r="J92" s="28"/>
    </row>
    <row r="93" spans="1:10" ht="15.75" customHeight="1">
      <c r="A93" s="28">
        <v>19610</v>
      </c>
      <c r="B93" s="91">
        <v>45156.871307870373</v>
      </c>
      <c r="C93" s="28" t="s">
        <v>8</v>
      </c>
      <c r="D93" s="28" t="s">
        <v>154</v>
      </c>
      <c r="E93" s="28" t="s">
        <v>74</v>
      </c>
      <c r="F93" s="28">
        <v>0</v>
      </c>
      <c r="G93" s="28" t="s">
        <v>121</v>
      </c>
      <c r="H93" s="28">
        <v>0</v>
      </c>
      <c r="J93" s="28"/>
    </row>
    <row r="94" spans="1:10" ht="15.75" customHeight="1">
      <c r="A94" s="28">
        <v>19610</v>
      </c>
      <c r="B94" s="91">
        <v>45156.871307870373</v>
      </c>
      <c r="C94" s="28" t="s">
        <v>8</v>
      </c>
      <c r="D94" s="28" t="s">
        <v>154</v>
      </c>
      <c r="E94" s="28" t="s">
        <v>74</v>
      </c>
      <c r="F94" s="28">
        <v>0</v>
      </c>
      <c r="G94" s="28" t="s">
        <v>117</v>
      </c>
      <c r="H94" s="28">
        <v>0</v>
      </c>
      <c r="J94" s="28"/>
    </row>
    <row r="95" spans="1:10" ht="15.75" customHeight="1">
      <c r="A95" s="28">
        <v>19609</v>
      </c>
      <c r="B95" s="91">
        <v>45156.871168981481</v>
      </c>
      <c r="C95" s="28" t="s">
        <v>8</v>
      </c>
      <c r="D95" s="28" t="s">
        <v>155</v>
      </c>
      <c r="E95" s="28" t="s">
        <v>74</v>
      </c>
      <c r="F95" s="28">
        <v>25</v>
      </c>
      <c r="G95" s="28" t="s">
        <v>141</v>
      </c>
      <c r="H95" s="28">
        <v>0</v>
      </c>
      <c r="J95" s="28"/>
    </row>
    <row r="96" spans="1:10" ht="15.75" customHeight="1">
      <c r="A96" s="28">
        <v>19609</v>
      </c>
      <c r="B96" s="91">
        <v>45156.871168981481</v>
      </c>
      <c r="C96" s="28" t="s">
        <v>8</v>
      </c>
      <c r="D96" s="28" t="s">
        <v>155</v>
      </c>
      <c r="E96" s="28" t="s">
        <v>74</v>
      </c>
      <c r="F96" s="28">
        <v>35</v>
      </c>
      <c r="G96" s="28" t="s">
        <v>124</v>
      </c>
      <c r="H96" s="28">
        <v>0</v>
      </c>
      <c r="J96" s="28"/>
    </row>
    <row r="97" spans="1:10" ht="15.75" customHeight="1">
      <c r="A97" s="28">
        <v>19609</v>
      </c>
      <c r="B97" s="91">
        <v>45156.871168981481</v>
      </c>
      <c r="C97" s="28" t="s">
        <v>8</v>
      </c>
      <c r="D97" s="28" t="s">
        <v>155</v>
      </c>
      <c r="E97" s="28" t="s">
        <v>74</v>
      </c>
      <c r="F97" s="28">
        <v>0</v>
      </c>
      <c r="G97" s="28" t="s">
        <v>125</v>
      </c>
      <c r="H97" s="28">
        <v>0</v>
      </c>
      <c r="J97" s="28"/>
    </row>
    <row r="98" spans="1:10" ht="15.75" customHeight="1">
      <c r="A98" s="28">
        <v>19609</v>
      </c>
      <c r="B98" s="91">
        <v>45156.871168981481</v>
      </c>
      <c r="C98" s="28" t="s">
        <v>8</v>
      </c>
      <c r="D98" s="28" t="s">
        <v>155</v>
      </c>
      <c r="E98" s="28" t="s">
        <v>74</v>
      </c>
      <c r="F98" s="28">
        <v>0</v>
      </c>
      <c r="G98" s="28" t="s">
        <v>119</v>
      </c>
      <c r="H98" s="28">
        <v>0</v>
      </c>
      <c r="J98" s="28"/>
    </row>
    <row r="99" spans="1:10" ht="15.75" customHeight="1">
      <c r="A99" s="28">
        <v>19609</v>
      </c>
      <c r="B99" s="91">
        <v>45156.871168981481</v>
      </c>
      <c r="C99" s="28" t="s">
        <v>8</v>
      </c>
      <c r="D99" s="28" t="s">
        <v>155</v>
      </c>
      <c r="E99" s="28" t="s">
        <v>74</v>
      </c>
      <c r="F99" s="28">
        <v>0</v>
      </c>
      <c r="G99" s="28" t="s">
        <v>121</v>
      </c>
      <c r="H99" s="28">
        <v>0</v>
      </c>
      <c r="J99" s="28"/>
    </row>
    <row r="100" spans="1:10" ht="15.75" customHeight="1">
      <c r="A100" s="28">
        <v>19608</v>
      </c>
      <c r="B100" s="91">
        <v>45156.862476851849</v>
      </c>
      <c r="C100" s="28" t="s">
        <v>8</v>
      </c>
      <c r="D100" s="28" t="s">
        <v>156</v>
      </c>
      <c r="E100" s="28" t="s">
        <v>74</v>
      </c>
      <c r="F100" s="28">
        <v>26</v>
      </c>
      <c r="G100" s="28" t="s">
        <v>122</v>
      </c>
      <c r="H100" s="28">
        <v>0</v>
      </c>
      <c r="J100" s="28"/>
    </row>
    <row r="101" spans="1:10" ht="15.75" customHeight="1">
      <c r="A101" s="28">
        <v>19608</v>
      </c>
      <c r="B101" s="91">
        <v>45156.862476851849</v>
      </c>
      <c r="C101" s="28" t="s">
        <v>8</v>
      </c>
      <c r="D101" s="28" t="s">
        <v>156</v>
      </c>
      <c r="E101" s="28" t="s">
        <v>74</v>
      </c>
      <c r="F101" s="28">
        <v>25</v>
      </c>
      <c r="G101" s="28">
        <v>100692</v>
      </c>
      <c r="H101" s="28">
        <v>0</v>
      </c>
      <c r="J101" s="28"/>
    </row>
    <row r="102" spans="1:10" ht="15.75" customHeight="1">
      <c r="A102" s="28">
        <v>19608</v>
      </c>
      <c r="B102" s="91">
        <v>45156.862476851849</v>
      </c>
      <c r="C102" s="28" t="s">
        <v>8</v>
      </c>
      <c r="D102" s="28" t="s">
        <v>156</v>
      </c>
      <c r="E102" s="28" t="s">
        <v>74</v>
      </c>
      <c r="F102" s="28">
        <v>0</v>
      </c>
      <c r="G102" s="28" t="s">
        <v>125</v>
      </c>
      <c r="H102" s="28">
        <v>0</v>
      </c>
      <c r="J102" s="28"/>
    </row>
    <row r="103" spans="1:10" ht="15.75" customHeight="1">
      <c r="A103" s="28">
        <v>19608</v>
      </c>
      <c r="B103" s="91">
        <v>45156.862476851849</v>
      </c>
      <c r="C103" s="28" t="s">
        <v>8</v>
      </c>
      <c r="D103" s="28" t="s">
        <v>156</v>
      </c>
      <c r="E103" s="28" t="s">
        <v>74</v>
      </c>
      <c r="F103" s="28">
        <v>0</v>
      </c>
      <c r="G103" s="28" t="s">
        <v>119</v>
      </c>
      <c r="H103" s="28">
        <v>0</v>
      </c>
      <c r="J103" s="28"/>
    </row>
    <row r="104" spans="1:10" ht="15.75" customHeight="1">
      <c r="A104" s="28">
        <v>19608</v>
      </c>
      <c r="B104" s="91">
        <v>45156.862476851849</v>
      </c>
      <c r="C104" s="28" t="s">
        <v>8</v>
      </c>
      <c r="D104" s="28" t="s">
        <v>156</v>
      </c>
      <c r="E104" s="28" t="s">
        <v>74</v>
      </c>
      <c r="F104" s="28">
        <v>0</v>
      </c>
      <c r="G104" s="28" t="s">
        <v>117</v>
      </c>
      <c r="H104" s="28">
        <v>0</v>
      </c>
      <c r="J104" s="28"/>
    </row>
    <row r="105" spans="1:10" ht="15.75" customHeight="1">
      <c r="A105" s="28">
        <v>19607</v>
      </c>
      <c r="B105" s="91">
        <v>45156.829907407402</v>
      </c>
      <c r="C105" s="28" t="s">
        <v>10</v>
      </c>
      <c r="D105" s="28" t="s">
        <v>157</v>
      </c>
      <c r="E105" s="28" t="s">
        <v>28</v>
      </c>
      <c r="F105" s="28">
        <v>22</v>
      </c>
      <c r="G105" s="28" t="s">
        <v>137</v>
      </c>
      <c r="H105" s="28">
        <v>0</v>
      </c>
      <c r="J105" s="28"/>
    </row>
    <row r="106" spans="1:10" ht="15.75" customHeight="1">
      <c r="A106" s="28">
        <v>19606</v>
      </c>
      <c r="B106" s="91">
        <v>45156.828715277778</v>
      </c>
      <c r="C106" s="28" t="s">
        <v>10</v>
      </c>
      <c r="D106" s="28" t="s">
        <v>158</v>
      </c>
      <c r="E106" s="28" t="s">
        <v>28</v>
      </c>
      <c r="F106" s="28">
        <v>22</v>
      </c>
      <c r="G106" s="28" t="s">
        <v>137</v>
      </c>
      <c r="H106" s="28">
        <v>0</v>
      </c>
      <c r="J106" s="28"/>
    </row>
    <row r="107" spans="1:10" ht="15.75" customHeight="1">
      <c r="A107" s="28">
        <v>19605</v>
      </c>
      <c r="B107" s="91">
        <v>45156.827349537038</v>
      </c>
      <c r="C107" s="28" t="s">
        <v>10</v>
      </c>
      <c r="D107" s="28" t="s">
        <v>159</v>
      </c>
      <c r="E107" s="28" t="s">
        <v>28</v>
      </c>
      <c r="F107" s="28">
        <v>22</v>
      </c>
      <c r="G107" s="28" t="s">
        <v>137</v>
      </c>
      <c r="H107" s="28">
        <v>0</v>
      </c>
      <c r="J107" s="28"/>
    </row>
    <row r="108" spans="1:10" ht="15.75" customHeight="1">
      <c r="A108" s="28">
        <v>19604</v>
      </c>
      <c r="B108" s="91">
        <v>45156.823888888888</v>
      </c>
      <c r="C108" s="28" t="s">
        <v>10</v>
      </c>
      <c r="D108" s="28" t="s">
        <v>160</v>
      </c>
      <c r="E108" s="28" t="s">
        <v>74</v>
      </c>
      <c r="F108" s="28">
        <v>25</v>
      </c>
      <c r="G108" s="28" t="s">
        <v>141</v>
      </c>
      <c r="H108" s="28">
        <v>0</v>
      </c>
      <c r="J108" s="28"/>
    </row>
    <row r="109" spans="1:10" ht="15.75" customHeight="1">
      <c r="A109" s="28">
        <v>19604</v>
      </c>
      <c r="B109" s="91">
        <v>45156.823888888888</v>
      </c>
      <c r="C109" s="28" t="s">
        <v>10</v>
      </c>
      <c r="D109" s="28" t="s">
        <v>160</v>
      </c>
      <c r="E109" s="28" t="s">
        <v>74</v>
      </c>
      <c r="F109" s="28">
        <v>0</v>
      </c>
      <c r="G109" s="28" t="s">
        <v>117</v>
      </c>
      <c r="H109" s="28">
        <v>0</v>
      </c>
      <c r="J109" s="28"/>
    </row>
    <row r="110" spans="1:10" ht="15.75" customHeight="1">
      <c r="A110" s="28">
        <v>19603</v>
      </c>
      <c r="B110" s="91">
        <v>45156.743680555555</v>
      </c>
      <c r="C110" s="28" t="s">
        <v>8</v>
      </c>
      <c r="D110" s="28" t="s">
        <v>161</v>
      </c>
      <c r="E110" s="28" t="s">
        <v>74</v>
      </c>
      <c r="F110" s="28">
        <v>0</v>
      </c>
      <c r="G110" s="28" t="s">
        <v>117</v>
      </c>
      <c r="H110" s="28">
        <v>0</v>
      </c>
      <c r="J110" s="28"/>
    </row>
    <row r="111" spans="1:10" ht="15.75" customHeight="1">
      <c r="A111" s="28">
        <v>19603</v>
      </c>
      <c r="B111" s="91">
        <v>45156.743680555555</v>
      </c>
      <c r="C111" s="28" t="s">
        <v>8</v>
      </c>
      <c r="D111" s="28" t="s">
        <v>161</v>
      </c>
      <c r="E111" s="28" t="s">
        <v>74</v>
      </c>
      <c r="F111" s="28">
        <v>25</v>
      </c>
      <c r="G111" s="28">
        <v>100692</v>
      </c>
      <c r="H111" s="28">
        <v>0</v>
      </c>
      <c r="J111" s="28"/>
    </row>
    <row r="112" spans="1:10" ht="15.75" customHeight="1">
      <c r="A112" s="28">
        <v>19603</v>
      </c>
      <c r="B112" s="91">
        <v>45156.743680555555</v>
      </c>
      <c r="C112" s="28" t="s">
        <v>8</v>
      </c>
      <c r="D112" s="28" t="s">
        <v>161</v>
      </c>
      <c r="E112" s="28" t="s">
        <v>74</v>
      </c>
      <c r="F112" s="28">
        <v>0</v>
      </c>
      <c r="G112" s="28" t="s">
        <v>125</v>
      </c>
      <c r="H112" s="28">
        <v>0</v>
      </c>
      <c r="J112" s="28"/>
    </row>
    <row r="113" spans="1:10" ht="15.75" customHeight="1">
      <c r="A113" s="28">
        <v>19603</v>
      </c>
      <c r="B113" s="91">
        <v>45156.743680555555</v>
      </c>
      <c r="C113" s="28" t="s">
        <v>8</v>
      </c>
      <c r="D113" s="28" t="s">
        <v>161</v>
      </c>
      <c r="E113" s="28" t="s">
        <v>74</v>
      </c>
      <c r="F113" s="28">
        <v>0</v>
      </c>
      <c r="G113" s="28" t="s">
        <v>119</v>
      </c>
      <c r="H113" s="28">
        <v>0</v>
      </c>
      <c r="J113" s="28"/>
    </row>
    <row r="114" spans="1:10" ht="15.75" customHeight="1">
      <c r="A114" s="28">
        <v>19602</v>
      </c>
      <c r="B114" s="91">
        <v>45156.717442129629</v>
      </c>
      <c r="C114" s="28" t="s">
        <v>10</v>
      </c>
      <c r="D114" s="28" t="s">
        <v>162</v>
      </c>
      <c r="E114" s="28" t="s">
        <v>74</v>
      </c>
      <c r="F114" s="28">
        <v>0</v>
      </c>
      <c r="G114" s="28" t="s">
        <v>117</v>
      </c>
      <c r="H114" s="28">
        <v>0</v>
      </c>
      <c r="J114" s="28"/>
    </row>
    <row r="115" spans="1:10" ht="15.75" customHeight="1">
      <c r="A115" s="28">
        <v>19601</v>
      </c>
      <c r="B115" s="91">
        <v>45156.715555555551</v>
      </c>
      <c r="C115" s="28" t="s">
        <v>8</v>
      </c>
      <c r="D115" s="28" t="s">
        <v>163</v>
      </c>
      <c r="E115" s="28" t="s">
        <v>74</v>
      </c>
      <c r="F115" s="28">
        <v>28</v>
      </c>
      <c r="G115" s="28" t="s">
        <v>143</v>
      </c>
      <c r="H115" s="28">
        <v>0</v>
      </c>
      <c r="J115" s="28"/>
    </row>
    <row r="116" spans="1:10" ht="15.75" customHeight="1">
      <c r="A116" s="28">
        <v>19601</v>
      </c>
      <c r="B116" s="91">
        <v>45156.715555555551</v>
      </c>
      <c r="C116" s="28" t="s">
        <v>8</v>
      </c>
      <c r="D116" s="28" t="s">
        <v>163</v>
      </c>
      <c r="E116" s="28" t="s">
        <v>74</v>
      </c>
      <c r="F116" s="28">
        <v>0</v>
      </c>
      <c r="G116" s="28" t="s">
        <v>117</v>
      </c>
      <c r="H116" s="28">
        <v>0</v>
      </c>
      <c r="J116" s="28"/>
    </row>
    <row r="117" spans="1:10" ht="15.75" customHeight="1">
      <c r="A117" s="28">
        <v>19601</v>
      </c>
      <c r="B117" s="91">
        <v>45156.715555555551</v>
      </c>
      <c r="C117" s="28" t="s">
        <v>8</v>
      </c>
      <c r="D117" s="28" t="s">
        <v>163</v>
      </c>
      <c r="E117" s="28" t="s">
        <v>74</v>
      </c>
      <c r="F117" s="28">
        <v>26</v>
      </c>
      <c r="G117" s="28" t="s">
        <v>122</v>
      </c>
      <c r="H117" s="28">
        <v>0</v>
      </c>
      <c r="J117" s="28"/>
    </row>
    <row r="118" spans="1:10" ht="15.75" customHeight="1">
      <c r="A118" s="28">
        <v>19600</v>
      </c>
      <c r="B118" s="91">
        <v>45156.714895833335</v>
      </c>
      <c r="C118" s="28" t="s">
        <v>8</v>
      </c>
      <c r="D118" s="28" t="s">
        <v>164</v>
      </c>
      <c r="E118" s="28" t="s">
        <v>74</v>
      </c>
      <c r="F118" s="28">
        <v>28</v>
      </c>
      <c r="G118" s="28" t="s">
        <v>143</v>
      </c>
      <c r="H118" s="28">
        <v>0</v>
      </c>
      <c r="J118" s="28"/>
    </row>
    <row r="119" spans="1:10" ht="15.75" customHeight="1">
      <c r="A119" s="28">
        <v>19600</v>
      </c>
      <c r="B119" s="91">
        <v>45156.714895833335</v>
      </c>
      <c r="C119" s="28" t="s">
        <v>8</v>
      </c>
      <c r="D119" s="28" t="s">
        <v>164</v>
      </c>
      <c r="E119" s="28" t="s">
        <v>74</v>
      </c>
      <c r="F119" s="28">
        <v>0</v>
      </c>
      <c r="G119" s="28" t="s">
        <v>117</v>
      </c>
      <c r="H119" s="28">
        <v>0</v>
      </c>
      <c r="J119" s="28"/>
    </row>
    <row r="120" spans="1:10" ht="15.75" customHeight="1">
      <c r="A120" s="28">
        <v>19600</v>
      </c>
      <c r="B120" s="91">
        <v>45156.714895833335</v>
      </c>
      <c r="C120" s="28" t="s">
        <v>8</v>
      </c>
      <c r="D120" s="28" t="s">
        <v>164</v>
      </c>
      <c r="E120" s="28" t="s">
        <v>74</v>
      </c>
      <c r="F120" s="28">
        <v>35</v>
      </c>
      <c r="G120" s="28" t="s">
        <v>124</v>
      </c>
      <c r="H120" s="28">
        <v>0</v>
      </c>
      <c r="J120" s="28"/>
    </row>
    <row r="121" spans="1:10" ht="15.75" customHeight="1">
      <c r="A121" s="28">
        <v>19600</v>
      </c>
      <c r="B121" s="91">
        <v>45156.714895833335</v>
      </c>
      <c r="C121" s="28" t="s">
        <v>8</v>
      </c>
      <c r="D121" s="28" t="s">
        <v>164</v>
      </c>
      <c r="E121" s="28" t="s">
        <v>74</v>
      </c>
      <c r="F121" s="28">
        <v>0</v>
      </c>
      <c r="G121" s="28" t="s">
        <v>125</v>
      </c>
      <c r="H121" s="28">
        <v>0</v>
      </c>
      <c r="J121" s="28"/>
    </row>
    <row r="122" spans="1:10" ht="15.75" customHeight="1">
      <c r="A122" s="28">
        <v>19600</v>
      </c>
      <c r="B122" s="91">
        <v>45156.714895833335</v>
      </c>
      <c r="C122" s="28" t="s">
        <v>8</v>
      </c>
      <c r="D122" s="28" t="s">
        <v>164</v>
      </c>
      <c r="E122" s="28" t="s">
        <v>74</v>
      </c>
      <c r="F122" s="28">
        <v>0</v>
      </c>
      <c r="G122" s="28" t="s">
        <v>119</v>
      </c>
      <c r="H122" s="28">
        <v>0</v>
      </c>
      <c r="J122" s="28"/>
    </row>
    <row r="123" spans="1:10" ht="15.75" customHeight="1">
      <c r="A123" s="28">
        <v>19600</v>
      </c>
      <c r="B123" s="91">
        <v>45156.714895833335</v>
      </c>
      <c r="C123" s="28" t="s">
        <v>8</v>
      </c>
      <c r="D123" s="28" t="s">
        <v>164</v>
      </c>
      <c r="E123" s="28" t="s">
        <v>74</v>
      </c>
      <c r="F123" s="28">
        <v>0</v>
      </c>
      <c r="G123" s="28" t="s">
        <v>121</v>
      </c>
      <c r="H123" s="28">
        <v>0</v>
      </c>
      <c r="J123" s="28"/>
    </row>
    <row r="124" spans="1:10" ht="15.75" customHeight="1">
      <c r="A124" s="28">
        <v>19599</v>
      </c>
      <c r="B124" s="91">
        <v>45156.712789351848</v>
      </c>
      <c r="C124" s="28" t="s">
        <v>10</v>
      </c>
      <c r="D124" s="28" t="s">
        <v>165</v>
      </c>
      <c r="E124" s="28" t="s">
        <v>74</v>
      </c>
      <c r="F124" s="28">
        <v>0</v>
      </c>
      <c r="G124" s="28" t="s">
        <v>117</v>
      </c>
      <c r="H124" s="28">
        <v>0</v>
      </c>
      <c r="J124" s="28"/>
    </row>
    <row r="125" spans="1:10" ht="15.75" customHeight="1">
      <c r="A125" s="28">
        <v>19598</v>
      </c>
      <c r="B125" s="91">
        <v>45156.711875000001</v>
      </c>
      <c r="C125" s="28" t="s">
        <v>8</v>
      </c>
      <c r="D125" s="28" t="s">
        <v>162</v>
      </c>
      <c r="E125" s="28" t="s">
        <v>74</v>
      </c>
      <c r="F125" s="28">
        <v>28</v>
      </c>
      <c r="G125" s="28" t="s">
        <v>143</v>
      </c>
      <c r="H125" s="28">
        <v>0</v>
      </c>
      <c r="J125" s="28"/>
    </row>
    <row r="126" spans="1:10" ht="15.75" customHeight="1">
      <c r="A126" s="28">
        <v>19598</v>
      </c>
      <c r="B126" s="91">
        <v>45156.711875000001</v>
      </c>
      <c r="C126" s="28" t="s">
        <v>8</v>
      </c>
      <c r="D126" s="28" t="s">
        <v>162</v>
      </c>
      <c r="E126" s="28" t="s">
        <v>74</v>
      </c>
      <c r="F126" s="28">
        <v>35</v>
      </c>
      <c r="G126" s="28" t="s">
        <v>124</v>
      </c>
      <c r="H126" s="28">
        <v>0</v>
      </c>
      <c r="J126" s="28"/>
    </row>
    <row r="127" spans="1:10" ht="15.75" customHeight="1">
      <c r="A127" s="28">
        <v>19598</v>
      </c>
      <c r="B127" s="91">
        <v>45156.711875000001</v>
      </c>
      <c r="C127" s="28" t="s">
        <v>8</v>
      </c>
      <c r="D127" s="28" t="s">
        <v>162</v>
      </c>
      <c r="E127" s="28" t="s">
        <v>74</v>
      </c>
      <c r="F127" s="28">
        <v>0</v>
      </c>
      <c r="G127" s="28" t="s">
        <v>125</v>
      </c>
      <c r="H127" s="28">
        <v>0</v>
      </c>
      <c r="J127" s="28"/>
    </row>
    <row r="128" spans="1:10" ht="15.75" customHeight="1">
      <c r="A128" s="28">
        <v>19598</v>
      </c>
      <c r="B128" s="91">
        <v>45156.711875000001</v>
      </c>
      <c r="C128" s="28" t="s">
        <v>8</v>
      </c>
      <c r="D128" s="28" t="s">
        <v>162</v>
      </c>
      <c r="E128" s="28" t="s">
        <v>74</v>
      </c>
      <c r="F128" s="28">
        <v>0</v>
      </c>
      <c r="G128" s="28" t="s">
        <v>119</v>
      </c>
      <c r="H128" s="28">
        <v>0</v>
      </c>
      <c r="J128" s="28"/>
    </row>
    <row r="129" spans="1:10" ht="15.75" customHeight="1">
      <c r="A129" s="28">
        <v>19598</v>
      </c>
      <c r="B129" s="91">
        <v>45156.711875000001</v>
      </c>
      <c r="C129" s="28" t="s">
        <v>8</v>
      </c>
      <c r="D129" s="28" t="s">
        <v>162</v>
      </c>
      <c r="E129" s="28" t="s">
        <v>74</v>
      </c>
      <c r="F129" s="28">
        <v>0</v>
      </c>
      <c r="G129" s="28" t="s">
        <v>121</v>
      </c>
      <c r="H129" s="28">
        <v>0</v>
      </c>
      <c r="J129" s="28"/>
    </row>
    <row r="130" spans="1:10" ht="15.75" customHeight="1">
      <c r="A130" s="28">
        <v>19597</v>
      </c>
      <c r="B130" s="91">
        <v>45156.606736111113</v>
      </c>
      <c r="C130" s="28" t="s">
        <v>10</v>
      </c>
      <c r="D130" s="28" t="s">
        <v>166</v>
      </c>
      <c r="E130" s="28" t="s">
        <v>74</v>
      </c>
      <c r="F130" s="28">
        <v>25</v>
      </c>
      <c r="G130" s="28" t="s">
        <v>141</v>
      </c>
      <c r="H130" s="28">
        <v>0</v>
      </c>
      <c r="J130" s="28"/>
    </row>
    <row r="131" spans="1:10" ht="15.75" customHeight="1">
      <c r="A131" s="28">
        <v>19597</v>
      </c>
      <c r="B131" s="91">
        <v>45156.606736111113</v>
      </c>
      <c r="C131" s="28" t="s">
        <v>10</v>
      </c>
      <c r="D131" s="28" t="s">
        <v>166</v>
      </c>
      <c r="E131" s="28" t="s">
        <v>74</v>
      </c>
      <c r="F131" s="28">
        <v>0</v>
      </c>
      <c r="G131" s="28" t="s">
        <v>117</v>
      </c>
      <c r="H131" s="28">
        <v>0</v>
      </c>
      <c r="J131" s="28"/>
    </row>
    <row r="132" spans="1:10" ht="15.75" customHeight="1">
      <c r="A132" s="28">
        <v>19596</v>
      </c>
      <c r="B132" s="91">
        <v>45156.549907407403</v>
      </c>
      <c r="C132" s="28" t="s">
        <v>8</v>
      </c>
      <c r="D132" s="28" t="s">
        <v>167</v>
      </c>
      <c r="E132" s="28" t="s">
        <v>74</v>
      </c>
      <c r="F132" s="28">
        <v>25</v>
      </c>
      <c r="G132" s="28">
        <v>100692</v>
      </c>
      <c r="H132" s="28">
        <v>0</v>
      </c>
      <c r="J132" s="28"/>
    </row>
    <row r="133" spans="1:10" ht="15.75" customHeight="1">
      <c r="A133" s="28">
        <v>19596</v>
      </c>
      <c r="B133" s="91">
        <v>45156.549907407403</v>
      </c>
      <c r="C133" s="28" t="s">
        <v>8</v>
      </c>
      <c r="D133" s="28" t="s">
        <v>167</v>
      </c>
      <c r="E133" s="28" t="s">
        <v>74</v>
      </c>
      <c r="F133" s="28">
        <v>0</v>
      </c>
      <c r="G133" s="28" t="s">
        <v>125</v>
      </c>
      <c r="H133" s="28">
        <v>0</v>
      </c>
      <c r="J133" s="28"/>
    </row>
    <row r="134" spans="1:10" ht="15.75" customHeight="1">
      <c r="A134" s="28">
        <v>19596</v>
      </c>
      <c r="B134" s="91">
        <v>45156.549907407403</v>
      </c>
      <c r="C134" s="28" t="s">
        <v>8</v>
      </c>
      <c r="D134" s="28" t="s">
        <v>167</v>
      </c>
      <c r="E134" s="28" t="s">
        <v>74</v>
      </c>
      <c r="F134" s="28">
        <v>0</v>
      </c>
      <c r="G134" s="28" t="s">
        <v>119</v>
      </c>
      <c r="H134" s="28">
        <v>0</v>
      </c>
      <c r="J134" s="28"/>
    </row>
    <row r="135" spans="1:10" ht="15.75" customHeight="1">
      <c r="A135" s="28">
        <v>19596</v>
      </c>
      <c r="B135" s="91">
        <v>45156.549907407403</v>
      </c>
      <c r="C135" s="28" t="s">
        <v>8</v>
      </c>
      <c r="D135" s="28" t="s">
        <v>167</v>
      </c>
      <c r="E135" s="28" t="s">
        <v>74</v>
      </c>
      <c r="F135" s="28">
        <v>0</v>
      </c>
      <c r="G135" s="28" t="s">
        <v>117</v>
      </c>
      <c r="H135" s="28">
        <v>0</v>
      </c>
      <c r="J135" s="28"/>
    </row>
    <row r="136" spans="1:10" ht="15.75" customHeight="1">
      <c r="A136" s="28">
        <v>19595</v>
      </c>
      <c r="B136" s="91">
        <v>45156.479201388887</v>
      </c>
      <c r="C136" s="28" t="s">
        <v>10</v>
      </c>
      <c r="D136" s="28" t="s">
        <v>168</v>
      </c>
      <c r="E136" s="28" t="s">
        <v>28</v>
      </c>
      <c r="F136" s="28">
        <v>35</v>
      </c>
      <c r="G136" s="28" t="s">
        <v>124</v>
      </c>
      <c r="H136" s="28">
        <v>0</v>
      </c>
      <c r="J136" s="28"/>
    </row>
    <row r="137" spans="1:10" ht="15.75" customHeight="1">
      <c r="A137" s="28">
        <v>19595</v>
      </c>
      <c r="B137" s="91">
        <v>45156.479201388887</v>
      </c>
      <c r="C137" s="28" t="s">
        <v>10</v>
      </c>
      <c r="D137" s="28" t="s">
        <v>168</v>
      </c>
      <c r="E137" s="28" t="s">
        <v>28</v>
      </c>
      <c r="F137" s="28">
        <v>0</v>
      </c>
      <c r="G137" s="28" t="s">
        <v>125</v>
      </c>
      <c r="H137" s="28">
        <v>0</v>
      </c>
      <c r="J137" s="28"/>
    </row>
    <row r="138" spans="1:10" ht="15.75" customHeight="1">
      <c r="A138" s="28">
        <v>19595</v>
      </c>
      <c r="B138" s="91">
        <v>45156.479201388887</v>
      </c>
      <c r="C138" s="28" t="s">
        <v>10</v>
      </c>
      <c r="D138" s="28" t="s">
        <v>168</v>
      </c>
      <c r="E138" s="28" t="s">
        <v>28</v>
      </c>
      <c r="F138" s="28">
        <v>0</v>
      </c>
      <c r="G138" s="28" t="s">
        <v>119</v>
      </c>
      <c r="H138" s="28">
        <v>0</v>
      </c>
      <c r="J138" s="28"/>
    </row>
    <row r="139" spans="1:10" ht="15.75" customHeight="1">
      <c r="A139" s="28">
        <v>19595</v>
      </c>
      <c r="B139" s="91">
        <v>45156.479201388887</v>
      </c>
      <c r="C139" s="28" t="s">
        <v>10</v>
      </c>
      <c r="D139" s="28" t="s">
        <v>168</v>
      </c>
      <c r="E139" s="28" t="s">
        <v>28</v>
      </c>
      <c r="F139" s="28">
        <v>0</v>
      </c>
      <c r="G139" s="28" t="s">
        <v>121</v>
      </c>
      <c r="H139" s="28">
        <v>0</v>
      </c>
      <c r="J139" s="28"/>
    </row>
    <row r="140" spans="1:10" ht="15.75" customHeight="1">
      <c r="A140" s="28">
        <v>19594</v>
      </c>
      <c r="B140" s="91">
        <v>45155.864293981482</v>
      </c>
      <c r="C140" s="28" t="s">
        <v>10</v>
      </c>
      <c r="D140" s="28" t="s">
        <v>169</v>
      </c>
      <c r="E140" s="28" t="s">
        <v>79</v>
      </c>
      <c r="F140" s="28">
        <v>25</v>
      </c>
      <c r="G140" s="28" t="s">
        <v>120</v>
      </c>
      <c r="H140" s="28">
        <v>0</v>
      </c>
      <c r="J140" s="28"/>
    </row>
    <row r="141" spans="1:10" ht="15.75" customHeight="1">
      <c r="A141" s="28">
        <v>19594</v>
      </c>
      <c r="B141" s="91">
        <v>45155.864293981482</v>
      </c>
      <c r="C141" s="28" t="s">
        <v>10</v>
      </c>
      <c r="D141" s="28" t="s">
        <v>169</v>
      </c>
      <c r="E141" s="28" t="s">
        <v>79</v>
      </c>
      <c r="F141" s="28">
        <v>15</v>
      </c>
      <c r="G141" s="28" t="s">
        <v>170</v>
      </c>
      <c r="H141" s="28">
        <v>0</v>
      </c>
      <c r="J141" s="28"/>
    </row>
    <row r="142" spans="1:10" ht="15.75" customHeight="1">
      <c r="A142" s="28">
        <v>19593</v>
      </c>
      <c r="B142" s="91">
        <v>45155.750069444446</v>
      </c>
      <c r="C142" s="28" t="s">
        <v>8</v>
      </c>
      <c r="D142" s="28" t="s">
        <v>171</v>
      </c>
      <c r="E142" s="28" t="s">
        <v>74</v>
      </c>
      <c r="F142" s="28">
        <v>15</v>
      </c>
      <c r="G142" s="28" t="s">
        <v>139</v>
      </c>
      <c r="H142" s="28">
        <v>0</v>
      </c>
      <c r="J142" s="28"/>
    </row>
    <row r="143" spans="1:10" ht="15.75" customHeight="1">
      <c r="A143" s="28">
        <v>19593</v>
      </c>
      <c r="B143" s="91">
        <v>45155.750069444446</v>
      </c>
      <c r="C143" s="28" t="s">
        <v>8</v>
      </c>
      <c r="D143" s="28" t="s">
        <v>171</v>
      </c>
      <c r="E143" s="28" t="s">
        <v>74</v>
      </c>
      <c r="F143" s="28">
        <v>15</v>
      </c>
      <c r="G143" s="28" t="s">
        <v>125</v>
      </c>
      <c r="H143" s="28">
        <v>0</v>
      </c>
      <c r="J143" s="28"/>
    </row>
    <row r="144" spans="1:10" ht="15.75" customHeight="1">
      <c r="A144" s="28">
        <v>19593</v>
      </c>
      <c r="B144" s="91">
        <v>45155.750069444446</v>
      </c>
      <c r="C144" s="28" t="s">
        <v>8</v>
      </c>
      <c r="D144" s="28" t="s">
        <v>171</v>
      </c>
      <c r="E144" s="28" t="s">
        <v>74</v>
      </c>
      <c r="F144" s="28">
        <v>28</v>
      </c>
      <c r="G144" s="28" t="s">
        <v>143</v>
      </c>
      <c r="H144" s="28">
        <v>0</v>
      </c>
      <c r="J144" s="28"/>
    </row>
    <row r="145" spans="1:10" ht="15.75" customHeight="1">
      <c r="A145" s="28">
        <v>19593</v>
      </c>
      <c r="B145" s="91">
        <v>45155.750069444446</v>
      </c>
      <c r="C145" s="28" t="s">
        <v>8</v>
      </c>
      <c r="D145" s="28" t="s">
        <v>171</v>
      </c>
      <c r="E145" s="28" t="s">
        <v>74</v>
      </c>
      <c r="F145" s="28">
        <v>26</v>
      </c>
      <c r="G145" s="28" t="s">
        <v>122</v>
      </c>
      <c r="H145" s="28">
        <v>0</v>
      </c>
      <c r="J145" s="28"/>
    </row>
    <row r="146" spans="1:10" ht="15.75" customHeight="1">
      <c r="A146" s="28">
        <v>19592</v>
      </c>
      <c r="B146" s="91">
        <v>45155.746076388888</v>
      </c>
      <c r="C146" s="28" t="s">
        <v>10</v>
      </c>
      <c r="D146" s="28" t="s">
        <v>172</v>
      </c>
      <c r="E146" s="28" t="s">
        <v>28</v>
      </c>
      <c r="F146" s="28">
        <v>18</v>
      </c>
      <c r="G146" s="28" t="s">
        <v>119</v>
      </c>
      <c r="H146" s="28">
        <v>0</v>
      </c>
      <c r="J146" s="28"/>
    </row>
    <row r="147" spans="1:10" ht="15.75" customHeight="1">
      <c r="A147" s="28">
        <v>19592</v>
      </c>
      <c r="B147" s="91">
        <v>45155.746076388888</v>
      </c>
      <c r="C147" s="28" t="s">
        <v>10</v>
      </c>
      <c r="D147" s="28" t="s">
        <v>172</v>
      </c>
      <c r="E147" s="28" t="s">
        <v>28</v>
      </c>
      <c r="F147" s="28">
        <v>15</v>
      </c>
      <c r="G147" s="28" t="s">
        <v>139</v>
      </c>
      <c r="H147" s="28">
        <v>0</v>
      </c>
      <c r="J147" s="28"/>
    </row>
    <row r="148" spans="1:10" ht="15.75" customHeight="1">
      <c r="A148" s="28">
        <v>19592</v>
      </c>
      <c r="B148" s="91">
        <v>45155.746076388888</v>
      </c>
      <c r="C148" s="28" t="s">
        <v>10</v>
      </c>
      <c r="D148" s="28" t="s">
        <v>172</v>
      </c>
      <c r="E148" s="28" t="s">
        <v>28</v>
      </c>
      <c r="F148" s="28">
        <v>15</v>
      </c>
      <c r="G148" s="28" t="s">
        <v>170</v>
      </c>
      <c r="H148" s="28">
        <v>0</v>
      </c>
      <c r="J148" s="28"/>
    </row>
    <row r="149" spans="1:10" ht="15.75" customHeight="1">
      <c r="A149" s="28">
        <v>19591</v>
      </c>
      <c r="B149" s="91">
        <v>45155.451226851852</v>
      </c>
      <c r="C149" s="28" t="s">
        <v>8</v>
      </c>
      <c r="D149" s="28" t="s">
        <v>173</v>
      </c>
      <c r="E149" s="28" t="s">
        <v>74</v>
      </c>
      <c r="F149" s="28">
        <v>35</v>
      </c>
      <c r="G149" s="28" t="s">
        <v>124</v>
      </c>
      <c r="H149" s="28">
        <v>0</v>
      </c>
      <c r="J149" s="28"/>
    </row>
    <row r="150" spans="1:10" ht="15.75" customHeight="1">
      <c r="A150" s="28">
        <v>19591</v>
      </c>
      <c r="B150" s="91">
        <v>45155.451226851852</v>
      </c>
      <c r="C150" s="28" t="s">
        <v>8</v>
      </c>
      <c r="D150" s="28" t="s">
        <v>173</v>
      </c>
      <c r="E150" s="28" t="s">
        <v>74</v>
      </c>
      <c r="F150" s="28">
        <v>0</v>
      </c>
      <c r="G150" s="28" t="s">
        <v>125</v>
      </c>
      <c r="H150" s="28">
        <v>0</v>
      </c>
      <c r="J150" s="28"/>
    </row>
    <row r="151" spans="1:10" ht="15.75" customHeight="1">
      <c r="A151" s="28">
        <v>19591</v>
      </c>
      <c r="B151" s="91">
        <v>45155.451226851852</v>
      </c>
      <c r="C151" s="28" t="s">
        <v>8</v>
      </c>
      <c r="D151" s="28" t="s">
        <v>173</v>
      </c>
      <c r="E151" s="28" t="s">
        <v>74</v>
      </c>
      <c r="F151" s="28">
        <v>0</v>
      </c>
      <c r="G151" s="28" t="s">
        <v>119</v>
      </c>
      <c r="H151" s="28">
        <v>0</v>
      </c>
      <c r="J151" s="28"/>
    </row>
    <row r="152" spans="1:10" ht="15.75" customHeight="1">
      <c r="A152" s="28">
        <v>19591</v>
      </c>
      <c r="B152" s="91">
        <v>45155.451226851852</v>
      </c>
      <c r="C152" s="28" t="s">
        <v>8</v>
      </c>
      <c r="D152" s="28" t="s">
        <v>173</v>
      </c>
      <c r="E152" s="28" t="s">
        <v>74</v>
      </c>
      <c r="F152" s="28">
        <v>0</v>
      </c>
      <c r="G152" s="28" t="s">
        <v>121</v>
      </c>
      <c r="H152" s="28">
        <v>0</v>
      </c>
      <c r="J152" s="28"/>
    </row>
    <row r="153" spans="1:10" ht="15.75" customHeight="1">
      <c r="A153" s="28">
        <v>19589</v>
      </c>
      <c r="B153" s="91">
        <v>45154.632303240738</v>
      </c>
      <c r="C153" s="28" t="s">
        <v>10</v>
      </c>
      <c r="D153" s="28" t="s">
        <v>174</v>
      </c>
      <c r="E153" s="28" t="s">
        <v>28</v>
      </c>
      <c r="F153" s="28">
        <v>25</v>
      </c>
      <c r="G153" s="28">
        <v>100692</v>
      </c>
      <c r="H153" s="28">
        <v>0</v>
      </c>
      <c r="J153" s="28"/>
    </row>
    <row r="154" spans="1:10" ht="15.75" customHeight="1">
      <c r="A154" s="28">
        <v>19589</v>
      </c>
      <c r="B154" s="91">
        <v>45154.632303240738</v>
      </c>
      <c r="C154" s="28" t="s">
        <v>10</v>
      </c>
      <c r="D154" s="28" t="s">
        <v>174</v>
      </c>
      <c r="E154" s="28" t="s">
        <v>28</v>
      </c>
      <c r="F154" s="28">
        <v>0</v>
      </c>
      <c r="G154" s="28" t="s">
        <v>125</v>
      </c>
      <c r="H154" s="28">
        <v>0</v>
      </c>
      <c r="J154" s="28"/>
    </row>
    <row r="155" spans="1:10" ht="15.75" customHeight="1">
      <c r="A155" s="28">
        <v>19589</v>
      </c>
      <c r="B155" s="91">
        <v>45154.632303240738</v>
      </c>
      <c r="C155" s="28" t="s">
        <v>10</v>
      </c>
      <c r="D155" s="28" t="s">
        <v>174</v>
      </c>
      <c r="E155" s="28" t="s">
        <v>28</v>
      </c>
      <c r="F155" s="28">
        <v>0</v>
      </c>
      <c r="G155" s="28" t="s">
        <v>119</v>
      </c>
      <c r="H155" s="28">
        <v>0</v>
      </c>
      <c r="J155" s="28"/>
    </row>
    <row r="156" spans="1:10" ht="15.75" customHeight="1">
      <c r="A156" s="28">
        <v>19588</v>
      </c>
      <c r="B156" s="91">
        <v>45154.630405092597</v>
      </c>
      <c r="C156" s="28" t="s">
        <v>10</v>
      </c>
      <c r="D156" s="28" t="s">
        <v>175</v>
      </c>
      <c r="E156" s="28" t="s">
        <v>28</v>
      </c>
      <c r="F156" s="28">
        <v>25</v>
      </c>
      <c r="G156" s="28">
        <v>100692</v>
      </c>
      <c r="H156" s="28">
        <v>0</v>
      </c>
      <c r="J156" s="28"/>
    </row>
    <row r="157" spans="1:10" ht="15.75" customHeight="1">
      <c r="A157" s="28">
        <v>19588</v>
      </c>
      <c r="B157" s="91">
        <v>45154.630405092597</v>
      </c>
      <c r="C157" s="28" t="s">
        <v>10</v>
      </c>
      <c r="D157" s="28" t="s">
        <v>175</v>
      </c>
      <c r="E157" s="28" t="s">
        <v>28</v>
      </c>
      <c r="F157" s="28">
        <v>0</v>
      </c>
      <c r="G157" s="28" t="s">
        <v>125</v>
      </c>
      <c r="H157" s="28">
        <v>0</v>
      </c>
      <c r="J157" s="28"/>
    </row>
    <row r="158" spans="1:10" ht="15.75" customHeight="1">
      <c r="A158" s="28">
        <v>19588</v>
      </c>
      <c r="B158" s="91">
        <v>45154.630405092597</v>
      </c>
      <c r="C158" s="28" t="s">
        <v>10</v>
      </c>
      <c r="D158" s="28" t="s">
        <v>175</v>
      </c>
      <c r="E158" s="28" t="s">
        <v>28</v>
      </c>
      <c r="F158" s="28">
        <v>0</v>
      </c>
      <c r="G158" s="28" t="s">
        <v>119</v>
      </c>
      <c r="H158" s="28">
        <v>0</v>
      </c>
      <c r="J158" s="28"/>
    </row>
    <row r="159" spans="1:10" ht="15.75" customHeight="1">
      <c r="A159" s="28">
        <v>19587</v>
      </c>
      <c r="B159" s="91">
        <v>45154.539895833332</v>
      </c>
      <c r="C159" s="28" t="s">
        <v>10</v>
      </c>
      <c r="D159" s="28" t="s">
        <v>176</v>
      </c>
      <c r="E159" s="28" t="s">
        <v>74</v>
      </c>
      <c r="F159" s="28">
        <v>25</v>
      </c>
      <c r="G159" s="28" t="s">
        <v>141</v>
      </c>
      <c r="H159" s="28">
        <v>0</v>
      </c>
      <c r="J159" s="28"/>
    </row>
    <row r="160" spans="1:10" ht="15.75" customHeight="1">
      <c r="A160" s="28">
        <v>19586</v>
      </c>
      <c r="B160" s="91">
        <v>45154.536261574074</v>
      </c>
      <c r="C160" s="28" t="s">
        <v>10</v>
      </c>
      <c r="D160" s="28" t="s">
        <v>177</v>
      </c>
      <c r="E160" s="28" t="s">
        <v>74</v>
      </c>
      <c r="F160" s="28">
        <v>25</v>
      </c>
      <c r="G160" s="28" t="s">
        <v>141</v>
      </c>
      <c r="H160" s="28">
        <v>0</v>
      </c>
      <c r="J160" s="28"/>
    </row>
    <row r="161" spans="1:10" ht="15.75" customHeight="1">
      <c r="A161" s="28">
        <v>19584</v>
      </c>
      <c r="B161" s="91">
        <v>45153.928703703699</v>
      </c>
      <c r="C161" s="28" t="s">
        <v>10</v>
      </c>
      <c r="D161" s="28" t="s">
        <v>178</v>
      </c>
      <c r="E161" s="28" t="s">
        <v>28</v>
      </c>
      <c r="F161" s="28">
        <v>15</v>
      </c>
      <c r="G161" s="28" t="s">
        <v>125</v>
      </c>
      <c r="H161" s="28">
        <v>0</v>
      </c>
      <c r="J161" s="28"/>
    </row>
    <row r="162" spans="1:10" ht="15.75" customHeight="1">
      <c r="A162" s="28">
        <v>19584</v>
      </c>
      <c r="B162" s="91">
        <v>45153.928703703699</v>
      </c>
      <c r="C162" s="28" t="s">
        <v>10</v>
      </c>
      <c r="D162" s="28" t="s">
        <v>178</v>
      </c>
      <c r="E162" s="28" t="s">
        <v>28</v>
      </c>
      <c r="F162" s="28">
        <v>0</v>
      </c>
      <c r="G162" s="28" t="s">
        <v>117</v>
      </c>
      <c r="H162" s="28">
        <v>0</v>
      </c>
      <c r="J162" s="28"/>
    </row>
    <row r="163" spans="1:10" ht="15.75" customHeight="1">
      <c r="A163" s="28">
        <v>19583</v>
      </c>
      <c r="B163" s="91">
        <v>45153.679884259254</v>
      </c>
      <c r="C163" s="28" t="s">
        <v>10</v>
      </c>
      <c r="D163" s="28" t="s">
        <v>179</v>
      </c>
      <c r="E163" s="28" t="s">
        <v>28</v>
      </c>
      <c r="F163" s="28">
        <v>0</v>
      </c>
      <c r="G163" s="28" t="s">
        <v>117</v>
      </c>
      <c r="H163" s="28">
        <v>0</v>
      </c>
      <c r="J163" s="28"/>
    </row>
    <row r="164" spans="1:10" ht="15.75" customHeight="1">
      <c r="A164" s="28">
        <v>19583</v>
      </c>
      <c r="B164" s="91">
        <v>45153.679884259254</v>
      </c>
      <c r="C164" s="28" t="s">
        <v>10</v>
      </c>
      <c r="D164" s="28" t="s">
        <v>179</v>
      </c>
      <c r="E164" s="28" t="s">
        <v>28</v>
      </c>
      <c r="F164" s="28">
        <v>18</v>
      </c>
      <c r="G164" s="28" t="s">
        <v>180</v>
      </c>
      <c r="H164" s="28">
        <v>0</v>
      </c>
      <c r="J164" s="28"/>
    </row>
    <row r="165" spans="1:10" ht="15.75" customHeight="1">
      <c r="A165" s="28">
        <v>19583</v>
      </c>
      <c r="B165" s="91">
        <v>45153.679884259254</v>
      </c>
      <c r="C165" s="28" t="s">
        <v>10</v>
      </c>
      <c r="D165" s="28" t="s">
        <v>179</v>
      </c>
      <c r="E165" s="28" t="s">
        <v>28</v>
      </c>
      <c r="F165" s="28">
        <v>25</v>
      </c>
      <c r="G165" s="28">
        <v>100692</v>
      </c>
      <c r="H165" s="28">
        <v>0</v>
      </c>
      <c r="J165" s="28"/>
    </row>
    <row r="166" spans="1:10" ht="15.75" customHeight="1">
      <c r="A166" s="28">
        <v>19583</v>
      </c>
      <c r="B166" s="91">
        <v>45153.679884259254</v>
      </c>
      <c r="C166" s="28" t="s">
        <v>10</v>
      </c>
      <c r="D166" s="28" t="s">
        <v>179</v>
      </c>
      <c r="E166" s="28" t="s">
        <v>28</v>
      </c>
      <c r="F166" s="28">
        <v>0</v>
      </c>
      <c r="G166" s="28" t="s">
        <v>125</v>
      </c>
      <c r="H166" s="28">
        <v>0</v>
      </c>
      <c r="J166" s="28"/>
    </row>
    <row r="167" spans="1:10" ht="15.75" customHeight="1">
      <c r="A167" s="28">
        <v>19583</v>
      </c>
      <c r="B167" s="91">
        <v>45153.679884259254</v>
      </c>
      <c r="C167" s="28" t="s">
        <v>10</v>
      </c>
      <c r="D167" s="28" t="s">
        <v>179</v>
      </c>
      <c r="E167" s="28" t="s">
        <v>28</v>
      </c>
      <c r="F167" s="28">
        <v>0</v>
      </c>
      <c r="G167" s="28" t="s">
        <v>119</v>
      </c>
      <c r="H167" s="28">
        <v>0</v>
      </c>
      <c r="J167" s="28"/>
    </row>
    <row r="168" spans="1:10" ht="15.75" customHeight="1">
      <c r="A168" s="28">
        <v>19582</v>
      </c>
      <c r="B168" s="91">
        <v>45153.659722222219</v>
      </c>
      <c r="C168" s="28" t="s">
        <v>10</v>
      </c>
      <c r="D168" s="28" t="s">
        <v>181</v>
      </c>
      <c r="E168" s="28" t="s">
        <v>28</v>
      </c>
      <c r="F168" s="28">
        <v>25</v>
      </c>
      <c r="G168" s="28">
        <v>100692</v>
      </c>
      <c r="H168" s="28">
        <v>0</v>
      </c>
      <c r="J168" s="28"/>
    </row>
    <row r="169" spans="1:10" ht="15.75" customHeight="1">
      <c r="A169" s="28">
        <v>19582</v>
      </c>
      <c r="B169" s="91">
        <v>45153.659722222219</v>
      </c>
      <c r="C169" s="28" t="s">
        <v>10</v>
      </c>
      <c r="D169" s="28" t="s">
        <v>181</v>
      </c>
      <c r="E169" s="28" t="s">
        <v>28</v>
      </c>
      <c r="F169" s="28">
        <v>0</v>
      </c>
      <c r="G169" s="28" t="s">
        <v>125</v>
      </c>
      <c r="H169" s="28">
        <v>0</v>
      </c>
      <c r="J169" s="28"/>
    </row>
    <row r="170" spans="1:10" ht="15.75" customHeight="1">
      <c r="A170" s="28">
        <v>19582</v>
      </c>
      <c r="B170" s="91">
        <v>45153.659722222219</v>
      </c>
      <c r="C170" s="28" t="s">
        <v>10</v>
      </c>
      <c r="D170" s="28" t="s">
        <v>181</v>
      </c>
      <c r="E170" s="28" t="s">
        <v>28</v>
      </c>
      <c r="F170" s="28">
        <v>0</v>
      </c>
      <c r="G170" s="28" t="s">
        <v>119</v>
      </c>
      <c r="H170" s="28">
        <v>0</v>
      </c>
      <c r="J170" s="28"/>
    </row>
    <row r="171" spans="1:10" ht="15.75" customHeight="1">
      <c r="A171" s="28">
        <v>19582</v>
      </c>
      <c r="B171" s="91">
        <v>45153.659722222219</v>
      </c>
      <c r="C171" s="28" t="s">
        <v>10</v>
      </c>
      <c r="D171" s="28" t="s">
        <v>181</v>
      </c>
      <c r="E171" s="28" t="s">
        <v>28</v>
      </c>
      <c r="F171" s="28">
        <v>0</v>
      </c>
      <c r="G171" s="28" t="s">
        <v>117</v>
      </c>
      <c r="H171" s="28">
        <v>0</v>
      </c>
      <c r="J171" s="28"/>
    </row>
    <row r="172" spans="1:10" ht="15.75" customHeight="1">
      <c r="A172" s="28">
        <v>19581</v>
      </c>
      <c r="B172" s="91">
        <v>45153.558969907404</v>
      </c>
      <c r="C172" s="28" t="s">
        <v>8</v>
      </c>
      <c r="D172" s="28" t="s">
        <v>182</v>
      </c>
      <c r="E172" s="28" t="s">
        <v>80</v>
      </c>
      <c r="F172" s="28">
        <v>25</v>
      </c>
      <c r="G172" s="28">
        <v>100692</v>
      </c>
      <c r="H172" s="28">
        <v>0</v>
      </c>
      <c r="J172" s="28"/>
    </row>
    <row r="173" spans="1:10" ht="15.75" customHeight="1">
      <c r="A173" s="28">
        <v>19581</v>
      </c>
      <c r="B173" s="91">
        <v>45153.558969907404</v>
      </c>
      <c r="C173" s="28" t="s">
        <v>8</v>
      </c>
      <c r="D173" s="28" t="s">
        <v>182</v>
      </c>
      <c r="E173" s="28" t="s">
        <v>80</v>
      </c>
      <c r="F173" s="28">
        <v>0</v>
      </c>
      <c r="G173" s="28" t="s">
        <v>125</v>
      </c>
      <c r="H173" s="28">
        <v>0</v>
      </c>
      <c r="J173" s="28"/>
    </row>
    <row r="174" spans="1:10" ht="15.75" customHeight="1">
      <c r="A174" s="28">
        <v>19581</v>
      </c>
      <c r="B174" s="91">
        <v>45153.558969907404</v>
      </c>
      <c r="C174" s="28" t="s">
        <v>8</v>
      </c>
      <c r="D174" s="28" t="s">
        <v>182</v>
      </c>
      <c r="E174" s="28" t="s">
        <v>80</v>
      </c>
      <c r="F174" s="28">
        <v>0</v>
      </c>
      <c r="G174" s="28" t="s">
        <v>119</v>
      </c>
      <c r="H174" s="28">
        <v>0</v>
      </c>
      <c r="J174" s="28"/>
    </row>
    <row r="175" spans="1:10" ht="15.75" customHeight="1">
      <c r="A175" s="28">
        <v>19580</v>
      </c>
      <c r="B175" s="91">
        <v>45153.557708333334</v>
      </c>
      <c r="C175" s="28" t="s">
        <v>8</v>
      </c>
      <c r="D175" s="28" t="s">
        <v>183</v>
      </c>
      <c r="E175" s="28" t="s">
        <v>80</v>
      </c>
      <c r="F175" s="28">
        <v>25</v>
      </c>
      <c r="G175" s="28">
        <v>100692</v>
      </c>
      <c r="H175" s="28">
        <v>0</v>
      </c>
      <c r="J175" s="28"/>
    </row>
    <row r="176" spans="1:10" ht="15.75" customHeight="1">
      <c r="A176" s="28">
        <v>19580</v>
      </c>
      <c r="B176" s="91">
        <v>45153.557708333334</v>
      </c>
      <c r="C176" s="28" t="s">
        <v>8</v>
      </c>
      <c r="D176" s="28" t="s">
        <v>183</v>
      </c>
      <c r="E176" s="28" t="s">
        <v>80</v>
      </c>
      <c r="F176" s="28">
        <v>0</v>
      </c>
      <c r="G176" s="28" t="s">
        <v>125</v>
      </c>
      <c r="H176" s="28">
        <v>0</v>
      </c>
      <c r="J176" s="28"/>
    </row>
    <row r="177" spans="1:10" ht="15.75" customHeight="1">
      <c r="A177" s="28">
        <v>19580</v>
      </c>
      <c r="B177" s="91">
        <v>45153.557708333334</v>
      </c>
      <c r="C177" s="28" t="s">
        <v>8</v>
      </c>
      <c r="D177" s="28" t="s">
        <v>183</v>
      </c>
      <c r="E177" s="28" t="s">
        <v>80</v>
      </c>
      <c r="F177" s="28">
        <v>0</v>
      </c>
      <c r="G177" s="28" t="s">
        <v>119</v>
      </c>
      <c r="H177" s="28">
        <v>0</v>
      </c>
      <c r="J177" s="28"/>
    </row>
    <row r="178" spans="1:10" ht="15.75" customHeight="1">
      <c r="A178" s="28">
        <v>19579</v>
      </c>
      <c r="B178" s="91">
        <v>45153.553807870368</v>
      </c>
      <c r="C178" s="28" t="s">
        <v>10</v>
      </c>
      <c r="D178" s="28" t="s">
        <v>184</v>
      </c>
      <c r="E178" s="28" t="s">
        <v>28</v>
      </c>
      <c r="F178" s="28">
        <v>15</v>
      </c>
      <c r="G178" s="28" t="s">
        <v>125</v>
      </c>
      <c r="H178" s="28">
        <v>0</v>
      </c>
      <c r="J178" s="28"/>
    </row>
    <row r="179" spans="1:10" ht="15.75" customHeight="1">
      <c r="A179" s="28">
        <v>19579</v>
      </c>
      <c r="B179" s="91">
        <v>45153.553807870368</v>
      </c>
      <c r="C179" s="28" t="s">
        <v>10</v>
      </c>
      <c r="D179" s="28" t="s">
        <v>184</v>
      </c>
      <c r="E179" s="28" t="s">
        <v>28</v>
      </c>
      <c r="F179" s="28">
        <v>0</v>
      </c>
      <c r="G179" s="28" t="s">
        <v>117</v>
      </c>
      <c r="H179" s="28">
        <v>0</v>
      </c>
      <c r="J179" s="28"/>
    </row>
    <row r="180" spans="1:10" ht="15.75" customHeight="1">
      <c r="A180" s="28">
        <v>19578</v>
      </c>
      <c r="B180" s="91">
        <v>45153.546990740739</v>
      </c>
      <c r="C180" s="28" t="s">
        <v>10</v>
      </c>
      <c r="D180" s="28" t="s">
        <v>185</v>
      </c>
      <c r="E180" s="28" t="s">
        <v>28</v>
      </c>
      <c r="F180" s="28">
        <v>15</v>
      </c>
      <c r="G180" s="28" t="s">
        <v>125</v>
      </c>
      <c r="H180" s="28">
        <v>0</v>
      </c>
      <c r="J180" s="28"/>
    </row>
    <row r="181" spans="1:10" ht="15.75" customHeight="1">
      <c r="A181" s="28">
        <v>19578</v>
      </c>
      <c r="B181" s="91">
        <v>45153.546990740739</v>
      </c>
      <c r="C181" s="28" t="s">
        <v>10</v>
      </c>
      <c r="D181" s="28" t="s">
        <v>185</v>
      </c>
      <c r="E181" s="28" t="s">
        <v>28</v>
      </c>
      <c r="F181" s="28">
        <v>0</v>
      </c>
      <c r="G181" s="28" t="s">
        <v>117</v>
      </c>
      <c r="H181" s="28">
        <v>0</v>
      </c>
      <c r="J181" s="28"/>
    </row>
    <row r="182" spans="1:10" ht="15.75" customHeight="1">
      <c r="A182" s="28">
        <v>19577</v>
      </c>
      <c r="B182" s="91">
        <v>45153.546261574069</v>
      </c>
      <c r="C182" s="28" t="s">
        <v>10</v>
      </c>
      <c r="D182" s="28" t="s">
        <v>186</v>
      </c>
      <c r="E182" s="28" t="s">
        <v>28</v>
      </c>
      <c r="F182" s="28">
        <v>25</v>
      </c>
      <c r="G182" s="28" t="s">
        <v>141</v>
      </c>
      <c r="H182" s="28">
        <v>0</v>
      </c>
      <c r="J182" s="28"/>
    </row>
    <row r="183" spans="1:10" ht="15.75" customHeight="1">
      <c r="A183" s="28">
        <v>19576</v>
      </c>
      <c r="B183" s="91">
        <v>45153.544317129628</v>
      </c>
      <c r="C183" s="28" t="s">
        <v>10</v>
      </c>
      <c r="D183" s="28" t="s">
        <v>187</v>
      </c>
      <c r="E183" s="28" t="s">
        <v>28</v>
      </c>
      <c r="F183" s="28">
        <v>0</v>
      </c>
      <c r="G183" s="28" t="s">
        <v>117</v>
      </c>
      <c r="H183" s="28">
        <v>0</v>
      </c>
      <c r="J183" s="28"/>
    </row>
    <row r="184" spans="1:10" ht="15.75" customHeight="1">
      <c r="A184" s="28">
        <v>19576</v>
      </c>
      <c r="B184" s="91">
        <v>45153.544317129628</v>
      </c>
      <c r="C184" s="28" t="s">
        <v>10</v>
      </c>
      <c r="D184" s="28" t="s">
        <v>187</v>
      </c>
      <c r="E184" s="28" t="s">
        <v>28</v>
      </c>
      <c r="F184" s="28">
        <v>15</v>
      </c>
      <c r="G184" s="28" t="s">
        <v>125</v>
      </c>
      <c r="H184" s="28">
        <v>0</v>
      </c>
      <c r="J184" s="28"/>
    </row>
    <row r="185" spans="1:10" ht="15.75" customHeight="1">
      <c r="A185" s="28">
        <v>19575</v>
      </c>
      <c r="B185" s="91">
        <v>45153.530648148153</v>
      </c>
      <c r="C185" s="28" t="s">
        <v>10</v>
      </c>
      <c r="D185" s="28" t="s">
        <v>188</v>
      </c>
      <c r="E185" s="28" t="s">
        <v>28</v>
      </c>
      <c r="F185" s="28">
        <v>25</v>
      </c>
      <c r="G185" s="28">
        <v>100692</v>
      </c>
      <c r="H185" s="28">
        <v>0</v>
      </c>
      <c r="J185" s="28"/>
    </row>
    <row r="186" spans="1:10" ht="15.75" customHeight="1">
      <c r="A186" s="28">
        <v>19575</v>
      </c>
      <c r="B186" s="91">
        <v>45153.530648148153</v>
      </c>
      <c r="C186" s="28" t="s">
        <v>10</v>
      </c>
      <c r="D186" s="28" t="s">
        <v>188</v>
      </c>
      <c r="E186" s="28" t="s">
        <v>28</v>
      </c>
      <c r="F186" s="28">
        <v>0</v>
      </c>
      <c r="G186" s="28" t="s">
        <v>125</v>
      </c>
      <c r="H186" s="28">
        <v>0</v>
      </c>
      <c r="J186" s="28"/>
    </row>
    <row r="187" spans="1:10" ht="15.75" customHeight="1">
      <c r="A187" s="28">
        <v>19575</v>
      </c>
      <c r="B187" s="91">
        <v>45153.530648148153</v>
      </c>
      <c r="C187" s="28" t="s">
        <v>10</v>
      </c>
      <c r="D187" s="28" t="s">
        <v>188</v>
      </c>
      <c r="E187" s="28" t="s">
        <v>28</v>
      </c>
      <c r="F187" s="28">
        <v>0</v>
      </c>
      <c r="G187" s="28" t="s">
        <v>119</v>
      </c>
      <c r="H187" s="28">
        <v>0</v>
      </c>
      <c r="J187" s="28"/>
    </row>
    <row r="188" spans="1:10" ht="15.75" customHeight="1">
      <c r="A188" s="28">
        <v>19574</v>
      </c>
      <c r="B188" s="91">
        <v>45153.529965277776</v>
      </c>
      <c r="C188" s="28" t="s">
        <v>10</v>
      </c>
      <c r="D188" s="28" t="s">
        <v>189</v>
      </c>
      <c r="E188" s="28" t="s">
        <v>28</v>
      </c>
      <c r="F188" s="28">
        <v>25</v>
      </c>
      <c r="G188" s="28">
        <v>100692</v>
      </c>
      <c r="H188" s="28">
        <v>0</v>
      </c>
      <c r="J188" s="28"/>
    </row>
    <row r="189" spans="1:10" ht="15.75" customHeight="1">
      <c r="A189" s="28">
        <v>19574</v>
      </c>
      <c r="B189" s="91">
        <v>45153.529965277776</v>
      </c>
      <c r="C189" s="28" t="s">
        <v>10</v>
      </c>
      <c r="D189" s="28" t="s">
        <v>189</v>
      </c>
      <c r="E189" s="28" t="s">
        <v>28</v>
      </c>
      <c r="F189" s="28">
        <v>0</v>
      </c>
      <c r="G189" s="28" t="s">
        <v>125</v>
      </c>
      <c r="H189" s="28">
        <v>0</v>
      </c>
      <c r="J189" s="28"/>
    </row>
    <row r="190" spans="1:10" ht="15.75" customHeight="1">
      <c r="A190" s="28">
        <v>19574</v>
      </c>
      <c r="B190" s="91">
        <v>45153.529965277776</v>
      </c>
      <c r="C190" s="28" t="s">
        <v>10</v>
      </c>
      <c r="D190" s="28" t="s">
        <v>189</v>
      </c>
      <c r="E190" s="28" t="s">
        <v>28</v>
      </c>
      <c r="F190" s="28">
        <v>0</v>
      </c>
      <c r="G190" s="28" t="s">
        <v>119</v>
      </c>
      <c r="H190" s="28">
        <v>0</v>
      </c>
      <c r="J190" s="28"/>
    </row>
    <row r="191" spans="1:10" ht="15.75" customHeight="1">
      <c r="A191" s="28">
        <v>19573</v>
      </c>
      <c r="B191" s="91">
        <v>45153.519027777773</v>
      </c>
      <c r="C191" s="28" t="s">
        <v>10</v>
      </c>
      <c r="D191" s="28" t="s">
        <v>190</v>
      </c>
      <c r="E191" s="28" t="s">
        <v>28</v>
      </c>
      <c r="F191" s="28">
        <v>35</v>
      </c>
      <c r="G191" s="28" t="s">
        <v>124</v>
      </c>
      <c r="H191" s="28">
        <v>0</v>
      </c>
      <c r="J191" s="28"/>
    </row>
    <row r="192" spans="1:10" ht="15.75" customHeight="1">
      <c r="A192" s="28">
        <v>19573</v>
      </c>
      <c r="B192" s="91">
        <v>45153.519027777773</v>
      </c>
      <c r="C192" s="28" t="s">
        <v>10</v>
      </c>
      <c r="D192" s="28" t="s">
        <v>190</v>
      </c>
      <c r="E192" s="28" t="s">
        <v>28</v>
      </c>
      <c r="F192" s="28">
        <v>0</v>
      </c>
      <c r="G192" s="28" t="s">
        <v>125</v>
      </c>
      <c r="H192" s="28">
        <v>0</v>
      </c>
      <c r="J192" s="28"/>
    </row>
    <row r="193" spans="1:10" ht="15.75" customHeight="1">
      <c r="A193" s="28">
        <v>19573</v>
      </c>
      <c r="B193" s="91">
        <v>45153.519027777773</v>
      </c>
      <c r="C193" s="28" t="s">
        <v>10</v>
      </c>
      <c r="D193" s="28" t="s">
        <v>190</v>
      </c>
      <c r="E193" s="28" t="s">
        <v>28</v>
      </c>
      <c r="F193" s="28">
        <v>0</v>
      </c>
      <c r="G193" s="28" t="s">
        <v>119</v>
      </c>
      <c r="H193" s="28">
        <v>0</v>
      </c>
      <c r="J193" s="28"/>
    </row>
    <row r="194" spans="1:10" ht="15.75" customHeight="1">
      <c r="A194" s="28">
        <v>19573</v>
      </c>
      <c r="B194" s="91">
        <v>45153.519027777773</v>
      </c>
      <c r="C194" s="28" t="s">
        <v>10</v>
      </c>
      <c r="D194" s="28" t="s">
        <v>190</v>
      </c>
      <c r="E194" s="28" t="s">
        <v>28</v>
      </c>
      <c r="F194" s="28">
        <v>0</v>
      </c>
      <c r="G194" s="28" t="s">
        <v>121</v>
      </c>
      <c r="H194" s="28">
        <v>0</v>
      </c>
      <c r="J194" s="28"/>
    </row>
    <row r="195" spans="1:10" ht="15.75" customHeight="1">
      <c r="A195" s="28">
        <v>19572</v>
      </c>
      <c r="B195" s="91">
        <v>45153.494687500002</v>
      </c>
      <c r="C195" s="28" t="s">
        <v>10</v>
      </c>
      <c r="D195" s="28" t="s">
        <v>191</v>
      </c>
      <c r="E195" s="28" t="s">
        <v>28</v>
      </c>
      <c r="F195" s="28">
        <v>25</v>
      </c>
      <c r="G195" s="28">
        <v>100692</v>
      </c>
      <c r="H195" s="28">
        <v>0</v>
      </c>
      <c r="J195" s="28"/>
    </row>
    <row r="196" spans="1:10" ht="15.75" customHeight="1">
      <c r="A196" s="28">
        <v>19572</v>
      </c>
      <c r="B196" s="91">
        <v>45153.494687500002</v>
      </c>
      <c r="C196" s="28" t="s">
        <v>10</v>
      </c>
      <c r="D196" s="28" t="s">
        <v>191</v>
      </c>
      <c r="E196" s="28" t="s">
        <v>28</v>
      </c>
      <c r="F196" s="28">
        <v>0</v>
      </c>
      <c r="G196" s="28" t="s">
        <v>125</v>
      </c>
      <c r="H196" s="28">
        <v>0</v>
      </c>
      <c r="J196" s="28"/>
    </row>
    <row r="197" spans="1:10" ht="15.75" customHeight="1">
      <c r="A197" s="28">
        <v>19572</v>
      </c>
      <c r="B197" s="91">
        <v>45153.494687500002</v>
      </c>
      <c r="C197" s="28" t="s">
        <v>10</v>
      </c>
      <c r="D197" s="28" t="s">
        <v>191</v>
      </c>
      <c r="E197" s="28" t="s">
        <v>28</v>
      </c>
      <c r="F197" s="28">
        <v>0</v>
      </c>
      <c r="G197" s="28" t="s">
        <v>119</v>
      </c>
      <c r="H197" s="28">
        <v>0</v>
      </c>
      <c r="J197" s="28"/>
    </row>
    <row r="198" spans="1:10" ht="15.75" customHeight="1">
      <c r="A198" s="28">
        <v>19571</v>
      </c>
      <c r="B198" s="91">
        <v>45153.115439814814</v>
      </c>
      <c r="C198" s="28" t="s">
        <v>10</v>
      </c>
      <c r="D198" s="28" t="s">
        <v>192</v>
      </c>
      <c r="E198" s="28" t="s">
        <v>28</v>
      </c>
      <c r="F198" s="28">
        <v>35</v>
      </c>
      <c r="G198" s="28" t="s">
        <v>124</v>
      </c>
      <c r="H198" s="28">
        <v>0</v>
      </c>
      <c r="J198" s="28"/>
    </row>
    <row r="199" spans="1:10" ht="15.75" customHeight="1">
      <c r="A199" s="28">
        <v>19571</v>
      </c>
      <c r="B199" s="91">
        <v>45153.115439814814</v>
      </c>
      <c r="C199" s="28" t="s">
        <v>10</v>
      </c>
      <c r="D199" s="28" t="s">
        <v>192</v>
      </c>
      <c r="E199" s="28" t="s">
        <v>28</v>
      </c>
      <c r="F199" s="28">
        <v>0</v>
      </c>
      <c r="G199" s="28" t="s">
        <v>125</v>
      </c>
      <c r="H199" s="28">
        <v>0</v>
      </c>
      <c r="J199" s="28"/>
    </row>
    <row r="200" spans="1:10" ht="15.75" customHeight="1">
      <c r="A200" s="28">
        <v>19571</v>
      </c>
      <c r="B200" s="91">
        <v>45153.115439814814</v>
      </c>
      <c r="C200" s="28" t="s">
        <v>10</v>
      </c>
      <c r="D200" s="28" t="s">
        <v>192</v>
      </c>
      <c r="E200" s="28" t="s">
        <v>28</v>
      </c>
      <c r="F200" s="28">
        <v>0</v>
      </c>
      <c r="G200" s="28" t="s">
        <v>119</v>
      </c>
      <c r="H200" s="28">
        <v>0</v>
      </c>
      <c r="J200" s="28"/>
    </row>
    <row r="201" spans="1:10" ht="15.75" customHeight="1">
      <c r="A201" s="28">
        <v>19571</v>
      </c>
      <c r="B201" s="91">
        <v>45153.115439814814</v>
      </c>
      <c r="C201" s="28" t="s">
        <v>10</v>
      </c>
      <c r="D201" s="28" t="s">
        <v>192</v>
      </c>
      <c r="E201" s="28" t="s">
        <v>28</v>
      </c>
      <c r="F201" s="28">
        <v>0</v>
      </c>
      <c r="G201" s="28" t="s">
        <v>121</v>
      </c>
      <c r="H201" s="28">
        <v>0</v>
      </c>
      <c r="J201" s="28"/>
    </row>
    <row r="202" spans="1:10" ht="15.75" customHeight="1">
      <c r="A202" s="28">
        <v>19570</v>
      </c>
      <c r="B202" s="91">
        <v>45153.095590277779</v>
      </c>
      <c r="C202" s="28" t="s">
        <v>10</v>
      </c>
      <c r="D202" s="28" t="s">
        <v>193</v>
      </c>
      <c r="E202" s="28" t="s">
        <v>28</v>
      </c>
      <c r="F202" s="28">
        <v>20</v>
      </c>
      <c r="G202" s="28" t="s">
        <v>148</v>
      </c>
      <c r="H202" s="28">
        <v>0</v>
      </c>
      <c r="J202" s="28"/>
    </row>
    <row r="203" spans="1:10" ht="15.75" customHeight="1">
      <c r="A203" s="28">
        <v>19570</v>
      </c>
      <c r="B203" s="91">
        <v>45153.095590277779</v>
      </c>
      <c r="C203" s="28" t="s">
        <v>10</v>
      </c>
      <c r="D203" s="28" t="s">
        <v>193</v>
      </c>
      <c r="E203" s="28" t="s">
        <v>28</v>
      </c>
      <c r="F203" s="28">
        <v>25</v>
      </c>
      <c r="G203" s="28">
        <v>100692</v>
      </c>
      <c r="H203" s="28">
        <v>0</v>
      </c>
      <c r="J203" s="28"/>
    </row>
    <row r="204" spans="1:10" ht="15.75" customHeight="1">
      <c r="A204" s="28">
        <v>19570</v>
      </c>
      <c r="B204" s="91">
        <v>45153.095590277779</v>
      </c>
      <c r="C204" s="28" t="s">
        <v>10</v>
      </c>
      <c r="D204" s="28" t="s">
        <v>193</v>
      </c>
      <c r="E204" s="28" t="s">
        <v>28</v>
      </c>
      <c r="F204" s="28">
        <v>0</v>
      </c>
      <c r="G204" s="28" t="s">
        <v>125</v>
      </c>
      <c r="H204" s="28">
        <v>0</v>
      </c>
      <c r="J204" s="28"/>
    </row>
    <row r="205" spans="1:10" ht="15.75" customHeight="1">
      <c r="A205" s="28">
        <v>19570</v>
      </c>
      <c r="B205" s="91">
        <v>45153.095590277779</v>
      </c>
      <c r="C205" s="28" t="s">
        <v>10</v>
      </c>
      <c r="D205" s="28" t="s">
        <v>193</v>
      </c>
      <c r="E205" s="28" t="s">
        <v>28</v>
      </c>
      <c r="F205" s="28">
        <v>0</v>
      </c>
      <c r="G205" s="28" t="s">
        <v>119</v>
      </c>
      <c r="H205" s="28">
        <v>0</v>
      </c>
      <c r="J205" s="28"/>
    </row>
    <row r="206" spans="1:10" ht="15.75" customHeight="1">
      <c r="A206" s="28">
        <v>19569</v>
      </c>
      <c r="B206" s="91">
        <v>45152.844583333332</v>
      </c>
      <c r="C206" s="28" t="s">
        <v>10</v>
      </c>
      <c r="D206" s="28" t="s">
        <v>194</v>
      </c>
      <c r="E206" s="28" t="s">
        <v>28</v>
      </c>
      <c r="F206" s="28">
        <v>28</v>
      </c>
      <c r="G206" s="28" t="s">
        <v>143</v>
      </c>
      <c r="H206" s="28">
        <v>0</v>
      </c>
      <c r="J206" s="28"/>
    </row>
    <row r="207" spans="1:10" ht="15.75" customHeight="1">
      <c r="A207" s="28">
        <v>19568</v>
      </c>
      <c r="B207" s="91">
        <v>45152.020358796297</v>
      </c>
      <c r="C207" s="28" t="s">
        <v>10</v>
      </c>
      <c r="D207" s="28" t="s">
        <v>195</v>
      </c>
      <c r="E207" s="28" t="s">
        <v>28</v>
      </c>
      <c r="F207" s="28">
        <v>25</v>
      </c>
      <c r="G207" s="28" t="s">
        <v>141</v>
      </c>
      <c r="H207" s="28">
        <v>0</v>
      </c>
      <c r="J207" s="28"/>
    </row>
    <row r="208" spans="1:10" ht="15.75" customHeight="1">
      <c r="A208" s="28">
        <v>19567</v>
      </c>
      <c r="B208" s="91">
        <v>45151.685162037036</v>
      </c>
      <c r="C208" s="28" t="s">
        <v>10</v>
      </c>
      <c r="D208" s="28" t="s">
        <v>196</v>
      </c>
      <c r="E208" s="28" t="s">
        <v>28</v>
      </c>
      <c r="F208" s="28">
        <v>25</v>
      </c>
      <c r="G208" s="28">
        <v>100692</v>
      </c>
      <c r="H208" s="28">
        <v>0</v>
      </c>
      <c r="J208" s="28"/>
    </row>
    <row r="209" spans="1:10" ht="15.75" customHeight="1">
      <c r="A209" s="28">
        <v>19567</v>
      </c>
      <c r="B209" s="91">
        <v>45151.685162037036</v>
      </c>
      <c r="C209" s="28" t="s">
        <v>10</v>
      </c>
      <c r="D209" s="28" t="s">
        <v>196</v>
      </c>
      <c r="E209" s="28" t="s">
        <v>28</v>
      </c>
      <c r="F209" s="28">
        <v>0</v>
      </c>
      <c r="G209" s="28" t="s">
        <v>125</v>
      </c>
      <c r="H209" s="28">
        <v>0</v>
      </c>
      <c r="J209" s="28"/>
    </row>
    <row r="210" spans="1:10" ht="15.75" customHeight="1">
      <c r="A210" s="28">
        <v>19567</v>
      </c>
      <c r="B210" s="91">
        <v>45151.685162037036</v>
      </c>
      <c r="C210" s="28" t="s">
        <v>10</v>
      </c>
      <c r="D210" s="28" t="s">
        <v>196</v>
      </c>
      <c r="E210" s="28" t="s">
        <v>28</v>
      </c>
      <c r="F210" s="28">
        <v>0</v>
      </c>
      <c r="G210" s="28" t="s">
        <v>119</v>
      </c>
      <c r="H210" s="28">
        <v>0</v>
      </c>
      <c r="J210" s="28"/>
    </row>
    <row r="211" spans="1:10" ht="15.75" customHeight="1">
      <c r="A211" s="28">
        <v>19567</v>
      </c>
      <c r="B211" s="91">
        <v>45151.685162037036</v>
      </c>
      <c r="C211" s="28" t="s">
        <v>10</v>
      </c>
      <c r="D211" s="28" t="s">
        <v>196</v>
      </c>
      <c r="E211" s="28" t="s">
        <v>28</v>
      </c>
      <c r="F211" s="28">
        <v>20</v>
      </c>
      <c r="G211" s="28" t="s">
        <v>148</v>
      </c>
      <c r="H211" s="28">
        <v>0</v>
      </c>
      <c r="J211" s="28"/>
    </row>
    <row r="212" spans="1:10" ht="15.75" customHeight="1">
      <c r="A212" s="28">
        <v>19566</v>
      </c>
      <c r="B212" s="91">
        <v>45151.679907407408</v>
      </c>
      <c r="C212" s="28" t="s">
        <v>10</v>
      </c>
      <c r="D212" s="28" t="s">
        <v>197</v>
      </c>
      <c r="E212" s="28" t="s">
        <v>28</v>
      </c>
      <c r="F212" s="28">
        <v>20</v>
      </c>
      <c r="G212" s="28" t="s">
        <v>148</v>
      </c>
      <c r="H212" s="28">
        <v>0</v>
      </c>
      <c r="J212" s="28"/>
    </row>
    <row r="213" spans="1:10" ht="15.75" customHeight="1">
      <c r="A213" s="28">
        <v>19566</v>
      </c>
      <c r="B213" s="91">
        <v>45151.679907407408</v>
      </c>
      <c r="C213" s="28" t="s">
        <v>10</v>
      </c>
      <c r="D213" s="28" t="s">
        <v>197</v>
      </c>
      <c r="E213" s="28" t="s">
        <v>28</v>
      </c>
      <c r="F213" s="28">
        <v>25</v>
      </c>
      <c r="G213" s="28">
        <v>100692</v>
      </c>
      <c r="H213" s="28">
        <v>0</v>
      </c>
      <c r="J213" s="28"/>
    </row>
    <row r="214" spans="1:10" ht="15.75" customHeight="1">
      <c r="A214" s="28">
        <v>19566</v>
      </c>
      <c r="B214" s="91">
        <v>45151.679907407408</v>
      </c>
      <c r="C214" s="28" t="s">
        <v>10</v>
      </c>
      <c r="D214" s="28" t="s">
        <v>197</v>
      </c>
      <c r="E214" s="28" t="s">
        <v>28</v>
      </c>
      <c r="F214" s="28">
        <v>0</v>
      </c>
      <c r="G214" s="28" t="s">
        <v>125</v>
      </c>
      <c r="H214" s="28">
        <v>0</v>
      </c>
      <c r="J214" s="28"/>
    </row>
    <row r="215" spans="1:10" ht="15.75" customHeight="1">
      <c r="A215" s="28">
        <v>19566</v>
      </c>
      <c r="B215" s="91">
        <v>45151.679907407408</v>
      </c>
      <c r="C215" s="28" t="s">
        <v>10</v>
      </c>
      <c r="D215" s="28" t="s">
        <v>197</v>
      </c>
      <c r="E215" s="28" t="s">
        <v>28</v>
      </c>
      <c r="F215" s="28">
        <v>0</v>
      </c>
      <c r="G215" s="28" t="s">
        <v>119</v>
      </c>
      <c r="H215" s="28">
        <v>0</v>
      </c>
      <c r="J215" s="28"/>
    </row>
    <row r="216" spans="1:10" ht="15.75" customHeight="1">
      <c r="A216" s="28">
        <v>19565</v>
      </c>
      <c r="B216" s="91">
        <v>45151.576192129629</v>
      </c>
      <c r="C216" s="28" t="s">
        <v>10</v>
      </c>
      <c r="D216" s="28" t="s">
        <v>198</v>
      </c>
      <c r="E216" s="28" t="s">
        <v>28</v>
      </c>
      <c r="F216" s="28">
        <v>35</v>
      </c>
      <c r="G216" s="28" t="s">
        <v>124</v>
      </c>
      <c r="H216" s="28">
        <v>0</v>
      </c>
      <c r="J216" s="28"/>
    </row>
    <row r="217" spans="1:10" ht="15.75" customHeight="1">
      <c r="A217" s="28">
        <v>19565</v>
      </c>
      <c r="B217" s="91">
        <v>45151.576192129629</v>
      </c>
      <c r="C217" s="28" t="s">
        <v>10</v>
      </c>
      <c r="D217" s="28" t="s">
        <v>198</v>
      </c>
      <c r="E217" s="28" t="s">
        <v>28</v>
      </c>
      <c r="F217" s="28">
        <v>0</v>
      </c>
      <c r="G217" s="28" t="s">
        <v>125</v>
      </c>
      <c r="H217" s="28">
        <v>0</v>
      </c>
      <c r="J217" s="28"/>
    </row>
    <row r="218" spans="1:10" ht="15.75" customHeight="1">
      <c r="A218" s="28">
        <v>19565</v>
      </c>
      <c r="B218" s="91">
        <v>45151.576192129629</v>
      </c>
      <c r="C218" s="28" t="s">
        <v>10</v>
      </c>
      <c r="D218" s="28" t="s">
        <v>198</v>
      </c>
      <c r="E218" s="28" t="s">
        <v>28</v>
      </c>
      <c r="F218" s="28">
        <v>0</v>
      </c>
      <c r="G218" s="28" t="s">
        <v>119</v>
      </c>
      <c r="H218" s="28">
        <v>0</v>
      </c>
      <c r="J218" s="28"/>
    </row>
    <row r="219" spans="1:10" ht="15.75" customHeight="1">
      <c r="A219" s="28">
        <v>19565</v>
      </c>
      <c r="B219" s="91">
        <v>45151.576192129629</v>
      </c>
      <c r="C219" s="28" t="s">
        <v>10</v>
      </c>
      <c r="D219" s="28" t="s">
        <v>198</v>
      </c>
      <c r="E219" s="28" t="s">
        <v>28</v>
      </c>
      <c r="F219" s="28">
        <v>0</v>
      </c>
      <c r="G219" s="28" t="s">
        <v>121</v>
      </c>
      <c r="H219" s="28">
        <v>0</v>
      </c>
      <c r="J219" s="28"/>
    </row>
    <row r="220" spans="1:10" ht="15.75" customHeight="1">
      <c r="A220" s="28">
        <v>19565</v>
      </c>
      <c r="B220" s="91">
        <v>45151.576192129629</v>
      </c>
      <c r="C220" s="28" t="s">
        <v>10</v>
      </c>
      <c r="D220" s="28" t="s">
        <v>198</v>
      </c>
      <c r="E220" s="28" t="s">
        <v>28</v>
      </c>
      <c r="F220" s="28">
        <v>28</v>
      </c>
      <c r="G220" s="28" t="s">
        <v>143</v>
      </c>
      <c r="H220" s="28">
        <v>0</v>
      </c>
      <c r="J220" s="28"/>
    </row>
    <row r="221" spans="1:10" ht="15.75" customHeight="1">
      <c r="A221" s="28">
        <v>19565</v>
      </c>
      <c r="B221" s="91">
        <v>45151.576192129629</v>
      </c>
      <c r="C221" s="28" t="s">
        <v>10</v>
      </c>
      <c r="D221" s="28" t="s">
        <v>198</v>
      </c>
      <c r="E221" s="28" t="s">
        <v>28</v>
      </c>
      <c r="F221" s="28">
        <v>0</v>
      </c>
      <c r="G221" s="28" t="s">
        <v>117</v>
      </c>
      <c r="H221" s="28">
        <v>0</v>
      </c>
      <c r="J221" s="28"/>
    </row>
    <row r="222" spans="1:10" ht="15.75" customHeight="1">
      <c r="A222" s="28">
        <v>19564</v>
      </c>
      <c r="B222" s="91">
        <v>45151.572696759264</v>
      </c>
      <c r="C222" s="28" t="s">
        <v>10</v>
      </c>
      <c r="D222" s="28" t="s">
        <v>199</v>
      </c>
      <c r="E222" s="28" t="s">
        <v>28</v>
      </c>
      <c r="F222" s="28">
        <v>28</v>
      </c>
      <c r="G222" s="28" t="s">
        <v>143</v>
      </c>
      <c r="H222" s="28">
        <v>0</v>
      </c>
      <c r="J222" s="28"/>
    </row>
    <row r="223" spans="1:10" ht="15.75" customHeight="1">
      <c r="A223" s="28">
        <v>19564</v>
      </c>
      <c r="B223" s="91">
        <v>45151.572696759264</v>
      </c>
      <c r="C223" s="28" t="s">
        <v>10</v>
      </c>
      <c r="D223" s="28" t="s">
        <v>199</v>
      </c>
      <c r="E223" s="28" t="s">
        <v>28</v>
      </c>
      <c r="F223" s="28">
        <v>35</v>
      </c>
      <c r="G223" s="28" t="s">
        <v>124</v>
      </c>
      <c r="H223" s="28">
        <v>0</v>
      </c>
      <c r="J223" s="28"/>
    </row>
    <row r="224" spans="1:10" ht="15.75" customHeight="1">
      <c r="A224" s="28">
        <v>19564</v>
      </c>
      <c r="B224" s="91">
        <v>45151.572696759264</v>
      </c>
      <c r="C224" s="28" t="s">
        <v>10</v>
      </c>
      <c r="D224" s="28" t="s">
        <v>199</v>
      </c>
      <c r="E224" s="28" t="s">
        <v>28</v>
      </c>
      <c r="F224" s="28">
        <v>0</v>
      </c>
      <c r="G224" s="28" t="s">
        <v>125</v>
      </c>
      <c r="H224" s="28">
        <v>0</v>
      </c>
      <c r="J224" s="28"/>
    </row>
    <row r="225" spans="1:10" ht="15.75" customHeight="1">
      <c r="A225" s="28">
        <v>19564</v>
      </c>
      <c r="B225" s="91">
        <v>45151.572696759264</v>
      </c>
      <c r="C225" s="28" t="s">
        <v>10</v>
      </c>
      <c r="D225" s="28" t="s">
        <v>199</v>
      </c>
      <c r="E225" s="28" t="s">
        <v>28</v>
      </c>
      <c r="F225" s="28">
        <v>0</v>
      </c>
      <c r="G225" s="28" t="s">
        <v>119</v>
      </c>
      <c r="H225" s="28">
        <v>0</v>
      </c>
      <c r="J225" s="28"/>
    </row>
    <row r="226" spans="1:10" ht="15.75" customHeight="1">
      <c r="A226" s="28">
        <v>19564</v>
      </c>
      <c r="B226" s="91">
        <v>45151.572696759264</v>
      </c>
      <c r="C226" s="28" t="s">
        <v>10</v>
      </c>
      <c r="D226" s="28" t="s">
        <v>199</v>
      </c>
      <c r="E226" s="28" t="s">
        <v>28</v>
      </c>
      <c r="F226" s="28">
        <v>0</v>
      </c>
      <c r="G226" s="28" t="s">
        <v>121</v>
      </c>
      <c r="H226" s="28">
        <v>0</v>
      </c>
      <c r="J226" s="28"/>
    </row>
    <row r="227" spans="1:10" ht="15.75" customHeight="1">
      <c r="A227" s="28">
        <v>19564</v>
      </c>
      <c r="B227" s="91">
        <v>45151.572696759264</v>
      </c>
      <c r="C227" s="28" t="s">
        <v>10</v>
      </c>
      <c r="D227" s="28" t="s">
        <v>199</v>
      </c>
      <c r="E227" s="28" t="s">
        <v>28</v>
      </c>
      <c r="F227" s="28">
        <v>0</v>
      </c>
      <c r="G227" s="28" t="s">
        <v>117</v>
      </c>
      <c r="H227" s="28">
        <v>0</v>
      </c>
      <c r="J227" s="28"/>
    </row>
    <row r="228" spans="1:10" ht="15.75" customHeight="1">
      <c r="A228" s="28">
        <v>19563</v>
      </c>
      <c r="B228" s="91">
        <v>45150.916018518517</v>
      </c>
      <c r="C228" s="28" t="s">
        <v>10</v>
      </c>
      <c r="D228" s="28" t="s">
        <v>200</v>
      </c>
      <c r="E228" s="28" t="s">
        <v>28</v>
      </c>
      <c r="F228" s="28">
        <v>25</v>
      </c>
      <c r="G228" s="28">
        <v>100692</v>
      </c>
      <c r="H228" s="28">
        <v>0</v>
      </c>
      <c r="J228" s="28"/>
    </row>
    <row r="229" spans="1:10" ht="15.75" customHeight="1">
      <c r="A229" s="28">
        <v>19563</v>
      </c>
      <c r="B229" s="91">
        <v>45150.916018518517</v>
      </c>
      <c r="C229" s="28" t="s">
        <v>10</v>
      </c>
      <c r="D229" s="28" t="s">
        <v>200</v>
      </c>
      <c r="E229" s="28" t="s">
        <v>28</v>
      </c>
      <c r="F229" s="28">
        <v>0</v>
      </c>
      <c r="G229" s="28" t="s">
        <v>125</v>
      </c>
      <c r="H229" s="28">
        <v>0</v>
      </c>
      <c r="J229" s="28"/>
    </row>
    <row r="230" spans="1:10" ht="15.75" customHeight="1">
      <c r="A230" s="28">
        <v>19563</v>
      </c>
      <c r="B230" s="91">
        <v>45150.916018518517</v>
      </c>
      <c r="C230" s="28" t="s">
        <v>10</v>
      </c>
      <c r="D230" s="28" t="s">
        <v>200</v>
      </c>
      <c r="E230" s="28" t="s">
        <v>28</v>
      </c>
      <c r="F230" s="28">
        <v>0</v>
      </c>
      <c r="G230" s="28" t="s">
        <v>119</v>
      </c>
      <c r="H230" s="28">
        <v>0</v>
      </c>
      <c r="J230" s="28"/>
    </row>
    <row r="231" spans="1:10" ht="15.75" customHeight="1">
      <c r="A231" s="28">
        <v>19562</v>
      </c>
      <c r="B231" s="91">
        <v>45150.666805555556</v>
      </c>
      <c r="C231" s="28" t="s">
        <v>10</v>
      </c>
      <c r="D231" s="28" t="s">
        <v>201</v>
      </c>
      <c r="E231" s="28" t="s">
        <v>28</v>
      </c>
      <c r="F231" s="28">
        <v>28</v>
      </c>
      <c r="G231" s="28" t="s">
        <v>143</v>
      </c>
      <c r="H231" s="28">
        <v>0</v>
      </c>
      <c r="J231" s="28"/>
    </row>
    <row r="232" spans="1:10" ht="15.75" customHeight="1">
      <c r="A232" s="28">
        <v>19562</v>
      </c>
      <c r="B232" s="91">
        <v>45150.666805555556</v>
      </c>
      <c r="C232" s="28" t="s">
        <v>10</v>
      </c>
      <c r="D232" s="28" t="s">
        <v>201</v>
      </c>
      <c r="E232" s="28" t="s">
        <v>28</v>
      </c>
      <c r="F232" s="28">
        <v>26</v>
      </c>
      <c r="G232" s="28" t="s">
        <v>122</v>
      </c>
      <c r="H232" s="28">
        <v>0</v>
      </c>
      <c r="J232" s="28"/>
    </row>
    <row r="233" spans="1:10" ht="15.75" customHeight="1">
      <c r="A233" s="28">
        <v>19562</v>
      </c>
      <c r="B233" s="91">
        <v>45150.666805555556</v>
      </c>
      <c r="C233" s="28" t="s">
        <v>10</v>
      </c>
      <c r="D233" s="28" t="s">
        <v>201</v>
      </c>
      <c r="E233" s="28" t="s">
        <v>28</v>
      </c>
      <c r="F233" s="28">
        <v>20</v>
      </c>
      <c r="G233" s="28" t="s">
        <v>148</v>
      </c>
      <c r="H233" s="28">
        <v>0</v>
      </c>
      <c r="J233" s="28"/>
    </row>
    <row r="234" spans="1:10" ht="15.75" customHeight="1">
      <c r="A234" s="28">
        <v>19562</v>
      </c>
      <c r="B234" s="91">
        <v>45150.666805555556</v>
      </c>
      <c r="C234" s="28" t="s">
        <v>10</v>
      </c>
      <c r="D234" s="28" t="s">
        <v>201</v>
      </c>
      <c r="E234" s="28" t="s">
        <v>28</v>
      </c>
      <c r="F234" s="28">
        <v>15</v>
      </c>
      <c r="G234" s="28" t="s">
        <v>170</v>
      </c>
      <c r="H234" s="28">
        <v>0</v>
      </c>
      <c r="J234" s="28"/>
    </row>
    <row r="235" spans="1:10" ht="15.75" customHeight="1">
      <c r="A235" s="28">
        <v>19562</v>
      </c>
      <c r="B235" s="91">
        <v>45150.666805555556</v>
      </c>
      <c r="C235" s="28" t="s">
        <v>10</v>
      </c>
      <c r="D235" s="28" t="s">
        <v>201</v>
      </c>
      <c r="E235" s="28" t="s">
        <v>28</v>
      </c>
      <c r="F235" s="28">
        <v>18</v>
      </c>
      <c r="G235" s="28" t="s">
        <v>119</v>
      </c>
      <c r="H235" s="28">
        <v>0</v>
      </c>
      <c r="J235" s="28"/>
    </row>
    <row r="236" spans="1:10" ht="15.75" customHeight="1">
      <c r="A236" s="28">
        <v>19562</v>
      </c>
      <c r="B236" s="91">
        <v>45150.666805555556</v>
      </c>
      <c r="C236" s="28" t="s">
        <v>10</v>
      </c>
      <c r="D236" s="28" t="s">
        <v>201</v>
      </c>
      <c r="E236" s="28" t="s">
        <v>28</v>
      </c>
      <c r="F236" s="28">
        <v>25</v>
      </c>
      <c r="G236" s="28" t="s">
        <v>120</v>
      </c>
      <c r="H236" s="28">
        <v>0</v>
      </c>
      <c r="J236" s="28"/>
    </row>
    <row r="237" spans="1:10" ht="15.75" customHeight="1">
      <c r="A237" s="28">
        <v>19561</v>
      </c>
      <c r="B237" s="91">
        <v>45150.120624999996</v>
      </c>
      <c r="C237" s="28" t="s">
        <v>10</v>
      </c>
      <c r="D237" s="28" t="s">
        <v>202</v>
      </c>
      <c r="E237" s="28" t="s">
        <v>28</v>
      </c>
      <c r="F237" s="28">
        <v>20</v>
      </c>
      <c r="G237" s="28" t="s">
        <v>121</v>
      </c>
      <c r="H237" s="28">
        <v>0</v>
      </c>
      <c r="J237" s="28"/>
    </row>
    <row r="238" spans="1:10" ht="15.75" customHeight="1">
      <c r="A238" s="28">
        <v>19560</v>
      </c>
      <c r="B238" s="91">
        <v>45150.117604166662</v>
      </c>
      <c r="C238" s="28" t="s">
        <v>8</v>
      </c>
      <c r="D238" s="28" t="s">
        <v>203</v>
      </c>
      <c r="E238" s="28" t="s">
        <v>28</v>
      </c>
      <c r="F238" s="28">
        <v>20</v>
      </c>
      <c r="G238" s="28" t="s">
        <v>121</v>
      </c>
      <c r="H238" s="28">
        <v>0</v>
      </c>
      <c r="J238" s="28"/>
    </row>
    <row r="239" spans="1:10" ht="15.75" customHeight="1">
      <c r="A239" s="28">
        <v>19559</v>
      </c>
      <c r="B239" s="91">
        <v>45149.944456018522</v>
      </c>
      <c r="C239" s="28" t="s">
        <v>10</v>
      </c>
      <c r="D239" s="28" t="s">
        <v>204</v>
      </c>
      <c r="E239" s="28" t="s">
        <v>28</v>
      </c>
      <c r="F239" s="28">
        <v>20</v>
      </c>
      <c r="G239" s="28" t="s">
        <v>205</v>
      </c>
      <c r="H239" s="28">
        <v>0</v>
      </c>
      <c r="J239" s="28"/>
    </row>
    <row r="240" spans="1:10" ht="15.75" customHeight="1">
      <c r="A240" s="28">
        <v>19559</v>
      </c>
      <c r="B240" s="91">
        <v>45149.944456018522</v>
      </c>
      <c r="C240" s="28" t="s">
        <v>10</v>
      </c>
      <c r="D240" s="28" t="s">
        <v>204</v>
      </c>
      <c r="E240" s="28" t="s">
        <v>28</v>
      </c>
      <c r="F240" s="28">
        <v>0</v>
      </c>
      <c r="G240" s="28" t="s">
        <v>125</v>
      </c>
      <c r="H240" s="28">
        <v>0</v>
      </c>
      <c r="J240" s="28"/>
    </row>
    <row r="241" spans="1:10" ht="15.75" customHeight="1">
      <c r="A241" s="28">
        <v>19559</v>
      </c>
      <c r="B241" s="91">
        <v>45149.944456018522</v>
      </c>
      <c r="C241" s="28" t="s">
        <v>10</v>
      </c>
      <c r="D241" s="28" t="s">
        <v>204</v>
      </c>
      <c r="E241" s="28" t="s">
        <v>28</v>
      </c>
      <c r="F241" s="28">
        <v>0</v>
      </c>
      <c r="G241" s="28" t="s">
        <v>117</v>
      </c>
      <c r="H241" s="28">
        <v>0</v>
      </c>
      <c r="J241" s="28"/>
    </row>
    <row r="242" spans="1:10" ht="15.75" customHeight="1">
      <c r="A242" s="28">
        <v>19558</v>
      </c>
      <c r="B242" s="91">
        <v>45149.941747685181</v>
      </c>
      <c r="C242" s="28" t="s">
        <v>10</v>
      </c>
      <c r="D242" s="28" t="s">
        <v>206</v>
      </c>
      <c r="E242" s="28" t="s">
        <v>28</v>
      </c>
      <c r="F242" s="28">
        <v>35</v>
      </c>
      <c r="G242" s="28" t="s">
        <v>124</v>
      </c>
      <c r="H242" s="28">
        <v>0</v>
      </c>
      <c r="J242" s="28"/>
    </row>
    <row r="243" spans="1:10" ht="15.75" customHeight="1">
      <c r="A243" s="28">
        <v>19558</v>
      </c>
      <c r="B243" s="91">
        <v>45149.941747685181</v>
      </c>
      <c r="C243" s="28" t="s">
        <v>10</v>
      </c>
      <c r="D243" s="28" t="s">
        <v>206</v>
      </c>
      <c r="E243" s="28" t="s">
        <v>28</v>
      </c>
      <c r="F243" s="28">
        <v>0</v>
      </c>
      <c r="G243" s="28" t="s">
        <v>125</v>
      </c>
      <c r="H243" s="28">
        <v>0</v>
      </c>
      <c r="J243" s="28"/>
    </row>
    <row r="244" spans="1:10" ht="15.75" customHeight="1">
      <c r="A244" s="28">
        <v>19558</v>
      </c>
      <c r="B244" s="91">
        <v>45149.941747685181</v>
      </c>
      <c r="C244" s="28" t="s">
        <v>10</v>
      </c>
      <c r="D244" s="28" t="s">
        <v>206</v>
      </c>
      <c r="E244" s="28" t="s">
        <v>28</v>
      </c>
      <c r="F244" s="28">
        <v>0</v>
      </c>
      <c r="G244" s="28" t="s">
        <v>119</v>
      </c>
      <c r="H244" s="28">
        <v>0</v>
      </c>
      <c r="J244" s="28"/>
    </row>
    <row r="245" spans="1:10" ht="15.75" customHeight="1">
      <c r="A245" s="28">
        <v>19558</v>
      </c>
      <c r="B245" s="91">
        <v>45149.941747685181</v>
      </c>
      <c r="C245" s="28" t="s">
        <v>10</v>
      </c>
      <c r="D245" s="28" t="s">
        <v>206</v>
      </c>
      <c r="E245" s="28" t="s">
        <v>28</v>
      </c>
      <c r="F245" s="28">
        <v>0</v>
      </c>
      <c r="G245" s="28" t="s">
        <v>121</v>
      </c>
      <c r="H245" s="28">
        <v>0</v>
      </c>
      <c r="J245" s="28"/>
    </row>
    <row r="246" spans="1:10" ht="15.75" customHeight="1">
      <c r="A246" s="28">
        <v>19551</v>
      </c>
      <c r="B246" s="91">
        <v>45149.666446759264</v>
      </c>
      <c r="C246" s="28" t="s">
        <v>10</v>
      </c>
      <c r="D246" s="28" t="s">
        <v>207</v>
      </c>
      <c r="E246" s="28" t="s">
        <v>28</v>
      </c>
      <c r="F246" s="28">
        <v>35</v>
      </c>
      <c r="G246" s="28" t="s">
        <v>124</v>
      </c>
      <c r="H246" s="28">
        <v>0</v>
      </c>
      <c r="J246" s="28"/>
    </row>
    <row r="247" spans="1:10" ht="15.75" customHeight="1">
      <c r="A247" s="28">
        <v>19551</v>
      </c>
      <c r="B247" s="91">
        <v>45149.666446759264</v>
      </c>
      <c r="C247" s="28" t="s">
        <v>10</v>
      </c>
      <c r="D247" s="28" t="s">
        <v>207</v>
      </c>
      <c r="E247" s="28" t="s">
        <v>28</v>
      </c>
      <c r="F247" s="28">
        <v>0</v>
      </c>
      <c r="G247" s="28" t="s">
        <v>125</v>
      </c>
      <c r="H247" s="28">
        <v>0</v>
      </c>
      <c r="J247" s="28"/>
    </row>
    <row r="248" spans="1:10" ht="15.75" customHeight="1">
      <c r="A248" s="28">
        <v>19551</v>
      </c>
      <c r="B248" s="91">
        <v>45149.666446759264</v>
      </c>
      <c r="C248" s="28" t="s">
        <v>10</v>
      </c>
      <c r="D248" s="28" t="s">
        <v>207</v>
      </c>
      <c r="E248" s="28" t="s">
        <v>28</v>
      </c>
      <c r="F248" s="28">
        <v>0</v>
      </c>
      <c r="G248" s="28" t="s">
        <v>119</v>
      </c>
      <c r="H248" s="28">
        <v>0</v>
      </c>
      <c r="J248" s="28"/>
    </row>
    <row r="249" spans="1:10" ht="15.75" customHeight="1">
      <c r="A249" s="28">
        <v>19551</v>
      </c>
      <c r="B249" s="91">
        <v>45149.666446759264</v>
      </c>
      <c r="C249" s="28" t="s">
        <v>10</v>
      </c>
      <c r="D249" s="28" t="s">
        <v>207</v>
      </c>
      <c r="E249" s="28" t="s">
        <v>28</v>
      </c>
      <c r="F249" s="28">
        <v>0</v>
      </c>
      <c r="G249" s="28" t="s">
        <v>121</v>
      </c>
      <c r="H249" s="28">
        <v>0</v>
      </c>
      <c r="J249" s="28"/>
    </row>
    <row r="250" spans="1:10" ht="15.75" customHeight="1">
      <c r="A250" s="28">
        <v>19548</v>
      </c>
      <c r="B250" s="91">
        <v>45148.804201388892</v>
      </c>
      <c r="C250" s="28" t="s">
        <v>10</v>
      </c>
      <c r="D250" s="28" t="s">
        <v>208</v>
      </c>
      <c r="E250" s="28" t="s">
        <v>28</v>
      </c>
      <c r="F250" s="28">
        <v>28</v>
      </c>
      <c r="G250" s="28" t="s">
        <v>143</v>
      </c>
      <c r="H250" s="28">
        <v>0</v>
      </c>
      <c r="J250" s="28"/>
    </row>
    <row r="251" spans="1:10" ht="15.75" customHeight="1">
      <c r="A251" s="28">
        <v>19547</v>
      </c>
      <c r="B251" s="91">
        <v>45148.115393518514</v>
      </c>
      <c r="C251" s="28" t="s">
        <v>10</v>
      </c>
      <c r="D251" s="28" t="s">
        <v>209</v>
      </c>
      <c r="E251" s="28" t="s">
        <v>59</v>
      </c>
      <c r="F251" s="28">
        <v>28</v>
      </c>
      <c r="G251" s="28" t="s">
        <v>143</v>
      </c>
      <c r="H251" s="28">
        <v>0</v>
      </c>
      <c r="J251" s="28"/>
    </row>
    <row r="252" spans="1:10" ht="15.75" customHeight="1">
      <c r="A252" s="28">
        <v>19546</v>
      </c>
      <c r="B252" s="91">
        <v>45148.019583333335</v>
      </c>
      <c r="C252" s="28" t="s">
        <v>10</v>
      </c>
      <c r="D252" s="28" t="s">
        <v>210</v>
      </c>
      <c r="E252" s="28" t="s">
        <v>28</v>
      </c>
      <c r="F252" s="28">
        <v>20</v>
      </c>
      <c r="G252" s="28" t="s">
        <v>148</v>
      </c>
      <c r="H252" s="28">
        <v>0</v>
      </c>
      <c r="J252" s="28"/>
    </row>
    <row r="253" spans="1:10" ht="15.75" customHeight="1">
      <c r="A253" s="28">
        <v>19545</v>
      </c>
      <c r="B253" s="91">
        <v>45147.953263888892</v>
      </c>
      <c r="C253" s="28" t="s">
        <v>10</v>
      </c>
      <c r="D253" s="28" t="s">
        <v>211</v>
      </c>
      <c r="E253" s="28" t="s">
        <v>28</v>
      </c>
      <c r="F253" s="28">
        <v>25</v>
      </c>
      <c r="G253" s="28" t="s">
        <v>141</v>
      </c>
      <c r="H253" s="28">
        <v>0</v>
      </c>
      <c r="J253" s="28"/>
    </row>
    <row r="254" spans="1:10" ht="15.75" customHeight="1">
      <c r="A254" s="28">
        <v>19544</v>
      </c>
      <c r="B254" s="91">
        <v>45147.932152777779</v>
      </c>
      <c r="C254" s="28" t="s">
        <v>10</v>
      </c>
      <c r="D254" s="28" t="s">
        <v>212</v>
      </c>
      <c r="E254" s="28" t="s">
        <v>28</v>
      </c>
      <c r="F254" s="28">
        <v>20</v>
      </c>
      <c r="G254" s="28" t="s">
        <v>205</v>
      </c>
      <c r="H254" s="28">
        <v>0</v>
      </c>
      <c r="J254" s="28"/>
    </row>
    <row r="255" spans="1:10" ht="15.75" customHeight="1">
      <c r="A255" s="28">
        <v>19544</v>
      </c>
      <c r="B255" s="91">
        <v>45147.932152777779</v>
      </c>
      <c r="C255" s="28" t="s">
        <v>10</v>
      </c>
      <c r="D255" s="28" t="s">
        <v>212</v>
      </c>
      <c r="E255" s="28" t="s">
        <v>28</v>
      </c>
      <c r="F255" s="28">
        <v>0</v>
      </c>
      <c r="G255" s="28" t="s">
        <v>125</v>
      </c>
      <c r="H255" s="28">
        <v>0</v>
      </c>
      <c r="J255" s="28"/>
    </row>
    <row r="256" spans="1:10" ht="15.75" customHeight="1">
      <c r="A256" s="28">
        <v>19544</v>
      </c>
      <c r="B256" s="91">
        <v>45147.932152777779</v>
      </c>
      <c r="C256" s="28" t="s">
        <v>10</v>
      </c>
      <c r="D256" s="28" t="s">
        <v>212</v>
      </c>
      <c r="E256" s="28" t="s">
        <v>28</v>
      </c>
      <c r="F256" s="28">
        <v>25</v>
      </c>
      <c r="G256" s="28" t="s">
        <v>141</v>
      </c>
      <c r="H256" s="28">
        <v>0</v>
      </c>
      <c r="J256" s="28"/>
    </row>
    <row r="257" spans="1:10" ht="15.75" customHeight="1">
      <c r="A257" s="28">
        <v>19543</v>
      </c>
      <c r="B257" s="91">
        <v>45147.609467592592</v>
      </c>
      <c r="C257" s="28" t="s">
        <v>10</v>
      </c>
      <c r="D257" s="28" t="s">
        <v>213</v>
      </c>
      <c r="E257" s="28" t="s">
        <v>28</v>
      </c>
      <c r="F257" s="28">
        <v>30</v>
      </c>
      <c r="G257" s="28" t="s">
        <v>125</v>
      </c>
      <c r="H257" s="28">
        <v>0</v>
      </c>
      <c r="J257" s="28"/>
    </row>
    <row r="258" spans="1:10" ht="15.75" customHeight="1">
      <c r="A258" s="28">
        <v>19542</v>
      </c>
      <c r="B258" s="91">
        <v>45147.607858796298</v>
      </c>
      <c r="C258" s="28" t="s">
        <v>10</v>
      </c>
      <c r="D258" s="28" t="s">
        <v>214</v>
      </c>
      <c r="E258" s="28" t="s">
        <v>28</v>
      </c>
      <c r="F258" s="28">
        <v>30</v>
      </c>
      <c r="G258" s="28" t="s">
        <v>125</v>
      </c>
      <c r="H258" s="28">
        <v>0</v>
      </c>
      <c r="J258" s="28"/>
    </row>
    <row r="259" spans="1:10" ht="15.75" customHeight="1">
      <c r="A259" s="28">
        <v>19541</v>
      </c>
      <c r="B259" s="91">
        <v>45146.706921296296</v>
      </c>
      <c r="C259" s="28" t="s">
        <v>8</v>
      </c>
      <c r="D259" s="28" t="s">
        <v>215</v>
      </c>
      <c r="E259" s="28" t="s">
        <v>28</v>
      </c>
      <c r="F259" s="28">
        <v>20</v>
      </c>
      <c r="G259" s="28" t="s">
        <v>148</v>
      </c>
      <c r="H259" s="28">
        <v>0</v>
      </c>
      <c r="J259" s="28"/>
    </row>
    <row r="260" spans="1:10" ht="15.75" customHeight="1">
      <c r="A260" s="28">
        <v>19540</v>
      </c>
      <c r="B260" s="91">
        <v>45146.168599537035</v>
      </c>
      <c r="C260" s="28" t="s">
        <v>10</v>
      </c>
      <c r="D260" s="28" t="s">
        <v>216</v>
      </c>
      <c r="E260" s="28" t="s">
        <v>28</v>
      </c>
      <c r="F260" s="28">
        <v>35</v>
      </c>
      <c r="G260" s="28" t="s">
        <v>124</v>
      </c>
      <c r="H260" s="28">
        <v>0</v>
      </c>
      <c r="J260" s="28"/>
    </row>
    <row r="261" spans="1:10" ht="15.75" customHeight="1">
      <c r="A261" s="28">
        <v>19540</v>
      </c>
      <c r="B261" s="91">
        <v>45146.168599537035</v>
      </c>
      <c r="C261" s="28" t="s">
        <v>10</v>
      </c>
      <c r="D261" s="28" t="s">
        <v>216</v>
      </c>
      <c r="E261" s="28" t="s">
        <v>28</v>
      </c>
      <c r="F261" s="28">
        <v>0</v>
      </c>
      <c r="G261" s="28" t="s">
        <v>125</v>
      </c>
      <c r="H261" s="28">
        <v>0</v>
      </c>
      <c r="J261" s="28"/>
    </row>
    <row r="262" spans="1:10" ht="15.75" customHeight="1">
      <c r="A262" s="28">
        <v>19540</v>
      </c>
      <c r="B262" s="91">
        <v>45146.168599537035</v>
      </c>
      <c r="C262" s="28" t="s">
        <v>10</v>
      </c>
      <c r="D262" s="28" t="s">
        <v>216</v>
      </c>
      <c r="E262" s="28" t="s">
        <v>28</v>
      </c>
      <c r="F262" s="28">
        <v>0</v>
      </c>
      <c r="G262" s="28" t="s">
        <v>119</v>
      </c>
      <c r="H262" s="28">
        <v>0</v>
      </c>
      <c r="J262" s="28"/>
    </row>
    <row r="263" spans="1:10" ht="15.75" customHeight="1">
      <c r="A263" s="28">
        <v>19540</v>
      </c>
      <c r="B263" s="91">
        <v>45146.168599537035</v>
      </c>
      <c r="C263" s="28" t="s">
        <v>10</v>
      </c>
      <c r="D263" s="28" t="s">
        <v>216</v>
      </c>
      <c r="E263" s="28" t="s">
        <v>28</v>
      </c>
      <c r="F263" s="28">
        <v>0</v>
      </c>
      <c r="G263" s="28" t="s">
        <v>121</v>
      </c>
      <c r="H263" s="28">
        <v>0</v>
      </c>
      <c r="J263" s="28"/>
    </row>
    <row r="264" spans="1:10" ht="15.75" customHeight="1">
      <c r="A264" s="28">
        <v>19539</v>
      </c>
      <c r="B264" s="91">
        <v>45146.166863425926</v>
      </c>
      <c r="C264" s="28" t="s">
        <v>10</v>
      </c>
      <c r="D264" s="28" t="s">
        <v>217</v>
      </c>
      <c r="E264" s="28" t="s">
        <v>28</v>
      </c>
      <c r="F264" s="28">
        <v>35</v>
      </c>
      <c r="G264" s="28" t="s">
        <v>124</v>
      </c>
      <c r="H264" s="28">
        <v>0</v>
      </c>
      <c r="J264" s="28"/>
    </row>
    <row r="265" spans="1:10" ht="15.75" customHeight="1">
      <c r="A265" s="28">
        <v>19539</v>
      </c>
      <c r="B265" s="91">
        <v>45146.166863425926</v>
      </c>
      <c r="C265" s="28" t="s">
        <v>10</v>
      </c>
      <c r="D265" s="28" t="s">
        <v>217</v>
      </c>
      <c r="E265" s="28" t="s">
        <v>28</v>
      </c>
      <c r="F265" s="28">
        <v>0</v>
      </c>
      <c r="G265" s="28" t="s">
        <v>125</v>
      </c>
      <c r="H265" s="28">
        <v>0</v>
      </c>
      <c r="J265" s="28"/>
    </row>
    <row r="266" spans="1:10" ht="15.75" customHeight="1">
      <c r="A266" s="28">
        <v>19539</v>
      </c>
      <c r="B266" s="91">
        <v>45146.166863425926</v>
      </c>
      <c r="C266" s="28" t="s">
        <v>10</v>
      </c>
      <c r="D266" s="28" t="s">
        <v>217</v>
      </c>
      <c r="E266" s="28" t="s">
        <v>28</v>
      </c>
      <c r="F266" s="28">
        <v>0</v>
      </c>
      <c r="G266" s="28" t="s">
        <v>119</v>
      </c>
      <c r="H266" s="28">
        <v>0</v>
      </c>
      <c r="J266" s="28"/>
    </row>
    <row r="267" spans="1:10" ht="15.75" customHeight="1">
      <c r="A267" s="28">
        <v>19539</v>
      </c>
      <c r="B267" s="91">
        <v>45146.166863425926</v>
      </c>
      <c r="C267" s="28" t="s">
        <v>10</v>
      </c>
      <c r="D267" s="28" t="s">
        <v>217</v>
      </c>
      <c r="E267" s="28" t="s">
        <v>28</v>
      </c>
      <c r="F267" s="28">
        <v>0</v>
      </c>
      <c r="G267" s="28" t="s">
        <v>121</v>
      </c>
      <c r="H267" s="28">
        <v>0</v>
      </c>
      <c r="J267" s="28"/>
    </row>
    <row r="268" spans="1:10" ht="15.75" customHeight="1">
      <c r="A268" s="28">
        <v>19539</v>
      </c>
      <c r="B268" s="91">
        <v>45146.166863425926</v>
      </c>
      <c r="C268" s="28" t="s">
        <v>10</v>
      </c>
      <c r="D268" s="28" t="s">
        <v>217</v>
      </c>
      <c r="E268" s="28" t="s">
        <v>28</v>
      </c>
      <c r="F268" s="28">
        <v>20</v>
      </c>
      <c r="G268" s="28" t="s">
        <v>205</v>
      </c>
      <c r="H268" s="28">
        <v>0</v>
      </c>
      <c r="J268" s="28"/>
    </row>
    <row r="269" spans="1:10" ht="15.75" customHeight="1">
      <c r="A269" s="28">
        <v>19539</v>
      </c>
      <c r="B269" s="91">
        <v>45146.166863425926</v>
      </c>
      <c r="C269" s="28" t="s">
        <v>10</v>
      </c>
      <c r="D269" s="28" t="s">
        <v>217</v>
      </c>
      <c r="E269" s="28" t="s">
        <v>28</v>
      </c>
      <c r="F269" s="28">
        <v>0</v>
      </c>
      <c r="G269" s="28" t="s">
        <v>125</v>
      </c>
      <c r="H269" s="28">
        <v>0</v>
      </c>
      <c r="J269" s="28"/>
    </row>
    <row r="270" spans="1:10" ht="15.75" customHeight="1">
      <c r="A270" s="28">
        <v>19536</v>
      </c>
      <c r="B270" s="91">
        <v>45144.542719907404</v>
      </c>
      <c r="C270" s="28" t="s">
        <v>10</v>
      </c>
      <c r="D270" s="28" t="s">
        <v>218</v>
      </c>
      <c r="E270" s="28" t="s">
        <v>28</v>
      </c>
      <c r="F270" s="28">
        <v>0</v>
      </c>
      <c r="G270" s="28" t="s">
        <v>117</v>
      </c>
      <c r="H270" s="28">
        <v>0</v>
      </c>
      <c r="J270" s="28"/>
    </row>
    <row r="271" spans="1:10" ht="15.75" customHeight="1">
      <c r="A271" s="28">
        <v>19536</v>
      </c>
      <c r="B271" s="91">
        <v>45144.542719907404</v>
      </c>
      <c r="C271" s="28" t="s">
        <v>10</v>
      </c>
      <c r="D271" s="28" t="s">
        <v>218</v>
      </c>
      <c r="E271" s="28" t="s">
        <v>28</v>
      </c>
      <c r="F271" s="28">
        <v>25</v>
      </c>
      <c r="G271" s="28">
        <v>100692</v>
      </c>
      <c r="H271" s="28">
        <v>0</v>
      </c>
      <c r="J271" s="28"/>
    </row>
    <row r="272" spans="1:10" ht="15.75" customHeight="1">
      <c r="A272" s="28">
        <v>19536</v>
      </c>
      <c r="B272" s="91">
        <v>45144.542719907404</v>
      </c>
      <c r="C272" s="28" t="s">
        <v>10</v>
      </c>
      <c r="D272" s="28" t="s">
        <v>218</v>
      </c>
      <c r="E272" s="28" t="s">
        <v>28</v>
      </c>
      <c r="F272" s="28">
        <v>0</v>
      </c>
      <c r="G272" s="28" t="s">
        <v>125</v>
      </c>
      <c r="H272" s="28">
        <v>0</v>
      </c>
      <c r="J272" s="28"/>
    </row>
    <row r="273" spans="1:10" ht="15.75" customHeight="1">
      <c r="A273" s="28">
        <v>19536</v>
      </c>
      <c r="B273" s="91">
        <v>45144.542719907404</v>
      </c>
      <c r="C273" s="28" t="s">
        <v>10</v>
      </c>
      <c r="D273" s="28" t="s">
        <v>218</v>
      </c>
      <c r="E273" s="28" t="s">
        <v>28</v>
      </c>
      <c r="F273" s="28">
        <v>0</v>
      </c>
      <c r="G273" s="28" t="s">
        <v>119</v>
      </c>
      <c r="H273" s="28">
        <v>0</v>
      </c>
      <c r="J273" s="28"/>
    </row>
    <row r="274" spans="1:10" ht="15.75" customHeight="1">
      <c r="A274" s="28">
        <v>19535</v>
      </c>
      <c r="B274" s="91">
        <v>45144.15289351852</v>
      </c>
      <c r="C274" s="28" t="s">
        <v>10</v>
      </c>
      <c r="D274" s="28" t="s">
        <v>219</v>
      </c>
      <c r="E274" s="28" t="s">
        <v>28</v>
      </c>
      <c r="F274" s="28">
        <v>28</v>
      </c>
      <c r="G274" s="28" t="s">
        <v>143</v>
      </c>
      <c r="H274" s="28">
        <v>0</v>
      </c>
      <c r="J274" s="28"/>
    </row>
    <row r="275" spans="1:10" ht="15.75" customHeight="1">
      <c r="A275" s="28">
        <v>19534</v>
      </c>
      <c r="B275" s="91">
        <v>45143.093148148153</v>
      </c>
      <c r="C275" s="28" t="s">
        <v>10</v>
      </c>
      <c r="D275" s="28" t="s">
        <v>220</v>
      </c>
      <c r="E275" s="28" t="s">
        <v>28</v>
      </c>
      <c r="F275" s="28">
        <v>35</v>
      </c>
      <c r="G275" s="28" t="s">
        <v>124</v>
      </c>
      <c r="H275" s="28">
        <v>0</v>
      </c>
      <c r="J275" s="28"/>
    </row>
    <row r="276" spans="1:10" ht="15.75" customHeight="1">
      <c r="A276" s="28">
        <v>19534</v>
      </c>
      <c r="B276" s="91">
        <v>45143.093148148153</v>
      </c>
      <c r="C276" s="28" t="s">
        <v>10</v>
      </c>
      <c r="D276" s="28" t="s">
        <v>220</v>
      </c>
      <c r="E276" s="28" t="s">
        <v>28</v>
      </c>
      <c r="F276" s="28">
        <v>0</v>
      </c>
      <c r="G276" s="28" t="s">
        <v>125</v>
      </c>
      <c r="H276" s="28">
        <v>0</v>
      </c>
      <c r="J276" s="28"/>
    </row>
    <row r="277" spans="1:10" ht="15.75" customHeight="1">
      <c r="A277" s="28">
        <v>19534</v>
      </c>
      <c r="B277" s="91">
        <v>45143.093148148153</v>
      </c>
      <c r="C277" s="28" t="s">
        <v>10</v>
      </c>
      <c r="D277" s="28" t="s">
        <v>220</v>
      </c>
      <c r="E277" s="28" t="s">
        <v>28</v>
      </c>
      <c r="F277" s="28">
        <v>0</v>
      </c>
      <c r="G277" s="28" t="s">
        <v>119</v>
      </c>
      <c r="H277" s="28">
        <v>0</v>
      </c>
      <c r="J277" s="28"/>
    </row>
    <row r="278" spans="1:10" ht="15.75" customHeight="1">
      <c r="A278" s="28">
        <v>19534</v>
      </c>
      <c r="B278" s="91">
        <v>45143.093148148153</v>
      </c>
      <c r="C278" s="28" t="s">
        <v>10</v>
      </c>
      <c r="D278" s="28" t="s">
        <v>220</v>
      </c>
      <c r="E278" s="28" t="s">
        <v>28</v>
      </c>
      <c r="F278" s="28">
        <v>0</v>
      </c>
      <c r="G278" s="28" t="s">
        <v>121</v>
      </c>
      <c r="H278" s="28">
        <v>0</v>
      </c>
      <c r="J278" s="28"/>
    </row>
    <row r="279" spans="1:10" ht="15.75" customHeight="1">
      <c r="A279" s="28">
        <v>19532</v>
      </c>
      <c r="B279" s="91">
        <v>45142.939351851848</v>
      </c>
      <c r="C279" s="28" t="s">
        <v>10</v>
      </c>
      <c r="D279" s="28" t="s">
        <v>221</v>
      </c>
      <c r="E279" s="28" t="s">
        <v>28</v>
      </c>
      <c r="F279" s="28">
        <v>30</v>
      </c>
      <c r="G279" s="28" t="s">
        <v>128</v>
      </c>
      <c r="H279" s="28">
        <v>0</v>
      </c>
      <c r="J279" s="28"/>
    </row>
    <row r="280" spans="1:10" ht="15.75" customHeight="1">
      <c r="A280" s="28">
        <v>19532</v>
      </c>
      <c r="B280" s="91">
        <v>45142.939351851848</v>
      </c>
      <c r="C280" s="28" t="s">
        <v>10</v>
      </c>
      <c r="D280" s="28" t="s">
        <v>221</v>
      </c>
      <c r="E280" s="28" t="s">
        <v>28</v>
      </c>
      <c r="F280" s="28">
        <v>0</v>
      </c>
      <c r="G280" s="28" t="s">
        <v>125</v>
      </c>
      <c r="H280" s="28">
        <v>0</v>
      </c>
      <c r="J280" s="28"/>
    </row>
    <row r="281" spans="1:10" ht="15.75" customHeight="1">
      <c r="A281" s="28">
        <v>19532</v>
      </c>
      <c r="B281" s="91">
        <v>45142.939351851848</v>
      </c>
      <c r="C281" s="28" t="s">
        <v>10</v>
      </c>
      <c r="D281" s="28" t="s">
        <v>221</v>
      </c>
      <c r="E281" s="28" t="s">
        <v>28</v>
      </c>
      <c r="F281" s="28">
        <v>0</v>
      </c>
      <c r="G281" s="28" t="s">
        <v>119</v>
      </c>
      <c r="H281" s="28">
        <v>0</v>
      </c>
      <c r="J281" s="28"/>
    </row>
    <row r="282" spans="1:10" ht="15.75" customHeight="1">
      <c r="A282" s="28">
        <v>19531</v>
      </c>
      <c r="B282" s="91">
        <v>45142.765625</v>
      </c>
      <c r="C282" s="28" t="s">
        <v>10</v>
      </c>
      <c r="D282" s="28" t="s">
        <v>222</v>
      </c>
      <c r="E282" s="28" t="s">
        <v>28</v>
      </c>
      <c r="F282" s="28">
        <v>0</v>
      </c>
      <c r="G282" s="28" t="s">
        <v>117</v>
      </c>
      <c r="H282" s="28">
        <v>0</v>
      </c>
      <c r="J282" s="28"/>
    </row>
    <row r="283" spans="1:10" ht="15.75" customHeight="1">
      <c r="A283" s="28">
        <v>19531</v>
      </c>
      <c r="B283" s="91">
        <v>45142.765625</v>
      </c>
      <c r="C283" s="28" t="s">
        <v>10</v>
      </c>
      <c r="D283" s="28" t="s">
        <v>222</v>
      </c>
      <c r="E283" s="28" t="s">
        <v>28</v>
      </c>
      <c r="F283" s="28">
        <v>25</v>
      </c>
      <c r="G283" s="28">
        <v>100692</v>
      </c>
      <c r="H283" s="28">
        <v>0</v>
      </c>
      <c r="J283" s="28"/>
    </row>
    <row r="284" spans="1:10" ht="15.75" customHeight="1">
      <c r="A284" s="28">
        <v>19531</v>
      </c>
      <c r="B284" s="91">
        <v>45142.765625</v>
      </c>
      <c r="C284" s="28" t="s">
        <v>10</v>
      </c>
      <c r="D284" s="28" t="s">
        <v>222</v>
      </c>
      <c r="E284" s="28" t="s">
        <v>28</v>
      </c>
      <c r="F284" s="28">
        <v>0</v>
      </c>
      <c r="G284" s="28" t="s">
        <v>125</v>
      </c>
      <c r="H284" s="28">
        <v>0</v>
      </c>
      <c r="J284" s="28"/>
    </row>
    <row r="285" spans="1:10" ht="15.75" customHeight="1">
      <c r="A285" s="28">
        <v>19531</v>
      </c>
      <c r="B285" s="91">
        <v>45142.765625</v>
      </c>
      <c r="C285" s="28" t="s">
        <v>10</v>
      </c>
      <c r="D285" s="28" t="s">
        <v>222</v>
      </c>
      <c r="E285" s="28" t="s">
        <v>28</v>
      </c>
      <c r="F285" s="28">
        <v>0</v>
      </c>
      <c r="G285" s="28" t="s">
        <v>119</v>
      </c>
      <c r="H285" s="28">
        <v>0</v>
      </c>
      <c r="J285" s="28"/>
    </row>
    <row r="286" spans="1:10" ht="15.75" customHeight="1">
      <c r="A286" s="28">
        <v>19530</v>
      </c>
      <c r="B286" s="91">
        <v>45142.150451388894</v>
      </c>
      <c r="C286" s="28" t="s">
        <v>10</v>
      </c>
      <c r="D286" s="28" t="s">
        <v>223</v>
      </c>
      <c r="E286" s="28" t="s">
        <v>28</v>
      </c>
      <c r="F286" s="28">
        <v>0</v>
      </c>
      <c r="G286" s="28" t="s">
        <v>117</v>
      </c>
      <c r="H286" s="28">
        <v>0</v>
      </c>
      <c r="J286" s="28"/>
    </row>
    <row r="287" spans="1:10" ht="15.75" customHeight="1">
      <c r="A287" s="28">
        <v>19529</v>
      </c>
      <c r="B287" s="91">
        <v>45142.148553240739</v>
      </c>
      <c r="C287" s="28" t="s">
        <v>10</v>
      </c>
      <c r="D287" s="28" t="s">
        <v>224</v>
      </c>
      <c r="E287" s="28" t="s">
        <v>28</v>
      </c>
      <c r="F287" s="28">
        <v>0</v>
      </c>
      <c r="G287" s="28" t="s">
        <v>117</v>
      </c>
      <c r="H287" s="28">
        <v>0</v>
      </c>
      <c r="J287" s="28"/>
    </row>
    <row r="288" spans="1:10" ht="15.75" customHeight="1">
      <c r="A288" s="28">
        <v>19528</v>
      </c>
      <c r="B288" s="91">
        <v>45141.922546296293</v>
      </c>
      <c r="C288" s="28" t="s">
        <v>10</v>
      </c>
      <c r="D288" s="28" t="s">
        <v>225</v>
      </c>
      <c r="E288" s="28" t="s">
        <v>28</v>
      </c>
      <c r="F288" s="28">
        <v>52</v>
      </c>
      <c r="G288" s="28" t="s">
        <v>122</v>
      </c>
      <c r="H288" s="28">
        <v>0</v>
      </c>
      <c r="J288" s="28"/>
    </row>
    <row r="289" spans="1:10" ht="15.75" customHeight="1">
      <c r="A289" s="28">
        <v>19528</v>
      </c>
      <c r="B289" s="91">
        <v>45141.922546296293</v>
      </c>
      <c r="C289" s="28" t="s">
        <v>10</v>
      </c>
      <c r="D289" s="28" t="s">
        <v>225</v>
      </c>
      <c r="E289" s="28" t="s">
        <v>28</v>
      </c>
      <c r="F289" s="28">
        <v>26</v>
      </c>
      <c r="G289" s="28" t="s">
        <v>122</v>
      </c>
      <c r="H289" s="28">
        <v>0</v>
      </c>
      <c r="J289" s="28"/>
    </row>
    <row r="290" spans="1:10" ht="15.75" customHeight="1">
      <c r="A290" s="28">
        <v>19527</v>
      </c>
      <c r="B290" s="91">
        <v>45141.810995370368</v>
      </c>
      <c r="C290" s="28" t="s">
        <v>10</v>
      </c>
      <c r="D290" s="28" t="s">
        <v>226</v>
      </c>
      <c r="E290" s="28" t="s">
        <v>28</v>
      </c>
      <c r="F290" s="28">
        <v>0</v>
      </c>
      <c r="G290" s="28" t="s">
        <v>117</v>
      </c>
      <c r="H290" s="28">
        <v>0</v>
      </c>
      <c r="J290" s="28"/>
    </row>
    <row r="291" spans="1:10" ht="15.75" customHeight="1">
      <c r="A291" s="28">
        <v>19526</v>
      </c>
      <c r="B291" s="91">
        <v>45141.707002314812</v>
      </c>
      <c r="C291" s="28" t="s">
        <v>10</v>
      </c>
      <c r="D291" s="28" t="s">
        <v>227</v>
      </c>
      <c r="E291" s="28" t="s">
        <v>28</v>
      </c>
      <c r="F291" s="28">
        <v>0</v>
      </c>
      <c r="G291" s="28" t="s">
        <v>117</v>
      </c>
      <c r="H291" s="28">
        <v>0</v>
      </c>
      <c r="J291" s="28"/>
    </row>
    <row r="292" spans="1:10" ht="15.75" customHeight="1">
      <c r="A292" s="28">
        <v>19526</v>
      </c>
      <c r="B292" s="91">
        <v>45141.707002314812</v>
      </c>
      <c r="C292" s="28" t="s">
        <v>10</v>
      </c>
      <c r="D292" s="28" t="s">
        <v>227</v>
      </c>
      <c r="E292" s="28" t="s">
        <v>28</v>
      </c>
      <c r="F292" s="28">
        <v>25</v>
      </c>
      <c r="G292" s="28" t="s">
        <v>141</v>
      </c>
      <c r="H292" s="28">
        <v>0</v>
      </c>
      <c r="J292" s="28"/>
    </row>
    <row r="293" spans="1:10" ht="15.75" customHeight="1">
      <c r="A293" s="28">
        <v>19525</v>
      </c>
      <c r="B293" s="91">
        <v>45141.538888888885</v>
      </c>
      <c r="C293" s="28" t="s">
        <v>10</v>
      </c>
      <c r="D293" s="28" t="s">
        <v>228</v>
      </c>
      <c r="E293" s="28" t="s">
        <v>28</v>
      </c>
      <c r="F293" s="28">
        <v>25</v>
      </c>
      <c r="G293" s="28">
        <v>100692</v>
      </c>
      <c r="H293" s="28">
        <v>0</v>
      </c>
      <c r="J293" s="28"/>
    </row>
    <row r="294" spans="1:10" ht="15.75" customHeight="1">
      <c r="A294" s="28">
        <v>19525</v>
      </c>
      <c r="B294" s="91">
        <v>45141.538888888885</v>
      </c>
      <c r="C294" s="28" t="s">
        <v>10</v>
      </c>
      <c r="D294" s="28" t="s">
        <v>228</v>
      </c>
      <c r="E294" s="28" t="s">
        <v>28</v>
      </c>
      <c r="F294" s="28">
        <v>0</v>
      </c>
      <c r="G294" s="28" t="s">
        <v>125</v>
      </c>
      <c r="H294" s="28">
        <v>0</v>
      </c>
      <c r="J294" s="28"/>
    </row>
    <row r="295" spans="1:10" ht="15.75" customHeight="1">
      <c r="A295" s="28">
        <v>19525</v>
      </c>
      <c r="B295" s="91">
        <v>45141.538888888885</v>
      </c>
      <c r="C295" s="28" t="s">
        <v>10</v>
      </c>
      <c r="D295" s="28" t="s">
        <v>228</v>
      </c>
      <c r="E295" s="28" t="s">
        <v>28</v>
      </c>
      <c r="F295" s="28">
        <v>0</v>
      </c>
      <c r="G295" s="28" t="s">
        <v>119</v>
      </c>
      <c r="H295" s="28">
        <v>0</v>
      </c>
      <c r="J295" s="28"/>
    </row>
    <row r="296" spans="1:10" ht="15.75" customHeight="1">
      <c r="A296" s="28">
        <v>19524</v>
      </c>
      <c r="B296" s="91">
        <v>45141.180439814816</v>
      </c>
      <c r="C296" s="28" t="s">
        <v>10</v>
      </c>
      <c r="D296" s="28" t="s">
        <v>229</v>
      </c>
      <c r="E296" s="28" t="s">
        <v>28</v>
      </c>
      <c r="F296" s="28">
        <v>28</v>
      </c>
      <c r="G296" s="28" t="s">
        <v>143</v>
      </c>
      <c r="H296" s="28">
        <v>0</v>
      </c>
      <c r="J296" s="28"/>
    </row>
    <row r="297" spans="1:10" ht="15.75" customHeight="1">
      <c r="A297" s="28">
        <v>19524</v>
      </c>
      <c r="B297" s="91">
        <v>45141.180439814816</v>
      </c>
      <c r="C297" s="28" t="s">
        <v>10</v>
      </c>
      <c r="D297" s="28" t="s">
        <v>229</v>
      </c>
      <c r="E297" s="28" t="s">
        <v>28</v>
      </c>
      <c r="F297" s="28">
        <v>25</v>
      </c>
      <c r="G297" s="28" t="s">
        <v>120</v>
      </c>
      <c r="H297" s="28">
        <v>0</v>
      </c>
      <c r="J297" s="28"/>
    </row>
    <row r="298" spans="1:10" ht="15.75" customHeight="1">
      <c r="A298" s="28">
        <v>19523</v>
      </c>
      <c r="B298" s="91">
        <v>45141.116805555561</v>
      </c>
      <c r="C298" s="28" t="s">
        <v>10</v>
      </c>
      <c r="D298" s="28" t="s">
        <v>230</v>
      </c>
      <c r="E298" s="28" t="s">
        <v>28</v>
      </c>
      <c r="F298" s="28">
        <v>25</v>
      </c>
      <c r="G298" s="28">
        <v>100692</v>
      </c>
      <c r="H298" s="28">
        <v>0</v>
      </c>
      <c r="J298" s="28"/>
    </row>
    <row r="299" spans="1:10" ht="15.75" customHeight="1">
      <c r="A299" s="28">
        <v>19523</v>
      </c>
      <c r="B299" s="91">
        <v>45141.116805555561</v>
      </c>
      <c r="C299" s="28" t="s">
        <v>10</v>
      </c>
      <c r="D299" s="28" t="s">
        <v>230</v>
      </c>
      <c r="E299" s="28" t="s">
        <v>28</v>
      </c>
      <c r="F299" s="28">
        <v>0</v>
      </c>
      <c r="G299" s="28" t="s">
        <v>125</v>
      </c>
      <c r="H299" s="28">
        <v>0</v>
      </c>
      <c r="J299" s="28"/>
    </row>
    <row r="300" spans="1:10" ht="15.75" customHeight="1">
      <c r="A300" s="28">
        <v>19523</v>
      </c>
      <c r="B300" s="91">
        <v>45141.116805555561</v>
      </c>
      <c r="C300" s="28" t="s">
        <v>10</v>
      </c>
      <c r="D300" s="28" t="s">
        <v>230</v>
      </c>
      <c r="E300" s="28" t="s">
        <v>28</v>
      </c>
      <c r="F300" s="28">
        <v>0</v>
      </c>
      <c r="G300" s="28" t="s">
        <v>119</v>
      </c>
      <c r="H300" s="28">
        <v>0</v>
      </c>
      <c r="J300" s="28"/>
    </row>
    <row r="301" spans="1:10" ht="15.75" customHeight="1">
      <c r="A301" s="28">
        <v>19522</v>
      </c>
      <c r="B301" s="91">
        <v>45141.115104166667</v>
      </c>
      <c r="C301" s="28" t="s">
        <v>10</v>
      </c>
      <c r="D301" s="28" t="s">
        <v>231</v>
      </c>
      <c r="E301" s="28" t="s">
        <v>28</v>
      </c>
      <c r="F301" s="28">
        <v>25</v>
      </c>
      <c r="G301" s="28">
        <v>100692</v>
      </c>
      <c r="H301" s="28">
        <v>0</v>
      </c>
      <c r="J301" s="28"/>
    </row>
    <row r="302" spans="1:10" ht="15.75" customHeight="1">
      <c r="A302" s="28">
        <v>19522</v>
      </c>
      <c r="B302" s="91">
        <v>45141.115104166667</v>
      </c>
      <c r="C302" s="28" t="s">
        <v>10</v>
      </c>
      <c r="D302" s="28" t="s">
        <v>231</v>
      </c>
      <c r="E302" s="28" t="s">
        <v>28</v>
      </c>
      <c r="F302" s="28">
        <v>0</v>
      </c>
      <c r="G302" s="28" t="s">
        <v>125</v>
      </c>
      <c r="H302" s="28">
        <v>0</v>
      </c>
      <c r="J302" s="28"/>
    </row>
    <row r="303" spans="1:10" ht="15.75" customHeight="1">
      <c r="A303" s="28">
        <v>19522</v>
      </c>
      <c r="B303" s="91">
        <v>45141.115104166667</v>
      </c>
      <c r="C303" s="28" t="s">
        <v>10</v>
      </c>
      <c r="D303" s="28" t="s">
        <v>231</v>
      </c>
      <c r="E303" s="28" t="s">
        <v>28</v>
      </c>
      <c r="F303" s="28">
        <v>0</v>
      </c>
      <c r="G303" s="28" t="s">
        <v>119</v>
      </c>
      <c r="H303" s="28">
        <v>0</v>
      </c>
      <c r="J303" s="28"/>
    </row>
    <row r="304" spans="1:10" ht="15.75" customHeight="1">
      <c r="A304" s="28">
        <v>19521</v>
      </c>
      <c r="B304" s="91">
        <v>45141.060752314814</v>
      </c>
      <c r="C304" s="28" t="s">
        <v>10</v>
      </c>
      <c r="D304" s="28" t="s">
        <v>232</v>
      </c>
      <c r="E304" s="28" t="s">
        <v>28</v>
      </c>
      <c r="F304" s="28">
        <v>20</v>
      </c>
      <c r="G304" s="28" t="s">
        <v>148</v>
      </c>
      <c r="H304" s="28">
        <v>0</v>
      </c>
      <c r="J304" s="28"/>
    </row>
    <row r="305" spans="1:10" ht="15.75" customHeight="1">
      <c r="A305" s="28">
        <v>19520</v>
      </c>
      <c r="B305" s="91">
        <v>45141.058981481481</v>
      </c>
      <c r="C305" s="28" t="s">
        <v>10</v>
      </c>
      <c r="D305" s="28" t="s">
        <v>233</v>
      </c>
      <c r="E305" s="28" t="s">
        <v>28</v>
      </c>
      <c r="F305" s="28">
        <v>20</v>
      </c>
      <c r="G305" s="28" t="s">
        <v>148</v>
      </c>
      <c r="H305" s="28">
        <v>0</v>
      </c>
      <c r="J305" s="28"/>
    </row>
    <row r="306" spans="1:10" ht="15.75" customHeight="1">
      <c r="A306" s="28">
        <v>19519</v>
      </c>
      <c r="B306" s="91">
        <v>45141.057604166665</v>
      </c>
      <c r="C306" s="28" t="s">
        <v>10</v>
      </c>
      <c r="D306" s="28" t="s">
        <v>234</v>
      </c>
      <c r="E306" s="28" t="s">
        <v>28</v>
      </c>
      <c r="F306" s="28">
        <v>20</v>
      </c>
      <c r="G306" s="28" t="s">
        <v>148</v>
      </c>
      <c r="H306" s="28">
        <v>0</v>
      </c>
      <c r="J306" s="28"/>
    </row>
    <row r="307" spans="1:10" ht="15.75" customHeight="1">
      <c r="A307" s="28">
        <v>19518</v>
      </c>
      <c r="B307" s="91">
        <v>45141.02138888889</v>
      </c>
      <c r="C307" s="28" t="s">
        <v>10</v>
      </c>
      <c r="D307" s="28" t="s">
        <v>235</v>
      </c>
      <c r="E307" s="28" t="s">
        <v>79</v>
      </c>
      <c r="F307" s="28">
        <v>18</v>
      </c>
      <c r="G307" s="28" t="s">
        <v>119</v>
      </c>
      <c r="H307" s="28">
        <v>0</v>
      </c>
      <c r="J307" s="28"/>
    </row>
    <row r="308" spans="1:10" ht="15.75" customHeight="1">
      <c r="A308" s="28">
        <v>19518</v>
      </c>
      <c r="B308" s="91">
        <v>45141.02138888889</v>
      </c>
      <c r="C308" s="28" t="s">
        <v>10</v>
      </c>
      <c r="D308" s="28" t="s">
        <v>235</v>
      </c>
      <c r="E308" s="28" t="s">
        <v>79</v>
      </c>
      <c r="F308" s="28">
        <v>15</v>
      </c>
      <c r="G308" s="28" t="s">
        <v>139</v>
      </c>
      <c r="H308" s="28">
        <v>0</v>
      </c>
      <c r="J308" s="28"/>
    </row>
    <row r="309" spans="1:10" ht="15.75" customHeight="1">
      <c r="A309" s="28">
        <v>19517</v>
      </c>
      <c r="B309" s="91">
        <v>45140.619849537034</v>
      </c>
      <c r="C309" s="28" t="s">
        <v>10</v>
      </c>
      <c r="D309" s="28" t="s">
        <v>236</v>
      </c>
      <c r="E309" s="28" t="s">
        <v>28</v>
      </c>
      <c r="F309" s="28">
        <v>25</v>
      </c>
      <c r="G309" s="28">
        <v>100692</v>
      </c>
      <c r="H309" s="28">
        <v>0</v>
      </c>
      <c r="J309" s="28"/>
    </row>
    <row r="310" spans="1:10" ht="15.75" customHeight="1">
      <c r="A310" s="28">
        <v>19517</v>
      </c>
      <c r="B310" s="91">
        <v>45140.619849537034</v>
      </c>
      <c r="C310" s="28" t="s">
        <v>10</v>
      </c>
      <c r="D310" s="28" t="s">
        <v>236</v>
      </c>
      <c r="E310" s="28" t="s">
        <v>28</v>
      </c>
      <c r="F310" s="28">
        <v>0</v>
      </c>
      <c r="G310" s="28" t="s">
        <v>125</v>
      </c>
      <c r="H310" s="28">
        <v>0</v>
      </c>
      <c r="J310" s="28"/>
    </row>
    <row r="311" spans="1:10" ht="15.75" customHeight="1">
      <c r="A311" s="28">
        <v>19517</v>
      </c>
      <c r="B311" s="91">
        <v>45140.619849537034</v>
      </c>
      <c r="C311" s="28" t="s">
        <v>10</v>
      </c>
      <c r="D311" s="28" t="s">
        <v>236</v>
      </c>
      <c r="E311" s="28" t="s">
        <v>28</v>
      </c>
      <c r="F311" s="28">
        <v>0</v>
      </c>
      <c r="G311" s="28" t="s">
        <v>119</v>
      </c>
      <c r="H311" s="28">
        <v>0</v>
      </c>
      <c r="J311" s="28"/>
    </row>
    <row r="312" spans="1:10" ht="15.75" customHeight="1">
      <c r="A312" s="28">
        <v>19516</v>
      </c>
      <c r="B312" s="91">
        <v>45140.619143518517</v>
      </c>
      <c r="C312" s="28" t="s">
        <v>10</v>
      </c>
      <c r="D312" s="28" t="s">
        <v>237</v>
      </c>
      <c r="E312" s="28" t="s">
        <v>28</v>
      </c>
      <c r="F312" s="28">
        <v>25</v>
      </c>
      <c r="G312" s="28">
        <v>100692</v>
      </c>
      <c r="H312" s="28">
        <v>0</v>
      </c>
      <c r="J312" s="28"/>
    </row>
    <row r="313" spans="1:10" ht="15.75" customHeight="1">
      <c r="A313" s="28">
        <v>19516</v>
      </c>
      <c r="B313" s="91">
        <v>45140.619143518517</v>
      </c>
      <c r="C313" s="28" t="s">
        <v>10</v>
      </c>
      <c r="D313" s="28" t="s">
        <v>237</v>
      </c>
      <c r="E313" s="28" t="s">
        <v>28</v>
      </c>
      <c r="F313" s="28">
        <v>0</v>
      </c>
      <c r="G313" s="28" t="s">
        <v>125</v>
      </c>
      <c r="H313" s="28">
        <v>0</v>
      </c>
      <c r="J313" s="28"/>
    </row>
    <row r="314" spans="1:10" ht="15.75" customHeight="1">
      <c r="A314" s="28">
        <v>19516</v>
      </c>
      <c r="B314" s="91">
        <v>45140.619143518517</v>
      </c>
      <c r="C314" s="28" t="s">
        <v>10</v>
      </c>
      <c r="D314" s="28" t="s">
        <v>237</v>
      </c>
      <c r="E314" s="28" t="s">
        <v>28</v>
      </c>
      <c r="F314" s="28">
        <v>0</v>
      </c>
      <c r="G314" s="28" t="s">
        <v>119</v>
      </c>
      <c r="H314" s="28">
        <v>0</v>
      </c>
      <c r="J314" s="28"/>
    </row>
    <row r="315" spans="1:10" ht="15.75" customHeight="1">
      <c r="A315" s="28">
        <v>19515</v>
      </c>
      <c r="B315" s="91">
        <v>45140.618136574078</v>
      </c>
      <c r="C315" s="28" t="s">
        <v>10</v>
      </c>
      <c r="D315" s="28" t="s">
        <v>238</v>
      </c>
      <c r="E315" s="28" t="s">
        <v>28</v>
      </c>
      <c r="F315" s="28">
        <v>30</v>
      </c>
      <c r="G315" s="28" t="s">
        <v>128</v>
      </c>
      <c r="H315" s="28">
        <v>0</v>
      </c>
      <c r="J315" s="28"/>
    </row>
    <row r="316" spans="1:10" ht="15.75" customHeight="1">
      <c r="A316" s="28">
        <v>19515</v>
      </c>
      <c r="B316" s="91">
        <v>45140.618136574078</v>
      </c>
      <c r="C316" s="28" t="s">
        <v>10</v>
      </c>
      <c r="D316" s="28" t="s">
        <v>238</v>
      </c>
      <c r="E316" s="28" t="s">
        <v>28</v>
      </c>
      <c r="F316" s="28">
        <v>0</v>
      </c>
      <c r="G316" s="28" t="s">
        <v>125</v>
      </c>
      <c r="H316" s="28">
        <v>0</v>
      </c>
      <c r="J316" s="28"/>
    </row>
    <row r="317" spans="1:10" ht="15.75" customHeight="1">
      <c r="A317" s="28">
        <v>19515</v>
      </c>
      <c r="B317" s="91">
        <v>45140.618136574078</v>
      </c>
      <c r="C317" s="28" t="s">
        <v>10</v>
      </c>
      <c r="D317" s="28" t="s">
        <v>238</v>
      </c>
      <c r="E317" s="28" t="s">
        <v>28</v>
      </c>
      <c r="F317" s="28">
        <v>0</v>
      </c>
      <c r="G317" s="28" t="s">
        <v>119</v>
      </c>
      <c r="H317" s="28">
        <v>0</v>
      </c>
      <c r="J317" s="28"/>
    </row>
    <row r="318" spans="1:10" ht="15.75" customHeight="1">
      <c r="A318" s="28">
        <v>19514</v>
      </c>
      <c r="B318" s="91">
        <v>45140.545555555553</v>
      </c>
      <c r="C318" s="28" t="s">
        <v>10</v>
      </c>
      <c r="D318" s="28" t="s">
        <v>239</v>
      </c>
      <c r="E318" s="28" t="s">
        <v>28</v>
      </c>
      <c r="F318" s="28">
        <v>0</v>
      </c>
      <c r="G318" s="28" t="s">
        <v>117</v>
      </c>
      <c r="H318" s="28">
        <v>0</v>
      </c>
      <c r="J318" s="28"/>
    </row>
    <row r="319" spans="1:10" ht="15.75" customHeight="1">
      <c r="A319" s="28">
        <v>19514</v>
      </c>
      <c r="B319" s="91">
        <v>45140.545555555553</v>
      </c>
      <c r="C319" s="28" t="s">
        <v>10</v>
      </c>
      <c r="D319" s="28" t="s">
        <v>239</v>
      </c>
      <c r="E319" s="28" t="s">
        <v>28</v>
      </c>
      <c r="F319" s="28">
        <v>25</v>
      </c>
      <c r="G319" s="28" t="s">
        <v>141</v>
      </c>
      <c r="H319" s="28">
        <v>0</v>
      </c>
      <c r="J319" s="28"/>
    </row>
    <row r="320" spans="1:10" ht="15.75" customHeight="1">
      <c r="A320" s="28">
        <v>19513</v>
      </c>
      <c r="B320" s="91">
        <v>45139.947326388894</v>
      </c>
      <c r="C320" s="28" t="s">
        <v>10</v>
      </c>
      <c r="D320" s="28" t="s">
        <v>240</v>
      </c>
      <c r="E320" s="28" t="s">
        <v>28</v>
      </c>
      <c r="F320" s="28">
        <v>25</v>
      </c>
      <c r="G320" s="28">
        <v>100692</v>
      </c>
      <c r="H320" s="28">
        <v>0</v>
      </c>
      <c r="J320" s="28"/>
    </row>
    <row r="321" spans="1:10" ht="15.75" customHeight="1">
      <c r="A321" s="28">
        <v>19513</v>
      </c>
      <c r="B321" s="91">
        <v>45139.947326388894</v>
      </c>
      <c r="C321" s="28" t="s">
        <v>10</v>
      </c>
      <c r="D321" s="28" t="s">
        <v>240</v>
      </c>
      <c r="E321" s="28" t="s">
        <v>28</v>
      </c>
      <c r="F321" s="28">
        <v>0</v>
      </c>
      <c r="G321" s="28" t="s">
        <v>125</v>
      </c>
      <c r="H321" s="28">
        <v>0</v>
      </c>
      <c r="J321" s="28"/>
    </row>
    <row r="322" spans="1:10" ht="15.75" customHeight="1">
      <c r="A322" s="28">
        <v>19513</v>
      </c>
      <c r="B322" s="91">
        <v>45139.947326388894</v>
      </c>
      <c r="C322" s="28" t="s">
        <v>10</v>
      </c>
      <c r="D322" s="28" t="s">
        <v>240</v>
      </c>
      <c r="E322" s="28" t="s">
        <v>28</v>
      </c>
      <c r="F322" s="28">
        <v>0</v>
      </c>
      <c r="G322" s="28" t="s">
        <v>119</v>
      </c>
      <c r="H322" s="28">
        <v>0</v>
      </c>
      <c r="J322" s="28"/>
    </row>
    <row r="323" spans="1:10" ht="15.75" customHeight="1">
      <c r="A323" s="28">
        <v>19512</v>
      </c>
      <c r="B323" s="91">
        <v>45139.945208333331</v>
      </c>
      <c r="C323" s="28" t="s">
        <v>10</v>
      </c>
      <c r="D323" s="28" t="s">
        <v>241</v>
      </c>
      <c r="E323" s="28" t="s">
        <v>28</v>
      </c>
      <c r="F323" s="28">
        <v>25</v>
      </c>
      <c r="G323" s="28">
        <v>100692</v>
      </c>
      <c r="H323" s="28">
        <v>0</v>
      </c>
      <c r="J323" s="28"/>
    </row>
    <row r="324" spans="1:10" ht="15.75" customHeight="1">
      <c r="A324" s="28">
        <v>19512</v>
      </c>
      <c r="B324" s="91">
        <v>45139.945208333331</v>
      </c>
      <c r="C324" s="28" t="s">
        <v>10</v>
      </c>
      <c r="D324" s="28" t="s">
        <v>241</v>
      </c>
      <c r="E324" s="28" t="s">
        <v>28</v>
      </c>
      <c r="F324" s="28">
        <v>0</v>
      </c>
      <c r="G324" s="28" t="s">
        <v>125</v>
      </c>
      <c r="H324" s="28">
        <v>0</v>
      </c>
      <c r="J324" s="28"/>
    </row>
    <row r="325" spans="1:10" ht="15.75" customHeight="1">
      <c r="A325" s="28">
        <v>19512</v>
      </c>
      <c r="B325" s="91">
        <v>45139.945208333331</v>
      </c>
      <c r="C325" s="28" t="s">
        <v>10</v>
      </c>
      <c r="D325" s="28" t="s">
        <v>241</v>
      </c>
      <c r="E325" s="28" t="s">
        <v>28</v>
      </c>
      <c r="F325" s="28">
        <v>0</v>
      </c>
      <c r="G325" s="28" t="s">
        <v>119</v>
      </c>
      <c r="H325" s="28">
        <v>0</v>
      </c>
      <c r="J325" s="28"/>
    </row>
    <row r="326" spans="1:10" ht="15.75" customHeight="1">
      <c r="A326" s="28">
        <v>19511</v>
      </c>
      <c r="B326" s="91">
        <v>45139.646828703699</v>
      </c>
      <c r="C326" s="28" t="s">
        <v>10</v>
      </c>
      <c r="D326" s="28" t="s">
        <v>242</v>
      </c>
      <c r="E326" s="28" t="s">
        <v>28</v>
      </c>
      <c r="F326" s="28">
        <v>15</v>
      </c>
      <c r="G326" s="28" t="s">
        <v>125</v>
      </c>
      <c r="H326" s="28">
        <v>0</v>
      </c>
      <c r="J326" s="28"/>
    </row>
    <row r="327" spans="1:10" ht="15.75" customHeight="1">
      <c r="A327" s="28">
        <v>19509</v>
      </c>
      <c r="B327" s="91">
        <v>45138.657465277778</v>
      </c>
      <c r="C327" s="28" t="s">
        <v>5</v>
      </c>
      <c r="D327" s="28" t="s">
        <v>243</v>
      </c>
      <c r="E327" s="28" t="s">
        <v>28</v>
      </c>
      <c r="F327" s="28">
        <v>22</v>
      </c>
      <c r="G327" s="28" t="s">
        <v>137</v>
      </c>
      <c r="H327" s="28">
        <v>0</v>
      </c>
      <c r="J327" s="28"/>
    </row>
    <row r="328" spans="1:10" ht="15.75" customHeight="1">
      <c r="A328" s="28">
        <v>19508</v>
      </c>
      <c r="B328" s="91">
        <v>45138.199745370366</v>
      </c>
      <c r="C328" s="28" t="s">
        <v>10</v>
      </c>
      <c r="D328" s="28" t="s">
        <v>244</v>
      </c>
      <c r="E328" s="28" t="s">
        <v>28</v>
      </c>
      <c r="F328" s="28">
        <v>15</v>
      </c>
      <c r="G328" s="28" t="s">
        <v>125</v>
      </c>
      <c r="H328" s="28">
        <v>0</v>
      </c>
      <c r="J328" s="28"/>
    </row>
    <row r="329" spans="1:10" ht="15.75" customHeight="1">
      <c r="A329" s="28">
        <v>19508</v>
      </c>
      <c r="B329" s="91">
        <v>45138.199745370366</v>
      </c>
      <c r="C329" s="28" t="s">
        <v>10</v>
      </c>
      <c r="D329" s="28" t="s">
        <v>244</v>
      </c>
      <c r="E329" s="28" t="s">
        <v>28</v>
      </c>
      <c r="F329" s="28">
        <v>0</v>
      </c>
      <c r="G329" s="28" t="s">
        <v>117</v>
      </c>
      <c r="H329" s="28">
        <v>0</v>
      </c>
      <c r="J329" s="28"/>
    </row>
    <row r="330" spans="1:10" ht="15.75" customHeight="1">
      <c r="A330" s="28">
        <v>19507</v>
      </c>
      <c r="B330" s="91">
        <v>45137.840370370366</v>
      </c>
      <c r="C330" s="28" t="s">
        <v>10</v>
      </c>
      <c r="D330" s="28" t="s">
        <v>245</v>
      </c>
      <c r="E330" s="28" t="s">
        <v>79</v>
      </c>
      <c r="F330" s="28">
        <v>30</v>
      </c>
      <c r="G330" s="28" t="s">
        <v>128</v>
      </c>
      <c r="H330" s="28">
        <v>0</v>
      </c>
      <c r="J330" s="28"/>
    </row>
    <row r="331" spans="1:10" ht="15.75" customHeight="1">
      <c r="A331" s="28">
        <v>19507</v>
      </c>
      <c r="B331" s="91">
        <v>45137.840370370366</v>
      </c>
      <c r="C331" s="28" t="s">
        <v>10</v>
      </c>
      <c r="D331" s="28" t="s">
        <v>245</v>
      </c>
      <c r="E331" s="28" t="s">
        <v>79</v>
      </c>
      <c r="F331" s="28">
        <v>0</v>
      </c>
      <c r="G331" s="28" t="s">
        <v>125</v>
      </c>
      <c r="H331" s="28">
        <v>0</v>
      </c>
      <c r="J331" s="28"/>
    </row>
    <row r="332" spans="1:10" ht="15.75" customHeight="1">
      <c r="A332" s="28">
        <v>19507</v>
      </c>
      <c r="B332" s="91">
        <v>45137.840370370366</v>
      </c>
      <c r="C332" s="28" t="s">
        <v>10</v>
      </c>
      <c r="D332" s="28" t="s">
        <v>245</v>
      </c>
      <c r="E332" s="28" t="s">
        <v>79</v>
      </c>
      <c r="F332" s="28">
        <v>0</v>
      </c>
      <c r="G332" s="28" t="s">
        <v>119</v>
      </c>
      <c r="H332" s="28">
        <v>0</v>
      </c>
      <c r="J332" s="28"/>
    </row>
    <row r="333" spans="1:10" ht="15.75" customHeight="1">
      <c r="A333" s="28">
        <v>19507</v>
      </c>
      <c r="B333" s="91">
        <v>45137.840370370366</v>
      </c>
      <c r="C333" s="28" t="s">
        <v>10</v>
      </c>
      <c r="D333" s="28" t="s">
        <v>245</v>
      </c>
      <c r="E333" s="28" t="s">
        <v>79</v>
      </c>
      <c r="F333" s="28">
        <v>45</v>
      </c>
      <c r="G333" s="28" t="s">
        <v>125</v>
      </c>
      <c r="H333" s="28">
        <v>0</v>
      </c>
      <c r="J333" s="28"/>
    </row>
    <row r="334" spans="1:10" ht="15.75" customHeight="1">
      <c r="A334" s="28">
        <v>19506</v>
      </c>
      <c r="B334" s="91">
        <v>45137.755486111113</v>
      </c>
      <c r="C334" s="28" t="s">
        <v>10</v>
      </c>
      <c r="D334" s="28" t="s">
        <v>246</v>
      </c>
      <c r="E334" s="28" t="s">
        <v>28</v>
      </c>
      <c r="F334" s="28">
        <v>35</v>
      </c>
      <c r="G334" s="28" t="s">
        <v>124</v>
      </c>
      <c r="H334" s="28">
        <v>0</v>
      </c>
      <c r="J334" s="28"/>
    </row>
    <row r="335" spans="1:10" ht="15.75" customHeight="1">
      <c r="A335" s="28">
        <v>19506</v>
      </c>
      <c r="B335" s="91">
        <v>45137.755486111113</v>
      </c>
      <c r="C335" s="28" t="s">
        <v>10</v>
      </c>
      <c r="D335" s="28" t="s">
        <v>246</v>
      </c>
      <c r="E335" s="28" t="s">
        <v>28</v>
      </c>
      <c r="F335" s="28">
        <v>0</v>
      </c>
      <c r="G335" s="28" t="s">
        <v>125</v>
      </c>
      <c r="H335" s="28">
        <v>0</v>
      </c>
      <c r="J335" s="28"/>
    </row>
    <row r="336" spans="1:10" ht="15.75" customHeight="1">
      <c r="A336" s="28">
        <v>19506</v>
      </c>
      <c r="B336" s="91">
        <v>45137.755486111113</v>
      </c>
      <c r="C336" s="28" t="s">
        <v>10</v>
      </c>
      <c r="D336" s="28" t="s">
        <v>246</v>
      </c>
      <c r="E336" s="28" t="s">
        <v>28</v>
      </c>
      <c r="F336" s="28">
        <v>0</v>
      </c>
      <c r="G336" s="28" t="s">
        <v>119</v>
      </c>
      <c r="H336" s="28">
        <v>0</v>
      </c>
      <c r="J336" s="28"/>
    </row>
    <row r="337" spans="1:10" ht="15.75" customHeight="1">
      <c r="A337" s="28">
        <v>19506</v>
      </c>
      <c r="B337" s="91">
        <v>45137.755486111113</v>
      </c>
      <c r="C337" s="28" t="s">
        <v>10</v>
      </c>
      <c r="D337" s="28" t="s">
        <v>246</v>
      </c>
      <c r="E337" s="28" t="s">
        <v>28</v>
      </c>
      <c r="F337" s="28">
        <v>0</v>
      </c>
      <c r="G337" s="28" t="s">
        <v>121</v>
      </c>
      <c r="H337" s="28">
        <v>0</v>
      </c>
      <c r="J337" s="28"/>
    </row>
    <row r="338" spans="1:10" ht="15.75" customHeight="1">
      <c r="A338" s="28">
        <v>19505</v>
      </c>
      <c r="B338" s="91">
        <v>45137.751157407409</v>
      </c>
      <c r="C338" s="28" t="s">
        <v>10</v>
      </c>
      <c r="D338" s="28" t="s">
        <v>247</v>
      </c>
      <c r="E338" s="28" t="s">
        <v>79</v>
      </c>
      <c r="F338" s="28">
        <v>26</v>
      </c>
      <c r="G338" s="28" t="s">
        <v>122</v>
      </c>
      <c r="H338" s="28">
        <v>0</v>
      </c>
      <c r="J338" s="28"/>
    </row>
    <row r="339" spans="1:10" ht="15.75" customHeight="1">
      <c r="A339" s="28">
        <v>19504</v>
      </c>
      <c r="B339" s="91">
        <v>45137.68787037037</v>
      </c>
      <c r="C339" s="28" t="s">
        <v>10</v>
      </c>
      <c r="D339" s="28" t="s">
        <v>248</v>
      </c>
      <c r="E339" s="28" t="s">
        <v>79</v>
      </c>
      <c r="F339" s="28">
        <v>26</v>
      </c>
      <c r="G339" s="28" t="s">
        <v>122</v>
      </c>
      <c r="H339" s="28">
        <v>0</v>
      </c>
      <c r="J339" s="28"/>
    </row>
    <row r="340" spans="1:10" ht="15.75" customHeight="1">
      <c r="A340" s="28">
        <v>19503</v>
      </c>
      <c r="B340" s="91">
        <v>45137.626319444447</v>
      </c>
      <c r="C340" s="28" t="s">
        <v>10</v>
      </c>
      <c r="D340" s="28" t="s">
        <v>249</v>
      </c>
      <c r="E340" s="28" t="s">
        <v>28</v>
      </c>
      <c r="F340" s="28">
        <v>26</v>
      </c>
      <c r="G340" s="28" t="s">
        <v>122</v>
      </c>
      <c r="H340" s="28">
        <v>0</v>
      </c>
      <c r="J340" s="28"/>
    </row>
    <row r="341" spans="1:10" ht="15.75" customHeight="1">
      <c r="A341" s="28">
        <v>19503</v>
      </c>
      <c r="B341" s="91">
        <v>45137.626319444447</v>
      </c>
      <c r="C341" s="28" t="s">
        <v>10</v>
      </c>
      <c r="D341" s="28" t="s">
        <v>249</v>
      </c>
      <c r="E341" s="28" t="s">
        <v>28</v>
      </c>
      <c r="F341" s="28">
        <v>0</v>
      </c>
      <c r="G341" s="28" t="s">
        <v>117</v>
      </c>
      <c r="H341" s="28">
        <v>0</v>
      </c>
      <c r="J341" s="28"/>
    </row>
    <row r="342" spans="1:10" ht="15.75" customHeight="1">
      <c r="A342" s="28">
        <v>19502</v>
      </c>
      <c r="B342" s="91">
        <v>45137.62399305556</v>
      </c>
      <c r="C342" s="28" t="s">
        <v>10</v>
      </c>
      <c r="D342" s="28" t="s">
        <v>250</v>
      </c>
      <c r="E342" s="28" t="s">
        <v>28</v>
      </c>
      <c r="F342" s="28">
        <v>26</v>
      </c>
      <c r="G342" s="28" t="s">
        <v>122</v>
      </c>
      <c r="H342" s="28">
        <v>0</v>
      </c>
      <c r="J342" s="28"/>
    </row>
    <row r="343" spans="1:10" ht="15.75" customHeight="1">
      <c r="A343" s="28">
        <v>19502</v>
      </c>
      <c r="B343" s="91">
        <v>45137.62399305556</v>
      </c>
      <c r="C343" s="28" t="s">
        <v>10</v>
      </c>
      <c r="D343" s="28" t="s">
        <v>250</v>
      </c>
      <c r="E343" s="28" t="s">
        <v>28</v>
      </c>
      <c r="F343" s="28">
        <v>0</v>
      </c>
      <c r="G343" s="28" t="s">
        <v>117</v>
      </c>
      <c r="H343" s="28">
        <v>0</v>
      </c>
      <c r="J343" s="28"/>
    </row>
    <row r="344" spans="1:10" ht="15.75" customHeight="1">
      <c r="A344" s="28">
        <v>19501</v>
      </c>
      <c r="B344" s="91">
        <v>45137.549120370371</v>
      </c>
      <c r="C344" s="28" t="s">
        <v>8</v>
      </c>
      <c r="D344" s="28" t="s">
        <v>251</v>
      </c>
      <c r="E344" s="28" t="s">
        <v>28</v>
      </c>
      <c r="F344" s="28">
        <v>0</v>
      </c>
      <c r="G344" s="28" t="s">
        <v>117</v>
      </c>
      <c r="H344" s="28">
        <v>0</v>
      </c>
      <c r="J344" s="28"/>
    </row>
    <row r="345" spans="1:10" ht="15.75" customHeight="1">
      <c r="A345" s="28">
        <v>19500</v>
      </c>
      <c r="B345" s="91">
        <v>45137.104664351849</v>
      </c>
      <c r="C345" s="28" t="s">
        <v>10</v>
      </c>
      <c r="D345" s="28" t="s">
        <v>252</v>
      </c>
      <c r="E345" s="28" t="s">
        <v>79</v>
      </c>
      <c r="F345" s="28">
        <v>20</v>
      </c>
      <c r="G345" s="28" t="s">
        <v>205</v>
      </c>
      <c r="H345" s="28">
        <v>0</v>
      </c>
      <c r="J345" s="28"/>
    </row>
    <row r="346" spans="1:10" ht="15.75" customHeight="1">
      <c r="A346" s="28">
        <v>19500</v>
      </c>
      <c r="B346" s="91">
        <v>45137.104664351849</v>
      </c>
      <c r="C346" s="28" t="s">
        <v>10</v>
      </c>
      <c r="D346" s="28" t="s">
        <v>252</v>
      </c>
      <c r="E346" s="28" t="s">
        <v>79</v>
      </c>
      <c r="F346" s="28">
        <v>0</v>
      </c>
      <c r="G346" s="28" t="s">
        <v>125</v>
      </c>
      <c r="H346" s="28">
        <v>0</v>
      </c>
      <c r="J346" s="28"/>
    </row>
    <row r="347" spans="1:10" ht="15.75" customHeight="1">
      <c r="A347" s="28">
        <v>19499</v>
      </c>
      <c r="B347" s="91">
        <v>45137.001030092593</v>
      </c>
      <c r="C347" s="28" t="s">
        <v>10</v>
      </c>
      <c r="D347" s="28" t="s">
        <v>253</v>
      </c>
      <c r="E347" s="28" t="s">
        <v>28</v>
      </c>
      <c r="F347" s="28">
        <v>0</v>
      </c>
      <c r="G347" s="28" t="s">
        <v>117</v>
      </c>
      <c r="H347" s="28">
        <v>0</v>
      </c>
      <c r="J347" s="28"/>
    </row>
    <row r="348" spans="1:10" ht="15.75" customHeight="1">
      <c r="A348" s="28">
        <v>19499</v>
      </c>
      <c r="B348" s="91">
        <v>45137.001030092593</v>
      </c>
      <c r="C348" s="28" t="s">
        <v>10</v>
      </c>
      <c r="D348" s="28" t="s">
        <v>253</v>
      </c>
      <c r="E348" s="28" t="s">
        <v>28</v>
      </c>
      <c r="F348" s="28">
        <v>25</v>
      </c>
      <c r="G348" s="28">
        <v>100692</v>
      </c>
      <c r="H348" s="28">
        <v>0</v>
      </c>
      <c r="J348" s="28"/>
    </row>
    <row r="349" spans="1:10" ht="15.75" customHeight="1">
      <c r="A349" s="28">
        <v>19499</v>
      </c>
      <c r="B349" s="91">
        <v>45137.001030092593</v>
      </c>
      <c r="C349" s="28" t="s">
        <v>10</v>
      </c>
      <c r="D349" s="28" t="s">
        <v>253</v>
      </c>
      <c r="E349" s="28" t="s">
        <v>28</v>
      </c>
      <c r="F349" s="28">
        <v>0</v>
      </c>
      <c r="G349" s="28" t="s">
        <v>125</v>
      </c>
      <c r="H349" s="28">
        <v>0</v>
      </c>
      <c r="J349" s="28"/>
    </row>
    <row r="350" spans="1:10" ht="15.75" customHeight="1">
      <c r="A350" s="28">
        <v>19499</v>
      </c>
      <c r="B350" s="91">
        <v>45137.001030092593</v>
      </c>
      <c r="C350" s="28" t="s">
        <v>10</v>
      </c>
      <c r="D350" s="28" t="s">
        <v>253</v>
      </c>
      <c r="E350" s="28" t="s">
        <v>28</v>
      </c>
      <c r="F350" s="28">
        <v>0</v>
      </c>
      <c r="G350" s="28" t="s">
        <v>119</v>
      </c>
      <c r="H350" s="28">
        <v>0</v>
      </c>
      <c r="J350" s="28"/>
    </row>
    <row r="351" spans="1:10" ht="15.75" customHeight="1">
      <c r="A351" s="28">
        <v>19498</v>
      </c>
      <c r="B351" s="91">
        <v>45136.768240740741</v>
      </c>
      <c r="C351" s="28" t="s">
        <v>10</v>
      </c>
      <c r="D351" s="28" t="s">
        <v>254</v>
      </c>
      <c r="E351" s="28" t="s">
        <v>28</v>
      </c>
      <c r="F351" s="28">
        <v>15</v>
      </c>
      <c r="G351" s="28" t="s">
        <v>125</v>
      </c>
      <c r="H351" s="28">
        <v>0</v>
      </c>
      <c r="J351" s="28"/>
    </row>
    <row r="352" spans="1:10" ht="15.75" customHeight="1">
      <c r="A352" s="28">
        <v>19498</v>
      </c>
      <c r="B352" s="91">
        <v>45136.768240740741</v>
      </c>
      <c r="C352" s="28" t="s">
        <v>10</v>
      </c>
      <c r="D352" s="28" t="s">
        <v>254</v>
      </c>
      <c r="E352" s="28" t="s">
        <v>28</v>
      </c>
      <c r="F352" s="28">
        <v>0</v>
      </c>
      <c r="G352" s="28" t="s">
        <v>117</v>
      </c>
      <c r="H352" s="28">
        <v>0</v>
      </c>
      <c r="J352" s="28"/>
    </row>
    <row r="353" spans="1:10" ht="15.75" customHeight="1">
      <c r="A353" s="28">
        <v>19497</v>
      </c>
      <c r="B353" s="91">
        <v>45136.684282407412</v>
      </c>
      <c r="C353" s="28" t="s">
        <v>10</v>
      </c>
      <c r="D353" s="28" t="s">
        <v>255</v>
      </c>
      <c r="E353" s="28" t="s">
        <v>28</v>
      </c>
      <c r="F353" s="28">
        <v>25</v>
      </c>
      <c r="G353" s="28">
        <v>100692</v>
      </c>
      <c r="H353" s="28">
        <v>0</v>
      </c>
      <c r="J353" s="28"/>
    </row>
    <row r="354" spans="1:10" ht="15.75" customHeight="1">
      <c r="A354" s="28">
        <v>19497</v>
      </c>
      <c r="B354" s="91">
        <v>45136.684282407412</v>
      </c>
      <c r="C354" s="28" t="s">
        <v>10</v>
      </c>
      <c r="D354" s="28" t="s">
        <v>255</v>
      </c>
      <c r="E354" s="28" t="s">
        <v>28</v>
      </c>
      <c r="F354" s="28">
        <v>0</v>
      </c>
      <c r="G354" s="28" t="s">
        <v>125</v>
      </c>
      <c r="H354" s="28">
        <v>0</v>
      </c>
      <c r="J354" s="28"/>
    </row>
    <row r="355" spans="1:10" ht="15.75" customHeight="1">
      <c r="A355" s="28">
        <v>19497</v>
      </c>
      <c r="B355" s="91">
        <v>45136.684282407412</v>
      </c>
      <c r="C355" s="28" t="s">
        <v>10</v>
      </c>
      <c r="D355" s="28" t="s">
        <v>255</v>
      </c>
      <c r="E355" s="28" t="s">
        <v>28</v>
      </c>
      <c r="F355" s="28">
        <v>0</v>
      </c>
      <c r="G355" s="28" t="s">
        <v>119</v>
      </c>
      <c r="H355" s="28">
        <v>0</v>
      </c>
      <c r="J355" s="28"/>
    </row>
    <row r="356" spans="1:10" ht="15.75" customHeight="1">
      <c r="A356" s="28">
        <v>19496</v>
      </c>
      <c r="B356" s="91">
        <v>45136.54619212963</v>
      </c>
      <c r="C356" s="28" t="s">
        <v>10</v>
      </c>
      <c r="D356" s="28" t="s">
        <v>256</v>
      </c>
      <c r="E356" s="28" t="s">
        <v>80</v>
      </c>
      <c r="F356" s="28">
        <v>20</v>
      </c>
      <c r="G356" s="28" t="s">
        <v>205</v>
      </c>
      <c r="H356" s="28">
        <v>0</v>
      </c>
      <c r="J356" s="28"/>
    </row>
    <row r="357" spans="1:10" ht="15.75" customHeight="1">
      <c r="A357" s="28">
        <v>19496</v>
      </c>
      <c r="B357" s="91">
        <v>45136.54619212963</v>
      </c>
      <c r="C357" s="28" t="s">
        <v>10</v>
      </c>
      <c r="D357" s="28" t="s">
        <v>256</v>
      </c>
      <c r="E357" s="28" t="s">
        <v>80</v>
      </c>
      <c r="F357" s="28">
        <v>0</v>
      </c>
      <c r="G357" s="28" t="s">
        <v>125</v>
      </c>
      <c r="H357" s="28">
        <v>0</v>
      </c>
      <c r="J357" s="28"/>
    </row>
    <row r="358" spans="1:10" ht="15.75" customHeight="1">
      <c r="A358" s="28">
        <v>19496</v>
      </c>
      <c r="B358" s="91">
        <v>45136.54619212963</v>
      </c>
      <c r="C358" s="28" t="s">
        <v>10</v>
      </c>
      <c r="D358" s="28" t="s">
        <v>256</v>
      </c>
      <c r="E358" s="28" t="s">
        <v>80</v>
      </c>
      <c r="F358" s="28">
        <v>15</v>
      </c>
      <c r="G358" s="28" t="s">
        <v>170</v>
      </c>
      <c r="H358" s="28">
        <v>0</v>
      </c>
      <c r="J358" s="28"/>
    </row>
    <row r="359" spans="1:10" ht="15.75" customHeight="1">
      <c r="A359" s="28">
        <v>19494</v>
      </c>
      <c r="B359" s="91">
        <v>45136.0544212963</v>
      </c>
      <c r="C359" s="28" t="s">
        <v>10</v>
      </c>
      <c r="D359" s="28" t="s">
        <v>257</v>
      </c>
      <c r="E359" s="28" t="s">
        <v>79</v>
      </c>
      <c r="F359" s="28">
        <v>35</v>
      </c>
      <c r="G359" s="28" t="s">
        <v>124</v>
      </c>
      <c r="H359" s="28">
        <v>0</v>
      </c>
      <c r="J359" s="28"/>
    </row>
    <row r="360" spans="1:10" ht="15.75" customHeight="1">
      <c r="A360" s="28">
        <v>19494</v>
      </c>
      <c r="B360" s="91">
        <v>45136.0544212963</v>
      </c>
      <c r="C360" s="28" t="s">
        <v>10</v>
      </c>
      <c r="D360" s="28" t="s">
        <v>257</v>
      </c>
      <c r="E360" s="28" t="s">
        <v>79</v>
      </c>
      <c r="F360" s="28">
        <v>0</v>
      </c>
      <c r="G360" s="28" t="s">
        <v>125</v>
      </c>
      <c r="H360" s="28">
        <v>0</v>
      </c>
      <c r="J360" s="28"/>
    </row>
    <row r="361" spans="1:10" ht="15.75" customHeight="1">
      <c r="A361" s="28">
        <v>19494</v>
      </c>
      <c r="B361" s="91">
        <v>45136.0544212963</v>
      </c>
      <c r="C361" s="28" t="s">
        <v>10</v>
      </c>
      <c r="D361" s="28" t="s">
        <v>257</v>
      </c>
      <c r="E361" s="28" t="s">
        <v>79</v>
      </c>
      <c r="F361" s="28">
        <v>0</v>
      </c>
      <c r="G361" s="28" t="s">
        <v>119</v>
      </c>
      <c r="H361" s="28">
        <v>0</v>
      </c>
      <c r="J361" s="28"/>
    </row>
    <row r="362" spans="1:10" ht="15.75" customHeight="1">
      <c r="A362" s="28">
        <v>19494</v>
      </c>
      <c r="B362" s="91">
        <v>45136.0544212963</v>
      </c>
      <c r="C362" s="28" t="s">
        <v>10</v>
      </c>
      <c r="D362" s="28" t="s">
        <v>257</v>
      </c>
      <c r="E362" s="28" t="s">
        <v>79</v>
      </c>
      <c r="F362" s="28">
        <v>0</v>
      </c>
      <c r="G362" s="28" t="s">
        <v>121</v>
      </c>
      <c r="H362" s="28">
        <v>0</v>
      </c>
      <c r="J362" s="28"/>
    </row>
    <row r="363" spans="1:10" ht="15.75" customHeight="1">
      <c r="A363" s="28">
        <v>19493</v>
      </c>
      <c r="B363" s="91">
        <v>45135.944525462968</v>
      </c>
      <c r="C363" s="28" t="s">
        <v>10</v>
      </c>
      <c r="D363" s="28" t="s">
        <v>258</v>
      </c>
      <c r="E363" s="28" t="s">
        <v>79</v>
      </c>
      <c r="F363" s="28">
        <v>35</v>
      </c>
      <c r="G363" s="28" t="s">
        <v>124</v>
      </c>
      <c r="H363" s="28">
        <v>0</v>
      </c>
      <c r="J363" s="28"/>
    </row>
    <row r="364" spans="1:10" ht="15.75" customHeight="1">
      <c r="A364" s="28">
        <v>19493</v>
      </c>
      <c r="B364" s="91">
        <v>45135.944525462968</v>
      </c>
      <c r="C364" s="28" t="s">
        <v>10</v>
      </c>
      <c r="D364" s="28" t="s">
        <v>258</v>
      </c>
      <c r="E364" s="28" t="s">
        <v>79</v>
      </c>
      <c r="F364" s="28">
        <v>0</v>
      </c>
      <c r="G364" s="28" t="s">
        <v>125</v>
      </c>
      <c r="H364" s="28">
        <v>0</v>
      </c>
      <c r="J364" s="28"/>
    </row>
    <row r="365" spans="1:10" ht="15.75" customHeight="1">
      <c r="A365" s="28">
        <v>19493</v>
      </c>
      <c r="B365" s="91">
        <v>45135.944525462968</v>
      </c>
      <c r="C365" s="28" t="s">
        <v>10</v>
      </c>
      <c r="D365" s="28" t="s">
        <v>258</v>
      </c>
      <c r="E365" s="28" t="s">
        <v>79</v>
      </c>
      <c r="F365" s="28">
        <v>0</v>
      </c>
      <c r="G365" s="28" t="s">
        <v>119</v>
      </c>
      <c r="H365" s="28">
        <v>0</v>
      </c>
      <c r="J365" s="28"/>
    </row>
    <row r="366" spans="1:10" ht="15.75" customHeight="1">
      <c r="A366" s="28">
        <v>19493</v>
      </c>
      <c r="B366" s="91">
        <v>45135.944525462968</v>
      </c>
      <c r="C366" s="28" t="s">
        <v>10</v>
      </c>
      <c r="D366" s="28" t="s">
        <v>258</v>
      </c>
      <c r="E366" s="28" t="s">
        <v>79</v>
      </c>
      <c r="F366" s="28">
        <v>0</v>
      </c>
      <c r="G366" s="28" t="s">
        <v>121</v>
      </c>
      <c r="H366" s="28">
        <v>0</v>
      </c>
      <c r="J366" s="28"/>
    </row>
    <row r="367" spans="1:10" ht="15.75" customHeight="1">
      <c r="A367" s="28">
        <v>19492</v>
      </c>
      <c r="B367" s="91">
        <v>45135.930891203709</v>
      </c>
      <c r="C367" s="28" t="s">
        <v>8</v>
      </c>
      <c r="D367" s="28" t="s">
        <v>259</v>
      </c>
      <c r="E367" s="28" t="s">
        <v>80</v>
      </c>
      <c r="F367" s="28">
        <v>25</v>
      </c>
      <c r="G367" s="28" t="s">
        <v>141</v>
      </c>
      <c r="H367" s="28">
        <v>0</v>
      </c>
      <c r="J367" s="28"/>
    </row>
    <row r="368" spans="1:10" ht="15.75" customHeight="1">
      <c r="A368" s="28">
        <v>19491</v>
      </c>
      <c r="B368" s="91">
        <v>45133.881643518514</v>
      </c>
      <c r="C368" s="28" t="s">
        <v>10</v>
      </c>
      <c r="D368" s="28" t="s">
        <v>260</v>
      </c>
      <c r="E368" s="28" t="s">
        <v>28</v>
      </c>
      <c r="F368" s="28">
        <v>20</v>
      </c>
      <c r="G368" s="28" t="s">
        <v>261</v>
      </c>
      <c r="H368" s="28">
        <v>0</v>
      </c>
      <c r="J368" s="28"/>
    </row>
    <row r="369" spans="1:10" ht="15.75" customHeight="1">
      <c r="A369" s="28">
        <v>19490</v>
      </c>
      <c r="B369" s="91">
        <v>45133.844212962962</v>
      </c>
      <c r="C369" s="28" t="s">
        <v>8</v>
      </c>
      <c r="D369" s="28" t="s">
        <v>262</v>
      </c>
      <c r="E369" s="28" t="s">
        <v>28</v>
      </c>
      <c r="F369" s="28">
        <v>25</v>
      </c>
      <c r="G369" s="28" t="s">
        <v>141</v>
      </c>
      <c r="H369" s="28">
        <v>0</v>
      </c>
      <c r="J369" s="28"/>
    </row>
    <row r="370" spans="1:10" ht="15.75" customHeight="1">
      <c r="A370" s="28">
        <v>19489</v>
      </c>
      <c r="B370" s="91">
        <v>45133.81318287037</v>
      </c>
      <c r="C370" s="28" t="s">
        <v>10</v>
      </c>
      <c r="D370" s="28" t="s">
        <v>263</v>
      </c>
      <c r="E370" s="28" t="s">
        <v>28</v>
      </c>
      <c r="F370" s="28">
        <v>25</v>
      </c>
      <c r="G370" s="28">
        <v>100692</v>
      </c>
      <c r="H370" s="28">
        <v>0</v>
      </c>
      <c r="J370" s="28"/>
    </row>
    <row r="371" spans="1:10" ht="15.75" customHeight="1">
      <c r="A371" s="28">
        <v>19489</v>
      </c>
      <c r="B371" s="91">
        <v>45133.81318287037</v>
      </c>
      <c r="C371" s="28" t="s">
        <v>10</v>
      </c>
      <c r="D371" s="28" t="s">
        <v>263</v>
      </c>
      <c r="E371" s="28" t="s">
        <v>28</v>
      </c>
      <c r="F371" s="28">
        <v>0</v>
      </c>
      <c r="G371" s="28" t="s">
        <v>125</v>
      </c>
      <c r="H371" s="28">
        <v>0</v>
      </c>
      <c r="J371" s="28"/>
    </row>
    <row r="372" spans="1:10" ht="15.75" customHeight="1">
      <c r="A372" s="28">
        <v>19489</v>
      </c>
      <c r="B372" s="91">
        <v>45133.81318287037</v>
      </c>
      <c r="C372" s="28" t="s">
        <v>10</v>
      </c>
      <c r="D372" s="28" t="s">
        <v>263</v>
      </c>
      <c r="E372" s="28" t="s">
        <v>28</v>
      </c>
      <c r="F372" s="28">
        <v>0</v>
      </c>
      <c r="G372" s="28" t="s">
        <v>119</v>
      </c>
      <c r="H372" s="28">
        <v>0</v>
      </c>
      <c r="J372" s="28"/>
    </row>
    <row r="373" spans="1:10" ht="15.75" customHeight="1">
      <c r="A373" s="28">
        <v>19489</v>
      </c>
      <c r="B373" s="91">
        <v>45133.81318287037</v>
      </c>
      <c r="C373" s="28" t="s">
        <v>10</v>
      </c>
      <c r="D373" s="28" t="s">
        <v>263</v>
      </c>
      <c r="E373" s="28" t="s">
        <v>28</v>
      </c>
      <c r="F373" s="28">
        <v>0</v>
      </c>
      <c r="G373" s="28" t="s">
        <v>117</v>
      </c>
      <c r="H373" s="28">
        <v>0</v>
      </c>
      <c r="J373" s="28"/>
    </row>
    <row r="374" spans="1:10" ht="15.75" customHeight="1">
      <c r="A374" s="28">
        <v>19488</v>
      </c>
      <c r="B374" s="91">
        <v>45133.810659722221</v>
      </c>
      <c r="C374" s="28" t="s">
        <v>10</v>
      </c>
      <c r="D374" s="28" t="s">
        <v>264</v>
      </c>
      <c r="E374" s="28" t="s">
        <v>28</v>
      </c>
      <c r="F374" s="28">
        <v>25</v>
      </c>
      <c r="G374" s="28">
        <v>100692</v>
      </c>
      <c r="H374" s="28">
        <v>0</v>
      </c>
      <c r="J374" s="28"/>
    </row>
    <row r="375" spans="1:10" ht="15.75" customHeight="1">
      <c r="A375" s="28">
        <v>19488</v>
      </c>
      <c r="B375" s="91">
        <v>45133.810659722221</v>
      </c>
      <c r="C375" s="28" t="s">
        <v>10</v>
      </c>
      <c r="D375" s="28" t="s">
        <v>264</v>
      </c>
      <c r="E375" s="28" t="s">
        <v>28</v>
      </c>
      <c r="F375" s="28">
        <v>0</v>
      </c>
      <c r="G375" s="28" t="s">
        <v>125</v>
      </c>
      <c r="H375" s="28">
        <v>0</v>
      </c>
      <c r="J375" s="28"/>
    </row>
    <row r="376" spans="1:10" ht="15.75" customHeight="1">
      <c r="A376" s="28">
        <v>19488</v>
      </c>
      <c r="B376" s="91">
        <v>45133.810659722221</v>
      </c>
      <c r="C376" s="28" t="s">
        <v>10</v>
      </c>
      <c r="D376" s="28" t="s">
        <v>264</v>
      </c>
      <c r="E376" s="28" t="s">
        <v>28</v>
      </c>
      <c r="F376" s="28">
        <v>0</v>
      </c>
      <c r="G376" s="28" t="s">
        <v>119</v>
      </c>
      <c r="H376" s="28">
        <v>0</v>
      </c>
      <c r="J376" s="28"/>
    </row>
    <row r="377" spans="1:10" ht="15.75" customHeight="1">
      <c r="A377" s="28">
        <v>19488</v>
      </c>
      <c r="B377" s="91">
        <v>45133.810659722221</v>
      </c>
      <c r="C377" s="28" t="s">
        <v>10</v>
      </c>
      <c r="D377" s="28" t="s">
        <v>264</v>
      </c>
      <c r="E377" s="28" t="s">
        <v>28</v>
      </c>
      <c r="F377" s="28">
        <v>0</v>
      </c>
      <c r="G377" s="28" t="s">
        <v>117</v>
      </c>
      <c r="H377" s="28">
        <v>0</v>
      </c>
      <c r="J377" s="28"/>
    </row>
    <row r="378" spans="1:10" ht="15.75" customHeight="1">
      <c r="A378" s="28">
        <v>19487</v>
      </c>
      <c r="B378" s="91">
        <v>45133.808634259258</v>
      </c>
      <c r="C378" s="28" t="s">
        <v>10</v>
      </c>
      <c r="D378" s="28" t="s">
        <v>265</v>
      </c>
      <c r="E378" s="28" t="s">
        <v>28</v>
      </c>
      <c r="F378" s="28">
        <v>0</v>
      </c>
      <c r="G378" s="28" t="s">
        <v>117</v>
      </c>
      <c r="H378" s="28">
        <v>0</v>
      </c>
      <c r="J378" s="28"/>
    </row>
    <row r="379" spans="1:10" ht="15.75" customHeight="1">
      <c r="A379" s="28">
        <v>19486</v>
      </c>
      <c r="B379" s="91">
        <v>45133.807060185187</v>
      </c>
      <c r="C379" s="28" t="s">
        <v>10</v>
      </c>
      <c r="D379" s="28" t="s">
        <v>265</v>
      </c>
      <c r="E379" s="28" t="s">
        <v>28</v>
      </c>
      <c r="F379" s="28">
        <v>25</v>
      </c>
      <c r="G379" s="28">
        <v>100692</v>
      </c>
      <c r="H379" s="28">
        <v>0</v>
      </c>
      <c r="J379" s="28"/>
    </row>
    <row r="380" spans="1:10" ht="15.75" customHeight="1">
      <c r="A380" s="28">
        <v>19486</v>
      </c>
      <c r="B380" s="91">
        <v>45133.807060185187</v>
      </c>
      <c r="C380" s="28" t="s">
        <v>10</v>
      </c>
      <c r="D380" s="28" t="s">
        <v>265</v>
      </c>
      <c r="E380" s="28" t="s">
        <v>28</v>
      </c>
      <c r="F380" s="28">
        <v>0</v>
      </c>
      <c r="G380" s="28" t="s">
        <v>125</v>
      </c>
      <c r="H380" s="28">
        <v>0</v>
      </c>
      <c r="J380" s="28"/>
    </row>
    <row r="381" spans="1:10" ht="15.75" customHeight="1">
      <c r="A381" s="28">
        <v>19486</v>
      </c>
      <c r="B381" s="91">
        <v>45133.807060185187</v>
      </c>
      <c r="C381" s="28" t="s">
        <v>10</v>
      </c>
      <c r="D381" s="28" t="s">
        <v>265</v>
      </c>
      <c r="E381" s="28" t="s">
        <v>28</v>
      </c>
      <c r="F381" s="28">
        <v>0</v>
      </c>
      <c r="G381" s="28" t="s">
        <v>119</v>
      </c>
      <c r="H381" s="28">
        <v>0</v>
      </c>
      <c r="J381" s="28"/>
    </row>
    <row r="382" spans="1:10" ht="15.75" customHeight="1">
      <c r="A382" s="28">
        <v>19485</v>
      </c>
      <c r="B382" s="91">
        <v>45133.607789351852</v>
      </c>
      <c r="C382" s="28" t="s">
        <v>10</v>
      </c>
      <c r="D382" s="28" t="s">
        <v>266</v>
      </c>
      <c r="E382" s="28" t="s">
        <v>28</v>
      </c>
      <c r="F382" s="28">
        <v>18</v>
      </c>
      <c r="G382" s="28" t="s">
        <v>267</v>
      </c>
      <c r="H382" s="28">
        <v>0</v>
      </c>
      <c r="J382" s="28"/>
    </row>
    <row r="383" spans="1:10" ht="15.75" customHeight="1">
      <c r="A383" s="28">
        <v>19484</v>
      </c>
      <c r="B383" s="91">
        <v>45133.55668981481</v>
      </c>
      <c r="C383" s="28" t="s">
        <v>10</v>
      </c>
      <c r="D383" s="28" t="s">
        <v>268</v>
      </c>
      <c r="E383" s="28" t="s">
        <v>28</v>
      </c>
      <c r="F383" s="28">
        <v>28</v>
      </c>
      <c r="G383" s="28" t="s">
        <v>143</v>
      </c>
      <c r="H383" s="28">
        <v>0</v>
      </c>
      <c r="J383" s="28"/>
    </row>
    <row r="384" spans="1:10" ht="15.75" customHeight="1">
      <c r="A384" s="28">
        <v>19484</v>
      </c>
      <c r="B384" s="91">
        <v>45133.55668981481</v>
      </c>
      <c r="C384" s="28" t="s">
        <v>10</v>
      </c>
      <c r="D384" s="28" t="s">
        <v>268</v>
      </c>
      <c r="E384" s="28" t="s">
        <v>28</v>
      </c>
      <c r="F384" s="28">
        <v>15</v>
      </c>
      <c r="G384" s="28" t="s">
        <v>170</v>
      </c>
      <c r="H384" s="28">
        <v>0</v>
      </c>
      <c r="J384" s="28"/>
    </row>
    <row r="385" spans="1:10" ht="15.75" customHeight="1">
      <c r="A385" s="28">
        <v>19483</v>
      </c>
      <c r="B385" s="91">
        <v>45133.090150462958</v>
      </c>
      <c r="C385" s="28" t="s">
        <v>10</v>
      </c>
      <c r="D385" s="28" t="s">
        <v>269</v>
      </c>
      <c r="E385" s="28" t="s">
        <v>28</v>
      </c>
      <c r="F385" s="28">
        <v>0</v>
      </c>
      <c r="G385" s="28" t="s">
        <v>117</v>
      </c>
      <c r="H385" s="28">
        <v>0</v>
      </c>
      <c r="J385" s="28"/>
    </row>
    <row r="386" spans="1:10" ht="15.75" customHeight="1">
      <c r="A386" s="28">
        <v>19483</v>
      </c>
      <c r="B386" s="91">
        <v>45133.090150462958</v>
      </c>
      <c r="C386" s="28" t="s">
        <v>10</v>
      </c>
      <c r="D386" s="28" t="s">
        <v>269</v>
      </c>
      <c r="E386" s="28" t="s">
        <v>28</v>
      </c>
      <c r="F386" s="28">
        <v>20</v>
      </c>
      <c r="G386" s="28" t="s">
        <v>121</v>
      </c>
      <c r="H386" s="28">
        <v>0</v>
      </c>
      <c r="J386" s="28"/>
    </row>
    <row r="387" spans="1:10" ht="15.75" customHeight="1">
      <c r="A387" s="28">
        <v>19482</v>
      </c>
      <c r="B387" s="91">
        <v>45132.848402777774</v>
      </c>
      <c r="C387" s="28" t="s">
        <v>10</v>
      </c>
      <c r="D387" s="28" t="s">
        <v>270</v>
      </c>
      <c r="E387" s="28" t="s">
        <v>28</v>
      </c>
      <c r="F387" s="28">
        <v>26</v>
      </c>
      <c r="G387" s="28" t="s">
        <v>122</v>
      </c>
      <c r="H387" s="28">
        <v>0</v>
      </c>
      <c r="J387" s="28"/>
    </row>
    <row r="388" spans="1:10" ht="15.75" customHeight="1">
      <c r="A388" s="28">
        <v>19482</v>
      </c>
      <c r="B388" s="91">
        <v>45132.848402777774</v>
      </c>
      <c r="C388" s="28" t="s">
        <v>10</v>
      </c>
      <c r="D388" s="28" t="s">
        <v>270</v>
      </c>
      <c r="E388" s="28" t="s">
        <v>28</v>
      </c>
      <c r="F388" s="28">
        <v>28</v>
      </c>
      <c r="G388" s="28" t="s">
        <v>143</v>
      </c>
      <c r="H388" s="28">
        <v>0</v>
      </c>
      <c r="J388" s="28"/>
    </row>
    <row r="389" spans="1:10" ht="15.75" customHeight="1">
      <c r="A389" s="28">
        <v>19482</v>
      </c>
      <c r="B389" s="91">
        <v>45132.848402777774</v>
      </c>
      <c r="C389" s="28" t="s">
        <v>10</v>
      </c>
      <c r="D389" s="28" t="s">
        <v>270</v>
      </c>
      <c r="E389" s="28" t="s">
        <v>28</v>
      </c>
      <c r="F389" s="28">
        <v>15</v>
      </c>
      <c r="G389" s="28" t="s">
        <v>170</v>
      </c>
      <c r="H389" s="28">
        <v>0</v>
      </c>
      <c r="J389" s="28"/>
    </row>
    <row r="390" spans="1:10" ht="15.75" customHeight="1">
      <c r="A390" s="28">
        <v>19481</v>
      </c>
      <c r="B390" s="91">
        <v>45132.789039351846</v>
      </c>
      <c r="C390" s="28" t="s">
        <v>10</v>
      </c>
      <c r="D390" s="28" t="s">
        <v>271</v>
      </c>
      <c r="E390" s="28" t="s">
        <v>28</v>
      </c>
      <c r="F390" s="28">
        <v>25</v>
      </c>
      <c r="G390" s="28">
        <v>100692</v>
      </c>
      <c r="H390" s="28">
        <v>0</v>
      </c>
      <c r="J390" s="28"/>
    </row>
    <row r="391" spans="1:10" ht="15.75" customHeight="1">
      <c r="A391" s="28">
        <v>19481</v>
      </c>
      <c r="B391" s="91">
        <v>45132.789039351846</v>
      </c>
      <c r="C391" s="28" t="s">
        <v>10</v>
      </c>
      <c r="D391" s="28" t="s">
        <v>271</v>
      </c>
      <c r="E391" s="28" t="s">
        <v>28</v>
      </c>
      <c r="F391" s="28">
        <v>0</v>
      </c>
      <c r="G391" s="28" t="s">
        <v>125</v>
      </c>
      <c r="H391" s="28">
        <v>0</v>
      </c>
      <c r="J391" s="28"/>
    </row>
    <row r="392" spans="1:10" ht="15.75" customHeight="1">
      <c r="A392" s="28">
        <v>19481</v>
      </c>
      <c r="B392" s="91">
        <v>45132.789039351846</v>
      </c>
      <c r="C392" s="28" t="s">
        <v>10</v>
      </c>
      <c r="D392" s="28" t="s">
        <v>271</v>
      </c>
      <c r="E392" s="28" t="s">
        <v>28</v>
      </c>
      <c r="F392" s="28">
        <v>0</v>
      </c>
      <c r="G392" s="28" t="s">
        <v>119</v>
      </c>
      <c r="H392" s="28">
        <v>0</v>
      </c>
      <c r="J392" s="28"/>
    </row>
    <row r="393" spans="1:10" ht="15.75" customHeight="1">
      <c r="A393" s="28">
        <v>19480</v>
      </c>
      <c r="B393" s="91">
        <v>45132.615300925929</v>
      </c>
      <c r="C393" s="28" t="s">
        <v>10</v>
      </c>
      <c r="D393" s="28" t="s">
        <v>272</v>
      </c>
      <c r="E393" s="28" t="s">
        <v>28</v>
      </c>
      <c r="F393" s="28">
        <v>18</v>
      </c>
      <c r="G393" s="28" t="s">
        <v>267</v>
      </c>
      <c r="H393" s="28">
        <v>0</v>
      </c>
      <c r="J393" s="28"/>
    </row>
    <row r="394" spans="1:10" ht="15.75" customHeight="1">
      <c r="A394" s="28">
        <v>19479</v>
      </c>
      <c r="B394" s="91">
        <v>45132.60020833333</v>
      </c>
      <c r="C394" s="28" t="s">
        <v>10</v>
      </c>
      <c r="D394" s="28" t="s">
        <v>273</v>
      </c>
      <c r="E394" s="28" t="s">
        <v>28</v>
      </c>
      <c r="F394" s="28">
        <v>25</v>
      </c>
      <c r="G394" s="28">
        <v>100692</v>
      </c>
      <c r="H394" s="28">
        <v>0</v>
      </c>
      <c r="J394" s="28"/>
    </row>
    <row r="395" spans="1:10" ht="15.75" customHeight="1">
      <c r="A395" s="28">
        <v>19479</v>
      </c>
      <c r="B395" s="91">
        <v>45132.60020833333</v>
      </c>
      <c r="C395" s="28" t="s">
        <v>10</v>
      </c>
      <c r="D395" s="28" t="s">
        <v>273</v>
      </c>
      <c r="E395" s="28" t="s">
        <v>28</v>
      </c>
      <c r="F395" s="28">
        <v>0</v>
      </c>
      <c r="G395" s="28" t="s">
        <v>125</v>
      </c>
      <c r="H395" s="28">
        <v>0</v>
      </c>
      <c r="J395" s="28"/>
    </row>
    <row r="396" spans="1:10" ht="15.75" customHeight="1">
      <c r="A396" s="28">
        <v>19479</v>
      </c>
      <c r="B396" s="91">
        <v>45132.60020833333</v>
      </c>
      <c r="C396" s="28" t="s">
        <v>10</v>
      </c>
      <c r="D396" s="28" t="s">
        <v>273</v>
      </c>
      <c r="E396" s="28" t="s">
        <v>28</v>
      </c>
      <c r="F396" s="28">
        <v>0</v>
      </c>
      <c r="G396" s="28" t="s">
        <v>119</v>
      </c>
      <c r="H396" s="28">
        <v>0</v>
      </c>
      <c r="J396" s="28"/>
    </row>
    <row r="397" spans="1:10" ht="15.75" customHeight="1">
      <c r="A397" s="28">
        <v>19478</v>
      </c>
      <c r="B397" s="91">
        <v>45132.051481481481</v>
      </c>
      <c r="C397" s="28" t="s">
        <v>10</v>
      </c>
      <c r="D397" s="28" t="s">
        <v>274</v>
      </c>
      <c r="E397" s="28" t="s">
        <v>79</v>
      </c>
      <c r="F397" s="28">
        <v>25</v>
      </c>
      <c r="G397" s="28">
        <v>100692</v>
      </c>
      <c r="H397" s="28">
        <v>0</v>
      </c>
      <c r="J397" s="28"/>
    </row>
    <row r="398" spans="1:10" ht="15.75" customHeight="1">
      <c r="A398" s="28">
        <v>19478</v>
      </c>
      <c r="B398" s="91">
        <v>45132.051481481481</v>
      </c>
      <c r="C398" s="28" t="s">
        <v>10</v>
      </c>
      <c r="D398" s="28" t="s">
        <v>274</v>
      </c>
      <c r="E398" s="28" t="s">
        <v>79</v>
      </c>
      <c r="F398" s="28">
        <v>0</v>
      </c>
      <c r="G398" s="28" t="s">
        <v>125</v>
      </c>
      <c r="H398" s="28">
        <v>0</v>
      </c>
      <c r="J398" s="28"/>
    </row>
    <row r="399" spans="1:10" ht="15.75" customHeight="1">
      <c r="A399" s="28">
        <v>19478</v>
      </c>
      <c r="B399" s="91">
        <v>45132.051481481481</v>
      </c>
      <c r="C399" s="28" t="s">
        <v>10</v>
      </c>
      <c r="D399" s="28" t="s">
        <v>274</v>
      </c>
      <c r="E399" s="28" t="s">
        <v>79</v>
      </c>
      <c r="F399" s="28">
        <v>0</v>
      </c>
      <c r="G399" s="28" t="s">
        <v>119</v>
      </c>
      <c r="H399" s="28">
        <v>0</v>
      </c>
      <c r="J399" s="28"/>
    </row>
    <row r="400" spans="1:10" ht="15.75" customHeight="1">
      <c r="A400" s="28">
        <v>19477</v>
      </c>
      <c r="B400" s="91">
        <v>45131.873032407406</v>
      </c>
      <c r="C400" s="28" t="s">
        <v>10</v>
      </c>
      <c r="D400" s="28" t="s">
        <v>275</v>
      </c>
      <c r="E400" s="28" t="s">
        <v>28</v>
      </c>
      <c r="F400" s="28">
        <v>0</v>
      </c>
      <c r="G400" s="28" t="s">
        <v>117</v>
      </c>
      <c r="H400" s="28">
        <v>0</v>
      </c>
      <c r="J400" s="28"/>
    </row>
    <row r="401" spans="1:10" ht="15.75" customHeight="1">
      <c r="A401" s="28">
        <v>19476</v>
      </c>
      <c r="B401" s="91">
        <v>45131.000740740739</v>
      </c>
      <c r="C401" s="28" t="s">
        <v>10</v>
      </c>
      <c r="D401" s="28" t="s">
        <v>276</v>
      </c>
      <c r="E401" s="28" t="s">
        <v>28</v>
      </c>
      <c r="F401" s="28">
        <v>15</v>
      </c>
      <c r="G401" s="28" t="s">
        <v>170</v>
      </c>
      <c r="H401" s="28">
        <v>0</v>
      </c>
      <c r="J401" s="28"/>
    </row>
    <row r="402" spans="1:10" ht="15.75" customHeight="1">
      <c r="A402" s="28">
        <v>19476</v>
      </c>
      <c r="B402" s="91">
        <v>45131.000740740739</v>
      </c>
      <c r="C402" s="28" t="s">
        <v>10</v>
      </c>
      <c r="D402" s="28" t="s">
        <v>276</v>
      </c>
      <c r="E402" s="28" t="s">
        <v>28</v>
      </c>
      <c r="F402" s="28">
        <v>0</v>
      </c>
      <c r="G402" s="28" t="s">
        <v>117</v>
      </c>
      <c r="H402" s="28">
        <v>0</v>
      </c>
      <c r="J402" s="28"/>
    </row>
    <row r="403" spans="1:10" ht="15.75" customHeight="1">
      <c r="A403" s="28">
        <v>19475</v>
      </c>
      <c r="B403" s="91">
        <v>45130.998402777783</v>
      </c>
      <c r="C403" s="28" t="s">
        <v>10</v>
      </c>
      <c r="D403" s="28" t="s">
        <v>277</v>
      </c>
      <c r="E403" s="28" t="s">
        <v>28</v>
      </c>
      <c r="F403" s="28">
        <v>15</v>
      </c>
      <c r="G403" s="28" t="s">
        <v>170</v>
      </c>
      <c r="H403" s="28">
        <v>0</v>
      </c>
      <c r="J403" s="28"/>
    </row>
    <row r="404" spans="1:10" ht="15.75" customHeight="1">
      <c r="A404" s="28">
        <v>19474</v>
      </c>
      <c r="B404" s="91">
        <v>45130.982870370368</v>
      </c>
      <c r="C404" s="28" t="s">
        <v>8</v>
      </c>
      <c r="D404" s="28" t="s">
        <v>278</v>
      </c>
      <c r="E404" s="28" t="s">
        <v>79</v>
      </c>
      <c r="F404" s="28">
        <v>28</v>
      </c>
      <c r="G404" s="28" t="s">
        <v>143</v>
      </c>
      <c r="H404" s="28">
        <v>0</v>
      </c>
      <c r="J404" s="28"/>
    </row>
    <row r="405" spans="1:10" ht="15.75" customHeight="1">
      <c r="A405" s="28">
        <v>19473</v>
      </c>
      <c r="B405" s="91">
        <v>45130.980358796296</v>
      </c>
      <c r="C405" s="28" t="s">
        <v>10</v>
      </c>
      <c r="D405" s="28" t="s">
        <v>279</v>
      </c>
      <c r="E405" s="28" t="s">
        <v>79</v>
      </c>
      <c r="F405" s="28">
        <v>28</v>
      </c>
      <c r="G405" s="28" t="s">
        <v>143</v>
      </c>
      <c r="H405" s="28">
        <v>0</v>
      </c>
      <c r="J405" s="28"/>
    </row>
    <row r="406" spans="1:10" ht="15.75" customHeight="1">
      <c r="A406" s="28">
        <v>19472</v>
      </c>
      <c r="B406" s="91">
        <v>45130.741759259261</v>
      </c>
      <c r="C406" s="28" t="s">
        <v>10</v>
      </c>
      <c r="D406" s="28" t="s">
        <v>280</v>
      </c>
      <c r="E406" s="28" t="s">
        <v>28</v>
      </c>
      <c r="F406" s="28">
        <v>25</v>
      </c>
      <c r="G406" s="28">
        <v>100692</v>
      </c>
      <c r="H406" s="28">
        <v>0</v>
      </c>
      <c r="J406" s="28"/>
    </row>
    <row r="407" spans="1:10" ht="15.75" customHeight="1">
      <c r="A407" s="28">
        <v>19472</v>
      </c>
      <c r="B407" s="91">
        <v>45130.741759259261</v>
      </c>
      <c r="C407" s="28" t="s">
        <v>10</v>
      </c>
      <c r="D407" s="28" t="s">
        <v>280</v>
      </c>
      <c r="E407" s="28" t="s">
        <v>28</v>
      </c>
      <c r="F407" s="28">
        <v>0</v>
      </c>
      <c r="G407" s="28" t="s">
        <v>125</v>
      </c>
      <c r="H407" s="28">
        <v>0</v>
      </c>
      <c r="J407" s="28"/>
    </row>
    <row r="408" spans="1:10" ht="15.75" customHeight="1">
      <c r="A408" s="28">
        <v>19472</v>
      </c>
      <c r="B408" s="91">
        <v>45130.741759259261</v>
      </c>
      <c r="C408" s="28" t="s">
        <v>10</v>
      </c>
      <c r="D408" s="28" t="s">
        <v>280</v>
      </c>
      <c r="E408" s="28" t="s">
        <v>28</v>
      </c>
      <c r="F408" s="28">
        <v>0</v>
      </c>
      <c r="G408" s="28" t="s">
        <v>119</v>
      </c>
      <c r="H408" s="28">
        <v>0</v>
      </c>
      <c r="J408" s="28"/>
    </row>
    <row r="409" spans="1:10" ht="15.75" customHeight="1">
      <c r="A409" s="28">
        <v>19470</v>
      </c>
      <c r="B409" s="91">
        <v>45130.559641203705</v>
      </c>
      <c r="C409" s="28" t="s">
        <v>10</v>
      </c>
      <c r="D409" s="28" t="s">
        <v>281</v>
      </c>
      <c r="E409" s="28" t="s">
        <v>28</v>
      </c>
      <c r="F409" s="28">
        <v>0</v>
      </c>
      <c r="G409" s="28" t="s">
        <v>117</v>
      </c>
      <c r="H409" s="28">
        <v>0</v>
      </c>
      <c r="J409" s="28"/>
    </row>
    <row r="410" spans="1:10" ht="15.75" customHeight="1">
      <c r="A410" s="28">
        <v>19469</v>
      </c>
      <c r="B410" s="91">
        <v>45129.085717592592</v>
      </c>
      <c r="C410" s="28" t="s">
        <v>10</v>
      </c>
      <c r="D410" s="28" t="s">
        <v>282</v>
      </c>
      <c r="E410" s="28" t="s">
        <v>28</v>
      </c>
      <c r="F410" s="28">
        <v>25</v>
      </c>
      <c r="G410" s="28" t="s">
        <v>141</v>
      </c>
      <c r="H410" s="28">
        <v>0</v>
      </c>
      <c r="J410" s="28"/>
    </row>
    <row r="411" spans="1:10" ht="15.75" customHeight="1">
      <c r="A411" s="28">
        <v>19469</v>
      </c>
      <c r="B411" s="91">
        <v>45129.085717592592</v>
      </c>
      <c r="C411" s="28" t="s">
        <v>10</v>
      </c>
      <c r="D411" s="28" t="s">
        <v>282</v>
      </c>
      <c r="E411" s="28" t="s">
        <v>28</v>
      </c>
      <c r="F411" s="28">
        <v>18</v>
      </c>
      <c r="G411" s="28" t="s">
        <v>119</v>
      </c>
      <c r="H411" s="28">
        <v>0</v>
      </c>
      <c r="J411" s="28"/>
    </row>
    <row r="412" spans="1:10" ht="15.75" customHeight="1">
      <c r="A412" s="28">
        <v>19469</v>
      </c>
      <c r="B412" s="91">
        <v>45129.085717592592</v>
      </c>
      <c r="C412" s="28" t="s">
        <v>10</v>
      </c>
      <c r="D412" s="28" t="s">
        <v>282</v>
      </c>
      <c r="E412" s="28" t="s">
        <v>28</v>
      </c>
      <c r="F412" s="28">
        <v>20</v>
      </c>
      <c r="G412" s="28" t="s">
        <v>121</v>
      </c>
      <c r="H412" s="28">
        <v>0</v>
      </c>
      <c r="J412" s="28"/>
    </row>
    <row r="413" spans="1:10" ht="15.75" customHeight="1">
      <c r="A413" s="28">
        <v>19468</v>
      </c>
      <c r="B413" s="91">
        <v>45128.886886574073</v>
      </c>
      <c r="C413" s="28" t="s">
        <v>10</v>
      </c>
      <c r="D413" s="28" t="s">
        <v>283</v>
      </c>
      <c r="E413" s="28" t="s">
        <v>79</v>
      </c>
      <c r="F413" s="28">
        <v>55</v>
      </c>
      <c r="G413" s="28">
        <v>101684</v>
      </c>
      <c r="H413" s="28">
        <v>0</v>
      </c>
      <c r="J413" s="28"/>
    </row>
    <row r="414" spans="1:10" ht="15.75" customHeight="1">
      <c r="A414" s="28">
        <v>19468</v>
      </c>
      <c r="B414" s="91">
        <v>45128.886886574073</v>
      </c>
      <c r="C414" s="28" t="s">
        <v>10</v>
      </c>
      <c r="D414" s="28" t="s">
        <v>283</v>
      </c>
      <c r="E414" s="28" t="s">
        <v>79</v>
      </c>
      <c r="F414" s="28">
        <v>0</v>
      </c>
      <c r="G414" s="28" t="s">
        <v>118</v>
      </c>
      <c r="H414" s="28">
        <v>0</v>
      </c>
      <c r="J414" s="28"/>
    </row>
    <row r="415" spans="1:10" ht="15.75" customHeight="1">
      <c r="A415" s="28">
        <v>19468</v>
      </c>
      <c r="B415" s="91">
        <v>45128.886886574073</v>
      </c>
      <c r="C415" s="28" t="s">
        <v>10</v>
      </c>
      <c r="D415" s="28" t="s">
        <v>283</v>
      </c>
      <c r="E415" s="28" t="s">
        <v>79</v>
      </c>
      <c r="F415" s="28">
        <v>0</v>
      </c>
      <c r="G415" s="28" t="s">
        <v>119</v>
      </c>
      <c r="H415" s="28">
        <v>0</v>
      </c>
      <c r="J415" s="28"/>
    </row>
    <row r="416" spans="1:10" ht="15.75" customHeight="1">
      <c r="A416" s="28">
        <v>19468</v>
      </c>
      <c r="B416" s="91">
        <v>45128.886886574073</v>
      </c>
      <c r="C416" s="28" t="s">
        <v>10</v>
      </c>
      <c r="D416" s="28" t="s">
        <v>283</v>
      </c>
      <c r="E416" s="28" t="s">
        <v>79</v>
      </c>
      <c r="F416" s="28">
        <v>0</v>
      </c>
      <c r="G416" s="28" t="s">
        <v>120</v>
      </c>
      <c r="H416" s="28">
        <v>0</v>
      </c>
      <c r="J416" s="28"/>
    </row>
    <row r="417" spans="1:10" ht="15.75" customHeight="1">
      <c r="A417" s="28">
        <v>19468</v>
      </c>
      <c r="B417" s="91">
        <v>45128.886886574073</v>
      </c>
      <c r="C417" s="28" t="s">
        <v>10</v>
      </c>
      <c r="D417" s="28" t="s">
        <v>283</v>
      </c>
      <c r="E417" s="28" t="s">
        <v>79</v>
      </c>
      <c r="F417" s="28">
        <v>0</v>
      </c>
      <c r="G417" s="28" t="s">
        <v>121</v>
      </c>
      <c r="H417" s="28">
        <v>0</v>
      </c>
      <c r="J417" s="28"/>
    </row>
    <row r="418" spans="1:10" ht="15.75" customHeight="1">
      <c r="A418" s="28">
        <v>19467</v>
      </c>
      <c r="B418" s="91">
        <v>45128.732800925922</v>
      </c>
      <c r="C418" s="28" t="s">
        <v>10</v>
      </c>
      <c r="D418" s="28" t="s">
        <v>284</v>
      </c>
      <c r="E418" s="28" t="s">
        <v>28</v>
      </c>
      <c r="F418" s="28">
        <v>0</v>
      </c>
      <c r="G418" s="28" t="s">
        <v>117</v>
      </c>
      <c r="H418" s="28">
        <v>0</v>
      </c>
      <c r="J418" s="28"/>
    </row>
    <row r="419" spans="1:10" ht="15.75" customHeight="1">
      <c r="A419" s="28">
        <v>19467</v>
      </c>
      <c r="B419" s="91">
        <v>45128.732800925922</v>
      </c>
      <c r="C419" s="28" t="s">
        <v>10</v>
      </c>
      <c r="D419" s="28" t="s">
        <v>284</v>
      </c>
      <c r="E419" s="28" t="s">
        <v>28</v>
      </c>
      <c r="F419" s="28">
        <v>18</v>
      </c>
      <c r="G419" s="28" t="s">
        <v>119</v>
      </c>
      <c r="H419" s="28">
        <v>0</v>
      </c>
      <c r="J419" s="28"/>
    </row>
    <row r="420" spans="1:10" ht="15.75" customHeight="1">
      <c r="A420" s="28">
        <v>19466</v>
      </c>
      <c r="B420" s="91">
        <v>45128.648726851854</v>
      </c>
      <c r="C420" s="28" t="s">
        <v>10</v>
      </c>
      <c r="D420" s="28" t="s">
        <v>285</v>
      </c>
      <c r="E420" s="28" t="s">
        <v>79</v>
      </c>
      <c r="F420" s="28">
        <v>40</v>
      </c>
      <c r="G420" s="28" t="s">
        <v>286</v>
      </c>
      <c r="H420" s="28">
        <v>0</v>
      </c>
      <c r="J420" s="28"/>
    </row>
    <row r="421" spans="1:10" ht="15.75" customHeight="1">
      <c r="A421" s="28">
        <v>19465</v>
      </c>
      <c r="B421" s="91">
        <v>45128.044317129628</v>
      </c>
      <c r="C421" s="28" t="s">
        <v>10</v>
      </c>
      <c r="D421" s="28" t="s">
        <v>287</v>
      </c>
      <c r="E421" s="28" t="s">
        <v>79</v>
      </c>
      <c r="F421" s="28">
        <v>18</v>
      </c>
      <c r="G421" s="28" t="s">
        <v>119</v>
      </c>
      <c r="H421" s="28">
        <v>0</v>
      </c>
      <c r="J421" s="28"/>
    </row>
    <row r="422" spans="1:10" ht="15.75" customHeight="1">
      <c r="A422" s="28">
        <v>19464</v>
      </c>
      <c r="B422" s="91">
        <v>45127.885381944448</v>
      </c>
      <c r="C422" s="28" t="s">
        <v>10</v>
      </c>
      <c r="D422" s="28" t="s">
        <v>288</v>
      </c>
      <c r="E422" s="28" t="s">
        <v>28</v>
      </c>
      <c r="F422" s="28">
        <v>26</v>
      </c>
      <c r="G422" s="28" t="s">
        <v>122</v>
      </c>
      <c r="H422" s="28">
        <v>0</v>
      </c>
      <c r="J422" s="28"/>
    </row>
    <row r="423" spans="1:10" ht="15.75" customHeight="1">
      <c r="A423" s="28">
        <v>19464</v>
      </c>
      <c r="B423" s="91">
        <v>45127.885381944448</v>
      </c>
      <c r="C423" s="28" t="s">
        <v>10</v>
      </c>
      <c r="D423" s="28" t="s">
        <v>288</v>
      </c>
      <c r="E423" s="28" t="s">
        <v>28</v>
      </c>
      <c r="F423" s="28">
        <v>26</v>
      </c>
      <c r="G423" s="28" t="s">
        <v>122</v>
      </c>
      <c r="H423" s="28">
        <v>0</v>
      </c>
      <c r="J423" s="28"/>
    </row>
    <row r="424" spans="1:10" ht="15.75" customHeight="1">
      <c r="A424" s="28">
        <v>19463</v>
      </c>
      <c r="B424" s="91">
        <v>45127.884097222224</v>
      </c>
      <c r="C424" s="28" t="s">
        <v>10</v>
      </c>
      <c r="D424" s="28" t="s">
        <v>289</v>
      </c>
      <c r="E424" s="28" t="s">
        <v>28</v>
      </c>
      <c r="F424" s="28">
        <v>25</v>
      </c>
      <c r="G424" s="28">
        <v>100692</v>
      </c>
      <c r="H424" s="28">
        <v>0</v>
      </c>
      <c r="J424" s="28"/>
    </row>
    <row r="425" spans="1:10" ht="15.75" customHeight="1">
      <c r="A425" s="28">
        <v>19463</v>
      </c>
      <c r="B425" s="91">
        <v>45127.884097222224</v>
      </c>
      <c r="C425" s="28" t="s">
        <v>10</v>
      </c>
      <c r="D425" s="28" t="s">
        <v>289</v>
      </c>
      <c r="E425" s="28" t="s">
        <v>28</v>
      </c>
      <c r="F425" s="28">
        <v>0</v>
      </c>
      <c r="G425" s="28" t="s">
        <v>125</v>
      </c>
      <c r="H425" s="28">
        <v>0</v>
      </c>
      <c r="J425" s="28"/>
    </row>
    <row r="426" spans="1:10" ht="15.75" customHeight="1">
      <c r="A426" s="28">
        <v>19463</v>
      </c>
      <c r="B426" s="91">
        <v>45127.884097222224</v>
      </c>
      <c r="C426" s="28" t="s">
        <v>10</v>
      </c>
      <c r="D426" s="28" t="s">
        <v>289</v>
      </c>
      <c r="E426" s="28" t="s">
        <v>28</v>
      </c>
      <c r="F426" s="28">
        <v>0</v>
      </c>
      <c r="G426" s="28" t="s">
        <v>119</v>
      </c>
      <c r="H426" s="28">
        <v>0</v>
      </c>
      <c r="J426" s="28"/>
    </row>
    <row r="427" spans="1:10" ht="15.75" customHeight="1">
      <c r="A427" s="28">
        <v>19458</v>
      </c>
      <c r="B427" s="91">
        <v>45127.674756944441</v>
      </c>
      <c r="C427" s="28" t="s">
        <v>10</v>
      </c>
      <c r="D427" s="28" t="s">
        <v>290</v>
      </c>
      <c r="E427" s="28" t="s">
        <v>28</v>
      </c>
      <c r="F427" s="28">
        <v>25</v>
      </c>
      <c r="G427" s="28" t="s">
        <v>141</v>
      </c>
      <c r="H427" s="28">
        <v>0</v>
      </c>
      <c r="J427" s="28"/>
    </row>
    <row r="428" spans="1:10" ht="15.75" customHeight="1">
      <c r="A428" s="28">
        <v>19458</v>
      </c>
      <c r="B428" s="91">
        <v>45127.674756944441</v>
      </c>
      <c r="C428" s="28" t="s">
        <v>10</v>
      </c>
      <c r="D428" s="28" t="s">
        <v>290</v>
      </c>
      <c r="E428" s="28" t="s">
        <v>28</v>
      </c>
      <c r="F428" s="28">
        <v>0</v>
      </c>
      <c r="G428" s="28" t="s">
        <v>117</v>
      </c>
      <c r="H428" s="28">
        <v>0</v>
      </c>
      <c r="J428" s="28"/>
    </row>
    <row r="429" spans="1:10" ht="15.75" customHeight="1">
      <c r="A429" s="28">
        <v>19457</v>
      </c>
      <c r="B429" s="91">
        <v>45127.040393518517</v>
      </c>
      <c r="C429" s="28" t="s">
        <v>10</v>
      </c>
      <c r="D429" s="28" t="s">
        <v>291</v>
      </c>
      <c r="E429" s="28" t="s">
        <v>28</v>
      </c>
      <c r="F429" s="28">
        <v>30</v>
      </c>
      <c r="G429" s="28" t="s">
        <v>128</v>
      </c>
      <c r="H429" s="28">
        <v>0</v>
      </c>
      <c r="J429" s="28"/>
    </row>
    <row r="430" spans="1:10" ht="15.75" customHeight="1">
      <c r="A430" s="28">
        <v>19457</v>
      </c>
      <c r="B430" s="91">
        <v>45127.040393518517</v>
      </c>
      <c r="C430" s="28" t="s">
        <v>10</v>
      </c>
      <c r="D430" s="28" t="s">
        <v>291</v>
      </c>
      <c r="E430" s="28" t="s">
        <v>28</v>
      </c>
      <c r="F430" s="28">
        <v>0</v>
      </c>
      <c r="G430" s="28" t="s">
        <v>125</v>
      </c>
      <c r="H430" s="28">
        <v>0</v>
      </c>
      <c r="J430" s="28"/>
    </row>
    <row r="431" spans="1:10" ht="15.75" customHeight="1">
      <c r="A431" s="28">
        <v>19457</v>
      </c>
      <c r="B431" s="91">
        <v>45127.040393518517</v>
      </c>
      <c r="C431" s="28" t="s">
        <v>10</v>
      </c>
      <c r="D431" s="28" t="s">
        <v>291</v>
      </c>
      <c r="E431" s="28" t="s">
        <v>28</v>
      </c>
      <c r="F431" s="28">
        <v>0</v>
      </c>
      <c r="G431" s="28" t="s">
        <v>119</v>
      </c>
      <c r="H431" s="28">
        <v>0</v>
      </c>
      <c r="J431" s="28"/>
    </row>
    <row r="432" spans="1:10" ht="15.75" customHeight="1">
      <c r="A432" s="28">
        <v>19457</v>
      </c>
      <c r="B432" s="91">
        <v>45127.040393518517</v>
      </c>
      <c r="C432" s="28" t="s">
        <v>10</v>
      </c>
      <c r="D432" s="28" t="s">
        <v>291</v>
      </c>
      <c r="E432" s="28" t="s">
        <v>28</v>
      </c>
      <c r="F432" s="28">
        <v>20</v>
      </c>
      <c r="G432" s="28" t="s">
        <v>205</v>
      </c>
      <c r="H432" s="28">
        <v>0</v>
      </c>
      <c r="J432" s="28"/>
    </row>
    <row r="433" spans="1:10" ht="15.75" customHeight="1">
      <c r="A433" s="28">
        <v>19457</v>
      </c>
      <c r="B433" s="91">
        <v>45127.040393518517</v>
      </c>
      <c r="C433" s="28" t="s">
        <v>10</v>
      </c>
      <c r="D433" s="28" t="s">
        <v>291</v>
      </c>
      <c r="E433" s="28" t="s">
        <v>28</v>
      </c>
      <c r="F433" s="28">
        <v>0</v>
      </c>
      <c r="G433" s="28" t="s">
        <v>125</v>
      </c>
      <c r="H433" s="28">
        <v>0</v>
      </c>
      <c r="J433" s="28"/>
    </row>
    <row r="434" spans="1:10" ht="15.75" customHeight="1">
      <c r="A434" s="28">
        <v>19456</v>
      </c>
      <c r="B434" s="91">
        <v>45127.031574074077</v>
      </c>
      <c r="C434" s="28" t="s">
        <v>10</v>
      </c>
      <c r="D434" s="28" t="s">
        <v>292</v>
      </c>
      <c r="E434" s="28" t="s">
        <v>79</v>
      </c>
      <c r="F434" s="28">
        <v>25</v>
      </c>
      <c r="G434" s="28">
        <v>100692</v>
      </c>
      <c r="H434" s="28">
        <v>0</v>
      </c>
      <c r="J434" s="28"/>
    </row>
    <row r="435" spans="1:10" ht="15.75" customHeight="1">
      <c r="A435" s="28">
        <v>19456</v>
      </c>
      <c r="B435" s="91">
        <v>45127.031574074077</v>
      </c>
      <c r="C435" s="28" t="s">
        <v>10</v>
      </c>
      <c r="D435" s="28" t="s">
        <v>292</v>
      </c>
      <c r="E435" s="28" t="s">
        <v>79</v>
      </c>
      <c r="F435" s="28">
        <v>0</v>
      </c>
      <c r="G435" s="28" t="s">
        <v>125</v>
      </c>
      <c r="H435" s="28">
        <v>0</v>
      </c>
      <c r="J435" s="28"/>
    </row>
    <row r="436" spans="1:10" ht="15.75" customHeight="1">
      <c r="A436" s="28">
        <v>19456</v>
      </c>
      <c r="B436" s="91">
        <v>45127.031574074077</v>
      </c>
      <c r="C436" s="28" t="s">
        <v>10</v>
      </c>
      <c r="D436" s="28" t="s">
        <v>292</v>
      </c>
      <c r="E436" s="28" t="s">
        <v>79</v>
      </c>
      <c r="F436" s="28">
        <v>0</v>
      </c>
      <c r="G436" s="28" t="s">
        <v>119</v>
      </c>
      <c r="H436" s="28">
        <v>0</v>
      </c>
      <c r="J436" s="28"/>
    </row>
    <row r="437" spans="1:10" ht="15.75" customHeight="1">
      <c r="A437" s="28">
        <v>19455</v>
      </c>
      <c r="B437" s="91">
        <v>45126.989837962959</v>
      </c>
      <c r="C437" s="28" t="s">
        <v>10</v>
      </c>
      <c r="D437" s="28" t="s">
        <v>293</v>
      </c>
      <c r="E437" s="28" t="s">
        <v>28</v>
      </c>
      <c r="F437" s="28">
        <v>35</v>
      </c>
      <c r="G437" s="28" t="s">
        <v>124</v>
      </c>
      <c r="H437" s="28">
        <v>0</v>
      </c>
      <c r="J437" s="28"/>
    </row>
    <row r="438" spans="1:10" ht="15.75" customHeight="1">
      <c r="A438" s="28">
        <v>19455</v>
      </c>
      <c r="B438" s="91">
        <v>45126.989837962959</v>
      </c>
      <c r="C438" s="28" t="s">
        <v>10</v>
      </c>
      <c r="D438" s="28" t="s">
        <v>293</v>
      </c>
      <c r="E438" s="28" t="s">
        <v>28</v>
      </c>
      <c r="F438" s="28">
        <v>0</v>
      </c>
      <c r="G438" s="28" t="s">
        <v>125</v>
      </c>
      <c r="H438" s="28">
        <v>0</v>
      </c>
      <c r="J438" s="28"/>
    </row>
    <row r="439" spans="1:10" ht="15.75" customHeight="1">
      <c r="A439" s="28">
        <v>19455</v>
      </c>
      <c r="B439" s="91">
        <v>45126.989837962959</v>
      </c>
      <c r="C439" s="28" t="s">
        <v>10</v>
      </c>
      <c r="D439" s="28" t="s">
        <v>293</v>
      </c>
      <c r="E439" s="28" t="s">
        <v>28</v>
      </c>
      <c r="F439" s="28">
        <v>0</v>
      </c>
      <c r="G439" s="28" t="s">
        <v>119</v>
      </c>
      <c r="H439" s="28">
        <v>0</v>
      </c>
      <c r="J439" s="28"/>
    </row>
    <row r="440" spans="1:10" ht="15.75" customHeight="1">
      <c r="A440" s="28">
        <v>19455</v>
      </c>
      <c r="B440" s="91">
        <v>45126.989837962959</v>
      </c>
      <c r="C440" s="28" t="s">
        <v>10</v>
      </c>
      <c r="D440" s="28" t="s">
        <v>293</v>
      </c>
      <c r="E440" s="28" t="s">
        <v>28</v>
      </c>
      <c r="F440" s="28">
        <v>0</v>
      </c>
      <c r="G440" s="28" t="s">
        <v>121</v>
      </c>
      <c r="H440" s="28">
        <v>0</v>
      </c>
      <c r="J440" s="28"/>
    </row>
    <row r="441" spans="1:10" ht="15.75" customHeight="1">
      <c r="A441" s="28">
        <v>19454</v>
      </c>
      <c r="B441" s="91">
        <v>45126.988240740742</v>
      </c>
      <c r="C441" s="28" t="s">
        <v>10</v>
      </c>
      <c r="D441" s="28" t="s">
        <v>294</v>
      </c>
      <c r="E441" s="28" t="s">
        <v>28</v>
      </c>
      <c r="F441" s="28">
        <v>35</v>
      </c>
      <c r="G441" s="28" t="s">
        <v>124</v>
      </c>
      <c r="H441" s="28">
        <v>0</v>
      </c>
      <c r="J441" s="28"/>
    </row>
    <row r="442" spans="1:10" ht="15.75" customHeight="1">
      <c r="A442" s="28">
        <v>19454</v>
      </c>
      <c r="B442" s="91">
        <v>45126.988240740742</v>
      </c>
      <c r="C442" s="28" t="s">
        <v>10</v>
      </c>
      <c r="D442" s="28" t="s">
        <v>294</v>
      </c>
      <c r="E442" s="28" t="s">
        <v>28</v>
      </c>
      <c r="F442" s="28">
        <v>0</v>
      </c>
      <c r="G442" s="28" t="s">
        <v>125</v>
      </c>
      <c r="H442" s="28">
        <v>0</v>
      </c>
      <c r="J442" s="28"/>
    </row>
    <row r="443" spans="1:10" ht="15.75" customHeight="1">
      <c r="A443" s="28">
        <v>19454</v>
      </c>
      <c r="B443" s="91">
        <v>45126.988240740742</v>
      </c>
      <c r="C443" s="28" t="s">
        <v>10</v>
      </c>
      <c r="D443" s="28" t="s">
        <v>294</v>
      </c>
      <c r="E443" s="28" t="s">
        <v>28</v>
      </c>
      <c r="F443" s="28">
        <v>0</v>
      </c>
      <c r="G443" s="28" t="s">
        <v>119</v>
      </c>
      <c r="H443" s="28">
        <v>0</v>
      </c>
      <c r="J443" s="28"/>
    </row>
    <row r="444" spans="1:10" ht="15.75" customHeight="1">
      <c r="A444" s="28">
        <v>19454</v>
      </c>
      <c r="B444" s="91">
        <v>45126.988240740742</v>
      </c>
      <c r="C444" s="28" t="s">
        <v>10</v>
      </c>
      <c r="D444" s="28" t="s">
        <v>294</v>
      </c>
      <c r="E444" s="28" t="s">
        <v>28</v>
      </c>
      <c r="F444" s="28">
        <v>0</v>
      </c>
      <c r="G444" s="28" t="s">
        <v>121</v>
      </c>
      <c r="H444" s="28">
        <v>0</v>
      </c>
      <c r="J444" s="28"/>
    </row>
    <row r="445" spans="1:10" ht="15.75" customHeight="1">
      <c r="A445" s="28">
        <v>19453</v>
      </c>
      <c r="B445" s="91">
        <v>45126.984548611115</v>
      </c>
      <c r="C445" s="28" t="s">
        <v>10</v>
      </c>
      <c r="D445" s="28" t="s">
        <v>295</v>
      </c>
      <c r="E445" s="28" t="s">
        <v>28</v>
      </c>
      <c r="F445" s="28">
        <v>35</v>
      </c>
      <c r="G445" s="28" t="s">
        <v>124</v>
      </c>
      <c r="H445" s="28">
        <v>0</v>
      </c>
      <c r="J445" s="28"/>
    </row>
    <row r="446" spans="1:10" ht="15.75" customHeight="1">
      <c r="A446" s="28">
        <v>19453</v>
      </c>
      <c r="B446" s="91">
        <v>45126.984548611115</v>
      </c>
      <c r="C446" s="28" t="s">
        <v>10</v>
      </c>
      <c r="D446" s="28" t="s">
        <v>295</v>
      </c>
      <c r="E446" s="28" t="s">
        <v>28</v>
      </c>
      <c r="F446" s="28">
        <v>0</v>
      </c>
      <c r="G446" s="28" t="s">
        <v>125</v>
      </c>
      <c r="H446" s="28">
        <v>0</v>
      </c>
      <c r="J446" s="28"/>
    </row>
    <row r="447" spans="1:10" ht="15.75" customHeight="1">
      <c r="A447" s="28">
        <v>19453</v>
      </c>
      <c r="B447" s="91">
        <v>45126.984548611115</v>
      </c>
      <c r="C447" s="28" t="s">
        <v>10</v>
      </c>
      <c r="D447" s="28" t="s">
        <v>295</v>
      </c>
      <c r="E447" s="28" t="s">
        <v>28</v>
      </c>
      <c r="F447" s="28">
        <v>0</v>
      </c>
      <c r="G447" s="28" t="s">
        <v>119</v>
      </c>
      <c r="H447" s="28">
        <v>0</v>
      </c>
      <c r="J447" s="28"/>
    </row>
    <row r="448" spans="1:10" ht="15.75" customHeight="1">
      <c r="A448" s="28">
        <v>19453</v>
      </c>
      <c r="B448" s="91">
        <v>45126.984548611115</v>
      </c>
      <c r="C448" s="28" t="s">
        <v>10</v>
      </c>
      <c r="D448" s="28" t="s">
        <v>295</v>
      </c>
      <c r="E448" s="28" t="s">
        <v>28</v>
      </c>
      <c r="F448" s="28">
        <v>0</v>
      </c>
      <c r="G448" s="28" t="s">
        <v>121</v>
      </c>
      <c r="H448" s="28">
        <v>0</v>
      </c>
      <c r="J448" s="28"/>
    </row>
    <row r="449" spans="1:10" ht="15.75" customHeight="1">
      <c r="A449" s="28">
        <v>19452</v>
      </c>
      <c r="B449" s="91">
        <v>45126.963020833333</v>
      </c>
      <c r="C449" s="28" t="s">
        <v>10</v>
      </c>
      <c r="D449" s="28" t="s">
        <v>296</v>
      </c>
      <c r="E449" s="28" t="s">
        <v>79</v>
      </c>
      <c r="F449" s="28">
        <v>18</v>
      </c>
      <c r="G449" s="28" t="s">
        <v>119</v>
      </c>
      <c r="H449" s="28">
        <v>0</v>
      </c>
      <c r="J449" s="28"/>
    </row>
    <row r="450" spans="1:10" ht="15.75" customHeight="1">
      <c r="A450" s="28">
        <v>19452</v>
      </c>
      <c r="B450" s="91">
        <v>45126.963020833333</v>
      </c>
      <c r="C450" s="28" t="s">
        <v>10</v>
      </c>
      <c r="D450" s="28" t="s">
        <v>296</v>
      </c>
      <c r="E450" s="28" t="s">
        <v>79</v>
      </c>
      <c r="F450" s="28">
        <v>25</v>
      </c>
      <c r="G450" s="28" t="s">
        <v>297</v>
      </c>
      <c r="H450" s="28">
        <v>0</v>
      </c>
      <c r="J450" s="28"/>
    </row>
    <row r="451" spans="1:10" ht="15.75" customHeight="1">
      <c r="A451" s="28">
        <v>19451</v>
      </c>
      <c r="B451" s="91">
        <v>45126.817766203705</v>
      </c>
      <c r="C451" s="28" t="s">
        <v>10</v>
      </c>
      <c r="D451" s="28" t="s">
        <v>298</v>
      </c>
      <c r="E451" s="28" t="s">
        <v>28</v>
      </c>
      <c r="F451" s="28">
        <v>0</v>
      </c>
      <c r="G451" s="28" t="s">
        <v>117</v>
      </c>
      <c r="H451" s="28">
        <v>0</v>
      </c>
      <c r="J451" s="28"/>
    </row>
    <row r="452" spans="1:10" ht="15.75" customHeight="1">
      <c r="A452" s="28">
        <v>19450</v>
      </c>
      <c r="B452" s="91">
        <v>45126.730810185181</v>
      </c>
      <c r="C452" s="28" t="s">
        <v>10</v>
      </c>
      <c r="D452" s="28" t="s">
        <v>299</v>
      </c>
      <c r="E452" s="28" t="s">
        <v>28</v>
      </c>
      <c r="F452" s="28">
        <v>15</v>
      </c>
      <c r="G452" s="28" t="s">
        <v>125</v>
      </c>
      <c r="H452" s="28">
        <v>0</v>
      </c>
      <c r="J452" s="28"/>
    </row>
    <row r="453" spans="1:10" ht="15.75" customHeight="1">
      <c r="A453" s="28">
        <v>19449</v>
      </c>
      <c r="B453" s="91">
        <v>45126.546759259261</v>
      </c>
      <c r="C453" s="28" t="s">
        <v>10</v>
      </c>
      <c r="D453" s="28" t="s">
        <v>300</v>
      </c>
      <c r="E453" s="28" t="s">
        <v>28</v>
      </c>
      <c r="F453" s="28">
        <v>20</v>
      </c>
      <c r="G453" s="28" t="s">
        <v>121</v>
      </c>
      <c r="H453" s="28">
        <v>0</v>
      </c>
      <c r="J453" s="28"/>
    </row>
    <row r="454" spans="1:10" ht="15.75" customHeight="1">
      <c r="A454" s="28">
        <v>19449</v>
      </c>
      <c r="B454" s="91">
        <v>45126.546759259261</v>
      </c>
      <c r="C454" s="28" t="s">
        <v>10</v>
      </c>
      <c r="D454" s="28" t="s">
        <v>300</v>
      </c>
      <c r="E454" s="28" t="s">
        <v>28</v>
      </c>
      <c r="F454" s="28">
        <v>18</v>
      </c>
      <c r="G454" s="28" t="s">
        <v>119</v>
      </c>
      <c r="H454" s="28">
        <v>0</v>
      </c>
      <c r="J454" s="28"/>
    </row>
    <row r="455" spans="1:10" ht="15.75" customHeight="1">
      <c r="A455" s="28">
        <v>19448</v>
      </c>
      <c r="B455" s="91">
        <v>45126.092245370368</v>
      </c>
      <c r="C455" s="28" t="s">
        <v>10</v>
      </c>
      <c r="D455" s="28" t="s">
        <v>301</v>
      </c>
      <c r="E455" s="28" t="s">
        <v>28</v>
      </c>
      <c r="F455" s="28">
        <v>26</v>
      </c>
      <c r="G455" s="28" t="s">
        <v>122</v>
      </c>
      <c r="H455" s="28">
        <v>0</v>
      </c>
      <c r="J455" s="28"/>
    </row>
    <row r="456" spans="1:10" ht="15.75" customHeight="1">
      <c r="A456" s="28">
        <v>19448</v>
      </c>
      <c r="B456" s="91">
        <v>45126.092245370368</v>
      </c>
      <c r="C456" s="28" t="s">
        <v>10</v>
      </c>
      <c r="D456" s="28" t="s">
        <v>301</v>
      </c>
      <c r="E456" s="28" t="s">
        <v>28</v>
      </c>
      <c r="F456" s="28">
        <v>0</v>
      </c>
      <c r="G456" s="28" t="s">
        <v>117</v>
      </c>
      <c r="H456" s="28">
        <v>0</v>
      </c>
      <c r="J456" s="28"/>
    </row>
    <row r="457" spans="1:10" ht="15.75" customHeight="1">
      <c r="A457" s="28">
        <v>19447</v>
      </c>
      <c r="B457" s="91">
        <v>45126.077499999999</v>
      </c>
      <c r="C457" s="28" t="s">
        <v>10</v>
      </c>
      <c r="D457" s="28" t="s">
        <v>302</v>
      </c>
      <c r="E457" s="28" t="s">
        <v>28</v>
      </c>
      <c r="F457" s="28">
        <v>0</v>
      </c>
      <c r="G457" s="28" t="s">
        <v>117</v>
      </c>
      <c r="H457" s="28">
        <v>0</v>
      </c>
      <c r="J457" s="28"/>
    </row>
    <row r="458" spans="1:10" ht="15.75" customHeight="1">
      <c r="A458" s="28">
        <v>19447</v>
      </c>
      <c r="B458" s="91">
        <v>45126.077499999999</v>
      </c>
      <c r="C458" s="28" t="s">
        <v>10</v>
      </c>
      <c r="D458" s="28" t="s">
        <v>302</v>
      </c>
      <c r="E458" s="28" t="s">
        <v>28</v>
      </c>
      <c r="F458" s="28">
        <v>25</v>
      </c>
      <c r="G458" s="28">
        <v>100692</v>
      </c>
      <c r="H458" s="28">
        <v>0</v>
      </c>
      <c r="J458" s="28"/>
    </row>
    <row r="459" spans="1:10" ht="15.75" customHeight="1">
      <c r="A459" s="28">
        <v>19447</v>
      </c>
      <c r="B459" s="91">
        <v>45126.077499999999</v>
      </c>
      <c r="C459" s="28" t="s">
        <v>10</v>
      </c>
      <c r="D459" s="28" t="s">
        <v>302</v>
      </c>
      <c r="E459" s="28" t="s">
        <v>28</v>
      </c>
      <c r="F459" s="28">
        <v>0</v>
      </c>
      <c r="G459" s="28" t="s">
        <v>125</v>
      </c>
      <c r="H459" s="28">
        <v>0</v>
      </c>
      <c r="J459" s="28"/>
    </row>
    <row r="460" spans="1:10" ht="15.75" customHeight="1">
      <c r="A460" s="28">
        <v>19447</v>
      </c>
      <c r="B460" s="91">
        <v>45126.077499999999</v>
      </c>
      <c r="C460" s="28" t="s">
        <v>10</v>
      </c>
      <c r="D460" s="28" t="s">
        <v>302</v>
      </c>
      <c r="E460" s="28" t="s">
        <v>28</v>
      </c>
      <c r="F460" s="28">
        <v>0</v>
      </c>
      <c r="G460" s="28" t="s">
        <v>119</v>
      </c>
      <c r="H460" s="28">
        <v>0</v>
      </c>
      <c r="J460" s="28"/>
    </row>
    <row r="461" spans="1:10" ht="15.75" customHeight="1">
      <c r="A461" s="28">
        <v>19446</v>
      </c>
      <c r="B461" s="91">
        <v>45126.057812500003</v>
      </c>
      <c r="C461" s="28" t="s">
        <v>10</v>
      </c>
      <c r="D461" s="28" t="s">
        <v>303</v>
      </c>
      <c r="E461" s="28" t="s">
        <v>28</v>
      </c>
      <c r="F461" s="28">
        <v>22</v>
      </c>
      <c r="G461" s="28" t="s">
        <v>137</v>
      </c>
      <c r="H461" s="28">
        <v>0</v>
      </c>
      <c r="J461" s="28"/>
    </row>
    <row r="462" spans="1:10" ht="15.75" customHeight="1">
      <c r="A462" s="28">
        <v>19445</v>
      </c>
      <c r="B462" s="91">
        <v>45126.05096064815</v>
      </c>
      <c r="C462" s="28" t="s">
        <v>10</v>
      </c>
      <c r="D462" s="28" t="s">
        <v>304</v>
      </c>
      <c r="E462" s="28" t="s">
        <v>28</v>
      </c>
      <c r="F462" s="28">
        <v>18</v>
      </c>
      <c r="G462" s="28" t="s">
        <v>119</v>
      </c>
      <c r="H462" s="28">
        <v>0</v>
      </c>
      <c r="J462" s="28"/>
    </row>
    <row r="463" spans="1:10" ht="15.75" customHeight="1">
      <c r="A463" s="28">
        <v>19445</v>
      </c>
      <c r="B463" s="91">
        <v>45126.05096064815</v>
      </c>
      <c r="C463" s="28" t="s">
        <v>10</v>
      </c>
      <c r="D463" s="28" t="s">
        <v>304</v>
      </c>
      <c r="E463" s="28" t="s">
        <v>28</v>
      </c>
      <c r="F463" s="28">
        <v>0</v>
      </c>
      <c r="G463" s="28" t="s">
        <v>117</v>
      </c>
      <c r="H463" s="28">
        <v>0</v>
      </c>
      <c r="J463" s="28"/>
    </row>
    <row r="464" spans="1:10" ht="15.75" customHeight="1">
      <c r="A464" s="28">
        <v>19444</v>
      </c>
      <c r="B464" s="91">
        <v>45125.959918981476</v>
      </c>
      <c r="C464" s="28" t="s">
        <v>10</v>
      </c>
      <c r="D464" s="28" t="s">
        <v>305</v>
      </c>
      <c r="E464" s="28" t="s">
        <v>28</v>
      </c>
      <c r="F464" s="28">
        <v>35</v>
      </c>
      <c r="G464" s="28" t="s">
        <v>124</v>
      </c>
      <c r="H464" s="28">
        <v>0</v>
      </c>
      <c r="J464" s="28"/>
    </row>
    <row r="465" spans="1:10" ht="15.75" customHeight="1">
      <c r="A465" s="28">
        <v>19444</v>
      </c>
      <c r="B465" s="91">
        <v>45125.959918981476</v>
      </c>
      <c r="C465" s="28" t="s">
        <v>10</v>
      </c>
      <c r="D465" s="28" t="s">
        <v>305</v>
      </c>
      <c r="E465" s="28" t="s">
        <v>28</v>
      </c>
      <c r="F465" s="28">
        <v>0</v>
      </c>
      <c r="G465" s="28" t="s">
        <v>125</v>
      </c>
      <c r="H465" s="28">
        <v>0</v>
      </c>
      <c r="J465" s="28"/>
    </row>
    <row r="466" spans="1:10" ht="15.75" customHeight="1">
      <c r="A466" s="28">
        <v>19444</v>
      </c>
      <c r="B466" s="91">
        <v>45125.959918981476</v>
      </c>
      <c r="C466" s="28" t="s">
        <v>10</v>
      </c>
      <c r="D466" s="28" t="s">
        <v>305</v>
      </c>
      <c r="E466" s="28" t="s">
        <v>28</v>
      </c>
      <c r="F466" s="28">
        <v>0</v>
      </c>
      <c r="G466" s="28" t="s">
        <v>119</v>
      </c>
      <c r="H466" s="28">
        <v>0</v>
      </c>
      <c r="J466" s="28"/>
    </row>
    <row r="467" spans="1:10" ht="15.75" customHeight="1">
      <c r="A467" s="28">
        <v>19444</v>
      </c>
      <c r="B467" s="91">
        <v>45125.959918981476</v>
      </c>
      <c r="C467" s="28" t="s">
        <v>10</v>
      </c>
      <c r="D467" s="28" t="s">
        <v>305</v>
      </c>
      <c r="E467" s="28" t="s">
        <v>28</v>
      </c>
      <c r="F467" s="28">
        <v>0</v>
      </c>
      <c r="G467" s="28" t="s">
        <v>121</v>
      </c>
      <c r="H467" s="28">
        <v>0</v>
      </c>
      <c r="J467" s="28"/>
    </row>
    <row r="468" spans="1:10" ht="15.75" customHeight="1">
      <c r="A468" s="28">
        <v>19443</v>
      </c>
      <c r="B468" s="91">
        <v>45125.947118055556</v>
      </c>
      <c r="C468" s="28" t="s">
        <v>10</v>
      </c>
      <c r="D468" s="28" t="s">
        <v>306</v>
      </c>
      <c r="E468" s="28" t="s">
        <v>28</v>
      </c>
      <c r="F468" s="28">
        <v>26</v>
      </c>
      <c r="G468" s="28" t="s">
        <v>122</v>
      </c>
      <c r="H468" s="28">
        <v>0</v>
      </c>
      <c r="J468" s="28"/>
    </row>
    <row r="469" spans="1:10" ht="15.75" customHeight="1">
      <c r="A469" s="28">
        <v>19442</v>
      </c>
      <c r="B469" s="91">
        <v>45125.946956018517</v>
      </c>
      <c r="C469" s="28" t="s">
        <v>10</v>
      </c>
      <c r="D469" s="28" t="s">
        <v>307</v>
      </c>
      <c r="E469" s="28" t="s">
        <v>28</v>
      </c>
      <c r="F469" s="28">
        <v>55</v>
      </c>
      <c r="G469" s="28">
        <v>101684</v>
      </c>
      <c r="H469" s="28">
        <v>0</v>
      </c>
      <c r="J469" s="28"/>
    </row>
    <row r="470" spans="1:10" ht="15.75" customHeight="1">
      <c r="A470" s="28">
        <v>19442</v>
      </c>
      <c r="B470" s="91">
        <v>45125.946956018517</v>
      </c>
      <c r="C470" s="28" t="s">
        <v>10</v>
      </c>
      <c r="D470" s="28" t="s">
        <v>307</v>
      </c>
      <c r="E470" s="28" t="s">
        <v>28</v>
      </c>
      <c r="F470" s="28">
        <v>0</v>
      </c>
      <c r="G470" s="28" t="s">
        <v>118</v>
      </c>
      <c r="H470" s="28">
        <v>0</v>
      </c>
      <c r="J470" s="28"/>
    </row>
    <row r="471" spans="1:10" ht="15.75" customHeight="1">
      <c r="A471" s="28">
        <v>19442</v>
      </c>
      <c r="B471" s="91">
        <v>45125.946956018517</v>
      </c>
      <c r="C471" s="28" t="s">
        <v>10</v>
      </c>
      <c r="D471" s="28" t="s">
        <v>307</v>
      </c>
      <c r="E471" s="28" t="s">
        <v>28</v>
      </c>
      <c r="F471" s="28">
        <v>0</v>
      </c>
      <c r="G471" s="28" t="s">
        <v>119</v>
      </c>
      <c r="H471" s="28">
        <v>0</v>
      </c>
      <c r="J471" s="28"/>
    </row>
    <row r="472" spans="1:10" ht="15.75" customHeight="1">
      <c r="A472" s="28">
        <v>19442</v>
      </c>
      <c r="B472" s="91">
        <v>45125.946956018517</v>
      </c>
      <c r="C472" s="28" t="s">
        <v>10</v>
      </c>
      <c r="D472" s="28" t="s">
        <v>307</v>
      </c>
      <c r="E472" s="28" t="s">
        <v>28</v>
      </c>
      <c r="F472" s="28">
        <v>0</v>
      </c>
      <c r="G472" s="28" t="s">
        <v>120</v>
      </c>
      <c r="H472" s="28">
        <v>0</v>
      </c>
      <c r="J472" s="28"/>
    </row>
    <row r="473" spans="1:10" ht="15.75" customHeight="1">
      <c r="A473" s="28">
        <v>19442</v>
      </c>
      <c r="B473" s="91">
        <v>45125.946956018517</v>
      </c>
      <c r="C473" s="28" t="s">
        <v>10</v>
      </c>
      <c r="D473" s="28" t="s">
        <v>307</v>
      </c>
      <c r="E473" s="28" t="s">
        <v>28</v>
      </c>
      <c r="F473" s="28">
        <v>0</v>
      </c>
      <c r="G473" s="28" t="s">
        <v>121</v>
      </c>
      <c r="H473" s="28">
        <v>0</v>
      </c>
      <c r="J473" s="28"/>
    </row>
    <row r="474" spans="1:10" ht="15.75" customHeight="1">
      <c r="A474" s="28">
        <v>19441</v>
      </c>
      <c r="B474" s="91">
        <v>45125.946631944447</v>
      </c>
      <c r="C474" s="28" t="s">
        <v>8</v>
      </c>
      <c r="D474" s="28" t="s">
        <v>308</v>
      </c>
      <c r="E474" s="28" t="s">
        <v>28</v>
      </c>
      <c r="F474" s="28">
        <v>35</v>
      </c>
      <c r="G474" s="28" t="s">
        <v>124</v>
      </c>
      <c r="H474" s="28">
        <v>0</v>
      </c>
      <c r="J474" s="28"/>
    </row>
    <row r="475" spans="1:10" ht="15.75" customHeight="1">
      <c r="A475" s="28">
        <v>19441</v>
      </c>
      <c r="B475" s="91">
        <v>45125.946631944447</v>
      </c>
      <c r="C475" s="28" t="s">
        <v>8</v>
      </c>
      <c r="D475" s="28" t="s">
        <v>308</v>
      </c>
      <c r="E475" s="28" t="s">
        <v>28</v>
      </c>
      <c r="F475" s="28">
        <v>0</v>
      </c>
      <c r="G475" s="28" t="s">
        <v>125</v>
      </c>
      <c r="H475" s="28">
        <v>0</v>
      </c>
      <c r="J475" s="28"/>
    </row>
    <row r="476" spans="1:10" ht="15.75" customHeight="1">
      <c r="A476" s="28">
        <v>19441</v>
      </c>
      <c r="B476" s="91">
        <v>45125.946631944447</v>
      </c>
      <c r="C476" s="28" t="s">
        <v>8</v>
      </c>
      <c r="D476" s="28" t="s">
        <v>308</v>
      </c>
      <c r="E476" s="28" t="s">
        <v>28</v>
      </c>
      <c r="F476" s="28">
        <v>0</v>
      </c>
      <c r="G476" s="28" t="s">
        <v>119</v>
      </c>
      <c r="H476" s="28">
        <v>0</v>
      </c>
      <c r="J476" s="28"/>
    </row>
    <row r="477" spans="1:10" ht="15.75" customHeight="1">
      <c r="A477" s="28">
        <v>19441</v>
      </c>
      <c r="B477" s="91">
        <v>45125.946631944447</v>
      </c>
      <c r="C477" s="28" t="s">
        <v>8</v>
      </c>
      <c r="D477" s="28" t="s">
        <v>308</v>
      </c>
      <c r="E477" s="28" t="s">
        <v>28</v>
      </c>
      <c r="F477" s="28">
        <v>0</v>
      </c>
      <c r="G477" s="28" t="s">
        <v>121</v>
      </c>
      <c r="H477" s="28">
        <v>0</v>
      </c>
      <c r="J477" s="28"/>
    </row>
    <row r="478" spans="1:10" ht="15.75" customHeight="1">
      <c r="A478" s="28">
        <v>19440</v>
      </c>
      <c r="B478" s="91">
        <v>45125.926817129628</v>
      </c>
      <c r="C478" s="28" t="s">
        <v>10</v>
      </c>
      <c r="D478" s="28" t="s">
        <v>309</v>
      </c>
      <c r="E478" s="28" t="s">
        <v>28</v>
      </c>
      <c r="F478" s="28">
        <v>25</v>
      </c>
      <c r="G478" s="28" t="s">
        <v>120</v>
      </c>
      <c r="H478" s="28">
        <v>0</v>
      </c>
      <c r="J478" s="28"/>
    </row>
    <row r="479" spans="1:10" ht="15.75" customHeight="1">
      <c r="A479" s="28">
        <v>19439</v>
      </c>
      <c r="B479" s="91">
        <v>45125.912719907406</v>
      </c>
      <c r="C479" s="28" t="s">
        <v>10</v>
      </c>
      <c r="D479" s="28" t="s">
        <v>310</v>
      </c>
      <c r="E479" s="28" t="s">
        <v>28</v>
      </c>
      <c r="F479" s="28">
        <v>0</v>
      </c>
      <c r="G479" s="28" t="s">
        <v>117</v>
      </c>
      <c r="H479" s="28">
        <v>0</v>
      </c>
      <c r="J479" s="28"/>
    </row>
    <row r="480" spans="1:10" ht="15.75" customHeight="1">
      <c r="A480" s="28">
        <v>19439</v>
      </c>
      <c r="B480" s="91">
        <v>45125.912719907406</v>
      </c>
      <c r="C480" s="28" t="s">
        <v>10</v>
      </c>
      <c r="D480" s="28" t="s">
        <v>310</v>
      </c>
      <c r="E480" s="28" t="s">
        <v>28</v>
      </c>
      <c r="F480" s="28">
        <v>20</v>
      </c>
      <c r="G480" s="28" t="s">
        <v>148</v>
      </c>
      <c r="H480" s="28">
        <v>0</v>
      </c>
      <c r="J480" s="28"/>
    </row>
    <row r="481" spans="1:10" ht="15.75" customHeight="1">
      <c r="A481" s="28">
        <v>19439</v>
      </c>
      <c r="B481" s="91">
        <v>45125.912719907406</v>
      </c>
      <c r="C481" s="28" t="s">
        <v>10</v>
      </c>
      <c r="D481" s="28" t="s">
        <v>310</v>
      </c>
      <c r="E481" s="28" t="s">
        <v>28</v>
      </c>
      <c r="F481" s="28">
        <v>26</v>
      </c>
      <c r="G481" s="28" t="s">
        <v>122</v>
      </c>
      <c r="H481" s="28">
        <v>0</v>
      </c>
      <c r="J481" s="28"/>
    </row>
    <row r="482" spans="1:10" ht="15.75" customHeight="1">
      <c r="A482" s="28">
        <v>19438</v>
      </c>
      <c r="B482" s="91">
        <v>45125.890590277777</v>
      </c>
      <c r="C482" s="28" t="s">
        <v>10</v>
      </c>
      <c r="D482" s="28" t="s">
        <v>311</v>
      </c>
      <c r="E482" s="28" t="s">
        <v>28</v>
      </c>
      <c r="F482" s="28">
        <v>0</v>
      </c>
      <c r="G482" s="28" t="s">
        <v>117</v>
      </c>
      <c r="H482" s="28">
        <v>0</v>
      </c>
      <c r="J482" s="28"/>
    </row>
    <row r="483" spans="1:10" ht="15.75" customHeight="1">
      <c r="A483" s="28">
        <v>19438</v>
      </c>
      <c r="B483" s="91">
        <v>45125.890590277777</v>
      </c>
      <c r="C483" s="28" t="s">
        <v>10</v>
      </c>
      <c r="D483" s="28" t="s">
        <v>311</v>
      </c>
      <c r="E483" s="28" t="s">
        <v>28</v>
      </c>
      <c r="F483" s="28">
        <v>25</v>
      </c>
      <c r="G483" s="28">
        <v>100692</v>
      </c>
      <c r="H483" s="28">
        <v>0</v>
      </c>
      <c r="J483" s="28"/>
    </row>
    <row r="484" spans="1:10" ht="15.75" customHeight="1">
      <c r="A484" s="28">
        <v>19438</v>
      </c>
      <c r="B484" s="91">
        <v>45125.890590277777</v>
      </c>
      <c r="C484" s="28" t="s">
        <v>10</v>
      </c>
      <c r="D484" s="28" t="s">
        <v>311</v>
      </c>
      <c r="E484" s="28" t="s">
        <v>28</v>
      </c>
      <c r="F484" s="28">
        <v>0</v>
      </c>
      <c r="G484" s="28" t="s">
        <v>125</v>
      </c>
      <c r="H484" s="28">
        <v>0</v>
      </c>
      <c r="J484" s="28"/>
    </row>
    <row r="485" spans="1:10" ht="15.75" customHeight="1">
      <c r="A485" s="28">
        <v>19438</v>
      </c>
      <c r="B485" s="91">
        <v>45125.890590277777</v>
      </c>
      <c r="C485" s="28" t="s">
        <v>10</v>
      </c>
      <c r="D485" s="28" t="s">
        <v>311</v>
      </c>
      <c r="E485" s="28" t="s">
        <v>28</v>
      </c>
      <c r="F485" s="28">
        <v>0</v>
      </c>
      <c r="G485" s="28" t="s">
        <v>119</v>
      </c>
      <c r="H485" s="28">
        <v>0</v>
      </c>
      <c r="J485" s="28"/>
    </row>
    <row r="486" spans="1:10" ht="15.75" customHeight="1">
      <c r="A486" s="28">
        <v>19438</v>
      </c>
      <c r="B486" s="91">
        <v>45125.890590277777</v>
      </c>
      <c r="C486" s="28" t="s">
        <v>10</v>
      </c>
      <c r="D486" s="28" t="s">
        <v>311</v>
      </c>
      <c r="E486" s="28" t="s">
        <v>28</v>
      </c>
      <c r="F486" s="28">
        <v>26</v>
      </c>
      <c r="G486" s="28" t="s">
        <v>122</v>
      </c>
      <c r="H486" s="28">
        <v>0</v>
      </c>
      <c r="J486" s="28"/>
    </row>
    <row r="487" spans="1:10" ht="15.75" customHeight="1">
      <c r="A487" s="28">
        <v>19438</v>
      </c>
      <c r="B487" s="91">
        <v>45125.890590277777</v>
      </c>
      <c r="C487" s="28" t="s">
        <v>10</v>
      </c>
      <c r="D487" s="28" t="s">
        <v>311</v>
      </c>
      <c r="E487" s="28" t="s">
        <v>28</v>
      </c>
      <c r="F487" s="28">
        <v>28</v>
      </c>
      <c r="G487" s="28" t="s">
        <v>143</v>
      </c>
      <c r="H487" s="28">
        <v>0</v>
      </c>
      <c r="J487" s="28"/>
    </row>
    <row r="488" spans="1:10" ht="15.75" customHeight="1">
      <c r="A488" s="28">
        <v>19437</v>
      </c>
      <c r="B488" s="91">
        <v>45125.886736111112</v>
      </c>
      <c r="C488" s="28" t="s">
        <v>10</v>
      </c>
      <c r="D488" s="28" t="s">
        <v>312</v>
      </c>
      <c r="E488" s="28" t="s">
        <v>28</v>
      </c>
      <c r="F488" s="28">
        <v>25</v>
      </c>
      <c r="G488" s="28">
        <v>100692</v>
      </c>
      <c r="H488" s="28">
        <v>0</v>
      </c>
      <c r="J488" s="28"/>
    </row>
    <row r="489" spans="1:10" ht="15.75" customHeight="1">
      <c r="A489" s="28">
        <v>19437</v>
      </c>
      <c r="B489" s="91">
        <v>45125.886736111112</v>
      </c>
      <c r="C489" s="28" t="s">
        <v>10</v>
      </c>
      <c r="D489" s="28" t="s">
        <v>312</v>
      </c>
      <c r="E489" s="28" t="s">
        <v>28</v>
      </c>
      <c r="F489" s="28">
        <v>0</v>
      </c>
      <c r="G489" s="28" t="s">
        <v>125</v>
      </c>
      <c r="H489" s="28">
        <v>0</v>
      </c>
      <c r="J489" s="28"/>
    </row>
    <row r="490" spans="1:10" ht="15.75" customHeight="1">
      <c r="A490" s="28">
        <v>19437</v>
      </c>
      <c r="B490" s="91">
        <v>45125.886736111112</v>
      </c>
      <c r="C490" s="28" t="s">
        <v>10</v>
      </c>
      <c r="D490" s="28" t="s">
        <v>312</v>
      </c>
      <c r="E490" s="28" t="s">
        <v>28</v>
      </c>
      <c r="F490" s="28">
        <v>0</v>
      </c>
      <c r="G490" s="28" t="s">
        <v>119</v>
      </c>
      <c r="H490" s="28">
        <v>0</v>
      </c>
      <c r="J490" s="28"/>
    </row>
    <row r="491" spans="1:10" ht="15.75" customHeight="1">
      <c r="A491" s="28">
        <v>19436</v>
      </c>
      <c r="B491" s="91">
        <v>45125.883553240739</v>
      </c>
      <c r="C491" s="28" t="s">
        <v>10</v>
      </c>
      <c r="D491" s="28" t="s">
        <v>313</v>
      </c>
      <c r="E491" s="28" t="s">
        <v>28</v>
      </c>
      <c r="F491" s="28">
        <v>0</v>
      </c>
      <c r="G491" s="28" t="s">
        <v>117</v>
      </c>
      <c r="H491" s="28">
        <v>0</v>
      </c>
      <c r="J491" s="28"/>
    </row>
    <row r="492" spans="1:10" ht="15.75" customHeight="1">
      <c r="A492" s="28">
        <v>19435</v>
      </c>
      <c r="B492" s="91">
        <v>45125.857245370367</v>
      </c>
      <c r="C492" s="28" t="s">
        <v>10</v>
      </c>
      <c r="D492" s="28" t="s">
        <v>314</v>
      </c>
      <c r="E492" s="28" t="s">
        <v>28</v>
      </c>
      <c r="F492" s="28">
        <v>28</v>
      </c>
      <c r="G492" s="28" t="s">
        <v>143</v>
      </c>
      <c r="H492" s="28">
        <v>0</v>
      </c>
      <c r="J492" s="28"/>
    </row>
    <row r="493" spans="1:10" ht="15.75" customHeight="1">
      <c r="A493" s="28">
        <v>19435</v>
      </c>
      <c r="B493" s="91">
        <v>45125.857245370367</v>
      </c>
      <c r="C493" s="28" t="s">
        <v>10</v>
      </c>
      <c r="D493" s="28" t="s">
        <v>314</v>
      </c>
      <c r="E493" s="28" t="s">
        <v>28</v>
      </c>
      <c r="F493" s="28">
        <v>0</v>
      </c>
      <c r="G493" s="28" t="s">
        <v>117</v>
      </c>
      <c r="H493" s="28">
        <v>0</v>
      </c>
      <c r="J493" s="28"/>
    </row>
    <row r="494" spans="1:10" ht="15.75" customHeight="1">
      <c r="A494" s="28">
        <v>19434</v>
      </c>
      <c r="B494" s="91">
        <v>45125.845995370371</v>
      </c>
      <c r="C494" s="28" t="s">
        <v>10</v>
      </c>
      <c r="D494" s="28" t="s">
        <v>315</v>
      </c>
      <c r="E494" s="28" t="s">
        <v>28</v>
      </c>
      <c r="F494" s="28">
        <v>28</v>
      </c>
      <c r="G494" s="28" t="s">
        <v>143</v>
      </c>
      <c r="H494" s="28">
        <v>0</v>
      </c>
      <c r="J494" s="28"/>
    </row>
    <row r="495" spans="1:10" ht="15.75" customHeight="1">
      <c r="A495" s="28">
        <v>19433</v>
      </c>
      <c r="B495" s="91">
        <v>45125.840416666666</v>
      </c>
      <c r="C495" s="28" t="s">
        <v>10</v>
      </c>
      <c r="D495" s="28" t="s">
        <v>316</v>
      </c>
      <c r="E495" s="28" t="s">
        <v>28</v>
      </c>
      <c r="F495" s="28">
        <v>15</v>
      </c>
      <c r="G495" s="28" t="s">
        <v>170</v>
      </c>
      <c r="H495" s="28">
        <v>0</v>
      </c>
      <c r="J495" s="28"/>
    </row>
    <row r="496" spans="1:10" ht="15.75" customHeight="1">
      <c r="A496" s="28">
        <v>19432</v>
      </c>
      <c r="B496" s="91">
        <v>45125.775810185187</v>
      </c>
      <c r="C496" s="28" t="s">
        <v>8</v>
      </c>
      <c r="D496" s="28" t="s">
        <v>317</v>
      </c>
      <c r="E496" s="28" t="s">
        <v>28</v>
      </c>
      <c r="F496" s="28">
        <v>0</v>
      </c>
      <c r="G496" s="28" t="s">
        <v>117</v>
      </c>
      <c r="H496" s="28">
        <v>0</v>
      </c>
      <c r="J496" s="28"/>
    </row>
    <row r="497" spans="1:10" ht="15.75" customHeight="1">
      <c r="A497" s="28">
        <v>19431</v>
      </c>
      <c r="B497" s="91">
        <v>45125.771527777775</v>
      </c>
      <c r="C497" s="28" t="s">
        <v>10</v>
      </c>
      <c r="D497" s="28" t="s">
        <v>317</v>
      </c>
      <c r="E497" s="28" t="s">
        <v>28</v>
      </c>
      <c r="F497" s="28">
        <v>20</v>
      </c>
      <c r="G497" s="28" t="s">
        <v>205</v>
      </c>
      <c r="H497" s="28">
        <v>0</v>
      </c>
      <c r="J497" s="28"/>
    </row>
    <row r="498" spans="1:10" ht="15.75" customHeight="1">
      <c r="A498" s="28">
        <v>19431</v>
      </c>
      <c r="B498" s="91">
        <v>45125.771527777775</v>
      </c>
      <c r="C498" s="28" t="s">
        <v>10</v>
      </c>
      <c r="D498" s="28" t="s">
        <v>317</v>
      </c>
      <c r="E498" s="28" t="s">
        <v>28</v>
      </c>
      <c r="F498" s="28">
        <v>0</v>
      </c>
      <c r="G498" s="28" t="s">
        <v>125</v>
      </c>
      <c r="H498" s="28">
        <v>0</v>
      </c>
      <c r="J498" s="28"/>
    </row>
    <row r="499" spans="1:10" ht="15.75" customHeight="1">
      <c r="A499" s="28">
        <v>19430</v>
      </c>
      <c r="B499" s="91">
        <v>45125.756099537037</v>
      </c>
      <c r="C499" s="28" t="s">
        <v>10</v>
      </c>
      <c r="D499" s="28" t="s">
        <v>318</v>
      </c>
      <c r="E499" s="28" t="s">
        <v>28</v>
      </c>
      <c r="F499" s="28">
        <v>0</v>
      </c>
      <c r="G499" s="28" t="s">
        <v>117</v>
      </c>
      <c r="H499" s="28">
        <v>0</v>
      </c>
      <c r="J499" s="28"/>
    </row>
    <row r="500" spans="1:10" ht="15.75" customHeight="1">
      <c r="A500" s="28">
        <v>19429</v>
      </c>
      <c r="B500" s="91">
        <v>45125.755150462966</v>
      </c>
      <c r="C500" s="28" t="s">
        <v>10</v>
      </c>
      <c r="D500" s="28" t="s">
        <v>319</v>
      </c>
      <c r="E500" s="28" t="s">
        <v>28</v>
      </c>
      <c r="F500" s="28">
        <v>35</v>
      </c>
      <c r="G500" s="28" t="s">
        <v>124</v>
      </c>
      <c r="H500" s="28">
        <v>0</v>
      </c>
      <c r="J500" s="28"/>
    </row>
    <row r="501" spans="1:10" ht="15.75" customHeight="1">
      <c r="A501" s="28">
        <v>19429</v>
      </c>
      <c r="B501" s="91">
        <v>45125.755150462966</v>
      </c>
      <c r="C501" s="28" t="s">
        <v>10</v>
      </c>
      <c r="D501" s="28" t="s">
        <v>319</v>
      </c>
      <c r="E501" s="28" t="s">
        <v>28</v>
      </c>
      <c r="F501" s="28">
        <v>0</v>
      </c>
      <c r="G501" s="28" t="s">
        <v>125</v>
      </c>
      <c r="H501" s="28">
        <v>0</v>
      </c>
      <c r="J501" s="28"/>
    </row>
    <row r="502" spans="1:10" ht="15.75" customHeight="1">
      <c r="A502" s="28">
        <v>19429</v>
      </c>
      <c r="B502" s="91">
        <v>45125.755150462966</v>
      </c>
      <c r="C502" s="28" t="s">
        <v>10</v>
      </c>
      <c r="D502" s="28" t="s">
        <v>319</v>
      </c>
      <c r="E502" s="28" t="s">
        <v>28</v>
      </c>
      <c r="F502" s="28">
        <v>0</v>
      </c>
      <c r="G502" s="28" t="s">
        <v>119</v>
      </c>
      <c r="H502" s="28">
        <v>0</v>
      </c>
      <c r="J502" s="28"/>
    </row>
    <row r="503" spans="1:10" ht="15.75" customHeight="1">
      <c r="A503" s="28">
        <v>19429</v>
      </c>
      <c r="B503" s="91">
        <v>45125.755150462966</v>
      </c>
      <c r="C503" s="28" t="s">
        <v>10</v>
      </c>
      <c r="D503" s="28" t="s">
        <v>319</v>
      </c>
      <c r="E503" s="28" t="s">
        <v>28</v>
      </c>
      <c r="F503" s="28">
        <v>0</v>
      </c>
      <c r="G503" s="28" t="s">
        <v>121</v>
      </c>
      <c r="H503" s="28">
        <v>0</v>
      </c>
      <c r="J503" s="28"/>
    </row>
    <row r="504" spans="1:10" ht="15.75" customHeight="1">
      <c r="A504" s="28">
        <v>19428</v>
      </c>
      <c r="B504" s="91">
        <v>45125.748518518521</v>
      </c>
      <c r="C504" s="28" t="s">
        <v>10</v>
      </c>
      <c r="D504" s="28" t="s">
        <v>320</v>
      </c>
      <c r="E504" s="28" t="s">
        <v>28</v>
      </c>
      <c r="F504" s="28">
        <v>15</v>
      </c>
      <c r="G504" s="28" t="s">
        <v>125</v>
      </c>
      <c r="H504" s="28">
        <v>0</v>
      </c>
      <c r="J504" s="28"/>
    </row>
    <row r="505" spans="1:10" ht="15.75" customHeight="1">
      <c r="A505" s="28">
        <v>19427</v>
      </c>
      <c r="B505" s="91">
        <v>45125.670370370368</v>
      </c>
      <c r="C505" s="28" t="s">
        <v>10</v>
      </c>
      <c r="D505" s="28" t="s">
        <v>321</v>
      </c>
      <c r="E505" s="28" t="s">
        <v>28</v>
      </c>
      <c r="F505" s="28">
        <v>26</v>
      </c>
      <c r="G505" s="28" t="s">
        <v>122</v>
      </c>
      <c r="H505" s="28">
        <v>0</v>
      </c>
      <c r="J505" s="28"/>
    </row>
    <row r="506" spans="1:10" ht="15.75" customHeight="1">
      <c r="A506" s="28">
        <v>19427</v>
      </c>
      <c r="B506" s="91">
        <v>45125.670370370368</v>
      </c>
      <c r="C506" s="28" t="s">
        <v>10</v>
      </c>
      <c r="D506" s="28" t="s">
        <v>321</v>
      </c>
      <c r="E506" s="28" t="s">
        <v>28</v>
      </c>
      <c r="F506" s="28">
        <v>26</v>
      </c>
      <c r="G506" s="28" t="s">
        <v>122</v>
      </c>
      <c r="H506" s="28">
        <v>0</v>
      </c>
      <c r="J506" s="28"/>
    </row>
    <row r="507" spans="1:10" ht="15.75" customHeight="1">
      <c r="A507" s="28">
        <v>19426</v>
      </c>
      <c r="B507" s="91">
        <v>45125.58766203704</v>
      </c>
      <c r="C507" s="28" t="s">
        <v>10</v>
      </c>
      <c r="D507" s="28" t="s">
        <v>322</v>
      </c>
      <c r="E507" s="28" t="s">
        <v>79</v>
      </c>
      <c r="F507" s="28">
        <v>18</v>
      </c>
      <c r="G507" s="28" t="s">
        <v>119</v>
      </c>
      <c r="H507" s="28">
        <v>0</v>
      </c>
      <c r="J507" s="28"/>
    </row>
    <row r="508" spans="1:10" ht="15.75" customHeight="1">
      <c r="A508" s="28">
        <v>19425</v>
      </c>
      <c r="B508" s="91">
        <v>45125.562638888892</v>
      </c>
      <c r="C508" s="28" t="s">
        <v>10</v>
      </c>
      <c r="D508" s="28" t="s">
        <v>323</v>
      </c>
      <c r="E508" s="28" t="s">
        <v>28</v>
      </c>
      <c r="F508" s="28">
        <v>26</v>
      </c>
      <c r="G508" s="28" t="s">
        <v>122</v>
      </c>
      <c r="H508" s="28">
        <v>0</v>
      </c>
      <c r="J508" s="28"/>
    </row>
    <row r="509" spans="1:10" ht="15.75" customHeight="1">
      <c r="A509" s="28">
        <v>19424</v>
      </c>
      <c r="B509" s="91">
        <v>45125.111608796295</v>
      </c>
      <c r="C509" s="28" t="s">
        <v>10</v>
      </c>
      <c r="D509" s="28" t="s">
        <v>324</v>
      </c>
      <c r="E509" s="28" t="s">
        <v>79</v>
      </c>
      <c r="F509" s="28">
        <v>25</v>
      </c>
      <c r="G509" s="28">
        <v>100692</v>
      </c>
      <c r="H509" s="28">
        <v>0</v>
      </c>
      <c r="J509" s="28"/>
    </row>
    <row r="510" spans="1:10" ht="15.75" customHeight="1">
      <c r="A510" s="28">
        <v>19424</v>
      </c>
      <c r="B510" s="91">
        <v>45125.111608796295</v>
      </c>
      <c r="C510" s="28" t="s">
        <v>10</v>
      </c>
      <c r="D510" s="28" t="s">
        <v>324</v>
      </c>
      <c r="E510" s="28" t="s">
        <v>79</v>
      </c>
      <c r="F510" s="28">
        <v>0</v>
      </c>
      <c r="G510" s="28" t="s">
        <v>125</v>
      </c>
      <c r="H510" s="28">
        <v>0</v>
      </c>
      <c r="J510" s="28"/>
    </row>
    <row r="511" spans="1:10" ht="15.75" customHeight="1">
      <c r="A511" s="28">
        <v>19424</v>
      </c>
      <c r="B511" s="91">
        <v>45125.111608796295</v>
      </c>
      <c r="C511" s="28" t="s">
        <v>10</v>
      </c>
      <c r="D511" s="28" t="s">
        <v>324</v>
      </c>
      <c r="E511" s="28" t="s">
        <v>79</v>
      </c>
      <c r="F511" s="28">
        <v>0</v>
      </c>
      <c r="G511" s="28" t="s">
        <v>119</v>
      </c>
      <c r="H511" s="28">
        <v>0</v>
      </c>
      <c r="J511" s="28"/>
    </row>
    <row r="512" spans="1:10" ht="15.75" customHeight="1">
      <c r="A512" s="28">
        <v>19423</v>
      </c>
      <c r="B512" s="91">
        <v>45125.109791666662</v>
      </c>
      <c r="C512" s="28" t="s">
        <v>10</v>
      </c>
      <c r="D512" s="28" t="s">
        <v>325</v>
      </c>
      <c r="E512" s="28" t="s">
        <v>79</v>
      </c>
      <c r="F512" s="28">
        <v>25</v>
      </c>
      <c r="G512" s="28">
        <v>100692</v>
      </c>
      <c r="H512" s="28">
        <v>0</v>
      </c>
      <c r="J512" s="28"/>
    </row>
    <row r="513" spans="1:10" ht="15.75" customHeight="1">
      <c r="A513" s="28">
        <v>19423</v>
      </c>
      <c r="B513" s="91">
        <v>45125.109791666662</v>
      </c>
      <c r="C513" s="28" t="s">
        <v>10</v>
      </c>
      <c r="D513" s="28" t="s">
        <v>325</v>
      </c>
      <c r="E513" s="28" t="s">
        <v>79</v>
      </c>
      <c r="F513" s="28">
        <v>0</v>
      </c>
      <c r="G513" s="28" t="s">
        <v>125</v>
      </c>
      <c r="H513" s="28">
        <v>0</v>
      </c>
      <c r="J513" s="28"/>
    </row>
    <row r="514" spans="1:10" ht="15.75" customHeight="1">
      <c r="A514" s="28">
        <v>19423</v>
      </c>
      <c r="B514" s="91">
        <v>45125.109791666662</v>
      </c>
      <c r="C514" s="28" t="s">
        <v>10</v>
      </c>
      <c r="D514" s="28" t="s">
        <v>325</v>
      </c>
      <c r="E514" s="28" t="s">
        <v>79</v>
      </c>
      <c r="F514" s="28">
        <v>0</v>
      </c>
      <c r="G514" s="28" t="s">
        <v>119</v>
      </c>
      <c r="H514" s="28">
        <v>0</v>
      </c>
      <c r="J514" s="28"/>
    </row>
    <row r="515" spans="1:10" ht="15.75" customHeight="1">
      <c r="A515" s="28">
        <v>19414</v>
      </c>
      <c r="B515" s="91">
        <v>45125.102094907408</v>
      </c>
      <c r="C515" s="28" t="s">
        <v>10</v>
      </c>
      <c r="D515" s="28" t="s">
        <v>326</v>
      </c>
      <c r="E515" s="28" t="s">
        <v>79</v>
      </c>
      <c r="F515" s="28">
        <v>25</v>
      </c>
      <c r="G515" s="28" t="s">
        <v>118</v>
      </c>
      <c r="H515" s="28">
        <v>0</v>
      </c>
      <c r="J515" s="28"/>
    </row>
    <row r="516" spans="1:10" ht="15.75" customHeight="1">
      <c r="A516" s="28">
        <v>19413</v>
      </c>
      <c r="B516" s="91">
        <v>45125.098715277782</v>
      </c>
      <c r="C516" s="28" t="s">
        <v>10</v>
      </c>
      <c r="D516" s="28" t="s">
        <v>327</v>
      </c>
      <c r="E516" s="28" t="s">
        <v>79</v>
      </c>
      <c r="F516" s="28">
        <v>35</v>
      </c>
      <c r="G516" s="28" t="s">
        <v>124</v>
      </c>
      <c r="H516" s="28">
        <v>0</v>
      </c>
      <c r="J516" s="28"/>
    </row>
    <row r="517" spans="1:10" ht="15.75" customHeight="1">
      <c r="A517" s="28">
        <v>19413</v>
      </c>
      <c r="B517" s="91">
        <v>45125.098715277782</v>
      </c>
      <c r="C517" s="28" t="s">
        <v>10</v>
      </c>
      <c r="D517" s="28" t="s">
        <v>327</v>
      </c>
      <c r="E517" s="28" t="s">
        <v>79</v>
      </c>
      <c r="F517" s="28">
        <v>0</v>
      </c>
      <c r="G517" s="28" t="s">
        <v>125</v>
      </c>
      <c r="H517" s="28">
        <v>0</v>
      </c>
      <c r="J517" s="28"/>
    </row>
    <row r="518" spans="1:10" ht="15.75" customHeight="1">
      <c r="A518" s="28">
        <v>19413</v>
      </c>
      <c r="B518" s="91">
        <v>45125.098715277782</v>
      </c>
      <c r="C518" s="28" t="s">
        <v>10</v>
      </c>
      <c r="D518" s="28" t="s">
        <v>327</v>
      </c>
      <c r="E518" s="28" t="s">
        <v>79</v>
      </c>
      <c r="F518" s="28">
        <v>0</v>
      </c>
      <c r="G518" s="28" t="s">
        <v>119</v>
      </c>
      <c r="H518" s="28">
        <v>0</v>
      </c>
      <c r="J518" s="28"/>
    </row>
    <row r="519" spans="1:10" ht="15.75" customHeight="1">
      <c r="A519" s="28">
        <v>19413</v>
      </c>
      <c r="B519" s="91">
        <v>45125.098715277782</v>
      </c>
      <c r="C519" s="28" t="s">
        <v>10</v>
      </c>
      <c r="D519" s="28" t="s">
        <v>327</v>
      </c>
      <c r="E519" s="28" t="s">
        <v>79</v>
      </c>
      <c r="F519" s="28">
        <v>0</v>
      </c>
      <c r="G519" s="28" t="s">
        <v>121</v>
      </c>
      <c r="H519" s="28">
        <v>0</v>
      </c>
      <c r="J519" s="28"/>
    </row>
    <row r="520" spans="1:10" ht="15.75" customHeight="1">
      <c r="A520" s="28">
        <v>19378</v>
      </c>
      <c r="B520" s="91">
        <v>45125.082615740743</v>
      </c>
      <c r="C520" s="28" t="s">
        <v>10</v>
      </c>
      <c r="D520" s="28" t="s">
        <v>328</v>
      </c>
      <c r="E520" s="28" t="s">
        <v>79</v>
      </c>
      <c r="F520" s="28">
        <v>44</v>
      </c>
      <c r="G520" s="28" t="s">
        <v>137</v>
      </c>
      <c r="H520" s="28">
        <v>0</v>
      </c>
      <c r="J520" s="28"/>
    </row>
    <row r="521" spans="1:10" ht="15.75" customHeight="1">
      <c r="A521" s="28">
        <v>19374</v>
      </c>
      <c r="B521" s="91">
        <v>45125.075196759259</v>
      </c>
      <c r="C521" s="28" t="s">
        <v>10</v>
      </c>
      <c r="D521" s="28" t="s">
        <v>329</v>
      </c>
      <c r="E521" s="28" t="s">
        <v>28</v>
      </c>
      <c r="F521" s="28">
        <v>25</v>
      </c>
      <c r="G521" s="28">
        <v>100692</v>
      </c>
      <c r="H521" s="28">
        <v>0</v>
      </c>
      <c r="J521" s="28"/>
    </row>
    <row r="522" spans="1:10" ht="15.75" customHeight="1">
      <c r="A522" s="28">
        <v>19374</v>
      </c>
      <c r="B522" s="91">
        <v>45125.075196759259</v>
      </c>
      <c r="C522" s="28" t="s">
        <v>10</v>
      </c>
      <c r="D522" s="28" t="s">
        <v>329</v>
      </c>
      <c r="E522" s="28" t="s">
        <v>28</v>
      </c>
      <c r="F522" s="28">
        <v>0</v>
      </c>
      <c r="G522" s="28" t="s">
        <v>125</v>
      </c>
      <c r="H522" s="28">
        <v>0</v>
      </c>
      <c r="J522" s="28"/>
    </row>
    <row r="523" spans="1:10" ht="15.75" customHeight="1">
      <c r="A523" s="28">
        <v>19374</v>
      </c>
      <c r="B523" s="91">
        <v>45125.075196759259</v>
      </c>
      <c r="C523" s="28" t="s">
        <v>10</v>
      </c>
      <c r="D523" s="28" t="s">
        <v>329</v>
      </c>
      <c r="E523" s="28" t="s">
        <v>28</v>
      </c>
      <c r="F523" s="28">
        <v>0</v>
      </c>
      <c r="G523" s="28" t="s">
        <v>119</v>
      </c>
      <c r="H523" s="28">
        <v>0</v>
      </c>
      <c r="J523" s="28"/>
    </row>
    <row r="524" spans="1:10" ht="15.75" customHeight="1">
      <c r="A524" s="28">
        <v>19374</v>
      </c>
      <c r="B524" s="91">
        <v>45125.075196759259</v>
      </c>
      <c r="C524" s="28" t="s">
        <v>10</v>
      </c>
      <c r="D524" s="28" t="s">
        <v>329</v>
      </c>
      <c r="E524" s="28" t="s">
        <v>28</v>
      </c>
      <c r="F524" s="28">
        <v>0</v>
      </c>
      <c r="G524" s="28" t="s">
        <v>117</v>
      </c>
      <c r="H524" s="28">
        <v>0</v>
      </c>
      <c r="J524" s="28"/>
    </row>
    <row r="525" spans="1:10" ht="15.75" customHeight="1">
      <c r="A525" s="28">
        <v>19374</v>
      </c>
      <c r="B525" s="91">
        <v>45125.075196759259</v>
      </c>
      <c r="C525" s="28" t="s">
        <v>10</v>
      </c>
      <c r="D525" s="28" t="s">
        <v>329</v>
      </c>
      <c r="E525" s="28" t="s">
        <v>28</v>
      </c>
      <c r="F525" s="28">
        <v>15</v>
      </c>
      <c r="G525" s="28" t="s">
        <v>170</v>
      </c>
      <c r="H525" s="28">
        <v>0</v>
      </c>
      <c r="J525" s="28"/>
    </row>
    <row r="526" spans="1:10" ht="15.75" customHeight="1">
      <c r="A526" s="28">
        <v>19373</v>
      </c>
      <c r="B526" s="91">
        <v>45125.046122685184</v>
      </c>
      <c r="C526" s="28" t="s">
        <v>10</v>
      </c>
      <c r="D526" s="28" t="s">
        <v>330</v>
      </c>
      <c r="E526" s="28" t="s">
        <v>79</v>
      </c>
      <c r="F526" s="28">
        <v>15</v>
      </c>
      <c r="G526" s="28" t="s">
        <v>170</v>
      </c>
      <c r="H526" s="28">
        <v>0</v>
      </c>
      <c r="J526" s="28"/>
    </row>
    <row r="527" spans="1:10" ht="15.75" customHeight="1">
      <c r="A527" s="28">
        <v>19372</v>
      </c>
      <c r="B527" s="91">
        <v>45125.030729166669</v>
      </c>
      <c r="C527" s="28" t="s">
        <v>10</v>
      </c>
      <c r="D527" s="28" t="s">
        <v>331</v>
      </c>
      <c r="E527" s="28" t="s">
        <v>79</v>
      </c>
      <c r="F527" s="28">
        <v>0</v>
      </c>
      <c r="G527" s="28" t="s">
        <v>117</v>
      </c>
      <c r="H527" s="28">
        <v>0</v>
      </c>
      <c r="J527" s="28"/>
    </row>
    <row r="528" spans="1:10" ht="15.75" customHeight="1">
      <c r="A528" s="28">
        <v>19372</v>
      </c>
      <c r="B528" s="91">
        <v>45125.030729166669</v>
      </c>
      <c r="C528" s="28" t="s">
        <v>10</v>
      </c>
      <c r="D528" s="28" t="s">
        <v>331</v>
      </c>
      <c r="E528" s="28" t="s">
        <v>79</v>
      </c>
      <c r="F528" s="28">
        <v>25</v>
      </c>
      <c r="G528" s="28">
        <v>100692</v>
      </c>
      <c r="H528" s="28">
        <v>0</v>
      </c>
      <c r="J528" s="28"/>
    </row>
    <row r="529" spans="1:10" ht="15.75" customHeight="1">
      <c r="A529" s="28">
        <v>19372</v>
      </c>
      <c r="B529" s="91">
        <v>45125.030729166669</v>
      </c>
      <c r="C529" s="28" t="s">
        <v>10</v>
      </c>
      <c r="D529" s="28" t="s">
        <v>331</v>
      </c>
      <c r="E529" s="28" t="s">
        <v>79</v>
      </c>
      <c r="F529" s="28">
        <v>0</v>
      </c>
      <c r="G529" s="28" t="s">
        <v>125</v>
      </c>
      <c r="H529" s="28">
        <v>0</v>
      </c>
      <c r="J529" s="28"/>
    </row>
    <row r="530" spans="1:10" ht="15.75" customHeight="1">
      <c r="A530" s="28">
        <v>19372</v>
      </c>
      <c r="B530" s="91">
        <v>45125.030729166669</v>
      </c>
      <c r="C530" s="28" t="s">
        <v>10</v>
      </c>
      <c r="D530" s="28" t="s">
        <v>331</v>
      </c>
      <c r="E530" s="28" t="s">
        <v>79</v>
      </c>
      <c r="F530" s="28">
        <v>0</v>
      </c>
      <c r="G530" s="28" t="s">
        <v>119</v>
      </c>
      <c r="H530" s="28">
        <v>0</v>
      </c>
      <c r="J530" s="28"/>
    </row>
    <row r="531" spans="1:10" ht="15.75" customHeight="1">
      <c r="A531" s="28">
        <v>19371</v>
      </c>
      <c r="B531" s="91">
        <v>45124.955277777779</v>
      </c>
      <c r="C531" s="28" t="s">
        <v>10</v>
      </c>
      <c r="D531" s="28" t="s">
        <v>332</v>
      </c>
      <c r="E531" s="28" t="s">
        <v>28</v>
      </c>
      <c r="F531" s="28">
        <v>0</v>
      </c>
      <c r="G531" s="28" t="s">
        <v>117</v>
      </c>
      <c r="H531" s="28">
        <v>0</v>
      </c>
      <c r="J531" s="28"/>
    </row>
    <row r="532" spans="1:10" ht="15.75" customHeight="1">
      <c r="A532" s="28">
        <v>19370</v>
      </c>
      <c r="B532" s="91">
        <v>45124.92769675926</v>
      </c>
      <c r="C532" s="28" t="s">
        <v>10</v>
      </c>
      <c r="D532" s="28" t="s">
        <v>333</v>
      </c>
      <c r="E532" s="28" t="s">
        <v>28</v>
      </c>
      <c r="F532" s="28">
        <v>35</v>
      </c>
      <c r="G532" s="28" t="s">
        <v>124</v>
      </c>
      <c r="H532" s="28">
        <v>0</v>
      </c>
      <c r="J532" s="28"/>
    </row>
    <row r="533" spans="1:10" ht="15.75" customHeight="1">
      <c r="A533" s="28">
        <v>19370</v>
      </c>
      <c r="B533" s="91">
        <v>45124.92769675926</v>
      </c>
      <c r="C533" s="28" t="s">
        <v>10</v>
      </c>
      <c r="D533" s="28" t="s">
        <v>333</v>
      </c>
      <c r="E533" s="28" t="s">
        <v>28</v>
      </c>
      <c r="F533" s="28">
        <v>0</v>
      </c>
      <c r="G533" s="28" t="s">
        <v>125</v>
      </c>
      <c r="H533" s="28">
        <v>0</v>
      </c>
      <c r="J533" s="28"/>
    </row>
    <row r="534" spans="1:10" ht="15.75" customHeight="1">
      <c r="A534" s="28">
        <v>19370</v>
      </c>
      <c r="B534" s="91">
        <v>45124.92769675926</v>
      </c>
      <c r="C534" s="28" t="s">
        <v>10</v>
      </c>
      <c r="D534" s="28" t="s">
        <v>333</v>
      </c>
      <c r="E534" s="28" t="s">
        <v>28</v>
      </c>
      <c r="F534" s="28">
        <v>0</v>
      </c>
      <c r="G534" s="28" t="s">
        <v>119</v>
      </c>
      <c r="H534" s="28">
        <v>0</v>
      </c>
      <c r="J534" s="28"/>
    </row>
    <row r="535" spans="1:10" ht="15.75" customHeight="1">
      <c r="A535" s="28">
        <v>19370</v>
      </c>
      <c r="B535" s="91">
        <v>45124.92769675926</v>
      </c>
      <c r="C535" s="28" t="s">
        <v>10</v>
      </c>
      <c r="D535" s="28" t="s">
        <v>333</v>
      </c>
      <c r="E535" s="28" t="s">
        <v>28</v>
      </c>
      <c r="F535" s="28">
        <v>0</v>
      </c>
      <c r="G535" s="28" t="s">
        <v>121</v>
      </c>
      <c r="H535" s="28">
        <v>0</v>
      </c>
      <c r="J535" s="28"/>
    </row>
    <row r="536" spans="1:10" ht="15.75" customHeight="1">
      <c r="A536" s="28">
        <v>19370</v>
      </c>
      <c r="B536" s="91">
        <v>45124.92769675926</v>
      </c>
      <c r="C536" s="28" t="s">
        <v>10</v>
      </c>
      <c r="D536" s="28" t="s">
        <v>333</v>
      </c>
      <c r="E536" s="28" t="s">
        <v>28</v>
      </c>
      <c r="F536" s="28">
        <v>10</v>
      </c>
      <c r="G536" s="28" t="s">
        <v>334</v>
      </c>
      <c r="H536" s="28">
        <v>0</v>
      </c>
      <c r="J536" s="28"/>
    </row>
    <row r="537" spans="1:10" ht="15.75" customHeight="1">
      <c r="A537" s="28">
        <v>19370</v>
      </c>
      <c r="B537" s="91">
        <v>45124.92769675926</v>
      </c>
      <c r="C537" s="28" t="s">
        <v>10</v>
      </c>
      <c r="D537" s="28" t="s">
        <v>333</v>
      </c>
      <c r="E537" s="28" t="s">
        <v>28</v>
      </c>
      <c r="F537" s="28">
        <v>26</v>
      </c>
      <c r="G537" s="28" t="s">
        <v>122</v>
      </c>
      <c r="H537" s="28">
        <v>0</v>
      </c>
      <c r="J537" s="28"/>
    </row>
    <row r="538" spans="1:10" ht="15.75" customHeight="1">
      <c r="A538" s="28">
        <v>19369</v>
      </c>
      <c r="B538" s="91">
        <v>45124.82340277778</v>
      </c>
      <c r="C538" s="28" t="s">
        <v>10</v>
      </c>
      <c r="D538" s="28" t="s">
        <v>335</v>
      </c>
      <c r="E538" s="28" t="s">
        <v>28</v>
      </c>
      <c r="F538" s="28">
        <v>20</v>
      </c>
      <c r="G538" s="28" t="s">
        <v>148</v>
      </c>
      <c r="H538" s="28">
        <v>0</v>
      </c>
      <c r="J538" s="28"/>
    </row>
    <row r="539" spans="1:10" ht="15.75" customHeight="1">
      <c r="A539" s="28">
        <v>19368</v>
      </c>
      <c r="B539" s="91">
        <v>45124.623252314814</v>
      </c>
      <c r="C539" s="28" t="s">
        <v>10</v>
      </c>
      <c r="D539" s="28" t="s">
        <v>336</v>
      </c>
      <c r="E539" s="28" t="s">
        <v>28</v>
      </c>
      <c r="F539" s="28">
        <v>15</v>
      </c>
      <c r="G539" s="28" t="s">
        <v>170</v>
      </c>
      <c r="H539" s="28">
        <v>0</v>
      </c>
      <c r="J539" s="28"/>
    </row>
    <row r="540" spans="1:10" ht="15.75" customHeight="1">
      <c r="A540" s="28">
        <v>19368</v>
      </c>
      <c r="B540" s="91">
        <v>45124.623252314814</v>
      </c>
      <c r="C540" s="28" t="s">
        <v>10</v>
      </c>
      <c r="D540" s="28" t="s">
        <v>336</v>
      </c>
      <c r="E540" s="28" t="s">
        <v>28</v>
      </c>
      <c r="F540" s="28">
        <v>0</v>
      </c>
      <c r="G540" s="28" t="s">
        <v>117</v>
      </c>
      <c r="H540" s="28">
        <v>0</v>
      </c>
      <c r="J540" s="28"/>
    </row>
    <row r="541" spans="1:10" ht="15.75" customHeight="1">
      <c r="A541" s="28">
        <v>19367</v>
      </c>
      <c r="B541" s="91">
        <v>45124.621168981481</v>
      </c>
      <c r="C541" s="28" t="s">
        <v>10</v>
      </c>
      <c r="D541" s="28" t="s">
        <v>337</v>
      </c>
      <c r="E541" s="28" t="s">
        <v>28</v>
      </c>
      <c r="F541" s="28">
        <v>15</v>
      </c>
      <c r="G541" s="28" t="s">
        <v>170</v>
      </c>
      <c r="H541" s="28">
        <v>0</v>
      </c>
      <c r="J541" s="28"/>
    </row>
    <row r="542" spans="1:10" ht="15.75" customHeight="1">
      <c r="A542" s="28">
        <v>19367</v>
      </c>
      <c r="B542" s="91">
        <v>45124.621168981481</v>
      </c>
      <c r="C542" s="28" t="s">
        <v>10</v>
      </c>
      <c r="D542" s="28" t="s">
        <v>337</v>
      </c>
      <c r="E542" s="28" t="s">
        <v>28</v>
      </c>
      <c r="F542" s="28">
        <v>0</v>
      </c>
      <c r="G542" s="28" t="s">
        <v>117</v>
      </c>
      <c r="H542" s="28">
        <v>0</v>
      </c>
      <c r="J542" s="28"/>
    </row>
    <row r="543" spans="1:10" ht="15.75" customHeight="1">
      <c r="A543" s="28">
        <v>19366</v>
      </c>
      <c r="B543" s="91">
        <v>45123.828819444447</v>
      </c>
      <c r="C543" s="28" t="s">
        <v>10</v>
      </c>
      <c r="D543" s="28" t="s">
        <v>338</v>
      </c>
      <c r="E543" s="28" t="s">
        <v>79</v>
      </c>
      <c r="F543" s="28">
        <v>0</v>
      </c>
      <c r="G543" s="28" t="s">
        <v>117</v>
      </c>
      <c r="H543" s="28">
        <v>0</v>
      </c>
      <c r="J543" s="28"/>
    </row>
    <row r="544" spans="1:10" ht="15.75" customHeight="1">
      <c r="A544" s="28">
        <v>19366</v>
      </c>
      <c r="B544" s="91">
        <v>45123.828819444447</v>
      </c>
      <c r="C544" s="28" t="s">
        <v>10</v>
      </c>
      <c r="D544" s="28" t="s">
        <v>338</v>
      </c>
      <c r="E544" s="28" t="s">
        <v>79</v>
      </c>
      <c r="F544" s="28">
        <v>55</v>
      </c>
      <c r="G544" s="28">
        <v>101684</v>
      </c>
      <c r="H544" s="28">
        <v>0</v>
      </c>
      <c r="J544" s="28"/>
    </row>
    <row r="545" spans="1:10" ht="15.75" customHeight="1">
      <c r="A545" s="28">
        <v>19366</v>
      </c>
      <c r="B545" s="91">
        <v>45123.828819444447</v>
      </c>
      <c r="C545" s="28" t="s">
        <v>10</v>
      </c>
      <c r="D545" s="28" t="s">
        <v>338</v>
      </c>
      <c r="E545" s="28" t="s">
        <v>79</v>
      </c>
      <c r="F545" s="28">
        <v>0</v>
      </c>
      <c r="G545" s="28" t="s">
        <v>118</v>
      </c>
      <c r="H545" s="28">
        <v>0</v>
      </c>
      <c r="J545" s="28"/>
    </row>
    <row r="546" spans="1:10" ht="15.75" customHeight="1">
      <c r="A546" s="28">
        <v>19366</v>
      </c>
      <c r="B546" s="91">
        <v>45123.828819444447</v>
      </c>
      <c r="C546" s="28" t="s">
        <v>10</v>
      </c>
      <c r="D546" s="28" t="s">
        <v>338</v>
      </c>
      <c r="E546" s="28" t="s">
        <v>79</v>
      </c>
      <c r="F546" s="28">
        <v>0</v>
      </c>
      <c r="G546" s="28" t="s">
        <v>119</v>
      </c>
      <c r="H546" s="28">
        <v>0</v>
      </c>
      <c r="J546" s="28"/>
    </row>
    <row r="547" spans="1:10" ht="15.75" customHeight="1">
      <c r="A547" s="28">
        <v>19366</v>
      </c>
      <c r="B547" s="91">
        <v>45123.828819444447</v>
      </c>
      <c r="C547" s="28" t="s">
        <v>10</v>
      </c>
      <c r="D547" s="28" t="s">
        <v>338</v>
      </c>
      <c r="E547" s="28" t="s">
        <v>79</v>
      </c>
      <c r="F547" s="28">
        <v>0</v>
      </c>
      <c r="G547" s="28" t="s">
        <v>120</v>
      </c>
      <c r="H547" s="28">
        <v>0</v>
      </c>
      <c r="J547" s="28"/>
    </row>
    <row r="548" spans="1:10" ht="15.75" customHeight="1">
      <c r="A548" s="28">
        <v>19366</v>
      </c>
      <c r="B548" s="91">
        <v>45123.828819444447</v>
      </c>
      <c r="C548" s="28" t="s">
        <v>10</v>
      </c>
      <c r="D548" s="28" t="s">
        <v>338</v>
      </c>
      <c r="E548" s="28" t="s">
        <v>79</v>
      </c>
      <c r="F548" s="28">
        <v>0</v>
      </c>
      <c r="G548" s="28" t="s">
        <v>121</v>
      </c>
      <c r="H548" s="28">
        <v>0</v>
      </c>
      <c r="J548" s="28"/>
    </row>
    <row r="549" spans="1:10" ht="15.75" customHeight="1">
      <c r="A549" s="28">
        <v>19365</v>
      </c>
      <c r="B549" s="91">
        <v>45123.73133101852</v>
      </c>
      <c r="C549" s="28" t="s">
        <v>10</v>
      </c>
      <c r="D549" s="28" t="s">
        <v>339</v>
      </c>
      <c r="E549" s="28" t="s">
        <v>28</v>
      </c>
      <c r="F549" s="28">
        <v>28</v>
      </c>
      <c r="G549" s="28" t="s">
        <v>143</v>
      </c>
      <c r="H549" s="28">
        <v>0</v>
      </c>
      <c r="J549" s="28"/>
    </row>
    <row r="550" spans="1:10" ht="15.75" customHeight="1">
      <c r="A550" s="28">
        <v>19365</v>
      </c>
      <c r="B550" s="91">
        <v>45123.73133101852</v>
      </c>
      <c r="C550" s="28" t="s">
        <v>10</v>
      </c>
      <c r="D550" s="28" t="s">
        <v>339</v>
      </c>
      <c r="E550" s="28" t="s">
        <v>28</v>
      </c>
      <c r="F550" s="28">
        <v>0</v>
      </c>
      <c r="G550" s="28" t="s">
        <v>117</v>
      </c>
      <c r="H550" s="28">
        <v>0</v>
      </c>
      <c r="J550" s="28"/>
    </row>
    <row r="551" spans="1:10" ht="15.75" customHeight="1">
      <c r="A551" s="28">
        <v>19364</v>
      </c>
      <c r="B551" s="91">
        <v>45122.909062499995</v>
      </c>
      <c r="C551" s="28" t="s">
        <v>10</v>
      </c>
      <c r="D551" s="28" t="s">
        <v>340</v>
      </c>
      <c r="E551" s="28" t="s">
        <v>28</v>
      </c>
      <c r="F551" s="28">
        <v>25</v>
      </c>
      <c r="G551" s="28">
        <v>100692</v>
      </c>
      <c r="H551" s="28">
        <v>0</v>
      </c>
      <c r="J551" s="28"/>
    </row>
    <row r="552" spans="1:10" ht="15.75" customHeight="1">
      <c r="A552" s="28">
        <v>19364</v>
      </c>
      <c r="B552" s="91">
        <v>45122.909062499995</v>
      </c>
      <c r="C552" s="28" t="s">
        <v>10</v>
      </c>
      <c r="D552" s="28" t="s">
        <v>340</v>
      </c>
      <c r="E552" s="28" t="s">
        <v>28</v>
      </c>
      <c r="F552" s="28">
        <v>0</v>
      </c>
      <c r="G552" s="28" t="s">
        <v>125</v>
      </c>
      <c r="H552" s="28">
        <v>0</v>
      </c>
      <c r="J552" s="28"/>
    </row>
    <row r="553" spans="1:10" ht="15.75" customHeight="1">
      <c r="A553" s="28">
        <v>19364</v>
      </c>
      <c r="B553" s="91">
        <v>45122.909062499995</v>
      </c>
      <c r="C553" s="28" t="s">
        <v>10</v>
      </c>
      <c r="D553" s="28" t="s">
        <v>340</v>
      </c>
      <c r="E553" s="28" t="s">
        <v>28</v>
      </c>
      <c r="F553" s="28">
        <v>0</v>
      </c>
      <c r="G553" s="28" t="s">
        <v>119</v>
      </c>
      <c r="H553" s="28">
        <v>0</v>
      </c>
      <c r="J553" s="28"/>
    </row>
    <row r="554" spans="1:10" ht="15.75" customHeight="1">
      <c r="A554" s="28">
        <v>19364</v>
      </c>
      <c r="B554" s="91">
        <v>45122.909062499995</v>
      </c>
      <c r="C554" s="28" t="s">
        <v>10</v>
      </c>
      <c r="D554" s="28" t="s">
        <v>340</v>
      </c>
      <c r="E554" s="28" t="s">
        <v>28</v>
      </c>
      <c r="F554" s="28">
        <v>0</v>
      </c>
      <c r="G554" s="28" t="s">
        <v>117</v>
      </c>
      <c r="H554" s="28">
        <v>0</v>
      </c>
      <c r="J554" s="28"/>
    </row>
    <row r="555" spans="1:10" ht="15.75" customHeight="1">
      <c r="A555" s="28">
        <v>19363</v>
      </c>
      <c r="B555" s="91">
        <v>45122.761747685188</v>
      </c>
      <c r="C555" s="28" t="s">
        <v>10</v>
      </c>
      <c r="D555" s="28" t="s">
        <v>341</v>
      </c>
      <c r="E555" s="28" t="s">
        <v>28</v>
      </c>
      <c r="F555" s="28">
        <v>20</v>
      </c>
      <c r="G555" s="28" t="s">
        <v>148</v>
      </c>
      <c r="H555" s="28">
        <v>0</v>
      </c>
      <c r="J555" s="28"/>
    </row>
    <row r="556" spans="1:10" ht="15.75" customHeight="1">
      <c r="A556" s="28">
        <v>19362</v>
      </c>
      <c r="B556" s="91">
        <v>45122.593425925923</v>
      </c>
      <c r="C556" s="28" t="s">
        <v>10</v>
      </c>
      <c r="D556" s="28" t="s">
        <v>342</v>
      </c>
      <c r="E556" s="28" t="s">
        <v>28</v>
      </c>
      <c r="F556" s="28">
        <v>15</v>
      </c>
      <c r="G556" s="28" t="s">
        <v>125</v>
      </c>
      <c r="H556" s="28">
        <v>0</v>
      </c>
      <c r="J556" s="28"/>
    </row>
    <row r="557" spans="1:10" ht="15.75" customHeight="1">
      <c r="A557" s="28">
        <v>19362</v>
      </c>
      <c r="B557" s="91">
        <v>45122.593425925923</v>
      </c>
      <c r="C557" s="28" t="s">
        <v>10</v>
      </c>
      <c r="D557" s="28" t="s">
        <v>342</v>
      </c>
      <c r="E557" s="28" t="s">
        <v>28</v>
      </c>
      <c r="F557" s="28">
        <v>0</v>
      </c>
      <c r="G557" s="28" t="s">
        <v>117</v>
      </c>
      <c r="H557" s="28">
        <v>0</v>
      </c>
      <c r="J557" s="28"/>
    </row>
    <row r="558" spans="1:10" ht="15.75" customHeight="1">
      <c r="A558" s="28">
        <v>19361</v>
      </c>
      <c r="B558" s="91">
        <v>45122.592476851853</v>
      </c>
      <c r="C558" s="28" t="s">
        <v>10</v>
      </c>
      <c r="D558" s="28" t="s">
        <v>343</v>
      </c>
      <c r="E558" s="28" t="s">
        <v>28</v>
      </c>
      <c r="F558" s="28">
        <v>15</v>
      </c>
      <c r="G558" s="28" t="s">
        <v>125</v>
      </c>
      <c r="H558" s="28">
        <v>0</v>
      </c>
      <c r="J558" s="28"/>
    </row>
    <row r="559" spans="1:10" ht="15.75" customHeight="1">
      <c r="A559" s="28">
        <v>19361</v>
      </c>
      <c r="B559" s="91">
        <v>45122.592476851853</v>
      </c>
      <c r="C559" s="28" t="s">
        <v>10</v>
      </c>
      <c r="D559" s="28" t="s">
        <v>343</v>
      </c>
      <c r="E559" s="28" t="s">
        <v>28</v>
      </c>
      <c r="F559" s="28">
        <v>0</v>
      </c>
      <c r="G559" s="28" t="s">
        <v>117</v>
      </c>
      <c r="H559" s="28">
        <v>0</v>
      </c>
      <c r="J559" s="28"/>
    </row>
    <row r="560" spans="1:10" ht="15.75" customHeight="1">
      <c r="A560" s="28">
        <v>19360</v>
      </c>
      <c r="B560" s="91">
        <v>45122.591145833328</v>
      </c>
      <c r="C560" s="28" t="s">
        <v>10</v>
      </c>
      <c r="D560" s="28" t="s">
        <v>344</v>
      </c>
      <c r="E560" s="28" t="s">
        <v>28</v>
      </c>
      <c r="F560" s="28">
        <v>0</v>
      </c>
      <c r="G560" s="28" t="s">
        <v>117</v>
      </c>
      <c r="H560" s="28">
        <v>0</v>
      </c>
      <c r="J560" s="28"/>
    </row>
    <row r="561" spans="1:10" ht="15.75" customHeight="1">
      <c r="A561" s="28">
        <v>19360</v>
      </c>
      <c r="B561" s="91">
        <v>45122.591145833328</v>
      </c>
      <c r="C561" s="28" t="s">
        <v>10</v>
      </c>
      <c r="D561" s="28" t="s">
        <v>344</v>
      </c>
      <c r="E561" s="28" t="s">
        <v>28</v>
      </c>
      <c r="F561" s="28">
        <v>15</v>
      </c>
      <c r="G561" s="28" t="s">
        <v>125</v>
      </c>
      <c r="H561" s="28">
        <v>0</v>
      </c>
      <c r="J561" s="28"/>
    </row>
    <row r="562" spans="1:10" ht="15.75" customHeight="1">
      <c r="A562" s="28">
        <v>19359</v>
      </c>
      <c r="B562" s="91">
        <v>45122.491979166662</v>
      </c>
      <c r="C562" s="28" t="s">
        <v>10</v>
      </c>
      <c r="D562" s="28" t="s">
        <v>345</v>
      </c>
      <c r="E562" s="28" t="s">
        <v>28</v>
      </c>
      <c r="F562" s="28">
        <v>0</v>
      </c>
      <c r="G562" s="28" t="s">
        <v>117</v>
      </c>
      <c r="H562" s="28">
        <v>0</v>
      </c>
      <c r="J562" s="28"/>
    </row>
    <row r="563" spans="1:10" ht="15.75" customHeight="1">
      <c r="A563" s="28">
        <v>19359</v>
      </c>
      <c r="B563" s="91">
        <v>45122.491979166662</v>
      </c>
      <c r="C563" s="28" t="s">
        <v>10</v>
      </c>
      <c r="D563" s="28" t="s">
        <v>345</v>
      </c>
      <c r="E563" s="28" t="s">
        <v>28</v>
      </c>
      <c r="F563" s="28">
        <v>18</v>
      </c>
      <c r="G563" s="28" t="s">
        <v>119</v>
      </c>
      <c r="H563" s="28">
        <v>0</v>
      </c>
      <c r="J563" s="28"/>
    </row>
    <row r="564" spans="1:10" ht="15.75" customHeight="1">
      <c r="A564" s="28">
        <v>19358</v>
      </c>
      <c r="B564" s="91">
        <v>45121.617337962962</v>
      </c>
      <c r="C564" s="28" t="s">
        <v>10</v>
      </c>
      <c r="D564" s="28" t="s">
        <v>346</v>
      </c>
      <c r="E564" s="28" t="s">
        <v>28</v>
      </c>
      <c r="F564" s="28">
        <v>28</v>
      </c>
      <c r="G564" s="28" t="s">
        <v>143</v>
      </c>
      <c r="H564" s="28">
        <v>0</v>
      </c>
      <c r="J564" s="28"/>
    </row>
    <row r="565" spans="1:10" ht="15.75" customHeight="1">
      <c r="A565" s="28">
        <v>19358</v>
      </c>
      <c r="B565" s="91">
        <v>45121.617337962962</v>
      </c>
      <c r="C565" s="28" t="s">
        <v>10</v>
      </c>
      <c r="D565" s="28" t="s">
        <v>346</v>
      </c>
      <c r="E565" s="28" t="s">
        <v>28</v>
      </c>
      <c r="F565" s="28">
        <v>0</v>
      </c>
      <c r="G565" s="28" t="s">
        <v>117</v>
      </c>
      <c r="H565" s="28">
        <v>0</v>
      </c>
      <c r="J565" s="28"/>
    </row>
    <row r="566" spans="1:10" ht="15.75" customHeight="1">
      <c r="A566" s="28">
        <v>19357</v>
      </c>
      <c r="B566" s="91">
        <v>45121.597453703704</v>
      </c>
      <c r="C566" s="28" t="s">
        <v>10</v>
      </c>
      <c r="D566" s="28" t="s">
        <v>347</v>
      </c>
      <c r="E566" s="28" t="s">
        <v>28</v>
      </c>
      <c r="F566" s="28">
        <v>26</v>
      </c>
      <c r="G566" s="28" t="s">
        <v>122</v>
      </c>
      <c r="H566" s="28">
        <v>0</v>
      </c>
      <c r="J566" s="28"/>
    </row>
    <row r="567" spans="1:10" ht="15.75" customHeight="1">
      <c r="A567" s="28">
        <v>19357</v>
      </c>
      <c r="B567" s="91">
        <v>45121.597453703704</v>
      </c>
      <c r="C567" s="28" t="s">
        <v>10</v>
      </c>
      <c r="D567" s="28" t="s">
        <v>347</v>
      </c>
      <c r="E567" s="28" t="s">
        <v>28</v>
      </c>
      <c r="F567" s="28">
        <v>26</v>
      </c>
      <c r="G567" s="28" t="s">
        <v>122</v>
      </c>
      <c r="H567" s="28">
        <v>0</v>
      </c>
      <c r="J567" s="28"/>
    </row>
    <row r="568" spans="1:10" ht="15.75" customHeight="1">
      <c r="A568" s="28">
        <v>19356</v>
      </c>
      <c r="B568" s="91">
        <v>45121.528726851851</v>
      </c>
      <c r="C568" s="28" t="s">
        <v>10</v>
      </c>
      <c r="D568" s="28" t="s">
        <v>348</v>
      </c>
      <c r="E568" s="28" t="s">
        <v>28</v>
      </c>
      <c r="F568" s="28">
        <v>15</v>
      </c>
      <c r="G568" s="28" t="s">
        <v>125</v>
      </c>
      <c r="H568" s="28">
        <v>0</v>
      </c>
      <c r="J568" s="28"/>
    </row>
    <row r="569" spans="1:10" ht="15.75" customHeight="1">
      <c r="A569" s="28">
        <v>19355</v>
      </c>
      <c r="B569" s="91">
        <v>45121.101875</v>
      </c>
      <c r="C569" s="28" t="s">
        <v>10</v>
      </c>
      <c r="D569" s="28" t="s">
        <v>349</v>
      </c>
      <c r="E569" s="28" t="s">
        <v>28</v>
      </c>
      <c r="F569" s="28">
        <v>15</v>
      </c>
      <c r="G569" s="28" t="s">
        <v>125</v>
      </c>
      <c r="H569" s="28">
        <v>0</v>
      </c>
      <c r="J569" s="28"/>
    </row>
    <row r="570" spans="1:10" ht="15.75" customHeight="1">
      <c r="A570" s="28">
        <v>19354</v>
      </c>
      <c r="B570" s="91">
        <v>45120.988865740743</v>
      </c>
      <c r="C570" s="28" t="s">
        <v>10</v>
      </c>
      <c r="D570" s="28" t="s">
        <v>332</v>
      </c>
      <c r="E570" s="28" t="s">
        <v>28</v>
      </c>
      <c r="F570" s="28">
        <v>0</v>
      </c>
      <c r="G570" s="28" t="s">
        <v>117</v>
      </c>
      <c r="H570" s="28">
        <v>0</v>
      </c>
      <c r="J570" s="28"/>
    </row>
    <row r="571" spans="1:10" ht="15.75" customHeight="1">
      <c r="A571" s="28">
        <v>19353</v>
      </c>
      <c r="B571" s="91">
        <v>45120.986284722225</v>
      </c>
      <c r="C571" s="28" t="s">
        <v>10</v>
      </c>
      <c r="D571" s="28" t="s">
        <v>350</v>
      </c>
      <c r="E571" s="28" t="s">
        <v>28</v>
      </c>
      <c r="F571" s="28">
        <v>0</v>
      </c>
      <c r="G571" s="28" t="s">
        <v>117</v>
      </c>
      <c r="H571" s="28">
        <v>0</v>
      </c>
      <c r="J571" s="28"/>
    </row>
    <row r="572" spans="1:10" ht="15.75" customHeight="1">
      <c r="A572" s="28">
        <v>19352</v>
      </c>
      <c r="B572" s="91">
        <v>45120.973935185189</v>
      </c>
      <c r="C572" s="28" t="s">
        <v>10</v>
      </c>
      <c r="D572" s="28" t="s">
        <v>351</v>
      </c>
      <c r="E572" s="28" t="s">
        <v>28</v>
      </c>
      <c r="F572" s="28">
        <v>18</v>
      </c>
      <c r="G572" s="28" t="s">
        <v>119</v>
      </c>
      <c r="H572" s="28">
        <v>0</v>
      </c>
      <c r="J572" s="28"/>
    </row>
    <row r="573" spans="1:10" ht="15.75" customHeight="1">
      <c r="A573" s="28">
        <v>19351</v>
      </c>
      <c r="B573" s="91">
        <v>45120.972256944442</v>
      </c>
      <c r="C573" s="28" t="s">
        <v>10</v>
      </c>
      <c r="D573" s="28" t="s">
        <v>352</v>
      </c>
      <c r="E573" s="28" t="s">
        <v>28</v>
      </c>
      <c r="F573" s="28">
        <v>18</v>
      </c>
      <c r="G573" s="28" t="s">
        <v>119</v>
      </c>
      <c r="H573" s="28">
        <v>0</v>
      </c>
      <c r="J573" s="28"/>
    </row>
    <row r="574" spans="1:10" ht="15.75" customHeight="1">
      <c r="A574" s="28">
        <v>19350</v>
      </c>
      <c r="B574" s="91">
        <v>45120.971157407403</v>
      </c>
      <c r="C574" s="28" t="s">
        <v>10</v>
      </c>
      <c r="D574" s="28" t="s">
        <v>353</v>
      </c>
      <c r="E574" s="28" t="s">
        <v>28</v>
      </c>
      <c r="F574" s="28">
        <v>18</v>
      </c>
      <c r="G574" s="28" t="s">
        <v>119</v>
      </c>
      <c r="H574" s="28">
        <v>0</v>
      </c>
      <c r="J574" s="28"/>
    </row>
    <row r="575" spans="1:10" ht="15.75" customHeight="1">
      <c r="A575" s="28">
        <v>19349</v>
      </c>
      <c r="B575" s="91">
        <v>45120.96974537037</v>
      </c>
      <c r="C575" s="28" t="s">
        <v>10</v>
      </c>
      <c r="D575" s="28" t="s">
        <v>354</v>
      </c>
      <c r="E575" s="28" t="s">
        <v>28</v>
      </c>
      <c r="F575" s="28">
        <v>18</v>
      </c>
      <c r="G575" s="28" t="s">
        <v>119</v>
      </c>
      <c r="H575" s="28">
        <v>0</v>
      </c>
      <c r="J575" s="28"/>
    </row>
    <row r="576" spans="1:10" ht="15.75" customHeight="1">
      <c r="A576" s="28">
        <v>19348</v>
      </c>
      <c r="B576" s="91">
        <v>45120.89340277778</v>
      </c>
      <c r="C576" s="28" t="s">
        <v>10</v>
      </c>
      <c r="D576" s="28" t="s">
        <v>355</v>
      </c>
      <c r="E576" s="28" t="s">
        <v>28</v>
      </c>
      <c r="F576" s="28">
        <v>15</v>
      </c>
      <c r="G576" s="28" t="s">
        <v>125</v>
      </c>
      <c r="H576" s="28">
        <v>0</v>
      </c>
      <c r="J576" s="28"/>
    </row>
    <row r="577" spans="1:10" ht="15.75" customHeight="1">
      <c r="A577" s="28">
        <v>19347</v>
      </c>
      <c r="B577" s="91">
        <v>45120.891793981486</v>
      </c>
      <c r="C577" s="28" t="s">
        <v>8</v>
      </c>
      <c r="D577" s="28" t="s">
        <v>356</v>
      </c>
      <c r="E577" s="28" t="s">
        <v>28</v>
      </c>
      <c r="F577" s="28">
        <v>0</v>
      </c>
      <c r="G577" s="28" t="s">
        <v>117</v>
      </c>
      <c r="H577" s="28">
        <v>0</v>
      </c>
      <c r="J577" s="28"/>
    </row>
    <row r="578" spans="1:10" ht="15.75" customHeight="1">
      <c r="A578" s="28">
        <v>19347</v>
      </c>
      <c r="B578" s="91">
        <v>45120.891793981486</v>
      </c>
      <c r="C578" s="28" t="s">
        <v>8</v>
      </c>
      <c r="D578" s="28" t="s">
        <v>356</v>
      </c>
      <c r="E578" s="28" t="s">
        <v>28</v>
      </c>
      <c r="F578" s="28">
        <v>15</v>
      </c>
      <c r="G578" s="28" t="s">
        <v>125</v>
      </c>
      <c r="H578" s="28">
        <v>0</v>
      </c>
      <c r="J578" s="28"/>
    </row>
    <row r="579" spans="1:10" ht="15.75" customHeight="1">
      <c r="A579" s="28">
        <v>19346</v>
      </c>
      <c r="B579" s="91">
        <v>45120.796261574069</v>
      </c>
      <c r="C579" s="28" t="s">
        <v>10</v>
      </c>
      <c r="D579" s="28" t="s">
        <v>357</v>
      </c>
      <c r="E579" s="28" t="s">
        <v>28</v>
      </c>
      <c r="F579" s="28">
        <v>35</v>
      </c>
      <c r="G579" s="28" t="s">
        <v>124</v>
      </c>
      <c r="H579" s="28">
        <v>0</v>
      </c>
      <c r="J579" s="28"/>
    </row>
    <row r="580" spans="1:10" ht="15.75" customHeight="1">
      <c r="A580" s="28">
        <v>19346</v>
      </c>
      <c r="B580" s="91">
        <v>45120.796261574069</v>
      </c>
      <c r="C580" s="28" t="s">
        <v>10</v>
      </c>
      <c r="D580" s="28" t="s">
        <v>357</v>
      </c>
      <c r="E580" s="28" t="s">
        <v>28</v>
      </c>
      <c r="F580" s="28">
        <v>0</v>
      </c>
      <c r="G580" s="28" t="s">
        <v>125</v>
      </c>
      <c r="H580" s="28">
        <v>0</v>
      </c>
      <c r="J580" s="28"/>
    </row>
    <row r="581" spans="1:10" ht="15.75" customHeight="1">
      <c r="A581" s="28">
        <v>19346</v>
      </c>
      <c r="B581" s="91">
        <v>45120.796261574069</v>
      </c>
      <c r="C581" s="28" t="s">
        <v>10</v>
      </c>
      <c r="D581" s="28" t="s">
        <v>357</v>
      </c>
      <c r="E581" s="28" t="s">
        <v>28</v>
      </c>
      <c r="F581" s="28">
        <v>0</v>
      </c>
      <c r="G581" s="28" t="s">
        <v>119</v>
      </c>
      <c r="H581" s="28">
        <v>0</v>
      </c>
      <c r="J581" s="28"/>
    </row>
    <row r="582" spans="1:10" ht="15.75" customHeight="1">
      <c r="A582" s="28">
        <v>19346</v>
      </c>
      <c r="B582" s="91">
        <v>45120.796261574069</v>
      </c>
      <c r="C582" s="28" t="s">
        <v>10</v>
      </c>
      <c r="D582" s="28" t="s">
        <v>357</v>
      </c>
      <c r="E582" s="28" t="s">
        <v>28</v>
      </c>
      <c r="F582" s="28">
        <v>0</v>
      </c>
      <c r="G582" s="28" t="s">
        <v>121</v>
      </c>
      <c r="H582" s="28">
        <v>0</v>
      </c>
      <c r="J582" s="28"/>
    </row>
    <row r="583" spans="1:10" ht="15.75" customHeight="1">
      <c r="A583" s="28">
        <v>19345</v>
      </c>
      <c r="B583" s="91">
        <v>45120.636273148149</v>
      </c>
      <c r="C583" s="28" t="s">
        <v>10</v>
      </c>
      <c r="D583" s="28" t="s">
        <v>281</v>
      </c>
      <c r="E583" s="28" t="s">
        <v>28</v>
      </c>
      <c r="F583" s="28">
        <v>25</v>
      </c>
      <c r="G583" s="28">
        <v>100692</v>
      </c>
      <c r="H583" s="28">
        <v>0</v>
      </c>
      <c r="J583" s="28"/>
    </row>
    <row r="584" spans="1:10" ht="15.75" customHeight="1">
      <c r="A584" s="28">
        <v>19345</v>
      </c>
      <c r="B584" s="91">
        <v>45120.636273148149</v>
      </c>
      <c r="C584" s="28" t="s">
        <v>10</v>
      </c>
      <c r="D584" s="28" t="s">
        <v>281</v>
      </c>
      <c r="E584" s="28" t="s">
        <v>28</v>
      </c>
      <c r="F584" s="28">
        <v>0</v>
      </c>
      <c r="G584" s="28" t="s">
        <v>125</v>
      </c>
      <c r="H584" s="28">
        <v>0</v>
      </c>
      <c r="J584" s="28"/>
    </row>
    <row r="585" spans="1:10" ht="15.75" customHeight="1">
      <c r="A585" s="28">
        <v>19345</v>
      </c>
      <c r="B585" s="91">
        <v>45120.636273148149</v>
      </c>
      <c r="C585" s="28" t="s">
        <v>10</v>
      </c>
      <c r="D585" s="28" t="s">
        <v>281</v>
      </c>
      <c r="E585" s="28" t="s">
        <v>28</v>
      </c>
      <c r="F585" s="28">
        <v>0</v>
      </c>
      <c r="G585" s="28" t="s">
        <v>119</v>
      </c>
      <c r="H585" s="28">
        <v>0</v>
      </c>
      <c r="J585" s="28"/>
    </row>
    <row r="586" spans="1:10" ht="15.75" customHeight="1">
      <c r="A586" s="28">
        <v>19344</v>
      </c>
      <c r="B586" s="91">
        <v>45120.6328125</v>
      </c>
      <c r="C586" s="28" t="s">
        <v>10</v>
      </c>
      <c r="D586" s="28" t="s">
        <v>358</v>
      </c>
      <c r="E586" s="28" t="s">
        <v>28</v>
      </c>
      <c r="F586" s="28">
        <v>25</v>
      </c>
      <c r="G586" s="28">
        <v>100692</v>
      </c>
      <c r="H586" s="28">
        <v>0</v>
      </c>
      <c r="J586" s="28"/>
    </row>
    <row r="587" spans="1:10" ht="15.75" customHeight="1">
      <c r="A587" s="28">
        <v>19344</v>
      </c>
      <c r="B587" s="91">
        <v>45120.6328125</v>
      </c>
      <c r="C587" s="28" t="s">
        <v>10</v>
      </c>
      <c r="D587" s="28" t="s">
        <v>358</v>
      </c>
      <c r="E587" s="28" t="s">
        <v>28</v>
      </c>
      <c r="F587" s="28">
        <v>0</v>
      </c>
      <c r="G587" s="28" t="s">
        <v>125</v>
      </c>
      <c r="H587" s="28">
        <v>0</v>
      </c>
      <c r="J587" s="28"/>
    </row>
    <row r="588" spans="1:10" ht="15.75" customHeight="1">
      <c r="A588" s="28">
        <v>19344</v>
      </c>
      <c r="B588" s="91">
        <v>45120.6328125</v>
      </c>
      <c r="C588" s="28" t="s">
        <v>10</v>
      </c>
      <c r="D588" s="28" t="s">
        <v>358</v>
      </c>
      <c r="E588" s="28" t="s">
        <v>28</v>
      </c>
      <c r="F588" s="28">
        <v>0</v>
      </c>
      <c r="G588" s="28" t="s">
        <v>119</v>
      </c>
      <c r="H588" s="28">
        <v>0</v>
      </c>
      <c r="J588" s="28"/>
    </row>
    <row r="589" spans="1:10" ht="15.75" customHeight="1">
      <c r="A589" s="28">
        <v>19343</v>
      </c>
      <c r="B589" s="91">
        <v>45120.62563657407</v>
      </c>
      <c r="C589" s="28" t="s">
        <v>10</v>
      </c>
      <c r="D589" s="28" t="s">
        <v>359</v>
      </c>
      <c r="E589" s="28" t="s">
        <v>28</v>
      </c>
      <c r="F589" s="28">
        <v>25</v>
      </c>
      <c r="G589" s="28">
        <v>100692</v>
      </c>
      <c r="H589" s="28">
        <v>0</v>
      </c>
      <c r="J589" s="28"/>
    </row>
    <row r="590" spans="1:10" ht="15.75" customHeight="1">
      <c r="A590" s="28">
        <v>19343</v>
      </c>
      <c r="B590" s="91">
        <v>45120.62563657407</v>
      </c>
      <c r="C590" s="28" t="s">
        <v>10</v>
      </c>
      <c r="D590" s="28" t="s">
        <v>359</v>
      </c>
      <c r="E590" s="28" t="s">
        <v>28</v>
      </c>
      <c r="F590" s="28">
        <v>0</v>
      </c>
      <c r="G590" s="28" t="s">
        <v>125</v>
      </c>
      <c r="H590" s="28">
        <v>0</v>
      </c>
      <c r="J590" s="28"/>
    </row>
    <row r="591" spans="1:10" ht="15.75" customHeight="1">
      <c r="A591" s="28">
        <v>19343</v>
      </c>
      <c r="B591" s="91">
        <v>45120.62563657407</v>
      </c>
      <c r="C591" s="28" t="s">
        <v>10</v>
      </c>
      <c r="D591" s="28" t="s">
        <v>359</v>
      </c>
      <c r="E591" s="28" t="s">
        <v>28</v>
      </c>
      <c r="F591" s="28">
        <v>0</v>
      </c>
      <c r="G591" s="28" t="s">
        <v>119</v>
      </c>
      <c r="H591" s="28">
        <v>0</v>
      </c>
      <c r="J591" s="28"/>
    </row>
    <row r="592" spans="1:10" ht="15.75" customHeight="1">
      <c r="A592" s="28">
        <v>19342</v>
      </c>
      <c r="B592" s="91">
        <v>45120.563067129631</v>
      </c>
      <c r="C592" s="28" t="s">
        <v>10</v>
      </c>
      <c r="D592" s="28" t="s">
        <v>360</v>
      </c>
      <c r="E592" s="28" t="s">
        <v>28</v>
      </c>
      <c r="F592" s="28">
        <v>18</v>
      </c>
      <c r="G592" s="28" t="s">
        <v>119</v>
      </c>
      <c r="H592" s="28">
        <v>0</v>
      </c>
      <c r="J592" s="28"/>
    </row>
    <row r="593" spans="1:10" ht="15.75" customHeight="1">
      <c r="A593" s="28">
        <v>19341</v>
      </c>
      <c r="B593" s="91">
        <v>45120.078460648147</v>
      </c>
      <c r="C593" s="28" t="s">
        <v>10</v>
      </c>
      <c r="D593" s="28" t="s">
        <v>361</v>
      </c>
      <c r="E593" s="28" t="s">
        <v>28</v>
      </c>
      <c r="F593" s="28">
        <v>35</v>
      </c>
      <c r="G593" s="28" t="s">
        <v>124</v>
      </c>
      <c r="H593" s="28">
        <v>0</v>
      </c>
      <c r="J593" s="28"/>
    </row>
    <row r="594" spans="1:10" ht="15.75" customHeight="1">
      <c r="A594" s="28">
        <v>19341</v>
      </c>
      <c r="B594" s="91">
        <v>45120.078460648147</v>
      </c>
      <c r="C594" s="28" t="s">
        <v>10</v>
      </c>
      <c r="D594" s="28" t="s">
        <v>361</v>
      </c>
      <c r="E594" s="28" t="s">
        <v>28</v>
      </c>
      <c r="F594" s="28">
        <v>0</v>
      </c>
      <c r="G594" s="28" t="s">
        <v>125</v>
      </c>
      <c r="H594" s="28">
        <v>0</v>
      </c>
      <c r="J594" s="28"/>
    </row>
    <row r="595" spans="1:10" ht="15.75" customHeight="1">
      <c r="A595" s="28">
        <v>19341</v>
      </c>
      <c r="B595" s="91">
        <v>45120.078460648147</v>
      </c>
      <c r="C595" s="28" t="s">
        <v>10</v>
      </c>
      <c r="D595" s="28" t="s">
        <v>361</v>
      </c>
      <c r="E595" s="28" t="s">
        <v>28</v>
      </c>
      <c r="F595" s="28">
        <v>0</v>
      </c>
      <c r="G595" s="28" t="s">
        <v>119</v>
      </c>
      <c r="H595" s="28">
        <v>0</v>
      </c>
      <c r="J595" s="28"/>
    </row>
    <row r="596" spans="1:10" ht="15.75" customHeight="1">
      <c r="A596" s="28">
        <v>19341</v>
      </c>
      <c r="B596" s="91">
        <v>45120.078460648147</v>
      </c>
      <c r="C596" s="28" t="s">
        <v>10</v>
      </c>
      <c r="D596" s="28" t="s">
        <v>361</v>
      </c>
      <c r="E596" s="28" t="s">
        <v>28</v>
      </c>
      <c r="F596" s="28">
        <v>0</v>
      </c>
      <c r="G596" s="28" t="s">
        <v>121</v>
      </c>
      <c r="H596" s="28">
        <v>0</v>
      </c>
      <c r="J596" s="28"/>
    </row>
    <row r="597" spans="1:10" ht="15.75" customHeight="1">
      <c r="A597" s="28">
        <v>19340</v>
      </c>
      <c r="B597" s="91">
        <v>45120.072870370372</v>
      </c>
      <c r="C597" s="28" t="s">
        <v>10</v>
      </c>
      <c r="D597" s="28" t="s">
        <v>362</v>
      </c>
      <c r="E597" s="28" t="s">
        <v>28</v>
      </c>
      <c r="F597" s="28">
        <v>25</v>
      </c>
      <c r="G597" s="28">
        <v>100692</v>
      </c>
      <c r="H597" s="28">
        <v>0</v>
      </c>
      <c r="J597" s="28"/>
    </row>
    <row r="598" spans="1:10" ht="15.75" customHeight="1">
      <c r="A598" s="28">
        <v>19340</v>
      </c>
      <c r="B598" s="91">
        <v>45120.072870370372</v>
      </c>
      <c r="C598" s="28" t="s">
        <v>10</v>
      </c>
      <c r="D598" s="28" t="s">
        <v>362</v>
      </c>
      <c r="E598" s="28" t="s">
        <v>28</v>
      </c>
      <c r="F598" s="28">
        <v>0</v>
      </c>
      <c r="G598" s="28" t="s">
        <v>125</v>
      </c>
      <c r="H598" s="28">
        <v>0</v>
      </c>
      <c r="J598" s="28"/>
    </row>
    <row r="599" spans="1:10" ht="15.75" customHeight="1">
      <c r="A599" s="28">
        <v>19340</v>
      </c>
      <c r="B599" s="91">
        <v>45120.072870370372</v>
      </c>
      <c r="C599" s="28" t="s">
        <v>10</v>
      </c>
      <c r="D599" s="28" t="s">
        <v>362</v>
      </c>
      <c r="E599" s="28" t="s">
        <v>28</v>
      </c>
      <c r="F599" s="28">
        <v>0</v>
      </c>
      <c r="G599" s="28" t="s">
        <v>119</v>
      </c>
      <c r="H599" s="28">
        <v>0</v>
      </c>
      <c r="J599" s="28"/>
    </row>
    <row r="600" spans="1:10" ht="15.75" customHeight="1">
      <c r="A600" s="28">
        <v>19339</v>
      </c>
      <c r="B600" s="91">
        <v>45120.052511574075</v>
      </c>
      <c r="C600" s="28" t="s">
        <v>10</v>
      </c>
      <c r="D600" s="28" t="s">
        <v>132</v>
      </c>
      <c r="E600" s="28" t="s">
        <v>80</v>
      </c>
      <c r="F600" s="28">
        <v>10.5</v>
      </c>
      <c r="G600" s="28" t="s">
        <v>117</v>
      </c>
      <c r="H600" s="28">
        <v>0</v>
      </c>
      <c r="J600" s="28"/>
    </row>
    <row r="601" spans="1:10" ht="15.75" customHeight="1">
      <c r="A601" s="28">
        <v>19339</v>
      </c>
      <c r="B601" s="91">
        <v>45120.052511574075</v>
      </c>
      <c r="C601" s="28" t="s">
        <v>10</v>
      </c>
      <c r="D601" s="28" t="s">
        <v>132</v>
      </c>
      <c r="E601" s="28" t="s">
        <v>80</v>
      </c>
      <c r="F601" s="28">
        <v>10.5</v>
      </c>
      <c r="G601" s="28" t="s">
        <v>117</v>
      </c>
      <c r="H601" s="28">
        <v>0</v>
      </c>
      <c r="J601" s="28"/>
    </row>
    <row r="602" spans="1:10" ht="15.75" customHeight="1">
      <c r="A602" s="28">
        <v>19339</v>
      </c>
      <c r="B602" s="91">
        <v>45120.052511574075</v>
      </c>
      <c r="C602" s="28" t="s">
        <v>10</v>
      </c>
      <c r="D602" s="28" t="s">
        <v>132</v>
      </c>
      <c r="E602" s="28" t="s">
        <v>80</v>
      </c>
      <c r="F602" s="28">
        <v>10.5</v>
      </c>
      <c r="G602" s="28" t="s">
        <v>117</v>
      </c>
      <c r="H602" s="28">
        <v>0</v>
      </c>
      <c r="J602" s="28"/>
    </row>
    <row r="603" spans="1:10" ht="15.75" customHeight="1">
      <c r="A603" s="28">
        <v>19339</v>
      </c>
      <c r="B603" s="91">
        <v>45120.052511574075</v>
      </c>
      <c r="C603" s="28" t="s">
        <v>10</v>
      </c>
      <c r="D603" s="28" t="s">
        <v>132</v>
      </c>
      <c r="E603" s="28" t="s">
        <v>80</v>
      </c>
      <c r="F603" s="28">
        <v>10.5</v>
      </c>
      <c r="G603" s="28" t="s">
        <v>117</v>
      </c>
      <c r="H603" s="28">
        <v>0</v>
      </c>
      <c r="J603" s="28"/>
    </row>
    <row r="604" spans="1:10" ht="15.75" customHeight="1">
      <c r="A604" s="28">
        <v>19339</v>
      </c>
      <c r="B604" s="91">
        <v>45120.052511574075</v>
      </c>
      <c r="C604" s="28" t="s">
        <v>10</v>
      </c>
      <c r="D604" s="28" t="s">
        <v>132</v>
      </c>
      <c r="E604" s="28" t="s">
        <v>80</v>
      </c>
      <c r="F604" s="28">
        <v>25.5</v>
      </c>
      <c r="G604" s="28" t="s">
        <v>117</v>
      </c>
      <c r="H604" s="28">
        <v>0</v>
      </c>
      <c r="J604" s="28"/>
    </row>
    <row r="605" spans="1:10" ht="15.75" customHeight="1">
      <c r="A605" s="28">
        <v>19339</v>
      </c>
      <c r="B605" s="91">
        <v>45120.052511574075</v>
      </c>
      <c r="C605" s="28" t="s">
        <v>10</v>
      </c>
      <c r="D605" s="28" t="s">
        <v>132</v>
      </c>
      <c r="E605" s="28" t="s">
        <v>80</v>
      </c>
      <c r="F605" s="28">
        <v>28.5</v>
      </c>
      <c r="G605" s="28" t="s">
        <v>117</v>
      </c>
      <c r="H605" s="28">
        <v>0</v>
      </c>
      <c r="J605" s="28"/>
    </row>
    <row r="606" spans="1:10" ht="15.75" customHeight="1">
      <c r="A606" s="28">
        <v>19339</v>
      </c>
      <c r="B606" s="91">
        <v>45120.052511574075</v>
      </c>
      <c r="C606" s="28" t="s">
        <v>10</v>
      </c>
      <c r="D606" s="28" t="s">
        <v>132</v>
      </c>
      <c r="E606" s="28" t="s">
        <v>80</v>
      </c>
      <c r="F606" s="28">
        <v>15</v>
      </c>
      <c r="G606" s="28" t="s">
        <v>117</v>
      </c>
      <c r="H606" s="28">
        <v>0</v>
      </c>
      <c r="J606" s="28"/>
    </row>
    <row r="607" spans="1:10" ht="15.75" customHeight="1">
      <c r="A607" s="28">
        <v>19339</v>
      </c>
      <c r="B607" s="91">
        <v>45120.052511574075</v>
      </c>
      <c r="C607" s="28" t="s">
        <v>10</v>
      </c>
      <c r="D607" s="28" t="s">
        <v>132</v>
      </c>
      <c r="E607" s="28" t="s">
        <v>80</v>
      </c>
      <c r="F607" s="28">
        <v>16.5</v>
      </c>
      <c r="G607" s="28" t="s">
        <v>117</v>
      </c>
      <c r="H607" s="28">
        <v>0</v>
      </c>
      <c r="J607" s="28"/>
    </row>
    <row r="608" spans="1:10" ht="15.75" customHeight="1">
      <c r="A608" s="28">
        <v>19339</v>
      </c>
      <c r="B608" s="91">
        <v>45120.052511574075</v>
      </c>
      <c r="C608" s="28" t="s">
        <v>10</v>
      </c>
      <c r="D608" s="28" t="s">
        <v>132</v>
      </c>
      <c r="E608" s="28" t="s">
        <v>80</v>
      </c>
      <c r="F608" s="28">
        <v>22.5</v>
      </c>
      <c r="G608" s="28" t="s">
        <v>117</v>
      </c>
      <c r="H608" s="28">
        <v>0</v>
      </c>
      <c r="J608" s="28"/>
    </row>
    <row r="609" spans="1:10" ht="15.75" customHeight="1">
      <c r="A609" s="28">
        <v>19339</v>
      </c>
      <c r="B609" s="91">
        <v>45120.052511574075</v>
      </c>
      <c r="C609" s="28" t="s">
        <v>10</v>
      </c>
      <c r="D609" s="28" t="s">
        <v>132</v>
      </c>
      <c r="E609" s="28" t="s">
        <v>80</v>
      </c>
      <c r="F609" s="28">
        <v>25.5</v>
      </c>
      <c r="G609" s="28" t="s">
        <v>117</v>
      </c>
      <c r="H609" s="28">
        <v>0</v>
      </c>
      <c r="J609" s="28"/>
    </row>
    <row r="610" spans="1:10" ht="15.75" customHeight="1">
      <c r="A610" s="28">
        <v>19339</v>
      </c>
      <c r="B610" s="91">
        <v>45120.052511574075</v>
      </c>
      <c r="C610" s="28" t="s">
        <v>10</v>
      </c>
      <c r="D610" s="28" t="s">
        <v>132</v>
      </c>
      <c r="E610" s="28" t="s">
        <v>80</v>
      </c>
      <c r="F610" s="28">
        <v>25.5</v>
      </c>
      <c r="G610" s="28" t="s">
        <v>117</v>
      </c>
      <c r="H610" s="28">
        <v>0</v>
      </c>
      <c r="J610" s="28"/>
    </row>
    <row r="611" spans="1:10" ht="15.75" customHeight="1">
      <c r="A611" s="28">
        <v>19335</v>
      </c>
      <c r="B611" s="91">
        <v>45119.978275462963</v>
      </c>
      <c r="C611" s="28" t="s">
        <v>8</v>
      </c>
      <c r="D611" s="28" t="s">
        <v>363</v>
      </c>
      <c r="E611" s="28" t="s">
        <v>28</v>
      </c>
      <c r="F611" s="28">
        <v>20</v>
      </c>
      <c r="G611" s="28" t="s">
        <v>148</v>
      </c>
      <c r="H611" s="28">
        <v>0</v>
      </c>
      <c r="J611" s="28"/>
    </row>
    <row r="612" spans="1:10" ht="15.75" customHeight="1">
      <c r="A612" s="28">
        <v>19334</v>
      </c>
      <c r="B612" s="91">
        <v>45119.944293981476</v>
      </c>
      <c r="C612" s="28" t="s">
        <v>8</v>
      </c>
      <c r="D612" s="28" t="s">
        <v>364</v>
      </c>
      <c r="E612" s="28" t="s">
        <v>28</v>
      </c>
      <c r="F612" s="28">
        <v>20</v>
      </c>
      <c r="G612" s="28" t="s">
        <v>121</v>
      </c>
      <c r="H612" s="28">
        <v>0</v>
      </c>
      <c r="J612" s="28"/>
    </row>
    <row r="613" spans="1:10" ht="15.75" customHeight="1">
      <c r="A613" s="28">
        <v>19334</v>
      </c>
      <c r="B613" s="91">
        <v>45119.944293981476</v>
      </c>
      <c r="C613" s="28" t="s">
        <v>8</v>
      </c>
      <c r="D613" s="28" t="s">
        <v>364</v>
      </c>
      <c r="E613" s="28" t="s">
        <v>28</v>
      </c>
      <c r="F613" s="28">
        <v>26</v>
      </c>
      <c r="G613" s="28" t="s">
        <v>122</v>
      </c>
      <c r="H613" s="28">
        <v>0</v>
      </c>
      <c r="J613" s="28"/>
    </row>
    <row r="614" spans="1:10" ht="15.75" customHeight="1">
      <c r="A614" s="28">
        <v>19334</v>
      </c>
      <c r="B614" s="91">
        <v>45119.944293981476</v>
      </c>
      <c r="C614" s="28" t="s">
        <v>8</v>
      </c>
      <c r="D614" s="28" t="s">
        <v>364</v>
      </c>
      <c r="E614" s="28" t="s">
        <v>28</v>
      </c>
      <c r="F614" s="28">
        <v>0</v>
      </c>
      <c r="G614" s="28" t="s">
        <v>117</v>
      </c>
      <c r="H614" s="28">
        <v>0</v>
      </c>
      <c r="J614" s="28"/>
    </row>
    <row r="615" spans="1:10" ht="15.75" customHeight="1">
      <c r="A615" s="28">
        <v>19333</v>
      </c>
      <c r="B615" s="91">
        <v>45119.938032407408</v>
      </c>
      <c r="C615" s="28" t="s">
        <v>10</v>
      </c>
      <c r="D615" s="28" t="s">
        <v>365</v>
      </c>
      <c r="E615" s="28" t="s">
        <v>28</v>
      </c>
      <c r="F615" s="28">
        <v>20</v>
      </c>
      <c r="G615" s="28" t="s">
        <v>121</v>
      </c>
      <c r="H615" s="28">
        <v>0</v>
      </c>
      <c r="J615" s="28"/>
    </row>
    <row r="616" spans="1:10" ht="15.75" customHeight="1">
      <c r="A616" s="28">
        <v>19333</v>
      </c>
      <c r="B616" s="91">
        <v>45119.938032407408</v>
      </c>
      <c r="C616" s="28" t="s">
        <v>10</v>
      </c>
      <c r="D616" s="28" t="s">
        <v>365</v>
      </c>
      <c r="E616" s="28" t="s">
        <v>28</v>
      </c>
      <c r="F616" s="28">
        <v>26</v>
      </c>
      <c r="G616" s="28" t="s">
        <v>122</v>
      </c>
      <c r="H616" s="28">
        <v>0</v>
      </c>
      <c r="J616" s="28"/>
    </row>
    <row r="617" spans="1:10" ht="15.75" customHeight="1">
      <c r="A617" s="28">
        <v>19333</v>
      </c>
      <c r="B617" s="91">
        <v>45119.938032407408</v>
      </c>
      <c r="C617" s="28" t="s">
        <v>10</v>
      </c>
      <c r="D617" s="28" t="s">
        <v>365</v>
      </c>
      <c r="E617" s="28" t="s">
        <v>28</v>
      </c>
      <c r="F617" s="28">
        <v>0</v>
      </c>
      <c r="G617" s="28" t="s">
        <v>117</v>
      </c>
      <c r="H617" s="28">
        <v>0</v>
      </c>
      <c r="J617" s="28"/>
    </row>
    <row r="618" spans="1:10" ht="15.75" customHeight="1">
      <c r="A618" s="28">
        <v>19332</v>
      </c>
      <c r="B618" s="91">
        <v>45119.916481481487</v>
      </c>
      <c r="C618" s="28" t="s">
        <v>8</v>
      </c>
      <c r="D618" s="28" t="s">
        <v>366</v>
      </c>
      <c r="E618" s="28" t="s">
        <v>28</v>
      </c>
      <c r="F618" s="28">
        <v>28</v>
      </c>
      <c r="G618" s="28" t="s">
        <v>143</v>
      </c>
      <c r="H618" s="28">
        <v>0</v>
      </c>
      <c r="J618" s="28"/>
    </row>
    <row r="619" spans="1:10" ht="15.75" customHeight="1">
      <c r="A619" s="28">
        <v>19332</v>
      </c>
      <c r="B619" s="91">
        <v>45119.916481481487</v>
      </c>
      <c r="C619" s="28" t="s">
        <v>8</v>
      </c>
      <c r="D619" s="28" t="s">
        <v>366</v>
      </c>
      <c r="E619" s="28" t="s">
        <v>28</v>
      </c>
      <c r="F619" s="28">
        <v>0</v>
      </c>
      <c r="G619" s="28" t="s">
        <v>117</v>
      </c>
      <c r="H619" s="28">
        <v>0</v>
      </c>
      <c r="J619" s="28"/>
    </row>
    <row r="620" spans="1:10" ht="15.75" customHeight="1">
      <c r="A620" s="28">
        <v>19332</v>
      </c>
      <c r="B620" s="91">
        <v>45119.916481481487</v>
      </c>
      <c r="C620" s="28" t="s">
        <v>8</v>
      </c>
      <c r="D620" s="28" t="s">
        <v>366</v>
      </c>
      <c r="E620" s="28" t="s">
        <v>28</v>
      </c>
      <c r="F620" s="28">
        <v>15</v>
      </c>
      <c r="G620" s="28" t="s">
        <v>139</v>
      </c>
      <c r="H620" s="28">
        <v>0</v>
      </c>
      <c r="J620" s="28"/>
    </row>
    <row r="621" spans="1:10" ht="15.75" customHeight="1">
      <c r="A621" s="28">
        <v>19332</v>
      </c>
      <c r="B621" s="91">
        <v>45119.916481481487</v>
      </c>
      <c r="C621" s="28" t="s">
        <v>8</v>
      </c>
      <c r="D621" s="28" t="s">
        <v>366</v>
      </c>
      <c r="E621" s="28" t="s">
        <v>28</v>
      </c>
      <c r="F621" s="28">
        <v>25</v>
      </c>
      <c r="G621" s="28">
        <v>100692</v>
      </c>
      <c r="H621" s="28">
        <v>0</v>
      </c>
      <c r="J621" s="28"/>
    </row>
    <row r="622" spans="1:10" ht="15.75" customHeight="1">
      <c r="A622" s="28">
        <v>19332</v>
      </c>
      <c r="B622" s="91">
        <v>45119.916481481487</v>
      </c>
      <c r="C622" s="28" t="s">
        <v>8</v>
      </c>
      <c r="D622" s="28" t="s">
        <v>366</v>
      </c>
      <c r="E622" s="28" t="s">
        <v>28</v>
      </c>
      <c r="F622" s="28">
        <v>0</v>
      </c>
      <c r="G622" s="28" t="s">
        <v>125</v>
      </c>
      <c r="H622" s="28">
        <v>0</v>
      </c>
      <c r="J622" s="28"/>
    </row>
    <row r="623" spans="1:10" ht="15.75" customHeight="1">
      <c r="A623" s="28">
        <v>19332</v>
      </c>
      <c r="B623" s="91">
        <v>45119.916481481487</v>
      </c>
      <c r="C623" s="28" t="s">
        <v>8</v>
      </c>
      <c r="D623" s="28" t="s">
        <v>366</v>
      </c>
      <c r="E623" s="28" t="s">
        <v>28</v>
      </c>
      <c r="F623" s="28">
        <v>0</v>
      </c>
      <c r="G623" s="28" t="s">
        <v>119</v>
      </c>
      <c r="H623" s="28">
        <v>0</v>
      </c>
      <c r="J623" s="28"/>
    </row>
    <row r="624" spans="1:10" ht="15.75" customHeight="1">
      <c r="A624" s="28">
        <v>19331</v>
      </c>
      <c r="B624" s="91">
        <v>45119.868564814809</v>
      </c>
      <c r="C624" s="28" t="s">
        <v>10</v>
      </c>
      <c r="D624" s="28" t="s">
        <v>367</v>
      </c>
      <c r="E624" s="28" t="s">
        <v>28</v>
      </c>
      <c r="F624" s="28">
        <v>25</v>
      </c>
      <c r="G624" s="28" t="s">
        <v>141</v>
      </c>
      <c r="H624" s="28">
        <v>0</v>
      </c>
      <c r="J624" s="28"/>
    </row>
    <row r="625" spans="1:10" ht="15.75" customHeight="1">
      <c r="A625" s="28">
        <v>19330</v>
      </c>
      <c r="B625" s="91">
        <v>45119.848368055551</v>
      </c>
      <c r="C625" s="28" t="s">
        <v>8</v>
      </c>
      <c r="D625" s="28" t="s">
        <v>368</v>
      </c>
      <c r="E625" s="28" t="s">
        <v>28</v>
      </c>
      <c r="F625" s="28">
        <v>26</v>
      </c>
      <c r="G625" s="28" t="s">
        <v>122</v>
      </c>
      <c r="H625" s="28">
        <v>0</v>
      </c>
      <c r="J625" s="28"/>
    </row>
    <row r="626" spans="1:10" ht="15.75" customHeight="1">
      <c r="A626" s="28">
        <v>19330</v>
      </c>
      <c r="B626" s="91">
        <v>45119.848368055551</v>
      </c>
      <c r="C626" s="28" t="s">
        <v>8</v>
      </c>
      <c r="D626" s="28" t="s">
        <v>368</v>
      </c>
      <c r="E626" s="28" t="s">
        <v>28</v>
      </c>
      <c r="F626" s="28">
        <v>0</v>
      </c>
      <c r="G626" s="28" t="s">
        <v>117</v>
      </c>
      <c r="H626" s="28">
        <v>0</v>
      </c>
      <c r="J626" s="28"/>
    </row>
    <row r="627" spans="1:10" ht="15.75" customHeight="1">
      <c r="A627" s="28">
        <v>19329</v>
      </c>
      <c r="B627" s="91">
        <v>45119.811030092591</v>
      </c>
      <c r="C627" s="28" t="s">
        <v>10</v>
      </c>
      <c r="D627" s="28" t="s">
        <v>369</v>
      </c>
      <c r="E627" s="28" t="s">
        <v>28</v>
      </c>
      <c r="F627" s="28">
        <v>20</v>
      </c>
      <c r="G627" s="28" t="s">
        <v>121</v>
      </c>
      <c r="H627" s="28">
        <v>0</v>
      </c>
      <c r="J627" s="28"/>
    </row>
    <row r="628" spans="1:10" ht="15.75" customHeight="1">
      <c r="A628" s="28">
        <v>19328</v>
      </c>
      <c r="B628" s="91">
        <v>45119.79482638889</v>
      </c>
      <c r="C628" s="28" t="s">
        <v>10</v>
      </c>
      <c r="D628" s="28" t="s">
        <v>370</v>
      </c>
      <c r="E628" s="28" t="s">
        <v>28</v>
      </c>
      <c r="F628" s="28">
        <v>15</v>
      </c>
      <c r="G628" s="28" t="s">
        <v>139</v>
      </c>
      <c r="H628" s="28">
        <v>0</v>
      </c>
      <c r="J628" s="28"/>
    </row>
    <row r="629" spans="1:10" ht="15.75" customHeight="1">
      <c r="A629" s="28">
        <v>19328</v>
      </c>
      <c r="B629" s="91">
        <v>45119.79482638889</v>
      </c>
      <c r="C629" s="28" t="s">
        <v>10</v>
      </c>
      <c r="D629" s="28" t="s">
        <v>370</v>
      </c>
      <c r="E629" s="28" t="s">
        <v>28</v>
      </c>
      <c r="F629" s="28">
        <v>26</v>
      </c>
      <c r="G629" s="28" t="s">
        <v>122</v>
      </c>
      <c r="H629" s="28">
        <v>0</v>
      </c>
      <c r="J629" s="28"/>
    </row>
    <row r="630" spans="1:10" ht="15.75" customHeight="1">
      <c r="A630" s="28">
        <v>19327</v>
      </c>
      <c r="B630" s="91">
        <v>45119.750081018516</v>
      </c>
      <c r="C630" s="28" t="s">
        <v>10</v>
      </c>
      <c r="D630" s="28" t="s">
        <v>371</v>
      </c>
      <c r="E630" s="28" t="s">
        <v>28</v>
      </c>
      <c r="F630" s="28">
        <v>28</v>
      </c>
      <c r="G630" s="28" t="s">
        <v>143</v>
      </c>
      <c r="H630" s="28">
        <v>0</v>
      </c>
      <c r="J630" s="28"/>
    </row>
    <row r="631" spans="1:10" ht="15.75" customHeight="1">
      <c r="A631" s="28">
        <v>19325</v>
      </c>
      <c r="B631" s="91">
        <v>45119.089872685188</v>
      </c>
      <c r="C631" s="28" t="s">
        <v>10</v>
      </c>
      <c r="D631" s="28" t="s">
        <v>372</v>
      </c>
      <c r="E631" s="28" t="s">
        <v>28</v>
      </c>
      <c r="F631" s="28">
        <v>28</v>
      </c>
      <c r="G631" s="28" t="s">
        <v>143</v>
      </c>
      <c r="H631" s="28">
        <v>0</v>
      </c>
      <c r="J631" s="28"/>
    </row>
    <row r="632" spans="1:10" ht="15.75" customHeight="1">
      <c r="A632" s="28">
        <v>19325</v>
      </c>
      <c r="B632" s="91">
        <v>45119.089872685188</v>
      </c>
      <c r="C632" s="28" t="s">
        <v>10</v>
      </c>
      <c r="D632" s="28" t="s">
        <v>372</v>
      </c>
      <c r="E632" s="28" t="s">
        <v>28</v>
      </c>
      <c r="F632" s="28">
        <v>25</v>
      </c>
      <c r="G632" s="28">
        <v>100692</v>
      </c>
      <c r="H632" s="28">
        <v>0</v>
      </c>
      <c r="J632" s="28"/>
    </row>
    <row r="633" spans="1:10" ht="15.75" customHeight="1">
      <c r="A633" s="28">
        <v>19325</v>
      </c>
      <c r="B633" s="91">
        <v>45119.089872685188</v>
      </c>
      <c r="C633" s="28" t="s">
        <v>10</v>
      </c>
      <c r="D633" s="28" t="s">
        <v>372</v>
      </c>
      <c r="E633" s="28" t="s">
        <v>28</v>
      </c>
      <c r="F633" s="28">
        <v>0</v>
      </c>
      <c r="G633" s="28" t="s">
        <v>125</v>
      </c>
      <c r="H633" s="28">
        <v>0</v>
      </c>
      <c r="J633" s="28"/>
    </row>
    <row r="634" spans="1:10" ht="15.75" customHeight="1">
      <c r="A634" s="28">
        <v>19325</v>
      </c>
      <c r="B634" s="91">
        <v>45119.089872685188</v>
      </c>
      <c r="C634" s="28" t="s">
        <v>10</v>
      </c>
      <c r="D634" s="28" t="s">
        <v>372</v>
      </c>
      <c r="E634" s="28" t="s">
        <v>28</v>
      </c>
      <c r="F634" s="28">
        <v>0</v>
      </c>
      <c r="G634" s="28" t="s">
        <v>119</v>
      </c>
      <c r="H634" s="28">
        <v>0</v>
      </c>
      <c r="J634" s="28"/>
    </row>
    <row r="635" spans="1:10" ht="15.75" customHeight="1">
      <c r="A635" s="28">
        <v>19325</v>
      </c>
      <c r="B635" s="91">
        <v>45119.089872685188</v>
      </c>
      <c r="C635" s="28" t="s">
        <v>10</v>
      </c>
      <c r="D635" s="28" t="s">
        <v>372</v>
      </c>
      <c r="E635" s="28" t="s">
        <v>28</v>
      </c>
      <c r="F635" s="28">
        <v>0</v>
      </c>
      <c r="G635" s="28" t="s">
        <v>117</v>
      </c>
      <c r="H635" s="28">
        <v>0</v>
      </c>
      <c r="J635" s="28"/>
    </row>
    <row r="636" spans="1:10" ht="15.75" customHeight="1">
      <c r="A636" s="28">
        <v>19323</v>
      </c>
      <c r="B636" s="91">
        <v>45118.926979166667</v>
      </c>
      <c r="C636" s="28" t="s">
        <v>10</v>
      </c>
      <c r="D636" s="28" t="s">
        <v>373</v>
      </c>
      <c r="E636" s="28" t="s">
        <v>28</v>
      </c>
      <c r="F636" s="28">
        <v>25</v>
      </c>
      <c r="G636" s="28" t="s">
        <v>141</v>
      </c>
      <c r="H636" s="28">
        <v>0</v>
      </c>
      <c r="J636" s="28"/>
    </row>
    <row r="637" spans="1:10" ht="15.75" customHeight="1">
      <c r="A637" s="28">
        <v>19322</v>
      </c>
      <c r="B637" s="91">
        <v>45118.753518518519</v>
      </c>
      <c r="C637" s="28" t="s">
        <v>10</v>
      </c>
      <c r="D637" s="28" t="s">
        <v>374</v>
      </c>
      <c r="E637" s="28" t="s">
        <v>28</v>
      </c>
      <c r="F637" s="28">
        <v>26</v>
      </c>
      <c r="G637" s="28" t="s">
        <v>122</v>
      </c>
      <c r="H637" s="28">
        <v>0</v>
      </c>
      <c r="J637" s="28"/>
    </row>
    <row r="638" spans="1:10" ht="15.75" customHeight="1">
      <c r="A638" s="28">
        <v>19322</v>
      </c>
      <c r="B638" s="91">
        <v>45118.753518518519</v>
      </c>
      <c r="C638" s="28" t="s">
        <v>10</v>
      </c>
      <c r="D638" s="28" t="s">
        <v>374</v>
      </c>
      <c r="E638" s="28" t="s">
        <v>28</v>
      </c>
      <c r="F638" s="28">
        <v>0</v>
      </c>
      <c r="G638" s="28" t="s">
        <v>117</v>
      </c>
      <c r="H638" s="28">
        <v>0</v>
      </c>
      <c r="J638" s="28"/>
    </row>
    <row r="639" spans="1:10" ht="15.75" customHeight="1">
      <c r="A639" s="28">
        <v>19321</v>
      </c>
      <c r="B639" s="91">
        <v>45118.750937500001</v>
      </c>
      <c r="C639" s="28" t="s">
        <v>10</v>
      </c>
      <c r="D639" s="28" t="s">
        <v>375</v>
      </c>
      <c r="E639" s="28" t="s">
        <v>28</v>
      </c>
      <c r="F639" s="28">
        <v>26</v>
      </c>
      <c r="G639" s="28" t="s">
        <v>122</v>
      </c>
      <c r="H639" s="28">
        <v>0</v>
      </c>
      <c r="J639" s="28"/>
    </row>
    <row r="640" spans="1:10" ht="15.75" customHeight="1">
      <c r="A640" s="28">
        <v>19321</v>
      </c>
      <c r="B640" s="91">
        <v>45118.750937500001</v>
      </c>
      <c r="C640" s="28" t="s">
        <v>10</v>
      </c>
      <c r="D640" s="28" t="s">
        <v>375</v>
      </c>
      <c r="E640" s="28" t="s">
        <v>28</v>
      </c>
      <c r="F640" s="28">
        <v>15</v>
      </c>
      <c r="G640" s="28" t="s">
        <v>139</v>
      </c>
      <c r="H640" s="28">
        <v>0</v>
      </c>
      <c r="J640" s="28"/>
    </row>
    <row r="641" spans="1:10" ht="15.75" customHeight="1">
      <c r="A641" s="28">
        <v>19320</v>
      </c>
      <c r="B641" s="91">
        <v>45118.727349537032</v>
      </c>
      <c r="C641" s="28" t="s">
        <v>10</v>
      </c>
      <c r="D641" s="28" t="s">
        <v>376</v>
      </c>
      <c r="E641" s="28" t="s">
        <v>28</v>
      </c>
      <c r="F641" s="28">
        <v>15</v>
      </c>
      <c r="G641" s="28" t="s">
        <v>125</v>
      </c>
      <c r="H641" s="28">
        <v>0</v>
      </c>
      <c r="J641" s="28"/>
    </row>
    <row r="642" spans="1:10" ht="15.75" customHeight="1">
      <c r="A642" s="28">
        <v>19319</v>
      </c>
      <c r="B642" s="91">
        <v>45117.960150462968</v>
      </c>
      <c r="C642" s="28" t="s">
        <v>10</v>
      </c>
      <c r="D642" s="28" t="s">
        <v>377</v>
      </c>
      <c r="E642" s="28" t="s">
        <v>28</v>
      </c>
      <c r="F642" s="28">
        <v>28</v>
      </c>
      <c r="G642" s="28" t="s">
        <v>143</v>
      </c>
      <c r="H642" s="28">
        <v>0</v>
      </c>
      <c r="J642" s="28"/>
    </row>
    <row r="643" spans="1:10" ht="15.75" customHeight="1">
      <c r="A643" s="28">
        <v>19318</v>
      </c>
      <c r="B643" s="91">
        <v>45117.927384259259</v>
      </c>
      <c r="C643" s="28" t="s">
        <v>10</v>
      </c>
      <c r="D643" s="28" t="s">
        <v>378</v>
      </c>
      <c r="E643" s="28" t="s">
        <v>28</v>
      </c>
      <c r="F643" s="28">
        <v>20</v>
      </c>
      <c r="G643" s="28" t="s">
        <v>148</v>
      </c>
      <c r="H643" s="28">
        <v>0</v>
      </c>
      <c r="J643" s="28"/>
    </row>
    <row r="644" spans="1:10" ht="15.75" customHeight="1">
      <c r="A644" s="28">
        <v>19317</v>
      </c>
      <c r="B644" s="91">
        <v>45117.926400462966</v>
      </c>
      <c r="C644" s="28" t="s">
        <v>10</v>
      </c>
      <c r="D644" s="28" t="s">
        <v>379</v>
      </c>
      <c r="E644" s="28" t="s">
        <v>28</v>
      </c>
      <c r="F644" s="28">
        <v>26</v>
      </c>
      <c r="G644" s="28" t="s">
        <v>122</v>
      </c>
      <c r="H644" s="28">
        <v>0</v>
      </c>
      <c r="J644" s="28"/>
    </row>
    <row r="645" spans="1:10" ht="15.75" customHeight="1">
      <c r="A645" s="28">
        <v>19317</v>
      </c>
      <c r="B645" s="91">
        <v>45117.926400462966</v>
      </c>
      <c r="C645" s="28" t="s">
        <v>10</v>
      </c>
      <c r="D645" s="28" t="s">
        <v>379</v>
      </c>
      <c r="E645" s="28" t="s">
        <v>28</v>
      </c>
      <c r="F645" s="28">
        <v>0</v>
      </c>
      <c r="G645" s="28" t="s">
        <v>117</v>
      </c>
      <c r="H645" s="28">
        <v>0</v>
      </c>
      <c r="J645" s="28"/>
    </row>
    <row r="646" spans="1:10" ht="15.75" customHeight="1">
      <c r="A646" s="28">
        <v>19316</v>
      </c>
      <c r="B646" s="91">
        <v>45117.924490740741</v>
      </c>
      <c r="C646" s="28" t="s">
        <v>10</v>
      </c>
      <c r="D646" s="28" t="s">
        <v>380</v>
      </c>
      <c r="E646" s="28" t="s">
        <v>28</v>
      </c>
      <c r="F646" s="28">
        <v>0</v>
      </c>
      <c r="G646" s="28" t="s">
        <v>117</v>
      </c>
      <c r="H646" s="28">
        <v>0</v>
      </c>
      <c r="J646" s="28"/>
    </row>
    <row r="647" spans="1:10" ht="15.75" customHeight="1">
      <c r="A647" s="28">
        <v>19316</v>
      </c>
      <c r="B647" s="91">
        <v>45117.924490740741</v>
      </c>
      <c r="C647" s="28" t="s">
        <v>10</v>
      </c>
      <c r="D647" s="28" t="s">
        <v>380</v>
      </c>
      <c r="E647" s="28" t="s">
        <v>28</v>
      </c>
      <c r="F647" s="28">
        <v>28</v>
      </c>
      <c r="G647" s="28" t="s">
        <v>143</v>
      </c>
      <c r="H647" s="28">
        <v>0</v>
      </c>
      <c r="J647" s="28"/>
    </row>
    <row r="648" spans="1:10" ht="15.75" customHeight="1">
      <c r="A648" s="28">
        <v>19315</v>
      </c>
      <c r="B648" s="91">
        <v>45117.911724537036</v>
      </c>
      <c r="C648" s="28" t="s">
        <v>10</v>
      </c>
      <c r="D648" s="28" t="s">
        <v>381</v>
      </c>
      <c r="E648" s="28" t="s">
        <v>28</v>
      </c>
      <c r="F648" s="28">
        <v>22</v>
      </c>
      <c r="G648" s="28" t="s">
        <v>137</v>
      </c>
      <c r="H648" s="28">
        <v>0</v>
      </c>
      <c r="J648" s="28"/>
    </row>
    <row r="649" spans="1:10" ht="15.75" customHeight="1">
      <c r="A649" s="28">
        <v>19314</v>
      </c>
      <c r="B649" s="91">
        <v>45117.904756944445</v>
      </c>
      <c r="C649" s="28" t="s">
        <v>10</v>
      </c>
      <c r="D649" s="28" t="s">
        <v>382</v>
      </c>
      <c r="E649" s="28" t="s">
        <v>28</v>
      </c>
      <c r="F649" s="28">
        <v>25</v>
      </c>
      <c r="G649" s="28">
        <v>100692</v>
      </c>
      <c r="H649" s="28">
        <v>0</v>
      </c>
      <c r="J649" s="28"/>
    </row>
    <row r="650" spans="1:10" ht="15.75" customHeight="1">
      <c r="A650" s="28">
        <v>19314</v>
      </c>
      <c r="B650" s="91">
        <v>45117.904756944445</v>
      </c>
      <c r="C650" s="28" t="s">
        <v>10</v>
      </c>
      <c r="D650" s="28" t="s">
        <v>382</v>
      </c>
      <c r="E650" s="28" t="s">
        <v>28</v>
      </c>
      <c r="F650" s="28">
        <v>0</v>
      </c>
      <c r="G650" s="28" t="s">
        <v>125</v>
      </c>
      <c r="H650" s="28">
        <v>0</v>
      </c>
      <c r="J650" s="28"/>
    </row>
    <row r="651" spans="1:10" ht="15.75" customHeight="1">
      <c r="A651" s="28">
        <v>19314</v>
      </c>
      <c r="B651" s="91">
        <v>45117.904756944445</v>
      </c>
      <c r="C651" s="28" t="s">
        <v>10</v>
      </c>
      <c r="D651" s="28" t="s">
        <v>382</v>
      </c>
      <c r="E651" s="28" t="s">
        <v>28</v>
      </c>
      <c r="F651" s="28">
        <v>0</v>
      </c>
      <c r="G651" s="28" t="s">
        <v>119</v>
      </c>
      <c r="H651" s="28">
        <v>0</v>
      </c>
      <c r="J651" s="28"/>
    </row>
    <row r="652" spans="1:10" ht="15.75" customHeight="1">
      <c r="A652" s="28">
        <v>19313</v>
      </c>
      <c r="B652" s="91">
        <v>45117.872418981482</v>
      </c>
      <c r="C652" s="28" t="s">
        <v>10</v>
      </c>
      <c r="D652" s="28" t="s">
        <v>383</v>
      </c>
      <c r="E652" s="28" t="s">
        <v>79</v>
      </c>
      <c r="F652" s="28">
        <v>18</v>
      </c>
      <c r="G652" s="28" t="s">
        <v>119</v>
      </c>
      <c r="H652" s="28">
        <v>0</v>
      </c>
      <c r="J652" s="28"/>
    </row>
    <row r="653" spans="1:10" ht="15.75" customHeight="1">
      <c r="A653" s="28">
        <v>19312</v>
      </c>
      <c r="B653" s="91">
        <v>45117.870219907403</v>
      </c>
      <c r="C653" s="28" t="s">
        <v>10</v>
      </c>
      <c r="D653" s="28" t="s">
        <v>384</v>
      </c>
      <c r="E653" s="28" t="s">
        <v>28</v>
      </c>
      <c r="F653" s="28">
        <v>0</v>
      </c>
      <c r="G653" s="28" t="s">
        <v>117</v>
      </c>
      <c r="H653" s="28">
        <v>0</v>
      </c>
      <c r="J653" s="28"/>
    </row>
    <row r="654" spans="1:10" ht="15.75" customHeight="1">
      <c r="A654" s="28">
        <v>19311</v>
      </c>
      <c r="B654" s="91">
        <v>45117.807488425926</v>
      </c>
      <c r="C654" s="28" t="s">
        <v>10</v>
      </c>
      <c r="D654" s="28" t="s">
        <v>385</v>
      </c>
      <c r="E654" s="28" t="s">
        <v>28</v>
      </c>
      <c r="F654" s="28">
        <v>15</v>
      </c>
      <c r="G654" s="28" t="s">
        <v>125</v>
      </c>
      <c r="H654" s="28">
        <v>0</v>
      </c>
      <c r="J654" s="28"/>
    </row>
    <row r="655" spans="1:10" ht="15.75" customHeight="1">
      <c r="A655" s="28">
        <v>19310</v>
      </c>
      <c r="B655" s="91">
        <v>45117.678831018522</v>
      </c>
      <c r="C655" s="28" t="s">
        <v>10</v>
      </c>
      <c r="D655" s="28" t="s">
        <v>386</v>
      </c>
      <c r="E655" s="28" t="s">
        <v>28</v>
      </c>
      <c r="F655" s="28">
        <v>35</v>
      </c>
      <c r="G655" s="28" t="s">
        <v>124</v>
      </c>
      <c r="H655" s="28">
        <v>0</v>
      </c>
      <c r="J655" s="28"/>
    </row>
    <row r="656" spans="1:10" ht="15.75" customHeight="1">
      <c r="A656" s="28">
        <v>19310</v>
      </c>
      <c r="B656" s="91">
        <v>45117.678831018522</v>
      </c>
      <c r="C656" s="28" t="s">
        <v>10</v>
      </c>
      <c r="D656" s="28" t="s">
        <v>386</v>
      </c>
      <c r="E656" s="28" t="s">
        <v>28</v>
      </c>
      <c r="F656" s="28">
        <v>0</v>
      </c>
      <c r="G656" s="28" t="s">
        <v>125</v>
      </c>
      <c r="H656" s="28">
        <v>0</v>
      </c>
      <c r="J656" s="28"/>
    </row>
    <row r="657" spans="1:10" ht="15.75" customHeight="1">
      <c r="A657" s="28">
        <v>19310</v>
      </c>
      <c r="B657" s="91">
        <v>45117.678831018522</v>
      </c>
      <c r="C657" s="28" t="s">
        <v>10</v>
      </c>
      <c r="D657" s="28" t="s">
        <v>386</v>
      </c>
      <c r="E657" s="28" t="s">
        <v>28</v>
      </c>
      <c r="F657" s="28">
        <v>0</v>
      </c>
      <c r="G657" s="28" t="s">
        <v>119</v>
      </c>
      <c r="H657" s="28">
        <v>0</v>
      </c>
      <c r="J657" s="28"/>
    </row>
    <row r="658" spans="1:10" ht="15.75" customHeight="1">
      <c r="A658" s="28">
        <v>19310</v>
      </c>
      <c r="B658" s="91">
        <v>45117.678831018522</v>
      </c>
      <c r="C658" s="28" t="s">
        <v>10</v>
      </c>
      <c r="D658" s="28" t="s">
        <v>386</v>
      </c>
      <c r="E658" s="28" t="s">
        <v>28</v>
      </c>
      <c r="F658" s="28">
        <v>0</v>
      </c>
      <c r="G658" s="28" t="s">
        <v>121</v>
      </c>
      <c r="H658" s="28">
        <v>0</v>
      </c>
      <c r="J658" s="28"/>
    </row>
    <row r="659" spans="1:10" ht="15.75" customHeight="1">
      <c r="A659" s="28">
        <v>19309</v>
      </c>
      <c r="B659" s="91">
        <v>45117.526354166665</v>
      </c>
      <c r="C659" s="28" t="s">
        <v>10</v>
      </c>
      <c r="D659" s="28" t="s">
        <v>387</v>
      </c>
      <c r="E659" s="28" t="s">
        <v>79</v>
      </c>
      <c r="F659" s="28">
        <v>25</v>
      </c>
      <c r="G659" s="28" t="s">
        <v>141</v>
      </c>
      <c r="H659" s="28">
        <v>0</v>
      </c>
      <c r="J659" s="28"/>
    </row>
    <row r="660" spans="1:10" ht="15.75" customHeight="1">
      <c r="A660" s="28">
        <v>19308</v>
      </c>
      <c r="B660" s="91">
        <v>45117.523495370369</v>
      </c>
      <c r="C660" s="28" t="s">
        <v>10</v>
      </c>
      <c r="D660" s="28" t="s">
        <v>388</v>
      </c>
      <c r="E660" s="28" t="s">
        <v>79</v>
      </c>
      <c r="F660" s="28">
        <v>25</v>
      </c>
      <c r="G660" s="28" t="s">
        <v>141</v>
      </c>
      <c r="H660" s="28">
        <v>0</v>
      </c>
      <c r="J660" s="28"/>
    </row>
    <row r="661" spans="1:10" ht="15.75" customHeight="1">
      <c r="A661" s="28">
        <v>19307</v>
      </c>
      <c r="B661" s="91">
        <v>45117.344467592593</v>
      </c>
      <c r="C661" s="28" t="s">
        <v>8</v>
      </c>
      <c r="D661" s="28" t="s">
        <v>389</v>
      </c>
      <c r="E661" s="28" t="s">
        <v>28</v>
      </c>
      <c r="F661" s="28">
        <v>18</v>
      </c>
      <c r="G661" s="28" t="s">
        <v>119</v>
      </c>
      <c r="H661" s="28">
        <v>0</v>
      </c>
      <c r="J661" s="28"/>
    </row>
    <row r="662" spans="1:10" ht="15.75" customHeight="1">
      <c r="A662" s="28">
        <v>19306</v>
      </c>
      <c r="B662" s="91">
        <v>45117.116956018523</v>
      </c>
      <c r="C662" s="28" t="s">
        <v>10</v>
      </c>
      <c r="D662" s="28" t="s">
        <v>390</v>
      </c>
      <c r="E662" s="28" t="s">
        <v>28</v>
      </c>
      <c r="F662" s="28">
        <v>25</v>
      </c>
      <c r="G662" s="28">
        <v>100692</v>
      </c>
      <c r="H662" s="28">
        <v>0</v>
      </c>
      <c r="J662" s="28"/>
    </row>
    <row r="663" spans="1:10" ht="15.75" customHeight="1">
      <c r="A663" s="28">
        <v>19306</v>
      </c>
      <c r="B663" s="91">
        <v>45117.116956018523</v>
      </c>
      <c r="C663" s="28" t="s">
        <v>10</v>
      </c>
      <c r="D663" s="28" t="s">
        <v>390</v>
      </c>
      <c r="E663" s="28" t="s">
        <v>28</v>
      </c>
      <c r="F663" s="28">
        <v>0</v>
      </c>
      <c r="G663" s="28" t="s">
        <v>125</v>
      </c>
      <c r="H663" s="28">
        <v>0</v>
      </c>
      <c r="J663" s="28"/>
    </row>
    <row r="664" spans="1:10" ht="15.75" customHeight="1">
      <c r="A664" s="28">
        <v>19306</v>
      </c>
      <c r="B664" s="91">
        <v>45117.116956018523</v>
      </c>
      <c r="C664" s="28" t="s">
        <v>10</v>
      </c>
      <c r="D664" s="28" t="s">
        <v>390</v>
      </c>
      <c r="E664" s="28" t="s">
        <v>28</v>
      </c>
      <c r="F664" s="28">
        <v>0</v>
      </c>
      <c r="G664" s="28" t="s">
        <v>119</v>
      </c>
      <c r="H664" s="28">
        <v>0</v>
      </c>
      <c r="J664" s="28"/>
    </row>
    <row r="665" spans="1:10" ht="15.75" customHeight="1">
      <c r="A665" s="28">
        <v>19305</v>
      </c>
      <c r="B665" s="91">
        <v>45117.053171296298</v>
      </c>
      <c r="C665" s="28" t="s">
        <v>10</v>
      </c>
      <c r="D665" s="28" t="s">
        <v>391</v>
      </c>
      <c r="E665" s="28" t="s">
        <v>28</v>
      </c>
      <c r="F665" s="28">
        <v>0</v>
      </c>
      <c r="G665" s="28" t="s">
        <v>117</v>
      </c>
      <c r="H665" s="28">
        <v>0</v>
      </c>
      <c r="J665" s="28"/>
    </row>
    <row r="666" spans="1:10" ht="15.75" customHeight="1">
      <c r="A666" s="28">
        <v>19305</v>
      </c>
      <c r="B666" s="91">
        <v>45117.053171296298</v>
      </c>
      <c r="C666" s="28" t="s">
        <v>10</v>
      </c>
      <c r="D666" s="28" t="s">
        <v>391</v>
      </c>
      <c r="E666" s="28" t="s">
        <v>28</v>
      </c>
      <c r="F666" s="28">
        <v>25</v>
      </c>
      <c r="G666" s="28">
        <v>100692</v>
      </c>
      <c r="H666" s="28">
        <v>0</v>
      </c>
      <c r="J666" s="28"/>
    </row>
    <row r="667" spans="1:10" ht="15.75" customHeight="1">
      <c r="A667" s="28">
        <v>19305</v>
      </c>
      <c r="B667" s="91">
        <v>45117.053171296298</v>
      </c>
      <c r="C667" s="28" t="s">
        <v>10</v>
      </c>
      <c r="D667" s="28" t="s">
        <v>391</v>
      </c>
      <c r="E667" s="28" t="s">
        <v>28</v>
      </c>
      <c r="F667" s="28">
        <v>0</v>
      </c>
      <c r="G667" s="28" t="s">
        <v>125</v>
      </c>
      <c r="H667" s="28">
        <v>0</v>
      </c>
      <c r="J667" s="28"/>
    </row>
    <row r="668" spans="1:10" ht="15.75" customHeight="1">
      <c r="A668" s="28">
        <v>19305</v>
      </c>
      <c r="B668" s="91">
        <v>45117.053171296298</v>
      </c>
      <c r="C668" s="28" t="s">
        <v>10</v>
      </c>
      <c r="D668" s="28" t="s">
        <v>391</v>
      </c>
      <c r="E668" s="28" t="s">
        <v>28</v>
      </c>
      <c r="F668" s="28">
        <v>0</v>
      </c>
      <c r="G668" s="28" t="s">
        <v>119</v>
      </c>
      <c r="H668" s="28">
        <v>0</v>
      </c>
      <c r="J668" s="28"/>
    </row>
    <row r="669" spans="1:10" ht="15.75" customHeight="1">
      <c r="A669" s="28">
        <v>19305</v>
      </c>
      <c r="B669" s="91">
        <v>45117.053171296298</v>
      </c>
      <c r="C669" s="28" t="s">
        <v>10</v>
      </c>
      <c r="D669" s="28" t="s">
        <v>391</v>
      </c>
      <c r="E669" s="28" t="s">
        <v>28</v>
      </c>
      <c r="F669" s="28">
        <v>15</v>
      </c>
      <c r="G669" s="28" t="s">
        <v>139</v>
      </c>
      <c r="H669" s="28">
        <v>0</v>
      </c>
      <c r="J669" s="28"/>
    </row>
    <row r="670" spans="1:10" ht="15.75" customHeight="1">
      <c r="A670" s="28">
        <v>19304</v>
      </c>
      <c r="B670" s="91">
        <v>45116.94866898148</v>
      </c>
      <c r="C670" s="28" t="s">
        <v>10</v>
      </c>
      <c r="D670" s="28" t="s">
        <v>392</v>
      </c>
      <c r="E670" s="28" t="s">
        <v>28</v>
      </c>
      <c r="F670" s="28">
        <v>20</v>
      </c>
      <c r="G670" s="28" t="s">
        <v>148</v>
      </c>
      <c r="H670" s="28">
        <v>0</v>
      </c>
      <c r="J670" s="28"/>
    </row>
    <row r="671" spans="1:10" ht="15.75" customHeight="1">
      <c r="A671" s="28">
        <v>19303</v>
      </c>
      <c r="B671" s="91">
        <v>45116.756701388891</v>
      </c>
      <c r="C671" s="28" t="s">
        <v>10</v>
      </c>
      <c r="D671" s="28" t="s">
        <v>393</v>
      </c>
      <c r="E671" s="28" t="s">
        <v>28</v>
      </c>
      <c r="F671" s="28">
        <v>20</v>
      </c>
      <c r="G671" s="28" t="s">
        <v>121</v>
      </c>
      <c r="H671" s="28">
        <v>0</v>
      </c>
      <c r="J671" s="28"/>
    </row>
    <row r="672" spans="1:10" ht="15.75" customHeight="1">
      <c r="A672" s="28">
        <v>19303</v>
      </c>
      <c r="B672" s="91">
        <v>45116.756701388891</v>
      </c>
      <c r="C672" s="28" t="s">
        <v>10</v>
      </c>
      <c r="D672" s="28" t="s">
        <v>393</v>
      </c>
      <c r="E672" s="28" t="s">
        <v>28</v>
      </c>
      <c r="F672" s="28">
        <v>28</v>
      </c>
      <c r="G672" s="28" t="s">
        <v>143</v>
      </c>
      <c r="H672" s="28">
        <v>0</v>
      </c>
      <c r="J672" s="28"/>
    </row>
    <row r="673" spans="1:10" ht="15.75" customHeight="1">
      <c r="A673" s="28">
        <v>19303</v>
      </c>
      <c r="B673" s="91">
        <v>45116.756701388891</v>
      </c>
      <c r="C673" s="28" t="s">
        <v>10</v>
      </c>
      <c r="D673" s="28" t="s">
        <v>393</v>
      </c>
      <c r="E673" s="28" t="s">
        <v>28</v>
      </c>
      <c r="F673" s="28">
        <v>25</v>
      </c>
      <c r="G673" s="28" t="s">
        <v>120</v>
      </c>
      <c r="H673" s="28">
        <v>0</v>
      </c>
      <c r="J673" s="28"/>
    </row>
    <row r="674" spans="1:10" ht="15.75" customHeight="1">
      <c r="A674" s="28">
        <v>19302</v>
      </c>
      <c r="B674" s="91">
        <v>45116.750972222224</v>
      </c>
      <c r="C674" s="28" t="s">
        <v>10</v>
      </c>
      <c r="D674" s="28" t="s">
        <v>394</v>
      </c>
      <c r="E674" s="28" t="s">
        <v>28</v>
      </c>
      <c r="F674" s="28">
        <v>28</v>
      </c>
      <c r="G674" s="28" t="s">
        <v>143</v>
      </c>
      <c r="H674" s="28">
        <v>0</v>
      </c>
      <c r="J674" s="28"/>
    </row>
    <row r="675" spans="1:10" ht="15.75" customHeight="1">
      <c r="A675" s="28">
        <v>19302</v>
      </c>
      <c r="B675" s="91">
        <v>45116.750972222224</v>
      </c>
      <c r="C675" s="28" t="s">
        <v>10</v>
      </c>
      <c r="D675" s="28" t="s">
        <v>394</v>
      </c>
      <c r="E675" s="28" t="s">
        <v>28</v>
      </c>
      <c r="F675" s="28">
        <v>25</v>
      </c>
      <c r="G675" s="28" t="s">
        <v>120</v>
      </c>
      <c r="H675" s="28">
        <v>0</v>
      </c>
      <c r="J675" s="28"/>
    </row>
    <row r="676" spans="1:10" ht="15.75" customHeight="1">
      <c r="A676" s="28">
        <v>19302</v>
      </c>
      <c r="B676" s="91">
        <v>45116.750972222224</v>
      </c>
      <c r="C676" s="28" t="s">
        <v>10</v>
      </c>
      <c r="D676" s="28" t="s">
        <v>394</v>
      </c>
      <c r="E676" s="28" t="s">
        <v>28</v>
      </c>
      <c r="F676" s="28">
        <v>20</v>
      </c>
      <c r="G676" s="28" t="s">
        <v>121</v>
      </c>
      <c r="H676" s="28">
        <v>0</v>
      </c>
      <c r="J676" s="28"/>
    </row>
    <row r="677" spans="1:10" ht="15.75" customHeight="1">
      <c r="A677" s="28">
        <v>19301</v>
      </c>
      <c r="B677" s="91">
        <v>45116.746053240742</v>
      </c>
      <c r="C677" s="28" t="s">
        <v>10</v>
      </c>
      <c r="D677" s="28" t="s">
        <v>395</v>
      </c>
      <c r="E677" s="28" t="s">
        <v>28</v>
      </c>
      <c r="F677" s="28">
        <v>28</v>
      </c>
      <c r="G677" s="28" t="s">
        <v>143</v>
      </c>
      <c r="H677" s="28">
        <v>0</v>
      </c>
      <c r="J677" s="28"/>
    </row>
    <row r="678" spans="1:10" ht="15.75" customHeight="1">
      <c r="A678" s="28">
        <v>19301</v>
      </c>
      <c r="B678" s="91">
        <v>45116.746053240742</v>
      </c>
      <c r="C678" s="28" t="s">
        <v>10</v>
      </c>
      <c r="D678" s="28" t="s">
        <v>395</v>
      </c>
      <c r="E678" s="28" t="s">
        <v>28</v>
      </c>
      <c r="F678" s="28">
        <v>0</v>
      </c>
      <c r="G678" s="28" t="s">
        <v>117</v>
      </c>
      <c r="H678" s="28">
        <v>0</v>
      </c>
      <c r="J678" s="28"/>
    </row>
    <row r="679" spans="1:10" ht="15.75" customHeight="1">
      <c r="A679" s="28">
        <v>19301</v>
      </c>
      <c r="B679" s="91">
        <v>45116.746053240742</v>
      </c>
      <c r="C679" s="28" t="s">
        <v>10</v>
      </c>
      <c r="D679" s="28" t="s">
        <v>395</v>
      </c>
      <c r="E679" s="28" t="s">
        <v>28</v>
      </c>
      <c r="F679" s="28">
        <v>18</v>
      </c>
      <c r="G679" s="28" t="s">
        <v>119</v>
      </c>
      <c r="H679" s="28">
        <v>0</v>
      </c>
      <c r="J679" s="28"/>
    </row>
    <row r="680" spans="1:10" ht="15.75" customHeight="1">
      <c r="A680" s="28">
        <v>19300</v>
      </c>
      <c r="B680" s="91">
        <v>45116.717453703706</v>
      </c>
      <c r="C680" s="28" t="s">
        <v>10</v>
      </c>
      <c r="D680" s="28" t="s">
        <v>396</v>
      </c>
      <c r="E680" s="28" t="s">
        <v>28</v>
      </c>
      <c r="F680" s="28">
        <v>26</v>
      </c>
      <c r="G680" s="28" t="s">
        <v>122</v>
      </c>
      <c r="H680" s="28">
        <v>0</v>
      </c>
      <c r="J680" s="28"/>
    </row>
    <row r="681" spans="1:10" ht="15.75" customHeight="1">
      <c r="A681" s="28">
        <v>19300</v>
      </c>
      <c r="B681" s="91">
        <v>45116.717453703706</v>
      </c>
      <c r="C681" s="28" t="s">
        <v>10</v>
      </c>
      <c r="D681" s="28" t="s">
        <v>396</v>
      </c>
      <c r="E681" s="28" t="s">
        <v>28</v>
      </c>
      <c r="F681" s="28">
        <v>26</v>
      </c>
      <c r="G681" s="28" t="s">
        <v>122</v>
      </c>
      <c r="H681" s="28">
        <v>0</v>
      </c>
      <c r="J681" s="28"/>
    </row>
    <row r="682" spans="1:10" ht="15.75" customHeight="1">
      <c r="A682" s="28">
        <v>19300</v>
      </c>
      <c r="B682" s="91">
        <v>45116.717453703706</v>
      </c>
      <c r="C682" s="28" t="s">
        <v>10</v>
      </c>
      <c r="D682" s="28" t="s">
        <v>396</v>
      </c>
      <c r="E682" s="28" t="s">
        <v>28</v>
      </c>
      <c r="F682" s="28">
        <v>0</v>
      </c>
      <c r="G682" s="28" t="s">
        <v>117</v>
      </c>
      <c r="H682" s="28">
        <v>0</v>
      </c>
      <c r="J682" s="28"/>
    </row>
    <row r="683" spans="1:10" ht="15.75" customHeight="1">
      <c r="A683" s="28">
        <v>19299</v>
      </c>
      <c r="B683" s="91">
        <v>45116.569548611107</v>
      </c>
      <c r="C683" s="28" t="s">
        <v>10</v>
      </c>
      <c r="D683" s="28" t="s">
        <v>397</v>
      </c>
      <c r="E683" s="28" t="s">
        <v>28</v>
      </c>
      <c r="F683" s="28">
        <v>25</v>
      </c>
      <c r="G683" s="28">
        <v>100692</v>
      </c>
      <c r="H683" s="28">
        <v>0</v>
      </c>
      <c r="J683" s="28"/>
    </row>
    <row r="684" spans="1:10" ht="15.75" customHeight="1">
      <c r="A684" s="28">
        <v>19299</v>
      </c>
      <c r="B684" s="91">
        <v>45116.569548611107</v>
      </c>
      <c r="C684" s="28" t="s">
        <v>10</v>
      </c>
      <c r="D684" s="28" t="s">
        <v>397</v>
      </c>
      <c r="E684" s="28" t="s">
        <v>28</v>
      </c>
      <c r="F684" s="28">
        <v>0</v>
      </c>
      <c r="G684" s="28" t="s">
        <v>125</v>
      </c>
      <c r="H684" s="28">
        <v>0</v>
      </c>
      <c r="J684" s="28"/>
    </row>
    <row r="685" spans="1:10" ht="15.75" customHeight="1">
      <c r="A685" s="28">
        <v>19299</v>
      </c>
      <c r="B685" s="91">
        <v>45116.569548611107</v>
      </c>
      <c r="C685" s="28" t="s">
        <v>10</v>
      </c>
      <c r="D685" s="28" t="s">
        <v>397</v>
      </c>
      <c r="E685" s="28" t="s">
        <v>28</v>
      </c>
      <c r="F685" s="28">
        <v>0</v>
      </c>
      <c r="G685" s="28" t="s">
        <v>119</v>
      </c>
      <c r="H685" s="28">
        <v>0</v>
      </c>
      <c r="J685" s="28"/>
    </row>
    <row r="686" spans="1:10" ht="15.75" customHeight="1">
      <c r="A686" s="28">
        <v>19299</v>
      </c>
      <c r="B686" s="91">
        <v>45116.569548611107</v>
      </c>
      <c r="C686" s="28" t="s">
        <v>10</v>
      </c>
      <c r="D686" s="28" t="s">
        <v>397</v>
      </c>
      <c r="E686" s="28" t="s">
        <v>28</v>
      </c>
      <c r="F686" s="28">
        <v>15</v>
      </c>
      <c r="G686" s="28" t="s">
        <v>139</v>
      </c>
      <c r="H686" s="28">
        <v>0</v>
      </c>
      <c r="J686" s="28"/>
    </row>
    <row r="687" spans="1:10" ht="15.75" customHeight="1">
      <c r="A687" s="28">
        <v>19298</v>
      </c>
      <c r="B687" s="91">
        <v>45116.511053240742</v>
      </c>
      <c r="C687" s="28" t="s">
        <v>10</v>
      </c>
      <c r="D687" s="28" t="s">
        <v>398</v>
      </c>
      <c r="E687" s="28" t="s">
        <v>79</v>
      </c>
      <c r="F687" s="28">
        <v>25</v>
      </c>
      <c r="G687" s="28">
        <v>100692</v>
      </c>
      <c r="H687" s="28">
        <v>0</v>
      </c>
      <c r="J687" s="28"/>
    </row>
    <row r="688" spans="1:10" ht="15.75" customHeight="1">
      <c r="A688" s="28">
        <v>19298</v>
      </c>
      <c r="B688" s="91">
        <v>45116.511053240742</v>
      </c>
      <c r="C688" s="28" t="s">
        <v>10</v>
      </c>
      <c r="D688" s="28" t="s">
        <v>398</v>
      </c>
      <c r="E688" s="28" t="s">
        <v>79</v>
      </c>
      <c r="F688" s="28">
        <v>0</v>
      </c>
      <c r="G688" s="28" t="s">
        <v>125</v>
      </c>
      <c r="H688" s="28">
        <v>0</v>
      </c>
      <c r="J688" s="28"/>
    </row>
    <row r="689" spans="1:10" ht="15.75" customHeight="1">
      <c r="A689" s="28">
        <v>19298</v>
      </c>
      <c r="B689" s="91">
        <v>45116.511053240742</v>
      </c>
      <c r="C689" s="28" t="s">
        <v>10</v>
      </c>
      <c r="D689" s="28" t="s">
        <v>398</v>
      </c>
      <c r="E689" s="28" t="s">
        <v>79</v>
      </c>
      <c r="F689" s="28">
        <v>0</v>
      </c>
      <c r="G689" s="28" t="s">
        <v>119</v>
      </c>
      <c r="H689" s="28">
        <v>0</v>
      </c>
      <c r="J689" s="28"/>
    </row>
    <row r="690" spans="1:10" ht="15.75" customHeight="1">
      <c r="A690" s="28">
        <v>19297</v>
      </c>
      <c r="B690" s="91">
        <v>45116.048715277779</v>
      </c>
      <c r="C690" s="28" t="s">
        <v>10</v>
      </c>
      <c r="D690" s="28" t="s">
        <v>399</v>
      </c>
      <c r="E690" s="28" t="s">
        <v>28</v>
      </c>
      <c r="F690" s="28">
        <v>0</v>
      </c>
      <c r="G690" s="28" t="s">
        <v>117</v>
      </c>
      <c r="H690" s="28">
        <v>0</v>
      </c>
      <c r="J690" s="28"/>
    </row>
    <row r="691" spans="1:10" ht="15.75" customHeight="1">
      <c r="A691" s="28">
        <v>19297</v>
      </c>
      <c r="B691" s="91">
        <v>45116.048715277779</v>
      </c>
      <c r="C691" s="28" t="s">
        <v>10</v>
      </c>
      <c r="D691" s="28" t="s">
        <v>399</v>
      </c>
      <c r="E691" s="28" t="s">
        <v>28</v>
      </c>
      <c r="F691" s="28">
        <v>25</v>
      </c>
      <c r="G691" s="28">
        <v>100692</v>
      </c>
      <c r="H691" s="28">
        <v>0</v>
      </c>
      <c r="J691" s="28"/>
    </row>
    <row r="692" spans="1:10" ht="15.75" customHeight="1">
      <c r="A692" s="28">
        <v>19297</v>
      </c>
      <c r="B692" s="91">
        <v>45116.048715277779</v>
      </c>
      <c r="C692" s="28" t="s">
        <v>10</v>
      </c>
      <c r="D692" s="28" t="s">
        <v>399</v>
      </c>
      <c r="E692" s="28" t="s">
        <v>28</v>
      </c>
      <c r="F692" s="28">
        <v>0</v>
      </c>
      <c r="G692" s="28" t="s">
        <v>125</v>
      </c>
      <c r="H692" s="28">
        <v>0</v>
      </c>
      <c r="J692" s="28"/>
    </row>
    <row r="693" spans="1:10" ht="15.75" customHeight="1">
      <c r="A693" s="28">
        <v>19297</v>
      </c>
      <c r="B693" s="91">
        <v>45116.048715277779</v>
      </c>
      <c r="C693" s="28" t="s">
        <v>10</v>
      </c>
      <c r="D693" s="28" t="s">
        <v>399</v>
      </c>
      <c r="E693" s="28" t="s">
        <v>28</v>
      </c>
      <c r="F693" s="28">
        <v>0</v>
      </c>
      <c r="G693" s="28" t="s">
        <v>119</v>
      </c>
      <c r="H693" s="28">
        <v>0</v>
      </c>
      <c r="J693" s="28"/>
    </row>
    <row r="694" spans="1:10" ht="15.75" customHeight="1">
      <c r="A694" s="28">
        <v>19296</v>
      </c>
      <c r="B694" s="91">
        <v>45115.872569444444</v>
      </c>
      <c r="C694" s="28" t="s">
        <v>10</v>
      </c>
      <c r="D694" s="28" t="s">
        <v>400</v>
      </c>
      <c r="E694" s="28" t="s">
        <v>79</v>
      </c>
      <c r="F694" s="28">
        <v>25</v>
      </c>
      <c r="G694" s="28">
        <v>100692</v>
      </c>
      <c r="H694" s="28">
        <v>0</v>
      </c>
      <c r="J694" s="28"/>
    </row>
    <row r="695" spans="1:10" ht="15.75" customHeight="1">
      <c r="A695" s="28">
        <v>19296</v>
      </c>
      <c r="B695" s="91">
        <v>45115.872569444444</v>
      </c>
      <c r="C695" s="28" t="s">
        <v>10</v>
      </c>
      <c r="D695" s="28" t="s">
        <v>400</v>
      </c>
      <c r="E695" s="28" t="s">
        <v>79</v>
      </c>
      <c r="F695" s="28">
        <v>0</v>
      </c>
      <c r="G695" s="28" t="s">
        <v>125</v>
      </c>
      <c r="H695" s="28">
        <v>0</v>
      </c>
      <c r="J695" s="28"/>
    </row>
    <row r="696" spans="1:10" ht="15.75" customHeight="1">
      <c r="A696" s="28">
        <v>19296</v>
      </c>
      <c r="B696" s="91">
        <v>45115.872569444444</v>
      </c>
      <c r="C696" s="28" t="s">
        <v>10</v>
      </c>
      <c r="D696" s="28" t="s">
        <v>400</v>
      </c>
      <c r="E696" s="28" t="s">
        <v>79</v>
      </c>
      <c r="F696" s="28">
        <v>0</v>
      </c>
      <c r="G696" s="28" t="s">
        <v>119</v>
      </c>
      <c r="H696" s="28">
        <v>0</v>
      </c>
      <c r="J696" s="28"/>
    </row>
    <row r="697" spans="1:10" ht="15.75" customHeight="1">
      <c r="A697" s="28">
        <v>19295</v>
      </c>
      <c r="B697" s="91">
        <v>45115.684097222227</v>
      </c>
      <c r="C697" s="28" t="s">
        <v>10</v>
      </c>
      <c r="D697" s="28" t="s">
        <v>401</v>
      </c>
      <c r="E697" s="28" t="s">
        <v>28</v>
      </c>
      <c r="F697" s="28">
        <v>25</v>
      </c>
      <c r="G697" s="28" t="s">
        <v>141</v>
      </c>
      <c r="H697" s="28">
        <v>0</v>
      </c>
      <c r="J697" s="28"/>
    </row>
    <row r="698" spans="1:10" ht="15.75" customHeight="1">
      <c r="A698" s="28">
        <v>19295</v>
      </c>
      <c r="B698" s="91">
        <v>45115.684097222227</v>
      </c>
      <c r="C698" s="28" t="s">
        <v>10</v>
      </c>
      <c r="D698" s="28" t="s">
        <v>401</v>
      </c>
      <c r="E698" s="28" t="s">
        <v>28</v>
      </c>
      <c r="F698" s="28">
        <v>15</v>
      </c>
      <c r="G698" s="28" t="s">
        <v>125</v>
      </c>
      <c r="H698" s="28">
        <v>0</v>
      </c>
      <c r="J698" s="28"/>
    </row>
    <row r="699" spans="1:10" ht="15.75" customHeight="1">
      <c r="A699" s="28">
        <v>19295</v>
      </c>
      <c r="B699" s="91">
        <v>45115.684097222227</v>
      </c>
      <c r="C699" s="28" t="s">
        <v>10</v>
      </c>
      <c r="D699" s="28" t="s">
        <v>401</v>
      </c>
      <c r="E699" s="28" t="s">
        <v>28</v>
      </c>
      <c r="F699" s="28">
        <v>0</v>
      </c>
      <c r="G699" s="28" t="s">
        <v>117</v>
      </c>
      <c r="H699" s="28">
        <v>0</v>
      </c>
      <c r="J699" s="28"/>
    </row>
    <row r="700" spans="1:10" ht="15.75" customHeight="1">
      <c r="A700" s="28">
        <v>19294</v>
      </c>
      <c r="B700" s="91">
        <v>45115.61</v>
      </c>
      <c r="C700" s="28" t="s">
        <v>10</v>
      </c>
      <c r="D700" s="28" t="s">
        <v>402</v>
      </c>
      <c r="E700" s="28" t="s">
        <v>28</v>
      </c>
      <c r="F700" s="28">
        <v>26</v>
      </c>
      <c r="G700" s="28" t="s">
        <v>122</v>
      </c>
      <c r="H700" s="28">
        <v>0</v>
      </c>
      <c r="J700" s="28"/>
    </row>
    <row r="701" spans="1:10" ht="15.75" customHeight="1">
      <c r="A701" s="28">
        <v>19294</v>
      </c>
      <c r="B701" s="91">
        <v>45115.61</v>
      </c>
      <c r="C701" s="28" t="s">
        <v>10</v>
      </c>
      <c r="D701" s="28" t="s">
        <v>402</v>
      </c>
      <c r="E701" s="28" t="s">
        <v>28</v>
      </c>
      <c r="F701" s="28">
        <v>25</v>
      </c>
      <c r="G701" s="28">
        <v>100692</v>
      </c>
      <c r="H701" s="28">
        <v>0</v>
      </c>
      <c r="J701" s="28"/>
    </row>
    <row r="702" spans="1:10" ht="15.75" customHeight="1">
      <c r="A702" s="28">
        <v>19294</v>
      </c>
      <c r="B702" s="91">
        <v>45115.61</v>
      </c>
      <c r="C702" s="28" t="s">
        <v>10</v>
      </c>
      <c r="D702" s="28" t="s">
        <v>402</v>
      </c>
      <c r="E702" s="28" t="s">
        <v>28</v>
      </c>
      <c r="F702" s="28">
        <v>0</v>
      </c>
      <c r="G702" s="28" t="s">
        <v>125</v>
      </c>
      <c r="H702" s="28">
        <v>0</v>
      </c>
      <c r="J702" s="28"/>
    </row>
    <row r="703" spans="1:10" ht="15.75" customHeight="1">
      <c r="A703" s="28">
        <v>19294</v>
      </c>
      <c r="B703" s="91">
        <v>45115.61</v>
      </c>
      <c r="C703" s="28" t="s">
        <v>10</v>
      </c>
      <c r="D703" s="28" t="s">
        <v>402</v>
      </c>
      <c r="E703" s="28" t="s">
        <v>28</v>
      </c>
      <c r="F703" s="28">
        <v>0</v>
      </c>
      <c r="G703" s="28" t="s">
        <v>119</v>
      </c>
      <c r="H703" s="28">
        <v>0</v>
      </c>
      <c r="J703" s="28"/>
    </row>
    <row r="704" spans="1:10" ht="15.75" customHeight="1">
      <c r="A704" s="28">
        <v>19293</v>
      </c>
      <c r="B704" s="91">
        <v>45115.513831018514</v>
      </c>
      <c r="C704" s="28" t="s">
        <v>10</v>
      </c>
      <c r="D704" s="28" t="s">
        <v>403</v>
      </c>
      <c r="E704" s="28" t="s">
        <v>28</v>
      </c>
      <c r="F704" s="28">
        <v>15</v>
      </c>
      <c r="G704" s="28" t="s">
        <v>125</v>
      </c>
      <c r="H704" s="28">
        <v>0</v>
      </c>
      <c r="J704" s="28"/>
    </row>
    <row r="705" spans="1:10" ht="15.75" customHeight="1">
      <c r="A705" s="28">
        <v>19293</v>
      </c>
      <c r="B705" s="91">
        <v>45115.513831018514</v>
      </c>
      <c r="C705" s="28" t="s">
        <v>10</v>
      </c>
      <c r="D705" s="28" t="s">
        <v>403</v>
      </c>
      <c r="E705" s="28" t="s">
        <v>28</v>
      </c>
      <c r="F705" s="28">
        <v>15</v>
      </c>
      <c r="G705" s="28" t="s">
        <v>170</v>
      </c>
      <c r="H705" s="28">
        <v>0</v>
      </c>
      <c r="J705" s="28"/>
    </row>
    <row r="706" spans="1:10" ht="15.75" customHeight="1">
      <c r="A706" s="28">
        <v>19292</v>
      </c>
      <c r="B706" s="91">
        <v>45115.094641203701</v>
      </c>
      <c r="C706" s="28" t="s">
        <v>10</v>
      </c>
      <c r="D706" s="28" t="s">
        <v>404</v>
      </c>
      <c r="E706" s="28" t="s">
        <v>28</v>
      </c>
      <c r="F706" s="28">
        <v>0</v>
      </c>
      <c r="G706" s="28" t="s">
        <v>117</v>
      </c>
      <c r="H706" s="28">
        <v>0</v>
      </c>
      <c r="J706" s="28"/>
    </row>
    <row r="707" spans="1:10" ht="15.75" customHeight="1">
      <c r="A707" s="28">
        <v>19292</v>
      </c>
      <c r="B707" s="91">
        <v>45115.094641203701</v>
      </c>
      <c r="C707" s="28" t="s">
        <v>10</v>
      </c>
      <c r="D707" s="28" t="s">
        <v>404</v>
      </c>
      <c r="E707" s="28" t="s">
        <v>28</v>
      </c>
      <c r="F707" s="28">
        <v>20</v>
      </c>
      <c r="G707" s="28" t="s">
        <v>148</v>
      </c>
      <c r="H707" s="28">
        <v>0</v>
      </c>
      <c r="J707" s="28"/>
    </row>
    <row r="708" spans="1:10" ht="15.75" customHeight="1">
      <c r="A708" s="28">
        <v>19292</v>
      </c>
      <c r="B708" s="91">
        <v>45115.094641203701</v>
      </c>
      <c r="C708" s="28" t="s">
        <v>10</v>
      </c>
      <c r="D708" s="28" t="s">
        <v>404</v>
      </c>
      <c r="E708" s="28" t="s">
        <v>28</v>
      </c>
      <c r="F708" s="28">
        <v>15</v>
      </c>
      <c r="G708" s="28" t="s">
        <v>170</v>
      </c>
      <c r="H708" s="28">
        <v>0</v>
      </c>
      <c r="J708" s="28"/>
    </row>
    <row r="709" spans="1:10" ht="15.75" customHeight="1">
      <c r="A709" s="28">
        <v>19291</v>
      </c>
      <c r="B709" s="91">
        <v>45114.885891203703</v>
      </c>
      <c r="C709" s="28" t="s">
        <v>10</v>
      </c>
      <c r="D709" s="28" t="s">
        <v>405</v>
      </c>
      <c r="E709" s="28" t="s">
        <v>28</v>
      </c>
      <c r="F709" s="28">
        <v>35</v>
      </c>
      <c r="G709" s="28" t="s">
        <v>124</v>
      </c>
      <c r="H709" s="28">
        <v>0</v>
      </c>
      <c r="J709" s="28"/>
    </row>
    <row r="710" spans="1:10" ht="15.75" customHeight="1">
      <c r="A710" s="28">
        <v>19291</v>
      </c>
      <c r="B710" s="91">
        <v>45114.885891203703</v>
      </c>
      <c r="C710" s="28" t="s">
        <v>10</v>
      </c>
      <c r="D710" s="28" t="s">
        <v>405</v>
      </c>
      <c r="E710" s="28" t="s">
        <v>28</v>
      </c>
      <c r="F710" s="28">
        <v>0</v>
      </c>
      <c r="G710" s="28" t="s">
        <v>125</v>
      </c>
      <c r="H710" s="28">
        <v>0</v>
      </c>
      <c r="J710" s="28"/>
    </row>
    <row r="711" spans="1:10" ht="15.75" customHeight="1">
      <c r="A711" s="28">
        <v>19291</v>
      </c>
      <c r="B711" s="91">
        <v>45114.885891203703</v>
      </c>
      <c r="C711" s="28" t="s">
        <v>10</v>
      </c>
      <c r="D711" s="28" t="s">
        <v>405</v>
      </c>
      <c r="E711" s="28" t="s">
        <v>28</v>
      </c>
      <c r="F711" s="28">
        <v>0</v>
      </c>
      <c r="G711" s="28" t="s">
        <v>119</v>
      </c>
      <c r="H711" s="28">
        <v>0</v>
      </c>
      <c r="J711" s="28"/>
    </row>
    <row r="712" spans="1:10" ht="15.75" customHeight="1">
      <c r="A712" s="28">
        <v>19291</v>
      </c>
      <c r="B712" s="91">
        <v>45114.885891203703</v>
      </c>
      <c r="C712" s="28" t="s">
        <v>10</v>
      </c>
      <c r="D712" s="28" t="s">
        <v>405</v>
      </c>
      <c r="E712" s="28" t="s">
        <v>28</v>
      </c>
      <c r="F712" s="28">
        <v>0</v>
      </c>
      <c r="G712" s="28" t="s">
        <v>121</v>
      </c>
      <c r="H712" s="28">
        <v>0</v>
      </c>
      <c r="J712" s="28"/>
    </row>
    <row r="713" spans="1:10" ht="15.75" customHeight="1">
      <c r="A713" s="28">
        <v>19290</v>
      </c>
      <c r="B713" s="91">
        <v>45114.884050925924</v>
      </c>
      <c r="C713" s="28" t="s">
        <v>10</v>
      </c>
      <c r="D713" s="28" t="s">
        <v>406</v>
      </c>
      <c r="E713" s="28" t="s">
        <v>28</v>
      </c>
      <c r="F713" s="28">
        <v>35</v>
      </c>
      <c r="G713" s="28" t="s">
        <v>124</v>
      </c>
      <c r="H713" s="28">
        <v>0</v>
      </c>
      <c r="J713" s="28"/>
    </row>
    <row r="714" spans="1:10" ht="15.75" customHeight="1">
      <c r="A714" s="28">
        <v>19290</v>
      </c>
      <c r="B714" s="91">
        <v>45114.884050925924</v>
      </c>
      <c r="C714" s="28" t="s">
        <v>10</v>
      </c>
      <c r="D714" s="28" t="s">
        <v>406</v>
      </c>
      <c r="E714" s="28" t="s">
        <v>28</v>
      </c>
      <c r="F714" s="28">
        <v>0</v>
      </c>
      <c r="G714" s="28" t="s">
        <v>125</v>
      </c>
      <c r="H714" s="28">
        <v>0</v>
      </c>
      <c r="J714" s="28"/>
    </row>
    <row r="715" spans="1:10" ht="15.75" customHeight="1">
      <c r="A715" s="28">
        <v>19290</v>
      </c>
      <c r="B715" s="91">
        <v>45114.884050925924</v>
      </c>
      <c r="C715" s="28" t="s">
        <v>10</v>
      </c>
      <c r="D715" s="28" t="s">
        <v>406</v>
      </c>
      <c r="E715" s="28" t="s">
        <v>28</v>
      </c>
      <c r="F715" s="28">
        <v>0</v>
      </c>
      <c r="G715" s="28" t="s">
        <v>119</v>
      </c>
      <c r="H715" s="28">
        <v>0</v>
      </c>
      <c r="J715" s="28"/>
    </row>
    <row r="716" spans="1:10" ht="15.75" customHeight="1">
      <c r="A716" s="28">
        <v>19290</v>
      </c>
      <c r="B716" s="91">
        <v>45114.884050925924</v>
      </c>
      <c r="C716" s="28" t="s">
        <v>10</v>
      </c>
      <c r="D716" s="28" t="s">
        <v>406</v>
      </c>
      <c r="E716" s="28" t="s">
        <v>28</v>
      </c>
      <c r="F716" s="28">
        <v>0</v>
      </c>
      <c r="G716" s="28" t="s">
        <v>121</v>
      </c>
      <c r="H716" s="28">
        <v>0</v>
      </c>
      <c r="J716" s="28"/>
    </row>
    <row r="717" spans="1:10" ht="15.75" customHeight="1">
      <c r="A717" s="28">
        <v>19288</v>
      </c>
      <c r="B717" s="91">
        <v>45114.531122685185</v>
      </c>
      <c r="C717" s="28" t="s">
        <v>10</v>
      </c>
      <c r="D717" s="28" t="s">
        <v>407</v>
      </c>
      <c r="E717" s="28" t="s">
        <v>28</v>
      </c>
      <c r="F717" s="28">
        <v>35</v>
      </c>
      <c r="G717" s="28" t="s">
        <v>124</v>
      </c>
      <c r="H717" s="28">
        <v>0</v>
      </c>
      <c r="J717" s="28"/>
    </row>
    <row r="718" spans="1:10" ht="15.75" customHeight="1">
      <c r="A718" s="28">
        <v>19288</v>
      </c>
      <c r="B718" s="91">
        <v>45114.531122685185</v>
      </c>
      <c r="C718" s="28" t="s">
        <v>10</v>
      </c>
      <c r="D718" s="28" t="s">
        <v>407</v>
      </c>
      <c r="E718" s="28" t="s">
        <v>28</v>
      </c>
      <c r="F718" s="28">
        <v>0</v>
      </c>
      <c r="G718" s="28" t="s">
        <v>125</v>
      </c>
      <c r="H718" s="28">
        <v>0</v>
      </c>
      <c r="J718" s="28"/>
    </row>
    <row r="719" spans="1:10" ht="15.75" customHeight="1">
      <c r="A719" s="28">
        <v>19288</v>
      </c>
      <c r="B719" s="91">
        <v>45114.531122685185</v>
      </c>
      <c r="C719" s="28" t="s">
        <v>10</v>
      </c>
      <c r="D719" s="28" t="s">
        <v>407</v>
      </c>
      <c r="E719" s="28" t="s">
        <v>28</v>
      </c>
      <c r="F719" s="28">
        <v>0</v>
      </c>
      <c r="G719" s="28" t="s">
        <v>119</v>
      </c>
      <c r="H719" s="28">
        <v>0</v>
      </c>
      <c r="J719" s="28"/>
    </row>
    <row r="720" spans="1:10" ht="15.75" customHeight="1">
      <c r="A720" s="28">
        <v>19288</v>
      </c>
      <c r="B720" s="91">
        <v>45114.531122685185</v>
      </c>
      <c r="C720" s="28" t="s">
        <v>10</v>
      </c>
      <c r="D720" s="28" t="s">
        <v>407</v>
      </c>
      <c r="E720" s="28" t="s">
        <v>28</v>
      </c>
      <c r="F720" s="28">
        <v>0</v>
      </c>
      <c r="G720" s="28" t="s">
        <v>121</v>
      </c>
      <c r="H720" s="28">
        <v>0</v>
      </c>
      <c r="J720" s="28"/>
    </row>
    <row r="721" spans="1:10" ht="15.75" customHeight="1">
      <c r="A721" s="28">
        <v>19287</v>
      </c>
      <c r="B721" s="91">
        <v>45114.490763888884</v>
      </c>
      <c r="C721" s="28" t="s">
        <v>10</v>
      </c>
      <c r="D721" s="28" t="s">
        <v>408</v>
      </c>
      <c r="E721" s="28" t="s">
        <v>28</v>
      </c>
      <c r="F721" s="28">
        <v>25</v>
      </c>
      <c r="G721" s="28">
        <v>100692</v>
      </c>
      <c r="H721" s="28">
        <v>0</v>
      </c>
      <c r="J721" s="28"/>
    </row>
    <row r="722" spans="1:10" ht="15.75" customHeight="1">
      <c r="A722" s="28">
        <v>19287</v>
      </c>
      <c r="B722" s="91">
        <v>45114.490763888884</v>
      </c>
      <c r="C722" s="28" t="s">
        <v>10</v>
      </c>
      <c r="D722" s="28" t="s">
        <v>408</v>
      </c>
      <c r="E722" s="28" t="s">
        <v>28</v>
      </c>
      <c r="F722" s="28">
        <v>0</v>
      </c>
      <c r="G722" s="28" t="s">
        <v>125</v>
      </c>
      <c r="H722" s="28">
        <v>0</v>
      </c>
      <c r="J722" s="28"/>
    </row>
    <row r="723" spans="1:10" ht="15.75" customHeight="1">
      <c r="A723" s="28">
        <v>19287</v>
      </c>
      <c r="B723" s="91">
        <v>45114.490763888884</v>
      </c>
      <c r="C723" s="28" t="s">
        <v>10</v>
      </c>
      <c r="D723" s="28" t="s">
        <v>408</v>
      </c>
      <c r="E723" s="28" t="s">
        <v>28</v>
      </c>
      <c r="F723" s="28">
        <v>0</v>
      </c>
      <c r="G723" s="28" t="s">
        <v>119</v>
      </c>
      <c r="H723" s="28">
        <v>0</v>
      </c>
      <c r="J723" s="28"/>
    </row>
    <row r="724" spans="1:10" ht="15.75" customHeight="1">
      <c r="A724" s="28">
        <v>19286</v>
      </c>
      <c r="B724" s="91">
        <v>45114.106874999998</v>
      </c>
      <c r="C724" s="28" t="s">
        <v>10</v>
      </c>
      <c r="D724" s="28" t="s">
        <v>409</v>
      </c>
      <c r="E724" s="28" t="s">
        <v>59</v>
      </c>
      <c r="F724" s="28">
        <v>30</v>
      </c>
      <c r="G724" s="28" t="s">
        <v>128</v>
      </c>
      <c r="H724" s="28">
        <v>0</v>
      </c>
      <c r="J724" s="28"/>
    </row>
    <row r="725" spans="1:10" ht="15.75" customHeight="1">
      <c r="A725" s="28">
        <v>19286</v>
      </c>
      <c r="B725" s="91">
        <v>45114.106874999998</v>
      </c>
      <c r="C725" s="28" t="s">
        <v>10</v>
      </c>
      <c r="D725" s="28" t="s">
        <v>409</v>
      </c>
      <c r="E725" s="28" t="s">
        <v>59</v>
      </c>
      <c r="F725" s="28">
        <v>0</v>
      </c>
      <c r="G725" s="28" t="s">
        <v>125</v>
      </c>
      <c r="H725" s="28">
        <v>0</v>
      </c>
      <c r="J725" s="28"/>
    </row>
    <row r="726" spans="1:10" ht="15.75" customHeight="1">
      <c r="A726" s="28">
        <v>19286</v>
      </c>
      <c r="B726" s="91">
        <v>45114.106874999998</v>
      </c>
      <c r="C726" s="28" t="s">
        <v>10</v>
      </c>
      <c r="D726" s="28" t="s">
        <v>409</v>
      </c>
      <c r="E726" s="28" t="s">
        <v>59</v>
      </c>
      <c r="F726" s="28">
        <v>0</v>
      </c>
      <c r="G726" s="28" t="s">
        <v>119</v>
      </c>
      <c r="H726" s="28">
        <v>0</v>
      </c>
      <c r="J726" s="28"/>
    </row>
    <row r="727" spans="1:10" ht="15.75" customHeight="1">
      <c r="A727" s="28">
        <v>19286</v>
      </c>
      <c r="B727" s="91">
        <v>45114.106874999998</v>
      </c>
      <c r="C727" s="28" t="s">
        <v>10</v>
      </c>
      <c r="D727" s="28" t="s">
        <v>409</v>
      </c>
      <c r="E727" s="28" t="s">
        <v>59</v>
      </c>
      <c r="F727" s="28">
        <v>0</v>
      </c>
      <c r="G727" s="28" t="s">
        <v>117</v>
      </c>
      <c r="H727" s="28">
        <v>0</v>
      </c>
      <c r="J727" s="28"/>
    </row>
    <row r="728" spans="1:10" ht="15.75" customHeight="1">
      <c r="A728" s="28">
        <v>19286</v>
      </c>
      <c r="B728" s="91">
        <v>45114.106874999998</v>
      </c>
      <c r="C728" s="28" t="s">
        <v>10</v>
      </c>
      <c r="D728" s="28" t="s">
        <v>409</v>
      </c>
      <c r="E728" s="28" t="s">
        <v>59</v>
      </c>
      <c r="F728" s="28">
        <v>66</v>
      </c>
      <c r="G728" s="28" t="s">
        <v>137</v>
      </c>
      <c r="H728" s="28">
        <v>0</v>
      </c>
      <c r="J728" s="28"/>
    </row>
    <row r="729" spans="1:10" ht="15.75" customHeight="1">
      <c r="A729" s="28">
        <v>19282</v>
      </c>
      <c r="B729" s="91">
        <v>45113.804259259261</v>
      </c>
      <c r="C729" s="28" t="s">
        <v>10</v>
      </c>
      <c r="D729" s="28" t="s">
        <v>410</v>
      </c>
      <c r="E729" s="28" t="s">
        <v>28</v>
      </c>
      <c r="F729" s="28">
        <v>25</v>
      </c>
      <c r="G729" s="28" t="s">
        <v>141</v>
      </c>
      <c r="H729" s="28">
        <v>0</v>
      </c>
      <c r="J729" s="28"/>
    </row>
    <row r="730" spans="1:10" ht="15.75" customHeight="1">
      <c r="A730" s="28">
        <v>19282</v>
      </c>
      <c r="B730" s="91">
        <v>45113.804259259261</v>
      </c>
      <c r="C730" s="28" t="s">
        <v>10</v>
      </c>
      <c r="D730" s="28" t="s">
        <v>410</v>
      </c>
      <c r="E730" s="28" t="s">
        <v>28</v>
      </c>
      <c r="F730" s="28">
        <v>0</v>
      </c>
      <c r="G730" s="28" t="s">
        <v>117</v>
      </c>
      <c r="H730" s="28">
        <v>0</v>
      </c>
      <c r="J730" s="28"/>
    </row>
    <row r="731" spans="1:10" ht="15.75" customHeight="1">
      <c r="A731" s="28">
        <v>19282</v>
      </c>
      <c r="B731" s="91">
        <v>45113.804259259261</v>
      </c>
      <c r="C731" s="28" t="s">
        <v>10</v>
      </c>
      <c r="D731" s="28" t="s">
        <v>410</v>
      </c>
      <c r="E731" s="28" t="s">
        <v>28</v>
      </c>
      <c r="F731" s="28">
        <v>20</v>
      </c>
      <c r="G731" s="28" t="s">
        <v>205</v>
      </c>
      <c r="H731" s="28">
        <v>0</v>
      </c>
      <c r="J731" s="28"/>
    </row>
    <row r="732" spans="1:10" ht="15.75" customHeight="1">
      <c r="A732" s="28">
        <v>19282</v>
      </c>
      <c r="B732" s="91">
        <v>45113.804259259261</v>
      </c>
      <c r="C732" s="28" t="s">
        <v>10</v>
      </c>
      <c r="D732" s="28" t="s">
        <v>410</v>
      </c>
      <c r="E732" s="28" t="s">
        <v>28</v>
      </c>
      <c r="F732" s="28">
        <v>0</v>
      </c>
      <c r="G732" s="28" t="s">
        <v>125</v>
      </c>
      <c r="H732" s="28">
        <v>0</v>
      </c>
      <c r="J732" s="28"/>
    </row>
    <row r="733" spans="1:10" ht="15.75" customHeight="1">
      <c r="A733" s="28">
        <v>19281</v>
      </c>
      <c r="B733" s="91">
        <v>45113.801018518519</v>
      </c>
      <c r="C733" s="28" t="s">
        <v>10</v>
      </c>
      <c r="D733" s="28" t="s">
        <v>411</v>
      </c>
      <c r="E733" s="28" t="s">
        <v>28</v>
      </c>
      <c r="F733" s="28">
        <v>25</v>
      </c>
      <c r="G733" s="28" t="s">
        <v>141</v>
      </c>
      <c r="H733" s="28">
        <v>0</v>
      </c>
      <c r="J733" s="28"/>
    </row>
    <row r="734" spans="1:10" ht="15.75" customHeight="1">
      <c r="A734" s="28">
        <v>19281</v>
      </c>
      <c r="B734" s="91">
        <v>45113.801018518519</v>
      </c>
      <c r="C734" s="28" t="s">
        <v>10</v>
      </c>
      <c r="D734" s="28" t="s">
        <v>411</v>
      </c>
      <c r="E734" s="28" t="s">
        <v>28</v>
      </c>
      <c r="F734" s="28">
        <v>20</v>
      </c>
      <c r="G734" s="28" t="s">
        <v>205</v>
      </c>
      <c r="H734" s="28">
        <v>0</v>
      </c>
      <c r="J734" s="28"/>
    </row>
    <row r="735" spans="1:10" ht="15.75" customHeight="1">
      <c r="A735" s="28">
        <v>19281</v>
      </c>
      <c r="B735" s="91">
        <v>45113.801018518519</v>
      </c>
      <c r="C735" s="28" t="s">
        <v>10</v>
      </c>
      <c r="D735" s="28" t="s">
        <v>411</v>
      </c>
      <c r="E735" s="28" t="s">
        <v>28</v>
      </c>
      <c r="F735" s="28">
        <v>0</v>
      </c>
      <c r="G735" s="28" t="s">
        <v>125</v>
      </c>
      <c r="H735" s="28">
        <v>0</v>
      </c>
      <c r="J735" s="28"/>
    </row>
    <row r="736" spans="1:10" ht="15.75" customHeight="1">
      <c r="A736" s="28">
        <v>19281</v>
      </c>
      <c r="B736" s="91">
        <v>45113.801018518519</v>
      </c>
      <c r="C736" s="28" t="s">
        <v>10</v>
      </c>
      <c r="D736" s="28" t="s">
        <v>411</v>
      </c>
      <c r="E736" s="28" t="s">
        <v>28</v>
      </c>
      <c r="F736" s="28">
        <v>0</v>
      </c>
      <c r="G736" s="28" t="s">
        <v>117</v>
      </c>
      <c r="H736" s="28">
        <v>0</v>
      </c>
      <c r="J736" s="28"/>
    </row>
    <row r="737" spans="1:10" ht="15.75" customHeight="1">
      <c r="A737" s="28">
        <v>19278</v>
      </c>
      <c r="B737" s="91">
        <v>45113.519814814819</v>
      </c>
      <c r="C737" s="28" t="s">
        <v>10</v>
      </c>
      <c r="D737" s="28" t="s">
        <v>412</v>
      </c>
      <c r="E737" s="28" t="s">
        <v>28</v>
      </c>
      <c r="F737" s="28">
        <v>25</v>
      </c>
      <c r="G737" s="28">
        <v>100692</v>
      </c>
      <c r="H737" s="28">
        <v>0</v>
      </c>
      <c r="J737" s="28"/>
    </row>
    <row r="738" spans="1:10" ht="15.75" customHeight="1">
      <c r="A738" s="28">
        <v>19278</v>
      </c>
      <c r="B738" s="91">
        <v>45113.519814814819</v>
      </c>
      <c r="C738" s="28" t="s">
        <v>10</v>
      </c>
      <c r="D738" s="28" t="s">
        <v>412</v>
      </c>
      <c r="E738" s="28" t="s">
        <v>28</v>
      </c>
      <c r="F738" s="28">
        <v>0</v>
      </c>
      <c r="G738" s="28" t="s">
        <v>125</v>
      </c>
      <c r="H738" s="28">
        <v>0</v>
      </c>
      <c r="J738" s="28"/>
    </row>
    <row r="739" spans="1:10" ht="15.75" customHeight="1">
      <c r="A739" s="28">
        <v>19278</v>
      </c>
      <c r="B739" s="91">
        <v>45113.519814814819</v>
      </c>
      <c r="C739" s="28" t="s">
        <v>10</v>
      </c>
      <c r="D739" s="28" t="s">
        <v>412</v>
      </c>
      <c r="E739" s="28" t="s">
        <v>28</v>
      </c>
      <c r="F739" s="28">
        <v>0</v>
      </c>
      <c r="G739" s="28" t="s">
        <v>119</v>
      </c>
      <c r="H739" s="28">
        <v>0</v>
      </c>
      <c r="J739" s="28"/>
    </row>
    <row r="740" spans="1:10" ht="15.75" customHeight="1">
      <c r="A740" s="28">
        <v>19277</v>
      </c>
      <c r="B740" s="91">
        <v>45113.020254629635</v>
      </c>
      <c r="C740" s="28" t="s">
        <v>10</v>
      </c>
      <c r="D740" s="28" t="s">
        <v>413</v>
      </c>
      <c r="E740" s="28" t="s">
        <v>28</v>
      </c>
      <c r="F740" s="28">
        <v>0</v>
      </c>
      <c r="G740" s="28" t="s">
        <v>117</v>
      </c>
      <c r="H740" s="28">
        <v>0</v>
      </c>
      <c r="J740" s="28"/>
    </row>
    <row r="741" spans="1:10" ht="15.75" customHeight="1">
      <c r="A741" s="28">
        <v>19277</v>
      </c>
      <c r="B741" s="91">
        <v>45113.020254629635</v>
      </c>
      <c r="C741" s="28" t="s">
        <v>10</v>
      </c>
      <c r="D741" s="28" t="s">
        <v>413</v>
      </c>
      <c r="E741" s="28" t="s">
        <v>28</v>
      </c>
      <c r="F741" s="28">
        <v>18</v>
      </c>
      <c r="G741" s="28" t="s">
        <v>119</v>
      </c>
      <c r="H741" s="28">
        <v>0</v>
      </c>
      <c r="J741" s="28"/>
    </row>
    <row r="742" spans="1:10" ht="15.75" customHeight="1">
      <c r="A742" s="28">
        <v>19276</v>
      </c>
      <c r="B742" s="91">
        <v>45113.014930555553</v>
      </c>
      <c r="C742" s="28" t="s">
        <v>10</v>
      </c>
      <c r="D742" s="28" t="s">
        <v>414</v>
      </c>
      <c r="E742" s="28" t="s">
        <v>28</v>
      </c>
      <c r="F742" s="28">
        <v>25</v>
      </c>
      <c r="G742" s="28">
        <v>100692</v>
      </c>
      <c r="H742" s="28">
        <v>0</v>
      </c>
      <c r="J742" s="28"/>
    </row>
    <row r="743" spans="1:10" ht="15.75" customHeight="1">
      <c r="A743" s="28">
        <v>19276</v>
      </c>
      <c r="B743" s="91">
        <v>45113.014930555553</v>
      </c>
      <c r="C743" s="28" t="s">
        <v>10</v>
      </c>
      <c r="D743" s="28" t="s">
        <v>414</v>
      </c>
      <c r="E743" s="28" t="s">
        <v>28</v>
      </c>
      <c r="F743" s="28">
        <v>0</v>
      </c>
      <c r="G743" s="28" t="s">
        <v>125</v>
      </c>
      <c r="H743" s="28">
        <v>0</v>
      </c>
      <c r="J743" s="28"/>
    </row>
    <row r="744" spans="1:10" ht="15.75" customHeight="1">
      <c r="A744" s="28">
        <v>19276</v>
      </c>
      <c r="B744" s="91">
        <v>45113.014930555553</v>
      </c>
      <c r="C744" s="28" t="s">
        <v>10</v>
      </c>
      <c r="D744" s="28" t="s">
        <v>414</v>
      </c>
      <c r="E744" s="28" t="s">
        <v>28</v>
      </c>
      <c r="F744" s="28">
        <v>0</v>
      </c>
      <c r="G744" s="28" t="s">
        <v>119</v>
      </c>
      <c r="H744" s="28">
        <v>0</v>
      </c>
      <c r="J744" s="28"/>
    </row>
    <row r="745" spans="1:10" ht="15.75" customHeight="1">
      <c r="A745" s="28">
        <v>19276</v>
      </c>
      <c r="B745" s="91">
        <v>45113.014930555553</v>
      </c>
      <c r="C745" s="28" t="s">
        <v>10</v>
      </c>
      <c r="D745" s="28" t="s">
        <v>414</v>
      </c>
      <c r="E745" s="28" t="s">
        <v>28</v>
      </c>
      <c r="F745" s="28">
        <v>0</v>
      </c>
      <c r="G745" s="28" t="s">
        <v>117</v>
      </c>
      <c r="H745" s="28">
        <v>0</v>
      </c>
      <c r="J745" s="28"/>
    </row>
    <row r="746" spans="1:10" ht="15.75" customHeight="1">
      <c r="A746" s="28">
        <v>19275</v>
      </c>
      <c r="B746" s="91">
        <v>45112.944328703699</v>
      </c>
      <c r="C746" s="28" t="s">
        <v>10</v>
      </c>
      <c r="D746" s="28" t="s">
        <v>415</v>
      </c>
      <c r="E746" s="28" t="s">
        <v>81</v>
      </c>
      <c r="F746" s="28">
        <v>25</v>
      </c>
      <c r="G746" s="28" t="s">
        <v>118</v>
      </c>
      <c r="H746" s="28">
        <v>0</v>
      </c>
      <c r="J746" s="28"/>
    </row>
    <row r="747" spans="1:10" ht="15.75" customHeight="1">
      <c r="A747" s="28">
        <v>19274</v>
      </c>
      <c r="B747" s="91">
        <v>45112.881354166668</v>
      </c>
      <c r="C747" s="28" t="s">
        <v>10</v>
      </c>
      <c r="D747" s="28" t="s">
        <v>416</v>
      </c>
      <c r="E747" s="28" t="s">
        <v>28</v>
      </c>
      <c r="F747" s="28">
        <v>25</v>
      </c>
      <c r="G747" s="28">
        <v>100692</v>
      </c>
      <c r="H747" s="28">
        <v>0</v>
      </c>
      <c r="J747" s="28"/>
    </row>
    <row r="748" spans="1:10" ht="15.75" customHeight="1">
      <c r="A748" s="28">
        <v>19274</v>
      </c>
      <c r="B748" s="91">
        <v>45112.881354166668</v>
      </c>
      <c r="C748" s="28" t="s">
        <v>10</v>
      </c>
      <c r="D748" s="28" t="s">
        <v>416</v>
      </c>
      <c r="E748" s="28" t="s">
        <v>28</v>
      </c>
      <c r="F748" s="28">
        <v>0</v>
      </c>
      <c r="G748" s="28" t="s">
        <v>125</v>
      </c>
      <c r="H748" s="28">
        <v>0</v>
      </c>
      <c r="J748" s="28"/>
    </row>
    <row r="749" spans="1:10" ht="15.75" customHeight="1">
      <c r="A749" s="28">
        <v>19274</v>
      </c>
      <c r="B749" s="91">
        <v>45112.881354166668</v>
      </c>
      <c r="C749" s="28" t="s">
        <v>10</v>
      </c>
      <c r="D749" s="28" t="s">
        <v>416</v>
      </c>
      <c r="E749" s="28" t="s">
        <v>28</v>
      </c>
      <c r="F749" s="28">
        <v>0</v>
      </c>
      <c r="G749" s="28" t="s">
        <v>119</v>
      </c>
      <c r="H749" s="28">
        <v>0</v>
      </c>
      <c r="J749" s="28"/>
    </row>
    <row r="750" spans="1:10" ht="15.75" customHeight="1">
      <c r="A750" s="28">
        <v>19267</v>
      </c>
      <c r="B750" s="91">
        <v>45112.810717592598</v>
      </c>
      <c r="C750" s="28" t="s">
        <v>10</v>
      </c>
      <c r="D750" s="28" t="s">
        <v>417</v>
      </c>
      <c r="E750" s="28" t="s">
        <v>28</v>
      </c>
      <c r="F750" s="28">
        <v>28</v>
      </c>
      <c r="G750" s="28" t="s">
        <v>143</v>
      </c>
      <c r="H750" s="28">
        <v>0</v>
      </c>
      <c r="J750" s="28"/>
    </row>
    <row r="751" spans="1:10" ht="15.75" customHeight="1">
      <c r="A751" s="28">
        <v>19267</v>
      </c>
      <c r="B751" s="91">
        <v>45112.810717592598</v>
      </c>
      <c r="C751" s="28" t="s">
        <v>10</v>
      </c>
      <c r="D751" s="28" t="s">
        <v>417</v>
      </c>
      <c r="E751" s="28" t="s">
        <v>28</v>
      </c>
      <c r="F751" s="28">
        <v>0</v>
      </c>
      <c r="G751" s="28" t="s">
        <v>117</v>
      </c>
      <c r="H751" s="28">
        <v>0</v>
      </c>
      <c r="J751" s="28"/>
    </row>
    <row r="752" spans="1:10" ht="15.75" customHeight="1">
      <c r="A752" s="28">
        <v>19266</v>
      </c>
      <c r="B752" s="91">
        <v>45112.809444444443</v>
      </c>
      <c r="C752" s="28" t="s">
        <v>10</v>
      </c>
      <c r="D752" s="28" t="s">
        <v>418</v>
      </c>
      <c r="E752" s="28" t="s">
        <v>28</v>
      </c>
      <c r="F752" s="28">
        <v>0</v>
      </c>
      <c r="G752" s="28" t="s">
        <v>117</v>
      </c>
      <c r="H752" s="28">
        <v>0</v>
      </c>
      <c r="J752" s="28"/>
    </row>
    <row r="753" spans="1:10" ht="15.75" customHeight="1">
      <c r="A753" s="28">
        <v>19266</v>
      </c>
      <c r="B753" s="91">
        <v>45112.809444444443</v>
      </c>
      <c r="C753" s="28" t="s">
        <v>10</v>
      </c>
      <c r="D753" s="28" t="s">
        <v>418</v>
      </c>
      <c r="E753" s="28" t="s">
        <v>28</v>
      </c>
      <c r="F753" s="28">
        <v>28</v>
      </c>
      <c r="G753" s="28" t="s">
        <v>143</v>
      </c>
      <c r="H753" s="28">
        <v>0</v>
      </c>
      <c r="J753" s="28"/>
    </row>
    <row r="754" spans="1:10" ht="15.75" customHeight="1">
      <c r="A754" s="28">
        <v>19265</v>
      </c>
      <c r="B754" s="91">
        <v>45112.682974537034</v>
      </c>
      <c r="C754" s="28" t="s">
        <v>10</v>
      </c>
      <c r="D754" s="28" t="s">
        <v>419</v>
      </c>
      <c r="E754" s="28" t="s">
        <v>28</v>
      </c>
      <c r="F754" s="28">
        <v>28</v>
      </c>
      <c r="G754" s="28" t="s">
        <v>143</v>
      </c>
      <c r="H754" s="28">
        <v>0</v>
      </c>
      <c r="J754" s="28"/>
    </row>
    <row r="755" spans="1:10" ht="15.75" customHeight="1">
      <c r="A755" s="28">
        <v>19265</v>
      </c>
      <c r="B755" s="91">
        <v>45112.682974537034</v>
      </c>
      <c r="C755" s="28" t="s">
        <v>10</v>
      </c>
      <c r="D755" s="28" t="s">
        <v>419</v>
      </c>
      <c r="E755" s="28" t="s">
        <v>28</v>
      </c>
      <c r="F755" s="28">
        <v>15</v>
      </c>
      <c r="G755" s="28" t="s">
        <v>125</v>
      </c>
      <c r="H755" s="28">
        <v>0</v>
      </c>
      <c r="J755" s="28"/>
    </row>
    <row r="756" spans="1:10" ht="15.75" customHeight="1">
      <c r="A756" s="28">
        <v>19264</v>
      </c>
      <c r="B756" s="91">
        <v>45112.677256944444</v>
      </c>
      <c r="C756" s="28" t="s">
        <v>10</v>
      </c>
      <c r="D756" s="28" t="s">
        <v>420</v>
      </c>
      <c r="E756" s="28" t="s">
        <v>28</v>
      </c>
      <c r="F756" s="28">
        <v>18</v>
      </c>
      <c r="G756" s="28" t="s">
        <v>119</v>
      </c>
      <c r="H756" s="28">
        <v>0</v>
      </c>
      <c r="J756" s="28"/>
    </row>
    <row r="757" spans="1:10" ht="15.75" customHeight="1">
      <c r="A757" s="28">
        <v>19264</v>
      </c>
      <c r="B757" s="91">
        <v>45112.677256944444</v>
      </c>
      <c r="C757" s="28" t="s">
        <v>10</v>
      </c>
      <c r="D757" s="28" t="s">
        <v>420</v>
      </c>
      <c r="E757" s="28" t="s">
        <v>28</v>
      </c>
      <c r="F757" s="28">
        <v>0</v>
      </c>
      <c r="G757" s="28" t="s">
        <v>117</v>
      </c>
      <c r="H757" s="28">
        <v>0</v>
      </c>
      <c r="J757" s="28"/>
    </row>
    <row r="758" spans="1:10" ht="15.75" customHeight="1">
      <c r="A758" s="28">
        <v>19263</v>
      </c>
      <c r="B758" s="91">
        <v>45112.675104166672</v>
      </c>
      <c r="C758" s="28" t="s">
        <v>10</v>
      </c>
      <c r="D758" s="28" t="s">
        <v>421</v>
      </c>
      <c r="E758" s="28" t="s">
        <v>28</v>
      </c>
      <c r="F758" s="28">
        <v>0</v>
      </c>
      <c r="G758" s="28" t="s">
        <v>117</v>
      </c>
      <c r="H758" s="28">
        <v>0</v>
      </c>
      <c r="J758" s="28"/>
    </row>
    <row r="759" spans="1:10" ht="15.75" customHeight="1">
      <c r="A759" s="28">
        <v>19263</v>
      </c>
      <c r="B759" s="91">
        <v>45112.675104166672</v>
      </c>
      <c r="C759" s="28" t="s">
        <v>10</v>
      </c>
      <c r="D759" s="28" t="s">
        <v>421</v>
      </c>
      <c r="E759" s="28" t="s">
        <v>28</v>
      </c>
      <c r="F759" s="28">
        <v>18</v>
      </c>
      <c r="G759" s="28" t="s">
        <v>119</v>
      </c>
      <c r="H759" s="28">
        <v>0</v>
      </c>
      <c r="J759" s="28"/>
    </row>
    <row r="760" spans="1:10" ht="15.75" customHeight="1">
      <c r="A760" s="28">
        <v>19261</v>
      </c>
      <c r="B760" s="91">
        <v>45111.988877314812</v>
      </c>
      <c r="C760" s="28" t="s">
        <v>10</v>
      </c>
      <c r="D760" s="28" t="s">
        <v>422</v>
      </c>
      <c r="E760" s="28" t="s">
        <v>28</v>
      </c>
      <c r="F760" s="28">
        <v>15</v>
      </c>
      <c r="G760" s="28" t="s">
        <v>125</v>
      </c>
      <c r="H760" s="28">
        <v>0</v>
      </c>
      <c r="J760" s="28"/>
    </row>
    <row r="761" spans="1:10" ht="15.75" customHeight="1">
      <c r="A761" s="28">
        <v>19260</v>
      </c>
      <c r="B761" s="91">
        <v>45110.9144212963</v>
      </c>
      <c r="C761" s="28" t="s">
        <v>10</v>
      </c>
      <c r="D761" s="28" t="s">
        <v>423</v>
      </c>
      <c r="E761" s="28" t="s">
        <v>28</v>
      </c>
      <c r="F761" s="28">
        <v>28</v>
      </c>
      <c r="G761" s="28" t="s">
        <v>143</v>
      </c>
      <c r="H761" s="28">
        <v>0</v>
      </c>
      <c r="J761" s="28"/>
    </row>
    <row r="762" spans="1:10" ht="15.75" customHeight="1">
      <c r="A762" s="28">
        <v>19259</v>
      </c>
      <c r="B762" s="91">
        <v>45110.912870370375</v>
      </c>
      <c r="C762" s="28" t="s">
        <v>10</v>
      </c>
      <c r="D762" s="28" t="s">
        <v>424</v>
      </c>
      <c r="E762" s="28" t="s">
        <v>28</v>
      </c>
      <c r="F762" s="28">
        <v>28</v>
      </c>
      <c r="G762" s="28" t="s">
        <v>143</v>
      </c>
      <c r="H762" s="28">
        <v>0</v>
      </c>
      <c r="J762" s="28"/>
    </row>
    <row r="763" spans="1:10" ht="15.75" customHeight="1">
      <c r="A763" s="28">
        <v>19258</v>
      </c>
      <c r="B763" s="91">
        <v>45110.846539351856</v>
      </c>
      <c r="C763" s="28" t="s">
        <v>10</v>
      </c>
      <c r="D763" s="28" t="s">
        <v>425</v>
      </c>
      <c r="E763" s="28" t="s">
        <v>28</v>
      </c>
      <c r="F763" s="28">
        <v>25</v>
      </c>
      <c r="G763" s="28">
        <v>100692</v>
      </c>
      <c r="H763" s="28">
        <v>0</v>
      </c>
      <c r="J763" s="28"/>
    </row>
    <row r="764" spans="1:10" ht="15.75" customHeight="1">
      <c r="A764" s="28">
        <v>19258</v>
      </c>
      <c r="B764" s="91">
        <v>45110.846539351856</v>
      </c>
      <c r="C764" s="28" t="s">
        <v>10</v>
      </c>
      <c r="D764" s="28" t="s">
        <v>425</v>
      </c>
      <c r="E764" s="28" t="s">
        <v>28</v>
      </c>
      <c r="F764" s="28">
        <v>0</v>
      </c>
      <c r="G764" s="28" t="s">
        <v>125</v>
      </c>
      <c r="H764" s="28">
        <v>0</v>
      </c>
      <c r="J764" s="28"/>
    </row>
    <row r="765" spans="1:10" ht="15.75" customHeight="1">
      <c r="A765" s="28">
        <v>19258</v>
      </c>
      <c r="B765" s="91">
        <v>45110.846539351856</v>
      </c>
      <c r="C765" s="28" t="s">
        <v>10</v>
      </c>
      <c r="D765" s="28" t="s">
        <v>425</v>
      </c>
      <c r="E765" s="28" t="s">
        <v>28</v>
      </c>
      <c r="F765" s="28">
        <v>0</v>
      </c>
      <c r="G765" s="28" t="s">
        <v>119</v>
      </c>
      <c r="H765" s="28">
        <v>0</v>
      </c>
      <c r="J765" s="28"/>
    </row>
    <row r="766" spans="1:10" ht="15.75" customHeight="1">
      <c r="A766" s="28">
        <v>19258</v>
      </c>
      <c r="B766" s="91">
        <v>45110.846539351856</v>
      </c>
      <c r="C766" s="28" t="s">
        <v>10</v>
      </c>
      <c r="D766" s="28" t="s">
        <v>425</v>
      </c>
      <c r="E766" s="28" t="s">
        <v>28</v>
      </c>
      <c r="F766" s="28">
        <v>26</v>
      </c>
      <c r="G766" s="28" t="s">
        <v>122</v>
      </c>
      <c r="H766" s="28">
        <v>0</v>
      </c>
      <c r="J766" s="28"/>
    </row>
    <row r="767" spans="1:10" ht="15.75" customHeight="1">
      <c r="A767" s="28">
        <v>19257</v>
      </c>
      <c r="B767" s="91">
        <v>45110.800775462965</v>
      </c>
      <c r="C767" s="28" t="s">
        <v>10</v>
      </c>
      <c r="D767" s="28" t="s">
        <v>426</v>
      </c>
      <c r="E767" s="28" t="s">
        <v>28</v>
      </c>
      <c r="F767" s="28">
        <v>25</v>
      </c>
      <c r="G767" s="28">
        <v>100692</v>
      </c>
      <c r="H767" s="28">
        <v>0</v>
      </c>
      <c r="J767" s="28"/>
    </row>
    <row r="768" spans="1:10" ht="15.75" customHeight="1">
      <c r="A768" s="28">
        <v>19257</v>
      </c>
      <c r="B768" s="91">
        <v>45110.800775462965</v>
      </c>
      <c r="C768" s="28" t="s">
        <v>10</v>
      </c>
      <c r="D768" s="28" t="s">
        <v>426</v>
      </c>
      <c r="E768" s="28" t="s">
        <v>28</v>
      </c>
      <c r="F768" s="28">
        <v>0</v>
      </c>
      <c r="G768" s="28" t="s">
        <v>125</v>
      </c>
      <c r="H768" s="28">
        <v>0</v>
      </c>
      <c r="J768" s="28"/>
    </row>
    <row r="769" spans="1:10" ht="15.75" customHeight="1">
      <c r="A769" s="28">
        <v>19257</v>
      </c>
      <c r="B769" s="91">
        <v>45110.800775462965</v>
      </c>
      <c r="C769" s="28" t="s">
        <v>10</v>
      </c>
      <c r="D769" s="28" t="s">
        <v>426</v>
      </c>
      <c r="E769" s="28" t="s">
        <v>28</v>
      </c>
      <c r="F769" s="28">
        <v>0</v>
      </c>
      <c r="G769" s="28" t="s">
        <v>119</v>
      </c>
      <c r="H769" s="28">
        <v>0</v>
      </c>
      <c r="J769" s="28"/>
    </row>
    <row r="770" spans="1:10" ht="15.75" customHeight="1">
      <c r="A770" s="28">
        <v>19256</v>
      </c>
      <c r="B770" s="91">
        <v>45110.736898148149</v>
      </c>
      <c r="C770" s="28" t="s">
        <v>10</v>
      </c>
      <c r="D770" s="28" t="s">
        <v>427</v>
      </c>
      <c r="E770" s="28" t="s">
        <v>28</v>
      </c>
      <c r="F770" s="28">
        <v>15</v>
      </c>
      <c r="G770" s="28" t="s">
        <v>125</v>
      </c>
      <c r="H770" s="28">
        <v>0</v>
      </c>
      <c r="J770" s="28"/>
    </row>
    <row r="771" spans="1:10" ht="15.75" customHeight="1">
      <c r="A771" s="28">
        <v>19255</v>
      </c>
      <c r="B771" s="91">
        <v>45110.600949074069</v>
      </c>
      <c r="C771" s="28" t="s">
        <v>5</v>
      </c>
      <c r="D771" s="28" t="s">
        <v>428</v>
      </c>
      <c r="E771" s="28" t="s">
        <v>82</v>
      </c>
      <c r="F771" s="28">
        <v>0</v>
      </c>
      <c r="G771" s="28" t="s">
        <v>286</v>
      </c>
      <c r="H771" s="28">
        <v>0</v>
      </c>
      <c r="J771" s="28"/>
    </row>
    <row r="772" spans="1:10" ht="15.75" customHeight="1">
      <c r="A772" s="28">
        <v>19254</v>
      </c>
      <c r="B772" s="91">
        <v>45110.599108796298</v>
      </c>
      <c r="C772" s="28" t="s">
        <v>5</v>
      </c>
      <c r="D772" s="28" t="s">
        <v>429</v>
      </c>
      <c r="E772" s="28" t="s">
        <v>82</v>
      </c>
      <c r="F772" s="28">
        <v>0</v>
      </c>
      <c r="G772" s="28" t="s">
        <v>286</v>
      </c>
      <c r="H772" s="28">
        <v>0</v>
      </c>
      <c r="J772" s="28"/>
    </row>
    <row r="773" spans="1:10" ht="15.75" customHeight="1">
      <c r="A773" s="28">
        <v>19253</v>
      </c>
      <c r="B773" s="91">
        <v>45110.571122685185</v>
      </c>
      <c r="C773" s="28" t="s">
        <v>10</v>
      </c>
      <c r="D773" s="28" t="s">
        <v>430</v>
      </c>
      <c r="E773" s="28" t="s">
        <v>83</v>
      </c>
      <c r="F773" s="28">
        <v>25</v>
      </c>
      <c r="G773" s="28">
        <v>100692</v>
      </c>
      <c r="H773" s="28">
        <v>0</v>
      </c>
      <c r="J773" s="28"/>
    </row>
    <row r="774" spans="1:10" ht="15.75" customHeight="1">
      <c r="A774" s="28">
        <v>19253</v>
      </c>
      <c r="B774" s="91">
        <v>45110.571122685185</v>
      </c>
      <c r="C774" s="28" t="s">
        <v>10</v>
      </c>
      <c r="D774" s="28" t="s">
        <v>430</v>
      </c>
      <c r="E774" s="28" t="s">
        <v>83</v>
      </c>
      <c r="F774" s="28">
        <v>0</v>
      </c>
      <c r="G774" s="28" t="s">
        <v>125</v>
      </c>
      <c r="H774" s="28">
        <v>0</v>
      </c>
      <c r="J774" s="28"/>
    </row>
    <row r="775" spans="1:10" ht="15.75" customHeight="1">
      <c r="A775" s="28">
        <v>19253</v>
      </c>
      <c r="B775" s="91">
        <v>45110.571122685185</v>
      </c>
      <c r="C775" s="28" t="s">
        <v>10</v>
      </c>
      <c r="D775" s="28" t="s">
        <v>430</v>
      </c>
      <c r="E775" s="28" t="s">
        <v>83</v>
      </c>
      <c r="F775" s="28">
        <v>0</v>
      </c>
      <c r="G775" s="28" t="s">
        <v>119</v>
      </c>
      <c r="H775" s="28">
        <v>0</v>
      </c>
      <c r="J775" s="28"/>
    </row>
    <row r="776" spans="1:10" ht="15.75" customHeight="1">
      <c r="A776" s="28">
        <v>19252</v>
      </c>
      <c r="B776" s="91">
        <v>45110.149849537032</v>
      </c>
      <c r="C776" s="28" t="s">
        <v>10</v>
      </c>
      <c r="D776" s="28" t="s">
        <v>431</v>
      </c>
      <c r="E776" s="28" t="s">
        <v>84</v>
      </c>
      <c r="F776" s="28">
        <v>0</v>
      </c>
      <c r="G776" s="28" t="s">
        <v>286</v>
      </c>
      <c r="H776" s="28">
        <v>0</v>
      </c>
      <c r="J776" s="28"/>
    </row>
    <row r="777" spans="1:10" ht="15.75" customHeight="1">
      <c r="A777" s="28">
        <v>19252</v>
      </c>
      <c r="B777" s="91">
        <v>45110.149849537032</v>
      </c>
      <c r="C777" s="28" t="s">
        <v>10</v>
      </c>
      <c r="D777" s="28" t="s">
        <v>431</v>
      </c>
      <c r="E777" s="28" t="s">
        <v>84</v>
      </c>
      <c r="F777" s="28">
        <v>0</v>
      </c>
      <c r="G777" s="28" t="s">
        <v>117</v>
      </c>
      <c r="H777" s="28">
        <v>0</v>
      </c>
      <c r="J777" s="28"/>
    </row>
    <row r="778" spans="1:10" ht="15.75" customHeight="1">
      <c r="A778" s="28">
        <v>19252</v>
      </c>
      <c r="B778" s="91">
        <v>45110.149849537032</v>
      </c>
      <c r="C778" s="28" t="s">
        <v>10</v>
      </c>
      <c r="D778" s="28" t="s">
        <v>431</v>
      </c>
      <c r="E778" s="28" t="s">
        <v>84</v>
      </c>
      <c r="F778" s="28">
        <v>18</v>
      </c>
      <c r="G778" s="28" t="s">
        <v>119</v>
      </c>
      <c r="H778" s="28">
        <v>0</v>
      </c>
      <c r="J778" s="28"/>
    </row>
    <row r="779" spans="1:10" ht="15.75" customHeight="1">
      <c r="A779" s="28">
        <v>19251</v>
      </c>
      <c r="B779" s="91">
        <v>45110.096805555557</v>
      </c>
      <c r="C779" s="28" t="s">
        <v>10</v>
      </c>
      <c r="D779" s="28" t="s">
        <v>432</v>
      </c>
      <c r="E779" s="28" t="s">
        <v>15</v>
      </c>
      <c r="F779" s="28">
        <v>25</v>
      </c>
      <c r="G779" s="28">
        <v>100692</v>
      </c>
      <c r="H779" s="28">
        <v>0</v>
      </c>
      <c r="J779" s="28"/>
    </row>
    <row r="780" spans="1:10" ht="15.75" customHeight="1">
      <c r="A780" s="28">
        <v>19251</v>
      </c>
      <c r="B780" s="91">
        <v>45110.096805555557</v>
      </c>
      <c r="C780" s="28" t="s">
        <v>10</v>
      </c>
      <c r="D780" s="28" t="s">
        <v>432</v>
      </c>
      <c r="E780" s="28" t="s">
        <v>15</v>
      </c>
      <c r="F780" s="28">
        <v>0</v>
      </c>
      <c r="G780" s="28" t="s">
        <v>125</v>
      </c>
      <c r="H780" s="28">
        <v>0</v>
      </c>
      <c r="J780" s="28"/>
    </row>
    <row r="781" spans="1:10" ht="15.75" customHeight="1">
      <c r="A781" s="28">
        <v>19251</v>
      </c>
      <c r="B781" s="91">
        <v>45110.096805555557</v>
      </c>
      <c r="C781" s="28" t="s">
        <v>10</v>
      </c>
      <c r="D781" s="28" t="s">
        <v>432</v>
      </c>
      <c r="E781" s="28" t="s">
        <v>15</v>
      </c>
      <c r="F781" s="28">
        <v>0</v>
      </c>
      <c r="G781" s="28" t="s">
        <v>119</v>
      </c>
      <c r="H781" s="28">
        <v>0</v>
      </c>
      <c r="J781" s="28"/>
    </row>
    <row r="782" spans="1:10" ht="15.75" customHeight="1">
      <c r="A782" s="28">
        <v>19250</v>
      </c>
      <c r="B782" s="91">
        <v>45109.179548611108</v>
      </c>
      <c r="C782" s="28" t="s">
        <v>10</v>
      </c>
      <c r="D782" s="28" t="s">
        <v>433</v>
      </c>
      <c r="E782" s="28" t="s">
        <v>28</v>
      </c>
      <c r="F782" s="28">
        <v>18</v>
      </c>
      <c r="G782" s="28" t="s">
        <v>119</v>
      </c>
      <c r="H782" s="28">
        <v>0</v>
      </c>
      <c r="J782" s="28"/>
    </row>
    <row r="783" spans="1:10" ht="15.75" customHeight="1">
      <c r="A783" s="28">
        <v>19250</v>
      </c>
      <c r="B783" s="91">
        <v>45109.179548611108</v>
      </c>
      <c r="C783" s="28" t="s">
        <v>10</v>
      </c>
      <c r="D783" s="28" t="s">
        <v>433</v>
      </c>
      <c r="E783" s="28" t="s">
        <v>28</v>
      </c>
      <c r="F783" s="28">
        <v>0</v>
      </c>
      <c r="G783" s="28" t="s">
        <v>117</v>
      </c>
      <c r="H783" s="28">
        <v>0</v>
      </c>
      <c r="J783" s="28"/>
    </row>
    <row r="784" spans="1:10" ht="15.75" customHeight="1">
      <c r="A784" s="28">
        <v>19249</v>
      </c>
      <c r="B784" s="91">
        <v>45109.177650462967</v>
      </c>
      <c r="C784" s="28" t="s">
        <v>10</v>
      </c>
      <c r="D784" s="28" t="s">
        <v>434</v>
      </c>
      <c r="E784" s="28" t="s">
        <v>28</v>
      </c>
      <c r="F784" s="28">
        <v>0</v>
      </c>
      <c r="G784" s="28" t="s">
        <v>117</v>
      </c>
      <c r="H784" s="28">
        <v>0</v>
      </c>
      <c r="J784" s="28"/>
    </row>
    <row r="785" spans="1:10" ht="15.75" customHeight="1">
      <c r="A785" s="28">
        <v>19249</v>
      </c>
      <c r="B785" s="91">
        <v>45109.177650462967</v>
      </c>
      <c r="C785" s="28" t="s">
        <v>10</v>
      </c>
      <c r="D785" s="28" t="s">
        <v>434</v>
      </c>
      <c r="E785" s="28" t="s">
        <v>28</v>
      </c>
      <c r="F785" s="28">
        <v>18</v>
      </c>
      <c r="G785" s="28" t="s">
        <v>119</v>
      </c>
      <c r="H785" s="28">
        <v>0</v>
      </c>
      <c r="J785" s="28"/>
    </row>
    <row r="786" spans="1:10" ht="15.75" customHeight="1">
      <c r="A786" s="28">
        <v>19248</v>
      </c>
      <c r="B786" s="91">
        <v>45109.073263888888</v>
      </c>
      <c r="C786" s="28" t="s">
        <v>10</v>
      </c>
      <c r="D786" s="28" t="s">
        <v>435</v>
      </c>
      <c r="E786" s="28" t="s">
        <v>59</v>
      </c>
      <c r="F786" s="28">
        <v>26</v>
      </c>
      <c r="G786" s="28" t="s">
        <v>122</v>
      </c>
      <c r="H786" s="28">
        <v>0</v>
      </c>
      <c r="J786" s="28"/>
    </row>
    <row r="787" spans="1:10" ht="15.75" customHeight="1">
      <c r="A787" s="28">
        <v>19247</v>
      </c>
      <c r="B787" s="91">
        <v>45108.912395833337</v>
      </c>
      <c r="C787" s="28" t="s">
        <v>10</v>
      </c>
      <c r="D787" s="28" t="s">
        <v>436</v>
      </c>
      <c r="E787" s="28" t="s">
        <v>85</v>
      </c>
      <c r="F787" s="28">
        <v>26</v>
      </c>
      <c r="G787" s="28" t="s">
        <v>122</v>
      </c>
      <c r="H787" s="28">
        <v>0</v>
      </c>
      <c r="J787" s="28"/>
    </row>
    <row r="788" spans="1:10" ht="15.75" customHeight="1">
      <c r="A788" s="28">
        <v>19246</v>
      </c>
      <c r="B788" s="91">
        <v>45108.83315972222</v>
      </c>
      <c r="C788" s="28" t="s">
        <v>10</v>
      </c>
      <c r="D788" s="28" t="s">
        <v>437</v>
      </c>
      <c r="E788" s="28" t="s">
        <v>28</v>
      </c>
      <c r="F788" s="28">
        <v>20</v>
      </c>
      <c r="G788" s="28" t="s">
        <v>148</v>
      </c>
      <c r="H788" s="28">
        <v>0</v>
      </c>
      <c r="J788" s="28"/>
    </row>
    <row r="789" spans="1:10" ht="15.75" customHeight="1">
      <c r="A789" s="28">
        <v>19245</v>
      </c>
      <c r="B789" s="91">
        <v>45108.732777777783</v>
      </c>
      <c r="C789" s="28" t="s">
        <v>10</v>
      </c>
      <c r="D789" s="28" t="s">
        <v>438</v>
      </c>
      <c r="E789" s="28" t="s">
        <v>39</v>
      </c>
      <c r="F789" s="28">
        <v>18</v>
      </c>
      <c r="G789" s="28" t="s">
        <v>119</v>
      </c>
      <c r="H789" s="28">
        <v>0</v>
      </c>
      <c r="J789" s="28"/>
    </row>
    <row r="790" spans="1:10" ht="15.75" customHeight="1">
      <c r="A790" s="28">
        <v>19243</v>
      </c>
      <c r="B790" s="91">
        <v>45108.555439814816</v>
      </c>
      <c r="C790" s="28" t="s">
        <v>10</v>
      </c>
      <c r="D790" s="28" t="s">
        <v>439</v>
      </c>
      <c r="E790" s="28" t="s">
        <v>39</v>
      </c>
      <c r="F790" s="28">
        <v>15</v>
      </c>
      <c r="G790" s="28" t="s">
        <v>125</v>
      </c>
      <c r="H790" s="28">
        <v>0</v>
      </c>
      <c r="J790" s="28"/>
    </row>
    <row r="791" spans="1:10" ht="15.75" customHeight="1">
      <c r="A791" s="28">
        <v>19242</v>
      </c>
      <c r="B791" s="91">
        <v>45108.121111111112</v>
      </c>
      <c r="C791" s="28" t="s">
        <v>8</v>
      </c>
      <c r="D791" s="28" t="s">
        <v>440</v>
      </c>
      <c r="E791" s="28" t="s">
        <v>39</v>
      </c>
      <c r="F791" s="28">
        <v>15</v>
      </c>
      <c r="G791" s="28" t="s">
        <v>139</v>
      </c>
      <c r="H791" s="28">
        <v>0</v>
      </c>
      <c r="J791" s="28"/>
    </row>
    <row r="792" spans="1:10" ht="15.75" customHeight="1">
      <c r="A792" s="28">
        <v>19242</v>
      </c>
      <c r="B792" s="91">
        <v>45108.121111111112</v>
      </c>
      <c r="C792" s="28" t="s">
        <v>8</v>
      </c>
      <c r="D792" s="28" t="s">
        <v>440</v>
      </c>
      <c r="E792" s="28" t="s">
        <v>39</v>
      </c>
      <c r="F792" s="28">
        <v>0</v>
      </c>
      <c r="G792" s="28" t="s">
        <v>117</v>
      </c>
      <c r="H792" s="28">
        <v>0</v>
      </c>
      <c r="J792" s="28"/>
    </row>
    <row r="793" spans="1:10" ht="15.75" customHeight="1">
      <c r="A793" s="28">
        <v>19242</v>
      </c>
      <c r="B793" s="91">
        <v>45108.121111111112</v>
      </c>
      <c r="C793" s="28" t="s">
        <v>8</v>
      </c>
      <c r="D793" s="28" t="s">
        <v>440</v>
      </c>
      <c r="E793" s="28" t="s">
        <v>39</v>
      </c>
      <c r="F793" s="28">
        <v>55</v>
      </c>
      <c r="G793" s="28">
        <v>101684</v>
      </c>
      <c r="H793" s="28">
        <v>0</v>
      </c>
      <c r="J793" s="28"/>
    </row>
    <row r="794" spans="1:10" ht="15.75" customHeight="1">
      <c r="A794" s="28">
        <v>19242</v>
      </c>
      <c r="B794" s="91">
        <v>45108.121111111112</v>
      </c>
      <c r="C794" s="28" t="s">
        <v>8</v>
      </c>
      <c r="D794" s="28" t="s">
        <v>440</v>
      </c>
      <c r="E794" s="28" t="s">
        <v>39</v>
      </c>
      <c r="F794" s="28">
        <v>0</v>
      </c>
      <c r="G794" s="28" t="s">
        <v>118</v>
      </c>
      <c r="H794" s="28">
        <v>0</v>
      </c>
      <c r="J794" s="28"/>
    </row>
    <row r="795" spans="1:10" ht="15.75" customHeight="1">
      <c r="A795" s="28">
        <v>19242</v>
      </c>
      <c r="B795" s="91">
        <v>45108.121111111112</v>
      </c>
      <c r="C795" s="28" t="s">
        <v>8</v>
      </c>
      <c r="D795" s="28" t="s">
        <v>440</v>
      </c>
      <c r="E795" s="28" t="s">
        <v>39</v>
      </c>
      <c r="F795" s="28">
        <v>0</v>
      </c>
      <c r="G795" s="28" t="s">
        <v>119</v>
      </c>
      <c r="H795" s="28">
        <v>0</v>
      </c>
      <c r="J795" s="28"/>
    </row>
    <row r="796" spans="1:10" ht="15.75" customHeight="1">
      <c r="A796" s="28">
        <v>19242</v>
      </c>
      <c r="B796" s="91">
        <v>45108.121111111112</v>
      </c>
      <c r="C796" s="28" t="s">
        <v>8</v>
      </c>
      <c r="D796" s="28" t="s">
        <v>440</v>
      </c>
      <c r="E796" s="28" t="s">
        <v>39</v>
      </c>
      <c r="F796" s="28">
        <v>0</v>
      </c>
      <c r="G796" s="28" t="s">
        <v>120</v>
      </c>
      <c r="H796" s="28">
        <v>0</v>
      </c>
      <c r="J796" s="28"/>
    </row>
    <row r="797" spans="1:10" ht="15.75" customHeight="1">
      <c r="A797" s="28">
        <v>19242</v>
      </c>
      <c r="B797" s="91">
        <v>45108.121111111112</v>
      </c>
      <c r="C797" s="28" t="s">
        <v>8</v>
      </c>
      <c r="D797" s="28" t="s">
        <v>440</v>
      </c>
      <c r="E797" s="28" t="s">
        <v>39</v>
      </c>
      <c r="F797" s="28">
        <v>0</v>
      </c>
      <c r="G797" s="28" t="s">
        <v>121</v>
      </c>
      <c r="H797" s="28">
        <v>0</v>
      </c>
      <c r="J797" s="28"/>
    </row>
    <row r="798" spans="1:10" ht="15.75" customHeight="1">
      <c r="A798" s="28">
        <v>19241</v>
      </c>
      <c r="B798" s="91">
        <v>45108.10291666667</v>
      </c>
      <c r="C798" s="28" t="s">
        <v>10</v>
      </c>
      <c r="D798" s="28" t="s">
        <v>441</v>
      </c>
      <c r="E798" s="28" t="s">
        <v>86</v>
      </c>
      <c r="F798" s="28">
        <v>0</v>
      </c>
      <c r="G798" s="28" t="s">
        <v>286</v>
      </c>
      <c r="H798" s="28">
        <v>0</v>
      </c>
      <c r="J798" s="28"/>
    </row>
    <row r="799" spans="1:10" ht="15.75" customHeight="1">
      <c r="A799" s="28">
        <v>19241</v>
      </c>
      <c r="B799" s="91">
        <v>45108.10291666667</v>
      </c>
      <c r="C799" s="28" t="s">
        <v>10</v>
      </c>
      <c r="D799" s="28" t="s">
        <v>441</v>
      </c>
      <c r="E799" s="28" t="s">
        <v>86</v>
      </c>
      <c r="F799" s="28">
        <v>15</v>
      </c>
      <c r="G799" s="28" t="s">
        <v>139</v>
      </c>
      <c r="H799" s="28">
        <v>0</v>
      </c>
      <c r="J799" s="28"/>
    </row>
    <row r="800" spans="1:10" ht="15.75" customHeight="1">
      <c r="A800" s="28">
        <v>19241</v>
      </c>
      <c r="B800" s="91">
        <v>45108.10291666667</v>
      </c>
      <c r="C800" s="28" t="s">
        <v>10</v>
      </c>
      <c r="D800" s="28" t="s">
        <v>441</v>
      </c>
      <c r="E800" s="28" t="s">
        <v>86</v>
      </c>
      <c r="F800" s="28">
        <v>0</v>
      </c>
      <c r="G800" s="28" t="s">
        <v>117</v>
      </c>
      <c r="H800" s="28">
        <v>0</v>
      </c>
      <c r="J800" s="28"/>
    </row>
    <row r="801" spans="1:10" ht="15.75" customHeight="1">
      <c r="A801" s="28">
        <v>19241</v>
      </c>
      <c r="B801" s="91">
        <v>45108.10291666667</v>
      </c>
      <c r="C801" s="28" t="s">
        <v>10</v>
      </c>
      <c r="D801" s="28" t="s">
        <v>441</v>
      </c>
      <c r="E801" s="28" t="s">
        <v>86</v>
      </c>
      <c r="F801" s="28">
        <v>25</v>
      </c>
      <c r="G801" s="28" t="s">
        <v>120</v>
      </c>
      <c r="H801" s="28">
        <v>0</v>
      </c>
      <c r="J801" s="28"/>
    </row>
    <row r="802" spans="1:10" ht="15.75" customHeight="1">
      <c r="A802" s="28">
        <v>19240</v>
      </c>
      <c r="B802" s="91">
        <v>45107.822592592594</v>
      </c>
      <c r="C802" s="28" t="s">
        <v>10</v>
      </c>
      <c r="D802" s="28" t="s">
        <v>442</v>
      </c>
      <c r="E802" s="28" t="s">
        <v>39</v>
      </c>
      <c r="F802" s="28">
        <v>18</v>
      </c>
      <c r="G802" s="28" t="s">
        <v>119</v>
      </c>
      <c r="H802" s="28">
        <v>0</v>
      </c>
      <c r="J802" s="28"/>
    </row>
    <row r="803" spans="1:10" ht="15.75" customHeight="1">
      <c r="A803" s="28">
        <v>19239</v>
      </c>
      <c r="B803" s="91">
        <v>45107.71230324074</v>
      </c>
      <c r="C803" s="28" t="s">
        <v>10</v>
      </c>
      <c r="D803" s="28" t="s">
        <v>443</v>
      </c>
      <c r="E803" s="28" t="s">
        <v>28</v>
      </c>
      <c r="F803" s="28">
        <v>25</v>
      </c>
      <c r="G803" s="28">
        <v>100692</v>
      </c>
      <c r="H803" s="28">
        <v>0</v>
      </c>
      <c r="J803" s="28"/>
    </row>
    <row r="804" spans="1:10" ht="15.75" customHeight="1">
      <c r="A804" s="28">
        <v>19239</v>
      </c>
      <c r="B804" s="91">
        <v>45107.71230324074</v>
      </c>
      <c r="C804" s="28" t="s">
        <v>10</v>
      </c>
      <c r="D804" s="28" t="s">
        <v>443</v>
      </c>
      <c r="E804" s="28" t="s">
        <v>28</v>
      </c>
      <c r="F804" s="28">
        <v>0</v>
      </c>
      <c r="G804" s="28" t="s">
        <v>125</v>
      </c>
      <c r="H804" s="28">
        <v>0</v>
      </c>
      <c r="J804" s="28"/>
    </row>
    <row r="805" spans="1:10" ht="15.75" customHeight="1">
      <c r="A805" s="28">
        <v>19239</v>
      </c>
      <c r="B805" s="91">
        <v>45107.71230324074</v>
      </c>
      <c r="C805" s="28" t="s">
        <v>10</v>
      </c>
      <c r="D805" s="28" t="s">
        <v>443</v>
      </c>
      <c r="E805" s="28" t="s">
        <v>28</v>
      </c>
      <c r="F805" s="28">
        <v>0</v>
      </c>
      <c r="G805" s="28" t="s">
        <v>119</v>
      </c>
      <c r="H805" s="28">
        <v>0</v>
      </c>
      <c r="J805" s="28"/>
    </row>
    <row r="806" spans="1:10" ht="15.75" customHeight="1">
      <c r="A806" s="28">
        <v>19238</v>
      </c>
      <c r="B806" s="91">
        <v>45107.710775462961</v>
      </c>
      <c r="C806" s="28" t="s">
        <v>10</v>
      </c>
      <c r="D806" s="28" t="s">
        <v>444</v>
      </c>
      <c r="E806" s="28" t="s">
        <v>28</v>
      </c>
      <c r="F806" s="28">
        <v>25</v>
      </c>
      <c r="G806" s="28">
        <v>100692</v>
      </c>
      <c r="H806" s="28">
        <v>0</v>
      </c>
      <c r="J806" s="28"/>
    </row>
    <row r="807" spans="1:10" ht="15.75" customHeight="1">
      <c r="A807" s="28">
        <v>19238</v>
      </c>
      <c r="B807" s="91">
        <v>45107.710775462961</v>
      </c>
      <c r="C807" s="28" t="s">
        <v>10</v>
      </c>
      <c r="D807" s="28" t="s">
        <v>444</v>
      </c>
      <c r="E807" s="28" t="s">
        <v>28</v>
      </c>
      <c r="F807" s="28">
        <v>0</v>
      </c>
      <c r="G807" s="28" t="s">
        <v>125</v>
      </c>
      <c r="H807" s="28">
        <v>0</v>
      </c>
      <c r="J807" s="28"/>
    </row>
    <row r="808" spans="1:10" ht="15.75" customHeight="1">
      <c r="A808" s="28">
        <v>19238</v>
      </c>
      <c r="B808" s="91">
        <v>45107.710775462961</v>
      </c>
      <c r="C808" s="28" t="s">
        <v>10</v>
      </c>
      <c r="D808" s="28" t="s">
        <v>444</v>
      </c>
      <c r="E808" s="28" t="s">
        <v>28</v>
      </c>
      <c r="F808" s="28">
        <v>0</v>
      </c>
      <c r="G808" s="28" t="s">
        <v>119</v>
      </c>
      <c r="H808" s="28">
        <v>0</v>
      </c>
      <c r="J808" s="28"/>
    </row>
    <row r="809" spans="1:10" ht="15.75" customHeight="1">
      <c r="A809" s="28">
        <v>19237</v>
      </c>
      <c r="B809" s="91">
        <v>45107.68241898148</v>
      </c>
      <c r="C809" s="28" t="s">
        <v>10</v>
      </c>
      <c r="D809" s="28" t="s">
        <v>445</v>
      </c>
      <c r="E809" s="28" t="s">
        <v>28</v>
      </c>
      <c r="F809" s="28">
        <v>30</v>
      </c>
      <c r="G809" s="28" t="s">
        <v>128</v>
      </c>
      <c r="H809" s="28">
        <v>0</v>
      </c>
      <c r="J809" s="28"/>
    </row>
    <row r="810" spans="1:10" ht="15.75" customHeight="1">
      <c r="A810" s="28">
        <v>19237</v>
      </c>
      <c r="B810" s="91">
        <v>45107.68241898148</v>
      </c>
      <c r="C810" s="28" t="s">
        <v>10</v>
      </c>
      <c r="D810" s="28" t="s">
        <v>445</v>
      </c>
      <c r="E810" s="28" t="s">
        <v>28</v>
      </c>
      <c r="F810" s="28">
        <v>0</v>
      </c>
      <c r="G810" s="28" t="s">
        <v>125</v>
      </c>
      <c r="H810" s="28">
        <v>0</v>
      </c>
      <c r="J810" s="28"/>
    </row>
    <row r="811" spans="1:10" ht="15.75" customHeight="1">
      <c r="A811" s="28">
        <v>19237</v>
      </c>
      <c r="B811" s="91">
        <v>45107.68241898148</v>
      </c>
      <c r="C811" s="28" t="s">
        <v>10</v>
      </c>
      <c r="D811" s="28" t="s">
        <v>445</v>
      </c>
      <c r="E811" s="28" t="s">
        <v>28</v>
      </c>
      <c r="F811" s="28">
        <v>0</v>
      </c>
      <c r="G811" s="28" t="s">
        <v>119</v>
      </c>
      <c r="H811" s="28">
        <v>0</v>
      </c>
      <c r="J811" s="28"/>
    </row>
    <row r="812" spans="1:10" ht="15.75" customHeight="1">
      <c r="A812" s="28">
        <v>19236</v>
      </c>
      <c r="B812" s="91">
        <v>45106.850138888884</v>
      </c>
      <c r="C812" s="28" t="s">
        <v>10</v>
      </c>
      <c r="D812" s="28" t="s">
        <v>446</v>
      </c>
      <c r="E812" s="28" t="s">
        <v>28</v>
      </c>
      <c r="F812" s="28">
        <v>0</v>
      </c>
      <c r="G812" s="28" t="s">
        <v>286</v>
      </c>
      <c r="H812" s="28">
        <v>0</v>
      </c>
      <c r="J812" s="28"/>
    </row>
    <row r="813" spans="1:10" ht="15.75" customHeight="1">
      <c r="A813" s="28">
        <v>19236</v>
      </c>
      <c r="B813" s="91">
        <v>45106.850138888884</v>
      </c>
      <c r="C813" s="28" t="s">
        <v>10</v>
      </c>
      <c r="D813" s="28" t="s">
        <v>446</v>
      </c>
      <c r="E813" s="28" t="s">
        <v>28</v>
      </c>
      <c r="F813" s="28">
        <v>0</v>
      </c>
      <c r="G813" s="28" t="s">
        <v>117</v>
      </c>
      <c r="H813" s="28">
        <v>0</v>
      </c>
      <c r="J813" s="28"/>
    </row>
    <row r="814" spans="1:10" ht="15.75" customHeight="1">
      <c r="A814" s="28">
        <v>19236</v>
      </c>
      <c r="B814" s="91">
        <v>45106.850138888884</v>
      </c>
      <c r="C814" s="28" t="s">
        <v>10</v>
      </c>
      <c r="D814" s="28" t="s">
        <v>446</v>
      </c>
      <c r="E814" s="28" t="s">
        <v>28</v>
      </c>
      <c r="F814" s="28">
        <v>26</v>
      </c>
      <c r="G814" s="28" t="s">
        <v>122</v>
      </c>
      <c r="H814" s="28">
        <v>0</v>
      </c>
      <c r="J814" s="28"/>
    </row>
    <row r="815" spans="1:10" ht="15.75" customHeight="1">
      <c r="A815" s="28">
        <v>19235</v>
      </c>
      <c r="B815" s="91">
        <v>45106.84679398148</v>
      </c>
      <c r="C815" s="28" t="s">
        <v>10</v>
      </c>
      <c r="D815" s="28" t="s">
        <v>447</v>
      </c>
      <c r="E815" s="28" t="s">
        <v>28</v>
      </c>
      <c r="F815" s="28">
        <v>0</v>
      </c>
      <c r="G815" s="28" t="s">
        <v>117</v>
      </c>
      <c r="H815" s="28">
        <v>0</v>
      </c>
      <c r="J815" s="28"/>
    </row>
    <row r="816" spans="1:10" ht="15.75" customHeight="1">
      <c r="A816" s="28">
        <v>19235</v>
      </c>
      <c r="B816" s="91">
        <v>45106.84679398148</v>
      </c>
      <c r="C816" s="28" t="s">
        <v>10</v>
      </c>
      <c r="D816" s="28" t="s">
        <v>447</v>
      </c>
      <c r="E816" s="28" t="s">
        <v>28</v>
      </c>
      <c r="F816" s="28">
        <v>26</v>
      </c>
      <c r="G816" s="28" t="s">
        <v>122</v>
      </c>
      <c r="H816" s="28">
        <v>0</v>
      </c>
      <c r="J816" s="28"/>
    </row>
    <row r="817" spans="1:10" ht="15.75" customHeight="1">
      <c r="A817" s="28">
        <v>19234</v>
      </c>
      <c r="B817" s="91">
        <v>45106.575138888889</v>
      </c>
      <c r="C817" s="28" t="s">
        <v>10</v>
      </c>
      <c r="D817" s="28" t="s">
        <v>448</v>
      </c>
      <c r="E817" s="28" t="s">
        <v>28</v>
      </c>
      <c r="F817" s="28">
        <v>26</v>
      </c>
      <c r="G817" s="28" t="s">
        <v>122</v>
      </c>
      <c r="H817" s="28">
        <v>0</v>
      </c>
      <c r="J817" s="28"/>
    </row>
    <row r="818" spans="1:10" ht="15.75" customHeight="1">
      <c r="A818" s="28">
        <v>19233</v>
      </c>
      <c r="B818" s="91">
        <v>45106.572847222225</v>
      </c>
      <c r="C818" s="28" t="s">
        <v>10</v>
      </c>
      <c r="D818" s="28" t="s">
        <v>449</v>
      </c>
      <c r="E818" s="28" t="s">
        <v>28</v>
      </c>
      <c r="F818" s="28">
        <v>26</v>
      </c>
      <c r="G818" s="28" t="s">
        <v>122</v>
      </c>
      <c r="H818" s="28">
        <v>0</v>
      </c>
      <c r="J818" s="28"/>
    </row>
    <row r="819" spans="1:10" ht="15.75" customHeight="1">
      <c r="A819" s="28">
        <v>19232</v>
      </c>
      <c r="B819" s="91">
        <v>45106.511111111111</v>
      </c>
      <c r="C819" s="28" t="s">
        <v>10</v>
      </c>
      <c r="D819" s="28" t="s">
        <v>450</v>
      </c>
      <c r="E819" s="28" t="s">
        <v>28</v>
      </c>
      <c r="F819" s="28">
        <v>25</v>
      </c>
      <c r="G819" s="28">
        <v>100692</v>
      </c>
      <c r="H819" s="28">
        <v>0</v>
      </c>
      <c r="J819" s="28"/>
    </row>
    <row r="820" spans="1:10" ht="15.75" customHeight="1">
      <c r="A820" s="28">
        <v>19232</v>
      </c>
      <c r="B820" s="91">
        <v>45106.511111111111</v>
      </c>
      <c r="C820" s="28" t="s">
        <v>10</v>
      </c>
      <c r="D820" s="28" t="s">
        <v>450</v>
      </c>
      <c r="E820" s="28" t="s">
        <v>28</v>
      </c>
      <c r="F820" s="28">
        <v>0</v>
      </c>
      <c r="G820" s="28" t="s">
        <v>125</v>
      </c>
      <c r="H820" s="28">
        <v>0</v>
      </c>
      <c r="J820" s="28"/>
    </row>
    <row r="821" spans="1:10" ht="15.75" customHeight="1">
      <c r="A821" s="28">
        <v>19232</v>
      </c>
      <c r="B821" s="91">
        <v>45106.511111111111</v>
      </c>
      <c r="C821" s="28" t="s">
        <v>10</v>
      </c>
      <c r="D821" s="28" t="s">
        <v>450</v>
      </c>
      <c r="E821" s="28" t="s">
        <v>28</v>
      </c>
      <c r="F821" s="28">
        <v>0</v>
      </c>
      <c r="G821" s="28" t="s">
        <v>119</v>
      </c>
      <c r="H821" s="28">
        <v>0</v>
      </c>
      <c r="J821" s="28"/>
    </row>
    <row r="822" spans="1:10" ht="15.75" customHeight="1">
      <c r="A822" s="28">
        <v>19231</v>
      </c>
      <c r="B822" s="91">
        <v>45106.005740740744</v>
      </c>
      <c r="C822" s="28" t="s">
        <v>10</v>
      </c>
      <c r="D822" s="28" t="s">
        <v>451</v>
      </c>
      <c r="E822" s="28" t="s">
        <v>59</v>
      </c>
      <c r="F822" s="28">
        <v>25</v>
      </c>
      <c r="G822" s="28">
        <v>100692</v>
      </c>
      <c r="H822" s="28">
        <v>0</v>
      </c>
      <c r="J822" s="28"/>
    </row>
    <row r="823" spans="1:10" ht="15.75" customHeight="1">
      <c r="A823" s="28">
        <v>19231</v>
      </c>
      <c r="B823" s="91">
        <v>45106.005740740744</v>
      </c>
      <c r="C823" s="28" t="s">
        <v>10</v>
      </c>
      <c r="D823" s="28" t="s">
        <v>451</v>
      </c>
      <c r="E823" s="28" t="s">
        <v>59</v>
      </c>
      <c r="F823" s="28">
        <v>0</v>
      </c>
      <c r="G823" s="28" t="s">
        <v>125</v>
      </c>
      <c r="H823" s="28">
        <v>0</v>
      </c>
      <c r="J823" s="28"/>
    </row>
    <row r="824" spans="1:10" ht="15.75" customHeight="1">
      <c r="A824" s="28">
        <v>19231</v>
      </c>
      <c r="B824" s="91">
        <v>45106.005740740744</v>
      </c>
      <c r="C824" s="28" t="s">
        <v>10</v>
      </c>
      <c r="D824" s="28" t="s">
        <v>451</v>
      </c>
      <c r="E824" s="28" t="s">
        <v>59</v>
      </c>
      <c r="F824" s="28">
        <v>0</v>
      </c>
      <c r="G824" s="28" t="s">
        <v>119</v>
      </c>
      <c r="H824" s="28">
        <v>0</v>
      </c>
      <c r="J824" s="28"/>
    </row>
    <row r="825" spans="1:10" ht="15.75" customHeight="1">
      <c r="A825" s="28">
        <v>19231</v>
      </c>
      <c r="B825" s="91">
        <v>45106.005740740744</v>
      </c>
      <c r="C825" s="28" t="s">
        <v>10</v>
      </c>
      <c r="D825" s="28" t="s">
        <v>451</v>
      </c>
      <c r="E825" s="28" t="s">
        <v>59</v>
      </c>
      <c r="F825" s="28">
        <v>0</v>
      </c>
      <c r="G825" s="28" t="s">
        <v>117</v>
      </c>
      <c r="H825" s="28">
        <v>0</v>
      </c>
      <c r="J825" s="28"/>
    </row>
    <row r="826" spans="1:10" ht="15.75" customHeight="1">
      <c r="A826" s="28">
        <v>19230</v>
      </c>
      <c r="B826" s="91">
        <v>45105.967511574076</v>
      </c>
      <c r="C826" s="28" t="s">
        <v>10</v>
      </c>
      <c r="D826" s="28" t="s">
        <v>452</v>
      </c>
      <c r="E826" s="28" t="s">
        <v>28</v>
      </c>
      <c r="F826" s="28">
        <v>0</v>
      </c>
      <c r="G826" s="28" t="s">
        <v>117</v>
      </c>
      <c r="H826" s="28">
        <v>0</v>
      </c>
      <c r="J826" s="28"/>
    </row>
    <row r="827" spans="1:10" ht="15.75" customHeight="1">
      <c r="A827" s="28">
        <v>19229</v>
      </c>
      <c r="B827" s="91">
        <v>45105.965983796297</v>
      </c>
      <c r="C827" s="28" t="s">
        <v>10</v>
      </c>
      <c r="D827" s="28" t="s">
        <v>452</v>
      </c>
      <c r="E827" s="28" t="s">
        <v>28</v>
      </c>
      <c r="F827" s="28">
        <v>15</v>
      </c>
      <c r="G827" s="28" t="s">
        <v>125</v>
      </c>
      <c r="H827" s="28">
        <v>0</v>
      </c>
      <c r="J827" s="28"/>
    </row>
    <row r="828" spans="1:10" ht="15.75" customHeight="1">
      <c r="A828" s="28">
        <v>19229</v>
      </c>
      <c r="B828" s="91">
        <v>45105.965983796297</v>
      </c>
      <c r="C828" s="28" t="s">
        <v>10</v>
      </c>
      <c r="D828" s="28" t="s">
        <v>452</v>
      </c>
      <c r="E828" s="28" t="s">
        <v>28</v>
      </c>
      <c r="F828" s="28">
        <v>28</v>
      </c>
      <c r="G828" s="28" t="s">
        <v>143</v>
      </c>
      <c r="H828" s="28">
        <v>0</v>
      </c>
      <c r="J828" s="28"/>
    </row>
    <row r="829" spans="1:10" ht="15.75" customHeight="1">
      <c r="A829" s="28">
        <v>19229</v>
      </c>
      <c r="B829" s="91">
        <v>45105.965983796297</v>
      </c>
      <c r="C829" s="28" t="s">
        <v>10</v>
      </c>
      <c r="D829" s="28" t="s">
        <v>452</v>
      </c>
      <c r="E829" s="28" t="s">
        <v>28</v>
      </c>
      <c r="F829" s="28">
        <v>22</v>
      </c>
      <c r="G829" s="28" t="s">
        <v>137</v>
      </c>
      <c r="H829" s="28">
        <v>0</v>
      </c>
      <c r="J829" s="28"/>
    </row>
    <row r="830" spans="1:10" ht="15.75" customHeight="1">
      <c r="A830" s="28">
        <v>19228</v>
      </c>
      <c r="B830" s="91">
        <v>45105.955590277779</v>
      </c>
      <c r="C830" s="28" t="s">
        <v>10</v>
      </c>
      <c r="D830" s="28" t="s">
        <v>453</v>
      </c>
      <c r="E830" s="28" t="s">
        <v>39</v>
      </c>
      <c r="F830" s="28">
        <v>25</v>
      </c>
      <c r="G830" s="28">
        <v>100692</v>
      </c>
      <c r="H830" s="28">
        <v>0</v>
      </c>
      <c r="J830" s="28"/>
    </row>
    <row r="831" spans="1:10" ht="15.75" customHeight="1">
      <c r="A831" s="28">
        <v>19228</v>
      </c>
      <c r="B831" s="91">
        <v>45105.955590277779</v>
      </c>
      <c r="C831" s="28" t="s">
        <v>10</v>
      </c>
      <c r="D831" s="28" t="s">
        <v>453</v>
      </c>
      <c r="E831" s="28" t="s">
        <v>39</v>
      </c>
      <c r="F831" s="28">
        <v>0</v>
      </c>
      <c r="G831" s="28" t="s">
        <v>125</v>
      </c>
      <c r="H831" s="28">
        <v>0</v>
      </c>
      <c r="J831" s="28"/>
    </row>
    <row r="832" spans="1:10" ht="15.75" customHeight="1">
      <c r="A832" s="28">
        <v>19228</v>
      </c>
      <c r="B832" s="91">
        <v>45105.955590277779</v>
      </c>
      <c r="C832" s="28" t="s">
        <v>10</v>
      </c>
      <c r="D832" s="28" t="s">
        <v>453</v>
      </c>
      <c r="E832" s="28" t="s">
        <v>39</v>
      </c>
      <c r="F832" s="28">
        <v>0</v>
      </c>
      <c r="G832" s="28" t="s">
        <v>119</v>
      </c>
      <c r="H832" s="28">
        <v>0</v>
      </c>
      <c r="J832" s="28"/>
    </row>
    <row r="833" spans="1:10" ht="15.75" customHeight="1">
      <c r="A833" s="28">
        <v>19227</v>
      </c>
      <c r="B833" s="91">
        <v>45105.823136574079</v>
      </c>
      <c r="C833" s="28" t="s">
        <v>10</v>
      </c>
      <c r="D833" s="28" t="s">
        <v>454</v>
      </c>
      <c r="E833" s="28" t="s">
        <v>28</v>
      </c>
      <c r="F833" s="28">
        <v>28</v>
      </c>
      <c r="G833" s="28" t="s">
        <v>143</v>
      </c>
      <c r="H833" s="28">
        <v>0</v>
      </c>
      <c r="J833" s="28"/>
    </row>
    <row r="834" spans="1:10" ht="15.75" customHeight="1">
      <c r="A834" s="28">
        <v>19227</v>
      </c>
      <c r="B834" s="91">
        <v>45105.823136574079</v>
      </c>
      <c r="C834" s="28" t="s">
        <v>10</v>
      </c>
      <c r="D834" s="28" t="s">
        <v>454</v>
      </c>
      <c r="E834" s="28" t="s">
        <v>28</v>
      </c>
      <c r="F834" s="28">
        <v>25</v>
      </c>
      <c r="G834" s="28" t="s">
        <v>118</v>
      </c>
      <c r="H834" s="28">
        <v>0</v>
      </c>
      <c r="J834" s="28"/>
    </row>
    <row r="835" spans="1:10" ht="15.75" customHeight="1">
      <c r="A835" s="28">
        <v>19227</v>
      </c>
      <c r="B835" s="91">
        <v>45105.823136574079</v>
      </c>
      <c r="C835" s="28" t="s">
        <v>10</v>
      </c>
      <c r="D835" s="28" t="s">
        <v>454</v>
      </c>
      <c r="E835" s="28" t="s">
        <v>28</v>
      </c>
      <c r="F835" s="28">
        <v>0</v>
      </c>
      <c r="G835" s="28" t="s">
        <v>286</v>
      </c>
      <c r="H835" s="28">
        <v>0</v>
      </c>
      <c r="J835" s="28"/>
    </row>
    <row r="836" spans="1:10" ht="15.75" customHeight="1">
      <c r="A836" s="28">
        <v>19227</v>
      </c>
      <c r="B836" s="91">
        <v>45105.823136574079</v>
      </c>
      <c r="C836" s="28" t="s">
        <v>10</v>
      </c>
      <c r="D836" s="28" t="s">
        <v>454</v>
      </c>
      <c r="E836" s="28" t="s">
        <v>28</v>
      </c>
      <c r="F836" s="28">
        <v>0</v>
      </c>
      <c r="G836" s="28" t="s">
        <v>117</v>
      </c>
      <c r="H836" s="28">
        <v>0</v>
      </c>
      <c r="J836" s="28"/>
    </row>
    <row r="837" spans="1:10" ht="15.75" customHeight="1">
      <c r="A837" s="28">
        <v>19226</v>
      </c>
      <c r="B837" s="91">
        <v>45105.58965277778</v>
      </c>
      <c r="C837" s="28" t="s">
        <v>10</v>
      </c>
      <c r="D837" s="28" t="s">
        <v>455</v>
      </c>
      <c r="E837" s="28" t="s">
        <v>28</v>
      </c>
      <c r="F837" s="28">
        <v>0</v>
      </c>
      <c r="G837" s="28" t="s">
        <v>117</v>
      </c>
      <c r="H837" s="28">
        <v>0</v>
      </c>
      <c r="J837" s="28"/>
    </row>
    <row r="838" spans="1:10" ht="15.75" customHeight="1">
      <c r="A838" s="28">
        <v>19225</v>
      </c>
      <c r="B838" s="91">
        <v>45105.588310185187</v>
      </c>
      <c r="C838" s="28" t="s">
        <v>8</v>
      </c>
      <c r="D838" s="28" t="s">
        <v>455</v>
      </c>
      <c r="E838" s="28" t="s">
        <v>28</v>
      </c>
      <c r="F838" s="28">
        <v>25</v>
      </c>
      <c r="G838" s="28">
        <v>100692</v>
      </c>
      <c r="H838" s="28">
        <v>0</v>
      </c>
      <c r="J838" s="28"/>
    </row>
    <row r="839" spans="1:10" ht="15.75" customHeight="1">
      <c r="A839" s="28">
        <v>19225</v>
      </c>
      <c r="B839" s="91">
        <v>45105.588310185187</v>
      </c>
      <c r="C839" s="28" t="s">
        <v>8</v>
      </c>
      <c r="D839" s="28" t="s">
        <v>455</v>
      </c>
      <c r="E839" s="28" t="s">
        <v>28</v>
      </c>
      <c r="F839" s="28">
        <v>0</v>
      </c>
      <c r="G839" s="28" t="s">
        <v>125</v>
      </c>
      <c r="H839" s="28">
        <v>0</v>
      </c>
      <c r="J839" s="28"/>
    </row>
    <row r="840" spans="1:10" ht="15.75" customHeight="1">
      <c r="A840" s="28">
        <v>19225</v>
      </c>
      <c r="B840" s="91">
        <v>45105.588310185187</v>
      </c>
      <c r="C840" s="28" t="s">
        <v>8</v>
      </c>
      <c r="D840" s="28" t="s">
        <v>455</v>
      </c>
      <c r="E840" s="28" t="s">
        <v>28</v>
      </c>
      <c r="F840" s="28">
        <v>0</v>
      </c>
      <c r="G840" s="28" t="s">
        <v>119</v>
      </c>
      <c r="H840" s="28">
        <v>0</v>
      </c>
      <c r="J840" s="28"/>
    </row>
    <row r="841" spans="1:10" ht="15.75" customHeight="1">
      <c r="A841" s="28">
        <v>19225</v>
      </c>
      <c r="B841" s="91">
        <v>45105.588310185187</v>
      </c>
      <c r="C841" s="28" t="s">
        <v>8</v>
      </c>
      <c r="D841" s="28" t="s">
        <v>455</v>
      </c>
      <c r="E841" s="28" t="s">
        <v>28</v>
      </c>
      <c r="F841" s="28">
        <v>56</v>
      </c>
      <c r="G841" s="28" t="s">
        <v>143</v>
      </c>
      <c r="H841" s="28">
        <v>0</v>
      </c>
      <c r="J841" s="28"/>
    </row>
    <row r="842" spans="1:10" ht="15.75" customHeight="1">
      <c r="A842" s="28">
        <v>19224</v>
      </c>
      <c r="B842" s="91">
        <v>45105.579618055555</v>
      </c>
      <c r="C842" s="28" t="s">
        <v>10</v>
      </c>
      <c r="D842" s="28" t="s">
        <v>456</v>
      </c>
      <c r="E842" s="28" t="s">
        <v>28</v>
      </c>
      <c r="F842" s="28">
        <v>0</v>
      </c>
      <c r="G842" s="28" t="s">
        <v>117</v>
      </c>
      <c r="H842" s="28">
        <v>0</v>
      </c>
      <c r="J842" s="28"/>
    </row>
    <row r="843" spans="1:10" ht="15.75" customHeight="1">
      <c r="A843" s="28">
        <v>19224</v>
      </c>
      <c r="B843" s="91">
        <v>45105.579618055555</v>
      </c>
      <c r="C843" s="28" t="s">
        <v>10</v>
      </c>
      <c r="D843" s="28" t="s">
        <v>456</v>
      </c>
      <c r="E843" s="28" t="s">
        <v>28</v>
      </c>
      <c r="F843" s="28">
        <v>36</v>
      </c>
      <c r="G843" s="28" t="s">
        <v>457</v>
      </c>
      <c r="H843" s="28">
        <v>0</v>
      </c>
      <c r="J843" s="28"/>
    </row>
    <row r="844" spans="1:10" ht="15.75" customHeight="1">
      <c r="A844" s="28">
        <v>19224</v>
      </c>
      <c r="B844" s="91">
        <v>45105.579618055555</v>
      </c>
      <c r="C844" s="28" t="s">
        <v>10</v>
      </c>
      <c r="D844" s="28" t="s">
        <v>456</v>
      </c>
      <c r="E844" s="28" t="s">
        <v>28</v>
      </c>
      <c r="F844" s="28">
        <v>20</v>
      </c>
      <c r="G844" s="28" t="s">
        <v>205</v>
      </c>
      <c r="H844" s="28">
        <v>0</v>
      </c>
      <c r="J844" s="28"/>
    </row>
    <row r="845" spans="1:10" ht="15.75" customHeight="1">
      <c r="A845" s="28">
        <v>19224</v>
      </c>
      <c r="B845" s="91">
        <v>45105.579618055555</v>
      </c>
      <c r="C845" s="28" t="s">
        <v>10</v>
      </c>
      <c r="D845" s="28" t="s">
        <v>456</v>
      </c>
      <c r="E845" s="28" t="s">
        <v>28</v>
      </c>
      <c r="F845" s="28">
        <v>0</v>
      </c>
      <c r="G845" s="28" t="s">
        <v>125</v>
      </c>
      <c r="H845" s="28">
        <v>0</v>
      </c>
      <c r="J845" s="28"/>
    </row>
    <row r="846" spans="1:10" ht="15.75" customHeight="1">
      <c r="A846" s="28">
        <v>19224</v>
      </c>
      <c r="B846" s="91">
        <v>45105.579618055555</v>
      </c>
      <c r="C846" s="28" t="s">
        <v>10</v>
      </c>
      <c r="D846" s="28" t="s">
        <v>456</v>
      </c>
      <c r="E846" s="28" t="s">
        <v>28</v>
      </c>
      <c r="F846" s="28">
        <v>28</v>
      </c>
      <c r="G846" s="28" t="s">
        <v>143</v>
      </c>
      <c r="H846" s="28">
        <v>0</v>
      </c>
      <c r="J846" s="28"/>
    </row>
    <row r="847" spans="1:10" ht="15.75" customHeight="1">
      <c r="A847" s="28">
        <v>19224</v>
      </c>
      <c r="B847" s="91">
        <v>45105.579618055555</v>
      </c>
      <c r="C847" s="28" t="s">
        <v>10</v>
      </c>
      <c r="D847" s="28" t="s">
        <v>456</v>
      </c>
      <c r="E847" s="28" t="s">
        <v>28</v>
      </c>
      <c r="F847" s="28">
        <v>50</v>
      </c>
      <c r="G847" s="28">
        <v>100692</v>
      </c>
      <c r="H847" s="28">
        <v>0</v>
      </c>
      <c r="J847" s="28"/>
    </row>
    <row r="848" spans="1:10" ht="15.75" customHeight="1">
      <c r="A848" s="28">
        <v>19224</v>
      </c>
      <c r="B848" s="91">
        <v>45105.579618055555</v>
      </c>
      <c r="C848" s="28" t="s">
        <v>10</v>
      </c>
      <c r="D848" s="28" t="s">
        <v>456</v>
      </c>
      <c r="E848" s="28" t="s">
        <v>28</v>
      </c>
      <c r="F848" s="28">
        <v>0</v>
      </c>
      <c r="G848" s="28" t="s">
        <v>125</v>
      </c>
      <c r="H848" s="28">
        <v>0</v>
      </c>
      <c r="J848" s="28"/>
    </row>
    <row r="849" spans="1:10" ht="15.75" customHeight="1">
      <c r="A849" s="28">
        <v>19224</v>
      </c>
      <c r="B849" s="91">
        <v>45105.579618055555</v>
      </c>
      <c r="C849" s="28" t="s">
        <v>10</v>
      </c>
      <c r="D849" s="28" t="s">
        <v>456</v>
      </c>
      <c r="E849" s="28" t="s">
        <v>28</v>
      </c>
      <c r="F849" s="28">
        <v>0</v>
      </c>
      <c r="G849" s="28" t="s">
        <v>119</v>
      </c>
      <c r="H849" s="28">
        <v>0</v>
      </c>
      <c r="J849" s="28"/>
    </row>
    <row r="850" spans="1:10" ht="15.75" customHeight="1">
      <c r="A850" s="28">
        <v>19223</v>
      </c>
      <c r="B850" s="91">
        <v>45105.515798611115</v>
      </c>
      <c r="C850" s="28" t="s">
        <v>10</v>
      </c>
      <c r="D850" s="28" t="s">
        <v>458</v>
      </c>
      <c r="E850" s="28" t="s">
        <v>28</v>
      </c>
      <c r="F850" s="28">
        <v>25</v>
      </c>
      <c r="G850" s="28">
        <v>100692</v>
      </c>
      <c r="H850" s="28">
        <v>0</v>
      </c>
      <c r="J850" s="28"/>
    </row>
    <row r="851" spans="1:10" ht="15.75" customHeight="1">
      <c r="A851" s="28">
        <v>19223</v>
      </c>
      <c r="B851" s="91">
        <v>45105.515798611115</v>
      </c>
      <c r="C851" s="28" t="s">
        <v>10</v>
      </c>
      <c r="D851" s="28" t="s">
        <v>458</v>
      </c>
      <c r="E851" s="28" t="s">
        <v>28</v>
      </c>
      <c r="F851" s="28">
        <v>0</v>
      </c>
      <c r="G851" s="28" t="s">
        <v>125</v>
      </c>
      <c r="H851" s="28">
        <v>0</v>
      </c>
      <c r="J851" s="28"/>
    </row>
    <row r="852" spans="1:10" ht="15.75" customHeight="1">
      <c r="A852" s="28">
        <v>19223</v>
      </c>
      <c r="B852" s="91">
        <v>45105.515798611115</v>
      </c>
      <c r="C852" s="28" t="s">
        <v>10</v>
      </c>
      <c r="D852" s="28" t="s">
        <v>458</v>
      </c>
      <c r="E852" s="28" t="s">
        <v>28</v>
      </c>
      <c r="F852" s="28">
        <v>0</v>
      </c>
      <c r="G852" s="28" t="s">
        <v>119</v>
      </c>
      <c r="H852" s="28">
        <v>0</v>
      </c>
      <c r="J852" s="28"/>
    </row>
    <row r="853" spans="1:10" ht="15.75" customHeight="1">
      <c r="A853" s="28">
        <v>19222</v>
      </c>
      <c r="B853" s="91">
        <v>45105.155416666668</v>
      </c>
      <c r="C853" s="28" t="s">
        <v>10</v>
      </c>
      <c r="D853" s="28" t="s">
        <v>459</v>
      </c>
      <c r="E853" s="28" t="s">
        <v>34</v>
      </c>
      <c r="F853" s="28">
        <v>20</v>
      </c>
      <c r="G853" s="28" t="s">
        <v>148</v>
      </c>
      <c r="H853" s="28">
        <v>0</v>
      </c>
      <c r="J853" s="28"/>
    </row>
    <row r="854" spans="1:10" ht="15.75" customHeight="1">
      <c r="A854" s="28">
        <v>19221</v>
      </c>
      <c r="B854" s="91">
        <v>45105.058738425927</v>
      </c>
      <c r="C854" s="28" t="s">
        <v>52</v>
      </c>
      <c r="D854" s="28" t="s">
        <v>460</v>
      </c>
      <c r="E854" s="28" t="s">
        <v>28</v>
      </c>
      <c r="F854" s="28">
        <v>15</v>
      </c>
      <c r="G854" s="28" t="s">
        <v>125</v>
      </c>
      <c r="H854" s="28">
        <v>0</v>
      </c>
      <c r="J854" s="28"/>
    </row>
    <row r="855" spans="1:10" ht="15.75" customHeight="1">
      <c r="A855" s="28">
        <v>19220</v>
      </c>
      <c r="B855" s="91">
        <v>45104.862615740742</v>
      </c>
      <c r="C855" s="28" t="s">
        <v>10</v>
      </c>
      <c r="D855" s="28" t="s">
        <v>461</v>
      </c>
      <c r="E855" s="28" t="s">
        <v>28</v>
      </c>
      <c r="F855" s="28">
        <v>25</v>
      </c>
      <c r="G855" s="28">
        <v>100692</v>
      </c>
      <c r="H855" s="28">
        <v>0</v>
      </c>
      <c r="J855" s="28"/>
    </row>
    <row r="856" spans="1:10" ht="15.75" customHeight="1">
      <c r="A856" s="28">
        <v>19220</v>
      </c>
      <c r="B856" s="91">
        <v>45104.862615740742</v>
      </c>
      <c r="C856" s="28" t="s">
        <v>10</v>
      </c>
      <c r="D856" s="28" t="s">
        <v>461</v>
      </c>
      <c r="E856" s="28" t="s">
        <v>28</v>
      </c>
      <c r="F856" s="28">
        <v>0</v>
      </c>
      <c r="G856" s="28" t="s">
        <v>125</v>
      </c>
      <c r="H856" s="28">
        <v>0</v>
      </c>
      <c r="J856" s="28"/>
    </row>
    <row r="857" spans="1:10" ht="15.75" customHeight="1">
      <c r="A857" s="28">
        <v>19220</v>
      </c>
      <c r="B857" s="91">
        <v>45104.862615740742</v>
      </c>
      <c r="C857" s="28" t="s">
        <v>10</v>
      </c>
      <c r="D857" s="28" t="s">
        <v>461</v>
      </c>
      <c r="E857" s="28" t="s">
        <v>28</v>
      </c>
      <c r="F857" s="28">
        <v>0</v>
      </c>
      <c r="G857" s="28" t="s">
        <v>119</v>
      </c>
      <c r="H857" s="28">
        <v>0</v>
      </c>
      <c r="J857" s="28"/>
    </row>
    <row r="858" spans="1:10" ht="15.75" customHeight="1">
      <c r="A858" s="28">
        <v>19219</v>
      </c>
      <c r="B858" s="91">
        <v>45104.830231481479</v>
      </c>
      <c r="C858" s="28" t="s">
        <v>10</v>
      </c>
      <c r="D858" s="28" t="s">
        <v>462</v>
      </c>
      <c r="E858" s="28" t="s">
        <v>28</v>
      </c>
      <c r="F858" s="28">
        <v>18</v>
      </c>
      <c r="G858" s="28" t="s">
        <v>119</v>
      </c>
      <c r="H858" s="28">
        <v>0</v>
      </c>
      <c r="J858" s="28"/>
    </row>
    <row r="859" spans="1:10" ht="15.75" customHeight="1">
      <c r="A859" s="28">
        <v>19218</v>
      </c>
      <c r="B859" s="91">
        <v>45104.743321759262</v>
      </c>
      <c r="C859" s="28" t="s">
        <v>10</v>
      </c>
      <c r="D859" s="28" t="s">
        <v>463</v>
      </c>
      <c r="E859" s="28" t="s">
        <v>28</v>
      </c>
      <c r="F859" s="28">
        <v>25</v>
      </c>
      <c r="G859" s="28">
        <v>100692</v>
      </c>
      <c r="H859" s="28">
        <v>0</v>
      </c>
      <c r="J859" s="28"/>
    </row>
    <row r="860" spans="1:10" ht="15.75" customHeight="1">
      <c r="A860" s="28">
        <v>19218</v>
      </c>
      <c r="B860" s="91">
        <v>45104.743321759262</v>
      </c>
      <c r="C860" s="28" t="s">
        <v>10</v>
      </c>
      <c r="D860" s="28" t="s">
        <v>463</v>
      </c>
      <c r="E860" s="28" t="s">
        <v>28</v>
      </c>
      <c r="F860" s="28">
        <v>0</v>
      </c>
      <c r="G860" s="28" t="s">
        <v>125</v>
      </c>
      <c r="H860" s="28">
        <v>0</v>
      </c>
      <c r="J860" s="28"/>
    </row>
    <row r="861" spans="1:10" ht="15.75" customHeight="1">
      <c r="A861" s="28">
        <v>19218</v>
      </c>
      <c r="B861" s="91">
        <v>45104.743321759262</v>
      </c>
      <c r="C861" s="28" t="s">
        <v>10</v>
      </c>
      <c r="D861" s="28" t="s">
        <v>463</v>
      </c>
      <c r="E861" s="28" t="s">
        <v>28</v>
      </c>
      <c r="F861" s="28">
        <v>0</v>
      </c>
      <c r="G861" s="28" t="s">
        <v>119</v>
      </c>
      <c r="H861" s="28">
        <v>0</v>
      </c>
      <c r="J861" s="28"/>
    </row>
    <row r="862" spans="1:10" ht="15.75" customHeight="1">
      <c r="A862" s="28">
        <v>19218</v>
      </c>
      <c r="B862" s="91">
        <v>45104.743321759262</v>
      </c>
      <c r="C862" s="28" t="s">
        <v>10</v>
      </c>
      <c r="D862" s="28" t="s">
        <v>463</v>
      </c>
      <c r="E862" s="28" t="s">
        <v>28</v>
      </c>
      <c r="F862" s="28">
        <v>0</v>
      </c>
      <c r="G862" s="28" t="s">
        <v>117</v>
      </c>
      <c r="H862" s="28">
        <v>0</v>
      </c>
      <c r="J862" s="28"/>
    </row>
    <row r="863" spans="1:10" ht="15.75" customHeight="1">
      <c r="A863" s="28">
        <v>19217</v>
      </c>
      <c r="B863" s="91">
        <v>45104.729108796295</v>
      </c>
      <c r="C863" s="28" t="s">
        <v>10</v>
      </c>
      <c r="D863" s="28" t="s">
        <v>464</v>
      </c>
      <c r="E863" s="28" t="s">
        <v>28</v>
      </c>
      <c r="F863" s="28">
        <v>35</v>
      </c>
      <c r="G863" s="28" t="s">
        <v>124</v>
      </c>
      <c r="H863" s="28">
        <v>0</v>
      </c>
      <c r="J863" s="28"/>
    </row>
    <row r="864" spans="1:10" ht="15.75" customHeight="1">
      <c r="A864" s="28">
        <v>19217</v>
      </c>
      <c r="B864" s="91">
        <v>45104.729108796295</v>
      </c>
      <c r="C864" s="28" t="s">
        <v>10</v>
      </c>
      <c r="D864" s="28" t="s">
        <v>464</v>
      </c>
      <c r="E864" s="28" t="s">
        <v>28</v>
      </c>
      <c r="F864" s="28">
        <v>0</v>
      </c>
      <c r="G864" s="28" t="s">
        <v>125</v>
      </c>
      <c r="H864" s="28">
        <v>0</v>
      </c>
      <c r="J864" s="28"/>
    </row>
    <row r="865" spans="1:10" ht="15.75" customHeight="1">
      <c r="A865" s="28">
        <v>19217</v>
      </c>
      <c r="B865" s="91">
        <v>45104.729108796295</v>
      </c>
      <c r="C865" s="28" t="s">
        <v>10</v>
      </c>
      <c r="D865" s="28" t="s">
        <v>464</v>
      </c>
      <c r="E865" s="28" t="s">
        <v>28</v>
      </c>
      <c r="F865" s="28">
        <v>0</v>
      </c>
      <c r="G865" s="28" t="s">
        <v>119</v>
      </c>
      <c r="H865" s="28">
        <v>0</v>
      </c>
      <c r="J865" s="28"/>
    </row>
    <row r="866" spans="1:10" ht="15.75" customHeight="1">
      <c r="A866" s="28">
        <v>19217</v>
      </c>
      <c r="B866" s="91">
        <v>45104.729108796295</v>
      </c>
      <c r="C866" s="28" t="s">
        <v>10</v>
      </c>
      <c r="D866" s="28" t="s">
        <v>464</v>
      </c>
      <c r="E866" s="28" t="s">
        <v>28</v>
      </c>
      <c r="F866" s="28">
        <v>0</v>
      </c>
      <c r="G866" s="28" t="s">
        <v>121</v>
      </c>
      <c r="H866" s="28">
        <v>0</v>
      </c>
      <c r="J866" s="28"/>
    </row>
    <row r="867" spans="1:10" ht="15.75" customHeight="1">
      <c r="A867" s="28">
        <v>19216</v>
      </c>
      <c r="B867" s="91">
        <v>45104.61100694444</v>
      </c>
      <c r="C867" s="28" t="s">
        <v>16</v>
      </c>
      <c r="D867" s="28" t="s">
        <v>465</v>
      </c>
      <c r="E867" s="28" t="s">
        <v>28</v>
      </c>
      <c r="F867" s="28">
        <v>26</v>
      </c>
      <c r="G867" s="28" t="s">
        <v>122</v>
      </c>
      <c r="H867" s="28">
        <v>0</v>
      </c>
      <c r="J867" s="28"/>
    </row>
    <row r="868" spans="1:10" ht="15.75" customHeight="1">
      <c r="A868" s="28">
        <v>19215</v>
      </c>
      <c r="B868" s="91">
        <v>45104.46774305556</v>
      </c>
      <c r="C868" s="28" t="s">
        <v>10</v>
      </c>
      <c r="D868" s="28" t="s">
        <v>466</v>
      </c>
      <c r="E868" s="28" t="s">
        <v>28</v>
      </c>
      <c r="F868" s="28">
        <v>25</v>
      </c>
      <c r="G868" s="28">
        <v>100692</v>
      </c>
      <c r="H868" s="28">
        <v>0</v>
      </c>
      <c r="J868" s="28"/>
    </row>
    <row r="869" spans="1:10" ht="15.75" customHeight="1">
      <c r="A869" s="28">
        <v>19215</v>
      </c>
      <c r="B869" s="91">
        <v>45104.46774305556</v>
      </c>
      <c r="C869" s="28" t="s">
        <v>10</v>
      </c>
      <c r="D869" s="28" t="s">
        <v>466</v>
      </c>
      <c r="E869" s="28" t="s">
        <v>28</v>
      </c>
      <c r="F869" s="28">
        <v>0</v>
      </c>
      <c r="G869" s="28" t="s">
        <v>125</v>
      </c>
      <c r="H869" s="28">
        <v>0</v>
      </c>
      <c r="J869" s="28"/>
    </row>
    <row r="870" spans="1:10" ht="15.75" customHeight="1">
      <c r="A870" s="28">
        <v>19215</v>
      </c>
      <c r="B870" s="91">
        <v>45104.46774305556</v>
      </c>
      <c r="C870" s="28" t="s">
        <v>10</v>
      </c>
      <c r="D870" s="28" t="s">
        <v>466</v>
      </c>
      <c r="E870" s="28" t="s">
        <v>28</v>
      </c>
      <c r="F870" s="28">
        <v>0</v>
      </c>
      <c r="G870" s="28" t="s">
        <v>119</v>
      </c>
      <c r="H870" s="28">
        <v>0</v>
      </c>
      <c r="J870" s="28"/>
    </row>
    <row r="871" spans="1:10" ht="15.75" customHeight="1">
      <c r="A871" s="28">
        <v>19215</v>
      </c>
      <c r="B871" s="91">
        <v>45104.46774305556</v>
      </c>
      <c r="C871" s="28" t="s">
        <v>10</v>
      </c>
      <c r="D871" s="28" t="s">
        <v>466</v>
      </c>
      <c r="E871" s="28" t="s">
        <v>28</v>
      </c>
      <c r="F871" s="28">
        <v>28</v>
      </c>
      <c r="G871" s="28" t="s">
        <v>143</v>
      </c>
      <c r="H871" s="28">
        <v>0</v>
      </c>
      <c r="J871" s="28"/>
    </row>
    <row r="872" spans="1:10" ht="15.75" customHeight="1">
      <c r="A872" s="28">
        <v>19214</v>
      </c>
      <c r="B872" s="91">
        <v>45104.141932870371</v>
      </c>
      <c r="C872" s="28" t="s">
        <v>10</v>
      </c>
      <c r="D872" s="28" t="s">
        <v>467</v>
      </c>
      <c r="E872" s="28" t="s">
        <v>28</v>
      </c>
      <c r="F872" s="28">
        <v>25</v>
      </c>
      <c r="G872" s="28" t="s">
        <v>141</v>
      </c>
      <c r="H872" s="28">
        <v>0</v>
      </c>
      <c r="J872" s="28"/>
    </row>
    <row r="873" spans="1:10" ht="15.75" customHeight="1">
      <c r="A873" s="28">
        <v>19213</v>
      </c>
      <c r="B873" s="91">
        <v>45104.023356481484</v>
      </c>
      <c r="C873" s="28" t="s">
        <v>10</v>
      </c>
      <c r="D873" s="28" t="s">
        <v>468</v>
      </c>
      <c r="E873" s="28" t="s">
        <v>28</v>
      </c>
      <c r="F873" s="28">
        <v>0</v>
      </c>
      <c r="G873" s="28" t="s">
        <v>117</v>
      </c>
      <c r="H873" s="28">
        <v>0</v>
      </c>
      <c r="J873" s="28"/>
    </row>
    <row r="874" spans="1:10" ht="15.75" customHeight="1">
      <c r="A874" s="28">
        <v>19212</v>
      </c>
      <c r="B874" s="91">
        <v>45104.007847222223</v>
      </c>
      <c r="C874" s="28" t="s">
        <v>10</v>
      </c>
      <c r="D874" s="28" t="s">
        <v>469</v>
      </c>
      <c r="E874" s="28" t="s">
        <v>28</v>
      </c>
      <c r="F874" s="28">
        <v>20</v>
      </c>
      <c r="G874" s="28" t="s">
        <v>261</v>
      </c>
      <c r="H874" s="28">
        <v>0</v>
      </c>
      <c r="J874" s="28"/>
    </row>
    <row r="875" spans="1:10" ht="15.75" customHeight="1">
      <c r="A875" s="28">
        <v>19212</v>
      </c>
      <c r="B875" s="91">
        <v>45104.007847222223</v>
      </c>
      <c r="C875" s="28" t="s">
        <v>10</v>
      </c>
      <c r="D875" s="28" t="s">
        <v>469</v>
      </c>
      <c r="E875" s="28" t="s">
        <v>28</v>
      </c>
      <c r="F875" s="28">
        <v>0</v>
      </c>
      <c r="G875" s="28" t="s">
        <v>117</v>
      </c>
      <c r="H875" s="28">
        <v>0</v>
      </c>
      <c r="J875" s="28"/>
    </row>
    <row r="876" spans="1:10" ht="15.75" customHeight="1">
      <c r="A876" s="28">
        <v>19211</v>
      </c>
      <c r="B876" s="91">
        <v>45103.975520833337</v>
      </c>
      <c r="C876" s="28" t="s">
        <v>10</v>
      </c>
      <c r="D876" s="28" t="s">
        <v>470</v>
      </c>
      <c r="E876" s="28" t="s">
        <v>28</v>
      </c>
      <c r="F876" s="28">
        <v>22</v>
      </c>
      <c r="G876" s="28" t="s">
        <v>137</v>
      </c>
      <c r="H876" s="28">
        <v>0</v>
      </c>
      <c r="J876" s="28"/>
    </row>
    <row r="877" spans="1:10" ht="15.75" customHeight="1">
      <c r="A877" s="28">
        <v>19210</v>
      </c>
      <c r="B877" s="91">
        <v>45103.95275462963</v>
      </c>
      <c r="C877" s="28" t="s">
        <v>10</v>
      </c>
      <c r="D877" s="28" t="s">
        <v>471</v>
      </c>
      <c r="E877" s="28" t="s">
        <v>28</v>
      </c>
      <c r="F877" s="28">
        <v>26</v>
      </c>
      <c r="G877" s="28" t="s">
        <v>122</v>
      </c>
      <c r="H877" s="28">
        <v>0</v>
      </c>
      <c r="J877" s="28"/>
    </row>
    <row r="878" spans="1:10" ht="15.75" customHeight="1">
      <c r="A878" s="28">
        <v>19210</v>
      </c>
      <c r="B878" s="91">
        <v>45103.95275462963</v>
      </c>
      <c r="C878" s="28" t="s">
        <v>10</v>
      </c>
      <c r="D878" s="28" t="s">
        <v>471</v>
      </c>
      <c r="E878" s="28" t="s">
        <v>28</v>
      </c>
      <c r="F878" s="28">
        <v>26</v>
      </c>
      <c r="G878" s="28" t="s">
        <v>122</v>
      </c>
      <c r="H878" s="28">
        <v>0</v>
      </c>
      <c r="J878" s="28"/>
    </row>
    <row r="879" spans="1:10" ht="15.75" customHeight="1">
      <c r="A879" s="28">
        <v>19210</v>
      </c>
      <c r="B879" s="91">
        <v>45103.95275462963</v>
      </c>
      <c r="C879" s="28" t="s">
        <v>10</v>
      </c>
      <c r="D879" s="28" t="s">
        <v>471</v>
      </c>
      <c r="E879" s="28" t="s">
        <v>28</v>
      </c>
      <c r="F879" s="28">
        <v>26</v>
      </c>
      <c r="G879" s="28" t="s">
        <v>122</v>
      </c>
      <c r="H879" s="28">
        <v>0</v>
      </c>
      <c r="J879" s="28"/>
    </row>
    <row r="880" spans="1:10" ht="15.75" customHeight="1">
      <c r="A880" s="28">
        <v>19209</v>
      </c>
      <c r="B880" s="91">
        <v>45103.873460648145</v>
      </c>
      <c r="C880" s="28" t="s">
        <v>10</v>
      </c>
      <c r="D880" s="28" t="s">
        <v>472</v>
      </c>
      <c r="E880" s="28" t="s">
        <v>28</v>
      </c>
      <c r="F880" s="28">
        <v>25</v>
      </c>
      <c r="G880" s="28">
        <v>100692</v>
      </c>
      <c r="H880" s="28">
        <v>0</v>
      </c>
      <c r="J880" s="28"/>
    </row>
    <row r="881" spans="1:10" ht="15.75" customHeight="1">
      <c r="A881" s="28">
        <v>19209</v>
      </c>
      <c r="B881" s="91">
        <v>45103.873460648145</v>
      </c>
      <c r="C881" s="28" t="s">
        <v>10</v>
      </c>
      <c r="D881" s="28" t="s">
        <v>472</v>
      </c>
      <c r="E881" s="28" t="s">
        <v>28</v>
      </c>
      <c r="F881" s="28">
        <v>0</v>
      </c>
      <c r="G881" s="28" t="s">
        <v>125</v>
      </c>
      <c r="H881" s="28">
        <v>0</v>
      </c>
      <c r="J881" s="28"/>
    </row>
    <row r="882" spans="1:10" ht="15.75" customHeight="1">
      <c r="A882" s="28">
        <v>19209</v>
      </c>
      <c r="B882" s="91">
        <v>45103.873460648145</v>
      </c>
      <c r="C882" s="28" t="s">
        <v>10</v>
      </c>
      <c r="D882" s="28" t="s">
        <v>472</v>
      </c>
      <c r="E882" s="28" t="s">
        <v>28</v>
      </c>
      <c r="F882" s="28">
        <v>0</v>
      </c>
      <c r="G882" s="28" t="s">
        <v>119</v>
      </c>
      <c r="H882" s="28">
        <v>0</v>
      </c>
      <c r="J882" s="28"/>
    </row>
    <row r="883" spans="1:10" ht="15.75" customHeight="1">
      <c r="A883" s="28">
        <v>19208</v>
      </c>
      <c r="B883" s="91">
        <v>45103.869456018518</v>
      </c>
      <c r="C883" s="28" t="s">
        <v>10</v>
      </c>
      <c r="D883" s="28" t="s">
        <v>473</v>
      </c>
      <c r="E883" s="28" t="s">
        <v>28</v>
      </c>
      <c r="F883" s="28">
        <v>25</v>
      </c>
      <c r="G883" s="28">
        <v>100692</v>
      </c>
      <c r="H883" s="28">
        <v>0</v>
      </c>
      <c r="J883" s="28"/>
    </row>
    <row r="884" spans="1:10" ht="15.75" customHeight="1">
      <c r="A884" s="28">
        <v>19208</v>
      </c>
      <c r="B884" s="91">
        <v>45103.869456018518</v>
      </c>
      <c r="C884" s="28" t="s">
        <v>10</v>
      </c>
      <c r="D884" s="28" t="s">
        <v>473</v>
      </c>
      <c r="E884" s="28" t="s">
        <v>28</v>
      </c>
      <c r="F884" s="28">
        <v>0</v>
      </c>
      <c r="G884" s="28" t="s">
        <v>125</v>
      </c>
      <c r="H884" s="28">
        <v>0</v>
      </c>
      <c r="J884" s="28"/>
    </row>
    <row r="885" spans="1:10" ht="15.75" customHeight="1">
      <c r="A885" s="28">
        <v>19208</v>
      </c>
      <c r="B885" s="91">
        <v>45103.869456018518</v>
      </c>
      <c r="C885" s="28" t="s">
        <v>10</v>
      </c>
      <c r="D885" s="28" t="s">
        <v>473</v>
      </c>
      <c r="E885" s="28" t="s">
        <v>28</v>
      </c>
      <c r="F885" s="28">
        <v>0</v>
      </c>
      <c r="G885" s="28" t="s">
        <v>119</v>
      </c>
      <c r="H885" s="28">
        <v>0</v>
      </c>
      <c r="J885" s="28"/>
    </row>
    <row r="886" spans="1:10" ht="15.75" customHeight="1">
      <c r="A886" s="28">
        <v>19207</v>
      </c>
      <c r="B886" s="91">
        <v>45103.808854166666</v>
      </c>
      <c r="C886" s="28" t="s">
        <v>10</v>
      </c>
      <c r="D886" s="28" t="s">
        <v>474</v>
      </c>
      <c r="E886" s="28" t="s">
        <v>28</v>
      </c>
      <c r="F886" s="28">
        <v>26</v>
      </c>
      <c r="G886" s="28" t="s">
        <v>122</v>
      </c>
      <c r="H886" s="28">
        <v>0</v>
      </c>
      <c r="J886" s="28"/>
    </row>
    <row r="887" spans="1:10" ht="15.75" customHeight="1">
      <c r="A887" s="28">
        <v>19206</v>
      </c>
      <c r="B887" s="91">
        <v>45103.703321759254</v>
      </c>
      <c r="C887" s="28" t="s">
        <v>10</v>
      </c>
      <c r="D887" s="28" t="s">
        <v>475</v>
      </c>
      <c r="E887" s="28" t="s">
        <v>84</v>
      </c>
      <c r="F887" s="28">
        <v>15</v>
      </c>
      <c r="G887" s="28" t="s">
        <v>125</v>
      </c>
      <c r="H887" s="28">
        <v>0</v>
      </c>
      <c r="J887" s="28"/>
    </row>
    <row r="888" spans="1:10" ht="15.75" customHeight="1">
      <c r="A888" s="28">
        <v>19205</v>
      </c>
      <c r="B888" s="91">
        <v>45103.657118055555</v>
      </c>
      <c r="C888" s="28" t="s">
        <v>10</v>
      </c>
      <c r="D888" s="28" t="s">
        <v>476</v>
      </c>
      <c r="E888" s="28" t="s">
        <v>28</v>
      </c>
      <c r="F888" s="28">
        <v>20</v>
      </c>
      <c r="G888" s="28" t="s">
        <v>148</v>
      </c>
      <c r="H888" s="28">
        <v>0</v>
      </c>
      <c r="J888" s="28"/>
    </row>
    <row r="889" spans="1:10" ht="15.75" customHeight="1">
      <c r="A889" s="28">
        <v>19204</v>
      </c>
      <c r="B889" s="91">
        <v>45103.649976851855</v>
      </c>
      <c r="C889" s="28" t="s">
        <v>10</v>
      </c>
      <c r="D889" s="28" t="s">
        <v>477</v>
      </c>
      <c r="E889" s="28" t="s">
        <v>28</v>
      </c>
      <c r="F889" s="28">
        <v>25</v>
      </c>
      <c r="G889" s="28">
        <v>100692</v>
      </c>
      <c r="H889" s="28">
        <v>0</v>
      </c>
      <c r="J889" s="28"/>
    </row>
    <row r="890" spans="1:10" ht="15.75" customHeight="1">
      <c r="A890" s="28">
        <v>19204</v>
      </c>
      <c r="B890" s="91">
        <v>45103.649976851855</v>
      </c>
      <c r="C890" s="28" t="s">
        <v>10</v>
      </c>
      <c r="D890" s="28" t="s">
        <v>477</v>
      </c>
      <c r="E890" s="28" t="s">
        <v>28</v>
      </c>
      <c r="F890" s="28">
        <v>0</v>
      </c>
      <c r="G890" s="28" t="s">
        <v>125</v>
      </c>
      <c r="H890" s="28">
        <v>0</v>
      </c>
      <c r="J890" s="28"/>
    </row>
    <row r="891" spans="1:10" ht="15.75" customHeight="1">
      <c r="A891" s="28">
        <v>19204</v>
      </c>
      <c r="B891" s="91">
        <v>45103.649976851855</v>
      </c>
      <c r="C891" s="28" t="s">
        <v>10</v>
      </c>
      <c r="D891" s="28" t="s">
        <v>477</v>
      </c>
      <c r="E891" s="28" t="s">
        <v>28</v>
      </c>
      <c r="F891" s="28">
        <v>0</v>
      </c>
      <c r="G891" s="28" t="s">
        <v>119</v>
      </c>
      <c r="H891" s="28">
        <v>0</v>
      </c>
      <c r="J891" s="28"/>
    </row>
    <row r="892" spans="1:10" ht="15.75" customHeight="1">
      <c r="A892" s="28">
        <v>19203</v>
      </c>
      <c r="B892" s="91">
        <v>45103.559212962966</v>
      </c>
      <c r="C892" s="28" t="s">
        <v>10</v>
      </c>
      <c r="D892" s="28" t="s">
        <v>478</v>
      </c>
      <c r="E892" s="28" t="s">
        <v>28</v>
      </c>
      <c r="F892" s="28">
        <v>0</v>
      </c>
      <c r="G892" s="28" t="s">
        <v>117</v>
      </c>
      <c r="H892" s="28">
        <v>0</v>
      </c>
      <c r="J892" s="28"/>
    </row>
    <row r="893" spans="1:10" ht="15.75" customHeight="1">
      <c r="A893" s="28">
        <v>19202</v>
      </c>
      <c r="B893" s="91">
        <v>45103.557789351849</v>
      </c>
      <c r="C893" s="28" t="s">
        <v>10</v>
      </c>
      <c r="D893" s="28" t="s">
        <v>479</v>
      </c>
      <c r="E893" s="28" t="s">
        <v>28</v>
      </c>
      <c r="F893" s="28">
        <v>18</v>
      </c>
      <c r="G893" s="28" t="s">
        <v>457</v>
      </c>
      <c r="H893" s="28">
        <v>0</v>
      </c>
      <c r="J893" s="28"/>
    </row>
    <row r="894" spans="1:10" ht="15.75" customHeight="1">
      <c r="A894" s="28">
        <v>19202</v>
      </c>
      <c r="B894" s="91">
        <v>45103.557789351849</v>
      </c>
      <c r="C894" s="28" t="s">
        <v>10</v>
      </c>
      <c r="D894" s="28" t="s">
        <v>479</v>
      </c>
      <c r="E894" s="28" t="s">
        <v>28</v>
      </c>
      <c r="F894" s="28">
        <v>0</v>
      </c>
      <c r="G894" s="28" t="s">
        <v>117</v>
      </c>
      <c r="H894" s="28">
        <v>0</v>
      </c>
      <c r="J894" s="28"/>
    </row>
    <row r="895" spans="1:10" ht="15.75" customHeight="1">
      <c r="A895" s="28">
        <v>19201</v>
      </c>
      <c r="B895" s="91">
        <v>45103.063819444447</v>
      </c>
      <c r="C895" s="28" t="s">
        <v>10</v>
      </c>
      <c r="D895" s="28" t="s">
        <v>480</v>
      </c>
      <c r="E895" s="28" t="s">
        <v>28</v>
      </c>
      <c r="F895" s="28">
        <v>15</v>
      </c>
      <c r="G895" s="28" t="s">
        <v>125</v>
      </c>
      <c r="H895" s="28">
        <v>0</v>
      </c>
      <c r="J895" s="28"/>
    </row>
    <row r="896" spans="1:10" ht="15.75" customHeight="1">
      <c r="A896" s="28">
        <v>19201</v>
      </c>
      <c r="B896" s="91">
        <v>45103.063819444447</v>
      </c>
      <c r="C896" s="28" t="s">
        <v>10</v>
      </c>
      <c r="D896" s="28" t="s">
        <v>480</v>
      </c>
      <c r="E896" s="28" t="s">
        <v>28</v>
      </c>
      <c r="F896" s="28">
        <v>0</v>
      </c>
      <c r="G896" s="28" t="s">
        <v>117</v>
      </c>
      <c r="H896" s="28">
        <v>0</v>
      </c>
      <c r="J896" s="28"/>
    </row>
    <row r="897" spans="1:10" ht="15.75" customHeight="1">
      <c r="A897" s="28">
        <v>19200</v>
      </c>
      <c r="B897" s="91">
        <v>45103.034618055557</v>
      </c>
      <c r="C897" s="28" t="s">
        <v>52</v>
      </c>
      <c r="D897" s="28" t="s">
        <v>336</v>
      </c>
      <c r="E897" s="28" t="s">
        <v>28</v>
      </c>
      <c r="F897" s="28">
        <v>25</v>
      </c>
      <c r="G897" s="28" t="s">
        <v>118</v>
      </c>
      <c r="H897" s="28">
        <v>0</v>
      </c>
      <c r="J897" s="28"/>
    </row>
    <row r="898" spans="1:10" ht="15.75" customHeight="1">
      <c r="A898" s="28">
        <v>19199</v>
      </c>
      <c r="B898" s="91">
        <v>45102.990740740745</v>
      </c>
      <c r="C898" s="28" t="s">
        <v>10</v>
      </c>
      <c r="D898" s="28" t="s">
        <v>481</v>
      </c>
      <c r="E898" s="28" t="s">
        <v>28</v>
      </c>
      <c r="F898" s="28">
        <v>26</v>
      </c>
      <c r="G898" s="28" t="s">
        <v>122</v>
      </c>
      <c r="H898" s="28">
        <v>0</v>
      </c>
      <c r="J898" s="28"/>
    </row>
    <row r="899" spans="1:10" ht="15.75" customHeight="1">
      <c r="A899" s="28">
        <v>19199</v>
      </c>
      <c r="B899" s="91">
        <v>45102.990740740745</v>
      </c>
      <c r="C899" s="28" t="s">
        <v>10</v>
      </c>
      <c r="D899" s="28" t="s">
        <v>481</v>
      </c>
      <c r="E899" s="28" t="s">
        <v>28</v>
      </c>
      <c r="F899" s="28">
        <v>26</v>
      </c>
      <c r="G899" s="28" t="s">
        <v>122</v>
      </c>
      <c r="H899" s="28">
        <v>0</v>
      </c>
      <c r="J899" s="28"/>
    </row>
    <row r="900" spans="1:10" ht="15.75" customHeight="1">
      <c r="A900" s="28">
        <v>19198</v>
      </c>
      <c r="B900" s="91">
        <v>45102.989282407405</v>
      </c>
      <c r="C900" s="28" t="s">
        <v>10</v>
      </c>
      <c r="D900" s="28" t="s">
        <v>482</v>
      </c>
      <c r="E900" s="28" t="s">
        <v>28</v>
      </c>
      <c r="F900" s="28">
        <v>35</v>
      </c>
      <c r="G900" s="28" t="s">
        <v>124</v>
      </c>
      <c r="H900" s="28">
        <v>0</v>
      </c>
      <c r="J900" s="28"/>
    </row>
    <row r="901" spans="1:10" ht="15.75" customHeight="1">
      <c r="A901" s="28">
        <v>19198</v>
      </c>
      <c r="B901" s="91">
        <v>45102.989282407405</v>
      </c>
      <c r="C901" s="28" t="s">
        <v>10</v>
      </c>
      <c r="D901" s="28" t="s">
        <v>482</v>
      </c>
      <c r="E901" s="28" t="s">
        <v>28</v>
      </c>
      <c r="F901" s="28">
        <v>0</v>
      </c>
      <c r="G901" s="28" t="s">
        <v>125</v>
      </c>
      <c r="H901" s="28">
        <v>0</v>
      </c>
      <c r="J901" s="28"/>
    </row>
    <row r="902" spans="1:10" ht="15.75" customHeight="1">
      <c r="A902" s="28">
        <v>19198</v>
      </c>
      <c r="B902" s="91">
        <v>45102.989282407405</v>
      </c>
      <c r="C902" s="28" t="s">
        <v>10</v>
      </c>
      <c r="D902" s="28" t="s">
        <v>482</v>
      </c>
      <c r="E902" s="28" t="s">
        <v>28</v>
      </c>
      <c r="F902" s="28">
        <v>0</v>
      </c>
      <c r="G902" s="28" t="s">
        <v>119</v>
      </c>
      <c r="H902" s="28">
        <v>0</v>
      </c>
      <c r="J902" s="28"/>
    </row>
    <row r="903" spans="1:10" ht="15.75" customHeight="1">
      <c r="A903" s="28">
        <v>19198</v>
      </c>
      <c r="B903" s="91">
        <v>45102.989282407405</v>
      </c>
      <c r="C903" s="28" t="s">
        <v>10</v>
      </c>
      <c r="D903" s="28" t="s">
        <v>482</v>
      </c>
      <c r="E903" s="28" t="s">
        <v>28</v>
      </c>
      <c r="F903" s="28">
        <v>0</v>
      </c>
      <c r="G903" s="28" t="s">
        <v>121</v>
      </c>
      <c r="H903" s="28">
        <v>0</v>
      </c>
      <c r="J903" s="28"/>
    </row>
    <row r="904" spans="1:10" ht="15.75" customHeight="1">
      <c r="A904" s="28">
        <v>19197</v>
      </c>
      <c r="B904" s="91">
        <v>45102.874652777777</v>
      </c>
      <c r="C904" s="28" t="s">
        <v>10</v>
      </c>
      <c r="D904" s="28" t="s">
        <v>483</v>
      </c>
      <c r="E904" s="28" t="s">
        <v>28</v>
      </c>
      <c r="F904" s="28">
        <v>0</v>
      </c>
      <c r="G904" s="28" t="s">
        <v>117</v>
      </c>
      <c r="H904" s="28">
        <v>0</v>
      </c>
      <c r="J904" s="28"/>
    </row>
    <row r="905" spans="1:10" ht="15.75" customHeight="1">
      <c r="A905" s="28">
        <v>19197</v>
      </c>
      <c r="B905" s="91">
        <v>45102.874652777777</v>
      </c>
      <c r="C905" s="28" t="s">
        <v>10</v>
      </c>
      <c r="D905" s="28" t="s">
        <v>483</v>
      </c>
      <c r="E905" s="28" t="s">
        <v>28</v>
      </c>
      <c r="F905" s="28">
        <v>25</v>
      </c>
      <c r="G905" s="28" t="s">
        <v>120</v>
      </c>
      <c r="H905" s="28">
        <v>0</v>
      </c>
      <c r="J905" s="28"/>
    </row>
    <row r="906" spans="1:10" ht="15.75" customHeight="1">
      <c r="A906" s="28">
        <v>19197</v>
      </c>
      <c r="B906" s="91">
        <v>45102.874652777777</v>
      </c>
      <c r="C906" s="28" t="s">
        <v>10</v>
      </c>
      <c r="D906" s="28" t="s">
        <v>483</v>
      </c>
      <c r="E906" s="28" t="s">
        <v>28</v>
      </c>
      <c r="F906" s="28">
        <v>28</v>
      </c>
      <c r="G906" s="28" t="s">
        <v>143</v>
      </c>
      <c r="H906" s="28">
        <v>0</v>
      </c>
      <c r="J906" s="28"/>
    </row>
    <row r="907" spans="1:10" ht="15.75" customHeight="1">
      <c r="A907" s="28">
        <v>19196</v>
      </c>
      <c r="B907" s="91">
        <v>45102.872731481482</v>
      </c>
      <c r="C907" s="28" t="s">
        <v>10</v>
      </c>
      <c r="D907" s="28" t="s">
        <v>484</v>
      </c>
      <c r="E907" s="28" t="s">
        <v>28</v>
      </c>
      <c r="F907" s="28">
        <v>15</v>
      </c>
      <c r="G907" s="28" t="s">
        <v>125</v>
      </c>
      <c r="H907" s="28">
        <v>0</v>
      </c>
      <c r="J907" s="28"/>
    </row>
    <row r="908" spans="1:10" ht="15.75" customHeight="1">
      <c r="A908" s="28">
        <v>19195</v>
      </c>
      <c r="B908" s="91">
        <v>45102.870659722219</v>
      </c>
      <c r="C908" s="28" t="s">
        <v>10</v>
      </c>
      <c r="D908" s="28" t="s">
        <v>485</v>
      </c>
      <c r="E908" s="28" t="s">
        <v>28</v>
      </c>
      <c r="F908" s="28">
        <v>15</v>
      </c>
      <c r="G908" s="28" t="s">
        <v>125</v>
      </c>
      <c r="H908" s="28">
        <v>0</v>
      </c>
      <c r="J908" s="28"/>
    </row>
    <row r="909" spans="1:10" ht="15.75" customHeight="1">
      <c r="A909" s="28">
        <v>19194</v>
      </c>
      <c r="B909" s="91">
        <v>45102.799293981487</v>
      </c>
      <c r="C909" s="28" t="s">
        <v>10</v>
      </c>
      <c r="D909" s="28" t="s">
        <v>486</v>
      </c>
      <c r="E909" s="28" t="s">
        <v>28</v>
      </c>
      <c r="F909" s="28">
        <v>28</v>
      </c>
      <c r="G909" s="28" t="s">
        <v>143</v>
      </c>
      <c r="H909" s="28">
        <v>0</v>
      </c>
      <c r="J909" s="28"/>
    </row>
    <row r="910" spans="1:10" ht="15.75" customHeight="1">
      <c r="A910" s="28">
        <v>19193</v>
      </c>
      <c r="B910" s="91">
        <v>45102.631261574075</v>
      </c>
      <c r="C910" s="28" t="s">
        <v>10</v>
      </c>
      <c r="D910" s="28" t="s">
        <v>487</v>
      </c>
      <c r="E910" s="28" t="s">
        <v>28</v>
      </c>
      <c r="F910" s="28">
        <v>26</v>
      </c>
      <c r="G910" s="28" t="s">
        <v>122</v>
      </c>
      <c r="H910" s="28">
        <v>0</v>
      </c>
      <c r="J910" s="28"/>
    </row>
    <row r="911" spans="1:10" ht="15.75" customHeight="1">
      <c r="A911" s="28">
        <v>19192</v>
      </c>
      <c r="B911" s="91">
        <v>45102.60869212963</v>
      </c>
      <c r="C911" s="28" t="s">
        <v>10</v>
      </c>
      <c r="D911" s="28" t="s">
        <v>488</v>
      </c>
      <c r="E911" s="28" t="s">
        <v>28</v>
      </c>
      <c r="F911" s="28">
        <v>15</v>
      </c>
      <c r="G911" s="28" t="s">
        <v>125</v>
      </c>
      <c r="H911" s="28">
        <v>0</v>
      </c>
      <c r="J911" s="28"/>
    </row>
    <row r="912" spans="1:10" ht="15.75" customHeight="1">
      <c r="A912" s="28">
        <v>19192</v>
      </c>
      <c r="B912" s="91">
        <v>45102.60869212963</v>
      </c>
      <c r="C912" s="28" t="s">
        <v>10</v>
      </c>
      <c r="D912" s="28" t="s">
        <v>488</v>
      </c>
      <c r="E912" s="28" t="s">
        <v>28</v>
      </c>
      <c r="F912" s="28">
        <v>0</v>
      </c>
      <c r="G912" s="28" t="s">
        <v>117</v>
      </c>
      <c r="H912" s="28">
        <v>0</v>
      </c>
      <c r="J912" s="28"/>
    </row>
    <row r="913" spans="1:10" ht="15.75" customHeight="1">
      <c r="A913" s="28">
        <v>19191</v>
      </c>
      <c r="B913" s="91">
        <v>45102.608113425929</v>
      </c>
      <c r="C913" s="28" t="s">
        <v>10</v>
      </c>
      <c r="D913" s="28" t="s">
        <v>489</v>
      </c>
      <c r="E913" s="28" t="s">
        <v>28</v>
      </c>
      <c r="F913" s="28">
        <v>28</v>
      </c>
      <c r="G913" s="28" t="s">
        <v>143</v>
      </c>
      <c r="H913" s="28">
        <v>0</v>
      </c>
      <c r="J913" s="28"/>
    </row>
    <row r="914" spans="1:10" ht="15.75" customHeight="1">
      <c r="A914" s="28">
        <v>19190</v>
      </c>
      <c r="B914" s="91">
        <v>45102.607210648144</v>
      </c>
      <c r="C914" s="28" t="s">
        <v>10</v>
      </c>
      <c r="D914" s="28" t="s">
        <v>490</v>
      </c>
      <c r="E914" s="28" t="s">
        <v>28</v>
      </c>
      <c r="F914" s="28">
        <v>25</v>
      </c>
      <c r="G914" s="28">
        <v>100692</v>
      </c>
      <c r="H914" s="28">
        <v>0</v>
      </c>
      <c r="J914" s="28"/>
    </row>
    <row r="915" spans="1:10" ht="15.75" customHeight="1">
      <c r="A915" s="28">
        <v>19190</v>
      </c>
      <c r="B915" s="91">
        <v>45102.607210648144</v>
      </c>
      <c r="C915" s="28" t="s">
        <v>10</v>
      </c>
      <c r="D915" s="28" t="s">
        <v>490</v>
      </c>
      <c r="E915" s="28" t="s">
        <v>28</v>
      </c>
      <c r="F915" s="28">
        <v>0</v>
      </c>
      <c r="G915" s="28" t="s">
        <v>125</v>
      </c>
      <c r="H915" s="28">
        <v>0</v>
      </c>
      <c r="J915" s="28"/>
    </row>
    <row r="916" spans="1:10" ht="15.75" customHeight="1">
      <c r="A916" s="28">
        <v>19190</v>
      </c>
      <c r="B916" s="91">
        <v>45102.607210648144</v>
      </c>
      <c r="C916" s="28" t="s">
        <v>10</v>
      </c>
      <c r="D916" s="28" t="s">
        <v>490</v>
      </c>
      <c r="E916" s="28" t="s">
        <v>28</v>
      </c>
      <c r="F916" s="28">
        <v>0</v>
      </c>
      <c r="G916" s="28" t="s">
        <v>119</v>
      </c>
      <c r="H916" s="28">
        <v>0</v>
      </c>
      <c r="J916" s="28"/>
    </row>
    <row r="917" spans="1:10" ht="15.75" customHeight="1">
      <c r="A917" s="28">
        <v>19189</v>
      </c>
      <c r="B917" s="91">
        <v>45102.597893518519</v>
      </c>
      <c r="C917" s="28" t="s">
        <v>10</v>
      </c>
      <c r="D917" s="28" t="s">
        <v>491</v>
      </c>
      <c r="E917" s="28" t="s">
        <v>28</v>
      </c>
      <c r="F917" s="28">
        <v>26</v>
      </c>
      <c r="G917" s="28" t="s">
        <v>122</v>
      </c>
      <c r="H917" s="28">
        <v>0</v>
      </c>
      <c r="J917" s="28"/>
    </row>
    <row r="918" spans="1:10" ht="15.75" customHeight="1">
      <c r="A918" s="28">
        <v>19188</v>
      </c>
      <c r="B918" s="91">
        <v>45102.595138888893</v>
      </c>
      <c r="C918" s="28" t="s">
        <v>10</v>
      </c>
      <c r="D918" s="28" t="s">
        <v>492</v>
      </c>
      <c r="E918" s="28" t="s">
        <v>87</v>
      </c>
      <c r="F918" s="28">
        <v>35</v>
      </c>
      <c r="G918" s="28" t="s">
        <v>124</v>
      </c>
      <c r="H918" s="28">
        <v>0</v>
      </c>
      <c r="J918" s="28"/>
    </row>
    <row r="919" spans="1:10" ht="15.75" customHeight="1">
      <c r="A919" s="28">
        <v>19188</v>
      </c>
      <c r="B919" s="91">
        <v>45102.595138888893</v>
      </c>
      <c r="C919" s="28" t="s">
        <v>10</v>
      </c>
      <c r="D919" s="28" t="s">
        <v>492</v>
      </c>
      <c r="E919" s="28" t="s">
        <v>87</v>
      </c>
      <c r="F919" s="28">
        <v>0</v>
      </c>
      <c r="G919" s="28" t="s">
        <v>125</v>
      </c>
      <c r="H919" s="28">
        <v>0</v>
      </c>
      <c r="J919" s="28"/>
    </row>
    <row r="920" spans="1:10" ht="15.75" customHeight="1">
      <c r="A920" s="28">
        <v>19188</v>
      </c>
      <c r="B920" s="91">
        <v>45102.595138888893</v>
      </c>
      <c r="C920" s="28" t="s">
        <v>10</v>
      </c>
      <c r="D920" s="28" t="s">
        <v>492</v>
      </c>
      <c r="E920" s="28" t="s">
        <v>87</v>
      </c>
      <c r="F920" s="28">
        <v>0</v>
      </c>
      <c r="G920" s="28" t="s">
        <v>119</v>
      </c>
      <c r="H920" s="28">
        <v>0</v>
      </c>
      <c r="J920" s="28"/>
    </row>
    <row r="921" spans="1:10" ht="15.75" customHeight="1">
      <c r="A921" s="28">
        <v>19188</v>
      </c>
      <c r="B921" s="91">
        <v>45102.595138888893</v>
      </c>
      <c r="C921" s="28" t="s">
        <v>10</v>
      </c>
      <c r="D921" s="28" t="s">
        <v>492</v>
      </c>
      <c r="E921" s="28" t="s">
        <v>87</v>
      </c>
      <c r="F921" s="28">
        <v>0</v>
      </c>
      <c r="G921" s="28" t="s">
        <v>121</v>
      </c>
      <c r="H921" s="28">
        <v>0</v>
      </c>
      <c r="J921" s="28"/>
    </row>
    <row r="922" spans="1:10" ht="15.75" customHeight="1">
      <c r="A922" s="28">
        <v>19187</v>
      </c>
      <c r="B922" s="91">
        <v>45102.586817129632</v>
      </c>
      <c r="C922" s="28" t="s">
        <v>10</v>
      </c>
      <c r="D922" s="28" t="s">
        <v>493</v>
      </c>
      <c r="E922" s="28" t="s">
        <v>28</v>
      </c>
      <c r="F922" s="28">
        <v>35</v>
      </c>
      <c r="G922" s="28" t="s">
        <v>124</v>
      </c>
      <c r="H922" s="28">
        <v>0</v>
      </c>
      <c r="J922" s="28"/>
    </row>
    <row r="923" spans="1:10" ht="15.75" customHeight="1">
      <c r="A923" s="28">
        <v>19187</v>
      </c>
      <c r="B923" s="91">
        <v>45102.586817129632</v>
      </c>
      <c r="C923" s="28" t="s">
        <v>10</v>
      </c>
      <c r="D923" s="28" t="s">
        <v>493</v>
      </c>
      <c r="E923" s="28" t="s">
        <v>28</v>
      </c>
      <c r="F923" s="28">
        <v>0</v>
      </c>
      <c r="G923" s="28" t="s">
        <v>125</v>
      </c>
      <c r="H923" s="28">
        <v>0</v>
      </c>
      <c r="J923" s="28"/>
    </row>
    <row r="924" spans="1:10" ht="15.75" customHeight="1">
      <c r="A924" s="28">
        <v>19187</v>
      </c>
      <c r="B924" s="91">
        <v>45102.586817129632</v>
      </c>
      <c r="C924" s="28" t="s">
        <v>10</v>
      </c>
      <c r="D924" s="28" t="s">
        <v>493</v>
      </c>
      <c r="E924" s="28" t="s">
        <v>28</v>
      </c>
      <c r="F924" s="28">
        <v>0</v>
      </c>
      <c r="G924" s="28" t="s">
        <v>119</v>
      </c>
      <c r="H924" s="28">
        <v>0</v>
      </c>
      <c r="J924" s="28"/>
    </row>
    <row r="925" spans="1:10" ht="15.75" customHeight="1">
      <c r="A925" s="28">
        <v>19187</v>
      </c>
      <c r="B925" s="91">
        <v>45102.586817129632</v>
      </c>
      <c r="C925" s="28" t="s">
        <v>10</v>
      </c>
      <c r="D925" s="28" t="s">
        <v>493</v>
      </c>
      <c r="E925" s="28" t="s">
        <v>28</v>
      </c>
      <c r="F925" s="28">
        <v>0</v>
      </c>
      <c r="G925" s="28" t="s">
        <v>121</v>
      </c>
      <c r="H925" s="28">
        <v>0</v>
      </c>
      <c r="J925" s="28"/>
    </row>
    <row r="926" spans="1:10" ht="15.75" customHeight="1">
      <c r="A926" s="28">
        <v>19186</v>
      </c>
      <c r="B926" s="91">
        <v>45102.585497685184</v>
      </c>
      <c r="C926" s="28" t="s">
        <v>10</v>
      </c>
      <c r="D926" s="28" t="s">
        <v>494</v>
      </c>
      <c r="E926" s="28" t="s">
        <v>28</v>
      </c>
      <c r="F926" s="28">
        <v>35</v>
      </c>
      <c r="G926" s="28" t="s">
        <v>124</v>
      </c>
      <c r="H926" s="28">
        <v>0</v>
      </c>
      <c r="J926" s="28"/>
    </row>
    <row r="927" spans="1:10" ht="15.75" customHeight="1">
      <c r="A927" s="28">
        <v>19186</v>
      </c>
      <c r="B927" s="91">
        <v>45102.585497685184</v>
      </c>
      <c r="C927" s="28" t="s">
        <v>10</v>
      </c>
      <c r="D927" s="28" t="s">
        <v>494</v>
      </c>
      <c r="E927" s="28" t="s">
        <v>28</v>
      </c>
      <c r="F927" s="28">
        <v>0</v>
      </c>
      <c r="G927" s="28" t="s">
        <v>125</v>
      </c>
      <c r="H927" s="28">
        <v>0</v>
      </c>
      <c r="J927" s="28"/>
    </row>
    <row r="928" spans="1:10" ht="15.75" customHeight="1">
      <c r="A928" s="28">
        <v>19186</v>
      </c>
      <c r="B928" s="91">
        <v>45102.585497685184</v>
      </c>
      <c r="C928" s="28" t="s">
        <v>10</v>
      </c>
      <c r="D928" s="28" t="s">
        <v>494</v>
      </c>
      <c r="E928" s="28" t="s">
        <v>28</v>
      </c>
      <c r="F928" s="28">
        <v>0</v>
      </c>
      <c r="G928" s="28" t="s">
        <v>119</v>
      </c>
      <c r="H928" s="28">
        <v>0</v>
      </c>
      <c r="J928" s="28"/>
    </row>
    <row r="929" spans="1:10" ht="15.75" customHeight="1">
      <c r="A929" s="28">
        <v>19186</v>
      </c>
      <c r="B929" s="91">
        <v>45102.585497685184</v>
      </c>
      <c r="C929" s="28" t="s">
        <v>10</v>
      </c>
      <c r="D929" s="28" t="s">
        <v>494</v>
      </c>
      <c r="E929" s="28" t="s">
        <v>28</v>
      </c>
      <c r="F929" s="28">
        <v>0</v>
      </c>
      <c r="G929" s="28" t="s">
        <v>121</v>
      </c>
      <c r="H929" s="28">
        <v>0</v>
      </c>
      <c r="J929" s="28"/>
    </row>
    <row r="930" spans="1:10" ht="15.75" customHeight="1">
      <c r="A930" s="28">
        <v>19185</v>
      </c>
      <c r="B930" s="91">
        <v>45102.584664351853</v>
      </c>
      <c r="C930" s="28" t="s">
        <v>10</v>
      </c>
      <c r="D930" s="28" t="s">
        <v>495</v>
      </c>
      <c r="E930" s="28" t="s">
        <v>28</v>
      </c>
      <c r="F930" s="28">
        <v>15</v>
      </c>
      <c r="G930" s="28" t="s">
        <v>125</v>
      </c>
      <c r="H930" s="28">
        <v>0</v>
      </c>
      <c r="J930" s="28"/>
    </row>
    <row r="931" spans="1:10" ht="15.75" customHeight="1">
      <c r="A931" s="28">
        <v>19184</v>
      </c>
      <c r="B931" s="91">
        <v>45102.583333333328</v>
      </c>
      <c r="C931" s="28" t="s">
        <v>10</v>
      </c>
      <c r="D931" s="28" t="s">
        <v>496</v>
      </c>
      <c r="E931" s="28" t="s">
        <v>28</v>
      </c>
      <c r="F931" s="28">
        <v>35</v>
      </c>
      <c r="G931" s="28" t="s">
        <v>124</v>
      </c>
      <c r="H931" s="28">
        <v>0</v>
      </c>
      <c r="J931" s="28"/>
    </row>
    <row r="932" spans="1:10" ht="15.75" customHeight="1">
      <c r="A932" s="28">
        <v>19184</v>
      </c>
      <c r="B932" s="91">
        <v>45102.583333333328</v>
      </c>
      <c r="C932" s="28" t="s">
        <v>10</v>
      </c>
      <c r="D932" s="28" t="s">
        <v>496</v>
      </c>
      <c r="E932" s="28" t="s">
        <v>28</v>
      </c>
      <c r="F932" s="28">
        <v>0</v>
      </c>
      <c r="G932" s="28" t="s">
        <v>125</v>
      </c>
      <c r="H932" s="28">
        <v>0</v>
      </c>
      <c r="J932" s="28"/>
    </row>
    <row r="933" spans="1:10" ht="15.75" customHeight="1">
      <c r="A933" s="28">
        <v>19184</v>
      </c>
      <c r="B933" s="91">
        <v>45102.583333333328</v>
      </c>
      <c r="C933" s="28" t="s">
        <v>10</v>
      </c>
      <c r="D933" s="28" t="s">
        <v>496</v>
      </c>
      <c r="E933" s="28" t="s">
        <v>28</v>
      </c>
      <c r="F933" s="28">
        <v>0</v>
      </c>
      <c r="G933" s="28" t="s">
        <v>119</v>
      </c>
      <c r="H933" s="28">
        <v>0</v>
      </c>
      <c r="J933" s="28"/>
    </row>
    <row r="934" spans="1:10" ht="15.75" customHeight="1">
      <c r="A934" s="28">
        <v>19184</v>
      </c>
      <c r="B934" s="91">
        <v>45102.583333333328</v>
      </c>
      <c r="C934" s="28" t="s">
        <v>10</v>
      </c>
      <c r="D934" s="28" t="s">
        <v>496</v>
      </c>
      <c r="E934" s="28" t="s">
        <v>28</v>
      </c>
      <c r="F934" s="28">
        <v>0</v>
      </c>
      <c r="G934" s="28" t="s">
        <v>121</v>
      </c>
      <c r="H934" s="28">
        <v>0</v>
      </c>
      <c r="J934" s="28"/>
    </row>
    <row r="935" spans="1:10" ht="15.75" customHeight="1">
      <c r="A935" s="28">
        <v>19183</v>
      </c>
      <c r="B935" s="91">
        <v>45102.573680555557</v>
      </c>
      <c r="C935" s="28" t="s">
        <v>10</v>
      </c>
      <c r="D935" s="28" t="s">
        <v>497</v>
      </c>
      <c r="E935" s="28" t="s">
        <v>28</v>
      </c>
      <c r="F935" s="28">
        <v>25</v>
      </c>
      <c r="G935" s="28">
        <v>100692</v>
      </c>
      <c r="H935" s="28">
        <v>0</v>
      </c>
      <c r="J935" s="28"/>
    </row>
    <row r="936" spans="1:10" ht="15.75" customHeight="1">
      <c r="A936" s="28">
        <v>19183</v>
      </c>
      <c r="B936" s="91">
        <v>45102.573680555557</v>
      </c>
      <c r="C936" s="28" t="s">
        <v>10</v>
      </c>
      <c r="D936" s="28" t="s">
        <v>497</v>
      </c>
      <c r="E936" s="28" t="s">
        <v>28</v>
      </c>
      <c r="F936" s="28">
        <v>0</v>
      </c>
      <c r="G936" s="28" t="s">
        <v>125</v>
      </c>
      <c r="H936" s="28">
        <v>0</v>
      </c>
      <c r="J936" s="28"/>
    </row>
    <row r="937" spans="1:10" ht="15.75" customHeight="1">
      <c r="A937" s="28">
        <v>19183</v>
      </c>
      <c r="B937" s="91">
        <v>45102.573680555557</v>
      </c>
      <c r="C937" s="28" t="s">
        <v>10</v>
      </c>
      <c r="D937" s="28" t="s">
        <v>497</v>
      </c>
      <c r="E937" s="28" t="s">
        <v>28</v>
      </c>
      <c r="F937" s="28">
        <v>0</v>
      </c>
      <c r="G937" s="28" t="s">
        <v>119</v>
      </c>
      <c r="H937" s="28">
        <v>0</v>
      </c>
      <c r="J937" s="28"/>
    </row>
    <row r="938" spans="1:10" ht="15.75" customHeight="1">
      <c r="A938" s="28">
        <v>19182</v>
      </c>
      <c r="B938" s="91">
        <v>45102.555543981478</v>
      </c>
      <c r="C938" s="28" t="s">
        <v>10</v>
      </c>
      <c r="D938" s="28" t="s">
        <v>498</v>
      </c>
      <c r="E938" s="28" t="s">
        <v>28</v>
      </c>
      <c r="F938" s="28">
        <v>25</v>
      </c>
      <c r="G938" s="28">
        <v>100692</v>
      </c>
      <c r="H938" s="28">
        <v>0</v>
      </c>
      <c r="J938" s="28"/>
    </row>
    <row r="939" spans="1:10" ht="15.75" customHeight="1">
      <c r="A939" s="28">
        <v>19182</v>
      </c>
      <c r="B939" s="91">
        <v>45102.555543981478</v>
      </c>
      <c r="C939" s="28" t="s">
        <v>10</v>
      </c>
      <c r="D939" s="28" t="s">
        <v>498</v>
      </c>
      <c r="E939" s="28" t="s">
        <v>28</v>
      </c>
      <c r="F939" s="28">
        <v>0</v>
      </c>
      <c r="G939" s="28" t="s">
        <v>125</v>
      </c>
      <c r="H939" s="28">
        <v>0</v>
      </c>
      <c r="J939" s="28"/>
    </row>
    <row r="940" spans="1:10" ht="15.75" customHeight="1">
      <c r="A940" s="28">
        <v>19182</v>
      </c>
      <c r="B940" s="91">
        <v>45102.555543981478</v>
      </c>
      <c r="C940" s="28" t="s">
        <v>10</v>
      </c>
      <c r="D940" s="28" t="s">
        <v>498</v>
      </c>
      <c r="E940" s="28" t="s">
        <v>28</v>
      </c>
      <c r="F940" s="28">
        <v>0</v>
      </c>
      <c r="G940" s="28" t="s">
        <v>119</v>
      </c>
      <c r="H940" s="28">
        <v>0</v>
      </c>
      <c r="J940" s="28"/>
    </row>
    <row r="941" spans="1:10" ht="15.75" customHeight="1">
      <c r="A941" s="28">
        <v>19181</v>
      </c>
      <c r="B941" s="91">
        <v>45102.554224537038</v>
      </c>
      <c r="C941" s="28" t="s">
        <v>10</v>
      </c>
      <c r="D941" s="28" t="s">
        <v>499</v>
      </c>
      <c r="E941" s="28" t="s">
        <v>28</v>
      </c>
      <c r="F941" s="28">
        <v>25</v>
      </c>
      <c r="G941" s="28">
        <v>100692</v>
      </c>
      <c r="H941" s="28">
        <v>0</v>
      </c>
      <c r="J941" s="28"/>
    </row>
    <row r="942" spans="1:10" ht="15.75" customHeight="1">
      <c r="A942" s="28">
        <v>19181</v>
      </c>
      <c r="B942" s="91">
        <v>45102.554224537038</v>
      </c>
      <c r="C942" s="28" t="s">
        <v>10</v>
      </c>
      <c r="D942" s="28" t="s">
        <v>499</v>
      </c>
      <c r="E942" s="28" t="s">
        <v>28</v>
      </c>
      <c r="F942" s="28">
        <v>0</v>
      </c>
      <c r="G942" s="28" t="s">
        <v>125</v>
      </c>
      <c r="H942" s="28">
        <v>0</v>
      </c>
      <c r="J942" s="28"/>
    </row>
    <row r="943" spans="1:10" ht="15.75" customHeight="1">
      <c r="A943" s="28">
        <v>19181</v>
      </c>
      <c r="B943" s="91">
        <v>45102.554224537038</v>
      </c>
      <c r="C943" s="28" t="s">
        <v>10</v>
      </c>
      <c r="D943" s="28" t="s">
        <v>499</v>
      </c>
      <c r="E943" s="28" t="s">
        <v>28</v>
      </c>
      <c r="F943" s="28">
        <v>0</v>
      </c>
      <c r="G943" s="28" t="s">
        <v>119</v>
      </c>
      <c r="H943" s="28">
        <v>0</v>
      </c>
      <c r="J943" s="28"/>
    </row>
    <row r="944" spans="1:10" ht="15.75" customHeight="1">
      <c r="A944" s="28">
        <v>19180</v>
      </c>
      <c r="B944" s="91">
        <v>45102.550983796296</v>
      </c>
      <c r="C944" s="28" t="s">
        <v>10</v>
      </c>
      <c r="D944" s="28" t="s">
        <v>500</v>
      </c>
      <c r="E944" s="28" t="s">
        <v>28</v>
      </c>
      <c r="F944" s="28">
        <v>28</v>
      </c>
      <c r="G944" s="28" t="s">
        <v>143</v>
      </c>
      <c r="H944" s="28">
        <v>0</v>
      </c>
      <c r="J944" s="28"/>
    </row>
    <row r="945" spans="1:10" ht="15.75" customHeight="1">
      <c r="A945" s="28">
        <v>19179</v>
      </c>
      <c r="B945" s="91">
        <v>45102.549780092595</v>
      </c>
      <c r="C945" s="28" t="s">
        <v>10</v>
      </c>
      <c r="D945" s="28" t="s">
        <v>501</v>
      </c>
      <c r="E945" s="28" t="s">
        <v>28</v>
      </c>
      <c r="F945" s="28">
        <v>55</v>
      </c>
      <c r="G945" s="28">
        <v>101684</v>
      </c>
      <c r="H945" s="28">
        <v>0</v>
      </c>
      <c r="J945" s="28"/>
    </row>
    <row r="946" spans="1:10" ht="15.75" customHeight="1">
      <c r="A946" s="28">
        <v>19179</v>
      </c>
      <c r="B946" s="91">
        <v>45102.549780092595</v>
      </c>
      <c r="C946" s="28" t="s">
        <v>10</v>
      </c>
      <c r="D946" s="28" t="s">
        <v>501</v>
      </c>
      <c r="E946" s="28" t="s">
        <v>28</v>
      </c>
      <c r="F946" s="28">
        <v>0</v>
      </c>
      <c r="G946" s="28" t="s">
        <v>118</v>
      </c>
      <c r="H946" s="28">
        <v>0</v>
      </c>
      <c r="J946" s="28"/>
    </row>
    <row r="947" spans="1:10" ht="15.75" customHeight="1">
      <c r="A947" s="28">
        <v>19179</v>
      </c>
      <c r="B947" s="91">
        <v>45102.549780092595</v>
      </c>
      <c r="C947" s="28" t="s">
        <v>10</v>
      </c>
      <c r="D947" s="28" t="s">
        <v>501</v>
      </c>
      <c r="E947" s="28" t="s">
        <v>28</v>
      </c>
      <c r="F947" s="28">
        <v>0</v>
      </c>
      <c r="G947" s="28" t="s">
        <v>119</v>
      </c>
      <c r="H947" s="28">
        <v>0</v>
      </c>
      <c r="J947" s="28"/>
    </row>
    <row r="948" spans="1:10" ht="15.75" customHeight="1">
      <c r="A948" s="28">
        <v>19179</v>
      </c>
      <c r="B948" s="91">
        <v>45102.549780092595</v>
      </c>
      <c r="C948" s="28" t="s">
        <v>10</v>
      </c>
      <c r="D948" s="28" t="s">
        <v>501</v>
      </c>
      <c r="E948" s="28" t="s">
        <v>28</v>
      </c>
      <c r="F948" s="28">
        <v>0</v>
      </c>
      <c r="G948" s="28" t="s">
        <v>120</v>
      </c>
      <c r="H948" s="28">
        <v>0</v>
      </c>
      <c r="J948" s="28"/>
    </row>
    <row r="949" spans="1:10" ht="15.75" customHeight="1">
      <c r="A949" s="28">
        <v>19179</v>
      </c>
      <c r="B949" s="91">
        <v>45102.549780092595</v>
      </c>
      <c r="C949" s="28" t="s">
        <v>10</v>
      </c>
      <c r="D949" s="28" t="s">
        <v>501</v>
      </c>
      <c r="E949" s="28" t="s">
        <v>28</v>
      </c>
      <c r="F949" s="28">
        <v>0</v>
      </c>
      <c r="G949" s="28" t="s">
        <v>121</v>
      </c>
      <c r="H949" s="28">
        <v>0</v>
      </c>
      <c r="J949" s="28"/>
    </row>
    <row r="950" spans="1:10" ht="15.75" customHeight="1">
      <c r="A950" s="28">
        <v>19178</v>
      </c>
      <c r="B950" s="91">
        <v>45102.527800925927</v>
      </c>
      <c r="C950" s="28" t="s">
        <v>10</v>
      </c>
      <c r="D950" s="28" t="s">
        <v>502</v>
      </c>
      <c r="E950" s="28" t="s">
        <v>28</v>
      </c>
      <c r="F950" s="28">
        <v>20</v>
      </c>
      <c r="G950" s="28" t="s">
        <v>121</v>
      </c>
      <c r="H950" s="28">
        <v>0</v>
      </c>
      <c r="J950" s="28"/>
    </row>
    <row r="951" spans="1:10" ht="15.75" customHeight="1">
      <c r="A951" s="28">
        <v>19177</v>
      </c>
      <c r="B951" s="91">
        <v>45102.526539351849</v>
      </c>
      <c r="C951" s="28" t="s">
        <v>10</v>
      </c>
      <c r="D951" s="28" t="s">
        <v>503</v>
      </c>
      <c r="E951" s="28" t="s">
        <v>28</v>
      </c>
      <c r="F951" s="28">
        <v>20</v>
      </c>
      <c r="G951" s="28" t="s">
        <v>121</v>
      </c>
      <c r="H951" s="28">
        <v>0</v>
      </c>
      <c r="J951" s="28"/>
    </row>
    <row r="952" spans="1:10" ht="15.75" customHeight="1">
      <c r="A952" s="28">
        <v>19176</v>
      </c>
      <c r="B952" s="91">
        <v>45102.522060185191</v>
      </c>
      <c r="C952" s="28" t="s">
        <v>10</v>
      </c>
      <c r="D952" s="28" t="s">
        <v>504</v>
      </c>
      <c r="E952" s="28" t="s">
        <v>28</v>
      </c>
      <c r="F952" s="28">
        <v>35</v>
      </c>
      <c r="G952" s="28" t="s">
        <v>124</v>
      </c>
      <c r="H952" s="28">
        <v>0</v>
      </c>
      <c r="J952" s="28"/>
    </row>
    <row r="953" spans="1:10" ht="15.75" customHeight="1">
      <c r="A953" s="28">
        <v>19176</v>
      </c>
      <c r="B953" s="91">
        <v>45102.522060185191</v>
      </c>
      <c r="C953" s="28" t="s">
        <v>10</v>
      </c>
      <c r="D953" s="28" t="s">
        <v>504</v>
      </c>
      <c r="E953" s="28" t="s">
        <v>28</v>
      </c>
      <c r="F953" s="28">
        <v>0</v>
      </c>
      <c r="G953" s="28" t="s">
        <v>125</v>
      </c>
      <c r="H953" s="28">
        <v>0</v>
      </c>
      <c r="J953" s="28"/>
    </row>
    <row r="954" spans="1:10" ht="15.75" customHeight="1">
      <c r="A954" s="28">
        <v>19176</v>
      </c>
      <c r="B954" s="91">
        <v>45102.522060185191</v>
      </c>
      <c r="C954" s="28" t="s">
        <v>10</v>
      </c>
      <c r="D954" s="28" t="s">
        <v>504</v>
      </c>
      <c r="E954" s="28" t="s">
        <v>28</v>
      </c>
      <c r="F954" s="28">
        <v>0</v>
      </c>
      <c r="G954" s="28" t="s">
        <v>119</v>
      </c>
      <c r="H954" s="28">
        <v>0</v>
      </c>
      <c r="J954" s="28"/>
    </row>
    <row r="955" spans="1:10" ht="15.75" customHeight="1">
      <c r="A955" s="28">
        <v>19176</v>
      </c>
      <c r="B955" s="91">
        <v>45102.522060185191</v>
      </c>
      <c r="C955" s="28" t="s">
        <v>10</v>
      </c>
      <c r="D955" s="28" t="s">
        <v>504</v>
      </c>
      <c r="E955" s="28" t="s">
        <v>28</v>
      </c>
      <c r="F955" s="28">
        <v>0</v>
      </c>
      <c r="G955" s="28" t="s">
        <v>121</v>
      </c>
      <c r="H955" s="28">
        <v>0</v>
      </c>
      <c r="J955" s="28"/>
    </row>
    <row r="956" spans="1:10" ht="15.75" customHeight="1">
      <c r="A956" s="28">
        <v>19175</v>
      </c>
      <c r="B956" s="91">
        <v>45102.505277777775</v>
      </c>
      <c r="C956" s="28" t="s">
        <v>10</v>
      </c>
      <c r="D956" s="28" t="s">
        <v>503</v>
      </c>
      <c r="E956" s="28" t="s">
        <v>28</v>
      </c>
      <c r="F956" s="28">
        <v>18</v>
      </c>
      <c r="G956" s="28" t="s">
        <v>119</v>
      </c>
      <c r="H956" s="28">
        <v>0</v>
      </c>
      <c r="J956" s="28"/>
    </row>
    <row r="957" spans="1:10" ht="15.75" customHeight="1">
      <c r="A957" s="28">
        <v>19174</v>
      </c>
      <c r="B957" s="91">
        <v>45102.267754629633</v>
      </c>
      <c r="C957" s="28" t="s">
        <v>10</v>
      </c>
      <c r="D957" s="28" t="s">
        <v>505</v>
      </c>
      <c r="E957" s="28" t="s">
        <v>28</v>
      </c>
      <c r="F957" s="28">
        <v>0</v>
      </c>
      <c r="G957" s="28" t="s">
        <v>117</v>
      </c>
      <c r="H957" s="28">
        <v>0</v>
      </c>
      <c r="J957" s="28"/>
    </row>
    <row r="958" spans="1:10" ht="15.75" customHeight="1">
      <c r="A958" s="28">
        <v>19174</v>
      </c>
      <c r="B958" s="91">
        <v>45102.267754629633</v>
      </c>
      <c r="C958" s="28" t="s">
        <v>10</v>
      </c>
      <c r="D958" s="28" t="s">
        <v>505</v>
      </c>
      <c r="E958" s="28" t="s">
        <v>28</v>
      </c>
      <c r="F958" s="28">
        <v>55</v>
      </c>
      <c r="G958" s="28">
        <v>101684</v>
      </c>
      <c r="H958" s="28">
        <v>0</v>
      </c>
      <c r="J958" s="28"/>
    </row>
    <row r="959" spans="1:10" ht="15.75" customHeight="1">
      <c r="A959" s="28">
        <v>19174</v>
      </c>
      <c r="B959" s="91">
        <v>45102.267754629633</v>
      </c>
      <c r="C959" s="28" t="s">
        <v>10</v>
      </c>
      <c r="D959" s="28" t="s">
        <v>505</v>
      </c>
      <c r="E959" s="28" t="s">
        <v>28</v>
      </c>
      <c r="F959" s="28">
        <v>0</v>
      </c>
      <c r="G959" s="28" t="s">
        <v>118</v>
      </c>
      <c r="H959" s="28">
        <v>0</v>
      </c>
      <c r="J959" s="28"/>
    </row>
    <row r="960" spans="1:10" ht="15.75" customHeight="1">
      <c r="A960" s="28">
        <v>19174</v>
      </c>
      <c r="B960" s="91">
        <v>45102.267754629633</v>
      </c>
      <c r="C960" s="28" t="s">
        <v>10</v>
      </c>
      <c r="D960" s="28" t="s">
        <v>505</v>
      </c>
      <c r="E960" s="28" t="s">
        <v>28</v>
      </c>
      <c r="F960" s="28">
        <v>0</v>
      </c>
      <c r="G960" s="28" t="s">
        <v>119</v>
      </c>
      <c r="H960" s="28">
        <v>0</v>
      </c>
      <c r="J960" s="28"/>
    </row>
    <row r="961" spans="1:10" ht="15.75" customHeight="1">
      <c r="A961" s="28">
        <v>19174</v>
      </c>
      <c r="B961" s="91">
        <v>45102.267754629633</v>
      </c>
      <c r="C961" s="28" t="s">
        <v>10</v>
      </c>
      <c r="D961" s="28" t="s">
        <v>505</v>
      </c>
      <c r="E961" s="28" t="s">
        <v>28</v>
      </c>
      <c r="F961" s="28">
        <v>0</v>
      </c>
      <c r="G961" s="28" t="s">
        <v>120</v>
      </c>
      <c r="H961" s="28">
        <v>0</v>
      </c>
      <c r="J961" s="28"/>
    </row>
    <row r="962" spans="1:10" ht="15.75" customHeight="1">
      <c r="A962" s="28">
        <v>19174</v>
      </c>
      <c r="B962" s="91">
        <v>45102.267754629633</v>
      </c>
      <c r="C962" s="28" t="s">
        <v>10</v>
      </c>
      <c r="D962" s="28" t="s">
        <v>505</v>
      </c>
      <c r="E962" s="28" t="s">
        <v>28</v>
      </c>
      <c r="F962" s="28">
        <v>0</v>
      </c>
      <c r="G962" s="28" t="s">
        <v>121</v>
      </c>
      <c r="H962" s="28">
        <v>0</v>
      </c>
      <c r="J962" s="28"/>
    </row>
    <row r="963" spans="1:10" ht="15.75" customHeight="1">
      <c r="A963" s="28">
        <v>19174</v>
      </c>
      <c r="B963" s="91">
        <v>45102.267754629633</v>
      </c>
      <c r="C963" s="28" t="s">
        <v>10</v>
      </c>
      <c r="D963" s="28" t="s">
        <v>505</v>
      </c>
      <c r="E963" s="28" t="s">
        <v>28</v>
      </c>
      <c r="F963" s="28">
        <v>25</v>
      </c>
      <c r="G963" s="28" t="s">
        <v>141</v>
      </c>
      <c r="H963" s="28">
        <v>0</v>
      </c>
      <c r="J963" s="28"/>
    </row>
    <row r="964" spans="1:10" ht="15.75" customHeight="1">
      <c r="A964" s="28">
        <v>19173</v>
      </c>
      <c r="B964" s="91">
        <v>45102.22625</v>
      </c>
      <c r="C964" s="28" t="s">
        <v>10</v>
      </c>
      <c r="D964" s="28" t="s">
        <v>506</v>
      </c>
      <c r="E964" s="28" t="s">
        <v>39</v>
      </c>
      <c r="F964" s="28">
        <v>28</v>
      </c>
      <c r="G964" s="28" t="s">
        <v>143</v>
      </c>
      <c r="H964" s="28">
        <v>0</v>
      </c>
      <c r="J964" s="28"/>
    </row>
    <row r="965" spans="1:10" ht="15.75" customHeight="1">
      <c r="A965" s="28">
        <v>19172</v>
      </c>
      <c r="B965" s="91">
        <v>45102.13548611111</v>
      </c>
      <c r="C965" s="28" t="s">
        <v>10</v>
      </c>
      <c r="D965" s="28" t="s">
        <v>507</v>
      </c>
      <c r="E965" s="28" t="s">
        <v>28</v>
      </c>
      <c r="F965" s="28">
        <v>20</v>
      </c>
      <c r="G965" s="28" t="s">
        <v>148</v>
      </c>
      <c r="H965" s="28">
        <v>0</v>
      </c>
      <c r="J965" s="28"/>
    </row>
    <row r="966" spans="1:10" ht="15.75" customHeight="1">
      <c r="A966" s="28">
        <v>19171</v>
      </c>
      <c r="B966" s="91">
        <v>45102.133703703701</v>
      </c>
      <c r="C966" s="28" t="s">
        <v>10</v>
      </c>
      <c r="D966" s="28" t="s">
        <v>508</v>
      </c>
      <c r="E966" s="28" t="s">
        <v>28</v>
      </c>
      <c r="F966" s="28">
        <v>20</v>
      </c>
      <c r="G966" s="28" t="s">
        <v>148</v>
      </c>
      <c r="H966" s="28">
        <v>0</v>
      </c>
      <c r="J966" s="28"/>
    </row>
    <row r="967" spans="1:10" ht="15.75" customHeight="1">
      <c r="A967" s="28">
        <v>19170</v>
      </c>
      <c r="B967" s="91">
        <v>45102.132569444446</v>
      </c>
      <c r="C967" s="28" t="s">
        <v>10</v>
      </c>
      <c r="D967" s="28" t="s">
        <v>509</v>
      </c>
      <c r="E967" s="28" t="s">
        <v>28</v>
      </c>
      <c r="F967" s="28">
        <v>20</v>
      </c>
      <c r="G967" s="28" t="s">
        <v>148</v>
      </c>
      <c r="H967" s="28">
        <v>0</v>
      </c>
      <c r="J967" s="28"/>
    </row>
    <row r="968" spans="1:10" ht="15.75" customHeight="1">
      <c r="A968" s="28">
        <v>19169</v>
      </c>
      <c r="B968" s="91">
        <v>45102.032048611116</v>
      </c>
      <c r="C968" s="28" t="s">
        <v>10</v>
      </c>
      <c r="D968" s="28" t="s">
        <v>510</v>
      </c>
      <c r="E968" s="28" t="s">
        <v>88</v>
      </c>
      <c r="F968" s="28">
        <v>25</v>
      </c>
      <c r="G968" s="28">
        <v>100692</v>
      </c>
      <c r="H968" s="28">
        <v>0</v>
      </c>
      <c r="J968" s="28"/>
    </row>
    <row r="969" spans="1:10" ht="15.75" customHeight="1">
      <c r="A969" s="28">
        <v>19169</v>
      </c>
      <c r="B969" s="91">
        <v>45102.032048611116</v>
      </c>
      <c r="C969" s="28" t="s">
        <v>10</v>
      </c>
      <c r="D969" s="28" t="s">
        <v>510</v>
      </c>
      <c r="E969" s="28" t="s">
        <v>88</v>
      </c>
      <c r="F969" s="28">
        <v>0</v>
      </c>
      <c r="G969" s="28" t="s">
        <v>125</v>
      </c>
      <c r="H969" s="28">
        <v>0</v>
      </c>
      <c r="J969" s="28"/>
    </row>
    <row r="970" spans="1:10" ht="15.75" customHeight="1">
      <c r="A970" s="28">
        <v>19169</v>
      </c>
      <c r="B970" s="91">
        <v>45102.032048611116</v>
      </c>
      <c r="C970" s="28" t="s">
        <v>10</v>
      </c>
      <c r="D970" s="28" t="s">
        <v>510</v>
      </c>
      <c r="E970" s="28" t="s">
        <v>88</v>
      </c>
      <c r="F970" s="28">
        <v>0</v>
      </c>
      <c r="G970" s="28" t="s">
        <v>119</v>
      </c>
      <c r="H970" s="28">
        <v>0</v>
      </c>
      <c r="J970" s="28"/>
    </row>
    <row r="971" spans="1:10" ht="15.75" customHeight="1">
      <c r="A971" s="28">
        <v>19168</v>
      </c>
      <c r="B971" s="91">
        <v>45101.852870370371</v>
      </c>
      <c r="C971" s="28" t="s">
        <v>10</v>
      </c>
      <c r="D971" s="28" t="s">
        <v>511</v>
      </c>
      <c r="E971" s="28" t="s">
        <v>28</v>
      </c>
      <c r="F971" s="28">
        <v>26</v>
      </c>
      <c r="G971" s="28" t="s">
        <v>122</v>
      </c>
      <c r="H971" s="28">
        <v>0</v>
      </c>
      <c r="J971" s="28"/>
    </row>
    <row r="972" spans="1:10" ht="15.75" customHeight="1">
      <c r="A972" s="28">
        <v>19168</v>
      </c>
      <c r="B972" s="91">
        <v>45101.852870370371</v>
      </c>
      <c r="C972" s="28" t="s">
        <v>10</v>
      </c>
      <c r="D972" s="28" t="s">
        <v>511</v>
      </c>
      <c r="E972" s="28" t="s">
        <v>28</v>
      </c>
      <c r="F972" s="28">
        <v>0</v>
      </c>
      <c r="G972" s="28" t="s">
        <v>286</v>
      </c>
      <c r="H972" s="28">
        <v>0</v>
      </c>
      <c r="J972" s="28"/>
    </row>
    <row r="973" spans="1:10" ht="15.75" customHeight="1">
      <c r="A973" s="28">
        <v>19168</v>
      </c>
      <c r="B973" s="91">
        <v>45101.852870370371</v>
      </c>
      <c r="C973" s="28" t="s">
        <v>10</v>
      </c>
      <c r="D973" s="28" t="s">
        <v>511</v>
      </c>
      <c r="E973" s="28" t="s">
        <v>28</v>
      </c>
      <c r="F973" s="28">
        <v>0</v>
      </c>
      <c r="G973" s="28" t="s">
        <v>117</v>
      </c>
      <c r="H973" s="28">
        <v>0</v>
      </c>
      <c r="J973" s="28"/>
    </row>
    <row r="974" spans="1:10" ht="15.75" customHeight="1">
      <c r="A974" s="28">
        <v>19167</v>
      </c>
      <c r="B974" s="91">
        <v>45101.848043981481</v>
      </c>
      <c r="C974" s="28" t="s">
        <v>10</v>
      </c>
      <c r="D974" s="28" t="s">
        <v>512</v>
      </c>
      <c r="E974" s="28" t="s">
        <v>28</v>
      </c>
      <c r="F974" s="28">
        <v>0</v>
      </c>
      <c r="G974" s="28" t="s">
        <v>286</v>
      </c>
      <c r="H974" s="28">
        <v>0</v>
      </c>
      <c r="J974" s="28"/>
    </row>
    <row r="975" spans="1:10" ht="15.75" customHeight="1">
      <c r="A975" s="28">
        <v>19167</v>
      </c>
      <c r="B975" s="91">
        <v>45101.848043981481</v>
      </c>
      <c r="C975" s="28" t="s">
        <v>10</v>
      </c>
      <c r="D975" s="28" t="s">
        <v>512</v>
      </c>
      <c r="E975" s="28" t="s">
        <v>28</v>
      </c>
      <c r="F975" s="28">
        <v>0</v>
      </c>
      <c r="G975" s="28" t="s">
        <v>117</v>
      </c>
      <c r="H975" s="28">
        <v>0</v>
      </c>
      <c r="J975" s="28"/>
    </row>
    <row r="976" spans="1:10" ht="15.75" customHeight="1">
      <c r="A976" s="28">
        <v>19167</v>
      </c>
      <c r="B976" s="91">
        <v>45101.848043981481</v>
      </c>
      <c r="C976" s="28" t="s">
        <v>10</v>
      </c>
      <c r="D976" s="28" t="s">
        <v>512</v>
      </c>
      <c r="E976" s="28" t="s">
        <v>28</v>
      </c>
      <c r="F976" s="28">
        <v>26</v>
      </c>
      <c r="G976" s="28" t="s">
        <v>122</v>
      </c>
      <c r="H976" s="28">
        <v>0</v>
      </c>
      <c r="J976" s="28"/>
    </row>
    <row r="977" spans="1:10" ht="15.75" customHeight="1">
      <c r="A977" s="28">
        <v>19166</v>
      </c>
      <c r="B977" s="91">
        <v>45101.814317129625</v>
      </c>
      <c r="C977" s="28" t="s">
        <v>10</v>
      </c>
      <c r="D977" s="28" t="s">
        <v>513</v>
      </c>
      <c r="E977" s="28" t="s">
        <v>28</v>
      </c>
      <c r="F977" s="28">
        <v>18</v>
      </c>
      <c r="G977" s="28" t="s">
        <v>119</v>
      </c>
      <c r="H977" s="28">
        <v>0</v>
      </c>
      <c r="J977" s="28"/>
    </row>
    <row r="978" spans="1:10" ht="15.75" customHeight="1">
      <c r="A978" s="28">
        <v>19165</v>
      </c>
      <c r="B978" s="91">
        <v>45101.811412037037</v>
      </c>
      <c r="C978" s="28" t="s">
        <v>10</v>
      </c>
      <c r="D978" s="28" t="s">
        <v>514</v>
      </c>
      <c r="E978" s="28" t="s">
        <v>28</v>
      </c>
      <c r="F978" s="28">
        <v>15</v>
      </c>
      <c r="G978" s="28" t="s">
        <v>139</v>
      </c>
      <c r="H978" s="28">
        <v>0</v>
      </c>
      <c r="J978" s="28"/>
    </row>
    <row r="979" spans="1:10" ht="15.75" customHeight="1">
      <c r="A979" s="28">
        <v>19165</v>
      </c>
      <c r="B979" s="91">
        <v>45101.811412037037</v>
      </c>
      <c r="C979" s="28" t="s">
        <v>10</v>
      </c>
      <c r="D979" s="28" t="s">
        <v>514</v>
      </c>
      <c r="E979" s="28" t="s">
        <v>28</v>
      </c>
      <c r="F979" s="28">
        <v>18</v>
      </c>
      <c r="G979" s="28" t="s">
        <v>119</v>
      </c>
      <c r="H979" s="28">
        <v>0</v>
      </c>
      <c r="J979" s="28"/>
    </row>
    <row r="980" spans="1:10" ht="15.75" customHeight="1">
      <c r="A980" s="28">
        <v>19164</v>
      </c>
      <c r="B980" s="91">
        <v>45101.774537037039</v>
      </c>
      <c r="C980" s="28" t="s">
        <v>10</v>
      </c>
      <c r="D980" s="28" t="s">
        <v>515</v>
      </c>
      <c r="E980" s="28" t="s">
        <v>28</v>
      </c>
      <c r="F980" s="28">
        <v>0</v>
      </c>
      <c r="G980" s="28" t="s">
        <v>286</v>
      </c>
      <c r="H980" s="28">
        <v>0</v>
      </c>
      <c r="J980" s="28"/>
    </row>
    <row r="981" spans="1:10" ht="15.75" customHeight="1">
      <c r="A981" s="28">
        <v>19164</v>
      </c>
      <c r="B981" s="91">
        <v>45101.774537037039</v>
      </c>
      <c r="C981" s="28" t="s">
        <v>10</v>
      </c>
      <c r="D981" s="28" t="s">
        <v>515</v>
      </c>
      <c r="E981" s="28" t="s">
        <v>28</v>
      </c>
      <c r="F981" s="28">
        <v>0</v>
      </c>
      <c r="G981" s="28" t="s">
        <v>117</v>
      </c>
      <c r="H981" s="28">
        <v>0</v>
      </c>
      <c r="J981" s="28"/>
    </row>
    <row r="982" spans="1:10" ht="15.75" customHeight="1">
      <c r="A982" s="28">
        <v>19164</v>
      </c>
      <c r="B982" s="91">
        <v>45101.774537037039</v>
      </c>
      <c r="C982" s="28" t="s">
        <v>10</v>
      </c>
      <c r="D982" s="28" t="s">
        <v>515</v>
      </c>
      <c r="E982" s="28" t="s">
        <v>28</v>
      </c>
      <c r="F982" s="28">
        <v>18</v>
      </c>
      <c r="G982" s="28" t="s">
        <v>119</v>
      </c>
      <c r="H982" s="28">
        <v>0</v>
      </c>
      <c r="J982" s="28"/>
    </row>
    <row r="983" spans="1:10" ht="15.75" customHeight="1">
      <c r="A983" s="28">
        <v>19163</v>
      </c>
      <c r="B983" s="91">
        <v>45101.71402777778</v>
      </c>
      <c r="C983" s="28" t="s">
        <v>10</v>
      </c>
      <c r="D983" s="28" t="s">
        <v>516</v>
      </c>
      <c r="E983" s="28" t="s">
        <v>28</v>
      </c>
      <c r="F983" s="28">
        <v>26</v>
      </c>
      <c r="G983" s="28" t="s">
        <v>122</v>
      </c>
      <c r="H983" s="28">
        <v>0</v>
      </c>
      <c r="J983" s="28"/>
    </row>
    <row r="984" spans="1:10" ht="15.75" customHeight="1">
      <c r="A984" s="28">
        <v>19162</v>
      </c>
      <c r="B984" s="91">
        <v>45101.713090277779</v>
      </c>
      <c r="C984" s="28" t="s">
        <v>10</v>
      </c>
      <c r="D984" s="28" t="s">
        <v>517</v>
      </c>
      <c r="E984" s="28" t="s">
        <v>28</v>
      </c>
      <c r="F984" s="28">
        <v>25</v>
      </c>
      <c r="G984" s="28">
        <v>100692</v>
      </c>
      <c r="H984" s="28">
        <v>0</v>
      </c>
      <c r="J984" s="28"/>
    </row>
    <row r="985" spans="1:10" ht="15.75" customHeight="1">
      <c r="A985" s="28">
        <v>19162</v>
      </c>
      <c r="B985" s="91">
        <v>45101.713090277779</v>
      </c>
      <c r="C985" s="28" t="s">
        <v>10</v>
      </c>
      <c r="D985" s="28" t="s">
        <v>517</v>
      </c>
      <c r="E985" s="28" t="s">
        <v>28</v>
      </c>
      <c r="F985" s="28">
        <v>0</v>
      </c>
      <c r="G985" s="28" t="s">
        <v>125</v>
      </c>
      <c r="H985" s="28">
        <v>0</v>
      </c>
      <c r="J985" s="28"/>
    </row>
    <row r="986" spans="1:10" ht="15.75" customHeight="1">
      <c r="A986" s="28">
        <v>19162</v>
      </c>
      <c r="B986" s="91">
        <v>45101.713090277779</v>
      </c>
      <c r="C986" s="28" t="s">
        <v>10</v>
      </c>
      <c r="D986" s="28" t="s">
        <v>517</v>
      </c>
      <c r="E986" s="28" t="s">
        <v>28</v>
      </c>
      <c r="F986" s="28">
        <v>0</v>
      </c>
      <c r="G986" s="28" t="s">
        <v>119</v>
      </c>
      <c r="H986" s="28">
        <v>0</v>
      </c>
      <c r="J986" s="28"/>
    </row>
    <row r="987" spans="1:10" ht="15.75" customHeight="1">
      <c r="A987" s="28">
        <v>19161</v>
      </c>
      <c r="B987" s="91">
        <v>45101.689328703702</v>
      </c>
      <c r="C987" s="28" t="s">
        <v>10</v>
      </c>
      <c r="D987" s="28" t="s">
        <v>518</v>
      </c>
      <c r="E987" s="28" t="s">
        <v>28</v>
      </c>
      <c r="F987" s="28">
        <v>35</v>
      </c>
      <c r="G987" s="28" t="s">
        <v>124</v>
      </c>
      <c r="H987" s="28">
        <v>0</v>
      </c>
      <c r="J987" s="28"/>
    </row>
    <row r="988" spans="1:10" ht="15.75" customHeight="1">
      <c r="A988" s="28">
        <v>19161</v>
      </c>
      <c r="B988" s="91">
        <v>45101.689328703702</v>
      </c>
      <c r="C988" s="28" t="s">
        <v>10</v>
      </c>
      <c r="D988" s="28" t="s">
        <v>518</v>
      </c>
      <c r="E988" s="28" t="s">
        <v>28</v>
      </c>
      <c r="F988" s="28">
        <v>0</v>
      </c>
      <c r="G988" s="28" t="s">
        <v>125</v>
      </c>
      <c r="H988" s="28">
        <v>0</v>
      </c>
      <c r="J988" s="28"/>
    </row>
    <row r="989" spans="1:10" ht="15.75" customHeight="1">
      <c r="A989" s="28">
        <v>19161</v>
      </c>
      <c r="B989" s="91">
        <v>45101.689328703702</v>
      </c>
      <c r="C989" s="28" t="s">
        <v>10</v>
      </c>
      <c r="D989" s="28" t="s">
        <v>518</v>
      </c>
      <c r="E989" s="28" t="s">
        <v>28</v>
      </c>
      <c r="F989" s="28">
        <v>0</v>
      </c>
      <c r="G989" s="28" t="s">
        <v>119</v>
      </c>
      <c r="H989" s="28">
        <v>0</v>
      </c>
      <c r="J989" s="28"/>
    </row>
    <row r="990" spans="1:10" ht="15.75" customHeight="1">
      <c r="A990" s="28">
        <v>19161</v>
      </c>
      <c r="B990" s="91">
        <v>45101.689328703702</v>
      </c>
      <c r="C990" s="28" t="s">
        <v>10</v>
      </c>
      <c r="D990" s="28" t="s">
        <v>518</v>
      </c>
      <c r="E990" s="28" t="s">
        <v>28</v>
      </c>
      <c r="F990" s="28">
        <v>0</v>
      </c>
      <c r="G990" s="28" t="s">
        <v>121</v>
      </c>
      <c r="H990" s="28">
        <v>0</v>
      </c>
      <c r="J990" s="28"/>
    </row>
    <row r="991" spans="1:10" ht="15.75" customHeight="1">
      <c r="A991" s="28">
        <v>19160</v>
      </c>
      <c r="B991" s="91">
        <v>45101.688055555554</v>
      </c>
      <c r="C991" s="28" t="s">
        <v>10</v>
      </c>
      <c r="D991" s="28" t="s">
        <v>519</v>
      </c>
      <c r="E991" s="28" t="s">
        <v>28</v>
      </c>
      <c r="F991" s="28">
        <v>0</v>
      </c>
      <c r="G991" s="28" t="s">
        <v>117</v>
      </c>
      <c r="H991" s="28">
        <v>0</v>
      </c>
      <c r="J991" s="28"/>
    </row>
    <row r="992" spans="1:10" ht="15.75" customHeight="1">
      <c r="A992" s="28">
        <v>19160</v>
      </c>
      <c r="B992" s="91">
        <v>45101.688055555554</v>
      </c>
      <c r="C992" s="28" t="s">
        <v>10</v>
      </c>
      <c r="D992" s="28" t="s">
        <v>519</v>
      </c>
      <c r="E992" s="28" t="s">
        <v>28</v>
      </c>
      <c r="F992" s="28">
        <v>25</v>
      </c>
      <c r="G992" s="28">
        <v>100692</v>
      </c>
      <c r="H992" s="28">
        <v>0</v>
      </c>
      <c r="J992" s="28"/>
    </row>
    <row r="993" spans="1:10" ht="15.75" customHeight="1">
      <c r="A993" s="28">
        <v>19160</v>
      </c>
      <c r="B993" s="91">
        <v>45101.688055555554</v>
      </c>
      <c r="C993" s="28" t="s">
        <v>10</v>
      </c>
      <c r="D993" s="28" t="s">
        <v>519</v>
      </c>
      <c r="E993" s="28" t="s">
        <v>28</v>
      </c>
      <c r="F993" s="28">
        <v>0</v>
      </c>
      <c r="G993" s="28" t="s">
        <v>125</v>
      </c>
      <c r="H993" s="28">
        <v>0</v>
      </c>
      <c r="J993" s="28"/>
    </row>
    <row r="994" spans="1:10" ht="15.75" customHeight="1">
      <c r="A994" s="28">
        <v>19160</v>
      </c>
      <c r="B994" s="91">
        <v>45101.688055555554</v>
      </c>
      <c r="C994" s="28" t="s">
        <v>10</v>
      </c>
      <c r="D994" s="28" t="s">
        <v>519</v>
      </c>
      <c r="E994" s="28" t="s">
        <v>28</v>
      </c>
      <c r="F994" s="28">
        <v>0</v>
      </c>
      <c r="G994" s="28" t="s">
        <v>119</v>
      </c>
      <c r="H994" s="28">
        <v>0</v>
      </c>
      <c r="J994" s="28"/>
    </row>
    <row r="995" spans="1:10" ht="15.75" customHeight="1">
      <c r="A995" s="28">
        <v>19159</v>
      </c>
      <c r="B995" s="91">
        <v>45101.684224537035</v>
      </c>
      <c r="C995" s="28" t="s">
        <v>10</v>
      </c>
      <c r="D995" s="28" t="s">
        <v>520</v>
      </c>
      <c r="E995" s="28" t="s">
        <v>28</v>
      </c>
      <c r="F995" s="28">
        <v>20</v>
      </c>
      <c r="G995" s="28" t="s">
        <v>148</v>
      </c>
      <c r="H995" s="28">
        <v>0</v>
      </c>
      <c r="J995" s="28"/>
    </row>
    <row r="996" spans="1:10" ht="15.75" customHeight="1">
      <c r="A996" s="28">
        <v>19158</v>
      </c>
      <c r="B996" s="91">
        <v>45101.681400462963</v>
      </c>
      <c r="C996" s="28" t="s">
        <v>10</v>
      </c>
      <c r="D996" s="28" t="s">
        <v>521</v>
      </c>
      <c r="E996" s="28" t="s">
        <v>28</v>
      </c>
      <c r="F996" s="28">
        <v>15</v>
      </c>
      <c r="G996" s="28" t="s">
        <v>170</v>
      </c>
      <c r="H996" s="28">
        <v>0</v>
      </c>
      <c r="J996" s="28"/>
    </row>
    <row r="997" spans="1:10" ht="15.75" customHeight="1">
      <c r="A997" s="28">
        <v>19158</v>
      </c>
      <c r="B997" s="91">
        <v>45101.681400462963</v>
      </c>
      <c r="C997" s="28" t="s">
        <v>10</v>
      </c>
      <c r="D997" s="28" t="s">
        <v>521</v>
      </c>
      <c r="E997" s="28" t="s">
        <v>28</v>
      </c>
      <c r="F997" s="28">
        <v>25</v>
      </c>
      <c r="G997" s="28">
        <v>100692</v>
      </c>
      <c r="H997" s="28">
        <v>0</v>
      </c>
      <c r="J997" s="28"/>
    </row>
    <row r="998" spans="1:10" ht="15.75" customHeight="1">
      <c r="A998" s="28">
        <v>19158</v>
      </c>
      <c r="B998" s="91">
        <v>45101.681400462963</v>
      </c>
      <c r="C998" s="28" t="s">
        <v>10</v>
      </c>
      <c r="D998" s="28" t="s">
        <v>521</v>
      </c>
      <c r="E998" s="28" t="s">
        <v>28</v>
      </c>
      <c r="F998" s="28">
        <v>0</v>
      </c>
      <c r="G998" s="28" t="s">
        <v>125</v>
      </c>
      <c r="H998" s="28">
        <v>0</v>
      </c>
      <c r="J998" s="28"/>
    </row>
    <row r="999" spans="1:10" ht="15.75" customHeight="1">
      <c r="A999" s="28">
        <v>19158</v>
      </c>
      <c r="B999" s="91">
        <v>45101.681400462963</v>
      </c>
      <c r="C999" s="28" t="s">
        <v>10</v>
      </c>
      <c r="D999" s="28" t="s">
        <v>521</v>
      </c>
      <c r="E999" s="28" t="s">
        <v>28</v>
      </c>
      <c r="F999" s="28">
        <v>0</v>
      </c>
      <c r="G999" s="28" t="s">
        <v>119</v>
      </c>
      <c r="H999" s="28">
        <v>0</v>
      </c>
      <c r="J999" s="28"/>
    </row>
    <row r="1000" spans="1:10" ht="15.75" customHeight="1">
      <c r="A1000" s="28">
        <v>19157</v>
      </c>
      <c r="B1000" s="91">
        <v>45101.680555555555</v>
      </c>
      <c r="C1000" s="28" t="s">
        <v>10</v>
      </c>
      <c r="D1000" s="28" t="s">
        <v>522</v>
      </c>
      <c r="E1000" s="28" t="s">
        <v>89</v>
      </c>
      <c r="F1000" s="28">
        <v>18</v>
      </c>
      <c r="G1000" s="28" t="s">
        <v>119</v>
      </c>
      <c r="H1000" s="28">
        <v>0</v>
      </c>
      <c r="J1000" s="28"/>
    </row>
    <row r="1001" spans="1:10" ht="15.75" customHeight="1">
      <c r="A1001" s="28">
        <v>19157</v>
      </c>
      <c r="B1001" s="91">
        <v>45101.680555555555</v>
      </c>
      <c r="C1001" s="28" t="s">
        <v>10</v>
      </c>
      <c r="D1001" s="28" t="s">
        <v>522</v>
      </c>
      <c r="E1001" s="28" t="s">
        <v>89</v>
      </c>
      <c r="F1001" s="28">
        <v>0</v>
      </c>
      <c r="G1001" s="28" t="s">
        <v>117</v>
      </c>
      <c r="H1001" s="28">
        <v>0</v>
      </c>
      <c r="J1001" s="28"/>
    </row>
    <row r="1002" spans="1:10" ht="15.75" customHeight="1">
      <c r="A1002" s="28">
        <v>19156</v>
      </c>
      <c r="B1002" s="91">
        <v>45101.6799537037</v>
      </c>
      <c r="C1002" s="28" t="s">
        <v>10</v>
      </c>
      <c r="D1002" s="28" t="s">
        <v>523</v>
      </c>
      <c r="E1002" s="28" t="s">
        <v>28</v>
      </c>
      <c r="F1002" s="28">
        <v>25</v>
      </c>
      <c r="G1002" s="28">
        <v>100692</v>
      </c>
      <c r="H1002" s="28">
        <v>0</v>
      </c>
      <c r="J1002" s="28"/>
    </row>
    <row r="1003" spans="1:10" ht="15.75" customHeight="1">
      <c r="A1003" s="28">
        <v>19156</v>
      </c>
      <c r="B1003" s="91">
        <v>45101.6799537037</v>
      </c>
      <c r="C1003" s="28" t="s">
        <v>10</v>
      </c>
      <c r="D1003" s="28" t="s">
        <v>523</v>
      </c>
      <c r="E1003" s="28" t="s">
        <v>28</v>
      </c>
      <c r="F1003" s="28">
        <v>0</v>
      </c>
      <c r="G1003" s="28" t="s">
        <v>125</v>
      </c>
      <c r="H1003" s="28">
        <v>0</v>
      </c>
      <c r="J1003" s="28"/>
    </row>
    <row r="1004" spans="1:10" ht="15.75" customHeight="1">
      <c r="A1004" s="28">
        <v>19156</v>
      </c>
      <c r="B1004" s="91">
        <v>45101.6799537037</v>
      </c>
      <c r="C1004" s="28" t="s">
        <v>10</v>
      </c>
      <c r="D1004" s="28" t="s">
        <v>523</v>
      </c>
      <c r="E1004" s="28" t="s">
        <v>28</v>
      </c>
      <c r="F1004" s="28">
        <v>0</v>
      </c>
      <c r="G1004" s="28" t="s">
        <v>119</v>
      </c>
      <c r="H1004" s="28">
        <v>0</v>
      </c>
      <c r="J1004" s="28"/>
    </row>
    <row r="1005" spans="1:10" ht="15.75" customHeight="1">
      <c r="A1005" s="28">
        <v>19155</v>
      </c>
      <c r="B1005" s="91">
        <v>45101.674062499995</v>
      </c>
      <c r="C1005" s="28" t="s">
        <v>10</v>
      </c>
      <c r="D1005" s="28" t="s">
        <v>524</v>
      </c>
      <c r="E1005" s="28" t="s">
        <v>28</v>
      </c>
      <c r="F1005" s="28">
        <v>25</v>
      </c>
      <c r="G1005" s="28">
        <v>100692</v>
      </c>
      <c r="H1005" s="28">
        <v>0</v>
      </c>
      <c r="J1005" s="28"/>
    </row>
    <row r="1006" spans="1:10" ht="15.75" customHeight="1">
      <c r="A1006" s="28">
        <v>19155</v>
      </c>
      <c r="B1006" s="91">
        <v>45101.674062499995</v>
      </c>
      <c r="C1006" s="28" t="s">
        <v>10</v>
      </c>
      <c r="D1006" s="28" t="s">
        <v>524</v>
      </c>
      <c r="E1006" s="28" t="s">
        <v>28</v>
      </c>
      <c r="F1006" s="28">
        <v>0</v>
      </c>
      <c r="G1006" s="28" t="s">
        <v>125</v>
      </c>
      <c r="H1006" s="28">
        <v>0</v>
      </c>
      <c r="J1006" s="28"/>
    </row>
    <row r="1007" spans="1:10" ht="15.75" customHeight="1">
      <c r="A1007" s="28">
        <v>19155</v>
      </c>
      <c r="B1007" s="91">
        <v>45101.674062499995</v>
      </c>
      <c r="C1007" s="28" t="s">
        <v>10</v>
      </c>
      <c r="D1007" s="28" t="s">
        <v>524</v>
      </c>
      <c r="E1007" s="28" t="s">
        <v>28</v>
      </c>
      <c r="F1007" s="28">
        <v>0</v>
      </c>
      <c r="G1007" s="28" t="s">
        <v>119</v>
      </c>
      <c r="H1007" s="28">
        <v>0</v>
      </c>
      <c r="J1007" s="28"/>
    </row>
    <row r="1008" spans="1:10" ht="15.75" customHeight="1">
      <c r="A1008" s="28">
        <v>19154</v>
      </c>
      <c r="B1008" s="91">
        <v>45101.666620370372</v>
      </c>
      <c r="C1008" s="28" t="s">
        <v>10</v>
      </c>
      <c r="D1008" s="28" t="s">
        <v>525</v>
      </c>
      <c r="E1008" s="28" t="s">
        <v>28</v>
      </c>
      <c r="F1008" s="28">
        <v>15</v>
      </c>
      <c r="G1008" s="28" t="s">
        <v>125</v>
      </c>
      <c r="H1008" s="28">
        <v>0</v>
      </c>
      <c r="J1008" s="28"/>
    </row>
    <row r="1009" spans="1:10" ht="15.75" customHeight="1">
      <c r="A1009" s="28">
        <v>19153</v>
      </c>
      <c r="B1009" s="91">
        <v>45101.666446759264</v>
      </c>
      <c r="C1009" s="28" t="s">
        <v>10</v>
      </c>
      <c r="D1009" s="28" t="s">
        <v>526</v>
      </c>
      <c r="E1009" s="28" t="s">
        <v>28</v>
      </c>
      <c r="F1009" s="28">
        <v>25</v>
      </c>
      <c r="G1009" s="28">
        <v>100692</v>
      </c>
      <c r="H1009" s="28">
        <v>0</v>
      </c>
      <c r="J1009" s="28"/>
    </row>
    <row r="1010" spans="1:10" ht="15.75" customHeight="1">
      <c r="A1010" s="28">
        <v>19153</v>
      </c>
      <c r="B1010" s="91">
        <v>45101.666446759264</v>
      </c>
      <c r="C1010" s="28" t="s">
        <v>10</v>
      </c>
      <c r="D1010" s="28" t="s">
        <v>526</v>
      </c>
      <c r="E1010" s="28" t="s">
        <v>28</v>
      </c>
      <c r="F1010" s="28">
        <v>0</v>
      </c>
      <c r="G1010" s="28" t="s">
        <v>125</v>
      </c>
      <c r="H1010" s="28">
        <v>0</v>
      </c>
      <c r="J1010" s="28"/>
    </row>
    <row r="1011" spans="1:10" ht="15.75" customHeight="1">
      <c r="A1011" s="28">
        <v>19153</v>
      </c>
      <c r="B1011" s="91">
        <v>45101.666446759264</v>
      </c>
      <c r="C1011" s="28" t="s">
        <v>10</v>
      </c>
      <c r="D1011" s="28" t="s">
        <v>526</v>
      </c>
      <c r="E1011" s="28" t="s">
        <v>28</v>
      </c>
      <c r="F1011" s="28">
        <v>0</v>
      </c>
      <c r="G1011" s="28" t="s">
        <v>119</v>
      </c>
      <c r="H1011" s="28">
        <v>0</v>
      </c>
      <c r="J1011" s="28"/>
    </row>
    <row r="1012" spans="1:10" ht="15.75" customHeight="1">
      <c r="A1012" s="28">
        <v>19152</v>
      </c>
      <c r="B1012" s="91">
        <v>45101.663634259261</v>
      </c>
      <c r="C1012" s="28" t="s">
        <v>10</v>
      </c>
      <c r="D1012" s="28" t="s">
        <v>527</v>
      </c>
      <c r="E1012" s="28" t="s">
        <v>28</v>
      </c>
      <c r="F1012" s="28">
        <v>26</v>
      </c>
      <c r="G1012" s="28" t="s">
        <v>122</v>
      </c>
      <c r="H1012" s="28">
        <v>0</v>
      </c>
      <c r="J1012" s="28"/>
    </row>
    <row r="1013" spans="1:10" ht="15.75" customHeight="1">
      <c r="A1013" s="28">
        <v>19152</v>
      </c>
      <c r="B1013" s="91">
        <v>45101.663634259261</v>
      </c>
      <c r="C1013" s="28" t="s">
        <v>10</v>
      </c>
      <c r="D1013" s="28" t="s">
        <v>527</v>
      </c>
      <c r="E1013" s="28" t="s">
        <v>28</v>
      </c>
      <c r="F1013" s="28">
        <v>22</v>
      </c>
      <c r="G1013" s="28" t="s">
        <v>137</v>
      </c>
      <c r="H1013" s="28">
        <v>0</v>
      </c>
      <c r="J1013" s="28"/>
    </row>
    <row r="1014" spans="1:10" ht="15.75" customHeight="1">
      <c r="A1014" s="28">
        <v>19151</v>
      </c>
      <c r="B1014" s="91">
        <v>45101.65042824074</v>
      </c>
      <c r="C1014" s="28" t="s">
        <v>10</v>
      </c>
      <c r="D1014" s="28" t="s">
        <v>528</v>
      </c>
      <c r="E1014" s="28" t="s">
        <v>28</v>
      </c>
      <c r="F1014" s="28">
        <v>18</v>
      </c>
      <c r="G1014" s="28" t="s">
        <v>119</v>
      </c>
      <c r="H1014" s="28">
        <v>0</v>
      </c>
      <c r="J1014" s="28"/>
    </row>
    <row r="1015" spans="1:10" ht="15.75" customHeight="1">
      <c r="A1015" s="28">
        <v>19150</v>
      </c>
      <c r="B1015" s="91">
        <v>45101.648680555554</v>
      </c>
      <c r="C1015" s="28" t="s">
        <v>10</v>
      </c>
      <c r="D1015" s="28" t="s">
        <v>529</v>
      </c>
      <c r="E1015" s="28" t="s">
        <v>28</v>
      </c>
      <c r="F1015" s="28">
        <v>30</v>
      </c>
      <c r="G1015" s="28" t="s">
        <v>125</v>
      </c>
      <c r="H1015" s="28">
        <v>0</v>
      </c>
      <c r="J1015" s="28"/>
    </row>
    <row r="1016" spans="1:10" ht="15.75" customHeight="1">
      <c r="A1016" s="28">
        <v>19150</v>
      </c>
      <c r="B1016" s="91">
        <v>45101.648680555554</v>
      </c>
      <c r="C1016" s="28" t="s">
        <v>10</v>
      </c>
      <c r="D1016" s="28" t="s">
        <v>529</v>
      </c>
      <c r="E1016" s="28" t="s">
        <v>28</v>
      </c>
      <c r="F1016" s="28">
        <v>18</v>
      </c>
      <c r="G1016" s="28" t="s">
        <v>119</v>
      </c>
      <c r="H1016" s="28">
        <v>0</v>
      </c>
      <c r="J1016" s="28"/>
    </row>
    <row r="1017" spans="1:10" ht="15.75" customHeight="1">
      <c r="A1017" s="28">
        <v>19149</v>
      </c>
      <c r="B1017" s="91">
        <v>45101.648483796293</v>
      </c>
      <c r="C1017" s="28" t="s">
        <v>10</v>
      </c>
      <c r="D1017" s="28" t="s">
        <v>530</v>
      </c>
      <c r="E1017" s="28" t="s">
        <v>28</v>
      </c>
      <c r="F1017" s="28">
        <v>18</v>
      </c>
      <c r="G1017" s="28" t="s">
        <v>119</v>
      </c>
      <c r="H1017" s="28">
        <v>0</v>
      </c>
      <c r="J1017" s="28"/>
    </row>
    <row r="1018" spans="1:10" ht="15.75" customHeight="1">
      <c r="A1018" s="28">
        <v>19148</v>
      </c>
      <c r="B1018" s="91">
        <v>45101.647187499999</v>
      </c>
      <c r="C1018" s="28" t="s">
        <v>10</v>
      </c>
      <c r="D1018" s="28" t="s">
        <v>502</v>
      </c>
      <c r="E1018" s="28" t="s">
        <v>28</v>
      </c>
      <c r="F1018" s="28">
        <v>18</v>
      </c>
      <c r="G1018" s="28" t="s">
        <v>119</v>
      </c>
      <c r="H1018" s="28">
        <v>0</v>
      </c>
      <c r="J1018" s="28"/>
    </row>
    <row r="1019" spans="1:10" ht="15.75" customHeight="1">
      <c r="A1019" s="28">
        <v>19147</v>
      </c>
      <c r="B1019" s="91">
        <v>45101.643842592588</v>
      </c>
      <c r="C1019" s="28" t="s">
        <v>10</v>
      </c>
      <c r="D1019" s="28" t="s">
        <v>531</v>
      </c>
      <c r="E1019" s="28" t="s">
        <v>28</v>
      </c>
      <c r="F1019" s="28">
        <v>0</v>
      </c>
      <c r="G1019" s="28" t="s">
        <v>286</v>
      </c>
      <c r="H1019" s="28">
        <v>0</v>
      </c>
      <c r="J1019" s="28"/>
    </row>
    <row r="1020" spans="1:10" ht="15.75" customHeight="1">
      <c r="A1020" s="28">
        <v>19146</v>
      </c>
      <c r="B1020" s="91">
        <v>45101.642268518517</v>
      </c>
      <c r="C1020" s="28" t="s">
        <v>10</v>
      </c>
      <c r="D1020" s="28" t="s">
        <v>532</v>
      </c>
      <c r="E1020" s="28" t="s">
        <v>28</v>
      </c>
      <c r="F1020" s="28">
        <v>30</v>
      </c>
      <c r="G1020" s="28" t="s">
        <v>125</v>
      </c>
      <c r="H1020" s="28">
        <v>0</v>
      </c>
      <c r="J1020" s="28"/>
    </row>
    <row r="1021" spans="1:10" ht="15.75" customHeight="1">
      <c r="A1021" s="28">
        <v>19145</v>
      </c>
      <c r="B1021" s="91">
        <v>45101.638668981483</v>
      </c>
      <c r="C1021" s="28" t="s">
        <v>10</v>
      </c>
      <c r="D1021" s="28" t="s">
        <v>533</v>
      </c>
      <c r="E1021" s="28" t="s">
        <v>28</v>
      </c>
      <c r="F1021" s="28">
        <v>22</v>
      </c>
      <c r="G1021" s="28" t="s">
        <v>137</v>
      </c>
      <c r="H1021" s="28">
        <v>0</v>
      </c>
      <c r="J1021" s="28"/>
    </row>
    <row r="1022" spans="1:10" ht="15.75" customHeight="1">
      <c r="A1022" s="28">
        <v>19144</v>
      </c>
      <c r="B1022" s="91">
        <v>45101.633263888885</v>
      </c>
      <c r="C1022" s="28" t="s">
        <v>52</v>
      </c>
      <c r="D1022" s="28" t="s">
        <v>534</v>
      </c>
      <c r="E1022" s="28" t="s">
        <v>28</v>
      </c>
      <c r="F1022" s="28">
        <v>22</v>
      </c>
      <c r="G1022" s="28" t="s">
        <v>137</v>
      </c>
      <c r="H1022" s="28">
        <v>0</v>
      </c>
      <c r="J1022" s="28"/>
    </row>
    <row r="1023" spans="1:10" ht="15.75" customHeight="1">
      <c r="A1023" s="28">
        <v>19143</v>
      </c>
      <c r="B1023" s="91">
        <v>45101.6330787037</v>
      </c>
      <c r="C1023" s="28" t="s">
        <v>10</v>
      </c>
      <c r="D1023" s="28" t="s">
        <v>226</v>
      </c>
      <c r="E1023" s="28" t="s">
        <v>28</v>
      </c>
      <c r="F1023" s="28">
        <v>25</v>
      </c>
      <c r="G1023" s="28">
        <v>100692</v>
      </c>
      <c r="H1023" s="28">
        <v>0</v>
      </c>
      <c r="J1023" s="28"/>
    </row>
    <row r="1024" spans="1:10" ht="15.75" customHeight="1">
      <c r="A1024" s="28">
        <v>19143</v>
      </c>
      <c r="B1024" s="91">
        <v>45101.6330787037</v>
      </c>
      <c r="C1024" s="28" t="s">
        <v>10</v>
      </c>
      <c r="D1024" s="28" t="s">
        <v>226</v>
      </c>
      <c r="E1024" s="28" t="s">
        <v>28</v>
      </c>
      <c r="F1024" s="28">
        <v>0</v>
      </c>
      <c r="G1024" s="28" t="s">
        <v>125</v>
      </c>
      <c r="H1024" s="28">
        <v>0</v>
      </c>
      <c r="J1024" s="28"/>
    </row>
    <row r="1025" spans="1:10" ht="15.75" customHeight="1">
      <c r="A1025" s="28">
        <v>19143</v>
      </c>
      <c r="B1025" s="91">
        <v>45101.6330787037</v>
      </c>
      <c r="C1025" s="28" t="s">
        <v>10</v>
      </c>
      <c r="D1025" s="28" t="s">
        <v>226</v>
      </c>
      <c r="E1025" s="28" t="s">
        <v>28</v>
      </c>
      <c r="F1025" s="28">
        <v>0</v>
      </c>
      <c r="G1025" s="28" t="s">
        <v>119</v>
      </c>
      <c r="H1025" s="28">
        <v>0</v>
      </c>
      <c r="J1025" s="28"/>
    </row>
    <row r="1026" spans="1:10" ht="15.75" customHeight="1">
      <c r="A1026" s="28">
        <v>19142</v>
      </c>
      <c r="B1026" s="91">
        <v>45101.629537037035</v>
      </c>
      <c r="C1026" s="28" t="s">
        <v>10</v>
      </c>
      <c r="D1026" s="28" t="s">
        <v>535</v>
      </c>
      <c r="E1026" s="28" t="s">
        <v>28</v>
      </c>
      <c r="F1026" s="28">
        <v>25</v>
      </c>
      <c r="G1026" s="28">
        <v>100692</v>
      </c>
      <c r="H1026" s="28">
        <v>0</v>
      </c>
      <c r="J1026" s="28"/>
    </row>
    <row r="1027" spans="1:10" ht="15.75" customHeight="1">
      <c r="A1027" s="28">
        <v>19142</v>
      </c>
      <c r="B1027" s="91">
        <v>45101.629537037035</v>
      </c>
      <c r="C1027" s="28" t="s">
        <v>10</v>
      </c>
      <c r="D1027" s="28" t="s">
        <v>535</v>
      </c>
      <c r="E1027" s="28" t="s">
        <v>28</v>
      </c>
      <c r="F1027" s="28">
        <v>0</v>
      </c>
      <c r="G1027" s="28" t="s">
        <v>125</v>
      </c>
      <c r="H1027" s="28">
        <v>0</v>
      </c>
      <c r="J1027" s="28"/>
    </row>
    <row r="1028" spans="1:10" ht="15.75" customHeight="1">
      <c r="A1028" s="28">
        <v>19142</v>
      </c>
      <c r="B1028" s="91">
        <v>45101.629537037035</v>
      </c>
      <c r="C1028" s="28" t="s">
        <v>10</v>
      </c>
      <c r="D1028" s="28" t="s">
        <v>535</v>
      </c>
      <c r="E1028" s="28" t="s">
        <v>28</v>
      </c>
      <c r="F1028" s="28">
        <v>0</v>
      </c>
      <c r="G1028" s="28" t="s">
        <v>119</v>
      </c>
      <c r="H1028" s="28">
        <v>0</v>
      </c>
      <c r="J1028" s="28"/>
    </row>
    <row r="1029" spans="1:10" ht="15.75" customHeight="1">
      <c r="A1029" s="28">
        <v>19141</v>
      </c>
      <c r="B1029" s="91">
        <v>45101.628553240742</v>
      </c>
      <c r="C1029" s="28" t="s">
        <v>10</v>
      </c>
      <c r="D1029" s="28" t="s">
        <v>536</v>
      </c>
      <c r="E1029" s="28" t="s">
        <v>28</v>
      </c>
      <c r="F1029" s="28">
        <v>25</v>
      </c>
      <c r="G1029" s="28">
        <v>100692</v>
      </c>
      <c r="H1029" s="28">
        <v>0</v>
      </c>
      <c r="J1029" s="28"/>
    </row>
    <row r="1030" spans="1:10" ht="15.75" customHeight="1">
      <c r="A1030" s="28">
        <v>19141</v>
      </c>
      <c r="B1030" s="91">
        <v>45101.628553240742</v>
      </c>
      <c r="C1030" s="28" t="s">
        <v>10</v>
      </c>
      <c r="D1030" s="28" t="s">
        <v>536</v>
      </c>
      <c r="E1030" s="28" t="s">
        <v>28</v>
      </c>
      <c r="F1030" s="28">
        <v>0</v>
      </c>
      <c r="G1030" s="28" t="s">
        <v>125</v>
      </c>
      <c r="H1030" s="28">
        <v>0</v>
      </c>
      <c r="J1030" s="28"/>
    </row>
    <row r="1031" spans="1:10" ht="15.75" customHeight="1">
      <c r="A1031" s="28">
        <v>19141</v>
      </c>
      <c r="B1031" s="91">
        <v>45101.628553240742</v>
      </c>
      <c r="C1031" s="28" t="s">
        <v>10</v>
      </c>
      <c r="D1031" s="28" t="s">
        <v>536</v>
      </c>
      <c r="E1031" s="28" t="s">
        <v>28</v>
      </c>
      <c r="F1031" s="28">
        <v>0</v>
      </c>
      <c r="G1031" s="28" t="s">
        <v>119</v>
      </c>
      <c r="H1031" s="28">
        <v>0</v>
      </c>
      <c r="J1031" s="28"/>
    </row>
    <row r="1032" spans="1:10" ht="15.75" customHeight="1">
      <c r="A1032" s="28">
        <v>19140</v>
      </c>
      <c r="B1032" s="91">
        <v>45101.618425925924</v>
      </c>
      <c r="C1032" s="28" t="s">
        <v>10</v>
      </c>
      <c r="D1032" s="28" t="s">
        <v>537</v>
      </c>
      <c r="E1032" s="28" t="s">
        <v>28</v>
      </c>
      <c r="F1032" s="28">
        <v>0</v>
      </c>
      <c r="G1032" s="28" t="s">
        <v>117</v>
      </c>
      <c r="H1032" s="28">
        <v>0</v>
      </c>
      <c r="J1032" s="28"/>
    </row>
    <row r="1033" spans="1:10" ht="15.75" customHeight="1">
      <c r="A1033" s="28">
        <v>19140</v>
      </c>
      <c r="B1033" s="91">
        <v>45101.618425925924</v>
      </c>
      <c r="C1033" s="28" t="s">
        <v>10</v>
      </c>
      <c r="D1033" s="28" t="s">
        <v>537</v>
      </c>
      <c r="E1033" s="28" t="s">
        <v>28</v>
      </c>
      <c r="F1033" s="28">
        <v>0</v>
      </c>
      <c r="G1033" s="28" t="s">
        <v>286</v>
      </c>
      <c r="H1033" s="28">
        <v>0</v>
      </c>
      <c r="J1033" s="28"/>
    </row>
    <row r="1034" spans="1:10" ht="15.75" customHeight="1">
      <c r="A1034" s="28">
        <v>19139</v>
      </c>
      <c r="B1034" s="91">
        <v>45101.614328703705</v>
      </c>
      <c r="C1034" s="28" t="s">
        <v>10</v>
      </c>
      <c r="D1034" s="28" t="s">
        <v>538</v>
      </c>
      <c r="E1034" s="28" t="s">
        <v>28</v>
      </c>
      <c r="F1034" s="28">
        <v>25</v>
      </c>
      <c r="G1034" s="28">
        <v>100692</v>
      </c>
      <c r="H1034" s="28">
        <v>0</v>
      </c>
      <c r="J1034" s="28"/>
    </row>
    <row r="1035" spans="1:10" ht="15.75" customHeight="1">
      <c r="A1035" s="28">
        <v>19139</v>
      </c>
      <c r="B1035" s="91">
        <v>45101.614328703705</v>
      </c>
      <c r="C1035" s="28" t="s">
        <v>10</v>
      </c>
      <c r="D1035" s="28" t="s">
        <v>538</v>
      </c>
      <c r="E1035" s="28" t="s">
        <v>28</v>
      </c>
      <c r="F1035" s="28">
        <v>0</v>
      </c>
      <c r="G1035" s="28" t="s">
        <v>125</v>
      </c>
      <c r="H1035" s="28">
        <v>0</v>
      </c>
      <c r="J1035" s="28"/>
    </row>
    <row r="1036" spans="1:10" ht="15.75" customHeight="1">
      <c r="A1036" s="28">
        <v>19139</v>
      </c>
      <c r="B1036" s="91">
        <v>45101.614328703705</v>
      </c>
      <c r="C1036" s="28" t="s">
        <v>10</v>
      </c>
      <c r="D1036" s="28" t="s">
        <v>538</v>
      </c>
      <c r="E1036" s="28" t="s">
        <v>28</v>
      </c>
      <c r="F1036" s="28">
        <v>0</v>
      </c>
      <c r="G1036" s="28" t="s">
        <v>119</v>
      </c>
      <c r="H1036" s="28">
        <v>0</v>
      </c>
      <c r="J1036" s="28"/>
    </row>
    <row r="1037" spans="1:10" ht="15.75" customHeight="1">
      <c r="A1037" s="28">
        <v>19138</v>
      </c>
      <c r="B1037" s="91">
        <v>45101.607824074075</v>
      </c>
      <c r="C1037" s="28" t="s">
        <v>10</v>
      </c>
      <c r="D1037" s="28" t="s">
        <v>539</v>
      </c>
      <c r="E1037" s="28" t="s">
        <v>28</v>
      </c>
      <c r="F1037" s="28">
        <v>28</v>
      </c>
      <c r="G1037" s="28" t="s">
        <v>143</v>
      </c>
      <c r="H1037" s="28">
        <v>0</v>
      </c>
      <c r="J1037" s="28"/>
    </row>
    <row r="1038" spans="1:10" ht="15.75" customHeight="1">
      <c r="A1038" s="28">
        <v>19137</v>
      </c>
      <c r="B1038" s="91">
        <v>45101.595613425925</v>
      </c>
      <c r="C1038" s="28" t="s">
        <v>10</v>
      </c>
      <c r="D1038" s="28" t="s">
        <v>540</v>
      </c>
      <c r="E1038" s="28" t="s">
        <v>28</v>
      </c>
      <c r="F1038" s="28">
        <v>25</v>
      </c>
      <c r="G1038" s="28" t="s">
        <v>120</v>
      </c>
      <c r="H1038" s="28">
        <v>0</v>
      </c>
      <c r="J1038" s="28"/>
    </row>
    <row r="1039" spans="1:10" ht="15.75" customHeight="1">
      <c r="A1039" s="28">
        <v>19136</v>
      </c>
      <c r="B1039" s="91">
        <v>45101.56930555556</v>
      </c>
      <c r="C1039" s="28" t="s">
        <v>10</v>
      </c>
      <c r="D1039" s="28" t="s">
        <v>541</v>
      </c>
      <c r="E1039" s="28" t="s">
        <v>28</v>
      </c>
      <c r="F1039" s="28">
        <v>20</v>
      </c>
      <c r="G1039" s="28" t="s">
        <v>148</v>
      </c>
      <c r="H1039" s="28">
        <v>0</v>
      </c>
      <c r="J1039" s="28"/>
    </row>
    <row r="1040" spans="1:10" ht="15.75" customHeight="1">
      <c r="A1040" s="28">
        <v>19135</v>
      </c>
      <c r="B1040" s="91">
        <v>45101.566469907411</v>
      </c>
      <c r="C1040" s="28" t="s">
        <v>10</v>
      </c>
      <c r="D1040" s="28" t="s">
        <v>542</v>
      </c>
      <c r="E1040" s="28" t="s">
        <v>28</v>
      </c>
      <c r="F1040" s="28">
        <v>20</v>
      </c>
      <c r="G1040" s="28" t="s">
        <v>148</v>
      </c>
      <c r="H1040" s="28">
        <v>0</v>
      </c>
      <c r="J1040" s="28"/>
    </row>
    <row r="1041" spans="1:10" ht="15.75" customHeight="1">
      <c r="A1041" s="28">
        <v>19134</v>
      </c>
      <c r="B1041" s="91">
        <v>45101.548148148147</v>
      </c>
      <c r="C1041" s="28" t="s">
        <v>10</v>
      </c>
      <c r="D1041" s="28" t="s">
        <v>543</v>
      </c>
      <c r="E1041" s="28" t="s">
        <v>28</v>
      </c>
      <c r="F1041" s="28">
        <v>25</v>
      </c>
      <c r="G1041" s="28" t="s">
        <v>120</v>
      </c>
      <c r="H1041" s="28">
        <v>0</v>
      </c>
      <c r="J1041" s="28"/>
    </row>
    <row r="1042" spans="1:10" ht="15.75" customHeight="1">
      <c r="A1042" s="28">
        <v>19133</v>
      </c>
      <c r="B1042" s="91">
        <v>45101.539837962962</v>
      </c>
      <c r="C1042" s="28" t="s">
        <v>10</v>
      </c>
      <c r="D1042" s="28" t="s">
        <v>544</v>
      </c>
      <c r="E1042" s="28" t="s">
        <v>28</v>
      </c>
      <c r="F1042" s="28">
        <v>0</v>
      </c>
      <c r="G1042" s="28" t="s">
        <v>117</v>
      </c>
      <c r="H1042" s="28">
        <v>0</v>
      </c>
      <c r="J1042" s="28"/>
    </row>
    <row r="1043" spans="1:10" ht="15.75" customHeight="1">
      <c r="A1043" s="28">
        <v>19133</v>
      </c>
      <c r="B1043" s="91">
        <v>45101.539837962962</v>
      </c>
      <c r="C1043" s="28" t="s">
        <v>10</v>
      </c>
      <c r="D1043" s="28" t="s">
        <v>544</v>
      </c>
      <c r="E1043" s="28" t="s">
        <v>28</v>
      </c>
      <c r="F1043" s="28">
        <v>25</v>
      </c>
      <c r="G1043" s="28">
        <v>100692</v>
      </c>
      <c r="H1043" s="28">
        <v>0</v>
      </c>
      <c r="J1043" s="28"/>
    </row>
    <row r="1044" spans="1:10" ht="15.75" customHeight="1">
      <c r="A1044" s="28">
        <v>19133</v>
      </c>
      <c r="B1044" s="91">
        <v>45101.539837962962</v>
      </c>
      <c r="C1044" s="28" t="s">
        <v>10</v>
      </c>
      <c r="D1044" s="28" t="s">
        <v>544</v>
      </c>
      <c r="E1044" s="28" t="s">
        <v>28</v>
      </c>
      <c r="F1044" s="28">
        <v>0</v>
      </c>
      <c r="G1044" s="28" t="s">
        <v>125</v>
      </c>
      <c r="H1044" s="28">
        <v>0</v>
      </c>
      <c r="J1044" s="28"/>
    </row>
    <row r="1045" spans="1:10" ht="15.75" customHeight="1">
      <c r="A1045" s="28">
        <v>19133</v>
      </c>
      <c r="B1045" s="91">
        <v>45101.539837962962</v>
      </c>
      <c r="C1045" s="28" t="s">
        <v>10</v>
      </c>
      <c r="D1045" s="28" t="s">
        <v>544</v>
      </c>
      <c r="E1045" s="28" t="s">
        <v>28</v>
      </c>
      <c r="F1045" s="28">
        <v>0</v>
      </c>
      <c r="G1045" s="28" t="s">
        <v>119</v>
      </c>
      <c r="H1045" s="28">
        <v>0</v>
      </c>
      <c r="J1045" s="28"/>
    </row>
    <row r="1046" spans="1:10" ht="15.75" customHeight="1">
      <c r="A1046" s="28">
        <v>19132</v>
      </c>
      <c r="B1046" s="91">
        <v>45101.538923611108</v>
      </c>
      <c r="C1046" s="28" t="s">
        <v>10</v>
      </c>
      <c r="D1046" s="28" t="s">
        <v>545</v>
      </c>
      <c r="E1046" s="28" t="s">
        <v>39</v>
      </c>
      <c r="F1046" s="28">
        <v>25</v>
      </c>
      <c r="G1046" s="28">
        <v>100692</v>
      </c>
      <c r="H1046" s="28">
        <v>0</v>
      </c>
      <c r="J1046" s="28"/>
    </row>
    <row r="1047" spans="1:10" ht="15.75" customHeight="1">
      <c r="A1047" s="28">
        <v>19132</v>
      </c>
      <c r="B1047" s="91">
        <v>45101.538923611108</v>
      </c>
      <c r="C1047" s="28" t="s">
        <v>10</v>
      </c>
      <c r="D1047" s="28" t="s">
        <v>545</v>
      </c>
      <c r="E1047" s="28" t="s">
        <v>39</v>
      </c>
      <c r="F1047" s="28">
        <v>0</v>
      </c>
      <c r="G1047" s="28" t="s">
        <v>125</v>
      </c>
      <c r="H1047" s="28">
        <v>0</v>
      </c>
      <c r="J1047" s="28"/>
    </row>
    <row r="1048" spans="1:10" ht="15.75" customHeight="1">
      <c r="A1048" s="28">
        <v>19132</v>
      </c>
      <c r="B1048" s="91">
        <v>45101.538923611108</v>
      </c>
      <c r="C1048" s="28" t="s">
        <v>10</v>
      </c>
      <c r="D1048" s="28" t="s">
        <v>545</v>
      </c>
      <c r="E1048" s="28" t="s">
        <v>39</v>
      </c>
      <c r="F1048" s="28">
        <v>0</v>
      </c>
      <c r="G1048" s="28" t="s">
        <v>119</v>
      </c>
      <c r="H1048" s="28">
        <v>0</v>
      </c>
      <c r="J1048" s="28"/>
    </row>
    <row r="1049" spans="1:10" ht="15.75" customHeight="1">
      <c r="A1049" s="28">
        <v>19131</v>
      </c>
      <c r="B1049" s="91">
        <v>45101.538761574076</v>
      </c>
      <c r="C1049" s="28" t="s">
        <v>10</v>
      </c>
      <c r="D1049" s="28" t="s">
        <v>546</v>
      </c>
      <c r="E1049" s="28" t="s">
        <v>39</v>
      </c>
      <c r="F1049" s="28">
        <v>18</v>
      </c>
      <c r="G1049" s="28" t="s">
        <v>119</v>
      </c>
      <c r="H1049" s="28">
        <v>0</v>
      </c>
      <c r="J1049" s="28"/>
    </row>
    <row r="1050" spans="1:10" ht="15.75" customHeight="1">
      <c r="A1050" s="28">
        <v>19131</v>
      </c>
      <c r="B1050" s="91">
        <v>45101.538761574076</v>
      </c>
      <c r="C1050" s="28" t="s">
        <v>10</v>
      </c>
      <c r="D1050" s="28" t="s">
        <v>546</v>
      </c>
      <c r="E1050" s="28" t="s">
        <v>39</v>
      </c>
      <c r="F1050" s="28">
        <v>15</v>
      </c>
      <c r="G1050" s="28" t="s">
        <v>139</v>
      </c>
      <c r="H1050" s="28">
        <v>0</v>
      </c>
      <c r="J1050" s="28"/>
    </row>
    <row r="1051" spans="1:10" ht="15.75" customHeight="1">
      <c r="A1051" s="28">
        <v>19130</v>
      </c>
      <c r="B1051" s="91">
        <v>45101.536296296297</v>
      </c>
      <c r="C1051" s="28" t="s">
        <v>10</v>
      </c>
      <c r="D1051" s="28" t="s">
        <v>547</v>
      </c>
      <c r="E1051" s="28" t="s">
        <v>28</v>
      </c>
      <c r="F1051" s="28">
        <v>20</v>
      </c>
      <c r="G1051" s="28" t="s">
        <v>205</v>
      </c>
      <c r="H1051" s="28">
        <v>0</v>
      </c>
      <c r="J1051" s="28"/>
    </row>
    <row r="1052" spans="1:10" ht="15.75" customHeight="1">
      <c r="A1052" s="28">
        <v>19130</v>
      </c>
      <c r="B1052" s="91">
        <v>45101.536296296297</v>
      </c>
      <c r="C1052" s="28" t="s">
        <v>10</v>
      </c>
      <c r="D1052" s="28" t="s">
        <v>547</v>
      </c>
      <c r="E1052" s="28" t="s">
        <v>28</v>
      </c>
      <c r="F1052" s="28">
        <v>0</v>
      </c>
      <c r="G1052" s="28" t="s">
        <v>125</v>
      </c>
      <c r="H1052" s="28">
        <v>0</v>
      </c>
      <c r="J1052" s="28"/>
    </row>
    <row r="1053" spans="1:10" ht="15.75" customHeight="1">
      <c r="A1053" s="28">
        <v>19129</v>
      </c>
      <c r="B1053" s="91">
        <v>45101.534131944441</v>
      </c>
      <c r="C1053" s="28" t="s">
        <v>10</v>
      </c>
      <c r="D1053" s="28" t="s">
        <v>548</v>
      </c>
      <c r="E1053" s="28" t="s">
        <v>28</v>
      </c>
      <c r="F1053" s="28">
        <v>0</v>
      </c>
      <c r="G1053" s="28" t="s">
        <v>117</v>
      </c>
      <c r="H1053" s="28">
        <v>0</v>
      </c>
      <c r="J1053" s="28"/>
    </row>
    <row r="1054" spans="1:10" ht="15.75" customHeight="1">
      <c r="A1054" s="28">
        <v>19129</v>
      </c>
      <c r="B1054" s="91">
        <v>45101.534131944441</v>
      </c>
      <c r="C1054" s="28" t="s">
        <v>10</v>
      </c>
      <c r="D1054" s="28" t="s">
        <v>548</v>
      </c>
      <c r="E1054" s="28" t="s">
        <v>28</v>
      </c>
      <c r="F1054" s="28">
        <v>25</v>
      </c>
      <c r="G1054" s="28">
        <v>100692</v>
      </c>
      <c r="H1054" s="28">
        <v>0</v>
      </c>
      <c r="J1054" s="28"/>
    </row>
    <row r="1055" spans="1:10" ht="15.75" customHeight="1">
      <c r="A1055" s="28">
        <v>19129</v>
      </c>
      <c r="B1055" s="91">
        <v>45101.534131944441</v>
      </c>
      <c r="C1055" s="28" t="s">
        <v>10</v>
      </c>
      <c r="D1055" s="28" t="s">
        <v>548</v>
      </c>
      <c r="E1055" s="28" t="s">
        <v>28</v>
      </c>
      <c r="F1055" s="28">
        <v>0</v>
      </c>
      <c r="G1055" s="28" t="s">
        <v>125</v>
      </c>
      <c r="H1055" s="28">
        <v>0</v>
      </c>
      <c r="J1055" s="28"/>
    </row>
    <row r="1056" spans="1:10" ht="15.75" customHeight="1">
      <c r="A1056" s="28">
        <v>19129</v>
      </c>
      <c r="B1056" s="91">
        <v>45101.534131944441</v>
      </c>
      <c r="C1056" s="28" t="s">
        <v>10</v>
      </c>
      <c r="D1056" s="28" t="s">
        <v>548</v>
      </c>
      <c r="E1056" s="28" t="s">
        <v>28</v>
      </c>
      <c r="F1056" s="28">
        <v>0</v>
      </c>
      <c r="G1056" s="28" t="s">
        <v>119</v>
      </c>
      <c r="H1056" s="28">
        <v>0</v>
      </c>
      <c r="J1056" s="28"/>
    </row>
    <row r="1057" spans="1:10" ht="15.75" customHeight="1">
      <c r="A1057" s="28">
        <v>19128</v>
      </c>
      <c r="B1057" s="91">
        <v>45101.533425925925</v>
      </c>
      <c r="C1057" s="28" t="s">
        <v>10</v>
      </c>
      <c r="D1057" s="28" t="s">
        <v>549</v>
      </c>
      <c r="E1057" s="28" t="s">
        <v>28</v>
      </c>
      <c r="F1057" s="28">
        <v>35</v>
      </c>
      <c r="G1057" s="28" t="s">
        <v>124</v>
      </c>
      <c r="H1057" s="28">
        <v>0</v>
      </c>
      <c r="J1057" s="28"/>
    </row>
    <row r="1058" spans="1:10" ht="15.75" customHeight="1">
      <c r="A1058" s="28">
        <v>19128</v>
      </c>
      <c r="B1058" s="91">
        <v>45101.533425925925</v>
      </c>
      <c r="C1058" s="28" t="s">
        <v>10</v>
      </c>
      <c r="D1058" s="28" t="s">
        <v>549</v>
      </c>
      <c r="E1058" s="28" t="s">
        <v>28</v>
      </c>
      <c r="F1058" s="28">
        <v>0</v>
      </c>
      <c r="G1058" s="28" t="s">
        <v>125</v>
      </c>
      <c r="H1058" s="28">
        <v>0</v>
      </c>
      <c r="J1058" s="28"/>
    </row>
    <row r="1059" spans="1:10" ht="15.75" customHeight="1">
      <c r="A1059" s="28">
        <v>19128</v>
      </c>
      <c r="B1059" s="91">
        <v>45101.533425925925</v>
      </c>
      <c r="C1059" s="28" t="s">
        <v>10</v>
      </c>
      <c r="D1059" s="28" t="s">
        <v>549</v>
      </c>
      <c r="E1059" s="28" t="s">
        <v>28</v>
      </c>
      <c r="F1059" s="28">
        <v>0</v>
      </c>
      <c r="G1059" s="28" t="s">
        <v>119</v>
      </c>
      <c r="H1059" s="28">
        <v>0</v>
      </c>
      <c r="J1059" s="28"/>
    </row>
    <row r="1060" spans="1:10" ht="15.75" customHeight="1">
      <c r="A1060" s="28">
        <v>19128</v>
      </c>
      <c r="B1060" s="91">
        <v>45101.533425925925</v>
      </c>
      <c r="C1060" s="28" t="s">
        <v>10</v>
      </c>
      <c r="D1060" s="28" t="s">
        <v>549</v>
      </c>
      <c r="E1060" s="28" t="s">
        <v>28</v>
      </c>
      <c r="F1060" s="28">
        <v>0</v>
      </c>
      <c r="G1060" s="28" t="s">
        <v>121</v>
      </c>
      <c r="H1060" s="28">
        <v>0</v>
      </c>
      <c r="J1060" s="28"/>
    </row>
    <row r="1061" spans="1:10" ht="15.75" customHeight="1">
      <c r="A1061" s="28">
        <v>19127</v>
      </c>
      <c r="B1061" s="91">
        <v>45101.531180555554</v>
      </c>
      <c r="C1061" s="28" t="s">
        <v>10</v>
      </c>
      <c r="D1061" s="28" t="s">
        <v>550</v>
      </c>
      <c r="E1061" s="28" t="s">
        <v>39</v>
      </c>
      <c r="F1061" s="28">
        <v>25</v>
      </c>
      <c r="G1061" s="28">
        <v>100692</v>
      </c>
      <c r="H1061" s="28">
        <v>0</v>
      </c>
      <c r="J1061" s="28"/>
    </row>
    <row r="1062" spans="1:10" ht="15.75" customHeight="1">
      <c r="A1062" s="28">
        <v>19127</v>
      </c>
      <c r="B1062" s="91">
        <v>45101.531180555554</v>
      </c>
      <c r="C1062" s="28" t="s">
        <v>10</v>
      </c>
      <c r="D1062" s="28" t="s">
        <v>550</v>
      </c>
      <c r="E1062" s="28" t="s">
        <v>39</v>
      </c>
      <c r="F1062" s="28">
        <v>0</v>
      </c>
      <c r="G1062" s="28" t="s">
        <v>125</v>
      </c>
      <c r="H1062" s="28">
        <v>0</v>
      </c>
      <c r="J1062" s="28"/>
    </row>
    <row r="1063" spans="1:10" ht="15.75" customHeight="1">
      <c r="A1063" s="28">
        <v>19127</v>
      </c>
      <c r="B1063" s="91">
        <v>45101.531180555554</v>
      </c>
      <c r="C1063" s="28" t="s">
        <v>10</v>
      </c>
      <c r="D1063" s="28" t="s">
        <v>550</v>
      </c>
      <c r="E1063" s="28" t="s">
        <v>39</v>
      </c>
      <c r="F1063" s="28">
        <v>0</v>
      </c>
      <c r="G1063" s="28" t="s">
        <v>119</v>
      </c>
      <c r="H1063" s="28">
        <v>0</v>
      </c>
      <c r="J1063" s="28"/>
    </row>
    <row r="1064" spans="1:10" ht="15.75" customHeight="1">
      <c r="A1064" s="28">
        <v>19126</v>
      </c>
      <c r="B1064" s="91">
        <v>45101.529548611114</v>
      </c>
      <c r="C1064" s="28" t="s">
        <v>10</v>
      </c>
      <c r="D1064" s="28" t="s">
        <v>551</v>
      </c>
      <c r="E1064" s="28" t="s">
        <v>28</v>
      </c>
      <c r="F1064" s="28">
        <v>25</v>
      </c>
      <c r="G1064" s="28" t="s">
        <v>120</v>
      </c>
      <c r="H1064" s="28">
        <v>0</v>
      </c>
      <c r="J1064" s="28"/>
    </row>
    <row r="1065" spans="1:10" ht="15.75" customHeight="1">
      <c r="A1065" s="28">
        <v>19125</v>
      </c>
      <c r="B1065" s="91">
        <v>45101.527743055558</v>
      </c>
      <c r="C1065" s="28" t="s">
        <v>10</v>
      </c>
      <c r="D1065" s="28" t="s">
        <v>552</v>
      </c>
      <c r="E1065" s="28" t="s">
        <v>28</v>
      </c>
      <c r="F1065" s="28">
        <v>22</v>
      </c>
      <c r="G1065" s="28" t="s">
        <v>137</v>
      </c>
      <c r="H1065" s="28">
        <v>0</v>
      </c>
      <c r="J1065" s="28"/>
    </row>
    <row r="1066" spans="1:10" ht="15.75" customHeight="1">
      <c r="A1066" s="28">
        <v>19125</v>
      </c>
      <c r="B1066" s="91">
        <v>45101.527743055558</v>
      </c>
      <c r="C1066" s="28" t="s">
        <v>10</v>
      </c>
      <c r="D1066" s="28" t="s">
        <v>552</v>
      </c>
      <c r="E1066" s="28" t="s">
        <v>28</v>
      </c>
      <c r="F1066" s="28">
        <v>0</v>
      </c>
      <c r="G1066" s="28" t="s">
        <v>117</v>
      </c>
      <c r="H1066" s="28">
        <v>0</v>
      </c>
      <c r="J1066" s="28"/>
    </row>
    <row r="1067" spans="1:10" ht="15.75" customHeight="1">
      <c r="A1067" s="28">
        <v>19125</v>
      </c>
      <c r="B1067" s="91">
        <v>45101.527743055558</v>
      </c>
      <c r="C1067" s="28" t="s">
        <v>10</v>
      </c>
      <c r="D1067" s="28" t="s">
        <v>552</v>
      </c>
      <c r="E1067" s="28" t="s">
        <v>28</v>
      </c>
      <c r="F1067" s="28">
        <v>26</v>
      </c>
      <c r="G1067" s="28" t="s">
        <v>122</v>
      </c>
      <c r="H1067" s="28">
        <v>0</v>
      </c>
      <c r="J1067" s="28"/>
    </row>
    <row r="1068" spans="1:10" ht="15.75" customHeight="1">
      <c r="A1068" s="28">
        <v>19124</v>
      </c>
      <c r="B1068" s="91">
        <v>45101.52643518518</v>
      </c>
      <c r="C1068" s="28" t="s">
        <v>10</v>
      </c>
      <c r="D1068" s="28" t="s">
        <v>553</v>
      </c>
      <c r="E1068" s="28" t="s">
        <v>28</v>
      </c>
      <c r="F1068" s="28">
        <v>18</v>
      </c>
      <c r="G1068" s="28" t="s">
        <v>119</v>
      </c>
      <c r="H1068" s="28">
        <v>0</v>
      </c>
      <c r="J1068" s="28"/>
    </row>
    <row r="1069" spans="1:10" ht="15.75" customHeight="1">
      <c r="A1069" s="28">
        <v>19123</v>
      </c>
      <c r="B1069" s="91">
        <v>45101.524340277778</v>
      </c>
      <c r="C1069" s="28" t="s">
        <v>10</v>
      </c>
      <c r="D1069" s="28" t="s">
        <v>554</v>
      </c>
      <c r="E1069" s="28" t="s">
        <v>28</v>
      </c>
      <c r="F1069" s="28">
        <v>25</v>
      </c>
      <c r="G1069" s="28">
        <v>100692</v>
      </c>
      <c r="H1069" s="28">
        <v>0</v>
      </c>
      <c r="J1069" s="28"/>
    </row>
    <row r="1070" spans="1:10" ht="15.75" customHeight="1">
      <c r="A1070" s="28">
        <v>19123</v>
      </c>
      <c r="B1070" s="91">
        <v>45101.524340277778</v>
      </c>
      <c r="C1070" s="28" t="s">
        <v>10</v>
      </c>
      <c r="D1070" s="28" t="s">
        <v>554</v>
      </c>
      <c r="E1070" s="28" t="s">
        <v>28</v>
      </c>
      <c r="F1070" s="28">
        <v>0</v>
      </c>
      <c r="G1070" s="28" t="s">
        <v>125</v>
      </c>
      <c r="H1070" s="28">
        <v>0</v>
      </c>
      <c r="J1070" s="28"/>
    </row>
    <row r="1071" spans="1:10" ht="15.75" customHeight="1">
      <c r="A1071" s="28">
        <v>19123</v>
      </c>
      <c r="B1071" s="91">
        <v>45101.524340277778</v>
      </c>
      <c r="C1071" s="28" t="s">
        <v>10</v>
      </c>
      <c r="D1071" s="28" t="s">
        <v>554</v>
      </c>
      <c r="E1071" s="28" t="s">
        <v>28</v>
      </c>
      <c r="F1071" s="28">
        <v>0</v>
      </c>
      <c r="G1071" s="28" t="s">
        <v>119</v>
      </c>
      <c r="H1071" s="28">
        <v>0</v>
      </c>
      <c r="J1071" s="28"/>
    </row>
    <row r="1072" spans="1:10" ht="15.75" customHeight="1">
      <c r="A1072" s="28">
        <v>19122</v>
      </c>
      <c r="B1072" s="91">
        <v>45101.521226851852</v>
      </c>
      <c r="C1072" s="28" t="s">
        <v>10</v>
      </c>
      <c r="D1072" s="28" t="s">
        <v>555</v>
      </c>
      <c r="E1072" s="28" t="s">
        <v>28</v>
      </c>
      <c r="F1072" s="28">
        <v>20</v>
      </c>
      <c r="G1072" s="28" t="s">
        <v>148</v>
      </c>
      <c r="H1072" s="28">
        <v>0</v>
      </c>
      <c r="J1072" s="28"/>
    </row>
    <row r="1073" spans="1:10" ht="15.75" customHeight="1">
      <c r="A1073" s="28">
        <v>19121</v>
      </c>
      <c r="B1073" s="91">
        <v>45101.515717592592</v>
      </c>
      <c r="C1073" s="28" t="s">
        <v>18</v>
      </c>
      <c r="D1073" s="28" t="s">
        <v>272</v>
      </c>
      <c r="E1073" s="28" t="s">
        <v>28</v>
      </c>
      <c r="F1073" s="28">
        <v>18</v>
      </c>
      <c r="G1073" s="28" t="s">
        <v>267</v>
      </c>
      <c r="H1073" s="28">
        <v>0</v>
      </c>
      <c r="J1073" s="28"/>
    </row>
    <row r="1074" spans="1:10" ht="15.75" customHeight="1">
      <c r="A1074" s="28">
        <v>19120</v>
      </c>
      <c r="B1074" s="91">
        <v>45101.515162037038</v>
      </c>
      <c r="C1074" s="28" t="s">
        <v>10</v>
      </c>
      <c r="D1074" s="28" t="s">
        <v>556</v>
      </c>
      <c r="E1074" s="28" t="s">
        <v>28</v>
      </c>
      <c r="F1074" s="28">
        <v>28</v>
      </c>
      <c r="G1074" s="28" t="s">
        <v>143</v>
      </c>
      <c r="H1074" s="28">
        <v>0</v>
      </c>
      <c r="J1074" s="28"/>
    </row>
    <row r="1075" spans="1:10" ht="15.75" customHeight="1">
      <c r="A1075" s="28">
        <v>19119</v>
      </c>
      <c r="B1075" s="91">
        <v>45101.512824074074</v>
      </c>
      <c r="C1075" s="28" t="s">
        <v>10</v>
      </c>
      <c r="D1075" s="28" t="s">
        <v>557</v>
      </c>
      <c r="E1075" s="28" t="s">
        <v>28</v>
      </c>
      <c r="F1075" s="28">
        <v>28</v>
      </c>
      <c r="G1075" s="28" t="s">
        <v>143</v>
      </c>
      <c r="H1075" s="28">
        <v>0</v>
      </c>
      <c r="J1075" s="28"/>
    </row>
    <row r="1076" spans="1:10" ht="15.75" customHeight="1">
      <c r="A1076" s="28">
        <v>19118</v>
      </c>
      <c r="B1076" s="91">
        <v>45101.502986111111</v>
      </c>
      <c r="C1076" s="28" t="s">
        <v>10</v>
      </c>
      <c r="D1076" s="28" t="s">
        <v>558</v>
      </c>
      <c r="E1076" s="28" t="s">
        <v>39</v>
      </c>
      <c r="F1076" s="28">
        <v>0</v>
      </c>
      <c r="G1076" s="28" t="s">
        <v>286</v>
      </c>
      <c r="H1076" s="28">
        <v>0</v>
      </c>
      <c r="J1076" s="28"/>
    </row>
    <row r="1077" spans="1:10" ht="15.75" customHeight="1">
      <c r="A1077" s="28">
        <v>19118</v>
      </c>
      <c r="B1077" s="91">
        <v>45101.502986111111</v>
      </c>
      <c r="C1077" s="28" t="s">
        <v>10</v>
      </c>
      <c r="D1077" s="28" t="s">
        <v>558</v>
      </c>
      <c r="E1077" s="28" t="s">
        <v>39</v>
      </c>
      <c r="F1077" s="28">
        <v>0</v>
      </c>
      <c r="G1077" s="28" t="s">
        <v>117</v>
      </c>
      <c r="H1077" s="28">
        <v>0</v>
      </c>
      <c r="J1077" s="28"/>
    </row>
    <row r="1078" spans="1:10" ht="15.75" customHeight="1">
      <c r="A1078" s="28">
        <v>19117</v>
      </c>
      <c r="B1078" s="91">
        <v>45101.491608796292</v>
      </c>
      <c r="C1078" s="28" t="s">
        <v>10</v>
      </c>
      <c r="D1078" s="28" t="s">
        <v>559</v>
      </c>
      <c r="E1078" s="28" t="s">
        <v>28</v>
      </c>
      <c r="F1078" s="28">
        <v>25</v>
      </c>
      <c r="G1078" s="28" t="s">
        <v>141</v>
      </c>
      <c r="H1078" s="28">
        <v>0</v>
      </c>
      <c r="J1078" s="28"/>
    </row>
    <row r="1079" spans="1:10" ht="15.75" customHeight="1">
      <c r="A1079" s="28">
        <v>19116</v>
      </c>
      <c r="B1079" s="91">
        <v>45101.486597222218</v>
      </c>
      <c r="C1079" s="28" t="s">
        <v>10</v>
      </c>
      <c r="D1079" s="28" t="s">
        <v>560</v>
      </c>
      <c r="E1079" s="28" t="s">
        <v>28</v>
      </c>
      <c r="F1079" s="28">
        <v>25</v>
      </c>
      <c r="G1079" s="28">
        <v>100692</v>
      </c>
      <c r="H1079" s="28">
        <v>0</v>
      </c>
      <c r="J1079" s="28"/>
    </row>
    <row r="1080" spans="1:10" ht="15.75" customHeight="1">
      <c r="A1080" s="28">
        <v>19116</v>
      </c>
      <c r="B1080" s="91">
        <v>45101.486597222218</v>
      </c>
      <c r="C1080" s="28" t="s">
        <v>10</v>
      </c>
      <c r="D1080" s="28" t="s">
        <v>560</v>
      </c>
      <c r="E1080" s="28" t="s">
        <v>28</v>
      </c>
      <c r="F1080" s="28">
        <v>0</v>
      </c>
      <c r="G1080" s="28" t="s">
        <v>125</v>
      </c>
      <c r="H1080" s="28">
        <v>0</v>
      </c>
      <c r="J1080" s="28"/>
    </row>
    <row r="1081" spans="1:10" ht="15.75" customHeight="1">
      <c r="A1081" s="28">
        <v>19116</v>
      </c>
      <c r="B1081" s="91">
        <v>45101.486597222218</v>
      </c>
      <c r="C1081" s="28" t="s">
        <v>10</v>
      </c>
      <c r="D1081" s="28" t="s">
        <v>560</v>
      </c>
      <c r="E1081" s="28" t="s">
        <v>28</v>
      </c>
      <c r="F1081" s="28">
        <v>0</v>
      </c>
      <c r="G1081" s="28" t="s">
        <v>119</v>
      </c>
      <c r="H1081" s="28">
        <v>0</v>
      </c>
      <c r="J1081" s="28"/>
    </row>
    <row r="1082" spans="1:10" ht="15.75" customHeight="1">
      <c r="A1082" s="28">
        <v>19115</v>
      </c>
      <c r="B1082" s="91">
        <v>45101.081678240742</v>
      </c>
      <c r="C1082" s="28" t="s">
        <v>10</v>
      </c>
      <c r="D1082" s="28" t="s">
        <v>561</v>
      </c>
      <c r="E1082" s="28" t="s">
        <v>28</v>
      </c>
      <c r="F1082" s="28">
        <v>40</v>
      </c>
      <c r="G1082" s="28" t="s">
        <v>205</v>
      </c>
      <c r="H1082" s="28">
        <v>0</v>
      </c>
      <c r="J1082" s="28"/>
    </row>
    <row r="1083" spans="1:10" ht="15.75" customHeight="1">
      <c r="A1083" s="28">
        <v>19115</v>
      </c>
      <c r="B1083" s="91">
        <v>45101.081678240742</v>
      </c>
      <c r="C1083" s="28" t="s">
        <v>10</v>
      </c>
      <c r="D1083" s="28" t="s">
        <v>561</v>
      </c>
      <c r="E1083" s="28" t="s">
        <v>28</v>
      </c>
      <c r="F1083" s="28">
        <v>0</v>
      </c>
      <c r="G1083" s="28" t="s">
        <v>125</v>
      </c>
      <c r="H1083" s="28">
        <v>0</v>
      </c>
      <c r="J1083" s="28"/>
    </row>
    <row r="1084" spans="1:10" ht="15.75" customHeight="1">
      <c r="A1084" s="28">
        <v>19115</v>
      </c>
      <c r="B1084" s="91">
        <v>45101.081678240742</v>
      </c>
      <c r="C1084" s="28" t="s">
        <v>10</v>
      </c>
      <c r="D1084" s="28" t="s">
        <v>561</v>
      </c>
      <c r="E1084" s="28" t="s">
        <v>28</v>
      </c>
      <c r="F1084" s="28">
        <v>28</v>
      </c>
      <c r="G1084" s="28" t="s">
        <v>143</v>
      </c>
      <c r="H1084" s="28">
        <v>0</v>
      </c>
      <c r="J1084" s="28"/>
    </row>
    <row r="1085" spans="1:10" ht="15.75" customHeight="1">
      <c r="A1085" s="28">
        <v>19110</v>
      </c>
      <c r="B1085" s="91">
        <v>45100.999513888892</v>
      </c>
      <c r="C1085" s="28" t="s">
        <v>52</v>
      </c>
      <c r="D1085" s="28" t="s">
        <v>562</v>
      </c>
      <c r="E1085" s="28" t="s">
        <v>28</v>
      </c>
      <c r="F1085" s="28">
        <v>15</v>
      </c>
      <c r="G1085" s="28" t="s">
        <v>139</v>
      </c>
      <c r="H1085" s="28">
        <v>0</v>
      </c>
      <c r="J1085" s="28"/>
    </row>
    <row r="1086" spans="1:10" ht="15.75" customHeight="1">
      <c r="A1086" s="28">
        <v>19109</v>
      </c>
      <c r="B1086" s="91">
        <v>45100.971250000002</v>
      </c>
      <c r="C1086" s="28" t="s">
        <v>10</v>
      </c>
      <c r="D1086" s="28" t="s">
        <v>563</v>
      </c>
      <c r="E1086" s="28" t="s">
        <v>28</v>
      </c>
      <c r="F1086" s="28">
        <v>26</v>
      </c>
      <c r="G1086" s="28" t="s">
        <v>122</v>
      </c>
      <c r="H1086" s="28">
        <v>0</v>
      </c>
      <c r="J1086" s="28"/>
    </row>
    <row r="1087" spans="1:10" ht="15.75" customHeight="1">
      <c r="A1087" s="28">
        <v>19108</v>
      </c>
      <c r="B1087" s="91">
        <v>45100.872557870374</v>
      </c>
      <c r="C1087" s="28" t="s">
        <v>10</v>
      </c>
      <c r="D1087" s="28" t="s">
        <v>564</v>
      </c>
      <c r="E1087" s="28" t="s">
        <v>28</v>
      </c>
      <c r="F1087" s="28">
        <v>25</v>
      </c>
      <c r="G1087" s="28">
        <v>100692</v>
      </c>
      <c r="H1087" s="28">
        <v>0</v>
      </c>
      <c r="J1087" s="28"/>
    </row>
    <row r="1088" spans="1:10" ht="15.75" customHeight="1">
      <c r="A1088" s="28">
        <v>19108</v>
      </c>
      <c r="B1088" s="91">
        <v>45100.872557870374</v>
      </c>
      <c r="C1088" s="28" t="s">
        <v>10</v>
      </c>
      <c r="D1088" s="28" t="s">
        <v>564</v>
      </c>
      <c r="E1088" s="28" t="s">
        <v>28</v>
      </c>
      <c r="F1088" s="28">
        <v>0</v>
      </c>
      <c r="G1088" s="28" t="s">
        <v>125</v>
      </c>
      <c r="H1088" s="28">
        <v>0</v>
      </c>
      <c r="J1088" s="28"/>
    </row>
    <row r="1089" spans="1:10" ht="15.75" customHeight="1">
      <c r="A1089" s="28">
        <v>19108</v>
      </c>
      <c r="B1089" s="91">
        <v>45100.872557870374</v>
      </c>
      <c r="C1089" s="28" t="s">
        <v>10</v>
      </c>
      <c r="D1089" s="28" t="s">
        <v>564</v>
      </c>
      <c r="E1089" s="28" t="s">
        <v>28</v>
      </c>
      <c r="F1089" s="28">
        <v>0</v>
      </c>
      <c r="G1089" s="28" t="s">
        <v>119</v>
      </c>
      <c r="H1089" s="28">
        <v>0</v>
      </c>
      <c r="J1089" s="28"/>
    </row>
    <row r="1090" spans="1:10" ht="15.75" customHeight="1">
      <c r="A1090" s="28">
        <v>19105</v>
      </c>
      <c r="B1090" s="91">
        <v>45100.706759259258</v>
      </c>
      <c r="C1090" s="28" t="s">
        <v>10</v>
      </c>
      <c r="D1090" s="28" t="s">
        <v>565</v>
      </c>
      <c r="E1090" s="28" t="s">
        <v>28</v>
      </c>
      <c r="F1090" s="28">
        <v>0</v>
      </c>
      <c r="G1090" s="28" t="s">
        <v>117</v>
      </c>
      <c r="H1090" s="28">
        <v>0</v>
      </c>
      <c r="J1090" s="28"/>
    </row>
    <row r="1091" spans="1:10" ht="15.75" customHeight="1">
      <c r="A1091" s="28">
        <v>19105</v>
      </c>
      <c r="B1091" s="91">
        <v>45100.706759259258</v>
      </c>
      <c r="C1091" s="28" t="s">
        <v>10</v>
      </c>
      <c r="D1091" s="28" t="s">
        <v>565</v>
      </c>
      <c r="E1091" s="28" t="s">
        <v>28</v>
      </c>
      <c r="F1091" s="28">
        <v>20</v>
      </c>
      <c r="G1091" s="28" t="s">
        <v>261</v>
      </c>
      <c r="H1091" s="28">
        <v>0</v>
      </c>
      <c r="J1091" s="28"/>
    </row>
    <row r="1092" spans="1:10" ht="15.75" customHeight="1">
      <c r="A1092" s="28">
        <v>19104</v>
      </c>
      <c r="B1092" s="91">
        <v>45100.693796296298</v>
      </c>
      <c r="C1092" s="28" t="s">
        <v>10</v>
      </c>
      <c r="D1092" s="28" t="s">
        <v>566</v>
      </c>
      <c r="E1092" s="28" t="s">
        <v>28</v>
      </c>
      <c r="F1092" s="28">
        <v>15</v>
      </c>
      <c r="G1092" s="28" t="s">
        <v>125</v>
      </c>
      <c r="H1092" s="28">
        <v>0</v>
      </c>
      <c r="J1092" s="28"/>
    </row>
    <row r="1093" spans="1:10" ht="15.75" customHeight="1">
      <c r="A1093" s="28">
        <v>19103</v>
      </c>
      <c r="B1093" s="91">
        <v>45100.60869212963</v>
      </c>
      <c r="C1093" s="28" t="s">
        <v>10</v>
      </c>
      <c r="D1093" s="28" t="s">
        <v>567</v>
      </c>
      <c r="E1093" s="28" t="s">
        <v>28</v>
      </c>
      <c r="F1093" s="28">
        <v>26</v>
      </c>
      <c r="G1093" s="28" t="s">
        <v>122</v>
      </c>
      <c r="H1093" s="28">
        <v>0</v>
      </c>
      <c r="J1093" s="28"/>
    </row>
    <row r="1094" spans="1:10" ht="15.75" customHeight="1">
      <c r="A1094" s="28">
        <v>19102</v>
      </c>
      <c r="B1094" s="91">
        <v>45100.553240740745</v>
      </c>
      <c r="C1094" s="28" t="s">
        <v>10</v>
      </c>
      <c r="D1094" s="28" t="s">
        <v>568</v>
      </c>
      <c r="E1094" s="28" t="s">
        <v>39</v>
      </c>
      <c r="F1094" s="28">
        <v>0</v>
      </c>
      <c r="G1094" s="28" t="s">
        <v>117</v>
      </c>
      <c r="H1094" s="28">
        <v>0</v>
      </c>
      <c r="J1094" s="28"/>
    </row>
    <row r="1095" spans="1:10" ht="15.75" customHeight="1">
      <c r="A1095" s="28">
        <v>19102</v>
      </c>
      <c r="B1095" s="91">
        <v>45100.553240740745</v>
      </c>
      <c r="C1095" s="28" t="s">
        <v>10</v>
      </c>
      <c r="D1095" s="28" t="s">
        <v>568</v>
      </c>
      <c r="E1095" s="28" t="s">
        <v>39</v>
      </c>
      <c r="F1095" s="28">
        <v>25</v>
      </c>
      <c r="G1095" s="28">
        <v>100692</v>
      </c>
      <c r="H1095" s="28">
        <v>0</v>
      </c>
      <c r="J1095" s="28"/>
    </row>
    <row r="1096" spans="1:10" ht="15.75" customHeight="1">
      <c r="A1096" s="28">
        <v>19102</v>
      </c>
      <c r="B1096" s="91">
        <v>45100.553240740745</v>
      </c>
      <c r="C1096" s="28" t="s">
        <v>10</v>
      </c>
      <c r="D1096" s="28" t="s">
        <v>568</v>
      </c>
      <c r="E1096" s="28" t="s">
        <v>39</v>
      </c>
      <c r="F1096" s="28">
        <v>0</v>
      </c>
      <c r="G1096" s="28" t="s">
        <v>125</v>
      </c>
      <c r="H1096" s="28">
        <v>0</v>
      </c>
      <c r="J1096" s="28"/>
    </row>
    <row r="1097" spans="1:10" ht="15.75" customHeight="1">
      <c r="A1097" s="28">
        <v>19102</v>
      </c>
      <c r="B1097" s="91">
        <v>45100.553240740745</v>
      </c>
      <c r="C1097" s="28" t="s">
        <v>10</v>
      </c>
      <c r="D1097" s="28" t="s">
        <v>568</v>
      </c>
      <c r="E1097" s="28" t="s">
        <v>39</v>
      </c>
      <c r="F1097" s="28">
        <v>0</v>
      </c>
      <c r="G1097" s="28" t="s">
        <v>119</v>
      </c>
      <c r="H1097" s="28">
        <v>0</v>
      </c>
      <c r="J1097" s="28"/>
    </row>
    <row r="1098" spans="1:10" ht="15.75" customHeight="1">
      <c r="A1098" s="28">
        <v>19101</v>
      </c>
      <c r="B1098" s="91">
        <v>45100.527731481481</v>
      </c>
      <c r="C1098" s="28" t="s">
        <v>10</v>
      </c>
      <c r="D1098" s="28" t="s">
        <v>569</v>
      </c>
      <c r="E1098" s="28" t="s">
        <v>28</v>
      </c>
      <c r="F1098" s="28">
        <v>18</v>
      </c>
      <c r="G1098" s="28" t="s">
        <v>119</v>
      </c>
      <c r="H1098" s="28">
        <v>0</v>
      </c>
      <c r="J1098" s="28"/>
    </row>
    <row r="1099" spans="1:10" ht="15.75" customHeight="1">
      <c r="A1099" s="28">
        <v>19100</v>
      </c>
      <c r="B1099" s="91">
        <v>45100.114386574074</v>
      </c>
      <c r="C1099" s="28" t="s">
        <v>10</v>
      </c>
      <c r="D1099" s="28" t="s">
        <v>570</v>
      </c>
      <c r="E1099" s="28" t="s">
        <v>28</v>
      </c>
      <c r="F1099" s="28">
        <v>30</v>
      </c>
      <c r="G1099" s="28" t="s">
        <v>139</v>
      </c>
      <c r="H1099" s="28">
        <v>0</v>
      </c>
      <c r="J1099" s="28"/>
    </row>
    <row r="1100" spans="1:10" ht="15.75" customHeight="1">
      <c r="A1100" s="28">
        <v>19100</v>
      </c>
      <c r="B1100" s="91">
        <v>45100.114386574074</v>
      </c>
      <c r="C1100" s="28" t="s">
        <v>10</v>
      </c>
      <c r="D1100" s="28" t="s">
        <v>570</v>
      </c>
      <c r="E1100" s="28" t="s">
        <v>28</v>
      </c>
      <c r="F1100" s="28">
        <v>25</v>
      </c>
      <c r="G1100" s="28">
        <v>100692</v>
      </c>
      <c r="H1100" s="28">
        <v>0</v>
      </c>
      <c r="J1100" s="28"/>
    </row>
    <row r="1101" spans="1:10" ht="15.75" customHeight="1">
      <c r="A1101" s="28">
        <v>19100</v>
      </c>
      <c r="B1101" s="91">
        <v>45100.114386574074</v>
      </c>
      <c r="C1101" s="28" t="s">
        <v>10</v>
      </c>
      <c r="D1101" s="28" t="s">
        <v>570</v>
      </c>
      <c r="E1101" s="28" t="s">
        <v>28</v>
      </c>
      <c r="F1101" s="28">
        <v>0</v>
      </c>
      <c r="G1101" s="28" t="s">
        <v>125</v>
      </c>
      <c r="H1101" s="28">
        <v>0</v>
      </c>
      <c r="J1101" s="28"/>
    </row>
    <row r="1102" spans="1:10" ht="15.75" customHeight="1">
      <c r="A1102" s="28">
        <v>19100</v>
      </c>
      <c r="B1102" s="91">
        <v>45100.114386574074</v>
      </c>
      <c r="C1102" s="28" t="s">
        <v>10</v>
      </c>
      <c r="D1102" s="28" t="s">
        <v>570</v>
      </c>
      <c r="E1102" s="28" t="s">
        <v>28</v>
      </c>
      <c r="F1102" s="28">
        <v>0</v>
      </c>
      <c r="G1102" s="28" t="s">
        <v>119</v>
      </c>
      <c r="H1102" s="28">
        <v>0</v>
      </c>
      <c r="J1102" s="28"/>
    </row>
    <row r="1103" spans="1:10" ht="15.75" customHeight="1">
      <c r="A1103" s="28">
        <v>19099</v>
      </c>
      <c r="B1103" s="91">
        <v>45100.061678240745</v>
      </c>
      <c r="C1103" s="28" t="s">
        <v>10</v>
      </c>
      <c r="D1103" s="28" t="s">
        <v>571</v>
      </c>
      <c r="E1103" s="28" t="s">
        <v>28</v>
      </c>
      <c r="F1103" s="28">
        <v>28</v>
      </c>
      <c r="G1103" s="28" t="s">
        <v>143</v>
      </c>
      <c r="H1103" s="28">
        <v>0</v>
      </c>
      <c r="J1103" s="28"/>
    </row>
    <row r="1104" spans="1:10" ht="15.75" customHeight="1">
      <c r="A1104" s="28">
        <v>19099</v>
      </c>
      <c r="B1104" s="91">
        <v>45100.061678240745</v>
      </c>
      <c r="C1104" s="28" t="s">
        <v>10</v>
      </c>
      <c r="D1104" s="28" t="s">
        <v>571</v>
      </c>
      <c r="E1104" s="28" t="s">
        <v>28</v>
      </c>
      <c r="F1104" s="28">
        <v>15</v>
      </c>
      <c r="G1104" s="28" t="s">
        <v>139</v>
      </c>
      <c r="H1104" s="28">
        <v>0</v>
      </c>
      <c r="J1104" s="28"/>
    </row>
    <row r="1105" spans="1:10" ht="15.75" customHeight="1">
      <c r="A1105" s="28">
        <v>19098</v>
      </c>
      <c r="B1105" s="91">
        <v>45100.003611111111</v>
      </c>
      <c r="C1105" s="28" t="s">
        <v>10</v>
      </c>
      <c r="D1105" s="28" t="s">
        <v>572</v>
      </c>
      <c r="E1105" s="28" t="s">
        <v>28</v>
      </c>
      <c r="F1105" s="28">
        <v>0</v>
      </c>
      <c r="G1105" s="28" t="s">
        <v>117</v>
      </c>
      <c r="H1105" s="28">
        <v>0</v>
      </c>
      <c r="J1105" s="28"/>
    </row>
    <row r="1106" spans="1:10" ht="15.75" customHeight="1">
      <c r="A1106" s="28">
        <v>19098</v>
      </c>
      <c r="B1106" s="91">
        <v>45100.003611111111</v>
      </c>
      <c r="C1106" s="28" t="s">
        <v>10</v>
      </c>
      <c r="D1106" s="28" t="s">
        <v>572</v>
      </c>
      <c r="E1106" s="28" t="s">
        <v>28</v>
      </c>
      <c r="F1106" s="28">
        <v>15</v>
      </c>
      <c r="G1106" s="28" t="s">
        <v>125</v>
      </c>
      <c r="H1106" s="28">
        <v>0</v>
      </c>
      <c r="J1106" s="28"/>
    </row>
    <row r="1107" spans="1:10" ht="15.75" customHeight="1">
      <c r="A1107" s="28">
        <v>19098</v>
      </c>
      <c r="B1107" s="91">
        <v>45100.003611111111</v>
      </c>
      <c r="C1107" s="28" t="s">
        <v>10</v>
      </c>
      <c r="D1107" s="28" t="s">
        <v>572</v>
      </c>
      <c r="E1107" s="28" t="s">
        <v>28</v>
      </c>
      <c r="F1107" s="28">
        <v>0</v>
      </c>
      <c r="G1107" s="28" t="s">
        <v>286</v>
      </c>
      <c r="H1107" s="28">
        <v>0</v>
      </c>
      <c r="J1107" s="28"/>
    </row>
    <row r="1108" spans="1:10" ht="15.75" customHeight="1">
      <c r="A1108" s="28">
        <v>19097</v>
      </c>
      <c r="B1108" s="91">
        <v>45099.93954861111</v>
      </c>
      <c r="C1108" s="28" t="s">
        <v>10</v>
      </c>
      <c r="D1108" s="28" t="s">
        <v>573</v>
      </c>
      <c r="E1108" s="28" t="s">
        <v>28</v>
      </c>
      <c r="F1108" s="28">
        <v>15</v>
      </c>
      <c r="G1108" s="28" t="s">
        <v>125</v>
      </c>
      <c r="H1108" s="28">
        <v>0</v>
      </c>
      <c r="J1108" s="28"/>
    </row>
    <row r="1109" spans="1:10" ht="15.75" customHeight="1">
      <c r="A1109" s="28">
        <v>19096</v>
      </c>
      <c r="B1109" s="91">
        <v>45099.93545138889</v>
      </c>
      <c r="C1109" s="28" t="s">
        <v>10</v>
      </c>
      <c r="D1109" s="28" t="s">
        <v>574</v>
      </c>
      <c r="E1109" s="28" t="s">
        <v>28</v>
      </c>
      <c r="F1109" s="28">
        <v>0</v>
      </c>
      <c r="G1109" s="28" t="s">
        <v>117</v>
      </c>
      <c r="H1109" s="28">
        <v>0</v>
      </c>
      <c r="J1109" s="28"/>
    </row>
    <row r="1110" spans="1:10" ht="15.75" customHeight="1">
      <c r="A1110" s="28">
        <v>19095</v>
      </c>
      <c r="B1110" s="91">
        <v>45099.932071759264</v>
      </c>
      <c r="C1110" s="28" t="s">
        <v>10</v>
      </c>
      <c r="D1110" s="28" t="s">
        <v>575</v>
      </c>
      <c r="E1110" s="28" t="s">
        <v>28</v>
      </c>
      <c r="F1110" s="28">
        <v>26</v>
      </c>
      <c r="G1110" s="28" t="s">
        <v>122</v>
      </c>
      <c r="H1110" s="28">
        <v>0</v>
      </c>
      <c r="J1110" s="28"/>
    </row>
    <row r="1111" spans="1:10" ht="15.75" customHeight="1">
      <c r="A1111" s="28">
        <v>19094</v>
      </c>
      <c r="B1111" s="91">
        <v>45099.92350694444</v>
      </c>
      <c r="C1111" s="28" t="s">
        <v>10</v>
      </c>
      <c r="D1111" s="28" t="s">
        <v>576</v>
      </c>
      <c r="E1111" s="28" t="s">
        <v>28</v>
      </c>
      <c r="F1111" s="28">
        <v>20</v>
      </c>
      <c r="G1111" s="28" t="s">
        <v>121</v>
      </c>
      <c r="H1111" s="28">
        <v>0</v>
      </c>
      <c r="J1111" s="28"/>
    </row>
    <row r="1112" spans="1:10" ht="15.75" customHeight="1">
      <c r="A1112" s="28">
        <v>19094</v>
      </c>
      <c r="B1112" s="91">
        <v>45099.92350694444</v>
      </c>
      <c r="C1112" s="28" t="s">
        <v>10</v>
      </c>
      <c r="D1112" s="28" t="s">
        <v>576</v>
      </c>
      <c r="E1112" s="28" t="s">
        <v>28</v>
      </c>
      <c r="F1112" s="28">
        <v>25</v>
      </c>
      <c r="G1112" s="28">
        <v>100692</v>
      </c>
      <c r="H1112" s="28">
        <v>0</v>
      </c>
      <c r="J1112" s="28"/>
    </row>
    <row r="1113" spans="1:10" ht="15.75" customHeight="1">
      <c r="A1113" s="28">
        <v>19094</v>
      </c>
      <c r="B1113" s="91">
        <v>45099.92350694444</v>
      </c>
      <c r="C1113" s="28" t="s">
        <v>10</v>
      </c>
      <c r="D1113" s="28" t="s">
        <v>576</v>
      </c>
      <c r="E1113" s="28" t="s">
        <v>28</v>
      </c>
      <c r="F1113" s="28">
        <v>0</v>
      </c>
      <c r="G1113" s="28" t="s">
        <v>125</v>
      </c>
      <c r="H1113" s="28">
        <v>0</v>
      </c>
      <c r="J1113" s="28"/>
    </row>
    <row r="1114" spans="1:10" ht="15.75" customHeight="1">
      <c r="A1114" s="28">
        <v>19094</v>
      </c>
      <c r="B1114" s="91">
        <v>45099.92350694444</v>
      </c>
      <c r="C1114" s="28" t="s">
        <v>10</v>
      </c>
      <c r="D1114" s="28" t="s">
        <v>576</v>
      </c>
      <c r="E1114" s="28" t="s">
        <v>28</v>
      </c>
      <c r="F1114" s="28">
        <v>0</v>
      </c>
      <c r="G1114" s="28" t="s">
        <v>119</v>
      </c>
      <c r="H1114" s="28">
        <v>0</v>
      </c>
      <c r="J1114" s="28"/>
    </row>
    <row r="1115" spans="1:10" ht="15.75" customHeight="1">
      <c r="A1115" s="28">
        <v>19093</v>
      </c>
      <c r="B1115" s="91">
        <v>45099.916770833333</v>
      </c>
      <c r="C1115" s="28" t="s">
        <v>10</v>
      </c>
      <c r="D1115" s="28" t="s">
        <v>577</v>
      </c>
      <c r="E1115" s="28" t="s">
        <v>28</v>
      </c>
      <c r="F1115" s="28">
        <v>35</v>
      </c>
      <c r="G1115" s="28" t="s">
        <v>124</v>
      </c>
      <c r="H1115" s="28">
        <v>0</v>
      </c>
      <c r="J1115" s="28"/>
    </row>
    <row r="1116" spans="1:10" ht="15.75" customHeight="1">
      <c r="A1116" s="28">
        <v>19093</v>
      </c>
      <c r="B1116" s="91">
        <v>45099.916770833333</v>
      </c>
      <c r="C1116" s="28" t="s">
        <v>10</v>
      </c>
      <c r="D1116" s="28" t="s">
        <v>577</v>
      </c>
      <c r="E1116" s="28" t="s">
        <v>28</v>
      </c>
      <c r="F1116" s="28">
        <v>0</v>
      </c>
      <c r="G1116" s="28" t="s">
        <v>125</v>
      </c>
      <c r="H1116" s="28">
        <v>0</v>
      </c>
      <c r="J1116" s="28"/>
    </row>
    <row r="1117" spans="1:10" ht="15.75" customHeight="1">
      <c r="A1117" s="28">
        <v>19093</v>
      </c>
      <c r="B1117" s="91">
        <v>45099.916770833333</v>
      </c>
      <c r="C1117" s="28" t="s">
        <v>10</v>
      </c>
      <c r="D1117" s="28" t="s">
        <v>577</v>
      </c>
      <c r="E1117" s="28" t="s">
        <v>28</v>
      </c>
      <c r="F1117" s="28">
        <v>0</v>
      </c>
      <c r="G1117" s="28" t="s">
        <v>119</v>
      </c>
      <c r="H1117" s="28">
        <v>0</v>
      </c>
      <c r="J1117" s="28"/>
    </row>
    <row r="1118" spans="1:10" ht="15.75" customHeight="1">
      <c r="A1118" s="28">
        <v>19093</v>
      </c>
      <c r="B1118" s="91">
        <v>45099.916770833333</v>
      </c>
      <c r="C1118" s="28" t="s">
        <v>10</v>
      </c>
      <c r="D1118" s="28" t="s">
        <v>577</v>
      </c>
      <c r="E1118" s="28" t="s">
        <v>28</v>
      </c>
      <c r="F1118" s="28">
        <v>0</v>
      </c>
      <c r="G1118" s="28" t="s">
        <v>121</v>
      </c>
      <c r="H1118" s="28">
        <v>0</v>
      </c>
      <c r="J1118" s="28"/>
    </row>
    <row r="1119" spans="1:10" ht="15.75" customHeight="1">
      <c r="A1119" s="28">
        <v>19092</v>
      </c>
      <c r="B1119" s="91">
        <v>45099.87872685185</v>
      </c>
      <c r="C1119" s="28" t="s">
        <v>10</v>
      </c>
      <c r="D1119" s="28" t="s">
        <v>578</v>
      </c>
      <c r="E1119" s="28" t="s">
        <v>28</v>
      </c>
      <c r="F1119" s="28">
        <v>0</v>
      </c>
      <c r="G1119" s="28" t="s">
        <v>286</v>
      </c>
      <c r="H1119" s="28">
        <v>0</v>
      </c>
      <c r="J1119" s="28"/>
    </row>
    <row r="1120" spans="1:10" ht="15.75" customHeight="1">
      <c r="A1120" s="28">
        <v>19092</v>
      </c>
      <c r="B1120" s="91">
        <v>45099.87872685185</v>
      </c>
      <c r="C1120" s="28" t="s">
        <v>10</v>
      </c>
      <c r="D1120" s="28" t="s">
        <v>578</v>
      </c>
      <c r="E1120" s="28" t="s">
        <v>28</v>
      </c>
      <c r="F1120" s="28">
        <v>0</v>
      </c>
      <c r="G1120" s="28" t="s">
        <v>117</v>
      </c>
      <c r="H1120" s="28">
        <v>0</v>
      </c>
      <c r="J1120" s="28"/>
    </row>
    <row r="1121" spans="1:10" ht="15.75" customHeight="1">
      <c r="A1121" s="28">
        <v>19092</v>
      </c>
      <c r="B1121" s="91">
        <v>45099.87872685185</v>
      </c>
      <c r="C1121" s="28" t="s">
        <v>10</v>
      </c>
      <c r="D1121" s="28" t="s">
        <v>578</v>
      </c>
      <c r="E1121" s="28" t="s">
        <v>28</v>
      </c>
      <c r="F1121" s="28">
        <v>28</v>
      </c>
      <c r="G1121" s="28" t="s">
        <v>143</v>
      </c>
      <c r="H1121" s="28">
        <v>0</v>
      </c>
      <c r="J1121" s="28"/>
    </row>
    <row r="1122" spans="1:10" ht="15.75" customHeight="1">
      <c r="A1122" s="28">
        <v>19090</v>
      </c>
      <c r="B1122" s="91">
        <v>45099.834872685184</v>
      </c>
      <c r="C1122" s="28" t="s">
        <v>10</v>
      </c>
      <c r="D1122" s="28" t="s">
        <v>579</v>
      </c>
      <c r="E1122" s="28" t="s">
        <v>84</v>
      </c>
      <c r="F1122" s="28">
        <v>25</v>
      </c>
      <c r="G1122" s="28" t="s">
        <v>141</v>
      </c>
      <c r="H1122" s="28">
        <v>0</v>
      </c>
      <c r="J1122" s="28"/>
    </row>
    <row r="1123" spans="1:10" ht="15.75" customHeight="1">
      <c r="A1123" s="28">
        <v>19089</v>
      </c>
      <c r="B1123" s="91">
        <v>45099.783101851848</v>
      </c>
      <c r="C1123" s="28" t="s">
        <v>10</v>
      </c>
      <c r="D1123" s="28" t="s">
        <v>580</v>
      </c>
      <c r="E1123" s="28" t="s">
        <v>28</v>
      </c>
      <c r="F1123" s="28">
        <v>18</v>
      </c>
      <c r="G1123" s="28" t="s">
        <v>119</v>
      </c>
      <c r="H1123" s="28">
        <v>0</v>
      </c>
      <c r="J1123" s="28"/>
    </row>
    <row r="1124" spans="1:10" ht="15.75" customHeight="1">
      <c r="A1124" s="28">
        <v>19088</v>
      </c>
      <c r="B1124" s="91">
        <v>45099.738715277781</v>
      </c>
      <c r="C1124" s="28" t="s">
        <v>10</v>
      </c>
      <c r="D1124" s="28" t="s">
        <v>581</v>
      </c>
      <c r="E1124" s="28" t="s">
        <v>28</v>
      </c>
      <c r="F1124" s="28">
        <v>0</v>
      </c>
      <c r="G1124" s="28" t="s">
        <v>286</v>
      </c>
      <c r="H1124" s="28">
        <v>0</v>
      </c>
      <c r="J1124" s="28"/>
    </row>
    <row r="1125" spans="1:10" ht="15.75" customHeight="1">
      <c r="A1125" s="28">
        <v>19088</v>
      </c>
      <c r="B1125" s="91">
        <v>45099.738715277781</v>
      </c>
      <c r="C1125" s="28" t="s">
        <v>10</v>
      </c>
      <c r="D1125" s="28" t="s">
        <v>581</v>
      </c>
      <c r="E1125" s="28" t="s">
        <v>28</v>
      </c>
      <c r="F1125" s="28">
        <v>0</v>
      </c>
      <c r="G1125" s="28" t="s">
        <v>117</v>
      </c>
      <c r="H1125" s="28">
        <v>0</v>
      </c>
      <c r="J1125" s="28"/>
    </row>
    <row r="1126" spans="1:10" ht="15.75" customHeight="1">
      <c r="A1126" s="28">
        <v>19088</v>
      </c>
      <c r="B1126" s="91">
        <v>45099.738715277781</v>
      </c>
      <c r="C1126" s="28" t="s">
        <v>10</v>
      </c>
      <c r="D1126" s="28" t="s">
        <v>581</v>
      </c>
      <c r="E1126" s="28" t="s">
        <v>28</v>
      </c>
      <c r="F1126" s="28">
        <v>25</v>
      </c>
      <c r="G1126" s="28">
        <v>100692</v>
      </c>
      <c r="H1126" s="28">
        <v>0</v>
      </c>
      <c r="J1126" s="28"/>
    </row>
    <row r="1127" spans="1:10" ht="15.75" customHeight="1">
      <c r="A1127" s="28">
        <v>19088</v>
      </c>
      <c r="B1127" s="91">
        <v>45099.738715277781</v>
      </c>
      <c r="C1127" s="28" t="s">
        <v>10</v>
      </c>
      <c r="D1127" s="28" t="s">
        <v>581</v>
      </c>
      <c r="E1127" s="28" t="s">
        <v>28</v>
      </c>
      <c r="F1127" s="28">
        <v>0</v>
      </c>
      <c r="G1127" s="28" t="s">
        <v>125</v>
      </c>
      <c r="H1127" s="28">
        <v>0</v>
      </c>
      <c r="J1127" s="28"/>
    </row>
    <row r="1128" spans="1:10" ht="15.75" customHeight="1">
      <c r="A1128" s="28">
        <v>19088</v>
      </c>
      <c r="B1128" s="91">
        <v>45099.738715277781</v>
      </c>
      <c r="C1128" s="28" t="s">
        <v>10</v>
      </c>
      <c r="D1128" s="28" t="s">
        <v>581</v>
      </c>
      <c r="E1128" s="28" t="s">
        <v>28</v>
      </c>
      <c r="F1128" s="28">
        <v>0</v>
      </c>
      <c r="G1128" s="28" t="s">
        <v>119</v>
      </c>
      <c r="H1128" s="28">
        <v>0</v>
      </c>
      <c r="J1128" s="28"/>
    </row>
    <row r="1129" spans="1:10" ht="15.75" customHeight="1">
      <c r="A1129" s="28">
        <v>19087</v>
      </c>
      <c r="B1129" s="91">
        <v>45099.702326388884</v>
      </c>
      <c r="C1129" s="28" t="s">
        <v>10</v>
      </c>
      <c r="D1129" s="28" t="s">
        <v>582</v>
      </c>
      <c r="E1129" s="28" t="s">
        <v>28</v>
      </c>
      <c r="F1129" s="28">
        <v>26</v>
      </c>
      <c r="G1129" s="28" t="s">
        <v>122</v>
      </c>
      <c r="H1129" s="28">
        <v>0</v>
      </c>
      <c r="J1129" s="28"/>
    </row>
    <row r="1130" spans="1:10" ht="15.75" customHeight="1">
      <c r="A1130" s="28">
        <v>19086</v>
      </c>
      <c r="B1130" s="91">
        <v>45099.692106481481</v>
      </c>
      <c r="C1130" s="28" t="s">
        <v>10</v>
      </c>
      <c r="D1130" s="28" t="s">
        <v>583</v>
      </c>
      <c r="E1130" s="28" t="s">
        <v>39</v>
      </c>
      <c r="F1130" s="28">
        <v>28</v>
      </c>
      <c r="G1130" s="28" t="s">
        <v>143</v>
      </c>
      <c r="H1130" s="28">
        <v>0</v>
      </c>
      <c r="J1130" s="28"/>
    </row>
    <row r="1131" spans="1:10" ht="15.75" customHeight="1">
      <c r="A1131" s="28">
        <v>19085</v>
      </c>
      <c r="B1131" s="91">
        <v>45099.663078703699</v>
      </c>
      <c r="C1131" s="28" t="s">
        <v>10</v>
      </c>
      <c r="D1131" s="28" t="s">
        <v>584</v>
      </c>
      <c r="E1131" s="28" t="s">
        <v>28</v>
      </c>
      <c r="F1131" s="28">
        <v>28</v>
      </c>
      <c r="G1131" s="28" t="s">
        <v>143</v>
      </c>
      <c r="H1131" s="28">
        <v>0</v>
      </c>
      <c r="J1131" s="28"/>
    </row>
    <row r="1132" spans="1:10" ht="15.75" customHeight="1">
      <c r="A1132" s="28">
        <v>19084</v>
      </c>
      <c r="B1132" s="91">
        <v>45099.661712962959</v>
      </c>
      <c r="C1132" s="28" t="s">
        <v>10</v>
      </c>
      <c r="D1132" s="28" t="s">
        <v>585</v>
      </c>
      <c r="E1132" s="28" t="s">
        <v>28</v>
      </c>
      <c r="F1132" s="28">
        <v>28</v>
      </c>
      <c r="G1132" s="28" t="s">
        <v>143</v>
      </c>
      <c r="H1132" s="28">
        <v>0</v>
      </c>
      <c r="J1132" s="28"/>
    </row>
    <row r="1133" spans="1:10" ht="15.75" customHeight="1">
      <c r="A1133" s="28">
        <v>19083</v>
      </c>
      <c r="B1133" s="91">
        <v>45099.614930555559</v>
      </c>
      <c r="C1133" s="28" t="s">
        <v>10</v>
      </c>
      <c r="D1133" s="28" t="s">
        <v>586</v>
      </c>
      <c r="E1133" s="28" t="s">
        <v>28</v>
      </c>
      <c r="F1133" s="28">
        <v>25</v>
      </c>
      <c r="G1133" s="28">
        <v>100692</v>
      </c>
      <c r="H1133" s="28">
        <v>0</v>
      </c>
      <c r="J1133" s="28"/>
    </row>
    <row r="1134" spans="1:10" ht="15.75" customHeight="1">
      <c r="A1134" s="28">
        <v>19083</v>
      </c>
      <c r="B1134" s="91">
        <v>45099.614930555559</v>
      </c>
      <c r="C1134" s="28" t="s">
        <v>10</v>
      </c>
      <c r="D1134" s="28" t="s">
        <v>586</v>
      </c>
      <c r="E1134" s="28" t="s">
        <v>28</v>
      </c>
      <c r="F1134" s="28">
        <v>0</v>
      </c>
      <c r="G1134" s="28" t="s">
        <v>125</v>
      </c>
      <c r="H1134" s="28">
        <v>0</v>
      </c>
      <c r="J1134" s="28"/>
    </row>
    <row r="1135" spans="1:10" ht="15.75" customHeight="1">
      <c r="A1135" s="28">
        <v>19083</v>
      </c>
      <c r="B1135" s="91">
        <v>45099.614930555559</v>
      </c>
      <c r="C1135" s="28" t="s">
        <v>10</v>
      </c>
      <c r="D1135" s="28" t="s">
        <v>586</v>
      </c>
      <c r="E1135" s="28" t="s">
        <v>28</v>
      </c>
      <c r="F1135" s="28">
        <v>0</v>
      </c>
      <c r="G1135" s="28" t="s">
        <v>119</v>
      </c>
      <c r="H1135" s="28">
        <v>0</v>
      </c>
      <c r="J1135" s="28"/>
    </row>
    <row r="1136" spans="1:10" ht="15.75" customHeight="1">
      <c r="A1136" s="28">
        <v>19083</v>
      </c>
      <c r="B1136" s="91">
        <v>45099.614930555559</v>
      </c>
      <c r="C1136" s="28" t="s">
        <v>10</v>
      </c>
      <c r="D1136" s="28" t="s">
        <v>586</v>
      </c>
      <c r="E1136" s="28" t="s">
        <v>28</v>
      </c>
      <c r="F1136" s="28">
        <v>0</v>
      </c>
      <c r="G1136" s="28" t="s">
        <v>117</v>
      </c>
      <c r="H1136" s="28">
        <v>0</v>
      </c>
      <c r="J1136" s="28"/>
    </row>
    <row r="1137" spans="1:10" ht="15.75" customHeight="1">
      <c r="A1137" s="28">
        <v>19082</v>
      </c>
      <c r="B1137" s="91">
        <v>45099.601643518516</v>
      </c>
      <c r="C1137" s="28" t="s">
        <v>10</v>
      </c>
      <c r="D1137" s="28" t="s">
        <v>587</v>
      </c>
      <c r="E1137" s="28" t="s">
        <v>28</v>
      </c>
      <c r="F1137" s="28">
        <v>0</v>
      </c>
      <c r="G1137" s="28" t="s">
        <v>286</v>
      </c>
      <c r="H1137" s="28">
        <v>0</v>
      </c>
      <c r="J1137" s="28"/>
    </row>
    <row r="1138" spans="1:10" ht="15.75" customHeight="1">
      <c r="A1138" s="28">
        <v>19082</v>
      </c>
      <c r="B1138" s="91">
        <v>45099.601643518516</v>
      </c>
      <c r="C1138" s="28" t="s">
        <v>10</v>
      </c>
      <c r="D1138" s="28" t="s">
        <v>587</v>
      </c>
      <c r="E1138" s="28" t="s">
        <v>28</v>
      </c>
      <c r="F1138" s="28">
        <v>35</v>
      </c>
      <c r="G1138" s="28" t="s">
        <v>124</v>
      </c>
      <c r="H1138" s="28">
        <v>0</v>
      </c>
      <c r="J1138" s="28"/>
    </row>
    <row r="1139" spans="1:10" ht="15.75" customHeight="1">
      <c r="A1139" s="28">
        <v>19082</v>
      </c>
      <c r="B1139" s="91">
        <v>45099.601643518516</v>
      </c>
      <c r="C1139" s="28" t="s">
        <v>10</v>
      </c>
      <c r="D1139" s="28" t="s">
        <v>587</v>
      </c>
      <c r="E1139" s="28" t="s">
        <v>28</v>
      </c>
      <c r="F1139" s="28">
        <v>0</v>
      </c>
      <c r="G1139" s="28" t="s">
        <v>125</v>
      </c>
      <c r="H1139" s="28">
        <v>0</v>
      </c>
      <c r="J1139" s="28"/>
    </row>
    <row r="1140" spans="1:10" ht="15.75" customHeight="1">
      <c r="A1140" s="28">
        <v>19082</v>
      </c>
      <c r="B1140" s="91">
        <v>45099.601643518516</v>
      </c>
      <c r="C1140" s="28" t="s">
        <v>10</v>
      </c>
      <c r="D1140" s="28" t="s">
        <v>587</v>
      </c>
      <c r="E1140" s="28" t="s">
        <v>28</v>
      </c>
      <c r="F1140" s="28">
        <v>0</v>
      </c>
      <c r="G1140" s="28" t="s">
        <v>119</v>
      </c>
      <c r="H1140" s="28">
        <v>0</v>
      </c>
      <c r="J1140" s="28"/>
    </row>
    <row r="1141" spans="1:10" ht="15.75" customHeight="1">
      <c r="A1141" s="28">
        <v>19082</v>
      </c>
      <c r="B1141" s="91">
        <v>45099.601643518516</v>
      </c>
      <c r="C1141" s="28" t="s">
        <v>10</v>
      </c>
      <c r="D1141" s="28" t="s">
        <v>587</v>
      </c>
      <c r="E1141" s="28" t="s">
        <v>28</v>
      </c>
      <c r="F1141" s="28">
        <v>0</v>
      </c>
      <c r="G1141" s="28" t="s">
        <v>121</v>
      </c>
      <c r="H1141" s="28">
        <v>0</v>
      </c>
      <c r="J1141" s="28"/>
    </row>
    <row r="1142" spans="1:10" ht="15.75" customHeight="1">
      <c r="A1142" s="28">
        <v>19081</v>
      </c>
      <c r="B1142" s="91">
        <v>45099.576828703706</v>
      </c>
      <c r="C1142" s="28" t="s">
        <v>10</v>
      </c>
      <c r="D1142" s="28" t="s">
        <v>588</v>
      </c>
      <c r="E1142" s="28" t="s">
        <v>28</v>
      </c>
      <c r="F1142" s="28">
        <v>0</v>
      </c>
      <c r="G1142" s="28" t="s">
        <v>286</v>
      </c>
      <c r="H1142" s="28">
        <v>0</v>
      </c>
      <c r="J1142" s="28"/>
    </row>
    <row r="1143" spans="1:10" ht="15.75" customHeight="1">
      <c r="A1143" s="28">
        <v>19081</v>
      </c>
      <c r="B1143" s="91">
        <v>45099.576828703706</v>
      </c>
      <c r="C1143" s="28" t="s">
        <v>10</v>
      </c>
      <c r="D1143" s="28" t="s">
        <v>588</v>
      </c>
      <c r="E1143" s="28" t="s">
        <v>28</v>
      </c>
      <c r="F1143" s="28">
        <v>0</v>
      </c>
      <c r="G1143" s="28" t="s">
        <v>117</v>
      </c>
      <c r="H1143" s="28">
        <v>0</v>
      </c>
      <c r="J1143" s="28"/>
    </row>
    <row r="1144" spans="1:10" ht="15.75" customHeight="1">
      <c r="A1144" s="28">
        <v>19081</v>
      </c>
      <c r="B1144" s="91">
        <v>45099.576828703706</v>
      </c>
      <c r="C1144" s="28" t="s">
        <v>10</v>
      </c>
      <c r="D1144" s="28" t="s">
        <v>588</v>
      </c>
      <c r="E1144" s="28" t="s">
        <v>28</v>
      </c>
      <c r="F1144" s="28">
        <v>50</v>
      </c>
      <c r="G1144" s="28">
        <v>100692</v>
      </c>
      <c r="H1144" s="28">
        <v>0</v>
      </c>
      <c r="J1144" s="28"/>
    </row>
    <row r="1145" spans="1:10" ht="15.75" customHeight="1">
      <c r="A1145" s="28">
        <v>19081</v>
      </c>
      <c r="B1145" s="91">
        <v>45099.576828703706</v>
      </c>
      <c r="C1145" s="28" t="s">
        <v>10</v>
      </c>
      <c r="D1145" s="28" t="s">
        <v>588</v>
      </c>
      <c r="E1145" s="28" t="s">
        <v>28</v>
      </c>
      <c r="F1145" s="28">
        <v>0</v>
      </c>
      <c r="G1145" s="28" t="s">
        <v>125</v>
      </c>
      <c r="H1145" s="28">
        <v>0</v>
      </c>
      <c r="J1145" s="28"/>
    </row>
    <row r="1146" spans="1:10" ht="15.75" customHeight="1">
      <c r="A1146" s="28">
        <v>19081</v>
      </c>
      <c r="B1146" s="91">
        <v>45099.576828703706</v>
      </c>
      <c r="C1146" s="28" t="s">
        <v>10</v>
      </c>
      <c r="D1146" s="28" t="s">
        <v>588</v>
      </c>
      <c r="E1146" s="28" t="s">
        <v>28</v>
      </c>
      <c r="F1146" s="28">
        <v>0</v>
      </c>
      <c r="G1146" s="28" t="s">
        <v>119</v>
      </c>
      <c r="H1146" s="28">
        <v>0</v>
      </c>
      <c r="J1146" s="28"/>
    </row>
    <row r="1147" spans="1:10" ht="15.75" customHeight="1">
      <c r="A1147" s="28">
        <v>19080</v>
      </c>
      <c r="B1147" s="91">
        <v>45099.573252314818</v>
      </c>
      <c r="C1147" s="28" t="s">
        <v>10</v>
      </c>
      <c r="D1147" s="28" t="s">
        <v>589</v>
      </c>
      <c r="E1147" s="28" t="s">
        <v>28</v>
      </c>
      <c r="F1147" s="28">
        <v>25</v>
      </c>
      <c r="G1147" s="28">
        <v>100692</v>
      </c>
      <c r="H1147" s="28">
        <v>0</v>
      </c>
      <c r="J1147" s="28"/>
    </row>
    <row r="1148" spans="1:10" ht="15.75" customHeight="1">
      <c r="A1148" s="28">
        <v>19080</v>
      </c>
      <c r="B1148" s="91">
        <v>45099.573252314818</v>
      </c>
      <c r="C1148" s="28" t="s">
        <v>10</v>
      </c>
      <c r="D1148" s="28" t="s">
        <v>589</v>
      </c>
      <c r="E1148" s="28" t="s">
        <v>28</v>
      </c>
      <c r="F1148" s="28">
        <v>0</v>
      </c>
      <c r="G1148" s="28" t="s">
        <v>125</v>
      </c>
      <c r="H1148" s="28">
        <v>0</v>
      </c>
      <c r="J1148" s="28"/>
    </row>
    <row r="1149" spans="1:10" ht="15.75" customHeight="1">
      <c r="A1149" s="28">
        <v>19080</v>
      </c>
      <c r="B1149" s="91">
        <v>45099.573252314818</v>
      </c>
      <c r="C1149" s="28" t="s">
        <v>10</v>
      </c>
      <c r="D1149" s="28" t="s">
        <v>589</v>
      </c>
      <c r="E1149" s="28" t="s">
        <v>28</v>
      </c>
      <c r="F1149" s="28">
        <v>0</v>
      </c>
      <c r="G1149" s="28" t="s">
        <v>119</v>
      </c>
      <c r="H1149" s="28">
        <v>0</v>
      </c>
      <c r="J1149" s="28"/>
    </row>
    <row r="1150" spans="1:10" ht="15.75" customHeight="1">
      <c r="A1150" s="28">
        <v>19080</v>
      </c>
      <c r="B1150" s="91">
        <v>45099.573252314818</v>
      </c>
      <c r="C1150" s="28" t="s">
        <v>10</v>
      </c>
      <c r="D1150" s="28" t="s">
        <v>589</v>
      </c>
      <c r="E1150" s="28" t="s">
        <v>28</v>
      </c>
      <c r="F1150" s="28">
        <v>28</v>
      </c>
      <c r="G1150" s="28" t="s">
        <v>143</v>
      </c>
      <c r="H1150" s="28">
        <v>0</v>
      </c>
      <c r="J1150" s="28"/>
    </row>
    <row r="1151" spans="1:10" ht="15.75" customHeight="1">
      <c r="A1151" s="28">
        <v>19079</v>
      </c>
      <c r="B1151" s="91">
        <v>45099.56559027778</v>
      </c>
      <c r="C1151" s="28" t="s">
        <v>10</v>
      </c>
      <c r="D1151" s="28" t="s">
        <v>590</v>
      </c>
      <c r="E1151" s="28" t="s">
        <v>28</v>
      </c>
      <c r="F1151" s="28">
        <v>15</v>
      </c>
      <c r="G1151" s="28" t="s">
        <v>125</v>
      </c>
      <c r="H1151" s="28">
        <v>0</v>
      </c>
      <c r="J1151" s="28"/>
    </row>
    <row r="1152" spans="1:10" ht="15.75" customHeight="1">
      <c r="A1152" s="28">
        <v>19078</v>
      </c>
      <c r="B1152" s="91">
        <v>45099.555243055554</v>
      </c>
      <c r="C1152" s="28" t="s">
        <v>10</v>
      </c>
      <c r="D1152" s="28" t="s">
        <v>591</v>
      </c>
      <c r="E1152" s="28" t="s">
        <v>28</v>
      </c>
      <c r="F1152" s="28">
        <v>20</v>
      </c>
      <c r="G1152" s="28" t="s">
        <v>261</v>
      </c>
      <c r="H1152" s="28">
        <v>0</v>
      </c>
      <c r="J1152" s="28"/>
    </row>
    <row r="1153" spans="1:10" ht="15.75" customHeight="1">
      <c r="A1153" s="28">
        <v>19078</v>
      </c>
      <c r="B1153" s="91">
        <v>45099.555243055554</v>
      </c>
      <c r="C1153" s="28" t="s">
        <v>10</v>
      </c>
      <c r="D1153" s="28" t="s">
        <v>591</v>
      </c>
      <c r="E1153" s="28" t="s">
        <v>28</v>
      </c>
      <c r="F1153" s="28">
        <v>0</v>
      </c>
      <c r="G1153" s="28" t="s">
        <v>117</v>
      </c>
      <c r="H1153" s="28">
        <v>0</v>
      </c>
      <c r="J1153" s="28"/>
    </row>
    <row r="1154" spans="1:10" ht="15.75" customHeight="1">
      <c r="A1154" s="28">
        <v>19077</v>
      </c>
      <c r="B1154" s="91">
        <v>45099.547164351854</v>
      </c>
      <c r="C1154" s="28" t="s">
        <v>10</v>
      </c>
      <c r="D1154" s="28" t="s">
        <v>592</v>
      </c>
      <c r="E1154" s="28" t="s">
        <v>28</v>
      </c>
      <c r="F1154" s="28">
        <v>35</v>
      </c>
      <c r="G1154" s="28" t="s">
        <v>124</v>
      </c>
      <c r="H1154" s="28">
        <v>0</v>
      </c>
      <c r="J1154" s="28"/>
    </row>
    <row r="1155" spans="1:10" ht="15.75" customHeight="1">
      <c r="A1155" s="28">
        <v>19077</v>
      </c>
      <c r="B1155" s="91">
        <v>45099.547164351854</v>
      </c>
      <c r="C1155" s="28" t="s">
        <v>10</v>
      </c>
      <c r="D1155" s="28" t="s">
        <v>592</v>
      </c>
      <c r="E1155" s="28" t="s">
        <v>28</v>
      </c>
      <c r="F1155" s="28">
        <v>0</v>
      </c>
      <c r="G1155" s="28" t="s">
        <v>125</v>
      </c>
      <c r="H1155" s="28">
        <v>0</v>
      </c>
      <c r="J1155" s="28"/>
    </row>
    <row r="1156" spans="1:10" ht="15.75" customHeight="1">
      <c r="A1156" s="28">
        <v>19077</v>
      </c>
      <c r="B1156" s="91">
        <v>45099.547164351854</v>
      </c>
      <c r="C1156" s="28" t="s">
        <v>10</v>
      </c>
      <c r="D1156" s="28" t="s">
        <v>592</v>
      </c>
      <c r="E1156" s="28" t="s">
        <v>28</v>
      </c>
      <c r="F1156" s="28">
        <v>0</v>
      </c>
      <c r="G1156" s="28" t="s">
        <v>119</v>
      </c>
      <c r="H1156" s="28">
        <v>0</v>
      </c>
      <c r="J1156" s="28"/>
    </row>
    <row r="1157" spans="1:10" ht="15.75" customHeight="1">
      <c r="A1157" s="28">
        <v>19077</v>
      </c>
      <c r="B1157" s="91">
        <v>45099.547164351854</v>
      </c>
      <c r="C1157" s="28" t="s">
        <v>10</v>
      </c>
      <c r="D1157" s="28" t="s">
        <v>592</v>
      </c>
      <c r="E1157" s="28" t="s">
        <v>28</v>
      </c>
      <c r="F1157" s="28">
        <v>0</v>
      </c>
      <c r="G1157" s="28" t="s">
        <v>121</v>
      </c>
      <c r="H1157" s="28">
        <v>0</v>
      </c>
      <c r="J1157" s="28"/>
    </row>
    <row r="1158" spans="1:10" ht="15.75" customHeight="1">
      <c r="A1158" s="28">
        <v>19076</v>
      </c>
      <c r="B1158" s="91">
        <v>45099.542650462958</v>
      </c>
      <c r="C1158" s="28" t="s">
        <v>10</v>
      </c>
      <c r="D1158" s="28" t="s">
        <v>593</v>
      </c>
      <c r="E1158" s="28" t="s">
        <v>28</v>
      </c>
      <c r="F1158" s="28">
        <v>0</v>
      </c>
      <c r="G1158" s="28" t="s">
        <v>117</v>
      </c>
      <c r="H1158" s="28">
        <v>0</v>
      </c>
      <c r="J1158" s="28"/>
    </row>
    <row r="1159" spans="1:10" ht="15.75" customHeight="1">
      <c r="A1159" s="28">
        <v>19075</v>
      </c>
      <c r="B1159" s="91">
        <v>45099.519895833335</v>
      </c>
      <c r="C1159" s="28" t="s">
        <v>10</v>
      </c>
      <c r="D1159" s="28" t="s">
        <v>594</v>
      </c>
      <c r="E1159" s="28" t="s">
        <v>28</v>
      </c>
      <c r="F1159" s="28">
        <v>28</v>
      </c>
      <c r="G1159" s="28" t="s">
        <v>143</v>
      </c>
      <c r="H1159" s="28">
        <v>0</v>
      </c>
      <c r="J1159" s="28"/>
    </row>
    <row r="1160" spans="1:10" ht="15.75" customHeight="1">
      <c r="A1160" s="28">
        <v>19074</v>
      </c>
      <c r="B1160" s="91">
        <v>45099.519780092596</v>
      </c>
      <c r="C1160" s="28" t="s">
        <v>10</v>
      </c>
      <c r="D1160" s="28" t="s">
        <v>595</v>
      </c>
      <c r="E1160" s="28" t="s">
        <v>39</v>
      </c>
      <c r="F1160" s="28">
        <v>28</v>
      </c>
      <c r="G1160" s="28" t="s">
        <v>143</v>
      </c>
      <c r="H1160" s="28">
        <v>0</v>
      </c>
      <c r="J1160" s="28"/>
    </row>
    <row r="1161" spans="1:10" ht="15.75" customHeight="1">
      <c r="A1161" s="28">
        <v>19074</v>
      </c>
      <c r="B1161" s="91">
        <v>45099.519780092596</v>
      </c>
      <c r="C1161" s="28" t="s">
        <v>10</v>
      </c>
      <c r="D1161" s="28" t="s">
        <v>595</v>
      </c>
      <c r="E1161" s="28" t="s">
        <v>39</v>
      </c>
      <c r="F1161" s="28">
        <v>0</v>
      </c>
      <c r="G1161" s="28" t="s">
        <v>117</v>
      </c>
      <c r="H1161" s="28">
        <v>0</v>
      </c>
      <c r="J1161" s="28"/>
    </row>
    <row r="1162" spans="1:10" ht="15.75" customHeight="1">
      <c r="A1162" s="28">
        <v>19073</v>
      </c>
      <c r="B1162" s="91">
        <v>45099.070740740739</v>
      </c>
      <c r="C1162" s="28" t="s">
        <v>10</v>
      </c>
      <c r="D1162" s="28" t="s">
        <v>596</v>
      </c>
      <c r="E1162" s="28" t="s">
        <v>28</v>
      </c>
      <c r="F1162" s="28">
        <v>30</v>
      </c>
      <c r="G1162" s="28" t="s">
        <v>125</v>
      </c>
      <c r="H1162" s="28">
        <v>0</v>
      </c>
      <c r="J1162" s="28"/>
    </row>
    <row r="1163" spans="1:10" ht="15.75" customHeight="1">
      <c r="A1163" s="28">
        <v>19072</v>
      </c>
      <c r="B1163" s="91">
        <v>45099.028217592597</v>
      </c>
      <c r="C1163" s="28" t="s">
        <v>10</v>
      </c>
      <c r="D1163" s="28" t="s">
        <v>597</v>
      </c>
      <c r="E1163" s="28" t="s">
        <v>28</v>
      </c>
      <c r="F1163" s="28">
        <v>30</v>
      </c>
      <c r="G1163" s="28" t="s">
        <v>128</v>
      </c>
      <c r="H1163" s="28">
        <v>0</v>
      </c>
      <c r="J1163" s="28"/>
    </row>
    <row r="1164" spans="1:10" ht="15.75" customHeight="1">
      <c r="A1164" s="28">
        <v>19072</v>
      </c>
      <c r="B1164" s="91">
        <v>45099.028217592597</v>
      </c>
      <c r="C1164" s="28" t="s">
        <v>10</v>
      </c>
      <c r="D1164" s="28" t="s">
        <v>597</v>
      </c>
      <c r="E1164" s="28" t="s">
        <v>28</v>
      </c>
      <c r="F1164" s="28">
        <v>0</v>
      </c>
      <c r="G1164" s="28" t="s">
        <v>125</v>
      </c>
      <c r="H1164" s="28">
        <v>0</v>
      </c>
      <c r="J1164" s="28"/>
    </row>
    <row r="1165" spans="1:10" ht="15.75" customHeight="1">
      <c r="A1165" s="28">
        <v>19072</v>
      </c>
      <c r="B1165" s="91">
        <v>45099.028217592597</v>
      </c>
      <c r="C1165" s="28" t="s">
        <v>10</v>
      </c>
      <c r="D1165" s="28" t="s">
        <v>597</v>
      </c>
      <c r="E1165" s="28" t="s">
        <v>28</v>
      </c>
      <c r="F1165" s="28">
        <v>0</v>
      </c>
      <c r="G1165" s="28" t="s">
        <v>119</v>
      </c>
      <c r="H1165" s="28">
        <v>0</v>
      </c>
      <c r="J1165" s="28"/>
    </row>
    <row r="1166" spans="1:10" ht="15.75" customHeight="1">
      <c r="A1166" s="28">
        <v>19071</v>
      </c>
      <c r="B1166" s="91">
        <v>45098.966736111106</v>
      </c>
      <c r="C1166" s="28" t="s">
        <v>10</v>
      </c>
      <c r="D1166" s="28" t="s">
        <v>598</v>
      </c>
      <c r="E1166" s="28" t="s">
        <v>28</v>
      </c>
      <c r="F1166" s="28">
        <v>25</v>
      </c>
      <c r="G1166" s="28">
        <v>100692</v>
      </c>
      <c r="H1166" s="28">
        <v>0</v>
      </c>
      <c r="J1166" s="28"/>
    </row>
    <row r="1167" spans="1:10" ht="15.75" customHeight="1">
      <c r="A1167" s="28">
        <v>19071</v>
      </c>
      <c r="B1167" s="91">
        <v>45098.966736111106</v>
      </c>
      <c r="C1167" s="28" t="s">
        <v>10</v>
      </c>
      <c r="D1167" s="28" t="s">
        <v>598</v>
      </c>
      <c r="E1167" s="28" t="s">
        <v>28</v>
      </c>
      <c r="F1167" s="28">
        <v>0</v>
      </c>
      <c r="G1167" s="28" t="s">
        <v>125</v>
      </c>
      <c r="H1167" s="28">
        <v>0</v>
      </c>
      <c r="J1167" s="28"/>
    </row>
    <row r="1168" spans="1:10" ht="15.75" customHeight="1">
      <c r="A1168" s="28">
        <v>19071</v>
      </c>
      <c r="B1168" s="91">
        <v>45098.966736111106</v>
      </c>
      <c r="C1168" s="28" t="s">
        <v>10</v>
      </c>
      <c r="D1168" s="28" t="s">
        <v>598</v>
      </c>
      <c r="E1168" s="28" t="s">
        <v>28</v>
      </c>
      <c r="F1168" s="28">
        <v>0</v>
      </c>
      <c r="G1168" s="28" t="s">
        <v>119</v>
      </c>
      <c r="H1168" s="28">
        <v>0</v>
      </c>
      <c r="J1168" s="28"/>
    </row>
    <row r="1169" spans="1:10" ht="15.75" customHeight="1">
      <c r="A1169" s="28">
        <v>19070</v>
      </c>
      <c r="B1169" s="91">
        <v>45098.956261574072</v>
      </c>
      <c r="C1169" s="28" t="s">
        <v>10</v>
      </c>
      <c r="D1169" s="28" t="s">
        <v>599</v>
      </c>
      <c r="E1169" s="28" t="s">
        <v>28</v>
      </c>
      <c r="F1169" s="28">
        <v>25</v>
      </c>
      <c r="G1169" s="28">
        <v>100692</v>
      </c>
      <c r="H1169" s="28">
        <v>0</v>
      </c>
      <c r="J1169" s="28"/>
    </row>
    <row r="1170" spans="1:10" ht="15.75" customHeight="1">
      <c r="A1170" s="28">
        <v>19070</v>
      </c>
      <c r="B1170" s="91">
        <v>45098.956261574072</v>
      </c>
      <c r="C1170" s="28" t="s">
        <v>10</v>
      </c>
      <c r="D1170" s="28" t="s">
        <v>599</v>
      </c>
      <c r="E1170" s="28" t="s">
        <v>28</v>
      </c>
      <c r="F1170" s="28">
        <v>0</v>
      </c>
      <c r="G1170" s="28" t="s">
        <v>125</v>
      </c>
      <c r="H1170" s="28">
        <v>0</v>
      </c>
      <c r="J1170" s="28"/>
    </row>
    <row r="1171" spans="1:10" ht="15.75" customHeight="1">
      <c r="A1171" s="28">
        <v>19070</v>
      </c>
      <c r="B1171" s="91">
        <v>45098.956261574072</v>
      </c>
      <c r="C1171" s="28" t="s">
        <v>10</v>
      </c>
      <c r="D1171" s="28" t="s">
        <v>599</v>
      </c>
      <c r="E1171" s="28" t="s">
        <v>28</v>
      </c>
      <c r="F1171" s="28">
        <v>0</v>
      </c>
      <c r="G1171" s="28" t="s">
        <v>119</v>
      </c>
      <c r="H1171" s="28">
        <v>0</v>
      </c>
      <c r="J1171" s="28"/>
    </row>
    <row r="1172" spans="1:10" ht="15.75" customHeight="1">
      <c r="A1172" s="28">
        <v>19069</v>
      </c>
      <c r="B1172" s="91">
        <v>45098.95385416667</v>
      </c>
      <c r="C1172" s="28" t="s">
        <v>10</v>
      </c>
      <c r="D1172" s="28" t="s">
        <v>600</v>
      </c>
      <c r="E1172" s="28" t="s">
        <v>28</v>
      </c>
      <c r="F1172" s="28">
        <v>56</v>
      </c>
      <c r="G1172" s="28" t="s">
        <v>143</v>
      </c>
      <c r="H1172" s="28">
        <v>0</v>
      </c>
      <c r="J1172" s="28"/>
    </row>
    <row r="1173" spans="1:10" ht="15.75" customHeight="1">
      <c r="A1173" s="28">
        <v>19068</v>
      </c>
      <c r="B1173" s="91">
        <v>45098.921944444446</v>
      </c>
      <c r="C1173" s="28" t="s">
        <v>10</v>
      </c>
      <c r="D1173" s="28" t="s">
        <v>601</v>
      </c>
      <c r="E1173" s="28" t="s">
        <v>28</v>
      </c>
      <c r="F1173" s="28">
        <v>25</v>
      </c>
      <c r="G1173" s="28">
        <v>100692</v>
      </c>
      <c r="H1173" s="28">
        <v>0</v>
      </c>
      <c r="J1173" s="28"/>
    </row>
    <row r="1174" spans="1:10" ht="15.75" customHeight="1">
      <c r="A1174" s="28">
        <v>19068</v>
      </c>
      <c r="B1174" s="91">
        <v>45098.921944444446</v>
      </c>
      <c r="C1174" s="28" t="s">
        <v>10</v>
      </c>
      <c r="D1174" s="28" t="s">
        <v>601</v>
      </c>
      <c r="E1174" s="28" t="s">
        <v>28</v>
      </c>
      <c r="F1174" s="28">
        <v>0</v>
      </c>
      <c r="G1174" s="28" t="s">
        <v>125</v>
      </c>
      <c r="H1174" s="28">
        <v>0</v>
      </c>
      <c r="J1174" s="28"/>
    </row>
    <row r="1175" spans="1:10" ht="15.75" customHeight="1">
      <c r="A1175" s="28">
        <v>19068</v>
      </c>
      <c r="B1175" s="91">
        <v>45098.921944444446</v>
      </c>
      <c r="C1175" s="28" t="s">
        <v>10</v>
      </c>
      <c r="D1175" s="28" t="s">
        <v>601</v>
      </c>
      <c r="E1175" s="28" t="s">
        <v>28</v>
      </c>
      <c r="F1175" s="28">
        <v>0</v>
      </c>
      <c r="G1175" s="28" t="s">
        <v>119</v>
      </c>
      <c r="H1175" s="28">
        <v>0</v>
      </c>
      <c r="J1175" s="28"/>
    </row>
    <row r="1176" spans="1:10" ht="15.75" customHeight="1">
      <c r="A1176" s="28">
        <v>19067</v>
      </c>
      <c r="B1176" s="91">
        <v>45098.910578703704</v>
      </c>
      <c r="C1176" s="28" t="s">
        <v>10</v>
      </c>
      <c r="D1176" s="28" t="s">
        <v>602</v>
      </c>
      <c r="E1176" s="28" t="s">
        <v>28</v>
      </c>
      <c r="F1176" s="28">
        <v>25</v>
      </c>
      <c r="G1176" s="28">
        <v>100692</v>
      </c>
      <c r="H1176" s="28">
        <v>0</v>
      </c>
      <c r="J1176" s="28"/>
    </row>
    <row r="1177" spans="1:10" ht="15.75" customHeight="1">
      <c r="A1177" s="28">
        <v>19067</v>
      </c>
      <c r="B1177" s="91">
        <v>45098.910578703704</v>
      </c>
      <c r="C1177" s="28" t="s">
        <v>10</v>
      </c>
      <c r="D1177" s="28" t="s">
        <v>602</v>
      </c>
      <c r="E1177" s="28" t="s">
        <v>28</v>
      </c>
      <c r="F1177" s="28">
        <v>0</v>
      </c>
      <c r="G1177" s="28" t="s">
        <v>125</v>
      </c>
      <c r="H1177" s="28">
        <v>0</v>
      </c>
      <c r="J1177" s="28"/>
    </row>
    <row r="1178" spans="1:10" ht="15.75" customHeight="1">
      <c r="A1178" s="28">
        <v>19067</v>
      </c>
      <c r="B1178" s="91">
        <v>45098.910578703704</v>
      </c>
      <c r="C1178" s="28" t="s">
        <v>10</v>
      </c>
      <c r="D1178" s="28" t="s">
        <v>602</v>
      </c>
      <c r="E1178" s="28" t="s">
        <v>28</v>
      </c>
      <c r="F1178" s="28">
        <v>0</v>
      </c>
      <c r="G1178" s="28" t="s">
        <v>119</v>
      </c>
      <c r="H1178" s="28">
        <v>0</v>
      </c>
      <c r="J1178" s="28"/>
    </row>
    <row r="1179" spans="1:10" ht="15.75" customHeight="1">
      <c r="A1179" s="28">
        <v>19066</v>
      </c>
      <c r="B1179" s="91">
        <v>45098.699571759258</v>
      </c>
      <c r="C1179" s="28" t="s">
        <v>10</v>
      </c>
      <c r="D1179" s="28" t="s">
        <v>603</v>
      </c>
      <c r="E1179" s="28" t="s">
        <v>15</v>
      </c>
      <c r="F1179" s="28">
        <v>0</v>
      </c>
      <c r="G1179" s="28" t="s">
        <v>117</v>
      </c>
      <c r="H1179" s="28">
        <v>0</v>
      </c>
      <c r="J1179" s="28"/>
    </row>
    <row r="1180" spans="1:10" ht="15.75" customHeight="1">
      <c r="A1180" s="28">
        <v>19065</v>
      </c>
      <c r="B1180" s="91">
        <v>45098.100370370375</v>
      </c>
      <c r="C1180" s="28" t="s">
        <v>10</v>
      </c>
      <c r="D1180" s="28" t="s">
        <v>604</v>
      </c>
      <c r="E1180" s="28" t="s">
        <v>28</v>
      </c>
      <c r="F1180" s="28">
        <v>20</v>
      </c>
      <c r="G1180" s="28" t="s">
        <v>148</v>
      </c>
      <c r="H1180" s="28">
        <v>0</v>
      </c>
      <c r="J1180" s="28"/>
    </row>
    <row r="1181" spans="1:10" ht="15.75" customHeight="1">
      <c r="A1181" s="28">
        <v>19064</v>
      </c>
      <c r="B1181" s="91">
        <v>45098.098993055552</v>
      </c>
      <c r="C1181" s="28" t="s">
        <v>10</v>
      </c>
      <c r="D1181" s="28" t="s">
        <v>605</v>
      </c>
      <c r="E1181" s="28" t="s">
        <v>28</v>
      </c>
      <c r="F1181" s="28">
        <v>20</v>
      </c>
      <c r="G1181" s="28" t="s">
        <v>148</v>
      </c>
      <c r="H1181" s="28">
        <v>0</v>
      </c>
      <c r="J1181" s="28"/>
    </row>
    <row r="1182" spans="1:10" ht="15.75" customHeight="1">
      <c r="A1182" s="28">
        <v>19063</v>
      </c>
      <c r="B1182" s="91">
        <v>45098.078252314815</v>
      </c>
      <c r="C1182" s="28" t="s">
        <v>10</v>
      </c>
      <c r="D1182" s="28" t="s">
        <v>606</v>
      </c>
      <c r="E1182" s="28" t="s">
        <v>28</v>
      </c>
      <c r="F1182" s="28">
        <v>0</v>
      </c>
      <c r="G1182" s="28" t="s">
        <v>117</v>
      </c>
      <c r="H1182" s="28">
        <v>0</v>
      </c>
      <c r="J1182" s="28"/>
    </row>
    <row r="1183" spans="1:10" ht="15.75" customHeight="1">
      <c r="A1183" s="28">
        <v>19063</v>
      </c>
      <c r="B1183" s="91">
        <v>45098.078252314815</v>
      </c>
      <c r="C1183" s="28" t="s">
        <v>10</v>
      </c>
      <c r="D1183" s="28" t="s">
        <v>606</v>
      </c>
      <c r="E1183" s="28" t="s">
        <v>28</v>
      </c>
      <c r="F1183" s="28">
        <v>15</v>
      </c>
      <c r="G1183" s="28" t="s">
        <v>125</v>
      </c>
      <c r="H1183" s="28">
        <v>0</v>
      </c>
      <c r="J1183" s="28"/>
    </row>
    <row r="1184" spans="1:10" ht="15.75" customHeight="1">
      <c r="A1184" s="28">
        <v>19062</v>
      </c>
      <c r="B1184" s="91">
        <v>45097.918344907404</v>
      </c>
      <c r="C1184" s="28" t="s">
        <v>10</v>
      </c>
      <c r="D1184" s="28" t="s">
        <v>607</v>
      </c>
      <c r="E1184" s="28" t="s">
        <v>28</v>
      </c>
      <c r="F1184" s="28">
        <v>28</v>
      </c>
      <c r="G1184" s="28" t="s">
        <v>143</v>
      </c>
      <c r="H1184" s="28">
        <v>0</v>
      </c>
      <c r="J1184" s="28"/>
    </row>
    <row r="1185" spans="1:10" ht="15.75" customHeight="1">
      <c r="A1185" s="28">
        <v>19061</v>
      </c>
      <c r="B1185" s="91">
        <v>45097.904317129629</v>
      </c>
      <c r="C1185" s="28" t="s">
        <v>10</v>
      </c>
      <c r="D1185" s="28" t="s">
        <v>608</v>
      </c>
      <c r="E1185" s="28" t="s">
        <v>28</v>
      </c>
      <c r="F1185" s="28">
        <v>15</v>
      </c>
      <c r="G1185" s="28" t="s">
        <v>170</v>
      </c>
      <c r="H1185" s="28">
        <v>0</v>
      </c>
      <c r="J1185" s="28"/>
    </row>
    <row r="1186" spans="1:10" ht="15.75" customHeight="1">
      <c r="A1186" s="28">
        <v>19060</v>
      </c>
      <c r="B1186" s="91">
        <v>45097.882407407407</v>
      </c>
      <c r="C1186" s="28" t="s">
        <v>10</v>
      </c>
      <c r="D1186" s="28" t="s">
        <v>609</v>
      </c>
      <c r="E1186" s="28" t="s">
        <v>28</v>
      </c>
      <c r="F1186" s="28">
        <v>25</v>
      </c>
      <c r="G1186" s="28">
        <v>100692</v>
      </c>
      <c r="H1186" s="28">
        <v>0</v>
      </c>
      <c r="J1186" s="28"/>
    </row>
    <row r="1187" spans="1:10" ht="15.75" customHeight="1">
      <c r="A1187" s="28">
        <v>19060</v>
      </c>
      <c r="B1187" s="91">
        <v>45097.882407407407</v>
      </c>
      <c r="C1187" s="28" t="s">
        <v>10</v>
      </c>
      <c r="D1187" s="28" t="s">
        <v>609</v>
      </c>
      <c r="E1187" s="28" t="s">
        <v>28</v>
      </c>
      <c r="F1187" s="28">
        <v>0</v>
      </c>
      <c r="G1187" s="28" t="s">
        <v>125</v>
      </c>
      <c r="H1187" s="28">
        <v>0</v>
      </c>
      <c r="J1187" s="28"/>
    </row>
    <row r="1188" spans="1:10" ht="15.75" customHeight="1">
      <c r="A1188" s="28">
        <v>19060</v>
      </c>
      <c r="B1188" s="91">
        <v>45097.882407407407</v>
      </c>
      <c r="C1188" s="28" t="s">
        <v>10</v>
      </c>
      <c r="D1188" s="28" t="s">
        <v>609</v>
      </c>
      <c r="E1188" s="28" t="s">
        <v>28</v>
      </c>
      <c r="F1188" s="28">
        <v>0</v>
      </c>
      <c r="G1188" s="28" t="s">
        <v>119</v>
      </c>
      <c r="H1188" s="28">
        <v>0</v>
      </c>
      <c r="J1188" s="28"/>
    </row>
    <row r="1189" spans="1:10" ht="15.75" customHeight="1">
      <c r="A1189" s="28">
        <v>19060</v>
      </c>
      <c r="B1189" s="91">
        <v>45097.882407407407</v>
      </c>
      <c r="C1189" s="28" t="s">
        <v>10</v>
      </c>
      <c r="D1189" s="28" t="s">
        <v>609</v>
      </c>
      <c r="E1189" s="28" t="s">
        <v>28</v>
      </c>
      <c r="F1189" s="28">
        <v>28</v>
      </c>
      <c r="G1189" s="28" t="s">
        <v>143</v>
      </c>
      <c r="H1189" s="28">
        <v>0</v>
      </c>
      <c r="J1189" s="28"/>
    </row>
    <row r="1190" spans="1:10" ht="15.75" customHeight="1">
      <c r="A1190" s="28">
        <v>19057</v>
      </c>
      <c r="B1190" s="91">
        <v>45097.655104166668</v>
      </c>
      <c r="C1190" s="28" t="s">
        <v>10</v>
      </c>
      <c r="D1190" s="28" t="s">
        <v>610</v>
      </c>
      <c r="E1190" s="28" t="s">
        <v>84</v>
      </c>
      <c r="F1190" s="28">
        <v>18</v>
      </c>
      <c r="G1190" s="28" t="s">
        <v>119</v>
      </c>
      <c r="H1190" s="28">
        <v>0</v>
      </c>
      <c r="J1190" s="28"/>
    </row>
    <row r="1191" spans="1:10" ht="15.75" customHeight="1">
      <c r="A1191" s="28">
        <v>19052</v>
      </c>
      <c r="B1191" s="91">
        <v>45097.629259259258</v>
      </c>
      <c r="C1191" s="28" t="s">
        <v>10</v>
      </c>
      <c r="D1191" s="28" t="s">
        <v>611</v>
      </c>
      <c r="E1191" s="28" t="s">
        <v>45</v>
      </c>
      <c r="F1191" s="28">
        <v>0</v>
      </c>
      <c r="G1191" s="28" t="s">
        <v>117</v>
      </c>
      <c r="H1191" s="28">
        <v>0</v>
      </c>
      <c r="J1191" s="28"/>
    </row>
    <row r="1192" spans="1:10" ht="15.75" customHeight="1">
      <c r="A1192" s="28">
        <v>19052</v>
      </c>
      <c r="B1192" s="91">
        <v>45097.629259259258</v>
      </c>
      <c r="C1192" s="28" t="s">
        <v>10</v>
      </c>
      <c r="D1192" s="28" t="s">
        <v>611</v>
      </c>
      <c r="E1192" s="28" t="s">
        <v>45</v>
      </c>
      <c r="F1192" s="28">
        <v>25</v>
      </c>
      <c r="G1192" s="28">
        <v>100692</v>
      </c>
      <c r="H1192" s="28">
        <v>0</v>
      </c>
      <c r="J1192" s="28"/>
    </row>
    <row r="1193" spans="1:10" ht="15.75" customHeight="1">
      <c r="A1193" s="28">
        <v>19052</v>
      </c>
      <c r="B1193" s="91">
        <v>45097.629259259258</v>
      </c>
      <c r="C1193" s="28" t="s">
        <v>10</v>
      </c>
      <c r="D1193" s="28" t="s">
        <v>611</v>
      </c>
      <c r="E1193" s="28" t="s">
        <v>45</v>
      </c>
      <c r="F1193" s="28">
        <v>0</v>
      </c>
      <c r="G1193" s="28" t="s">
        <v>125</v>
      </c>
      <c r="H1193" s="28">
        <v>0</v>
      </c>
      <c r="J1193" s="28"/>
    </row>
    <row r="1194" spans="1:10" ht="15.75" customHeight="1">
      <c r="A1194" s="28">
        <v>19052</v>
      </c>
      <c r="B1194" s="91">
        <v>45097.629259259258</v>
      </c>
      <c r="C1194" s="28" t="s">
        <v>10</v>
      </c>
      <c r="D1194" s="28" t="s">
        <v>611</v>
      </c>
      <c r="E1194" s="28" t="s">
        <v>45</v>
      </c>
      <c r="F1194" s="28">
        <v>0</v>
      </c>
      <c r="G1194" s="28" t="s">
        <v>119</v>
      </c>
      <c r="H1194" s="28">
        <v>0</v>
      </c>
      <c r="J1194" s="28"/>
    </row>
    <row r="1195" spans="1:10" ht="15.75" customHeight="1">
      <c r="A1195" s="28">
        <v>19049</v>
      </c>
      <c r="B1195" s="91">
        <v>45097.514340277776</v>
      </c>
      <c r="C1195" s="28" t="s">
        <v>10</v>
      </c>
      <c r="D1195" s="28" t="s">
        <v>612</v>
      </c>
      <c r="E1195" s="28" t="s">
        <v>28</v>
      </c>
      <c r="F1195" s="28">
        <v>25</v>
      </c>
      <c r="G1195" s="28">
        <v>100692</v>
      </c>
      <c r="H1195" s="28">
        <v>0</v>
      </c>
      <c r="J1195" s="28"/>
    </row>
    <row r="1196" spans="1:10" ht="15.75" customHeight="1">
      <c r="A1196" s="28">
        <v>19049</v>
      </c>
      <c r="B1196" s="91">
        <v>45097.514340277776</v>
      </c>
      <c r="C1196" s="28" t="s">
        <v>10</v>
      </c>
      <c r="D1196" s="28" t="s">
        <v>612</v>
      </c>
      <c r="E1196" s="28" t="s">
        <v>28</v>
      </c>
      <c r="F1196" s="28">
        <v>0</v>
      </c>
      <c r="G1196" s="28" t="s">
        <v>125</v>
      </c>
      <c r="H1196" s="28">
        <v>0</v>
      </c>
      <c r="J1196" s="28"/>
    </row>
    <row r="1197" spans="1:10" ht="15.75" customHeight="1">
      <c r="A1197" s="28">
        <v>19049</v>
      </c>
      <c r="B1197" s="91">
        <v>45097.514340277776</v>
      </c>
      <c r="C1197" s="28" t="s">
        <v>10</v>
      </c>
      <c r="D1197" s="28" t="s">
        <v>612</v>
      </c>
      <c r="E1197" s="28" t="s">
        <v>28</v>
      </c>
      <c r="F1197" s="28">
        <v>0</v>
      </c>
      <c r="G1197" s="28" t="s">
        <v>119</v>
      </c>
      <c r="H1197" s="28">
        <v>0</v>
      </c>
      <c r="J1197" s="28"/>
    </row>
    <row r="1198" spans="1:10" ht="15.75" customHeight="1">
      <c r="A1198" s="28">
        <v>19048</v>
      </c>
      <c r="B1198" s="91">
        <v>45097.261458333334</v>
      </c>
      <c r="C1198" s="28" t="s">
        <v>10</v>
      </c>
      <c r="D1198" s="28" t="s">
        <v>613</v>
      </c>
      <c r="E1198" s="28" t="s">
        <v>15</v>
      </c>
      <c r="F1198" s="28">
        <v>0</v>
      </c>
      <c r="G1198" s="28" t="s">
        <v>117</v>
      </c>
      <c r="H1198" s="28">
        <v>0</v>
      </c>
      <c r="J1198" s="28"/>
    </row>
    <row r="1199" spans="1:10" ht="15.75" customHeight="1">
      <c r="A1199" s="28">
        <v>19048</v>
      </c>
      <c r="B1199" s="91">
        <v>45097.261458333334</v>
      </c>
      <c r="C1199" s="28" t="s">
        <v>10</v>
      </c>
      <c r="D1199" s="28" t="s">
        <v>613</v>
      </c>
      <c r="E1199" s="28" t="s">
        <v>15</v>
      </c>
      <c r="F1199" s="28">
        <v>30</v>
      </c>
      <c r="G1199" s="28" t="s">
        <v>128</v>
      </c>
      <c r="H1199" s="28">
        <v>0</v>
      </c>
      <c r="J1199" s="28"/>
    </row>
    <row r="1200" spans="1:10" ht="15.75" customHeight="1">
      <c r="A1200" s="28">
        <v>19048</v>
      </c>
      <c r="B1200" s="91">
        <v>45097.261458333334</v>
      </c>
      <c r="C1200" s="28" t="s">
        <v>10</v>
      </c>
      <c r="D1200" s="28" t="s">
        <v>613</v>
      </c>
      <c r="E1200" s="28" t="s">
        <v>15</v>
      </c>
      <c r="F1200" s="28">
        <v>0</v>
      </c>
      <c r="G1200" s="28" t="s">
        <v>125</v>
      </c>
      <c r="H1200" s="28">
        <v>0</v>
      </c>
      <c r="J1200" s="28"/>
    </row>
    <row r="1201" spans="1:10" ht="15.75" customHeight="1">
      <c r="A1201" s="28">
        <v>19048</v>
      </c>
      <c r="B1201" s="91">
        <v>45097.261458333334</v>
      </c>
      <c r="C1201" s="28" t="s">
        <v>10</v>
      </c>
      <c r="D1201" s="28" t="s">
        <v>613</v>
      </c>
      <c r="E1201" s="28" t="s">
        <v>15</v>
      </c>
      <c r="F1201" s="28">
        <v>0</v>
      </c>
      <c r="G1201" s="28" t="s">
        <v>119</v>
      </c>
      <c r="H1201" s="28">
        <v>0</v>
      </c>
      <c r="J1201" s="28"/>
    </row>
    <row r="1202" spans="1:10" ht="15.75" customHeight="1">
      <c r="A1202" s="28">
        <v>19047</v>
      </c>
      <c r="B1202" s="91">
        <v>45097.258564814816</v>
      </c>
      <c r="C1202" s="28" t="s">
        <v>10</v>
      </c>
      <c r="D1202" s="28" t="s">
        <v>613</v>
      </c>
      <c r="E1202" s="28" t="s">
        <v>15</v>
      </c>
      <c r="F1202" s="28">
        <v>25</v>
      </c>
      <c r="G1202" s="28">
        <v>100692</v>
      </c>
      <c r="H1202" s="28">
        <v>0</v>
      </c>
      <c r="J1202" s="28"/>
    </row>
    <row r="1203" spans="1:10" ht="15.75" customHeight="1">
      <c r="A1203" s="28">
        <v>19047</v>
      </c>
      <c r="B1203" s="91">
        <v>45097.258564814816</v>
      </c>
      <c r="C1203" s="28" t="s">
        <v>10</v>
      </c>
      <c r="D1203" s="28" t="s">
        <v>613</v>
      </c>
      <c r="E1203" s="28" t="s">
        <v>15</v>
      </c>
      <c r="F1203" s="28">
        <v>0</v>
      </c>
      <c r="G1203" s="28" t="s">
        <v>125</v>
      </c>
      <c r="H1203" s="28">
        <v>0</v>
      </c>
      <c r="J1203" s="28"/>
    </row>
    <row r="1204" spans="1:10" ht="15.75" customHeight="1">
      <c r="A1204" s="28">
        <v>19047</v>
      </c>
      <c r="B1204" s="91">
        <v>45097.258564814816</v>
      </c>
      <c r="C1204" s="28" t="s">
        <v>10</v>
      </c>
      <c r="D1204" s="28" t="s">
        <v>613</v>
      </c>
      <c r="E1204" s="28" t="s">
        <v>15</v>
      </c>
      <c r="F1204" s="28">
        <v>0</v>
      </c>
      <c r="G1204" s="28" t="s">
        <v>119</v>
      </c>
      <c r="H1204" s="28">
        <v>0</v>
      </c>
      <c r="J1204" s="28"/>
    </row>
    <row r="1205" spans="1:10" ht="15.75" customHeight="1">
      <c r="A1205" s="28">
        <v>19046</v>
      </c>
      <c r="B1205" s="91">
        <v>45097.256400462968</v>
      </c>
      <c r="C1205" s="28" t="s">
        <v>10</v>
      </c>
      <c r="D1205" s="28" t="s">
        <v>603</v>
      </c>
      <c r="E1205" s="28" t="s">
        <v>15</v>
      </c>
      <c r="F1205" s="28">
        <v>25</v>
      </c>
      <c r="G1205" s="28">
        <v>100692</v>
      </c>
      <c r="H1205" s="28">
        <v>0</v>
      </c>
      <c r="J1205" s="28"/>
    </row>
    <row r="1206" spans="1:10" ht="15.75" customHeight="1">
      <c r="A1206" s="28">
        <v>19046</v>
      </c>
      <c r="B1206" s="91">
        <v>45097.256400462968</v>
      </c>
      <c r="C1206" s="28" t="s">
        <v>10</v>
      </c>
      <c r="D1206" s="28" t="s">
        <v>603</v>
      </c>
      <c r="E1206" s="28" t="s">
        <v>15</v>
      </c>
      <c r="F1206" s="28">
        <v>0</v>
      </c>
      <c r="G1206" s="28" t="s">
        <v>125</v>
      </c>
      <c r="H1206" s="28">
        <v>0</v>
      </c>
      <c r="J1206" s="28"/>
    </row>
    <row r="1207" spans="1:10" ht="15.75" customHeight="1">
      <c r="A1207" s="28">
        <v>19046</v>
      </c>
      <c r="B1207" s="91">
        <v>45097.256400462968</v>
      </c>
      <c r="C1207" s="28" t="s">
        <v>10</v>
      </c>
      <c r="D1207" s="28" t="s">
        <v>603</v>
      </c>
      <c r="E1207" s="28" t="s">
        <v>15</v>
      </c>
      <c r="F1207" s="28">
        <v>0</v>
      </c>
      <c r="G1207" s="28" t="s">
        <v>119</v>
      </c>
      <c r="H1207" s="28">
        <v>0</v>
      </c>
      <c r="J1207" s="28"/>
    </row>
    <row r="1208" spans="1:10" ht="15.75" customHeight="1">
      <c r="A1208" s="28">
        <v>19045</v>
      </c>
      <c r="B1208" s="91">
        <v>45097.137337962966</v>
      </c>
      <c r="C1208" s="28" t="s">
        <v>10</v>
      </c>
      <c r="D1208" s="28" t="s">
        <v>614</v>
      </c>
      <c r="E1208" s="28" t="s">
        <v>28</v>
      </c>
      <c r="F1208" s="28">
        <v>55</v>
      </c>
      <c r="G1208" s="28">
        <v>101684</v>
      </c>
      <c r="H1208" s="28">
        <v>0</v>
      </c>
      <c r="J1208" s="28"/>
    </row>
    <row r="1209" spans="1:10" ht="15.75" customHeight="1">
      <c r="A1209" s="28">
        <v>19045</v>
      </c>
      <c r="B1209" s="91">
        <v>45097.137337962966</v>
      </c>
      <c r="C1209" s="28" t="s">
        <v>10</v>
      </c>
      <c r="D1209" s="28" t="s">
        <v>614</v>
      </c>
      <c r="E1209" s="28" t="s">
        <v>28</v>
      </c>
      <c r="F1209" s="28">
        <v>0</v>
      </c>
      <c r="G1209" s="28" t="s">
        <v>118</v>
      </c>
      <c r="H1209" s="28">
        <v>0</v>
      </c>
      <c r="J1209" s="28"/>
    </row>
    <row r="1210" spans="1:10" ht="15.75" customHeight="1">
      <c r="A1210" s="28">
        <v>19045</v>
      </c>
      <c r="B1210" s="91">
        <v>45097.137337962966</v>
      </c>
      <c r="C1210" s="28" t="s">
        <v>10</v>
      </c>
      <c r="D1210" s="28" t="s">
        <v>614</v>
      </c>
      <c r="E1210" s="28" t="s">
        <v>28</v>
      </c>
      <c r="F1210" s="28">
        <v>0</v>
      </c>
      <c r="G1210" s="28" t="s">
        <v>119</v>
      </c>
      <c r="H1210" s="28">
        <v>0</v>
      </c>
      <c r="J1210" s="28"/>
    </row>
    <row r="1211" spans="1:10" ht="15.75" customHeight="1">
      <c r="A1211" s="28">
        <v>19045</v>
      </c>
      <c r="B1211" s="91">
        <v>45097.137337962966</v>
      </c>
      <c r="C1211" s="28" t="s">
        <v>10</v>
      </c>
      <c r="D1211" s="28" t="s">
        <v>614</v>
      </c>
      <c r="E1211" s="28" t="s">
        <v>28</v>
      </c>
      <c r="F1211" s="28">
        <v>0</v>
      </c>
      <c r="G1211" s="28" t="s">
        <v>120</v>
      </c>
      <c r="H1211" s="28">
        <v>0</v>
      </c>
      <c r="J1211" s="28"/>
    </row>
    <row r="1212" spans="1:10" ht="15.75" customHeight="1">
      <c r="A1212" s="28">
        <v>19045</v>
      </c>
      <c r="B1212" s="91">
        <v>45097.137337962966</v>
      </c>
      <c r="C1212" s="28" t="s">
        <v>10</v>
      </c>
      <c r="D1212" s="28" t="s">
        <v>614</v>
      </c>
      <c r="E1212" s="28" t="s">
        <v>28</v>
      </c>
      <c r="F1212" s="28">
        <v>0</v>
      </c>
      <c r="G1212" s="28" t="s">
        <v>121</v>
      </c>
      <c r="H1212" s="28">
        <v>0</v>
      </c>
      <c r="J1212" s="28"/>
    </row>
    <row r="1213" spans="1:10" ht="15.75" customHeight="1">
      <c r="A1213" s="28">
        <v>19044</v>
      </c>
      <c r="B1213" s="91">
        <v>45097.03707175926</v>
      </c>
      <c r="C1213" s="28" t="s">
        <v>10</v>
      </c>
      <c r="D1213" s="28" t="s">
        <v>615</v>
      </c>
      <c r="E1213" s="28" t="s">
        <v>28</v>
      </c>
      <c r="F1213" s="28">
        <v>25</v>
      </c>
      <c r="G1213" s="28">
        <v>100692</v>
      </c>
      <c r="H1213" s="28">
        <v>0</v>
      </c>
      <c r="J1213" s="28"/>
    </row>
    <row r="1214" spans="1:10" ht="15.75" customHeight="1">
      <c r="A1214" s="28">
        <v>19044</v>
      </c>
      <c r="B1214" s="91">
        <v>45097.03707175926</v>
      </c>
      <c r="C1214" s="28" t="s">
        <v>10</v>
      </c>
      <c r="D1214" s="28" t="s">
        <v>615</v>
      </c>
      <c r="E1214" s="28" t="s">
        <v>28</v>
      </c>
      <c r="F1214" s="28">
        <v>0</v>
      </c>
      <c r="G1214" s="28" t="s">
        <v>125</v>
      </c>
      <c r="H1214" s="28">
        <v>0</v>
      </c>
      <c r="J1214" s="28"/>
    </row>
    <row r="1215" spans="1:10" ht="15.75" customHeight="1">
      <c r="A1215" s="28">
        <v>19044</v>
      </c>
      <c r="B1215" s="91">
        <v>45097.03707175926</v>
      </c>
      <c r="C1215" s="28" t="s">
        <v>10</v>
      </c>
      <c r="D1215" s="28" t="s">
        <v>615</v>
      </c>
      <c r="E1215" s="28" t="s">
        <v>28</v>
      </c>
      <c r="F1215" s="28">
        <v>0</v>
      </c>
      <c r="G1215" s="28" t="s">
        <v>119</v>
      </c>
      <c r="H1215" s="28">
        <v>0</v>
      </c>
      <c r="J1215" s="28"/>
    </row>
    <row r="1216" spans="1:10" ht="15.75" customHeight="1">
      <c r="A1216" s="28">
        <v>19043</v>
      </c>
      <c r="B1216" s="91">
        <v>45097.009652777779</v>
      </c>
      <c r="C1216" s="28" t="s">
        <v>10</v>
      </c>
      <c r="D1216" s="28" t="s">
        <v>616</v>
      </c>
      <c r="E1216" s="28" t="s">
        <v>39</v>
      </c>
      <c r="F1216" s="28">
        <v>25</v>
      </c>
      <c r="G1216" s="28" t="s">
        <v>120</v>
      </c>
      <c r="H1216" s="28">
        <v>0</v>
      </c>
      <c r="J1216" s="28"/>
    </row>
    <row r="1217" spans="1:10" ht="15.75" customHeight="1">
      <c r="A1217" s="28">
        <v>19042</v>
      </c>
      <c r="B1217" s="91">
        <v>45097.003252314811</v>
      </c>
      <c r="C1217" s="28" t="s">
        <v>10</v>
      </c>
      <c r="D1217" s="28" t="s">
        <v>617</v>
      </c>
      <c r="E1217" s="28" t="s">
        <v>28</v>
      </c>
      <c r="F1217" s="28">
        <v>15</v>
      </c>
      <c r="G1217" s="28" t="s">
        <v>125</v>
      </c>
      <c r="H1217" s="28">
        <v>0</v>
      </c>
      <c r="J1217" s="28"/>
    </row>
    <row r="1218" spans="1:10" ht="15.75" customHeight="1">
      <c r="A1218" s="28">
        <v>19041</v>
      </c>
      <c r="B1218" s="91">
        <v>45097.002453703702</v>
      </c>
      <c r="C1218" s="28" t="s">
        <v>10</v>
      </c>
      <c r="D1218" s="28" t="s">
        <v>618</v>
      </c>
      <c r="E1218" s="28" t="s">
        <v>28</v>
      </c>
      <c r="F1218" s="28">
        <v>25</v>
      </c>
      <c r="G1218" s="28">
        <v>100692</v>
      </c>
      <c r="H1218" s="28">
        <v>0</v>
      </c>
      <c r="J1218" s="28"/>
    </row>
    <row r="1219" spans="1:10" ht="15.75" customHeight="1">
      <c r="A1219" s="28">
        <v>19041</v>
      </c>
      <c r="B1219" s="91">
        <v>45097.002453703702</v>
      </c>
      <c r="C1219" s="28" t="s">
        <v>10</v>
      </c>
      <c r="D1219" s="28" t="s">
        <v>618</v>
      </c>
      <c r="E1219" s="28" t="s">
        <v>28</v>
      </c>
      <c r="F1219" s="28">
        <v>0</v>
      </c>
      <c r="G1219" s="28" t="s">
        <v>125</v>
      </c>
      <c r="H1219" s="28">
        <v>0</v>
      </c>
      <c r="J1219" s="28"/>
    </row>
    <row r="1220" spans="1:10" ht="15.75" customHeight="1">
      <c r="A1220" s="28">
        <v>19041</v>
      </c>
      <c r="B1220" s="91">
        <v>45097.002453703702</v>
      </c>
      <c r="C1220" s="28" t="s">
        <v>10</v>
      </c>
      <c r="D1220" s="28" t="s">
        <v>618</v>
      </c>
      <c r="E1220" s="28" t="s">
        <v>28</v>
      </c>
      <c r="F1220" s="28">
        <v>0</v>
      </c>
      <c r="G1220" s="28" t="s">
        <v>119</v>
      </c>
      <c r="H1220" s="28">
        <v>0</v>
      </c>
      <c r="J1220" s="28"/>
    </row>
    <row r="1221" spans="1:10" ht="15.75" customHeight="1">
      <c r="A1221" s="28">
        <v>19040</v>
      </c>
      <c r="B1221" s="91">
        <v>45096.976944444439</v>
      </c>
      <c r="C1221" s="28" t="s">
        <v>10</v>
      </c>
      <c r="D1221" s="28" t="s">
        <v>619</v>
      </c>
      <c r="E1221" s="28" t="s">
        <v>28</v>
      </c>
      <c r="F1221" s="28">
        <v>28</v>
      </c>
      <c r="G1221" s="28" t="s">
        <v>143</v>
      </c>
      <c r="H1221" s="28">
        <v>0</v>
      </c>
      <c r="J1221" s="28"/>
    </row>
    <row r="1222" spans="1:10" ht="15.75" customHeight="1">
      <c r="A1222" s="28">
        <v>19040</v>
      </c>
      <c r="B1222" s="91">
        <v>45096.976944444439</v>
      </c>
      <c r="C1222" s="28" t="s">
        <v>10</v>
      </c>
      <c r="D1222" s="28" t="s">
        <v>619</v>
      </c>
      <c r="E1222" s="28" t="s">
        <v>28</v>
      </c>
      <c r="F1222" s="28">
        <v>25</v>
      </c>
      <c r="G1222" s="28">
        <v>100692</v>
      </c>
      <c r="H1222" s="28">
        <v>0</v>
      </c>
      <c r="J1222" s="28"/>
    </row>
    <row r="1223" spans="1:10" ht="15.75" customHeight="1">
      <c r="A1223" s="28">
        <v>19040</v>
      </c>
      <c r="B1223" s="91">
        <v>45096.976944444439</v>
      </c>
      <c r="C1223" s="28" t="s">
        <v>10</v>
      </c>
      <c r="D1223" s="28" t="s">
        <v>619</v>
      </c>
      <c r="E1223" s="28" t="s">
        <v>28</v>
      </c>
      <c r="F1223" s="28">
        <v>0</v>
      </c>
      <c r="G1223" s="28" t="s">
        <v>125</v>
      </c>
      <c r="H1223" s="28">
        <v>0</v>
      </c>
      <c r="J1223" s="28"/>
    </row>
    <row r="1224" spans="1:10" ht="15.75" customHeight="1">
      <c r="A1224" s="28">
        <v>19040</v>
      </c>
      <c r="B1224" s="91">
        <v>45096.976944444439</v>
      </c>
      <c r="C1224" s="28" t="s">
        <v>10</v>
      </c>
      <c r="D1224" s="28" t="s">
        <v>619</v>
      </c>
      <c r="E1224" s="28" t="s">
        <v>28</v>
      </c>
      <c r="F1224" s="28">
        <v>0</v>
      </c>
      <c r="G1224" s="28" t="s">
        <v>119</v>
      </c>
      <c r="H1224" s="28">
        <v>0</v>
      </c>
      <c r="J1224" s="28"/>
    </row>
    <row r="1225" spans="1:10" ht="15.75" customHeight="1">
      <c r="A1225" s="28">
        <v>19040</v>
      </c>
      <c r="B1225" s="91">
        <v>45096.976944444439</v>
      </c>
      <c r="C1225" s="28" t="s">
        <v>10</v>
      </c>
      <c r="D1225" s="28" t="s">
        <v>619</v>
      </c>
      <c r="E1225" s="28" t="s">
        <v>28</v>
      </c>
      <c r="F1225" s="28">
        <v>0</v>
      </c>
      <c r="G1225" s="28" t="s">
        <v>117</v>
      </c>
      <c r="H1225" s="28">
        <v>0</v>
      </c>
      <c r="J1225" s="28"/>
    </row>
    <row r="1226" spans="1:10" ht="15.75" customHeight="1">
      <c r="A1226" s="28">
        <v>19039</v>
      </c>
      <c r="B1226" s="91">
        <v>45096.975347222222</v>
      </c>
      <c r="C1226" s="28" t="s">
        <v>10</v>
      </c>
      <c r="D1226" s="28" t="s">
        <v>620</v>
      </c>
      <c r="E1226" s="28" t="s">
        <v>28</v>
      </c>
      <c r="F1226" s="28">
        <v>25</v>
      </c>
      <c r="G1226" s="28">
        <v>100692</v>
      </c>
      <c r="H1226" s="28">
        <v>0</v>
      </c>
      <c r="J1226" s="28"/>
    </row>
    <row r="1227" spans="1:10" ht="15.75" customHeight="1">
      <c r="A1227" s="28">
        <v>19039</v>
      </c>
      <c r="B1227" s="91">
        <v>45096.975347222222</v>
      </c>
      <c r="C1227" s="28" t="s">
        <v>10</v>
      </c>
      <c r="D1227" s="28" t="s">
        <v>620</v>
      </c>
      <c r="E1227" s="28" t="s">
        <v>28</v>
      </c>
      <c r="F1227" s="28">
        <v>0</v>
      </c>
      <c r="G1227" s="28" t="s">
        <v>125</v>
      </c>
      <c r="H1227" s="28">
        <v>0</v>
      </c>
      <c r="J1227" s="28"/>
    </row>
    <row r="1228" spans="1:10" ht="15.75" customHeight="1">
      <c r="A1228" s="28">
        <v>19039</v>
      </c>
      <c r="B1228" s="91">
        <v>45096.975347222222</v>
      </c>
      <c r="C1228" s="28" t="s">
        <v>10</v>
      </c>
      <c r="D1228" s="28" t="s">
        <v>620</v>
      </c>
      <c r="E1228" s="28" t="s">
        <v>28</v>
      </c>
      <c r="F1228" s="28">
        <v>0</v>
      </c>
      <c r="G1228" s="28" t="s">
        <v>119</v>
      </c>
      <c r="H1228" s="28">
        <v>0</v>
      </c>
      <c r="J1228" s="28"/>
    </row>
    <row r="1229" spans="1:10" ht="15.75" customHeight="1">
      <c r="A1229" s="28">
        <v>19038</v>
      </c>
      <c r="B1229" s="91">
        <v>45096.975254629629</v>
      </c>
      <c r="C1229" s="28" t="s">
        <v>10</v>
      </c>
      <c r="D1229" s="28" t="s">
        <v>621</v>
      </c>
      <c r="E1229" s="28" t="s">
        <v>28</v>
      </c>
      <c r="F1229" s="28">
        <v>15</v>
      </c>
      <c r="G1229" s="28" t="s">
        <v>125</v>
      </c>
      <c r="H1229" s="28">
        <v>0</v>
      </c>
      <c r="J1229" s="28"/>
    </row>
    <row r="1230" spans="1:10" ht="15.75" customHeight="1">
      <c r="A1230" s="28">
        <v>19037</v>
      </c>
      <c r="B1230" s="91">
        <v>45096.972199074073</v>
      </c>
      <c r="C1230" s="28" t="s">
        <v>10</v>
      </c>
      <c r="D1230" s="28" t="s">
        <v>622</v>
      </c>
      <c r="E1230" s="28" t="s">
        <v>28</v>
      </c>
      <c r="F1230" s="28">
        <v>35</v>
      </c>
      <c r="G1230" s="28" t="s">
        <v>124</v>
      </c>
      <c r="H1230" s="28">
        <v>0</v>
      </c>
      <c r="J1230" s="28"/>
    </row>
    <row r="1231" spans="1:10" ht="15.75" customHeight="1">
      <c r="A1231" s="28">
        <v>19037</v>
      </c>
      <c r="B1231" s="91">
        <v>45096.972199074073</v>
      </c>
      <c r="C1231" s="28" t="s">
        <v>10</v>
      </c>
      <c r="D1231" s="28" t="s">
        <v>622</v>
      </c>
      <c r="E1231" s="28" t="s">
        <v>28</v>
      </c>
      <c r="F1231" s="28">
        <v>0</v>
      </c>
      <c r="G1231" s="28" t="s">
        <v>125</v>
      </c>
      <c r="H1231" s="28">
        <v>0</v>
      </c>
      <c r="J1231" s="28"/>
    </row>
    <row r="1232" spans="1:10" ht="15.75" customHeight="1">
      <c r="A1232" s="28">
        <v>19037</v>
      </c>
      <c r="B1232" s="91">
        <v>45096.972199074073</v>
      </c>
      <c r="C1232" s="28" t="s">
        <v>10</v>
      </c>
      <c r="D1232" s="28" t="s">
        <v>622</v>
      </c>
      <c r="E1232" s="28" t="s">
        <v>28</v>
      </c>
      <c r="F1232" s="28">
        <v>0</v>
      </c>
      <c r="G1232" s="28" t="s">
        <v>119</v>
      </c>
      <c r="H1232" s="28">
        <v>0</v>
      </c>
      <c r="J1232" s="28"/>
    </row>
    <row r="1233" spans="1:10" ht="15.75" customHeight="1">
      <c r="A1233" s="28">
        <v>19037</v>
      </c>
      <c r="B1233" s="91">
        <v>45096.972199074073</v>
      </c>
      <c r="C1233" s="28" t="s">
        <v>10</v>
      </c>
      <c r="D1233" s="28" t="s">
        <v>622</v>
      </c>
      <c r="E1233" s="28" t="s">
        <v>28</v>
      </c>
      <c r="F1233" s="28">
        <v>0</v>
      </c>
      <c r="G1233" s="28" t="s">
        <v>121</v>
      </c>
      <c r="H1233" s="28">
        <v>0</v>
      </c>
      <c r="J1233" s="28"/>
    </row>
    <row r="1234" spans="1:10" ht="15.75" customHeight="1">
      <c r="A1234" s="28">
        <v>19036</v>
      </c>
      <c r="B1234" s="91">
        <v>45096.970393518517</v>
      </c>
      <c r="C1234" s="28" t="s">
        <v>10</v>
      </c>
      <c r="D1234" s="28" t="s">
        <v>623</v>
      </c>
      <c r="E1234" s="28" t="s">
        <v>28</v>
      </c>
      <c r="F1234" s="28">
        <v>25</v>
      </c>
      <c r="G1234" s="28">
        <v>100692</v>
      </c>
      <c r="H1234" s="28">
        <v>0</v>
      </c>
      <c r="J1234" s="28"/>
    </row>
    <row r="1235" spans="1:10" ht="15.75" customHeight="1">
      <c r="A1235" s="28">
        <v>19036</v>
      </c>
      <c r="B1235" s="91">
        <v>45096.970393518517</v>
      </c>
      <c r="C1235" s="28" t="s">
        <v>10</v>
      </c>
      <c r="D1235" s="28" t="s">
        <v>623</v>
      </c>
      <c r="E1235" s="28" t="s">
        <v>28</v>
      </c>
      <c r="F1235" s="28">
        <v>0</v>
      </c>
      <c r="G1235" s="28" t="s">
        <v>125</v>
      </c>
      <c r="H1235" s="28">
        <v>0</v>
      </c>
      <c r="J1235" s="28"/>
    </row>
    <row r="1236" spans="1:10" ht="15.75" customHeight="1">
      <c r="A1236" s="28">
        <v>19036</v>
      </c>
      <c r="B1236" s="91">
        <v>45096.970393518517</v>
      </c>
      <c r="C1236" s="28" t="s">
        <v>10</v>
      </c>
      <c r="D1236" s="28" t="s">
        <v>623</v>
      </c>
      <c r="E1236" s="28" t="s">
        <v>28</v>
      </c>
      <c r="F1236" s="28">
        <v>0</v>
      </c>
      <c r="G1236" s="28" t="s">
        <v>119</v>
      </c>
      <c r="H1236" s="28">
        <v>0</v>
      </c>
      <c r="J1236" s="28"/>
    </row>
    <row r="1237" spans="1:10" ht="15.75" customHeight="1">
      <c r="A1237" s="28">
        <v>19035</v>
      </c>
      <c r="B1237" s="91">
        <v>45096.963587962964</v>
      </c>
      <c r="C1237" s="28" t="s">
        <v>10</v>
      </c>
      <c r="D1237" s="28" t="s">
        <v>624</v>
      </c>
      <c r="E1237" s="28" t="s">
        <v>28</v>
      </c>
      <c r="F1237" s="28">
        <v>20</v>
      </c>
      <c r="G1237" s="28" t="s">
        <v>121</v>
      </c>
      <c r="H1237" s="28">
        <v>0</v>
      </c>
      <c r="J1237" s="28"/>
    </row>
    <row r="1238" spans="1:10" ht="15.75" customHeight="1">
      <c r="A1238" s="28">
        <v>19035</v>
      </c>
      <c r="B1238" s="91">
        <v>45096.963587962964</v>
      </c>
      <c r="C1238" s="28" t="s">
        <v>10</v>
      </c>
      <c r="D1238" s="28" t="s">
        <v>624</v>
      </c>
      <c r="E1238" s="28" t="s">
        <v>28</v>
      </c>
      <c r="F1238" s="28">
        <v>25</v>
      </c>
      <c r="G1238" s="28">
        <v>100692</v>
      </c>
      <c r="H1238" s="28">
        <v>0</v>
      </c>
      <c r="J1238" s="28"/>
    </row>
    <row r="1239" spans="1:10" ht="15.75" customHeight="1">
      <c r="A1239" s="28">
        <v>19035</v>
      </c>
      <c r="B1239" s="91">
        <v>45096.963587962964</v>
      </c>
      <c r="C1239" s="28" t="s">
        <v>10</v>
      </c>
      <c r="D1239" s="28" t="s">
        <v>624</v>
      </c>
      <c r="E1239" s="28" t="s">
        <v>28</v>
      </c>
      <c r="F1239" s="28">
        <v>0</v>
      </c>
      <c r="G1239" s="28" t="s">
        <v>125</v>
      </c>
      <c r="H1239" s="28">
        <v>0</v>
      </c>
      <c r="J1239" s="28"/>
    </row>
    <row r="1240" spans="1:10" ht="15.75" customHeight="1">
      <c r="A1240" s="28">
        <v>19035</v>
      </c>
      <c r="B1240" s="91">
        <v>45096.963587962964</v>
      </c>
      <c r="C1240" s="28" t="s">
        <v>10</v>
      </c>
      <c r="D1240" s="28" t="s">
        <v>624</v>
      </c>
      <c r="E1240" s="28" t="s">
        <v>28</v>
      </c>
      <c r="F1240" s="28">
        <v>0</v>
      </c>
      <c r="G1240" s="28" t="s">
        <v>119</v>
      </c>
      <c r="H1240" s="28">
        <v>0</v>
      </c>
      <c r="J1240" s="28"/>
    </row>
    <row r="1241" spans="1:10" ht="15.75" customHeight="1">
      <c r="A1241" s="28">
        <v>19034</v>
      </c>
      <c r="B1241" s="91">
        <v>45096.960381944446</v>
      </c>
      <c r="C1241" s="28" t="s">
        <v>10</v>
      </c>
      <c r="D1241" s="28" t="s">
        <v>625</v>
      </c>
      <c r="E1241" s="28" t="s">
        <v>28</v>
      </c>
      <c r="F1241" s="28">
        <v>0</v>
      </c>
      <c r="G1241" s="28" t="s">
        <v>117</v>
      </c>
      <c r="H1241" s="28">
        <v>0</v>
      </c>
      <c r="J1241" s="28"/>
    </row>
    <row r="1242" spans="1:10" ht="15.75" customHeight="1">
      <c r="A1242" s="28">
        <v>19034</v>
      </c>
      <c r="B1242" s="91">
        <v>45096.960381944446</v>
      </c>
      <c r="C1242" s="28" t="s">
        <v>10</v>
      </c>
      <c r="D1242" s="28" t="s">
        <v>625</v>
      </c>
      <c r="E1242" s="28" t="s">
        <v>28</v>
      </c>
      <c r="F1242" s="28">
        <v>25</v>
      </c>
      <c r="G1242" s="28" t="s">
        <v>120</v>
      </c>
      <c r="H1242" s="28">
        <v>0</v>
      </c>
      <c r="J1242" s="28"/>
    </row>
    <row r="1243" spans="1:10" ht="15.75" customHeight="1">
      <c r="A1243" s="28">
        <v>19033</v>
      </c>
      <c r="B1243" s="91">
        <v>45096.959999999999</v>
      </c>
      <c r="C1243" s="28" t="s">
        <v>10</v>
      </c>
      <c r="D1243" s="28" t="s">
        <v>626</v>
      </c>
      <c r="E1243" s="28" t="s">
        <v>28</v>
      </c>
      <c r="F1243" s="28">
        <v>25</v>
      </c>
      <c r="G1243" s="28">
        <v>100692</v>
      </c>
      <c r="H1243" s="28">
        <v>0</v>
      </c>
      <c r="J1243" s="28"/>
    </row>
    <row r="1244" spans="1:10" ht="15.75" customHeight="1">
      <c r="A1244" s="28">
        <v>19033</v>
      </c>
      <c r="B1244" s="91">
        <v>45096.959999999999</v>
      </c>
      <c r="C1244" s="28" t="s">
        <v>10</v>
      </c>
      <c r="D1244" s="28" t="s">
        <v>626</v>
      </c>
      <c r="E1244" s="28" t="s">
        <v>28</v>
      </c>
      <c r="F1244" s="28">
        <v>0</v>
      </c>
      <c r="G1244" s="28" t="s">
        <v>125</v>
      </c>
      <c r="H1244" s="28">
        <v>0</v>
      </c>
      <c r="J1244" s="28"/>
    </row>
    <row r="1245" spans="1:10" ht="15.75" customHeight="1">
      <c r="A1245" s="28">
        <v>19033</v>
      </c>
      <c r="B1245" s="91">
        <v>45096.959999999999</v>
      </c>
      <c r="C1245" s="28" t="s">
        <v>10</v>
      </c>
      <c r="D1245" s="28" t="s">
        <v>626</v>
      </c>
      <c r="E1245" s="28" t="s">
        <v>28</v>
      </c>
      <c r="F1245" s="28">
        <v>0</v>
      </c>
      <c r="G1245" s="28" t="s">
        <v>119</v>
      </c>
      <c r="H1245" s="28">
        <v>0</v>
      </c>
      <c r="J1245" s="28"/>
    </row>
    <row r="1246" spans="1:10" ht="15.75" customHeight="1">
      <c r="A1246" s="28">
        <v>19032</v>
      </c>
      <c r="B1246" s="91">
        <v>45096.959502314814</v>
      </c>
      <c r="C1246" s="28" t="s">
        <v>10</v>
      </c>
      <c r="D1246" s="28" t="s">
        <v>627</v>
      </c>
      <c r="E1246" s="28" t="s">
        <v>28</v>
      </c>
      <c r="F1246" s="28">
        <v>0</v>
      </c>
      <c r="G1246" s="28" t="s">
        <v>117</v>
      </c>
      <c r="H1246" s="28">
        <v>0</v>
      </c>
      <c r="J1246" s="28"/>
    </row>
    <row r="1247" spans="1:10" ht="15.75" customHeight="1">
      <c r="A1247" s="28">
        <v>19032</v>
      </c>
      <c r="B1247" s="91">
        <v>45096.959502314814</v>
      </c>
      <c r="C1247" s="28" t="s">
        <v>10</v>
      </c>
      <c r="D1247" s="28" t="s">
        <v>627</v>
      </c>
      <c r="E1247" s="28" t="s">
        <v>28</v>
      </c>
      <c r="F1247" s="28">
        <v>28</v>
      </c>
      <c r="G1247" s="28" t="s">
        <v>143</v>
      </c>
      <c r="H1247" s="28">
        <v>0</v>
      </c>
      <c r="J1247" s="28"/>
    </row>
    <row r="1248" spans="1:10" ht="15.75" customHeight="1">
      <c r="A1248" s="28">
        <v>19031</v>
      </c>
      <c r="B1248" s="91">
        <v>45096.957789351851</v>
      </c>
      <c r="C1248" s="28" t="s">
        <v>10</v>
      </c>
      <c r="D1248" s="28" t="s">
        <v>628</v>
      </c>
      <c r="E1248" s="28" t="s">
        <v>28</v>
      </c>
      <c r="F1248" s="28">
        <v>25</v>
      </c>
      <c r="G1248" s="28">
        <v>100692</v>
      </c>
      <c r="H1248" s="28">
        <v>0</v>
      </c>
      <c r="J1248" s="28"/>
    </row>
    <row r="1249" spans="1:10" ht="15.75" customHeight="1">
      <c r="A1249" s="28">
        <v>19031</v>
      </c>
      <c r="B1249" s="91">
        <v>45096.957789351851</v>
      </c>
      <c r="C1249" s="28" t="s">
        <v>10</v>
      </c>
      <c r="D1249" s="28" t="s">
        <v>628</v>
      </c>
      <c r="E1249" s="28" t="s">
        <v>28</v>
      </c>
      <c r="F1249" s="28">
        <v>0</v>
      </c>
      <c r="G1249" s="28" t="s">
        <v>125</v>
      </c>
      <c r="H1249" s="28">
        <v>0</v>
      </c>
      <c r="J1249" s="28"/>
    </row>
    <row r="1250" spans="1:10" ht="15.75" customHeight="1">
      <c r="A1250" s="28">
        <v>19031</v>
      </c>
      <c r="B1250" s="91">
        <v>45096.957789351851</v>
      </c>
      <c r="C1250" s="28" t="s">
        <v>10</v>
      </c>
      <c r="D1250" s="28" t="s">
        <v>628</v>
      </c>
      <c r="E1250" s="28" t="s">
        <v>28</v>
      </c>
      <c r="F1250" s="28">
        <v>0</v>
      </c>
      <c r="G1250" s="28" t="s">
        <v>119</v>
      </c>
      <c r="H1250" s="28">
        <v>0</v>
      </c>
      <c r="J1250" s="28"/>
    </row>
    <row r="1251" spans="1:10" ht="15.75" customHeight="1">
      <c r="A1251" s="28">
        <v>19030</v>
      </c>
      <c r="B1251" s="91">
        <v>45096.927291666667</v>
      </c>
      <c r="C1251" s="28" t="s">
        <v>10</v>
      </c>
      <c r="D1251" s="28" t="s">
        <v>629</v>
      </c>
      <c r="E1251" s="28" t="s">
        <v>28</v>
      </c>
      <c r="F1251" s="28">
        <v>26</v>
      </c>
      <c r="G1251" s="28" t="s">
        <v>122</v>
      </c>
      <c r="H1251" s="28">
        <v>0</v>
      </c>
      <c r="J1251" s="28"/>
    </row>
    <row r="1252" spans="1:10" ht="15.75" customHeight="1">
      <c r="A1252" s="28">
        <v>19029</v>
      </c>
      <c r="B1252" s="91">
        <v>45096.925821759258</v>
      </c>
      <c r="C1252" s="28" t="s">
        <v>10</v>
      </c>
      <c r="D1252" s="28" t="s">
        <v>630</v>
      </c>
      <c r="E1252" s="28" t="s">
        <v>28</v>
      </c>
      <c r="F1252" s="28">
        <v>15</v>
      </c>
      <c r="G1252" s="28" t="s">
        <v>125</v>
      </c>
      <c r="H1252" s="28">
        <v>0</v>
      </c>
      <c r="J1252" s="28"/>
    </row>
    <row r="1253" spans="1:10" ht="15.75" customHeight="1">
      <c r="A1253" s="28">
        <v>19028</v>
      </c>
      <c r="B1253" s="91">
        <v>45096.920775462961</v>
      </c>
      <c r="C1253" s="28" t="s">
        <v>10</v>
      </c>
      <c r="D1253" s="28" t="s">
        <v>631</v>
      </c>
      <c r="E1253" s="28" t="s">
        <v>28</v>
      </c>
      <c r="F1253" s="28">
        <v>25</v>
      </c>
      <c r="G1253" s="28">
        <v>100692</v>
      </c>
      <c r="H1253" s="28">
        <v>0</v>
      </c>
      <c r="J1253" s="28"/>
    </row>
    <row r="1254" spans="1:10" ht="15.75" customHeight="1">
      <c r="A1254" s="28">
        <v>19028</v>
      </c>
      <c r="B1254" s="91">
        <v>45096.920775462961</v>
      </c>
      <c r="C1254" s="28" t="s">
        <v>10</v>
      </c>
      <c r="D1254" s="28" t="s">
        <v>631</v>
      </c>
      <c r="E1254" s="28" t="s">
        <v>28</v>
      </c>
      <c r="F1254" s="28">
        <v>0</v>
      </c>
      <c r="G1254" s="28" t="s">
        <v>125</v>
      </c>
      <c r="H1254" s="28">
        <v>0</v>
      </c>
      <c r="J1254" s="28"/>
    </row>
    <row r="1255" spans="1:10" ht="15.75" customHeight="1">
      <c r="A1255" s="28">
        <v>19028</v>
      </c>
      <c r="B1255" s="91">
        <v>45096.920775462961</v>
      </c>
      <c r="C1255" s="28" t="s">
        <v>10</v>
      </c>
      <c r="D1255" s="28" t="s">
        <v>631</v>
      </c>
      <c r="E1255" s="28" t="s">
        <v>28</v>
      </c>
      <c r="F1255" s="28">
        <v>0</v>
      </c>
      <c r="G1255" s="28" t="s">
        <v>119</v>
      </c>
      <c r="H1255" s="28">
        <v>0</v>
      </c>
      <c r="J1255" s="28"/>
    </row>
    <row r="1256" spans="1:10" ht="15.75" customHeight="1">
      <c r="A1256" s="28">
        <v>19027</v>
      </c>
      <c r="B1256" s="91">
        <v>45096.479618055557</v>
      </c>
      <c r="C1256" s="28" t="s">
        <v>51</v>
      </c>
      <c r="D1256" s="28" t="s">
        <v>132</v>
      </c>
      <c r="E1256" s="28"/>
      <c r="F1256" s="28">
        <v>134</v>
      </c>
      <c r="G1256" s="28" t="s">
        <v>139</v>
      </c>
      <c r="H1256" s="28">
        <v>0</v>
      </c>
      <c r="J1256" s="28"/>
    </row>
    <row r="1257" spans="1:10" ht="15.75" customHeight="1">
      <c r="A1257" s="28">
        <v>19027</v>
      </c>
      <c r="B1257" s="91">
        <v>45096.479618055557</v>
      </c>
      <c r="C1257" s="28" t="s">
        <v>51</v>
      </c>
      <c r="D1257" s="28" t="s">
        <v>132</v>
      </c>
      <c r="E1257" s="28"/>
      <c r="F1257" s="28">
        <v>84</v>
      </c>
      <c r="G1257" s="28" t="s">
        <v>139</v>
      </c>
      <c r="H1257" s="28">
        <v>0</v>
      </c>
      <c r="J1257" s="28"/>
    </row>
    <row r="1258" spans="1:10" ht="15.75" customHeight="1">
      <c r="A1258" s="28">
        <v>19027</v>
      </c>
      <c r="B1258" s="91">
        <v>45096.479618055557</v>
      </c>
      <c r="C1258" s="28" t="s">
        <v>51</v>
      </c>
      <c r="D1258" s="28" t="s">
        <v>132</v>
      </c>
      <c r="E1258" s="28"/>
      <c r="F1258" s="28">
        <v>115</v>
      </c>
      <c r="G1258" s="28" t="s">
        <v>139</v>
      </c>
      <c r="H1258" s="28">
        <v>0</v>
      </c>
      <c r="J1258" s="28"/>
    </row>
    <row r="1259" spans="1:10" ht="15.75" customHeight="1">
      <c r="A1259" s="28">
        <v>19027</v>
      </c>
      <c r="B1259" s="91">
        <v>45096.479618055557</v>
      </c>
      <c r="C1259" s="28" t="s">
        <v>51</v>
      </c>
      <c r="D1259" s="28" t="s">
        <v>132</v>
      </c>
      <c r="E1259" s="28"/>
      <c r="F1259" s="28">
        <v>120</v>
      </c>
      <c r="G1259" s="28" t="s">
        <v>139</v>
      </c>
      <c r="H1259" s="28">
        <v>0</v>
      </c>
      <c r="J1259" s="28"/>
    </row>
    <row r="1260" spans="1:10" ht="15.75" customHeight="1">
      <c r="A1260" s="28">
        <v>19027</v>
      </c>
      <c r="B1260" s="91">
        <v>45096.479618055557</v>
      </c>
      <c r="C1260" s="28" t="s">
        <v>51</v>
      </c>
      <c r="D1260" s="28" t="s">
        <v>132</v>
      </c>
      <c r="E1260" s="28"/>
      <c r="F1260" s="28">
        <v>81</v>
      </c>
      <c r="G1260" s="28" t="s">
        <v>139</v>
      </c>
      <c r="H1260" s="28">
        <v>0</v>
      </c>
      <c r="J1260" s="28"/>
    </row>
    <row r="1261" spans="1:10" ht="15.75" customHeight="1">
      <c r="A1261" s="28">
        <v>19027</v>
      </c>
      <c r="B1261" s="91">
        <v>45096.479618055557</v>
      </c>
      <c r="C1261" s="28" t="s">
        <v>51</v>
      </c>
      <c r="D1261" s="28" t="s">
        <v>132</v>
      </c>
      <c r="E1261" s="28"/>
      <c r="F1261" s="28">
        <v>46</v>
      </c>
      <c r="G1261" s="28" t="s">
        <v>139</v>
      </c>
      <c r="H1261" s="28">
        <v>0</v>
      </c>
      <c r="J1261" s="28"/>
    </row>
    <row r="1262" spans="1:10" ht="15.75" customHeight="1">
      <c r="A1262" s="28">
        <v>19023</v>
      </c>
      <c r="B1262" s="91">
        <v>45096.443055555559</v>
      </c>
      <c r="C1262" s="28" t="s">
        <v>10</v>
      </c>
      <c r="D1262" s="28" t="s">
        <v>632</v>
      </c>
      <c r="E1262" s="28" t="s">
        <v>84</v>
      </c>
      <c r="F1262" s="28">
        <v>25</v>
      </c>
      <c r="G1262" s="28" t="s">
        <v>141</v>
      </c>
      <c r="H1262" s="28">
        <v>0</v>
      </c>
      <c r="J1262" s="28"/>
    </row>
    <row r="1263" spans="1:10" ht="15.75" customHeight="1">
      <c r="A1263" s="28">
        <v>19021</v>
      </c>
      <c r="B1263" s="91">
        <v>45095.838090277779</v>
      </c>
      <c r="C1263" s="28" t="s">
        <v>10</v>
      </c>
      <c r="D1263" s="28" t="s">
        <v>633</v>
      </c>
      <c r="E1263" s="28" t="s">
        <v>84</v>
      </c>
      <c r="F1263" s="28">
        <v>0</v>
      </c>
      <c r="G1263" s="28" t="s">
        <v>117</v>
      </c>
      <c r="H1263" s="28">
        <v>0</v>
      </c>
      <c r="J1263" s="28"/>
    </row>
    <row r="1264" spans="1:10" ht="15.75" customHeight="1">
      <c r="A1264" s="28">
        <v>19020</v>
      </c>
      <c r="B1264" s="91">
        <v>45095.768726851849</v>
      </c>
      <c r="C1264" s="28" t="s">
        <v>10</v>
      </c>
      <c r="D1264" s="28" t="s">
        <v>634</v>
      </c>
      <c r="E1264" s="28" t="s">
        <v>84</v>
      </c>
      <c r="F1264" s="28">
        <v>0</v>
      </c>
      <c r="G1264" s="28" t="s">
        <v>117</v>
      </c>
      <c r="H1264" s="28">
        <v>0</v>
      </c>
      <c r="J1264" s="28"/>
    </row>
    <row r="1265" spans="1:10" ht="15.75" customHeight="1">
      <c r="A1265" s="28">
        <v>18997</v>
      </c>
      <c r="B1265" s="91">
        <v>45094.862303240741</v>
      </c>
      <c r="C1265" s="28" t="s">
        <v>18</v>
      </c>
      <c r="D1265" s="28" t="s">
        <v>635</v>
      </c>
      <c r="E1265" s="28" t="s">
        <v>59</v>
      </c>
      <c r="F1265" s="28">
        <v>0</v>
      </c>
      <c r="G1265" s="28" t="s">
        <v>117</v>
      </c>
      <c r="H1265" s="28">
        <v>0</v>
      </c>
      <c r="J1265" s="28"/>
    </row>
    <row r="1266" spans="1:10" ht="15.75" customHeight="1">
      <c r="A1266" s="28">
        <v>18997</v>
      </c>
      <c r="B1266" s="91">
        <v>45094.862303240741</v>
      </c>
      <c r="C1266" s="28" t="s">
        <v>18</v>
      </c>
      <c r="D1266" s="28" t="s">
        <v>635</v>
      </c>
      <c r="E1266" s="28" t="s">
        <v>59</v>
      </c>
      <c r="F1266" s="28">
        <v>18</v>
      </c>
      <c r="G1266" s="28" t="s">
        <v>119</v>
      </c>
      <c r="H1266" s="28">
        <v>0</v>
      </c>
      <c r="J1266" s="28"/>
    </row>
    <row r="1267" spans="1:10" ht="15.75" customHeight="1">
      <c r="A1267" s="28">
        <v>18996</v>
      </c>
      <c r="B1267" s="91">
        <v>45094.624178240745</v>
      </c>
      <c r="C1267" s="28" t="s">
        <v>10</v>
      </c>
      <c r="D1267" s="28" t="s">
        <v>636</v>
      </c>
      <c r="E1267" s="28" t="s">
        <v>59</v>
      </c>
      <c r="F1267" s="28">
        <v>28</v>
      </c>
      <c r="G1267" s="28" t="s">
        <v>143</v>
      </c>
      <c r="H1267" s="28">
        <v>0</v>
      </c>
      <c r="J1267" s="28"/>
    </row>
    <row r="1268" spans="1:10" ht="15.75" customHeight="1">
      <c r="A1268" s="28">
        <v>18996</v>
      </c>
      <c r="B1268" s="91">
        <v>45094.624178240745</v>
      </c>
      <c r="C1268" s="28" t="s">
        <v>10</v>
      </c>
      <c r="D1268" s="28" t="s">
        <v>636</v>
      </c>
      <c r="E1268" s="28" t="s">
        <v>59</v>
      </c>
      <c r="F1268" s="28">
        <v>15</v>
      </c>
      <c r="G1268" s="28" t="s">
        <v>125</v>
      </c>
      <c r="H1268" s="28">
        <v>0</v>
      </c>
      <c r="J1268" s="28"/>
    </row>
    <row r="1269" spans="1:10" ht="15.75" customHeight="1">
      <c r="A1269" s="28">
        <v>18994</v>
      </c>
      <c r="B1269" s="91">
        <v>45093.139178240745</v>
      </c>
      <c r="C1269" s="28" t="s">
        <v>10</v>
      </c>
      <c r="D1269" s="28" t="s">
        <v>637</v>
      </c>
      <c r="E1269" s="28" t="s">
        <v>59</v>
      </c>
      <c r="F1269" s="28">
        <v>18</v>
      </c>
      <c r="G1269" s="28" t="s">
        <v>119</v>
      </c>
      <c r="H1269" s="28">
        <v>0</v>
      </c>
      <c r="J1269" s="28"/>
    </row>
    <row r="1270" spans="1:10" ht="15.75" customHeight="1">
      <c r="A1270" s="28">
        <v>18993</v>
      </c>
      <c r="B1270" s="91">
        <v>45093.119085648148</v>
      </c>
      <c r="C1270" s="28" t="s">
        <v>10</v>
      </c>
      <c r="D1270" s="28" t="s">
        <v>638</v>
      </c>
      <c r="E1270" s="28" t="s">
        <v>15</v>
      </c>
      <c r="F1270" s="28">
        <v>20</v>
      </c>
      <c r="G1270" s="28"/>
      <c r="H1270" s="28">
        <v>0</v>
      </c>
      <c r="J1270" s="28"/>
    </row>
    <row r="1271" spans="1:10" ht="15.75" customHeight="1">
      <c r="A1271" s="28">
        <v>18993</v>
      </c>
      <c r="B1271" s="91">
        <v>45093.119085648148</v>
      </c>
      <c r="C1271" s="28" t="s">
        <v>10</v>
      </c>
      <c r="D1271" s="28" t="s">
        <v>638</v>
      </c>
      <c r="E1271" s="28" t="s">
        <v>15</v>
      </c>
      <c r="F1271" s="28">
        <v>25</v>
      </c>
      <c r="G1271" s="28">
        <v>100692</v>
      </c>
      <c r="H1271" s="28">
        <v>0</v>
      </c>
      <c r="J1271" s="28"/>
    </row>
    <row r="1272" spans="1:10" ht="15.75" customHeight="1">
      <c r="A1272" s="28">
        <v>18993</v>
      </c>
      <c r="B1272" s="91">
        <v>45093.119085648148</v>
      </c>
      <c r="C1272" s="28" t="s">
        <v>10</v>
      </c>
      <c r="D1272" s="28" t="s">
        <v>638</v>
      </c>
      <c r="E1272" s="28" t="s">
        <v>15</v>
      </c>
      <c r="F1272" s="28">
        <v>0</v>
      </c>
      <c r="G1272" s="28" t="s">
        <v>125</v>
      </c>
      <c r="H1272" s="28">
        <v>0</v>
      </c>
      <c r="J1272" s="28"/>
    </row>
    <row r="1273" spans="1:10" ht="15.75" customHeight="1">
      <c r="A1273" s="28">
        <v>18993</v>
      </c>
      <c r="B1273" s="91">
        <v>45093.119085648148</v>
      </c>
      <c r="C1273" s="28" t="s">
        <v>10</v>
      </c>
      <c r="D1273" s="28" t="s">
        <v>638</v>
      </c>
      <c r="E1273" s="28" t="s">
        <v>15</v>
      </c>
      <c r="F1273" s="28">
        <v>0</v>
      </c>
      <c r="G1273" s="28" t="s">
        <v>119</v>
      </c>
      <c r="H1273" s="28">
        <v>0</v>
      </c>
      <c r="J1273" s="28"/>
    </row>
    <row r="1274" spans="1:10" ht="15.75" customHeight="1">
      <c r="A1274" s="28">
        <v>18993</v>
      </c>
      <c r="B1274" s="91">
        <v>45093.119085648148</v>
      </c>
      <c r="C1274" s="28" t="s">
        <v>10</v>
      </c>
      <c r="D1274" s="28" t="s">
        <v>638</v>
      </c>
      <c r="E1274" s="28" t="s">
        <v>15</v>
      </c>
      <c r="F1274" s="28">
        <v>20</v>
      </c>
      <c r="G1274" s="28" t="s">
        <v>148</v>
      </c>
      <c r="H1274" s="28">
        <v>0</v>
      </c>
      <c r="J1274" s="28"/>
    </row>
    <row r="1275" spans="1:10" ht="15.75" customHeight="1">
      <c r="A1275" s="28">
        <v>18992</v>
      </c>
      <c r="B1275" s="91">
        <v>45093.045775462961</v>
      </c>
      <c r="C1275" s="28" t="s">
        <v>10</v>
      </c>
      <c r="D1275" s="28" t="s">
        <v>639</v>
      </c>
      <c r="E1275" s="28" t="s">
        <v>15</v>
      </c>
      <c r="F1275" s="28">
        <v>25</v>
      </c>
      <c r="G1275" s="28">
        <v>100692</v>
      </c>
      <c r="H1275" s="28">
        <v>0</v>
      </c>
      <c r="J1275" s="28"/>
    </row>
    <row r="1276" spans="1:10" ht="15.75" customHeight="1">
      <c r="A1276" s="28">
        <v>18992</v>
      </c>
      <c r="B1276" s="91">
        <v>45093.045775462961</v>
      </c>
      <c r="C1276" s="28" t="s">
        <v>10</v>
      </c>
      <c r="D1276" s="28" t="s">
        <v>639</v>
      </c>
      <c r="E1276" s="28" t="s">
        <v>15</v>
      </c>
      <c r="F1276" s="28">
        <v>0</v>
      </c>
      <c r="G1276" s="28" t="s">
        <v>125</v>
      </c>
      <c r="H1276" s="28">
        <v>0</v>
      </c>
      <c r="J1276" s="28"/>
    </row>
    <row r="1277" spans="1:10" ht="15.75" customHeight="1">
      <c r="A1277" s="28">
        <v>18992</v>
      </c>
      <c r="B1277" s="91">
        <v>45093.045775462961</v>
      </c>
      <c r="C1277" s="28" t="s">
        <v>10</v>
      </c>
      <c r="D1277" s="28" t="s">
        <v>639</v>
      </c>
      <c r="E1277" s="28" t="s">
        <v>15</v>
      </c>
      <c r="F1277" s="28">
        <v>0</v>
      </c>
      <c r="G1277" s="28" t="s">
        <v>119</v>
      </c>
      <c r="H1277" s="28">
        <v>0</v>
      </c>
      <c r="J1277" s="28"/>
    </row>
    <row r="1278" spans="1:10" ht="15.75" customHeight="1">
      <c r="A1278" s="28">
        <v>18982</v>
      </c>
      <c r="B1278" s="91">
        <v>45090.802777777775</v>
      </c>
      <c r="C1278" s="28" t="s">
        <v>10</v>
      </c>
      <c r="D1278" s="28" t="s">
        <v>640</v>
      </c>
      <c r="E1278" s="28"/>
      <c r="F1278" s="28">
        <v>25</v>
      </c>
      <c r="G1278" s="28">
        <v>100692</v>
      </c>
      <c r="H1278" s="28">
        <v>0</v>
      </c>
      <c r="J1278" s="28"/>
    </row>
    <row r="1279" spans="1:10" ht="15.75" customHeight="1">
      <c r="A1279" s="28">
        <v>18982</v>
      </c>
      <c r="B1279" s="91">
        <v>45090.802777777775</v>
      </c>
      <c r="C1279" s="28" t="s">
        <v>10</v>
      </c>
      <c r="D1279" s="28" t="s">
        <v>640</v>
      </c>
      <c r="E1279" s="28"/>
      <c r="F1279" s="28">
        <v>0</v>
      </c>
      <c r="G1279" s="28" t="s">
        <v>125</v>
      </c>
      <c r="H1279" s="28">
        <v>0</v>
      </c>
      <c r="J1279" s="28"/>
    </row>
    <row r="1280" spans="1:10" ht="15.75" customHeight="1">
      <c r="A1280" s="28">
        <v>18982</v>
      </c>
      <c r="B1280" s="91">
        <v>45090.802777777775</v>
      </c>
      <c r="C1280" s="28" t="s">
        <v>10</v>
      </c>
      <c r="D1280" s="28" t="s">
        <v>640</v>
      </c>
      <c r="E1280" s="28"/>
      <c r="F1280" s="28">
        <v>0</v>
      </c>
      <c r="G1280" s="28" t="s">
        <v>119</v>
      </c>
      <c r="H1280" s="28">
        <v>0</v>
      </c>
      <c r="J1280" s="28"/>
    </row>
    <row r="1281" spans="1:10" ht="15.75" customHeight="1">
      <c r="A1281" s="28">
        <v>18981</v>
      </c>
      <c r="B1281" s="91">
        <v>45090.611284722225</v>
      </c>
      <c r="C1281" s="28" t="s">
        <v>10</v>
      </c>
      <c r="D1281" s="28" t="s">
        <v>641</v>
      </c>
      <c r="E1281" s="28"/>
      <c r="F1281" s="28">
        <v>35</v>
      </c>
      <c r="G1281" s="28" t="s">
        <v>124</v>
      </c>
      <c r="H1281" s="28">
        <v>0</v>
      </c>
      <c r="J1281" s="28"/>
    </row>
    <row r="1282" spans="1:10" ht="15.75" customHeight="1">
      <c r="A1282" s="28">
        <v>18981</v>
      </c>
      <c r="B1282" s="91">
        <v>45090.611284722225</v>
      </c>
      <c r="C1282" s="28" t="s">
        <v>10</v>
      </c>
      <c r="D1282" s="28" t="s">
        <v>641</v>
      </c>
      <c r="E1282" s="28"/>
      <c r="F1282" s="28">
        <v>0</v>
      </c>
      <c r="G1282" s="28" t="s">
        <v>125</v>
      </c>
      <c r="H1282" s="28">
        <v>0</v>
      </c>
      <c r="J1282" s="28"/>
    </row>
    <row r="1283" spans="1:10" ht="15.75" customHeight="1">
      <c r="A1283" s="28">
        <v>18981</v>
      </c>
      <c r="B1283" s="91">
        <v>45090.611284722225</v>
      </c>
      <c r="C1283" s="28" t="s">
        <v>10</v>
      </c>
      <c r="D1283" s="28" t="s">
        <v>641</v>
      </c>
      <c r="E1283" s="28"/>
      <c r="F1283" s="28">
        <v>0</v>
      </c>
      <c r="G1283" s="28" t="s">
        <v>119</v>
      </c>
      <c r="H1283" s="28">
        <v>0</v>
      </c>
      <c r="J1283" s="28"/>
    </row>
    <row r="1284" spans="1:10" ht="15.75" customHeight="1">
      <c r="A1284" s="28">
        <v>18981</v>
      </c>
      <c r="B1284" s="91">
        <v>45090.611284722225</v>
      </c>
      <c r="C1284" s="28" t="s">
        <v>10</v>
      </c>
      <c r="D1284" s="28" t="s">
        <v>641</v>
      </c>
      <c r="E1284" s="28"/>
      <c r="F1284" s="28">
        <v>0</v>
      </c>
      <c r="G1284" s="28" t="s">
        <v>121</v>
      </c>
      <c r="H1284" s="28">
        <v>0</v>
      </c>
      <c r="J1284" s="28"/>
    </row>
    <row r="1285" spans="1:10" ht="15.75" customHeight="1">
      <c r="A1285" s="28">
        <v>18980</v>
      </c>
      <c r="B1285" s="91">
        <v>45090.502546296295</v>
      </c>
      <c r="C1285" s="28" t="s">
        <v>10</v>
      </c>
      <c r="D1285" s="28" t="s">
        <v>642</v>
      </c>
      <c r="E1285" s="28"/>
      <c r="F1285" s="28">
        <v>25</v>
      </c>
      <c r="G1285" s="28" t="s">
        <v>141</v>
      </c>
      <c r="H1285" s="28">
        <v>0</v>
      </c>
      <c r="J1285" s="28"/>
    </row>
    <row r="1286" spans="1:10" ht="15.75" customHeight="1">
      <c r="A1286" s="28">
        <v>18979</v>
      </c>
      <c r="B1286" s="91">
        <v>45090.499826388885</v>
      </c>
      <c r="C1286" s="28" t="s">
        <v>10</v>
      </c>
      <c r="D1286" s="28" t="s">
        <v>642</v>
      </c>
      <c r="E1286" s="28"/>
      <c r="F1286" s="28">
        <v>25</v>
      </c>
      <c r="G1286" s="28">
        <v>100692</v>
      </c>
      <c r="H1286" s="28">
        <v>0</v>
      </c>
      <c r="J1286" s="28"/>
    </row>
    <row r="1287" spans="1:10" ht="15.75" customHeight="1">
      <c r="A1287" s="28">
        <v>18979</v>
      </c>
      <c r="B1287" s="91">
        <v>45090.499826388885</v>
      </c>
      <c r="C1287" s="28" t="s">
        <v>10</v>
      </c>
      <c r="D1287" s="28" t="s">
        <v>642</v>
      </c>
      <c r="E1287" s="28"/>
      <c r="F1287" s="28">
        <v>0</v>
      </c>
      <c r="G1287" s="28" t="s">
        <v>125</v>
      </c>
      <c r="H1287" s="28">
        <v>0</v>
      </c>
      <c r="J1287" s="28"/>
    </row>
    <row r="1288" spans="1:10" ht="15.75" customHeight="1">
      <c r="A1288" s="28">
        <v>18979</v>
      </c>
      <c r="B1288" s="91">
        <v>45090.499826388885</v>
      </c>
      <c r="C1288" s="28" t="s">
        <v>10</v>
      </c>
      <c r="D1288" s="28" t="s">
        <v>642</v>
      </c>
      <c r="E1288" s="28"/>
      <c r="F1288" s="28">
        <v>0</v>
      </c>
      <c r="G1288" s="28" t="s">
        <v>119</v>
      </c>
      <c r="H1288" s="28">
        <v>0</v>
      </c>
      <c r="J1288" s="28"/>
    </row>
    <row r="1289" spans="1:10" ht="15.75" customHeight="1">
      <c r="A1289" s="28">
        <v>18978</v>
      </c>
      <c r="B1289" s="91">
        <v>45090.073472222226</v>
      </c>
      <c r="C1289" s="28" t="s">
        <v>10</v>
      </c>
      <c r="D1289" s="28" t="s">
        <v>643</v>
      </c>
      <c r="E1289" s="28"/>
      <c r="F1289" s="28">
        <v>30</v>
      </c>
      <c r="G1289" s="28" t="s">
        <v>128</v>
      </c>
      <c r="H1289" s="28">
        <v>0</v>
      </c>
      <c r="J1289" s="28"/>
    </row>
    <row r="1290" spans="1:10" ht="15.75" customHeight="1">
      <c r="A1290" s="28">
        <v>18978</v>
      </c>
      <c r="B1290" s="91">
        <v>45090.073472222226</v>
      </c>
      <c r="C1290" s="28" t="s">
        <v>10</v>
      </c>
      <c r="D1290" s="28" t="s">
        <v>643</v>
      </c>
      <c r="E1290" s="28"/>
      <c r="F1290" s="28">
        <v>0</v>
      </c>
      <c r="G1290" s="28" t="s">
        <v>125</v>
      </c>
      <c r="H1290" s="28">
        <v>0</v>
      </c>
      <c r="J1290" s="28"/>
    </row>
    <row r="1291" spans="1:10" ht="15.75" customHeight="1">
      <c r="A1291" s="28">
        <v>18978</v>
      </c>
      <c r="B1291" s="91">
        <v>45090.073472222226</v>
      </c>
      <c r="C1291" s="28" t="s">
        <v>10</v>
      </c>
      <c r="D1291" s="28" t="s">
        <v>643</v>
      </c>
      <c r="E1291" s="28"/>
      <c r="F1291" s="28">
        <v>0</v>
      </c>
      <c r="G1291" s="28" t="s">
        <v>119</v>
      </c>
      <c r="H1291" s="28">
        <v>0</v>
      </c>
      <c r="J1291" s="28"/>
    </row>
    <row r="1292" spans="1:10" ht="15.75" customHeight="1">
      <c r="A1292" s="28">
        <v>18977</v>
      </c>
      <c r="B1292" s="91">
        <v>45090.070925925931</v>
      </c>
      <c r="C1292" s="28" t="s">
        <v>10</v>
      </c>
      <c r="D1292" s="28" t="s">
        <v>643</v>
      </c>
      <c r="E1292" s="28"/>
      <c r="F1292" s="28">
        <v>26</v>
      </c>
      <c r="G1292" s="28" t="s">
        <v>122</v>
      </c>
      <c r="H1292" s="28">
        <v>0</v>
      </c>
      <c r="J1292" s="28"/>
    </row>
    <row r="1293" spans="1:10" ht="15.75" customHeight="1">
      <c r="A1293" s="28">
        <v>18976</v>
      </c>
      <c r="B1293" s="91">
        <v>45090.068275462967</v>
      </c>
      <c r="C1293" s="28" t="s">
        <v>10</v>
      </c>
      <c r="D1293" s="28" t="s">
        <v>644</v>
      </c>
      <c r="E1293" s="28"/>
      <c r="F1293" s="28">
        <v>26</v>
      </c>
      <c r="G1293" s="28" t="s">
        <v>122</v>
      </c>
      <c r="H1293" s="28">
        <v>0</v>
      </c>
      <c r="J1293" s="28"/>
    </row>
    <row r="1294" spans="1:10" ht="15.75" customHeight="1">
      <c r="A1294" s="28">
        <v>18974</v>
      </c>
      <c r="B1294" s="91">
        <v>45089.649895833332</v>
      </c>
      <c r="C1294" s="28" t="s">
        <v>10</v>
      </c>
      <c r="D1294" s="28" t="s">
        <v>645</v>
      </c>
      <c r="E1294" s="28"/>
      <c r="F1294" s="28">
        <v>15</v>
      </c>
      <c r="G1294" s="28" t="s">
        <v>125</v>
      </c>
      <c r="H1294" s="28">
        <v>0</v>
      </c>
      <c r="J1294" s="28"/>
    </row>
    <row r="1295" spans="1:10" ht="15.75" customHeight="1">
      <c r="A1295" s="28">
        <v>18974</v>
      </c>
      <c r="B1295" s="91">
        <v>45089.649895833332</v>
      </c>
      <c r="C1295" s="28" t="s">
        <v>10</v>
      </c>
      <c r="D1295" s="28" t="s">
        <v>645</v>
      </c>
      <c r="E1295" s="28"/>
      <c r="F1295" s="28">
        <v>20</v>
      </c>
      <c r="G1295" s="28" t="s">
        <v>205</v>
      </c>
      <c r="H1295" s="28">
        <v>0</v>
      </c>
      <c r="J1295" s="28"/>
    </row>
    <row r="1296" spans="1:10" ht="15.75" customHeight="1">
      <c r="A1296" s="28">
        <v>18974</v>
      </c>
      <c r="B1296" s="91">
        <v>45089.649895833332</v>
      </c>
      <c r="C1296" s="28" t="s">
        <v>10</v>
      </c>
      <c r="D1296" s="28" t="s">
        <v>645</v>
      </c>
      <c r="E1296" s="28"/>
      <c r="F1296" s="28">
        <v>0</v>
      </c>
      <c r="G1296" s="28" t="s">
        <v>125</v>
      </c>
      <c r="H1296" s="28">
        <v>0</v>
      </c>
      <c r="J1296" s="28"/>
    </row>
    <row r="1297" spans="1:10" ht="15.75" customHeight="1">
      <c r="A1297" s="28">
        <v>18973</v>
      </c>
      <c r="B1297" s="91">
        <v>45089.086701388893</v>
      </c>
      <c r="C1297" s="28" t="s">
        <v>10</v>
      </c>
      <c r="D1297" s="28" t="s">
        <v>646</v>
      </c>
      <c r="E1297" s="28"/>
      <c r="F1297" s="28">
        <v>25</v>
      </c>
      <c r="G1297" s="28">
        <v>100692</v>
      </c>
      <c r="H1297" s="28">
        <v>0</v>
      </c>
      <c r="J1297" s="28"/>
    </row>
    <row r="1298" spans="1:10" ht="15.75" customHeight="1">
      <c r="A1298" s="28">
        <v>18973</v>
      </c>
      <c r="B1298" s="91">
        <v>45089.086701388893</v>
      </c>
      <c r="C1298" s="28" t="s">
        <v>10</v>
      </c>
      <c r="D1298" s="28" t="s">
        <v>646</v>
      </c>
      <c r="E1298" s="28"/>
      <c r="F1298" s="28">
        <v>0</v>
      </c>
      <c r="G1298" s="28" t="s">
        <v>125</v>
      </c>
      <c r="H1298" s="28">
        <v>0</v>
      </c>
      <c r="J1298" s="28"/>
    </row>
    <row r="1299" spans="1:10" ht="15.75" customHeight="1">
      <c r="A1299" s="28">
        <v>18973</v>
      </c>
      <c r="B1299" s="91">
        <v>45089.086701388893</v>
      </c>
      <c r="C1299" s="28" t="s">
        <v>10</v>
      </c>
      <c r="D1299" s="28" t="s">
        <v>646</v>
      </c>
      <c r="E1299" s="28"/>
      <c r="F1299" s="28">
        <v>0</v>
      </c>
      <c r="G1299" s="28" t="s">
        <v>119</v>
      </c>
      <c r="H1299" s="28">
        <v>0</v>
      </c>
      <c r="J1299" s="28"/>
    </row>
    <row r="1300" spans="1:10" ht="15.75" customHeight="1">
      <c r="A1300" s="28">
        <v>18972</v>
      </c>
      <c r="B1300" s="91">
        <v>45088.996886574074</v>
      </c>
      <c r="C1300" s="28" t="s">
        <v>10</v>
      </c>
      <c r="D1300" s="28" t="s">
        <v>647</v>
      </c>
      <c r="E1300" s="28"/>
      <c r="F1300" s="28">
        <v>26</v>
      </c>
      <c r="G1300" s="28" t="s">
        <v>122</v>
      </c>
      <c r="H1300" s="28">
        <v>0</v>
      </c>
      <c r="J1300" s="28"/>
    </row>
    <row r="1301" spans="1:10" ht="15.75" customHeight="1">
      <c r="A1301" s="28">
        <v>18971</v>
      </c>
      <c r="B1301" s="91">
        <v>45088.930150462962</v>
      </c>
      <c r="C1301" s="28" t="s">
        <v>10</v>
      </c>
      <c r="D1301" s="28" t="s">
        <v>648</v>
      </c>
      <c r="E1301" s="28"/>
      <c r="F1301" s="28">
        <v>26</v>
      </c>
      <c r="G1301" s="28" t="s">
        <v>122</v>
      </c>
      <c r="H1301" s="28">
        <v>0</v>
      </c>
      <c r="J1301" s="28"/>
    </row>
    <row r="1302" spans="1:10" ht="15.75" customHeight="1">
      <c r="A1302" s="28">
        <v>18971</v>
      </c>
      <c r="B1302" s="91">
        <v>45088.930150462962</v>
      </c>
      <c r="C1302" s="28" t="s">
        <v>10</v>
      </c>
      <c r="D1302" s="28" t="s">
        <v>648</v>
      </c>
      <c r="E1302" s="28"/>
      <c r="F1302" s="28">
        <v>20</v>
      </c>
      <c r="G1302" s="28"/>
      <c r="H1302" s="28">
        <v>0</v>
      </c>
      <c r="J1302" s="28"/>
    </row>
    <row r="1303" spans="1:10" ht="15.75" customHeight="1">
      <c r="A1303" s="28">
        <v>18971</v>
      </c>
      <c r="B1303" s="91">
        <v>45088.930150462962</v>
      </c>
      <c r="C1303" s="28" t="s">
        <v>10</v>
      </c>
      <c r="D1303" s="28" t="s">
        <v>648</v>
      </c>
      <c r="E1303" s="28"/>
      <c r="F1303" s="28">
        <v>0</v>
      </c>
      <c r="G1303" s="28" t="s">
        <v>117</v>
      </c>
      <c r="H1303" s="28">
        <v>0</v>
      </c>
      <c r="J1303" s="28"/>
    </row>
    <row r="1304" spans="1:10" ht="15.75" customHeight="1">
      <c r="A1304" s="28">
        <v>18971</v>
      </c>
      <c r="B1304" s="91">
        <v>45088.930150462962</v>
      </c>
      <c r="C1304" s="28" t="s">
        <v>10</v>
      </c>
      <c r="D1304" s="28" t="s">
        <v>648</v>
      </c>
      <c r="E1304" s="28"/>
      <c r="F1304" s="28">
        <v>25</v>
      </c>
      <c r="G1304" s="28" t="s">
        <v>118</v>
      </c>
      <c r="H1304" s="28">
        <v>0</v>
      </c>
      <c r="J1304" s="28"/>
    </row>
    <row r="1305" spans="1:10" ht="15.75" customHeight="1">
      <c r="A1305" s="28">
        <v>18970</v>
      </c>
      <c r="B1305" s="91">
        <v>45088.543553240743</v>
      </c>
      <c r="C1305" s="28" t="s">
        <v>10</v>
      </c>
      <c r="D1305" s="28" t="s">
        <v>649</v>
      </c>
      <c r="E1305" s="28"/>
      <c r="F1305" s="28">
        <v>25</v>
      </c>
      <c r="G1305" s="28" t="s">
        <v>141</v>
      </c>
      <c r="H1305" s="28">
        <v>0</v>
      </c>
      <c r="J1305" s="28"/>
    </row>
    <row r="1306" spans="1:10" ht="15.75" customHeight="1">
      <c r="A1306" s="28">
        <v>18969</v>
      </c>
      <c r="B1306" s="91">
        <v>45087.735891203702</v>
      </c>
      <c r="C1306" s="28" t="s">
        <v>10</v>
      </c>
      <c r="D1306" s="28" t="s">
        <v>650</v>
      </c>
      <c r="E1306" s="28"/>
      <c r="F1306" s="28">
        <v>25</v>
      </c>
      <c r="G1306" s="28">
        <v>100692</v>
      </c>
      <c r="H1306" s="28">
        <v>0</v>
      </c>
      <c r="J1306" s="28"/>
    </row>
    <row r="1307" spans="1:10" ht="15.75" customHeight="1">
      <c r="A1307" s="28">
        <v>18969</v>
      </c>
      <c r="B1307" s="91">
        <v>45087.735891203702</v>
      </c>
      <c r="C1307" s="28" t="s">
        <v>10</v>
      </c>
      <c r="D1307" s="28" t="s">
        <v>650</v>
      </c>
      <c r="E1307" s="28"/>
      <c r="F1307" s="28">
        <v>0</v>
      </c>
      <c r="G1307" s="28" t="s">
        <v>125</v>
      </c>
      <c r="H1307" s="28">
        <v>0</v>
      </c>
      <c r="J1307" s="28"/>
    </row>
    <row r="1308" spans="1:10" ht="15.75" customHeight="1">
      <c r="A1308" s="28">
        <v>18969</v>
      </c>
      <c r="B1308" s="91">
        <v>45087.735891203702</v>
      </c>
      <c r="C1308" s="28" t="s">
        <v>10</v>
      </c>
      <c r="D1308" s="28" t="s">
        <v>650</v>
      </c>
      <c r="E1308" s="28"/>
      <c r="F1308" s="28">
        <v>0</v>
      </c>
      <c r="G1308" s="28" t="s">
        <v>119</v>
      </c>
      <c r="H1308" s="28">
        <v>0</v>
      </c>
      <c r="J1308" s="28"/>
    </row>
    <row r="1309" spans="1:10" ht="15.75" customHeight="1">
      <c r="A1309" s="28">
        <v>18968</v>
      </c>
      <c r="B1309" s="91">
        <v>45087.601527777777</v>
      </c>
      <c r="C1309" s="28" t="s">
        <v>10</v>
      </c>
      <c r="D1309" s="28" t="s">
        <v>651</v>
      </c>
      <c r="E1309" s="28"/>
      <c r="F1309" s="28">
        <v>28</v>
      </c>
      <c r="G1309" s="28" t="s">
        <v>143</v>
      </c>
      <c r="H1309" s="28">
        <v>0</v>
      </c>
      <c r="J1309" s="28"/>
    </row>
    <row r="1310" spans="1:10" ht="15.75" customHeight="1">
      <c r="A1310" s="28">
        <v>18967</v>
      </c>
      <c r="B1310" s="91">
        <v>45087.599606481483</v>
      </c>
      <c r="C1310" s="28" t="s">
        <v>10</v>
      </c>
      <c r="D1310" s="28" t="s">
        <v>652</v>
      </c>
      <c r="E1310" s="28"/>
      <c r="F1310" s="28">
        <v>28</v>
      </c>
      <c r="G1310" s="28" t="s">
        <v>143</v>
      </c>
      <c r="H1310" s="28">
        <v>0</v>
      </c>
      <c r="J1310" s="28"/>
    </row>
    <row r="1311" spans="1:10" ht="15.75" customHeight="1">
      <c r="A1311" s="28">
        <v>18966</v>
      </c>
      <c r="B1311" s="91">
        <v>45087.597777777773</v>
      </c>
      <c r="C1311" s="28" t="s">
        <v>10</v>
      </c>
      <c r="D1311" s="28" t="s">
        <v>653</v>
      </c>
      <c r="E1311" s="28"/>
      <c r="F1311" s="28">
        <v>28</v>
      </c>
      <c r="G1311" s="28" t="s">
        <v>143</v>
      </c>
      <c r="H1311" s="28">
        <v>0</v>
      </c>
      <c r="J1311" s="28"/>
    </row>
    <row r="1312" spans="1:10" ht="15.75" customHeight="1">
      <c r="A1312" s="28">
        <v>18965</v>
      </c>
      <c r="B1312" s="91">
        <v>45086.80259259259</v>
      </c>
      <c r="C1312" s="28" t="s">
        <v>10</v>
      </c>
      <c r="D1312" s="28" t="s">
        <v>654</v>
      </c>
      <c r="E1312" s="28"/>
      <c r="F1312" s="28">
        <v>20</v>
      </c>
      <c r="G1312" s="28"/>
      <c r="H1312" s="28">
        <v>0</v>
      </c>
      <c r="J1312" s="28"/>
    </row>
    <row r="1313" spans="1:10" ht="15.75" customHeight="1">
      <c r="A1313" s="28">
        <v>18964</v>
      </c>
      <c r="B1313" s="91">
        <v>45086.770949074074</v>
      </c>
      <c r="C1313" s="28" t="s">
        <v>10</v>
      </c>
      <c r="D1313" s="28" t="s">
        <v>655</v>
      </c>
      <c r="E1313" s="28"/>
      <c r="F1313" s="28">
        <v>20</v>
      </c>
      <c r="G1313" s="28"/>
      <c r="H1313" s="28">
        <v>0</v>
      </c>
      <c r="J1313" s="28"/>
    </row>
    <row r="1314" spans="1:10" ht="15.75" customHeight="1">
      <c r="A1314" s="28">
        <v>18963</v>
      </c>
      <c r="B1314" s="91">
        <v>45086.567337962959</v>
      </c>
      <c r="C1314" s="28" t="s">
        <v>10</v>
      </c>
      <c r="D1314" s="28" t="s">
        <v>656</v>
      </c>
      <c r="E1314" s="28"/>
      <c r="F1314" s="28">
        <v>20</v>
      </c>
      <c r="G1314" s="28" t="s">
        <v>261</v>
      </c>
      <c r="H1314" s="28">
        <v>0</v>
      </c>
      <c r="J1314" s="28"/>
    </row>
    <row r="1315" spans="1:10" ht="15.75" customHeight="1">
      <c r="A1315" s="28">
        <v>18962</v>
      </c>
      <c r="B1315" s="91">
        <v>45086.563402777778</v>
      </c>
      <c r="C1315" s="28" t="s">
        <v>10</v>
      </c>
      <c r="D1315" s="28" t="s">
        <v>656</v>
      </c>
      <c r="E1315" s="28"/>
      <c r="F1315" s="28">
        <v>25</v>
      </c>
      <c r="G1315" s="28">
        <v>100692</v>
      </c>
      <c r="H1315" s="28">
        <v>0</v>
      </c>
      <c r="J1315" s="28"/>
    </row>
    <row r="1316" spans="1:10" ht="15.75" customHeight="1">
      <c r="A1316" s="28">
        <v>18962</v>
      </c>
      <c r="B1316" s="91">
        <v>45086.563402777778</v>
      </c>
      <c r="C1316" s="28" t="s">
        <v>10</v>
      </c>
      <c r="D1316" s="28" t="s">
        <v>656</v>
      </c>
      <c r="E1316" s="28"/>
      <c r="F1316" s="28">
        <v>0</v>
      </c>
      <c r="G1316" s="28" t="s">
        <v>125</v>
      </c>
      <c r="H1316" s="28">
        <v>0</v>
      </c>
      <c r="J1316" s="28"/>
    </row>
    <row r="1317" spans="1:10" ht="15.75" customHeight="1">
      <c r="A1317" s="28">
        <v>18962</v>
      </c>
      <c r="B1317" s="91">
        <v>45086.563402777778</v>
      </c>
      <c r="C1317" s="28" t="s">
        <v>10</v>
      </c>
      <c r="D1317" s="28" t="s">
        <v>656</v>
      </c>
      <c r="E1317" s="28"/>
      <c r="F1317" s="28">
        <v>0</v>
      </c>
      <c r="G1317" s="28" t="s">
        <v>119</v>
      </c>
      <c r="H1317" s="28">
        <v>0</v>
      </c>
      <c r="J1317" s="28"/>
    </row>
    <row r="1318" spans="1:10" ht="15.75" customHeight="1">
      <c r="A1318" s="28">
        <v>18961</v>
      </c>
      <c r="B1318" s="91">
        <v>45086.174884259264</v>
      </c>
      <c r="C1318" s="28" t="s">
        <v>10</v>
      </c>
      <c r="D1318" s="28" t="s">
        <v>657</v>
      </c>
      <c r="E1318" s="28"/>
      <c r="F1318" s="28">
        <v>26</v>
      </c>
      <c r="G1318" s="28" t="s">
        <v>122</v>
      </c>
      <c r="H1318" s="28">
        <v>0</v>
      </c>
      <c r="J1318" s="28"/>
    </row>
    <row r="1319" spans="1:10" ht="15.75" customHeight="1">
      <c r="A1319" s="28">
        <v>18960</v>
      </c>
      <c r="B1319" s="91">
        <v>45086.17324074074</v>
      </c>
      <c r="C1319" s="28" t="s">
        <v>10</v>
      </c>
      <c r="D1319" s="28" t="s">
        <v>658</v>
      </c>
      <c r="E1319" s="28"/>
      <c r="F1319" s="28">
        <v>26</v>
      </c>
      <c r="G1319" s="28" t="s">
        <v>122</v>
      </c>
      <c r="H1319" s="28">
        <v>0</v>
      </c>
      <c r="J1319" s="28"/>
    </row>
    <row r="1320" spans="1:10" ht="15.75" customHeight="1">
      <c r="A1320" s="28">
        <v>18959</v>
      </c>
      <c r="B1320" s="91">
        <v>45086.089513888888</v>
      </c>
      <c r="C1320" s="28" t="s">
        <v>10</v>
      </c>
      <c r="D1320" s="28" t="s">
        <v>659</v>
      </c>
      <c r="E1320" s="28"/>
      <c r="F1320" s="28">
        <v>20</v>
      </c>
      <c r="G1320" s="28" t="s">
        <v>148</v>
      </c>
      <c r="H1320" s="28">
        <v>0</v>
      </c>
      <c r="J1320" s="28"/>
    </row>
    <row r="1321" spans="1:10" ht="15.75" customHeight="1">
      <c r="A1321" s="28">
        <v>18959</v>
      </c>
      <c r="B1321" s="91">
        <v>45086.089513888888</v>
      </c>
      <c r="C1321" s="28" t="s">
        <v>10</v>
      </c>
      <c r="D1321" s="28" t="s">
        <v>659</v>
      </c>
      <c r="E1321" s="28"/>
      <c r="F1321" s="28">
        <v>28</v>
      </c>
      <c r="G1321" s="28" t="s">
        <v>143</v>
      </c>
      <c r="H1321" s="28">
        <v>0</v>
      </c>
      <c r="J1321" s="28"/>
    </row>
    <row r="1322" spans="1:10" ht="15.75" customHeight="1">
      <c r="A1322" s="28">
        <v>18958</v>
      </c>
      <c r="B1322" s="91">
        <v>45085.996261574073</v>
      </c>
      <c r="C1322" s="28" t="s">
        <v>10</v>
      </c>
      <c r="D1322" s="28" t="s">
        <v>660</v>
      </c>
      <c r="E1322" s="28"/>
      <c r="F1322" s="28">
        <v>20</v>
      </c>
      <c r="G1322" s="28" t="s">
        <v>121</v>
      </c>
      <c r="H1322" s="28">
        <v>0</v>
      </c>
      <c r="J1322" s="28"/>
    </row>
    <row r="1323" spans="1:10" ht="15.75" customHeight="1">
      <c r="A1323" s="28">
        <v>18958</v>
      </c>
      <c r="B1323" s="91">
        <v>45085.996261574073</v>
      </c>
      <c r="C1323" s="28" t="s">
        <v>10</v>
      </c>
      <c r="D1323" s="28" t="s">
        <v>660</v>
      </c>
      <c r="E1323" s="28"/>
      <c r="F1323" s="28">
        <v>22</v>
      </c>
      <c r="G1323" s="28" t="s">
        <v>137</v>
      </c>
      <c r="H1323" s="28">
        <v>0</v>
      </c>
      <c r="J1323" s="28"/>
    </row>
    <row r="1324" spans="1:10" ht="15.75" customHeight="1">
      <c r="A1324" s="28">
        <v>18957</v>
      </c>
      <c r="B1324" s="91">
        <v>45085.991724537038</v>
      </c>
      <c r="C1324" s="28" t="s">
        <v>10</v>
      </c>
      <c r="D1324" s="28" t="s">
        <v>661</v>
      </c>
      <c r="E1324" s="28"/>
      <c r="F1324" s="28">
        <v>20</v>
      </c>
      <c r="G1324" s="28" t="s">
        <v>121</v>
      </c>
      <c r="H1324" s="28">
        <v>0</v>
      </c>
      <c r="J1324" s="28"/>
    </row>
    <row r="1325" spans="1:10" ht="15.75" customHeight="1">
      <c r="A1325" s="28">
        <v>18957</v>
      </c>
      <c r="B1325" s="91">
        <v>45085.991724537038</v>
      </c>
      <c r="C1325" s="28" t="s">
        <v>10</v>
      </c>
      <c r="D1325" s="28" t="s">
        <v>661</v>
      </c>
      <c r="E1325" s="28"/>
      <c r="F1325" s="28">
        <v>22</v>
      </c>
      <c r="G1325" s="28" t="s">
        <v>137</v>
      </c>
      <c r="H1325" s="28">
        <v>0</v>
      </c>
      <c r="J1325" s="28"/>
    </row>
    <row r="1326" spans="1:10" ht="15.75" customHeight="1">
      <c r="A1326" s="28">
        <v>18956</v>
      </c>
      <c r="B1326" s="91">
        <v>45085.852476851855</v>
      </c>
      <c r="C1326" s="28" t="s">
        <v>10</v>
      </c>
      <c r="D1326" s="28" t="s">
        <v>661</v>
      </c>
      <c r="E1326" s="28"/>
      <c r="F1326" s="28">
        <v>22</v>
      </c>
      <c r="G1326" s="28" t="s">
        <v>137</v>
      </c>
      <c r="H1326" s="28">
        <v>0</v>
      </c>
      <c r="J1326" s="28"/>
    </row>
    <row r="1327" spans="1:10" ht="15.75" customHeight="1">
      <c r="A1327" s="28">
        <v>18955</v>
      </c>
      <c r="B1327" s="91">
        <v>45085.846018518518</v>
      </c>
      <c r="C1327" s="28" t="s">
        <v>10</v>
      </c>
      <c r="D1327" s="28" t="s">
        <v>660</v>
      </c>
      <c r="E1327" s="28"/>
      <c r="F1327" s="28">
        <v>20</v>
      </c>
      <c r="G1327" s="28" t="s">
        <v>205</v>
      </c>
      <c r="H1327" s="28">
        <v>0</v>
      </c>
      <c r="J1327" s="28"/>
    </row>
    <row r="1328" spans="1:10" ht="15.75" customHeight="1">
      <c r="A1328" s="28">
        <v>18955</v>
      </c>
      <c r="B1328" s="91">
        <v>45085.846018518518</v>
      </c>
      <c r="C1328" s="28" t="s">
        <v>10</v>
      </c>
      <c r="D1328" s="28" t="s">
        <v>660</v>
      </c>
      <c r="E1328" s="28"/>
      <c r="F1328" s="28">
        <v>0</v>
      </c>
      <c r="G1328" s="28" t="s">
        <v>125</v>
      </c>
      <c r="H1328" s="28">
        <v>0</v>
      </c>
      <c r="J1328" s="28"/>
    </row>
    <row r="1329" spans="1:10" ht="15.75" customHeight="1">
      <c r="A1329" s="28">
        <v>18955</v>
      </c>
      <c r="B1329" s="91">
        <v>45085.846018518518</v>
      </c>
      <c r="C1329" s="28" t="s">
        <v>10</v>
      </c>
      <c r="D1329" s="28" t="s">
        <v>660</v>
      </c>
      <c r="E1329" s="28"/>
      <c r="F1329" s="28">
        <v>22</v>
      </c>
      <c r="G1329" s="28" t="s">
        <v>137</v>
      </c>
      <c r="H1329" s="28">
        <v>0</v>
      </c>
      <c r="J1329" s="28"/>
    </row>
    <row r="1330" spans="1:10" ht="15.75" customHeight="1">
      <c r="A1330" s="28">
        <v>18954</v>
      </c>
      <c r="B1330" s="91">
        <v>45085.084537037037</v>
      </c>
      <c r="C1330" s="28" t="s">
        <v>10</v>
      </c>
      <c r="D1330" s="28" t="s">
        <v>662</v>
      </c>
      <c r="E1330" s="28"/>
      <c r="F1330" s="28">
        <v>28</v>
      </c>
      <c r="G1330" s="28" t="s">
        <v>143</v>
      </c>
      <c r="H1330" s="28">
        <v>0</v>
      </c>
      <c r="J1330" s="28"/>
    </row>
    <row r="1331" spans="1:10" ht="15.75" customHeight="1">
      <c r="A1331" s="28">
        <v>18953</v>
      </c>
      <c r="B1331" s="91">
        <v>45085.052534722221</v>
      </c>
      <c r="C1331" s="28" t="s">
        <v>10</v>
      </c>
      <c r="D1331" s="28" t="s">
        <v>663</v>
      </c>
      <c r="E1331" s="28"/>
      <c r="F1331" s="28">
        <v>20</v>
      </c>
      <c r="G1331" s="28"/>
      <c r="H1331" s="28">
        <v>0</v>
      </c>
      <c r="J1331" s="28"/>
    </row>
    <row r="1332" spans="1:10" ht="15.75" customHeight="1">
      <c r="A1332" s="28">
        <v>18952</v>
      </c>
      <c r="B1332" s="91">
        <v>45085.050636574073</v>
      </c>
      <c r="C1332" s="28" t="s">
        <v>10</v>
      </c>
      <c r="D1332" s="28" t="s">
        <v>664</v>
      </c>
      <c r="E1332" s="28"/>
      <c r="F1332" s="28">
        <v>20</v>
      </c>
      <c r="G1332" s="28" t="s">
        <v>205</v>
      </c>
      <c r="H1332" s="28">
        <v>0</v>
      </c>
      <c r="J1332" s="28"/>
    </row>
    <row r="1333" spans="1:10" ht="15.75" customHeight="1">
      <c r="A1333" s="28">
        <v>18952</v>
      </c>
      <c r="B1333" s="91">
        <v>45085.050636574073</v>
      </c>
      <c r="C1333" s="28" t="s">
        <v>10</v>
      </c>
      <c r="D1333" s="28" t="s">
        <v>664</v>
      </c>
      <c r="E1333" s="28"/>
      <c r="F1333" s="28">
        <v>0</v>
      </c>
      <c r="G1333" s="28" t="s">
        <v>125</v>
      </c>
      <c r="H1333" s="28">
        <v>0</v>
      </c>
      <c r="J1333" s="28"/>
    </row>
    <row r="1334" spans="1:10" ht="15.75" customHeight="1">
      <c r="A1334" s="28">
        <v>18952</v>
      </c>
      <c r="B1334" s="91">
        <v>45085.050636574073</v>
      </c>
      <c r="C1334" s="28" t="s">
        <v>10</v>
      </c>
      <c r="D1334" s="28" t="s">
        <v>664</v>
      </c>
      <c r="E1334" s="28"/>
      <c r="F1334" s="28">
        <v>20</v>
      </c>
      <c r="G1334" s="28"/>
      <c r="H1334" s="28">
        <v>0</v>
      </c>
      <c r="J1334" s="28"/>
    </row>
    <row r="1335" spans="1:10" ht="15.75" customHeight="1">
      <c r="A1335" s="28">
        <v>18951</v>
      </c>
      <c r="B1335" s="91">
        <v>45085.041273148148</v>
      </c>
      <c r="C1335" s="28" t="s">
        <v>10</v>
      </c>
      <c r="D1335" s="28" t="s">
        <v>665</v>
      </c>
      <c r="E1335" s="28"/>
      <c r="F1335" s="28">
        <v>28</v>
      </c>
      <c r="G1335" s="28" t="s">
        <v>143</v>
      </c>
      <c r="H1335" s="28">
        <v>0</v>
      </c>
      <c r="J1335" s="28"/>
    </row>
    <row r="1336" spans="1:10" ht="15.75" customHeight="1">
      <c r="A1336" s="28">
        <v>18950</v>
      </c>
      <c r="B1336" s="91">
        <v>45084.980509259258</v>
      </c>
      <c r="C1336" s="28" t="s">
        <v>10</v>
      </c>
      <c r="D1336" s="28" t="s">
        <v>666</v>
      </c>
      <c r="E1336" s="28"/>
      <c r="F1336" s="28">
        <v>25</v>
      </c>
      <c r="G1336" s="28">
        <v>100692</v>
      </c>
      <c r="H1336" s="28">
        <v>0</v>
      </c>
      <c r="J1336" s="28"/>
    </row>
    <row r="1337" spans="1:10" ht="15.75" customHeight="1">
      <c r="A1337" s="28">
        <v>18950</v>
      </c>
      <c r="B1337" s="91">
        <v>45084.980509259258</v>
      </c>
      <c r="C1337" s="28" t="s">
        <v>10</v>
      </c>
      <c r="D1337" s="28" t="s">
        <v>666</v>
      </c>
      <c r="E1337" s="28"/>
      <c r="F1337" s="28">
        <v>0</v>
      </c>
      <c r="G1337" s="28" t="s">
        <v>125</v>
      </c>
      <c r="H1337" s="28">
        <v>0</v>
      </c>
      <c r="J1337" s="28"/>
    </row>
    <row r="1338" spans="1:10" ht="15.75" customHeight="1">
      <c r="A1338" s="28">
        <v>18950</v>
      </c>
      <c r="B1338" s="91">
        <v>45084.980509259258</v>
      </c>
      <c r="C1338" s="28" t="s">
        <v>10</v>
      </c>
      <c r="D1338" s="28" t="s">
        <v>666</v>
      </c>
      <c r="E1338" s="28"/>
      <c r="F1338" s="28">
        <v>0</v>
      </c>
      <c r="G1338" s="28" t="s">
        <v>119</v>
      </c>
      <c r="H1338" s="28">
        <v>0</v>
      </c>
      <c r="J1338" s="28"/>
    </row>
    <row r="1339" spans="1:10" ht="15.75" customHeight="1">
      <c r="A1339" s="28">
        <v>18950</v>
      </c>
      <c r="B1339" s="91">
        <v>45084.980509259258</v>
      </c>
      <c r="C1339" s="28" t="s">
        <v>10</v>
      </c>
      <c r="D1339" s="28" t="s">
        <v>666</v>
      </c>
      <c r="E1339" s="28"/>
      <c r="F1339" s="28">
        <v>28</v>
      </c>
      <c r="G1339" s="28" t="s">
        <v>143</v>
      </c>
      <c r="H1339" s="28">
        <v>0</v>
      </c>
      <c r="J1339" s="28"/>
    </row>
    <row r="1340" spans="1:10" ht="15.75" customHeight="1">
      <c r="A1340" s="28">
        <v>18949</v>
      </c>
      <c r="B1340" s="91">
        <v>45084.978645833333</v>
      </c>
      <c r="C1340" s="28" t="s">
        <v>10</v>
      </c>
      <c r="D1340" s="28" t="s">
        <v>667</v>
      </c>
      <c r="E1340" s="28"/>
      <c r="F1340" s="28">
        <v>28</v>
      </c>
      <c r="G1340" s="28" t="s">
        <v>143</v>
      </c>
      <c r="H1340" s="28">
        <v>0</v>
      </c>
      <c r="J1340" s="28"/>
    </row>
    <row r="1341" spans="1:10" ht="15.75" customHeight="1">
      <c r="A1341" s="28">
        <v>18949</v>
      </c>
      <c r="B1341" s="91">
        <v>45084.978645833333</v>
      </c>
      <c r="C1341" s="28" t="s">
        <v>10</v>
      </c>
      <c r="D1341" s="28" t="s">
        <v>667</v>
      </c>
      <c r="E1341" s="28"/>
      <c r="F1341" s="28">
        <v>25</v>
      </c>
      <c r="G1341" s="28">
        <v>100692</v>
      </c>
      <c r="H1341" s="28">
        <v>0</v>
      </c>
      <c r="J1341" s="28"/>
    </row>
    <row r="1342" spans="1:10" ht="15.75" customHeight="1">
      <c r="A1342" s="28">
        <v>18949</v>
      </c>
      <c r="B1342" s="91">
        <v>45084.978645833333</v>
      </c>
      <c r="C1342" s="28" t="s">
        <v>10</v>
      </c>
      <c r="D1342" s="28" t="s">
        <v>667</v>
      </c>
      <c r="E1342" s="28"/>
      <c r="F1342" s="28">
        <v>0</v>
      </c>
      <c r="G1342" s="28" t="s">
        <v>125</v>
      </c>
      <c r="H1342" s="28">
        <v>0</v>
      </c>
      <c r="J1342" s="28"/>
    </row>
    <row r="1343" spans="1:10" ht="15.75" customHeight="1">
      <c r="A1343" s="28">
        <v>18949</v>
      </c>
      <c r="B1343" s="91">
        <v>45084.978645833333</v>
      </c>
      <c r="C1343" s="28" t="s">
        <v>10</v>
      </c>
      <c r="D1343" s="28" t="s">
        <v>667</v>
      </c>
      <c r="E1343" s="28"/>
      <c r="F1343" s="28">
        <v>0</v>
      </c>
      <c r="G1343" s="28" t="s">
        <v>119</v>
      </c>
      <c r="H1343" s="28">
        <v>0</v>
      </c>
      <c r="J1343" s="28"/>
    </row>
    <row r="1344" spans="1:10" ht="15.75" customHeight="1">
      <c r="A1344" s="28">
        <v>18948</v>
      </c>
      <c r="B1344" s="91">
        <v>45084.956863425927</v>
      </c>
      <c r="C1344" s="28" t="s">
        <v>10</v>
      </c>
      <c r="D1344" s="28" t="s">
        <v>668</v>
      </c>
      <c r="E1344" s="28"/>
      <c r="F1344" s="28">
        <v>30</v>
      </c>
      <c r="G1344" s="28" t="s">
        <v>125</v>
      </c>
      <c r="H1344" s="28">
        <v>0</v>
      </c>
      <c r="J1344" s="28"/>
    </row>
    <row r="1345" spans="1:10" ht="15.75" customHeight="1">
      <c r="A1345" s="28">
        <v>18947</v>
      </c>
      <c r="B1345" s="91">
        <v>45084.955613425926</v>
      </c>
      <c r="C1345" s="28" t="s">
        <v>10</v>
      </c>
      <c r="D1345" s="28" t="s">
        <v>155</v>
      </c>
      <c r="E1345" s="28"/>
      <c r="F1345" s="28">
        <v>35</v>
      </c>
      <c r="G1345" s="28" t="s">
        <v>124</v>
      </c>
      <c r="H1345" s="28">
        <v>0</v>
      </c>
      <c r="J1345" s="28"/>
    </row>
    <row r="1346" spans="1:10" ht="15.75" customHeight="1">
      <c r="A1346" s="28">
        <v>18947</v>
      </c>
      <c r="B1346" s="91">
        <v>45084.955613425926</v>
      </c>
      <c r="C1346" s="28" t="s">
        <v>10</v>
      </c>
      <c r="D1346" s="28" t="s">
        <v>155</v>
      </c>
      <c r="E1346" s="28"/>
      <c r="F1346" s="28">
        <v>0</v>
      </c>
      <c r="G1346" s="28" t="s">
        <v>125</v>
      </c>
      <c r="H1346" s="28">
        <v>0</v>
      </c>
      <c r="J1346" s="28"/>
    </row>
    <row r="1347" spans="1:10" ht="15.75" customHeight="1">
      <c r="A1347" s="28">
        <v>18947</v>
      </c>
      <c r="B1347" s="91">
        <v>45084.955613425926</v>
      </c>
      <c r="C1347" s="28" t="s">
        <v>10</v>
      </c>
      <c r="D1347" s="28" t="s">
        <v>155</v>
      </c>
      <c r="E1347" s="28"/>
      <c r="F1347" s="28">
        <v>0</v>
      </c>
      <c r="G1347" s="28" t="s">
        <v>119</v>
      </c>
      <c r="H1347" s="28">
        <v>0</v>
      </c>
      <c r="J1347" s="28"/>
    </row>
    <row r="1348" spans="1:10" ht="15.75" customHeight="1">
      <c r="A1348" s="28">
        <v>18947</v>
      </c>
      <c r="B1348" s="91">
        <v>45084.955613425926</v>
      </c>
      <c r="C1348" s="28" t="s">
        <v>10</v>
      </c>
      <c r="D1348" s="28" t="s">
        <v>155</v>
      </c>
      <c r="E1348" s="28"/>
      <c r="F1348" s="28">
        <v>0</v>
      </c>
      <c r="G1348" s="28" t="s">
        <v>121</v>
      </c>
      <c r="H1348" s="28">
        <v>0</v>
      </c>
      <c r="J1348" s="28"/>
    </row>
    <row r="1349" spans="1:10" ht="15.75" customHeight="1">
      <c r="A1349" s="28">
        <v>18947</v>
      </c>
      <c r="B1349" s="91">
        <v>45084.955613425926</v>
      </c>
      <c r="C1349" s="28" t="s">
        <v>10</v>
      </c>
      <c r="D1349" s="28" t="s">
        <v>155</v>
      </c>
      <c r="E1349" s="28"/>
      <c r="F1349" s="28">
        <v>20</v>
      </c>
      <c r="G1349" s="28"/>
      <c r="H1349" s="28">
        <v>0</v>
      </c>
      <c r="J1349" s="28"/>
    </row>
    <row r="1350" spans="1:10" ht="15.75" customHeight="1">
      <c r="A1350" s="28">
        <v>18946</v>
      </c>
      <c r="B1350" s="91">
        <v>45084.953020833331</v>
      </c>
      <c r="C1350" s="28" t="s">
        <v>10</v>
      </c>
      <c r="D1350" s="28" t="s">
        <v>669</v>
      </c>
      <c r="E1350" s="28"/>
      <c r="F1350" s="28">
        <v>55</v>
      </c>
      <c r="G1350" s="28">
        <v>101684</v>
      </c>
      <c r="H1350" s="28">
        <v>0</v>
      </c>
      <c r="J1350" s="28"/>
    </row>
    <row r="1351" spans="1:10" ht="15.75" customHeight="1">
      <c r="A1351" s="28">
        <v>18946</v>
      </c>
      <c r="B1351" s="91">
        <v>45084.953020833331</v>
      </c>
      <c r="C1351" s="28" t="s">
        <v>10</v>
      </c>
      <c r="D1351" s="28" t="s">
        <v>669</v>
      </c>
      <c r="E1351" s="28"/>
      <c r="F1351" s="28">
        <v>0</v>
      </c>
      <c r="G1351" s="28" t="s">
        <v>118</v>
      </c>
      <c r="H1351" s="28">
        <v>0</v>
      </c>
      <c r="J1351" s="28"/>
    </row>
    <row r="1352" spans="1:10" ht="15.75" customHeight="1">
      <c r="A1352" s="28">
        <v>18946</v>
      </c>
      <c r="B1352" s="91">
        <v>45084.953020833331</v>
      </c>
      <c r="C1352" s="28" t="s">
        <v>10</v>
      </c>
      <c r="D1352" s="28" t="s">
        <v>669</v>
      </c>
      <c r="E1352" s="28"/>
      <c r="F1352" s="28">
        <v>0</v>
      </c>
      <c r="G1352" s="28" t="s">
        <v>119</v>
      </c>
      <c r="H1352" s="28">
        <v>0</v>
      </c>
      <c r="J1352" s="28"/>
    </row>
    <row r="1353" spans="1:10" ht="15.75" customHeight="1">
      <c r="A1353" s="28">
        <v>18946</v>
      </c>
      <c r="B1353" s="91">
        <v>45084.953020833331</v>
      </c>
      <c r="C1353" s="28" t="s">
        <v>10</v>
      </c>
      <c r="D1353" s="28" t="s">
        <v>669</v>
      </c>
      <c r="E1353" s="28"/>
      <c r="F1353" s="28">
        <v>0</v>
      </c>
      <c r="G1353" s="28" t="s">
        <v>120</v>
      </c>
      <c r="H1353" s="28">
        <v>0</v>
      </c>
      <c r="J1353" s="28"/>
    </row>
    <row r="1354" spans="1:10" ht="15.75" customHeight="1">
      <c r="A1354" s="28">
        <v>18946</v>
      </c>
      <c r="B1354" s="91">
        <v>45084.953020833331</v>
      </c>
      <c r="C1354" s="28" t="s">
        <v>10</v>
      </c>
      <c r="D1354" s="28" t="s">
        <v>669</v>
      </c>
      <c r="E1354" s="28"/>
      <c r="F1354" s="28">
        <v>0</v>
      </c>
      <c r="G1354" s="28" t="s">
        <v>121</v>
      </c>
      <c r="H1354" s="28">
        <v>0</v>
      </c>
      <c r="J1354" s="28"/>
    </row>
    <row r="1355" spans="1:10" ht="15.75" customHeight="1">
      <c r="A1355" s="28">
        <v>18945</v>
      </c>
      <c r="B1355" s="91">
        <v>45084.952893518523</v>
      </c>
      <c r="C1355" s="28" t="s">
        <v>10</v>
      </c>
      <c r="D1355" s="28" t="s">
        <v>670</v>
      </c>
      <c r="E1355" s="28"/>
      <c r="F1355" s="28">
        <v>15</v>
      </c>
      <c r="G1355" s="28" t="s">
        <v>125</v>
      </c>
      <c r="H1355" s="28">
        <v>0</v>
      </c>
      <c r="J1355" s="28"/>
    </row>
    <row r="1356" spans="1:10" ht="15.75" customHeight="1">
      <c r="A1356" s="28">
        <v>18944</v>
      </c>
      <c r="B1356" s="91">
        <v>45084.837199074071</v>
      </c>
      <c r="C1356" s="28" t="s">
        <v>10</v>
      </c>
      <c r="D1356" s="28" t="s">
        <v>671</v>
      </c>
      <c r="E1356" s="28"/>
      <c r="F1356" s="28">
        <v>25</v>
      </c>
      <c r="G1356" s="28">
        <v>100692</v>
      </c>
      <c r="H1356" s="28">
        <v>0</v>
      </c>
      <c r="J1356" s="28"/>
    </row>
    <row r="1357" spans="1:10" ht="15.75" customHeight="1">
      <c r="A1357" s="28">
        <v>18944</v>
      </c>
      <c r="B1357" s="91">
        <v>45084.837199074071</v>
      </c>
      <c r="C1357" s="28" t="s">
        <v>10</v>
      </c>
      <c r="D1357" s="28" t="s">
        <v>671</v>
      </c>
      <c r="E1357" s="28"/>
      <c r="F1357" s="28">
        <v>0</v>
      </c>
      <c r="G1357" s="28" t="s">
        <v>125</v>
      </c>
      <c r="H1357" s="28">
        <v>0</v>
      </c>
      <c r="J1357" s="28"/>
    </row>
    <row r="1358" spans="1:10" ht="15.75" customHeight="1">
      <c r="A1358" s="28">
        <v>18944</v>
      </c>
      <c r="B1358" s="91">
        <v>45084.837199074071</v>
      </c>
      <c r="C1358" s="28" t="s">
        <v>10</v>
      </c>
      <c r="D1358" s="28" t="s">
        <v>671</v>
      </c>
      <c r="E1358" s="28"/>
      <c r="F1358" s="28">
        <v>0</v>
      </c>
      <c r="G1358" s="28" t="s">
        <v>119</v>
      </c>
      <c r="H1358" s="28">
        <v>0</v>
      </c>
      <c r="J1358" s="28"/>
    </row>
    <row r="1359" spans="1:10" ht="15.75" customHeight="1">
      <c r="A1359" s="28">
        <v>18943</v>
      </c>
      <c r="B1359" s="91">
        <v>45084.699733796297</v>
      </c>
      <c r="C1359" s="28" t="s">
        <v>10</v>
      </c>
      <c r="D1359" s="28" t="s">
        <v>672</v>
      </c>
      <c r="E1359" s="28"/>
      <c r="F1359" s="28">
        <v>0</v>
      </c>
      <c r="G1359" s="28" t="s">
        <v>117</v>
      </c>
      <c r="H1359" s="28">
        <v>0</v>
      </c>
      <c r="J1359" s="28"/>
    </row>
    <row r="1360" spans="1:10" ht="15.75" customHeight="1">
      <c r="A1360" s="28">
        <v>18943</v>
      </c>
      <c r="B1360" s="91">
        <v>45084.699733796297</v>
      </c>
      <c r="C1360" s="28" t="s">
        <v>10</v>
      </c>
      <c r="D1360" s="28" t="s">
        <v>672</v>
      </c>
      <c r="E1360" s="28"/>
      <c r="F1360" s="28">
        <v>20</v>
      </c>
      <c r="G1360" s="28"/>
      <c r="H1360" s="28">
        <v>0</v>
      </c>
      <c r="J1360" s="28"/>
    </row>
    <row r="1361" spans="1:10" ht="15.75" customHeight="1">
      <c r="A1361" s="28">
        <v>18942</v>
      </c>
      <c r="B1361" s="91">
        <v>45084.696018518516</v>
      </c>
      <c r="C1361" s="28" t="s">
        <v>10</v>
      </c>
      <c r="D1361" s="28" t="s">
        <v>209</v>
      </c>
      <c r="E1361" s="28"/>
      <c r="F1361" s="28">
        <v>28</v>
      </c>
      <c r="G1361" s="28" t="s">
        <v>143</v>
      </c>
      <c r="H1361" s="28">
        <v>0</v>
      </c>
      <c r="J1361" s="28"/>
    </row>
    <row r="1362" spans="1:10" ht="15.75" customHeight="1">
      <c r="A1362" s="28">
        <v>18941</v>
      </c>
      <c r="B1362" s="91">
        <v>45084.653819444444</v>
      </c>
      <c r="C1362" s="28" t="s">
        <v>10</v>
      </c>
      <c r="D1362" s="28" t="s">
        <v>673</v>
      </c>
      <c r="E1362" s="28"/>
      <c r="F1362" s="28">
        <v>25</v>
      </c>
      <c r="G1362" s="28">
        <v>100692</v>
      </c>
      <c r="H1362" s="28">
        <v>0</v>
      </c>
      <c r="J1362" s="28"/>
    </row>
    <row r="1363" spans="1:10" ht="15.75" customHeight="1">
      <c r="A1363" s="28">
        <v>18941</v>
      </c>
      <c r="B1363" s="91">
        <v>45084.653819444444</v>
      </c>
      <c r="C1363" s="28" t="s">
        <v>10</v>
      </c>
      <c r="D1363" s="28" t="s">
        <v>673</v>
      </c>
      <c r="E1363" s="28"/>
      <c r="F1363" s="28">
        <v>0</v>
      </c>
      <c r="G1363" s="28" t="s">
        <v>125</v>
      </c>
      <c r="H1363" s="28">
        <v>0</v>
      </c>
      <c r="J1363" s="28"/>
    </row>
    <row r="1364" spans="1:10" ht="15.75" customHeight="1">
      <c r="A1364" s="28">
        <v>18941</v>
      </c>
      <c r="B1364" s="91">
        <v>45084.653819444444</v>
      </c>
      <c r="C1364" s="28" t="s">
        <v>10</v>
      </c>
      <c r="D1364" s="28" t="s">
        <v>673</v>
      </c>
      <c r="E1364" s="28"/>
      <c r="F1364" s="28">
        <v>0</v>
      </c>
      <c r="G1364" s="28" t="s">
        <v>119</v>
      </c>
      <c r="H1364" s="28">
        <v>0</v>
      </c>
      <c r="J1364" s="28"/>
    </row>
    <row r="1365" spans="1:10" ht="15.75" customHeight="1">
      <c r="A1365" s="28">
        <v>18940</v>
      </c>
      <c r="B1365" s="91">
        <v>45084.653055555551</v>
      </c>
      <c r="C1365" s="28" t="s">
        <v>10</v>
      </c>
      <c r="D1365" s="28" t="s">
        <v>674</v>
      </c>
      <c r="E1365" s="28"/>
      <c r="F1365" s="28">
        <v>28</v>
      </c>
      <c r="G1365" s="28" t="s">
        <v>143</v>
      </c>
      <c r="H1365" s="28">
        <v>0</v>
      </c>
      <c r="J1365" s="28"/>
    </row>
    <row r="1366" spans="1:10" ht="15.75" customHeight="1">
      <c r="A1366" s="28">
        <v>18939</v>
      </c>
      <c r="B1366" s="91">
        <v>45084.618333333332</v>
      </c>
      <c r="C1366" s="28" t="s">
        <v>10</v>
      </c>
      <c r="D1366" s="28" t="s">
        <v>675</v>
      </c>
      <c r="E1366" s="28"/>
      <c r="F1366" s="28">
        <v>22</v>
      </c>
      <c r="G1366" s="28" t="s">
        <v>137</v>
      </c>
      <c r="H1366" s="28">
        <v>0</v>
      </c>
      <c r="J1366" s="28"/>
    </row>
    <row r="1367" spans="1:10" ht="15.75" customHeight="1">
      <c r="A1367" s="28">
        <v>18938</v>
      </c>
      <c r="B1367" s="91">
        <v>45084.55878472222</v>
      </c>
      <c r="C1367" s="28" t="s">
        <v>10</v>
      </c>
      <c r="D1367" s="28" t="s">
        <v>676</v>
      </c>
      <c r="E1367" s="28"/>
      <c r="F1367" s="28">
        <v>25</v>
      </c>
      <c r="G1367" s="28">
        <v>100692</v>
      </c>
      <c r="H1367" s="28">
        <v>0</v>
      </c>
      <c r="J1367" s="28"/>
    </row>
    <row r="1368" spans="1:10" ht="15.75" customHeight="1">
      <c r="A1368" s="28">
        <v>18938</v>
      </c>
      <c r="B1368" s="91">
        <v>45084.55878472222</v>
      </c>
      <c r="C1368" s="28" t="s">
        <v>10</v>
      </c>
      <c r="D1368" s="28" t="s">
        <v>676</v>
      </c>
      <c r="E1368" s="28"/>
      <c r="F1368" s="28">
        <v>0</v>
      </c>
      <c r="G1368" s="28" t="s">
        <v>125</v>
      </c>
      <c r="H1368" s="28">
        <v>0</v>
      </c>
      <c r="J1368" s="28"/>
    </row>
    <row r="1369" spans="1:10" ht="15.75" customHeight="1">
      <c r="A1369" s="28">
        <v>18938</v>
      </c>
      <c r="B1369" s="91">
        <v>45084.55878472222</v>
      </c>
      <c r="C1369" s="28" t="s">
        <v>10</v>
      </c>
      <c r="D1369" s="28" t="s">
        <v>676</v>
      </c>
      <c r="E1369" s="28"/>
      <c r="F1369" s="28">
        <v>0</v>
      </c>
      <c r="G1369" s="28" t="s">
        <v>119</v>
      </c>
      <c r="H1369" s="28">
        <v>0</v>
      </c>
      <c r="J1369" s="28"/>
    </row>
    <row r="1370" spans="1:10" ht="15.75" customHeight="1">
      <c r="A1370" s="28">
        <v>18938</v>
      </c>
      <c r="B1370" s="91">
        <v>45084.55878472222</v>
      </c>
      <c r="C1370" s="28" t="s">
        <v>10</v>
      </c>
      <c r="D1370" s="28" t="s">
        <v>676</v>
      </c>
      <c r="E1370" s="28"/>
      <c r="F1370" s="28">
        <v>28</v>
      </c>
      <c r="G1370" s="28" t="s">
        <v>143</v>
      </c>
      <c r="H1370" s="28">
        <v>0</v>
      </c>
      <c r="J1370" s="28"/>
    </row>
    <row r="1371" spans="1:10" ht="15.75" customHeight="1">
      <c r="A1371" s="28">
        <v>18938</v>
      </c>
      <c r="B1371" s="91">
        <v>45084.55878472222</v>
      </c>
      <c r="C1371" s="28" t="s">
        <v>10</v>
      </c>
      <c r="D1371" s="28" t="s">
        <v>676</v>
      </c>
      <c r="E1371" s="28"/>
      <c r="F1371" s="28">
        <v>0</v>
      </c>
      <c r="G1371" s="28" t="s">
        <v>117</v>
      </c>
      <c r="H1371" s="28">
        <v>0</v>
      </c>
      <c r="J1371" s="28"/>
    </row>
    <row r="1372" spans="1:10" ht="15.75" customHeight="1">
      <c r="A1372" s="28">
        <v>18937</v>
      </c>
      <c r="B1372" s="91">
        <v>45084.47956018518</v>
      </c>
      <c r="C1372" s="28" t="s">
        <v>10</v>
      </c>
      <c r="D1372" s="28" t="s">
        <v>677</v>
      </c>
      <c r="E1372" s="28"/>
      <c r="F1372" s="28">
        <v>26</v>
      </c>
      <c r="G1372" s="28" t="s">
        <v>122</v>
      </c>
      <c r="H1372" s="28">
        <v>0</v>
      </c>
      <c r="J1372" s="28"/>
    </row>
    <row r="1373" spans="1:10" ht="15.75" customHeight="1">
      <c r="A1373" s="28">
        <v>18937</v>
      </c>
      <c r="B1373" s="91">
        <v>45084.47956018518</v>
      </c>
      <c r="C1373" s="28" t="s">
        <v>10</v>
      </c>
      <c r="D1373" s="28" t="s">
        <v>677</v>
      </c>
      <c r="E1373" s="28"/>
      <c r="F1373" s="28">
        <v>28</v>
      </c>
      <c r="G1373" s="28" t="s">
        <v>143</v>
      </c>
      <c r="H1373" s="28">
        <v>0</v>
      </c>
      <c r="J1373" s="28"/>
    </row>
    <row r="1374" spans="1:10" ht="15.75" customHeight="1">
      <c r="A1374" s="28">
        <v>18936</v>
      </c>
      <c r="B1374" s="91">
        <v>45083.714004629626</v>
      </c>
      <c r="C1374" s="28" t="s">
        <v>10</v>
      </c>
      <c r="D1374" s="28" t="s">
        <v>678</v>
      </c>
      <c r="E1374" s="28"/>
      <c r="F1374" s="28">
        <v>0</v>
      </c>
      <c r="G1374" s="28" t="s">
        <v>117</v>
      </c>
      <c r="H1374" s="28">
        <v>0</v>
      </c>
      <c r="J1374" s="28"/>
    </row>
    <row r="1375" spans="1:10" ht="15.75" customHeight="1">
      <c r="A1375" s="28">
        <v>18936</v>
      </c>
      <c r="B1375" s="91">
        <v>45083.714004629626</v>
      </c>
      <c r="C1375" s="28" t="s">
        <v>10</v>
      </c>
      <c r="D1375" s="28" t="s">
        <v>678</v>
      </c>
      <c r="E1375" s="28"/>
      <c r="F1375" s="28">
        <v>25</v>
      </c>
      <c r="G1375" s="28">
        <v>100692</v>
      </c>
      <c r="H1375" s="28">
        <v>0</v>
      </c>
      <c r="J1375" s="28"/>
    </row>
    <row r="1376" spans="1:10" ht="15.75" customHeight="1">
      <c r="A1376" s="28">
        <v>18936</v>
      </c>
      <c r="B1376" s="91">
        <v>45083.714004629626</v>
      </c>
      <c r="C1376" s="28" t="s">
        <v>10</v>
      </c>
      <c r="D1376" s="28" t="s">
        <v>678</v>
      </c>
      <c r="E1376" s="28"/>
      <c r="F1376" s="28">
        <v>0</v>
      </c>
      <c r="G1376" s="28" t="s">
        <v>125</v>
      </c>
      <c r="H1376" s="28">
        <v>0</v>
      </c>
      <c r="J1376" s="28"/>
    </row>
    <row r="1377" spans="1:10" ht="15.75" customHeight="1">
      <c r="A1377" s="28">
        <v>18936</v>
      </c>
      <c r="B1377" s="91">
        <v>45083.714004629626</v>
      </c>
      <c r="C1377" s="28" t="s">
        <v>10</v>
      </c>
      <c r="D1377" s="28" t="s">
        <v>678</v>
      </c>
      <c r="E1377" s="28"/>
      <c r="F1377" s="28">
        <v>0</v>
      </c>
      <c r="G1377" s="28" t="s">
        <v>119</v>
      </c>
      <c r="H1377" s="28">
        <v>0</v>
      </c>
      <c r="J1377" s="28"/>
    </row>
    <row r="1378" spans="1:10" ht="15.75" customHeight="1">
      <c r="A1378" s="28">
        <v>18935</v>
      </c>
      <c r="B1378" s="91">
        <v>45083.680486111116</v>
      </c>
      <c r="C1378" s="28" t="s">
        <v>10</v>
      </c>
      <c r="D1378" s="28" t="s">
        <v>679</v>
      </c>
      <c r="E1378" s="28"/>
      <c r="F1378" s="28">
        <v>0</v>
      </c>
      <c r="G1378" s="28" t="s">
        <v>117</v>
      </c>
      <c r="H1378" s="28">
        <v>0</v>
      </c>
      <c r="J1378" s="28"/>
    </row>
    <row r="1379" spans="1:10" ht="15.75" customHeight="1">
      <c r="A1379" s="28">
        <v>18935</v>
      </c>
      <c r="B1379" s="91">
        <v>45083.680486111116</v>
      </c>
      <c r="C1379" s="28" t="s">
        <v>10</v>
      </c>
      <c r="D1379" s="28" t="s">
        <v>679</v>
      </c>
      <c r="E1379" s="28"/>
      <c r="F1379" s="28">
        <v>18</v>
      </c>
      <c r="G1379" s="28" t="s">
        <v>119</v>
      </c>
      <c r="H1379" s="28">
        <v>0</v>
      </c>
      <c r="J1379" s="28"/>
    </row>
    <row r="1380" spans="1:10" ht="15.75" customHeight="1">
      <c r="A1380" s="28">
        <v>18934</v>
      </c>
      <c r="B1380" s="91">
        <v>45083.421759259261</v>
      </c>
      <c r="C1380" s="28" t="s">
        <v>10</v>
      </c>
      <c r="D1380" s="28" t="s">
        <v>292</v>
      </c>
      <c r="E1380" s="28"/>
      <c r="F1380" s="28">
        <v>25</v>
      </c>
      <c r="G1380" s="28">
        <v>100692</v>
      </c>
      <c r="H1380" s="28">
        <v>0</v>
      </c>
      <c r="J1380" s="28"/>
    </row>
    <row r="1381" spans="1:10" ht="15.75" customHeight="1">
      <c r="A1381" s="28">
        <v>18934</v>
      </c>
      <c r="B1381" s="91">
        <v>45083.421759259261</v>
      </c>
      <c r="C1381" s="28" t="s">
        <v>10</v>
      </c>
      <c r="D1381" s="28" t="s">
        <v>292</v>
      </c>
      <c r="E1381" s="28"/>
      <c r="F1381" s="28">
        <v>0</v>
      </c>
      <c r="G1381" s="28" t="s">
        <v>125</v>
      </c>
      <c r="H1381" s="28">
        <v>0</v>
      </c>
      <c r="J1381" s="28"/>
    </row>
    <row r="1382" spans="1:10" ht="15.75" customHeight="1">
      <c r="A1382" s="28">
        <v>18934</v>
      </c>
      <c r="B1382" s="91">
        <v>45083.421759259261</v>
      </c>
      <c r="C1382" s="28" t="s">
        <v>10</v>
      </c>
      <c r="D1382" s="28" t="s">
        <v>292</v>
      </c>
      <c r="E1382" s="28"/>
      <c r="F1382" s="28">
        <v>0</v>
      </c>
      <c r="G1382" s="28" t="s">
        <v>119</v>
      </c>
      <c r="H1382" s="28">
        <v>0</v>
      </c>
      <c r="J1382" s="28"/>
    </row>
    <row r="1383" spans="1:10" ht="15.75" customHeight="1">
      <c r="A1383" s="28">
        <v>18933</v>
      </c>
      <c r="B1383" s="91">
        <v>45082.700335648144</v>
      </c>
      <c r="C1383" s="28" t="s">
        <v>10</v>
      </c>
      <c r="D1383" s="28" t="s">
        <v>680</v>
      </c>
      <c r="E1383" s="28"/>
      <c r="F1383" s="28">
        <v>25</v>
      </c>
      <c r="G1383" s="28">
        <v>100692</v>
      </c>
      <c r="H1383" s="28">
        <v>0</v>
      </c>
      <c r="J1383" s="28"/>
    </row>
    <row r="1384" spans="1:10" ht="15.75" customHeight="1">
      <c r="A1384" s="28">
        <v>18933</v>
      </c>
      <c r="B1384" s="91">
        <v>45082.700335648144</v>
      </c>
      <c r="C1384" s="28" t="s">
        <v>10</v>
      </c>
      <c r="D1384" s="28" t="s">
        <v>680</v>
      </c>
      <c r="E1384" s="28"/>
      <c r="F1384" s="28">
        <v>0</v>
      </c>
      <c r="G1384" s="28" t="s">
        <v>125</v>
      </c>
      <c r="H1384" s="28">
        <v>0</v>
      </c>
      <c r="J1384" s="28"/>
    </row>
    <row r="1385" spans="1:10" ht="15.75" customHeight="1">
      <c r="A1385" s="28">
        <v>18933</v>
      </c>
      <c r="B1385" s="91">
        <v>45082.700335648144</v>
      </c>
      <c r="C1385" s="28" t="s">
        <v>10</v>
      </c>
      <c r="D1385" s="28" t="s">
        <v>680</v>
      </c>
      <c r="E1385" s="28"/>
      <c r="F1385" s="28">
        <v>0</v>
      </c>
      <c r="G1385" s="28" t="s">
        <v>119</v>
      </c>
      <c r="H1385" s="28">
        <v>0</v>
      </c>
      <c r="J1385" s="28"/>
    </row>
    <row r="1386" spans="1:10" ht="15.75" customHeight="1">
      <c r="A1386" s="28">
        <v>18932</v>
      </c>
      <c r="B1386" s="91">
        <v>45082.035543981481</v>
      </c>
      <c r="C1386" s="28" t="s">
        <v>10</v>
      </c>
      <c r="D1386" s="28" t="s">
        <v>681</v>
      </c>
      <c r="E1386" s="28"/>
      <c r="F1386" s="28">
        <v>26</v>
      </c>
      <c r="G1386" s="28" t="s">
        <v>122</v>
      </c>
      <c r="H1386" s="28">
        <v>0</v>
      </c>
      <c r="J1386" s="28"/>
    </row>
    <row r="1387" spans="1:10" ht="15.75" customHeight="1">
      <c r="A1387" s="28">
        <v>18931</v>
      </c>
      <c r="B1387" s="91">
        <v>45081.559178240743</v>
      </c>
      <c r="C1387" s="28" t="s">
        <v>10</v>
      </c>
      <c r="D1387" s="28" t="s">
        <v>682</v>
      </c>
      <c r="E1387" s="28"/>
      <c r="F1387" s="28">
        <v>25</v>
      </c>
      <c r="G1387" s="28">
        <v>100692</v>
      </c>
      <c r="H1387" s="28">
        <v>0</v>
      </c>
      <c r="J1387" s="28"/>
    </row>
    <row r="1388" spans="1:10" ht="15.75" customHeight="1">
      <c r="A1388" s="28">
        <v>18931</v>
      </c>
      <c r="B1388" s="91">
        <v>45081.559178240743</v>
      </c>
      <c r="C1388" s="28" t="s">
        <v>10</v>
      </c>
      <c r="D1388" s="28" t="s">
        <v>682</v>
      </c>
      <c r="E1388" s="28"/>
      <c r="F1388" s="28">
        <v>0</v>
      </c>
      <c r="G1388" s="28" t="s">
        <v>125</v>
      </c>
      <c r="H1388" s="28">
        <v>0</v>
      </c>
      <c r="J1388" s="28"/>
    </row>
    <row r="1389" spans="1:10" ht="15.75" customHeight="1">
      <c r="A1389" s="28">
        <v>18931</v>
      </c>
      <c r="B1389" s="91">
        <v>45081.559178240743</v>
      </c>
      <c r="C1389" s="28" t="s">
        <v>10</v>
      </c>
      <c r="D1389" s="28" t="s">
        <v>682</v>
      </c>
      <c r="E1389" s="28"/>
      <c r="F1389" s="28">
        <v>0</v>
      </c>
      <c r="G1389" s="28" t="s">
        <v>119</v>
      </c>
      <c r="H1389" s="28">
        <v>0</v>
      </c>
      <c r="J1389" s="28"/>
    </row>
    <row r="1390" spans="1:10" ht="15.75" customHeight="1">
      <c r="A1390" s="28">
        <v>18930</v>
      </c>
      <c r="B1390" s="91">
        <v>45081.55400462963</v>
      </c>
      <c r="C1390" s="28" t="s">
        <v>10</v>
      </c>
      <c r="D1390" s="28" t="s">
        <v>683</v>
      </c>
      <c r="E1390" s="28"/>
      <c r="F1390" s="28">
        <v>20</v>
      </c>
      <c r="G1390" s="28" t="s">
        <v>121</v>
      </c>
      <c r="H1390" s="28">
        <v>0</v>
      </c>
      <c r="J1390" s="28"/>
    </row>
    <row r="1391" spans="1:10" ht="15.75" customHeight="1">
      <c r="A1391" s="28">
        <v>18930</v>
      </c>
      <c r="B1391" s="91">
        <v>45081.55400462963</v>
      </c>
      <c r="C1391" s="28" t="s">
        <v>10</v>
      </c>
      <c r="D1391" s="28" t="s">
        <v>683</v>
      </c>
      <c r="E1391" s="28"/>
      <c r="F1391" s="28">
        <v>18</v>
      </c>
      <c r="G1391" s="28" t="s">
        <v>457</v>
      </c>
      <c r="H1391" s="28">
        <v>0</v>
      </c>
      <c r="J1391" s="28"/>
    </row>
    <row r="1392" spans="1:10" ht="15.75" customHeight="1">
      <c r="A1392" s="28">
        <v>18929</v>
      </c>
      <c r="B1392" s="91">
        <v>45081.111481481479</v>
      </c>
      <c r="C1392" s="28" t="s">
        <v>10</v>
      </c>
      <c r="D1392" s="28" t="s">
        <v>684</v>
      </c>
      <c r="E1392" s="28"/>
      <c r="F1392" s="28">
        <v>25</v>
      </c>
      <c r="G1392" s="28">
        <v>100692</v>
      </c>
      <c r="H1392" s="28">
        <v>0</v>
      </c>
      <c r="J1392" s="28"/>
    </row>
    <row r="1393" spans="1:10" ht="15.75" customHeight="1">
      <c r="A1393" s="28">
        <v>18929</v>
      </c>
      <c r="B1393" s="91">
        <v>45081.111481481479</v>
      </c>
      <c r="C1393" s="28" t="s">
        <v>10</v>
      </c>
      <c r="D1393" s="28" t="s">
        <v>684</v>
      </c>
      <c r="E1393" s="28"/>
      <c r="F1393" s="28">
        <v>0</v>
      </c>
      <c r="G1393" s="28" t="s">
        <v>125</v>
      </c>
      <c r="H1393" s="28">
        <v>0</v>
      </c>
      <c r="J1393" s="28"/>
    </row>
    <row r="1394" spans="1:10" ht="15.75" customHeight="1">
      <c r="A1394" s="28">
        <v>18929</v>
      </c>
      <c r="B1394" s="91">
        <v>45081.111481481479</v>
      </c>
      <c r="C1394" s="28" t="s">
        <v>10</v>
      </c>
      <c r="D1394" s="28" t="s">
        <v>684</v>
      </c>
      <c r="E1394" s="28"/>
      <c r="F1394" s="28">
        <v>0</v>
      </c>
      <c r="G1394" s="28" t="s">
        <v>119</v>
      </c>
      <c r="H1394" s="28">
        <v>0</v>
      </c>
      <c r="J1394" s="28"/>
    </row>
    <row r="1395" spans="1:10" ht="15.75" customHeight="1">
      <c r="A1395" s="28">
        <v>18928</v>
      </c>
      <c r="B1395" s="91">
        <v>45080.967083333337</v>
      </c>
      <c r="C1395" s="28" t="s">
        <v>10</v>
      </c>
      <c r="D1395" s="28" t="s">
        <v>685</v>
      </c>
      <c r="E1395" s="28"/>
      <c r="F1395" s="28">
        <v>26</v>
      </c>
      <c r="G1395" s="28" t="s">
        <v>122</v>
      </c>
      <c r="H1395" s="28">
        <v>0</v>
      </c>
      <c r="J1395" s="28"/>
    </row>
    <row r="1396" spans="1:10" ht="15.75" customHeight="1">
      <c r="A1396" s="28">
        <v>18927</v>
      </c>
      <c r="B1396" s="91">
        <v>45080.786469907413</v>
      </c>
      <c r="C1396" s="28" t="s">
        <v>10</v>
      </c>
      <c r="D1396" s="28" t="s">
        <v>686</v>
      </c>
      <c r="E1396" s="28"/>
      <c r="F1396" s="28">
        <v>55</v>
      </c>
      <c r="G1396" s="28">
        <v>101684</v>
      </c>
      <c r="H1396" s="28">
        <v>0</v>
      </c>
      <c r="J1396" s="28"/>
    </row>
    <row r="1397" spans="1:10" ht="15.75" customHeight="1">
      <c r="A1397" s="28">
        <v>18927</v>
      </c>
      <c r="B1397" s="91">
        <v>45080.786469907413</v>
      </c>
      <c r="C1397" s="28" t="s">
        <v>10</v>
      </c>
      <c r="D1397" s="28" t="s">
        <v>686</v>
      </c>
      <c r="E1397" s="28"/>
      <c r="F1397" s="28">
        <v>0</v>
      </c>
      <c r="G1397" s="28" t="s">
        <v>118</v>
      </c>
      <c r="H1397" s="28">
        <v>0</v>
      </c>
      <c r="J1397" s="28"/>
    </row>
    <row r="1398" spans="1:10" ht="15.75" customHeight="1">
      <c r="A1398" s="28">
        <v>18927</v>
      </c>
      <c r="B1398" s="91">
        <v>45080.786469907413</v>
      </c>
      <c r="C1398" s="28" t="s">
        <v>10</v>
      </c>
      <c r="D1398" s="28" t="s">
        <v>686</v>
      </c>
      <c r="E1398" s="28"/>
      <c r="F1398" s="28">
        <v>0</v>
      </c>
      <c r="G1398" s="28" t="s">
        <v>119</v>
      </c>
      <c r="H1398" s="28">
        <v>0</v>
      </c>
      <c r="J1398" s="28"/>
    </row>
    <row r="1399" spans="1:10" ht="15.75" customHeight="1">
      <c r="A1399" s="28">
        <v>18927</v>
      </c>
      <c r="B1399" s="91">
        <v>45080.786469907413</v>
      </c>
      <c r="C1399" s="28" t="s">
        <v>10</v>
      </c>
      <c r="D1399" s="28" t="s">
        <v>686</v>
      </c>
      <c r="E1399" s="28"/>
      <c r="F1399" s="28">
        <v>0</v>
      </c>
      <c r="G1399" s="28" t="s">
        <v>120</v>
      </c>
      <c r="H1399" s="28">
        <v>0</v>
      </c>
      <c r="J1399" s="28"/>
    </row>
    <row r="1400" spans="1:10" ht="15.75" customHeight="1">
      <c r="A1400" s="28">
        <v>18927</v>
      </c>
      <c r="B1400" s="91">
        <v>45080.786469907413</v>
      </c>
      <c r="C1400" s="28" t="s">
        <v>10</v>
      </c>
      <c r="D1400" s="28" t="s">
        <v>686</v>
      </c>
      <c r="E1400" s="28"/>
      <c r="F1400" s="28">
        <v>0</v>
      </c>
      <c r="G1400" s="28" t="s">
        <v>121</v>
      </c>
      <c r="H1400" s="28">
        <v>0</v>
      </c>
      <c r="J1400" s="28"/>
    </row>
    <row r="1401" spans="1:10" ht="15.75" customHeight="1">
      <c r="A1401" s="28">
        <v>18926</v>
      </c>
      <c r="B1401" s="91">
        <v>45080.776585648149</v>
      </c>
      <c r="C1401" s="28" t="s">
        <v>10</v>
      </c>
      <c r="D1401" s="28" t="s">
        <v>687</v>
      </c>
      <c r="E1401" s="28"/>
      <c r="F1401" s="28">
        <v>20</v>
      </c>
      <c r="G1401" s="28"/>
      <c r="H1401" s="28">
        <v>0</v>
      </c>
      <c r="J1401" s="28"/>
    </row>
    <row r="1402" spans="1:10" ht="15.75" customHeight="1">
      <c r="A1402" s="28">
        <v>18925</v>
      </c>
      <c r="B1402" s="91">
        <v>45080.759837962964</v>
      </c>
      <c r="C1402" s="28" t="s">
        <v>10</v>
      </c>
      <c r="D1402" s="28" t="s">
        <v>688</v>
      </c>
      <c r="E1402" s="28"/>
      <c r="F1402" s="28">
        <v>26</v>
      </c>
      <c r="G1402" s="28" t="s">
        <v>122</v>
      </c>
      <c r="H1402" s="28">
        <v>0</v>
      </c>
      <c r="J1402" s="28"/>
    </row>
    <row r="1403" spans="1:10" ht="15.75" customHeight="1">
      <c r="A1403" s="28">
        <v>18924</v>
      </c>
      <c r="B1403" s="91">
        <v>45080.738333333335</v>
      </c>
      <c r="C1403" s="28" t="s">
        <v>10</v>
      </c>
      <c r="D1403" s="28" t="s">
        <v>689</v>
      </c>
      <c r="E1403" s="28"/>
      <c r="F1403" s="28">
        <v>18</v>
      </c>
      <c r="G1403" s="28" t="s">
        <v>119</v>
      </c>
      <c r="H1403" s="28">
        <v>0</v>
      </c>
      <c r="J1403" s="28"/>
    </row>
    <row r="1404" spans="1:10" ht="15.75" customHeight="1">
      <c r="A1404" s="28">
        <v>18923</v>
      </c>
      <c r="B1404" s="91">
        <v>45080.702592592592</v>
      </c>
      <c r="C1404" s="28" t="s">
        <v>10</v>
      </c>
      <c r="D1404" s="28" t="s">
        <v>690</v>
      </c>
      <c r="E1404" s="28"/>
      <c r="F1404" s="28">
        <v>55</v>
      </c>
      <c r="G1404" s="28">
        <v>101684</v>
      </c>
      <c r="H1404" s="28">
        <v>0</v>
      </c>
      <c r="J1404" s="28"/>
    </row>
    <row r="1405" spans="1:10" ht="15.75" customHeight="1">
      <c r="A1405" s="28">
        <v>18923</v>
      </c>
      <c r="B1405" s="91">
        <v>45080.702592592592</v>
      </c>
      <c r="C1405" s="28" t="s">
        <v>10</v>
      </c>
      <c r="D1405" s="28" t="s">
        <v>690</v>
      </c>
      <c r="E1405" s="28"/>
      <c r="F1405" s="28">
        <v>0</v>
      </c>
      <c r="G1405" s="28" t="s">
        <v>118</v>
      </c>
      <c r="H1405" s="28">
        <v>0</v>
      </c>
      <c r="J1405" s="28"/>
    </row>
    <row r="1406" spans="1:10" ht="15.75" customHeight="1">
      <c r="A1406" s="28">
        <v>18923</v>
      </c>
      <c r="B1406" s="91">
        <v>45080.702592592592</v>
      </c>
      <c r="C1406" s="28" t="s">
        <v>10</v>
      </c>
      <c r="D1406" s="28" t="s">
        <v>690</v>
      </c>
      <c r="E1406" s="28"/>
      <c r="F1406" s="28">
        <v>0</v>
      </c>
      <c r="G1406" s="28" t="s">
        <v>119</v>
      </c>
      <c r="H1406" s="28">
        <v>0</v>
      </c>
      <c r="J1406" s="28"/>
    </row>
    <row r="1407" spans="1:10" ht="15.75" customHeight="1">
      <c r="A1407" s="28">
        <v>18923</v>
      </c>
      <c r="B1407" s="91">
        <v>45080.702592592592</v>
      </c>
      <c r="C1407" s="28" t="s">
        <v>10</v>
      </c>
      <c r="D1407" s="28" t="s">
        <v>690</v>
      </c>
      <c r="E1407" s="28"/>
      <c r="F1407" s="28">
        <v>0</v>
      </c>
      <c r="G1407" s="28" t="s">
        <v>120</v>
      </c>
      <c r="H1407" s="28">
        <v>0</v>
      </c>
      <c r="J1407" s="28"/>
    </row>
    <row r="1408" spans="1:10" ht="15.75" customHeight="1">
      <c r="A1408" s="28">
        <v>18923</v>
      </c>
      <c r="B1408" s="91">
        <v>45080.702592592592</v>
      </c>
      <c r="C1408" s="28" t="s">
        <v>10</v>
      </c>
      <c r="D1408" s="28" t="s">
        <v>690</v>
      </c>
      <c r="E1408" s="28"/>
      <c r="F1408" s="28">
        <v>0</v>
      </c>
      <c r="G1408" s="28" t="s">
        <v>121</v>
      </c>
      <c r="H1408" s="28">
        <v>0</v>
      </c>
      <c r="J1408" s="28"/>
    </row>
    <row r="1409" spans="1:10" ht="15.75" customHeight="1">
      <c r="A1409" s="28">
        <v>18922</v>
      </c>
      <c r="B1409" s="91">
        <v>45080.701597222222</v>
      </c>
      <c r="C1409" s="28" t="s">
        <v>10</v>
      </c>
      <c r="D1409" s="28" t="s">
        <v>691</v>
      </c>
      <c r="E1409" s="28"/>
      <c r="F1409" s="28">
        <v>50</v>
      </c>
      <c r="G1409" s="28">
        <v>100692</v>
      </c>
      <c r="H1409" s="28">
        <v>0</v>
      </c>
      <c r="J1409" s="28"/>
    </row>
    <row r="1410" spans="1:10" ht="15.75" customHeight="1">
      <c r="A1410" s="28">
        <v>18922</v>
      </c>
      <c r="B1410" s="91">
        <v>45080.701597222222</v>
      </c>
      <c r="C1410" s="28" t="s">
        <v>10</v>
      </c>
      <c r="D1410" s="28" t="s">
        <v>691</v>
      </c>
      <c r="E1410" s="28"/>
      <c r="F1410" s="28">
        <v>0</v>
      </c>
      <c r="G1410" s="28" t="s">
        <v>125</v>
      </c>
      <c r="H1410" s="28">
        <v>0</v>
      </c>
      <c r="J1410" s="28"/>
    </row>
    <row r="1411" spans="1:10" ht="15.75" customHeight="1">
      <c r="A1411" s="28">
        <v>18922</v>
      </c>
      <c r="B1411" s="91">
        <v>45080.701597222222</v>
      </c>
      <c r="C1411" s="28" t="s">
        <v>10</v>
      </c>
      <c r="D1411" s="28" t="s">
        <v>691</v>
      </c>
      <c r="E1411" s="28"/>
      <c r="F1411" s="28">
        <v>0</v>
      </c>
      <c r="G1411" s="28" t="s">
        <v>119</v>
      </c>
      <c r="H1411" s="28">
        <v>0</v>
      </c>
      <c r="J1411" s="28"/>
    </row>
    <row r="1412" spans="1:10" ht="15.75" customHeight="1">
      <c r="A1412" s="28">
        <v>18921</v>
      </c>
      <c r="B1412" s="91">
        <v>45080.67900462963</v>
      </c>
      <c r="C1412" s="28" t="s">
        <v>10</v>
      </c>
      <c r="D1412" s="28" t="s">
        <v>692</v>
      </c>
      <c r="E1412" s="28"/>
      <c r="F1412" s="28">
        <v>15</v>
      </c>
      <c r="G1412" s="28" t="s">
        <v>170</v>
      </c>
      <c r="H1412" s="28">
        <v>0</v>
      </c>
      <c r="J1412" s="28"/>
    </row>
    <row r="1413" spans="1:10" ht="15.75" customHeight="1">
      <c r="A1413" s="28">
        <v>18921</v>
      </c>
      <c r="B1413" s="91">
        <v>45080.67900462963</v>
      </c>
      <c r="C1413" s="28" t="s">
        <v>10</v>
      </c>
      <c r="D1413" s="28" t="s">
        <v>692</v>
      </c>
      <c r="E1413" s="28"/>
      <c r="F1413" s="28">
        <v>26</v>
      </c>
      <c r="G1413" s="28" t="s">
        <v>122</v>
      </c>
      <c r="H1413" s="28">
        <v>0</v>
      </c>
      <c r="J1413" s="28"/>
    </row>
    <row r="1414" spans="1:10" ht="15.75" customHeight="1">
      <c r="A1414" s="28">
        <v>18920</v>
      </c>
      <c r="B1414" s="91">
        <v>45080.626331018517</v>
      </c>
      <c r="C1414" s="28" t="s">
        <v>10</v>
      </c>
      <c r="D1414" s="28" t="s">
        <v>693</v>
      </c>
      <c r="E1414" s="28"/>
      <c r="F1414" s="28">
        <v>26</v>
      </c>
      <c r="G1414" s="28" t="s">
        <v>122</v>
      </c>
      <c r="H1414" s="28">
        <v>0</v>
      </c>
      <c r="J1414" s="28"/>
    </row>
    <row r="1415" spans="1:10" ht="15.75" customHeight="1">
      <c r="A1415" s="28">
        <v>18919</v>
      </c>
      <c r="B1415" s="91">
        <v>45080.618402777778</v>
      </c>
      <c r="C1415" s="28" t="s">
        <v>10</v>
      </c>
      <c r="D1415" s="28" t="s">
        <v>694</v>
      </c>
      <c r="E1415" s="28"/>
      <c r="F1415" s="28">
        <v>35</v>
      </c>
      <c r="G1415" s="28" t="s">
        <v>124</v>
      </c>
      <c r="H1415" s="28">
        <v>0</v>
      </c>
      <c r="J1415" s="28"/>
    </row>
    <row r="1416" spans="1:10" ht="15.75" customHeight="1">
      <c r="A1416" s="28">
        <v>18919</v>
      </c>
      <c r="B1416" s="91">
        <v>45080.618402777778</v>
      </c>
      <c r="C1416" s="28" t="s">
        <v>10</v>
      </c>
      <c r="D1416" s="28" t="s">
        <v>694</v>
      </c>
      <c r="E1416" s="28"/>
      <c r="F1416" s="28">
        <v>0</v>
      </c>
      <c r="G1416" s="28" t="s">
        <v>125</v>
      </c>
      <c r="H1416" s="28">
        <v>0</v>
      </c>
      <c r="J1416" s="28"/>
    </row>
    <row r="1417" spans="1:10" ht="15.75" customHeight="1">
      <c r="A1417" s="28">
        <v>18919</v>
      </c>
      <c r="B1417" s="91">
        <v>45080.618402777778</v>
      </c>
      <c r="C1417" s="28" t="s">
        <v>10</v>
      </c>
      <c r="D1417" s="28" t="s">
        <v>694</v>
      </c>
      <c r="E1417" s="28"/>
      <c r="F1417" s="28">
        <v>0</v>
      </c>
      <c r="G1417" s="28" t="s">
        <v>119</v>
      </c>
      <c r="H1417" s="28">
        <v>0</v>
      </c>
      <c r="J1417" s="28"/>
    </row>
    <row r="1418" spans="1:10" ht="15.75" customHeight="1">
      <c r="A1418" s="28">
        <v>18919</v>
      </c>
      <c r="B1418" s="91">
        <v>45080.618402777778</v>
      </c>
      <c r="C1418" s="28" t="s">
        <v>10</v>
      </c>
      <c r="D1418" s="28" t="s">
        <v>694</v>
      </c>
      <c r="E1418" s="28"/>
      <c r="F1418" s="28">
        <v>0</v>
      </c>
      <c r="G1418" s="28" t="s">
        <v>121</v>
      </c>
      <c r="H1418" s="28">
        <v>0</v>
      </c>
      <c r="J1418" s="28"/>
    </row>
    <row r="1419" spans="1:10" ht="15.75" customHeight="1">
      <c r="A1419" s="28">
        <v>18918</v>
      </c>
      <c r="B1419" s="91">
        <v>45080.60356481481</v>
      </c>
      <c r="C1419" s="28" t="s">
        <v>10</v>
      </c>
      <c r="D1419" s="28" t="s">
        <v>695</v>
      </c>
      <c r="E1419" s="28"/>
      <c r="F1419" s="28">
        <v>15</v>
      </c>
      <c r="G1419" s="28" t="s">
        <v>125</v>
      </c>
      <c r="H1419" s="28">
        <v>0</v>
      </c>
      <c r="J1419" s="28"/>
    </row>
    <row r="1420" spans="1:10" ht="15.75" customHeight="1">
      <c r="A1420" s="28">
        <v>18917</v>
      </c>
      <c r="B1420" s="91">
        <v>45080.582465277781</v>
      </c>
      <c r="C1420" s="28" t="s">
        <v>10</v>
      </c>
      <c r="D1420" s="28" t="s">
        <v>696</v>
      </c>
      <c r="E1420" s="28"/>
      <c r="F1420" s="28">
        <v>0</v>
      </c>
      <c r="G1420" s="28" t="s">
        <v>117</v>
      </c>
      <c r="H1420" s="28">
        <v>0</v>
      </c>
      <c r="J1420" s="28"/>
    </row>
    <row r="1421" spans="1:10" ht="15.75" customHeight="1">
      <c r="A1421" s="28">
        <v>18917</v>
      </c>
      <c r="B1421" s="91">
        <v>45080.582465277781</v>
      </c>
      <c r="C1421" s="28" t="s">
        <v>10</v>
      </c>
      <c r="D1421" s="28" t="s">
        <v>696</v>
      </c>
      <c r="E1421" s="28"/>
      <c r="F1421" s="28">
        <v>28</v>
      </c>
      <c r="G1421" s="28" t="s">
        <v>143</v>
      </c>
      <c r="H1421" s="28">
        <v>0</v>
      </c>
      <c r="J1421" s="28"/>
    </row>
    <row r="1422" spans="1:10" ht="15.75" customHeight="1">
      <c r="A1422" s="28">
        <v>18917</v>
      </c>
      <c r="B1422" s="91">
        <v>45080.582465277781</v>
      </c>
      <c r="C1422" s="28" t="s">
        <v>10</v>
      </c>
      <c r="D1422" s="28" t="s">
        <v>696</v>
      </c>
      <c r="E1422" s="28"/>
      <c r="F1422" s="28">
        <v>25</v>
      </c>
      <c r="G1422" s="28">
        <v>100692</v>
      </c>
      <c r="H1422" s="28">
        <v>0</v>
      </c>
      <c r="J1422" s="28"/>
    </row>
    <row r="1423" spans="1:10" ht="15.75" customHeight="1">
      <c r="A1423" s="28">
        <v>18917</v>
      </c>
      <c r="B1423" s="91">
        <v>45080.582465277781</v>
      </c>
      <c r="C1423" s="28" t="s">
        <v>10</v>
      </c>
      <c r="D1423" s="28" t="s">
        <v>696</v>
      </c>
      <c r="E1423" s="28"/>
      <c r="F1423" s="28">
        <v>0</v>
      </c>
      <c r="G1423" s="28" t="s">
        <v>125</v>
      </c>
      <c r="H1423" s="28">
        <v>0</v>
      </c>
      <c r="J1423" s="28"/>
    </row>
    <row r="1424" spans="1:10" ht="15.75" customHeight="1">
      <c r="A1424" s="28">
        <v>18917</v>
      </c>
      <c r="B1424" s="91">
        <v>45080.582465277781</v>
      </c>
      <c r="C1424" s="28" t="s">
        <v>10</v>
      </c>
      <c r="D1424" s="28" t="s">
        <v>696</v>
      </c>
      <c r="E1424" s="28"/>
      <c r="F1424" s="28">
        <v>0</v>
      </c>
      <c r="G1424" s="28" t="s">
        <v>119</v>
      </c>
      <c r="H1424" s="28">
        <v>0</v>
      </c>
      <c r="J1424" s="28"/>
    </row>
    <row r="1425" spans="1:10" ht="15.75" customHeight="1">
      <c r="A1425" s="28">
        <v>18917</v>
      </c>
      <c r="B1425" s="91">
        <v>45080.582465277781</v>
      </c>
      <c r="C1425" s="28" t="s">
        <v>10</v>
      </c>
      <c r="D1425" s="28" t="s">
        <v>696</v>
      </c>
      <c r="E1425" s="28"/>
      <c r="F1425" s="28">
        <v>20</v>
      </c>
      <c r="G1425" s="28" t="s">
        <v>205</v>
      </c>
      <c r="H1425" s="28">
        <v>0</v>
      </c>
      <c r="J1425" s="28"/>
    </row>
    <row r="1426" spans="1:10" ht="15.75" customHeight="1">
      <c r="A1426" s="28">
        <v>18917</v>
      </c>
      <c r="B1426" s="91">
        <v>45080.582465277781</v>
      </c>
      <c r="C1426" s="28" t="s">
        <v>10</v>
      </c>
      <c r="D1426" s="28" t="s">
        <v>696</v>
      </c>
      <c r="E1426" s="28"/>
      <c r="F1426" s="28">
        <v>0</v>
      </c>
      <c r="G1426" s="28" t="s">
        <v>125</v>
      </c>
      <c r="H1426" s="28">
        <v>0</v>
      </c>
      <c r="J1426" s="28"/>
    </row>
    <row r="1427" spans="1:10" ht="15.75" customHeight="1">
      <c r="A1427" s="28">
        <v>18916</v>
      </c>
      <c r="B1427" s="91">
        <v>45080.571400462963</v>
      </c>
      <c r="C1427" s="28" t="s">
        <v>10</v>
      </c>
      <c r="D1427" s="28" t="s">
        <v>697</v>
      </c>
      <c r="E1427" s="28"/>
      <c r="F1427" s="28">
        <v>25</v>
      </c>
      <c r="G1427" s="28">
        <v>100692</v>
      </c>
      <c r="H1427" s="28">
        <v>0</v>
      </c>
      <c r="J1427" s="28"/>
    </row>
    <row r="1428" spans="1:10" ht="15.75" customHeight="1">
      <c r="A1428" s="28">
        <v>18916</v>
      </c>
      <c r="B1428" s="91">
        <v>45080.571400462963</v>
      </c>
      <c r="C1428" s="28" t="s">
        <v>10</v>
      </c>
      <c r="D1428" s="28" t="s">
        <v>697</v>
      </c>
      <c r="E1428" s="28"/>
      <c r="F1428" s="28">
        <v>0</v>
      </c>
      <c r="G1428" s="28" t="s">
        <v>125</v>
      </c>
      <c r="H1428" s="28">
        <v>0</v>
      </c>
      <c r="J1428" s="28"/>
    </row>
    <row r="1429" spans="1:10" ht="15.75" customHeight="1">
      <c r="A1429" s="28">
        <v>18916</v>
      </c>
      <c r="B1429" s="91">
        <v>45080.571400462963</v>
      </c>
      <c r="C1429" s="28" t="s">
        <v>10</v>
      </c>
      <c r="D1429" s="28" t="s">
        <v>697</v>
      </c>
      <c r="E1429" s="28"/>
      <c r="F1429" s="28">
        <v>0</v>
      </c>
      <c r="G1429" s="28" t="s">
        <v>119</v>
      </c>
      <c r="H1429" s="28">
        <v>0</v>
      </c>
      <c r="J1429" s="28"/>
    </row>
    <row r="1430" spans="1:10" ht="15.75" customHeight="1">
      <c r="A1430" s="28">
        <v>18915</v>
      </c>
      <c r="B1430" s="91">
        <v>45080.570150462961</v>
      </c>
      <c r="C1430" s="28" t="s">
        <v>10</v>
      </c>
      <c r="D1430" s="28" t="s">
        <v>698</v>
      </c>
      <c r="E1430" s="28"/>
      <c r="F1430" s="28">
        <v>0</v>
      </c>
      <c r="G1430" s="28" t="s">
        <v>117</v>
      </c>
      <c r="H1430" s="28">
        <v>0</v>
      </c>
      <c r="J1430" s="28"/>
    </row>
    <row r="1431" spans="1:10" ht="15.75" customHeight="1">
      <c r="A1431" s="28">
        <v>18915</v>
      </c>
      <c r="B1431" s="91">
        <v>45080.570150462961</v>
      </c>
      <c r="C1431" s="28" t="s">
        <v>10</v>
      </c>
      <c r="D1431" s="28" t="s">
        <v>698</v>
      </c>
      <c r="E1431" s="28"/>
      <c r="F1431" s="28">
        <v>20</v>
      </c>
      <c r="G1431" s="28" t="s">
        <v>261</v>
      </c>
      <c r="H1431" s="28">
        <v>0</v>
      </c>
      <c r="J1431" s="28"/>
    </row>
    <row r="1432" spans="1:10" ht="15.75" customHeight="1">
      <c r="A1432" s="28">
        <v>18914</v>
      </c>
      <c r="B1432" s="91">
        <v>45080.568784722222</v>
      </c>
      <c r="C1432" s="28" t="s">
        <v>10</v>
      </c>
      <c r="D1432" s="28" t="s">
        <v>699</v>
      </c>
      <c r="E1432" s="28"/>
      <c r="F1432" s="28">
        <v>28</v>
      </c>
      <c r="G1432" s="28" t="s">
        <v>143</v>
      </c>
      <c r="H1432" s="28">
        <v>0</v>
      </c>
      <c r="J1432" s="28"/>
    </row>
    <row r="1433" spans="1:10" ht="15.75" customHeight="1">
      <c r="A1433" s="28">
        <v>18913</v>
      </c>
      <c r="B1433" s="91">
        <v>45080.565810185188</v>
      </c>
      <c r="C1433" s="28" t="s">
        <v>10</v>
      </c>
      <c r="D1433" s="28" t="s">
        <v>700</v>
      </c>
      <c r="E1433" s="28"/>
      <c r="F1433" s="28">
        <v>28</v>
      </c>
      <c r="G1433" s="28" t="s">
        <v>143</v>
      </c>
      <c r="H1433" s="28">
        <v>0</v>
      </c>
      <c r="J1433" s="28"/>
    </row>
    <row r="1434" spans="1:10" ht="15.75" customHeight="1">
      <c r="A1434" s="28">
        <v>18912</v>
      </c>
      <c r="B1434" s="91">
        <v>45080.565138888887</v>
      </c>
      <c r="C1434" s="28" t="s">
        <v>10</v>
      </c>
      <c r="D1434" s="28" t="s">
        <v>701</v>
      </c>
      <c r="E1434" s="28"/>
      <c r="F1434" s="28">
        <v>20</v>
      </c>
      <c r="G1434" s="28"/>
      <c r="H1434" s="28">
        <v>0</v>
      </c>
      <c r="J1434" s="28"/>
    </row>
    <row r="1435" spans="1:10" ht="15.75" customHeight="1">
      <c r="A1435" s="28">
        <v>18912</v>
      </c>
      <c r="B1435" s="91">
        <v>45080.565138888887</v>
      </c>
      <c r="C1435" s="28" t="s">
        <v>10</v>
      </c>
      <c r="D1435" s="28" t="s">
        <v>701</v>
      </c>
      <c r="E1435" s="28"/>
      <c r="F1435" s="28">
        <v>0</v>
      </c>
      <c r="G1435" s="28" t="s">
        <v>117</v>
      </c>
      <c r="H1435" s="28">
        <v>0</v>
      </c>
      <c r="J1435" s="28"/>
    </row>
    <row r="1436" spans="1:10" ht="15.75" customHeight="1">
      <c r="A1436" s="28">
        <v>18911</v>
      </c>
      <c r="B1436" s="91">
        <v>45080.564768518518</v>
      </c>
      <c r="C1436" s="28" t="s">
        <v>10</v>
      </c>
      <c r="D1436" s="28" t="s">
        <v>702</v>
      </c>
      <c r="E1436" s="28"/>
      <c r="F1436" s="28">
        <v>18</v>
      </c>
      <c r="G1436" s="28" t="s">
        <v>119</v>
      </c>
      <c r="H1436" s="28">
        <v>0</v>
      </c>
      <c r="J1436" s="28"/>
    </row>
    <row r="1437" spans="1:10" ht="15.75" customHeight="1">
      <c r="A1437" s="28">
        <v>18910</v>
      </c>
      <c r="B1437" s="91">
        <v>45080.562696759254</v>
      </c>
      <c r="C1437" s="28" t="s">
        <v>10</v>
      </c>
      <c r="D1437" s="28" t="s">
        <v>703</v>
      </c>
      <c r="E1437" s="28"/>
      <c r="F1437" s="28">
        <v>25</v>
      </c>
      <c r="G1437" s="28">
        <v>100692</v>
      </c>
      <c r="H1437" s="28">
        <v>0</v>
      </c>
      <c r="J1437" s="28"/>
    </row>
    <row r="1438" spans="1:10" ht="15.75" customHeight="1">
      <c r="A1438" s="28">
        <v>18910</v>
      </c>
      <c r="B1438" s="91">
        <v>45080.562696759254</v>
      </c>
      <c r="C1438" s="28" t="s">
        <v>10</v>
      </c>
      <c r="D1438" s="28" t="s">
        <v>703</v>
      </c>
      <c r="E1438" s="28"/>
      <c r="F1438" s="28">
        <v>0</v>
      </c>
      <c r="G1438" s="28" t="s">
        <v>125</v>
      </c>
      <c r="H1438" s="28">
        <v>0</v>
      </c>
      <c r="J1438" s="28"/>
    </row>
    <row r="1439" spans="1:10" ht="15.75" customHeight="1">
      <c r="A1439" s="28">
        <v>18910</v>
      </c>
      <c r="B1439" s="91">
        <v>45080.562696759254</v>
      </c>
      <c r="C1439" s="28" t="s">
        <v>10</v>
      </c>
      <c r="D1439" s="28" t="s">
        <v>703</v>
      </c>
      <c r="E1439" s="28"/>
      <c r="F1439" s="28">
        <v>0</v>
      </c>
      <c r="G1439" s="28" t="s">
        <v>119</v>
      </c>
      <c r="H1439" s="28">
        <v>0</v>
      </c>
      <c r="J1439" s="28"/>
    </row>
    <row r="1440" spans="1:10" ht="15.75" customHeight="1">
      <c r="A1440" s="28">
        <v>18910</v>
      </c>
      <c r="B1440" s="91">
        <v>45080.562696759254</v>
      </c>
      <c r="C1440" s="28" t="s">
        <v>10</v>
      </c>
      <c r="D1440" s="28" t="s">
        <v>703</v>
      </c>
      <c r="E1440" s="28"/>
      <c r="F1440" s="28">
        <v>20</v>
      </c>
      <c r="G1440" s="28" t="s">
        <v>205</v>
      </c>
      <c r="H1440" s="28">
        <v>0</v>
      </c>
      <c r="J1440" s="28"/>
    </row>
    <row r="1441" spans="1:10" ht="15.75" customHeight="1">
      <c r="A1441" s="28">
        <v>18910</v>
      </c>
      <c r="B1441" s="91">
        <v>45080.562696759254</v>
      </c>
      <c r="C1441" s="28" t="s">
        <v>10</v>
      </c>
      <c r="D1441" s="28" t="s">
        <v>703</v>
      </c>
      <c r="E1441" s="28"/>
      <c r="F1441" s="28">
        <v>0</v>
      </c>
      <c r="G1441" s="28" t="s">
        <v>125</v>
      </c>
      <c r="H1441" s="28">
        <v>0</v>
      </c>
      <c r="J1441" s="28"/>
    </row>
    <row r="1442" spans="1:10" ht="15.75" customHeight="1">
      <c r="A1442" s="28">
        <v>18909</v>
      </c>
      <c r="B1442" s="91">
        <v>45080.560127314813</v>
      </c>
      <c r="C1442" s="28" t="s">
        <v>10</v>
      </c>
      <c r="D1442" s="28" t="s">
        <v>704</v>
      </c>
      <c r="E1442" s="28"/>
      <c r="F1442" s="28">
        <v>25</v>
      </c>
      <c r="G1442" s="28">
        <v>100692</v>
      </c>
      <c r="H1442" s="28">
        <v>0</v>
      </c>
      <c r="J1442" s="28"/>
    </row>
    <row r="1443" spans="1:10" ht="15.75" customHeight="1">
      <c r="A1443" s="28">
        <v>18909</v>
      </c>
      <c r="B1443" s="91">
        <v>45080.560127314813</v>
      </c>
      <c r="C1443" s="28" t="s">
        <v>10</v>
      </c>
      <c r="D1443" s="28" t="s">
        <v>704</v>
      </c>
      <c r="E1443" s="28"/>
      <c r="F1443" s="28">
        <v>0</v>
      </c>
      <c r="G1443" s="28" t="s">
        <v>125</v>
      </c>
      <c r="H1443" s="28">
        <v>0</v>
      </c>
      <c r="J1443" s="28"/>
    </row>
    <row r="1444" spans="1:10" ht="15.75" customHeight="1">
      <c r="A1444" s="28">
        <v>18909</v>
      </c>
      <c r="B1444" s="91">
        <v>45080.560127314813</v>
      </c>
      <c r="C1444" s="28" t="s">
        <v>10</v>
      </c>
      <c r="D1444" s="28" t="s">
        <v>704</v>
      </c>
      <c r="E1444" s="28"/>
      <c r="F1444" s="28">
        <v>0</v>
      </c>
      <c r="G1444" s="28" t="s">
        <v>119</v>
      </c>
      <c r="H1444" s="28">
        <v>0</v>
      </c>
      <c r="J1444" s="28"/>
    </row>
    <row r="1445" spans="1:10" ht="15.75" customHeight="1">
      <c r="A1445" s="28">
        <v>18908</v>
      </c>
      <c r="B1445" s="91">
        <v>45080.558518518519</v>
      </c>
      <c r="C1445" s="28" t="s">
        <v>10</v>
      </c>
      <c r="D1445" s="28" t="s">
        <v>703</v>
      </c>
      <c r="E1445" s="28"/>
      <c r="F1445" s="28">
        <v>25</v>
      </c>
      <c r="G1445" s="28">
        <v>100692</v>
      </c>
      <c r="H1445" s="28">
        <v>0</v>
      </c>
      <c r="J1445" s="28"/>
    </row>
    <row r="1446" spans="1:10" ht="15.75" customHeight="1">
      <c r="A1446" s="28">
        <v>18908</v>
      </c>
      <c r="B1446" s="91">
        <v>45080.558518518519</v>
      </c>
      <c r="C1446" s="28" t="s">
        <v>10</v>
      </c>
      <c r="D1446" s="28" t="s">
        <v>703</v>
      </c>
      <c r="E1446" s="28"/>
      <c r="F1446" s="28">
        <v>0</v>
      </c>
      <c r="G1446" s="28" t="s">
        <v>125</v>
      </c>
      <c r="H1446" s="28">
        <v>0</v>
      </c>
      <c r="J1446" s="28"/>
    </row>
    <row r="1447" spans="1:10" ht="15.75" customHeight="1">
      <c r="A1447" s="28">
        <v>18908</v>
      </c>
      <c r="B1447" s="91">
        <v>45080.558518518519</v>
      </c>
      <c r="C1447" s="28" t="s">
        <v>10</v>
      </c>
      <c r="D1447" s="28" t="s">
        <v>703</v>
      </c>
      <c r="E1447" s="28"/>
      <c r="F1447" s="28">
        <v>0</v>
      </c>
      <c r="G1447" s="28" t="s">
        <v>119</v>
      </c>
      <c r="H1447" s="28">
        <v>0</v>
      </c>
      <c r="J1447" s="28"/>
    </row>
    <row r="1448" spans="1:10" ht="15.75" customHeight="1">
      <c r="A1448" s="28">
        <v>18907</v>
      </c>
      <c r="B1448" s="91">
        <v>45080.555543981478</v>
      </c>
      <c r="C1448" s="28" t="s">
        <v>10</v>
      </c>
      <c r="D1448" s="28" t="s">
        <v>705</v>
      </c>
      <c r="E1448" s="28"/>
      <c r="F1448" s="28">
        <v>25</v>
      </c>
      <c r="G1448" s="28">
        <v>100692</v>
      </c>
      <c r="H1448" s="28">
        <v>0</v>
      </c>
      <c r="J1448" s="28"/>
    </row>
    <row r="1449" spans="1:10" ht="15.75" customHeight="1">
      <c r="A1449" s="28">
        <v>18907</v>
      </c>
      <c r="B1449" s="91">
        <v>45080.555543981478</v>
      </c>
      <c r="C1449" s="28" t="s">
        <v>10</v>
      </c>
      <c r="D1449" s="28" t="s">
        <v>705</v>
      </c>
      <c r="E1449" s="28"/>
      <c r="F1449" s="28">
        <v>0</v>
      </c>
      <c r="G1449" s="28" t="s">
        <v>125</v>
      </c>
      <c r="H1449" s="28">
        <v>0</v>
      </c>
      <c r="J1449" s="28"/>
    </row>
    <row r="1450" spans="1:10" ht="15.75" customHeight="1">
      <c r="A1450" s="28">
        <v>18907</v>
      </c>
      <c r="B1450" s="91">
        <v>45080.555543981478</v>
      </c>
      <c r="C1450" s="28" t="s">
        <v>10</v>
      </c>
      <c r="D1450" s="28" t="s">
        <v>705</v>
      </c>
      <c r="E1450" s="28"/>
      <c r="F1450" s="28">
        <v>0</v>
      </c>
      <c r="G1450" s="28" t="s">
        <v>119</v>
      </c>
      <c r="H1450" s="28">
        <v>0</v>
      </c>
      <c r="J1450" s="28"/>
    </row>
    <row r="1451" spans="1:10" ht="15.75" customHeight="1">
      <c r="A1451" s="28">
        <v>18906</v>
      </c>
      <c r="B1451" s="91">
        <v>45080.544525462959</v>
      </c>
      <c r="C1451" s="28" t="s">
        <v>10</v>
      </c>
      <c r="D1451" s="28" t="s">
        <v>706</v>
      </c>
      <c r="E1451" s="28"/>
      <c r="F1451" s="28">
        <v>26</v>
      </c>
      <c r="G1451" s="28" t="s">
        <v>122</v>
      </c>
      <c r="H1451" s="28">
        <v>0</v>
      </c>
      <c r="J1451" s="28"/>
    </row>
    <row r="1452" spans="1:10" ht="15.75" customHeight="1">
      <c r="A1452" s="28">
        <v>18905</v>
      </c>
      <c r="B1452" s="91">
        <v>45080.54415509259</v>
      </c>
      <c r="C1452" s="28" t="s">
        <v>10</v>
      </c>
      <c r="D1452" s="28" t="s">
        <v>707</v>
      </c>
      <c r="E1452" s="28"/>
      <c r="F1452" s="28">
        <v>26</v>
      </c>
      <c r="G1452" s="28" t="s">
        <v>122</v>
      </c>
      <c r="H1452" s="28">
        <v>0</v>
      </c>
      <c r="J1452" s="28"/>
    </row>
    <row r="1453" spans="1:10" ht="15.75" customHeight="1">
      <c r="A1453" s="28">
        <v>18904</v>
      </c>
      <c r="B1453" s="91">
        <v>45080.543437500004</v>
      </c>
      <c r="C1453" s="28" t="s">
        <v>10</v>
      </c>
      <c r="D1453" s="28" t="s">
        <v>708</v>
      </c>
      <c r="E1453" s="28"/>
      <c r="F1453" s="28">
        <v>56</v>
      </c>
      <c r="G1453" s="28" t="s">
        <v>143</v>
      </c>
      <c r="H1453" s="28">
        <v>0</v>
      </c>
      <c r="J1453" s="28"/>
    </row>
    <row r="1454" spans="1:10" ht="15.75" customHeight="1">
      <c r="A1454" s="28">
        <v>18903</v>
      </c>
      <c r="B1454" s="91">
        <v>45080.510462962964</v>
      </c>
      <c r="C1454" s="28" t="s">
        <v>10</v>
      </c>
      <c r="D1454" s="28" t="s">
        <v>709</v>
      </c>
      <c r="E1454" s="28"/>
      <c r="F1454" s="28">
        <v>0</v>
      </c>
      <c r="G1454" s="28" t="s">
        <v>117</v>
      </c>
      <c r="H1454" s="28">
        <v>0</v>
      </c>
      <c r="J1454" s="28"/>
    </row>
    <row r="1455" spans="1:10" ht="15.75" customHeight="1">
      <c r="A1455" s="28">
        <v>18903</v>
      </c>
      <c r="B1455" s="91">
        <v>45080.510462962964</v>
      </c>
      <c r="C1455" s="28" t="s">
        <v>10</v>
      </c>
      <c r="D1455" s="28" t="s">
        <v>709</v>
      </c>
      <c r="E1455" s="28"/>
      <c r="F1455" s="28">
        <v>25</v>
      </c>
      <c r="G1455" s="28">
        <v>100692</v>
      </c>
      <c r="H1455" s="28">
        <v>0</v>
      </c>
      <c r="J1455" s="28"/>
    </row>
    <row r="1456" spans="1:10" ht="15.75" customHeight="1">
      <c r="A1456" s="28">
        <v>18903</v>
      </c>
      <c r="B1456" s="91">
        <v>45080.510462962964</v>
      </c>
      <c r="C1456" s="28" t="s">
        <v>10</v>
      </c>
      <c r="D1456" s="28" t="s">
        <v>709</v>
      </c>
      <c r="E1456" s="28"/>
      <c r="F1456" s="28">
        <v>0</v>
      </c>
      <c r="G1456" s="28" t="s">
        <v>125</v>
      </c>
      <c r="H1456" s="28">
        <v>0</v>
      </c>
      <c r="J1456" s="28"/>
    </row>
    <row r="1457" spans="1:10" ht="15.75" customHeight="1">
      <c r="A1457" s="28">
        <v>18903</v>
      </c>
      <c r="B1457" s="91">
        <v>45080.510462962964</v>
      </c>
      <c r="C1457" s="28" t="s">
        <v>10</v>
      </c>
      <c r="D1457" s="28" t="s">
        <v>709</v>
      </c>
      <c r="E1457" s="28"/>
      <c r="F1457" s="28">
        <v>0</v>
      </c>
      <c r="G1457" s="28" t="s">
        <v>119</v>
      </c>
      <c r="H1457" s="28">
        <v>0</v>
      </c>
      <c r="J1457" s="28"/>
    </row>
    <row r="1458" spans="1:10" ht="15.75" customHeight="1">
      <c r="A1458" s="28">
        <v>18902</v>
      </c>
      <c r="B1458" s="91">
        <v>45080.492233796293</v>
      </c>
      <c r="C1458" s="28" t="s">
        <v>10</v>
      </c>
      <c r="D1458" s="28" t="s">
        <v>710</v>
      </c>
      <c r="E1458" s="28"/>
      <c r="F1458" s="28">
        <v>50</v>
      </c>
      <c r="G1458" s="28">
        <v>100692</v>
      </c>
      <c r="H1458" s="28">
        <v>0</v>
      </c>
      <c r="J1458" s="28"/>
    </row>
    <row r="1459" spans="1:10" ht="15.75" customHeight="1">
      <c r="A1459" s="28">
        <v>18902</v>
      </c>
      <c r="B1459" s="91">
        <v>45080.492233796293</v>
      </c>
      <c r="C1459" s="28" t="s">
        <v>10</v>
      </c>
      <c r="D1459" s="28" t="s">
        <v>710</v>
      </c>
      <c r="E1459" s="28"/>
      <c r="F1459" s="28">
        <v>0</v>
      </c>
      <c r="G1459" s="28" t="s">
        <v>125</v>
      </c>
      <c r="H1459" s="28">
        <v>0</v>
      </c>
      <c r="J1459" s="28"/>
    </row>
    <row r="1460" spans="1:10" ht="15.75" customHeight="1">
      <c r="A1460" s="28">
        <v>18902</v>
      </c>
      <c r="B1460" s="91">
        <v>45080.492233796293</v>
      </c>
      <c r="C1460" s="28" t="s">
        <v>10</v>
      </c>
      <c r="D1460" s="28" t="s">
        <v>710</v>
      </c>
      <c r="E1460" s="28"/>
      <c r="F1460" s="28">
        <v>0</v>
      </c>
      <c r="G1460" s="28" t="s">
        <v>119</v>
      </c>
      <c r="H1460" s="28">
        <v>0</v>
      </c>
      <c r="J1460" s="28"/>
    </row>
    <row r="1461" spans="1:10" ht="15.75" customHeight="1">
      <c r="A1461" s="28">
        <v>18901</v>
      </c>
      <c r="B1461" s="91">
        <v>45080.480787037042</v>
      </c>
      <c r="C1461" s="28" t="s">
        <v>10</v>
      </c>
      <c r="D1461" s="28" t="s">
        <v>711</v>
      </c>
      <c r="E1461" s="28"/>
      <c r="F1461" s="28">
        <v>25</v>
      </c>
      <c r="G1461" s="28">
        <v>100692</v>
      </c>
      <c r="H1461" s="28">
        <v>0</v>
      </c>
      <c r="J1461" s="28"/>
    </row>
    <row r="1462" spans="1:10" ht="15.75" customHeight="1">
      <c r="A1462" s="28">
        <v>18901</v>
      </c>
      <c r="B1462" s="91">
        <v>45080.480787037042</v>
      </c>
      <c r="C1462" s="28" t="s">
        <v>10</v>
      </c>
      <c r="D1462" s="28" t="s">
        <v>711</v>
      </c>
      <c r="E1462" s="28"/>
      <c r="F1462" s="28">
        <v>0</v>
      </c>
      <c r="G1462" s="28" t="s">
        <v>125</v>
      </c>
      <c r="H1462" s="28">
        <v>0</v>
      </c>
      <c r="J1462" s="28"/>
    </row>
    <row r="1463" spans="1:10" ht="15.75" customHeight="1">
      <c r="A1463" s="28">
        <v>18901</v>
      </c>
      <c r="B1463" s="91">
        <v>45080.480787037042</v>
      </c>
      <c r="C1463" s="28" t="s">
        <v>10</v>
      </c>
      <c r="D1463" s="28" t="s">
        <v>711</v>
      </c>
      <c r="E1463" s="28"/>
      <c r="F1463" s="28">
        <v>0</v>
      </c>
      <c r="G1463" s="28" t="s">
        <v>119</v>
      </c>
      <c r="H1463" s="28">
        <v>0</v>
      </c>
      <c r="J1463" s="28"/>
    </row>
    <row r="1464" spans="1:10" ht="15.75" customHeight="1">
      <c r="A1464" s="28">
        <v>18900</v>
      </c>
      <c r="B1464" s="91">
        <v>45080.049791666665</v>
      </c>
      <c r="C1464" s="28" t="s">
        <v>10</v>
      </c>
      <c r="D1464" s="28" t="s">
        <v>712</v>
      </c>
      <c r="E1464" s="28"/>
      <c r="F1464" s="28">
        <v>20</v>
      </c>
      <c r="G1464" s="28"/>
      <c r="H1464" s="28">
        <v>0</v>
      </c>
      <c r="J1464" s="28"/>
    </row>
    <row r="1465" spans="1:10" ht="15.75" customHeight="1">
      <c r="A1465" s="28">
        <v>18899</v>
      </c>
      <c r="B1465" s="91">
        <v>45080.046226851853</v>
      </c>
      <c r="C1465" s="28" t="s">
        <v>10</v>
      </c>
      <c r="D1465" s="28" t="s">
        <v>713</v>
      </c>
      <c r="E1465" s="28"/>
      <c r="F1465" s="28">
        <v>20</v>
      </c>
      <c r="G1465" s="28"/>
      <c r="H1465" s="28">
        <v>0</v>
      </c>
      <c r="J1465" s="28"/>
    </row>
    <row r="1466" spans="1:10" ht="15.75" customHeight="1">
      <c r="A1466" s="28">
        <v>18898</v>
      </c>
      <c r="B1466" s="91">
        <v>45080.044571759259</v>
      </c>
      <c r="C1466" s="28" t="s">
        <v>10</v>
      </c>
      <c r="D1466" s="28" t="s">
        <v>714</v>
      </c>
      <c r="E1466" s="28"/>
      <c r="F1466" s="28">
        <v>20</v>
      </c>
      <c r="G1466" s="28"/>
      <c r="H1466" s="28">
        <v>0</v>
      </c>
      <c r="J1466" s="28"/>
    </row>
    <row r="1467" spans="1:10" ht="15.75" customHeight="1">
      <c r="A1467" s="28">
        <v>18897</v>
      </c>
      <c r="B1467" s="91">
        <v>45079.917291666672</v>
      </c>
      <c r="C1467" s="28" t="s">
        <v>10</v>
      </c>
      <c r="D1467" s="28" t="s">
        <v>715</v>
      </c>
      <c r="E1467" s="28"/>
      <c r="F1467" s="28">
        <v>20</v>
      </c>
      <c r="G1467" s="28" t="s">
        <v>148</v>
      </c>
      <c r="H1467" s="28">
        <v>0</v>
      </c>
      <c r="J1467" s="28"/>
    </row>
    <row r="1468" spans="1:10" ht="15.75" customHeight="1">
      <c r="A1468" s="28">
        <v>18882</v>
      </c>
      <c r="B1468" s="91">
        <v>45079.109780092593</v>
      </c>
      <c r="C1468" s="28" t="s">
        <v>10</v>
      </c>
      <c r="D1468" s="28" t="s">
        <v>431</v>
      </c>
      <c r="E1468" s="28"/>
      <c r="F1468" s="28">
        <v>20</v>
      </c>
      <c r="G1468" s="28" t="s">
        <v>261</v>
      </c>
      <c r="H1468" s="28">
        <v>0</v>
      </c>
      <c r="J1468" s="28"/>
    </row>
    <row r="1469" spans="1:10" ht="15.75" customHeight="1">
      <c r="A1469" s="28">
        <v>18881</v>
      </c>
      <c r="B1469" s="91">
        <v>45078.976365740746</v>
      </c>
      <c r="C1469" s="28" t="s">
        <v>10</v>
      </c>
      <c r="D1469" s="28" t="s">
        <v>716</v>
      </c>
      <c r="E1469" s="28"/>
      <c r="F1469" s="28">
        <v>30</v>
      </c>
      <c r="G1469" s="28" t="s">
        <v>125</v>
      </c>
      <c r="H1469" s="28">
        <v>0</v>
      </c>
      <c r="J1469" s="28"/>
    </row>
    <row r="1470" spans="1:10" ht="15.75" customHeight="1">
      <c r="A1470" s="28">
        <v>18879</v>
      </c>
      <c r="B1470" s="91">
        <v>45078.828171296293</v>
      </c>
      <c r="C1470" s="28" t="s">
        <v>10</v>
      </c>
      <c r="D1470" s="28" t="s">
        <v>717</v>
      </c>
      <c r="E1470" s="28"/>
      <c r="F1470" s="28">
        <v>20</v>
      </c>
      <c r="G1470" s="28" t="s">
        <v>148</v>
      </c>
      <c r="H1470" s="28">
        <v>0</v>
      </c>
      <c r="J1470" s="28"/>
    </row>
    <row r="1471" spans="1:10" ht="15.75" customHeight="1">
      <c r="A1471" s="28">
        <v>18878</v>
      </c>
      <c r="B1471" s="91">
        <v>45078.672800925924</v>
      </c>
      <c r="C1471" s="28" t="s">
        <v>10</v>
      </c>
      <c r="D1471" s="28" t="s">
        <v>718</v>
      </c>
      <c r="E1471" s="28"/>
      <c r="F1471" s="28">
        <v>25</v>
      </c>
      <c r="G1471" s="28">
        <v>100692</v>
      </c>
      <c r="H1471" s="28">
        <v>0</v>
      </c>
      <c r="J1471" s="28"/>
    </row>
    <row r="1472" spans="1:10" ht="15.75" customHeight="1">
      <c r="A1472" s="28">
        <v>18878</v>
      </c>
      <c r="B1472" s="91">
        <v>45078.672800925924</v>
      </c>
      <c r="C1472" s="28" t="s">
        <v>10</v>
      </c>
      <c r="D1472" s="28" t="s">
        <v>718</v>
      </c>
      <c r="E1472" s="28"/>
      <c r="F1472" s="28">
        <v>0</v>
      </c>
      <c r="G1472" s="28" t="s">
        <v>125</v>
      </c>
      <c r="H1472" s="28">
        <v>0</v>
      </c>
      <c r="J1472" s="28"/>
    </row>
    <row r="1473" spans="1:10" ht="15.75" customHeight="1">
      <c r="A1473" s="28">
        <v>18878</v>
      </c>
      <c r="B1473" s="91">
        <v>45078.672800925924</v>
      </c>
      <c r="C1473" s="28" t="s">
        <v>10</v>
      </c>
      <c r="D1473" s="28" t="s">
        <v>718</v>
      </c>
      <c r="E1473" s="28"/>
      <c r="F1473" s="28">
        <v>0</v>
      </c>
      <c r="G1473" s="28" t="s">
        <v>119</v>
      </c>
      <c r="H1473" s="28">
        <v>0</v>
      </c>
      <c r="J1473" s="28"/>
    </row>
    <row r="1474" spans="1:10" ht="15.75" customHeight="1">
      <c r="A1474" s="28">
        <v>18877</v>
      </c>
      <c r="B1474" s="91">
        <v>45078.639664351853</v>
      </c>
      <c r="C1474" s="28" t="s">
        <v>10</v>
      </c>
      <c r="D1474" s="28" t="s">
        <v>719</v>
      </c>
      <c r="E1474" s="28"/>
      <c r="F1474" s="28">
        <v>0</v>
      </c>
      <c r="G1474" s="28" t="s">
        <v>117</v>
      </c>
      <c r="H1474" s="28">
        <v>0</v>
      </c>
      <c r="J1474" s="28"/>
    </row>
    <row r="1475" spans="1:10" ht="15.75" customHeight="1">
      <c r="A1475" s="28">
        <v>18877</v>
      </c>
      <c r="B1475" s="91">
        <v>45078.639664351853</v>
      </c>
      <c r="C1475" s="28" t="s">
        <v>10</v>
      </c>
      <c r="D1475" s="28" t="s">
        <v>719</v>
      </c>
      <c r="E1475" s="28"/>
      <c r="F1475" s="28">
        <v>15</v>
      </c>
      <c r="G1475" s="28" t="s">
        <v>170</v>
      </c>
      <c r="H1475" s="28">
        <v>0</v>
      </c>
      <c r="J1475" s="28"/>
    </row>
    <row r="1476" spans="1:10" ht="15.75" customHeight="1">
      <c r="A1476" s="28">
        <v>18876</v>
      </c>
      <c r="B1476" s="91">
        <v>45078.540092592593</v>
      </c>
      <c r="C1476" s="28" t="s">
        <v>10</v>
      </c>
      <c r="D1476" s="28" t="s">
        <v>720</v>
      </c>
      <c r="E1476" s="28"/>
      <c r="F1476" s="28">
        <v>25</v>
      </c>
      <c r="G1476" s="28">
        <v>100692</v>
      </c>
      <c r="H1476" s="28">
        <v>0</v>
      </c>
      <c r="J1476" s="28"/>
    </row>
    <row r="1477" spans="1:10" ht="15.75" customHeight="1">
      <c r="A1477" s="28">
        <v>18876</v>
      </c>
      <c r="B1477" s="91">
        <v>45078.540092592593</v>
      </c>
      <c r="C1477" s="28" t="s">
        <v>10</v>
      </c>
      <c r="D1477" s="28" t="s">
        <v>720</v>
      </c>
      <c r="E1477" s="28"/>
      <c r="F1477" s="28">
        <v>0</v>
      </c>
      <c r="G1477" s="28" t="s">
        <v>125</v>
      </c>
      <c r="H1477" s="28">
        <v>0</v>
      </c>
      <c r="J1477" s="28"/>
    </row>
    <row r="1478" spans="1:10" ht="15.75" customHeight="1">
      <c r="A1478" s="28">
        <v>18876</v>
      </c>
      <c r="B1478" s="91">
        <v>45078.540092592593</v>
      </c>
      <c r="C1478" s="28" t="s">
        <v>10</v>
      </c>
      <c r="D1478" s="28" t="s">
        <v>720</v>
      </c>
      <c r="E1478" s="28"/>
      <c r="F1478" s="28">
        <v>0</v>
      </c>
      <c r="G1478" s="28" t="s">
        <v>119</v>
      </c>
      <c r="H1478" s="28">
        <v>0</v>
      </c>
      <c r="J1478" s="28"/>
    </row>
    <row r="1479" spans="1:10" ht="15.75" customHeight="1">
      <c r="A1479" s="28">
        <v>18875</v>
      </c>
      <c r="B1479" s="91">
        <v>45078.528425925921</v>
      </c>
      <c r="C1479" s="28" t="s">
        <v>10</v>
      </c>
      <c r="D1479" s="28" t="s">
        <v>721</v>
      </c>
      <c r="E1479" s="28"/>
      <c r="F1479" s="28">
        <v>15</v>
      </c>
      <c r="G1479" s="28" t="s">
        <v>125</v>
      </c>
      <c r="H1479" s="28">
        <v>0</v>
      </c>
      <c r="J1479" s="28"/>
    </row>
    <row r="1480" spans="1:10" ht="15.75" customHeight="1">
      <c r="A1480" s="28">
        <v>18874</v>
      </c>
      <c r="B1480" s="91">
        <v>45078.084131944444</v>
      </c>
      <c r="C1480" s="28" t="s">
        <v>10</v>
      </c>
      <c r="D1480" s="28" t="s">
        <v>722</v>
      </c>
      <c r="E1480" s="28"/>
      <c r="F1480" s="28">
        <v>25</v>
      </c>
      <c r="G1480" s="28">
        <v>100692</v>
      </c>
      <c r="H1480" s="28">
        <v>0</v>
      </c>
      <c r="J1480" s="28"/>
    </row>
    <row r="1481" spans="1:10" ht="15.75" customHeight="1">
      <c r="A1481" s="28">
        <v>18874</v>
      </c>
      <c r="B1481" s="91">
        <v>45078.084131944444</v>
      </c>
      <c r="C1481" s="28" t="s">
        <v>10</v>
      </c>
      <c r="D1481" s="28" t="s">
        <v>722</v>
      </c>
      <c r="E1481" s="28"/>
      <c r="F1481" s="28">
        <v>0</v>
      </c>
      <c r="G1481" s="28" t="s">
        <v>125</v>
      </c>
      <c r="H1481" s="28">
        <v>0</v>
      </c>
      <c r="J1481" s="28"/>
    </row>
    <row r="1482" spans="1:10" ht="15.75" customHeight="1">
      <c r="A1482" s="28">
        <v>18874</v>
      </c>
      <c r="B1482" s="91">
        <v>45078.084131944444</v>
      </c>
      <c r="C1482" s="28" t="s">
        <v>10</v>
      </c>
      <c r="D1482" s="28" t="s">
        <v>722</v>
      </c>
      <c r="E1482" s="28"/>
      <c r="F1482" s="28">
        <v>0</v>
      </c>
      <c r="G1482" s="28" t="s">
        <v>119</v>
      </c>
      <c r="H1482" s="28">
        <v>0</v>
      </c>
      <c r="J1482" s="28"/>
    </row>
    <row r="1483" spans="1:10" ht="15.75" customHeight="1">
      <c r="A1483" s="28">
        <v>18873</v>
      </c>
      <c r="B1483" s="91">
        <v>45078.050775462965</v>
      </c>
      <c r="C1483" s="28" t="s">
        <v>10</v>
      </c>
      <c r="D1483" s="28" t="s">
        <v>723</v>
      </c>
      <c r="E1483" s="28"/>
      <c r="F1483" s="28">
        <v>28</v>
      </c>
      <c r="G1483" s="28" t="s">
        <v>143</v>
      </c>
      <c r="H1483" s="28">
        <v>0</v>
      </c>
      <c r="J1483" s="28"/>
    </row>
    <row r="1484" spans="1:10" ht="15.75" customHeight="1">
      <c r="A1484" s="28">
        <v>18872</v>
      </c>
      <c r="B1484" s="91">
        <v>45077.984918981485</v>
      </c>
      <c r="C1484" s="28" t="s">
        <v>10</v>
      </c>
      <c r="D1484" s="28" t="s">
        <v>724</v>
      </c>
      <c r="E1484" s="28"/>
      <c r="F1484" s="28">
        <v>26</v>
      </c>
      <c r="G1484" s="28" t="s">
        <v>122</v>
      </c>
      <c r="H1484" s="28">
        <v>0</v>
      </c>
      <c r="J1484" s="28"/>
    </row>
    <row r="1485" spans="1:10" ht="15.75" customHeight="1">
      <c r="A1485" s="28">
        <v>18872</v>
      </c>
      <c r="B1485" s="91">
        <v>45077.984918981485</v>
      </c>
      <c r="C1485" s="28" t="s">
        <v>10</v>
      </c>
      <c r="D1485" s="28" t="s">
        <v>724</v>
      </c>
      <c r="E1485" s="28"/>
      <c r="F1485" s="28">
        <v>18</v>
      </c>
      <c r="G1485" s="28" t="s">
        <v>119</v>
      </c>
      <c r="H1485" s="28">
        <v>0</v>
      </c>
      <c r="J1485" s="28"/>
    </row>
    <row r="1486" spans="1:10" ht="15.75" customHeight="1">
      <c r="A1486" s="28">
        <v>18871</v>
      </c>
      <c r="B1486" s="91">
        <v>45077.969537037032</v>
      </c>
      <c r="C1486" s="28" t="s">
        <v>10</v>
      </c>
      <c r="D1486" s="28" t="s">
        <v>725</v>
      </c>
      <c r="E1486" s="28"/>
      <c r="F1486" s="28">
        <v>25</v>
      </c>
      <c r="G1486" s="28">
        <v>100692</v>
      </c>
      <c r="H1486" s="28">
        <v>0</v>
      </c>
      <c r="J1486" s="28"/>
    </row>
    <row r="1487" spans="1:10" ht="15.75" customHeight="1">
      <c r="A1487" s="28">
        <v>18871</v>
      </c>
      <c r="B1487" s="91">
        <v>45077.969537037032</v>
      </c>
      <c r="C1487" s="28" t="s">
        <v>10</v>
      </c>
      <c r="D1487" s="28" t="s">
        <v>725</v>
      </c>
      <c r="E1487" s="28"/>
      <c r="F1487" s="28">
        <v>0</v>
      </c>
      <c r="G1487" s="28" t="s">
        <v>125</v>
      </c>
      <c r="H1487" s="28">
        <v>0</v>
      </c>
      <c r="J1487" s="28"/>
    </row>
    <row r="1488" spans="1:10" ht="15.75" customHeight="1">
      <c r="A1488" s="28">
        <v>18871</v>
      </c>
      <c r="B1488" s="91">
        <v>45077.969537037032</v>
      </c>
      <c r="C1488" s="28" t="s">
        <v>10</v>
      </c>
      <c r="D1488" s="28" t="s">
        <v>725</v>
      </c>
      <c r="E1488" s="28"/>
      <c r="F1488" s="28">
        <v>0</v>
      </c>
      <c r="G1488" s="28" t="s">
        <v>119</v>
      </c>
      <c r="H1488" s="28">
        <v>0</v>
      </c>
      <c r="J1488" s="28"/>
    </row>
    <row r="1489" spans="1:10" ht="15.75" customHeight="1">
      <c r="A1489" s="28">
        <v>18870</v>
      </c>
      <c r="B1489" s="91">
        <v>45077.968958333338</v>
      </c>
      <c r="C1489" s="28" t="s">
        <v>10</v>
      </c>
      <c r="D1489" s="28" t="s">
        <v>726</v>
      </c>
      <c r="E1489" s="28"/>
      <c r="F1489" s="28">
        <v>20</v>
      </c>
      <c r="G1489" s="28" t="s">
        <v>148</v>
      </c>
      <c r="H1489" s="28">
        <v>0</v>
      </c>
      <c r="J1489" s="28"/>
    </row>
    <row r="1490" spans="1:10" ht="15.75" customHeight="1">
      <c r="A1490" s="28">
        <v>18869</v>
      </c>
      <c r="B1490" s="91">
        <v>45077.939699074079</v>
      </c>
      <c r="C1490" s="28" t="s">
        <v>10</v>
      </c>
      <c r="D1490" s="28" t="s">
        <v>727</v>
      </c>
      <c r="E1490" s="28"/>
      <c r="F1490" s="28">
        <v>28</v>
      </c>
      <c r="G1490" s="28" t="s">
        <v>143</v>
      </c>
      <c r="H1490" s="28">
        <v>0</v>
      </c>
      <c r="J1490" s="28"/>
    </row>
    <row r="1491" spans="1:10" ht="15.75" customHeight="1">
      <c r="A1491" s="28">
        <v>18868</v>
      </c>
      <c r="B1491" s="91">
        <v>45077.937523148154</v>
      </c>
      <c r="C1491" s="28" t="s">
        <v>10</v>
      </c>
      <c r="D1491" s="28" t="s">
        <v>728</v>
      </c>
      <c r="E1491" s="28"/>
      <c r="F1491" s="28">
        <v>35</v>
      </c>
      <c r="G1491" s="28" t="s">
        <v>124</v>
      </c>
      <c r="H1491" s="28">
        <v>0</v>
      </c>
      <c r="J1491" s="28"/>
    </row>
    <row r="1492" spans="1:10" ht="15.75" customHeight="1">
      <c r="A1492" s="28">
        <v>18868</v>
      </c>
      <c r="B1492" s="91">
        <v>45077.937523148154</v>
      </c>
      <c r="C1492" s="28" t="s">
        <v>10</v>
      </c>
      <c r="D1492" s="28" t="s">
        <v>728</v>
      </c>
      <c r="E1492" s="28"/>
      <c r="F1492" s="28">
        <v>0</v>
      </c>
      <c r="G1492" s="28" t="s">
        <v>125</v>
      </c>
      <c r="H1492" s="28">
        <v>0</v>
      </c>
      <c r="J1492" s="28"/>
    </row>
    <row r="1493" spans="1:10" ht="15.75" customHeight="1">
      <c r="A1493" s="28">
        <v>18868</v>
      </c>
      <c r="B1493" s="91">
        <v>45077.937523148154</v>
      </c>
      <c r="C1493" s="28" t="s">
        <v>10</v>
      </c>
      <c r="D1493" s="28" t="s">
        <v>728</v>
      </c>
      <c r="E1493" s="28"/>
      <c r="F1493" s="28">
        <v>0</v>
      </c>
      <c r="G1493" s="28" t="s">
        <v>119</v>
      </c>
      <c r="H1493" s="28">
        <v>0</v>
      </c>
      <c r="J1493" s="28"/>
    </row>
    <row r="1494" spans="1:10" ht="15.75" customHeight="1">
      <c r="A1494" s="28">
        <v>18868</v>
      </c>
      <c r="B1494" s="91">
        <v>45077.937523148154</v>
      </c>
      <c r="C1494" s="28" t="s">
        <v>10</v>
      </c>
      <c r="D1494" s="28" t="s">
        <v>728</v>
      </c>
      <c r="E1494" s="28"/>
      <c r="F1494" s="28">
        <v>0</v>
      </c>
      <c r="G1494" s="28" t="s">
        <v>121</v>
      </c>
      <c r="H1494" s="28">
        <v>0</v>
      </c>
      <c r="J1494" s="28"/>
    </row>
    <row r="1495" spans="1:10" ht="15.75" customHeight="1">
      <c r="A1495" s="28">
        <v>18867</v>
      </c>
      <c r="B1495" s="91">
        <v>45077.9222337963</v>
      </c>
      <c r="C1495" s="28" t="s">
        <v>10</v>
      </c>
      <c r="D1495" s="28" t="s">
        <v>729</v>
      </c>
      <c r="E1495" s="28"/>
      <c r="F1495" s="28">
        <v>50</v>
      </c>
      <c r="G1495" s="28">
        <v>100692</v>
      </c>
      <c r="H1495" s="28">
        <v>0</v>
      </c>
      <c r="J1495" s="28"/>
    </row>
    <row r="1496" spans="1:10" ht="15.75" customHeight="1">
      <c r="A1496" s="28">
        <v>18867</v>
      </c>
      <c r="B1496" s="91">
        <v>45077.9222337963</v>
      </c>
      <c r="C1496" s="28" t="s">
        <v>10</v>
      </c>
      <c r="D1496" s="28" t="s">
        <v>729</v>
      </c>
      <c r="E1496" s="28"/>
      <c r="F1496" s="28">
        <v>0</v>
      </c>
      <c r="G1496" s="28" t="s">
        <v>125</v>
      </c>
      <c r="H1496" s="28">
        <v>0</v>
      </c>
      <c r="J1496" s="28"/>
    </row>
    <row r="1497" spans="1:10" ht="15.75" customHeight="1">
      <c r="A1497" s="28">
        <v>18867</v>
      </c>
      <c r="B1497" s="91">
        <v>45077.9222337963</v>
      </c>
      <c r="C1497" s="28" t="s">
        <v>10</v>
      </c>
      <c r="D1497" s="28" t="s">
        <v>729</v>
      </c>
      <c r="E1497" s="28"/>
      <c r="F1497" s="28">
        <v>0</v>
      </c>
      <c r="G1497" s="28" t="s">
        <v>119</v>
      </c>
      <c r="H1497" s="28">
        <v>0</v>
      </c>
      <c r="J1497" s="28"/>
    </row>
    <row r="1498" spans="1:10" ht="15.75" customHeight="1">
      <c r="A1498" s="28">
        <v>18866</v>
      </c>
      <c r="B1498" s="91">
        <v>45077.922060185185</v>
      </c>
      <c r="C1498" s="28" t="s">
        <v>10</v>
      </c>
      <c r="D1498" s="28" t="s">
        <v>730</v>
      </c>
      <c r="E1498" s="28"/>
      <c r="F1498" s="28">
        <v>28</v>
      </c>
      <c r="G1498" s="28" t="s">
        <v>143</v>
      </c>
      <c r="H1498" s="28">
        <v>0</v>
      </c>
      <c r="J1498" s="28"/>
    </row>
    <row r="1499" spans="1:10" ht="15.75" customHeight="1">
      <c r="A1499" s="28">
        <v>18865</v>
      </c>
      <c r="B1499" s="91">
        <v>45077.920856481476</v>
      </c>
      <c r="C1499" s="28" t="s">
        <v>10</v>
      </c>
      <c r="D1499" s="28" t="s">
        <v>731</v>
      </c>
      <c r="E1499" s="28"/>
      <c r="F1499" s="28">
        <v>25</v>
      </c>
      <c r="G1499" s="28">
        <v>100692</v>
      </c>
      <c r="H1499" s="28">
        <v>0</v>
      </c>
      <c r="J1499" s="28"/>
    </row>
    <row r="1500" spans="1:10" ht="15.75" customHeight="1">
      <c r="A1500" s="28">
        <v>18865</v>
      </c>
      <c r="B1500" s="91">
        <v>45077.920856481476</v>
      </c>
      <c r="C1500" s="28" t="s">
        <v>10</v>
      </c>
      <c r="D1500" s="28" t="s">
        <v>731</v>
      </c>
      <c r="E1500" s="28"/>
      <c r="F1500" s="28">
        <v>0</v>
      </c>
      <c r="G1500" s="28" t="s">
        <v>125</v>
      </c>
      <c r="H1500" s="28">
        <v>0</v>
      </c>
      <c r="J1500" s="28"/>
    </row>
    <row r="1501" spans="1:10" ht="15.75" customHeight="1">
      <c r="A1501" s="28">
        <v>18865</v>
      </c>
      <c r="B1501" s="91">
        <v>45077.920856481476</v>
      </c>
      <c r="C1501" s="28" t="s">
        <v>10</v>
      </c>
      <c r="D1501" s="28" t="s">
        <v>731</v>
      </c>
      <c r="E1501" s="28"/>
      <c r="F1501" s="28">
        <v>0</v>
      </c>
      <c r="G1501" s="28" t="s">
        <v>119</v>
      </c>
      <c r="H1501" s="28">
        <v>0</v>
      </c>
      <c r="J1501" s="28"/>
    </row>
    <row r="1502" spans="1:10" ht="15.75" customHeight="1">
      <c r="A1502" s="28">
        <v>18864</v>
      </c>
      <c r="B1502" s="91">
        <v>45077.920081018514</v>
      </c>
      <c r="C1502" s="28" t="s">
        <v>10</v>
      </c>
      <c r="D1502" s="28" t="s">
        <v>732</v>
      </c>
      <c r="E1502" s="28"/>
      <c r="F1502" s="28">
        <v>25</v>
      </c>
      <c r="G1502" s="28">
        <v>100692</v>
      </c>
      <c r="H1502" s="28">
        <v>0</v>
      </c>
      <c r="J1502" s="28"/>
    </row>
    <row r="1503" spans="1:10" ht="15.75" customHeight="1">
      <c r="A1503" s="28">
        <v>18864</v>
      </c>
      <c r="B1503" s="91">
        <v>45077.920081018514</v>
      </c>
      <c r="C1503" s="28" t="s">
        <v>10</v>
      </c>
      <c r="D1503" s="28" t="s">
        <v>732</v>
      </c>
      <c r="E1503" s="28"/>
      <c r="F1503" s="28">
        <v>0</v>
      </c>
      <c r="G1503" s="28" t="s">
        <v>125</v>
      </c>
      <c r="H1503" s="28">
        <v>0</v>
      </c>
      <c r="J1503" s="28"/>
    </row>
    <row r="1504" spans="1:10" ht="15.75" customHeight="1">
      <c r="A1504" s="28">
        <v>18864</v>
      </c>
      <c r="B1504" s="91">
        <v>45077.920081018514</v>
      </c>
      <c r="C1504" s="28" t="s">
        <v>10</v>
      </c>
      <c r="D1504" s="28" t="s">
        <v>732</v>
      </c>
      <c r="E1504" s="28"/>
      <c r="F1504" s="28">
        <v>0</v>
      </c>
      <c r="G1504" s="28" t="s">
        <v>119</v>
      </c>
      <c r="H1504" s="28">
        <v>0</v>
      </c>
      <c r="J1504" s="28"/>
    </row>
    <row r="1505" spans="1:10" ht="15.75" customHeight="1">
      <c r="A1505" s="28">
        <v>18863</v>
      </c>
      <c r="B1505" s="91">
        <v>45077.917499999996</v>
      </c>
      <c r="C1505" s="28" t="s">
        <v>10</v>
      </c>
      <c r="D1505" s="28" t="s">
        <v>733</v>
      </c>
      <c r="E1505" s="28"/>
      <c r="F1505" s="28">
        <v>25</v>
      </c>
      <c r="G1505" s="28">
        <v>100692</v>
      </c>
      <c r="H1505" s="28">
        <v>0</v>
      </c>
      <c r="J1505" s="28"/>
    </row>
    <row r="1506" spans="1:10" ht="15.75" customHeight="1">
      <c r="A1506" s="28">
        <v>18863</v>
      </c>
      <c r="B1506" s="91">
        <v>45077.917499999996</v>
      </c>
      <c r="C1506" s="28" t="s">
        <v>10</v>
      </c>
      <c r="D1506" s="28" t="s">
        <v>733</v>
      </c>
      <c r="E1506" s="28"/>
      <c r="F1506" s="28">
        <v>0</v>
      </c>
      <c r="G1506" s="28" t="s">
        <v>125</v>
      </c>
      <c r="H1506" s="28">
        <v>0</v>
      </c>
      <c r="J1506" s="28"/>
    </row>
    <row r="1507" spans="1:10" ht="15.75" customHeight="1">
      <c r="A1507" s="28">
        <v>18863</v>
      </c>
      <c r="B1507" s="91">
        <v>45077.917499999996</v>
      </c>
      <c r="C1507" s="28" t="s">
        <v>10</v>
      </c>
      <c r="D1507" s="28" t="s">
        <v>733</v>
      </c>
      <c r="E1507" s="28"/>
      <c r="F1507" s="28">
        <v>0</v>
      </c>
      <c r="G1507" s="28" t="s">
        <v>119</v>
      </c>
      <c r="H1507" s="28">
        <v>0</v>
      </c>
      <c r="J1507" s="28"/>
    </row>
    <row r="1508" spans="1:10" ht="15.75" customHeight="1">
      <c r="A1508" s="28">
        <v>18862</v>
      </c>
      <c r="B1508" s="91">
        <v>45077.915023148147</v>
      </c>
      <c r="C1508" s="28" t="s">
        <v>10</v>
      </c>
      <c r="D1508" s="28" t="s">
        <v>734</v>
      </c>
      <c r="E1508" s="28"/>
      <c r="F1508" s="28">
        <v>25</v>
      </c>
      <c r="G1508" s="28">
        <v>100692</v>
      </c>
      <c r="H1508" s="28">
        <v>0</v>
      </c>
      <c r="J1508" s="28"/>
    </row>
    <row r="1509" spans="1:10" ht="15.75" customHeight="1">
      <c r="A1509" s="28">
        <v>18862</v>
      </c>
      <c r="B1509" s="91">
        <v>45077.915023148147</v>
      </c>
      <c r="C1509" s="28" t="s">
        <v>10</v>
      </c>
      <c r="D1509" s="28" t="s">
        <v>734</v>
      </c>
      <c r="E1509" s="28"/>
      <c r="F1509" s="28">
        <v>0</v>
      </c>
      <c r="G1509" s="28" t="s">
        <v>125</v>
      </c>
      <c r="H1509" s="28">
        <v>0</v>
      </c>
      <c r="J1509" s="28"/>
    </row>
    <row r="1510" spans="1:10" ht="15.75" customHeight="1">
      <c r="A1510" s="28">
        <v>18862</v>
      </c>
      <c r="B1510" s="91">
        <v>45077.915023148147</v>
      </c>
      <c r="C1510" s="28" t="s">
        <v>10</v>
      </c>
      <c r="D1510" s="28" t="s">
        <v>734</v>
      </c>
      <c r="E1510" s="28"/>
      <c r="F1510" s="28">
        <v>0</v>
      </c>
      <c r="G1510" s="28" t="s">
        <v>119</v>
      </c>
      <c r="H1510" s="28">
        <v>0</v>
      </c>
      <c r="J1510" s="28"/>
    </row>
    <row r="1511" spans="1:10" ht="15.75" customHeight="1">
      <c r="A1511" s="28">
        <v>18861</v>
      </c>
      <c r="B1511" s="91">
        <v>45077.871678240743</v>
      </c>
      <c r="C1511" s="28" t="s">
        <v>10</v>
      </c>
      <c r="D1511" s="28" t="s">
        <v>735</v>
      </c>
      <c r="E1511" s="28"/>
      <c r="F1511" s="28">
        <v>26</v>
      </c>
      <c r="G1511" s="28" t="s">
        <v>122</v>
      </c>
      <c r="H1511" s="28">
        <v>0</v>
      </c>
      <c r="J1511" s="28"/>
    </row>
    <row r="1512" spans="1:10" ht="15.75" customHeight="1">
      <c r="A1512" s="28">
        <v>18860</v>
      </c>
      <c r="B1512" s="91">
        <v>45076.541261574079</v>
      </c>
      <c r="C1512" s="28" t="s">
        <v>10</v>
      </c>
      <c r="D1512" s="28" t="s">
        <v>736</v>
      </c>
      <c r="E1512" s="28"/>
      <c r="F1512" s="28">
        <v>0</v>
      </c>
      <c r="G1512" s="28" t="s">
        <v>117</v>
      </c>
      <c r="H1512" s="28">
        <v>0</v>
      </c>
      <c r="J1512" s="28"/>
    </row>
    <row r="1513" spans="1:10" ht="15.75" customHeight="1">
      <c r="A1513" s="28">
        <v>18860</v>
      </c>
      <c r="B1513" s="91">
        <v>45076.541261574079</v>
      </c>
      <c r="C1513" s="28" t="s">
        <v>10</v>
      </c>
      <c r="D1513" s="28" t="s">
        <v>736</v>
      </c>
      <c r="E1513" s="28"/>
      <c r="F1513" s="28">
        <v>20</v>
      </c>
      <c r="G1513" s="28"/>
      <c r="H1513" s="28">
        <v>0</v>
      </c>
      <c r="J1513" s="28"/>
    </row>
    <row r="1514" spans="1:10" ht="15.75" customHeight="1">
      <c r="A1514" s="28">
        <v>18850</v>
      </c>
      <c r="B1514" s="91">
        <v>45074.967106481483</v>
      </c>
      <c r="C1514" s="28" t="s">
        <v>10</v>
      </c>
      <c r="D1514" s="28" t="s">
        <v>737</v>
      </c>
      <c r="E1514" s="28"/>
      <c r="F1514" s="28">
        <v>25</v>
      </c>
      <c r="G1514" s="28">
        <v>100692</v>
      </c>
      <c r="H1514" s="28">
        <v>0</v>
      </c>
      <c r="J1514" s="28"/>
    </row>
    <row r="1515" spans="1:10" ht="15.75" customHeight="1">
      <c r="A1515" s="28">
        <v>18850</v>
      </c>
      <c r="B1515" s="91">
        <v>45074.967106481483</v>
      </c>
      <c r="C1515" s="28" t="s">
        <v>10</v>
      </c>
      <c r="D1515" s="28" t="s">
        <v>737</v>
      </c>
      <c r="E1515" s="28"/>
      <c r="F1515" s="28">
        <v>0</v>
      </c>
      <c r="G1515" s="28" t="s">
        <v>125</v>
      </c>
      <c r="H1515" s="28">
        <v>0</v>
      </c>
      <c r="J1515" s="28"/>
    </row>
    <row r="1516" spans="1:10" ht="15.75" customHeight="1">
      <c r="A1516" s="28">
        <v>18850</v>
      </c>
      <c r="B1516" s="91">
        <v>45074.967106481483</v>
      </c>
      <c r="C1516" s="28" t="s">
        <v>10</v>
      </c>
      <c r="D1516" s="28" t="s">
        <v>737</v>
      </c>
      <c r="E1516" s="28"/>
      <c r="F1516" s="28">
        <v>0</v>
      </c>
      <c r="G1516" s="28" t="s">
        <v>119</v>
      </c>
      <c r="H1516" s="28">
        <v>0</v>
      </c>
      <c r="J1516" s="28"/>
    </row>
    <row r="1517" spans="1:10" ht="15.75" customHeight="1">
      <c r="A1517" s="28">
        <v>18850</v>
      </c>
      <c r="B1517" s="91">
        <v>45074.967106481483</v>
      </c>
      <c r="C1517" s="28" t="s">
        <v>10</v>
      </c>
      <c r="D1517" s="28" t="s">
        <v>737</v>
      </c>
      <c r="E1517" s="28"/>
      <c r="F1517" s="28">
        <v>22</v>
      </c>
      <c r="G1517" s="28" t="s">
        <v>137</v>
      </c>
      <c r="H1517" s="28">
        <v>0</v>
      </c>
      <c r="J1517" s="28"/>
    </row>
    <row r="1518" spans="1:10" ht="15.75" customHeight="1">
      <c r="A1518" s="28">
        <v>18849</v>
      </c>
      <c r="B1518" s="91">
        <v>45074.917962962965</v>
      </c>
      <c r="C1518" s="28" t="s">
        <v>10</v>
      </c>
      <c r="D1518" s="28" t="s">
        <v>738</v>
      </c>
      <c r="E1518" s="28"/>
      <c r="F1518" s="28">
        <v>25</v>
      </c>
      <c r="G1518" s="28" t="s">
        <v>141</v>
      </c>
      <c r="H1518" s="28">
        <v>0</v>
      </c>
      <c r="J1518" s="28"/>
    </row>
    <row r="1519" spans="1:10" ht="15.75" customHeight="1">
      <c r="A1519" s="28">
        <v>18849</v>
      </c>
      <c r="B1519" s="91">
        <v>45074.917962962965</v>
      </c>
      <c r="C1519" s="28" t="s">
        <v>10</v>
      </c>
      <c r="D1519" s="28" t="s">
        <v>738</v>
      </c>
      <c r="E1519" s="28"/>
      <c r="F1519" s="28">
        <v>22</v>
      </c>
      <c r="G1519" s="28" t="s">
        <v>137</v>
      </c>
      <c r="H1519" s="28">
        <v>0</v>
      </c>
      <c r="J1519" s="28"/>
    </row>
    <row r="1520" spans="1:10" ht="15.75" customHeight="1">
      <c r="A1520" s="28">
        <v>18848</v>
      </c>
      <c r="B1520" s="91">
        <v>45074.887488425928</v>
      </c>
      <c r="C1520" s="28" t="s">
        <v>10</v>
      </c>
      <c r="D1520" s="28" t="s">
        <v>739</v>
      </c>
      <c r="E1520" s="28"/>
      <c r="F1520" s="28">
        <v>30</v>
      </c>
      <c r="G1520" s="28" t="s">
        <v>128</v>
      </c>
      <c r="H1520" s="28">
        <v>0</v>
      </c>
      <c r="J1520" s="28"/>
    </row>
    <row r="1521" spans="1:10" ht="15.75" customHeight="1">
      <c r="A1521" s="28">
        <v>18848</v>
      </c>
      <c r="B1521" s="91">
        <v>45074.887488425928</v>
      </c>
      <c r="C1521" s="28" t="s">
        <v>10</v>
      </c>
      <c r="D1521" s="28" t="s">
        <v>739</v>
      </c>
      <c r="E1521" s="28"/>
      <c r="F1521" s="28">
        <v>0</v>
      </c>
      <c r="G1521" s="28" t="s">
        <v>125</v>
      </c>
      <c r="H1521" s="28">
        <v>0</v>
      </c>
      <c r="J1521" s="28"/>
    </row>
    <row r="1522" spans="1:10" ht="15.75" customHeight="1">
      <c r="A1522" s="28">
        <v>18848</v>
      </c>
      <c r="B1522" s="91">
        <v>45074.887488425928</v>
      </c>
      <c r="C1522" s="28" t="s">
        <v>10</v>
      </c>
      <c r="D1522" s="28" t="s">
        <v>739</v>
      </c>
      <c r="E1522" s="28"/>
      <c r="F1522" s="28">
        <v>0</v>
      </c>
      <c r="G1522" s="28" t="s">
        <v>119</v>
      </c>
      <c r="H1522" s="28">
        <v>0</v>
      </c>
      <c r="J1522" s="28"/>
    </row>
    <row r="1523" spans="1:10" ht="15.75" customHeight="1">
      <c r="A1523" s="28">
        <v>18847</v>
      </c>
      <c r="B1523" s="91">
        <v>45074.884780092594</v>
      </c>
      <c r="C1523" s="28" t="s">
        <v>10</v>
      </c>
      <c r="D1523" s="28" t="s">
        <v>739</v>
      </c>
      <c r="E1523" s="28"/>
      <c r="F1523" s="28">
        <v>55</v>
      </c>
      <c r="G1523" s="28">
        <v>101684</v>
      </c>
      <c r="H1523" s="28">
        <v>0</v>
      </c>
      <c r="J1523" s="28"/>
    </row>
    <row r="1524" spans="1:10" ht="15.75" customHeight="1">
      <c r="A1524" s="28">
        <v>18847</v>
      </c>
      <c r="B1524" s="91">
        <v>45074.884780092594</v>
      </c>
      <c r="C1524" s="28" t="s">
        <v>10</v>
      </c>
      <c r="D1524" s="28" t="s">
        <v>739</v>
      </c>
      <c r="E1524" s="28"/>
      <c r="F1524" s="28">
        <v>0</v>
      </c>
      <c r="G1524" s="28" t="s">
        <v>118</v>
      </c>
      <c r="H1524" s="28">
        <v>0</v>
      </c>
      <c r="J1524" s="28"/>
    </row>
    <row r="1525" spans="1:10" ht="15.75" customHeight="1">
      <c r="A1525" s="28">
        <v>18847</v>
      </c>
      <c r="B1525" s="91">
        <v>45074.884780092594</v>
      </c>
      <c r="C1525" s="28" t="s">
        <v>10</v>
      </c>
      <c r="D1525" s="28" t="s">
        <v>739</v>
      </c>
      <c r="E1525" s="28"/>
      <c r="F1525" s="28">
        <v>0</v>
      </c>
      <c r="G1525" s="28" t="s">
        <v>119</v>
      </c>
      <c r="H1525" s="28">
        <v>0</v>
      </c>
      <c r="J1525" s="28"/>
    </row>
    <row r="1526" spans="1:10" ht="15.75" customHeight="1">
      <c r="A1526" s="28">
        <v>18847</v>
      </c>
      <c r="B1526" s="91">
        <v>45074.884780092594</v>
      </c>
      <c r="C1526" s="28" t="s">
        <v>10</v>
      </c>
      <c r="D1526" s="28" t="s">
        <v>739</v>
      </c>
      <c r="E1526" s="28"/>
      <c r="F1526" s="28">
        <v>0</v>
      </c>
      <c r="G1526" s="28" t="s">
        <v>120</v>
      </c>
      <c r="H1526" s="28">
        <v>0</v>
      </c>
      <c r="J1526" s="28"/>
    </row>
    <row r="1527" spans="1:10" ht="15.75" customHeight="1">
      <c r="A1527" s="28">
        <v>18847</v>
      </c>
      <c r="B1527" s="91">
        <v>45074.884780092594</v>
      </c>
      <c r="C1527" s="28" t="s">
        <v>10</v>
      </c>
      <c r="D1527" s="28" t="s">
        <v>739</v>
      </c>
      <c r="E1527" s="28"/>
      <c r="F1527" s="28">
        <v>0</v>
      </c>
      <c r="G1527" s="28" t="s">
        <v>121</v>
      </c>
      <c r="H1527" s="28">
        <v>0</v>
      </c>
      <c r="J1527" s="28"/>
    </row>
    <row r="1528" spans="1:10" ht="15.75" customHeight="1">
      <c r="A1528" s="28">
        <v>18846</v>
      </c>
      <c r="B1528" s="91">
        <v>45074.882361111115</v>
      </c>
      <c r="C1528" s="28" t="s">
        <v>10</v>
      </c>
      <c r="D1528" s="28" t="s">
        <v>740</v>
      </c>
      <c r="E1528" s="28"/>
      <c r="F1528" s="28">
        <v>55</v>
      </c>
      <c r="G1528" s="28">
        <v>101684</v>
      </c>
      <c r="H1528" s="28">
        <v>0</v>
      </c>
      <c r="J1528" s="28"/>
    </row>
    <row r="1529" spans="1:10" ht="15.75" customHeight="1">
      <c r="A1529" s="28">
        <v>18846</v>
      </c>
      <c r="B1529" s="91">
        <v>45074.882361111115</v>
      </c>
      <c r="C1529" s="28" t="s">
        <v>10</v>
      </c>
      <c r="D1529" s="28" t="s">
        <v>740</v>
      </c>
      <c r="E1529" s="28"/>
      <c r="F1529" s="28">
        <v>0</v>
      </c>
      <c r="G1529" s="28" t="s">
        <v>118</v>
      </c>
      <c r="H1529" s="28">
        <v>0</v>
      </c>
      <c r="J1529" s="28"/>
    </row>
    <row r="1530" spans="1:10" ht="15.75" customHeight="1">
      <c r="A1530" s="28">
        <v>18846</v>
      </c>
      <c r="B1530" s="91">
        <v>45074.882361111115</v>
      </c>
      <c r="C1530" s="28" t="s">
        <v>10</v>
      </c>
      <c r="D1530" s="28" t="s">
        <v>740</v>
      </c>
      <c r="E1530" s="28"/>
      <c r="F1530" s="28">
        <v>0</v>
      </c>
      <c r="G1530" s="28" t="s">
        <v>119</v>
      </c>
      <c r="H1530" s="28">
        <v>0</v>
      </c>
      <c r="J1530" s="28"/>
    </row>
    <row r="1531" spans="1:10" ht="15.75" customHeight="1">
      <c r="A1531" s="28">
        <v>18846</v>
      </c>
      <c r="B1531" s="91">
        <v>45074.882361111115</v>
      </c>
      <c r="C1531" s="28" t="s">
        <v>10</v>
      </c>
      <c r="D1531" s="28" t="s">
        <v>740</v>
      </c>
      <c r="E1531" s="28"/>
      <c r="F1531" s="28">
        <v>0</v>
      </c>
      <c r="G1531" s="28" t="s">
        <v>120</v>
      </c>
      <c r="H1531" s="28">
        <v>0</v>
      </c>
      <c r="J1531" s="28"/>
    </row>
    <row r="1532" spans="1:10" ht="15.75" customHeight="1">
      <c r="A1532" s="28">
        <v>18846</v>
      </c>
      <c r="B1532" s="91">
        <v>45074.882361111115</v>
      </c>
      <c r="C1532" s="28" t="s">
        <v>10</v>
      </c>
      <c r="D1532" s="28" t="s">
        <v>740</v>
      </c>
      <c r="E1532" s="28"/>
      <c r="F1532" s="28">
        <v>0</v>
      </c>
      <c r="G1532" s="28" t="s">
        <v>121</v>
      </c>
      <c r="H1532" s="28">
        <v>0</v>
      </c>
      <c r="J1532" s="28"/>
    </row>
    <row r="1533" spans="1:10" ht="15.75" customHeight="1">
      <c r="A1533" s="28">
        <v>18845</v>
      </c>
      <c r="B1533" s="91">
        <v>45074.652361111112</v>
      </c>
      <c r="C1533" s="28" t="s">
        <v>8</v>
      </c>
      <c r="D1533" s="28" t="s">
        <v>741</v>
      </c>
      <c r="E1533" s="28"/>
      <c r="F1533" s="28">
        <v>15</v>
      </c>
      <c r="G1533" s="28" t="s">
        <v>742</v>
      </c>
      <c r="H1533" s="28">
        <v>0</v>
      </c>
      <c r="J1533" s="28"/>
    </row>
    <row r="1534" spans="1:10" ht="15.75" customHeight="1">
      <c r="A1534" s="28">
        <v>18844</v>
      </c>
      <c r="B1534" s="91">
        <v>45074.647673611107</v>
      </c>
      <c r="C1534" s="28" t="s">
        <v>10</v>
      </c>
      <c r="D1534" s="28" t="s">
        <v>743</v>
      </c>
      <c r="E1534" s="28"/>
      <c r="F1534" s="28">
        <v>15</v>
      </c>
      <c r="G1534" s="28" t="s">
        <v>125</v>
      </c>
      <c r="H1534" s="28">
        <v>0</v>
      </c>
      <c r="J1534" s="28"/>
    </row>
    <row r="1535" spans="1:10" ht="15.75" customHeight="1">
      <c r="A1535" s="28">
        <v>18843</v>
      </c>
      <c r="B1535" s="91">
        <v>45073.995092592595</v>
      </c>
      <c r="C1535" s="28" t="s">
        <v>10</v>
      </c>
      <c r="D1535" s="28" t="s">
        <v>744</v>
      </c>
      <c r="E1535" s="28"/>
      <c r="F1535" s="28">
        <v>28</v>
      </c>
      <c r="G1535" s="28" t="s">
        <v>143</v>
      </c>
      <c r="H1535" s="28">
        <v>0</v>
      </c>
      <c r="J1535" s="28"/>
    </row>
    <row r="1536" spans="1:10" ht="15.75" customHeight="1">
      <c r="A1536" s="28">
        <v>18842</v>
      </c>
      <c r="B1536" s="91">
        <v>45073.532488425924</v>
      </c>
      <c r="C1536" s="28" t="s">
        <v>10</v>
      </c>
      <c r="D1536" s="28" t="s">
        <v>745</v>
      </c>
      <c r="E1536" s="28"/>
      <c r="F1536" s="28">
        <v>25</v>
      </c>
      <c r="G1536" s="28" t="s">
        <v>141</v>
      </c>
      <c r="H1536" s="28">
        <v>0</v>
      </c>
      <c r="J1536" s="28"/>
    </row>
    <row r="1537" spans="1:10" ht="15.75" customHeight="1">
      <c r="A1537" s="28">
        <v>18841</v>
      </c>
      <c r="B1537" s="91">
        <v>45073.05332175926</v>
      </c>
      <c r="C1537" s="28" t="s">
        <v>10</v>
      </c>
      <c r="D1537" s="28" t="s">
        <v>746</v>
      </c>
      <c r="E1537" s="28"/>
      <c r="F1537" s="28">
        <v>25</v>
      </c>
      <c r="G1537" s="28" t="s">
        <v>141</v>
      </c>
      <c r="H1537" s="28">
        <v>0</v>
      </c>
      <c r="J1537" s="28"/>
    </row>
    <row r="1538" spans="1:10" ht="15.75" customHeight="1">
      <c r="A1538" s="28">
        <v>18840</v>
      </c>
      <c r="B1538" s="91">
        <v>45072.9919212963</v>
      </c>
      <c r="C1538" s="28" t="s">
        <v>10</v>
      </c>
      <c r="D1538" s="28" t="s">
        <v>747</v>
      </c>
      <c r="E1538" s="28"/>
      <c r="F1538" s="28">
        <v>56</v>
      </c>
      <c r="G1538" s="28" t="s">
        <v>143</v>
      </c>
      <c r="H1538" s="28">
        <v>0</v>
      </c>
      <c r="J1538" s="28"/>
    </row>
    <row r="1539" spans="1:10" ht="15.75" customHeight="1">
      <c r="A1539" s="28">
        <v>18839</v>
      </c>
      <c r="B1539" s="91">
        <v>45072.985868055555</v>
      </c>
      <c r="C1539" s="28" t="s">
        <v>10</v>
      </c>
      <c r="D1539" s="28" t="s">
        <v>748</v>
      </c>
      <c r="E1539" s="28"/>
      <c r="F1539" s="28">
        <v>28</v>
      </c>
      <c r="G1539" s="28" t="s">
        <v>143</v>
      </c>
      <c r="H1539" s="28">
        <v>0</v>
      </c>
      <c r="J1539" s="28"/>
    </row>
    <row r="1540" spans="1:10" ht="15.75" customHeight="1">
      <c r="A1540" s="28">
        <v>18838</v>
      </c>
      <c r="B1540" s="91">
        <v>45072.9840162037</v>
      </c>
      <c r="C1540" s="28" t="s">
        <v>10</v>
      </c>
      <c r="D1540" s="28" t="s">
        <v>749</v>
      </c>
      <c r="E1540" s="28"/>
      <c r="F1540" s="28">
        <v>28</v>
      </c>
      <c r="G1540" s="28" t="s">
        <v>143</v>
      </c>
      <c r="H1540" s="28">
        <v>0</v>
      </c>
      <c r="J1540" s="28"/>
    </row>
    <row r="1541" spans="1:10" ht="15.75" customHeight="1">
      <c r="A1541" s="28">
        <v>18837</v>
      </c>
      <c r="B1541" s="91">
        <v>45072.946354166663</v>
      </c>
      <c r="C1541" s="28" t="s">
        <v>10</v>
      </c>
      <c r="D1541" s="28" t="s">
        <v>750</v>
      </c>
      <c r="E1541" s="28"/>
      <c r="F1541" s="28">
        <v>25</v>
      </c>
      <c r="G1541" s="28">
        <v>100692</v>
      </c>
      <c r="H1541" s="28">
        <v>0</v>
      </c>
      <c r="J1541" s="28"/>
    </row>
    <row r="1542" spans="1:10" ht="15.75" customHeight="1">
      <c r="A1542" s="28">
        <v>18837</v>
      </c>
      <c r="B1542" s="91">
        <v>45072.946354166663</v>
      </c>
      <c r="C1542" s="28" t="s">
        <v>10</v>
      </c>
      <c r="D1542" s="28" t="s">
        <v>750</v>
      </c>
      <c r="E1542" s="28"/>
      <c r="F1542" s="28">
        <v>0</v>
      </c>
      <c r="G1542" s="28" t="s">
        <v>125</v>
      </c>
      <c r="H1542" s="28">
        <v>0</v>
      </c>
      <c r="J1542" s="28"/>
    </row>
    <row r="1543" spans="1:10" ht="15.75" customHeight="1">
      <c r="A1543" s="28">
        <v>18837</v>
      </c>
      <c r="B1543" s="91">
        <v>45072.946354166663</v>
      </c>
      <c r="C1543" s="28" t="s">
        <v>10</v>
      </c>
      <c r="D1543" s="28" t="s">
        <v>750</v>
      </c>
      <c r="E1543" s="28"/>
      <c r="F1543" s="28">
        <v>0</v>
      </c>
      <c r="G1543" s="28" t="s">
        <v>119</v>
      </c>
      <c r="H1543" s="28">
        <v>0</v>
      </c>
      <c r="J1543" s="28"/>
    </row>
    <row r="1544" spans="1:10" ht="15.75" customHeight="1">
      <c r="A1544" s="28">
        <v>18836</v>
      </c>
      <c r="B1544" s="91">
        <v>45072.932847222226</v>
      </c>
      <c r="C1544" s="28" t="s">
        <v>10</v>
      </c>
      <c r="D1544" s="28" t="s">
        <v>613</v>
      </c>
      <c r="E1544" s="28"/>
      <c r="F1544" s="28">
        <v>25</v>
      </c>
      <c r="G1544" s="28">
        <v>100692</v>
      </c>
      <c r="H1544" s="28">
        <v>0</v>
      </c>
      <c r="J1544" s="28"/>
    </row>
    <row r="1545" spans="1:10" ht="15.75" customHeight="1">
      <c r="A1545" s="28">
        <v>18836</v>
      </c>
      <c r="B1545" s="91">
        <v>45072.932847222226</v>
      </c>
      <c r="C1545" s="28" t="s">
        <v>10</v>
      </c>
      <c r="D1545" s="28" t="s">
        <v>613</v>
      </c>
      <c r="E1545" s="28"/>
      <c r="F1545" s="28">
        <v>0</v>
      </c>
      <c r="G1545" s="28" t="s">
        <v>125</v>
      </c>
      <c r="H1545" s="28">
        <v>0</v>
      </c>
      <c r="J1545" s="28"/>
    </row>
    <row r="1546" spans="1:10" ht="15.75" customHeight="1">
      <c r="A1546" s="28">
        <v>18836</v>
      </c>
      <c r="B1546" s="91">
        <v>45072.932847222226</v>
      </c>
      <c r="C1546" s="28" t="s">
        <v>10</v>
      </c>
      <c r="D1546" s="28" t="s">
        <v>613</v>
      </c>
      <c r="E1546" s="28"/>
      <c r="F1546" s="28">
        <v>0</v>
      </c>
      <c r="G1546" s="28" t="s">
        <v>119</v>
      </c>
      <c r="H1546" s="28">
        <v>0</v>
      </c>
      <c r="J1546" s="28"/>
    </row>
    <row r="1547" spans="1:10" ht="15.75" customHeight="1">
      <c r="A1547" s="28">
        <v>18835</v>
      </c>
      <c r="B1547" s="91">
        <v>45072.931250000001</v>
      </c>
      <c r="C1547" s="28" t="s">
        <v>10</v>
      </c>
      <c r="D1547" s="28" t="s">
        <v>603</v>
      </c>
      <c r="E1547" s="28"/>
      <c r="F1547" s="28">
        <v>30</v>
      </c>
      <c r="G1547" s="28" t="s">
        <v>128</v>
      </c>
      <c r="H1547" s="28">
        <v>0</v>
      </c>
      <c r="J1547" s="28"/>
    </row>
    <row r="1548" spans="1:10" ht="15.75" customHeight="1">
      <c r="A1548" s="28">
        <v>18835</v>
      </c>
      <c r="B1548" s="91">
        <v>45072.931250000001</v>
      </c>
      <c r="C1548" s="28" t="s">
        <v>10</v>
      </c>
      <c r="D1548" s="28" t="s">
        <v>603</v>
      </c>
      <c r="E1548" s="28"/>
      <c r="F1548" s="28">
        <v>0</v>
      </c>
      <c r="G1548" s="28" t="s">
        <v>125</v>
      </c>
      <c r="H1548" s="28">
        <v>0</v>
      </c>
      <c r="J1548" s="28"/>
    </row>
    <row r="1549" spans="1:10" ht="15.75" customHeight="1">
      <c r="A1549" s="28">
        <v>18835</v>
      </c>
      <c r="B1549" s="91">
        <v>45072.931250000001</v>
      </c>
      <c r="C1549" s="28" t="s">
        <v>10</v>
      </c>
      <c r="D1549" s="28" t="s">
        <v>603</v>
      </c>
      <c r="E1549" s="28"/>
      <c r="F1549" s="28">
        <v>0</v>
      </c>
      <c r="G1549" s="28" t="s">
        <v>119</v>
      </c>
      <c r="H1549" s="28">
        <v>0</v>
      </c>
      <c r="J1549" s="28"/>
    </row>
    <row r="1550" spans="1:10" ht="15.75" customHeight="1">
      <c r="A1550" s="28">
        <v>18835</v>
      </c>
      <c r="B1550" s="91">
        <v>45072.931250000001</v>
      </c>
      <c r="C1550" s="28" t="s">
        <v>10</v>
      </c>
      <c r="D1550" s="28" t="s">
        <v>603</v>
      </c>
      <c r="E1550" s="28"/>
      <c r="F1550" s="28">
        <v>25</v>
      </c>
      <c r="G1550" s="28">
        <v>100692</v>
      </c>
      <c r="H1550" s="28">
        <v>0</v>
      </c>
      <c r="J1550" s="28"/>
    </row>
    <row r="1551" spans="1:10" ht="15.75" customHeight="1">
      <c r="A1551" s="28">
        <v>18835</v>
      </c>
      <c r="B1551" s="91">
        <v>45072.931250000001</v>
      </c>
      <c r="C1551" s="28" t="s">
        <v>10</v>
      </c>
      <c r="D1551" s="28" t="s">
        <v>603</v>
      </c>
      <c r="E1551" s="28"/>
      <c r="F1551" s="28">
        <v>0</v>
      </c>
      <c r="G1551" s="28" t="s">
        <v>125</v>
      </c>
      <c r="H1551" s="28">
        <v>0</v>
      </c>
      <c r="J1551" s="28"/>
    </row>
    <row r="1552" spans="1:10" ht="15.75" customHeight="1">
      <c r="A1552" s="28">
        <v>18835</v>
      </c>
      <c r="B1552" s="91">
        <v>45072.931250000001</v>
      </c>
      <c r="C1552" s="28" t="s">
        <v>10</v>
      </c>
      <c r="D1552" s="28" t="s">
        <v>603</v>
      </c>
      <c r="E1552" s="28"/>
      <c r="F1552" s="28">
        <v>0</v>
      </c>
      <c r="G1552" s="28" t="s">
        <v>119</v>
      </c>
      <c r="H1552" s="28">
        <v>0</v>
      </c>
      <c r="J1552" s="28"/>
    </row>
    <row r="1553" spans="1:10" ht="15.75" customHeight="1">
      <c r="A1553" s="28">
        <v>18834</v>
      </c>
      <c r="B1553" s="91">
        <v>45072.83488425926</v>
      </c>
      <c r="C1553" s="28" t="s">
        <v>10</v>
      </c>
      <c r="D1553" s="28" t="s">
        <v>751</v>
      </c>
      <c r="E1553" s="28"/>
      <c r="F1553" s="28">
        <v>25</v>
      </c>
      <c r="G1553" s="28">
        <v>100692</v>
      </c>
      <c r="H1553" s="28">
        <v>0</v>
      </c>
      <c r="J1553" s="28"/>
    </row>
    <row r="1554" spans="1:10" ht="15.75" customHeight="1">
      <c r="A1554" s="28">
        <v>18834</v>
      </c>
      <c r="B1554" s="91">
        <v>45072.83488425926</v>
      </c>
      <c r="C1554" s="28" t="s">
        <v>10</v>
      </c>
      <c r="D1554" s="28" t="s">
        <v>751</v>
      </c>
      <c r="E1554" s="28"/>
      <c r="F1554" s="28">
        <v>0</v>
      </c>
      <c r="G1554" s="28" t="s">
        <v>125</v>
      </c>
      <c r="H1554" s="28">
        <v>0</v>
      </c>
      <c r="J1554" s="28"/>
    </row>
    <row r="1555" spans="1:10" ht="15.75" customHeight="1">
      <c r="A1555" s="28">
        <v>18834</v>
      </c>
      <c r="B1555" s="91">
        <v>45072.83488425926</v>
      </c>
      <c r="C1555" s="28" t="s">
        <v>10</v>
      </c>
      <c r="D1555" s="28" t="s">
        <v>751</v>
      </c>
      <c r="E1555" s="28"/>
      <c r="F1555" s="28">
        <v>0</v>
      </c>
      <c r="G1555" s="28" t="s">
        <v>119</v>
      </c>
      <c r="H1555" s="28">
        <v>0</v>
      </c>
      <c r="J1555" s="28"/>
    </row>
    <row r="1556" spans="1:10" ht="15.75" customHeight="1">
      <c r="A1556" s="28">
        <v>18833</v>
      </c>
      <c r="B1556" s="91">
        <v>45072.786203703705</v>
      </c>
      <c r="C1556" s="28" t="s">
        <v>10</v>
      </c>
      <c r="D1556" s="28" t="s">
        <v>752</v>
      </c>
      <c r="E1556" s="28"/>
      <c r="F1556" s="28">
        <v>25</v>
      </c>
      <c r="G1556" s="28">
        <v>100692</v>
      </c>
      <c r="H1556" s="28">
        <v>0</v>
      </c>
      <c r="J1556" s="28"/>
    </row>
    <row r="1557" spans="1:10" ht="15.75" customHeight="1">
      <c r="A1557" s="28">
        <v>18833</v>
      </c>
      <c r="B1557" s="91">
        <v>45072.786203703705</v>
      </c>
      <c r="C1557" s="28" t="s">
        <v>10</v>
      </c>
      <c r="D1557" s="28" t="s">
        <v>752</v>
      </c>
      <c r="E1557" s="28"/>
      <c r="F1557" s="28">
        <v>0</v>
      </c>
      <c r="G1557" s="28" t="s">
        <v>125</v>
      </c>
      <c r="H1557" s="28">
        <v>0</v>
      </c>
      <c r="J1557" s="28"/>
    </row>
    <row r="1558" spans="1:10" ht="15.75" customHeight="1">
      <c r="A1558" s="28">
        <v>18833</v>
      </c>
      <c r="B1558" s="91">
        <v>45072.786203703705</v>
      </c>
      <c r="C1558" s="28" t="s">
        <v>10</v>
      </c>
      <c r="D1558" s="28" t="s">
        <v>752</v>
      </c>
      <c r="E1558" s="28"/>
      <c r="F1558" s="28">
        <v>0</v>
      </c>
      <c r="G1558" s="28" t="s">
        <v>119</v>
      </c>
      <c r="H1558" s="28">
        <v>0</v>
      </c>
      <c r="J1558" s="28"/>
    </row>
    <row r="1559" spans="1:10" ht="15.75" customHeight="1">
      <c r="A1559" s="28">
        <v>18832</v>
      </c>
      <c r="B1559" s="91">
        <v>45072.765208333338</v>
      </c>
      <c r="C1559" s="28" t="s">
        <v>10</v>
      </c>
      <c r="D1559" s="28" t="s">
        <v>753</v>
      </c>
      <c r="E1559" s="28"/>
      <c r="F1559" s="28">
        <v>56</v>
      </c>
      <c r="G1559" s="28" t="s">
        <v>143</v>
      </c>
      <c r="H1559" s="28">
        <v>0</v>
      </c>
      <c r="J1559" s="28"/>
    </row>
    <row r="1560" spans="1:10" ht="15.75" customHeight="1">
      <c r="A1560" s="28">
        <v>18830</v>
      </c>
      <c r="B1560" s="91">
        <v>45072.681006944447</v>
      </c>
      <c r="C1560" s="28" t="s">
        <v>10</v>
      </c>
      <c r="D1560" s="28" t="s">
        <v>754</v>
      </c>
      <c r="E1560" s="28"/>
      <c r="F1560" s="28">
        <v>55</v>
      </c>
      <c r="G1560" s="28">
        <v>101684</v>
      </c>
      <c r="H1560" s="28">
        <v>0</v>
      </c>
      <c r="J1560" s="28"/>
    </row>
    <row r="1561" spans="1:10" ht="15.75" customHeight="1">
      <c r="A1561" s="28">
        <v>18830</v>
      </c>
      <c r="B1561" s="91">
        <v>45072.681006944447</v>
      </c>
      <c r="C1561" s="28" t="s">
        <v>10</v>
      </c>
      <c r="D1561" s="28" t="s">
        <v>754</v>
      </c>
      <c r="E1561" s="28"/>
      <c r="F1561" s="28">
        <v>0</v>
      </c>
      <c r="G1561" s="28" t="s">
        <v>118</v>
      </c>
      <c r="H1561" s="28">
        <v>0</v>
      </c>
      <c r="J1561" s="28"/>
    </row>
    <row r="1562" spans="1:10" ht="15.75" customHeight="1">
      <c r="A1562" s="28">
        <v>18830</v>
      </c>
      <c r="B1562" s="91">
        <v>45072.681006944447</v>
      </c>
      <c r="C1562" s="28" t="s">
        <v>10</v>
      </c>
      <c r="D1562" s="28" t="s">
        <v>754</v>
      </c>
      <c r="E1562" s="28"/>
      <c r="F1562" s="28">
        <v>0</v>
      </c>
      <c r="G1562" s="28" t="s">
        <v>119</v>
      </c>
      <c r="H1562" s="28">
        <v>0</v>
      </c>
      <c r="J1562" s="28"/>
    </row>
    <row r="1563" spans="1:10" ht="15.75" customHeight="1">
      <c r="A1563" s="28">
        <v>18830</v>
      </c>
      <c r="B1563" s="91">
        <v>45072.681006944447</v>
      </c>
      <c r="C1563" s="28" t="s">
        <v>10</v>
      </c>
      <c r="D1563" s="28" t="s">
        <v>754</v>
      </c>
      <c r="E1563" s="28"/>
      <c r="F1563" s="28">
        <v>0</v>
      </c>
      <c r="G1563" s="28" t="s">
        <v>120</v>
      </c>
      <c r="H1563" s="28">
        <v>0</v>
      </c>
      <c r="J1563" s="28"/>
    </row>
    <row r="1564" spans="1:10" ht="15.75" customHeight="1">
      <c r="A1564" s="28">
        <v>18830</v>
      </c>
      <c r="B1564" s="91">
        <v>45072.681006944447</v>
      </c>
      <c r="C1564" s="28" t="s">
        <v>10</v>
      </c>
      <c r="D1564" s="28" t="s">
        <v>754</v>
      </c>
      <c r="E1564" s="28"/>
      <c r="F1564" s="28">
        <v>0</v>
      </c>
      <c r="G1564" s="28" t="s">
        <v>121</v>
      </c>
      <c r="H1564" s="28">
        <v>0</v>
      </c>
      <c r="J1564" s="28"/>
    </row>
    <row r="1565" spans="1:10" ht="15.75" customHeight="1">
      <c r="A1565" s="28">
        <v>18830</v>
      </c>
      <c r="B1565" s="91">
        <v>45072.681006944447</v>
      </c>
      <c r="C1565" s="28" t="s">
        <v>10</v>
      </c>
      <c r="D1565" s="28" t="s">
        <v>754</v>
      </c>
      <c r="E1565" s="28"/>
      <c r="F1565" s="28">
        <v>28</v>
      </c>
      <c r="G1565" s="28" t="s">
        <v>143</v>
      </c>
      <c r="H1565" s="28">
        <v>0</v>
      </c>
      <c r="J1565" s="28"/>
    </row>
    <row r="1566" spans="1:10" ht="15.75" customHeight="1">
      <c r="A1566" s="28">
        <v>18829</v>
      </c>
      <c r="B1566" s="91">
        <v>45072.046307870369</v>
      </c>
      <c r="C1566" s="28" t="s">
        <v>10</v>
      </c>
      <c r="D1566" s="28" t="s">
        <v>755</v>
      </c>
      <c r="E1566" s="28"/>
      <c r="F1566" s="28">
        <v>28</v>
      </c>
      <c r="G1566" s="28" t="s">
        <v>143</v>
      </c>
      <c r="H1566" s="28">
        <v>0</v>
      </c>
      <c r="J1566" s="28"/>
    </row>
    <row r="1567" spans="1:10" ht="15.75" customHeight="1">
      <c r="A1567" s="28">
        <v>18828</v>
      </c>
      <c r="B1567" s="91">
        <v>45071.900370370371</v>
      </c>
      <c r="C1567" s="28" t="s">
        <v>10</v>
      </c>
      <c r="D1567" s="28" t="s">
        <v>756</v>
      </c>
      <c r="E1567" s="28"/>
      <c r="F1567" s="28">
        <v>25</v>
      </c>
      <c r="G1567" s="28">
        <v>100692</v>
      </c>
      <c r="H1567" s="28">
        <v>0</v>
      </c>
      <c r="J1567" s="28"/>
    </row>
    <row r="1568" spans="1:10" ht="15.75" customHeight="1">
      <c r="A1568" s="28">
        <v>18828</v>
      </c>
      <c r="B1568" s="91">
        <v>45071.900370370371</v>
      </c>
      <c r="C1568" s="28" t="s">
        <v>10</v>
      </c>
      <c r="D1568" s="28" t="s">
        <v>756</v>
      </c>
      <c r="E1568" s="28"/>
      <c r="F1568" s="28">
        <v>0</v>
      </c>
      <c r="G1568" s="28" t="s">
        <v>125</v>
      </c>
      <c r="H1568" s="28">
        <v>0</v>
      </c>
      <c r="J1568" s="28"/>
    </row>
    <row r="1569" spans="1:10" ht="15.75" customHeight="1">
      <c r="A1569" s="28">
        <v>18828</v>
      </c>
      <c r="B1569" s="91">
        <v>45071.900370370371</v>
      </c>
      <c r="C1569" s="28" t="s">
        <v>10</v>
      </c>
      <c r="D1569" s="28" t="s">
        <v>756</v>
      </c>
      <c r="E1569" s="28"/>
      <c r="F1569" s="28">
        <v>0</v>
      </c>
      <c r="G1569" s="28" t="s">
        <v>119</v>
      </c>
      <c r="H1569" s="28">
        <v>0</v>
      </c>
      <c r="J1569" s="28"/>
    </row>
    <row r="1570" spans="1:10" ht="15.75" customHeight="1">
      <c r="A1570" s="28">
        <v>18827</v>
      </c>
      <c r="B1570" s="91">
        <v>45071.763055555552</v>
      </c>
      <c r="C1570" s="28" t="s">
        <v>10</v>
      </c>
      <c r="D1570" s="28" t="s">
        <v>757</v>
      </c>
      <c r="E1570" s="28"/>
      <c r="F1570" s="28">
        <v>25</v>
      </c>
      <c r="G1570" s="28">
        <v>100692</v>
      </c>
      <c r="H1570" s="28">
        <v>0</v>
      </c>
      <c r="J1570" s="28"/>
    </row>
    <row r="1571" spans="1:10" ht="15.75" customHeight="1">
      <c r="A1571" s="28">
        <v>18827</v>
      </c>
      <c r="B1571" s="91">
        <v>45071.763055555552</v>
      </c>
      <c r="C1571" s="28" t="s">
        <v>10</v>
      </c>
      <c r="D1571" s="28" t="s">
        <v>757</v>
      </c>
      <c r="E1571" s="28"/>
      <c r="F1571" s="28">
        <v>0</v>
      </c>
      <c r="G1571" s="28" t="s">
        <v>125</v>
      </c>
      <c r="H1571" s="28">
        <v>0</v>
      </c>
      <c r="J1571" s="28"/>
    </row>
    <row r="1572" spans="1:10" ht="15.75" customHeight="1">
      <c r="A1572" s="28">
        <v>18827</v>
      </c>
      <c r="B1572" s="91">
        <v>45071.763055555552</v>
      </c>
      <c r="C1572" s="28" t="s">
        <v>10</v>
      </c>
      <c r="D1572" s="28" t="s">
        <v>757</v>
      </c>
      <c r="E1572" s="28"/>
      <c r="F1572" s="28">
        <v>0</v>
      </c>
      <c r="G1572" s="28" t="s">
        <v>119</v>
      </c>
      <c r="H1572" s="28">
        <v>0</v>
      </c>
      <c r="J1572" s="28"/>
    </row>
    <row r="1573" spans="1:10" ht="15.75" customHeight="1">
      <c r="A1573" s="28">
        <v>18826</v>
      </c>
      <c r="B1573" s="91">
        <v>45071.732083333336</v>
      </c>
      <c r="C1573" s="28" t="s">
        <v>10</v>
      </c>
      <c r="D1573" s="28" t="s">
        <v>579</v>
      </c>
      <c r="E1573" s="28"/>
      <c r="F1573" s="28">
        <v>20</v>
      </c>
      <c r="G1573" s="28"/>
      <c r="H1573" s="28">
        <v>0</v>
      </c>
      <c r="J1573" s="28"/>
    </row>
    <row r="1574" spans="1:10" ht="15.75" customHeight="1">
      <c r="A1574" s="28">
        <v>18825</v>
      </c>
      <c r="B1574" s="91">
        <v>45071.683159722219</v>
      </c>
      <c r="C1574" s="28" t="s">
        <v>10</v>
      </c>
      <c r="D1574" s="28" t="s">
        <v>758</v>
      </c>
      <c r="E1574" s="28"/>
      <c r="F1574" s="28">
        <v>25</v>
      </c>
      <c r="G1574" s="28">
        <v>100692</v>
      </c>
      <c r="H1574" s="28">
        <v>0</v>
      </c>
      <c r="J1574" s="28"/>
    </row>
    <row r="1575" spans="1:10" ht="15.75" customHeight="1">
      <c r="A1575" s="28">
        <v>18825</v>
      </c>
      <c r="B1575" s="91">
        <v>45071.683159722219</v>
      </c>
      <c r="C1575" s="28" t="s">
        <v>10</v>
      </c>
      <c r="D1575" s="28" t="s">
        <v>758</v>
      </c>
      <c r="E1575" s="28"/>
      <c r="F1575" s="28">
        <v>0</v>
      </c>
      <c r="G1575" s="28" t="s">
        <v>125</v>
      </c>
      <c r="H1575" s="28">
        <v>0</v>
      </c>
      <c r="J1575" s="28"/>
    </row>
    <row r="1576" spans="1:10" ht="15.75" customHeight="1">
      <c r="A1576" s="28">
        <v>18825</v>
      </c>
      <c r="B1576" s="91">
        <v>45071.683159722219</v>
      </c>
      <c r="C1576" s="28" t="s">
        <v>10</v>
      </c>
      <c r="D1576" s="28" t="s">
        <v>758</v>
      </c>
      <c r="E1576" s="28"/>
      <c r="F1576" s="28">
        <v>0</v>
      </c>
      <c r="G1576" s="28" t="s">
        <v>119</v>
      </c>
      <c r="H1576" s="28">
        <v>0</v>
      </c>
      <c r="J1576" s="28"/>
    </row>
    <row r="1577" spans="1:10" ht="15.75" customHeight="1">
      <c r="A1577" s="28">
        <v>18824</v>
      </c>
      <c r="B1577" s="91">
        <v>45071.629699074074</v>
      </c>
      <c r="C1577" s="28" t="s">
        <v>10</v>
      </c>
      <c r="D1577" s="28" t="s">
        <v>759</v>
      </c>
      <c r="E1577" s="28"/>
      <c r="F1577" s="28">
        <v>28</v>
      </c>
      <c r="G1577" s="28" t="s">
        <v>143</v>
      </c>
      <c r="H1577" s="28">
        <v>0</v>
      </c>
      <c r="J1577" s="28"/>
    </row>
    <row r="1578" spans="1:10" ht="15.75" customHeight="1">
      <c r="A1578" s="28">
        <v>18823</v>
      </c>
      <c r="B1578" s="91">
        <v>45071.58</v>
      </c>
      <c r="C1578" s="28" t="s">
        <v>10</v>
      </c>
      <c r="D1578" s="28" t="s">
        <v>760</v>
      </c>
      <c r="E1578" s="28"/>
      <c r="F1578" s="28">
        <v>25</v>
      </c>
      <c r="G1578" s="28">
        <v>100692</v>
      </c>
      <c r="H1578" s="28">
        <v>0</v>
      </c>
      <c r="J1578" s="28"/>
    </row>
    <row r="1579" spans="1:10" ht="15.75" customHeight="1">
      <c r="A1579" s="28">
        <v>18823</v>
      </c>
      <c r="B1579" s="91">
        <v>45071.58</v>
      </c>
      <c r="C1579" s="28" t="s">
        <v>10</v>
      </c>
      <c r="D1579" s="28" t="s">
        <v>760</v>
      </c>
      <c r="E1579" s="28"/>
      <c r="F1579" s="28">
        <v>0</v>
      </c>
      <c r="G1579" s="28" t="s">
        <v>125</v>
      </c>
      <c r="H1579" s="28">
        <v>0</v>
      </c>
      <c r="J1579" s="28"/>
    </row>
    <row r="1580" spans="1:10" ht="15.75" customHeight="1">
      <c r="A1580" s="28">
        <v>18823</v>
      </c>
      <c r="B1580" s="91">
        <v>45071.58</v>
      </c>
      <c r="C1580" s="28" t="s">
        <v>10</v>
      </c>
      <c r="D1580" s="28" t="s">
        <v>760</v>
      </c>
      <c r="E1580" s="28"/>
      <c r="F1580" s="28">
        <v>0</v>
      </c>
      <c r="G1580" s="28" t="s">
        <v>119</v>
      </c>
      <c r="H1580" s="28">
        <v>0</v>
      </c>
      <c r="J1580" s="28"/>
    </row>
    <row r="1581" spans="1:10" ht="15.75" customHeight="1">
      <c r="A1581" s="28">
        <v>18822</v>
      </c>
      <c r="B1581" s="91">
        <v>45071.576689814814</v>
      </c>
      <c r="C1581" s="28" t="s">
        <v>10</v>
      </c>
      <c r="D1581" s="28" t="s">
        <v>475</v>
      </c>
      <c r="E1581" s="28"/>
      <c r="F1581" s="28">
        <v>25</v>
      </c>
      <c r="G1581" s="28">
        <v>100692</v>
      </c>
      <c r="H1581" s="28">
        <v>0</v>
      </c>
      <c r="J1581" s="28"/>
    </row>
    <row r="1582" spans="1:10" ht="15.75" customHeight="1">
      <c r="A1582" s="28">
        <v>18822</v>
      </c>
      <c r="B1582" s="91">
        <v>45071.576689814814</v>
      </c>
      <c r="C1582" s="28" t="s">
        <v>10</v>
      </c>
      <c r="D1582" s="28" t="s">
        <v>475</v>
      </c>
      <c r="E1582" s="28"/>
      <c r="F1582" s="28">
        <v>0</v>
      </c>
      <c r="G1582" s="28" t="s">
        <v>125</v>
      </c>
      <c r="H1582" s="28">
        <v>0</v>
      </c>
      <c r="J1582" s="28"/>
    </row>
    <row r="1583" spans="1:10" ht="15.75" customHeight="1">
      <c r="A1583" s="28">
        <v>18822</v>
      </c>
      <c r="B1583" s="91">
        <v>45071.576689814814</v>
      </c>
      <c r="C1583" s="28" t="s">
        <v>10</v>
      </c>
      <c r="D1583" s="28" t="s">
        <v>475</v>
      </c>
      <c r="E1583" s="28"/>
      <c r="F1583" s="28">
        <v>0</v>
      </c>
      <c r="G1583" s="28" t="s">
        <v>119</v>
      </c>
      <c r="H1583" s="28">
        <v>0</v>
      </c>
      <c r="J1583" s="28"/>
    </row>
    <row r="1584" spans="1:10" ht="15.75" customHeight="1">
      <c r="A1584" s="28">
        <v>18821</v>
      </c>
      <c r="B1584" s="91">
        <v>45071.123310185183</v>
      </c>
      <c r="C1584" s="28" t="s">
        <v>10</v>
      </c>
      <c r="D1584" s="28" t="s">
        <v>761</v>
      </c>
      <c r="E1584" s="28"/>
      <c r="F1584" s="28">
        <v>28</v>
      </c>
      <c r="G1584" s="28" t="s">
        <v>143</v>
      </c>
      <c r="H1584" s="28">
        <v>0</v>
      </c>
      <c r="J1584" s="28"/>
    </row>
    <row r="1585" spans="1:10" ht="15.75" customHeight="1">
      <c r="A1585" s="28">
        <v>18821</v>
      </c>
      <c r="B1585" s="91">
        <v>45071.123310185183</v>
      </c>
      <c r="C1585" s="28" t="s">
        <v>10</v>
      </c>
      <c r="D1585" s="28" t="s">
        <v>761</v>
      </c>
      <c r="E1585" s="28"/>
      <c r="F1585" s="28">
        <v>18</v>
      </c>
      <c r="G1585" s="28" t="s">
        <v>119</v>
      </c>
      <c r="H1585" s="28">
        <v>0</v>
      </c>
      <c r="J1585" s="28"/>
    </row>
    <row r="1586" spans="1:10" ht="15.75" customHeight="1">
      <c r="A1586" s="28">
        <v>18820</v>
      </c>
      <c r="B1586" s="91">
        <v>45071.114363425921</v>
      </c>
      <c r="C1586" s="28" t="s">
        <v>10</v>
      </c>
      <c r="D1586" s="28" t="s">
        <v>762</v>
      </c>
      <c r="E1586" s="28"/>
      <c r="F1586" s="28">
        <v>0</v>
      </c>
      <c r="G1586" s="28" t="s">
        <v>117</v>
      </c>
      <c r="H1586" s="28">
        <v>0</v>
      </c>
      <c r="J1586" s="28"/>
    </row>
    <row r="1587" spans="1:10" ht="15.75" customHeight="1">
      <c r="A1587" s="28">
        <v>18820</v>
      </c>
      <c r="B1587" s="91">
        <v>45071.114363425921</v>
      </c>
      <c r="C1587" s="28" t="s">
        <v>10</v>
      </c>
      <c r="D1587" s="28" t="s">
        <v>762</v>
      </c>
      <c r="E1587" s="28"/>
      <c r="F1587" s="28">
        <v>30</v>
      </c>
      <c r="G1587" s="28" t="s">
        <v>128</v>
      </c>
      <c r="H1587" s="28">
        <v>0</v>
      </c>
      <c r="J1587" s="28"/>
    </row>
    <row r="1588" spans="1:10" ht="15.75" customHeight="1">
      <c r="A1588" s="28">
        <v>18820</v>
      </c>
      <c r="B1588" s="91">
        <v>45071.114363425921</v>
      </c>
      <c r="C1588" s="28" t="s">
        <v>10</v>
      </c>
      <c r="D1588" s="28" t="s">
        <v>762</v>
      </c>
      <c r="E1588" s="28"/>
      <c r="F1588" s="28">
        <v>0</v>
      </c>
      <c r="G1588" s="28" t="s">
        <v>125</v>
      </c>
      <c r="H1588" s="28">
        <v>0</v>
      </c>
      <c r="J1588" s="28"/>
    </row>
    <row r="1589" spans="1:10" ht="15.75" customHeight="1">
      <c r="A1589" s="28">
        <v>18820</v>
      </c>
      <c r="B1589" s="91">
        <v>45071.114363425921</v>
      </c>
      <c r="C1589" s="28" t="s">
        <v>10</v>
      </c>
      <c r="D1589" s="28" t="s">
        <v>762</v>
      </c>
      <c r="E1589" s="28"/>
      <c r="F1589" s="28">
        <v>0</v>
      </c>
      <c r="G1589" s="28" t="s">
        <v>119</v>
      </c>
      <c r="H1589" s="28">
        <v>0</v>
      </c>
      <c r="J1589" s="28"/>
    </row>
    <row r="1590" spans="1:10" ht="15.75" customHeight="1">
      <c r="A1590" s="28">
        <v>18819</v>
      </c>
      <c r="B1590" s="91">
        <v>45071.088969907403</v>
      </c>
      <c r="C1590" s="28" t="s">
        <v>8</v>
      </c>
      <c r="D1590" s="28" t="s">
        <v>763</v>
      </c>
      <c r="E1590" s="28"/>
      <c r="F1590" s="28">
        <v>20</v>
      </c>
      <c r="G1590" s="28"/>
      <c r="H1590" s="28">
        <v>0</v>
      </c>
      <c r="J1590" s="28"/>
    </row>
    <row r="1591" spans="1:10" ht="15.75" customHeight="1">
      <c r="A1591" s="28">
        <v>18819</v>
      </c>
      <c r="B1591" s="91">
        <v>45071.088969907403</v>
      </c>
      <c r="C1591" s="28" t="s">
        <v>8</v>
      </c>
      <c r="D1591" s="28" t="s">
        <v>763</v>
      </c>
      <c r="E1591" s="28"/>
      <c r="F1591" s="28">
        <v>15</v>
      </c>
      <c r="G1591" s="28" t="s">
        <v>139</v>
      </c>
      <c r="H1591" s="28">
        <v>0</v>
      </c>
      <c r="J1591" s="28"/>
    </row>
    <row r="1592" spans="1:10" ht="15.75" customHeight="1">
      <c r="A1592" s="28">
        <v>18818</v>
      </c>
      <c r="B1592" s="91">
        <v>45071.088020833333</v>
      </c>
      <c r="C1592" s="28" t="s">
        <v>10</v>
      </c>
      <c r="D1592" s="28" t="s">
        <v>764</v>
      </c>
      <c r="E1592" s="28"/>
      <c r="F1592" s="28">
        <v>18</v>
      </c>
      <c r="G1592" s="28" t="s">
        <v>119</v>
      </c>
      <c r="H1592" s="28">
        <v>0</v>
      </c>
      <c r="J1592" s="28"/>
    </row>
    <row r="1593" spans="1:10" ht="15.75" customHeight="1">
      <c r="A1593" s="28">
        <v>18817</v>
      </c>
      <c r="B1593" s="91">
        <v>45071.084687499999</v>
      </c>
      <c r="C1593" s="28" t="s">
        <v>10</v>
      </c>
      <c r="D1593" s="28" t="s">
        <v>765</v>
      </c>
      <c r="E1593" s="28"/>
      <c r="F1593" s="28">
        <v>18</v>
      </c>
      <c r="G1593" s="28" t="s">
        <v>119</v>
      </c>
      <c r="H1593" s="28">
        <v>0</v>
      </c>
      <c r="J1593" s="28"/>
    </row>
    <row r="1594" spans="1:10" ht="15.75" customHeight="1">
      <c r="A1594" s="28">
        <v>18816</v>
      </c>
      <c r="B1594" s="91">
        <v>45071.042905092589</v>
      </c>
      <c r="C1594" s="28" t="s">
        <v>10</v>
      </c>
      <c r="D1594" s="28" t="s">
        <v>766</v>
      </c>
      <c r="E1594" s="28"/>
      <c r="F1594" s="28">
        <v>20</v>
      </c>
      <c r="G1594" s="28" t="s">
        <v>205</v>
      </c>
      <c r="H1594" s="28">
        <v>0</v>
      </c>
      <c r="J1594" s="28"/>
    </row>
    <row r="1595" spans="1:10" ht="15.75" customHeight="1">
      <c r="A1595" s="28">
        <v>18816</v>
      </c>
      <c r="B1595" s="91">
        <v>45071.042905092589</v>
      </c>
      <c r="C1595" s="28" t="s">
        <v>10</v>
      </c>
      <c r="D1595" s="28" t="s">
        <v>766</v>
      </c>
      <c r="E1595" s="28"/>
      <c r="F1595" s="28">
        <v>0</v>
      </c>
      <c r="G1595" s="28" t="s">
        <v>125</v>
      </c>
      <c r="H1595" s="28">
        <v>0</v>
      </c>
      <c r="J1595" s="28"/>
    </row>
    <row r="1596" spans="1:10" ht="15.75" customHeight="1">
      <c r="A1596" s="28">
        <v>18815</v>
      </c>
      <c r="B1596" s="91">
        <v>45071.040104166663</v>
      </c>
      <c r="C1596" s="28" t="s">
        <v>10</v>
      </c>
      <c r="D1596" s="28" t="s">
        <v>767</v>
      </c>
      <c r="E1596" s="28"/>
      <c r="F1596" s="28">
        <v>22</v>
      </c>
      <c r="G1596" s="28" t="s">
        <v>137</v>
      </c>
      <c r="H1596" s="28">
        <v>0</v>
      </c>
      <c r="J1596" s="28"/>
    </row>
    <row r="1597" spans="1:10" ht="15.75" customHeight="1">
      <c r="A1597" s="28">
        <v>18814</v>
      </c>
      <c r="B1597" s="91">
        <v>45071.039039351846</v>
      </c>
      <c r="C1597" s="28" t="s">
        <v>8</v>
      </c>
      <c r="D1597" s="28" t="s">
        <v>768</v>
      </c>
      <c r="E1597" s="28"/>
      <c r="F1597" s="28">
        <v>22</v>
      </c>
      <c r="G1597" s="28" t="s">
        <v>137</v>
      </c>
      <c r="H1597" s="28">
        <v>0</v>
      </c>
      <c r="J1597" s="28"/>
    </row>
    <row r="1598" spans="1:10" ht="15.75" customHeight="1">
      <c r="A1598" s="28">
        <v>18813</v>
      </c>
      <c r="B1598" s="91">
        <v>45071.011481481481</v>
      </c>
      <c r="C1598" s="28" t="s">
        <v>10</v>
      </c>
      <c r="D1598" s="28" t="s">
        <v>769</v>
      </c>
      <c r="E1598" s="28"/>
      <c r="F1598" s="28">
        <v>18</v>
      </c>
      <c r="G1598" s="28" t="s">
        <v>119</v>
      </c>
      <c r="H1598" s="28">
        <v>0</v>
      </c>
      <c r="J1598" s="28"/>
    </row>
    <row r="1599" spans="1:10" ht="15.75" customHeight="1">
      <c r="A1599" s="28">
        <v>18813</v>
      </c>
      <c r="B1599" s="91">
        <v>45071.011481481481</v>
      </c>
      <c r="C1599" s="28" t="s">
        <v>10</v>
      </c>
      <c r="D1599" s="28" t="s">
        <v>769</v>
      </c>
      <c r="E1599" s="28"/>
      <c r="F1599" s="28">
        <v>22</v>
      </c>
      <c r="G1599" s="28" t="s">
        <v>137</v>
      </c>
      <c r="H1599" s="28">
        <v>0</v>
      </c>
      <c r="J1599" s="28"/>
    </row>
    <row r="1600" spans="1:10" ht="15.75" customHeight="1">
      <c r="A1600" s="28">
        <v>18812</v>
      </c>
      <c r="B1600" s="91">
        <v>45070.998796296291</v>
      </c>
      <c r="C1600" s="28" t="s">
        <v>10</v>
      </c>
      <c r="D1600" s="28" t="s">
        <v>770</v>
      </c>
      <c r="E1600" s="28"/>
      <c r="F1600" s="28">
        <v>25</v>
      </c>
      <c r="G1600" s="28">
        <v>100692</v>
      </c>
      <c r="H1600" s="28">
        <v>0</v>
      </c>
      <c r="J1600" s="28"/>
    </row>
    <row r="1601" spans="1:10" ht="15.75" customHeight="1">
      <c r="A1601" s="28">
        <v>18812</v>
      </c>
      <c r="B1601" s="91">
        <v>45070.998796296291</v>
      </c>
      <c r="C1601" s="28" t="s">
        <v>10</v>
      </c>
      <c r="D1601" s="28" t="s">
        <v>770</v>
      </c>
      <c r="E1601" s="28"/>
      <c r="F1601" s="28">
        <v>0</v>
      </c>
      <c r="G1601" s="28" t="s">
        <v>125</v>
      </c>
      <c r="H1601" s="28">
        <v>0</v>
      </c>
      <c r="J1601" s="28"/>
    </row>
    <row r="1602" spans="1:10" ht="15.75" customHeight="1">
      <c r="A1602" s="28">
        <v>18812</v>
      </c>
      <c r="B1602" s="91">
        <v>45070.998796296291</v>
      </c>
      <c r="C1602" s="28" t="s">
        <v>10</v>
      </c>
      <c r="D1602" s="28" t="s">
        <v>770</v>
      </c>
      <c r="E1602" s="28"/>
      <c r="F1602" s="28">
        <v>0</v>
      </c>
      <c r="G1602" s="28" t="s">
        <v>119</v>
      </c>
      <c r="H1602" s="28">
        <v>0</v>
      </c>
      <c r="J1602" s="28"/>
    </row>
    <row r="1603" spans="1:10" ht="15.75" customHeight="1">
      <c r="A1603" s="28">
        <v>18811</v>
      </c>
      <c r="B1603" s="91">
        <v>45070.938333333332</v>
      </c>
      <c r="C1603" s="28" t="s">
        <v>10</v>
      </c>
      <c r="D1603" s="28" t="s">
        <v>663</v>
      </c>
      <c r="E1603" s="28"/>
      <c r="F1603" s="28">
        <v>20</v>
      </c>
      <c r="G1603" s="28" t="s">
        <v>286</v>
      </c>
      <c r="H1603" s="28">
        <v>0</v>
      </c>
      <c r="J1603" s="28"/>
    </row>
    <row r="1604" spans="1:10" ht="15.75" customHeight="1">
      <c r="A1604" s="28">
        <v>18810</v>
      </c>
      <c r="B1604" s="91">
        <v>45070.071631944447</v>
      </c>
      <c r="C1604" s="28" t="s">
        <v>10</v>
      </c>
      <c r="D1604" s="28" t="s">
        <v>771</v>
      </c>
      <c r="E1604" s="28"/>
      <c r="F1604" s="28">
        <v>25</v>
      </c>
      <c r="G1604" s="28">
        <v>100692</v>
      </c>
      <c r="H1604" s="28">
        <v>0</v>
      </c>
      <c r="J1604" s="28"/>
    </row>
    <row r="1605" spans="1:10" ht="15.75" customHeight="1">
      <c r="A1605" s="28">
        <v>18810</v>
      </c>
      <c r="B1605" s="91">
        <v>45070.071631944447</v>
      </c>
      <c r="C1605" s="28" t="s">
        <v>10</v>
      </c>
      <c r="D1605" s="28" t="s">
        <v>771</v>
      </c>
      <c r="E1605" s="28"/>
      <c r="F1605" s="28">
        <v>0</v>
      </c>
      <c r="G1605" s="28" t="s">
        <v>125</v>
      </c>
      <c r="H1605" s="28">
        <v>0</v>
      </c>
      <c r="J1605" s="28"/>
    </row>
    <row r="1606" spans="1:10" ht="15.75" customHeight="1">
      <c r="A1606" s="28">
        <v>18810</v>
      </c>
      <c r="B1606" s="91">
        <v>45070.071631944447</v>
      </c>
      <c r="C1606" s="28" t="s">
        <v>10</v>
      </c>
      <c r="D1606" s="28" t="s">
        <v>771</v>
      </c>
      <c r="E1606" s="28"/>
      <c r="F1606" s="28">
        <v>0</v>
      </c>
      <c r="G1606" s="28" t="s">
        <v>119</v>
      </c>
      <c r="H1606" s="28">
        <v>0</v>
      </c>
      <c r="J1606" s="28"/>
    </row>
    <row r="1607" spans="1:10" ht="15.75" customHeight="1">
      <c r="A1607" s="28">
        <v>18809</v>
      </c>
      <c r="B1607" s="91">
        <v>45070.070289351846</v>
      </c>
      <c r="C1607" s="28" t="s">
        <v>10</v>
      </c>
      <c r="D1607" s="28" t="s">
        <v>772</v>
      </c>
      <c r="E1607" s="28"/>
      <c r="F1607" s="28">
        <v>25</v>
      </c>
      <c r="G1607" s="28">
        <v>100692</v>
      </c>
      <c r="H1607" s="28">
        <v>0</v>
      </c>
      <c r="J1607" s="28"/>
    </row>
    <row r="1608" spans="1:10" ht="15.75" customHeight="1">
      <c r="A1608" s="28">
        <v>18809</v>
      </c>
      <c r="B1608" s="91">
        <v>45070.070289351846</v>
      </c>
      <c r="C1608" s="28" t="s">
        <v>10</v>
      </c>
      <c r="D1608" s="28" t="s">
        <v>772</v>
      </c>
      <c r="E1608" s="28"/>
      <c r="F1608" s="28">
        <v>0</v>
      </c>
      <c r="G1608" s="28" t="s">
        <v>125</v>
      </c>
      <c r="H1608" s="28">
        <v>0</v>
      </c>
      <c r="J1608" s="28"/>
    </row>
    <row r="1609" spans="1:10" ht="15.75" customHeight="1">
      <c r="A1609" s="28">
        <v>18809</v>
      </c>
      <c r="B1609" s="91">
        <v>45070.070289351846</v>
      </c>
      <c r="C1609" s="28" t="s">
        <v>10</v>
      </c>
      <c r="D1609" s="28" t="s">
        <v>772</v>
      </c>
      <c r="E1609" s="28"/>
      <c r="F1609" s="28">
        <v>0</v>
      </c>
      <c r="G1609" s="28" t="s">
        <v>119</v>
      </c>
      <c r="H1609" s="28">
        <v>0</v>
      </c>
      <c r="J1609" s="28"/>
    </row>
    <row r="1610" spans="1:10" ht="15.75" customHeight="1">
      <c r="A1610" s="28">
        <v>18809</v>
      </c>
      <c r="B1610" s="91">
        <v>45070.070289351846</v>
      </c>
      <c r="C1610" s="28" t="s">
        <v>10</v>
      </c>
      <c r="D1610" s="28" t="s">
        <v>772</v>
      </c>
      <c r="E1610" s="28"/>
      <c r="F1610" s="28">
        <v>20</v>
      </c>
      <c r="G1610" s="28" t="s">
        <v>205</v>
      </c>
      <c r="H1610" s="28">
        <v>0</v>
      </c>
      <c r="J1610" s="28"/>
    </row>
    <row r="1611" spans="1:10" ht="15.75" customHeight="1">
      <c r="A1611" s="28">
        <v>18809</v>
      </c>
      <c r="B1611" s="91">
        <v>45070.070289351846</v>
      </c>
      <c r="C1611" s="28" t="s">
        <v>10</v>
      </c>
      <c r="D1611" s="28" t="s">
        <v>772</v>
      </c>
      <c r="E1611" s="28"/>
      <c r="F1611" s="28">
        <v>0</v>
      </c>
      <c r="G1611" s="28" t="s">
        <v>125</v>
      </c>
      <c r="H1611" s="28">
        <v>0</v>
      </c>
      <c r="J1611" s="28"/>
    </row>
    <row r="1612" spans="1:10" ht="15.75" customHeight="1">
      <c r="A1612" s="28">
        <v>18808</v>
      </c>
      <c r="B1612" s="91">
        <v>45070.026469907403</v>
      </c>
      <c r="C1612" s="28" t="s">
        <v>10</v>
      </c>
      <c r="D1612" s="28" t="s">
        <v>773</v>
      </c>
      <c r="E1612" s="28"/>
      <c r="F1612" s="28">
        <v>35</v>
      </c>
      <c r="G1612" s="28" t="s">
        <v>124</v>
      </c>
      <c r="H1612" s="28">
        <v>0</v>
      </c>
      <c r="J1612" s="28"/>
    </row>
    <row r="1613" spans="1:10" ht="15.75" customHeight="1">
      <c r="A1613" s="28">
        <v>18808</v>
      </c>
      <c r="B1613" s="91">
        <v>45070.026469907403</v>
      </c>
      <c r="C1613" s="28" t="s">
        <v>10</v>
      </c>
      <c r="D1613" s="28" t="s">
        <v>773</v>
      </c>
      <c r="E1613" s="28"/>
      <c r="F1613" s="28">
        <v>0</v>
      </c>
      <c r="G1613" s="28" t="s">
        <v>125</v>
      </c>
      <c r="H1613" s="28">
        <v>0</v>
      </c>
      <c r="J1613" s="28"/>
    </row>
    <row r="1614" spans="1:10" ht="15.75" customHeight="1">
      <c r="A1614" s="28">
        <v>18808</v>
      </c>
      <c r="B1614" s="91">
        <v>45070.026469907403</v>
      </c>
      <c r="C1614" s="28" t="s">
        <v>10</v>
      </c>
      <c r="D1614" s="28" t="s">
        <v>773</v>
      </c>
      <c r="E1614" s="28"/>
      <c r="F1614" s="28">
        <v>0</v>
      </c>
      <c r="G1614" s="28" t="s">
        <v>119</v>
      </c>
      <c r="H1614" s="28">
        <v>0</v>
      </c>
      <c r="J1614" s="28"/>
    </row>
    <row r="1615" spans="1:10" ht="15.75" customHeight="1">
      <c r="A1615" s="28">
        <v>18808</v>
      </c>
      <c r="B1615" s="91">
        <v>45070.026469907403</v>
      </c>
      <c r="C1615" s="28" t="s">
        <v>10</v>
      </c>
      <c r="D1615" s="28" t="s">
        <v>773</v>
      </c>
      <c r="E1615" s="28"/>
      <c r="F1615" s="28">
        <v>0</v>
      </c>
      <c r="G1615" s="28" t="s">
        <v>121</v>
      </c>
      <c r="H1615" s="28">
        <v>0</v>
      </c>
      <c r="J1615" s="28"/>
    </row>
    <row r="1616" spans="1:10" ht="15.75" customHeight="1">
      <c r="A1616" s="28">
        <v>18808</v>
      </c>
      <c r="B1616" s="91">
        <v>45070.026469907403</v>
      </c>
      <c r="C1616" s="28" t="s">
        <v>10</v>
      </c>
      <c r="D1616" s="28" t="s">
        <v>773</v>
      </c>
      <c r="E1616" s="28"/>
      <c r="F1616" s="28">
        <v>7.5</v>
      </c>
      <c r="G1616" s="28" t="s">
        <v>774</v>
      </c>
      <c r="H1616" s="28">
        <v>0</v>
      </c>
      <c r="J1616" s="28"/>
    </row>
    <row r="1617" spans="1:10" ht="15.75" customHeight="1">
      <c r="A1617" s="28">
        <v>18807</v>
      </c>
      <c r="B1617" s="91">
        <v>45069.896041666667</v>
      </c>
      <c r="C1617" s="28" t="s">
        <v>10</v>
      </c>
      <c r="D1617" s="28" t="s">
        <v>775</v>
      </c>
      <c r="E1617" s="28"/>
      <c r="F1617" s="28">
        <v>22</v>
      </c>
      <c r="G1617" s="28" t="s">
        <v>137</v>
      </c>
      <c r="H1617" s="28">
        <v>0</v>
      </c>
      <c r="J1617" s="28"/>
    </row>
    <row r="1618" spans="1:10" ht="15.75" customHeight="1">
      <c r="A1618" s="28">
        <v>18806</v>
      </c>
      <c r="B1618" s="91">
        <v>45069.87672453704</v>
      </c>
      <c r="C1618" s="28" t="s">
        <v>10</v>
      </c>
      <c r="D1618" s="28" t="s">
        <v>776</v>
      </c>
      <c r="E1618" s="28"/>
      <c r="F1618" s="28">
        <v>22.1</v>
      </c>
      <c r="G1618" s="28" t="s">
        <v>122</v>
      </c>
      <c r="H1618" s="28">
        <v>0</v>
      </c>
      <c r="J1618" s="28"/>
    </row>
    <row r="1619" spans="1:10" ht="15.75" customHeight="1">
      <c r="A1619" s="28">
        <v>18806</v>
      </c>
      <c r="B1619" s="91">
        <v>45069.87672453704</v>
      </c>
      <c r="C1619" s="28" t="s">
        <v>10</v>
      </c>
      <c r="D1619" s="28" t="s">
        <v>776</v>
      </c>
      <c r="E1619" s="28"/>
      <c r="F1619" s="28">
        <v>22.1</v>
      </c>
      <c r="G1619" s="28" t="s">
        <v>122</v>
      </c>
      <c r="H1619" s="28">
        <v>0</v>
      </c>
      <c r="J1619" s="28"/>
    </row>
    <row r="1620" spans="1:10" ht="15.75" customHeight="1">
      <c r="A1620" s="28">
        <v>18806</v>
      </c>
      <c r="B1620" s="91">
        <v>45069.87672453704</v>
      </c>
      <c r="C1620" s="28" t="s">
        <v>10</v>
      </c>
      <c r="D1620" s="28" t="s">
        <v>776</v>
      </c>
      <c r="E1620" s="28"/>
      <c r="F1620" s="28">
        <v>17</v>
      </c>
      <c r="G1620" s="28" t="s">
        <v>205</v>
      </c>
      <c r="H1620" s="28">
        <v>0</v>
      </c>
      <c r="J1620" s="28"/>
    </row>
    <row r="1621" spans="1:10" ht="15.75" customHeight="1">
      <c r="A1621" s="28">
        <v>18806</v>
      </c>
      <c r="B1621" s="91">
        <v>45069.87672453704</v>
      </c>
      <c r="C1621" s="28" t="s">
        <v>10</v>
      </c>
      <c r="D1621" s="28" t="s">
        <v>776</v>
      </c>
      <c r="E1621" s="28"/>
      <c r="F1621" s="28">
        <v>0</v>
      </c>
      <c r="G1621" s="28" t="s">
        <v>125</v>
      </c>
      <c r="H1621" s="28">
        <v>0</v>
      </c>
      <c r="J1621" s="28"/>
    </row>
    <row r="1622" spans="1:10" ht="15.75" customHeight="1">
      <c r="A1622" s="28">
        <v>18806</v>
      </c>
      <c r="B1622" s="91">
        <v>45069.87672453704</v>
      </c>
      <c r="C1622" s="28" t="s">
        <v>10</v>
      </c>
      <c r="D1622" s="28" t="s">
        <v>776</v>
      </c>
      <c r="E1622" s="28"/>
      <c r="F1622" s="28">
        <v>15.3</v>
      </c>
      <c r="G1622" s="28" t="s">
        <v>457</v>
      </c>
      <c r="H1622" s="28">
        <v>0</v>
      </c>
      <c r="J1622" s="28"/>
    </row>
    <row r="1623" spans="1:10" ht="15.75" customHeight="1">
      <c r="A1623" s="28">
        <v>18806</v>
      </c>
      <c r="B1623" s="91">
        <v>45069.87672453704</v>
      </c>
      <c r="C1623" s="28" t="s">
        <v>10</v>
      </c>
      <c r="D1623" s="28" t="s">
        <v>776</v>
      </c>
      <c r="E1623" s="28"/>
      <c r="F1623" s="28">
        <v>0</v>
      </c>
      <c r="G1623" s="28" t="s">
        <v>117</v>
      </c>
      <c r="H1623" s="28">
        <v>0</v>
      </c>
      <c r="J1623" s="28"/>
    </row>
    <row r="1624" spans="1:10" ht="15.75" customHeight="1">
      <c r="A1624" s="28">
        <v>18805</v>
      </c>
      <c r="B1624" s="91">
        <v>45069.80877314815</v>
      </c>
      <c r="C1624" s="28" t="s">
        <v>10</v>
      </c>
      <c r="D1624" s="28" t="s">
        <v>777</v>
      </c>
      <c r="E1624" s="28"/>
      <c r="F1624" s="28">
        <v>0</v>
      </c>
      <c r="G1624" s="28" t="s">
        <v>117</v>
      </c>
      <c r="H1624" s="28">
        <v>0</v>
      </c>
      <c r="J1624" s="28"/>
    </row>
    <row r="1625" spans="1:10" ht="15.75" customHeight="1">
      <c r="A1625" s="28">
        <v>18805</v>
      </c>
      <c r="B1625" s="91">
        <v>45069.80877314815</v>
      </c>
      <c r="C1625" s="28" t="s">
        <v>10</v>
      </c>
      <c r="D1625" s="28" t="s">
        <v>777</v>
      </c>
      <c r="E1625" s="28"/>
      <c r="F1625" s="28">
        <v>40</v>
      </c>
      <c r="G1625" s="28" t="s">
        <v>286</v>
      </c>
      <c r="H1625" s="28">
        <v>0</v>
      </c>
      <c r="J1625" s="28"/>
    </row>
    <row r="1626" spans="1:10" ht="15.75" customHeight="1">
      <c r="A1626" s="28">
        <v>18805</v>
      </c>
      <c r="B1626" s="91">
        <v>45069.80877314815</v>
      </c>
      <c r="C1626" s="28" t="s">
        <v>10</v>
      </c>
      <c r="D1626" s="28" t="s">
        <v>777</v>
      </c>
      <c r="E1626" s="28"/>
      <c r="F1626" s="28">
        <v>20</v>
      </c>
      <c r="G1626" s="28" t="s">
        <v>205</v>
      </c>
      <c r="H1626" s="28">
        <v>0</v>
      </c>
      <c r="J1626" s="28"/>
    </row>
    <row r="1627" spans="1:10" ht="15.75" customHeight="1">
      <c r="A1627" s="28">
        <v>18805</v>
      </c>
      <c r="B1627" s="91">
        <v>45069.80877314815</v>
      </c>
      <c r="C1627" s="28" t="s">
        <v>10</v>
      </c>
      <c r="D1627" s="28" t="s">
        <v>777</v>
      </c>
      <c r="E1627" s="28"/>
      <c r="F1627" s="28">
        <v>0</v>
      </c>
      <c r="G1627" s="28" t="s">
        <v>125</v>
      </c>
      <c r="H1627" s="28">
        <v>0</v>
      </c>
      <c r="J1627" s="28"/>
    </row>
    <row r="1628" spans="1:10" ht="15.75" customHeight="1">
      <c r="A1628" s="28">
        <v>18804</v>
      </c>
      <c r="B1628" s="91">
        <v>45069.776851851857</v>
      </c>
      <c r="C1628" s="28" t="s">
        <v>10</v>
      </c>
      <c r="D1628" s="28" t="s">
        <v>778</v>
      </c>
      <c r="E1628" s="28"/>
      <c r="F1628" s="28">
        <v>25</v>
      </c>
      <c r="G1628" s="28">
        <v>100692</v>
      </c>
      <c r="H1628" s="28">
        <v>0</v>
      </c>
      <c r="J1628" s="28"/>
    </row>
    <row r="1629" spans="1:10" ht="15.75" customHeight="1">
      <c r="A1629" s="28">
        <v>18804</v>
      </c>
      <c r="B1629" s="91">
        <v>45069.776851851857</v>
      </c>
      <c r="C1629" s="28" t="s">
        <v>10</v>
      </c>
      <c r="D1629" s="28" t="s">
        <v>778</v>
      </c>
      <c r="E1629" s="28"/>
      <c r="F1629" s="28">
        <v>0</v>
      </c>
      <c r="G1629" s="28" t="s">
        <v>125</v>
      </c>
      <c r="H1629" s="28">
        <v>0</v>
      </c>
      <c r="J1629" s="28"/>
    </row>
    <row r="1630" spans="1:10" ht="15.75" customHeight="1">
      <c r="A1630" s="28">
        <v>18804</v>
      </c>
      <c r="B1630" s="91">
        <v>45069.776851851857</v>
      </c>
      <c r="C1630" s="28" t="s">
        <v>10</v>
      </c>
      <c r="D1630" s="28" t="s">
        <v>778</v>
      </c>
      <c r="E1630" s="28"/>
      <c r="F1630" s="28">
        <v>0</v>
      </c>
      <c r="G1630" s="28" t="s">
        <v>119</v>
      </c>
      <c r="H1630" s="28">
        <v>0</v>
      </c>
      <c r="J1630" s="28"/>
    </row>
    <row r="1631" spans="1:10" ht="15.75" customHeight="1">
      <c r="A1631" s="28">
        <v>18804</v>
      </c>
      <c r="B1631" s="91">
        <v>45069.776851851857</v>
      </c>
      <c r="C1631" s="28" t="s">
        <v>10</v>
      </c>
      <c r="D1631" s="28" t="s">
        <v>778</v>
      </c>
      <c r="E1631" s="28"/>
      <c r="F1631" s="28">
        <v>28</v>
      </c>
      <c r="G1631" s="28" t="s">
        <v>143</v>
      </c>
      <c r="H1631" s="28">
        <v>0</v>
      </c>
      <c r="J1631" s="28"/>
    </row>
    <row r="1632" spans="1:10" ht="15.75" customHeight="1">
      <c r="A1632" s="28">
        <v>18803</v>
      </c>
      <c r="B1632" s="91">
        <v>45069.733217592591</v>
      </c>
      <c r="C1632" s="28" t="s">
        <v>10</v>
      </c>
      <c r="D1632" s="28" t="s">
        <v>779</v>
      </c>
      <c r="E1632" s="28"/>
      <c r="F1632" s="28">
        <v>55</v>
      </c>
      <c r="G1632" s="28">
        <v>101684</v>
      </c>
      <c r="H1632" s="28">
        <v>0</v>
      </c>
      <c r="J1632" s="28"/>
    </row>
    <row r="1633" spans="1:10" ht="15.75" customHeight="1">
      <c r="A1633" s="28">
        <v>18803</v>
      </c>
      <c r="B1633" s="91">
        <v>45069.733217592591</v>
      </c>
      <c r="C1633" s="28" t="s">
        <v>10</v>
      </c>
      <c r="D1633" s="28" t="s">
        <v>779</v>
      </c>
      <c r="E1633" s="28"/>
      <c r="F1633" s="28">
        <v>0</v>
      </c>
      <c r="G1633" s="28" t="s">
        <v>118</v>
      </c>
      <c r="H1633" s="28">
        <v>0</v>
      </c>
      <c r="J1633" s="28"/>
    </row>
    <row r="1634" spans="1:10" ht="15.75" customHeight="1">
      <c r="A1634" s="28">
        <v>18803</v>
      </c>
      <c r="B1634" s="91">
        <v>45069.733217592591</v>
      </c>
      <c r="C1634" s="28" t="s">
        <v>10</v>
      </c>
      <c r="D1634" s="28" t="s">
        <v>779</v>
      </c>
      <c r="E1634" s="28"/>
      <c r="F1634" s="28">
        <v>0</v>
      </c>
      <c r="G1634" s="28" t="s">
        <v>119</v>
      </c>
      <c r="H1634" s="28">
        <v>0</v>
      </c>
      <c r="J1634" s="28"/>
    </row>
    <row r="1635" spans="1:10" ht="15.75" customHeight="1">
      <c r="A1635" s="28">
        <v>18803</v>
      </c>
      <c r="B1635" s="91">
        <v>45069.733217592591</v>
      </c>
      <c r="C1635" s="28" t="s">
        <v>10</v>
      </c>
      <c r="D1635" s="28" t="s">
        <v>779</v>
      </c>
      <c r="E1635" s="28"/>
      <c r="F1635" s="28">
        <v>0</v>
      </c>
      <c r="G1635" s="28" t="s">
        <v>120</v>
      </c>
      <c r="H1635" s="28">
        <v>0</v>
      </c>
      <c r="J1635" s="28"/>
    </row>
    <row r="1636" spans="1:10" ht="15.75" customHeight="1">
      <c r="A1636" s="28">
        <v>18803</v>
      </c>
      <c r="B1636" s="91">
        <v>45069.733217592591</v>
      </c>
      <c r="C1636" s="28" t="s">
        <v>10</v>
      </c>
      <c r="D1636" s="28" t="s">
        <v>779</v>
      </c>
      <c r="E1636" s="28"/>
      <c r="F1636" s="28">
        <v>0</v>
      </c>
      <c r="G1636" s="28" t="s">
        <v>121</v>
      </c>
      <c r="H1636" s="28">
        <v>0</v>
      </c>
      <c r="J1636" s="28"/>
    </row>
    <row r="1637" spans="1:10" ht="15.75" customHeight="1">
      <c r="A1637" s="28">
        <v>18802</v>
      </c>
      <c r="B1637" s="91">
        <v>45069.615439814814</v>
      </c>
      <c r="C1637" s="28" t="s">
        <v>10</v>
      </c>
      <c r="D1637" s="28" t="s">
        <v>780</v>
      </c>
      <c r="E1637" s="28"/>
      <c r="F1637" s="28">
        <v>25</v>
      </c>
      <c r="G1637" s="28">
        <v>100692</v>
      </c>
      <c r="H1637" s="28">
        <v>0</v>
      </c>
      <c r="J1637" s="28"/>
    </row>
    <row r="1638" spans="1:10" ht="15.75" customHeight="1">
      <c r="A1638" s="28">
        <v>18802</v>
      </c>
      <c r="B1638" s="91">
        <v>45069.615439814814</v>
      </c>
      <c r="C1638" s="28" t="s">
        <v>10</v>
      </c>
      <c r="D1638" s="28" t="s">
        <v>780</v>
      </c>
      <c r="E1638" s="28"/>
      <c r="F1638" s="28">
        <v>0</v>
      </c>
      <c r="G1638" s="28" t="s">
        <v>125</v>
      </c>
      <c r="H1638" s="28">
        <v>0</v>
      </c>
      <c r="J1638" s="28"/>
    </row>
    <row r="1639" spans="1:10" ht="15.75" customHeight="1">
      <c r="A1639" s="28">
        <v>18802</v>
      </c>
      <c r="B1639" s="91">
        <v>45069.615439814814</v>
      </c>
      <c r="C1639" s="28" t="s">
        <v>10</v>
      </c>
      <c r="D1639" s="28" t="s">
        <v>780</v>
      </c>
      <c r="E1639" s="28"/>
      <c r="F1639" s="28">
        <v>0</v>
      </c>
      <c r="G1639" s="28" t="s">
        <v>119</v>
      </c>
      <c r="H1639" s="28">
        <v>0</v>
      </c>
      <c r="J1639" s="28"/>
    </row>
    <row r="1640" spans="1:10" ht="15.75" customHeight="1">
      <c r="A1640" s="28">
        <v>18801</v>
      </c>
      <c r="B1640" s="91">
        <v>45069.578009259261</v>
      </c>
      <c r="C1640" s="28" t="s">
        <v>10</v>
      </c>
      <c r="D1640" s="28" t="s">
        <v>781</v>
      </c>
      <c r="E1640" s="28"/>
      <c r="F1640" s="28">
        <v>18</v>
      </c>
      <c r="G1640" s="28" t="s">
        <v>119</v>
      </c>
      <c r="H1640" s="28">
        <v>0</v>
      </c>
      <c r="J1640" s="28"/>
    </row>
    <row r="1641" spans="1:10" ht="15.75" customHeight="1">
      <c r="A1641" s="28">
        <v>18800</v>
      </c>
      <c r="B1641" s="91">
        <v>45068.977118055554</v>
      </c>
      <c r="C1641" s="28" t="s">
        <v>10</v>
      </c>
      <c r="D1641" s="28" t="s">
        <v>782</v>
      </c>
      <c r="E1641" s="28"/>
      <c r="F1641" s="28">
        <v>80</v>
      </c>
      <c r="G1641" s="28"/>
      <c r="H1641" s="28">
        <v>0</v>
      </c>
      <c r="J1641" s="28"/>
    </row>
    <row r="1642" spans="1:10" ht="15.75" customHeight="1">
      <c r="A1642" s="28">
        <v>18800</v>
      </c>
      <c r="B1642" s="91">
        <v>45068.977118055554</v>
      </c>
      <c r="C1642" s="28" t="s">
        <v>10</v>
      </c>
      <c r="D1642" s="28" t="s">
        <v>782</v>
      </c>
      <c r="E1642" s="28"/>
      <c r="F1642" s="28">
        <v>20</v>
      </c>
      <c r="G1642" s="28" t="s">
        <v>205</v>
      </c>
      <c r="H1642" s="28">
        <v>0</v>
      </c>
      <c r="J1642" s="28"/>
    </row>
    <row r="1643" spans="1:10" ht="15.75" customHeight="1">
      <c r="A1643" s="28">
        <v>18800</v>
      </c>
      <c r="B1643" s="91">
        <v>45068.977118055554</v>
      </c>
      <c r="C1643" s="28" t="s">
        <v>10</v>
      </c>
      <c r="D1643" s="28" t="s">
        <v>782</v>
      </c>
      <c r="E1643" s="28"/>
      <c r="F1643" s="28">
        <v>0</v>
      </c>
      <c r="G1643" s="28" t="s">
        <v>125</v>
      </c>
      <c r="H1643" s="28">
        <v>0</v>
      </c>
      <c r="J1643" s="28"/>
    </row>
    <row r="1644" spans="1:10" ht="15.75" customHeight="1">
      <c r="A1644" s="28">
        <v>18799</v>
      </c>
      <c r="B1644" s="91">
        <v>45068.725312499999</v>
      </c>
      <c r="C1644" s="28" t="s">
        <v>10</v>
      </c>
      <c r="D1644" s="28" t="s">
        <v>783</v>
      </c>
      <c r="E1644" s="28"/>
      <c r="F1644" s="28">
        <v>25</v>
      </c>
      <c r="G1644" s="28">
        <v>100692</v>
      </c>
      <c r="H1644" s="28">
        <v>0</v>
      </c>
      <c r="J1644" s="28"/>
    </row>
    <row r="1645" spans="1:10" ht="15.75" customHeight="1">
      <c r="A1645" s="28">
        <v>18799</v>
      </c>
      <c r="B1645" s="91">
        <v>45068.725312499999</v>
      </c>
      <c r="C1645" s="28" t="s">
        <v>10</v>
      </c>
      <c r="D1645" s="28" t="s">
        <v>783</v>
      </c>
      <c r="E1645" s="28"/>
      <c r="F1645" s="28">
        <v>0</v>
      </c>
      <c r="G1645" s="28" t="s">
        <v>125</v>
      </c>
      <c r="H1645" s="28">
        <v>0</v>
      </c>
      <c r="J1645" s="28"/>
    </row>
    <row r="1646" spans="1:10" ht="15.75" customHeight="1">
      <c r="A1646" s="28">
        <v>18799</v>
      </c>
      <c r="B1646" s="91">
        <v>45068.725312499999</v>
      </c>
      <c r="C1646" s="28" t="s">
        <v>10</v>
      </c>
      <c r="D1646" s="28" t="s">
        <v>783</v>
      </c>
      <c r="E1646" s="28"/>
      <c r="F1646" s="28">
        <v>0</v>
      </c>
      <c r="G1646" s="28" t="s">
        <v>119</v>
      </c>
      <c r="H1646" s="28">
        <v>0</v>
      </c>
      <c r="J1646" s="28"/>
    </row>
    <row r="1647" spans="1:10" ht="15.75" customHeight="1">
      <c r="A1647" s="28">
        <v>18798</v>
      </c>
      <c r="B1647" s="91">
        <v>45068.134236111116</v>
      </c>
      <c r="C1647" s="28" t="s">
        <v>10</v>
      </c>
      <c r="D1647" s="28" t="s">
        <v>662</v>
      </c>
      <c r="E1647" s="28"/>
      <c r="F1647" s="28">
        <v>28</v>
      </c>
      <c r="G1647" s="28" t="s">
        <v>143</v>
      </c>
      <c r="H1647" s="28">
        <v>0</v>
      </c>
      <c r="J1647" s="28"/>
    </row>
    <row r="1648" spans="1:10" ht="15.75" customHeight="1">
      <c r="A1648" s="28">
        <v>18797</v>
      </c>
      <c r="B1648" s="91">
        <v>45067.725219907406</v>
      </c>
      <c r="C1648" s="28" t="s">
        <v>10</v>
      </c>
      <c r="D1648" s="28" t="s">
        <v>639</v>
      </c>
      <c r="E1648" s="28"/>
      <c r="F1648" s="28">
        <v>25</v>
      </c>
      <c r="G1648" s="28">
        <v>100692</v>
      </c>
      <c r="H1648" s="28">
        <v>0</v>
      </c>
      <c r="J1648" s="28"/>
    </row>
    <row r="1649" spans="1:10" ht="15.75" customHeight="1">
      <c r="A1649" s="28">
        <v>18797</v>
      </c>
      <c r="B1649" s="91">
        <v>45067.725219907406</v>
      </c>
      <c r="C1649" s="28" t="s">
        <v>10</v>
      </c>
      <c r="D1649" s="28" t="s">
        <v>639</v>
      </c>
      <c r="E1649" s="28"/>
      <c r="F1649" s="28">
        <v>0</v>
      </c>
      <c r="G1649" s="28" t="s">
        <v>125</v>
      </c>
      <c r="H1649" s="28">
        <v>0</v>
      </c>
      <c r="J1649" s="28"/>
    </row>
    <row r="1650" spans="1:10" ht="15.75" customHeight="1">
      <c r="A1650" s="28">
        <v>18797</v>
      </c>
      <c r="B1650" s="91">
        <v>45067.725219907406</v>
      </c>
      <c r="C1650" s="28" t="s">
        <v>10</v>
      </c>
      <c r="D1650" s="28" t="s">
        <v>639</v>
      </c>
      <c r="E1650" s="28"/>
      <c r="F1650" s="28">
        <v>0</v>
      </c>
      <c r="G1650" s="28" t="s">
        <v>119</v>
      </c>
      <c r="H1650" s="28">
        <v>0</v>
      </c>
      <c r="J1650" s="28"/>
    </row>
    <row r="1651" spans="1:10" ht="15.75" customHeight="1">
      <c r="A1651" s="28">
        <v>18796</v>
      </c>
      <c r="B1651" s="91">
        <v>45067.023148148146</v>
      </c>
      <c r="C1651" s="28" t="s">
        <v>10</v>
      </c>
      <c r="D1651" s="28" t="s">
        <v>784</v>
      </c>
      <c r="E1651" s="28"/>
      <c r="F1651" s="28">
        <v>20</v>
      </c>
      <c r="G1651" s="28" t="s">
        <v>205</v>
      </c>
      <c r="H1651" s="28">
        <v>0</v>
      </c>
      <c r="J1651" s="28"/>
    </row>
    <row r="1652" spans="1:10" ht="15.75" customHeight="1">
      <c r="A1652" s="28">
        <v>18796</v>
      </c>
      <c r="B1652" s="91">
        <v>45067.023148148146</v>
      </c>
      <c r="C1652" s="28" t="s">
        <v>10</v>
      </c>
      <c r="D1652" s="28" t="s">
        <v>784</v>
      </c>
      <c r="E1652" s="28"/>
      <c r="F1652" s="28">
        <v>0</v>
      </c>
      <c r="G1652" s="28" t="s">
        <v>125</v>
      </c>
      <c r="H1652" s="28">
        <v>0</v>
      </c>
      <c r="J1652" s="28"/>
    </row>
    <row r="1653" spans="1:10" ht="15.75" customHeight="1">
      <c r="A1653" s="28">
        <v>18795</v>
      </c>
      <c r="B1653" s="91">
        <v>45067.020879629628</v>
      </c>
      <c r="C1653" s="28" t="s">
        <v>52</v>
      </c>
      <c r="D1653" s="28" t="s">
        <v>784</v>
      </c>
      <c r="E1653" s="28"/>
      <c r="F1653" s="28">
        <v>20</v>
      </c>
      <c r="G1653" s="28" t="s">
        <v>205</v>
      </c>
      <c r="H1653" s="28">
        <v>0</v>
      </c>
      <c r="J1653" s="28"/>
    </row>
    <row r="1654" spans="1:10" ht="15.75" customHeight="1">
      <c r="A1654" s="28">
        <v>18795</v>
      </c>
      <c r="B1654" s="91">
        <v>45067.020879629628</v>
      </c>
      <c r="C1654" s="28" t="s">
        <v>52</v>
      </c>
      <c r="D1654" s="28" t="s">
        <v>784</v>
      </c>
      <c r="E1654" s="28"/>
      <c r="F1654" s="28">
        <v>0</v>
      </c>
      <c r="G1654" s="28" t="s">
        <v>125</v>
      </c>
      <c r="H1654" s="28">
        <v>0</v>
      </c>
      <c r="J1654" s="28"/>
    </row>
    <row r="1655" spans="1:10" ht="15.75" customHeight="1">
      <c r="A1655" s="28">
        <v>18794</v>
      </c>
      <c r="B1655" s="91">
        <v>45066.90221064815</v>
      </c>
      <c r="C1655" s="28" t="s">
        <v>10</v>
      </c>
      <c r="D1655" s="28" t="s">
        <v>785</v>
      </c>
      <c r="E1655" s="28"/>
      <c r="F1655" s="28">
        <v>35</v>
      </c>
      <c r="G1655" s="28" t="s">
        <v>124</v>
      </c>
      <c r="H1655" s="28">
        <v>0</v>
      </c>
      <c r="J1655" s="28"/>
    </row>
    <row r="1656" spans="1:10" ht="15.75" customHeight="1">
      <c r="A1656" s="28">
        <v>18794</v>
      </c>
      <c r="B1656" s="91">
        <v>45066.90221064815</v>
      </c>
      <c r="C1656" s="28" t="s">
        <v>10</v>
      </c>
      <c r="D1656" s="28" t="s">
        <v>785</v>
      </c>
      <c r="E1656" s="28"/>
      <c r="F1656" s="28">
        <v>0</v>
      </c>
      <c r="G1656" s="28" t="s">
        <v>125</v>
      </c>
      <c r="H1656" s="28">
        <v>0</v>
      </c>
      <c r="J1656" s="28"/>
    </row>
    <row r="1657" spans="1:10" ht="15.75" customHeight="1">
      <c r="A1657" s="28">
        <v>18794</v>
      </c>
      <c r="B1657" s="91">
        <v>45066.90221064815</v>
      </c>
      <c r="C1657" s="28" t="s">
        <v>10</v>
      </c>
      <c r="D1657" s="28" t="s">
        <v>785</v>
      </c>
      <c r="E1657" s="28"/>
      <c r="F1657" s="28">
        <v>0</v>
      </c>
      <c r="G1657" s="28" t="s">
        <v>119</v>
      </c>
      <c r="H1657" s="28">
        <v>0</v>
      </c>
      <c r="J1657" s="28"/>
    </row>
    <row r="1658" spans="1:10" ht="15.75" customHeight="1">
      <c r="A1658" s="28">
        <v>18794</v>
      </c>
      <c r="B1658" s="91">
        <v>45066.90221064815</v>
      </c>
      <c r="C1658" s="28" t="s">
        <v>10</v>
      </c>
      <c r="D1658" s="28" t="s">
        <v>785</v>
      </c>
      <c r="E1658" s="28"/>
      <c r="F1658" s="28">
        <v>0</v>
      </c>
      <c r="G1658" s="28" t="s">
        <v>121</v>
      </c>
      <c r="H1658" s="28">
        <v>0</v>
      </c>
      <c r="J1658" s="28"/>
    </row>
    <row r="1659" spans="1:10" ht="15.75" customHeight="1">
      <c r="A1659" s="28">
        <v>18794</v>
      </c>
      <c r="B1659" s="91">
        <v>45066.90221064815</v>
      </c>
      <c r="C1659" s="28" t="s">
        <v>10</v>
      </c>
      <c r="D1659" s="28" t="s">
        <v>785</v>
      </c>
      <c r="E1659" s="28"/>
      <c r="F1659" s="28">
        <v>18</v>
      </c>
      <c r="G1659" s="28" t="s">
        <v>119</v>
      </c>
      <c r="H1659" s="28">
        <v>0</v>
      </c>
      <c r="J1659" s="28"/>
    </row>
    <row r="1660" spans="1:10" ht="15.75" customHeight="1">
      <c r="A1660" s="28">
        <v>18793</v>
      </c>
      <c r="B1660" s="91">
        <v>45066.900358796294</v>
      </c>
      <c r="C1660" s="28" t="s">
        <v>10</v>
      </c>
      <c r="D1660" s="28" t="s">
        <v>786</v>
      </c>
      <c r="E1660" s="28"/>
      <c r="F1660" s="28">
        <v>35</v>
      </c>
      <c r="G1660" s="28" t="s">
        <v>124</v>
      </c>
      <c r="H1660" s="28">
        <v>0</v>
      </c>
      <c r="J1660" s="28"/>
    </row>
    <row r="1661" spans="1:10" ht="15.75" customHeight="1">
      <c r="A1661" s="28">
        <v>18793</v>
      </c>
      <c r="B1661" s="91">
        <v>45066.900358796294</v>
      </c>
      <c r="C1661" s="28" t="s">
        <v>10</v>
      </c>
      <c r="D1661" s="28" t="s">
        <v>786</v>
      </c>
      <c r="E1661" s="28"/>
      <c r="F1661" s="28">
        <v>0</v>
      </c>
      <c r="G1661" s="28" t="s">
        <v>125</v>
      </c>
      <c r="H1661" s="28">
        <v>0</v>
      </c>
      <c r="J1661" s="28"/>
    </row>
    <row r="1662" spans="1:10" ht="15.75" customHeight="1">
      <c r="A1662" s="28">
        <v>18793</v>
      </c>
      <c r="B1662" s="91">
        <v>45066.900358796294</v>
      </c>
      <c r="C1662" s="28" t="s">
        <v>10</v>
      </c>
      <c r="D1662" s="28" t="s">
        <v>786</v>
      </c>
      <c r="E1662" s="28"/>
      <c r="F1662" s="28">
        <v>0</v>
      </c>
      <c r="G1662" s="28" t="s">
        <v>119</v>
      </c>
      <c r="H1662" s="28">
        <v>0</v>
      </c>
      <c r="J1662" s="28"/>
    </row>
    <row r="1663" spans="1:10" ht="15.75" customHeight="1">
      <c r="A1663" s="28">
        <v>18793</v>
      </c>
      <c r="B1663" s="91">
        <v>45066.900358796294</v>
      </c>
      <c r="C1663" s="28" t="s">
        <v>10</v>
      </c>
      <c r="D1663" s="28" t="s">
        <v>786</v>
      </c>
      <c r="E1663" s="28"/>
      <c r="F1663" s="28">
        <v>0</v>
      </c>
      <c r="G1663" s="28" t="s">
        <v>121</v>
      </c>
      <c r="H1663" s="28">
        <v>0</v>
      </c>
      <c r="J1663" s="28"/>
    </row>
    <row r="1664" spans="1:10" ht="15.75" customHeight="1">
      <c r="A1664" s="28">
        <v>18793</v>
      </c>
      <c r="B1664" s="91">
        <v>45066.900358796294</v>
      </c>
      <c r="C1664" s="28" t="s">
        <v>10</v>
      </c>
      <c r="D1664" s="28" t="s">
        <v>786</v>
      </c>
      <c r="E1664" s="28"/>
      <c r="F1664" s="28">
        <v>18</v>
      </c>
      <c r="G1664" s="28" t="s">
        <v>119</v>
      </c>
      <c r="H1664" s="28">
        <v>0</v>
      </c>
      <c r="J1664" s="28"/>
    </row>
    <row r="1665" spans="1:10" ht="15.75" customHeight="1">
      <c r="A1665" s="28">
        <v>18792</v>
      </c>
      <c r="B1665" s="91">
        <v>45066.787928240738</v>
      </c>
      <c r="C1665" s="28" t="s">
        <v>10</v>
      </c>
      <c r="D1665" s="28" t="s">
        <v>787</v>
      </c>
      <c r="E1665" s="28"/>
      <c r="F1665" s="28">
        <v>55</v>
      </c>
      <c r="G1665" s="28">
        <v>101684</v>
      </c>
      <c r="H1665" s="28">
        <v>0</v>
      </c>
      <c r="J1665" s="28"/>
    </row>
    <row r="1666" spans="1:10" ht="15.75" customHeight="1">
      <c r="A1666" s="28">
        <v>18792</v>
      </c>
      <c r="B1666" s="91">
        <v>45066.787928240738</v>
      </c>
      <c r="C1666" s="28" t="s">
        <v>10</v>
      </c>
      <c r="D1666" s="28" t="s">
        <v>787</v>
      </c>
      <c r="E1666" s="28"/>
      <c r="F1666" s="28">
        <v>0</v>
      </c>
      <c r="G1666" s="28" t="s">
        <v>118</v>
      </c>
      <c r="H1666" s="28">
        <v>0</v>
      </c>
      <c r="J1666" s="28"/>
    </row>
    <row r="1667" spans="1:10" ht="15.75" customHeight="1">
      <c r="A1667" s="28">
        <v>18792</v>
      </c>
      <c r="B1667" s="91">
        <v>45066.787928240738</v>
      </c>
      <c r="C1667" s="28" t="s">
        <v>10</v>
      </c>
      <c r="D1667" s="28" t="s">
        <v>787</v>
      </c>
      <c r="E1667" s="28"/>
      <c r="F1667" s="28">
        <v>0</v>
      </c>
      <c r="G1667" s="28" t="s">
        <v>119</v>
      </c>
      <c r="H1667" s="28">
        <v>0</v>
      </c>
      <c r="J1667" s="28"/>
    </row>
    <row r="1668" spans="1:10" ht="15.75" customHeight="1">
      <c r="A1668" s="28">
        <v>18792</v>
      </c>
      <c r="B1668" s="91">
        <v>45066.787928240738</v>
      </c>
      <c r="C1668" s="28" t="s">
        <v>10</v>
      </c>
      <c r="D1668" s="28" t="s">
        <v>787</v>
      </c>
      <c r="E1668" s="28"/>
      <c r="F1668" s="28">
        <v>0</v>
      </c>
      <c r="G1668" s="28" t="s">
        <v>120</v>
      </c>
      <c r="H1668" s="28">
        <v>0</v>
      </c>
      <c r="J1668" s="28"/>
    </row>
    <row r="1669" spans="1:10" ht="15.75" customHeight="1">
      <c r="A1669" s="28">
        <v>18792</v>
      </c>
      <c r="B1669" s="91">
        <v>45066.787928240738</v>
      </c>
      <c r="C1669" s="28" t="s">
        <v>10</v>
      </c>
      <c r="D1669" s="28" t="s">
        <v>787</v>
      </c>
      <c r="E1669" s="28"/>
      <c r="F1669" s="28">
        <v>0</v>
      </c>
      <c r="G1669" s="28" t="s">
        <v>121</v>
      </c>
      <c r="H1669" s="28">
        <v>0</v>
      </c>
      <c r="J1669" s="28"/>
    </row>
    <row r="1670" spans="1:10" ht="15.75" customHeight="1">
      <c r="A1670" s="28">
        <v>18791</v>
      </c>
      <c r="B1670" s="91">
        <v>45066.702025462961</v>
      </c>
      <c r="C1670" s="28" t="s">
        <v>10</v>
      </c>
      <c r="D1670" s="28" t="s">
        <v>788</v>
      </c>
      <c r="E1670" s="28"/>
      <c r="F1670" s="28">
        <v>28</v>
      </c>
      <c r="G1670" s="28" t="s">
        <v>143</v>
      </c>
      <c r="H1670" s="28">
        <v>0</v>
      </c>
      <c r="J1670" s="28"/>
    </row>
    <row r="1671" spans="1:10" ht="15.75" customHeight="1">
      <c r="A1671" s="28">
        <v>18790</v>
      </c>
      <c r="B1671" s="91">
        <v>45066.5158912037</v>
      </c>
      <c r="C1671" s="28" t="s">
        <v>10</v>
      </c>
      <c r="D1671" s="28" t="s">
        <v>789</v>
      </c>
      <c r="E1671" s="28"/>
      <c r="F1671" s="28">
        <v>25</v>
      </c>
      <c r="G1671" s="28">
        <v>100692</v>
      </c>
      <c r="H1671" s="28">
        <v>0</v>
      </c>
      <c r="J1671" s="28"/>
    </row>
    <row r="1672" spans="1:10" ht="15.75" customHeight="1">
      <c r="A1672" s="28">
        <v>18790</v>
      </c>
      <c r="B1672" s="91">
        <v>45066.5158912037</v>
      </c>
      <c r="C1672" s="28" t="s">
        <v>10</v>
      </c>
      <c r="D1672" s="28" t="s">
        <v>789</v>
      </c>
      <c r="E1672" s="28"/>
      <c r="F1672" s="28">
        <v>0</v>
      </c>
      <c r="G1672" s="28" t="s">
        <v>125</v>
      </c>
      <c r="H1672" s="28">
        <v>0</v>
      </c>
      <c r="J1672" s="28"/>
    </row>
    <row r="1673" spans="1:10" ht="15.75" customHeight="1">
      <c r="A1673" s="28">
        <v>18790</v>
      </c>
      <c r="B1673" s="91">
        <v>45066.5158912037</v>
      </c>
      <c r="C1673" s="28" t="s">
        <v>10</v>
      </c>
      <c r="D1673" s="28" t="s">
        <v>789</v>
      </c>
      <c r="E1673" s="28"/>
      <c r="F1673" s="28">
        <v>0</v>
      </c>
      <c r="G1673" s="28" t="s">
        <v>119</v>
      </c>
      <c r="H1673" s="28">
        <v>0</v>
      </c>
      <c r="J1673" s="28"/>
    </row>
    <row r="1674" spans="1:10" ht="15.75" customHeight="1">
      <c r="A1674" s="28">
        <v>18789</v>
      </c>
      <c r="B1674" s="91">
        <v>45066.205451388887</v>
      </c>
      <c r="C1674" s="28" t="s">
        <v>10</v>
      </c>
      <c r="D1674" s="28" t="s">
        <v>398</v>
      </c>
      <c r="E1674" s="28"/>
      <c r="F1674" s="28">
        <v>30</v>
      </c>
      <c r="G1674" s="28" t="s">
        <v>128</v>
      </c>
      <c r="H1674" s="28">
        <v>0</v>
      </c>
      <c r="J1674" s="28"/>
    </row>
    <row r="1675" spans="1:10" ht="15.75" customHeight="1">
      <c r="A1675" s="28">
        <v>18789</v>
      </c>
      <c r="B1675" s="91">
        <v>45066.205451388887</v>
      </c>
      <c r="C1675" s="28" t="s">
        <v>10</v>
      </c>
      <c r="D1675" s="28" t="s">
        <v>398</v>
      </c>
      <c r="E1675" s="28"/>
      <c r="F1675" s="28">
        <v>0</v>
      </c>
      <c r="G1675" s="28" t="s">
        <v>125</v>
      </c>
      <c r="H1675" s="28">
        <v>0</v>
      </c>
      <c r="J1675" s="28"/>
    </row>
    <row r="1676" spans="1:10" ht="15.75" customHeight="1">
      <c r="A1676" s="28">
        <v>18789</v>
      </c>
      <c r="B1676" s="91">
        <v>45066.205451388887</v>
      </c>
      <c r="C1676" s="28" t="s">
        <v>10</v>
      </c>
      <c r="D1676" s="28" t="s">
        <v>398</v>
      </c>
      <c r="E1676" s="28"/>
      <c r="F1676" s="28">
        <v>0</v>
      </c>
      <c r="G1676" s="28" t="s">
        <v>119</v>
      </c>
      <c r="H1676" s="28">
        <v>0</v>
      </c>
      <c r="J1676" s="28"/>
    </row>
    <row r="1677" spans="1:10" ht="15.75" customHeight="1">
      <c r="A1677" s="28">
        <v>18783</v>
      </c>
      <c r="B1677" s="91">
        <v>45065.710636574076</v>
      </c>
      <c r="C1677" s="28" t="s">
        <v>10</v>
      </c>
      <c r="D1677" s="28" t="s">
        <v>790</v>
      </c>
      <c r="E1677" s="28"/>
      <c r="F1677" s="28">
        <v>20</v>
      </c>
      <c r="G1677" s="28" t="s">
        <v>205</v>
      </c>
      <c r="H1677" s="28">
        <v>0</v>
      </c>
      <c r="J1677" s="28"/>
    </row>
    <row r="1678" spans="1:10" ht="15.75" customHeight="1">
      <c r="A1678" s="28">
        <v>18783</v>
      </c>
      <c r="B1678" s="91">
        <v>45065.710636574076</v>
      </c>
      <c r="C1678" s="28" t="s">
        <v>10</v>
      </c>
      <c r="D1678" s="28" t="s">
        <v>790</v>
      </c>
      <c r="E1678" s="28"/>
      <c r="F1678" s="28">
        <v>0</v>
      </c>
      <c r="G1678" s="28" t="s">
        <v>125</v>
      </c>
      <c r="H1678" s="28">
        <v>0</v>
      </c>
      <c r="J1678" s="28"/>
    </row>
    <row r="1679" spans="1:10" ht="15.75" customHeight="1">
      <c r="A1679" s="28">
        <v>18782</v>
      </c>
      <c r="B1679" s="91">
        <v>45065.664444444439</v>
      </c>
      <c r="C1679" s="28" t="s">
        <v>10</v>
      </c>
      <c r="D1679" s="28" t="s">
        <v>791</v>
      </c>
      <c r="E1679" s="28"/>
      <c r="F1679" s="28">
        <v>20</v>
      </c>
      <c r="G1679" s="28" t="s">
        <v>121</v>
      </c>
      <c r="H1679" s="28">
        <v>0</v>
      </c>
      <c r="J1679" s="28"/>
    </row>
    <row r="1680" spans="1:10" ht="15.75" customHeight="1">
      <c r="A1680" s="28">
        <v>18781</v>
      </c>
      <c r="B1680" s="91">
        <v>45065.619826388887</v>
      </c>
      <c r="C1680" s="28" t="s">
        <v>10</v>
      </c>
      <c r="D1680" s="28" t="s">
        <v>792</v>
      </c>
      <c r="E1680" s="28"/>
      <c r="F1680" s="28">
        <v>25</v>
      </c>
      <c r="G1680" s="28" t="s">
        <v>141</v>
      </c>
      <c r="H1680" s="28">
        <v>0</v>
      </c>
      <c r="J1680" s="28"/>
    </row>
    <row r="1681" spans="1:10" ht="15.75" customHeight="1">
      <c r="A1681" s="28">
        <v>18780</v>
      </c>
      <c r="B1681" s="91">
        <v>45065.007118055553</v>
      </c>
      <c r="C1681" s="28" t="s">
        <v>10</v>
      </c>
      <c r="D1681" s="28" t="s">
        <v>793</v>
      </c>
      <c r="E1681" s="28"/>
      <c r="F1681" s="28">
        <v>18</v>
      </c>
      <c r="G1681" s="28" t="s">
        <v>119</v>
      </c>
      <c r="H1681" s="28">
        <v>0</v>
      </c>
      <c r="J1681" s="28"/>
    </row>
    <row r="1682" spans="1:10" ht="15.75" customHeight="1">
      <c r="A1682" s="28">
        <v>18779</v>
      </c>
      <c r="B1682" s="91">
        <v>45064.806990740741</v>
      </c>
      <c r="C1682" s="28" t="s">
        <v>10</v>
      </c>
      <c r="D1682" s="28" t="s">
        <v>794</v>
      </c>
      <c r="E1682" s="28"/>
      <c r="F1682" s="28">
        <v>18</v>
      </c>
      <c r="G1682" s="28" t="s">
        <v>119</v>
      </c>
      <c r="H1682" s="28">
        <v>0</v>
      </c>
      <c r="J1682" s="28"/>
    </row>
    <row r="1683" spans="1:10" ht="15.75" customHeight="1">
      <c r="A1683" s="28">
        <v>18778</v>
      </c>
      <c r="B1683" s="91">
        <v>45064.729525462964</v>
      </c>
      <c r="C1683" s="28" t="s">
        <v>10</v>
      </c>
      <c r="D1683" s="28" t="s">
        <v>795</v>
      </c>
      <c r="E1683" s="28"/>
      <c r="F1683" s="28">
        <v>15</v>
      </c>
      <c r="G1683" s="28" t="s">
        <v>125</v>
      </c>
      <c r="H1683" s="28">
        <v>0</v>
      </c>
      <c r="J1683" s="28"/>
    </row>
    <row r="1684" spans="1:10" ht="15.75" customHeight="1">
      <c r="A1684" s="28">
        <v>18777</v>
      </c>
      <c r="B1684" s="91">
        <v>45064.726099537038</v>
      </c>
      <c r="C1684" s="28" t="s">
        <v>10</v>
      </c>
      <c r="D1684" s="28" t="s">
        <v>796</v>
      </c>
      <c r="E1684" s="28"/>
      <c r="F1684" s="28">
        <v>15</v>
      </c>
      <c r="G1684" s="28" t="s">
        <v>125</v>
      </c>
      <c r="H1684" s="28">
        <v>0</v>
      </c>
      <c r="J1684" s="28"/>
    </row>
    <row r="1685" spans="1:10" ht="15.75" customHeight="1">
      <c r="A1685" s="28">
        <v>18776</v>
      </c>
      <c r="B1685" s="91">
        <v>45064.700578703705</v>
      </c>
      <c r="C1685" s="28" t="s">
        <v>10</v>
      </c>
      <c r="D1685" s="28" t="s">
        <v>797</v>
      </c>
      <c r="E1685" s="28"/>
      <c r="F1685" s="28">
        <v>25</v>
      </c>
      <c r="G1685" s="28">
        <v>100692</v>
      </c>
      <c r="H1685" s="28">
        <v>0</v>
      </c>
      <c r="J1685" s="28"/>
    </row>
    <row r="1686" spans="1:10" ht="15.75" customHeight="1">
      <c r="A1686" s="28">
        <v>18776</v>
      </c>
      <c r="B1686" s="91">
        <v>45064.700578703705</v>
      </c>
      <c r="C1686" s="28" t="s">
        <v>10</v>
      </c>
      <c r="D1686" s="28" t="s">
        <v>797</v>
      </c>
      <c r="E1686" s="28"/>
      <c r="F1686" s="28">
        <v>0</v>
      </c>
      <c r="G1686" s="28" t="s">
        <v>125</v>
      </c>
      <c r="H1686" s="28">
        <v>0</v>
      </c>
      <c r="J1686" s="28"/>
    </row>
    <row r="1687" spans="1:10" ht="15.75" customHeight="1">
      <c r="A1687" s="28">
        <v>18776</v>
      </c>
      <c r="B1687" s="91">
        <v>45064.700578703705</v>
      </c>
      <c r="C1687" s="28" t="s">
        <v>10</v>
      </c>
      <c r="D1687" s="28" t="s">
        <v>797</v>
      </c>
      <c r="E1687" s="28"/>
      <c r="F1687" s="28">
        <v>0</v>
      </c>
      <c r="G1687" s="28" t="s">
        <v>119</v>
      </c>
      <c r="H1687" s="28">
        <v>0</v>
      </c>
      <c r="J1687" s="28"/>
    </row>
    <row r="1688" spans="1:10" ht="15.75" customHeight="1">
      <c r="A1688" s="28">
        <v>18775</v>
      </c>
      <c r="B1688" s="91">
        <v>45064.120844907404</v>
      </c>
      <c r="C1688" s="28" t="s">
        <v>10</v>
      </c>
      <c r="D1688" s="28" t="s">
        <v>798</v>
      </c>
      <c r="E1688" s="28"/>
      <c r="F1688" s="28">
        <v>35</v>
      </c>
      <c r="G1688" s="28" t="s">
        <v>124</v>
      </c>
      <c r="H1688" s="28">
        <v>0</v>
      </c>
      <c r="J1688" s="28"/>
    </row>
    <row r="1689" spans="1:10" ht="15.75" customHeight="1">
      <c r="A1689" s="28">
        <v>18775</v>
      </c>
      <c r="B1689" s="91">
        <v>45064.120844907404</v>
      </c>
      <c r="C1689" s="28" t="s">
        <v>10</v>
      </c>
      <c r="D1689" s="28" t="s">
        <v>798</v>
      </c>
      <c r="E1689" s="28"/>
      <c r="F1689" s="28">
        <v>0</v>
      </c>
      <c r="G1689" s="28" t="s">
        <v>125</v>
      </c>
      <c r="H1689" s="28">
        <v>0</v>
      </c>
      <c r="J1689" s="28"/>
    </row>
    <row r="1690" spans="1:10" ht="15.75" customHeight="1">
      <c r="A1690" s="28">
        <v>18775</v>
      </c>
      <c r="B1690" s="91">
        <v>45064.120844907404</v>
      </c>
      <c r="C1690" s="28" t="s">
        <v>10</v>
      </c>
      <c r="D1690" s="28" t="s">
        <v>798</v>
      </c>
      <c r="E1690" s="28"/>
      <c r="F1690" s="28">
        <v>0</v>
      </c>
      <c r="G1690" s="28" t="s">
        <v>119</v>
      </c>
      <c r="H1690" s="28">
        <v>0</v>
      </c>
      <c r="J1690" s="28"/>
    </row>
    <row r="1691" spans="1:10" ht="15.75" customHeight="1">
      <c r="A1691" s="28">
        <v>18775</v>
      </c>
      <c r="B1691" s="91">
        <v>45064.120844907404</v>
      </c>
      <c r="C1691" s="28" t="s">
        <v>10</v>
      </c>
      <c r="D1691" s="28" t="s">
        <v>798</v>
      </c>
      <c r="E1691" s="28"/>
      <c r="F1691" s="28">
        <v>0</v>
      </c>
      <c r="G1691" s="28" t="s">
        <v>121</v>
      </c>
      <c r="H1691" s="28">
        <v>0</v>
      </c>
      <c r="J1691" s="28"/>
    </row>
    <row r="1692" spans="1:10" ht="15.75" customHeight="1">
      <c r="A1692" s="28">
        <v>18775</v>
      </c>
      <c r="B1692" s="91">
        <v>45064.120844907404</v>
      </c>
      <c r="C1692" s="28" t="s">
        <v>10</v>
      </c>
      <c r="D1692" s="28" t="s">
        <v>798</v>
      </c>
      <c r="E1692" s="28"/>
      <c r="F1692" s="28">
        <v>28</v>
      </c>
      <c r="G1692" s="28" t="s">
        <v>143</v>
      </c>
      <c r="H1692" s="28">
        <v>0</v>
      </c>
      <c r="J1692" s="28"/>
    </row>
    <row r="1693" spans="1:10" ht="15.75" customHeight="1">
      <c r="A1693" s="28">
        <v>18770</v>
      </c>
      <c r="B1693" s="91">
        <v>45064.079502314809</v>
      </c>
      <c r="C1693" s="28" t="s">
        <v>10</v>
      </c>
      <c r="D1693" s="28" t="s">
        <v>799</v>
      </c>
      <c r="E1693" s="28"/>
      <c r="F1693" s="28">
        <v>25</v>
      </c>
      <c r="G1693" s="28">
        <v>100692</v>
      </c>
      <c r="H1693" s="28">
        <v>0</v>
      </c>
      <c r="J1693" s="28"/>
    </row>
    <row r="1694" spans="1:10" ht="15.75" customHeight="1">
      <c r="A1694" s="28">
        <v>18770</v>
      </c>
      <c r="B1694" s="91">
        <v>45064.079502314809</v>
      </c>
      <c r="C1694" s="28" t="s">
        <v>10</v>
      </c>
      <c r="D1694" s="28" t="s">
        <v>799</v>
      </c>
      <c r="E1694" s="28"/>
      <c r="F1694" s="28">
        <v>0</v>
      </c>
      <c r="G1694" s="28" t="s">
        <v>125</v>
      </c>
      <c r="H1694" s="28">
        <v>0</v>
      </c>
      <c r="J1694" s="28"/>
    </row>
    <row r="1695" spans="1:10" ht="15.75" customHeight="1">
      <c r="A1695" s="28">
        <v>18770</v>
      </c>
      <c r="B1695" s="91">
        <v>45064.079502314809</v>
      </c>
      <c r="C1695" s="28" t="s">
        <v>10</v>
      </c>
      <c r="D1695" s="28" t="s">
        <v>799</v>
      </c>
      <c r="E1695" s="28"/>
      <c r="F1695" s="28">
        <v>0</v>
      </c>
      <c r="G1695" s="28" t="s">
        <v>119</v>
      </c>
      <c r="H1695" s="28">
        <v>0</v>
      </c>
      <c r="J1695" s="28"/>
    </row>
    <row r="1696" spans="1:10" ht="15.75" customHeight="1">
      <c r="A1696" s="28">
        <v>18769</v>
      </c>
      <c r="B1696" s="91">
        <v>45063.933032407411</v>
      </c>
      <c r="C1696" s="28" t="s">
        <v>10</v>
      </c>
      <c r="D1696" s="28" t="s">
        <v>800</v>
      </c>
      <c r="E1696" s="28"/>
      <c r="F1696" s="28">
        <v>25</v>
      </c>
      <c r="G1696" s="28">
        <v>100692</v>
      </c>
      <c r="H1696" s="28">
        <v>0</v>
      </c>
      <c r="J1696" s="28"/>
    </row>
    <row r="1697" spans="1:10" ht="15.75" customHeight="1">
      <c r="A1697" s="28">
        <v>18769</v>
      </c>
      <c r="B1697" s="91">
        <v>45063.933032407411</v>
      </c>
      <c r="C1697" s="28" t="s">
        <v>10</v>
      </c>
      <c r="D1697" s="28" t="s">
        <v>800</v>
      </c>
      <c r="E1697" s="28"/>
      <c r="F1697" s="28">
        <v>0</v>
      </c>
      <c r="G1697" s="28" t="s">
        <v>125</v>
      </c>
      <c r="H1697" s="28">
        <v>0</v>
      </c>
      <c r="J1697" s="28"/>
    </row>
    <row r="1698" spans="1:10" ht="15.75" customHeight="1">
      <c r="A1698" s="28">
        <v>18769</v>
      </c>
      <c r="B1698" s="91">
        <v>45063.933032407411</v>
      </c>
      <c r="C1698" s="28" t="s">
        <v>10</v>
      </c>
      <c r="D1698" s="28" t="s">
        <v>800</v>
      </c>
      <c r="E1698" s="28"/>
      <c r="F1698" s="28">
        <v>0</v>
      </c>
      <c r="G1698" s="28" t="s">
        <v>119</v>
      </c>
      <c r="H1698" s="28">
        <v>0</v>
      </c>
      <c r="J1698" s="28"/>
    </row>
    <row r="1699" spans="1:10" ht="15.75" customHeight="1">
      <c r="A1699" s="28">
        <v>18768</v>
      </c>
      <c r="B1699" s="91">
        <v>45063.878518518519</v>
      </c>
      <c r="C1699" s="28" t="s">
        <v>10</v>
      </c>
      <c r="D1699" s="28" t="s">
        <v>801</v>
      </c>
      <c r="E1699" s="28"/>
      <c r="F1699" s="28">
        <v>0</v>
      </c>
      <c r="G1699" s="28" t="s">
        <v>117</v>
      </c>
      <c r="H1699" s="28">
        <v>0</v>
      </c>
      <c r="J1699" s="28"/>
    </row>
    <row r="1700" spans="1:10" ht="15.75" customHeight="1">
      <c r="A1700" s="28">
        <v>18768</v>
      </c>
      <c r="B1700" s="91">
        <v>45063.878518518519</v>
      </c>
      <c r="C1700" s="28" t="s">
        <v>10</v>
      </c>
      <c r="D1700" s="28" t="s">
        <v>801</v>
      </c>
      <c r="E1700" s="28"/>
      <c r="F1700" s="28">
        <v>20</v>
      </c>
      <c r="G1700" s="28" t="s">
        <v>121</v>
      </c>
      <c r="H1700" s="28">
        <v>0</v>
      </c>
      <c r="J1700" s="28"/>
    </row>
    <row r="1701" spans="1:10" ht="15.75" customHeight="1">
      <c r="A1701" s="28">
        <v>18768</v>
      </c>
      <c r="B1701" s="91">
        <v>45063.878518518519</v>
      </c>
      <c r="C1701" s="28" t="s">
        <v>10</v>
      </c>
      <c r="D1701" s="28" t="s">
        <v>801</v>
      </c>
      <c r="E1701" s="28"/>
      <c r="F1701" s="28">
        <v>25</v>
      </c>
      <c r="G1701" s="28">
        <v>100692</v>
      </c>
      <c r="H1701" s="28">
        <v>0</v>
      </c>
      <c r="J1701" s="28"/>
    </row>
    <row r="1702" spans="1:10" ht="15.75" customHeight="1">
      <c r="A1702" s="28">
        <v>18768</v>
      </c>
      <c r="B1702" s="91">
        <v>45063.878518518519</v>
      </c>
      <c r="C1702" s="28" t="s">
        <v>10</v>
      </c>
      <c r="D1702" s="28" t="s">
        <v>801</v>
      </c>
      <c r="E1702" s="28"/>
      <c r="F1702" s="28">
        <v>0</v>
      </c>
      <c r="G1702" s="28" t="s">
        <v>125</v>
      </c>
      <c r="H1702" s="28">
        <v>0</v>
      </c>
      <c r="J1702" s="28"/>
    </row>
    <row r="1703" spans="1:10" ht="15.75" customHeight="1">
      <c r="A1703" s="28">
        <v>18768</v>
      </c>
      <c r="B1703" s="91">
        <v>45063.878518518519</v>
      </c>
      <c r="C1703" s="28" t="s">
        <v>10</v>
      </c>
      <c r="D1703" s="28" t="s">
        <v>801</v>
      </c>
      <c r="E1703" s="28"/>
      <c r="F1703" s="28">
        <v>0</v>
      </c>
      <c r="G1703" s="28" t="s">
        <v>119</v>
      </c>
      <c r="H1703" s="28">
        <v>0</v>
      </c>
      <c r="J1703" s="28"/>
    </row>
    <row r="1704" spans="1:10" ht="15.75" customHeight="1">
      <c r="A1704" s="28">
        <v>18767</v>
      </c>
      <c r="B1704" s="91">
        <v>45063.782800925925</v>
      </c>
      <c r="C1704" s="28" t="s">
        <v>10</v>
      </c>
      <c r="D1704" s="28" t="s">
        <v>792</v>
      </c>
      <c r="E1704" s="28"/>
      <c r="F1704" s="28">
        <v>56</v>
      </c>
      <c r="G1704" s="28" t="s">
        <v>143</v>
      </c>
      <c r="H1704" s="28">
        <v>0</v>
      </c>
      <c r="J1704" s="28"/>
    </row>
    <row r="1705" spans="1:10" ht="15.75" customHeight="1">
      <c r="A1705" s="28">
        <v>18766</v>
      </c>
      <c r="B1705" s="91">
        <v>45063.76158564815</v>
      </c>
      <c r="C1705" s="28" t="s">
        <v>10</v>
      </c>
      <c r="D1705" s="28" t="s">
        <v>802</v>
      </c>
      <c r="E1705" s="28"/>
      <c r="F1705" s="28">
        <v>25</v>
      </c>
      <c r="G1705" s="28">
        <v>100692</v>
      </c>
      <c r="H1705" s="28">
        <v>0</v>
      </c>
      <c r="J1705" s="28"/>
    </row>
    <row r="1706" spans="1:10" ht="15.75" customHeight="1">
      <c r="A1706" s="28">
        <v>18766</v>
      </c>
      <c r="B1706" s="91">
        <v>45063.76158564815</v>
      </c>
      <c r="C1706" s="28" t="s">
        <v>10</v>
      </c>
      <c r="D1706" s="28" t="s">
        <v>802</v>
      </c>
      <c r="E1706" s="28"/>
      <c r="F1706" s="28">
        <v>0</v>
      </c>
      <c r="G1706" s="28" t="s">
        <v>125</v>
      </c>
      <c r="H1706" s="28">
        <v>0</v>
      </c>
      <c r="J1706" s="28"/>
    </row>
    <row r="1707" spans="1:10" ht="15.75" customHeight="1">
      <c r="A1707" s="28">
        <v>18766</v>
      </c>
      <c r="B1707" s="91">
        <v>45063.76158564815</v>
      </c>
      <c r="C1707" s="28" t="s">
        <v>10</v>
      </c>
      <c r="D1707" s="28" t="s">
        <v>802</v>
      </c>
      <c r="E1707" s="28"/>
      <c r="F1707" s="28">
        <v>0</v>
      </c>
      <c r="G1707" s="28" t="s">
        <v>119</v>
      </c>
      <c r="H1707" s="28">
        <v>0</v>
      </c>
      <c r="J1707" s="28"/>
    </row>
    <row r="1708" spans="1:10" ht="15.75" customHeight="1">
      <c r="A1708" s="28">
        <v>18765</v>
      </c>
      <c r="B1708" s="91">
        <v>45063.74618055555</v>
      </c>
      <c r="C1708" s="28" t="s">
        <v>10</v>
      </c>
      <c r="D1708" s="28" t="s">
        <v>803</v>
      </c>
      <c r="E1708" s="28"/>
      <c r="F1708" s="28">
        <v>22</v>
      </c>
      <c r="G1708" s="28" t="s">
        <v>137</v>
      </c>
      <c r="H1708" s="28">
        <v>0</v>
      </c>
      <c r="J1708" s="28"/>
    </row>
    <row r="1709" spans="1:10" ht="15.75" customHeight="1">
      <c r="A1709" s="28">
        <v>18764</v>
      </c>
      <c r="B1709" s="91">
        <v>45063.71711805556</v>
      </c>
      <c r="C1709" s="28" t="s">
        <v>10</v>
      </c>
      <c r="D1709" s="28" t="s">
        <v>804</v>
      </c>
      <c r="E1709" s="28"/>
      <c r="F1709" s="28">
        <v>15</v>
      </c>
      <c r="G1709" s="28" t="s">
        <v>125</v>
      </c>
      <c r="H1709" s="28">
        <v>0</v>
      </c>
      <c r="J1709" s="28"/>
    </row>
    <row r="1710" spans="1:10" ht="15.75" customHeight="1">
      <c r="A1710" s="28">
        <v>18763</v>
      </c>
      <c r="B1710" s="91">
        <v>45063.696724537032</v>
      </c>
      <c r="C1710" s="28" t="s">
        <v>10</v>
      </c>
      <c r="D1710" s="28" t="s">
        <v>805</v>
      </c>
      <c r="E1710" s="28"/>
      <c r="F1710" s="28">
        <v>0</v>
      </c>
      <c r="G1710" s="28" t="s">
        <v>117</v>
      </c>
      <c r="H1710" s="28">
        <v>0</v>
      </c>
      <c r="J1710" s="28"/>
    </row>
    <row r="1711" spans="1:10" ht="15.75" customHeight="1">
      <c r="A1711" s="28">
        <v>18763</v>
      </c>
      <c r="B1711" s="91">
        <v>45063.696724537032</v>
      </c>
      <c r="C1711" s="28" t="s">
        <v>10</v>
      </c>
      <c r="D1711" s="28" t="s">
        <v>805</v>
      </c>
      <c r="E1711" s="28"/>
      <c r="F1711" s="28">
        <v>26</v>
      </c>
      <c r="G1711" s="28" t="s">
        <v>122</v>
      </c>
      <c r="H1711" s="28">
        <v>0</v>
      </c>
      <c r="J1711" s="28"/>
    </row>
    <row r="1712" spans="1:10" ht="15.75" customHeight="1">
      <c r="A1712" s="28">
        <v>18762</v>
      </c>
      <c r="B1712" s="91">
        <v>45063.692557870367</v>
      </c>
      <c r="C1712" s="28" t="s">
        <v>10</v>
      </c>
      <c r="D1712" s="28" t="s">
        <v>292</v>
      </c>
      <c r="E1712" s="28"/>
      <c r="F1712" s="28">
        <v>25</v>
      </c>
      <c r="G1712" s="28">
        <v>100692</v>
      </c>
      <c r="H1712" s="28">
        <v>0</v>
      </c>
      <c r="J1712" s="28"/>
    </row>
    <row r="1713" spans="1:10" ht="15.75" customHeight="1">
      <c r="A1713" s="28">
        <v>18762</v>
      </c>
      <c r="B1713" s="91">
        <v>45063.692557870367</v>
      </c>
      <c r="C1713" s="28" t="s">
        <v>10</v>
      </c>
      <c r="D1713" s="28" t="s">
        <v>292</v>
      </c>
      <c r="E1713" s="28"/>
      <c r="F1713" s="28">
        <v>0</v>
      </c>
      <c r="G1713" s="28" t="s">
        <v>125</v>
      </c>
      <c r="H1713" s="28">
        <v>0</v>
      </c>
      <c r="J1713" s="28"/>
    </row>
    <row r="1714" spans="1:10" ht="15.75" customHeight="1">
      <c r="A1714" s="28">
        <v>18762</v>
      </c>
      <c r="B1714" s="91">
        <v>45063.692557870367</v>
      </c>
      <c r="C1714" s="28" t="s">
        <v>10</v>
      </c>
      <c r="D1714" s="28" t="s">
        <v>292</v>
      </c>
      <c r="E1714" s="28"/>
      <c r="F1714" s="28">
        <v>0</v>
      </c>
      <c r="G1714" s="28" t="s">
        <v>119</v>
      </c>
      <c r="H1714" s="28">
        <v>0</v>
      </c>
      <c r="J1714" s="28"/>
    </row>
    <row r="1715" spans="1:10" ht="15.75" customHeight="1">
      <c r="A1715" s="28">
        <v>18761</v>
      </c>
      <c r="B1715" s="91">
        <v>45063.689837962964</v>
      </c>
      <c r="C1715" s="28" t="s">
        <v>10</v>
      </c>
      <c r="D1715" s="28" t="s">
        <v>806</v>
      </c>
      <c r="E1715" s="28"/>
      <c r="F1715" s="28">
        <v>36</v>
      </c>
      <c r="G1715" s="28" t="s">
        <v>457</v>
      </c>
      <c r="H1715" s="28">
        <v>0</v>
      </c>
      <c r="J1715" s="28"/>
    </row>
    <row r="1716" spans="1:10" ht="15.75" customHeight="1">
      <c r="A1716" s="28">
        <v>18761</v>
      </c>
      <c r="B1716" s="91">
        <v>45063.689837962964</v>
      </c>
      <c r="C1716" s="28" t="s">
        <v>10</v>
      </c>
      <c r="D1716" s="28" t="s">
        <v>806</v>
      </c>
      <c r="E1716" s="28"/>
      <c r="F1716" s="28">
        <v>25</v>
      </c>
      <c r="G1716" s="28">
        <v>100692</v>
      </c>
      <c r="H1716" s="28">
        <v>0</v>
      </c>
      <c r="J1716" s="28"/>
    </row>
    <row r="1717" spans="1:10" ht="15.75" customHeight="1">
      <c r="A1717" s="28">
        <v>18761</v>
      </c>
      <c r="B1717" s="91">
        <v>45063.689837962964</v>
      </c>
      <c r="C1717" s="28" t="s">
        <v>10</v>
      </c>
      <c r="D1717" s="28" t="s">
        <v>806</v>
      </c>
      <c r="E1717" s="28"/>
      <c r="F1717" s="28">
        <v>0</v>
      </c>
      <c r="G1717" s="28" t="s">
        <v>125</v>
      </c>
      <c r="H1717" s="28">
        <v>0</v>
      </c>
      <c r="J1717" s="28"/>
    </row>
    <row r="1718" spans="1:10" ht="15.75" customHeight="1">
      <c r="A1718" s="28">
        <v>18761</v>
      </c>
      <c r="B1718" s="91">
        <v>45063.689837962964</v>
      </c>
      <c r="C1718" s="28" t="s">
        <v>10</v>
      </c>
      <c r="D1718" s="28" t="s">
        <v>806</v>
      </c>
      <c r="E1718" s="28"/>
      <c r="F1718" s="28">
        <v>0</v>
      </c>
      <c r="G1718" s="28" t="s">
        <v>119</v>
      </c>
      <c r="H1718" s="28">
        <v>0</v>
      </c>
      <c r="J1718" s="28"/>
    </row>
    <row r="1719" spans="1:10" ht="15.75" customHeight="1">
      <c r="A1719" s="28">
        <v>18760</v>
      </c>
      <c r="B1719" s="91">
        <v>45063.662870370375</v>
      </c>
      <c r="C1719" s="28" t="s">
        <v>10</v>
      </c>
      <c r="D1719" s="28" t="s">
        <v>807</v>
      </c>
      <c r="E1719" s="28"/>
      <c r="F1719" s="28">
        <v>25</v>
      </c>
      <c r="G1719" s="28">
        <v>100692</v>
      </c>
      <c r="H1719" s="28">
        <v>0</v>
      </c>
      <c r="J1719" s="28"/>
    </row>
    <row r="1720" spans="1:10" ht="15.75" customHeight="1">
      <c r="A1720" s="28">
        <v>18760</v>
      </c>
      <c r="B1720" s="91">
        <v>45063.662870370375</v>
      </c>
      <c r="C1720" s="28" t="s">
        <v>10</v>
      </c>
      <c r="D1720" s="28" t="s">
        <v>807</v>
      </c>
      <c r="E1720" s="28"/>
      <c r="F1720" s="28">
        <v>0</v>
      </c>
      <c r="G1720" s="28" t="s">
        <v>125</v>
      </c>
      <c r="H1720" s="28">
        <v>0</v>
      </c>
      <c r="J1720" s="28"/>
    </row>
    <row r="1721" spans="1:10" ht="15.75" customHeight="1">
      <c r="A1721" s="28">
        <v>18760</v>
      </c>
      <c r="B1721" s="91">
        <v>45063.662870370375</v>
      </c>
      <c r="C1721" s="28" t="s">
        <v>10</v>
      </c>
      <c r="D1721" s="28" t="s">
        <v>807</v>
      </c>
      <c r="E1721" s="28"/>
      <c r="F1721" s="28">
        <v>0</v>
      </c>
      <c r="G1721" s="28" t="s">
        <v>119</v>
      </c>
      <c r="H1721" s="28">
        <v>0</v>
      </c>
      <c r="J1721" s="28"/>
    </row>
    <row r="1722" spans="1:10" ht="15.75" customHeight="1">
      <c r="A1722" s="28">
        <v>18760</v>
      </c>
      <c r="B1722" s="91">
        <v>45063.662870370375</v>
      </c>
      <c r="C1722" s="28" t="s">
        <v>10</v>
      </c>
      <c r="D1722" s="28" t="s">
        <v>807</v>
      </c>
      <c r="E1722" s="28"/>
      <c r="F1722" s="28">
        <v>0</v>
      </c>
      <c r="G1722" s="28" t="s">
        <v>117</v>
      </c>
      <c r="H1722" s="28">
        <v>0</v>
      </c>
      <c r="J1722" s="28"/>
    </row>
    <row r="1723" spans="1:10" ht="15.75" customHeight="1">
      <c r="A1723" s="28">
        <v>18759</v>
      </c>
      <c r="B1723" s="91">
        <v>45063.645960648151</v>
      </c>
      <c r="C1723" s="28" t="s">
        <v>10</v>
      </c>
      <c r="D1723" s="28" t="s">
        <v>808</v>
      </c>
      <c r="E1723" s="28"/>
      <c r="F1723" s="28">
        <v>25</v>
      </c>
      <c r="G1723" s="28">
        <v>100692</v>
      </c>
      <c r="H1723" s="28">
        <v>0</v>
      </c>
      <c r="J1723" s="28"/>
    </row>
    <row r="1724" spans="1:10" ht="15.75" customHeight="1">
      <c r="A1724" s="28">
        <v>18759</v>
      </c>
      <c r="B1724" s="91">
        <v>45063.645960648151</v>
      </c>
      <c r="C1724" s="28" t="s">
        <v>10</v>
      </c>
      <c r="D1724" s="28" t="s">
        <v>808</v>
      </c>
      <c r="E1724" s="28"/>
      <c r="F1724" s="28">
        <v>0</v>
      </c>
      <c r="G1724" s="28" t="s">
        <v>125</v>
      </c>
      <c r="H1724" s="28">
        <v>0</v>
      </c>
      <c r="J1724" s="28"/>
    </row>
    <row r="1725" spans="1:10" ht="15.75" customHeight="1">
      <c r="A1725" s="28">
        <v>18759</v>
      </c>
      <c r="B1725" s="91">
        <v>45063.645960648151</v>
      </c>
      <c r="C1725" s="28" t="s">
        <v>10</v>
      </c>
      <c r="D1725" s="28" t="s">
        <v>808</v>
      </c>
      <c r="E1725" s="28"/>
      <c r="F1725" s="28">
        <v>0</v>
      </c>
      <c r="G1725" s="28" t="s">
        <v>119</v>
      </c>
      <c r="H1725" s="28">
        <v>0</v>
      </c>
      <c r="J1725" s="28"/>
    </row>
    <row r="1726" spans="1:10" ht="15.75" customHeight="1">
      <c r="A1726" s="28">
        <v>18758</v>
      </c>
      <c r="B1726" s="91">
        <v>45063.107893518521</v>
      </c>
      <c r="C1726" s="28" t="s">
        <v>10</v>
      </c>
      <c r="D1726" s="28" t="s">
        <v>809</v>
      </c>
      <c r="E1726" s="28"/>
      <c r="F1726" s="28">
        <v>20</v>
      </c>
      <c r="G1726" s="28" t="s">
        <v>121</v>
      </c>
      <c r="H1726" s="28">
        <v>0</v>
      </c>
      <c r="J1726" s="28"/>
    </row>
    <row r="1727" spans="1:10" ht="15.75" customHeight="1">
      <c r="A1727" s="28">
        <v>18756</v>
      </c>
      <c r="B1727" s="91">
        <v>45063.037407407406</v>
      </c>
      <c r="C1727" s="28" t="s">
        <v>8</v>
      </c>
      <c r="D1727" s="28" t="s">
        <v>810</v>
      </c>
      <c r="E1727" s="28"/>
      <c r="F1727" s="28">
        <v>25</v>
      </c>
      <c r="G1727" s="28">
        <v>100692</v>
      </c>
      <c r="H1727" s="28">
        <v>0</v>
      </c>
      <c r="J1727" s="28"/>
    </row>
    <row r="1728" spans="1:10" ht="15.75" customHeight="1">
      <c r="A1728" s="28">
        <v>18756</v>
      </c>
      <c r="B1728" s="91">
        <v>45063.037407407406</v>
      </c>
      <c r="C1728" s="28" t="s">
        <v>8</v>
      </c>
      <c r="D1728" s="28" t="s">
        <v>810</v>
      </c>
      <c r="E1728" s="28"/>
      <c r="F1728" s="28">
        <v>0</v>
      </c>
      <c r="G1728" s="28" t="s">
        <v>125</v>
      </c>
      <c r="H1728" s="28">
        <v>0</v>
      </c>
      <c r="J1728" s="28"/>
    </row>
    <row r="1729" spans="1:10" ht="15.75" customHeight="1">
      <c r="A1729" s="28">
        <v>18756</v>
      </c>
      <c r="B1729" s="91">
        <v>45063.037407407406</v>
      </c>
      <c r="C1729" s="28" t="s">
        <v>8</v>
      </c>
      <c r="D1729" s="28" t="s">
        <v>810</v>
      </c>
      <c r="E1729" s="28"/>
      <c r="F1729" s="28">
        <v>0</v>
      </c>
      <c r="G1729" s="28" t="s">
        <v>119</v>
      </c>
      <c r="H1729" s="28">
        <v>0</v>
      </c>
      <c r="J1729" s="28"/>
    </row>
    <row r="1730" spans="1:10" ht="15.75" customHeight="1">
      <c r="A1730" s="28">
        <v>18756</v>
      </c>
      <c r="B1730" s="91">
        <v>45063.037407407406</v>
      </c>
      <c r="C1730" s="28" t="s">
        <v>8</v>
      </c>
      <c r="D1730" s="28" t="s">
        <v>810</v>
      </c>
      <c r="E1730" s="28"/>
      <c r="F1730" s="28">
        <v>28</v>
      </c>
      <c r="G1730" s="28" t="s">
        <v>143</v>
      </c>
      <c r="H1730" s="28">
        <v>0</v>
      </c>
      <c r="J1730" s="28"/>
    </row>
    <row r="1731" spans="1:10" ht="15.75" customHeight="1">
      <c r="A1731" s="28">
        <v>18755</v>
      </c>
      <c r="B1731" s="91">
        <v>45063.005219907413</v>
      </c>
      <c r="C1731" s="28" t="s">
        <v>10</v>
      </c>
      <c r="D1731" s="28" t="s">
        <v>811</v>
      </c>
      <c r="E1731" s="28"/>
      <c r="F1731" s="28">
        <v>20</v>
      </c>
      <c r="G1731" s="28"/>
      <c r="H1731" s="28">
        <v>0</v>
      </c>
      <c r="J1731" s="28"/>
    </row>
    <row r="1732" spans="1:10" ht="15.75" customHeight="1">
      <c r="A1732" s="28">
        <v>18754</v>
      </c>
      <c r="B1732" s="91">
        <v>45063.002384259264</v>
      </c>
      <c r="C1732" s="28" t="s">
        <v>10</v>
      </c>
      <c r="D1732" s="28" t="s">
        <v>812</v>
      </c>
      <c r="E1732" s="28"/>
      <c r="F1732" s="28">
        <v>20</v>
      </c>
      <c r="G1732" s="28"/>
      <c r="H1732" s="28">
        <v>0</v>
      </c>
      <c r="J1732" s="28"/>
    </row>
    <row r="1733" spans="1:10" ht="15.75" customHeight="1">
      <c r="A1733" s="28">
        <v>18753</v>
      </c>
      <c r="B1733" s="91">
        <v>45062.609155092592</v>
      </c>
      <c r="C1733" s="28" t="s">
        <v>10</v>
      </c>
      <c r="D1733" s="28" t="s">
        <v>813</v>
      </c>
      <c r="E1733" s="28"/>
      <c r="F1733" s="28">
        <v>25</v>
      </c>
      <c r="G1733" s="28">
        <v>100692</v>
      </c>
      <c r="H1733" s="28">
        <v>0</v>
      </c>
      <c r="J1733" s="28"/>
    </row>
    <row r="1734" spans="1:10" ht="15.75" customHeight="1">
      <c r="A1734" s="28">
        <v>18753</v>
      </c>
      <c r="B1734" s="91">
        <v>45062.609155092592</v>
      </c>
      <c r="C1734" s="28" t="s">
        <v>10</v>
      </c>
      <c r="D1734" s="28" t="s">
        <v>813</v>
      </c>
      <c r="E1734" s="28"/>
      <c r="F1734" s="28">
        <v>0</v>
      </c>
      <c r="G1734" s="28" t="s">
        <v>125</v>
      </c>
      <c r="H1734" s="28">
        <v>0</v>
      </c>
      <c r="J1734" s="28"/>
    </row>
    <row r="1735" spans="1:10" ht="15.75" customHeight="1">
      <c r="A1735" s="28">
        <v>18753</v>
      </c>
      <c r="B1735" s="91">
        <v>45062.609155092592</v>
      </c>
      <c r="C1735" s="28" t="s">
        <v>10</v>
      </c>
      <c r="D1735" s="28" t="s">
        <v>813</v>
      </c>
      <c r="E1735" s="28"/>
      <c r="F1735" s="28">
        <v>0</v>
      </c>
      <c r="G1735" s="28" t="s">
        <v>119</v>
      </c>
      <c r="H1735" s="28">
        <v>0</v>
      </c>
      <c r="J1735" s="28"/>
    </row>
    <row r="1736" spans="1:10" ht="15.75" customHeight="1">
      <c r="A1736" s="28">
        <v>18753</v>
      </c>
      <c r="B1736" s="91">
        <v>45062.609155092592</v>
      </c>
      <c r="C1736" s="28" t="s">
        <v>10</v>
      </c>
      <c r="D1736" s="28" t="s">
        <v>813</v>
      </c>
      <c r="E1736" s="28"/>
      <c r="F1736" s="28">
        <v>0</v>
      </c>
      <c r="G1736" s="28" t="s">
        <v>117</v>
      </c>
      <c r="H1736" s="28">
        <v>0</v>
      </c>
      <c r="J1736" s="28"/>
    </row>
    <row r="1737" spans="1:10" ht="15.75" customHeight="1">
      <c r="A1737" s="28">
        <v>18752</v>
      </c>
      <c r="B1737" s="91">
        <v>45062.451041666667</v>
      </c>
      <c r="C1737" s="28" t="s">
        <v>10</v>
      </c>
      <c r="D1737" s="28" t="s">
        <v>814</v>
      </c>
      <c r="E1737" s="28"/>
      <c r="F1737" s="28">
        <v>30</v>
      </c>
      <c r="G1737" s="28" t="s">
        <v>128</v>
      </c>
      <c r="H1737" s="28">
        <v>0</v>
      </c>
      <c r="J1737" s="28"/>
    </row>
    <row r="1738" spans="1:10" ht="15.75" customHeight="1">
      <c r="A1738" s="28">
        <v>18752</v>
      </c>
      <c r="B1738" s="91">
        <v>45062.451041666667</v>
      </c>
      <c r="C1738" s="28" t="s">
        <v>10</v>
      </c>
      <c r="D1738" s="28" t="s">
        <v>814</v>
      </c>
      <c r="E1738" s="28"/>
      <c r="F1738" s="28">
        <v>0</v>
      </c>
      <c r="G1738" s="28" t="s">
        <v>125</v>
      </c>
      <c r="H1738" s="28">
        <v>0</v>
      </c>
      <c r="J1738" s="28"/>
    </row>
    <row r="1739" spans="1:10" ht="15.75" customHeight="1">
      <c r="A1739" s="28">
        <v>18752</v>
      </c>
      <c r="B1739" s="91">
        <v>45062.451041666667</v>
      </c>
      <c r="C1739" s="28" t="s">
        <v>10</v>
      </c>
      <c r="D1739" s="28" t="s">
        <v>814</v>
      </c>
      <c r="E1739" s="28"/>
      <c r="F1739" s="28">
        <v>0</v>
      </c>
      <c r="G1739" s="28" t="s">
        <v>119</v>
      </c>
      <c r="H1739" s="28">
        <v>0</v>
      </c>
      <c r="J1739" s="28"/>
    </row>
    <row r="1740" spans="1:10" ht="15.75" customHeight="1">
      <c r="A1740" s="28">
        <v>18752</v>
      </c>
      <c r="B1740" s="91">
        <v>45062.451041666667</v>
      </c>
      <c r="C1740" s="28" t="s">
        <v>10</v>
      </c>
      <c r="D1740" s="28" t="s">
        <v>814</v>
      </c>
      <c r="E1740" s="28"/>
      <c r="F1740" s="28">
        <v>0</v>
      </c>
      <c r="G1740" s="28" t="s">
        <v>117</v>
      </c>
      <c r="H1740" s="28">
        <v>0</v>
      </c>
      <c r="J1740" s="28"/>
    </row>
    <row r="1741" spans="1:10" ht="15.75" customHeight="1">
      <c r="A1741" s="28">
        <v>18752</v>
      </c>
      <c r="B1741" s="91">
        <v>45062.451041666667</v>
      </c>
      <c r="C1741" s="28" t="s">
        <v>10</v>
      </c>
      <c r="D1741" s="28" t="s">
        <v>814</v>
      </c>
      <c r="E1741" s="28"/>
      <c r="F1741" s="28">
        <v>25</v>
      </c>
      <c r="G1741" s="28" t="s">
        <v>297</v>
      </c>
      <c r="H1741" s="28">
        <v>0</v>
      </c>
      <c r="J1741" s="28"/>
    </row>
    <row r="1742" spans="1:10" ht="15.75" customHeight="1">
      <c r="A1742" s="28">
        <v>18752</v>
      </c>
      <c r="B1742" s="91">
        <v>45062.451041666667</v>
      </c>
      <c r="C1742" s="28" t="s">
        <v>10</v>
      </c>
      <c r="D1742" s="28" t="s">
        <v>814</v>
      </c>
      <c r="E1742" s="28"/>
      <c r="F1742" s="28">
        <v>30</v>
      </c>
      <c r="G1742" s="28" t="s">
        <v>125</v>
      </c>
      <c r="H1742" s="28">
        <v>0</v>
      </c>
      <c r="J1742" s="28"/>
    </row>
    <row r="1743" spans="1:10" ht="15.75" customHeight="1">
      <c r="A1743" s="28">
        <v>18751</v>
      </c>
      <c r="B1743" s="91">
        <v>45062.039942129632</v>
      </c>
      <c r="C1743" s="28" t="s">
        <v>10</v>
      </c>
      <c r="D1743" s="28" t="s">
        <v>636</v>
      </c>
      <c r="E1743" s="28"/>
      <c r="F1743" s="28">
        <v>28</v>
      </c>
      <c r="G1743" s="28" t="s">
        <v>143</v>
      </c>
      <c r="H1743" s="28">
        <v>0</v>
      </c>
      <c r="J1743" s="28"/>
    </row>
    <row r="1744" spans="1:10" ht="15.75" customHeight="1">
      <c r="A1744" s="28">
        <v>18751</v>
      </c>
      <c r="B1744" s="91">
        <v>45062.039942129632</v>
      </c>
      <c r="C1744" s="28" t="s">
        <v>10</v>
      </c>
      <c r="D1744" s="28" t="s">
        <v>636</v>
      </c>
      <c r="E1744" s="28"/>
      <c r="F1744" s="28">
        <v>25</v>
      </c>
      <c r="G1744" s="28">
        <v>100692</v>
      </c>
      <c r="H1744" s="28">
        <v>0</v>
      </c>
      <c r="J1744" s="28"/>
    </row>
    <row r="1745" spans="1:10" ht="15.75" customHeight="1">
      <c r="A1745" s="28">
        <v>18751</v>
      </c>
      <c r="B1745" s="91">
        <v>45062.039942129632</v>
      </c>
      <c r="C1745" s="28" t="s">
        <v>10</v>
      </c>
      <c r="D1745" s="28" t="s">
        <v>636</v>
      </c>
      <c r="E1745" s="28"/>
      <c r="F1745" s="28">
        <v>0</v>
      </c>
      <c r="G1745" s="28" t="s">
        <v>125</v>
      </c>
      <c r="H1745" s="28">
        <v>0</v>
      </c>
      <c r="J1745" s="28"/>
    </row>
    <row r="1746" spans="1:10" ht="15.75" customHeight="1">
      <c r="A1746" s="28">
        <v>18751</v>
      </c>
      <c r="B1746" s="91">
        <v>45062.039942129632</v>
      </c>
      <c r="C1746" s="28" t="s">
        <v>10</v>
      </c>
      <c r="D1746" s="28" t="s">
        <v>636</v>
      </c>
      <c r="E1746" s="28"/>
      <c r="F1746" s="28">
        <v>0</v>
      </c>
      <c r="G1746" s="28" t="s">
        <v>119</v>
      </c>
      <c r="H1746" s="28">
        <v>0</v>
      </c>
      <c r="J1746" s="28"/>
    </row>
    <row r="1747" spans="1:10" ht="15.75" customHeight="1">
      <c r="A1747" s="28">
        <v>18750</v>
      </c>
      <c r="B1747" s="91">
        <v>45061.926354166666</v>
      </c>
      <c r="C1747" s="28" t="s">
        <v>10</v>
      </c>
      <c r="D1747" s="28" t="s">
        <v>815</v>
      </c>
      <c r="E1747" s="28"/>
      <c r="F1747" s="28">
        <v>25</v>
      </c>
      <c r="G1747" s="28">
        <v>100692</v>
      </c>
      <c r="H1747" s="28">
        <v>0</v>
      </c>
      <c r="J1747" s="28"/>
    </row>
    <row r="1748" spans="1:10" ht="15.75" customHeight="1">
      <c r="A1748" s="28">
        <v>18750</v>
      </c>
      <c r="B1748" s="91">
        <v>45061.926354166666</v>
      </c>
      <c r="C1748" s="28" t="s">
        <v>10</v>
      </c>
      <c r="D1748" s="28" t="s">
        <v>815</v>
      </c>
      <c r="E1748" s="28"/>
      <c r="F1748" s="28">
        <v>0</v>
      </c>
      <c r="G1748" s="28" t="s">
        <v>125</v>
      </c>
      <c r="H1748" s="28">
        <v>0</v>
      </c>
      <c r="J1748" s="28"/>
    </row>
    <row r="1749" spans="1:10" ht="15.75" customHeight="1">
      <c r="A1749" s="28">
        <v>18750</v>
      </c>
      <c r="B1749" s="91">
        <v>45061.926354166666</v>
      </c>
      <c r="C1749" s="28" t="s">
        <v>10</v>
      </c>
      <c r="D1749" s="28" t="s">
        <v>815</v>
      </c>
      <c r="E1749" s="28"/>
      <c r="F1749" s="28">
        <v>0</v>
      </c>
      <c r="G1749" s="28" t="s">
        <v>119</v>
      </c>
      <c r="H1749" s="28">
        <v>0</v>
      </c>
      <c r="J1749" s="28"/>
    </row>
    <row r="1750" spans="1:10" ht="15.75" customHeight="1">
      <c r="A1750" s="28">
        <v>18749</v>
      </c>
      <c r="B1750" s="91">
        <v>45061.891585648147</v>
      </c>
      <c r="C1750" s="28" t="s">
        <v>10</v>
      </c>
      <c r="D1750" s="28" t="s">
        <v>816</v>
      </c>
      <c r="E1750" s="28"/>
      <c r="F1750" s="28">
        <v>28</v>
      </c>
      <c r="G1750" s="28" t="s">
        <v>143</v>
      </c>
      <c r="H1750" s="28">
        <v>0</v>
      </c>
      <c r="J1750" s="28"/>
    </row>
    <row r="1751" spans="1:10" ht="15.75" customHeight="1">
      <c r="A1751" s="28">
        <v>18689</v>
      </c>
      <c r="B1751" s="91">
        <v>45060.984699074077</v>
      </c>
      <c r="C1751" s="28" t="s">
        <v>10</v>
      </c>
      <c r="D1751" s="28" t="s">
        <v>817</v>
      </c>
      <c r="E1751" s="28"/>
      <c r="F1751" s="28">
        <v>28</v>
      </c>
      <c r="G1751" s="28" t="s">
        <v>143</v>
      </c>
      <c r="H1751" s="28">
        <v>0</v>
      </c>
      <c r="J1751" s="28"/>
    </row>
    <row r="1752" spans="1:10" ht="15.75" customHeight="1">
      <c r="A1752" s="28">
        <v>18689</v>
      </c>
      <c r="B1752" s="91">
        <v>45060.984699074077</v>
      </c>
      <c r="C1752" s="28" t="s">
        <v>10</v>
      </c>
      <c r="D1752" s="28" t="s">
        <v>817</v>
      </c>
      <c r="E1752" s="28"/>
      <c r="F1752" s="28">
        <v>20</v>
      </c>
      <c r="G1752" s="28"/>
      <c r="H1752" s="28">
        <v>0</v>
      </c>
      <c r="J1752" s="28"/>
    </row>
    <row r="1753" spans="1:10" ht="15.75" customHeight="1">
      <c r="A1753" s="28">
        <v>18688</v>
      </c>
      <c r="B1753" s="91">
        <v>45060.981516203705</v>
      </c>
      <c r="C1753" s="28" t="s">
        <v>10</v>
      </c>
      <c r="D1753" s="28" t="s">
        <v>818</v>
      </c>
      <c r="E1753" s="28"/>
      <c r="F1753" s="28">
        <v>28</v>
      </c>
      <c r="G1753" s="28" t="s">
        <v>143</v>
      </c>
      <c r="H1753" s="28">
        <v>0</v>
      </c>
      <c r="J1753" s="28"/>
    </row>
    <row r="1754" spans="1:10" ht="15.75" customHeight="1">
      <c r="A1754" s="28">
        <v>18688</v>
      </c>
      <c r="B1754" s="91">
        <v>45060.981516203705</v>
      </c>
      <c r="C1754" s="28" t="s">
        <v>10</v>
      </c>
      <c r="D1754" s="28" t="s">
        <v>818</v>
      </c>
      <c r="E1754" s="28"/>
      <c r="F1754" s="28">
        <v>20</v>
      </c>
      <c r="G1754" s="28"/>
      <c r="H1754" s="28">
        <v>0</v>
      </c>
      <c r="J1754" s="28"/>
    </row>
    <row r="1755" spans="1:10" ht="15.75" customHeight="1">
      <c r="A1755" s="28">
        <v>18687</v>
      </c>
      <c r="B1755" s="91">
        <v>45060.811550925922</v>
      </c>
      <c r="C1755" s="28" t="s">
        <v>10</v>
      </c>
      <c r="D1755" s="28" t="s">
        <v>819</v>
      </c>
      <c r="E1755" s="28"/>
      <c r="F1755" s="28">
        <v>28</v>
      </c>
      <c r="G1755" s="28" t="s">
        <v>143</v>
      </c>
      <c r="H1755" s="28">
        <v>0</v>
      </c>
      <c r="J1755" s="28"/>
    </row>
    <row r="1756" spans="1:10" ht="15.75" customHeight="1">
      <c r="A1756" s="28">
        <v>18687</v>
      </c>
      <c r="B1756" s="91">
        <v>45060.811550925922</v>
      </c>
      <c r="C1756" s="28" t="s">
        <v>10</v>
      </c>
      <c r="D1756" s="28" t="s">
        <v>819</v>
      </c>
      <c r="E1756" s="28"/>
      <c r="F1756" s="28">
        <v>26</v>
      </c>
      <c r="G1756" s="28" t="s">
        <v>122</v>
      </c>
      <c r="H1756" s="28">
        <v>0</v>
      </c>
      <c r="J1756" s="28"/>
    </row>
    <row r="1757" spans="1:10" ht="15.75" customHeight="1">
      <c r="A1757" s="28">
        <v>18686</v>
      </c>
      <c r="B1757" s="91">
        <v>45059.07813657407</v>
      </c>
      <c r="C1757" s="28" t="s">
        <v>10</v>
      </c>
      <c r="D1757" s="28" t="s">
        <v>820</v>
      </c>
      <c r="E1757" s="28"/>
      <c r="F1757" s="28">
        <v>20</v>
      </c>
      <c r="G1757" s="28" t="s">
        <v>121</v>
      </c>
      <c r="H1757" s="28">
        <v>0</v>
      </c>
      <c r="J1757" s="28"/>
    </row>
    <row r="1758" spans="1:10" ht="15.75" customHeight="1">
      <c r="A1758" s="28">
        <v>18685</v>
      </c>
      <c r="B1758" s="91">
        <v>45059.058657407411</v>
      </c>
      <c r="C1758" s="28" t="s">
        <v>10</v>
      </c>
      <c r="D1758" s="28" t="s">
        <v>821</v>
      </c>
      <c r="E1758" s="28"/>
      <c r="F1758" s="28">
        <v>0</v>
      </c>
      <c r="G1758" s="28" t="s">
        <v>117</v>
      </c>
      <c r="H1758" s="28">
        <v>0</v>
      </c>
      <c r="J1758" s="28"/>
    </row>
    <row r="1759" spans="1:10" ht="15.75" customHeight="1">
      <c r="A1759" s="28">
        <v>18685</v>
      </c>
      <c r="B1759" s="91">
        <v>45059.058657407411</v>
      </c>
      <c r="C1759" s="28" t="s">
        <v>10</v>
      </c>
      <c r="D1759" s="28" t="s">
        <v>821</v>
      </c>
      <c r="E1759" s="28"/>
      <c r="F1759" s="28">
        <v>30</v>
      </c>
      <c r="G1759" s="28" t="s">
        <v>128</v>
      </c>
      <c r="H1759" s="28">
        <v>0</v>
      </c>
      <c r="J1759" s="28"/>
    </row>
    <row r="1760" spans="1:10" ht="15.75" customHeight="1">
      <c r="A1760" s="28">
        <v>18685</v>
      </c>
      <c r="B1760" s="91">
        <v>45059.058657407411</v>
      </c>
      <c r="C1760" s="28" t="s">
        <v>10</v>
      </c>
      <c r="D1760" s="28" t="s">
        <v>821</v>
      </c>
      <c r="E1760" s="28"/>
      <c r="F1760" s="28">
        <v>0</v>
      </c>
      <c r="G1760" s="28" t="s">
        <v>125</v>
      </c>
      <c r="H1760" s="28">
        <v>0</v>
      </c>
      <c r="J1760" s="28"/>
    </row>
    <row r="1761" spans="1:10" ht="15.75" customHeight="1">
      <c r="A1761" s="28">
        <v>18685</v>
      </c>
      <c r="B1761" s="91">
        <v>45059.058657407411</v>
      </c>
      <c r="C1761" s="28" t="s">
        <v>10</v>
      </c>
      <c r="D1761" s="28" t="s">
        <v>821</v>
      </c>
      <c r="E1761" s="28"/>
      <c r="F1761" s="28">
        <v>0</v>
      </c>
      <c r="G1761" s="28" t="s">
        <v>119</v>
      </c>
      <c r="H1761" s="28">
        <v>0</v>
      </c>
      <c r="J1761" s="28"/>
    </row>
    <row r="1762" spans="1:10" ht="15.75" customHeight="1">
      <c r="A1762" s="28">
        <v>18684</v>
      </c>
      <c r="B1762" s="91">
        <v>45058.127511574072</v>
      </c>
      <c r="C1762" s="28" t="s">
        <v>10</v>
      </c>
      <c r="D1762" s="28" t="s">
        <v>822</v>
      </c>
      <c r="E1762" s="28"/>
      <c r="F1762" s="28">
        <v>25</v>
      </c>
      <c r="G1762" s="28">
        <v>100692</v>
      </c>
      <c r="H1762" s="28">
        <v>0</v>
      </c>
      <c r="J1762" s="28"/>
    </row>
    <row r="1763" spans="1:10" ht="15.75" customHeight="1">
      <c r="A1763" s="28">
        <v>18684</v>
      </c>
      <c r="B1763" s="91">
        <v>45058.127511574072</v>
      </c>
      <c r="C1763" s="28" t="s">
        <v>10</v>
      </c>
      <c r="D1763" s="28" t="s">
        <v>822</v>
      </c>
      <c r="E1763" s="28"/>
      <c r="F1763" s="28">
        <v>0</v>
      </c>
      <c r="G1763" s="28" t="s">
        <v>125</v>
      </c>
      <c r="H1763" s="28">
        <v>0</v>
      </c>
      <c r="J1763" s="28"/>
    </row>
    <row r="1764" spans="1:10" ht="15.75" customHeight="1">
      <c r="A1764" s="28">
        <v>18684</v>
      </c>
      <c r="B1764" s="91">
        <v>45058.127511574072</v>
      </c>
      <c r="C1764" s="28" t="s">
        <v>10</v>
      </c>
      <c r="D1764" s="28" t="s">
        <v>822</v>
      </c>
      <c r="E1764" s="28"/>
      <c r="F1764" s="28">
        <v>0</v>
      </c>
      <c r="G1764" s="28" t="s">
        <v>119</v>
      </c>
      <c r="H1764" s="28">
        <v>0</v>
      </c>
      <c r="J1764" s="28"/>
    </row>
    <row r="1765" spans="1:10" ht="15.75" customHeight="1">
      <c r="A1765" s="28">
        <v>18683</v>
      </c>
      <c r="B1765" s="91">
        <v>45058.115300925929</v>
      </c>
      <c r="C1765" s="28" t="s">
        <v>10</v>
      </c>
      <c r="D1765" s="28" t="s">
        <v>823</v>
      </c>
      <c r="E1765" s="28"/>
      <c r="F1765" s="28">
        <v>25</v>
      </c>
      <c r="G1765" s="28">
        <v>100692</v>
      </c>
      <c r="H1765" s="28">
        <v>0</v>
      </c>
      <c r="J1765" s="28"/>
    </row>
    <row r="1766" spans="1:10" ht="15.75" customHeight="1">
      <c r="A1766" s="28">
        <v>18683</v>
      </c>
      <c r="B1766" s="91">
        <v>45058.115300925929</v>
      </c>
      <c r="C1766" s="28" t="s">
        <v>10</v>
      </c>
      <c r="D1766" s="28" t="s">
        <v>823</v>
      </c>
      <c r="E1766" s="28"/>
      <c r="F1766" s="28">
        <v>0</v>
      </c>
      <c r="G1766" s="28" t="s">
        <v>125</v>
      </c>
      <c r="H1766" s="28">
        <v>0</v>
      </c>
      <c r="J1766" s="28"/>
    </row>
    <row r="1767" spans="1:10" ht="15.75" customHeight="1">
      <c r="A1767" s="28">
        <v>18683</v>
      </c>
      <c r="B1767" s="91">
        <v>45058.115300925929</v>
      </c>
      <c r="C1767" s="28" t="s">
        <v>10</v>
      </c>
      <c r="D1767" s="28" t="s">
        <v>823</v>
      </c>
      <c r="E1767" s="28"/>
      <c r="F1767" s="28">
        <v>0</v>
      </c>
      <c r="G1767" s="28" t="s">
        <v>119</v>
      </c>
      <c r="H1767" s="28">
        <v>0</v>
      </c>
      <c r="J1767" s="28"/>
    </row>
    <row r="1768" spans="1:10" ht="15.75" customHeight="1">
      <c r="A1768" s="28">
        <v>18682</v>
      </c>
      <c r="B1768" s="91">
        <v>45058.087650462963</v>
      </c>
      <c r="C1768" s="28" t="s">
        <v>10</v>
      </c>
      <c r="D1768" s="28" t="s">
        <v>824</v>
      </c>
      <c r="E1768" s="28"/>
      <c r="F1768" s="28">
        <v>25</v>
      </c>
      <c r="G1768" s="28">
        <v>100692</v>
      </c>
      <c r="H1768" s="28">
        <v>0</v>
      </c>
      <c r="J1768" s="28"/>
    </row>
    <row r="1769" spans="1:10" ht="15.75" customHeight="1">
      <c r="A1769" s="28">
        <v>18682</v>
      </c>
      <c r="B1769" s="91">
        <v>45058.087650462963</v>
      </c>
      <c r="C1769" s="28" t="s">
        <v>10</v>
      </c>
      <c r="D1769" s="28" t="s">
        <v>824</v>
      </c>
      <c r="E1769" s="28"/>
      <c r="F1769" s="28">
        <v>0</v>
      </c>
      <c r="G1769" s="28" t="s">
        <v>125</v>
      </c>
      <c r="H1769" s="28">
        <v>0</v>
      </c>
      <c r="J1769" s="28"/>
    </row>
    <row r="1770" spans="1:10" ht="15.75" customHeight="1">
      <c r="A1770" s="28">
        <v>18682</v>
      </c>
      <c r="B1770" s="91">
        <v>45058.087650462963</v>
      </c>
      <c r="C1770" s="28" t="s">
        <v>10</v>
      </c>
      <c r="D1770" s="28" t="s">
        <v>824</v>
      </c>
      <c r="E1770" s="28"/>
      <c r="F1770" s="28">
        <v>0</v>
      </c>
      <c r="G1770" s="28" t="s">
        <v>119</v>
      </c>
      <c r="H1770" s="28">
        <v>0</v>
      </c>
      <c r="J1770" s="28"/>
    </row>
    <row r="1771" spans="1:10" ht="15.75" customHeight="1">
      <c r="A1771" s="28">
        <v>18681</v>
      </c>
      <c r="B1771" s="91">
        <v>45058.077465277776</v>
      </c>
      <c r="C1771" s="28" t="s">
        <v>10</v>
      </c>
      <c r="D1771" s="28" t="s">
        <v>825</v>
      </c>
      <c r="E1771" s="28"/>
      <c r="F1771" s="28">
        <v>25</v>
      </c>
      <c r="G1771" s="28">
        <v>100692</v>
      </c>
      <c r="H1771" s="28">
        <v>0</v>
      </c>
      <c r="J1771" s="28"/>
    </row>
    <row r="1772" spans="1:10" ht="15.75" customHeight="1">
      <c r="A1772" s="28">
        <v>18681</v>
      </c>
      <c r="B1772" s="91">
        <v>45058.077465277776</v>
      </c>
      <c r="C1772" s="28" t="s">
        <v>10</v>
      </c>
      <c r="D1772" s="28" t="s">
        <v>825</v>
      </c>
      <c r="E1772" s="28"/>
      <c r="F1772" s="28">
        <v>0</v>
      </c>
      <c r="G1772" s="28" t="s">
        <v>125</v>
      </c>
      <c r="H1772" s="28">
        <v>0</v>
      </c>
      <c r="J1772" s="28"/>
    </row>
    <row r="1773" spans="1:10" ht="15.75" customHeight="1">
      <c r="A1773" s="28">
        <v>18681</v>
      </c>
      <c r="B1773" s="91">
        <v>45058.077465277776</v>
      </c>
      <c r="C1773" s="28" t="s">
        <v>10</v>
      </c>
      <c r="D1773" s="28" t="s">
        <v>825</v>
      </c>
      <c r="E1773" s="28"/>
      <c r="F1773" s="28">
        <v>0</v>
      </c>
      <c r="G1773" s="28" t="s">
        <v>119</v>
      </c>
      <c r="H1773" s="28">
        <v>0</v>
      </c>
      <c r="J1773" s="28"/>
    </row>
    <row r="1774" spans="1:10" ht="15.75" customHeight="1">
      <c r="A1774" s="28">
        <v>18680</v>
      </c>
      <c r="B1774" s="91">
        <v>45058.049490740741</v>
      </c>
      <c r="C1774" s="28" t="s">
        <v>10</v>
      </c>
      <c r="D1774" s="28" t="s">
        <v>826</v>
      </c>
      <c r="E1774" s="28"/>
      <c r="F1774" s="28">
        <v>25</v>
      </c>
      <c r="G1774" s="28">
        <v>100692</v>
      </c>
      <c r="H1774" s="28">
        <v>0</v>
      </c>
      <c r="J1774" s="28"/>
    </row>
    <row r="1775" spans="1:10" ht="15.75" customHeight="1">
      <c r="A1775" s="28">
        <v>18680</v>
      </c>
      <c r="B1775" s="91">
        <v>45058.049490740741</v>
      </c>
      <c r="C1775" s="28" t="s">
        <v>10</v>
      </c>
      <c r="D1775" s="28" t="s">
        <v>826</v>
      </c>
      <c r="E1775" s="28"/>
      <c r="F1775" s="28">
        <v>0</v>
      </c>
      <c r="G1775" s="28" t="s">
        <v>125</v>
      </c>
      <c r="H1775" s="28">
        <v>0</v>
      </c>
      <c r="J1775" s="28"/>
    </row>
    <row r="1776" spans="1:10" ht="15.75" customHeight="1">
      <c r="A1776" s="28">
        <v>18680</v>
      </c>
      <c r="B1776" s="91">
        <v>45058.049490740741</v>
      </c>
      <c r="C1776" s="28" t="s">
        <v>10</v>
      </c>
      <c r="D1776" s="28" t="s">
        <v>826</v>
      </c>
      <c r="E1776" s="28"/>
      <c r="F1776" s="28">
        <v>0</v>
      </c>
      <c r="G1776" s="28" t="s">
        <v>119</v>
      </c>
      <c r="H1776" s="28">
        <v>0</v>
      </c>
      <c r="J1776" s="28"/>
    </row>
    <row r="1777" spans="1:10" ht="15.75" customHeight="1">
      <c r="A1777" s="28">
        <v>18679</v>
      </c>
      <c r="B1777" s="91">
        <v>45058.014224537037</v>
      </c>
      <c r="C1777" s="28" t="s">
        <v>10</v>
      </c>
      <c r="D1777" s="28" t="s">
        <v>827</v>
      </c>
      <c r="E1777" s="28"/>
      <c r="F1777" s="28">
        <v>25</v>
      </c>
      <c r="G1777" s="28">
        <v>100692</v>
      </c>
      <c r="H1777" s="28">
        <v>0</v>
      </c>
      <c r="J1777" s="28"/>
    </row>
    <row r="1778" spans="1:10" ht="15.75" customHeight="1">
      <c r="A1778" s="28">
        <v>18679</v>
      </c>
      <c r="B1778" s="91">
        <v>45058.014224537037</v>
      </c>
      <c r="C1778" s="28" t="s">
        <v>10</v>
      </c>
      <c r="D1778" s="28" t="s">
        <v>827</v>
      </c>
      <c r="E1778" s="28"/>
      <c r="F1778" s="28">
        <v>0</v>
      </c>
      <c r="G1778" s="28" t="s">
        <v>125</v>
      </c>
      <c r="H1778" s="28">
        <v>0</v>
      </c>
      <c r="J1778" s="28"/>
    </row>
    <row r="1779" spans="1:10" ht="15.75" customHeight="1">
      <c r="A1779" s="28">
        <v>18679</v>
      </c>
      <c r="B1779" s="91">
        <v>45058.014224537037</v>
      </c>
      <c r="C1779" s="28" t="s">
        <v>10</v>
      </c>
      <c r="D1779" s="28" t="s">
        <v>827</v>
      </c>
      <c r="E1779" s="28"/>
      <c r="F1779" s="28">
        <v>0</v>
      </c>
      <c r="G1779" s="28" t="s">
        <v>119</v>
      </c>
      <c r="H1779" s="28">
        <v>0</v>
      </c>
      <c r="J1779" s="28"/>
    </row>
    <row r="1780" spans="1:10" ht="15.75" customHeight="1">
      <c r="A1780" s="28">
        <v>18678</v>
      </c>
      <c r="B1780" s="91">
        <v>45057.963368055556</v>
      </c>
      <c r="C1780" s="28" t="s">
        <v>10</v>
      </c>
      <c r="D1780" s="28" t="s">
        <v>828</v>
      </c>
      <c r="E1780" s="28"/>
      <c r="F1780" s="28">
        <v>55</v>
      </c>
      <c r="G1780" s="28">
        <v>101684</v>
      </c>
      <c r="H1780" s="28">
        <v>0</v>
      </c>
      <c r="J1780" s="28"/>
    </row>
    <row r="1781" spans="1:10" ht="15.75" customHeight="1">
      <c r="A1781" s="28">
        <v>18678</v>
      </c>
      <c r="B1781" s="91">
        <v>45057.963368055556</v>
      </c>
      <c r="C1781" s="28" t="s">
        <v>10</v>
      </c>
      <c r="D1781" s="28" t="s">
        <v>828</v>
      </c>
      <c r="E1781" s="28"/>
      <c r="F1781" s="28">
        <v>0</v>
      </c>
      <c r="G1781" s="28" t="s">
        <v>118</v>
      </c>
      <c r="H1781" s="28">
        <v>0</v>
      </c>
      <c r="J1781" s="28"/>
    </row>
    <row r="1782" spans="1:10" ht="15.75" customHeight="1">
      <c r="A1782" s="28">
        <v>18678</v>
      </c>
      <c r="B1782" s="91">
        <v>45057.963368055556</v>
      </c>
      <c r="C1782" s="28" t="s">
        <v>10</v>
      </c>
      <c r="D1782" s="28" t="s">
        <v>828</v>
      </c>
      <c r="E1782" s="28"/>
      <c r="F1782" s="28">
        <v>0</v>
      </c>
      <c r="G1782" s="28" t="s">
        <v>119</v>
      </c>
      <c r="H1782" s="28">
        <v>0</v>
      </c>
      <c r="J1782" s="28"/>
    </row>
    <row r="1783" spans="1:10" ht="15.75" customHeight="1">
      <c r="A1783" s="28">
        <v>18678</v>
      </c>
      <c r="B1783" s="91">
        <v>45057.963368055556</v>
      </c>
      <c r="C1783" s="28" t="s">
        <v>10</v>
      </c>
      <c r="D1783" s="28" t="s">
        <v>828</v>
      </c>
      <c r="E1783" s="28"/>
      <c r="F1783" s="28">
        <v>0</v>
      </c>
      <c r="G1783" s="28" t="s">
        <v>120</v>
      </c>
      <c r="H1783" s="28">
        <v>0</v>
      </c>
      <c r="J1783" s="28"/>
    </row>
    <row r="1784" spans="1:10" ht="15.75" customHeight="1">
      <c r="A1784" s="28">
        <v>18678</v>
      </c>
      <c r="B1784" s="91">
        <v>45057.963368055556</v>
      </c>
      <c r="C1784" s="28" t="s">
        <v>10</v>
      </c>
      <c r="D1784" s="28" t="s">
        <v>828</v>
      </c>
      <c r="E1784" s="28"/>
      <c r="F1784" s="28">
        <v>0</v>
      </c>
      <c r="G1784" s="28" t="s">
        <v>121</v>
      </c>
      <c r="H1784" s="28">
        <v>0</v>
      </c>
      <c r="J1784" s="28"/>
    </row>
    <row r="1785" spans="1:10" ht="15.75" customHeight="1">
      <c r="A1785" s="28">
        <v>18677</v>
      </c>
      <c r="B1785" s="91">
        <v>45057.947175925925</v>
      </c>
      <c r="C1785" s="28" t="s">
        <v>10</v>
      </c>
      <c r="D1785" s="28" t="s">
        <v>829</v>
      </c>
      <c r="E1785" s="28"/>
      <c r="F1785" s="28">
        <v>28</v>
      </c>
      <c r="G1785" s="28" t="s">
        <v>143</v>
      </c>
      <c r="H1785" s="28">
        <v>0</v>
      </c>
      <c r="J1785" s="28"/>
    </row>
    <row r="1786" spans="1:10" ht="15.75" customHeight="1">
      <c r="A1786" s="28">
        <v>18677</v>
      </c>
      <c r="B1786" s="91">
        <v>45057.947175925925</v>
      </c>
      <c r="C1786" s="28" t="s">
        <v>10</v>
      </c>
      <c r="D1786" s="28" t="s">
        <v>829</v>
      </c>
      <c r="E1786" s="28"/>
      <c r="F1786" s="28">
        <v>25</v>
      </c>
      <c r="G1786" s="28">
        <v>100692</v>
      </c>
      <c r="H1786" s="28">
        <v>0</v>
      </c>
      <c r="J1786" s="28"/>
    </row>
    <row r="1787" spans="1:10" ht="15.75" customHeight="1">
      <c r="A1787" s="28">
        <v>18677</v>
      </c>
      <c r="B1787" s="91">
        <v>45057.947175925925</v>
      </c>
      <c r="C1787" s="28" t="s">
        <v>10</v>
      </c>
      <c r="D1787" s="28" t="s">
        <v>829</v>
      </c>
      <c r="E1787" s="28"/>
      <c r="F1787" s="28">
        <v>0</v>
      </c>
      <c r="G1787" s="28" t="s">
        <v>125</v>
      </c>
      <c r="H1787" s="28">
        <v>0</v>
      </c>
      <c r="J1787" s="28"/>
    </row>
    <row r="1788" spans="1:10" ht="15.75" customHeight="1">
      <c r="A1788" s="28">
        <v>18677</v>
      </c>
      <c r="B1788" s="91">
        <v>45057.947175925925</v>
      </c>
      <c r="C1788" s="28" t="s">
        <v>10</v>
      </c>
      <c r="D1788" s="28" t="s">
        <v>829</v>
      </c>
      <c r="E1788" s="28"/>
      <c r="F1788" s="28">
        <v>0</v>
      </c>
      <c r="G1788" s="28" t="s">
        <v>119</v>
      </c>
      <c r="H1788" s="28">
        <v>0</v>
      </c>
      <c r="J1788" s="28"/>
    </row>
    <row r="1789" spans="1:10" ht="15.75" customHeight="1">
      <c r="A1789" s="28">
        <v>18676</v>
      </c>
      <c r="B1789" s="91">
        <v>45057.946597222224</v>
      </c>
      <c r="C1789" s="28" t="s">
        <v>10</v>
      </c>
      <c r="D1789" s="28" t="s">
        <v>830</v>
      </c>
      <c r="E1789" s="28"/>
      <c r="F1789" s="28">
        <v>35</v>
      </c>
      <c r="G1789" s="28" t="s">
        <v>124</v>
      </c>
      <c r="H1789" s="28">
        <v>0</v>
      </c>
      <c r="J1789" s="28"/>
    </row>
    <row r="1790" spans="1:10" ht="15.75" customHeight="1">
      <c r="A1790" s="28">
        <v>18676</v>
      </c>
      <c r="B1790" s="91">
        <v>45057.946597222224</v>
      </c>
      <c r="C1790" s="28" t="s">
        <v>10</v>
      </c>
      <c r="D1790" s="28" t="s">
        <v>830</v>
      </c>
      <c r="E1790" s="28"/>
      <c r="F1790" s="28">
        <v>0</v>
      </c>
      <c r="G1790" s="28" t="s">
        <v>125</v>
      </c>
      <c r="H1790" s="28">
        <v>0</v>
      </c>
      <c r="J1790" s="28"/>
    </row>
    <row r="1791" spans="1:10" ht="15.75" customHeight="1">
      <c r="A1791" s="28">
        <v>18676</v>
      </c>
      <c r="B1791" s="91">
        <v>45057.946597222224</v>
      </c>
      <c r="C1791" s="28" t="s">
        <v>10</v>
      </c>
      <c r="D1791" s="28" t="s">
        <v>830</v>
      </c>
      <c r="E1791" s="28"/>
      <c r="F1791" s="28">
        <v>0</v>
      </c>
      <c r="G1791" s="28" t="s">
        <v>119</v>
      </c>
      <c r="H1791" s="28">
        <v>0</v>
      </c>
      <c r="J1791" s="28"/>
    </row>
    <row r="1792" spans="1:10" ht="15.75" customHeight="1">
      <c r="A1792" s="28">
        <v>18676</v>
      </c>
      <c r="B1792" s="91">
        <v>45057.946597222224</v>
      </c>
      <c r="C1792" s="28" t="s">
        <v>10</v>
      </c>
      <c r="D1792" s="28" t="s">
        <v>830</v>
      </c>
      <c r="E1792" s="28"/>
      <c r="F1792" s="28">
        <v>0</v>
      </c>
      <c r="G1792" s="28" t="s">
        <v>121</v>
      </c>
      <c r="H1792" s="28">
        <v>0</v>
      </c>
      <c r="J1792" s="28"/>
    </row>
    <row r="1793" spans="1:10" ht="15.75" customHeight="1">
      <c r="A1793" s="28">
        <v>18675</v>
      </c>
      <c r="B1793" s="91">
        <v>45057.938206018516</v>
      </c>
      <c r="C1793" s="28" t="s">
        <v>10</v>
      </c>
      <c r="D1793" s="28" t="s">
        <v>831</v>
      </c>
      <c r="E1793" s="28"/>
      <c r="F1793" s="28">
        <v>25</v>
      </c>
      <c r="G1793" s="28">
        <v>100692</v>
      </c>
      <c r="H1793" s="28">
        <v>0</v>
      </c>
      <c r="J1793" s="28"/>
    </row>
    <row r="1794" spans="1:10" ht="15.75" customHeight="1">
      <c r="A1794" s="28">
        <v>18675</v>
      </c>
      <c r="B1794" s="91">
        <v>45057.938206018516</v>
      </c>
      <c r="C1794" s="28" t="s">
        <v>10</v>
      </c>
      <c r="D1794" s="28" t="s">
        <v>831</v>
      </c>
      <c r="E1794" s="28"/>
      <c r="F1794" s="28">
        <v>0</v>
      </c>
      <c r="G1794" s="28" t="s">
        <v>125</v>
      </c>
      <c r="H1794" s="28">
        <v>0</v>
      </c>
      <c r="J1794" s="28"/>
    </row>
    <row r="1795" spans="1:10" ht="15.75" customHeight="1">
      <c r="A1795" s="28">
        <v>18675</v>
      </c>
      <c r="B1795" s="91">
        <v>45057.938206018516</v>
      </c>
      <c r="C1795" s="28" t="s">
        <v>10</v>
      </c>
      <c r="D1795" s="28" t="s">
        <v>831</v>
      </c>
      <c r="E1795" s="28"/>
      <c r="F1795" s="28">
        <v>0</v>
      </c>
      <c r="G1795" s="28" t="s">
        <v>119</v>
      </c>
      <c r="H1795" s="28">
        <v>0</v>
      </c>
      <c r="J1795" s="28"/>
    </row>
    <row r="1796" spans="1:10" ht="15.75" customHeight="1">
      <c r="A1796" s="28">
        <v>18674</v>
      </c>
      <c r="B1796" s="91">
        <v>45057.936319444445</v>
      </c>
      <c r="C1796" s="28" t="s">
        <v>10</v>
      </c>
      <c r="D1796" s="28" t="s">
        <v>832</v>
      </c>
      <c r="E1796" s="28"/>
      <c r="F1796" s="28">
        <v>25</v>
      </c>
      <c r="G1796" s="28">
        <v>100692</v>
      </c>
      <c r="H1796" s="28">
        <v>0</v>
      </c>
      <c r="J1796" s="28"/>
    </row>
    <row r="1797" spans="1:10" ht="15.75" customHeight="1">
      <c r="A1797" s="28">
        <v>18674</v>
      </c>
      <c r="B1797" s="91">
        <v>45057.936319444445</v>
      </c>
      <c r="C1797" s="28" t="s">
        <v>10</v>
      </c>
      <c r="D1797" s="28" t="s">
        <v>832</v>
      </c>
      <c r="E1797" s="28"/>
      <c r="F1797" s="28">
        <v>0</v>
      </c>
      <c r="G1797" s="28" t="s">
        <v>125</v>
      </c>
      <c r="H1797" s="28">
        <v>0</v>
      </c>
      <c r="J1797" s="28"/>
    </row>
    <row r="1798" spans="1:10" ht="15.75" customHeight="1">
      <c r="A1798" s="28">
        <v>18674</v>
      </c>
      <c r="B1798" s="91">
        <v>45057.936319444445</v>
      </c>
      <c r="C1798" s="28" t="s">
        <v>10</v>
      </c>
      <c r="D1798" s="28" t="s">
        <v>832</v>
      </c>
      <c r="E1798" s="28"/>
      <c r="F1798" s="28">
        <v>0</v>
      </c>
      <c r="G1798" s="28" t="s">
        <v>119</v>
      </c>
      <c r="H1798" s="28">
        <v>0</v>
      </c>
      <c r="J1798" s="28"/>
    </row>
    <row r="1799" spans="1:10" ht="15.75" customHeight="1">
      <c r="A1799" s="28">
        <v>18673</v>
      </c>
      <c r="B1799" s="91">
        <v>45057.928564814814</v>
      </c>
      <c r="C1799" s="28" t="s">
        <v>10</v>
      </c>
      <c r="D1799" s="28" t="s">
        <v>833</v>
      </c>
      <c r="E1799" s="28"/>
      <c r="F1799" s="28">
        <v>25</v>
      </c>
      <c r="G1799" s="28">
        <v>100692</v>
      </c>
      <c r="H1799" s="28">
        <v>0</v>
      </c>
      <c r="J1799" s="28"/>
    </row>
    <row r="1800" spans="1:10" ht="15.75" customHeight="1">
      <c r="A1800" s="28">
        <v>18673</v>
      </c>
      <c r="B1800" s="91">
        <v>45057.928564814814</v>
      </c>
      <c r="C1800" s="28" t="s">
        <v>10</v>
      </c>
      <c r="D1800" s="28" t="s">
        <v>833</v>
      </c>
      <c r="E1800" s="28"/>
      <c r="F1800" s="28">
        <v>0</v>
      </c>
      <c r="G1800" s="28" t="s">
        <v>125</v>
      </c>
      <c r="H1800" s="28">
        <v>0</v>
      </c>
      <c r="J1800" s="28"/>
    </row>
    <row r="1801" spans="1:10" ht="15.75" customHeight="1">
      <c r="A1801" s="28">
        <v>18673</v>
      </c>
      <c r="B1801" s="91">
        <v>45057.928564814814</v>
      </c>
      <c r="C1801" s="28" t="s">
        <v>10</v>
      </c>
      <c r="D1801" s="28" t="s">
        <v>833</v>
      </c>
      <c r="E1801" s="28"/>
      <c r="F1801" s="28">
        <v>0</v>
      </c>
      <c r="G1801" s="28" t="s">
        <v>119</v>
      </c>
      <c r="H1801" s="28">
        <v>0</v>
      </c>
      <c r="J1801" s="28"/>
    </row>
    <row r="1802" spans="1:10" ht="15.75" customHeight="1">
      <c r="A1802" s="28">
        <v>18672</v>
      </c>
      <c r="B1802" s="91">
        <v>45057.927719907406</v>
      </c>
      <c r="C1802" s="28" t="s">
        <v>10</v>
      </c>
      <c r="D1802" s="28" t="s">
        <v>834</v>
      </c>
      <c r="E1802" s="28"/>
      <c r="F1802" s="28">
        <v>28</v>
      </c>
      <c r="G1802" s="28" t="s">
        <v>143</v>
      </c>
      <c r="H1802" s="28">
        <v>0</v>
      </c>
      <c r="J1802" s="28"/>
    </row>
    <row r="1803" spans="1:10" ht="15.75" customHeight="1">
      <c r="A1803" s="28">
        <v>18671</v>
      </c>
      <c r="B1803" s="91">
        <v>45057.927708333329</v>
      </c>
      <c r="C1803" s="28" t="s">
        <v>10</v>
      </c>
      <c r="D1803" s="28" t="s">
        <v>835</v>
      </c>
      <c r="E1803" s="28"/>
      <c r="F1803" s="28">
        <v>25</v>
      </c>
      <c r="G1803" s="28">
        <v>100692</v>
      </c>
      <c r="H1803" s="28">
        <v>0</v>
      </c>
      <c r="J1803" s="28"/>
    </row>
    <row r="1804" spans="1:10" ht="15.75" customHeight="1">
      <c r="A1804" s="28">
        <v>18671</v>
      </c>
      <c r="B1804" s="91">
        <v>45057.927708333329</v>
      </c>
      <c r="C1804" s="28" t="s">
        <v>10</v>
      </c>
      <c r="D1804" s="28" t="s">
        <v>835</v>
      </c>
      <c r="E1804" s="28"/>
      <c r="F1804" s="28">
        <v>0</v>
      </c>
      <c r="G1804" s="28" t="s">
        <v>125</v>
      </c>
      <c r="H1804" s="28">
        <v>0</v>
      </c>
      <c r="J1804" s="28"/>
    </row>
    <row r="1805" spans="1:10" ht="15.75" customHeight="1">
      <c r="A1805" s="28">
        <v>18671</v>
      </c>
      <c r="B1805" s="91">
        <v>45057.927708333329</v>
      </c>
      <c r="C1805" s="28" t="s">
        <v>10</v>
      </c>
      <c r="D1805" s="28" t="s">
        <v>835</v>
      </c>
      <c r="E1805" s="28"/>
      <c r="F1805" s="28">
        <v>0</v>
      </c>
      <c r="G1805" s="28" t="s">
        <v>119</v>
      </c>
      <c r="H1805" s="28">
        <v>0</v>
      </c>
      <c r="J1805" s="28"/>
    </row>
    <row r="1806" spans="1:10" ht="15.75" customHeight="1">
      <c r="A1806" s="28">
        <v>18670</v>
      </c>
      <c r="B1806" s="91">
        <v>45057.922534722224</v>
      </c>
      <c r="C1806" s="28" t="s">
        <v>10</v>
      </c>
      <c r="D1806" s="28" t="s">
        <v>836</v>
      </c>
      <c r="E1806" s="28"/>
      <c r="F1806" s="28">
        <v>28</v>
      </c>
      <c r="G1806" s="28" t="s">
        <v>143</v>
      </c>
      <c r="H1806" s="28">
        <v>0</v>
      </c>
      <c r="J1806" s="28"/>
    </row>
    <row r="1807" spans="1:10" ht="15.75" customHeight="1">
      <c r="A1807" s="28">
        <v>18669</v>
      </c>
      <c r="B1807" s="91">
        <v>45057.921018518522</v>
      </c>
      <c r="C1807" s="28" t="s">
        <v>10</v>
      </c>
      <c r="D1807" s="28" t="s">
        <v>837</v>
      </c>
      <c r="E1807" s="28"/>
      <c r="F1807" s="28">
        <v>55</v>
      </c>
      <c r="G1807" s="28">
        <v>101684</v>
      </c>
      <c r="H1807" s="28">
        <v>0</v>
      </c>
      <c r="J1807" s="28"/>
    </row>
    <row r="1808" spans="1:10" ht="15.75" customHeight="1">
      <c r="A1808" s="28">
        <v>18669</v>
      </c>
      <c r="B1808" s="91">
        <v>45057.921018518522</v>
      </c>
      <c r="C1808" s="28" t="s">
        <v>10</v>
      </c>
      <c r="D1808" s="28" t="s">
        <v>837</v>
      </c>
      <c r="E1808" s="28"/>
      <c r="F1808" s="28">
        <v>0</v>
      </c>
      <c r="G1808" s="28" t="s">
        <v>118</v>
      </c>
      <c r="H1808" s="28">
        <v>0</v>
      </c>
      <c r="J1808" s="28"/>
    </row>
    <row r="1809" spans="1:10" ht="15.75" customHeight="1">
      <c r="A1809" s="28">
        <v>18669</v>
      </c>
      <c r="B1809" s="91">
        <v>45057.921018518522</v>
      </c>
      <c r="C1809" s="28" t="s">
        <v>10</v>
      </c>
      <c r="D1809" s="28" t="s">
        <v>837</v>
      </c>
      <c r="E1809" s="28"/>
      <c r="F1809" s="28">
        <v>0</v>
      </c>
      <c r="G1809" s="28" t="s">
        <v>119</v>
      </c>
      <c r="H1809" s="28">
        <v>0</v>
      </c>
      <c r="J1809" s="28"/>
    </row>
    <row r="1810" spans="1:10" ht="15.75" customHeight="1">
      <c r="A1810" s="28">
        <v>18669</v>
      </c>
      <c r="B1810" s="91">
        <v>45057.921018518522</v>
      </c>
      <c r="C1810" s="28" t="s">
        <v>10</v>
      </c>
      <c r="D1810" s="28" t="s">
        <v>837</v>
      </c>
      <c r="E1810" s="28"/>
      <c r="F1810" s="28">
        <v>0</v>
      </c>
      <c r="G1810" s="28" t="s">
        <v>120</v>
      </c>
      <c r="H1810" s="28">
        <v>0</v>
      </c>
      <c r="J1810" s="28"/>
    </row>
    <row r="1811" spans="1:10" ht="15.75" customHeight="1">
      <c r="A1811" s="28">
        <v>18669</v>
      </c>
      <c r="B1811" s="91">
        <v>45057.921018518522</v>
      </c>
      <c r="C1811" s="28" t="s">
        <v>10</v>
      </c>
      <c r="D1811" s="28" t="s">
        <v>837</v>
      </c>
      <c r="E1811" s="28"/>
      <c r="F1811" s="28">
        <v>0</v>
      </c>
      <c r="G1811" s="28" t="s">
        <v>121</v>
      </c>
      <c r="H1811" s="28">
        <v>0</v>
      </c>
      <c r="J1811" s="28"/>
    </row>
    <row r="1812" spans="1:10" ht="15.75" customHeight="1">
      <c r="A1812" s="28">
        <v>18669</v>
      </c>
      <c r="B1812" s="91">
        <v>45057.921018518522</v>
      </c>
      <c r="C1812" s="28" t="s">
        <v>10</v>
      </c>
      <c r="D1812" s="28" t="s">
        <v>837</v>
      </c>
      <c r="E1812" s="28"/>
      <c r="F1812" s="28">
        <v>26</v>
      </c>
      <c r="G1812" s="28" t="s">
        <v>122</v>
      </c>
      <c r="H1812" s="28">
        <v>0</v>
      </c>
      <c r="J1812" s="28"/>
    </row>
    <row r="1813" spans="1:10" ht="15.75" customHeight="1">
      <c r="A1813" s="28">
        <v>18668</v>
      </c>
      <c r="B1813" s="91">
        <v>45057.91810185185</v>
      </c>
      <c r="C1813" s="28" t="s">
        <v>10</v>
      </c>
      <c r="D1813" s="28" t="s">
        <v>699</v>
      </c>
      <c r="E1813" s="28"/>
      <c r="F1813" s="28">
        <v>28</v>
      </c>
      <c r="G1813" s="28" t="s">
        <v>143</v>
      </c>
      <c r="H1813" s="28">
        <v>0</v>
      </c>
      <c r="J1813" s="28"/>
    </row>
    <row r="1814" spans="1:10" ht="15.75" customHeight="1">
      <c r="A1814" s="28">
        <v>18667</v>
      </c>
      <c r="B1814" s="91">
        <v>45057.917581018519</v>
      </c>
      <c r="C1814" s="28" t="s">
        <v>10</v>
      </c>
      <c r="D1814" s="28" t="s">
        <v>838</v>
      </c>
      <c r="E1814" s="28"/>
      <c r="F1814" s="28">
        <v>20</v>
      </c>
      <c r="G1814" s="28" t="s">
        <v>205</v>
      </c>
      <c r="H1814" s="28">
        <v>0</v>
      </c>
      <c r="J1814" s="28"/>
    </row>
    <row r="1815" spans="1:10" ht="15.75" customHeight="1">
      <c r="A1815" s="28">
        <v>18667</v>
      </c>
      <c r="B1815" s="91">
        <v>45057.917581018519</v>
      </c>
      <c r="C1815" s="28" t="s">
        <v>10</v>
      </c>
      <c r="D1815" s="28" t="s">
        <v>838</v>
      </c>
      <c r="E1815" s="28"/>
      <c r="F1815" s="28">
        <v>0</v>
      </c>
      <c r="G1815" s="28" t="s">
        <v>125</v>
      </c>
      <c r="H1815" s="28">
        <v>0</v>
      </c>
      <c r="J1815" s="28"/>
    </row>
    <row r="1816" spans="1:10" ht="15.75" customHeight="1">
      <c r="A1816" s="28">
        <v>18666</v>
      </c>
      <c r="B1816" s="91">
        <v>45057.91106481482</v>
      </c>
      <c r="C1816" s="28" t="s">
        <v>8</v>
      </c>
      <c r="D1816" s="28" t="s">
        <v>839</v>
      </c>
      <c r="E1816" s="28"/>
      <c r="F1816" s="28">
        <v>25</v>
      </c>
      <c r="G1816" s="28">
        <v>100692</v>
      </c>
      <c r="H1816" s="28">
        <v>0</v>
      </c>
      <c r="J1816" s="28"/>
    </row>
    <row r="1817" spans="1:10" ht="15.75" customHeight="1">
      <c r="A1817" s="28">
        <v>18666</v>
      </c>
      <c r="B1817" s="91">
        <v>45057.91106481482</v>
      </c>
      <c r="C1817" s="28" t="s">
        <v>8</v>
      </c>
      <c r="D1817" s="28" t="s">
        <v>839</v>
      </c>
      <c r="E1817" s="28"/>
      <c r="F1817" s="28">
        <v>0</v>
      </c>
      <c r="G1817" s="28" t="s">
        <v>125</v>
      </c>
      <c r="H1817" s="28">
        <v>0</v>
      </c>
      <c r="J1817" s="28"/>
    </row>
    <row r="1818" spans="1:10" ht="15.75" customHeight="1">
      <c r="A1818" s="28">
        <v>18666</v>
      </c>
      <c r="B1818" s="91">
        <v>45057.91106481482</v>
      </c>
      <c r="C1818" s="28" t="s">
        <v>8</v>
      </c>
      <c r="D1818" s="28" t="s">
        <v>839</v>
      </c>
      <c r="E1818" s="28"/>
      <c r="F1818" s="28">
        <v>0</v>
      </c>
      <c r="G1818" s="28" t="s">
        <v>119</v>
      </c>
      <c r="H1818" s="28">
        <v>0</v>
      </c>
      <c r="J1818" s="28"/>
    </row>
    <row r="1819" spans="1:10" ht="15.75" customHeight="1">
      <c r="A1819" s="28">
        <v>18665</v>
      </c>
      <c r="B1819" s="91">
        <v>45057.900636574079</v>
      </c>
      <c r="C1819" s="28" t="s">
        <v>10</v>
      </c>
      <c r="D1819" s="28" t="s">
        <v>840</v>
      </c>
      <c r="E1819" s="28"/>
      <c r="F1819" s="28">
        <v>55</v>
      </c>
      <c r="G1819" s="28">
        <v>101684</v>
      </c>
      <c r="H1819" s="28">
        <v>0</v>
      </c>
      <c r="J1819" s="28"/>
    </row>
    <row r="1820" spans="1:10" ht="15.75" customHeight="1">
      <c r="A1820" s="28">
        <v>18665</v>
      </c>
      <c r="B1820" s="91">
        <v>45057.900636574079</v>
      </c>
      <c r="C1820" s="28" t="s">
        <v>10</v>
      </c>
      <c r="D1820" s="28" t="s">
        <v>840</v>
      </c>
      <c r="E1820" s="28"/>
      <c r="F1820" s="28">
        <v>0</v>
      </c>
      <c r="G1820" s="28" t="s">
        <v>118</v>
      </c>
      <c r="H1820" s="28">
        <v>0</v>
      </c>
      <c r="J1820" s="28"/>
    </row>
    <row r="1821" spans="1:10" ht="15.75" customHeight="1">
      <c r="A1821" s="28">
        <v>18665</v>
      </c>
      <c r="B1821" s="91">
        <v>45057.900636574079</v>
      </c>
      <c r="C1821" s="28" t="s">
        <v>10</v>
      </c>
      <c r="D1821" s="28" t="s">
        <v>840</v>
      </c>
      <c r="E1821" s="28"/>
      <c r="F1821" s="28">
        <v>0</v>
      </c>
      <c r="G1821" s="28" t="s">
        <v>119</v>
      </c>
      <c r="H1821" s="28">
        <v>0</v>
      </c>
      <c r="J1821" s="28"/>
    </row>
    <row r="1822" spans="1:10" ht="15.75" customHeight="1">
      <c r="A1822" s="28">
        <v>18665</v>
      </c>
      <c r="B1822" s="91">
        <v>45057.900636574079</v>
      </c>
      <c r="C1822" s="28" t="s">
        <v>10</v>
      </c>
      <c r="D1822" s="28" t="s">
        <v>840</v>
      </c>
      <c r="E1822" s="28"/>
      <c r="F1822" s="28">
        <v>0</v>
      </c>
      <c r="G1822" s="28" t="s">
        <v>120</v>
      </c>
      <c r="H1822" s="28">
        <v>0</v>
      </c>
      <c r="J1822" s="28"/>
    </row>
    <row r="1823" spans="1:10" ht="15.75" customHeight="1">
      <c r="A1823" s="28">
        <v>18665</v>
      </c>
      <c r="B1823" s="91">
        <v>45057.900636574079</v>
      </c>
      <c r="C1823" s="28" t="s">
        <v>10</v>
      </c>
      <c r="D1823" s="28" t="s">
        <v>840</v>
      </c>
      <c r="E1823" s="28"/>
      <c r="F1823" s="28">
        <v>0</v>
      </c>
      <c r="G1823" s="28" t="s">
        <v>121</v>
      </c>
      <c r="H1823" s="28">
        <v>0</v>
      </c>
      <c r="J1823" s="28"/>
    </row>
    <row r="1824" spans="1:10" ht="15.75" customHeight="1">
      <c r="A1824" s="28">
        <v>18664</v>
      </c>
      <c r="B1824" s="91">
        <v>45057.830706018518</v>
      </c>
      <c r="C1824" s="28" t="s">
        <v>10</v>
      </c>
      <c r="D1824" s="28" t="s">
        <v>841</v>
      </c>
      <c r="E1824" s="28"/>
      <c r="F1824" s="28">
        <v>26</v>
      </c>
      <c r="G1824" s="28" t="s">
        <v>122</v>
      </c>
      <c r="H1824" s="28">
        <v>0</v>
      </c>
      <c r="J1824" s="28"/>
    </row>
    <row r="1825" spans="1:10" ht="15.75" customHeight="1">
      <c r="A1825" s="28">
        <v>18663</v>
      </c>
      <c r="B1825" s="91">
        <v>45057.667337962965</v>
      </c>
      <c r="C1825" s="28" t="s">
        <v>10</v>
      </c>
      <c r="D1825" s="28" t="s">
        <v>659</v>
      </c>
      <c r="E1825" s="28"/>
      <c r="F1825" s="28">
        <v>15</v>
      </c>
      <c r="G1825" s="28" t="s">
        <v>125</v>
      </c>
      <c r="H1825" s="28">
        <v>0</v>
      </c>
      <c r="J1825" s="28"/>
    </row>
    <row r="1826" spans="1:10" ht="15.75" customHeight="1">
      <c r="A1826" s="28">
        <v>18662</v>
      </c>
      <c r="B1826" s="91">
        <v>45057.660104166665</v>
      </c>
      <c r="C1826" s="28" t="s">
        <v>10</v>
      </c>
      <c r="D1826" s="28" t="s">
        <v>842</v>
      </c>
      <c r="E1826" s="28"/>
      <c r="F1826" s="28">
        <v>28</v>
      </c>
      <c r="G1826" s="28" t="s">
        <v>143</v>
      </c>
      <c r="H1826" s="28">
        <v>0</v>
      </c>
      <c r="J1826" s="28"/>
    </row>
    <row r="1827" spans="1:10" ht="15.75" customHeight="1">
      <c r="A1827" s="28">
        <v>18661</v>
      </c>
      <c r="B1827" s="91">
        <v>45057.614247685182</v>
      </c>
      <c r="C1827" s="28" t="s">
        <v>10</v>
      </c>
      <c r="D1827" s="28" t="s">
        <v>843</v>
      </c>
      <c r="E1827" s="28"/>
      <c r="F1827" s="28">
        <v>55</v>
      </c>
      <c r="G1827" s="28">
        <v>101684</v>
      </c>
      <c r="H1827" s="28">
        <v>0</v>
      </c>
      <c r="J1827" s="28"/>
    </row>
    <row r="1828" spans="1:10" ht="15.75" customHeight="1">
      <c r="A1828" s="28">
        <v>18661</v>
      </c>
      <c r="B1828" s="91">
        <v>45057.614247685182</v>
      </c>
      <c r="C1828" s="28" t="s">
        <v>10</v>
      </c>
      <c r="D1828" s="28" t="s">
        <v>843</v>
      </c>
      <c r="E1828" s="28"/>
      <c r="F1828" s="28">
        <v>0</v>
      </c>
      <c r="G1828" s="28" t="s">
        <v>118</v>
      </c>
      <c r="H1828" s="28">
        <v>0</v>
      </c>
      <c r="J1828" s="28"/>
    </row>
    <row r="1829" spans="1:10" ht="15.75" customHeight="1">
      <c r="A1829" s="28">
        <v>18661</v>
      </c>
      <c r="B1829" s="91">
        <v>45057.614247685182</v>
      </c>
      <c r="C1829" s="28" t="s">
        <v>10</v>
      </c>
      <c r="D1829" s="28" t="s">
        <v>843</v>
      </c>
      <c r="E1829" s="28"/>
      <c r="F1829" s="28">
        <v>0</v>
      </c>
      <c r="G1829" s="28" t="s">
        <v>119</v>
      </c>
      <c r="H1829" s="28">
        <v>0</v>
      </c>
      <c r="J1829" s="28"/>
    </row>
    <row r="1830" spans="1:10" ht="15.75" customHeight="1">
      <c r="A1830" s="28">
        <v>18661</v>
      </c>
      <c r="B1830" s="91">
        <v>45057.614247685182</v>
      </c>
      <c r="C1830" s="28" t="s">
        <v>10</v>
      </c>
      <c r="D1830" s="28" t="s">
        <v>843</v>
      </c>
      <c r="E1830" s="28"/>
      <c r="F1830" s="28">
        <v>0</v>
      </c>
      <c r="G1830" s="28" t="s">
        <v>120</v>
      </c>
      <c r="H1830" s="28">
        <v>0</v>
      </c>
      <c r="J1830" s="28"/>
    </row>
    <row r="1831" spans="1:10" ht="15.75" customHeight="1">
      <c r="A1831" s="28">
        <v>18661</v>
      </c>
      <c r="B1831" s="91">
        <v>45057.614247685182</v>
      </c>
      <c r="C1831" s="28" t="s">
        <v>10</v>
      </c>
      <c r="D1831" s="28" t="s">
        <v>843</v>
      </c>
      <c r="E1831" s="28"/>
      <c r="F1831" s="28">
        <v>0</v>
      </c>
      <c r="G1831" s="28" t="s">
        <v>121</v>
      </c>
      <c r="H1831" s="28">
        <v>0</v>
      </c>
      <c r="J1831" s="28"/>
    </row>
    <row r="1832" spans="1:10" ht="15.75" customHeight="1">
      <c r="A1832" s="28">
        <v>18660</v>
      </c>
      <c r="B1832" s="91">
        <v>45057.440150462964</v>
      </c>
      <c r="C1832" s="28" t="s">
        <v>10</v>
      </c>
      <c r="D1832" s="28" t="s">
        <v>844</v>
      </c>
      <c r="E1832" s="28"/>
      <c r="F1832" s="28">
        <v>25</v>
      </c>
      <c r="G1832" s="28">
        <v>100692</v>
      </c>
      <c r="H1832" s="28">
        <v>0</v>
      </c>
      <c r="J1832" s="28"/>
    </row>
    <row r="1833" spans="1:10" ht="15.75" customHeight="1">
      <c r="A1833" s="28">
        <v>18660</v>
      </c>
      <c r="B1833" s="91">
        <v>45057.440150462964</v>
      </c>
      <c r="C1833" s="28" t="s">
        <v>10</v>
      </c>
      <c r="D1833" s="28" t="s">
        <v>844</v>
      </c>
      <c r="E1833" s="28"/>
      <c r="F1833" s="28">
        <v>0</v>
      </c>
      <c r="G1833" s="28" t="s">
        <v>125</v>
      </c>
      <c r="H1833" s="28">
        <v>0</v>
      </c>
      <c r="J1833" s="28"/>
    </row>
    <row r="1834" spans="1:10" ht="15.75" customHeight="1">
      <c r="A1834" s="28">
        <v>18660</v>
      </c>
      <c r="B1834" s="91">
        <v>45057.440150462964</v>
      </c>
      <c r="C1834" s="28" t="s">
        <v>10</v>
      </c>
      <c r="D1834" s="28" t="s">
        <v>844</v>
      </c>
      <c r="E1834" s="28"/>
      <c r="F1834" s="28">
        <v>0</v>
      </c>
      <c r="G1834" s="28" t="s">
        <v>119</v>
      </c>
      <c r="H1834" s="28">
        <v>0</v>
      </c>
      <c r="J1834" s="28"/>
    </row>
    <row r="1835" spans="1:10" ht="15.75" customHeight="1">
      <c r="A1835" s="28">
        <v>18659</v>
      </c>
      <c r="B1835" s="91">
        <v>45057.400381944448</v>
      </c>
      <c r="C1835" s="28" t="s">
        <v>8</v>
      </c>
      <c r="D1835" s="28" t="s">
        <v>845</v>
      </c>
      <c r="E1835" s="28"/>
      <c r="F1835" s="28">
        <v>0</v>
      </c>
      <c r="G1835" s="28" t="s">
        <v>117</v>
      </c>
      <c r="H1835" s="28">
        <v>0</v>
      </c>
      <c r="J1835" s="28"/>
    </row>
    <row r="1836" spans="1:10" ht="15.75" customHeight="1">
      <c r="A1836" s="28">
        <v>18659</v>
      </c>
      <c r="B1836" s="91">
        <v>45057.400381944448</v>
      </c>
      <c r="C1836" s="28" t="s">
        <v>8</v>
      </c>
      <c r="D1836" s="28" t="s">
        <v>845</v>
      </c>
      <c r="E1836" s="28"/>
      <c r="F1836" s="28">
        <v>20</v>
      </c>
      <c r="G1836" s="28" t="s">
        <v>286</v>
      </c>
      <c r="H1836" s="28">
        <v>0</v>
      </c>
      <c r="J1836" s="28"/>
    </row>
    <row r="1837" spans="1:10" ht="15.75" customHeight="1">
      <c r="A1837" s="28">
        <v>18658</v>
      </c>
      <c r="B1837" s="91">
        <v>45057.15929398148</v>
      </c>
      <c r="C1837" s="28" t="s">
        <v>10</v>
      </c>
      <c r="D1837" s="28" t="s">
        <v>651</v>
      </c>
      <c r="E1837" s="28"/>
      <c r="F1837" s="28">
        <v>28</v>
      </c>
      <c r="G1837" s="28" t="s">
        <v>143</v>
      </c>
      <c r="H1837" s="28">
        <v>0</v>
      </c>
      <c r="J1837" s="28"/>
    </row>
    <row r="1838" spans="1:10" ht="15.75" customHeight="1">
      <c r="A1838" s="28">
        <v>18657</v>
      </c>
      <c r="B1838" s="91">
        <v>45057.10428240741</v>
      </c>
      <c r="C1838" s="28" t="s">
        <v>10</v>
      </c>
      <c r="D1838" s="28" t="s">
        <v>846</v>
      </c>
      <c r="E1838" s="28"/>
      <c r="F1838" s="28">
        <v>18</v>
      </c>
      <c r="G1838" s="28" t="s">
        <v>119</v>
      </c>
      <c r="H1838" s="28">
        <v>0</v>
      </c>
      <c r="J1838" s="28"/>
    </row>
    <row r="1839" spans="1:10" ht="15.75" customHeight="1">
      <c r="A1839" s="28">
        <v>18656</v>
      </c>
      <c r="B1839" s="91">
        <v>45056.991979166662</v>
      </c>
      <c r="C1839" s="28" t="s">
        <v>10</v>
      </c>
      <c r="D1839" s="28" t="s">
        <v>847</v>
      </c>
      <c r="E1839" s="28"/>
      <c r="F1839" s="28">
        <v>0</v>
      </c>
      <c r="G1839" s="28" t="s">
        <v>117</v>
      </c>
      <c r="H1839" s="28">
        <v>0</v>
      </c>
      <c r="J1839" s="28"/>
    </row>
    <row r="1840" spans="1:10" ht="15.75" customHeight="1">
      <c r="A1840" s="28">
        <v>18656</v>
      </c>
      <c r="B1840" s="91">
        <v>45056.991979166662</v>
      </c>
      <c r="C1840" s="28" t="s">
        <v>10</v>
      </c>
      <c r="D1840" s="28" t="s">
        <v>847</v>
      </c>
      <c r="E1840" s="28"/>
      <c r="F1840" s="28">
        <v>25</v>
      </c>
      <c r="G1840" s="28">
        <v>100692</v>
      </c>
      <c r="H1840" s="28">
        <v>0</v>
      </c>
      <c r="J1840" s="28"/>
    </row>
    <row r="1841" spans="1:10" ht="15.75" customHeight="1">
      <c r="A1841" s="28">
        <v>18656</v>
      </c>
      <c r="B1841" s="91">
        <v>45056.991979166662</v>
      </c>
      <c r="C1841" s="28" t="s">
        <v>10</v>
      </c>
      <c r="D1841" s="28" t="s">
        <v>847</v>
      </c>
      <c r="E1841" s="28"/>
      <c r="F1841" s="28">
        <v>0</v>
      </c>
      <c r="G1841" s="28" t="s">
        <v>125</v>
      </c>
      <c r="H1841" s="28">
        <v>0</v>
      </c>
      <c r="J1841" s="28"/>
    </row>
    <row r="1842" spans="1:10" ht="15.75" customHeight="1">
      <c r="A1842" s="28">
        <v>18656</v>
      </c>
      <c r="B1842" s="91">
        <v>45056.991979166662</v>
      </c>
      <c r="C1842" s="28" t="s">
        <v>10</v>
      </c>
      <c r="D1842" s="28" t="s">
        <v>847</v>
      </c>
      <c r="E1842" s="28"/>
      <c r="F1842" s="28">
        <v>0</v>
      </c>
      <c r="G1842" s="28" t="s">
        <v>119</v>
      </c>
      <c r="H1842" s="28">
        <v>0</v>
      </c>
      <c r="J1842" s="28"/>
    </row>
    <row r="1843" spans="1:10" ht="15.75" customHeight="1">
      <c r="A1843" s="28">
        <v>18655</v>
      </c>
      <c r="B1843" s="91">
        <v>45056.98810185185</v>
      </c>
      <c r="C1843" s="28" t="s">
        <v>10</v>
      </c>
      <c r="D1843" s="28" t="s">
        <v>848</v>
      </c>
      <c r="E1843" s="28"/>
      <c r="F1843" s="28">
        <v>0</v>
      </c>
      <c r="G1843" s="28" t="s">
        <v>117</v>
      </c>
      <c r="H1843" s="28">
        <v>0</v>
      </c>
      <c r="J1843" s="28"/>
    </row>
    <row r="1844" spans="1:10" ht="15.75" customHeight="1">
      <c r="A1844" s="28">
        <v>18654</v>
      </c>
      <c r="B1844" s="91">
        <v>45056.986458333333</v>
      </c>
      <c r="C1844" s="28" t="s">
        <v>10</v>
      </c>
      <c r="D1844" s="28" t="s">
        <v>849</v>
      </c>
      <c r="E1844" s="28"/>
      <c r="F1844" s="28">
        <v>0</v>
      </c>
      <c r="G1844" s="28" t="s">
        <v>117</v>
      </c>
      <c r="H1844" s="28">
        <v>0</v>
      </c>
      <c r="J1844" s="28"/>
    </row>
    <row r="1845" spans="1:10" ht="15.75" customHeight="1">
      <c r="A1845" s="28">
        <v>18653</v>
      </c>
      <c r="B1845" s="91">
        <v>45056.985231481478</v>
      </c>
      <c r="C1845" s="28" t="s">
        <v>10</v>
      </c>
      <c r="D1845" s="28" t="s">
        <v>850</v>
      </c>
      <c r="E1845" s="28"/>
      <c r="F1845" s="28">
        <v>0</v>
      </c>
      <c r="G1845" s="28" t="s">
        <v>117</v>
      </c>
      <c r="H1845" s="28">
        <v>0</v>
      </c>
      <c r="J1845" s="28"/>
    </row>
    <row r="1846" spans="1:10" ht="15.75" customHeight="1">
      <c r="A1846" s="28">
        <v>18652</v>
      </c>
      <c r="B1846" s="91">
        <v>45056.978495370371</v>
      </c>
      <c r="C1846" s="28" t="s">
        <v>10</v>
      </c>
      <c r="D1846" s="28" t="s">
        <v>851</v>
      </c>
      <c r="E1846" s="28"/>
      <c r="F1846" s="28">
        <v>25</v>
      </c>
      <c r="G1846" s="28">
        <v>100692</v>
      </c>
      <c r="H1846" s="28">
        <v>0</v>
      </c>
      <c r="J1846" s="28"/>
    </row>
    <row r="1847" spans="1:10" ht="15.75" customHeight="1">
      <c r="A1847" s="28">
        <v>18652</v>
      </c>
      <c r="B1847" s="91">
        <v>45056.978495370371</v>
      </c>
      <c r="C1847" s="28" t="s">
        <v>10</v>
      </c>
      <c r="D1847" s="28" t="s">
        <v>851</v>
      </c>
      <c r="E1847" s="28"/>
      <c r="F1847" s="28">
        <v>0</v>
      </c>
      <c r="G1847" s="28" t="s">
        <v>125</v>
      </c>
      <c r="H1847" s="28">
        <v>0</v>
      </c>
      <c r="J1847" s="28"/>
    </row>
    <row r="1848" spans="1:10" ht="15.75" customHeight="1">
      <c r="A1848" s="28">
        <v>18652</v>
      </c>
      <c r="B1848" s="91">
        <v>45056.978495370371</v>
      </c>
      <c r="C1848" s="28" t="s">
        <v>10</v>
      </c>
      <c r="D1848" s="28" t="s">
        <v>851</v>
      </c>
      <c r="E1848" s="28"/>
      <c r="F1848" s="28">
        <v>0</v>
      </c>
      <c r="G1848" s="28" t="s">
        <v>119</v>
      </c>
      <c r="H1848" s="28">
        <v>0</v>
      </c>
      <c r="J1848" s="28"/>
    </row>
    <row r="1849" spans="1:10" ht="15.75" customHeight="1">
      <c r="A1849" s="28">
        <v>18651</v>
      </c>
      <c r="B1849" s="91">
        <v>45056.977662037039</v>
      </c>
      <c r="C1849" s="28" t="s">
        <v>10</v>
      </c>
      <c r="D1849" s="28" t="s">
        <v>852</v>
      </c>
      <c r="E1849" s="28"/>
      <c r="F1849" s="28">
        <v>25</v>
      </c>
      <c r="G1849" s="28">
        <v>100692</v>
      </c>
      <c r="H1849" s="28">
        <v>0</v>
      </c>
      <c r="J1849" s="28"/>
    </row>
    <row r="1850" spans="1:10" ht="15.75" customHeight="1">
      <c r="A1850" s="28">
        <v>18651</v>
      </c>
      <c r="B1850" s="91">
        <v>45056.977662037039</v>
      </c>
      <c r="C1850" s="28" t="s">
        <v>10</v>
      </c>
      <c r="D1850" s="28" t="s">
        <v>852</v>
      </c>
      <c r="E1850" s="28"/>
      <c r="F1850" s="28">
        <v>0</v>
      </c>
      <c r="G1850" s="28" t="s">
        <v>125</v>
      </c>
      <c r="H1850" s="28">
        <v>0</v>
      </c>
      <c r="J1850" s="28"/>
    </row>
    <row r="1851" spans="1:10" ht="15.75" customHeight="1">
      <c r="A1851" s="28">
        <v>18651</v>
      </c>
      <c r="B1851" s="91">
        <v>45056.977662037039</v>
      </c>
      <c r="C1851" s="28" t="s">
        <v>10</v>
      </c>
      <c r="D1851" s="28" t="s">
        <v>852</v>
      </c>
      <c r="E1851" s="28"/>
      <c r="F1851" s="28">
        <v>0</v>
      </c>
      <c r="G1851" s="28" t="s">
        <v>119</v>
      </c>
      <c r="H1851" s="28">
        <v>0</v>
      </c>
      <c r="J1851" s="28"/>
    </row>
    <row r="1852" spans="1:10" ht="15.75" customHeight="1">
      <c r="A1852" s="28">
        <v>18650</v>
      </c>
      <c r="B1852" s="91">
        <v>45056.971620370372</v>
      </c>
      <c r="C1852" s="28" t="s">
        <v>10</v>
      </c>
      <c r="D1852" s="28" t="s">
        <v>853</v>
      </c>
      <c r="E1852" s="28"/>
      <c r="F1852" s="28">
        <v>25</v>
      </c>
      <c r="G1852" s="28">
        <v>100692</v>
      </c>
      <c r="H1852" s="28">
        <v>0</v>
      </c>
      <c r="J1852" s="28"/>
    </row>
    <row r="1853" spans="1:10" ht="15.75" customHeight="1">
      <c r="A1853" s="28">
        <v>18650</v>
      </c>
      <c r="B1853" s="91">
        <v>45056.971620370372</v>
      </c>
      <c r="C1853" s="28" t="s">
        <v>10</v>
      </c>
      <c r="D1853" s="28" t="s">
        <v>853</v>
      </c>
      <c r="E1853" s="28"/>
      <c r="F1853" s="28">
        <v>0</v>
      </c>
      <c r="G1853" s="28" t="s">
        <v>125</v>
      </c>
      <c r="H1853" s="28">
        <v>0</v>
      </c>
      <c r="J1853" s="28"/>
    </row>
    <row r="1854" spans="1:10" ht="15.75" customHeight="1">
      <c r="A1854" s="28">
        <v>18650</v>
      </c>
      <c r="B1854" s="91">
        <v>45056.971620370372</v>
      </c>
      <c r="C1854" s="28" t="s">
        <v>10</v>
      </c>
      <c r="D1854" s="28" t="s">
        <v>853</v>
      </c>
      <c r="E1854" s="28"/>
      <c r="F1854" s="28">
        <v>0</v>
      </c>
      <c r="G1854" s="28" t="s">
        <v>119</v>
      </c>
      <c r="H1854" s="28">
        <v>0</v>
      </c>
      <c r="J1854" s="28"/>
    </row>
    <row r="1855" spans="1:10" ht="15.75" customHeight="1">
      <c r="A1855" s="28">
        <v>18649</v>
      </c>
      <c r="B1855" s="91">
        <v>45056.964004629626</v>
      </c>
      <c r="C1855" s="28" t="s">
        <v>10</v>
      </c>
      <c r="D1855" s="28" t="s">
        <v>854</v>
      </c>
      <c r="E1855" s="28"/>
      <c r="F1855" s="28">
        <v>35</v>
      </c>
      <c r="G1855" s="28" t="s">
        <v>124</v>
      </c>
      <c r="H1855" s="28">
        <v>0</v>
      </c>
      <c r="J1855" s="28"/>
    </row>
    <row r="1856" spans="1:10" ht="15.75" customHeight="1">
      <c r="A1856" s="28">
        <v>18649</v>
      </c>
      <c r="B1856" s="91">
        <v>45056.964004629626</v>
      </c>
      <c r="C1856" s="28" t="s">
        <v>10</v>
      </c>
      <c r="D1856" s="28" t="s">
        <v>854</v>
      </c>
      <c r="E1856" s="28"/>
      <c r="F1856" s="28">
        <v>0</v>
      </c>
      <c r="G1856" s="28" t="s">
        <v>125</v>
      </c>
      <c r="H1856" s="28">
        <v>0</v>
      </c>
      <c r="J1856" s="28"/>
    </row>
    <row r="1857" spans="1:10" ht="15.75" customHeight="1">
      <c r="A1857" s="28">
        <v>18649</v>
      </c>
      <c r="B1857" s="91">
        <v>45056.964004629626</v>
      </c>
      <c r="C1857" s="28" t="s">
        <v>10</v>
      </c>
      <c r="D1857" s="28" t="s">
        <v>854</v>
      </c>
      <c r="E1857" s="28"/>
      <c r="F1857" s="28">
        <v>0</v>
      </c>
      <c r="G1857" s="28" t="s">
        <v>119</v>
      </c>
      <c r="H1857" s="28">
        <v>0</v>
      </c>
      <c r="J1857" s="28"/>
    </row>
    <row r="1858" spans="1:10" ht="15.75" customHeight="1">
      <c r="A1858" s="28">
        <v>18649</v>
      </c>
      <c r="B1858" s="91">
        <v>45056.964004629626</v>
      </c>
      <c r="C1858" s="28" t="s">
        <v>10</v>
      </c>
      <c r="D1858" s="28" t="s">
        <v>854</v>
      </c>
      <c r="E1858" s="28"/>
      <c r="F1858" s="28">
        <v>0</v>
      </c>
      <c r="G1858" s="28" t="s">
        <v>121</v>
      </c>
      <c r="H1858" s="28">
        <v>0</v>
      </c>
      <c r="J1858" s="28"/>
    </row>
    <row r="1859" spans="1:10" ht="15.75" customHeight="1">
      <c r="A1859" s="28">
        <v>18648</v>
      </c>
      <c r="B1859" s="91">
        <v>45056.962500000001</v>
      </c>
      <c r="C1859" s="28" t="s">
        <v>10</v>
      </c>
      <c r="D1859" s="28" t="s">
        <v>632</v>
      </c>
      <c r="E1859" s="28"/>
      <c r="F1859" s="28">
        <v>25</v>
      </c>
      <c r="G1859" s="28">
        <v>100692</v>
      </c>
      <c r="H1859" s="28">
        <v>0</v>
      </c>
      <c r="J1859" s="28"/>
    </row>
    <row r="1860" spans="1:10" ht="15.75" customHeight="1">
      <c r="A1860" s="28">
        <v>18648</v>
      </c>
      <c r="B1860" s="91">
        <v>45056.962500000001</v>
      </c>
      <c r="C1860" s="28" t="s">
        <v>10</v>
      </c>
      <c r="D1860" s="28" t="s">
        <v>632</v>
      </c>
      <c r="E1860" s="28"/>
      <c r="F1860" s="28">
        <v>0</v>
      </c>
      <c r="G1860" s="28" t="s">
        <v>125</v>
      </c>
      <c r="H1860" s="28">
        <v>0</v>
      </c>
      <c r="J1860" s="28"/>
    </row>
    <row r="1861" spans="1:10" ht="15.75" customHeight="1">
      <c r="A1861" s="28">
        <v>18648</v>
      </c>
      <c r="B1861" s="91">
        <v>45056.962500000001</v>
      </c>
      <c r="C1861" s="28" t="s">
        <v>10</v>
      </c>
      <c r="D1861" s="28" t="s">
        <v>632</v>
      </c>
      <c r="E1861" s="28"/>
      <c r="F1861" s="28">
        <v>0</v>
      </c>
      <c r="G1861" s="28" t="s">
        <v>119</v>
      </c>
      <c r="H1861" s="28">
        <v>0</v>
      </c>
      <c r="J1861" s="28"/>
    </row>
    <row r="1862" spans="1:10" ht="15.75" customHeight="1">
      <c r="A1862" s="28">
        <v>18647</v>
      </c>
      <c r="B1862" s="91">
        <v>45056.940185185187</v>
      </c>
      <c r="C1862" s="28" t="s">
        <v>10</v>
      </c>
      <c r="D1862" s="28" t="s">
        <v>855</v>
      </c>
      <c r="E1862" s="28"/>
      <c r="F1862" s="28">
        <v>25</v>
      </c>
      <c r="G1862" s="28">
        <v>100692</v>
      </c>
      <c r="H1862" s="28">
        <v>0</v>
      </c>
      <c r="J1862" s="28"/>
    </row>
    <row r="1863" spans="1:10" ht="15.75" customHeight="1">
      <c r="A1863" s="28">
        <v>18647</v>
      </c>
      <c r="B1863" s="91">
        <v>45056.940185185187</v>
      </c>
      <c r="C1863" s="28" t="s">
        <v>10</v>
      </c>
      <c r="D1863" s="28" t="s">
        <v>855</v>
      </c>
      <c r="E1863" s="28"/>
      <c r="F1863" s="28">
        <v>0</v>
      </c>
      <c r="G1863" s="28" t="s">
        <v>125</v>
      </c>
      <c r="H1863" s="28">
        <v>0</v>
      </c>
      <c r="J1863" s="28"/>
    </row>
    <row r="1864" spans="1:10" ht="15.75" customHeight="1">
      <c r="A1864" s="28">
        <v>18647</v>
      </c>
      <c r="B1864" s="91">
        <v>45056.940185185187</v>
      </c>
      <c r="C1864" s="28" t="s">
        <v>10</v>
      </c>
      <c r="D1864" s="28" t="s">
        <v>855</v>
      </c>
      <c r="E1864" s="28"/>
      <c r="F1864" s="28">
        <v>0</v>
      </c>
      <c r="G1864" s="28" t="s">
        <v>119</v>
      </c>
      <c r="H1864" s="28">
        <v>0</v>
      </c>
      <c r="J1864" s="28"/>
    </row>
    <row r="1865" spans="1:10" ht="15.75" customHeight="1">
      <c r="A1865" s="28">
        <v>18646</v>
      </c>
      <c r="B1865" s="91">
        <v>45056.933796296296</v>
      </c>
      <c r="C1865" s="28" t="s">
        <v>10</v>
      </c>
      <c r="D1865" s="28" t="s">
        <v>856</v>
      </c>
      <c r="E1865" s="28"/>
      <c r="F1865" s="28">
        <v>25</v>
      </c>
      <c r="G1865" s="28">
        <v>100692</v>
      </c>
      <c r="H1865" s="28">
        <v>0</v>
      </c>
      <c r="J1865" s="28"/>
    </row>
    <row r="1866" spans="1:10" ht="15.75" customHeight="1">
      <c r="A1866" s="28">
        <v>18646</v>
      </c>
      <c r="B1866" s="91">
        <v>45056.933796296296</v>
      </c>
      <c r="C1866" s="28" t="s">
        <v>10</v>
      </c>
      <c r="D1866" s="28" t="s">
        <v>856</v>
      </c>
      <c r="E1866" s="28"/>
      <c r="F1866" s="28">
        <v>0</v>
      </c>
      <c r="G1866" s="28" t="s">
        <v>125</v>
      </c>
      <c r="H1866" s="28">
        <v>0</v>
      </c>
      <c r="J1866" s="28"/>
    </row>
    <row r="1867" spans="1:10" ht="15.75" customHeight="1">
      <c r="A1867" s="28">
        <v>18646</v>
      </c>
      <c r="B1867" s="91">
        <v>45056.933796296296</v>
      </c>
      <c r="C1867" s="28" t="s">
        <v>10</v>
      </c>
      <c r="D1867" s="28" t="s">
        <v>856</v>
      </c>
      <c r="E1867" s="28"/>
      <c r="F1867" s="28">
        <v>0</v>
      </c>
      <c r="G1867" s="28" t="s">
        <v>119</v>
      </c>
      <c r="H1867" s="28">
        <v>0</v>
      </c>
      <c r="J1867" s="28"/>
    </row>
    <row r="1868" spans="1:10" ht="15.75" customHeight="1">
      <c r="A1868" s="28">
        <v>18645</v>
      </c>
      <c r="B1868" s="91">
        <v>45056.932766203703</v>
      </c>
      <c r="C1868" s="28" t="s">
        <v>10</v>
      </c>
      <c r="D1868" s="28" t="s">
        <v>857</v>
      </c>
      <c r="E1868" s="28"/>
      <c r="F1868" s="28">
        <v>25</v>
      </c>
      <c r="G1868" s="28">
        <v>100692</v>
      </c>
      <c r="H1868" s="28">
        <v>0</v>
      </c>
      <c r="J1868" s="28"/>
    </row>
    <row r="1869" spans="1:10" ht="15.75" customHeight="1">
      <c r="A1869" s="28">
        <v>18645</v>
      </c>
      <c r="B1869" s="91">
        <v>45056.932766203703</v>
      </c>
      <c r="C1869" s="28" t="s">
        <v>10</v>
      </c>
      <c r="D1869" s="28" t="s">
        <v>857</v>
      </c>
      <c r="E1869" s="28"/>
      <c r="F1869" s="28">
        <v>0</v>
      </c>
      <c r="G1869" s="28" t="s">
        <v>125</v>
      </c>
      <c r="H1869" s="28">
        <v>0</v>
      </c>
      <c r="J1869" s="28"/>
    </row>
    <row r="1870" spans="1:10" ht="15.75" customHeight="1">
      <c r="A1870" s="28">
        <v>18645</v>
      </c>
      <c r="B1870" s="91">
        <v>45056.932766203703</v>
      </c>
      <c r="C1870" s="28" t="s">
        <v>10</v>
      </c>
      <c r="D1870" s="28" t="s">
        <v>857</v>
      </c>
      <c r="E1870" s="28"/>
      <c r="F1870" s="28">
        <v>0</v>
      </c>
      <c r="G1870" s="28" t="s">
        <v>119</v>
      </c>
      <c r="H1870" s="28">
        <v>0</v>
      </c>
      <c r="J1870" s="28"/>
    </row>
    <row r="1871" spans="1:10" ht="15.75" customHeight="1">
      <c r="A1871" s="28">
        <v>18644</v>
      </c>
      <c r="B1871" s="91">
        <v>45056.920324074075</v>
      </c>
      <c r="C1871" s="28" t="s">
        <v>10</v>
      </c>
      <c r="D1871" s="28" t="s">
        <v>858</v>
      </c>
      <c r="E1871" s="28"/>
      <c r="F1871" s="28">
        <v>0</v>
      </c>
      <c r="G1871" s="28" t="s">
        <v>117</v>
      </c>
      <c r="H1871" s="28">
        <v>0</v>
      </c>
      <c r="J1871" s="28"/>
    </row>
    <row r="1872" spans="1:10" ht="15.75" customHeight="1">
      <c r="A1872" s="28">
        <v>18644</v>
      </c>
      <c r="B1872" s="91">
        <v>45056.920324074075</v>
      </c>
      <c r="C1872" s="28" t="s">
        <v>10</v>
      </c>
      <c r="D1872" s="28" t="s">
        <v>858</v>
      </c>
      <c r="E1872" s="28"/>
      <c r="F1872" s="28">
        <v>20</v>
      </c>
      <c r="G1872" s="28"/>
      <c r="H1872" s="28">
        <v>0</v>
      </c>
      <c r="J1872" s="28"/>
    </row>
    <row r="1873" spans="1:10" ht="15.75" customHeight="1">
      <c r="A1873" s="28">
        <v>18643</v>
      </c>
      <c r="B1873" s="91">
        <v>45056.913761574076</v>
      </c>
      <c r="C1873" s="28" t="s">
        <v>10</v>
      </c>
      <c r="D1873" s="28" t="s">
        <v>859</v>
      </c>
      <c r="E1873" s="28"/>
      <c r="F1873" s="28">
        <v>25</v>
      </c>
      <c r="G1873" s="28" t="s">
        <v>141</v>
      </c>
      <c r="H1873" s="28">
        <v>0</v>
      </c>
      <c r="J1873" s="28"/>
    </row>
    <row r="1874" spans="1:10" ht="15.75" customHeight="1">
      <c r="A1874" s="28">
        <v>18642</v>
      </c>
      <c r="B1874" s="91">
        <v>45056.866967592592</v>
      </c>
      <c r="C1874" s="28" t="s">
        <v>10</v>
      </c>
      <c r="D1874" s="28" t="s">
        <v>673</v>
      </c>
      <c r="E1874" s="28"/>
      <c r="F1874" s="28">
        <v>15</v>
      </c>
      <c r="G1874" s="28" t="s">
        <v>125</v>
      </c>
      <c r="H1874" s="28">
        <v>0</v>
      </c>
      <c r="J1874" s="28"/>
    </row>
    <row r="1875" spans="1:10" ht="15.75" customHeight="1">
      <c r="A1875" s="28">
        <v>18641</v>
      </c>
      <c r="B1875" s="91">
        <v>45056.019490740742</v>
      </c>
      <c r="C1875" s="28" t="s">
        <v>10</v>
      </c>
      <c r="D1875" s="28" t="s">
        <v>860</v>
      </c>
      <c r="E1875" s="28"/>
      <c r="F1875" s="28">
        <v>55</v>
      </c>
      <c r="G1875" s="28" t="s">
        <v>861</v>
      </c>
      <c r="H1875" s="28">
        <v>0</v>
      </c>
      <c r="J1875" s="28"/>
    </row>
    <row r="1876" spans="1:10" ht="15.75" customHeight="1">
      <c r="A1876" s="28">
        <v>18640</v>
      </c>
      <c r="B1876" s="91">
        <v>45055.997129629628</v>
      </c>
      <c r="C1876" s="28" t="s">
        <v>10</v>
      </c>
      <c r="D1876" s="28" t="s">
        <v>700</v>
      </c>
      <c r="E1876" s="28"/>
      <c r="F1876" s="28">
        <v>28</v>
      </c>
      <c r="G1876" s="28" t="s">
        <v>143</v>
      </c>
      <c r="H1876" s="28">
        <v>0</v>
      </c>
      <c r="J1876" s="28"/>
    </row>
    <row r="1877" spans="1:10" ht="15.75" customHeight="1">
      <c r="A1877" s="28">
        <v>18639</v>
      </c>
      <c r="B1877" s="91">
        <v>45055.973761574074</v>
      </c>
      <c r="C1877" s="28" t="s">
        <v>10</v>
      </c>
      <c r="D1877" s="28" t="s">
        <v>862</v>
      </c>
      <c r="E1877" s="28"/>
      <c r="F1877" s="28">
        <v>55</v>
      </c>
      <c r="G1877" s="28">
        <v>101684</v>
      </c>
      <c r="H1877" s="28">
        <v>0</v>
      </c>
      <c r="J1877" s="28"/>
    </row>
    <row r="1878" spans="1:10" ht="15.75" customHeight="1">
      <c r="A1878" s="28">
        <v>18639</v>
      </c>
      <c r="B1878" s="91">
        <v>45055.973761574074</v>
      </c>
      <c r="C1878" s="28" t="s">
        <v>10</v>
      </c>
      <c r="D1878" s="28" t="s">
        <v>862</v>
      </c>
      <c r="E1878" s="28"/>
      <c r="F1878" s="28">
        <v>0</v>
      </c>
      <c r="G1878" s="28" t="s">
        <v>118</v>
      </c>
      <c r="H1878" s="28">
        <v>0</v>
      </c>
      <c r="J1878" s="28"/>
    </row>
    <row r="1879" spans="1:10" ht="15.75" customHeight="1">
      <c r="A1879" s="28">
        <v>18639</v>
      </c>
      <c r="B1879" s="91">
        <v>45055.973761574074</v>
      </c>
      <c r="C1879" s="28" t="s">
        <v>10</v>
      </c>
      <c r="D1879" s="28" t="s">
        <v>862</v>
      </c>
      <c r="E1879" s="28"/>
      <c r="F1879" s="28">
        <v>0</v>
      </c>
      <c r="G1879" s="28" t="s">
        <v>119</v>
      </c>
      <c r="H1879" s="28">
        <v>0</v>
      </c>
      <c r="J1879" s="28"/>
    </row>
    <row r="1880" spans="1:10" ht="15.75" customHeight="1">
      <c r="A1880" s="28">
        <v>18639</v>
      </c>
      <c r="B1880" s="91">
        <v>45055.973761574074</v>
      </c>
      <c r="C1880" s="28" t="s">
        <v>10</v>
      </c>
      <c r="D1880" s="28" t="s">
        <v>862</v>
      </c>
      <c r="E1880" s="28"/>
      <c r="F1880" s="28">
        <v>0</v>
      </c>
      <c r="G1880" s="28" t="s">
        <v>120</v>
      </c>
      <c r="H1880" s="28">
        <v>0</v>
      </c>
      <c r="J1880" s="28"/>
    </row>
    <row r="1881" spans="1:10" ht="15.75" customHeight="1">
      <c r="A1881" s="28">
        <v>18639</v>
      </c>
      <c r="B1881" s="91">
        <v>45055.973761574074</v>
      </c>
      <c r="C1881" s="28" t="s">
        <v>10</v>
      </c>
      <c r="D1881" s="28" t="s">
        <v>862</v>
      </c>
      <c r="E1881" s="28"/>
      <c r="F1881" s="28">
        <v>0</v>
      </c>
      <c r="G1881" s="28" t="s">
        <v>121</v>
      </c>
      <c r="H1881" s="28">
        <v>0</v>
      </c>
      <c r="J1881" s="28"/>
    </row>
    <row r="1882" spans="1:10" ht="15.75" customHeight="1">
      <c r="A1882" s="28">
        <v>18639</v>
      </c>
      <c r="B1882" s="91">
        <v>45055.973761574074</v>
      </c>
      <c r="C1882" s="28" t="s">
        <v>10</v>
      </c>
      <c r="D1882" s="28" t="s">
        <v>862</v>
      </c>
      <c r="E1882" s="28"/>
      <c r="F1882" s="28">
        <v>28</v>
      </c>
      <c r="G1882" s="28" t="s">
        <v>143</v>
      </c>
      <c r="H1882" s="28">
        <v>0</v>
      </c>
      <c r="J1882" s="28"/>
    </row>
    <row r="1883" spans="1:10" ht="15.75" customHeight="1">
      <c r="A1883" s="28">
        <v>18638</v>
      </c>
      <c r="B1883" s="91">
        <v>45055.963113425925</v>
      </c>
      <c r="C1883" s="28" t="s">
        <v>10</v>
      </c>
      <c r="D1883" s="28" t="s">
        <v>863</v>
      </c>
      <c r="E1883" s="28"/>
      <c r="F1883" s="28">
        <v>20</v>
      </c>
      <c r="G1883" s="28" t="s">
        <v>205</v>
      </c>
      <c r="H1883" s="28">
        <v>0</v>
      </c>
      <c r="J1883" s="28"/>
    </row>
    <row r="1884" spans="1:10" ht="15.75" customHeight="1">
      <c r="A1884" s="28">
        <v>18638</v>
      </c>
      <c r="B1884" s="91">
        <v>45055.963113425925</v>
      </c>
      <c r="C1884" s="28" t="s">
        <v>10</v>
      </c>
      <c r="D1884" s="28" t="s">
        <v>863</v>
      </c>
      <c r="E1884" s="28"/>
      <c r="F1884" s="28">
        <v>0</v>
      </c>
      <c r="G1884" s="28" t="s">
        <v>125</v>
      </c>
      <c r="H1884" s="28">
        <v>0</v>
      </c>
      <c r="J1884" s="28"/>
    </row>
    <row r="1885" spans="1:10" ht="15.75" customHeight="1">
      <c r="A1885" s="28">
        <v>18637</v>
      </c>
      <c r="B1885" s="91">
        <v>45055.960335648153</v>
      </c>
      <c r="C1885" s="28" t="s">
        <v>10</v>
      </c>
      <c r="D1885" s="28" t="s">
        <v>864</v>
      </c>
      <c r="E1885" s="28"/>
      <c r="F1885" s="28">
        <v>25</v>
      </c>
      <c r="G1885" s="28">
        <v>100692</v>
      </c>
      <c r="H1885" s="28">
        <v>0</v>
      </c>
      <c r="J1885" s="28"/>
    </row>
    <row r="1886" spans="1:10" ht="15.75" customHeight="1">
      <c r="A1886" s="28">
        <v>18637</v>
      </c>
      <c r="B1886" s="91">
        <v>45055.960335648153</v>
      </c>
      <c r="C1886" s="28" t="s">
        <v>10</v>
      </c>
      <c r="D1886" s="28" t="s">
        <v>864</v>
      </c>
      <c r="E1886" s="28"/>
      <c r="F1886" s="28">
        <v>0</v>
      </c>
      <c r="G1886" s="28" t="s">
        <v>125</v>
      </c>
      <c r="H1886" s="28">
        <v>0</v>
      </c>
      <c r="J1886" s="28"/>
    </row>
    <row r="1887" spans="1:10" ht="15.75" customHeight="1">
      <c r="A1887" s="28">
        <v>18637</v>
      </c>
      <c r="B1887" s="91">
        <v>45055.960335648153</v>
      </c>
      <c r="C1887" s="28" t="s">
        <v>10</v>
      </c>
      <c r="D1887" s="28" t="s">
        <v>864</v>
      </c>
      <c r="E1887" s="28"/>
      <c r="F1887" s="28">
        <v>0</v>
      </c>
      <c r="G1887" s="28" t="s">
        <v>119</v>
      </c>
      <c r="H1887" s="28">
        <v>0</v>
      </c>
      <c r="J1887" s="28"/>
    </row>
    <row r="1888" spans="1:10" ht="15.75" customHeight="1">
      <c r="A1888" s="28">
        <v>18636</v>
      </c>
      <c r="B1888" s="91">
        <v>45055.956388888888</v>
      </c>
      <c r="C1888" s="28" t="s">
        <v>5</v>
      </c>
      <c r="D1888" s="28" t="s">
        <v>865</v>
      </c>
      <c r="E1888" s="28"/>
      <c r="F1888" s="28">
        <v>25</v>
      </c>
      <c r="G1888" s="28">
        <v>100692</v>
      </c>
      <c r="H1888" s="28">
        <v>0</v>
      </c>
      <c r="J1888" s="28"/>
    </row>
    <row r="1889" spans="1:10" ht="15.75" customHeight="1">
      <c r="A1889" s="28">
        <v>18636</v>
      </c>
      <c r="B1889" s="91">
        <v>45055.956388888888</v>
      </c>
      <c r="C1889" s="28" t="s">
        <v>5</v>
      </c>
      <c r="D1889" s="28" t="s">
        <v>865</v>
      </c>
      <c r="E1889" s="28"/>
      <c r="F1889" s="28">
        <v>0</v>
      </c>
      <c r="G1889" s="28" t="s">
        <v>125</v>
      </c>
      <c r="H1889" s="28">
        <v>0</v>
      </c>
      <c r="J1889" s="28"/>
    </row>
    <row r="1890" spans="1:10" ht="15.75" customHeight="1">
      <c r="A1890" s="28">
        <v>18636</v>
      </c>
      <c r="B1890" s="91">
        <v>45055.956388888888</v>
      </c>
      <c r="C1890" s="28" t="s">
        <v>5</v>
      </c>
      <c r="D1890" s="28" t="s">
        <v>865</v>
      </c>
      <c r="E1890" s="28"/>
      <c r="F1890" s="28">
        <v>0</v>
      </c>
      <c r="G1890" s="28" t="s">
        <v>119</v>
      </c>
      <c r="H1890" s="28">
        <v>0</v>
      </c>
      <c r="J1890" s="28"/>
    </row>
    <row r="1891" spans="1:10" ht="15.75" customHeight="1">
      <c r="A1891" s="28">
        <v>18635</v>
      </c>
      <c r="B1891" s="91">
        <v>45055.930358796293</v>
      </c>
      <c r="C1891" s="28" t="s">
        <v>8</v>
      </c>
      <c r="D1891" s="28" t="s">
        <v>866</v>
      </c>
      <c r="E1891" s="28"/>
      <c r="F1891" s="28">
        <v>35</v>
      </c>
      <c r="G1891" s="28" t="s">
        <v>124</v>
      </c>
      <c r="H1891" s="28">
        <v>0</v>
      </c>
      <c r="J1891" s="28"/>
    </row>
    <row r="1892" spans="1:10" ht="15.75" customHeight="1">
      <c r="A1892" s="28">
        <v>18635</v>
      </c>
      <c r="B1892" s="91">
        <v>45055.930358796293</v>
      </c>
      <c r="C1892" s="28" t="s">
        <v>8</v>
      </c>
      <c r="D1892" s="28" t="s">
        <v>866</v>
      </c>
      <c r="E1892" s="28"/>
      <c r="F1892" s="28">
        <v>0</v>
      </c>
      <c r="G1892" s="28" t="s">
        <v>125</v>
      </c>
      <c r="H1892" s="28">
        <v>0</v>
      </c>
      <c r="J1892" s="28"/>
    </row>
    <row r="1893" spans="1:10" ht="15.75" customHeight="1">
      <c r="A1893" s="28">
        <v>18635</v>
      </c>
      <c r="B1893" s="91">
        <v>45055.930358796293</v>
      </c>
      <c r="C1893" s="28" t="s">
        <v>8</v>
      </c>
      <c r="D1893" s="28" t="s">
        <v>866</v>
      </c>
      <c r="E1893" s="28"/>
      <c r="F1893" s="28">
        <v>0</v>
      </c>
      <c r="G1893" s="28" t="s">
        <v>119</v>
      </c>
      <c r="H1893" s="28">
        <v>0</v>
      </c>
      <c r="J1893" s="28"/>
    </row>
    <row r="1894" spans="1:10" ht="15.75" customHeight="1">
      <c r="A1894" s="28">
        <v>18635</v>
      </c>
      <c r="B1894" s="91">
        <v>45055.930358796293</v>
      </c>
      <c r="C1894" s="28" t="s">
        <v>8</v>
      </c>
      <c r="D1894" s="28" t="s">
        <v>866</v>
      </c>
      <c r="E1894" s="28"/>
      <c r="F1894" s="28">
        <v>0</v>
      </c>
      <c r="G1894" s="28" t="s">
        <v>121</v>
      </c>
      <c r="H1894" s="28">
        <v>0</v>
      </c>
      <c r="J1894" s="28"/>
    </row>
    <row r="1895" spans="1:10" ht="15.75" customHeight="1">
      <c r="A1895" s="28">
        <v>18634</v>
      </c>
      <c r="B1895" s="91">
        <v>45055.927858796298</v>
      </c>
      <c r="C1895" s="28" t="s">
        <v>10</v>
      </c>
      <c r="D1895" s="28" t="s">
        <v>867</v>
      </c>
      <c r="E1895" s="28"/>
      <c r="F1895" s="28">
        <v>20</v>
      </c>
      <c r="G1895" s="28" t="s">
        <v>205</v>
      </c>
      <c r="H1895" s="28">
        <v>0</v>
      </c>
      <c r="J1895" s="28"/>
    </row>
    <row r="1896" spans="1:10" ht="15.75" customHeight="1">
      <c r="A1896" s="28">
        <v>18634</v>
      </c>
      <c r="B1896" s="91">
        <v>45055.927858796298</v>
      </c>
      <c r="C1896" s="28" t="s">
        <v>10</v>
      </c>
      <c r="D1896" s="28" t="s">
        <v>867</v>
      </c>
      <c r="E1896" s="28"/>
      <c r="F1896" s="28">
        <v>0</v>
      </c>
      <c r="G1896" s="28" t="s">
        <v>125</v>
      </c>
      <c r="H1896" s="28">
        <v>0</v>
      </c>
      <c r="J1896" s="28"/>
    </row>
    <row r="1897" spans="1:10" ht="15.75" customHeight="1">
      <c r="A1897" s="28">
        <v>18633</v>
      </c>
      <c r="B1897" s="91">
        <v>45055.918495370366</v>
      </c>
      <c r="C1897" s="28" t="s">
        <v>10</v>
      </c>
      <c r="D1897" s="28" t="s">
        <v>868</v>
      </c>
      <c r="E1897" s="28"/>
      <c r="F1897" s="28">
        <v>25</v>
      </c>
      <c r="G1897" s="28" t="s">
        <v>118</v>
      </c>
      <c r="H1897" s="28">
        <v>0</v>
      </c>
      <c r="J1897" s="28"/>
    </row>
    <row r="1898" spans="1:10" ht="15.75" customHeight="1">
      <c r="A1898" s="28">
        <v>18632</v>
      </c>
      <c r="B1898" s="91">
        <v>45055.91715277778</v>
      </c>
      <c r="C1898" s="28" t="s">
        <v>10</v>
      </c>
      <c r="D1898" s="28" t="s">
        <v>869</v>
      </c>
      <c r="E1898" s="28"/>
      <c r="F1898" s="28">
        <v>15</v>
      </c>
      <c r="G1898" s="28" t="s">
        <v>125</v>
      </c>
      <c r="H1898" s="28">
        <v>0</v>
      </c>
      <c r="J1898" s="28"/>
    </row>
    <row r="1899" spans="1:10" ht="15.75" customHeight="1">
      <c r="A1899" s="28">
        <v>18631</v>
      </c>
      <c r="B1899" s="91">
        <v>45055.916932870372</v>
      </c>
      <c r="C1899" s="28" t="s">
        <v>8</v>
      </c>
      <c r="D1899" s="28" t="s">
        <v>870</v>
      </c>
      <c r="E1899" s="28"/>
      <c r="F1899" s="28">
        <v>25</v>
      </c>
      <c r="G1899" s="28" t="s">
        <v>118</v>
      </c>
      <c r="H1899" s="28">
        <v>0</v>
      </c>
      <c r="J1899" s="28"/>
    </row>
    <row r="1900" spans="1:10" ht="15.75" customHeight="1">
      <c r="A1900" s="28">
        <v>18630</v>
      </c>
      <c r="B1900" s="91">
        <v>45055.911875000005</v>
      </c>
      <c r="C1900" s="28" t="s">
        <v>10</v>
      </c>
      <c r="D1900" s="28" t="s">
        <v>871</v>
      </c>
      <c r="E1900" s="28"/>
      <c r="F1900" s="28">
        <v>20</v>
      </c>
      <c r="G1900" s="28"/>
      <c r="H1900" s="28">
        <v>0</v>
      </c>
      <c r="J1900" s="28"/>
    </row>
    <row r="1901" spans="1:10" ht="15.75" customHeight="1">
      <c r="A1901" s="28">
        <v>18628</v>
      </c>
      <c r="B1901" s="91">
        <v>45055.907673611116</v>
      </c>
      <c r="C1901" s="28" t="s">
        <v>10</v>
      </c>
      <c r="D1901" s="28" t="s">
        <v>872</v>
      </c>
      <c r="E1901" s="28"/>
      <c r="F1901" s="28">
        <v>25</v>
      </c>
      <c r="G1901" s="28">
        <v>100692</v>
      </c>
      <c r="H1901" s="28">
        <v>0</v>
      </c>
      <c r="J1901" s="28"/>
    </row>
    <row r="1902" spans="1:10" ht="15.75" customHeight="1">
      <c r="A1902" s="28">
        <v>18628</v>
      </c>
      <c r="B1902" s="91">
        <v>45055.907673611116</v>
      </c>
      <c r="C1902" s="28" t="s">
        <v>10</v>
      </c>
      <c r="D1902" s="28" t="s">
        <v>872</v>
      </c>
      <c r="E1902" s="28"/>
      <c r="F1902" s="28">
        <v>0</v>
      </c>
      <c r="G1902" s="28" t="s">
        <v>125</v>
      </c>
      <c r="H1902" s="28">
        <v>0</v>
      </c>
      <c r="J1902" s="28"/>
    </row>
    <row r="1903" spans="1:10" ht="15.75" customHeight="1">
      <c r="A1903" s="28">
        <v>18628</v>
      </c>
      <c r="B1903" s="91">
        <v>45055.907673611116</v>
      </c>
      <c r="C1903" s="28" t="s">
        <v>10</v>
      </c>
      <c r="D1903" s="28" t="s">
        <v>872</v>
      </c>
      <c r="E1903" s="28"/>
      <c r="F1903" s="28">
        <v>0</v>
      </c>
      <c r="G1903" s="28" t="s">
        <v>119</v>
      </c>
      <c r="H1903" s="28">
        <v>0</v>
      </c>
      <c r="J1903" s="28"/>
    </row>
    <row r="1904" spans="1:10" ht="15.75" customHeight="1">
      <c r="A1904" s="28">
        <v>18627</v>
      </c>
      <c r="B1904" s="91">
        <v>45055.898530092592</v>
      </c>
      <c r="C1904" s="28" t="s">
        <v>8</v>
      </c>
      <c r="D1904" s="28" t="s">
        <v>873</v>
      </c>
      <c r="E1904" s="28"/>
      <c r="F1904" s="28">
        <v>18</v>
      </c>
      <c r="G1904" s="28" t="s">
        <v>119</v>
      </c>
      <c r="H1904" s="28">
        <v>0</v>
      </c>
      <c r="J1904" s="28"/>
    </row>
    <row r="1905" spans="1:10" ht="15.75" customHeight="1">
      <c r="A1905" s="28">
        <v>18627</v>
      </c>
      <c r="B1905" s="91">
        <v>45055.898530092592</v>
      </c>
      <c r="C1905" s="28" t="s">
        <v>8</v>
      </c>
      <c r="D1905" s="28" t="s">
        <v>873</v>
      </c>
      <c r="E1905" s="28"/>
      <c r="F1905" s="28">
        <v>20</v>
      </c>
      <c r="G1905" s="28"/>
      <c r="H1905" s="28">
        <v>0</v>
      </c>
      <c r="J1905" s="28"/>
    </row>
    <row r="1906" spans="1:10" ht="15.75" customHeight="1">
      <c r="A1906" s="28">
        <v>18626</v>
      </c>
      <c r="B1906" s="91">
        <v>45055.889247685191</v>
      </c>
      <c r="C1906" s="28" t="s">
        <v>10</v>
      </c>
      <c r="D1906" s="28" t="s">
        <v>874</v>
      </c>
      <c r="E1906" s="28"/>
      <c r="F1906" s="28">
        <v>18</v>
      </c>
      <c r="G1906" s="28" t="s">
        <v>457</v>
      </c>
      <c r="H1906" s="28">
        <v>0</v>
      </c>
      <c r="J1906" s="28"/>
    </row>
    <row r="1907" spans="1:10" ht="15.75" customHeight="1">
      <c r="A1907" s="28">
        <v>18625</v>
      </c>
      <c r="B1907" s="91">
        <v>45055.87332175926</v>
      </c>
      <c r="C1907" s="28" t="s">
        <v>10</v>
      </c>
      <c r="D1907" s="28" t="s">
        <v>693</v>
      </c>
      <c r="E1907" s="28"/>
      <c r="F1907" s="28">
        <v>0</v>
      </c>
      <c r="G1907" s="28" t="s">
        <v>117</v>
      </c>
      <c r="H1907" s="28">
        <v>0</v>
      </c>
      <c r="J1907" s="28"/>
    </row>
    <row r="1908" spans="1:10" ht="15.75" customHeight="1">
      <c r="A1908" s="28">
        <v>18625</v>
      </c>
      <c r="B1908" s="91">
        <v>45055.87332175926</v>
      </c>
      <c r="C1908" s="28" t="s">
        <v>10</v>
      </c>
      <c r="D1908" s="28" t="s">
        <v>693</v>
      </c>
      <c r="E1908" s="28"/>
      <c r="F1908" s="28">
        <v>28</v>
      </c>
      <c r="G1908" s="28" t="s">
        <v>143</v>
      </c>
      <c r="H1908" s="28">
        <v>0</v>
      </c>
      <c r="J1908" s="28"/>
    </row>
    <row r="1909" spans="1:10" ht="15.75" customHeight="1">
      <c r="A1909" s="28">
        <v>18624</v>
      </c>
      <c r="B1909" s="91">
        <v>45055.858715277776</v>
      </c>
      <c r="C1909" s="28" t="s">
        <v>10</v>
      </c>
      <c r="D1909" s="28" t="s">
        <v>875</v>
      </c>
      <c r="E1909" s="28"/>
      <c r="F1909" s="28">
        <v>18</v>
      </c>
      <c r="G1909" s="28" t="s">
        <v>119</v>
      </c>
      <c r="H1909" s="28">
        <v>0</v>
      </c>
      <c r="J1909" s="28"/>
    </row>
    <row r="1910" spans="1:10" ht="15.75" customHeight="1">
      <c r="A1910" s="28">
        <v>18623</v>
      </c>
      <c r="B1910" s="91">
        <v>45055.791701388887</v>
      </c>
      <c r="C1910" s="28" t="s">
        <v>8</v>
      </c>
      <c r="D1910" s="28" t="s">
        <v>876</v>
      </c>
      <c r="E1910" s="28"/>
      <c r="F1910" s="28">
        <v>0</v>
      </c>
      <c r="G1910" s="28" t="s">
        <v>117</v>
      </c>
      <c r="H1910" s="28">
        <v>0</v>
      </c>
      <c r="J1910" s="28"/>
    </row>
    <row r="1911" spans="1:10" ht="15.75" customHeight="1">
      <c r="A1911" s="28">
        <v>18623</v>
      </c>
      <c r="B1911" s="91">
        <v>45055.791701388887</v>
      </c>
      <c r="C1911" s="28" t="s">
        <v>8</v>
      </c>
      <c r="D1911" s="28" t="s">
        <v>876</v>
      </c>
      <c r="E1911" s="28"/>
      <c r="F1911" s="28">
        <v>20</v>
      </c>
      <c r="G1911" s="28" t="s">
        <v>286</v>
      </c>
      <c r="H1911" s="28">
        <v>0</v>
      </c>
      <c r="J1911" s="28"/>
    </row>
    <row r="1912" spans="1:10" ht="15.75" customHeight="1">
      <c r="A1912" s="28">
        <v>18622</v>
      </c>
      <c r="B1912" s="91">
        <v>45055.599756944444</v>
      </c>
      <c r="C1912" s="28" t="s">
        <v>10</v>
      </c>
      <c r="D1912" s="28" t="s">
        <v>877</v>
      </c>
      <c r="E1912" s="28"/>
      <c r="F1912" s="28">
        <v>25</v>
      </c>
      <c r="G1912" s="28">
        <v>100692</v>
      </c>
      <c r="H1912" s="28">
        <v>0</v>
      </c>
      <c r="J1912" s="28"/>
    </row>
    <row r="1913" spans="1:10" ht="15.75" customHeight="1">
      <c r="A1913" s="28">
        <v>18622</v>
      </c>
      <c r="B1913" s="91">
        <v>45055.599756944444</v>
      </c>
      <c r="C1913" s="28" t="s">
        <v>10</v>
      </c>
      <c r="D1913" s="28" t="s">
        <v>877</v>
      </c>
      <c r="E1913" s="28"/>
      <c r="F1913" s="28">
        <v>0</v>
      </c>
      <c r="G1913" s="28" t="s">
        <v>125</v>
      </c>
      <c r="H1913" s="28">
        <v>0</v>
      </c>
      <c r="J1913" s="28"/>
    </row>
    <row r="1914" spans="1:10" ht="15.75" customHeight="1">
      <c r="A1914" s="28">
        <v>18622</v>
      </c>
      <c r="B1914" s="91">
        <v>45055.599756944444</v>
      </c>
      <c r="C1914" s="28" t="s">
        <v>10</v>
      </c>
      <c r="D1914" s="28" t="s">
        <v>877</v>
      </c>
      <c r="E1914" s="28"/>
      <c r="F1914" s="28">
        <v>0</v>
      </c>
      <c r="G1914" s="28" t="s">
        <v>119</v>
      </c>
      <c r="H1914" s="28">
        <v>0</v>
      </c>
      <c r="J1914" s="28"/>
    </row>
    <row r="1915" spans="1:10" ht="15.75" customHeight="1">
      <c r="A1915" s="28">
        <v>18615</v>
      </c>
      <c r="B1915" s="91">
        <v>45055.0862037037</v>
      </c>
      <c r="C1915" s="28" t="s">
        <v>10</v>
      </c>
      <c r="D1915" s="28" t="s">
        <v>878</v>
      </c>
      <c r="E1915" s="28"/>
      <c r="F1915" s="28">
        <v>25</v>
      </c>
      <c r="G1915" s="28" t="s">
        <v>141</v>
      </c>
      <c r="H1915" s="28">
        <v>0</v>
      </c>
      <c r="J1915" s="28"/>
    </row>
    <row r="1916" spans="1:10" ht="15.75" customHeight="1">
      <c r="A1916" s="28">
        <v>18462</v>
      </c>
      <c r="B1916" s="91">
        <v>45051.616145833337</v>
      </c>
      <c r="C1916" s="28" t="s">
        <v>10</v>
      </c>
      <c r="D1916" s="28" t="s">
        <v>879</v>
      </c>
      <c r="E1916" s="28"/>
      <c r="F1916" s="28">
        <v>0</v>
      </c>
      <c r="G1916" s="28" t="s">
        <v>117</v>
      </c>
      <c r="H1916" s="28">
        <v>0</v>
      </c>
      <c r="J1916" s="28"/>
    </row>
    <row r="1917" spans="1:10" ht="15.75" customHeight="1">
      <c r="A1917" s="28">
        <v>18406</v>
      </c>
      <c r="B1917" s="91">
        <v>45047.687638888892</v>
      </c>
      <c r="C1917" s="28" t="s">
        <v>10</v>
      </c>
      <c r="D1917" s="28" t="s">
        <v>880</v>
      </c>
      <c r="E1917" s="28"/>
      <c r="F1917" s="28">
        <v>420</v>
      </c>
      <c r="G1917" s="28" t="s">
        <v>881</v>
      </c>
      <c r="H1917" s="28">
        <v>0</v>
      </c>
      <c r="J1917" s="28"/>
    </row>
    <row r="1918" spans="1:10" ht="15.75" customHeight="1">
      <c r="A1918" s="28">
        <v>18406</v>
      </c>
      <c r="B1918" s="91">
        <v>45047.687638888892</v>
      </c>
      <c r="C1918" s="28" t="s">
        <v>10</v>
      </c>
      <c r="D1918" s="28" t="s">
        <v>880</v>
      </c>
      <c r="E1918" s="28"/>
      <c r="F1918" s="28">
        <v>0</v>
      </c>
      <c r="G1918" s="28" t="s">
        <v>882</v>
      </c>
      <c r="H1918" s="28">
        <v>0</v>
      </c>
      <c r="J1918" s="28"/>
    </row>
    <row r="1919" spans="1:10" ht="15.75" customHeight="1">
      <c r="A1919" s="28">
        <v>18406</v>
      </c>
      <c r="B1919" s="91">
        <v>45047.687638888892</v>
      </c>
      <c r="C1919" s="28" t="s">
        <v>10</v>
      </c>
      <c r="D1919" s="28" t="s">
        <v>880</v>
      </c>
      <c r="E1919" s="28"/>
      <c r="F1919" s="28">
        <v>0</v>
      </c>
      <c r="G1919" s="28" t="s">
        <v>883</v>
      </c>
      <c r="H1919" s="28">
        <v>0</v>
      </c>
      <c r="J1919" s="28"/>
    </row>
    <row r="1920" spans="1:10" ht="15.75" customHeight="1">
      <c r="A1920" s="28">
        <v>18406</v>
      </c>
      <c r="B1920" s="91">
        <v>45047.687638888892</v>
      </c>
      <c r="C1920" s="28" t="s">
        <v>10</v>
      </c>
      <c r="D1920" s="28" t="s">
        <v>880</v>
      </c>
      <c r="E1920" s="28"/>
      <c r="F1920" s="28">
        <v>0</v>
      </c>
      <c r="G1920" s="28" t="s">
        <v>884</v>
      </c>
      <c r="H1920" s="28">
        <v>0</v>
      </c>
      <c r="J1920" s="28"/>
    </row>
    <row r="1921" spans="1:10" ht="15.75" customHeight="1">
      <c r="A1921" s="28">
        <v>18405</v>
      </c>
      <c r="B1921" s="91">
        <v>45047.607048611113</v>
      </c>
      <c r="C1921" s="28" t="s">
        <v>10</v>
      </c>
      <c r="D1921" s="28" t="s">
        <v>885</v>
      </c>
      <c r="E1921" s="28"/>
      <c r="F1921" s="28">
        <v>420</v>
      </c>
      <c r="G1921" s="28" t="s">
        <v>881</v>
      </c>
      <c r="H1921" s="28">
        <v>0</v>
      </c>
      <c r="J1921" s="28"/>
    </row>
    <row r="1922" spans="1:10" ht="15.75" customHeight="1">
      <c r="A1922" s="28">
        <v>18405</v>
      </c>
      <c r="B1922" s="91">
        <v>45047.607048611113</v>
      </c>
      <c r="C1922" s="28" t="s">
        <v>10</v>
      </c>
      <c r="D1922" s="28" t="s">
        <v>885</v>
      </c>
      <c r="E1922" s="28"/>
      <c r="F1922" s="28">
        <v>0</v>
      </c>
      <c r="G1922" s="28" t="s">
        <v>882</v>
      </c>
      <c r="H1922" s="28">
        <v>0</v>
      </c>
      <c r="J1922" s="28"/>
    </row>
    <row r="1923" spans="1:10" ht="15.75" customHeight="1">
      <c r="A1923" s="28">
        <v>18405</v>
      </c>
      <c r="B1923" s="91">
        <v>45047.607048611113</v>
      </c>
      <c r="C1923" s="28" t="s">
        <v>10</v>
      </c>
      <c r="D1923" s="28" t="s">
        <v>885</v>
      </c>
      <c r="E1923" s="28"/>
      <c r="F1923" s="28">
        <v>0</v>
      </c>
      <c r="G1923" s="28" t="s">
        <v>883</v>
      </c>
      <c r="H1923" s="28">
        <v>0</v>
      </c>
      <c r="J1923" s="28"/>
    </row>
    <row r="1924" spans="1:10" ht="15.75" customHeight="1">
      <c r="A1924" s="28">
        <v>18405</v>
      </c>
      <c r="B1924" s="91">
        <v>45047.607048611113</v>
      </c>
      <c r="C1924" s="28" t="s">
        <v>10</v>
      </c>
      <c r="D1924" s="28" t="s">
        <v>885</v>
      </c>
      <c r="E1924" s="28"/>
      <c r="F1924" s="28">
        <v>0</v>
      </c>
      <c r="G1924" s="28" t="s">
        <v>884</v>
      </c>
      <c r="H1924" s="28">
        <v>0</v>
      </c>
      <c r="J1924" s="28"/>
    </row>
    <row r="1925" spans="1:10" ht="15.75" customHeight="1">
      <c r="A1925" s="28">
        <v>18404</v>
      </c>
      <c r="B1925" s="91">
        <v>45046.081331018519</v>
      </c>
      <c r="C1925" s="28" t="s">
        <v>10</v>
      </c>
      <c r="D1925" s="28" t="s">
        <v>886</v>
      </c>
      <c r="E1925" s="28"/>
      <c r="F1925" s="28">
        <v>70</v>
      </c>
      <c r="G1925" s="28">
        <v>1010113</v>
      </c>
      <c r="H1925" s="28">
        <v>0</v>
      </c>
      <c r="J1925" s="28"/>
    </row>
    <row r="1926" spans="1:10" ht="15.75" customHeight="1">
      <c r="A1926" s="28">
        <v>18404</v>
      </c>
      <c r="B1926" s="91">
        <v>45046.081331018519</v>
      </c>
      <c r="C1926" s="28" t="s">
        <v>10</v>
      </c>
      <c r="D1926" s="28" t="s">
        <v>886</v>
      </c>
      <c r="E1926" s="28"/>
      <c r="F1926" s="28">
        <v>0</v>
      </c>
      <c r="G1926" s="28" t="s">
        <v>118</v>
      </c>
      <c r="H1926" s="28">
        <v>0</v>
      </c>
      <c r="J1926" s="28"/>
    </row>
    <row r="1927" spans="1:10" ht="15.75" customHeight="1">
      <c r="A1927" s="28">
        <v>18404</v>
      </c>
      <c r="B1927" s="91">
        <v>45046.081331018519</v>
      </c>
      <c r="C1927" s="28" t="s">
        <v>10</v>
      </c>
      <c r="D1927" s="28" t="s">
        <v>886</v>
      </c>
      <c r="E1927" s="28"/>
      <c r="F1927" s="28">
        <v>0</v>
      </c>
      <c r="G1927" s="28" t="s">
        <v>119</v>
      </c>
      <c r="H1927" s="28">
        <v>0</v>
      </c>
      <c r="J1927" s="28"/>
    </row>
    <row r="1928" spans="1:10" ht="15.75" customHeight="1">
      <c r="A1928" s="28">
        <v>18404</v>
      </c>
      <c r="B1928" s="91">
        <v>45046.081331018519</v>
      </c>
      <c r="C1928" s="28" t="s">
        <v>10</v>
      </c>
      <c r="D1928" s="28" t="s">
        <v>886</v>
      </c>
      <c r="E1928" s="28"/>
      <c r="F1928" s="28">
        <v>0</v>
      </c>
      <c r="G1928" s="28" t="s">
        <v>120</v>
      </c>
      <c r="H1928" s="28">
        <v>0</v>
      </c>
      <c r="J1928" s="28"/>
    </row>
    <row r="1929" spans="1:10" ht="15.75" customHeight="1">
      <c r="A1929" s="28">
        <v>18404</v>
      </c>
      <c r="B1929" s="91">
        <v>45046.081331018519</v>
      </c>
      <c r="C1929" s="28" t="s">
        <v>10</v>
      </c>
      <c r="D1929" s="28" t="s">
        <v>886</v>
      </c>
      <c r="E1929" s="28"/>
      <c r="F1929" s="28">
        <v>0</v>
      </c>
      <c r="G1929" s="28" t="s">
        <v>121</v>
      </c>
      <c r="H1929" s="28">
        <v>0</v>
      </c>
      <c r="J1929" s="28"/>
    </row>
    <row r="1930" spans="1:10" ht="15.75" customHeight="1">
      <c r="A1930" s="28">
        <v>18404</v>
      </c>
      <c r="B1930" s="91">
        <v>45046.081331018519</v>
      </c>
      <c r="C1930" s="28" t="s">
        <v>10</v>
      </c>
      <c r="D1930" s="28" t="s">
        <v>886</v>
      </c>
      <c r="E1930" s="28"/>
      <c r="F1930" s="28">
        <v>0</v>
      </c>
      <c r="G1930" s="28" t="s">
        <v>122</v>
      </c>
      <c r="H1930" s="28">
        <v>0</v>
      </c>
      <c r="J1930" s="28"/>
    </row>
    <row r="1931" spans="1:10" ht="15.75" customHeight="1">
      <c r="A1931" s="28">
        <v>18404</v>
      </c>
      <c r="B1931" s="91">
        <v>45046.081331018519</v>
      </c>
      <c r="C1931" s="28" t="s">
        <v>10</v>
      </c>
      <c r="D1931" s="28" t="s">
        <v>886</v>
      </c>
      <c r="E1931" s="28"/>
      <c r="F1931" s="28">
        <v>15</v>
      </c>
      <c r="G1931" s="28" t="s">
        <v>170</v>
      </c>
      <c r="H1931" s="28">
        <v>0</v>
      </c>
      <c r="J1931" s="28"/>
    </row>
    <row r="1932" spans="1:10" ht="15.75" customHeight="1">
      <c r="A1932" s="28">
        <v>18350</v>
      </c>
      <c r="B1932" s="91">
        <v>45042.111863425926</v>
      </c>
      <c r="C1932" s="28" t="s">
        <v>10</v>
      </c>
      <c r="D1932" s="28" t="s">
        <v>887</v>
      </c>
      <c r="E1932" s="28"/>
      <c r="F1932" s="28">
        <v>0</v>
      </c>
      <c r="G1932" s="28" t="s">
        <v>121</v>
      </c>
      <c r="H1932" s="28">
        <v>0</v>
      </c>
      <c r="J1932" s="28"/>
    </row>
    <row r="1933" spans="1:10" ht="15.75" customHeight="1">
      <c r="A1933" s="28">
        <v>18350</v>
      </c>
      <c r="B1933" s="91">
        <v>45042.111863425926</v>
      </c>
      <c r="C1933" s="28" t="s">
        <v>10</v>
      </c>
      <c r="D1933" s="28" t="s">
        <v>887</v>
      </c>
      <c r="E1933" s="28"/>
      <c r="F1933" s="28">
        <v>0</v>
      </c>
      <c r="G1933" s="28">
        <v>100692</v>
      </c>
      <c r="H1933" s="28">
        <v>0</v>
      </c>
      <c r="J1933" s="28"/>
    </row>
    <row r="1934" spans="1:10" ht="15.75" customHeight="1">
      <c r="A1934" s="28">
        <v>18350</v>
      </c>
      <c r="B1934" s="91">
        <v>45042.111863425926</v>
      </c>
      <c r="C1934" s="28" t="s">
        <v>10</v>
      </c>
      <c r="D1934" s="28" t="s">
        <v>887</v>
      </c>
      <c r="E1934" s="28"/>
      <c r="F1934" s="28">
        <v>0</v>
      </c>
      <c r="G1934" s="28" t="s">
        <v>125</v>
      </c>
      <c r="H1934" s="28">
        <v>0</v>
      </c>
      <c r="J1934" s="28"/>
    </row>
    <row r="1935" spans="1:10" ht="15.75" customHeight="1">
      <c r="A1935" s="28">
        <v>18350</v>
      </c>
      <c r="B1935" s="91">
        <v>45042.111863425926</v>
      </c>
      <c r="C1935" s="28" t="s">
        <v>10</v>
      </c>
      <c r="D1935" s="28" t="s">
        <v>887</v>
      </c>
      <c r="E1935" s="28"/>
      <c r="F1935" s="28">
        <v>0</v>
      </c>
      <c r="G1935" s="28" t="s">
        <v>119</v>
      </c>
      <c r="H1935" s="28">
        <v>0</v>
      </c>
      <c r="J1935" s="28"/>
    </row>
    <row r="1936" spans="1:10" ht="15.75" customHeight="1">
      <c r="A1936" s="28">
        <v>18350</v>
      </c>
      <c r="B1936" s="91">
        <v>45042.111863425926</v>
      </c>
      <c r="C1936" s="28" t="s">
        <v>10</v>
      </c>
      <c r="D1936" s="28" t="s">
        <v>887</v>
      </c>
      <c r="E1936" s="28"/>
      <c r="F1936" s="28">
        <v>0</v>
      </c>
      <c r="G1936" s="28" t="s">
        <v>205</v>
      </c>
      <c r="H1936" s="28">
        <v>0</v>
      </c>
      <c r="J1936" s="28"/>
    </row>
    <row r="1937" spans="1:10" ht="15.75" customHeight="1">
      <c r="A1937" s="28">
        <v>18350</v>
      </c>
      <c r="B1937" s="91">
        <v>45042.111863425926</v>
      </c>
      <c r="C1937" s="28" t="s">
        <v>10</v>
      </c>
      <c r="D1937" s="28" t="s">
        <v>887</v>
      </c>
      <c r="E1937" s="28"/>
      <c r="F1937" s="28">
        <v>0</v>
      </c>
      <c r="G1937" s="28" t="s">
        <v>125</v>
      </c>
      <c r="H1937" s="28">
        <v>0</v>
      </c>
      <c r="J1937" s="28"/>
    </row>
    <row r="1938" spans="1:10" ht="15.75" customHeight="1">
      <c r="A1938" s="28">
        <v>18142</v>
      </c>
      <c r="B1938" s="91">
        <v>45024.096620370372</v>
      </c>
      <c r="C1938" s="28" t="s">
        <v>10</v>
      </c>
      <c r="D1938" s="28" t="s">
        <v>888</v>
      </c>
      <c r="E1938" s="28"/>
      <c r="F1938" s="28">
        <v>28</v>
      </c>
      <c r="G1938" s="28" t="s">
        <v>143</v>
      </c>
      <c r="H1938" s="28">
        <v>0</v>
      </c>
      <c r="J1938" s="28"/>
    </row>
    <row r="1939" spans="1:10" ht="15.75" customHeight="1">
      <c r="A1939" s="28">
        <v>18140</v>
      </c>
      <c r="B1939" s="91">
        <v>45023.781018518523</v>
      </c>
      <c r="C1939" s="28" t="s">
        <v>8</v>
      </c>
      <c r="D1939" s="28" t="s">
        <v>889</v>
      </c>
      <c r="E1939" s="28"/>
      <c r="F1939" s="28">
        <v>25</v>
      </c>
      <c r="G1939" s="28">
        <v>100692</v>
      </c>
      <c r="H1939" s="28">
        <v>0</v>
      </c>
      <c r="J1939" s="28"/>
    </row>
    <row r="1940" spans="1:10" ht="15.75" customHeight="1">
      <c r="A1940" s="28">
        <v>18140</v>
      </c>
      <c r="B1940" s="91">
        <v>45023.781018518523</v>
      </c>
      <c r="C1940" s="28" t="s">
        <v>8</v>
      </c>
      <c r="D1940" s="28" t="s">
        <v>889</v>
      </c>
      <c r="E1940" s="28"/>
      <c r="F1940" s="28">
        <v>0</v>
      </c>
      <c r="G1940" s="28" t="s">
        <v>125</v>
      </c>
      <c r="H1940" s="28">
        <v>0</v>
      </c>
      <c r="J1940" s="28"/>
    </row>
    <row r="1941" spans="1:10" ht="15.75" customHeight="1">
      <c r="A1941" s="28">
        <v>18140</v>
      </c>
      <c r="B1941" s="91">
        <v>45023.781018518523</v>
      </c>
      <c r="C1941" s="28" t="s">
        <v>8</v>
      </c>
      <c r="D1941" s="28" t="s">
        <v>889</v>
      </c>
      <c r="E1941" s="28"/>
      <c r="F1941" s="28">
        <v>0</v>
      </c>
      <c r="G1941" s="28" t="s">
        <v>119</v>
      </c>
      <c r="H1941" s="28">
        <v>0</v>
      </c>
      <c r="J1941" s="28"/>
    </row>
    <row r="1942" spans="1:10" ht="15.75" customHeight="1">
      <c r="A1942" s="28">
        <v>18137</v>
      </c>
      <c r="B1942" s="91">
        <v>45022.120740740742</v>
      </c>
      <c r="C1942" s="28" t="s">
        <v>10</v>
      </c>
      <c r="D1942" s="28" t="s">
        <v>132</v>
      </c>
      <c r="E1942" s="28"/>
      <c r="F1942" s="28">
        <v>825</v>
      </c>
      <c r="G1942" s="28" t="s">
        <v>117</v>
      </c>
      <c r="H1942" s="28">
        <v>0</v>
      </c>
      <c r="J1942" s="28"/>
    </row>
    <row r="1943" spans="1:10" ht="15.75" customHeight="1">
      <c r="A1943" s="28">
        <v>18130</v>
      </c>
      <c r="B1943" s="91">
        <v>45020.573877314819</v>
      </c>
      <c r="C1943" s="28" t="s">
        <v>10</v>
      </c>
      <c r="D1943" s="28" t="s">
        <v>890</v>
      </c>
      <c r="E1943" s="28"/>
      <c r="F1943" s="28">
        <v>0</v>
      </c>
      <c r="G1943" s="28" t="s">
        <v>124</v>
      </c>
      <c r="H1943" s="28">
        <v>0</v>
      </c>
      <c r="J1943" s="28"/>
    </row>
    <row r="1944" spans="1:10" ht="15.75" customHeight="1">
      <c r="A1944" s="28">
        <v>18130</v>
      </c>
      <c r="B1944" s="91">
        <v>45020.573877314819</v>
      </c>
      <c r="C1944" s="28" t="s">
        <v>10</v>
      </c>
      <c r="D1944" s="28" t="s">
        <v>890</v>
      </c>
      <c r="E1944" s="28"/>
      <c r="F1944" s="28">
        <v>0</v>
      </c>
      <c r="G1944" s="28" t="s">
        <v>125</v>
      </c>
      <c r="H1944" s="28">
        <v>0</v>
      </c>
      <c r="J1944" s="28"/>
    </row>
    <row r="1945" spans="1:10" ht="15.75" customHeight="1">
      <c r="A1945" s="28">
        <v>18130</v>
      </c>
      <c r="B1945" s="91">
        <v>45020.573877314819</v>
      </c>
      <c r="C1945" s="28" t="s">
        <v>10</v>
      </c>
      <c r="D1945" s="28" t="s">
        <v>890</v>
      </c>
      <c r="E1945" s="28"/>
      <c r="F1945" s="28">
        <v>0</v>
      </c>
      <c r="G1945" s="28" t="s">
        <v>119</v>
      </c>
      <c r="H1945" s="28">
        <v>0</v>
      </c>
      <c r="J1945" s="28"/>
    </row>
    <row r="1946" spans="1:10" ht="15.75" customHeight="1">
      <c r="A1946" s="28">
        <v>18130</v>
      </c>
      <c r="B1946" s="91">
        <v>45020.573877314819</v>
      </c>
      <c r="C1946" s="28" t="s">
        <v>10</v>
      </c>
      <c r="D1946" s="28" t="s">
        <v>890</v>
      </c>
      <c r="E1946" s="28"/>
      <c r="F1946" s="28">
        <v>0</v>
      </c>
      <c r="G1946" s="28" t="s">
        <v>121</v>
      </c>
      <c r="H1946" s="28">
        <v>0</v>
      </c>
      <c r="J1946" s="28"/>
    </row>
    <row r="1947" spans="1:10" ht="15.75" customHeight="1">
      <c r="A1947" s="28">
        <v>18127</v>
      </c>
      <c r="B1947" s="91">
        <v>45015.637384259258</v>
      </c>
      <c r="C1947" s="28" t="s">
        <v>10</v>
      </c>
      <c r="D1947" s="28" t="s">
        <v>891</v>
      </c>
      <c r="E1947" s="28"/>
      <c r="F1947" s="28">
        <v>0</v>
      </c>
      <c r="G1947" s="28" t="s">
        <v>148</v>
      </c>
      <c r="H1947" s="28">
        <v>0</v>
      </c>
      <c r="J1947" s="28"/>
    </row>
    <row r="1948" spans="1:10" ht="15.75" customHeight="1">
      <c r="A1948" s="28">
        <v>18125</v>
      </c>
      <c r="B1948" s="91">
        <v>45015.575335648144</v>
      </c>
      <c r="C1948" s="28" t="s">
        <v>10</v>
      </c>
      <c r="D1948" s="28" t="s">
        <v>892</v>
      </c>
      <c r="E1948" s="28"/>
      <c r="F1948" s="28">
        <v>0</v>
      </c>
      <c r="G1948" s="28" t="s">
        <v>148</v>
      </c>
      <c r="H1948" s="28">
        <v>0</v>
      </c>
      <c r="J1948" s="28"/>
    </row>
    <row r="1949" spans="1:10" ht="15.75" customHeight="1">
      <c r="A1949" s="28">
        <v>18124</v>
      </c>
      <c r="B1949" s="91">
        <v>45014.774884259255</v>
      </c>
      <c r="C1949" s="28" t="s">
        <v>10</v>
      </c>
      <c r="D1949" s="28" t="s">
        <v>893</v>
      </c>
      <c r="E1949" s="28"/>
      <c r="F1949" s="28">
        <v>25</v>
      </c>
      <c r="G1949" s="28">
        <v>100692</v>
      </c>
      <c r="H1949" s="28">
        <v>0</v>
      </c>
      <c r="J1949" s="28"/>
    </row>
    <row r="1950" spans="1:10" ht="15.75" customHeight="1">
      <c r="A1950" s="28">
        <v>18124</v>
      </c>
      <c r="B1950" s="91">
        <v>45014.774884259255</v>
      </c>
      <c r="C1950" s="28" t="s">
        <v>10</v>
      </c>
      <c r="D1950" s="28" t="s">
        <v>893</v>
      </c>
      <c r="E1950" s="28"/>
      <c r="F1950" s="28">
        <v>0</v>
      </c>
      <c r="G1950" s="28" t="s">
        <v>125</v>
      </c>
      <c r="H1950" s="28">
        <v>0</v>
      </c>
      <c r="J1950" s="28"/>
    </row>
    <row r="1951" spans="1:10" ht="15.75" customHeight="1">
      <c r="A1951" s="28">
        <v>18124</v>
      </c>
      <c r="B1951" s="91">
        <v>45014.774884259255</v>
      </c>
      <c r="C1951" s="28" t="s">
        <v>10</v>
      </c>
      <c r="D1951" s="28" t="s">
        <v>893</v>
      </c>
      <c r="E1951" s="28"/>
      <c r="F1951" s="28">
        <v>0</v>
      </c>
      <c r="G1951" s="28" t="s">
        <v>119</v>
      </c>
      <c r="H1951" s="28">
        <v>0</v>
      </c>
      <c r="J1951" s="28"/>
    </row>
    <row r="1952" spans="1:10" ht="15.75" customHeight="1">
      <c r="A1952" s="28">
        <v>18123</v>
      </c>
      <c r="B1952" s="91">
        <v>45012.970451388886</v>
      </c>
      <c r="C1952" s="28" t="s">
        <v>8</v>
      </c>
      <c r="D1952" s="28" t="s">
        <v>894</v>
      </c>
      <c r="E1952" s="28"/>
      <c r="F1952" s="28">
        <v>55</v>
      </c>
      <c r="G1952" s="28">
        <v>101684</v>
      </c>
      <c r="H1952" s="28">
        <v>0</v>
      </c>
      <c r="J1952" s="28"/>
    </row>
    <row r="1953" spans="1:10" ht="15.75" customHeight="1">
      <c r="A1953" s="28">
        <v>18123</v>
      </c>
      <c r="B1953" s="91">
        <v>45012.970451388886</v>
      </c>
      <c r="C1953" s="28" t="s">
        <v>8</v>
      </c>
      <c r="D1953" s="28" t="s">
        <v>894</v>
      </c>
      <c r="E1953" s="28"/>
      <c r="F1953" s="28">
        <v>0</v>
      </c>
      <c r="G1953" s="28" t="s">
        <v>118</v>
      </c>
      <c r="H1953" s="28">
        <v>0</v>
      </c>
      <c r="J1953" s="28"/>
    </row>
    <row r="1954" spans="1:10" ht="15.75" customHeight="1">
      <c r="A1954" s="28">
        <v>18123</v>
      </c>
      <c r="B1954" s="91">
        <v>45012.970451388886</v>
      </c>
      <c r="C1954" s="28" t="s">
        <v>8</v>
      </c>
      <c r="D1954" s="28" t="s">
        <v>894</v>
      </c>
      <c r="E1954" s="28"/>
      <c r="F1954" s="28">
        <v>0</v>
      </c>
      <c r="G1954" s="28" t="s">
        <v>119</v>
      </c>
      <c r="H1954" s="28">
        <v>0</v>
      </c>
      <c r="J1954" s="28"/>
    </row>
    <row r="1955" spans="1:10" ht="15.75" customHeight="1">
      <c r="A1955" s="28">
        <v>18123</v>
      </c>
      <c r="B1955" s="91">
        <v>45012.970451388886</v>
      </c>
      <c r="C1955" s="28" t="s">
        <v>8</v>
      </c>
      <c r="D1955" s="28" t="s">
        <v>894</v>
      </c>
      <c r="E1955" s="28"/>
      <c r="F1955" s="28">
        <v>0</v>
      </c>
      <c r="G1955" s="28" t="s">
        <v>120</v>
      </c>
      <c r="H1955" s="28">
        <v>0</v>
      </c>
      <c r="J1955" s="28"/>
    </row>
    <row r="1956" spans="1:10" ht="15.75" customHeight="1">
      <c r="A1956" s="28">
        <v>18123</v>
      </c>
      <c r="B1956" s="91">
        <v>45012.970451388886</v>
      </c>
      <c r="C1956" s="28" t="s">
        <v>8</v>
      </c>
      <c r="D1956" s="28" t="s">
        <v>894</v>
      </c>
      <c r="E1956" s="28"/>
      <c r="F1956" s="28">
        <v>0</v>
      </c>
      <c r="G1956" s="28" t="s">
        <v>121</v>
      </c>
      <c r="H1956" s="28">
        <v>0</v>
      </c>
      <c r="J1956" s="28"/>
    </row>
    <row r="1957" spans="1:10" ht="15.75" customHeight="1">
      <c r="A1957" s="28">
        <v>18122</v>
      </c>
      <c r="B1957" s="91">
        <v>45012.579421296294</v>
      </c>
      <c r="C1957" s="28" t="s">
        <v>10</v>
      </c>
      <c r="D1957" s="28" t="s">
        <v>720</v>
      </c>
      <c r="E1957" s="28"/>
      <c r="F1957" s="28">
        <v>25</v>
      </c>
      <c r="G1957" s="28">
        <v>100692</v>
      </c>
      <c r="H1957" s="28">
        <v>0</v>
      </c>
      <c r="J1957" s="28"/>
    </row>
    <row r="1958" spans="1:10" ht="15.75" customHeight="1">
      <c r="A1958" s="28">
        <v>18122</v>
      </c>
      <c r="B1958" s="91">
        <v>45012.579421296294</v>
      </c>
      <c r="C1958" s="28" t="s">
        <v>10</v>
      </c>
      <c r="D1958" s="28" t="s">
        <v>720</v>
      </c>
      <c r="E1958" s="28"/>
      <c r="F1958" s="28">
        <v>0</v>
      </c>
      <c r="G1958" s="28" t="s">
        <v>125</v>
      </c>
      <c r="H1958" s="28">
        <v>0</v>
      </c>
      <c r="J1958" s="28"/>
    </row>
    <row r="1959" spans="1:10" ht="15.75" customHeight="1">
      <c r="A1959" s="28">
        <v>18122</v>
      </c>
      <c r="B1959" s="91">
        <v>45012.579421296294</v>
      </c>
      <c r="C1959" s="28" t="s">
        <v>10</v>
      </c>
      <c r="D1959" s="28" t="s">
        <v>720</v>
      </c>
      <c r="E1959" s="28"/>
      <c r="F1959" s="28">
        <v>0</v>
      </c>
      <c r="G1959" s="28" t="s">
        <v>119</v>
      </c>
      <c r="H1959" s="28">
        <v>0</v>
      </c>
      <c r="J1959" s="28"/>
    </row>
    <row r="1960" spans="1:10" ht="15.75" customHeight="1">
      <c r="A1960" s="28">
        <v>18117</v>
      </c>
      <c r="B1960" s="91">
        <v>45011.942337962959</v>
      </c>
      <c r="C1960" s="28" t="s">
        <v>10</v>
      </c>
      <c r="D1960" s="28" t="s">
        <v>895</v>
      </c>
      <c r="E1960" s="28"/>
      <c r="F1960" s="28">
        <v>15</v>
      </c>
      <c r="G1960" s="28" t="s">
        <v>896</v>
      </c>
      <c r="H1960" s="28">
        <v>0</v>
      </c>
      <c r="J1960" s="28"/>
    </row>
    <row r="1961" spans="1:10" ht="15.75" customHeight="1">
      <c r="A1961" s="28">
        <v>18116</v>
      </c>
      <c r="B1961" s="91">
        <v>45011.693726851852</v>
      </c>
      <c r="C1961" s="28" t="s">
        <v>10</v>
      </c>
      <c r="D1961" s="28" t="s">
        <v>897</v>
      </c>
      <c r="E1961" s="28"/>
      <c r="F1961" s="28">
        <v>15</v>
      </c>
      <c r="G1961" s="28"/>
      <c r="H1961" s="28">
        <v>0</v>
      </c>
      <c r="J1961" s="28"/>
    </row>
    <row r="1962" spans="1:10" ht="15.75" customHeight="1">
      <c r="A1962" s="28">
        <v>18115</v>
      </c>
      <c r="B1962" s="91">
        <v>45011.690763888888</v>
      </c>
      <c r="C1962" s="28" t="s">
        <v>10</v>
      </c>
      <c r="D1962" s="28" t="s">
        <v>898</v>
      </c>
      <c r="E1962" s="28"/>
      <c r="F1962" s="28">
        <v>15</v>
      </c>
      <c r="G1962" s="28"/>
      <c r="H1962" s="28">
        <v>0</v>
      </c>
      <c r="J1962" s="28"/>
    </row>
    <row r="1963" spans="1:10" ht="15.75" customHeight="1">
      <c r="A1963" s="28">
        <v>18114</v>
      </c>
      <c r="B1963" s="91">
        <v>45011.687210648146</v>
      </c>
      <c r="C1963" s="28" t="s">
        <v>10</v>
      </c>
      <c r="D1963" s="28" t="s">
        <v>899</v>
      </c>
      <c r="E1963" s="28"/>
      <c r="F1963" s="28">
        <v>28</v>
      </c>
      <c r="G1963" s="28" t="s">
        <v>143</v>
      </c>
      <c r="H1963" s="28">
        <v>0</v>
      </c>
      <c r="J1963" s="28"/>
    </row>
    <row r="1964" spans="1:10" ht="15.75" customHeight="1">
      <c r="A1964" s="28">
        <v>18114</v>
      </c>
      <c r="B1964" s="91">
        <v>45011.687210648146</v>
      </c>
      <c r="C1964" s="28" t="s">
        <v>10</v>
      </c>
      <c r="D1964" s="28" t="s">
        <v>899</v>
      </c>
      <c r="E1964" s="28"/>
      <c r="F1964" s="28">
        <v>25</v>
      </c>
      <c r="G1964" s="28">
        <v>100692</v>
      </c>
      <c r="H1964" s="28">
        <v>0</v>
      </c>
      <c r="J1964" s="28"/>
    </row>
    <row r="1965" spans="1:10" ht="15.75" customHeight="1">
      <c r="A1965" s="28">
        <v>18114</v>
      </c>
      <c r="B1965" s="91">
        <v>45011.687210648146</v>
      </c>
      <c r="C1965" s="28" t="s">
        <v>10</v>
      </c>
      <c r="D1965" s="28" t="s">
        <v>899</v>
      </c>
      <c r="E1965" s="28"/>
      <c r="F1965" s="28">
        <v>0</v>
      </c>
      <c r="G1965" s="28" t="s">
        <v>125</v>
      </c>
      <c r="H1965" s="28">
        <v>0</v>
      </c>
      <c r="J1965" s="28"/>
    </row>
    <row r="1966" spans="1:10" ht="15.75" customHeight="1">
      <c r="A1966" s="28">
        <v>18114</v>
      </c>
      <c r="B1966" s="91">
        <v>45011.687210648146</v>
      </c>
      <c r="C1966" s="28" t="s">
        <v>10</v>
      </c>
      <c r="D1966" s="28" t="s">
        <v>899</v>
      </c>
      <c r="E1966" s="28"/>
      <c r="F1966" s="28">
        <v>0</v>
      </c>
      <c r="G1966" s="28" t="s">
        <v>119</v>
      </c>
      <c r="H1966" s="28">
        <v>0</v>
      </c>
      <c r="J1966" s="28"/>
    </row>
    <row r="1967" spans="1:10" ht="15.75" customHeight="1">
      <c r="A1967" s="28">
        <v>18114</v>
      </c>
      <c r="B1967" s="91">
        <v>45011.687210648146</v>
      </c>
      <c r="C1967" s="28" t="s">
        <v>10</v>
      </c>
      <c r="D1967" s="28" t="s">
        <v>899</v>
      </c>
      <c r="E1967" s="28"/>
      <c r="F1967" s="28">
        <v>32</v>
      </c>
      <c r="G1967" s="28" t="s">
        <v>900</v>
      </c>
      <c r="H1967" s="28">
        <v>0</v>
      </c>
      <c r="J1967" s="28"/>
    </row>
    <row r="1968" spans="1:10" ht="15.75" customHeight="1">
      <c r="A1968" s="28">
        <v>18113</v>
      </c>
      <c r="B1968" s="91">
        <v>45011.520509259259</v>
      </c>
      <c r="C1968" s="28" t="s">
        <v>10</v>
      </c>
      <c r="D1968" s="28" t="s">
        <v>901</v>
      </c>
      <c r="E1968" s="28"/>
      <c r="F1968" s="28">
        <v>28</v>
      </c>
      <c r="G1968" s="28" t="s">
        <v>143</v>
      </c>
      <c r="H1968" s="28">
        <v>0</v>
      </c>
      <c r="J1968" s="28"/>
    </row>
    <row r="1969" spans="1:10" ht="15.75" customHeight="1">
      <c r="A1969" s="28">
        <v>18111</v>
      </c>
      <c r="B1969" s="91">
        <v>45011.133611111116</v>
      </c>
      <c r="C1969" s="28" t="s">
        <v>10</v>
      </c>
      <c r="D1969" s="28" t="s">
        <v>132</v>
      </c>
      <c r="E1969" s="28"/>
      <c r="F1969" s="28">
        <v>435</v>
      </c>
      <c r="G1969" s="28" t="s">
        <v>139</v>
      </c>
      <c r="H1969" s="28">
        <v>0</v>
      </c>
      <c r="J1969" s="28"/>
    </row>
    <row r="1970" spans="1:10" ht="15.75" customHeight="1">
      <c r="A1970" s="28">
        <v>18111</v>
      </c>
      <c r="B1970" s="91">
        <v>45011.133611111116</v>
      </c>
      <c r="C1970" s="28" t="s">
        <v>10</v>
      </c>
      <c r="D1970" s="28" t="s">
        <v>132</v>
      </c>
      <c r="E1970" s="28"/>
      <c r="F1970" s="28">
        <v>71</v>
      </c>
      <c r="G1970" s="28"/>
      <c r="H1970" s="28">
        <v>0</v>
      </c>
      <c r="J1970" s="28"/>
    </row>
    <row r="1971" spans="1:10" ht="15.75" customHeight="1">
      <c r="A1971" s="28">
        <v>18111</v>
      </c>
      <c r="B1971" s="91">
        <v>45011.133611111116</v>
      </c>
      <c r="C1971" s="28" t="s">
        <v>10</v>
      </c>
      <c r="D1971" s="28" t="s">
        <v>132</v>
      </c>
      <c r="E1971" s="28"/>
      <c r="F1971" s="28">
        <v>60</v>
      </c>
      <c r="G1971" s="28"/>
      <c r="H1971" s="28">
        <v>0</v>
      </c>
      <c r="J1971" s="28"/>
    </row>
    <row r="1972" spans="1:10" ht="15.75" customHeight="1">
      <c r="A1972" s="28">
        <v>18109</v>
      </c>
      <c r="B1972" s="91">
        <v>45010.056192129632</v>
      </c>
      <c r="C1972" s="28" t="s">
        <v>10</v>
      </c>
      <c r="D1972" s="28" t="s">
        <v>902</v>
      </c>
      <c r="E1972" s="28"/>
      <c r="F1972" s="28">
        <v>25</v>
      </c>
      <c r="G1972" s="28">
        <v>100692</v>
      </c>
      <c r="H1972" s="28">
        <v>0</v>
      </c>
      <c r="J1972" s="28"/>
    </row>
    <row r="1973" spans="1:10" ht="15.75" customHeight="1">
      <c r="A1973" s="28">
        <v>18109</v>
      </c>
      <c r="B1973" s="91">
        <v>45010.056192129632</v>
      </c>
      <c r="C1973" s="28" t="s">
        <v>10</v>
      </c>
      <c r="D1973" s="28" t="s">
        <v>902</v>
      </c>
      <c r="E1973" s="28"/>
      <c r="F1973" s="28">
        <v>0</v>
      </c>
      <c r="G1973" s="28" t="s">
        <v>125</v>
      </c>
      <c r="H1973" s="28">
        <v>0</v>
      </c>
      <c r="J1973" s="28"/>
    </row>
    <row r="1974" spans="1:10" ht="15.75" customHeight="1">
      <c r="A1974" s="28">
        <v>18109</v>
      </c>
      <c r="B1974" s="91">
        <v>45010.056192129632</v>
      </c>
      <c r="C1974" s="28" t="s">
        <v>10</v>
      </c>
      <c r="D1974" s="28" t="s">
        <v>902</v>
      </c>
      <c r="E1974" s="28"/>
      <c r="F1974" s="28">
        <v>0</v>
      </c>
      <c r="G1974" s="28" t="s">
        <v>119</v>
      </c>
      <c r="H1974" s="28">
        <v>0</v>
      </c>
      <c r="J1974" s="28"/>
    </row>
    <row r="1975" spans="1:10" ht="15.75" customHeight="1">
      <c r="A1975" s="28">
        <v>18109</v>
      </c>
      <c r="B1975" s="91">
        <v>45010.056192129632</v>
      </c>
      <c r="C1975" s="28" t="s">
        <v>10</v>
      </c>
      <c r="D1975" s="28" t="s">
        <v>902</v>
      </c>
      <c r="E1975" s="28"/>
      <c r="F1975" s="28">
        <v>20</v>
      </c>
      <c r="G1975" s="28" t="s">
        <v>148</v>
      </c>
      <c r="H1975" s="28">
        <v>0</v>
      </c>
      <c r="J1975" s="28"/>
    </row>
    <row r="1976" spans="1:10" ht="15.75" customHeight="1">
      <c r="A1976" s="28">
        <v>18108</v>
      </c>
      <c r="B1976" s="91">
        <v>45010.044733796298</v>
      </c>
      <c r="C1976" s="28" t="s">
        <v>10</v>
      </c>
      <c r="D1976" s="28" t="s">
        <v>903</v>
      </c>
      <c r="E1976" s="28"/>
      <c r="F1976" s="28">
        <v>28</v>
      </c>
      <c r="G1976" s="28" t="s">
        <v>143</v>
      </c>
      <c r="H1976" s="28">
        <v>0</v>
      </c>
      <c r="J1976" s="28"/>
    </row>
    <row r="1977" spans="1:10" ht="15.75" customHeight="1">
      <c r="A1977" s="28">
        <v>18107</v>
      </c>
      <c r="B1977" s="91">
        <v>45009.10292824074</v>
      </c>
      <c r="C1977" s="28" t="s">
        <v>10</v>
      </c>
      <c r="D1977" s="28" t="s">
        <v>904</v>
      </c>
      <c r="E1977" s="28"/>
      <c r="F1977" s="28">
        <v>25</v>
      </c>
      <c r="G1977" s="28" t="s">
        <v>141</v>
      </c>
      <c r="H1977" s="28">
        <v>0</v>
      </c>
      <c r="J1977" s="28"/>
    </row>
    <row r="1978" spans="1:10" ht="15.75" customHeight="1">
      <c r="A1978" s="28">
        <v>18106</v>
      </c>
      <c r="B1978" s="91">
        <v>45008.531099537038</v>
      </c>
      <c r="C1978" s="28" t="s">
        <v>10</v>
      </c>
      <c r="D1978" s="28" t="s">
        <v>905</v>
      </c>
      <c r="E1978" s="28"/>
      <c r="F1978" s="28">
        <v>25</v>
      </c>
      <c r="G1978" s="28">
        <v>100692</v>
      </c>
      <c r="H1978" s="28">
        <v>0</v>
      </c>
      <c r="J1978" s="28"/>
    </row>
    <row r="1979" spans="1:10" ht="15.75" customHeight="1">
      <c r="A1979" s="28">
        <v>18106</v>
      </c>
      <c r="B1979" s="91">
        <v>45008.531099537038</v>
      </c>
      <c r="C1979" s="28" t="s">
        <v>10</v>
      </c>
      <c r="D1979" s="28" t="s">
        <v>905</v>
      </c>
      <c r="E1979" s="28"/>
      <c r="F1979" s="28">
        <v>0</v>
      </c>
      <c r="G1979" s="28" t="s">
        <v>125</v>
      </c>
      <c r="H1979" s="28">
        <v>0</v>
      </c>
      <c r="J1979" s="28"/>
    </row>
    <row r="1980" spans="1:10" ht="15.75" customHeight="1">
      <c r="A1980" s="28">
        <v>18106</v>
      </c>
      <c r="B1980" s="91">
        <v>45008.531099537038</v>
      </c>
      <c r="C1980" s="28" t="s">
        <v>10</v>
      </c>
      <c r="D1980" s="28" t="s">
        <v>905</v>
      </c>
      <c r="E1980" s="28"/>
      <c r="F1980" s="28">
        <v>0</v>
      </c>
      <c r="G1980" s="28" t="s">
        <v>119</v>
      </c>
      <c r="H1980" s="28">
        <v>0</v>
      </c>
      <c r="J1980" s="28"/>
    </row>
    <row r="1981" spans="1:10" ht="15.75" customHeight="1">
      <c r="A1981" s="28">
        <v>18104</v>
      </c>
      <c r="B1981" s="91">
        <v>45007.938680555555</v>
      </c>
      <c r="C1981" s="28" t="s">
        <v>10</v>
      </c>
      <c r="D1981" s="28" t="s">
        <v>906</v>
      </c>
      <c r="E1981" s="28"/>
      <c r="F1981" s="28">
        <v>200</v>
      </c>
      <c r="G1981" s="28" t="s">
        <v>148</v>
      </c>
      <c r="H1981" s="28">
        <v>0</v>
      </c>
      <c r="J1981" s="28"/>
    </row>
    <row r="1982" spans="1:10" ht="15.75" customHeight="1">
      <c r="A1982" s="28">
        <v>18099</v>
      </c>
      <c r="B1982" s="91">
        <v>45006.76730324074</v>
      </c>
      <c r="C1982" s="28" t="s">
        <v>10</v>
      </c>
      <c r="D1982" s="28" t="s">
        <v>907</v>
      </c>
      <c r="E1982" s="28"/>
      <c r="F1982" s="28">
        <v>50</v>
      </c>
      <c r="G1982" s="28">
        <v>100692</v>
      </c>
      <c r="H1982" s="28">
        <v>0</v>
      </c>
      <c r="J1982" s="28"/>
    </row>
    <row r="1983" spans="1:10" ht="15.75" customHeight="1">
      <c r="A1983" s="28">
        <v>18099</v>
      </c>
      <c r="B1983" s="91">
        <v>45006.76730324074</v>
      </c>
      <c r="C1983" s="28" t="s">
        <v>10</v>
      </c>
      <c r="D1983" s="28" t="s">
        <v>907</v>
      </c>
      <c r="E1983" s="28"/>
      <c r="F1983" s="28">
        <v>0</v>
      </c>
      <c r="G1983" s="28" t="s">
        <v>125</v>
      </c>
      <c r="H1983" s="28">
        <v>0</v>
      </c>
      <c r="J1983" s="28"/>
    </row>
    <row r="1984" spans="1:10" ht="15.75" customHeight="1">
      <c r="A1984" s="28">
        <v>18099</v>
      </c>
      <c r="B1984" s="91">
        <v>45006.76730324074</v>
      </c>
      <c r="C1984" s="28" t="s">
        <v>10</v>
      </c>
      <c r="D1984" s="28" t="s">
        <v>907</v>
      </c>
      <c r="E1984" s="28"/>
      <c r="F1984" s="28">
        <v>0</v>
      </c>
      <c r="G1984" s="28" t="s">
        <v>119</v>
      </c>
      <c r="H1984" s="28">
        <v>0</v>
      </c>
      <c r="J1984" s="28"/>
    </row>
    <row r="1985" spans="1:10" ht="15.75" customHeight="1">
      <c r="A1985" s="28">
        <v>18098</v>
      </c>
      <c r="B1985" s="91">
        <v>45005.955277777779</v>
      </c>
      <c r="C1985" s="28" t="s">
        <v>10</v>
      </c>
      <c r="D1985" s="28" t="s">
        <v>642</v>
      </c>
      <c r="E1985" s="28"/>
      <c r="F1985" s="28">
        <v>100</v>
      </c>
      <c r="G1985" s="28" t="s">
        <v>908</v>
      </c>
      <c r="H1985" s="28">
        <v>0</v>
      </c>
      <c r="J1985" s="28"/>
    </row>
    <row r="1986" spans="1:10" ht="15.75" customHeight="1">
      <c r="A1986" s="28">
        <v>18097</v>
      </c>
      <c r="B1986" s="91">
        <v>45004.677650462967</v>
      </c>
      <c r="C1986" s="28" t="s">
        <v>10</v>
      </c>
      <c r="D1986" s="28" t="s">
        <v>909</v>
      </c>
      <c r="E1986" s="28"/>
      <c r="F1986" s="28">
        <v>18</v>
      </c>
      <c r="G1986" s="28" t="s">
        <v>122</v>
      </c>
      <c r="H1986" s="28">
        <v>0</v>
      </c>
      <c r="J1986" s="28"/>
    </row>
    <row r="1987" spans="1:10" ht="15.75" customHeight="1">
      <c r="A1987" s="28">
        <v>18097</v>
      </c>
      <c r="B1987" s="91">
        <v>45004.677650462967</v>
      </c>
      <c r="C1987" s="28" t="s">
        <v>10</v>
      </c>
      <c r="D1987" s="28" t="s">
        <v>909</v>
      </c>
      <c r="E1987" s="28"/>
      <c r="F1987" s="28">
        <v>18</v>
      </c>
      <c r="G1987" s="28" t="s">
        <v>122</v>
      </c>
      <c r="H1987" s="28">
        <v>0</v>
      </c>
      <c r="J1987" s="28"/>
    </row>
    <row r="1988" spans="1:10" ht="15.75" customHeight="1">
      <c r="A1988" s="28">
        <v>18097</v>
      </c>
      <c r="B1988" s="91">
        <v>45004.677650462967</v>
      </c>
      <c r="C1988" s="28" t="s">
        <v>10</v>
      </c>
      <c r="D1988" s="28" t="s">
        <v>909</v>
      </c>
      <c r="E1988" s="28"/>
      <c r="F1988" s="28">
        <v>0</v>
      </c>
      <c r="G1988" s="28" t="s">
        <v>139</v>
      </c>
      <c r="H1988" s="28">
        <v>0</v>
      </c>
      <c r="J1988" s="28"/>
    </row>
    <row r="1989" spans="1:10" ht="15.75" customHeight="1">
      <c r="A1989" s="28">
        <v>18097</v>
      </c>
      <c r="B1989" s="91">
        <v>45004.677650462967</v>
      </c>
      <c r="C1989" s="28" t="s">
        <v>10</v>
      </c>
      <c r="D1989" s="28" t="s">
        <v>909</v>
      </c>
      <c r="E1989" s="28"/>
      <c r="F1989" s="28">
        <v>37.5</v>
      </c>
      <c r="G1989" s="28" t="s">
        <v>297</v>
      </c>
      <c r="H1989" s="28">
        <v>0</v>
      </c>
      <c r="J1989" s="28"/>
    </row>
    <row r="1990" spans="1:10" ht="15.75" customHeight="1">
      <c r="A1990" s="28">
        <v>18097</v>
      </c>
      <c r="B1990" s="91">
        <v>45004.677650462967</v>
      </c>
      <c r="C1990" s="28" t="s">
        <v>10</v>
      </c>
      <c r="D1990" s="28" t="s">
        <v>909</v>
      </c>
      <c r="E1990" s="28"/>
      <c r="F1990" s="28">
        <v>27</v>
      </c>
      <c r="G1990" s="28" t="s">
        <v>457</v>
      </c>
      <c r="H1990" s="28">
        <v>0</v>
      </c>
      <c r="J1990" s="28"/>
    </row>
    <row r="1991" spans="1:10" ht="15.75" customHeight="1">
      <c r="A1991" s="28">
        <v>18097</v>
      </c>
      <c r="B1991" s="91">
        <v>45004.677650462967</v>
      </c>
      <c r="C1991" s="28" t="s">
        <v>10</v>
      </c>
      <c r="D1991" s="28" t="s">
        <v>909</v>
      </c>
      <c r="E1991" s="28"/>
      <c r="F1991" s="28">
        <v>30</v>
      </c>
      <c r="G1991" s="28" t="s">
        <v>205</v>
      </c>
      <c r="H1991" s="28">
        <v>0</v>
      </c>
      <c r="J1991" s="28"/>
    </row>
    <row r="1992" spans="1:10" ht="15.75" customHeight="1">
      <c r="A1992" s="28">
        <v>18097</v>
      </c>
      <c r="B1992" s="91">
        <v>45004.677650462967</v>
      </c>
      <c r="C1992" s="28" t="s">
        <v>10</v>
      </c>
      <c r="D1992" s="28" t="s">
        <v>909</v>
      </c>
      <c r="E1992" s="28"/>
      <c r="F1992" s="28">
        <v>0</v>
      </c>
      <c r="G1992" s="28" t="s">
        <v>125</v>
      </c>
      <c r="H1992" s="28">
        <v>0</v>
      </c>
      <c r="J1992" s="28"/>
    </row>
    <row r="1993" spans="1:10" ht="15.75" customHeight="1">
      <c r="A1993" s="28">
        <v>18095</v>
      </c>
      <c r="B1993" s="91">
        <v>45003.973344907412</v>
      </c>
      <c r="C1993" s="28" t="s">
        <v>10</v>
      </c>
      <c r="D1993" s="28" t="s">
        <v>910</v>
      </c>
      <c r="E1993" s="28"/>
      <c r="F1993" s="28">
        <v>20</v>
      </c>
      <c r="G1993" s="28" t="s">
        <v>148</v>
      </c>
      <c r="H1993" s="28">
        <v>0</v>
      </c>
      <c r="J1993" s="28"/>
    </row>
    <row r="1994" spans="1:10" ht="15.75" customHeight="1">
      <c r="A1994" s="28">
        <v>18095</v>
      </c>
      <c r="B1994" s="91">
        <v>45003.973344907412</v>
      </c>
      <c r="C1994" s="28" t="s">
        <v>10</v>
      </c>
      <c r="D1994" s="28" t="s">
        <v>910</v>
      </c>
      <c r="E1994" s="28"/>
      <c r="F1994" s="28">
        <v>25</v>
      </c>
      <c r="G1994" s="28">
        <v>100692</v>
      </c>
      <c r="H1994" s="28">
        <v>0</v>
      </c>
      <c r="J1994" s="28"/>
    </row>
    <row r="1995" spans="1:10" ht="15.75" customHeight="1">
      <c r="A1995" s="28">
        <v>18095</v>
      </c>
      <c r="B1995" s="91">
        <v>45003.973344907412</v>
      </c>
      <c r="C1995" s="28" t="s">
        <v>10</v>
      </c>
      <c r="D1995" s="28" t="s">
        <v>910</v>
      </c>
      <c r="E1995" s="28"/>
      <c r="F1995" s="28">
        <v>0</v>
      </c>
      <c r="G1995" s="28" t="s">
        <v>125</v>
      </c>
      <c r="H1995" s="28">
        <v>0</v>
      </c>
      <c r="J1995" s="28"/>
    </row>
    <row r="1996" spans="1:10" ht="15.75" customHeight="1">
      <c r="A1996" s="28">
        <v>18095</v>
      </c>
      <c r="B1996" s="91">
        <v>45003.973344907412</v>
      </c>
      <c r="C1996" s="28" t="s">
        <v>10</v>
      </c>
      <c r="D1996" s="28" t="s">
        <v>910</v>
      </c>
      <c r="E1996" s="28"/>
      <c r="F1996" s="28">
        <v>0</v>
      </c>
      <c r="G1996" s="28" t="s">
        <v>119</v>
      </c>
      <c r="H1996" s="28">
        <v>0</v>
      </c>
      <c r="J1996" s="28"/>
    </row>
    <row r="1997" spans="1:10" ht="15.75" customHeight="1">
      <c r="A1997" s="28">
        <v>18095</v>
      </c>
      <c r="B1997" s="91">
        <v>45003.973344907412</v>
      </c>
      <c r="C1997" s="28" t="s">
        <v>10</v>
      </c>
      <c r="D1997" s="28" t="s">
        <v>910</v>
      </c>
      <c r="E1997" s="28"/>
      <c r="F1997" s="28">
        <v>10</v>
      </c>
      <c r="G1997" s="28" t="s">
        <v>334</v>
      </c>
      <c r="H1997" s="28">
        <v>0</v>
      </c>
      <c r="J1997" s="28"/>
    </row>
    <row r="1998" spans="1:10" ht="15.75" customHeight="1">
      <c r="A1998" s="28">
        <v>18094</v>
      </c>
      <c r="B1998" s="91">
        <v>45003.816469907411</v>
      </c>
      <c r="C1998" s="28" t="s">
        <v>10</v>
      </c>
      <c r="D1998" s="28" t="s">
        <v>409</v>
      </c>
      <c r="E1998" s="28"/>
      <c r="F1998" s="28">
        <v>24</v>
      </c>
      <c r="G1998" s="28" t="s">
        <v>122</v>
      </c>
      <c r="H1998" s="28">
        <v>0</v>
      </c>
      <c r="J1998" s="28"/>
    </row>
    <row r="1999" spans="1:10" ht="15.75" customHeight="1">
      <c r="A1999" s="28">
        <v>18094</v>
      </c>
      <c r="B1999" s="91">
        <v>45003.816469907411</v>
      </c>
      <c r="C1999" s="28" t="s">
        <v>10</v>
      </c>
      <c r="D1999" s="28" t="s">
        <v>409</v>
      </c>
      <c r="E1999" s="28"/>
      <c r="F1999" s="28">
        <v>44</v>
      </c>
      <c r="G1999" s="28" t="s">
        <v>137</v>
      </c>
      <c r="H1999" s="28">
        <v>0</v>
      </c>
      <c r="J1999" s="28"/>
    </row>
    <row r="2000" spans="1:10" ht="15.75" customHeight="1">
      <c r="A2000" s="28">
        <v>18093</v>
      </c>
      <c r="B2000" s="91">
        <v>45003.747025462959</v>
      </c>
      <c r="C2000" s="28" t="s">
        <v>10</v>
      </c>
      <c r="D2000" s="28" t="s">
        <v>911</v>
      </c>
      <c r="E2000" s="28"/>
      <c r="F2000" s="28">
        <v>0</v>
      </c>
      <c r="G2000" s="28" t="s">
        <v>139</v>
      </c>
      <c r="H2000" s="28">
        <v>0</v>
      </c>
      <c r="J2000" s="28"/>
    </row>
    <row r="2001" spans="1:10" ht="15.75" customHeight="1">
      <c r="A2001" s="28">
        <v>18093</v>
      </c>
      <c r="B2001" s="91">
        <v>45003.747025462959</v>
      </c>
      <c r="C2001" s="28" t="s">
        <v>10</v>
      </c>
      <c r="D2001" s="28" t="s">
        <v>911</v>
      </c>
      <c r="E2001" s="28"/>
      <c r="F2001" s="28">
        <v>28</v>
      </c>
      <c r="G2001" s="28" t="s">
        <v>143</v>
      </c>
      <c r="H2001" s="28">
        <v>0</v>
      </c>
      <c r="J2001" s="28"/>
    </row>
    <row r="2002" spans="1:10" ht="15.75" customHeight="1">
      <c r="A2002" s="28">
        <v>18093</v>
      </c>
      <c r="B2002" s="91">
        <v>45003.747025462959</v>
      </c>
      <c r="C2002" s="28" t="s">
        <v>10</v>
      </c>
      <c r="D2002" s="28" t="s">
        <v>911</v>
      </c>
      <c r="E2002" s="28"/>
      <c r="F2002" s="28">
        <v>25</v>
      </c>
      <c r="G2002" s="28" t="s">
        <v>141</v>
      </c>
      <c r="H2002" s="28">
        <v>0</v>
      </c>
      <c r="J2002" s="28"/>
    </row>
    <row r="2003" spans="1:10" ht="15.75" customHeight="1">
      <c r="A2003" s="28">
        <v>18062</v>
      </c>
      <c r="B2003" s="91">
        <v>44999.671319444446</v>
      </c>
      <c r="C2003" s="28" t="s">
        <v>10</v>
      </c>
      <c r="D2003" s="28" t="s">
        <v>912</v>
      </c>
      <c r="E2003" s="28"/>
      <c r="F2003" s="28">
        <v>35</v>
      </c>
      <c r="G2003" s="28" t="s">
        <v>124</v>
      </c>
      <c r="H2003" s="28">
        <v>0</v>
      </c>
      <c r="J2003" s="28"/>
    </row>
    <row r="2004" spans="1:10" ht="15.75" customHeight="1">
      <c r="A2004" s="28">
        <v>18062</v>
      </c>
      <c r="B2004" s="91">
        <v>44999.671319444446</v>
      </c>
      <c r="C2004" s="28" t="s">
        <v>10</v>
      </c>
      <c r="D2004" s="28" t="s">
        <v>912</v>
      </c>
      <c r="E2004" s="28"/>
      <c r="F2004" s="28">
        <v>0</v>
      </c>
      <c r="G2004" s="28" t="s">
        <v>125</v>
      </c>
      <c r="H2004" s="28">
        <v>0</v>
      </c>
      <c r="J2004" s="28"/>
    </row>
    <row r="2005" spans="1:10" ht="15.75" customHeight="1">
      <c r="A2005" s="28">
        <v>18062</v>
      </c>
      <c r="B2005" s="91">
        <v>44999.671319444446</v>
      </c>
      <c r="C2005" s="28" t="s">
        <v>10</v>
      </c>
      <c r="D2005" s="28" t="s">
        <v>912</v>
      </c>
      <c r="E2005" s="28"/>
      <c r="F2005" s="28">
        <v>0</v>
      </c>
      <c r="G2005" s="28" t="s">
        <v>119</v>
      </c>
      <c r="H2005" s="28">
        <v>0</v>
      </c>
      <c r="J2005" s="28"/>
    </row>
    <row r="2006" spans="1:10" ht="15.75" customHeight="1">
      <c r="A2006" s="28">
        <v>18062</v>
      </c>
      <c r="B2006" s="91">
        <v>44999.671319444446</v>
      </c>
      <c r="C2006" s="28" t="s">
        <v>10</v>
      </c>
      <c r="D2006" s="28" t="s">
        <v>912</v>
      </c>
      <c r="E2006" s="28"/>
      <c r="F2006" s="28">
        <v>0</v>
      </c>
      <c r="G2006" s="28" t="s">
        <v>121</v>
      </c>
      <c r="H2006" s="28">
        <v>0</v>
      </c>
      <c r="J2006" s="28"/>
    </row>
    <row r="2007" spans="1:10" ht="15.75" customHeight="1">
      <c r="A2007" s="28">
        <v>18062</v>
      </c>
      <c r="B2007" s="91">
        <v>44999.671319444446</v>
      </c>
      <c r="C2007" s="28" t="s">
        <v>10</v>
      </c>
      <c r="D2007" s="28" t="s">
        <v>912</v>
      </c>
      <c r="E2007" s="28"/>
      <c r="F2007" s="28">
        <v>0</v>
      </c>
      <c r="G2007" s="28" t="s">
        <v>139</v>
      </c>
      <c r="H2007" s="28">
        <v>0</v>
      </c>
      <c r="J2007" s="28"/>
    </row>
    <row r="2008" spans="1:10" ht="15.75" customHeight="1">
      <c r="A2008" s="28">
        <v>18061</v>
      </c>
      <c r="B2008" s="91">
        <v>44998.579965277779</v>
      </c>
      <c r="C2008" s="28" t="s">
        <v>10</v>
      </c>
      <c r="D2008" s="28" t="s">
        <v>913</v>
      </c>
      <c r="E2008" s="28"/>
      <c r="F2008" s="28">
        <v>40</v>
      </c>
      <c r="G2008" s="28" t="s">
        <v>121</v>
      </c>
      <c r="H2008" s="28">
        <v>0</v>
      </c>
      <c r="J2008" s="28"/>
    </row>
    <row r="2009" spans="1:10" ht="15.75" customHeight="1">
      <c r="A2009" s="28">
        <v>18061</v>
      </c>
      <c r="B2009" s="91">
        <v>44998.579965277779</v>
      </c>
      <c r="C2009" s="28" t="s">
        <v>10</v>
      </c>
      <c r="D2009" s="28" t="s">
        <v>913</v>
      </c>
      <c r="E2009" s="28"/>
      <c r="F2009" s="28">
        <v>60</v>
      </c>
      <c r="G2009" s="28" t="s">
        <v>170</v>
      </c>
      <c r="H2009" s="28">
        <v>0</v>
      </c>
      <c r="J2009" s="28"/>
    </row>
    <row r="2010" spans="1:10" ht="15.75" customHeight="1">
      <c r="A2010" s="28">
        <v>18057</v>
      </c>
      <c r="B2010" s="91">
        <v>44995.838749999995</v>
      </c>
      <c r="C2010" s="28" t="s">
        <v>10</v>
      </c>
      <c r="D2010" s="28" t="s">
        <v>914</v>
      </c>
      <c r="E2010" s="28"/>
      <c r="F2010" s="28">
        <v>55</v>
      </c>
      <c r="G2010" s="28">
        <v>101684</v>
      </c>
      <c r="H2010" s="28">
        <v>0</v>
      </c>
      <c r="J2010" s="28"/>
    </row>
    <row r="2011" spans="1:10" ht="15.75" customHeight="1">
      <c r="A2011" s="28">
        <v>18057</v>
      </c>
      <c r="B2011" s="91">
        <v>44995.838749999995</v>
      </c>
      <c r="C2011" s="28" t="s">
        <v>10</v>
      </c>
      <c r="D2011" s="28" t="s">
        <v>914</v>
      </c>
      <c r="E2011" s="28"/>
      <c r="F2011" s="28">
        <v>0</v>
      </c>
      <c r="G2011" s="28" t="s">
        <v>118</v>
      </c>
      <c r="H2011" s="28">
        <v>0</v>
      </c>
      <c r="J2011" s="28"/>
    </row>
    <row r="2012" spans="1:10" ht="15.75" customHeight="1">
      <c r="A2012" s="28">
        <v>18057</v>
      </c>
      <c r="B2012" s="91">
        <v>44995.838749999995</v>
      </c>
      <c r="C2012" s="28" t="s">
        <v>10</v>
      </c>
      <c r="D2012" s="28" t="s">
        <v>914</v>
      </c>
      <c r="E2012" s="28"/>
      <c r="F2012" s="28">
        <v>0</v>
      </c>
      <c r="G2012" s="28" t="s">
        <v>119</v>
      </c>
      <c r="H2012" s="28">
        <v>0</v>
      </c>
      <c r="J2012" s="28"/>
    </row>
    <row r="2013" spans="1:10" ht="15.75" customHeight="1">
      <c r="A2013" s="28">
        <v>18057</v>
      </c>
      <c r="B2013" s="91">
        <v>44995.838749999995</v>
      </c>
      <c r="C2013" s="28" t="s">
        <v>10</v>
      </c>
      <c r="D2013" s="28" t="s">
        <v>914</v>
      </c>
      <c r="E2013" s="28"/>
      <c r="F2013" s="28">
        <v>0</v>
      </c>
      <c r="G2013" s="28" t="s">
        <v>120</v>
      </c>
      <c r="H2013" s="28">
        <v>0</v>
      </c>
      <c r="J2013" s="28"/>
    </row>
    <row r="2014" spans="1:10" ht="15.75" customHeight="1">
      <c r="A2014" s="28">
        <v>18057</v>
      </c>
      <c r="B2014" s="91">
        <v>44995.838749999995</v>
      </c>
      <c r="C2014" s="28" t="s">
        <v>10</v>
      </c>
      <c r="D2014" s="28" t="s">
        <v>914</v>
      </c>
      <c r="E2014" s="28"/>
      <c r="F2014" s="28">
        <v>0</v>
      </c>
      <c r="G2014" s="28" t="s">
        <v>121</v>
      </c>
      <c r="H2014" s="28">
        <v>0</v>
      </c>
      <c r="J2014" s="28"/>
    </row>
    <row r="2015" spans="1:10" ht="15.75" customHeight="1">
      <c r="A2015" s="28">
        <v>18056</v>
      </c>
      <c r="B2015" s="91">
        <v>44995.83520833333</v>
      </c>
      <c r="C2015" s="28" t="s">
        <v>10</v>
      </c>
      <c r="D2015" s="28" t="s">
        <v>915</v>
      </c>
      <c r="E2015" s="28"/>
      <c r="F2015" s="28">
        <v>55</v>
      </c>
      <c r="G2015" s="28">
        <v>101684</v>
      </c>
      <c r="H2015" s="28">
        <v>0</v>
      </c>
      <c r="J2015" s="28"/>
    </row>
    <row r="2016" spans="1:10" ht="15.75" customHeight="1">
      <c r="A2016" s="28">
        <v>18056</v>
      </c>
      <c r="B2016" s="91">
        <v>44995.83520833333</v>
      </c>
      <c r="C2016" s="28" t="s">
        <v>10</v>
      </c>
      <c r="D2016" s="28" t="s">
        <v>915</v>
      </c>
      <c r="E2016" s="28"/>
      <c r="F2016" s="28">
        <v>0</v>
      </c>
      <c r="G2016" s="28" t="s">
        <v>118</v>
      </c>
      <c r="H2016" s="28">
        <v>0</v>
      </c>
      <c r="J2016" s="28"/>
    </row>
    <row r="2017" spans="1:10" ht="15.75" customHeight="1">
      <c r="A2017" s="28">
        <v>18056</v>
      </c>
      <c r="B2017" s="91">
        <v>44995.83520833333</v>
      </c>
      <c r="C2017" s="28" t="s">
        <v>10</v>
      </c>
      <c r="D2017" s="28" t="s">
        <v>915</v>
      </c>
      <c r="E2017" s="28"/>
      <c r="F2017" s="28">
        <v>0</v>
      </c>
      <c r="G2017" s="28" t="s">
        <v>119</v>
      </c>
      <c r="H2017" s="28">
        <v>0</v>
      </c>
      <c r="J2017" s="28"/>
    </row>
    <row r="2018" spans="1:10" ht="15.75" customHeight="1">
      <c r="A2018" s="28">
        <v>18056</v>
      </c>
      <c r="B2018" s="91">
        <v>44995.83520833333</v>
      </c>
      <c r="C2018" s="28" t="s">
        <v>10</v>
      </c>
      <c r="D2018" s="28" t="s">
        <v>915</v>
      </c>
      <c r="E2018" s="28"/>
      <c r="F2018" s="28">
        <v>0</v>
      </c>
      <c r="G2018" s="28" t="s">
        <v>120</v>
      </c>
      <c r="H2018" s="28">
        <v>0</v>
      </c>
      <c r="J2018" s="28"/>
    </row>
    <row r="2019" spans="1:10" ht="15.75" customHeight="1">
      <c r="A2019" s="28">
        <v>18056</v>
      </c>
      <c r="B2019" s="91">
        <v>44995.83520833333</v>
      </c>
      <c r="C2019" s="28" t="s">
        <v>10</v>
      </c>
      <c r="D2019" s="28" t="s">
        <v>915</v>
      </c>
      <c r="E2019" s="28"/>
      <c r="F2019" s="28">
        <v>0</v>
      </c>
      <c r="G2019" s="28" t="s">
        <v>121</v>
      </c>
      <c r="H2019" s="28">
        <v>0</v>
      </c>
      <c r="J2019" s="28"/>
    </row>
    <row r="2020" spans="1:10" ht="15.75" customHeight="1">
      <c r="A2020" s="28">
        <v>18055</v>
      </c>
      <c r="B2020" s="91">
        <v>44995.143020833333</v>
      </c>
      <c r="C2020" s="28" t="s">
        <v>10</v>
      </c>
      <c r="D2020" s="28" t="s">
        <v>916</v>
      </c>
      <c r="E2020" s="28"/>
      <c r="F2020" s="28">
        <v>40</v>
      </c>
      <c r="G2020" s="28" t="s">
        <v>205</v>
      </c>
      <c r="H2020" s="28">
        <v>0</v>
      </c>
      <c r="J2020" s="28"/>
    </row>
    <row r="2021" spans="1:10" ht="15.75" customHeight="1">
      <c r="A2021" s="28">
        <v>18055</v>
      </c>
      <c r="B2021" s="91">
        <v>44995.143020833333</v>
      </c>
      <c r="C2021" s="28" t="s">
        <v>10</v>
      </c>
      <c r="D2021" s="28" t="s">
        <v>916</v>
      </c>
      <c r="E2021" s="28"/>
      <c r="F2021" s="28">
        <v>0</v>
      </c>
      <c r="G2021" s="28" t="s">
        <v>125</v>
      </c>
      <c r="H2021" s="28">
        <v>0</v>
      </c>
      <c r="J2021" s="28"/>
    </row>
    <row r="2022" spans="1:10" ht="15.75" customHeight="1">
      <c r="A2022" s="28">
        <v>18054</v>
      </c>
      <c r="B2022" s="91">
        <v>44995.115949074076</v>
      </c>
      <c r="C2022" s="28" t="s">
        <v>10</v>
      </c>
      <c r="D2022" s="28" t="s">
        <v>917</v>
      </c>
      <c r="E2022" s="28"/>
      <c r="F2022" s="28">
        <v>28</v>
      </c>
      <c r="G2022" s="28" t="s">
        <v>143</v>
      </c>
      <c r="H2022" s="28">
        <v>0</v>
      </c>
      <c r="J2022" s="28"/>
    </row>
    <row r="2023" spans="1:10" ht="15.75" customHeight="1">
      <c r="A2023" s="28">
        <v>18054</v>
      </c>
      <c r="B2023" s="91">
        <v>44995.115949074076</v>
      </c>
      <c r="C2023" s="28" t="s">
        <v>10</v>
      </c>
      <c r="D2023" s="28" t="s">
        <v>917</v>
      </c>
      <c r="E2023" s="28"/>
      <c r="F2023" s="28">
        <v>15</v>
      </c>
      <c r="G2023" s="28"/>
      <c r="H2023" s="28">
        <v>0</v>
      </c>
      <c r="J2023" s="28"/>
    </row>
    <row r="2024" spans="1:10" ht="15.75" customHeight="1">
      <c r="A2024" s="28">
        <v>18053</v>
      </c>
      <c r="B2024" s="91">
        <v>44994.750856481478</v>
      </c>
      <c r="C2024" s="28" t="s">
        <v>10</v>
      </c>
      <c r="D2024" s="28" t="s">
        <v>918</v>
      </c>
      <c r="E2024" s="28"/>
      <c r="F2024" s="28">
        <v>25</v>
      </c>
      <c r="G2024" s="28" t="s">
        <v>141</v>
      </c>
      <c r="H2024" s="28">
        <v>0</v>
      </c>
      <c r="J2024" s="28"/>
    </row>
    <row r="2025" spans="1:10" ht="15.75" customHeight="1">
      <c r="A2025" s="28">
        <v>18053</v>
      </c>
      <c r="B2025" s="91">
        <v>44994.750856481478</v>
      </c>
      <c r="C2025" s="28" t="s">
        <v>10</v>
      </c>
      <c r="D2025" s="28" t="s">
        <v>918</v>
      </c>
      <c r="E2025" s="28"/>
      <c r="F2025" s="28">
        <v>0</v>
      </c>
      <c r="G2025" s="28" t="s">
        <v>139</v>
      </c>
      <c r="H2025" s="28">
        <v>0</v>
      </c>
      <c r="J2025" s="28"/>
    </row>
    <row r="2026" spans="1:10" ht="15.75" customHeight="1">
      <c r="A2026" s="28">
        <v>18052</v>
      </c>
      <c r="B2026" s="91">
        <v>44994.749027777776</v>
      </c>
      <c r="C2026" s="28" t="s">
        <v>10</v>
      </c>
      <c r="D2026" s="28" t="s">
        <v>919</v>
      </c>
      <c r="E2026" s="28"/>
      <c r="F2026" s="28">
        <v>25</v>
      </c>
      <c r="G2026" s="28" t="s">
        <v>141</v>
      </c>
      <c r="H2026" s="28">
        <v>0</v>
      </c>
      <c r="J2026" s="28"/>
    </row>
    <row r="2027" spans="1:10" ht="15.75" customHeight="1">
      <c r="A2027" s="28">
        <v>18052</v>
      </c>
      <c r="B2027" s="91">
        <v>44994.749027777776</v>
      </c>
      <c r="C2027" s="28" t="s">
        <v>10</v>
      </c>
      <c r="D2027" s="28" t="s">
        <v>919</v>
      </c>
      <c r="E2027" s="28"/>
      <c r="F2027" s="28">
        <v>0</v>
      </c>
      <c r="G2027" s="28" t="s">
        <v>139</v>
      </c>
      <c r="H2027" s="28">
        <v>0</v>
      </c>
      <c r="J2027" s="28"/>
    </row>
    <row r="2028" spans="1:10" ht="15.75" customHeight="1">
      <c r="A2028" s="28">
        <v>18047</v>
      </c>
      <c r="B2028" s="91">
        <v>44993.984722222223</v>
      </c>
      <c r="C2028" s="28" t="s">
        <v>10</v>
      </c>
      <c r="D2028" s="28" t="s">
        <v>920</v>
      </c>
      <c r="E2028" s="28"/>
      <c r="F2028" s="28">
        <v>50</v>
      </c>
      <c r="G2028" s="28">
        <v>100692</v>
      </c>
      <c r="H2028" s="28">
        <v>0</v>
      </c>
      <c r="J2028" s="28"/>
    </row>
    <row r="2029" spans="1:10" ht="15.75" customHeight="1">
      <c r="A2029" s="28">
        <v>18047</v>
      </c>
      <c r="B2029" s="91">
        <v>44993.984722222223</v>
      </c>
      <c r="C2029" s="28" t="s">
        <v>10</v>
      </c>
      <c r="D2029" s="28" t="s">
        <v>920</v>
      </c>
      <c r="E2029" s="28"/>
      <c r="F2029" s="28">
        <v>0</v>
      </c>
      <c r="G2029" s="28" t="s">
        <v>125</v>
      </c>
      <c r="H2029" s="28">
        <v>0</v>
      </c>
      <c r="J2029" s="28"/>
    </row>
    <row r="2030" spans="1:10" ht="15.75" customHeight="1">
      <c r="A2030" s="28">
        <v>18047</v>
      </c>
      <c r="B2030" s="91">
        <v>44993.984722222223</v>
      </c>
      <c r="C2030" s="28" t="s">
        <v>10</v>
      </c>
      <c r="D2030" s="28" t="s">
        <v>920</v>
      </c>
      <c r="E2030" s="28"/>
      <c r="F2030" s="28">
        <v>0</v>
      </c>
      <c r="G2030" s="28" t="s">
        <v>119</v>
      </c>
      <c r="H2030" s="28">
        <v>0</v>
      </c>
      <c r="J2030" s="28"/>
    </row>
    <row r="2031" spans="1:10" ht="15.75" customHeight="1">
      <c r="A2031" s="28">
        <v>18043</v>
      </c>
      <c r="B2031" s="91">
        <v>44993.613391203704</v>
      </c>
      <c r="C2031" s="28" t="s">
        <v>10</v>
      </c>
      <c r="D2031" s="28" t="s">
        <v>921</v>
      </c>
      <c r="E2031" s="28"/>
      <c r="F2031" s="28">
        <v>15</v>
      </c>
      <c r="G2031" s="28"/>
      <c r="H2031" s="28">
        <v>0</v>
      </c>
      <c r="J2031" s="28"/>
    </row>
    <row r="2032" spans="1:10" ht="15.75" customHeight="1">
      <c r="A2032" s="28">
        <v>18042</v>
      </c>
      <c r="B2032" s="91">
        <v>44993.612071759257</v>
      </c>
      <c r="C2032" s="28" t="s">
        <v>10</v>
      </c>
      <c r="D2032" s="28" t="s">
        <v>921</v>
      </c>
      <c r="E2032" s="28"/>
      <c r="F2032" s="28">
        <v>35</v>
      </c>
      <c r="G2032" s="28" t="s">
        <v>124</v>
      </c>
      <c r="H2032" s="28">
        <v>0</v>
      </c>
      <c r="J2032" s="28"/>
    </row>
    <row r="2033" spans="1:10" ht="15.75" customHeight="1">
      <c r="A2033" s="28">
        <v>18042</v>
      </c>
      <c r="B2033" s="91">
        <v>44993.612071759257</v>
      </c>
      <c r="C2033" s="28" t="s">
        <v>10</v>
      </c>
      <c r="D2033" s="28" t="s">
        <v>921</v>
      </c>
      <c r="E2033" s="28"/>
      <c r="F2033" s="28">
        <v>0</v>
      </c>
      <c r="G2033" s="28" t="s">
        <v>125</v>
      </c>
      <c r="H2033" s="28">
        <v>0</v>
      </c>
      <c r="J2033" s="28"/>
    </row>
    <row r="2034" spans="1:10" ht="15.75" customHeight="1">
      <c r="A2034" s="28">
        <v>18042</v>
      </c>
      <c r="B2034" s="91">
        <v>44993.612071759257</v>
      </c>
      <c r="C2034" s="28" t="s">
        <v>10</v>
      </c>
      <c r="D2034" s="28" t="s">
        <v>921</v>
      </c>
      <c r="E2034" s="28"/>
      <c r="F2034" s="28">
        <v>0</v>
      </c>
      <c r="G2034" s="28" t="s">
        <v>119</v>
      </c>
      <c r="H2034" s="28">
        <v>0</v>
      </c>
      <c r="J2034" s="28"/>
    </row>
    <row r="2035" spans="1:10" ht="15.75" customHeight="1">
      <c r="A2035" s="28">
        <v>18042</v>
      </c>
      <c r="B2035" s="91">
        <v>44993.612071759257</v>
      </c>
      <c r="C2035" s="28" t="s">
        <v>10</v>
      </c>
      <c r="D2035" s="28" t="s">
        <v>921</v>
      </c>
      <c r="E2035" s="28"/>
      <c r="F2035" s="28">
        <v>0</v>
      </c>
      <c r="G2035" s="28" t="s">
        <v>121</v>
      </c>
      <c r="H2035" s="28">
        <v>0</v>
      </c>
      <c r="J2035" s="28"/>
    </row>
    <row r="2036" spans="1:10" ht="15.75" customHeight="1">
      <c r="A2036" s="28">
        <v>18041</v>
      </c>
      <c r="B2036" s="91">
        <v>44993.082245370373</v>
      </c>
      <c r="C2036" s="28" t="s">
        <v>10</v>
      </c>
      <c r="D2036" s="28" t="s">
        <v>754</v>
      </c>
      <c r="E2036" s="28"/>
      <c r="F2036" s="28">
        <v>15</v>
      </c>
      <c r="G2036" s="28" t="s">
        <v>170</v>
      </c>
      <c r="H2036" s="28">
        <v>0</v>
      </c>
      <c r="J2036" s="28"/>
    </row>
    <row r="2037" spans="1:10" ht="15.75" customHeight="1">
      <c r="A2037" s="28">
        <v>18041</v>
      </c>
      <c r="B2037" s="91">
        <v>44993.082245370373</v>
      </c>
      <c r="C2037" s="28" t="s">
        <v>10</v>
      </c>
      <c r="D2037" s="28" t="s">
        <v>754</v>
      </c>
      <c r="E2037" s="28"/>
      <c r="F2037" s="28">
        <v>28</v>
      </c>
      <c r="G2037" s="28" t="s">
        <v>143</v>
      </c>
      <c r="H2037" s="28">
        <v>0</v>
      </c>
      <c r="J2037" s="28"/>
    </row>
    <row r="2038" spans="1:10" ht="15.75" customHeight="1">
      <c r="A2038" s="28">
        <v>18041</v>
      </c>
      <c r="B2038" s="91">
        <v>44993.082245370373</v>
      </c>
      <c r="C2038" s="28" t="s">
        <v>10</v>
      </c>
      <c r="D2038" s="28" t="s">
        <v>754</v>
      </c>
      <c r="E2038" s="28"/>
      <c r="F2038" s="28">
        <v>25</v>
      </c>
      <c r="G2038" s="28" t="s">
        <v>120</v>
      </c>
      <c r="H2038" s="28">
        <v>0</v>
      </c>
      <c r="J2038" s="28"/>
    </row>
    <row r="2039" spans="1:10" ht="15.75" customHeight="1">
      <c r="A2039" s="28">
        <v>18041</v>
      </c>
      <c r="B2039" s="91">
        <v>44993.082245370373</v>
      </c>
      <c r="C2039" s="28" t="s">
        <v>10</v>
      </c>
      <c r="D2039" s="28" t="s">
        <v>754</v>
      </c>
      <c r="E2039" s="28"/>
      <c r="F2039" s="28">
        <v>18</v>
      </c>
      <c r="G2039" s="28" t="s">
        <v>119</v>
      </c>
      <c r="H2039" s="28">
        <v>0</v>
      </c>
      <c r="J2039" s="28"/>
    </row>
    <row r="2040" spans="1:10" ht="15.75" customHeight="1">
      <c r="A2040" s="28">
        <v>18040</v>
      </c>
      <c r="B2040" s="91">
        <v>44992.813275462962</v>
      </c>
      <c r="C2040" s="28" t="s">
        <v>10</v>
      </c>
      <c r="D2040" s="28" t="s">
        <v>922</v>
      </c>
      <c r="E2040" s="28"/>
      <c r="F2040" s="28">
        <v>40</v>
      </c>
      <c r="G2040" s="28" t="s">
        <v>205</v>
      </c>
      <c r="H2040" s="28">
        <v>0</v>
      </c>
      <c r="J2040" s="28"/>
    </row>
    <row r="2041" spans="1:10" ht="15.75" customHeight="1">
      <c r="A2041" s="28">
        <v>18040</v>
      </c>
      <c r="B2041" s="91">
        <v>44992.813275462962</v>
      </c>
      <c r="C2041" s="28" t="s">
        <v>10</v>
      </c>
      <c r="D2041" s="28" t="s">
        <v>922</v>
      </c>
      <c r="E2041" s="28"/>
      <c r="F2041" s="28">
        <v>0</v>
      </c>
      <c r="G2041" s="28" t="s">
        <v>125</v>
      </c>
      <c r="H2041" s="28">
        <v>0</v>
      </c>
      <c r="J2041" s="28"/>
    </row>
    <row r="2042" spans="1:10" ht="15.75" customHeight="1">
      <c r="A2042" s="28">
        <v>18039</v>
      </c>
      <c r="B2042" s="91">
        <v>44992.786111111112</v>
      </c>
      <c r="C2042" s="28" t="s">
        <v>10</v>
      </c>
      <c r="D2042" s="28" t="s">
        <v>923</v>
      </c>
      <c r="E2042" s="28"/>
      <c r="F2042" s="28">
        <v>15</v>
      </c>
      <c r="G2042" s="28"/>
      <c r="H2042" s="28">
        <v>0</v>
      </c>
      <c r="J2042" s="28"/>
    </row>
    <row r="2043" spans="1:10" ht="15.75" customHeight="1">
      <c r="A2043" s="28">
        <v>18038</v>
      </c>
      <c r="B2043" s="91">
        <v>44991.971030092594</v>
      </c>
      <c r="C2043" s="28" t="s">
        <v>10</v>
      </c>
      <c r="D2043" s="28" t="s">
        <v>924</v>
      </c>
      <c r="E2043" s="28"/>
      <c r="F2043" s="28">
        <v>25</v>
      </c>
      <c r="G2043" s="28">
        <v>100692</v>
      </c>
      <c r="H2043" s="28">
        <v>0</v>
      </c>
      <c r="J2043" s="28"/>
    </row>
    <row r="2044" spans="1:10" ht="15.75" customHeight="1">
      <c r="A2044" s="28">
        <v>18038</v>
      </c>
      <c r="B2044" s="91">
        <v>44991.971030092594</v>
      </c>
      <c r="C2044" s="28" t="s">
        <v>10</v>
      </c>
      <c r="D2044" s="28" t="s">
        <v>924</v>
      </c>
      <c r="E2044" s="28"/>
      <c r="F2044" s="28">
        <v>0</v>
      </c>
      <c r="G2044" s="28" t="s">
        <v>125</v>
      </c>
      <c r="H2044" s="28">
        <v>0</v>
      </c>
      <c r="J2044" s="28"/>
    </row>
    <row r="2045" spans="1:10" ht="15.75" customHeight="1">
      <c r="A2045" s="28">
        <v>18038</v>
      </c>
      <c r="B2045" s="91">
        <v>44991.971030092594</v>
      </c>
      <c r="C2045" s="28" t="s">
        <v>10</v>
      </c>
      <c r="D2045" s="28" t="s">
        <v>924</v>
      </c>
      <c r="E2045" s="28"/>
      <c r="F2045" s="28">
        <v>0</v>
      </c>
      <c r="G2045" s="28" t="s">
        <v>119</v>
      </c>
      <c r="H2045" s="28">
        <v>0</v>
      </c>
      <c r="J2045" s="28"/>
    </row>
    <row r="2046" spans="1:10" ht="15.75" customHeight="1">
      <c r="A2046" s="28">
        <v>18037</v>
      </c>
      <c r="B2046" s="91">
        <v>44991.893506944441</v>
      </c>
      <c r="C2046" s="28" t="s">
        <v>10</v>
      </c>
      <c r="D2046" s="28" t="s">
        <v>925</v>
      </c>
      <c r="E2046" s="28"/>
      <c r="F2046" s="28">
        <v>15</v>
      </c>
      <c r="G2046" s="28" t="s">
        <v>286</v>
      </c>
      <c r="H2046" s="28">
        <v>0</v>
      </c>
      <c r="J2046" s="28"/>
    </row>
    <row r="2047" spans="1:10" ht="15.75" customHeight="1">
      <c r="A2047" s="28">
        <v>18036</v>
      </c>
      <c r="B2047" s="91">
        <v>44991.626550925925</v>
      </c>
      <c r="C2047" s="28" t="s">
        <v>10</v>
      </c>
      <c r="D2047" s="28" t="s">
        <v>926</v>
      </c>
      <c r="E2047" s="28"/>
      <c r="F2047" s="28">
        <v>15</v>
      </c>
      <c r="G2047" s="28" t="s">
        <v>286</v>
      </c>
      <c r="H2047" s="28">
        <v>0</v>
      </c>
      <c r="J2047" s="28"/>
    </row>
    <row r="2048" spans="1:10" ht="15.75" customHeight="1">
      <c r="A2048" s="28">
        <v>18035</v>
      </c>
      <c r="B2048" s="91">
        <v>44991.538090277776</v>
      </c>
      <c r="C2048" s="28" t="s">
        <v>10</v>
      </c>
      <c r="D2048" s="28" t="s">
        <v>927</v>
      </c>
      <c r="E2048" s="28"/>
      <c r="F2048" s="28">
        <v>15</v>
      </c>
      <c r="G2048" s="28"/>
      <c r="H2048" s="28">
        <v>0</v>
      </c>
      <c r="J2048" s="28"/>
    </row>
    <row r="2049" spans="1:10" ht="15.75" customHeight="1">
      <c r="A2049" s="28">
        <v>18034</v>
      </c>
      <c r="B2049" s="91">
        <v>44991.535983796297</v>
      </c>
      <c r="C2049" s="28" t="s">
        <v>10</v>
      </c>
      <c r="D2049" s="28" t="s">
        <v>928</v>
      </c>
      <c r="E2049" s="28"/>
      <c r="F2049" s="28">
        <v>15</v>
      </c>
      <c r="G2049" s="28"/>
      <c r="H2049" s="28">
        <v>0</v>
      </c>
      <c r="J2049" s="28"/>
    </row>
    <row r="2050" spans="1:10" ht="15.75" customHeight="1">
      <c r="A2050" s="28">
        <v>18034</v>
      </c>
      <c r="B2050" s="91">
        <v>44991.535983796297</v>
      </c>
      <c r="C2050" s="28" t="s">
        <v>10</v>
      </c>
      <c r="D2050" s="28" t="s">
        <v>928</v>
      </c>
      <c r="E2050" s="28"/>
      <c r="F2050" s="28">
        <v>20</v>
      </c>
      <c r="G2050" s="28" t="s">
        <v>205</v>
      </c>
      <c r="H2050" s="28">
        <v>0</v>
      </c>
      <c r="J2050" s="28"/>
    </row>
    <row r="2051" spans="1:10" ht="15.75" customHeight="1">
      <c r="A2051" s="28">
        <v>18034</v>
      </c>
      <c r="B2051" s="91">
        <v>44991.535983796297</v>
      </c>
      <c r="C2051" s="28" t="s">
        <v>10</v>
      </c>
      <c r="D2051" s="28" t="s">
        <v>928</v>
      </c>
      <c r="E2051" s="28"/>
      <c r="F2051" s="28">
        <v>0</v>
      </c>
      <c r="G2051" s="28" t="s">
        <v>125</v>
      </c>
      <c r="H2051" s="28">
        <v>0</v>
      </c>
      <c r="J2051" s="28"/>
    </row>
    <row r="2052" spans="1:10" ht="15.75" customHeight="1">
      <c r="A2052" s="28">
        <v>18033</v>
      </c>
      <c r="B2052" s="91">
        <v>44991.128969907411</v>
      </c>
      <c r="C2052" s="28" t="s">
        <v>10</v>
      </c>
      <c r="D2052" s="28" t="s">
        <v>929</v>
      </c>
      <c r="E2052" s="28"/>
      <c r="F2052" s="28">
        <v>18</v>
      </c>
      <c r="G2052" s="28" t="s">
        <v>457</v>
      </c>
      <c r="H2052" s="28">
        <v>0</v>
      </c>
      <c r="J2052" s="28"/>
    </row>
    <row r="2053" spans="1:10" ht="15.75" customHeight="1">
      <c r="A2053" s="28">
        <v>18032</v>
      </c>
      <c r="B2053" s="91">
        <v>44991.078645833331</v>
      </c>
      <c r="C2053" s="28" t="s">
        <v>10</v>
      </c>
      <c r="D2053" s="28" t="s">
        <v>930</v>
      </c>
      <c r="E2053" s="28"/>
      <c r="F2053" s="28">
        <v>18</v>
      </c>
      <c r="G2053" s="28" t="s">
        <v>119</v>
      </c>
      <c r="H2053" s="28">
        <v>0</v>
      </c>
      <c r="J2053" s="28"/>
    </row>
    <row r="2054" spans="1:10" ht="15.75" customHeight="1">
      <c r="A2054" s="28">
        <v>18032</v>
      </c>
      <c r="B2054" s="91">
        <v>44991.078645833331</v>
      </c>
      <c r="C2054" s="28" t="s">
        <v>10</v>
      </c>
      <c r="D2054" s="28" t="s">
        <v>930</v>
      </c>
      <c r="E2054" s="28"/>
      <c r="F2054" s="28">
        <v>15</v>
      </c>
      <c r="G2054" s="28"/>
      <c r="H2054" s="28">
        <v>0</v>
      </c>
      <c r="J2054" s="28"/>
    </row>
    <row r="2055" spans="1:10" ht="15.75" customHeight="1">
      <c r="A2055" s="28">
        <v>18031</v>
      </c>
      <c r="B2055" s="91">
        <v>44989.838796296295</v>
      </c>
      <c r="C2055" s="28" t="s">
        <v>10</v>
      </c>
      <c r="D2055" s="28" t="s">
        <v>931</v>
      </c>
      <c r="E2055" s="28"/>
      <c r="F2055" s="28">
        <v>15</v>
      </c>
      <c r="G2055" s="28"/>
      <c r="H2055" s="28">
        <v>0</v>
      </c>
      <c r="J2055" s="28"/>
    </row>
    <row r="2056" spans="1:10" ht="15.75" customHeight="1">
      <c r="A2056" s="28">
        <v>18030</v>
      </c>
      <c r="B2056" s="91">
        <v>44989.093275462961</v>
      </c>
      <c r="C2056" s="28" t="s">
        <v>10</v>
      </c>
      <c r="D2056" s="28" t="s">
        <v>932</v>
      </c>
      <c r="E2056" s="28"/>
      <c r="F2056" s="28">
        <v>30</v>
      </c>
      <c r="G2056" s="28" t="s">
        <v>128</v>
      </c>
      <c r="H2056" s="28">
        <v>0</v>
      </c>
      <c r="J2056" s="28"/>
    </row>
    <row r="2057" spans="1:10" ht="15.75" customHeight="1">
      <c r="A2057" s="28">
        <v>18030</v>
      </c>
      <c r="B2057" s="91">
        <v>44989.093275462961</v>
      </c>
      <c r="C2057" s="28" t="s">
        <v>10</v>
      </c>
      <c r="D2057" s="28" t="s">
        <v>932</v>
      </c>
      <c r="E2057" s="28"/>
      <c r="F2057" s="28">
        <v>0</v>
      </c>
      <c r="G2057" s="28" t="s">
        <v>125</v>
      </c>
      <c r="H2057" s="28">
        <v>0</v>
      </c>
      <c r="J2057" s="28"/>
    </row>
    <row r="2058" spans="1:10" ht="15.75" customHeight="1">
      <c r="A2058" s="28">
        <v>18030</v>
      </c>
      <c r="B2058" s="91">
        <v>44989.093275462961</v>
      </c>
      <c r="C2058" s="28" t="s">
        <v>10</v>
      </c>
      <c r="D2058" s="28" t="s">
        <v>932</v>
      </c>
      <c r="E2058" s="28"/>
      <c r="F2058" s="28">
        <v>0</v>
      </c>
      <c r="G2058" s="28" t="s">
        <v>119</v>
      </c>
      <c r="H2058" s="28">
        <v>0</v>
      </c>
      <c r="J2058" s="28"/>
    </row>
    <row r="2059" spans="1:10" ht="15.75" customHeight="1">
      <c r="A2059" s="28">
        <v>18030</v>
      </c>
      <c r="B2059" s="91">
        <v>44989.093275462961</v>
      </c>
      <c r="C2059" s="28" t="s">
        <v>10</v>
      </c>
      <c r="D2059" s="28" t="s">
        <v>932</v>
      </c>
      <c r="E2059" s="28"/>
      <c r="F2059" s="28">
        <v>10</v>
      </c>
      <c r="G2059" s="28" t="s">
        <v>334</v>
      </c>
      <c r="H2059" s="28">
        <v>0</v>
      </c>
      <c r="J2059" s="28"/>
    </row>
    <row r="2060" spans="1:10" ht="15.75" customHeight="1">
      <c r="A2060" s="28">
        <v>18030</v>
      </c>
      <c r="B2060" s="91">
        <v>44989.093275462961</v>
      </c>
      <c r="C2060" s="28" t="s">
        <v>10</v>
      </c>
      <c r="D2060" s="28" t="s">
        <v>932</v>
      </c>
      <c r="E2060" s="28"/>
      <c r="F2060" s="28">
        <v>25</v>
      </c>
      <c r="G2060" s="28">
        <v>100692</v>
      </c>
      <c r="H2060" s="28">
        <v>0</v>
      </c>
      <c r="J2060" s="28"/>
    </row>
    <row r="2061" spans="1:10" ht="15.75" customHeight="1">
      <c r="A2061" s="28">
        <v>18030</v>
      </c>
      <c r="B2061" s="91">
        <v>44989.093275462961</v>
      </c>
      <c r="C2061" s="28" t="s">
        <v>10</v>
      </c>
      <c r="D2061" s="28" t="s">
        <v>932</v>
      </c>
      <c r="E2061" s="28"/>
      <c r="F2061" s="28">
        <v>0</v>
      </c>
      <c r="G2061" s="28" t="s">
        <v>125</v>
      </c>
      <c r="H2061" s="28">
        <v>0</v>
      </c>
      <c r="J2061" s="28"/>
    </row>
    <row r="2062" spans="1:10" ht="15.75" customHeight="1">
      <c r="A2062" s="28">
        <v>18030</v>
      </c>
      <c r="B2062" s="91">
        <v>44989.093275462961</v>
      </c>
      <c r="C2062" s="28" t="s">
        <v>10</v>
      </c>
      <c r="D2062" s="28" t="s">
        <v>932</v>
      </c>
      <c r="E2062" s="28"/>
      <c r="F2062" s="28">
        <v>0</v>
      </c>
      <c r="G2062" s="28" t="s">
        <v>119</v>
      </c>
      <c r="H2062" s="28">
        <v>0</v>
      </c>
      <c r="J2062" s="28"/>
    </row>
    <row r="2063" spans="1:10" ht="15.75" customHeight="1">
      <c r="A2063" s="28">
        <v>18030</v>
      </c>
      <c r="B2063" s="91">
        <v>44989.093275462961</v>
      </c>
      <c r="C2063" s="28" t="s">
        <v>10</v>
      </c>
      <c r="D2063" s="28" t="s">
        <v>932</v>
      </c>
      <c r="E2063" s="28"/>
      <c r="F2063" s="28">
        <v>15</v>
      </c>
      <c r="G2063" s="28" t="s">
        <v>286</v>
      </c>
      <c r="H2063" s="28">
        <v>0</v>
      </c>
      <c r="J2063" s="28"/>
    </row>
    <row r="2064" spans="1:10" ht="15.75" customHeight="1">
      <c r="A2064" s="28">
        <v>18029</v>
      </c>
      <c r="B2064" s="91">
        <v>44988.705601851849</v>
      </c>
      <c r="C2064" s="28" t="s">
        <v>10</v>
      </c>
      <c r="D2064" s="28" t="s">
        <v>248</v>
      </c>
      <c r="E2064" s="28"/>
      <c r="F2064" s="28">
        <v>18</v>
      </c>
      <c r="G2064" s="28" t="s">
        <v>119</v>
      </c>
      <c r="H2064" s="28">
        <v>0</v>
      </c>
      <c r="J2064" s="28"/>
    </row>
    <row r="2065" spans="1:10" ht="15.75" customHeight="1">
      <c r="A2065" s="28">
        <v>18029</v>
      </c>
      <c r="B2065" s="91">
        <v>44988.705601851849</v>
      </c>
      <c r="C2065" s="28" t="s">
        <v>10</v>
      </c>
      <c r="D2065" s="28" t="s">
        <v>248</v>
      </c>
      <c r="E2065" s="28"/>
      <c r="F2065" s="28">
        <v>24</v>
      </c>
      <c r="G2065" s="28" t="s">
        <v>122</v>
      </c>
      <c r="H2065" s="28">
        <v>0</v>
      </c>
      <c r="J2065" s="28"/>
    </row>
    <row r="2066" spans="1:10" ht="15.75" customHeight="1">
      <c r="A2066" s="28">
        <v>18025</v>
      </c>
      <c r="B2066" s="91">
        <v>44986.687152777777</v>
      </c>
      <c r="C2066" s="28" t="s">
        <v>10</v>
      </c>
      <c r="D2066" s="28" t="s">
        <v>933</v>
      </c>
      <c r="E2066" s="28"/>
      <c r="F2066" s="28">
        <v>30</v>
      </c>
      <c r="G2066" s="28" t="s">
        <v>128</v>
      </c>
      <c r="H2066" s="28">
        <v>0</v>
      </c>
      <c r="J2066" s="28"/>
    </row>
    <row r="2067" spans="1:10" ht="15.75" customHeight="1">
      <c r="A2067" s="28">
        <v>18025</v>
      </c>
      <c r="B2067" s="91">
        <v>44986.687152777777</v>
      </c>
      <c r="C2067" s="28" t="s">
        <v>10</v>
      </c>
      <c r="D2067" s="28" t="s">
        <v>933</v>
      </c>
      <c r="E2067" s="28"/>
      <c r="F2067" s="28">
        <v>0</v>
      </c>
      <c r="G2067" s="28" t="s">
        <v>125</v>
      </c>
      <c r="H2067" s="28">
        <v>0</v>
      </c>
      <c r="J2067" s="28"/>
    </row>
    <row r="2068" spans="1:10" ht="15.75" customHeight="1">
      <c r="A2068" s="28">
        <v>18025</v>
      </c>
      <c r="B2068" s="91">
        <v>44986.687152777777</v>
      </c>
      <c r="C2068" s="28" t="s">
        <v>10</v>
      </c>
      <c r="D2068" s="28" t="s">
        <v>933</v>
      </c>
      <c r="E2068" s="28"/>
      <c r="F2068" s="28">
        <v>0</v>
      </c>
      <c r="G2068" s="28" t="s">
        <v>119</v>
      </c>
      <c r="H2068" s="28">
        <v>0</v>
      </c>
      <c r="J2068" s="28"/>
    </row>
    <row r="2069" spans="1:10" ht="15.75" customHeight="1">
      <c r="A2069" s="28">
        <v>18012</v>
      </c>
      <c r="B2069" s="91">
        <v>44985.958020833335</v>
      </c>
      <c r="C2069" s="28" t="s">
        <v>10</v>
      </c>
      <c r="D2069" s="28" t="s">
        <v>682</v>
      </c>
      <c r="E2069" s="28"/>
      <c r="F2069" s="28">
        <v>0</v>
      </c>
      <c r="G2069" s="28" t="s">
        <v>139</v>
      </c>
      <c r="H2069" s="28">
        <v>0</v>
      </c>
      <c r="J2069" s="28"/>
    </row>
    <row r="2070" spans="1:10" ht="15.75" customHeight="1">
      <c r="A2070" s="28">
        <v>18012</v>
      </c>
      <c r="B2070" s="91">
        <v>44985.958020833335</v>
      </c>
      <c r="C2070" s="28" t="s">
        <v>10</v>
      </c>
      <c r="D2070" s="28" t="s">
        <v>682</v>
      </c>
      <c r="E2070" s="28"/>
      <c r="F2070" s="28">
        <v>15</v>
      </c>
      <c r="G2070" s="28" t="s">
        <v>125</v>
      </c>
      <c r="H2070" s="28">
        <v>0</v>
      </c>
      <c r="J2070" s="28"/>
    </row>
    <row r="2071" spans="1:10" ht="15.75" customHeight="1">
      <c r="A2071" s="28">
        <v>18012</v>
      </c>
      <c r="B2071" s="91">
        <v>44985.958020833335</v>
      </c>
      <c r="C2071" s="28" t="s">
        <v>10</v>
      </c>
      <c r="D2071" s="28" t="s">
        <v>682</v>
      </c>
      <c r="E2071" s="28"/>
      <c r="F2071" s="28">
        <v>18</v>
      </c>
      <c r="G2071" s="28" t="s">
        <v>119</v>
      </c>
      <c r="H2071" s="28">
        <v>0</v>
      </c>
      <c r="J2071" s="28"/>
    </row>
    <row r="2072" spans="1:10" ht="15.75" customHeight="1">
      <c r="A2072" s="28">
        <v>18011</v>
      </c>
      <c r="B2072" s="91">
        <v>44985.123668981483</v>
      </c>
      <c r="C2072" s="28" t="s">
        <v>10</v>
      </c>
      <c r="D2072" s="28" t="s">
        <v>934</v>
      </c>
      <c r="E2072" s="28"/>
      <c r="F2072" s="28">
        <v>0</v>
      </c>
      <c r="G2072" s="28" t="s">
        <v>139</v>
      </c>
      <c r="H2072" s="28">
        <v>0</v>
      </c>
      <c r="J2072" s="28"/>
    </row>
    <row r="2073" spans="1:10" ht="15.75" customHeight="1">
      <c r="A2073" s="28">
        <v>18011</v>
      </c>
      <c r="B2073" s="91">
        <v>44985.123668981483</v>
      </c>
      <c r="C2073" s="28" t="s">
        <v>10</v>
      </c>
      <c r="D2073" s="28" t="s">
        <v>934</v>
      </c>
      <c r="E2073" s="28"/>
      <c r="F2073" s="28">
        <v>15</v>
      </c>
      <c r="G2073" s="28" t="s">
        <v>286</v>
      </c>
      <c r="H2073" s="28">
        <v>0</v>
      </c>
      <c r="J2073" s="28"/>
    </row>
    <row r="2074" spans="1:10" ht="15.75" customHeight="1">
      <c r="A2074" s="28">
        <v>18010</v>
      </c>
      <c r="B2074" s="91">
        <v>44985.118229166663</v>
      </c>
      <c r="C2074" s="28" t="s">
        <v>10</v>
      </c>
      <c r="D2074" s="28" t="s">
        <v>431</v>
      </c>
      <c r="E2074" s="28"/>
      <c r="F2074" s="28">
        <v>0</v>
      </c>
      <c r="G2074" s="28" t="s">
        <v>139</v>
      </c>
      <c r="H2074" s="28">
        <v>0</v>
      </c>
      <c r="J2074" s="28"/>
    </row>
    <row r="2075" spans="1:10" ht="15.75" customHeight="1">
      <c r="A2075" s="28">
        <v>18010</v>
      </c>
      <c r="B2075" s="91">
        <v>44985.118229166663</v>
      </c>
      <c r="C2075" s="28" t="s">
        <v>10</v>
      </c>
      <c r="D2075" s="28" t="s">
        <v>431</v>
      </c>
      <c r="E2075" s="28"/>
      <c r="F2075" s="28">
        <v>15</v>
      </c>
      <c r="G2075" s="28" t="s">
        <v>286</v>
      </c>
      <c r="H2075" s="28">
        <v>0</v>
      </c>
      <c r="J2075" s="28"/>
    </row>
    <row r="2076" spans="1:10" ht="15.75" customHeight="1">
      <c r="A2076" s="28">
        <v>18009</v>
      </c>
      <c r="B2076" s="91">
        <v>44984.678379629629</v>
      </c>
      <c r="C2076" s="28" t="s">
        <v>10</v>
      </c>
      <c r="D2076" s="28" t="s">
        <v>935</v>
      </c>
      <c r="E2076" s="28"/>
      <c r="F2076" s="28">
        <v>15</v>
      </c>
      <c r="G2076" s="28" t="s">
        <v>896</v>
      </c>
      <c r="H2076" s="28">
        <v>0</v>
      </c>
      <c r="J2076" s="28"/>
    </row>
    <row r="2077" spans="1:10" ht="15.75" customHeight="1">
      <c r="A2077" s="28">
        <v>18008</v>
      </c>
      <c r="B2077" s="91">
        <v>44984.655706018515</v>
      </c>
      <c r="C2077" s="28" t="s">
        <v>10</v>
      </c>
      <c r="D2077" s="28" t="s">
        <v>936</v>
      </c>
      <c r="E2077" s="28"/>
      <c r="F2077" s="28">
        <v>35</v>
      </c>
      <c r="G2077" s="28" t="s">
        <v>124</v>
      </c>
      <c r="H2077" s="28">
        <v>0</v>
      </c>
      <c r="J2077" s="28"/>
    </row>
    <row r="2078" spans="1:10" ht="15.75" customHeight="1">
      <c r="A2078" s="28">
        <v>18008</v>
      </c>
      <c r="B2078" s="91">
        <v>44984.655706018515</v>
      </c>
      <c r="C2078" s="28" t="s">
        <v>10</v>
      </c>
      <c r="D2078" s="28" t="s">
        <v>936</v>
      </c>
      <c r="E2078" s="28"/>
      <c r="F2078" s="28">
        <v>0</v>
      </c>
      <c r="G2078" s="28" t="s">
        <v>125</v>
      </c>
      <c r="H2078" s="28">
        <v>0</v>
      </c>
      <c r="J2078" s="28"/>
    </row>
    <row r="2079" spans="1:10" ht="15.75" customHeight="1">
      <c r="A2079" s="28">
        <v>18008</v>
      </c>
      <c r="B2079" s="91">
        <v>44984.655706018515</v>
      </c>
      <c r="C2079" s="28" t="s">
        <v>10</v>
      </c>
      <c r="D2079" s="28" t="s">
        <v>936</v>
      </c>
      <c r="E2079" s="28"/>
      <c r="F2079" s="28">
        <v>0</v>
      </c>
      <c r="G2079" s="28" t="s">
        <v>119</v>
      </c>
      <c r="H2079" s="28">
        <v>0</v>
      </c>
      <c r="J2079" s="28"/>
    </row>
    <row r="2080" spans="1:10" ht="15.75" customHeight="1">
      <c r="A2080" s="28">
        <v>18008</v>
      </c>
      <c r="B2080" s="91">
        <v>44984.655706018515</v>
      </c>
      <c r="C2080" s="28" t="s">
        <v>10</v>
      </c>
      <c r="D2080" s="28" t="s">
        <v>936</v>
      </c>
      <c r="E2080" s="28"/>
      <c r="F2080" s="28">
        <v>0</v>
      </c>
      <c r="G2080" s="28" t="s">
        <v>121</v>
      </c>
      <c r="H2080" s="28">
        <v>0</v>
      </c>
      <c r="J2080" s="28"/>
    </row>
    <row r="2081" spans="1:10" ht="15.75" customHeight="1">
      <c r="A2081" s="28">
        <v>18007</v>
      </c>
      <c r="B2081" s="91">
        <v>44984.63762731482</v>
      </c>
      <c r="C2081" s="28" t="s">
        <v>10</v>
      </c>
      <c r="D2081" s="28" t="s">
        <v>937</v>
      </c>
      <c r="E2081" s="28"/>
      <c r="F2081" s="28">
        <v>25</v>
      </c>
      <c r="G2081" s="28" t="s">
        <v>141</v>
      </c>
      <c r="H2081" s="28">
        <v>0</v>
      </c>
      <c r="J2081" s="28"/>
    </row>
    <row r="2082" spans="1:10" ht="15.75" customHeight="1">
      <c r="A2082" s="28">
        <v>18006</v>
      </c>
      <c r="B2082" s="91">
        <v>44984.632314814815</v>
      </c>
      <c r="C2082" s="28" t="s">
        <v>10</v>
      </c>
      <c r="D2082" s="28" t="s">
        <v>938</v>
      </c>
      <c r="E2082" s="28"/>
      <c r="F2082" s="28">
        <v>25</v>
      </c>
      <c r="G2082" s="28" t="s">
        <v>141</v>
      </c>
      <c r="H2082" s="28">
        <v>0</v>
      </c>
      <c r="J2082" s="28"/>
    </row>
    <row r="2083" spans="1:10" ht="15.75" customHeight="1">
      <c r="A2083" s="28">
        <v>18005</v>
      </c>
      <c r="B2083" s="91">
        <v>44984.572430555556</v>
      </c>
      <c r="C2083" s="28" t="s">
        <v>10</v>
      </c>
      <c r="D2083" s="28" t="s">
        <v>933</v>
      </c>
      <c r="E2083" s="28"/>
      <c r="F2083" s="28">
        <v>30</v>
      </c>
      <c r="G2083" s="28" t="s">
        <v>128</v>
      </c>
      <c r="H2083" s="28">
        <v>0</v>
      </c>
      <c r="J2083" s="28"/>
    </row>
    <row r="2084" spans="1:10" ht="15.75" customHeight="1">
      <c r="A2084" s="28">
        <v>18005</v>
      </c>
      <c r="B2084" s="91">
        <v>44984.572430555556</v>
      </c>
      <c r="C2084" s="28" t="s">
        <v>10</v>
      </c>
      <c r="D2084" s="28" t="s">
        <v>933</v>
      </c>
      <c r="E2084" s="28"/>
      <c r="F2084" s="28">
        <v>0</v>
      </c>
      <c r="G2084" s="28" t="s">
        <v>125</v>
      </c>
      <c r="H2084" s="28">
        <v>0</v>
      </c>
      <c r="J2084" s="28"/>
    </row>
    <row r="2085" spans="1:10" ht="15.75" customHeight="1">
      <c r="A2085" s="28">
        <v>18005</v>
      </c>
      <c r="B2085" s="91">
        <v>44984.572430555556</v>
      </c>
      <c r="C2085" s="28" t="s">
        <v>10</v>
      </c>
      <c r="D2085" s="28" t="s">
        <v>933</v>
      </c>
      <c r="E2085" s="28"/>
      <c r="F2085" s="28">
        <v>0</v>
      </c>
      <c r="G2085" s="28" t="s">
        <v>119</v>
      </c>
      <c r="H2085" s="28">
        <v>0</v>
      </c>
      <c r="J2085" s="28"/>
    </row>
    <row r="2086" spans="1:10" ht="15.75" customHeight="1">
      <c r="A2086" s="28">
        <v>18004</v>
      </c>
      <c r="B2086" s="91">
        <v>44984.08798611111</v>
      </c>
      <c r="C2086" s="28" t="s">
        <v>10</v>
      </c>
      <c r="D2086" s="28" t="s">
        <v>749</v>
      </c>
      <c r="E2086" s="28"/>
      <c r="F2086" s="28">
        <v>15</v>
      </c>
      <c r="G2086" s="28"/>
      <c r="H2086" s="28">
        <v>0</v>
      </c>
      <c r="J2086" s="28"/>
    </row>
    <row r="2087" spans="1:10" ht="15.75" customHeight="1">
      <c r="A2087" s="28">
        <v>18003</v>
      </c>
      <c r="B2087" s="91">
        <v>44983.765925925924</v>
      </c>
      <c r="C2087" s="28" t="s">
        <v>10</v>
      </c>
      <c r="D2087" s="28" t="s">
        <v>939</v>
      </c>
      <c r="E2087" s="28"/>
      <c r="F2087" s="28">
        <v>15</v>
      </c>
      <c r="G2087" s="28"/>
      <c r="H2087" s="28">
        <v>0</v>
      </c>
      <c r="J2087" s="28"/>
    </row>
    <row r="2088" spans="1:10" ht="15.75" customHeight="1">
      <c r="A2088" s="28">
        <v>18001</v>
      </c>
      <c r="B2088" s="91">
        <v>44982.954409722224</v>
      </c>
      <c r="C2088" s="28" t="s">
        <v>10</v>
      </c>
      <c r="D2088" s="28" t="s">
        <v>653</v>
      </c>
      <c r="E2088" s="28"/>
      <c r="F2088" s="28">
        <v>28</v>
      </c>
      <c r="G2088" s="28" t="s">
        <v>143</v>
      </c>
      <c r="H2088" s="28">
        <v>0</v>
      </c>
      <c r="J2088" s="28"/>
    </row>
    <row r="2089" spans="1:10" ht="15.75" customHeight="1">
      <c r="A2089" s="28">
        <v>18001</v>
      </c>
      <c r="B2089" s="91">
        <v>44982.954409722224</v>
      </c>
      <c r="C2089" s="28" t="s">
        <v>10</v>
      </c>
      <c r="D2089" s="28" t="s">
        <v>653</v>
      </c>
      <c r="E2089" s="28"/>
      <c r="F2089" s="28">
        <v>0</v>
      </c>
      <c r="G2089" s="28" t="s">
        <v>139</v>
      </c>
      <c r="H2089" s="28">
        <v>0</v>
      </c>
      <c r="J2089" s="28"/>
    </row>
    <row r="2090" spans="1:10" ht="15.75" customHeight="1">
      <c r="A2090" s="28">
        <v>18000</v>
      </c>
      <c r="B2090" s="91">
        <v>44982.730150462958</v>
      </c>
      <c r="C2090" s="28" t="s">
        <v>10</v>
      </c>
      <c r="D2090" s="28" t="s">
        <v>940</v>
      </c>
      <c r="E2090" s="28"/>
      <c r="F2090" s="28">
        <v>30</v>
      </c>
      <c r="G2090" s="28" t="s">
        <v>128</v>
      </c>
      <c r="H2090" s="28">
        <v>0</v>
      </c>
      <c r="J2090" s="28"/>
    </row>
    <row r="2091" spans="1:10" ht="15.75" customHeight="1">
      <c r="A2091" s="28">
        <v>18000</v>
      </c>
      <c r="B2091" s="91">
        <v>44982.730150462958</v>
      </c>
      <c r="C2091" s="28" t="s">
        <v>10</v>
      </c>
      <c r="D2091" s="28" t="s">
        <v>940</v>
      </c>
      <c r="E2091" s="28"/>
      <c r="F2091" s="28">
        <v>0</v>
      </c>
      <c r="G2091" s="28" t="s">
        <v>125</v>
      </c>
      <c r="H2091" s="28">
        <v>0</v>
      </c>
      <c r="J2091" s="28"/>
    </row>
    <row r="2092" spans="1:10" ht="15.75" customHeight="1">
      <c r="A2092" s="28">
        <v>18000</v>
      </c>
      <c r="B2092" s="91">
        <v>44982.730150462958</v>
      </c>
      <c r="C2092" s="28" t="s">
        <v>10</v>
      </c>
      <c r="D2092" s="28" t="s">
        <v>940</v>
      </c>
      <c r="E2092" s="28"/>
      <c r="F2092" s="28">
        <v>0</v>
      </c>
      <c r="G2092" s="28" t="s">
        <v>119</v>
      </c>
      <c r="H2092" s="28">
        <v>0</v>
      </c>
      <c r="J2092" s="28"/>
    </row>
    <row r="2093" spans="1:10" ht="15.75" customHeight="1">
      <c r="A2093" s="28">
        <v>17998</v>
      </c>
      <c r="B2093" s="91">
        <v>44982.081041666665</v>
      </c>
      <c r="C2093" s="28" t="s">
        <v>10</v>
      </c>
      <c r="D2093" s="28" t="s">
        <v>400</v>
      </c>
      <c r="E2093" s="28"/>
      <c r="F2093" s="28">
        <v>25</v>
      </c>
      <c r="G2093" s="28">
        <v>100692</v>
      </c>
      <c r="H2093" s="28">
        <v>0</v>
      </c>
      <c r="J2093" s="28"/>
    </row>
    <row r="2094" spans="1:10" ht="15.75" customHeight="1">
      <c r="A2094" s="28">
        <v>17998</v>
      </c>
      <c r="B2094" s="91">
        <v>44982.081041666665</v>
      </c>
      <c r="C2094" s="28" t="s">
        <v>10</v>
      </c>
      <c r="D2094" s="28" t="s">
        <v>400</v>
      </c>
      <c r="E2094" s="28"/>
      <c r="F2094" s="28">
        <v>0</v>
      </c>
      <c r="G2094" s="28" t="s">
        <v>125</v>
      </c>
      <c r="H2094" s="28">
        <v>0</v>
      </c>
      <c r="J2094" s="28"/>
    </row>
    <row r="2095" spans="1:10" ht="15.75" customHeight="1">
      <c r="A2095" s="28">
        <v>17998</v>
      </c>
      <c r="B2095" s="91">
        <v>44982.081041666665</v>
      </c>
      <c r="C2095" s="28" t="s">
        <v>10</v>
      </c>
      <c r="D2095" s="28" t="s">
        <v>400</v>
      </c>
      <c r="E2095" s="28"/>
      <c r="F2095" s="28">
        <v>0</v>
      </c>
      <c r="G2095" s="28" t="s">
        <v>119</v>
      </c>
      <c r="H2095" s="28">
        <v>0</v>
      </c>
      <c r="J2095" s="28"/>
    </row>
    <row r="2096" spans="1:10" ht="15.75" customHeight="1">
      <c r="A2096" s="28">
        <v>17998</v>
      </c>
      <c r="B2096" s="91">
        <v>44982.081041666665</v>
      </c>
      <c r="C2096" s="28" t="s">
        <v>10</v>
      </c>
      <c r="D2096" s="28" t="s">
        <v>400</v>
      </c>
      <c r="E2096" s="28"/>
      <c r="F2096" s="28">
        <v>0</v>
      </c>
      <c r="G2096" s="28" t="s">
        <v>139</v>
      </c>
      <c r="H2096" s="28">
        <v>0</v>
      </c>
      <c r="J2096" s="28"/>
    </row>
    <row r="2097" spans="1:10" ht="15.75" customHeight="1">
      <c r="A2097" s="28">
        <v>17997</v>
      </c>
      <c r="B2097" s="91">
        <v>44981.906030092592</v>
      </c>
      <c r="C2097" s="28" t="s">
        <v>10</v>
      </c>
      <c r="D2097" s="28" t="s">
        <v>941</v>
      </c>
      <c r="E2097" s="28"/>
      <c r="F2097" s="28">
        <v>28</v>
      </c>
      <c r="G2097" s="28" t="s">
        <v>143</v>
      </c>
      <c r="H2097" s="28">
        <v>0</v>
      </c>
      <c r="J2097" s="28"/>
    </row>
    <row r="2098" spans="1:10" ht="15.75" customHeight="1">
      <c r="A2098" s="28">
        <v>17996</v>
      </c>
      <c r="B2098" s="91">
        <v>44980.137731481482</v>
      </c>
      <c r="C2098" s="28" t="s">
        <v>10</v>
      </c>
      <c r="D2098" s="28" t="s">
        <v>942</v>
      </c>
      <c r="E2098" s="28"/>
      <c r="F2098" s="28">
        <v>28</v>
      </c>
      <c r="G2098" s="28" t="s">
        <v>143</v>
      </c>
      <c r="H2098" s="28">
        <v>0</v>
      </c>
      <c r="J2098" s="28"/>
    </row>
    <row r="2099" spans="1:10" ht="15.75" customHeight="1">
      <c r="A2099" s="28">
        <v>17996</v>
      </c>
      <c r="B2099" s="91">
        <v>44980.137731481482</v>
      </c>
      <c r="C2099" s="28" t="s">
        <v>10</v>
      </c>
      <c r="D2099" s="28" t="s">
        <v>942</v>
      </c>
      <c r="E2099" s="28"/>
      <c r="F2099" s="28">
        <v>15</v>
      </c>
      <c r="G2099" s="28"/>
      <c r="H2099" s="28">
        <v>0</v>
      </c>
      <c r="J2099" s="28"/>
    </row>
    <row r="2100" spans="1:10" ht="15.75" customHeight="1">
      <c r="A2100" s="28">
        <v>17995</v>
      </c>
      <c r="B2100" s="91">
        <v>44979.806886574079</v>
      </c>
      <c r="C2100" s="28" t="s">
        <v>10</v>
      </c>
      <c r="D2100" s="28" t="s">
        <v>943</v>
      </c>
      <c r="E2100" s="28"/>
      <c r="F2100" s="28">
        <v>24</v>
      </c>
      <c r="G2100" s="28" t="s">
        <v>122</v>
      </c>
      <c r="H2100" s="28">
        <v>0</v>
      </c>
      <c r="J2100" s="28"/>
    </row>
    <row r="2101" spans="1:10" ht="15.75" customHeight="1">
      <c r="A2101" s="28">
        <v>17994</v>
      </c>
      <c r="B2101" s="91">
        <v>44979.629513888889</v>
      </c>
      <c r="C2101" s="28" t="s">
        <v>10</v>
      </c>
      <c r="D2101" s="28" t="s">
        <v>944</v>
      </c>
      <c r="E2101" s="28"/>
      <c r="F2101" s="28">
        <v>44</v>
      </c>
      <c r="G2101" s="28" t="s">
        <v>137</v>
      </c>
      <c r="H2101" s="28">
        <v>0</v>
      </c>
      <c r="J2101" s="28"/>
    </row>
    <row r="2102" spans="1:10" ht="15.75" customHeight="1">
      <c r="A2102" s="28">
        <v>17994</v>
      </c>
      <c r="B2102" s="91">
        <v>44979.629513888889</v>
      </c>
      <c r="C2102" s="28" t="s">
        <v>10</v>
      </c>
      <c r="D2102" s="28" t="s">
        <v>944</v>
      </c>
      <c r="E2102" s="28"/>
      <c r="F2102" s="28">
        <v>20</v>
      </c>
      <c r="G2102" s="28" t="s">
        <v>205</v>
      </c>
      <c r="H2102" s="28">
        <v>0</v>
      </c>
      <c r="J2102" s="28"/>
    </row>
    <row r="2103" spans="1:10" ht="15.75" customHeight="1">
      <c r="A2103" s="28">
        <v>17994</v>
      </c>
      <c r="B2103" s="91">
        <v>44979.629513888889</v>
      </c>
      <c r="C2103" s="28" t="s">
        <v>10</v>
      </c>
      <c r="D2103" s="28" t="s">
        <v>944</v>
      </c>
      <c r="E2103" s="28"/>
      <c r="F2103" s="28">
        <v>0</v>
      </c>
      <c r="G2103" s="28" t="s">
        <v>125</v>
      </c>
      <c r="H2103" s="28">
        <v>0</v>
      </c>
      <c r="J2103" s="28"/>
    </row>
    <row r="2104" spans="1:10" ht="15.75" customHeight="1">
      <c r="A2104" s="28">
        <v>17993</v>
      </c>
      <c r="B2104" s="91">
        <v>44978.694108796291</v>
      </c>
      <c r="C2104" s="28" t="s">
        <v>10</v>
      </c>
      <c r="D2104" s="28" t="s">
        <v>749</v>
      </c>
      <c r="E2104" s="28"/>
      <c r="F2104" s="28">
        <v>28</v>
      </c>
      <c r="G2104" s="28" t="s">
        <v>143</v>
      </c>
      <c r="H2104" s="28">
        <v>0</v>
      </c>
      <c r="J2104" s="28"/>
    </row>
    <row r="2105" spans="1:10" ht="15.75" customHeight="1">
      <c r="A2105" s="28">
        <v>17992</v>
      </c>
      <c r="B2105" s="91">
        <v>44978.609965277778</v>
      </c>
      <c r="C2105" s="28" t="s">
        <v>10</v>
      </c>
      <c r="D2105" s="28" t="s">
        <v>945</v>
      </c>
      <c r="E2105" s="28"/>
      <c r="F2105" s="28">
        <v>0</v>
      </c>
      <c r="G2105" s="28" t="s">
        <v>139</v>
      </c>
      <c r="H2105" s="28">
        <v>0</v>
      </c>
      <c r="J2105" s="28"/>
    </row>
    <row r="2106" spans="1:10" ht="15.75" customHeight="1">
      <c r="A2106" s="28">
        <v>17992</v>
      </c>
      <c r="B2106" s="91">
        <v>44978.609965277778</v>
      </c>
      <c r="C2106" s="28" t="s">
        <v>10</v>
      </c>
      <c r="D2106" s="28" t="s">
        <v>945</v>
      </c>
      <c r="E2106" s="28"/>
      <c r="F2106" s="28">
        <v>24</v>
      </c>
      <c r="G2106" s="28" t="s">
        <v>122</v>
      </c>
      <c r="H2106" s="28">
        <v>0</v>
      </c>
      <c r="J2106" s="28"/>
    </row>
    <row r="2107" spans="1:10" ht="15.75" customHeight="1">
      <c r="A2107" s="28">
        <v>17992</v>
      </c>
      <c r="B2107" s="91">
        <v>44978.609965277778</v>
      </c>
      <c r="C2107" s="28" t="s">
        <v>10</v>
      </c>
      <c r="D2107" s="28" t="s">
        <v>945</v>
      </c>
      <c r="E2107" s="28"/>
      <c r="F2107" s="28">
        <v>55</v>
      </c>
      <c r="G2107" s="28">
        <v>101684</v>
      </c>
      <c r="H2107" s="28">
        <v>0</v>
      </c>
      <c r="J2107" s="28"/>
    </row>
    <row r="2108" spans="1:10" ht="15.75" customHeight="1">
      <c r="A2108" s="28">
        <v>17992</v>
      </c>
      <c r="B2108" s="91">
        <v>44978.609965277778</v>
      </c>
      <c r="C2108" s="28" t="s">
        <v>10</v>
      </c>
      <c r="D2108" s="28" t="s">
        <v>945</v>
      </c>
      <c r="E2108" s="28"/>
      <c r="F2108" s="28">
        <v>0</v>
      </c>
      <c r="G2108" s="28" t="s">
        <v>118</v>
      </c>
      <c r="H2108" s="28">
        <v>0</v>
      </c>
      <c r="J2108" s="28"/>
    </row>
    <row r="2109" spans="1:10" ht="15.75" customHeight="1">
      <c r="A2109" s="28">
        <v>17992</v>
      </c>
      <c r="B2109" s="91">
        <v>44978.609965277778</v>
      </c>
      <c r="C2109" s="28" t="s">
        <v>10</v>
      </c>
      <c r="D2109" s="28" t="s">
        <v>945</v>
      </c>
      <c r="E2109" s="28"/>
      <c r="F2109" s="28">
        <v>0</v>
      </c>
      <c r="G2109" s="28" t="s">
        <v>119</v>
      </c>
      <c r="H2109" s="28">
        <v>0</v>
      </c>
      <c r="J2109" s="28"/>
    </row>
    <row r="2110" spans="1:10" ht="15.75" customHeight="1">
      <c r="A2110" s="28">
        <v>17992</v>
      </c>
      <c r="B2110" s="91">
        <v>44978.609965277778</v>
      </c>
      <c r="C2110" s="28" t="s">
        <v>10</v>
      </c>
      <c r="D2110" s="28" t="s">
        <v>945</v>
      </c>
      <c r="E2110" s="28"/>
      <c r="F2110" s="28">
        <v>0</v>
      </c>
      <c r="G2110" s="28" t="s">
        <v>120</v>
      </c>
      <c r="H2110" s="28">
        <v>0</v>
      </c>
      <c r="J2110" s="28"/>
    </row>
    <row r="2111" spans="1:10" ht="15.75" customHeight="1">
      <c r="A2111" s="28">
        <v>17992</v>
      </c>
      <c r="B2111" s="91">
        <v>44978.609965277778</v>
      </c>
      <c r="C2111" s="28" t="s">
        <v>10</v>
      </c>
      <c r="D2111" s="28" t="s">
        <v>945</v>
      </c>
      <c r="E2111" s="28"/>
      <c r="F2111" s="28">
        <v>0</v>
      </c>
      <c r="G2111" s="28" t="s">
        <v>121</v>
      </c>
      <c r="H2111" s="28">
        <v>0</v>
      </c>
      <c r="J2111" s="28"/>
    </row>
    <row r="2112" spans="1:10" ht="15.75" customHeight="1">
      <c r="A2112" s="28">
        <v>17956</v>
      </c>
      <c r="B2112" s="91">
        <v>44977.613923611112</v>
      </c>
      <c r="C2112" s="28" t="s">
        <v>10</v>
      </c>
      <c r="D2112" s="28" t="s">
        <v>946</v>
      </c>
      <c r="E2112" s="28"/>
      <c r="F2112" s="28">
        <v>0</v>
      </c>
      <c r="G2112" s="28" t="s">
        <v>139</v>
      </c>
      <c r="H2112" s="28">
        <v>0</v>
      </c>
      <c r="J2112" s="28"/>
    </row>
    <row r="2113" spans="1:10" ht="15.75" customHeight="1">
      <c r="A2113" s="28">
        <v>17956</v>
      </c>
      <c r="B2113" s="91">
        <v>44977.613923611112</v>
      </c>
      <c r="C2113" s="28" t="s">
        <v>10</v>
      </c>
      <c r="D2113" s="28" t="s">
        <v>946</v>
      </c>
      <c r="E2113" s="28"/>
      <c r="F2113" s="28">
        <v>35</v>
      </c>
      <c r="G2113" s="28" t="s">
        <v>124</v>
      </c>
      <c r="H2113" s="28">
        <v>0</v>
      </c>
      <c r="J2113" s="28"/>
    </row>
    <row r="2114" spans="1:10" ht="15.75" customHeight="1">
      <c r="A2114" s="28">
        <v>17956</v>
      </c>
      <c r="B2114" s="91">
        <v>44977.613923611112</v>
      </c>
      <c r="C2114" s="28" t="s">
        <v>10</v>
      </c>
      <c r="D2114" s="28" t="s">
        <v>946</v>
      </c>
      <c r="E2114" s="28"/>
      <c r="F2114" s="28">
        <v>0</v>
      </c>
      <c r="G2114" s="28" t="s">
        <v>125</v>
      </c>
      <c r="H2114" s="28">
        <v>0</v>
      </c>
      <c r="J2114" s="28"/>
    </row>
    <row r="2115" spans="1:10" ht="15.75" customHeight="1">
      <c r="A2115" s="28">
        <v>17956</v>
      </c>
      <c r="B2115" s="91">
        <v>44977.613923611112</v>
      </c>
      <c r="C2115" s="28" t="s">
        <v>10</v>
      </c>
      <c r="D2115" s="28" t="s">
        <v>946</v>
      </c>
      <c r="E2115" s="28"/>
      <c r="F2115" s="28">
        <v>0</v>
      </c>
      <c r="G2115" s="28" t="s">
        <v>119</v>
      </c>
      <c r="H2115" s="28">
        <v>0</v>
      </c>
      <c r="J2115" s="28"/>
    </row>
    <row r="2116" spans="1:10" ht="15.75" customHeight="1">
      <c r="A2116" s="28">
        <v>17956</v>
      </c>
      <c r="B2116" s="91">
        <v>44977.613923611112</v>
      </c>
      <c r="C2116" s="28" t="s">
        <v>10</v>
      </c>
      <c r="D2116" s="28" t="s">
        <v>946</v>
      </c>
      <c r="E2116" s="28"/>
      <c r="F2116" s="28">
        <v>0</v>
      </c>
      <c r="G2116" s="28" t="s">
        <v>121</v>
      </c>
      <c r="H2116" s="28">
        <v>0</v>
      </c>
      <c r="J2116" s="28"/>
    </row>
    <row r="2117" spans="1:10" ht="15.75" customHeight="1">
      <c r="A2117" s="28">
        <v>17956</v>
      </c>
      <c r="B2117" s="91">
        <v>44977.613923611112</v>
      </c>
      <c r="C2117" s="28" t="s">
        <v>10</v>
      </c>
      <c r="D2117" s="28" t="s">
        <v>946</v>
      </c>
      <c r="E2117" s="28"/>
      <c r="F2117" s="28">
        <v>22</v>
      </c>
      <c r="G2117" s="28" t="s">
        <v>137</v>
      </c>
      <c r="H2117" s="28">
        <v>0</v>
      </c>
      <c r="J2117" s="28"/>
    </row>
    <row r="2118" spans="1:10" ht="15.75" customHeight="1">
      <c r="A2118" s="28">
        <v>17955</v>
      </c>
      <c r="B2118" s="91">
        <v>44977.550474537042</v>
      </c>
      <c r="C2118" s="28" t="s">
        <v>10</v>
      </c>
      <c r="D2118" s="28" t="s">
        <v>947</v>
      </c>
      <c r="E2118" s="28"/>
      <c r="F2118" s="28">
        <v>18</v>
      </c>
      <c r="G2118" s="28" t="s">
        <v>119</v>
      </c>
      <c r="H2118" s="28">
        <v>0</v>
      </c>
      <c r="J2118" s="28"/>
    </row>
    <row r="2119" spans="1:10" ht="15.75" customHeight="1">
      <c r="A2119" s="28">
        <v>17954</v>
      </c>
      <c r="B2119" s="91">
        <v>44977.549108796295</v>
      </c>
      <c r="C2119" s="28" t="s">
        <v>10</v>
      </c>
      <c r="D2119" s="28" t="s">
        <v>948</v>
      </c>
      <c r="E2119" s="28"/>
      <c r="F2119" s="28">
        <v>18</v>
      </c>
      <c r="G2119" s="28" t="s">
        <v>119</v>
      </c>
      <c r="H2119" s="28">
        <v>0</v>
      </c>
      <c r="J2119" s="28"/>
    </row>
    <row r="2120" spans="1:10" ht="15.75" customHeight="1">
      <c r="A2120" s="28">
        <v>17953</v>
      </c>
      <c r="B2120" s="91">
        <v>44977.134699074071</v>
      </c>
      <c r="C2120" s="28" t="s">
        <v>10</v>
      </c>
      <c r="D2120" s="28" t="s">
        <v>949</v>
      </c>
      <c r="E2120" s="28"/>
      <c r="F2120" s="28">
        <v>24</v>
      </c>
      <c r="G2120" s="28" t="s">
        <v>122</v>
      </c>
      <c r="H2120" s="28">
        <v>0</v>
      </c>
      <c r="J2120" s="28"/>
    </row>
    <row r="2121" spans="1:10" ht="15.75" customHeight="1">
      <c r="A2121" s="28">
        <v>17949</v>
      </c>
      <c r="B2121" s="91">
        <v>44977.074432870373</v>
      </c>
      <c r="C2121" s="28" t="s">
        <v>10</v>
      </c>
      <c r="D2121" s="28" t="s">
        <v>950</v>
      </c>
      <c r="E2121" s="28"/>
      <c r="F2121" s="28">
        <v>24</v>
      </c>
      <c r="G2121" s="28" t="s">
        <v>122</v>
      </c>
      <c r="H2121" s="28">
        <v>0</v>
      </c>
      <c r="J2121" s="28"/>
    </row>
    <row r="2122" spans="1:10" ht="15.75" customHeight="1">
      <c r="A2122" s="28">
        <v>17923</v>
      </c>
      <c r="B2122" s="91">
        <v>44977.016134259262</v>
      </c>
      <c r="C2122" s="28" t="s">
        <v>10</v>
      </c>
      <c r="D2122" s="28" t="s">
        <v>951</v>
      </c>
      <c r="E2122" s="28"/>
      <c r="F2122" s="28">
        <v>20</v>
      </c>
      <c r="G2122" s="28" t="s">
        <v>205</v>
      </c>
      <c r="H2122" s="28">
        <v>0</v>
      </c>
      <c r="J2122" s="28"/>
    </row>
    <row r="2123" spans="1:10" ht="15.75" customHeight="1">
      <c r="A2123" s="28">
        <v>17923</v>
      </c>
      <c r="B2123" s="91">
        <v>44977.016134259262</v>
      </c>
      <c r="C2123" s="28" t="s">
        <v>10</v>
      </c>
      <c r="D2123" s="28" t="s">
        <v>951</v>
      </c>
      <c r="E2123" s="28"/>
      <c r="F2123" s="28">
        <v>0</v>
      </c>
      <c r="G2123" s="28" t="s">
        <v>125</v>
      </c>
      <c r="H2123" s="28">
        <v>0</v>
      </c>
      <c r="J2123" s="28"/>
    </row>
    <row r="2124" spans="1:10" ht="15.75" customHeight="1">
      <c r="A2124" s="28">
        <v>17923</v>
      </c>
      <c r="B2124" s="91">
        <v>44977.016134259262</v>
      </c>
      <c r="C2124" s="28" t="s">
        <v>10</v>
      </c>
      <c r="D2124" s="28" t="s">
        <v>951</v>
      </c>
      <c r="E2124" s="28"/>
      <c r="F2124" s="28">
        <v>24</v>
      </c>
      <c r="G2124" s="28" t="s">
        <v>122</v>
      </c>
      <c r="H2124" s="28">
        <v>0</v>
      </c>
      <c r="J2124" s="28"/>
    </row>
    <row r="2125" spans="1:10" ht="15.75" customHeight="1">
      <c r="A2125" s="28">
        <v>17923</v>
      </c>
      <c r="B2125" s="91">
        <v>44977.016134259262</v>
      </c>
      <c r="C2125" s="28" t="s">
        <v>10</v>
      </c>
      <c r="D2125" s="28" t="s">
        <v>951</v>
      </c>
      <c r="E2125" s="28"/>
      <c r="F2125" s="28">
        <v>24</v>
      </c>
      <c r="G2125" s="28" t="s">
        <v>122</v>
      </c>
      <c r="H2125" s="28">
        <v>0</v>
      </c>
      <c r="J2125" s="28"/>
    </row>
    <row r="2126" spans="1:10" ht="15.75" customHeight="1">
      <c r="A2126" s="28">
        <v>17923</v>
      </c>
      <c r="B2126" s="91">
        <v>44977.016134259262</v>
      </c>
      <c r="C2126" s="28" t="s">
        <v>10</v>
      </c>
      <c r="D2126" s="28" t="s">
        <v>951</v>
      </c>
      <c r="E2126" s="28"/>
      <c r="F2126" s="28">
        <v>0</v>
      </c>
      <c r="G2126" s="28" t="s">
        <v>139</v>
      </c>
      <c r="H2126" s="28">
        <v>0</v>
      </c>
      <c r="J2126" s="28"/>
    </row>
    <row r="2127" spans="1:10" ht="15.75" customHeight="1">
      <c r="A2127" s="28">
        <v>17874</v>
      </c>
      <c r="B2127" s="91">
        <v>44976.845405092594</v>
      </c>
      <c r="C2127" s="28" t="s">
        <v>10</v>
      </c>
      <c r="D2127" s="28" t="s">
        <v>952</v>
      </c>
      <c r="E2127" s="28"/>
      <c r="F2127" s="28">
        <v>18</v>
      </c>
      <c r="G2127" s="28" t="s">
        <v>119</v>
      </c>
      <c r="H2127" s="28">
        <v>0</v>
      </c>
      <c r="J2127" s="28"/>
    </row>
    <row r="2128" spans="1:10" ht="15.75" customHeight="1">
      <c r="A2128" s="28">
        <v>17874</v>
      </c>
      <c r="B2128" s="91">
        <v>44976.845405092594</v>
      </c>
      <c r="C2128" s="28" t="s">
        <v>10</v>
      </c>
      <c r="D2128" s="28" t="s">
        <v>952</v>
      </c>
      <c r="E2128" s="28"/>
      <c r="F2128" s="28">
        <v>0</v>
      </c>
      <c r="G2128" s="28" t="s">
        <v>139</v>
      </c>
      <c r="H2128" s="28">
        <v>0</v>
      </c>
      <c r="J2128" s="28"/>
    </row>
    <row r="2129" spans="1:10" ht="15.75" customHeight="1">
      <c r="A2129" s="28">
        <v>17874</v>
      </c>
      <c r="B2129" s="91">
        <v>44976.845405092594</v>
      </c>
      <c r="C2129" s="28" t="s">
        <v>10</v>
      </c>
      <c r="D2129" s="28" t="s">
        <v>952</v>
      </c>
      <c r="E2129" s="28"/>
      <c r="F2129" s="28">
        <v>28</v>
      </c>
      <c r="G2129" s="28" t="s">
        <v>143</v>
      </c>
      <c r="H2129" s="28">
        <v>0</v>
      </c>
      <c r="J2129" s="28"/>
    </row>
    <row r="2130" spans="1:10" ht="15.75" customHeight="1">
      <c r="A2130" s="28">
        <v>17873</v>
      </c>
      <c r="B2130" s="91">
        <v>44976.845162037032</v>
      </c>
      <c r="C2130" s="28" t="s">
        <v>10</v>
      </c>
      <c r="D2130" s="28" t="s">
        <v>953</v>
      </c>
      <c r="E2130" s="28"/>
      <c r="F2130" s="28">
        <v>30</v>
      </c>
      <c r="G2130" s="28" t="s">
        <v>128</v>
      </c>
      <c r="H2130" s="28">
        <v>0</v>
      </c>
      <c r="J2130" s="28"/>
    </row>
    <row r="2131" spans="1:10" ht="15.75" customHeight="1">
      <c r="A2131" s="28">
        <v>17873</v>
      </c>
      <c r="B2131" s="91">
        <v>44976.845162037032</v>
      </c>
      <c r="C2131" s="28" t="s">
        <v>10</v>
      </c>
      <c r="D2131" s="28" t="s">
        <v>953</v>
      </c>
      <c r="E2131" s="28"/>
      <c r="F2131" s="28">
        <v>0</v>
      </c>
      <c r="G2131" s="28" t="s">
        <v>125</v>
      </c>
      <c r="H2131" s="28">
        <v>0</v>
      </c>
      <c r="J2131" s="28"/>
    </row>
    <row r="2132" spans="1:10" ht="15.75" customHeight="1">
      <c r="A2132" s="28">
        <v>17873</v>
      </c>
      <c r="B2132" s="91">
        <v>44976.845162037032</v>
      </c>
      <c r="C2132" s="28" t="s">
        <v>10</v>
      </c>
      <c r="D2132" s="28" t="s">
        <v>953</v>
      </c>
      <c r="E2132" s="28"/>
      <c r="F2132" s="28">
        <v>0</v>
      </c>
      <c r="G2132" s="28" t="s">
        <v>119</v>
      </c>
      <c r="H2132" s="28">
        <v>0</v>
      </c>
      <c r="J2132" s="28"/>
    </row>
    <row r="2133" spans="1:10" ht="15.75" customHeight="1">
      <c r="A2133" s="28">
        <v>17872</v>
      </c>
      <c r="B2133" s="91">
        <v>44976.566759259258</v>
      </c>
      <c r="C2133" s="28" t="s">
        <v>10</v>
      </c>
      <c r="D2133" s="28" t="s">
        <v>954</v>
      </c>
      <c r="E2133" s="28"/>
      <c r="F2133" s="28">
        <v>28</v>
      </c>
      <c r="G2133" s="28" t="s">
        <v>143</v>
      </c>
      <c r="H2133" s="28">
        <v>0</v>
      </c>
      <c r="J2133" s="28"/>
    </row>
    <row r="2134" spans="1:10" ht="15.75" customHeight="1">
      <c r="A2134" s="28">
        <v>17872</v>
      </c>
      <c r="B2134" s="91">
        <v>44976.566759259258</v>
      </c>
      <c r="C2134" s="28" t="s">
        <v>10</v>
      </c>
      <c r="D2134" s="28" t="s">
        <v>954</v>
      </c>
      <c r="E2134" s="28"/>
      <c r="F2134" s="28">
        <v>20</v>
      </c>
      <c r="G2134" s="28" t="s">
        <v>148</v>
      </c>
      <c r="H2134" s="28">
        <v>0</v>
      </c>
      <c r="J2134" s="28"/>
    </row>
    <row r="2135" spans="1:10" ht="15.75" customHeight="1">
      <c r="A2135" s="28">
        <v>17871</v>
      </c>
      <c r="B2135" s="91">
        <v>44975.942210648151</v>
      </c>
      <c r="C2135" s="28" t="s">
        <v>10</v>
      </c>
      <c r="D2135" s="28" t="s">
        <v>923</v>
      </c>
      <c r="E2135" s="28"/>
      <c r="F2135" s="28">
        <v>0</v>
      </c>
      <c r="G2135" s="28" t="s">
        <v>139</v>
      </c>
      <c r="H2135" s="28">
        <v>0</v>
      </c>
      <c r="J2135" s="28"/>
    </row>
    <row r="2136" spans="1:10" ht="15.75" customHeight="1">
      <c r="A2136" s="28">
        <v>17871</v>
      </c>
      <c r="B2136" s="91">
        <v>44975.942210648151</v>
      </c>
      <c r="C2136" s="28" t="s">
        <v>10</v>
      </c>
      <c r="D2136" s="28" t="s">
        <v>923</v>
      </c>
      <c r="E2136" s="28"/>
      <c r="F2136" s="28">
        <v>25</v>
      </c>
      <c r="G2136" s="28">
        <v>100692</v>
      </c>
      <c r="H2136" s="28">
        <v>0</v>
      </c>
      <c r="J2136" s="28"/>
    </row>
    <row r="2137" spans="1:10" ht="15.75" customHeight="1">
      <c r="A2137" s="28">
        <v>17871</v>
      </c>
      <c r="B2137" s="91">
        <v>44975.942210648151</v>
      </c>
      <c r="C2137" s="28" t="s">
        <v>10</v>
      </c>
      <c r="D2137" s="28" t="s">
        <v>923</v>
      </c>
      <c r="E2137" s="28"/>
      <c r="F2137" s="28">
        <v>0</v>
      </c>
      <c r="G2137" s="28" t="s">
        <v>125</v>
      </c>
      <c r="H2137" s="28">
        <v>0</v>
      </c>
      <c r="J2137" s="28"/>
    </row>
    <row r="2138" spans="1:10" ht="15.75" customHeight="1">
      <c r="A2138" s="28">
        <v>17871</v>
      </c>
      <c r="B2138" s="91">
        <v>44975.942210648151</v>
      </c>
      <c r="C2138" s="28" t="s">
        <v>10</v>
      </c>
      <c r="D2138" s="28" t="s">
        <v>923</v>
      </c>
      <c r="E2138" s="28"/>
      <c r="F2138" s="28">
        <v>0</v>
      </c>
      <c r="G2138" s="28" t="s">
        <v>119</v>
      </c>
      <c r="H2138" s="28">
        <v>0</v>
      </c>
      <c r="J2138" s="28"/>
    </row>
    <row r="2139" spans="1:10" ht="15.75" customHeight="1">
      <c r="A2139" s="28">
        <v>17870</v>
      </c>
      <c r="B2139" s="91">
        <v>44975.903379629628</v>
      </c>
      <c r="C2139" s="28" t="s">
        <v>10</v>
      </c>
      <c r="D2139" s="28" t="s">
        <v>955</v>
      </c>
      <c r="E2139" s="28"/>
      <c r="F2139" s="28">
        <v>35</v>
      </c>
      <c r="G2139" s="28" t="s">
        <v>124</v>
      </c>
      <c r="H2139" s="28">
        <v>0</v>
      </c>
      <c r="J2139" s="28"/>
    </row>
    <row r="2140" spans="1:10" ht="15.75" customHeight="1">
      <c r="A2140" s="28">
        <v>17870</v>
      </c>
      <c r="B2140" s="91">
        <v>44975.903379629628</v>
      </c>
      <c r="C2140" s="28" t="s">
        <v>10</v>
      </c>
      <c r="D2140" s="28" t="s">
        <v>955</v>
      </c>
      <c r="E2140" s="28"/>
      <c r="F2140" s="28">
        <v>0</v>
      </c>
      <c r="G2140" s="28" t="s">
        <v>125</v>
      </c>
      <c r="H2140" s="28">
        <v>0</v>
      </c>
      <c r="J2140" s="28"/>
    </row>
    <row r="2141" spans="1:10" ht="15.75" customHeight="1">
      <c r="A2141" s="28">
        <v>17870</v>
      </c>
      <c r="B2141" s="91">
        <v>44975.903379629628</v>
      </c>
      <c r="C2141" s="28" t="s">
        <v>10</v>
      </c>
      <c r="D2141" s="28" t="s">
        <v>955</v>
      </c>
      <c r="E2141" s="28"/>
      <c r="F2141" s="28">
        <v>0</v>
      </c>
      <c r="G2141" s="28" t="s">
        <v>119</v>
      </c>
      <c r="H2141" s="28">
        <v>0</v>
      </c>
      <c r="J2141" s="28"/>
    </row>
    <row r="2142" spans="1:10" ht="15.75" customHeight="1">
      <c r="A2142" s="28">
        <v>17870</v>
      </c>
      <c r="B2142" s="91">
        <v>44975.903379629628</v>
      </c>
      <c r="C2142" s="28" t="s">
        <v>10</v>
      </c>
      <c r="D2142" s="28" t="s">
        <v>955</v>
      </c>
      <c r="E2142" s="28"/>
      <c r="F2142" s="28">
        <v>0</v>
      </c>
      <c r="G2142" s="28" t="s">
        <v>121</v>
      </c>
      <c r="H2142" s="28">
        <v>0</v>
      </c>
      <c r="J2142" s="28"/>
    </row>
    <row r="2143" spans="1:10" ht="15.75" customHeight="1">
      <c r="A2143" s="28">
        <v>17869</v>
      </c>
      <c r="B2143" s="91">
        <v>44975.858217592591</v>
      </c>
      <c r="C2143" s="28" t="s">
        <v>10</v>
      </c>
      <c r="D2143" s="28" t="s">
        <v>956</v>
      </c>
      <c r="E2143" s="28"/>
      <c r="F2143" s="28">
        <v>15</v>
      </c>
      <c r="G2143" s="28"/>
      <c r="H2143" s="28">
        <v>0</v>
      </c>
      <c r="J2143" s="28"/>
    </row>
    <row r="2144" spans="1:10" ht="15.75" customHeight="1">
      <c r="A2144" s="28">
        <v>17869</v>
      </c>
      <c r="B2144" s="91">
        <v>44975.858217592591</v>
      </c>
      <c r="C2144" s="28" t="s">
        <v>10</v>
      </c>
      <c r="D2144" s="28" t="s">
        <v>956</v>
      </c>
      <c r="E2144" s="28"/>
      <c r="F2144" s="28">
        <v>0</v>
      </c>
      <c r="G2144" s="28" t="s">
        <v>139</v>
      </c>
      <c r="H2144" s="28">
        <v>0</v>
      </c>
      <c r="J2144" s="28"/>
    </row>
    <row r="2145" spans="1:10" ht="15.75" customHeight="1">
      <c r="A2145" s="28">
        <v>17868</v>
      </c>
      <c r="B2145" s="91">
        <v>44975.856817129628</v>
      </c>
      <c r="C2145" s="28" t="s">
        <v>10</v>
      </c>
      <c r="D2145" s="28" t="s">
        <v>957</v>
      </c>
      <c r="E2145" s="28"/>
      <c r="F2145" s="28">
        <v>15</v>
      </c>
      <c r="G2145" s="28"/>
      <c r="H2145" s="28">
        <v>0</v>
      </c>
      <c r="J2145" s="28"/>
    </row>
    <row r="2146" spans="1:10" ht="15.75" customHeight="1">
      <c r="A2146" s="28">
        <v>17868</v>
      </c>
      <c r="B2146" s="91">
        <v>44975.856817129628</v>
      </c>
      <c r="C2146" s="28" t="s">
        <v>10</v>
      </c>
      <c r="D2146" s="28" t="s">
        <v>957</v>
      </c>
      <c r="E2146" s="28"/>
      <c r="F2146" s="28">
        <v>0</v>
      </c>
      <c r="G2146" s="28" t="s">
        <v>139</v>
      </c>
      <c r="H2146" s="28">
        <v>0</v>
      </c>
      <c r="J2146" s="28"/>
    </row>
    <row r="2147" spans="1:10" ht="15.75" customHeight="1">
      <c r="A2147" s="28">
        <v>17867</v>
      </c>
      <c r="B2147" s="91">
        <v>44975.855023148149</v>
      </c>
      <c r="C2147" s="28" t="s">
        <v>10</v>
      </c>
      <c r="D2147" s="28" t="s">
        <v>782</v>
      </c>
      <c r="E2147" s="28"/>
      <c r="F2147" s="28">
        <v>0</v>
      </c>
      <c r="G2147" s="28" t="s">
        <v>139</v>
      </c>
      <c r="H2147" s="28">
        <v>0</v>
      </c>
      <c r="J2147" s="28"/>
    </row>
    <row r="2148" spans="1:10" ht="15.75" customHeight="1">
      <c r="A2148" s="28">
        <v>17867</v>
      </c>
      <c r="B2148" s="91">
        <v>44975.855023148149</v>
      </c>
      <c r="C2148" s="28" t="s">
        <v>10</v>
      </c>
      <c r="D2148" s="28" t="s">
        <v>782</v>
      </c>
      <c r="E2148" s="28"/>
      <c r="F2148" s="28">
        <v>15</v>
      </c>
      <c r="G2148" s="28"/>
      <c r="H2148" s="28">
        <v>0</v>
      </c>
      <c r="J2148" s="28"/>
    </row>
    <row r="2149" spans="1:10" ht="15.75" customHeight="1">
      <c r="A2149" s="28">
        <v>17866</v>
      </c>
      <c r="B2149" s="91">
        <v>44975.850891203707</v>
      </c>
      <c r="C2149" s="28" t="s">
        <v>10</v>
      </c>
      <c r="D2149" s="28" t="s">
        <v>958</v>
      </c>
      <c r="E2149" s="28"/>
      <c r="F2149" s="28">
        <v>18</v>
      </c>
      <c r="G2149" s="28" t="s">
        <v>457</v>
      </c>
      <c r="H2149" s="28">
        <v>0</v>
      </c>
      <c r="J2149" s="28"/>
    </row>
    <row r="2150" spans="1:10" ht="15.75" customHeight="1">
      <c r="A2150" s="28">
        <v>17865</v>
      </c>
      <c r="B2150" s="91">
        <v>44975.828460648147</v>
      </c>
      <c r="C2150" s="28" t="s">
        <v>10</v>
      </c>
      <c r="D2150" s="28" t="s">
        <v>818</v>
      </c>
      <c r="E2150" s="28"/>
      <c r="F2150" s="28">
        <v>15</v>
      </c>
      <c r="G2150" s="28"/>
      <c r="H2150" s="28">
        <v>0</v>
      </c>
      <c r="J2150" s="28"/>
    </row>
    <row r="2151" spans="1:10" ht="15.75" customHeight="1">
      <c r="A2151" s="28">
        <v>17865</v>
      </c>
      <c r="B2151" s="91">
        <v>44975.828460648147</v>
      </c>
      <c r="C2151" s="28" t="s">
        <v>10</v>
      </c>
      <c r="D2151" s="28" t="s">
        <v>818</v>
      </c>
      <c r="E2151" s="28"/>
      <c r="F2151" s="28">
        <v>28</v>
      </c>
      <c r="G2151" s="28" t="s">
        <v>143</v>
      </c>
      <c r="H2151" s="28">
        <v>0</v>
      </c>
      <c r="J2151" s="28"/>
    </row>
    <row r="2152" spans="1:10" ht="15.75" customHeight="1">
      <c r="A2152" s="28">
        <v>17865</v>
      </c>
      <c r="B2152" s="91">
        <v>44975.828460648147</v>
      </c>
      <c r="C2152" s="28" t="s">
        <v>10</v>
      </c>
      <c r="D2152" s="28" t="s">
        <v>818</v>
      </c>
      <c r="E2152" s="28"/>
      <c r="F2152" s="28">
        <v>0</v>
      </c>
      <c r="G2152" s="28" t="s">
        <v>139</v>
      </c>
      <c r="H2152" s="28">
        <v>0</v>
      </c>
      <c r="J2152" s="28"/>
    </row>
    <row r="2153" spans="1:10" ht="15.75" customHeight="1">
      <c r="A2153" s="28">
        <v>17864</v>
      </c>
      <c r="B2153" s="91">
        <v>44975.823553240742</v>
      </c>
      <c r="C2153" s="28" t="s">
        <v>10</v>
      </c>
      <c r="D2153" s="28" t="s">
        <v>959</v>
      </c>
      <c r="E2153" s="28"/>
      <c r="F2153" s="28">
        <v>56</v>
      </c>
      <c r="G2153" s="28" t="s">
        <v>143</v>
      </c>
      <c r="H2153" s="28">
        <v>0</v>
      </c>
      <c r="J2153" s="28"/>
    </row>
    <row r="2154" spans="1:10" ht="15.75" customHeight="1">
      <c r="A2154" s="28">
        <v>17864</v>
      </c>
      <c r="B2154" s="91">
        <v>44975.823553240742</v>
      </c>
      <c r="C2154" s="28" t="s">
        <v>10</v>
      </c>
      <c r="D2154" s="28" t="s">
        <v>959</v>
      </c>
      <c r="E2154" s="28"/>
      <c r="F2154" s="28">
        <v>24</v>
      </c>
      <c r="G2154" s="28" t="s">
        <v>122</v>
      </c>
      <c r="H2154" s="28">
        <v>0</v>
      </c>
      <c r="J2154" s="28"/>
    </row>
    <row r="2155" spans="1:10" ht="15.75" customHeight="1">
      <c r="A2155" s="28">
        <v>17864</v>
      </c>
      <c r="B2155" s="91">
        <v>44975.823553240742</v>
      </c>
      <c r="C2155" s="28" t="s">
        <v>10</v>
      </c>
      <c r="D2155" s="28" t="s">
        <v>959</v>
      </c>
      <c r="E2155" s="28"/>
      <c r="F2155" s="28">
        <v>0</v>
      </c>
      <c r="G2155" s="28" t="s">
        <v>139</v>
      </c>
      <c r="H2155" s="28">
        <v>0</v>
      </c>
      <c r="J2155" s="28"/>
    </row>
    <row r="2156" spans="1:10" ht="15.75" customHeight="1">
      <c r="A2156" s="28">
        <v>17863</v>
      </c>
      <c r="B2156" s="91">
        <v>44975.802245370374</v>
      </c>
      <c r="C2156" s="28" t="s">
        <v>10</v>
      </c>
      <c r="D2156" s="28" t="s">
        <v>960</v>
      </c>
      <c r="E2156" s="28"/>
      <c r="F2156" s="28">
        <v>35</v>
      </c>
      <c r="G2156" s="28" t="s">
        <v>124</v>
      </c>
      <c r="H2156" s="28">
        <v>0</v>
      </c>
      <c r="J2156" s="28"/>
    </row>
    <row r="2157" spans="1:10" ht="15.75" customHeight="1">
      <c r="A2157" s="28">
        <v>17863</v>
      </c>
      <c r="B2157" s="91">
        <v>44975.802245370374</v>
      </c>
      <c r="C2157" s="28" t="s">
        <v>10</v>
      </c>
      <c r="D2157" s="28" t="s">
        <v>960</v>
      </c>
      <c r="E2157" s="28"/>
      <c r="F2157" s="28">
        <v>0</v>
      </c>
      <c r="G2157" s="28" t="s">
        <v>125</v>
      </c>
      <c r="H2157" s="28">
        <v>0</v>
      </c>
      <c r="J2157" s="28"/>
    </row>
    <row r="2158" spans="1:10" ht="15.75" customHeight="1">
      <c r="A2158" s="28">
        <v>17863</v>
      </c>
      <c r="B2158" s="91">
        <v>44975.802245370374</v>
      </c>
      <c r="C2158" s="28" t="s">
        <v>10</v>
      </c>
      <c r="D2158" s="28" t="s">
        <v>960</v>
      </c>
      <c r="E2158" s="28"/>
      <c r="F2158" s="28">
        <v>0</v>
      </c>
      <c r="G2158" s="28" t="s">
        <v>119</v>
      </c>
      <c r="H2158" s="28">
        <v>0</v>
      </c>
      <c r="J2158" s="28"/>
    </row>
    <row r="2159" spans="1:10" ht="15.75" customHeight="1">
      <c r="A2159" s="28">
        <v>17863</v>
      </c>
      <c r="B2159" s="91">
        <v>44975.802245370374</v>
      </c>
      <c r="C2159" s="28" t="s">
        <v>10</v>
      </c>
      <c r="D2159" s="28" t="s">
        <v>960</v>
      </c>
      <c r="E2159" s="28"/>
      <c r="F2159" s="28">
        <v>0</v>
      </c>
      <c r="G2159" s="28" t="s">
        <v>121</v>
      </c>
      <c r="H2159" s="28">
        <v>0</v>
      </c>
      <c r="J2159" s="28"/>
    </row>
    <row r="2160" spans="1:10" ht="15.75" customHeight="1">
      <c r="A2160" s="28">
        <v>17862</v>
      </c>
      <c r="B2160" s="91">
        <v>44975.787175925929</v>
      </c>
      <c r="C2160" s="28" t="s">
        <v>10</v>
      </c>
      <c r="D2160" s="28" t="s">
        <v>961</v>
      </c>
      <c r="E2160" s="28"/>
      <c r="F2160" s="28">
        <v>24</v>
      </c>
      <c r="G2160" s="28" t="s">
        <v>122</v>
      </c>
      <c r="H2160" s="28">
        <v>0</v>
      </c>
      <c r="J2160" s="28"/>
    </row>
    <row r="2161" spans="1:10" ht="15.75" customHeight="1">
      <c r="A2161" s="28">
        <v>17861</v>
      </c>
      <c r="B2161" s="91">
        <v>44975.759606481486</v>
      </c>
      <c r="C2161" s="28" t="s">
        <v>10</v>
      </c>
      <c r="D2161" s="28" t="s">
        <v>962</v>
      </c>
      <c r="E2161" s="28"/>
      <c r="F2161" s="28">
        <v>24</v>
      </c>
      <c r="G2161" s="28" t="s">
        <v>122</v>
      </c>
      <c r="H2161" s="28">
        <v>0</v>
      </c>
      <c r="J2161" s="28"/>
    </row>
    <row r="2162" spans="1:10" ht="15.75" customHeight="1">
      <c r="A2162" s="28">
        <v>17861</v>
      </c>
      <c r="B2162" s="91">
        <v>44975.759606481486</v>
      </c>
      <c r="C2162" s="28" t="s">
        <v>10</v>
      </c>
      <c r="D2162" s="28" t="s">
        <v>962</v>
      </c>
      <c r="E2162" s="28"/>
      <c r="F2162" s="28">
        <v>0</v>
      </c>
      <c r="G2162" s="28" t="s">
        <v>139</v>
      </c>
      <c r="H2162" s="28">
        <v>0</v>
      </c>
      <c r="J2162" s="28"/>
    </row>
    <row r="2163" spans="1:10" ht="15.75" customHeight="1">
      <c r="A2163" s="28">
        <v>17861</v>
      </c>
      <c r="B2163" s="91">
        <v>44975.759606481486</v>
      </c>
      <c r="C2163" s="28" t="s">
        <v>10</v>
      </c>
      <c r="D2163" s="28" t="s">
        <v>962</v>
      </c>
      <c r="E2163" s="28"/>
      <c r="F2163" s="28">
        <v>25</v>
      </c>
      <c r="G2163" s="28">
        <v>100692</v>
      </c>
      <c r="H2163" s="28">
        <v>0</v>
      </c>
      <c r="J2163" s="28"/>
    </row>
    <row r="2164" spans="1:10" ht="15.75" customHeight="1">
      <c r="A2164" s="28">
        <v>17861</v>
      </c>
      <c r="B2164" s="91">
        <v>44975.759606481486</v>
      </c>
      <c r="C2164" s="28" t="s">
        <v>10</v>
      </c>
      <c r="D2164" s="28" t="s">
        <v>962</v>
      </c>
      <c r="E2164" s="28"/>
      <c r="F2164" s="28">
        <v>0</v>
      </c>
      <c r="G2164" s="28" t="s">
        <v>125</v>
      </c>
      <c r="H2164" s="28">
        <v>0</v>
      </c>
      <c r="J2164" s="28"/>
    </row>
    <row r="2165" spans="1:10" ht="15.75" customHeight="1">
      <c r="A2165" s="28">
        <v>17861</v>
      </c>
      <c r="B2165" s="91">
        <v>44975.759606481486</v>
      </c>
      <c r="C2165" s="28" t="s">
        <v>10</v>
      </c>
      <c r="D2165" s="28" t="s">
        <v>962</v>
      </c>
      <c r="E2165" s="28"/>
      <c r="F2165" s="28">
        <v>0</v>
      </c>
      <c r="G2165" s="28" t="s">
        <v>119</v>
      </c>
      <c r="H2165" s="28">
        <v>0</v>
      </c>
      <c r="J2165" s="28"/>
    </row>
    <row r="2166" spans="1:10" ht="15.75" customHeight="1">
      <c r="A2166" s="28">
        <v>17860</v>
      </c>
      <c r="B2166" s="91">
        <v>44975.753599537042</v>
      </c>
      <c r="C2166" s="28" t="s">
        <v>10</v>
      </c>
      <c r="D2166" s="28" t="s">
        <v>963</v>
      </c>
      <c r="E2166" s="28"/>
      <c r="F2166" s="28">
        <v>24</v>
      </c>
      <c r="G2166" s="28" t="s">
        <v>122</v>
      </c>
      <c r="H2166" s="28">
        <v>0</v>
      </c>
      <c r="J2166" s="28"/>
    </row>
    <row r="2167" spans="1:10" ht="15.75" customHeight="1">
      <c r="A2167" s="28">
        <v>17860</v>
      </c>
      <c r="B2167" s="91">
        <v>44975.753599537042</v>
      </c>
      <c r="C2167" s="28" t="s">
        <v>10</v>
      </c>
      <c r="D2167" s="28" t="s">
        <v>963</v>
      </c>
      <c r="E2167" s="28"/>
      <c r="F2167" s="28">
        <v>25</v>
      </c>
      <c r="G2167" s="28">
        <v>100692</v>
      </c>
      <c r="H2167" s="28">
        <v>0</v>
      </c>
      <c r="J2167" s="28"/>
    </row>
    <row r="2168" spans="1:10" ht="15.75" customHeight="1">
      <c r="A2168" s="28">
        <v>17860</v>
      </c>
      <c r="B2168" s="91">
        <v>44975.753599537042</v>
      </c>
      <c r="C2168" s="28" t="s">
        <v>10</v>
      </c>
      <c r="D2168" s="28" t="s">
        <v>963</v>
      </c>
      <c r="E2168" s="28"/>
      <c r="F2168" s="28">
        <v>0</v>
      </c>
      <c r="G2168" s="28" t="s">
        <v>125</v>
      </c>
      <c r="H2168" s="28">
        <v>0</v>
      </c>
      <c r="J2168" s="28"/>
    </row>
    <row r="2169" spans="1:10" ht="15.75" customHeight="1">
      <c r="A2169" s="28">
        <v>17860</v>
      </c>
      <c r="B2169" s="91">
        <v>44975.753599537042</v>
      </c>
      <c r="C2169" s="28" t="s">
        <v>10</v>
      </c>
      <c r="D2169" s="28" t="s">
        <v>963</v>
      </c>
      <c r="E2169" s="28"/>
      <c r="F2169" s="28">
        <v>0</v>
      </c>
      <c r="G2169" s="28" t="s">
        <v>119</v>
      </c>
      <c r="H2169" s="28">
        <v>0</v>
      </c>
      <c r="J2169" s="28"/>
    </row>
    <row r="2170" spans="1:10" ht="15.75" customHeight="1">
      <c r="A2170" s="28">
        <v>17859</v>
      </c>
      <c r="B2170" s="91">
        <v>44975.738877314812</v>
      </c>
      <c r="C2170" s="28" t="s">
        <v>10</v>
      </c>
      <c r="D2170" s="28" t="s">
        <v>964</v>
      </c>
      <c r="E2170" s="28"/>
      <c r="F2170" s="28">
        <v>18</v>
      </c>
      <c r="G2170" s="28" t="s">
        <v>119</v>
      </c>
      <c r="H2170" s="28">
        <v>0</v>
      </c>
      <c r="J2170" s="28"/>
    </row>
    <row r="2171" spans="1:10" ht="15.75" customHeight="1">
      <c r="A2171" s="28">
        <v>17859</v>
      </c>
      <c r="B2171" s="91">
        <v>44975.738877314812</v>
      </c>
      <c r="C2171" s="28" t="s">
        <v>10</v>
      </c>
      <c r="D2171" s="28" t="s">
        <v>964</v>
      </c>
      <c r="E2171" s="28"/>
      <c r="F2171" s="28">
        <v>0</v>
      </c>
      <c r="G2171" s="28" t="s">
        <v>139</v>
      </c>
      <c r="H2171" s="28">
        <v>0</v>
      </c>
      <c r="J2171" s="28"/>
    </row>
    <row r="2172" spans="1:10" ht="15.75" customHeight="1">
      <c r="A2172" s="28">
        <v>17858</v>
      </c>
      <c r="B2172" s="91">
        <v>44975.72010416667</v>
      </c>
      <c r="C2172" s="28" t="s">
        <v>10</v>
      </c>
      <c r="D2172" s="28" t="s">
        <v>965</v>
      </c>
      <c r="E2172" s="28"/>
      <c r="F2172" s="28">
        <v>0</v>
      </c>
      <c r="G2172" s="28" t="s">
        <v>139</v>
      </c>
      <c r="H2172" s="28">
        <v>0</v>
      </c>
      <c r="J2172" s="28"/>
    </row>
    <row r="2173" spans="1:10" ht="15.75" customHeight="1">
      <c r="A2173" s="28">
        <v>17858</v>
      </c>
      <c r="B2173" s="91">
        <v>44975.72010416667</v>
      </c>
      <c r="C2173" s="28" t="s">
        <v>10</v>
      </c>
      <c r="D2173" s="28" t="s">
        <v>965</v>
      </c>
      <c r="E2173" s="28"/>
      <c r="F2173" s="28">
        <v>15</v>
      </c>
      <c r="G2173" s="28" t="s">
        <v>125</v>
      </c>
      <c r="H2173" s="28">
        <v>0</v>
      </c>
      <c r="J2173" s="28"/>
    </row>
    <row r="2174" spans="1:10" ht="15.75" customHeight="1">
      <c r="A2174" s="28">
        <v>17857</v>
      </c>
      <c r="B2174" s="91">
        <v>44975.719768518524</v>
      </c>
      <c r="C2174" s="28" t="s">
        <v>10</v>
      </c>
      <c r="D2174" s="28" t="s">
        <v>966</v>
      </c>
      <c r="E2174" s="28"/>
      <c r="F2174" s="28">
        <v>24</v>
      </c>
      <c r="G2174" s="28" t="s">
        <v>122</v>
      </c>
      <c r="H2174" s="28">
        <v>0</v>
      </c>
      <c r="J2174" s="28"/>
    </row>
    <row r="2175" spans="1:10" ht="15.75" customHeight="1">
      <c r="A2175" s="28">
        <v>17856</v>
      </c>
      <c r="B2175" s="91">
        <v>44975.716134259259</v>
      </c>
      <c r="C2175" s="28" t="s">
        <v>10</v>
      </c>
      <c r="D2175" s="28" t="s">
        <v>967</v>
      </c>
      <c r="E2175" s="28"/>
      <c r="F2175" s="28">
        <v>25</v>
      </c>
      <c r="G2175" s="28">
        <v>100692</v>
      </c>
      <c r="H2175" s="28">
        <v>0</v>
      </c>
      <c r="J2175" s="28"/>
    </row>
    <row r="2176" spans="1:10" ht="15.75" customHeight="1">
      <c r="A2176" s="28">
        <v>17856</v>
      </c>
      <c r="B2176" s="91">
        <v>44975.716134259259</v>
      </c>
      <c r="C2176" s="28" t="s">
        <v>10</v>
      </c>
      <c r="D2176" s="28" t="s">
        <v>967</v>
      </c>
      <c r="E2176" s="28"/>
      <c r="F2176" s="28">
        <v>0</v>
      </c>
      <c r="G2176" s="28" t="s">
        <v>125</v>
      </c>
      <c r="H2176" s="28">
        <v>0</v>
      </c>
      <c r="J2176" s="28"/>
    </row>
    <row r="2177" spans="1:10" ht="15.75" customHeight="1">
      <c r="A2177" s="28">
        <v>17856</v>
      </c>
      <c r="B2177" s="91">
        <v>44975.716134259259</v>
      </c>
      <c r="C2177" s="28" t="s">
        <v>10</v>
      </c>
      <c r="D2177" s="28" t="s">
        <v>967</v>
      </c>
      <c r="E2177" s="28"/>
      <c r="F2177" s="28">
        <v>0</v>
      </c>
      <c r="G2177" s="28" t="s">
        <v>119</v>
      </c>
      <c r="H2177" s="28">
        <v>0</v>
      </c>
      <c r="J2177" s="28"/>
    </row>
    <row r="2178" spans="1:10" ht="15.75" customHeight="1">
      <c r="A2178" s="28">
        <v>17855</v>
      </c>
      <c r="B2178" s="91">
        <v>44975.712789351848</v>
      </c>
      <c r="C2178" s="28" t="s">
        <v>10</v>
      </c>
      <c r="D2178" s="28" t="s">
        <v>968</v>
      </c>
      <c r="E2178" s="28"/>
      <c r="F2178" s="28">
        <v>0</v>
      </c>
      <c r="G2178" s="28" t="s">
        <v>139</v>
      </c>
      <c r="H2178" s="28">
        <v>0</v>
      </c>
      <c r="J2178" s="28"/>
    </row>
    <row r="2179" spans="1:10" ht="15.75" customHeight="1">
      <c r="A2179" s="28">
        <v>17855</v>
      </c>
      <c r="B2179" s="91">
        <v>44975.712789351848</v>
      </c>
      <c r="C2179" s="28" t="s">
        <v>10</v>
      </c>
      <c r="D2179" s="28" t="s">
        <v>968</v>
      </c>
      <c r="E2179" s="28"/>
      <c r="F2179" s="28">
        <v>25</v>
      </c>
      <c r="G2179" s="28">
        <v>100692</v>
      </c>
      <c r="H2179" s="28">
        <v>0</v>
      </c>
      <c r="J2179" s="28"/>
    </row>
    <row r="2180" spans="1:10" ht="15.75" customHeight="1">
      <c r="A2180" s="28">
        <v>17855</v>
      </c>
      <c r="B2180" s="91">
        <v>44975.712789351848</v>
      </c>
      <c r="C2180" s="28" t="s">
        <v>10</v>
      </c>
      <c r="D2180" s="28" t="s">
        <v>968</v>
      </c>
      <c r="E2180" s="28"/>
      <c r="F2180" s="28">
        <v>0</v>
      </c>
      <c r="G2180" s="28" t="s">
        <v>125</v>
      </c>
      <c r="H2180" s="28">
        <v>0</v>
      </c>
      <c r="J2180" s="28"/>
    </row>
    <row r="2181" spans="1:10" ht="15.75" customHeight="1">
      <c r="A2181" s="28">
        <v>17855</v>
      </c>
      <c r="B2181" s="91">
        <v>44975.712789351848</v>
      </c>
      <c r="C2181" s="28" t="s">
        <v>10</v>
      </c>
      <c r="D2181" s="28" t="s">
        <v>968</v>
      </c>
      <c r="E2181" s="28"/>
      <c r="F2181" s="28">
        <v>0</v>
      </c>
      <c r="G2181" s="28" t="s">
        <v>119</v>
      </c>
      <c r="H2181" s="28">
        <v>0</v>
      </c>
      <c r="J2181" s="28"/>
    </row>
    <row r="2182" spans="1:10" ht="15.75" customHeight="1">
      <c r="A2182" s="28">
        <v>17854</v>
      </c>
      <c r="B2182" s="91">
        <v>44975.712627314817</v>
      </c>
      <c r="C2182" s="28" t="s">
        <v>10</v>
      </c>
      <c r="D2182" s="28" t="s">
        <v>969</v>
      </c>
      <c r="E2182" s="28"/>
      <c r="F2182" s="28">
        <v>30</v>
      </c>
      <c r="G2182" s="28" t="s">
        <v>128</v>
      </c>
      <c r="H2182" s="28">
        <v>0</v>
      </c>
      <c r="J2182" s="28"/>
    </row>
    <row r="2183" spans="1:10" ht="15.75" customHeight="1">
      <c r="A2183" s="28">
        <v>17854</v>
      </c>
      <c r="B2183" s="91">
        <v>44975.712627314817</v>
      </c>
      <c r="C2183" s="28" t="s">
        <v>10</v>
      </c>
      <c r="D2183" s="28" t="s">
        <v>969</v>
      </c>
      <c r="E2183" s="28"/>
      <c r="F2183" s="28">
        <v>0</v>
      </c>
      <c r="G2183" s="28" t="s">
        <v>125</v>
      </c>
      <c r="H2183" s="28">
        <v>0</v>
      </c>
      <c r="J2183" s="28"/>
    </row>
    <row r="2184" spans="1:10" ht="15.75" customHeight="1">
      <c r="A2184" s="28">
        <v>17854</v>
      </c>
      <c r="B2184" s="91">
        <v>44975.712627314817</v>
      </c>
      <c r="C2184" s="28" t="s">
        <v>10</v>
      </c>
      <c r="D2184" s="28" t="s">
        <v>969</v>
      </c>
      <c r="E2184" s="28"/>
      <c r="F2184" s="28">
        <v>0</v>
      </c>
      <c r="G2184" s="28" t="s">
        <v>119</v>
      </c>
      <c r="H2184" s="28">
        <v>0</v>
      </c>
      <c r="J2184" s="28"/>
    </row>
    <row r="2185" spans="1:10" ht="15.75" customHeight="1">
      <c r="A2185" s="28">
        <v>17853</v>
      </c>
      <c r="B2185" s="91">
        <v>44975.710601851853</v>
      </c>
      <c r="C2185" s="28" t="s">
        <v>10</v>
      </c>
      <c r="D2185" s="28" t="s">
        <v>970</v>
      </c>
      <c r="E2185" s="28"/>
      <c r="F2185" s="28">
        <v>25</v>
      </c>
      <c r="G2185" s="28">
        <v>100692</v>
      </c>
      <c r="H2185" s="28">
        <v>0</v>
      </c>
      <c r="J2185" s="28"/>
    </row>
    <row r="2186" spans="1:10" ht="15.75" customHeight="1">
      <c r="A2186" s="28">
        <v>17853</v>
      </c>
      <c r="B2186" s="91">
        <v>44975.710601851853</v>
      </c>
      <c r="C2186" s="28" t="s">
        <v>10</v>
      </c>
      <c r="D2186" s="28" t="s">
        <v>970</v>
      </c>
      <c r="E2186" s="28"/>
      <c r="F2186" s="28">
        <v>0</v>
      </c>
      <c r="G2186" s="28" t="s">
        <v>125</v>
      </c>
      <c r="H2186" s="28">
        <v>0</v>
      </c>
      <c r="J2186" s="28"/>
    </row>
    <row r="2187" spans="1:10" ht="15.75" customHeight="1">
      <c r="A2187" s="28">
        <v>17853</v>
      </c>
      <c r="B2187" s="91">
        <v>44975.710601851853</v>
      </c>
      <c r="C2187" s="28" t="s">
        <v>10</v>
      </c>
      <c r="D2187" s="28" t="s">
        <v>970</v>
      </c>
      <c r="E2187" s="28"/>
      <c r="F2187" s="28">
        <v>0</v>
      </c>
      <c r="G2187" s="28" t="s">
        <v>119</v>
      </c>
      <c r="H2187" s="28">
        <v>0</v>
      </c>
      <c r="J2187" s="28"/>
    </row>
    <row r="2188" spans="1:10" ht="15.75" customHeight="1">
      <c r="A2188" s="28">
        <v>17852</v>
      </c>
      <c r="B2188" s="91">
        <v>44975.708969907406</v>
      </c>
      <c r="C2188" s="28" t="s">
        <v>10</v>
      </c>
      <c r="D2188" s="28" t="s">
        <v>726</v>
      </c>
      <c r="E2188" s="28"/>
      <c r="F2188" s="28">
        <v>25</v>
      </c>
      <c r="G2188" s="28">
        <v>100692</v>
      </c>
      <c r="H2188" s="28">
        <v>0</v>
      </c>
      <c r="J2188" s="28"/>
    </row>
    <row r="2189" spans="1:10" ht="15.75" customHeight="1">
      <c r="A2189" s="28">
        <v>17852</v>
      </c>
      <c r="B2189" s="91">
        <v>44975.708969907406</v>
      </c>
      <c r="C2189" s="28" t="s">
        <v>10</v>
      </c>
      <c r="D2189" s="28" t="s">
        <v>726</v>
      </c>
      <c r="E2189" s="28"/>
      <c r="F2189" s="28">
        <v>0</v>
      </c>
      <c r="G2189" s="28" t="s">
        <v>125</v>
      </c>
      <c r="H2189" s="28">
        <v>0</v>
      </c>
      <c r="J2189" s="28"/>
    </row>
    <row r="2190" spans="1:10" ht="15.75" customHeight="1">
      <c r="A2190" s="28">
        <v>17852</v>
      </c>
      <c r="B2190" s="91">
        <v>44975.708969907406</v>
      </c>
      <c r="C2190" s="28" t="s">
        <v>10</v>
      </c>
      <c r="D2190" s="28" t="s">
        <v>726</v>
      </c>
      <c r="E2190" s="28"/>
      <c r="F2190" s="28">
        <v>0</v>
      </c>
      <c r="G2190" s="28" t="s">
        <v>119</v>
      </c>
      <c r="H2190" s="28">
        <v>0</v>
      </c>
      <c r="J2190" s="28"/>
    </row>
    <row r="2191" spans="1:10" ht="15.75" customHeight="1">
      <c r="A2191" s="28">
        <v>17851</v>
      </c>
      <c r="B2191" s="91">
        <v>44975.696111111116</v>
      </c>
      <c r="C2191" s="28" t="s">
        <v>10</v>
      </c>
      <c r="D2191" s="28" t="s">
        <v>971</v>
      </c>
      <c r="E2191" s="28"/>
      <c r="F2191" s="28">
        <v>25</v>
      </c>
      <c r="G2191" s="28">
        <v>100692</v>
      </c>
      <c r="H2191" s="28">
        <v>0</v>
      </c>
      <c r="J2191" s="28"/>
    </row>
    <row r="2192" spans="1:10" ht="15.75" customHeight="1">
      <c r="A2192" s="28">
        <v>17851</v>
      </c>
      <c r="B2192" s="91">
        <v>44975.696111111116</v>
      </c>
      <c r="C2192" s="28" t="s">
        <v>10</v>
      </c>
      <c r="D2192" s="28" t="s">
        <v>971</v>
      </c>
      <c r="E2192" s="28"/>
      <c r="F2192" s="28">
        <v>0</v>
      </c>
      <c r="G2192" s="28" t="s">
        <v>125</v>
      </c>
      <c r="H2192" s="28">
        <v>0</v>
      </c>
      <c r="J2192" s="28"/>
    </row>
    <row r="2193" spans="1:10" ht="15.75" customHeight="1">
      <c r="A2193" s="28">
        <v>17851</v>
      </c>
      <c r="B2193" s="91">
        <v>44975.696111111116</v>
      </c>
      <c r="C2193" s="28" t="s">
        <v>10</v>
      </c>
      <c r="D2193" s="28" t="s">
        <v>971</v>
      </c>
      <c r="E2193" s="28"/>
      <c r="F2193" s="28">
        <v>0</v>
      </c>
      <c r="G2193" s="28" t="s">
        <v>119</v>
      </c>
      <c r="H2193" s="28">
        <v>0</v>
      </c>
      <c r="J2193" s="28"/>
    </row>
    <row r="2194" spans="1:10" ht="15.75" customHeight="1">
      <c r="A2194" s="28">
        <v>17851</v>
      </c>
      <c r="B2194" s="91">
        <v>44975.696111111116</v>
      </c>
      <c r="C2194" s="28" t="s">
        <v>10</v>
      </c>
      <c r="D2194" s="28" t="s">
        <v>971</v>
      </c>
      <c r="E2194" s="28"/>
      <c r="F2194" s="28">
        <v>22</v>
      </c>
      <c r="G2194" s="28" t="s">
        <v>137</v>
      </c>
      <c r="H2194" s="28">
        <v>0</v>
      </c>
      <c r="J2194" s="28"/>
    </row>
    <row r="2195" spans="1:10" ht="15.75" customHeight="1">
      <c r="A2195" s="28">
        <v>17850</v>
      </c>
      <c r="B2195" s="91">
        <v>44975.683969907404</v>
      </c>
      <c r="C2195" s="28" t="s">
        <v>10</v>
      </c>
      <c r="D2195" s="28" t="s">
        <v>972</v>
      </c>
      <c r="E2195" s="28"/>
      <c r="F2195" s="28">
        <v>15</v>
      </c>
      <c r="G2195" s="28" t="s">
        <v>170</v>
      </c>
      <c r="H2195" s="28">
        <v>0</v>
      </c>
      <c r="J2195" s="28"/>
    </row>
    <row r="2196" spans="1:10" ht="15.75" customHeight="1">
      <c r="A2196" s="28">
        <v>17849</v>
      </c>
      <c r="B2196" s="91">
        <v>44975.679282407407</v>
      </c>
      <c r="C2196" s="28" t="s">
        <v>10</v>
      </c>
      <c r="D2196" s="28" t="s">
        <v>692</v>
      </c>
      <c r="E2196" s="28"/>
      <c r="F2196" s="28">
        <v>0</v>
      </c>
      <c r="G2196" s="28" t="s">
        <v>139</v>
      </c>
      <c r="H2196" s="28">
        <v>0</v>
      </c>
      <c r="J2196" s="28"/>
    </row>
    <row r="2197" spans="1:10" ht="15.75" customHeight="1">
      <c r="A2197" s="28">
        <v>17849</v>
      </c>
      <c r="B2197" s="91">
        <v>44975.679282407407</v>
      </c>
      <c r="C2197" s="28" t="s">
        <v>10</v>
      </c>
      <c r="D2197" s="28" t="s">
        <v>692</v>
      </c>
      <c r="E2197" s="28"/>
      <c r="F2197" s="28">
        <v>24</v>
      </c>
      <c r="G2197" s="28" t="s">
        <v>122</v>
      </c>
      <c r="H2197" s="28">
        <v>0</v>
      </c>
      <c r="J2197" s="28"/>
    </row>
    <row r="2198" spans="1:10" ht="15.75" customHeight="1">
      <c r="A2198" s="28">
        <v>17849</v>
      </c>
      <c r="B2198" s="91">
        <v>44975.679282407407</v>
      </c>
      <c r="C2198" s="28" t="s">
        <v>10</v>
      </c>
      <c r="D2198" s="28" t="s">
        <v>692</v>
      </c>
      <c r="E2198" s="28"/>
      <c r="F2198" s="28">
        <v>15</v>
      </c>
      <c r="G2198" s="28" t="s">
        <v>170</v>
      </c>
      <c r="H2198" s="28">
        <v>0</v>
      </c>
      <c r="J2198" s="28"/>
    </row>
    <row r="2199" spans="1:10" ht="15.75" customHeight="1">
      <c r="A2199" s="28">
        <v>17848</v>
      </c>
      <c r="B2199" s="91">
        <v>44975.672037037039</v>
      </c>
      <c r="C2199" s="28" t="s">
        <v>10</v>
      </c>
      <c r="D2199" s="28" t="s">
        <v>807</v>
      </c>
      <c r="E2199" s="28"/>
      <c r="F2199" s="28">
        <v>55</v>
      </c>
      <c r="G2199" s="28">
        <v>101684</v>
      </c>
      <c r="H2199" s="28">
        <v>0</v>
      </c>
      <c r="J2199" s="28"/>
    </row>
    <row r="2200" spans="1:10" ht="15.75" customHeight="1">
      <c r="A2200" s="28">
        <v>17848</v>
      </c>
      <c r="B2200" s="91">
        <v>44975.672037037039</v>
      </c>
      <c r="C2200" s="28" t="s">
        <v>10</v>
      </c>
      <c r="D2200" s="28" t="s">
        <v>807</v>
      </c>
      <c r="E2200" s="28"/>
      <c r="F2200" s="28">
        <v>0</v>
      </c>
      <c r="G2200" s="28" t="s">
        <v>118</v>
      </c>
      <c r="H2200" s="28">
        <v>0</v>
      </c>
      <c r="J2200" s="28"/>
    </row>
    <row r="2201" spans="1:10" ht="15.75" customHeight="1">
      <c r="A2201" s="28">
        <v>17848</v>
      </c>
      <c r="B2201" s="91">
        <v>44975.672037037039</v>
      </c>
      <c r="C2201" s="28" t="s">
        <v>10</v>
      </c>
      <c r="D2201" s="28" t="s">
        <v>807</v>
      </c>
      <c r="E2201" s="28"/>
      <c r="F2201" s="28">
        <v>0</v>
      </c>
      <c r="G2201" s="28" t="s">
        <v>119</v>
      </c>
      <c r="H2201" s="28">
        <v>0</v>
      </c>
      <c r="J2201" s="28"/>
    </row>
    <row r="2202" spans="1:10" ht="15.75" customHeight="1">
      <c r="A2202" s="28">
        <v>17848</v>
      </c>
      <c r="B2202" s="91">
        <v>44975.672037037039</v>
      </c>
      <c r="C2202" s="28" t="s">
        <v>10</v>
      </c>
      <c r="D2202" s="28" t="s">
        <v>807</v>
      </c>
      <c r="E2202" s="28"/>
      <c r="F2202" s="28">
        <v>0</v>
      </c>
      <c r="G2202" s="28" t="s">
        <v>120</v>
      </c>
      <c r="H2202" s="28">
        <v>0</v>
      </c>
      <c r="J2202" s="28"/>
    </row>
    <row r="2203" spans="1:10" ht="15.75" customHeight="1">
      <c r="A2203" s="28">
        <v>17848</v>
      </c>
      <c r="B2203" s="91">
        <v>44975.672037037039</v>
      </c>
      <c r="C2203" s="28" t="s">
        <v>10</v>
      </c>
      <c r="D2203" s="28" t="s">
        <v>807</v>
      </c>
      <c r="E2203" s="28"/>
      <c r="F2203" s="28">
        <v>0</v>
      </c>
      <c r="G2203" s="28" t="s">
        <v>121</v>
      </c>
      <c r="H2203" s="28">
        <v>0</v>
      </c>
      <c r="J2203" s="28"/>
    </row>
    <row r="2204" spans="1:10" ht="15.75" customHeight="1">
      <c r="A2204" s="28">
        <v>17848</v>
      </c>
      <c r="B2204" s="91">
        <v>44975.672037037039</v>
      </c>
      <c r="C2204" s="28" t="s">
        <v>10</v>
      </c>
      <c r="D2204" s="28" t="s">
        <v>807</v>
      </c>
      <c r="E2204" s="28"/>
      <c r="F2204" s="28">
        <v>0</v>
      </c>
      <c r="G2204" s="28" t="s">
        <v>139</v>
      </c>
      <c r="H2204" s="28">
        <v>0</v>
      </c>
      <c r="J2204" s="28"/>
    </row>
    <row r="2205" spans="1:10" ht="15.75" customHeight="1">
      <c r="A2205" s="28">
        <v>17847</v>
      </c>
      <c r="B2205" s="91">
        <v>44975.670451388884</v>
      </c>
      <c r="C2205" s="28" t="s">
        <v>10</v>
      </c>
      <c r="D2205" s="28" t="s">
        <v>701</v>
      </c>
      <c r="E2205" s="28"/>
      <c r="F2205" s="28">
        <v>24</v>
      </c>
      <c r="G2205" s="28" t="s">
        <v>122</v>
      </c>
      <c r="H2205" s="28">
        <v>0</v>
      </c>
      <c r="J2205" s="28"/>
    </row>
    <row r="2206" spans="1:10" ht="15.75" customHeight="1">
      <c r="A2206" s="28">
        <v>17847</v>
      </c>
      <c r="B2206" s="91">
        <v>44975.670451388884</v>
      </c>
      <c r="C2206" s="28" t="s">
        <v>10</v>
      </c>
      <c r="D2206" s="28" t="s">
        <v>701</v>
      </c>
      <c r="E2206" s="28"/>
      <c r="F2206" s="28">
        <v>0</v>
      </c>
      <c r="G2206" s="28" t="s">
        <v>139</v>
      </c>
      <c r="H2206" s="28">
        <v>0</v>
      </c>
      <c r="J2206" s="28"/>
    </row>
    <row r="2207" spans="1:10" ht="15.75" customHeight="1">
      <c r="A2207" s="28">
        <v>17847</v>
      </c>
      <c r="B2207" s="91">
        <v>44975.670451388884</v>
      </c>
      <c r="C2207" s="28" t="s">
        <v>10</v>
      </c>
      <c r="D2207" s="28" t="s">
        <v>701</v>
      </c>
      <c r="E2207" s="28"/>
      <c r="F2207" s="28">
        <v>15</v>
      </c>
      <c r="G2207" s="28" t="s">
        <v>286</v>
      </c>
      <c r="H2207" s="28">
        <v>0</v>
      </c>
      <c r="J2207" s="28"/>
    </row>
    <row r="2208" spans="1:10" ht="15.75" customHeight="1">
      <c r="A2208" s="28">
        <v>17847</v>
      </c>
      <c r="B2208" s="91">
        <v>44975.670451388884</v>
      </c>
      <c r="C2208" s="28" t="s">
        <v>10</v>
      </c>
      <c r="D2208" s="28" t="s">
        <v>701</v>
      </c>
      <c r="E2208" s="28"/>
      <c r="F2208" s="28">
        <v>22</v>
      </c>
      <c r="G2208" s="28" t="s">
        <v>137</v>
      </c>
      <c r="H2208" s="28">
        <v>0</v>
      </c>
      <c r="J2208" s="28"/>
    </row>
    <row r="2209" spans="1:10" ht="15.75" customHeight="1">
      <c r="A2209" s="28">
        <v>17847</v>
      </c>
      <c r="B2209" s="91">
        <v>44975.670451388884</v>
      </c>
      <c r="C2209" s="28" t="s">
        <v>10</v>
      </c>
      <c r="D2209" s="28" t="s">
        <v>701</v>
      </c>
      <c r="E2209" s="28"/>
      <c r="F2209" s="28">
        <v>55</v>
      </c>
      <c r="G2209" s="28">
        <v>101684</v>
      </c>
      <c r="H2209" s="28">
        <v>0</v>
      </c>
      <c r="J2209" s="28"/>
    </row>
    <row r="2210" spans="1:10" ht="15.75" customHeight="1">
      <c r="A2210" s="28">
        <v>17847</v>
      </c>
      <c r="B2210" s="91">
        <v>44975.670451388884</v>
      </c>
      <c r="C2210" s="28" t="s">
        <v>10</v>
      </c>
      <c r="D2210" s="28" t="s">
        <v>701</v>
      </c>
      <c r="E2210" s="28"/>
      <c r="F2210" s="28">
        <v>0</v>
      </c>
      <c r="G2210" s="28" t="s">
        <v>118</v>
      </c>
      <c r="H2210" s="28">
        <v>0</v>
      </c>
      <c r="J2210" s="28"/>
    </row>
    <row r="2211" spans="1:10" ht="15.75" customHeight="1">
      <c r="A2211" s="28">
        <v>17847</v>
      </c>
      <c r="B2211" s="91">
        <v>44975.670451388884</v>
      </c>
      <c r="C2211" s="28" t="s">
        <v>10</v>
      </c>
      <c r="D2211" s="28" t="s">
        <v>701</v>
      </c>
      <c r="E2211" s="28"/>
      <c r="F2211" s="28">
        <v>0</v>
      </c>
      <c r="G2211" s="28" t="s">
        <v>119</v>
      </c>
      <c r="H2211" s="28">
        <v>0</v>
      </c>
      <c r="J2211" s="28"/>
    </row>
    <row r="2212" spans="1:10" ht="15.75" customHeight="1">
      <c r="A2212" s="28">
        <v>17847</v>
      </c>
      <c r="B2212" s="91">
        <v>44975.670451388884</v>
      </c>
      <c r="C2212" s="28" t="s">
        <v>10</v>
      </c>
      <c r="D2212" s="28" t="s">
        <v>701</v>
      </c>
      <c r="E2212" s="28"/>
      <c r="F2212" s="28">
        <v>0</v>
      </c>
      <c r="G2212" s="28" t="s">
        <v>120</v>
      </c>
      <c r="H2212" s="28">
        <v>0</v>
      </c>
      <c r="J2212" s="28"/>
    </row>
    <row r="2213" spans="1:10" ht="15.75" customHeight="1">
      <c r="A2213" s="28">
        <v>17847</v>
      </c>
      <c r="B2213" s="91">
        <v>44975.670451388884</v>
      </c>
      <c r="C2213" s="28" t="s">
        <v>10</v>
      </c>
      <c r="D2213" s="28" t="s">
        <v>701</v>
      </c>
      <c r="E2213" s="28"/>
      <c r="F2213" s="28">
        <v>0</v>
      </c>
      <c r="G2213" s="28" t="s">
        <v>121</v>
      </c>
      <c r="H2213" s="28">
        <v>0</v>
      </c>
      <c r="J2213" s="28"/>
    </row>
    <row r="2214" spans="1:10" ht="15.75" customHeight="1">
      <c r="A2214" s="28">
        <v>17846</v>
      </c>
      <c r="B2214" s="91">
        <v>44975.662893518514</v>
      </c>
      <c r="C2214" s="28" t="s">
        <v>10</v>
      </c>
      <c r="D2214" s="28" t="s">
        <v>973</v>
      </c>
      <c r="E2214" s="28"/>
      <c r="F2214" s="28">
        <v>25</v>
      </c>
      <c r="G2214" s="28">
        <v>100692</v>
      </c>
      <c r="H2214" s="28">
        <v>0</v>
      </c>
      <c r="J2214" s="28"/>
    </row>
    <row r="2215" spans="1:10" ht="15.75" customHeight="1">
      <c r="A2215" s="28">
        <v>17846</v>
      </c>
      <c r="B2215" s="91">
        <v>44975.662893518514</v>
      </c>
      <c r="C2215" s="28" t="s">
        <v>10</v>
      </c>
      <c r="D2215" s="28" t="s">
        <v>973</v>
      </c>
      <c r="E2215" s="28"/>
      <c r="F2215" s="28">
        <v>0</v>
      </c>
      <c r="G2215" s="28" t="s">
        <v>125</v>
      </c>
      <c r="H2215" s="28">
        <v>0</v>
      </c>
      <c r="J2215" s="28"/>
    </row>
    <row r="2216" spans="1:10" ht="15.75" customHeight="1">
      <c r="A2216" s="28">
        <v>17846</v>
      </c>
      <c r="B2216" s="91">
        <v>44975.662893518514</v>
      </c>
      <c r="C2216" s="28" t="s">
        <v>10</v>
      </c>
      <c r="D2216" s="28" t="s">
        <v>973</v>
      </c>
      <c r="E2216" s="28"/>
      <c r="F2216" s="28">
        <v>0</v>
      </c>
      <c r="G2216" s="28" t="s">
        <v>119</v>
      </c>
      <c r="H2216" s="28">
        <v>0</v>
      </c>
      <c r="J2216" s="28"/>
    </row>
    <row r="2217" spans="1:10" ht="15.75" customHeight="1">
      <c r="A2217" s="28">
        <v>17845</v>
      </c>
      <c r="B2217" s="91">
        <v>44975.661944444444</v>
      </c>
      <c r="C2217" s="28" t="s">
        <v>10</v>
      </c>
      <c r="D2217" s="28" t="s">
        <v>974</v>
      </c>
      <c r="E2217" s="28"/>
      <c r="F2217" s="28">
        <v>28</v>
      </c>
      <c r="G2217" s="28" t="s">
        <v>143</v>
      </c>
      <c r="H2217" s="28">
        <v>0</v>
      </c>
      <c r="J2217" s="28"/>
    </row>
    <row r="2218" spans="1:10" ht="15.75" customHeight="1">
      <c r="A2218" s="28">
        <v>17844</v>
      </c>
      <c r="B2218" s="91">
        <v>44975.65829861111</v>
      </c>
      <c r="C2218" s="28" t="s">
        <v>10</v>
      </c>
      <c r="D2218" s="28" t="s">
        <v>975</v>
      </c>
      <c r="E2218" s="28"/>
      <c r="F2218" s="28">
        <v>10</v>
      </c>
      <c r="G2218" s="28" t="s">
        <v>334</v>
      </c>
      <c r="H2218" s="28">
        <v>0</v>
      </c>
      <c r="J2218" s="28"/>
    </row>
    <row r="2219" spans="1:10" ht="15.75" customHeight="1">
      <c r="A2219" s="28">
        <v>17844</v>
      </c>
      <c r="B2219" s="91">
        <v>44975.65829861111</v>
      </c>
      <c r="C2219" s="28" t="s">
        <v>10</v>
      </c>
      <c r="D2219" s="28" t="s">
        <v>975</v>
      </c>
      <c r="E2219" s="28"/>
      <c r="F2219" s="28">
        <v>35</v>
      </c>
      <c r="G2219" s="28" t="s">
        <v>124</v>
      </c>
      <c r="H2219" s="28">
        <v>0</v>
      </c>
      <c r="J2219" s="28"/>
    </row>
    <row r="2220" spans="1:10" ht="15.75" customHeight="1">
      <c r="A2220" s="28">
        <v>17844</v>
      </c>
      <c r="B2220" s="91">
        <v>44975.65829861111</v>
      </c>
      <c r="C2220" s="28" t="s">
        <v>10</v>
      </c>
      <c r="D2220" s="28" t="s">
        <v>975</v>
      </c>
      <c r="E2220" s="28"/>
      <c r="F2220" s="28">
        <v>0</v>
      </c>
      <c r="G2220" s="28" t="s">
        <v>125</v>
      </c>
      <c r="H2220" s="28">
        <v>0</v>
      </c>
      <c r="J2220" s="28"/>
    </row>
    <row r="2221" spans="1:10" ht="15.75" customHeight="1">
      <c r="A2221" s="28">
        <v>17844</v>
      </c>
      <c r="B2221" s="91">
        <v>44975.65829861111</v>
      </c>
      <c r="C2221" s="28" t="s">
        <v>10</v>
      </c>
      <c r="D2221" s="28" t="s">
        <v>975</v>
      </c>
      <c r="E2221" s="28"/>
      <c r="F2221" s="28">
        <v>0</v>
      </c>
      <c r="G2221" s="28" t="s">
        <v>119</v>
      </c>
      <c r="H2221" s="28">
        <v>0</v>
      </c>
      <c r="J2221" s="28"/>
    </row>
    <row r="2222" spans="1:10" ht="15.75" customHeight="1">
      <c r="A2222" s="28">
        <v>17844</v>
      </c>
      <c r="B2222" s="91">
        <v>44975.65829861111</v>
      </c>
      <c r="C2222" s="28" t="s">
        <v>10</v>
      </c>
      <c r="D2222" s="28" t="s">
        <v>975</v>
      </c>
      <c r="E2222" s="28"/>
      <c r="F2222" s="28">
        <v>0</v>
      </c>
      <c r="G2222" s="28" t="s">
        <v>121</v>
      </c>
      <c r="H2222" s="28">
        <v>0</v>
      </c>
      <c r="J2222" s="28"/>
    </row>
    <row r="2223" spans="1:10" ht="15.75" customHeight="1">
      <c r="A2223" s="28">
        <v>17843</v>
      </c>
      <c r="B2223" s="91">
        <v>44975.652673611112</v>
      </c>
      <c r="C2223" s="28" t="s">
        <v>10</v>
      </c>
      <c r="D2223" s="28" t="s">
        <v>700</v>
      </c>
      <c r="E2223" s="28"/>
      <c r="F2223" s="28">
        <v>28</v>
      </c>
      <c r="G2223" s="28" t="s">
        <v>143</v>
      </c>
      <c r="H2223" s="28">
        <v>0</v>
      </c>
      <c r="J2223" s="28"/>
    </row>
    <row r="2224" spans="1:10" ht="15.75" customHeight="1">
      <c r="A2224" s="28">
        <v>17842</v>
      </c>
      <c r="B2224" s="91">
        <v>44975.651655092588</v>
      </c>
      <c r="C2224" s="28" t="s">
        <v>10</v>
      </c>
      <c r="D2224" s="28" t="s">
        <v>475</v>
      </c>
      <c r="E2224" s="28"/>
      <c r="F2224" s="28">
        <v>25</v>
      </c>
      <c r="G2224" s="28" t="s">
        <v>120</v>
      </c>
      <c r="H2224" s="28">
        <v>0</v>
      </c>
      <c r="J2224" s="28"/>
    </row>
    <row r="2225" spans="1:10" ht="15.75" customHeight="1">
      <c r="A2225" s="28">
        <v>17841</v>
      </c>
      <c r="B2225" s="91">
        <v>44975.650393518517</v>
      </c>
      <c r="C2225" s="28" t="s">
        <v>10</v>
      </c>
      <c r="D2225" s="28" t="s">
        <v>699</v>
      </c>
      <c r="E2225" s="28"/>
      <c r="F2225" s="28">
        <v>28</v>
      </c>
      <c r="G2225" s="28" t="s">
        <v>143</v>
      </c>
      <c r="H2225" s="28">
        <v>0</v>
      </c>
      <c r="J2225" s="28"/>
    </row>
    <row r="2226" spans="1:10" ht="15.75" customHeight="1">
      <c r="A2226" s="28">
        <v>17840</v>
      </c>
      <c r="B2226" s="91">
        <v>44975.647256944445</v>
      </c>
      <c r="C2226" s="28" t="s">
        <v>10</v>
      </c>
      <c r="D2226" s="28" t="s">
        <v>923</v>
      </c>
      <c r="E2226" s="28"/>
      <c r="F2226" s="28">
        <v>28</v>
      </c>
      <c r="G2226" s="28" t="s">
        <v>143</v>
      </c>
      <c r="H2226" s="28">
        <v>0</v>
      </c>
      <c r="J2226" s="28"/>
    </row>
    <row r="2227" spans="1:10" ht="15.75" customHeight="1">
      <c r="A2227" s="28">
        <v>17839</v>
      </c>
      <c r="B2227" s="91">
        <v>44975.646134259259</v>
      </c>
      <c r="C2227" s="28" t="s">
        <v>10</v>
      </c>
      <c r="D2227" s="28" t="s">
        <v>728</v>
      </c>
      <c r="E2227" s="28"/>
      <c r="F2227" s="28">
        <v>25</v>
      </c>
      <c r="G2227" s="28">
        <v>100692</v>
      </c>
      <c r="H2227" s="28">
        <v>0</v>
      </c>
      <c r="J2227" s="28"/>
    </row>
    <row r="2228" spans="1:10" ht="15.75" customHeight="1">
      <c r="A2228" s="28">
        <v>17839</v>
      </c>
      <c r="B2228" s="91">
        <v>44975.646134259259</v>
      </c>
      <c r="C2228" s="28" t="s">
        <v>10</v>
      </c>
      <c r="D2228" s="28" t="s">
        <v>728</v>
      </c>
      <c r="E2228" s="28"/>
      <c r="F2228" s="28">
        <v>0</v>
      </c>
      <c r="G2228" s="28" t="s">
        <v>125</v>
      </c>
      <c r="H2228" s="28">
        <v>0</v>
      </c>
      <c r="J2228" s="28"/>
    </row>
    <row r="2229" spans="1:10" ht="15.75" customHeight="1">
      <c r="A2229" s="28">
        <v>17839</v>
      </c>
      <c r="B2229" s="91">
        <v>44975.646134259259</v>
      </c>
      <c r="C2229" s="28" t="s">
        <v>10</v>
      </c>
      <c r="D2229" s="28" t="s">
        <v>728</v>
      </c>
      <c r="E2229" s="28"/>
      <c r="F2229" s="28">
        <v>0</v>
      </c>
      <c r="G2229" s="28" t="s">
        <v>119</v>
      </c>
      <c r="H2229" s="28">
        <v>0</v>
      </c>
      <c r="J2229" s="28"/>
    </row>
    <row r="2230" spans="1:10" ht="15.75" customHeight="1">
      <c r="A2230" s="28">
        <v>17839</v>
      </c>
      <c r="B2230" s="91">
        <v>44975.646134259259</v>
      </c>
      <c r="C2230" s="28" t="s">
        <v>10</v>
      </c>
      <c r="D2230" s="28" t="s">
        <v>728</v>
      </c>
      <c r="E2230" s="28"/>
      <c r="F2230" s="28">
        <v>35</v>
      </c>
      <c r="G2230" s="28" t="s">
        <v>124</v>
      </c>
      <c r="H2230" s="28">
        <v>0</v>
      </c>
      <c r="J2230" s="28"/>
    </row>
    <row r="2231" spans="1:10" ht="15.75" customHeight="1">
      <c r="A2231" s="28">
        <v>17839</v>
      </c>
      <c r="B2231" s="91">
        <v>44975.646134259259</v>
      </c>
      <c r="C2231" s="28" t="s">
        <v>10</v>
      </c>
      <c r="D2231" s="28" t="s">
        <v>728</v>
      </c>
      <c r="E2231" s="28"/>
      <c r="F2231" s="28">
        <v>0</v>
      </c>
      <c r="G2231" s="28" t="s">
        <v>125</v>
      </c>
      <c r="H2231" s="28">
        <v>0</v>
      </c>
      <c r="J2231" s="28"/>
    </row>
    <row r="2232" spans="1:10" ht="15.75" customHeight="1">
      <c r="A2232" s="28">
        <v>17839</v>
      </c>
      <c r="B2232" s="91">
        <v>44975.646134259259</v>
      </c>
      <c r="C2232" s="28" t="s">
        <v>10</v>
      </c>
      <c r="D2232" s="28" t="s">
        <v>728</v>
      </c>
      <c r="E2232" s="28"/>
      <c r="F2232" s="28">
        <v>0</v>
      </c>
      <c r="G2232" s="28" t="s">
        <v>119</v>
      </c>
      <c r="H2232" s="28">
        <v>0</v>
      </c>
      <c r="J2232" s="28"/>
    </row>
    <row r="2233" spans="1:10" ht="15.75" customHeight="1">
      <c r="A2233" s="28">
        <v>17839</v>
      </c>
      <c r="B2233" s="91">
        <v>44975.646134259259</v>
      </c>
      <c r="C2233" s="28" t="s">
        <v>10</v>
      </c>
      <c r="D2233" s="28" t="s">
        <v>728</v>
      </c>
      <c r="E2233" s="28"/>
      <c r="F2233" s="28">
        <v>0</v>
      </c>
      <c r="G2233" s="28" t="s">
        <v>121</v>
      </c>
      <c r="H2233" s="28">
        <v>0</v>
      </c>
      <c r="J2233" s="28"/>
    </row>
    <row r="2234" spans="1:10" ht="15.75" customHeight="1">
      <c r="A2234" s="28">
        <v>17838</v>
      </c>
      <c r="B2234" s="91">
        <v>44975.628229166672</v>
      </c>
      <c r="C2234" s="28" t="s">
        <v>10</v>
      </c>
      <c r="D2234" s="28" t="s">
        <v>976</v>
      </c>
      <c r="E2234" s="28"/>
      <c r="F2234" s="28">
        <v>28</v>
      </c>
      <c r="G2234" s="28" t="s">
        <v>143</v>
      </c>
      <c r="H2234" s="28">
        <v>0</v>
      </c>
      <c r="J2234" s="28"/>
    </row>
    <row r="2235" spans="1:10" ht="15.75" customHeight="1">
      <c r="A2235" s="28">
        <v>17837</v>
      </c>
      <c r="B2235" s="91">
        <v>44975.62799768518</v>
      </c>
      <c r="C2235" s="28" t="s">
        <v>10</v>
      </c>
      <c r="D2235" s="28" t="s">
        <v>863</v>
      </c>
      <c r="E2235" s="28"/>
      <c r="F2235" s="28">
        <v>55</v>
      </c>
      <c r="G2235" s="28">
        <v>101684</v>
      </c>
      <c r="H2235" s="28">
        <v>0</v>
      </c>
      <c r="J2235" s="28"/>
    </row>
    <row r="2236" spans="1:10" ht="15.75" customHeight="1">
      <c r="A2236" s="28">
        <v>17837</v>
      </c>
      <c r="B2236" s="91">
        <v>44975.62799768518</v>
      </c>
      <c r="C2236" s="28" t="s">
        <v>10</v>
      </c>
      <c r="D2236" s="28" t="s">
        <v>863</v>
      </c>
      <c r="E2236" s="28"/>
      <c r="F2236" s="28">
        <v>0</v>
      </c>
      <c r="G2236" s="28" t="s">
        <v>118</v>
      </c>
      <c r="H2236" s="28">
        <v>0</v>
      </c>
      <c r="J2236" s="28"/>
    </row>
    <row r="2237" spans="1:10" ht="15.75" customHeight="1">
      <c r="A2237" s="28">
        <v>17837</v>
      </c>
      <c r="B2237" s="91">
        <v>44975.62799768518</v>
      </c>
      <c r="C2237" s="28" t="s">
        <v>10</v>
      </c>
      <c r="D2237" s="28" t="s">
        <v>863</v>
      </c>
      <c r="E2237" s="28"/>
      <c r="F2237" s="28">
        <v>0</v>
      </c>
      <c r="G2237" s="28" t="s">
        <v>119</v>
      </c>
      <c r="H2237" s="28">
        <v>0</v>
      </c>
      <c r="J2237" s="28"/>
    </row>
    <row r="2238" spans="1:10" ht="15.75" customHeight="1">
      <c r="A2238" s="28">
        <v>17837</v>
      </c>
      <c r="B2238" s="91">
        <v>44975.62799768518</v>
      </c>
      <c r="C2238" s="28" t="s">
        <v>10</v>
      </c>
      <c r="D2238" s="28" t="s">
        <v>863</v>
      </c>
      <c r="E2238" s="28"/>
      <c r="F2238" s="28">
        <v>0</v>
      </c>
      <c r="G2238" s="28" t="s">
        <v>120</v>
      </c>
      <c r="H2238" s="28">
        <v>0</v>
      </c>
      <c r="J2238" s="28"/>
    </row>
    <row r="2239" spans="1:10" ht="15.75" customHeight="1">
      <c r="A2239" s="28">
        <v>17837</v>
      </c>
      <c r="B2239" s="91">
        <v>44975.62799768518</v>
      </c>
      <c r="C2239" s="28" t="s">
        <v>10</v>
      </c>
      <c r="D2239" s="28" t="s">
        <v>863</v>
      </c>
      <c r="E2239" s="28"/>
      <c r="F2239" s="28">
        <v>0</v>
      </c>
      <c r="G2239" s="28" t="s">
        <v>121</v>
      </c>
      <c r="H2239" s="28">
        <v>0</v>
      </c>
      <c r="J2239" s="28"/>
    </row>
    <row r="2240" spans="1:10" ht="15.75" customHeight="1">
      <c r="A2240" s="28">
        <v>17836</v>
      </c>
      <c r="B2240" s="91">
        <v>44975.61518518519</v>
      </c>
      <c r="C2240" s="28" t="s">
        <v>10</v>
      </c>
      <c r="D2240" s="28" t="s">
        <v>977</v>
      </c>
      <c r="E2240" s="28"/>
      <c r="F2240" s="28">
        <v>36</v>
      </c>
      <c r="G2240" s="28" t="s">
        <v>119</v>
      </c>
      <c r="H2240" s="28">
        <v>0</v>
      </c>
      <c r="J2240" s="28"/>
    </row>
    <row r="2241" spans="1:10" ht="15.75" customHeight="1">
      <c r="A2241" s="28">
        <v>17835</v>
      </c>
      <c r="B2241" s="91">
        <v>44975.611030092594</v>
      </c>
      <c r="C2241" s="28" t="s">
        <v>10</v>
      </c>
      <c r="D2241" s="28" t="s">
        <v>978</v>
      </c>
      <c r="E2241" s="28"/>
      <c r="F2241" s="28">
        <v>20</v>
      </c>
      <c r="G2241" s="28" t="s">
        <v>148</v>
      </c>
      <c r="H2241" s="28">
        <v>0</v>
      </c>
      <c r="J2241" s="28"/>
    </row>
    <row r="2242" spans="1:10" ht="15.75" customHeight="1">
      <c r="A2242" s="28">
        <v>17834</v>
      </c>
      <c r="B2242" s="91">
        <v>44975.609537037039</v>
      </c>
      <c r="C2242" s="28" t="s">
        <v>10</v>
      </c>
      <c r="D2242" s="28" t="s">
        <v>976</v>
      </c>
      <c r="E2242" s="28"/>
      <c r="F2242" s="28">
        <v>25</v>
      </c>
      <c r="G2242" s="28">
        <v>100692</v>
      </c>
      <c r="H2242" s="28">
        <v>0</v>
      </c>
      <c r="J2242" s="28"/>
    </row>
    <row r="2243" spans="1:10" ht="15.75" customHeight="1">
      <c r="A2243" s="28">
        <v>17834</v>
      </c>
      <c r="B2243" s="91">
        <v>44975.609537037039</v>
      </c>
      <c r="C2243" s="28" t="s">
        <v>10</v>
      </c>
      <c r="D2243" s="28" t="s">
        <v>976</v>
      </c>
      <c r="E2243" s="28"/>
      <c r="F2243" s="28">
        <v>0</v>
      </c>
      <c r="G2243" s="28" t="s">
        <v>125</v>
      </c>
      <c r="H2243" s="28">
        <v>0</v>
      </c>
      <c r="J2243" s="28"/>
    </row>
    <row r="2244" spans="1:10" ht="15.75" customHeight="1">
      <c r="A2244" s="28">
        <v>17834</v>
      </c>
      <c r="B2244" s="91">
        <v>44975.609537037039</v>
      </c>
      <c r="C2244" s="28" t="s">
        <v>10</v>
      </c>
      <c r="D2244" s="28" t="s">
        <v>976</v>
      </c>
      <c r="E2244" s="28"/>
      <c r="F2244" s="28">
        <v>0</v>
      </c>
      <c r="G2244" s="28" t="s">
        <v>119</v>
      </c>
      <c r="H2244" s="28">
        <v>0</v>
      </c>
      <c r="J2244" s="28"/>
    </row>
    <row r="2245" spans="1:10" ht="15.75" customHeight="1">
      <c r="A2245" s="28">
        <v>17833</v>
      </c>
      <c r="B2245" s="91">
        <v>44975.607094907406</v>
      </c>
      <c r="C2245" s="28" t="s">
        <v>10</v>
      </c>
      <c r="D2245" s="28" t="s">
        <v>979</v>
      </c>
      <c r="E2245" s="28"/>
      <c r="F2245" s="28">
        <v>24</v>
      </c>
      <c r="G2245" s="28" t="s">
        <v>122</v>
      </c>
      <c r="H2245" s="28">
        <v>0</v>
      </c>
      <c r="J2245" s="28"/>
    </row>
    <row r="2246" spans="1:10" ht="15.75" customHeight="1">
      <c r="A2246" s="28">
        <v>17833</v>
      </c>
      <c r="B2246" s="91">
        <v>44975.607094907406</v>
      </c>
      <c r="C2246" s="28" t="s">
        <v>10</v>
      </c>
      <c r="D2246" s="28" t="s">
        <v>979</v>
      </c>
      <c r="E2246" s="28"/>
      <c r="F2246" s="28">
        <v>100</v>
      </c>
      <c r="G2246" s="28" t="s">
        <v>908</v>
      </c>
      <c r="H2246" s="28">
        <v>0</v>
      </c>
      <c r="J2246" s="28"/>
    </row>
    <row r="2247" spans="1:10" ht="15.75" customHeight="1">
      <c r="A2247" s="28">
        <v>17832</v>
      </c>
      <c r="B2247" s="91">
        <v>44975.597395833334</v>
      </c>
      <c r="C2247" s="28" t="s">
        <v>10</v>
      </c>
      <c r="D2247" s="28" t="s">
        <v>647</v>
      </c>
      <c r="E2247" s="28"/>
      <c r="F2247" s="28">
        <v>0</v>
      </c>
      <c r="G2247" s="28" t="s">
        <v>139</v>
      </c>
      <c r="H2247" s="28">
        <v>0</v>
      </c>
      <c r="J2247" s="28"/>
    </row>
    <row r="2248" spans="1:10" ht="15.75" customHeight="1">
      <c r="A2248" s="28">
        <v>17832</v>
      </c>
      <c r="B2248" s="91">
        <v>44975.597395833334</v>
      </c>
      <c r="C2248" s="28" t="s">
        <v>10</v>
      </c>
      <c r="D2248" s="28" t="s">
        <v>647</v>
      </c>
      <c r="E2248" s="28"/>
      <c r="F2248" s="28">
        <v>35</v>
      </c>
      <c r="G2248" s="28" t="s">
        <v>124</v>
      </c>
      <c r="H2248" s="28">
        <v>0</v>
      </c>
      <c r="J2248" s="28"/>
    </row>
    <row r="2249" spans="1:10" ht="15.75" customHeight="1">
      <c r="A2249" s="28">
        <v>17832</v>
      </c>
      <c r="B2249" s="91">
        <v>44975.597395833334</v>
      </c>
      <c r="C2249" s="28" t="s">
        <v>10</v>
      </c>
      <c r="D2249" s="28" t="s">
        <v>647</v>
      </c>
      <c r="E2249" s="28"/>
      <c r="F2249" s="28">
        <v>0</v>
      </c>
      <c r="G2249" s="28" t="s">
        <v>125</v>
      </c>
      <c r="H2249" s="28">
        <v>0</v>
      </c>
      <c r="J2249" s="28"/>
    </row>
    <row r="2250" spans="1:10" ht="15.75" customHeight="1">
      <c r="A2250" s="28">
        <v>17832</v>
      </c>
      <c r="B2250" s="91">
        <v>44975.597395833334</v>
      </c>
      <c r="C2250" s="28" t="s">
        <v>10</v>
      </c>
      <c r="D2250" s="28" t="s">
        <v>647</v>
      </c>
      <c r="E2250" s="28"/>
      <c r="F2250" s="28">
        <v>0</v>
      </c>
      <c r="G2250" s="28" t="s">
        <v>119</v>
      </c>
      <c r="H2250" s="28">
        <v>0</v>
      </c>
      <c r="J2250" s="28"/>
    </row>
    <row r="2251" spans="1:10" ht="15.75" customHeight="1">
      <c r="A2251" s="28">
        <v>17832</v>
      </c>
      <c r="B2251" s="91">
        <v>44975.597395833334</v>
      </c>
      <c r="C2251" s="28" t="s">
        <v>10</v>
      </c>
      <c r="D2251" s="28" t="s">
        <v>647</v>
      </c>
      <c r="E2251" s="28"/>
      <c r="F2251" s="28">
        <v>0</v>
      </c>
      <c r="G2251" s="28" t="s">
        <v>121</v>
      </c>
      <c r="H2251" s="28">
        <v>0</v>
      </c>
      <c r="J2251" s="28"/>
    </row>
    <row r="2252" spans="1:10" ht="15.75" customHeight="1">
      <c r="A2252" s="28">
        <v>17832</v>
      </c>
      <c r="B2252" s="91">
        <v>44975.597395833334</v>
      </c>
      <c r="C2252" s="28" t="s">
        <v>10</v>
      </c>
      <c r="D2252" s="28" t="s">
        <v>647</v>
      </c>
      <c r="E2252" s="28"/>
      <c r="F2252" s="28">
        <v>24</v>
      </c>
      <c r="G2252" s="28" t="s">
        <v>122</v>
      </c>
      <c r="H2252" s="28">
        <v>0</v>
      </c>
      <c r="J2252" s="28"/>
    </row>
    <row r="2253" spans="1:10" ht="15.75" customHeight="1">
      <c r="A2253" s="28">
        <v>17832</v>
      </c>
      <c r="B2253" s="91">
        <v>44975.597395833334</v>
      </c>
      <c r="C2253" s="28" t="s">
        <v>10</v>
      </c>
      <c r="D2253" s="28" t="s">
        <v>647</v>
      </c>
      <c r="E2253" s="28"/>
      <c r="F2253" s="28">
        <v>15</v>
      </c>
      <c r="G2253" s="28"/>
      <c r="H2253" s="28">
        <v>0</v>
      </c>
      <c r="J2253" s="28"/>
    </row>
    <row r="2254" spans="1:10" ht="15.75" customHeight="1">
      <c r="A2254" s="28">
        <v>17831</v>
      </c>
      <c r="B2254" s="91">
        <v>44975.595219907409</v>
      </c>
      <c r="C2254" s="28" t="s">
        <v>10</v>
      </c>
      <c r="D2254" s="28" t="s">
        <v>980</v>
      </c>
      <c r="E2254" s="28"/>
      <c r="F2254" s="28">
        <v>25</v>
      </c>
      <c r="G2254" s="28">
        <v>100692</v>
      </c>
      <c r="H2254" s="28">
        <v>0</v>
      </c>
      <c r="J2254" s="28"/>
    </row>
    <row r="2255" spans="1:10" ht="15.75" customHeight="1">
      <c r="A2255" s="28">
        <v>17831</v>
      </c>
      <c r="B2255" s="91">
        <v>44975.595219907409</v>
      </c>
      <c r="C2255" s="28" t="s">
        <v>10</v>
      </c>
      <c r="D2255" s="28" t="s">
        <v>980</v>
      </c>
      <c r="E2255" s="28"/>
      <c r="F2255" s="28">
        <v>0</v>
      </c>
      <c r="G2255" s="28" t="s">
        <v>125</v>
      </c>
      <c r="H2255" s="28">
        <v>0</v>
      </c>
      <c r="J2255" s="28"/>
    </row>
    <row r="2256" spans="1:10" ht="15.75" customHeight="1">
      <c r="A2256" s="28">
        <v>17831</v>
      </c>
      <c r="B2256" s="91">
        <v>44975.595219907409</v>
      </c>
      <c r="C2256" s="28" t="s">
        <v>10</v>
      </c>
      <c r="D2256" s="28" t="s">
        <v>980</v>
      </c>
      <c r="E2256" s="28"/>
      <c r="F2256" s="28">
        <v>0</v>
      </c>
      <c r="G2256" s="28" t="s">
        <v>119</v>
      </c>
      <c r="H2256" s="28">
        <v>0</v>
      </c>
      <c r="J2256" s="28"/>
    </row>
    <row r="2257" spans="1:10" ht="15.75" customHeight="1">
      <c r="A2257" s="28">
        <v>17830</v>
      </c>
      <c r="B2257" s="91">
        <v>44975.595023148147</v>
      </c>
      <c r="C2257" s="28" t="s">
        <v>10</v>
      </c>
      <c r="D2257" s="28" t="s">
        <v>981</v>
      </c>
      <c r="E2257" s="28"/>
      <c r="F2257" s="28">
        <v>22</v>
      </c>
      <c r="G2257" s="28" t="s">
        <v>137</v>
      </c>
      <c r="H2257" s="28">
        <v>0</v>
      </c>
      <c r="J2257" s="28"/>
    </row>
    <row r="2258" spans="1:10" ht="15.75" customHeight="1">
      <c r="A2258" s="28">
        <v>17829</v>
      </c>
      <c r="B2258" s="91">
        <v>44975.592939814815</v>
      </c>
      <c r="C2258" s="28" t="s">
        <v>10</v>
      </c>
      <c r="D2258" s="28" t="s">
        <v>982</v>
      </c>
      <c r="E2258" s="28"/>
      <c r="F2258" s="28">
        <v>25</v>
      </c>
      <c r="G2258" s="28">
        <v>100692</v>
      </c>
      <c r="H2258" s="28">
        <v>0</v>
      </c>
      <c r="J2258" s="28"/>
    </row>
    <row r="2259" spans="1:10" ht="15.75" customHeight="1">
      <c r="A2259" s="28">
        <v>17829</v>
      </c>
      <c r="B2259" s="91">
        <v>44975.592939814815</v>
      </c>
      <c r="C2259" s="28" t="s">
        <v>10</v>
      </c>
      <c r="D2259" s="28" t="s">
        <v>982</v>
      </c>
      <c r="E2259" s="28"/>
      <c r="F2259" s="28">
        <v>0</v>
      </c>
      <c r="G2259" s="28" t="s">
        <v>125</v>
      </c>
      <c r="H2259" s="28">
        <v>0</v>
      </c>
      <c r="J2259" s="28"/>
    </row>
    <row r="2260" spans="1:10" ht="15.75" customHeight="1">
      <c r="A2260" s="28">
        <v>17829</v>
      </c>
      <c r="B2260" s="91">
        <v>44975.592939814815</v>
      </c>
      <c r="C2260" s="28" t="s">
        <v>10</v>
      </c>
      <c r="D2260" s="28" t="s">
        <v>982</v>
      </c>
      <c r="E2260" s="28"/>
      <c r="F2260" s="28">
        <v>0</v>
      </c>
      <c r="G2260" s="28" t="s">
        <v>119</v>
      </c>
      <c r="H2260" s="28">
        <v>0</v>
      </c>
      <c r="J2260" s="28"/>
    </row>
    <row r="2261" spans="1:10" ht="15.75" customHeight="1">
      <c r="A2261" s="28">
        <v>17828</v>
      </c>
      <c r="B2261" s="91">
        <v>44975.589409722219</v>
      </c>
      <c r="C2261" s="28" t="s">
        <v>10</v>
      </c>
      <c r="D2261" s="28" t="s">
        <v>983</v>
      </c>
      <c r="E2261" s="28"/>
      <c r="F2261" s="28">
        <v>55</v>
      </c>
      <c r="G2261" s="28">
        <v>101684</v>
      </c>
      <c r="H2261" s="28">
        <v>0</v>
      </c>
      <c r="J2261" s="28"/>
    </row>
    <row r="2262" spans="1:10" ht="15.75" customHeight="1">
      <c r="A2262" s="28">
        <v>17828</v>
      </c>
      <c r="B2262" s="91">
        <v>44975.589409722219</v>
      </c>
      <c r="C2262" s="28" t="s">
        <v>10</v>
      </c>
      <c r="D2262" s="28" t="s">
        <v>983</v>
      </c>
      <c r="E2262" s="28"/>
      <c r="F2262" s="28">
        <v>0</v>
      </c>
      <c r="G2262" s="28" t="s">
        <v>118</v>
      </c>
      <c r="H2262" s="28">
        <v>0</v>
      </c>
      <c r="J2262" s="28"/>
    </row>
    <row r="2263" spans="1:10" ht="15.75" customHeight="1">
      <c r="A2263" s="28">
        <v>17828</v>
      </c>
      <c r="B2263" s="91">
        <v>44975.589409722219</v>
      </c>
      <c r="C2263" s="28" t="s">
        <v>10</v>
      </c>
      <c r="D2263" s="28" t="s">
        <v>983</v>
      </c>
      <c r="E2263" s="28"/>
      <c r="F2263" s="28">
        <v>0</v>
      </c>
      <c r="G2263" s="28" t="s">
        <v>119</v>
      </c>
      <c r="H2263" s="28">
        <v>0</v>
      </c>
      <c r="J2263" s="28"/>
    </row>
    <row r="2264" spans="1:10" ht="15.75" customHeight="1">
      <c r="A2264" s="28">
        <v>17828</v>
      </c>
      <c r="B2264" s="91">
        <v>44975.589409722219</v>
      </c>
      <c r="C2264" s="28" t="s">
        <v>10</v>
      </c>
      <c r="D2264" s="28" t="s">
        <v>983</v>
      </c>
      <c r="E2264" s="28"/>
      <c r="F2264" s="28">
        <v>0</v>
      </c>
      <c r="G2264" s="28" t="s">
        <v>120</v>
      </c>
      <c r="H2264" s="28">
        <v>0</v>
      </c>
      <c r="J2264" s="28"/>
    </row>
    <row r="2265" spans="1:10" ht="15.75" customHeight="1">
      <c r="A2265" s="28">
        <v>17828</v>
      </c>
      <c r="B2265" s="91">
        <v>44975.589409722219</v>
      </c>
      <c r="C2265" s="28" t="s">
        <v>10</v>
      </c>
      <c r="D2265" s="28" t="s">
        <v>983</v>
      </c>
      <c r="E2265" s="28"/>
      <c r="F2265" s="28">
        <v>0</v>
      </c>
      <c r="G2265" s="28" t="s">
        <v>121</v>
      </c>
      <c r="H2265" s="28">
        <v>0</v>
      </c>
      <c r="J2265" s="28"/>
    </row>
    <row r="2266" spans="1:10" ht="15.75" customHeight="1">
      <c r="A2266" s="28">
        <v>17827</v>
      </c>
      <c r="B2266" s="91">
        <v>44975.585787037038</v>
      </c>
      <c r="C2266" s="28" t="s">
        <v>10</v>
      </c>
      <c r="D2266" s="28" t="s">
        <v>984</v>
      </c>
      <c r="E2266" s="28"/>
      <c r="F2266" s="28">
        <v>30</v>
      </c>
      <c r="G2266" s="28" t="s">
        <v>125</v>
      </c>
      <c r="H2266" s="28">
        <v>0</v>
      </c>
      <c r="J2266" s="28"/>
    </row>
    <row r="2267" spans="1:10" ht="15.75" customHeight="1">
      <c r="A2267" s="28">
        <v>17826</v>
      </c>
      <c r="B2267" s="91">
        <v>44975.580231481479</v>
      </c>
      <c r="C2267" s="28" t="s">
        <v>10</v>
      </c>
      <c r="D2267" s="28" t="s">
        <v>853</v>
      </c>
      <c r="E2267" s="28"/>
      <c r="F2267" s="28">
        <v>55</v>
      </c>
      <c r="G2267" s="28">
        <v>101684</v>
      </c>
      <c r="H2267" s="28">
        <v>0</v>
      </c>
      <c r="J2267" s="28"/>
    </row>
    <row r="2268" spans="1:10" ht="15.75" customHeight="1">
      <c r="A2268" s="28">
        <v>17826</v>
      </c>
      <c r="B2268" s="91">
        <v>44975.580231481479</v>
      </c>
      <c r="C2268" s="28" t="s">
        <v>10</v>
      </c>
      <c r="D2268" s="28" t="s">
        <v>853</v>
      </c>
      <c r="E2268" s="28"/>
      <c r="F2268" s="28">
        <v>0</v>
      </c>
      <c r="G2268" s="28" t="s">
        <v>118</v>
      </c>
      <c r="H2268" s="28">
        <v>0</v>
      </c>
      <c r="J2268" s="28"/>
    </row>
    <row r="2269" spans="1:10" ht="15.75" customHeight="1">
      <c r="A2269" s="28">
        <v>17826</v>
      </c>
      <c r="B2269" s="91">
        <v>44975.580231481479</v>
      </c>
      <c r="C2269" s="28" t="s">
        <v>10</v>
      </c>
      <c r="D2269" s="28" t="s">
        <v>853</v>
      </c>
      <c r="E2269" s="28"/>
      <c r="F2269" s="28">
        <v>0</v>
      </c>
      <c r="G2269" s="28" t="s">
        <v>119</v>
      </c>
      <c r="H2269" s="28">
        <v>0</v>
      </c>
      <c r="J2269" s="28"/>
    </row>
    <row r="2270" spans="1:10" ht="15.75" customHeight="1">
      <c r="A2270" s="28">
        <v>17826</v>
      </c>
      <c r="B2270" s="91">
        <v>44975.580231481479</v>
      </c>
      <c r="C2270" s="28" t="s">
        <v>10</v>
      </c>
      <c r="D2270" s="28" t="s">
        <v>853</v>
      </c>
      <c r="E2270" s="28"/>
      <c r="F2270" s="28">
        <v>0</v>
      </c>
      <c r="G2270" s="28" t="s">
        <v>120</v>
      </c>
      <c r="H2270" s="28">
        <v>0</v>
      </c>
      <c r="J2270" s="28"/>
    </row>
    <row r="2271" spans="1:10" ht="15.75" customHeight="1">
      <c r="A2271" s="28">
        <v>17826</v>
      </c>
      <c r="B2271" s="91">
        <v>44975.580231481479</v>
      </c>
      <c r="C2271" s="28" t="s">
        <v>10</v>
      </c>
      <c r="D2271" s="28" t="s">
        <v>853</v>
      </c>
      <c r="E2271" s="28"/>
      <c r="F2271" s="28">
        <v>0</v>
      </c>
      <c r="G2271" s="28" t="s">
        <v>121</v>
      </c>
      <c r="H2271" s="28">
        <v>0</v>
      </c>
      <c r="J2271" s="28"/>
    </row>
    <row r="2272" spans="1:10" ht="15.75" customHeight="1">
      <c r="A2272" s="28">
        <v>17825</v>
      </c>
      <c r="B2272" s="91">
        <v>44975.575891203705</v>
      </c>
      <c r="C2272" s="28" t="s">
        <v>10</v>
      </c>
      <c r="D2272" s="28" t="s">
        <v>985</v>
      </c>
      <c r="E2272" s="28"/>
      <c r="F2272" s="28">
        <v>28</v>
      </c>
      <c r="G2272" s="28" t="s">
        <v>143</v>
      </c>
      <c r="H2272" s="28">
        <v>0</v>
      </c>
      <c r="J2272" s="28"/>
    </row>
    <row r="2273" spans="1:10" ht="15.75" customHeight="1">
      <c r="A2273" s="28">
        <v>17824</v>
      </c>
      <c r="B2273" s="91">
        <v>44975.557812500003</v>
      </c>
      <c r="C2273" s="28" t="s">
        <v>10</v>
      </c>
      <c r="D2273" s="28" t="s">
        <v>986</v>
      </c>
      <c r="E2273" s="28"/>
      <c r="F2273" s="28">
        <v>0</v>
      </c>
      <c r="G2273" s="28" t="s">
        <v>139</v>
      </c>
      <c r="H2273" s="28">
        <v>0</v>
      </c>
      <c r="J2273" s="28"/>
    </row>
    <row r="2274" spans="1:10" ht="15.75" customHeight="1">
      <c r="A2274" s="28">
        <v>17824</v>
      </c>
      <c r="B2274" s="91">
        <v>44975.557812500003</v>
      </c>
      <c r="C2274" s="28" t="s">
        <v>10</v>
      </c>
      <c r="D2274" s="28" t="s">
        <v>986</v>
      </c>
      <c r="E2274" s="28"/>
      <c r="F2274" s="28">
        <v>25</v>
      </c>
      <c r="G2274" s="28">
        <v>100692</v>
      </c>
      <c r="H2274" s="28">
        <v>0</v>
      </c>
      <c r="J2274" s="28"/>
    </row>
    <row r="2275" spans="1:10" ht="15.75" customHeight="1">
      <c r="A2275" s="28">
        <v>17824</v>
      </c>
      <c r="B2275" s="91">
        <v>44975.557812500003</v>
      </c>
      <c r="C2275" s="28" t="s">
        <v>10</v>
      </c>
      <c r="D2275" s="28" t="s">
        <v>986</v>
      </c>
      <c r="E2275" s="28"/>
      <c r="F2275" s="28">
        <v>0</v>
      </c>
      <c r="G2275" s="28" t="s">
        <v>125</v>
      </c>
      <c r="H2275" s="28">
        <v>0</v>
      </c>
      <c r="J2275" s="28"/>
    </row>
    <row r="2276" spans="1:10" ht="15.75" customHeight="1">
      <c r="A2276" s="28">
        <v>17824</v>
      </c>
      <c r="B2276" s="91">
        <v>44975.557812500003</v>
      </c>
      <c r="C2276" s="28" t="s">
        <v>10</v>
      </c>
      <c r="D2276" s="28" t="s">
        <v>986</v>
      </c>
      <c r="E2276" s="28"/>
      <c r="F2276" s="28">
        <v>0</v>
      </c>
      <c r="G2276" s="28" t="s">
        <v>119</v>
      </c>
      <c r="H2276" s="28">
        <v>0</v>
      </c>
      <c r="J2276" s="28"/>
    </row>
    <row r="2277" spans="1:10" ht="15.75" customHeight="1">
      <c r="A2277" s="28">
        <v>17823</v>
      </c>
      <c r="B2277" s="91">
        <v>44975.539097222223</v>
      </c>
      <c r="C2277" s="28" t="s">
        <v>10</v>
      </c>
      <c r="D2277" s="28" t="s">
        <v>987</v>
      </c>
      <c r="E2277" s="28"/>
      <c r="F2277" s="28">
        <v>25</v>
      </c>
      <c r="G2277" s="28" t="s">
        <v>120</v>
      </c>
      <c r="H2277" s="28">
        <v>0</v>
      </c>
      <c r="J2277" s="28"/>
    </row>
    <row r="2278" spans="1:10" ht="15.75" customHeight="1">
      <c r="A2278" s="28">
        <v>17822</v>
      </c>
      <c r="B2278" s="91">
        <v>44975.537974537037</v>
      </c>
      <c r="C2278" s="28" t="s">
        <v>10</v>
      </c>
      <c r="D2278" s="28" t="s">
        <v>988</v>
      </c>
      <c r="E2278" s="28"/>
      <c r="F2278" s="28">
        <v>25</v>
      </c>
      <c r="G2278" s="28">
        <v>100692</v>
      </c>
      <c r="H2278" s="28">
        <v>0</v>
      </c>
      <c r="J2278" s="28"/>
    </row>
    <row r="2279" spans="1:10" ht="15.75" customHeight="1">
      <c r="A2279" s="28">
        <v>17822</v>
      </c>
      <c r="B2279" s="91">
        <v>44975.537974537037</v>
      </c>
      <c r="C2279" s="28" t="s">
        <v>10</v>
      </c>
      <c r="D2279" s="28" t="s">
        <v>988</v>
      </c>
      <c r="E2279" s="28"/>
      <c r="F2279" s="28">
        <v>0</v>
      </c>
      <c r="G2279" s="28" t="s">
        <v>125</v>
      </c>
      <c r="H2279" s="28">
        <v>0</v>
      </c>
      <c r="J2279" s="28"/>
    </row>
    <row r="2280" spans="1:10" ht="15.75" customHeight="1">
      <c r="A2280" s="28">
        <v>17822</v>
      </c>
      <c r="B2280" s="91">
        <v>44975.537974537037</v>
      </c>
      <c r="C2280" s="28" t="s">
        <v>10</v>
      </c>
      <c r="D2280" s="28" t="s">
        <v>988</v>
      </c>
      <c r="E2280" s="28"/>
      <c r="F2280" s="28">
        <v>0</v>
      </c>
      <c r="G2280" s="28" t="s">
        <v>119</v>
      </c>
      <c r="H2280" s="28">
        <v>0</v>
      </c>
      <c r="J2280" s="28"/>
    </row>
    <row r="2281" spans="1:10" ht="15.75" customHeight="1">
      <c r="A2281" s="28">
        <v>17821</v>
      </c>
      <c r="B2281" s="91">
        <v>44975.526030092587</v>
      </c>
      <c r="C2281" s="28" t="s">
        <v>10</v>
      </c>
      <c r="D2281" s="28" t="s">
        <v>656</v>
      </c>
      <c r="E2281" s="28"/>
      <c r="F2281" s="28">
        <v>25</v>
      </c>
      <c r="G2281" s="28">
        <v>100692</v>
      </c>
      <c r="H2281" s="28">
        <v>0</v>
      </c>
      <c r="J2281" s="28"/>
    </row>
    <row r="2282" spans="1:10" ht="15.75" customHeight="1">
      <c r="A2282" s="28">
        <v>17821</v>
      </c>
      <c r="B2282" s="91">
        <v>44975.526030092587</v>
      </c>
      <c r="C2282" s="28" t="s">
        <v>10</v>
      </c>
      <c r="D2282" s="28" t="s">
        <v>656</v>
      </c>
      <c r="E2282" s="28"/>
      <c r="F2282" s="28">
        <v>0</v>
      </c>
      <c r="G2282" s="28" t="s">
        <v>125</v>
      </c>
      <c r="H2282" s="28">
        <v>0</v>
      </c>
      <c r="J2282" s="28"/>
    </row>
    <row r="2283" spans="1:10" ht="15.75" customHeight="1">
      <c r="A2283" s="28">
        <v>17821</v>
      </c>
      <c r="B2283" s="91">
        <v>44975.526030092587</v>
      </c>
      <c r="C2283" s="28" t="s">
        <v>10</v>
      </c>
      <c r="D2283" s="28" t="s">
        <v>656</v>
      </c>
      <c r="E2283" s="28"/>
      <c r="F2283" s="28">
        <v>0</v>
      </c>
      <c r="G2283" s="28" t="s">
        <v>119</v>
      </c>
      <c r="H2283" s="28">
        <v>0</v>
      </c>
      <c r="J2283" s="28"/>
    </row>
    <row r="2284" spans="1:10" ht="15.75" customHeight="1">
      <c r="A2284" s="28">
        <v>17820</v>
      </c>
      <c r="B2284" s="91">
        <v>44975.157731481479</v>
      </c>
      <c r="C2284" s="28" t="s">
        <v>10</v>
      </c>
      <c r="D2284" s="28" t="s">
        <v>648</v>
      </c>
      <c r="E2284" s="28"/>
      <c r="F2284" s="28">
        <v>24</v>
      </c>
      <c r="G2284" s="28" t="s">
        <v>122</v>
      </c>
      <c r="H2284" s="28">
        <v>0</v>
      </c>
      <c r="J2284" s="28"/>
    </row>
    <row r="2285" spans="1:10" ht="15.75" customHeight="1">
      <c r="A2285" s="28">
        <v>17819</v>
      </c>
      <c r="B2285" s="91">
        <v>44975.103749999995</v>
      </c>
      <c r="C2285" s="28" t="s">
        <v>10</v>
      </c>
      <c r="D2285" s="28" t="s">
        <v>989</v>
      </c>
      <c r="E2285" s="28"/>
      <c r="F2285" s="28">
        <v>0</v>
      </c>
      <c r="G2285" s="28" t="s">
        <v>139</v>
      </c>
      <c r="H2285" s="28">
        <v>0</v>
      </c>
      <c r="J2285" s="28"/>
    </row>
    <row r="2286" spans="1:10" ht="15.75" customHeight="1">
      <c r="A2286" s="28">
        <v>17819</v>
      </c>
      <c r="B2286" s="91">
        <v>44975.103749999995</v>
      </c>
      <c r="C2286" s="28" t="s">
        <v>10</v>
      </c>
      <c r="D2286" s="28" t="s">
        <v>989</v>
      </c>
      <c r="E2286" s="28"/>
      <c r="F2286" s="28">
        <v>20</v>
      </c>
      <c r="G2286" s="28" t="s">
        <v>148</v>
      </c>
      <c r="H2286" s="28">
        <v>0</v>
      </c>
      <c r="J2286" s="28"/>
    </row>
    <row r="2287" spans="1:10" ht="15.75" customHeight="1">
      <c r="A2287" s="28">
        <v>17818</v>
      </c>
      <c r="B2287" s="91">
        <v>44975.079918981486</v>
      </c>
      <c r="C2287" s="28" t="s">
        <v>10</v>
      </c>
      <c r="D2287" s="28" t="s">
        <v>325</v>
      </c>
      <c r="E2287" s="28"/>
      <c r="F2287" s="28">
        <v>15</v>
      </c>
      <c r="G2287" s="28"/>
      <c r="H2287" s="28">
        <v>0</v>
      </c>
      <c r="J2287" s="28"/>
    </row>
    <row r="2288" spans="1:10" ht="15.75" customHeight="1">
      <c r="A2288" s="28">
        <v>17817</v>
      </c>
      <c r="B2288" s="91">
        <v>44975.078958333332</v>
      </c>
      <c r="C2288" s="28" t="s">
        <v>10</v>
      </c>
      <c r="D2288" s="28" t="s">
        <v>990</v>
      </c>
      <c r="E2288" s="28"/>
      <c r="F2288" s="28">
        <v>24</v>
      </c>
      <c r="G2288" s="28" t="s">
        <v>122</v>
      </c>
      <c r="H2288" s="28">
        <v>0</v>
      </c>
      <c r="J2288" s="28"/>
    </row>
    <row r="2289" spans="1:10" ht="15.75" customHeight="1">
      <c r="A2289" s="28">
        <v>17816</v>
      </c>
      <c r="B2289" s="91">
        <v>44975.074895833328</v>
      </c>
      <c r="C2289" s="28" t="s">
        <v>10</v>
      </c>
      <c r="D2289" s="28" t="s">
        <v>991</v>
      </c>
      <c r="E2289" s="28"/>
      <c r="F2289" s="28">
        <v>24</v>
      </c>
      <c r="G2289" s="28" t="s">
        <v>122</v>
      </c>
      <c r="H2289" s="28">
        <v>0</v>
      </c>
      <c r="J2289" s="28"/>
    </row>
    <row r="2290" spans="1:10" ht="15.75" customHeight="1">
      <c r="A2290" s="28">
        <v>17815</v>
      </c>
      <c r="B2290" s="91">
        <v>44975.071273148147</v>
      </c>
      <c r="C2290" s="28" t="s">
        <v>10</v>
      </c>
      <c r="D2290" s="28" t="s">
        <v>992</v>
      </c>
      <c r="E2290" s="28"/>
      <c r="F2290" s="28">
        <v>20</v>
      </c>
      <c r="G2290" s="28" t="s">
        <v>205</v>
      </c>
      <c r="H2290" s="28">
        <v>0</v>
      </c>
      <c r="J2290" s="28"/>
    </row>
    <row r="2291" spans="1:10" ht="15.75" customHeight="1">
      <c r="A2291" s="28">
        <v>17815</v>
      </c>
      <c r="B2291" s="91">
        <v>44975.071273148147</v>
      </c>
      <c r="C2291" s="28" t="s">
        <v>10</v>
      </c>
      <c r="D2291" s="28" t="s">
        <v>992</v>
      </c>
      <c r="E2291" s="28"/>
      <c r="F2291" s="28">
        <v>0</v>
      </c>
      <c r="G2291" s="28" t="s">
        <v>125</v>
      </c>
      <c r="H2291" s="28">
        <v>0</v>
      </c>
      <c r="J2291" s="28"/>
    </row>
    <row r="2292" spans="1:10" ht="15.75" customHeight="1">
      <c r="A2292" s="28">
        <v>17814</v>
      </c>
      <c r="B2292" s="91">
        <v>44975.070219907408</v>
      </c>
      <c r="C2292" s="28" t="s">
        <v>10</v>
      </c>
      <c r="D2292" s="28" t="s">
        <v>993</v>
      </c>
      <c r="E2292" s="28"/>
      <c r="F2292" s="28">
        <v>45</v>
      </c>
      <c r="G2292" s="28" t="s">
        <v>286</v>
      </c>
      <c r="H2292" s="28">
        <v>0</v>
      </c>
      <c r="J2292" s="28"/>
    </row>
    <row r="2293" spans="1:10" ht="15.75" customHeight="1">
      <c r="A2293" s="28">
        <v>17813</v>
      </c>
      <c r="B2293" s="91">
        <v>44975.069803240738</v>
      </c>
      <c r="C2293" s="28" t="s">
        <v>10</v>
      </c>
      <c r="D2293" s="28" t="s">
        <v>994</v>
      </c>
      <c r="E2293" s="28"/>
      <c r="F2293" s="28">
        <v>20</v>
      </c>
      <c r="G2293" s="28" t="s">
        <v>205</v>
      </c>
      <c r="H2293" s="28">
        <v>0</v>
      </c>
      <c r="J2293" s="28"/>
    </row>
    <row r="2294" spans="1:10" ht="15.75" customHeight="1">
      <c r="A2294" s="28">
        <v>17813</v>
      </c>
      <c r="B2294" s="91">
        <v>44975.069803240738</v>
      </c>
      <c r="C2294" s="28" t="s">
        <v>10</v>
      </c>
      <c r="D2294" s="28" t="s">
        <v>994</v>
      </c>
      <c r="E2294" s="28"/>
      <c r="F2294" s="28">
        <v>0</v>
      </c>
      <c r="G2294" s="28" t="s">
        <v>125</v>
      </c>
      <c r="H2294" s="28">
        <v>0</v>
      </c>
      <c r="J2294" s="28"/>
    </row>
    <row r="2295" spans="1:10" ht="15.75" customHeight="1">
      <c r="A2295" s="28">
        <v>17813</v>
      </c>
      <c r="B2295" s="91">
        <v>44975.069803240738</v>
      </c>
      <c r="C2295" s="28" t="s">
        <v>10</v>
      </c>
      <c r="D2295" s="28" t="s">
        <v>994</v>
      </c>
      <c r="E2295" s="28"/>
      <c r="F2295" s="28">
        <v>18</v>
      </c>
      <c r="G2295" s="28" t="s">
        <v>457</v>
      </c>
      <c r="H2295" s="28">
        <v>0</v>
      </c>
      <c r="J2295" s="28"/>
    </row>
    <row r="2296" spans="1:10" ht="15.75" customHeight="1">
      <c r="A2296" s="28">
        <v>17812</v>
      </c>
      <c r="B2296" s="91">
        <v>44975.065428240741</v>
      </c>
      <c r="C2296" s="28" t="s">
        <v>10</v>
      </c>
      <c r="D2296" s="28" t="s">
        <v>995</v>
      </c>
      <c r="E2296" s="28"/>
      <c r="F2296" s="28">
        <v>45</v>
      </c>
      <c r="G2296" s="28" t="s">
        <v>286</v>
      </c>
      <c r="H2296" s="28">
        <v>0</v>
      </c>
      <c r="J2296" s="28"/>
    </row>
    <row r="2297" spans="1:10" ht="15.75" customHeight="1">
      <c r="A2297" s="28">
        <v>17811</v>
      </c>
      <c r="B2297" s="91">
        <v>44975.065011574072</v>
      </c>
      <c r="C2297" s="28" t="s">
        <v>10</v>
      </c>
      <c r="D2297" s="28" t="s">
        <v>996</v>
      </c>
      <c r="E2297" s="28"/>
      <c r="F2297" s="28">
        <v>40</v>
      </c>
      <c r="G2297" s="28" t="s">
        <v>205</v>
      </c>
      <c r="H2297" s="28">
        <v>0</v>
      </c>
      <c r="J2297" s="28"/>
    </row>
    <row r="2298" spans="1:10" ht="15.75" customHeight="1">
      <c r="A2298" s="28">
        <v>17811</v>
      </c>
      <c r="B2298" s="91">
        <v>44975.065011574072</v>
      </c>
      <c r="C2298" s="28" t="s">
        <v>10</v>
      </c>
      <c r="D2298" s="28" t="s">
        <v>996</v>
      </c>
      <c r="E2298" s="28"/>
      <c r="F2298" s="28">
        <v>0</v>
      </c>
      <c r="G2298" s="28" t="s">
        <v>125</v>
      </c>
      <c r="H2298" s="28">
        <v>0</v>
      </c>
      <c r="J2298" s="28"/>
    </row>
    <row r="2299" spans="1:10" ht="15.75" customHeight="1">
      <c r="A2299" s="28">
        <v>17810</v>
      </c>
      <c r="B2299" s="91">
        <v>44975.061053240745</v>
      </c>
      <c r="C2299" s="28" t="s">
        <v>10</v>
      </c>
      <c r="D2299" s="28" t="s">
        <v>996</v>
      </c>
      <c r="E2299" s="28"/>
      <c r="F2299" s="28">
        <v>22</v>
      </c>
      <c r="G2299" s="28" t="s">
        <v>137</v>
      </c>
      <c r="H2299" s="28">
        <v>0</v>
      </c>
      <c r="J2299" s="28"/>
    </row>
    <row r="2300" spans="1:10" ht="15.75" customHeight="1">
      <c r="A2300" s="28">
        <v>17809</v>
      </c>
      <c r="B2300" s="91">
        <v>44975.059525462959</v>
      </c>
      <c r="C2300" s="28" t="s">
        <v>10</v>
      </c>
      <c r="D2300" s="28" t="s">
        <v>997</v>
      </c>
      <c r="E2300" s="28"/>
      <c r="F2300" s="28">
        <v>22</v>
      </c>
      <c r="G2300" s="28" t="s">
        <v>137</v>
      </c>
      <c r="H2300" s="28">
        <v>0</v>
      </c>
      <c r="J2300" s="28"/>
    </row>
    <row r="2301" spans="1:10" ht="15.75" customHeight="1">
      <c r="A2301" s="28">
        <v>17808</v>
      </c>
      <c r="B2301" s="91">
        <v>44975.052557870367</v>
      </c>
      <c r="C2301" s="28" t="s">
        <v>10</v>
      </c>
      <c r="D2301" s="28" t="s">
        <v>746</v>
      </c>
      <c r="E2301" s="28"/>
      <c r="F2301" s="28">
        <v>0</v>
      </c>
      <c r="G2301" s="28" t="s">
        <v>139</v>
      </c>
      <c r="H2301" s="28">
        <v>0</v>
      </c>
      <c r="J2301" s="28"/>
    </row>
    <row r="2302" spans="1:10" ht="15.75" customHeight="1">
      <c r="A2302" s="28">
        <v>17808</v>
      </c>
      <c r="B2302" s="91">
        <v>44975.052557870367</v>
      </c>
      <c r="C2302" s="28" t="s">
        <v>10</v>
      </c>
      <c r="D2302" s="28" t="s">
        <v>746</v>
      </c>
      <c r="E2302" s="28"/>
      <c r="F2302" s="28">
        <v>15</v>
      </c>
      <c r="G2302" s="28" t="s">
        <v>286</v>
      </c>
      <c r="H2302" s="28">
        <v>0</v>
      </c>
      <c r="J2302" s="28"/>
    </row>
    <row r="2303" spans="1:10" ht="15.75" customHeight="1">
      <c r="A2303" s="28">
        <v>17807</v>
      </c>
      <c r="B2303" s="91">
        <v>44975.05097222222</v>
      </c>
      <c r="C2303" s="28" t="s">
        <v>10</v>
      </c>
      <c r="D2303" s="28" t="s">
        <v>828</v>
      </c>
      <c r="E2303" s="28"/>
      <c r="F2303" s="28">
        <v>25</v>
      </c>
      <c r="G2303" s="28">
        <v>100692</v>
      </c>
      <c r="H2303" s="28">
        <v>0</v>
      </c>
      <c r="J2303" s="28"/>
    </row>
    <row r="2304" spans="1:10" ht="15.75" customHeight="1">
      <c r="A2304" s="28">
        <v>17807</v>
      </c>
      <c r="B2304" s="91">
        <v>44975.05097222222</v>
      </c>
      <c r="C2304" s="28" t="s">
        <v>10</v>
      </c>
      <c r="D2304" s="28" t="s">
        <v>828</v>
      </c>
      <c r="E2304" s="28"/>
      <c r="F2304" s="28">
        <v>0</v>
      </c>
      <c r="G2304" s="28" t="s">
        <v>125</v>
      </c>
      <c r="H2304" s="28">
        <v>0</v>
      </c>
      <c r="J2304" s="28"/>
    </row>
    <row r="2305" spans="1:10" ht="15.75" customHeight="1">
      <c r="A2305" s="28">
        <v>17807</v>
      </c>
      <c r="B2305" s="91">
        <v>44975.05097222222</v>
      </c>
      <c r="C2305" s="28" t="s">
        <v>10</v>
      </c>
      <c r="D2305" s="28" t="s">
        <v>828</v>
      </c>
      <c r="E2305" s="28"/>
      <c r="F2305" s="28">
        <v>0</v>
      </c>
      <c r="G2305" s="28" t="s">
        <v>119</v>
      </c>
      <c r="H2305" s="28">
        <v>0</v>
      </c>
      <c r="J2305" s="28"/>
    </row>
    <row r="2306" spans="1:10" ht="15.75" customHeight="1">
      <c r="A2306" s="28">
        <v>17806</v>
      </c>
      <c r="B2306" s="91">
        <v>44975.049675925926</v>
      </c>
      <c r="C2306" s="28" t="s">
        <v>10</v>
      </c>
      <c r="D2306" s="28" t="s">
        <v>998</v>
      </c>
      <c r="E2306" s="28"/>
      <c r="F2306" s="28">
        <v>15</v>
      </c>
      <c r="G2306" s="28" t="s">
        <v>170</v>
      </c>
      <c r="H2306" s="28">
        <v>0</v>
      </c>
      <c r="J2306" s="28"/>
    </row>
    <row r="2307" spans="1:10" ht="15.75" customHeight="1">
      <c r="A2307" s="28">
        <v>17805</v>
      </c>
      <c r="B2307" s="91">
        <v>44975.045474537037</v>
      </c>
      <c r="C2307" s="28" t="s">
        <v>10</v>
      </c>
      <c r="D2307" s="28" t="s">
        <v>999</v>
      </c>
      <c r="E2307" s="28"/>
      <c r="F2307" s="28">
        <v>35</v>
      </c>
      <c r="G2307" s="28" t="s">
        <v>124</v>
      </c>
      <c r="H2307" s="28">
        <v>0</v>
      </c>
      <c r="J2307" s="28"/>
    </row>
    <row r="2308" spans="1:10" ht="15.75" customHeight="1">
      <c r="A2308" s="28">
        <v>17805</v>
      </c>
      <c r="B2308" s="91">
        <v>44975.045474537037</v>
      </c>
      <c r="C2308" s="28" t="s">
        <v>10</v>
      </c>
      <c r="D2308" s="28" t="s">
        <v>999</v>
      </c>
      <c r="E2308" s="28"/>
      <c r="F2308" s="28">
        <v>0</v>
      </c>
      <c r="G2308" s="28" t="s">
        <v>125</v>
      </c>
      <c r="H2308" s="28">
        <v>0</v>
      </c>
      <c r="J2308" s="28"/>
    </row>
    <row r="2309" spans="1:10" ht="15.75" customHeight="1">
      <c r="A2309" s="28">
        <v>17805</v>
      </c>
      <c r="B2309" s="91">
        <v>44975.045474537037</v>
      </c>
      <c r="C2309" s="28" t="s">
        <v>10</v>
      </c>
      <c r="D2309" s="28" t="s">
        <v>999</v>
      </c>
      <c r="E2309" s="28"/>
      <c r="F2309" s="28">
        <v>0</v>
      </c>
      <c r="G2309" s="28" t="s">
        <v>119</v>
      </c>
      <c r="H2309" s="28">
        <v>0</v>
      </c>
      <c r="J2309" s="28"/>
    </row>
    <row r="2310" spans="1:10" ht="15.75" customHeight="1">
      <c r="A2310" s="28">
        <v>17805</v>
      </c>
      <c r="B2310" s="91">
        <v>44975.045474537037</v>
      </c>
      <c r="C2310" s="28" t="s">
        <v>10</v>
      </c>
      <c r="D2310" s="28" t="s">
        <v>999</v>
      </c>
      <c r="E2310" s="28"/>
      <c r="F2310" s="28">
        <v>0</v>
      </c>
      <c r="G2310" s="28" t="s">
        <v>121</v>
      </c>
      <c r="H2310" s="28">
        <v>0</v>
      </c>
      <c r="J2310" s="28"/>
    </row>
    <row r="2311" spans="1:10" ht="15.75" customHeight="1">
      <c r="A2311" s="28">
        <v>17804</v>
      </c>
      <c r="B2311" s="91">
        <v>44975.044837962967</v>
      </c>
      <c r="C2311" s="28" t="s">
        <v>10</v>
      </c>
      <c r="D2311" s="28" t="s">
        <v>706</v>
      </c>
      <c r="E2311" s="28"/>
      <c r="F2311" s="28">
        <v>24</v>
      </c>
      <c r="G2311" s="28" t="s">
        <v>122</v>
      </c>
      <c r="H2311" s="28">
        <v>0</v>
      </c>
      <c r="J2311" s="28"/>
    </row>
    <row r="2312" spans="1:10" ht="15.75" customHeight="1">
      <c r="A2312" s="28">
        <v>17803</v>
      </c>
      <c r="B2312" s="91">
        <v>44975.042453703703</v>
      </c>
      <c r="C2312" s="28" t="s">
        <v>10</v>
      </c>
      <c r="D2312" s="28" t="s">
        <v>325</v>
      </c>
      <c r="E2312" s="28"/>
      <c r="F2312" s="28">
        <v>35</v>
      </c>
      <c r="G2312" s="28" t="s">
        <v>124</v>
      </c>
      <c r="H2312" s="28">
        <v>0</v>
      </c>
      <c r="J2312" s="28"/>
    </row>
    <row r="2313" spans="1:10" ht="15.75" customHeight="1">
      <c r="A2313" s="28">
        <v>17803</v>
      </c>
      <c r="B2313" s="91">
        <v>44975.042453703703</v>
      </c>
      <c r="C2313" s="28" t="s">
        <v>10</v>
      </c>
      <c r="D2313" s="28" t="s">
        <v>325</v>
      </c>
      <c r="E2313" s="28"/>
      <c r="F2313" s="28">
        <v>0</v>
      </c>
      <c r="G2313" s="28" t="s">
        <v>125</v>
      </c>
      <c r="H2313" s="28">
        <v>0</v>
      </c>
      <c r="J2313" s="28"/>
    </row>
    <row r="2314" spans="1:10" ht="15.75" customHeight="1">
      <c r="A2314" s="28">
        <v>17803</v>
      </c>
      <c r="B2314" s="91">
        <v>44975.042453703703</v>
      </c>
      <c r="C2314" s="28" t="s">
        <v>10</v>
      </c>
      <c r="D2314" s="28" t="s">
        <v>325</v>
      </c>
      <c r="E2314" s="28"/>
      <c r="F2314" s="28">
        <v>0</v>
      </c>
      <c r="G2314" s="28" t="s">
        <v>119</v>
      </c>
      <c r="H2314" s="28">
        <v>0</v>
      </c>
      <c r="J2314" s="28"/>
    </row>
    <row r="2315" spans="1:10" ht="15.75" customHeight="1">
      <c r="A2315" s="28">
        <v>17803</v>
      </c>
      <c r="B2315" s="91">
        <v>44975.042453703703</v>
      </c>
      <c r="C2315" s="28" t="s">
        <v>10</v>
      </c>
      <c r="D2315" s="28" t="s">
        <v>325</v>
      </c>
      <c r="E2315" s="28"/>
      <c r="F2315" s="28">
        <v>0</v>
      </c>
      <c r="G2315" s="28" t="s">
        <v>121</v>
      </c>
      <c r="H2315" s="28">
        <v>0</v>
      </c>
      <c r="J2315" s="28"/>
    </row>
    <row r="2316" spans="1:10" ht="15.75" customHeight="1">
      <c r="A2316" s="28">
        <v>17802</v>
      </c>
      <c r="B2316" s="91">
        <v>44975.037986111114</v>
      </c>
      <c r="C2316" s="28" t="s">
        <v>10</v>
      </c>
      <c r="D2316" s="28" t="s">
        <v>828</v>
      </c>
      <c r="E2316" s="28"/>
      <c r="F2316" s="28">
        <v>55</v>
      </c>
      <c r="G2316" s="28">
        <v>101684</v>
      </c>
      <c r="H2316" s="28">
        <v>0</v>
      </c>
      <c r="J2316" s="28"/>
    </row>
    <row r="2317" spans="1:10" ht="15.75" customHeight="1">
      <c r="A2317" s="28">
        <v>17802</v>
      </c>
      <c r="B2317" s="91">
        <v>44975.037986111114</v>
      </c>
      <c r="C2317" s="28" t="s">
        <v>10</v>
      </c>
      <c r="D2317" s="28" t="s">
        <v>828</v>
      </c>
      <c r="E2317" s="28"/>
      <c r="F2317" s="28">
        <v>0</v>
      </c>
      <c r="G2317" s="28" t="s">
        <v>118</v>
      </c>
      <c r="H2317" s="28">
        <v>0</v>
      </c>
      <c r="J2317" s="28"/>
    </row>
    <row r="2318" spans="1:10" ht="15.75" customHeight="1">
      <c r="A2318" s="28">
        <v>17802</v>
      </c>
      <c r="B2318" s="91">
        <v>44975.037986111114</v>
      </c>
      <c r="C2318" s="28" t="s">
        <v>10</v>
      </c>
      <c r="D2318" s="28" t="s">
        <v>828</v>
      </c>
      <c r="E2318" s="28"/>
      <c r="F2318" s="28">
        <v>0</v>
      </c>
      <c r="G2318" s="28" t="s">
        <v>119</v>
      </c>
      <c r="H2318" s="28">
        <v>0</v>
      </c>
      <c r="J2318" s="28"/>
    </row>
    <row r="2319" spans="1:10" ht="15.75" customHeight="1">
      <c r="A2319" s="28">
        <v>17802</v>
      </c>
      <c r="B2319" s="91">
        <v>44975.037986111114</v>
      </c>
      <c r="C2319" s="28" t="s">
        <v>10</v>
      </c>
      <c r="D2319" s="28" t="s">
        <v>828</v>
      </c>
      <c r="E2319" s="28"/>
      <c r="F2319" s="28">
        <v>0</v>
      </c>
      <c r="G2319" s="28" t="s">
        <v>120</v>
      </c>
      <c r="H2319" s="28">
        <v>0</v>
      </c>
      <c r="J2319" s="28"/>
    </row>
    <row r="2320" spans="1:10" ht="15.75" customHeight="1">
      <c r="A2320" s="28">
        <v>17802</v>
      </c>
      <c r="B2320" s="91">
        <v>44975.037986111114</v>
      </c>
      <c r="C2320" s="28" t="s">
        <v>10</v>
      </c>
      <c r="D2320" s="28" t="s">
        <v>828</v>
      </c>
      <c r="E2320" s="28"/>
      <c r="F2320" s="28">
        <v>0</v>
      </c>
      <c r="G2320" s="28" t="s">
        <v>121</v>
      </c>
      <c r="H2320" s="28">
        <v>0</v>
      </c>
      <c r="J2320" s="28"/>
    </row>
    <row r="2321" spans="1:10" ht="15.75" customHeight="1">
      <c r="A2321" s="28">
        <v>17801</v>
      </c>
      <c r="B2321" s="91">
        <v>44975.03434027778</v>
      </c>
      <c r="C2321" s="28" t="s">
        <v>10</v>
      </c>
      <c r="D2321" s="28" t="s">
        <v>1000</v>
      </c>
      <c r="E2321" s="28"/>
      <c r="F2321" s="28">
        <v>35</v>
      </c>
      <c r="G2321" s="28" t="s">
        <v>124</v>
      </c>
      <c r="H2321" s="28">
        <v>0</v>
      </c>
      <c r="J2321" s="28"/>
    </row>
    <row r="2322" spans="1:10" ht="15.75" customHeight="1">
      <c r="A2322" s="28">
        <v>17801</v>
      </c>
      <c r="B2322" s="91">
        <v>44975.03434027778</v>
      </c>
      <c r="C2322" s="28" t="s">
        <v>10</v>
      </c>
      <c r="D2322" s="28" t="s">
        <v>1000</v>
      </c>
      <c r="E2322" s="28"/>
      <c r="F2322" s="28">
        <v>0</v>
      </c>
      <c r="G2322" s="28" t="s">
        <v>125</v>
      </c>
      <c r="H2322" s="28">
        <v>0</v>
      </c>
      <c r="J2322" s="28"/>
    </row>
    <row r="2323" spans="1:10" ht="15.75" customHeight="1">
      <c r="A2323" s="28">
        <v>17801</v>
      </c>
      <c r="B2323" s="91">
        <v>44975.03434027778</v>
      </c>
      <c r="C2323" s="28" t="s">
        <v>10</v>
      </c>
      <c r="D2323" s="28" t="s">
        <v>1000</v>
      </c>
      <c r="E2323" s="28"/>
      <c r="F2323" s="28">
        <v>0</v>
      </c>
      <c r="G2323" s="28" t="s">
        <v>119</v>
      </c>
      <c r="H2323" s="28">
        <v>0</v>
      </c>
      <c r="J2323" s="28"/>
    </row>
    <row r="2324" spans="1:10" ht="15.75" customHeight="1">
      <c r="A2324" s="28">
        <v>17801</v>
      </c>
      <c r="B2324" s="91">
        <v>44975.03434027778</v>
      </c>
      <c r="C2324" s="28" t="s">
        <v>10</v>
      </c>
      <c r="D2324" s="28" t="s">
        <v>1000</v>
      </c>
      <c r="E2324" s="28"/>
      <c r="F2324" s="28">
        <v>0</v>
      </c>
      <c r="G2324" s="28" t="s">
        <v>121</v>
      </c>
      <c r="H2324" s="28">
        <v>0</v>
      </c>
      <c r="J2324" s="28"/>
    </row>
    <row r="2325" spans="1:10" ht="15.75" customHeight="1">
      <c r="A2325" s="28">
        <v>17800</v>
      </c>
      <c r="B2325" s="91">
        <v>44975.028148148151</v>
      </c>
      <c r="C2325" s="28" t="s">
        <v>10</v>
      </c>
      <c r="D2325" s="28" t="s">
        <v>1001</v>
      </c>
      <c r="E2325" s="28"/>
      <c r="F2325" s="28">
        <v>24</v>
      </c>
      <c r="G2325" s="28" t="s">
        <v>122</v>
      </c>
      <c r="H2325" s="28">
        <v>0</v>
      </c>
      <c r="J2325" s="28"/>
    </row>
    <row r="2326" spans="1:10" ht="15.75" customHeight="1">
      <c r="A2326" s="28">
        <v>17800</v>
      </c>
      <c r="B2326" s="91">
        <v>44975.028148148151</v>
      </c>
      <c r="C2326" s="28" t="s">
        <v>10</v>
      </c>
      <c r="D2326" s="28" t="s">
        <v>1001</v>
      </c>
      <c r="E2326" s="28"/>
      <c r="F2326" s="28">
        <v>100</v>
      </c>
      <c r="G2326" s="28" t="s">
        <v>908</v>
      </c>
      <c r="H2326" s="28">
        <v>0</v>
      </c>
      <c r="J2326" s="28"/>
    </row>
    <row r="2327" spans="1:10" ht="15.75" customHeight="1">
      <c r="A2327" s="28">
        <v>17799</v>
      </c>
      <c r="B2327" s="91">
        <v>44975.010636574079</v>
      </c>
      <c r="C2327" s="28" t="s">
        <v>10</v>
      </c>
      <c r="D2327" s="28" t="s">
        <v>1002</v>
      </c>
      <c r="E2327" s="28"/>
      <c r="F2327" s="28">
        <v>25</v>
      </c>
      <c r="G2327" s="28">
        <v>100692</v>
      </c>
      <c r="H2327" s="28">
        <v>0</v>
      </c>
      <c r="J2327" s="28"/>
    </row>
    <row r="2328" spans="1:10" ht="15.75" customHeight="1">
      <c r="A2328" s="28">
        <v>17799</v>
      </c>
      <c r="B2328" s="91">
        <v>44975.010636574079</v>
      </c>
      <c r="C2328" s="28" t="s">
        <v>10</v>
      </c>
      <c r="D2328" s="28" t="s">
        <v>1002</v>
      </c>
      <c r="E2328" s="28"/>
      <c r="F2328" s="28">
        <v>0</v>
      </c>
      <c r="G2328" s="28" t="s">
        <v>125</v>
      </c>
      <c r="H2328" s="28">
        <v>0</v>
      </c>
      <c r="J2328" s="28"/>
    </row>
    <row r="2329" spans="1:10" ht="15.75" customHeight="1">
      <c r="A2329" s="28">
        <v>17799</v>
      </c>
      <c r="B2329" s="91">
        <v>44975.010636574079</v>
      </c>
      <c r="C2329" s="28" t="s">
        <v>10</v>
      </c>
      <c r="D2329" s="28" t="s">
        <v>1002</v>
      </c>
      <c r="E2329" s="28"/>
      <c r="F2329" s="28">
        <v>0</v>
      </c>
      <c r="G2329" s="28" t="s">
        <v>119</v>
      </c>
      <c r="H2329" s="28">
        <v>0</v>
      </c>
      <c r="J2329" s="28"/>
    </row>
    <row r="2330" spans="1:10" ht="15.75" customHeight="1">
      <c r="A2330" s="28">
        <v>17798</v>
      </c>
      <c r="B2330" s="91">
        <v>44975.00990740741</v>
      </c>
      <c r="C2330" s="28" t="s">
        <v>10</v>
      </c>
      <c r="D2330" s="28" t="s">
        <v>1003</v>
      </c>
      <c r="E2330" s="28"/>
      <c r="F2330" s="28">
        <v>24</v>
      </c>
      <c r="G2330" s="28" t="s">
        <v>122</v>
      </c>
      <c r="H2330" s="28">
        <v>0</v>
      </c>
      <c r="J2330" s="28"/>
    </row>
    <row r="2331" spans="1:10" ht="15.75" customHeight="1">
      <c r="A2331" s="28">
        <v>17797</v>
      </c>
      <c r="B2331" s="91">
        <v>44975.009340277778</v>
      </c>
      <c r="C2331" s="28" t="s">
        <v>10</v>
      </c>
      <c r="D2331" s="28" t="s">
        <v>1002</v>
      </c>
      <c r="E2331" s="28"/>
      <c r="F2331" s="28">
        <v>25</v>
      </c>
      <c r="G2331" s="28">
        <v>100692</v>
      </c>
      <c r="H2331" s="28">
        <v>0</v>
      </c>
      <c r="J2331" s="28"/>
    </row>
    <row r="2332" spans="1:10" ht="15.75" customHeight="1">
      <c r="A2332" s="28">
        <v>17797</v>
      </c>
      <c r="B2332" s="91">
        <v>44975.009340277778</v>
      </c>
      <c r="C2332" s="28" t="s">
        <v>10</v>
      </c>
      <c r="D2332" s="28" t="s">
        <v>1002</v>
      </c>
      <c r="E2332" s="28"/>
      <c r="F2332" s="28">
        <v>0</v>
      </c>
      <c r="G2332" s="28" t="s">
        <v>125</v>
      </c>
      <c r="H2332" s="28">
        <v>0</v>
      </c>
      <c r="J2332" s="28"/>
    </row>
    <row r="2333" spans="1:10" ht="15.75" customHeight="1">
      <c r="A2333" s="28">
        <v>17797</v>
      </c>
      <c r="B2333" s="91">
        <v>44975.009340277778</v>
      </c>
      <c r="C2333" s="28" t="s">
        <v>10</v>
      </c>
      <c r="D2333" s="28" t="s">
        <v>1002</v>
      </c>
      <c r="E2333" s="28"/>
      <c r="F2333" s="28">
        <v>0</v>
      </c>
      <c r="G2333" s="28" t="s">
        <v>119</v>
      </c>
      <c r="H2333" s="28">
        <v>0</v>
      </c>
      <c r="J2333" s="28"/>
    </row>
    <row r="2334" spans="1:10" ht="15.75" customHeight="1">
      <c r="A2334" s="28">
        <v>17796</v>
      </c>
      <c r="B2334" s="91">
        <v>44975.005740740744</v>
      </c>
      <c r="C2334" s="28" t="s">
        <v>10</v>
      </c>
      <c r="D2334" s="28" t="s">
        <v>1004</v>
      </c>
      <c r="E2334" s="28"/>
      <c r="F2334" s="28">
        <v>100</v>
      </c>
      <c r="G2334" s="28">
        <v>102779</v>
      </c>
      <c r="H2334" s="28">
        <v>0</v>
      </c>
      <c r="J2334" s="28"/>
    </row>
    <row r="2335" spans="1:10" ht="15.75" customHeight="1">
      <c r="A2335" s="28">
        <v>17796</v>
      </c>
      <c r="B2335" s="91">
        <v>44975.005740740744</v>
      </c>
      <c r="C2335" s="28" t="s">
        <v>10</v>
      </c>
      <c r="D2335" s="28" t="s">
        <v>1004</v>
      </c>
      <c r="E2335" s="28"/>
      <c r="F2335" s="28">
        <v>0</v>
      </c>
      <c r="G2335" s="28" t="s">
        <v>118</v>
      </c>
      <c r="H2335" s="28">
        <v>0</v>
      </c>
      <c r="J2335" s="28"/>
    </row>
    <row r="2336" spans="1:10" ht="15.75" customHeight="1">
      <c r="A2336" s="28">
        <v>17796</v>
      </c>
      <c r="B2336" s="91">
        <v>44975.005740740744</v>
      </c>
      <c r="C2336" s="28" t="s">
        <v>10</v>
      </c>
      <c r="D2336" s="28" t="s">
        <v>1004</v>
      </c>
      <c r="E2336" s="28"/>
      <c r="F2336" s="28">
        <v>0</v>
      </c>
      <c r="G2336" s="28" t="s">
        <v>119</v>
      </c>
      <c r="H2336" s="28">
        <v>0</v>
      </c>
      <c r="J2336" s="28"/>
    </row>
    <row r="2337" spans="1:10" ht="15.75" customHeight="1">
      <c r="A2337" s="28">
        <v>17796</v>
      </c>
      <c r="B2337" s="91">
        <v>44975.005740740744</v>
      </c>
      <c r="C2337" s="28" t="s">
        <v>10</v>
      </c>
      <c r="D2337" s="28" t="s">
        <v>1004</v>
      </c>
      <c r="E2337" s="28"/>
      <c r="F2337" s="28">
        <v>0</v>
      </c>
      <c r="G2337" s="28" t="s">
        <v>120</v>
      </c>
      <c r="H2337" s="28">
        <v>0</v>
      </c>
      <c r="J2337" s="28"/>
    </row>
    <row r="2338" spans="1:10" ht="15.75" customHeight="1">
      <c r="A2338" s="28">
        <v>17796</v>
      </c>
      <c r="B2338" s="91">
        <v>44975.005740740744</v>
      </c>
      <c r="C2338" s="28" t="s">
        <v>10</v>
      </c>
      <c r="D2338" s="28" t="s">
        <v>1004</v>
      </c>
      <c r="E2338" s="28"/>
      <c r="F2338" s="28">
        <v>0</v>
      </c>
      <c r="G2338" s="28" t="s">
        <v>122</v>
      </c>
      <c r="H2338" s="28">
        <v>0</v>
      </c>
      <c r="J2338" s="28"/>
    </row>
    <row r="2339" spans="1:10" ht="15.75" customHeight="1">
      <c r="A2339" s="28">
        <v>17796</v>
      </c>
      <c r="B2339" s="91">
        <v>44975.005740740744</v>
      </c>
      <c r="C2339" s="28" t="s">
        <v>10</v>
      </c>
      <c r="D2339" s="28" t="s">
        <v>1004</v>
      </c>
      <c r="E2339" s="28"/>
      <c r="F2339" s="28">
        <v>0</v>
      </c>
      <c r="G2339" s="28" t="s">
        <v>121</v>
      </c>
      <c r="H2339" s="28">
        <v>0</v>
      </c>
      <c r="J2339" s="28"/>
    </row>
    <row r="2340" spans="1:10" ht="15.75" customHeight="1">
      <c r="A2340" s="28">
        <v>17795</v>
      </c>
      <c r="B2340" s="91">
        <v>44974.989710648151</v>
      </c>
      <c r="C2340" s="28" t="s">
        <v>10</v>
      </c>
      <c r="D2340" s="28" t="s">
        <v>1005</v>
      </c>
      <c r="E2340" s="28"/>
      <c r="F2340" s="28">
        <v>50</v>
      </c>
      <c r="G2340" s="28">
        <v>100692</v>
      </c>
      <c r="H2340" s="28">
        <v>0</v>
      </c>
      <c r="J2340" s="28"/>
    </row>
    <row r="2341" spans="1:10" ht="15.75" customHeight="1">
      <c r="A2341" s="28">
        <v>17795</v>
      </c>
      <c r="B2341" s="91">
        <v>44974.989710648151</v>
      </c>
      <c r="C2341" s="28" t="s">
        <v>10</v>
      </c>
      <c r="D2341" s="28" t="s">
        <v>1005</v>
      </c>
      <c r="E2341" s="28"/>
      <c r="F2341" s="28">
        <v>0</v>
      </c>
      <c r="G2341" s="28" t="s">
        <v>125</v>
      </c>
      <c r="H2341" s="28">
        <v>0</v>
      </c>
      <c r="J2341" s="28"/>
    </row>
    <row r="2342" spans="1:10" ht="15.75" customHeight="1">
      <c r="A2342" s="28">
        <v>17795</v>
      </c>
      <c r="B2342" s="91">
        <v>44974.989710648151</v>
      </c>
      <c r="C2342" s="28" t="s">
        <v>10</v>
      </c>
      <c r="D2342" s="28" t="s">
        <v>1005</v>
      </c>
      <c r="E2342" s="28"/>
      <c r="F2342" s="28">
        <v>0</v>
      </c>
      <c r="G2342" s="28" t="s">
        <v>119</v>
      </c>
      <c r="H2342" s="28">
        <v>0</v>
      </c>
      <c r="J2342" s="28"/>
    </row>
    <row r="2343" spans="1:10" ht="15.75" customHeight="1">
      <c r="A2343" s="28">
        <v>17795</v>
      </c>
      <c r="B2343" s="91">
        <v>44974.989710648151</v>
      </c>
      <c r="C2343" s="28" t="s">
        <v>10</v>
      </c>
      <c r="D2343" s="28" t="s">
        <v>1005</v>
      </c>
      <c r="E2343" s="28"/>
      <c r="F2343" s="28">
        <v>40</v>
      </c>
      <c r="G2343" s="28" t="s">
        <v>148</v>
      </c>
      <c r="H2343" s="28">
        <v>0</v>
      </c>
      <c r="J2343" s="28"/>
    </row>
    <row r="2344" spans="1:10" ht="15.75" customHeight="1">
      <c r="A2344" s="28">
        <v>17795</v>
      </c>
      <c r="B2344" s="91">
        <v>44974.989710648151</v>
      </c>
      <c r="C2344" s="28" t="s">
        <v>10</v>
      </c>
      <c r="D2344" s="28" t="s">
        <v>1005</v>
      </c>
      <c r="E2344" s="28"/>
      <c r="F2344" s="28">
        <v>20</v>
      </c>
      <c r="G2344" s="28" t="s">
        <v>205</v>
      </c>
      <c r="H2344" s="28">
        <v>0</v>
      </c>
      <c r="J2344" s="28"/>
    </row>
    <row r="2345" spans="1:10" ht="15.75" customHeight="1">
      <c r="A2345" s="28">
        <v>17795</v>
      </c>
      <c r="B2345" s="91">
        <v>44974.989710648151</v>
      </c>
      <c r="C2345" s="28" t="s">
        <v>10</v>
      </c>
      <c r="D2345" s="28" t="s">
        <v>1005</v>
      </c>
      <c r="E2345" s="28"/>
      <c r="F2345" s="28">
        <v>0</v>
      </c>
      <c r="G2345" s="28" t="s">
        <v>125</v>
      </c>
      <c r="H2345" s="28">
        <v>0</v>
      </c>
      <c r="J2345" s="28"/>
    </row>
    <row r="2346" spans="1:10" ht="15.75" customHeight="1">
      <c r="A2346" s="28">
        <v>17794</v>
      </c>
      <c r="B2346" s="91">
        <v>44974.98836805555</v>
      </c>
      <c r="C2346" s="28" t="s">
        <v>10</v>
      </c>
      <c r="D2346" s="28" t="s">
        <v>1006</v>
      </c>
      <c r="E2346" s="28"/>
      <c r="F2346" s="28">
        <v>25</v>
      </c>
      <c r="G2346" s="28">
        <v>100692</v>
      </c>
      <c r="H2346" s="28">
        <v>0</v>
      </c>
      <c r="J2346" s="28"/>
    </row>
    <row r="2347" spans="1:10" ht="15.75" customHeight="1">
      <c r="A2347" s="28">
        <v>17794</v>
      </c>
      <c r="B2347" s="91">
        <v>44974.98836805555</v>
      </c>
      <c r="C2347" s="28" t="s">
        <v>10</v>
      </c>
      <c r="D2347" s="28" t="s">
        <v>1006</v>
      </c>
      <c r="E2347" s="28"/>
      <c r="F2347" s="28">
        <v>0</v>
      </c>
      <c r="G2347" s="28" t="s">
        <v>125</v>
      </c>
      <c r="H2347" s="28">
        <v>0</v>
      </c>
      <c r="J2347" s="28"/>
    </row>
    <row r="2348" spans="1:10" ht="15.75" customHeight="1">
      <c r="A2348" s="28">
        <v>17794</v>
      </c>
      <c r="B2348" s="91">
        <v>44974.98836805555</v>
      </c>
      <c r="C2348" s="28" t="s">
        <v>10</v>
      </c>
      <c r="D2348" s="28" t="s">
        <v>1006</v>
      </c>
      <c r="E2348" s="28"/>
      <c r="F2348" s="28">
        <v>0</v>
      </c>
      <c r="G2348" s="28" t="s">
        <v>119</v>
      </c>
      <c r="H2348" s="28">
        <v>0</v>
      </c>
      <c r="J2348" s="28"/>
    </row>
    <row r="2349" spans="1:10" ht="15.75" customHeight="1">
      <c r="A2349" s="28">
        <v>17794</v>
      </c>
      <c r="B2349" s="91">
        <v>44974.98836805555</v>
      </c>
      <c r="C2349" s="28" t="s">
        <v>10</v>
      </c>
      <c r="D2349" s="28" t="s">
        <v>1006</v>
      </c>
      <c r="E2349" s="28"/>
      <c r="F2349" s="28">
        <v>18</v>
      </c>
      <c r="G2349" s="28" t="s">
        <v>457</v>
      </c>
      <c r="H2349" s="28">
        <v>0</v>
      </c>
      <c r="J2349" s="28"/>
    </row>
    <row r="2350" spans="1:10" ht="15.75" customHeight="1">
      <c r="A2350" s="28">
        <v>17793</v>
      </c>
      <c r="B2350" s="91">
        <v>44974.981076388889</v>
      </c>
      <c r="C2350" s="28" t="s">
        <v>10</v>
      </c>
      <c r="D2350" s="28" t="s">
        <v>1007</v>
      </c>
      <c r="E2350" s="28"/>
      <c r="F2350" s="28">
        <v>25</v>
      </c>
      <c r="G2350" s="28">
        <v>100692</v>
      </c>
      <c r="H2350" s="28">
        <v>0</v>
      </c>
      <c r="J2350" s="28"/>
    </row>
    <row r="2351" spans="1:10" ht="15.75" customHeight="1">
      <c r="A2351" s="28">
        <v>17793</v>
      </c>
      <c r="B2351" s="91">
        <v>44974.981076388889</v>
      </c>
      <c r="C2351" s="28" t="s">
        <v>10</v>
      </c>
      <c r="D2351" s="28" t="s">
        <v>1007</v>
      </c>
      <c r="E2351" s="28"/>
      <c r="F2351" s="28">
        <v>0</v>
      </c>
      <c r="G2351" s="28" t="s">
        <v>125</v>
      </c>
      <c r="H2351" s="28">
        <v>0</v>
      </c>
      <c r="J2351" s="28"/>
    </row>
    <row r="2352" spans="1:10" ht="15.75" customHeight="1">
      <c r="A2352" s="28">
        <v>17793</v>
      </c>
      <c r="B2352" s="91">
        <v>44974.981076388889</v>
      </c>
      <c r="C2352" s="28" t="s">
        <v>10</v>
      </c>
      <c r="D2352" s="28" t="s">
        <v>1007</v>
      </c>
      <c r="E2352" s="28"/>
      <c r="F2352" s="28">
        <v>0</v>
      </c>
      <c r="G2352" s="28" t="s">
        <v>119</v>
      </c>
      <c r="H2352" s="28">
        <v>0</v>
      </c>
      <c r="J2352" s="28"/>
    </row>
    <row r="2353" spans="1:10" ht="15.75" customHeight="1">
      <c r="A2353" s="28">
        <v>17792</v>
      </c>
      <c r="B2353" s="91">
        <v>44974.977800925924</v>
      </c>
      <c r="C2353" s="28" t="s">
        <v>10</v>
      </c>
      <c r="D2353" s="28" t="s">
        <v>1008</v>
      </c>
      <c r="E2353" s="28"/>
      <c r="F2353" s="28">
        <v>25</v>
      </c>
      <c r="G2353" s="28">
        <v>100692</v>
      </c>
      <c r="H2353" s="28">
        <v>0</v>
      </c>
      <c r="J2353" s="28"/>
    </row>
    <row r="2354" spans="1:10" ht="15.75" customHeight="1">
      <c r="A2354" s="28">
        <v>17792</v>
      </c>
      <c r="B2354" s="91">
        <v>44974.977800925924</v>
      </c>
      <c r="C2354" s="28" t="s">
        <v>10</v>
      </c>
      <c r="D2354" s="28" t="s">
        <v>1008</v>
      </c>
      <c r="E2354" s="28"/>
      <c r="F2354" s="28">
        <v>0</v>
      </c>
      <c r="G2354" s="28" t="s">
        <v>125</v>
      </c>
      <c r="H2354" s="28">
        <v>0</v>
      </c>
      <c r="J2354" s="28"/>
    </row>
    <row r="2355" spans="1:10" ht="15.75" customHeight="1">
      <c r="A2355" s="28">
        <v>17792</v>
      </c>
      <c r="B2355" s="91">
        <v>44974.977800925924</v>
      </c>
      <c r="C2355" s="28" t="s">
        <v>10</v>
      </c>
      <c r="D2355" s="28" t="s">
        <v>1008</v>
      </c>
      <c r="E2355" s="28"/>
      <c r="F2355" s="28">
        <v>0</v>
      </c>
      <c r="G2355" s="28" t="s">
        <v>119</v>
      </c>
      <c r="H2355" s="28">
        <v>0</v>
      </c>
      <c r="J2355" s="28"/>
    </row>
    <row r="2356" spans="1:10" ht="15.75" customHeight="1">
      <c r="A2356" s="28">
        <v>17791</v>
      </c>
      <c r="B2356" s="91">
        <v>44974.973078703704</v>
      </c>
      <c r="C2356" s="28" t="s">
        <v>10</v>
      </c>
      <c r="D2356" s="28" t="s">
        <v>717</v>
      </c>
      <c r="E2356" s="28"/>
      <c r="F2356" s="28">
        <v>25</v>
      </c>
      <c r="G2356" s="28">
        <v>100692</v>
      </c>
      <c r="H2356" s="28">
        <v>0</v>
      </c>
      <c r="J2356" s="28"/>
    </row>
    <row r="2357" spans="1:10" ht="15.75" customHeight="1">
      <c r="A2357" s="28">
        <v>17791</v>
      </c>
      <c r="B2357" s="91">
        <v>44974.973078703704</v>
      </c>
      <c r="C2357" s="28" t="s">
        <v>10</v>
      </c>
      <c r="D2357" s="28" t="s">
        <v>717</v>
      </c>
      <c r="E2357" s="28"/>
      <c r="F2357" s="28">
        <v>0</v>
      </c>
      <c r="G2357" s="28" t="s">
        <v>125</v>
      </c>
      <c r="H2357" s="28">
        <v>0</v>
      </c>
      <c r="J2357" s="28"/>
    </row>
    <row r="2358" spans="1:10" ht="15.75" customHeight="1">
      <c r="A2358" s="28">
        <v>17791</v>
      </c>
      <c r="B2358" s="91">
        <v>44974.973078703704</v>
      </c>
      <c r="C2358" s="28" t="s">
        <v>10</v>
      </c>
      <c r="D2358" s="28" t="s">
        <v>717</v>
      </c>
      <c r="E2358" s="28"/>
      <c r="F2358" s="28">
        <v>0</v>
      </c>
      <c r="G2358" s="28" t="s">
        <v>119</v>
      </c>
      <c r="H2358" s="28">
        <v>0</v>
      </c>
      <c r="J2358" s="28"/>
    </row>
    <row r="2359" spans="1:10" ht="15.75" customHeight="1">
      <c r="A2359" s="28">
        <v>17790</v>
      </c>
      <c r="B2359" s="91">
        <v>44974.97075231481</v>
      </c>
      <c r="C2359" s="28" t="s">
        <v>10</v>
      </c>
      <c r="D2359" s="28" t="s">
        <v>1009</v>
      </c>
      <c r="E2359" s="28"/>
      <c r="F2359" s="28">
        <v>25</v>
      </c>
      <c r="G2359" s="28">
        <v>100692</v>
      </c>
      <c r="H2359" s="28">
        <v>0</v>
      </c>
      <c r="J2359" s="28"/>
    </row>
    <row r="2360" spans="1:10" ht="15.75" customHeight="1">
      <c r="A2360" s="28">
        <v>17790</v>
      </c>
      <c r="B2360" s="91">
        <v>44974.97075231481</v>
      </c>
      <c r="C2360" s="28" t="s">
        <v>10</v>
      </c>
      <c r="D2360" s="28" t="s">
        <v>1009</v>
      </c>
      <c r="E2360" s="28"/>
      <c r="F2360" s="28">
        <v>0</v>
      </c>
      <c r="G2360" s="28" t="s">
        <v>125</v>
      </c>
      <c r="H2360" s="28">
        <v>0</v>
      </c>
      <c r="J2360" s="28"/>
    </row>
    <row r="2361" spans="1:10" ht="15.75" customHeight="1">
      <c r="A2361" s="28">
        <v>17790</v>
      </c>
      <c r="B2361" s="91">
        <v>44974.97075231481</v>
      </c>
      <c r="C2361" s="28" t="s">
        <v>10</v>
      </c>
      <c r="D2361" s="28" t="s">
        <v>1009</v>
      </c>
      <c r="E2361" s="28"/>
      <c r="F2361" s="28">
        <v>0</v>
      </c>
      <c r="G2361" s="28" t="s">
        <v>119</v>
      </c>
      <c r="H2361" s="28">
        <v>0</v>
      </c>
      <c r="J2361" s="28"/>
    </row>
    <row r="2362" spans="1:10" ht="15.75" customHeight="1">
      <c r="A2362" s="28">
        <v>17789</v>
      </c>
      <c r="B2362" s="91">
        <v>44974.970486111109</v>
      </c>
      <c r="C2362" s="28" t="s">
        <v>10</v>
      </c>
      <c r="D2362" s="28" t="s">
        <v>695</v>
      </c>
      <c r="E2362" s="28"/>
      <c r="F2362" s="28">
        <v>15</v>
      </c>
      <c r="G2362" s="28" t="s">
        <v>125</v>
      </c>
      <c r="H2362" s="28">
        <v>0</v>
      </c>
      <c r="J2362" s="28"/>
    </row>
    <row r="2363" spans="1:10" ht="15.75" customHeight="1">
      <c r="A2363" s="28">
        <v>17788</v>
      </c>
      <c r="B2363" s="91">
        <v>44974.97042824074</v>
      </c>
      <c r="C2363" s="28" t="s">
        <v>10</v>
      </c>
      <c r="D2363" s="28" t="s">
        <v>1010</v>
      </c>
      <c r="E2363" s="28"/>
      <c r="F2363" s="28">
        <v>24</v>
      </c>
      <c r="G2363" s="28" t="s">
        <v>122</v>
      </c>
      <c r="H2363" s="28">
        <v>0</v>
      </c>
      <c r="J2363" s="28"/>
    </row>
    <row r="2364" spans="1:10" ht="15.75" customHeight="1">
      <c r="A2364" s="28">
        <v>17787</v>
      </c>
      <c r="B2364" s="91">
        <v>44974.968541666662</v>
      </c>
      <c r="C2364" s="28" t="s">
        <v>10</v>
      </c>
      <c r="D2364" s="28" t="s">
        <v>1011</v>
      </c>
      <c r="E2364" s="28"/>
      <c r="F2364" s="28">
        <v>24</v>
      </c>
      <c r="G2364" s="28" t="s">
        <v>122</v>
      </c>
      <c r="H2364" s="28">
        <v>0</v>
      </c>
      <c r="J2364" s="28"/>
    </row>
    <row r="2365" spans="1:10" ht="15.75" customHeight="1">
      <c r="A2365" s="28">
        <v>17786</v>
      </c>
      <c r="B2365" s="91">
        <v>44974.967418981483</v>
      </c>
      <c r="C2365" s="28" t="s">
        <v>10</v>
      </c>
      <c r="D2365" s="28" t="s">
        <v>1012</v>
      </c>
      <c r="E2365" s="28"/>
      <c r="F2365" s="28">
        <v>24</v>
      </c>
      <c r="G2365" s="28" t="s">
        <v>122</v>
      </c>
      <c r="H2365" s="28">
        <v>0</v>
      </c>
      <c r="J2365" s="28"/>
    </row>
    <row r="2366" spans="1:10" ht="15.75" customHeight="1">
      <c r="A2366" s="28">
        <v>17785</v>
      </c>
      <c r="B2366" s="91">
        <v>44974.9612962963</v>
      </c>
      <c r="C2366" s="28" t="s">
        <v>10</v>
      </c>
      <c r="D2366" s="28" t="s">
        <v>658</v>
      </c>
      <c r="E2366" s="28"/>
      <c r="F2366" s="28">
        <v>24</v>
      </c>
      <c r="G2366" s="28" t="s">
        <v>122</v>
      </c>
      <c r="H2366" s="28">
        <v>0</v>
      </c>
      <c r="J2366" s="28"/>
    </row>
    <row r="2367" spans="1:10" ht="15.75" customHeight="1">
      <c r="A2367" s="28">
        <v>17784</v>
      </c>
      <c r="B2367" s="91">
        <v>44974.923321759255</v>
      </c>
      <c r="C2367" s="28" t="s">
        <v>10</v>
      </c>
      <c r="D2367" s="28" t="s">
        <v>1013</v>
      </c>
      <c r="E2367" s="28"/>
      <c r="F2367" s="28">
        <v>15</v>
      </c>
      <c r="G2367" s="28" t="s">
        <v>125</v>
      </c>
      <c r="H2367" s="28">
        <v>0</v>
      </c>
      <c r="J2367" s="28"/>
    </row>
    <row r="2368" spans="1:10" ht="15.75" customHeight="1">
      <c r="A2368" s="28">
        <v>17784</v>
      </c>
      <c r="B2368" s="91">
        <v>44974.923321759255</v>
      </c>
      <c r="C2368" s="28" t="s">
        <v>10</v>
      </c>
      <c r="D2368" s="28" t="s">
        <v>1013</v>
      </c>
      <c r="E2368" s="28"/>
      <c r="F2368" s="28">
        <v>24</v>
      </c>
      <c r="G2368" s="28" t="s">
        <v>122</v>
      </c>
      <c r="H2368" s="28">
        <v>0</v>
      </c>
      <c r="J2368" s="28"/>
    </row>
    <row r="2369" spans="1:10" ht="15.75" customHeight="1">
      <c r="A2369" s="28">
        <v>17783</v>
      </c>
      <c r="B2369" s="91">
        <v>44974.871388888889</v>
      </c>
      <c r="C2369" s="28" t="s">
        <v>10</v>
      </c>
      <c r="D2369" s="28" t="s">
        <v>1014</v>
      </c>
      <c r="E2369" s="28"/>
      <c r="F2369" s="28">
        <v>55</v>
      </c>
      <c r="G2369" s="28">
        <v>101684</v>
      </c>
      <c r="H2369" s="28">
        <v>0</v>
      </c>
      <c r="J2369" s="28"/>
    </row>
    <row r="2370" spans="1:10" ht="15.75" customHeight="1">
      <c r="A2370" s="28">
        <v>17783</v>
      </c>
      <c r="B2370" s="91">
        <v>44974.871388888889</v>
      </c>
      <c r="C2370" s="28" t="s">
        <v>10</v>
      </c>
      <c r="D2370" s="28" t="s">
        <v>1014</v>
      </c>
      <c r="E2370" s="28"/>
      <c r="F2370" s="28">
        <v>0</v>
      </c>
      <c r="G2370" s="28" t="s">
        <v>118</v>
      </c>
      <c r="H2370" s="28">
        <v>0</v>
      </c>
      <c r="J2370" s="28"/>
    </row>
    <row r="2371" spans="1:10" ht="15.75" customHeight="1">
      <c r="A2371" s="28">
        <v>17783</v>
      </c>
      <c r="B2371" s="91">
        <v>44974.871388888889</v>
      </c>
      <c r="C2371" s="28" t="s">
        <v>10</v>
      </c>
      <c r="D2371" s="28" t="s">
        <v>1014</v>
      </c>
      <c r="E2371" s="28"/>
      <c r="F2371" s="28">
        <v>0</v>
      </c>
      <c r="G2371" s="28" t="s">
        <v>119</v>
      </c>
      <c r="H2371" s="28">
        <v>0</v>
      </c>
      <c r="J2371" s="28"/>
    </row>
    <row r="2372" spans="1:10" ht="15.75" customHeight="1">
      <c r="A2372" s="28">
        <v>17783</v>
      </c>
      <c r="B2372" s="91">
        <v>44974.871388888889</v>
      </c>
      <c r="C2372" s="28" t="s">
        <v>10</v>
      </c>
      <c r="D2372" s="28" t="s">
        <v>1014</v>
      </c>
      <c r="E2372" s="28"/>
      <c r="F2372" s="28">
        <v>0</v>
      </c>
      <c r="G2372" s="28" t="s">
        <v>120</v>
      </c>
      <c r="H2372" s="28">
        <v>0</v>
      </c>
      <c r="J2372" s="28"/>
    </row>
    <row r="2373" spans="1:10" ht="15.75" customHeight="1">
      <c r="A2373" s="28">
        <v>17783</v>
      </c>
      <c r="B2373" s="91">
        <v>44974.871388888889</v>
      </c>
      <c r="C2373" s="28" t="s">
        <v>10</v>
      </c>
      <c r="D2373" s="28" t="s">
        <v>1014</v>
      </c>
      <c r="E2373" s="28"/>
      <c r="F2373" s="28">
        <v>0</v>
      </c>
      <c r="G2373" s="28" t="s">
        <v>121</v>
      </c>
      <c r="H2373" s="28">
        <v>0</v>
      </c>
      <c r="J2373" s="28"/>
    </row>
    <row r="2374" spans="1:10" ht="15.75" customHeight="1">
      <c r="A2374" s="28">
        <v>17782</v>
      </c>
      <c r="B2374" s="91">
        <v>44974.866678240738</v>
      </c>
      <c r="C2374" s="28" t="s">
        <v>10</v>
      </c>
      <c r="D2374" s="28" t="s">
        <v>870</v>
      </c>
      <c r="E2374" s="28"/>
      <c r="F2374" s="28">
        <v>0</v>
      </c>
      <c r="G2374" s="28" t="s">
        <v>139</v>
      </c>
      <c r="H2374" s="28">
        <v>0</v>
      </c>
      <c r="J2374" s="28"/>
    </row>
    <row r="2375" spans="1:10" ht="15.75" customHeight="1">
      <c r="A2375" s="28">
        <v>17782</v>
      </c>
      <c r="B2375" s="91">
        <v>44974.866678240738</v>
      </c>
      <c r="C2375" s="28" t="s">
        <v>10</v>
      </c>
      <c r="D2375" s="28" t="s">
        <v>870</v>
      </c>
      <c r="E2375" s="28"/>
      <c r="F2375" s="28">
        <v>25</v>
      </c>
      <c r="G2375" s="28" t="s">
        <v>118</v>
      </c>
      <c r="H2375" s="28">
        <v>0</v>
      </c>
      <c r="J2375" s="28"/>
    </row>
    <row r="2376" spans="1:10" ht="15.75" customHeight="1">
      <c r="A2376" s="28">
        <v>17781</v>
      </c>
      <c r="B2376" s="91">
        <v>44974.863541666666</v>
      </c>
      <c r="C2376" s="28" t="s">
        <v>10</v>
      </c>
      <c r="D2376" s="28" t="s">
        <v>868</v>
      </c>
      <c r="E2376" s="28"/>
      <c r="F2376" s="28">
        <v>25</v>
      </c>
      <c r="G2376" s="28" t="s">
        <v>118</v>
      </c>
      <c r="H2376" s="28">
        <v>0</v>
      </c>
      <c r="J2376" s="28"/>
    </row>
    <row r="2377" spans="1:10" ht="15.75" customHeight="1">
      <c r="A2377" s="28">
        <v>17780</v>
      </c>
      <c r="B2377" s="91">
        <v>44974.861840277779</v>
      </c>
      <c r="C2377" s="28" t="s">
        <v>10</v>
      </c>
      <c r="D2377" s="28" t="s">
        <v>869</v>
      </c>
      <c r="E2377" s="28"/>
      <c r="F2377" s="28">
        <v>0</v>
      </c>
      <c r="G2377" s="28" t="s">
        <v>139</v>
      </c>
      <c r="H2377" s="28">
        <v>0</v>
      </c>
      <c r="J2377" s="28"/>
    </row>
    <row r="2378" spans="1:10" ht="15.75" customHeight="1">
      <c r="A2378" s="28">
        <v>17780</v>
      </c>
      <c r="B2378" s="91">
        <v>44974.861840277779</v>
      </c>
      <c r="C2378" s="28" t="s">
        <v>10</v>
      </c>
      <c r="D2378" s="28" t="s">
        <v>869</v>
      </c>
      <c r="E2378" s="28"/>
      <c r="F2378" s="28">
        <v>55</v>
      </c>
      <c r="G2378" s="28">
        <v>101684</v>
      </c>
      <c r="H2378" s="28">
        <v>0</v>
      </c>
      <c r="J2378" s="28"/>
    </row>
    <row r="2379" spans="1:10" ht="15.75" customHeight="1">
      <c r="A2379" s="28">
        <v>17780</v>
      </c>
      <c r="B2379" s="91">
        <v>44974.861840277779</v>
      </c>
      <c r="C2379" s="28" t="s">
        <v>10</v>
      </c>
      <c r="D2379" s="28" t="s">
        <v>869</v>
      </c>
      <c r="E2379" s="28"/>
      <c r="F2379" s="28">
        <v>0</v>
      </c>
      <c r="G2379" s="28" t="s">
        <v>118</v>
      </c>
      <c r="H2379" s="28">
        <v>0</v>
      </c>
      <c r="J2379" s="28"/>
    </row>
    <row r="2380" spans="1:10" ht="15.75" customHeight="1">
      <c r="A2380" s="28">
        <v>17780</v>
      </c>
      <c r="B2380" s="91">
        <v>44974.861840277779</v>
      </c>
      <c r="C2380" s="28" t="s">
        <v>10</v>
      </c>
      <c r="D2380" s="28" t="s">
        <v>869</v>
      </c>
      <c r="E2380" s="28"/>
      <c r="F2380" s="28">
        <v>0</v>
      </c>
      <c r="G2380" s="28" t="s">
        <v>119</v>
      </c>
      <c r="H2380" s="28">
        <v>0</v>
      </c>
      <c r="J2380" s="28"/>
    </row>
    <row r="2381" spans="1:10" ht="15.75" customHeight="1">
      <c r="A2381" s="28">
        <v>17780</v>
      </c>
      <c r="B2381" s="91">
        <v>44974.861840277779</v>
      </c>
      <c r="C2381" s="28" t="s">
        <v>10</v>
      </c>
      <c r="D2381" s="28" t="s">
        <v>869</v>
      </c>
      <c r="E2381" s="28"/>
      <c r="F2381" s="28">
        <v>0</v>
      </c>
      <c r="G2381" s="28" t="s">
        <v>120</v>
      </c>
      <c r="H2381" s="28">
        <v>0</v>
      </c>
      <c r="J2381" s="28"/>
    </row>
    <row r="2382" spans="1:10" ht="15.75" customHeight="1">
      <c r="A2382" s="28">
        <v>17780</v>
      </c>
      <c r="B2382" s="91">
        <v>44974.861840277779</v>
      </c>
      <c r="C2382" s="28" t="s">
        <v>10</v>
      </c>
      <c r="D2382" s="28" t="s">
        <v>869</v>
      </c>
      <c r="E2382" s="28"/>
      <c r="F2382" s="28">
        <v>0</v>
      </c>
      <c r="G2382" s="28" t="s">
        <v>121</v>
      </c>
      <c r="H2382" s="28">
        <v>0</v>
      </c>
      <c r="J2382" s="28"/>
    </row>
    <row r="2383" spans="1:10" ht="15.75" customHeight="1">
      <c r="A2383" s="28">
        <v>17779</v>
      </c>
      <c r="B2383" s="91">
        <v>44974.856261574074</v>
      </c>
      <c r="C2383" s="28" t="s">
        <v>18</v>
      </c>
      <c r="D2383" s="28" t="s">
        <v>869</v>
      </c>
      <c r="E2383" s="28"/>
      <c r="F2383" s="28">
        <v>55</v>
      </c>
      <c r="G2383" s="28">
        <v>101684</v>
      </c>
      <c r="H2383" s="28">
        <v>0</v>
      </c>
      <c r="J2383" s="28"/>
    </row>
    <row r="2384" spans="1:10" ht="15.75" customHeight="1">
      <c r="A2384" s="28">
        <v>17779</v>
      </c>
      <c r="B2384" s="91">
        <v>44974.856261574074</v>
      </c>
      <c r="C2384" s="28" t="s">
        <v>18</v>
      </c>
      <c r="D2384" s="28" t="s">
        <v>869</v>
      </c>
      <c r="E2384" s="28"/>
      <c r="F2384" s="28">
        <v>0</v>
      </c>
      <c r="G2384" s="28" t="s">
        <v>118</v>
      </c>
      <c r="H2384" s="28">
        <v>0</v>
      </c>
      <c r="J2384" s="28"/>
    </row>
    <row r="2385" spans="1:10" ht="15.75" customHeight="1">
      <c r="A2385" s="28">
        <v>17779</v>
      </c>
      <c r="B2385" s="91">
        <v>44974.856261574074</v>
      </c>
      <c r="C2385" s="28" t="s">
        <v>18</v>
      </c>
      <c r="D2385" s="28" t="s">
        <v>869</v>
      </c>
      <c r="E2385" s="28"/>
      <c r="F2385" s="28">
        <v>0</v>
      </c>
      <c r="G2385" s="28" t="s">
        <v>119</v>
      </c>
      <c r="H2385" s="28">
        <v>0</v>
      </c>
      <c r="J2385" s="28"/>
    </row>
    <row r="2386" spans="1:10" ht="15.75" customHeight="1">
      <c r="A2386" s="28">
        <v>17779</v>
      </c>
      <c r="B2386" s="91">
        <v>44974.856261574074</v>
      </c>
      <c r="C2386" s="28" t="s">
        <v>18</v>
      </c>
      <c r="D2386" s="28" t="s">
        <v>869</v>
      </c>
      <c r="E2386" s="28"/>
      <c r="F2386" s="28">
        <v>0</v>
      </c>
      <c r="G2386" s="28" t="s">
        <v>120</v>
      </c>
      <c r="H2386" s="28">
        <v>0</v>
      </c>
      <c r="J2386" s="28"/>
    </row>
    <row r="2387" spans="1:10" ht="15.75" customHeight="1">
      <c r="A2387" s="28">
        <v>17779</v>
      </c>
      <c r="B2387" s="91">
        <v>44974.856261574074</v>
      </c>
      <c r="C2387" s="28" t="s">
        <v>18</v>
      </c>
      <c r="D2387" s="28" t="s">
        <v>869</v>
      </c>
      <c r="E2387" s="28"/>
      <c r="F2387" s="28">
        <v>0</v>
      </c>
      <c r="G2387" s="28" t="s">
        <v>121</v>
      </c>
      <c r="H2387" s="28">
        <v>0</v>
      </c>
      <c r="J2387" s="28"/>
    </row>
    <row r="2388" spans="1:10" ht="15.75" customHeight="1">
      <c r="A2388" s="28">
        <v>17778</v>
      </c>
      <c r="B2388" s="91">
        <v>44974.793854166666</v>
      </c>
      <c r="C2388" s="28" t="s">
        <v>10</v>
      </c>
      <c r="D2388" s="28" t="s">
        <v>1015</v>
      </c>
      <c r="E2388" s="28"/>
      <c r="F2388" s="28">
        <v>35</v>
      </c>
      <c r="G2388" s="28" t="s">
        <v>124</v>
      </c>
      <c r="H2388" s="28">
        <v>0</v>
      </c>
      <c r="J2388" s="28"/>
    </row>
    <row r="2389" spans="1:10" ht="15.75" customHeight="1">
      <c r="A2389" s="28">
        <v>17778</v>
      </c>
      <c r="B2389" s="91">
        <v>44974.793854166666</v>
      </c>
      <c r="C2389" s="28" t="s">
        <v>10</v>
      </c>
      <c r="D2389" s="28" t="s">
        <v>1015</v>
      </c>
      <c r="E2389" s="28"/>
      <c r="F2389" s="28">
        <v>0</v>
      </c>
      <c r="G2389" s="28" t="s">
        <v>125</v>
      </c>
      <c r="H2389" s="28">
        <v>0</v>
      </c>
      <c r="J2389" s="28"/>
    </row>
    <row r="2390" spans="1:10" ht="15.75" customHeight="1">
      <c r="A2390" s="28">
        <v>17778</v>
      </c>
      <c r="B2390" s="91">
        <v>44974.793854166666</v>
      </c>
      <c r="C2390" s="28" t="s">
        <v>10</v>
      </c>
      <c r="D2390" s="28" t="s">
        <v>1015</v>
      </c>
      <c r="E2390" s="28"/>
      <c r="F2390" s="28">
        <v>0</v>
      </c>
      <c r="G2390" s="28" t="s">
        <v>119</v>
      </c>
      <c r="H2390" s="28">
        <v>0</v>
      </c>
      <c r="J2390" s="28"/>
    </row>
    <row r="2391" spans="1:10" ht="15.75" customHeight="1">
      <c r="A2391" s="28">
        <v>17778</v>
      </c>
      <c r="B2391" s="91">
        <v>44974.793854166666</v>
      </c>
      <c r="C2391" s="28" t="s">
        <v>10</v>
      </c>
      <c r="D2391" s="28" t="s">
        <v>1015</v>
      </c>
      <c r="E2391" s="28"/>
      <c r="F2391" s="28">
        <v>0</v>
      </c>
      <c r="G2391" s="28" t="s">
        <v>121</v>
      </c>
      <c r="H2391" s="28">
        <v>0</v>
      </c>
      <c r="J2391" s="28"/>
    </row>
    <row r="2392" spans="1:10" ht="15.75" customHeight="1">
      <c r="A2392" s="28">
        <v>17777</v>
      </c>
      <c r="B2392" s="91">
        <v>44974.782118055555</v>
      </c>
      <c r="C2392" s="28" t="s">
        <v>10</v>
      </c>
      <c r="D2392" s="28" t="s">
        <v>804</v>
      </c>
      <c r="E2392" s="28"/>
      <c r="F2392" s="28">
        <v>55</v>
      </c>
      <c r="G2392" s="28" t="s">
        <v>861</v>
      </c>
      <c r="H2392" s="28">
        <v>0</v>
      </c>
      <c r="J2392" s="28"/>
    </row>
    <row r="2393" spans="1:10" ht="15.75" customHeight="1">
      <c r="A2393" s="28">
        <v>17777</v>
      </c>
      <c r="B2393" s="91">
        <v>44974.782118055555</v>
      </c>
      <c r="C2393" s="28" t="s">
        <v>10</v>
      </c>
      <c r="D2393" s="28" t="s">
        <v>804</v>
      </c>
      <c r="E2393" s="28"/>
      <c r="F2393" s="28">
        <v>25</v>
      </c>
      <c r="G2393" s="28" t="s">
        <v>120</v>
      </c>
      <c r="H2393" s="28">
        <v>0</v>
      </c>
      <c r="J2393" s="28"/>
    </row>
    <row r="2394" spans="1:10" ht="15.75" customHeight="1">
      <c r="A2394" s="28">
        <v>17776</v>
      </c>
      <c r="B2394" s="91">
        <v>44974.780266203699</v>
      </c>
      <c r="C2394" s="28" t="s">
        <v>10</v>
      </c>
      <c r="D2394" s="28" t="s">
        <v>1016</v>
      </c>
      <c r="E2394" s="28"/>
      <c r="F2394" s="28">
        <v>20</v>
      </c>
      <c r="G2394" s="28" t="s">
        <v>148</v>
      </c>
      <c r="H2394" s="28">
        <v>0</v>
      </c>
      <c r="J2394" s="28"/>
    </row>
    <row r="2395" spans="1:10" ht="15.75" customHeight="1">
      <c r="A2395" s="28">
        <v>17776</v>
      </c>
      <c r="B2395" s="91">
        <v>44974.780266203699</v>
      </c>
      <c r="C2395" s="28" t="s">
        <v>10</v>
      </c>
      <c r="D2395" s="28" t="s">
        <v>1016</v>
      </c>
      <c r="E2395" s="28"/>
      <c r="F2395" s="28">
        <v>25</v>
      </c>
      <c r="G2395" s="28">
        <v>100692</v>
      </c>
      <c r="H2395" s="28">
        <v>0</v>
      </c>
      <c r="J2395" s="28"/>
    </row>
    <row r="2396" spans="1:10" ht="15.75" customHeight="1">
      <c r="A2396" s="28">
        <v>17776</v>
      </c>
      <c r="B2396" s="91">
        <v>44974.780266203699</v>
      </c>
      <c r="C2396" s="28" t="s">
        <v>10</v>
      </c>
      <c r="D2396" s="28" t="s">
        <v>1016</v>
      </c>
      <c r="E2396" s="28"/>
      <c r="F2396" s="28">
        <v>0</v>
      </c>
      <c r="G2396" s="28" t="s">
        <v>125</v>
      </c>
      <c r="H2396" s="28">
        <v>0</v>
      </c>
      <c r="J2396" s="28"/>
    </row>
    <row r="2397" spans="1:10" ht="15.75" customHeight="1">
      <c r="A2397" s="28">
        <v>17776</v>
      </c>
      <c r="B2397" s="91">
        <v>44974.780266203699</v>
      </c>
      <c r="C2397" s="28" t="s">
        <v>10</v>
      </c>
      <c r="D2397" s="28" t="s">
        <v>1016</v>
      </c>
      <c r="E2397" s="28"/>
      <c r="F2397" s="28">
        <v>0</v>
      </c>
      <c r="G2397" s="28" t="s">
        <v>119</v>
      </c>
      <c r="H2397" s="28">
        <v>0</v>
      </c>
      <c r="J2397" s="28"/>
    </row>
    <row r="2398" spans="1:10" ht="15.75" customHeight="1">
      <c r="A2398" s="28">
        <v>17776</v>
      </c>
      <c r="B2398" s="91">
        <v>44974.780266203699</v>
      </c>
      <c r="C2398" s="28" t="s">
        <v>10</v>
      </c>
      <c r="D2398" s="28" t="s">
        <v>1016</v>
      </c>
      <c r="E2398" s="28"/>
      <c r="F2398" s="28">
        <v>0</v>
      </c>
      <c r="G2398" s="28" t="s">
        <v>139</v>
      </c>
      <c r="H2398" s="28">
        <v>0</v>
      </c>
      <c r="J2398" s="28"/>
    </row>
    <row r="2399" spans="1:10" ht="15.75" customHeight="1">
      <c r="A2399" s="28">
        <v>17776</v>
      </c>
      <c r="B2399" s="91">
        <v>44974.780266203699</v>
      </c>
      <c r="C2399" s="28" t="s">
        <v>10</v>
      </c>
      <c r="D2399" s="28" t="s">
        <v>1016</v>
      </c>
      <c r="E2399" s="28"/>
      <c r="F2399" s="28">
        <v>22</v>
      </c>
      <c r="G2399" s="28" t="s">
        <v>137</v>
      </c>
      <c r="H2399" s="28">
        <v>0</v>
      </c>
      <c r="J2399" s="28"/>
    </row>
    <row r="2400" spans="1:10" ht="15.75" customHeight="1">
      <c r="A2400" s="28">
        <v>17775</v>
      </c>
      <c r="B2400" s="91">
        <v>44974.52039351852</v>
      </c>
      <c r="C2400" s="28" t="s">
        <v>10</v>
      </c>
      <c r="D2400" s="28" t="s">
        <v>1017</v>
      </c>
      <c r="E2400" s="28"/>
      <c r="F2400" s="28">
        <v>15</v>
      </c>
      <c r="G2400" s="28" t="s">
        <v>286</v>
      </c>
      <c r="H2400" s="28">
        <v>0</v>
      </c>
      <c r="J2400" s="28"/>
    </row>
    <row r="2401" spans="1:10" ht="15.75" customHeight="1">
      <c r="A2401" s="28">
        <v>17774</v>
      </c>
      <c r="B2401" s="91">
        <v>44974.467835648145</v>
      </c>
      <c r="C2401" s="28" t="s">
        <v>10</v>
      </c>
      <c r="D2401" s="28" t="s">
        <v>1018</v>
      </c>
      <c r="E2401" s="28"/>
      <c r="F2401" s="28">
        <v>25</v>
      </c>
      <c r="G2401" s="28">
        <v>100692</v>
      </c>
      <c r="H2401" s="28">
        <v>0</v>
      </c>
      <c r="J2401" s="28"/>
    </row>
    <row r="2402" spans="1:10" ht="15.75" customHeight="1">
      <c r="A2402" s="28">
        <v>17774</v>
      </c>
      <c r="B2402" s="91">
        <v>44974.467835648145</v>
      </c>
      <c r="C2402" s="28" t="s">
        <v>10</v>
      </c>
      <c r="D2402" s="28" t="s">
        <v>1018</v>
      </c>
      <c r="E2402" s="28"/>
      <c r="F2402" s="28">
        <v>0</v>
      </c>
      <c r="G2402" s="28" t="s">
        <v>125</v>
      </c>
      <c r="H2402" s="28">
        <v>0</v>
      </c>
      <c r="J2402" s="28"/>
    </row>
    <row r="2403" spans="1:10" ht="15.75" customHeight="1">
      <c r="A2403" s="28">
        <v>17774</v>
      </c>
      <c r="B2403" s="91">
        <v>44974.467835648145</v>
      </c>
      <c r="C2403" s="28" t="s">
        <v>10</v>
      </c>
      <c r="D2403" s="28" t="s">
        <v>1018</v>
      </c>
      <c r="E2403" s="28"/>
      <c r="F2403" s="28">
        <v>0</v>
      </c>
      <c r="G2403" s="28" t="s">
        <v>119</v>
      </c>
      <c r="H2403" s="28">
        <v>0</v>
      </c>
      <c r="J2403" s="28"/>
    </row>
    <row r="2404" spans="1:10" ht="15.75" customHeight="1">
      <c r="A2404" s="28">
        <v>17774</v>
      </c>
      <c r="B2404" s="91">
        <v>44974.467835648145</v>
      </c>
      <c r="C2404" s="28" t="s">
        <v>10</v>
      </c>
      <c r="D2404" s="28" t="s">
        <v>1018</v>
      </c>
      <c r="E2404" s="28"/>
      <c r="F2404" s="28">
        <v>35</v>
      </c>
      <c r="G2404" s="28" t="s">
        <v>124</v>
      </c>
      <c r="H2404" s="28">
        <v>0</v>
      </c>
      <c r="J2404" s="28"/>
    </row>
    <row r="2405" spans="1:10" ht="15.75" customHeight="1">
      <c r="A2405" s="28">
        <v>17774</v>
      </c>
      <c r="B2405" s="91">
        <v>44974.467835648145</v>
      </c>
      <c r="C2405" s="28" t="s">
        <v>10</v>
      </c>
      <c r="D2405" s="28" t="s">
        <v>1018</v>
      </c>
      <c r="E2405" s="28"/>
      <c r="F2405" s="28">
        <v>0</v>
      </c>
      <c r="G2405" s="28" t="s">
        <v>125</v>
      </c>
      <c r="H2405" s="28">
        <v>0</v>
      </c>
      <c r="J2405" s="28"/>
    </row>
    <row r="2406" spans="1:10" ht="15.75" customHeight="1">
      <c r="A2406" s="28">
        <v>17774</v>
      </c>
      <c r="B2406" s="91">
        <v>44974.467835648145</v>
      </c>
      <c r="C2406" s="28" t="s">
        <v>10</v>
      </c>
      <c r="D2406" s="28" t="s">
        <v>1018</v>
      </c>
      <c r="E2406" s="28"/>
      <c r="F2406" s="28">
        <v>0</v>
      </c>
      <c r="G2406" s="28" t="s">
        <v>119</v>
      </c>
      <c r="H2406" s="28">
        <v>0</v>
      </c>
      <c r="J2406" s="28"/>
    </row>
    <row r="2407" spans="1:10" ht="15.75" customHeight="1">
      <c r="A2407" s="28">
        <v>17774</v>
      </c>
      <c r="B2407" s="91">
        <v>44974.467835648145</v>
      </c>
      <c r="C2407" s="28" t="s">
        <v>10</v>
      </c>
      <c r="D2407" s="28" t="s">
        <v>1018</v>
      </c>
      <c r="E2407" s="28"/>
      <c r="F2407" s="28">
        <v>0</v>
      </c>
      <c r="G2407" s="28" t="s">
        <v>121</v>
      </c>
      <c r="H2407" s="28">
        <v>0</v>
      </c>
      <c r="J2407" s="28"/>
    </row>
    <row r="2408" spans="1:10" ht="15.75" customHeight="1">
      <c r="A2408" s="28">
        <v>17773</v>
      </c>
      <c r="B2408" s="91">
        <v>44974.433935185181</v>
      </c>
      <c r="C2408" s="28" t="s">
        <v>10</v>
      </c>
      <c r="D2408" s="28" t="s">
        <v>1019</v>
      </c>
      <c r="E2408" s="28"/>
      <c r="F2408" s="28">
        <v>25</v>
      </c>
      <c r="G2408" s="28">
        <v>100692</v>
      </c>
      <c r="H2408" s="28">
        <v>0</v>
      </c>
      <c r="J2408" s="28"/>
    </row>
    <row r="2409" spans="1:10" ht="15.75" customHeight="1">
      <c r="A2409" s="28">
        <v>17773</v>
      </c>
      <c r="B2409" s="91">
        <v>44974.433935185181</v>
      </c>
      <c r="C2409" s="28" t="s">
        <v>10</v>
      </c>
      <c r="D2409" s="28" t="s">
        <v>1019</v>
      </c>
      <c r="E2409" s="28"/>
      <c r="F2409" s="28">
        <v>0</v>
      </c>
      <c r="G2409" s="28" t="s">
        <v>125</v>
      </c>
      <c r="H2409" s="28">
        <v>0</v>
      </c>
      <c r="J2409" s="28"/>
    </row>
    <row r="2410" spans="1:10" ht="15.75" customHeight="1">
      <c r="A2410" s="28">
        <v>17773</v>
      </c>
      <c r="B2410" s="91">
        <v>44974.433935185181</v>
      </c>
      <c r="C2410" s="28" t="s">
        <v>10</v>
      </c>
      <c r="D2410" s="28" t="s">
        <v>1019</v>
      </c>
      <c r="E2410" s="28"/>
      <c r="F2410" s="28">
        <v>0</v>
      </c>
      <c r="G2410" s="28" t="s">
        <v>119</v>
      </c>
      <c r="H2410" s="28">
        <v>0</v>
      </c>
      <c r="J2410" s="28"/>
    </row>
    <row r="2411" spans="1:10" ht="15.75" customHeight="1">
      <c r="A2411" s="28">
        <v>17772</v>
      </c>
      <c r="B2411" s="91">
        <v>44974.261678240742</v>
      </c>
      <c r="C2411" s="28" t="s">
        <v>10</v>
      </c>
      <c r="D2411" s="28" t="s">
        <v>1020</v>
      </c>
      <c r="E2411" s="28"/>
      <c r="F2411" s="28">
        <v>25</v>
      </c>
      <c r="G2411" s="28">
        <v>100692</v>
      </c>
      <c r="H2411" s="28">
        <v>0</v>
      </c>
      <c r="J2411" s="28"/>
    </row>
    <row r="2412" spans="1:10" ht="15.75" customHeight="1">
      <c r="A2412" s="28">
        <v>17772</v>
      </c>
      <c r="B2412" s="91">
        <v>44974.261678240742</v>
      </c>
      <c r="C2412" s="28" t="s">
        <v>10</v>
      </c>
      <c r="D2412" s="28" t="s">
        <v>1020</v>
      </c>
      <c r="E2412" s="28"/>
      <c r="F2412" s="28">
        <v>0</v>
      </c>
      <c r="G2412" s="28" t="s">
        <v>125</v>
      </c>
      <c r="H2412" s="28">
        <v>0</v>
      </c>
      <c r="J2412" s="28"/>
    </row>
    <row r="2413" spans="1:10" ht="15.75" customHeight="1">
      <c r="A2413" s="28">
        <v>17772</v>
      </c>
      <c r="B2413" s="91">
        <v>44974.261678240742</v>
      </c>
      <c r="C2413" s="28" t="s">
        <v>10</v>
      </c>
      <c r="D2413" s="28" t="s">
        <v>1020</v>
      </c>
      <c r="E2413" s="28"/>
      <c r="F2413" s="28">
        <v>0</v>
      </c>
      <c r="G2413" s="28" t="s">
        <v>119</v>
      </c>
      <c r="H2413" s="28">
        <v>0</v>
      </c>
      <c r="J2413" s="28"/>
    </row>
    <row r="2414" spans="1:10" ht="15.75" customHeight="1">
      <c r="A2414" s="28">
        <v>17771</v>
      </c>
      <c r="B2414" s="91">
        <v>44974.257719907408</v>
      </c>
      <c r="C2414" s="28" t="s">
        <v>10</v>
      </c>
      <c r="D2414" s="28" t="s">
        <v>1021</v>
      </c>
      <c r="E2414" s="28"/>
      <c r="F2414" s="28">
        <v>25</v>
      </c>
      <c r="G2414" s="28">
        <v>100692</v>
      </c>
      <c r="H2414" s="28">
        <v>0</v>
      </c>
      <c r="J2414" s="28"/>
    </row>
    <row r="2415" spans="1:10" ht="15.75" customHeight="1">
      <c r="A2415" s="28">
        <v>17771</v>
      </c>
      <c r="B2415" s="91">
        <v>44974.257719907408</v>
      </c>
      <c r="C2415" s="28" t="s">
        <v>10</v>
      </c>
      <c r="D2415" s="28" t="s">
        <v>1021</v>
      </c>
      <c r="E2415" s="28"/>
      <c r="F2415" s="28">
        <v>0</v>
      </c>
      <c r="G2415" s="28" t="s">
        <v>125</v>
      </c>
      <c r="H2415" s="28">
        <v>0</v>
      </c>
      <c r="J2415" s="28"/>
    </row>
    <row r="2416" spans="1:10" ht="15.75" customHeight="1">
      <c r="A2416" s="28">
        <v>17771</v>
      </c>
      <c r="B2416" s="91">
        <v>44974.257719907408</v>
      </c>
      <c r="C2416" s="28" t="s">
        <v>10</v>
      </c>
      <c r="D2416" s="28" t="s">
        <v>1021</v>
      </c>
      <c r="E2416" s="28"/>
      <c r="F2416" s="28">
        <v>0</v>
      </c>
      <c r="G2416" s="28" t="s">
        <v>119</v>
      </c>
      <c r="H2416" s="28">
        <v>0</v>
      </c>
      <c r="J2416" s="28"/>
    </row>
    <row r="2417" spans="1:10" ht="15.75" customHeight="1">
      <c r="A2417" s="28">
        <v>17770</v>
      </c>
      <c r="B2417" s="91">
        <v>44974.071921296301</v>
      </c>
      <c r="C2417" s="28" t="s">
        <v>10</v>
      </c>
      <c r="D2417" s="28" t="s">
        <v>1022</v>
      </c>
      <c r="E2417" s="28"/>
      <c r="F2417" s="28">
        <v>35</v>
      </c>
      <c r="G2417" s="28" t="s">
        <v>124</v>
      </c>
      <c r="H2417" s="28">
        <v>0</v>
      </c>
      <c r="J2417" s="28"/>
    </row>
    <row r="2418" spans="1:10" ht="15.75" customHeight="1">
      <c r="A2418" s="28">
        <v>17770</v>
      </c>
      <c r="B2418" s="91">
        <v>44974.071921296301</v>
      </c>
      <c r="C2418" s="28" t="s">
        <v>10</v>
      </c>
      <c r="D2418" s="28" t="s">
        <v>1022</v>
      </c>
      <c r="E2418" s="28"/>
      <c r="F2418" s="28">
        <v>0</v>
      </c>
      <c r="G2418" s="28" t="s">
        <v>125</v>
      </c>
      <c r="H2418" s="28">
        <v>0</v>
      </c>
      <c r="J2418" s="28"/>
    </row>
    <row r="2419" spans="1:10" ht="15.75" customHeight="1">
      <c r="A2419" s="28">
        <v>17770</v>
      </c>
      <c r="B2419" s="91">
        <v>44974.071921296301</v>
      </c>
      <c r="C2419" s="28" t="s">
        <v>10</v>
      </c>
      <c r="D2419" s="28" t="s">
        <v>1022</v>
      </c>
      <c r="E2419" s="28"/>
      <c r="F2419" s="28">
        <v>0</v>
      </c>
      <c r="G2419" s="28" t="s">
        <v>119</v>
      </c>
      <c r="H2419" s="28">
        <v>0</v>
      </c>
      <c r="J2419" s="28"/>
    </row>
    <row r="2420" spans="1:10" ht="15.75" customHeight="1">
      <c r="A2420" s="28">
        <v>17770</v>
      </c>
      <c r="B2420" s="91">
        <v>44974.071921296301</v>
      </c>
      <c r="C2420" s="28" t="s">
        <v>10</v>
      </c>
      <c r="D2420" s="28" t="s">
        <v>1022</v>
      </c>
      <c r="E2420" s="28"/>
      <c r="F2420" s="28">
        <v>0</v>
      </c>
      <c r="G2420" s="28" t="s">
        <v>121</v>
      </c>
      <c r="H2420" s="28">
        <v>0</v>
      </c>
      <c r="J2420" s="28"/>
    </row>
    <row r="2421" spans="1:10" ht="15.75" customHeight="1">
      <c r="A2421" s="28">
        <v>17770</v>
      </c>
      <c r="B2421" s="91">
        <v>44974.071921296301</v>
      </c>
      <c r="C2421" s="28" t="s">
        <v>10</v>
      </c>
      <c r="D2421" s="28" t="s">
        <v>1022</v>
      </c>
      <c r="E2421" s="28"/>
      <c r="F2421" s="28">
        <v>20</v>
      </c>
      <c r="G2421" s="28" t="s">
        <v>148</v>
      </c>
      <c r="H2421" s="28">
        <v>0</v>
      </c>
      <c r="J2421" s="28"/>
    </row>
    <row r="2422" spans="1:10" ht="15.75" customHeight="1">
      <c r="A2422" s="28">
        <v>17769</v>
      </c>
      <c r="B2422" s="91">
        <v>44974.067881944444</v>
      </c>
      <c r="C2422" s="28" t="s">
        <v>10</v>
      </c>
      <c r="D2422" s="28" t="s">
        <v>1023</v>
      </c>
      <c r="E2422" s="28"/>
      <c r="F2422" s="28">
        <v>22</v>
      </c>
      <c r="G2422" s="28" t="s">
        <v>137</v>
      </c>
      <c r="H2422" s="28">
        <v>0</v>
      </c>
      <c r="J2422" s="28"/>
    </row>
    <row r="2423" spans="1:10" ht="15.75" customHeight="1">
      <c r="A2423" s="28">
        <v>17768</v>
      </c>
      <c r="B2423" s="91">
        <v>44974.065995370373</v>
      </c>
      <c r="C2423" s="28" t="s">
        <v>10</v>
      </c>
      <c r="D2423" s="28" t="s">
        <v>1024</v>
      </c>
      <c r="E2423" s="28"/>
      <c r="F2423" s="28">
        <v>15</v>
      </c>
      <c r="G2423" s="28" t="s">
        <v>286</v>
      </c>
      <c r="H2423" s="28">
        <v>0</v>
      </c>
      <c r="J2423" s="28"/>
    </row>
    <row r="2424" spans="1:10" ht="15.75" customHeight="1">
      <c r="A2424" s="28">
        <v>17767</v>
      </c>
      <c r="B2424" s="91">
        <v>44974.065532407403</v>
      </c>
      <c r="C2424" s="28" t="s">
        <v>10</v>
      </c>
      <c r="D2424" s="28" t="s">
        <v>1025</v>
      </c>
      <c r="E2424" s="28"/>
      <c r="F2424" s="28">
        <v>22</v>
      </c>
      <c r="G2424" s="28" t="s">
        <v>137</v>
      </c>
      <c r="H2424" s="28">
        <v>0</v>
      </c>
      <c r="J2424" s="28"/>
    </row>
    <row r="2425" spans="1:10" ht="15.75" customHeight="1">
      <c r="A2425" s="28">
        <v>17766</v>
      </c>
      <c r="B2425" s="91">
        <v>44974.057303240741</v>
      </c>
      <c r="C2425" s="28" t="s">
        <v>10</v>
      </c>
      <c r="D2425" s="28" t="s">
        <v>895</v>
      </c>
      <c r="E2425" s="28"/>
      <c r="F2425" s="28">
        <v>28</v>
      </c>
      <c r="G2425" s="28" t="s">
        <v>143</v>
      </c>
      <c r="H2425" s="28">
        <v>0</v>
      </c>
      <c r="J2425" s="28"/>
    </row>
    <row r="2426" spans="1:10" ht="15.75" customHeight="1">
      <c r="A2426" s="28">
        <v>17765</v>
      </c>
      <c r="B2426" s="91">
        <v>44974.056516203702</v>
      </c>
      <c r="C2426" s="28" t="s">
        <v>10</v>
      </c>
      <c r="D2426" s="28" t="s">
        <v>1026</v>
      </c>
      <c r="E2426" s="28"/>
      <c r="F2426" s="28">
        <v>15</v>
      </c>
      <c r="G2426" s="28" t="s">
        <v>125</v>
      </c>
      <c r="H2426" s="28">
        <v>0</v>
      </c>
      <c r="J2426" s="28"/>
    </row>
    <row r="2427" spans="1:10" ht="15.75" customHeight="1">
      <c r="A2427" s="28">
        <v>17764</v>
      </c>
      <c r="B2427" s="91">
        <v>44974.053645833337</v>
      </c>
      <c r="C2427" s="28" t="s">
        <v>10</v>
      </c>
      <c r="D2427" s="28" t="s">
        <v>1027</v>
      </c>
      <c r="E2427" s="28"/>
      <c r="F2427" s="28">
        <v>25</v>
      </c>
      <c r="G2427" s="28" t="s">
        <v>120</v>
      </c>
      <c r="H2427" s="28">
        <v>0</v>
      </c>
      <c r="J2427" s="28"/>
    </row>
    <row r="2428" spans="1:10" ht="15.75" customHeight="1">
      <c r="A2428" s="28">
        <v>17764</v>
      </c>
      <c r="B2428" s="91">
        <v>44974.053645833337</v>
      </c>
      <c r="C2428" s="28" t="s">
        <v>10</v>
      </c>
      <c r="D2428" s="28" t="s">
        <v>1027</v>
      </c>
      <c r="E2428" s="28"/>
      <c r="F2428" s="28">
        <v>15</v>
      </c>
      <c r="G2428" s="28" t="s">
        <v>170</v>
      </c>
      <c r="H2428" s="28">
        <v>0</v>
      </c>
      <c r="J2428" s="28"/>
    </row>
    <row r="2429" spans="1:10" ht="15.75" customHeight="1">
      <c r="A2429" s="28">
        <v>17763</v>
      </c>
      <c r="B2429" s="91">
        <v>44974.043657407412</v>
      </c>
      <c r="C2429" s="28" t="s">
        <v>10</v>
      </c>
      <c r="D2429" s="28" t="s">
        <v>1028</v>
      </c>
      <c r="E2429" s="28"/>
      <c r="F2429" s="28">
        <v>22</v>
      </c>
      <c r="G2429" s="28" t="s">
        <v>137</v>
      </c>
      <c r="H2429" s="28">
        <v>0</v>
      </c>
      <c r="J2429" s="28"/>
    </row>
    <row r="2430" spans="1:10" ht="15.75" customHeight="1">
      <c r="A2430" s="28">
        <v>17763</v>
      </c>
      <c r="B2430" s="91">
        <v>44974.043657407412</v>
      </c>
      <c r="C2430" s="28" t="s">
        <v>10</v>
      </c>
      <c r="D2430" s="28" t="s">
        <v>1028</v>
      </c>
      <c r="E2430" s="28"/>
      <c r="F2430" s="28">
        <v>20</v>
      </c>
      <c r="G2430" s="28" t="s">
        <v>121</v>
      </c>
      <c r="H2430" s="28">
        <v>0</v>
      </c>
      <c r="J2430" s="28"/>
    </row>
    <row r="2431" spans="1:10" ht="15.75" customHeight="1">
      <c r="A2431" s="28">
        <v>17763</v>
      </c>
      <c r="B2431" s="91">
        <v>44974.043657407412</v>
      </c>
      <c r="C2431" s="28" t="s">
        <v>10</v>
      </c>
      <c r="D2431" s="28" t="s">
        <v>1028</v>
      </c>
      <c r="E2431" s="28"/>
      <c r="F2431" s="28">
        <v>0</v>
      </c>
      <c r="G2431" s="28" t="s">
        <v>139</v>
      </c>
      <c r="H2431" s="28">
        <v>0</v>
      </c>
      <c r="J2431" s="28"/>
    </row>
    <row r="2432" spans="1:10" ht="15.75" customHeight="1">
      <c r="A2432" s="28">
        <v>17762</v>
      </c>
      <c r="B2432" s="91">
        <v>44974.042858796296</v>
      </c>
      <c r="C2432" s="28" t="s">
        <v>10</v>
      </c>
      <c r="D2432" s="28" t="s">
        <v>834</v>
      </c>
      <c r="E2432" s="28"/>
      <c r="F2432" s="28">
        <v>0</v>
      </c>
      <c r="G2432" s="28" t="s">
        <v>139</v>
      </c>
      <c r="H2432" s="28">
        <v>0</v>
      </c>
      <c r="J2432" s="28"/>
    </row>
    <row r="2433" spans="1:10" ht="15.75" customHeight="1">
      <c r="A2433" s="28">
        <v>17761</v>
      </c>
      <c r="B2433" s="91">
        <v>44974.041168981479</v>
      </c>
      <c r="C2433" s="28" t="s">
        <v>10</v>
      </c>
      <c r="D2433" s="28" t="s">
        <v>209</v>
      </c>
      <c r="E2433" s="28"/>
      <c r="F2433" s="28">
        <v>28</v>
      </c>
      <c r="G2433" s="28" t="s">
        <v>143</v>
      </c>
      <c r="H2433" s="28">
        <v>0</v>
      </c>
      <c r="J2433" s="28"/>
    </row>
    <row r="2434" spans="1:10" ht="15.75" customHeight="1">
      <c r="A2434" s="28">
        <v>17761</v>
      </c>
      <c r="B2434" s="91">
        <v>44974.041168981479</v>
      </c>
      <c r="C2434" s="28" t="s">
        <v>10</v>
      </c>
      <c r="D2434" s="28" t="s">
        <v>209</v>
      </c>
      <c r="E2434" s="28"/>
      <c r="F2434" s="28">
        <v>0</v>
      </c>
      <c r="G2434" s="28" t="s">
        <v>139</v>
      </c>
      <c r="H2434" s="28">
        <v>0</v>
      </c>
      <c r="J2434" s="28"/>
    </row>
    <row r="2435" spans="1:10" ht="15.75" customHeight="1">
      <c r="A2435" s="28">
        <v>17760</v>
      </c>
      <c r="B2435" s="91">
        <v>44974.016238425931</v>
      </c>
      <c r="C2435" s="28" t="s">
        <v>10</v>
      </c>
      <c r="D2435" s="28" t="s">
        <v>1029</v>
      </c>
      <c r="E2435" s="28"/>
      <c r="F2435" s="28">
        <v>55</v>
      </c>
      <c r="G2435" s="28">
        <v>101684</v>
      </c>
      <c r="H2435" s="28">
        <v>0</v>
      </c>
      <c r="J2435" s="28"/>
    </row>
    <row r="2436" spans="1:10" ht="15.75" customHeight="1">
      <c r="A2436" s="28">
        <v>17760</v>
      </c>
      <c r="B2436" s="91">
        <v>44974.016238425931</v>
      </c>
      <c r="C2436" s="28" t="s">
        <v>10</v>
      </c>
      <c r="D2436" s="28" t="s">
        <v>1029</v>
      </c>
      <c r="E2436" s="28"/>
      <c r="F2436" s="28">
        <v>0</v>
      </c>
      <c r="G2436" s="28" t="s">
        <v>118</v>
      </c>
      <c r="H2436" s="28">
        <v>0</v>
      </c>
      <c r="J2436" s="28"/>
    </row>
    <row r="2437" spans="1:10" ht="15.75" customHeight="1">
      <c r="A2437" s="28">
        <v>17760</v>
      </c>
      <c r="B2437" s="91">
        <v>44974.016238425931</v>
      </c>
      <c r="C2437" s="28" t="s">
        <v>10</v>
      </c>
      <c r="D2437" s="28" t="s">
        <v>1029</v>
      </c>
      <c r="E2437" s="28"/>
      <c r="F2437" s="28">
        <v>0</v>
      </c>
      <c r="G2437" s="28" t="s">
        <v>119</v>
      </c>
      <c r="H2437" s="28">
        <v>0</v>
      </c>
      <c r="J2437" s="28"/>
    </row>
    <row r="2438" spans="1:10" ht="15.75" customHeight="1">
      <c r="A2438" s="28">
        <v>17760</v>
      </c>
      <c r="B2438" s="91">
        <v>44974.016238425931</v>
      </c>
      <c r="C2438" s="28" t="s">
        <v>10</v>
      </c>
      <c r="D2438" s="28" t="s">
        <v>1029</v>
      </c>
      <c r="E2438" s="28"/>
      <c r="F2438" s="28">
        <v>0</v>
      </c>
      <c r="G2438" s="28" t="s">
        <v>120</v>
      </c>
      <c r="H2438" s="28">
        <v>0</v>
      </c>
      <c r="J2438" s="28"/>
    </row>
    <row r="2439" spans="1:10" ht="15.75" customHeight="1">
      <c r="A2439" s="28">
        <v>17760</v>
      </c>
      <c r="B2439" s="91">
        <v>44974.016238425931</v>
      </c>
      <c r="C2439" s="28" t="s">
        <v>10</v>
      </c>
      <c r="D2439" s="28" t="s">
        <v>1029</v>
      </c>
      <c r="E2439" s="28"/>
      <c r="F2439" s="28">
        <v>0</v>
      </c>
      <c r="G2439" s="28" t="s">
        <v>121</v>
      </c>
      <c r="H2439" s="28">
        <v>0</v>
      </c>
      <c r="J2439" s="28"/>
    </row>
    <row r="2440" spans="1:10" ht="15.75" customHeight="1">
      <c r="A2440" s="28">
        <v>17759</v>
      </c>
      <c r="B2440" s="91">
        <v>44974.013784722221</v>
      </c>
      <c r="C2440" s="28" t="s">
        <v>10</v>
      </c>
      <c r="D2440" s="28" t="s">
        <v>1030</v>
      </c>
      <c r="E2440" s="28"/>
      <c r="F2440" s="28">
        <v>25</v>
      </c>
      <c r="G2440" s="28">
        <v>100692</v>
      </c>
      <c r="H2440" s="28">
        <v>0</v>
      </c>
      <c r="J2440" s="28"/>
    </row>
    <row r="2441" spans="1:10" ht="15.75" customHeight="1">
      <c r="A2441" s="28">
        <v>17759</v>
      </c>
      <c r="B2441" s="91">
        <v>44974.013784722221</v>
      </c>
      <c r="C2441" s="28" t="s">
        <v>10</v>
      </c>
      <c r="D2441" s="28" t="s">
        <v>1030</v>
      </c>
      <c r="E2441" s="28"/>
      <c r="F2441" s="28">
        <v>0</v>
      </c>
      <c r="G2441" s="28" t="s">
        <v>125</v>
      </c>
      <c r="H2441" s="28">
        <v>0</v>
      </c>
      <c r="J2441" s="28"/>
    </row>
    <row r="2442" spans="1:10" ht="15.75" customHeight="1">
      <c r="A2442" s="28">
        <v>17759</v>
      </c>
      <c r="B2442" s="91">
        <v>44974.013784722221</v>
      </c>
      <c r="C2442" s="28" t="s">
        <v>10</v>
      </c>
      <c r="D2442" s="28" t="s">
        <v>1030</v>
      </c>
      <c r="E2442" s="28"/>
      <c r="F2442" s="28">
        <v>0</v>
      </c>
      <c r="G2442" s="28" t="s">
        <v>119</v>
      </c>
      <c r="H2442" s="28">
        <v>0</v>
      </c>
      <c r="J2442" s="28"/>
    </row>
    <row r="2443" spans="1:10" ht="15.75" customHeight="1">
      <c r="A2443" s="28">
        <v>17758</v>
      </c>
      <c r="B2443" s="91">
        <v>44974.008530092593</v>
      </c>
      <c r="C2443" s="28" t="s">
        <v>10</v>
      </c>
      <c r="D2443" s="28" t="s">
        <v>1031</v>
      </c>
      <c r="E2443" s="28"/>
      <c r="F2443" s="28">
        <v>0</v>
      </c>
      <c r="G2443" s="28" t="s">
        <v>139</v>
      </c>
      <c r="H2443" s="28">
        <v>0</v>
      </c>
      <c r="J2443" s="28"/>
    </row>
    <row r="2444" spans="1:10" ht="15.75" customHeight="1">
      <c r="A2444" s="28">
        <v>17758</v>
      </c>
      <c r="B2444" s="91">
        <v>44974.008530092593</v>
      </c>
      <c r="C2444" s="28" t="s">
        <v>10</v>
      </c>
      <c r="D2444" s="28" t="s">
        <v>1031</v>
      </c>
      <c r="E2444" s="28"/>
      <c r="F2444" s="28">
        <v>25</v>
      </c>
      <c r="G2444" s="28">
        <v>100692</v>
      </c>
      <c r="H2444" s="28">
        <v>0</v>
      </c>
      <c r="J2444" s="28"/>
    </row>
    <row r="2445" spans="1:10" ht="15.75" customHeight="1">
      <c r="A2445" s="28">
        <v>17758</v>
      </c>
      <c r="B2445" s="91">
        <v>44974.008530092593</v>
      </c>
      <c r="C2445" s="28" t="s">
        <v>10</v>
      </c>
      <c r="D2445" s="28" t="s">
        <v>1031</v>
      </c>
      <c r="E2445" s="28"/>
      <c r="F2445" s="28">
        <v>0</v>
      </c>
      <c r="G2445" s="28" t="s">
        <v>125</v>
      </c>
      <c r="H2445" s="28">
        <v>0</v>
      </c>
      <c r="J2445" s="28"/>
    </row>
    <row r="2446" spans="1:10" ht="15.75" customHeight="1">
      <c r="A2446" s="28">
        <v>17758</v>
      </c>
      <c r="B2446" s="91">
        <v>44974.008530092593</v>
      </c>
      <c r="C2446" s="28" t="s">
        <v>10</v>
      </c>
      <c r="D2446" s="28" t="s">
        <v>1031</v>
      </c>
      <c r="E2446" s="28"/>
      <c r="F2446" s="28">
        <v>0</v>
      </c>
      <c r="G2446" s="28" t="s">
        <v>119</v>
      </c>
      <c r="H2446" s="28">
        <v>0</v>
      </c>
      <c r="J2446" s="28"/>
    </row>
    <row r="2447" spans="1:10" ht="15.75" customHeight="1">
      <c r="A2447" s="28">
        <v>17757</v>
      </c>
      <c r="B2447" s="91">
        <v>44974.005127314813</v>
      </c>
      <c r="C2447" s="28" t="s">
        <v>10</v>
      </c>
      <c r="D2447" s="28" t="s">
        <v>684</v>
      </c>
      <c r="E2447" s="28"/>
      <c r="F2447" s="28">
        <v>55</v>
      </c>
      <c r="G2447" s="28">
        <v>101684</v>
      </c>
      <c r="H2447" s="28">
        <v>0</v>
      </c>
      <c r="J2447" s="28"/>
    </row>
    <row r="2448" spans="1:10" ht="15.75" customHeight="1">
      <c r="A2448" s="28">
        <v>17757</v>
      </c>
      <c r="B2448" s="91">
        <v>44974.005127314813</v>
      </c>
      <c r="C2448" s="28" t="s">
        <v>10</v>
      </c>
      <c r="D2448" s="28" t="s">
        <v>684</v>
      </c>
      <c r="E2448" s="28"/>
      <c r="F2448" s="28">
        <v>0</v>
      </c>
      <c r="G2448" s="28" t="s">
        <v>118</v>
      </c>
      <c r="H2448" s="28">
        <v>0</v>
      </c>
      <c r="J2448" s="28"/>
    </row>
    <row r="2449" spans="1:10" ht="15.75" customHeight="1">
      <c r="A2449" s="28">
        <v>17757</v>
      </c>
      <c r="B2449" s="91">
        <v>44974.005127314813</v>
      </c>
      <c r="C2449" s="28" t="s">
        <v>10</v>
      </c>
      <c r="D2449" s="28" t="s">
        <v>684</v>
      </c>
      <c r="E2449" s="28"/>
      <c r="F2449" s="28">
        <v>0</v>
      </c>
      <c r="G2449" s="28" t="s">
        <v>119</v>
      </c>
      <c r="H2449" s="28">
        <v>0</v>
      </c>
      <c r="J2449" s="28"/>
    </row>
    <row r="2450" spans="1:10" ht="15.75" customHeight="1">
      <c r="A2450" s="28">
        <v>17757</v>
      </c>
      <c r="B2450" s="91">
        <v>44974.005127314813</v>
      </c>
      <c r="C2450" s="28" t="s">
        <v>10</v>
      </c>
      <c r="D2450" s="28" t="s">
        <v>684</v>
      </c>
      <c r="E2450" s="28"/>
      <c r="F2450" s="28">
        <v>0</v>
      </c>
      <c r="G2450" s="28" t="s">
        <v>120</v>
      </c>
      <c r="H2450" s="28">
        <v>0</v>
      </c>
      <c r="J2450" s="28"/>
    </row>
    <row r="2451" spans="1:10" ht="15.75" customHeight="1">
      <c r="A2451" s="28">
        <v>17757</v>
      </c>
      <c r="B2451" s="91">
        <v>44974.005127314813</v>
      </c>
      <c r="C2451" s="28" t="s">
        <v>10</v>
      </c>
      <c r="D2451" s="28" t="s">
        <v>684</v>
      </c>
      <c r="E2451" s="28"/>
      <c r="F2451" s="28">
        <v>0</v>
      </c>
      <c r="G2451" s="28" t="s">
        <v>121</v>
      </c>
      <c r="H2451" s="28">
        <v>0</v>
      </c>
      <c r="J2451" s="28"/>
    </row>
    <row r="2452" spans="1:10" ht="15.75" customHeight="1">
      <c r="A2452" s="28">
        <v>17756</v>
      </c>
      <c r="B2452" s="91">
        <v>44974.002199074079</v>
      </c>
      <c r="C2452" s="28" t="s">
        <v>10</v>
      </c>
      <c r="D2452" s="28" t="s">
        <v>834</v>
      </c>
      <c r="E2452" s="28"/>
      <c r="F2452" s="28">
        <v>28</v>
      </c>
      <c r="G2452" s="28" t="s">
        <v>143</v>
      </c>
      <c r="H2452" s="28">
        <v>0</v>
      </c>
      <c r="J2452" s="28"/>
    </row>
    <row r="2453" spans="1:10" ht="15.75" customHeight="1">
      <c r="A2453" s="28">
        <v>17755</v>
      </c>
      <c r="B2453" s="91">
        <v>44973.982638888891</v>
      </c>
      <c r="C2453" s="28" t="s">
        <v>10</v>
      </c>
      <c r="D2453" s="28" t="s">
        <v>798</v>
      </c>
      <c r="E2453" s="28"/>
      <c r="F2453" s="28">
        <v>28</v>
      </c>
      <c r="G2453" s="28" t="s">
        <v>143</v>
      </c>
      <c r="H2453" s="28">
        <v>0</v>
      </c>
      <c r="J2453" s="28"/>
    </row>
    <row r="2454" spans="1:10" ht="15.75" customHeight="1">
      <c r="A2454" s="28">
        <v>17755</v>
      </c>
      <c r="B2454" s="91">
        <v>44973.982638888891</v>
      </c>
      <c r="C2454" s="28" t="s">
        <v>10</v>
      </c>
      <c r="D2454" s="28" t="s">
        <v>798</v>
      </c>
      <c r="E2454" s="28"/>
      <c r="F2454" s="28">
        <v>55</v>
      </c>
      <c r="G2454" s="28">
        <v>101684</v>
      </c>
      <c r="H2454" s="28">
        <v>0</v>
      </c>
      <c r="J2454" s="28"/>
    </row>
    <row r="2455" spans="1:10" ht="15.75" customHeight="1">
      <c r="A2455" s="28">
        <v>17755</v>
      </c>
      <c r="B2455" s="91">
        <v>44973.982638888891</v>
      </c>
      <c r="C2455" s="28" t="s">
        <v>10</v>
      </c>
      <c r="D2455" s="28" t="s">
        <v>798</v>
      </c>
      <c r="E2455" s="28"/>
      <c r="F2455" s="28">
        <v>0</v>
      </c>
      <c r="G2455" s="28" t="s">
        <v>118</v>
      </c>
      <c r="H2455" s="28">
        <v>0</v>
      </c>
      <c r="J2455" s="28"/>
    </row>
    <row r="2456" spans="1:10" ht="15.75" customHeight="1">
      <c r="A2456" s="28">
        <v>17755</v>
      </c>
      <c r="B2456" s="91">
        <v>44973.982638888891</v>
      </c>
      <c r="C2456" s="28" t="s">
        <v>10</v>
      </c>
      <c r="D2456" s="28" t="s">
        <v>798</v>
      </c>
      <c r="E2456" s="28"/>
      <c r="F2456" s="28">
        <v>0</v>
      </c>
      <c r="G2456" s="28" t="s">
        <v>119</v>
      </c>
      <c r="H2456" s="28">
        <v>0</v>
      </c>
      <c r="J2456" s="28"/>
    </row>
    <row r="2457" spans="1:10" ht="15.75" customHeight="1">
      <c r="A2457" s="28">
        <v>17755</v>
      </c>
      <c r="B2457" s="91">
        <v>44973.982638888891</v>
      </c>
      <c r="C2457" s="28" t="s">
        <v>10</v>
      </c>
      <c r="D2457" s="28" t="s">
        <v>798</v>
      </c>
      <c r="E2457" s="28"/>
      <c r="F2457" s="28">
        <v>0</v>
      </c>
      <c r="G2457" s="28" t="s">
        <v>120</v>
      </c>
      <c r="H2457" s="28">
        <v>0</v>
      </c>
      <c r="J2457" s="28"/>
    </row>
    <row r="2458" spans="1:10" ht="15.75" customHeight="1">
      <c r="A2458" s="28">
        <v>17755</v>
      </c>
      <c r="B2458" s="91">
        <v>44973.982638888891</v>
      </c>
      <c r="C2458" s="28" t="s">
        <v>10</v>
      </c>
      <c r="D2458" s="28" t="s">
        <v>798</v>
      </c>
      <c r="E2458" s="28"/>
      <c r="F2458" s="28">
        <v>0</v>
      </c>
      <c r="G2458" s="28" t="s">
        <v>121</v>
      </c>
      <c r="H2458" s="28">
        <v>0</v>
      </c>
      <c r="J2458" s="28"/>
    </row>
    <row r="2459" spans="1:10" ht="15.75" customHeight="1">
      <c r="A2459" s="28">
        <v>17754</v>
      </c>
      <c r="B2459" s="91">
        <v>44973.982245370367</v>
      </c>
      <c r="C2459" s="28" t="s">
        <v>10</v>
      </c>
      <c r="D2459" s="28" t="s">
        <v>1032</v>
      </c>
      <c r="E2459" s="28"/>
      <c r="F2459" s="28">
        <v>55</v>
      </c>
      <c r="G2459" s="28">
        <v>101684</v>
      </c>
      <c r="H2459" s="28">
        <v>0</v>
      </c>
      <c r="J2459" s="28"/>
    </row>
    <row r="2460" spans="1:10" ht="15.75" customHeight="1">
      <c r="A2460" s="28">
        <v>17754</v>
      </c>
      <c r="B2460" s="91">
        <v>44973.982245370367</v>
      </c>
      <c r="C2460" s="28" t="s">
        <v>10</v>
      </c>
      <c r="D2460" s="28" t="s">
        <v>1032</v>
      </c>
      <c r="E2460" s="28"/>
      <c r="F2460" s="28">
        <v>0</v>
      </c>
      <c r="G2460" s="28" t="s">
        <v>118</v>
      </c>
      <c r="H2460" s="28">
        <v>0</v>
      </c>
      <c r="J2460" s="28"/>
    </row>
    <row r="2461" spans="1:10" ht="15.75" customHeight="1">
      <c r="A2461" s="28">
        <v>17754</v>
      </c>
      <c r="B2461" s="91">
        <v>44973.982245370367</v>
      </c>
      <c r="C2461" s="28" t="s">
        <v>10</v>
      </c>
      <c r="D2461" s="28" t="s">
        <v>1032</v>
      </c>
      <c r="E2461" s="28"/>
      <c r="F2461" s="28">
        <v>0</v>
      </c>
      <c r="G2461" s="28" t="s">
        <v>119</v>
      </c>
      <c r="H2461" s="28">
        <v>0</v>
      </c>
      <c r="J2461" s="28"/>
    </row>
    <row r="2462" spans="1:10" ht="15.75" customHeight="1">
      <c r="A2462" s="28">
        <v>17754</v>
      </c>
      <c r="B2462" s="91">
        <v>44973.982245370367</v>
      </c>
      <c r="C2462" s="28" t="s">
        <v>10</v>
      </c>
      <c r="D2462" s="28" t="s">
        <v>1032</v>
      </c>
      <c r="E2462" s="28"/>
      <c r="F2462" s="28">
        <v>0</v>
      </c>
      <c r="G2462" s="28" t="s">
        <v>120</v>
      </c>
      <c r="H2462" s="28">
        <v>0</v>
      </c>
      <c r="J2462" s="28"/>
    </row>
    <row r="2463" spans="1:10" ht="15.75" customHeight="1">
      <c r="A2463" s="28">
        <v>17754</v>
      </c>
      <c r="B2463" s="91">
        <v>44973.982245370367</v>
      </c>
      <c r="C2463" s="28" t="s">
        <v>10</v>
      </c>
      <c r="D2463" s="28" t="s">
        <v>1032</v>
      </c>
      <c r="E2463" s="28"/>
      <c r="F2463" s="28">
        <v>0</v>
      </c>
      <c r="G2463" s="28" t="s">
        <v>121</v>
      </c>
      <c r="H2463" s="28">
        <v>0</v>
      </c>
      <c r="J2463" s="28"/>
    </row>
    <row r="2464" spans="1:10" ht="15.75" customHeight="1">
      <c r="A2464" s="28">
        <v>17753</v>
      </c>
      <c r="B2464" s="91">
        <v>44973.965787037036</v>
      </c>
      <c r="C2464" s="28" t="s">
        <v>10</v>
      </c>
      <c r="D2464" s="28" t="s">
        <v>835</v>
      </c>
      <c r="E2464" s="28"/>
      <c r="F2464" s="28">
        <v>0</v>
      </c>
      <c r="G2464" s="28" t="s">
        <v>139</v>
      </c>
      <c r="H2464" s="28">
        <v>0</v>
      </c>
      <c r="J2464" s="28"/>
    </row>
    <row r="2465" spans="1:10" ht="15.75" customHeight="1">
      <c r="A2465" s="28">
        <v>17753</v>
      </c>
      <c r="B2465" s="91">
        <v>44973.965787037036</v>
      </c>
      <c r="C2465" s="28" t="s">
        <v>10</v>
      </c>
      <c r="D2465" s="28" t="s">
        <v>835</v>
      </c>
      <c r="E2465" s="28"/>
      <c r="F2465" s="28">
        <v>24</v>
      </c>
      <c r="G2465" s="28" t="s">
        <v>122</v>
      </c>
      <c r="H2465" s="28">
        <v>0</v>
      </c>
      <c r="J2465" s="28"/>
    </row>
    <row r="2466" spans="1:10" ht="15.75" customHeight="1">
      <c r="A2466" s="28">
        <v>17753</v>
      </c>
      <c r="B2466" s="91">
        <v>44973.965787037036</v>
      </c>
      <c r="C2466" s="28" t="s">
        <v>10</v>
      </c>
      <c r="D2466" s="28" t="s">
        <v>835</v>
      </c>
      <c r="E2466" s="28"/>
      <c r="F2466" s="28">
        <v>15</v>
      </c>
      <c r="G2466" s="28" t="s">
        <v>125</v>
      </c>
      <c r="H2466" s="28">
        <v>0</v>
      </c>
      <c r="J2466" s="28"/>
    </row>
    <row r="2467" spans="1:10" ht="15.75" customHeight="1">
      <c r="A2467" s="28">
        <v>17752</v>
      </c>
      <c r="B2467" s="91">
        <v>44973.960324074069</v>
      </c>
      <c r="C2467" s="28" t="s">
        <v>10</v>
      </c>
      <c r="D2467" s="28" t="s">
        <v>768</v>
      </c>
      <c r="E2467" s="28"/>
      <c r="F2467" s="28">
        <v>35</v>
      </c>
      <c r="G2467" s="28" t="s">
        <v>124</v>
      </c>
      <c r="H2467" s="28">
        <v>0</v>
      </c>
      <c r="J2467" s="28"/>
    </row>
    <row r="2468" spans="1:10" ht="15.75" customHeight="1">
      <c r="A2468" s="28">
        <v>17752</v>
      </c>
      <c r="B2468" s="91">
        <v>44973.960324074069</v>
      </c>
      <c r="C2468" s="28" t="s">
        <v>10</v>
      </c>
      <c r="D2468" s="28" t="s">
        <v>768</v>
      </c>
      <c r="E2468" s="28"/>
      <c r="F2468" s="28">
        <v>0</v>
      </c>
      <c r="G2468" s="28" t="s">
        <v>125</v>
      </c>
      <c r="H2468" s="28">
        <v>0</v>
      </c>
      <c r="J2468" s="28"/>
    </row>
    <row r="2469" spans="1:10" ht="15.75" customHeight="1">
      <c r="A2469" s="28">
        <v>17752</v>
      </c>
      <c r="B2469" s="91">
        <v>44973.960324074069</v>
      </c>
      <c r="C2469" s="28" t="s">
        <v>10</v>
      </c>
      <c r="D2469" s="28" t="s">
        <v>768</v>
      </c>
      <c r="E2469" s="28"/>
      <c r="F2469" s="28">
        <v>0</v>
      </c>
      <c r="G2469" s="28" t="s">
        <v>119</v>
      </c>
      <c r="H2469" s="28">
        <v>0</v>
      </c>
      <c r="J2469" s="28"/>
    </row>
    <row r="2470" spans="1:10" ht="15.75" customHeight="1">
      <c r="A2470" s="28">
        <v>17752</v>
      </c>
      <c r="B2470" s="91">
        <v>44973.960324074069</v>
      </c>
      <c r="C2470" s="28" t="s">
        <v>10</v>
      </c>
      <c r="D2470" s="28" t="s">
        <v>768</v>
      </c>
      <c r="E2470" s="28"/>
      <c r="F2470" s="28">
        <v>0</v>
      </c>
      <c r="G2470" s="28" t="s">
        <v>121</v>
      </c>
      <c r="H2470" s="28">
        <v>0</v>
      </c>
      <c r="J2470" s="28"/>
    </row>
    <row r="2471" spans="1:10" ht="15.75" customHeight="1">
      <c r="A2471" s="28">
        <v>17751</v>
      </c>
      <c r="B2471" s="91">
        <v>44973.93450231482</v>
      </c>
      <c r="C2471" s="28" t="s">
        <v>10</v>
      </c>
      <c r="D2471" s="28" t="s">
        <v>645</v>
      </c>
      <c r="E2471" s="28"/>
      <c r="F2471" s="28">
        <v>28</v>
      </c>
      <c r="G2471" s="28" t="s">
        <v>143</v>
      </c>
      <c r="H2471" s="28">
        <v>0</v>
      </c>
      <c r="J2471" s="28"/>
    </row>
    <row r="2472" spans="1:10" ht="15.75" customHeight="1">
      <c r="A2472" s="28">
        <v>17751</v>
      </c>
      <c r="B2472" s="91">
        <v>44973.93450231482</v>
      </c>
      <c r="C2472" s="28" t="s">
        <v>10</v>
      </c>
      <c r="D2472" s="28" t="s">
        <v>645</v>
      </c>
      <c r="E2472" s="28"/>
      <c r="F2472" s="28">
        <v>15</v>
      </c>
      <c r="G2472" s="28" t="s">
        <v>125</v>
      </c>
      <c r="H2472" s="28">
        <v>0</v>
      </c>
      <c r="J2472" s="28"/>
    </row>
    <row r="2473" spans="1:10" ht="15.75" customHeight="1">
      <c r="A2473" s="28">
        <v>17750</v>
      </c>
      <c r="B2473" s="91">
        <v>44973.929490740746</v>
      </c>
      <c r="C2473" s="28" t="s">
        <v>10</v>
      </c>
      <c r="D2473" s="28" t="s">
        <v>686</v>
      </c>
      <c r="E2473" s="28"/>
      <c r="F2473" s="28">
        <v>55</v>
      </c>
      <c r="G2473" s="28">
        <v>101684</v>
      </c>
      <c r="H2473" s="28">
        <v>0</v>
      </c>
      <c r="J2473" s="28"/>
    </row>
    <row r="2474" spans="1:10" ht="15.75" customHeight="1">
      <c r="A2474" s="28">
        <v>17750</v>
      </c>
      <c r="B2474" s="91">
        <v>44973.929490740746</v>
      </c>
      <c r="C2474" s="28" t="s">
        <v>10</v>
      </c>
      <c r="D2474" s="28" t="s">
        <v>686</v>
      </c>
      <c r="E2474" s="28"/>
      <c r="F2474" s="28">
        <v>0</v>
      </c>
      <c r="G2474" s="28" t="s">
        <v>118</v>
      </c>
      <c r="H2474" s="28">
        <v>0</v>
      </c>
      <c r="J2474" s="28"/>
    </row>
    <row r="2475" spans="1:10" ht="15.75" customHeight="1">
      <c r="A2475" s="28">
        <v>17750</v>
      </c>
      <c r="B2475" s="91">
        <v>44973.929490740746</v>
      </c>
      <c r="C2475" s="28" t="s">
        <v>10</v>
      </c>
      <c r="D2475" s="28" t="s">
        <v>686</v>
      </c>
      <c r="E2475" s="28"/>
      <c r="F2475" s="28">
        <v>0</v>
      </c>
      <c r="G2475" s="28" t="s">
        <v>119</v>
      </c>
      <c r="H2475" s="28">
        <v>0</v>
      </c>
      <c r="J2475" s="28"/>
    </row>
    <row r="2476" spans="1:10" ht="15.75" customHeight="1">
      <c r="A2476" s="28">
        <v>17750</v>
      </c>
      <c r="B2476" s="91">
        <v>44973.929490740746</v>
      </c>
      <c r="C2476" s="28" t="s">
        <v>10</v>
      </c>
      <c r="D2476" s="28" t="s">
        <v>686</v>
      </c>
      <c r="E2476" s="28"/>
      <c r="F2476" s="28">
        <v>0</v>
      </c>
      <c r="G2476" s="28" t="s">
        <v>120</v>
      </c>
      <c r="H2476" s="28">
        <v>0</v>
      </c>
      <c r="J2476" s="28"/>
    </row>
    <row r="2477" spans="1:10" ht="15.75" customHeight="1">
      <c r="A2477" s="28">
        <v>17750</v>
      </c>
      <c r="B2477" s="91">
        <v>44973.929490740746</v>
      </c>
      <c r="C2477" s="28" t="s">
        <v>10</v>
      </c>
      <c r="D2477" s="28" t="s">
        <v>686</v>
      </c>
      <c r="E2477" s="28"/>
      <c r="F2477" s="28">
        <v>0</v>
      </c>
      <c r="G2477" s="28" t="s">
        <v>121</v>
      </c>
      <c r="H2477" s="28">
        <v>0</v>
      </c>
      <c r="J2477" s="28"/>
    </row>
    <row r="2478" spans="1:10" ht="15.75" customHeight="1">
      <c r="A2478" s="28">
        <v>17749</v>
      </c>
      <c r="B2478" s="91">
        <v>44973.913576388892</v>
      </c>
      <c r="C2478" s="28" t="s">
        <v>10</v>
      </c>
      <c r="D2478" s="28" t="s">
        <v>831</v>
      </c>
      <c r="E2478" s="28"/>
      <c r="F2478" s="28">
        <v>25</v>
      </c>
      <c r="G2478" s="28">
        <v>100692</v>
      </c>
      <c r="H2478" s="28">
        <v>0</v>
      </c>
      <c r="J2478" s="28"/>
    </row>
    <row r="2479" spans="1:10" ht="15.75" customHeight="1">
      <c r="A2479" s="28">
        <v>17749</v>
      </c>
      <c r="B2479" s="91">
        <v>44973.913576388892</v>
      </c>
      <c r="C2479" s="28" t="s">
        <v>10</v>
      </c>
      <c r="D2479" s="28" t="s">
        <v>831</v>
      </c>
      <c r="E2479" s="28"/>
      <c r="F2479" s="28">
        <v>0</v>
      </c>
      <c r="G2479" s="28" t="s">
        <v>125</v>
      </c>
      <c r="H2479" s="28">
        <v>0</v>
      </c>
      <c r="J2479" s="28"/>
    </row>
    <row r="2480" spans="1:10" ht="15.75" customHeight="1">
      <c r="A2480" s="28">
        <v>17749</v>
      </c>
      <c r="B2480" s="91">
        <v>44973.913576388892</v>
      </c>
      <c r="C2480" s="28" t="s">
        <v>10</v>
      </c>
      <c r="D2480" s="28" t="s">
        <v>831</v>
      </c>
      <c r="E2480" s="28"/>
      <c r="F2480" s="28">
        <v>0</v>
      </c>
      <c r="G2480" s="28" t="s">
        <v>119</v>
      </c>
      <c r="H2480" s="28">
        <v>0</v>
      </c>
      <c r="J2480" s="28"/>
    </row>
    <row r="2481" spans="1:10" ht="15.75" customHeight="1">
      <c r="A2481" s="28">
        <v>17748</v>
      </c>
      <c r="B2481" s="91">
        <v>44973.898726851854</v>
      </c>
      <c r="C2481" s="28" t="s">
        <v>10</v>
      </c>
      <c r="D2481" s="28" t="s">
        <v>1033</v>
      </c>
      <c r="E2481" s="28"/>
      <c r="F2481" s="28">
        <v>25</v>
      </c>
      <c r="G2481" s="28">
        <v>100692</v>
      </c>
      <c r="H2481" s="28">
        <v>0</v>
      </c>
      <c r="J2481" s="28"/>
    </row>
    <row r="2482" spans="1:10" ht="15.75" customHeight="1">
      <c r="A2482" s="28">
        <v>17748</v>
      </c>
      <c r="B2482" s="91">
        <v>44973.898726851854</v>
      </c>
      <c r="C2482" s="28" t="s">
        <v>10</v>
      </c>
      <c r="D2482" s="28" t="s">
        <v>1033</v>
      </c>
      <c r="E2482" s="28"/>
      <c r="F2482" s="28">
        <v>0</v>
      </c>
      <c r="G2482" s="28" t="s">
        <v>125</v>
      </c>
      <c r="H2482" s="28">
        <v>0</v>
      </c>
      <c r="J2482" s="28"/>
    </row>
    <row r="2483" spans="1:10" ht="15.75" customHeight="1">
      <c r="A2483" s="28">
        <v>17748</v>
      </c>
      <c r="B2483" s="91">
        <v>44973.898726851854</v>
      </c>
      <c r="C2483" s="28" t="s">
        <v>10</v>
      </c>
      <c r="D2483" s="28" t="s">
        <v>1033</v>
      </c>
      <c r="E2483" s="28"/>
      <c r="F2483" s="28">
        <v>0</v>
      </c>
      <c r="G2483" s="28" t="s">
        <v>119</v>
      </c>
      <c r="H2483" s="28">
        <v>0</v>
      </c>
      <c r="J2483" s="28"/>
    </row>
    <row r="2484" spans="1:10" ht="15.75" customHeight="1">
      <c r="A2484" s="28">
        <v>17747</v>
      </c>
      <c r="B2484" s="91">
        <v>44973.803067129629</v>
      </c>
      <c r="C2484" s="28" t="s">
        <v>10</v>
      </c>
      <c r="D2484" s="28" t="s">
        <v>660</v>
      </c>
      <c r="E2484" s="28"/>
      <c r="F2484" s="28">
        <v>18</v>
      </c>
      <c r="G2484" s="28" t="s">
        <v>457</v>
      </c>
      <c r="H2484" s="28">
        <v>0</v>
      </c>
      <c r="J2484" s="28"/>
    </row>
    <row r="2485" spans="1:10" ht="15.75" customHeight="1">
      <c r="A2485" s="28">
        <v>17746</v>
      </c>
      <c r="B2485" s="91">
        <v>44973.79987268518</v>
      </c>
      <c r="C2485" s="28" t="s">
        <v>10</v>
      </c>
      <c r="D2485" s="28" t="s">
        <v>660</v>
      </c>
      <c r="E2485" s="28"/>
      <c r="F2485" s="28">
        <v>22</v>
      </c>
      <c r="G2485" s="28" t="s">
        <v>137</v>
      </c>
      <c r="H2485" s="28">
        <v>0</v>
      </c>
      <c r="J2485" s="28"/>
    </row>
    <row r="2486" spans="1:10" ht="15.75" customHeight="1">
      <c r="A2486" s="28">
        <v>17745</v>
      </c>
      <c r="B2486" s="91">
        <v>44973.796307870369</v>
      </c>
      <c r="C2486" s="28" t="s">
        <v>10</v>
      </c>
      <c r="D2486" s="28" t="s">
        <v>661</v>
      </c>
      <c r="E2486" s="28"/>
      <c r="F2486" s="28">
        <v>20</v>
      </c>
      <c r="G2486" s="28" t="s">
        <v>148</v>
      </c>
      <c r="H2486" s="28">
        <v>0</v>
      </c>
      <c r="J2486" s="28"/>
    </row>
    <row r="2487" spans="1:10" ht="15.75" customHeight="1">
      <c r="A2487" s="28">
        <v>17745</v>
      </c>
      <c r="B2487" s="91">
        <v>44973.796307870369</v>
      </c>
      <c r="C2487" s="28" t="s">
        <v>10</v>
      </c>
      <c r="D2487" s="28" t="s">
        <v>661</v>
      </c>
      <c r="E2487" s="28"/>
      <c r="F2487" s="28">
        <v>22</v>
      </c>
      <c r="G2487" s="28" t="s">
        <v>137</v>
      </c>
      <c r="H2487" s="28">
        <v>0</v>
      </c>
      <c r="J2487" s="28"/>
    </row>
    <row r="2488" spans="1:10" ht="15.75" customHeight="1">
      <c r="A2488" s="28">
        <v>17744</v>
      </c>
      <c r="B2488" s="91">
        <v>44973.769942129627</v>
      </c>
      <c r="C2488" s="28" t="s">
        <v>10</v>
      </c>
      <c r="D2488" s="28" t="s">
        <v>1034</v>
      </c>
      <c r="E2488" s="28"/>
      <c r="F2488" s="28">
        <v>25</v>
      </c>
      <c r="G2488" s="28">
        <v>100692</v>
      </c>
      <c r="H2488" s="28">
        <v>0</v>
      </c>
      <c r="J2488" s="28"/>
    </row>
    <row r="2489" spans="1:10" ht="15.75" customHeight="1">
      <c r="A2489" s="28">
        <v>17744</v>
      </c>
      <c r="B2489" s="91">
        <v>44973.769942129627</v>
      </c>
      <c r="C2489" s="28" t="s">
        <v>10</v>
      </c>
      <c r="D2489" s="28" t="s">
        <v>1034</v>
      </c>
      <c r="E2489" s="28"/>
      <c r="F2489" s="28">
        <v>0</v>
      </c>
      <c r="G2489" s="28" t="s">
        <v>125</v>
      </c>
      <c r="H2489" s="28">
        <v>0</v>
      </c>
      <c r="J2489" s="28"/>
    </row>
    <row r="2490" spans="1:10" ht="15.75" customHeight="1">
      <c r="A2490" s="28">
        <v>17744</v>
      </c>
      <c r="B2490" s="91">
        <v>44973.769942129627</v>
      </c>
      <c r="C2490" s="28" t="s">
        <v>10</v>
      </c>
      <c r="D2490" s="28" t="s">
        <v>1034</v>
      </c>
      <c r="E2490" s="28"/>
      <c r="F2490" s="28">
        <v>0</v>
      </c>
      <c r="G2490" s="28" t="s">
        <v>119</v>
      </c>
      <c r="H2490" s="28">
        <v>0</v>
      </c>
      <c r="J2490" s="28"/>
    </row>
    <row r="2491" spans="1:10" ht="15.75" customHeight="1">
      <c r="A2491" s="28">
        <v>17743</v>
      </c>
      <c r="B2491" s="91">
        <v>44973.750046296293</v>
      </c>
      <c r="C2491" s="28" t="s">
        <v>10</v>
      </c>
      <c r="D2491" s="28" t="s">
        <v>703</v>
      </c>
      <c r="E2491" s="28"/>
      <c r="F2491" s="28">
        <v>25</v>
      </c>
      <c r="G2491" s="28">
        <v>100692</v>
      </c>
      <c r="H2491" s="28">
        <v>0</v>
      </c>
      <c r="J2491" s="28"/>
    </row>
    <row r="2492" spans="1:10" ht="15.75" customHeight="1">
      <c r="A2492" s="28">
        <v>17743</v>
      </c>
      <c r="B2492" s="91">
        <v>44973.750046296293</v>
      </c>
      <c r="C2492" s="28" t="s">
        <v>10</v>
      </c>
      <c r="D2492" s="28" t="s">
        <v>703</v>
      </c>
      <c r="E2492" s="28"/>
      <c r="F2492" s="28">
        <v>0</v>
      </c>
      <c r="G2492" s="28" t="s">
        <v>125</v>
      </c>
      <c r="H2492" s="28">
        <v>0</v>
      </c>
      <c r="J2492" s="28"/>
    </row>
    <row r="2493" spans="1:10" ht="15.75" customHeight="1">
      <c r="A2493" s="28">
        <v>17743</v>
      </c>
      <c r="B2493" s="91">
        <v>44973.750046296293</v>
      </c>
      <c r="C2493" s="28" t="s">
        <v>10</v>
      </c>
      <c r="D2493" s="28" t="s">
        <v>703</v>
      </c>
      <c r="E2493" s="28"/>
      <c r="F2493" s="28">
        <v>0</v>
      </c>
      <c r="G2493" s="28" t="s">
        <v>119</v>
      </c>
      <c r="H2493" s="28">
        <v>0</v>
      </c>
      <c r="J2493" s="28"/>
    </row>
    <row r="2494" spans="1:10" ht="15.75" customHeight="1">
      <c r="A2494" s="28">
        <v>17743</v>
      </c>
      <c r="B2494" s="91">
        <v>44973.750046296293</v>
      </c>
      <c r="C2494" s="28" t="s">
        <v>10</v>
      </c>
      <c r="D2494" s="28" t="s">
        <v>703</v>
      </c>
      <c r="E2494" s="28"/>
      <c r="F2494" s="28">
        <v>20</v>
      </c>
      <c r="G2494" s="28" t="s">
        <v>148</v>
      </c>
      <c r="H2494" s="28">
        <v>0</v>
      </c>
      <c r="J2494" s="28"/>
    </row>
    <row r="2495" spans="1:10" ht="15.75" customHeight="1">
      <c r="A2495" s="28">
        <v>17742</v>
      </c>
      <c r="B2495" s="91">
        <v>44973.740370370375</v>
      </c>
      <c r="C2495" s="28" t="s">
        <v>10</v>
      </c>
      <c r="D2495" s="28" t="s">
        <v>1035</v>
      </c>
      <c r="E2495" s="28"/>
      <c r="F2495" s="28">
        <v>25</v>
      </c>
      <c r="G2495" s="28">
        <v>100692</v>
      </c>
      <c r="H2495" s="28">
        <v>0</v>
      </c>
      <c r="J2495" s="28"/>
    </row>
    <row r="2496" spans="1:10" ht="15.75" customHeight="1">
      <c r="A2496" s="28">
        <v>17742</v>
      </c>
      <c r="B2496" s="91">
        <v>44973.740370370375</v>
      </c>
      <c r="C2496" s="28" t="s">
        <v>10</v>
      </c>
      <c r="D2496" s="28" t="s">
        <v>1035</v>
      </c>
      <c r="E2496" s="28"/>
      <c r="F2496" s="28">
        <v>0</v>
      </c>
      <c r="G2496" s="28" t="s">
        <v>125</v>
      </c>
      <c r="H2496" s="28">
        <v>0</v>
      </c>
      <c r="J2496" s="28"/>
    </row>
    <row r="2497" spans="1:10" ht="15.75" customHeight="1">
      <c r="A2497" s="28">
        <v>17742</v>
      </c>
      <c r="B2497" s="91">
        <v>44973.740370370375</v>
      </c>
      <c r="C2497" s="28" t="s">
        <v>10</v>
      </c>
      <c r="D2497" s="28" t="s">
        <v>1035</v>
      </c>
      <c r="E2497" s="28"/>
      <c r="F2497" s="28">
        <v>0</v>
      </c>
      <c r="G2497" s="28" t="s">
        <v>119</v>
      </c>
      <c r="H2497" s="28">
        <v>0</v>
      </c>
      <c r="J2497" s="28"/>
    </row>
    <row r="2498" spans="1:10" ht="15.75" customHeight="1">
      <c r="A2498" s="28">
        <v>17741</v>
      </c>
      <c r="B2498" s="91">
        <v>44973.686331018514</v>
      </c>
      <c r="C2498" s="28" t="s">
        <v>10</v>
      </c>
      <c r="D2498" s="28" t="s">
        <v>327</v>
      </c>
      <c r="E2498" s="28"/>
      <c r="F2498" s="28">
        <v>24</v>
      </c>
      <c r="G2498" s="28" t="s">
        <v>122</v>
      </c>
      <c r="H2498" s="28">
        <v>0</v>
      </c>
      <c r="J2498" s="28"/>
    </row>
    <row r="2499" spans="1:10" ht="15.75" customHeight="1">
      <c r="A2499" s="28">
        <v>17741</v>
      </c>
      <c r="B2499" s="91">
        <v>44973.686331018514</v>
      </c>
      <c r="C2499" s="28" t="s">
        <v>10</v>
      </c>
      <c r="D2499" s="28" t="s">
        <v>327</v>
      </c>
      <c r="E2499" s="28"/>
      <c r="F2499" s="28">
        <v>0</v>
      </c>
      <c r="G2499" s="28" t="s">
        <v>139</v>
      </c>
      <c r="H2499" s="28">
        <v>0</v>
      </c>
      <c r="J2499" s="28"/>
    </row>
    <row r="2500" spans="1:10" ht="15.75" customHeight="1">
      <c r="A2500" s="28">
        <v>17740</v>
      </c>
      <c r="B2500" s="91">
        <v>44973.674201388887</v>
      </c>
      <c r="C2500" s="28" t="s">
        <v>10</v>
      </c>
      <c r="D2500" s="28" t="s">
        <v>326</v>
      </c>
      <c r="E2500" s="28"/>
      <c r="F2500" s="28">
        <v>0</v>
      </c>
      <c r="G2500" s="28" t="s">
        <v>139</v>
      </c>
      <c r="H2500" s="28">
        <v>0</v>
      </c>
      <c r="J2500" s="28"/>
    </row>
    <row r="2501" spans="1:10" ht="15.75" customHeight="1">
      <c r="A2501" s="28">
        <v>17739</v>
      </c>
      <c r="B2501" s="91">
        <v>44973.629155092596</v>
      </c>
      <c r="C2501" s="28" t="s">
        <v>10</v>
      </c>
      <c r="D2501" s="28" t="s">
        <v>1036</v>
      </c>
      <c r="E2501" s="28"/>
      <c r="F2501" s="28">
        <v>25</v>
      </c>
      <c r="G2501" s="28">
        <v>100692</v>
      </c>
      <c r="H2501" s="28">
        <v>0</v>
      </c>
      <c r="J2501" s="28"/>
    </row>
    <row r="2502" spans="1:10" ht="15.75" customHeight="1">
      <c r="A2502" s="28">
        <v>17739</v>
      </c>
      <c r="B2502" s="91">
        <v>44973.629155092596</v>
      </c>
      <c r="C2502" s="28" t="s">
        <v>10</v>
      </c>
      <c r="D2502" s="28" t="s">
        <v>1036</v>
      </c>
      <c r="E2502" s="28"/>
      <c r="F2502" s="28">
        <v>0</v>
      </c>
      <c r="G2502" s="28" t="s">
        <v>125</v>
      </c>
      <c r="H2502" s="28">
        <v>0</v>
      </c>
      <c r="J2502" s="28"/>
    </row>
    <row r="2503" spans="1:10" ht="15.75" customHeight="1">
      <c r="A2503" s="28">
        <v>17739</v>
      </c>
      <c r="B2503" s="91">
        <v>44973.629155092596</v>
      </c>
      <c r="C2503" s="28" t="s">
        <v>10</v>
      </c>
      <c r="D2503" s="28" t="s">
        <v>1036</v>
      </c>
      <c r="E2503" s="28"/>
      <c r="F2503" s="28">
        <v>0</v>
      </c>
      <c r="G2503" s="28" t="s">
        <v>119</v>
      </c>
      <c r="H2503" s="28">
        <v>0</v>
      </c>
      <c r="J2503" s="28"/>
    </row>
    <row r="2504" spans="1:10" ht="15.75" customHeight="1">
      <c r="A2504" s="28">
        <v>17739</v>
      </c>
      <c r="B2504" s="91">
        <v>44973.629155092596</v>
      </c>
      <c r="C2504" s="28" t="s">
        <v>10</v>
      </c>
      <c r="D2504" s="28" t="s">
        <v>1036</v>
      </c>
      <c r="E2504" s="28"/>
      <c r="F2504" s="28">
        <v>0</v>
      </c>
      <c r="G2504" s="28" t="s">
        <v>139</v>
      </c>
      <c r="H2504" s="28">
        <v>0</v>
      </c>
      <c r="J2504" s="28"/>
    </row>
    <row r="2505" spans="1:10" ht="15.75" customHeight="1">
      <c r="A2505" s="28">
        <v>17738</v>
      </c>
      <c r="B2505" s="91">
        <v>44973.628113425926</v>
      </c>
      <c r="C2505" s="28" t="s">
        <v>10</v>
      </c>
      <c r="D2505" s="28" t="s">
        <v>1037</v>
      </c>
      <c r="E2505" s="28"/>
      <c r="F2505" s="28">
        <v>25</v>
      </c>
      <c r="G2505" s="28">
        <v>100692</v>
      </c>
      <c r="H2505" s="28">
        <v>0</v>
      </c>
      <c r="J2505" s="28"/>
    </row>
    <row r="2506" spans="1:10" ht="15.75" customHeight="1">
      <c r="A2506" s="28">
        <v>17738</v>
      </c>
      <c r="B2506" s="91">
        <v>44973.628113425926</v>
      </c>
      <c r="C2506" s="28" t="s">
        <v>10</v>
      </c>
      <c r="D2506" s="28" t="s">
        <v>1037</v>
      </c>
      <c r="E2506" s="28"/>
      <c r="F2506" s="28">
        <v>0</v>
      </c>
      <c r="G2506" s="28" t="s">
        <v>125</v>
      </c>
      <c r="H2506" s="28">
        <v>0</v>
      </c>
      <c r="J2506" s="28"/>
    </row>
    <row r="2507" spans="1:10" ht="15.75" customHeight="1">
      <c r="A2507" s="28">
        <v>17738</v>
      </c>
      <c r="B2507" s="91">
        <v>44973.628113425926</v>
      </c>
      <c r="C2507" s="28" t="s">
        <v>10</v>
      </c>
      <c r="D2507" s="28" t="s">
        <v>1037</v>
      </c>
      <c r="E2507" s="28"/>
      <c r="F2507" s="28">
        <v>0</v>
      </c>
      <c r="G2507" s="28" t="s">
        <v>119</v>
      </c>
      <c r="H2507" s="28">
        <v>0</v>
      </c>
      <c r="J2507" s="28"/>
    </row>
    <row r="2508" spans="1:10" ht="15.75" customHeight="1">
      <c r="A2508" s="28">
        <v>17738</v>
      </c>
      <c r="B2508" s="91">
        <v>44973.628113425926</v>
      </c>
      <c r="C2508" s="28" t="s">
        <v>10</v>
      </c>
      <c r="D2508" s="28" t="s">
        <v>1037</v>
      </c>
      <c r="E2508" s="28"/>
      <c r="F2508" s="28">
        <v>0</v>
      </c>
      <c r="G2508" s="28" t="s">
        <v>139</v>
      </c>
      <c r="H2508" s="28">
        <v>0</v>
      </c>
      <c r="J2508" s="28"/>
    </row>
    <row r="2509" spans="1:10" ht="15.75" customHeight="1">
      <c r="A2509" s="28">
        <v>17737</v>
      </c>
      <c r="B2509" s="91">
        <v>44973.621423611112</v>
      </c>
      <c r="C2509" s="28" t="s">
        <v>10</v>
      </c>
      <c r="D2509" s="28" t="s">
        <v>727</v>
      </c>
      <c r="E2509" s="28"/>
      <c r="F2509" s="28">
        <v>18</v>
      </c>
      <c r="G2509" s="28" t="s">
        <v>119</v>
      </c>
      <c r="H2509" s="28">
        <v>0</v>
      </c>
      <c r="J2509" s="28"/>
    </row>
    <row r="2510" spans="1:10" ht="15.75" customHeight="1">
      <c r="A2510" s="28">
        <v>17736</v>
      </c>
      <c r="B2510" s="91">
        <v>44973.530347222222</v>
      </c>
      <c r="C2510" s="28" t="s">
        <v>10</v>
      </c>
      <c r="D2510" s="28" t="s">
        <v>1038</v>
      </c>
      <c r="E2510" s="28"/>
      <c r="F2510" s="28">
        <v>18</v>
      </c>
      <c r="G2510" s="28" t="s">
        <v>119</v>
      </c>
      <c r="H2510" s="28">
        <v>0</v>
      </c>
      <c r="J2510" s="28"/>
    </row>
    <row r="2511" spans="1:10" ht="15.75" customHeight="1">
      <c r="A2511" s="28">
        <v>17735</v>
      </c>
      <c r="B2511" s="91">
        <v>44973.528981481482</v>
      </c>
      <c r="C2511" s="28" t="s">
        <v>10</v>
      </c>
      <c r="D2511" s="28" t="s">
        <v>1039</v>
      </c>
      <c r="E2511" s="28"/>
      <c r="F2511" s="28">
        <v>18</v>
      </c>
      <c r="G2511" s="28" t="s">
        <v>119</v>
      </c>
      <c r="H2511" s="28">
        <v>0</v>
      </c>
      <c r="J2511" s="28"/>
    </row>
    <row r="2512" spans="1:10" ht="15.75" customHeight="1">
      <c r="A2512" s="28">
        <v>17735</v>
      </c>
      <c r="B2512" s="91">
        <v>44973.528981481482</v>
      </c>
      <c r="C2512" s="28" t="s">
        <v>10</v>
      </c>
      <c r="D2512" s="28" t="s">
        <v>1039</v>
      </c>
      <c r="E2512" s="28"/>
      <c r="F2512" s="28">
        <v>30</v>
      </c>
      <c r="G2512" s="28" t="s">
        <v>128</v>
      </c>
      <c r="H2512" s="28">
        <v>0</v>
      </c>
      <c r="J2512" s="28"/>
    </row>
    <row r="2513" spans="1:10" ht="15.75" customHeight="1">
      <c r="A2513" s="28">
        <v>17735</v>
      </c>
      <c r="B2513" s="91">
        <v>44973.528981481482</v>
      </c>
      <c r="C2513" s="28" t="s">
        <v>10</v>
      </c>
      <c r="D2513" s="28" t="s">
        <v>1039</v>
      </c>
      <c r="E2513" s="28"/>
      <c r="F2513" s="28">
        <v>0</v>
      </c>
      <c r="G2513" s="28" t="s">
        <v>125</v>
      </c>
      <c r="H2513" s="28">
        <v>0</v>
      </c>
      <c r="J2513" s="28"/>
    </row>
    <row r="2514" spans="1:10" ht="15.75" customHeight="1">
      <c r="A2514" s="28">
        <v>17735</v>
      </c>
      <c r="B2514" s="91">
        <v>44973.528981481482</v>
      </c>
      <c r="C2514" s="28" t="s">
        <v>10</v>
      </c>
      <c r="D2514" s="28" t="s">
        <v>1039</v>
      </c>
      <c r="E2514" s="28"/>
      <c r="F2514" s="28">
        <v>0</v>
      </c>
      <c r="G2514" s="28" t="s">
        <v>119</v>
      </c>
      <c r="H2514" s="28">
        <v>0</v>
      </c>
      <c r="J2514" s="28"/>
    </row>
    <row r="2515" spans="1:10" ht="15.75" customHeight="1">
      <c r="A2515" s="28">
        <v>17734</v>
      </c>
      <c r="B2515" s="91">
        <v>44973.148564814815</v>
      </c>
      <c r="C2515" s="28" t="s">
        <v>10</v>
      </c>
      <c r="D2515" s="28" t="s">
        <v>641</v>
      </c>
      <c r="E2515" s="28"/>
      <c r="F2515" s="28">
        <v>35</v>
      </c>
      <c r="G2515" s="28" t="s">
        <v>124</v>
      </c>
      <c r="H2515" s="28">
        <v>0</v>
      </c>
      <c r="J2515" s="28"/>
    </row>
    <row r="2516" spans="1:10" ht="15.75" customHeight="1">
      <c r="A2516" s="28">
        <v>17734</v>
      </c>
      <c r="B2516" s="91">
        <v>44973.148564814815</v>
      </c>
      <c r="C2516" s="28" t="s">
        <v>10</v>
      </c>
      <c r="D2516" s="28" t="s">
        <v>641</v>
      </c>
      <c r="E2516" s="28"/>
      <c r="F2516" s="28">
        <v>0</v>
      </c>
      <c r="G2516" s="28" t="s">
        <v>125</v>
      </c>
      <c r="H2516" s="28">
        <v>0</v>
      </c>
      <c r="J2516" s="28"/>
    </row>
    <row r="2517" spans="1:10" ht="15.75" customHeight="1">
      <c r="A2517" s="28">
        <v>17734</v>
      </c>
      <c r="B2517" s="91">
        <v>44973.148564814815</v>
      </c>
      <c r="C2517" s="28" t="s">
        <v>10</v>
      </c>
      <c r="D2517" s="28" t="s">
        <v>641</v>
      </c>
      <c r="E2517" s="28"/>
      <c r="F2517" s="28">
        <v>0</v>
      </c>
      <c r="G2517" s="28" t="s">
        <v>119</v>
      </c>
      <c r="H2517" s="28">
        <v>0</v>
      </c>
      <c r="J2517" s="28"/>
    </row>
    <row r="2518" spans="1:10" ht="15.75" customHeight="1">
      <c r="A2518" s="28">
        <v>17734</v>
      </c>
      <c r="B2518" s="91">
        <v>44973.148564814815</v>
      </c>
      <c r="C2518" s="28" t="s">
        <v>10</v>
      </c>
      <c r="D2518" s="28" t="s">
        <v>641</v>
      </c>
      <c r="E2518" s="28"/>
      <c r="F2518" s="28">
        <v>0</v>
      </c>
      <c r="G2518" s="28" t="s">
        <v>121</v>
      </c>
      <c r="H2518" s="28">
        <v>0</v>
      </c>
      <c r="J2518" s="28"/>
    </row>
    <row r="2519" spans="1:10" ht="15.75" customHeight="1">
      <c r="A2519" s="28">
        <v>17733</v>
      </c>
      <c r="B2519" s="91">
        <v>44973.144131944442</v>
      </c>
      <c r="C2519" s="28" t="s">
        <v>10</v>
      </c>
      <c r="D2519" s="28" t="s">
        <v>660</v>
      </c>
      <c r="E2519" s="28"/>
      <c r="F2519" s="28">
        <v>15</v>
      </c>
      <c r="G2519" s="28" t="s">
        <v>125</v>
      </c>
      <c r="H2519" s="28">
        <v>0</v>
      </c>
      <c r="J2519" s="28"/>
    </row>
    <row r="2520" spans="1:10" ht="15.75" customHeight="1">
      <c r="A2520" s="28">
        <v>17732</v>
      </c>
      <c r="B2520" s="91">
        <v>44973.141805555555</v>
      </c>
      <c r="C2520" s="28" t="s">
        <v>10</v>
      </c>
      <c r="D2520" s="28" t="s">
        <v>660</v>
      </c>
      <c r="E2520" s="28"/>
      <c r="F2520" s="28">
        <v>15</v>
      </c>
      <c r="G2520" s="28" t="s">
        <v>125</v>
      </c>
      <c r="H2520" s="28">
        <v>0</v>
      </c>
      <c r="J2520" s="28"/>
    </row>
    <row r="2521" spans="1:10" ht="15.75" customHeight="1">
      <c r="A2521" s="28">
        <v>17732</v>
      </c>
      <c r="B2521" s="91">
        <v>44973.141805555555</v>
      </c>
      <c r="C2521" s="28" t="s">
        <v>10</v>
      </c>
      <c r="D2521" s="28" t="s">
        <v>660</v>
      </c>
      <c r="E2521" s="28"/>
      <c r="F2521" s="28">
        <v>22</v>
      </c>
      <c r="G2521" s="28" t="s">
        <v>137</v>
      </c>
      <c r="H2521" s="28">
        <v>0</v>
      </c>
      <c r="J2521" s="28"/>
    </row>
    <row r="2522" spans="1:10" ht="15.75" customHeight="1">
      <c r="A2522" s="28">
        <v>17731</v>
      </c>
      <c r="B2522" s="91">
        <v>44973.137164351851</v>
      </c>
      <c r="C2522" s="28" t="s">
        <v>10</v>
      </c>
      <c r="D2522" s="28" t="s">
        <v>661</v>
      </c>
      <c r="E2522" s="28"/>
      <c r="F2522" s="28">
        <v>15</v>
      </c>
      <c r="G2522" s="28" t="s">
        <v>125</v>
      </c>
      <c r="H2522" s="28">
        <v>0</v>
      </c>
      <c r="J2522" s="28"/>
    </row>
    <row r="2523" spans="1:10" ht="15.75" customHeight="1">
      <c r="A2523" s="28">
        <v>17731</v>
      </c>
      <c r="B2523" s="91">
        <v>44973.137164351851</v>
      </c>
      <c r="C2523" s="28" t="s">
        <v>10</v>
      </c>
      <c r="D2523" s="28" t="s">
        <v>661</v>
      </c>
      <c r="E2523" s="28"/>
      <c r="F2523" s="28">
        <v>22</v>
      </c>
      <c r="G2523" s="28" t="s">
        <v>137</v>
      </c>
      <c r="H2523" s="28">
        <v>0</v>
      </c>
      <c r="J2523" s="28"/>
    </row>
    <row r="2524" spans="1:10" ht="15.75" customHeight="1">
      <c r="A2524" s="28">
        <v>17730</v>
      </c>
      <c r="B2524" s="91">
        <v>44973.100034722222</v>
      </c>
      <c r="C2524" s="28" t="s">
        <v>10</v>
      </c>
      <c r="D2524" s="28" t="s">
        <v>820</v>
      </c>
      <c r="E2524" s="28"/>
      <c r="F2524" s="28">
        <v>25</v>
      </c>
      <c r="G2524" s="28" t="s">
        <v>118</v>
      </c>
      <c r="H2524" s="28">
        <v>0</v>
      </c>
      <c r="J2524" s="28"/>
    </row>
    <row r="2525" spans="1:10" ht="15.75" customHeight="1">
      <c r="A2525" s="28">
        <v>17730</v>
      </c>
      <c r="B2525" s="91">
        <v>44973.100034722222</v>
      </c>
      <c r="C2525" s="28" t="s">
        <v>10</v>
      </c>
      <c r="D2525" s="28" t="s">
        <v>820</v>
      </c>
      <c r="E2525" s="28"/>
      <c r="F2525" s="28">
        <v>18</v>
      </c>
      <c r="G2525" s="28" t="s">
        <v>119</v>
      </c>
      <c r="H2525" s="28">
        <v>0</v>
      </c>
      <c r="J2525" s="28"/>
    </row>
    <row r="2526" spans="1:10" ht="15.75" customHeight="1">
      <c r="A2526" s="28">
        <v>17729</v>
      </c>
      <c r="B2526" s="91">
        <v>44973.099733796298</v>
      </c>
      <c r="C2526" s="28" t="s">
        <v>10</v>
      </c>
      <c r="D2526" s="28" t="s">
        <v>858</v>
      </c>
      <c r="E2526" s="28"/>
      <c r="F2526" s="28">
        <v>24</v>
      </c>
      <c r="G2526" s="28" t="s">
        <v>122</v>
      </c>
      <c r="H2526" s="28">
        <v>0</v>
      </c>
      <c r="J2526" s="28"/>
    </row>
    <row r="2527" spans="1:10" ht="15.75" customHeight="1">
      <c r="A2527" s="28">
        <v>17729</v>
      </c>
      <c r="B2527" s="91">
        <v>44973.099733796298</v>
      </c>
      <c r="C2527" s="28" t="s">
        <v>10</v>
      </c>
      <c r="D2527" s="28" t="s">
        <v>858</v>
      </c>
      <c r="E2527" s="28"/>
      <c r="F2527" s="28">
        <v>28</v>
      </c>
      <c r="G2527" s="28" t="s">
        <v>143</v>
      </c>
      <c r="H2527" s="28">
        <v>0</v>
      </c>
      <c r="J2527" s="28"/>
    </row>
    <row r="2528" spans="1:10" ht="15.75" customHeight="1">
      <c r="A2528" s="28">
        <v>17729</v>
      </c>
      <c r="B2528" s="91">
        <v>44973.099733796298</v>
      </c>
      <c r="C2528" s="28" t="s">
        <v>10</v>
      </c>
      <c r="D2528" s="28" t="s">
        <v>858</v>
      </c>
      <c r="E2528" s="28"/>
      <c r="F2528" s="28">
        <v>0</v>
      </c>
      <c r="G2528" s="28" t="s">
        <v>139</v>
      </c>
      <c r="H2528" s="28">
        <v>0</v>
      </c>
      <c r="J2528" s="28"/>
    </row>
    <row r="2529" spans="1:10" ht="15.75" customHeight="1">
      <c r="A2529" s="28">
        <v>17729</v>
      </c>
      <c r="B2529" s="91">
        <v>44973.099733796298</v>
      </c>
      <c r="C2529" s="28" t="s">
        <v>10</v>
      </c>
      <c r="D2529" s="28" t="s">
        <v>858</v>
      </c>
      <c r="E2529" s="28"/>
      <c r="F2529" s="28">
        <v>55</v>
      </c>
      <c r="G2529" s="28">
        <v>101684</v>
      </c>
      <c r="H2529" s="28">
        <v>0</v>
      </c>
      <c r="J2529" s="28"/>
    </row>
    <row r="2530" spans="1:10" ht="15.75" customHeight="1">
      <c r="A2530" s="28">
        <v>17729</v>
      </c>
      <c r="B2530" s="91">
        <v>44973.099733796298</v>
      </c>
      <c r="C2530" s="28" t="s">
        <v>10</v>
      </c>
      <c r="D2530" s="28" t="s">
        <v>858</v>
      </c>
      <c r="E2530" s="28"/>
      <c r="F2530" s="28">
        <v>0</v>
      </c>
      <c r="G2530" s="28" t="s">
        <v>118</v>
      </c>
      <c r="H2530" s="28">
        <v>0</v>
      </c>
      <c r="J2530" s="28"/>
    </row>
    <row r="2531" spans="1:10" ht="15.75" customHeight="1">
      <c r="A2531" s="28">
        <v>17729</v>
      </c>
      <c r="B2531" s="91">
        <v>44973.099733796298</v>
      </c>
      <c r="C2531" s="28" t="s">
        <v>10</v>
      </c>
      <c r="D2531" s="28" t="s">
        <v>858</v>
      </c>
      <c r="E2531" s="28"/>
      <c r="F2531" s="28">
        <v>0</v>
      </c>
      <c r="G2531" s="28" t="s">
        <v>119</v>
      </c>
      <c r="H2531" s="28">
        <v>0</v>
      </c>
      <c r="J2531" s="28"/>
    </row>
    <row r="2532" spans="1:10" ht="15.75" customHeight="1">
      <c r="A2532" s="28">
        <v>17729</v>
      </c>
      <c r="B2532" s="91">
        <v>44973.099733796298</v>
      </c>
      <c r="C2532" s="28" t="s">
        <v>10</v>
      </c>
      <c r="D2532" s="28" t="s">
        <v>858</v>
      </c>
      <c r="E2532" s="28"/>
      <c r="F2532" s="28">
        <v>0</v>
      </c>
      <c r="G2532" s="28" t="s">
        <v>120</v>
      </c>
      <c r="H2532" s="28">
        <v>0</v>
      </c>
      <c r="J2532" s="28"/>
    </row>
    <row r="2533" spans="1:10" ht="15.75" customHeight="1">
      <c r="A2533" s="28">
        <v>17729</v>
      </c>
      <c r="B2533" s="91">
        <v>44973.099733796298</v>
      </c>
      <c r="C2533" s="28" t="s">
        <v>10</v>
      </c>
      <c r="D2533" s="28" t="s">
        <v>858</v>
      </c>
      <c r="E2533" s="28"/>
      <c r="F2533" s="28">
        <v>0</v>
      </c>
      <c r="G2533" s="28" t="s">
        <v>121</v>
      </c>
      <c r="H2533" s="28">
        <v>0</v>
      </c>
      <c r="J2533" s="28"/>
    </row>
    <row r="2534" spans="1:10" ht="15.75" customHeight="1">
      <c r="A2534" s="28">
        <v>17728</v>
      </c>
      <c r="B2534" s="91">
        <v>44973.097280092596</v>
      </c>
      <c r="C2534" s="28" t="s">
        <v>10</v>
      </c>
      <c r="D2534" s="28" t="s">
        <v>680</v>
      </c>
      <c r="E2534" s="28"/>
      <c r="F2534" s="28">
        <v>25</v>
      </c>
      <c r="G2534" s="28">
        <v>100692</v>
      </c>
      <c r="H2534" s="28">
        <v>0</v>
      </c>
      <c r="J2534" s="28"/>
    </row>
    <row r="2535" spans="1:10" ht="15.75" customHeight="1">
      <c r="A2535" s="28">
        <v>17728</v>
      </c>
      <c r="B2535" s="91">
        <v>44973.097280092596</v>
      </c>
      <c r="C2535" s="28" t="s">
        <v>10</v>
      </c>
      <c r="D2535" s="28" t="s">
        <v>680</v>
      </c>
      <c r="E2535" s="28"/>
      <c r="F2535" s="28">
        <v>0</v>
      </c>
      <c r="G2535" s="28" t="s">
        <v>125</v>
      </c>
      <c r="H2535" s="28">
        <v>0</v>
      </c>
      <c r="J2535" s="28"/>
    </row>
    <row r="2536" spans="1:10" ht="15.75" customHeight="1">
      <c r="A2536" s="28">
        <v>17728</v>
      </c>
      <c r="B2536" s="91">
        <v>44973.097280092596</v>
      </c>
      <c r="C2536" s="28" t="s">
        <v>10</v>
      </c>
      <c r="D2536" s="28" t="s">
        <v>680</v>
      </c>
      <c r="E2536" s="28"/>
      <c r="F2536" s="28">
        <v>0</v>
      </c>
      <c r="G2536" s="28" t="s">
        <v>119</v>
      </c>
      <c r="H2536" s="28">
        <v>0</v>
      </c>
      <c r="J2536" s="28"/>
    </row>
    <row r="2537" spans="1:10" ht="15.75" customHeight="1">
      <c r="A2537" s="28">
        <v>17727</v>
      </c>
      <c r="B2537" s="91">
        <v>44973.0856712963</v>
      </c>
      <c r="C2537" s="28" t="s">
        <v>10</v>
      </c>
      <c r="D2537" s="28" t="s">
        <v>1040</v>
      </c>
      <c r="E2537" s="28"/>
      <c r="F2537" s="28">
        <v>25</v>
      </c>
      <c r="G2537" s="28">
        <v>100692</v>
      </c>
      <c r="H2537" s="28">
        <v>0</v>
      </c>
      <c r="J2537" s="28"/>
    </row>
    <row r="2538" spans="1:10" ht="15.75" customHeight="1">
      <c r="A2538" s="28">
        <v>17727</v>
      </c>
      <c r="B2538" s="91">
        <v>44973.0856712963</v>
      </c>
      <c r="C2538" s="28" t="s">
        <v>10</v>
      </c>
      <c r="D2538" s="28" t="s">
        <v>1040</v>
      </c>
      <c r="E2538" s="28"/>
      <c r="F2538" s="28">
        <v>0</v>
      </c>
      <c r="G2538" s="28" t="s">
        <v>125</v>
      </c>
      <c r="H2538" s="28">
        <v>0</v>
      </c>
      <c r="J2538" s="28"/>
    </row>
    <row r="2539" spans="1:10" ht="15.75" customHeight="1">
      <c r="A2539" s="28">
        <v>17727</v>
      </c>
      <c r="B2539" s="91">
        <v>44973.0856712963</v>
      </c>
      <c r="C2539" s="28" t="s">
        <v>10</v>
      </c>
      <c r="D2539" s="28" t="s">
        <v>1040</v>
      </c>
      <c r="E2539" s="28"/>
      <c r="F2539" s="28">
        <v>0</v>
      </c>
      <c r="G2539" s="28" t="s">
        <v>119</v>
      </c>
      <c r="H2539" s="28">
        <v>0</v>
      </c>
      <c r="J2539" s="28"/>
    </row>
    <row r="2540" spans="1:10" ht="15.75" customHeight="1">
      <c r="A2540" s="28">
        <v>17726</v>
      </c>
      <c r="B2540" s="91">
        <v>44973.076388888891</v>
      </c>
      <c r="C2540" s="28" t="s">
        <v>10</v>
      </c>
      <c r="D2540" s="28" t="s">
        <v>1041</v>
      </c>
      <c r="E2540" s="28"/>
      <c r="F2540" s="28">
        <v>56</v>
      </c>
      <c r="G2540" s="28" t="s">
        <v>143</v>
      </c>
      <c r="H2540" s="28">
        <v>0</v>
      </c>
      <c r="J2540" s="28"/>
    </row>
    <row r="2541" spans="1:10" ht="15.75" customHeight="1">
      <c r="A2541" s="28">
        <v>17725</v>
      </c>
      <c r="B2541" s="91">
        <v>44973.044120370367</v>
      </c>
      <c r="C2541" s="28" t="s">
        <v>10</v>
      </c>
      <c r="D2541" s="28" t="s">
        <v>1042</v>
      </c>
      <c r="E2541" s="28"/>
      <c r="F2541" s="28">
        <v>24</v>
      </c>
      <c r="G2541" s="28" t="s">
        <v>122</v>
      </c>
      <c r="H2541" s="28">
        <v>0</v>
      </c>
      <c r="J2541" s="28"/>
    </row>
    <row r="2542" spans="1:10" ht="15.75" customHeight="1">
      <c r="A2542" s="28">
        <v>17724</v>
      </c>
      <c r="B2542" s="91">
        <v>44973.041458333333</v>
      </c>
      <c r="C2542" s="28" t="s">
        <v>10</v>
      </c>
      <c r="D2542" s="28" t="s">
        <v>657</v>
      </c>
      <c r="E2542" s="28"/>
      <c r="F2542" s="28">
        <v>24</v>
      </c>
      <c r="G2542" s="28" t="s">
        <v>122</v>
      </c>
      <c r="H2542" s="28">
        <v>0</v>
      </c>
      <c r="J2542" s="28"/>
    </row>
    <row r="2543" spans="1:10" ht="15.75" customHeight="1">
      <c r="A2543" s="28">
        <v>17723</v>
      </c>
      <c r="B2543" s="91">
        <v>44973.040590277778</v>
      </c>
      <c r="C2543" s="28" t="s">
        <v>10</v>
      </c>
      <c r="D2543" s="28" t="s">
        <v>1043</v>
      </c>
      <c r="E2543" s="28"/>
      <c r="F2543" s="28">
        <v>25</v>
      </c>
      <c r="G2543" s="28">
        <v>100692</v>
      </c>
      <c r="H2543" s="28">
        <v>0</v>
      </c>
      <c r="J2543" s="28"/>
    </row>
    <row r="2544" spans="1:10" ht="15.75" customHeight="1">
      <c r="A2544" s="28">
        <v>17723</v>
      </c>
      <c r="B2544" s="91">
        <v>44973.040590277778</v>
      </c>
      <c r="C2544" s="28" t="s">
        <v>10</v>
      </c>
      <c r="D2544" s="28" t="s">
        <v>1043</v>
      </c>
      <c r="E2544" s="28"/>
      <c r="F2544" s="28">
        <v>0</v>
      </c>
      <c r="G2544" s="28" t="s">
        <v>125</v>
      </c>
      <c r="H2544" s="28">
        <v>0</v>
      </c>
      <c r="J2544" s="28"/>
    </row>
    <row r="2545" spans="1:10" ht="15.75" customHeight="1">
      <c r="A2545" s="28">
        <v>17723</v>
      </c>
      <c r="B2545" s="91">
        <v>44973.040590277778</v>
      </c>
      <c r="C2545" s="28" t="s">
        <v>10</v>
      </c>
      <c r="D2545" s="28" t="s">
        <v>1043</v>
      </c>
      <c r="E2545" s="28"/>
      <c r="F2545" s="28">
        <v>0</v>
      </c>
      <c r="G2545" s="28" t="s">
        <v>119</v>
      </c>
      <c r="H2545" s="28">
        <v>0</v>
      </c>
      <c r="J2545" s="28"/>
    </row>
    <row r="2546" spans="1:10" ht="15.75" customHeight="1">
      <c r="A2546" s="28">
        <v>17722</v>
      </c>
      <c r="B2546" s="91">
        <v>44973.037199074075</v>
      </c>
      <c r="C2546" s="28" t="s">
        <v>10</v>
      </c>
      <c r="D2546" s="28" t="s">
        <v>1044</v>
      </c>
      <c r="E2546" s="28"/>
      <c r="F2546" s="28">
        <v>0</v>
      </c>
      <c r="G2546" s="28" t="s">
        <v>139</v>
      </c>
      <c r="H2546" s="28">
        <v>0</v>
      </c>
      <c r="J2546" s="28"/>
    </row>
    <row r="2547" spans="1:10" ht="15.75" customHeight="1">
      <c r="A2547" s="28">
        <v>17722</v>
      </c>
      <c r="B2547" s="91">
        <v>44973.037199074075</v>
      </c>
      <c r="C2547" s="28" t="s">
        <v>10</v>
      </c>
      <c r="D2547" s="28" t="s">
        <v>1044</v>
      </c>
      <c r="E2547" s="28"/>
      <c r="F2547" s="28">
        <v>25</v>
      </c>
      <c r="G2547" s="28">
        <v>100692</v>
      </c>
      <c r="H2547" s="28">
        <v>0</v>
      </c>
      <c r="J2547" s="28"/>
    </row>
    <row r="2548" spans="1:10" ht="15.75" customHeight="1">
      <c r="A2548" s="28">
        <v>17722</v>
      </c>
      <c r="B2548" s="91">
        <v>44973.037199074075</v>
      </c>
      <c r="C2548" s="28" t="s">
        <v>10</v>
      </c>
      <c r="D2548" s="28" t="s">
        <v>1044</v>
      </c>
      <c r="E2548" s="28"/>
      <c r="F2548" s="28">
        <v>0</v>
      </c>
      <c r="G2548" s="28" t="s">
        <v>125</v>
      </c>
      <c r="H2548" s="28">
        <v>0</v>
      </c>
      <c r="J2548" s="28"/>
    </row>
    <row r="2549" spans="1:10" ht="15.75" customHeight="1">
      <c r="A2549" s="28">
        <v>17722</v>
      </c>
      <c r="B2549" s="91">
        <v>44973.037199074075</v>
      </c>
      <c r="C2549" s="28" t="s">
        <v>10</v>
      </c>
      <c r="D2549" s="28" t="s">
        <v>1044</v>
      </c>
      <c r="E2549" s="28"/>
      <c r="F2549" s="28">
        <v>0</v>
      </c>
      <c r="G2549" s="28" t="s">
        <v>119</v>
      </c>
      <c r="H2549" s="28">
        <v>0</v>
      </c>
      <c r="J2549" s="28"/>
    </row>
    <row r="2550" spans="1:10" ht="15.75" customHeight="1">
      <c r="A2550" s="28">
        <v>17721</v>
      </c>
      <c r="B2550" s="91">
        <v>44973.03696759259</v>
      </c>
      <c r="C2550" s="28" t="s">
        <v>10</v>
      </c>
      <c r="D2550" s="28" t="s">
        <v>933</v>
      </c>
      <c r="E2550" s="28"/>
      <c r="F2550" s="28">
        <v>25</v>
      </c>
      <c r="G2550" s="28">
        <v>100692</v>
      </c>
      <c r="H2550" s="28">
        <v>0</v>
      </c>
      <c r="J2550" s="28"/>
    </row>
    <row r="2551" spans="1:10" ht="15.75" customHeight="1">
      <c r="A2551" s="28">
        <v>17721</v>
      </c>
      <c r="B2551" s="91">
        <v>44973.03696759259</v>
      </c>
      <c r="C2551" s="28" t="s">
        <v>10</v>
      </c>
      <c r="D2551" s="28" t="s">
        <v>933</v>
      </c>
      <c r="E2551" s="28"/>
      <c r="F2551" s="28">
        <v>0</v>
      </c>
      <c r="G2551" s="28" t="s">
        <v>125</v>
      </c>
      <c r="H2551" s="28">
        <v>0</v>
      </c>
      <c r="J2551" s="28"/>
    </row>
    <row r="2552" spans="1:10" ht="15.75" customHeight="1">
      <c r="A2552" s="28">
        <v>17721</v>
      </c>
      <c r="B2552" s="91">
        <v>44973.03696759259</v>
      </c>
      <c r="C2552" s="28" t="s">
        <v>10</v>
      </c>
      <c r="D2552" s="28" t="s">
        <v>933</v>
      </c>
      <c r="E2552" s="28"/>
      <c r="F2552" s="28">
        <v>0</v>
      </c>
      <c r="G2552" s="28" t="s">
        <v>119</v>
      </c>
      <c r="H2552" s="28">
        <v>0</v>
      </c>
      <c r="J2552" s="28"/>
    </row>
    <row r="2553" spans="1:10" ht="15.75" customHeight="1">
      <c r="A2553" s="28">
        <v>17720</v>
      </c>
      <c r="B2553" s="91">
        <v>44973.034444444449</v>
      </c>
      <c r="C2553" s="28" t="s">
        <v>10</v>
      </c>
      <c r="D2553" s="28" t="s">
        <v>648</v>
      </c>
      <c r="E2553" s="28"/>
      <c r="F2553" s="28">
        <v>0</v>
      </c>
      <c r="G2553" s="28" t="s">
        <v>139</v>
      </c>
      <c r="H2553" s="28">
        <v>0</v>
      </c>
      <c r="J2553" s="28"/>
    </row>
    <row r="2554" spans="1:10" ht="15.75" customHeight="1">
      <c r="A2554" s="28">
        <v>17720</v>
      </c>
      <c r="B2554" s="91">
        <v>44973.034444444449</v>
      </c>
      <c r="C2554" s="28" t="s">
        <v>10</v>
      </c>
      <c r="D2554" s="28" t="s">
        <v>648</v>
      </c>
      <c r="E2554" s="28"/>
      <c r="F2554" s="28">
        <v>10</v>
      </c>
      <c r="G2554" s="28" t="s">
        <v>286</v>
      </c>
      <c r="H2554" s="28">
        <v>0</v>
      </c>
      <c r="J2554" s="28"/>
    </row>
    <row r="2555" spans="1:10" ht="15.75" customHeight="1">
      <c r="A2555" s="28">
        <v>17720</v>
      </c>
      <c r="B2555" s="91">
        <v>44973.034444444449</v>
      </c>
      <c r="C2555" s="28" t="s">
        <v>10</v>
      </c>
      <c r="D2555" s="28" t="s">
        <v>648</v>
      </c>
      <c r="E2555" s="28"/>
      <c r="F2555" s="28">
        <v>35</v>
      </c>
      <c r="G2555" s="28" t="s">
        <v>124</v>
      </c>
      <c r="H2555" s="28">
        <v>0</v>
      </c>
      <c r="J2555" s="28"/>
    </row>
    <row r="2556" spans="1:10" ht="15.75" customHeight="1">
      <c r="A2556" s="28">
        <v>17720</v>
      </c>
      <c r="B2556" s="91">
        <v>44973.034444444449</v>
      </c>
      <c r="C2556" s="28" t="s">
        <v>10</v>
      </c>
      <c r="D2556" s="28" t="s">
        <v>648</v>
      </c>
      <c r="E2556" s="28"/>
      <c r="F2556" s="28">
        <v>0</v>
      </c>
      <c r="G2556" s="28" t="s">
        <v>125</v>
      </c>
      <c r="H2556" s="28">
        <v>0</v>
      </c>
      <c r="J2556" s="28"/>
    </row>
    <row r="2557" spans="1:10" ht="15.75" customHeight="1">
      <c r="A2557" s="28">
        <v>17720</v>
      </c>
      <c r="B2557" s="91">
        <v>44973.034444444449</v>
      </c>
      <c r="C2557" s="28" t="s">
        <v>10</v>
      </c>
      <c r="D2557" s="28" t="s">
        <v>648</v>
      </c>
      <c r="E2557" s="28"/>
      <c r="F2557" s="28">
        <v>0</v>
      </c>
      <c r="G2557" s="28" t="s">
        <v>119</v>
      </c>
      <c r="H2557" s="28">
        <v>0</v>
      </c>
      <c r="J2557" s="28"/>
    </row>
    <row r="2558" spans="1:10" ht="15.75" customHeight="1">
      <c r="A2558" s="28">
        <v>17720</v>
      </c>
      <c r="B2558" s="91">
        <v>44973.034444444449</v>
      </c>
      <c r="C2558" s="28" t="s">
        <v>10</v>
      </c>
      <c r="D2558" s="28" t="s">
        <v>648</v>
      </c>
      <c r="E2558" s="28"/>
      <c r="F2558" s="28">
        <v>0</v>
      </c>
      <c r="G2558" s="28" t="s">
        <v>121</v>
      </c>
      <c r="H2558" s="28">
        <v>0</v>
      </c>
      <c r="J2558" s="28"/>
    </row>
    <row r="2559" spans="1:10" ht="15.75" customHeight="1">
      <c r="A2559" s="28">
        <v>17720</v>
      </c>
      <c r="B2559" s="91">
        <v>44973.034444444449</v>
      </c>
      <c r="C2559" s="28" t="s">
        <v>10</v>
      </c>
      <c r="D2559" s="28" t="s">
        <v>648</v>
      </c>
      <c r="E2559" s="28"/>
      <c r="F2559" s="28">
        <v>15</v>
      </c>
      <c r="G2559" s="28" t="s">
        <v>170</v>
      </c>
      <c r="H2559" s="28">
        <v>0</v>
      </c>
      <c r="J2559" s="28"/>
    </row>
    <row r="2560" spans="1:10" ht="15.75" customHeight="1">
      <c r="A2560" s="28">
        <v>17719</v>
      </c>
      <c r="B2560" s="91">
        <v>44973.033483796295</v>
      </c>
      <c r="C2560" s="28" t="s">
        <v>18</v>
      </c>
      <c r="D2560" s="28" t="s">
        <v>1044</v>
      </c>
      <c r="E2560" s="28"/>
      <c r="F2560" s="28">
        <v>25</v>
      </c>
      <c r="G2560" s="28">
        <v>100692</v>
      </c>
      <c r="H2560" s="28">
        <v>0</v>
      </c>
      <c r="J2560" s="28"/>
    </row>
    <row r="2561" spans="1:10" ht="15.75" customHeight="1">
      <c r="A2561" s="28">
        <v>17719</v>
      </c>
      <c r="B2561" s="91">
        <v>44973.033483796295</v>
      </c>
      <c r="C2561" s="28" t="s">
        <v>18</v>
      </c>
      <c r="D2561" s="28" t="s">
        <v>1044</v>
      </c>
      <c r="E2561" s="28"/>
      <c r="F2561" s="28">
        <v>0</v>
      </c>
      <c r="G2561" s="28" t="s">
        <v>125</v>
      </c>
      <c r="H2561" s="28">
        <v>0</v>
      </c>
      <c r="J2561" s="28"/>
    </row>
    <row r="2562" spans="1:10" ht="15.75" customHeight="1">
      <c r="A2562" s="28">
        <v>17719</v>
      </c>
      <c r="B2562" s="91">
        <v>44973.033483796295</v>
      </c>
      <c r="C2562" s="28" t="s">
        <v>18</v>
      </c>
      <c r="D2562" s="28" t="s">
        <v>1044</v>
      </c>
      <c r="E2562" s="28"/>
      <c r="F2562" s="28">
        <v>0</v>
      </c>
      <c r="G2562" s="28" t="s">
        <v>119</v>
      </c>
      <c r="H2562" s="28">
        <v>0</v>
      </c>
      <c r="J2562" s="28"/>
    </row>
    <row r="2563" spans="1:10" ht="15.75" customHeight="1">
      <c r="A2563" s="28">
        <v>17718</v>
      </c>
      <c r="B2563" s="91">
        <v>44973.028541666667</v>
      </c>
      <c r="C2563" s="28" t="s">
        <v>10</v>
      </c>
      <c r="D2563" s="28" t="s">
        <v>1045</v>
      </c>
      <c r="E2563" s="28"/>
      <c r="F2563" s="28">
        <v>24</v>
      </c>
      <c r="G2563" s="28" t="s">
        <v>122</v>
      </c>
      <c r="H2563" s="28">
        <v>0</v>
      </c>
      <c r="J2563" s="28"/>
    </row>
    <row r="2564" spans="1:10" ht="15.75" customHeight="1">
      <c r="A2564" s="28">
        <v>17717</v>
      </c>
      <c r="B2564" s="91">
        <v>44973.017731481479</v>
      </c>
      <c r="C2564" s="28" t="s">
        <v>10</v>
      </c>
      <c r="D2564" s="28" t="s">
        <v>1046</v>
      </c>
      <c r="E2564" s="28"/>
      <c r="F2564" s="28">
        <v>10</v>
      </c>
      <c r="G2564" s="28" t="s">
        <v>286</v>
      </c>
      <c r="H2564" s="28">
        <v>0</v>
      </c>
      <c r="J2564" s="28"/>
    </row>
    <row r="2565" spans="1:10" ht="15.75" customHeight="1">
      <c r="A2565" s="28">
        <v>17717</v>
      </c>
      <c r="B2565" s="91">
        <v>44973.017731481479</v>
      </c>
      <c r="C2565" s="28" t="s">
        <v>10</v>
      </c>
      <c r="D2565" s="28" t="s">
        <v>1046</v>
      </c>
      <c r="E2565" s="28"/>
      <c r="F2565" s="28">
        <v>28</v>
      </c>
      <c r="G2565" s="28" t="s">
        <v>143</v>
      </c>
      <c r="H2565" s="28">
        <v>0</v>
      </c>
      <c r="J2565" s="28"/>
    </row>
    <row r="2566" spans="1:10" ht="15.75" customHeight="1">
      <c r="A2566" s="28">
        <v>17717</v>
      </c>
      <c r="B2566" s="91">
        <v>44973.017731481479</v>
      </c>
      <c r="C2566" s="28" t="s">
        <v>10</v>
      </c>
      <c r="D2566" s="28" t="s">
        <v>1046</v>
      </c>
      <c r="E2566" s="28"/>
      <c r="F2566" s="28">
        <v>20</v>
      </c>
      <c r="G2566" s="28" t="s">
        <v>148</v>
      </c>
      <c r="H2566" s="28">
        <v>0</v>
      </c>
      <c r="J2566" s="28"/>
    </row>
    <row r="2567" spans="1:10" ht="15.75" customHeight="1">
      <c r="A2567" s="28">
        <v>17716</v>
      </c>
      <c r="B2567" s="91">
        <v>44973.016203703708</v>
      </c>
      <c r="C2567" s="28" t="s">
        <v>10</v>
      </c>
      <c r="D2567" s="28" t="s">
        <v>714</v>
      </c>
      <c r="E2567" s="28"/>
      <c r="F2567" s="28">
        <v>0</v>
      </c>
      <c r="G2567" s="28" t="s">
        <v>139</v>
      </c>
      <c r="H2567" s="28">
        <v>0</v>
      </c>
      <c r="J2567" s="28"/>
    </row>
    <row r="2568" spans="1:10" ht="15.75" customHeight="1">
      <c r="A2568" s="28">
        <v>17716</v>
      </c>
      <c r="B2568" s="91">
        <v>44973.016203703708</v>
      </c>
      <c r="C2568" s="28" t="s">
        <v>10</v>
      </c>
      <c r="D2568" s="28" t="s">
        <v>714</v>
      </c>
      <c r="E2568" s="28"/>
      <c r="F2568" s="28">
        <v>10</v>
      </c>
      <c r="G2568" s="28" t="s">
        <v>286</v>
      </c>
      <c r="H2568" s="28">
        <v>0</v>
      </c>
      <c r="J2568" s="28"/>
    </row>
    <row r="2569" spans="1:10" ht="15.75" customHeight="1">
      <c r="A2569" s="28">
        <v>17715</v>
      </c>
      <c r="B2569" s="91">
        <v>44973.014293981483</v>
      </c>
      <c r="C2569" s="28" t="s">
        <v>10</v>
      </c>
      <c r="D2569" s="28" t="s">
        <v>1047</v>
      </c>
      <c r="E2569" s="28"/>
      <c r="F2569" s="28">
        <v>35</v>
      </c>
      <c r="G2569" s="28" t="s">
        <v>124</v>
      </c>
      <c r="H2569" s="28">
        <v>0</v>
      </c>
      <c r="J2569" s="28"/>
    </row>
    <row r="2570" spans="1:10" ht="15.75" customHeight="1">
      <c r="A2570" s="28">
        <v>17715</v>
      </c>
      <c r="B2570" s="91">
        <v>44973.014293981483</v>
      </c>
      <c r="C2570" s="28" t="s">
        <v>10</v>
      </c>
      <c r="D2570" s="28" t="s">
        <v>1047</v>
      </c>
      <c r="E2570" s="28"/>
      <c r="F2570" s="28">
        <v>0</v>
      </c>
      <c r="G2570" s="28" t="s">
        <v>125</v>
      </c>
      <c r="H2570" s="28">
        <v>0</v>
      </c>
      <c r="J2570" s="28"/>
    </row>
    <row r="2571" spans="1:10" ht="15.75" customHeight="1">
      <c r="A2571" s="28">
        <v>17715</v>
      </c>
      <c r="B2571" s="91">
        <v>44973.014293981483</v>
      </c>
      <c r="C2571" s="28" t="s">
        <v>10</v>
      </c>
      <c r="D2571" s="28" t="s">
        <v>1047</v>
      </c>
      <c r="E2571" s="28"/>
      <c r="F2571" s="28">
        <v>0</v>
      </c>
      <c r="G2571" s="28" t="s">
        <v>119</v>
      </c>
      <c r="H2571" s="28">
        <v>0</v>
      </c>
      <c r="J2571" s="28"/>
    </row>
    <row r="2572" spans="1:10" ht="15.75" customHeight="1">
      <c r="A2572" s="28">
        <v>17715</v>
      </c>
      <c r="B2572" s="91">
        <v>44973.014293981483</v>
      </c>
      <c r="C2572" s="28" t="s">
        <v>10</v>
      </c>
      <c r="D2572" s="28" t="s">
        <v>1047</v>
      </c>
      <c r="E2572" s="28"/>
      <c r="F2572" s="28">
        <v>0</v>
      </c>
      <c r="G2572" s="28" t="s">
        <v>121</v>
      </c>
      <c r="H2572" s="28">
        <v>0</v>
      </c>
      <c r="J2572" s="28"/>
    </row>
    <row r="2573" spans="1:10" ht="15.75" customHeight="1">
      <c r="A2573" s="28">
        <v>17715</v>
      </c>
      <c r="B2573" s="91">
        <v>44973.014293981483</v>
      </c>
      <c r="C2573" s="28" t="s">
        <v>10</v>
      </c>
      <c r="D2573" s="28" t="s">
        <v>1047</v>
      </c>
      <c r="E2573" s="28"/>
      <c r="F2573" s="28">
        <v>10</v>
      </c>
      <c r="G2573" s="28" t="s">
        <v>286</v>
      </c>
      <c r="H2573" s="28">
        <v>0</v>
      </c>
      <c r="J2573" s="28"/>
    </row>
    <row r="2574" spans="1:10" ht="15.75" customHeight="1">
      <c r="A2574" s="28">
        <v>17714</v>
      </c>
      <c r="B2574" s="91">
        <v>44973.013541666667</v>
      </c>
      <c r="C2574" s="28" t="s">
        <v>10</v>
      </c>
      <c r="D2574" s="28" t="s">
        <v>1048</v>
      </c>
      <c r="E2574" s="28"/>
      <c r="F2574" s="28">
        <v>35</v>
      </c>
      <c r="G2574" s="28" t="s">
        <v>124</v>
      </c>
      <c r="H2574" s="28">
        <v>0</v>
      </c>
      <c r="J2574" s="28"/>
    </row>
    <row r="2575" spans="1:10" ht="15.75" customHeight="1">
      <c r="A2575" s="28">
        <v>17714</v>
      </c>
      <c r="B2575" s="91">
        <v>44973.013541666667</v>
      </c>
      <c r="C2575" s="28" t="s">
        <v>10</v>
      </c>
      <c r="D2575" s="28" t="s">
        <v>1048</v>
      </c>
      <c r="E2575" s="28"/>
      <c r="F2575" s="28">
        <v>0</v>
      </c>
      <c r="G2575" s="28" t="s">
        <v>125</v>
      </c>
      <c r="H2575" s="28">
        <v>0</v>
      </c>
      <c r="J2575" s="28"/>
    </row>
    <row r="2576" spans="1:10" ht="15.75" customHeight="1">
      <c r="A2576" s="28">
        <v>17714</v>
      </c>
      <c r="B2576" s="91">
        <v>44973.013541666667</v>
      </c>
      <c r="C2576" s="28" t="s">
        <v>10</v>
      </c>
      <c r="D2576" s="28" t="s">
        <v>1048</v>
      </c>
      <c r="E2576" s="28"/>
      <c r="F2576" s="28">
        <v>0</v>
      </c>
      <c r="G2576" s="28" t="s">
        <v>119</v>
      </c>
      <c r="H2576" s="28">
        <v>0</v>
      </c>
      <c r="J2576" s="28"/>
    </row>
    <row r="2577" spans="1:10" ht="15.75" customHeight="1">
      <c r="A2577" s="28">
        <v>17714</v>
      </c>
      <c r="B2577" s="91">
        <v>44973.013541666667</v>
      </c>
      <c r="C2577" s="28" t="s">
        <v>10</v>
      </c>
      <c r="D2577" s="28" t="s">
        <v>1048</v>
      </c>
      <c r="E2577" s="28"/>
      <c r="F2577" s="28">
        <v>0</v>
      </c>
      <c r="G2577" s="28" t="s">
        <v>121</v>
      </c>
      <c r="H2577" s="28">
        <v>0</v>
      </c>
      <c r="J2577" s="28"/>
    </row>
    <row r="2578" spans="1:10" ht="15.75" customHeight="1">
      <c r="A2578" s="28">
        <v>17714</v>
      </c>
      <c r="B2578" s="91">
        <v>44973.013541666667</v>
      </c>
      <c r="C2578" s="28" t="s">
        <v>10</v>
      </c>
      <c r="D2578" s="28" t="s">
        <v>1048</v>
      </c>
      <c r="E2578" s="28"/>
      <c r="F2578" s="28">
        <v>0</v>
      </c>
      <c r="G2578" s="28" t="s">
        <v>139</v>
      </c>
      <c r="H2578" s="28">
        <v>0</v>
      </c>
      <c r="J2578" s="28"/>
    </row>
    <row r="2579" spans="1:10" ht="15.75" customHeight="1">
      <c r="A2579" s="28">
        <v>17713</v>
      </c>
      <c r="B2579" s="91">
        <v>44973.008240740739</v>
      </c>
      <c r="C2579" s="28" t="s">
        <v>10</v>
      </c>
      <c r="D2579" s="28" t="s">
        <v>326</v>
      </c>
      <c r="E2579" s="28"/>
      <c r="F2579" s="28">
        <v>24</v>
      </c>
      <c r="G2579" s="28" t="s">
        <v>122</v>
      </c>
      <c r="H2579" s="28">
        <v>0</v>
      </c>
      <c r="J2579" s="28"/>
    </row>
    <row r="2580" spans="1:10" ht="15.75" customHeight="1">
      <c r="A2580" s="28">
        <v>17712</v>
      </c>
      <c r="B2580" s="91">
        <v>44973.00503472222</v>
      </c>
      <c r="C2580" s="28" t="s">
        <v>10</v>
      </c>
      <c r="D2580" s="28" t="s">
        <v>1049</v>
      </c>
      <c r="E2580" s="28"/>
      <c r="F2580" s="28">
        <v>25</v>
      </c>
      <c r="G2580" s="28">
        <v>100692</v>
      </c>
      <c r="H2580" s="28">
        <v>0</v>
      </c>
      <c r="J2580" s="28"/>
    </row>
    <row r="2581" spans="1:10" ht="15.75" customHeight="1">
      <c r="A2581" s="28">
        <v>17712</v>
      </c>
      <c r="B2581" s="91">
        <v>44973.00503472222</v>
      </c>
      <c r="C2581" s="28" t="s">
        <v>10</v>
      </c>
      <c r="D2581" s="28" t="s">
        <v>1049</v>
      </c>
      <c r="E2581" s="28"/>
      <c r="F2581" s="28">
        <v>0</v>
      </c>
      <c r="G2581" s="28" t="s">
        <v>125</v>
      </c>
      <c r="H2581" s="28">
        <v>0</v>
      </c>
      <c r="J2581" s="28"/>
    </row>
    <row r="2582" spans="1:10" ht="15.75" customHeight="1">
      <c r="A2582" s="28">
        <v>17712</v>
      </c>
      <c r="B2582" s="91">
        <v>44973.00503472222</v>
      </c>
      <c r="C2582" s="28" t="s">
        <v>10</v>
      </c>
      <c r="D2582" s="28" t="s">
        <v>1049</v>
      </c>
      <c r="E2582" s="28"/>
      <c r="F2582" s="28">
        <v>0</v>
      </c>
      <c r="G2582" s="28" t="s">
        <v>119</v>
      </c>
      <c r="H2582" s="28">
        <v>0</v>
      </c>
      <c r="J2582" s="28"/>
    </row>
    <row r="2583" spans="1:10" ht="15.75" customHeight="1">
      <c r="A2583" s="28">
        <v>17712</v>
      </c>
      <c r="B2583" s="91">
        <v>44973.00503472222</v>
      </c>
      <c r="C2583" s="28" t="s">
        <v>10</v>
      </c>
      <c r="D2583" s="28" t="s">
        <v>1049</v>
      </c>
      <c r="E2583" s="28"/>
      <c r="F2583" s="28">
        <v>0</v>
      </c>
      <c r="G2583" s="28" t="s">
        <v>139</v>
      </c>
      <c r="H2583" s="28">
        <v>0</v>
      </c>
      <c r="J2583" s="28"/>
    </row>
    <row r="2584" spans="1:10" ht="15.75" customHeight="1">
      <c r="A2584" s="28">
        <v>17711</v>
      </c>
      <c r="B2584" s="91">
        <v>44973.004606481481</v>
      </c>
      <c r="C2584" s="28" t="s">
        <v>10</v>
      </c>
      <c r="D2584" s="28" t="s">
        <v>659</v>
      </c>
      <c r="E2584" s="28"/>
      <c r="F2584" s="28">
        <v>28</v>
      </c>
      <c r="G2584" s="28" t="s">
        <v>143</v>
      </c>
      <c r="H2584" s="28">
        <v>0</v>
      </c>
      <c r="J2584" s="28"/>
    </row>
    <row r="2585" spans="1:10" ht="15.75" customHeight="1">
      <c r="A2585" s="28">
        <v>17710</v>
      </c>
      <c r="B2585" s="91">
        <v>44973.002835648149</v>
      </c>
      <c r="C2585" s="28" t="s">
        <v>10</v>
      </c>
      <c r="D2585" s="28" t="s">
        <v>1050</v>
      </c>
      <c r="E2585" s="28"/>
      <c r="F2585" s="28">
        <v>35</v>
      </c>
      <c r="G2585" s="28" t="s">
        <v>124</v>
      </c>
      <c r="H2585" s="28">
        <v>0</v>
      </c>
      <c r="J2585" s="28"/>
    </row>
    <row r="2586" spans="1:10" ht="15.75" customHeight="1">
      <c r="A2586" s="28">
        <v>17710</v>
      </c>
      <c r="B2586" s="91">
        <v>44973.002835648149</v>
      </c>
      <c r="C2586" s="28" t="s">
        <v>10</v>
      </c>
      <c r="D2586" s="28" t="s">
        <v>1050</v>
      </c>
      <c r="E2586" s="28"/>
      <c r="F2586" s="28">
        <v>0</v>
      </c>
      <c r="G2586" s="28" t="s">
        <v>125</v>
      </c>
      <c r="H2586" s="28">
        <v>0</v>
      </c>
      <c r="J2586" s="28"/>
    </row>
    <row r="2587" spans="1:10" ht="15.75" customHeight="1">
      <c r="A2587" s="28">
        <v>17710</v>
      </c>
      <c r="B2587" s="91">
        <v>44973.002835648149</v>
      </c>
      <c r="C2587" s="28" t="s">
        <v>10</v>
      </c>
      <c r="D2587" s="28" t="s">
        <v>1050</v>
      </c>
      <c r="E2587" s="28"/>
      <c r="F2587" s="28">
        <v>0</v>
      </c>
      <c r="G2587" s="28" t="s">
        <v>119</v>
      </c>
      <c r="H2587" s="28">
        <v>0</v>
      </c>
      <c r="J2587" s="28"/>
    </row>
    <row r="2588" spans="1:10" ht="15.75" customHeight="1">
      <c r="A2588" s="28">
        <v>17710</v>
      </c>
      <c r="B2588" s="91">
        <v>44973.002835648149</v>
      </c>
      <c r="C2588" s="28" t="s">
        <v>10</v>
      </c>
      <c r="D2588" s="28" t="s">
        <v>1050</v>
      </c>
      <c r="E2588" s="28"/>
      <c r="F2588" s="28">
        <v>0</v>
      </c>
      <c r="G2588" s="28" t="s">
        <v>121</v>
      </c>
      <c r="H2588" s="28">
        <v>0</v>
      </c>
      <c r="J2588" s="28"/>
    </row>
    <row r="2589" spans="1:10" ht="15.75" customHeight="1">
      <c r="A2589" s="28">
        <v>17710</v>
      </c>
      <c r="B2589" s="91">
        <v>44973.002835648149</v>
      </c>
      <c r="C2589" s="28" t="s">
        <v>10</v>
      </c>
      <c r="D2589" s="28" t="s">
        <v>1050</v>
      </c>
      <c r="E2589" s="28"/>
      <c r="F2589" s="28">
        <v>0</v>
      </c>
      <c r="G2589" s="28" t="s">
        <v>139</v>
      </c>
      <c r="H2589" s="28">
        <v>0</v>
      </c>
      <c r="J2589" s="28"/>
    </row>
    <row r="2590" spans="1:10" ht="15.75" customHeight="1">
      <c r="A2590" s="28">
        <v>17709</v>
      </c>
      <c r="B2590" s="91">
        <v>44973.000891203701</v>
      </c>
      <c r="C2590" s="28" t="s">
        <v>10</v>
      </c>
      <c r="D2590" s="28" t="s">
        <v>1051</v>
      </c>
      <c r="E2590" s="28"/>
      <c r="F2590" s="28">
        <v>0</v>
      </c>
      <c r="G2590" s="28" t="s">
        <v>139</v>
      </c>
      <c r="H2590" s="28">
        <v>0</v>
      </c>
      <c r="J2590" s="28"/>
    </row>
    <row r="2591" spans="1:10" ht="15.75" customHeight="1">
      <c r="A2591" s="28">
        <v>17709</v>
      </c>
      <c r="B2591" s="91">
        <v>44973.000891203701</v>
      </c>
      <c r="C2591" s="28" t="s">
        <v>10</v>
      </c>
      <c r="D2591" s="28" t="s">
        <v>1051</v>
      </c>
      <c r="E2591" s="28"/>
      <c r="F2591" s="28">
        <v>35</v>
      </c>
      <c r="G2591" s="28" t="s">
        <v>124</v>
      </c>
      <c r="H2591" s="28">
        <v>0</v>
      </c>
      <c r="J2591" s="28"/>
    </row>
    <row r="2592" spans="1:10" ht="15.75" customHeight="1">
      <c r="A2592" s="28">
        <v>17709</v>
      </c>
      <c r="B2592" s="91">
        <v>44973.000891203701</v>
      </c>
      <c r="C2592" s="28" t="s">
        <v>10</v>
      </c>
      <c r="D2592" s="28" t="s">
        <v>1051</v>
      </c>
      <c r="E2592" s="28"/>
      <c r="F2592" s="28">
        <v>0</v>
      </c>
      <c r="G2592" s="28" t="s">
        <v>125</v>
      </c>
      <c r="H2592" s="28">
        <v>0</v>
      </c>
      <c r="J2592" s="28"/>
    </row>
    <row r="2593" spans="1:10" ht="15.75" customHeight="1">
      <c r="A2593" s="28">
        <v>17709</v>
      </c>
      <c r="B2593" s="91">
        <v>44973.000891203701</v>
      </c>
      <c r="C2593" s="28" t="s">
        <v>10</v>
      </c>
      <c r="D2593" s="28" t="s">
        <v>1051</v>
      </c>
      <c r="E2593" s="28"/>
      <c r="F2593" s="28">
        <v>0</v>
      </c>
      <c r="G2593" s="28" t="s">
        <v>119</v>
      </c>
      <c r="H2593" s="28">
        <v>0</v>
      </c>
      <c r="J2593" s="28"/>
    </row>
    <row r="2594" spans="1:10" ht="15.75" customHeight="1">
      <c r="A2594" s="28">
        <v>17709</v>
      </c>
      <c r="B2594" s="91">
        <v>44973.000891203701</v>
      </c>
      <c r="C2594" s="28" t="s">
        <v>10</v>
      </c>
      <c r="D2594" s="28" t="s">
        <v>1051</v>
      </c>
      <c r="E2594" s="28"/>
      <c r="F2594" s="28">
        <v>0</v>
      </c>
      <c r="G2594" s="28" t="s">
        <v>121</v>
      </c>
      <c r="H2594" s="28">
        <v>0</v>
      </c>
      <c r="J2594" s="28"/>
    </row>
    <row r="2595" spans="1:10" ht="15.75" customHeight="1">
      <c r="A2595" s="28">
        <v>17708</v>
      </c>
      <c r="B2595" s="91">
        <v>44972.998333333337</v>
      </c>
      <c r="C2595" s="28" t="s">
        <v>10</v>
      </c>
      <c r="D2595" s="28" t="s">
        <v>1052</v>
      </c>
      <c r="E2595" s="28"/>
      <c r="F2595" s="28">
        <v>18</v>
      </c>
      <c r="G2595" s="28" t="s">
        <v>119</v>
      </c>
      <c r="H2595" s="28">
        <v>0</v>
      </c>
      <c r="J2595" s="28"/>
    </row>
    <row r="2596" spans="1:10" ht="15.75" customHeight="1">
      <c r="A2596" s="28">
        <v>17707</v>
      </c>
      <c r="B2596" s="91">
        <v>44972.996435185181</v>
      </c>
      <c r="C2596" s="28" t="s">
        <v>10</v>
      </c>
      <c r="D2596" s="28" t="s">
        <v>287</v>
      </c>
      <c r="E2596" s="28"/>
      <c r="F2596" s="28">
        <v>18</v>
      </c>
      <c r="G2596" s="28" t="s">
        <v>119</v>
      </c>
      <c r="H2596" s="28">
        <v>0</v>
      </c>
      <c r="J2596" s="28"/>
    </row>
    <row r="2597" spans="1:10" ht="15.75" customHeight="1">
      <c r="A2597" s="28">
        <v>17706</v>
      </c>
      <c r="B2597" s="91">
        <v>44972.991539351853</v>
      </c>
      <c r="C2597" s="28" t="s">
        <v>10</v>
      </c>
      <c r="D2597" s="28" t="s">
        <v>1053</v>
      </c>
      <c r="E2597" s="28"/>
      <c r="F2597" s="28">
        <v>24</v>
      </c>
      <c r="G2597" s="28" t="s">
        <v>122</v>
      </c>
      <c r="H2597" s="28">
        <v>0</v>
      </c>
      <c r="J2597" s="28"/>
    </row>
    <row r="2598" spans="1:10" ht="15.75" customHeight="1">
      <c r="A2598" s="28">
        <v>17705</v>
      </c>
      <c r="B2598" s="91">
        <v>44972.990902777776</v>
      </c>
      <c r="C2598" s="28" t="s">
        <v>10</v>
      </c>
      <c r="D2598" s="28" t="s">
        <v>1054</v>
      </c>
      <c r="E2598" s="28"/>
      <c r="F2598" s="28">
        <v>24</v>
      </c>
      <c r="G2598" s="28" t="s">
        <v>122</v>
      </c>
      <c r="H2598" s="28">
        <v>0</v>
      </c>
      <c r="J2598" s="28"/>
    </row>
    <row r="2599" spans="1:10" ht="15.75" customHeight="1">
      <c r="A2599" s="28">
        <v>17704</v>
      </c>
      <c r="B2599" s="91">
        <v>44972.989050925928</v>
      </c>
      <c r="C2599" s="28" t="s">
        <v>10</v>
      </c>
      <c r="D2599" s="28" t="s">
        <v>1055</v>
      </c>
      <c r="E2599" s="28"/>
      <c r="F2599" s="28">
        <v>18</v>
      </c>
      <c r="G2599" s="28" t="s">
        <v>119</v>
      </c>
      <c r="H2599" s="28">
        <v>0</v>
      </c>
      <c r="J2599" s="28"/>
    </row>
    <row r="2600" spans="1:10" ht="15.75" customHeight="1">
      <c r="A2600" s="28">
        <v>17703</v>
      </c>
      <c r="B2600" s="91">
        <v>44972.988877314812</v>
      </c>
      <c r="C2600" s="28" t="s">
        <v>10</v>
      </c>
      <c r="D2600" s="28" t="s">
        <v>848</v>
      </c>
      <c r="E2600" s="28"/>
      <c r="F2600" s="28">
        <v>25</v>
      </c>
      <c r="G2600" s="28">
        <v>100692</v>
      </c>
      <c r="H2600" s="28">
        <v>0</v>
      </c>
      <c r="J2600" s="28"/>
    </row>
    <row r="2601" spans="1:10" ht="15.75" customHeight="1">
      <c r="A2601" s="28">
        <v>17703</v>
      </c>
      <c r="B2601" s="91">
        <v>44972.988877314812</v>
      </c>
      <c r="C2601" s="28" t="s">
        <v>10</v>
      </c>
      <c r="D2601" s="28" t="s">
        <v>848</v>
      </c>
      <c r="E2601" s="28"/>
      <c r="F2601" s="28">
        <v>0</v>
      </c>
      <c r="G2601" s="28" t="s">
        <v>125</v>
      </c>
      <c r="H2601" s="28">
        <v>0</v>
      </c>
      <c r="J2601" s="28"/>
    </row>
    <row r="2602" spans="1:10" ht="15.75" customHeight="1">
      <c r="A2602" s="28">
        <v>17703</v>
      </c>
      <c r="B2602" s="91">
        <v>44972.988877314812</v>
      </c>
      <c r="C2602" s="28" t="s">
        <v>10</v>
      </c>
      <c r="D2602" s="28" t="s">
        <v>848</v>
      </c>
      <c r="E2602" s="28"/>
      <c r="F2602" s="28">
        <v>0</v>
      </c>
      <c r="G2602" s="28" t="s">
        <v>119</v>
      </c>
      <c r="H2602" s="28">
        <v>0</v>
      </c>
      <c r="J2602" s="28"/>
    </row>
    <row r="2603" spans="1:10" ht="15.75" customHeight="1">
      <c r="A2603" s="28">
        <v>17702</v>
      </c>
      <c r="B2603" s="91">
        <v>44972.985185185185</v>
      </c>
      <c r="C2603" s="28" t="s">
        <v>10</v>
      </c>
      <c r="D2603" s="28" t="s">
        <v>1056</v>
      </c>
      <c r="E2603" s="28"/>
      <c r="F2603" s="28">
        <v>20</v>
      </c>
      <c r="G2603" s="28" t="s">
        <v>261</v>
      </c>
      <c r="H2603" s="28">
        <v>0</v>
      </c>
      <c r="J2603" s="28"/>
    </row>
    <row r="2604" spans="1:10" ht="15.75" customHeight="1">
      <c r="A2604" s="28">
        <v>17702</v>
      </c>
      <c r="B2604" s="91">
        <v>44972.985185185185</v>
      </c>
      <c r="C2604" s="28" t="s">
        <v>10</v>
      </c>
      <c r="D2604" s="28" t="s">
        <v>1056</v>
      </c>
      <c r="E2604" s="28"/>
      <c r="F2604" s="28">
        <v>24</v>
      </c>
      <c r="G2604" s="28" t="s">
        <v>122</v>
      </c>
      <c r="H2604" s="28">
        <v>0</v>
      </c>
      <c r="J2604" s="28"/>
    </row>
    <row r="2605" spans="1:10" ht="15.75" customHeight="1">
      <c r="A2605" s="28">
        <v>17702</v>
      </c>
      <c r="B2605" s="91">
        <v>44972.985185185185</v>
      </c>
      <c r="C2605" s="28" t="s">
        <v>10</v>
      </c>
      <c r="D2605" s="28" t="s">
        <v>1056</v>
      </c>
      <c r="E2605" s="28"/>
      <c r="F2605" s="28">
        <v>24</v>
      </c>
      <c r="G2605" s="28" t="s">
        <v>122</v>
      </c>
      <c r="H2605" s="28">
        <v>0</v>
      </c>
      <c r="J2605" s="28"/>
    </row>
    <row r="2606" spans="1:10" ht="15.75" customHeight="1">
      <c r="A2606" s="28">
        <v>17702</v>
      </c>
      <c r="B2606" s="91">
        <v>44972.985185185185</v>
      </c>
      <c r="C2606" s="28" t="s">
        <v>10</v>
      </c>
      <c r="D2606" s="28" t="s">
        <v>1056</v>
      </c>
      <c r="E2606" s="28"/>
      <c r="F2606" s="28">
        <v>24</v>
      </c>
      <c r="G2606" s="28" t="s">
        <v>122</v>
      </c>
      <c r="H2606" s="28">
        <v>0</v>
      </c>
      <c r="J2606" s="28"/>
    </row>
    <row r="2607" spans="1:10" ht="15.75" customHeight="1">
      <c r="A2607" s="28">
        <v>17701</v>
      </c>
      <c r="B2607" s="91">
        <v>44972.984953703708</v>
      </c>
      <c r="C2607" s="28" t="s">
        <v>10</v>
      </c>
      <c r="D2607" s="28" t="s">
        <v>1057</v>
      </c>
      <c r="E2607" s="28"/>
      <c r="F2607" s="28">
        <v>20</v>
      </c>
      <c r="G2607" s="28" t="s">
        <v>205</v>
      </c>
      <c r="H2607" s="28">
        <v>0</v>
      </c>
      <c r="J2607" s="28"/>
    </row>
    <row r="2608" spans="1:10" ht="15.75" customHeight="1">
      <c r="A2608" s="28">
        <v>17701</v>
      </c>
      <c r="B2608" s="91">
        <v>44972.984953703708</v>
      </c>
      <c r="C2608" s="28" t="s">
        <v>10</v>
      </c>
      <c r="D2608" s="28" t="s">
        <v>1057</v>
      </c>
      <c r="E2608" s="28"/>
      <c r="F2608" s="28">
        <v>0</v>
      </c>
      <c r="G2608" s="28" t="s">
        <v>125</v>
      </c>
      <c r="H2608" s="28">
        <v>0</v>
      </c>
      <c r="J2608" s="28"/>
    </row>
    <row r="2609" spans="1:10" ht="15.75" customHeight="1">
      <c r="A2609" s="28">
        <v>17701</v>
      </c>
      <c r="B2609" s="91">
        <v>44972.984953703708</v>
      </c>
      <c r="C2609" s="28" t="s">
        <v>10</v>
      </c>
      <c r="D2609" s="28" t="s">
        <v>1057</v>
      </c>
      <c r="E2609" s="28"/>
      <c r="F2609" s="28">
        <v>30</v>
      </c>
      <c r="G2609" s="28" t="s">
        <v>125</v>
      </c>
      <c r="H2609" s="28">
        <v>0</v>
      </c>
      <c r="J2609" s="28"/>
    </row>
    <row r="2610" spans="1:10" ht="15.75" customHeight="1">
      <c r="A2610" s="28">
        <v>17700</v>
      </c>
      <c r="B2610" s="91">
        <v>44972.984803240739</v>
      </c>
      <c r="C2610" s="28" t="s">
        <v>8</v>
      </c>
      <c r="D2610" s="28" t="s">
        <v>1058</v>
      </c>
      <c r="E2610" s="28"/>
      <c r="F2610" s="28">
        <v>30</v>
      </c>
      <c r="G2610" s="28"/>
      <c r="H2610" s="28">
        <v>0</v>
      </c>
      <c r="J2610" s="28"/>
    </row>
    <row r="2611" spans="1:10" ht="15.75" customHeight="1">
      <c r="A2611" s="28">
        <v>17700</v>
      </c>
      <c r="B2611" s="91">
        <v>44972.984803240739</v>
      </c>
      <c r="C2611" s="28" t="s">
        <v>8</v>
      </c>
      <c r="D2611" s="28" t="s">
        <v>1058</v>
      </c>
      <c r="E2611" s="28"/>
      <c r="F2611" s="28">
        <v>25</v>
      </c>
      <c r="G2611" s="28">
        <v>100692</v>
      </c>
      <c r="H2611" s="28">
        <v>0</v>
      </c>
      <c r="J2611" s="28"/>
    </row>
    <row r="2612" spans="1:10" ht="15.75" customHeight="1">
      <c r="A2612" s="28">
        <v>17700</v>
      </c>
      <c r="B2612" s="91">
        <v>44972.984803240739</v>
      </c>
      <c r="C2612" s="28" t="s">
        <v>8</v>
      </c>
      <c r="D2612" s="28" t="s">
        <v>1058</v>
      </c>
      <c r="E2612" s="28"/>
      <c r="F2612" s="28">
        <v>0</v>
      </c>
      <c r="G2612" s="28" t="s">
        <v>125</v>
      </c>
      <c r="H2612" s="28">
        <v>0</v>
      </c>
      <c r="J2612" s="28"/>
    </row>
    <row r="2613" spans="1:10" ht="15.75" customHeight="1">
      <c r="A2613" s="28">
        <v>17700</v>
      </c>
      <c r="B2613" s="91">
        <v>44972.984803240739</v>
      </c>
      <c r="C2613" s="28" t="s">
        <v>8</v>
      </c>
      <c r="D2613" s="28" t="s">
        <v>1058</v>
      </c>
      <c r="E2613" s="28"/>
      <c r="F2613" s="28">
        <v>0</v>
      </c>
      <c r="G2613" s="28" t="s">
        <v>119</v>
      </c>
      <c r="H2613" s="28">
        <v>0</v>
      </c>
      <c r="J2613" s="28"/>
    </row>
    <row r="2614" spans="1:10" ht="15.75" customHeight="1">
      <c r="A2614" s="28">
        <v>17699</v>
      </c>
      <c r="B2614" s="91">
        <v>44972.983333333337</v>
      </c>
      <c r="C2614" s="28" t="s">
        <v>10</v>
      </c>
      <c r="D2614" s="28" t="s">
        <v>1059</v>
      </c>
      <c r="E2614" s="28"/>
      <c r="F2614" s="28">
        <v>55</v>
      </c>
      <c r="G2614" s="28">
        <v>101684</v>
      </c>
      <c r="H2614" s="28">
        <v>0</v>
      </c>
      <c r="J2614" s="28"/>
    </row>
    <row r="2615" spans="1:10" ht="15.75" customHeight="1">
      <c r="A2615" s="28">
        <v>17699</v>
      </c>
      <c r="B2615" s="91">
        <v>44972.983333333337</v>
      </c>
      <c r="C2615" s="28" t="s">
        <v>10</v>
      </c>
      <c r="D2615" s="28" t="s">
        <v>1059</v>
      </c>
      <c r="E2615" s="28"/>
      <c r="F2615" s="28">
        <v>0</v>
      </c>
      <c r="G2615" s="28" t="s">
        <v>118</v>
      </c>
      <c r="H2615" s="28">
        <v>0</v>
      </c>
      <c r="J2615" s="28"/>
    </row>
    <row r="2616" spans="1:10" ht="15.75" customHeight="1">
      <c r="A2616" s="28">
        <v>17699</v>
      </c>
      <c r="B2616" s="91">
        <v>44972.983333333337</v>
      </c>
      <c r="C2616" s="28" t="s">
        <v>10</v>
      </c>
      <c r="D2616" s="28" t="s">
        <v>1059</v>
      </c>
      <c r="E2616" s="28"/>
      <c r="F2616" s="28">
        <v>0</v>
      </c>
      <c r="G2616" s="28" t="s">
        <v>119</v>
      </c>
      <c r="H2616" s="28">
        <v>0</v>
      </c>
      <c r="J2616" s="28"/>
    </row>
    <row r="2617" spans="1:10" ht="15.75" customHeight="1">
      <c r="A2617" s="28">
        <v>17699</v>
      </c>
      <c r="B2617" s="91">
        <v>44972.983333333337</v>
      </c>
      <c r="C2617" s="28" t="s">
        <v>10</v>
      </c>
      <c r="D2617" s="28" t="s">
        <v>1059</v>
      </c>
      <c r="E2617" s="28"/>
      <c r="F2617" s="28">
        <v>0</v>
      </c>
      <c r="G2617" s="28" t="s">
        <v>120</v>
      </c>
      <c r="H2617" s="28">
        <v>0</v>
      </c>
      <c r="J2617" s="28"/>
    </row>
    <row r="2618" spans="1:10" ht="15.75" customHeight="1">
      <c r="A2618" s="28">
        <v>17699</v>
      </c>
      <c r="B2618" s="91">
        <v>44972.983333333337</v>
      </c>
      <c r="C2618" s="28" t="s">
        <v>10</v>
      </c>
      <c r="D2618" s="28" t="s">
        <v>1059</v>
      </c>
      <c r="E2618" s="28"/>
      <c r="F2618" s="28">
        <v>0</v>
      </c>
      <c r="G2618" s="28" t="s">
        <v>121</v>
      </c>
      <c r="H2618" s="28">
        <v>0</v>
      </c>
      <c r="J2618" s="28"/>
    </row>
    <row r="2619" spans="1:10" ht="15.75" customHeight="1">
      <c r="A2619" s="28">
        <v>17698</v>
      </c>
      <c r="B2619" s="91">
        <v>44972.978379629625</v>
      </c>
      <c r="C2619" s="28" t="s">
        <v>10</v>
      </c>
      <c r="D2619" s="28" t="s">
        <v>691</v>
      </c>
      <c r="E2619" s="28"/>
      <c r="F2619" s="28">
        <v>110</v>
      </c>
      <c r="G2619" s="28">
        <v>101684</v>
      </c>
      <c r="H2619" s="28">
        <v>0</v>
      </c>
      <c r="J2619" s="28"/>
    </row>
    <row r="2620" spans="1:10" ht="15.75" customHeight="1">
      <c r="A2620" s="28">
        <v>17698</v>
      </c>
      <c r="B2620" s="91">
        <v>44972.978379629625</v>
      </c>
      <c r="C2620" s="28" t="s">
        <v>10</v>
      </c>
      <c r="D2620" s="28" t="s">
        <v>691</v>
      </c>
      <c r="E2620" s="28"/>
      <c r="F2620" s="28">
        <v>0</v>
      </c>
      <c r="G2620" s="28" t="s">
        <v>118</v>
      </c>
      <c r="H2620" s="28">
        <v>0</v>
      </c>
      <c r="J2620" s="28"/>
    </row>
    <row r="2621" spans="1:10" ht="15.75" customHeight="1">
      <c r="A2621" s="28">
        <v>17698</v>
      </c>
      <c r="B2621" s="91">
        <v>44972.978379629625</v>
      </c>
      <c r="C2621" s="28" t="s">
        <v>10</v>
      </c>
      <c r="D2621" s="28" t="s">
        <v>691</v>
      </c>
      <c r="E2621" s="28"/>
      <c r="F2621" s="28">
        <v>0</v>
      </c>
      <c r="G2621" s="28" t="s">
        <v>119</v>
      </c>
      <c r="H2621" s="28">
        <v>0</v>
      </c>
      <c r="J2621" s="28"/>
    </row>
    <row r="2622" spans="1:10" ht="15.75" customHeight="1">
      <c r="A2622" s="28">
        <v>17698</v>
      </c>
      <c r="B2622" s="91">
        <v>44972.978379629625</v>
      </c>
      <c r="C2622" s="28" t="s">
        <v>10</v>
      </c>
      <c r="D2622" s="28" t="s">
        <v>691</v>
      </c>
      <c r="E2622" s="28"/>
      <c r="F2622" s="28">
        <v>0</v>
      </c>
      <c r="G2622" s="28" t="s">
        <v>120</v>
      </c>
      <c r="H2622" s="28">
        <v>0</v>
      </c>
      <c r="J2622" s="28"/>
    </row>
    <row r="2623" spans="1:10" ht="15.75" customHeight="1">
      <c r="A2623" s="28">
        <v>17698</v>
      </c>
      <c r="B2623" s="91">
        <v>44972.978379629625</v>
      </c>
      <c r="C2623" s="28" t="s">
        <v>10</v>
      </c>
      <c r="D2623" s="28" t="s">
        <v>691</v>
      </c>
      <c r="E2623" s="28"/>
      <c r="F2623" s="28">
        <v>0</v>
      </c>
      <c r="G2623" s="28" t="s">
        <v>121</v>
      </c>
      <c r="H2623" s="28">
        <v>0</v>
      </c>
      <c r="J2623" s="28"/>
    </row>
    <row r="2624" spans="1:10" ht="15.75" customHeight="1">
      <c r="A2624" s="28">
        <v>17697</v>
      </c>
      <c r="B2624" s="91">
        <v>44972.973344907412</v>
      </c>
      <c r="C2624" s="28" t="s">
        <v>10</v>
      </c>
      <c r="D2624" s="28" t="s">
        <v>1060</v>
      </c>
      <c r="E2624" s="28"/>
      <c r="F2624" s="28">
        <v>20</v>
      </c>
      <c r="G2624" s="28" t="s">
        <v>205</v>
      </c>
      <c r="H2624" s="28">
        <v>0</v>
      </c>
      <c r="J2624" s="28"/>
    </row>
    <row r="2625" spans="1:10" ht="15.75" customHeight="1">
      <c r="A2625" s="28">
        <v>17697</v>
      </c>
      <c r="B2625" s="91">
        <v>44972.973344907412</v>
      </c>
      <c r="C2625" s="28" t="s">
        <v>10</v>
      </c>
      <c r="D2625" s="28" t="s">
        <v>1060</v>
      </c>
      <c r="E2625" s="28"/>
      <c r="F2625" s="28">
        <v>0</v>
      </c>
      <c r="G2625" s="28" t="s">
        <v>125</v>
      </c>
      <c r="H2625" s="28">
        <v>0</v>
      </c>
      <c r="J2625" s="28"/>
    </row>
    <row r="2626" spans="1:10" ht="15.75" customHeight="1">
      <c r="A2626" s="28">
        <v>17696</v>
      </c>
      <c r="B2626" s="91">
        <v>44972.971875000003</v>
      </c>
      <c r="C2626" s="28" t="s">
        <v>10</v>
      </c>
      <c r="D2626" s="28" t="s">
        <v>1061</v>
      </c>
      <c r="E2626" s="28"/>
      <c r="F2626" s="28">
        <v>55</v>
      </c>
      <c r="G2626" s="28" t="s">
        <v>861</v>
      </c>
      <c r="H2626" s="28">
        <v>0</v>
      </c>
      <c r="J2626" s="28"/>
    </row>
    <row r="2627" spans="1:10" ht="15.75" customHeight="1">
      <c r="A2627" s="28">
        <v>17695</v>
      </c>
      <c r="B2627" s="91">
        <v>44972.971215277779</v>
      </c>
      <c r="C2627" s="28" t="s">
        <v>10</v>
      </c>
      <c r="D2627" s="28" t="s">
        <v>1062</v>
      </c>
      <c r="E2627" s="28"/>
      <c r="F2627" s="28">
        <v>25</v>
      </c>
      <c r="G2627" s="28">
        <v>100692</v>
      </c>
      <c r="H2627" s="28">
        <v>0</v>
      </c>
      <c r="J2627" s="28"/>
    </row>
    <row r="2628" spans="1:10" ht="15.75" customHeight="1">
      <c r="A2628" s="28">
        <v>17695</v>
      </c>
      <c r="B2628" s="91">
        <v>44972.971215277779</v>
      </c>
      <c r="C2628" s="28" t="s">
        <v>10</v>
      </c>
      <c r="D2628" s="28" t="s">
        <v>1062</v>
      </c>
      <c r="E2628" s="28"/>
      <c r="F2628" s="28">
        <v>0</v>
      </c>
      <c r="G2628" s="28" t="s">
        <v>125</v>
      </c>
      <c r="H2628" s="28">
        <v>0</v>
      </c>
      <c r="J2628" s="28"/>
    </row>
    <row r="2629" spans="1:10" ht="15.75" customHeight="1">
      <c r="A2629" s="28">
        <v>17695</v>
      </c>
      <c r="B2629" s="91">
        <v>44972.971215277779</v>
      </c>
      <c r="C2629" s="28" t="s">
        <v>10</v>
      </c>
      <c r="D2629" s="28" t="s">
        <v>1062</v>
      </c>
      <c r="E2629" s="28"/>
      <c r="F2629" s="28">
        <v>0</v>
      </c>
      <c r="G2629" s="28" t="s">
        <v>119</v>
      </c>
      <c r="H2629" s="28">
        <v>0</v>
      </c>
      <c r="J2629" s="28"/>
    </row>
    <row r="2630" spans="1:10" ht="15.75" customHeight="1">
      <c r="A2630" s="28">
        <v>17695</v>
      </c>
      <c r="B2630" s="91">
        <v>44972.971215277779</v>
      </c>
      <c r="C2630" s="28" t="s">
        <v>10</v>
      </c>
      <c r="D2630" s="28" t="s">
        <v>1062</v>
      </c>
      <c r="E2630" s="28"/>
      <c r="F2630" s="28">
        <v>28</v>
      </c>
      <c r="G2630" s="28" t="s">
        <v>143</v>
      </c>
      <c r="H2630" s="28">
        <v>0</v>
      </c>
      <c r="J2630" s="28"/>
    </row>
    <row r="2631" spans="1:10" ht="15.75" customHeight="1">
      <c r="A2631" s="28">
        <v>17694</v>
      </c>
      <c r="B2631" s="91">
        <v>44972.952615740738</v>
      </c>
      <c r="C2631" s="28" t="s">
        <v>10</v>
      </c>
      <c r="D2631" s="28" t="s">
        <v>1063</v>
      </c>
      <c r="E2631" s="28"/>
      <c r="F2631" s="28">
        <v>24</v>
      </c>
      <c r="G2631" s="28" t="s">
        <v>122</v>
      </c>
      <c r="H2631" s="28">
        <v>0</v>
      </c>
      <c r="J2631" s="28"/>
    </row>
    <row r="2632" spans="1:10" ht="15.75" customHeight="1">
      <c r="A2632" s="28">
        <v>17693</v>
      </c>
      <c r="B2632" s="91">
        <v>44972.925729166665</v>
      </c>
      <c r="C2632" s="28" t="s">
        <v>10</v>
      </c>
      <c r="D2632" s="28" t="s">
        <v>688</v>
      </c>
      <c r="E2632" s="28"/>
      <c r="F2632" s="28">
        <v>24</v>
      </c>
      <c r="G2632" s="28" t="s">
        <v>122</v>
      </c>
      <c r="H2632" s="28">
        <v>0</v>
      </c>
      <c r="J2632" s="28"/>
    </row>
    <row r="2633" spans="1:10" ht="15.75" customHeight="1">
      <c r="A2633" s="28">
        <v>17692</v>
      </c>
      <c r="B2633" s="91">
        <v>44972.909722222219</v>
      </c>
      <c r="C2633" s="28" t="s">
        <v>10</v>
      </c>
      <c r="D2633" s="28" t="s">
        <v>736</v>
      </c>
      <c r="E2633" s="28"/>
      <c r="F2633" s="28">
        <v>25</v>
      </c>
      <c r="G2633" s="28" t="s">
        <v>141</v>
      </c>
      <c r="H2633" s="28">
        <v>0</v>
      </c>
      <c r="J2633" s="28"/>
    </row>
    <row r="2634" spans="1:10" ht="15.75" customHeight="1">
      <c r="A2634" s="28">
        <v>17692</v>
      </c>
      <c r="B2634" s="91">
        <v>44972.909722222219</v>
      </c>
      <c r="C2634" s="28" t="s">
        <v>10</v>
      </c>
      <c r="D2634" s="28" t="s">
        <v>736</v>
      </c>
      <c r="E2634" s="28"/>
      <c r="F2634" s="28">
        <v>0</v>
      </c>
      <c r="G2634" s="28" t="s">
        <v>139</v>
      </c>
      <c r="H2634" s="28">
        <v>0</v>
      </c>
      <c r="J2634" s="28"/>
    </row>
    <row r="2635" spans="1:10" ht="15.75" customHeight="1">
      <c r="A2635" s="28">
        <v>17691</v>
      </c>
      <c r="B2635" s="91">
        <v>44972.899872685186</v>
      </c>
      <c r="C2635" s="28" t="s">
        <v>10</v>
      </c>
      <c r="D2635" s="28" t="s">
        <v>1064</v>
      </c>
      <c r="E2635" s="28"/>
      <c r="F2635" s="28">
        <v>24</v>
      </c>
      <c r="G2635" s="28" t="s">
        <v>122</v>
      </c>
      <c r="H2635" s="28">
        <v>0</v>
      </c>
      <c r="J2635" s="28"/>
    </row>
    <row r="2636" spans="1:10" ht="15.75" customHeight="1">
      <c r="A2636" s="28">
        <v>17690</v>
      </c>
      <c r="B2636" s="91">
        <v>44972.874409722222</v>
      </c>
      <c r="C2636" s="28" t="s">
        <v>10</v>
      </c>
      <c r="D2636" s="28" t="s">
        <v>985</v>
      </c>
      <c r="E2636" s="28"/>
      <c r="F2636" s="28">
        <v>20</v>
      </c>
      <c r="G2636" s="28" t="s">
        <v>148</v>
      </c>
      <c r="H2636" s="28">
        <v>0</v>
      </c>
      <c r="J2636" s="28"/>
    </row>
    <row r="2637" spans="1:10" ht="15.75" customHeight="1">
      <c r="A2637" s="28">
        <v>17690</v>
      </c>
      <c r="B2637" s="91">
        <v>44972.874409722222</v>
      </c>
      <c r="C2637" s="28" t="s">
        <v>10</v>
      </c>
      <c r="D2637" s="28" t="s">
        <v>985</v>
      </c>
      <c r="E2637" s="28"/>
      <c r="F2637" s="28">
        <v>28</v>
      </c>
      <c r="G2637" s="28" t="s">
        <v>143</v>
      </c>
      <c r="H2637" s="28">
        <v>0</v>
      </c>
      <c r="J2637" s="28"/>
    </row>
    <row r="2638" spans="1:10" ht="15.75" customHeight="1">
      <c r="A2638" s="28">
        <v>17689</v>
      </c>
      <c r="B2638" s="91">
        <v>44972.870532407411</v>
      </c>
      <c r="C2638" s="28" t="s">
        <v>10</v>
      </c>
      <c r="D2638" s="28" t="s">
        <v>1065</v>
      </c>
      <c r="E2638" s="28"/>
      <c r="F2638" s="28">
        <v>20</v>
      </c>
      <c r="G2638" s="28" t="s">
        <v>148</v>
      </c>
      <c r="H2638" s="28">
        <v>0</v>
      </c>
      <c r="J2638" s="28"/>
    </row>
    <row r="2639" spans="1:10" ht="15.75" customHeight="1">
      <c r="A2639" s="28">
        <v>17689</v>
      </c>
      <c r="B2639" s="91">
        <v>44972.870532407411</v>
      </c>
      <c r="C2639" s="28" t="s">
        <v>10</v>
      </c>
      <c r="D2639" s="28" t="s">
        <v>1065</v>
      </c>
      <c r="E2639" s="28"/>
      <c r="F2639" s="28">
        <v>28</v>
      </c>
      <c r="G2639" s="28" t="s">
        <v>143</v>
      </c>
      <c r="H2639" s="28">
        <v>0</v>
      </c>
      <c r="J2639" s="28"/>
    </row>
    <row r="2640" spans="1:10" ht="15.75" customHeight="1">
      <c r="A2640" s="28">
        <v>17688</v>
      </c>
      <c r="B2640" s="91">
        <v>44972.866886574076</v>
      </c>
      <c r="C2640" s="28" t="s">
        <v>10</v>
      </c>
      <c r="D2640" s="28" t="s">
        <v>1066</v>
      </c>
      <c r="E2640" s="28"/>
      <c r="F2640" s="28">
        <v>20</v>
      </c>
      <c r="G2640" s="28" t="s">
        <v>205</v>
      </c>
      <c r="H2640" s="28">
        <v>0</v>
      </c>
      <c r="J2640" s="28"/>
    </row>
    <row r="2641" spans="1:10" ht="15.75" customHeight="1">
      <c r="A2641" s="28">
        <v>17688</v>
      </c>
      <c r="B2641" s="91">
        <v>44972.866886574076</v>
      </c>
      <c r="C2641" s="28" t="s">
        <v>10</v>
      </c>
      <c r="D2641" s="28" t="s">
        <v>1066</v>
      </c>
      <c r="E2641" s="28"/>
      <c r="F2641" s="28">
        <v>0</v>
      </c>
      <c r="G2641" s="28" t="s">
        <v>125</v>
      </c>
      <c r="H2641" s="28">
        <v>0</v>
      </c>
      <c r="J2641" s="28"/>
    </row>
    <row r="2642" spans="1:10" ht="15.75" customHeight="1">
      <c r="A2642" s="28">
        <v>17686</v>
      </c>
      <c r="B2642" s="91">
        <v>44972.800081018519</v>
      </c>
      <c r="C2642" s="28" t="s">
        <v>53</v>
      </c>
      <c r="D2642" s="28" t="s">
        <v>1067</v>
      </c>
      <c r="E2642" s="28"/>
      <c r="F2642" s="28">
        <v>35</v>
      </c>
      <c r="G2642" s="28" t="s">
        <v>124</v>
      </c>
      <c r="H2642" s="28">
        <v>0</v>
      </c>
      <c r="J2642" s="28"/>
    </row>
    <row r="2643" spans="1:10" ht="15.75" customHeight="1">
      <c r="A2643" s="28">
        <v>17686</v>
      </c>
      <c r="B2643" s="91">
        <v>44972.800081018519</v>
      </c>
      <c r="C2643" s="28" t="s">
        <v>53</v>
      </c>
      <c r="D2643" s="28" t="s">
        <v>1067</v>
      </c>
      <c r="E2643" s="28"/>
      <c r="F2643" s="28">
        <v>0</v>
      </c>
      <c r="G2643" s="28" t="s">
        <v>125</v>
      </c>
      <c r="H2643" s="28">
        <v>0</v>
      </c>
      <c r="J2643" s="28"/>
    </row>
    <row r="2644" spans="1:10" ht="15.75" customHeight="1">
      <c r="A2644" s="28">
        <v>17686</v>
      </c>
      <c r="B2644" s="91">
        <v>44972.800081018519</v>
      </c>
      <c r="C2644" s="28" t="s">
        <v>53</v>
      </c>
      <c r="D2644" s="28" t="s">
        <v>1067</v>
      </c>
      <c r="E2644" s="28"/>
      <c r="F2644" s="28">
        <v>0</v>
      </c>
      <c r="G2644" s="28" t="s">
        <v>119</v>
      </c>
      <c r="H2644" s="28">
        <v>0</v>
      </c>
      <c r="J2644" s="28"/>
    </row>
    <row r="2645" spans="1:10" ht="15.75" customHeight="1">
      <c r="A2645" s="28">
        <v>17686</v>
      </c>
      <c r="B2645" s="91">
        <v>44972.800081018519</v>
      </c>
      <c r="C2645" s="28" t="s">
        <v>53</v>
      </c>
      <c r="D2645" s="28" t="s">
        <v>1067</v>
      </c>
      <c r="E2645" s="28"/>
      <c r="F2645" s="28">
        <v>0</v>
      </c>
      <c r="G2645" s="28" t="s">
        <v>121</v>
      </c>
      <c r="H2645" s="28">
        <v>0</v>
      </c>
      <c r="J2645" s="28"/>
    </row>
    <row r="2646" spans="1:10" ht="15.75" customHeight="1">
      <c r="A2646" s="28">
        <v>17685</v>
      </c>
      <c r="B2646" s="91">
        <v>44972.730567129634</v>
      </c>
      <c r="C2646" s="28" t="s">
        <v>10</v>
      </c>
      <c r="D2646" s="28" t="s">
        <v>727</v>
      </c>
      <c r="E2646" s="28"/>
      <c r="F2646" s="28">
        <v>20</v>
      </c>
      <c r="G2646" s="28" t="s">
        <v>148</v>
      </c>
      <c r="H2646" s="28">
        <v>0</v>
      </c>
      <c r="J2646" s="28"/>
    </row>
    <row r="2647" spans="1:10" ht="15.75" customHeight="1">
      <c r="A2647" s="28">
        <v>17684</v>
      </c>
      <c r="B2647" s="91">
        <v>44972.666620370372</v>
      </c>
      <c r="C2647" s="28" t="s">
        <v>10</v>
      </c>
      <c r="D2647" s="28" t="s">
        <v>1068</v>
      </c>
      <c r="E2647" s="28"/>
      <c r="F2647" s="28">
        <v>55</v>
      </c>
      <c r="G2647" s="28">
        <v>101684</v>
      </c>
      <c r="H2647" s="28">
        <v>0</v>
      </c>
      <c r="J2647" s="28"/>
    </row>
    <row r="2648" spans="1:10" ht="15.75" customHeight="1">
      <c r="A2648" s="28">
        <v>17684</v>
      </c>
      <c r="B2648" s="91">
        <v>44972.666620370372</v>
      </c>
      <c r="C2648" s="28" t="s">
        <v>10</v>
      </c>
      <c r="D2648" s="28" t="s">
        <v>1068</v>
      </c>
      <c r="E2648" s="28"/>
      <c r="F2648" s="28">
        <v>0</v>
      </c>
      <c r="G2648" s="28" t="s">
        <v>118</v>
      </c>
      <c r="H2648" s="28">
        <v>0</v>
      </c>
      <c r="J2648" s="28"/>
    </row>
    <row r="2649" spans="1:10" ht="15.75" customHeight="1">
      <c r="A2649" s="28">
        <v>17684</v>
      </c>
      <c r="B2649" s="91">
        <v>44972.666620370372</v>
      </c>
      <c r="C2649" s="28" t="s">
        <v>10</v>
      </c>
      <c r="D2649" s="28" t="s">
        <v>1068</v>
      </c>
      <c r="E2649" s="28"/>
      <c r="F2649" s="28">
        <v>0</v>
      </c>
      <c r="G2649" s="28" t="s">
        <v>119</v>
      </c>
      <c r="H2649" s="28">
        <v>0</v>
      </c>
      <c r="J2649" s="28"/>
    </row>
    <row r="2650" spans="1:10" ht="15.75" customHeight="1">
      <c r="A2650" s="28">
        <v>17684</v>
      </c>
      <c r="B2650" s="91">
        <v>44972.666620370372</v>
      </c>
      <c r="C2650" s="28" t="s">
        <v>10</v>
      </c>
      <c r="D2650" s="28" t="s">
        <v>1068</v>
      </c>
      <c r="E2650" s="28"/>
      <c r="F2650" s="28">
        <v>0</v>
      </c>
      <c r="G2650" s="28" t="s">
        <v>120</v>
      </c>
      <c r="H2650" s="28">
        <v>0</v>
      </c>
      <c r="J2650" s="28"/>
    </row>
    <row r="2651" spans="1:10" ht="15.75" customHeight="1">
      <c r="A2651" s="28">
        <v>17684</v>
      </c>
      <c r="B2651" s="91">
        <v>44972.666620370372</v>
      </c>
      <c r="C2651" s="28" t="s">
        <v>10</v>
      </c>
      <c r="D2651" s="28" t="s">
        <v>1068</v>
      </c>
      <c r="E2651" s="28"/>
      <c r="F2651" s="28">
        <v>0</v>
      </c>
      <c r="G2651" s="28" t="s">
        <v>121</v>
      </c>
      <c r="H2651" s="28">
        <v>0</v>
      </c>
      <c r="J2651" s="28"/>
    </row>
    <row r="2652" spans="1:10" ht="15.75" customHeight="1">
      <c r="A2652" s="28">
        <v>17683</v>
      </c>
      <c r="B2652" s="91">
        <v>44972.666203703702</v>
      </c>
      <c r="C2652" s="28" t="s">
        <v>10</v>
      </c>
      <c r="D2652" s="28" t="s">
        <v>709</v>
      </c>
      <c r="E2652" s="28"/>
      <c r="F2652" s="28">
        <v>15</v>
      </c>
      <c r="G2652" s="28" t="s">
        <v>125</v>
      </c>
      <c r="H2652" s="28">
        <v>0</v>
      </c>
      <c r="J2652" s="28"/>
    </row>
    <row r="2653" spans="1:10" ht="15.75" customHeight="1">
      <c r="A2653" s="28">
        <v>17680</v>
      </c>
      <c r="B2653" s="91">
        <v>44972.576782407406</v>
      </c>
      <c r="C2653" s="28" t="s">
        <v>10</v>
      </c>
      <c r="D2653" s="28" t="s">
        <v>1069</v>
      </c>
      <c r="E2653" s="28"/>
      <c r="F2653" s="28">
        <v>25</v>
      </c>
      <c r="G2653" s="28">
        <v>100692</v>
      </c>
      <c r="H2653" s="28">
        <v>0</v>
      </c>
      <c r="J2653" s="28"/>
    </row>
    <row r="2654" spans="1:10" ht="15.75" customHeight="1">
      <c r="A2654" s="28">
        <v>17680</v>
      </c>
      <c r="B2654" s="91">
        <v>44972.576782407406</v>
      </c>
      <c r="C2654" s="28" t="s">
        <v>10</v>
      </c>
      <c r="D2654" s="28" t="s">
        <v>1069</v>
      </c>
      <c r="E2654" s="28"/>
      <c r="F2654" s="28">
        <v>0</v>
      </c>
      <c r="G2654" s="28" t="s">
        <v>125</v>
      </c>
      <c r="H2654" s="28">
        <v>0</v>
      </c>
      <c r="J2654" s="28"/>
    </row>
    <row r="2655" spans="1:10" ht="15.75" customHeight="1">
      <c r="A2655" s="28">
        <v>17680</v>
      </c>
      <c r="B2655" s="91">
        <v>44972.576782407406</v>
      </c>
      <c r="C2655" s="28" t="s">
        <v>10</v>
      </c>
      <c r="D2655" s="28" t="s">
        <v>1069</v>
      </c>
      <c r="E2655" s="28"/>
      <c r="F2655" s="28">
        <v>0</v>
      </c>
      <c r="G2655" s="28" t="s">
        <v>119</v>
      </c>
      <c r="H2655" s="28">
        <v>0</v>
      </c>
      <c r="J2655" s="28"/>
    </row>
    <row r="2656" spans="1:10" ht="15.75" customHeight="1">
      <c r="A2656" s="28">
        <v>17679</v>
      </c>
      <c r="B2656" s="91">
        <v>44972.565474537041</v>
      </c>
      <c r="C2656" s="28" t="s">
        <v>10</v>
      </c>
      <c r="D2656" s="28" t="s">
        <v>1070</v>
      </c>
      <c r="E2656" s="28"/>
      <c r="F2656" s="28">
        <v>15</v>
      </c>
      <c r="G2656" s="28" t="s">
        <v>125</v>
      </c>
      <c r="H2656" s="28">
        <v>0</v>
      </c>
      <c r="J2656" s="28"/>
    </row>
    <row r="2657" spans="1:10" ht="15.75" customHeight="1">
      <c r="A2657" s="28">
        <v>17678</v>
      </c>
      <c r="B2657" s="91">
        <v>44972.55868055555</v>
      </c>
      <c r="C2657" s="28" t="s">
        <v>10</v>
      </c>
      <c r="D2657" s="28" t="s">
        <v>1071</v>
      </c>
      <c r="E2657" s="28"/>
      <c r="F2657" s="28">
        <v>25</v>
      </c>
      <c r="G2657" s="28">
        <v>100692</v>
      </c>
      <c r="H2657" s="28">
        <v>0</v>
      </c>
      <c r="J2657" s="28"/>
    </row>
    <row r="2658" spans="1:10" ht="15.75" customHeight="1">
      <c r="A2658" s="28">
        <v>17678</v>
      </c>
      <c r="B2658" s="91">
        <v>44972.55868055555</v>
      </c>
      <c r="C2658" s="28" t="s">
        <v>10</v>
      </c>
      <c r="D2658" s="28" t="s">
        <v>1071</v>
      </c>
      <c r="E2658" s="28"/>
      <c r="F2658" s="28">
        <v>0</v>
      </c>
      <c r="G2658" s="28" t="s">
        <v>125</v>
      </c>
      <c r="H2658" s="28">
        <v>0</v>
      </c>
      <c r="J2658" s="28"/>
    </row>
    <row r="2659" spans="1:10" ht="15.75" customHeight="1">
      <c r="A2659" s="28">
        <v>17678</v>
      </c>
      <c r="B2659" s="91">
        <v>44972.55868055555</v>
      </c>
      <c r="C2659" s="28" t="s">
        <v>10</v>
      </c>
      <c r="D2659" s="28" t="s">
        <v>1071</v>
      </c>
      <c r="E2659" s="28"/>
      <c r="F2659" s="28">
        <v>0</v>
      </c>
      <c r="G2659" s="28" t="s">
        <v>119</v>
      </c>
      <c r="H2659" s="28">
        <v>0</v>
      </c>
      <c r="J2659" s="28"/>
    </row>
    <row r="2660" spans="1:10" ht="15.75" customHeight="1">
      <c r="A2660" s="28">
        <v>17678</v>
      </c>
      <c r="B2660" s="91">
        <v>44972.55868055555</v>
      </c>
      <c r="C2660" s="28" t="s">
        <v>10</v>
      </c>
      <c r="D2660" s="28" t="s">
        <v>1071</v>
      </c>
      <c r="E2660" s="28"/>
      <c r="F2660" s="28">
        <v>15</v>
      </c>
      <c r="G2660" s="28" t="s">
        <v>139</v>
      </c>
      <c r="H2660" s="28">
        <v>0</v>
      </c>
      <c r="J2660" s="28"/>
    </row>
    <row r="2661" spans="1:10" ht="15.75" customHeight="1">
      <c r="A2661" s="28">
        <v>17676</v>
      </c>
      <c r="B2661" s="91">
        <v>44972.149664351848</v>
      </c>
      <c r="C2661" s="28" t="s">
        <v>10</v>
      </c>
      <c r="D2661" s="28" t="s">
        <v>809</v>
      </c>
      <c r="E2661" s="28"/>
      <c r="F2661" s="28">
        <v>20</v>
      </c>
      <c r="G2661" s="28" t="s">
        <v>121</v>
      </c>
      <c r="H2661" s="28">
        <v>0</v>
      </c>
      <c r="J2661" s="28"/>
    </row>
    <row r="2662" spans="1:10" ht="15.75" customHeight="1">
      <c r="A2662" s="28">
        <v>17676</v>
      </c>
      <c r="B2662" s="91">
        <v>44972.149664351848</v>
      </c>
      <c r="C2662" s="28" t="s">
        <v>10</v>
      </c>
      <c r="D2662" s="28" t="s">
        <v>809</v>
      </c>
      <c r="E2662" s="28"/>
      <c r="F2662" s="28">
        <v>18</v>
      </c>
      <c r="G2662" s="28" t="s">
        <v>119</v>
      </c>
      <c r="H2662" s="28">
        <v>0</v>
      </c>
      <c r="J2662" s="28"/>
    </row>
    <row r="2663" spans="1:10" ht="15.75" customHeight="1">
      <c r="A2663" s="28">
        <v>17674</v>
      </c>
      <c r="B2663" s="91">
        <v>44971.078946759255</v>
      </c>
      <c r="C2663" s="28" t="s">
        <v>10</v>
      </c>
      <c r="D2663" s="28" t="s">
        <v>683</v>
      </c>
      <c r="E2663" s="28"/>
      <c r="F2663" s="28">
        <v>15</v>
      </c>
      <c r="G2663" s="28" t="s">
        <v>170</v>
      </c>
      <c r="H2663" s="28">
        <v>0</v>
      </c>
      <c r="J2663" s="28"/>
    </row>
    <row r="2664" spans="1:10" ht="15.75" customHeight="1">
      <c r="A2664" s="28">
        <v>17674</v>
      </c>
      <c r="B2664" s="91">
        <v>44971.078946759255</v>
      </c>
      <c r="C2664" s="28" t="s">
        <v>10</v>
      </c>
      <c r="D2664" s="28" t="s">
        <v>683</v>
      </c>
      <c r="E2664" s="28"/>
      <c r="F2664" s="28">
        <v>15</v>
      </c>
      <c r="G2664" s="28" t="s">
        <v>125</v>
      </c>
      <c r="H2664" s="28">
        <v>0</v>
      </c>
      <c r="J2664" s="28"/>
    </row>
    <row r="2665" spans="1:10" ht="15.75" customHeight="1">
      <c r="A2665" s="28">
        <v>17673</v>
      </c>
      <c r="B2665" s="91">
        <v>44970.905405092592</v>
      </c>
      <c r="C2665" s="28" t="s">
        <v>10</v>
      </c>
      <c r="D2665" s="28" t="s">
        <v>1072</v>
      </c>
      <c r="E2665" s="28"/>
      <c r="F2665" s="28">
        <v>10</v>
      </c>
      <c r="G2665" s="28" t="s">
        <v>286</v>
      </c>
      <c r="H2665" s="28">
        <v>0</v>
      </c>
      <c r="J2665" s="28"/>
    </row>
    <row r="2666" spans="1:10" ht="15.75" customHeight="1">
      <c r="A2666" s="28">
        <v>17673</v>
      </c>
      <c r="B2666" s="91">
        <v>44970.905405092592</v>
      </c>
      <c r="C2666" s="28" t="s">
        <v>10</v>
      </c>
      <c r="D2666" s="28" t="s">
        <v>1072</v>
      </c>
      <c r="E2666" s="28"/>
      <c r="F2666" s="28">
        <v>15</v>
      </c>
      <c r="G2666" s="28" t="s">
        <v>139</v>
      </c>
      <c r="H2666" s="28">
        <v>0</v>
      </c>
      <c r="J2666" s="28"/>
    </row>
    <row r="2667" spans="1:10" ht="15.75" customHeight="1">
      <c r="A2667" s="28">
        <v>17673</v>
      </c>
      <c r="B2667" s="91">
        <v>44970.905405092592</v>
      </c>
      <c r="C2667" s="28" t="s">
        <v>10</v>
      </c>
      <c r="D2667" s="28" t="s">
        <v>1072</v>
      </c>
      <c r="E2667" s="28"/>
      <c r="F2667" s="28">
        <v>18</v>
      </c>
      <c r="G2667" s="28" t="s">
        <v>119</v>
      </c>
      <c r="H2667" s="28">
        <v>0</v>
      </c>
      <c r="J2667" s="28"/>
    </row>
    <row r="2668" spans="1:10" ht="15.75" customHeight="1">
      <c r="A2668" s="28">
        <v>17592</v>
      </c>
      <c r="B2668" s="91">
        <v>44950.769895833335</v>
      </c>
      <c r="C2668" s="28" t="s">
        <v>10</v>
      </c>
      <c r="D2668" s="28" t="s">
        <v>1073</v>
      </c>
      <c r="E2668" s="28"/>
      <c r="F2668" s="28">
        <v>13.5</v>
      </c>
      <c r="G2668" s="28" t="s">
        <v>125</v>
      </c>
      <c r="H2668" s="28">
        <v>0</v>
      </c>
      <c r="J2668" s="28"/>
    </row>
    <row r="2669" spans="1:10" ht="15.75" customHeight="1">
      <c r="A2669" s="28">
        <v>17591</v>
      </c>
      <c r="B2669" s="91">
        <v>44950.609513888892</v>
      </c>
      <c r="C2669" s="28" t="s">
        <v>10</v>
      </c>
      <c r="D2669" s="28" t="s">
        <v>1074</v>
      </c>
      <c r="E2669" s="28"/>
      <c r="F2669" s="28">
        <v>15</v>
      </c>
      <c r="G2669" s="28" t="s">
        <v>125</v>
      </c>
      <c r="H2669" s="28">
        <v>0</v>
      </c>
      <c r="J2669" s="28"/>
    </row>
    <row r="2670" spans="1:10" ht="15.75" customHeight="1">
      <c r="A2670" s="28">
        <v>17591</v>
      </c>
      <c r="B2670" s="91">
        <v>44950.609513888892</v>
      </c>
      <c r="C2670" s="28" t="s">
        <v>10</v>
      </c>
      <c r="D2670" s="28" t="s">
        <v>1074</v>
      </c>
      <c r="E2670" s="28"/>
      <c r="F2670" s="28">
        <v>15</v>
      </c>
      <c r="G2670" s="28" t="s">
        <v>170</v>
      </c>
      <c r="H2670" s="28">
        <v>0</v>
      </c>
      <c r="J2670" s="28"/>
    </row>
    <row r="2671" spans="1:10" ht="15.75" customHeight="1">
      <c r="A2671" s="28">
        <v>17549</v>
      </c>
      <c r="B2671" s="91">
        <v>44948.041076388894</v>
      </c>
      <c r="C2671" s="28" t="s">
        <v>10</v>
      </c>
      <c r="D2671" s="28" t="s">
        <v>1075</v>
      </c>
      <c r="E2671" s="28"/>
      <c r="F2671" s="28">
        <v>35</v>
      </c>
      <c r="G2671" s="28" t="s">
        <v>124</v>
      </c>
      <c r="H2671" s="28">
        <v>0</v>
      </c>
      <c r="J2671" s="28"/>
    </row>
    <row r="2672" spans="1:10" ht="15.75" customHeight="1">
      <c r="A2672" s="28">
        <v>17549</v>
      </c>
      <c r="B2672" s="91">
        <v>44948.041076388894</v>
      </c>
      <c r="C2672" s="28" t="s">
        <v>10</v>
      </c>
      <c r="D2672" s="28" t="s">
        <v>1075</v>
      </c>
      <c r="E2672" s="28"/>
      <c r="F2672" s="28">
        <v>0</v>
      </c>
      <c r="G2672" s="28" t="s">
        <v>125</v>
      </c>
      <c r="H2672" s="28">
        <v>0</v>
      </c>
      <c r="J2672" s="28"/>
    </row>
    <row r="2673" spans="1:10" ht="15.75" customHeight="1">
      <c r="A2673" s="28">
        <v>17549</v>
      </c>
      <c r="B2673" s="91">
        <v>44948.041076388894</v>
      </c>
      <c r="C2673" s="28" t="s">
        <v>10</v>
      </c>
      <c r="D2673" s="28" t="s">
        <v>1075</v>
      </c>
      <c r="E2673" s="28"/>
      <c r="F2673" s="28">
        <v>0</v>
      </c>
      <c r="G2673" s="28" t="s">
        <v>119</v>
      </c>
      <c r="H2673" s="28">
        <v>0</v>
      </c>
      <c r="J2673" s="28"/>
    </row>
    <row r="2674" spans="1:10" ht="15.75" customHeight="1">
      <c r="A2674" s="28">
        <v>17549</v>
      </c>
      <c r="B2674" s="91">
        <v>44948.041076388894</v>
      </c>
      <c r="C2674" s="28" t="s">
        <v>10</v>
      </c>
      <c r="D2674" s="28" t="s">
        <v>1075</v>
      </c>
      <c r="E2674" s="28"/>
      <c r="F2674" s="28">
        <v>0</v>
      </c>
      <c r="G2674" s="28" t="s">
        <v>121</v>
      </c>
      <c r="H2674" s="28">
        <v>0</v>
      </c>
      <c r="J2674" s="28"/>
    </row>
    <row r="2675" spans="1:10" ht="15.75" customHeight="1">
      <c r="A2675" s="28">
        <v>17540</v>
      </c>
      <c r="B2675" s="91">
        <v>44944.732719907406</v>
      </c>
      <c r="C2675" s="28" t="s">
        <v>10</v>
      </c>
      <c r="D2675" s="28" t="s">
        <v>1076</v>
      </c>
      <c r="E2675" s="28"/>
      <c r="F2675" s="28">
        <v>0</v>
      </c>
      <c r="G2675" s="28" t="s">
        <v>125</v>
      </c>
      <c r="H2675" s="28">
        <v>0</v>
      </c>
      <c r="J2675" s="28"/>
    </row>
    <row r="2676" spans="1:10" ht="15.75" customHeight="1">
      <c r="A2676" s="28">
        <v>17540</v>
      </c>
      <c r="B2676" s="91">
        <v>44944.732719907406</v>
      </c>
      <c r="C2676" s="28" t="s">
        <v>10</v>
      </c>
      <c r="D2676" s="28" t="s">
        <v>1076</v>
      </c>
      <c r="E2676" s="28"/>
      <c r="F2676" s="28">
        <v>0</v>
      </c>
      <c r="G2676" s="28" t="s">
        <v>139</v>
      </c>
      <c r="H2676" s="28">
        <v>0</v>
      </c>
      <c r="J2676" s="28"/>
    </row>
    <row r="2677" spans="1:10" ht="15.75" customHeight="1">
      <c r="A2677" s="28">
        <v>17539</v>
      </c>
      <c r="B2677" s="91">
        <v>44943.932534722218</v>
      </c>
      <c r="C2677" s="28" t="s">
        <v>10</v>
      </c>
      <c r="D2677" s="28" t="s">
        <v>1077</v>
      </c>
      <c r="E2677" s="28"/>
      <c r="F2677" s="28">
        <v>24</v>
      </c>
      <c r="G2677" s="28" t="s">
        <v>122</v>
      </c>
      <c r="H2677" s="28">
        <v>0</v>
      </c>
      <c r="J2677" s="28"/>
    </row>
    <row r="2678" spans="1:10" ht="15.75" customHeight="1">
      <c r="A2678" s="28">
        <v>17539</v>
      </c>
      <c r="B2678" s="91">
        <v>44943.932534722218</v>
      </c>
      <c r="C2678" s="28" t="s">
        <v>10</v>
      </c>
      <c r="D2678" s="28" t="s">
        <v>1077</v>
      </c>
      <c r="E2678" s="28"/>
      <c r="F2678" s="28">
        <v>25</v>
      </c>
      <c r="G2678" s="28">
        <v>100692</v>
      </c>
      <c r="H2678" s="28">
        <v>0</v>
      </c>
      <c r="J2678" s="28"/>
    </row>
    <row r="2679" spans="1:10" ht="15.75" customHeight="1">
      <c r="A2679" s="28">
        <v>17539</v>
      </c>
      <c r="B2679" s="91">
        <v>44943.932534722218</v>
      </c>
      <c r="C2679" s="28" t="s">
        <v>10</v>
      </c>
      <c r="D2679" s="28" t="s">
        <v>1077</v>
      </c>
      <c r="E2679" s="28"/>
      <c r="F2679" s="28">
        <v>0</v>
      </c>
      <c r="G2679" s="28" t="s">
        <v>125</v>
      </c>
      <c r="H2679" s="28">
        <v>0</v>
      </c>
      <c r="J2679" s="28"/>
    </row>
    <row r="2680" spans="1:10" ht="15.75" customHeight="1">
      <c r="A2680" s="28">
        <v>17539</v>
      </c>
      <c r="B2680" s="91">
        <v>44943.932534722218</v>
      </c>
      <c r="C2680" s="28" t="s">
        <v>10</v>
      </c>
      <c r="D2680" s="28" t="s">
        <v>1077</v>
      </c>
      <c r="E2680" s="28"/>
      <c r="F2680" s="28">
        <v>0</v>
      </c>
      <c r="G2680" s="28" t="s">
        <v>119</v>
      </c>
      <c r="H2680" s="28">
        <v>0</v>
      </c>
      <c r="J2680" s="28"/>
    </row>
    <row r="2681" spans="1:10" ht="15.75" customHeight="1">
      <c r="A2681" s="28">
        <v>17538</v>
      </c>
      <c r="B2681" s="91">
        <v>44943.878460648149</v>
      </c>
      <c r="C2681" s="28" t="s">
        <v>10</v>
      </c>
      <c r="D2681" s="28" t="s">
        <v>1078</v>
      </c>
      <c r="E2681" s="28"/>
      <c r="F2681" s="28">
        <v>25</v>
      </c>
      <c r="G2681" s="28">
        <v>100692</v>
      </c>
      <c r="H2681" s="28">
        <v>0</v>
      </c>
      <c r="J2681" s="28"/>
    </row>
    <row r="2682" spans="1:10" ht="15.75" customHeight="1">
      <c r="A2682" s="28">
        <v>17538</v>
      </c>
      <c r="B2682" s="91">
        <v>44943.878460648149</v>
      </c>
      <c r="C2682" s="28" t="s">
        <v>10</v>
      </c>
      <c r="D2682" s="28" t="s">
        <v>1078</v>
      </c>
      <c r="E2682" s="28"/>
      <c r="F2682" s="28">
        <v>0</v>
      </c>
      <c r="G2682" s="28" t="s">
        <v>125</v>
      </c>
      <c r="H2682" s="28">
        <v>0</v>
      </c>
      <c r="J2682" s="28"/>
    </row>
    <row r="2683" spans="1:10" ht="15.75" customHeight="1">
      <c r="A2683" s="28">
        <v>17538</v>
      </c>
      <c r="B2683" s="91">
        <v>44943.878460648149</v>
      </c>
      <c r="C2683" s="28" t="s">
        <v>10</v>
      </c>
      <c r="D2683" s="28" t="s">
        <v>1078</v>
      </c>
      <c r="E2683" s="28"/>
      <c r="F2683" s="28">
        <v>0</v>
      </c>
      <c r="G2683" s="28" t="s">
        <v>119</v>
      </c>
      <c r="H2683" s="28">
        <v>0</v>
      </c>
      <c r="J2683" s="28"/>
    </row>
    <row r="2684" spans="1:10" ht="15.75" customHeight="1">
      <c r="A2684" s="28">
        <v>17536</v>
      </c>
      <c r="B2684" s="91">
        <v>44942.691111111111</v>
      </c>
      <c r="C2684" s="28" t="s">
        <v>10</v>
      </c>
      <c r="D2684" s="28" t="s">
        <v>1079</v>
      </c>
      <c r="E2684" s="28"/>
      <c r="F2684" s="28">
        <v>24</v>
      </c>
      <c r="G2684" s="28" t="s">
        <v>122</v>
      </c>
      <c r="H2684" s="28">
        <v>0</v>
      </c>
      <c r="J2684" s="28"/>
    </row>
    <row r="2685" spans="1:10" ht="15.75" customHeight="1">
      <c r="A2685" s="28">
        <v>17536</v>
      </c>
      <c r="B2685" s="91">
        <v>44942.691111111111</v>
      </c>
      <c r="C2685" s="28" t="s">
        <v>10</v>
      </c>
      <c r="D2685" s="28" t="s">
        <v>1079</v>
      </c>
      <c r="E2685" s="28"/>
      <c r="F2685" s="28">
        <v>24</v>
      </c>
      <c r="G2685" s="28" t="s">
        <v>122</v>
      </c>
      <c r="H2685" s="28">
        <v>0</v>
      </c>
      <c r="J2685" s="28"/>
    </row>
    <row r="2686" spans="1:10" ht="15.75" customHeight="1">
      <c r="A2686" s="28">
        <v>17533</v>
      </c>
      <c r="B2686" s="91">
        <v>44941.950972222221</v>
      </c>
      <c r="C2686" s="28" t="s">
        <v>10</v>
      </c>
      <c r="D2686" s="28" t="s">
        <v>1080</v>
      </c>
      <c r="E2686" s="28"/>
      <c r="F2686" s="28">
        <v>28</v>
      </c>
      <c r="G2686" s="28" t="s">
        <v>143</v>
      </c>
      <c r="H2686" s="28">
        <v>0</v>
      </c>
      <c r="J2686" s="28"/>
    </row>
    <row r="2687" spans="1:10" ht="15.75" customHeight="1">
      <c r="A2687" s="28">
        <v>17533</v>
      </c>
      <c r="B2687" s="91">
        <v>44941.950972222221</v>
      </c>
      <c r="C2687" s="28" t="s">
        <v>10</v>
      </c>
      <c r="D2687" s="28" t="s">
        <v>1080</v>
      </c>
      <c r="E2687" s="28"/>
      <c r="F2687" s="28">
        <v>55</v>
      </c>
      <c r="G2687" s="28">
        <v>101684</v>
      </c>
      <c r="H2687" s="28">
        <v>0</v>
      </c>
      <c r="J2687" s="28"/>
    </row>
    <row r="2688" spans="1:10" ht="15.75" customHeight="1">
      <c r="A2688" s="28">
        <v>17533</v>
      </c>
      <c r="B2688" s="91">
        <v>44941.950972222221</v>
      </c>
      <c r="C2688" s="28" t="s">
        <v>10</v>
      </c>
      <c r="D2688" s="28" t="s">
        <v>1080</v>
      </c>
      <c r="E2688" s="28"/>
      <c r="F2688" s="28">
        <v>0</v>
      </c>
      <c r="G2688" s="28" t="s">
        <v>118</v>
      </c>
      <c r="H2688" s="28">
        <v>0</v>
      </c>
      <c r="J2688" s="28"/>
    </row>
    <row r="2689" spans="1:10" ht="15.75" customHeight="1">
      <c r="A2689" s="28">
        <v>17533</v>
      </c>
      <c r="B2689" s="91">
        <v>44941.950972222221</v>
      </c>
      <c r="C2689" s="28" t="s">
        <v>10</v>
      </c>
      <c r="D2689" s="28" t="s">
        <v>1080</v>
      </c>
      <c r="E2689" s="28"/>
      <c r="F2689" s="28">
        <v>0</v>
      </c>
      <c r="G2689" s="28" t="s">
        <v>119</v>
      </c>
      <c r="H2689" s="28">
        <v>0</v>
      </c>
      <c r="J2689" s="28"/>
    </row>
    <row r="2690" spans="1:10" ht="15.75" customHeight="1">
      <c r="A2690" s="28">
        <v>17533</v>
      </c>
      <c r="B2690" s="91">
        <v>44941.950972222221</v>
      </c>
      <c r="C2690" s="28" t="s">
        <v>10</v>
      </c>
      <c r="D2690" s="28" t="s">
        <v>1080</v>
      </c>
      <c r="E2690" s="28"/>
      <c r="F2690" s="28">
        <v>0</v>
      </c>
      <c r="G2690" s="28" t="s">
        <v>120</v>
      </c>
      <c r="H2690" s="28">
        <v>0</v>
      </c>
      <c r="J2690" s="28"/>
    </row>
    <row r="2691" spans="1:10" ht="15.75" customHeight="1">
      <c r="A2691" s="28">
        <v>17533</v>
      </c>
      <c r="B2691" s="91">
        <v>44941.950972222221</v>
      </c>
      <c r="C2691" s="28" t="s">
        <v>10</v>
      </c>
      <c r="D2691" s="28" t="s">
        <v>1080</v>
      </c>
      <c r="E2691" s="28"/>
      <c r="F2691" s="28">
        <v>0</v>
      </c>
      <c r="G2691" s="28" t="s">
        <v>121</v>
      </c>
      <c r="H2691" s="28">
        <v>0</v>
      </c>
      <c r="J2691" s="28"/>
    </row>
    <row r="2692" spans="1:10" ht="15.75" customHeight="1">
      <c r="A2692" s="28">
        <v>17532</v>
      </c>
      <c r="B2692" s="91">
        <v>44940.561828703707</v>
      </c>
      <c r="C2692" s="28" t="s">
        <v>10</v>
      </c>
      <c r="D2692" s="28" t="s">
        <v>1081</v>
      </c>
      <c r="E2692" s="28"/>
      <c r="F2692" s="28">
        <v>20</v>
      </c>
      <c r="G2692" s="28" t="s">
        <v>148</v>
      </c>
      <c r="H2692" s="28">
        <v>0</v>
      </c>
      <c r="J2692" s="28"/>
    </row>
    <row r="2693" spans="1:10" ht="15.75" customHeight="1">
      <c r="A2693" s="28">
        <v>17446</v>
      </c>
      <c r="B2693" s="91">
        <v>44936.161041666666</v>
      </c>
      <c r="C2693" s="28" t="s">
        <v>10</v>
      </c>
      <c r="D2693" s="28" t="s">
        <v>1082</v>
      </c>
      <c r="E2693" s="28"/>
      <c r="F2693" s="28">
        <v>35</v>
      </c>
      <c r="G2693" s="28" t="s">
        <v>124</v>
      </c>
      <c r="H2693" s="28">
        <v>0</v>
      </c>
      <c r="J2693" s="28"/>
    </row>
    <row r="2694" spans="1:10" ht="15.75" customHeight="1">
      <c r="A2694" s="28">
        <v>17446</v>
      </c>
      <c r="B2694" s="91">
        <v>44936.161041666666</v>
      </c>
      <c r="C2694" s="28" t="s">
        <v>10</v>
      </c>
      <c r="D2694" s="28" t="s">
        <v>1082</v>
      </c>
      <c r="E2694" s="28"/>
      <c r="F2694" s="28">
        <v>0</v>
      </c>
      <c r="G2694" s="28" t="s">
        <v>125</v>
      </c>
      <c r="H2694" s="28">
        <v>0</v>
      </c>
      <c r="J2694" s="28"/>
    </row>
    <row r="2695" spans="1:10" ht="15.75" customHeight="1">
      <c r="A2695" s="28">
        <v>17446</v>
      </c>
      <c r="B2695" s="91">
        <v>44936.161041666666</v>
      </c>
      <c r="C2695" s="28" t="s">
        <v>10</v>
      </c>
      <c r="D2695" s="28" t="s">
        <v>1082</v>
      </c>
      <c r="E2695" s="28"/>
      <c r="F2695" s="28">
        <v>0</v>
      </c>
      <c r="G2695" s="28" t="s">
        <v>119</v>
      </c>
      <c r="H2695" s="28">
        <v>0</v>
      </c>
      <c r="J2695" s="28"/>
    </row>
    <row r="2696" spans="1:10" ht="15.75" customHeight="1">
      <c r="A2696" s="28">
        <v>17446</v>
      </c>
      <c r="B2696" s="91">
        <v>44936.161041666666</v>
      </c>
      <c r="C2696" s="28" t="s">
        <v>10</v>
      </c>
      <c r="D2696" s="28" t="s">
        <v>1082</v>
      </c>
      <c r="E2696" s="28"/>
      <c r="F2696" s="28">
        <v>0</v>
      </c>
      <c r="G2696" s="28" t="s">
        <v>121</v>
      </c>
      <c r="H2696" s="28">
        <v>0</v>
      </c>
      <c r="J2696" s="28"/>
    </row>
    <row r="2697" spans="1:10" ht="15.75" customHeight="1">
      <c r="A2697" s="28">
        <v>17446</v>
      </c>
      <c r="B2697" s="91">
        <v>44936.161041666666</v>
      </c>
      <c r="C2697" s="28" t="s">
        <v>10</v>
      </c>
      <c r="D2697" s="28" t="s">
        <v>1082</v>
      </c>
      <c r="E2697" s="28"/>
      <c r="F2697" s="28">
        <v>25</v>
      </c>
      <c r="G2697" s="28" t="s">
        <v>118</v>
      </c>
      <c r="H2697" s="28">
        <v>0</v>
      </c>
      <c r="J2697" s="28"/>
    </row>
    <row r="2698" spans="1:10" ht="15.75" customHeight="1">
      <c r="A2698" s="28">
        <v>17428</v>
      </c>
      <c r="B2698" s="91">
        <v>44934.852476851855</v>
      </c>
      <c r="C2698" s="28" t="s">
        <v>10</v>
      </c>
      <c r="D2698" s="28" t="s">
        <v>1083</v>
      </c>
      <c r="E2698" s="28"/>
      <c r="F2698" s="28">
        <v>15</v>
      </c>
      <c r="G2698" s="28" t="s">
        <v>139</v>
      </c>
      <c r="H2698" s="28">
        <v>0</v>
      </c>
      <c r="J2698" s="28"/>
    </row>
    <row r="2699" spans="1:10" ht="15.75" customHeight="1">
      <c r="A2699" s="28">
        <v>17428</v>
      </c>
      <c r="B2699" s="91">
        <v>44934.852476851855</v>
      </c>
      <c r="C2699" s="28" t="s">
        <v>10</v>
      </c>
      <c r="D2699" s="28" t="s">
        <v>1083</v>
      </c>
      <c r="E2699" s="28"/>
      <c r="F2699" s="28">
        <v>24</v>
      </c>
      <c r="G2699" s="28" t="s">
        <v>122</v>
      </c>
      <c r="H2699" s="28">
        <v>0</v>
      </c>
      <c r="J2699" s="28"/>
    </row>
    <row r="2700" spans="1:10" ht="15.75" customHeight="1">
      <c r="A2700" s="28">
        <v>17192</v>
      </c>
      <c r="B2700" s="91">
        <v>44927.631331018521</v>
      </c>
      <c r="C2700" s="28" t="s">
        <v>10</v>
      </c>
      <c r="D2700" s="28" t="s">
        <v>1084</v>
      </c>
      <c r="E2700" s="28"/>
      <c r="F2700" s="28">
        <v>20</v>
      </c>
      <c r="G2700" s="28" t="s">
        <v>148</v>
      </c>
      <c r="H2700" s="28">
        <v>0</v>
      </c>
      <c r="J2700" s="28"/>
    </row>
    <row r="2701" spans="1:10" ht="15.75" customHeight="1">
      <c r="A2701" s="28">
        <v>17189</v>
      </c>
      <c r="B2701" s="91">
        <v>44923.03424768518</v>
      </c>
      <c r="C2701" s="28" t="s">
        <v>10</v>
      </c>
      <c r="D2701" s="28" t="s">
        <v>1085</v>
      </c>
      <c r="E2701" s="28"/>
      <c r="F2701" s="28">
        <v>24</v>
      </c>
      <c r="G2701" s="28" t="s">
        <v>122</v>
      </c>
      <c r="H2701" s="28">
        <v>0</v>
      </c>
      <c r="J2701" s="28"/>
    </row>
    <row r="2702" spans="1:10" ht="15.75" customHeight="1">
      <c r="A2702" s="28">
        <v>17189</v>
      </c>
      <c r="B2702" s="91">
        <v>44923.03424768518</v>
      </c>
      <c r="C2702" s="28" t="s">
        <v>10</v>
      </c>
      <c r="D2702" s="28" t="s">
        <v>1085</v>
      </c>
      <c r="E2702" s="28"/>
      <c r="F2702" s="28">
        <v>15</v>
      </c>
      <c r="G2702" s="28" t="s">
        <v>139</v>
      </c>
      <c r="H2702" s="28">
        <v>0</v>
      </c>
      <c r="J2702" s="28"/>
    </row>
    <row r="2703" spans="1:10" ht="15.75" customHeight="1">
      <c r="A2703" s="28">
        <v>17189</v>
      </c>
      <c r="B2703" s="91">
        <v>44923.03424768518</v>
      </c>
      <c r="C2703" s="28" t="s">
        <v>10</v>
      </c>
      <c r="D2703" s="28" t="s">
        <v>1085</v>
      </c>
      <c r="E2703" s="28"/>
      <c r="F2703" s="28">
        <v>25</v>
      </c>
      <c r="G2703" s="28">
        <v>100692</v>
      </c>
      <c r="H2703" s="28">
        <v>0</v>
      </c>
      <c r="J2703" s="28"/>
    </row>
    <row r="2704" spans="1:10" ht="15.75" customHeight="1">
      <c r="A2704" s="28">
        <v>17189</v>
      </c>
      <c r="B2704" s="91">
        <v>44923.03424768518</v>
      </c>
      <c r="C2704" s="28" t="s">
        <v>10</v>
      </c>
      <c r="D2704" s="28" t="s">
        <v>1085</v>
      </c>
      <c r="E2704" s="28"/>
      <c r="F2704" s="28">
        <v>0</v>
      </c>
      <c r="G2704" s="28" t="s">
        <v>125</v>
      </c>
      <c r="H2704" s="28">
        <v>0</v>
      </c>
      <c r="J2704" s="28"/>
    </row>
    <row r="2705" spans="1:10" ht="15.75" customHeight="1">
      <c r="A2705" s="28">
        <v>17189</v>
      </c>
      <c r="B2705" s="91">
        <v>44923.03424768518</v>
      </c>
      <c r="C2705" s="28" t="s">
        <v>10</v>
      </c>
      <c r="D2705" s="28" t="s">
        <v>1085</v>
      </c>
      <c r="E2705" s="28"/>
      <c r="F2705" s="28">
        <v>0</v>
      </c>
      <c r="G2705" s="28" t="s">
        <v>119</v>
      </c>
      <c r="H2705" s="28">
        <v>0</v>
      </c>
      <c r="J2705" s="28"/>
    </row>
    <row r="2706" spans="1:10" ht="15.75" customHeight="1">
      <c r="A2706" s="28">
        <v>17070</v>
      </c>
      <c r="B2706" s="91">
        <v>44918.150578703702</v>
      </c>
      <c r="C2706" s="28" t="s">
        <v>10</v>
      </c>
      <c r="D2706" s="28" t="s">
        <v>1086</v>
      </c>
      <c r="E2706" s="28"/>
      <c r="F2706" s="28">
        <v>25</v>
      </c>
      <c r="G2706" s="28">
        <v>100692</v>
      </c>
      <c r="H2706" s="28">
        <v>0</v>
      </c>
      <c r="J2706" s="28"/>
    </row>
    <row r="2707" spans="1:10" ht="15.75" customHeight="1">
      <c r="A2707" s="28">
        <v>17070</v>
      </c>
      <c r="B2707" s="91">
        <v>44918.150578703702</v>
      </c>
      <c r="C2707" s="28" t="s">
        <v>10</v>
      </c>
      <c r="D2707" s="28" t="s">
        <v>1086</v>
      </c>
      <c r="E2707" s="28"/>
      <c r="F2707" s="28">
        <v>0</v>
      </c>
      <c r="G2707" s="28" t="s">
        <v>125</v>
      </c>
      <c r="H2707" s="28">
        <v>0</v>
      </c>
      <c r="J2707" s="28"/>
    </row>
    <row r="2708" spans="1:10" ht="15.75" customHeight="1">
      <c r="A2708" s="28">
        <v>17070</v>
      </c>
      <c r="B2708" s="91">
        <v>44918.150578703702</v>
      </c>
      <c r="C2708" s="28" t="s">
        <v>10</v>
      </c>
      <c r="D2708" s="28" t="s">
        <v>1086</v>
      </c>
      <c r="E2708" s="28"/>
      <c r="F2708" s="28">
        <v>0</v>
      </c>
      <c r="G2708" s="28" t="s">
        <v>119</v>
      </c>
      <c r="H2708" s="28">
        <v>0</v>
      </c>
      <c r="J2708" s="28"/>
    </row>
    <row r="2709" spans="1:10" ht="15.75" customHeight="1">
      <c r="A2709" s="28">
        <v>17070</v>
      </c>
      <c r="B2709" s="91">
        <v>44918.150578703702</v>
      </c>
      <c r="C2709" s="28" t="s">
        <v>10</v>
      </c>
      <c r="D2709" s="28" t="s">
        <v>1086</v>
      </c>
      <c r="E2709" s="28"/>
      <c r="F2709" s="28">
        <v>22</v>
      </c>
      <c r="G2709" s="28" t="s">
        <v>137</v>
      </c>
      <c r="H2709" s="28">
        <v>0</v>
      </c>
      <c r="J2709" s="28"/>
    </row>
    <row r="2710" spans="1:10" ht="15.75" customHeight="1">
      <c r="A2710" s="28">
        <v>17029</v>
      </c>
      <c r="B2710" s="91">
        <v>44915.261238425926</v>
      </c>
      <c r="C2710" s="28" t="s">
        <v>10</v>
      </c>
      <c r="D2710" s="28" t="s">
        <v>1087</v>
      </c>
      <c r="E2710" s="28"/>
      <c r="F2710" s="28">
        <v>25</v>
      </c>
      <c r="G2710" s="28">
        <v>100692</v>
      </c>
      <c r="H2710" s="28">
        <v>0</v>
      </c>
      <c r="J2710" s="28"/>
    </row>
    <row r="2711" spans="1:10" ht="15.75" customHeight="1">
      <c r="A2711" s="28">
        <v>17029</v>
      </c>
      <c r="B2711" s="91">
        <v>44915.261238425926</v>
      </c>
      <c r="C2711" s="28" t="s">
        <v>10</v>
      </c>
      <c r="D2711" s="28" t="s">
        <v>1087</v>
      </c>
      <c r="E2711" s="28"/>
      <c r="F2711" s="28">
        <v>0</v>
      </c>
      <c r="G2711" s="28" t="s">
        <v>125</v>
      </c>
      <c r="H2711" s="28">
        <v>0</v>
      </c>
      <c r="J2711" s="28"/>
    </row>
    <row r="2712" spans="1:10" ht="15.75" customHeight="1">
      <c r="A2712" s="28">
        <v>17029</v>
      </c>
      <c r="B2712" s="91">
        <v>44915.261238425926</v>
      </c>
      <c r="C2712" s="28" t="s">
        <v>10</v>
      </c>
      <c r="D2712" s="28" t="s">
        <v>1087</v>
      </c>
      <c r="E2712" s="28"/>
      <c r="F2712" s="28">
        <v>0</v>
      </c>
      <c r="G2712" s="28" t="s">
        <v>119</v>
      </c>
      <c r="H2712" s="28">
        <v>0</v>
      </c>
      <c r="J2712" s="28"/>
    </row>
    <row r="2713" spans="1:10" ht="15.75" customHeight="1">
      <c r="A2713" s="28">
        <v>17029</v>
      </c>
      <c r="B2713" s="91">
        <v>44915.261238425926</v>
      </c>
      <c r="C2713" s="28" t="s">
        <v>10</v>
      </c>
      <c r="D2713" s="28" t="s">
        <v>1087</v>
      </c>
      <c r="E2713" s="28"/>
      <c r="F2713" s="28">
        <v>28</v>
      </c>
      <c r="G2713" s="28" t="s">
        <v>143</v>
      </c>
      <c r="H2713" s="28">
        <v>0</v>
      </c>
      <c r="J2713" s="28"/>
    </row>
    <row r="2714" spans="1:10" ht="15.75" customHeight="1">
      <c r="A2714" s="28">
        <v>17029</v>
      </c>
      <c r="B2714" s="91">
        <v>44915.261238425926</v>
      </c>
      <c r="C2714" s="28" t="s">
        <v>10</v>
      </c>
      <c r="D2714" s="28" t="s">
        <v>1087</v>
      </c>
      <c r="E2714" s="28"/>
      <c r="F2714" s="28">
        <v>15</v>
      </c>
      <c r="G2714" s="28" t="s">
        <v>139</v>
      </c>
      <c r="H2714" s="28">
        <v>0</v>
      </c>
      <c r="J2714" s="28"/>
    </row>
    <row r="2715" spans="1:10" ht="15.75" customHeight="1">
      <c r="A2715" s="28">
        <v>17028</v>
      </c>
      <c r="B2715" s="91">
        <v>44915.259155092594</v>
      </c>
      <c r="C2715" s="28" t="s">
        <v>10</v>
      </c>
      <c r="D2715" s="28" t="s">
        <v>1088</v>
      </c>
      <c r="E2715" s="28"/>
      <c r="F2715" s="28">
        <v>15</v>
      </c>
      <c r="G2715" s="28" t="s">
        <v>139</v>
      </c>
      <c r="H2715" s="28">
        <v>0</v>
      </c>
      <c r="J2715" s="28"/>
    </row>
    <row r="2716" spans="1:10" ht="15.75" customHeight="1">
      <c r="A2716" s="28">
        <v>17028</v>
      </c>
      <c r="B2716" s="91">
        <v>44915.259155092594</v>
      </c>
      <c r="C2716" s="28" t="s">
        <v>10</v>
      </c>
      <c r="D2716" s="28" t="s">
        <v>1088</v>
      </c>
      <c r="E2716" s="28"/>
      <c r="F2716" s="28">
        <v>28</v>
      </c>
      <c r="G2716" s="28" t="s">
        <v>143</v>
      </c>
      <c r="H2716" s="28">
        <v>0</v>
      </c>
      <c r="J2716" s="28"/>
    </row>
    <row r="2717" spans="1:10" ht="15.75" customHeight="1">
      <c r="A2717" s="28">
        <v>17028</v>
      </c>
      <c r="B2717" s="91">
        <v>44915.259155092594</v>
      </c>
      <c r="C2717" s="28" t="s">
        <v>10</v>
      </c>
      <c r="D2717" s="28" t="s">
        <v>1088</v>
      </c>
      <c r="E2717" s="28"/>
      <c r="F2717" s="28">
        <v>25</v>
      </c>
      <c r="G2717" s="28">
        <v>100692</v>
      </c>
      <c r="H2717" s="28">
        <v>0</v>
      </c>
      <c r="J2717" s="28"/>
    </row>
    <row r="2718" spans="1:10" ht="15.75" customHeight="1">
      <c r="A2718" s="28">
        <v>17028</v>
      </c>
      <c r="B2718" s="91">
        <v>44915.259155092594</v>
      </c>
      <c r="C2718" s="28" t="s">
        <v>10</v>
      </c>
      <c r="D2718" s="28" t="s">
        <v>1088</v>
      </c>
      <c r="E2718" s="28"/>
      <c r="F2718" s="28">
        <v>0</v>
      </c>
      <c r="G2718" s="28" t="s">
        <v>125</v>
      </c>
      <c r="H2718" s="28">
        <v>0</v>
      </c>
      <c r="J2718" s="28"/>
    </row>
    <row r="2719" spans="1:10" ht="15.75" customHeight="1">
      <c r="A2719" s="28">
        <v>17028</v>
      </c>
      <c r="B2719" s="91">
        <v>44915.259155092594</v>
      </c>
      <c r="C2719" s="28" t="s">
        <v>10</v>
      </c>
      <c r="D2719" s="28" t="s">
        <v>1088</v>
      </c>
      <c r="E2719" s="28"/>
      <c r="F2719" s="28">
        <v>0</v>
      </c>
      <c r="G2719" s="28" t="s">
        <v>119</v>
      </c>
      <c r="H2719" s="28">
        <v>0</v>
      </c>
      <c r="J2719" s="28"/>
    </row>
    <row r="2720" spans="1:10" ht="15.75" customHeight="1">
      <c r="A2720" s="28">
        <v>17027</v>
      </c>
      <c r="B2720" s="91">
        <v>44914.026099537034</v>
      </c>
      <c r="C2720" s="28" t="s">
        <v>10</v>
      </c>
      <c r="D2720" s="28" t="s">
        <v>1089</v>
      </c>
      <c r="E2720" s="28"/>
      <c r="F2720" s="28">
        <v>28</v>
      </c>
      <c r="G2720" s="28" t="s">
        <v>143</v>
      </c>
      <c r="H2720" s="28">
        <v>0</v>
      </c>
      <c r="J2720" s="28"/>
    </row>
    <row r="2721" spans="1:10" ht="15.75" customHeight="1">
      <c r="A2721" s="28">
        <v>17026</v>
      </c>
      <c r="B2721" s="91">
        <v>44913.99423611111</v>
      </c>
      <c r="C2721" s="28" t="s">
        <v>10</v>
      </c>
      <c r="D2721" s="28" t="s">
        <v>1090</v>
      </c>
      <c r="E2721" s="28"/>
      <c r="F2721" s="28">
        <v>0</v>
      </c>
      <c r="G2721" s="28" t="s">
        <v>124</v>
      </c>
      <c r="H2721" s="28">
        <v>0</v>
      </c>
      <c r="J2721" s="28"/>
    </row>
    <row r="2722" spans="1:10" ht="15.75" customHeight="1">
      <c r="A2722" s="28">
        <v>17026</v>
      </c>
      <c r="B2722" s="91">
        <v>44913.99423611111</v>
      </c>
      <c r="C2722" s="28" t="s">
        <v>10</v>
      </c>
      <c r="D2722" s="28" t="s">
        <v>1090</v>
      </c>
      <c r="E2722" s="28"/>
      <c r="F2722" s="28">
        <v>0</v>
      </c>
      <c r="G2722" s="28" t="s">
        <v>125</v>
      </c>
      <c r="H2722" s="28">
        <v>0</v>
      </c>
      <c r="J2722" s="28"/>
    </row>
    <row r="2723" spans="1:10" ht="15.75" customHeight="1">
      <c r="A2723" s="28">
        <v>17026</v>
      </c>
      <c r="B2723" s="91">
        <v>44913.99423611111</v>
      </c>
      <c r="C2723" s="28" t="s">
        <v>10</v>
      </c>
      <c r="D2723" s="28" t="s">
        <v>1090</v>
      </c>
      <c r="E2723" s="28"/>
      <c r="F2723" s="28">
        <v>0</v>
      </c>
      <c r="G2723" s="28" t="s">
        <v>119</v>
      </c>
      <c r="H2723" s="28">
        <v>0</v>
      </c>
      <c r="J2723" s="28"/>
    </row>
    <row r="2724" spans="1:10" ht="15.75" customHeight="1">
      <c r="A2724" s="28">
        <v>17026</v>
      </c>
      <c r="B2724" s="91">
        <v>44913.99423611111</v>
      </c>
      <c r="C2724" s="28" t="s">
        <v>10</v>
      </c>
      <c r="D2724" s="28" t="s">
        <v>1090</v>
      </c>
      <c r="E2724" s="28"/>
      <c r="F2724" s="28">
        <v>0</v>
      </c>
      <c r="G2724" s="28" t="s">
        <v>121</v>
      </c>
      <c r="H2724" s="28">
        <v>0</v>
      </c>
      <c r="J2724" s="28"/>
    </row>
    <row r="2725" spans="1:10" ht="15.75" customHeight="1">
      <c r="A2725" s="28">
        <v>17025</v>
      </c>
      <c r="B2725" s="91">
        <v>44913.988773148143</v>
      </c>
      <c r="C2725" s="28" t="s">
        <v>10</v>
      </c>
      <c r="D2725" s="28" t="s">
        <v>1091</v>
      </c>
      <c r="E2725" s="28"/>
      <c r="F2725" s="28">
        <v>0</v>
      </c>
      <c r="G2725" s="28"/>
      <c r="H2725" s="28">
        <v>0</v>
      </c>
      <c r="J2725" s="28"/>
    </row>
    <row r="2726" spans="1:10" ht="15.75" customHeight="1">
      <c r="A2726" s="28">
        <v>17025</v>
      </c>
      <c r="B2726" s="91">
        <v>44913.988773148143</v>
      </c>
      <c r="C2726" s="28" t="s">
        <v>10</v>
      </c>
      <c r="D2726" s="28" t="s">
        <v>1091</v>
      </c>
      <c r="E2726" s="28"/>
      <c r="F2726" s="28">
        <v>0</v>
      </c>
      <c r="G2726" s="28" t="s">
        <v>125</v>
      </c>
      <c r="H2726" s="28">
        <v>0</v>
      </c>
      <c r="J2726" s="28"/>
    </row>
    <row r="2727" spans="1:10" ht="15.75" customHeight="1">
      <c r="A2727" s="28">
        <v>17025</v>
      </c>
      <c r="B2727" s="91">
        <v>44913.988773148143</v>
      </c>
      <c r="C2727" s="28" t="s">
        <v>10</v>
      </c>
      <c r="D2727" s="28" t="s">
        <v>1091</v>
      </c>
      <c r="E2727" s="28"/>
      <c r="F2727" s="28">
        <v>0</v>
      </c>
      <c r="G2727" s="28" t="s">
        <v>119</v>
      </c>
      <c r="H2727" s="28">
        <v>0</v>
      </c>
      <c r="J2727" s="28"/>
    </row>
    <row r="2728" spans="1:10" ht="15.75" customHeight="1">
      <c r="A2728" s="28">
        <v>17025</v>
      </c>
      <c r="B2728" s="91">
        <v>44913.988773148143</v>
      </c>
      <c r="C2728" s="28" t="s">
        <v>10</v>
      </c>
      <c r="D2728" s="28" t="s">
        <v>1091</v>
      </c>
      <c r="E2728" s="28"/>
      <c r="F2728" s="28">
        <v>0</v>
      </c>
      <c r="G2728" s="28" t="s">
        <v>148</v>
      </c>
      <c r="H2728" s="28">
        <v>0</v>
      </c>
      <c r="J2728" s="28"/>
    </row>
    <row r="2729" spans="1:10" ht="15.75" customHeight="1">
      <c r="A2729" s="28">
        <v>17015</v>
      </c>
      <c r="B2729" s="91">
        <v>44913.896481481483</v>
      </c>
      <c r="C2729" s="28" t="s">
        <v>10</v>
      </c>
      <c r="D2729" s="28" t="s">
        <v>1092</v>
      </c>
      <c r="E2729" s="28"/>
      <c r="F2729" s="28">
        <v>100</v>
      </c>
      <c r="G2729" s="28">
        <v>102779</v>
      </c>
      <c r="H2729" s="28">
        <v>0</v>
      </c>
      <c r="J2729" s="28"/>
    </row>
    <row r="2730" spans="1:10" ht="15.75" customHeight="1">
      <c r="A2730" s="28">
        <v>17015</v>
      </c>
      <c r="B2730" s="91">
        <v>44913.896481481483</v>
      </c>
      <c r="C2730" s="28" t="s">
        <v>10</v>
      </c>
      <c r="D2730" s="28" t="s">
        <v>1092</v>
      </c>
      <c r="E2730" s="28"/>
      <c r="F2730" s="28">
        <v>0</v>
      </c>
      <c r="G2730" s="28" t="s">
        <v>118</v>
      </c>
      <c r="H2730" s="28">
        <v>0</v>
      </c>
      <c r="J2730" s="28"/>
    </row>
    <row r="2731" spans="1:10" ht="15.75" customHeight="1">
      <c r="A2731" s="28">
        <v>17015</v>
      </c>
      <c r="B2731" s="91">
        <v>44913.896481481483</v>
      </c>
      <c r="C2731" s="28" t="s">
        <v>10</v>
      </c>
      <c r="D2731" s="28" t="s">
        <v>1092</v>
      </c>
      <c r="E2731" s="28"/>
      <c r="F2731" s="28">
        <v>0</v>
      </c>
      <c r="G2731" s="28" t="s">
        <v>119</v>
      </c>
      <c r="H2731" s="28">
        <v>0</v>
      </c>
      <c r="J2731" s="28"/>
    </row>
    <row r="2732" spans="1:10" ht="15.75" customHeight="1">
      <c r="A2732" s="28">
        <v>17015</v>
      </c>
      <c r="B2732" s="91">
        <v>44913.896481481483</v>
      </c>
      <c r="C2732" s="28" t="s">
        <v>10</v>
      </c>
      <c r="D2732" s="28" t="s">
        <v>1092</v>
      </c>
      <c r="E2732" s="28"/>
      <c r="F2732" s="28">
        <v>0</v>
      </c>
      <c r="G2732" s="28" t="s">
        <v>120</v>
      </c>
      <c r="H2732" s="28">
        <v>0</v>
      </c>
      <c r="J2732" s="28"/>
    </row>
    <row r="2733" spans="1:10" ht="15.75" customHeight="1">
      <c r="A2733" s="28">
        <v>17015</v>
      </c>
      <c r="B2733" s="91">
        <v>44913.896481481483</v>
      </c>
      <c r="C2733" s="28" t="s">
        <v>10</v>
      </c>
      <c r="D2733" s="28" t="s">
        <v>1092</v>
      </c>
      <c r="E2733" s="28"/>
      <c r="F2733" s="28">
        <v>0</v>
      </c>
      <c r="G2733" s="28" t="s">
        <v>122</v>
      </c>
      <c r="H2733" s="28">
        <v>0</v>
      </c>
      <c r="J2733" s="28"/>
    </row>
    <row r="2734" spans="1:10" ht="15.75" customHeight="1">
      <c r="A2734" s="28">
        <v>17015</v>
      </c>
      <c r="B2734" s="91">
        <v>44913.896481481483</v>
      </c>
      <c r="C2734" s="28" t="s">
        <v>10</v>
      </c>
      <c r="D2734" s="28" t="s">
        <v>1092</v>
      </c>
      <c r="E2734" s="28"/>
      <c r="F2734" s="28">
        <v>0</v>
      </c>
      <c r="G2734" s="28" t="s">
        <v>121</v>
      </c>
      <c r="H2734" s="28">
        <v>0</v>
      </c>
      <c r="J2734" s="28"/>
    </row>
    <row r="2735" spans="1:10" ht="15.75" customHeight="1">
      <c r="A2735" s="28">
        <v>17015</v>
      </c>
      <c r="B2735" s="91">
        <v>44913.896481481483</v>
      </c>
      <c r="C2735" s="28" t="s">
        <v>10</v>
      </c>
      <c r="D2735" s="28" t="s">
        <v>1092</v>
      </c>
      <c r="E2735" s="28"/>
      <c r="F2735" s="28">
        <v>0</v>
      </c>
      <c r="G2735" s="28" t="s">
        <v>139</v>
      </c>
      <c r="H2735" s="28">
        <v>0</v>
      </c>
      <c r="J2735" s="28"/>
    </row>
    <row r="2736" spans="1:10" ht="15.75" customHeight="1">
      <c r="A2736" s="28">
        <v>17014</v>
      </c>
      <c r="B2736" s="91">
        <v>44913.854201388887</v>
      </c>
      <c r="C2736" s="28" t="s">
        <v>10</v>
      </c>
      <c r="D2736" s="28" t="s">
        <v>1093</v>
      </c>
      <c r="E2736" s="28"/>
      <c r="F2736" s="28">
        <v>28</v>
      </c>
      <c r="G2736" s="28" t="s">
        <v>143</v>
      </c>
      <c r="H2736" s="28">
        <v>0</v>
      </c>
      <c r="J2736" s="28"/>
    </row>
    <row r="2737" spans="1:10" ht="15.75" customHeight="1">
      <c r="A2737" s="28">
        <v>17014</v>
      </c>
      <c r="B2737" s="91">
        <v>44913.854201388887</v>
      </c>
      <c r="C2737" s="28" t="s">
        <v>10</v>
      </c>
      <c r="D2737" s="28" t="s">
        <v>1093</v>
      </c>
      <c r="E2737" s="28"/>
      <c r="F2737" s="28">
        <v>18</v>
      </c>
      <c r="G2737" s="28" t="s">
        <v>119</v>
      </c>
      <c r="H2737" s="28">
        <v>0</v>
      </c>
      <c r="J2737" s="28"/>
    </row>
    <row r="2738" spans="1:10" ht="15.75" customHeight="1">
      <c r="A2738" s="28">
        <v>16976</v>
      </c>
      <c r="B2738" s="91">
        <v>44910.182800925926</v>
      </c>
      <c r="C2738" s="28" t="s">
        <v>10</v>
      </c>
      <c r="D2738" s="28" t="s">
        <v>1094</v>
      </c>
      <c r="E2738" s="28"/>
      <c r="F2738" s="28">
        <v>0</v>
      </c>
      <c r="G2738" s="28" t="s">
        <v>121</v>
      </c>
      <c r="H2738" s="28">
        <v>0</v>
      </c>
      <c r="J2738" s="28"/>
    </row>
    <row r="2739" spans="1:10" ht="15.75" customHeight="1">
      <c r="A2739" s="28">
        <v>16975</v>
      </c>
      <c r="B2739" s="91">
        <v>44909.943159722221</v>
      </c>
      <c r="C2739" s="28" t="s">
        <v>10</v>
      </c>
      <c r="D2739" s="28" t="s">
        <v>1095</v>
      </c>
      <c r="E2739" s="28"/>
      <c r="F2739" s="28">
        <v>28</v>
      </c>
      <c r="G2739" s="28" t="s">
        <v>143</v>
      </c>
      <c r="H2739" s="28">
        <v>0</v>
      </c>
      <c r="J2739" s="28"/>
    </row>
    <row r="2740" spans="1:10" ht="15.75" customHeight="1">
      <c r="A2740" s="28">
        <v>16952</v>
      </c>
      <c r="B2740" s="91">
        <v>44908.568819444445</v>
      </c>
      <c r="C2740" s="28" t="s">
        <v>10</v>
      </c>
      <c r="D2740" s="28" t="s">
        <v>1096</v>
      </c>
      <c r="E2740" s="28"/>
      <c r="F2740" s="28">
        <v>35</v>
      </c>
      <c r="G2740" s="28" t="s">
        <v>124</v>
      </c>
      <c r="H2740" s="28">
        <v>0</v>
      </c>
      <c r="J2740" s="28"/>
    </row>
    <row r="2741" spans="1:10" ht="15.75" customHeight="1">
      <c r="A2741" s="28">
        <v>16952</v>
      </c>
      <c r="B2741" s="91">
        <v>44908.568819444445</v>
      </c>
      <c r="C2741" s="28" t="s">
        <v>10</v>
      </c>
      <c r="D2741" s="28" t="s">
        <v>1096</v>
      </c>
      <c r="E2741" s="28"/>
      <c r="F2741" s="28">
        <v>0</v>
      </c>
      <c r="G2741" s="28" t="s">
        <v>125</v>
      </c>
      <c r="H2741" s="28">
        <v>0</v>
      </c>
      <c r="J2741" s="28"/>
    </row>
    <row r="2742" spans="1:10" ht="15.75" customHeight="1">
      <c r="A2742" s="28">
        <v>16952</v>
      </c>
      <c r="B2742" s="91">
        <v>44908.568819444445</v>
      </c>
      <c r="C2742" s="28" t="s">
        <v>10</v>
      </c>
      <c r="D2742" s="28" t="s">
        <v>1096</v>
      </c>
      <c r="E2742" s="28"/>
      <c r="F2742" s="28">
        <v>0</v>
      </c>
      <c r="G2742" s="28" t="s">
        <v>121</v>
      </c>
      <c r="H2742" s="28">
        <v>0</v>
      </c>
      <c r="J2742" s="28"/>
    </row>
    <row r="2743" spans="1:10" ht="15.75" customHeight="1">
      <c r="A2743" s="28">
        <v>16952</v>
      </c>
      <c r="B2743" s="91">
        <v>44908.568819444445</v>
      </c>
      <c r="C2743" s="28" t="s">
        <v>10</v>
      </c>
      <c r="D2743" s="28" t="s">
        <v>1096</v>
      </c>
      <c r="E2743" s="28"/>
      <c r="F2743" s="28">
        <v>0</v>
      </c>
      <c r="G2743" s="28" t="s">
        <v>119</v>
      </c>
      <c r="H2743" s="28">
        <v>0</v>
      </c>
      <c r="J2743" s="28"/>
    </row>
    <row r="2744" spans="1:10" ht="15.75" customHeight="1">
      <c r="A2744" s="28">
        <v>16952</v>
      </c>
      <c r="B2744" s="91">
        <v>44908.568819444445</v>
      </c>
      <c r="C2744" s="28" t="s">
        <v>10</v>
      </c>
      <c r="D2744" s="28" t="s">
        <v>1096</v>
      </c>
      <c r="E2744" s="28"/>
      <c r="F2744" s="28">
        <v>25</v>
      </c>
      <c r="G2744" s="28">
        <v>100692</v>
      </c>
      <c r="H2744" s="28">
        <v>0</v>
      </c>
      <c r="J2744" s="28"/>
    </row>
    <row r="2745" spans="1:10" ht="15.75" customHeight="1">
      <c r="A2745" s="28">
        <v>16952</v>
      </c>
      <c r="B2745" s="91">
        <v>44908.568819444445</v>
      </c>
      <c r="C2745" s="28" t="s">
        <v>10</v>
      </c>
      <c r="D2745" s="28" t="s">
        <v>1096</v>
      </c>
      <c r="E2745" s="28"/>
      <c r="F2745" s="28">
        <v>0</v>
      </c>
      <c r="G2745" s="28" t="s">
        <v>125</v>
      </c>
      <c r="H2745" s="28">
        <v>0</v>
      </c>
      <c r="J2745" s="28"/>
    </row>
    <row r="2746" spans="1:10" ht="15.75" customHeight="1">
      <c r="A2746" s="28">
        <v>16952</v>
      </c>
      <c r="B2746" s="91">
        <v>44908.568819444445</v>
      </c>
      <c r="C2746" s="28" t="s">
        <v>10</v>
      </c>
      <c r="D2746" s="28" t="s">
        <v>1096</v>
      </c>
      <c r="E2746" s="28"/>
      <c r="F2746" s="28">
        <v>0</v>
      </c>
      <c r="G2746" s="28" t="s">
        <v>119</v>
      </c>
      <c r="H2746" s="28">
        <v>0</v>
      </c>
      <c r="J2746" s="28"/>
    </row>
    <row r="2747" spans="1:10" ht="15.75" customHeight="1">
      <c r="A2747" s="28">
        <v>16946</v>
      </c>
      <c r="B2747" s="91">
        <v>44907.692858796298</v>
      </c>
      <c r="C2747" s="28" t="s">
        <v>10</v>
      </c>
      <c r="D2747" s="28" t="s">
        <v>1097</v>
      </c>
      <c r="E2747" s="28"/>
      <c r="F2747" s="28">
        <v>0</v>
      </c>
      <c r="G2747" s="28">
        <v>100692</v>
      </c>
      <c r="H2747" s="28">
        <v>0</v>
      </c>
      <c r="J2747" s="28"/>
    </row>
    <row r="2748" spans="1:10" ht="15.75" customHeight="1">
      <c r="A2748" s="28">
        <v>16946</v>
      </c>
      <c r="B2748" s="91">
        <v>44907.692858796298</v>
      </c>
      <c r="C2748" s="28" t="s">
        <v>10</v>
      </c>
      <c r="D2748" s="28" t="s">
        <v>1097</v>
      </c>
      <c r="E2748" s="28"/>
      <c r="F2748" s="28">
        <v>0</v>
      </c>
      <c r="G2748" s="28" t="s">
        <v>125</v>
      </c>
      <c r="H2748" s="28">
        <v>0</v>
      </c>
      <c r="J2748" s="28"/>
    </row>
    <row r="2749" spans="1:10" ht="15.75" customHeight="1">
      <c r="A2749" s="28">
        <v>16946</v>
      </c>
      <c r="B2749" s="91">
        <v>44907.692858796298</v>
      </c>
      <c r="C2749" s="28" t="s">
        <v>10</v>
      </c>
      <c r="D2749" s="28" t="s">
        <v>1097</v>
      </c>
      <c r="E2749" s="28"/>
      <c r="F2749" s="28">
        <v>0</v>
      </c>
      <c r="G2749" s="28" t="s">
        <v>119</v>
      </c>
      <c r="H2749" s="28">
        <v>0</v>
      </c>
      <c r="J2749" s="28"/>
    </row>
    <row r="2750" spans="1:10" ht="15.75" customHeight="1">
      <c r="A2750" s="28">
        <v>16941</v>
      </c>
      <c r="B2750" s="91">
        <v>44905.748229166667</v>
      </c>
      <c r="C2750" s="28" t="s">
        <v>10</v>
      </c>
      <c r="D2750" s="28" t="s">
        <v>1098</v>
      </c>
      <c r="E2750" s="28"/>
      <c r="F2750" s="28">
        <v>25</v>
      </c>
      <c r="G2750" s="28">
        <v>100692</v>
      </c>
      <c r="H2750" s="28">
        <v>0</v>
      </c>
      <c r="J2750" s="28"/>
    </row>
    <row r="2751" spans="1:10" ht="15.75" customHeight="1">
      <c r="A2751" s="28">
        <v>16941</v>
      </c>
      <c r="B2751" s="91">
        <v>44905.748229166667</v>
      </c>
      <c r="C2751" s="28" t="s">
        <v>10</v>
      </c>
      <c r="D2751" s="28" t="s">
        <v>1098</v>
      </c>
      <c r="E2751" s="28"/>
      <c r="F2751" s="28">
        <v>0</v>
      </c>
      <c r="G2751" s="28" t="s">
        <v>125</v>
      </c>
      <c r="H2751" s="28">
        <v>0</v>
      </c>
      <c r="J2751" s="28"/>
    </row>
    <row r="2752" spans="1:10" ht="15.75" customHeight="1">
      <c r="A2752" s="28">
        <v>16941</v>
      </c>
      <c r="B2752" s="91">
        <v>44905.748229166667</v>
      </c>
      <c r="C2752" s="28" t="s">
        <v>10</v>
      </c>
      <c r="D2752" s="28" t="s">
        <v>1098</v>
      </c>
      <c r="E2752" s="28"/>
      <c r="F2752" s="28">
        <v>0</v>
      </c>
      <c r="G2752" s="28" t="s">
        <v>119</v>
      </c>
      <c r="H2752" s="28">
        <v>0</v>
      </c>
      <c r="J2752" s="28"/>
    </row>
    <row r="2753" spans="1:10" ht="15.75" customHeight="1">
      <c r="A2753" s="28">
        <v>16938</v>
      </c>
      <c r="B2753" s="91">
        <v>44903.291828703703</v>
      </c>
      <c r="C2753" s="28" t="s">
        <v>10</v>
      </c>
      <c r="D2753" s="28" t="s">
        <v>1099</v>
      </c>
      <c r="E2753" s="28"/>
      <c r="F2753" s="28">
        <v>24</v>
      </c>
      <c r="G2753" s="28" t="s">
        <v>122</v>
      </c>
      <c r="H2753" s="28">
        <v>0</v>
      </c>
      <c r="J2753" s="28"/>
    </row>
    <row r="2754" spans="1:10" ht="15.75" customHeight="1">
      <c r="A2754" s="28">
        <v>16937</v>
      </c>
      <c r="B2754" s="91">
        <v>44903.283379629633</v>
      </c>
      <c r="C2754" s="28" t="s">
        <v>10</v>
      </c>
      <c r="D2754" s="28" t="s">
        <v>1100</v>
      </c>
      <c r="E2754" s="28"/>
      <c r="F2754" s="28">
        <v>0</v>
      </c>
      <c r="G2754" s="28" t="s">
        <v>122</v>
      </c>
      <c r="H2754" s="28">
        <v>0</v>
      </c>
      <c r="J2754" s="28"/>
    </row>
    <row r="2755" spans="1:10" ht="15.75" customHeight="1">
      <c r="A2755" s="28">
        <v>16935</v>
      </c>
      <c r="B2755" s="91">
        <v>44900.929108796292</v>
      </c>
      <c r="C2755" s="28" t="s">
        <v>10</v>
      </c>
      <c r="D2755" s="28" t="s">
        <v>1101</v>
      </c>
      <c r="E2755" s="28"/>
      <c r="F2755" s="28">
        <v>22</v>
      </c>
      <c r="G2755" s="28" t="s">
        <v>137</v>
      </c>
      <c r="H2755" s="28">
        <v>0</v>
      </c>
      <c r="J2755" s="28"/>
    </row>
    <row r="2756" spans="1:10" ht="15.75" customHeight="1">
      <c r="A2756" s="28">
        <v>16934</v>
      </c>
      <c r="B2756" s="91">
        <v>44900.127789351856</v>
      </c>
      <c r="C2756" s="28" t="s">
        <v>10</v>
      </c>
      <c r="D2756" s="28" t="s">
        <v>1102</v>
      </c>
      <c r="E2756" s="28"/>
      <c r="F2756" s="28">
        <v>20</v>
      </c>
      <c r="G2756" s="28" t="s">
        <v>148</v>
      </c>
      <c r="H2756" s="28">
        <v>0</v>
      </c>
      <c r="J2756" s="28"/>
    </row>
    <row r="2757" spans="1:10" ht="15.75" customHeight="1">
      <c r="A2757" s="28">
        <v>16933</v>
      </c>
      <c r="B2757" s="91">
        <v>44898.127488425926</v>
      </c>
      <c r="C2757" s="28" t="s">
        <v>10</v>
      </c>
      <c r="D2757" s="28" t="s">
        <v>1103</v>
      </c>
      <c r="E2757" s="28"/>
      <c r="F2757" s="28">
        <v>25</v>
      </c>
      <c r="G2757" s="28">
        <v>100692</v>
      </c>
      <c r="H2757" s="28">
        <v>0</v>
      </c>
      <c r="J2757" s="28"/>
    </row>
    <row r="2758" spans="1:10" ht="15.75" customHeight="1">
      <c r="A2758" s="28">
        <v>16933</v>
      </c>
      <c r="B2758" s="91">
        <v>44898.127488425926</v>
      </c>
      <c r="C2758" s="28" t="s">
        <v>10</v>
      </c>
      <c r="D2758" s="28" t="s">
        <v>1103</v>
      </c>
      <c r="E2758" s="28"/>
      <c r="F2758" s="28">
        <v>0</v>
      </c>
      <c r="G2758" s="28" t="s">
        <v>125</v>
      </c>
      <c r="H2758" s="28">
        <v>0</v>
      </c>
      <c r="J2758" s="28"/>
    </row>
    <row r="2759" spans="1:10" ht="15.75" customHeight="1">
      <c r="A2759" s="28">
        <v>16933</v>
      </c>
      <c r="B2759" s="91">
        <v>44898.127488425926</v>
      </c>
      <c r="C2759" s="28" t="s">
        <v>10</v>
      </c>
      <c r="D2759" s="28" t="s">
        <v>1103</v>
      </c>
      <c r="E2759" s="28"/>
      <c r="F2759" s="28">
        <v>0</v>
      </c>
      <c r="G2759" s="28" t="s">
        <v>119</v>
      </c>
      <c r="H2759" s="28">
        <v>0</v>
      </c>
      <c r="J2759" s="28"/>
    </row>
    <row r="2760" spans="1:10" ht="15.75" customHeight="1">
      <c r="A2760" s="28">
        <v>16895</v>
      </c>
      <c r="B2760" s="91">
        <v>44897.070613425924</v>
      </c>
      <c r="C2760" s="28" t="s">
        <v>10</v>
      </c>
      <c r="D2760" s="28" t="s">
        <v>1104</v>
      </c>
      <c r="E2760" s="28"/>
      <c r="F2760" s="28">
        <v>0</v>
      </c>
      <c r="G2760" s="28" t="s">
        <v>139</v>
      </c>
      <c r="H2760" s="28">
        <v>0</v>
      </c>
      <c r="J2760" s="28"/>
    </row>
    <row r="2761" spans="1:10" ht="15.75" customHeight="1">
      <c r="A2761" s="28">
        <v>16895</v>
      </c>
      <c r="B2761" s="91">
        <v>44897.070613425924</v>
      </c>
      <c r="C2761" s="28" t="s">
        <v>10</v>
      </c>
      <c r="D2761" s="28" t="s">
        <v>1104</v>
      </c>
      <c r="E2761" s="28"/>
      <c r="F2761" s="28">
        <v>24</v>
      </c>
      <c r="G2761" s="28" t="s">
        <v>122</v>
      </c>
      <c r="H2761" s="28">
        <v>0</v>
      </c>
      <c r="J2761" s="28"/>
    </row>
    <row r="2762" spans="1:10" ht="15.75" customHeight="1">
      <c r="A2762" s="28">
        <v>16895</v>
      </c>
      <c r="B2762" s="91">
        <v>44897.070613425924</v>
      </c>
      <c r="C2762" s="28" t="s">
        <v>10</v>
      </c>
      <c r="D2762" s="28" t="s">
        <v>1104</v>
      </c>
      <c r="E2762" s="28"/>
      <c r="F2762" s="28">
        <v>25</v>
      </c>
      <c r="G2762" s="28">
        <v>100692</v>
      </c>
      <c r="H2762" s="28">
        <v>0</v>
      </c>
      <c r="J2762" s="28"/>
    </row>
    <row r="2763" spans="1:10" ht="15.75" customHeight="1">
      <c r="A2763" s="28">
        <v>16895</v>
      </c>
      <c r="B2763" s="91">
        <v>44897.070613425924</v>
      </c>
      <c r="C2763" s="28" t="s">
        <v>10</v>
      </c>
      <c r="D2763" s="28" t="s">
        <v>1104</v>
      </c>
      <c r="E2763" s="28"/>
      <c r="F2763" s="28">
        <v>0</v>
      </c>
      <c r="G2763" s="28" t="s">
        <v>125</v>
      </c>
      <c r="H2763" s="28">
        <v>0</v>
      </c>
      <c r="J2763" s="28"/>
    </row>
    <row r="2764" spans="1:10" ht="15.75" customHeight="1">
      <c r="A2764" s="28">
        <v>16895</v>
      </c>
      <c r="B2764" s="91">
        <v>44897.070613425924</v>
      </c>
      <c r="C2764" s="28" t="s">
        <v>10</v>
      </c>
      <c r="D2764" s="28" t="s">
        <v>1104</v>
      </c>
      <c r="E2764" s="28"/>
      <c r="F2764" s="28">
        <v>0</v>
      </c>
      <c r="G2764" s="28" t="s">
        <v>119</v>
      </c>
      <c r="H2764" s="28">
        <v>0</v>
      </c>
      <c r="J2764" s="28"/>
    </row>
    <row r="2765" spans="1:10" ht="15.75" customHeight="1">
      <c r="A2765" s="28">
        <v>16894</v>
      </c>
      <c r="B2765" s="91">
        <v>44896.716921296298</v>
      </c>
      <c r="C2765" s="28" t="s">
        <v>10</v>
      </c>
      <c r="D2765" s="28" t="s">
        <v>1105</v>
      </c>
      <c r="E2765" s="28"/>
      <c r="F2765" s="28">
        <v>25</v>
      </c>
      <c r="G2765" s="28" t="s">
        <v>1106</v>
      </c>
      <c r="H2765" s="28">
        <v>0</v>
      </c>
      <c r="J2765" s="28"/>
    </row>
    <row r="2766" spans="1:10" ht="15.75" customHeight="1">
      <c r="A2766" s="28">
        <v>16894</v>
      </c>
      <c r="B2766" s="91">
        <v>44896.716921296298</v>
      </c>
      <c r="C2766" s="28" t="s">
        <v>10</v>
      </c>
      <c r="D2766" s="28" t="s">
        <v>1105</v>
      </c>
      <c r="E2766" s="28"/>
      <c r="F2766" s="28">
        <v>0</v>
      </c>
      <c r="G2766" s="28" t="s">
        <v>884</v>
      </c>
      <c r="H2766" s="28">
        <v>0</v>
      </c>
      <c r="J2766" s="28"/>
    </row>
    <row r="2767" spans="1:10" ht="15.75" customHeight="1">
      <c r="A2767" s="28">
        <v>16894</v>
      </c>
      <c r="B2767" s="91">
        <v>44896.716921296298</v>
      </c>
      <c r="C2767" s="28" t="s">
        <v>10</v>
      </c>
      <c r="D2767" s="28" t="s">
        <v>1105</v>
      </c>
      <c r="E2767" s="28"/>
      <c r="F2767" s="28">
        <v>0</v>
      </c>
      <c r="G2767" s="28" t="s">
        <v>882</v>
      </c>
      <c r="H2767" s="28">
        <v>0</v>
      </c>
      <c r="J2767" s="28"/>
    </row>
    <row r="2768" spans="1:10" ht="15.75" customHeight="1">
      <c r="A2768" s="28">
        <v>16863</v>
      </c>
      <c r="B2768" s="91">
        <v>44896.023333333331</v>
      </c>
      <c r="C2768" s="28" t="s">
        <v>10</v>
      </c>
      <c r="D2768" s="28" t="s">
        <v>1107</v>
      </c>
      <c r="E2768" s="28"/>
      <c r="F2768" s="28">
        <v>35</v>
      </c>
      <c r="G2768" s="28" t="s">
        <v>124</v>
      </c>
      <c r="H2768" s="28">
        <v>0</v>
      </c>
      <c r="J2768" s="28"/>
    </row>
    <row r="2769" spans="1:10" ht="15.75" customHeight="1">
      <c r="A2769" s="28">
        <v>16863</v>
      </c>
      <c r="B2769" s="91">
        <v>44896.023333333331</v>
      </c>
      <c r="C2769" s="28" t="s">
        <v>10</v>
      </c>
      <c r="D2769" s="28" t="s">
        <v>1107</v>
      </c>
      <c r="E2769" s="28"/>
      <c r="F2769" s="28">
        <v>0</v>
      </c>
      <c r="G2769" s="28" t="s">
        <v>125</v>
      </c>
      <c r="H2769" s="28">
        <v>0</v>
      </c>
      <c r="J2769" s="28"/>
    </row>
    <row r="2770" spans="1:10" ht="15.75" customHeight="1">
      <c r="A2770" s="28">
        <v>16863</v>
      </c>
      <c r="B2770" s="91">
        <v>44896.023333333331</v>
      </c>
      <c r="C2770" s="28" t="s">
        <v>10</v>
      </c>
      <c r="D2770" s="28" t="s">
        <v>1107</v>
      </c>
      <c r="E2770" s="28"/>
      <c r="F2770" s="28">
        <v>0</v>
      </c>
      <c r="G2770" s="28" t="s">
        <v>121</v>
      </c>
      <c r="H2770" s="28">
        <v>0</v>
      </c>
      <c r="J2770" s="28"/>
    </row>
    <row r="2771" spans="1:10" ht="15.75" customHeight="1">
      <c r="A2771" s="28">
        <v>16863</v>
      </c>
      <c r="B2771" s="91">
        <v>44896.023333333331</v>
      </c>
      <c r="C2771" s="28" t="s">
        <v>10</v>
      </c>
      <c r="D2771" s="28" t="s">
        <v>1107</v>
      </c>
      <c r="E2771" s="28"/>
      <c r="F2771" s="28">
        <v>0</v>
      </c>
      <c r="G2771" s="28" t="s">
        <v>119</v>
      </c>
      <c r="H2771" s="28">
        <v>0</v>
      </c>
      <c r="J2771" s="28"/>
    </row>
    <row r="2772" spans="1:10" ht="15.75" customHeight="1">
      <c r="A2772" s="28">
        <v>16862</v>
      </c>
      <c r="B2772" s="91">
        <v>44895.9450462963</v>
      </c>
      <c r="C2772" s="28" t="s">
        <v>10</v>
      </c>
      <c r="D2772" s="28" t="s">
        <v>1097</v>
      </c>
      <c r="E2772" s="28"/>
      <c r="F2772" s="28">
        <v>0</v>
      </c>
      <c r="G2772" s="28" t="s">
        <v>121</v>
      </c>
      <c r="H2772" s="28">
        <v>0</v>
      </c>
      <c r="J2772" s="28"/>
    </row>
    <row r="2773" spans="1:10" ht="15.75" customHeight="1">
      <c r="A2773" s="28">
        <v>16857</v>
      </c>
      <c r="B2773" s="91">
        <v>44895.099652777775</v>
      </c>
      <c r="C2773" s="28" t="s">
        <v>10</v>
      </c>
      <c r="D2773" s="28" t="s">
        <v>1108</v>
      </c>
      <c r="E2773" s="28"/>
      <c r="F2773" s="28">
        <v>25</v>
      </c>
      <c r="G2773" s="28" t="s">
        <v>1106</v>
      </c>
      <c r="H2773" s="28">
        <v>0</v>
      </c>
      <c r="J2773" s="28"/>
    </row>
    <row r="2774" spans="1:10" ht="15.75" customHeight="1">
      <c r="A2774" s="28">
        <v>16857</v>
      </c>
      <c r="B2774" s="91">
        <v>44895.099652777775</v>
      </c>
      <c r="C2774" s="28" t="s">
        <v>10</v>
      </c>
      <c r="D2774" s="28" t="s">
        <v>1108</v>
      </c>
      <c r="E2774" s="28"/>
      <c r="F2774" s="28">
        <v>0</v>
      </c>
      <c r="G2774" s="28" t="s">
        <v>884</v>
      </c>
      <c r="H2774" s="28">
        <v>0</v>
      </c>
      <c r="J2774" s="28"/>
    </row>
    <row r="2775" spans="1:10" ht="15.75" customHeight="1">
      <c r="A2775" s="28">
        <v>16857</v>
      </c>
      <c r="B2775" s="91">
        <v>44895.099652777775</v>
      </c>
      <c r="C2775" s="28" t="s">
        <v>10</v>
      </c>
      <c r="D2775" s="28" t="s">
        <v>1108</v>
      </c>
      <c r="E2775" s="28"/>
      <c r="F2775" s="28">
        <v>0</v>
      </c>
      <c r="G2775" s="28" t="s">
        <v>882</v>
      </c>
      <c r="H2775" s="28">
        <v>0</v>
      </c>
      <c r="J2775" s="28"/>
    </row>
    <row r="2776" spans="1:10" ht="15.75" customHeight="1">
      <c r="A2776" s="28">
        <v>16857</v>
      </c>
      <c r="B2776" s="91">
        <v>44895.099652777775</v>
      </c>
      <c r="C2776" s="28" t="s">
        <v>10</v>
      </c>
      <c r="D2776" s="28" t="s">
        <v>1108</v>
      </c>
      <c r="E2776" s="28"/>
      <c r="F2776" s="28">
        <v>20</v>
      </c>
      <c r="G2776" s="28" t="s">
        <v>205</v>
      </c>
      <c r="H2776" s="28">
        <v>0</v>
      </c>
      <c r="J2776" s="28"/>
    </row>
    <row r="2777" spans="1:10" ht="15.75" customHeight="1">
      <c r="A2777" s="28">
        <v>16857</v>
      </c>
      <c r="B2777" s="91">
        <v>44895.099652777775</v>
      </c>
      <c r="C2777" s="28" t="s">
        <v>10</v>
      </c>
      <c r="D2777" s="28" t="s">
        <v>1108</v>
      </c>
      <c r="E2777" s="28"/>
      <c r="F2777" s="28">
        <v>0</v>
      </c>
      <c r="G2777" s="28" t="s">
        <v>125</v>
      </c>
      <c r="H2777" s="28">
        <v>0</v>
      </c>
      <c r="J2777" s="28"/>
    </row>
    <row r="2778" spans="1:10" ht="15.75" customHeight="1">
      <c r="A2778" s="28">
        <v>16857</v>
      </c>
      <c r="B2778" s="91">
        <v>44895.099652777775</v>
      </c>
      <c r="C2778" s="28" t="s">
        <v>10</v>
      </c>
      <c r="D2778" s="28" t="s">
        <v>1108</v>
      </c>
      <c r="E2778" s="28"/>
      <c r="F2778" s="28">
        <v>18</v>
      </c>
      <c r="G2778" s="28" t="s">
        <v>457</v>
      </c>
      <c r="H2778" s="28">
        <v>0</v>
      </c>
      <c r="J2778" s="28"/>
    </row>
    <row r="2779" spans="1:10" ht="15.75" customHeight="1">
      <c r="A2779" s="28">
        <v>16854</v>
      </c>
      <c r="B2779" s="91">
        <v>44894.685208333336</v>
      </c>
      <c r="C2779" s="28" t="s">
        <v>10</v>
      </c>
      <c r="D2779" s="28" t="s">
        <v>1109</v>
      </c>
      <c r="E2779" s="28"/>
      <c r="F2779" s="28">
        <v>25</v>
      </c>
      <c r="G2779" s="28" t="s">
        <v>1106</v>
      </c>
      <c r="H2779" s="28">
        <v>0</v>
      </c>
      <c r="J2779" s="28"/>
    </row>
    <row r="2780" spans="1:10" ht="15.75" customHeight="1">
      <c r="A2780" s="28">
        <v>16854</v>
      </c>
      <c r="B2780" s="91">
        <v>44894.685208333336</v>
      </c>
      <c r="C2780" s="28" t="s">
        <v>10</v>
      </c>
      <c r="D2780" s="28" t="s">
        <v>1109</v>
      </c>
      <c r="E2780" s="28"/>
      <c r="F2780" s="28">
        <v>0</v>
      </c>
      <c r="G2780" s="28" t="s">
        <v>884</v>
      </c>
      <c r="H2780" s="28">
        <v>0</v>
      </c>
      <c r="J2780" s="28"/>
    </row>
    <row r="2781" spans="1:10" ht="15.75" customHeight="1">
      <c r="A2781" s="28">
        <v>16854</v>
      </c>
      <c r="B2781" s="91">
        <v>44894.685208333336</v>
      </c>
      <c r="C2781" s="28" t="s">
        <v>10</v>
      </c>
      <c r="D2781" s="28" t="s">
        <v>1109</v>
      </c>
      <c r="E2781" s="28"/>
      <c r="F2781" s="28">
        <v>0</v>
      </c>
      <c r="G2781" s="28" t="s">
        <v>882</v>
      </c>
      <c r="H2781" s="28">
        <v>0</v>
      </c>
      <c r="J2781" s="28"/>
    </row>
    <row r="2782" spans="1:10" ht="15.75" customHeight="1">
      <c r="A2782" s="28">
        <v>16853</v>
      </c>
      <c r="B2782" s="91">
        <v>44894.522395833337</v>
      </c>
      <c r="C2782" s="28" t="s">
        <v>10</v>
      </c>
      <c r="D2782" s="28" t="s">
        <v>165</v>
      </c>
      <c r="E2782" s="28"/>
      <c r="F2782" s="28">
        <v>25</v>
      </c>
      <c r="G2782" s="28" t="s">
        <v>1106</v>
      </c>
      <c r="H2782" s="28">
        <v>0</v>
      </c>
      <c r="J2782" s="28"/>
    </row>
    <row r="2783" spans="1:10" ht="15.75" customHeight="1">
      <c r="A2783" s="28">
        <v>16853</v>
      </c>
      <c r="B2783" s="91">
        <v>44894.522395833337</v>
      </c>
      <c r="C2783" s="28" t="s">
        <v>10</v>
      </c>
      <c r="D2783" s="28" t="s">
        <v>165</v>
      </c>
      <c r="E2783" s="28"/>
      <c r="F2783" s="28">
        <v>0</v>
      </c>
      <c r="G2783" s="28" t="s">
        <v>884</v>
      </c>
      <c r="H2783" s="28">
        <v>0</v>
      </c>
      <c r="J2783" s="28"/>
    </row>
    <row r="2784" spans="1:10" ht="15.75" customHeight="1">
      <c r="A2784" s="28">
        <v>16853</v>
      </c>
      <c r="B2784" s="91">
        <v>44894.522395833337</v>
      </c>
      <c r="C2784" s="28" t="s">
        <v>10</v>
      </c>
      <c r="D2784" s="28" t="s">
        <v>165</v>
      </c>
      <c r="E2784" s="28"/>
      <c r="F2784" s="28">
        <v>0</v>
      </c>
      <c r="G2784" s="28" t="s">
        <v>882</v>
      </c>
      <c r="H2784" s="28">
        <v>0</v>
      </c>
      <c r="J2784" s="28"/>
    </row>
    <row r="2785" spans="1:10" ht="15.75" customHeight="1">
      <c r="A2785" s="28">
        <v>16853</v>
      </c>
      <c r="B2785" s="91">
        <v>44894.522395833337</v>
      </c>
      <c r="C2785" s="28" t="s">
        <v>10</v>
      </c>
      <c r="D2785" s="28" t="s">
        <v>165</v>
      </c>
      <c r="E2785" s="28"/>
      <c r="F2785" s="28">
        <v>25</v>
      </c>
      <c r="G2785" s="28">
        <v>100692</v>
      </c>
      <c r="H2785" s="28">
        <v>0</v>
      </c>
      <c r="J2785" s="28"/>
    </row>
    <row r="2786" spans="1:10" ht="15.75" customHeight="1">
      <c r="A2786" s="28">
        <v>16853</v>
      </c>
      <c r="B2786" s="91">
        <v>44894.522395833337</v>
      </c>
      <c r="C2786" s="28" t="s">
        <v>10</v>
      </c>
      <c r="D2786" s="28" t="s">
        <v>165</v>
      </c>
      <c r="E2786" s="28"/>
      <c r="F2786" s="28">
        <v>0</v>
      </c>
      <c r="G2786" s="28" t="s">
        <v>125</v>
      </c>
      <c r="H2786" s="28">
        <v>0</v>
      </c>
      <c r="J2786" s="28"/>
    </row>
    <row r="2787" spans="1:10" ht="15.75" customHeight="1">
      <c r="A2787" s="28">
        <v>16853</v>
      </c>
      <c r="B2787" s="91">
        <v>44894.522395833337</v>
      </c>
      <c r="C2787" s="28" t="s">
        <v>10</v>
      </c>
      <c r="D2787" s="28" t="s">
        <v>165</v>
      </c>
      <c r="E2787" s="28"/>
      <c r="F2787" s="28">
        <v>0</v>
      </c>
      <c r="G2787" s="28" t="s">
        <v>119</v>
      </c>
      <c r="H2787" s="28">
        <v>0</v>
      </c>
      <c r="J2787" s="28"/>
    </row>
    <row r="2788" spans="1:10" ht="15.75" customHeight="1">
      <c r="A2788" s="28">
        <v>16851</v>
      </c>
      <c r="B2788" s="91">
        <v>44894.095902777779</v>
      </c>
      <c r="C2788" s="28" t="s">
        <v>10</v>
      </c>
      <c r="D2788" s="28" t="s">
        <v>1110</v>
      </c>
      <c r="E2788" s="28"/>
      <c r="F2788" s="28">
        <v>55</v>
      </c>
      <c r="G2788" s="28">
        <v>101684</v>
      </c>
      <c r="H2788" s="28">
        <v>0</v>
      </c>
      <c r="J2788" s="28"/>
    </row>
    <row r="2789" spans="1:10" ht="15.75" customHeight="1">
      <c r="A2789" s="28">
        <v>16851</v>
      </c>
      <c r="B2789" s="91">
        <v>44894.095902777779</v>
      </c>
      <c r="C2789" s="28" t="s">
        <v>10</v>
      </c>
      <c r="D2789" s="28" t="s">
        <v>1110</v>
      </c>
      <c r="E2789" s="28"/>
      <c r="F2789" s="28">
        <v>0</v>
      </c>
      <c r="G2789" s="28" t="s">
        <v>118</v>
      </c>
      <c r="H2789" s="28">
        <v>0</v>
      </c>
      <c r="J2789" s="28"/>
    </row>
    <row r="2790" spans="1:10" ht="15.75" customHeight="1">
      <c r="A2790" s="28">
        <v>16851</v>
      </c>
      <c r="B2790" s="91">
        <v>44894.095902777779</v>
      </c>
      <c r="C2790" s="28" t="s">
        <v>10</v>
      </c>
      <c r="D2790" s="28" t="s">
        <v>1110</v>
      </c>
      <c r="E2790" s="28"/>
      <c r="F2790" s="28">
        <v>0</v>
      </c>
      <c r="G2790" s="28" t="s">
        <v>119</v>
      </c>
      <c r="H2790" s="28">
        <v>0</v>
      </c>
      <c r="J2790" s="28"/>
    </row>
    <row r="2791" spans="1:10" ht="15.75" customHeight="1">
      <c r="A2791" s="28">
        <v>16851</v>
      </c>
      <c r="B2791" s="91">
        <v>44894.095902777779</v>
      </c>
      <c r="C2791" s="28" t="s">
        <v>10</v>
      </c>
      <c r="D2791" s="28" t="s">
        <v>1110</v>
      </c>
      <c r="E2791" s="28"/>
      <c r="F2791" s="28">
        <v>0</v>
      </c>
      <c r="G2791" s="28" t="s">
        <v>120</v>
      </c>
      <c r="H2791" s="28">
        <v>0</v>
      </c>
      <c r="J2791" s="28"/>
    </row>
    <row r="2792" spans="1:10" ht="15.75" customHeight="1">
      <c r="A2792" s="28">
        <v>16851</v>
      </c>
      <c r="B2792" s="91">
        <v>44894.095902777779</v>
      </c>
      <c r="C2792" s="28" t="s">
        <v>10</v>
      </c>
      <c r="D2792" s="28" t="s">
        <v>1110</v>
      </c>
      <c r="E2792" s="28"/>
      <c r="F2792" s="28">
        <v>0</v>
      </c>
      <c r="G2792" s="28" t="s">
        <v>121</v>
      </c>
      <c r="H2792" s="28">
        <v>0</v>
      </c>
      <c r="J2792" s="28"/>
    </row>
    <row r="2793" spans="1:10" ht="15.75" customHeight="1">
      <c r="A2793" s="28">
        <v>16851</v>
      </c>
      <c r="B2793" s="91">
        <v>44894.095902777779</v>
      </c>
      <c r="C2793" s="28" t="s">
        <v>10</v>
      </c>
      <c r="D2793" s="28" t="s">
        <v>1110</v>
      </c>
      <c r="E2793" s="28"/>
      <c r="F2793" s="28">
        <v>15</v>
      </c>
      <c r="G2793" s="28" t="s">
        <v>170</v>
      </c>
      <c r="H2793" s="28">
        <v>0</v>
      </c>
      <c r="J2793" s="28"/>
    </row>
    <row r="2794" spans="1:10" ht="15.75" customHeight="1">
      <c r="A2794" s="28">
        <v>16851</v>
      </c>
      <c r="B2794" s="91">
        <v>44894.095902777779</v>
      </c>
      <c r="C2794" s="28" t="s">
        <v>10</v>
      </c>
      <c r="D2794" s="28" t="s">
        <v>1110</v>
      </c>
      <c r="E2794" s="28"/>
      <c r="F2794" s="28">
        <v>22</v>
      </c>
      <c r="G2794" s="28" t="s">
        <v>137</v>
      </c>
      <c r="H2794" s="28">
        <v>0</v>
      </c>
      <c r="J2794" s="28"/>
    </row>
    <row r="2795" spans="1:10" ht="15.75" customHeight="1">
      <c r="A2795" s="28">
        <v>16850</v>
      </c>
      <c r="B2795" s="91">
        <v>44893.887141203704</v>
      </c>
      <c r="C2795" s="28" t="s">
        <v>10</v>
      </c>
      <c r="D2795" s="28" t="s">
        <v>1111</v>
      </c>
      <c r="E2795" s="28"/>
      <c r="F2795" s="28">
        <v>55</v>
      </c>
      <c r="G2795" s="28">
        <v>101684</v>
      </c>
      <c r="H2795" s="28">
        <v>0</v>
      </c>
      <c r="J2795" s="28"/>
    </row>
    <row r="2796" spans="1:10" ht="15.75" customHeight="1">
      <c r="A2796" s="28">
        <v>16850</v>
      </c>
      <c r="B2796" s="91">
        <v>44893.887141203704</v>
      </c>
      <c r="C2796" s="28" t="s">
        <v>10</v>
      </c>
      <c r="D2796" s="28" t="s">
        <v>1111</v>
      </c>
      <c r="E2796" s="28"/>
      <c r="F2796" s="28">
        <v>0</v>
      </c>
      <c r="G2796" s="28" t="s">
        <v>118</v>
      </c>
      <c r="H2796" s="28">
        <v>0</v>
      </c>
      <c r="J2796" s="28"/>
    </row>
    <row r="2797" spans="1:10" ht="15.75" customHeight="1">
      <c r="A2797" s="28">
        <v>16850</v>
      </c>
      <c r="B2797" s="91">
        <v>44893.887141203704</v>
      </c>
      <c r="C2797" s="28" t="s">
        <v>10</v>
      </c>
      <c r="D2797" s="28" t="s">
        <v>1111</v>
      </c>
      <c r="E2797" s="28"/>
      <c r="F2797" s="28">
        <v>0</v>
      </c>
      <c r="G2797" s="28" t="s">
        <v>119</v>
      </c>
      <c r="H2797" s="28">
        <v>0</v>
      </c>
      <c r="J2797" s="28"/>
    </row>
    <row r="2798" spans="1:10" ht="15.75" customHeight="1">
      <c r="A2798" s="28">
        <v>16850</v>
      </c>
      <c r="B2798" s="91">
        <v>44893.887141203704</v>
      </c>
      <c r="C2798" s="28" t="s">
        <v>10</v>
      </c>
      <c r="D2798" s="28" t="s">
        <v>1111</v>
      </c>
      <c r="E2798" s="28"/>
      <c r="F2798" s="28">
        <v>0</v>
      </c>
      <c r="G2798" s="28" t="s">
        <v>120</v>
      </c>
      <c r="H2798" s="28">
        <v>0</v>
      </c>
      <c r="J2798" s="28"/>
    </row>
    <row r="2799" spans="1:10" ht="15.75" customHeight="1">
      <c r="A2799" s="28">
        <v>16850</v>
      </c>
      <c r="B2799" s="91">
        <v>44893.887141203704</v>
      </c>
      <c r="C2799" s="28" t="s">
        <v>10</v>
      </c>
      <c r="D2799" s="28" t="s">
        <v>1111</v>
      </c>
      <c r="E2799" s="28"/>
      <c r="F2799" s="28">
        <v>0</v>
      </c>
      <c r="G2799" s="28" t="s">
        <v>121</v>
      </c>
      <c r="H2799" s="28">
        <v>0</v>
      </c>
      <c r="J2799" s="28"/>
    </row>
    <row r="2800" spans="1:10" ht="15.75" customHeight="1">
      <c r="A2800" s="28">
        <v>16849</v>
      </c>
      <c r="B2800" s="91">
        <v>44893.856192129635</v>
      </c>
      <c r="C2800" s="28" t="s">
        <v>10</v>
      </c>
      <c r="D2800" s="28" t="s">
        <v>123</v>
      </c>
      <c r="E2800" s="28"/>
      <c r="F2800" s="28">
        <v>25</v>
      </c>
      <c r="G2800" s="28" t="s">
        <v>1106</v>
      </c>
      <c r="H2800" s="28">
        <v>0</v>
      </c>
      <c r="J2800" s="28"/>
    </row>
    <row r="2801" spans="1:10" ht="15.75" customHeight="1">
      <c r="A2801" s="28">
        <v>16849</v>
      </c>
      <c r="B2801" s="91">
        <v>44893.856192129635</v>
      </c>
      <c r="C2801" s="28" t="s">
        <v>10</v>
      </c>
      <c r="D2801" s="28" t="s">
        <v>123</v>
      </c>
      <c r="E2801" s="28"/>
      <c r="F2801" s="28">
        <v>0</v>
      </c>
      <c r="G2801" s="28" t="s">
        <v>884</v>
      </c>
      <c r="H2801" s="28">
        <v>0</v>
      </c>
      <c r="J2801" s="28"/>
    </row>
    <row r="2802" spans="1:10" ht="15.75" customHeight="1">
      <c r="A2802" s="28">
        <v>16849</v>
      </c>
      <c r="B2802" s="91">
        <v>44893.856192129635</v>
      </c>
      <c r="C2802" s="28" t="s">
        <v>10</v>
      </c>
      <c r="D2802" s="28" t="s">
        <v>123</v>
      </c>
      <c r="E2802" s="28"/>
      <c r="F2802" s="28">
        <v>0</v>
      </c>
      <c r="G2802" s="28" t="s">
        <v>882</v>
      </c>
      <c r="H2802" s="28">
        <v>0</v>
      </c>
      <c r="J2802" s="28"/>
    </row>
    <row r="2803" spans="1:10" ht="15.75" customHeight="1">
      <c r="A2803" s="28">
        <v>16849</v>
      </c>
      <c r="B2803" s="91">
        <v>44893.856192129635</v>
      </c>
      <c r="C2803" s="28" t="s">
        <v>10</v>
      </c>
      <c r="D2803" s="28" t="s">
        <v>123</v>
      </c>
      <c r="E2803" s="28"/>
      <c r="F2803" s="28">
        <v>24</v>
      </c>
      <c r="G2803" s="28" t="s">
        <v>122</v>
      </c>
      <c r="H2803" s="28">
        <v>0</v>
      </c>
      <c r="J2803" s="28"/>
    </row>
    <row r="2804" spans="1:10" ht="15.75" customHeight="1">
      <c r="A2804" s="28">
        <v>16849</v>
      </c>
      <c r="B2804" s="91">
        <v>44893.856192129635</v>
      </c>
      <c r="C2804" s="28" t="s">
        <v>10</v>
      </c>
      <c r="D2804" s="28" t="s">
        <v>123</v>
      </c>
      <c r="E2804" s="28"/>
      <c r="F2804" s="28">
        <v>25</v>
      </c>
      <c r="G2804" s="28" t="s">
        <v>118</v>
      </c>
      <c r="H2804" s="28">
        <v>0</v>
      </c>
      <c r="J2804" s="28"/>
    </row>
    <row r="2805" spans="1:10" ht="15.75" customHeight="1">
      <c r="A2805" s="28">
        <v>16848</v>
      </c>
      <c r="B2805" s="91">
        <v>44893.737523148149</v>
      </c>
      <c r="C2805" s="28" t="s">
        <v>10</v>
      </c>
      <c r="D2805" s="28" t="s">
        <v>1097</v>
      </c>
      <c r="E2805" s="28"/>
      <c r="F2805" s="28">
        <v>0</v>
      </c>
      <c r="G2805" s="28" t="s">
        <v>124</v>
      </c>
      <c r="H2805" s="28">
        <v>0</v>
      </c>
      <c r="J2805" s="28"/>
    </row>
    <row r="2806" spans="1:10" ht="15.75" customHeight="1">
      <c r="A2806" s="28">
        <v>16848</v>
      </c>
      <c r="B2806" s="91">
        <v>44893.737523148149</v>
      </c>
      <c r="C2806" s="28" t="s">
        <v>10</v>
      </c>
      <c r="D2806" s="28" t="s">
        <v>1097</v>
      </c>
      <c r="E2806" s="28"/>
      <c r="F2806" s="28">
        <v>0</v>
      </c>
      <c r="G2806" s="28" t="s">
        <v>125</v>
      </c>
      <c r="H2806" s="28">
        <v>0</v>
      </c>
      <c r="J2806" s="28"/>
    </row>
    <row r="2807" spans="1:10" ht="15.75" customHeight="1">
      <c r="A2807" s="28">
        <v>16848</v>
      </c>
      <c r="B2807" s="91">
        <v>44893.737523148149</v>
      </c>
      <c r="C2807" s="28" t="s">
        <v>10</v>
      </c>
      <c r="D2807" s="28" t="s">
        <v>1097</v>
      </c>
      <c r="E2807" s="28"/>
      <c r="F2807" s="28">
        <v>0</v>
      </c>
      <c r="G2807" s="28" t="s">
        <v>121</v>
      </c>
      <c r="H2807" s="28">
        <v>0</v>
      </c>
      <c r="J2807" s="28"/>
    </row>
    <row r="2808" spans="1:10" ht="15.75" customHeight="1">
      <c r="A2808" s="28">
        <v>16848</v>
      </c>
      <c r="B2808" s="91">
        <v>44893.737523148149</v>
      </c>
      <c r="C2808" s="28" t="s">
        <v>10</v>
      </c>
      <c r="D2808" s="28" t="s">
        <v>1097</v>
      </c>
      <c r="E2808" s="28"/>
      <c r="F2808" s="28">
        <v>0</v>
      </c>
      <c r="G2808" s="28" t="s">
        <v>119</v>
      </c>
      <c r="H2808" s="28">
        <v>0</v>
      </c>
      <c r="J2808" s="28"/>
    </row>
    <row r="2809" spans="1:10" ht="15.75" customHeight="1">
      <c r="A2809" s="28">
        <v>16847</v>
      </c>
      <c r="B2809" s="91">
        <v>44893.067430555559</v>
      </c>
      <c r="C2809" s="28" t="s">
        <v>10</v>
      </c>
      <c r="D2809" s="28" t="s">
        <v>1112</v>
      </c>
      <c r="E2809" s="28"/>
      <c r="F2809" s="28">
        <v>25</v>
      </c>
      <c r="G2809" s="28" t="s">
        <v>1106</v>
      </c>
      <c r="H2809" s="28">
        <v>0</v>
      </c>
      <c r="J2809" s="28"/>
    </row>
    <row r="2810" spans="1:10" ht="15.75" customHeight="1">
      <c r="A2810" s="28">
        <v>16847</v>
      </c>
      <c r="B2810" s="91">
        <v>44893.067430555559</v>
      </c>
      <c r="C2810" s="28" t="s">
        <v>10</v>
      </c>
      <c r="D2810" s="28" t="s">
        <v>1112</v>
      </c>
      <c r="E2810" s="28"/>
      <c r="F2810" s="28">
        <v>0</v>
      </c>
      <c r="G2810" s="28" t="s">
        <v>884</v>
      </c>
      <c r="H2810" s="28">
        <v>0</v>
      </c>
      <c r="J2810" s="28"/>
    </row>
    <row r="2811" spans="1:10" ht="15.75" customHeight="1">
      <c r="A2811" s="28">
        <v>16847</v>
      </c>
      <c r="B2811" s="91">
        <v>44893.067430555559</v>
      </c>
      <c r="C2811" s="28" t="s">
        <v>10</v>
      </c>
      <c r="D2811" s="28" t="s">
        <v>1112</v>
      </c>
      <c r="E2811" s="28"/>
      <c r="F2811" s="28">
        <v>0</v>
      </c>
      <c r="G2811" s="28" t="s">
        <v>882</v>
      </c>
      <c r="H2811" s="28">
        <v>0</v>
      </c>
      <c r="J2811" s="28"/>
    </row>
    <row r="2812" spans="1:10" ht="15.75" customHeight="1">
      <c r="A2812" s="28">
        <v>16846</v>
      </c>
      <c r="B2812" s="91">
        <v>44892.962407407409</v>
      </c>
      <c r="C2812" s="28" t="s">
        <v>10</v>
      </c>
      <c r="D2812" s="28" t="s">
        <v>155</v>
      </c>
      <c r="E2812" s="28"/>
      <c r="F2812" s="28">
        <v>25</v>
      </c>
      <c r="G2812" s="28" t="s">
        <v>1106</v>
      </c>
      <c r="H2812" s="28">
        <v>0</v>
      </c>
      <c r="J2812" s="28"/>
    </row>
    <row r="2813" spans="1:10" ht="15.75" customHeight="1">
      <c r="A2813" s="28">
        <v>16846</v>
      </c>
      <c r="B2813" s="91">
        <v>44892.962407407409</v>
      </c>
      <c r="C2813" s="28" t="s">
        <v>10</v>
      </c>
      <c r="D2813" s="28" t="s">
        <v>155</v>
      </c>
      <c r="E2813" s="28"/>
      <c r="F2813" s="28">
        <v>0</v>
      </c>
      <c r="G2813" s="28" t="s">
        <v>884</v>
      </c>
      <c r="H2813" s="28">
        <v>0</v>
      </c>
      <c r="J2813" s="28"/>
    </row>
    <row r="2814" spans="1:10" ht="15.75" customHeight="1">
      <c r="A2814" s="28">
        <v>16846</v>
      </c>
      <c r="B2814" s="91">
        <v>44892.962407407409</v>
      </c>
      <c r="C2814" s="28" t="s">
        <v>10</v>
      </c>
      <c r="D2814" s="28" t="s">
        <v>155</v>
      </c>
      <c r="E2814" s="28"/>
      <c r="F2814" s="28">
        <v>0</v>
      </c>
      <c r="G2814" s="28" t="s">
        <v>882</v>
      </c>
      <c r="H2814" s="28">
        <v>0</v>
      </c>
      <c r="J2814" s="28"/>
    </row>
    <row r="2815" spans="1:10" ht="15.75" customHeight="1">
      <c r="A2815" s="28">
        <v>16845</v>
      </c>
      <c r="B2815" s="91">
        <v>44892.934594907405</v>
      </c>
      <c r="C2815" s="28" t="s">
        <v>10</v>
      </c>
      <c r="D2815" s="28" t="s">
        <v>1113</v>
      </c>
      <c r="E2815" s="28"/>
      <c r="F2815" s="28">
        <v>25</v>
      </c>
      <c r="G2815" s="28" t="s">
        <v>1106</v>
      </c>
      <c r="H2815" s="28">
        <v>0</v>
      </c>
      <c r="J2815" s="28"/>
    </row>
    <row r="2816" spans="1:10" ht="15.75" customHeight="1">
      <c r="A2816" s="28">
        <v>16845</v>
      </c>
      <c r="B2816" s="91">
        <v>44892.934594907405</v>
      </c>
      <c r="C2816" s="28" t="s">
        <v>10</v>
      </c>
      <c r="D2816" s="28" t="s">
        <v>1113</v>
      </c>
      <c r="E2816" s="28"/>
      <c r="F2816" s="28">
        <v>0</v>
      </c>
      <c r="G2816" s="28" t="s">
        <v>884</v>
      </c>
      <c r="H2816" s="28">
        <v>0</v>
      </c>
      <c r="J2816" s="28"/>
    </row>
    <row r="2817" spans="1:10" ht="15.75" customHeight="1">
      <c r="A2817" s="28">
        <v>16845</v>
      </c>
      <c r="B2817" s="91">
        <v>44892.934594907405</v>
      </c>
      <c r="C2817" s="28" t="s">
        <v>10</v>
      </c>
      <c r="D2817" s="28" t="s">
        <v>1113</v>
      </c>
      <c r="E2817" s="28"/>
      <c r="F2817" s="28">
        <v>0</v>
      </c>
      <c r="G2817" s="28" t="s">
        <v>882</v>
      </c>
      <c r="H2817" s="28">
        <v>0</v>
      </c>
      <c r="J2817" s="28"/>
    </row>
    <row r="2818" spans="1:10" ht="15.75" customHeight="1">
      <c r="A2818" s="28">
        <v>16845</v>
      </c>
      <c r="B2818" s="91">
        <v>44892.934594907405</v>
      </c>
      <c r="C2818" s="28" t="s">
        <v>10</v>
      </c>
      <c r="D2818" s="28" t="s">
        <v>1113</v>
      </c>
      <c r="E2818" s="28"/>
      <c r="F2818" s="28">
        <v>24</v>
      </c>
      <c r="G2818" s="28" t="s">
        <v>122</v>
      </c>
      <c r="H2818" s="28">
        <v>0</v>
      </c>
      <c r="J2818" s="28"/>
    </row>
    <row r="2819" spans="1:10" ht="15.75" customHeight="1">
      <c r="A2819" s="28">
        <v>16840</v>
      </c>
      <c r="B2819" s="91">
        <v>44892.151076388887</v>
      </c>
      <c r="C2819" s="28" t="s">
        <v>10</v>
      </c>
      <c r="D2819" s="28" t="s">
        <v>1097</v>
      </c>
      <c r="E2819" s="28"/>
      <c r="F2819" s="28">
        <v>0</v>
      </c>
      <c r="G2819" s="28" t="s">
        <v>124</v>
      </c>
      <c r="H2819" s="28">
        <v>0</v>
      </c>
      <c r="J2819" s="28"/>
    </row>
    <row r="2820" spans="1:10" ht="15.75" customHeight="1">
      <c r="A2820" s="28">
        <v>16840</v>
      </c>
      <c r="B2820" s="91">
        <v>44892.151076388887</v>
      </c>
      <c r="C2820" s="28" t="s">
        <v>10</v>
      </c>
      <c r="D2820" s="28" t="s">
        <v>1097</v>
      </c>
      <c r="E2820" s="28"/>
      <c r="F2820" s="28">
        <v>0</v>
      </c>
      <c r="G2820" s="28" t="s">
        <v>125</v>
      </c>
      <c r="H2820" s="28">
        <v>0</v>
      </c>
      <c r="J2820" s="28"/>
    </row>
    <row r="2821" spans="1:10" ht="15.75" customHeight="1">
      <c r="A2821" s="28">
        <v>16840</v>
      </c>
      <c r="B2821" s="91">
        <v>44892.151076388887</v>
      </c>
      <c r="C2821" s="28" t="s">
        <v>10</v>
      </c>
      <c r="D2821" s="28" t="s">
        <v>1097</v>
      </c>
      <c r="E2821" s="28"/>
      <c r="F2821" s="28">
        <v>0</v>
      </c>
      <c r="G2821" s="28" t="s">
        <v>121</v>
      </c>
      <c r="H2821" s="28">
        <v>0</v>
      </c>
      <c r="J2821" s="28"/>
    </row>
    <row r="2822" spans="1:10" ht="15.75" customHeight="1">
      <c r="A2822" s="28">
        <v>16840</v>
      </c>
      <c r="B2822" s="91">
        <v>44892.151076388887</v>
      </c>
      <c r="C2822" s="28" t="s">
        <v>10</v>
      </c>
      <c r="D2822" s="28" t="s">
        <v>1097</v>
      </c>
      <c r="E2822" s="28"/>
      <c r="F2822" s="28">
        <v>0</v>
      </c>
      <c r="G2822" s="28" t="s">
        <v>119</v>
      </c>
      <c r="H2822" s="28">
        <v>0</v>
      </c>
      <c r="J2822" s="28"/>
    </row>
    <row r="2823" spans="1:10" ht="15.75" customHeight="1">
      <c r="A2823" s="28">
        <v>16839</v>
      </c>
      <c r="B2823" s="91">
        <v>44891.822013888886</v>
      </c>
      <c r="C2823" s="28" t="s">
        <v>10</v>
      </c>
      <c r="D2823" s="28" t="s">
        <v>145</v>
      </c>
      <c r="E2823" s="28"/>
      <c r="F2823" s="28">
        <v>25</v>
      </c>
      <c r="G2823" s="28" t="s">
        <v>1106</v>
      </c>
      <c r="H2823" s="28">
        <v>0</v>
      </c>
      <c r="J2823" s="28"/>
    </row>
    <row r="2824" spans="1:10" ht="15.75" customHeight="1">
      <c r="A2824" s="28">
        <v>16839</v>
      </c>
      <c r="B2824" s="91">
        <v>44891.822013888886</v>
      </c>
      <c r="C2824" s="28" t="s">
        <v>10</v>
      </c>
      <c r="D2824" s="28" t="s">
        <v>145</v>
      </c>
      <c r="E2824" s="28"/>
      <c r="F2824" s="28">
        <v>0</v>
      </c>
      <c r="G2824" s="28" t="s">
        <v>884</v>
      </c>
      <c r="H2824" s="28">
        <v>0</v>
      </c>
      <c r="J2824" s="28"/>
    </row>
    <row r="2825" spans="1:10" ht="15.75" customHeight="1">
      <c r="A2825" s="28">
        <v>16839</v>
      </c>
      <c r="B2825" s="91">
        <v>44891.822013888886</v>
      </c>
      <c r="C2825" s="28" t="s">
        <v>10</v>
      </c>
      <c r="D2825" s="28" t="s">
        <v>145</v>
      </c>
      <c r="E2825" s="28"/>
      <c r="F2825" s="28">
        <v>0</v>
      </c>
      <c r="G2825" s="28" t="s">
        <v>882</v>
      </c>
      <c r="H2825" s="28">
        <v>0</v>
      </c>
      <c r="J2825" s="28"/>
    </row>
    <row r="2826" spans="1:10" ht="15.75" customHeight="1">
      <c r="A2826" s="28">
        <v>16838</v>
      </c>
      <c r="B2826" s="91">
        <v>44891.805891203709</v>
      </c>
      <c r="C2826" s="28" t="s">
        <v>10</v>
      </c>
      <c r="D2826" s="28" t="s">
        <v>1114</v>
      </c>
      <c r="E2826" s="28"/>
      <c r="F2826" s="28">
        <v>0</v>
      </c>
      <c r="G2826" s="28" t="s">
        <v>139</v>
      </c>
      <c r="H2826" s="28">
        <v>0</v>
      </c>
      <c r="J2826" s="28"/>
    </row>
    <row r="2827" spans="1:10" ht="15.75" customHeight="1">
      <c r="A2827" s="28">
        <v>16837</v>
      </c>
      <c r="B2827" s="91">
        <v>44891.803622685184</v>
      </c>
      <c r="C2827" s="28" t="s">
        <v>10</v>
      </c>
      <c r="D2827" s="28" t="s">
        <v>1114</v>
      </c>
      <c r="E2827" s="28"/>
      <c r="F2827" s="28">
        <v>25</v>
      </c>
      <c r="G2827" s="28">
        <v>100692</v>
      </c>
      <c r="H2827" s="28">
        <v>0</v>
      </c>
      <c r="J2827" s="28"/>
    </row>
    <row r="2828" spans="1:10" ht="15.75" customHeight="1">
      <c r="A2828" s="28">
        <v>16837</v>
      </c>
      <c r="B2828" s="91">
        <v>44891.803622685184</v>
      </c>
      <c r="C2828" s="28" t="s">
        <v>10</v>
      </c>
      <c r="D2828" s="28" t="s">
        <v>1114</v>
      </c>
      <c r="E2828" s="28"/>
      <c r="F2828" s="28">
        <v>0</v>
      </c>
      <c r="G2828" s="28" t="s">
        <v>125</v>
      </c>
      <c r="H2828" s="28">
        <v>0</v>
      </c>
      <c r="J2828" s="28"/>
    </row>
    <row r="2829" spans="1:10" ht="15.75" customHeight="1">
      <c r="A2829" s="28">
        <v>16837</v>
      </c>
      <c r="B2829" s="91">
        <v>44891.803622685184</v>
      </c>
      <c r="C2829" s="28" t="s">
        <v>10</v>
      </c>
      <c r="D2829" s="28" t="s">
        <v>1114</v>
      </c>
      <c r="E2829" s="28"/>
      <c r="F2829" s="28">
        <v>0</v>
      </c>
      <c r="G2829" s="28" t="s">
        <v>119</v>
      </c>
      <c r="H2829" s="28">
        <v>0</v>
      </c>
      <c r="J2829" s="28"/>
    </row>
    <row r="2830" spans="1:10" ht="15.75" customHeight="1">
      <c r="A2830" s="28">
        <v>16837</v>
      </c>
      <c r="B2830" s="91">
        <v>44891.803622685184</v>
      </c>
      <c r="C2830" s="28" t="s">
        <v>10</v>
      </c>
      <c r="D2830" s="28" t="s">
        <v>1114</v>
      </c>
      <c r="E2830" s="28"/>
      <c r="F2830" s="28">
        <v>22</v>
      </c>
      <c r="G2830" s="28" t="s">
        <v>137</v>
      </c>
      <c r="H2830" s="28">
        <v>0</v>
      </c>
      <c r="J2830" s="28"/>
    </row>
    <row r="2831" spans="1:10" ht="15.75" customHeight="1">
      <c r="A2831" s="28">
        <v>16836</v>
      </c>
      <c r="B2831" s="91">
        <v>44890.898483796293</v>
      </c>
      <c r="C2831" s="28" t="s">
        <v>10</v>
      </c>
      <c r="D2831" s="28" t="s">
        <v>1115</v>
      </c>
      <c r="E2831" s="28" t="s">
        <v>50</v>
      </c>
      <c r="F2831" s="28">
        <v>25</v>
      </c>
      <c r="G2831" s="28">
        <v>100692</v>
      </c>
      <c r="H2831" s="28">
        <v>0</v>
      </c>
      <c r="J2831" s="28"/>
    </row>
    <row r="2832" spans="1:10" ht="15.75" customHeight="1">
      <c r="A2832" s="28">
        <v>16836</v>
      </c>
      <c r="B2832" s="91">
        <v>44890.898483796293</v>
      </c>
      <c r="C2832" s="28" t="s">
        <v>10</v>
      </c>
      <c r="D2832" s="28" t="s">
        <v>1115</v>
      </c>
      <c r="E2832" s="28" t="s">
        <v>50</v>
      </c>
      <c r="F2832" s="28">
        <v>0</v>
      </c>
      <c r="G2832" s="28" t="s">
        <v>125</v>
      </c>
      <c r="H2832" s="28">
        <v>0</v>
      </c>
      <c r="J2832" s="28"/>
    </row>
    <row r="2833" spans="1:10" ht="15.75" customHeight="1">
      <c r="A2833" s="28">
        <v>16836</v>
      </c>
      <c r="B2833" s="91">
        <v>44890.898483796293</v>
      </c>
      <c r="C2833" s="28" t="s">
        <v>10</v>
      </c>
      <c r="D2833" s="28" t="s">
        <v>1115</v>
      </c>
      <c r="E2833" s="28" t="s">
        <v>50</v>
      </c>
      <c r="F2833" s="28">
        <v>0</v>
      </c>
      <c r="G2833" s="28" t="s">
        <v>119</v>
      </c>
      <c r="H2833" s="28">
        <v>0</v>
      </c>
      <c r="J2833" s="28"/>
    </row>
    <row r="2834" spans="1:10" ht="15.75" customHeight="1">
      <c r="A2834" s="28">
        <v>16835</v>
      </c>
      <c r="B2834" s="91">
        <v>44890.892060185186</v>
      </c>
      <c r="C2834" s="28" t="s">
        <v>10</v>
      </c>
      <c r="D2834" s="28" t="s">
        <v>1116</v>
      </c>
      <c r="E2834" s="28" t="s">
        <v>50</v>
      </c>
      <c r="F2834" s="28">
        <v>25</v>
      </c>
      <c r="G2834" s="28">
        <v>100692</v>
      </c>
      <c r="H2834" s="28">
        <v>0</v>
      </c>
      <c r="J2834" s="28"/>
    </row>
    <row r="2835" spans="1:10" ht="15.75" customHeight="1">
      <c r="A2835" s="28">
        <v>16835</v>
      </c>
      <c r="B2835" s="91">
        <v>44890.892060185186</v>
      </c>
      <c r="C2835" s="28" t="s">
        <v>10</v>
      </c>
      <c r="D2835" s="28" t="s">
        <v>1116</v>
      </c>
      <c r="E2835" s="28" t="s">
        <v>50</v>
      </c>
      <c r="F2835" s="28">
        <v>0</v>
      </c>
      <c r="G2835" s="28" t="s">
        <v>125</v>
      </c>
      <c r="H2835" s="28">
        <v>0</v>
      </c>
      <c r="J2835" s="28"/>
    </row>
    <row r="2836" spans="1:10" ht="15.75" customHeight="1">
      <c r="A2836" s="28">
        <v>16835</v>
      </c>
      <c r="B2836" s="91">
        <v>44890.892060185186</v>
      </c>
      <c r="C2836" s="28" t="s">
        <v>10</v>
      </c>
      <c r="D2836" s="28" t="s">
        <v>1116</v>
      </c>
      <c r="E2836" s="28" t="s">
        <v>50</v>
      </c>
      <c r="F2836" s="28">
        <v>0</v>
      </c>
      <c r="G2836" s="28" t="s">
        <v>119</v>
      </c>
      <c r="H2836" s="28">
        <v>0</v>
      </c>
      <c r="J2836" s="28"/>
    </row>
    <row r="2837" spans="1:10" ht="15.75" customHeight="1">
      <c r="A2837" s="28">
        <v>16834</v>
      </c>
      <c r="B2837" s="91">
        <v>44890.833807870367</v>
      </c>
      <c r="C2837" s="28" t="s">
        <v>10</v>
      </c>
      <c r="D2837" s="28" t="s">
        <v>149</v>
      </c>
      <c r="E2837" s="28" t="s">
        <v>74</v>
      </c>
      <c r="F2837" s="28">
        <v>25</v>
      </c>
      <c r="G2837" s="28" t="s">
        <v>1106</v>
      </c>
      <c r="H2837" s="28">
        <v>0</v>
      </c>
      <c r="J2837" s="28"/>
    </row>
    <row r="2838" spans="1:10" ht="15.75" customHeight="1">
      <c r="A2838" s="28">
        <v>16834</v>
      </c>
      <c r="B2838" s="91">
        <v>44890.833807870367</v>
      </c>
      <c r="C2838" s="28" t="s">
        <v>10</v>
      </c>
      <c r="D2838" s="28" t="s">
        <v>149</v>
      </c>
      <c r="E2838" s="28" t="s">
        <v>74</v>
      </c>
      <c r="F2838" s="28">
        <v>0</v>
      </c>
      <c r="G2838" s="28" t="s">
        <v>884</v>
      </c>
      <c r="H2838" s="28">
        <v>0</v>
      </c>
      <c r="J2838" s="28"/>
    </row>
    <row r="2839" spans="1:10" ht="15.75" customHeight="1">
      <c r="A2839" s="28">
        <v>16834</v>
      </c>
      <c r="B2839" s="91">
        <v>44890.833807870367</v>
      </c>
      <c r="C2839" s="28" t="s">
        <v>10</v>
      </c>
      <c r="D2839" s="28" t="s">
        <v>149</v>
      </c>
      <c r="E2839" s="28" t="s">
        <v>74</v>
      </c>
      <c r="F2839" s="28">
        <v>0</v>
      </c>
      <c r="G2839" s="28" t="s">
        <v>882</v>
      </c>
      <c r="H2839" s="28">
        <v>0</v>
      </c>
      <c r="J2839" s="28"/>
    </row>
    <row r="2840" spans="1:10" ht="15.75" customHeight="1">
      <c r="A2840" s="28">
        <v>16833</v>
      </c>
      <c r="B2840" s="91">
        <v>44890.786296296297</v>
      </c>
      <c r="C2840" s="28" t="s">
        <v>10</v>
      </c>
      <c r="D2840" s="28" t="s">
        <v>1117</v>
      </c>
      <c r="E2840" s="28" t="s">
        <v>50</v>
      </c>
      <c r="F2840" s="28">
        <v>70</v>
      </c>
      <c r="G2840" s="28" t="s">
        <v>124</v>
      </c>
      <c r="H2840" s="28">
        <v>0</v>
      </c>
      <c r="J2840" s="28"/>
    </row>
    <row r="2841" spans="1:10" ht="15.75" customHeight="1">
      <c r="A2841" s="28">
        <v>16833</v>
      </c>
      <c r="B2841" s="91">
        <v>44890.786296296297</v>
      </c>
      <c r="C2841" s="28" t="s">
        <v>10</v>
      </c>
      <c r="D2841" s="28" t="s">
        <v>1117</v>
      </c>
      <c r="E2841" s="28" t="s">
        <v>50</v>
      </c>
      <c r="F2841" s="28">
        <v>0</v>
      </c>
      <c r="G2841" s="28" t="s">
        <v>125</v>
      </c>
      <c r="H2841" s="28">
        <v>0</v>
      </c>
      <c r="J2841" s="28"/>
    </row>
    <row r="2842" spans="1:10" ht="15.75" customHeight="1">
      <c r="A2842" s="28">
        <v>16833</v>
      </c>
      <c r="B2842" s="91">
        <v>44890.786296296297</v>
      </c>
      <c r="C2842" s="28" t="s">
        <v>10</v>
      </c>
      <c r="D2842" s="28" t="s">
        <v>1117</v>
      </c>
      <c r="E2842" s="28" t="s">
        <v>50</v>
      </c>
      <c r="F2842" s="28">
        <v>0</v>
      </c>
      <c r="G2842" s="28" t="s">
        <v>121</v>
      </c>
      <c r="H2842" s="28">
        <v>0</v>
      </c>
      <c r="J2842" s="28"/>
    </row>
    <row r="2843" spans="1:10" ht="15.75" customHeight="1">
      <c r="A2843" s="28">
        <v>16833</v>
      </c>
      <c r="B2843" s="91">
        <v>44890.786296296297</v>
      </c>
      <c r="C2843" s="28" t="s">
        <v>10</v>
      </c>
      <c r="D2843" s="28" t="s">
        <v>1117</v>
      </c>
      <c r="E2843" s="28" t="s">
        <v>50</v>
      </c>
      <c r="F2843" s="28">
        <v>0</v>
      </c>
      <c r="G2843" s="28" t="s">
        <v>119</v>
      </c>
      <c r="H2843" s="28">
        <v>0</v>
      </c>
      <c r="J2843" s="28"/>
    </row>
    <row r="2844" spans="1:10" ht="15.75" customHeight="1">
      <c r="A2844" s="28">
        <v>16833</v>
      </c>
      <c r="B2844" s="91">
        <v>44890.786296296297</v>
      </c>
      <c r="C2844" s="28" t="s">
        <v>10</v>
      </c>
      <c r="D2844" s="28" t="s">
        <v>1117</v>
      </c>
      <c r="E2844" s="28" t="s">
        <v>50</v>
      </c>
      <c r="F2844" s="28">
        <v>20</v>
      </c>
      <c r="G2844" s="28" t="s">
        <v>205</v>
      </c>
      <c r="H2844" s="28">
        <v>0</v>
      </c>
      <c r="J2844" s="28"/>
    </row>
    <row r="2845" spans="1:10" ht="15.75" customHeight="1">
      <c r="A2845" s="28">
        <v>16833</v>
      </c>
      <c r="B2845" s="91">
        <v>44890.786296296297</v>
      </c>
      <c r="C2845" s="28" t="s">
        <v>10</v>
      </c>
      <c r="D2845" s="28" t="s">
        <v>1117</v>
      </c>
      <c r="E2845" s="28" t="s">
        <v>50</v>
      </c>
      <c r="F2845" s="28">
        <v>0</v>
      </c>
      <c r="G2845" s="28" t="s">
        <v>125</v>
      </c>
      <c r="H2845" s="28">
        <v>0</v>
      </c>
      <c r="J2845" s="28"/>
    </row>
    <row r="2846" spans="1:10" ht="15.75" customHeight="1">
      <c r="A2846" s="28">
        <v>16833</v>
      </c>
      <c r="B2846" s="91">
        <v>44890.786296296297</v>
      </c>
      <c r="C2846" s="28" t="s">
        <v>10</v>
      </c>
      <c r="D2846" s="28" t="s">
        <v>1117</v>
      </c>
      <c r="E2846" s="28" t="s">
        <v>50</v>
      </c>
      <c r="F2846" s="28">
        <v>0</v>
      </c>
      <c r="G2846" s="28" t="s">
        <v>139</v>
      </c>
      <c r="H2846" s="28">
        <v>0</v>
      </c>
      <c r="J2846" s="28"/>
    </row>
    <row r="2847" spans="1:10" ht="15.75" customHeight="1">
      <c r="A2847" s="28">
        <v>16832</v>
      </c>
      <c r="B2847" s="91">
        <v>44890.688912037032</v>
      </c>
      <c r="C2847" s="28" t="s">
        <v>10</v>
      </c>
      <c r="D2847" s="28" t="s">
        <v>1118</v>
      </c>
      <c r="E2847" s="28" t="s">
        <v>50</v>
      </c>
      <c r="F2847" s="28">
        <v>25</v>
      </c>
      <c r="G2847" s="28">
        <v>100692</v>
      </c>
      <c r="H2847" s="28">
        <v>0</v>
      </c>
      <c r="J2847" s="28"/>
    </row>
    <row r="2848" spans="1:10" ht="15.75" customHeight="1">
      <c r="A2848" s="28">
        <v>16832</v>
      </c>
      <c r="B2848" s="91">
        <v>44890.688912037032</v>
      </c>
      <c r="C2848" s="28" t="s">
        <v>10</v>
      </c>
      <c r="D2848" s="28" t="s">
        <v>1118</v>
      </c>
      <c r="E2848" s="28" t="s">
        <v>50</v>
      </c>
      <c r="F2848" s="28">
        <v>0</v>
      </c>
      <c r="G2848" s="28" t="s">
        <v>125</v>
      </c>
      <c r="H2848" s="28">
        <v>0</v>
      </c>
      <c r="J2848" s="28"/>
    </row>
    <row r="2849" spans="1:10" ht="15.75" customHeight="1">
      <c r="A2849" s="28">
        <v>16832</v>
      </c>
      <c r="B2849" s="91">
        <v>44890.688912037032</v>
      </c>
      <c r="C2849" s="28" t="s">
        <v>10</v>
      </c>
      <c r="D2849" s="28" t="s">
        <v>1118</v>
      </c>
      <c r="E2849" s="28" t="s">
        <v>50</v>
      </c>
      <c r="F2849" s="28">
        <v>0</v>
      </c>
      <c r="G2849" s="28" t="s">
        <v>119</v>
      </c>
      <c r="H2849" s="28">
        <v>0</v>
      </c>
      <c r="J2849" s="28"/>
    </row>
    <row r="2850" spans="1:10" ht="15.75" customHeight="1">
      <c r="A2850" s="28">
        <v>16826</v>
      </c>
      <c r="B2850" s="91">
        <v>44890.118692129632</v>
      </c>
      <c r="C2850" s="28" t="s">
        <v>10</v>
      </c>
      <c r="D2850" s="28" t="s">
        <v>1119</v>
      </c>
      <c r="E2850" s="28" t="s">
        <v>50</v>
      </c>
      <c r="F2850" s="28">
        <v>0</v>
      </c>
      <c r="G2850" s="28" t="s">
        <v>139</v>
      </c>
      <c r="H2850" s="28">
        <v>0</v>
      </c>
      <c r="J2850" s="28"/>
    </row>
    <row r="2851" spans="1:10" ht="15.75" customHeight="1">
      <c r="A2851" s="28">
        <v>16826</v>
      </c>
      <c r="B2851" s="91">
        <v>44890.118692129632</v>
      </c>
      <c r="C2851" s="28" t="s">
        <v>10</v>
      </c>
      <c r="D2851" s="28" t="s">
        <v>1119</v>
      </c>
      <c r="E2851" s="28" t="s">
        <v>50</v>
      </c>
      <c r="F2851" s="28">
        <v>15</v>
      </c>
      <c r="G2851" s="28" t="s">
        <v>125</v>
      </c>
      <c r="H2851" s="28">
        <v>0</v>
      </c>
      <c r="J2851" s="28"/>
    </row>
    <row r="2852" spans="1:10" ht="15.75" customHeight="1">
      <c r="A2852" s="28">
        <v>16826</v>
      </c>
      <c r="B2852" s="91">
        <v>44890.118692129632</v>
      </c>
      <c r="C2852" s="28" t="s">
        <v>10</v>
      </c>
      <c r="D2852" s="28" t="s">
        <v>1119</v>
      </c>
      <c r="E2852" s="28" t="s">
        <v>50</v>
      </c>
      <c r="F2852" s="28">
        <v>15</v>
      </c>
      <c r="G2852" s="28"/>
      <c r="H2852" s="28">
        <v>0</v>
      </c>
      <c r="J2852" s="28"/>
    </row>
    <row r="2853" spans="1:10" ht="15.75" customHeight="1">
      <c r="A2853" s="28">
        <v>16826</v>
      </c>
      <c r="B2853" s="91">
        <v>44890.118692129632</v>
      </c>
      <c r="C2853" s="28" t="s">
        <v>10</v>
      </c>
      <c r="D2853" s="28" t="s">
        <v>1119</v>
      </c>
      <c r="E2853" s="28" t="s">
        <v>50</v>
      </c>
      <c r="F2853" s="28">
        <v>56</v>
      </c>
      <c r="G2853" s="28" t="s">
        <v>143</v>
      </c>
      <c r="H2853" s="28">
        <v>0</v>
      </c>
      <c r="J2853" s="28"/>
    </row>
    <row r="2854" spans="1:10" ht="15.75" customHeight="1">
      <c r="A2854" s="28">
        <v>16825</v>
      </c>
      <c r="B2854" s="91">
        <v>44890.099166666667</v>
      </c>
      <c r="C2854" s="28" t="s">
        <v>10</v>
      </c>
      <c r="D2854" s="28" t="s">
        <v>1120</v>
      </c>
      <c r="E2854" s="28" t="s">
        <v>50</v>
      </c>
      <c r="F2854" s="28">
        <v>55</v>
      </c>
      <c r="G2854" s="28">
        <v>101684</v>
      </c>
      <c r="H2854" s="28">
        <v>0</v>
      </c>
      <c r="J2854" s="28"/>
    </row>
    <row r="2855" spans="1:10" ht="15.75" customHeight="1">
      <c r="A2855" s="28">
        <v>16825</v>
      </c>
      <c r="B2855" s="91">
        <v>44890.099166666667</v>
      </c>
      <c r="C2855" s="28" t="s">
        <v>10</v>
      </c>
      <c r="D2855" s="28" t="s">
        <v>1120</v>
      </c>
      <c r="E2855" s="28" t="s">
        <v>50</v>
      </c>
      <c r="F2855" s="28">
        <v>0</v>
      </c>
      <c r="G2855" s="28" t="s">
        <v>118</v>
      </c>
      <c r="H2855" s="28">
        <v>0</v>
      </c>
      <c r="J2855" s="28"/>
    </row>
    <row r="2856" spans="1:10" ht="15.75" customHeight="1">
      <c r="A2856" s="28">
        <v>16825</v>
      </c>
      <c r="B2856" s="91">
        <v>44890.099166666667</v>
      </c>
      <c r="C2856" s="28" t="s">
        <v>10</v>
      </c>
      <c r="D2856" s="28" t="s">
        <v>1120</v>
      </c>
      <c r="E2856" s="28" t="s">
        <v>50</v>
      </c>
      <c r="F2856" s="28">
        <v>0</v>
      </c>
      <c r="G2856" s="28" t="s">
        <v>119</v>
      </c>
      <c r="H2856" s="28">
        <v>0</v>
      </c>
      <c r="J2856" s="28"/>
    </row>
    <row r="2857" spans="1:10" ht="15.75" customHeight="1">
      <c r="A2857" s="28">
        <v>16825</v>
      </c>
      <c r="B2857" s="91">
        <v>44890.099166666667</v>
      </c>
      <c r="C2857" s="28" t="s">
        <v>10</v>
      </c>
      <c r="D2857" s="28" t="s">
        <v>1120</v>
      </c>
      <c r="E2857" s="28" t="s">
        <v>50</v>
      </c>
      <c r="F2857" s="28">
        <v>0</v>
      </c>
      <c r="G2857" s="28" t="s">
        <v>120</v>
      </c>
      <c r="H2857" s="28">
        <v>0</v>
      </c>
      <c r="J2857" s="28"/>
    </row>
    <row r="2858" spans="1:10" ht="15.75" customHeight="1">
      <c r="A2858" s="28">
        <v>16825</v>
      </c>
      <c r="B2858" s="91">
        <v>44890.099166666667</v>
      </c>
      <c r="C2858" s="28" t="s">
        <v>10</v>
      </c>
      <c r="D2858" s="28" t="s">
        <v>1120</v>
      </c>
      <c r="E2858" s="28" t="s">
        <v>50</v>
      </c>
      <c r="F2858" s="28">
        <v>0</v>
      </c>
      <c r="G2858" s="28" t="s">
        <v>121</v>
      </c>
      <c r="H2858" s="28">
        <v>0</v>
      </c>
      <c r="J2858" s="28"/>
    </row>
    <row r="2859" spans="1:10" ht="15.75" customHeight="1">
      <c r="A2859" s="28">
        <v>16825</v>
      </c>
      <c r="B2859" s="91">
        <v>44890.099166666667</v>
      </c>
      <c r="C2859" s="28" t="s">
        <v>10</v>
      </c>
      <c r="D2859" s="28" t="s">
        <v>1120</v>
      </c>
      <c r="E2859" s="28" t="s">
        <v>50</v>
      </c>
      <c r="F2859" s="28">
        <v>24</v>
      </c>
      <c r="G2859" s="28" t="s">
        <v>122</v>
      </c>
      <c r="H2859" s="28">
        <v>0</v>
      </c>
      <c r="J2859" s="28"/>
    </row>
    <row r="2860" spans="1:10" ht="15.75" customHeight="1">
      <c r="A2860" s="28">
        <v>16824</v>
      </c>
      <c r="B2860" s="91">
        <v>44890.02715277778</v>
      </c>
      <c r="C2860" s="28" t="s">
        <v>10</v>
      </c>
      <c r="D2860" s="28" t="s">
        <v>151</v>
      </c>
      <c r="E2860" s="28" t="s">
        <v>74</v>
      </c>
      <c r="F2860" s="28">
        <v>25</v>
      </c>
      <c r="G2860" s="28" t="s">
        <v>1106</v>
      </c>
      <c r="H2860" s="28">
        <v>0</v>
      </c>
      <c r="J2860" s="28"/>
    </row>
    <row r="2861" spans="1:10" ht="15.75" customHeight="1">
      <c r="A2861" s="28">
        <v>16824</v>
      </c>
      <c r="B2861" s="91">
        <v>44890.02715277778</v>
      </c>
      <c r="C2861" s="28" t="s">
        <v>10</v>
      </c>
      <c r="D2861" s="28" t="s">
        <v>151</v>
      </c>
      <c r="E2861" s="28" t="s">
        <v>74</v>
      </c>
      <c r="F2861" s="28">
        <v>0</v>
      </c>
      <c r="G2861" s="28" t="s">
        <v>884</v>
      </c>
      <c r="H2861" s="28">
        <v>0</v>
      </c>
      <c r="J2861" s="28"/>
    </row>
    <row r="2862" spans="1:10" ht="15.75" customHeight="1">
      <c r="A2862" s="28">
        <v>16824</v>
      </c>
      <c r="B2862" s="91">
        <v>44890.02715277778</v>
      </c>
      <c r="C2862" s="28" t="s">
        <v>10</v>
      </c>
      <c r="D2862" s="28" t="s">
        <v>151</v>
      </c>
      <c r="E2862" s="28" t="s">
        <v>74</v>
      </c>
      <c r="F2862" s="28">
        <v>0</v>
      </c>
      <c r="G2862" s="28" t="s">
        <v>882</v>
      </c>
      <c r="H2862" s="28">
        <v>0</v>
      </c>
      <c r="J2862" s="28"/>
    </row>
    <row r="2863" spans="1:10" ht="15.75" customHeight="1">
      <c r="A2863" s="28">
        <v>16823</v>
      </c>
      <c r="B2863" s="91">
        <v>44890.024907407409</v>
      </c>
      <c r="C2863" s="28" t="s">
        <v>10</v>
      </c>
      <c r="D2863" s="28" t="s">
        <v>1121</v>
      </c>
      <c r="E2863" s="28" t="s">
        <v>74</v>
      </c>
      <c r="F2863" s="28">
        <v>25</v>
      </c>
      <c r="G2863" s="28" t="s">
        <v>1106</v>
      </c>
      <c r="H2863" s="28">
        <v>0</v>
      </c>
      <c r="J2863" s="28"/>
    </row>
    <row r="2864" spans="1:10" ht="15.75" customHeight="1">
      <c r="A2864" s="28">
        <v>16823</v>
      </c>
      <c r="B2864" s="91">
        <v>44890.024907407409</v>
      </c>
      <c r="C2864" s="28" t="s">
        <v>10</v>
      </c>
      <c r="D2864" s="28" t="s">
        <v>1121</v>
      </c>
      <c r="E2864" s="28" t="s">
        <v>74</v>
      </c>
      <c r="F2864" s="28">
        <v>0</v>
      </c>
      <c r="G2864" s="28" t="s">
        <v>884</v>
      </c>
      <c r="H2864" s="28">
        <v>0</v>
      </c>
      <c r="J2864" s="28"/>
    </row>
    <row r="2865" spans="1:10" ht="15.75" customHeight="1">
      <c r="A2865" s="28">
        <v>16823</v>
      </c>
      <c r="B2865" s="91">
        <v>44890.024907407409</v>
      </c>
      <c r="C2865" s="28" t="s">
        <v>10</v>
      </c>
      <c r="D2865" s="28" t="s">
        <v>1121</v>
      </c>
      <c r="E2865" s="28" t="s">
        <v>74</v>
      </c>
      <c r="F2865" s="28">
        <v>0</v>
      </c>
      <c r="G2865" s="28" t="s">
        <v>882</v>
      </c>
      <c r="H2865" s="28">
        <v>0</v>
      </c>
      <c r="J2865" s="28"/>
    </row>
    <row r="2866" spans="1:10" ht="15.75" customHeight="1">
      <c r="A2866" s="28">
        <v>16822</v>
      </c>
      <c r="B2866" s="91">
        <v>44889.993611111116</v>
      </c>
      <c r="C2866" s="28" t="s">
        <v>10</v>
      </c>
      <c r="D2866" s="28" t="s">
        <v>1122</v>
      </c>
      <c r="E2866" s="28" t="s">
        <v>74</v>
      </c>
      <c r="F2866" s="28">
        <v>25</v>
      </c>
      <c r="G2866" s="28" t="s">
        <v>1106</v>
      </c>
      <c r="H2866" s="28">
        <v>0</v>
      </c>
      <c r="J2866" s="28"/>
    </row>
    <row r="2867" spans="1:10" ht="15.75" customHeight="1">
      <c r="A2867" s="28">
        <v>16822</v>
      </c>
      <c r="B2867" s="91">
        <v>44889.993611111116</v>
      </c>
      <c r="C2867" s="28" t="s">
        <v>10</v>
      </c>
      <c r="D2867" s="28" t="s">
        <v>1122</v>
      </c>
      <c r="E2867" s="28" t="s">
        <v>74</v>
      </c>
      <c r="F2867" s="28">
        <v>0</v>
      </c>
      <c r="G2867" s="28" t="s">
        <v>884</v>
      </c>
      <c r="H2867" s="28">
        <v>0</v>
      </c>
      <c r="J2867" s="28"/>
    </row>
    <row r="2868" spans="1:10" ht="15.75" customHeight="1">
      <c r="A2868" s="28">
        <v>16822</v>
      </c>
      <c r="B2868" s="91">
        <v>44889.993611111116</v>
      </c>
      <c r="C2868" s="28" t="s">
        <v>10</v>
      </c>
      <c r="D2868" s="28" t="s">
        <v>1122</v>
      </c>
      <c r="E2868" s="28" t="s">
        <v>74</v>
      </c>
      <c r="F2868" s="28">
        <v>0</v>
      </c>
      <c r="G2868" s="28" t="s">
        <v>882</v>
      </c>
      <c r="H2868" s="28">
        <v>0</v>
      </c>
      <c r="J2868" s="28"/>
    </row>
    <row r="2869" spans="1:10" ht="15.75" customHeight="1">
      <c r="A2869" s="28">
        <v>16821</v>
      </c>
      <c r="B2869" s="91">
        <v>44889.992835648147</v>
      </c>
      <c r="C2869" s="28" t="s">
        <v>10</v>
      </c>
      <c r="D2869" s="28" t="s">
        <v>1123</v>
      </c>
      <c r="E2869" s="28" t="s">
        <v>74</v>
      </c>
      <c r="F2869" s="28">
        <v>25</v>
      </c>
      <c r="G2869" s="28" t="s">
        <v>1106</v>
      </c>
      <c r="H2869" s="28">
        <v>0</v>
      </c>
      <c r="J2869" s="28"/>
    </row>
    <row r="2870" spans="1:10" ht="15.75" customHeight="1">
      <c r="A2870" s="28">
        <v>16821</v>
      </c>
      <c r="B2870" s="91">
        <v>44889.992835648147</v>
      </c>
      <c r="C2870" s="28" t="s">
        <v>10</v>
      </c>
      <c r="D2870" s="28" t="s">
        <v>1123</v>
      </c>
      <c r="E2870" s="28" t="s">
        <v>74</v>
      </c>
      <c r="F2870" s="28">
        <v>0</v>
      </c>
      <c r="G2870" s="28" t="s">
        <v>884</v>
      </c>
      <c r="H2870" s="28">
        <v>0</v>
      </c>
      <c r="J2870" s="28"/>
    </row>
    <row r="2871" spans="1:10" ht="15.75" customHeight="1">
      <c r="A2871" s="28">
        <v>16821</v>
      </c>
      <c r="B2871" s="91">
        <v>44889.992835648147</v>
      </c>
      <c r="C2871" s="28" t="s">
        <v>10</v>
      </c>
      <c r="D2871" s="28" t="s">
        <v>1123</v>
      </c>
      <c r="E2871" s="28" t="s">
        <v>74</v>
      </c>
      <c r="F2871" s="28">
        <v>0</v>
      </c>
      <c r="G2871" s="28" t="s">
        <v>882</v>
      </c>
      <c r="H2871" s="28">
        <v>0</v>
      </c>
      <c r="J2871" s="28"/>
    </row>
    <row r="2872" spans="1:10" ht="15.75" customHeight="1">
      <c r="A2872" s="28">
        <v>16820</v>
      </c>
      <c r="B2872" s="91">
        <v>44889.990624999999</v>
      </c>
      <c r="C2872" s="28" t="s">
        <v>10</v>
      </c>
      <c r="D2872" s="28" t="s">
        <v>1124</v>
      </c>
      <c r="E2872" s="28" t="s">
        <v>74</v>
      </c>
      <c r="F2872" s="28">
        <v>25</v>
      </c>
      <c r="G2872" s="28" t="s">
        <v>1106</v>
      </c>
      <c r="H2872" s="28">
        <v>0</v>
      </c>
      <c r="J2872" s="28"/>
    </row>
    <row r="2873" spans="1:10" ht="15.75" customHeight="1">
      <c r="A2873" s="28">
        <v>16820</v>
      </c>
      <c r="B2873" s="91">
        <v>44889.990624999999</v>
      </c>
      <c r="C2873" s="28" t="s">
        <v>10</v>
      </c>
      <c r="D2873" s="28" t="s">
        <v>1124</v>
      </c>
      <c r="E2873" s="28" t="s">
        <v>74</v>
      </c>
      <c r="F2873" s="28">
        <v>0</v>
      </c>
      <c r="G2873" s="28" t="s">
        <v>884</v>
      </c>
      <c r="H2873" s="28">
        <v>0</v>
      </c>
      <c r="J2873" s="28"/>
    </row>
    <row r="2874" spans="1:10" ht="15.75" customHeight="1">
      <c r="A2874" s="28">
        <v>16820</v>
      </c>
      <c r="B2874" s="91">
        <v>44889.990624999999</v>
      </c>
      <c r="C2874" s="28" t="s">
        <v>10</v>
      </c>
      <c r="D2874" s="28" t="s">
        <v>1124</v>
      </c>
      <c r="E2874" s="28" t="s">
        <v>74</v>
      </c>
      <c r="F2874" s="28">
        <v>0</v>
      </c>
      <c r="G2874" s="28" t="s">
        <v>882</v>
      </c>
      <c r="H2874" s="28">
        <v>0</v>
      </c>
      <c r="J2874" s="28"/>
    </row>
    <row r="2875" spans="1:10" ht="15.75" customHeight="1">
      <c r="A2875" s="28">
        <v>16819</v>
      </c>
      <c r="B2875" s="91">
        <v>44889.911226851851</v>
      </c>
      <c r="C2875" s="28" t="s">
        <v>10</v>
      </c>
      <c r="D2875" s="28" t="s">
        <v>1125</v>
      </c>
      <c r="E2875" s="28" t="s">
        <v>74</v>
      </c>
      <c r="F2875" s="28">
        <v>25</v>
      </c>
      <c r="G2875" s="28" t="s">
        <v>1106</v>
      </c>
      <c r="H2875" s="28">
        <v>0</v>
      </c>
      <c r="J2875" s="28"/>
    </row>
    <row r="2876" spans="1:10" ht="15.75" customHeight="1">
      <c r="A2876" s="28">
        <v>16819</v>
      </c>
      <c r="B2876" s="91">
        <v>44889.911226851851</v>
      </c>
      <c r="C2876" s="28" t="s">
        <v>10</v>
      </c>
      <c r="D2876" s="28" t="s">
        <v>1125</v>
      </c>
      <c r="E2876" s="28" t="s">
        <v>74</v>
      </c>
      <c r="F2876" s="28">
        <v>0</v>
      </c>
      <c r="G2876" s="28" t="s">
        <v>884</v>
      </c>
      <c r="H2876" s="28">
        <v>0</v>
      </c>
      <c r="J2876" s="28"/>
    </row>
    <row r="2877" spans="1:10" ht="15.75" customHeight="1">
      <c r="A2877" s="28">
        <v>16819</v>
      </c>
      <c r="B2877" s="91">
        <v>44889.911226851851</v>
      </c>
      <c r="C2877" s="28" t="s">
        <v>10</v>
      </c>
      <c r="D2877" s="28" t="s">
        <v>1125</v>
      </c>
      <c r="E2877" s="28" t="s">
        <v>74</v>
      </c>
      <c r="F2877" s="28">
        <v>0</v>
      </c>
      <c r="G2877" s="28" t="s">
        <v>882</v>
      </c>
      <c r="H2877" s="28">
        <v>0</v>
      </c>
      <c r="J2877" s="28"/>
    </row>
    <row r="2878" spans="1:10" ht="15.75" customHeight="1">
      <c r="A2878" s="28">
        <v>16818</v>
      </c>
      <c r="B2878" s="91">
        <v>44889.863182870366</v>
      </c>
      <c r="C2878" s="28" t="s">
        <v>10</v>
      </c>
      <c r="D2878" s="28" t="s">
        <v>1126</v>
      </c>
      <c r="E2878" s="28" t="s">
        <v>74</v>
      </c>
      <c r="F2878" s="28">
        <v>25</v>
      </c>
      <c r="G2878" s="28" t="s">
        <v>1106</v>
      </c>
      <c r="H2878" s="28">
        <v>0</v>
      </c>
      <c r="J2878" s="28"/>
    </row>
    <row r="2879" spans="1:10" ht="15.75" customHeight="1">
      <c r="A2879" s="28">
        <v>16818</v>
      </c>
      <c r="B2879" s="91">
        <v>44889.863182870366</v>
      </c>
      <c r="C2879" s="28" t="s">
        <v>10</v>
      </c>
      <c r="D2879" s="28" t="s">
        <v>1126</v>
      </c>
      <c r="E2879" s="28" t="s">
        <v>74</v>
      </c>
      <c r="F2879" s="28">
        <v>0</v>
      </c>
      <c r="G2879" s="28" t="s">
        <v>884</v>
      </c>
      <c r="H2879" s="28">
        <v>0</v>
      </c>
      <c r="J2879" s="28"/>
    </row>
    <row r="2880" spans="1:10" ht="15.75" customHeight="1">
      <c r="A2880" s="28">
        <v>16818</v>
      </c>
      <c r="B2880" s="91">
        <v>44889.863182870366</v>
      </c>
      <c r="C2880" s="28" t="s">
        <v>10</v>
      </c>
      <c r="D2880" s="28" t="s">
        <v>1126</v>
      </c>
      <c r="E2880" s="28" t="s">
        <v>74</v>
      </c>
      <c r="F2880" s="28">
        <v>0</v>
      </c>
      <c r="G2880" s="28" t="s">
        <v>882</v>
      </c>
      <c r="H2880" s="28">
        <v>0</v>
      </c>
      <c r="J2880" s="28"/>
    </row>
    <row r="2881" spans="1:10" ht="15.75" customHeight="1">
      <c r="A2881" s="28">
        <v>16817</v>
      </c>
      <c r="B2881" s="91">
        <v>44889.81832175926</v>
      </c>
      <c r="C2881" s="28" t="s">
        <v>10</v>
      </c>
      <c r="D2881" s="28" t="s">
        <v>1127</v>
      </c>
      <c r="E2881" s="28" t="s">
        <v>50</v>
      </c>
      <c r="F2881" s="28">
        <v>0</v>
      </c>
      <c r="G2881" s="28" t="s">
        <v>139</v>
      </c>
      <c r="H2881" s="28">
        <v>0</v>
      </c>
      <c r="J2881" s="28"/>
    </row>
    <row r="2882" spans="1:10" ht="15.75" customHeight="1">
      <c r="A2882" s="28">
        <v>16817</v>
      </c>
      <c r="B2882" s="91">
        <v>44889.81832175926</v>
      </c>
      <c r="C2882" s="28" t="s">
        <v>10</v>
      </c>
      <c r="D2882" s="28" t="s">
        <v>1127</v>
      </c>
      <c r="E2882" s="28" t="s">
        <v>50</v>
      </c>
      <c r="F2882" s="28">
        <v>28</v>
      </c>
      <c r="G2882" s="28" t="s">
        <v>143</v>
      </c>
      <c r="H2882" s="28">
        <v>0</v>
      </c>
      <c r="J2882" s="28"/>
    </row>
    <row r="2883" spans="1:10" ht="15.75" customHeight="1">
      <c r="A2883" s="28">
        <v>16817</v>
      </c>
      <c r="B2883" s="91">
        <v>44889.81832175926</v>
      </c>
      <c r="C2883" s="28" t="s">
        <v>10</v>
      </c>
      <c r="D2883" s="28" t="s">
        <v>1127</v>
      </c>
      <c r="E2883" s="28" t="s">
        <v>50</v>
      </c>
      <c r="F2883" s="28">
        <v>15</v>
      </c>
      <c r="G2883" s="28" t="s">
        <v>170</v>
      </c>
      <c r="H2883" s="28">
        <v>0</v>
      </c>
      <c r="J2883" s="28"/>
    </row>
    <row r="2884" spans="1:10" ht="15.75" customHeight="1">
      <c r="A2884" s="28">
        <v>16816</v>
      </c>
      <c r="B2884" s="91">
        <v>44889.595810185187</v>
      </c>
      <c r="C2884" s="28" t="s">
        <v>10</v>
      </c>
      <c r="D2884" s="28" t="s">
        <v>1128</v>
      </c>
      <c r="E2884" s="28" t="s">
        <v>50</v>
      </c>
      <c r="F2884" s="28">
        <v>28</v>
      </c>
      <c r="G2884" s="28" t="s">
        <v>143</v>
      </c>
      <c r="H2884" s="28">
        <v>0</v>
      </c>
      <c r="J2884" s="28"/>
    </row>
    <row r="2885" spans="1:10" ht="15.75" customHeight="1">
      <c r="A2885" s="28">
        <v>16815</v>
      </c>
      <c r="B2885" s="91">
        <v>44889.544664351852</v>
      </c>
      <c r="C2885" s="28" t="s">
        <v>10</v>
      </c>
      <c r="D2885" s="28" t="s">
        <v>1129</v>
      </c>
      <c r="E2885" s="28" t="s">
        <v>74</v>
      </c>
      <c r="F2885" s="28">
        <v>25</v>
      </c>
      <c r="G2885" s="28" t="s">
        <v>1106</v>
      </c>
      <c r="H2885" s="28">
        <v>0</v>
      </c>
      <c r="J2885" s="28"/>
    </row>
    <row r="2886" spans="1:10" ht="15.75" customHeight="1">
      <c r="A2886" s="28">
        <v>16815</v>
      </c>
      <c r="B2886" s="91">
        <v>44889.544664351852</v>
      </c>
      <c r="C2886" s="28" t="s">
        <v>10</v>
      </c>
      <c r="D2886" s="28" t="s">
        <v>1129</v>
      </c>
      <c r="E2886" s="28" t="s">
        <v>74</v>
      </c>
      <c r="F2886" s="28">
        <v>0</v>
      </c>
      <c r="G2886" s="28" t="s">
        <v>884</v>
      </c>
      <c r="H2886" s="28">
        <v>0</v>
      </c>
      <c r="J2886" s="28"/>
    </row>
    <row r="2887" spans="1:10" ht="15.75" customHeight="1">
      <c r="A2887" s="28">
        <v>16815</v>
      </c>
      <c r="B2887" s="91">
        <v>44889.544664351852</v>
      </c>
      <c r="C2887" s="28" t="s">
        <v>10</v>
      </c>
      <c r="D2887" s="28" t="s">
        <v>1129</v>
      </c>
      <c r="E2887" s="28" t="s">
        <v>74</v>
      </c>
      <c r="F2887" s="28">
        <v>0</v>
      </c>
      <c r="G2887" s="28" t="s">
        <v>882</v>
      </c>
      <c r="H2887" s="28">
        <v>0</v>
      </c>
      <c r="J2887" s="28"/>
    </row>
    <row r="2888" spans="1:10" ht="15.75" customHeight="1">
      <c r="A2888" s="28">
        <v>16812</v>
      </c>
      <c r="B2888" s="91">
        <v>44889.18074074074</v>
      </c>
      <c r="C2888" s="28" t="s">
        <v>10</v>
      </c>
      <c r="D2888" s="28" t="s">
        <v>1130</v>
      </c>
      <c r="E2888" s="28" t="s">
        <v>74</v>
      </c>
      <c r="F2888" s="28">
        <v>25</v>
      </c>
      <c r="G2888" s="28" t="s">
        <v>1106</v>
      </c>
      <c r="H2888" s="28">
        <v>0</v>
      </c>
      <c r="J2888" s="28"/>
    </row>
    <row r="2889" spans="1:10" ht="15.75" customHeight="1">
      <c r="A2889" s="28">
        <v>16812</v>
      </c>
      <c r="B2889" s="91">
        <v>44889.18074074074</v>
      </c>
      <c r="C2889" s="28" t="s">
        <v>10</v>
      </c>
      <c r="D2889" s="28" t="s">
        <v>1130</v>
      </c>
      <c r="E2889" s="28" t="s">
        <v>74</v>
      </c>
      <c r="F2889" s="28">
        <v>0</v>
      </c>
      <c r="G2889" s="28" t="s">
        <v>884</v>
      </c>
      <c r="H2889" s="28">
        <v>0</v>
      </c>
      <c r="J2889" s="28"/>
    </row>
    <row r="2890" spans="1:10" ht="15.75" customHeight="1">
      <c r="A2890" s="28">
        <v>16812</v>
      </c>
      <c r="B2890" s="91">
        <v>44889.18074074074</v>
      </c>
      <c r="C2890" s="28" t="s">
        <v>10</v>
      </c>
      <c r="D2890" s="28" t="s">
        <v>1130</v>
      </c>
      <c r="E2890" s="28" t="s">
        <v>74</v>
      </c>
      <c r="F2890" s="28">
        <v>0</v>
      </c>
      <c r="G2890" s="28" t="s">
        <v>882</v>
      </c>
      <c r="H2890" s="28">
        <v>0</v>
      </c>
      <c r="J2890" s="28"/>
    </row>
    <row r="2891" spans="1:10" ht="15.75" customHeight="1">
      <c r="A2891" s="28">
        <v>16811</v>
      </c>
      <c r="B2891" s="91">
        <v>44889.146701388891</v>
      </c>
      <c r="C2891" s="28" t="s">
        <v>10</v>
      </c>
      <c r="D2891" s="28" t="s">
        <v>1131</v>
      </c>
      <c r="E2891" s="28" t="s">
        <v>50</v>
      </c>
      <c r="F2891" s="28">
        <v>0</v>
      </c>
      <c r="G2891" s="28" t="s">
        <v>139</v>
      </c>
      <c r="H2891" s="28">
        <v>0</v>
      </c>
      <c r="J2891" s="28"/>
    </row>
    <row r="2892" spans="1:10" ht="15.75" customHeight="1">
      <c r="A2892" s="28">
        <v>16811</v>
      </c>
      <c r="B2892" s="91">
        <v>44889.146701388891</v>
      </c>
      <c r="C2892" s="28" t="s">
        <v>10</v>
      </c>
      <c r="D2892" s="28" t="s">
        <v>1131</v>
      </c>
      <c r="E2892" s="28" t="s">
        <v>50</v>
      </c>
      <c r="F2892" s="28">
        <v>56</v>
      </c>
      <c r="G2892" s="28" t="s">
        <v>143</v>
      </c>
      <c r="H2892" s="28">
        <v>0</v>
      </c>
      <c r="J2892" s="28"/>
    </row>
    <row r="2893" spans="1:10" ht="15.75" customHeight="1">
      <c r="A2893" s="28">
        <v>16811</v>
      </c>
      <c r="B2893" s="91">
        <v>44889.146701388891</v>
      </c>
      <c r="C2893" s="28" t="s">
        <v>10</v>
      </c>
      <c r="D2893" s="28" t="s">
        <v>1131</v>
      </c>
      <c r="E2893" s="28" t="s">
        <v>50</v>
      </c>
      <c r="F2893" s="28">
        <v>20</v>
      </c>
      <c r="G2893" s="28" t="s">
        <v>121</v>
      </c>
      <c r="H2893" s="28">
        <v>0</v>
      </c>
      <c r="J2893" s="28"/>
    </row>
    <row r="2894" spans="1:10" ht="15.75" customHeight="1">
      <c r="A2894" s="28">
        <v>16810</v>
      </c>
      <c r="B2894" s="91">
        <v>44889.122442129628</v>
      </c>
      <c r="C2894" s="28" t="s">
        <v>10</v>
      </c>
      <c r="D2894" s="28" t="s">
        <v>1132</v>
      </c>
      <c r="E2894" s="28" t="s">
        <v>50</v>
      </c>
      <c r="F2894" s="28">
        <v>0</v>
      </c>
      <c r="G2894" s="28" t="s">
        <v>139</v>
      </c>
      <c r="H2894" s="28">
        <v>0</v>
      </c>
      <c r="J2894" s="28"/>
    </row>
    <row r="2895" spans="1:10" ht="15.75" customHeight="1">
      <c r="A2895" s="28">
        <v>16810</v>
      </c>
      <c r="B2895" s="91">
        <v>44889.122442129628</v>
      </c>
      <c r="C2895" s="28" t="s">
        <v>10</v>
      </c>
      <c r="D2895" s="28" t="s">
        <v>1132</v>
      </c>
      <c r="E2895" s="28" t="s">
        <v>50</v>
      </c>
      <c r="F2895" s="28">
        <v>15</v>
      </c>
      <c r="G2895" s="28" t="s">
        <v>125</v>
      </c>
      <c r="H2895" s="28">
        <v>0</v>
      </c>
      <c r="J2895" s="28"/>
    </row>
    <row r="2896" spans="1:10" ht="15.75" customHeight="1">
      <c r="A2896" s="28">
        <v>16809</v>
      </c>
      <c r="B2896" s="91">
        <v>44889.026990740742</v>
      </c>
      <c r="C2896" s="28" t="s">
        <v>10</v>
      </c>
      <c r="D2896" s="28" t="s">
        <v>1133</v>
      </c>
      <c r="E2896" s="28" t="s">
        <v>50</v>
      </c>
      <c r="F2896" s="28">
        <v>30</v>
      </c>
      <c r="G2896" s="28" t="s">
        <v>128</v>
      </c>
      <c r="H2896" s="28">
        <v>0</v>
      </c>
      <c r="J2896" s="28"/>
    </row>
    <row r="2897" spans="1:10" ht="15.75" customHeight="1">
      <c r="A2897" s="28">
        <v>16809</v>
      </c>
      <c r="B2897" s="91">
        <v>44889.026990740742</v>
      </c>
      <c r="C2897" s="28" t="s">
        <v>10</v>
      </c>
      <c r="D2897" s="28" t="s">
        <v>1133</v>
      </c>
      <c r="E2897" s="28" t="s">
        <v>50</v>
      </c>
      <c r="F2897" s="28">
        <v>0</v>
      </c>
      <c r="G2897" s="28" t="s">
        <v>125</v>
      </c>
      <c r="H2897" s="28">
        <v>0</v>
      </c>
      <c r="J2897" s="28"/>
    </row>
    <row r="2898" spans="1:10" ht="15.75" customHeight="1">
      <c r="A2898" s="28">
        <v>16809</v>
      </c>
      <c r="B2898" s="91">
        <v>44889.026990740742</v>
      </c>
      <c r="C2898" s="28" t="s">
        <v>10</v>
      </c>
      <c r="D2898" s="28" t="s">
        <v>1133</v>
      </c>
      <c r="E2898" s="28" t="s">
        <v>50</v>
      </c>
      <c r="F2898" s="28">
        <v>0</v>
      </c>
      <c r="G2898" s="28" t="s">
        <v>119</v>
      </c>
      <c r="H2898" s="28">
        <v>0</v>
      </c>
      <c r="J2898" s="28"/>
    </row>
    <row r="2899" spans="1:10" ht="15.75" customHeight="1">
      <c r="A2899" s="28">
        <v>16807</v>
      </c>
      <c r="B2899" s="91">
        <v>44889.006655092591</v>
      </c>
      <c r="C2899" s="28" t="s">
        <v>10</v>
      </c>
      <c r="D2899" s="28" t="s">
        <v>1134</v>
      </c>
      <c r="E2899" s="28" t="s">
        <v>50</v>
      </c>
      <c r="F2899" s="28">
        <v>25</v>
      </c>
      <c r="G2899" s="28">
        <v>100692</v>
      </c>
      <c r="H2899" s="28">
        <v>0</v>
      </c>
      <c r="J2899" s="28"/>
    </row>
    <row r="2900" spans="1:10" ht="15.75" customHeight="1">
      <c r="A2900" s="28">
        <v>16807</v>
      </c>
      <c r="B2900" s="91">
        <v>44889.006655092591</v>
      </c>
      <c r="C2900" s="28" t="s">
        <v>10</v>
      </c>
      <c r="D2900" s="28" t="s">
        <v>1134</v>
      </c>
      <c r="E2900" s="28" t="s">
        <v>50</v>
      </c>
      <c r="F2900" s="28">
        <v>0</v>
      </c>
      <c r="G2900" s="28" t="s">
        <v>125</v>
      </c>
      <c r="H2900" s="28">
        <v>0</v>
      </c>
      <c r="J2900" s="28"/>
    </row>
    <row r="2901" spans="1:10" ht="15.75" customHeight="1">
      <c r="A2901" s="28">
        <v>16807</v>
      </c>
      <c r="B2901" s="91">
        <v>44889.006655092591</v>
      </c>
      <c r="C2901" s="28" t="s">
        <v>10</v>
      </c>
      <c r="D2901" s="28" t="s">
        <v>1134</v>
      </c>
      <c r="E2901" s="28" t="s">
        <v>50</v>
      </c>
      <c r="F2901" s="28">
        <v>0</v>
      </c>
      <c r="G2901" s="28" t="s">
        <v>119</v>
      </c>
      <c r="H2901" s="28">
        <v>0</v>
      </c>
      <c r="J2901" s="28"/>
    </row>
    <row r="2902" spans="1:10" ht="15.75" customHeight="1">
      <c r="A2902" s="28">
        <v>16807</v>
      </c>
      <c r="B2902" s="91">
        <v>44889.006655092591</v>
      </c>
      <c r="C2902" s="28" t="s">
        <v>10</v>
      </c>
      <c r="D2902" s="28" t="s">
        <v>1134</v>
      </c>
      <c r="E2902" s="28" t="s">
        <v>50</v>
      </c>
      <c r="F2902" s="28">
        <v>0</v>
      </c>
      <c r="G2902" s="28" t="s">
        <v>139</v>
      </c>
      <c r="H2902" s="28">
        <v>0</v>
      </c>
      <c r="J2902" s="28"/>
    </row>
    <row r="2903" spans="1:10" ht="15.75" customHeight="1">
      <c r="A2903" s="28">
        <v>16806</v>
      </c>
      <c r="B2903" s="91">
        <v>44889.005023148144</v>
      </c>
      <c r="C2903" s="28" t="s">
        <v>10</v>
      </c>
      <c r="D2903" s="28" t="s">
        <v>1135</v>
      </c>
      <c r="E2903" s="28" t="s">
        <v>50</v>
      </c>
      <c r="F2903" s="28">
        <v>25</v>
      </c>
      <c r="G2903" s="28">
        <v>100692</v>
      </c>
      <c r="H2903" s="28">
        <v>0</v>
      </c>
      <c r="J2903" s="28"/>
    </row>
    <row r="2904" spans="1:10" ht="15.75" customHeight="1">
      <c r="A2904" s="28">
        <v>16806</v>
      </c>
      <c r="B2904" s="91">
        <v>44889.005023148144</v>
      </c>
      <c r="C2904" s="28" t="s">
        <v>10</v>
      </c>
      <c r="D2904" s="28" t="s">
        <v>1135</v>
      </c>
      <c r="E2904" s="28" t="s">
        <v>50</v>
      </c>
      <c r="F2904" s="28">
        <v>0</v>
      </c>
      <c r="G2904" s="28" t="s">
        <v>125</v>
      </c>
      <c r="H2904" s="28">
        <v>0</v>
      </c>
      <c r="J2904" s="28"/>
    </row>
    <row r="2905" spans="1:10" ht="15.75" customHeight="1">
      <c r="A2905" s="28">
        <v>16806</v>
      </c>
      <c r="B2905" s="91">
        <v>44889.005023148144</v>
      </c>
      <c r="C2905" s="28" t="s">
        <v>10</v>
      </c>
      <c r="D2905" s="28" t="s">
        <v>1135</v>
      </c>
      <c r="E2905" s="28" t="s">
        <v>50</v>
      </c>
      <c r="F2905" s="28">
        <v>0</v>
      </c>
      <c r="G2905" s="28" t="s">
        <v>119</v>
      </c>
      <c r="H2905" s="28">
        <v>0</v>
      </c>
      <c r="J2905" s="28"/>
    </row>
    <row r="2906" spans="1:10" ht="15.75" customHeight="1">
      <c r="A2906" s="28">
        <v>16805</v>
      </c>
      <c r="B2906" s="91">
        <v>44888.997141203705</v>
      </c>
      <c r="C2906" s="28" t="s">
        <v>10</v>
      </c>
      <c r="D2906" s="28" t="s">
        <v>1136</v>
      </c>
      <c r="E2906" s="28" t="s">
        <v>50</v>
      </c>
      <c r="F2906" s="28">
        <v>55</v>
      </c>
      <c r="G2906" s="28">
        <v>101684</v>
      </c>
      <c r="H2906" s="28">
        <v>0</v>
      </c>
      <c r="J2906" s="28"/>
    </row>
    <row r="2907" spans="1:10" ht="15.75" customHeight="1">
      <c r="A2907" s="28">
        <v>16805</v>
      </c>
      <c r="B2907" s="91">
        <v>44888.997141203705</v>
      </c>
      <c r="C2907" s="28" t="s">
        <v>10</v>
      </c>
      <c r="D2907" s="28" t="s">
        <v>1136</v>
      </c>
      <c r="E2907" s="28" t="s">
        <v>50</v>
      </c>
      <c r="F2907" s="28">
        <v>0</v>
      </c>
      <c r="G2907" s="28" t="s">
        <v>118</v>
      </c>
      <c r="H2907" s="28">
        <v>0</v>
      </c>
      <c r="J2907" s="28"/>
    </row>
    <row r="2908" spans="1:10" ht="15.75" customHeight="1">
      <c r="A2908" s="28">
        <v>16805</v>
      </c>
      <c r="B2908" s="91">
        <v>44888.997141203705</v>
      </c>
      <c r="C2908" s="28" t="s">
        <v>10</v>
      </c>
      <c r="D2908" s="28" t="s">
        <v>1136</v>
      </c>
      <c r="E2908" s="28" t="s">
        <v>50</v>
      </c>
      <c r="F2908" s="28">
        <v>0</v>
      </c>
      <c r="G2908" s="28" t="s">
        <v>119</v>
      </c>
      <c r="H2908" s="28">
        <v>0</v>
      </c>
      <c r="J2908" s="28"/>
    </row>
    <row r="2909" spans="1:10" ht="15.75" customHeight="1">
      <c r="A2909" s="28">
        <v>16805</v>
      </c>
      <c r="B2909" s="91">
        <v>44888.997141203705</v>
      </c>
      <c r="C2909" s="28" t="s">
        <v>10</v>
      </c>
      <c r="D2909" s="28" t="s">
        <v>1136</v>
      </c>
      <c r="E2909" s="28" t="s">
        <v>50</v>
      </c>
      <c r="F2909" s="28">
        <v>0</v>
      </c>
      <c r="G2909" s="28" t="s">
        <v>120</v>
      </c>
      <c r="H2909" s="28">
        <v>0</v>
      </c>
      <c r="J2909" s="28"/>
    </row>
    <row r="2910" spans="1:10" ht="15.75" customHeight="1">
      <c r="A2910" s="28">
        <v>16805</v>
      </c>
      <c r="B2910" s="91">
        <v>44888.997141203705</v>
      </c>
      <c r="C2910" s="28" t="s">
        <v>10</v>
      </c>
      <c r="D2910" s="28" t="s">
        <v>1136</v>
      </c>
      <c r="E2910" s="28" t="s">
        <v>50</v>
      </c>
      <c r="F2910" s="28">
        <v>0</v>
      </c>
      <c r="G2910" s="28" t="s">
        <v>121</v>
      </c>
      <c r="H2910" s="28">
        <v>0</v>
      </c>
      <c r="J2910" s="28"/>
    </row>
    <row r="2911" spans="1:10" ht="15.75" customHeight="1">
      <c r="A2911" s="28">
        <v>16804</v>
      </c>
      <c r="B2911" s="91">
        <v>44888.99486111111</v>
      </c>
      <c r="C2911" s="28" t="s">
        <v>10</v>
      </c>
      <c r="D2911" s="28" t="s">
        <v>1137</v>
      </c>
      <c r="E2911" s="28" t="s">
        <v>50</v>
      </c>
      <c r="F2911" s="28">
        <v>15</v>
      </c>
      <c r="G2911" s="28" t="s">
        <v>170</v>
      </c>
      <c r="H2911" s="28">
        <v>0</v>
      </c>
      <c r="J2911" s="28"/>
    </row>
    <row r="2912" spans="1:10" ht="15.75" customHeight="1">
      <c r="A2912" s="28">
        <v>16803</v>
      </c>
      <c r="B2912" s="91">
        <v>44888.993888888886</v>
      </c>
      <c r="C2912" s="28" t="s">
        <v>10</v>
      </c>
      <c r="D2912" s="28" t="s">
        <v>1138</v>
      </c>
      <c r="E2912" s="28" t="s">
        <v>50</v>
      </c>
      <c r="F2912" s="28">
        <v>0</v>
      </c>
      <c r="G2912" s="28" t="s">
        <v>139</v>
      </c>
      <c r="H2912" s="28">
        <v>0</v>
      </c>
      <c r="J2912" s="28"/>
    </row>
    <row r="2913" spans="1:10" ht="15.75" customHeight="1">
      <c r="A2913" s="28">
        <v>16803</v>
      </c>
      <c r="B2913" s="91">
        <v>44888.993888888886</v>
      </c>
      <c r="C2913" s="28" t="s">
        <v>10</v>
      </c>
      <c r="D2913" s="28" t="s">
        <v>1138</v>
      </c>
      <c r="E2913" s="28" t="s">
        <v>50</v>
      </c>
      <c r="F2913" s="28">
        <v>20</v>
      </c>
      <c r="G2913" s="28" t="s">
        <v>148</v>
      </c>
      <c r="H2913" s="28">
        <v>0</v>
      </c>
      <c r="J2913" s="28"/>
    </row>
    <row r="2914" spans="1:10" ht="15.75" customHeight="1">
      <c r="A2914" s="28">
        <v>16803</v>
      </c>
      <c r="B2914" s="91">
        <v>44888.993888888886</v>
      </c>
      <c r="C2914" s="28" t="s">
        <v>10</v>
      </c>
      <c r="D2914" s="28" t="s">
        <v>1138</v>
      </c>
      <c r="E2914" s="28" t="s">
        <v>50</v>
      </c>
      <c r="F2914" s="28">
        <v>24</v>
      </c>
      <c r="G2914" s="28" t="s">
        <v>122</v>
      </c>
      <c r="H2914" s="28">
        <v>0</v>
      </c>
      <c r="J2914" s="28"/>
    </row>
    <row r="2915" spans="1:10" ht="15.75" customHeight="1">
      <c r="A2915" s="28">
        <v>16802</v>
      </c>
      <c r="B2915" s="91">
        <v>44888.982581018514</v>
      </c>
      <c r="C2915" s="28" t="s">
        <v>10</v>
      </c>
      <c r="D2915" s="28" t="s">
        <v>1139</v>
      </c>
      <c r="E2915" s="28" t="s">
        <v>50</v>
      </c>
      <c r="F2915" s="28">
        <v>25</v>
      </c>
      <c r="G2915" s="28" t="s">
        <v>297</v>
      </c>
      <c r="H2915" s="28">
        <v>0</v>
      </c>
      <c r="J2915" s="28"/>
    </row>
    <row r="2916" spans="1:10" ht="15.75" customHeight="1">
      <c r="A2916" s="28">
        <v>16802</v>
      </c>
      <c r="B2916" s="91">
        <v>44888.982581018514</v>
      </c>
      <c r="C2916" s="28" t="s">
        <v>10</v>
      </c>
      <c r="D2916" s="28" t="s">
        <v>1139</v>
      </c>
      <c r="E2916" s="28" t="s">
        <v>50</v>
      </c>
      <c r="F2916" s="28">
        <v>55</v>
      </c>
      <c r="G2916" s="28">
        <v>101684</v>
      </c>
      <c r="H2916" s="28">
        <v>0</v>
      </c>
      <c r="J2916" s="28"/>
    </row>
    <row r="2917" spans="1:10" ht="15.75" customHeight="1">
      <c r="A2917" s="28">
        <v>16802</v>
      </c>
      <c r="B2917" s="91">
        <v>44888.982581018514</v>
      </c>
      <c r="C2917" s="28" t="s">
        <v>10</v>
      </c>
      <c r="D2917" s="28" t="s">
        <v>1139</v>
      </c>
      <c r="E2917" s="28" t="s">
        <v>50</v>
      </c>
      <c r="F2917" s="28">
        <v>0</v>
      </c>
      <c r="G2917" s="28" t="s">
        <v>118</v>
      </c>
      <c r="H2917" s="28">
        <v>0</v>
      </c>
      <c r="J2917" s="28"/>
    </row>
    <row r="2918" spans="1:10" ht="15.75" customHeight="1">
      <c r="A2918" s="28">
        <v>16802</v>
      </c>
      <c r="B2918" s="91">
        <v>44888.982581018514</v>
      </c>
      <c r="C2918" s="28" t="s">
        <v>10</v>
      </c>
      <c r="D2918" s="28" t="s">
        <v>1139</v>
      </c>
      <c r="E2918" s="28" t="s">
        <v>50</v>
      </c>
      <c r="F2918" s="28">
        <v>0</v>
      </c>
      <c r="G2918" s="28" t="s">
        <v>119</v>
      </c>
      <c r="H2918" s="28">
        <v>0</v>
      </c>
      <c r="J2918" s="28"/>
    </row>
    <row r="2919" spans="1:10" ht="15.75" customHeight="1">
      <c r="A2919" s="28">
        <v>16802</v>
      </c>
      <c r="B2919" s="91">
        <v>44888.982581018514</v>
      </c>
      <c r="C2919" s="28" t="s">
        <v>10</v>
      </c>
      <c r="D2919" s="28" t="s">
        <v>1139</v>
      </c>
      <c r="E2919" s="28" t="s">
        <v>50</v>
      </c>
      <c r="F2919" s="28">
        <v>0</v>
      </c>
      <c r="G2919" s="28" t="s">
        <v>120</v>
      </c>
      <c r="H2919" s="28">
        <v>0</v>
      </c>
      <c r="J2919" s="28"/>
    </row>
    <row r="2920" spans="1:10" ht="15.75" customHeight="1">
      <c r="A2920" s="28">
        <v>16802</v>
      </c>
      <c r="B2920" s="91">
        <v>44888.982581018514</v>
      </c>
      <c r="C2920" s="28" t="s">
        <v>10</v>
      </c>
      <c r="D2920" s="28" t="s">
        <v>1139</v>
      </c>
      <c r="E2920" s="28" t="s">
        <v>50</v>
      </c>
      <c r="F2920" s="28">
        <v>0</v>
      </c>
      <c r="G2920" s="28" t="s">
        <v>121</v>
      </c>
      <c r="H2920" s="28">
        <v>0</v>
      </c>
      <c r="J2920" s="28"/>
    </row>
    <row r="2921" spans="1:10" ht="15.75" customHeight="1">
      <c r="A2921" s="28">
        <v>16802</v>
      </c>
      <c r="B2921" s="91">
        <v>44888.982581018514</v>
      </c>
      <c r="C2921" s="28" t="s">
        <v>10</v>
      </c>
      <c r="D2921" s="28" t="s">
        <v>1139</v>
      </c>
      <c r="E2921" s="28" t="s">
        <v>50</v>
      </c>
      <c r="F2921" s="28">
        <v>20</v>
      </c>
      <c r="G2921" s="28" t="s">
        <v>205</v>
      </c>
      <c r="H2921" s="28">
        <v>0</v>
      </c>
      <c r="J2921" s="28"/>
    </row>
    <row r="2922" spans="1:10" ht="15.75" customHeight="1">
      <c r="A2922" s="28">
        <v>16802</v>
      </c>
      <c r="B2922" s="91">
        <v>44888.982581018514</v>
      </c>
      <c r="C2922" s="28" t="s">
        <v>10</v>
      </c>
      <c r="D2922" s="28" t="s">
        <v>1139</v>
      </c>
      <c r="E2922" s="28" t="s">
        <v>50</v>
      </c>
      <c r="F2922" s="28">
        <v>0</v>
      </c>
      <c r="G2922" s="28" t="s">
        <v>125</v>
      </c>
      <c r="H2922" s="28">
        <v>0</v>
      </c>
      <c r="J2922" s="28"/>
    </row>
    <row r="2923" spans="1:10" ht="15.75" customHeight="1">
      <c r="A2923" s="28">
        <v>16802</v>
      </c>
      <c r="B2923" s="91">
        <v>44888.982581018514</v>
      </c>
      <c r="C2923" s="28" t="s">
        <v>10</v>
      </c>
      <c r="D2923" s="28" t="s">
        <v>1139</v>
      </c>
      <c r="E2923" s="28" t="s">
        <v>50</v>
      </c>
      <c r="F2923" s="28">
        <v>0</v>
      </c>
      <c r="G2923" s="28" t="s">
        <v>139</v>
      </c>
      <c r="H2923" s="28">
        <v>0</v>
      </c>
      <c r="J2923" s="28"/>
    </row>
    <row r="2924" spans="1:10" ht="15.75" customHeight="1">
      <c r="A2924" s="28">
        <v>16801</v>
      </c>
      <c r="B2924" s="91">
        <v>44888.975497685184</v>
      </c>
      <c r="C2924" s="28" t="s">
        <v>10</v>
      </c>
      <c r="D2924" s="28" t="s">
        <v>1140</v>
      </c>
      <c r="E2924" s="28" t="s">
        <v>50</v>
      </c>
      <c r="F2924" s="28">
        <v>35</v>
      </c>
      <c r="G2924" s="28" t="s">
        <v>124</v>
      </c>
      <c r="H2924" s="28">
        <v>0</v>
      </c>
      <c r="J2924" s="28"/>
    </row>
    <row r="2925" spans="1:10" ht="15.75" customHeight="1">
      <c r="A2925" s="28">
        <v>16801</v>
      </c>
      <c r="B2925" s="91">
        <v>44888.975497685184</v>
      </c>
      <c r="C2925" s="28" t="s">
        <v>10</v>
      </c>
      <c r="D2925" s="28" t="s">
        <v>1140</v>
      </c>
      <c r="E2925" s="28" t="s">
        <v>50</v>
      </c>
      <c r="F2925" s="28">
        <v>0</v>
      </c>
      <c r="G2925" s="28" t="s">
        <v>125</v>
      </c>
      <c r="H2925" s="28">
        <v>0</v>
      </c>
      <c r="J2925" s="28"/>
    </row>
    <row r="2926" spans="1:10" ht="15.75" customHeight="1">
      <c r="A2926" s="28">
        <v>16801</v>
      </c>
      <c r="B2926" s="91">
        <v>44888.975497685184</v>
      </c>
      <c r="C2926" s="28" t="s">
        <v>10</v>
      </c>
      <c r="D2926" s="28" t="s">
        <v>1140</v>
      </c>
      <c r="E2926" s="28" t="s">
        <v>50</v>
      </c>
      <c r="F2926" s="28">
        <v>0</v>
      </c>
      <c r="G2926" s="28" t="s">
        <v>121</v>
      </c>
      <c r="H2926" s="28">
        <v>0</v>
      </c>
      <c r="J2926" s="28"/>
    </row>
    <row r="2927" spans="1:10" ht="15.75" customHeight="1">
      <c r="A2927" s="28">
        <v>16801</v>
      </c>
      <c r="B2927" s="91">
        <v>44888.975497685184</v>
      </c>
      <c r="C2927" s="28" t="s">
        <v>10</v>
      </c>
      <c r="D2927" s="28" t="s">
        <v>1140</v>
      </c>
      <c r="E2927" s="28" t="s">
        <v>50</v>
      </c>
      <c r="F2927" s="28">
        <v>0</v>
      </c>
      <c r="G2927" s="28" t="s">
        <v>119</v>
      </c>
      <c r="H2927" s="28">
        <v>0</v>
      </c>
      <c r="J2927" s="28"/>
    </row>
    <row r="2928" spans="1:10" ht="15.75" customHeight="1">
      <c r="A2928" s="28">
        <v>16800</v>
      </c>
      <c r="B2928" s="91">
        <v>44888.969988425924</v>
      </c>
      <c r="C2928" s="28" t="s">
        <v>10</v>
      </c>
      <c r="D2928" s="28" t="s">
        <v>1141</v>
      </c>
      <c r="E2928" s="28" t="s">
        <v>50</v>
      </c>
      <c r="F2928" s="28">
        <v>24</v>
      </c>
      <c r="G2928" s="28" t="s">
        <v>122</v>
      </c>
      <c r="H2928" s="28">
        <v>0</v>
      </c>
      <c r="J2928" s="28"/>
    </row>
    <row r="2929" spans="1:10" ht="15.75" customHeight="1">
      <c r="A2929" s="28">
        <v>16799</v>
      </c>
      <c r="B2929" s="91">
        <v>44888.968055555553</v>
      </c>
      <c r="C2929" s="28" t="s">
        <v>10</v>
      </c>
      <c r="D2929" s="28" t="s">
        <v>1142</v>
      </c>
      <c r="E2929" s="28" t="s">
        <v>50</v>
      </c>
      <c r="F2929" s="28">
        <v>24</v>
      </c>
      <c r="G2929" s="28" t="s">
        <v>122</v>
      </c>
      <c r="H2929" s="28">
        <v>0</v>
      </c>
      <c r="J2929" s="28"/>
    </row>
    <row r="2930" spans="1:10" ht="15.75" customHeight="1">
      <c r="A2930" s="28">
        <v>16798</v>
      </c>
      <c r="B2930" s="91">
        <v>44888.967349537037</v>
      </c>
      <c r="C2930" s="28" t="s">
        <v>10</v>
      </c>
      <c r="D2930" s="28" t="s">
        <v>1143</v>
      </c>
      <c r="E2930" s="28" t="s">
        <v>50</v>
      </c>
      <c r="F2930" s="28">
        <v>28</v>
      </c>
      <c r="G2930" s="28" t="s">
        <v>143</v>
      </c>
      <c r="H2930" s="28">
        <v>0</v>
      </c>
      <c r="J2930" s="28"/>
    </row>
    <row r="2931" spans="1:10" ht="15.75" customHeight="1">
      <c r="A2931" s="28">
        <v>16797</v>
      </c>
      <c r="B2931" s="91">
        <v>44888.965717592597</v>
      </c>
      <c r="C2931" s="28" t="s">
        <v>10</v>
      </c>
      <c r="D2931" s="28" t="s">
        <v>1144</v>
      </c>
      <c r="E2931" s="28" t="s">
        <v>50</v>
      </c>
      <c r="F2931" s="28">
        <v>25</v>
      </c>
      <c r="G2931" s="28">
        <v>100692</v>
      </c>
      <c r="H2931" s="28">
        <v>0</v>
      </c>
      <c r="J2931" s="28"/>
    </row>
    <row r="2932" spans="1:10" ht="15.75" customHeight="1">
      <c r="A2932" s="28">
        <v>16797</v>
      </c>
      <c r="B2932" s="91">
        <v>44888.965717592597</v>
      </c>
      <c r="C2932" s="28" t="s">
        <v>10</v>
      </c>
      <c r="D2932" s="28" t="s">
        <v>1144</v>
      </c>
      <c r="E2932" s="28" t="s">
        <v>50</v>
      </c>
      <c r="F2932" s="28">
        <v>0</v>
      </c>
      <c r="G2932" s="28" t="s">
        <v>125</v>
      </c>
      <c r="H2932" s="28">
        <v>0</v>
      </c>
      <c r="J2932" s="28"/>
    </row>
    <row r="2933" spans="1:10" ht="15.75" customHeight="1">
      <c r="A2933" s="28">
        <v>16797</v>
      </c>
      <c r="B2933" s="91">
        <v>44888.965717592597</v>
      </c>
      <c r="C2933" s="28" t="s">
        <v>10</v>
      </c>
      <c r="D2933" s="28" t="s">
        <v>1144</v>
      </c>
      <c r="E2933" s="28" t="s">
        <v>50</v>
      </c>
      <c r="F2933" s="28">
        <v>0</v>
      </c>
      <c r="G2933" s="28" t="s">
        <v>119</v>
      </c>
      <c r="H2933" s="28">
        <v>0</v>
      </c>
      <c r="J2933" s="28"/>
    </row>
    <row r="2934" spans="1:10" ht="15.75" customHeight="1">
      <c r="A2934" s="28">
        <v>16796</v>
      </c>
      <c r="B2934" s="91">
        <v>44888.965347222227</v>
      </c>
      <c r="C2934" s="28" t="s">
        <v>10</v>
      </c>
      <c r="D2934" s="28" t="s">
        <v>1145</v>
      </c>
      <c r="E2934" s="28" t="s">
        <v>50</v>
      </c>
      <c r="F2934" s="28">
        <v>25</v>
      </c>
      <c r="G2934" s="28">
        <v>100692</v>
      </c>
      <c r="H2934" s="28">
        <v>0</v>
      </c>
      <c r="J2934" s="28"/>
    </row>
    <row r="2935" spans="1:10" ht="15.75" customHeight="1">
      <c r="A2935" s="28">
        <v>16796</v>
      </c>
      <c r="B2935" s="91">
        <v>44888.965347222227</v>
      </c>
      <c r="C2935" s="28" t="s">
        <v>10</v>
      </c>
      <c r="D2935" s="28" t="s">
        <v>1145</v>
      </c>
      <c r="E2935" s="28" t="s">
        <v>50</v>
      </c>
      <c r="F2935" s="28">
        <v>0</v>
      </c>
      <c r="G2935" s="28" t="s">
        <v>125</v>
      </c>
      <c r="H2935" s="28">
        <v>0</v>
      </c>
      <c r="J2935" s="28"/>
    </row>
    <row r="2936" spans="1:10" ht="15.75" customHeight="1">
      <c r="A2936" s="28">
        <v>16796</v>
      </c>
      <c r="B2936" s="91">
        <v>44888.965347222227</v>
      </c>
      <c r="C2936" s="28" t="s">
        <v>10</v>
      </c>
      <c r="D2936" s="28" t="s">
        <v>1145</v>
      </c>
      <c r="E2936" s="28" t="s">
        <v>50</v>
      </c>
      <c r="F2936" s="28">
        <v>0</v>
      </c>
      <c r="G2936" s="28" t="s">
        <v>119</v>
      </c>
      <c r="H2936" s="28">
        <v>0</v>
      </c>
      <c r="J2936" s="28"/>
    </row>
    <row r="2937" spans="1:10" ht="15.75" customHeight="1">
      <c r="A2937" s="28">
        <v>16795</v>
      </c>
      <c r="B2937" s="91">
        <v>44888.963854166665</v>
      </c>
      <c r="C2937" s="28" t="s">
        <v>10</v>
      </c>
      <c r="D2937" s="28" t="s">
        <v>1146</v>
      </c>
      <c r="E2937" s="28" t="s">
        <v>50</v>
      </c>
      <c r="F2937" s="28">
        <v>30</v>
      </c>
      <c r="G2937" s="28" t="s">
        <v>170</v>
      </c>
      <c r="H2937" s="28">
        <v>0</v>
      </c>
      <c r="J2937" s="28"/>
    </row>
    <row r="2938" spans="1:10" ht="15.75" customHeight="1">
      <c r="A2938" s="28">
        <v>16794</v>
      </c>
      <c r="B2938" s="91">
        <v>44888.962256944447</v>
      </c>
      <c r="C2938" s="28" t="s">
        <v>10</v>
      </c>
      <c r="D2938" s="28" t="s">
        <v>1147</v>
      </c>
      <c r="E2938" s="28" t="s">
        <v>50</v>
      </c>
      <c r="F2938" s="28">
        <v>25</v>
      </c>
      <c r="G2938" s="28">
        <v>100692</v>
      </c>
      <c r="H2938" s="28">
        <v>0</v>
      </c>
      <c r="J2938" s="28"/>
    </row>
    <row r="2939" spans="1:10" ht="15.75" customHeight="1">
      <c r="A2939" s="28">
        <v>16794</v>
      </c>
      <c r="B2939" s="91">
        <v>44888.962256944447</v>
      </c>
      <c r="C2939" s="28" t="s">
        <v>10</v>
      </c>
      <c r="D2939" s="28" t="s">
        <v>1147</v>
      </c>
      <c r="E2939" s="28" t="s">
        <v>50</v>
      </c>
      <c r="F2939" s="28">
        <v>0</v>
      </c>
      <c r="G2939" s="28" t="s">
        <v>125</v>
      </c>
      <c r="H2939" s="28">
        <v>0</v>
      </c>
      <c r="J2939" s="28"/>
    </row>
    <row r="2940" spans="1:10" ht="15.75" customHeight="1">
      <c r="A2940" s="28">
        <v>16794</v>
      </c>
      <c r="B2940" s="91">
        <v>44888.962256944447</v>
      </c>
      <c r="C2940" s="28" t="s">
        <v>10</v>
      </c>
      <c r="D2940" s="28" t="s">
        <v>1147</v>
      </c>
      <c r="E2940" s="28" t="s">
        <v>50</v>
      </c>
      <c r="F2940" s="28">
        <v>0</v>
      </c>
      <c r="G2940" s="28" t="s">
        <v>119</v>
      </c>
      <c r="H2940" s="28">
        <v>0</v>
      </c>
      <c r="J2940" s="28"/>
    </row>
    <row r="2941" spans="1:10" ht="15.75" customHeight="1">
      <c r="A2941" s="28">
        <v>16793</v>
      </c>
      <c r="B2941" s="91">
        <v>44888.960902777777</v>
      </c>
      <c r="C2941" s="28" t="s">
        <v>10</v>
      </c>
      <c r="D2941" s="28" t="s">
        <v>1148</v>
      </c>
      <c r="E2941" s="28" t="s">
        <v>50</v>
      </c>
      <c r="F2941" s="28">
        <v>55</v>
      </c>
      <c r="G2941" s="28">
        <v>101684</v>
      </c>
      <c r="H2941" s="28">
        <v>0</v>
      </c>
      <c r="J2941" s="28"/>
    </row>
    <row r="2942" spans="1:10" ht="15.75" customHeight="1">
      <c r="A2942" s="28">
        <v>16793</v>
      </c>
      <c r="B2942" s="91">
        <v>44888.960902777777</v>
      </c>
      <c r="C2942" s="28" t="s">
        <v>10</v>
      </c>
      <c r="D2942" s="28" t="s">
        <v>1148</v>
      </c>
      <c r="E2942" s="28" t="s">
        <v>50</v>
      </c>
      <c r="F2942" s="28">
        <v>0</v>
      </c>
      <c r="G2942" s="28" t="s">
        <v>118</v>
      </c>
      <c r="H2942" s="28">
        <v>0</v>
      </c>
      <c r="J2942" s="28"/>
    </row>
    <row r="2943" spans="1:10" ht="15.75" customHeight="1">
      <c r="A2943" s="28">
        <v>16793</v>
      </c>
      <c r="B2943" s="91">
        <v>44888.960902777777</v>
      </c>
      <c r="C2943" s="28" t="s">
        <v>10</v>
      </c>
      <c r="D2943" s="28" t="s">
        <v>1148</v>
      </c>
      <c r="E2943" s="28" t="s">
        <v>50</v>
      </c>
      <c r="F2943" s="28">
        <v>0</v>
      </c>
      <c r="G2943" s="28" t="s">
        <v>119</v>
      </c>
      <c r="H2943" s="28">
        <v>0</v>
      </c>
      <c r="J2943" s="28"/>
    </row>
    <row r="2944" spans="1:10" ht="15.75" customHeight="1">
      <c r="A2944" s="28">
        <v>16793</v>
      </c>
      <c r="B2944" s="91">
        <v>44888.960902777777</v>
      </c>
      <c r="C2944" s="28" t="s">
        <v>10</v>
      </c>
      <c r="D2944" s="28" t="s">
        <v>1148</v>
      </c>
      <c r="E2944" s="28" t="s">
        <v>50</v>
      </c>
      <c r="F2944" s="28">
        <v>0</v>
      </c>
      <c r="G2944" s="28" t="s">
        <v>120</v>
      </c>
      <c r="H2944" s="28">
        <v>0</v>
      </c>
      <c r="J2944" s="28"/>
    </row>
    <row r="2945" spans="1:10" ht="15.75" customHeight="1">
      <c r="A2945" s="28">
        <v>16793</v>
      </c>
      <c r="B2945" s="91">
        <v>44888.960902777777</v>
      </c>
      <c r="C2945" s="28" t="s">
        <v>10</v>
      </c>
      <c r="D2945" s="28" t="s">
        <v>1148</v>
      </c>
      <c r="E2945" s="28" t="s">
        <v>50</v>
      </c>
      <c r="F2945" s="28">
        <v>0</v>
      </c>
      <c r="G2945" s="28" t="s">
        <v>121</v>
      </c>
      <c r="H2945" s="28">
        <v>0</v>
      </c>
      <c r="J2945" s="28"/>
    </row>
    <row r="2946" spans="1:10" ht="15.75" customHeight="1">
      <c r="A2946" s="28">
        <v>16792</v>
      </c>
      <c r="B2946" s="91">
        <v>44888.950300925921</v>
      </c>
      <c r="C2946" s="28" t="s">
        <v>10</v>
      </c>
      <c r="D2946" s="28" t="s">
        <v>1149</v>
      </c>
      <c r="E2946" s="28" t="s">
        <v>50</v>
      </c>
      <c r="F2946" s="28">
        <v>15</v>
      </c>
      <c r="G2946" s="28" t="s">
        <v>125</v>
      </c>
      <c r="H2946" s="28">
        <v>0</v>
      </c>
      <c r="J2946" s="28"/>
    </row>
    <row r="2947" spans="1:10" ht="15.75" customHeight="1">
      <c r="A2947" s="28">
        <v>16792</v>
      </c>
      <c r="B2947" s="91">
        <v>44888.950300925921</v>
      </c>
      <c r="C2947" s="28" t="s">
        <v>10</v>
      </c>
      <c r="D2947" s="28" t="s">
        <v>1149</v>
      </c>
      <c r="E2947" s="28" t="s">
        <v>50</v>
      </c>
      <c r="F2947" s="28">
        <v>24</v>
      </c>
      <c r="G2947" s="28" t="s">
        <v>122</v>
      </c>
      <c r="H2947" s="28">
        <v>0</v>
      </c>
      <c r="J2947" s="28"/>
    </row>
    <row r="2948" spans="1:10" ht="15.75" customHeight="1">
      <c r="A2948" s="28">
        <v>16791</v>
      </c>
      <c r="B2948" s="91">
        <v>44888.948564814811</v>
      </c>
      <c r="C2948" s="28" t="s">
        <v>10</v>
      </c>
      <c r="D2948" s="28" t="s">
        <v>1090</v>
      </c>
      <c r="E2948" s="28" t="s">
        <v>50</v>
      </c>
      <c r="F2948" s="28">
        <v>24</v>
      </c>
      <c r="G2948" s="28" t="s">
        <v>122</v>
      </c>
      <c r="H2948" s="28">
        <v>0</v>
      </c>
      <c r="J2948" s="28"/>
    </row>
    <row r="2949" spans="1:10" ht="15.75" customHeight="1">
      <c r="A2949" s="28">
        <v>16790</v>
      </c>
      <c r="B2949" s="91">
        <v>44888.935231481482</v>
      </c>
      <c r="C2949" s="28" t="s">
        <v>10</v>
      </c>
      <c r="D2949" s="28" t="s">
        <v>1150</v>
      </c>
      <c r="E2949" s="28" t="s">
        <v>50</v>
      </c>
      <c r="F2949" s="28">
        <v>28</v>
      </c>
      <c r="G2949" s="28" t="s">
        <v>143</v>
      </c>
      <c r="H2949" s="28">
        <v>0</v>
      </c>
      <c r="J2949" s="28"/>
    </row>
    <row r="2950" spans="1:10" ht="15.75" customHeight="1">
      <c r="A2950" s="28">
        <v>16790</v>
      </c>
      <c r="B2950" s="91">
        <v>44888.935231481482</v>
      </c>
      <c r="C2950" s="28" t="s">
        <v>10</v>
      </c>
      <c r="D2950" s="28" t="s">
        <v>1150</v>
      </c>
      <c r="E2950" s="28" t="s">
        <v>50</v>
      </c>
      <c r="F2950" s="28">
        <v>25</v>
      </c>
      <c r="G2950" s="28">
        <v>100692</v>
      </c>
      <c r="H2950" s="28">
        <v>0</v>
      </c>
      <c r="J2950" s="28"/>
    </row>
    <row r="2951" spans="1:10" ht="15.75" customHeight="1">
      <c r="A2951" s="28">
        <v>16790</v>
      </c>
      <c r="B2951" s="91">
        <v>44888.935231481482</v>
      </c>
      <c r="C2951" s="28" t="s">
        <v>10</v>
      </c>
      <c r="D2951" s="28" t="s">
        <v>1150</v>
      </c>
      <c r="E2951" s="28" t="s">
        <v>50</v>
      </c>
      <c r="F2951" s="28">
        <v>0</v>
      </c>
      <c r="G2951" s="28" t="s">
        <v>125</v>
      </c>
      <c r="H2951" s="28">
        <v>0</v>
      </c>
      <c r="J2951" s="28"/>
    </row>
    <row r="2952" spans="1:10" ht="15.75" customHeight="1">
      <c r="A2952" s="28">
        <v>16790</v>
      </c>
      <c r="B2952" s="91">
        <v>44888.935231481482</v>
      </c>
      <c r="C2952" s="28" t="s">
        <v>10</v>
      </c>
      <c r="D2952" s="28" t="s">
        <v>1150</v>
      </c>
      <c r="E2952" s="28" t="s">
        <v>50</v>
      </c>
      <c r="F2952" s="28">
        <v>0</v>
      </c>
      <c r="G2952" s="28" t="s">
        <v>119</v>
      </c>
      <c r="H2952" s="28">
        <v>0</v>
      </c>
      <c r="J2952" s="28"/>
    </row>
    <row r="2953" spans="1:10" ht="15.75" customHeight="1">
      <c r="A2953" s="28">
        <v>16789</v>
      </c>
      <c r="B2953" s="91">
        <v>44888.920902777776</v>
      </c>
      <c r="C2953" s="28" t="s">
        <v>10</v>
      </c>
      <c r="D2953" s="28" t="s">
        <v>1151</v>
      </c>
      <c r="E2953" s="28" t="s">
        <v>50</v>
      </c>
      <c r="F2953" s="28">
        <v>24</v>
      </c>
      <c r="G2953" s="28" t="s">
        <v>122</v>
      </c>
      <c r="H2953" s="28">
        <v>0</v>
      </c>
      <c r="J2953" s="28"/>
    </row>
    <row r="2954" spans="1:10" ht="15.75" customHeight="1">
      <c r="A2954" s="28">
        <v>16789</v>
      </c>
      <c r="B2954" s="91">
        <v>44888.920902777776</v>
      </c>
      <c r="C2954" s="28" t="s">
        <v>10</v>
      </c>
      <c r="D2954" s="28" t="s">
        <v>1151</v>
      </c>
      <c r="E2954" s="28" t="s">
        <v>50</v>
      </c>
      <c r="F2954" s="28">
        <v>15</v>
      </c>
      <c r="G2954" s="28" t="s">
        <v>170</v>
      </c>
      <c r="H2954" s="28">
        <v>0</v>
      </c>
      <c r="J2954" s="28"/>
    </row>
    <row r="2955" spans="1:10" ht="15.75" customHeight="1">
      <c r="A2955" s="28">
        <v>16789</v>
      </c>
      <c r="B2955" s="91">
        <v>44888.920902777776</v>
      </c>
      <c r="C2955" s="28" t="s">
        <v>10</v>
      </c>
      <c r="D2955" s="28" t="s">
        <v>1151</v>
      </c>
      <c r="E2955" s="28" t="s">
        <v>50</v>
      </c>
      <c r="F2955" s="28">
        <v>18</v>
      </c>
      <c r="G2955" s="28" t="s">
        <v>457</v>
      </c>
      <c r="H2955" s="28">
        <v>0</v>
      </c>
      <c r="J2955" s="28"/>
    </row>
    <row r="2956" spans="1:10" ht="15.75" customHeight="1">
      <c r="A2956" s="28">
        <v>16788</v>
      </c>
      <c r="B2956" s="91">
        <v>44888.886145833334</v>
      </c>
      <c r="C2956" s="28" t="s">
        <v>10</v>
      </c>
      <c r="D2956" s="28" t="s">
        <v>1152</v>
      </c>
      <c r="E2956" s="28" t="s">
        <v>74</v>
      </c>
      <c r="F2956" s="28">
        <v>15</v>
      </c>
      <c r="G2956" s="28" t="s">
        <v>170</v>
      </c>
      <c r="H2956" s="28">
        <v>0</v>
      </c>
      <c r="J2956" s="28"/>
    </row>
    <row r="2957" spans="1:10" ht="15.75" customHeight="1">
      <c r="A2957" s="28">
        <v>16788</v>
      </c>
      <c r="B2957" s="91">
        <v>44888.886145833334</v>
      </c>
      <c r="C2957" s="28" t="s">
        <v>10</v>
      </c>
      <c r="D2957" s="28" t="s">
        <v>1152</v>
      </c>
      <c r="E2957" s="28" t="s">
        <v>74</v>
      </c>
      <c r="F2957" s="28">
        <v>25</v>
      </c>
      <c r="G2957" s="28" t="s">
        <v>1106</v>
      </c>
      <c r="H2957" s="28">
        <v>0</v>
      </c>
      <c r="J2957" s="28"/>
    </row>
    <row r="2958" spans="1:10" ht="15.75" customHeight="1">
      <c r="A2958" s="28">
        <v>16788</v>
      </c>
      <c r="B2958" s="91">
        <v>44888.886145833334</v>
      </c>
      <c r="C2958" s="28" t="s">
        <v>10</v>
      </c>
      <c r="D2958" s="28" t="s">
        <v>1152</v>
      </c>
      <c r="E2958" s="28" t="s">
        <v>74</v>
      </c>
      <c r="F2958" s="28">
        <v>0</v>
      </c>
      <c r="G2958" s="28" t="s">
        <v>884</v>
      </c>
      <c r="H2958" s="28">
        <v>0</v>
      </c>
      <c r="J2958" s="28"/>
    </row>
    <row r="2959" spans="1:10" ht="15.75" customHeight="1">
      <c r="A2959" s="28">
        <v>16788</v>
      </c>
      <c r="B2959" s="91">
        <v>44888.886145833334</v>
      </c>
      <c r="C2959" s="28" t="s">
        <v>10</v>
      </c>
      <c r="D2959" s="28" t="s">
        <v>1152</v>
      </c>
      <c r="E2959" s="28" t="s">
        <v>74</v>
      </c>
      <c r="F2959" s="28">
        <v>0</v>
      </c>
      <c r="G2959" s="28" t="s">
        <v>882</v>
      </c>
      <c r="H2959" s="28">
        <v>0</v>
      </c>
      <c r="J2959" s="28"/>
    </row>
    <row r="2960" spans="1:10" ht="15.75" customHeight="1">
      <c r="A2960" s="28">
        <v>16787</v>
      </c>
      <c r="B2960" s="91">
        <v>44888.84511574074</v>
      </c>
      <c r="C2960" s="28" t="s">
        <v>10</v>
      </c>
      <c r="D2960" s="28" t="s">
        <v>1153</v>
      </c>
      <c r="E2960" s="28" t="s">
        <v>50</v>
      </c>
      <c r="F2960" s="28">
        <v>24</v>
      </c>
      <c r="G2960" s="28" t="s">
        <v>122</v>
      </c>
      <c r="H2960" s="28">
        <v>0</v>
      </c>
      <c r="J2960" s="28"/>
    </row>
    <row r="2961" spans="1:10" ht="15.75" customHeight="1">
      <c r="A2961" s="28">
        <v>16786</v>
      </c>
      <c r="B2961" s="91">
        <v>44888.843518518523</v>
      </c>
      <c r="C2961" s="28" t="s">
        <v>10</v>
      </c>
      <c r="D2961" s="28" t="s">
        <v>1154</v>
      </c>
      <c r="E2961" s="28" t="s">
        <v>50</v>
      </c>
      <c r="F2961" s="28">
        <v>24</v>
      </c>
      <c r="G2961" s="28" t="s">
        <v>122</v>
      </c>
      <c r="H2961" s="28">
        <v>0</v>
      </c>
      <c r="J2961" s="28"/>
    </row>
    <row r="2962" spans="1:10" ht="15.75" customHeight="1">
      <c r="A2962" s="28">
        <v>16785</v>
      </c>
      <c r="B2962" s="91">
        <v>44888.818402777775</v>
      </c>
      <c r="C2962" s="28" t="s">
        <v>10</v>
      </c>
      <c r="D2962" s="28" t="s">
        <v>1155</v>
      </c>
      <c r="E2962" s="28" t="s">
        <v>50</v>
      </c>
      <c r="F2962" s="28">
        <v>24</v>
      </c>
      <c r="G2962" s="28" t="s">
        <v>122</v>
      </c>
      <c r="H2962" s="28">
        <v>0</v>
      </c>
      <c r="J2962" s="28"/>
    </row>
    <row r="2963" spans="1:10" ht="15.75" customHeight="1">
      <c r="A2963" s="28">
        <v>16784</v>
      </c>
      <c r="B2963" s="91">
        <v>44888.785682870366</v>
      </c>
      <c r="C2963" s="28" t="s">
        <v>10</v>
      </c>
      <c r="D2963" s="28" t="s">
        <v>1156</v>
      </c>
      <c r="E2963" s="28" t="s">
        <v>50</v>
      </c>
      <c r="F2963" s="28">
        <v>22</v>
      </c>
      <c r="G2963" s="28" t="s">
        <v>137</v>
      </c>
      <c r="H2963" s="28">
        <v>0</v>
      </c>
      <c r="J2963" s="28"/>
    </row>
    <row r="2964" spans="1:10" ht="15.75" customHeight="1">
      <c r="A2964" s="28">
        <v>16783</v>
      </c>
      <c r="B2964" s="91">
        <v>44888.635219907403</v>
      </c>
      <c r="C2964" s="28" t="s">
        <v>10</v>
      </c>
      <c r="D2964" s="28" t="s">
        <v>1157</v>
      </c>
      <c r="E2964" s="28" t="s">
        <v>74</v>
      </c>
      <c r="F2964" s="28">
        <v>25</v>
      </c>
      <c r="G2964" s="28" t="s">
        <v>1106</v>
      </c>
      <c r="H2964" s="28">
        <v>0</v>
      </c>
      <c r="J2964" s="28"/>
    </row>
    <row r="2965" spans="1:10" ht="15.75" customHeight="1">
      <c r="A2965" s="28">
        <v>16783</v>
      </c>
      <c r="B2965" s="91">
        <v>44888.635219907403</v>
      </c>
      <c r="C2965" s="28" t="s">
        <v>10</v>
      </c>
      <c r="D2965" s="28" t="s">
        <v>1157</v>
      </c>
      <c r="E2965" s="28" t="s">
        <v>74</v>
      </c>
      <c r="F2965" s="28">
        <v>0</v>
      </c>
      <c r="G2965" s="28" t="s">
        <v>884</v>
      </c>
      <c r="H2965" s="28">
        <v>0</v>
      </c>
      <c r="J2965" s="28"/>
    </row>
    <row r="2966" spans="1:10" ht="15.75" customHeight="1">
      <c r="A2966" s="28">
        <v>16783</v>
      </c>
      <c r="B2966" s="91">
        <v>44888.635219907403</v>
      </c>
      <c r="C2966" s="28" t="s">
        <v>10</v>
      </c>
      <c r="D2966" s="28" t="s">
        <v>1157</v>
      </c>
      <c r="E2966" s="28" t="s">
        <v>74</v>
      </c>
      <c r="F2966" s="28">
        <v>0</v>
      </c>
      <c r="G2966" s="28" t="s">
        <v>882</v>
      </c>
      <c r="H2966" s="28">
        <v>0</v>
      </c>
      <c r="J2966" s="28"/>
    </row>
    <row r="2967" spans="1:10" ht="15.75" customHeight="1">
      <c r="A2967" s="28">
        <v>16783</v>
      </c>
      <c r="B2967" s="91">
        <v>44888.635219907403</v>
      </c>
      <c r="C2967" s="28" t="s">
        <v>10</v>
      </c>
      <c r="D2967" s="28" t="s">
        <v>1157</v>
      </c>
      <c r="E2967" s="28" t="s">
        <v>74</v>
      </c>
      <c r="F2967" s="28">
        <v>25</v>
      </c>
      <c r="G2967" s="28">
        <v>100692</v>
      </c>
      <c r="H2967" s="28">
        <v>0</v>
      </c>
      <c r="J2967" s="28"/>
    </row>
    <row r="2968" spans="1:10" ht="15.75" customHeight="1">
      <c r="A2968" s="28">
        <v>16783</v>
      </c>
      <c r="B2968" s="91">
        <v>44888.635219907403</v>
      </c>
      <c r="C2968" s="28" t="s">
        <v>10</v>
      </c>
      <c r="D2968" s="28" t="s">
        <v>1157</v>
      </c>
      <c r="E2968" s="28" t="s">
        <v>74</v>
      </c>
      <c r="F2968" s="28">
        <v>0</v>
      </c>
      <c r="G2968" s="28" t="s">
        <v>125</v>
      </c>
      <c r="H2968" s="28">
        <v>0</v>
      </c>
      <c r="J2968" s="28"/>
    </row>
    <row r="2969" spans="1:10" ht="15.75" customHeight="1">
      <c r="A2969" s="28">
        <v>16783</v>
      </c>
      <c r="B2969" s="91">
        <v>44888.635219907403</v>
      </c>
      <c r="C2969" s="28" t="s">
        <v>10</v>
      </c>
      <c r="D2969" s="28" t="s">
        <v>1157</v>
      </c>
      <c r="E2969" s="28" t="s">
        <v>74</v>
      </c>
      <c r="F2969" s="28">
        <v>0</v>
      </c>
      <c r="G2969" s="28" t="s">
        <v>119</v>
      </c>
      <c r="H2969" s="28">
        <v>0</v>
      </c>
      <c r="J2969" s="28"/>
    </row>
    <row r="2970" spans="1:10" ht="15.75" customHeight="1">
      <c r="A2970" s="28">
        <v>16782</v>
      </c>
      <c r="B2970" s="91">
        <v>44888.6015625</v>
      </c>
      <c r="C2970" s="28" t="s">
        <v>10</v>
      </c>
      <c r="D2970" s="28" t="s">
        <v>1158</v>
      </c>
      <c r="E2970" s="28" t="s">
        <v>50</v>
      </c>
      <c r="F2970" s="28">
        <v>55</v>
      </c>
      <c r="G2970" s="28">
        <v>101684</v>
      </c>
      <c r="H2970" s="28">
        <v>0</v>
      </c>
      <c r="J2970" s="28"/>
    </row>
    <row r="2971" spans="1:10" ht="15.75" customHeight="1">
      <c r="A2971" s="28">
        <v>16782</v>
      </c>
      <c r="B2971" s="91">
        <v>44888.6015625</v>
      </c>
      <c r="C2971" s="28" t="s">
        <v>10</v>
      </c>
      <c r="D2971" s="28" t="s">
        <v>1158</v>
      </c>
      <c r="E2971" s="28" t="s">
        <v>50</v>
      </c>
      <c r="F2971" s="28">
        <v>0</v>
      </c>
      <c r="G2971" s="28" t="s">
        <v>118</v>
      </c>
      <c r="H2971" s="28">
        <v>0</v>
      </c>
      <c r="J2971" s="28"/>
    </row>
    <row r="2972" spans="1:10" ht="15.75" customHeight="1">
      <c r="A2972" s="28">
        <v>16782</v>
      </c>
      <c r="B2972" s="91">
        <v>44888.6015625</v>
      </c>
      <c r="C2972" s="28" t="s">
        <v>10</v>
      </c>
      <c r="D2972" s="28" t="s">
        <v>1158</v>
      </c>
      <c r="E2972" s="28" t="s">
        <v>50</v>
      </c>
      <c r="F2972" s="28">
        <v>0</v>
      </c>
      <c r="G2972" s="28" t="s">
        <v>119</v>
      </c>
      <c r="H2972" s="28">
        <v>0</v>
      </c>
      <c r="J2972" s="28"/>
    </row>
    <row r="2973" spans="1:10" ht="15.75" customHeight="1">
      <c r="A2973" s="28">
        <v>16782</v>
      </c>
      <c r="B2973" s="91">
        <v>44888.6015625</v>
      </c>
      <c r="C2973" s="28" t="s">
        <v>10</v>
      </c>
      <c r="D2973" s="28" t="s">
        <v>1158</v>
      </c>
      <c r="E2973" s="28" t="s">
        <v>50</v>
      </c>
      <c r="F2973" s="28">
        <v>0</v>
      </c>
      <c r="G2973" s="28" t="s">
        <v>120</v>
      </c>
      <c r="H2973" s="28">
        <v>0</v>
      </c>
      <c r="J2973" s="28"/>
    </row>
    <row r="2974" spans="1:10" ht="15.75" customHeight="1">
      <c r="A2974" s="28">
        <v>16782</v>
      </c>
      <c r="B2974" s="91">
        <v>44888.6015625</v>
      </c>
      <c r="C2974" s="28" t="s">
        <v>10</v>
      </c>
      <c r="D2974" s="28" t="s">
        <v>1158</v>
      </c>
      <c r="E2974" s="28" t="s">
        <v>50</v>
      </c>
      <c r="F2974" s="28">
        <v>0</v>
      </c>
      <c r="G2974" s="28" t="s">
        <v>121</v>
      </c>
      <c r="H2974" s="28">
        <v>0</v>
      </c>
      <c r="J2974" s="28"/>
    </row>
    <row r="2975" spans="1:10" ht="15.75" customHeight="1">
      <c r="A2975" s="28">
        <v>16781</v>
      </c>
      <c r="B2975" s="91">
        <v>44888.572268518517</v>
      </c>
      <c r="C2975" s="28" t="s">
        <v>10</v>
      </c>
      <c r="D2975" s="28" t="s">
        <v>1159</v>
      </c>
      <c r="E2975" s="28" t="s">
        <v>74</v>
      </c>
      <c r="F2975" s="28">
        <v>28</v>
      </c>
      <c r="G2975" s="28" t="s">
        <v>143</v>
      </c>
      <c r="H2975" s="28">
        <v>0</v>
      </c>
      <c r="J2975" s="28"/>
    </row>
    <row r="2976" spans="1:10" ht="15.75" customHeight="1">
      <c r="A2976" s="28">
        <v>16781</v>
      </c>
      <c r="B2976" s="91">
        <v>44888.572268518517</v>
      </c>
      <c r="C2976" s="28" t="s">
        <v>10</v>
      </c>
      <c r="D2976" s="28" t="s">
        <v>1159</v>
      </c>
      <c r="E2976" s="28" t="s">
        <v>74</v>
      </c>
      <c r="F2976" s="28">
        <v>25</v>
      </c>
      <c r="G2976" s="28" t="s">
        <v>1106</v>
      </c>
      <c r="H2976" s="28">
        <v>0</v>
      </c>
      <c r="J2976" s="28"/>
    </row>
    <row r="2977" spans="1:10" ht="15.75" customHeight="1">
      <c r="A2977" s="28">
        <v>16781</v>
      </c>
      <c r="B2977" s="91">
        <v>44888.572268518517</v>
      </c>
      <c r="C2977" s="28" t="s">
        <v>10</v>
      </c>
      <c r="D2977" s="28" t="s">
        <v>1159</v>
      </c>
      <c r="E2977" s="28" t="s">
        <v>74</v>
      </c>
      <c r="F2977" s="28">
        <v>0</v>
      </c>
      <c r="G2977" s="28" t="s">
        <v>884</v>
      </c>
      <c r="H2977" s="28">
        <v>0</v>
      </c>
      <c r="J2977" s="28"/>
    </row>
    <row r="2978" spans="1:10" ht="15.75" customHeight="1">
      <c r="A2978" s="28">
        <v>16781</v>
      </c>
      <c r="B2978" s="91">
        <v>44888.572268518517</v>
      </c>
      <c r="C2978" s="28" t="s">
        <v>10</v>
      </c>
      <c r="D2978" s="28" t="s">
        <v>1159</v>
      </c>
      <c r="E2978" s="28" t="s">
        <v>74</v>
      </c>
      <c r="F2978" s="28">
        <v>0</v>
      </c>
      <c r="G2978" s="28" t="s">
        <v>882</v>
      </c>
      <c r="H2978" s="28">
        <v>0</v>
      </c>
      <c r="J2978" s="28"/>
    </row>
    <row r="2979" spans="1:10" ht="15.75" customHeight="1">
      <c r="A2979" s="28">
        <v>16780</v>
      </c>
      <c r="B2979" s="91">
        <v>44888.536469907413</v>
      </c>
      <c r="C2979" s="28" t="s">
        <v>10</v>
      </c>
      <c r="D2979" s="28" t="s">
        <v>591</v>
      </c>
      <c r="E2979" s="28" t="s">
        <v>50</v>
      </c>
      <c r="F2979" s="28">
        <v>35</v>
      </c>
      <c r="G2979" s="28" t="s">
        <v>124</v>
      </c>
      <c r="H2979" s="28">
        <v>0</v>
      </c>
      <c r="J2979" s="28"/>
    </row>
    <row r="2980" spans="1:10" ht="15.75" customHeight="1">
      <c r="A2980" s="28">
        <v>16780</v>
      </c>
      <c r="B2980" s="91">
        <v>44888.536469907413</v>
      </c>
      <c r="C2980" s="28" t="s">
        <v>10</v>
      </c>
      <c r="D2980" s="28" t="s">
        <v>591</v>
      </c>
      <c r="E2980" s="28" t="s">
        <v>50</v>
      </c>
      <c r="F2980" s="28">
        <v>0</v>
      </c>
      <c r="G2980" s="28" t="s">
        <v>125</v>
      </c>
      <c r="H2980" s="28">
        <v>0</v>
      </c>
      <c r="J2980" s="28"/>
    </row>
    <row r="2981" spans="1:10" ht="15.75" customHeight="1">
      <c r="A2981" s="28">
        <v>16780</v>
      </c>
      <c r="B2981" s="91">
        <v>44888.536469907413</v>
      </c>
      <c r="C2981" s="28" t="s">
        <v>10</v>
      </c>
      <c r="D2981" s="28" t="s">
        <v>591</v>
      </c>
      <c r="E2981" s="28" t="s">
        <v>50</v>
      </c>
      <c r="F2981" s="28">
        <v>0</v>
      </c>
      <c r="G2981" s="28" t="s">
        <v>121</v>
      </c>
      <c r="H2981" s="28">
        <v>0</v>
      </c>
      <c r="J2981" s="28"/>
    </row>
    <row r="2982" spans="1:10" ht="15.75" customHeight="1">
      <c r="A2982" s="28">
        <v>16780</v>
      </c>
      <c r="B2982" s="91">
        <v>44888.536469907413</v>
      </c>
      <c r="C2982" s="28" t="s">
        <v>10</v>
      </c>
      <c r="D2982" s="28" t="s">
        <v>591</v>
      </c>
      <c r="E2982" s="28" t="s">
        <v>50</v>
      </c>
      <c r="F2982" s="28">
        <v>0</v>
      </c>
      <c r="G2982" s="28" t="s">
        <v>119</v>
      </c>
      <c r="H2982" s="28">
        <v>0</v>
      </c>
      <c r="J2982" s="28"/>
    </row>
    <row r="2983" spans="1:10" ht="15.75" customHeight="1">
      <c r="A2983" s="28">
        <v>16780</v>
      </c>
      <c r="B2983" s="91">
        <v>44888.536469907413</v>
      </c>
      <c r="C2983" s="28" t="s">
        <v>10</v>
      </c>
      <c r="D2983" s="28" t="s">
        <v>591</v>
      </c>
      <c r="E2983" s="28" t="s">
        <v>50</v>
      </c>
      <c r="F2983" s="28">
        <v>24</v>
      </c>
      <c r="G2983" s="28" t="s">
        <v>122</v>
      </c>
      <c r="H2983" s="28">
        <v>0</v>
      </c>
      <c r="J2983" s="28"/>
    </row>
    <row r="2984" spans="1:10" ht="15.75" customHeight="1">
      <c r="A2984" s="28">
        <v>16779</v>
      </c>
      <c r="B2984" s="91">
        <v>44888.165150462963</v>
      </c>
      <c r="C2984" s="28" t="s">
        <v>10</v>
      </c>
      <c r="D2984" s="28" t="s">
        <v>1160</v>
      </c>
      <c r="E2984" s="28" t="s">
        <v>50</v>
      </c>
      <c r="F2984" s="28">
        <v>20</v>
      </c>
      <c r="G2984" s="28" t="s">
        <v>205</v>
      </c>
      <c r="H2984" s="28">
        <v>0</v>
      </c>
      <c r="J2984" s="28"/>
    </row>
    <row r="2985" spans="1:10" ht="15.75" customHeight="1">
      <c r="A2985" s="28">
        <v>16779</v>
      </c>
      <c r="B2985" s="91">
        <v>44888.165150462963</v>
      </c>
      <c r="C2985" s="28" t="s">
        <v>10</v>
      </c>
      <c r="D2985" s="28" t="s">
        <v>1160</v>
      </c>
      <c r="E2985" s="28" t="s">
        <v>50</v>
      </c>
      <c r="F2985" s="28">
        <v>0</v>
      </c>
      <c r="G2985" s="28" t="s">
        <v>125</v>
      </c>
      <c r="H2985" s="28">
        <v>0</v>
      </c>
      <c r="J2985" s="28"/>
    </row>
    <row r="2986" spans="1:10" ht="15.75" customHeight="1">
      <c r="A2986" s="28">
        <v>16779</v>
      </c>
      <c r="B2986" s="91">
        <v>44888.165150462963</v>
      </c>
      <c r="C2986" s="28" t="s">
        <v>10</v>
      </c>
      <c r="D2986" s="28" t="s">
        <v>1160</v>
      </c>
      <c r="E2986" s="28" t="s">
        <v>50</v>
      </c>
      <c r="F2986" s="28">
        <v>24</v>
      </c>
      <c r="G2986" s="28" t="s">
        <v>122</v>
      </c>
      <c r="H2986" s="28">
        <v>0</v>
      </c>
      <c r="J2986" s="28"/>
    </row>
    <row r="2987" spans="1:10" ht="15.75" customHeight="1">
      <c r="A2987" s="28">
        <v>16779</v>
      </c>
      <c r="B2987" s="91">
        <v>44888.165150462963</v>
      </c>
      <c r="C2987" s="28" t="s">
        <v>10</v>
      </c>
      <c r="D2987" s="28" t="s">
        <v>1160</v>
      </c>
      <c r="E2987" s="28" t="s">
        <v>50</v>
      </c>
      <c r="F2987" s="28">
        <v>24</v>
      </c>
      <c r="G2987" s="28" t="s">
        <v>122</v>
      </c>
      <c r="H2987" s="28">
        <v>0</v>
      </c>
      <c r="J2987" s="28"/>
    </row>
    <row r="2988" spans="1:10" ht="15.75" customHeight="1">
      <c r="A2988" s="28">
        <v>16778</v>
      </c>
      <c r="B2988" s="91">
        <v>44888.156805555554</v>
      </c>
      <c r="C2988" s="28" t="s">
        <v>10</v>
      </c>
      <c r="D2988" s="28" t="s">
        <v>1161</v>
      </c>
      <c r="E2988" s="28" t="s">
        <v>50</v>
      </c>
      <c r="F2988" s="28">
        <v>24</v>
      </c>
      <c r="G2988" s="28" t="s">
        <v>122</v>
      </c>
      <c r="H2988" s="28">
        <v>0</v>
      </c>
      <c r="J2988" s="28"/>
    </row>
    <row r="2989" spans="1:10" ht="15.75" customHeight="1">
      <c r="A2989" s="28">
        <v>16777</v>
      </c>
      <c r="B2989" s="91">
        <v>44888.15489583333</v>
      </c>
      <c r="C2989" s="28" t="s">
        <v>10</v>
      </c>
      <c r="D2989" s="28" t="s">
        <v>1162</v>
      </c>
      <c r="E2989" s="28" t="s">
        <v>50</v>
      </c>
      <c r="F2989" s="28">
        <v>20</v>
      </c>
      <c r="G2989" s="28" t="s">
        <v>148</v>
      </c>
      <c r="H2989" s="28">
        <v>0</v>
      </c>
      <c r="J2989" s="28"/>
    </row>
    <row r="2990" spans="1:10" ht="15.75" customHeight="1">
      <c r="A2990" s="28">
        <v>16777</v>
      </c>
      <c r="B2990" s="91">
        <v>44888.15489583333</v>
      </c>
      <c r="C2990" s="28" t="s">
        <v>10</v>
      </c>
      <c r="D2990" s="28" t="s">
        <v>1162</v>
      </c>
      <c r="E2990" s="28" t="s">
        <v>50</v>
      </c>
      <c r="F2990" s="28">
        <v>25</v>
      </c>
      <c r="G2990" s="28" t="s">
        <v>120</v>
      </c>
      <c r="H2990" s="28">
        <v>0</v>
      </c>
      <c r="J2990" s="28"/>
    </row>
    <row r="2991" spans="1:10" ht="15.75" customHeight="1">
      <c r="A2991" s="28">
        <v>16776</v>
      </c>
      <c r="B2991" s="91">
        <v>44888.078680555554</v>
      </c>
      <c r="C2991" s="28" t="s">
        <v>10</v>
      </c>
      <c r="D2991" s="28" t="s">
        <v>1163</v>
      </c>
      <c r="E2991" s="28" t="s">
        <v>50</v>
      </c>
      <c r="F2991" s="28">
        <v>20</v>
      </c>
      <c r="G2991" s="28" t="s">
        <v>148</v>
      </c>
      <c r="H2991" s="28">
        <v>0</v>
      </c>
      <c r="J2991" s="28"/>
    </row>
    <row r="2992" spans="1:10" ht="15.75" customHeight="1">
      <c r="A2992" s="28">
        <v>16775</v>
      </c>
      <c r="B2992" s="91">
        <v>44888.07613425926</v>
      </c>
      <c r="C2992" s="28" t="s">
        <v>10</v>
      </c>
      <c r="D2992" s="28" t="s">
        <v>1164</v>
      </c>
      <c r="E2992" s="28" t="s">
        <v>50</v>
      </c>
      <c r="F2992" s="28">
        <v>35</v>
      </c>
      <c r="G2992" s="28" t="s">
        <v>124</v>
      </c>
      <c r="H2992" s="28">
        <v>0</v>
      </c>
      <c r="J2992" s="28"/>
    </row>
    <row r="2993" spans="1:10" ht="15.75" customHeight="1">
      <c r="A2993" s="28">
        <v>16775</v>
      </c>
      <c r="B2993" s="91">
        <v>44888.07613425926</v>
      </c>
      <c r="C2993" s="28" t="s">
        <v>10</v>
      </c>
      <c r="D2993" s="28" t="s">
        <v>1164</v>
      </c>
      <c r="E2993" s="28" t="s">
        <v>50</v>
      </c>
      <c r="F2993" s="28">
        <v>0</v>
      </c>
      <c r="G2993" s="28" t="s">
        <v>125</v>
      </c>
      <c r="H2993" s="28">
        <v>0</v>
      </c>
      <c r="J2993" s="28"/>
    </row>
    <row r="2994" spans="1:10" ht="15.75" customHeight="1">
      <c r="A2994" s="28">
        <v>16775</v>
      </c>
      <c r="B2994" s="91">
        <v>44888.07613425926</v>
      </c>
      <c r="C2994" s="28" t="s">
        <v>10</v>
      </c>
      <c r="D2994" s="28" t="s">
        <v>1164</v>
      </c>
      <c r="E2994" s="28" t="s">
        <v>50</v>
      </c>
      <c r="F2994" s="28">
        <v>0</v>
      </c>
      <c r="G2994" s="28" t="s">
        <v>121</v>
      </c>
      <c r="H2994" s="28">
        <v>0</v>
      </c>
      <c r="J2994" s="28"/>
    </row>
    <row r="2995" spans="1:10" ht="15.75" customHeight="1">
      <c r="A2995" s="28">
        <v>16775</v>
      </c>
      <c r="B2995" s="91">
        <v>44888.07613425926</v>
      </c>
      <c r="C2995" s="28" t="s">
        <v>10</v>
      </c>
      <c r="D2995" s="28" t="s">
        <v>1164</v>
      </c>
      <c r="E2995" s="28" t="s">
        <v>50</v>
      </c>
      <c r="F2995" s="28">
        <v>0</v>
      </c>
      <c r="G2995" s="28" t="s">
        <v>119</v>
      </c>
      <c r="H2995" s="28">
        <v>0</v>
      </c>
      <c r="J2995" s="28"/>
    </row>
    <row r="2996" spans="1:10" ht="15.75" customHeight="1">
      <c r="A2996" s="28">
        <v>16774</v>
      </c>
      <c r="B2996" s="91">
        <v>44888.07335648148</v>
      </c>
      <c r="C2996" s="28" t="s">
        <v>10</v>
      </c>
      <c r="D2996" s="28" t="s">
        <v>1165</v>
      </c>
      <c r="E2996" s="28" t="s">
        <v>50</v>
      </c>
      <c r="F2996" s="28">
        <v>20</v>
      </c>
      <c r="G2996" s="28" t="s">
        <v>121</v>
      </c>
      <c r="H2996" s="28">
        <v>0</v>
      </c>
      <c r="J2996" s="28"/>
    </row>
    <row r="2997" spans="1:10" ht="15.75" customHeight="1">
      <c r="A2997" s="28">
        <v>16773</v>
      </c>
      <c r="B2997" s="91">
        <v>44888.069537037038</v>
      </c>
      <c r="C2997" s="28" t="s">
        <v>10</v>
      </c>
      <c r="D2997" s="28" t="s">
        <v>1166</v>
      </c>
      <c r="E2997" s="28" t="s">
        <v>50</v>
      </c>
      <c r="F2997" s="28">
        <v>25</v>
      </c>
      <c r="G2997" s="28">
        <v>100692</v>
      </c>
      <c r="H2997" s="28">
        <v>0</v>
      </c>
      <c r="J2997" s="28"/>
    </row>
    <row r="2998" spans="1:10" ht="15.75" customHeight="1">
      <c r="A2998" s="28">
        <v>16773</v>
      </c>
      <c r="B2998" s="91">
        <v>44888.069537037038</v>
      </c>
      <c r="C2998" s="28" t="s">
        <v>10</v>
      </c>
      <c r="D2998" s="28" t="s">
        <v>1166</v>
      </c>
      <c r="E2998" s="28" t="s">
        <v>50</v>
      </c>
      <c r="F2998" s="28">
        <v>0</v>
      </c>
      <c r="G2998" s="28" t="s">
        <v>125</v>
      </c>
      <c r="H2998" s="28">
        <v>0</v>
      </c>
      <c r="J2998" s="28"/>
    </row>
    <row r="2999" spans="1:10" ht="15.75" customHeight="1">
      <c r="A2999" s="28">
        <v>16773</v>
      </c>
      <c r="B2999" s="91">
        <v>44888.069537037038</v>
      </c>
      <c r="C2999" s="28" t="s">
        <v>10</v>
      </c>
      <c r="D2999" s="28" t="s">
        <v>1166</v>
      </c>
      <c r="E2999" s="28" t="s">
        <v>50</v>
      </c>
      <c r="F2999" s="28">
        <v>0</v>
      </c>
      <c r="G2999" s="28" t="s">
        <v>119</v>
      </c>
      <c r="H2999" s="28">
        <v>0</v>
      </c>
      <c r="J2999" s="28"/>
    </row>
    <row r="3000" spans="1:10" ht="15.75" customHeight="1">
      <c r="A3000" s="28">
        <v>16773</v>
      </c>
      <c r="B3000" s="91">
        <v>44888.069537037038</v>
      </c>
      <c r="C3000" s="28" t="s">
        <v>10</v>
      </c>
      <c r="D3000" s="28" t="s">
        <v>1166</v>
      </c>
      <c r="E3000" s="28" t="s">
        <v>50</v>
      </c>
      <c r="F3000" s="28">
        <v>24</v>
      </c>
      <c r="G3000" s="28" t="s">
        <v>122</v>
      </c>
      <c r="H3000" s="28">
        <v>0</v>
      </c>
      <c r="J3000" s="28"/>
    </row>
    <row r="3001" spans="1:10" ht="15.75" customHeight="1">
      <c r="A3001" s="28">
        <v>16772</v>
      </c>
      <c r="B3001" s="91">
        <v>44888.065821759257</v>
      </c>
      <c r="C3001" s="28" t="s">
        <v>10</v>
      </c>
      <c r="D3001" s="28" t="s">
        <v>1167</v>
      </c>
      <c r="E3001" s="28" t="s">
        <v>50</v>
      </c>
      <c r="F3001" s="28">
        <v>30</v>
      </c>
      <c r="G3001" s="28" t="s">
        <v>125</v>
      </c>
      <c r="H3001" s="28">
        <v>0</v>
      </c>
      <c r="J3001" s="28"/>
    </row>
    <row r="3002" spans="1:10" ht="15.75" customHeight="1">
      <c r="A3002" s="28">
        <v>16772</v>
      </c>
      <c r="B3002" s="91">
        <v>44888.065821759257</v>
      </c>
      <c r="C3002" s="28" t="s">
        <v>10</v>
      </c>
      <c r="D3002" s="28" t="s">
        <v>1167</v>
      </c>
      <c r="E3002" s="28" t="s">
        <v>50</v>
      </c>
      <c r="F3002" s="28">
        <v>28</v>
      </c>
      <c r="G3002" s="28" t="s">
        <v>143</v>
      </c>
      <c r="H3002" s="28">
        <v>0</v>
      </c>
      <c r="J3002" s="28"/>
    </row>
    <row r="3003" spans="1:10" ht="15.75" customHeight="1">
      <c r="A3003" s="28">
        <v>16771</v>
      </c>
      <c r="B3003" s="91">
        <v>44888.065474537041</v>
      </c>
      <c r="C3003" s="28" t="s">
        <v>10</v>
      </c>
      <c r="D3003" s="28" t="s">
        <v>1168</v>
      </c>
      <c r="E3003" s="28" t="s">
        <v>50</v>
      </c>
      <c r="F3003" s="28">
        <v>25</v>
      </c>
      <c r="G3003" s="28">
        <v>100692</v>
      </c>
      <c r="H3003" s="28">
        <v>0</v>
      </c>
      <c r="J3003" s="28"/>
    </row>
    <row r="3004" spans="1:10" ht="15.75" customHeight="1">
      <c r="A3004" s="28">
        <v>16771</v>
      </c>
      <c r="B3004" s="91">
        <v>44888.065474537041</v>
      </c>
      <c r="C3004" s="28" t="s">
        <v>10</v>
      </c>
      <c r="D3004" s="28" t="s">
        <v>1168</v>
      </c>
      <c r="E3004" s="28" t="s">
        <v>50</v>
      </c>
      <c r="F3004" s="28">
        <v>0</v>
      </c>
      <c r="G3004" s="28" t="s">
        <v>125</v>
      </c>
      <c r="H3004" s="28">
        <v>0</v>
      </c>
      <c r="J3004" s="28"/>
    </row>
    <row r="3005" spans="1:10" ht="15.75" customHeight="1">
      <c r="A3005" s="28">
        <v>16771</v>
      </c>
      <c r="B3005" s="91">
        <v>44888.065474537041</v>
      </c>
      <c r="C3005" s="28" t="s">
        <v>10</v>
      </c>
      <c r="D3005" s="28" t="s">
        <v>1168</v>
      </c>
      <c r="E3005" s="28" t="s">
        <v>50</v>
      </c>
      <c r="F3005" s="28">
        <v>0</v>
      </c>
      <c r="G3005" s="28" t="s">
        <v>119</v>
      </c>
      <c r="H3005" s="28">
        <v>0</v>
      </c>
      <c r="J3005" s="28"/>
    </row>
    <row r="3006" spans="1:10" ht="15.75" customHeight="1">
      <c r="A3006" s="28">
        <v>16770</v>
      </c>
      <c r="B3006" s="91">
        <v>44888.062939814816</v>
      </c>
      <c r="C3006" s="28" t="s">
        <v>10</v>
      </c>
      <c r="D3006" s="28" t="s">
        <v>1169</v>
      </c>
      <c r="E3006" s="28" t="s">
        <v>50</v>
      </c>
      <c r="F3006" s="28">
        <v>24</v>
      </c>
      <c r="G3006" s="28" t="s">
        <v>122</v>
      </c>
      <c r="H3006" s="28">
        <v>0</v>
      </c>
      <c r="J3006" s="28"/>
    </row>
    <row r="3007" spans="1:10" ht="15.75" customHeight="1">
      <c r="A3007" s="28">
        <v>16769</v>
      </c>
      <c r="B3007" s="91">
        <v>44888.057291666672</v>
      </c>
      <c r="C3007" s="28" t="s">
        <v>10</v>
      </c>
      <c r="D3007" s="28" t="s">
        <v>1170</v>
      </c>
      <c r="E3007" s="28" t="s">
        <v>50</v>
      </c>
      <c r="F3007" s="28">
        <v>25</v>
      </c>
      <c r="G3007" s="28">
        <v>100692</v>
      </c>
      <c r="H3007" s="28">
        <v>0</v>
      </c>
      <c r="J3007" s="28"/>
    </row>
    <row r="3008" spans="1:10" ht="15.75" customHeight="1">
      <c r="A3008" s="28">
        <v>16769</v>
      </c>
      <c r="B3008" s="91">
        <v>44888.057291666672</v>
      </c>
      <c r="C3008" s="28" t="s">
        <v>10</v>
      </c>
      <c r="D3008" s="28" t="s">
        <v>1170</v>
      </c>
      <c r="E3008" s="28" t="s">
        <v>50</v>
      </c>
      <c r="F3008" s="28">
        <v>0</v>
      </c>
      <c r="G3008" s="28" t="s">
        <v>125</v>
      </c>
      <c r="H3008" s="28">
        <v>0</v>
      </c>
      <c r="J3008" s="28"/>
    </row>
    <row r="3009" spans="1:10" ht="15.75" customHeight="1">
      <c r="A3009" s="28">
        <v>16769</v>
      </c>
      <c r="B3009" s="91">
        <v>44888.057291666672</v>
      </c>
      <c r="C3009" s="28" t="s">
        <v>10</v>
      </c>
      <c r="D3009" s="28" t="s">
        <v>1170</v>
      </c>
      <c r="E3009" s="28" t="s">
        <v>50</v>
      </c>
      <c r="F3009" s="28">
        <v>0</v>
      </c>
      <c r="G3009" s="28" t="s">
        <v>119</v>
      </c>
      <c r="H3009" s="28">
        <v>0</v>
      </c>
      <c r="J3009" s="28"/>
    </row>
    <row r="3010" spans="1:10" ht="15.75" customHeight="1">
      <c r="A3010" s="28">
        <v>16768</v>
      </c>
      <c r="B3010" s="91">
        <v>44888.047986111109</v>
      </c>
      <c r="C3010" s="28" t="s">
        <v>10</v>
      </c>
      <c r="D3010" s="28" t="s">
        <v>1171</v>
      </c>
      <c r="E3010" s="28" t="s">
        <v>50</v>
      </c>
      <c r="F3010" s="28">
        <v>35</v>
      </c>
      <c r="G3010" s="28" t="s">
        <v>124</v>
      </c>
      <c r="H3010" s="28">
        <v>0</v>
      </c>
      <c r="J3010" s="28"/>
    </row>
    <row r="3011" spans="1:10" ht="15.75" customHeight="1">
      <c r="A3011" s="28">
        <v>16768</v>
      </c>
      <c r="B3011" s="91">
        <v>44888.047986111109</v>
      </c>
      <c r="C3011" s="28" t="s">
        <v>10</v>
      </c>
      <c r="D3011" s="28" t="s">
        <v>1171</v>
      </c>
      <c r="E3011" s="28" t="s">
        <v>50</v>
      </c>
      <c r="F3011" s="28">
        <v>0</v>
      </c>
      <c r="G3011" s="28" t="s">
        <v>125</v>
      </c>
      <c r="H3011" s="28">
        <v>0</v>
      </c>
      <c r="J3011" s="28"/>
    </row>
    <row r="3012" spans="1:10" ht="15.75" customHeight="1">
      <c r="A3012" s="28">
        <v>16768</v>
      </c>
      <c r="B3012" s="91">
        <v>44888.047986111109</v>
      </c>
      <c r="C3012" s="28" t="s">
        <v>10</v>
      </c>
      <c r="D3012" s="28" t="s">
        <v>1171</v>
      </c>
      <c r="E3012" s="28" t="s">
        <v>50</v>
      </c>
      <c r="F3012" s="28">
        <v>0</v>
      </c>
      <c r="G3012" s="28" t="s">
        <v>121</v>
      </c>
      <c r="H3012" s="28">
        <v>0</v>
      </c>
      <c r="J3012" s="28"/>
    </row>
    <row r="3013" spans="1:10" ht="15.75" customHeight="1">
      <c r="A3013" s="28">
        <v>16768</v>
      </c>
      <c r="B3013" s="91">
        <v>44888.047986111109</v>
      </c>
      <c r="C3013" s="28" t="s">
        <v>10</v>
      </c>
      <c r="D3013" s="28" t="s">
        <v>1171</v>
      </c>
      <c r="E3013" s="28" t="s">
        <v>50</v>
      </c>
      <c r="F3013" s="28">
        <v>0</v>
      </c>
      <c r="G3013" s="28" t="s">
        <v>119</v>
      </c>
      <c r="H3013" s="28">
        <v>0</v>
      </c>
      <c r="J3013" s="28"/>
    </row>
    <row r="3014" spans="1:10" ht="15.75" customHeight="1">
      <c r="A3014" s="28">
        <v>16767</v>
      </c>
      <c r="B3014" s="91">
        <v>44888.045057870375</v>
      </c>
      <c r="C3014" s="28" t="s">
        <v>10</v>
      </c>
      <c r="D3014" s="28" t="s">
        <v>1172</v>
      </c>
      <c r="E3014" s="28" t="s">
        <v>50</v>
      </c>
      <c r="F3014" s="28">
        <v>35</v>
      </c>
      <c r="G3014" s="28" t="s">
        <v>124</v>
      </c>
      <c r="H3014" s="28">
        <v>0</v>
      </c>
      <c r="J3014" s="28"/>
    </row>
    <row r="3015" spans="1:10" ht="15.75" customHeight="1">
      <c r="A3015" s="28">
        <v>16767</v>
      </c>
      <c r="B3015" s="91">
        <v>44888.045057870375</v>
      </c>
      <c r="C3015" s="28" t="s">
        <v>10</v>
      </c>
      <c r="D3015" s="28" t="s">
        <v>1172</v>
      </c>
      <c r="E3015" s="28" t="s">
        <v>50</v>
      </c>
      <c r="F3015" s="28">
        <v>0</v>
      </c>
      <c r="G3015" s="28" t="s">
        <v>125</v>
      </c>
      <c r="H3015" s="28">
        <v>0</v>
      </c>
      <c r="J3015" s="28"/>
    </row>
    <row r="3016" spans="1:10" ht="15.75" customHeight="1">
      <c r="A3016" s="28">
        <v>16767</v>
      </c>
      <c r="B3016" s="91">
        <v>44888.045057870375</v>
      </c>
      <c r="C3016" s="28" t="s">
        <v>10</v>
      </c>
      <c r="D3016" s="28" t="s">
        <v>1172</v>
      </c>
      <c r="E3016" s="28" t="s">
        <v>50</v>
      </c>
      <c r="F3016" s="28">
        <v>0</v>
      </c>
      <c r="G3016" s="28" t="s">
        <v>121</v>
      </c>
      <c r="H3016" s="28">
        <v>0</v>
      </c>
      <c r="J3016" s="28"/>
    </row>
    <row r="3017" spans="1:10" ht="15.75" customHeight="1">
      <c r="A3017" s="28">
        <v>16767</v>
      </c>
      <c r="B3017" s="91">
        <v>44888.045057870375</v>
      </c>
      <c r="C3017" s="28" t="s">
        <v>10</v>
      </c>
      <c r="D3017" s="28" t="s">
        <v>1172</v>
      </c>
      <c r="E3017" s="28" t="s">
        <v>50</v>
      </c>
      <c r="F3017" s="28">
        <v>0</v>
      </c>
      <c r="G3017" s="28" t="s">
        <v>119</v>
      </c>
      <c r="H3017" s="28">
        <v>0</v>
      </c>
      <c r="J3017" s="28"/>
    </row>
    <row r="3018" spans="1:10" ht="15.75" customHeight="1">
      <c r="A3018" s="28">
        <v>16766</v>
      </c>
      <c r="B3018" s="91">
        <v>44888.041886574079</v>
      </c>
      <c r="C3018" s="28" t="s">
        <v>10</v>
      </c>
      <c r="D3018" s="28" t="s">
        <v>1173</v>
      </c>
      <c r="E3018" s="28" t="s">
        <v>50</v>
      </c>
      <c r="F3018" s="28">
        <v>35</v>
      </c>
      <c r="G3018" s="28" t="s">
        <v>124</v>
      </c>
      <c r="H3018" s="28">
        <v>0</v>
      </c>
      <c r="J3018" s="28"/>
    </row>
    <row r="3019" spans="1:10" ht="15.75" customHeight="1">
      <c r="A3019" s="28">
        <v>16766</v>
      </c>
      <c r="B3019" s="91">
        <v>44888.041886574079</v>
      </c>
      <c r="C3019" s="28" t="s">
        <v>10</v>
      </c>
      <c r="D3019" s="28" t="s">
        <v>1173</v>
      </c>
      <c r="E3019" s="28" t="s">
        <v>50</v>
      </c>
      <c r="F3019" s="28">
        <v>0</v>
      </c>
      <c r="G3019" s="28" t="s">
        <v>125</v>
      </c>
      <c r="H3019" s="28">
        <v>0</v>
      </c>
      <c r="J3019" s="28"/>
    </row>
    <row r="3020" spans="1:10" ht="15.75" customHeight="1">
      <c r="A3020" s="28">
        <v>16766</v>
      </c>
      <c r="B3020" s="91">
        <v>44888.041886574079</v>
      </c>
      <c r="C3020" s="28" t="s">
        <v>10</v>
      </c>
      <c r="D3020" s="28" t="s">
        <v>1173</v>
      </c>
      <c r="E3020" s="28" t="s">
        <v>50</v>
      </c>
      <c r="F3020" s="28">
        <v>0</v>
      </c>
      <c r="G3020" s="28" t="s">
        <v>121</v>
      </c>
      <c r="H3020" s="28">
        <v>0</v>
      </c>
      <c r="J3020" s="28"/>
    </row>
    <row r="3021" spans="1:10" ht="15.75" customHeight="1">
      <c r="A3021" s="28">
        <v>16766</v>
      </c>
      <c r="B3021" s="91">
        <v>44888.041886574079</v>
      </c>
      <c r="C3021" s="28" t="s">
        <v>10</v>
      </c>
      <c r="D3021" s="28" t="s">
        <v>1173</v>
      </c>
      <c r="E3021" s="28" t="s">
        <v>50</v>
      </c>
      <c r="F3021" s="28">
        <v>0</v>
      </c>
      <c r="G3021" s="28" t="s">
        <v>119</v>
      </c>
      <c r="H3021" s="28">
        <v>0</v>
      </c>
      <c r="J3021" s="28"/>
    </row>
    <row r="3022" spans="1:10" ht="15.75" customHeight="1">
      <c r="A3022" s="28">
        <v>16765</v>
      </c>
      <c r="B3022" s="91">
        <v>44888.04142361111</v>
      </c>
      <c r="C3022" s="28" t="s">
        <v>10</v>
      </c>
      <c r="D3022" s="28" t="s">
        <v>1174</v>
      </c>
      <c r="E3022" s="28" t="s">
        <v>50</v>
      </c>
      <c r="F3022" s="28">
        <v>35</v>
      </c>
      <c r="G3022" s="28" t="s">
        <v>124</v>
      </c>
      <c r="H3022" s="28">
        <v>0</v>
      </c>
      <c r="J3022" s="28"/>
    </row>
    <row r="3023" spans="1:10" ht="15.75" customHeight="1">
      <c r="A3023" s="28">
        <v>16765</v>
      </c>
      <c r="B3023" s="91">
        <v>44888.04142361111</v>
      </c>
      <c r="C3023" s="28" t="s">
        <v>10</v>
      </c>
      <c r="D3023" s="28" t="s">
        <v>1174</v>
      </c>
      <c r="E3023" s="28" t="s">
        <v>50</v>
      </c>
      <c r="F3023" s="28">
        <v>0</v>
      </c>
      <c r="G3023" s="28" t="s">
        <v>125</v>
      </c>
      <c r="H3023" s="28">
        <v>0</v>
      </c>
      <c r="J3023" s="28"/>
    </row>
    <row r="3024" spans="1:10" ht="15.75" customHeight="1">
      <c r="A3024" s="28">
        <v>16765</v>
      </c>
      <c r="B3024" s="91">
        <v>44888.04142361111</v>
      </c>
      <c r="C3024" s="28" t="s">
        <v>10</v>
      </c>
      <c r="D3024" s="28" t="s">
        <v>1174</v>
      </c>
      <c r="E3024" s="28" t="s">
        <v>50</v>
      </c>
      <c r="F3024" s="28">
        <v>0</v>
      </c>
      <c r="G3024" s="28" t="s">
        <v>121</v>
      </c>
      <c r="H3024" s="28">
        <v>0</v>
      </c>
      <c r="J3024" s="28"/>
    </row>
    <row r="3025" spans="1:10" ht="15.75" customHeight="1">
      <c r="A3025" s="28">
        <v>16765</v>
      </c>
      <c r="B3025" s="91">
        <v>44888.04142361111</v>
      </c>
      <c r="C3025" s="28" t="s">
        <v>10</v>
      </c>
      <c r="D3025" s="28" t="s">
        <v>1174</v>
      </c>
      <c r="E3025" s="28" t="s">
        <v>50</v>
      </c>
      <c r="F3025" s="28">
        <v>0</v>
      </c>
      <c r="G3025" s="28" t="s">
        <v>119</v>
      </c>
      <c r="H3025" s="28">
        <v>0</v>
      </c>
      <c r="J3025" s="28"/>
    </row>
    <row r="3026" spans="1:10" ht="15.75" customHeight="1">
      <c r="A3026" s="28">
        <v>16764</v>
      </c>
      <c r="B3026" s="91">
        <v>44888.03974537037</v>
      </c>
      <c r="C3026" s="28" t="s">
        <v>10</v>
      </c>
      <c r="D3026" s="28" t="s">
        <v>1175</v>
      </c>
      <c r="E3026" s="28" t="s">
        <v>50</v>
      </c>
      <c r="F3026" s="28">
        <v>25</v>
      </c>
      <c r="G3026" s="28">
        <v>100692</v>
      </c>
      <c r="H3026" s="28">
        <v>0</v>
      </c>
      <c r="J3026" s="28"/>
    </row>
    <row r="3027" spans="1:10" ht="15.75" customHeight="1">
      <c r="A3027" s="28">
        <v>16764</v>
      </c>
      <c r="B3027" s="91">
        <v>44888.03974537037</v>
      </c>
      <c r="C3027" s="28" t="s">
        <v>10</v>
      </c>
      <c r="D3027" s="28" t="s">
        <v>1175</v>
      </c>
      <c r="E3027" s="28" t="s">
        <v>50</v>
      </c>
      <c r="F3027" s="28">
        <v>0</v>
      </c>
      <c r="G3027" s="28" t="s">
        <v>125</v>
      </c>
      <c r="H3027" s="28">
        <v>0</v>
      </c>
      <c r="J3027" s="28"/>
    </row>
    <row r="3028" spans="1:10" ht="15.75" customHeight="1">
      <c r="A3028" s="28">
        <v>16764</v>
      </c>
      <c r="B3028" s="91">
        <v>44888.03974537037</v>
      </c>
      <c r="C3028" s="28" t="s">
        <v>10</v>
      </c>
      <c r="D3028" s="28" t="s">
        <v>1175</v>
      </c>
      <c r="E3028" s="28" t="s">
        <v>50</v>
      </c>
      <c r="F3028" s="28">
        <v>0</v>
      </c>
      <c r="G3028" s="28" t="s">
        <v>119</v>
      </c>
      <c r="H3028" s="28">
        <v>0</v>
      </c>
      <c r="J3028" s="28"/>
    </row>
    <row r="3029" spans="1:10" ht="15.75" customHeight="1">
      <c r="A3029" s="28">
        <v>16763</v>
      </c>
      <c r="B3029" s="91">
        <v>44888.039594907408</v>
      </c>
      <c r="C3029" s="28" t="s">
        <v>10</v>
      </c>
      <c r="D3029" s="28" t="s">
        <v>1176</v>
      </c>
      <c r="E3029" s="28" t="s">
        <v>50</v>
      </c>
      <c r="F3029" s="28">
        <v>35</v>
      </c>
      <c r="G3029" s="28" t="s">
        <v>124</v>
      </c>
      <c r="H3029" s="28">
        <v>0</v>
      </c>
      <c r="J3029" s="28"/>
    </row>
    <row r="3030" spans="1:10" ht="15.75" customHeight="1">
      <c r="A3030" s="28">
        <v>16763</v>
      </c>
      <c r="B3030" s="91">
        <v>44888.039594907408</v>
      </c>
      <c r="C3030" s="28" t="s">
        <v>10</v>
      </c>
      <c r="D3030" s="28" t="s">
        <v>1176</v>
      </c>
      <c r="E3030" s="28" t="s">
        <v>50</v>
      </c>
      <c r="F3030" s="28">
        <v>0</v>
      </c>
      <c r="G3030" s="28" t="s">
        <v>125</v>
      </c>
      <c r="H3030" s="28">
        <v>0</v>
      </c>
      <c r="J3030" s="28"/>
    </row>
    <row r="3031" spans="1:10" ht="15.75" customHeight="1">
      <c r="A3031" s="28">
        <v>16763</v>
      </c>
      <c r="B3031" s="91">
        <v>44888.039594907408</v>
      </c>
      <c r="C3031" s="28" t="s">
        <v>10</v>
      </c>
      <c r="D3031" s="28" t="s">
        <v>1176</v>
      </c>
      <c r="E3031" s="28" t="s">
        <v>50</v>
      </c>
      <c r="F3031" s="28">
        <v>0</v>
      </c>
      <c r="G3031" s="28" t="s">
        <v>121</v>
      </c>
      <c r="H3031" s="28">
        <v>0</v>
      </c>
      <c r="J3031" s="28"/>
    </row>
    <row r="3032" spans="1:10" ht="15.75" customHeight="1">
      <c r="A3032" s="28">
        <v>16763</v>
      </c>
      <c r="B3032" s="91">
        <v>44888.039594907408</v>
      </c>
      <c r="C3032" s="28" t="s">
        <v>10</v>
      </c>
      <c r="D3032" s="28" t="s">
        <v>1176</v>
      </c>
      <c r="E3032" s="28" t="s">
        <v>50</v>
      </c>
      <c r="F3032" s="28">
        <v>0</v>
      </c>
      <c r="G3032" s="28" t="s">
        <v>119</v>
      </c>
      <c r="H3032" s="28">
        <v>0</v>
      </c>
      <c r="J3032" s="28"/>
    </row>
    <row r="3033" spans="1:10" ht="15.75" customHeight="1">
      <c r="A3033" s="28">
        <v>16762</v>
      </c>
      <c r="B3033" s="91">
        <v>44888.038206018522</v>
      </c>
      <c r="C3033" s="28" t="s">
        <v>10</v>
      </c>
      <c r="D3033" s="28" t="s">
        <v>1084</v>
      </c>
      <c r="E3033" s="28" t="s">
        <v>50</v>
      </c>
      <c r="F3033" s="28">
        <v>20</v>
      </c>
      <c r="G3033" s="28" t="s">
        <v>148</v>
      </c>
      <c r="H3033" s="28">
        <v>0</v>
      </c>
      <c r="J3033" s="28"/>
    </row>
    <row r="3034" spans="1:10" ht="15.75" customHeight="1">
      <c r="A3034" s="28">
        <v>16761</v>
      </c>
      <c r="B3034" s="91">
        <v>44888.036122685182</v>
      </c>
      <c r="C3034" s="28" t="s">
        <v>10</v>
      </c>
      <c r="D3034" s="28" t="s">
        <v>1177</v>
      </c>
      <c r="E3034" s="28" t="s">
        <v>50</v>
      </c>
      <c r="F3034" s="28">
        <v>20</v>
      </c>
      <c r="G3034" s="28" t="s">
        <v>148</v>
      </c>
      <c r="H3034" s="28">
        <v>0</v>
      </c>
      <c r="J3034" s="28"/>
    </row>
    <row r="3035" spans="1:10" ht="15.75" customHeight="1">
      <c r="A3035" s="28">
        <v>16761</v>
      </c>
      <c r="B3035" s="91">
        <v>44888.036122685182</v>
      </c>
      <c r="C3035" s="28" t="s">
        <v>10</v>
      </c>
      <c r="D3035" s="28" t="s">
        <v>1177</v>
      </c>
      <c r="E3035" s="28" t="s">
        <v>50</v>
      </c>
      <c r="F3035" s="28">
        <v>22</v>
      </c>
      <c r="G3035" s="28" t="s">
        <v>137</v>
      </c>
      <c r="H3035" s="28">
        <v>0</v>
      </c>
      <c r="J3035" s="28"/>
    </row>
    <row r="3036" spans="1:10" ht="15.75" customHeight="1">
      <c r="A3036" s="28">
        <v>16760</v>
      </c>
      <c r="B3036" s="91">
        <v>44888.035092592589</v>
      </c>
      <c r="C3036" s="28" t="s">
        <v>10</v>
      </c>
      <c r="D3036" s="28" t="s">
        <v>1178</v>
      </c>
      <c r="E3036" s="28" t="s">
        <v>50</v>
      </c>
      <c r="F3036" s="28">
        <v>70</v>
      </c>
      <c r="G3036" s="28" t="s">
        <v>124</v>
      </c>
      <c r="H3036" s="28">
        <v>0</v>
      </c>
      <c r="J3036" s="28"/>
    </row>
    <row r="3037" spans="1:10" ht="15.75" customHeight="1">
      <c r="A3037" s="28">
        <v>16760</v>
      </c>
      <c r="B3037" s="91">
        <v>44888.035092592589</v>
      </c>
      <c r="C3037" s="28" t="s">
        <v>10</v>
      </c>
      <c r="D3037" s="28" t="s">
        <v>1178</v>
      </c>
      <c r="E3037" s="28" t="s">
        <v>50</v>
      </c>
      <c r="F3037" s="28">
        <v>0</v>
      </c>
      <c r="G3037" s="28" t="s">
        <v>125</v>
      </c>
      <c r="H3037" s="28">
        <v>0</v>
      </c>
      <c r="J3037" s="28"/>
    </row>
    <row r="3038" spans="1:10" ht="15.75" customHeight="1">
      <c r="A3038" s="28">
        <v>16760</v>
      </c>
      <c r="B3038" s="91">
        <v>44888.035092592589</v>
      </c>
      <c r="C3038" s="28" t="s">
        <v>10</v>
      </c>
      <c r="D3038" s="28" t="s">
        <v>1178</v>
      </c>
      <c r="E3038" s="28" t="s">
        <v>50</v>
      </c>
      <c r="F3038" s="28">
        <v>0</v>
      </c>
      <c r="G3038" s="28" t="s">
        <v>121</v>
      </c>
      <c r="H3038" s="28">
        <v>0</v>
      </c>
      <c r="J3038" s="28"/>
    </row>
    <row r="3039" spans="1:10" ht="15.75" customHeight="1">
      <c r="A3039" s="28">
        <v>16760</v>
      </c>
      <c r="B3039" s="91">
        <v>44888.035092592589</v>
      </c>
      <c r="C3039" s="28" t="s">
        <v>10</v>
      </c>
      <c r="D3039" s="28" t="s">
        <v>1178</v>
      </c>
      <c r="E3039" s="28" t="s">
        <v>50</v>
      </c>
      <c r="F3039" s="28">
        <v>0</v>
      </c>
      <c r="G3039" s="28" t="s">
        <v>119</v>
      </c>
      <c r="H3039" s="28">
        <v>0</v>
      </c>
      <c r="J3039" s="28"/>
    </row>
    <row r="3040" spans="1:10" ht="15.75" customHeight="1">
      <c r="A3040" s="28">
        <v>16760</v>
      </c>
      <c r="B3040" s="91">
        <v>44888.035092592589</v>
      </c>
      <c r="C3040" s="28" t="s">
        <v>10</v>
      </c>
      <c r="D3040" s="28" t="s">
        <v>1178</v>
      </c>
      <c r="E3040" s="28" t="s">
        <v>50</v>
      </c>
      <c r="F3040" s="28">
        <v>18</v>
      </c>
      <c r="G3040" s="28" t="s">
        <v>119</v>
      </c>
      <c r="H3040" s="28">
        <v>0</v>
      </c>
      <c r="J3040" s="28"/>
    </row>
    <row r="3041" spans="1:10" ht="15.75" customHeight="1">
      <c r="A3041" s="28">
        <v>16759</v>
      </c>
      <c r="B3041" s="91">
        <v>44888.032812500001</v>
      </c>
      <c r="C3041" s="28" t="s">
        <v>10</v>
      </c>
      <c r="D3041" s="28" t="s">
        <v>1179</v>
      </c>
      <c r="E3041" s="28" t="s">
        <v>50</v>
      </c>
      <c r="F3041" s="28">
        <v>25</v>
      </c>
      <c r="G3041" s="28">
        <v>100692</v>
      </c>
      <c r="H3041" s="28">
        <v>0</v>
      </c>
      <c r="J3041" s="28"/>
    </row>
    <row r="3042" spans="1:10" ht="15.75" customHeight="1">
      <c r="A3042" s="28">
        <v>16759</v>
      </c>
      <c r="B3042" s="91">
        <v>44888.032812500001</v>
      </c>
      <c r="C3042" s="28" t="s">
        <v>10</v>
      </c>
      <c r="D3042" s="28" t="s">
        <v>1179</v>
      </c>
      <c r="E3042" s="28" t="s">
        <v>50</v>
      </c>
      <c r="F3042" s="28">
        <v>0</v>
      </c>
      <c r="G3042" s="28" t="s">
        <v>125</v>
      </c>
      <c r="H3042" s="28">
        <v>0</v>
      </c>
      <c r="J3042" s="28"/>
    </row>
    <row r="3043" spans="1:10" ht="15.75" customHeight="1">
      <c r="A3043" s="28">
        <v>16759</v>
      </c>
      <c r="B3043" s="91">
        <v>44888.032812500001</v>
      </c>
      <c r="C3043" s="28" t="s">
        <v>10</v>
      </c>
      <c r="D3043" s="28" t="s">
        <v>1179</v>
      </c>
      <c r="E3043" s="28" t="s">
        <v>50</v>
      </c>
      <c r="F3043" s="28">
        <v>0</v>
      </c>
      <c r="G3043" s="28" t="s">
        <v>119</v>
      </c>
      <c r="H3043" s="28">
        <v>0</v>
      </c>
      <c r="J3043" s="28"/>
    </row>
    <row r="3044" spans="1:10" ht="15.75" customHeight="1">
      <c r="A3044" s="28">
        <v>16758</v>
      </c>
      <c r="B3044" s="91">
        <v>44888.03125</v>
      </c>
      <c r="C3044" s="28" t="s">
        <v>10</v>
      </c>
      <c r="D3044" s="28" t="s">
        <v>1180</v>
      </c>
      <c r="E3044" s="28" t="s">
        <v>50</v>
      </c>
      <c r="F3044" s="28">
        <v>35</v>
      </c>
      <c r="G3044" s="28" t="s">
        <v>124</v>
      </c>
      <c r="H3044" s="28">
        <v>0</v>
      </c>
      <c r="J3044" s="28"/>
    </row>
    <row r="3045" spans="1:10" ht="15.75" customHeight="1">
      <c r="A3045" s="28">
        <v>16758</v>
      </c>
      <c r="B3045" s="91">
        <v>44888.03125</v>
      </c>
      <c r="C3045" s="28" t="s">
        <v>10</v>
      </c>
      <c r="D3045" s="28" t="s">
        <v>1180</v>
      </c>
      <c r="E3045" s="28" t="s">
        <v>50</v>
      </c>
      <c r="F3045" s="28">
        <v>0</v>
      </c>
      <c r="G3045" s="28" t="s">
        <v>125</v>
      </c>
      <c r="H3045" s="28">
        <v>0</v>
      </c>
      <c r="J3045" s="28"/>
    </row>
    <row r="3046" spans="1:10" ht="15.75" customHeight="1">
      <c r="A3046" s="28">
        <v>16758</v>
      </c>
      <c r="B3046" s="91">
        <v>44888.03125</v>
      </c>
      <c r="C3046" s="28" t="s">
        <v>10</v>
      </c>
      <c r="D3046" s="28" t="s">
        <v>1180</v>
      </c>
      <c r="E3046" s="28" t="s">
        <v>50</v>
      </c>
      <c r="F3046" s="28">
        <v>0</v>
      </c>
      <c r="G3046" s="28" t="s">
        <v>121</v>
      </c>
      <c r="H3046" s="28">
        <v>0</v>
      </c>
      <c r="J3046" s="28"/>
    </row>
    <row r="3047" spans="1:10" ht="15.75" customHeight="1">
      <c r="A3047" s="28">
        <v>16758</v>
      </c>
      <c r="B3047" s="91">
        <v>44888.03125</v>
      </c>
      <c r="C3047" s="28" t="s">
        <v>10</v>
      </c>
      <c r="D3047" s="28" t="s">
        <v>1180</v>
      </c>
      <c r="E3047" s="28" t="s">
        <v>50</v>
      </c>
      <c r="F3047" s="28">
        <v>0</v>
      </c>
      <c r="G3047" s="28" t="s">
        <v>119</v>
      </c>
      <c r="H3047" s="28">
        <v>0</v>
      </c>
      <c r="J3047" s="28"/>
    </row>
    <row r="3048" spans="1:10" ht="15.75" customHeight="1">
      <c r="A3048" s="28">
        <v>16757</v>
      </c>
      <c r="B3048" s="91">
        <v>44888.028009259258</v>
      </c>
      <c r="C3048" s="28" t="s">
        <v>10</v>
      </c>
      <c r="D3048" s="28" t="s">
        <v>1181</v>
      </c>
      <c r="E3048" s="28" t="s">
        <v>50</v>
      </c>
      <c r="F3048" s="28">
        <v>35</v>
      </c>
      <c r="G3048" s="28" t="s">
        <v>124</v>
      </c>
      <c r="H3048" s="28">
        <v>0</v>
      </c>
      <c r="J3048" s="28"/>
    </row>
    <row r="3049" spans="1:10" ht="15.75" customHeight="1">
      <c r="A3049" s="28">
        <v>16757</v>
      </c>
      <c r="B3049" s="91">
        <v>44888.028009259258</v>
      </c>
      <c r="C3049" s="28" t="s">
        <v>10</v>
      </c>
      <c r="D3049" s="28" t="s">
        <v>1181</v>
      </c>
      <c r="E3049" s="28" t="s">
        <v>50</v>
      </c>
      <c r="F3049" s="28">
        <v>0</v>
      </c>
      <c r="G3049" s="28" t="s">
        <v>125</v>
      </c>
      <c r="H3049" s="28">
        <v>0</v>
      </c>
      <c r="J3049" s="28"/>
    </row>
    <row r="3050" spans="1:10" ht="15.75" customHeight="1">
      <c r="A3050" s="28">
        <v>16757</v>
      </c>
      <c r="B3050" s="91">
        <v>44888.028009259258</v>
      </c>
      <c r="C3050" s="28" t="s">
        <v>10</v>
      </c>
      <c r="D3050" s="28" t="s">
        <v>1181</v>
      </c>
      <c r="E3050" s="28" t="s">
        <v>50</v>
      </c>
      <c r="F3050" s="28">
        <v>0</v>
      </c>
      <c r="G3050" s="28" t="s">
        <v>121</v>
      </c>
      <c r="H3050" s="28">
        <v>0</v>
      </c>
      <c r="J3050" s="28"/>
    </row>
    <row r="3051" spans="1:10" ht="15.75" customHeight="1">
      <c r="A3051" s="28">
        <v>16757</v>
      </c>
      <c r="B3051" s="91">
        <v>44888.028009259258</v>
      </c>
      <c r="C3051" s="28" t="s">
        <v>10</v>
      </c>
      <c r="D3051" s="28" t="s">
        <v>1181</v>
      </c>
      <c r="E3051" s="28" t="s">
        <v>50</v>
      </c>
      <c r="F3051" s="28">
        <v>0</v>
      </c>
      <c r="G3051" s="28" t="s">
        <v>119</v>
      </c>
      <c r="H3051" s="28">
        <v>0</v>
      </c>
      <c r="J3051" s="28"/>
    </row>
    <row r="3052" spans="1:10" ht="15.75" customHeight="1">
      <c r="A3052" s="28">
        <v>16756</v>
      </c>
      <c r="B3052" s="91">
        <v>44888.028009259258</v>
      </c>
      <c r="C3052" s="28" t="s">
        <v>10</v>
      </c>
      <c r="D3052" s="28" t="s">
        <v>1182</v>
      </c>
      <c r="E3052" s="28" t="s">
        <v>50</v>
      </c>
      <c r="F3052" s="28">
        <v>0</v>
      </c>
      <c r="G3052" s="28" t="s">
        <v>139</v>
      </c>
      <c r="H3052" s="28">
        <v>0</v>
      </c>
      <c r="J3052" s="28"/>
    </row>
    <row r="3053" spans="1:10" ht="15.75" customHeight="1">
      <c r="A3053" s="28">
        <v>16756</v>
      </c>
      <c r="B3053" s="91">
        <v>44888.028009259258</v>
      </c>
      <c r="C3053" s="28" t="s">
        <v>10</v>
      </c>
      <c r="D3053" s="28" t="s">
        <v>1182</v>
      </c>
      <c r="E3053" s="28" t="s">
        <v>50</v>
      </c>
      <c r="F3053" s="28">
        <v>24</v>
      </c>
      <c r="G3053" s="28" t="s">
        <v>122</v>
      </c>
      <c r="H3053" s="28">
        <v>0</v>
      </c>
      <c r="J3053" s="28"/>
    </row>
    <row r="3054" spans="1:10" ht="15.75" customHeight="1">
      <c r="A3054" s="28">
        <v>16755</v>
      </c>
      <c r="B3054" s="91">
        <v>44888.018043981487</v>
      </c>
      <c r="C3054" s="28" t="s">
        <v>10</v>
      </c>
      <c r="D3054" s="28" t="s">
        <v>1183</v>
      </c>
      <c r="E3054" s="28" t="s">
        <v>50</v>
      </c>
      <c r="F3054" s="28">
        <v>0</v>
      </c>
      <c r="G3054" s="28" t="s">
        <v>139</v>
      </c>
      <c r="H3054" s="28">
        <v>0</v>
      </c>
      <c r="J3054" s="28"/>
    </row>
    <row r="3055" spans="1:10" ht="15.75" customHeight="1">
      <c r="A3055" s="28">
        <v>16754</v>
      </c>
      <c r="B3055" s="91">
        <v>44888.009976851856</v>
      </c>
      <c r="C3055" s="28" t="s">
        <v>10</v>
      </c>
      <c r="D3055" s="28" t="s">
        <v>1184</v>
      </c>
      <c r="E3055" s="28" t="s">
        <v>50</v>
      </c>
      <c r="F3055" s="28">
        <v>35</v>
      </c>
      <c r="G3055" s="28" t="s">
        <v>124</v>
      </c>
      <c r="H3055" s="28">
        <v>0</v>
      </c>
      <c r="J3055" s="28"/>
    </row>
    <row r="3056" spans="1:10" ht="15.75" customHeight="1">
      <c r="A3056" s="28">
        <v>16754</v>
      </c>
      <c r="B3056" s="91">
        <v>44888.009976851856</v>
      </c>
      <c r="C3056" s="28" t="s">
        <v>10</v>
      </c>
      <c r="D3056" s="28" t="s">
        <v>1184</v>
      </c>
      <c r="E3056" s="28" t="s">
        <v>50</v>
      </c>
      <c r="F3056" s="28">
        <v>0</v>
      </c>
      <c r="G3056" s="28" t="s">
        <v>125</v>
      </c>
      <c r="H3056" s="28">
        <v>0</v>
      </c>
      <c r="J3056" s="28"/>
    </row>
    <row r="3057" spans="1:10" ht="15.75" customHeight="1">
      <c r="A3057" s="28">
        <v>16754</v>
      </c>
      <c r="B3057" s="91">
        <v>44888.009976851856</v>
      </c>
      <c r="C3057" s="28" t="s">
        <v>10</v>
      </c>
      <c r="D3057" s="28" t="s">
        <v>1184</v>
      </c>
      <c r="E3057" s="28" t="s">
        <v>50</v>
      </c>
      <c r="F3057" s="28">
        <v>0</v>
      </c>
      <c r="G3057" s="28" t="s">
        <v>121</v>
      </c>
      <c r="H3057" s="28">
        <v>0</v>
      </c>
      <c r="J3057" s="28"/>
    </row>
    <row r="3058" spans="1:10" ht="15.75" customHeight="1">
      <c r="A3058" s="28">
        <v>16754</v>
      </c>
      <c r="B3058" s="91">
        <v>44888.009976851856</v>
      </c>
      <c r="C3058" s="28" t="s">
        <v>10</v>
      </c>
      <c r="D3058" s="28" t="s">
        <v>1184</v>
      </c>
      <c r="E3058" s="28" t="s">
        <v>50</v>
      </c>
      <c r="F3058" s="28">
        <v>0</v>
      </c>
      <c r="G3058" s="28" t="s">
        <v>119</v>
      </c>
      <c r="H3058" s="28">
        <v>0</v>
      </c>
      <c r="J3058" s="28"/>
    </row>
    <row r="3059" spans="1:10" ht="15.75" customHeight="1">
      <c r="A3059" s="28">
        <v>16754</v>
      </c>
      <c r="B3059" s="91">
        <v>44888.009976851856</v>
      </c>
      <c r="C3059" s="28" t="s">
        <v>10</v>
      </c>
      <c r="D3059" s="28" t="s">
        <v>1184</v>
      </c>
      <c r="E3059" s="28" t="s">
        <v>50</v>
      </c>
      <c r="F3059" s="28">
        <v>10</v>
      </c>
      <c r="G3059" s="28" t="s">
        <v>334</v>
      </c>
      <c r="H3059" s="28">
        <v>0</v>
      </c>
      <c r="J3059" s="28"/>
    </row>
    <row r="3060" spans="1:10" ht="15.75" customHeight="1">
      <c r="A3060" s="28">
        <v>16753</v>
      </c>
      <c r="B3060" s="91">
        <v>44888.008009259254</v>
      </c>
      <c r="C3060" s="28" t="s">
        <v>10</v>
      </c>
      <c r="D3060" s="28" t="s">
        <v>1185</v>
      </c>
      <c r="E3060" s="28" t="s">
        <v>50</v>
      </c>
      <c r="F3060" s="28">
        <v>55</v>
      </c>
      <c r="G3060" s="28">
        <v>101684</v>
      </c>
      <c r="H3060" s="28">
        <v>0</v>
      </c>
      <c r="J3060" s="28"/>
    </row>
    <row r="3061" spans="1:10" ht="15.75" customHeight="1">
      <c r="A3061" s="28">
        <v>16753</v>
      </c>
      <c r="B3061" s="91">
        <v>44888.008009259254</v>
      </c>
      <c r="C3061" s="28" t="s">
        <v>10</v>
      </c>
      <c r="D3061" s="28" t="s">
        <v>1185</v>
      </c>
      <c r="E3061" s="28" t="s">
        <v>50</v>
      </c>
      <c r="F3061" s="28">
        <v>0</v>
      </c>
      <c r="G3061" s="28" t="s">
        <v>118</v>
      </c>
      <c r="H3061" s="28">
        <v>0</v>
      </c>
      <c r="J3061" s="28"/>
    </row>
    <row r="3062" spans="1:10" ht="15.75" customHeight="1">
      <c r="A3062" s="28">
        <v>16753</v>
      </c>
      <c r="B3062" s="91">
        <v>44888.008009259254</v>
      </c>
      <c r="C3062" s="28" t="s">
        <v>10</v>
      </c>
      <c r="D3062" s="28" t="s">
        <v>1185</v>
      </c>
      <c r="E3062" s="28" t="s">
        <v>50</v>
      </c>
      <c r="F3062" s="28">
        <v>0</v>
      </c>
      <c r="G3062" s="28" t="s">
        <v>119</v>
      </c>
      <c r="H3062" s="28">
        <v>0</v>
      </c>
      <c r="J3062" s="28"/>
    </row>
    <row r="3063" spans="1:10" ht="15.75" customHeight="1">
      <c r="A3063" s="28">
        <v>16753</v>
      </c>
      <c r="B3063" s="91">
        <v>44888.008009259254</v>
      </c>
      <c r="C3063" s="28" t="s">
        <v>10</v>
      </c>
      <c r="D3063" s="28" t="s">
        <v>1185</v>
      </c>
      <c r="E3063" s="28" t="s">
        <v>50</v>
      </c>
      <c r="F3063" s="28">
        <v>0</v>
      </c>
      <c r="G3063" s="28" t="s">
        <v>120</v>
      </c>
      <c r="H3063" s="28">
        <v>0</v>
      </c>
      <c r="J3063" s="28"/>
    </row>
    <row r="3064" spans="1:10" ht="15.75" customHeight="1">
      <c r="A3064" s="28">
        <v>16753</v>
      </c>
      <c r="B3064" s="91">
        <v>44888.008009259254</v>
      </c>
      <c r="C3064" s="28" t="s">
        <v>10</v>
      </c>
      <c r="D3064" s="28" t="s">
        <v>1185</v>
      </c>
      <c r="E3064" s="28" t="s">
        <v>50</v>
      </c>
      <c r="F3064" s="28">
        <v>0</v>
      </c>
      <c r="G3064" s="28" t="s">
        <v>121</v>
      </c>
      <c r="H3064" s="28">
        <v>0</v>
      </c>
      <c r="J3064" s="28"/>
    </row>
    <row r="3065" spans="1:10" ht="15.75" customHeight="1">
      <c r="A3065" s="28">
        <v>16752</v>
      </c>
      <c r="B3065" s="91">
        <v>44888.006539351853</v>
      </c>
      <c r="C3065" s="28" t="s">
        <v>10</v>
      </c>
      <c r="D3065" s="28" t="s">
        <v>1186</v>
      </c>
      <c r="E3065" s="28" t="s">
        <v>50</v>
      </c>
      <c r="F3065" s="28">
        <v>0</v>
      </c>
      <c r="G3065" s="28" t="s">
        <v>139</v>
      </c>
      <c r="H3065" s="28">
        <v>0</v>
      </c>
      <c r="J3065" s="28"/>
    </row>
    <row r="3066" spans="1:10" ht="15.75" customHeight="1">
      <c r="A3066" s="28">
        <v>16752</v>
      </c>
      <c r="B3066" s="91">
        <v>44888.006539351853</v>
      </c>
      <c r="C3066" s="28" t="s">
        <v>10</v>
      </c>
      <c r="D3066" s="28" t="s">
        <v>1186</v>
      </c>
      <c r="E3066" s="28" t="s">
        <v>50</v>
      </c>
      <c r="F3066" s="28">
        <v>35</v>
      </c>
      <c r="G3066" s="28" t="s">
        <v>124</v>
      </c>
      <c r="H3066" s="28">
        <v>0</v>
      </c>
      <c r="J3066" s="28"/>
    </row>
    <row r="3067" spans="1:10" ht="15.75" customHeight="1">
      <c r="A3067" s="28">
        <v>16752</v>
      </c>
      <c r="B3067" s="91">
        <v>44888.006539351853</v>
      </c>
      <c r="C3067" s="28" t="s">
        <v>10</v>
      </c>
      <c r="D3067" s="28" t="s">
        <v>1186</v>
      </c>
      <c r="E3067" s="28" t="s">
        <v>50</v>
      </c>
      <c r="F3067" s="28">
        <v>0</v>
      </c>
      <c r="G3067" s="28" t="s">
        <v>125</v>
      </c>
      <c r="H3067" s="28">
        <v>0</v>
      </c>
      <c r="J3067" s="28"/>
    </row>
    <row r="3068" spans="1:10" ht="15.75" customHeight="1">
      <c r="A3068" s="28">
        <v>16752</v>
      </c>
      <c r="B3068" s="91">
        <v>44888.006539351853</v>
      </c>
      <c r="C3068" s="28" t="s">
        <v>10</v>
      </c>
      <c r="D3068" s="28" t="s">
        <v>1186</v>
      </c>
      <c r="E3068" s="28" t="s">
        <v>50</v>
      </c>
      <c r="F3068" s="28">
        <v>0</v>
      </c>
      <c r="G3068" s="28" t="s">
        <v>121</v>
      </c>
      <c r="H3068" s="28">
        <v>0</v>
      </c>
      <c r="J3068" s="28"/>
    </row>
    <row r="3069" spans="1:10" ht="15.75" customHeight="1">
      <c r="A3069" s="28">
        <v>16752</v>
      </c>
      <c r="B3069" s="91">
        <v>44888.006539351853</v>
      </c>
      <c r="C3069" s="28" t="s">
        <v>10</v>
      </c>
      <c r="D3069" s="28" t="s">
        <v>1186</v>
      </c>
      <c r="E3069" s="28" t="s">
        <v>50</v>
      </c>
      <c r="F3069" s="28">
        <v>0</v>
      </c>
      <c r="G3069" s="28" t="s">
        <v>119</v>
      </c>
      <c r="H3069" s="28">
        <v>0</v>
      </c>
      <c r="J3069" s="28"/>
    </row>
    <row r="3070" spans="1:10" ht="15.75" customHeight="1">
      <c r="A3070" s="28">
        <v>16751</v>
      </c>
      <c r="B3070" s="91">
        <v>44888.003750000003</v>
      </c>
      <c r="C3070" s="28" t="s">
        <v>10</v>
      </c>
      <c r="D3070" s="28" t="s">
        <v>1187</v>
      </c>
      <c r="E3070" s="28" t="s">
        <v>50</v>
      </c>
      <c r="F3070" s="28">
        <v>35</v>
      </c>
      <c r="G3070" s="28" t="s">
        <v>124</v>
      </c>
      <c r="H3070" s="28">
        <v>0</v>
      </c>
      <c r="J3070" s="28"/>
    </row>
    <row r="3071" spans="1:10" ht="15.75" customHeight="1">
      <c r="A3071" s="28">
        <v>16751</v>
      </c>
      <c r="B3071" s="91">
        <v>44888.003750000003</v>
      </c>
      <c r="C3071" s="28" t="s">
        <v>10</v>
      </c>
      <c r="D3071" s="28" t="s">
        <v>1187</v>
      </c>
      <c r="E3071" s="28" t="s">
        <v>50</v>
      </c>
      <c r="F3071" s="28">
        <v>0</v>
      </c>
      <c r="G3071" s="28" t="s">
        <v>125</v>
      </c>
      <c r="H3071" s="28">
        <v>0</v>
      </c>
      <c r="J3071" s="28"/>
    </row>
    <row r="3072" spans="1:10" ht="15.75" customHeight="1">
      <c r="A3072" s="28">
        <v>16751</v>
      </c>
      <c r="B3072" s="91">
        <v>44888.003750000003</v>
      </c>
      <c r="C3072" s="28" t="s">
        <v>10</v>
      </c>
      <c r="D3072" s="28" t="s">
        <v>1187</v>
      </c>
      <c r="E3072" s="28" t="s">
        <v>50</v>
      </c>
      <c r="F3072" s="28">
        <v>0</v>
      </c>
      <c r="G3072" s="28" t="s">
        <v>121</v>
      </c>
      <c r="H3072" s="28">
        <v>0</v>
      </c>
      <c r="J3072" s="28"/>
    </row>
    <row r="3073" spans="1:10" ht="15.75" customHeight="1">
      <c r="A3073" s="28">
        <v>16751</v>
      </c>
      <c r="B3073" s="91">
        <v>44888.003750000003</v>
      </c>
      <c r="C3073" s="28" t="s">
        <v>10</v>
      </c>
      <c r="D3073" s="28" t="s">
        <v>1187</v>
      </c>
      <c r="E3073" s="28" t="s">
        <v>50</v>
      </c>
      <c r="F3073" s="28">
        <v>0</v>
      </c>
      <c r="G3073" s="28" t="s">
        <v>119</v>
      </c>
      <c r="H3073" s="28">
        <v>0</v>
      </c>
      <c r="J3073" s="28"/>
    </row>
    <row r="3074" spans="1:10" ht="15.75" customHeight="1">
      <c r="A3074" s="28">
        <v>16750</v>
      </c>
      <c r="B3074" s="91">
        <v>44887.999027777776</v>
      </c>
      <c r="C3074" s="28" t="s">
        <v>10</v>
      </c>
      <c r="D3074" s="28" t="s">
        <v>1188</v>
      </c>
      <c r="E3074" s="28" t="s">
        <v>50</v>
      </c>
      <c r="F3074" s="28">
        <v>25</v>
      </c>
      <c r="G3074" s="28">
        <v>100692</v>
      </c>
      <c r="H3074" s="28">
        <v>0</v>
      </c>
      <c r="J3074" s="28"/>
    </row>
    <row r="3075" spans="1:10" ht="15.75" customHeight="1">
      <c r="A3075" s="28">
        <v>16750</v>
      </c>
      <c r="B3075" s="91">
        <v>44887.999027777776</v>
      </c>
      <c r="C3075" s="28" t="s">
        <v>10</v>
      </c>
      <c r="D3075" s="28" t="s">
        <v>1188</v>
      </c>
      <c r="E3075" s="28" t="s">
        <v>50</v>
      </c>
      <c r="F3075" s="28">
        <v>0</v>
      </c>
      <c r="G3075" s="28" t="s">
        <v>125</v>
      </c>
      <c r="H3075" s="28">
        <v>0</v>
      </c>
      <c r="J3075" s="28"/>
    </row>
    <row r="3076" spans="1:10" ht="15.75" customHeight="1">
      <c r="A3076" s="28">
        <v>16750</v>
      </c>
      <c r="B3076" s="91">
        <v>44887.999027777776</v>
      </c>
      <c r="C3076" s="28" t="s">
        <v>10</v>
      </c>
      <c r="D3076" s="28" t="s">
        <v>1188</v>
      </c>
      <c r="E3076" s="28" t="s">
        <v>50</v>
      </c>
      <c r="F3076" s="28">
        <v>0</v>
      </c>
      <c r="G3076" s="28" t="s">
        <v>119</v>
      </c>
      <c r="H3076" s="28">
        <v>0</v>
      </c>
      <c r="J3076" s="28"/>
    </row>
    <row r="3077" spans="1:10" ht="15.75" customHeight="1">
      <c r="A3077" s="28">
        <v>16749</v>
      </c>
      <c r="B3077" s="91">
        <v>44887.998194444444</v>
      </c>
      <c r="C3077" s="28" t="s">
        <v>10</v>
      </c>
      <c r="D3077" s="28" t="s">
        <v>1189</v>
      </c>
      <c r="E3077" s="28" t="s">
        <v>50</v>
      </c>
      <c r="F3077" s="28">
        <v>15</v>
      </c>
      <c r="G3077" s="28"/>
      <c r="H3077" s="28">
        <v>0</v>
      </c>
      <c r="J3077" s="28"/>
    </row>
    <row r="3078" spans="1:10" ht="15.75" customHeight="1">
      <c r="A3078" s="28">
        <v>16748</v>
      </c>
      <c r="B3078" s="91">
        <v>44887.990173611106</v>
      </c>
      <c r="C3078" s="28" t="s">
        <v>10</v>
      </c>
      <c r="D3078" s="28" t="s">
        <v>1118</v>
      </c>
      <c r="E3078" s="28" t="s">
        <v>50</v>
      </c>
      <c r="F3078" s="28">
        <v>25</v>
      </c>
      <c r="G3078" s="28">
        <v>100692</v>
      </c>
      <c r="H3078" s="28">
        <v>0</v>
      </c>
      <c r="J3078" s="28"/>
    </row>
    <row r="3079" spans="1:10" ht="15.75" customHeight="1">
      <c r="A3079" s="28">
        <v>16748</v>
      </c>
      <c r="B3079" s="91">
        <v>44887.990173611106</v>
      </c>
      <c r="C3079" s="28" t="s">
        <v>10</v>
      </c>
      <c r="D3079" s="28" t="s">
        <v>1118</v>
      </c>
      <c r="E3079" s="28" t="s">
        <v>50</v>
      </c>
      <c r="F3079" s="28">
        <v>0</v>
      </c>
      <c r="G3079" s="28" t="s">
        <v>125</v>
      </c>
      <c r="H3079" s="28">
        <v>0</v>
      </c>
      <c r="J3079" s="28"/>
    </row>
    <row r="3080" spans="1:10" ht="15.75" customHeight="1">
      <c r="A3080" s="28">
        <v>16748</v>
      </c>
      <c r="B3080" s="91">
        <v>44887.990173611106</v>
      </c>
      <c r="C3080" s="28" t="s">
        <v>10</v>
      </c>
      <c r="D3080" s="28" t="s">
        <v>1118</v>
      </c>
      <c r="E3080" s="28" t="s">
        <v>50</v>
      </c>
      <c r="F3080" s="28">
        <v>0</v>
      </c>
      <c r="G3080" s="28" t="s">
        <v>119</v>
      </c>
      <c r="H3080" s="28">
        <v>0</v>
      </c>
      <c r="J3080" s="28"/>
    </row>
    <row r="3081" spans="1:10" ht="15.75" customHeight="1">
      <c r="A3081" s="28">
        <v>16747</v>
      </c>
      <c r="B3081" s="91">
        <v>44887.989687499998</v>
      </c>
      <c r="C3081" s="28" t="s">
        <v>10</v>
      </c>
      <c r="D3081" s="28" t="s">
        <v>1183</v>
      </c>
      <c r="E3081" s="28" t="s">
        <v>50</v>
      </c>
      <c r="F3081" s="28">
        <v>28</v>
      </c>
      <c r="G3081" s="28" t="s">
        <v>143</v>
      </c>
      <c r="H3081" s="28">
        <v>0</v>
      </c>
      <c r="J3081" s="28"/>
    </row>
    <row r="3082" spans="1:10" ht="15.75" customHeight="1">
      <c r="A3082" s="28">
        <v>16747</v>
      </c>
      <c r="B3082" s="91">
        <v>44887.989687499998</v>
      </c>
      <c r="C3082" s="28" t="s">
        <v>10</v>
      </c>
      <c r="D3082" s="28" t="s">
        <v>1183</v>
      </c>
      <c r="E3082" s="28" t="s">
        <v>50</v>
      </c>
      <c r="F3082" s="28">
        <v>25</v>
      </c>
      <c r="G3082" s="28" t="s">
        <v>120</v>
      </c>
      <c r="H3082" s="28">
        <v>0</v>
      </c>
      <c r="J3082" s="28"/>
    </row>
    <row r="3083" spans="1:10" ht="15.75" customHeight="1">
      <c r="A3083" s="28">
        <v>16746</v>
      </c>
      <c r="B3083" s="91">
        <v>44887.986597222218</v>
      </c>
      <c r="C3083" s="28" t="s">
        <v>10</v>
      </c>
      <c r="D3083" s="28" t="s">
        <v>1190</v>
      </c>
      <c r="E3083" s="28" t="s">
        <v>50</v>
      </c>
      <c r="F3083" s="28">
        <v>35</v>
      </c>
      <c r="G3083" s="28" t="s">
        <v>124</v>
      </c>
      <c r="H3083" s="28">
        <v>0</v>
      </c>
      <c r="J3083" s="28"/>
    </row>
    <row r="3084" spans="1:10" ht="15.75" customHeight="1">
      <c r="A3084" s="28">
        <v>16746</v>
      </c>
      <c r="B3084" s="91">
        <v>44887.986597222218</v>
      </c>
      <c r="C3084" s="28" t="s">
        <v>10</v>
      </c>
      <c r="D3084" s="28" t="s">
        <v>1190</v>
      </c>
      <c r="E3084" s="28" t="s">
        <v>50</v>
      </c>
      <c r="F3084" s="28">
        <v>0</v>
      </c>
      <c r="G3084" s="28" t="s">
        <v>125</v>
      </c>
      <c r="H3084" s="28">
        <v>0</v>
      </c>
      <c r="J3084" s="28"/>
    </row>
    <row r="3085" spans="1:10" ht="15.75" customHeight="1">
      <c r="A3085" s="28">
        <v>16746</v>
      </c>
      <c r="B3085" s="91">
        <v>44887.986597222218</v>
      </c>
      <c r="C3085" s="28" t="s">
        <v>10</v>
      </c>
      <c r="D3085" s="28" t="s">
        <v>1190</v>
      </c>
      <c r="E3085" s="28" t="s">
        <v>50</v>
      </c>
      <c r="F3085" s="28">
        <v>0</v>
      </c>
      <c r="G3085" s="28" t="s">
        <v>121</v>
      </c>
      <c r="H3085" s="28">
        <v>0</v>
      </c>
      <c r="J3085" s="28"/>
    </row>
    <row r="3086" spans="1:10" ht="15.75" customHeight="1">
      <c r="A3086" s="28">
        <v>16746</v>
      </c>
      <c r="B3086" s="91">
        <v>44887.986597222218</v>
      </c>
      <c r="C3086" s="28" t="s">
        <v>10</v>
      </c>
      <c r="D3086" s="28" t="s">
        <v>1190</v>
      </c>
      <c r="E3086" s="28" t="s">
        <v>50</v>
      </c>
      <c r="F3086" s="28">
        <v>0</v>
      </c>
      <c r="G3086" s="28" t="s">
        <v>119</v>
      </c>
      <c r="H3086" s="28">
        <v>0</v>
      </c>
      <c r="J3086" s="28"/>
    </row>
    <row r="3087" spans="1:10" ht="15.75" customHeight="1">
      <c r="A3087" s="28">
        <v>16745</v>
      </c>
      <c r="B3087" s="91">
        <v>44887.985173611116</v>
      </c>
      <c r="C3087" s="28" t="s">
        <v>10</v>
      </c>
      <c r="D3087" s="28" t="s">
        <v>1191</v>
      </c>
      <c r="E3087" s="28" t="s">
        <v>50</v>
      </c>
      <c r="F3087" s="28">
        <v>35</v>
      </c>
      <c r="G3087" s="28" t="s">
        <v>124</v>
      </c>
      <c r="H3087" s="28">
        <v>0</v>
      </c>
      <c r="J3087" s="28"/>
    </row>
    <row r="3088" spans="1:10" ht="15.75" customHeight="1">
      <c r="A3088" s="28">
        <v>16745</v>
      </c>
      <c r="B3088" s="91">
        <v>44887.985173611116</v>
      </c>
      <c r="C3088" s="28" t="s">
        <v>10</v>
      </c>
      <c r="D3088" s="28" t="s">
        <v>1191</v>
      </c>
      <c r="E3088" s="28" t="s">
        <v>50</v>
      </c>
      <c r="F3088" s="28">
        <v>0</v>
      </c>
      <c r="G3088" s="28" t="s">
        <v>125</v>
      </c>
      <c r="H3088" s="28">
        <v>0</v>
      </c>
      <c r="J3088" s="28"/>
    </row>
    <row r="3089" spans="1:10" ht="15.75" customHeight="1">
      <c r="A3089" s="28">
        <v>16745</v>
      </c>
      <c r="B3089" s="91">
        <v>44887.985173611116</v>
      </c>
      <c r="C3089" s="28" t="s">
        <v>10</v>
      </c>
      <c r="D3089" s="28" t="s">
        <v>1191</v>
      </c>
      <c r="E3089" s="28" t="s">
        <v>50</v>
      </c>
      <c r="F3089" s="28">
        <v>0</v>
      </c>
      <c r="G3089" s="28" t="s">
        <v>121</v>
      </c>
      <c r="H3089" s="28">
        <v>0</v>
      </c>
      <c r="J3089" s="28"/>
    </row>
    <row r="3090" spans="1:10" ht="15.75" customHeight="1">
      <c r="A3090" s="28">
        <v>16745</v>
      </c>
      <c r="B3090" s="91">
        <v>44887.985173611116</v>
      </c>
      <c r="C3090" s="28" t="s">
        <v>10</v>
      </c>
      <c r="D3090" s="28" t="s">
        <v>1191</v>
      </c>
      <c r="E3090" s="28" t="s">
        <v>50</v>
      </c>
      <c r="F3090" s="28">
        <v>0</v>
      </c>
      <c r="G3090" s="28" t="s">
        <v>119</v>
      </c>
      <c r="H3090" s="28">
        <v>0</v>
      </c>
      <c r="J3090" s="28"/>
    </row>
    <row r="3091" spans="1:10" ht="15.75" customHeight="1">
      <c r="A3091" s="28">
        <v>16745</v>
      </c>
      <c r="B3091" s="91">
        <v>44887.985173611116</v>
      </c>
      <c r="C3091" s="28" t="s">
        <v>10</v>
      </c>
      <c r="D3091" s="28" t="s">
        <v>1191</v>
      </c>
      <c r="E3091" s="28" t="s">
        <v>50</v>
      </c>
      <c r="F3091" s="28">
        <v>18</v>
      </c>
      <c r="G3091" s="28" t="s">
        <v>457</v>
      </c>
      <c r="H3091" s="28">
        <v>0</v>
      </c>
      <c r="J3091" s="28"/>
    </row>
    <row r="3092" spans="1:10" ht="15.75" customHeight="1">
      <c r="A3092" s="28">
        <v>16744</v>
      </c>
      <c r="B3092" s="91">
        <v>44887.983807870369</v>
      </c>
      <c r="C3092" s="28" t="s">
        <v>10</v>
      </c>
      <c r="D3092" s="28" t="s">
        <v>1192</v>
      </c>
      <c r="E3092" s="28" t="s">
        <v>50</v>
      </c>
      <c r="F3092" s="28">
        <v>25</v>
      </c>
      <c r="G3092" s="28">
        <v>100692</v>
      </c>
      <c r="H3092" s="28">
        <v>0</v>
      </c>
      <c r="J3092" s="28"/>
    </row>
    <row r="3093" spans="1:10" ht="15.75" customHeight="1">
      <c r="A3093" s="28">
        <v>16744</v>
      </c>
      <c r="B3093" s="91">
        <v>44887.983807870369</v>
      </c>
      <c r="C3093" s="28" t="s">
        <v>10</v>
      </c>
      <c r="D3093" s="28" t="s">
        <v>1192</v>
      </c>
      <c r="E3093" s="28" t="s">
        <v>50</v>
      </c>
      <c r="F3093" s="28">
        <v>0</v>
      </c>
      <c r="G3093" s="28" t="s">
        <v>125</v>
      </c>
      <c r="H3093" s="28">
        <v>0</v>
      </c>
      <c r="J3093" s="28"/>
    </row>
    <row r="3094" spans="1:10" ht="15.75" customHeight="1">
      <c r="A3094" s="28">
        <v>16744</v>
      </c>
      <c r="B3094" s="91">
        <v>44887.983807870369</v>
      </c>
      <c r="C3094" s="28" t="s">
        <v>10</v>
      </c>
      <c r="D3094" s="28" t="s">
        <v>1192</v>
      </c>
      <c r="E3094" s="28" t="s">
        <v>50</v>
      </c>
      <c r="F3094" s="28">
        <v>0</v>
      </c>
      <c r="G3094" s="28" t="s">
        <v>119</v>
      </c>
      <c r="H3094" s="28">
        <v>0</v>
      </c>
      <c r="J3094" s="28"/>
    </row>
    <row r="3095" spans="1:10" ht="15.75" customHeight="1">
      <c r="A3095" s="28">
        <v>16743</v>
      </c>
      <c r="B3095" s="91">
        <v>44887.977083333331</v>
      </c>
      <c r="C3095" s="28" t="s">
        <v>10</v>
      </c>
      <c r="D3095" s="28" t="s">
        <v>1193</v>
      </c>
      <c r="E3095" s="28" t="s">
        <v>50</v>
      </c>
      <c r="F3095" s="28">
        <v>28</v>
      </c>
      <c r="G3095" s="28" t="s">
        <v>143</v>
      </c>
      <c r="H3095" s="28">
        <v>0</v>
      </c>
      <c r="J3095" s="28"/>
    </row>
    <row r="3096" spans="1:10" ht="15.75" customHeight="1">
      <c r="A3096" s="28">
        <v>16742</v>
      </c>
      <c r="B3096" s="91">
        <v>44887.976226851853</v>
      </c>
      <c r="C3096" s="28" t="s">
        <v>10</v>
      </c>
      <c r="D3096" s="28" t="s">
        <v>1194</v>
      </c>
      <c r="E3096" s="28" t="s">
        <v>50</v>
      </c>
      <c r="F3096" s="28">
        <v>24</v>
      </c>
      <c r="G3096" s="28" t="s">
        <v>122</v>
      </c>
      <c r="H3096" s="28">
        <v>0</v>
      </c>
      <c r="J3096" s="28"/>
    </row>
    <row r="3097" spans="1:10" ht="15.75" customHeight="1">
      <c r="A3097" s="28">
        <v>16742</v>
      </c>
      <c r="B3097" s="91">
        <v>44887.976226851853</v>
      </c>
      <c r="C3097" s="28" t="s">
        <v>10</v>
      </c>
      <c r="D3097" s="28" t="s">
        <v>1194</v>
      </c>
      <c r="E3097" s="28" t="s">
        <v>50</v>
      </c>
      <c r="F3097" s="28">
        <v>20</v>
      </c>
      <c r="G3097" s="28" t="s">
        <v>148</v>
      </c>
      <c r="H3097" s="28">
        <v>0</v>
      </c>
      <c r="J3097" s="28"/>
    </row>
    <row r="3098" spans="1:10" ht="15.75" customHeight="1">
      <c r="A3098" s="28">
        <v>16741</v>
      </c>
      <c r="B3098" s="91">
        <v>44887.975995370369</v>
      </c>
      <c r="C3098" s="28" t="s">
        <v>10</v>
      </c>
      <c r="D3098" s="28" t="s">
        <v>1195</v>
      </c>
      <c r="E3098" s="28" t="s">
        <v>50</v>
      </c>
      <c r="F3098" s="28">
        <v>24</v>
      </c>
      <c r="G3098" s="28" t="s">
        <v>122</v>
      </c>
      <c r="H3098" s="28">
        <v>0</v>
      </c>
      <c r="J3098" s="28"/>
    </row>
    <row r="3099" spans="1:10" ht="15.75" customHeight="1">
      <c r="A3099" s="28">
        <v>16740</v>
      </c>
      <c r="B3099" s="91">
        <v>44887.973761574074</v>
      </c>
      <c r="C3099" s="28" t="s">
        <v>10</v>
      </c>
      <c r="D3099" s="28" t="s">
        <v>1196</v>
      </c>
      <c r="E3099" s="28" t="s">
        <v>50</v>
      </c>
      <c r="F3099" s="28">
        <v>55</v>
      </c>
      <c r="G3099" s="28">
        <v>101684</v>
      </c>
      <c r="H3099" s="28">
        <v>0</v>
      </c>
      <c r="J3099" s="28"/>
    </row>
    <row r="3100" spans="1:10" ht="15.75" customHeight="1">
      <c r="A3100" s="28">
        <v>16740</v>
      </c>
      <c r="B3100" s="91">
        <v>44887.973761574074</v>
      </c>
      <c r="C3100" s="28" t="s">
        <v>10</v>
      </c>
      <c r="D3100" s="28" t="s">
        <v>1196</v>
      </c>
      <c r="E3100" s="28" t="s">
        <v>50</v>
      </c>
      <c r="F3100" s="28">
        <v>0</v>
      </c>
      <c r="G3100" s="28" t="s">
        <v>118</v>
      </c>
      <c r="H3100" s="28">
        <v>0</v>
      </c>
      <c r="J3100" s="28"/>
    </row>
    <row r="3101" spans="1:10" ht="15.75" customHeight="1">
      <c r="A3101" s="28">
        <v>16740</v>
      </c>
      <c r="B3101" s="91">
        <v>44887.973761574074</v>
      </c>
      <c r="C3101" s="28" t="s">
        <v>10</v>
      </c>
      <c r="D3101" s="28" t="s">
        <v>1196</v>
      </c>
      <c r="E3101" s="28" t="s">
        <v>50</v>
      </c>
      <c r="F3101" s="28">
        <v>0</v>
      </c>
      <c r="G3101" s="28" t="s">
        <v>119</v>
      </c>
      <c r="H3101" s="28">
        <v>0</v>
      </c>
      <c r="J3101" s="28"/>
    </row>
    <row r="3102" spans="1:10" ht="15.75" customHeight="1">
      <c r="A3102" s="28">
        <v>16740</v>
      </c>
      <c r="B3102" s="91">
        <v>44887.973761574074</v>
      </c>
      <c r="C3102" s="28" t="s">
        <v>10</v>
      </c>
      <c r="D3102" s="28" t="s">
        <v>1196</v>
      </c>
      <c r="E3102" s="28" t="s">
        <v>50</v>
      </c>
      <c r="F3102" s="28">
        <v>0</v>
      </c>
      <c r="G3102" s="28" t="s">
        <v>120</v>
      </c>
      <c r="H3102" s="28">
        <v>0</v>
      </c>
      <c r="J3102" s="28"/>
    </row>
    <row r="3103" spans="1:10" ht="15.75" customHeight="1">
      <c r="A3103" s="28">
        <v>16740</v>
      </c>
      <c r="B3103" s="91">
        <v>44887.973761574074</v>
      </c>
      <c r="C3103" s="28" t="s">
        <v>10</v>
      </c>
      <c r="D3103" s="28" t="s">
        <v>1196</v>
      </c>
      <c r="E3103" s="28" t="s">
        <v>50</v>
      </c>
      <c r="F3103" s="28">
        <v>0</v>
      </c>
      <c r="G3103" s="28" t="s">
        <v>121</v>
      </c>
      <c r="H3103" s="28">
        <v>0</v>
      </c>
      <c r="J3103" s="28"/>
    </row>
    <row r="3104" spans="1:10" ht="15.75" customHeight="1">
      <c r="A3104" s="28">
        <v>16739</v>
      </c>
      <c r="B3104" s="91">
        <v>44887.970520833333</v>
      </c>
      <c r="C3104" s="28" t="s">
        <v>10</v>
      </c>
      <c r="D3104" s="28" t="s">
        <v>1197</v>
      </c>
      <c r="E3104" s="28" t="s">
        <v>50</v>
      </c>
      <c r="F3104" s="28">
        <v>25</v>
      </c>
      <c r="G3104" s="28">
        <v>100692</v>
      </c>
      <c r="H3104" s="28">
        <v>0</v>
      </c>
      <c r="J3104" s="28"/>
    </row>
    <row r="3105" spans="1:10" ht="15.75" customHeight="1">
      <c r="A3105" s="28">
        <v>16739</v>
      </c>
      <c r="B3105" s="91">
        <v>44887.970520833333</v>
      </c>
      <c r="C3105" s="28" t="s">
        <v>10</v>
      </c>
      <c r="D3105" s="28" t="s">
        <v>1197</v>
      </c>
      <c r="E3105" s="28" t="s">
        <v>50</v>
      </c>
      <c r="F3105" s="28">
        <v>0</v>
      </c>
      <c r="G3105" s="28" t="s">
        <v>125</v>
      </c>
      <c r="H3105" s="28">
        <v>0</v>
      </c>
      <c r="J3105" s="28"/>
    </row>
    <row r="3106" spans="1:10" ht="15.75" customHeight="1">
      <c r="A3106" s="28">
        <v>16739</v>
      </c>
      <c r="B3106" s="91">
        <v>44887.970520833333</v>
      </c>
      <c r="C3106" s="28" t="s">
        <v>10</v>
      </c>
      <c r="D3106" s="28" t="s">
        <v>1197</v>
      </c>
      <c r="E3106" s="28" t="s">
        <v>50</v>
      </c>
      <c r="F3106" s="28">
        <v>0</v>
      </c>
      <c r="G3106" s="28" t="s">
        <v>119</v>
      </c>
      <c r="H3106" s="28">
        <v>0</v>
      </c>
      <c r="J3106" s="28"/>
    </row>
    <row r="3107" spans="1:10" ht="15.75" customHeight="1">
      <c r="A3107" s="28">
        <v>16738</v>
      </c>
      <c r="B3107" s="91">
        <v>44887.970324074078</v>
      </c>
      <c r="C3107" s="28" t="s">
        <v>10</v>
      </c>
      <c r="D3107" s="28" t="s">
        <v>1198</v>
      </c>
      <c r="E3107" s="28" t="s">
        <v>50</v>
      </c>
      <c r="F3107" s="28">
        <v>35</v>
      </c>
      <c r="G3107" s="28" t="s">
        <v>124</v>
      </c>
      <c r="H3107" s="28">
        <v>0</v>
      </c>
      <c r="J3107" s="28"/>
    </row>
    <row r="3108" spans="1:10" ht="15.75" customHeight="1">
      <c r="A3108" s="28">
        <v>16738</v>
      </c>
      <c r="B3108" s="91">
        <v>44887.970324074078</v>
      </c>
      <c r="C3108" s="28" t="s">
        <v>10</v>
      </c>
      <c r="D3108" s="28" t="s">
        <v>1198</v>
      </c>
      <c r="E3108" s="28" t="s">
        <v>50</v>
      </c>
      <c r="F3108" s="28">
        <v>0</v>
      </c>
      <c r="G3108" s="28" t="s">
        <v>125</v>
      </c>
      <c r="H3108" s="28">
        <v>0</v>
      </c>
      <c r="J3108" s="28"/>
    </row>
    <row r="3109" spans="1:10" ht="15.75" customHeight="1">
      <c r="A3109" s="28">
        <v>16738</v>
      </c>
      <c r="B3109" s="91">
        <v>44887.970324074078</v>
      </c>
      <c r="C3109" s="28" t="s">
        <v>10</v>
      </c>
      <c r="D3109" s="28" t="s">
        <v>1198</v>
      </c>
      <c r="E3109" s="28" t="s">
        <v>50</v>
      </c>
      <c r="F3109" s="28">
        <v>0</v>
      </c>
      <c r="G3109" s="28" t="s">
        <v>121</v>
      </c>
      <c r="H3109" s="28">
        <v>0</v>
      </c>
      <c r="J3109" s="28"/>
    </row>
    <row r="3110" spans="1:10" ht="15.75" customHeight="1">
      <c r="A3110" s="28">
        <v>16738</v>
      </c>
      <c r="B3110" s="91">
        <v>44887.970324074078</v>
      </c>
      <c r="C3110" s="28" t="s">
        <v>10</v>
      </c>
      <c r="D3110" s="28" t="s">
        <v>1198</v>
      </c>
      <c r="E3110" s="28" t="s">
        <v>50</v>
      </c>
      <c r="F3110" s="28">
        <v>0</v>
      </c>
      <c r="G3110" s="28" t="s">
        <v>119</v>
      </c>
      <c r="H3110" s="28">
        <v>0</v>
      </c>
      <c r="J3110" s="28"/>
    </row>
    <row r="3111" spans="1:10" ht="15.75" customHeight="1">
      <c r="A3111" s="28">
        <v>16737</v>
      </c>
      <c r="B3111" s="91">
        <v>44887.968518518523</v>
      </c>
      <c r="C3111" s="28" t="s">
        <v>10</v>
      </c>
      <c r="D3111" s="28" t="s">
        <v>1199</v>
      </c>
      <c r="E3111" s="28" t="s">
        <v>50</v>
      </c>
      <c r="F3111" s="28">
        <v>25</v>
      </c>
      <c r="G3111" s="28">
        <v>100692</v>
      </c>
      <c r="H3111" s="28">
        <v>0</v>
      </c>
      <c r="J3111" s="28"/>
    </row>
    <row r="3112" spans="1:10" ht="15.75" customHeight="1">
      <c r="A3112" s="28">
        <v>16737</v>
      </c>
      <c r="B3112" s="91">
        <v>44887.968518518523</v>
      </c>
      <c r="C3112" s="28" t="s">
        <v>10</v>
      </c>
      <c r="D3112" s="28" t="s">
        <v>1199</v>
      </c>
      <c r="E3112" s="28" t="s">
        <v>50</v>
      </c>
      <c r="F3112" s="28">
        <v>0</v>
      </c>
      <c r="G3112" s="28" t="s">
        <v>125</v>
      </c>
      <c r="H3112" s="28">
        <v>0</v>
      </c>
      <c r="J3112" s="28"/>
    </row>
    <row r="3113" spans="1:10" ht="15.75" customHeight="1">
      <c r="A3113" s="28">
        <v>16737</v>
      </c>
      <c r="B3113" s="91">
        <v>44887.968518518523</v>
      </c>
      <c r="C3113" s="28" t="s">
        <v>10</v>
      </c>
      <c r="D3113" s="28" t="s">
        <v>1199</v>
      </c>
      <c r="E3113" s="28" t="s">
        <v>50</v>
      </c>
      <c r="F3113" s="28">
        <v>0</v>
      </c>
      <c r="G3113" s="28" t="s">
        <v>119</v>
      </c>
      <c r="H3113" s="28">
        <v>0</v>
      </c>
      <c r="J3113" s="28"/>
    </row>
    <row r="3114" spans="1:10" ht="15.75" customHeight="1">
      <c r="A3114" s="28">
        <v>16736</v>
      </c>
      <c r="B3114" s="91">
        <v>44887.967824074076</v>
      </c>
      <c r="C3114" s="28" t="s">
        <v>10</v>
      </c>
      <c r="D3114" s="28" t="s">
        <v>1200</v>
      </c>
      <c r="E3114" s="28" t="s">
        <v>50</v>
      </c>
      <c r="F3114" s="28">
        <v>35</v>
      </c>
      <c r="G3114" s="28" t="s">
        <v>124</v>
      </c>
      <c r="H3114" s="28">
        <v>0</v>
      </c>
      <c r="J3114" s="28"/>
    </row>
    <row r="3115" spans="1:10" ht="15.75" customHeight="1">
      <c r="A3115" s="28">
        <v>16736</v>
      </c>
      <c r="B3115" s="91">
        <v>44887.967824074076</v>
      </c>
      <c r="C3115" s="28" t="s">
        <v>10</v>
      </c>
      <c r="D3115" s="28" t="s">
        <v>1200</v>
      </c>
      <c r="E3115" s="28" t="s">
        <v>50</v>
      </c>
      <c r="F3115" s="28">
        <v>0</v>
      </c>
      <c r="G3115" s="28" t="s">
        <v>125</v>
      </c>
      <c r="H3115" s="28">
        <v>0</v>
      </c>
      <c r="J3115" s="28"/>
    </row>
    <row r="3116" spans="1:10" ht="15.75" customHeight="1">
      <c r="A3116" s="28">
        <v>16736</v>
      </c>
      <c r="B3116" s="91">
        <v>44887.967824074076</v>
      </c>
      <c r="C3116" s="28" t="s">
        <v>10</v>
      </c>
      <c r="D3116" s="28" t="s">
        <v>1200</v>
      </c>
      <c r="E3116" s="28" t="s">
        <v>50</v>
      </c>
      <c r="F3116" s="28">
        <v>0</v>
      </c>
      <c r="G3116" s="28" t="s">
        <v>121</v>
      </c>
      <c r="H3116" s="28">
        <v>0</v>
      </c>
      <c r="J3116" s="28"/>
    </row>
    <row r="3117" spans="1:10" ht="15.75" customHeight="1">
      <c r="A3117" s="28">
        <v>16736</v>
      </c>
      <c r="B3117" s="91">
        <v>44887.967824074076</v>
      </c>
      <c r="C3117" s="28" t="s">
        <v>10</v>
      </c>
      <c r="D3117" s="28" t="s">
        <v>1200</v>
      </c>
      <c r="E3117" s="28" t="s">
        <v>50</v>
      </c>
      <c r="F3117" s="28">
        <v>0</v>
      </c>
      <c r="G3117" s="28" t="s">
        <v>119</v>
      </c>
      <c r="H3117" s="28">
        <v>0</v>
      </c>
      <c r="J3117" s="28"/>
    </row>
    <row r="3118" spans="1:10" ht="15.75" customHeight="1">
      <c r="A3118" s="28">
        <v>16735</v>
      </c>
      <c r="B3118" s="91">
        <v>44887.942361111112</v>
      </c>
      <c r="C3118" s="28" t="s">
        <v>10</v>
      </c>
      <c r="D3118" s="28" t="s">
        <v>1201</v>
      </c>
      <c r="E3118" s="28" t="s">
        <v>50</v>
      </c>
      <c r="F3118" s="28">
        <v>24</v>
      </c>
      <c r="G3118" s="28" t="s">
        <v>122</v>
      </c>
      <c r="H3118" s="28">
        <v>0</v>
      </c>
      <c r="J3118" s="28"/>
    </row>
    <row r="3119" spans="1:10" ht="15.75" customHeight="1">
      <c r="A3119" s="28">
        <v>16735</v>
      </c>
      <c r="B3119" s="91">
        <v>44887.942361111112</v>
      </c>
      <c r="C3119" s="28" t="s">
        <v>10</v>
      </c>
      <c r="D3119" s="28" t="s">
        <v>1201</v>
      </c>
      <c r="E3119" s="28" t="s">
        <v>50</v>
      </c>
      <c r="F3119" s="28">
        <v>15</v>
      </c>
      <c r="G3119" s="28" t="s">
        <v>125</v>
      </c>
      <c r="H3119" s="28">
        <v>0</v>
      </c>
      <c r="J3119" s="28"/>
    </row>
    <row r="3120" spans="1:10" ht="15.75" customHeight="1">
      <c r="A3120" s="28">
        <v>16734</v>
      </c>
      <c r="B3120" s="91">
        <v>44887.94231481482</v>
      </c>
      <c r="C3120" s="28" t="s">
        <v>10</v>
      </c>
      <c r="D3120" s="28" t="s">
        <v>1202</v>
      </c>
      <c r="E3120" s="28" t="s">
        <v>50</v>
      </c>
      <c r="F3120" s="28">
        <v>0</v>
      </c>
      <c r="G3120" s="28" t="s">
        <v>139</v>
      </c>
      <c r="H3120" s="28">
        <v>0</v>
      </c>
      <c r="J3120" s="28"/>
    </row>
    <row r="3121" spans="1:10" ht="15.75" customHeight="1">
      <c r="A3121" s="28">
        <v>16734</v>
      </c>
      <c r="B3121" s="91">
        <v>44887.94231481482</v>
      </c>
      <c r="C3121" s="28" t="s">
        <v>10</v>
      </c>
      <c r="D3121" s="28" t="s">
        <v>1202</v>
      </c>
      <c r="E3121" s="28" t="s">
        <v>50</v>
      </c>
      <c r="F3121" s="28">
        <v>28</v>
      </c>
      <c r="G3121" s="28" t="s">
        <v>143</v>
      </c>
      <c r="H3121" s="28">
        <v>0</v>
      </c>
      <c r="J3121" s="28"/>
    </row>
    <row r="3122" spans="1:10" ht="15.75" customHeight="1">
      <c r="A3122" s="28">
        <v>16734</v>
      </c>
      <c r="B3122" s="91">
        <v>44887.94231481482</v>
      </c>
      <c r="C3122" s="28" t="s">
        <v>10</v>
      </c>
      <c r="D3122" s="28" t="s">
        <v>1202</v>
      </c>
      <c r="E3122" s="28" t="s">
        <v>50</v>
      </c>
      <c r="F3122" s="28">
        <v>35</v>
      </c>
      <c r="G3122" s="28" t="s">
        <v>124</v>
      </c>
      <c r="H3122" s="28">
        <v>0</v>
      </c>
      <c r="J3122" s="28"/>
    </row>
    <row r="3123" spans="1:10" ht="15.75" customHeight="1">
      <c r="A3123" s="28">
        <v>16734</v>
      </c>
      <c r="B3123" s="91">
        <v>44887.94231481482</v>
      </c>
      <c r="C3123" s="28" t="s">
        <v>10</v>
      </c>
      <c r="D3123" s="28" t="s">
        <v>1202</v>
      </c>
      <c r="E3123" s="28" t="s">
        <v>50</v>
      </c>
      <c r="F3123" s="28">
        <v>0</v>
      </c>
      <c r="G3123" s="28" t="s">
        <v>125</v>
      </c>
      <c r="H3123" s="28">
        <v>0</v>
      </c>
      <c r="J3123" s="28"/>
    </row>
    <row r="3124" spans="1:10" ht="15.75" customHeight="1">
      <c r="A3124" s="28">
        <v>16734</v>
      </c>
      <c r="B3124" s="91">
        <v>44887.94231481482</v>
      </c>
      <c r="C3124" s="28" t="s">
        <v>10</v>
      </c>
      <c r="D3124" s="28" t="s">
        <v>1202</v>
      </c>
      <c r="E3124" s="28" t="s">
        <v>50</v>
      </c>
      <c r="F3124" s="28">
        <v>0</v>
      </c>
      <c r="G3124" s="28" t="s">
        <v>121</v>
      </c>
      <c r="H3124" s="28">
        <v>0</v>
      </c>
      <c r="J3124" s="28"/>
    </row>
    <row r="3125" spans="1:10" ht="15.75" customHeight="1">
      <c r="A3125" s="28">
        <v>16734</v>
      </c>
      <c r="B3125" s="91">
        <v>44887.94231481482</v>
      </c>
      <c r="C3125" s="28" t="s">
        <v>10</v>
      </c>
      <c r="D3125" s="28" t="s">
        <v>1202</v>
      </c>
      <c r="E3125" s="28" t="s">
        <v>50</v>
      </c>
      <c r="F3125" s="28">
        <v>0</v>
      </c>
      <c r="G3125" s="28" t="s">
        <v>119</v>
      </c>
      <c r="H3125" s="28">
        <v>0</v>
      </c>
      <c r="J3125" s="28"/>
    </row>
    <row r="3126" spans="1:10" ht="15.75" customHeight="1">
      <c r="A3126" s="28">
        <v>16733</v>
      </c>
      <c r="B3126" s="91">
        <v>44887.937615740739</v>
      </c>
      <c r="C3126" s="28" t="s">
        <v>10</v>
      </c>
      <c r="D3126" s="28" t="s">
        <v>1203</v>
      </c>
      <c r="E3126" s="28" t="s">
        <v>50</v>
      </c>
      <c r="F3126" s="28">
        <v>22</v>
      </c>
      <c r="G3126" s="28" t="s">
        <v>137</v>
      </c>
      <c r="H3126" s="28">
        <v>0</v>
      </c>
      <c r="J3126" s="28"/>
    </row>
    <row r="3127" spans="1:10" ht="15.75" customHeight="1">
      <c r="A3127" s="28">
        <v>16733</v>
      </c>
      <c r="B3127" s="91">
        <v>44887.937615740739</v>
      </c>
      <c r="C3127" s="28" t="s">
        <v>10</v>
      </c>
      <c r="D3127" s="28" t="s">
        <v>1203</v>
      </c>
      <c r="E3127" s="28" t="s">
        <v>50</v>
      </c>
      <c r="F3127" s="28">
        <v>20</v>
      </c>
      <c r="G3127" s="28" t="s">
        <v>148</v>
      </c>
      <c r="H3127" s="28">
        <v>0</v>
      </c>
      <c r="J3127" s="28"/>
    </row>
    <row r="3128" spans="1:10" ht="15.75" customHeight="1">
      <c r="A3128" s="28">
        <v>16732</v>
      </c>
      <c r="B3128" s="91">
        <v>44887.914849537032</v>
      </c>
      <c r="C3128" s="28" t="s">
        <v>10</v>
      </c>
      <c r="D3128" s="28" t="s">
        <v>1204</v>
      </c>
      <c r="E3128" s="28" t="s">
        <v>50</v>
      </c>
      <c r="F3128" s="28">
        <v>18</v>
      </c>
      <c r="G3128" s="28" t="s">
        <v>119</v>
      </c>
      <c r="H3128" s="28">
        <v>0</v>
      </c>
      <c r="J3128" s="28"/>
    </row>
    <row r="3129" spans="1:10" ht="15.75" customHeight="1">
      <c r="A3129" s="28">
        <v>16730</v>
      </c>
      <c r="B3129" s="91">
        <v>44887.859918981485</v>
      </c>
      <c r="C3129" s="28" t="s">
        <v>10</v>
      </c>
      <c r="D3129" s="28" t="s">
        <v>1205</v>
      </c>
      <c r="E3129" s="28" t="s">
        <v>50</v>
      </c>
      <c r="F3129" s="28">
        <v>15</v>
      </c>
      <c r="G3129" s="28" t="s">
        <v>125</v>
      </c>
      <c r="H3129" s="28">
        <v>0</v>
      </c>
      <c r="J3129" s="28"/>
    </row>
    <row r="3130" spans="1:10" ht="15.75" customHeight="1">
      <c r="A3130" s="28">
        <v>16730</v>
      </c>
      <c r="B3130" s="91">
        <v>44887.859918981485</v>
      </c>
      <c r="C3130" s="28" t="s">
        <v>10</v>
      </c>
      <c r="D3130" s="28" t="s">
        <v>1205</v>
      </c>
      <c r="E3130" s="28" t="s">
        <v>50</v>
      </c>
      <c r="F3130" s="28">
        <v>0</v>
      </c>
      <c r="G3130" s="28" t="s">
        <v>139</v>
      </c>
      <c r="H3130" s="28">
        <v>0</v>
      </c>
      <c r="J3130" s="28"/>
    </row>
    <row r="3131" spans="1:10" ht="15.75" customHeight="1">
      <c r="A3131" s="28">
        <v>16729</v>
      </c>
      <c r="B3131" s="91">
        <v>44887.822280092594</v>
      </c>
      <c r="C3131" s="28" t="s">
        <v>10</v>
      </c>
      <c r="D3131" s="28" t="s">
        <v>1206</v>
      </c>
      <c r="E3131" s="28" t="s">
        <v>50</v>
      </c>
      <c r="F3131" s="28">
        <v>35</v>
      </c>
      <c r="G3131" s="28" t="s">
        <v>124</v>
      </c>
      <c r="H3131" s="28">
        <v>0</v>
      </c>
      <c r="J3131" s="28"/>
    </row>
    <row r="3132" spans="1:10" ht="15.75" customHeight="1">
      <c r="A3132" s="28">
        <v>16729</v>
      </c>
      <c r="B3132" s="91">
        <v>44887.822280092594</v>
      </c>
      <c r="C3132" s="28" t="s">
        <v>10</v>
      </c>
      <c r="D3132" s="28" t="s">
        <v>1206</v>
      </c>
      <c r="E3132" s="28" t="s">
        <v>50</v>
      </c>
      <c r="F3132" s="28">
        <v>0</v>
      </c>
      <c r="G3132" s="28" t="s">
        <v>125</v>
      </c>
      <c r="H3132" s="28">
        <v>0</v>
      </c>
      <c r="J3132" s="28"/>
    </row>
    <row r="3133" spans="1:10" ht="15.75" customHeight="1">
      <c r="A3133" s="28">
        <v>16729</v>
      </c>
      <c r="B3133" s="91">
        <v>44887.822280092594</v>
      </c>
      <c r="C3133" s="28" t="s">
        <v>10</v>
      </c>
      <c r="D3133" s="28" t="s">
        <v>1206</v>
      </c>
      <c r="E3133" s="28" t="s">
        <v>50</v>
      </c>
      <c r="F3133" s="28">
        <v>0</v>
      </c>
      <c r="G3133" s="28" t="s">
        <v>121</v>
      </c>
      <c r="H3133" s="28">
        <v>0</v>
      </c>
      <c r="J3133" s="28"/>
    </row>
    <row r="3134" spans="1:10" ht="15.75" customHeight="1">
      <c r="A3134" s="28">
        <v>16729</v>
      </c>
      <c r="B3134" s="91">
        <v>44887.822280092594</v>
      </c>
      <c r="C3134" s="28" t="s">
        <v>10</v>
      </c>
      <c r="D3134" s="28" t="s">
        <v>1206</v>
      </c>
      <c r="E3134" s="28" t="s">
        <v>50</v>
      </c>
      <c r="F3134" s="28">
        <v>0</v>
      </c>
      <c r="G3134" s="28" t="s">
        <v>119</v>
      </c>
      <c r="H3134" s="28">
        <v>0</v>
      </c>
      <c r="J3134" s="28"/>
    </row>
    <row r="3135" spans="1:10" ht="15.75" customHeight="1">
      <c r="A3135" s="28">
        <v>16729</v>
      </c>
      <c r="B3135" s="91">
        <v>44887.822280092594</v>
      </c>
      <c r="C3135" s="28" t="s">
        <v>10</v>
      </c>
      <c r="D3135" s="28" t="s">
        <v>1206</v>
      </c>
      <c r="E3135" s="28" t="s">
        <v>50</v>
      </c>
      <c r="F3135" s="28">
        <v>0</v>
      </c>
      <c r="G3135" s="28" t="s">
        <v>139</v>
      </c>
      <c r="H3135" s="28">
        <v>0</v>
      </c>
      <c r="J3135" s="28"/>
    </row>
    <row r="3136" spans="1:10" ht="15.75" customHeight="1">
      <c r="A3136" s="28">
        <v>16727</v>
      </c>
      <c r="B3136" s="91">
        <v>44887.730856481481</v>
      </c>
      <c r="C3136" s="28" t="s">
        <v>10</v>
      </c>
      <c r="D3136" s="28" t="s">
        <v>1207</v>
      </c>
      <c r="E3136" s="28" t="s">
        <v>50</v>
      </c>
      <c r="F3136" s="28">
        <v>55</v>
      </c>
      <c r="G3136" s="28">
        <v>101684</v>
      </c>
      <c r="H3136" s="28">
        <v>0</v>
      </c>
      <c r="J3136" s="28"/>
    </row>
    <row r="3137" spans="1:10" ht="15.75" customHeight="1">
      <c r="A3137" s="28">
        <v>16727</v>
      </c>
      <c r="B3137" s="91">
        <v>44887.730856481481</v>
      </c>
      <c r="C3137" s="28" t="s">
        <v>10</v>
      </c>
      <c r="D3137" s="28" t="s">
        <v>1207</v>
      </c>
      <c r="E3137" s="28" t="s">
        <v>50</v>
      </c>
      <c r="F3137" s="28">
        <v>0</v>
      </c>
      <c r="G3137" s="28" t="s">
        <v>118</v>
      </c>
      <c r="H3137" s="28">
        <v>0</v>
      </c>
      <c r="J3137" s="28"/>
    </row>
    <row r="3138" spans="1:10" ht="15.75" customHeight="1">
      <c r="A3138" s="28">
        <v>16727</v>
      </c>
      <c r="B3138" s="91">
        <v>44887.730856481481</v>
      </c>
      <c r="C3138" s="28" t="s">
        <v>10</v>
      </c>
      <c r="D3138" s="28" t="s">
        <v>1207</v>
      </c>
      <c r="E3138" s="28" t="s">
        <v>50</v>
      </c>
      <c r="F3138" s="28">
        <v>0</v>
      </c>
      <c r="G3138" s="28" t="s">
        <v>119</v>
      </c>
      <c r="H3138" s="28">
        <v>0</v>
      </c>
      <c r="J3138" s="28"/>
    </row>
    <row r="3139" spans="1:10" ht="15.75" customHeight="1">
      <c r="A3139" s="28">
        <v>16727</v>
      </c>
      <c r="B3139" s="91">
        <v>44887.730856481481</v>
      </c>
      <c r="C3139" s="28" t="s">
        <v>10</v>
      </c>
      <c r="D3139" s="28" t="s">
        <v>1207</v>
      </c>
      <c r="E3139" s="28" t="s">
        <v>50</v>
      </c>
      <c r="F3139" s="28">
        <v>0</v>
      </c>
      <c r="G3139" s="28" t="s">
        <v>120</v>
      </c>
      <c r="H3139" s="28">
        <v>0</v>
      </c>
      <c r="J3139" s="28"/>
    </row>
    <row r="3140" spans="1:10" ht="15.75" customHeight="1">
      <c r="A3140" s="28">
        <v>16727</v>
      </c>
      <c r="B3140" s="91">
        <v>44887.730856481481</v>
      </c>
      <c r="C3140" s="28" t="s">
        <v>10</v>
      </c>
      <c r="D3140" s="28" t="s">
        <v>1207</v>
      </c>
      <c r="E3140" s="28" t="s">
        <v>50</v>
      </c>
      <c r="F3140" s="28">
        <v>0</v>
      </c>
      <c r="G3140" s="28" t="s">
        <v>121</v>
      </c>
      <c r="H3140" s="28">
        <v>0</v>
      </c>
      <c r="J3140" s="28"/>
    </row>
    <row r="3141" spans="1:10" ht="15.75" customHeight="1">
      <c r="A3141" s="28">
        <v>16726</v>
      </c>
      <c r="B3141" s="91">
        <v>44887.729444444441</v>
      </c>
      <c r="C3141" s="28" t="s">
        <v>10</v>
      </c>
      <c r="D3141" s="28" t="s">
        <v>1200</v>
      </c>
      <c r="E3141" s="28" t="s">
        <v>50</v>
      </c>
      <c r="F3141" s="28">
        <v>28</v>
      </c>
      <c r="G3141" s="28" t="s">
        <v>143</v>
      </c>
      <c r="H3141" s="28">
        <v>0</v>
      </c>
      <c r="J3141" s="28"/>
    </row>
    <row r="3142" spans="1:10" ht="15.75" customHeight="1">
      <c r="A3142" s="28">
        <v>16725</v>
      </c>
      <c r="B3142" s="91">
        <v>44887.693449074075</v>
      </c>
      <c r="C3142" s="28" t="s">
        <v>10</v>
      </c>
      <c r="D3142" s="28" t="s">
        <v>1208</v>
      </c>
      <c r="E3142" s="28" t="s">
        <v>50</v>
      </c>
      <c r="F3142" s="28">
        <v>35</v>
      </c>
      <c r="G3142" s="28" t="s">
        <v>124</v>
      </c>
      <c r="H3142" s="28">
        <v>0</v>
      </c>
      <c r="J3142" s="28"/>
    </row>
    <row r="3143" spans="1:10" ht="15.75" customHeight="1">
      <c r="A3143" s="28">
        <v>16725</v>
      </c>
      <c r="B3143" s="91">
        <v>44887.693449074075</v>
      </c>
      <c r="C3143" s="28" t="s">
        <v>10</v>
      </c>
      <c r="D3143" s="28" t="s">
        <v>1208</v>
      </c>
      <c r="E3143" s="28" t="s">
        <v>50</v>
      </c>
      <c r="F3143" s="28">
        <v>0</v>
      </c>
      <c r="G3143" s="28" t="s">
        <v>125</v>
      </c>
      <c r="H3143" s="28">
        <v>0</v>
      </c>
      <c r="J3143" s="28"/>
    </row>
    <row r="3144" spans="1:10" ht="15.75" customHeight="1">
      <c r="A3144" s="28">
        <v>16725</v>
      </c>
      <c r="B3144" s="91">
        <v>44887.693449074075</v>
      </c>
      <c r="C3144" s="28" t="s">
        <v>10</v>
      </c>
      <c r="D3144" s="28" t="s">
        <v>1208</v>
      </c>
      <c r="E3144" s="28" t="s">
        <v>50</v>
      </c>
      <c r="F3144" s="28">
        <v>0</v>
      </c>
      <c r="G3144" s="28" t="s">
        <v>121</v>
      </c>
      <c r="H3144" s="28">
        <v>0</v>
      </c>
      <c r="J3144" s="28"/>
    </row>
    <row r="3145" spans="1:10" ht="15.75" customHeight="1">
      <c r="A3145" s="28">
        <v>16725</v>
      </c>
      <c r="B3145" s="91">
        <v>44887.693449074075</v>
      </c>
      <c r="C3145" s="28" t="s">
        <v>10</v>
      </c>
      <c r="D3145" s="28" t="s">
        <v>1208</v>
      </c>
      <c r="E3145" s="28" t="s">
        <v>50</v>
      </c>
      <c r="F3145" s="28">
        <v>0</v>
      </c>
      <c r="G3145" s="28" t="s">
        <v>119</v>
      </c>
      <c r="H3145" s="28">
        <v>0</v>
      </c>
      <c r="J3145" s="28"/>
    </row>
    <row r="3146" spans="1:10" ht="15.75" customHeight="1">
      <c r="A3146" s="28">
        <v>16724</v>
      </c>
      <c r="B3146" s="91">
        <v>44887.691759259258</v>
      </c>
      <c r="C3146" s="28" t="s">
        <v>10</v>
      </c>
      <c r="D3146" s="28" t="s">
        <v>1209</v>
      </c>
      <c r="E3146" s="28" t="s">
        <v>50</v>
      </c>
      <c r="F3146" s="28">
        <v>20</v>
      </c>
      <c r="G3146" s="28" t="s">
        <v>148</v>
      </c>
      <c r="H3146" s="28">
        <v>0</v>
      </c>
      <c r="J3146" s="28"/>
    </row>
    <row r="3147" spans="1:10" ht="15.75" customHeight="1">
      <c r="A3147" s="28">
        <v>16724</v>
      </c>
      <c r="B3147" s="91">
        <v>44887.691759259258</v>
      </c>
      <c r="C3147" s="28" t="s">
        <v>10</v>
      </c>
      <c r="D3147" s="28" t="s">
        <v>1209</v>
      </c>
      <c r="E3147" s="28" t="s">
        <v>50</v>
      </c>
      <c r="F3147" s="28">
        <v>22</v>
      </c>
      <c r="G3147" s="28" t="s">
        <v>137</v>
      </c>
      <c r="H3147" s="28">
        <v>0</v>
      </c>
      <c r="J3147" s="28"/>
    </row>
    <row r="3148" spans="1:10" ht="15.75" customHeight="1">
      <c r="A3148" s="28">
        <v>16723</v>
      </c>
      <c r="B3148" s="91">
        <v>44887.539178240739</v>
      </c>
      <c r="C3148" s="28" t="s">
        <v>10</v>
      </c>
      <c r="D3148" s="28" t="s">
        <v>1210</v>
      </c>
      <c r="E3148" s="28" t="s">
        <v>50</v>
      </c>
      <c r="F3148" s="28">
        <v>35</v>
      </c>
      <c r="G3148" s="28" t="s">
        <v>124</v>
      </c>
      <c r="H3148" s="28">
        <v>0</v>
      </c>
      <c r="J3148" s="28"/>
    </row>
    <row r="3149" spans="1:10" ht="15.75" customHeight="1">
      <c r="A3149" s="28">
        <v>16723</v>
      </c>
      <c r="B3149" s="91">
        <v>44887.539178240739</v>
      </c>
      <c r="C3149" s="28" t="s">
        <v>10</v>
      </c>
      <c r="D3149" s="28" t="s">
        <v>1210</v>
      </c>
      <c r="E3149" s="28" t="s">
        <v>50</v>
      </c>
      <c r="F3149" s="28">
        <v>0</v>
      </c>
      <c r="G3149" s="28" t="s">
        <v>125</v>
      </c>
      <c r="H3149" s="28">
        <v>0</v>
      </c>
      <c r="J3149" s="28"/>
    </row>
    <row r="3150" spans="1:10" ht="15.75" customHeight="1">
      <c r="A3150" s="28">
        <v>16723</v>
      </c>
      <c r="B3150" s="91">
        <v>44887.539178240739</v>
      </c>
      <c r="C3150" s="28" t="s">
        <v>10</v>
      </c>
      <c r="D3150" s="28" t="s">
        <v>1210</v>
      </c>
      <c r="E3150" s="28" t="s">
        <v>50</v>
      </c>
      <c r="F3150" s="28">
        <v>0</v>
      </c>
      <c r="G3150" s="28" t="s">
        <v>121</v>
      </c>
      <c r="H3150" s="28">
        <v>0</v>
      </c>
      <c r="J3150" s="28"/>
    </row>
    <row r="3151" spans="1:10" ht="15.75" customHeight="1">
      <c r="A3151" s="28">
        <v>16723</v>
      </c>
      <c r="B3151" s="91">
        <v>44887.539178240739</v>
      </c>
      <c r="C3151" s="28" t="s">
        <v>10</v>
      </c>
      <c r="D3151" s="28" t="s">
        <v>1210</v>
      </c>
      <c r="E3151" s="28" t="s">
        <v>50</v>
      </c>
      <c r="F3151" s="28">
        <v>0</v>
      </c>
      <c r="G3151" s="28" t="s">
        <v>119</v>
      </c>
      <c r="H3151" s="28">
        <v>0</v>
      </c>
      <c r="J3151" s="28"/>
    </row>
    <row r="3152" spans="1:10" ht="15.75" customHeight="1">
      <c r="A3152" s="28">
        <v>16719</v>
      </c>
      <c r="B3152" s="91">
        <v>44887.138159722221</v>
      </c>
      <c r="C3152" s="28" t="s">
        <v>10</v>
      </c>
      <c r="D3152" s="28" t="s">
        <v>1211</v>
      </c>
      <c r="E3152" s="28" t="s">
        <v>50</v>
      </c>
      <c r="F3152" s="28">
        <v>20</v>
      </c>
      <c r="G3152" s="28" t="s">
        <v>148</v>
      </c>
      <c r="H3152" s="28">
        <v>0</v>
      </c>
      <c r="J3152" s="28"/>
    </row>
    <row r="3153" spans="1:10" ht="15.75" customHeight="1">
      <c r="A3153" s="28">
        <v>16718</v>
      </c>
      <c r="B3153" s="91">
        <v>44887.09674768518</v>
      </c>
      <c r="C3153" s="28" t="s">
        <v>10</v>
      </c>
      <c r="D3153" s="28" t="s">
        <v>1212</v>
      </c>
      <c r="E3153" s="28" t="s">
        <v>50</v>
      </c>
      <c r="F3153" s="28">
        <v>35</v>
      </c>
      <c r="G3153" s="28" t="s">
        <v>124</v>
      </c>
      <c r="H3153" s="28">
        <v>0</v>
      </c>
      <c r="J3153" s="28"/>
    </row>
    <row r="3154" spans="1:10" ht="15.75" customHeight="1">
      <c r="A3154" s="28">
        <v>16718</v>
      </c>
      <c r="B3154" s="91">
        <v>44887.09674768518</v>
      </c>
      <c r="C3154" s="28" t="s">
        <v>10</v>
      </c>
      <c r="D3154" s="28" t="s">
        <v>1212</v>
      </c>
      <c r="E3154" s="28" t="s">
        <v>50</v>
      </c>
      <c r="F3154" s="28">
        <v>0</v>
      </c>
      <c r="G3154" s="28" t="s">
        <v>125</v>
      </c>
      <c r="H3154" s="28">
        <v>0</v>
      </c>
      <c r="J3154" s="28"/>
    </row>
    <row r="3155" spans="1:10" ht="15.75" customHeight="1">
      <c r="A3155" s="28">
        <v>16718</v>
      </c>
      <c r="B3155" s="91">
        <v>44887.09674768518</v>
      </c>
      <c r="C3155" s="28" t="s">
        <v>10</v>
      </c>
      <c r="D3155" s="28" t="s">
        <v>1212</v>
      </c>
      <c r="E3155" s="28" t="s">
        <v>50</v>
      </c>
      <c r="F3155" s="28">
        <v>0</v>
      </c>
      <c r="G3155" s="28" t="s">
        <v>121</v>
      </c>
      <c r="H3155" s="28">
        <v>0</v>
      </c>
      <c r="J3155" s="28"/>
    </row>
    <row r="3156" spans="1:10" ht="15.75" customHeight="1">
      <c r="A3156" s="28">
        <v>16718</v>
      </c>
      <c r="B3156" s="91">
        <v>44887.09674768518</v>
      </c>
      <c r="C3156" s="28" t="s">
        <v>10</v>
      </c>
      <c r="D3156" s="28" t="s">
        <v>1212</v>
      </c>
      <c r="E3156" s="28" t="s">
        <v>50</v>
      </c>
      <c r="F3156" s="28">
        <v>0</v>
      </c>
      <c r="G3156" s="28" t="s">
        <v>119</v>
      </c>
      <c r="H3156" s="28">
        <v>0</v>
      </c>
      <c r="J3156" s="28"/>
    </row>
    <row r="3157" spans="1:10" ht="15.75" customHeight="1">
      <c r="A3157" s="28">
        <v>16717</v>
      </c>
      <c r="B3157" s="91">
        <v>44887.050057870365</v>
      </c>
      <c r="C3157" s="28" t="s">
        <v>10</v>
      </c>
      <c r="D3157" s="28" t="s">
        <v>1213</v>
      </c>
      <c r="E3157" s="28" t="s">
        <v>50</v>
      </c>
      <c r="F3157" s="28">
        <v>10</v>
      </c>
      <c r="G3157" s="28" t="s">
        <v>286</v>
      </c>
      <c r="H3157" s="28">
        <v>0</v>
      </c>
      <c r="J3157" s="28"/>
    </row>
    <row r="3158" spans="1:10" ht="15.75" customHeight="1">
      <c r="A3158" s="28">
        <v>16717</v>
      </c>
      <c r="B3158" s="91">
        <v>44887.050057870365</v>
      </c>
      <c r="C3158" s="28" t="s">
        <v>10</v>
      </c>
      <c r="D3158" s="28" t="s">
        <v>1213</v>
      </c>
      <c r="E3158" s="28" t="s">
        <v>50</v>
      </c>
      <c r="F3158" s="28">
        <v>0</v>
      </c>
      <c r="G3158" s="28" t="s">
        <v>139</v>
      </c>
      <c r="H3158" s="28">
        <v>0</v>
      </c>
      <c r="J3158" s="28"/>
    </row>
    <row r="3159" spans="1:10" ht="15.75" customHeight="1">
      <c r="A3159" s="28">
        <v>16716</v>
      </c>
      <c r="B3159" s="91">
        <v>44887.041203703702</v>
      </c>
      <c r="C3159" s="28" t="s">
        <v>10</v>
      </c>
      <c r="D3159" s="28" t="s">
        <v>1214</v>
      </c>
      <c r="E3159" s="28" t="s">
        <v>50</v>
      </c>
      <c r="F3159" s="28">
        <v>20</v>
      </c>
      <c r="G3159" s="28" t="s">
        <v>148</v>
      </c>
      <c r="H3159" s="28">
        <v>0</v>
      </c>
      <c r="J3159" s="28"/>
    </row>
    <row r="3160" spans="1:10" ht="15.75" customHeight="1">
      <c r="A3160" s="28">
        <v>16715</v>
      </c>
      <c r="B3160" s="91">
        <v>44887.027013888888</v>
      </c>
      <c r="C3160" s="28" t="s">
        <v>10</v>
      </c>
      <c r="D3160" s="28" t="s">
        <v>1215</v>
      </c>
      <c r="E3160" s="28" t="s">
        <v>50</v>
      </c>
      <c r="F3160" s="28">
        <v>25</v>
      </c>
      <c r="G3160" s="28" t="s">
        <v>141</v>
      </c>
      <c r="H3160" s="28">
        <v>0</v>
      </c>
      <c r="J3160" s="28"/>
    </row>
    <row r="3161" spans="1:10" ht="15.75" customHeight="1">
      <c r="A3161" s="28">
        <v>16715</v>
      </c>
      <c r="B3161" s="91">
        <v>44887.027013888888</v>
      </c>
      <c r="C3161" s="28" t="s">
        <v>10</v>
      </c>
      <c r="D3161" s="28" t="s">
        <v>1215</v>
      </c>
      <c r="E3161" s="28" t="s">
        <v>50</v>
      </c>
      <c r="F3161" s="28">
        <v>0</v>
      </c>
      <c r="G3161" s="28" t="s">
        <v>139</v>
      </c>
      <c r="H3161" s="28">
        <v>0</v>
      </c>
      <c r="J3161" s="28"/>
    </row>
    <row r="3162" spans="1:10" ht="15.75" customHeight="1">
      <c r="A3162" s="28">
        <v>16715</v>
      </c>
      <c r="B3162" s="91">
        <v>44887.027013888888</v>
      </c>
      <c r="C3162" s="28" t="s">
        <v>10</v>
      </c>
      <c r="D3162" s="28" t="s">
        <v>1215</v>
      </c>
      <c r="E3162" s="28" t="s">
        <v>50</v>
      </c>
      <c r="F3162" s="28">
        <v>24</v>
      </c>
      <c r="G3162" s="28" t="s">
        <v>122</v>
      </c>
      <c r="H3162" s="28">
        <v>0</v>
      </c>
      <c r="J3162" s="28"/>
    </row>
    <row r="3163" spans="1:10" ht="15.75" customHeight="1">
      <c r="A3163" s="28">
        <v>16714</v>
      </c>
      <c r="B3163" s="91">
        <v>44887.013414351852</v>
      </c>
      <c r="C3163" s="28" t="s">
        <v>10</v>
      </c>
      <c r="D3163" s="28" t="s">
        <v>1216</v>
      </c>
      <c r="E3163" s="28" t="s">
        <v>50</v>
      </c>
      <c r="F3163" s="28">
        <v>0</v>
      </c>
      <c r="G3163" s="28" t="s">
        <v>139</v>
      </c>
      <c r="H3163" s="28">
        <v>0</v>
      </c>
      <c r="J3163" s="28"/>
    </row>
    <row r="3164" spans="1:10" ht="15.75" customHeight="1">
      <c r="A3164" s="28">
        <v>16714</v>
      </c>
      <c r="B3164" s="91">
        <v>44887.013414351852</v>
      </c>
      <c r="C3164" s="28" t="s">
        <v>10</v>
      </c>
      <c r="D3164" s="28" t="s">
        <v>1216</v>
      </c>
      <c r="E3164" s="28" t="s">
        <v>50</v>
      </c>
      <c r="F3164" s="28">
        <v>15</v>
      </c>
      <c r="G3164" s="28" t="s">
        <v>125</v>
      </c>
      <c r="H3164" s="28">
        <v>0</v>
      </c>
      <c r="J3164" s="28"/>
    </row>
    <row r="3165" spans="1:10" ht="15.75" customHeight="1">
      <c r="A3165" s="28">
        <v>16713</v>
      </c>
      <c r="B3165" s="91">
        <v>44886.999745370369</v>
      </c>
      <c r="C3165" s="28" t="s">
        <v>10</v>
      </c>
      <c r="D3165" s="28" t="s">
        <v>1217</v>
      </c>
      <c r="E3165" s="28" t="s">
        <v>50</v>
      </c>
      <c r="F3165" s="28">
        <v>25</v>
      </c>
      <c r="G3165" s="28">
        <v>100692</v>
      </c>
      <c r="H3165" s="28">
        <v>0</v>
      </c>
      <c r="J3165" s="28"/>
    </row>
    <row r="3166" spans="1:10" ht="15.75" customHeight="1">
      <c r="A3166" s="28">
        <v>16713</v>
      </c>
      <c r="B3166" s="91">
        <v>44886.999745370369</v>
      </c>
      <c r="C3166" s="28" t="s">
        <v>10</v>
      </c>
      <c r="D3166" s="28" t="s">
        <v>1217</v>
      </c>
      <c r="E3166" s="28" t="s">
        <v>50</v>
      </c>
      <c r="F3166" s="28">
        <v>0</v>
      </c>
      <c r="G3166" s="28" t="s">
        <v>125</v>
      </c>
      <c r="H3166" s="28">
        <v>0</v>
      </c>
      <c r="J3166" s="28"/>
    </row>
    <row r="3167" spans="1:10" ht="15.75" customHeight="1">
      <c r="A3167" s="28">
        <v>16713</v>
      </c>
      <c r="B3167" s="91">
        <v>44886.999745370369</v>
      </c>
      <c r="C3167" s="28" t="s">
        <v>10</v>
      </c>
      <c r="D3167" s="28" t="s">
        <v>1217</v>
      </c>
      <c r="E3167" s="28" t="s">
        <v>50</v>
      </c>
      <c r="F3167" s="28">
        <v>0</v>
      </c>
      <c r="G3167" s="28" t="s">
        <v>119</v>
      </c>
      <c r="H3167" s="28">
        <v>0</v>
      </c>
      <c r="J3167" s="28"/>
    </row>
    <row r="3168" spans="1:10" ht="15.75" customHeight="1">
      <c r="A3168" s="28">
        <v>16712</v>
      </c>
      <c r="B3168" s="91">
        <v>44886.999548611115</v>
      </c>
      <c r="C3168" s="28" t="s">
        <v>10</v>
      </c>
      <c r="D3168" s="28" t="s">
        <v>1218</v>
      </c>
      <c r="E3168" s="28" t="s">
        <v>50</v>
      </c>
      <c r="F3168" s="28">
        <v>24</v>
      </c>
      <c r="G3168" s="28" t="s">
        <v>122</v>
      </c>
      <c r="H3168" s="28">
        <v>0</v>
      </c>
      <c r="J3168" s="28"/>
    </row>
    <row r="3169" spans="1:10" ht="15.75" customHeight="1">
      <c r="A3169" s="28">
        <v>16712</v>
      </c>
      <c r="B3169" s="91">
        <v>44886.999548611115</v>
      </c>
      <c r="C3169" s="28" t="s">
        <v>10</v>
      </c>
      <c r="D3169" s="28" t="s">
        <v>1218</v>
      </c>
      <c r="E3169" s="28" t="s">
        <v>50</v>
      </c>
      <c r="F3169" s="28">
        <v>35</v>
      </c>
      <c r="G3169" s="28" t="s">
        <v>124</v>
      </c>
      <c r="H3169" s="28">
        <v>0</v>
      </c>
      <c r="J3169" s="28"/>
    </row>
    <row r="3170" spans="1:10" ht="15.75" customHeight="1">
      <c r="A3170" s="28">
        <v>16712</v>
      </c>
      <c r="B3170" s="91">
        <v>44886.999548611115</v>
      </c>
      <c r="C3170" s="28" t="s">
        <v>10</v>
      </c>
      <c r="D3170" s="28" t="s">
        <v>1218</v>
      </c>
      <c r="E3170" s="28" t="s">
        <v>50</v>
      </c>
      <c r="F3170" s="28">
        <v>0</v>
      </c>
      <c r="G3170" s="28" t="s">
        <v>125</v>
      </c>
      <c r="H3170" s="28">
        <v>0</v>
      </c>
      <c r="J3170" s="28"/>
    </row>
    <row r="3171" spans="1:10" ht="15.75" customHeight="1">
      <c r="A3171" s="28">
        <v>16712</v>
      </c>
      <c r="B3171" s="91">
        <v>44886.999548611115</v>
      </c>
      <c r="C3171" s="28" t="s">
        <v>10</v>
      </c>
      <c r="D3171" s="28" t="s">
        <v>1218</v>
      </c>
      <c r="E3171" s="28" t="s">
        <v>50</v>
      </c>
      <c r="F3171" s="28">
        <v>0</v>
      </c>
      <c r="G3171" s="28" t="s">
        <v>121</v>
      </c>
      <c r="H3171" s="28">
        <v>0</v>
      </c>
      <c r="J3171" s="28"/>
    </row>
    <row r="3172" spans="1:10" ht="15.75" customHeight="1">
      <c r="A3172" s="28">
        <v>16712</v>
      </c>
      <c r="B3172" s="91">
        <v>44886.999548611115</v>
      </c>
      <c r="C3172" s="28" t="s">
        <v>10</v>
      </c>
      <c r="D3172" s="28" t="s">
        <v>1218</v>
      </c>
      <c r="E3172" s="28" t="s">
        <v>50</v>
      </c>
      <c r="F3172" s="28">
        <v>0</v>
      </c>
      <c r="G3172" s="28" t="s">
        <v>119</v>
      </c>
      <c r="H3172" s="28">
        <v>0</v>
      </c>
      <c r="J3172" s="28"/>
    </row>
    <row r="3173" spans="1:10" ht="15.75" customHeight="1">
      <c r="A3173" s="28">
        <v>16711</v>
      </c>
      <c r="B3173" s="91">
        <v>44886.99391203704</v>
      </c>
      <c r="C3173" s="28" t="s">
        <v>10</v>
      </c>
      <c r="D3173" s="28" t="s">
        <v>1219</v>
      </c>
      <c r="E3173" s="28" t="s">
        <v>50</v>
      </c>
      <c r="F3173" s="28">
        <v>20</v>
      </c>
      <c r="G3173" s="28" t="s">
        <v>148</v>
      </c>
      <c r="H3173" s="28">
        <v>0</v>
      </c>
      <c r="J3173" s="28"/>
    </row>
    <row r="3174" spans="1:10" ht="15.75" customHeight="1">
      <c r="A3174" s="28">
        <v>16710</v>
      </c>
      <c r="B3174" s="91">
        <v>44886.990983796291</v>
      </c>
      <c r="C3174" s="28" t="s">
        <v>10</v>
      </c>
      <c r="D3174" s="28" t="s">
        <v>1220</v>
      </c>
      <c r="E3174" s="28" t="s">
        <v>50</v>
      </c>
      <c r="F3174" s="28">
        <v>35</v>
      </c>
      <c r="G3174" s="28" t="s">
        <v>124</v>
      </c>
      <c r="H3174" s="28">
        <v>0</v>
      </c>
      <c r="J3174" s="28"/>
    </row>
    <row r="3175" spans="1:10" ht="15.75" customHeight="1">
      <c r="A3175" s="28">
        <v>16710</v>
      </c>
      <c r="B3175" s="91">
        <v>44886.990983796291</v>
      </c>
      <c r="C3175" s="28" t="s">
        <v>10</v>
      </c>
      <c r="D3175" s="28" t="s">
        <v>1220</v>
      </c>
      <c r="E3175" s="28" t="s">
        <v>50</v>
      </c>
      <c r="F3175" s="28">
        <v>0</v>
      </c>
      <c r="G3175" s="28" t="s">
        <v>125</v>
      </c>
      <c r="H3175" s="28">
        <v>0</v>
      </c>
      <c r="J3175" s="28"/>
    </row>
    <row r="3176" spans="1:10" ht="15.75" customHeight="1">
      <c r="A3176" s="28">
        <v>16710</v>
      </c>
      <c r="B3176" s="91">
        <v>44886.990983796291</v>
      </c>
      <c r="C3176" s="28" t="s">
        <v>10</v>
      </c>
      <c r="D3176" s="28" t="s">
        <v>1220</v>
      </c>
      <c r="E3176" s="28" t="s">
        <v>50</v>
      </c>
      <c r="F3176" s="28">
        <v>0</v>
      </c>
      <c r="G3176" s="28" t="s">
        <v>121</v>
      </c>
      <c r="H3176" s="28">
        <v>0</v>
      </c>
      <c r="J3176" s="28"/>
    </row>
    <row r="3177" spans="1:10" ht="15.75" customHeight="1">
      <c r="A3177" s="28">
        <v>16710</v>
      </c>
      <c r="B3177" s="91">
        <v>44886.990983796291</v>
      </c>
      <c r="C3177" s="28" t="s">
        <v>10</v>
      </c>
      <c r="D3177" s="28" t="s">
        <v>1220</v>
      </c>
      <c r="E3177" s="28" t="s">
        <v>50</v>
      </c>
      <c r="F3177" s="28">
        <v>0</v>
      </c>
      <c r="G3177" s="28" t="s">
        <v>119</v>
      </c>
      <c r="H3177" s="28">
        <v>0</v>
      </c>
      <c r="J3177" s="28"/>
    </row>
    <row r="3178" spans="1:10" ht="15.75" customHeight="1">
      <c r="A3178" s="28">
        <v>16710</v>
      </c>
      <c r="B3178" s="91">
        <v>44886.990983796291</v>
      </c>
      <c r="C3178" s="28" t="s">
        <v>10</v>
      </c>
      <c r="D3178" s="28" t="s">
        <v>1220</v>
      </c>
      <c r="E3178" s="28" t="s">
        <v>50</v>
      </c>
      <c r="F3178" s="28">
        <v>56</v>
      </c>
      <c r="G3178" s="28" t="s">
        <v>143</v>
      </c>
      <c r="H3178" s="28">
        <v>0</v>
      </c>
      <c r="J3178" s="28"/>
    </row>
    <row r="3179" spans="1:10" ht="15.75" customHeight="1">
      <c r="A3179" s="28">
        <v>16709</v>
      </c>
      <c r="B3179" s="91">
        <v>44886.988726851851</v>
      </c>
      <c r="C3179" s="28" t="s">
        <v>10</v>
      </c>
      <c r="D3179" s="28" t="s">
        <v>1221</v>
      </c>
      <c r="E3179" s="28" t="s">
        <v>50</v>
      </c>
      <c r="F3179" s="28">
        <v>35</v>
      </c>
      <c r="G3179" s="28" t="s">
        <v>124</v>
      </c>
      <c r="H3179" s="28">
        <v>0</v>
      </c>
      <c r="J3179" s="28"/>
    </row>
    <row r="3180" spans="1:10" ht="15.75" customHeight="1">
      <c r="A3180" s="28">
        <v>16709</v>
      </c>
      <c r="B3180" s="91">
        <v>44886.988726851851</v>
      </c>
      <c r="C3180" s="28" t="s">
        <v>10</v>
      </c>
      <c r="D3180" s="28" t="s">
        <v>1221</v>
      </c>
      <c r="E3180" s="28" t="s">
        <v>50</v>
      </c>
      <c r="F3180" s="28">
        <v>0</v>
      </c>
      <c r="G3180" s="28" t="s">
        <v>125</v>
      </c>
      <c r="H3180" s="28">
        <v>0</v>
      </c>
      <c r="J3180" s="28"/>
    </row>
    <row r="3181" spans="1:10" ht="15.75" customHeight="1">
      <c r="A3181" s="28">
        <v>16709</v>
      </c>
      <c r="B3181" s="91">
        <v>44886.988726851851</v>
      </c>
      <c r="C3181" s="28" t="s">
        <v>10</v>
      </c>
      <c r="D3181" s="28" t="s">
        <v>1221</v>
      </c>
      <c r="E3181" s="28" t="s">
        <v>50</v>
      </c>
      <c r="F3181" s="28">
        <v>0</v>
      </c>
      <c r="G3181" s="28" t="s">
        <v>121</v>
      </c>
      <c r="H3181" s="28">
        <v>0</v>
      </c>
      <c r="J3181" s="28"/>
    </row>
    <row r="3182" spans="1:10" ht="15.75" customHeight="1">
      <c r="A3182" s="28">
        <v>16709</v>
      </c>
      <c r="B3182" s="91">
        <v>44886.988726851851</v>
      </c>
      <c r="C3182" s="28" t="s">
        <v>10</v>
      </c>
      <c r="D3182" s="28" t="s">
        <v>1221</v>
      </c>
      <c r="E3182" s="28" t="s">
        <v>50</v>
      </c>
      <c r="F3182" s="28">
        <v>0</v>
      </c>
      <c r="G3182" s="28" t="s">
        <v>119</v>
      </c>
      <c r="H3182" s="28">
        <v>0</v>
      </c>
      <c r="J3182" s="28"/>
    </row>
    <row r="3183" spans="1:10" ht="15.75" customHeight="1">
      <c r="A3183" s="28">
        <v>16708</v>
      </c>
      <c r="B3183" s="91">
        <v>44886.984143518523</v>
      </c>
      <c r="C3183" s="28" t="s">
        <v>10</v>
      </c>
      <c r="D3183" s="28" t="s">
        <v>1215</v>
      </c>
      <c r="E3183" s="28" t="s">
        <v>50</v>
      </c>
      <c r="F3183" s="28">
        <v>10</v>
      </c>
      <c r="G3183" s="28" t="s">
        <v>286</v>
      </c>
      <c r="H3183" s="28">
        <v>0</v>
      </c>
      <c r="J3183" s="28"/>
    </row>
    <row r="3184" spans="1:10" ht="15.75" customHeight="1">
      <c r="A3184" s="28">
        <v>16707</v>
      </c>
      <c r="B3184" s="91">
        <v>44886.981249999997</v>
      </c>
      <c r="C3184" s="28" t="s">
        <v>10</v>
      </c>
      <c r="D3184" s="28" t="s">
        <v>1222</v>
      </c>
      <c r="E3184" s="28" t="s">
        <v>50</v>
      </c>
      <c r="F3184" s="28">
        <v>25</v>
      </c>
      <c r="G3184" s="28" t="s">
        <v>120</v>
      </c>
      <c r="H3184" s="28">
        <v>0</v>
      </c>
      <c r="J3184" s="28"/>
    </row>
    <row r="3185" spans="1:10" ht="15.75" customHeight="1">
      <c r="A3185" s="28">
        <v>16707</v>
      </c>
      <c r="B3185" s="91">
        <v>44886.981249999997</v>
      </c>
      <c r="C3185" s="28" t="s">
        <v>10</v>
      </c>
      <c r="D3185" s="28" t="s">
        <v>1222</v>
      </c>
      <c r="E3185" s="28" t="s">
        <v>50</v>
      </c>
      <c r="F3185" s="28">
        <v>15</v>
      </c>
      <c r="G3185" s="28" t="s">
        <v>170</v>
      </c>
      <c r="H3185" s="28">
        <v>0</v>
      </c>
      <c r="J3185" s="28"/>
    </row>
    <row r="3186" spans="1:10" ht="15.75" customHeight="1">
      <c r="A3186" s="28">
        <v>16706</v>
      </c>
      <c r="B3186" s="91">
        <v>44886.976493055554</v>
      </c>
      <c r="C3186" s="28" t="s">
        <v>10</v>
      </c>
      <c r="D3186" s="28" t="s">
        <v>1223</v>
      </c>
      <c r="E3186" s="28" t="s">
        <v>50</v>
      </c>
      <c r="F3186" s="28">
        <v>25</v>
      </c>
      <c r="G3186" s="28">
        <v>100692</v>
      </c>
      <c r="H3186" s="28">
        <v>0</v>
      </c>
      <c r="J3186" s="28"/>
    </row>
    <row r="3187" spans="1:10" ht="15.75" customHeight="1">
      <c r="A3187" s="28">
        <v>16706</v>
      </c>
      <c r="B3187" s="91">
        <v>44886.976493055554</v>
      </c>
      <c r="C3187" s="28" t="s">
        <v>10</v>
      </c>
      <c r="D3187" s="28" t="s">
        <v>1223</v>
      </c>
      <c r="E3187" s="28" t="s">
        <v>50</v>
      </c>
      <c r="F3187" s="28">
        <v>0</v>
      </c>
      <c r="G3187" s="28" t="s">
        <v>125</v>
      </c>
      <c r="H3187" s="28">
        <v>0</v>
      </c>
      <c r="J3187" s="28"/>
    </row>
    <row r="3188" spans="1:10" ht="15.75" customHeight="1">
      <c r="A3188" s="28">
        <v>16706</v>
      </c>
      <c r="B3188" s="91">
        <v>44886.976493055554</v>
      </c>
      <c r="C3188" s="28" t="s">
        <v>10</v>
      </c>
      <c r="D3188" s="28" t="s">
        <v>1223</v>
      </c>
      <c r="E3188" s="28" t="s">
        <v>50</v>
      </c>
      <c r="F3188" s="28">
        <v>0</v>
      </c>
      <c r="G3188" s="28" t="s">
        <v>119</v>
      </c>
      <c r="H3188" s="28">
        <v>0</v>
      </c>
      <c r="J3188" s="28"/>
    </row>
    <row r="3189" spans="1:10" ht="15.75" customHeight="1">
      <c r="A3189" s="28">
        <v>16705</v>
      </c>
      <c r="B3189" s="91">
        <v>44886.971377314811</v>
      </c>
      <c r="C3189" s="28" t="s">
        <v>10</v>
      </c>
      <c r="D3189" s="28" t="s">
        <v>1224</v>
      </c>
      <c r="E3189" s="28" t="s">
        <v>50</v>
      </c>
      <c r="F3189" s="28">
        <v>25</v>
      </c>
      <c r="G3189" s="28">
        <v>100692</v>
      </c>
      <c r="H3189" s="28">
        <v>0</v>
      </c>
      <c r="J3189" s="28"/>
    </row>
    <row r="3190" spans="1:10" ht="15.75" customHeight="1">
      <c r="A3190" s="28">
        <v>16705</v>
      </c>
      <c r="B3190" s="91">
        <v>44886.971377314811</v>
      </c>
      <c r="C3190" s="28" t="s">
        <v>10</v>
      </c>
      <c r="D3190" s="28" t="s">
        <v>1224</v>
      </c>
      <c r="E3190" s="28" t="s">
        <v>50</v>
      </c>
      <c r="F3190" s="28">
        <v>0</v>
      </c>
      <c r="G3190" s="28" t="s">
        <v>125</v>
      </c>
      <c r="H3190" s="28">
        <v>0</v>
      </c>
      <c r="J3190" s="28"/>
    </row>
    <row r="3191" spans="1:10" ht="15.75" customHeight="1">
      <c r="A3191" s="28">
        <v>16705</v>
      </c>
      <c r="B3191" s="91">
        <v>44886.971377314811</v>
      </c>
      <c r="C3191" s="28" t="s">
        <v>10</v>
      </c>
      <c r="D3191" s="28" t="s">
        <v>1224</v>
      </c>
      <c r="E3191" s="28" t="s">
        <v>50</v>
      </c>
      <c r="F3191" s="28">
        <v>0</v>
      </c>
      <c r="G3191" s="28" t="s">
        <v>119</v>
      </c>
      <c r="H3191" s="28">
        <v>0</v>
      </c>
      <c r="J3191" s="28"/>
    </row>
    <row r="3192" spans="1:10" ht="15.75" customHeight="1">
      <c r="A3192" s="28">
        <v>16705</v>
      </c>
      <c r="B3192" s="91">
        <v>44886.971377314811</v>
      </c>
      <c r="C3192" s="28" t="s">
        <v>10</v>
      </c>
      <c r="D3192" s="28" t="s">
        <v>1224</v>
      </c>
      <c r="E3192" s="28" t="s">
        <v>50</v>
      </c>
      <c r="F3192" s="28">
        <v>16</v>
      </c>
      <c r="G3192" s="28" t="s">
        <v>900</v>
      </c>
      <c r="H3192" s="28">
        <v>0</v>
      </c>
      <c r="J3192" s="28"/>
    </row>
    <row r="3193" spans="1:10" ht="15.75" customHeight="1">
      <c r="A3193" s="28">
        <v>16704</v>
      </c>
      <c r="B3193" s="91">
        <v>44886.958993055552</v>
      </c>
      <c r="C3193" s="28" t="s">
        <v>10</v>
      </c>
      <c r="D3193" s="28" t="s">
        <v>1225</v>
      </c>
      <c r="E3193" s="28" t="s">
        <v>50</v>
      </c>
      <c r="F3193" s="28">
        <v>15</v>
      </c>
      <c r="G3193" s="28" t="s">
        <v>170</v>
      </c>
      <c r="H3193" s="28">
        <v>0</v>
      </c>
      <c r="J3193" s="28"/>
    </row>
    <row r="3194" spans="1:10" ht="15.75" customHeight="1">
      <c r="A3194" s="28">
        <v>16703</v>
      </c>
      <c r="B3194" s="91">
        <v>44886.956921296296</v>
      </c>
      <c r="C3194" s="28" t="s">
        <v>10</v>
      </c>
      <c r="D3194" s="28" t="s">
        <v>1226</v>
      </c>
      <c r="E3194" s="28" t="s">
        <v>50</v>
      </c>
      <c r="F3194" s="28">
        <v>24</v>
      </c>
      <c r="G3194" s="28" t="s">
        <v>122</v>
      </c>
      <c r="H3194" s="28">
        <v>0</v>
      </c>
      <c r="J3194" s="28"/>
    </row>
    <row r="3195" spans="1:10" ht="15.75" customHeight="1">
      <c r="A3195" s="28">
        <v>16703</v>
      </c>
      <c r="B3195" s="91">
        <v>44886.956921296296</v>
      </c>
      <c r="C3195" s="28" t="s">
        <v>10</v>
      </c>
      <c r="D3195" s="28" t="s">
        <v>1226</v>
      </c>
      <c r="E3195" s="28" t="s">
        <v>50</v>
      </c>
      <c r="F3195" s="28">
        <v>28</v>
      </c>
      <c r="G3195" s="28" t="s">
        <v>143</v>
      </c>
      <c r="H3195" s="28">
        <v>0</v>
      </c>
      <c r="J3195" s="28"/>
    </row>
    <row r="3196" spans="1:10" ht="15.75" customHeight="1">
      <c r="A3196" s="28">
        <v>16703</v>
      </c>
      <c r="B3196" s="91">
        <v>44886.956921296296</v>
      </c>
      <c r="C3196" s="28" t="s">
        <v>10</v>
      </c>
      <c r="D3196" s="28" t="s">
        <v>1226</v>
      </c>
      <c r="E3196" s="28" t="s">
        <v>50</v>
      </c>
      <c r="F3196" s="28">
        <v>0</v>
      </c>
      <c r="G3196" s="28" t="s">
        <v>139</v>
      </c>
      <c r="H3196" s="28">
        <v>0</v>
      </c>
      <c r="J3196" s="28"/>
    </row>
    <row r="3197" spans="1:10" ht="15.75" customHeight="1">
      <c r="A3197" s="28">
        <v>16702</v>
      </c>
      <c r="B3197" s="91">
        <v>44886.949166666665</v>
      </c>
      <c r="C3197" s="28" t="s">
        <v>10</v>
      </c>
      <c r="D3197" s="28" t="s">
        <v>1227</v>
      </c>
      <c r="E3197" s="28" t="s">
        <v>50</v>
      </c>
      <c r="F3197" s="28">
        <v>0</v>
      </c>
      <c r="G3197" s="28" t="s">
        <v>139</v>
      </c>
      <c r="H3197" s="28">
        <v>0</v>
      </c>
      <c r="J3197" s="28"/>
    </row>
    <row r="3198" spans="1:10" ht="15.75" customHeight="1">
      <c r="A3198" s="28">
        <v>16702</v>
      </c>
      <c r="B3198" s="91">
        <v>44886.949166666665</v>
      </c>
      <c r="C3198" s="28" t="s">
        <v>10</v>
      </c>
      <c r="D3198" s="28" t="s">
        <v>1227</v>
      </c>
      <c r="E3198" s="28" t="s">
        <v>50</v>
      </c>
      <c r="F3198" s="28">
        <v>18</v>
      </c>
      <c r="G3198" s="28" t="s">
        <v>119</v>
      </c>
      <c r="H3198" s="28">
        <v>0</v>
      </c>
      <c r="J3198" s="28"/>
    </row>
    <row r="3199" spans="1:10" ht="15.75" customHeight="1">
      <c r="A3199" s="28">
        <v>16701</v>
      </c>
      <c r="B3199" s="91">
        <v>44886.947291666671</v>
      </c>
      <c r="C3199" s="28" t="s">
        <v>10</v>
      </c>
      <c r="D3199" s="28" t="s">
        <v>1228</v>
      </c>
      <c r="E3199" s="28" t="s">
        <v>50</v>
      </c>
      <c r="F3199" s="28">
        <v>35</v>
      </c>
      <c r="G3199" s="28" t="s">
        <v>124</v>
      </c>
      <c r="H3199" s="28">
        <v>0</v>
      </c>
      <c r="J3199" s="28"/>
    </row>
    <row r="3200" spans="1:10" ht="15.75" customHeight="1">
      <c r="A3200" s="28">
        <v>16701</v>
      </c>
      <c r="B3200" s="91">
        <v>44886.947291666671</v>
      </c>
      <c r="C3200" s="28" t="s">
        <v>10</v>
      </c>
      <c r="D3200" s="28" t="s">
        <v>1228</v>
      </c>
      <c r="E3200" s="28" t="s">
        <v>50</v>
      </c>
      <c r="F3200" s="28">
        <v>0</v>
      </c>
      <c r="G3200" s="28" t="s">
        <v>125</v>
      </c>
      <c r="H3200" s="28">
        <v>0</v>
      </c>
      <c r="J3200" s="28"/>
    </row>
    <row r="3201" spans="1:10" ht="15.75" customHeight="1">
      <c r="A3201" s="28">
        <v>16701</v>
      </c>
      <c r="B3201" s="91">
        <v>44886.947291666671</v>
      </c>
      <c r="C3201" s="28" t="s">
        <v>10</v>
      </c>
      <c r="D3201" s="28" t="s">
        <v>1228</v>
      </c>
      <c r="E3201" s="28" t="s">
        <v>50</v>
      </c>
      <c r="F3201" s="28">
        <v>0</v>
      </c>
      <c r="G3201" s="28" t="s">
        <v>121</v>
      </c>
      <c r="H3201" s="28">
        <v>0</v>
      </c>
      <c r="J3201" s="28"/>
    </row>
    <row r="3202" spans="1:10" ht="15.75" customHeight="1">
      <c r="A3202" s="28">
        <v>16701</v>
      </c>
      <c r="B3202" s="91">
        <v>44886.947291666671</v>
      </c>
      <c r="C3202" s="28" t="s">
        <v>10</v>
      </c>
      <c r="D3202" s="28" t="s">
        <v>1228</v>
      </c>
      <c r="E3202" s="28" t="s">
        <v>50</v>
      </c>
      <c r="F3202" s="28">
        <v>0</v>
      </c>
      <c r="G3202" s="28" t="s">
        <v>119</v>
      </c>
      <c r="H3202" s="28">
        <v>0</v>
      </c>
      <c r="J3202" s="28"/>
    </row>
    <row r="3203" spans="1:10" ht="15.75" customHeight="1">
      <c r="A3203" s="28">
        <v>16700</v>
      </c>
      <c r="B3203" s="91">
        <v>44886.940694444449</v>
      </c>
      <c r="C3203" s="28" t="s">
        <v>10</v>
      </c>
      <c r="D3203" s="28" t="s">
        <v>1229</v>
      </c>
      <c r="E3203" s="28" t="s">
        <v>50</v>
      </c>
      <c r="F3203" s="28">
        <v>22</v>
      </c>
      <c r="G3203" s="28" t="s">
        <v>137</v>
      </c>
      <c r="H3203" s="28">
        <v>0</v>
      </c>
      <c r="J3203" s="28"/>
    </row>
    <row r="3204" spans="1:10" ht="15.75" customHeight="1">
      <c r="A3204" s="28">
        <v>16700</v>
      </c>
      <c r="B3204" s="91">
        <v>44886.940694444449</v>
      </c>
      <c r="C3204" s="28" t="s">
        <v>10</v>
      </c>
      <c r="D3204" s="28" t="s">
        <v>1229</v>
      </c>
      <c r="E3204" s="28" t="s">
        <v>50</v>
      </c>
      <c r="F3204" s="28">
        <v>20</v>
      </c>
      <c r="G3204" s="28" t="s">
        <v>148</v>
      </c>
      <c r="H3204" s="28">
        <v>0</v>
      </c>
      <c r="J3204" s="28"/>
    </row>
    <row r="3205" spans="1:10" ht="15.75" customHeight="1">
      <c r="A3205" s="28">
        <v>16699</v>
      </c>
      <c r="B3205" s="91">
        <v>44886.931712962964</v>
      </c>
      <c r="C3205" s="28" t="s">
        <v>10</v>
      </c>
      <c r="D3205" s="28" t="s">
        <v>1230</v>
      </c>
      <c r="E3205" s="28" t="s">
        <v>50</v>
      </c>
      <c r="F3205" s="28">
        <v>35</v>
      </c>
      <c r="G3205" s="28" t="s">
        <v>124</v>
      </c>
      <c r="H3205" s="28">
        <v>0</v>
      </c>
      <c r="J3205" s="28"/>
    </row>
    <row r="3206" spans="1:10" ht="15.75" customHeight="1">
      <c r="A3206" s="28">
        <v>16699</v>
      </c>
      <c r="B3206" s="91">
        <v>44886.931712962964</v>
      </c>
      <c r="C3206" s="28" t="s">
        <v>10</v>
      </c>
      <c r="D3206" s="28" t="s">
        <v>1230</v>
      </c>
      <c r="E3206" s="28" t="s">
        <v>50</v>
      </c>
      <c r="F3206" s="28">
        <v>0</v>
      </c>
      <c r="G3206" s="28" t="s">
        <v>125</v>
      </c>
      <c r="H3206" s="28">
        <v>0</v>
      </c>
      <c r="J3206" s="28"/>
    </row>
    <row r="3207" spans="1:10" ht="15.75" customHeight="1">
      <c r="A3207" s="28">
        <v>16699</v>
      </c>
      <c r="B3207" s="91">
        <v>44886.931712962964</v>
      </c>
      <c r="C3207" s="28" t="s">
        <v>10</v>
      </c>
      <c r="D3207" s="28" t="s">
        <v>1230</v>
      </c>
      <c r="E3207" s="28" t="s">
        <v>50</v>
      </c>
      <c r="F3207" s="28">
        <v>0</v>
      </c>
      <c r="G3207" s="28" t="s">
        <v>121</v>
      </c>
      <c r="H3207" s="28">
        <v>0</v>
      </c>
      <c r="J3207" s="28"/>
    </row>
    <row r="3208" spans="1:10" ht="15.75" customHeight="1">
      <c r="A3208" s="28">
        <v>16699</v>
      </c>
      <c r="B3208" s="91">
        <v>44886.931712962964</v>
      </c>
      <c r="C3208" s="28" t="s">
        <v>10</v>
      </c>
      <c r="D3208" s="28" t="s">
        <v>1230</v>
      </c>
      <c r="E3208" s="28" t="s">
        <v>50</v>
      </c>
      <c r="F3208" s="28">
        <v>0</v>
      </c>
      <c r="G3208" s="28" t="s">
        <v>119</v>
      </c>
      <c r="H3208" s="28">
        <v>0</v>
      </c>
      <c r="J3208" s="28"/>
    </row>
    <row r="3209" spans="1:10" ht="15.75" customHeight="1">
      <c r="A3209" s="28">
        <v>16698</v>
      </c>
      <c r="B3209" s="91">
        <v>44886.89708333333</v>
      </c>
      <c r="C3209" s="28" t="s">
        <v>10</v>
      </c>
      <c r="D3209" s="28" t="s">
        <v>1231</v>
      </c>
      <c r="E3209" s="28" t="s">
        <v>50</v>
      </c>
      <c r="F3209" s="28">
        <v>25</v>
      </c>
      <c r="G3209" s="28" t="s">
        <v>120</v>
      </c>
      <c r="H3209" s="28">
        <v>0</v>
      </c>
      <c r="J3209" s="28"/>
    </row>
    <row r="3210" spans="1:10" ht="15.75" customHeight="1">
      <c r="A3210" s="28">
        <v>16698</v>
      </c>
      <c r="B3210" s="91">
        <v>44886.89708333333</v>
      </c>
      <c r="C3210" s="28" t="s">
        <v>10</v>
      </c>
      <c r="D3210" s="28" t="s">
        <v>1231</v>
      </c>
      <c r="E3210" s="28" t="s">
        <v>50</v>
      </c>
      <c r="F3210" s="28">
        <v>40</v>
      </c>
      <c r="G3210" s="28" t="s">
        <v>148</v>
      </c>
      <c r="H3210" s="28">
        <v>0</v>
      </c>
      <c r="J3210" s="28"/>
    </row>
    <row r="3211" spans="1:10" ht="15.75" customHeight="1">
      <c r="A3211" s="28">
        <v>16697</v>
      </c>
      <c r="B3211" s="91">
        <v>44886.880844907406</v>
      </c>
      <c r="C3211" s="28" t="s">
        <v>10</v>
      </c>
      <c r="D3211" s="28" t="s">
        <v>1232</v>
      </c>
      <c r="E3211" s="28" t="s">
        <v>50</v>
      </c>
      <c r="F3211" s="28">
        <v>35</v>
      </c>
      <c r="G3211" s="28" t="s">
        <v>124</v>
      </c>
      <c r="H3211" s="28">
        <v>0</v>
      </c>
      <c r="J3211" s="28"/>
    </row>
    <row r="3212" spans="1:10" ht="15.75" customHeight="1">
      <c r="A3212" s="28">
        <v>16697</v>
      </c>
      <c r="B3212" s="91">
        <v>44886.880844907406</v>
      </c>
      <c r="C3212" s="28" t="s">
        <v>10</v>
      </c>
      <c r="D3212" s="28" t="s">
        <v>1232</v>
      </c>
      <c r="E3212" s="28" t="s">
        <v>50</v>
      </c>
      <c r="F3212" s="28">
        <v>0</v>
      </c>
      <c r="G3212" s="28" t="s">
        <v>125</v>
      </c>
      <c r="H3212" s="28">
        <v>0</v>
      </c>
      <c r="J3212" s="28"/>
    </row>
    <row r="3213" spans="1:10" ht="15.75" customHeight="1">
      <c r="A3213" s="28">
        <v>16697</v>
      </c>
      <c r="B3213" s="91">
        <v>44886.880844907406</v>
      </c>
      <c r="C3213" s="28" t="s">
        <v>10</v>
      </c>
      <c r="D3213" s="28" t="s">
        <v>1232</v>
      </c>
      <c r="E3213" s="28" t="s">
        <v>50</v>
      </c>
      <c r="F3213" s="28">
        <v>0</v>
      </c>
      <c r="G3213" s="28" t="s">
        <v>121</v>
      </c>
      <c r="H3213" s="28">
        <v>0</v>
      </c>
      <c r="J3213" s="28"/>
    </row>
    <row r="3214" spans="1:10" ht="15.75" customHeight="1">
      <c r="A3214" s="28">
        <v>16697</v>
      </c>
      <c r="B3214" s="91">
        <v>44886.880844907406</v>
      </c>
      <c r="C3214" s="28" t="s">
        <v>10</v>
      </c>
      <c r="D3214" s="28" t="s">
        <v>1232</v>
      </c>
      <c r="E3214" s="28" t="s">
        <v>50</v>
      </c>
      <c r="F3214" s="28">
        <v>0</v>
      </c>
      <c r="G3214" s="28" t="s">
        <v>139</v>
      </c>
      <c r="H3214" s="28">
        <v>0</v>
      </c>
      <c r="J3214" s="28"/>
    </row>
    <row r="3215" spans="1:10" ht="15.75" customHeight="1">
      <c r="A3215" s="28">
        <v>16697</v>
      </c>
      <c r="B3215" s="91">
        <v>44886.880844907406</v>
      </c>
      <c r="C3215" s="28" t="s">
        <v>10</v>
      </c>
      <c r="D3215" s="28" t="s">
        <v>1232</v>
      </c>
      <c r="E3215" s="28" t="s">
        <v>50</v>
      </c>
      <c r="F3215" s="28">
        <v>18</v>
      </c>
      <c r="G3215" s="28" t="s">
        <v>119</v>
      </c>
      <c r="H3215" s="28">
        <v>0</v>
      </c>
      <c r="J3215" s="28"/>
    </row>
    <row r="3216" spans="1:10" ht="15.75" customHeight="1">
      <c r="A3216" s="28">
        <v>16696</v>
      </c>
      <c r="B3216" s="91">
        <v>44886.860636574071</v>
      </c>
      <c r="C3216" s="28" t="s">
        <v>10</v>
      </c>
      <c r="D3216" s="28" t="s">
        <v>1233</v>
      </c>
      <c r="E3216" s="28" t="s">
        <v>50</v>
      </c>
      <c r="F3216" s="28">
        <v>35</v>
      </c>
      <c r="G3216" s="28" t="s">
        <v>124</v>
      </c>
      <c r="H3216" s="28">
        <v>0</v>
      </c>
      <c r="J3216" s="28"/>
    </row>
    <row r="3217" spans="1:10" ht="15.75" customHeight="1">
      <c r="A3217" s="28">
        <v>16696</v>
      </c>
      <c r="B3217" s="91">
        <v>44886.860636574071</v>
      </c>
      <c r="C3217" s="28" t="s">
        <v>10</v>
      </c>
      <c r="D3217" s="28" t="s">
        <v>1233</v>
      </c>
      <c r="E3217" s="28" t="s">
        <v>50</v>
      </c>
      <c r="F3217" s="28">
        <v>0</v>
      </c>
      <c r="G3217" s="28" t="s">
        <v>125</v>
      </c>
      <c r="H3217" s="28">
        <v>0</v>
      </c>
      <c r="J3217" s="28"/>
    </row>
    <row r="3218" spans="1:10" ht="15.75" customHeight="1">
      <c r="A3218" s="28">
        <v>16696</v>
      </c>
      <c r="B3218" s="91">
        <v>44886.860636574071</v>
      </c>
      <c r="C3218" s="28" t="s">
        <v>10</v>
      </c>
      <c r="D3218" s="28" t="s">
        <v>1233</v>
      </c>
      <c r="E3218" s="28" t="s">
        <v>50</v>
      </c>
      <c r="F3218" s="28">
        <v>0</v>
      </c>
      <c r="G3218" s="28" t="s">
        <v>121</v>
      </c>
      <c r="H3218" s="28">
        <v>0</v>
      </c>
      <c r="J3218" s="28"/>
    </row>
    <row r="3219" spans="1:10" ht="15.75" customHeight="1">
      <c r="A3219" s="28">
        <v>16696</v>
      </c>
      <c r="B3219" s="91">
        <v>44886.860636574071</v>
      </c>
      <c r="C3219" s="28" t="s">
        <v>10</v>
      </c>
      <c r="D3219" s="28" t="s">
        <v>1233</v>
      </c>
      <c r="E3219" s="28" t="s">
        <v>50</v>
      </c>
      <c r="F3219" s="28">
        <v>0</v>
      </c>
      <c r="G3219" s="28" t="s">
        <v>139</v>
      </c>
      <c r="H3219" s="28">
        <v>0</v>
      </c>
      <c r="J3219" s="28"/>
    </row>
    <row r="3220" spans="1:10" ht="15.75" customHeight="1">
      <c r="A3220" s="28">
        <v>16695</v>
      </c>
      <c r="B3220" s="91">
        <v>44886.859907407408</v>
      </c>
      <c r="C3220" s="28" t="s">
        <v>10</v>
      </c>
      <c r="D3220" s="28" t="s">
        <v>1234</v>
      </c>
      <c r="E3220" s="28" t="s">
        <v>50</v>
      </c>
      <c r="F3220" s="28">
        <v>28</v>
      </c>
      <c r="G3220" s="28" t="s">
        <v>143</v>
      </c>
      <c r="H3220" s="28">
        <v>0</v>
      </c>
      <c r="J3220" s="28"/>
    </row>
    <row r="3221" spans="1:10" ht="15.75" customHeight="1">
      <c r="A3221" s="28">
        <v>16695</v>
      </c>
      <c r="B3221" s="91">
        <v>44886.859907407408</v>
      </c>
      <c r="C3221" s="28" t="s">
        <v>10</v>
      </c>
      <c r="D3221" s="28" t="s">
        <v>1234</v>
      </c>
      <c r="E3221" s="28" t="s">
        <v>50</v>
      </c>
      <c r="F3221" s="28">
        <v>10</v>
      </c>
      <c r="G3221" s="28" t="s">
        <v>139</v>
      </c>
      <c r="H3221" s="28">
        <v>0</v>
      </c>
      <c r="J3221" s="28"/>
    </row>
    <row r="3222" spans="1:10" ht="15.75" customHeight="1">
      <c r="A3222" s="28">
        <v>16695</v>
      </c>
      <c r="B3222" s="91">
        <v>44886.859907407408</v>
      </c>
      <c r="C3222" s="28" t="s">
        <v>10</v>
      </c>
      <c r="D3222" s="28" t="s">
        <v>1234</v>
      </c>
      <c r="E3222" s="28" t="s">
        <v>50</v>
      </c>
      <c r="F3222" s="28">
        <v>15</v>
      </c>
      <c r="G3222" s="28" t="s">
        <v>125</v>
      </c>
      <c r="H3222" s="28">
        <v>0</v>
      </c>
      <c r="J3222" s="28"/>
    </row>
    <row r="3223" spans="1:10" ht="15.75" customHeight="1">
      <c r="A3223" s="28">
        <v>16694</v>
      </c>
      <c r="B3223" s="91">
        <v>44886.856516203705</v>
      </c>
      <c r="C3223" s="28" t="s">
        <v>10</v>
      </c>
      <c r="D3223" s="28" t="s">
        <v>1235</v>
      </c>
      <c r="E3223" s="28" t="s">
        <v>50</v>
      </c>
      <c r="F3223" s="28">
        <v>28</v>
      </c>
      <c r="G3223" s="28" t="s">
        <v>143</v>
      </c>
      <c r="H3223" s="28">
        <v>0</v>
      </c>
      <c r="J3223" s="28"/>
    </row>
    <row r="3224" spans="1:10" ht="15.75" customHeight="1">
      <c r="A3224" s="28">
        <v>16694</v>
      </c>
      <c r="B3224" s="91">
        <v>44886.856516203705</v>
      </c>
      <c r="C3224" s="28" t="s">
        <v>10</v>
      </c>
      <c r="D3224" s="28" t="s">
        <v>1235</v>
      </c>
      <c r="E3224" s="28" t="s">
        <v>50</v>
      </c>
      <c r="F3224" s="28">
        <v>10</v>
      </c>
      <c r="G3224" s="28" t="s">
        <v>139</v>
      </c>
      <c r="H3224" s="28">
        <v>0</v>
      </c>
      <c r="J3224" s="28"/>
    </row>
    <row r="3225" spans="1:10" ht="15.75" customHeight="1">
      <c r="A3225" s="28">
        <v>16694</v>
      </c>
      <c r="B3225" s="91">
        <v>44886.856516203705</v>
      </c>
      <c r="C3225" s="28" t="s">
        <v>10</v>
      </c>
      <c r="D3225" s="28" t="s">
        <v>1235</v>
      </c>
      <c r="E3225" s="28" t="s">
        <v>50</v>
      </c>
      <c r="F3225" s="28">
        <v>15</v>
      </c>
      <c r="G3225" s="28" t="s">
        <v>125</v>
      </c>
      <c r="H3225" s="28">
        <v>0</v>
      </c>
      <c r="J3225" s="28"/>
    </row>
    <row r="3226" spans="1:10" ht="15.75" customHeight="1">
      <c r="A3226" s="28">
        <v>16693</v>
      </c>
      <c r="B3226" s="91">
        <v>44886.848020833335</v>
      </c>
      <c r="C3226" s="28" t="s">
        <v>10</v>
      </c>
      <c r="D3226" s="28" t="s">
        <v>1236</v>
      </c>
      <c r="E3226" s="28" t="s">
        <v>50</v>
      </c>
      <c r="F3226" s="28">
        <v>20</v>
      </c>
      <c r="G3226" s="28" t="s">
        <v>148</v>
      </c>
      <c r="H3226" s="28">
        <v>0</v>
      </c>
      <c r="J3226" s="28"/>
    </row>
    <row r="3227" spans="1:10" ht="15.75" customHeight="1">
      <c r="A3227" s="28">
        <v>16693</v>
      </c>
      <c r="B3227" s="91">
        <v>44886.848020833335</v>
      </c>
      <c r="C3227" s="28" t="s">
        <v>10</v>
      </c>
      <c r="D3227" s="28" t="s">
        <v>1236</v>
      </c>
      <c r="E3227" s="28" t="s">
        <v>50</v>
      </c>
      <c r="F3227" s="28">
        <v>55</v>
      </c>
      <c r="G3227" s="28">
        <v>101684</v>
      </c>
      <c r="H3227" s="28">
        <v>0</v>
      </c>
      <c r="J3227" s="28"/>
    </row>
    <row r="3228" spans="1:10" ht="15.75" customHeight="1">
      <c r="A3228" s="28">
        <v>16693</v>
      </c>
      <c r="B3228" s="91">
        <v>44886.848020833335</v>
      </c>
      <c r="C3228" s="28" t="s">
        <v>10</v>
      </c>
      <c r="D3228" s="28" t="s">
        <v>1236</v>
      </c>
      <c r="E3228" s="28" t="s">
        <v>50</v>
      </c>
      <c r="F3228" s="28">
        <v>0</v>
      </c>
      <c r="G3228" s="28" t="s">
        <v>118</v>
      </c>
      <c r="H3228" s="28">
        <v>0</v>
      </c>
      <c r="J3228" s="28"/>
    </row>
    <row r="3229" spans="1:10" ht="15.75" customHeight="1">
      <c r="A3229" s="28">
        <v>16693</v>
      </c>
      <c r="B3229" s="91">
        <v>44886.848020833335</v>
      </c>
      <c r="C3229" s="28" t="s">
        <v>10</v>
      </c>
      <c r="D3229" s="28" t="s">
        <v>1236</v>
      </c>
      <c r="E3229" s="28" t="s">
        <v>50</v>
      </c>
      <c r="F3229" s="28">
        <v>0</v>
      </c>
      <c r="G3229" s="28" t="s">
        <v>119</v>
      </c>
      <c r="H3229" s="28">
        <v>0</v>
      </c>
      <c r="J3229" s="28"/>
    </row>
    <row r="3230" spans="1:10" ht="15.75" customHeight="1">
      <c r="A3230" s="28">
        <v>16693</v>
      </c>
      <c r="B3230" s="91">
        <v>44886.848020833335</v>
      </c>
      <c r="C3230" s="28" t="s">
        <v>10</v>
      </c>
      <c r="D3230" s="28" t="s">
        <v>1236</v>
      </c>
      <c r="E3230" s="28" t="s">
        <v>50</v>
      </c>
      <c r="F3230" s="28">
        <v>0</v>
      </c>
      <c r="G3230" s="28" t="s">
        <v>120</v>
      </c>
      <c r="H3230" s="28">
        <v>0</v>
      </c>
      <c r="J3230" s="28"/>
    </row>
    <row r="3231" spans="1:10" ht="15.75" customHeight="1">
      <c r="A3231" s="28">
        <v>16693</v>
      </c>
      <c r="B3231" s="91">
        <v>44886.848020833335</v>
      </c>
      <c r="C3231" s="28" t="s">
        <v>10</v>
      </c>
      <c r="D3231" s="28" t="s">
        <v>1236</v>
      </c>
      <c r="E3231" s="28" t="s">
        <v>50</v>
      </c>
      <c r="F3231" s="28">
        <v>0</v>
      </c>
      <c r="G3231" s="28" t="s">
        <v>121</v>
      </c>
      <c r="H3231" s="28">
        <v>0</v>
      </c>
      <c r="J3231" s="28"/>
    </row>
    <row r="3232" spans="1:10" ht="15.75" customHeight="1">
      <c r="A3232" s="28">
        <v>16692</v>
      </c>
      <c r="B3232" s="91">
        <v>44886.84642361111</v>
      </c>
      <c r="C3232" s="28" t="s">
        <v>10</v>
      </c>
      <c r="D3232" s="28" t="s">
        <v>1237</v>
      </c>
      <c r="E3232" s="28" t="s">
        <v>50</v>
      </c>
      <c r="F3232" s="28">
        <v>35</v>
      </c>
      <c r="G3232" s="28" t="s">
        <v>124</v>
      </c>
      <c r="H3232" s="28">
        <v>0</v>
      </c>
      <c r="J3232" s="28"/>
    </row>
    <row r="3233" spans="1:10" ht="15.75" customHeight="1">
      <c r="A3233" s="28">
        <v>16692</v>
      </c>
      <c r="B3233" s="91">
        <v>44886.84642361111</v>
      </c>
      <c r="C3233" s="28" t="s">
        <v>10</v>
      </c>
      <c r="D3233" s="28" t="s">
        <v>1237</v>
      </c>
      <c r="E3233" s="28" t="s">
        <v>50</v>
      </c>
      <c r="F3233" s="28">
        <v>0</v>
      </c>
      <c r="G3233" s="28" t="s">
        <v>125</v>
      </c>
      <c r="H3233" s="28">
        <v>0</v>
      </c>
      <c r="J3233" s="28"/>
    </row>
    <row r="3234" spans="1:10" ht="15.75" customHeight="1">
      <c r="A3234" s="28">
        <v>16692</v>
      </c>
      <c r="B3234" s="91">
        <v>44886.84642361111</v>
      </c>
      <c r="C3234" s="28" t="s">
        <v>10</v>
      </c>
      <c r="D3234" s="28" t="s">
        <v>1237</v>
      </c>
      <c r="E3234" s="28" t="s">
        <v>50</v>
      </c>
      <c r="F3234" s="28">
        <v>0</v>
      </c>
      <c r="G3234" s="28" t="s">
        <v>121</v>
      </c>
      <c r="H3234" s="28">
        <v>0</v>
      </c>
      <c r="J3234" s="28"/>
    </row>
    <row r="3235" spans="1:10" ht="15.75" customHeight="1">
      <c r="A3235" s="28">
        <v>16692</v>
      </c>
      <c r="B3235" s="91">
        <v>44886.84642361111</v>
      </c>
      <c r="C3235" s="28" t="s">
        <v>10</v>
      </c>
      <c r="D3235" s="28" t="s">
        <v>1237</v>
      </c>
      <c r="E3235" s="28" t="s">
        <v>50</v>
      </c>
      <c r="F3235" s="28">
        <v>0</v>
      </c>
      <c r="G3235" s="28" t="s">
        <v>139</v>
      </c>
      <c r="H3235" s="28">
        <v>0</v>
      </c>
      <c r="J3235" s="28"/>
    </row>
    <row r="3236" spans="1:10" ht="15.75" customHeight="1">
      <c r="A3236" s="28">
        <v>16691</v>
      </c>
      <c r="B3236" s="91">
        <v>44886.845439814817</v>
      </c>
      <c r="C3236" s="28" t="s">
        <v>10</v>
      </c>
      <c r="D3236" s="28" t="s">
        <v>1238</v>
      </c>
      <c r="E3236" s="28" t="s">
        <v>50</v>
      </c>
      <c r="F3236" s="28">
        <v>55</v>
      </c>
      <c r="G3236" s="28" t="s">
        <v>861</v>
      </c>
      <c r="H3236" s="28">
        <v>0</v>
      </c>
      <c r="J3236" s="28"/>
    </row>
    <row r="3237" spans="1:10" ht="15.75" customHeight="1">
      <c r="A3237" s="28">
        <v>16690</v>
      </c>
      <c r="B3237" s="91">
        <v>44886.812638888892</v>
      </c>
      <c r="C3237" s="28" t="s">
        <v>10</v>
      </c>
      <c r="D3237" s="28" t="s">
        <v>1239</v>
      </c>
      <c r="E3237" s="28" t="s">
        <v>50</v>
      </c>
      <c r="F3237" s="28">
        <v>30</v>
      </c>
      <c r="G3237" s="28" t="s">
        <v>170</v>
      </c>
      <c r="H3237" s="28">
        <v>0</v>
      </c>
      <c r="J3237" s="28"/>
    </row>
    <row r="3238" spans="1:10" ht="15.75" customHeight="1">
      <c r="A3238" s="28">
        <v>16690</v>
      </c>
      <c r="B3238" s="91">
        <v>44886.812638888892</v>
      </c>
      <c r="C3238" s="28" t="s">
        <v>10</v>
      </c>
      <c r="D3238" s="28" t="s">
        <v>1239</v>
      </c>
      <c r="E3238" s="28" t="s">
        <v>50</v>
      </c>
      <c r="F3238" s="28">
        <v>35</v>
      </c>
      <c r="G3238" s="28" t="s">
        <v>124</v>
      </c>
      <c r="H3238" s="28">
        <v>0</v>
      </c>
      <c r="J3238" s="28"/>
    </row>
    <row r="3239" spans="1:10" ht="15.75" customHeight="1">
      <c r="A3239" s="28">
        <v>16690</v>
      </c>
      <c r="B3239" s="91">
        <v>44886.812638888892</v>
      </c>
      <c r="C3239" s="28" t="s">
        <v>10</v>
      </c>
      <c r="D3239" s="28" t="s">
        <v>1239</v>
      </c>
      <c r="E3239" s="28" t="s">
        <v>50</v>
      </c>
      <c r="F3239" s="28">
        <v>0</v>
      </c>
      <c r="G3239" s="28" t="s">
        <v>125</v>
      </c>
      <c r="H3239" s="28">
        <v>0</v>
      </c>
      <c r="J3239" s="28"/>
    </row>
    <row r="3240" spans="1:10" ht="15.75" customHeight="1">
      <c r="A3240" s="28">
        <v>16690</v>
      </c>
      <c r="B3240" s="91">
        <v>44886.812638888892</v>
      </c>
      <c r="C3240" s="28" t="s">
        <v>10</v>
      </c>
      <c r="D3240" s="28" t="s">
        <v>1239</v>
      </c>
      <c r="E3240" s="28" t="s">
        <v>50</v>
      </c>
      <c r="F3240" s="28">
        <v>0</v>
      </c>
      <c r="G3240" s="28" t="s">
        <v>121</v>
      </c>
      <c r="H3240" s="28">
        <v>0</v>
      </c>
      <c r="J3240" s="28"/>
    </row>
    <row r="3241" spans="1:10" ht="15.75" customHeight="1">
      <c r="A3241" s="28">
        <v>16690</v>
      </c>
      <c r="B3241" s="91">
        <v>44886.812638888892</v>
      </c>
      <c r="C3241" s="28" t="s">
        <v>10</v>
      </c>
      <c r="D3241" s="28" t="s">
        <v>1239</v>
      </c>
      <c r="E3241" s="28" t="s">
        <v>50</v>
      </c>
      <c r="F3241" s="28">
        <v>0</v>
      </c>
      <c r="G3241" s="28" t="s">
        <v>139</v>
      </c>
      <c r="H3241" s="28">
        <v>0</v>
      </c>
      <c r="J3241" s="28"/>
    </row>
    <row r="3242" spans="1:10" ht="15.75" customHeight="1">
      <c r="A3242" s="28">
        <v>16689</v>
      </c>
      <c r="B3242" s="91">
        <v>44886.801284722227</v>
      </c>
      <c r="C3242" s="28" t="s">
        <v>18</v>
      </c>
      <c r="D3242" s="28" t="s">
        <v>1230</v>
      </c>
      <c r="E3242" s="28" t="s">
        <v>50</v>
      </c>
      <c r="F3242" s="28">
        <v>35</v>
      </c>
      <c r="G3242" s="28" t="s">
        <v>124</v>
      </c>
      <c r="H3242" s="28">
        <v>0</v>
      </c>
      <c r="J3242" s="28"/>
    </row>
    <row r="3243" spans="1:10" ht="15.75" customHeight="1">
      <c r="A3243" s="28">
        <v>16689</v>
      </c>
      <c r="B3243" s="91">
        <v>44886.801284722227</v>
      </c>
      <c r="C3243" s="28" t="s">
        <v>18</v>
      </c>
      <c r="D3243" s="28" t="s">
        <v>1230</v>
      </c>
      <c r="E3243" s="28" t="s">
        <v>50</v>
      </c>
      <c r="F3243" s="28">
        <v>0</v>
      </c>
      <c r="G3243" s="28" t="s">
        <v>125</v>
      </c>
      <c r="H3243" s="28">
        <v>0</v>
      </c>
      <c r="J3243" s="28"/>
    </row>
    <row r="3244" spans="1:10" ht="15.75" customHeight="1">
      <c r="A3244" s="28">
        <v>16689</v>
      </c>
      <c r="B3244" s="91">
        <v>44886.801284722227</v>
      </c>
      <c r="C3244" s="28" t="s">
        <v>18</v>
      </c>
      <c r="D3244" s="28" t="s">
        <v>1230</v>
      </c>
      <c r="E3244" s="28" t="s">
        <v>50</v>
      </c>
      <c r="F3244" s="28">
        <v>0</v>
      </c>
      <c r="G3244" s="28" t="s">
        <v>121</v>
      </c>
      <c r="H3244" s="28">
        <v>0</v>
      </c>
      <c r="J3244" s="28"/>
    </row>
    <row r="3245" spans="1:10" ht="15.75" customHeight="1">
      <c r="A3245" s="28">
        <v>16689</v>
      </c>
      <c r="B3245" s="91">
        <v>44886.801284722227</v>
      </c>
      <c r="C3245" s="28" t="s">
        <v>18</v>
      </c>
      <c r="D3245" s="28" t="s">
        <v>1230</v>
      </c>
      <c r="E3245" s="28" t="s">
        <v>50</v>
      </c>
      <c r="F3245" s="28">
        <v>0</v>
      </c>
      <c r="G3245" s="28" t="s">
        <v>139</v>
      </c>
      <c r="H3245" s="28">
        <v>0</v>
      </c>
      <c r="J3245" s="28"/>
    </row>
    <row r="3246" spans="1:10" ht="15.75" customHeight="1">
      <c r="A3246" s="28">
        <v>16688</v>
      </c>
      <c r="B3246" s="91">
        <v>44886.79623842593</v>
      </c>
      <c r="C3246" s="28" t="s">
        <v>10</v>
      </c>
      <c r="D3246" s="28" t="s">
        <v>1240</v>
      </c>
      <c r="E3246" s="28" t="s">
        <v>50</v>
      </c>
      <c r="F3246" s="28">
        <v>35</v>
      </c>
      <c r="G3246" s="28" t="s">
        <v>124</v>
      </c>
      <c r="H3246" s="28">
        <v>0</v>
      </c>
      <c r="J3246" s="28"/>
    </row>
    <row r="3247" spans="1:10" ht="15.75" customHeight="1">
      <c r="A3247" s="28">
        <v>16688</v>
      </c>
      <c r="B3247" s="91">
        <v>44886.79623842593</v>
      </c>
      <c r="C3247" s="28" t="s">
        <v>10</v>
      </c>
      <c r="D3247" s="28" t="s">
        <v>1240</v>
      </c>
      <c r="E3247" s="28" t="s">
        <v>50</v>
      </c>
      <c r="F3247" s="28">
        <v>0</v>
      </c>
      <c r="G3247" s="28" t="s">
        <v>125</v>
      </c>
      <c r="H3247" s="28">
        <v>0</v>
      </c>
      <c r="J3247" s="28"/>
    </row>
    <row r="3248" spans="1:10" ht="15.75" customHeight="1">
      <c r="A3248" s="28">
        <v>16688</v>
      </c>
      <c r="B3248" s="91">
        <v>44886.79623842593</v>
      </c>
      <c r="C3248" s="28" t="s">
        <v>10</v>
      </c>
      <c r="D3248" s="28" t="s">
        <v>1240</v>
      </c>
      <c r="E3248" s="28" t="s">
        <v>50</v>
      </c>
      <c r="F3248" s="28">
        <v>0</v>
      </c>
      <c r="G3248" s="28" t="s">
        <v>121</v>
      </c>
      <c r="H3248" s="28">
        <v>0</v>
      </c>
      <c r="J3248" s="28"/>
    </row>
    <row r="3249" spans="1:10" ht="15.75" customHeight="1">
      <c r="A3249" s="28">
        <v>16688</v>
      </c>
      <c r="B3249" s="91">
        <v>44886.79623842593</v>
      </c>
      <c r="C3249" s="28" t="s">
        <v>10</v>
      </c>
      <c r="D3249" s="28" t="s">
        <v>1240</v>
      </c>
      <c r="E3249" s="28" t="s">
        <v>50</v>
      </c>
      <c r="F3249" s="28">
        <v>0</v>
      </c>
      <c r="G3249" s="28" t="s">
        <v>139</v>
      </c>
      <c r="H3249" s="28">
        <v>0</v>
      </c>
      <c r="J3249" s="28"/>
    </row>
    <row r="3250" spans="1:10" ht="15.75" customHeight="1">
      <c r="A3250" s="28">
        <v>16687</v>
      </c>
      <c r="B3250" s="91">
        <v>44886.771747685183</v>
      </c>
      <c r="C3250" s="28" t="s">
        <v>10</v>
      </c>
      <c r="D3250" s="28" t="s">
        <v>1241</v>
      </c>
      <c r="E3250" s="28" t="s">
        <v>50</v>
      </c>
      <c r="F3250" s="28">
        <v>35</v>
      </c>
      <c r="G3250" s="28" t="s">
        <v>124</v>
      </c>
      <c r="H3250" s="28">
        <v>0</v>
      </c>
      <c r="J3250" s="28"/>
    </row>
    <row r="3251" spans="1:10" ht="15.75" customHeight="1">
      <c r="A3251" s="28">
        <v>16687</v>
      </c>
      <c r="B3251" s="91">
        <v>44886.771747685183</v>
      </c>
      <c r="C3251" s="28" t="s">
        <v>10</v>
      </c>
      <c r="D3251" s="28" t="s">
        <v>1241</v>
      </c>
      <c r="E3251" s="28" t="s">
        <v>50</v>
      </c>
      <c r="F3251" s="28">
        <v>0</v>
      </c>
      <c r="G3251" s="28" t="s">
        <v>125</v>
      </c>
      <c r="H3251" s="28">
        <v>0</v>
      </c>
      <c r="J3251" s="28"/>
    </row>
    <row r="3252" spans="1:10" ht="15.75" customHeight="1">
      <c r="A3252" s="28">
        <v>16687</v>
      </c>
      <c r="B3252" s="91">
        <v>44886.771747685183</v>
      </c>
      <c r="C3252" s="28" t="s">
        <v>10</v>
      </c>
      <c r="D3252" s="28" t="s">
        <v>1241</v>
      </c>
      <c r="E3252" s="28" t="s">
        <v>50</v>
      </c>
      <c r="F3252" s="28">
        <v>0</v>
      </c>
      <c r="G3252" s="28" t="s">
        <v>121</v>
      </c>
      <c r="H3252" s="28">
        <v>0</v>
      </c>
      <c r="J3252" s="28"/>
    </row>
    <row r="3253" spans="1:10" ht="15.75" customHeight="1">
      <c r="A3253" s="28">
        <v>16687</v>
      </c>
      <c r="B3253" s="91">
        <v>44886.771747685183</v>
      </c>
      <c r="C3253" s="28" t="s">
        <v>10</v>
      </c>
      <c r="D3253" s="28" t="s">
        <v>1241</v>
      </c>
      <c r="E3253" s="28" t="s">
        <v>50</v>
      </c>
      <c r="F3253" s="28">
        <v>0</v>
      </c>
      <c r="G3253" s="28" t="s">
        <v>139</v>
      </c>
      <c r="H3253" s="28">
        <v>0</v>
      </c>
      <c r="J3253" s="28"/>
    </row>
    <row r="3254" spans="1:10" ht="15.75" customHeight="1">
      <c r="A3254" s="28">
        <v>16686</v>
      </c>
      <c r="B3254" s="91">
        <v>44886.629699074074</v>
      </c>
      <c r="C3254" s="28" t="s">
        <v>10</v>
      </c>
      <c r="D3254" s="28" t="s">
        <v>1242</v>
      </c>
      <c r="E3254" s="28" t="s">
        <v>50</v>
      </c>
      <c r="F3254" s="28">
        <v>55</v>
      </c>
      <c r="G3254" s="28">
        <v>101684</v>
      </c>
      <c r="H3254" s="28">
        <v>0</v>
      </c>
      <c r="J3254" s="28"/>
    </row>
    <row r="3255" spans="1:10" ht="15.75" customHeight="1">
      <c r="A3255" s="28">
        <v>16686</v>
      </c>
      <c r="B3255" s="91">
        <v>44886.629699074074</v>
      </c>
      <c r="C3255" s="28" t="s">
        <v>10</v>
      </c>
      <c r="D3255" s="28" t="s">
        <v>1242</v>
      </c>
      <c r="E3255" s="28" t="s">
        <v>50</v>
      </c>
      <c r="F3255" s="28">
        <v>0</v>
      </c>
      <c r="G3255" s="28" t="s">
        <v>118</v>
      </c>
      <c r="H3255" s="28">
        <v>0</v>
      </c>
      <c r="J3255" s="28"/>
    </row>
    <row r="3256" spans="1:10" ht="15.75" customHeight="1">
      <c r="A3256" s="28">
        <v>16686</v>
      </c>
      <c r="B3256" s="91">
        <v>44886.629699074074</v>
      </c>
      <c r="C3256" s="28" t="s">
        <v>10</v>
      </c>
      <c r="D3256" s="28" t="s">
        <v>1242</v>
      </c>
      <c r="E3256" s="28" t="s">
        <v>50</v>
      </c>
      <c r="F3256" s="28">
        <v>0</v>
      </c>
      <c r="G3256" s="28" t="s">
        <v>119</v>
      </c>
      <c r="H3256" s="28">
        <v>0</v>
      </c>
      <c r="J3256" s="28"/>
    </row>
    <row r="3257" spans="1:10" ht="15.75" customHeight="1">
      <c r="A3257" s="28">
        <v>16686</v>
      </c>
      <c r="B3257" s="91">
        <v>44886.629699074074</v>
      </c>
      <c r="C3257" s="28" t="s">
        <v>10</v>
      </c>
      <c r="D3257" s="28" t="s">
        <v>1242</v>
      </c>
      <c r="E3257" s="28" t="s">
        <v>50</v>
      </c>
      <c r="F3257" s="28">
        <v>0</v>
      </c>
      <c r="G3257" s="28" t="s">
        <v>120</v>
      </c>
      <c r="H3257" s="28">
        <v>0</v>
      </c>
      <c r="J3257" s="28"/>
    </row>
    <row r="3258" spans="1:10" ht="15.75" customHeight="1">
      <c r="A3258" s="28">
        <v>16686</v>
      </c>
      <c r="B3258" s="91">
        <v>44886.629699074074</v>
      </c>
      <c r="C3258" s="28" t="s">
        <v>10</v>
      </c>
      <c r="D3258" s="28" t="s">
        <v>1242</v>
      </c>
      <c r="E3258" s="28" t="s">
        <v>50</v>
      </c>
      <c r="F3258" s="28">
        <v>0</v>
      </c>
      <c r="G3258" s="28" t="s">
        <v>121</v>
      </c>
      <c r="H3258" s="28">
        <v>0</v>
      </c>
      <c r="J3258" s="28"/>
    </row>
    <row r="3259" spans="1:10" ht="15.75" customHeight="1">
      <c r="A3259" s="28">
        <v>16685</v>
      </c>
      <c r="B3259" s="91">
        <v>44886.618715277778</v>
      </c>
      <c r="C3259" s="28" t="s">
        <v>10</v>
      </c>
      <c r="D3259" s="28" t="s">
        <v>1243</v>
      </c>
      <c r="E3259" s="28" t="s">
        <v>50</v>
      </c>
      <c r="F3259" s="28">
        <v>20</v>
      </c>
      <c r="G3259" s="28" t="s">
        <v>148</v>
      </c>
      <c r="H3259" s="28">
        <v>0</v>
      </c>
      <c r="J3259" s="28"/>
    </row>
    <row r="3260" spans="1:10" ht="15.75" customHeight="1">
      <c r="A3260" s="28">
        <v>16684</v>
      </c>
      <c r="B3260" s="91">
        <v>44886.615601851852</v>
      </c>
      <c r="C3260" s="28" t="s">
        <v>10</v>
      </c>
      <c r="D3260" s="28" t="s">
        <v>1073</v>
      </c>
      <c r="E3260" s="28" t="s">
        <v>50</v>
      </c>
      <c r="F3260" s="28">
        <v>15</v>
      </c>
      <c r="G3260" s="28" t="s">
        <v>170</v>
      </c>
      <c r="H3260" s="28">
        <v>0</v>
      </c>
      <c r="J3260" s="28"/>
    </row>
    <row r="3261" spans="1:10" ht="15.75" customHeight="1">
      <c r="A3261" s="28">
        <v>16654</v>
      </c>
      <c r="B3261" s="91">
        <v>44886.534803240742</v>
      </c>
      <c r="C3261" s="28" t="s">
        <v>10</v>
      </c>
      <c r="D3261" s="28" t="s">
        <v>1244</v>
      </c>
      <c r="E3261" s="28" t="s">
        <v>50</v>
      </c>
      <c r="F3261" s="28">
        <v>28</v>
      </c>
      <c r="G3261" s="28" t="s">
        <v>143</v>
      </c>
      <c r="H3261" s="28">
        <v>0</v>
      </c>
      <c r="J3261" s="28"/>
    </row>
    <row r="3262" spans="1:10" ht="15.75" customHeight="1">
      <c r="A3262" s="28">
        <v>16654</v>
      </c>
      <c r="B3262" s="91">
        <v>44886.534803240742</v>
      </c>
      <c r="C3262" s="28" t="s">
        <v>10</v>
      </c>
      <c r="D3262" s="28" t="s">
        <v>1244</v>
      </c>
      <c r="E3262" s="28" t="s">
        <v>50</v>
      </c>
      <c r="F3262" s="28">
        <v>15</v>
      </c>
      <c r="G3262" s="28" t="s">
        <v>170</v>
      </c>
      <c r="H3262" s="28">
        <v>0</v>
      </c>
      <c r="J3262" s="28"/>
    </row>
    <row r="3263" spans="1:10" ht="15.75" customHeight="1">
      <c r="A3263" s="28">
        <v>16654</v>
      </c>
      <c r="B3263" s="91">
        <v>44886.534803240742</v>
      </c>
      <c r="C3263" s="28" t="s">
        <v>10</v>
      </c>
      <c r="D3263" s="28" t="s">
        <v>1244</v>
      </c>
      <c r="E3263" s="28" t="s">
        <v>50</v>
      </c>
      <c r="F3263" s="28">
        <v>20</v>
      </c>
      <c r="G3263" s="28" t="s">
        <v>148</v>
      </c>
      <c r="H3263" s="28">
        <v>0</v>
      </c>
      <c r="J3263" s="28"/>
    </row>
    <row r="3264" spans="1:10" ht="15.75" customHeight="1">
      <c r="A3264" s="28">
        <v>16654</v>
      </c>
      <c r="B3264" s="91">
        <v>44886.534803240742</v>
      </c>
      <c r="C3264" s="28" t="s">
        <v>10</v>
      </c>
      <c r="D3264" s="28" t="s">
        <v>1244</v>
      </c>
      <c r="E3264" s="28" t="s">
        <v>50</v>
      </c>
      <c r="F3264" s="28">
        <v>24</v>
      </c>
      <c r="G3264" s="28" t="s">
        <v>122</v>
      </c>
      <c r="H3264" s="28">
        <v>0</v>
      </c>
      <c r="J3264" s="28"/>
    </row>
    <row r="3265" spans="1:10" ht="15.75" customHeight="1">
      <c r="A3265" s="28">
        <v>16652</v>
      </c>
      <c r="B3265" s="91">
        <v>44886.48364583333</v>
      </c>
      <c r="C3265" s="28" t="s">
        <v>10</v>
      </c>
      <c r="D3265" s="28" t="s">
        <v>1245</v>
      </c>
      <c r="E3265" s="28" t="s">
        <v>50</v>
      </c>
      <c r="F3265" s="28">
        <v>25</v>
      </c>
      <c r="G3265" s="28">
        <v>100692</v>
      </c>
      <c r="H3265" s="28">
        <v>0</v>
      </c>
      <c r="J3265" s="28"/>
    </row>
    <row r="3266" spans="1:10" ht="15.75" customHeight="1">
      <c r="A3266" s="28">
        <v>16652</v>
      </c>
      <c r="B3266" s="91">
        <v>44886.48364583333</v>
      </c>
      <c r="C3266" s="28" t="s">
        <v>10</v>
      </c>
      <c r="D3266" s="28" t="s">
        <v>1245</v>
      </c>
      <c r="E3266" s="28" t="s">
        <v>50</v>
      </c>
      <c r="F3266" s="28">
        <v>0</v>
      </c>
      <c r="G3266" s="28" t="s">
        <v>125</v>
      </c>
      <c r="H3266" s="28">
        <v>0</v>
      </c>
      <c r="J3266" s="28"/>
    </row>
    <row r="3267" spans="1:10" ht="15.75" customHeight="1">
      <c r="A3267" s="28">
        <v>16652</v>
      </c>
      <c r="B3267" s="91">
        <v>44886.48364583333</v>
      </c>
      <c r="C3267" s="28" t="s">
        <v>10</v>
      </c>
      <c r="D3267" s="28" t="s">
        <v>1245</v>
      </c>
      <c r="E3267" s="28" t="s">
        <v>50</v>
      </c>
      <c r="F3267" s="28">
        <v>0</v>
      </c>
      <c r="G3267" s="28" t="s">
        <v>119</v>
      </c>
      <c r="H3267" s="28">
        <v>0</v>
      </c>
      <c r="J3267" s="28"/>
    </row>
    <row r="3268" spans="1:10" ht="15.75" customHeight="1">
      <c r="A3268" s="28">
        <v>16630</v>
      </c>
      <c r="B3268" s="91">
        <v>44885.909884259258</v>
      </c>
      <c r="C3268" s="28" t="s">
        <v>10</v>
      </c>
      <c r="D3268" s="28" t="s">
        <v>1246</v>
      </c>
      <c r="E3268" s="28" t="s">
        <v>50</v>
      </c>
      <c r="F3268" s="28">
        <v>20</v>
      </c>
      <c r="G3268" s="28" t="s">
        <v>148</v>
      </c>
      <c r="H3268" s="28">
        <v>0</v>
      </c>
      <c r="J3268" s="28"/>
    </row>
    <row r="3269" spans="1:10" ht="15.75" customHeight="1">
      <c r="A3269" s="28">
        <v>16621</v>
      </c>
      <c r="B3269" s="91">
        <v>44885.659571759257</v>
      </c>
      <c r="C3269" s="28" t="s">
        <v>10</v>
      </c>
      <c r="D3269" s="28" t="s">
        <v>1247</v>
      </c>
      <c r="E3269" s="28" t="s">
        <v>50</v>
      </c>
      <c r="F3269" s="28">
        <v>0</v>
      </c>
      <c r="G3269" s="28">
        <v>100692</v>
      </c>
      <c r="H3269" s="28">
        <v>0</v>
      </c>
      <c r="J3269" s="28"/>
    </row>
    <row r="3270" spans="1:10" ht="15.75" customHeight="1">
      <c r="A3270" s="28">
        <v>16621</v>
      </c>
      <c r="B3270" s="91">
        <v>44885.659571759257</v>
      </c>
      <c r="C3270" s="28" t="s">
        <v>10</v>
      </c>
      <c r="D3270" s="28" t="s">
        <v>1247</v>
      </c>
      <c r="E3270" s="28" t="s">
        <v>50</v>
      </c>
      <c r="F3270" s="28">
        <v>0</v>
      </c>
      <c r="G3270" s="28" t="s">
        <v>125</v>
      </c>
      <c r="H3270" s="28">
        <v>0</v>
      </c>
      <c r="J3270" s="28"/>
    </row>
    <row r="3271" spans="1:10" ht="15.75" customHeight="1">
      <c r="A3271" s="28">
        <v>16621</v>
      </c>
      <c r="B3271" s="91">
        <v>44885.659571759257</v>
      </c>
      <c r="C3271" s="28" t="s">
        <v>10</v>
      </c>
      <c r="D3271" s="28" t="s">
        <v>1247</v>
      </c>
      <c r="E3271" s="28" t="s">
        <v>50</v>
      </c>
      <c r="F3271" s="28">
        <v>0</v>
      </c>
      <c r="G3271" s="28" t="s">
        <v>119</v>
      </c>
      <c r="H3271" s="28">
        <v>0</v>
      </c>
      <c r="J3271" s="28"/>
    </row>
    <row r="3272" spans="1:10" ht="15.75" customHeight="1">
      <c r="A3272" s="28">
        <v>16604</v>
      </c>
      <c r="B3272" s="91">
        <v>44883.616122685184</v>
      </c>
      <c r="C3272" s="28" t="s">
        <v>10</v>
      </c>
      <c r="D3272" s="28" t="s">
        <v>1248</v>
      </c>
      <c r="E3272" s="28" t="s">
        <v>50</v>
      </c>
      <c r="F3272" s="28">
        <v>15</v>
      </c>
      <c r="G3272" s="28" t="s">
        <v>139</v>
      </c>
      <c r="H3272" s="28">
        <v>0</v>
      </c>
      <c r="J3272" s="28"/>
    </row>
    <row r="3273" spans="1:10" ht="15.75" customHeight="1">
      <c r="A3273" s="28">
        <v>16603</v>
      </c>
      <c r="B3273" s="91">
        <v>44883.615162037036</v>
      </c>
      <c r="C3273" s="28" t="s">
        <v>10</v>
      </c>
      <c r="D3273" s="28" t="s">
        <v>1248</v>
      </c>
      <c r="E3273" s="28" t="s">
        <v>50</v>
      </c>
      <c r="F3273" s="28">
        <v>100</v>
      </c>
      <c r="G3273" s="28">
        <v>102779</v>
      </c>
      <c r="H3273" s="28">
        <v>0</v>
      </c>
      <c r="J3273" s="28"/>
    </row>
    <row r="3274" spans="1:10" ht="15.75" customHeight="1">
      <c r="A3274" s="28">
        <v>16603</v>
      </c>
      <c r="B3274" s="91">
        <v>44883.615162037036</v>
      </c>
      <c r="C3274" s="28" t="s">
        <v>10</v>
      </c>
      <c r="D3274" s="28" t="s">
        <v>1248</v>
      </c>
      <c r="E3274" s="28" t="s">
        <v>50</v>
      </c>
      <c r="F3274" s="28">
        <v>0</v>
      </c>
      <c r="G3274" s="28" t="s">
        <v>118</v>
      </c>
      <c r="H3274" s="28">
        <v>0</v>
      </c>
      <c r="J3274" s="28"/>
    </row>
    <row r="3275" spans="1:10" ht="15.75" customHeight="1">
      <c r="A3275" s="28">
        <v>16603</v>
      </c>
      <c r="B3275" s="91">
        <v>44883.615162037036</v>
      </c>
      <c r="C3275" s="28" t="s">
        <v>10</v>
      </c>
      <c r="D3275" s="28" t="s">
        <v>1248</v>
      </c>
      <c r="E3275" s="28" t="s">
        <v>50</v>
      </c>
      <c r="F3275" s="28">
        <v>0</v>
      </c>
      <c r="G3275" s="28" t="s">
        <v>119</v>
      </c>
      <c r="H3275" s="28">
        <v>0</v>
      </c>
      <c r="J3275" s="28"/>
    </row>
    <row r="3276" spans="1:10" ht="15.75" customHeight="1">
      <c r="A3276" s="28">
        <v>16603</v>
      </c>
      <c r="B3276" s="91">
        <v>44883.615162037036</v>
      </c>
      <c r="C3276" s="28" t="s">
        <v>10</v>
      </c>
      <c r="D3276" s="28" t="s">
        <v>1248</v>
      </c>
      <c r="E3276" s="28" t="s">
        <v>50</v>
      </c>
      <c r="F3276" s="28">
        <v>0</v>
      </c>
      <c r="G3276" s="28" t="s">
        <v>120</v>
      </c>
      <c r="H3276" s="28">
        <v>0</v>
      </c>
      <c r="J3276" s="28"/>
    </row>
    <row r="3277" spans="1:10" ht="15.75" customHeight="1">
      <c r="A3277" s="28">
        <v>16603</v>
      </c>
      <c r="B3277" s="91">
        <v>44883.615162037036</v>
      </c>
      <c r="C3277" s="28" t="s">
        <v>10</v>
      </c>
      <c r="D3277" s="28" t="s">
        <v>1248</v>
      </c>
      <c r="E3277" s="28" t="s">
        <v>50</v>
      </c>
      <c r="F3277" s="28">
        <v>0</v>
      </c>
      <c r="G3277" s="28" t="s">
        <v>122</v>
      </c>
      <c r="H3277" s="28">
        <v>0</v>
      </c>
      <c r="J3277" s="28"/>
    </row>
    <row r="3278" spans="1:10" ht="15.75" customHeight="1">
      <c r="A3278" s="28">
        <v>16603</v>
      </c>
      <c r="B3278" s="91">
        <v>44883.615162037036</v>
      </c>
      <c r="C3278" s="28" t="s">
        <v>10</v>
      </c>
      <c r="D3278" s="28" t="s">
        <v>1248</v>
      </c>
      <c r="E3278" s="28" t="s">
        <v>50</v>
      </c>
      <c r="F3278" s="28">
        <v>0</v>
      </c>
      <c r="G3278" s="28" t="s">
        <v>121</v>
      </c>
      <c r="H3278" s="28">
        <v>0</v>
      </c>
      <c r="J3278" s="28"/>
    </row>
    <row r="3279" spans="1:10" ht="15.75" customHeight="1">
      <c r="A3279" s="28">
        <v>16603</v>
      </c>
      <c r="B3279" s="91">
        <v>44883.615162037036</v>
      </c>
      <c r="C3279" s="28" t="s">
        <v>10</v>
      </c>
      <c r="D3279" s="28" t="s">
        <v>1248</v>
      </c>
      <c r="E3279" s="28" t="s">
        <v>50</v>
      </c>
      <c r="F3279" s="28">
        <v>28</v>
      </c>
      <c r="G3279" s="28" t="s">
        <v>143</v>
      </c>
      <c r="H3279" s="28">
        <v>0</v>
      </c>
      <c r="J3279" s="28"/>
    </row>
    <row r="3280" spans="1:10" ht="15.75" customHeight="1">
      <c r="A3280" s="28">
        <v>16603</v>
      </c>
      <c r="B3280" s="91">
        <v>44883.615162037036</v>
      </c>
      <c r="C3280" s="28" t="s">
        <v>10</v>
      </c>
      <c r="D3280" s="28" t="s">
        <v>1248</v>
      </c>
      <c r="E3280" s="28" t="s">
        <v>50</v>
      </c>
      <c r="F3280" s="28">
        <v>15</v>
      </c>
      <c r="G3280" s="28" t="s">
        <v>896</v>
      </c>
      <c r="H3280" s="28">
        <v>0</v>
      </c>
      <c r="J3280" s="28"/>
    </row>
    <row r="3281" spans="1:10" ht="15.75" customHeight="1">
      <c r="A3281" s="28">
        <v>16602</v>
      </c>
      <c r="B3281" s="91">
        <v>44883.590520833328</v>
      </c>
      <c r="C3281" s="28" t="s">
        <v>10</v>
      </c>
      <c r="D3281" s="28" t="s">
        <v>1249</v>
      </c>
      <c r="E3281" s="28" t="s">
        <v>91</v>
      </c>
      <c r="F3281" s="28">
        <v>30</v>
      </c>
      <c r="G3281" s="28" t="s">
        <v>125</v>
      </c>
      <c r="H3281" s="28">
        <v>0</v>
      </c>
      <c r="J3281" s="28"/>
    </row>
    <row r="3282" spans="1:10" ht="15.75" customHeight="1">
      <c r="A3282" s="28">
        <v>16602</v>
      </c>
      <c r="B3282" s="91">
        <v>44883.590520833328</v>
      </c>
      <c r="C3282" s="28" t="s">
        <v>10</v>
      </c>
      <c r="D3282" s="28" t="s">
        <v>1249</v>
      </c>
      <c r="E3282" s="28" t="s">
        <v>91</v>
      </c>
      <c r="F3282" s="28">
        <v>30</v>
      </c>
      <c r="G3282" s="28" t="s">
        <v>170</v>
      </c>
      <c r="H3282" s="28">
        <v>0</v>
      </c>
      <c r="J3282" s="28"/>
    </row>
    <row r="3283" spans="1:10" ht="15.75" customHeight="1">
      <c r="A3283" s="28">
        <v>16564</v>
      </c>
      <c r="B3283" s="91">
        <v>44882.996932870374</v>
      </c>
      <c r="C3283" s="28" t="s">
        <v>10</v>
      </c>
      <c r="D3283" s="28" t="s">
        <v>1250</v>
      </c>
      <c r="E3283" s="28" t="s">
        <v>92</v>
      </c>
      <c r="F3283" s="28">
        <v>35</v>
      </c>
      <c r="G3283" s="28" t="s">
        <v>124</v>
      </c>
      <c r="H3283" s="28">
        <v>0</v>
      </c>
      <c r="J3283" s="28"/>
    </row>
    <row r="3284" spans="1:10" ht="15.75" customHeight="1">
      <c r="A3284" s="28">
        <v>16564</v>
      </c>
      <c r="B3284" s="91">
        <v>44882.996932870374</v>
      </c>
      <c r="C3284" s="28" t="s">
        <v>10</v>
      </c>
      <c r="D3284" s="28" t="s">
        <v>1250</v>
      </c>
      <c r="E3284" s="28" t="s">
        <v>92</v>
      </c>
      <c r="F3284" s="28">
        <v>0</v>
      </c>
      <c r="G3284" s="28" t="s">
        <v>125</v>
      </c>
      <c r="H3284" s="28">
        <v>0</v>
      </c>
      <c r="J3284" s="28"/>
    </row>
    <row r="3285" spans="1:10" ht="15.75" customHeight="1">
      <c r="A3285" s="28">
        <v>16564</v>
      </c>
      <c r="B3285" s="91">
        <v>44882.996932870374</v>
      </c>
      <c r="C3285" s="28" t="s">
        <v>10</v>
      </c>
      <c r="D3285" s="28" t="s">
        <v>1250</v>
      </c>
      <c r="E3285" s="28" t="s">
        <v>92</v>
      </c>
      <c r="F3285" s="28">
        <v>0</v>
      </c>
      <c r="G3285" s="28" t="s">
        <v>121</v>
      </c>
      <c r="H3285" s="28">
        <v>0</v>
      </c>
      <c r="J3285" s="28"/>
    </row>
    <row r="3286" spans="1:10" ht="15.75" customHeight="1">
      <c r="A3286" s="28">
        <v>16564</v>
      </c>
      <c r="B3286" s="91">
        <v>44882.996932870374</v>
      </c>
      <c r="C3286" s="28" t="s">
        <v>10</v>
      </c>
      <c r="D3286" s="28" t="s">
        <v>1250</v>
      </c>
      <c r="E3286" s="28" t="s">
        <v>92</v>
      </c>
      <c r="F3286" s="28">
        <v>0</v>
      </c>
      <c r="G3286" s="28" t="s">
        <v>139</v>
      </c>
      <c r="H3286" s="28">
        <v>0</v>
      </c>
      <c r="J3286" s="28"/>
    </row>
    <row r="3287" spans="1:10" ht="15.75" customHeight="1">
      <c r="A3287" s="28">
        <v>16560</v>
      </c>
      <c r="B3287" s="91">
        <v>44881.775277777779</v>
      </c>
      <c r="C3287" s="28" t="s">
        <v>10</v>
      </c>
      <c r="D3287" s="28" t="s">
        <v>1251</v>
      </c>
      <c r="E3287" s="28" t="s">
        <v>91</v>
      </c>
      <c r="F3287" s="28">
        <v>28</v>
      </c>
      <c r="G3287" s="28" t="s">
        <v>143</v>
      </c>
      <c r="H3287" s="28">
        <v>0</v>
      </c>
      <c r="J3287" s="28"/>
    </row>
    <row r="3288" spans="1:10" ht="15.75" customHeight="1">
      <c r="A3288" s="28">
        <v>16560</v>
      </c>
      <c r="B3288" s="91">
        <v>44881.775277777779</v>
      </c>
      <c r="C3288" s="28" t="s">
        <v>10</v>
      </c>
      <c r="D3288" s="28" t="s">
        <v>1251</v>
      </c>
      <c r="E3288" s="28" t="s">
        <v>91</v>
      </c>
      <c r="F3288" s="28">
        <v>55</v>
      </c>
      <c r="G3288" s="28" t="s">
        <v>861</v>
      </c>
      <c r="H3288" s="28">
        <v>0</v>
      </c>
      <c r="J3288" s="28"/>
    </row>
    <row r="3289" spans="1:10" ht="15.75" customHeight="1">
      <c r="A3289" s="28">
        <v>16554</v>
      </c>
      <c r="B3289" s="91">
        <v>44880.163101851853</v>
      </c>
      <c r="C3289" s="28" t="s">
        <v>10</v>
      </c>
      <c r="D3289" s="28" t="s">
        <v>1252</v>
      </c>
      <c r="E3289" s="28" t="s">
        <v>50</v>
      </c>
      <c r="F3289" s="28">
        <v>0</v>
      </c>
      <c r="G3289" s="28">
        <v>100692</v>
      </c>
      <c r="H3289" s="28">
        <v>0</v>
      </c>
      <c r="J3289" s="28"/>
    </row>
    <row r="3290" spans="1:10" ht="15.75" customHeight="1">
      <c r="A3290" s="28">
        <v>16554</v>
      </c>
      <c r="B3290" s="91">
        <v>44880.163101851853</v>
      </c>
      <c r="C3290" s="28" t="s">
        <v>10</v>
      </c>
      <c r="D3290" s="28" t="s">
        <v>1252</v>
      </c>
      <c r="E3290" s="28" t="s">
        <v>50</v>
      </c>
      <c r="F3290" s="28">
        <v>0</v>
      </c>
      <c r="G3290" s="28" t="s">
        <v>125</v>
      </c>
      <c r="H3290" s="28">
        <v>0</v>
      </c>
      <c r="J3290" s="28"/>
    </row>
    <row r="3291" spans="1:10" ht="15.75" customHeight="1">
      <c r="A3291" s="28">
        <v>16554</v>
      </c>
      <c r="B3291" s="91">
        <v>44880.163101851853</v>
      </c>
      <c r="C3291" s="28" t="s">
        <v>10</v>
      </c>
      <c r="D3291" s="28" t="s">
        <v>1252</v>
      </c>
      <c r="E3291" s="28" t="s">
        <v>50</v>
      </c>
      <c r="F3291" s="28">
        <v>0</v>
      </c>
      <c r="G3291" s="28" t="s">
        <v>119</v>
      </c>
      <c r="H3291" s="28">
        <v>0</v>
      </c>
      <c r="J3291" s="28"/>
    </row>
    <row r="3292" spans="1:10" ht="15.75" customHeight="1">
      <c r="A3292" s="28">
        <v>16552</v>
      </c>
      <c r="B3292" s="91">
        <v>44878.204340277778</v>
      </c>
      <c r="C3292" s="28" t="s">
        <v>10</v>
      </c>
      <c r="D3292" s="28" t="s">
        <v>1252</v>
      </c>
      <c r="E3292" s="28" t="s">
        <v>93</v>
      </c>
      <c r="F3292" s="28">
        <v>25</v>
      </c>
      <c r="G3292" s="28">
        <v>100692</v>
      </c>
      <c r="H3292" s="28">
        <v>0</v>
      </c>
      <c r="J3292" s="28"/>
    </row>
    <row r="3293" spans="1:10" ht="15.75" customHeight="1">
      <c r="A3293" s="28">
        <v>16552</v>
      </c>
      <c r="B3293" s="91">
        <v>44878.204340277778</v>
      </c>
      <c r="C3293" s="28" t="s">
        <v>10</v>
      </c>
      <c r="D3293" s="28" t="s">
        <v>1252</v>
      </c>
      <c r="E3293" s="28" t="s">
        <v>93</v>
      </c>
      <c r="F3293" s="28">
        <v>0</v>
      </c>
      <c r="G3293" s="28" t="s">
        <v>125</v>
      </c>
      <c r="H3293" s="28">
        <v>0</v>
      </c>
      <c r="J3293" s="28"/>
    </row>
    <row r="3294" spans="1:10" ht="15.75" customHeight="1">
      <c r="A3294" s="28">
        <v>16552</v>
      </c>
      <c r="B3294" s="91">
        <v>44878.204340277778</v>
      </c>
      <c r="C3294" s="28" t="s">
        <v>10</v>
      </c>
      <c r="D3294" s="28" t="s">
        <v>1252</v>
      </c>
      <c r="E3294" s="28" t="s">
        <v>93</v>
      </c>
      <c r="F3294" s="28">
        <v>0</v>
      </c>
      <c r="G3294" s="28" t="s">
        <v>119</v>
      </c>
      <c r="H3294" s="28">
        <v>0</v>
      </c>
      <c r="J3294" s="28"/>
    </row>
    <row r="3295" spans="1:10" ht="15.75" customHeight="1">
      <c r="A3295" s="28">
        <v>16552</v>
      </c>
      <c r="B3295" s="91">
        <v>44878.204340277778</v>
      </c>
      <c r="C3295" s="28" t="s">
        <v>10</v>
      </c>
      <c r="D3295" s="28" t="s">
        <v>1252</v>
      </c>
      <c r="E3295" s="28" t="s">
        <v>93</v>
      </c>
      <c r="F3295" s="28">
        <v>22</v>
      </c>
      <c r="G3295" s="28" t="s">
        <v>137</v>
      </c>
      <c r="H3295" s="28">
        <v>0</v>
      </c>
      <c r="J3295" s="28"/>
    </row>
    <row r="3296" spans="1:10" ht="15.75" customHeight="1">
      <c r="A3296" s="28">
        <v>16546</v>
      </c>
      <c r="B3296" s="91">
        <v>44877.809733796297</v>
      </c>
      <c r="C3296" s="28" t="s">
        <v>10</v>
      </c>
      <c r="D3296" s="28" t="s">
        <v>1253</v>
      </c>
      <c r="E3296" s="28" t="s">
        <v>92</v>
      </c>
      <c r="F3296" s="28">
        <v>25</v>
      </c>
      <c r="G3296" s="28" t="s">
        <v>1106</v>
      </c>
      <c r="H3296" s="28">
        <v>0</v>
      </c>
      <c r="J3296" s="28"/>
    </row>
    <row r="3297" spans="1:10" ht="15.75" customHeight="1">
      <c r="A3297" s="28">
        <v>16546</v>
      </c>
      <c r="B3297" s="91">
        <v>44877.809733796297</v>
      </c>
      <c r="C3297" s="28" t="s">
        <v>10</v>
      </c>
      <c r="D3297" s="28" t="s">
        <v>1253</v>
      </c>
      <c r="E3297" s="28" t="s">
        <v>92</v>
      </c>
      <c r="F3297" s="28">
        <v>0</v>
      </c>
      <c r="G3297" s="28" t="s">
        <v>884</v>
      </c>
      <c r="H3297" s="28">
        <v>0</v>
      </c>
      <c r="J3297" s="28"/>
    </row>
    <row r="3298" spans="1:10" ht="15.75" customHeight="1">
      <c r="A3298" s="28">
        <v>16546</v>
      </c>
      <c r="B3298" s="91">
        <v>44877.809733796297</v>
      </c>
      <c r="C3298" s="28" t="s">
        <v>10</v>
      </c>
      <c r="D3298" s="28" t="s">
        <v>1253</v>
      </c>
      <c r="E3298" s="28" t="s">
        <v>92</v>
      </c>
      <c r="F3298" s="28">
        <v>0</v>
      </c>
      <c r="G3298" s="28" t="s">
        <v>882</v>
      </c>
      <c r="H3298" s="28">
        <v>0</v>
      </c>
      <c r="J3298" s="28"/>
    </row>
    <row r="3299" spans="1:10" ht="15.75" customHeight="1">
      <c r="A3299" s="28">
        <v>16545</v>
      </c>
      <c r="B3299" s="91">
        <v>44877.809513888889</v>
      </c>
      <c r="C3299" s="28" t="s">
        <v>10</v>
      </c>
      <c r="D3299" s="28" t="s">
        <v>1254</v>
      </c>
      <c r="E3299" s="28" t="s">
        <v>92</v>
      </c>
      <c r="F3299" s="28">
        <v>25</v>
      </c>
      <c r="G3299" s="28" t="s">
        <v>1106</v>
      </c>
      <c r="H3299" s="28">
        <v>0</v>
      </c>
      <c r="J3299" s="28"/>
    </row>
    <row r="3300" spans="1:10" ht="15.75" customHeight="1">
      <c r="A3300" s="28">
        <v>16545</v>
      </c>
      <c r="B3300" s="91">
        <v>44877.809513888889</v>
      </c>
      <c r="C3300" s="28" t="s">
        <v>10</v>
      </c>
      <c r="D3300" s="28" t="s">
        <v>1254</v>
      </c>
      <c r="E3300" s="28" t="s">
        <v>92</v>
      </c>
      <c r="F3300" s="28">
        <v>0</v>
      </c>
      <c r="G3300" s="28" t="s">
        <v>884</v>
      </c>
      <c r="H3300" s="28">
        <v>0</v>
      </c>
      <c r="J3300" s="28"/>
    </row>
    <row r="3301" spans="1:10" ht="15.75" customHeight="1">
      <c r="A3301" s="28">
        <v>16545</v>
      </c>
      <c r="B3301" s="91">
        <v>44877.809513888889</v>
      </c>
      <c r="C3301" s="28" t="s">
        <v>10</v>
      </c>
      <c r="D3301" s="28" t="s">
        <v>1254</v>
      </c>
      <c r="E3301" s="28" t="s">
        <v>92</v>
      </c>
      <c r="F3301" s="28">
        <v>0</v>
      </c>
      <c r="G3301" s="28" t="s">
        <v>882</v>
      </c>
      <c r="H3301" s="28">
        <v>0</v>
      </c>
      <c r="J3301" s="28"/>
    </row>
    <row r="3302" spans="1:10" ht="15.75" customHeight="1">
      <c r="A3302" s="28">
        <v>16544</v>
      </c>
      <c r="B3302" s="91">
        <v>44877.803032407406</v>
      </c>
      <c r="C3302" s="28" t="s">
        <v>10</v>
      </c>
      <c r="D3302" s="28" t="s">
        <v>1255</v>
      </c>
      <c r="E3302" s="28" t="s">
        <v>92</v>
      </c>
      <c r="F3302" s="28">
        <v>25</v>
      </c>
      <c r="G3302" s="28" t="s">
        <v>1106</v>
      </c>
      <c r="H3302" s="28">
        <v>0</v>
      </c>
      <c r="J3302" s="28"/>
    </row>
    <row r="3303" spans="1:10" ht="15.75" customHeight="1">
      <c r="A3303" s="28">
        <v>16544</v>
      </c>
      <c r="B3303" s="91">
        <v>44877.803032407406</v>
      </c>
      <c r="C3303" s="28" t="s">
        <v>10</v>
      </c>
      <c r="D3303" s="28" t="s">
        <v>1255</v>
      </c>
      <c r="E3303" s="28" t="s">
        <v>92</v>
      </c>
      <c r="F3303" s="28">
        <v>0</v>
      </c>
      <c r="G3303" s="28" t="s">
        <v>884</v>
      </c>
      <c r="H3303" s="28">
        <v>0</v>
      </c>
      <c r="J3303" s="28"/>
    </row>
    <row r="3304" spans="1:10" ht="15.75" customHeight="1">
      <c r="A3304" s="28">
        <v>16544</v>
      </c>
      <c r="B3304" s="91">
        <v>44877.803032407406</v>
      </c>
      <c r="C3304" s="28" t="s">
        <v>10</v>
      </c>
      <c r="D3304" s="28" t="s">
        <v>1255</v>
      </c>
      <c r="E3304" s="28" t="s">
        <v>92</v>
      </c>
      <c r="F3304" s="28">
        <v>0</v>
      </c>
      <c r="G3304" s="28" t="s">
        <v>882</v>
      </c>
      <c r="H3304" s="28">
        <v>0</v>
      </c>
      <c r="J3304" s="28"/>
    </row>
    <row r="3305" spans="1:10" ht="15.75" customHeight="1">
      <c r="A3305" s="28">
        <v>16543</v>
      </c>
      <c r="B3305" s="91">
        <v>44877.795787037037</v>
      </c>
      <c r="C3305" s="28" t="s">
        <v>10</v>
      </c>
      <c r="D3305" s="28" t="s">
        <v>1256</v>
      </c>
      <c r="E3305" s="28" t="s">
        <v>92</v>
      </c>
      <c r="F3305" s="28">
        <v>25</v>
      </c>
      <c r="G3305" s="28" t="s">
        <v>1106</v>
      </c>
      <c r="H3305" s="28">
        <v>0</v>
      </c>
      <c r="J3305" s="28"/>
    </row>
    <row r="3306" spans="1:10" ht="15.75" customHeight="1">
      <c r="A3306" s="28">
        <v>16543</v>
      </c>
      <c r="B3306" s="91">
        <v>44877.795787037037</v>
      </c>
      <c r="C3306" s="28" t="s">
        <v>10</v>
      </c>
      <c r="D3306" s="28" t="s">
        <v>1256</v>
      </c>
      <c r="E3306" s="28" t="s">
        <v>92</v>
      </c>
      <c r="F3306" s="28">
        <v>0</v>
      </c>
      <c r="G3306" s="28" t="s">
        <v>884</v>
      </c>
      <c r="H3306" s="28">
        <v>0</v>
      </c>
      <c r="J3306" s="28"/>
    </row>
    <row r="3307" spans="1:10" ht="15.75" customHeight="1">
      <c r="A3307" s="28">
        <v>16543</v>
      </c>
      <c r="B3307" s="91">
        <v>44877.795787037037</v>
      </c>
      <c r="C3307" s="28" t="s">
        <v>10</v>
      </c>
      <c r="D3307" s="28" t="s">
        <v>1256</v>
      </c>
      <c r="E3307" s="28" t="s">
        <v>92</v>
      </c>
      <c r="F3307" s="28">
        <v>0</v>
      </c>
      <c r="G3307" s="28" t="s">
        <v>882</v>
      </c>
      <c r="H3307" s="28">
        <v>0</v>
      </c>
      <c r="J3307" s="28"/>
    </row>
    <row r="3308" spans="1:10" ht="15.75" customHeight="1">
      <c r="A3308" s="28">
        <v>16542</v>
      </c>
      <c r="B3308" s="91">
        <v>44877.795497685191</v>
      </c>
      <c r="C3308" s="28" t="s">
        <v>10</v>
      </c>
      <c r="D3308" s="28" t="s">
        <v>1257</v>
      </c>
      <c r="E3308" s="28" t="s">
        <v>92</v>
      </c>
      <c r="F3308" s="28">
        <v>18</v>
      </c>
      <c r="G3308" s="28" t="s">
        <v>119</v>
      </c>
      <c r="H3308" s="28">
        <v>0</v>
      </c>
      <c r="J3308" s="28"/>
    </row>
    <row r="3309" spans="1:10" ht="15.75" customHeight="1">
      <c r="A3309" s="28">
        <v>16542</v>
      </c>
      <c r="B3309" s="91">
        <v>44877.795497685191</v>
      </c>
      <c r="C3309" s="28" t="s">
        <v>10</v>
      </c>
      <c r="D3309" s="28" t="s">
        <v>1257</v>
      </c>
      <c r="E3309" s="28" t="s">
        <v>92</v>
      </c>
      <c r="F3309" s="28">
        <v>28</v>
      </c>
      <c r="G3309" s="28" t="s">
        <v>143</v>
      </c>
      <c r="H3309" s="28">
        <v>0</v>
      </c>
      <c r="J3309" s="28"/>
    </row>
    <row r="3310" spans="1:10" ht="15.75" customHeight="1">
      <c r="A3310" s="28">
        <v>16541</v>
      </c>
      <c r="B3310" s="91">
        <v>44877.787175925929</v>
      </c>
      <c r="C3310" s="28" t="s">
        <v>10</v>
      </c>
      <c r="D3310" s="28" t="s">
        <v>1258</v>
      </c>
      <c r="E3310" s="28" t="s">
        <v>92</v>
      </c>
      <c r="F3310" s="28">
        <v>25</v>
      </c>
      <c r="G3310" s="28" t="s">
        <v>1106</v>
      </c>
      <c r="H3310" s="28">
        <v>0</v>
      </c>
      <c r="J3310" s="28"/>
    </row>
    <row r="3311" spans="1:10" ht="15.75" customHeight="1">
      <c r="A3311" s="28">
        <v>16541</v>
      </c>
      <c r="B3311" s="91">
        <v>44877.787175925929</v>
      </c>
      <c r="C3311" s="28" t="s">
        <v>10</v>
      </c>
      <c r="D3311" s="28" t="s">
        <v>1258</v>
      </c>
      <c r="E3311" s="28" t="s">
        <v>92</v>
      </c>
      <c r="F3311" s="28">
        <v>0</v>
      </c>
      <c r="G3311" s="28" t="s">
        <v>884</v>
      </c>
      <c r="H3311" s="28">
        <v>0</v>
      </c>
      <c r="J3311" s="28"/>
    </row>
    <row r="3312" spans="1:10" ht="15.75" customHeight="1">
      <c r="A3312" s="28">
        <v>16541</v>
      </c>
      <c r="B3312" s="91">
        <v>44877.787175925929</v>
      </c>
      <c r="C3312" s="28" t="s">
        <v>10</v>
      </c>
      <c r="D3312" s="28" t="s">
        <v>1258</v>
      </c>
      <c r="E3312" s="28" t="s">
        <v>92</v>
      </c>
      <c r="F3312" s="28">
        <v>0</v>
      </c>
      <c r="G3312" s="28" t="s">
        <v>882</v>
      </c>
      <c r="H3312" s="28">
        <v>0</v>
      </c>
      <c r="J3312" s="28"/>
    </row>
    <row r="3313" spans="1:10" ht="15.75" customHeight="1">
      <c r="A3313" s="28">
        <v>16540</v>
      </c>
      <c r="B3313" s="91">
        <v>44877.784085648149</v>
      </c>
      <c r="C3313" s="28" t="s">
        <v>10</v>
      </c>
      <c r="D3313" s="28" t="s">
        <v>1259</v>
      </c>
      <c r="E3313" s="28" t="s">
        <v>92</v>
      </c>
      <c r="F3313" s="28">
        <v>35</v>
      </c>
      <c r="G3313" s="28" t="s">
        <v>124</v>
      </c>
      <c r="H3313" s="28">
        <v>0</v>
      </c>
      <c r="J3313" s="28"/>
    </row>
    <row r="3314" spans="1:10" ht="15.75" customHeight="1">
      <c r="A3314" s="28">
        <v>16540</v>
      </c>
      <c r="B3314" s="91">
        <v>44877.784085648149</v>
      </c>
      <c r="C3314" s="28" t="s">
        <v>10</v>
      </c>
      <c r="D3314" s="28" t="s">
        <v>1259</v>
      </c>
      <c r="E3314" s="28" t="s">
        <v>92</v>
      </c>
      <c r="F3314" s="28">
        <v>0</v>
      </c>
      <c r="G3314" s="28" t="s">
        <v>125</v>
      </c>
      <c r="H3314" s="28">
        <v>0</v>
      </c>
      <c r="J3314" s="28"/>
    </row>
    <row r="3315" spans="1:10" ht="15.75" customHeight="1">
      <c r="A3315" s="28">
        <v>16540</v>
      </c>
      <c r="B3315" s="91">
        <v>44877.784085648149</v>
      </c>
      <c r="C3315" s="28" t="s">
        <v>10</v>
      </c>
      <c r="D3315" s="28" t="s">
        <v>1259</v>
      </c>
      <c r="E3315" s="28" t="s">
        <v>92</v>
      </c>
      <c r="F3315" s="28">
        <v>0</v>
      </c>
      <c r="G3315" s="28" t="s">
        <v>121</v>
      </c>
      <c r="H3315" s="28">
        <v>0</v>
      </c>
      <c r="J3315" s="28"/>
    </row>
    <row r="3316" spans="1:10" ht="15.75" customHeight="1">
      <c r="A3316" s="28">
        <v>16540</v>
      </c>
      <c r="B3316" s="91">
        <v>44877.784085648149</v>
      </c>
      <c r="C3316" s="28" t="s">
        <v>10</v>
      </c>
      <c r="D3316" s="28" t="s">
        <v>1259</v>
      </c>
      <c r="E3316" s="28" t="s">
        <v>92</v>
      </c>
      <c r="F3316" s="28">
        <v>0</v>
      </c>
      <c r="G3316" s="28" t="s">
        <v>139</v>
      </c>
      <c r="H3316" s="28">
        <v>0</v>
      </c>
      <c r="J3316" s="28"/>
    </row>
    <row r="3317" spans="1:10" ht="15.75" customHeight="1">
      <c r="A3317" s="28">
        <v>16539</v>
      </c>
      <c r="B3317" s="91">
        <v>44877.767118055555</v>
      </c>
      <c r="C3317" s="28" t="s">
        <v>10</v>
      </c>
      <c r="D3317" s="28" t="s">
        <v>1260</v>
      </c>
      <c r="E3317" s="28" t="s">
        <v>92</v>
      </c>
      <c r="F3317" s="28">
        <v>25</v>
      </c>
      <c r="G3317" s="28" t="s">
        <v>1106</v>
      </c>
      <c r="H3317" s="28">
        <v>0</v>
      </c>
      <c r="J3317" s="28"/>
    </row>
    <row r="3318" spans="1:10" ht="15.75" customHeight="1">
      <c r="A3318" s="28">
        <v>16539</v>
      </c>
      <c r="B3318" s="91">
        <v>44877.767118055555</v>
      </c>
      <c r="C3318" s="28" t="s">
        <v>10</v>
      </c>
      <c r="D3318" s="28" t="s">
        <v>1260</v>
      </c>
      <c r="E3318" s="28" t="s">
        <v>92</v>
      </c>
      <c r="F3318" s="28">
        <v>0</v>
      </c>
      <c r="G3318" s="28" t="s">
        <v>884</v>
      </c>
      <c r="H3318" s="28">
        <v>0</v>
      </c>
      <c r="J3318" s="28"/>
    </row>
    <row r="3319" spans="1:10" ht="15.75" customHeight="1">
      <c r="A3319" s="28">
        <v>16539</v>
      </c>
      <c r="B3319" s="91">
        <v>44877.767118055555</v>
      </c>
      <c r="C3319" s="28" t="s">
        <v>10</v>
      </c>
      <c r="D3319" s="28" t="s">
        <v>1260</v>
      </c>
      <c r="E3319" s="28" t="s">
        <v>92</v>
      </c>
      <c r="F3319" s="28">
        <v>0</v>
      </c>
      <c r="G3319" s="28" t="s">
        <v>882</v>
      </c>
      <c r="H3319" s="28">
        <v>0</v>
      </c>
      <c r="J3319" s="28"/>
    </row>
    <row r="3320" spans="1:10" ht="15.75" customHeight="1">
      <c r="A3320" s="28">
        <v>16538</v>
      </c>
      <c r="B3320" s="91">
        <v>44877.763958333337</v>
      </c>
      <c r="C3320" s="28" t="s">
        <v>10</v>
      </c>
      <c r="D3320" s="28" t="s">
        <v>1261</v>
      </c>
      <c r="E3320" s="28" t="s">
        <v>92</v>
      </c>
      <c r="F3320" s="28">
        <v>25</v>
      </c>
      <c r="G3320" s="28" t="s">
        <v>1106</v>
      </c>
      <c r="H3320" s="28">
        <v>0</v>
      </c>
      <c r="J3320" s="28"/>
    </row>
    <row r="3321" spans="1:10" ht="15.75" customHeight="1">
      <c r="A3321" s="28">
        <v>16538</v>
      </c>
      <c r="B3321" s="91">
        <v>44877.763958333337</v>
      </c>
      <c r="C3321" s="28" t="s">
        <v>10</v>
      </c>
      <c r="D3321" s="28" t="s">
        <v>1261</v>
      </c>
      <c r="E3321" s="28" t="s">
        <v>92</v>
      </c>
      <c r="F3321" s="28">
        <v>0</v>
      </c>
      <c r="G3321" s="28" t="s">
        <v>884</v>
      </c>
      <c r="H3321" s="28">
        <v>0</v>
      </c>
      <c r="J3321" s="28"/>
    </row>
    <row r="3322" spans="1:10" ht="15.75" customHeight="1">
      <c r="A3322" s="28">
        <v>16538</v>
      </c>
      <c r="B3322" s="91">
        <v>44877.763958333337</v>
      </c>
      <c r="C3322" s="28" t="s">
        <v>10</v>
      </c>
      <c r="D3322" s="28" t="s">
        <v>1261</v>
      </c>
      <c r="E3322" s="28" t="s">
        <v>92</v>
      </c>
      <c r="F3322" s="28">
        <v>0</v>
      </c>
      <c r="G3322" s="28" t="s">
        <v>882</v>
      </c>
      <c r="H3322" s="28">
        <v>0</v>
      </c>
      <c r="J3322" s="28"/>
    </row>
    <row r="3323" spans="1:10" ht="15.75" customHeight="1">
      <c r="A3323" s="28">
        <v>16537</v>
      </c>
      <c r="B3323" s="91">
        <v>44877.734259259261</v>
      </c>
      <c r="C3323" s="28" t="s">
        <v>10</v>
      </c>
      <c r="D3323" s="28" t="s">
        <v>1262</v>
      </c>
      <c r="E3323" s="28" t="s">
        <v>92</v>
      </c>
      <c r="F3323" s="28">
        <v>24</v>
      </c>
      <c r="G3323" s="28" t="s">
        <v>122</v>
      </c>
      <c r="H3323" s="28">
        <v>0</v>
      </c>
      <c r="J3323" s="28"/>
    </row>
    <row r="3324" spans="1:10" ht="15.75" customHeight="1">
      <c r="A3324" s="28">
        <v>16536</v>
      </c>
      <c r="B3324" s="91">
        <v>44877.654212962967</v>
      </c>
      <c r="C3324" s="28" t="s">
        <v>10</v>
      </c>
      <c r="D3324" s="28" t="s">
        <v>131</v>
      </c>
      <c r="E3324" s="28" t="s">
        <v>92</v>
      </c>
      <c r="F3324" s="28">
        <v>25</v>
      </c>
      <c r="G3324" s="28" t="s">
        <v>1106</v>
      </c>
      <c r="H3324" s="28">
        <v>0</v>
      </c>
      <c r="J3324" s="28"/>
    </row>
    <row r="3325" spans="1:10" ht="15.75" customHeight="1">
      <c r="A3325" s="28">
        <v>16536</v>
      </c>
      <c r="B3325" s="91">
        <v>44877.654212962967</v>
      </c>
      <c r="C3325" s="28" t="s">
        <v>10</v>
      </c>
      <c r="D3325" s="28" t="s">
        <v>131</v>
      </c>
      <c r="E3325" s="28" t="s">
        <v>92</v>
      </c>
      <c r="F3325" s="28">
        <v>0</v>
      </c>
      <c r="G3325" s="28" t="s">
        <v>884</v>
      </c>
      <c r="H3325" s="28">
        <v>0</v>
      </c>
      <c r="J3325" s="28"/>
    </row>
    <row r="3326" spans="1:10" ht="15.75" customHeight="1">
      <c r="A3326" s="28">
        <v>16536</v>
      </c>
      <c r="B3326" s="91">
        <v>44877.654212962967</v>
      </c>
      <c r="C3326" s="28" t="s">
        <v>10</v>
      </c>
      <c r="D3326" s="28" t="s">
        <v>131</v>
      </c>
      <c r="E3326" s="28" t="s">
        <v>92</v>
      </c>
      <c r="F3326" s="28">
        <v>0</v>
      </c>
      <c r="G3326" s="28" t="s">
        <v>882</v>
      </c>
      <c r="H3326" s="28">
        <v>0</v>
      </c>
      <c r="J3326" s="28"/>
    </row>
    <row r="3327" spans="1:10" ht="15.75" customHeight="1">
      <c r="A3327" s="28">
        <v>16536</v>
      </c>
      <c r="B3327" s="91">
        <v>44877.654212962967</v>
      </c>
      <c r="C3327" s="28" t="s">
        <v>10</v>
      </c>
      <c r="D3327" s="28" t="s">
        <v>131</v>
      </c>
      <c r="E3327" s="28" t="s">
        <v>92</v>
      </c>
      <c r="F3327" s="28">
        <v>24</v>
      </c>
      <c r="G3327" s="28" t="s">
        <v>122</v>
      </c>
      <c r="H3327" s="28">
        <v>0</v>
      </c>
      <c r="J3327" s="28"/>
    </row>
    <row r="3328" spans="1:10" ht="15.75" customHeight="1">
      <c r="A3328" s="28">
        <v>16535</v>
      </c>
      <c r="B3328" s="91">
        <v>44877.644236111111</v>
      </c>
      <c r="C3328" s="28" t="s">
        <v>10</v>
      </c>
      <c r="D3328" s="28" t="s">
        <v>138</v>
      </c>
      <c r="E3328" s="28" t="s">
        <v>92</v>
      </c>
      <c r="F3328" s="28">
        <v>25</v>
      </c>
      <c r="G3328" s="28" t="s">
        <v>1106</v>
      </c>
      <c r="H3328" s="28">
        <v>0</v>
      </c>
      <c r="J3328" s="28"/>
    </row>
    <row r="3329" spans="1:10" ht="15.75" customHeight="1">
      <c r="A3329" s="28">
        <v>16535</v>
      </c>
      <c r="B3329" s="91">
        <v>44877.644236111111</v>
      </c>
      <c r="C3329" s="28" t="s">
        <v>10</v>
      </c>
      <c r="D3329" s="28" t="s">
        <v>138</v>
      </c>
      <c r="E3329" s="28" t="s">
        <v>92</v>
      </c>
      <c r="F3329" s="28">
        <v>0</v>
      </c>
      <c r="G3329" s="28" t="s">
        <v>884</v>
      </c>
      <c r="H3329" s="28">
        <v>0</v>
      </c>
      <c r="J3329" s="28"/>
    </row>
    <row r="3330" spans="1:10" ht="15.75" customHeight="1">
      <c r="A3330" s="28">
        <v>16535</v>
      </c>
      <c r="B3330" s="91">
        <v>44877.644236111111</v>
      </c>
      <c r="C3330" s="28" t="s">
        <v>10</v>
      </c>
      <c r="D3330" s="28" t="s">
        <v>138</v>
      </c>
      <c r="E3330" s="28" t="s">
        <v>92</v>
      </c>
      <c r="F3330" s="28">
        <v>0</v>
      </c>
      <c r="G3330" s="28" t="s">
        <v>882</v>
      </c>
      <c r="H3330" s="28">
        <v>0</v>
      </c>
      <c r="J3330" s="28"/>
    </row>
    <row r="3331" spans="1:10" ht="15.75" customHeight="1">
      <c r="A3331" s="28">
        <v>16534</v>
      </c>
      <c r="B3331" s="91">
        <v>44877.270196759258</v>
      </c>
      <c r="C3331" s="28" t="s">
        <v>10</v>
      </c>
      <c r="D3331" s="28" t="s">
        <v>1263</v>
      </c>
      <c r="E3331" s="28" t="s">
        <v>92</v>
      </c>
      <c r="F3331" s="28">
        <v>25</v>
      </c>
      <c r="G3331" s="28" t="s">
        <v>1106</v>
      </c>
      <c r="H3331" s="28">
        <v>0</v>
      </c>
      <c r="J3331" s="28"/>
    </row>
    <row r="3332" spans="1:10" ht="15.75" customHeight="1">
      <c r="A3332" s="28">
        <v>16534</v>
      </c>
      <c r="B3332" s="91">
        <v>44877.270196759258</v>
      </c>
      <c r="C3332" s="28" t="s">
        <v>10</v>
      </c>
      <c r="D3332" s="28" t="s">
        <v>1263</v>
      </c>
      <c r="E3332" s="28" t="s">
        <v>92</v>
      </c>
      <c r="F3332" s="28">
        <v>0</v>
      </c>
      <c r="G3332" s="28" t="s">
        <v>884</v>
      </c>
      <c r="H3332" s="28">
        <v>0</v>
      </c>
      <c r="J3332" s="28"/>
    </row>
    <row r="3333" spans="1:10" ht="15.75" customHeight="1">
      <c r="A3333" s="28">
        <v>16534</v>
      </c>
      <c r="B3333" s="91">
        <v>44877.270196759258</v>
      </c>
      <c r="C3333" s="28" t="s">
        <v>10</v>
      </c>
      <c r="D3333" s="28" t="s">
        <v>1263</v>
      </c>
      <c r="E3333" s="28" t="s">
        <v>92</v>
      </c>
      <c r="F3333" s="28">
        <v>0</v>
      </c>
      <c r="G3333" s="28" t="s">
        <v>882</v>
      </c>
      <c r="H3333" s="28">
        <v>0</v>
      </c>
      <c r="J3333" s="28"/>
    </row>
    <row r="3334" spans="1:10" ht="15.75" customHeight="1">
      <c r="A3334" s="28">
        <v>16458</v>
      </c>
      <c r="B3334" s="91">
        <v>44876.807546296295</v>
      </c>
      <c r="C3334" s="28" t="s">
        <v>10</v>
      </c>
      <c r="D3334" s="28" t="s">
        <v>1264</v>
      </c>
      <c r="E3334" s="28" t="s">
        <v>92</v>
      </c>
      <c r="F3334" s="28">
        <v>15</v>
      </c>
      <c r="G3334" s="28" t="s">
        <v>170</v>
      </c>
      <c r="H3334" s="28">
        <v>0</v>
      </c>
      <c r="J3334" s="28"/>
    </row>
    <row r="3335" spans="1:10" ht="15.75" customHeight="1">
      <c r="A3335" s="28">
        <v>16458</v>
      </c>
      <c r="B3335" s="91">
        <v>44876.807546296295</v>
      </c>
      <c r="C3335" s="28" t="s">
        <v>10</v>
      </c>
      <c r="D3335" s="28" t="s">
        <v>1264</v>
      </c>
      <c r="E3335" s="28" t="s">
        <v>92</v>
      </c>
      <c r="F3335" s="28">
        <v>25</v>
      </c>
      <c r="G3335" s="28" t="s">
        <v>1106</v>
      </c>
      <c r="H3335" s="28">
        <v>0</v>
      </c>
      <c r="J3335" s="28"/>
    </row>
    <row r="3336" spans="1:10" ht="15.75" customHeight="1">
      <c r="A3336" s="28">
        <v>16458</v>
      </c>
      <c r="B3336" s="91">
        <v>44876.807546296295</v>
      </c>
      <c r="C3336" s="28" t="s">
        <v>10</v>
      </c>
      <c r="D3336" s="28" t="s">
        <v>1264</v>
      </c>
      <c r="E3336" s="28" t="s">
        <v>92</v>
      </c>
      <c r="F3336" s="28">
        <v>0</v>
      </c>
      <c r="G3336" s="28" t="s">
        <v>884</v>
      </c>
      <c r="H3336" s="28">
        <v>0</v>
      </c>
      <c r="J3336" s="28"/>
    </row>
    <row r="3337" spans="1:10" ht="15.75" customHeight="1">
      <c r="A3337" s="28">
        <v>16458</v>
      </c>
      <c r="B3337" s="91">
        <v>44876.807546296295</v>
      </c>
      <c r="C3337" s="28" t="s">
        <v>10</v>
      </c>
      <c r="D3337" s="28" t="s">
        <v>1264</v>
      </c>
      <c r="E3337" s="28" t="s">
        <v>92</v>
      </c>
      <c r="F3337" s="28">
        <v>0</v>
      </c>
      <c r="G3337" s="28" t="s">
        <v>882</v>
      </c>
      <c r="H3337" s="28">
        <v>0</v>
      </c>
      <c r="J3337" s="28"/>
    </row>
    <row r="3338" spans="1:10" ht="15.75" customHeight="1">
      <c r="A3338" s="28">
        <v>16444</v>
      </c>
      <c r="B3338" s="91">
        <v>44875.802395833336</v>
      </c>
      <c r="C3338" s="28" t="s">
        <v>10</v>
      </c>
      <c r="D3338" s="28" t="s">
        <v>1265</v>
      </c>
      <c r="E3338" s="28" t="s">
        <v>92</v>
      </c>
      <c r="F3338" s="28">
        <v>25</v>
      </c>
      <c r="G3338" s="28">
        <v>100692</v>
      </c>
      <c r="H3338" s="28">
        <v>0</v>
      </c>
      <c r="J3338" s="28"/>
    </row>
    <row r="3339" spans="1:10" ht="15.75" customHeight="1">
      <c r="A3339" s="28">
        <v>16444</v>
      </c>
      <c r="B3339" s="91">
        <v>44875.802395833336</v>
      </c>
      <c r="C3339" s="28" t="s">
        <v>10</v>
      </c>
      <c r="D3339" s="28" t="s">
        <v>1265</v>
      </c>
      <c r="E3339" s="28" t="s">
        <v>92</v>
      </c>
      <c r="F3339" s="28">
        <v>0</v>
      </c>
      <c r="G3339" s="28" t="s">
        <v>125</v>
      </c>
      <c r="H3339" s="28">
        <v>0</v>
      </c>
      <c r="J3339" s="28"/>
    </row>
    <row r="3340" spans="1:10" ht="15.75" customHeight="1">
      <c r="A3340" s="28">
        <v>16444</v>
      </c>
      <c r="B3340" s="91">
        <v>44875.802395833336</v>
      </c>
      <c r="C3340" s="28" t="s">
        <v>10</v>
      </c>
      <c r="D3340" s="28" t="s">
        <v>1265</v>
      </c>
      <c r="E3340" s="28" t="s">
        <v>92</v>
      </c>
      <c r="F3340" s="28">
        <v>0</v>
      </c>
      <c r="G3340" s="28" t="s">
        <v>119</v>
      </c>
      <c r="H3340" s="28">
        <v>0</v>
      </c>
      <c r="J3340" s="28"/>
    </row>
    <row r="3341" spans="1:10" ht="15.75" customHeight="1">
      <c r="A3341" s="28">
        <v>16443</v>
      </c>
      <c r="B3341" s="91">
        <v>44875.800659722227</v>
      </c>
      <c r="C3341" s="28" t="s">
        <v>10</v>
      </c>
      <c r="D3341" s="28" t="s">
        <v>1265</v>
      </c>
      <c r="E3341" s="28" t="s">
        <v>92</v>
      </c>
      <c r="F3341" s="28">
        <v>25</v>
      </c>
      <c r="G3341" s="28" t="s">
        <v>1106</v>
      </c>
      <c r="H3341" s="28">
        <v>0</v>
      </c>
      <c r="J3341" s="28"/>
    </row>
    <row r="3342" spans="1:10" ht="15.75" customHeight="1">
      <c r="A3342" s="28">
        <v>16443</v>
      </c>
      <c r="B3342" s="91">
        <v>44875.800659722227</v>
      </c>
      <c r="C3342" s="28" t="s">
        <v>10</v>
      </c>
      <c r="D3342" s="28" t="s">
        <v>1265</v>
      </c>
      <c r="E3342" s="28" t="s">
        <v>92</v>
      </c>
      <c r="F3342" s="28">
        <v>0</v>
      </c>
      <c r="G3342" s="28" t="s">
        <v>884</v>
      </c>
      <c r="H3342" s="28">
        <v>0</v>
      </c>
      <c r="J3342" s="28"/>
    </row>
    <row r="3343" spans="1:10" ht="15.75" customHeight="1">
      <c r="A3343" s="28">
        <v>16443</v>
      </c>
      <c r="B3343" s="91">
        <v>44875.800659722227</v>
      </c>
      <c r="C3343" s="28" t="s">
        <v>10</v>
      </c>
      <c r="D3343" s="28" t="s">
        <v>1265</v>
      </c>
      <c r="E3343" s="28" t="s">
        <v>92</v>
      </c>
      <c r="F3343" s="28">
        <v>0</v>
      </c>
      <c r="G3343" s="28" t="s">
        <v>882</v>
      </c>
      <c r="H3343" s="28">
        <v>0</v>
      </c>
      <c r="J3343" s="28"/>
    </row>
    <row r="3344" spans="1:10" ht="15.75" customHeight="1">
      <c r="A3344" s="28">
        <v>16442</v>
      </c>
      <c r="B3344" s="91">
        <v>44875.502824074079</v>
      </c>
      <c r="C3344" s="28" t="s">
        <v>10</v>
      </c>
      <c r="D3344" s="28" t="s">
        <v>1266</v>
      </c>
      <c r="E3344" s="28" t="s">
        <v>92</v>
      </c>
      <c r="F3344" s="28">
        <v>25</v>
      </c>
      <c r="G3344" s="28" t="s">
        <v>1106</v>
      </c>
      <c r="H3344" s="28">
        <v>0</v>
      </c>
      <c r="J3344" s="28"/>
    </row>
    <row r="3345" spans="1:10" ht="15.75" customHeight="1">
      <c r="A3345" s="28">
        <v>16442</v>
      </c>
      <c r="B3345" s="91">
        <v>44875.502824074079</v>
      </c>
      <c r="C3345" s="28" t="s">
        <v>10</v>
      </c>
      <c r="D3345" s="28" t="s">
        <v>1266</v>
      </c>
      <c r="E3345" s="28" t="s">
        <v>92</v>
      </c>
      <c r="F3345" s="28">
        <v>0</v>
      </c>
      <c r="G3345" s="28" t="s">
        <v>884</v>
      </c>
      <c r="H3345" s="28">
        <v>0</v>
      </c>
      <c r="J3345" s="28"/>
    </row>
    <row r="3346" spans="1:10" ht="15.75" customHeight="1">
      <c r="A3346" s="28">
        <v>16442</v>
      </c>
      <c r="B3346" s="91">
        <v>44875.502824074079</v>
      </c>
      <c r="C3346" s="28" t="s">
        <v>10</v>
      </c>
      <c r="D3346" s="28" t="s">
        <v>1266</v>
      </c>
      <c r="E3346" s="28" t="s">
        <v>92</v>
      </c>
      <c r="F3346" s="28">
        <v>0</v>
      </c>
      <c r="G3346" s="28" t="s">
        <v>882</v>
      </c>
      <c r="H3346" s="28">
        <v>0</v>
      </c>
      <c r="J3346" s="28"/>
    </row>
    <row r="3347" spans="1:10" ht="15.75" customHeight="1">
      <c r="A3347" s="28">
        <v>16431</v>
      </c>
      <c r="B3347" s="91">
        <v>44874.8909837963</v>
      </c>
      <c r="C3347" s="28" t="s">
        <v>10</v>
      </c>
      <c r="D3347" s="28" t="s">
        <v>1267</v>
      </c>
      <c r="E3347" s="28" t="s">
        <v>92</v>
      </c>
      <c r="F3347" s="28">
        <v>25</v>
      </c>
      <c r="G3347" s="28" t="s">
        <v>1106</v>
      </c>
      <c r="H3347" s="28">
        <v>0</v>
      </c>
      <c r="J3347" s="28"/>
    </row>
    <row r="3348" spans="1:10" ht="15.75" customHeight="1">
      <c r="A3348" s="28">
        <v>16431</v>
      </c>
      <c r="B3348" s="91">
        <v>44874.8909837963</v>
      </c>
      <c r="C3348" s="28" t="s">
        <v>10</v>
      </c>
      <c r="D3348" s="28" t="s">
        <v>1267</v>
      </c>
      <c r="E3348" s="28" t="s">
        <v>92</v>
      </c>
      <c r="F3348" s="28">
        <v>0</v>
      </c>
      <c r="G3348" s="28" t="s">
        <v>884</v>
      </c>
      <c r="H3348" s="28">
        <v>0</v>
      </c>
      <c r="J3348" s="28"/>
    </row>
    <row r="3349" spans="1:10" ht="15.75" customHeight="1">
      <c r="A3349" s="28">
        <v>16431</v>
      </c>
      <c r="B3349" s="91">
        <v>44874.8909837963</v>
      </c>
      <c r="C3349" s="28" t="s">
        <v>10</v>
      </c>
      <c r="D3349" s="28" t="s">
        <v>1267</v>
      </c>
      <c r="E3349" s="28" t="s">
        <v>92</v>
      </c>
      <c r="F3349" s="28">
        <v>0</v>
      </c>
      <c r="G3349" s="28" t="s">
        <v>882</v>
      </c>
      <c r="H3349" s="28">
        <v>0</v>
      </c>
      <c r="J3349" s="28"/>
    </row>
    <row r="3350" spans="1:10" ht="15.75" customHeight="1">
      <c r="A3350" s="28">
        <v>16430</v>
      </c>
      <c r="B3350" s="91">
        <v>44871.039884259255</v>
      </c>
      <c r="C3350" s="28" t="s">
        <v>10</v>
      </c>
      <c r="D3350" s="28" t="s">
        <v>1097</v>
      </c>
      <c r="E3350" s="28" t="s">
        <v>93</v>
      </c>
      <c r="F3350" s="28">
        <v>0</v>
      </c>
      <c r="G3350" s="28" t="s">
        <v>334</v>
      </c>
      <c r="H3350" s="28">
        <v>0</v>
      </c>
      <c r="J3350" s="28"/>
    </row>
    <row r="3351" spans="1:10" ht="15.75" customHeight="1">
      <c r="A3351" s="28">
        <v>16430</v>
      </c>
      <c r="B3351" s="91">
        <v>44871.039884259255</v>
      </c>
      <c r="C3351" s="28" t="s">
        <v>10</v>
      </c>
      <c r="D3351" s="28" t="s">
        <v>1097</v>
      </c>
      <c r="E3351" s="28" t="s">
        <v>93</v>
      </c>
      <c r="F3351" s="28">
        <v>0</v>
      </c>
      <c r="G3351" s="28" t="s">
        <v>119</v>
      </c>
      <c r="H3351" s="28">
        <v>0</v>
      </c>
      <c r="J3351" s="28"/>
    </row>
    <row r="3352" spans="1:10" ht="15.75" customHeight="1">
      <c r="A3352" s="28">
        <v>16406</v>
      </c>
      <c r="B3352" s="91">
        <v>44868.76262731482</v>
      </c>
      <c r="C3352" s="28" t="s">
        <v>10</v>
      </c>
      <c r="D3352" s="28" t="s">
        <v>1097</v>
      </c>
      <c r="E3352" s="28" t="s">
        <v>1268</v>
      </c>
      <c r="F3352" s="28">
        <v>0</v>
      </c>
      <c r="G3352" s="28" t="s">
        <v>908</v>
      </c>
      <c r="H3352" s="28">
        <v>0</v>
      </c>
      <c r="J3352" s="28"/>
    </row>
    <row r="3353" spans="1:10" ht="15.75" customHeight="1">
      <c r="A3353" s="28">
        <v>16397</v>
      </c>
      <c r="B3353" s="91">
        <v>44865.114629629628</v>
      </c>
      <c r="C3353" s="28" t="s">
        <v>10</v>
      </c>
      <c r="D3353" s="28" t="s">
        <v>1269</v>
      </c>
      <c r="E3353" s="28"/>
      <c r="F3353" s="28">
        <v>20</v>
      </c>
      <c r="G3353" s="28" t="s">
        <v>121</v>
      </c>
      <c r="H3353" s="28">
        <v>0</v>
      </c>
      <c r="J3353" s="28"/>
    </row>
    <row r="3354" spans="1:10" ht="15.75" customHeight="1">
      <c r="A3354" s="28">
        <v>16397</v>
      </c>
      <c r="B3354" s="91">
        <v>44865.114629629628</v>
      </c>
      <c r="C3354" s="28" t="s">
        <v>10</v>
      </c>
      <c r="D3354" s="28" t="s">
        <v>1269</v>
      </c>
      <c r="E3354" s="28"/>
      <c r="F3354" s="28">
        <v>15</v>
      </c>
      <c r="G3354" s="28" t="s">
        <v>742</v>
      </c>
      <c r="H3354" s="28">
        <v>0</v>
      </c>
      <c r="J3354" s="28"/>
    </row>
    <row r="3355" spans="1:10" ht="15.75" customHeight="1">
      <c r="A3355" s="28">
        <v>16395</v>
      </c>
      <c r="B3355" s="91">
        <v>44864.898831018523</v>
      </c>
      <c r="C3355" s="28" t="s">
        <v>10</v>
      </c>
      <c r="D3355" s="28" t="s">
        <v>1270</v>
      </c>
      <c r="E3355" s="28"/>
      <c r="F3355" s="28">
        <v>18</v>
      </c>
      <c r="G3355" s="28" t="s">
        <v>457</v>
      </c>
      <c r="H3355" s="28">
        <v>0</v>
      </c>
      <c r="J3355" s="28"/>
    </row>
    <row r="3356" spans="1:10" ht="15.75" customHeight="1">
      <c r="A3356" s="28">
        <v>16394</v>
      </c>
      <c r="B3356" s="91">
        <v>44864.833402777775</v>
      </c>
      <c r="C3356" s="28" t="s">
        <v>10</v>
      </c>
      <c r="D3356" s="28" t="s">
        <v>1271</v>
      </c>
      <c r="E3356" s="28"/>
      <c r="F3356" s="28">
        <v>55</v>
      </c>
      <c r="G3356" s="28">
        <v>101684</v>
      </c>
      <c r="H3356" s="28">
        <v>0</v>
      </c>
      <c r="J3356" s="28"/>
    </row>
    <row r="3357" spans="1:10" ht="15.75" customHeight="1">
      <c r="A3357" s="28">
        <v>16394</v>
      </c>
      <c r="B3357" s="91">
        <v>44864.833402777775</v>
      </c>
      <c r="C3357" s="28" t="s">
        <v>10</v>
      </c>
      <c r="D3357" s="28" t="s">
        <v>1271</v>
      </c>
      <c r="E3357" s="28"/>
      <c r="F3357" s="28">
        <v>0</v>
      </c>
      <c r="G3357" s="28" t="s">
        <v>118</v>
      </c>
      <c r="H3357" s="28">
        <v>0</v>
      </c>
      <c r="J3357" s="28"/>
    </row>
    <row r="3358" spans="1:10" ht="15.75" customHeight="1">
      <c r="A3358" s="28">
        <v>16394</v>
      </c>
      <c r="B3358" s="91">
        <v>44864.833402777775</v>
      </c>
      <c r="C3358" s="28" t="s">
        <v>10</v>
      </c>
      <c r="D3358" s="28" t="s">
        <v>1271</v>
      </c>
      <c r="E3358" s="28"/>
      <c r="F3358" s="28">
        <v>0</v>
      </c>
      <c r="G3358" s="28" t="s">
        <v>119</v>
      </c>
      <c r="H3358" s="28">
        <v>0</v>
      </c>
      <c r="J3358" s="28"/>
    </row>
    <row r="3359" spans="1:10" ht="15.75" customHeight="1">
      <c r="A3359" s="28">
        <v>16394</v>
      </c>
      <c r="B3359" s="91">
        <v>44864.833402777775</v>
      </c>
      <c r="C3359" s="28" t="s">
        <v>10</v>
      </c>
      <c r="D3359" s="28" t="s">
        <v>1271</v>
      </c>
      <c r="E3359" s="28"/>
      <c r="F3359" s="28">
        <v>0</v>
      </c>
      <c r="G3359" s="28" t="s">
        <v>120</v>
      </c>
      <c r="H3359" s="28">
        <v>0</v>
      </c>
      <c r="J3359" s="28"/>
    </row>
    <row r="3360" spans="1:10" ht="15.75" customHeight="1">
      <c r="A3360" s="28">
        <v>16394</v>
      </c>
      <c r="B3360" s="91">
        <v>44864.833402777775</v>
      </c>
      <c r="C3360" s="28" t="s">
        <v>10</v>
      </c>
      <c r="D3360" s="28" t="s">
        <v>1271</v>
      </c>
      <c r="E3360" s="28"/>
      <c r="F3360" s="28">
        <v>0</v>
      </c>
      <c r="G3360" s="28" t="s">
        <v>121</v>
      </c>
      <c r="H3360" s="28">
        <v>0</v>
      </c>
      <c r="J3360" s="28"/>
    </row>
    <row r="3361" spans="1:10" ht="15.75" customHeight="1">
      <c r="A3361" s="28">
        <v>16393</v>
      </c>
      <c r="B3361" s="91">
        <v>44864.810543981483</v>
      </c>
      <c r="C3361" s="28" t="s">
        <v>10</v>
      </c>
      <c r="D3361" s="28" t="s">
        <v>1272</v>
      </c>
      <c r="E3361" s="28"/>
      <c r="F3361" s="28">
        <v>25</v>
      </c>
      <c r="G3361" s="28">
        <v>100692</v>
      </c>
      <c r="H3361" s="28">
        <v>0</v>
      </c>
      <c r="J3361" s="28"/>
    </row>
    <row r="3362" spans="1:10" ht="15.75" customHeight="1">
      <c r="A3362" s="28">
        <v>16393</v>
      </c>
      <c r="B3362" s="91">
        <v>44864.810543981483</v>
      </c>
      <c r="C3362" s="28" t="s">
        <v>10</v>
      </c>
      <c r="D3362" s="28" t="s">
        <v>1272</v>
      </c>
      <c r="E3362" s="28"/>
      <c r="F3362" s="28">
        <v>0</v>
      </c>
      <c r="G3362" s="28" t="s">
        <v>125</v>
      </c>
      <c r="H3362" s="28">
        <v>0</v>
      </c>
      <c r="J3362" s="28"/>
    </row>
    <row r="3363" spans="1:10" ht="15.75" customHeight="1">
      <c r="A3363" s="28">
        <v>16393</v>
      </c>
      <c r="B3363" s="91">
        <v>44864.810543981483</v>
      </c>
      <c r="C3363" s="28" t="s">
        <v>10</v>
      </c>
      <c r="D3363" s="28" t="s">
        <v>1272</v>
      </c>
      <c r="E3363" s="28"/>
      <c r="F3363" s="28">
        <v>0</v>
      </c>
      <c r="G3363" s="28" t="s">
        <v>119</v>
      </c>
      <c r="H3363" s="28">
        <v>0</v>
      </c>
      <c r="J3363" s="28"/>
    </row>
    <row r="3364" spans="1:10" ht="15.75" customHeight="1">
      <c r="A3364" s="28">
        <v>16393</v>
      </c>
      <c r="B3364" s="91">
        <v>44864.810543981483</v>
      </c>
      <c r="C3364" s="28" t="s">
        <v>10</v>
      </c>
      <c r="D3364" s="28" t="s">
        <v>1272</v>
      </c>
      <c r="E3364" s="28"/>
      <c r="F3364" s="28">
        <v>22</v>
      </c>
      <c r="G3364" s="28" t="s">
        <v>137</v>
      </c>
      <c r="H3364" s="28">
        <v>0</v>
      </c>
      <c r="J3364" s="28"/>
    </row>
    <row r="3365" spans="1:10" ht="15.75" customHeight="1">
      <c r="A3365" s="28">
        <v>16392</v>
      </c>
      <c r="B3365" s="91">
        <v>44864.809513888889</v>
      </c>
      <c r="C3365" s="28" t="s">
        <v>10</v>
      </c>
      <c r="D3365" s="28" t="s">
        <v>1273</v>
      </c>
      <c r="E3365" s="28"/>
      <c r="F3365" s="28">
        <v>25</v>
      </c>
      <c r="G3365" s="28">
        <v>100692</v>
      </c>
      <c r="H3365" s="28">
        <v>0</v>
      </c>
      <c r="J3365" s="28"/>
    </row>
    <row r="3366" spans="1:10" ht="15.75" customHeight="1">
      <c r="A3366" s="28">
        <v>16392</v>
      </c>
      <c r="B3366" s="91">
        <v>44864.809513888889</v>
      </c>
      <c r="C3366" s="28" t="s">
        <v>10</v>
      </c>
      <c r="D3366" s="28" t="s">
        <v>1273</v>
      </c>
      <c r="E3366" s="28"/>
      <c r="F3366" s="28">
        <v>0</v>
      </c>
      <c r="G3366" s="28" t="s">
        <v>125</v>
      </c>
      <c r="H3366" s="28">
        <v>0</v>
      </c>
      <c r="J3366" s="28"/>
    </row>
    <row r="3367" spans="1:10" ht="15.75" customHeight="1">
      <c r="A3367" s="28">
        <v>16392</v>
      </c>
      <c r="B3367" s="91">
        <v>44864.809513888889</v>
      </c>
      <c r="C3367" s="28" t="s">
        <v>10</v>
      </c>
      <c r="D3367" s="28" t="s">
        <v>1273</v>
      </c>
      <c r="E3367" s="28"/>
      <c r="F3367" s="28">
        <v>0</v>
      </c>
      <c r="G3367" s="28" t="s">
        <v>119</v>
      </c>
      <c r="H3367" s="28">
        <v>0</v>
      </c>
      <c r="J3367" s="28"/>
    </row>
    <row r="3368" spans="1:10" ht="15.75" customHeight="1">
      <c r="A3368" s="28">
        <v>16392</v>
      </c>
      <c r="B3368" s="91">
        <v>44864.809513888889</v>
      </c>
      <c r="C3368" s="28" t="s">
        <v>10</v>
      </c>
      <c r="D3368" s="28" t="s">
        <v>1273</v>
      </c>
      <c r="E3368" s="28"/>
      <c r="F3368" s="28">
        <v>22</v>
      </c>
      <c r="G3368" s="28" t="s">
        <v>137</v>
      </c>
      <c r="H3368" s="28">
        <v>0</v>
      </c>
      <c r="J3368" s="28"/>
    </row>
    <row r="3369" spans="1:10" ht="15.75" customHeight="1">
      <c r="A3369" s="28">
        <v>16391</v>
      </c>
      <c r="B3369" s="91">
        <v>44864.710821759261</v>
      </c>
      <c r="C3369" s="28" t="s">
        <v>10</v>
      </c>
      <c r="D3369" s="28" t="s">
        <v>1274</v>
      </c>
      <c r="E3369" s="28"/>
      <c r="F3369" s="28">
        <v>15</v>
      </c>
      <c r="G3369" s="28" t="s">
        <v>125</v>
      </c>
      <c r="H3369" s="28">
        <v>0</v>
      </c>
      <c r="J3369" s="28"/>
    </row>
    <row r="3370" spans="1:10" ht="15.75" customHeight="1">
      <c r="A3370" s="28">
        <v>16390</v>
      </c>
      <c r="B3370" s="91">
        <v>44864.684212962966</v>
      </c>
      <c r="C3370" s="28" t="s">
        <v>10</v>
      </c>
      <c r="D3370" s="28" t="s">
        <v>1275</v>
      </c>
      <c r="E3370" s="28"/>
      <c r="F3370" s="28">
        <v>15</v>
      </c>
      <c r="G3370" s="28" t="s">
        <v>125</v>
      </c>
      <c r="H3370" s="28">
        <v>0</v>
      </c>
      <c r="J3370" s="28"/>
    </row>
    <row r="3371" spans="1:10" ht="15.75" customHeight="1">
      <c r="A3371" s="28">
        <v>16388</v>
      </c>
      <c r="B3371" s="91">
        <v>44863.660740740743</v>
      </c>
      <c r="C3371" s="28" t="s">
        <v>10</v>
      </c>
      <c r="D3371" s="28" t="s">
        <v>1276</v>
      </c>
      <c r="E3371" s="28"/>
      <c r="F3371" s="28">
        <v>24</v>
      </c>
      <c r="G3371" s="28" t="s">
        <v>122</v>
      </c>
      <c r="H3371" s="28">
        <v>0</v>
      </c>
      <c r="J3371" s="28"/>
    </row>
    <row r="3372" spans="1:10" ht="15.75" customHeight="1">
      <c r="A3372" s="28">
        <v>16387</v>
      </c>
      <c r="B3372" s="91">
        <v>44863.60328703704</v>
      </c>
      <c r="C3372" s="28" t="s">
        <v>10</v>
      </c>
      <c r="D3372" s="28" t="s">
        <v>1277</v>
      </c>
      <c r="E3372" s="28"/>
      <c r="F3372" s="28">
        <v>0</v>
      </c>
      <c r="G3372" s="28" t="s">
        <v>139</v>
      </c>
      <c r="H3372" s="28">
        <v>0</v>
      </c>
      <c r="J3372" s="28"/>
    </row>
    <row r="3373" spans="1:10" ht="15.75" customHeight="1">
      <c r="A3373" s="28">
        <v>16387</v>
      </c>
      <c r="B3373" s="91">
        <v>44863.60328703704</v>
      </c>
      <c r="C3373" s="28" t="s">
        <v>10</v>
      </c>
      <c r="D3373" s="28" t="s">
        <v>1277</v>
      </c>
      <c r="E3373" s="28"/>
      <c r="F3373" s="28">
        <v>55</v>
      </c>
      <c r="G3373" s="28">
        <v>101684</v>
      </c>
      <c r="H3373" s="28">
        <v>0</v>
      </c>
      <c r="J3373" s="28"/>
    </row>
    <row r="3374" spans="1:10" ht="15.75" customHeight="1">
      <c r="A3374" s="28">
        <v>16387</v>
      </c>
      <c r="B3374" s="91">
        <v>44863.60328703704</v>
      </c>
      <c r="C3374" s="28" t="s">
        <v>10</v>
      </c>
      <c r="D3374" s="28" t="s">
        <v>1277</v>
      </c>
      <c r="E3374" s="28"/>
      <c r="F3374" s="28">
        <v>0</v>
      </c>
      <c r="G3374" s="28" t="s">
        <v>118</v>
      </c>
      <c r="H3374" s="28">
        <v>0</v>
      </c>
      <c r="J3374" s="28"/>
    </row>
    <row r="3375" spans="1:10" ht="15.75" customHeight="1">
      <c r="A3375" s="28">
        <v>16387</v>
      </c>
      <c r="B3375" s="91">
        <v>44863.60328703704</v>
      </c>
      <c r="C3375" s="28" t="s">
        <v>10</v>
      </c>
      <c r="D3375" s="28" t="s">
        <v>1277</v>
      </c>
      <c r="E3375" s="28"/>
      <c r="F3375" s="28">
        <v>0</v>
      </c>
      <c r="G3375" s="28" t="s">
        <v>119</v>
      </c>
      <c r="H3375" s="28">
        <v>0</v>
      </c>
      <c r="J3375" s="28"/>
    </row>
    <row r="3376" spans="1:10" ht="15.75" customHeight="1">
      <c r="A3376" s="28">
        <v>16387</v>
      </c>
      <c r="B3376" s="91">
        <v>44863.60328703704</v>
      </c>
      <c r="C3376" s="28" t="s">
        <v>10</v>
      </c>
      <c r="D3376" s="28" t="s">
        <v>1277</v>
      </c>
      <c r="E3376" s="28"/>
      <c r="F3376" s="28">
        <v>0</v>
      </c>
      <c r="G3376" s="28" t="s">
        <v>120</v>
      </c>
      <c r="H3376" s="28">
        <v>0</v>
      </c>
      <c r="J3376" s="28"/>
    </row>
    <row r="3377" spans="1:10" ht="15.75" customHeight="1">
      <c r="A3377" s="28">
        <v>16387</v>
      </c>
      <c r="B3377" s="91">
        <v>44863.60328703704</v>
      </c>
      <c r="C3377" s="28" t="s">
        <v>10</v>
      </c>
      <c r="D3377" s="28" t="s">
        <v>1277</v>
      </c>
      <c r="E3377" s="28"/>
      <c r="F3377" s="28">
        <v>0</v>
      </c>
      <c r="G3377" s="28" t="s">
        <v>121</v>
      </c>
      <c r="H3377" s="28">
        <v>0</v>
      </c>
      <c r="J3377" s="28"/>
    </row>
    <row r="3378" spans="1:10" ht="15.75" customHeight="1">
      <c r="A3378" s="28">
        <v>16386</v>
      </c>
      <c r="B3378" s="91">
        <v>44863.098368055551</v>
      </c>
      <c r="C3378" s="28" t="s">
        <v>10</v>
      </c>
      <c r="D3378" s="28" t="s">
        <v>1269</v>
      </c>
      <c r="E3378" s="28"/>
      <c r="F3378" s="28">
        <v>22</v>
      </c>
      <c r="G3378" s="28" t="s">
        <v>137</v>
      </c>
      <c r="H3378" s="28">
        <v>0</v>
      </c>
      <c r="J3378" s="28"/>
    </row>
    <row r="3379" spans="1:10" ht="15.75" customHeight="1">
      <c r="A3379" s="28">
        <v>16386</v>
      </c>
      <c r="B3379" s="91">
        <v>44863.098368055551</v>
      </c>
      <c r="C3379" s="28" t="s">
        <v>10</v>
      </c>
      <c r="D3379" s="28" t="s">
        <v>1269</v>
      </c>
      <c r="E3379" s="28"/>
      <c r="F3379" s="28">
        <v>15</v>
      </c>
      <c r="G3379" s="28"/>
      <c r="H3379" s="28">
        <v>0</v>
      </c>
      <c r="J3379" s="28"/>
    </row>
    <row r="3380" spans="1:10" ht="15.75" customHeight="1">
      <c r="A3380" s="28">
        <v>16385</v>
      </c>
      <c r="B3380" s="91">
        <v>44862.035601851851</v>
      </c>
      <c r="C3380" s="28" t="s">
        <v>10</v>
      </c>
      <c r="D3380" s="28" t="s">
        <v>1278</v>
      </c>
      <c r="E3380" s="28"/>
      <c r="F3380" s="28">
        <v>0</v>
      </c>
      <c r="G3380" s="28" t="s">
        <v>139</v>
      </c>
      <c r="H3380" s="28">
        <v>0</v>
      </c>
      <c r="J3380" s="28"/>
    </row>
    <row r="3381" spans="1:10" ht="15.75" customHeight="1">
      <c r="A3381" s="28">
        <v>16385</v>
      </c>
      <c r="B3381" s="91">
        <v>44862.035601851851</v>
      </c>
      <c r="C3381" s="28" t="s">
        <v>10</v>
      </c>
      <c r="D3381" s="28" t="s">
        <v>1278</v>
      </c>
      <c r="E3381" s="28"/>
      <c r="F3381" s="28">
        <v>55</v>
      </c>
      <c r="G3381" s="28">
        <v>101684</v>
      </c>
      <c r="H3381" s="28">
        <v>0</v>
      </c>
      <c r="J3381" s="28"/>
    </row>
    <row r="3382" spans="1:10" ht="15.75" customHeight="1">
      <c r="A3382" s="28">
        <v>16385</v>
      </c>
      <c r="B3382" s="91">
        <v>44862.035601851851</v>
      </c>
      <c r="C3382" s="28" t="s">
        <v>10</v>
      </c>
      <c r="D3382" s="28" t="s">
        <v>1278</v>
      </c>
      <c r="E3382" s="28"/>
      <c r="F3382" s="28">
        <v>0</v>
      </c>
      <c r="G3382" s="28" t="s">
        <v>118</v>
      </c>
      <c r="H3382" s="28">
        <v>0</v>
      </c>
      <c r="J3382" s="28"/>
    </row>
    <row r="3383" spans="1:10" ht="15.75" customHeight="1">
      <c r="A3383" s="28">
        <v>16385</v>
      </c>
      <c r="B3383" s="91">
        <v>44862.035601851851</v>
      </c>
      <c r="C3383" s="28" t="s">
        <v>10</v>
      </c>
      <c r="D3383" s="28" t="s">
        <v>1278</v>
      </c>
      <c r="E3383" s="28"/>
      <c r="F3383" s="28">
        <v>0</v>
      </c>
      <c r="G3383" s="28" t="s">
        <v>119</v>
      </c>
      <c r="H3383" s="28">
        <v>0</v>
      </c>
      <c r="J3383" s="28"/>
    </row>
    <row r="3384" spans="1:10" ht="15.75" customHeight="1">
      <c r="A3384" s="28">
        <v>16385</v>
      </c>
      <c r="B3384" s="91">
        <v>44862.035601851851</v>
      </c>
      <c r="C3384" s="28" t="s">
        <v>10</v>
      </c>
      <c r="D3384" s="28" t="s">
        <v>1278</v>
      </c>
      <c r="E3384" s="28"/>
      <c r="F3384" s="28">
        <v>0</v>
      </c>
      <c r="G3384" s="28" t="s">
        <v>120</v>
      </c>
      <c r="H3384" s="28">
        <v>0</v>
      </c>
      <c r="J3384" s="28"/>
    </row>
    <row r="3385" spans="1:10" ht="15.75" customHeight="1">
      <c r="A3385" s="28">
        <v>16385</v>
      </c>
      <c r="B3385" s="91">
        <v>44862.035601851851</v>
      </c>
      <c r="C3385" s="28" t="s">
        <v>10</v>
      </c>
      <c r="D3385" s="28" t="s">
        <v>1278</v>
      </c>
      <c r="E3385" s="28"/>
      <c r="F3385" s="28">
        <v>0</v>
      </c>
      <c r="G3385" s="28" t="s">
        <v>121</v>
      </c>
      <c r="H3385" s="28">
        <v>0</v>
      </c>
      <c r="J3385" s="28"/>
    </row>
    <row r="3386" spans="1:10" ht="15.75" customHeight="1">
      <c r="A3386" s="28">
        <v>16384</v>
      </c>
      <c r="B3386" s="91">
        <v>44862.025659722218</v>
      </c>
      <c r="C3386" s="28" t="s">
        <v>10</v>
      </c>
      <c r="D3386" s="28" t="s">
        <v>1279</v>
      </c>
      <c r="E3386" s="28"/>
      <c r="F3386" s="28">
        <v>18</v>
      </c>
      <c r="G3386" s="28" t="s">
        <v>119</v>
      </c>
      <c r="H3386" s="28">
        <v>0</v>
      </c>
      <c r="J3386" s="28"/>
    </row>
    <row r="3387" spans="1:10" ht="15.75" customHeight="1">
      <c r="A3387" s="28">
        <v>16383</v>
      </c>
      <c r="B3387" s="91">
        <v>44861.977303240739</v>
      </c>
      <c r="C3387" s="28" t="s">
        <v>10</v>
      </c>
      <c r="D3387" s="28" t="s">
        <v>1280</v>
      </c>
      <c r="E3387" s="28"/>
      <c r="F3387" s="28">
        <v>56</v>
      </c>
      <c r="G3387" s="28" t="s">
        <v>143</v>
      </c>
      <c r="H3387" s="28">
        <v>0</v>
      </c>
      <c r="J3387" s="28"/>
    </row>
    <row r="3388" spans="1:10" ht="15.75" customHeight="1">
      <c r="A3388" s="28">
        <v>16383</v>
      </c>
      <c r="B3388" s="91">
        <v>44861.977303240739</v>
      </c>
      <c r="C3388" s="28" t="s">
        <v>10</v>
      </c>
      <c r="D3388" s="28" t="s">
        <v>1280</v>
      </c>
      <c r="E3388" s="28"/>
      <c r="F3388" s="28">
        <v>0</v>
      </c>
      <c r="G3388" s="28" t="s">
        <v>139</v>
      </c>
      <c r="H3388" s="28">
        <v>0</v>
      </c>
      <c r="J3388" s="28"/>
    </row>
    <row r="3389" spans="1:10" ht="15.75" customHeight="1">
      <c r="A3389" s="28">
        <v>16383</v>
      </c>
      <c r="B3389" s="91">
        <v>44861.977303240739</v>
      </c>
      <c r="C3389" s="28" t="s">
        <v>10</v>
      </c>
      <c r="D3389" s="28" t="s">
        <v>1280</v>
      </c>
      <c r="E3389" s="28"/>
      <c r="F3389" s="28">
        <v>25</v>
      </c>
      <c r="G3389" s="28" t="s">
        <v>120</v>
      </c>
      <c r="H3389" s="28">
        <v>0</v>
      </c>
      <c r="J3389" s="28"/>
    </row>
    <row r="3390" spans="1:10" ht="15.75" customHeight="1">
      <c r="A3390" s="28">
        <v>16382</v>
      </c>
      <c r="B3390" s="91">
        <v>44861.963402777779</v>
      </c>
      <c r="C3390" s="28" t="s">
        <v>10</v>
      </c>
      <c r="D3390" s="28" t="s">
        <v>1281</v>
      </c>
      <c r="E3390" s="28"/>
      <c r="F3390" s="28">
        <v>15</v>
      </c>
      <c r="G3390" s="28" t="s">
        <v>170</v>
      </c>
      <c r="H3390" s="28">
        <v>0</v>
      </c>
      <c r="J3390" s="28"/>
    </row>
    <row r="3391" spans="1:10" ht="15.75" customHeight="1">
      <c r="A3391" s="28">
        <v>16382</v>
      </c>
      <c r="B3391" s="91">
        <v>44861.963402777779</v>
      </c>
      <c r="C3391" s="28" t="s">
        <v>10</v>
      </c>
      <c r="D3391" s="28" t="s">
        <v>1281</v>
      </c>
      <c r="E3391" s="28"/>
      <c r="F3391" s="28">
        <v>28</v>
      </c>
      <c r="G3391" s="28" t="s">
        <v>143</v>
      </c>
      <c r="H3391" s="28">
        <v>0</v>
      </c>
      <c r="J3391" s="28"/>
    </row>
    <row r="3392" spans="1:10" ht="15.75" customHeight="1">
      <c r="A3392" s="28">
        <v>16382</v>
      </c>
      <c r="B3392" s="91">
        <v>44861.963402777779</v>
      </c>
      <c r="C3392" s="28" t="s">
        <v>10</v>
      </c>
      <c r="D3392" s="28" t="s">
        <v>1281</v>
      </c>
      <c r="E3392" s="28"/>
      <c r="F3392" s="28">
        <v>0</v>
      </c>
      <c r="G3392" s="28" t="s">
        <v>139</v>
      </c>
      <c r="H3392" s="28">
        <v>0</v>
      </c>
      <c r="J3392" s="28"/>
    </row>
    <row r="3393" spans="1:10" ht="15.75" customHeight="1">
      <c r="A3393" s="28">
        <v>16381</v>
      </c>
      <c r="B3393" s="91">
        <v>44861.932627314818</v>
      </c>
      <c r="C3393" s="28" t="s">
        <v>10</v>
      </c>
      <c r="D3393" s="28" t="s">
        <v>1282</v>
      </c>
      <c r="E3393" s="28"/>
      <c r="F3393" s="28">
        <v>25</v>
      </c>
      <c r="G3393" s="28">
        <v>100692</v>
      </c>
      <c r="H3393" s="28">
        <v>0</v>
      </c>
      <c r="J3393" s="28"/>
    </row>
    <row r="3394" spans="1:10" ht="15.75" customHeight="1">
      <c r="A3394" s="28">
        <v>16381</v>
      </c>
      <c r="B3394" s="91">
        <v>44861.932627314818</v>
      </c>
      <c r="C3394" s="28" t="s">
        <v>10</v>
      </c>
      <c r="D3394" s="28" t="s">
        <v>1282</v>
      </c>
      <c r="E3394" s="28"/>
      <c r="F3394" s="28">
        <v>0</v>
      </c>
      <c r="G3394" s="28" t="s">
        <v>125</v>
      </c>
      <c r="H3394" s="28">
        <v>0</v>
      </c>
      <c r="J3394" s="28"/>
    </row>
    <row r="3395" spans="1:10" ht="15.75" customHeight="1">
      <c r="A3395" s="28">
        <v>16381</v>
      </c>
      <c r="B3395" s="91">
        <v>44861.932627314818</v>
      </c>
      <c r="C3395" s="28" t="s">
        <v>10</v>
      </c>
      <c r="D3395" s="28" t="s">
        <v>1282</v>
      </c>
      <c r="E3395" s="28"/>
      <c r="F3395" s="28">
        <v>0</v>
      </c>
      <c r="G3395" s="28" t="s">
        <v>119</v>
      </c>
      <c r="H3395" s="28">
        <v>0</v>
      </c>
      <c r="J3395" s="28"/>
    </row>
    <row r="3396" spans="1:10" ht="15.75" customHeight="1">
      <c r="A3396" s="28">
        <v>16380</v>
      </c>
      <c r="B3396" s="91">
        <v>44861.926585648151</v>
      </c>
      <c r="C3396" s="28" t="s">
        <v>10</v>
      </c>
      <c r="D3396" s="28" t="s">
        <v>1283</v>
      </c>
      <c r="E3396" s="28"/>
      <c r="F3396" s="28">
        <v>25</v>
      </c>
      <c r="G3396" s="28">
        <v>100692</v>
      </c>
      <c r="H3396" s="28">
        <v>0</v>
      </c>
      <c r="J3396" s="28"/>
    </row>
    <row r="3397" spans="1:10" ht="15.75" customHeight="1">
      <c r="A3397" s="28">
        <v>16380</v>
      </c>
      <c r="B3397" s="91">
        <v>44861.926585648151</v>
      </c>
      <c r="C3397" s="28" t="s">
        <v>10</v>
      </c>
      <c r="D3397" s="28" t="s">
        <v>1283</v>
      </c>
      <c r="E3397" s="28"/>
      <c r="F3397" s="28">
        <v>0</v>
      </c>
      <c r="G3397" s="28" t="s">
        <v>125</v>
      </c>
      <c r="H3397" s="28">
        <v>0</v>
      </c>
      <c r="J3397" s="28"/>
    </row>
    <row r="3398" spans="1:10" ht="15.75" customHeight="1">
      <c r="A3398" s="28">
        <v>16380</v>
      </c>
      <c r="B3398" s="91">
        <v>44861.926585648151</v>
      </c>
      <c r="C3398" s="28" t="s">
        <v>10</v>
      </c>
      <c r="D3398" s="28" t="s">
        <v>1283</v>
      </c>
      <c r="E3398" s="28"/>
      <c r="F3398" s="28">
        <v>0</v>
      </c>
      <c r="G3398" s="28" t="s">
        <v>119</v>
      </c>
      <c r="H3398" s="28">
        <v>0</v>
      </c>
      <c r="J3398" s="28"/>
    </row>
    <row r="3399" spans="1:10" ht="15.75" customHeight="1">
      <c r="A3399" s="28">
        <v>16380</v>
      </c>
      <c r="B3399" s="91">
        <v>44861.926585648151</v>
      </c>
      <c r="C3399" s="28" t="s">
        <v>10</v>
      </c>
      <c r="D3399" s="28" t="s">
        <v>1283</v>
      </c>
      <c r="E3399" s="28"/>
      <c r="F3399" s="28">
        <v>35</v>
      </c>
      <c r="G3399" s="28" t="s">
        <v>124</v>
      </c>
      <c r="H3399" s="28">
        <v>0</v>
      </c>
      <c r="J3399" s="28"/>
    </row>
    <row r="3400" spans="1:10" ht="15.75" customHeight="1">
      <c r="A3400" s="28">
        <v>16380</v>
      </c>
      <c r="B3400" s="91">
        <v>44861.926585648151</v>
      </c>
      <c r="C3400" s="28" t="s">
        <v>10</v>
      </c>
      <c r="D3400" s="28" t="s">
        <v>1283</v>
      </c>
      <c r="E3400" s="28"/>
      <c r="F3400" s="28">
        <v>0</v>
      </c>
      <c r="G3400" s="28" t="s">
        <v>125</v>
      </c>
      <c r="H3400" s="28">
        <v>0</v>
      </c>
      <c r="J3400" s="28"/>
    </row>
    <row r="3401" spans="1:10" ht="15.75" customHeight="1">
      <c r="A3401" s="28">
        <v>16380</v>
      </c>
      <c r="B3401" s="91">
        <v>44861.926585648151</v>
      </c>
      <c r="C3401" s="28" t="s">
        <v>10</v>
      </c>
      <c r="D3401" s="28" t="s">
        <v>1283</v>
      </c>
      <c r="E3401" s="28"/>
      <c r="F3401" s="28">
        <v>0</v>
      </c>
      <c r="G3401" s="28" t="s">
        <v>121</v>
      </c>
      <c r="H3401" s="28">
        <v>0</v>
      </c>
      <c r="J3401" s="28"/>
    </row>
    <row r="3402" spans="1:10" ht="15.75" customHeight="1">
      <c r="A3402" s="28">
        <v>16380</v>
      </c>
      <c r="B3402" s="91">
        <v>44861.926585648151</v>
      </c>
      <c r="C3402" s="28" t="s">
        <v>10</v>
      </c>
      <c r="D3402" s="28" t="s">
        <v>1283</v>
      </c>
      <c r="E3402" s="28"/>
      <c r="F3402" s="28">
        <v>0</v>
      </c>
      <c r="G3402" s="28" t="s">
        <v>139</v>
      </c>
      <c r="H3402" s="28">
        <v>0</v>
      </c>
      <c r="J3402" s="28"/>
    </row>
    <row r="3403" spans="1:10" ht="15.75" customHeight="1">
      <c r="A3403" s="28">
        <v>16379</v>
      </c>
      <c r="B3403" s="91">
        <v>44861.88890046296</v>
      </c>
      <c r="C3403" s="28" t="s">
        <v>10</v>
      </c>
      <c r="D3403" s="28" t="s">
        <v>1284</v>
      </c>
      <c r="E3403" s="28"/>
      <c r="F3403" s="28">
        <v>55</v>
      </c>
      <c r="G3403" s="28">
        <v>101684</v>
      </c>
      <c r="H3403" s="28">
        <v>0</v>
      </c>
      <c r="J3403" s="28"/>
    </row>
    <row r="3404" spans="1:10" ht="15.75" customHeight="1">
      <c r="A3404" s="28">
        <v>16379</v>
      </c>
      <c r="B3404" s="91">
        <v>44861.88890046296</v>
      </c>
      <c r="C3404" s="28" t="s">
        <v>10</v>
      </c>
      <c r="D3404" s="28" t="s">
        <v>1284</v>
      </c>
      <c r="E3404" s="28"/>
      <c r="F3404" s="28">
        <v>0</v>
      </c>
      <c r="G3404" s="28" t="s">
        <v>118</v>
      </c>
      <c r="H3404" s="28">
        <v>0</v>
      </c>
      <c r="J3404" s="28"/>
    </row>
    <row r="3405" spans="1:10" ht="15.75" customHeight="1">
      <c r="A3405" s="28">
        <v>16379</v>
      </c>
      <c r="B3405" s="91">
        <v>44861.88890046296</v>
      </c>
      <c r="C3405" s="28" t="s">
        <v>10</v>
      </c>
      <c r="D3405" s="28" t="s">
        <v>1284</v>
      </c>
      <c r="E3405" s="28"/>
      <c r="F3405" s="28">
        <v>0</v>
      </c>
      <c r="G3405" s="28" t="s">
        <v>119</v>
      </c>
      <c r="H3405" s="28">
        <v>0</v>
      </c>
      <c r="J3405" s="28"/>
    </row>
    <row r="3406" spans="1:10" ht="15.75" customHeight="1">
      <c r="A3406" s="28">
        <v>16379</v>
      </c>
      <c r="B3406" s="91">
        <v>44861.88890046296</v>
      </c>
      <c r="C3406" s="28" t="s">
        <v>10</v>
      </c>
      <c r="D3406" s="28" t="s">
        <v>1284</v>
      </c>
      <c r="E3406" s="28"/>
      <c r="F3406" s="28">
        <v>0</v>
      </c>
      <c r="G3406" s="28" t="s">
        <v>120</v>
      </c>
      <c r="H3406" s="28">
        <v>0</v>
      </c>
      <c r="J3406" s="28"/>
    </row>
    <row r="3407" spans="1:10" ht="15.75" customHeight="1">
      <c r="A3407" s="28">
        <v>16379</v>
      </c>
      <c r="B3407" s="91">
        <v>44861.88890046296</v>
      </c>
      <c r="C3407" s="28" t="s">
        <v>10</v>
      </c>
      <c r="D3407" s="28" t="s">
        <v>1284</v>
      </c>
      <c r="E3407" s="28"/>
      <c r="F3407" s="28">
        <v>0</v>
      </c>
      <c r="G3407" s="28" t="s">
        <v>121</v>
      </c>
      <c r="H3407" s="28">
        <v>0</v>
      </c>
      <c r="J3407" s="28"/>
    </row>
    <row r="3408" spans="1:10" ht="15.75" customHeight="1">
      <c r="A3408" s="28">
        <v>16379</v>
      </c>
      <c r="B3408" s="91">
        <v>44861.88890046296</v>
      </c>
      <c r="C3408" s="28" t="s">
        <v>10</v>
      </c>
      <c r="D3408" s="28" t="s">
        <v>1284</v>
      </c>
      <c r="E3408" s="28"/>
      <c r="F3408" s="28">
        <v>22</v>
      </c>
      <c r="G3408" s="28" t="s">
        <v>137</v>
      </c>
      <c r="H3408" s="28">
        <v>0</v>
      </c>
      <c r="J3408" s="28"/>
    </row>
    <row r="3409" spans="1:10" ht="15.75" customHeight="1">
      <c r="A3409" s="28">
        <v>16378</v>
      </c>
      <c r="B3409" s="91">
        <v>44861.883692129632</v>
      </c>
      <c r="C3409" s="28" t="s">
        <v>10</v>
      </c>
      <c r="D3409" s="28" t="s">
        <v>1094</v>
      </c>
      <c r="E3409" s="28"/>
      <c r="F3409" s="28">
        <v>15</v>
      </c>
      <c r="G3409" s="28"/>
      <c r="H3409" s="28">
        <v>0</v>
      </c>
      <c r="J3409" s="28"/>
    </row>
    <row r="3410" spans="1:10" ht="15.75" customHeight="1">
      <c r="A3410" s="28">
        <v>16377</v>
      </c>
      <c r="B3410" s="91">
        <v>44861.859270833331</v>
      </c>
      <c r="C3410" s="28" t="s">
        <v>18</v>
      </c>
      <c r="D3410" s="28" t="s">
        <v>1285</v>
      </c>
      <c r="E3410" s="28"/>
      <c r="F3410" s="28">
        <v>25</v>
      </c>
      <c r="G3410" s="28">
        <v>100692</v>
      </c>
      <c r="H3410" s="28">
        <v>0</v>
      </c>
      <c r="J3410" s="28"/>
    </row>
    <row r="3411" spans="1:10" ht="15.75" customHeight="1">
      <c r="A3411" s="28">
        <v>16377</v>
      </c>
      <c r="B3411" s="91">
        <v>44861.859270833331</v>
      </c>
      <c r="C3411" s="28" t="s">
        <v>18</v>
      </c>
      <c r="D3411" s="28" t="s">
        <v>1285</v>
      </c>
      <c r="E3411" s="28"/>
      <c r="F3411" s="28">
        <v>0</v>
      </c>
      <c r="G3411" s="28" t="s">
        <v>125</v>
      </c>
      <c r="H3411" s="28">
        <v>0</v>
      </c>
      <c r="J3411" s="28"/>
    </row>
    <row r="3412" spans="1:10" ht="15.75" customHeight="1">
      <c r="A3412" s="28">
        <v>16377</v>
      </c>
      <c r="B3412" s="91">
        <v>44861.859270833331</v>
      </c>
      <c r="C3412" s="28" t="s">
        <v>18</v>
      </c>
      <c r="D3412" s="28" t="s">
        <v>1285</v>
      </c>
      <c r="E3412" s="28"/>
      <c r="F3412" s="28">
        <v>0</v>
      </c>
      <c r="G3412" s="28" t="s">
        <v>119</v>
      </c>
      <c r="H3412" s="28">
        <v>0</v>
      </c>
      <c r="J3412" s="28"/>
    </row>
    <row r="3413" spans="1:10" ht="15.75" customHeight="1">
      <c r="A3413" s="28">
        <v>16376</v>
      </c>
      <c r="B3413" s="91">
        <v>44861.856238425928</v>
      </c>
      <c r="C3413" s="28" t="s">
        <v>10</v>
      </c>
      <c r="D3413" s="28" t="s">
        <v>1286</v>
      </c>
      <c r="E3413" s="28"/>
      <c r="F3413" s="28">
        <v>55</v>
      </c>
      <c r="G3413" s="28" t="s">
        <v>861</v>
      </c>
      <c r="H3413" s="28">
        <v>0</v>
      </c>
      <c r="J3413" s="28"/>
    </row>
    <row r="3414" spans="1:10" ht="15.75" customHeight="1">
      <c r="A3414" s="28">
        <v>16376</v>
      </c>
      <c r="B3414" s="91">
        <v>44861.856238425928</v>
      </c>
      <c r="C3414" s="28" t="s">
        <v>10</v>
      </c>
      <c r="D3414" s="28" t="s">
        <v>1286</v>
      </c>
      <c r="E3414" s="28"/>
      <c r="F3414" s="28">
        <v>28</v>
      </c>
      <c r="G3414" s="28" t="s">
        <v>143</v>
      </c>
      <c r="H3414" s="28">
        <v>0</v>
      </c>
      <c r="J3414" s="28"/>
    </row>
    <row r="3415" spans="1:10" ht="15.75" customHeight="1">
      <c r="A3415" s="28">
        <v>16375</v>
      </c>
      <c r="B3415" s="91">
        <v>44861.813333333332</v>
      </c>
      <c r="C3415" s="28" t="s">
        <v>10</v>
      </c>
      <c r="D3415" s="28" t="s">
        <v>1287</v>
      </c>
      <c r="E3415" s="28"/>
      <c r="F3415" s="28">
        <v>28</v>
      </c>
      <c r="G3415" s="28" t="s">
        <v>143</v>
      </c>
      <c r="H3415" s="28">
        <v>0</v>
      </c>
      <c r="J3415" s="28"/>
    </row>
    <row r="3416" spans="1:10" ht="15.75" customHeight="1">
      <c r="A3416" s="28">
        <v>16374</v>
      </c>
      <c r="B3416" s="91">
        <v>44861.666712962964</v>
      </c>
      <c r="C3416" s="28" t="s">
        <v>10</v>
      </c>
      <c r="D3416" s="28" t="s">
        <v>1288</v>
      </c>
      <c r="E3416" s="28"/>
      <c r="F3416" s="28">
        <v>28</v>
      </c>
      <c r="G3416" s="28" t="s">
        <v>143</v>
      </c>
      <c r="H3416" s="28">
        <v>0</v>
      </c>
      <c r="J3416" s="28"/>
    </row>
    <row r="3417" spans="1:10" ht="15.75" customHeight="1">
      <c r="A3417" s="28">
        <v>16374</v>
      </c>
      <c r="B3417" s="91">
        <v>44861.666712962964</v>
      </c>
      <c r="C3417" s="28" t="s">
        <v>10</v>
      </c>
      <c r="D3417" s="28" t="s">
        <v>1288</v>
      </c>
      <c r="E3417" s="28"/>
      <c r="F3417" s="28">
        <v>15</v>
      </c>
      <c r="G3417" s="28" t="s">
        <v>125</v>
      </c>
      <c r="H3417" s="28">
        <v>0</v>
      </c>
      <c r="J3417" s="28"/>
    </row>
    <row r="3418" spans="1:10" ht="15.75" customHeight="1">
      <c r="A3418" s="28">
        <v>16374</v>
      </c>
      <c r="B3418" s="91">
        <v>44861.666712962964</v>
      </c>
      <c r="C3418" s="28" t="s">
        <v>10</v>
      </c>
      <c r="D3418" s="28" t="s">
        <v>1288</v>
      </c>
      <c r="E3418" s="28"/>
      <c r="F3418" s="28">
        <v>15</v>
      </c>
      <c r="G3418" s="28" t="s">
        <v>170</v>
      </c>
      <c r="H3418" s="28">
        <v>0</v>
      </c>
      <c r="J3418" s="28"/>
    </row>
    <row r="3419" spans="1:10" ht="15.75" customHeight="1">
      <c r="A3419" s="28">
        <v>16373</v>
      </c>
      <c r="B3419" s="91">
        <v>44861.635914351849</v>
      </c>
      <c r="C3419" s="28" t="s">
        <v>10</v>
      </c>
      <c r="D3419" s="28" t="s">
        <v>1289</v>
      </c>
      <c r="E3419" s="28"/>
      <c r="F3419" s="28">
        <v>24</v>
      </c>
      <c r="G3419" s="28" t="s">
        <v>122</v>
      </c>
      <c r="H3419" s="28">
        <v>0</v>
      </c>
      <c r="J3419" s="28"/>
    </row>
    <row r="3420" spans="1:10" ht="15.75" customHeight="1">
      <c r="A3420" s="28">
        <v>16370</v>
      </c>
      <c r="B3420" s="91">
        <v>44860.575601851851</v>
      </c>
      <c r="C3420" s="28" t="s">
        <v>10</v>
      </c>
      <c r="D3420" s="28" t="s">
        <v>1290</v>
      </c>
      <c r="E3420" s="28"/>
      <c r="F3420" s="28">
        <v>25</v>
      </c>
      <c r="G3420" s="28" t="s">
        <v>120</v>
      </c>
      <c r="H3420" s="28">
        <v>0</v>
      </c>
      <c r="J3420" s="28"/>
    </row>
    <row r="3421" spans="1:10" ht="15.75" customHeight="1">
      <c r="A3421" s="28">
        <v>16369</v>
      </c>
      <c r="B3421" s="91">
        <v>44860.572083333333</v>
      </c>
      <c r="C3421" s="28" t="s">
        <v>10</v>
      </c>
      <c r="D3421" s="28" t="s">
        <v>1291</v>
      </c>
      <c r="E3421" s="28"/>
      <c r="F3421" s="28">
        <v>25</v>
      </c>
      <c r="G3421" s="28" t="s">
        <v>120</v>
      </c>
      <c r="H3421" s="28">
        <v>0</v>
      </c>
      <c r="J3421" s="28"/>
    </row>
    <row r="3422" spans="1:10" ht="15.75" customHeight="1">
      <c r="A3422" s="28">
        <v>16368</v>
      </c>
      <c r="B3422" s="91">
        <v>44858.653391203705</v>
      </c>
      <c r="C3422" s="28" t="s">
        <v>10</v>
      </c>
      <c r="D3422" s="28" t="s">
        <v>1292</v>
      </c>
      <c r="E3422" s="28"/>
      <c r="F3422" s="28">
        <v>25</v>
      </c>
      <c r="G3422" s="28">
        <v>100692</v>
      </c>
      <c r="H3422" s="28">
        <v>0</v>
      </c>
      <c r="J3422" s="28"/>
    </row>
    <row r="3423" spans="1:10" ht="15.75" customHeight="1">
      <c r="A3423" s="28">
        <v>16368</v>
      </c>
      <c r="B3423" s="91">
        <v>44858.653391203705</v>
      </c>
      <c r="C3423" s="28" t="s">
        <v>10</v>
      </c>
      <c r="D3423" s="28" t="s">
        <v>1292</v>
      </c>
      <c r="E3423" s="28"/>
      <c r="F3423" s="28">
        <v>0</v>
      </c>
      <c r="G3423" s="28" t="s">
        <v>125</v>
      </c>
      <c r="H3423" s="28">
        <v>0</v>
      </c>
      <c r="J3423" s="28"/>
    </row>
    <row r="3424" spans="1:10" ht="15.75" customHeight="1">
      <c r="A3424" s="28">
        <v>16368</v>
      </c>
      <c r="B3424" s="91">
        <v>44858.653391203705</v>
      </c>
      <c r="C3424" s="28" t="s">
        <v>10</v>
      </c>
      <c r="D3424" s="28" t="s">
        <v>1292</v>
      </c>
      <c r="E3424" s="28"/>
      <c r="F3424" s="28">
        <v>0</v>
      </c>
      <c r="G3424" s="28" t="s">
        <v>119</v>
      </c>
      <c r="H3424" s="28">
        <v>0</v>
      </c>
      <c r="J3424" s="28"/>
    </row>
    <row r="3425" spans="1:10" ht="15.75" customHeight="1">
      <c r="A3425" s="28">
        <v>16368</v>
      </c>
      <c r="B3425" s="91">
        <v>44858.653391203705</v>
      </c>
      <c r="C3425" s="28" t="s">
        <v>10</v>
      </c>
      <c r="D3425" s="28" t="s">
        <v>1292</v>
      </c>
      <c r="E3425" s="28"/>
      <c r="F3425" s="28">
        <v>10</v>
      </c>
      <c r="G3425" s="28" t="s">
        <v>334</v>
      </c>
      <c r="H3425" s="28">
        <v>0</v>
      </c>
      <c r="J3425" s="28"/>
    </row>
    <row r="3426" spans="1:10" ht="15.75" customHeight="1">
      <c r="A3426" s="28">
        <v>16367</v>
      </c>
      <c r="B3426" s="91">
        <v>44857.508518518516</v>
      </c>
      <c r="C3426" s="28" t="s">
        <v>10</v>
      </c>
      <c r="D3426" s="28" t="s">
        <v>1293</v>
      </c>
      <c r="E3426" s="28"/>
      <c r="F3426" s="28">
        <v>55</v>
      </c>
      <c r="G3426" s="28">
        <v>101684</v>
      </c>
      <c r="H3426" s="28">
        <v>0</v>
      </c>
      <c r="J3426" s="28"/>
    </row>
    <row r="3427" spans="1:10" ht="15.75" customHeight="1">
      <c r="A3427" s="28">
        <v>16367</v>
      </c>
      <c r="B3427" s="91">
        <v>44857.508518518516</v>
      </c>
      <c r="C3427" s="28" t="s">
        <v>10</v>
      </c>
      <c r="D3427" s="28" t="s">
        <v>1293</v>
      </c>
      <c r="E3427" s="28"/>
      <c r="F3427" s="28">
        <v>0</v>
      </c>
      <c r="G3427" s="28" t="s">
        <v>118</v>
      </c>
      <c r="H3427" s="28">
        <v>0</v>
      </c>
      <c r="J3427" s="28"/>
    </row>
    <row r="3428" spans="1:10" ht="15.75" customHeight="1">
      <c r="A3428" s="28">
        <v>16367</v>
      </c>
      <c r="B3428" s="91">
        <v>44857.508518518516</v>
      </c>
      <c r="C3428" s="28" t="s">
        <v>10</v>
      </c>
      <c r="D3428" s="28" t="s">
        <v>1293</v>
      </c>
      <c r="E3428" s="28"/>
      <c r="F3428" s="28">
        <v>0</v>
      </c>
      <c r="G3428" s="28" t="s">
        <v>119</v>
      </c>
      <c r="H3428" s="28">
        <v>0</v>
      </c>
      <c r="J3428" s="28"/>
    </row>
    <row r="3429" spans="1:10" ht="15.75" customHeight="1">
      <c r="A3429" s="28">
        <v>16367</v>
      </c>
      <c r="B3429" s="91">
        <v>44857.508518518516</v>
      </c>
      <c r="C3429" s="28" t="s">
        <v>10</v>
      </c>
      <c r="D3429" s="28" t="s">
        <v>1293</v>
      </c>
      <c r="E3429" s="28"/>
      <c r="F3429" s="28">
        <v>0</v>
      </c>
      <c r="G3429" s="28" t="s">
        <v>120</v>
      </c>
      <c r="H3429" s="28">
        <v>0</v>
      </c>
      <c r="J3429" s="28"/>
    </row>
    <row r="3430" spans="1:10" ht="15.75" customHeight="1">
      <c r="A3430" s="28">
        <v>16367</v>
      </c>
      <c r="B3430" s="91">
        <v>44857.508518518516</v>
      </c>
      <c r="C3430" s="28" t="s">
        <v>10</v>
      </c>
      <c r="D3430" s="28" t="s">
        <v>1293</v>
      </c>
      <c r="E3430" s="28"/>
      <c r="F3430" s="28">
        <v>0</v>
      </c>
      <c r="G3430" s="28" t="s">
        <v>121</v>
      </c>
      <c r="H3430" s="28">
        <v>0</v>
      </c>
      <c r="J3430" s="28"/>
    </row>
    <row r="3431" spans="1:10" ht="15.75" customHeight="1">
      <c r="A3431" s="28">
        <v>16366</v>
      </c>
      <c r="B3431" s="91">
        <v>44854.984803240739</v>
      </c>
      <c r="C3431" s="28" t="s">
        <v>10</v>
      </c>
      <c r="D3431" s="28" t="s">
        <v>1294</v>
      </c>
      <c r="E3431" s="28"/>
      <c r="F3431" s="28">
        <v>55</v>
      </c>
      <c r="G3431" s="28">
        <v>101684</v>
      </c>
      <c r="H3431" s="28">
        <v>0</v>
      </c>
      <c r="J3431" s="28"/>
    </row>
    <row r="3432" spans="1:10" ht="15.75" customHeight="1">
      <c r="A3432" s="28">
        <v>16366</v>
      </c>
      <c r="B3432" s="91">
        <v>44854.984803240739</v>
      </c>
      <c r="C3432" s="28" t="s">
        <v>10</v>
      </c>
      <c r="D3432" s="28" t="s">
        <v>1294</v>
      </c>
      <c r="E3432" s="28"/>
      <c r="F3432" s="28">
        <v>0</v>
      </c>
      <c r="G3432" s="28" t="s">
        <v>118</v>
      </c>
      <c r="H3432" s="28">
        <v>0</v>
      </c>
      <c r="J3432" s="28"/>
    </row>
    <row r="3433" spans="1:10" ht="15.75" customHeight="1">
      <c r="A3433" s="28">
        <v>16366</v>
      </c>
      <c r="B3433" s="91">
        <v>44854.984803240739</v>
      </c>
      <c r="C3433" s="28" t="s">
        <v>10</v>
      </c>
      <c r="D3433" s="28" t="s">
        <v>1294</v>
      </c>
      <c r="E3433" s="28"/>
      <c r="F3433" s="28">
        <v>0</v>
      </c>
      <c r="G3433" s="28" t="s">
        <v>119</v>
      </c>
      <c r="H3433" s="28">
        <v>0</v>
      </c>
      <c r="J3433" s="28"/>
    </row>
    <row r="3434" spans="1:10" ht="15.75" customHeight="1">
      <c r="A3434" s="28">
        <v>16366</v>
      </c>
      <c r="B3434" s="91">
        <v>44854.984803240739</v>
      </c>
      <c r="C3434" s="28" t="s">
        <v>10</v>
      </c>
      <c r="D3434" s="28" t="s">
        <v>1294</v>
      </c>
      <c r="E3434" s="28"/>
      <c r="F3434" s="28">
        <v>0</v>
      </c>
      <c r="G3434" s="28" t="s">
        <v>120</v>
      </c>
      <c r="H3434" s="28">
        <v>0</v>
      </c>
      <c r="J3434" s="28"/>
    </row>
    <row r="3435" spans="1:10" ht="15.75" customHeight="1">
      <c r="A3435" s="28">
        <v>16366</v>
      </c>
      <c r="B3435" s="91">
        <v>44854.984803240739</v>
      </c>
      <c r="C3435" s="28" t="s">
        <v>10</v>
      </c>
      <c r="D3435" s="28" t="s">
        <v>1294</v>
      </c>
      <c r="E3435" s="28"/>
      <c r="F3435" s="28">
        <v>0</v>
      </c>
      <c r="G3435" s="28" t="s">
        <v>121</v>
      </c>
      <c r="H3435" s="28">
        <v>0</v>
      </c>
      <c r="J3435" s="28"/>
    </row>
    <row r="3436" spans="1:10" ht="15.75" customHeight="1">
      <c r="A3436" s="28">
        <v>16364</v>
      </c>
      <c r="B3436" s="91">
        <v>44851.519918981481</v>
      </c>
      <c r="C3436" s="28" t="s">
        <v>10</v>
      </c>
      <c r="D3436" s="28" t="s">
        <v>1295</v>
      </c>
      <c r="E3436" s="28"/>
      <c r="F3436" s="28">
        <v>48</v>
      </c>
      <c r="G3436" s="28" t="s">
        <v>1296</v>
      </c>
      <c r="H3436" s="28">
        <v>0</v>
      </c>
      <c r="J3436" s="28"/>
    </row>
    <row r="3437" spans="1:10" ht="15.75" customHeight="1">
      <c r="A3437" s="28">
        <v>16364</v>
      </c>
      <c r="B3437" s="91">
        <v>44851.519918981481</v>
      </c>
      <c r="C3437" s="28" t="s">
        <v>10</v>
      </c>
      <c r="D3437" s="28" t="s">
        <v>1295</v>
      </c>
      <c r="E3437" s="28"/>
      <c r="F3437" s="28">
        <v>0</v>
      </c>
      <c r="G3437" s="28" t="s">
        <v>139</v>
      </c>
      <c r="H3437" s="28">
        <v>0</v>
      </c>
      <c r="J3437" s="28"/>
    </row>
    <row r="3438" spans="1:10" ht="15.75" customHeight="1">
      <c r="A3438" s="28">
        <v>16364</v>
      </c>
      <c r="B3438" s="91">
        <v>44851.519918981481</v>
      </c>
      <c r="C3438" s="28" t="s">
        <v>10</v>
      </c>
      <c r="D3438" s="28" t="s">
        <v>1295</v>
      </c>
      <c r="E3438" s="28"/>
      <c r="F3438" s="28">
        <v>55</v>
      </c>
      <c r="G3438" s="28">
        <v>101684</v>
      </c>
      <c r="H3438" s="28">
        <v>0</v>
      </c>
      <c r="J3438" s="28"/>
    </row>
    <row r="3439" spans="1:10" ht="15.75" customHeight="1">
      <c r="A3439" s="28">
        <v>16364</v>
      </c>
      <c r="B3439" s="91">
        <v>44851.519918981481</v>
      </c>
      <c r="C3439" s="28" t="s">
        <v>10</v>
      </c>
      <c r="D3439" s="28" t="s">
        <v>1295</v>
      </c>
      <c r="E3439" s="28"/>
      <c r="F3439" s="28">
        <v>0</v>
      </c>
      <c r="G3439" s="28" t="s">
        <v>118</v>
      </c>
      <c r="H3439" s="28">
        <v>0</v>
      </c>
      <c r="J3439" s="28"/>
    </row>
    <row r="3440" spans="1:10" ht="15.75" customHeight="1">
      <c r="A3440" s="28">
        <v>16364</v>
      </c>
      <c r="B3440" s="91">
        <v>44851.519918981481</v>
      </c>
      <c r="C3440" s="28" t="s">
        <v>10</v>
      </c>
      <c r="D3440" s="28" t="s">
        <v>1295</v>
      </c>
      <c r="E3440" s="28"/>
      <c r="F3440" s="28">
        <v>0</v>
      </c>
      <c r="G3440" s="28" t="s">
        <v>119</v>
      </c>
      <c r="H3440" s="28">
        <v>0</v>
      </c>
      <c r="J3440" s="28"/>
    </row>
    <row r="3441" spans="1:10" ht="15.75" customHeight="1">
      <c r="A3441" s="28">
        <v>16364</v>
      </c>
      <c r="B3441" s="91">
        <v>44851.519918981481</v>
      </c>
      <c r="C3441" s="28" t="s">
        <v>10</v>
      </c>
      <c r="D3441" s="28" t="s">
        <v>1295</v>
      </c>
      <c r="E3441" s="28"/>
      <c r="F3441" s="28">
        <v>0</v>
      </c>
      <c r="G3441" s="28" t="s">
        <v>120</v>
      </c>
      <c r="H3441" s="28">
        <v>0</v>
      </c>
      <c r="J3441" s="28"/>
    </row>
    <row r="3442" spans="1:10" ht="15.75" customHeight="1">
      <c r="A3442" s="28">
        <v>16364</v>
      </c>
      <c r="B3442" s="91">
        <v>44851.519918981481</v>
      </c>
      <c r="C3442" s="28" t="s">
        <v>10</v>
      </c>
      <c r="D3442" s="28" t="s">
        <v>1295</v>
      </c>
      <c r="E3442" s="28"/>
      <c r="F3442" s="28">
        <v>0</v>
      </c>
      <c r="G3442" s="28" t="s">
        <v>121</v>
      </c>
      <c r="H3442" s="28">
        <v>0</v>
      </c>
      <c r="J3442" s="28"/>
    </row>
    <row r="3443" spans="1:10" ht="15.75" customHeight="1">
      <c r="A3443" s="28">
        <v>16363</v>
      </c>
      <c r="B3443" s="91">
        <v>44850.660682870366</v>
      </c>
      <c r="C3443" s="28" t="s">
        <v>10</v>
      </c>
      <c r="D3443" s="28" t="s">
        <v>1297</v>
      </c>
      <c r="E3443" s="28"/>
      <c r="F3443" s="28">
        <v>28</v>
      </c>
      <c r="G3443" s="28" t="s">
        <v>143</v>
      </c>
      <c r="H3443" s="28">
        <v>0</v>
      </c>
      <c r="J3443" s="28"/>
    </row>
    <row r="3444" spans="1:10" ht="15.75" customHeight="1">
      <c r="A3444" s="28">
        <v>16362</v>
      </c>
      <c r="B3444" s="91">
        <v>44850.64230324074</v>
      </c>
      <c r="C3444" s="28" t="s">
        <v>10</v>
      </c>
      <c r="D3444" s="28" t="s">
        <v>1097</v>
      </c>
      <c r="E3444" s="28"/>
      <c r="F3444" s="28">
        <v>0</v>
      </c>
      <c r="G3444" s="28">
        <v>101684</v>
      </c>
      <c r="H3444" s="28">
        <v>0</v>
      </c>
      <c r="J3444" s="28"/>
    </row>
    <row r="3445" spans="1:10" ht="15.75" customHeight="1">
      <c r="A3445" s="28">
        <v>16362</v>
      </c>
      <c r="B3445" s="91">
        <v>44850.64230324074</v>
      </c>
      <c r="C3445" s="28" t="s">
        <v>10</v>
      </c>
      <c r="D3445" s="28" t="s">
        <v>1097</v>
      </c>
      <c r="E3445" s="28"/>
      <c r="F3445" s="28">
        <v>0</v>
      </c>
      <c r="G3445" s="28" t="s">
        <v>118</v>
      </c>
      <c r="H3445" s="28">
        <v>0</v>
      </c>
      <c r="J3445" s="28"/>
    </row>
    <row r="3446" spans="1:10" ht="15.75" customHeight="1">
      <c r="A3446" s="28">
        <v>16362</v>
      </c>
      <c r="B3446" s="91">
        <v>44850.64230324074</v>
      </c>
      <c r="C3446" s="28" t="s">
        <v>10</v>
      </c>
      <c r="D3446" s="28" t="s">
        <v>1097</v>
      </c>
      <c r="E3446" s="28"/>
      <c r="F3446" s="28">
        <v>0</v>
      </c>
      <c r="G3446" s="28" t="s">
        <v>119</v>
      </c>
      <c r="H3446" s="28">
        <v>0</v>
      </c>
      <c r="J3446" s="28"/>
    </row>
    <row r="3447" spans="1:10" ht="15.75" customHeight="1">
      <c r="A3447" s="28">
        <v>16362</v>
      </c>
      <c r="B3447" s="91">
        <v>44850.64230324074</v>
      </c>
      <c r="C3447" s="28" t="s">
        <v>10</v>
      </c>
      <c r="D3447" s="28" t="s">
        <v>1097</v>
      </c>
      <c r="E3447" s="28"/>
      <c r="F3447" s="28">
        <v>0</v>
      </c>
      <c r="G3447" s="28" t="s">
        <v>120</v>
      </c>
      <c r="H3447" s="28">
        <v>0</v>
      </c>
      <c r="J3447" s="28"/>
    </row>
    <row r="3448" spans="1:10" ht="15.75" customHeight="1">
      <c r="A3448" s="28">
        <v>16362</v>
      </c>
      <c r="B3448" s="91">
        <v>44850.64230324074</v>
      </c>
      <c r="C3448" s="28" t="s">
        <v>10</v>
      </c>
      <c r="D3448" s="28" t="s">
        <v>1097</v>
      </c>
      <c r="E3448" s="28"/>
      <c r="F3448" s="28">
        <v>0</v>
      </c>
      <c r="G3448" s="28" t="s">
        <v>121</v>
      </c>
      <c r="H3448" s="28">
        <v>0</v>
      </c>
      <c r="J3448" s="28"/>
    </row>
    <row r="3449" spans="1:10" ht="15.75" customHeight="1">
      <c r="A3449" s="28">
        <v>16361</v>
      </c>
      <c r="B3449" s="91">
        <v>44850.523483796293</v>
      </c>
      <c r="C3449" s="28" t="s">
        <v>10</v>
      </c>
      <c r="D3449" s="28" t="s">
        <v>1298</v>
      </c>
      <c r="E3449" s="28"/>
      <c r="F3449" s="28">
        <v>15</v>
      </c>
      <c r="G3449" s="28" t="s">
        <v>125</v>
      </c>
      <c r="H3449" s="28">
        <v>0</v>
      </c>
      <c r="J3449" s="28"/>
    </row>
    <row r="3450" spans="1:10" ht="15.75" customHeight="1">
      <c r="A3450" s="28">
        <v>16360</v>
      </c>
      <c r="B3450" s="91">
        <v>44848.592222222222</v>
      </c>
      <c r="C3450" s="28" t="s">
        <v>10</v>
      </c>
      <c r="D3450" s="28" t="s">
        <v>1299</v>
      </c>
      <c r="E3450" s="28"/>
      <c r="F3450" s="28">
        <v>20</v>
      </c>
      <c r="G3450" s="28" t="s">
        <v>121</v>
      </c>
      <c r="H3450" s="28">
        <v>0</v>
      </c>
      <c r="J3450" s="28"/>
    </row>
    <row r="3451" spans="1:10" ht="15.75" customHeight="1">
      <c r="A3451" s="28">
        <v>16360</v>
      </c>
      <c r="B3451" s="91">
        <v>44848.592222222222</v>
      </c>
      <c r="C3451" s="28" t="s">
        <v>10</v>
      </c>
      <c r="D3451" s="28" t="s">
        <v>1299</v>
      </c>
      <c r="E3451" s="28"/>
      <c r="F3451" s="28">
        <v>28</v>
      </c>
      <c r="G3451" s="28" t="s">
        <v>143</v>
      </c>
      <c r="H3451" s="28">
        <v>0</v>
      </c>
      <c r="J3451" s="28"/>
    </row>
    <row r="3452" spans="1:10" ht="15.75" customHeight="1">
      <c r="A3452" s="28">
        <v>16360</v>
      </c>
      <c r="B3452" s="91">
        <v>44848.592222222222</v>
      </c>
      <c r="C3452" s="28" t="s">
        <v>10</v>
      </c>
      <c r="D3452" s="28" t="s">
        <v>1299</v>
      </c>
      <c r="E3452" s="28"/>
      <c r="F3452" s="28">
        <v>0</v>
      </c>
      <c r="G3452" s="28" t="s">
        <v>139</v>
      </c>
      <c r="H3452" s="28">
        <v>0</v>
      </c>
      <c r="J3452" s="28"/>
    </row>
    <row r="3453" spans="1:10" ht="15.75" customHeight="1">
      <c r="A3453" s="28">
        <v>16359</v>
      </c>
      <c r="B3453" s="91">
        <v>44848.588854166665</v>
      </c>
      <c r="C3453" s="28" t="s">
        <v>10</v>
      </c>
      <c r="D3453" s="28" t="s">
        <v>1300</v>
      </c>
      <c r="E3453" s="28"/>
      <c r="F3453" s="28">
        <v>20</v>
      </c>
      <c r="G3453" s="28" t="s">
        <v>121</v>
      </c>
      <c r="H3453" s="28">
        <v>0</v>
      </c>
      <c r="J3453" s="28"/>
    </row>
    <row r="3454" spans="1:10" ht="15.75" customHeight="1">
      <c r="A3454" s="28">
        <v>16359</v>
      </c>
      <c r="B3454" s="91">
        <v>44848.588854166665</v>
      </c>
      <c r="C3454" s="28" t="s">
        <v>10</v>
      </c>
      <c r="D3454" s="28" t="s">
        <v>1300</v>
      </c>
      <c r="E3454" s="28"/>
      <c r="F3454" s="28">
        <v>28</v>
      </c>
      <c r="G3454" s="28" t="s">
        <v>143</v>
      </c>
      <c r="H3454" s="28">
        <v>0</v>
      </c>
      <c r="J3454" s="28"/>
    </row>
    <row r="3455" spans="1:10" ht="15.75" customHeight="1">
      <c r="A3455" s="28">
        <v>16359</v>
      </c>
      <c r="B3455" s="91">
        <v>44848.588854166665</v>
      </c>
      <c r="C3455" s="28" t="s">
        <v>10</v>
      </c>
      <c r="D3455" s="28" t="s">
        <v>1300</v>
      </c>
      <c r="E3455" s="28"/>
      <c r="F3455" s="28">
        <v>0</v>
      </c>
      <c r="G3455" s="28" t="s">
        <v>139</v>
      </c>
      <c r="H3455" s="28">
        <v>0</v>
      </c>
      <c r="J3455" s="28"/>
    </row>
    <row r="3456" spans="1:10" ht="15.75" customHeight="1">
      <c r="A3456" s="28">
        <v>16354</v>
      </c>
      <c r="B3456" s="91">
        <v>44846.554270833338</v>
      </c>
      <c r="C3456" s="28" t="s">
        <v>10</v>
      </c>
      <c r="D3456" s="28" t="s">
        <v>1301</v>
      </c>
      <c r="E3456" s="28"/>
      <c r="F3456" s="28">
        <v>0</v>
      </c>
      <c r="G3456" s="28" t="s">
        <v>139</v>
      </c>
      <c r="H3456" s="28">
        <v>0</v>
      </c>
      <c r="J3456" s="28"/>
    </row>
    <row r="3457" spans="1:10" ht="15.75" customHeight="1">
      <c r="A3457" s="28">
        <v>16354</v>
      </c>
      <c r="B3457" s="91">
        <v>44846.554270833338</v>
      </c>
      <c r="C3457" s="28" t="s">
        <v>10</v>
      </c>
      <c r="D3457" s="28" t="s">
        <v>1301</v>
      </c>
      <c r="E3457" s="28"/>
      <c r="F3457" s="28">
        <v>22</v>
      </c>
      <c r="G3457" s="28" t="s">
        <v>137</v>
      </c>
      <c r="H3457" s="28">
        <v>0</v>
      </c>
      <c r="J3457" s="28"/>
    </row>
    <row r="3458" spans="1:10" ht="15.75" customHeight="1">
      <c r="A3458" s="28">
        <v>16353</v>
      </c>
      <c r="B3458" s="91">
        <v>44846.105983796297</v>
      </c>
      <c r="C3458" s="28" t="s">
        <v>10</v>
      </c>
      <c r="D3458" s="28" t="s">
        <v>1302</v>
      </c>
      <c r="E3458" s="28"/>
      <c r="F3458" s="28">
        <v>25</v>
      </c>
      <c r="G3458" s="28">
        <v>100692</v>
      </c>
      <c r="H3458" s="28">
        <v>0</v>
      </c>
      <c r="J3458" s="28"/>
    </row>
    <row r="3459" spans="1:10" ht="15.75" customHeight="1">
      <c r="A3459" s="28">
        <v>16353</v>
      </c>
      <c r="B3459" s="91">
        <v>44846.105983796297</v>
      </c>
      <c r="C3459" s="28" t="s">
        <v>10</v>
      </c>
      <c r="D3459" s="28" t="s">
        <v>1302</v>
      </c>
      <c r="E3459" s="28"/>
      <c r="F3459" s="28">
        <v>0</v>
      </c>
      <c r="G3459" s="28" t="s">
        <v>125</v>
      </c>
      <c r="H3459" s="28">
        <v>0</v>
      </c>
      <c r="J3459" s="28"/>
    </row>
    <row r="3460" spans="1:10" ht="15.75" customHeight="1">
      <c r="A3460" s="28">
        <v>16353</v>
      </c>
      <c r="B3460" s="91">
        <v>44846.105983796297</v>
      </c>
      <c r="C3460" s="28" t="s">
        <v>10</v>
      </c>
      <c r="D3460" s="28" t="s">
        <v>1302</v>
      </c>
      <c r="E3460" s="28"/>
      <c r="F3460" s="28">
        <v>0</v>
      </c>
      <c r="G3460" s="28" t="s">
        <v>119</v>
      </c>
      <c r="H3460" s="28">
        <v>0</v>
      </c>
      <c r="J3460" s="28"/>
    </row>
    <row r="3461" spans="1:10" ht="15.75" customHeight="1">
      <c r="A3461" s="28">
        <v>16353</v>
      </c>
      <c r="B3461" s="91">
        <v>44846.105983796297</v>
      </c>
      <c r="C3461" s="28" t="s">
        <v>10</v>
      </c>
      <c r="D3461" s="28" t="s">
        <v>1302</v>
      </c>
      <c r="E3461" s="28"/>
      <c r="F3461" s="28">
        <v>20</v>
      </c>
      <c r="G3461" s="28" t="s">
        <v>334</v>
      </c>
      <c r="H3461" s="28">
        <v>0</v>
      </c>
      <c r="J3461" s="28"/>
    </row>
    <row r="3462" spans="1:10" ht="15.75" customHeight="1">
      <c r="A3462" s="28">
        <v>16352</v>
      </c>
      <c r="B3462" s="91">
        <v>44846.104664351849</v>
      </c>
      <c r="C3462" s="28" t="s">
        <v>10</v>
      </c>
      <c r="D3462" s="28" t="s">
        <v>867</v>
      </c>
      <c r="E3462" s="28"/>
      <c r="F3462" s="28">
        <v>25</v>
      </c>
      <c r="G3462" s="28">
        <v>100692</v>
      </c>
      <c r="H3462" s="28">
        <v>0</v>
      </c>
      <c r="J3462" s="28"/>
    </row>
    <row r="3463" spans="1:10" ht="15.75" customHeight="1">
      <c r="A3463" s="28">
        <v>16352</v>
      </c>
      <c r="B3463" s="91">
        <v>44846.104664351849</v>
      </c>
      <c r="C3463" s="28" t="s">
        <v>10</v>
      </c>
      <c r="D3463" s="28" t="s">
        <v>867</v>
      </c>
      <c r="E3463" s="28"/>
      <c r="F3463" s="28">
        <v>0</v>
      </c>
      <c r="G3463" s="28" t="s">
        <v>125</v>
      </c>
      <c r="H3463" s="28">
        <v>0</v>
      </c>
      <c r="J3463" s="28"/>
    </row>
    <row r="3464" spans="1:10" ht="15.75" customHeight="1">
      <c r="A3464" s="28">
        <v>16352</v>
      </c>
      <c r="B3464" s="91">
        <v>44846.104664351849</v>
      </c>
      <c r="C3464" s="28" t="s">
        <v>10</v>
      </c>
      <c r="D3464" s="28" t="s">
        <v>867</v>
      </c>
      <c r="E3464" s="28"/>
      <c r="F3464" s="28">
        <v>0</v>
      </c>
      <c r="G3464" s="28" t="s">
        <v>119</v>
      </c>
      <c r="H3464" s="28">
        <v>0</v>
      </c>
      <c r="J3464" s="28"/>
    </row>
    <row r="3465" spans="1:10" ht="15.75" customHeight="1">
      <c r="A3465" s="28">
        <v>16352</v>
      </c>
      <c r="B3465" s="91">
        <v>44846.104664351849</v>
      </c>
      <c r="C3465" s="28" t="s">
        <v>10</v>
      </c>
      <c r="D3465" s="28" t="s">
        <v>867</v>
      </c>
      <c r="E3465" s="28"/>
      <c r="F3465" s="28">
        <v>20</v>
      </c>
      <c r="G3465" s="28" t="s">
        <v>334</v>
      </c>
      <c r="H3465" s="28">
        <v>0</v>
      </c>
      <c r="J3465" s="28"/>
    </row>
    <row r="3466" spans="1:10" ht="15.75" customHeight="1">
      <c r="A3466" s="28">
        <v>16351</v>
      </c>
      <c r="B3466" s="91">
        <v>44846.101666666669</v>
      </c>
      <c r="C3466" s="28" t="s">
        <v>10</v>
      </c>
      <c r="D3466" s="28" t="s">
        <v>1303</v>
      </c>
      <c r="E3466" s="28"/>
      <c r="F3466" s="28">
        <v>18</v>
      </c>
      <c r="G3466" s="28" t="s">
        <v>457</v>
      </c>
      <c r="H3466" s="28">
        <v>0</v>
      </c>
      <c r="J3466" s="28"/>
    </row>
    <row r="3467" spans="1:10" ht="15.75" customHeight="1">
      <c r="A3467" s="28">
        <v>16351</v>
      </c>
      <c r="B3467" s="91">
        <v>44846.101666666669</v>
      </c>
      <c r="C3467" s="28" t="s">
        <v>10</v>
      </c>
      <c r="D3467" s="28" t="s">
        <v>1303</v>
      </c>
      <c r="E3467" s="28"/>
      <c r="F3467" s="28">
        <v>30</v>
      </c>
      <c r="G3467" s="28" t="s">
        <v>128</v>
      </c>
      <c r="H3467" s="28">
        <v>0</v>
      </c>
      <c r="J3467" s="28"/>
    </row>
    <row r="3468" spans="1:10" ht="15.75" customHeight="1">
      <c r="A3468" s="28">
        <v>16351</v>
      </c>
      <c r="B3468" s="91">
        <v>44846.101666666669</v>
      </c>
      <c r="C3468" s="28" t="s">
        <v>10</v>
      </c>
      <c r="D3468" s="28" t="s">
        <v>1303</v>
      </c>
      <c r="E3468" s="28"/>
      <c r="F3468" s="28">
        <v>0</v>
      </c>
      <c r="G3468" s="28" t="s">
        <v>125</v>
      </c>
      <c r="H3468" s="28">
        <v>0</v>
      </c>
      <c r="J3468" s="28"/>
    </row>
    <row r="3469" spans="1:10" ht="15.75" customHeight="1">
      <c r="A3469" s="28">
        <v>16351</v>
      </c>
      <c r="B3469" s="91">
        <v>44846.101666666669</v>
      </c>
      <c r="C3469" s="28" t="s">
        <v>10</v>
      </c>
      <c r="D3469" s="28" t="s">
        <v>1303</v>
      </c>
      <c r="E3469" s="28"/>
      <c r="F3469" s="28">
        <v>0</v>
      </c>
      <c r="G3469" s="28" t="s">
        <v>119</v>
      </c>
      <c r="H3469" s="28">
        <v>0</v>
      </c>
      <c r="J3469" s="28"/>
    </row>
    <row r="3470" spans="1:10" ht="15.75" customHeight="1">
      <c r="A3470" s="28">
        <v>16351</v>
      </c>
      <c r="B3470" s="91">
        <v>44846.101666666669</v>
      </c>
      <c r="C3470" s="28" t="s">
        <v>10</v>
      </c>
      <c r="D3470" s="28" t="s">
        <v>1303</v>
      </c>
      <c r="E3470" s="28"/>
      <c r="F3470" s="28">
        <v>10</v>
      </c>
      <c r="G3470" s="28" t="s">
        <v>334</v>
      </c>
      <c r="H3470" s="28">
        <v>0</v>
      </c>
      <c r="J3470" s="28"/>
    </row>
    <row r="3471" spans="1:10" ht="15.75" customHeight="1">
      <c r="A3471" s="28">
        <v>16349</v>
      </c>
      <c r="B3471" s="91">
        <v>44845.026053240741</v>
      </c>
      <c r="C3471" s="28" t="s">
        <v>10</v>
      </c>
      <c r="D3471" s="28" t="s">
        <v>1304</v>
      </c>
      <c r="E3471" s="28"/>
      <c r="F3471" s="28">
        <v>25</v>
      </c>
      <c r="G3471" s="28">
        <v>100692</v>
      </c>
      <c r="H3471" s="28">
        <v>0</v>
      </c>
      <c r="J3471" s="28"/>
    </row>
    <row r="3472" spans="1:10" ht="15.75" customHeight="1">
      <c r="A3472" s="28">
        <v>16349</v>
      </c>
      <c r="B3472" s="91">
        <v>44845.026053240741</v>
      </c>
      <c r="C3472" s="28" t="s">
        <v>10</v>
      </c>
      <c r="D3472" s="28" t="s">
        <v>1304</v>
      </c>
      <c r="E3472" s="28"/>
      <c r="F3472" s="28">
        <v>0</v>
      </c>
      <c r="G3472" s="28" t="s">
        <v>125</v>
      </c>
      <c r="H3472" s="28">
        <v>0</v>
      </c>
      <c r="J3472" s="28"/>
    </row>
    <row r="3473" spans="1:10" ht="15.75" customHeight="1">
      <c r="A3473" s="28">
        <v>16349</v>
      </c>
      <c r="B3473" s="91">
        <v>44845.026053240741</v>
      </c>
      <c r="C3473" s="28" t="s">
        <v>10</v>
      </c>
      <c r="D3473" s="28" t="s">
        <v>1304</v>
      </c>
      <c r="E3473" s="28"/>
      <c r="F3473" s="28">
        <v>0</v>
      </c>
      <c r="G3473" s="28" t="s">
        <v>119</v>
      </c>
      <c r="H3473" s="28">
        <v>0</v>
      </c>
      <c r="J3473" s="28"/>
    </row>
    <row r="3474" spans="1:10" ht="15.75" customHeight="1">
      <c r="A3474" s="28">
        <v>16348</v>
      </c>
      <c r="B3474" s="91">
        <v>44844.920347222222</v>
      </c>
      <c r="C3474" s="28" t="s">
        <v>10</v>
      </c>
      <c r="D3474" s="28" t="s">
        <v>1305</v>
      </c>
      <c r="E3474" s="28"/>
      <c r="F3474" s="28">
        <v>25</v>
      </c>
      <c r="G3474" s="28">
        <v>100692</v>
      </c>
      <c r="H3474" s="28">
        <v>0</v>
      </c>
      <c r="J3474" s="28"/>
    </row>
    <row r="3475" spans="1:10" ht="15.75" customHeight="1">
      <c r="A3475" s="28">
        <v>16348</v>
      </c>
      <c r="B3475" s="91">
        <v>44844.920347222222</v>
      </c>
      <c r="C3475" s="28" t="s">
        <v>10</v>
      </c>
      <c r="D3475" s="28" t="s">
        <v>1305</v>
      </c>
      <c r="E3475" s="28"/>
      <c r="F3475" s="28">
        <v>0</v>
      </c>
      <c r="G3475" s="28" t="s">
        <v>125</v>
      </c>
      <c r="H3475" s="28">
        <v>0</v>
      </c>
      <c r="J3475" s="28"/>
    </row>
    <row r="3476" spans="1:10" ht="15.75" customHeight="1">
      <c r="A3476" s="28">
        <v>16348</v>
      </c>
      <c r="B3476" s="91">
        <v>44844.920347222222</v>
      </c>
      <c r="C3476" s="28" t="s">
        <v>10</v>
      </c>
      <c r="D3476" s="28" t="s">
        <v>1305</v>
      </c>
      <c r="E3476" s="28"/>
      <c r="F3476" s="28">
        <v>0</v>
      </c>
      <c r="G3476" s="28" t="s">
        <v>119</v>
      </c>
      <c r="H3476" s="28">
        <v>0</v>
      </c>
      <c r="J3476" s="28"/>
    </row>
    <row r="3477" spans="1:10" ht="15.75" customHeight="1">
      <c r="A3477" s="28">
        <v>16347</v>
      </c>
      <c r="B3477" s="91">
        <v>44844.855486111112</v>
      </c>
      <c r="C3477" s="28" t="s">
        <v>10</v>
      </c>
      <c r="D3477" s="28" t="s">
        <v>1306</v>
      </c>
      <c r="E3477" s="28"/>
      <c r="F3477" s="28">
        <v>0</v>
      </c>
      <c r="G3477" s="28" t="s">
        <v>139</v>
      </c>
      <c r="H3477" s="28">
        <v>0</v>
      </c>
      <c r="J3477" s="28"/>
    </row>
    <row r="3478" spans="1:10" ht="15.75" customHeight="1">
      <c r="A3478" s="28">
        <v>16347</v>
      </c>
      <c r="B3478" s="91">
        <v>44844.855486111112</v>
      </c>
      <c r="C3478" s="28" t="s">
        <v>10</v>
      </c>
      <c r="D3478" s="28" t="s">
        <v>1306</v>
      </c>
      <c r="E3478" s="28"/>
      <c r="F3478" s="28">
        <v>25</v>
      </c>
      <c r="G3478" s="28">
        <v>100692</v>
      </c>
      <c r="H3478" s="28">
        <v>0</v>
      </c>
      <c r="J3478" s="28"/>
    </row>
    <row r="3479" spans="1:10" ht="15.75" customHeight="1">
      <c r="A3479" s="28">
        <v>16347</v>
      </c>
      <c r="B3479" s="91">
        <v>44844.855486111112</v>
      </c>
      <c r="C3479" s="28" t="s">
        <v>10</v>
      </c>
      <c r="D3479" s="28" t="s">
        <v>1306</v>
      </c>
      <c r="E3479" s="28"/>
      <c r="F3479" s="28">
        <v>0</v>
      </c>
      <c r="G3479" s="28" t="s">
        <v>125</v>
      </c>
      <c r="H3479" s="28">
        <v>0</v>
      </c>
      <c r="J3479" s="28"/>
    </row>
    <row r="3480" spans="1:10" ht="15.75" customHeight="1">
      <c r="A3480" s="28">
        <v>16347</v>
      </c>
      <c r="B3480" s="91">
        <v>44844.855486111112</v>
      </c>
      <c r="C3480" s="28" t="s">
        <v>10</v>
      </c>
      <c r="D3480" s="28" t="s">
        <v>1306</v>
      </c>
      <c r="E3480" s="28"/>
      <c r="F3480" s="28">
        <v>0</v>
      </c>
      <c r="G3480" s="28" t="s">
        <v>119</v>
      </c>
      <c r="H3480" s="28">
        <v>0</v>
      </c>
      <c r="J3480" s="28"/>
    </row>
    <row r="3481" spans="1:10" ht="15.75" customHeight="1">
      <c r="A3481" s="28">
        <v>16346</v>
      </c>
      <c r="B3481" s="91">
        <v>44844.096562499995</v>
      </c>
      <c r="C3481" s="28" t="s">
        <v>10</v>
      </c>
      <c r="D3481" s="28" t="s">
        <v>1307</v>
      </c>
      <c r="E3481" s="28"/>
      <c r="F3481" s="28">
        <v>25</v>
      </c>
      <c r="G3481" s="28">
        <v>100692</v>
      </c>
      <c r="H3481" s="28">
        <v>0</v>
      </c>
      <c r="J3481" s="28"/>
    </row>
    <row r="3482" spans="1:10" ht="15.75" customHeight="1">
      <c r="A3482" s="28">
        <v>16346</v>
      </c>
      <c r="B3482" s="91">
        <v>44844.096562499995</v>
      </c>
      <c r="C3482" s="28" t="s">
        <v>10</v>
      </c>
      <c r="D3482" s="28" t="s">
        <v>1307</v>
      </c>
      <c r="E3482" s="28"/>
      <c r="F3482" s="28">
        <v>0</v>
      </c>
      <c r="G3482" s="28" t="s">
        <v>125</v>
      </c>
      <c r="H3482" s="28">
        <v>0</v>
      </c>
      <c r="J3482" s="28"/>
    </row>
    <row r="3483" spans="1:10" ht="15.75" customHeight="1">
      <c r="A3483" s="28">
        <v>16346</v>
      </c>
      <c r="B3483" s="91">
        <v>44844.096562499995</v>
      </c>
      <c r="C3483" s="28" t="s">
        <v>10</v>
      </c>
      <c r="D3483" s="28" t="s">
        <v>1307</v>
      </c>
      <c r="E3483" s="28"/>
      <c r="F3483" s="28">
        <v>0</v>
      </c>
      <c r="G3483" s="28" t="s">
        <v>119</v>
      </c>
      <c r="H3483" s="28">
        <v>0</v>
      </c>
      <c r="J3483" s="28"/>
    </row>
    <row r="3484" spans="1:10" ht="15.75" customHeight="1">
      <c r="A3484" s="28">
        <v>16346</v>
      </c>
      <c r="B3484" s="91">
        <v>44844.096562499995</v>
      </c>
      <c r="C3484" s="28" t="s">
        <v>10</v>
      </c>
      <c r="D3484" s="28" t="s">
        <v>1307</v>
      </c>
      <c r="E3484" s="28"/>
      <c r="F3484" s="28">
        <v>15</v>
      </c>
      <c r="G3484" s="28" t="s">
        <v>170</v>
      </c>
      <c r="H3484" s="28">
        <v>0</v>
      </c>
      <c r="J3484" s="28"/>
    </row>
    <row r="3485" spans="1:10" ht="15.75" customHeight="1">
      <c r="A3485" s="28">
        <v>16344</v>
      </c>
      <c r="B3485" s="91">
        <v>44840.965787037036</v>
      </c>
      <c r="C3485" s="28" t="s">
        <v>10</v>
      </c>
      <c r="D3485" s="28" t="s">
        <v>1308</v>
      </c>
      <c r="E3485" s="28"/>
      <c r="F3485" s="28">
        <v>35</v>
      </c>
      <c r="G3485" s="28" t="s">
        <v>124</v>
      </c>
      <c r="H3485" s="28">
        <v>0</v>
      </c>
      <c r="J3485" s="28"/>
    </row>
    <row r="3486" spans="1:10" ht="15.75" customHeight="1">
      <c r="A3486" s="28">
        <v>16344</v>
      </c>
      <c r="B3486" s="91">
        <v>44840.965787037036</v>
      </c>
      <c r="C3486" s="28" t="s">
        <v>10</v>
      </c>
      <c r="D3486" s="28" t="s">
        <v>1308</v>
      </c>
      <c r="E3486" s="28"/>
      <c r="F3486" s="28">
        <v>0</v>
      </c>
      <c r="G3486" s="28" t="s">
        <v>125</v>
      </c>
      <c r="H3486" s="28">
        <v>0</v>
      </c>
      <c r="J3486" s="28"/>
    </row>
    <row r="3487" spans="1:10" ht="15.75" customHeight="1">
      <c r="A3487" s="28">
        <v>16344</v>
      </c>
      <c r="B3487" s="91">
        <v>44840.965787037036</v>
      </c>
      <c r="C3487" s="28" t="s">
        <v>10</v>
      </c>
      <c r="D3487" s="28" t="s">
        <v>1308</v>
      </c>
      <c r="E3487" s="28"/>
      <c r="F3487" s="28">
        <v>0</v>
      </c>
      <c r="G3487" s="28" t="s">
        <v>121</v>
      </c>
      <c r="H3487" s="28">
        <v>0</v>
      </c>
      <c r="J3487" s="28"/>
    </row>
    <row r="3488" spans="1:10" ht="15.75" customHeight="1">
      <c r="A3488" s="28">
        <v>16344</v>
      </c>
      <c r="B3488" s="91">
        <v>44840.965787037036</v>
      </c>
      <c r="C3488" s="28" t="s">
        <v>10</v>
      </c>
      <c r="D3488" s="28" t="s">
        <v>1308</v>
      </c>
      <c r="E3488" s="28"/>
      <c r="F3488" s="28">
        <v>0</v>
      </c>
      <c r="G3488" s="28" t="s">
        <v>139</v>
      </c>
      <c r="H3488" s="28">
        <v>0</v>
      </c>
      <c r="J3488" s="28"/>
    </row>
    <row r="3489" spans="1:10" ht="15.75" customHeight="1">
      <c r="A3489" s="28">
        <v>16343</v>
      </c>
      <c r="B3489" s="91">
        <v>44840.964490740742</v>
      </c>
      <c r="C3489" s="28" t="s">
        <v>10</v>
      </c>
      <c r="D3489" s="28" t="s">
        <v>1309</v>
      </c>
      <c r="E3489" s="28"/>
      <c r="F3489" s="28">
        <v>55</v>
      </c>
      <c r="G3489" s="28">
        <v>101684</v>
      </c>
      <c r="H3489" s="28">
        <v>0</v>
      </c>
      <c r="J3489" s="28"/>
    </row>
    <row r="3490" spans="1:10" ht="15.75" customHeight="1">
      <c r="A3490" s="28">
        <v>16343</v>
      </c>
      <c r="B3490" s="91">
        <v>44840.964490740742</v>
      </c>
      <c r="C3490" s="28" t="s">
        <v>10</v>
      </c>
      <c r="D3490" s="28" t="s">
        <v>1309</v>
      </c>
      <c r="E3490" s="28"/>
      <c r="F3490" s="28">
        <v>0</v>
      </c>
      <c r="G3490" s="28" t="s">
        <v>118</v>
      </c>
      <c r="H3490" s="28">
        <v>0</v>
      </c>
      <c r="J3490" s="28"/>
    </row>
    <row r="3491" spans="1:10" ht="15.75" customHeight="1">
      <c r="A3491" s="28">
        <v>16343</v>
      </c>
      <c r="B3491" s="91">
        <v>44840.964490740742</v>
      </c>
      <c r="C3491" s="28" t="s">
        <v>10</v>
      </c>
      <c r="D3491" s="28" t="s">
        <v>1309</v>
      </c>
      <c r="E3491" s="28"/>
      <c r="F3491" s="28">
        <v>0</v>
      </c>
      <c r="G3491" s="28" t="s">
        <v>119</v>
      </c>
      <c r="H3491" s="28">
        <v>0</v>
      </c>
      <c r="J3491" s="28"/>
    </row>
    <row r="3492" spans="1:10" ht="15.75" customHeight="1">
      <c r="A3492" s="28">
        <v>16343</v>
      </c>
      <c r="B3492" s="91">
        <v>44840.964490740742</v>
      </c>
      <c r="C3492" s="28" t="s">
        <v>10</v>
      </c>
      <c r="D3492" s="28" t="s">
        <v>1309</v>
      </c>
      <c r="E3492" s="28"/>
      <c r="F3492" s="28">
        <v>0</v>
      </c>
      <c r="G3492" s="28" t="s">
        <v>120</v>
      </c>
      <c r="H3492" s="28">
        <v>0</v>
      </c>
      <c r="J3492" s="28"/>
    </row>
    <row r="3493" spans="1:10" ht="15.75" customHeight="1">
      <c r="A3493" s="28">
        <v>16343</v>
      </c>
      <c r="B3493" s="91">
        <v>44840.964490740742</v>
      </c>
      <c r="C3493" s="28" t="s">
        <v>10</v>
      </c>
      <c r="D3493" s="28" t="s">
        <v>1309</v>
      </c>
      <c r="E3493" s="28"/>
      <c r="F3493" s="28">
        <v>0</v>
      </c>
      <c r="G3493" s="28" t="s">
        <v>121</v>
      </c>
      <c r="H3493" s="28">
        <v>0</v>
      </c>
      <c r="J3493" s="28"/>
    </row>
    <row r="3494" spans="1:10" ht="15.75" customHeight="1">
      <c r="A3494" s="28">
        <v>16342</v>
      </c>
      <c r="B3494" s="91">
        <v>44840.964224537034</v>
      </c>
      <c r="C3494" s="28" t="s">
        <v>10</v>
      </c>
      <c r="D3494" s="28" t="s">
        <v>1310</v>
      </c>
      <c r="E3494" s="28"/>
      <c r="F3494" s="28">
        <v>50</v>
      </c>
      <c r="G3494" s="28" t="s">
        <v>297</v>
      </c>
      <c r="H3494" s="28">
        <v>0</v>
      </c>
      <c r="J3494" s="28"/>
    </row>
    <row r="3495" spans="1:10" ht="15.75" customHeight="1">
      <c r="A3495" s="28">
        <v>16342</v>
      </c>
      <c r="B3495" s="91">
        <v>44840.964224537034</v>
      </c>
      <c r="C3495" s="28" t="s">
        <v>10</v>
      </c>
      <c r="D3495" s="28" t="s">
        <v>1310</v>
      </c>
      <c r="E3495" s="28"/>
      <c r="F3495" s="28">
        <v>35</v>
      </c>
      <c r="G3495" s="28" t="s">
        <v>124</v>
      </c>
      <c r="H3495" s="28">
        <v>0</v>
      </c>
      <c r="J3495" s="28"/>
    </row>
    <row r="3496" spans="1:10" ht="15.75" customHeight="1">
      <c r="A3496" s="28">
        <v>16342</v>
      </c>
      <c r="B3496" s="91">
        <v>44840.964224537034</v>
      </c>
      <c r="C3496" s="28" t="s">
        <v>10</v>
      </c>
      <c r="D3496" s="28" t="s">
        <v>1310</v>
      </c>
      <c r="E3496" s="28"/>
      <c r="F3496" s="28">
        <v>0</v>
      </c>
      <c r="G3496" s="28" t="s">
        <v>125</v>
      </c>
      <c r="H3496" s="28">
        <v>0</v>
      </c>
      <c r="J3496" s="28"/>
    </row>
    <row r="3497" spans="1:10" ht="15.75" customHeight="1">
      <c r="A3497" s="28">
        <v>16342</v>
      </c>
      <c r="B3497" s="91">
        <v>44840.964224537034</v>
      </c>
      <c r="C3497" s="28" t="s">
        <v>10</v>
      </c>
      <c r="D3497" s="28" t="s">
        <v>1310</v>
      </c>
      <c r="E3497" s="28"/>
      <c r="F3497" s="28">
        <v>0</v>
      </c>
      <c r="G3497" s="28" t="s">
        <v>121</v>
      </c>
      <c r="H3497" s="28">
        <v>0</v>
      </c>
      <c r="J3497" s="28"/>
    </row>
    <row r="3498" spans="1:10" ht="15.75" customHeight="1">
      <c r="A3498" s="28">
        <v>16342</v>
      </c>
      <c r="B3498" s="91">
        <v>44840.964224537034</v>
      </c>
      <c r="C3498" s="28" t="s">
        <v>10</v>
      </c>
      <c r="D3498" s="28" t="s">
        <v>1310</v>
      </c>
      <c r="E3498" s="28"/>
      <c r="F3498" s="28">
        <v>0</v>
      </c>
      <c r="G3498" s="28" t="s">
        <v>139</v>
      </c>
      <c r="H3498" s="28">
        <v>0</v>
      </c>
      <c r="J3498" s="28"/>
    </row>
    <row r="3499" spans="1:10" ht="15.75" customHeight="1">
      <c r="A3499" s="28">
        <v>16341</v>
      </c>
      <c r="B3499" s="91">
        <v>44839.766770833332</v>
      </c>
      <c r="C3499" s="28" t="s">
        <v>10</v>
      </c>
      <c r="D3499" s="28" t="s">
        <v>1311</v>
      </c>
      <c r="E3499" s="28"/>
      <c r="F3499" s="28">
        <v>25</v>
      </c>
      <c r="G3499" s="28">
        <v>100692</v>
      </c>
      <c r="H3499" s="28">
        <v>0</v>
      </c>
      <c r="J3499" s="28"/>
    </row>
    <row r="3500" spans="1:10" ht="15.75" customHeight="1">
      <c r="A3500" s="28">
        <v>16341</v>
      </c>
      <c r="B3500" s="91">
        <v>44839.766770833332</v>
      </c>
      <c r="C3500" s="28" t="s">
        <v>10</v>
      </c>
      <c r="D3500" s="28" t="s">
        <v>1311</v>
      </c>
      <c r="E3500" s="28"/>
      <c r="F3500" s="28">
        <v>0</v>
      </c>
      <c r="G3500" s="28" t="s">
        <v>125</v>
      </c>
      <c r="H3500" s="28">
        <v>0</v>
      </c>
      <c r="J3500" s="28"/>
    </row>
    <row r="3501" spans="1:10" ht="15.75" customHeight="1">
      <c r="A3501" s="28">
        <v>16341</v>
      </c>
      <c r="B3501" s="91">
        <v>44839.766770833332</v>
      </c>
      <c r="C3501" s="28" t="s">
        <v>10</v>
      </c>
      <c r="D3501" s="28" t="s">
        <v>1311</v>
      </c>
      <c r="E3501" s="28"/>
      <c r="F3501" s="28">
        <v>0</v>
      </c>
      <c r="G3501" s="28" t="s">
        <v>119</v>
      </c>
      <c r="H3501" s="28">
        <v>0</v>
      </c>
      <c r="J3501" s="28"/>
    </row>
    <row r="3502" spans="1:10" ht="15.75" customHeight="1">
      <c r="A3502" s="28">
        <v>16340</v>
      </c>
      <c r="B3502" s="91">
        <v>44837.593136574069</v>
      </c>
      <c r="C3502" s="28" t="s">
        <v>10</v>
      </c>
      <c r="D3502" s="28" t="s">
        <v>1252</v>
      </c>
      <c r="E3502" s="28"/>
      <c r="F3502" s="28">
        <v>28</v>
      </c>
      <c r="G3502" s="28" t="s">
        <v>143</v>
      </c>
      <c r="H3502" s="28">
        <v>0</v>
      </c>
      <c r="J3502" s="28"/>
    </row>
    <row r="3503" spans="1:10" ht="15.75" customHeight="1">
      <c r="A3503" s="28">
        <v>16339</v>
      </c>
      <c r="B3503" s="91">
        <v>44835.343414351853</v>
      </c>
      <c r="C3503" s="28" t="s">
        <v>10</v>
      </c>
      <c r="D3503" s="28" t="s">
        <v>1312</v>
      </c>
      <c r="E3503" s="28"/>
      <c r="F3503" s="28">
        <v>0</v>
      </c>
      <c r="G3503" s="28" t="s">
        <v>139</v>
      </c>
      <c r="H3503" s="28">
        <v>0</v>
      </c>
      <c r="J3503" s="28"/>
    </row>
    <row r="3504" spans="1:10" ht="15.75" customHeight="1">
      <c r="A3504" s="28">
        <v>16339</v>
      </c>
      <c r="B3504" s="91">
        <v>44835.343414351853</v>
      </c>
      <c r="C3504" s="28" t="s">
        <v>10</v>
      </c>
      <c r="D3504" s="28" t="s">
        <v>1312</v>
      </c>
      <c r="E3504" s="28"/>
      <c r="F3504" s="28">
        <v>15</v>
      </c>
      <c r="G3504" s="28" t="s">
        <v>125</v>
      </c>
      <c r="H3504" s="28">
        <v>0</v>
      </c>
      <c r="J3504" s="28"/>
    </row>
    <row r="3505" spans="1:10" ht="15.75" customHeight="1">
      <c r="A3505" s="28">
        <v>16337</v>
      </c>
      <c r="B3505" s="91">
        <v>44834.491608796292</v>
      </c>
      <c r="C3505" s="28" t="s">
        <v>10</v>
      </c>
      <c r="D3505" s="28" t="s">
        <v>1313</v>
      </c>
      <c r="E3505" s="28"/>
      <c r="F3505" s="28">
        <v>28</v>
      </c>
      <c r="G3505" s="28" t="s">
        <v>143</v>
      </c>
      <c r="H3505" s="28">
        <v>0</v>
      </c>
      <c r="J3505" s="28"/>
    </row>
    <row r="3506" spans="1:10" ht="15.75" customHeight="1">
      <c r="A3506" s="28">
        <v>16337</v>
      </c>
      <c r="B3506" s="91">
        <v>44834.491608796292</v>
      </c>
      <c r="C3506" s="28" t="s">
        <v>10</v>
      </c>
      <c r="D3506" s="28" t="s">
        <v>1313</v>
      </c>
      <c r="E3506" s="28"/>
      <c r="F3506" s="28">
        <v>0</v>
      </c>
      <c r="G3506" s="28" t="s">
        <v>139</v>
      </c>
      <c r="H3506" s="28">
        <v>0</v>
      </c>
      <c r="J3506" s="28"/>
    </row>
    <row r="3507" spans="1:10" ht="15.75" customHeight="1">
      <c r="A3507" s="28">
        <v>16337</v>
      </c>
      <c r="B3507" s="91">
        <v>44834.491608796292</v>
      </c>
      <c r="C3507" s="28" t="s">
        <v>10</v>
      </c>
      <c r="D3507" s="28" t="s">
        <v>1313</v>
      </c>
      <c r="E3507" s="28"/>
      <c r="F3507" s="28">
        <v>25</v>
      </c>
      <c r="G3507" s="28" t="s">
        <v>118</v>
      </c>
      <c r="H3507" s="28">
        <v>0</v>
      </c>
      <c r="J3507" s="28"/>
    </row>
    <row r="3508" spans="1:10" ht="15.75" customHeight="1">
      <c r="A3508" s="28">
        <v>16336</v>
      </c>
      <c r="B3508" s="91">
        <v>44834.130462962959</v>
      </c>
      <c r="C3508" s="28" t="s">
        <v>10</v>
      </c>
      <c r="D3508" s="28" t="s">
        <v>1314</v>
      </c>
      <c r="E3508" s="28"/>
      <c r="F3508" s="28">
        <v>0</v>
      </c>
      <c r="G3508" s="28" t="s">
        <v>139</v>
      </c>
      <c r="H3508" s="28">
        <v>0</v>
      </c>
      <c r="J3508" s="28"/>
    </row>
    <row r="3509" spans="1:10" ht="15.75" customHeight="1">
      <c r="A3509" s="28">
        <v>16336</v>
      </c>
      <c r="B3509" s="91">
        <v>44834.130462962959</v>
      </c>
      <c r="C3509" s="28" t="s">
        <v>10</v>
      </c>
      <c r="D3509" s="28" t="s">
        <v>1314</v>
      </c>
      <c r="E3509" s="28"/>
      <c r="F3509" s="28">
        <v>18</v>
      </c>
      <c r="G3509" s="28" t="s">
        <v>267</v>
      </c>
      <c r="H3509" s="28">
        <v>0</v>
      </c>
      <c r="J3509" s="28"/>
    </row>
    <row r="3510" spans="1:10" ht="15.75" customHeight="1">
      <c r="A3510" s="28">
        <v>16336</v>
      </c>
      <c r="B3510" s="91">
        <v>44834.130462962959</v>
      </c>
      <c r="C3510" s="28" t="s">
        <v>10</v>
      </c>
      <c r="D3510" s="28" t="s">
        <v>1314</v>
      </c>
      <c r="E3510" s="28"/>
      <c r="F3510" s="28">
        <v>15</v>
      </c>
      <c r="G3510" s="28" t="s">
        <v>125</v>
      </c>
      <c r="H3510" s="28">
        <v>0</v>
      </c>
      <c r="J3510" s="28"/>
    </row>
    <row r="3511" spans="1:10" ht="15.75" customHeight="1">
      <c r="A3511" s="28">
        <v>16335</v>
      </c>
      <c r="B3511" s="91">
        <v>44834.001886574071</v>
      </c>
      <c r="C3511" s="28" t="s">
        <v>10</v>
      </c>
      <c r="D3511" s="28" t="s">
        <v>1315</v>
      </c>
      <c r="E3511" s="28"/>
      <c r="F3511" s="28">
        <v>18</v>
      </c>
      <c r="G3511" s="28" t="s">
        <v>119</v>
      </c>
      <c r="H3511" s="28">
        <v>0</v>
      </c>
      <c r="J3511" s="28"/>
    </row>
    <row r="3512" spans="1:10" ht="15.75" customHeight="1">
      <c r="A3512" s="28">
        <v>16334</v>
      </c>
      <c r="B3512" s="91">
        <v>44832.93167824074</v>
      </c>
      <c r="C3512" s="28" t="s">
        <v>10</v>
      </c>
      <c r="D3512" s="28" t="s">
        <v>1316</v>
      </c>
      <c r="E3512" s="28"/>
      <c r="F3512" s="28">
        <v>24</v>
      </c>
      <c r="G3512" s="28" t="s">
        <v>122</v>
      </c>
      <c r="H3512" s="28">
        <v>0</v>
      </c>
      <c r="J3512" s="28"/>
    </row>
    <row r="3513" spans="1:10" ht="15.75" customHeight="1">
      <c r="A3513" s="28">
        <v>16333</v>
      </c>
      <c r="B3513" s="91">
        <v>44832.645254629635</v>
      </c>
      <c r="C3513" s="28" t="s">
        <v>10</v>
      </c>
      <c r="D3513" s="28" t="s">
        <v>1317</v>
      </c>
      <c r="E3513" s="28"/>
      <c r="F3513" s="28">
        <v>25</v>
      </c>
      <c r="G3513" s="28">
        <v>100692</v>
      </c>
      <c r="H3513" s="28">
        <v>0</v>
      </c>
      <c r="J3513" s="28"/>
    </row>
    <row r="3514" spans="1:10" ht="15.75" customHeight="1">
      <c r="A3514" s="28">
        <v>16333</v>
      </c>
      <c r="B3514" s="91">
        <v>44832.645254629635</v>
      </c>
      <c r="C3514" s="28" t="s">
        <v>10</v>
      </c>
      <c r="D3514" s="28" t="s">
        <v>1317</v>
      </c>
      <c r="E3514" s="28"/>
      <c r="F3514" s="28">
        <v>0</v>
      </c>
      <c r="G3514" s="28" t="s">
        <v>125</v>
      </c>
      <c r="H3514" s="28">
        <v>0</v>
      </c>
      <c r="J3514" s="28"/>
    </row>
    <row r="3515" spans="1:10" ht="15.75" customHeight="1">
      <c r="A3515" s="28">
        <v>16333</v>
      </c>
      <c r="B3515" s="91">
        <v>44832.645254629635</v>
      </c>
      <c r="C3515" s="28" t="s">
        <v>10</v>
      </c>
      <c r="D3515" s="28" t="s">
        <v>1317</v>
      </c>
      <c r="E3515" s="28"/>
      <c r="F3515" s="28">
        <v>0</v>
      </c>
      <c r="G3515" s="28" t="s">
        <v>119</v>
      </c>
      <c r="H3515" s="28">
        <v>0</v>
      </c>
      <c r="J3515" s="28"/>
    </row>
    <row r="3516" spans="1:10" ht="15.75" customHeight="1">
      <c r="A3516" s="28">
        <v>16332</v>
      </c>
      <c r="B3516" s="91">
        <v>44832.642812499995</v>
      </c>
      <c r="C3516" s="28" t="s">
        <v>10</v>
      </c>
      <c r="D3516" s="28" t="s">
        <v>1318</v>
      </c>
      <c r="E3516" s="28"/>
      <c r="F3516" s="28">
        <v>25</v>
      </c>
      <c r="G3516" s="28">
        <v>100692</v>
      </c>
      <c r="H3516" s="28">
        <v>0</v>
      </c>
      <c r="J3516" s="28"/>
    </row>
    <row r="3517" spans="1:10" ht="15.75" customHeight="1">
      <c r="A3517" s="28">
        <v>16332</v>
      </c>
      <c r="B3517" s="91">
        <v>44832.642812499995</v>
      </c>
      <c r="C3517" s="28" t="s">
        <v>10</v>
      </c>
      <c r="D3517" s="28" t="s">
        <v>1318</v>
      </c>
      <c r="E3517" s="28"/>
      <c r="F3517" s="28">
        <v>0</v>
      </c>
      <c r="G3517" s="28" t="s">
        <v>125</v>
      </c>
      <c r="H3517" s="28">
        <v>0</v>
      </c>
      <c r="J3517" s="28"/>
    </row>
    <row r="3518" spans="1:10" ht="15.75" customHeight="1">
      <c r="A3518" s="28">
        <v>16332</v>
      </c>
      <c r="B3518" s="91">
        <v>44832.642812499995</v>
      </c>
      <c r="C3518" s="28" t="s">
        <v>10</v>
      </c>
      <c r="D3518" s="28" t="s">
        <v>1318</v>
      </c>
      <c r="E3518" s="28"/>
      <c r="F3518" s="28">
        <v>0</v>
      </c>
      <c r="G3518" s="28" t="s">
        <v>119</v>
      </c>
      <c r="H3518" s="28">
        <v>0</v>
      </c>
      <c r="J3518" s="28"/>
    </row>
    <row r="3519" spans="1:10" ht="15.75" customHeight="1">
      <c r="A3519" s="28">
        <v>16331</v>
      </c>
      <c r="B3519" s="91">
        <v>44832.576226851852</v>
      </c>
      <c r="C3519" s="28" t="s">
        <v>10</v>
      </c>
      <c r="D3519" s="28" t="s">
        <v>1319</v>
      </c>
      <c r="E3519" s="28"/>
      <c r="F3519" s="28">
        <v>0</v>
      </c>
      <c r="G3519" s="28" t="s">
        <v>139</v>
      </c>
      <c r="H3519" s="28">
        <v>0</v>
      </c>
      <c r="J3519" s="28"/>
    </row>
    <row r="3520" spans="1:10" ht="15.75" customHeight="1">
      <c r="A3520" s="28">
        <v>16331</v>
      </c>
      <c r="B3520" s="91">
        <v>44832.576226851852</v>
      </c>
      <c r="C3520" s="28" t="s">
        <v>10</v>
      </c>
      <c r="D3520" s="28" t="s">
        <v>1319</v>
      </c>
      <c r="E3520" s="28"/>
      <c r="F3520" s="28">
        <v>25</v>
      </c>
      <c r="G3520" s="28">
        <v>100692</v>
      </c>
      <c r="H3520" s="28">
        <v>0</v>
      </c>
      <c r="J3520" s="28"/>
    </row>
    <row r="3521" spans="1:10" ht="15.75" customHeight="1">
      <c r="A3521" s="28">
        <v>16331</v>
      </c>
      <c r="B3521" s="91">
        <v>44832.576226851852</v>
      </c>
      <c r="C3521" s="28" t="s">
        <v>10</v>
      </c>
      <c r="D3521" s="28" t="s">
        <v>1319</v>
      </c>
      <c r="E3521" s="28"/>
      <c r="F3521" s="28">
        <v>0</v>
      </c>
      <c r="G3521" s="28" t="s">
        <v>125</v>
      </c>
      <c r="H3521" s="28">
        <v>0</v>
      </c>
      <c r="J3521" s="28"/>
    </row>
    <row r="3522" spans="1:10" ht="15.75" customHeight="1">
      <c r="A3522" s="28">
        <v>16331</v>
      </c>
      <c r="B3522" s="91">
        <v>44832.576226851852</v>
      </c>
      <c r="C3522" s="28" t="s">
        <v>10</v>
      </c>
      <c r="D3522" s="28" t="s">
        <v>1319</v>
      </c>
      <c r="E3522" s="28"/>
      <c r="F3522" s="28">
        <v>0</v>
      </c>
      <c r="G3522" s="28" t="s">
        <v>119</v>
      </c>
      <c r="H3522" s="28">
        <v>0</v>
      </c>
      <c r="J3522" s="28"/>
    </row>
    <row r="3523" spans="1:10" ht="15.75" customHeight="1">
      <c r="A3523" s="28">
        <v>16330</v>
      </c>
      <c r="B3523" s="91">
        <v>44832.537916666668</v>
      </c>
      <c r="C3523" s="28" t="s">
        <v>10</v>
      </c>
      <c r="D3523" s="28" t="s">
        <v>1320</v>
      </c>
      <c r="E3523" s="28"/>
      <c r="F3523" s="28">
        <v>35</v>
      </c>
      <c r="G3523" s="28" t="s">
        <v>124</v>
      </c>
      <c r="H3523" s="28">
        <v>0</v>
      </c>
      <c r="J3523" s="28"/>
    </row>
    <row r="3524" spans="1:10" ht="15.75" customHeight="1">
      <c r="A3524" s="28">
        <v>16330</v>
      </c>
      <c r="B3524" s="91">
        <v>44832.537916666668</v>
      </c>
      <c r="C3524" s="28" t="s">
        <v>10</v>
      </c>
      <c r="D3524" s="28" t="s">
        <v>1320</v>
      </c>
      <c r="E3524" s="28"/>
      <c r="F3524" s="28">
        <v>0</v>
      </c>
      <c r="G3524" s="28" t="s">
        <v>125</v>
      </c>
      <c r="H3524" s="28">
        <v>0</v>
      </c>
      <c r="J3524" s="28"/>
    </row>
    <row r="3525" spans="1:10" ht="15.75" customHeight="1">
      <c r="A3525" s="28">
        <v>16330</v>
      </c>
      <c r="B3525" s="91">
        <v>44832.537916666668</v>
      </c>
      <c r="C3525" s="28" t="s">
        <v>10</v>
      </c>
      <c r="D3525" s="28" t="s">
        <v>1320</v>
      </c>
      <c r="E3525" s="28"/>
      <c r="F3525" s="28">
        <v>0</v>
      </c>
      <c r="G3525" s="28" t="s">
        <v>121</v>
      </c>
      <c r="H3525" s="28">
        <v>0</v>
      </c>
      <c r="J3525" s="28"/>
    </row>
    <row r="3526" spans="1:10" ht="15.75" customHeight="1">
      <c r="A3526" s="28">
        <v>16330</v>
      </c>
      <c r="B3526" s="91">
        <v>44832.537916666668</v>
      </c>
      <c r="C3526" s="28" t="s">
        <v>10</v>
      </c>
      <c r="D3526" s="28" t="s">
        <v>1320</v>
      </c>
      <c r="E3526" s="28"/>
      <c r="F3526" s="28">
        <v>0</v>
      </c>
      <c r="G3526" s="28" t="s">
        <v>139</v>
      </c>
      <c r="H3526" s="28">
        <v>0</v>
      </c>
      <c r="J3526" s="28"/>
    </row>
    <row r="3527" spans="1:10" ht="15.75" customHeight="1">
      <c r="A3527" s="28">
        <v>16329</v>
      </c>
      <c r="B3527" s="91">
        <v>44832.499895833331</v>
      </c>
      <c r="C3527" s="28" t="s">
        <v>10</v>
      </c>
      <c r="D3527" s="28" t="s">
        <v>1321</v>
      </c>
      <c r="E3527" s="28"/>
      <c r="F3527" s="28">
        <v>35</v>
      </c>
      <c r="G3527" s="28" t="s">
        <v>124</v>
      </c>
      <c r="H3527" s="28">
        <v>0</v>
      </c>
      <c r="J3527" s="28"/>
    </row>
    <row r="3528" spans="1:10" ht="15.75" customHeight="1">
      <c r="A3528" s="28">
        <v>16329</v>
      </c>
      <c r="B3528" s="91">
        <v>44832.499895833331</v>
      </c>
      <c r="C3528" s="28" t="s">
        <v>10</v>
      </c>
      <c r="D3528" s="28" t="s">
        <v>1321</v>
      </c>
      <c r="E3528" s="28"/>
      <c r="F3528" s="28">
        <v>0</v>
      </c>
      <c r="G3528" s="28" t="s">
        <v>125</v>
      </c>
      <c r="H3528" s="28">
        <v>0</v>
      </c>
      <c r="J3528" s="28"/>
    </row>
    <row r="3529" spans="1:10" ht="15.75" customHeight="1">
      <c r="A3529" s="28">
        <v>16329</v>
      </c>
      <c r="B3529" s="91">
        <v>44832.499895833331</v>
      </c>
      <c r="C3529" s="28" t="s">
        <v>10</v>
      </c>
      <c r="D3529" s="28" t="s">
        <v>1321</v>
      </c>
      <c r="E3529" s="28"/>
      <c r="F3529" s="28">
        <v>0</v>
      </c>
      <c r="G3529" s="28" t="s">
        <v>121</v>
      </c>
      <c r="H3529" s="28">
        <v>0</v>
      </c>
      <c r="J3529" s="28"/>
    </row>
    <row r="3530" spans="1:10" ht="15.75" customHeight="1">
      <c r="A3530" s="28">
        <v>16329</v>
      </c>
      <c r="B3530" s="91">
        <v>44832.499895833331</v>
      </c>
      <c r="C3530" s="28" t="s">
        <v>10</v>
      </c>
      <c r="D3530" s="28" t="s">
        <v>1321</v>
      </c>
      <c r="E3530" s="28"/>
      <c r="F3530" s="28">
        <v>0</v>
      </c>
      <c r="G3530" s="28" t="s">
        <v>139</v>
      </c>
      <c r="H3530" s="28">
        <v>0</v>
      </c>
      <c r="J3530" s="28"/>
    </row>
    <row r="3531" spans="1:10" ht="15.75" customHeight="1">
      <c r="A3531" s="28">
        <v>16327</v>
      </c>
      <c r="B3531" s="91">
        <v>44831.467048611114</v>
      </c>
      <c r="C3531" s="28" t="s">
        <v>10</v>
      </c>
      <c r="D3531" s="28" t="s">
        <v>1322</v>
      </c>
      <c r="E3531" s="28"/>
      <c r="F3531" s="28">
        <v>18</v>
      </c>
      <c r="G3531" s="28" t="s">
        <v>119</v>
      </c>
      <c r="H3531" s="28">
        <v>0</v>
      </c>
      <c r="J3531" s="28"/>
    </row>
    <row r="3532" spans="1:10" ht="15.75" customHeight="1">
      <c r="A3532" s="28">
        <v>16326</v>
      </c>
      <c r="B3532" s="91">
        <v>44831.085439814815</v>
      </c>
      <c r="C3532" s="28" t="s">
        <v>10</v>
      </c>
      <c r="D3532" s="28" t="s">
        <v>661</v>
      </c>
      <c r="E3532" s="28"/>
      <c r="F3532" s="28">
        <v>18</v>
      </c>
      <c r="G3532" s="28" t="s">
        <v>457</v>
      </c>
      <c r="H3532" s="28">
        <v>0</v>
      </c>
      <c r="J3532" s="28"/>
    </row>
    <row r="3533" spans="1:10" ht="15.75" customHeight="1">
      <c r="A3533" s="28">
        <v>16326</v>
      </c>
      <c r="B3533" s="91">
        <v>44831.085439814815</v>
      </c>
      <c r="C3533" s="28" t="s">
        <v>10</v>
      </c>
      <c r="D3533" s="28" t="s">
        <v>661</v>
      </c>
      <c r="E3533" s="28"/>
      <c r="F3533" s="28">
        <v>20</v>
      </c>
      <c r="G3533" s="28" t="s">
        <v>205</v>
      </c>
      <c r="H3533" s="28">
        <v>0</v>
      </c>
      <c r="J3533" s="28"/>
    </row>
    <row r="3534" spans="1:10" ht="15.75" customHeight="1">
      <c r="A3534" s="28">
        <v>16326</v>
      </c>
      <c r="B3534" s="91">
        <v>44831.085439814815</v>
      </c>
      <c r="C3534" s="28" t="s">
        <v>10</v>
      </c>
      <c r="D3534" s="28" t="s">
        <v>661</v>
      </c>
      <c r="E3534" s="28"/>
      <c r="F3534" s="28">
        <v>0</v>
      </c>
      <c r="G3534" s="28" t="s">
        <v>125</v>
      </c>
      <c r="H3534" s="28">
        <v>0</v>
      </c>
      <c r="J3534" s="28"/>
    </row>
    <row r="3535" spans="1:10" ht="15.75" customHeight="1">
      <c r="A3535" s="28">
        <v>16325</v>
      </c>
      <c r="B3535" s="91">
        <v>44831.081273148149</v>
      </c>
      <c r="C3535" s="28" t="s">
        <v>10</v>
      </c>
      <c r="D3535" s="28" t="s">
        <v>661</v>
      </c>
      <c r="E3535" s="28"/>
      <c r="F3535" s="28">
        <v>20</v>
      </c>
      <c r="G3535" s="28" t="s">
        <v>121</v>
      </c>
      <c r="H3535" s="28">
        <v>0</v>
      </c>
      <c r="J3535" s="28"/>
    </row>
    <row r="3536" spans="1:10" ht="15.75" customHeight="1">
      <c r="A3536" s="28">
        <v>16325</v>
      </c>
      <c r="B3536" s="91">
        <v>44831.081273148149</v>
      </c>
      <c r="C3536" s="28" t="s">
        <v>10</v>
      </c>
      <c r="D3536" s="28" t="s">
        <v>661</v>
      </c>
      <c r="E3536" s="28"/>
      <c r="F3536" s="28">
        <v>28</v>
      </c>
      <c r="G3536" s="28" t="s">
        <v>143</v>
      </c>
      <c r="H3536" s="28">
        <v>0</v>
      </c>
      <c r="J3536" s="28"/>
    </row>
    <row r="3537" spans="1:10" ht="15.75" customHeight="1">
      <c r="A3537" s="28">
        <v>16324</v>
      </c>
      <c r="B3537" s="91">
        <v>44831.079317129625</v>
      </c>
      <c r="C3537" s="28" t="s">
        <v>10</v>
      </c>
      <c r="D3537" s="28" t="s">
        <v>660</v>
      </c>
      <c r="E3537" s="28"/>
      <c r="F3537" s="28">
        <v>20</v>
      </c>
      <c r="G3537" s="28" t="s">
        <v>121</v>
      </c>
      <c r="H3537" s="28">
        <v>0</v>
      </c>
      <c r="J3537" s="28"/>
    </row>
    <row r="3538" spans="1:10" ht="15.75" customHeight="1">
      <c r="A3538" s="28">
        <v>16324</v>
      </c>
      <c r="B3538" s="91">
        <v>44831.079317129625</v>
      </c>
      <c r="C3538" s="28" t="s">
        <v>10</v>
      </c>
      <c r="D3538" s="28" t="s">
        <v>660</v>
      </c>
      <c r="E3538" s="28"/>
      <c r="F3538" s="28">
        <v>28</v>
      </c>
      <c r="G3538" s="28" t="s">
        <v>143</v>
      </c>
      <c r="H3538" s="28">
        <v>0</v>
      </c>
      <c r="J3538" s="28"/>
    </row>
    <row r="3539" spans="1:10" ht="15.75" customHeight="1">
      <c r="A3539" s="28">
        <v>16324</v>
      </c>
      <c r="B3539" s="91">
        <v>44831.079317129625</v>
      </c>
      <c r="C3539" s="28" t="s">
        <v>10</v>
      </c>
      <c r="D3539" s="28" t="s">
        <v>660</v>
      </c>
      <c r="E3539" s="28"/>
      <c r="F3539" s="28">
        <v>0</v>
      </c>
      <c r="G3539" s="28" t="s">
        <v>139</v>
      </c>
      <c r="H3539" s="28">
        <v>0</v>
      </c>
      <c r="J3539" s="28"/>
    </row>
    <row r="3540" spans="1:10" ht="15.75" customHeight="1">
      <c r="A3540" s="28">
        <v>16321</v>
      </c>
      <c r="B3540" s="91">
        <v>44831.047280092593</v>
      </c>
      <c r="C3540" s="28" t="s">
        <v>10</v>
      </c>
      <c r="D3540" s="28" t="s">
        <v>1323</v>
      </c>
      <c r="E3540" s="28"/>
      <c r="F3540" s="28">
        <v>20</v>
      </c>
      <c r="G3540" s="28" t="s">
        <v>148</v>
      </c>
      <c r="H3540" s="28">
        <v>0</v>
      </c>
      <c r="J3540" s="28"/>
    </row>
    <row r="3541" spans="1:10" ht="15.75" customHeight="1">
      <c r="A3541" s="28">
        <v>16321</v>
      </c>
      <c r="B3541" s="91">
        <v>44831.047280092593</v>
      </c>
      <c r="C3541" s="28" t="s">
        <v>10</v>
      </c>
      <c r="D3541" s="28" t="s">
        <v>1323</v>
      </c>
      <c r="E3541" s="28"/>
      <c r="F3541" s="28">
        <v>24</v>
      </c>
      <c r="G3541" s="28" t="s">
        <v>122</v>
      </c>
      <c r="H3541" s="28">
        <v>0</v>
      </c>
      <c r="J3541" s="28"/>
    </row>
    <row r="3542" spans="1:10" ht="15.75" customHeight="1">
      <c r="A3542" s="28">
        <v>16300</v>
      </c>
      <c r="B3542" s="91">
        <v>44830.681724537033</v>
      </c>
      <c r="C3542" s="28" t="s">
        <v>10</v>
      </c>
      <c r="D3542" s="28" t="s">
        <v>1324</v>
      </c>
      <c r="E3542" s="28"/>
      <c r="F3542" s="28">
        <v>0</v>
      </c>
      <c r="G3542" s="28" t="s">
        <v>139</v>
      </c>
      <c r="H3542" s="28">
        <v>0</v>
      </c>
      <c r="J3542" s="28"/>
    </row>
    <row r="3543" spans="1:10" ht="15.75" customHeight="1">
      <c r="A3543" s="28">
        <v>16300</v>
      </c>
      <c r="B3543" s="91">
        <v>44830.681724537033</v>
      </c>
      <c r="C3543" s="28" t="s">
        <v>10</v>
      </c>
      <c r="D3543" s="28" t="s">
        <v>1324</v>
      </c>
      <c r="E3543" s="28"/>
      <c r="F3543" s="28">
        <v>15</v>
      </c>
      <c r="G3543" s="28"/>
      <c r="H3543" s="28">
        <v>0</v>
      </c>
      <c r="J3543" s="28"/>
    </row>
    <row r="3544" spans="1:10" ht="15.75" customHeight="1">
      <c r="A3544" s="28">
        <v>16300</v>
      </c>
      <c r="B3544" s="91">
        <v>44830.681724537033</v>
      </c>
      <c r="C3544" s="28" t="s">
        <v>10</v>
      </c>
      <c r="D3544" s="28" t="s">
        <v>1324</v>
      </c>
      <c r="E3544" s="28"/>
      <c r="F3544" s="28">
        <v>35</v>
      </c>
      <c r="G3544" s="28" t="s">
        <v>124</v>
      </c>
      <c r="H3544" s="28">
        <v>0</v>
      </c>
      <c r="J3544" s="28"/>
    </row>
    <row r="3545" spans="1:10" ht="15.75" customHeight="1">
      <c r="A3545" s="28">
        <v>16300</v>
      </c>
      <c r="B3545" s="91">
        <v>44830.681724537033</v>
      </c>
      <c r="C3545" s="28" t="s">
        <v>10</v>
      </c>
      <c r="D3545" s="28" t="s">
        <v>1324</v>
      </c>
      <c r="E3545" s="28"/>
      <c r="F3545" s="28">
        <v>0</v>
      </c>
      <c r="G3545" s="28" t="s">
        <v>125</v>
      </c>
      <c r="H3545" s="28">
        <v>0</v>
      </c>
      <c r="J3545" s="28"/>
    </row>
    <row r="3546" spans="1:10" ht="15.75" customHeight="1">
      <c r="A3546" s="28">
        <v>16300</v>
      </c>
      <c r="B3546" s="91">
        <v>44830.681724537033</v>
      </c>
      <c r="C3546" s="28" t="s">
        <v>10</v>
      </c>
      <c r="D3546" s="28" t="s">
        <v>1324</v>
      </c>
      <c r="E3546" s="28"/>
      <c r="F3546" s="28">
        <v>0</v>
      </c>
      <c r="G3546" s="28" t="s">
        <v>121</v>
      </c>
      <c r="H3546" s="28">
        <v>0</v>
      </c>
      <c r="J3546" s="28"/>
    </row>
    <row r="3547" spans="1:10" ht="15.75" customHeight="1">
      <c r="A3547" s="28">
        <v>16300</v>
      </c>
      <c r="B3547" s="91">
        <v>44830.681724537033</v>
      </c>
      <c r="C3547" s="28" t="s">
        <v>10</v>
      </c>
      <c r="D3547" s="28" t="s">
        <v>1324</v>
      </c>
      <c r="E3547" s="28"/>
      <c r="F3547" s="28">
        <v>0</v>
      </c>
      <c r="G3547" s="28" t="s">
        <v>139</v>
      </c>
      <c r="H3547" s="28">
        <v>0</v>
      </c>
      <c r="J3547" s="28"/>
    </row>
    <row r="3548" spans="1:10" ht="15.75" customHeight="1">
      <c r="A3548" s="28">
        <v>16300</v>
      </c>
      <c r="B3548" s="91">
        <v>44830.681724537033</v>
      </c>
      <c r="C3548" s="28" t="s">
        <v>10</v>
      </c>
      <c r="D3548" s="28" t="s">
        <v>1324</v>
      </c>
      <c r="E3548" s="28"/>
      <c r="F3548" s="28">
        <v>18</v>
      </c>
      <c r="G3548" s="28" t="s">
        <v>119</v>
      </c>
      <c r="H3548" s="28">
        <v>0</v>
      </c>
      <c r="J3548" s="28"/>
    </row>
    <row r="3549" spans="1:10" ht="15.75" customHeight="1">
      <c r="A3549" s="28">
        <v>16298</v>
      </c>
      <c r="B3549" s="91">
        <v>44830.051342592589</v>
      </c>
      <c r="C3549" s="28" t="s">
        <v>10</v>
      </c>
      <c r="D3549" s="28" t="s">
        <v>1325</v>
      </c>
      <c r="E3549" s="28"/>
      <c r="F3549" s="28">
        <v>100</v>
      </c>
      <c r="G3549" s="28">
        <v>102779</v>
      </c>
      <c r="H3549" s="28">
        <v>0</v>
      </c>
      <c r="J3549" s="28"/>
    </row>
    <row r="3550" spans="1:10" ht="15.75" customHeight="1">
      <c r="A3550" s="28">
        <v>16298</v>
      </c>
      <c r="B3550" s="91">
        <v>44830.051342592589</v>
      </c>
      <c r="C3550" s="28" t="s">
        <v>10</v>
      </c>
      <c r="D3550" s="28" t="s">
        <v>1325</v>
      </c>
      <c r="E3550" s="28"/>
      <c r="F3550" s="28">
        <v>0</v>
      </c>
      <c r="G3550" s="28" t="s">
        <v>118</v>
      </c>
      <c r="H3550" s="28">
        <v>0</v>
      </c>
      <c r="J3550" s="28"/>
    </row>
    <row r="3551" spans="1:10" ht="15.75" customHeight="1">
      <c r="A3551" s="28">
        <v>16298</v>
      </c>
      <c r="B3551" s="91">
        <v>44830.051342592589</v>
      </c>
      <c r="C3551" s="28" t="s">
        <v>10</v>
      </c>
      <c r="D3551" s="28" t="s">
        <v>1325</v>
      </c>
      <c r="E3551" s="28"/>
      <c r="F3551" s="28">
        <v>0</v>
      </c>
      <c r="G3551" s="28" t="s">
        <v>119</v>
      </c>
      <c r="H3551" s="28">
        <v>0</v>
      </c>
      <c r="J3551" s="28"/>
    </row>
    <row r="3552" spans="1:10" ht="15.75" customHeight="1">
      <c r="A3552" s="28">
        <v>16298</v>
      </c>
      <c r="B3552" s="91">
        <v>44830.051342592589</v>
      </c>
      <c r="C3552" s="28" t="s">
        <v>10</v>
      </c>
      <c r="D3552" s="28" t="s">
        <v>1325</v>
      </c>
      <c r="E3552" s="28"/>
      <c r="F3552" s="28">
        <v>0</v>
      </c>
      <c r="G3552" s="28" t="s">
        <v>120</v>
      </c>
      <c r="H3552" s="28">
        <v>0</v>
      </c>
      <c r="J3552" s="28"/>
    </row>
    <row r="3553" spans="1:10" ht="15.75" customHeight="1">
      <c r="A3553" s="28">
        <v>16298</v>
      </c>
      <c r="B3553" s="91">
        <v>44830.051342592589</v>
      </c>
      <c r="C3553" s="28" t="s">
        <v>10</v>
      </c>
      <c r="D3553" s="28" t="s">
        <v>1325</v>
      </c>
      <c r="E3553" s="28"/>
      <c r="F3553" s="28">
        <v>0</v>
      </c>
      <c r="G3553" s="28" t="s">
        <v>122</v>
      </c>
      <c r="H3553" s="28">
        <v>0</v>
      </c>
      <c r="J3553" s="28"/>
    </row>
    <row r="3554" spans="1:10" ht="15.75" customHeight="1">
      <c r="A3554" s="28">
        <v>16298</v>
      </c>
      <c r="B3554" s="91">
        <v>44830.051342592589</v>
      </c>
      <c r="C3554" s="28" t="s">
        <v>10</v>
      </c>
      <c r="D3554" s="28" t="s">
        <v>1325</v>
      </c>
      <c r="E3554" s="28"/>
      <c r="F3554" s="28">
        <v>0</v>
      </c>
      <c r="G3554" s="28" t="s">
        <v>121</v>
      </c>
      <c r="H3554" s="28">
        <v>0</v>
      </c>
      <c r="J3554" s="28"/>
    </row>
    <row r="3555" spans="1:10" ht="15.75" customHeight="1">
      <c r="A3555" s="28">
        <v>16297</v>
      </c>
      <c r="B3555" s="91">
        <v>44830.04822916667</v>
      </c>
      <c r="C3555" s="28" t="s">
        <v>10</v>
      </c>
      <c r="D3555" s="28" t="s">
        <v>1326</v>
      </c>
      <c r="E3555" s="28"/>
      <c r="F3555" s="28">
        <v>20</v>
      </c>
      <c r="G3555" s="28" t="s">
        <v>286</v>
      </c>
      <c r="H3555" s="28">
        <v>0</v>
      </c>
      <c r="J3555" s="28"/>
    </row>
    <row r="3556" spans="1:10" ht="15.75" customHeight="1">
      <c r="A3556" s="28">
        <v>16297</v>
      </c>
      <c r="B3556" s="91">
        <v>44830.04822916667</v>
      </c>
      <c r="C3556" s="28" t="s">
        <v>10</v>
      </c>
      <c r="D3556" s="28" t="s">
        <v>1326</v>
      </c>
      <c r="E3556" s="28"/>
      <c r="F3556" s="28">
        <v>55</v>
      </c>
      <c r="G3556" s="28">
        <v>101684</v>
      </c>
      <c r="H3556" s="28">
        <v>0</v>
      </c>
      <c r="J3556" s="28"/>
    </row>
    <row r="3557" spans="1:10" ht="15.75" customHeight="1">
      <c r="A3557" s="28">
        <v>16297</v>
      </c>
      <c r="B3557" s="91">
        <v>44830.04822916667</v>
      </c>
      <c r="C3557" s="28" t="s">
        <v>10</v>
      </c>
      <c r="D3557" s="28" t="s">
        <v>1326</v>
      </c>
      <c r="E3557" s="28"/>
      <c r="F3557" s="28">
        <v>0</v>
      </c>
      <c r="G3557" s="28" t="s">
        <v>118</v>
      </c>
      <c r="H3557" s="28">
        <v>0</v>
      </c>
      <c r="J3557" s="28"/>
    </row>
    <row r="3558" spans="1:10" ht="15.75" customHeight="1">
      <c r="A3558" s="28">
        <v>16297</v>
      </c>
      <c r="B3558" s="91">
        <v>44830.04822916667</v>
      </c>
      <c r="C3558" s="28" t="s">
        <v>10</v>
      </c>
      <c r="D3558" s="28" t="s">
        <v>1326</v>
      </c>
      <c r="E3558" s="28"/>
      <c r="F3558" s="28">
        <v>0</v>
      </c>
      <c r="G3558" s="28" t="s">
        <v>119</v>
      </c>
      <c r="H3558" s="28">
        <v>0</v>
      </c>
      <c r="J3558" s="28"/>
    </row>
    <row r="3559" spans="1:10" ht="15.75" customHeight="1">
      <c r="A3559" s="28">
        <v>16297</v>
      </c>
      <c r="B3559" s="91">
        <v>44830.04822916667</v>
      </c>
      <c r="C3559" s="28" t="s">
        <v>10</v>
      </c>
      <c r="D3559" s="28" t="s">
        <v>1326</v>
      </c>
      <c r="E3559" s="28"/>
      <c r="F3559" s="28">
        <v>0</v>
      </c>
      <c r="G3559" s="28" t="s">
        <v>120</v>
      </c>
      <c r="H3559" s="28">
        <v>0</v>
      </c>
      <c r="J3559" s="28"/>
    </row>
    <row r="3560" spans="1:10" ht="15.75" customHeight="1">
      <c r="A3560" s="28">
        <v>16297</v>
      </c>
      <c r="B3560" s="91">
        <v>44830.04822916667</v>
      </c>
      <c r="C3560" s="28" t="s">
        <v>10</v>
      </c>
      <c r="D3560" s="28" t="s">
        <v>1326</v>
      </c>
      <c r="E3560" s="28"/>
      <c r="F3560" s="28">
        <v>0</v>
      </c>
      <c r="G3560" s="28" t="s">
        <v>121</v>
      </c>
      <c r="H3560" s="28">
        <v>0</v>
      </c>
      <c r="J3560" s="28"/>
    </row>
    <row r="3561" spans="1:10" ht="15.75" customHeight="1">
      <c r="A3561" s="28">
        <v>16297</v>
      </c>
      <c r="B3561" s="91">
        <v>44830.04822916667</v>
      </c>
      <c r="C3561" s="28" t="s">
        <v>10</v>
      </c>
      <c r="D3561" s="28" t="s">
        <v>1326</v>
      </c>
      <c r="E3561" s="28"/>
      <c r="F3561" s="28">
        <v>24</v>
      </c>
      <c r="G3561" s="28" t="s">
        <v>122</v>
      </c>
      <c r="H3561" s="28">
        <v>0</v>
      </c>
      <c r="J3561" s="28"/>
    </row>
    <row r="3562" spans="1:10" ht="15.75" customHeight="1">
      <c r="A3562" s="28">
        <v>16296</v>
      </c>
      <c r="B3562" s="91">
        <v>44830.036631944444</v>
      </c>
      <c r="C3562" s="28" t="s">
        <v>18</v>
      </c>
      <c r="D3562" s="28" t="s">
        <v>1327</v>
      </c>
      <c r="E3562" s="28"/>
      <c r="F3562" s="28">
        <v>20</v>
      </c>
      <c r="G3562" s="28" t="s">
        <v>121</v>
      </c>
      <c r="H3562" s="28">
        <v>0</v>
      </c>
      <c r="J3562" s="28"/>
    </row>
    <row r="3563" spans="1:10" ht="15.75" customHeight="1">
      <c r="A3563" s="28">
        <v>16296</v>
      </c>
      <c r="B3563" s="91">
        <v>44830.036631944444</v>
      </c>
      <c r="C3563" s="28" t="s">
        <v>18</v>
      </c>
      <c r="D3563" s="28" t="s">
        <v>1327</v>
      </c>
      <c r="E3563" s="28"/>
      <c r="F3563" s="28">
        <v>28</v>
      </c>
      <c r="G3563" s="28" t="s">
        <v>143</v>
      </c>
      <c r="H3563" s="28">
        <v>0</v>
      </c>
      <c r="J3563" s="28"/>
    </row>
    <row r="3564" spans="1:10" ht="15.75" customHeight="1">
      <c r="A3564" s="28">
        <v>16296</v>
      </c>
      <c r="B3564" s="91">
        <v>44830.036631944444</v>
      </c>
      <c r="C3564" s="28" t="s">
        <v>18</v>
      </c>
      <c r="D3564" s="28" t="s">
        <v>1327</v>
      </c>
      <c r="E3564" s="28"/>
      <c r="F3564" s="28">
        <v>25</v>
      </c>
      <c r="G3564" s="28" t="s">
        <v>1328</v>
      </c>
      <c r="H3564" s="28">
        <v>0</v>
      </c>
      <c r="J3564" s="28"/>
    </row>
    <row r="3565" spans="1:10" ht="15.75" customHeight="1">
      <c r="A3565" s="28">
        <v>16295</v>
      </c>
      <c r="B3565" s="91">
        <v>44830.010821759264</v>
      </c>
      <c r="C3565" s="28" t="s">
        <v>10</v>
      </c>
      <c r="D3565" s="28" t="s">
        <v>1329</v>
      </c>
      <c r="E3565" s="28"/>
      <c r="F3565" s="28">
        <v>20</v>
      </c>
      <c r="G3565" s="28" t="s">
        <v>148</v>
      </c>
      <c r="H3565" s="28">
        <v>0</v>
      </c>
      <c r="J3565" s="28"/>
    </row>
    <row r="3566" spans="1:10" ht="15.75" customHeight="1">
      <c r="A3566" s="28">
        <v>16295</v>
      </c>
      <c r="B3566" s="91">
        <v>44830.010821759264</v>
      </c>
      <c r="C3566" s="28" t="s">
        <v>10</v>
      </c>
      <c r="D3566" s="28" t="s">
        <v>1329</v>
      </c>
      <c r="E3566" s="28"/>
      <c r="F3566" s="28">
        <v>28</v>
      </c>
      <c r="G3566" s="28" t="s">
        <v>143</v>
      </c>
      <c r="H3566" s="28">
        <v>0</v>
      </c>
      <c r="J3566" s="28"/>
    </row>
    <row r="3567" spans="1:10" ht="15.75" customHeight="1">
      <c r="A3567" s="28">
        <v>16294</v>
      </c>
      <c r="B3567" s="91">
        <v>44829.760023148148</v>
      </c>
      <c r="C3567" s="28" t="s">
        <v>10</v>
      </c>
      <c r="D3567" s="28" t="s">
        <v>1330</v>
      </c>
      <c r="E3567" s="28"/>
      <c r="F3567" s="28">
        <v>15</v>
      </c>
      <c r="G3567" s="28" t="s">
        <v>170</v>
      </c>
      <c r="H3567" s="28">
        <v>0</v>
      </c>
      <c r="J3567" s="28"/>
    </row>
    <row r="3568" spans="1:10" ht="15.75" customHeight="1">
      <c r="A3568" s="28">
        <v>16294</v>
      </c>
      <c r="B3568" s="91">
        <v>44829.760023148148</v>
      </c>
      <c r="C3568" s="28" t="s">
        <v>10</v>
      </c>
      <c r="D3568" s="28" t="s">
        <v>1330</v>
      </c>
      <c r="E3568" s="28"/>
      <c r="F3568" s="28">
        <v>25</v>
      </c>
      <c r="G3568" s="28">
        <v>100692</v>
      </c>
      <c r="H3568" s="28">
        <v>0</v>
      </c>
      <c r="J3568" s="28"/>
    </row>
    <row r="3569" spans="1:10" ht="15.75" customHeight="1">
      <c r="A3569" s="28">
        <v>16294</v>
      </c>
      <c r="B3569" s="91">
        <v>44829.760023148148</v>
      </c>
      <c r="C3569" s="28" t="s">
        <v>10</v>
      </c>
      <c r="D3569" s="28" t="s">
        <v>1330</v>
      </c>
      <c r="E3569" s="28"/>
      <c r="F3569" s="28">
        <v>0</v>
      </c>
      <c r="G3569" s="28" t="s">
        <v>125</v>
      </c>
      <c r="H3569" s="28">
        <v>0</v>
      </c>
      <c r="J3569" s="28"/>
    </row>
    <row r="3570" spans="1:10" ht="15.75" customHeight="1">
      <c r="A3570" s="28">
        <v>16294</v>
      </c>
      <c r="B3570" s="91">
        <v>44829.760023148148</v>
      </c>
      <c r="C3570" s="28" t="s">
        <v>10</v>
      </c>
      <c r="D3570" s="28" t="s">
        <v>1330</v>
      </c>
      <c r="E3570" s="28"/>
      <c r="F3570" s="28">
        <v>0</v>
      </c>
      <c r="G3570" s="28" t="s">
        <v>119</v>
      </c>
      <c r="H3570" s="28">
        <v>0</v>
      </c>
      <c r="J3570" s="28"/>
    </row>
    <row r="3571" spans="1:10" ht="15.75" customHeight="1">
      <c r="A3571" s="28">
        <v>16293</v>
      </c>
      <c r="B3571" s="91">
        <v>44829.750694444447</v>
      </c>
      <c r="C3571" s="28" t="s">
        <v>10</v>
      </c>
      <c r="D3571" s="28" t="s">
        <v>1331</v>
      </c>
      <c r="E3571" s="28"/>
      <c r="F3571" s="28">
        <v>35</v>
      </c>
      <c r="G3571" s="28" t="s">
        <v>124</v>
      </c>
      <c r="H3571" s="28">
        <v>0</v>
      </c>
      <c r="J3571" s="28"/>
    </row>
    <row r="3572" spans="1:10" ht="15.75" customHeight="1">
      <c r="A3572" s="28">
        <v>16293</v>
      </c>
      <c r="B3572" s="91">
        <v>44829.750694444447</v>
      </c>
      <c r="C3572" s="28" t="s">
        <v>10</v>
      </c>
      <c r="D3572" s="28" t="s">
        <v>1331</v>
      </c>
      <c r="E3572" s="28"/>
      <c r="F3572" s="28">
        <v>0</v>
      </c>
      <c r="G3572" s="28" t="s">
        <v>125</v>
      </c>
      <c r="H3572" s="28">
        <v>0</v>
      </c>
      <c r="J3572" s="28"/>
    </row>
    <row r="3573" spans="1:10" ht="15.75" customHeight="1">
      <c r="A3573" s="28">
        <v>16293</v>
      </c>
      <c r="B3573" s="91">
        <v>44829.750694444447</v>
      </c>
      <c r="C3573" s="28" t="s">
        <v>10</v>
      </c>
      <c r="D3573" s="28" t="s">
        <v>1331</v>
      </c>
      <c r="E3573" s="28"/>
      <c r="F3573" s="28">
        <v>0</v>
      </c>
      <c r="G3573" s="28" t="s">
        <v>121</v>
      </c>
      <c r="H3573" s="28">
        <v>0</v>
      </c>
      <c r="J3573" s="28"/>
    </row>
    <row r="3574" spans="1:10" ht="15.75" customHeight="1">
      <c r="A3574" s="28">
        <v>16293</v>
      </c>
      <c r="B3574" s="91">
        <v>44829.750694444447</v>
      </c>
      <c r="C3574" s="28" t="s">
        <v>10</v>
      </c>
      <c r="D3574" s="28" t="s">
        <v>1331</v>
      </c>
      <c r="E3574" s="28"/>
      <c r="F3574" s="28">
        <v>0</v>
      </c>
      <c r="G3574" s="28" t="s">
        <v>139</v>
      </c>
      <c r="H3574" s="28">
        <v>0</v>
      </c>
      <c r="J3574" s="28"/>
    </row>
    <row r="3575" spans="1:10" ht="15.75" customHeight="1">
      <c r="A3575" s="28">
        <v>16293</v>
      </c>
      <c r="B3575" s="91">
        <v>44829.750694444447</v>
      </c>
      <c r="C3575" s="28" t="s">
        <v>10</v>
      </c>
      <c r="D3575" s="28" t="s">
        <v>1331</v>
      </c>
      <c r="E3575" s="28"/>
      <c r="F3575" s="28">
        <v>7.5</v>
      </c>
      <c r="G3575" s="28" t="s">
        <v>774</v>
      </c>
      <c r="H3575" s="28">
        <v>0</v>
      </c>
      <c r="J3575" s="28"/>
    </row>
    <row r="3576" spans="1:10" ht="15.75" customHeight="1">
      <c r="A3576" s="28">
        <v>16292</v>
      </c>
      <c r="B3576" s="91">
        <v>44829.744039351848</v>
      </c>
      <c r="C3576" s="28" t="s">
        <v>10</v>
      </c>
      <c r="D3576" s="28" t="s">
        <v>1332</v>
      </c>
      <c r="E3576" s="28"/>
      <c r="F3576" s="28">
        <v>25</v>
      </c>
      <c r="G3576" s="28">
        <v>100692</v>
      </c>
      <c r="H3576" s="28">
        <v>0</v>
      </c>
      <c r="J3576" s="28"/>
    </row>
    <row r="3577" spans="1:10" ht="15.75" customHeight="1">
      <c r="A3577" s="28">
        <v>16292</v>
      </c>
      <c r="B3577" s="91">
        <v>44829.744039351848</v>
      </c>
      <c r="C3577" s="28" t="s">
        <v>10</v>
      </c>
      <c r="D3577" s="28" t="s">
        <v>1332</v>
      </c>
      <c r="E3577" s="28"/>
      <c r="F3577" s="28">
        <v>0</v>
      </c>
      <c r="G3577" s="28" t="s">
        <v>125</v>
      </c>
      <c r="H3577" s="28">
        <v>0</v>
      </c>
      <c r="J3577" s="28"/>
    </row>
    <row r="3578" spans="1:10" ht="15.75" customHeight="1">
      <c r="A3578" s="28">
        <v>16292</v>
      </c>
      <c r="B3578" s="91">
        <v>44829.744039351848</v>
      </c>
      <c r="C3578" s="28" t="s">
        <v>10</v>
      </c>
      <c r="D3578" s="28" t="s">
        <v>1332</v>
      </c>
      <c r="E3578" s="28"/>
      <c r="F3578" s="28">
        <v>0</v>
      </c>
      <c r="G3578" s="28" t="s">
        <v>119</v>
      </c>
      <c r="H3578" s="28">
        <v>0</v>
      </c>
      <c r="J3578" s="28"/>
    </row>
    <row r="3579" spans="1:10" ht="15.75" customHeight="1">
      <c r="A3579" s="28">
        <v>16291</v>
      </c>
      <c r="B3579" s="91">
        <v>44829.737268518518</v>
      </c>
      <c r="C3579" s="28" t="s">
        <v>10</v>
      </c>
      <c r="D3579" s="28" t="s">
        <v>1333</v>
      </c>
      <c r="E3579" s="28"/>
      <c r="F3579" s="28">
        <v>25</v>
      </c>
      <c r="G3579" s="28">
        <v>100692</v>
      </c>
      <c r="H3579" s="28">
        <v>0</v>
      </c>
      <c r="J3579" s="28"/>
    </row>
    <row r="3580" spans="1:10" ht="15.75" customHeight="1">
      <c r="A3580" s="28">
        <v>16291</v>
      </c>
      <c r="B3580" s="91">
        <v>44829.737268518518</v>
      </c>
      <c r="C3580" s="28" t="s">
        <v>10</v>
      </c>
      <c r="D3580" s="28" t="s">
        <v>1333</v>
      </c>
      <c r="E3580" s="28"/>
      <c r="F3580" s="28">
        <v>0</v>
      </c>
      <c r="G3580" s="28" t="s">
        <v>125</v>
      </c>
      <c r="H3580" s="28">
        <v>0</v>
      </c>
      <c r="J3580" s="28"/>
    </row>
    <row r="3581" spans="1:10" ht="15.75" customHeight="1">
      <c r="A3581" s="28">
        <v>16291</v>
      </c>
      <c r="B3581" s="91">
        <v>44829.737268518518</v>
      </c>
      <c r="C3581" s="28" t="s">
        <v>10</v>
      </c>
      <c r="D3581" s="28" t="s">
        <v>1333</v>
      </c>
      <c r="E3581" s="28"/>
      <c r="F3581" s="28">
        <v>0</v>
      </c>
      <c r="G3581" s="28" t="s">
        <v>119</v>
      </c>
      <c r="H3581" s="28">
        <v>0</v>
      </c>
      <c r="J3581" s="28"/>
    </row>
    <row r="3582" spans="1:10" ht="15.75" customHeight="1">
      <c r="A3582" s="28">
        <v>16290</v>
      </c>
      <c r="B3582" s="91">
        <v>44829.713090277779</v>
      </c>
      <c r="C3582" s="28" t="s">
        <v>10</v>
      </c>
      <c r="D3582" s="28" t="s">
        <v>1334</v>
      </c>
      <c r="E3582" s="28"/>
      <c r="F3582" s="28">
        <v>25</v>
      </c>
      <c r="G3582" s="28">
        <v>100692</v>
      </c>
      <c r="H3582" s="28">
        <v>0</v>
      </c>
      <c r="J3582" s="28"/>
    </row>
    <row r="3583" spans="1:10" ht="15.75" customHeight="1">
      <c r="A3583" s="28">
        <v>16290</v>
      </c>
      <c r="B3583" s="91">
        <v>44829.713090277779</v>
      </c>
      <c r="C3583" s="28" t="s">
        <v>10</v>
      </c>
      <c r="D3583" s="28" t="s">
        <v>1334</v>
      </c>
      <c r="E3583" s="28"/>
      <c r="F3583" s="28">
        <v>0</v>
      </c>
      <c r="G3583" s="28" t="s">
        <v>125</v>
      </c>
      <c r="H3583" s="28">
        <v>0</v>
      </c>
      <c r="J3583" s="28"/>
    </row>
    <row r="3584" spans="1:10" ht="15.75" customHeight="1">
      <c r="A3584" s="28">
        <v>16290</v>
      </c>
      <c r="B3584" s="91">
        <v>44829.713090277779</v>
      </c>
      <c r="C3584" s="28" t="s">
        <v>10</v>
      </c>
      <c r="D3584" s="28" t="s">
        <v>1334</v>
      </c>
      <c r="E3584" s="28"/>
      <c r="F3584" s="28">
        <v>0</v>
      </c>
      <c r="G3584" s="28" t="s">
        <v>119</v>
      </c>
      <c r="H3584" s="28">
        <v>0</v>
      </c>
      <c r="J3584" s="28"/>
    </row>
    <row r="3585" spans="1:10" ht="15.75" customHeight="1">
      <c r="A3585" s="28">
        <v>16290</v>
      </c>
      <c r="B3585" s="91">
        <v>44829.713090277779</v>
      </c>
      <c r="C3585" s="28" t="s">
        <v>10</v>
      </c>
      <c r="D3585" s="28" t="s">
        <v>1334</v>
      </c>
      <c r="E3585" s="28"/>
      <c r="F3585" s="28">
        <v>24</v>
      </c>
      <c r="G3585" s="28" t="s">
        <v>122</v>
      </c>
      <c r="H3585" s="28">
        <v>0</v>
      </c>
      <c r="J3585" s="28"/>
    </row>
    <row r="3586" spans="1:10" ht="15.75" customHeight="1">
      <c r="A3586" s="28">
        <v>16289</v>
      </c>
      <c r="B3586" s="91">
        <v>44829.706782407404</v>
      </c>
      <c r="C3586" s="28" t="s">
        <v>10</v>
      </c>
      <c r="D3586" s="28" t="s">
        <v>1335</v>
      </c>
      <c r="E3586" s="28"/>
      <c r="F3586" s="28">
        <v>50</v>
      </c>
      <c r="G3586" s="28" t="s">
        <v>118</v>
      </c>
      <c r="H3586" s="28">
        <v>0</v>
      </c>
      <c r="J3586" s="28"/>
    </row>
    <row r="3587" spans="1:10" ht="15.75" customHeight="1">
      <c r="A3587" s="28">
        <v>16288</v>
      </c>
      <c r="B3587" s="91">
        <v>44829.70313657407</v>
      </c>
      <c r="C3587" s="28" t="s">
        <v>10</v>
      </c>
      <c r="D3587" s="28" t="s">
        <v>1336</v>
      </c>
      <c r="E3587" s="28"/>
      <c r="F3587" s="28">
        <v>35</v>
      </c>
      <c r="G3587" s="28" t="s">
        <v>124</v>
      </c>
      <c r="H3587" s="28">
        <v>0</v>
      </c>
      <c r="J3587" s="28"/>
    </row>
    <row r="3588" spans="1:10" ht="15.75" customHeight="1">
      <c r="A3588" s="28">
        <v>16288</v>
      </c>
      <c r="B3588" s="91">
        <v>44829.70313657407</v>
      </c>
      <c r="C3588" s="28" t="s">
        <v>10</v>
      </c>
      <c r="D3588" s="28" t="s">
        <v>1336</v>
      </c>
      <c r="E3588" s="28"/>
      <c r="F3588" s="28">
        <v>0</v>
      </c>
      <c r="G3588" s="28" t="s">
        <v>125</v>
      </c>
      <c r="H3588" s="28">
        <v>0</v>
      </c>
      <c r="J3588" s="28"/>
    </row>
    <row r="3589" spans="1:10" ht="15.75" customHeight="1">
      <c r="A3589" s="28">
        <v>16288</v>
      </c>
      <c r="B3589" s="91">
        <v>44829.70313657407</v>
      </c>
      <c r="C3589" s="28" t="s">
        <v>10</v>
      </c>
      <c r="D3589" s="28" t="s">
        <v>1336</v>
      </c>
      <c r="E3589" s="28"/>
      <c r="F3589" s="28">
        <v>0</v>
      </c>
      <c r="G3589" s="28" t="s">
        <v>121</v>
      </c>
      <c r="H3589" s="28">
        <v>0</v>
      </c>
      <c r="J3589" s="28"/>
    </row>
    <row r="3590" spans="1:10" ht="15.75" customHeight="1">
      <c r="A3590" s="28">
        <v>16288</v>
      </c>
      <c r="B3590" s="91">
        <v>44829.70313657407</v>
      </c>
      <c r="C3590" s="28" t="s">
        <v>10</v>
      </c>
      <c r="D3590" s="28" t="s">
        <v>1336</v>
      </c>
      <c r="E3590" s="28"/>
      <c r="F3590" s="28">
        <v>0</v>
      </c>
      <c r="G3590" s="28" t="s">
        <v>139</v>
      </c>
      <c r="H3590" s="28">
        <v>0</v>
      </c>
      <c r="J3590" s="28"/>
    </row>
    <row r="3591" spans="1:10" ht="15.75" customHeight="1">
      <c r="A3591" s="28">
        <v>16287</v>
      </c>
      <c r="B3591" s="91">
        <v>44829.702175925922</v>
      </c>
      <c r="C3591" s="28" t="s">
        <v>10</v>
      </c>
      <c r="D3591" s="28" t="s">
        <v>1337</v>
      </c>
      <c r="E3591" s="28"/>
      <c r="F3591" s="28">
        <v>30</v>
      </c>
      <c r="G3591" s="28" t="s">
        <v>128</v>
      </c>
      <c r="H3591" s="28">
        <v>0</v>
      </c>
      <c r="J3591" s="28"/>
    </row>
    <row r="3592" spans="1:10" ht="15.75" customHeight="1">
      <c r="A3592" s="28">
        <v>16287</v>
      </c>
      <c r="B3592" s="91">
        <v>44829.702175925922</v>
      </c>
      <c r="C3592" s="28" t="s">
        <v>10</v>
      </c>
      <c r="D3592" s="28" t="s">
        <v>1337</v>
      </c>
      <c r="E3592" s="28"/>
      <c r="F3592" s="28">
        <v>0</v>
      </c>
      <c r="G3592" s="28" t="s">
        <v>125</v>
      </c>
      <c r="H3592" s="28">
        <v>0</v>
      </c>
      <c r="J3592" s="28"/>
    </row>
    <row r="3593" spans="1:10" ht="15.75" customHeight="1">
      <c r="A3593" s="28">
        <v>16287</v>
      </c>
      <c r="B3593" s="91">
        <v>44829.702175925922</v>
      </c>
      <c r="C3593" s="28" t="s">
        <v>10</v>
      </c>
      <c r="D3593" s="28" t="s">
        <v>1337</v>
      </c>
      <c r="E3593" s="28"/>
      <c r="F3593" s="28">
        <v>0</v>
      </c>
      <c r="G3593" s="28" t="s">
        <v>119</v>
      </c>
      <c r="H3593" s="28">
        <v>0</v>
      </c>
      <c r="J3593" s="28"/>
    </row>
    <row r="3594" spans="1:10" ht="15.75" customHeight="1">
      <c r="A3594" s="28">
        <v>16286</v>
      </c>
      <c r="B3594" s="91">
        <v>44829.698749999996</v>
      </c>
      <c r="C3594" s="28" t="s">
        <v>10</v>
      </c>
      <c r="D3594" s="28" t="s">
        <v>1338</v>
      </c>
      <c r="E3594" s="28"/>
      <c r="F3594" s="28">
        <v>15</v>
      </c>
      <c r="G3594" s="28" t="s">
        <v>125</v>
      </c>
      <c r="H3594" s="28">
        <v>0</v>
      </c>
      <c r="J3594" s="28"/>
    </row>
    <row r="3595" spans="1:10" ht="15.75" customHeight="1">
      <c r="A3595" s="28">
        <v>16285</v>
      </c>
      <c r="B3595" s="91">
        <v>44829.687673611115</v>
      </c>
      <c r="C3595" s="28" t="s">
        <v>10</v>
      </c>
      <c r="D3595" s="28" t="s">
        <v>1339</v>
      </c>
      <c r="E3595" s="28"/>
      <c r="F3595" s="28">
        <v>28</v>
      </c>
      <c r="G3595" s="28" t="s">
        <v>143</v>
      </c>
      <c r="H3595" s="28">
        <v>0</v>
      </c>
      <c r="J3595" s="28"/>
    </row>
    <row r="3596" spans="1:10" ht="15.75" customHeight="1">
      <c r="A3596" s="28">
        <v>16285</v>
      </c>
      <c r="B3596" s="91">
        <v>44829.687673611115</v>
      </c>
      <c r="C3596" s="28" t="s">
        <v>10</v>
      </c>
      <c r="D3596" s="28" t="s">
        <v>1339</v>
      </c>
      <c r="E3596" s="28"/>
      <c r="F3596" s="28">
        <v>25</v>
      </c>
      <c r="G3596" s="28">
        <v>100692</v>
      </c>
      <c r="H3596" s="28">
        <v>0</v>
      </c>
      <c r="J3596" s="28"/>
    </row>
    <row r="3597" spans="1:10" ht="15.75" customHeight="1">
      <c r="A3597" s="28">
        <v>16285</v>
      </c>
      <c r="B3597" s="91">
        <v>44829.687673611115</v>
      </c>
      <c r="C3597" s="28" t="s">
        <v>10</v>
      </c>
      <c r="D3597" s="28" t="s">
        <v>1339</v>
      </c>
      <c r="E3597" s="28"/>
      <c r="F3597" s="28">
        <v>0</v>
      </c>
      <c r="G3597" s="28" t="s">
        <v>125</v>
      </c>
      <c r="H3597" s="28">
        <v>0</v>
      </c>
      <c r="J3597" s="28"/>
    </row>
    <row r="3598" spans="1:10" ht="15.75" customHeight="1">
      <c r="A3598" s="28">
        <v>16285</v>
      </c>
      <c r="B3598" s="91">
        <v>44829.687673611115</v>
      </c>
      <c r="C3598" s="28" t="s">
        <v>10</v>
      </c>
      <c r="D3598" s="28" t="s">
        <v>1339</v>
      </c>
      <c r="E3598" s="28"/>
      <c r="F3598" s="28">
        <v>0</v>
      </c>
      <c r="G3598" s="28" t="s">
        <v>119</v>
      </c>
      <c r="H3598" s="28">
        <v>0</v>
      </c>
      <c r="J3598" s="28"/>
    </row>
    <row r="3599" spans="1:10" ht="15.75" customHeight="1">
      <c r="A3599" s="28">
        <v>16284</v>
      </c>
      <c r="B3599" s="91">
        <v>44829.685833333337</v>
      </c>
      <c r="C3599" s="28" t="s">
        <v>10</v>
      </c>
      <c r="D3599" s="28" t="s">
        <v>1336</v>
      </c>
      <c r="E3599" s="28"/>
      <c r="F3599" s="28">
        <v>35</v>
      </c>
      <c r="G3599" s="28" t="s">
        <v>124</v>
      </c>
      <c r="H3599" s="28">
        <v>0</v>
      </c>
      <c r="J3599" s="28"/>
    </row>
    <row r="3600" spans="1:10" ht="15.75" customHeight="1">
      <c r="A3600" s="28">
        <v>16284</v>
      </c>
      <c r="B3600" s="91">
        <v>44829.685833333337</v>
      </c>
      <c r="C3600" s="28" t="s">
        <v>10</v>
      </c>
      <c r="D3600" s="28" t="s">
        <v>1336</v>
      </c>
      <c r="E3600" s="28"/>
      <c r="F3600" s="28">
        <v>0</v>
      </c>
      <c r="G3600" s="28" t="s">
        <v>125</v>
      </c>
      <c r="H3600" s="28">
        <v>0</v>
      </c>
      <c r="J3600" s="28"/>
    </row>
    <row r="3601" spans="1:10" ht="15.75" customHeight="1">
      <c r="A3601" s="28">
        <v>16284</v>
      </c>
      <c r="B3601" s="91">
        <v>44829.685833333337</v>
      </c>
      <c r="C3601" s="28" t="s">
        <v>10</v>
      </c>
      <c r="D3601" s="28" t="s">
        <v>1336</v>
      </c>
      <c r="E3601" s="28"/>
      <c r="F3601" s="28">
        <v>0</v>
      </c>
      <c r="G3601" s="28" t="s">
        <v>121</v>
      </c>
      <c r="H3601" s="28">
        <v>0</v>
      </c>
      <c r="J3601" s="28"/>
    </row>
    <row r="3602" spans="1:10" ht="15.75" customHeight="1">
      <c r="A3602" s="28">
        <v>16284</v>
      </c>
      <c r="B3602" s="91">
        <v>44829.685833333337</v>
      </c>
      <c r="C3602" s="28" t="s">
        <v>10</v>
      </c>
      <c r="D3602" s="28" t="s">
        <v>1336</v>
      </c>
      <c r="E3602" s="28"/>
      <c r="F3602" s="28">
        <v>0</v>
      </c>
      <c r="G3602" s="28" t="s">
        <v>139</v>
      </c>
      <c r="H3602" s="28">
        <v>0</v>
      </c>
      <c r="J3602" s="28"/>
    </row>
    <row r="3603" spans="1:10" ht="15.75" customHeight="1">
      <c r="A3603" s="28">
        <v>16283</v>
      </c>
      <c r="B3603" s="91">
        <v>44829.68472222222</v>
      </c>
      <c r="C3603" s="28" t="s">
        <v>10</v>
      </c>
      <c r="D3603" s="28" t="s">
        <v>1340</v>
      </c>
      <c r="E3603" s="28"/>
      <c r="F3603" s="28">
        <v>28</v>
      </c>
      <c r="G3603" s="28" t="s">
        <v>143</v>
      </c>
      <c r="H3603" s="28">
        <v>0</v>
      </c>
      <c r="J3603" s="28"/>
    </row>
    <row r="3604" spans="1:10" ht="15.75" customHeight="1">
      <c r="A3604" s="28">
        <v>16283</v>
      </c>
      <c r="B3604" s="91">
        <v>44829.68472222222</v>
      </c>
      <c r="C3604" s="28" t="s">
        <v>10</v>
      </c>
      <c r="D3604" s="28" t="s">
        <v>1340</v>
      </c>
      <c r="E3604" s="28"/>
      <c r="F3604" s="28">
        <v>30</v>
      </c>
      <c r="G3604" s="28" t="s">
        <v>125</v>
      </c>
      <c r="H3604" s="28">
        <v>0</v>
      </c>
      <c r="J3604" s="28"/>
    </row>
    <row r="3605" spans="1:10" ht="15.75" customHeight="1">
      <c r="A3605" s="28">
        <v>16281</v>
      </c>
      <c r="B3605" s="91">
        <v>44829.684074074074</v>
      </c>
      <c r="C3605" s="28" t="s">
        <v>10</v>
      </c>
      <c r="D3605" s="28" t="s">
        <v>1341</v>
      </c>
      <c r="E3605" s="28"/>
      <c r="F3605" s="28">
        <v>18</v>
      </c>
      <c r="G3605" s="28" t="s">
        <v>119</v>
      </c>
      <c r="H3605" s="28">
        <v>0</v>
      </c>
      <c r="J3605" s="28"/>
    </row>
    <row r="3606" spans="1:10" ht="15.75" customHeight="1">
      <c r="A3606" s="28">
        <v>16280</v>
      </c>
      <c r="B3606" s="91">
        <v>44829.682812500003</v>
      </c>
      <c r="C3606" s="28" t="s">
        <v>10</v>
      </c>
      <c r="D3606" s="28" t="s">
        <v>1342</v>
      </c>
      <c r="E3606" s="28"/>
      <c r="F3606" s="28">
        <v>15</v>
      </c>
      <c r="G3606" s="28" t="s">
        <v>125</v>
      </c>
      <c r="H3606" s="28">
        <v>0</v>
      </c>
      <c r="J3606" s="28"/>
    </row>
    <row r="3607" spans="1:10" ht="15.75" customHeight="1">
      <c r="A3607" s="28">
        <v>16279</v>
      </c>
      <c r="B3607" s="91">
        <v>44829.682175925926</v>
      </c>
      <c r="C3607" s="28" t="s">
        <v>10</v>
      </c>
      <c r="D3607" s="28" t="s">
        <v>1343</v>
      </c>
      <c r="E3607" s="28"/>
      <c r="F3607" s="28">
        <v>22</v>
      </c>
      <c r="G3607" s="28" t="s">
        <v>137</v>
      </c>
      <c r="H3607" s="28">
        <v>0</v>
      </c>
      <c r="J3607" s="28"/>
    </row>
    <row r="3608" spans="1:10" ht="15.75" customHeight="1">
      <c r="A3608" s="28">
        <v>16279</v>
      </c>
      <c r="B3608" s="91">
        <v>44829.682175925926</v>
      </c>
      <c r="C3608" s="28" t="s">
        <v>10</v>
      </c>
      <c r="D3608" s="28" t="s">
        <v>1343</v>
      </c>
      <c r="E3608" s="28"/>
      <c r="F3608" s="28">
        <v>70</v>
      </c>
      <c r="G3608" s="28" t="s">
        <v>124</v>
      </c>
      <c r="H3608" s="28">
        <v>0</v>
      </c>
      <c r="J3608" s="28"/>
    </row>
    <row r="3609" spans="1:10" ht="15.75" customHeight="1">
      <c r="A3609" s="28">
        <v>16279</v>
      </c>
      <c r="B3609" s="91">
        <v>44829.682175925926</v>
      </c>
      <c r="C3609" s="28" t="s">
        <v>10</v>
      </c>
      <c r="D3609" s="28" t="s">
        <v>1343</v>
      </c>
      <c r="E3609" s="28"/>
      <c r="F3609" s="28">
        <v>0</v>
      </c>
      <c r="G3609" s="28" t="s">
        <v>125</v>
      </c>
      <c r="H3609" s="28">
        <v>0</v>
      </c>
      <c r="J3609" s="28"/>
    </row>
    <row r="3610" spans="1:10" ht="15.75" customHeight="1">
      <c r="A3610" s="28">
        <v>16279</v>
      </c>
      <c r="B3610" s="91">
        <v>44829.682175925926</v>
      </c>
      <c r="C3610" s="28" t="s">
        <v>10</v>
      </c>
      <c r="D3610" s="28" t="s">
        <v>1343</v>
      </c>
      <c r="E3610" s="28"/>
      <c r="F3610" s="28">
        <v>0</v>
      </c>
      <c r="G3610" s="28" t="s">
        <v>121</v>
      </c>
      <c r="H3610" s="28">
        <v>0</v>
      </c>
      <c r="J3610" s="28"/>
    </row>
    <row r="3611" spans="1:10" ht="15.75" customHeight="1">
      <c r="A3611" s="28">
        <v>16279</v>
      </c>
      <c r="B3611" s="91">
        <v>44829.682175925926</v>
      </c>
      <c r="C3611" s="28" t="s">
        <v>10</v>
      </c>
      <c r="D3611" s="28" t="s">
        <v>1343</v>
      </c>
      <c r="E3611" s="28"/>
      <c r="F3611" s="28">
        <v>0</v>
      </c>
      <c r="G3611" s="28" t="s">
        <v>139</v>
      </c>
      <c r="H3611" s="28">
        <v>0</v>
      </c>
      <c r="J3611" s="28"/>
    </row>
    <row r="3612" spans="1:10" ht="15.75" customHeight="1">
      <c r="A3612" s="28">
        <v>16278</v>
      </c>
      <c r="B3612" s="91">
        <v>44829.677314814813</v>
      </c>
      <c r="C3612" s="28" t="s">
        <v>10</v>
      </c>
      <c r="D3612" s="28" t="s">
        <v>1344</v>
      </c>
      <c r="E3612" s="28"/>
      <c r="F3612" s="28">
        <v>25</v>
      </c>
      <c r="G3612" s="28">
        <v>100692</v>
      </c>
      <c r="H3612" s="28">
        <v>0</v>
      </c>
      <c r="J3612" s="28"/>
    </row>
    <row r="3613" spans="1:10" ht="15.75" customHeight="1">
      <c r="A3613" s="28">
        <v>16278</v>
      </c>
      <c r="B3613" s="91">
        <v>44829.677314814813</v>
      </c>
      <c r="C3613" s="28" t="s">
        <v>10</v>
      </c>
      <c r="D3613" s="28" t="s">
        <v>1344</v>
      </c>
      <c r="E3613" s="28"/>
      <c r="F3613" s="28">
        <v>0</v>
      </c>
      <c r="G3613" s="28" t="s">
        <v>125</v>
      </c>
      <c r="H3613" s="28">
        <v>0</v>
      </c>
      <c r="J3613" s="28"/>
    </row>
    <row r="3614" spans="1:10" ht="15.75" customHeight="1">
      <c r="A3614" s="28">
        <v>16278</v>
      </c>
      <c r="B3614" s="91">
        <v>44829.677314814813</v>
      </c>
      <c r="C3614" s="28" t="s">
        <v>10</v>
      </c>
      <c r="D3614" s="28" t="s">
        <v>1344</v>
      </c>
      <c r="E3614" s="28"/>
      <c r="F3614" s="28">
        <v>0</v>
      </c>
      <c r="G3614" s="28" t="s">
        <v>119</v>
      </c>
      <c r="H3614" s="28">
        <v>0</v>
      </c>
      <c r="J3614" s="28"/>
    </row>
    <row r="3615" spans="1:10" ht="15.75" customHeight="1">
      <c r="A3615" s="28">
        <v>16277</v>
      </c>
      <c r="B3615" s="91">
        <v>44829.675925925927</v>
      </c>
      <c r="C3615" s="28" t="s">
        <v>10</v>
      </c>
      <c r="D3615" s="28" t="s">
        <v>1345</v>
      </c>
      <c r="E3615" s="28"/>
      <c r="F3615" s="28">
        <v>25</v>
      </c>
      <c r="G3615" s="28">
        <v>100692</v>
      </c>
      <c r="H3615" s="28">
        <v>0</v>
      </c>
      <c r="J3615" s="28"/>
    </row>
    <row r="3616" spans="1:10" ht="15.75" customHeight="1">
      <c r="A3616" s="28">
        <v>16277</v>
      </c>
      <c r="B3616" s="91">
        <v>44829.675925925927</v>
      </c>
      <c r="C3616" s="28" t="s">
        <v>10</v>
      </c>
      <c r="D3616" s="28" t="s">
        <v>1345</v>
      </c>
      <c r="E3616" s="28"/>
      <c r="F3616" s="28">
        <v>0</v>
      </c>
      <c r="G3616" s="28" t="s">
        <v>125</v>
      </c>
      <c r="H3616" s="28">
        <v>0</v>
      </c>
      <c r="J3616" s="28"/>
    </row>
    <row r="3617" spans="1:10" ht="15.75" customHeight="1">
      <c r="A3617" s="28">
        <v>16277</v>
      </c>
      <c r="B3617" s="91">
        <v>44829.675925925927</v>
      </c>
      <c r="C3617" s="28" t="s">
        <v>10</v>
      </c>
      <c r="D3617" s="28" t="s">
        <v>1345</v>
      </c>
      <c r="E3617" s="28"/>
      <c r="F3617" s="28">
        <v>0</v>
      </c>
      <c r="G3617" s="28" t="s">
        <v>119</v>
      </c>
      <c r="H3617" s="28">
        <v>0</v>
      </c>
      <c r="J3617" s="28"/>
    </row>
    <row r="3618" spans="1:10" ht="15.75" customHeight="1">
      <c r="A3618" s="28">
        <v>16277</v>
      </c>
      <c r="B3618" s="91">
        <v>44829.675925925927</v>
      </c>
      <c r="C3618" s="28" t="s">
        <v>10</v>
      </c>
      <c r="D3618" s="28" t="s">
        <v>1345</v>
      </c>
      <c r="E3618" s="28"/>
      <c r="F3618" s="28">
        <v>20</v>
      </c>
      <c r="G3618" s="28" t="s">
        <v>148</v>
      </c>
      <c r="H3618" s="28">
        <v>0</v>
      </c>
      <c r="J3618" s="28"/>
    </row>
    <row r="3619" spans="1:10" ht="15.75" customHeight="1">
      <c r="A3619" s="28">
        <v>16276</v>
      </c>
      <c r="B3619" s="91">
        <v>44829.674166666664</v>
      </c>
      <c r="C3619" s="28" t="s">
        <v>10</v>
      </c>
      <c r="D3619" s="28" t="s">
        <v>1346</v>
      </c>
      <c r="E3619" s="28"/>
      <c r="F3619" s="28">
        <v>35</v>
      </c>
      <c r="G3619" s="28" t="s">
        <v>124</v>
      </c>
      <c r="H3619" s="28">
        <v>0</v>
      </c>
      <c r="J3619" s="28"/>
    </row>
    <row r="3620" spans="1:10" ht="15.75" customHeight="1">
      <c r="A3620" s="28">
        <v>16276</v>
      </c>
      <c r="B3620" s="91">
        <v>44829.674166666664</v>
      </c>
      <c r="C3620" s="28" t="s">
        <v>10</v>
      </c>
      <c r="D3620" s="28" t="s">
        <v>1346</v>
      </c>
      <c r="E3620" s="28"/>
      <c r="F3620" s="28">
        <v>0</v>
      </c>
      <c r="G3620" s="28" t="s">
        <v>125</v>
      </c>
      <c r="H3620" s="28">
        <v>0</v>
      </c>
      <c r="J3620" s="28"/>
    </row>
    <row r="3621" spans="1:10" ht="15.75" customHeight="1">
      <c r="A3621" s="28">
        <v>16276</v>
      </c>
      <c r="B3621" s="91">
        <v>44829.674166666664</v>
      </c>
      <c r="C3621" s="28" t="s">
        <v>10</v>
      </c>
      <c r="D3621" s="28" t="s">
        <v>1346</v>
      </c>
      <c r="E3621" s="28"/>
      <c r="F3621" s="28">
        <v>0</v>
      </c>
      <c r="G3621" s="28" t="s">
        <v>121</v>
      </c>
      <c r="H3621" s="28">
        <v>0</v>
      </c>
      <c r="J3621" s="28"/>
    </row>
    <row r="3622" spans="1:10" ht="15.75" customHeight="1">
      <c r="A3622" s="28">
        <v>16276</v>
      </c>
      <c r="B3622" s="91">
        <v>44829.674166666664</v>
      </c>
      <c r="C3622" s="28" t="s">
        <v>10</v>
      </c>
      <c r="D3622" s="28" t="s">
        <v>1346</v>
      </c>
      <c r="E3622" s="28"/>
      <c r="F3622" s="28">
        <v>0</v>
      </c>
      <c r="G3622" s="28" t="s">
        <v>139</v>
      </c>
      <c r="H3622" s="28">
        <v>0</v>
      </c>
      <c r="J3622" s="28"/>
    </row>
    <row r="3623" spans="1:10" ht="15.75" customHeight="1">
      <c r="A3623" s="28">
        <v>16276</v>
      </c>
      <c r="B3623" s="91">
        <v>44829.674166666664</v>
      </c>
      <c r="C3623" s="28" t="s">
        <v>10</v>
      </c>
      <c r="D3623" s="28" t="s">
        <v>1346</v>
      </c>
      <c r="E3623" s="28"/>
      <c r="F3623" s="28">
        <v>10</v>
      </c>
      <c r="G3623" s="28" t="s">
        <v>334</v>
      </c>
      <c r="H3623" s="28">
        <v>0</v>
      </c>
      <c r="J3623" s="28"/>
    </row>
    <row r="3624" spans="1:10" ht="15.75" customHeight="1">
      <c r="A3624" s="28">
        <v>16275</v>
      </c>
      <c r="B3624" s="91">
        <v>44829.666944444441</v>
      </c>
      <c r="C3624" s="28" t="s">
        <v>10</v>
      </c>
      <c r="D3624" s="28" t="s">
        <v>1347</v>
      </c>
      <c r="E3624" s="28"/>
      <c r="F3624" s="28">
        <v>7.5</v>
      </c>
      <c r="G3624" s="28" t="s">
        <v>774</v>
      </c>
      <c r="H3624" s="28">
        <v>0</v>
      </c>
      <c r="J3624" s="28"/>
    </row>
    <row r="3625" spans="1:10" ht="15.75" customHeight="1">
      <c r="A3625" s="28">
        <v>16275</v>
      </c>
      <c r="B3625" s="91">
        <v>44829.666944444441</v>
      </c>
      <c r="C3625" s="28" t="s">
        <v>10</v>
      </c>
      <c r="D3625" s="28" t="s">
        <v>1347</v>
      </c>
      <c r="E3625" s="28"/>
      <c r="F3625" s="28">
        <v>35</v>
      </c>
      <c r="G3625" s="28" t="s">
        <v>124</v>
      </c>
      <c r="H3625" s="28">
        <v>0</v>
      </c>
      <c r="J3625" s="28"/>
    </row>
    <row r="3626" spans="1:10" ht="15.75" customHeight="1">
      <c r="A3626" s="28">
        <v>16275</v>
      </c>
      <c r="B3626" s="91">
        <v>44829.666944444441</v>
      </c>
      <c r="C3626" s="28" t="s">
        <v>10</v>
      </c>
      <c r="D3626" s="28" t="s">
        <v>1347</v>
      </c>
      <c r="E3626" s="28"/>
      <c r="F3626" s="28">
        <v>0</v>
      </c>
      <c r="G3626" s="28" t="s">
        <v>125</v>
      </c>
      <c r="H3626" s="28">
        <v>0</v>
      </c>
      <c r="J3626" s="28"/>
    </row>
    <row r="3627" spans="1:10" ht="15.75" customHeight="1">
      <c r="A3627" s="28">
        <v>16275</v>
      </c>
      <c r="B3627" s="91">
        <v>44829.666944444441</v>
      </c>
      <c r="C3627" s="28" t="s">
        <v>10</v>
      </c>
      <c r="D3627" s="28" t="s">
        <v>1347</v>
      </c>
      <c r="E3627" s="28"/>
      <c r="F3627" s="28">
        <v>0</v>
      </c>
      <c r="G3627" s="28" t="s">
        <v>121</v>
      </c>
      <c r="H3627" s="28">
        <v>0</v>
      </c>
      <c r="J3627" s="28"/>
    </row>
    <row r="3628" spans="1:10" ht="15.75" customHeight="1">
      <c r="A3628" s="28">
        <v>16275</v>
      </c>
      <c r="B3628" s="91">
        <v>44829.666944444441</v>
      </c>
      <c r="C3628" s="28" t="s">
        <v>10</v>
      </c>
      <c r="D3628" s="28" t="s">
        <v>1347</v>
      </c>
      <c r="E3628" s="28"/>
      <c r="F3628" s="28">
        <v>0</v>
      </c>
      <c r="G3628" s="28" t="s">
        <v>139</v>
      </c>
      <c r="H3628" s="28">
        <v>0</v>
      </c>
      <c r="J3628" s="28"/>
    </row>
    <row r="3629" spans="1:10" ht="15.75" customHeight="1">
      <c r="A3629" s="28">
        <v>16274</v>
      </c>
      <c r="B3629" s="91">
        <v>44829.664560185185</v>
      </c>
      <c r="C3629" s="28" t="s">
        <v>10</v>
      </c>
      <c r="D3629" s="28" t="s">
        <v>1348</v>
      </c>
      <c r="E3629" s="28"/>
      <c r="F3629" s="28">
        <v>25</v>
      </c>
      <c r="G3629" s="28" t="s">
        <v>118</v>
      </c>
      <c r="H3629" s="28">
        <v>0</v>
      </c>
      <c r="J3629" s="28"/>
    </row>
    <row r="3630" spans="1:10" ht="15.75" customHeight="1">
      <c r="A3630" s="28">
        <v>16273</v>
      </c>
      <c r="B3630" s="91">
        <v>44829.663530092592</v>
      </c>
      <c r="C3630" s="28" t="s">
        <v>10</v>
      </c>
      <c r="D3630" s="28" t="s">
        <v>1349</v>
      </c>
      <c r="E3630" s="28"/>
      <c r="F3630" s="28">
        <v>25</v>
      </c>
      <c r="G3630" s="28">
        <v>100692</v>
      </c>
      <c r="H3630" s="28">
        <v>0</v>
      </c>
      <c r="J3630" s="28"/>
    </row>
    <row r="3631" spans="1:10" ht="15.75" customHeight="1">
      <c r="A3631" s="28">
        <v>16273</v>
      </c>
      <c r="B3631" s="91">
        <v>44829.663530092592</v>
      </c>
      <c r="C3631" s="28" t="s">
        <v>10</v>
      </c>
      <c r="D3631" s="28" t="s">
        <v>1349</v>
      </c>
      <c r="E3631" s="28"/>
      <c r="F3631" s="28">
        <v>0</v>
      </c>
      <c r="G3631" s="28" t="s">
        <v>125</v>
      </c>
      <c r="H3631" s="28">
        <v>0</v>
      </c>
      <c r="J3631" s="28"/>
    </row>
    <row r="3632" spans="1:10" ht="15.75" customHeight="1">
      <c r="A3632" s="28">
        <v>16273</v>
      </c>
      <c r="B3632" s="91">
        <v>44829.663530092592</v>
      </c>
      <c r="C3632" s="28" t="s">
        <v>10</v>
      </c>
      <c r="D3632" s="28" t="s">
        <v>1349</v>
      </c>
      <c r="E3632" s="28"/>
      <c r="F3632" s="28">
        <v>0</v>
      </c>
      <c r="G3632" s="28" t="s">
        <v>119</v>
      </c>
      <c r="H3632" s="28">
        <v>0</v>
      </c>
      <c r="J3632" s="28"/>
    </row>
    <row r="3633" spans="1:10" ht="15.75" customHeight="1">
      <c r="A3633" s="28">
        <v>16272</v>
      </c>
      <c r="B3633" s="91">
        <v>44829.662569444445</v>
      </c>
      <c r="C3633" s="28" t="s">
        <v>10</v>
      </c>
      <c r="D3633" s="28" t="s">
        <v>1350</v>
      </c>
      <c r="E3633" s="28"/>
      <c r="F3633" s="28">
        <v>25</v>
      </c>
      <c r="G3633" s="28">
        <v>100692</v>
      </c>
      <c r="H3633" s="28">
        <v>0</v>
      </c>
      <c r="J3633" s="28"/>
    </row>
    <row r="3634" spans="1:10" ht="15.75" customHeight="1">
      <c r="A3634" s="28">
        <v>16272</v>
      </c>
      <c r="B3634" s="91">
        <v>44829.662569444445</v>
      </c>
      <c r="C3634" s="28" t="s">
        <v>10</v>
      </c>
      <c r="D3634" s="28" t="s">
        <v>1350</v>
      </c>
      <c r="E3634" s="28"/>
      <c r="F3634" s="28">
        <v>0</v>
      </c>
      <c r="G3634" s="28" t="s">
        <v>125</v>
      </c>
      <c r="H3634" s="28">
        <v>0</v>
      </c>
      <c r="J3634" s="28"/>
    </row>
    <row r="3635" spans="1:10" ht="15.75" customHeight="1">
      <c r="A3635" s="28">
        <v>16272</v>
      </c>
      <c r="B3635" s="91">
        <v>44829.662569444445</v>
      </c>
      <c r="C3635" s="28" t="s">
        <v>10</v>
      </c>
      <c r="D3635" s="28" t="s">
        <v>1350</v>
      </c>
      <c r="E3635" s="28"/>
      <c r="F3635" s="28">
        <v>0</v>
      </c>
      <c r="G3635" s="28" t="s">
        <v>119</v>
      </c>
      <c r="H3635" s="28">
        <v>0</v>
      </c>
      <c r="J3635" s="28"/>
    </row>
    <row r="3636" spans="1:10" ht="15.75" customHeight="1">
      <c r="A3636" s="28">
        <v>16271</v>
      </c>
      <c r="B3636" s="91">
        <v>44829.655428240745</v>
      </c>
      <c r="C3636" s="28" t="s">
        <v>10</v>
      </c>
      <c r="D3636" s="28" t="s">
        <v>1351</v>
      </c>
      <c r="E3636" s="28"/>
      <c r="F3636" s="28">
        <v>25</v>
      </c>
      <c r="G3636" s="28">
        <v>100692</v>
      </c>
      <c r="H3636" s="28">
        <v>0</v>
      </c>
      <c r="J3636" s="28"/>
    </row>
    <row r="3637" spans="1:10" ht="15.75" customHeight="1">
      <c r="A3637" s="28">
        <v>16271</v>
      </c>
      <c r="B3637" s="91">
        <v>44829.655428240745</v>
      </c>
      <c r="C3637" s="28" t="s">
        <v>10</v>
      </c>
      <c r="D3637" s="28" t="s">
        <v>1351</v>
      </c>
      <c r="E3637" s="28"/>
      <c r="F3637" s="28">
        <v>0</v>
      </c>
      <c r="G3637" s="28" t="s">
        <v>125</v>
      </c>
      <c r="H3637" s="28">
        <v>0</v>
      </c>
      <c r="J3637" s="28"/>
    </row>
    <row r="3638" spans="1:10" ht="15.75" customHeight="1">
      <c r="A3638" s="28">
        <v>16271</v>
      </c>
      <c r="B3638" s="91">
        <v>44829.655428240745</v>
      </c>
      <c r="C3638" s="28" t="s">
        <v>10</v>
      </c>
      <c r="D3638" s="28" t="s">
        <v>1351</v>
      </c>
      <c r="E3638" s="28"/>
      <c r="F3638" s="28">
        <v>0</v>
      </c>
      <c r="G3638" s="28" t="s">
        <v>119</v>
      </c>
      <c r="H3638" s="28">
        <v>0</v>
      </c>
      <c r="J3638" s="28"/>
    </row>
    <row r="3639" spans="1:10" ht="15.75" customHeight="1">
      <c r="A3639" s="28">
        <v>16270</v>
      </c>
      <c r="B3639" s="91">
        <v>44829.651180555556</v>
      </c>
      <c r="C3639" s="28" t="s">
        <v>10</v>
      </c>
      <c r="D3639" s="28" t="s">
        <v>1352</v>
      </c>
      <c r="E3639" s="28"/>
      <c r="F3639" s="28">
        <v>18</v>
      </c>
      <c r="G3639" s="28" t="s">
        <v>267</v>
      </c>
      <c r="H3639" s="28">
        <v>0</v>
      </c>
      <c r="J3639" s="28"/>
    </row>
    <row r="3640" spans="1:10" ht="15.75" customHeight="1">
      <c r="A3640" s="28">
        <v>16270</v>
      </c>
      <c r="B3640" s="91">
        <v>44829.651180555556</v>
      </c>
      <c r="C3640" s="28" t="s">
        <v>10</v>
      </c>
      <c r="D3640" s="28" t="s">
        <v>1352</v>
      </c>
      <c r="E3640" s="28"/>
      <c r="F3640" s="28">
        <v>28</v>
      </c>
      <c r="G3640" s="28" t="s">
        <v>143</v>
      </c>
      <c r="H3640" s="28">
        <v>0</v>
      </c>
      <c r="J3640" s="28"/>
    </row>
    <row r="3641" spans="1:10" ht="15.75" customHeight="1">
      <c r="A3641" s="28">
        <v>16269</v>
      </c>
      <c r="B3641" s="91">
        <v>44829.639374999999</v>
      </c>
      <c r="C3641" s="28" t="s">
        <v>10</v>
      </c>
      <c r="D3641" s="28" t="s">
        <v>1353</v>
      </c>
      <c r="E3641" s="28"/>
      <c r="F3641" s="28">
        <v>25</v>
      </c>
      <c r="G3641" s="28">
        <v>100692</v>
      </c>
      <c r="H3641" s="28">
        <v>0</v>
      </c>
      <c r="J3641" s="28"/>
    </row>
    <row r="3642" spans="1:10" ht="15.75" customHeight="1">
      <c r="A3642" s="28">
        <v>16269</v>
      </c>
      <c r="B3642" s="91">
        <v>44829.639374999999</v>
      </c>
      <c r="C3642" s="28" t="s">
        <v>10</v>
      </c>
      <c r="D3642" s="28" t="s">
        <v>1353</v>
      </c>
      <c r="E3642" s="28"/>
      <c r="F3642" s="28">
        <v>0</v>
      </c>
      <c r="G3642" s="28" t="s">
        <v>125</v>
      </c>
      <c r="H3642" s="28">
        <v>0</v>
      </c>
      <c r="J3642" s="28"/>
    </row>
    <row r="3643" spans="1:10" ht="15.75" customHeight="1">
      <c r="A3643" s="28">
        <v>16269</v>
      </c>
      <c r="B3643" s="91">
        <v>44829.639374999999</v>
      </c>
      <c r="C3643" s="28" t="s">
        <v>10</v>
      </c>
      <c r="D3643" s="28" t="s">
        <v>1353</v>
      </c>
      <c r="E3643" s="28"/>
      <c r="F3643" s="28">
        <v>0</v>
      </c>
      <c r="G3643" s="28" t="s">
        <v>119</v>
      </c>
      <c r="H3643" s="28">
        <v>0</v>
      </c>
      <c r="J3643" s="28"/>
    </row>
    <row r="3644" spans="1:10" ht="15.75" customHeight="1">
      <c r="A3644" s="28">
        <v>16268</v>
      </c>
      <c r="B3644" s="91">
        <v>44829.637291666666</v>
      </c>
      <c r="C3644" s="28" t="s">
        <v>10</v>
      </c>
      <c r="D3644" s="28" t="s">
        <v>1353</v>
      </c>
      <c r="E3644" s="28"/>
      <c r="F3644" s="28">
        <v>25</v>
      </c>
      <c r="G3644" s="28">
        <v>100692</v>
      </c>
      <c r="H3644" s="28">
        <v>0</v>
      </c>
      <c r="J3644" s="28"/>
    </row>
    <row r="3645" spans="1:10" ht="15.75" customHeight="1">
      <c r="A3645" s="28">
        <v>16268</v>
      </c>
      <c r="B3645" s="91">
        <v>44829.637291666666</v>
      </c>
      <c r="C3645" s="28" t="s">
        <v>10</v>
      </c>
      <c r="D3645" s="28" t="s">
        <v>1353</v>
      </c>
      <c r="E3645" s="28"/>
      <c r="F3645" s="28">
        <v>0</v>
      </c>
      <c r="G3645" s="28" t="s">
        <v>125</v>
      </c>
      <c r="H3645" s="28">
        <v>0</v>
      </c>
      <c r="J3645" s="28"/>
    </row>
    <row r="3646" spans="1:10" ht="15.75" customHeight="1">
      <c r="A3646" s="28">
        <v>16268</v>
      </c>
      <c r="B3646" s="91">
        <v>44829.637291666666</v>
      </c>
      <c r="C3646" s="28" t="s">
        <v>10</v>
      </c>
      <c r="D3646" s="28" t="s">
        <v>1353</v>
      </c>
      <c r="E3646" s="28"/>
      <c r="F3646" s="28">
        <v>0</v>
      </c>
      <c r="G3646" s="28" t="s">
        <v>119</v>
      </c>
      <c r="H3646" s="28">
        <v>0</v>
      </c>
      <c r="J3646" s="28"/>
    </row>
    <row r="3647" spans="1:10" ht="15.75" customHeight="1">
      <c r="A3647" s="28">
        <v>16267</v>
      </c>
      <c r="B3647" s="91">
        <v>44829.636388888888</v>
      </c>
      <c r="C3647" s="28" t="s">
        <v>10</v>
      </c>
      <c r="D3647" s="28" t="s">
        <v>1354</v>
      </c>
      <c r="E3647" s="28"/>
      <c r="F3647" s="28">
        <v>35</v>
      </c>
      <c r="G3647" s="28" t="s">
        <v>124</v>
      </c>
      <c r="H3647" s="28">
        <v>0</v>
      </c>
      <c r="J3647" s="28"/>
    </row>
    <row r="3648" spans="1:10" ht="15.75" customHeight="1">
      <c r="A3648" s="28">
        <v>16267</v>
      </c>
      <c r="B3648" s="91">
        <v>44829.636388888888</v>
      </c>
      <c r="C3648" s="28" t="s">
        <v>10</v>
      </c>
      <c r="D3648" s="28" t="s">
        <v>1354</v>
      </c>
      <c r="E3648" s="28"/>
      <c r="F3648" s="28">
        <v>0</v>
      </c>
      <c r="G3648" s="28" t="s">
        <v>125</v>
      </c>
      <c r="H3648" s="28">
        <v>0</v>
      </c>
      <c r="J3648" s="28"/>
    </row>
    <row r="3649" spans="1:10" ht="15.75" customHeight="1">
      <c r="A3649" s="28">
        <v>16267</v>
      </c>
      <c r="B3649" s="91">
        <v>44829.636388888888</v>
      </c>
      <c r="C3649" s="28" t="s">
        <v>10</v>
      </c>
      <c r="D3649" s="28" t="s">
        <v>1354</v>
      </c>
      <c r="E3649" s="28"/>
      <c r="F3649" s="28">
        <v>0</v>
      </c>
      <c r="G3649" s="28" t="s">
        <v>121</v>
      </c>
      <c r="H3649" s="28">
        <v>0</v>
      </c>
      <c r="J3649" s="28"/>
    </row>
    <row r="3650" spans="1:10" ht="15.75" customHeight="1">
      <c r="A3650" s="28">
        <v>16267</v>
      </c>
      <c r="B3650" s="91">
        <v>44829.636388888888</v>
      </c>
      <c r="C3650" s="28" t="s">
        <v>10</v>
      </c>
      <c r="D3650" s="28" t="s">
        <v>1354</v>
      </c>
      <c r="E3650" s="28"/>
      <c r="F3650" s="28">
        <v>0</v>
      </c>
      <c r="G3650" s="28" t="s">
        <v>139</v>
      </c>
      <c r="H3650" s="28">
        <v>0</v>
      </c>
      <c r="J3650" s="28"/>
    </row>
    <row r="3651" spans="1:10" ht="15.75" customHeight="1">
      <c r="A3651" s="28">
        <v>16267</v>
      </c>
      <c r="B3651" s="91">
        <v>44829.636388888888</v>
      </c>
      <c r="C3651" s="28" t="s">
        <v>10</v>
      </c>
      <c r="D3651" s="28" t="s">
        <v>1354</v>
      </c>
      <c r="E3651" s="28"/>
      <c r="F3651" s="28">
        <v>55</v>
      </c>
      <c r="G3651" s="28">
        <v>101684</v>
      </c>
      <c r="H3651" s="28">
        <v>0</v>
      </c>
      <c r="J3651" s="28"/>
    </row>
    <row r="3652" spans="1:10" ht="15.75" customHeight="1">
      <c r="A3652" s="28">
        <v>16267</v>
      </c>
      <c r="B3652" s="91">
        <v>44829.636388888888</v>
      </c>
      <c r="C3652" s="28" t="s">
        <v>10</v>
      </c>
      <c r="D3652" s="28" t="s">
        <v>1354</v>
      </c>
      <c r="E3652" s="28"/>
      <c r="F3652" s="28">
        <v>0</v>
      </c>
      <c r="G3652" s="28" t="s">
        <v>118</v>
      </c>
      <c r="H3652" s="28">
        <v>0</v>
      </c>
      <c r="J3652" s="28"/>
    </row>
    <row r="3653" spans="1:10" ht="15.75" customHeight="1">
      <c r="A3653" s="28">
        <v>16267</v>
      </c>
      <c r="B3653" s="91">
        <v>44829.636388888888</v>
      </c>
      <c r="C3653" s="28" t="s">
        <v>10</v>
      </c>
      <c r="D3653" s="28" t="s">
        <v>1354</v>
      </c>
      <c r="E3653" s="28"/>
      <c r="F3653" s="28">
        <v>0</v>
      </c>
      <c r="G3653" s="28" t="s">
        <v>119</v>
      </c>
      <c r="H3653" s="28">
        <v>0</v>
      </c>
      <c r="J3653" s="28"/>
    </row>
    <row r="3654" spans="1:10" ht="15.75" customHeight="1">
      <c r="A3654" s="28">
        <v>16267</v>
      </c>
      <c r="B3654" s="91">
        <v>44829.636388888888</v>
      </c>
      <c r="C3654" s="28" t="s">
        <v>10</v>
      </c>
      <c r="D3654" s="28" t="s">
        <v>1354</v>
      </c>
      <c r="E3654" s="28"/>
      <c r="F3654" s="28">
        <v>0</v>
      </c>
      <c r="G3654" s="28" t="s">
        <v>120</v>
      </c>
      <c r="H3654" s="28">
        <v>0</v>
      </c>
      <c r="J3654" s="28"/>
    </row>
    <row r="3655" spans="1:10" ht="15.75" customHeight="1">
      <c r="A3655" s="28">
        <v>16267</v>
      </c>
      <c r="B3655" s="91">
        <v>44829.636388888888</v>
      </c>
      <c r="C3655" s="28" t="s">
        <v>10</v>
      </c>
      <c r="D3655" s="28" t="s">
        <v>1354</v>
      </c>
      <c r="E3655" s="28"/>
      <c r="F3655" s="28">
        <v>0</v>
      </c>
      <c r="G3655" s="28" t="s">
        <v>121</v>
      </c>
      <c r="H3655" s="28">
        <v>0</v>
      </c>
      <c r="J3655" s="28"/>
    </row>
    <row r="3656" spans="1:10" ht="15.75" customHeight="1">
      <c r="A3656" s="28">
        <v>16266</v>
      </c>
      <c r="B3656" s="91">
        <v>44829.615729166668</v>
      </c>
      <c r="C3656" s="28" t="s">
        <v>10</v>
      </c>
      <c r="D3656" s="28" t="s">
        <v>1355</v>
      </c>
      <c r="E3656" s="28"/>
      <c r="F3656" s="28">
        <v>25</v>
      </c>
      <c r="G3656" s="28">
        <v>100692</v>
      </c>
      <c r="H3656" s="28">
        <v>0</v>
      </c>
      <c r="J3656" s="28"/>
    </row>
    <row r="3657" spans="1:10" ht="15.75" customHeight="1">
      <c r="A3657" s="28">
        <v>16266</v>
      </c>
      <c r="B3657" s="91">
        <v>44829.615729166668</v>
      </c>
      <c r="C3657" s="28" t="s">
        <v>10</v>
      </c>
      <c r="D3657" s="28" t="s">
        <v>1355</v>
      </c>
      <c r="E3657" s="28"/>
      <c r="F3657" s="28">
        <v>0</v>
      </c>
      <c r="G3657" s="28" t="s">
        <v>125</v>
      </c>
      <c r="H3657" s="28">
        <v>0</v>
      </c>
      <c r="J3657" s="28"/>
    </row>
    <row r="3658" spans="1:10" ht="15.75" customHeight="1">
      <c r="A3658" s="28">
        <v>16266</v>
      </c>
      <c r="B3658" s="91">
        <v>44829.615729166668</v>
      </c>
      <c r="C3658" s="28" t="s">
        <v>10</v>
      </c>
      <c r="D3658" s="28" t="s">
        <v>1355</v>
      </c>
      <c r="E3658" s="28"/>
      <c r="F3658" s="28">
        <v>0</v>
      </c>
      <c r="G3658" s="28" t="s">
        <v>119</v>
      </c>
      <c r="H3658" s="28">
        <v>0</v>
      </c>
      <c r="J3658" s="28"/>
    </row>
    <row r="3659" spans="1:10" ht="15.75" customHeight="1">
      <c r="A3659" s="28">
        <v>16265</v>
      </c>
      <c r="B3659" s="91">
        <v>44829.613252314812</v>
      </c>
      <c r="C3659" s="28" t="s">
        <v>10</v>
      </c>
      <c r="D3659" s="28" t="s">
        <v>1356</v>
      </c>
      <c r="E3659" s="28"/>
      <c r="F3659" s="28">
        <v>22</v>
      </c>
      <c r="G3659" s="28" t="s">
        <v>137</v>
      </c>
      <c r="H3659" s="28">
        <v>0</v>
      </c>
      <c r="J3659" s="28"/>
    </row>
    <row r="3660" spans="1:10" ht="15.75" customHeight="1">
      <c r="A3660" s="28">
        <v>16265</v>
      </c>
      <c r="B3660" s="91">
        <v>44829.613252314812</v>
      </c>
      <c r="C3660" s="28" t="s">
        <v>10</v>
      </c>
      <c r="D3660" s="28" t="s">
        <v>1356</v>
      </c>
      <c r="E3660" s="28"/>
      <c r="F3660" s="28">
        <v>25</v>
      </c>
      <c r="G3660" s="28">
        <v>100692</v>
      </c>
      <c r="H3660" s="28">
        <v>0</v>
      </c>
      <c r="J3660" s="28"/>
    </row>
    <row r="3661" spans="1:10" ht="15.75" customHeight="1">
      <c r="A3661" s="28">
        <v>16265</v>
      </c>
      <c r="B3661" s="91">
        <v>44829.613252314812</v>
      </c>
      <c r="C3661" s="28" t="s">
        <v>10</v>
      </c>
      <c r="D3661" s="28" t="s">
        <v>1356</v>
      </c>
      <c r="E3661" s="28"/>
      <c r="F3661" s="28">
        <v>0</v>
      </c>
      <c r="G3661" s="28" t="s">
        <v>125</v>
      </c>
      <c r="H3661" s="28">
        <v>0</v>
      </c>
      <c r="J3661" s="28"/>
    </row>
    <row r="3662" spans="1:10" ht="15.75" customHeight="1">
      <c r="A3662" s="28">
        <v>16265</v>
      </c>
      <c r="B3662" s="91">
        <v>44829.613252314812</v>
      </c>
      <c r="C3662" s="28" t="s">
        <v>10</v>
      </c>
      <c r="D3662" s="28" t="s">
        <v>1356</v>
      </c>
      <c r="E3662" s="28"/>
      <c r="F3662" s="28">
        <v>0</v>
      </c>
      <c r="G3662" s="28" t="s">
        <v>119</v>
      </c>
      <c r="H3662" s="28">
        <v>0</v>
      </c>
      <c r="J3662" s="28"/>
    </row>
    <row r="3663" spans="1:10" ht="15.75" customHeight="1">
      <c r="A3663" s="28">
        <v>16265</v>
      </c>
      <c r="B3663" s="91">
        <v>44829.613252314812</v>
      </c>
      <c r="C3663" s="28" t="s">
        <v>10</v>
      </c>
      <c r="D3663" s="28" t="s">
        <v>1356</v>
      </c>
      <c r="E3663" s="28"/>
      <c r="F3663" s="28">
        <v>25</v>
      </c>
      <c r="G3663" s="28" t="s">
        <v>141</v>
      </c>
      <c r="H3663" s="28">
        <v>0</v>
      </c>
      <c r="J3663" s="28"/>
    </row>
    <row r="3664" spans="1:10" ht="15.75" customHeight="1">
      <c r="A3664" s="28">
        <v>16264</v>
      </c>
      <c r="B3664" s="91">
        <v>44829.607499999998</v>
      </c>
      <c r="C3664" s="28" t="s">
        <v>10</v>
      </c>
      <c r="D3664" s="28" t="s">
        <v>421</v>
      </c>
      <c r="E3664" s="28"/>
      <c r="F3664" s="28">
        <v>18</v>
      </c>
      <c r="G3664" s="28" t="s">
        <v>119</v>
      </c>
      <c r="H3664" s="28">
        <v>0</v>
      </c>
      <c r="J3664" s="28"/>
    </row>
    <row r="3665" spans="1:10" ht="15.75" customHeight="1">
      <c r="A3665" s="28">
        <v>16263</v>
      </c>
      <c r="B3665" s="91">
        <v>44829.607199074075</v>
      </c>
      <c r="C3665" s="28" t="s">
        <v>10</v>
      </c>
      <c r="D3665" s="28" t="s">
        <v>1357</v>
      </c>
      <c r="E3665" s="28"/>
      <c r="F3665" s="28">
        <v>24</v>
      </c>
      <c r="G3665" s="28" t="s">
        <v>122</v>
      </c>
      <c r="H3665" s="28">
        <v>0</v>
      </c>
      <c r="J3665" s="28"/>
    </row>
    <row r="3666" spans="1:10" ht="15.75" customHeight="1">
      <c r="A3666" s="28">
        <v>16262</v>
      </c>
      <c r="B3666" s="91">
        <v>44829.605868055558</v>
      </c>
      <c r="C3666" s="28" t="s">
        <v>10</v>
      </c>
      <c r="D3666" s="28" t="s">
        <v>421</v>
      </c>
      <c r="E3666" s="28"/>
      <c r="F3666" s="28">
        <v>36</v>
      </c>
      <c r="G3666" s="28" t="s">
        <v>119</v>
      </c>
      <c r="H3666" s="28">
        <v>0</v>
      </c>
      <c r="J3666" s="28"/>
    </row>
    <row r="3667" spans="1:10" ht="15.75" customHeight="1">
      <c r="A3667" s="28">
        <v>16261</v>
      </c>
      <c r="B3667" s="91">
        <v>44829.604097222225</v>
      </c>
      <c r="C3667" s="28" t="s">
        <v>10</v>
      </c>
      <c r="D3667" s="28" t="s">
        <v>1358</v>
      </c>
      <c r="E3667" s="28"/>
      <c r="F3667" s="28">
        <v>35</v>
      </c>
      <c r="G3667" s="28" t="s">
        <v>124</v>
      </c>
      <c r="H3667" s="28">
        <v>0</v>
      </c>
      <c r="J3667" s="28"/>
    </row>
    <row r="3668" spans="1:10" ht="15.75" customHeight="1">
      <c r="A3668" s="28">
        <v>16261</v>
      </c>
      <c r="B3668" s="91">
        <v>44829.604097222225</v>
      </c>
      <c r="C3668" s="28" t="s">
        <v>10</v>
      </c>
      <c r="D3668" s="28" t="s">
        <v>1358</v>
      </c>
      <c r="E3668" s="28"/>
      <c r="F3668" s="28">
        <v>0</v>
      </c>
      <c r="G3668" s="28" t="s">
        <v>125</v>
      </c>
      <c r="H3668" s="28">
        <v>0</v>
      </c>
      <c r="J3668" s="28"/>
    </row>
    <row r="3669" spans="1:10" ht="15.75" customHeight="1">
      <c r="A3669" s="28">
        <v>16261</v>
      </c>
      <c r="B3669" s="91">
        <v>44829.604097222225</v>
      </c>
      <c r="C3669" s="28" t="s">
        <v>10</v>
      </c>
      <c r="D3669" s="28" t="s">
        <v>1358</v>
      </c>
      <c r="E3669" s="28"/>
      <c r="F3669" s="28">
        <v>0</v>
      </c>
      <c r="G3669" s="28" t="s">
        <v>121</v>
      </c>
      <c r="H3669" s="28">
        <v>0</v>
      </c>
      <c r="J3669" s="28"/>
    </row>
    <row r="3670" spans="1:10" ht="15.75" customHeight="1">
      <c r="A3670" s="28">
        <v>16261</v>
      </c>
      <c r="B3670" s="91">
        <v>44829.604097222225</v>
      </c>
      <c r="C3670" s="28" t="s">
        <v>10</v>
      </c>
      <c r="D3670" s="28" t="s">
        <v>1358</v>
      </c>
      <c r="E3670" s="28"/>
      <c r="F3670" s="28">
        <v>0</v>
      </c>
      <c r="G3670" s="28" t="s">
        <v>139</v>
      </c>
      <c r="H3670" s="28">
        <v>0</v>
      </c>
      <c r="J3670" s="28"/>
    </row>
    <row r="3671" spans="1:10" ht="15.75" customHeight="1">
      <c r="A3671" s="28">
        <v>16261</v>
      </c>
      <c r="B3671" s="91">
        <v>44829.604097222225</v>
      </c>
      <c r="C3671" s="28" t="s">
        <v>10</v>
      </c>
      <c r="D3671" s="28" t="s">
        <v>1358</v>
      </c>
      <c r="E3671" s="28"/>
      <c r="F3671" s="28">
        <v>15</v>
      </c>
      <c r="G3671" s="28" t="s">
        <v>125</v>
      </c>
      <c r="H3671" s="28">
        <v>0</v>
      </c>
      <c r="J3671" s="28"/>
    </row>
    <row r="3672" spans="1:10" ht="15.75" customHeight="1">
      <c r="A3672" s="28">
        <v>16260</v>
      </c>
      <c r="B3672" s="91">
        <v>44829.601458333331</v>
      </c>
      <c r="C3672" s="28" t="s">
        <v>10</v>
      </c>
      <c r="D3672" s="28" t="s">
        <v>1359</v>
      </c>
      <c r="E3672" s="28"/>
      <c r="F3672" s="28">
        <v>35</v>
      </c>
      <c r="G3672" s="28" t="s">
        <v>124</v>
      </c>
      <c r="H3672" s="28">
        <v>0</v>
      </c>
      <c r="J3672" s="28"/>
    </row>
    <row r="3673" spans="1:10" ht="15.75" customHeight="1">
      <c r="A3673" s="28">
        <v>16260</v>
      </c>
      <c r="B3673" s="91">
        <v>44829.601458333331</v>
      </c>
      <c r="C3673" s="28" t="s">
        <v>10</v>
      </c>
      <c r="D3673" s="28" t="s">
        <v>1359</v>
      </c>
      <c r="E3673" s="28"/>
      <c r="F3673" s="28">
        <v>0</v>
      </c>
      <c r="G3673" s="28" t="s">
        <v>125</v>
      </c>
      <c r="H3673" s="28">
        <v>0</v>
      </c>
      <c r="J3673" s="28"/>
    </row>
    <row r="3674" spans="1:10" ht="15.75" customHeight="1">
      <c r="A3674" s="28">
        <v>16260</v>
      </c>
      <c r="B3674" s="91">
        <v>44829.601458333331</v>
      </c>
      <c r="C3674" s="28" t="s">
        <v>10</v>
      </c>
      <c r="D3674" s="28" t="s">
        <v>1359</v>
      </c>
      <c r="E3674" s="28"/>
      <c r="F3674" s="28">
        <v>0</v>
      </c>
      <c r="G3674" s="28" t="s">
        <v>121</v>
      </c>
      <c r="H3674" s="28">
        <v>0</v>
      </c>
      <c r="J3674" s="28"/>
    </row>
    <row r="3675" spans="1:10" ht="15.75" customHeight="1">
      <c r="A3675" s="28">
        <v>16260</v>
      </c>
      <c r="B3675" s="91">
        <v>44829.601458333331</v>
      </c>
      <c r="C3675" s="28" t="s">
        <v>10</v>
      </c>
      <c r="D3675" s="28" t="s">
        <v>1359</v>
      </c>
      <c r="E3675" s="28"/>
      <c r="F3675" s="28">
        <v>0</v>
      </c>
      <c r="G3675" s="28" t="s">
        <v>139</v>
      </c>
      <c r="H3675" s="28">
        <v>0</v>
      </c>
      <c r="J3675" s="28"/>
    </row>
    <row r="3676" spans="1:10" ht="15.75" customHeight="1">
      <c r="A3676" s="28">
        <v>16259</v>
      </c>
      <c r="B3676" s="91">
        <v>44829.600613425922</v>
      </c>
      <c r="C3676" s="28" t="s">
        <v>10</v>
      </c>
      <c r="D3676" s="28" t="s">
        <v>1360</v>
      </c>
      <c r="E3676" s="28"/>
      <c r="F3676" s="28">
        <v>0</v>
      </c>
      <c r="G3676" s="28" t="s">
        <v>139</v>
      </c>
      <c r="H3676" s="28">
        <v>0</v>
      </c>
      <c r="J3676" s="28"/>
    </row>
    <row r="3677" spans="1:10" ht="15.75" customHeight="1">
      <c r="A3677" s="28">
        <v>16259</v>
      </c>
      <c r="B3677" s="91">
        <v>44829.600613425922</v>
      </c>
      <c r="C3677" s="28" t="s">
        <v>10</v>
      </c>
      <c r="D3677" s="28" t="s">
        <v>1360</v>
      </c>
      <c r="E3677" s="28"/>
      <c r="F3677" s="28">
        <v>22</v>
      </c>
      <c r="G3677" s="28" t="s">
        <v>137</v>
      </c>
      <c r="H3677" s="28">
        <v>0</v>
      </c>
      <c r="J3677" s="28"/>
    </row>
    <row r="3678" spans="1:10" ht="15.75" customHeight="1">
      <c r="A3678" s="28">
        <v>16259</v>
      </c>
      <c r="B3678" s="91">
        <v>44829.600613425922</v>
      </c>
      <c r="C3678" s="28" t="s">
        <v>10</v>
      </c>
      <c r="D3678" s="28" t="s">
        <v>1360</v>
      </c>
      <c r="E3678" s="28"/>
      <c r="F3678" s="28">
        <v>15</v>
      </c>
      <c r="G3678" s="28" t="s">
        <v>170</v>
      </c>
      <c r="H3678" s="28">
        <v>0</v>
      </c>
      <c r="J3678" s="28"/>
    </row>
    <row r="3679" spans="1:10" ht="15.75" customHeight="1">
      <c r="A3679" s="28">
        <v>16259</v>
      </c>
      <c r="B3679" s="91">
        <v>44829.600613425922</v>
      </c>
      <c r="C3679" s="28" t="s">
        <v>10</v>
      </c>
      <c r="D3679" s="28" t="s">
        <v>1360</v>
      </c>
      <c r="E3679" s="28"/>
      <c r="F3679" s="28">
        <v>25</v>
      </c>
      <c r="G3679" s="28" t="s">
        <v>120</v>
      </c>
      <c r="H3679" s="28">
        <v>0</v>
      </c>
      <c r="J3679" s="28"/>
    </row>
    <row r="3680" spans="1:10" ht="15.75" customHeight="1">
      <c r="A3680" s="28">
        <v>16259</v>
      </c>
      <c r="B3680" s="91">
        <v>44829.600613425922</v>
      </c>
      <c r="C3680" s="28" t="s">
        <v>10</v>
      </c>
      <c r="D3680" s="28" t="s">
        <v>1360</v>
      </c>
      <c r="E3680" s="28"/>
      <c r="F3680" s="28">
        <v>24</v>
      </c>
      <c r="G3680" s="28" t="s">
        <v>122</v>
      </c>
      <c r="H3680" s="28">
        <v>0</v>
      </c>
      <c r="J3680" s="28"/>
    </row>
    <row r="3681" spans="1:10" ht="15.75" customHeight="1">
      <c r="A3681" s="28">
        <v>16259</v>
      </c>
      <c r="B3681" s="91">
        <v>44829.600613425922</v>
      </c>
      <c r="C3681" s="28" t="s">
        <v>10</v>
      </c>
      <c r="D3681" s="28" t="s">
        <v>1360</v>
      </c>
      <c r="E3681" s="28"/>
      <c r="F3681" s="28">
        <v>20</v>
      </c>
      <c r="G3681" s="28" t="s">
        <v>121</v>
      </c>
      <c r="H3681" s="28">
        <v>0</v>
      </c>
      <c r="J3681" s="28"/>
    </row>
    <row r="3682" spans="1:10" ht="15.75" customHeight="1">
      <c r="A3682" s="28">
        <v>16258</v>
      </c>
      <c r="B3682" s="91">
        <v>44829.600405092591</v>
      </c>
      <c r="C3682" s="28" t="s">
        <v>10</v>
      </c>
      <c r="D3682" s="28" t="s">
        <v>1173</v>
      </c>
      <c r="E3682" s="28"/>
      <c r="F3682" s="28">
        <v>25</v>
      </c>
      <c r="G3682" s="28">
        <v>100692</v>
      </c>
      <c r="H3682" s="28">
        <v>0</v>
      </c>
      <c r="J3682" s="28"/>
    </row>
    <row r="3683" spans="1:10" ht="15.75" customHeight="1">
      <c r="A3683" s="28">
        <v>16258</v>
      </c>
      <c r="B3683" s="91">
        <v>44829.600405092591</v>
      </c>
      <c r="C3683" s="28" t="s">
        <v>10</v>
      </c>
      <c r="D3683" s="28" t="s">
        <v>1173</v>
      </c>
      <c r="E3683" s="28"/>
      <c r="F3683" s="28">
        <v>0</v>
      </c>
      <c r="G3683" s="28" t="s">
        <v>125</v>
      </c>
      <c r="H3683" s="28">
        <v>0</v>
      </c>
      <c r="J3683" s="28"/>
    </row>
    <row r="3684" spans="1:10" ht="15.75" customHeight="1">
      <c r="A3684" s="28">
        <v>16258</v>
      </c>
      <c r="B3684" s="91">
        <v>44829.600405092591</v>
      </c>
      <c r="C3684" s="28" t="s">
        <v>10</v>
      </c>
      <c r="D3684" s="28" t="s">
        <v>1173</v>
      </c>
      <c r="E3684" s="28"/>
      <c r="F3684" s="28">
        <v>0</v>
      </c>
      <c r="G3684" s="28" t="s">
        <v>119</v>
      </c>
      <c r="H3684" s="28">
        <v>0</v>
      </c>
      <c r="J3684" s="28"/>
    </row>
    <row r="3685" spans="1:10" ht="15.75" customHeight="1">
      <c r="A3685" s="28">
        <v>16258</v>
      </c>
      <c r="B3685" s="91">
        <v>44829.600405092591</v>
      </c>
      <c r="C3685" s="28" t="s">
        <v>10</v>
      </c>
      <c r="D3685" s="28" t="s">
        <v>1173</v>
      </c>
      <c r="E3685" s="28"/>
      <c r="F3685" s="28">
        <v>20</v>
      </c>
      <c r="G3685" s="28" t="s">
        <v>121</v>
      </c>
      <c r="H3685" s="28">
        <v>0</v>
      </c>
      <c r="J3685" s="28"/>
    </row>
    <row r="3686" spans="1:10" ht="15.75" customHeight="1">
      <c r="A3686" s="28">
        <v>16257</v>
      </c>
      <c r="B3686" s="91">
        <v>44829.600231481483</v>
      </c>
      <c r="C3686" s="28" t="s">
        <v>10</v>
      </c>
      <c r="D3686" s="28" t="s">
        <v>1361</v>
      </c>
      <c r="E3686" s="28"/>
      <c r="F3686" s="28">
        <v>25</v>
      </c>
      <c r="G3686" s="28">
        <v>100692</v>
      </c>
      <c r="H3686" s="28">
        <v>0</v>
      </c>
      <c r="J3686" s="28"/>
    </row>
    <row r="3687" spans="1:10" ht="15.75" customHeight="1">
      <c r="A3687" s="28">
        <v>16257</v>
      </c>
      <c r="B3687" s="91">
        <v>44829.600231481483</v>
      </c>
      <c r="C3687" s="28" t="s">
        <v>10</v>
      </c>
      <c r="D3687" s="28" t="s">
        <v>1361</v>
      </c>
      <c r="E3687" s="28"/>
      <c r="F3687" s="28">
        <v>0</v>
      </c>
      <c r="G3687" s="28" t="s">
        <v>125</v>
      </c>
      <c r="H3687" s="28">
        <v>0</v>
      </c>
      <c r="J3687" s="28"/>
    </row>
    <row r="3688" spans="1:10" ht="15.75" customHeight="1">
      <c r="A3688" s="28">
        <v>16257</v>
      </c>
      <c r="B3688" s="91">
        <v>44829.600231481483</v>
      </c>
      <c r="C3688" s="28" t="s">
        <v>10</v>
      </c>
      <c r="D3688" s="28" t="s">
        <v>1361</v>
      </c>
      <c r="E3688" s="28"/>
      <c r="F3688" s="28">
        <v>0</v>
      </c>
      <c r="G3688" s="28" t="s">
        <v>119</v>
      </c>
      <c r="H3688" s="28">
        <v>0</v>
      </c>
      <c r="J3688" s="28"/>
    </row>
    <row r="3689" spans="1:10" ht="15.75" customHeight="1">
      <c r="A3689" s="28">
        <v>16256</v>
      </c>
      <c r="B3689" s="91">
        <v>44829.599259259259</v>
      </c>
      <c r="C3689" s="28" t="s">
        <v>10</v>
      </c>
      <c r="D3689" s="28" t="s">
        <v>1362</v>
      </c>
      <c r="E3689" s="28"/>
      <c r="F3689" s="28">
        <v>55</v>
      </c>
      <c r="G3689" s="28">
        <v>101684</v>
      </c>
      <c r="H3689" s="28">
        <v>0</v>
      </c>
      <c r="J3689" s="28"/>
    </row>
    <row r="3690" spans="1:10" ht="15.75" customHeight="1">
      <c r="A3690" s="28">
        <v>16256</v>
      </c>
      <c r="B3690" s="91">
        <v>44829.599259259259</v>
      </c>
      <c r="C3690" s="28" t="s">
        <v>10</v>
      </c>
      <c r="D3690" s="28" t="s">
        <v>1362</v>
      </c>
      <c r="E3690" s="28"/>
      <c r="F3690" s="28">
        <v>0</v>
      </c>
      <c r="G3690" s="28" t="s">
        <v>118</v>
      </c>
      <c r="H3690" s="28">
        <v>0</v>
      </c>
      <c r="J3690" s="28"/>
    </row>
    <row r="3691" spans="1:10" ht="15.75" customHeight="1">
      <c r="A3691" s="28">
        <v>16256</v>
      </c>
      <c r="B3691" s="91">
        <v>44829.599259259259</v>
      </c>
      <c r="C3691" s="28" t="s">
        <v>10</v>
      </c>
      <c r="D3691" s="28" t="s">
        <v>1362</v>
      </c>
      <c r="E3691" s="28"/>
      <c r="F3691" s="28">
        <v>0</v>
      </c>
      <c r="G3691" s="28" t="s">
        <v>119</v>
      </c>
      <c r="H3691" s="28">
        <v>0</v>
      </c>
      <c r="J3691" s="28"/>
    </row>
    <row r="3692" spans="1:10" ht="15.75" customHeight="1">
      <c r="A3692" s="28">
        <v>16256</v>
      </c>
      <c r="B3692" s="91">
        <v>44829.599259259259</v>
      </c>
      <c r="C3692" s="28" t="s">
        <v>10</v>
      </c>
      <c r="D3692" s="28" t="s">
        <v>1362</v>
      </c>
      <c r="E3692" s="28"/>
      <c r="F3692" s="28">
        <v>0</v>
      </c>
      <c r="G3692" s="28" t="s">
        <v>120</v>
      </c>
      <c r="H3692" s="28">
        <v>0</v>
      </c>
      <c r="J3692" s="28"/>
    </row>
    <row r="3693" spans="1:10" ht="15.75" customHeight="1">
      <c r="A3693" s="28">
        <v>16256</v>
      </c>
      <c r="B3693" s="91">
        <v>44829.599259259259</v>
      </c>
      <c r="C3693" s="28" t="s">
        <v>10</v>
      </c>
      <c r="D3693" s="28" t="s">
        <v>1362</v>
      </c>
      <c r="E3693" s="28"/>
      <c r="F3693" s="28">
        <v>0</v>
      </c>
      <c r="G3693" s="28" t="s">
        <v>121</v>
      </c>
      <c r="H3693" s="28">
        <v>0</v>
      </c>
      <c r="J3693" s="28"/>
    </row>
    <row r="3694" spans="1:10" ht="15.75" customHeight="1">
      <c r="A3694" s="28">
        <v>16255</v>
      </c>
      <c r="B3694" s="91">
        <v>44829.599016203705</v>
      </c>
      <c r="C3694" s="28" t="s">
        <v>10</v>
      </c>
      <c r="D3694" s="28" t="s">
        <v>1363</v>
      </c>
      <c r="E3694" s="28"/>
      <c r="F3694" s="28">
        <v>25</v>
      </c>
      <c r="G3694" s="28">
        <v>100692</v>
      </c>
      <c r="H3694" s="28">
        <v>0</v>
      </c>
      <c r="J3694" s="28"/>
    </row>
    <row r="3695" spans="1:10" ht="15.75" customHeight="1">
      <c r="A3695" s="28">
        <v>16255</v>
      </c>
      <c r="B3695" s="91">
        <v>44829.599016203705</v>
      </c>
      <c r="C3695" s="28" t="s">
        <v>10</v>
      </c>
      <c r="D3695" s="28" t="s">
        <v>1363</v>
      </c>
      <c r="E3695" s="28"/>
      <c r="F3695" s="28">
        <v>0</v>
      </c>
      <c r="G3695" s="28" t="s">
        <v>125</v>
      </c>
      <c r="H3695" s="28">
        <v>0</v>
      </c>
      <c r="J3695" s="28"/>
    </row>
    <row r="3696" spans="1:10" ht="15.75" customHeight="1">
      <c r="A3696" s="28">
        <v>16255</v>
      </c>
      <c r="B3696" s="91">
        <v>44829.599016203705</v>
      </c>
      <c r="C3696" s="28" t="s">
        <v>10</v>
      </c>
      <c r="D3696" s="28" t="s">
        <v>1363</v>
      </c>
      <c r="E3696" s="28"/>
      <c r="F3696" s="28">
        <v>0</v>
      </c>
      <c r="G3696" s="28" t="s">
        <v>119</v>
      </c>
      <c r="H3696" s="28">
        <v>0</v>
      </c>
      <c r="J3696" s="28"/>
    </row>
    <row r="3697" spans="1:10" ht="15.75" customHeight="1">
      <c r="A3697" s="28">
        <v>16255</v>
      </c>
      <c r="B3697" s="91">
        <v>44829.599016203705</v>
      </c>
      <c r="C3697" s="28" t="s">
        <v>10</v>
      </c>
      <c r="D3697" s="28" t="s">
        <v>1363</v>
      </c>
      <c r="E3697" s="28"/>
      <c r="F3697" s="28">
        <v>0</v>
      </c>
      <c r="G3697" s="28" t="s">
        <v>139</v>
      </c>
      <c r="H3697" s="28">
        <v>0</v>
      </c>
      <c r="J3697" s="28"/>
    </row>
    <row r="3698" spans="1:10" ht="15.75" customHeight="1">
      <c r="A3698" s="28">
        <v>16254</v>
      </c>
      <c r="B3698" s="91">
        <v>44829.583993055552</v>
      </c>
      <c r="C3698" s="28" t="s">
        <v>10</v>
      </c>
      <c r="D3698" s="28" t="s">
        <v>1364</v>
      </c>
      <c r="E3698" s="28"/>
      <c r="F3698" s="28">
        <v>25</v>
      </c>
      <c r="G3698" s="28">
        <v>100692</v>
      </c>
      <c r="H3698" s="28">
        <v>0</v>
      </c>
      <c r="J3698" s="28"/>
    </row>
    <row r="3699" spans="1:10" ht="15.75" customHeight="1">
      <c r="A3699" s="28">
        <v>16254</v>
      </c>
      <c r="B3699" s="91">
        <v>44829.583993055552</v>
      </c>
      <c r="C3699" s="28" t="s">
        <v>10</v>
      </c>
      <c r="D3699" s="28" t="s">
        <v>1364</v>
      </c>
      <c r="E3699" s="28"/>
      <c r="F3699" s="28">
        <v>0</v>
      </c>
      <c r="G3699" s="28" t="s">
        <v>125</v>
      </c>
      <c r="H3699" s="28">
        <v>0</v>
      </c>
      <c r="J3699" s="28"/>
    </row>
    <row r="3700" spans="1:10" ht="15.75" customHeight="1">
      <c r="A3700" s="28">
        <v>16254</v>
      </c>
      <c r="B3700" s="91">
        <v>44829.583993055552</v>
      </c>
      <c r="C3700" s="28" t="s">
        <v>10</v>
      </c>
      <c r="D3700" s="28" t="s">
        <v>1364</v>
      </c>
      <c r="E3700" s="28"/>
      <c r="F3700" s="28">
        <v>0</v>
      </c>
      <c r="G3700" s="28" t="s">
        <v>119</v>
      </c>
      <c r="H3700" s="28">
        <v>0</v>
      </c>
      <c r="J3700" s="28"/>
    </row>
    <row r="3701" spans="1:10" ht="15.75" customHeight="1">
      <c r="A3701" s="28">
        <v>16253</v>
      </c>
      <c r="B3701" s="91">
        <v>44829.57984953704</v>
      </c>
      <c r="C3701" s="28" t="s">
        <v>10</v>
      </c>
      <c r="D3701" s="28" t="s">
        <v>1365</v>
      </c>
      <c r="E3701" s="28"/>
      <c r="F3701" s="28">
        <v>28</v>
      </c>
      <c r="G3701" s="28" t="s">
        <v>143</v>
      </c>
      <c r="H3701" s="28">
        <v>0</v>
      </c>
      <c r="J3701" s="28"/>
    </row>
    <row r="3702" spans="1:10" ht="15.75" customHeight="1">
      <c r="A3702" s="28">
        <v>16252</v>
      </c>
      <c r="B3702" s="91">
        <v>44829.578657407408</v>
      </c>
      <c r="C3702" s="28" t="s">
        <v>10</v>
      </c>
      <c r="D3702" s="28" t="s">
        <v>1366</v>
      </c>
      <c r="E3702" s="28"/>
      <c r="F3702" s="28">
        <v>25</v>
      </c>
      <c r="G3702" s="28">
        <v>100692</v>
      </c>
      <c r="H3702" s="28">
        <v>0</v>
      </c>
      <c r="J3702" s="28"/>
    </row>
    <row r="3703" spans="1:10" ht="15.75" customHeight="1">
      <c r="A3703" s="28">
        <v>16252</v>
      </c>
      <c r="B3703" s="91">
        <v>44829.578657407408</v>
      </c>
      <c r="C3703" s="28" t="s">
        <v>10</v>
      </c>
      <c r="D3703" s="28" t="s">
        <v>1366</v>
      </c>
      <c r="E3703" s="28"/>
      <c r="F3703" s="28">
        <v>0</v>
      </c>
      <c r="G3703" s="28" t="s">
        <v>125</v>
      </c>
      <c r="H3703" s="28">
        <v>0</v>
      </c>
      <c r="J3703" s="28"/>
    </row>
    <row r="3704" spans="1:10" ht="15.75" customHeight="1">
      <c r="A3704" s="28">
        <v>16252</v>
      </c>
      <c r="B3704" s="91">
        <v>44829.578657407408</v>
      </c>
      <c r="C3704" s="28" t="s">
        <v>10</v>
      </c>
      <c r="D3704" s="28" t="s">
        <v>1366</v>
      </c>
      <c r="E3704" s="28"/>
      <c r="F3704" s="28">
        <v>0</v>
      </c>
      <c r="G3704" s="28" t="s">
        <v>119</v>
      </c>
      <c r="H3704" s="28">
        <v>0</v>
      </c>
      <c r="J3704" s="28"/>
    </row>
    <row r="3705" spans="1:10" ht="15.75" customHeight="1">
      <c r="A3705" s="28">
        <v>16251</v>
      </c>
      <c r="B3705" s="91">
        <v>44829.576666666668</v>
      </c>
      <c r="C3705" s="28" t="s">
        <v>10</v>
      </c>
      <c r="D3705" s="28" t="s">
        <v>1367</v>
      </c>
      <c r="E3705" s="28"/>
      <c r="F3705" s="28">
        <v>25</v>
      </c>
      <c r="G3705" s="28">
        <v>100692</v>
      </c>
      <c r="H3705" s="28">
        <v>0</v>
      </c>
      <c r="J3705" s="28"/>
    </row>
    <row r="3706" spans="1:10" ht="15.75" customHeight="1">
      <c r="A3706" s="28">
        <v>16251</v>
      </c>
      <c r="B3706" s="91">
        <v>44829.576666666668</v>
      </c>
      <c r="C3706" s="28" t="s">
        <v>10</v>
      </c>
      <c r="D3706" s="28" t="s">
        <v>1367</v>
      </c>
      <c r="E3706" s="28"/>
      <c r="F3706" s="28">
        <v>0</v>
      </c>
      <c r="G3706" s="28" t="s">
        <v>125</v>
      </c>
      <c r="H3706" s="28">
        <v>0</v>
      </c>
      <c r="J3706" s="28"/>
    </row>
    <row r="3707" spans="1:10" ht="15.75" customHeight="1">
      <c r="A3707" s="28">
        <v>16251</v>
      </c>
      <c r="B3707" s="91">
        <v>44829.576666666668</v>
      </c>
      <c r="C3707" s="28" t="s">
        <v>10</v>
      </c>
      <c r="D3707" s="28" t="s">
        <v>1367</v>
      </c>
      <c r="E3707" s="28"/>
      <c r="F3707" s="28">
        <v>0</v>
      </c>
      <c r="G3707" s="28" t="s">
        <v>119</v>
      </c>
      <c r="H3707" s="28">
        <v>0</v>
      </c>
      <c r="J3707" s="28"/>
    </row>
    <row r="3708" spans="1:10" ht="15.75" customHeight="1">
      <c r="A3708" s="28">
        <v>16251</v>
      </c>
      <c r="B3708" s="91">
        <v>44829.576666666668</v>
      </c>
      <c r="C3708" s="28" t="s">
        <v>10</v>
      </c>
      <c r="D3708" s="28" t="s">
        <v>1367</v>
      </c>
      <c r="E3708" s="28"/>
      <c r="F3708" s="28">
        <v>15</v>
      </c>
      <c r="G3708" s="28" t="s">
        <v>170</v>
      </c>
      <c r="H3708" s="28">
        <v>0</v>
      </c>
      <c r="J3708" s="28"/>
    </row>
    <row r="3709" spans="1:10" ht="15.75" customHeight="1">
      <c r="A3709" s="28">
        <v>16250</v>
      </c>
      <c r="B3709" s="91">
        <v>44829.573321759264</v>
      </c>
      <c r="C3709" s="28" t="s">
        <v>10</v>
      </c>
      <c r="D3709" s="28" t="s">
        <v>1368</v>
      </c>
      <c r="E3709" s="28"/>
      <c r="F3709" s="28">
        <v>15</v>
      </c>
      <c r="G3709" s="28" t="s">
        <v>170</v>
      </c>
      <c r="H3709" s="28">
        <v>0</v>
      </c>
      <c r="J3709" s="28"/>
    </row>
    <row r="3710" spans="1:10" ht="15.75" customHeight="1">
      <c r="A3710" s="28">
        <v>16249</v>
      </c>
      <c r="B3710" s="91">
        <v>44829.572962962964</v>
      </c>
      <c r="C3710" s="28" t="s">
        <v>10</v>
      </c>
      <c r="D3710" s="28" t="s">
        <v>1369</v>
      </c>
      <c r="E3710" s="28"/>
      <c r="F3710" s="28">
        <v>25</v>
      </c>
      <c r="G3710" s="28">
        <v>100692</v>
      </c>
      <c r="H3710" s="28">
        <v>0</v>
      </c>
      <c r="J3710" s="28"/>
    </row>
    <row r="3711" spans="1:10" ht="15.75" customHeight="1">
      <c r="A3711" s="28">
        <v>16249</v>
      </c>
      <c r="B3711" s="91">
        <v>44829.572962962964</v>
      </c>
      <c r="C3711" s="28" t="s">
        <v>10</v>
      </c>
      <c r="D3711" s="28" t="s">
        <v>1369</v>
      </c>
      <c r="E3711" s="28"/>
      <c r="F3711" s="28">
        <v>0</v>
      </c>
      <c r="G3711" s="28" t="s">
        <v>125</v>
      </c>
      <c r="H3711" s="28">
        <v>0</v>
      </c>
      <c r="J3711" s="28"/>
    </row>
    <row r="3712" spans="1:10" ht="15.75" customHeight="1">
      <c r="A3712" s="28">
        <v>16249</v>
      </c>
      <c r="B3712" s="91">
        <v>44829.572962962964</v>
      </c>
      <c r="C3712" s="28" t="s">
        <v>10</v>
      </c>
      <c r="D3712" s="28" t="s">
        <v>1369</v>
      </c>
      <c r="E3712" s="28"/>
      <c r="F3712" s="28">
        <v>0</v>
      </c>
      <c r="G3712" s="28" t="s">
        <v>119</v>
      </c>
      <c r="H3712" s="28">
        <v>0</v>
      </c>
      <c r="J3712" s="28"/>
    </row>
    <row r="3713" spans="1:10" ht="15.75" customHeight="1">
      <c r="A3713" s="28">
        <v>16249</v>
      </c>
      <c r="B3713" s="91">
        <v>44829.572962962964</v>
      </c>
      <c r="C3713" s="28" t="s">
        <v>10</v>
      </c>
      <c r="D3713" s="28" t="s">
        <v>1369</v>
      </c>
      <c r="E3713" s="28"/>
      <c r="F3713" s="28">
        <v>10</v>
      </c>
      <c r="G3713" s="28" t="s">
        <v>286</v>
      </c>
      <c r="H3713" s="28">
        <v>0</v>
      </c>
      <c r="J3713" s="28"/>
    </row>
    <row r="3714" spans="1:10" ht="15.75" customHeight="1">
      <c r="A3714" s="28">
        <v>16248</v>
      </c>
      <c r="B3714" s="91">
        <v>44829.555995370371</v>
      </c>
      <c r="C3714" s="28" t="s">
        <v>10</v>
      </c>
      <c r="D3714" s="28" t="s">
        <v>503</v>
      </c>
      <c r="E3714" s="28"/>
      <c r="F3714" s="28">
        <v>20</v>
      </c>
      <c r="G3714" s="28" t="s">
        <v>205</v>
      </c>
      <c r="H3714" s="28">
        <v>0</v>
      </c>
      <c r="J3714" s="28"/>
    </row>
    <row r="3715" spans="1:10" ht="15.75" customHeight="1">
      <c r="A3715" s="28">
        <v>16248</v>
      </c>
      <c r="B3715" s="91">
        <v>44829.555995370371</v>
      </c>
      <c r="C3715" s="28" t="s">
        <v>10</v>
      </c>
      <c r="D3715" s="28" t="s">
        <v>503</v>
      </c>
      <c r="E3715" s="28"/>
      <c r="F3715" s="28">
        <v>0</v>
      </c>
      <c r="G3715" s="28" t="s">
        <v>125</v>
      </c>
      <c r="H3715" s="28">
        <v>0</v>
      </c>
      <c r="J3715" s="28"/>
    </row>
    <row r="3716" spans="1:10" ht="15.75" customHeight="1">
      <c r="A3716" s="28">
        <v>16248</v>
      </c>
      <c r="B3716" s="91">
        <v>44829.555995370371</v>
      </c>
      <c r="C3716" s="28" t="s">
        <v>10</v>
      </c>
      <c r="D3716" s="28" t="s">
        <v>503</v>
      </c>
      <c r="E3716" s="28"/>
      <c r="F3716" s="28">
        <v>50</v>
      </c>
      <c r="G3716" s="28" t="s">
        <v>297</v>
      </c>
      <c r="H3716" s="28">
        <v>0</v>
      </c>
      <c r="J3716" s="28"/>
    </row>
    <row r="3717" spans="1:10" ht="15.75" customHeight="1">
      <c r="A3717" s="28">
        <v>16247</v>
      </c>
      <c r="B3717" s="91">
        <v>44829.551550925928</v>
      </c>
      <c r="C3717" s="28" t="s">
        <v>10</v>
      </c>
      <c r="D3717" s="28" t="s">
        <v>1370</v>
      </c>
      <c r="E3717" s="28"/>
      <c r="F3717" s="28">
        <v>35</v>
      </c>
      <c r="G3717" s="28" t="s">
        <v>124</v>
      </c>
      <c r="H3717" s="28">
        <v>0</v>
      </c>
      <c r="J3717" s="28"/>
    </row>
    <row r="3718" spans="1:10" ht="15.75" customHeight="1">
      <c r="A3718" s="28">
        <v>16247</v>
      </c>
      <c r="B3718" s="91">
        <v>44829.551550925928</v>
      </c>
      <c r="C3718" s="28" t="s">
        <v>10</v>
      </c>
      <c r="D3718" s="28" t="s">
        <v>1370</v>
      </c>
      <c r="E3718" s="28"/>
      <c r="F3718" s="28">
        <v>0</v>
      </c>
      <c r="G3718" s="28" t="s">
        <v>125</v>
      </c>
      <c r="H3718" s="28">
        <v>0</v>
      </c>
      <c r="J3718" s="28"/>
    </row>
    <row r="3719" spans="1:10" ht="15.75" customHeight="1">
      <c r="A3719" s="28">
        <v>16247</v>
      </c>
      <c r="B3719" s="91">
        <v>44829.551550925928</v>
      </c>
      <c r="C3719" s="28" t="s">
        <v>10</v>
      </c>
      <c r="D3719" s="28" t="s">
        <v>1370</v>
      </c>
      <c r="E3719" s="28"/>
      <c r="F3719" s="28">
        <v>0</v>
      </c>
      <c r="G3719" s="28" t="s">
        <v>121</v>
      </c>
      <c r="H3719" s="28">
        <v>0</v>
      </c>
      <c r="J3719" s="28"/>
    </row>
    <row r="3720" spans="1:10" ht="15.75" customHeight="1">
      <c r="A3720" s="28">
        <v>16247</v>
      </c>
      <c r="B3720" s="91">
        <v>44829.551550925928</v>
      </c>
      <c r="C3720" s="28" t="s">
        <v>10</v>
      </c>
      <c r="D3720" s="28" t="s">
        <v>1370</v>
      </c>
      <c r="E3720" s="28"/>
      <c r="F3720" s="28">
        <v>0</v>
      </c>
      <c r="G3720" s="28" t="s">
        <v>139</v>
      </c>
      <c r="H3720" s="28">
        <v>0</v>
      </c>
      <c r="J3720" s="28"/>
    </row>
    <row r="3721" spans="1:10" ht="15.75" customHeight="1">
      <c r="A3721" s="28">
        <v>16246</v>
      </c>
      <c r="B3721" s="91">
        <v>44829.547696759255</v>
      </c>
      <c r="C3721" s="28" t="s">
        <v>10</v>
      </c>
      <c r="D3721" s="28" t="s">
        <v>1371</v>
      </c>
      <c r="E3721" s="28"/>
      <c r="F3721" s="28">
        <v>35</v>
      </c>
      <c r="G3721" s="28" t="s">
        <v>124</v>
      </c>
      <c r="H3721" s="28">
        <v>0</v>
      </c>
      <c r="J3721" s="28"/>
    </row>
    <row r="3722" spans="1:10" ht="15.75" customHeight="1">
      <c r="A3722" s="28">
        <v>16246</v>
      </c>
      <c r="B3722" s="91">
        <v>44829.547696759255</v>
      </c>
      <c r="C3722" s="28" t="s">
        <v>10</v>
      </c>
      <c r="D3722" s="28" t="s">
        <v>1371</v>
      </c>
      <c r="E3722" s="28"/>
      <c r="F3722" s="28">
        <v>0</v>
      </c>
      <c r="G3722" s="28" t="s">
        <v>125</v>
      </c>
      <c r="H3722" s="28">
        <v>0</v>
      </c>
      <c r="J3722" s="28"/>
    </row>
    <row r="3723" spans="1:10" ht="15.75" customHeight="1">
      <c r="A3723" s="28">
        <v>16246</v>
      </c>
      <c r="B3723" s="91">
        <v>44829.547696759255</v>
      </c>
      <c r="C3723" s="28" t="s">
        <v>10</v>
      </c>
      <c r="D3723" s="28" t="s">
        <v>1371</v>
      </c>
      <c r="E3723" s="28"/>
      <c r="F3723" s="28">
        <v>0</v>
      </c>
      <c r="G3723" s="28" t="s">
        <v>121</v>
      </c>
      <c r="H3723" s="28">
        <v>0</v>
      </c>
      <c r="J3723" s="28"/>
    </row>
    <row r="3724" spans="1:10" ht="15.75" customHeight="1">
      <c r="A3724" s="28">
        <v>16246</v>
      </c>
      <c r="B3724" s="91">
        <v>44829.547696759255</v>
      </c>
      <c r="C3724" s="28" t="s">
        <v>10</v>
      </c>
      <c r="D3724" s="28" t="s">
        <v>1371</v>
      </c>
      <c r="E3724" s="28"/>
      <c r="F3724" s="28">
        <v>0</v>
      </c>
      <c r="G3724" s="28" t="s">
        <v>139</v>
      </c>
      <c r="H3724" s="28">
        <v>0</v>
      </c>
      <c r="J3724" s="28"/>
    </row>
    <row r="3725" spans="1:10" ht="15.75" customHeight="1">
      <c r="A3725" s="28">
        <v>16245</v>
      </c>
      <c r="B3725" s="91">
        <v>44829.547372685185</v>
      </c>
      <c r="C3725" s="28" t="s">
        <v>10</v>
      </c>
      <c r="D3725" s="28" t="s">
        <v>1372</v>
      </c>
      <c r="E3725" s="28"/>
      <c r="F3725" s="28">
        <v>70</v>
      </c>
      <c r="G3725" s="28" t="s">
        <v>124</v>
      </c>
      <c r="H3725" s="28">
        <v>0</v>
      </c>
      <c r="J3725" s="28"/>
    </row>
    <row r="3726" spans="1:10" ht="15.75" customHeight="1">
      <c r="A3726" s="28">
        <v>16245</v>
      </c>
      <c r="B3726" s="91">
        <v>44829.547372685185</v>
      </c>
      <c r="C3726" s="28" t="s">
        <v>10</v>
      </c>
      <c r="D3726" s="28" t="s">
        <v>1372</v>
      </c>
      <c r="E3726" s="28"/>
      <c r="F3726" s="28">
        <v>0</v>
      </c>
      <c r="G3726" s="28" t="s">
        <v>125</v>
      </c>
      <c r="H3726" s="28">
        <v>0</v>
      </c>
      <c r="J3726" s="28"/>
    </row>
    <row r="3727" spans="1:10" ht="15.75" customHeight="1">
      <c r="A3727" s="28">
        <v>16245</v>
      </c>
      <c r="B3727" s="91">
        <v>44829.547372685185</v>
      </c>
      <c r="C3727" s="28" t="s">
        <v>10</v>
      </c>
      <c r="D3727" s="28" t="s">
        <v>1372</v>
      </c>
      <c r="E3727" s="28"/>
      <c r="F3727" s="28">
        <v>0</v>
      </c>
      <c r="G3727" s="28" t="s">
        <v>121</v>
      </c>
      <c r="H3727" s="28">
        <v>0</v>
      </c>
      <c r="J3727" s="28"/>
    </row>
    <row r="3728" spans="1:10" ht="15.75" customHeight="1">
      <c r="A3728" s="28">
        <v>16245</v>
      </c>
      <c r="B3728" s="91">
        <v>44829.547372685185</v>
      </c>
      <c r="C3728" s="28" t="s">
        <v>10</v>
      </c>
      <c r="D3728" s="28" t="s">
        <v>1372</v>
      </c>
      <c r="E3728" s="28"/>
      <c r="F3728" s="28">
        <v>0</v>
      </c>
      <c r="G3728" s="28" t="s">
        <v>139</v>
      </c>
      <c r="H3728" s="28">
        <v>0</v>
      </c>
      <c r="J3728" s="28"/>
    </row>
    <row r="3729" spans="1:10" ht="15.75" customHeight="1">
      <c r="A3729" s="28">
        <v>16244</v>
      </c>
      <c r="B3729" s="91">
        <v>44829.546168981484</v>
      </c>
      <c r="C3729" s="28" t="s">
        <v>10</v>
      </c>
      <c r="D3729" s="28" t="s">
        <v>1373</v>
      </c>
      <c r="E3729" s="28"/>
      <c r="F3729" s="28">
        <v>25</v>
      </c>
      <c r="G3729" s="28">
        <v>100692</v>
      </c>
      <c r="H3729" s="28">
        <v>0</v>
      </c>
      <c r="J3729" s="28"/>
    </row>
    <row r="3730" spans="1:10" ht="15.75" customHeight="1">
      <c r="A3730" s="28">
        <v>16244</v>
      </c>
      <c r="B3730" s="91">
        <v>44829.546168981484</v>
      </c>
      <c r="C3730" s="28" t="s">
        <v>10</v>
      </c>
      <c r="D3730" s="28" t="s">
        <v>1373</v>
      </c>
      <c r="E3730" s="28"/>
      <c r="F3730" s="28">
        <v>0</v>
      </c>
      <c r="G3730" s="28" t="s">
        <v>125</v>
      </c>
      <c r="H3730" s="28">
        <v>0</v>
      </c>
      <c r="J3730" s="28"/>
    </row>
    <row r="3731" spans="1:10" ht="15.75" customHeight="1">
      <c r="A3731" s="28">
        <v>16244</v>
      </c>
      <c r="B3731" s="91">
        <v>44829.546168981484</v>
      </c>
      <c r="C3731" s="28" t="s">
        <v>10</v>
      </c>
      <c r="D3731" s="28" t="s">
        <v>1373</v>
      </c>
      <c r="E3731" s="28"/>
      <c r="F3731" s="28">
        <v>0</v>
      </c>
      <c r="G3731" s="28" t="s">
        <v>119</v>
      </c>
      <c r="H3731" s="28">
        <v>0</v>
      </c>
      <c r="J3731" s="28"/>
    </row>
    <row r="3732" spans="1:10" ht="15.75" customHeight="1">
      <c r="A3732" s="28">
        <v>16243</v>
      </c>
      <c r="B3732" s="91">
        <v>44829.537280092598</v>
      </c>
      <c r="C3732" s="28" t="s">
        <v>10</v>
      </c>
      <c r="D3732" s="28" t="s">
        <v>1374</v>
      </c>
      <c r="E3732" s="28"/>
      <c r="F3732" s="28">
        <v>20</v>
      </c>
      <c r="G3732" s="28" t="s">
        <v>261</v>
      </c>
      <c r="H3732" s="28">
        <v>0</v>
      </c>
      <c r="J3732" s="28"/>
    </row>
    <row r="3733" spans="1:10" ht="15.75" customHeight="1">
      <c r="A3733" s="28">
        <v>16242</v>
      </c>
      <c r="B3733" s="91">
        <v>44829.537083333329</v>
      </c>
      <c r="C3733" s="28" t="s">
        <v>10</v>
      </c>
      <c r="D3733" s="28" t="s">
        <v>1375</v>
      </c>
      <c r="E3733" s="28"/>
      <c r="F3733" s="28">
        <v>25</v>
      </c>
      <c r="G3733" s="28">
        <v>100692</v>
      </c>
      <c r="H3733" s="28">
        <v>0</v>
      </c>
      <c r="J3733" s="28"/>
    </row>
    <row r="3734" spans="1:10" ht="15.75" customHeight="1">
      <c r="A3734" s="28">
        <v>16242</v>
      </c>
      <c r="B3734" s="91">
        <v>44829.537083333329</v>
      </c>
      <c r="C3734" s="28" t="s">
        <v>10</v>
      </c>
      <c r="D3734" s="28" t="s">
        <v>1375</v>
      </c>
      <c r="E3734" s="28"/>
      <c r="F3734" s="28">
        <v>0</v>
      </c>
      <c r="G3734" s="28" t="s">
        <v>125</v>
      </c>
      <c r="H3734" s="28">
        <v>0</v>
      </c>
      <c r="J3734" s="28"/>
    </row>
    <row r="3735" spans="1:10" ht="15.75" customHeight="1">
      <c r="A3735" s="28">
        <v>16242</v>
      </c>
      <c r="B3735" s="91">
        <v>44829.537083333329</v>
      </c>
      <c r="C3735" s="28" t="s">
        <v>10</v>
      </c>
      <c r="D3735" s="28" t="s">
        <v>1375</v>
      </c>
      <c r="E3735" s="28"/>
      <c r="F3735" s="28">
        <v>0</v>
      </c>
      <c r="G3735" s="28" t="s">
        <v>119</v>
      </c>
      <c r="H3735" s="28">
        <v>0</v>
      </c>
      <c r="J3735" s="28"/>
    </row>
    <row r="3736" spans="1:10" ht="15.75" customHeight="1">
      <c r="A3736" s="28">
        <v>16241</v>
      </c>
      <c r="B3736" s="91">
        <v>44829.534710648149</v>
      </c>
      <c r="C3736" s="28" t="s">
        <v>10</v>
      </c>
      <c r="D3736" s="28" t="s">
        <v>1376</v>
      </c>
      <c r="E3736" s="28"/>
      <c r="F3736" s="28">
        <v>25</v>
      </c>
      <c r="G3736" s="28">
        <v>100692</v>
      </c>
      <c r="H3736" s="28">
        <v>0</v>
      </c>
      <c r="J3736" s="28"/>
    </row>
    <row r="3737" spans="1:10" ht="15.75" customHeight="1">
      <c r="A3737" s="28">
        <v>16241</v>
      </c>
      <c r="B3737" s="91">
        <v>44829.534710648149</v>
      </c>
      <c r="C3737" s="28" t="s">
        <v>10</v>
      </c>
      <c r="D3737" s="28" t="s">
        <v>1376</v>
      </c>
      <c r="E3737" s="28"/>
      <c r="F3737" s="28">
        <v>0</v>
      </c>
      <c r="G3737" s="28" t="s">
        <v>125</v>
      </c>
      <c r="H3737" s="28">
        <v>0</v>
      </c>
      <c r="J3737" s="28"/>
    </row>
    <row r="3738" spans="1:10" ht="15.75" customHeight="1">
      <c r="A3738" s="28">
        <v>16241</v>
      </c>
      <c r="B3738" s="91">
        <v>44829.534710648149</v>
      </c>
      <c r="C3738" s="28" t="s">
        <v>10</v>
      </c>
      <c r="D3738" s="28" t="s">
        <v>1376</v>
      </c>
      <c r="E3738" s="28"/>
      <c r="F3738" s="28">
        <v>0</v>
      </c>
      <c r="G3738" s="28" t="s">
        <v>119</v>
      </c>
      <c r="H3738" s="28">
        <v>0</v>
      </c>
      <c r="J3738" s="28"/>
    </row>
    <row r="3739" spans="1:10" ht="15.75" customHeight="1">
      <c r="A3739" s="28">
        <v>16241</v>
      </c>
      <c r="B3739" s="91">
        <v>44829.534710648149</v>
      </c>
      <c r="C3739" s="28" t="s">
        <v>10</v>
      </c>
      <c r="D3739" s="28" t="s">
        <v>1376</v>
      </c>
      <c r="E3739" s="28"/>
      <c r="F3739" s="28">
        <v>20</v>
      </c>
      <c r="G3739" s="28" t="s">
        <v>205</v>
      </c>
      <c r="H3739" s="28">
        <v>0</v>
      </c>
      <c r="J3739" s="28"/>
    </row>
    <row r="3740" spans="1:10" ht="15.75" customHeight="1">
      <c r="A3740" s="28">
        <v>16241</v>
      </c>
      <c r="B3740" s="91">
        <v>44829.534710648149</v>
      </c>
      <c r="C3740" s="28" t="s">
        <v>10</v>
      </c>
      <c r="D3740" s="28" t="s">
        <v>1376</v>
      </c>
      <c r="E3740" s="28"/>
      <c r="F3740" s="28">
        <v>0</v>
      </c>
      <c r="G3740" s="28" t="s">
        <v>125</v>
      </c>
      <c r="H3740" s="28">
        <v>0</v>
      </c>
      <c r="J3740" s="28"/>
    </row>
    <row r="3741" spans="1:10" ht="15.75" customHeight="1">
      <c r="A3741" s="28">
        <v>16240</v>
      </c>
      <c r="B3741" s="91">
        <v>44829.533321759256</v>
      </c>
      <c r="C3741" s="28" t="s">
        <v>10</v>
      </c>
      <c r="D3741" s="28" t="s">
        <v>1377</v>
      </c>
      <c r="E3741" s="28"/>
      <c r="F3741" s="28">
        <v>25</v>
      </c>
      <c r="G3741" s="28">
        <v>100692</v>
      </c>
      <c r="H3741" s="28">
        <v>0</v>
      </c>
      <c r="J3741" s="28"/>
    </row>
    <row r="3742" spans="1:10" ht="15.75" customHeight="1">
      <c r="A3742" s="28">
        <v>16240</v>
      </c>
      <c r="B3742" s="91">
        <v>44829.533321759256</v>
      </c>
      <c r="C3742" s="28" t="s">
        <v>10</v>
      </c>
      <c r="D3742" s="28" t="s">
        <v>1377</v>
      </c>
      <c r="E3742" s="28"/>
      <c r="F3742" s="28">
        <v>0</v>
      </c>
      <c r="G3742" s="28" t="s">
        <v>125</v>
      </c>
      <c r="H3742" s="28">
        <v>0</v>
      </c>
      <c r="J3742" s="28"/>
    </row>
    <row r="3743" spans="1:10" ht="15.75" customHeight="1">
      <c r="A3743" s="28">
        <v>16240</v>
      </c>
      <c r="B3743" s="91">
        <v>44829.533321759256</v>
      </c>
      <c r="C3743" s="28" t="s">
        <v>10</v>
      </c>
      <c r="D3743" s="28" t="s">
        <v>1377</v>
      </c>
      <c r="E3743" s="28"/>
      <c r="F3743" s="28">
        <v>0</v>
      </c>
      <c r="G3743" s="28" t="s">
        <v>119</v>
      </c>
      <c r="H3743" s="28">
        <v>0</v>
      </c>
      <c r="J3743" s="28"/>
    </row>
    <row r="3744" spans="1:10" ht="15.75" customHeight="1">
      <c r="A3744" s="28">
        <v>16240</v>
      </c>
      <c r="B3744" s="91">
        <v>44829.533321759256</v>
      </c>
      <c r="C3744" s="28" t="s">
        <v>10</v>
      </c>
      <c r="D3744" s="28" t="s">
        <v>1377</v>
      </c>
      <c r="E3744" s="28"/>
      <c r="F3744" s="28">
        <v>28</v>
      </c>
      <c r="G3744" s="28" t="s">
        <v>143</v>
      </c>
      <c r="H3744" s="28">
        <v>0</v>
      </c>
      <c r="J3744" s="28"/>
    </row>
    <row r="3745" spans="1:10" ht="15.75" customHeight="1">
      <c r="A3745" s="28">
        <v>16239</v>
      </c>
      <c r="B3745" s="91">
        <v>44829.524710648147</v>
      </c>
      <c r="C3745" s="28" t="s">
        <v>10</v>
      </c>
      <c r="D3745" s="28" t="s">
        <v>1378</v>
      </c>
      <c r="E3745" s="28"/>
      <c r="F3745" s="28">
        <v>28</v>
      </c>
      <c r="G3745" s="28" t="s">
        <v>143</v>
      </c>
      <c r="H3745" s="28">
        <v>0</v>
      </c>
      <c r="J3745" s="28"/>
    </row>
    <row r="3746" spans="1:10" ht="15.75" customHeight="1">
      <c r="A3746" s="28">
        <v>16238</v>
      </c>
      <c r="B3746" s="91">
        <v>44829.523148148146</v>
      </c>
      <c r="C3746" s="28" t="s">
        <v>10</v>
      </c>
      <c r="D3746" s="28" t="s">
        <v>1379</v>
      </c>
      <c r="E3746" s="28"/>
      <c r="F3746" s="28">
        <v>20</v>
      </c>
      <c r="G3746" s="28" t="s">
        <v>261</v>
      </c>
      <c r="H3746" s="28">
        <v>0</v>
      </c>
      <c r="J3746" s="28"/>
    </row>
    <row r="3747" spans="1:10" ht="15.75" customHeight="1">
      <c r="A3747" s="28">
        <v>16237</v>
      </c>
      <c r="B3747" s="91">
        <v>44829.522673611107</v>
      </c>
      <c r="C3747" s="28" t="s">
        <v>10</v>
      </c>
      <c r="D3747" s="28" t="s">
        <v>1380</v>
      </c>
      <c r="E3747" s="28"/>
      <c r="F3747" s="28">
        <v>30</v>
      </c>
      <c r="G3747" s="28" t="s">
        <v>125</v>
      </c>
      <c r="H3747" s="28">
        <v>0</v>
      </c>
      <c r="J3747" s="28"/>
    </row>
    <row r="3748" spans="1:10" ht="15.75" customHeight="1">
      <c r="A3748" s="28">
        <v>16237</v>
      </c>
      <c r="B3748" s="91">
        <v>44829.522673611107</v>
      </c>
      <c r="C3748" s="28" t="s">
        <v>10</v>
      </c>
      <c r="D3748" s="28" t="s">
        <v>1380</v>
      </c>
      <c r="E3748" s="28"/>
      <c r="F3748" s="28">
        <v>15</v>
      </c>
      <c r="G3748" s="28"/>
      <c r="H3748" s="28">
        <v>0</v>
      </c>
      <c r="J3748" s="28"/>
    </row>
    <row r="3749" spans="1:10" ht="15.75" customHeight="1">
      <c r="A3749" s="28">
        <v>16236</v>
      </c>
      <c r="B3749" s="91">
        <v>44829.518877314811</v>
      </c>
      <c r="C3749" s="28" t="s">
        <v>10</v>
      </c>
      <c r="D3749" s="28" t="s">
        <v>1381</v>
      </c>
      <c r="E3749" s="28"/>
      <c r="F3749" s="28">
        <v>25</v>
      </c>
      <c r="G3749" s="28">
        <v>100692</v>
      </c>
      <c r="H3749" s="28">
        <v>0</v>
      </c>
      <c r="J3749" s="28"/>
    </row>
    <row r="3750" spans="1:10" ht="15.75" customHeight="1">
      <c r="A3750" s="28">
        <v>16236</v>
      </c>
      <c r="B3750" s="91">
        <v>44829.518877314811</v>
      </c>
      <c r="C3750" s="28" t="s">
        <v>10</v>
      </c>
      <c r="D3750" s="28" t="s">
        <v>1381</v>
      </c>
      <c r="E3750" s="28"/>
      <c r="F3750" s="28">
        <v>0</v>
      </c>
      <c r="G3750" s="28" t="s">
        <v>125</v>
      </c>
      <c r="H3750" s="28">
        <v>0</v>
      </c>
      <c r="J3750" s="28"/>
    </row>
    <row r="3751" spans="1:10" ht="15.75" customHeight="1">
      <c r="A3751" s="28">
        <v>16236</v>
      </c>
      <c r="B3751" s="91">
        <v>44829.518877314811</v>
      </c>
      <c r="C3751" s="28" t="s">
        <v>10</v>
      </c>
      <c r="D3751" s="28" t="s">
        <v>1381</v>
      </c>
      <c r="E3751" s="28"/>
      <c r="F3751" s="28">
        <v>0</v>
      </c>
      <c r="G3751" s="28" t="s">
        <v>119</v>
      </c>
      <c r="H3751" s="28">
        <v>0</v>
      </c>
      <c r="J3751" s="28"/>
    </row>
    <row r="3752" spans="1:10" ht="15.75" customHeight="1">
      <c r="A3752" s="28">
        <v>16235</v>
      </c>
      <c r="B3752" s="91">
        <v>44829.512395833328</v>
      </c>
      <c r="C3752" s="28" t="s">
        <v>10</v>
      </c>
      <c r="D3752" s="28" t="s">
        <v>1382</v>
      </c>
      <c r="E3752" s="28"/>
      <c r="F3752" s="28">
        <v>55</v>
      </c>
      <c r="G3752" s="28">
        <v>101684</v>
      </c>
      <c r="H3752" s="28">
        <v>0</v>
      </c>
      <c r="J3752" s="28"/>
    </row>
    <row r="3753" spans="1:10" ht="15.75" customHeight="1">
      <c r="A3753" s="28">
        <v>16235</v>
      </c>
      <c r="B3753" s="91">
        <v>44829.512395833328</v>
      </c>
      <c r="C3753" s="28" t="s">
        <v>10</v>
      </c>
      <c r="D3753" s="28" t="s">
        <v>1382</v>
      </c>
      <c r="E3753" s="28"/>
      <c r="F3753" s="28">
        <v>0</v>
      </c>
      <c r="G3753" s="28" t="s">
        <v>118</v>
      </c>
      <c r="H3753" s="28">
        <v>0</v>
      </c>
      <c r="J3753" s="28"/>
    </row>
    <row r="3754" spans="1:10" ht="15.75" customHeight="1">
      <c r="A3754" s="28">
        <v>16235</v>
      </c>
      <c r="B3754" s="91">
        <v>44829.512395833328</v>
      </c>
      <c r="C3754" s="28" t="s">
        <v>10</v>
      </c>
      <c r="D3754" s="28" t="s">
        <v>1382</v>
      </c>
      <c r="E3754" s="28"/>
      <c r="F3754" s="28">
        <v>0</v>
      </c>
      <c r="G3754" s="28" t="s">
        <v>119</v>
      </c>
      <c r="H3754" s="28">
        <v>0</v>
      </c>
      <c r="J3754" s="28"/>
    </row>
    <row r="3755" spans="1:10" ht="15.75" customHeight="1">
      <c r="A3755" s="28">
        <v>16235</v>
      </c>
      <c r="B3755" s="91">
        <v>44829.512395833328</v>
      </c>
      <c r="C3755" s="28" t="s">
        <v>10</v>
      </c>
      <c r="D3755" s="28" t="s">
        <v>1382</v>
      </c>
      <c r="E3755" s="28"/>
      <c r="F3755" s="28">
        <v>0</v>
      </c>
      <c r="G3755" s="28" t="s">
        <v>120</v>
      </c>
      <c r="H3755" s="28">
        <v>0</v>
      </c>
      <c r="J3755" s="28"/>
    </row>
    <row r="3756" spans="1:10" ht="15.75" customHeight="1">
      <c r="A3756" s="28">
        <v>16235</v>
      </c>
      <c r="B3756" s="91">
        <v>44829.512395833328</v>
      </c>
      <c r="C3756" s="28" t="s">
        <v>10</v>
      </c>
      <c r="D3756" s="28" t="s">
        <v>1382</v>
      </c>
      <c r="E3756" s="28"/>
      <c r="F3756" s="28">
        <v>0</v>
      </c>
      <c r="G3756" s="28" t="s">
        <v>121</v>
      </c>
      <c r="H3756" s="28">
        <v>0</v>
      </c>
      <c r="J3756" s="28"/>
    </row>
    <row r="3757" spans="1:10" ht="15.75" customHeight="1">
      <c r="A3757" s="28">
        <v>16234</v>
      </c>
      <c r="B3757" s="91">
        <v>44829.509918981479</v>
      </c>
      <c r="C3757" s="28" t="s">
        <v>10</v>
      </c>
      <c r="D3757" s="28" t="s">
        <v>1383</v>
      </c>
      <c r="E3757" s="28"/>
      <c r="F3757" s="28">
        <v>25</v>
      </c>
      <c r="G3757" s="28" t="s">
        <v>141</v>
      </c>
      <c r="H3757" s="28">
        <v>0</v>
      </c>
      <c r="J3757" s="28"/>
    </row>
    <row r="3758" spans="1:10" ht="15.75" customHeight="1">
      <c r="A3758" s="28">
        <v>16233</v>
      </c>
      <c r="B3758" s="91">
        <v>44829.509456018517</v>
      </c>
      <c r="C3758" s="28" t="s">
        <v>10</v>
      </c>
      <c r="D3758" s="28" t="s">
        <v>1384</v>
      </c>
      <c r="E3758" s="28"/>
      <c r="F3758" s="28">
        <v>25</v>
      </c>
      <c r="G3758" s="28">
        <v>100692</v>
      </c>
      <c r="H3758" s="28">
        <v>0</v>
      </c>
      <c r="J3758" s="28"/>
    </row>
    <row r="3759" spans="1:10" ht="15.75" customHeight="1">
      <c r="A3759" s="28">
        <v>16233</v>
      </c>
      <c r="B3759" s="91">
        <v>44829.509456018517</v>
      </c>
      <c r="C3759" s="28" t="s">
        <v>10</v>
      </c>
      <c r="D3759" s="28" t="s">
        <v>1384</v>
      </c>
      <c r="E3759" s="28"/>
      <c r="F3759" s="28">
        <v>0</v>
      </c>
      <c r="G3759" s="28" t="s">
        <v>125</v>
      </c>
      <c r="H3759" s="28">
        <v>0</v>
      </c>
      <c r="J3759" s="28"/>
    </row>
    <row r="3760" spans="1:10" ht="15.75" customHeight="1">
      <c r="A3760" s="28">
        <v>16233</v>
      </c>
      <c r="B3760" s="91">
        <v>44829.509456018517</v>
      </c>
      <c r="C3760" s="28" t="s">
        <v>10</v>
      </c>
      <c r="D3760" s="28" t="s">
        <v>1384</v>
      </c>
      <c r="E3760" s="28"/>
      <c r="F3760" s="28">
        <v>0</v>
      </c>
      <c r="G3760" s="28" t="s">
        <v>119</v>
      </c>
      <c r="H3760" s="28">
        <v>0</v>
      </c>
      <c r="J3760" s="28"/>
    </row>
    <row r="3761" spans="1:10" ht="15.75" customHeight="1">
      <c r="A3761" s="28">
        <v>16232</v>
      </c>
      <c r="B3761" s="91">
        <v>44829.50854166667</v>
      </c>
      <c r="C3761" s="28" t="s">
        <v>10</v>
      </c>
      <c r="D3761" s="28" t="s">
        <v>1385</v>
      </c>
      <c r="E3761" s="28"/>
      <c r="F3761" s="28">
        <v>25</v>
      </c>
      <c r="G3761" s="28">
        <v>100692</v>
      </c>
      <c r="H3761" s="28">
        <v>0</v>
      </c>
      <c r="J3761" s="28"/>
    </row>
    <row r="3762" spans="1:10" ht="15.75" customHeight="1">
      <c r="A3762" s="28">
        <v>16232</v>
      </c>
      <c r="B3762" s="91">
        <v>44829.50854166667</v>
      </c>
      <c r="C3762" s="28" t="s">
        <v>10</v>
      </c>
      <c r="D3762" s="28" t="s">
        <v>1385</v>
      </c>
      <c r="E3762" s="28"/>
      <c r="F3762" s="28">
        <v>0</v>
      </c>
      <c r="G3762" s="28" t="s">
        <v>125</v>
      </c>
      <c r="H3762" s="28">
        <v>0</v>
      </c>
      <c r="J3762" s="28"/>
    </row>
    <row r="3763" spans="1:10" ht="15.75" customHeight="1">
      <c r="A3763" s="28">
        <v>16232</v>
      </c>
      <c r="B3763" s="91">
        <v>44829.50854166667</v>
      </c>
      <c r="C3763" s="28" t="s">
        <v>10</v>
      </c>
      <c r="D3763" s="28" t="s">
        <v>1385</v>
      </c>
      <c r="E3763" s="28"/>
      <c r="F3763" s="28">
        <v>0</v>
      </c>
      <c r="G3763" s="28" t="s">
        <v>119</v>
      </c>
      <c r="H3763" s="28">
        <v>0</v>
      </c>
      <c r="J3763" s="28"/>
    </row>
    <row r="3764" spans="1:10" ht="15.75" customHeight="1">
      <c r="A3764" s="28">
        <v>16231</v>
      </c>
      <c r="B3764" s="91">
        <v>44829.508506944447</v>
      </c>
      <c r="C3764" s="28" t="s">
        <v>10</v>
      </c>
      <c r="D3764" s="28" t="s">
        <v>1386</v>
      </c>
      <c r="E3764" s="28"/>
      <c r="F3764" s="28">
        <v>55</v>
      </c>
      <c r="G3764" s="28">
        <v>101684</v>
      </c>
      <c r="H3764" s="28">
        <v>0</v>
      </c>
      <c r="J3764" s="28"/>
    </row>
    <row r="3765" spans="1:10" ht="15.75" customHeight="1">
      <c r="A3765" s="28">
        <v>16231</v>
      </c>
      <c r="B3765" s="91">
        <v>44829.508506944447</v>
      </c>
      <c r="C3765" s="28" t="s">
        <v>10</v>
      </c>
      <c r="D3765" s="28" t="s">
        <v>1386</v>
      </c>
      <c r="E3765" s="28"/>
      <c r="F3765" s="28">
        <v>0</v>
      </c>
      <c r="G3765" s="28" t="s">
        <v>118</v>
      </c>
      <c r="H3765" s="28">
        <v>0</v>
      </c>
      <c r="J3765" s="28"/>
    </row>
    <row r="3766" spans="1:10" ht="15.75" customHeight="1">
      <c r="A3766" s="28">
        <v>16231</v>
      </c>
      <c r="B3766" s="91">
        <v>44829.508506944447</v>
      </c>
      <c r="C3766" s="28" t="s">
        <v>10</v>
      </c>
      <c r="D3766" s="28" t="s">
        <v>1386</v>
      </c>
      <c r="E3766" s="28"/>
      <c r="F3766" s="28">
        <v>0</v>
      </c>
      <c r="G3766" s="28" t="s">
        <v>119</v>
      </c>
      <c r="H3766" s="28">
        <v>0</v>
      </c>
      <c r="J3766" s="28"/>
    </row>
    <row r="3767" spans="1:10" ht="15.75" customHeight="1">
      <c r="A3767" s="28">
        <v>16231</v>
      </c>
      <c r="B3767" s="91">
        <v>44829.508506944447</v>
      </c>
      <c r="C3767" s="28" t="s">
        <v>10</v>
      </c>
      <c r="D3767" s="28" t="s">
        <v>1386</v>
      </c>
      <c r="E3767" s="28"/>
      <c r="F3767" s="28">
        <v>0</v>
      </c>
      <c r="G3767" s="28" t="s">
        <v>120</v>
      </c>
      <c r="H3767" s="28">
        <v>0</v>
      </c>
      <c r="J3767" s="28"/>
    </row>
    <row r="3768" spans="1:10" ht="15.75" customHeight="1">
      <c r="A3768" s="28">
        <v>16231</v>
      </c>
      <c r="B3768" s="91">
        <v>44829.508506944447</v>
      </c>
      <c r="C3768" s="28" t="s">
        <v>10</v>
      </c>
      <c r="D3768" s="28" t="s">
        <v>1386</v>
      </c>
      <c r="E3768" s="28"/>
      <c r="F3768" s="28">
        <v>0</v>
      </c>
      <c r="G3768" s="28" t="s">
        <v>121</v>
      </c>
      <c r="H3768" s="28">
        <v>0</v>
      </c>
      <c r="J3768" s="28"/>
    </row>
    <row r="3769" spans="1:10" ht="15.75" customHeight="1">
      <c r="A3769" s="28">
        <v>16230</v>
      </c>
      <c r="B3769" s="91">
        <v>44829.50503472222</v>
      </c>
      <c r="C3769" s="28" t="s">
        <v>10</v>
      </c>
      <c r="D3769" s="28" t="s">
        <v>1387</v>
      </c>
      <c r="E3769" s="28"/>
      <c r="F3769" s="28">
        <v>25</v>
      </c>
      <c r="G3769" s="28">
        <v>100692</v>
      </c>
      <c r="H3769" s="28">
        <v>0</v>
      </c>
      <c r="J3769" s="28"/>
    </row>
    <row r="3770" spans="1:10" ht="15.75" customHeight="1">
      <c r="A3770" s="28">
        <v>16230</v>
      </c>
      <c r="B3770" s="91">
        <v>44829.50503472222</v>
      </c>
      <c r="C3770" s="28" t="s">
        <v>10</v>
      </c>
      <c r="D3770" s="28" t="s">
        <v>1387</v>
      </c>
      <c r="E3770" s="28"/>
      <c r="F3770" s="28">
        <v>0</v>
      </c>
      <c r="G3770" s="28" t="s">
        <v>125</v>
      </c>
      <c r="H3770" s="28">
        <v>0</v>
      </c>
      <c r="J3770" s="28"/>
    </row>
    <row r="3771" spans="1:10" ht="15.75" customHeight="1">
      <c r="A3771" s="28">
        <v>16230</v>
      </c>
      <c r="B3771" s="91">
        <v>44829.50503472222</v>
      </c>
      <c r="C3771" s="28" t="s">
        <v>10</v>
      </c>
      <c r="D3771" s="28" t="s">
        <v>1387</v>
      </c>
      <c r="E3771" s="28"/>
      <c r="F3771" s="28">
        <v>0</v>
      </c>
      <c r="G3771" s="28" t="s">
        <v>119</v>
      </c>
      <c r="H3771" s="28">
        <v>0</v>
      </c>
      <c r="J3771" s="28"/>
    </row>
    <row r="3772" spans="1:10" ht="15.75" customHeight="1">
      <c r="A3772" s="28">
        <v>16229</v>
      </c>
      <c r="B3772" s="91">
        <v>44829.476018518515</v>
      </c>
      <c r="C3772" s="28" t="s">
        <v>10</v>
      </c>
      <c r="D3772" s="28" t="s">
        <v>1388</v>
      </c>
      <c r="E3772" s="28"/>
      <c r="F3772" s="28">
        <v>55</v>
      </c>
      <c r="G3772" s="28">
        <v>101684</v>
      </c>
      <c r="H3772" s="28">
        <v>0</v>
      </c>
      <c r="J3772" s="28"/>
    </row>
    <row r="3773" spans="1:10" ht="15.75" customHeight="1">
      <c r="A3773" s="28">
        <v>16229</v>
      </c>
      <c r="B3773" s="91">
        <v>44829.476018518515</v>
      </c>
      <c r="C3773" s="28" t="s">
        <v>10</v>
      </c>
      <c r="D3773" s="28" t="s">
        <v>1388</v>
      </c>
      <c r="E3773" s="28"/>
      <c r="F3773" s="28">
        <v>0</v>
      </c>
      <c r="G3773" s="28" t="s">
        <v>118</v>
      </c>
      <c r="H3773" s="28">
        <v>0</v>
      </c>
      <c r="J3773" s="28"/>
    </row>
    <row r="3774" spans="1:10" ht="15.75" customHeight="1">
      <c r="A3774" s="28">
        <v>16229</v>
      </c>
      <c r="B3774" s="91">
        <v>44829.476018518515</v>
      </c>
      <c r="C3774" s="28" t="s">
        <v>10</v>
      </c>
      <c r="D3774" s="28" t="s">
        <v>1388</v>
      </c>
      <c r="E3774" s="28"/>
      <c r="F3774" s="28">
        <v>0</v>
      </c>
      <c r="G3774" s="28" t="s">
        <v>119</v>
      </c>
      <c r="H3774" s="28">
        <v>0</v>
      </c>
      <c r="J3774" s="28"/>
    </row>
    <row r="3775" spans="1:10" ht="15.75" customHeight="1">
      <c r="A3775" s="28">
        <v>16229</v>
      </c>
      <c r="B3775" s="91">
        <v>44829.476018518515</v>
      </c>
      <c r="C3775" s="28" t="s">
        <v>10</v>
      </c>
      <c r="D3775" s="28" t="s">
        <v>1388</v>
      </c>
      <c r="E3775" s="28"/>
      <c r="F3775" s="28">
        <v>0</v>
      </c>
      <c r="G3775" s="28" t="s">
        <v>120</v>
      </c>
      <c r="H3775" s="28">
        <v>0</v>
      </c>
      <c r="J3775" s="28"/>
    </row>
    <row r="3776" spans="1:10" ht="15.75" customHeight="1">
      <c r="A3776" s="28">
        <v>16229</v>
      </c>
      <c r="B3776" s="91">
        <v>44829.476018518515</v>
      </c>
      <c r="C3776" s="28" t="s">
        <v>10</v>
      </c>
      <c r="D3776" s="28" t="s">
        <v>1388</v>
      </c>
      <c r="E3776" s="28"/>
      <c r="F3776" s="28">
        <v>0</v>
      </c>
      <c r="G3776" s="28" t="s">
        <v>121</v>
      </c>
      <c r="H3776" s="28">
        <v>0</v>
      </c>
      <c r="J3776" s="28"/>
    </row>
    <row r="3777" spans="1:10" ht="15.75" customHeight="1">
      <c r="A3777" s="28">
        <v>16228</v>
      </c>
      <c r="B3777" s="91">
        <v>44829.114444444444</v>
      </c>
      <c r="C3777" s="28" t="s">
        <v>10</v>
      </c>
      <c r="D3777" s="28" t="s">
        <v>1389</v>
      </c>
      <c r="E3777" s="28"/>
      <c r="F3777" s="28">
        <v>55</v>
      </c>
      <c r="G3777" s="28">
        <v>101684</v>
      </c>
      <c r="H3777" s="28">
        <v>0</v>
      </c>
      <c r="J3777" s="28"/>
    </row>
    <row r="3778" spans="1:10" ht="15.75" customHeight="1">
      <c r="A3778" s="28">
        <v>16228</v>
      </c>
      <c r="B3778" s="91">
        <v>44829.114444444444</v>
      </c>
      <c r="C3778" s="28" t="s">
        <v>10</v>
      </c>
      <c r="D3778" s="28" t="s">
        <v>1389</v>
      </c>
      <c r="E3778" s="28"/>
      <c r="F3778" s="28">
        <v>0</v>
      </c>
      <c r="G3778" s="28" t="s">
        <v>118</v>
      </c>
      <c r="H3778" s="28">
        <v>0</v>
      </c>
      <c r="J3778" s="28"/>
    </row>
    <row r="3779" spans="1:10" ht="15.75" customHeight="1">
      <c r="A3779" s="28">
        <v>16228</v>
      </c>
      <c r="B3779" s="91">
        <v>44829.114444444444</v>
      </c>
      <c r="C3779" s="28" t="s">
        <v>10</v>
      </c>
      <c r="D3779" s="28" t="s">
        <v>1389</v>
      </c>
      <c r="E3779" s="28"/>
      <c r="F3779" s="28">
        <v>0</v>
      </c>
      <c r="G3779" s="28" t="s">
        <v>119</v>
      </c>
      <c r="H3779" s="28">
        <v>0</v>
      </c>
      <c r="J3779" s="28"/>
    </row>
    <row r="3780" spans="1:10" ht="15.75" customHeight="1">
      <c r="A3780" s="28">
        <v>16228</v>
      </c>
      <c r="B3780" s="91">
        <v>44829.114444444444</v>
      </c>
      <c r="C3780" s="28" t="s">
        <v>10</v>
      </c>
      <c r="D3780" s="28" t="s">
        <v>1389</v>
      </c>
      <c r="E3780" s="28"/>
      <c r="F3780" s="28">
        <v>0</v>
      </c>
      <c r="G3780" s="28" t="s">
        <v>120</v>
      </c>
      <c r="H3780" s="28">
        <v>0</v>
      </c>
      <c r="J3780" s="28"/>
    </row>
    <row r="3781" spans="1:10" ht="15.75" customHeight="1">
      <c r="A3781" s="28">
        <v>16228</v>
      </c>
      <c r="B3781" s="91">
        <v>44829.114444444444</v>
      </c>
      <c r="C3781" s="28" t="s">
        <v>10</v>
      </c>
      <c r="D3781" s="28" t="s">
        <v>1389</v>
      </c>
      <c r="E3781" s="28"/>
      <c r="F3781" s="28">
        <v>0</v>
      </c>
      <c r="G3781" s="28" t="s">
        <v>121</v>
      </c>
      <c r="H3781" s="28">
        <v>0</v>
      </c>
      <c r="J3781" s="28"/>
    </row>
    <row r="3782" spans="1:10" ht="15.75" customHeight="1">
      <c r="A3782" s="28">
        <v>16227</v>
      </c>
      <c r="B3782" s="91">
        <v>44829.067719907413</v>
      </c>
      <c r="C3782" s="28" t="s">
        <v>10</v>
      </c>
      <c r="D3782" s="28" t="s">
        <v>1390</v>
      </c>
      <c r="E3782" s="28"/>
      <c r="F3782" s="28">
        <v>15</v>
      </c>
      <c r="G3782" s="28" t="s">
        <v>125</v>
      </c>
      <c r="H3782" s="28">
        <v>0</v>
      </c>
      <c r="J3782" s="28"/>
    </row>
    <row r="3783" spans="1:10" ht="15.75" customHeight="1">
      <c r="A3783" s="28">
        <v>16227</v>
      </c>
      <c r="B3783" s="91">
        <v>44829.067719907413</v>
      </c>
      <c r="C3783" s="28" t="s">
        <v>10</v>
      </c>
      <c r="D3783" s="28" t="s">
        <v>1390</v>
      </c>
      <c r="E3783" s="28"/>
      <c r="F3783" s="28">
        <v>18</v>
      </c>
      <c r="G3783" s="28" t="s">
        <v>119</v>
      </c>
      <c r="H3783" s="28">
        <v>0</v>
      </c>
      <c r="J3783" s="28"/>
    </row>
    <row r="3784" spans="1:10" ht="15.75" customHeight="1">
      <c r="A3784" s="28">
        <v>16226</v>
      </c>
      <c r="B3784" s="91">
        <v>44829.048148148147</v>
      </c>
      <c r="C3784" s="28" t="s">
        <v>10</v>
      </c>
      <c r="D3784" s="28" t="s">
        <v>1391</v>
      </c>
      <c r="E3784" s="28"/>
      <c r="F3784" s="28">
        <v>55</v>
      </c>
      <c r="G3784" s="28">
        <v>101684</v>
      </c>
      <c r="H3784" s="28">
        <v>0</v>
      </c>
      <c r="J3784" s="28"/>
    </row>
    <row r="3785" spans="1:10" ht="15.75" customHeight="1">
      <c r="A3785" s="28">
        <v>16226</v>
      </c>
      <c r="B3785" s="91">
        <v>44829.048148148147</v>
      </c>
      <c r="C3785" s="28" t="s">
        <v>10</v>
      </c>
      <c r="D3785" s="28" t="s">
        <v>1391</v>
      </c>
      <c r="E3785" s="28"/>
      <c r="F3785" s="28">
        <v>0</v>
      </c>
      <c r="G3785" s="28" t="s">
        <v>118</v>
      </c>
      <c r="H3785" s="28">
        <v>0</v>
      </c>
      <c r="J3785" s="28"/>
    </row>
    <row r="3786" spans="1:10" ht="15.75" customHeight="1">
      <c r="A3786" s="28">
        <v>16226</v>
      </c>
      <c r="B3786" s="91">
        <v>44829.048148148147</v>
      </c>
      <c r="C3786" s="28" t="s">
        <v>10</v>
      </c>
      <c r="D3786" s="28" t="s">
        <v>1391</v>
      </c>
      <c r="E3786" s="28"/>
      <c r="F3786" s="28">
        <v>0</v>
      </c>
      <c r="G3786" s="28" t="s">
        <v>119</v>
      </c>
      <c r="H3786" s="28">
        <v>0</v>
      </c>
      <c r="J3786" s="28"/>
    </row>
    <row r="3787" spans="1:10" ht="15.75" customHeight="1">
      <c r="A3787" s="28">
        <v>16226</v>
      </c>
      <c r="B3787" s="91">
        <v>44829.048148148147</v>
      </c>
      <c r="C3787" s="28" t="s">
        <v>10</v>
      </c>
      <c r="D3787" s="28" t="s">
        <v>1391</v>
      </c>
      <c r="E3787" s="28"/>
      <c r="F3787" s="28">
        <v>0</v>
      </c>
      <c r="G3787" s="28" t="s">
        <v>120</v>
      </c>
      <c r="H3787" s="28">
        <v>0</v>
      </c>
      <c r="J3787" s="28"/>
    </row>
    <row r="3788" spans="1:10" ht="15.75" customHeight="1">
      <c r="A3788" s="28">
        <v>16226</v>
      </c>
      <c r="B3788" s="91">
        <v>44829.048148148147</v>
      </c>
      <c r="C3788" s="28" t="s">
        <v>10</v>
      </c>
      <c r="D3788" s="28" t="s">
        <v>1391</v>
      </c>
      <c r="E3788" s="28"/>
      <c r="F3788" s="28">
        <v>0</v>
      </c>
      <c r="G3788" s="28" t="s">
        <v>121</v>
      </c>
      <c r="H3788" s="28">
        <v>0</v>
      </c>
      <c r="J3788" s="28"/>
    </row>
    <row r="3789" spans="1:10" ht="15.75" customHeight="1">
      <c r="A3789" s="28">
        <v>16225</v>
      </c>
      <c r="B3789" s="91">
        <v>44829.027037037042</v>
      </c>
      <c r="C3789" s="28" t="s">
        <v>10</v>
      </c>
      <c r="D3789" s="28" t="s">
        <v>1392</v>
      </c>
      <c r="E3789" s="28"/>
      <c r="F3789" s="28">
        <v>18</v>
      </c>
      <c r="G3789" s="28" t="s">
        <v>180</v>
      </c>
      <c r="H3789" s="28">
        <v>0</v>
      </c>
      <c r="J3789" s="28"/>
    </row>
    <row r="3790" spans="1:10" ht="15.75" customHeight="1">
      <c r="A3790" s="28">
        <v>16225</v>
      </c>
      <c r="B3790" s="91">
        <v>44829.027037037042</v>
      </c>
      <c r="C3790" s="28" t="s">
        <v>10</v>
      </c>
      <c r="D3790" s="28" t="s">
        <v>1392</v>
      </c>
      <c r="E3790" s="28"/>
      <c r="F3790" s="28">
        <v>20</v>
      </c>
      <c r="G3790" s="28" t="s">
        <v>121</v>
      </c>
      <c r="H3790" s="28">
        <v>0</v>
      </c>
      <c r="J3790" s="28"/>
    </row>
    <row r="3791" spans="1:10" ht="15.75" customHeight="1">
      <c r="A3791" s="28">
        <v>16225</v>
      </c>
      <c r="B3791" s="91">
        <v>44829.027037037042</v>
      </c>
      <c r="C3791" s="28" t="s">
        <v>10</v>
      </c>
      <c r="D3791" s="28" t="s">
        <v>1392</v>
      </c>
      <c r="E3791" s="28"/>
      <c r="F3791" s="28">
        <v>0</v>
      </c>
      <c r="G3791" s="28" t="s">
        <v>139</v>
      </c>
      <c r="H3791" s="28">
        <v>0</v>
      </c>
      <c r="J3791" s="28"/>
    </row>
    <row r="3792" spans="1:10" ht="15.75" customHeight="1">
      <c r="A3792" s="28">
        <v>16224</v>
      </c>
      <c r="B3792" s="91">
        <v>44828.981712962966</v>
      </c>
      <c r="C3792" s="28" t="s">
        <v>10</v>
      </c>
      <c r="D3792" s="28" t="s">
        <v>1393</v>
      </c>
      <c r="E3792" s="28"/>
      <c r="F3792" s="28">
        <v>15</v>
      </c>
      <c r="G3792" s="28" t="s">
        <v>125</v>
      </c>
      <c r="H3792" s="28">
        <v>0</v>
      </c>
      <c r="J3792" s="28"/>
    </row>
    <row r="3793" spans="1:10" ht="15.75" customHeight="1">
      <c r="A3793" s="28">
        <v>16223</v>
      </c>
      <c r="B3793" s="91">
        <v>44828.979814814811</v>
      </c>
      <c r="C3793" s="28" t="s">
        <v>10</v>
      </c>
      <c r="D3793" s="28" t="s">
        <v>1394</v>
      </c>
      <c r="E3793" s="28"/>
      <c r="F3793" s="28">
        <v>15</v>
      </c>
      <c r="G3793" s="28" t="s">
        <v>125</v>
      </c>
      <c r="H3793" s="28">
        <v>0</v>
      </c>
      <c r="J3793" s="28"/>
    </row>
    <row r="3794" spans="1:10" ht="15.75" customHeight="1">
      <c r="A3794" s="28">
        <v>16222</v>
      </c>
      <c r="B3794" s="91">
        <v>44828.923263888893</v>
      </c>
      <c r="C3794" s="28" t="s">
        <v>10</v>
      </c>
      <c r="D3794" s="28" t="s">
        <v>1395</v>
      </c>
      <c r="E3794" s="28"/>
      <c r="F3794" s="28">
        <v>0</v>
      </c>
      <c r="G3794" s="28" t="s">
        <v>139</v>
      </c>
      <c r="H3794" s="28">
        <v>0</v>
      </c>
      <c r="J3794" s="28"/>
    </row>
    <row r="3795" spans="1:10" ht="15.75" customHeight="1">
      <c r="A3795" s="28">
        <v>16222</v>
      </c>
      <c r="B3795" s="91">
        <v>44828.923263888893</v>
      </c>
      <c r="C3795" s="28" t="s">
        <v>10</v>
      </c>
      <c r="D3795" s="28" t="s">
        <v>1395</v>
      </c>
      <c r="E3795" s="28"/>
      <c r="F3795" s="28">
        <v>15</v>
      </c>
      <c r="G3795" s="28" t="s">
        <v>125</v>
      </c>
      <c r="H3795" s="28">
        <v>0</v>
      </c>
      <c r="J3795" s="28"/>
    </row>
    <row r="3796" spans="1:10" ht="15.75" customHeight="1">
      <c r="A3796" s="28">
        <v>16221</v>
      </c>
      <c r="B3796" s="91">
        <v>44828.777986111112</v>
      </c>
      <c r="C3796" s="28" t="s">
        <v>10</v>
      </c>
      <c r="D3796" s="28" t="s">
        <v>1396</v>
      </c>
      <c r="E3796" s="28"/>
      <c r="F3796" s="28">
        <v>25</v>
      </c>
      <c r="G3796" s="28">
        <v>100692</v>
      </c>
      <c r="H3796" s="28">
        <v>0</v>
      </c>
      <c r="J3796" s="28"/>
    </row>
    <row r="3797" spans="1:10" ht="15.75" customHeight="1">
      <c r="A3797" s="28">
        <v>16221</v>
      </c>
      <c r="B3797" s="91">
        <v>44828.777986111112</v>
      </c>
      <c r="C3797" s="28" t="s">
        <v>10</v>
      </c>
      <c r="D3797" s="28" t="s">
        <v>1396</v>
      </c>
      <c r="E3797" s="28"/>
      <c r="F3797" s="28">
        <v>0</v>
      </c>
      <c r="G3797" s="28" t="s">
        <v>125</v>
      </c>
      <c r="H3797" s="28">
        <v>0</v>
      </c>
      <c r="J3797" s="28"/>
    </row>
    <row r="3798" spans="1:10" ht="15.75" customHeight="1">
      <c r="A3798" s="28">
        <v>16221</v>
      </c>
      <c r="B3798" s="91">
        <v>44828.777986111112</v>
      </c>
      <c r="C3798" s="28" t="s">
        <v>10</v>
      </c>
      <c r="D3798" s="28" t="s">
        <v>1396</v>
      </c>
      <c r="E3798" s="28"/>
      <c r="F3798" s="28">
        <v>0</v>
      </c>
      <c r="G3798" s="28" t="s">
        <v>119</v>
      </c>
      <c r="H3798" s="28">
        <v>0</v>
      </c>
      <c r="J3798" s="28"/>
    </row>
    <row r="3799" spans="1:10" ht="15.75" customHeight="1">
      <c r="A3799" s="28">
        <v>16221</v>
      </c>
      <c r="B3799" s="91">
        <v>44828.777986111112</v>
      </c>
      <c r="C3799" s="28" t="s">
        <v>10</v>
      </c>
      <c r="D3799" s="28" t="s">
        <v>1396</v>
      </c>
      <c r="E3799" s="28"/>
      <c r="F3799" s="28">
        <v>20</v>
      </c>
      <c r="G3799" s="28" t="s">
        <v>121</v>
      </c>
      <c r="H3799" s="28">
        <v>0</v>
      </c>
      <c r="J3799" s="28"/>
    </row>
    <row r="3800" spans="1:10" ht="15.75" customHeight="1">
      <c r="A3800" s="28">
        <v>16221</v>
      </c>
      <c r="B3800" s="91">
        <v>44828.777986111112</v>
      </c>
      <c r="C3800" s="28" t="s">
        <v>10</v>
      </c>
      <c r="D3800" s="28" t="s">
        <v>1396</v>
      </c>
      <c r="E3800" s="28"/>
      <c r="F3800" s="28">
        <v>18</v>
      </c>
      <c r="G3800" s="28" t="s">
        <v>267</v>
      </c>
      <c r="H3800" s="28">
        <v>0</v>
      </c>
      <c r="J3800" s="28"/>
    </row>
    <row r="3801" spans="1:10" ht="15.75" customHeight="1">
      <c r="A3801" s="28">
        <v>16221</v>
      </c>
      <c r="B3801" s="91">
        <v>44828.777986111112</v>
      </c>
      <c r="C3801" s="28" t="s">
        <v>10</v>
      </c>
      <c r="D3801" s="28" t="s">
        <v>1396</v>
      </c>
      <c r="E3801" s="28"/>
      <c r="F3801" s="28">
        <v>0</v>
      </c>
      <c r="G3801" s="28" t="s">
        <v>139</v>
      </c>
      <c r="H3801" s="28">
        <v>0</v>
      </c>
      <c r="J3801" s="28"/>
    </row>
    <row r="3802" spans="1:10" ht="15.75" customHeight="1">
      <c r="A3802" s="28">
        <v>16220</v>
      </c>
      <c r="B3802" s="91">
        <v>44828.760520833333</v>
      </c>
      <c r="C3802" s="28" t="s">
        <v>10</v>
      </c>
      <c r="D3802" s="28" t="s">
        <v>1397</v>
      </c>
      <c r="E3802" s="28"/>
      <c r="F3802" s="28">
        <v>35</v>
      </c>
      <c r="G3802" s="28" t="s">
        <v>124</v>
      </c>
      <c r="H3802" s="28">
        <v>0</v>
      </c>
      <c r="J3802" s="28"/>
    </row>
    <row r="3803" spans="1:10" ht="15.75" customHeight="1">
      <c r="A3803" s="28">
        <v>16220</v>
      </c>
      <c r="B3803" s="91">
        <v>44828.760520833333</v>
      </c>
      <c r="C3803" s="28" t="s">
        <v>10</v>
      </c>
      <c r="D3803" s="28" t="s">
        <v>1397</v>
      </c>
      <c r="E3803" s="28"/>
      <c r="F3803" s="28">
        <v>0</v>
      </c>
      <c r="G3803" s="28" t="s">
        <v>125</v>
      </c>
      <c r="H3803" s="28">
        <v>0</v>
      </c>
      <c r="J3803" s="28"/>
    </row>
    <row r="3804" spans="1:10" ht="15.75" customHeight="1">
      <c r="A3804" s="28">
        <v>16220</v>
      </c>
      <c r="B3804" s="91">
        <v>44828.760520833333</v>
      </c>
      <c r="C3804" s="28" t="s">
        <v>10</v>
      </c>
      <c r="D3804" s="28" t="s">
        <v>1397</v>
      </c>
      <c r="E3804" s="28"/>
      <c r="F3804" s="28">
        <v>0</v>
      </c>
      <c r="G3804" s="28" t="s">
        <v>121</v>
      </c>
      <c r="H3804" s="28">
        <v>0</v>
      </c>
      <c r="J3804" s="28"/>
    </row>
    <row r="3805" spans="1:10" ht="15.75" customHeight="1">
      <c r="A3805" s="28">
        <v>16220</v>
      </c>
      <c r="B3805" s="91">
        <v>44828.760520833333</v>
      </c>
      <c r="C3805" s="28" t="s">
        <v>10</v>
      </c>
      <c r="D3805" s="28" t="s">
        <v>1397</v>
      </c>
      <c r="E3805" s="28"/>
      <c r="F3805" s="28">
        <v>0</v>
      </c>
      <c r="G3805" s="28" t="s">
        <v>139</v>
      </c>
      <c r="H3805" s="28">
        <v>0</v>
      </c>
      <c r="J3805" s="28"/>
    </row>
    <row r="3806" spans="1:10" ht="15.75" customHeight="1">
      <c r="A3806" s="28">
        <v>16219</v>
      </c>
      <c r="B3806" s="91">
        <v>44828.71</v>
      </c>
      <c r="C3806" s="28" t="s">
        <v>10</v>
      </c>
      <c r="D3806" s="28" t="s">
        <v>1398</v>
      </c>
      <c r="E3806" s="28"/>
      <c r="F3806" s="28">
        <v>55</v>
      </c>
      <c r="G3806" s="28">
        <v>101684</v>
      </c>
      <c r="H3806" s="28">
        <v>0</v>
      </c>
      <c r="J3806" s="28"/>
    </row>
    <row r="3807" spans="1:10" ht="15.75" customHeight="1">
      <c r="A3807" s="28">
        <v>16219</v>
      </c>
      <c r="B3807" s="91">
        <v>44828.71</v>
      </c>
      <c r="C3807" s="28" t="s">
        <v>10</v>
      </c>
      <c r="D3807" s="28" t="s">
        <v>1398</v>
      </c>
      <c r="E3807" s="28"/>
      <c r="F3807" s="28">
        <v>0</v>
      </c>
      <c r="G3807" s="28" t="s">
        <v>118</v>
      </c>
      <c r="H3807" s="28">
        <v>0</v>
      </c>
      <c r="J3807" s="28"/>
    </row>
    <row r="3808" spans="1:10" ht="15.75" customHeight="1">
      <c r="A3808" s="28">
        <v>16219</v>
      </c>
      <c r="B3808" s="91">
        <v>44828.71</v>
      </c>
      <c r="C3808" s="28" t="s">
        <v>10</v>
      </c>
      <c r="D3808" s="28" t="s">
        <v>1398</v>
      </c>
      <c r="E3808" s="28"/>
      <c r="F3808" s="28">
        <v>0</v>
      </c>
      <c r="G3808" s="28" t="s">
        <v>119</v>
      </c>
      <c r="H3808" s="28">
        <v>0</v>
      </c>
      <c r="J3808" s="28"/>
    </row>
    <row r="3809" spans="1:10" ht="15.75" customHeight="1">
      <c r="A3809" s="28">
        <v>16219</v>
      </c>
      <c r="B3809" s="91">
        <v>44828.71</v>
      </c>
      <c r="C3809" s="28" t="s">
        <v>10</v>
      </c>
      <c r="D3809" s="28" t="s">
        <v>1398</v>
      </c>
      <c r="E3809" s="28"/>
      <c r="F3809" s="28">
        <v>0</v>
      </c>
      <c r="G3809" s="28" t="s">
        <v>120</v>
      </c>
      <c r="H3809" s="28">
        <v>0</v>
      </c>
      <c r="J3809" s="28"/>
    </row>
    <row r="3810" spans="1:10" ht="15.75" customHeight="1">
      <c r="A3810" s="28">
        <v>16219</v>
      </c>
      <c r="B3810" s="91">
        <v>44828.71</v>
      </c>
      <c r="C3810" s="28" t="s">
        <v>10</v>
      </c>
      <c r="D3810" s="28" t="s">
        <v>1398</v>
      </c>
      <c r="E3810" s="28"/>
      <c r="F3810" s="28">
        <v>0</v>
      </c>
      <c r="G3810" s="28" t="s">
        <v>121</v>
      </c>
      <c r="H3810" s="28">
        <v>0</v>
      </c>
      <c r="J3810" s="28"/>
    </row>
    <row r="3811" spans="1:10" ht="15.75" customHeight="1">
      <c r="A3811" s="28">
        <v>16218</v>
      </c>
      <c r="B3811" s="91">
        <v>44828.590902777782</v>
      </c>
      <c r="C3811" s="28" t="s">
        <v>10</v>
      </c>
      <c r="D3811" s="28" t="s">
        <v>284</v>
      </c>
      <c r="E3811" s="28"/>
      <c r="F3811" s="28">
        <v>18</v>
      </c>
      <c r="G3811" s="28" t="s">
        <v>267</v>
      </c>
      <c r="H3811" s="28">
        <v>0</v>
      </c>
      <c r="J3811" s="28"/>
    </row>
    <row r="3812" spans="1:10" ht="15.75" customHeight="1">
      <c r="A3812" s="28">
        <v>16218</v>
      </c>
      <c r="B3812" s="91">
        <v>44828.590902777782</v>
      </c>
      <c r="C3812" s="28" t="s">
        <v>10</v>
      </c>
      <c r="D3812" s="28" t="s">
        <v>284</v>
      </c>
      <c r="E3812" s="28"/>
      <c r="F3812" s="28">
        <v>0</v>
      </c>
      <c r="G3812" s="28" t="s">
        <v>139</v>
      </c>
      <c r="H3812" s="28">
        <v>0</v>
      </c>
      <c r="J3812" s="28"/>
    </row>
    <row r="3813" spans="1:10" ht="15.75" customHeight="1">
      <c r="A3813" s="28">
        <v>16218</v>
      </c>
      <c r="B3813" s="91">
        <v>44828.590902777782</v>
      </c>
      <c r="C3813" s="28" t="s">
        <v>10</v>
      </c>
      <c r="D3813" s="28" t="s">
        <v>284</v>
      </c>
      <c r="E3813" s="28"/>
      <c r="F3813" s="28">
        <v>48</v>
      </c>
      <c r="G3813" s="28" t="s">
        <v>1296</v>
      </c>
      <c r="H3813" s="28">
        <v>0</v>
      </c>
      <c r="J3813" s="28"/>
    </row>
    <row r="3814" spans="1:10" ht="15.75" customHeight="1">
      <c r="A3814" s="28">
        <v>16217</v>
      </c>
      <c r="B3814" s="91">
        <v>44828.04184027778</v>
      </c>
      <c r="C3814" s="28" t="s">
        <v>10</v>
      </c>
      <c r="D3814" s="28" t="s">
        <v>1399</v>
      </c>
      <c r="E3814" s="28"/>
      <c r="F3814" s="28">
        <v>0</v>
      </c>
      <c r="G3814" s="28" t="s">
        <v>139</v>
      </c>
      <c r="H3814" s="28">
        <v>0</v>
      </c>
      <c r="J3814" s="28"/>
    </row>
    <row r="3815" spans="1:10" ht="15.75" customHeight="1">
      <c r="A3815" s="28">
        <v>16217</v>
      </c>
      <c r="B3815" s="91">
        <v>44828.04184027778</v>
      </c>
      <c r="C3815" s="28" t="s">
        <v>10</v>
      </c>
      <c r="D3815" s="28" t="s">
        <v>1399</v>
      </c>
      <c r="E3815" s="28"/>
      <c r="F3815" s="28">
        <v>18</v>
      </c>
      <c r="G3815" s="28" t="s">
        <v>119</v>
      </c>
      <c r="H3815" s="28">
        <v>0</v>
      </c>
      <c r="J3815" s="28"/>
    </row>
    <row r="3816" spans="1:10" ht="15.75" customHeight="1">
      <c r="A3816" s="28">
        <v>16216</v>
      </c>
      <c r="B3816" s="91">
        <v>44827.912222222221</v>
      </c>
      <c r="C3816" s="28" t="s">
        <v>10</v>
      </c>
      <c r="D3816" s="28" t="s">
        <v>1400</v>
      </c>
      <c r="E3816" s="28"/>
      <c r="F3816" s="28">
        <v>25</v>
      </c>
      <c r="G3816" s="28">
        <v>100692</v>
      </c>
      <c r="H3816" s="28">
        <v>0</v>
      </c>
      <c r="J3816" s="28"/>
    </row>
    <row r="3817" spans="1:10" ht="15.75" customHeight="1">
      <c r="A3817" s="28">
        <v>16216</v>
      </c>
      <c r="B3817" s="91">
        <v>44827.912222222221</v>
      </c>
      <c r="C3817" s="28" t="s">
        <v>10</v>
      </c>
      <c r="D3817" s="28" t="s">
        <v>1400</v>
      </c>
      <c r="E3817" s="28"/>
      <c r="F3817" s="28">
        <v>0</v>
      </c>
      <c r="G3817" s="28" t="s">
        <v>125</v>
      </c>
      <c r="H3817" s="28">
        <v>0</v>
      </c>
      <c r="J3817" s="28"/>
    </row>
    <row r="3818" spans="1:10" ht="15.75" customHeight="1">
      <c r="A3818" s="28">
        <v>16216</v>
      </c>
      <c r="B3818" s="91">
        <v>44827.912222222221</v>
      </c>
      <c r="C3818" s="28" t="s">
        <v>10</v>
      </c>
      <c r="D3818" s="28" t="s">
        <v>1400</v>
      </c>
      <c r="E3818" s="28"/>
      <c r="F3818" s="28">
        <v>0</v>
      </c>
      <c r="G3818" s="28" t="s">
        <v>119</v>
      </c>
      <c r="H3818" s="28">
        <v>0</v>
      </c>
      <c r="J3818" s="28"/>
    </row>
    <row r="3819" spans="1:10" ht="15.75" customHeight="1">
      <c r="A3819" s="28">
        <v>16216</v>
      </c>
      <c r="B3819" s="91">
        <v>44827.912222222221</v>
      </c>
      <c r="C3819" s="28" t="s">
        <v>10</v>
      </c>
      <c r="D3819" s="28" t="s">
        <v>1400</v>
      </c>
      <c r="E3819" s="28"/>
      <c r="F3819" s="28">
        <v>22</v>
      </c>
      <c r="G3819" s="28" t="s">
        <v>137</v>
      </c>
      <c r="H3819" s="28">
        <v>0</v>
      </c>
      <c r="J3819" s="28"/>
    </row>
    <row r="3820" spans="1:10" ht="15.75" customHeight="1">
      <c r="A3820" s="28">
        <v>16215</v>
      </c>
      <c r="B3820" s="91">
        <v>44827.907800925925</v>
      </c>
      <c r="C3820" s="28" t="s">
        <v>10</v>
      </c>
      <c r="D3820" s="28" t="s">
        <v>1401</v>
      </c>
      <c r="E3820" s="28"/>
      <c r="F3820" s="28">
        <v>35</v>
      </c>
      <c r="G3820" s="28" t="s">
        <v>124</v>
      </c>
      <c r="H3820" s="28">
        <v>0</v>
      </c>
      <c r="J3820" s="28"/>
    </row>
    <row r="3821" spans="1:10" ht="15.75" customHeight="1">
      <c r="A3821" s="28">
        <v>16215</v>
      </c>
      <c r="B3821" s="91">
        <v>44827.907800925925</v>
      </c>
      <c r="C3821" s="28" t="s">
        <v>10</v>
      </c>
      <c r="D3821" s="28" t="s">
        <v>1401</v>
      </c>
      <c r="E3821" s="28"/>
      <c r="F3821" s="28">
        <v>0</v>
      </c>
      <c r="G3821" s="28" t="s">
        <v>125</v>
      </c>
      <c r="H3821" s="28">
        <v>0</v>
      </c>
      <c r="J3821" s="28"/>
    </row>
    <row r="3822" spans="1:10" ht="15.75" customHeight="1">
      <c r="A3822" s="28">
        <v>16215</v>
      </c>
      <c r="B3822" s="91">
        <v>44827.907800925925</v>
      </c>
      <c r="C3822" s="28" t="s">
        <v>10</v>
      </c>
      <c r="D3822" s="28" t="s">
        <v>1401</v>
      </c>
      <c r="E3822" s="28"/>
      <c r="F3822" s="28">
        <v>0</v>
      </c>
      <c r="G3822" s="28" t="s">
        <v>121</v>
      </c>
      <c r="H3822" s="28">
        <v>0</v>
      </c>
      <c r="J3822" s="28"/>
    </row>
    <row r="3823" spans="1:10" ht="15.75" customHeight="1">
      <c r="A3823" s="28">
        <v>16215</v>
      </c>
      <c r="B3823" s="91">
        <v>44827.907800925925</v>
      </c>
      <c r="C3823" s="28" t="s">
        <v>10</v>
      </c>
      <c r="D3823" s="28" t="s">
        <v>1401</v>
      </c>
      <c r="E3823" s="28"/>
      <c r="F3823" s="28">
        <v>0</v>
      </c>
      <c r="G3823" s="28" t="s">
        <v>139</v>
      </c>
      <c r="H3823" s="28">
        <v>0</v>
      </c>
      <c r="J3823" s="28"/>
    </row>
    <row r="3824" spans="1:10" ht="15.75" customHeight="1">
      <c r="A3824" s="28">
        <v>16214</v>
      </c>
      <c r="B3824" s="91">
        <v>44827.658842592587</v>
      </c>
      <c r="C3824" s="28" t="s">
        <v>10</v>
      </c>
      <c r="D3824" s="28" t="s">
        <v>1402</v>
      </c>
      <c r="E3824" s="28"/>
      <c r="F3824" s="28">
        <v>55</v>
      </c>
      <c r="G3824" s="28">
        <v>101684</v>
      </c>
      <c r="H3824" s="28">
        <v>0</v>
      </c>
      <c r="J3824" s="28"/>
    </row>
    <row r="3825" spans="1:10" ht="15.75" customHeight="1">
      <c r="A3825" s="28">
        <v>16214</v>
      </c>
      <c r="B3825" s="91">
        <v>44827.658842592587</v>
      </c>
      <c r="C3825" s="28" t="s">
        <v>10</v>
      </c>
      <c r="D3825" s="28" t="s">
        <v>1402</v>
      </c>
      <c r="E3825" s="28"/>
      <c r="F3825" s="28">
        <v>0</v>
      </c>
      <c r="G3825" s="28" t="s">
        <v>118</v>
      </c>
      <c r="H3825" s="28">
        <v>0</v>
      </c>
      <c r="J3825" s="28"/>
    </row>
    <row r="3826" spans="1:10" ht="15.75" customHeight="1">
      <c r="A3826" s="28">
        <v>16214</v>
      </c>
      <c r="B3826" s="91">
        <v>44827.658842592587</v>
      </c>
      <c r="C3826" s="28" t="s">
        <v>10</v>
      </c>
      <c r="D3826" s="28" t="s">
        <v>1402</v>
      </c>
      <c r="E3826" s="28"/>
      <c r="F3826" s="28">
        <v>0</v>
      </c>
      <c r="G3826" s="28" t="s">
        <v>119</v>
      </c>
      <c r="H3826" s="28">
        <v>0</v>
      </c>
      <c r="J3826" s="28"/>
    </row>
    <row r="3827" spans="1:10" ht="15.75" customHeight="1">
      <c r="A3827" s="28">
        <v>16214</v>
      </c>
      <c r="B3827" s="91">
        <v>44827.658842592587</v>
      </c>
      <c r="C3827" s="28" t="s">
        <v>10</v>
      </c>
      <c r="D3827" s="28" t="s">
        <v>1402</v>
      </c>
      <c r="E3827" s="28"/>
      <c r="F3827" s="28">
        <v>0</v>
      </c>
      <c r="G3827" s="28" t="s">
        <v>120</v>
      </c>
      <c r="H3827" s="28">
        <v>0</v>
      </c>
      <c r="J3827" s="28"/>
    </row>
    <row r="3828" spans="1:10" ht="15.75" customHeight="1">
      <c r="A3828" s="28">
        <v>16214</v>
      </c>
      <c r="B3828" s="91">
        <v>44827.658842592587</v>
      </c>
      <c r="C3828" s="28" t="s">
        <v>10</v>
      </c>
      <c r="D3828" s="28" t="s">
        <v>1402</v>
      </c>
      <c r="E3828" s="28"/>
      <c r="F3828" s="28">
        <v>0</v>
      </c>
      <c r="G3828" s="28" t="s">
        <v>121</v>
      </c>
      <c r="H3828" s="28">
        <v>0</v>
      </c>
      <c r="J3828" s="28"/>
    </row>
    <row r="3829" spans="1:10" ht="15.75" customHeight="1">
      <c r="A3829" s="28">
        <v>16214</v>
      </c>
      <c r="B3829" s="91">
        <v>44827.658842592587</v>
      </c>
      <c r="C3829" s="28" t="s">
        <v>10</v>
      </c>
      <c r="D3829" s="28" t="s">
        <v>1402</v>
      </c>
      <c r="E3829" s="28"/>
      <c r="F3829" s="28">
        <v>0</v>
      </c>
      <c r="G3829" s="28" t="s">
        <v>139</v>
      </c>
      <c r="H3829" s="28">
        <v>0</v>
      </c>
      <c r="J3829" s="28"/>
    </row>
    <row r="3830" spans="1:10" ht="15.75" customHeight="1">
      <c r="A3830" s="28">
        <v>16213</v>
      </c>
      <c r="B3830" s="91">
        <v>44826.963819444441</v>
      </c>
      <c r="C3830" s="28" t="s">
        <v>10</v>
      </c>
      <c r="D3830" s="28" t="s">
        <v>1403</v>
      </c>
      <c r="E3830" s="28"/>
      <c r="F3830" s="28">
        <v>28</v>
      </c>
      <c r="G3830" s="28" t="s">
        <v>143</v>
      </c>
      <c r="H3830" s="28">
        <v>0</v>
      </c>
      <c r="J3830" s="28"/>
    </row>
    <row r="3831" spans="1:10" ht="15.75" customHeight="1">
      <c r="A3831" s="28">
        <v>16213</v>
      </c>
      <c r="B3831" s="91">
        <v>44826.963819444441</v>
      </c>
      <c r="C3831" s="28" t="s">
        <v>10</v>
      </c>
      <c r="D3831" s="28" t="s">
        <v>1403</v>
      </c>
      <c r="E3831" s="28"/>
      <c r="F3831" s="28">
        <v>22</v>
      </c>
      <c r="G3831" s="28" t="s">
        <v>137</v>
      </c>
      <c r="H3831" s="28">
        <v>0</v>
      </c>
      <c r="J3831" s="28"/>
    </row>
    <row r="3832" spans="1:10" ht="15.75" customHeight="1">
      <c r="A3832" s="28">
        <v>16213</v>
      </c>
      <c r="B3832" s="91">
        <v>44826.963819444441</v>
      </c>
      <c r="C3832" s="28" t="s">
        <v>10</v>
      </c>
      <c r="D3832" s="28" t="s">
        <v>1403</v>
      </c>
      <c r="E3832" s="28"/>
      <c r="F3832" s="28">
        <v>36</v>
      </c>
      <c r="G3832" s="28" t="s">
        <v>119</v>
      </c>
      <c r="H3832" s="28">
        <v>0</v>
      </c>
      <c r="J3832" s="28"/>
    </row>
    <row r="3833" spans="1:10" ht="15.75" customHeight="1">
      <c r="A3833" s="28">
        <v>16212</v>
      </c>
      <c r="B3833" s="91">
        <v>44826.90761574074</v>
      </c>
      <c r="C3833" s="28" t="s">
        <v>10</v>
      </c>
      <c r="D3833" s="28" t="s">
        <v>1404</v>
      </c>
      <c r="E3833" s="28"/>
      <c r="F3833" s="28">
        <v>55</v>
      </c>
      <c r="G3833" s="28">
        <v>101684</v>
      </c>
      <c r="H3833" s="28">
        <v>0</v>
      </c>
      <c r="J3833" s="28"/>
    </row>
    <row r="3834" spans="1:10" ht="15.75" customHeight="1">
      <c r="A3834" s="28">
        <v>16212</v>
      </c>
      <c r="B3834" s="91">
        <v>44826.90761574074</v>
      </c>
      <c r="C3834" s="28" t="s">
        <v>10</v>
      </c>
      <c r="D3834" s="28" t="s">
        <v>1404</v>
      </c>
      <c r="E3834" s="28"/>
      <c r="F3834" s="28">
        <v>0</v>
      </c>
      <c r="G3834" s="28" t="s">
        <v>118</v>
      </c>
      <c r="H3834" s="28">
        <v>0</v>
      </c>
      <c r="J3834" s="28"/>
    </row>
    <row r="3835" spans="1:10" ht="15.75" customHeight="1">
      <c r="A3835" s="28">
        <v>16212</v>
      </c>
      <c r="B3835" s="91">
        <v>44826.90761574074</v>
      </c>
      <c r="C3835" s="28" t="s">
        <v>10</v>
      </c>
      <c r="D3835" s="28" t="s">
        <v>1404</v>
      </c>
      <c r="E3835" s="28"/>
      <c r="F3835" s="28">
        <v>0</v>
      </c>
      <c r="G3835" s="28" t="s">
        <v>119</v>
      </c>
      <c r="H3835" s="28">
        <v>0</v>
      </c>
      <c r="J3835" s="28"/>
    </row>
    <row r="3836" spans="1:10" ht="15.75" customHeight="1">
      <c r="A3836" s="28">
        <v>16212</v>
      </c>
      <c r="B3836" s="91">
        <v>44826.90761574074</v>
      </c>
      <c r="C3836" s="28" t="s">
        <v>10</v>
      </c>
      <c r="D3836" s="28" t="s">
        <v>1404</v>
      </c>
      <c r="E3836" s="28"/>
      <c r="F3836" s="28">
        <v>0</v>
      </c>
      <c r="G3836" s="28" t="s">
        <v>120</v>
      </c>
      <c r="H3836" s="28">
        <v>0</v>
      </c>
      <c r="J3836" s="28"/>
    </row>
    <row r="3837" spans="1:10" ht="15.75" customHeight="1">
      <c r="A3837" s="28">
        <v>16212</v>
      </c>
      <c r="B3837" s="91">
        <v>44826.90761574074</v>
      </c>
      <c r="C3837" s="28" t="s">
        <v>10</v>
      </c>
      <c r="D3837" s="28" t="s">
        <v>1404</v>
      </c>
      <c r="E3837" s="28"/>
      <c r="F3837" s="28">
        <v>0</v>
      </c>
      <c r="G3837" s="28" t="s">
        <v>121</v>
      </c>
      <c r="H3837" s="28">
        <v>0</v>
      </c>
      <c r="J3837" s="28"/>
    </row>
    <row r="3838" spans="1:10" ht="15.75" customHeight="1">
      <c r="A3838" s="28">
        <v>16212</v>
      </c>
      <c r="B3838" s="91">
        <v>44826.90761574074</v>
      </c>
      <c r="C3838" s="28" t="s">
        <v>10</v>
      </c>
      <c r="D3838" s="28" t="s">
        <v>1404</v>
      </c>
      <c r="E3838" s="28"/>
      <c r="F3838" s="28">
        <v>0</v>
      </c>
      <c r="G3838" s="28" t="s">
        <v>139</v>
      </c>
      <c r="H3838" s="28">
        <v>0</v>
      </c>
      <c r="J3838" s="28"/>
    </row>
    <row r="3839" spans="1:10" ht="15.75" customHeight="1">
      <c r="A3839" s="28">
        <v>16211</v>
      </c>
      <c r="B3839" s="91">
        <v>44826.880046296297</v>
      </c>
      <c r="C3839" s="28" t="s">
        <v>10</v>
      </c>
      <c r="D3839" s="28" t="s">
        <v>1405</v>
      </c>
      <c r="E3839" s="28"/>
      <c r="F3839" s="28">
        <v>35</v>
      </c>
      <c r="G3839" s="28" t="s">
        <v>124</v>
      </c>
      <c r="H3839" s="28">
        <v>0</v>
      </c>
      <c r="J3839" s="28"/>
    </row>
    <row r="3840" spans="1:10" ht="15.75" customHeight="1">
      <c r="A3840" s="28">
        <v>16211</v>
      </c>
      <c r="B3840" s="91">
        <v>44826.880046296297</v>
      </c>
      <c r="C3840" s="28" t="s">
        <v>10</v>
      </c>
      <c r="D3840" s="28" t="s">
        <v>1405</v>
      </c>
      <c r="E3840" s="28"/>
      <c r="F3840" s="28">
        <v>0</v>
      </c>
      <c r="G3840" s="28" t="s">
        <v>125</v>
      </c>
      <c r="H3840" s="28">
        <v>0</v>
      </c>
      <c r="J3840" s="28"/>
    </row>
    <row r="3841" spans="1:10" ht="15.75" customHeight="1">
      <c r="A3841" s="28">
        <v>16211</v>
      </c>
      <c r="B3841" s="91">
        <v>44826.880046296297</v>
      </c>
      <c r="C3841" s="28" t="s">
        <v>10</v>
      </c>
      <c r="D3841" s="28" t="s">
        <v>1405</v>
      </c>
      <c r="E3841" s="28"/>
      <c r="F3841" s="28">
        <v>0</v>
      </c>
      <c r="G3841" s="28" t="s">
        <v>121</v>
      </c>
      <c r="H3841" s="28">
        <v>0</v>
      </c>
      <c r="J3841" s="28"/>
    </row>
    <row r="3842" spans="1:10" ht="15.75" customHeight="1">
      <c r="A3842" s="28">
        <v>16211</v>
      </c>
      <c r="B3842" s="91">
        <v>44826.880046296297</v>
      </c>
      <c r="C3842" s="28" t="s">
        <v>10</v>
      </c>
      <c r="D3842" s="28" t="s">
        <v>1405</v>
      </c>
      <c r="E3842" s="28"/>
      <c r="F3842" s="28">
        <v>0</v>
      </c>
      <c r="G3842" s="28" t="s">
        <v>139</v>
      </c>
      <c r="H3842" s="28">
        <v>0</v>
      </c>
      <c r="J3842" s="28"/>
    </row>
    <row r="3843" spans="1:10" ht="15.75" customHeight="1">
      <c r="A3843" s="28">
        <v>16210</v>
      </c>
      <c r="B3843" s="91">
        <v>44826.838136574079</v>
      </c>
      <c r="C3843" s="28" t="s">
        <v>10</v>
      </c>
      <c r="D3843" s="28" t="s">
        <v>1097</v>
      </c>
      <c r="E3843" s="28"/>
      <c r="F3843" s="28">
        <v>0</v>
      </c>
      <c r="G3843" s="28">
        <v>101684</v>
      </c>
      <c r="H3843" s="28">
        <v>0</v>
      </c>
      <c r="J3843" s="28"/>
    </row>
    <row r="3844" spans="1:10" ht="15.75" customHeight="1">
      <c r="A3844" s="28">
        <v>16210</v>
      </c>
      <c r="B3844" s="91">
        <v>44826.838136574079</v>
      </c>
      <c r="C3844" s="28" t="s">
        <v>10</v>
      </c>
      <c r="D3844" s="28" t="s">
        <v>1097</v>
      </c>
      <c r="E3844" s="28"/>
      <c r="F3844" s="28">
        <v>0</v>
      </c>
      <c r="G3844" s="28" t="s">
        <v>118</v>
      </c>
      <c r="H3844" s="28">
        <v>0</v>
      </c>
      <c r="J3844" s="28"/>
    </row>
    <row r="3845" spans="1:10" ht="15.75" customHeight="1">
      <c r="A3845" s="28">
        <v>16210</v>
      </c>
      <c r="B3845" s="91">
        <v>44826.838136574079</v>
      </c>
      <c r="C3845" s="28" t="s">
        <v>10</v>
      </c>
      <c r="D3845" s="28" t="s">
        <v>1097</v>
      </c>
      <c r="E3845" s="28"/>
      <c r="F3845" s="28">
        <v>0</v>
      </c>
      <c r="G3845" s="28" t="s">
        <v>119</v>
      </c>
      <c r="H3845" s="28">
        <v>0</v>
      </c>
      <c r="J3845" s="28"/>
    </row>
    <row r="3846" spans="1:10" ht="15.75" customHeight="1">
      <c r="A3846" s="28">
        <v>16210</v>
      </c>
      <c r="B3846" s="91">
        <v>44826.838136574079</v>
      </c>
      <c r="C3846" s="28" t="s">
        <v>10</v>
      </c>
      <c r="D3846" s="28" t="s">
        <v>1097</v>
      </c>
      <c r="E3846" s="28"/>
      <c r="F3846" s="28">
        <v>0</v>
      </c>
      <c r="G3846" s="28" t="s">
        <v>120</v>
      </c>
      <c r="H3846" s="28">
        <v>0</v>
      </c>
      <c r="J3846" s="28"/>
    </row>
    <row r="3847" spans="1:10" ht="15.75" customHeight="1">
      <c r="A3847" s="28">
        <v>16210</v>
      </c>
      <c r="B3847" s="91">
        <v>44826.838136574079</v>
      </c>
      <c r="C3847" s="28" t="s">
        <v>10</v>
      </c>
      <c r="D3847" s="28" t="s">
        <v>1097</v>
      </c>
      <c r="E3847" s="28"/>
      <c r="F3847" s="28">
        <v>0</v>
      </c>
      <c r="G3847" s="28" t="s">
        <v>121</v>
      </c>
      <c r="H3847" s="28">
        <v>0</v>
      </c>
      <c r="J3847" s="28"/>
    </row>
    <row r="3848" spans="1:10" ht="15.75" customHeight="1">
      <c r="A3848" s="28">
        <v>16209</v>
      </c>
      <c r="B3848" s="91">
        <v>44826.826388888891</v>
      </c>
      <c r="C3848" s="28" t="s">
        <v>10</v>
      </c>
      <c r="D3848" s="28" t="s">
        <v>1097</v>
      </c>
      <c r="E3848" s="28"/>
      <c r="F3848" s="28">
        <v>0</v>
      </c>
      <c r="G3848" s="28">
        <v>101684</v>
      </c>
      <c r="H3848" s="28">
        <v>0</v>
      </c>
      <c r="J3848" s="28"/>
    </row>
    <row r="3849" spans="1:10" ht="15.75" customHeight="1">
      <c r="A3849" s="28">
        <v>16209</v>
      </c>
      <c r="B3849" s="91">
        <v>44826.826388888891</v>
      </c>
      <c r="C3849" s="28" t="s">
        <v>10</v>
      </c>
      <c r="D3849" s="28" t="s">
        <v>1097</v>
      </c>
      <c r="E3849" s="28"/>
      <c r="F3849" s="28">
        <v>0</v>
      </c>
      <c r="G3849" s="28" t="s">
        <v>118</v>
      </c>
      <c r="H3849" s="28">
        <v>0</v>
      </c>
      <c r="J3849" s="28"/>
    </row>
    <row r="3850" spans="1:10" ht="15.75" customHeight="1">
      <c r="A3850" s="28">
        <v>16209</v>
      </c>
      <c r="B3850" s="91">
        <v>44826.826388888891</v>
      </c>
      <c r="C3850" s="28" t="s">
        <v>10</v>
      </c>
      <c r="D3850" s="28" t="s">
        <v>1097</v>
      </c>
      <c r="E3850" s="28"/>
      <c r="F3850" s="28">
        <v>0</v>
      </c>
      <c r="G3850" s="28" t="s">
        <v>119</v>
      </c>
      <c r="H3850" s="28">
        <v>0</v>
      </c>
      <c r="J3850" s="28"/>
    </row>
    <row r="3851" spans="1:10" ht="15.75" customHeight="1">
      <c r="A3851" s="28">
        <v>16209</v>
      </c>
      <c r="B3851" s="91">
        <v>44826.826388888891</v>
      </c>
      <c r="C3851" s="28" t="s">
        <v>10</v>
      </c>
      <c r="D3851" s="28" t="s">
        <v>1097</v>
      </c>
      <c r="E3851" s="28"/>
      <c r="F3851" s="28">
        <v>0</v>
      </c>
      <c r="G3851" s="28" t="s">
        <v>120</v>
      </c>
      <c r="H3851" s="28">
        <v>0</v>
      </c>
      <c r="J3851" s="28"/>
    </row>
    <row r="3852" spans="1:10" ht="15.75" customHeight="1">
      <c r="A3852" s="28">
        <v>16209</v>
      </c>
      <c r="B3852" s="91">
        <v>44826.826388888891</v>
      </c>
      <c r="C3852" s="28" t="s">
        <v>10</v>
      </c>
      <c r="D3852" s="28" t="s">
        <v>1097</v>
      </c>
      <c r="E3852" s="28"/>
      <c r="F3852" s="28">
        <v>0</v>
      </c>
      <c r="G3852" s="28" t="s">
        <v>121</v>
      </c>
      <c r="H3852" s="28">
        <v>0</v>
      </c>
      <c r="J3852" s="28"/>
    </row>
    <row r="3853" spans="1:10" ht="15.75" customHeight="1">
      <c r="A3853" s="28">
        <v>16208</v>
      </c>
      <c r="B3853" s="91">
        <v>44826.7028125</v>
      </c>
      <c r="C3853" s="28" t="s">
        <v>10</v>
      </c>
      <c r="D3853" s="28" t="s">
        <v>1097</v>
      </c>
      <c r="E3853" s="28"/>
      <c r="F3853" s="28">
        <v>0</v>
      </c>
      <c r="G3853" s="28">
        <v>100692</v>
      </c>
      <c r="H3853" s="28">
        <v>0</v>
      </c>
      <c r="J3853" s="28"/>
    </row>
    <row r="3854" spans="1:10" ht="15.75" customHeight="1">
      <c r="A3854" s="28">
        <v>16208</v>
      </c>
      <c r="B3854" s="91">
        <v>44826.7028125</v>
      </c>
      <c r="C3854" s="28" t="s">
        <v>10</v>
      </c>
      <c r="D3854" s="28" t="s">
        <v>1097</v>
      </c>
      <c r="E3854" s="28"/>
      <c r="F3854" s="28">
        <v>0</v>
      </c>
      <c r="G3854" s="28" t="s">
        <v>125</v>
      </c>
      <c r="H3854" s="28">
        <v>0</v>
      </c>
      <c r="J3854" s="28"/>
    </row>
    <row r="3855" spans="1:10" ht="15.75" customHeight="1">
      <c r="A3855" s="28">
        <v>16208</v>
      </c>
      <c r="B3855" s="91">
        <v>44826.7028125</v>
      </c>
      <c r="C3855" s="28" t="s">
        <v>10</v>
      </c>
      <c r="D3855" s="28" t="s">
        <v>1097</v>
      </c>
      <c r="E3855" s="28"/>
      <c r="F3855" s="28">
        <v>0</v>
      </c>
      <c r="G3855" s="28" t="s">
        <v>119</v>
      </c>
      <c r="H3855" s="28">
        <v>0</v>
      </c>
      <c r="J3855" s="28"/>
    </row>
    <row r="3856" spans="1:10" ht="15.75" customHeight="1">
      <c r="A3856" s="28">
        <v>16208</v>
      </c>
      <c r="B3856" s="91">
        <v>44826.7028125</v>
      </c>
      <c r="C3856" s="28" t="s">
        <v>10</v>
      </c>
      <c r="D3856" s="28" t="s">
        <v>1097</v>
      </c>
      <c r="E3856" s="28"/>
      <c r="F3856" s="28">
        <v>0</v>
      </c>
      <c r="G3856" s="28" t="s">
        <v>334</v>
      </c>
      <c r="H3856" s="28">
        <v>0</v>
      </c>
      <c r="J3856" s="28"/>
    </row>
    <row r="3857" spans="1:10" ht="15.75" customHeight="1">
      <c r="A3857" s="28">
        <v>16208</v>
      </c>
      <c r="B3857" s="91">
        <v>44826.7028125</v>
      </c>
      <c r="C3857" s="28" t="s">
        <v>10</v>
      </c>
      <c r="D3857" s="28" t="s">
        <v>1097</v>
      </c>
      <c r="E3857" s="28"/>
      <c r="F3857" s="28">
        <v>0</v>
      </c>
      <c r="G3857" s="28" t="s">
        <v>121</v>
      </c>
      <c r="H3857" s="28">
        <v>0</v>
      </c>
      <c r="J3857" s="28"/>
    </row>
    <row r="3858" spans="1:10" ht="15.75" customHeight="1">
      <c r="A3858" s="28">
        <v>16207</v>
      </c>
      <c r="B3858" s="91">
        <v>44826.701701388884</v>
      </c>
      <c r="C3858" s="28" t="s">
        <v>10</v>
      </c>
      <c r="D3858" s="28" t="s">
        <v>1097</v>
      </c>
      <c r="E3858" s="28"/>
      <c r="F3858" s="28">
        <v>35</v>
      </c>
      <c r="G3858" s="28" t="s">
        <v>124</v>
      </c>
      <c r="H3858" s="28">
        <v>0</v>
      </c>
      <c r="J3858" s="28"/>
    </row>
    <row r="3859" spans="1:10" ht="15.75" customHeight="1">
      <c r="A3859" s="28">
        <v>16207</v>
      </c>
      <c r="B3859" s="91">
        <v>44826.701701388884</v>
      </c>
      <c r="C3859" s="28" t="s">
        <v>10</v>
      </c>
      <c r="D3859" s="28" t="s">
        <v>1097</v>
      </c>
      <c r="E3859" s="28"/>
      <c r="F3859" s="28">
        <v>0</v>
      </c>
      <c r="G3859" s="28" t="s">
        <v>125</v>
      </c>
      <c r="H3859" s="28">
        <v>0</v>
      </c>
      <c r="J3859" s="28"/>
    </row>
    <row r="3860" spans="1:10" ht="15.75" customHeight="1">
      <c r="A3860" s="28">
        <v>16207</v>
      </c>
      <c r="B3860" s="91">
        <v>44826.701701388884</v>
      </c>
      <c r="C3860" s="28" t="s">
        <v>10</v>
      </c>
      <c r="D3860" s="28" t="s">
        <v>1097</v>
      </c>
      <c r="E3860" s="28"/>
      <c r="F3860" s="28">
        <v>0</v>
      </c>
      <c r="G3860" s="28" t="s">
        <v>121</v>
      </c>
      <c r="H3860" s="28">
        <v>0</v>
      </c>
      <c r="J3860" s="28"/>
    </row>
    <row r="3861" spans="1:10" ht="15.75" customHeight="1">
      <c r="A3861" s="28">
        <v>16207</v>
      </c>
      <c r="B3861" s="91">
        <v>44826.701701388884</v>
      </c>
      <c r="C3861" s="28" t="s">
        <v>10</v>
      </c>
      <c r="D3861" s="28" t="s">
        <v>1097</v>
      </c>
      <c r="E3861" s="28"/>
      <c r="F3861" s="28">
        <v>0</v>
      </c>
      <c r="G3861" s="28" t="s">
        <v>139</v>
      </c>
      <c r="H3861" s="28">
        <v>0</v>
      </c>
      <c r="J3861" s="28"/>
    </row>
    <row r="3862" spans="1:10" ht="15.75" customHeight="1">
      <c r="A3862" s="28">
        <v>16206</v>
      </c>
      <c r="B3862" s="91">
        <v>44826.688055555554</v>
      </c>
      <c r="C3862" s="28" t="s">
        <v>10</v>
      </c>
      <c r="D3862" s="28" t="s">
        <v>1097</v>
      </c>
      <c r="E3862" s="28"/>
      <c r="F3862" s="28">
        <v>0</v>
      </c>
      <c r="G3862" s="28">
        <v>101684</v>
      </c>
      <c r="H3862" s="28">
        <v>0</v>
      </c>
      <c r="J3862" s="28"/>
    </row>
    <row r="3863" spans="1:10" ht="15.75" customHeight="1">
      <c r="A3863" s="28">
        <v>16206</v>
      </c>
      <c r="B3863" s="91">
        <v>44826.688055555554</v>
      </c>
      <c r="C3863" s="28" t="s">
        <v>10</v>
      </c>
      <c r="D3863" s="28" t="s">
        <v>1097</v>
      </c>
      <c r="E3863" s="28"/>
      <c r="F3863" s="28">
        <v>0</v>
      </c>
      <c r="G3863" s="28" t="s">
        <v>118</v>
      </c>
      <c r="H3863" s="28">
        <v>0</v>
      </c>
      <c r="J3863" s="28"/>
    </row>
    <row r="3864" spans="1:10" ht="15.75" customHeight="1">
      <c r="A3864" s="28">
        <v>16206</v>
      </c>
      <c r="B3864" s="91">
        <v>44826.688055555554</v>
      </c>
      <c r="C3864" s="28" t="s">
        <v>10</v>
      </c>
      <c r="D3864" s="28" t="s">
        <v>1097</v>
      </c>
      <c r="E3864" s="28"/>
      <c r="F3864" s="28">
        <v>0</v>
      </c>
      <c r="G3864" s="28" t="s">
        <v>119</v>
      </c>
      <c r="H3864" s="28">
        <v>0</v>
      </c>
      <c r="J3864" s="28"/>
    </row>
    <row r="3865" spans="1:10" ht="15.75" customHeight="1">
      <c r="A3865" s="28">
        <v>16206</v>
      </c>
      <c r="B3865" s="91">
        <v>44826.688055555554</v>
      </c>
      <c r="C3865" s="28" t="s">
        <v>10</v>
      </c>
      <c r="D3865" s="28" t="s">
        <v>1097</v>
      </c>
      <c r="E3865" s="28"/>
      <c r="F3865" s="28">
        <v>0</v>
      </c>
      <c r="G3865" s="28" t="s">
        <v>120</v>
      </c>
      <c r="H3865" s="28">
        <v>0</v>
      </c>
      <c r="J3865" s="28"/>
    </row>
    <row r="3866" spans="1:10" ht="15.75" customHeight="1">
      <c r="A3866" s="28">
        <v>16206</v>
      </c>
      <c r="B3866" s="91">
        <v>44826.688055555554</v>
      </c>
      <c r="C3866" s="28" t="s">
        <v>10</v>
      </c>
      <c r="D3866" s="28" t="s">
        <v>1097</v>
      </c>
      <c r="E3866" s="28"/>
      <c r="F3866" s="28">
        <v>0</v>
      </c>
      <c r="G3866" s="28" t="s">
        <v>121</v>
      </c>
      <c r="H3866" s="28">
        <v>0</v>
      </c>
      <c r="J3866" s="28"/>
    </row>
    <row r="3867" spans="1:10" ht="15.75" customHeight="1">
      <c r="A3867" s="28">
        <v>16205</v>
      </c>
      <c r="B3867" s="91">
        <v>44826.590497685189</v>
      </c>
      <c r="C3867" s="28" t="s">
        <v>10</v>
      </c>
      <c r="D3867" s="28" t="s">
        <v>1406</v>
      </c>
      <c r="E3867" s="28"/>
      <c r="F3867" s="28">
        <v>0</v>
      </c>
      <c r="G3867" s="28" t="s">
        <v>139</v>
      </c>
      <c r="H3867" s="28">
        <v>0</v>
      </c>
      <c r="J3867" s="28"/>
    </row>
    <row r="3868" spans="1:10" ht="15.75" customHeight="1">
      <c r="A3868" s="28">
        <v>16205</v>
      </c>
      <c r="B3868" s="91">
        <v>44826.590497685189</v>
      </c>
      <c r="C3868" s="28" t="s">
        <v>10</v>
      </c>
      <c r="D3868" s="28" t="s">
        <v>1406</v>
      </c>
      <c r="E3868" s="28"/>
      <c r="F3868" s="28">
        <v>25</v>
      </c>
      <c r="G3868" s="28" t="s">
        <v>120</v>
      </c>
      <c r="H3868" s="28">
        <v>0</v>
      </c>
      <c r="J3868" s="28"/>
    </row>
    <row r="3869" spans="1:10" ht="15.75" customHeight="1">
      <c r="A3869" s="28">
        <v>16204</v>
      </c>
      <c r="B3869" s="91">
        <v>44826.517997685187</v>
      </c>
      <c r="C3869" s="28" t="s">
        <v>10</v>
      </c>
      <c r="D3869" s="28" t="s">
        <v>1407</v>
      </c>
      <c r="E3869" s="28"/>
      <c r="F3869" s="28">
        <v>35</v>
      </c>
      <c r="G3869" s="28" t="s">
        <v>124</v>
      </c>
      <c r="H3869" s="28">
        <v>0</v>
      </c>
      <c r="J3869" s="28"/>
    </row>
    <row r="3870" spans="1:10" ht="15.75" customHeight="1">
      <c r="A3870" s="28">
        <v>16204</v>
      </c>
      <c r="B3870" s="91">
        <v>44826.517997685187</v>
      </c>
      <c r="C3870" s="28" t="s">
        <v>10</v>
      </c>
      <c r="D3870" s="28" t="s">
        <v>1407</v>
      </c>
      <c r="E3870" s="28"/>
      <c r="F3870" s="28">
        <v>0</v>
      </c>
      <c r="G3870" s="28" t="s">
        <v>125</v>
      </c>
      <c r="H3870" s="28">
        <v>0</v>
      </c>
      <c r="J3870" s="28"/>
    </row>
    <row r="3871" spans="1:10" ht="15.75" customHeight="1">
      <c r="A3871" s="28">
        <v>16204</v>
      </c>
      <c r="B3871" s="91">
        <v>44826.517997685187</v>
      </c>
      <c r="C3871" s="28" t="s">
        <v>10</v>
      </c>
      <c r="D3871" s="28" t="s">
        <v>1407</v>
      </c>
      <c r="E3871" s="28"/>
      <c r="F3871" s="28">
        <v>0</v>
      </c>
      <c r="G3871" s="28" t="s">
        <v>121</v>
      </c>
      <c r="H3871" s="28">
        <v>0</v>
      </c>
      <c r="J3871" s="28"/>
    </row>
    <row r="3872" spans="1:10" ht="15.75" customHeight="1">
      <c r="A3872" s="28">
        <v>16204</v>
      </c>
      <c r="B3872" s="91">
        <v>44826.517997685187</v>
      </c>
      <c r="C3872" s="28" t="s">
        <v>10</v>
      </c>
      <c r="D3872" s="28" t="s">
        <v>1407</v>
      </c>
      <c r="E3872" s="28"/>
      <c r="F3872" s="28">
        <v>0</v>
      </c>
      <c r="G3872" s="28" t="s">
        <v>139</v>
      </c>
      <c r="H3872" s="28">
        <v>0</v>
      </c>
      <c r="J3872" s="28"/>
    </row>
    <row r="3873" spans="1:10" ht="15.75" customHeight="1">
      <c r="A3873" s="28">
        <v>16203</v>
      </c>
      <c r="B3873" s="91">
        <v>44826.510266203702</v>
      </c>
      <c r="C3873" s="28" t="s">
        <v>10</v>
      </c>
      <c r="D3873" s="28" t="s">
        <v>1408</v>
      </c>
      <c r="E3873" s="28"/>
      <c r="F3873" s="28">
        <v>15</v>
      </c>
      <c r="G3873" s="28" t="s">
        <v>742</v>
      </c>
      <c r="H3873" s="28">
        <v>0</v>
      </c>
      <c r="J3873" s="28"/>
    </row>
    <row r="3874" spans="1:10" ht="15.75" customHeight="1">
      <c r="A3874" s="28">
        <v>16201</v>
      </c>
      <c r="B3874" s="91">
        <v>44826.396666666667</v>
      </c>
      <c r="C3874" s="28" t="s">
        <v>10</v>
      </c>
      <c r="D3874" s="28" t="s">
        <v>1409</v>
      </c>
      <c r="E3874" s="28"/>
      <c r="F3874" s="28">
        <v>7.5</v>
      </c>
      <c r="G3874" s="28" t="s">
        <v>774</v>
      </c>
      <c r="H3874" s="28">
        <v>0</v>
      </c>
      <c r="J3874" s="28"/>
    </row>
    <row r="3875" spans="1:10" ht="15.75" customHeight="1">
      <c r="A3875" s="28">
        <v>16201</v>
      </c>
      <c r="B3875" s="91">
        <v>44826.396666666667</v>
      </c>
      <c r="C3875" s="28" t="s">
        <v>10</v>
      </c>
      <c r="D3875" s="28" t="s">
        <v>1409</v>
      </c>
      <c r="E3875" s="28"/>
      <c r="F3875" s="28">
        <v>20</v>
      </c>
      <c r="G3875" s="28" t="s">
        <v>205</v>
      </c>
      <c r="H3875" s="28">
        <v>0</v>
      </c>
      <c r="J3875" s="28"/>
    </row>
    <row r="3876" spans="1:10" ht="15.75" customHeight="1">
      <c r="A3876" s="28">
        <v>16201</v>
      </c>
      <c r="B3876" s="91">
        <v>44826.396666666667</v>
      </c>
      <c r="C3876" s="28" t="s">
        <v>10</v>
      </c>
      <c r="D3876" s="28" t="s">
        <v>1409</v>
      </c>
      <c r="E3876" s="28"/>
      <c r="F3876" s="28">
        <v>0</v>
      </c>
      <c r="G3876" s="28" t="s">
        <v>125</v>
      </c>
      <c r="H3876" s="28">
        <v>0</v>
      </c>
      <c r="J3876" s="28"/>
    </row>
    <row r="3877" spans="1:10" ht="15.75" customHeight="1">
      <c r="A3877" s="28">
        <v>16200</v>
      </c>
      <c r="B3877" s="91">
        <v>44826.121990740736</v>
      </c>
      <c r="C3877" s="28" t="s">
        <v>10</v>
      </c>
      <c r="D3877" s="28" t="s">
        <v>1410</v>
      </c>
      <c r="E3877" s="28"/>
      <c r="F3877" s="28">
        <v>28</v>
      </c>
      <c r="G3877" s="28" t="s">
        <v>143</v>
      </c>
      <c r="H3877" s="28">
        <v>0</v>
      </c>
      <c r="J3877" s="28"/>
    </row>
    <row r="3878" spans="1:10" ht="15.75" customHeight="1">
      <c r="A3878" s="28">
        <v>16199</v>
      </c>
      <c r="B3878" s="91">
        <v>44825.832349537042</v>
      </c>
      <c r="C3878" s="28" t="s">
        <v>10</v>
      </c>
      <c r="D3878" s="28" t="s">
        <v>1411</v>
      </c>
      <c r="E3878" s="28"/>
      <c r="F3878" s="28">
        <v>28</v>
      </c>
      <c r="G3878" s="28" t="s">
        <v>143</v>
      </c>
      <c r="H3878" s="28">
        <v>0</v>
      </c>
      <c r="J3878" s="28"/>
    </row>
    <row r="3879" spans="1:10" ht="15.75" customHeight="1">
      <c r="A3879" s="28">
        <v>16199</v>
      </c>
      <c r="B3879" s="91">
        <v>44825.832349537042</v>
      </c>
      <c r="C3879" s="28" t="s">
        <v>10</v>
      </c>
      <c r="D3879" s="28" t="s">
        <v>1411</v>
      </c>
      <c r="E3879" s="28"/>
      <c r="F3879" s="28">
        <v>0</v>
      </c>
      <c r="G3879" s="28" t="s">
        <v>139</v>
      </c>
      <c r="H3879" s="28">
        <v>0</v>
      </c>
      <c r="J3879" s="28"/>
    </row>
    <row r="3880" spans="1:10" ht="15.75" customHeight="1">
      <c r="A3880" s="28">
        <v>16199</v>
      </c>
      <c r="B3880" s="91">
        <v>44825.832349537042</v>
      </c>
      <c r="C3880" s="28" t="s">
        <v>10</v>
      </c>
      <c r="D3880" s="28" t="s">
        <v>1411</v>
      </c>
      <c r="E3880" s="28"/>
      <c r="F3880" s="28">
        <v>35</v>
      </c>
      <c r="G3880" s="28" t="s">
        <v>124</v>
      </c>
      <c r="H3880" s="28">
        <v>0</v>
      </c>
      <c r="J3880" s="28"/>
    </row>
    <row r="3881" spans="1:10" ht="15.75" customHeight="1">
      <c r="A3881" s="28">
        <v>16199</v>
      </c>
      <c r="B3881" s="91">
        <v>44825.832349537042</v>
      </c>
      <c r="C3881" s="28" t="s">
        <v>10</v>
      </c>
      <c r="D3881" s="28" t="s">
        <v>1411</v>
      </c>
      <c r="E3881" s="28"/>
      <c r="F3881" s="28">
        <v>0</v>
      </c>
      <c r="G3881" s="28" t="s">
        <v>125</v>
      </c>
      <c r="H3881" s="28">
        <v>0</v>
      </c>
      <c r="J3881" s="28"/>
    </row>
    <row r="3882" spans="1:10" ht="15.75" customHeight="1">
      <c r="A3882" s="28">
        <v>16199</v>
      </c>
      <c r="B3882" s="91">
        <v>44825.832349537042</v>
      </c>
      <c r="C3882" s="28" t="s">
        <v>10</v>
      </c>
      <c r="D3882" s="28" t="s">
        <v>1411</v>
      </c>
      <c r="E3882" s="28"/>
      <c r="F3882" s="28">
        <v>0</v>
      </c>
      <c r="G3882" s="28" t="s">
        <v>121</v>
      </c>
      <c r="H3882" s="28">
        <v>0</v>
      </c>
      <c r="J3882" s="28"/>
    </row>
    <row r="3883" spans="1:10" ht="15.75" customHeight="1">
      <c r="A3883" s="28">
        <v>16199</v>
      </c>
      <c r="B3883" s="91">
        <v>44825.832349537042</v>
      </c>
      <c r="C3883" s="28" t="s">
        <v>10</v>
      </c>
      <c r="D3883" s="28" t="s">
        <v>1411</v>
      </c>
      <c r="E3883" s="28"/>
      <c r="F3883" s="28">
        <v>0</v>
      </c>
      <c r="G3883" s="28" t="s">
        <v>139</v>
      </c>
      <c r="H3883" s="28">
        <v>0</v>
      </c>
      <c r="J3883" s="28"/>
    </row>
    <row r="3884" spans="1:10" ht="15.75" customHeight="1">
      <c r="A3884" s="28">
        <v>16198</v>
      </c>
      <c r="B3884" s="91">
        <v>44825.800509259258</v>
      </c>
      <c r="C3884" s="28" t="s">
        <v>10</v>
      </c>
      <c r="D3884" s="28" t="s">
        <v>1412</v>
      </c>
      <c r="E3884" s="28"/>
      <c r="F3884" s="28">
        <v>55</v>
      </c>
      <c r="G3884" s="28">
        <v>101684</v>
      </c>
      <c r="H3884" s="28">
        <v>0</v>
      </c>
      <c r="J3884" s="28"/>
    </row>
    <row r="3885" spans="1:10" ht="15.75" customHeight="1">
      <c r="A3885" s="28">
        <v>16198</v>
      </c>
      <c r="B3885" s="91">
        <v>44825.800509259258</v>
      </c>
      <c r="C3885" s="28" t="s">
        <v>10</v>
      </c>
      <c r="D3885" s="28" t="s">
        <v>1412</v>
      </c>
      <c r="E3885" s="28"/>
      <c r="F3885" s="28">
        <v>0</v>
      </c>
      <c r="G3885" s="28" t="s">
        <v>118</v>
      </c>
      <c r="H3885" s="28">
        <v>0</v>
      </c>
      <c r="J3885" s="28"/>
    </row>
    <row r="3886" spans="1:10" ht="15.75" customHeight="1">
      <c r="A3886" s="28">
        <v>16198</v>
      </c>
      <c r="B3886" s="91">
        <v>44825.800509259258</v>
      </c>
      <c r="C3886" s="28" t="s">
        <v>10</v>
      </c>
      <c r="D3886" s="28" t="s">
        <v>1412</v>
      </c>
      <c r="E3886" s="28"/>
      <c r="F3886" s="28">
        <v>0</v>
      </c>
      <c r="G3886" s="28" t="s">
        <v>119</v>
      </c>
      <c r="H3886" s="28">
        <v>0</v>
      </c>
      <c r="J3886" s="28"/>
    </row>
    <row r="3887" spans="1:10" ht="15.75" customHeight="1">
      <c r="A3887" s="28">
        <v>16198</v>
      </c>
      <c r="B3887" s="91">
        <v>44825.800509259258</v>
      </c>
      <c r="C3887" s="28" t="s">
        <v>10</v>
      </c>
      <c r="D3887" s="28" t="s">
        <v>1412</v>
      </c>
      <c r="E3887" s="28"/>
      <c r="F3887" s="28">
        <v>0</v>
      </c>
      <c r="G3887" s="28" t="s">
        <v>120</v>
      </c>
      <c r="H3887" s="28">
        <v>0</v>
      </c>
      <c r="J3887" s="28"/>
    </row>
    <row r="3888" spans="1:10" ht="15.75" customHeight="1">
      <c r="A3888" s="28">
        <v>16198</v>
      </c>
      <c r="B3888" s="91">
        <v>44825.800509259258</v>
      </c>
      <c r="C3888" s="28" t="s">
        <v>10</v>
      </c>
      <c r="D3888" s="28" t="s">
        <v>1412</v>
      </c>
      <c r="E3888" s="28"/>
      <c r="F3888" s="28">
        <v>0</v>
      </c>
      <c r="G3888" s="28" t="s">
        <v>121</v>
      </c>
      <c r="H3888" s="28">
        <v>0</v>
      </c>
      <c r="J3888" s="28"/>
    </row>
    <row r="3889" spans="1:10" ht="15.75" customHeight="1">
      <c r="A3889" s="28">
        <v>16197</v>
      </c>
      <c r="B3889" s="91">
        <v>44825.470578703702</v>
      </c>
      <c r="C3889" s="28" t="s">
        <v>10</v>
      </c>
      <c r="D3889" s="28" t="s">
        <v>1413</v>
      </c>
      <c r="E3889" s="28"/>
      <c r="F3889" s="28">
        <v>55</v>
      </c>
      <c r="G3889" s="28">
        <v>101684</v>
      </c>
      <c r="H3889" s="28">
        <v>0</v>
      </c>
      <c r="J3889" s="28"/>
    </row>
    <row r="3890" spans="1:10" ht="15.75" customHeight="1">
      <c r="A3890" s="28">
        <v>16197</v>
      </c>
      <c r="B3890" s="91">
        <v>44825.470578703702</v>
      </c>
      <c r="C3890" s="28" t="s">
        <v>10</v>
      </c>
      <c r="D3890" s="28" t="s">
        <v>1413</v>
      </c>
      <c r="E3890" s="28"/>
      <c r="F3890" s="28">
        <v>0</v>
      </c>
      <c r="G3890" s="28" t="s">
        <v>118</v>
      </c>
      <c r="H3890" s="28">
        <v>0</v>
      </c>
      <c r="J3890" s="28"/>
    </row>
    <row r="3891" spans="1:10" ht="15.75" customHeight="1">
      <c r="A3891" s="28">
        <v>16197</v>
      </c>
      <c r="B3891" s="91">
        <v>44825.470578703702</v>
      </c>
      <c r="C3891" s="28" t="s">
        <v>10</v>
      </c>
      <c r="D3891" s="28" t="s">
        <v>1413</v>
      </c>
      <c r="E3891" s="28"/>
      <c r="F3891" s="28">
        <v>0</v>
      </c>
      <c r="G3891" s="28" t="s">
        <v>119</v>
      </c>
      <c r="H3891" s="28">
        <v>0</v>
      </c>
      <c r="J3891" s="28"/>
    </row>
    <row r="3892" spans="1:10" ht="15.75" customHeight="1">
      <c r="A3892" s="28">
        <v>16197</v>
      </c>
      <c r="B3892" s="91">
        <v>44825.470578703702</v>
      </c>
      <c r="C3892" s="28" t="s">
        <v>10</v>
      </c>
      <c r="D3892" s="28" t="s">
        <v>1413</v>
      </c>
      <c r="E3892" s="28"/>
      <c r="F3892" s="28">
        <v>0</v>
      </c>
      <c r="G3892" s="28" t="s">
        <v>120</v>
      </c>
      <c r="H3892" s="28">
        <v>0</v>
      </c>
      <c r="J3892" s="28"/>
    </row>
    <row r="3893" spans="1:10" ht="15.75" customHeight="1">
      <c r="A3893" s="28">
        <v>16197</v>
      </c>
      <c r="B3893" s="91">
        <v>44825.470578703702</v>
      </c>
      <c r="C3893" s="28" t="s">
        <v>10</v>
      </c>
      <c r="D3893" s="28" t="s">
        <v>1413</v>
      </c>
      <c r="E3893" s="28"/>
      <c r="F3893" s="28">
        <v>0</v>
      </c>
      <c r="G3893" s="28" t="s">
        <v>121</v>
      </c>
      <c r="H3893" s="28">
        <v>0</v>
      </c>
      <c r="J3893" s="28"/>
    </row>
    <row r="3894" spans="1:10" ht="15.75" customHeight="1">
      <c r="A3894" s="28">
        <v>16196</v>
      </c>
      <c r="B3894" s="91">
        <v>44825.015092592592</v>
      </c>
      <c r="C3894" s="28" t="s">
        <v>10</v>
      </c>
      <c r="D3894" s="28" t="s">
        <v>1414</v>
      </c>
      <c r="E3894" s="28"/>
      <c r="F3894" s="28">
        <v>35</v>
      </c>
      <c r="G3894" s="28" t="s">
        <v>124</v>
      </c>
      <c r="H3894" s="28">
        <v>0</v>
      </c>
      <c r="J3894" s="28"/>
    </row>
    <row r="3895" spans="1:10" ht="15.75" customHeight="1">
      <c r="A3895" s="28">
        <v>16196</v>
      </c>
      <c r="B3895" s="91">
        <v>44825.015092592592</v>
      </c>
      <c r="C3895" s="28" t="s">
        <v>10</v>
      </c>
      <c r="D3895" s="28" t="s">
        <v>1414</v>
      </c>
      <c r="E3895" s="28"/>
      <c r="F3895" s="28">
        <v>0</v>
      </c>
      <c r="G3895" s="28" t="s">
        <v>125</v>
      </c>
      <c r="H3895" s="28">
        <v>0</v>
      </c>
      <c r="J3895" s="28"/>
    </row>
    <row r="3896" spans="1:10" ht="15.75" customHeight="1">
      <c r="A3896" s="28">
        <v>16196</v>
      </c>
      <c r="B3896" s="91">
        <v>44825.015092592592</v>
      </c>
      <c r="C3896" s="28" t="s">
        <v>10</v>
      </c>
      <c r="D3896" s="28" t="s">
        <v>1414</v>
      </c>
      <c r="E3896" s="28"/>
      <c r="F3896" s="28">
        <v>0</v>
      </c>
      <c r="G3896" s="28" t="s">
        <v>121</v>
      </c>
      <c r="H3896" s="28">
        <v>0</v>
      </c>
      <c r="J3896" s="28"/>
    </row>
    <row r="3897" spans="1:10" ht="15.75" customHeight="1">
      <c r="A3897" s="28">
        <v>16196</v>
      </c>
      <c r="B3897" s="91">
        <v>44825.015092592592</v>
      </c>
      <c r="C3897" s="28" t="s">
        <v>10</v>
      </c>
      <c r="D3897" s="28" t="s">
        <v>1414</v>
      </c>
      <c r="E3897" s="28"/>
      <c r="F3897" s="28">
        <v>0</v>
      </c>
      <c r="G3897" s="28" t="s">
        <v>139</v>
      </c>
      <c r="H3897" s="28">
        <v>0</v>
      </c>
      <c r="J3897" s="28"/>
    </row>
    <row r="3898" spans="1:10" ht="15.75" customHeight="1">
      <c r="A3898" s="28">
        <v>16195</v>
      </c>
      <c r="B3898" s="91">
        <v>44824.994999999995</v>
      </c>
      <c r="C3898" s="28" t="s">
        <v>10</v>
      </c>
      <c r="D3898" s="28" t="s">
        <v>1415</v>
      </c>
      <c r="E3898" s="28"/>
      <c r="F3898" s="28">
        <v>20</v>
      </c>
      <c r="G3898" s="28" t="s">
        <v>121</v>
      </c>
      <c r="H3898" s="28">
        <v>0</v>
      </c>
      <c r="J3898" s="28"/>
    </row>
    <row r="3899" spans="1:10" ht="15.75" customHeight="1">
      <c r="A3899" s="28">
        <v>16195</v>
      </c>
      <c r="B3899" s="91">
        <v>44824.994999999995</v>
      </c>
      <c r="C3899" s="28" t="s">
        <v>10</v>
      </c>
      <c r="D3899" s="28" t="s">
        <v>1415</v>
      </c>
      <c r="E3899" s="28"/>
      <c r="F3899" s="28">
        <v>18</v>
      </c>
      <c r="G3899" s="28" t="s">
        <v>267</v>
      </c>
      <c r="H3899" s="28">
        <v>0</v>
      </c>
      <c r="J3899" s="28"/>
    </row>
    <row r="3900" spans="1:10" ht="15.75" customHeight="1">
      <c r="A3900" s="28">
        <v>16195</v>
      </c>
      <c r="B3900" s="91">
        <v>44824.994999999995</v>
      </c>
      <c r="C3900" s="28" t="s">
        <v>10</v>
      </c>
      <c r="D3900" s="28" t="s">
        <v>1415</v>
      </c>
      <c r="E3900" s="28"/>
      <c r="F3900" s="28">
        <v>25</v>
      </c>
      <c r="G3900" s="28" t="s">
        <v>120</v>
      </c>
      <c r="H3900" s="28">
        <v>0</v>
      </c>
      <c r="J3900" s="28"/>
    </row>
    <row r="3901" spans="1:10" ht="15.75" customHeight="1">
      <c r="A3901" s="28">
        <v>16194</v>
      </c>
      <c r="B3901" s="91">
        <v>44824.778067129635</v>
      </c>
      <c r="C3901" s="28" t="s">
        <v>10</v>
      </c>
      <c r="D3901" s="28" t="s">
        <v>1347</v>
      </c>
      <c r="E3901" s="28"/>
      <c r="F3901" s="28">
        <v>35</v>
      </c>
      <c r="G3901" s="28" t="s">
        <v>124</v>
      </c>
      <c r="H3901" s="28">
        <v>0</v>
      </c>
      <c r="J3901" s="28"/>
    </row>
    <row r="3902" spans="1:10" ht="15.75" customHeight="1">
      <c r="A3902" s="28">
        <v>16194</v>
      </c>
      <c r="B3902" s="91">
        <v>44824.778067129635</v>
      </c>
      <c r="C3902" s="28" t="s">
        <v>10</v>
      </c>
      <c r="D3902" s="28" t="s">
        <v>1347</v>
      </c>
      <c r="E3902" s="28"/>
      <c r="F3902" s="28">
        <v>0</v>
      </c>
      <c r="G3902" s="28" t="s">
        <v>125</v>
      </c>
      <c r="H3902" s="28">
        <v>0</v>
      </c>
      <c r="J3902" s="28"/>
    </row>
    <row r="3903" spans="1:10" ht="15.75" customHeight="1">
      <c r="A3903" s="28">
        <v>16194</v>
      </c>
      <c r="B3903" s="91">
        <v>44824.778067129635</v>
      </c>
      <c r="C3903" s="28" t="s">
        <v>10</v>
      </c>
      <c r="D3903" s="28" t="s">
        <v>1347</v>
      </c>
      <c r="E3903" s="28"/>
      <c r="F3903" s="28">
        <v>0</v>
      </c>
      <c r="G3903" s="28" t="s">
        <v>121</v>
      </c>
      <c r="H3903" s="28">
        <v>0</v>
      </c>
      <c r="J3903" s="28"/>
    </row>
    <row r="3904" spans="1:10" ht="15.75" customHeight="1">
      <c r="A3904" s="28">
        <v>16194</v>
      </c>
      <c r="B3904" s="91">
        <v>44824.778067129635</v>
      </c>
      <c r="C3904" s="28" t="s">
        <v>10</v>
      </c>
      <c r="D3904" s="28" t="s">
        <v>1347</v>
      </c>
      <c r="E3904" s="28"/>
      <c r="F3904" s="28">
        <v>0</v>
      </c>
      <c r="G3904" s="28" t="s">
        <v>139</v>
      </c>
      <c r="H3904" s="28">
        <v>0</v>
      </c>
      <c r="J3904" s="28"/>
    </row>
    <row r="3905" spans="1:10" ht="15.75" customHeight="1">
      <c r="A3905" s="28">
        <v>16194</v>
      </c>
      <c r="B3905" s="91">
        <v>44824.778067129635</v>
      </c>
      <c r="C3905" s="28" t="s">
        <v>10</v>
      </c>
      <c r="D3905" s="28" t="s">
        <v>1347</v>
      </c>
      <c r="E3905" s="28"/>
      <c r="F3905" s="28">
        <v>7.5</v>
      </c>
      <c r="G3905" s="28" t="s">
        <v>774</v>
      </c>
      <c r="H3905" s="28">
        <v>0</v>
      </c>
      <c r="J3905" s="28"/>
    </row>
    <row r="3906" spans="1:10" ht="15.75" customHeight="1">
      <c r="A3906" s="28">
        <v>16193</v>
      </c>
      <c r="B3906" s="91">
        <v>44824.7659837963</v>
      </c>
      <c r="C3906" s="28" t="s">
        <v>10</v>
      </c>
      <c r="D3906" s="28" t="s">
        <v>1416</v>
      </c>
      <c r="E3906" s="28"/>
      <c r="F3906" s="28">
        <v>28</v>
      </c>
      <c r="G3906" s="28" t="s">
        <v>143</v>
      </c>
      <c r="H3906" s="28">
        <v>0</v>
      </c>
      <c r="J3906" s="28"/>
    </row>
    <row r="3907" spans="1:10" ht="15.75" customHeight="1">
      <c r="A3907" s="28">
        <v>16192</v>
      </c>
      <c r="B3907" s="91">
        <v>44824.756736111114</v>
      </c>
      <c r="C3907" s="28" t="s">
        <v>10</v>
      </c>
      <c r="D3907" s="28" t="s">
        <v>1417</v>
      </c>
      <c r="E3907" s="28"/>
      <c r="F3907" s="28">
        <v>0</v>
      </c>
      <c r="G3907" s="28" t="s">
        <v>139</v>
      </c>
      <c r="H3907" s="28">
        <v>0</v>
      </c>
      <c r="J3907" s="28"/>
    </row>
    <row r="3908" spans="1:10" ht="15.75" customHeight="1">
      <c r="A3908" s="28">
        <v>16192</v>
      </c>
      <c r="B3908" s="91">
        <v>44824.756736111114</v>
      </c>
      <c r="C3908" s="28" t="s">
        <v>10</v>
      </c>
      <c r="D3908" s="28" t="s">
        <v>1417</v>
      </c>
      <c r="E3908" s="28"/>
      <c r="F3908" s="28">
        <v>55</v>
      </c>
      <c r="G3908" s="28">
        <v>101684</v>
      </c>
      <c r="H3908" s="28">
        <v>0</v>
      </c>
      <c r="J3908" s="28"/>
    </row>
    <row r="3909" spans="1:10" ht="15.75" customHeight="1">
      <c r="A3909" s="28">
        <v>16192</v>
      </c>
      <c r="B3909" s="91">
        <v>44824.756736111114</v>
      </c>
      <c r="C3909" s="28" t="s">
        <v>10</v>
      </c>
      <c r="D3909" s="28" t="s">
        <v>1417</v>
      </c>
      <c r="E3909" s="28"/>
      <c r="F3909" s="28">
        <v>0</v>
      </c>
      <c r="G3909" s="28" t="s">
        <v>118</v>
      </c>
      <c r="H3909" s="28">
        <v>0</v>
      </c>
      <c r="J3909" s="28"/>
    </row>
    <row r="3910" spans="1:10" ht="15.75" customHeight="1">
      <c r="A3910" s="28">
        <v>16192</v>
      </c>
      <c r="B3910" s="91">
        <v>44824.756736111114</v>
      </c>
      <c r="C3910" s="28" t="s">
        <v>10</v>
      </c>
      <c r="D3910" s="28" t="s">
        <v>1417</v>
      </c>
      <c r="E3910" s="28"/>
      <c r="F3910" s="28">
        <v>0</v>
      </c>
      <c r="G3910" s="28" t="s">
        <v>119</v>
      </c>
      <c r="H3910" s="28">
        <v>0</v>
      </c>
      <c r="J3910" s="28"/>
    </row>
    <row r="3911" spans="1:10" ht="15.75" customHeight="1">
      <c r="A3911" s="28">
        <v>16192</v>
      </c>
      <c r="B3911" s="91">
        <v>44824.756736111114</v>
      </c>
      <c r="C3911" s="28" t="s">
        <v>10</v>
      </c>
      <c r="D3911" s="28" t="s">
        <v>1417</v>
      </c>
      <c r="E3911" s="28"/>
      <c r="F3911" s="28">
        <v>0</v>
      </c>
      <c r="G3911" s="28" t="s">
        <v>120</v>
      </c>
      <c r="H3911" s="28">
        <v>0</v>
      </c>
      <c r="J3911" s="28"/>
    </row>
    <row r="3912" spans="1:10" ht="15.75" customHeight="1">
      <c r="A3912" s="28">
        <v>16192</v>
      </c>
      <c r="B3912" s="91">
        <v>44824.756736111114</v>
      </c>
      <c r="C3912" s="28" t="s">
        <v>10</v>
      </c>
      <c r="D3912" s="28" t="s">
        <v>1417</v>
      </c>
      <c r="E3912" s="28"/>
      <c r="F3912" s="28">
        <v>0</v>
      </c>
      <c r="G3912" s="28" t="s">
        <v>121</v>
      </c>
      <c r="H3912" s="28">
        <v>0</v>
      </c>
      <c r="J3912" s="28"/>
    </row>
    <row r="3913" spans="1:10" ht="15.75" customHeight="1">
      <c r="A3913" s="28">
        <v>16191</v>
      </c>
      <c r="B3913" s="91">
        <v>44824.694421296299</v>
      </c>
      <c r="C3913" s="28" t="s">
        <v>10</v>
      </c>
      <c r="D3913" s="28" t="s">
        <v>1418</v>
      </c>
      <c r="E3913" s="28"/>
      <c r="F3913" s="28">
        <v>35</v>
      </c>
      <c r="G3913" s="28" t="s">
        <v>124</v>
      </c>
      <c r="H3913" s="28">
        <v>0</v>
      </c>
      <c r="J3913" s="28"/>
    </row>
    <row r="3914" spans="1:10" ht="15.75" customHeight="1">
      <c r="A3914" s="28">
        <v>16191</v>
      </c>
      <c r="B3914" s="91">
        <v>44824.694421296299</v>
      </c>
      <c r="C3914" s="28" t="s">
        <v>10</v>
      </c>
      <c r="D3914" s="28" t="s">
        <v>1418</v>
      </c>
      <c r="E3914" s="28"/>
      <c r="F3914" s="28">
        <v>0</v>
      </c>
      <c r="G3914" s="28" t="s">
        <v>125</v>
      </c>
      <c r="H3914" s="28">
        <v>0</v>
      </c>
      <c r="J3914" s="28"/>
    </row>
    <row r="3915" spans="1:10" ht="15.75" customHeight="1">
      <c r="A3915" s="28">
        <v>16191</v>
      </c>
      <c r="B3915" s="91">
        <v>44824.694421296299</v>
      </c>
      <c r="C3915" s="28" t="s">
        <v>10</v>
      </c>
      <c r="D3915" s="28" t="s">
        <v>1418</v>
      </c>
      <c r="E3915" s="28"/>
      <c r="F3915" s="28">
        <v>0</v>
      </c>
      <c r="G3915" s="28" t="s">
        <v>121</v>
      </c>
      <c r="H3915" s="28">
        <v>0</v>
      </c>
      <c r="J3915" s="28"/>
    </row>
    <row r="3916" spans="1:10" ht="15.75" customHeight="1">
      <c r="A3916" s="28">
        <v>16191</v>
      </c>
      <c r="B3916" s="91">
        <v>44824.694421296299</v>
      </c>
      <c r="C3916" s="28" t="s">
        <v>10</v>
      </c>
      <c r="D3916" s="28" t="s">
        <v>1418</v>
      </c>
      <c r="E3916" s="28"/>
      <c r="F3916" s="28">
        <v>0</v>
      </c>
      <c r="G3916" s="28" t="s">
        <v>139</v>
      </c>
      <c r="H3916" s="28">
        <v>0</v>
      </c>
      <c r="J3916" s="28"/>
    </row>
    <row r="3917" spans="1:10" ht="15.75" customHeight="1">
      <c r="A3917" s="28">
        <v>16190</v>
      </c>
      <c r="B3917" s="91">
        <v>44824.553263888884</v>
      </c>
      <c r="C3917" s="28" t="s">
        <v>10</v>
      </c>
      <c r="D3917" s="28" t="s">
        <v>1419</v>
      </c>
      <c r="E3917" s="28"/>
      <c r="F3917" s="28">
        <v>15</v>
      </c>
      <c r="G3917" s="28" t="s">
        <v>125</v>
      </c>
      <c r="H3917" s="28">
        <v>0</v>
      </c>
      <c r="J3917" s="28"/>
    </row>
    <row r="3918" spans="1:10" ht="15.75" customHeight="1">
      <c r="A3918" s="28">
        <v>16189</v>
      </c>
      <c r="B3918" s="91">
        <v>44824.09778935185</v>
      </c>
      <c r="C3918" s="28" t="s">
        <v>10</v>
      </c>
      <c r="D3918" s="28" t="s">
        <v>1420</v>
      </c>
      <c r="E3918" s="28"/>
      <c r="F3918" s="28">
        <v>0</v>
      </c>
      <c r="G3918" s="28">
        <v>100692</v>
      </c>
      <c r="H3918" s="28">
        <v>0</v>
      </c>
      <c r="J3918" s="28"/>
    </row>
    <row r="3919" spans="1:10" ht="15.75" customHeight="1">
      <c r="A3919" s="28">
        <v>16189</v>
      </c>
      <c r="B3919" s="91">
        <v>44824.09778935185</v>
      </c>
      <c r="C3919" s="28" t="s">
        <v>10</v>
      </c>
      <c r="D3919" s="28" t="s">
        <v>1420</v>
      </c>
      <c r="E3919" s="28"/>
      <c r="F3919" s="28">
        <v>0</v>
      </c>
      <c r="G3919" s="28" t="s">
        <v>125</v>
      </c>
      <c r="H3919" s="28">
        <v>0</v>
      </c>
      <c r="J3919" s="28"/>
    </row>
    <row r="3920" spans="1:10" ht="15.75" customHeight="1">
      <c r="A3920" s="28">
        <v>16189</v>
      </c>
      <c r="B3920" s="91">
        <v>44824.09778935185</v>
      </c>
      <c r="C3920" s="28" t="s">
        <v>10</v>
      </c>
      <c r="D3920" s="28" t="s">
        <v>1420</v>
      </c>
      <c r="E3920" s="28"/>
      <c r="F3920" s="28">
        <v>0</v>
      </c>
      <c r="G3920" s="28" t="s">
        <v>119</v>
      </c>
      <c r="H3920" s="28">
        <v>0</v>
      </c>
      <c r="J3920" s="28"/>
    </row>
    <row r="3921" spans="1:10" ht="15.75" customHeight="1">
      <c r="A3921" s="28">
        <v>16188</v>
      </c>
      <c r="B3921" s="91">
        <v>44824.095671296294</v>
      </c>
      <c r="C3921" s="28" t="s">
        <v>10</v>
      </c>
      <c r="D3921" s="28" t="s">
        <v>1421</v>
      </c>
      <c r="E3921" s="28"/>
      <c r="F3921" s="28">
        <v>0</v>
      </c>
      <c r="G3921" s="28">
        <v>100692</v>
      </c>
      <c r="H3921" s="28">
        <v>0</v>
      </c>
      <c r="J3921" s="28"/>
    </row>
    <row r="3922" spans="1:10" ht="15.75" customHeight="1">
      <c r="A3922" s="28">
        <v>16188</v>
      </c>
      <c r="B3922" s="91">
        <v>44824.095671296294</v>
      </c>
      <c r="C3922" s="28" t="s">
        <v>10</v>
      </c>
      <c r="D3922" s="28" t="s">
        <v>1421</v>
      </c>
      <c r="E3922" s="28"/>
      <c r="F3922" s="28">
        <v>0</v>
      </c>
      <c r="G3922" s="28" t="s">
        <v>125</v>
      </c>
      <c r="H3922" s="28">
        <v>0</v>
      </c>
      <c r="J3922" s="28"/>
    </row>
    <row r="3923" spans="1:10" ht="15.75" customHeight="1">
      <c r="A3923" s="28">
        <v>16188</v>
      </c>
      <c r="B3923" s="91">
        <v>44824.095671296294</v>
      </c>
      <c r="C3923" s="28" t="s">
        <v>10</v>
      </c>
      <c r="D3923" s="28" t="s">
        <v>1421</v>
      </c>
      <c r="E3923" s="28"/>
      <c r="F3923" s="28">
        <v>0</v>
      </c>
      <c r="G3923" s="28" t="s">
        <v>119</v>
      </c>
      <c r="H3923" s="28">
        <v>0</v>
      </c>
      <c r="J3923" s="28"/>
    </row>
    <row r="3924" spans="1:10" ht="15.75" customHeight="1">
      <c r="A3924" s="28">
        <v>16186</v>
      </c>
      <c r="B3924" s="91">
        <v>44824.04614583333</v>
      </c>
      <c r="C3924" s="28" t="s">
        <v>10</v>
      </c>
      <c r="D3924" s="28" t="s">
        <v>1422</v>
      </c>
      <c r="E3924" s="28"/>
      <c r="F3924" s="28">
        <v>0</v>
      </c>
      <c r="G3924" s="28" t="s">
        <v>139</v>
      </c>
      <c r="H3924" s="28">
        <v>0</v>
      </c>
      <c r="J3924" s="28"/>
    </row>
    <row r="3925" spans="1:10" ht="15.75" customHeight="1">
      <c r="A3925" s="28">
        <v>16186</v>
      </c>
      <c r="B3925" s="91">
        <v>44824.04614583333</v>
      </c>
      <c r="C3925" s="28" t="s">
        <v>10</v>
      </c>
      <c r="D3925" s="28" t="s">
        <v>1422</v>
      </c>
      <c r="E3925" s="28"/>
      <c r="F3925" s="28">
        <v>15</v>
      </c>
      <c r="G3925" s="28" t="s">
        <v>170</v>
      </c>
      <c r="H3925" s="28">
        <v>0</v>
      </c>
      <c r="J3925" s="28"/>
    </row>
    <row r="3926" spans="1:10" ht="15.75" customHeight="1">
      <c r="A3926" s="28">
        <v>16185</v>
      </c>
      <c r="B3926" s="91">
        <v>44823.899907407409</v>
      </c>
      <c r="C3926" s="28" t="s">
        <v>10</v>
      </c>
      <c r="D3926" s="28" t="s">
        <v>1423</v>
      </c>
      <c r="E3926" s="28"/>
      <c r="F3926" s="28">
        <v>35</v>
      </c>
      <c r="G3926" s="28" t="s">
        <v>124</v>
      </c>
      <c r="H3926" s="28">
        <v>0</v>
      </c>
      <c r="J3926" s="28"/>
    </row>
    <row r="3927" spans="1:10" ht="15.75" customHeight="1">
      <c r="A3927" s="28">
        <v>16185</v>
      </c>
      <c r="B3927" s="91">
        <v>44823.899907407409</v>
      </c>
      <c r="C3927" s="28" t="s">
        <v>10</v>
      </c>
      <c r="D3927" s="28" t="s">
        <v>1423</v>
      </c>
      <c r="E3927" s="28"/>
      <c r="F3927" s="28">
        <v>0</v>
      </c>
      <c r="G3927" s="28" t="s">
        <v>125</v>
      </c>
      <c r="H3927" s="28">
        <v>0</v>
      </c>
      <c r="J3927" s="28"/>
    </row>
    <row r="3928" spans="1:10" ht="15.75" customHeight="1">
      <c r="A3928" s="28">
        <v>16185</v>
      </c>
      <c r="B3928" s="91">
        <v>44823.899907407409</v>
      </c>
      <c r="C3928" s="28" t="s">
        <v>10</v>
      </c>
      <c r="D3928" s="28" t="s">
        <v>1423</v>
      </c>
      <c r="E3928" s="28"/>
      <c r="F3928" s="28">
        <v>0</v>
      </c>
      <c r="G3928" s="28" t="s">
        <v>121</v>
      </c>
      <c r="H3928" s="28">
        <v>0</v>
      </c>
      <c r="J3928" s="28"/>
    </row>
    <row r="3929" spans="1:10" ht="15.75" customHeight="1">
      <c r="A3929" s="28">
        <v>16185</v>
      </c>
      <c r="B3929" s="91">
        <v>44823.899907407409</v>
      </c>
      <c r="C3929" s="28" t="s">
        <v>10</v>
      </c>
      <c r="D3929" s="28" t="s">
        <v>1423</v>
      </c>
      <c r="E3929" s="28"/>
      <c r="F3929" s="28">
        <v>0</v>
      </c>
      <c r="G3929" s="28" t="s">
        <v>139</v>
      </c>
      <c r="H3929" s="28">
        <v>0</v>
      </c>
      <c r="J3929" s="28"/>
    </row>
    <row r="3930" spans="1:10" ht="15.75" customHeight="1">
      <c r="A3930" s="28">
        <v>16184</v>
      </c>
      <c r="B3930" s="91">
        <v>44823.754942129628</v>
      </c>
      <c r="C3930" s="28" t="s">
        <v>10</v>
      </c>
      <c r="D3930" s="28" t="s">
        <v>1424</v>
      </c>
      <c r="E3930" s="28"/>
      <c r="F3930" s="28">
        <v>15</v>
      </c>
      <c r="G3930" s="28" t="s">
        <v>170</v>
      </c>
      <c r="H3930" s="28">
        <v>0</v>
      </c>
      <c r="J3930" s="28"/>
    </row>
    <row r="3931" spans="1:10" ht="15.75" customHeight="1">
      <c r="A3931" s="28">
        <v>16184</v>
      </c>
      <c r="B3931" s="91">
        <v>44823.754942129628</v>
      </c>
      <c r="C3931" s="28" t="s">
        <v>10</v>
      </c>
      <c r="D3931" s="28" t="s">
        <v>1424</v>
      </c>
      <c r="E3931" s="28"/>
      <c r="F3931" s="28">
        <v>22</v>
      </c>
      <c r="G3931" s="28" t="s">
        <v>137</v>
      </c>
      <c r="H3931" s="28">
        <v>0</v>
      </c>
      <c r="J3931" s="28"/>
    </row>
    <row r="3932" spans="1:10" ht="15.75" customHeight="1">
      <c r="A3932" s="28">
        <v>16184</v>
      </c>
      <c r="B3932" s="91">
        <v>44823.754942129628</v>
      </c>
      <c r="C3932" s="28" t="s">
        <v>10</v>
      </c>
      <c r="D3932" s="28" t="s">
        <v>1424</v>
      </c>
      <c r="E3932" s="28"/>
      <c r="F3932" s="28">
        <v>15</v>
      </c>
      <c r="G3932" s="28" t="s">
        <v>125</v>
      </c>
      <c r="H3932" s="28">
        <v>0</v>
      </c>
      <c r="J3932" s="28"/>
    </row>
    <row r="3933" spans="1:10" ht="15.75" customHeight="1">
      <c r="A3933" s="28">
        <v>16183</v>
      </c>
      <c r="B3933" s="91">
        <v>44823.703032407408</v>
      </c>
      <c r="C3933" s="28" t="s">
        <v>10</v>
      </c>
      <c r="D3933" s="28" t="s">
        <v>1425</v>
      </c>
      <c r="E3933" s="28"/>
      <c r="F3933" s="28">
        <v>15</v>
      </c>
      <c r="G3933" s="28" t="s">
        <v>170</v>
      </c>
      <c r="H3933" s="28">
        <v>0</v>
      </c>
      <c r="J3933" s="28"/>
    </row>
    <row r="3934" spans="1:10" ht="15.75" customHeight="1">
      <c r="A3934" s="28">
        <v>16182</v>
      </c>
      <c r="B3934" s="91">
        <v>44823.658194444448</v>
      </c>
      <c r="C3934" s="28" t="s">
        <v>10</v>
      </c>
      <c r="D3934" s="28" t="s">
        <v>1426</v>
      </c>
      <c r="E3934" s="28"/>
      <c r="F3934" s="28">
        <v>25</v>
      </c>
      <c r="G3934" s="28">
        <v>100692</v>
      </c>
      <c r="H3934" s="28">
        <v>0</v>
      </c>
      <c r="J3934" s="28"/>
    </row>
    <row r="3935" spans="1:10" ht="15.75" customHeight="1">
      <c r="A3935" s="28">
        <v>16182</v>
      </c>
      <c r="B3935" s="91">
        <v>44823.658194444448</v>
      </c>
      <c r="C3935" s="28" t="s">
        <v>10</v>
      </c>
      <c r="D3935" s="28" t="s">
        <v>1426</v>
      </c>
      <c r="E3935" s="28"/>
      <c r="F3935" s="28">
        <v>0</v>
      </c>
      <c r="G3935" s="28" t="s">
        <v>125</v>
      </c>
      <c r="H3935" s="28">
        <v>0</v>
      </c>
      <c r="J3935" s="28"/>
    </row>
    <row r="3936" spans="1:10" ht="15.75" customHeight="1">
      <c r="A3936" s="28">
        <v>16182</v>
      </c>
      <c r="B3936" s="91">
        <v>44823.658194444448</v>
      </c>
      <c r="C3936" s="28" t="s">
        <v>10</v>
      </c>
      <c r="D3936" s="28" t="s">
        <v>1426</v>
      </c>
      <c r="E3936" s="28"/>
      <c r="F3936" s="28">
        <v>0</v>
      </c>
      <c r="G3936" s="28" t="s">
        <v>119</v>
      </c>
      <c r="H3936" s="28">
        <v>0</v>
      </c>
      <c r="J3936" s="28"/>
    </row>
    <row r="3937" spans="1:10" ht="15.75" customHeight="1">
      <c r="A3937" s="28">
        <v>16181</v>
      </c>
      <c r="B3937" s="91">
        <v>44823.480347222227</v>
      </c>
      <c r="C3937" s="28" t="s">
        <v>10</v>
      </c>
      <c r="D3937" s="28" t="s">
        <v>1427</v>
      </c>
      <c r="E3937" s="28"/>
      <c r="F3937" s="28">
        <v>20</v>
      </c>
      <c r="G3937" s="28" t="s">
        <v>121</v>
      </c>
      <c r="H3937" s="28">
        <v>0</v>
      </c>
      <c r="J3937" s="28"/>
    </row>
    <row r="3938" spans="1:10" ht="15.75" customHeight="1">
      <c r="A3938" s="28">
        <v>16181</v>
      </c>
      <c r="B3938" s="91">
        <v>44823.480347222227</v>
      </c>
      <c r="C3938" s="28" t="s">
        <v>10</v>
      </c>
      <c r="D3938" s="28" t="s">
        <v>1427</v>
      </c>
      <c r="E3938" s="28"/>
      <c r="F3938" s="28">
        <v>24</v>
      </c>
      <c r="G3938" s="28" t="s">
        <v>122</v>
      </c>
      <c r="H3938" s="28">
        <v>0</v>
      </c>
      <c r="J3938" s="28"/>
    </row>
    <row r="3939" spans="1:10" ht="15.75" customHeight="1">
      <c r="A3939" s="28">
        <v>16181</v>
      </c>
      <c r="B3939" s="91">
        <v>44823.480347222227</v>
      </c>
      <c r="C3939" s="28" t="s">
        <v>10</v>
      </c>
      <c r="D3939" s="28" t="s">
        <v>1427</v>
      </c>
      <c r="E3939" s="28"/>
      <c r="F3939" s="28">
        <v>22</v>
      </c>
      <c r="G3939" s="28" t="s">
        <v>137</v>
      </c>
      <c r="H3939" s="28">
        <v>0</v>
      </c>
      <c r="J3939" s="28"/>
    </row>
    <row r="3940" spans="1:10" ht="15.75" customHeight="1">
      <c r="A3940" s="28">
        <v>16181</v>
      </c>
      <c r="B3940" s="91">
        <v>44823.480347222227</v>
      </c>
      <c r="C3940" s="28" t="s">
        <v>10</v>
      </c>
      <c r="D3940" s="28" t="s">
        <v>1427</v>
      </c>
      <c r="E3940" s="28"/>
      <c r="F3940" s="28">
        <v>18</v>
      </c>
      <c r="G3940" s="28" t="s">
        <v>267</v>
      </c>
      <c r="H3940" s="28">
        <v>0</v>
      </c>
      <c r="J3940" s="28"/>
    </row>
    <row r="3941" spans="1:10" ht="15.75" customHeight="1">
      <c r="A3941" s="28">
        <v>16181</v>
      </c>
      <c r="B3941" s="91">
        <v>44823.480347222227</v>
      </c>
      <c r="C3941" s="28" t="s">
        <v>10</v>
      </c>
      <c r="D3941" s="28" t="s">
        <v>1427</v>
      </c>
      <c r="E3941" s="28"/>
      <c r="F3941" s="28">
        <v>0</v>
      </c>
      <c r="G3941" s="28" t="s">
        <v>139</v>
      </c>
      <c r="H3941" s="28">
        <v>0</v>
      </c>
      <c r="J3941" s="28"/>
    </row>
    <row r="3942" spans="1:10" ht="15.75" customHeight="1">
      <c r="A3942" s="28">
        <v>16179</v>
      </c>
      <c r="B3942" s="91">
        <v>44823.041527777779</v>
      </c>
      <c r="C3942" s="28" t="s">
        <v>10</v>
      </c>
      <c r="D3942" s="28" t="s">
        <v>1428</v>
      </c>
      <c r="E3942" s="28"/>
      <c r="F3942" s="28">
        <v>55</v>
      </c>
      <c r="G3942" s="28" t="s">
        <v>861</v>
      </c>
      <c r="H3942" s="28">
        <v>0</v>
      </c>
      <c r="J3942" s="28"/>
    </row>
    <row r="3943" spans="1:10" ht="15.75" customHeight="1">
      <c r="A3943" s="92">
        <v>16179</v>
      </c>
      <c r="B3943" s="93">
        <v>44823.041527777779</v>
      </c>
      <c r="C3943" s="92" t="s">
        <v>10</v>
      </c>
      <c r="D3943" s="92" t="s">
        <v>1428</v>
      </c>
      <c r="E3943" s="92"/>
      <c r="F3943" s="92">
        <v>22</v>
      </c>
      <c r="G3943" s="92" t="s">
        <v>137</v>
      </c>
      <c r="H3943" s="92">
        <v>0</v>
      </c>
      <c r="J3943" s="92"/>
    </row>
    <row r="3944" spans="1:10" ht="15.75" customHeight="1">
      <c r="A3944" s="28">
        <v>16177</v>
      </c>
      <c r="B3944" s="91">
        <v>44822.880601851852</v>
      </c>
      <c r="C3944" s="28" t="s">
        <v>10</v>
      </c>
      <c r="D3944" s="28" t="s">
        <v>1429</v>
      </c>
      <c r="E3944" s="28"/>
      <c r="F3944" s="28">
        <v>30</v>
      </c>
      <c r="G3944" s="28" t="s">
        <v>128</v>
      </c>
      <c r="H3944" s="28">
        <v>0</v>
      </c>
      <c r="J3944" s="28"/>
    </row>
    <row r="3945" spans="1:10" ht="15.75" customHeight="1">
      <c r="A3945" s="28">
        <v>16177</v>
      </c>
      <c r="B3945" s="91">
        <v>44822.880601851852</v>
      </c>
      <c r="C3945" s="28" t="s">
        <v>10</v>
      </c>
      <c r="D3945" s="28" t="s">
        <v>1429</v>
      </c>
      <c r="E3945" s="28"/>
      <c r="F3945" s="28">
        <v>0</v>
      </c>
      <c r="G3945" s="28" t="s">
        <v>125</v>
      </c>
      <c r="H3945" s="28">
        <v>0</v>
      </c>
      <c r="J3945" s="28"/>
    </row>
    <row r="3946" spans="1:10" ht="15.75" customHeight="1">
      <c r="A3946" s="28">
        <v>16177</v>
      </c>
      <c r="B3946" s="91">
        <v>44822.880601851852</v>
      </c>
      <c r="C3946" s="28" t="s">
        <v>10</v>
      </c>
      <c r="D3946" s="28" t="s">
        <v>1429</v>
      </c>
      <c r="E3946" s="28"/>
      <c r="F3946" s="28">
        <v>0</v>
      </c>
      <c r="G3946" s="28" t="s">
        <v>119</v>
      </c>
      <c r="H3946" s="28">
        <v>0</v>
      </c>
      <c r="J3946" s="28"/>
    </row>
    <row r="3947" spans="1:10" ht="15.75" customHeight="1">
      <c r="A3947" s="28">
        <v>16177</v>
      </c>
      <c r="B3947" s="91">
        <v>44822.880601851852</v>
      </c>
      <c r="C3947" s="28" t="s">
        <v>10</v>
      </c>
      <c r="D3947" s="28" t="s">
        <v>1429</v>
      </c>
      <c r="E3947" s="28"/>
      <c r="F3947" s="28">
        <v>20</v>
      </c>
      <c r="G3947" s="28" t="s">
        <v>121</v>
      </c>
      <c r="H3947" s="28">
        <v>0</v>
      </c>
      <c r="J3947" s="28"/>
    </row>
    <row r="3948" spans="1:10" ht="15.75" customHeight="1">
      <c r="A3948" s="28">
        <v>16177</v>
      </c>
      <c r="B3948" s="91">
        <v>44822.880601851852</v>
      </c>
      <c r="C3948" s="28" t="s">
        <v>10</v>
      </c>
      <c r="D3948" s="28" t="s">
        <v>1429</v>
      </c>
      <c r="E3948" s="28"/>
      <c r="F3948" s="28">
        <v>15</v>
      </c>
      <c r="G3948" s="28" t="s">
        <v>125</v>
      </c>
      <c r="H3948" s="28">
        <v>0</v>
      </c>
      <c r="J3948" s="28"/>
    </row>
    <row r="3949" spans="1:10" ht="15.75" customHeight="1">
      <c r="A3949" s="28">
        <v>16177</v>
      </c>
      <c r="B3949" s="91">
        <v>44822.880601851852</v>
      </c>
      <c r="C3949" s="28" t="s">
        <v>10</v>
      </c>
      <c r="D3949" s="28" t="s">
        <v>1429</v>
      </c>
      <c r="E3949" s="28"/>
      <c r="F3949" s="28">
        <v>24</v>
      </c>
      <c r="G3949" s="28" t="s">
        <v>122</v>
      </c>
      <c r="H3949" s="28">
        <v>0</v>
      </c>
      <c r="J3949" s="28"/>
    </row>
    <row r="3950" spans="1:10" ht="15.75" customHeight="1">
      <c r="A3950" s="28">
        <v>16176</v>
      </c>
      <c r="B3950" s="91">
        <v>44822.811377314814</v>
      </c>
      <c r="C3950" s="28" t="s">
        <v>10</v>
      </c>
      <c r="D3950" s="28" t="s">
        <v>1430</v>
      </c>
      <c r="E3950" s="28"/>
      <c r="F3950" s="28">
        <v>15</v>
      </c>
      <c r="G3950" s="28" t="s">
        <v>125</v>
      </c>
      <c r="H3950" s="28">
        <v>0</v>
      </c>
      <c r="J3950" s="28"/>
    </row>
    <row r="3951" spans="1:10" ht="15.75" customHeight="1">
      <c r="A3951" s="28">
        <v>16176</v>
      </c>
      <c r="B3951" s="91">
        <v>44822.811377314814</v>
      </c>
      <c r="C3951" s="28" t="s">
        <v>10</v>
      </c>
      <c r="D3951" s="28" t="s">
        <v>1430</v>
      </c>
      <c r="E3951" s="28"/>
      <c r="F3951" s="28">
        <v>48</v>
      </c>
      <c r="G3951" s="28" t="s">
        <v>122</v>
      </c>
      <c r="H3951" s="28">
        <v>0</v>
      </c>
      <c r="J3951" s="28"/>
    </row>
    <row r="3952" spans="1:10" ht="15.75" customHeight="1">
      <c r="A3952" s="28">
        <v>16175</v>
      </c>
      <c r="B3952" s="91">
        <v>44822.806666666671</v>
      </c>
      <c r="C3952" s="28" t="s">
        <v>10</v>
      </c>
      <c r="D3952" s="28" t="s">
        <v>1431</v>
      </c>
      <c r="E3952" s="28"/>
      <c r="F3952" s="28">
        <v>0</v>
      </c>
      <c r="G3952" s="28" t="s">
        <v>139</v>
      </c>
      <c r="H3952" s="28">
        <v>0</v>
      </c>
      <c r="J3952" s="28"/>
    </row>
    <row r="3953" spans="1:10" ht="15.75" customHeight="1">
      <c r="A3953" s="28">
        <v>16175</v>
      </c>
      <c r="B3953" s="91">
        <v>44822.806666666671</v>
      </c>
      <c r="C3953" s="28" t="s">
        <v>10</v>
      </c>
      <c r="D3953" s="28" t="s">
        <v>1431</v>
      </c>
      <c r="E3953" s="28"/>
      <c r="F3953" s="28">
        <v>18</v>
      </c>
      <c r="G3953" s="28" t="s">
        <v>119</v>
      </c>
      <c r="H3953" s="28">
        <v>0</v>
      </c>
      <c r="J3953" s="28"/>
    </row>
    <row r="3954" spans="1:10" ht="15.75" customHeight="1">
      <c r="A3954" s="28">
        <v>16174</v>
      </c>
      <c r="B3954" s="91">
        <v>44822.788668981477</v>
      </c>
      <c r="C3954" s="28" t="s">
        <v>10</v>
      </c>
      <c r="D3954" s="28" t="s">
        <v>1432</v>
      </c>
      <c r="E3954" s="28"/>
      <c r="F3954" s="28">
        <v>55</v>
      </c>
      <c r="G3954" s="28">
        <v>101684</v>
      </c>
      <c r="H3954" s="28">
        <v>0</v>
      </c>
      <c r="J3954" s="28"/>
    </row>
    <row r="3955" spans="1:10" ht="15.75" customHeight="1">
      <c r="A3955" s="28">
        <v>16174</v>
      </c>
      <c r="B3955" s="91">
        <v>44822.788668981477</v>
      </c>
      <c r="C3955" s="28" t="s">
        <v>10</v>
      </c>
      <c r="D3955" s="28" t="s">
        <v>1432</v>
      </c>
      <c r="E3955" s="28"/>
      <c r="F3955" s="28">
        <v>0</v>
      </c>
      <c r="G3955" s="28" t="s">
        <v>118</v>
      </c>
      <c r="H3955" s="28">
        <v>0</v>
      </c>
      <c r="J3955" s="28"/>
    </row>
    <row r="3956" spans="1:10" ht="15.75" customHeight="1">
      <c r="A3956" s="28">
        <v>16174</v>
      </c>
      <c r="B3956" s="91">
        <v>44822.788668981477</v>
      </c>
      <c r="C3956" s="28" t="s">
        <v>10</v>
      </c>
      <c r="D3956" s="28" t="s">
        <v>1432</v>
      </c>
      <c r="E3956" s="28"/>
      <c r="F3956" s="28">
        <v>0</v>
      </c>
      <c r="G3956" s="28" t="s">
        <v>119</v>
      </c>
      <c r="H3956" s="28">
        <v>0</v>
      </c>
      <c r="J3956" s="28"/>
    </row>
    <row r="3957" spans="1:10" ht="15.75" customHeight="1">
      <c r="A3957" s="28">
        <v>16174</v>
      </c>
      <c r="B3957" s="91">
        <v>44822.788668981477</v>
      </c>
      <c r="C3957" s="28" t="s">
        <v>10</v>
      </c>
      <c r="D3957" s="28" t="s">
        <v>1432</v>
      </c>
      <c r="E3957" s="28"/>
      <c r="F3957" s="28">
        <v>0</v>
      </c>
      <c r="G3957" s="28" t="s">
        <v>120</v>
      </c>
      <c r="H3957" s="28">
        <v>0</v>
      </c>
      <c r="J3957" s="28"/>
    </row>
    <row r="3958" spans="1:10" ht="15.75" customHeight="1">
      <c r="A3958" s="28">
        <v>16174</v>
      </c>
      <c r="B3958" s="91">
        <v>44822.788668981477</v>
      </c>
      <c r="C3958" s="28" t="s">
        <v>10</v>
      </c>
      <c r="D3958" s="28" t="s">
        <v>1432</v>
      </c>
      <c r="E3958" s="28"/>
      <c r="F3958" s="28">
        <v>0</v>
      </c>
      <c r="G3958" s="28" t="s">
        <v>121</v>
      </c>
      <c r="H3958" s="28">
        <v>0</v>
      </c>
      <c r="J3958" s="28"/>
    </row>
    <row r="3959" spans="1:10" ht="15.75" customHeight="1">
      <c r="A3959" s="28">
        <v>16174</v>
      </c>
      <c r="B3959" s="91">
        <v>44822.788668981477</v>
      </c>
      <c r="C3959" s="28" t="s">
        <v>10</v>
      </c>
      <c r="D3959" s="28" t="s">
        <v>1432</v>
      </c>
      <c r="E3959" s="28"/>
      <c r="F3959" s="28">
        <v>15</v>
      </c>
      <c r="G3959" s="28"/>
      <c r="H3959" s="28">
        <v>0</v>
      </c>
      <c r="J3959" s="28"/>
    </row>
    <row r="3960" spans="1:10" ht="15.75" customHeight="1">
      <c r="A3960" s="28">
        <v>16173</v>
      </c>
      <c r="B3960" s="91">
        <v>44822.78601851852</v>
      </c>
      <c r="C3960" s="28" t="s">
        <v>10</v>
      </c>
      <c r="D3960" s="28" t="s">
        <v>1433</v>
      </c>
      <c r="E3960" s="28"/>
      <c r="F3960" s="28">
        <v>0</v>
      </c>
      <c r="G3960" s="28" t="s">
        <v>139</v>
      </c>
      <c r="H3960" s="28">
        <v>0</v>
      </c>
      <c r="J3960" s="28"/>
    </row>
    <row r="3961" spans="1:10" ht="15.75" customHeight="1">
      <c r="A3961" s="28">
        <v>16172</v>
      </c>
      <c r="B3961" s="91">
        <v>44822.783622685187</v>
      </c>
      <c r="C3961" s="28" t="s">
        <v>10</v>
      </c>
      <c r="D3961" s="28" t="s">
        <v>1434</v>
      </c>
      <c r="E3961" s="28"/>
      <c r="F3961" s="28">
        <v>10</v>
      </c>
      <c r="G3961" s="28" t="s">
        <v>286</v>
      </c>
      <c r="H3961" s="28">
        <v>0</v>
      </c>
      <c r="J3961" s="28"/>
    </row>
    <row r="3962" spans="1:10" ht="15.75" customHeight="1">
      <c r="A3962" s="28">
        <v>16171</v>
      </c>
      <c r="B3962" s="91">
        <v>44822.748784722222</v>
      </c>
      <c r="C3962" s="28" t="s">
        <v>10</v>
      </c>
      <c r="D3962" s="28" t="s">
        <v>1435</v>
      </c>
      <c r="E3962" s="28"/>
      <c r="F3962" s="28">
        <v>25</v>
      </c>
      <c r="G3962" s="28" t="s">
        <v>297</v>
      </c>
      <c r="H3962" s="28">
        <v>0</v>
      </c>
      <c r="J3962" s="28"/>
    </row>
    <row r="3963" spans="1:10" ht="15.75" customHeight="1">
      <c r="A3963" s="28">
        <v>16171</v>
      </c>
      <c r="B3963" s="91">
        <v>44822.748784722222</v>
      </c>
      <c r="C3963" s="28" t="s">
        <v>10</v>
      </c>
      <c r="D3963" s="28" t="s">
        <v>1435</v>
      </c>
      <c r="E3963" s="28"/>
      <c r="F3963" s="28">
        <v>30</v>
      </c>
      <c r="G3963" s="28"/>
      <c r="H3963" s="28">
        <v>0</v>
      </c>
      <c r="J3963" s="28"/>
    </row>
    <row r="3964" spans="1:10" ht="15.75" customHeight="1">
      <c r="A3964" s="28">
        <v>16170</v>
      </c>
      <c r="B3964" s="91">
        <v>44822.703703703708</v>
      </c>
      <c r="C3964" s="28" t="s">
        <v>10</v>
      </c>
      <c r="D3964" s="28" t="s">
        <v>1436</v>
      </c>
      <c r="E3964" s="28"/>
      <c r="F3964" s="28">
        <v>25</v>
      </c>
      <c r="G3964" s="28" t="s">
        <v>118</v>
      </c>
      <c r="H3964" s="28">
        <v>0</v>
      </c>
      <c r="J3964" s="28"/>
    </row>
    <row r="3965" spans="1:10" ht="15.75" customHeight="1">
      <c r="A3965" s="28">
        <v>16170</v>
      </c>
      <c r="B3965" s="91">
        <v>44822.703703703708</v>
      </c>
      <c r="C3965" s="28" t="s">
        <v>10</v>
      </c>
      <c r="D3965" s="28" t="s">
        <v>1436</v>
      </c>
      <c r="E3965" s="28"/>
      <c r="F3965" s="28">
        <v>24</v>
      </c>
      <c r="G3965" s="28" t="s">
        <v>122</v>
      </c>
      <c r="H3965" s="28">
        <v>0</v>
      </c>
      <c r="J3965" s="28"/>
    </row>
    <row r="3966" spans="1:10" ht="15.75" customHeight="1">
      <c r="A3966" s="28">
        <v>16169</v>
      </c>
      <c r="B3966" s="91">
        <v>44822.701805555553</v>
      </c>
      <c r="C3966" s="28" t="s">
        <v>10</v>
      </c>
      <c r="D3966" s="28" t="s">
        <v>1437</v>
      </c>
      <c r="E3966" s="28"/>
      <c r="F3966" s="28">
        <v>35</v>
      </c>
      <c r="G3966" s="28" t="s">
        <v>124</v>
      </c>
      <c r="H3966" s="28">
        <v>0</v>
      </c>
      <c r="J3966" s="28"/>
    </row>
    <row r="3967" spans="1:10" ht="15.75" customHeight="1">
      <c r="A3967" s="28">
        <v>16169</v>
      </c>
      <c r="B3967" s="91">
        <v>44822.701805555553</v>
      </c>
      <c r="C3967" s="28" t="s">
        <v>10</v>
      </c>
      <c r="D3967" s="28" t="s">
        <v>1437</v>
      </c>
      <c r="E3967" s="28"/>
      <c r="F3967" s="28">
        <v>0</v>
      </c>
      <c r="G3967" s="28" t="s">
        <v>125</v>
      </c>
      <c r="H3967" s="28">
        <v>0</v>
      </c>
      <c r="J3967" s="28"/>
    </row>
    <row r="3968" spans="1:10" ht="15.75" customHeight="1">
      <c r="A3968" s="28">
        <v>16169</v>
      </c>
      <c r="B3968" s="91">
        <v>44822.701805555553</v>
      </c>
      <c r="C3968" s="28" t="s">
        <v>10</v>
      </c>
      <c r="D3968" s="28" t="s">
        <v>1437</v>
      </c>
      <c r="E3968" s="28"/>
      <c r="F3968" s="28">
        <v>0</v>
      </c>
      <c r="G3968" s="28" t="s">
        <v>121</v>
      </c>
      <c r="H3968" s="28">
        <v>0</v>
      </c>
      <c r="J3968" s="28"/>
    </row>
    <row r="3969" spans="1:10" ht="15.75" customHeight="1">
      <c r="A3969" s="28">
        <v>16169</v>
      </c>
      <c r="B3969" s="91">
        <v>44822.701805555553</v>
      </c>
      <c r="C3969" s="28" t="s">
        <v>10</v>
      </c>
      <c r="D3969" s="28" t="s">
        <v>1437</v>
      </c>
      <c r="E3969" s="28"/>
      <c r="F3969" s="28">
        <v>0</v>
      </c>
      <c r="G3969" s="28" t="s">
        <v>139</v>
      </c>
      <c r="H3969" s="28">
        <v>0</v>
      </c>
      <c r="J3969" s="28"/>
    </row>
    <row r="3970" spans="1:10" ht="15.75" customHeight="1">
      <c r="A3970" s="28">
        <v>16168</v>
      </c>
      <c r="B3970" s="91">
        <v>44822.699282407411</v>
      </c>
      <c r="C3970" s="28" t="s">
        <v>10</v>
      </c>
      <c r="D3970" s="28" t="s">
        <v>1438</v>
      </c>
      <c r="E3970" s="28"/>
      <c r="F3970" s="28">
        <v>24</v>
      </c>
      <c r="G3970" s="28" t="s">
        <v>122</v>
      </c>
      <c r="H3970" s="28">
        <v>0</v>
      </c>
      <c r="J3970" s="28"/>
    </row>
    <row r="3971" spans="1:10" ht="15.75" customHeight="1">
      <c r="A3971" s="28">
        <v>16167</v>
      </c>
      <c r="B3971" s="91">
        <v>44822.696979166663</v>
      </c>
      <c r="C3971" s="28" t="s">
        <v>10</v>
      </c>
      <c r="D3971" s="28" t="s">
        <v>1439</v>
      </c>
      <c r="E3971" s="28"/>
      <c r="F3971" s="28">
        <v>35</v>
      </c>
      <c r="G3971" s="28" t="s">
        <v>124</v>
      </c>
      <c r="H3971" s="28">
        <v>0</v>
      </c>
      <c r="J3971" s="28"/>
    </row>
    <row r="3972" spans="1:10" ht="15.75" customHeight="1">
      <c r="A3972" s="28">
        <v>16167</v>
      </c>
      <c r="B3972" s="91">
        <v>44822.696979166663</v>
      </c>
      <c r="C3972" s="28" t="s">
        <v>10</v>
      </c>
      <c r="D3972" s="28" t="s">
        <v>1439</v>
      </c>
      <c r="E3972" s="28"/>
      <c r="F3972" s="28">
        <v>0</v>
      </c>
      <c r="G3972" s="28" t="s">
        <v>125</v>
      </c>
      <c r="H3972" s="28">
        <v>0</v>
      </c>
      <c r="J3972" s="28"/>
    </row>
    <row r="3973" spans="1:10" ht="15.75" customHeight="1">
      <c r="A3973" s="28">
        <v>16167</v>
      </c>
      <c r="B3973" s="91">
        <v>44822.696979166663</v>
      </c>
      <c r="C3973" s="28" t="s">
        <v>10</v>
      </c>
      <c r="D3973" s="28" t="s">
        <v>1439</v>
      </c>
      <c r="E3973" s="28"/>
      <c r="F3973" s="28">
        <v>0</v>
      </c>
      <c r="G3973" s="28" t="s">
        <v>121</v>
      </c>
      <c r="H3973" s="28">
        <v>0</v>
      </c>
      <c r="J3973" s="28"/>
    </row>
    <row r="3974" spans="1:10" ht="15.75" customHeight="1">
      <c r="A3974" s="28">
        <v>16167</v>
      </c>
      <c r="B3974" s="91">
        <v>44822.696979166663</v>
      </c>
      <c r="C3974" s="28" t="s">
        <v>10</v>
      </c>
      <c r="D3974" s="28" t="s">
        <v>1439</v>
      </c>
      <c r="E3974" s="28"/>
      <c r="F3974" s="28">
        <v>0</v>
      </c>
      <c r="G3974" s="28" t="s">
        <v>139</v>
      </c>
      <c r="H3974" s="28">
        <v>0</v>
      </c>
      <c r="J3974" s="28"/>
    </row>
    <row r="3975" spans="1:10" ht="15.75" customHeight="1">
      <c r="A3975" s="92">
        <v>16167</v>
      </c>
      <c r="B3975" s="93">
        <v>44822.696979166663</v>
      </c>
      <c r="C3975" s="92" t="s">
        <v>10</v>
      </c>
      <c r="D3975" s="92" t="s">
        <v>1439</v>
      </c>
      <c r="E3975" s="92"/>
      <c r="F3975" s="92">
        <v>28</v>
      </c>
      <c r="G3975" s="92" t="s">
        <v>143</v>
      </c>
      <c r="H3975" s="92">
        <v>0</v>
      </c>
      <c r="J3975" s="92"/>
    </row>
  </sheetData>
  <autoFilter ref="A1:H3975"/>
  <customSheetViews>
    <customSheetView guid="{5135A060-DEBC-4A23-B096-6F5DC7F9F3A7}" filter="1" showAutoFilter="1">
      <pageMargins left="0.7" right="0.7" top="0.75" bottom="0.75" header="0.3" footer="0.3"/>
      <autoFilter ref="A1:H3975"/>
    </customSheetView>
  </customSheetView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5443"/>
  <sheetViews>
    <sheetView workbookViewId="0"/>
  </sheetViews>
  <sheetFormatPr defaultColWidth="12.5703125" defaultRowHeight="15" customHeight="1"/>
  <cols>
    <col min="1" max="1" width="16.85546875" customWidth="1"/>
    <col min="2" max="2" width="23" customWidth="1"/>
    <col min="3" max="3" width="30.28515625" customWidth="1"/>
    <col min="4" max="4" width="30" customWidth="1"/>
    <col min="5" max="5" width="24.28515625" customWidth="1"/>
    <col min="6" max="6" width="14.42578125" customWidth="1"/>
    <col min="7" max="7" width="16.140625" customWidth="1"/>
  </cols>
  <sheetData>
    <row r="1" spans="1:10" ht="15.75" customHeight="1">
      <c r="A1" s="90" t="s">
        <v>110</v>
      </c>
      <c r="B1" s="90" t="s">
        <v>42</v>
      </c>
      <c r="C1" s="90" t="s">
        <v>43</v>
      </c>
      <c r="D1" s="90" t="s">
        <v>111</v>
      </c>
      <c r="E1" s="90" t="s">
        <v>112</v>
      </c>
      <c r="F1" s="90" t="s">
        <v>113</v>
      </c>
      <c r="G1" s="90" t="s">
        <v>114</v>
      </c>
      <c r="H1" s="90" t="s">
        <v>115</v>
      </c>
    </row>
    <row r="2" spans="1:10" ht="15.75" customHeight="1">
      <c r="A2" s="28">
        <v>16167</v>
      </c>
      <c r="B2" s="91">
        <v>44822.696979166663</v>
      </c>
      <c r="C2" s="28" t="s">
        <v>10</v>
      </c>
      <c r="D2" s="28" t="s">
        <v>1439</v>
      </c>
      <c r="E2" s="28"/>
      <c r="F2" s="28">
        <v>35</v>
      </c>
      <c r="G2" s="28" t="s">
        <v>124</v>
      </c>
      <c r="H2" s="28">
        <f t="array" ref="H2:H5443">IF(F2:F5443=0, 0, IFERROR(VLOOKUP(G2:G5443,#REF!, 2, 0), 0))</f>
        <v>0</v>
      </c>
      <c r="J2" s="28"/>
    </row>
    <row r="3" spans="1:10" ht="15.75" customHeight="1">
      <c r="A3" s="28">
        <v>16167</v>
      </c>
      <c r="B3" s="91">
        <v>44822.696979166663</v>
      </c>
      <c r="C3" s="28" t="s">
        <v>10</v>
      </c>
      <c r="D3" s="28" t="s">
        <v>1439</v>
      </c>
      <c r="E3" s="28"/>
      <c r="F3" s="28">
        <v>0</v>
      </c>
      <c r="G3" s="28" t="s">
        <v>125</v>
      </c>
      <c r="H3" s="28">
        <v>0</v>
      </c>
      <c r="J3" s="28"/>
    </row>
    <row r="4" spans="1:10" ht="15.75" customHeight="1">
      <c r="A4" s="28">
        <v>16167</v>
      </c>
      <c r="B4" s="91">
        <v>44822.696979166663</v>
      </c>
      <c r="C4" s="28" t="s">
        <v>10</v>
      </c>
      <c r="D4" s="28" t="s">
        <v>1439</v>
      </c>
      <c r="E4" s="28"/>
      <c r="F4" s="28">
        <v>0</v>
      </c>
      <c r="G4" s="28" t="s">
        <v>121</v>
      </c>
      <c r="H4" s="28">
        <v>0</v>
      </c>
      <c r="J4" s="28"/>
    </row>
    <row r="5" spans="1:10" ht="15.75" customHeight="1">
      <c r="A5" s="28">
        <v>16167</v>
      </c>
      <c r="B5" s="91">
        <v>44822.696979166663</v>
      </c>
      <c r="C5" s="28" t="s">
        <v>10</v>
      </c>
      <c r="D5" s="28" t="s">
        <v>1439</v>
      </c>
      <c r="E5" s="28"/>
      <c r="F5" s="28">
        <v>0</v>
      </c>
      <c r="G5" s="28" t="s">
        <v>139</v>
      </c>
      <c r="H5" s="28">
        <v>0</v>
      </c>
      <c r="J5" s="28"/>
    </row>
    <row r="6" spans="1:10" ht="15.75" customHeight="1">
      <c r="A6" s="92">
        <v>16167</v>
      </c>
      <c r="B6" s="93">
        <v>44822.696979166663</v>
      </c>
      <c r="C6" s="92" t="s">
        <v>10</v>
      </c>
      <c r="D6" s="92" t="s">
        <v>1439</v>
      </c>
      <c r="E6" s="92"/>
      <c r="F6" s="92">
        <v>28</v>
      </c>
      <c r="G6" s="92" t="s">
        <v>143</v>
      </c>
      <c r="H6" s="92">
        <v>0</v>
      </c>
      <c r="J6" s="28"/>
    </row>
    <row r="7" spans="1:10" ht="15.75" customHeight="1">
      <c r="A7" s="28">
        <v>16168</v>
      </c>
      <c r="B7" s="91">
        <v>44822.699282407411</v>
      </c>
      <c r="C7" s="28" t="s">
        <v>10</v>
      </c>
      <c r="D7" s="28" t="s">
        <v>1438</v>
      </c>
      <c r="E7" s="28"/>
      <c r="F7" s="28">
        <v>24</v>
      </c>
      <c r="G7" s="28" t="s">
        <v>122</v>
      </c>
      <c r="H7" s="28">
        <v>0</v>
      </c>
      <c r="J7" s="28"/>
    </row>
    <row r="8" spans="1:10" ht="15.75" customHeight="1">
      <c r="A8" s="28">
        <v>16169</v>
      </c>
      <c r="B8" s="91">
        <v>44822.701805555553</v>
      </c>
      <c r="C8" s="28" t="s">
        <v>10</v>
      </c>
      <c r="D8" s="28" t="s">
        <v>1437</v>
      </c>
      <c r="E8" s="28"/>
      <c r="F8" s="28">
        <v>35</v>
      </c>
      <c r="G8" s="28" t="s">
        <v>124</v>
      </c>
      <c r="H8" s="28">
        <v>0</v>
      </c>
      <c r="J8" s="28"/>
    </row>
    <row r="9" spans="1:10" ht="15.75" customHeight="1">
      <c r="A9" s="28">
        <v>16169</v>
      </c>
      <c r="B9" s="91">
        <v>44822.701805555553</v>
      </c>
      <c r="C9" s="28" t="s">
        <v>10</v>
      </c>
      <c r="D9" s="28" t="s">
        <v>1437</v>
      </c>
      <c r="E9" s="28"/>
      <c r="F9" s="28">
        <v>0</v>
      </c>
      <c r="G9" s="28" t="s">
        <v>125</v>
      </c>
      <c r="H9" s="28">
        <v>0</v>
      </c>
      <c r="J9" s="28"/>
    </row>
    <row r="10" spans="1:10" ht="15.75" customHeight="1">
      <c r="A10" s="28">
        <v>16169</v>
      </c>
      <c r="B10" s="91">
        <v>44822.701805555553</v>
      </c>
      <c r="C10" s="28" t="s">
        <v>10</v>
      </c>
      <c r="D10" s="28" t="s">
        <v>1437</v>
      </c>
      <c r="E10" s="28"/>
      <c r="F10" s="28">
        <v>0</v>
      </c>
      <c r="G10" s="28" t="s">
        <v>121</v>
      </c>
      <c r="H10" s="28">
        <v>0</v>
      </c>
      <c r="J10" s="28"/>
    </row>
    <row r="11" spans="1:10" ht="15.75" customHeight="1">
      <c r="A11" s="28">
        <v>16169</v>
      </c>
      <c r="B11" s="91">
        <v>44822.701805555553</v>
      </c>
      <c r="C11" s="28" t="s">
        <v>10</v>
      </c>
      <c r="D11" s="28" t="s">
        <v>1437</v>
      </c>
      <c r="E11" s="28"/>
      <c r="F11" s="28">
        <v>0</v>
      </c>
      <c r="G11" s="28" t="s">
        <v>139</v>
      </c>
      <c r="H11" s="28">
        <v>0</v>
      </c>
      <c r="J11" s="28"/>
    </row>
    <row r="12" spans="1:10" ht="15.75" customHeight="1">
      <c r="A12" s="28">
        <v>16170</v>
      </c>
      <c r="B12" s="91">
        <v>44822.703703703708</v>
      </c>
      <c r="C12" s="28" t="s">
        <v>10</v>
      </c>
      <c r="D12" s="28" t="s">
        <v>1436</v>
      </c>
      <c r="E12" s="28"/>
      <c r="F12" s="28">
        <v>25</v>
      </c>
      <c r="G12" s="28" t="s">
        <v>118</v>
      </c>
      <c r="H12" s="28">
        <v>0</v>
      </c>
      <c r="J12" s="28"/>
    </row>
    <row r="13" spans="1:10" ht="15.75" customHeight="1">
      <c r="A13" s="28">
        <v>16170</v>
      </c>
      <c r="B13" s="91">
        <v>44822.703703703708</v>
      </c>
      <c r="C13" s="28" t="s">
        <v>10</v>
      </c>
      <c r="D13" s="28" t="s">
        <v>1436</v>
      </c>
      <c r="E13" s="28"/>
      <c r="F13" s="28">
        <v>24</v>
      </c>
      <c r="G13" s="28" t="s">
        <v>122</v>
      </c>
      <c r="H13" s="28">
        <v>0</v>
      </c>
      <c r="J13" s="28"/>
    </row>
    <row r="14" spans="1:10" ht="15.75" customHeight="1">
      <c r="A14" s="28">
        <v>16171</v>
      </c>
      <c r="B14" s="91">
        <v>44822.748784722222</v>
      </c>
      <c r="C14" s="28" t="s">
        <v>10</v>
      </c>
      <c r="D14" s="28" t="s">
        <v>1435</v>
      </c>
      <c r="E14" s="28"/>
      <c r="F14" s="28">
        <v>25</v>
      </c>
      <c r="G14" s="28" t="s">
        <v>297</v>
      </c>
      <c r="H14" s="28">
        <v>0</v>
      </c>
      <c r="J14" s="28"/>
    </row>
    <row r="15" spans="1:10" ht="15.75" customHeight="1">
      <c r="A15" s="28">
        <v>16171</v>
      </c>
      <c r="B15" s="91">
        <v>44822.748784722222</v>
      </c>
      <c r="C15" s="28" t="s">
        <v>10</v>
      </c>
      <c r="D15" s="28" t="s">
        <v>1435</v>
      </c>
      <c r="E15" s="28"/>
      <c r="F15" s="28">
        <v>30</v>
      </c>
      <c r="G15" s="28"/>
      <c r="H15" s="28">
        <v>0</v>
      </c>
      <c r="J15" s="28"/>
    </row>
    <row r="16" spans="1:10" ht="15.75" customHeight="1">
      <c r="A16" s="28">
        <v>16172</v>
      </c>
      <c r="B16" s="91">
        <v>44822.783622685187</v>
      </c>
      <c r="C16" s="28" t="s">
        <v>10</v>
      </c>
      <c r="D16" s="28" t="s">
        <v>1434</v>
      </c>
      <c r="E16" s="28"/>
      <c r="F16" s="28">
        <v>10</v>
      </c>
      <c r="G16" s="28" t="s">
        <v>286</v>
      </c>
      <c r="H16" s="28">
        <v>0</v>
      </c>
      <c r="J16" s="28"/>
    </row>
    <row r="17" spans="1:10" ht="15.75" customHeight="1">
      <c r="A17" s="28">
        <v>16173</v>
      </c>
      <c r="B17" s="91">
        <v>44822.78601851852</v>
      </c>
      <c r="C17" s="28" t="s">
        <v>10</v>
      </c>
      <c r="D17" s="28" t="s">
        <v>1433</v>
      </c>
      <c r="E17" s="28"/>
      <c r="F17" s="28">
        <v>0</v>
      </c>
      <c r="G17" s="28" t="s">
        <v>139</v>
      </c>
      <c r="H17" s="28">
        <v>0</v>
      </c>
      <c r="J17" s="28"/>
    </row>
    <row r="18" spans="1:10" ht="15.75" customHeight="1">
      <c r="A18" s="28">
        <v>16174</v>
      </c>
      <c r="B18" s="91">
        <v>44822.788668981477</v>
      </c>
      <c r="C18" s="28" t="s">
        <v>10</v>
      </c>
      <c r="D18" s="28" t="s">
        <v>1432</v>
      </c>
      <c r="E18" s="28"/>
      <c r="F18" s="28">
        <v>55</v>
      </c>
      <c r="G18" s="28">
        <v>101684</v>
      </c>
      <c r="H18" s="28">
        <v>0</v>
      </c>
      <c r="J18" s="28"/>
    </row>
    <row r="19" spans="1:10" ht="15.75" customHeight="1">
      <c r="A19" s="28">
        <v>16174</v>
      </c>
      <c r="B19" s="91">
        <v>44822.788668981477</v>
      </c>
      <c r="C19" s="28" t="s">
        <v>10</v>
      </c>
      <c r="D19" s="28" t="s">
        <v>1432</v>
      </c>
      <c r="E19" s="28"/>
      <c r="F19" s="28">
        <v>0</v>
      </c>
      <c r="G19" s="28" t="s">
        <v>118</v>
      </c>
      <c r="H19" s="28">
        <v>0</v>
      </c>
      <c r="J19" s="28"/>
    </row>
    <row r="20" spans="1:10" ht="15.75" customHeight="1">
      <c r="A20" s="28">
        <v>16174</v>
      </c>
      <c r="B20" s="91">
        <v>44822.788668981477</v>
      </c>
      <c r="C20" s="28" t="s">
        <v>10</v>
      </c>
      <c r="D20" s="28" t="s">
        <v>1432</v>
      </c>
      <c r="E20" s="28"/>
      <c r="F20" s="28">
        <v>0</v>
      </c>
      <c r="G20" s="28" t="s">
        <v>119</v>
      </c>
      <c r="H20" s="28">
        <v>0</v>
      </c>
      <c r="J20" s="28"/>
    </row>
    <row r="21" spans="1:10" ht="15.75" customHeight="1">
      <c r="A21" s="28">
        <v>16174</v>
      </c>
      <c r="B21" s="91">
        <v>44822.788668981477</v>
      </c>
      <c r="C21" s="28" t="s">
        <v>10</v>
      </c>
      <c r="D21" s="28" t="s">
        <v>1432</v>
      </c>
      <c r="E21" s="28"/>
      <c r="F21" s="28">
        <v>0</v>
      </c>
      <c r="G21" s="28" t="s">
        <v>120</v>
      </c>
      <c r="H21" s="28">
        <v>0</v>
      </c>
      <c r="J21" s="28"/>
    </row>
    <row r="22" spans="1:10" ht="15.75" customHeight="1">
      <c r="A22" s="28">
        <v>16174</v>
      </c>
      <c r="B22" s="91">
        <v>44822.788668981477</v>
      </c>
      <c r="C22" s="28" t="s">
        <v>10</v>
      </c>
      <c r="D22" s="28" t="s">
        <v>1432</v>
      </c>
      <c r="E22" s="28"/>
      <c r="F22" s="28">
        <v>0</v>
      </c>
      <c r="G22" s="28" t="s">
        <v>121</v>
      </c>
      <c r="H22" s="28">
        <v>0</v>
      </c>
      <c r="J22" s="28"/>
    </row>
    <row r="23" spans="1:10" ht="15.75" customHeight="1">
      <c r="A23" s="28">
        <v>16174</v>
      </c>
      <c r="B23" s="91">
        <v>44822.788668981477</v>
      </c>
      <c r="C23" s="28" t="s">
        <v>10</v>
      </c>
      <c r="D23" s="28" t="s">
        <v>1432</v>
      </c>
      <c r="E23" s="28"/>
      <c r="F23" s="28">
        <v>15</v>
      </c>
      <c r="G23" s="28"/>
      <c r="H23" s="28">
        <v>0</v>
      </c>
      <c r="J23" s="28"/>
    </row>
    <row r="24" spans="1:10" ht="15.75" customHeight="1">
      <c r="A24" s="28">
        <v>16175</v>
      </c>
      <c r="B24" s="91">
        <v>44822.806666666671</v>
      </c>
      <c r="C24" s="28" t="s">
        <v>10</v>
      </c>
      <c r="D24" s="28" t="s">
        <v>1431</v>
      </c>
      <c r="E24" s="28"/>
      <c r="F24" s="28">
        <v>0</v>
      </c>
      <c r="G24" s="28" t="s">
        <v>139</v>
      </c>
      <c r="H24" s="28">
        <v>0</v>
      </c>
      <c r="J24" s="28"/>
    </row>
    <row r="25" spans="1:10" ht="15.75" customHeight="1">
      <c r="A25" s="28">
        <v>16175</v>
      </c>
      <c r="B25" s="91">
        <v>44822.806666666671</v>
      </c>
      <c r="C25" s="28" t="s">
        <v>10</v>
      </c>
      <c r="D25" s="28" t="s">
        <v>1431</v>
      </c>
      <c r="E25" s="28"/>
      <c r="F25" s="28">
        <v>18</v>
      </c>
      <c r="G25" s="28" t="s">
        <v>119</v>
      </c>
      <c r="H25" s="28">
        <v>0</v>
      </c>
      <c r="J25" s="28"/>
    </row>
    <row r="26" spans="1:10" ht="15.75" customHeight="1">
      <c r="A26" s="28">
        <v>16176</v>
      </c>
      <c r="B26" s="91">
        <v>44822.811377314814</v>
      </c>
      <c r="C26" s="28" t="s">
        <v>10</v>
      </c>
      <c r="D26" s="28" t="s">
        <v>1430</v>
      </c>
      <c r="E26" s="28"/>
      <c r="F26" s="28">
        <v>15</v>
      </c>
      <c r="G26" s="28" t="s">
        <v>125</v>
      </c>
      <c r="H26" s="28">
        <v>0</v>
      </c>
      <c r="J26" s="28"/>
    </row>
    <row r="27" spans="1:10" ht="15.75" customHeight="1">
      <c r="A27" s="28">
        <v>16176</v>
      </c>
      <c r="B27" s="91">
        <v>44822.811377314814</v>
      </c>
      <c r="C27" s="28" t="s">
        <v>10</v>
      </c>
      <c r="D27" s="28" t="s">
        <v>1430</v>
      </c>
      <c r="E27" s="28"/>
      <c r="F27" s="28">
        <v>48</v>
      </c>
      <c r="G27" s="28" t="s">
        <v>122</v>
      </c>
      <c r="H27" s="28">
        <v>0</v>
      </c>
      <c r="J27" s="28"/>
    </row>
    <row r="28" spans="1:10" ht="15.75" customHeight="1">
      <c r="A28" s="28">
        <v>16177</v>
      </c>
      <c r="B28" s="91">
        <v>44822.880601851852</v>
      </c>
      <c r="C28" s="28" t="s">
        <v>10</v>
      </c>
      <c r="D28" s="28" t="s">
        <v>1429</v>
      </c>
      <c r="E28" s="28"/>
      <c r="F28" s="28">
        <v>30</v>
      </c>
      <c r="G28" s="28" t="s">
        <v>128</v>
      </c>
      <c r="H28" s="28">
        <v>0</v>
      </c>
      <c r="J28" s="28"/>
    </row>
    <row r="29" spans="1:10" ht="15.75" customHeight="1">
      <c r="A29" s="28">
        <v>16177</v>
      </c>
      <c r="B29" s="91">
        <v>44822.880601851852</v>
      </c>
      <c r="C29" s="28" t="s">
        <v>10</v>
      </c>
      <c r="D29" s="28" t="s">
        <v>1429</v>
      </c>
      <c r="E29" s="28"/>
      <c r="F29" s="28">
        <v>0</v>
      </c>
      <c r="G29" s="28" t="s">
        <v>125</v>
      </c>
      <c r="H29" s="28">
        <v>0</v>
      </c>
      <c r="J29" s="28"/>
    </row>
    <row r="30" spans="1:10" ht="15.75" customHeight="1">
      <c r="A30" s="28">
        <v>16177</v>
      </c>
      <c r="B30" s="91">
        <v>44822.880601851852</v>
      </c>
      <c r="C30" s="28" t="s">
        <v>10</v>
      </c>
      <c r="D30" s="28" t="s">
        <v>1429</v>
      </c>
      <c r="E30" s="28"/>
      <c r="F30" s="28">
        <v>0</v>
      </c>
      <c r="G30" s="28" t="s">
        <v>119</v>
      </c>
      <c r="H30" s="28">
        <v>0</v>
      </c>
      <c r="J30" s="28"/>
    </row>
    <row r="31" spans="1:10" ht="15.75" customHeight="1">
      <c r="A31" s="28">
        <v>16177</v>
      </c>
      <c r="B31" s="91">
        <v>44822.880601851852</v>
      </c>
      <c r="C31" s="28" t="s">
        <v>10</v>
      </c>
      <c r="D31" s="28" t="s">
        <v>1429</v>
      </c>
      <c r="E31" s="28"/>
      <c r="F31" s="28">
        <v>20</v>
      </c>
      <c r="G31" s="28" t="s">
        <v>121</v>
      </c>
      <c r="H31" s="28">
        <v>0</v>
      </c>
      <c r="J31" s="28"/>
    </row>
    <row r="32" spans="1:10" ht="15.75" customHeight="1">
      <c r="A32" s="28">
        <v>16177</v>
      </c>
      <c r="B32" s="91">
        <v>44822.880601851852</v>
      </c>
      <c r="C32" s="28" t="s">
        <v>10</v>
      </c>
      <c r="D32" s="28" t="s">
        <v>1429</v>
      </c>
      <c r="E32" s="28"/>
      <c r="F32" s="28">
        <v>15</v>
      </c>
      <c r="G32" s="28" t="s">
        <v>125</v>
      </c>
      <c r="H32" s="28">
        <v>0</v>
      </c>
      <c r="J32" s="28"/>
    </row>
    <row r="33" spans="1:10" ht="15.75" customHeight="1">
      <c r="A33" s="28">
        <v>16177</v>
      </c>
      <c r="B33" s="91">
        <v>44822.880601851852</v>
      </c>
      <c r="C33" s="28" t="s">
        <v>10</v>
      </c>
      <c r="D33" s="28" t="s">
        <v>1429</v>
      </c>
      <c r="E33" s="28"/>
      <c r="F33" s="28">
        <v>24</v>
      </c>
      <c r="G33" s="28" t="s">
        <v>122</v>
      </c>
      <c r="H33" s="28">
        <v>0</v>
      </c>
      <c r="J33" s="28"/>
    </row>
    <row r="34" spans="1:10" ht="15.75" customHeight="1">
      <c r="A34" s="28">
        <v>16179</v>
      </c>
      <c r="B34" s="91">
        <v>44823.041527777779</v>
      </c>
      <c r="C34" s="28" t="s">
        <v>10</v>
      </c>
      <c r="D34" s="28" t="s">
        <v>1428</v>
      </c>
      <c r="E34" s="28"/>
      <c r="F34" s="28">
        <v>55</v>
      </c>
      <c r="G34" s="28" t="s">
        <v>861</v>
      </c>
      <c r="H34" s="28">
        <v>0</v>
      </c>
      <c r="J34" s="28"/>
    </row>
    <row r="35" spans="1:10" ht="15.75" customHeight="1">
      <c r="A35" s="92">
        <v>16179</v>
      </c>
      <c r="B35" s="93">
        <v>44823.041527777779</v>
      </c>
      <c r="C35" s="92" t="s">
        <v>10</v>
      </c>
      <c r="D35" s="92" t="s">
        <v>1428</v>
      </c>
      <c r="E35" s="92"/>
      <c r="F35" s="92">
        <v>22</v>
      </c>
      <c r="G35" s="92" t="s">
        <v>137</v>
      </c>
      <c r="H35" s="92">
        <v>0</v>
      </c>
      <c r="J35" s="28"/>
    </row>
    <row r="36" spans="1:10" ht="15.75" customHeight="1">
      <c r="A36" s="28">
        <v>16181</v>
      </c>
      <c r="B36" s="91">
        <v>44823.480347222227</v>
      </c>
      <c r="C36" s="28" t="s">
        <v>10</v>
      </c>
      <c r="D36" s="28" t="s">
        <v>1427</v>
      </c>
      <c r="E36" s="28"/>
      <c r="F36" s="28">
        <v>20</v>
      </c>
      <c r="G36" s="28" t="s">
        <v>121</v>
      </c>
      <c r="H36" s="28">
        <v>0</v>
      </c>
      <c r="J36" s="28"/>
    </row>
    <row r="37" spans="1:10" ht="15.75" customHeight="1">
      <c r="A37" s="28">
        <v>16181</v>
      </c>
      <c r="B37" s="91">
        <v>44823.480347222227</v>
      </c>
      <c r="C37" s="28" t="s">
        <v>10</v>
      </c>
      <c r="D37" s="28" t="s">
        <v>1427</v>
      </c>
      <c r="E37" s="28"/>
      <c r="F37" s="28">
        <v>24</v>
      </c>
      <c r="G37" s="28" t="s">
        <v>122</v>
      </c>
      <c r="H37" s="28">
        <v>0</v>
      </c>
      <c r="J37" s="28"/>
    </row>
    <row r="38" spans="1:10" ht="15.75" customHeight="1">
      <c r="A38" s="28">
        <v>16181</v>
      </c>
      <c r="B38" s="91">
        <v>44823.480347222227</v>
      </c>
      <c r="C38" s="28" t="s">
        <v>10</v>
      </c>
      <c r="D38" s="28" t="s">
        <v>1427</v>
      </c>
      <c r="E38" s="28"/>
      <c r="F38" s="28">
        <v>22</v>
      </c>
      <c r="G38" s="28" t="s">
        <v>137</v>
      </c>
      <c r="H38" s="28">
        <v>0</v>
      </c>
      <c r="J38" s="28"/>
    </row>
    <row r="39" spans="1:10" ht="15.75" customHeight="1">
      <c r="A39" s="28">
        <v>16181</v>
      </c>
      <c r="B39" s="91">
        <v>44823.480347222227</v>
      </c>
      <c r="C39" s="28" t="s">
        <v>10</v>
      </c>
      <c r="D39" s="28" t="s">
        <v>1427</v>
      </c>
      <c r="E39" s="28"/>
      <c r="F39" s="28">
        <v>18</v>
      </c>
      <c r="G39" s="28" t="s">
        <v>267</v>
      </c>
      <c r="H39" s="28">
        <v>0</v>
      </c>
      <c r="J39" s="28"/>
    </row>
    <row r="40" spans="1:10" ht="15.75" customHeight="1">
      <c r="A40" s="28">
        <v>16181</v>
      </c>
      <c r="B40" s="91">
        <v>44823.480347222227</v>
      </c>
      <c r="C40" s="28" t="s">
        <v>10</v>
      </c>
      <c r="D40" s="28" t="s">
        <v>1427</v>
      </c>
      <c r="E40" s="28"/>
      <c r="F40" s="28">
        <v>0</v>
      </c>
      <c r="G40" s="28" t="s">
        <v>139</v>
      </c>
      <c r="H40" s="28">
        <v>0</v>
      </c>
      <c r="J40" s="28"/>
    </row>
    <row r="41" spans="1:10" ht="15.75" customHeight="1">
      <c r="A41" s="28">
        <v>16182</v>
      </c>
      <c r="B41" s="91">
        <v>44823.658194444448</v>
      </c>
      <c r="C41" s="28" t="s">
        <v>10</v>
      </c>
      <c r="D41" s="28" t="s">
        <v>1426</v>
      </c>
      <c r="E41" s="28"/>
      <c r="F41" s="28">
        <v>25</v>
      </c>
      <c r="G41" s="28">
        <v>100692</v>
      </c>
      <c r="H41" s="28">
        <v>0</v>
      </c>
      <c r="J41" s="28"/>
    </row>
    <row r="42" spans="1:10" ht="15.75" customHeight="1">
      <c r="A42" s="28">
        <v>16182</v>
      </c>
      <c r="B42" s="91">
        <v>44823.658194444448</v>
      </c>
      <c r="C42" s="28" t="s">
        <v>10</v>
      </c>
      <c r="D42" s="28" t="s">
        <v>1426</v>
      </c>
      <c r="E42" s="28"/>
      <c r="F42" s="28">
        <v>0</v>
      </c>
      <c r="G42" s="28" t="s">
        <v>125</v>
      </c>
      <c r="H42" s="28">
        <v>0</v>
      </c>
      <c r="J42" s="28"/>
    </row>
    <row r="43" spans="1:10" ht="15.75" customHeight="1">
      <c r="A43" s="28">
        <v>16182</v>
      </c>
      <c r="B43" s="91">
        <v>44823.658194444448</v>
      </c>
      <c r="C43" s="28" t="s">
        <v>10</v>
      </c>
      <c r="D43" s="28" t="s">
        <v>1426</v>
      </c>
      <c r="E43" s="28"/>
      <c r="F43" s="28">
        <v>0</v>
      </c>
      <c r="G43" s="28" t="s">
        <v>119</v>
      </c>
      <c r="H43" s="28">
        <v>0</v>
      </c>
      <c r="J43" s="28"/>
    </row>
    <row r="44" spans="1:10" ht="15.75" customHeight="1">
      <c r="A44" s="28">
        <v>16183</v>
      </c>
      <c r="B44" s="91">
        <v>44823.703032407408</v>
      </c>
      <c r="C44" s="28" t="s">
        <v>10</v>
      </c>
      <c r="D44" s="28" t="s">
        <v>1425</v>
      </c>
      <c r="E44" s="28"/>
      <c r="F44" s="28">
        <v>15</v>
      </c>
      <c r="G44" s="28" t="s">
        <v>170</v>
      </c>
      <c r="H44" s="28">
        <v>0</v>
      </c>
      <c r="J44" s="28"/>
    </row>
    <row r="45" spans="1:10" ht="15.75" customHeight="1">
      <c r="A45" s="28">
        <v>16184</v>
      </c>
      <c r="B45" s="91">
        <v>44823.754942129628</v>
      </c>
      <c r="C45" s="28" t="s">
        <v>10</v>
      </c>
      <c r="D45" s="28" t="s">
        <v>1424</v>
      </c>
      <c r="E45" s="28"/>
      <c r="F45" s="28">
        <v>15</v>
      </c>
      <c r="G45" s="28" t="s">
        <v>170</v>
      </c>
      <c r="H45" s="28">
        <v>0</v>
      </c>
      <c r="J45" s="28"/>
    </row>
    <row r="46" spans="1:10" ht="15.75" customHeight="1">
      <c r="A46" s="28">
        <v>16184</v>
      </c>
      <c r="B46" s="91">
        <v>44823.754942129628</v>
      </c>
      <c r="C46" s="28" t="s">
        <v>10</v>
      </c>
      <c r="D46" s="28" t="s">
        <v>1424</v>
      </c>
      <c r="E46" s="28"/>
      <c r="F46" s="28">
        <v>22</v>
      </c>
      <c r="G46" s="28" t="s">
        <v>137</v>
      </c>
      <c r="H46" s="28">
        <v>0</v>
      </c>
      <c r="J46" s="28"/>
    </row>
    <row r="47" spans="1:10" ht="15.75" customHeight="1">
      <c r="A47" s="28">
        <v>16184</v>
      </c>
      <c r="B47" s="91">
        <v>44823.754942129628</v>
      </c>
      <c r="C47" s="28" t="s">
        <v>10</v>
      </c>
      <c r="D47" s="28" t="s">
        <v>1424</v>
      </c>
      <c r="E47" s="28"/>
      <c r="F47" s="28">
        <v>15</v>
      </c>
      <c r="G47" s="28" t="s">
        <v>125</v>
      </c>
      <c r="H47" s="28">
        <v>0</v>
      </c>
      <c r="J47" s="28"/>
    </row>
    <row r="48" spans="1:10" ht="15.75" customHeight="1">
      <c r="A48" s="28">
        <v>16185</v>
      </c>
      <c r="B48" s="91">
        <v>44823.899907407409</v>
      </c>
      <c r="C48" s="28" t="s">
        <v>10</v>
      </c>
      <c r="D48" s="28" t="s">
        <v>1423</v>
      </c>
      <c r="E48" s="28"/>
      <c r="F48" s="28">
        <v>35</v>
      </c>
      <c r="G48" s="28" t="s">
        <v>124</v>
      </c>
      <c r="H48" s="28">
        <v>0</v>
      </c>
      <c r="J48" s="28"/>
    </row>
    <row r="49" spans="1:10" ht="15.75" customHeight="1">
      <c r="A49" s="28">
        <v>16185</v>
      </c>
      <c r="B49" s="91">
        <v>44823.899907407409</v>
      </c>
      <c r="C49" s="28" t="s">
        <v>10</v>
      </c>
      <c r="D49" s="28" t="s">
        <v>1423</v>
      </c>
      <c r="E49" s="28"/>
      <c r="F49" s="28">
        <v>0</v>
      </c>
      <c r="G49" s="28" t="s">
        <v>125</v>
      </c>
      <c r="H49" s="28">
        <v>0</v>
      </c>
      <c r="J49" s="28"/>
    </row>
    <row r="50" spans="1:10" ht="15.75" customHeight="1">
      <c r="A50" s="28">
        <v>16185</v>
      </c>
      <c r="B50" s="91">
        <v>44823.899907407409</v>
      </c>
      <c r="C50" s="28" t="s">
        <v>10</v>
      </c>
      <c r="D50" s="28" t="s">
        <v>1423</v>
      </c>
      <c r="E50" s="28"/>
      <c r="F50" s="28">
        <v>0</v>
      </c>
      <c r="G50" s="28" t="s">
        <v>121</v>
      </c>
      <c r="H50" s="28">
        <v>0</v>
      </c>
      <c r="J50" s="28"/>
    </row>
    <row r="51" spans="1:10" ht="15.75" customHeight="1">
      <c r="A51" s="28">
        <v>16185</v>
      </c>
      <c r="B51" s="91">
        <v>44823.899907407409</v>
      </c>
      <c r="C51" s="28" t="s">
        <v>10</v>
      </c>
      <c r="D51" s="28" t="s">
        <v>1423</v>
      </c>
      <c r="E51" s="28"/>
      <c r="F51" s="28">
        <v>0</v>
      </c>
      <c r="G51" s="28" t="s">
        <v>139</v>
      </c>
      <c r="H51" s="28">
        <v>0</v>
      </c>
      <c r="J51" s="28"/>
    </row>
    <row r="52" spans="1:10" ht="15.75" customHeight="1">
      <c r="A52" s="28">
        <v>16186</v>
      </c>
      <c r="B52" s="91">
        <v>44824.04614583333</v>
      </c>
      <c r="C52" s="28" t="s">
        <v>10</v>
      </c>
      <c r="D52" s="28" t="s">
        <v>1422</v>
      </c>
      <c r="E52" s="28"/>
      <c r="F52" s="28">
        <v>0</v>
      </c>
      <c r="G52" s="28" t="s">
        <v>139</v>
      </c>
      <c r="H52" s="28">
        <v>0</v>
      </c>
      <c r="J52" s="28"/>
    </row>
    <row r="53" spans="1:10" ht="15.75" customHeight="1">
      <c r="A53" s="28">
        <v>16186</v>
      </c>
      <c r="B53" s="91">
        <v>44824.04614583333</v>
      </c>
      <c r="C53" s="28" t="s">
        <v>10</v>
      </c>
      <c r="D53" s="28" t="s">
        <v>1422</v>
      </c>
      <c r="E53" s="28"/>
      <c r="F53" s="28">
        <v>15</v>
      </c>
      <c r="G53" s="28" t="s">
        <v>170</v>
      </c>
      <c r="H53" s="28">
        <v>0</v>
      </c>
      <c r="J53" s="28"/>
    </row>
    <row r="54" spans="1:10" ht="15.75" customHeight="1">
      <c r="A54" s="28">
        <v>16188</v>
      </c>
      <c r="B54" s="91">
        <v>44824.095671296294</v>
      </c>
      <c r="C54" s="28" t="s">
        <v>10</v>
      </c>
      <c r="D54" s="28" t="s">
        <v>1421</v>
      </c>
      <c r="E54" s="28"/>
      <c r="F54" s="28">
        <v>0</v>
      </c>
      <c r="G54" s="28">
        <v>100692</v>
      </c>
      <c r="H54" s="28">
        <v>0</v>
      </c>
      <c r="J54" s="28"/>
    </row>
    <row r="55" spans="1:10" ht="15.75" customHeight="1">
      <c r="A55" s="28">
        <v>16188</v>
      </c>
      <c r="B55" s="91">
        <v>44824.095671296294</v>
      </c>
      <c r="C55" s="28" t="s">
        <v>10</v>
      </c>
      <c r="D55" s="28" t="s">
        <v>1421</v>
      </c>
      <c r="E55" s="28"/>
      <c r="F55" s="28">
        <v>0</v>
      </c>
      <c r="G55" s="28" t="s">
        <v>125</v>
      </c>
      <c r="H55" s="28">
        <v>0</v>
      </c>
      <c r="J55" s="28"/>
    </row>
    <row r="56" spans="1:10" ht="15.75" customHeight="1">
      <c r="A56" s="28">
        <v>16188</v>
      </c>
      <c r="B56" s="91">
        <v>44824.095671296294</v>
      </c>
      <c r="C56" s="28" t="s">
        <v>10</v>
      </c>
      <c r="D56" s="28" t="s">
        <v>1421</v>
      </c>
      <c r="E56" s="28"/>
      <c r="F56" s="28">
        <v>0</v>
      </c>
      <c r="G56" s="28" t="s">
        <v>119</v>
      </c>
      <c r="H56" s="28">
        <v>0</v>
      </c>
      <c r="J56" s="28"/>
    </row>
    <row r="57" spans="1:10" ht="15.75" customHeight="1">
      <c r="A57" s="28">
        <v>16189</v>
      </c>
      <c r="B57" s="91">
        <v>44824.09778935185</v>
      </c>
      <c r="C57" s="28" t="s">
        <v>10</v>
      </c>
      <c r="D57" s="28" t="s">
        <v>1420</v>
      </c>
      <c r="E57" s="28"/>
      <c r="F57" s="28">
        <v>0</v>
      </c>
      <c r="G57" s="28">
        <v>100692</v>
      </c>
      <c r="H57" s="28">
        <v>0</v>
      </c>
      <c r="J57" s="28"/>
    </row>
    <row r="58" spans="1:10" ht="15.75" customHeight="1">
      <c r="A58" s="28">
        <v>16189</v>
      </c>
      <c r="B58" s="91">
        <v>44824.09778935185</v>
      </c>
      <c r="C58" s="28" t="s">
        <v>10</v>
      </c>
      <c r="D58" s="28" t="s">
        <v>1420</v>
      </c>
      <c r="E58" s="28"/>
      <c r="F58" s="28">
        <v>0</v>
      </c>
      <c r="G58" s="28" t="s">
        <v>125</v>
      </c>
      <c r="H58" s="28">
        <v>0</v>
      </c>
      <c r="J58" s="28"/>
    </row>
    <row r="59" spans="1:10" ht="15.75" customHeight="1">
      <c r="A59" s="28">
        <v>16189</v>
      </c>
      <c r="B59" s="91">
        <v>44824.09778935185</v>
      </c>
      <c r="C59" s="28" t="s">
        <v>10</v>
      </c>
      <c r="D59" s="28" t="s">
        <v>1420</v>
      </c>
      <c r="E59" s="28"/>
      <c r="F59" s="28">
        <v>0</v>
      </c>
      <c r="G59" s="28" t="s">
        <v>119</v>
      </c>
      <c r="H59" s="28">
        <v>0</v>
      </c>
      <c r="J59" s="28"/>
    </row>
    <row r="60" spans="1:10" ht="15.75" customHeight="1">
      <c r="A60" s="28">
        <v>16190</v>
      </c>
      <c r="B60" s="91">
        <v>44824.553263888884</v>
      </c>
      <c r="C60" s="28" t="s">
        <v>10</v>
      </c>
      <c r="D60" s="28" t="s">
        <v>1419</v>
      </c>
      <c r="E60" s="28"/>
      <c r="F60" s="28">
        <v>15</v>
      </c>
      <c r="G60" s="28" t="s">
        <v>125</v>
      </c>
      <c r="H60" s="28">
        <v>0</v>
      </c>
      <c r="J60" s="28"/>
    </row>
    <row r="61" spans="1:10" ht="15.75" customHeight="1">
      <c r="A61" s="28">
        <v>16191</v>
      </c>
      <c r="B61" s="91">
        <v>44824.694421296299</v>
      </c>
      <c r="C61" s="28" t="s">
        <v>10</v>
      </c>
      <c r="D61" s="28" t="s">
        <v>1418</v>
      </c>
      <c r="E61" s="28"/>
      <c r="F61" s="28">
        <v>35</v>
      </c>
      <c r="G61" s="28" t="s">
        <v>124</v>
      </c>
      <c r="H61" s="28">
        <v>0</v>
      </c>
      <c r="J61" s="28"/>
    </row>
    <row r="62" spans="1:10" ht="15.75" customHeight="1">
      <c r="A62" s="28">
        <v>16191</v>
      </c>
      <c r="B62" s="91">
        <v>44824.694421296299</v>
      </c>
      <c r="C62" s="28" t="s">
        <v>10</v>
      </c>
      <c r="D62" s="28" t="s">
        <v>1418</v>
      </c>
      <c r="E62" s="28"/>
      <c r="F62" s="28">
        <v>0</v>
      </c>
      <c r="G62" s="28" t="s">
        <v>125</v>
      </c>
      <c r="H62" s="28">
        <v>0</v>
      </c>
      <c r="J62" s="28"/>
    </row>
    <row r="63" spans="1:10" ht="15.75" customHeight="1">
      <c r="A63" s="28">
        <v>16191</v>
      </c>
      <c r="B63" s="91">
        <v>44824.694421296299</v>
      </c>
      <c r="C63" s="28" t="s">
        <v>10</v>
      </c>
      <c r="D63" s="28" t="s">
        <v>1418</v>
      </c>
      <c r="E63" s="28"/>
      <c r="F63" s="28">
        <v>0</v>
      </c>
      <c r="G63" s="28" t="s">
        <v>121</v>
      </c>
      <c r="H63" s="28">
        <v>0</v>
      </c>
      <c r="J63" s="28"/>
    </row>
    <row r="64" spans="1:10" ht="15.75" customHeight="1">
      <c r="A64" s="28">
        <v>16191</v>
      </c>
      <c r="B64" s="91">
        <v>44824.694421296299</v>
      </c>
      <c r="C64" s="28" t="s">
        <v>10</v>
      </c>
      <c r="D64" s="28" t="s">
        <v>1418</v>
      </c>
      <c r="E64" s="28"/>
      <c r="F64" s="28">
        <v>0</v>
      </c>
      <c r="G64" s="28" t="s">
        <v>139</v>
      </c>
      <c r="H64" s="28">
        <v>0</v>
      </c>
      <c r="J64" s="28"/>
    </row>
    <row r="65" spans="1:10" ht="15.75" customHeight="1">
      <c r="A65" s="28">
        <v>16192</v>
      </c>
      <c r="B65" s="91">
        <v>44824.756736111114</v>
      </c>
      <c r="C65" s="28" t="s">
        <v>10</v>
      </c>
      <c r="D65" s="28" t="s">
        <v>1417</v>
      </c>
      <c r="E65" s="28"/>
      <c r="F65" s="28">
        <v>0</v>
      </c>
      <c r="G65" s="28" t="s">
        <v>139</v>
      </c>
      <c r="H65" s="28">
        <v>0</v>
      </c>
      <c r="J65" s="28"/>
    </row>
    <row r="66" spans="1:10" ht="15.75" customHeight="1">
      <c r="A66" s="28">
        <v>16192</v>
      </c>
      <c r="B66" s="91">
        <v>44824.756736111114</v>
      </c>
      <c r="C66" s="28" t="s">
        <v>10</v>
      </c>
      <c r="D66" s="28" t="s">
        <v>1417</v>
      </c>
      <c r="E66" s="28"/>
      <c r="F66" s="28">
        <v>55</v>
      </c>
      <c r="G66" s="28">
        <v>101684</v>
      </c>
      <c r="H66" s="28">
        <v>0</v>
      </c>
      <c r="J66" s="28"/>
    </row>
    <row r="67" spans="1:10" ht="15.75" customHeight="1">
      <c r="A67" s="28">
        <v>16192</v>
      </c>
      <c r="B67" s="91">
        <v>44824.756736111114</v>
      </c>
      <c r="C67" s="28" t="s">
        <v>10</v>
      </c>
      <c r="D67" s="28" t="s">
        <v>1417</v>
      </c>
      <c r="E67" s="28"/>
      <c r="F67" s="28">
        <v>0</v>
      </c>
      <c r="G67" s="28" t="s">
        <v>118</v>
      </c>
      <c r="H67" s="28">
        <v>0</v>
      </c>
      <c r="J67" s="28"/>
    </row>
    <row r="68" spans="1:10" ht="15.75" customHeight="1">
      <c r="A68" s="28">
        <v>16192</v>
      </c>
      <c r="B68" s="91">
        <v>44824.756736111114</v>
      </c>
      <c r="C68" s="28" t="s">
        <v>10</v>
      </c>
      <c r="D68" s="28" t="s">
        <v>1417</v>
      </c>
      <c r="E68" s="28"/>
      <c r="F68" s="28">
        <v>0</v>
      </c>
      <c r="G68" s="28" t="s">
        <v>119</v>
      </c>
      <c r="H68" s="28">
        <v>0</v>
      </c>
      <c r="J68" s="28"/>
    </row>
    <row r="69" spans="1:10" ht="15.75" customHeight="1">
      <c r="A69" s="28">
        <v>16192</v>
      </c>
      <c r="B69" s="91">
        <v>44824.756736111114</v>
      </c>
      <c r="C69" s="28" t="s">
        <v>10</v>
      </c>
      <c r="D69" s="28" t="s">
        <v>1417</v>
      </c>
      <c r="E69" s="28"/>
      <c r="F69" s="28">
        <v>0</v>
      </c>
      <c r="G69" s="28" t="s">
        <v>120</v>
      </c>
      <c r="H69" s="28">
        <v>0</v>
      </c>
      <c r="J69" s="28"/>
    </row>
    <row r="70" spans="1:10" ht="15.75" customHeight="1">
      <c r="A70" s="28">
        <v>16192</v>
      </c>
      <c r="B70" s="91">
        <v>44824.756736111114</v>
      </c>
      <c r="C70" s="28" t="s">
        <v>10</v>
      </c>
      <c r="D70" s="28" t="s">
        <v>1417</v>
      </c>
      <c r="E70" s="28"/>
      <c r="F70" s="28">
        <v>0</v>
      </c>
      <c r="G70" s="28" t="s">
        <v>121</v>
      </c>
      <c r="H70" s="28">
        <v>0</v>
      </c>
      <c r="J70" s="28"/>
    </row>
    <row r="71" spans="1:10" ht="15.75" customHeight="1">
      <c r="A71" s="28">
        <v>16193</v>
      </c>
      <c r="B71" s="91">
        <v>44824.7659837963</v>
      </c>
      <c r="C71" s="28" t="s">
        <v>10</v>
      </c>
      <c r="D71" s="28" t="s">
        <v>1416</v>
      </c>
      <c r="E71" s="28"/>
      <c r="F71" s="28">
        <v>28</v>
      </c>
      <c r="G71" s="28" t="s">
        <v>143</v>
      </c>
      <c r="H71" s="28">
        <v>0</v>
      </c>
      <c r="J71" s="28"/>
    </row>
    <row r="72" spans="1:10" ht="15.75" customHeight="1">
      <c r="A72" s="28">
        <v>16194</v>
      </c>
      <c r="B72" s="91">
        <v>44824.778067129635</v>
      </c>
      <c r="C72" s="28" t="s">
        <v>10</v>
      </c>
      <c r="D72" s="28" t="s">
        <v>1347</v>
      </c>
      <c r="E72" s="28"/>
      <c r="F72" s="28">
        <v>35</v>
      </c>
      <c r="G72" s="28" t="s">
        <v>124</v>
      </c>
      <c r="H72" s="28">
        <v>0</v>
      </c>
      <c r="J72" s="28"/>
    </row>
    <row r="73" spans="1:10" ht="15.75" customHeight="1">
      <c r="A73" s="28">
        <v>16194</v>
      </c>
      <c r="B73" s="91">
        <v>44824.778067129635</v>
      </c>
      <c r="C73" s="28" t="s">
        <v>10</v>
      </c>
      <c r="D73" s="28" t="s">
        <v>1347</v>
      </c>
      <c r="E73" s="28"/>
      <c r="F73" s="28">
        <v>0</v>
      </c>
      <c r="G73" s="28" t="s">
        <v>125</v>
      </c>
      <c r="H73" s="28">
        <v>0</v>
      </c>
      <c r="J73" s="28"/>
    </row>
    <row r="74" spans="1:10" ht="15.75" customHeight="1">
      <c r="A74" s="28">
        <v>16194</v>
      </c>
      <c r="B74" s="91">
        <v>44824.778067129635</v>
      </c>
      <c r="C74" s="28" t="s">
        <v>10</v>
      </c>
      <c r="D74" s="28" t="s">
        <v>1347</v>
      </c>
      <c r="E74" s="28"/>
      <c r="F74" s="28">
        <v>0</v>
      </c>
      <c r="G74" s="28" t="s">
        <v>121</v>
      </c>
      <c r="H74" s="28">
        <v>0</v>
      </c>
      <c r="J74" s="28"/>
    </row>
    <row r="75" spans="1:10" ht="15.75" customHeight="1">
      <c r="A75" s="28">
        <v>16194</v>
      </c>
      <c r="B75" s="91">
        <v>44824.778067129635</v>
      </c>
      <c r="C75" s="28" t="s">
        <v>10</v>
      </c>
      <c r="D75" s="28" t="s">
        <v>1347</v>
      </c>
      <c r="E75" s="28"/>
      <c r="F75" s="28">
        <v>0</v>
      </c>
      <c r="G75" s="28" t="s">
        <v>139</v>
      </c>
      <c r="H75" s="28">
        <v>0</v>
      </c>
      <c r="J75" s="28"/>
    </row>
    <row r="76" spans="1:10" ht="15.75" customHeight="1">
      <c r="A76" s="28">
        <v>16194</v>
      </c>
      <c r="B76" s="91">
        <v>44824.778067129635</v>
      </c>
      <c r="C76" s="28" t="s">
        <v>10</v>
      </c>
      <c r="D76" s="28" t="s">
        <v>1347</v>
      </c>
      <c r="E76" s="28"/>
      <c r="F76" s="28">
        <v>7.5</v>
      </c>
      <c r="G76" s="28" t="s">
        <v>774</v>
      </c>
      <c r="H76" s="28">
        <v>0</v>
      </c>
      <c r="J76" s="28"/>
    </row>
    <row r="77" spans="1:10" ht="15.75" customHeight="1">
      <c r="A77" s="28">
        <v>16195</v>
      </c>
      <c r="B77" s="91">
        <v>44824.994999999995</v>
      </c>
      <c r="C77" s="28" t="s">
        <v>10</v>
      </c>
      <c r="D77" s="28" t="s">
        <v>1415</v>
      </c>
      <c r="E77" s="28"/>
      <c r="F77" s="28">
        <v>20</v>
      </c>
      <c r="G77" s="28" t="s">
        <v>121</v>
      </c>
      <c r="H77" s="28">
        <v>0</v>
      </c>
      <c r="J77" s="28"/>
    </row>
    <row r="78" spans="1:10" ht="15.75" customHeight="1">
      <c r="A78" s="28">
        <v>16195</v>
      </c>
      <c r="B78" s="91">
        <v>44824.994999999995</v>
      </c>
      <c r="C78" s="28" t="s">
        <v>10</v>
      </c>
      <c r="D78" s="28" t="s">
        <v>1415</v>
      </c>
      <c r="E78" s="28"/>
      <c r="F78" s="28">
        <v>18</v>
      </c>
      <c r="G78" s="28" t="s">
        <v>267</v>
      </c>
      <c r="H78" s="28">
        <v>0</v>
      </c>
      <c r="J78" s="28"/>
    </row>
    <row r="79" spans="1:10" ht="15.75" customHeight="1">
      <c r="A79" s="28">
        <v>16195</v>
      </c>
      <c r="B79" s="91">
        <v>44824.994999999995</v>
      </c>
      <c r="C79" s="28" t="s">
        <v>10</v>
      </c>
      <c r="D79" s="28" t="s">
        <v>1415</v>
      </c>
      <c r="E79" s="28"/>
      <c r="F79" s="28">
        <v>25</v>
      </c>
      <c r="G79" s="28" t="s">
        <v>120</v>
      </c>
      <c r="H79" s="28">
        <v>0</v>
      </c>
      <c r="J79" s="28"/>
    </row>
    <row r="80" spans="1:10" ht="15.75" customHeight="1">
      <c r="A80" s="28">
        <v>16196</v>
      </c>
      <c r="B80" s="91">
        <v>44825.015092592592</v>
      </c>
      <c r="C80" s="28" t="s">
        <v>10</v>
      </c>
      <c r="D80" s="28" t="s">
        <v>1414</v>
      </c>
      <c r="E80" s="28"/>
      <c r="F80" s="28">
        <v>35</v>
      </c>
      <c r="G80" s="28" t="s">
        <v>124</v>
      </c>
      <c r="H80" s="28">
        <v>0</v>
      </c>
      <c r="J80" s="28"/>
    </row>
    <row r="81" spans="1:10" ht="15.75" customHeight="1">
      <c r="A81" s="28">
        <v>16196</v>
      </c>
      <c r="B81" s="91">
        <v>44825.015092592592</v>
      </c>
      <c r="C81" s="28" t="s">
        <v>10</v>
      </c>
      <c r="D81" s="28" t="s">
        <v>1414</v>
      </c>
      <c r="E81" s="28"/>
      <c r="F81" s="28">
        <v>0</v>
      </c>
      <c r="G81" s="28" t="s">
        <v>125</v>
      </c>
      <c r="H81" s="28">
        <v>0</v>
      </c>
      <c r="J81" s="28"/>
    </row>
    <row r="82" spans="1:10" ht="15.75" customHeight="1">
      <c r="A82" s="28">
        <v>16196</v>
      </c>
      <c r="B82" s="91">
        <v>44825.015092592592</v>
      </c>
      <c r="C82" s="28" t="s">
        <v>10</v>
      </c>
      <c r="D82" s="28" t="s">
        <v>1414</v>
      </c>
      <c r="E82" s="28"/>
      <c r="F82" s="28">
        <v>0</v>
      </c>
      <c r="G82" s="28" t="s">
        <v>121</v>
      </c>
      <c r="H82" s="28">
        <v>0</v>
      </c>
      <c r="J82" s="28"/>
    </row>
    <row r="83" spans="1:10" ht="15.75" customHeight="1">
      <c r="A83" s="28">
        <v>16196</v>
      </c>
      <c r="B83" s="91">
        <v>44825.015092592592</v>
      </c>
      <c r="C83" s="28" t="s">
        <v>10</v>
      </c>
      <c r="D83" s="28" t="s">
        <v>1414</v>
      </c>
      <c r="E83" s="28"/>
      <c r="F83" s="28">
        <v>0</v>
      </c>
      <c r="G83" s="28" t="s">
        <v>139</v>
      </c>
      <c r="H83" s="28">
        <v>0</v>
      </c>
      <c r="J83" s="28"/>
    </row>
    <row r="84" spans="1:10" ht="15.75" customHeight="1">
      <c r="A84" s="28">
        <v>16197</v>
      </c>
      <c r="B84" s="91">
        <v>44825.470578703702</v>
      </c>
      <c r="C84" s="28" t="s">
        <v>10</v>
      </c>
      <c r="D84" s="28" t="s">
        <v>1413</v>
      </c>
      <c r="E84" s="28"/>
      <c r="F84" s="28">
        <v>55</v>
      </c>
      <c r="G84" s="28">
        <v>101684</v>
      </c>
      <c r="H84" s="28">
        <v>0</v>
      </c>
      <c r="J84" s="28"/>
    </row>
    <row r="85" spans="1:10" ht="15.75" customHeight="1">
      <c r="A85" s="28">
        <v>16197</v>
      </c>
      <c r="B85" s="91">
        <v>44825.470578703702</v>
      </c>
      <c r="C85" s="28" t="s">
        <v>10</v>
      </c>
      <c r="D85" s="28" t="s">
        <v>1413</v>
      </c>
      <c r="E85" s="28"/>
      <c r="F85" s="28">
        <v>0</v>
      </c>
      <c r="G85" s="28" t="s">
        <v>118</v>
      </c>
      <c r="H85" s="28">
        <v>0</v>
      </c>
      <c r="J85" s="28"/>
    </row>
    <row r="86" spans="1:10" ht="15.75" customHeight="1">
      <c r="A86" s="28">
        <v>16197</v>
      </c>
      <c r="B86" s="91">
        <v>44825.470578703702</v>
      </c>
      <c r="C86" s="28" t="s">
        <v>10</v>
      </c>
      <c r="D86" s="28" t="s">
        <v>1413</v>
      </c>
      <c r="E86" s="28"/>
      <c r="F86" s="28">
        <v>0</v>
      </c>
      <c r="G86" s="28" t="s">
        <v>119</v>
      </c>
      <c r="H86" s="28">
        <v>0</v>
      </c>
      <c r="J86" s="28"/>
    </row>
    <row r="87" spans="1:10" ht="15.75" customHeight="1">
      <c r="A87" s="28">
        <v>16197</v>
      </c>
      <c r="B87" s="91">
        <v>44825.470578703702</v>
      </c>
      <c r="C87" s="28" t="s">
        <v>10</v>
      </c>
      <c r="D87" s="28" t="s">
        <v>1413</v>
      </c>
      <c r="E87" s="28"/>
      <c r="F87" s="28">
        <v>0</v>
      </c>
      <c r="G87" s="28" t="s">
        <v>120</v>
      </c>
      <c r="H87" s="28">
        <v>0</v>
      </c>
      <c r="J87" s="28"/>
    </row>
    <row r="88" spans="1:10" ht="15.75" customHeight="1">
      <c r="A88" s="28">
        <v>16197</v>
      </c>
      <c r="B88" s="91">
        <v>44825.470578703702</v>
      </c>
      <c r="C88" s="28" t="s">
        <v>10</v>
      </c>
      <c r="D88" s="28" t="s">
        <v>1413</v>
      </c>
      <c r="E88" s="28"/>
      <c r="F88" s="28">
        <v>0</v>
      </c>
      <c r="G88" s="28" t="s">
        <v>121</v>
      </c>
      <c r="H88" s="28">
        <v>0</v>
      </c>
      <c r="J88" s="28"/>
    </row>
    <row r="89" spans="1:10" ht="15.75" customHeight="1">
      <c r="A89" s="28">
        <v>16198</v>
      </c>
      <c r="B89" s="91">
        <v>44825.800509259258</v>
      </c>
      <c r="C89" s="28" t="s">
        <v>10</v>
      </c>
      <c r="D89" s="28" t="s">
        <v>1412</v>
      </c>
      <c r="E89" s="28"/>
      <c r="F89" s="28">
        <v>55</v>
      </c>
      <c r="G89" s="28">
        <v>101684</v>
      </c>
      <c r="H89" s="28">
        <v>0</v>
      </c>
      <c r="J89" s="28"/>
    </row>
    <row r="90" spans="1:10" ht="15.75" customHeight="1">
      <c r="A90" s="28">
        <v>16198</v>
      </c>
      <c r="B90" s="91">
        <v>44825.800509259258</v>
      </c>
      <c r="C90" s="28" t="s">
        <v>10</v>
      </c>
      <c r="D90" s="28" t="s">
        <v>1412</v>
      </c>
      <c r="E90" s="28"/>
      <c r="F90" s="28">
        <v>0</v>
      </c>
      <c r="G90" s="28" t="s">
        <v>118</v>
      </c>
      <c r="H90" s="28">
        <v>0</v>
      </c>
      <c r="J90" s="28"/>
    </row>
    <row r="91" spans="1:10" ht="15.75" customHeight="1">
      <c r="A91" s="28">
        <v>16198</v>
      </c>
      <c r="B91" s="91">
        <v>44825.800509259258</v>
      </c>
      <c r="C91" s="28" t="s">
        <v>10</v>
      </c>
      <c r="D91" s="28" t="s">
        <v>1412</v>
      </c>
      <c r="E91" s="28"/>
      <c r="F91" s="28">
        <v>0</v>
      </c>
      <c r="G91" s="28" t="s">
        <v>119</v>
      </c>
      <c r="H91" s="28">
        <v>0</v>
      </c>
      <c r="J91" s="28"/>
    </row>
    <row r="92" spans="1:10" ht="15.75" customHeight="1">
      <c r="A92" s="28">
        <v>16198</v>
      </c>
      <c r="B92" s="91">
        <v>44825.800509259258</v>
      </c>
      <c r="C92" s="28" t="s">
        <v>10</v>
      </c>
      <c r="D92" s="28" t="s">
        <v>1412</v>
      </c>
      <c r="E92" s="28"/>
      <c r="F92" s="28">
        <v>0</v>
      </c>
      <c r="G92" s="28" t="s">
        <v>120</v>
      </c>
      <c r="H92" s="28">
        <v>0</v>
      </c>
      <c r="J92" s="28"/>
    </row>
    <row r="93" spans="1:10" ht="15.75" customHeight="1">
      <c r="A93" s="28">
        <v>16198</v>
      </c>
      <c r="B93" s="91">
        <v>44825.800509259258</v>
      </c>
      <c r="C93" s="28" t="s">
        <v>10</v>
      </c>
      <c r="D93" s="28" t="s">
        <v>1412</v>
      </c>
      <c r="E93" s="28"/>
      <c r="F93" s="28">
        <v>0</v>
      </c>
      <c r="G93" s="28" t="s">
        <v>121</v>
      </c>
      <c r="H93" s="28">
        <v>0</v>
      </c>
      <c r="J93" s="28"/>
    </row>
    <row r="94" spans="1:10" ht="15.75" customHeight="1">
      <c r="A94" s="28">
        <v>16199</v>
      </c>
      <c r="B94" s="91">
        <v>44825.832349537042</v>
      </c>
      <c r="C94" s="28" t="s">
        <v>10</v>
      </c>
      <c r="D94" s="28" t="s">
        <v>1411</v>
      </c>
      <c r="E94" s="28"/>
      <c r="F94" s="28">
        <v>28</v>
      </c>
      <c r="G94" s="28" t="s">
        <v>143</v>
      </c>
      <c r="H94" s="28">
        <v>0</v>
      </c>
      <c r="J94" s="28"/>
    </row>
    <row r="95" spans="1:10" ht="15.75" customHeight="1">
      <c r="A95" s="28">
        <v>16199</v>
      </c>
      <c r="B95" s="91">
        <v>44825.832349537042</v>
      </c>
      <c r="C95" s="28" t="s">
        <v>10</v>
      </c>
      <c r="D95" s="28" t="s">
        <v>1411</v>
      </c>
      <c r="E95" s="28"/>
      <c r="F95" s="28">
        <v>0</v>
      </c>
      <c r="G95" s="28" t="s">
        <v>139</v>
      </c>
      <c r="H95" s="28">
        <v>0</v>
      </c>
      <c r="J95" s="28"/>
    </row>
    <row r="96" spans="1:10" ht="15.75" customHeight="1">
      <c r="A96" s="28">
        <v>16199</v>
      </c>
      <c r="B96" s="91">
        <v>44825.832349537042</v>
      </c>
      <c r="C96" s="28" t="s">
        <v>10</v>
      </c>
      <c r="D96" s="28" t="s">
        <v>1411</v>
      </c>
      <c r="E96" s="28"/>
      <c r="F96" s="28">
        <v>35</v>
      </c>
      <c r="G96" s="28" t="s">
        <v>124</v>
      </c>
      <c r="H96" s="28">
        <v>0</v>
      </c>
      <c r="J96" s="28"/>
    </row>
    <row r="97" spans="1:10" ht="15.75" customHeight="1">
      <c r="A97" s="28">
        <v>16199</v>
      </c>
      <c r="B97" s="91">
        <v>44825.832349537042</v>
      </c>
      <c r="C97" s="28" t="s">
        <v>10</v>
      </c>
      <c r="D97" s="28" t="s">
        <v>1411</v>
      </c>
      <c r="E97" s="28"/>
      <c r="F97" s="28">
        <v>0</v>
      </c>
      <c r="G97" s="28" t="s">
        <v>125</v>
      </c>
      <c r="H97" s="28">
        <v>0</v>
      </c>
      <c r="J97" s="28"/>
    </row>
    <row r="98" spans="1:10" ht="15.75" customHeight="1">
      <c r="A98" s="28">
        <v>16199</v>
      </c>
      <c r="B98" s="91">
        <v>44825.832349537042</v>
      </c>
      <c r="C98" s="28" t="s">
        <v>10</v>
      </c>
      <c r="D98" s="28" t="s">
        <v>1411</v>
      </c>
      <c r="E98" s="28"/>
      <c r="F98" s="28">
        <v>0</v>
      </c>
      <c r="G98" s="28" t="s">
        <v>121</v>
      </c>
      <c r="H98" s="28">
        <v>0</v>
      </c>
      <c r="J98" s="28"/>
    </row>
    <row r="99" spans="1:10" ht="15.75" customHeight="1">
      <c r="A99" s="28">
        <v>16199</v>
      </c>
      <c r="B99" s="91">
        <v>44825.832349537042</v>
      </c>
      <c r="C99" s="28" t="s">
        <v>10</v>
      </c>
      <c r="D99" s="28" t="s">
        <v>1411</v>
      </c>
      <c r="E99" s="28"/>
      <c r="F99" s="28">
        <v>0</v>
      </c>
      <c r="G99" s="28" t="s">
        <v>139</v>
      </c>
      <c r="H99" s="28">
        <v>0</v>
      </c>
      <c r="J99" s="28"/>
    </row>
    <row r="100" spans="1:10" ht="15.75" customHeight="1">
      <c r="A100" s="28">
        <v>16200</v>
      </c>
      <c r="B100" s="91">
        <v>44826.121990740736</v>
      </c>
      <c r="C100" s="28" t="s">
        <v>10</v>
      </c>
      <c r="D100" s="28" t="s">
        <v>1410</v>
      </c>
      <c r="E100" s="28"/>
      <c r="F100" s="28">
        <v>28</v>
      </c>
      <c r="G100" s="28" t="s">
        <v>143</v>
      </c>
      <c r="H100" s="28">
        <v>0</v>
      </c>
      <c r="J100" s="28"/>
    </row>
    <row r="101" spans="1:10" ht="15.75" customHeight="1">
      <c r="A101" s="28">
        <v>16201</v>
      </c>
      <c r="B101" s="91">
        <v>44826.396666666667</v>
      </c>
      <c r="C101" s="28" t="s">
        <v>10</v>
      </c>
      <c r="D101" s="28" t="s">
        <v>1409</v>
      </c>
      <c r="E101" s="28"/>
      <c r="F101" s="28">
        <v>7.5</v>
      </c>
      <c r="G101" s="28" t="s">
        <v>774</v>
      </c>
      <c r="H101" s="28">
        <v>0</v>
      </c>
      <c r="J101" s="28"/>
    </row>
    <row r="102" spans="1:10" ht="15.75" customHeight="1">
      <c r="A102" s="28">
        <v>16201</v>
      </c>
      <c r="B102" s="91">
        <v>44826.396666666667</v>
      </c>
      <c r="C102" s="28" t="s">
        <v>10</v>
      </c>
      <c r="D102" s="28" t="s">
        <v>1409</v>
      </c>
      <c r="E102" s="28"/>
      <c r="F102" s="28">
        <v>20</v>
      </c>
      <c r="G102" s="28" t="s">
        <v>205</v>
      </c>
      <c r="H102" s="28">
        <v>0</v>
      </c>
      <c r="J102" s="28"/>
    </row>
    <row r="103" spans="1:10" ht="15.75" customHeight="1">
      <c r="A103" s="28">
        <v>16201</v>
      </c>
      <c r="B103" s="91">
        <v>44826.396666666667</v>
      </c>
      <c r="C103" s="28" t="s">
        <v>10</v>
      </c>
      <c r="D103" s="28" t="s">
        <v>1409</v>
      </c>
      <c r="E103" s="28"/>
      <c r="F103" s="28">
        <v>0</v>
      </c>
      <c r="G103" s="28" t="s">
        <v>125</v>
      </c>
      <c r="H103" s="28">
        <v>0</v>
      </c>
      <c r="J103" s="28"/>
    </row>
    <row r="104" spans="1:10" ht="15.75" customHeight="1">
      <c r="A104" s="28">
        <v>16203</v>
      </c>
      <c r="B104" s="91">
        <v>44826.510266203702</v>
      </c>
      <c r="C104" s="28" t="s">
        <v>10</v>
      </c>
      <c r="D104" s="28" t="s">
        <v>1408</v>
      </c>
      <c r="E104" s="28"/>
      <c r="F104" s="28">
        <v>15</v>
      </c>
      <c r="G104" s="28" t="s">
        <v>742</v>
      </c>
      <c r="H104" s="28">
        <v>0</v>
      </c>
      <c r="J104" s="28"/>
    </row>
    <row r="105" spans="1:10" ht="15.75" customHeight="1">
      <c r="A105" s="28">
        <v>16204</v>
      </c>
      <c r="B105" s="91">
        <v>44826.517997685187</v>
      </c>
      <c r="C105" s="28" t="s">
        <v>10</v>
      </c>
      <c r="D105" s="28" t="s">
        <v>1407</v>
      </c>
      <c r="E105" s="28"/>
      <c r="F105" s="28">
        <v>35</v>
      </c>
      <c r="G105" s="28" t="s">
        <v>124</v>
      </c>
      <c r="H105" s="28">
        <v>0</v>
      </c>
      <c r="J105" s="28"/>
    </row>
    <row r="106" spans="1:10" ht="15.75" customHeight="1">
      <c r="A106" s="28">
        <v>16204</v>
      </c>
      <c r="B106" s="91">
        <v>44826.517997685187</v>
      </c>
      <c r="C106" s="28" t="s">
        <v>10</v>
      </c>
      <c r="D106" s="28" t="s">
        <v>1407</v>
      </c>
      <c r="E106" s="28"/>
      <c r="F106" s="28">
        <v>0</v>
      </c>
      <c r="G106" s="28" t="s">
        <v>125</v>
      </c>
      <c r="H106" s="28">
        <v>0</v>
      </c>
      <c r="J106" s="28"/>
    </row>
    <row r="107" spans="1:10" ht="15.75" customHeight="1">
      <c r="A107" s="28">
        <v>16204</v>
      </c>
      <c r="B107" s="91">
        <v>44826.517997685187</v>
      </c>
      <c r="C107" s="28" t="s">
        <v>10</v>
      </c>
      <c r="D107" s="28" t="s">
        <v>1407</v>
      </c>
      <c r="E107" s="28"/>
      <c r="F107" s="28">
        <v>0</v>
      </c>
      <c r="G107" s="28" t="s">
        <v>121</v>
      </c>
      <c r="H107" s="28">
        <v>0</v>
      </c>
      <c r="J107" s="28"/>
    </row>
    <row r="108" spans="1:10" ht="15.75" customHeight="1">
      <c r="A108" s="28">
        <v>16204</v>
      </c>
      <c r="B108" s="91">
        <v>44826.517997685187</v>
      </c>
      <c r="C108" s="28" t="s">
        <v>10</v>
      </c>
      <c r="D108" s="28" t="s">
        <v>1407</v>
      </c>
      <c r="E108" s="28"/>
      <c r="F108" s="28">
        <v>0</v>
      </c>
      <c r="G108" s="28" t="s">
        <v>139</v>
      </c>
      <c r="H108" s="28">
        <v>0</v>
      </c>
      <c r="J108" s="28"/>
    </row>
    <row r="109" spans="1:10" ht="15.75" customHeight="1">
      <c r="A109" s="28">
        <v>16205</v>
      </c>
      <c r="B109" s="91">
        <v>44826.590497685189</v>
      </c>
      <c r="C109" s="28" t="s">
        <v>10</v>
      </c>
      <c r="D109" s="28" t="s">
        <v>1406</v>
      </c>
      <c r="E109" s="28"/>
      <c r="F109" s="28">
        <v>0</v>
      </c>
      <c r="G109" s="28" t="s">
        <v>139</v>
      </c>
      <c r="H109" s="28">
        <v>0</v>
      </c>
      <c r="J109" s="28"/>
    </row>
    <row r="110" spans="1:10" ht="15.75" customHeight="1">
      <c r="A110" s="28">
        <v>16205</v>
      </c>
      <c r="B110" s="91">
        <v>44826.590497685189</v>
      </c>
      <c r="C110" s="28" t="s">
        <v>10</v>
      </c>
      <c r="D110" s="28" t="s">
        <v>1406</v>
      </c>
      <c r="E110" s="28"/>
      <c r="F110" s="28">
        <v>25</v>
      </c>
      <c r="G110" s="28" t="s">
        <v>120</v>
      </c>
      <c r="H110" s="28">
        <v>0</v>
      </c>
      <c r="J110" s="28"/>
    </row>
    <row r="111" spans="1:10" ht="15.75" customHeight="1">
      <c r="A111" s="28">
        <v>16206</v>
      </c>
      <c r="B111" s="91">
        <v>44826.688055555554</v>
      </c>
      <c r="C111" s="28" t="s">
        <v>10</v>
      </c>
      <c r="D111" s="28" t="s">
        <v>1097</v>
      </c>
      <c r="E111" s="28"/>
      <c r="F111" s="28">
        <v>0</v>
      </c>
      <c r="G111" s="28">
        <v>101684</v>
      </c>
      <c r="H111" s="28">
        <v>0</v>
      </c>
      <c r="J111" s="28"/>
    </row>
    <row r="112" spans="1:10" ht="15.75" customHeight="1">
      <c r="A112" s="28">
        <v>16206</v>
      </c>
      <c r="B112" s="91">
        <v>44826.688055555554</v>
      </c>
      <c r="C112" s="28" t="s">
        <v>10</v>
      </c>
      <c r="D112" s="28" t="s">
        <v>1097</v>
      </c>
      <c r="E112" s="28"/>
      <c r="F112" s="28">
        <v>0</v>
      </c>
      <c r="G112" s="28" t="s">
        <v>118</v>
      </c>
      <c r="H112" s="28">
        <v>0</v>
      </c>
      <c r="J112" s="28"/>
    </row>
    <row r="113" spans="1:10" ht="15.75" customHeight="1">
      <c r="A113" s="28">
        <v>16206</v>
      </c>
      <c r="B113" s="91">
        <v>44826.688055555554</v>
      </c>
      <c r="C113" s="28" t="s">
        <v>10</v>
      </c>
      <c r="D113" s="28" t="s">
        <v>1097</v>
      </c>
      <c r="E113" s="28"/>
      <c r="F113" s="28">
        <v>0</v>
      </c>
      <c r="G113" s="28" t="s">
        <v>119</v>
      </c>
      <c r="H113" s="28">
        <v>0</v>
      </c>
      <c r="J113" s="28"/>
    </row>
    <row r="114" spans="1:10" ht="15.75" customHeight="1">
      <c r="A114" s="28">
        <v>16206</v>
      </c>
      <c r="B114" s="91">
        <v>44826.688055555554</v>
      </c>
      <c r="C114" s="28" t="s">
        <v>10</v>
      </c>
      <c r="D114" s="28" t="s">
        <v>1097</v>
      </c>
      <c r="E114" s="28"/>
      <c r="F114" s="28">
        <v>0</v>
      </c>
      <c r="G114" s="28" t="s">
        <v>120</v>
      </c>
      <c r="H114" s="28">
        <v>0</v>
      </c>
      <c r="J114" s="28"/>
    </row>
    <row r="115" spans="1:10" ht="15.75" customHeight="1">
      <c r="A115" s="28">
        <v>16206</v>
      </c>
      <c r="B115" s="91">
        <v>44826.688055555554</v>
      </c>
      <c r="C115" s="28" t="s">
        <v>10</v>
      </c>
      <c r="D115" s="28" t="s">
        <v>1097</v>
      </c>
      <c r="E115" s="28"/>
      <c r="F115" s="28">
        <v>0</v>
      </c>
      <c r="G115" s="28" t="s">
        <v>121</v>
      </c>
      <c r="H115" s="28">
        <v>0</v>
      </c>
      <c r="J115" s="28"/>
    </row>
    <row r="116" spans="1:10" ht="15.75" customHeight="1">
      <c r="A116" s="28">
        <v>16207</v>
      </c>
      <c r="B116" s="91">
        <v>44826.701701388884</v>
      </c>
      <c r="C116" s="28" t="s">
        <v>10</v>
      </c>
      <c r="D116" s="28" t="s">
        <v>1097</v>
      </c>
      <c r="E116" s="28"/>
      <c r="F116" s="28">
        <v>35</v>
      </c>
      <c r="G116" s="28" t="s">
        <v>124</v>
      </c>
      <c r="H116" s="28">
        <v>0</v>
      </c>
      <c r="J116" s="28"/>
    </row>
    <row r="117" spans="1:10" ht="15.75" customHeight="1">
      <c r="A117" s="28">
        <v>16207</v>
      </c>
      <c r="B117" s="91">
        <v>44826.701701388884</v>
      </c>
      <c r="C117" s="28" t="s">
        <v>10</v>
      </c>
      <c r="D117" s="28" t="s">
        <v>1097</v>
      </c>
      <c r="E117" s="28"/>
      <c r="F117" s="28">
        <v>0</v>
      </c>
      <c r="G117" s="28" t="s">
        <v>125</v>
      </c>
      <c r="H117" s="28">
        <v>0</v>
      </c>
      <c r="J117" s="28"/>
    </row>
    <row r="118" spans="1:10" ht="15.75" customHeight="1">
      <c r="A118" s="28">
        <v>16207</v>
      </c>
      <c r="B118" s="91">
        <v>44826.701701388884</v>
      </c>
      <c r="C118" s="28" t="s">
        <v>10</v>
      </c>
      <c r="D118" s="28" t="s">
        <v>1097</v>
      </c>
      <c r="E118" s="28"/>
      <c r="F118" s="28">
        <v>0</v>
      </c>
      <c r="G118" s="28" t="s">
        <v>121</v>
      </c>
      <c r="H118" s="28">
        <v>0</v>
      </c>
      <c r="J118" s="28"/>
    </row>
    <row r="119" spans="1:10" ht="15.75" customHeight="1">
      <c r="A119" s="28">
        <v>16207</v>
      </c>
      <c r="B119" s="91">
        <v>44826.701701388884</v>
      </c>
      <c r="C119" s="28" t="s">
        <v>10</v>
      </c>
      <c r="D119" s="28" t="s">
        <v>1097</v>
      </c>
      <c r="E119" s="28"/>
      <c r="F119" s="28">
        <v>0</v>
      </c>
      <c r="G119" s="28" t="s">
        <v>139</v>
      </c>
      <c r="H119" s="28">
        <v>0</v>
      </c>
      <c r="J119" s="28"/>
    </row>
    <row r="120" spans="1:10" ht="15.75" customHeight="1">
      <c r="A120" s="28">
        <v>16208</v>
      </c>
      <c r="B120" s="91">
        <v>44826.7028125</v>
      </c>
      <c r="C120" s="28" t="s">
        <v>10</v>
      </c>
      <c r="D120" s="28" t="s">
        <v>1097</v>
      </c>
      <c r="E120" s="28"/>
      <c r="F120" s="28">
        <v>0</v>
      </c>
      <c r="G120" s="28">
        <v>100692</v>
      </c>
      <c r="H120" s="28">
        <v>0</v>
      </c>
      <c r="J120" s="28"/>
    </row>
    <row r="121" spans="1:10" ht="15.75" customHeight="1">
      <c r="A121" s="28">
        <v>16208</v>
      </c>
      <c r="B121" s="91">
        <v>44826.7028125</v>
      </c>
      <c r="C121" s="28" t="s">
        <v>10</v>
      </c>
      <c r="D121" s="28" t="s">
        <v>1097</v>
      </c>
      <c r="E121" s="28"/>
      <c r="F121" s="28">
        <v>0</v>
      </c>
      <c r="G121" s="28" t="s">
        <v>125</v>
      </c>
      <c r="H121" s="28">
        <v>0</v>
      </c>
      <c r="J121" s="28"/>
    </row>
    <row r="122" spans="1:10" ht="15.75" customHeight="1">
      <c r="A122" s="28">
        <v>16208</v>
      </c>
      <c r="B122" s="91">
        <v>44826.7028125</v>
      </c>
      <c r="C122" s="28" t="s">
        <v>10</v>
      </c>
      <c r="D122" s="28" t="s">
        <v>1097</v>
      </c>
      <c r="E122" s="28"/>
      <c r="F122" s="28">
        <v>0</v>
      </c>
      <c r="G122" s="28" t="s">
        <v>119</v>
      </c>
      <c r="H122" s="28">
        <v>0</v>
      </c>
      <c r="J122" s="28"/>
    </row>
    <row r="123" spans="1:10" ht="15.75" customHeight="1">
      <c r="A123" s="28">
        <v>16208</v>
      </c>
      <c r="B123" s="91">
        <v>44826.7028125</v>
      </c>
      <c r="C123" s="28" t="s">
        <v>10</v>
      </c>
      <c r="D123" s="28" t="s">
        <v>1097</v>
      </c>
      <c r="E123" s="28"/>
      <c r="F123" s="28">
        <v>0</v>
      </c>
      <c r="G123" s="28" t="s">
        <v>334</v>
      </c>
      <c r="H123" s="28">
        <v>0</v>
      </c>
      <c r="J123" s="28"/>
    </row>
    <row r="124" spans="1:10" ht="15.75" customHeight="1">
      <c r="A124" s="28">
        <v>16208</v>
      </c>
      <c r="B124" s="91">
        <v>44826.7028125</v>
      </c>
      <c r="C124" s="28" t="s">
        <v>10</v>
      </c>
      <c r="D124" s="28" t="s">
        <v>1097</v>
      </c>
      <c r="E124" s="28"/>
      <c r="F124" s="28">
        <v>0</v>
      </c>
      <c r="G124" s="28" t="s">
        <v>121</v>
      </c>
      <c r="H124" s="28">
        <v>0</v>
      </c>
      <c r="J124" s="28"/>
    </row>
    <row r="125" spans="1:10" ht="15.75" customHeight="1">
      <c r="A125" s="28">
        <v>16209</v>
      </c>
      <c r="B125" s="91">
        <v>44826.826388888891</v>
      </c>
      <c r="C125" s="28" t="s">
        <v>10</v>
      </c>
      <c r="D125" s="28" t="s">
        <v>1097</v>
      </c>
      <c r="E125" s="28"/>
      <c r="F125" s="28">
        <v>0</v>
      </c>
      <c r="G125" s="28">
        <v>101684</v>
      </c>
      <c r="H125" s="28">
        <v>0</v>
      </c>
      <c r="J125" s="28"/>
    </row>
    <row r="126" spans="1:10" ht="15.75" customHeight="1">
      <c r="A126" s="28">
        <v>16209</v>
      </c>
      <c r="B126" s="91">
        <v>44826.826388888891</v>
      </c>
      <c r="C126" s="28" t="s">
        <v>10</v>
      </c>
      <c r="D126" s="28" t="s">
        <v>1097</v>
      </c>
      <c r="E126" s="28"/>
      <c r="F126" s="28">
        <v>0</v>
      </c>
      <c r="G126" s="28" t="s">
        <v>118</v>
      </c>
      <c r="H126" s="28">
        <v>0</v>
      </c>
      <c r="J126" s="28"/>
    </row>
    <row r="127" spans="1:10" ht="15.75" customHeight="1">
      <c r="A127" s="28">
        <v>16209</v>
      </c>
      <c r="B127" s="91">
        <v>44826.826388888891</v>
      </c>
      <c r="C127" s="28" t="s">
        <v>10</v>
      </c>
      <c r="D127" s="28" t="s">
        <v>1097</v>
      </c>
      <c r="E127" s="28"/>
      <c r="F127" s="28">
        <v>0</v>
      </c>
      <c r="G127" s="28" t="s">
        <v>119</v>
      </c>
      <c r="H127" s="28">
        <v>0</v>
      </c>
      <c r="J127" s="28"/>
    </row>
    <row r="128" spans="1:10" ht="15.75" customHeight="1">
      <c r="A128" s="28">
        <v>16209</v>
      </c>
      <c r="B128" s="91">
        <v>44826.826388888891</v>
      </c>
      <c r="C128" s="28" t="s">
        <v>10</v>
      </c>
      <c r="D128" s="28" t="s">
        <v>1097</v>
      </c>
      <c r="E128" s="28"/>
      <c r="F128" s="28">
        <v>0</v>
      </c>
      <c r="G128" s="28" t="s">
        <v>120</v>
      </c>
      <c r="H128" s="28">
        <v>0</v>
      </c>
      <c r="J128" s="28"/>
    </row>
    <row r="129" spans="1:10" ht="15.75" customHeight="1">
      <c r="A129" s="28">
        <v>16209</v>
      </c>
      <c r="B129" s="91">
        <v>44826.826388888891</v>
      </c>
      <c r="C129" s="28" t="s">
        <v>10</v>
      </c>
      <c r="D129" s="28" t="s">
        <v>1097</v>
      </c>
      <c r="E129" s="28"/>
      <c r="F129" s="28">
        <v>0</v>
      </c>
      <c r="G129" s="28" t="s">
        <v>121</v>
      </c>
      <c r="H129" s="28">
        <v>0</v>
      </c>
      <c r="J129" s="28"/>
    </row>
    <row r="130" spans="1:10" ht="15.75" customHeight="1">
      <c r="A130" s="28">
        <v>16210</v>
      </c>
      <c r="B130" s="91">
        <v>44826.838136574079</v>
      </c>
      <c r="C130" s="28" t="s">
        <v>10</v>
      </c>
      <c r="D130" s="28" t="s">
        <v>1097</v>
      </c>
      <c r="E130" s="28"/>
      <c r="F130" s="28">
        <v>0</v>
      </c>
      <c r="G130" s="28">
        <v>101684</v>
      </c>
      <c r="H130" s="28">
        <v>0</v>
      </c>
      <c r="J130" s="28"/>
    </row>
    <row r="131" spans="1:10" ht="15.75" customHeight="1">
      <c r="A131" s="28">
        <v>16210</v>
      </c>
      <c r="B131" s="91">
        <v>44826.838136574079</v>
      </c>
      <c r="C131" s="28" t="s">
        <v>10</v>
      </c>
      <c r="D131" s="28" t="s">
        <v>1097</v>
      </c>
      <c r="E131" s="28"/>
      <c r="F131" s="28">
        <v>0</v>
      </c>
      <c r="G131" s="28" t="s">
        <v>118</v>
      </c>
      <c r="H131" s="28">
        <v>0</v>
      </c>
      <c r="J131" s="28"/>
    </row>
    <row r="132" spans="1:10" ht="15.75" customHeight="1">
      <c r="A132" s="28">
        <v>16210</v>
      </c>
      <c r="B132" s="91">
        <v>44826.838136574079</v>
      </c>
      <c r="C132" s="28" t="s">
        <v>10</v>
      </c>
      <c r="D132" s="28" t="s">
        <v>1097</v>
      </c>
      <c r="E132" s="28"/>
      <c r="F132" s="28">
        <v>0</v>
      </c>
      <c r="G132" s="28" t="s">
        <v>119</v>
      </c>
      <c r="H132" s="28">
        <v>0</v>
      </c>
      <c r="J132" s="28"/>
    </row>
    <row r="133" spans="1:10" ht="15.75" customHeight="1">
      <c r="A133" s="28">
        <v>16210</v>
      </c>
      <c r="B133" s="91">
        <v>44826.838136574079</v>
      </c>
      <c r="C133" s="28" t="s">
        <v>10</v>
      </c>
      <c r="D133" s="28" t="s">
        <v>1097</v>
      </c>
      <c r="E133" s="28"/>
      <c r="F133" s="28">
        <v>0</v>
      </c>
      <c r="G133" s="28" t="s">
        <v>120</v>
      </c>
      <c r="H133" s="28">
        <v>0</v>
      </c>
      <c r="J133" s="28"/>
    </row>
    <row r="134" spans="1:10" ht="15.75" customHeight="1">
      <c r="A134" s="28">
        <v>16210</v>
      </c>
      <c r="B134" s="91">
        <v>44826.838136574079</v>
      </c>
      <c r="C134" s="28" t="s">
        <v>10</v>
      </c>
      <c r="D134" s="28" t="s">
        <v>1097</v>
      </c>
      <c r="E134" s="28"/>
      <c r="F134" s="28">
        <v>0</v>
      </c>
      <c r="G134" s="28" t="s">
        <v>121</v>
      </c>
      <c r="H134" s="28">
        <v>0</v>
      </c>
      <c r="J134" s="28"/>
    </row>
    <row r="135" spans="1:10" ht="15.75" customHeight="1">
      <c r="A135" s="28">
        <v>16211</v>
      </c>
      <c r="B135" s="91">
        <v>44826.880046296297</v>
      </c>
      <c r="C135" s="28" t="s">
        <v>10</v>
      </c>
      <c r="D135" s="28" t="s">
        <v>1405</v>
      </c>
      <c r="E135" s="28"/>
      <c r="F135" s="28">
        <v>35</v>
      </c>
      <c r="G135" s="28" t="s">
        <v>124</v>
      </c>
      <c r="H135" s="28">
        <v>0</v>
      </c>
      <c r="J135" s="28"/>
    </row>
    <row r="136" spans="1:10" ht="15.75" customHeight="1">
      <c r="A136" s="28">
        <v>16211</v>
      </c>
      <c r="B136" s="91">
        <v>44826.880046296297</v>
      </c>
      <c r="C136" s="28" t="s">
        <v>10</v>
      </c>
      <c r="D136" s="28" t="s">
        <v>1405</v>
      </c>
      <c r="E136" s="28"/>
      <c r="F136" s="28">
        <v>0</v>
      </c>
      <c r="G136" s="28" t="s">
        <v>125</v>
      </c>
      <c r="H136" s="28">
        <v>0</v>
      </c>
      <c r="J136" s="28"/>
    </row>
    <row r="137" spans="1:10" ht="15.75" customHeight="1">
      <c r="A137" s="28">
        <v>16211</v>
      </c>
      <c r="B137" s="91">
        <v>44826.880046296297</v>
      </c>
      <c r="C137" s="28" t="s">
        <v>10</v>
      </c>
      <c r="D137" s="28" t="s">
        <v>1405</v>
      </c>
      <c r="E137" s="28"/>
      <c r="F137" s="28">
        <v>0</v>
      </c>
      <c r="G137" s="28" t="s">
        <v>121</v>
      </c>
      <c r="H137" s="28">
        <v>0</v>
      </c>
      <c r="J137" s="28"/>
    </row>
    <row r="138" spans="1:10" ht="15.75" customHeight="1">
      <c r="A138" s="28">
        <v>16211</v>
      </c>
      <c r="B138" s="91">
        <v>44826.880046296297</v>
      </c>
      <c r="C138" s="28" t="s">
        <v>10</v>
      </c>
      <c r="D138" s="28" t="s">
        <v>1405</v>
      </c>
      <c r="E138" s="28"/>
      <c r="F138" s="28">
        <v>0</v>
      </c>
      <c r="G138" s="28" t="s">
        <v>139</v>
      </c>
      <c r="H138" s="28">
        <v>0</v>
      </c>
      <c r="J138" s="28"/>
    </row>
    <row r="139" spans="1:10" ht="15.75" customHeight="1">
      <c r="A139" s="28">
        <v>16212</v>
      </c>
      <c r="B139" s="91">
        <v>44826.90761574074</v>
      </c>
      <c r="C139" s="28" t="s">
        <v>10</v>
      </c>
      <c r="D139" s="28" t="s">
        <v>1404</v>
      </c>
      <c r="E139" s="28"/>
      <c r="F139" s="28">
        <v>55</v>
      </c>
      <c r="G139" s="28">
        <v>101684</v>
      </c>
      <c r="H139" s="28">
        <v>0</v>
      </c>
      <c r="J139" s="28"/>
    </row>
    <row r="140" spans="1:10" ht="15.75" customHeight="1">
      <c r="A140" s="28">
        <v>16212</v>
      </c>
      <c r="B140" s="91">
        <v>44826.90761574074</v>
      </c>
      <c r="C140" s="28" t="s">
        <v>10</v>
      </c>
      <c r="D140" s="28" t="s">
        <v>1404</v>
      </c>
      <c r="E140" s="28"/>
      <c r="F140" s="28">
        <v>0</v>
      </c>
      <c r="G140" s="28" t="s">
        <v>118</v>
      </c>
      <c r="H140" s="28">
        <v>0</v>
      </c>
      <c r="J140" s="28"/>
    </row>
    <row r="141" spans="1:10" ht="15.75" customHeight="1">
      <c r="A141" s="28">
        <v>16212</v>
      </c>
      <c r="B141" s="91">
        <v>44826.90761574074</v>
      </c>
      <c r="C141" s="28" t="s">
        <v>10</v>
      </c>
      <c r="D141" s="28" t="s">
        <v>1404</v>
      </c>
      <c r="E141" s="28"/>
      <c r="F141" s="28">
        <v>0</v>
      </c>
      <c r="G141" s="28" t="s">
        <v>119</v>
      </c>
      <c r="H141" s="28">
        <v>0</v>
      </c>
      <c r="J141" s="28"/>
    </row>
    <row r="142" spans="1:10" ht="15.75" customHeight="1">
      <c r="A142" s="28">
        <v>16212</v>
      </c>
      <c r="B142" s="91">
        <v>44826.90761574074</v>
      </c>
      <c r="C142" s="28" t="s">
        <v>10</v>
      </c>
      <c r="D142" s="28" t="s">
        <v>1404</v>
      </c>
      <c r="E142" s="28"/>
      <c r="F142" s="28">
        <v>0</v>
      </c>
      <c r="G142" s="28" t="s">
        <v>120</v>
      </c>
      <c r="H142" s="28">
        <v>0</v>
      </c>
      <c r="J142" s="28"/>
    </row>
    <row r="143" spans="1:10" ht="15.75" customHeight="1">
      <c r="A143" s="28">
        <v>16212</v>
      </c>
      <c r="B143" s="91">
        <v>44826.90761574074</v>
      </c>
      <c r="C143" s="28" t="s">
        <v>10</v>
      </c>
      <c r="D143" s="28" t="s">
        <v>1404</v>
      </c>
      <c r="E143" s="28"/>
      <c r="F143" s="28">
        <v>0</v>
      </c>
      <c r="G143" s="28" t="s">
        <v>121</v>
      </c>
      <c r="H143" s="28">
        <v>0</v>
      </c>
      <c r="J143" s="28"/>
    </row>
    <row r="144" spans="1:10" ht="15.75" customHeight="1">
      <c r="A144" s="28">
        <v>16212</v>
      </c>
      <c r="B144" s="91">
        <v>44826.90761574074</v>
      </c>
      <c r="C144" s="28" t="s">
        <v>10</v>
      </c>
      <c r="D144" s="28" t="s">
        <v>1404</v>
      </c>
      <c r="E144" s="28"/>
      <c r="F144" s="28">
        <v>0</v>
      </c>
      <c r="G144" s="28" t="s">
        <v>139</v>
      </c>
      <c r="H144" s="28">
        <v>0</v>
      </c>
      <c r="J144" s="28"/>
    </row>
    <row r="145" spans="1:10" ht="15.75" customHeight="1">
      <c r="A145" s="28">
        <v>16213</v>
      </c>
      <c r="B145" s="91">
        <v>44826.963819444441</v>
      </c>
      <c r="C145" s="28" t="s">
        <v>10</v>
      </c>
      <c r="D145" s="28" t="s">
        <v>1403</v>
      </c>
      <c r="E145" s="28"/>
      <c r="F145" s="28">
        <v>28</v>
      </c>
      <c r="G145" s="28" t="s">
        <v>143</v>
      </c>
      <c r="H145" s="28">
        <v>0</v>
      </c>
      <c r="J145" s="28"/>
    </row>
    <row r="146" spans="1:10" ht="15.75" customHeight="1">
      <c r="A146" s="28">
        <v>16213</v>
      </c>
      <c r="B146" s="91">
        <v>44826.963819444441</v>
      </c>
      <c r="C146" s="28" t="s">
        <v>10</v>
      </c>
      <c r="D146" s="28" t="s">
        <v>1403</v>
      </c>
      <c r="E146" s="28"/>
      <c r="F146" s="28">
        <v>22</v>
      </c>
      <c r="G146" s="28" t="s">
        <v>137</v>
      </c>
      <c r="H146" s="28">
        <v>0</v>
      </c>
      <c r="J146" s="28"/>
    </row>
    <row r="147" spans="1:10" ht="15.75" customHeight="1">
      <c r="A147" s="28">
        <v>16213</v>
      </c>
      <c r="B147" s="91">
        <v>44826.963819444441</v>
      </c>
      <c r="C147" s="28" t="s">
        <v>10</v>
      </c>
      <c r="D147" s="28" t="s">
        <v>1403</v>
      </c>
      <c r="E147" s="28"/>
      <c r="F147" s="28">
        <v>36</v>
      </c>
      <c r="G147" s="28" t="s">
        <v>119</v>
      </c>
      <c r="H147" s="28">
        <v>0</v>
      </c>
      <c r="J147" s="28"/>
    </row>
    <row r="148" spans="1:10" ht="15.75" customHeight="1">
      <c r="A148" s="28">
        <v>16214</v>
      </c>
      <c r="B148" s="91">
        <v>44827.658842592587</v>
      </c>
      <c r="C148" s="28" t="s">
        <v>10</v>
      </c>
      <c r="D148" s="28" t="s">
        <v>1402</v>
      </c>
      <c r="E148" s="28"/>
      <c r="F148" s="28">
        <v>55</v>
      </c>
      <c r="G148" s="28">
        <v>101684</v>
      </c>
      <c r="H148" s="28">
        <v>0</v>
      </c>
      <c r="J148" s="28"/>
    </row>
    <row r="149" spans="1:10" ht="15.75" customHeight="1">
      <c r="A149" s="28">
        <v>16214</v>
      </c>
      <c r="B149" s="91">
        <v>44827.658842592587</v>
      </c>
      <c r="C149" s="28" t="s">
        <v>10</v>
      </c>
      <c r="D149" s="28" t="s">
        <v>1402</v>
      </c>
      <c r="E149" s="28"/>
      <c r="F149" s="28">
        <v>0</v>
      </c>
      <c r="G149" s="28" t="s">
        <v>118</v>
      </c>
      <c r="H149" s="28">
        <v>0</v>
      </c>
      <c r="J149" s="28"/>
    </row>
    <row r="150" spans="1:10" ht="15.75" customHeight="1">
      <c r="A150" s="28">
        <v>16214</v>
      </c>
      <c r="B150" s="91">
        <v>44827.658842592587</v>
      </c>
      <c r="C150" s="28" t="s">
        <v>10</v>
      </c>
      <c r="D150" s="28" t="s">
        <v>1402</v>
      </c>
      <c r="E150" s="28"/>
      <c r="F150" s="28">
        <v>0</v>
      </c>
      <c r="G150" s="28" t="s">
        <v>119</v>
      </c>
      <c r="H150" s="28">
        <v>0</v>
      </c>
      <c r="J150" s="28"/>
    </row>
    <row r="151" spans="1:10" ht="15.75" customHeight="1">
      <c r="A151" s="28">
        <v>16214</v>
      </c>
      <c r="B151" s="91">
        <v>44827.658842592587</v>
      </c>
      <c r="C151" s="28" t="s">
        <v>10</v>
      </c>
      <c r="D151" s="28" t="s">
        <v>1402</v>
      </c>
      <c r="E151" s="28"/>
      <c r="F151" s="28">
        <v>0</v>
      </c>
      <c r="G151" s="28" t="s">
        <v>120</v>
      </c>
      <c r="H151" s="28">
        <v>0</v>
      </c>
      <c r="J151" s="28"/>
    </row>
    <row r="152" spans="1:10" ht="15.75" customHeight="1">
      <c r="A152" s="28">
        <v>16214</v>
      </c>
      <c r="B152" s="91">
        <v>44827.658842592587</v>
      </c>
      <c r="C152" s="28" t="s">
        <v>10</v>
      </c>
      <c r="D152" s="28" t="s">
        <v>1402</v>
      </c>
      <c r="E152" s="28"/>
      <c r="F152" s="28">
        <v>0</v>
      </c>
      <c r="G152" s="28" t="s">
        <v>121</v>
      </c>
      <c r="H152" s="28">
        <v>0</v>
      </c>
      <c r="J152" s="28"/>
    </row>
    <row r="153" spans="1:10" ht="15.75" customHeight="1">
      <c r="A153" s="28">
        <v>16214</v>
      </c>
      <c r="B153" s="91">
        <v>44827.658842592587</v>
      </c>
      <c r="C153" s="28" t="s">
        <v>10</v>
      </c>
      <c r="D153" s="28" t="s">
        <v>1402</v>
      </c>
      <c r="E153" s="28"/>
      <c r="F153" s="28">
        <v>0</v>
      </c>
      <c r="G153" s="28" t="s">
        <v>139</v>
      </c>
      <c r="H153" s="28">
        <v>0</v>
      </c>
      <c r="J153" s="28"/>
    </row>
    <row r="154" spans="1:10" ht="15.75" customHeight="1">
      <c r="A154" s="28">
        <v>16215</v>
      </c>
      <c r="B154" s="91">
        <v>44827.907800925925</v>
      </c>
      <c r="C154" s="28" t="s">
        <v>10</v>
      </c>
      <c r="D154" s="28" t="s">
        <v>1401</v>
      </c>
      <c r="E154" s="28"/>
      <c r="F154" s="28">
        <v>35</v>
      </c>
      <c r="G154" s="28" t="s">
        <v>124</v>
      </c>
      <c r="H154" s="28">
        <v>0</v>
      </c>
      <c r="J154" s="28"/>
    </row>
    <row r="155" spans="1:10" ht="15.75" customHeight="1">
      <c r="A155" s="28">
        <v>16215</v>
      </c>
      <c r="B155" s="91">
        <v>44827.907800925925</v>
      </c>
      <c r="C155" s="28" t="s">
        <v>10</v>
      </c>
      <c r="D155" s="28" t="s">
        <v>1401</v>
      </c>
      <c r="E155" s="28"/>
      <c r="F155" s="28">
        <v>0</v>
      </c>
      <c r="G155" s="28" t="s">
        <v>125</v>
      </c>
      <c r="H155" s="28">
        <v>0</v>
      </c>
      <c r="J155" s="28"/>
    </row>
    <row r="156" spans="1:10" ht="15.75" customHeight="1">
      <c r="A156" s="28">
        <v>16215</v>
      </c>
      <c r="B156" s="91">
        <v>44827.907800925925</v>
      </c>
      <c r="C156" s="28" t="s">
        <v>10</v>
      </c>
      <c r="D156" s="28" t="s">
        <v>1401</v>
      </c>
      <c r="E156" s="28"/>
      <c r="F156" s="28">
        <v>0</v>
      </c>
      <c r="G156" s="28" t="s">
        <v>121</v>
      </c>
      <c r="H156" s="28">
        <v>0</v>
      </c>
      <c r="J156" s="28"/>
    </row>
    <row r="157" spans="1:10" ht="15.75" customHeight="1">
      <c r="A157" s="28">
        <v>16215</v>
      </c>
      <c r="B157" s="91">
        <v>44827.907800925925</v>
      </c>
      <c r="C157" s="28" t="s">
        <v>10</v>
      </c>
      <c r="D157" s="28" t="s">
        <v>1401</v>
      </c>
      <c r="E157" s="28"/>
      <c r="F157" s="28">
        <v>0</v>
      </c>
      <c r="G157" s="28" t="s">
        <v>139</v>
      </c>
      <c r="H157" s="28">
        <v>0</v>
      </c>
      <c r="J157" s="28"/>
    </row>
    <row r="158" spans="1:10" ht="15.75" customHeight="1">
      <c r="A158" s="28">
        <v>16216</v>
      </c>
      <c r="B158" s="91">
        <v>44827.912222222221</v>
      </c>
      <c r="C158" s="28" t="s">
        <v>10</v>
      </c>
      <c r="D158" s="28" t="s">
        <v>1400</v>
      </c>
      <c r="E158" s="28"/>
      <c r="F158" s="28">
        <v>25</v>
      </c>
      <c r="G158" s="28">
        <v>100692</v>
      </c>
      <c r="H158" s="28">
        <v>0</v>
      </c>
      <c r="J158" s="28"/>
    </row>
    <row r="159" spans="1:10" ht="15.75" customHeight="1">
      <c r="A159" s="28">
        <v>16216</v>
      </c>
      <c r="B159" s="91">
        <v>44827.912222222221</v>
      </c>
      <c r="C159" s="28" t="s">
        <v>10</v>
      </c>
      <c r="D159" s="28" t="s">
        <v>1400</v>
      </c>
      <c r="E159" s="28"/>
      <c r="F159" s="28">
        <v>0</v>
      </c>
      <c r="G159" s="28" t="s">
        <v>125</v>
      </c>
      <c r="H159" s="28">
        <v>0</v>
      </c>
      <c r="J159" s="28"/>
    </row>
    <row r="160" spans="1:10" ht="15.75" customHeight="1">
      <c r="A160" s="28">
        <v>16216</v>
      </c>
      <c r="B160" s="91">
        <v>44827.912222222221</v>
      </c>
      <c r="C160" s="28" t="s">
        <v>10</v>
      </c>
      <c r="D160" s="28" t="s">
        <v>1400</v>
      </c>
      <c r="E160" s="28"/>
      <c r="F160" s="28">
        <v>0</v>
      </c>
      <c r="G160" s="28" t="s">
        <v>119</v>
      </c>
      <c r="H160" s="28">
        <v>0</v>
      </c>
      <c r="J160" s="28"/>
    </row>
    <row r="161" spans="1:10" ht="15.75" customHeight="1">
      <c r="A161" s="28">
        <v>16216</v>
      </c>
      <c r="B161" s="91">
        <v>44827.912222222221</v>
      </c>
      <c r="C161" s="28" t="s">
        <v>10</v>
      </c>
      <c r="D161" s="28" t="s">
        <v>1400</v>
      </c>
      <c r="E161" s="28"/>
      <c r="F161" s="28">
        <v>22</v>
      </c>
      <c r="G161" s="28" t="s">
        <v>137</v>
      </c>
      <c r="H161" s="28">
        <v>0</v>
      </c>
      <c r="J161" s="28"/>
    </row>
    <row r="162" spans="1:10" ht="15.75" customHeight="1">
      <c r="A162" s="28">
        <v>16217</v>
      </c>
      <c r="B162" s="91">
        <v>44828.04184027778</v>
      </c>
      <c r="C162" s="28" t="s">
        <v>10</v>
      </c>
      <c r="D162" s="28" t="s">
        <v>1399</v>
      </c>
      <c r="E162" s="28"/>
      <c r="F162" s="28">
        <v>0</v>
      </c>
      <c r="G162" s="28" t="s">
        <v>139</v>
      </c>
      <c r="H162" s="28">
        <v>0</v>
      </c>
      <c r="J162" s="28"/>
    </row>
    <row r="163" spans="1:10" ht="15.75" customHeight="1">
      <c r="A163" s="28">
        <v>16217</v>
      </c>
      <c r="B163" s="91">
        <v>44828.04184027778</v>
      </c>
      <c r="C163" s="28" t="s">
        <v>10</v>
      </c>
      <c r="D163" s="28" t="s">
        <v>1399</v>
      </c>
      <c r="E163" s="28"/>
      <c r="F163" s="28">
        <v>18</v>
      </c>
      <c r="G163" s="28" t="s">
        <v>119</v>
      </c>
      <c r="H163" s="28">
        <v>0</v>
      </c>
      <c r="J163" s="28"/>
    </row>
    <row r="164" spans="1:10" ht="15.75" customHeight="1">
      <c r="A164" s="28">
        <v>16218</v>
      </c>
      <c r="B164" s="91">
        <v>44828.590902777782</v>
      </c>
      <c r="C164" s="28" t="s">
        <v>10</v>
      </c>
      <c r="D164" s="28" t="s">
        <v>284</v>
      </c>
      <c r="E164" s="28"/>
      <c r="F164" s="28">
        <v>18</v>
      </c>
      <c r="G164" s="28" t="s">
        <v>267</v>
      </c>
      <c r="H164" s="28">
        <v>0</v>
      </c>
      <c r="J164" s="28"/>
    </row>
    <row r="165" spans="1:10" ht="15.75" customHeight="1">
      <c r="A165" s="28">
        <v>16218</v>
      </c>
      <c r="B165" s="91">
        <v>44828.590902777782</v>
      </c>
      <c r="C165" s="28" t="s">
        <v>10</v>
      </c>
      <c r="D165" s="28" t="s">
        <v>284</v>
      </c>
      <c r="E165" s="28"/>
      <c r="F165" s="28">
        <v>0</v>
      </c>
      <c r="G165" s="28" t="s">
        <v>139</v>
      </c>
      <c r="H165" s="28">
        <v>0</v>
      </c>
      <c r="J165" s="28"/>
    </row>
    <row r="166" spans="1:10" ht="15.75" customHeight="1">
      <c r="A166" s="28">
        <v>16218</v>
      </c>
      <c r="B166" s="91">
        <v>44828.590902777782</v>
      </c>
      <c r="C166" s="28" t="s">
        <v>10</v>
      </c>
      <c r="D166" s="28" t="s">
        <v>284</v>
      </c>
      <c r="E166" s="28"/>
      <c r="F166" s="28">
        <v>48</v>
      </c>
      <c r="G166" s="28" t="s">
        <v>1296</v>
      </c>
      <c r="H166" s="28">
        <v>0</v>
      </c>
      <c r="J166" s="28"/>
    </row>
    <row r="167" spans="1:10" ht="15.75" customHeight="1">
      <c r="A167" s="28">
        <v>16219</v>
      </c>
      <c r="B167" s="91">
        <v>44828.71</v>
      </c>
      <c r="C167" s="28" t="s">
        <v>10</v>
      </c>
      <c r="D167" s="28" t="s">
        <v>1398</v>
      </c>
      <c r="E167" s="28"/>
      <c r="F167" s="28">
        <v>55</v>
      </c>
      <c r="G167" s="28">
        <v>101684</v>
      </c>
      <c r="H167" s="28">
        <v>0</v>
      </c>
      <c r="J167" s="28"/>
    </row>
    <row r="168" spans="1:10" ht="15.75" customHeight="1">
      <c r="A168" s="28">
        <v>16219</v>
      </c>
      <c r="B168" s="91">
        <v>44828.71</v>
      </c>
      <c r="C168" s="28" t="s">
        <v>10</v>
      </c>
      <c r="D168" s="28" t="s">
        <v>1398</v>
      </c>
      <c r="E168" s="28"/>
      <c r="F168" s="28">
        <v>0</v>
      </c>
      <c r="G168" s="28" t="s">
        <v>118</v>
      </c>
      <c r="H168" s="28">
        <v>0</v>
      </c>
      <c r="J168" s="28"/>
    </row>
    <row r="169" spans="1:10" ht="15.75" customHeight="1">
      <c r="A169" s="28">
        <v>16219</v>
      </c>
      <c r="B169" s="91">
        <v>44828.71</v>
      </c>
      <c r="C169" s="28" t="s">
        <v>10</v>
      </c>
      <c r="D169" s="28" t="s">
        <v>1398</v>
      </c>
      <c r="E169" s="28"/>
      <c r="F169" s="28">
        <v>0</v>
      </c>
      <c r="G169" s="28" t="s">
        <v>119</v>
      </c>
      <c r="H169" s="28">
        <v>0</v>
      </c>
      <c r="J169" s="28"/>
    </row>
    <row r="170" spans="1:10" ht="15.75" customHeight="1">
      <c r="A170" s="28">
        <v>16219</v>
      </c>
      <c r="B170" s="91">
        <v>44828.71</v>
      </c>
      <c r="C170" s="28" t="s">
        <v>10</v>
      </c>
      <c r="D170" s="28" t="s">
        <v>1398</v>
      </c>
      <c r="E170" s="28"/>
      <c r="F170" s="28">
        <v>0</v>
      </c>
      <c r="G170" s="28" t="s">
        <v>120</v>
      </c>
      <c r="H170" s="28">
        <v>0</v>
      </c>
      <c r="J170" s="28"/>
    </row>
    <row r="171" spans="1:10" ht="15.75" customHeight="1">
      <c r="A171" s="28">
        <v>16219</v>
      </c>
      <c r="B171" s="91">
        <v>44828.71</v>
      </c>
      <c r="C171" s="28" t="s">
        <v>10</v>
      </c>
      <c r="D171" s="28" t="s">
        <v>1398</v>
      </c>
      <c r="E171" s="28"/>
      <c r="F171" s="28">
        <v>0</v>
      </c>
      <c r="G171" s="28" t="s">
        <v>121</v>
      </c>
      <c r="H171" s="28">
        <v>0</v>
      </c>
      <c r="J171" s="28"/>
    </row>
    <row r="172" spans="1:10" ht="15.75" customHeight="1">
      <c r="A172" s="28">
        <v>16220</v>
      </c>
      <c r="B172" s="91">
        <v>44828.760520833333</v>
      </c>
      <c r="C172" s="28" t="s">
        <v>10</v>
      </c>
      <c r="D172" s="28" t="s">
        <v>1397</v>
      </c>
      <c r="E172" s="28"/>
      <c r="F172" s="28">
        <v>35</v>
      </c>
      <c r="G172" s="28" t="s">
        <v>124</v>
      </c>
      <c r="H172" s="28">
        <v>0</v>
      </c>
      <c r="J172" s="28"/>
    </row>
    <row r="173" spans="1:10" ht="15.75" customHeight="1">
      <c r="A173" s="28">
        <v>16220</v>
      </c>
      <c r="B173" s="91">
        <v>44828.760520833333</v>
      </c>
      <c r="C173" s="28" t="s">
        <v>10</v>
      </c>
      <c r="D173" s="28" t="s">
        <v>1397</v>
      </c>
      <c r="E173" s="28"/>
      <c r="F173" s="28">
        <v>0</v>
      </c>
      <c r="G173" s="28" t="s">
        <v>125</v>
      </c>
      <c r="H173" s="28">
        <v>0</v>
      </c>
      <c r="J173" s="28"/>
    </row>
    <row r="174" spans="1:10" ht="15.75" customHeight="1">
      <c r="A174" s="28">
        <v>16220</v>
      </c>
      <c r="B174" s="91">
        <v>44828.760520833333</v>
      </c>
      <c r="C174" s="28" t="s">
        <v>10</v>
      </c>
      <c r="D174" s="28" t="s">
        <v>1397</v>
      </c>
      <c r="E174" s="28"/>
      <c r="F174" s="28">
        <v>0</v>
      </c>
      <c r="G174" s="28" t="s">
        <v>121</v>
      </c>
      <c r="H174" s="28">
        <v>0</v>
      </c>
      <c r="J174" s="28"/>
    </row>
    <row r="175" spans="1:10" ht="15.75" customHeight="1">
      <c r="A175" s="28">
        <v>16220</v>
      </c>
      <c r="B175" s="91">
        <v>44828.760520833333</v>
      </c>
      <c r="C175" s="28" t="s">
        <v>10</v>
      </c>
      <c r="D175" s="28" t="s">
        <v>1397</v>
      </c>
      <c r="E175" s="28"/>
      <c r="F175" s="28">
        <v>0</v>
      </c>
      <c r="G175" s="28" t="s">
        <v>139</v>
      </c>
      <c r="H175" s="28">
        <v>0</v>
      </c>
      <c r="J175" s="28"/>
    </row>
    <row r="176" spans="1:10" ht="15.75" customHeight="1">
      <c r="A176" s="28">
        <v>16221</v>
      </c>
      <c r="B176" s="91">
        <v>44828.777986111112</v>
      </c>
      <c r="C176" s="28" t="s">
        <v>10</v>
      </c>
      <c r="D176" s="28" t="s">
        <v>1396</v>
      </c>
      <c r="E176" s="28"/>
      <c r="F176" s="28">
        <v>25</v>
      </c>
      <c r="G176" s="28">
        <v>100692</v>
      </c>
      <c r="H176" s="28">
        <v>0</v>
      </c>
      <c r="J176" s="28"/>
    </row>
    <row r="177" spans="1:10" ht="15.75" customHeight="1">
      <c r="A177" s="28">
        <v>16221</v>
      </c>
      <c r="B177" s="91">
        <v>44828.777986111112</v>
      </c>
      <c r="C177" s="28" t="s">
        <v>10</v>
      </c>
      <c r="D177" s="28" t="s">
        <v>1396</v>
      </c>
      <c r="E177" s="28"/>
      <c r="F177" s="28">
        <v>0</v>
      </c>
      <c r="G177" s="28" t="s">
        <v>125</v>
      </c>
      <c r="H177" s="28">
        <v>0</v>
      </c>
      <c r="J177" s="28"/>
    </row>
    <row r="178" spans="1:10" ht="15.75" customHeight="1">
      <c r="A178" s="28">
        <v>16221</v>
      </c>
      <c r="B178" s="91">
        <v>44828.777986111112</v>
      </c>
      <c r="C178" s="28" t="s">
        <v>10</v>
      </c>
      <c r="D178" s="28" t="s">
        <v>1396</v>
      </c>
      <c r="E178" s="28"/>
      <c r="F178" s="28">
        <v>0</v>
      </c>
      <c r="G178" s="28" t="s">
        <v>119</v>
      </c>
      <c r="H178" s="28">
        <v>0</v>
      </c>
      <c r="J178" s="28"/>
    </row>
    <row r="179" spans="1:10" ht="15.75" customHeight="1">
      <c r="A179" s="28">
        <v>16221</v>
      </c>
      <c r="B179" s="91">
        <v>44828.777986111112</v>
      </c>
      <c r="C179" s="28" t="s">
        <v>10</v>
      </c>
      <c r="D179" s="28" t="s">
        <v>1396</v>
      </c>
      <c r="E179" s="28"/>
      <c r="F179" s="28">
        <v>20</v>
      </c>
      <c r="G179" s="28" t="s">
        <v>121</v>
      </c>
      <c r="H179" s="28">
        <v>0</v>
      </c>
      <c r="J179" s="28"/>
    </row>
    <row r="180" spans="1:10" ht="15.75" customHeight="1">
      <c r="A180" s="28">
        <v>16221</v>
      </c>
      <c r="B180" s="91">
        <v>44828.777986111112</v>
      </c>
      <c r="C180" s="28" t="s">
        <v>10</v>
      </c>
      <c r="D180" s="28" t="s">
        <v>1396</v>
      </c>
      <c r="E180" s="28"/>
      <c r="F180" s="28">
        <v>18</v>
      </c>
      <c r="G180" s="28" t="s">
        <v>267</v>
      </c>
      <c r="H180" s="28">
        <v>0</v>
      </c>
      <c r="J180" s="28"/>
    </row>
    <row r="181" spans="1:10" ht="15.75" customHeight="1">
      <c r="A181" s="28">
        <v>16221</v>
      </c>
      <c r="B181" s="91">
        <v>44828.777986111112</v>
      </c>
      <c r="C181" s="28" t="s">
        <v>10</v>
      </c>
      <c r="D181" s="28" t="s">
        <v>1396</v>
      </c>
      <c r="E181" s="28"/>
      <c r="F181" s="28">
        <v>0</v>
      </c>
      <c r="G181" s="28" t="s">
        <v>139</v>
      </c>
      <c r="H181" s="28">
        <v>0</v>
      </c>
      <c r="J181" s="28"/>
    </row>
    <row r="182" spans="1:10" ht="15.75" customHeight="1">
      <c r="A182" s="28">
        <v>16222</v>
      </c>
      <c r="B182" s="91">
        <v>44828.923263888893</v>
      </c>
      <c r="C182" s="28" t="s">
        <v>10</v>
      </c>
      <c r="D182" s="28" t="s">
        <v>1395</v>
      </c>
      <c r="E182" s="28"/>
      <c r="F182" s="28">
        <v>0</v>
      </c>
      <c r="G182" s="28" t="s">
        <v>139</v>
      </c>
      <c r="H182" s="28">
        <v>0</v>
      </c>
      <c r="J182" s="28"/>
    </row>
    <row r="183" spans="1:10" ht="15.75" customHeight="1">
      <c r="A183" s="28">
        <v>16222</v>
      </c>
      <c r="B183" s="91">
        <v>44828.923263888893</v>
      </c>
      <c r="C183" s="28" t="s">
        <v>10</v>
      </c>
      <c r="D183" s="28" t="s">
        <v>1395</v>
      </c>
      <c r="E183" s="28"/>
      <c r="F183" s="28">
        <v>15</v>
      </c>
      <c r="G183" s="28" t="s">
        <v>125</v>
      </c>
      <c r="H183" s="28">
        <v>0</v>
      </c>
      <c r="J183" s="28"/>
    </row>
    <row r="184" spans="1:10" ht="15.75" customHeight="1">
      <c r="A184" s="28">
        <v>16223</v>
      </c>
      <c r="B184" s="91">
        <v>44828.979814814811</v>
      </c>
      <c r="C184" s="28" t="s">
        <v>10</v>
      </c>
      <c r="D184" s="28" t="s">
        <v>1394</v>
      </c>
      <c r="E184" s="28"/>
      <c r="F184" s="28">
        <v>15</v>
      </c>
      <c r="G184" s="28" t="s">
        <v>125</v>
      </c>
      <c r="H184" s="28">
        <v>0</v>
      </c>
      <c r="J184" s="28"/>
    </row>
    <row r="185" spans="1:10" ht="15.75" customHeight="1">
      <c r="A185" s="28">
        <v>16224</v>
      </c>
      <c r="B185" s="91">
        <v>44828.981712962966</v>
      </c>
      <c r="C185" s="28" t="s">
        <v>10</v>
      </c>
      <c r="D185" s="28" t="s">
        <v>1393</v>
      </c>
      <c r="E185" s="28"/>
      <c r="F185" s="28">
        <v>15</v>
      </c>
      <c r="G185" s="28" t="s">
        <v>125</v>
      </c>
      <c r="H185" s="28">
        <v>0</v>
      </c>
      <c r="J185" s="28"/>
    </row>
    <row r="186" spans="1:10" ht="15.75" customHeight="1">
      <c r="A186" s="28">
        <v>16225</v>
      </c>
      <c r="B186" s="91">
        <v>44829.027037037042</v>
      </c>
      <c r="C186" s="28" t="s">
        <v>10</v>
      </c>
      <c r="D186" s="28" t="s">
        <v>1392</v>
      </c>
      <c r="E186" s="28"/>
      <c r="F186" s="28">
        <v>18</v>
      </c>
      <c r="G186" s="28" t="s">
        <v>180</v>
      </c>
      <c r="H186" s="28">
        <v>0</v>
      </c>
      <c r="J186" s="28"/>
    </row>
    <row r="187" spans="1:10" ht="15.75" customHeight="1">
      <c r="A187" s="28">
        <v>16225</v>
      </c>
      <c r="B187" s="91">
        <v>44829.027037037042</v>
      </c>
      <c r="C187" s="28" t="s">
        <v>10</v>
      </c>
      <c r="D187" s="28" t="s">
        <v>1392</v>
      </c>
      <c r="E187" s="28"/>
      <c r="F187" s="28">
        <v>20</v>
      </c>
      <c r="G187" s="28" t="s">
        <v>121</v>
      </c>
      <c r="H187" s="28">
        <v>0</v>
      </c>
      <c r="J187" s="28"/>
    </row>
    <row r="188" spans="1:10" ht="15.75" customHeight="1">
      <c r="A188" s="28">
        <v>16225</v>
      </c>
      <c r="B188" s="91">
        <v>44829.027037037042</v>
      </c>
      <c r="C188" s="28" t="s">
        <v>10</v>
      </c>
      <c r="D188" s="28" t="s">
        <v>1392</v>
      </c>
      <c r="E188" s="28"/>
      <c r="F188" s="28">
        <v>0</v>
      </c>
      <c r="G188" s="28" t="s">
        <v>139</v>
      </c>
      <c r="H188" s="28">
        <v>0</v>
      </c>
      <c r="J188" s="28"/>
    </row>
    <row r="189" spans="1:10" ht="15.75" customHeight="1">
      <c r="A189" s="28">
        <v>16226</v>
      </c>
      <c r="B189" s="91">
        <v>44829.048148148147</v>
      </c>
      <c r="C189" s="28" t="s">
        <v>10</v>
      </c>
      <c r="D189" s="28" t="s">
        <v>1391</v>
      </c>
      <c r="E189" s="28"/>
      <c r="F189" s="28">
        <v>55</v>
      </c>
      <c r="G189" s="28">
        <v>101684</v>
      </c>
      <c r="H189" s="28">
        <v>0</v>
      </c>
      <c r="J189" s="28"/>
    </row>
    <row r="190" spans="1:10" ht="15.75" customHeight="1">
      <c r="A190" s="28">
        <v>16226</v>
      </c>
      <c r="B190" s="91">
        <v>44829.048148148147</v>
      </c>
      <c r="C190" s="28" t="s">
        <v>10</v>
      </c>
      <c r="D190" s="28" t="s">
        <v>1391</v>
      </c>
      <c r="E190" s="28"/>
      <c r="F190" s="28">
        <v>0</v>
      </c>
      <c r="G190" s="28" t="s">
        <v>118</v>
      </c>
      <c r="H190" s="28">
        <v>0</v>
      </c>
      <c r="J190" s="28"/>
    </row>
    <row r="191" spans="1:10" ht="15.75" customHeight="1">
      <c r="A191" s="28">
        <v>16226</v>
      </c>
      <c r="B191" s="91">
        <v>44829.048148148147</v>
      </c>
      <c r="C191" s="28" t="s">
        <v>10</v>
      </c>
      <c r="D191" s="28" t="s">
        <v>1391</v>
      </c>
      <c r="E191" s="28"/>
      <c r="F191" s="28">
        <v>0</v>
      </c>
      <c r="G191" s="28" t="s">
        <v>119</v>
      </c>
      <c r="H191" s="28">
        <v>0</v>
      </c>
      <c r="J191" s="28"/>
    </row>
    <row r="192" spans="1:10" ht="15.75" customHeight="1">
      <c r="A192" s="28">
        <v>16226</v>
      </c>
      <c r="B192" s="91">
        <v>44829.048148148147</v>
      </c>
      <c r="C192" s="28" t="s">
        <v>10</v>
      </c>
      <c r="D192" s="28" t="s">
        <v>1391</v>
      </c>
      <c r="E192" s="28"/>
      <c r="F192" s="28">
        <v>0</v>
      </c>
      <c r="G192" s="28" t="s">
        <v>120</v>
      </c>
      <c r="H192" s="28">
        <v>0</v>
      </c>
      <c r="J192" s="28"/>
    </row>
    <row r="193" spans="1:10" ht="15.75" customHeight="1">
      <c r="A193" s="28">
        <v>16226</v>
      </c>
      <c r="B193" s="91">
        <v>44829.048148148147</v>
      </c>
      <c r="C193" s="28" t="s">
        <v>10</v>
      </c>
      <c r="D193" s="28" t="s">
        <v>1391</v>
      </c>
      <c r="E193" s="28"/>
      <c r="F193" s="28">
        <v>0</v>
      </c>
      <c r="G193" s="28" t="s">
        <v>121</v>
      </c>
      <c r="H193" s="28">
        <v>0</v>
      </c>
      <c r="J193" s="28"/>
    </row>
    <row r="194" spans="1:10" ht="15.75" customHeight="1">
      <c r="A194" s="28">
        <v>16227</v>
      </c>
      <c r="B194" s="91">
        <v>44829.067719907413</v>
      </c>
      <c r="C194" s="28" t="s">
        <v>10</v>
      </c>
      <c r="D194" s="28" t="s">
        <v>1390</v>
      </c>
      <c r="E194" s="28"/>
      <c r="F194" s="28">
        <v>15</v>
      </c>
      <c r="G194" s="28" t="s">
        <v>125</v>
      </c>
      <c r="H194" s="28">
        <v>0</v>
      </c>
      <c r="J194" s="28"/>
    </row>
    <row r="195" spans="1:10" ht="15.75" customHeight="1">
      <c r="A195" s="28">
        <v>16227</v>
      </c>
      <c r="B195" s="91">
        <v>44829.067719907413</v>
      </c>
      <c r="C195" s="28" t="s">
        <v>10</v>
      </c>
      <c r="D195" s="28" t="s">
        <v>1390</v>
      </c>
      <c r="E195" s="28"/>
      <c r="F195" s="28">
        <v>18</v>
      </c>
      <c r="G195" s="28" t="s">
        <v>119</v>
      </c>
      <c r="H195" s="28">
        <v>0</v>
      </c>
      <c r="J195" s="28"/>
    </row>
    <row r="196" spans="1:10" ht="15.75" customHeight="1">
      <c r="A196" s="28">
        <v>16228</v>
      </c>
      <c r="B196" s="91">
        <v>44829.114444444444</v>
      </c>
      <c r="C196" s="28" t="s">
        <v>10</v>
      </c>
      <c r="D196" s="28" t="s">
        <v>1389</v>
      </c>
      <c r="E196" s="28"/>
      <c r="F196" s="28">
        <v>55</v>
      </c>
      <c r="G196" s="28">
        <v>101684</v>
      </c>
      <c r="H196" s="28">
        <v>0</v>
      </c>
      <c r="J196" s="28"/>
    </row>
    <row r="197" spans="1:10" ht="15.75" customHeight="1">
      <c r="A197" s="28">
        <v>16228</v>
      </c>
      <c r="B197" s="91">
        <v>44829.114444444444</v>
      </c>
      <c r="C197" s="28" t="s">
        <v>10</v>
      </c>
      <c r="D197" s="28" t="s">
        <v>1389</v>
      </c>
      <c r="E197" s="28"/>
      <c r="F197" s="28">
        <v>0</v>
      </c>
      <c r="G197" s="28" t="s">
        <v>118</v>
      </c>
      <c r="H197" s="28">
        <v>0</v>
      </c>
      <c r="J197" s="28"/>
    </row>
    <row r="198" spans="1:10" ht="15.75" customHeight="1">
      <c r="A198" s="28">
        <v>16228</v>
      </c>
      <c r="B198" s="91">
        <v>44829.114444444444</v>
      </c>
      <c r="C198" s="28" t="s">
        <v>10</v>
      </c>
      <c r="D198" s="28" t="s">
        <v>1389</v>
      </c>
      <c r="E198" s="28"/>
      <c r="F198" s="28">
        <v>0</v>
      </c>
      <c r="G198" s="28" t="s">
        <v>119</v>
      </c>
      <c r="H198" s="28">
        <v>0</v>
      </c>
      <c r="J198" s="28"/>
    </row>
    <row r="199" spans="1:10" ht="15.75" customHeight="1">
      <c r="A199" s="28">
        <v>16228</v>
      </c>
      <c r="B199" s="91">
        <v>44829.114444444444</v>
      </c>
      <c r="C199" s="28" t="s">
        <v>10</v>
      </c>
      <c r="D199" s="28" t="s">
        <v>1389</v>
      </c>
      <c r="E199" s="28"/>
      <c r="F199" s="28">
        <v>0</v>
      </c>
      <c r="G199" s="28" t="s">
        <v>120</v>
      </c>
      <c r="H199" s="28">
        <v>0</v>
      </c>
      <c r="J199" s="28"/>
    </row>
    <row r="200" spans="1:10" ht="15.75" customHeight="1">
      <c r="A200" s="28">
        <v>16228</v>
      </c>
      <c r="B200" s="91">
        <v>44829.114444444444</v>
      </c>
      <c r="C200" s="28" t="s">
        <v>10</v>
      </c>
      <c r="D200" s="28" t="s">
        <v>1389</v>
      </c>
      <c r="E200" s="28"/>
      <c r="F200" s="28">
        <v>0</v>
      </c>
      <c r="G200" s="28" t="s">
        <v>121</v>
      </c>
      <c r="H200" s="28">
        <v>0</v>
      </c>
      <c r="J200" s="28"/>
    </row>
    <row r="201" spans="1:10" ht="15.75" customHeight="1">
      <c r="A201" s="28">
        <v>16229</v>
      </c>
      <c r="B201" s="91">
        <v>44829.476018518515</v>
      </c>
      <c r="C201" s="28" t="s">
        <v>10</v>
      </c>
      <c r="D201" s="28" t="s">
        <v>1388</v>
      </c>
      <c r="E201" s="28"/>
      <c r="F201" s="28">
        <v>55</v>
      </c>
      <c r="G201" s="28">
        <v>101684</v>
      </c>
      <c r="H201" s="28">
        <v>0</v>
      </c>
      <c r="J201" s="28"/>
    </row>
    <row r="202" spans="1:10" ht="15.75" customHeight="1">
      <c r="A202" s="28">
        <v>16229</v>
      </c>
      <c r="B202" s="91">
        <v>44829.476018518515</v>
      </c>
      <c r="C202" s="28" t="s">
        <v>10</v>
      </c>
      <c r="D202" s="28" t="s">
        <v>1388</v>
      </c>
      <c r="E202" s="28"/>
      <c r="F202" s="28">
        <v>0</v>
      </c>
      <c r="G202" s="28" t="s">
        <v>118</v>
      </c>
      <c r="H202" s="28">
        <v>0</v>
      </c>
      <c r="J202" s="28"/>
    </row>
    <row r="203" spans="1:10" ht="15.75" customHeight="1">
      <c r="A203" s="28">
        <v>16229</v>
      </c>
      <c r="B203" s="91">
        <v>44829.476018518515</v>
      </c>
      <c r="C203" s="28" t="s">
        <v>10</v>
      </c>
      <c r="D203" s="28" t="s">
        <v>1388</v>
      </c>
      <c r="E203" s="28"/>
      <c r="F203" s="28">
        <v>0</v>
      </c>
      <c r="G203" s="28" t="s">
        <v>119</v>
      </c>
      <c r="H203" s="28">
        <v>0</v>
      </c>
      <c r="J203" s="28"/>
    </row>
    <row r="204" spans="1:10" ht="15.75" customHeight="1">
      <c r="A204" s="28">
        <v>16229</v>
      </c>
      <c r="B204" s="91">
        <v>44829.476018518515</v>
      </c>
      <c r="C204" s="28" t="s">
        <v>10</v>
      </c>
      <c r="D204" s="28" t="s">
        <v>1388</v>
      </c>
      <c r="E204" s="28"/>
      <c r="F204" s="28">
        <v>0</v>
      </c>
      <c r="G204" s="28" t="s">
        <v>120</v>
      </c>
      <c r="H204" s="28">
        <v>0</v>
      </c>
      <c r="J204" s="28"/>
    </row>
    <row r="205" spans="1:10" ht="15.75" customHeight="1">
      <c r="A205" s="28">
        <v>16229</v>
      </c>
      <c r="B205" s="91">
        <v>44829.476018518515</v>
      </c>
      <c r="C205" s="28" t="s">
        <v>10</v>
      </c>
      <c r="D205" s="28" t="s">
        <v>1388</v>
      </c>
      <c r="E205" s="28"/>
      <c r="F205" s="28">
        <v>0</v>
      </c>
      <c r="G205" s="28" t="s">
        <v>121</v>
      </c>
      <c r="H205" s="28">
        <v>0</v>
      </c>
      <c r="J205" s="28"/>
    </row>
    <row r="206" spans="1:10" ht="15.75" customHeight="1">
      <c r="A206" s="28">
        <v>16230</v>
      </c>
      <c r="B206" s="91">
        <v>44829.50503472222</v>
      </c>
      <c r="C206" s="28" t="s">
        <v>10</v>
      </c>
      <c r="D206" s="28" t="s">
        <v>1387</v>
      </c>
      <c r="E206" s="28"/>
      <c r="F206" s="28">
        <v>25</v>
      </c>
      <c r="G206" s="28">
        <v>100692</v>
      </c>
      <c r="H206" s="28">
        <v>0</v>
      </c>
      <c r="J206" s="28"/>
    </row>
    <row r="207" spans="1:10" ht="15.75" customHeight="1">
      <c r="A207" s="28">
        <v>16230</v>
      </c>
      <c r="B207" s="91">
        <v>44829.50503472222</v>
      </c>
      <c r="C207" s="28" t="s">
        <v>10</v>
      </c>
      <c r="D207" s="28" t="s">
        <v>1387</v>
      </c>
      <c r="E207" s="28"/>
      <c r="F207" s="28">
        <v>0</v>
      </c>
      <c r="G207" s="28" t="s">
        <v>125</v>
      </c>
      <c r="H207" s="28">
        <v>0</v>
      </c>
      <c r="J207" s="28"/>
    </row>
    <row r="208" spans="1:10" ht="15.75" customHeight="1">
      <c r="A208" s="28">
        <v>16230</v>
      </c>
      <c r="B208" s="91">
        <v>44829.50503472222</v>
      </c>
      <c r="C208" s="28" t="s">
        <v>10</v>
      </c>
      <c r="D208" s="28" t="s">
        <v>1387</v>
      </c>
      <c r="E208" s="28"/>
      <c r="F208" s="28">
        <v>0</v>
      </c>
      <c r="G208" s="28" t="s">
        <v>119</v>
      </c>
      <c r="H208" s="28">
        <v>0</v>
      </c>
      <c r="J208" s="28"/>
    </row>
    <row r="209" spans="1:10" ht="15.75" customHeight="1">
      <c r="A209" s="28">
        <v>16231</v>
      </c>
      <c r="B209" s="91">
        <v>44829.508506944447</v>
      </c>
      <c r="C209" s="28" t="s">
        <v>10</v>
      </c>
      <c r="D209" s="28" t="s">
        <v>1386</v>
      </c>
      <c r="E209" s="28"/>
      <c r="F209" s="28">
        <v>55</v>
      </c>
      <c r="G209" s="28">
        <v>101684</v>
      </c>
      <c r="H209" s="28">
        <v>0</v>
      </c>
      <c r="J209" s="28"/>
    </row>
    <row r="210" spans="1:10" ht="15.75" customHeight="1">
      <c r="A210" s="28">
        <v>16231</v>
      </c>
      <c r="B210" s="91">
        <v>44829.508506944447</v>
      </c>
      <c r="C210" s="28" t="s">
        <v>10</v>
      </c>
      <c r="D210" s="28" t="s">
        <v>1386</v>
      </c>
      <c r="E210" s="28"/>
      <c r="F210" s="28">
        <v>0</v>
      </c>
      <c r="G210" s="28" t="s">
        <v>118</v>
      </c>
      <c r="H210" s="28">
        <v>0</v>
      </c>
      <c r="J210" s="28"/>
    </row>
    <row r="211" spans="1:10" ht="15.75" customHeight="1">
      <c r="A211" s="28">
        <v>16231</v>
      </c>
      <c r="B211" s="91">
        <v>44829.508506944447</v>
      </c>
      <c r="C211" s="28" t="s">
        <v>10</v>
      </c>
      <c r="D211" s="28" t="s">
        <v>1386</v>
      </c>
      <c r="E211" s="28"/>
      <c r="F211" s="28">
        <v>0</v>
      </c>
      <c r="G211" s="28" t="s">
        <v>119</v>
      </c>
      <c r="H211" s="28">
        <v>0</v>
      </c>
      <c r="J211" s="28"/>
    </row>
    <row r="212" spans="1:10" ht="15.75" customHeight="1">
      <c r="A212" s="28">
        <v>16231</v>
      </c>
      <c r="B212" s="91">
        <v>44829.508506944447</v>
      </c>
      <c r="C212" s="28" t="s">
        <v>10</v>
      </c>
      <c r="D212" s="28" t="s">
        <v>1386</v>
      </c>
      <c r="E212" s="28"/>
      <c r="F212" s="28">
        <v>0</v>
      </c>
      <c r="G212" s="28" t="s">
        <v>120</v>
      </c>
      <c r="H212" s="28">
        <v>0</v>
      </c>
      <c r="J212" s="28"/>
    </row>
    <row r="213" spans="1:10" ht="15.75" customHeight="1">
      <c r="A213" s="28">
        <v>16231</v>
      </c>
      <c r="B213" s="91">
        <v>44829.508506944447</v>
      </c>
      <c r="C213" s="28" t="s">
        <v>10</v>
      </c>
      <c r="D213" s="28" t="s">
        <v>1386</v>
      </c>
      <c r="E213" s="28"/>
      <c r="F213" s="28">
        <v>0</v>
      </c>
      <c r="G213" s="28" t="s">
        <v>121</v>
      </c>
      <c r="H213" s="28">
        <v>0</v>
      </c>
      <c r="J213" s="28"/>
    </row>
    <row r="214" spans="1:10" ht="15.75" customHeight="1">
      <c r="A214" s="28">
        <v>16232</v>
      </c>
      <c r="B214" s="91">
        <v>44829.50854166667</v>
      </c>
      <c r="C214" s="28" t="s">
        <v>10</v>
      </c>
      <c r="D214" s="28" t="s">
        <v>1385</v>
      </c>
      <c r="E214" s="28"/>
      <c r="F214" s="28">
        <v>25</v>
      </c>
      <c r="G214" s="28">
        <v>100692</v>
      </c>
      <c r="H214" s="28">
        <v>0</v>
      </c>
      <c r="J214" s="28"/>
    </row>
    <row r="215" spans="1:10" ht="15.75" customHeight="1">
      <c r="A215" s="28">
        <v>16232</v>
      </c>
      <c r="B215" s="91">
        <v>44829.50854166667</v>
      </c>
      <c r="C215" s="28" t="s">
        <v>10</v>
      </c>
      <c r="D215" s="28" t="s">
        <v>1385</v>
      </c>
      <c r="E215" s="28"/>
      <c r="F215" s="28">
        <v>0</v>
      </c>
      <c r="G215" s="28" t="s">
        <v>125</v>
      </c>
      <c r="H215" s="28">
        <v>0</v>
      </c>
      <c r="J215" s="28"/>
    </row>
    <row r="216" spans="1:10" ht="15.75" customHeight="1">
      <c r="A216" s="28">
        <v>16232</v>
      </c>
      <c r="B216" s="91">
        <v>44829.50854166667</v>
      </c>
      <c r="C216" s="28" t="s">
        <v>10</v>
      </c>
      <c r="D216" s="28" t="s">
        <v>1385</v>
      </c>
      <c r="E216" s="28"/>
      <c r="F216" s="28">
        <v>0</v>
      </c>
      <c r="G216" s="28" t="s">
        <v>119</v>
      </c>
      <c r="H216" s="28">
        <v>0</v>
      </c>
      <c r="J216" s="28"/>
    </row>
    <row r="217" spans="1:10" ht="15.75" customHeight="1">
      <c r="A217" s="28">
        <v>16233</v>
      </c>
      <c r="B217" s="91">
        <v>44829.509456018517</v>
      </c>
      <c r="C217" s="28" t="s">
        <v>10</v>
      </c>
      <c r="D217" s="28" t="s">
        <v>1384</v>
      </c>
      <c r="E217" s="28"/>
      <c r="F217" s="28">
        <v>25</v>
      </c>
      <c r="G217" s="28">
        <v>100692</v>
      </c>
      <c r="H217" s="28">
        <v>0</v>
      </c>
      <c r="J217" s="28"/>
    </row>
    <row r="218" spans="1:10" ht="15.75" customHeight="1">
      <c r="A218" s="28">
        <v>16233</v>
      </c>
      <c r="B218" s="91">
        <v>44829.509456018517</v>
      </c>
      <c r="C218" s="28" t="s">
        <v>10</v>
      </c>
      <c r="D218" s="28" t="s">
        <v>1384</v>
      </c>
      <c r="E218" s="28"/>
      <c r="F218" s="28">
        <v>0</v>
      </c>
      <c r="G218" s="28" t="s">
        <v>125</v>
      </c>
      <c r="H218" s="28">
        <v>0</v>
      </c>
      <c r="J218" s="28"/>
    </row>
    <row r="219" spans="1:10" ht="15.75" customHeight="1">
      <c r="A219" s="28">
        <v>16233</v>
      </c>
      <c r="B219" s="91">
        <v>44829.509456018517</v>
      </c>
      <c r="C219" s="28" t="s">
        <v>10</v>
      </c>
      <c r="D219" s="28" t="s">
        <v>1384</v>
      </c>
      <c r="E219" s="28"/>
      <c r="F219" s="28">
        <v>0</v>
      </c>
      <c r="G219" s="28" t="s">
        <v>119</v>
      </c>
      <c r="H219" s="28">
        <v>0</v>
      </c>
      <c r="J219" s="28"/>
    </row>
    <row r="220" spans="1:10" ht="15.75" customHeight="1">
      <c r="A220" s="28">
        <v>16234</v>
      </c>
      <c r="B220" s="91">
        <v>44829.509918981479</v>
      </c>
      <c r="C220" s="28" t="s">
        <v>10</v>
      </c>
      <c r="D220" s="28" t="s">
        <v>1383</v>
      </c>
      <c r="E220" s="28"/>
      <c r="F220" s="28">
        <v>25</v>
      </c>
      <c r="G220" s="28" t="s">
        <v>141</v>
      </c>
      <c r="H220" s="28">
        <v>0</v>
      </c>
      <c r="J220" s="28"/>
    </row>
    <row r="221" spans="1:10" ht="15.75" customHeight="1">
      <c r="A221" s="28">
        <v>16235</v>
      </c>
      <c r="B221" s="91">
        <v>44829.512395833328</v>
      </c>
      <c r="C221" s="28" t="s">
        <v>10</v>
      </c>
      <c r="D221" s="28" t="s">
        <v>1382</v>
      </c>
      <c r="E221" s="28"/>
      <c r="F221" s="28">
        <v>55</v>
      </c>
      <c r="G221" s="28">
        <v>101684</v>
      </c>
      <c r="H221" s="28">
        <v>0</v>
      </c>
      <c r="J221" s="28"/>
    </row>
    <row r="222" spans="1:10" ht="15.75" customHeight="1">
      <c r="A222" s="28">
        <v>16235</v>
      </c>
      <c r="B222" s="91">
        <v>44829.512395833328</v>
      </c>
      <c r="C222" s="28" t="s">
        <v>10</v>
      </c>
      <c r="D222" s="28" t="s">
        <v>1382</v>
      </c>
      <c r="E222" s="28"/>
      <c r="F222" s="28">
        <v>0</v>
      </c>
      <c r="G222" s="28" t="s">
        <v>118</v>
      </c>
      <c r="H222" s="28">
        <v>0</v>
      </c>
      <c r="J222" s="28"/>
    </row>
    <row r="223" spans="1:10" ht="15.75" customHeight="1">
      <c r="A223" s="28">
        <v>16235</v>
      </c>
      <c r="B223" s="91">
        <v>44829.512395833328</v>
      </c>
      <c r="C223" s="28" t="s">
        <v>10</v>
      </c>
      <c r="D223" s="28" t="s">
        <v>1382</v>
      </c>
      <c r="E223" s="28"/>
      <c r="F223" s="28">
        <v>0</v>
      </c>
      <c r="G223" s="28" t="s">
        <v>119</v>
      </c>
      <c r="H223" s="28">
        <v>0</v>
      </c>
      <c r="J223" s="28"/>
    </row>
    <row r="224" spans="1:10" ht="15.75" customHeight="1">
      <c r="A224" s="28">
        <v>16235</v>
      </c>
      <c r="B224" s="91">
        <v>44829.512395833328</v>
      </c>
      <c r="C224" s="28" t="s">
        <v>10</v>
      </c>
      <c r="D224" s="28" t="s">
        <v>1382</v>
      </c>
      <c r="E224" s="28"/>
      <c r="F224" s="28">
        <v>0</v>
      </c>
      <c r="G224" s="28" t="s">
        <v>120</v>
      </c>
      <c r="H224" s="28">
        <v>0</v>
      </c>
      <c r="J224" s="28"/>
    </row>
    <row r="225" spans="1:10" ht="15.75" customHeight="1">
      <c r="A225" s="28">
        <v>16235</v>
      </c>
      <c r="B225" s="91">
        <v>44829.512395833328</v>
      </c>
      <c r="C225" s="28" t="s">
        <v>10</v>
      </c>
      <c r="D225" s="28" t="s">
        <v>1382</v>
      </c>
      <c r="E225" s="28"/>
      <c r="F225" s="28">
        <v>0</v>
      </c>
      <c r="G225" s="28" t="s">
        <v>121</v>
      </c>
      <c r="H225" s="28">
        <v>0</v>
      </c>
      <c r="J225" s="28"/>
    </row>
    <row r="226" spans="1:10" ht="15.75" customHeight="1">
      <c r="A226" s="28">
        <v>16236</v>
      </c>
      <c r="B226" s="91">
        <v>44829.518877314811</v>
      </c>
      <c r="C226" s="28" t="s">
        <v>10</v>
      </c>
      <c r="D226" s="28" t="s">
        <v>1381</v>
      </c>
      <c r="E226" s="28"/>
      <c r="F226" s="28">
        <v>25</v>
      </c>
      <c r="G226" s="28">
        <v>100692</v>
      </c>
      <c r="H226" s="28">
        <v>0</v>
      </c>
      <c r="J226" s="28"/>
    </row>
    <row r="227" spans="1:10" ht="15.75" customHeight="1">
      <c r="A227" s="28">
        <v>16236</v>
      </c>
      <c r="B227" s="91">
        <v>44829.518877314811</v>
      </c>
      <c r="C227" s="28" t="s">
        <v>10</v>
      </c>
      <c r="D227" s="28" t="s">
        <v>1381</v>
      </c>
      <c r="E227" s="28"/>
      <c r="F227" s="28">
        <v>0</v>
      </c>
      <c r="G227" s="28" t="s">
        <v>125</v>
      </c>
      <c r="H227" s="28">
        <v>0</v>
      </c>
      <c r="J227" s="28"/>
    </row>
    <row r="228" spans="1:10" ht="15.75" customHeight="1">
      <c r="A228" s="28">
        <v>16236</v>
      </c>
      <c r="B228" s="91">
        <v>44829.518877314811</v>
      </c>
      <c r="C228" s="28" t="s">
        <v>10</v>
      </c>
      <c r="D228" s="28" t="s">
        <v>1381</v>
      </c>
      <c r="E228" s="28"/>
      <c r="F228" s="28">
        <v>0</v>
      </c>
      <c r="G228" s="28" t="s">
        <v>119</v>
      </c>
      <c r="H228" s="28">
        <v>0</v>
      </c>
      <c r="J228" s="28"/>
    </row>
    <row r="229" spans="1:10" ht="15.75" customHeight="1">
      <c r="A229" s="28">
        <v>16237</v>
      </c>
      <c r="B229" s="91">
        <v>44829.522673611107</v>
      </c>
      <c r="C229" s="28" t="s">
        <v>10</v>
      </c>
      <c r="D229" s="28" t="s">
        <v>1380</v>
      </c>
      <c r="E229" s="28"/>
      <c r="F229" s="28">
        <v>30</v>
      </c>
      <c r="G229" s="28" t="s">
        <v>125</v>
      </c>
      <c r="H229" s="28">
        <v>0</v>
      </c>
      <c r="J229" s="28"/>
    </row>
    <row r="230" spans="1:10" ht="15.75" customHeight="1">
      <c r="A230" s="28">
        <v>16237</v>
      </c>
      <c r="B230" s="91">
        <v>44829.522673611107</v>
      </c>
      <c r="C230" s="28" t="s">
        <v>10</v>
      </c>
      <c r="D230" s="28" t="s">
        <v>1380</v>
      </c>
      <c r="E230" s="28"/>
      <c r="F230" s="28">
        <v>15</v>
      </c>
      <c r="G230" s="28"/>
      <c r="H230" s="28">
        <v>0</v>
      </c>
      <c r="J230" s="28"/>
    </row>
    <row r="231" spans="1:10" ht="15.75" customHeight="1">
      <c r="A231" s="28">
        <v>16238</v>
      </c>
      <c r="B231" s="91">
        <v>44829.523148148146</v>
      </c>
      <c r="C231" s="28" t="s">
        <v>10</v>
      </c>
      <c r="D231" s="28" t="s">
        <v>1379</v>
      </c>
      <c r="E231" s="28"/>
      <c r="F231" s="28">
        <v>20</v>
      </c>
      <c r="G231" s="28" t="s">
        <v>261</v>
      </c>
      <c r="H231" s="28">
        <v>0</v>
      </c>
      <c r="J231" s="28"/>
    </row>
    <row r="232" spans="1:10" ht="15.75" customHeight="1">
      <c r="A232" s="28">
        <v>16239</v>
      </c>
      <c r="B232" s="91">
        <v>44829.524710648147</v>
      </c>
      <c r="C232" s="28" t="s">
        <v>10</v>
      </c>
      <c r="D232" s="28" t="s">
        <v>1378</v>
      </c>
      <c r="E232" s="28"/>
      <c r="F232" s="28">
        <v>28</v>
      </c>
      <c r="G232" s="28" t="s">
        <v>143</v>
      </c>
      <c r="H232" s="28">
        <v>0</v>
      </c>
      <c r="J232" s="28"/>
    </row>
    <row r="233" spans="1:10" ht="15.75" customHeight="1">
      <c r="A233" s="28">
        <v>16240</v>
      </c>
      <c r="B233" s="91">
        <v>44829.533321759256</v>
      </c>
      <c r="C233" s="28" t="s">
        <v>10</v>
      </c>
      <c r="D233" s="28" t="s">
        <v>1377</v>
      </c>
      <c r="E233" s="28"/>
      <c r="F233" s="28">
        <v>25</v>
      </c>
      <c r="G233" s="28">
        <v>100692</v>
      </c>
      <c r="H233" s="28">
        <v>0</v>
      </c>
      <c r="J233" s="28"/>
    </row>
    <row r="234" spans="1:10" ht="15.75" customHeight="1">
      <c r="A234" s="28">
        <v>16240</v>
      </c>
      <c r="B234" s="91">
        <v>44829.533321759256</v>
      </c>
      <c r="C234" s="28" t="s">
        <v>10</v>
      </c>
      <c r="D234" s="28" t="s">
        <v>1377</v>
      </c>
      <c r="E234" s="28"/>
      <c r="F234" s="28">
        <v>0</v>
      </c>
      <c r="G234" s="28" t="s">
        <v>125</v>
      </c>
      <c r="H234" s="28">
        <v>0</v>
      </c>
      <c r="J234" s="28"/>
    </row>
    <row r="235" spans="1:10" ht="15.75" customHeight="1">
      <c r="A235" s="28">
        <v>16240</v>
      </c>
      <c r="B235" s="91">
        <v>44829.533321759256</v>
      </c>
      <c r="C235" s="28" t="s">
        <v>10</v>
      </c>
      <c r="D235" s="28" t="s">
        <v>1377</v>
      </c>
      <c r="E235" s="28"/>
      <c r="F235" s="28">
        <v>0</v>
      </c>
      <c r="G235" s="28" t="s">
        <v>119</v>
      </c>
      <c r="H235" s="28">
        <v>0</v>
      </c>
      <c r="J235" s="28"/>
    </row>
    <row r="236" spans="1:10" ht="15.75" customHeight="1">
      <c r="A236" s="28">
        <v>16240</v>
      </c>
      <c r="B236" s="91">
        <v>44829.533321759256</v>
      </c>
      <c r="C236" s="28" t="s">
        <v>10</v>
      </c>
      <c r="D236" s="28" t="s">
        <v>1377</v>
      </c>
      <c r="E236" s="28"/>
      <c r="F236" s="28">
        <v>28</v>
      </c>
      <c r="G236" s="28" t="s">
        <v>143</v>
      </c>
      <c r="H236" s="28">
        <v>0</v>
      </c>
      <c r="J236" s="28"/>
    </row>
    <row r="237" spans="1:10" ht="15.75" customHeight="1">
      <c r="A237" s="28">
        <v>16241</v>
      </c>
      <c r="B237" s="91">
        <v>44829.534710648149</v>
      </c>
      <c r="C237" s="28" t="s">
        <v>10</v>
      </c>
      <c r="D237" s="28" t="s">
        <v>1376</v>
      </c>
      <c r="E237" s="28"/>
      <c r="F237" s="28">
        <v>25</v>
      </c>
      <c r="G237" s="28">
        <v>100692</v>
      </c>
      <c r="H237" s="28">
        <v>0</v>
      </c>
      <c r="J237" s="28"/>
    </row>
    <row r="238" spans="1:10" ht="15.75" customHeight="1">
      <c r="A238" s="28">
        <v>16241</v>
      </c>
      <c r="B238" s="91">
        <v>44829.534710648149</v>
      </c>
      <c r="C238" s="28" t="s">
        <v>10</v>
      </c>
      <c r="D238" s="28" t="s">
        <v>1376</v>
      </c>
      <c r="E238" s="28"/>
      <c r="F238" s="28">
        <v>0</v>
      </c>
      <c r="G238" s="28" t="s">
        <v>125</v>
      </c>
      <c r="H238" s="28">
        <v>0</v>
      </c>
      <c r="J238" s="28"/>
    </row>
    <row r="239" spans="1:10" ht="15.75" customHeight="1">
      <c r="A239" s="28">
        <v>16241</v>
      </c>
      <c r="B239" s="91">
        <v>44829.534710648149</v>
      </c>
      <c r="C239" s="28" t="s">
        <v>10</v>
      </c>
      <c r="D239" s="28" t="s">
        <v>1376</v>
      </c>
      <c r="E239" s="28"/>
      <c r="F239" s="28">
        <v>0</v>
      </c>
      <c r="G239" s="28" t="s">
        <v>119</v>
      </c>
      <c r="H239" s="28">
        <v>0</v>
      </c>
      <c r="J239" s="28"/>
    </row>
    <row r="240" spans="1:10" ht="15.75" customHeight="1">
      <c r="A240" s="28">
        <v>16241</v>
      </c>
      <c r="B240" s="91">
        <v>44829.534710648149</v>
      </c>
      <c r="C240" s="28" t="s">
        <v>10</v>
      </c>
      <c r="D240" s="28" t="s">
        <v>1376</v>
      </c>
      <c r="E240" s="28"/>
      <c r="F240" s="28">
        <v>20</v>
      </c>
      <c r="G240" s="28" t="s">
        <v>205</v>
      </c>
      <c r="H240" s="28">
        <v>0</v>
      </c>
      <c r="J240" s="28"/>
    </row>
    <row r="241" spans="1:10" ht="15.75" customHeight="1">
      <c r="A241" s="28">
        <v>16241</v>
      </c>
      <c r="B241" s="91">
        <v>44829.534710648149</v>
      </c>
      <c r="C241" s="28" t="s">
        <v>10</v>
      </c>
      <c r="D241" s="28" t="s">
        <v>1376</v>
      </c>
      <c r="E241" s="28"/>
      <c r="F241" s="28">
        <v>0</v>
      </c>
      <c r="G241" s="28" t="s">
        <v>125</v>
      </c>
      <c r="H241" s="28">
        <v>0</v>
      </c>
      <c r="J241" s="28"/>
    </row>
    <row r="242" spans="1:10" ht="15.75" customHeight="1">
      <c r="A242" s="28">
        <v>16242</v>
      </c>
      <c r="B242" s="91">
        <v>44829.537083333329</v>
      </c>
      <c r="C242" s="28" t="s">
        <v>10</v>
      </c>
      <c r="D242" s="28" t="s">
        <v>1375</v>
      </c>
      <c r="E242" s="28"/>
      <c r="F242" s="28">
        <v>25</v>
      </c>
      <c r="G242" s="28">
        <v>100692</v>
      </c>
      <c r="H242" s="28">
        <v>0</v>
      </c>
      <c r="J242" s="28"/>
    </row>
    <row r="243" spans="1:10" ht="15.75" customHeight="1">
      <c r="A243" s="28">
        <v>16242</v>
      </c>
      <c r="B243" s="91">
        <v>44829.537083333329</v>
      </c>
      <c r="C243" s="28" t="s">
        <v>10</v>
      </c>
      <c r="D243" s="28" t="s">
        <v>1375</v>
      </c>
      <c r="E243" s="28"/>
      <c r="F243" s="28">
        <v>0</v>
      </c>
      <c r="G243" s="28" t="s">
        <v>125</v>
      </c>
      <c r="H243" s="28">
        <v>0</v>
      </c>
      <c r="J243" s="28"/>
    </row>
    <row r="244" spans="1:10" ht="15.75" customHeight="1">
      <c r="A244" s="28">
        <v>16242</v>
      </c>
      <c r="B244" s="91">
        <v>44829.537083333329</v>
      </c>
      <c r="C244" s="28" t="s">
        <v>10</v>
      </c>
      <c r="D244" s="28" t="s">
        <v>1375</v>
      </c>
      <c r="E244" s="28"/>
      <c r="F244" s="28">
        <v>0</v>
      </c>
      <c r="G244" s="28" t="s">
        <v>119</v>
      </c>
      <c r="H244" s="28">
        <v>0</v>
      </c>
      <c r="J244" s="28"/>
    </row>
    <row r="245" spans="1:10" ht="15.75" customHeight="1">
      <c r="A245" s="28">
        <v>16243</v>
      </c>
      <c r="B245" s="91">
        <v>44829.537280092598</v>
      </c>
      <c r="C245" s="28" t="s">
        <v>10</v>
      </c>
      <c r="D245" s="28" t="s">
        <v>1374</v>
      </c>
      <c r="E245" s="28"/>
      <c r="F245" s="28">
        <v>20</v>
      </c>
      <c r="G245" s="28" t="s">
        <v>261</v>
      </c>
      <c r="H245" s="28">
        <v>0</v>
      </c>
      <c r="J245" s="28"/>
    </row>
    <row r="246" spans="1:10" ht="15.75" customHeight="1">
      <c r="A246" s="28">
        <v>16244</v>
      </c>
      <c r="B246" s="91">
        <v>44829.546168981484</v>
      </c>
      <c r="C246" s="28" t="s">
        <v>10</v>
      </c>
      <c r="D246" s="28" t="s">
        <v>1373</v>
      </c>
      <c r="E246" s="28"/>
      <c r="F246" s="28">
        <v>25</v>
      </c>
      <c r="G246" s="28">
        <v>100692</v>
      </c>
      <c r="H246" s="28">
        <v>0</v>
      </c>
      <c r="J246" s="28"/>
    </row>
    <row r="247" spans="1:10" ht="15.75" customHeight="1">
      <c r="A247" s="28">
        <v>16244</v>
      </c>
      <c r="B247" s="91">
        <v>44829.546168981484</v>
      </c>
      <c r="C247" s="28" t="s">
        <v>10</v>
      </c>
      <c r="D247" s="28" t="s">
        <v>1373</v>
      </c>
      <c r="E247" s="28"/>
      <c r="F247" s="28">
        <v>0</v>
      </c>
      <c r="G247" s="28" t="s">
        <v>125</v>
      </c>
      <c r="H247" s="28">
        <v>0</v>
      </c>
      <c r="J247" s="28"/>
    </row>
    <row r="248" spans="1:10" ht="15.75" customHeight="1">
      <c r="A248" s="28">
        <v>16244</v>
      </c>
      <c r="B248" s="91">
        <v>44829.546168981484</v>
      </c>
      <c r="C248" s="28" t="s">
        <v>10</v>
      </c>
      <c r="D248" s="28" t="s">
        <v>1373</v>
      </c>
      <c r="E248" s="28"/>
      <c r="F248" s="28">
        <v>0</v>
      </c>
      <c r="G248" s="28" t="s">
        <v>119</v>
      </c>
      <c r="H248" s="28">
        <v>0</v>
      </c>
      <c r="J248" s="28"/>
    </row>
    <row r="249" spans="1:10" ht="15.75" customHeight="1">
      <c r="A249" s="28">
        <v>16245</v>
      </c>
      <c r="B249" s="91">
        <v>44829.547372685185</v>
      </c>
      <c r="C249" s="28" t="s">
        <v>10</v>
      </c>
      <c r="D249" s="28" t="s">
        <v>1372</v>
      </c>
      <c r="E249" s="28"/>
      <c r="F249" s="28">
        <v>70</v>
      </c>
      <c r="G249" s="28" t="s">
        <v>124</v>
      </c>
      <c r="H249" s="28">
        <v>0</v>
      </c>
      <c r="J249" s="28"/>
    </row>
    <row r="250" spans="1:10" ht="15.75" customHeight="1">
      <c r="A250" s="28">
        <v>16245</v>
      </c>
      <c r="B250" s="91">
        <v>44829.547372685185</v>
      </c>
      <c r="C250" s="28" t="s">
        <v>10</v>
      </c>
      <c r="D250" s="28" t="s">
        <v>1372</v>
      </c>
      <c r="E250" s="28"/>
      <c r="F250" s="28">
        <v>0</v>
      </c>
      <c r="G250" s="28" t="s">
        <v>125</v>
      </c>
      <c r="H250" s="28">
        <v>0</v>
      </c>
      <c r="J250" s="28"/>
    </row>
    <row r="251" spans="1:10" ht="15.75" customHeight="1">
      <c r="A251" s="28">
        <v>16245</v>
      </c>
      <c r="B251" s="91">
        <v>44829.547372685185</v>
      </c>
      <c r="C251" s="28" t="s">
        <v>10</v>
      </c>
      <c r="D251" s="28" t="s">
        <v>1372</v>
      </c>
      <c r="E251" s="28"/>
      <c r="F251" s="28">
        <v>0</v>
      </c>
      <c r="G251" s="28" t="s">
        <v>121</v>
      </c>
      <c r="H251" s="28">
        <v>0</v>
      </c>
      <c r="J251" s="28"/>
    </row>
    <row r="252" spans="1:10" ht="15.75" customHeight="1">
      <c r="A252" s="28">
        <v>16245</v>
      </c>
      <c r="B252" s="91">
        <v>44829.547372685185</v>
      </c>
      <c r="C252" s="28" t="s">
        <v>10</v>
      </c>
      <c r="D252" s="28" t="s">
        <v>1372</v>
      </c>
      <c r="E252" s="28"/>
      <c r="F252" s="28">
        <v>0</v>
      </c>
      <c r="G252" s="28" t="s">
        <v>139</v>
      </c>
      <c r="H252" s="28">
        <v>0</v>
      </c>
      <c r="J252" s="28"/>
    </row>
    <row r="253" spans="1:10" ht="15.75" customHeight="1">
      <c r="A253" s="28">
        <v>16246</v>
      </c>
      <c r="B253" s="91">
        <v>44829.547696759255</v>
      </c>
      <c r="C253" s="28" t="s">
        <v>10</v>
      </c>
      <c r="D253" s="28" t="s">
        <v>1371</v>
      </c>
      <c r="E253" s="28"/>
      <c r="F253" s="28">
        <v>35</v>
      </c>
      <c r="G253" s="28" t="s">
        <v>124</v>
      </c>
      <c r="H253" s="28">
        <v>0</v>
      </c>
      <c r="J253" s="28"/>
    </row>
    <row r="254" spans="1:10" ht="15.75" customHeight="1">
      <c r="A254" s="28">
        <v>16246</v>
      </c>
      <c r="B254" s="91">
        <v>44829.547696759255</v>
      </c>
      <c r="C254" s="28" t="s">
        <v>10</v>
      </c>
      <c r="D254" s="28" t="s">
        <v>1371</v>
      </c>
      <c r="E254" s="28"/>
      <c r="F254" s="28">
        <v>0</v>
      </c>
      <c r="G254" s="28" t="s">
        <v>125</v>
      </c>
      <c r="H254" s="28">
        <v>0</v>
      </c>
      <c r="J254" s="28"/>
    </row>
    <row r="255" spans="1:10" ht="15.75" customHeight="1">
      <c r="A255" s="28">
        <v>16246</v>
      </c>
      <c r="B255" s="91">
        <v>44829.547696759255</v>
      </c>
      <c r="C255" s="28" t="s">
        <v>10</v>
      </c>
      <c r="D255" s="28" t="s">
        <v>1371</v>
      </c>
      <c r="E255" s="28"/>
      <c r="F255" s="28">
        <v>0</v>
      </c>
      <c r="G255" s="28" t="s">
        <v>121</v>
      </c>
      <c r="H255" s="28">
        <v>0</v>
      </c>
      <c r="J255" s="28"/>
    </row>
    <row r="256" spans="1:10" ht="15.75" customHeight="1">
      <c r="A256" s="28">
        <v>16246</v>
      </c>
      <c r="B256" s="91">
        <v>44829.547696759255</v>
      </c>
      <c r="C256" s="28" t="s">
        <v>10</v>
      </c>
      <c r="D256" s="28" t="s">
        <v>1371</v>
      </c>
      <c r="E256" s="28"/>
      <c r="F256" s="28">
        <v>0</v>
      </c>
      <c r="G256" s="28" t="s">
        <v>139</v>
      </c>
      <c r="H256" s="28">
        <v>0</v>
      </c>
      <c r="J256" s="28"/>
    </row>
    <row r="257" spans="1:10" ht="15.75" customHeight="1">
      <c r="A257" s="28">
        <v>16247</v>
      </c>
      <c r="B257" s="91">
        <v>44829.551550925928</v>
      </c>
      <c r="C257" s="28" t="s">
        <v>10</v>
      </c>
      <c r="D257" s="28" t="s">
        <v>1370</v>
      </c>
      <c r="E257" s="28"/>
      <c r="F257" s="28">
        <v>35</v>
      </c>
      <c r="G257" s="28" t="s">
        <v>124</v>
      </c>
      <c r="H257" s="28">
        <v>0</v>
      </c>
      <c r="J257" s="28"/>
    </row>
    <row r="258" spans="1:10" ht="15.75" customHeight="1">
      <c r="A258" s="28">
        <v>16247</v>
      </c>
      <c r="B258" s="91">
        <v>44829.551550925928</v>
      </c>
      <c r="C258" s="28" t="s">
        <v>10</v>
      </c>
      <c r="D258" s="28" t="s">
        <v>1370</v>
      </c>
      <c r="E258" s="28"/>
      <c r="F258" s="28">
        <v>0</v>
      </c>
      <c r="G258" s="28" t="s">
        <v>125</v>
      </c>
      <c r="H258" s="28">
        <v>0</v>
      </c>
      <c r="J258" s="28"/>
    </row>
    <row r="259" spans="1:10" ht="15.75" customHeight="1">
      <c r="A259" s="28">
        <v>16247</v>
      </c>
      <c r="B259" s="91">
        <v>44829.551550925928</v>
      </c>
      <c r="C259" s="28" t="s">
        <v>10</v>
      </c>
      <c r="D259" s="28" t="s">
        <v>1370</v>
      </c>
      <c r="E259" s="28"/>
      <c r="F259" s="28">
        <v>0</v>
      </c>
      <c r="G259" s="28" t="s">
        <v>121</v>
      </c>
      <c r="H259" s="28">
        <v>0</v>
      </c>
      <c r="J259" s="28"/>
    </row>
    <row r="260" spans="1:10" ht="15.75" customHeight="1">
      <c r="A260" s="28">
        <v>16247</v>
      </c>
      <c r="B260" s="91">
        <v>44829.551550925928</v>
      </c>
      <c r="C260" s="28" t="s">
        <v>10</v>
      </c>
      <c r="D260" s="28" t="s">
        <v>1370</v>
      </c>
      <c r="E260" s="28"/>
      <c r="F260" s="28">
        <v>0</v>
      </c>
      <c r="G260" s="28" t="s">
        <v>139</v>
      </c>
      <c r="H260" s="28">
        <v>0</v>
      </c>
      <c r="J260" s="28"/>
    </row>
    <row r="261" spans="1:10" ht="15.75" customHeight="1">
      <c r="A261" s="28">
        <v>16248</v>
      </c>
      <c r="B261" s="91">
        <v>44829.555995370371</v>
      </c>
      <c r="C261" s="28" t="s">
        <v>10</v>
      </c>
      <c r="D261" s="28" t="s">
        <v>503</v>
      </c>
      <c r="E261" s="28"/>
      <c r="F261" s="28">
        <v>20</v>
      </c>
      <c r="G261" s="28" t="s">
        <v>205</v>
      </c>
      <c r="H261" s="28">
        <v>0</v>
      </c>
      <c r="J261" s="28"/>
    </row>
    <row r="262" spans="1:10" ht="15.75" customHeight="1">
      <c r="A262" s="28">
        <v>16248</v>
      </c>
      <c r="B262" s="91">
        <v>44829.555995370371</v>
      </c>
      <c r="C262" s="28" t="s">
        <v>10</v>
      </c>
      <c r="D262" s="28" t="s">
        <v>503</v>
      </c>
      <c r="E262" s="28"/>
      <c r="F262" s="28">
        <v>0</v>
      </c>
      <c r="G262" s="28" t="s">
        <v>125</v>
      </c>
      <c r="H262" s="28">
        <v>0</v>
      </c>
      <c r="J262" s="28"/>
    </row>
    <row r="263" spans="1:10" ht="15.75" customHeight="1">
      <c r="A263" s="28">
        <v>16248</v>
      </c>
      <c r="B263" s="91">
        <v>44829.555995370371</v>
      </c>
      <c r="C263" s="28" t="s">
        <v>10</v>
      </c>
      <c r="D263" s="28" t="s">
        <v>503</v>
      </c>
      <c r="E263" s="28"/>
      <c r="F263" s="28">
        <v>50</v>
      </c>
      <c r="G263" s="28" t="s">
        <v>297</v>
      </c>
      <c r="H263" s="28">
        <v>0</v>
      </c>
      <c r="J263" s="28"/>
    </row>
    <row r="264" spans="1:10" ht="15.75" customHeight="1">
      <c r="A264" s="28">
        <v>16249</v>
      </c>
      <c r="B264" s="91">
        <v>44829.572962962964</v>
      </c>
      <c r="C264" s="28" t="s">
        <v>10</v>
      </c>
      <c r="D264" s="28" t="s">
        <v>1369</v>
      </c>
      <c r="E264" s="28"/>
      <c r="F264" s="28">
        <v>25</v>
      </c>
      <c r="G264" s="28">
        <v>100692</v>
      </c>
      <c r="H264" s="28">
        <v>0</v>
      </c>
      <c r="J264" s="28"/>
    </row>
    <row r="265" spans="1:10" ht="15.75" customHeight="1">
      <c r="A265" s="28">
        <v>16249</v>
      </c>
      <c r="B265" s="91">
        <v>44829.572962962964</v>
      </c>
      <c r="C265" s="28" t="s">
        <v>10</v>
      </c>
      <c r="D265" s="28" t="s">
        <v>1369</v>
      </c>
      <c r="E265" s="28"/>
      <c r="F265" s="28">
        <v>0</v>
      </c>
      <c r="G265" s="28" t="s">
        <v>125</v>
      </c>
      <c r="H265" s="28">
        <v>0</v>
      </c>
      <c r="J265" s="28"/>
    </row>
    <row r="266" spans="1:10" ht="15.75" customHeight="1">
      <c r="A266" s="28">
        <v>16249</v>
      </c>
      <c r="B266" s="91">
        <v>44829.572962962964</v>
      </c>
      <c r="C266" s="28" t="s">
        <v>10</v>
      </c>
      <c r="D266" s="28" t="s">
        <v>1369</v>
      </c>
      <c r="E266" s="28"/>
      <c r="F266" s="28">
        <v>0</v>
      </c>
      <c r="G266" s="28" t="s">
        <v>119</v>
      </c>
      <c r="H266" s="28">
        <v>0</v>
      </c>
      <c r="J266" s="28"/>
    </row>
    <row r="267" spans="1:10" ht="15.75" customHeight="1">
      <c r="A267" s="28">
        <v>16249</v>
      </c>
      <c r="B267" s="91">
        <v>44829.572962962964</v>
      </c>
      <c r="C267" s="28" t="s">
        <v>10</v>
      </c>
      <c r="D267" s="28" t="s">
        <v>1369</v>
      </c>
      <c r="E267" s="28"/>
      <c r="F267" s="28">
        <v>10</v>
      </c>
      <c r="G267" s="28" t="s">
        <v>286</v>
      </c>
      <c r="H267" s="28">
        <v>0</v>
      </c>
      <c r="J267" s="28"/>
    </row>
    <row r="268" spans="1:10" ht="15.75" customHeight="1">
      <c r="A268" s="28">
        <v>16250</v>
      </c>
      <c r="B268" s="91">
        <v>44829.573321759264</v>
      </c>
      <c r="C268" s="28" t="s">
        <v>10</v>
      </c>
      <c r="D268" s="28" t="s">
        <v>1368</v>
      </c>
      <c r="E268" s="28"/>
      <c r="F268" s="28">
        <v>15</v>
      </c>
      <c r="G268" s="28" t="s">
        <v>170</v>
      </c>
      <c r="H268" s="28">
        <v>0</v>
      </c>
      <c r="J268" s="28"/>
    </row>
    <row r="269" spans="1:10" ht="15.75" customHeight="1">
      <c r="A269" s="28">
        <v>16251</v>
      </c>
      <c r="B269" s="91">
        <v>44829.576666666668</v>
      </c>
      <c r="C269" s="28" t="s">
        <v>10</v>
      </c>
      <c r="D269" s="28" t="s">
        <v>1367</v>
      </c>
      <c r="E269" s="28"/>
      <c r="F269" s="28">
        <v>25</v>
      </c>
      <c r="G269" s="28">
        <v>100692</v>
      </c>
      <c r="H269" s="28">
        <v>0</v>
      </c>
      <c r="J269" s="28"/>
    </row>
    <row r="270" spans="1:10" ht="15.75" customHeight="1">
      <c r="A270" s="28">
        <v>16251</v>
      </c>
      <c r="B270" s="91">
        <v>44829.576666666668</v>
      </c>
      <c r="C270" s="28" t="s">
        <v>10</v>
      </c>
      <c r="D270" s="28" t="s">
        <v>1367</v>
      </c>
      <c r="E270" s="28"/>
      <c r="F270" s="28">
        <v>0</v>
      </c>
      <c r="G270" s="28" t="s">
        <v>125</v>
      </c>
      <c r="H270" s="28">
        <v>0</v>
      </c>
      <c r="J270" s="28"/>
    </row>
    <row r="271" spans="1:10" ht="15.75" customHeight="1">
      <c r="A271" s="28">
        <v>16251</v>
      </c>
      <c r="B271" s="91">
        <v>44829.576666666668</v>
      </c>
      <c r="C271" s="28" t="s">
        <v>10</v>
      </c>
      <c r="D271" s="28" t="s">
        <v>1367</v>
      </c>
      <c r="E271" s="28"/>
      <c r="F271" s="28">
        <v>0</v>
      </c>
      <c r="G271" s="28" t="s">
        <v>119</v>
      </c>
      <c r="H271" s="28">
        <v>0</v>
      </c>
      <c r="J271" s="28"/>
    </row>
    <row r="272" spans="1:10" ht="15.75" customHeight="1">
      <c r="A272" s="28">
        <v>16251</v>
      </c>
      <c r="B272" s="91">
        <v>44829.576666666668</v>
      </c>
      <c r="C272" s="28" t="s">
        <v>10</v>
      </c>
      <c r="D272" s="28" t="s">
        <v>1367</v>
      </c>
      <c r="E272" s="28"/>
      <c r="F272" s="28">
        <v>15</v>
      </c>
      <c r="G272" s="28" t="s">
        <v>170</v>
      </c>
      <c r="H272" s="28">
        <v>0</v>
      </c>
      <c r="J272" s="28"/>
    </row>
    <row r="273" spans="1:10" ht="15.75" customHeight="1">
      <c r="A273" s="28">
        <v>16252</v>
      </c>
      <c r="B273" s="91">
        <v>44829.578657407408</v>
      </c>
      <c r="C273" s="28" t="s">
        <v>10</v>
      </c>
      <c r="D273" s="28" t="s">
        <v>1366</v>
      </c>
      <c r="E273" s="28"/>
      <c r="F273" s="28">
        <v>25</v>
      </c>
      <c r="G273" s="28">
        <v>100692</v>
      </c>
      <c r="H273" s="28">
        <v>0</v>
      </c>
      <c r="J273" s="28"/>
    </row>
    <row r="274" spans="1:10" ht="15.75" customHeight="1">
      <c r="A274" s="28">
        <v>16252</v>
      </c>
      <c r="B274" s="91">
        <v>44829.578657407408</v>
      </c>
      <c r="C274" s="28" t="s">
        <v>10</v>
      </c>
      <c r="D274" s="28" t="s">
        <v>1366</v>
      </c>
      <c r="E274" s="28"/>
      <c r="F274" s="28">
        <v>0</v>
      </c>
      <c r="G274" s="28" t="s">
        <v>125</v>
      </c>
      <c r="H274" s="28">
        <v>0</v>
      </c>
      <c r="J274" s="28"/>
    </row>
    <row r="275" spans="1:10" ht="15.75" customHeight="1">
      <c r="A275" s="28">
        <v>16252</v>
      </c>
      <c r="B275" s="91">
        <v>44829.578657407408</v>
      </c>
      <c r="C275" s="28" t="s">
        <v>10</v>
      </c>
      <c r="D275" s="28" t="s">
        <v>1366</v>
      </c>
      <c r="E275" s="28"/>
      <c r="F275" s="28">
        <v>0</v>
      </c>
      <c r="G275" s="28" t="s">
        <v>119</v>
      </c>
      <c r="H275" s="28">
        <v>0</v>
      </c>
      <c r="J275" s="28"/>
    </row>
    <row r="276" spans="1:10" ht="15.75" customHeight="1">
      <c r="A276" s="28">
        <v>16253</v>
      </c>
      <c r="B276" s="91">
        <v>44829.57984953704</v>
      </c>
      <c r="C276" s="28" t="s">
        <v>10</v>
      </c>
      <c r="D276" s="28" t="s">
        <v>1365</v>
      </c>
      <c r="E276" s="28"/>
      <c r="F276" s="28">
        <v>28</v>
      </c>
      <c r="G276" s="28" t="s">
        <v>143</v>
      </c>
      <c r="H276" s="28">
        <v>0</v>
      </c>
      <c r="J276" s="28"/>
    </row>
    <row r="277" spans="1:10" ht="15.75" customHeight="1">
      <c r="A277" s="28">
        <v>16254</v>
      </c>
      <c r="B277" s="91">
        <v>44829.583993055552</v>
      </c>
      <c r="C277" s="28" t="s">
        <v>10</v>
      </c>
      <c r="D277" s="28" t="s">
        <v>1364</v>
      </c>
      <c r="E277" s="28"/>
      <c r="F277" s="28">
        <v>25</v>
      </c>
      <c r="G277" s="28">
        <v>100692</v>
      </c>
      <c r="H277" s="28">
        <v>0</v>
      </c>
      <c r="J277" s="28"/>
    </row>
    <row r="278" spans="1:10" ht="15.75" customHeight="1">
      <c r="A278" s="28">
        <v>16254</v>
      </c>
      <c r="B278" s="91">
        <v>44829.583993055552</v>
      </c>
      <c r="C278" s="28" t="s">
        <v>10</v>
      </c>
      <c r="D278" s="28" t="s">
        <v>1364</v>
      </c>
      <c r="E278" s="28"/>
      <c r="F278" s="28">
        <v>0</v>
      </c>
      <c r="G278" s="28" t="s">
        <v>125</v>
      </c>
      <c r="H278" s="28">
        <v>0</v>
      </c>
      <c r="J278" s="28"/>
    </row>
    <row r="279" spans="1:10" ht="15.75" customHeight="1">
      <c r="A279" s="28">
        <v>16254</v>
      </c>
      <c r="B279" s="91">
        <v>44829.583993055552</v>
      </c>
      <c r="C279" s="28" t="s">
        <v>10</v>
      </c>
      <c r="D279" s="28" t="s">
        <v>1364</v>
      </c>
      <c r="E279" s="28"/>
      <c r="F279" s="28">
        <v>0</v>
      </c>
      <c r="G279" s="28" t="s">
        <v>119</v>
      </c>
      <c r="H279" s="28">
        <v>0</v>
      </c>
      <c r="J279" s="28"/>
    </row>
    <row r="280" spans="1:10" ht="15.75" customHeight="1">
      <c r="A280" s="28">
        <v>16255</v>
      </c>
      <c r="B280" s="91">
        <v>44829.599016203705</v>
      </c>
      <c r="C280" s="28" t="s">
        <v>10</v>
      </c>
      <c r="D280" s="28" t="s">
        <v>1363</v>
      </c>
      <c r="E280" s="28"/>
      <c r="F280" s="28">
        <v>25</v>
      </c>
      <c r="G280" s="28">
        <v>100692</v>
      </c>
      <c r="H280" s="28">
        <v>0</v>
      </c>
      <c r="J280" s="28"/>
    </row>
    <row r="281" spans="1:10" ht="15.75" customHeight="1">
      <c r="A281" s="28">
        <v>16255</v>
      </c>
      <c r="B281" s="91">
        <v>44829.599016203705</v>
      </c>
      <c r="C281" s="28" t="s">
        <v>10</v>
      </c>
      <c r="D281" s="28" t="s">
        <v>1363</v>
      </c>
      <c r="E281" s="28"/>
      <c r="F281" s="28">
        <v>0</v>
      </c>
      <c r="G281" s="28" t="s">
        <v>125</v>
      </c>
      <c r="H281" s="28">
        <v>0</v>
      </c>
      <c r="J281" s="28"/>
    </row>
    <row r="282" spans="1:10" ht="15.75" customHeight="1">
      <c r="A282" s="28">
        <v>16255</v>
      </c>
      <c r="B282" s="91">
        <v>44829.599016203705</v>
      </c>
      <c r="C282" s="28" t="s">
        <v>10</v>
      </c>
      <c r="D282" s="28" t="s">
        <v>1363</v>
      </c>
      <c r="E282" s="28"/>
      <c r="F282" s="28">
        <v>0</v>
      </c>
      <c r="G282" s="28" t="s">
        <v>119</v>
      </c>
      <c r="H282" s="28">
        <v>0</v>
      </c>
      <c r="J282" s="28"/>
    </row>
    <row r="283" spans="1:10" ht="15.75" customHeight="1">
      <c r="A283" s="28">
        <v>16255</v>
      </c>
      <c r="B283" s="91">
        <v>44829.599016203705</v>
      </c>
      <c r="C283" s="28" t="s">
        <v>10</v>
      </c>
      <c r="D283" s="28" t="s">
        <v>1363</v>
      </c>
      <c r="E283" s="28"/>
      <c r="F283" s="28">
        <v>0</v>
      </c>
      <c r="G283" s="28" t="s">
        <v>139</v>
      </c>
      <c r="H283" s="28">
        <v>0</v>
      </c>
      <c r="J283" s="28"/>
    </row>
    <row r="284" spans="1:10" ht="15.75" customHeight="1">
      <c r="A284" s="28">
        <v>16256</v>
      </c>
      <c r="B284" s="91">
        <v>44829.599259259259</v>
      </c>
      <c r="C284" s="28" t="s">
        <v>10</v>
      </c>
      <c r="D284" s="28" t="s">
        <v>1362</v>
      </c>
      <c r="E284" s="28"/>
      <c r="F284" s="28">
        <v>55</v>
      </c>
      <c r="G284" s="28">
        <v>101684</v>
      </c>
      <c r="H284" s="28">
        <v>0</v>
      </c>
      <c r="J284" s="28"/>
    </row>
    <row r="285" spans="1:10" ht="15.75" customHeight="1">
      <c r="A285" s="28">
        <v>16256</v>
      </c>
      <c r="B285" s="91">
        <v>44829.599259259259</v>
      </c>
      <c r="C285" s="28" t="s">
        <v>10</v>
      </c>
      <c r="D285" s="28" t="s">
        <v>1362</v>
      </c>
      <c r="E285" s="28"/>
      <c r="F285" s="28">
        <v>0</v>
      </c>
      <c r="G285" s="28" t="s">
        <v>118</v>
      </c>
      <c r="H285" s="28">
        <v>0</v>
      </c>
      <c r="J285" s="28"/>
    </row>
    <row r="286" spans="1:10" ht="15.75" customHeight="1">
      <c r="A286" s="28">
        <v>16256</v>
      </c>
      <c r="B286" s="91">
        <v>44829.599259259259</v>
      </c>
      <c r="C286" s="28" t="s">
        <v>10</v>
      </c>
      <c r="D286" s="28" t="s">
        <v>1362</v>
      </c>
      <c r="E286" s="28"/>
      <c r="F286" s="28">
        <v>0</v>
      </c>
      <c r="G286" s="28" t="s">
        <v>119</v>
      </c>
      <c r="H286" s="28">
        <v>0</v>
      </c>
      <c r="J286" s="28"/>
    </row>
    <row r="287" spans="1:10" ht="15.75" customHeight="1">
      <c r="A287" s="28">
        <v>16256</v>
      </c>
      <c r="B287" s="91">
        <v>44829.599259259259</v>
      </c>
      <c r="C287" s="28" t="s">
        <v>10</v>
      </c>
      <c r="D287" s="28" t="s">
        <v>1362</v>
      </c>
      <c r="E287" s="28"/>
      <c r="F287" s="28">
        <v>0</v>
      </c>
      <c r="G287" s="28" t="s">
        <v>120</v>
      </c>
      <c r="H287" s="28">
        <v>0</v>
      </c>
      <c r="J287" s="28"/>
    </row>
    <row r="288" spans="1:10" ht="15.75" customHeight="1">
      <c r="A288" s="28">
        <v>16256</v>
      </c>
      <c r="B288" s="91">
        <v>44829.599259259259</v>
      </c>
      <c r="C288" s="28" t="s">
        <v>10</v>
      </c>
      <c r="D288" s="28" t="s">
        <v>1362</v>
      </c>
      <c r="E288" s="28"/>
      <c r="F288" s="28">
        <v>0</v>
      </c>
      <c r="G288" s="28" t="s">
        <v>121</v>
      </c>
      <c r="H288" s="28">
        <v>0</v>
      </c>
      <c r="J288" s="28"/>
    </row>
    <row r="289" spans="1:10" ht="15.75" customHeight="1">
      <c r="A289" s="28">
        <v>16257</v>
      </c>
      <c r="B289" s="91">
        <v>44829.600231481483</v>
      </c>
      <c r="C289" s="28" t="s">
        <v>10</v>
      </c>
      <c r="D289" s="28" t="s">
        <v>1361</v>
      </c>
      <c r="E289" s="28"/>
      <c r="F289" s="28">
        <v>25</v>
      </c>
      <c r="G289" s="28">
        <v>100692</v>
      </c>
      <c r="H289" s="28">
        <v>0</v>
      </c>
      <c r="J289" s="28"/>
    </row>
    <row r="290" spans="1:10" ht="15.75" customHeight="1">
      <c r="A290" s="28">
        <v>16257</v>
      </c>
      <c r="B290" s="91">
        <v>44829.600231481483</v>
      </c>
      <c r="C290" s="28" t="s">
        <v>10</v>
      </c>
      <c r="D290" s="28" t="s">
        <v>1361</v>
      </c>
      <c r="E290" s="28"/>
      <c r="F290" s="28">
        <v>0</v>
      </c>
      <c r="G290" s="28" t="s">
        <v>125</v>
      </c>
      <c r="H290" s="28">
        <v>0</v>
      </c>
      <c r="J290" s="28"/>
    </row>
    <row r="291" spans="1:10" ht="15.75" customHeight="1">
      <c r="A291" s="28">
        <v>16257</v>
      </c>
      <c r="B291" s="91">
        <v>44829.600231481483</v>
      </c>
      <c r="C291" s="28" t="s">
        <v>10</v>
      </c>
      <c r="D291" s="28" t="s">
        <v>1361</v>
      </c>
      <c r="E291" s="28"/>
      <c r="F291" s="28">
        <v>0</v>
      </c>
      <c r="G291" s="28" t="s">
        <v>119</v>
      </c>
      <c r="H291" s="28">
        <v>0</v>
      </c>
      <c r="J291" s="28"/>
    </row>
    <row r="292" spans="1:10" ht="15.75" customHeight="1">
      <c r="A292" s="28">
        <v>16258</v>
      </c>
      <c r="B292" s="91">
        <v>44829.600405092591</v>
      </c>
      <c r="C292" s="28" t="s">
        <v>10</v>
      </c>
      <c r="D292" s="28" t="s">
        <v>1173</v>
      </c>
      <c r="E292" s="28"/>
      <c r="F292" s="28">
        <v>25</v>
      </c>
      <c r="G292" s="28">
        <v>100692</v>
      </c>
      <c r="H292" s="28">
        <v>0</v>
      </c>
      <c r="J292" s="28"/>
    </row>
    <row r="293" spans="1:10" ht="15.75" customHeight="1">
      <c r="A293" s="28">
        <v>16258</v>
      </c>
      <c r="B293" s="91">
        <v>44829.600405092591</v>
      </c>
      <c r="C293" s="28" t="s">
        <v>10</v>
      </c>
      <c r="D293" s="28" t="s">
        <v>1173</v>
      </c>
      <c r="E293" s="28"/>
      <c r="F293" s="28">
        <v>0</v>
      </c>
      <c r="G293" s="28" t="s">
        <v>125</v>
      </c>
      <c r="H293" s="28">
        <v>0</v>
      </c>
      <c r="J293" s="28"/>
    </row>
    <row r="294" spans="1:10" ht="15.75" customHeight="1">
      <c r="A294" s="28">
        <v>16258</v>
      </c>
      <c r="B294" s="91">
        <v>44829.600405092591</v>
      </c>
      <c r="C294" s="28" t="s">
        <v>10</v>
      </c>
      <c r="D294" s="28" t="s">
        <v>1173</v>
      </c>
      <c r="E294" s="28"/>
      <c r="F294" s="28">
        <v>0</v>
      </c>
      <c r="G294" s="28" t="s">
        <v>119</v>
      </c>
      <c r="H294" s="28">
        <v>0</v>
      </c>
      <c r="J294" s="28"/>
    </row>
    <row r="295" spans="1:10" ht="15.75" customHeight="1">
      <c r="A295" s="28">
        <v>16258</v>
      </c>
      <c r="B295" s="91">
        <v>44829.600405092591</v>
      </c>
      <c r="C295" s="28" t="s">
        <v>10</v>
      </c>
      <c r="D295" s="28" t="s">
        <v>1173</v>
      </c>
      <c r="E295" s="28"/>
      <c r="F295" s="28">
        <v>20</v>
      </c>
      <c r="G295" s="28" t="s">
        <v>121</v>
      </c>
      <c r="H295" s="28">
        <v>0</v>
      </c>
      <c r="J295" s="28"/>
    </row>
    <row r="296" spans="1:10" ht="15.75" customHeight="1">
      <c r="A296" s="28">
        <v>16259</v>
      </c>
      <c r="B296" s="91">
        <v>44829.600613425922</v>
      </c>
      <c r="C296" s="28" t="s">
        <v>10</v>
      </c>
      <c r="D296" s="28" t="s">
        <v>1360</v>
      </c>
      <c r="E296" s="28"/>
      <c r="F296" s="28">
        <v>0</v>
      </c>
      <c r="G296" s="28" t="s">
        <v>139</v>
      </c>
      <c r="H296" s="28">
        <v>0</v>
      </c>
      <c r="J296" s="28"/>
    </row>
    <row r="297" spans="1:10" ht="15.75" customHeight="1">
      <c r="A297" s="28">
        <v>16259</v>
      </c>
      <c r="B297" s="91">
        <v>44829.600613425922</v>
      </c>
      <c r="C297" s="28" t="s">
        <v>10</v>
      </c>
      <c r="D297" s="28" t="s">
        <v>1360</v>
      </c>
      <c r="E297" s="28"/>
      <c r="F297" s="28">
        <v>22</v>
      </c>
      <c r="G297" s="28" t="s">
        <v>137</v>
      </c>
      <c r="H297" s="28">
        <v>0</v>
      </c>
      <c r="J297" s="28"/>
    </row>
    <row r="298" spans="1:10" ht="15.75" customHeight="1">
      <c r="A298" s="28">
        <v>16259</v>
      </c>
      <c r="B298" s="91">
        <v>44829.600613425922</v>
      </c>
      <c r="C298" s="28" t="s">
        <v>10</v>
      </c>
      <c r="D298" s="28" t="s">
        <v>1360</v>
      </c>
      <c r="E298" s="28"/>
      <c r="F298" s="28">
        <v>15</v>
      </c>
      <c r="G298" s="28" t="s">
        <v>170</v>
      </c>
      <c r="H298" s="28">
        <v>0</v>
      </c>
      <c r="J298" s="28"/>
    </row>
    <row r="299" spans="1:10" ht="15.75" customHeight="1">
      <c r="A299" s="28">
        <v>16259</v>
      </c>
      <c r="B299" s="91">
        <v>44829.600613425922</v>
      </c>
      <c r="C299" s="28" t="s">
        <v>10</v>
      </c>
      <c r="D299" s="28" t="s">
        <v>1360</v>
      </c>
      <c r="E299" s="28"/>
      <c r="F299" s="28">
        <v>25</v>
      </c>
      <c r="G299" s="28" t="s">
        <v>120</v>
      </c>
      <c r="H299" s="28">
        <v>0</v>
      </c>
      <c r="J299" s="28"/>
    </row>
    <row r="300" spans="1:10" ht="15.75" customHeight="1">
      <c r="A300" s="28">
        <v>16259</v>
      </c>
      <c r="B300" s="91">
        <v>44829.600613425922</v>
      </c>
      <c r="C300" s="28" t="s">
        <v>10</v>
      </c>
      <c r="D300" s="28" t="s">
        <v>1360</v>
      </c>
      <c r="E300" s="28"/>
      <c r="F300" s="28">
        <v>24</v>
      </c>
      <c r="G300" s="28" t="s">
        <v>122</v>
      </c>
      <c r="H300" s="28">
        <v>0</v>
      </c>
      <c r="J300" s="28"/>
    </row>
    <row r="301" spans="1:10" ht="15.75" customHeight="1">
      <c r="A301" s="28">
        <v>16259</v>
      </c>
      <c r="B301" s="91">
        <v>44829.600613425922</v>
      </c>
      <c r="C301" s="28" t="s">
        <v>10</v>
      </c>
      <c r="D301" s="28" t="s">
        <v>1360</v>
      </c>
      <c r="E301" s="28"/>
      <c r="F301" s="28">
        <v>20</v>
      </c>
      <c r="G301" s="28" t="s">
        <v>121</v>
      </c>
      <c r="H301" s="28">
        <v>0</v>
      </c>
      <c r="J301" s="28"/>
    </row>
    <row r="302" spans="1:10" ht="15.75" customHeight="1">
      <c r="A302" s="28">
        <v>16260</v>
      </c>
      <c r="B302" s="91">
        <v>44829.601458333331</v>
      </c>
      <c r="C302" s="28" t="s">
        <v>10</v>
      </c>
      <c r="D302" s="28" t="s">
        <v>1359</v>
      </c>
      <c r="E302" s="28"/>
      <c r="F302" s="28">
        <v>35</v>
      </c>
      <c r="G302" s="28" t="s">
        <v>124</v>
      </c>
      <c r="H302" s="28">
        <v>0</v>
      </c>
      <c r="J302" s="28"/>
    </row>
    <row r="303" spans="1:10" ht="15.75" customHeight="1">
      <c r="A303" s="28">
        <v>16260</v>
      </c>
      <c r="B303" s="91">
        <v>44829.601458333331</v>
      </c>
      <c r="C303" s="28" t="s">
        <v>10</v>
      </c>
      <c r="D303" s="28" t="s">
        <v>1359</v>
      </c>
      <c r="E303" s="28"/>
      <c r="F303" s="28">
        <v>0</v>
      </c>
      <c r="G303" s="28" t="s">
        <v>125</v>
      </c>
      <c r="H303" s="28">
        <v>0</v>
      </c>
      <c r="J303" s="28"/>
    </row>
    <row r="304" spans="1:10" ht="15.75" customHeight="1">
      <c r="A304" s="28">
        <v>16260</v>
      </c>
      <c r="B304" s="91">
        <v>44829.601458333331</v>
      </c>
      <c r="C304" s="28" t="s">
        <v>10</v>
      </c>
      <c r="D304" s="28" t="s">
        <v>1359</v>
      </c>
      <c r="E304" s="28"/>
      <c r="F304" s="28">
        <v>0</v>
      </c>
      <c r="G304" s="28" t="s">
        <v>121</v>
      </c>
      <c r="H304" s="28">
        <v>0</v>
      </c>
      <c r="J304" s="28"/>
    </row>
    <row r="305" spans="1:10" ht="15.75" customHeight="1">
      <c r="A305" s="28">
        <v>16260</v>
      </c>
      <c r="B305" s="91">
        <v>44829.601458333331</v>
      </c>
      <c r="C305" s="28" t="s">
        <v>10</v>
      </c>
      <c r="D305" s="28" t="s">
        <v>1359</v>
      </c>
      <c r="E305" s="28"/>
      <c r="F305" s="28">
        <v>0</v>
      </c>
      <c r="G305" s="28" t="s">
        <v>139</v>
      </c>
      <c r="H305" s="28">
        <v>0</v>
      </c>
      <c r="J305" s="28"/>
    </row>
    <row r="306" spans="1:10" ht="15.75" customHeight="1">
      <c r="A306" s="28">
        <v>16261</v>
      </c>
      <c r="B306" s="91">
        <v>44829.604097222225</v>
      </c>
      <c r="C306" s="28" t="s">
        <v>10</v>
      </c>
      <c r="D306" s="28" t="s">
        <v>1358</v>
      </c>
      <c r="E306" s="28"/>
      <c r="F306" s="28">
        <v>35</v>
      </c>
      <c r="G306" s="28" t="s">
        <v>124</v>
      </c>
      <c r="H306" s="28">
        <v>0</v>
      </c>
      <c r="J306" s="28"/>
    </row>
    <row r="307" spans="1:10" ht="15.75" customHeight="1">
      <c r="A307" s="28">
        <v>16261</v>
      </c>
      <c r="B307" s="91">
        <v>44829.604097222225</v>
      </c>
      <c r="C307" s="28" t="s">
        <v>10</v>
      </c>
      <c r="D307" s="28" t="s">
        <v>1358</v>
      </c>
      <c r="E307" s="28"/>
      <c r="F307" s="28">
        <v>0</v>
      </c>
      <c r="G307" s="28" t="s">
        <v>125</v>
      </c>
      <c r="H307" s="28">
        <v>0</v>
      </c>
      <c r="J307" s="28"/>
    </row>
    <row r="308" spans="1:10" ht="15.75" customHeight="1">
      <c r="A308" s="28">
        <v>16261</v>
      </c>
      <c r="B308" s="91">
        <v>44829.604097222225</v>
      </c>
      <c r="C308" s="28" t="s">
        <v>10</v>
      </c>
      <c r="D308" s="28" t="s">
        <v>1358</v>
      </c>
      <c r="E308" s="28"/>
      <c r="F308" s="28">
        <v>0</v>
      </c>
      <c r="G308" s="28" t="s">
        <v>121</v>
      </c>
      <c r="H308" s="28">
        <v>0</v>
      </c>
      <c r="J308" s="28"/>
    </row>
    <row r="309" spans="1:10" ht="15.75" customHeight="1">
      <c r="A309" s="28">
        <v>16261</v>
      </c>
      <c r="B309" s="91">
        <v>44829.604097222225</v>
      </c>
      <c r="C309" s="28" t="s">
        <v>10</v>
      </c>
      <c r="D309" s="28" t="s">
        <v>1358</v>
      </c>
      <c r="E309" s="28"/>
      <c r="F309" s="28">
        <v>0</v>
      </c>
      <c r="G309" s="28" t="s">
        <v>139</v>
      </c>
      <c r="H309" s="28">
        <v>0</v>
      </c>
      <c r="J309" s="28"/>
    </row>
    <row r="310" spans="1:10" ht="15.75" customHeight="1">
      <c r="A310" s="28">
        <v>16261</v>
      </c>
      <c r="B310" s="91">
        <v>44829.604097222225</v>
      </c>
      <c r="C310" s="28" t="s">
        <v>10</v>
      </c>
      <c r="D310" s="28" t="s">
        <v>1358</v>
      </c>
      <c r="E310" s="28"/>
      <c r="F310" s="28">
        <v>15</v>
      </c>
      <c r="G310" s="28" t="s">
        <v>125</v>
      </c>
      <c r="H310" s="28">
        <v>0</v>
      </c>
      <c r="J310" s="28"/>
    </row>
    <row r="311" spans="1:10" ht="15.75" customHeight="1">
      <c r="A311" s="28">
        <v>16262</v>
      </c>
      <c r="B311" s="91">
        <v>44829.605868055558</v>
      </c>
      <c r="C311" s="28" t="s">
        <v>10</v>
      </c>
      <c r="D311" s="28" t="s">
        <v>421</v>
      </c>
      <c r="E311" s="28"/>
      <c r="F311" s="28">
        <v>36</v>
      </c>
      <c r="G311" s="28" t="s">
        <v>119</v>
      </c>
      <c r="H311" s="28">
        <v>0</v>
      </c>
      <c r="J311" s="28"/>
    </row>
    <row r="312" spans="1:10" ht="15.75" customHeight="1">
      <c r="A312" s="28">
        <v>16263</v>
      </c>
      <c r="B312" s="91">
        <v>44829.607199074075</v>
      </c>
      <c r="C312" s="28" t="s">
        <v>10</v>
      </c>
      <c r="D312" s="28" t="s">
        <v>1357</v>
      </c>
      <c r="E312" s="28"/>
      <c r="F312" s="28">
        <v>24</v>
      </c>
      <c r="G312" s="28" t="s">
        <v>122</v>
      </c>
      <c r="H312" s="28">
        <v>0</v>
      </c>
      <c r="J312" s="28"/>
    </row>
    <row r="313" spans="1:10" ht="15.75" customHeight="1">
      <c r="A313" s="28">
        <v>16264</v>
      </c>
      <c r="B313" s="91">
        <v>44829.607499999998</v>
      </c>
      <c r="C313" s="28" t="s">
        <v>10</v>
      </c>
      <c r="D313" s="28" t="s">
        <v>421</v>
      </c>
      <c r="E313" s="28"/>
      <c r="F313" s="28">
        <v>18</v>
      </c>
      <c r="G313" s="28" t="s">
        <v>119</v>
      </c>
      <c r="H313" s="28">
        <v>0</v>
      </c>
      <c r="J313" s="28"/>
    </row>
    <row r="314" spans="1:10" ht="15.75" customHeight="1">
      <c r="A314" s="28">
        <v>16265</v>
      </c>
      <c r="B314" s="91">
        <v>44829.613252314812</v>
      </c>
      <c r="C314" s="28" t="s">
        <v>10</v>
      </c>
      <c r="D314" s="28" t="s">
        <v>1356</v>
      </c>
      <c r="E314" s="28"/>
      <c r="F314" s="28">
        <v>22</v>
      </c>
      <c r="G314" s="28" t="s">
        <v>137</v>
      </c>
      <c r="H314" s="28">
        <v>0</v>
      </c>
      <c r="J314" s="28"/>
    </row>
    <row r="315" spans="1:10" ht="15.75" customHeight="1">
      <c r="A315" s="28">
        <v>16265</v>
      </c>
      <c r="B315" s="91">
        <v>44829.613252314812</v>
      </c>
      <c r="C315" s="28" t="s">
        <v>10</v>
      </c>
      <c r="D315" s="28" t="s">
        <v>1356</v>
      </c>
      <c r="E315" s="28"/>
      <c r="F315" s="28">
        <v>25</v>
      </c>
      <c r="G315" s="28">
        <v>100692</v>
      </c>
      <c r="H315" s="28">
        <v>0</v>
      </c>
      <c r="J315" s="28"/>
    </row>
    <row r="316" spans="1:10" ht="15.75" customHeight="1">
      <c r="A316" s="28">
        <v>16265</v>
      </c>
      <c r="B316" s="91">
        <v>44829.613252314812</v>
      </c>
      <c r="C316" s="28" t="s">
        <v>10</v>
      </c>
      <c r="D316" s="28" t="s">
        <v>1356</v>
      </c>
      <c r="E316" s="28"/>
      <c r="F316" s="28">
        <v>0</v>
      </c>
      <c r="G316" s="28" t="s">
        <v>125</v>
      </c>
      <c r="H316" s="28">
        <v>0</v>
      </c>
      <c r="J316" s="28"/>
    </row>
    <row r="317" spans="1:10" ht="15.75" customHeight="1">
      <c r="A317" s="28">
        <v>16265</v>
      </c>
      <c r="B317" s="91">
        <v>44829.613252314812</v>
      </c>
      <c r="C317" s="28" t="s">
        <v>10</v>
      </c>
      <c r="D317" s="28" t="s">
        <v>1356</v>
      </c>
      <c r="E317" s="28"/>
      <c r="F317" s="28">
        <v>0</v>
      </c>
      <c r="G317" s="28" t="s">
        <v>119</v>
      </c>
      <c r="H317" s="28">
        <v>0</v>
      </c>
      <c r="J317" s="28"/>
    </row>
    <row r="318" spans="1:10" ht="15.75" customHeight="1">
      <c r="A318" s="28">
        <v>16265</v>
      </c>
      <c r="B318" s="91">
        <v>44829.613252314812</v>
      </c>
      <c r="C318" s="28" t="s">
        <v>10</v>
      </c>
      <c r="D318" s="28" t="s">
        <v>1356</v>
      </c>
      <c r="E318" s="28"/>
      <c r="F318" s="28">
        <v>25</v>
      </c>
      <c r="G318" s="28" t="s">
        <v>141</v>
      </c>
      <c r="H318" s="28">
        <v>0</v>
      </c>
      <c r="J318" s="28"/>
    </row>
    <row r="319" spans="1:10" ht="15.75" customHeight="1">
      <c r="A319" s="28">
        <v>16266</v>
      </c>
      <c r="B319" s="91">
        <v>44829.615729166668</v>
      </c>
      <c r="C319" s="28" t="s">
        <v>10</v>
      </c>
      <c r="D319" s="28" t="s">
        <v>1355</v>
      </c>
      <c r="E319" s="28"/>
      <c r="F319" s="28">
        <v>25</v>
      </c>
      <c r="G319" s="28">
        <v>100692</v>
      </c>
      <c r="H319" s="28">
        <v>0</v>
      </c>
      <c r="J319" s="28"/>
    </row>
    <row r="320" spans="1:10" ht="15.75" customHeight="1">
      <c r="A320" s="28">
        <v>16266</v>
      </c>
      <c r="B320" s="91">
        <v>44829.615729166668</v>
      </c>
      <c r="C320" s="28" t="s">
        <v>10</v>
      </c>
      <c r="D320" s="28" t="s">
        <v>1355</v>
      </c>
      <c r="E320" s="28"/>
      <c r="F320" s="28">
        <v>0</v>
      </c>
      <c r="G320" s="28" t="s">
        <v>125</v>
      </c>
      <c r="H320" s="28">
        <v>0</v>
      </c>
      <c r="J320" s="28"/>
    </row>
    <row r="321" spans="1:10" ht="15.75" customHeight="1">
      <c r="A321" s="28">
        <v>16266</v>
      </c>
      <c r="B321" s="91">
        <v>44829.615729166668</v>
      </c>
      <c r="C321" s="28" t="s">
        <v>10</v>
      </c>
      <c r="D321" s="28" t="s">
        <v>1355</v>
      </c>
      <c r="E321" s="28"/>
      <c r="F321" s="28">
        <v>0</v>
      </c>
      <c r="G321" s="28" t="s">
        <v>119</v>
      </c>
      <c r="H321" s="28">
        <v>0</v>
      </c>
      <c r="J321" s="28"/>
    </row>
    <row r="322" spans="1:10" ht="15.75" customHeight="1">
      <c r="A322" s="28">
        <v>16267</v>
      </c>
      <c r="B322" s="91">
        <v>44829.636388888888</v>
      </c>
      <c r="C322" s="28" t="s">
        <v>10</v>
      </c>
      <c r="D322" s="28" t="s">
        <v>1354</v>
      </c>
      <c r="E322" s="28"/>
      <c r="F322" s="28">
        <v>35</v>
      </c>
      <c r="G322" s="28" t="s">
        <v>124</v>
      </c>
      <c r="H322" s="28">
        <v>0</v>
      </c>
      <c r="J322" s="28"/>
    </row>
    <row r="323" spans="1:10" ht="15.75" customHeight="1">
      <c r="A323" s="28">
        <v>16267</v>
      </c>
      <c r="B323" s="91">
        <v>44829.636388888888</v>
      </c>
      <c r="C323" s="28" t="s">
        <v>10</v>
      </c>
      <c r="D323" s="28" t="s">
        <v>1354</v>
      </c>
      <c r="E323" s="28"/>
      <c r="F323" s="28">
        <v>0</v>
      </c>
      <c r="G323" s="28" t="s">
        <v>125</v>
      </c>
      <c r="H323" s="28">
        <v>0</v>
      </c>
      <c r="J323" s="28"/>
    </row>
    <row r="324" spans="1:10" ht="15.75" customHeight="1">
      <c r="A324" s="28">
        <v>16267</v>
      </c>
      <c r="B324" s="91">
        <v>44829.636388888888</v>
      </c>
      <c r="C324" s="28" t="s">
        <v>10</v>
      </c>
      <c r="D324" s="28" t="s">
        <v>1354</v>
      </c>
      <c r="E324" s="28"/>
      <c r="F324" s="28">
        <v>0</v>
      </c>
      <c r="G324" s="28" t="s">
        <v>121</v>
      </c>
      <c r="H324" s="28">
        <v>0</v>
      </c>
      <c r="J324" s="28"/>
    </row>
    <row r="325" spans="1:10" ht="15.75" customHeight="1">
      <c r="A325" s="28">
        <v>16267</v>
      </c>
      <c r="B325" s="91">
        <v>44829.636388888888</v>
      </c>
      <c r="C325" s="28" t="s">
        <v>10</v>
      </c>
      <c r="D325" s="28" t="s">
        <v>1354</v>
      </c>
      <c r="E325" s="28"/>
      <c r="F325" s="28">
        <v>0</v>
      </c>
      <c r="G325" s="28" t="s">
        <v>139</v>
      </c>
      <c r="H325" s="28">
        <v>0</v>
      </c>
      <c r="J325" s="28"/>
    </row>
    <row r="326" spans="1:10" ht="15.75" customHeight="1">
      <c r="A326" s="28">
        <v>16267</v>
      </c>
      <c r="B326" s="91">
        <v>44829.636388888888</v>
      </c>
      <c r="C326" s="28" t="s">
        <v>10</v>
      </c>
      <c r="D326" s="28" t="s">
        <v>1354</v>
      </c>
      <c r="E326" s="28"/>
      <c r="F326" s="28">
        <v>55</v>
      </c>
      <c r="G326" s="28">
        <v>101684</v>
      </c>
      <c r="H326" s="28">
        <v>0</v>
      </c>
      <c r="J326" s="28"/>
    </row>
    <row r="327" spans="1:10" ht="15.75" customHeight="1">
      <c r="A327" s="28">
        <v>16267</v>
      </c>
      <c r="B327" s="91">
        <v>44829.636388888888</v>
      </c>
      <c r="C327" s="28" t="s">
        <v>10</v>
      </c>
      <c r="D327" s="28" t="s">
        <v>1354</v>
      </c>
      <c r="E327" s="28"/>
      <c r="F327" s="28">
        <v>0</v>
      </c>
      <c r="G327" s="28" t="s">
        <v>118</v>
      </c>
      <c r="H327" s="28">
        <v>0</v>
      </c>
      <c r="J327" s="28"/>
    </row>
    <row r="328" spans="1:10" ht="15.75" customHeight="1">
      <c r="A328" s="28">
        <v>16267</v>
      </c>
      <c r="B328" s="91">
        <v>44829.636388888888</v>
      </c>
      <c r="C328" s="28" t="s">
        <v>10</v>
      </c>
      <c r="D328" s="28" t="s">
        <v>1354</v>
      </c>
      <c r="E328" s="28"/>
      <c r="F328" s="28">
        <v>0</v>
      </c>
      <c r="G328" s="28" t="s">
        <v>119</v>
      </c>
      <c r="H328" s="28">
        <v>0</v>
      </c>
      <c r="J328" s="28"/>
    </row>
    <row r="329" spans="1:10" ht="15.75" customHeight="1">
      <c r="A329" s="28">
        <v>16267</v>
      </c>
      <c r="B329" s="91">
        <v>44829.636388888888</v>
      </c>
      <c r="C329" s="28" t="s">
        <v>10</v>
      </c>
      <c r="D329" s="28" t="s">
        <v>1354</v>
      </c>
      <c r="E329" s="28"/>
      <c r="F329" s="28">
        <v>0</v>
      </c>
      <c r="G329" s="28" t="s">
        <v>120</v>
      </c>
      <c r="H329" s="28">
        <v>0</v>
      </c>
      <c r="J329" s="28"/>
    </row>
    <row r="330" spans="1:10" ht="15.75" customHeight="1">
      <c r="A330" s="28">
        <v>16267</v>
      </c>
      <c r="B330" s="91">
        <v>44829.636388888888</v>
      </c>
      <c r="C330" s="28" t="s">
        <v>10</v>
      </c>
      <c r="D330" s="28" t="s">
        <v>1354</v>
      </c>
      <c r="E330" s="28"/>
      <c r="F330" s="28">
        <v>0</v>
      </c>
      <c r="G330" s="28" t="s">
        <v>121</v>
      </c>
      <c r="H330" s="28">
        <v>0</v>
      </c>
      <c r="J330" s="28"/>
    </row>
    <row r="331" spans="1:10" ht="15.75" customHeight="1">
      <c r="A331" s="28">
        <v>16268</v>
      </c>
      <c r="B331" s="91">
        <v>44829.637291666666</v>
      </c>
      <c r="C331" s="28" t="s">
        <v>10</v>
      </c>
      <c r="D331" s="28" t="s">
        <v>1353</v>
      </c>
      <c r="E331" s="28"/>
      <c r="F331" s="28">
        <v>25</v>
      </c>
      <c r="G331" s="28">
        <v>100692</v>
      </c>
      <c r="H331" s="28">
        <v>0</v>
      </c>
      <c r="J331" s="28"/>
    </row>
    <row r="332" spans="1:10" ht="15.75" customHeight="1">
      <c r="A332" s="28">
        <v>16268</v>
      </c>
      <c r="B332" s="91">
        <v>44829.637291666666</v>
      </c>
      <c r="C332" s="28" t="s">
        <v>10</v>
      </c>
      <c r="D332" s="28" t="s">
        <v>1353</v>
      </c>
      <c r="E332" s="28"/>
      <c r="F332" s="28">
        <v>0</v>
      </c>
      <c r="G332" s="28" t="s">
        <v>125</v>
      </c>
      <c r="H332" s="28">
        <v>0</v>
      </c>
      <c r="J332" s="28"/>
    </row>
    <row r="333" spans="1:10" ht="15.75" customHeight="1">
      <c r="A333" s="28">
        <v>16268</v>
      </c>
      <c r="B333" s="91">
        <v>44829.637291666666</v>
      </c>
      <c r="C333" s="28" t="s">
        <v>10</v>
      </c>
      <c r="D333" s="28" t="s">
        <v>1353</v>
      </c>
      <c r="E333" s="28"/>
      <c r="F333" s="28">
        <v>0</v>
      </c>
      <c r="G333" s="28" t="s">
        <v>119</v>
      </c>
      <c r="H333" s="28">
        <v>0</v>
      </c>
      <c r="J333" s="28"/>
    </row>
    <row r="334" spans="1:10" ht="15.75" customHeight="1">
      <c r="A334" s="28">
        <v>16269</v>
      </c>
      <c r="B334" s="91">
        <v>44829.639374999999</v>
      </c>
      <c r="C334" s="28" t="s">
        <v>10</v>
      </c>
      <c r="D334" s="28" t="s">
        <v>1353</v>
      </c>
      <c r="E334" s="28"/>
      <c r="F334" s="28">
        <v>25</v>
      </c>
      <c r="G334" s="28">
        <v>100692</v>
      </c>
      <c r="H334" s="28">
        <v>0</v>
      </c>
      <c r="J334" s="28"/>
    </row>
    <row r="335" spans="1:10" ht="15.75" customHeight="1">
      <c r="A335" s="28">
        <v>16269</v>
      </c>
      <c r="B335" s="91">
        <v>44829.639374999999</v>
      </c>
      <c r="C335" s="28" t="s">
        <v>10</v>
      </c>
      <c r="D335" s="28" t="s">
        <v>1353</v>
      </c>
      <c r="E335" s="28"/>
      <c r="F335" s="28">
        <v>0</v>
      </c>
      <c r="G335" s="28" t="s">
        <v>125</v>
      </c>
      <c r="H335" s="28">
        <v>0</v>
      </c>
      <c r="J335" s="28"/>
    </row>
    <row r="336" spans="1:10" ht="15.75" customHeight="1">
      <c r="A336" s="28">
        <v>16269</v>
      </c>
      <c r="B336" s="91">
        <v>44829.639374999999</v>
      </c>
      <c r="C336" s="28" t="s">
        <v>10</v>
      </c>
      <c r="D336" s="28" t="s">
        <v>1353</v>
      </c>
      <c r="E336" s="28"/>
      <c r="F336" s="28">
        <v>0</v>
      </c>
      <c r="G336" s="28" t="s">
        <v>119</v>
      </c>
      <c r="H336" s="28">
        <v>0</v>
      </c>
      <c r="J336" s="28"/>
    </row>
    <row r="337" spans="1:10" ht="15.75" customHeight="1">
      <c r="A337" s="28">
        <v>16270</v>
      </c>
      <c r="B337" s="91">
        <v>44829.651180555556</v>
      </c>
      <c r="C337" s="28" t="s">
        <v>10</v>
      </c>
      <c r="D337" s="28" t="s">
        <v>1352</v>
      </c>
      <c r="E337" s="28"/>
      <c r="F337" s="28">
        <v>18</v>
      </c>
      <c r="G337" s="28" t="s">
        <v>267</v>
      </c>
      <c r="H337" s="28">
        <v>0</v>
      </c>
      <c r="J337" s="28"/>
    </row>
    <row r="338" spans="1:10" ht="15.75" customHeight="1">
      <c r="A338" s="28">
        <v>16270</v>
      </c>
      <c r="B338" s="91">
        <v>44829.651180555556</v>
      </c>
      <c r="C338" s="28" t="s">
        <v>10</v>
      </c>
      <c r="D338" s="28" t="s">
        <v>1352</v>
      </c>
      <c r="E338" s="28"/>
      <c r="F338" s="28">
        <v>28</v>
      </c>
      <c r="G338" s="28" t="s">
        <v>143</v>
      </c>
      <c r="H338" s="28">
        <v>0</v>
      </c>
      <c r="J338" s="28"/>
    </row>
    <row r="339" spans="1:10" ht="15.75" customHeight="1">
      <c r="A339" s="28">
        <v>16271</v>
      </c>
      <c r="B339" s="91">
        <v>44829.655428240745</v>
      </c>
      <c r="C339" s="28" t="s">
        <v>10</v>
      </c>
      <c r="D339" s="28" t="s">
        <v>1351</v>
      </c>
      <c r="E339" s="28"/>
      <c r="F339" s="28">
        <v>25</v>
      </c>
      <c r="G339" s="28">
        <v>100692</v>
      </c>
      <c r="H339" s="28">
        <v>0</v>
      </c>
      <c r="J339" s="28"/>
    </row>
    <row r="340" spans="1:10" ht="15.75" customHeight="1">
      <c r="A340" s="28">
        <v>16271</v>
      </c>
      <c r="B340" s="91">
        <v>44829.655428240745</v>
      </c>
      <c r="C340" s="28" t="s">
        <v>10</v>
      </c>
      <c r="D340" s="28" t="s">
        <v>1351</v>
      </c>
      <c r="E340" s="28"/>
      <c r="F340" s="28">
        <v>0</v>
      </c>
      <c r="G340" s="28" t="s">
        <v>125</v>
      </c>
      <c r="H340" s="28">
        <v>0</v>
      </c>
      <c r="J340" s="28"/>
    </row>
    <row r="341" spans="1:10" ht="15.75" customHeight="1">
      <c r="A341" s="28">
        <v>16271</v>
      </c>
      <c r="B341" s="91">
        <v>44829.655428240745</v>
      </c>
      <c r="C341" s="28" t="s">
        <v>10</v>
      </c>
      <c r="D341" s="28" t="s">
        <v>1351</v>
      </c>
      <c r="E341" s="28"/>
      <c r="F341" s="28">
        <v>0</v>
      </c>
      <c r="G341" s="28" t="s">
        <v>119</v>
      </c>
      <c r="H341" s="28">
        <v>0</v>
      </c>
      <c r="J341" s="28"/>
    </row>
    <row r="342" spans="1:10" ht="15.75" customHeight="1">
      <c r="A342" s="28">
        <v>16272</v>
      </c>
      <c r="B342" s="91">
        <v>44829.662569444445</v>
      </c>
      <c r="C342" s="28" t="s">
        <v>10</v>
      </c>
      <c r="D342" s="28" t="s">
        <v>1350</v>
      </c>
      <c r="E342" s="28"/>
      <c r="F342" s="28">
        <v>25</v>
      </c>
      <c r="G342" s="28">
        <v>100692</v>
      </c>
      <c r="H342" s="28">
        <v>0</v>
      </c>
      <c r="J342" s="28"/>
    </row>
    <row r="343" spans="1:10" ht="15.75" customHeight="1">
      <c r="A343" s="28">
        <v>16272</v>
      </c>
      <c r="B343" s="91">
        <v>44829.662569444445</v>
      </c>
      <c r="C343" s="28" t="s">
        <v>10</v>
      </c>
      <c r="D343" s="28" t="s">
        <v>1350</v>
      </c>
      <c r="E343" s="28"/>
      <c r="F343" s="28">
        <v>0</v>
      </c>
      <c r="G343" s="28" t="s">
        <v>125</v>
      </c>
      <c r="H343" s="28">
        <v>0</v>
      </c>
      <c r="J343" s="28"/>
    </row>
    <row r="344" spans="1:10" ht="15.75" customHeight="1">
      <c r="A344" s="28">
        <v>16272</v>
      </c>
      <c r="B344" s="91">
        <v>44829.662569444445</v>
      </c>
      <c r="C344" s="28" t="s">
        <v>10</v>
      </c>
      <c r="D344" s="28" t="s">
        <v>1350</v>
      </c>
      <c r="E344" s="28"/>
      <c r="F344" s="28">
        <v>0</v>
      </c>
      <c r="G344" s="28" t="s">
        <v>119</v>
      </c>
      <c r="H344" s="28">
        <v>0</v>
      </c>
      <c r="J344" s="28"/>
    </row>
    <row r="345" spans="1:10" ht="15.75" customHeight="1">
      <c r="A345" s="28">
        <v>16273</v>
      </c>
      <c r="B345" s="91">
        <v>44829.663530092592</v>
      </c>
      <c r="C345" s="28" t="s">
        <v>10</v>
      </c>
      <c r="D345" s="28" t="s">
        <v>1349</v>
      </c>
      <c r="E345" s="28"/>
      <c r="F345" s="28">
        <v>25</v>
      </c>
      <c r="G345" s="28">
        <v>100692</v>
      </c>
      <c r="H345" s="28">
        <v>0</v>
      </c>
      <c r="J345" s="28"/>
    </row>
    <row r="346" spans="1:10" ht="15.75" customHeight="1">
      <c r="A346" s="28">
        <v>16273</v>
      </c>
      <c r="B346" s="91">
        <v>44829.663530092592</v>
      </c>
      <c r="C346" s="28" t="s">
        <v>10</v>
      </c>
      <c r="D346" s="28" t="s">
        <v>1349</v>
      </c>
      <c r="E346" s="28"/>
      <c r="F346" s="28">
        <v>0</v>
      </c>
      <c r="G346" s="28" t="s">
        <v>125</v>
      </c>
      <c r="H346" s="28">
        <v>0</v>
      </c>
      <c r="J346" s="28"/>
    </row>
    <row r="347" spans="1:10" ht="15.75" customHeight="1">
      <c r="A347" s="28">
        <v>16273</v>
      </c>
      <c r="B347" s="91">
        <v>44829.663530092592</v>
      </c>
      <c r="C347" s="28" t="s">
        <v>10</v>
      </c>
      <c r="D347" s="28" t="s">
        <v>1349</v>
      </c>
      <c r="E347" s="28"/>
      <c r="F347" s="28">
        <v>0</v>
      </c>
      <c r="G347" s="28" t="s">
        <v>119</v>
      </c>
      <c r="H347" s="28">
        <v>0</v>
      </c>
      <c r="J347" s="28"/>
    </row>
    <row r="348" spans="1:10" ht="15.75" customHeight="1">
      <c r="A348" s="28">
        <v>16274</v>
      </c>
      <c r="B348" s="91">
        <v>44829.664560185185</v>
      </c>
      <c r="C348" s="28" t="s">
        <v>10</v>
      </c>
      <c r="D348" s="28" t="s">
        <v>1348</v>
      </c>
      <c r="E348" s="28"/>
      <c r="F348" s="28">
        <v>25</v>
      </c>
      <c r="G348" s="28" t="s">
        <v>118</v>
      </c>
      <c r="H348" s="28">
        <v>0</v>
      </c>
      <c r="J348" s="28"/>
    </row>
    <row r="349" spans="1:10" ht="15.75" customHeight="1">
      <c r="A349" s="28">
        <v>16275</v>
      </c>
      <c r="B349" s="91">
        <v>44829.666944444441</v>
      </c>
      <c r="C349" s="28" t="s">
        <v>10</v>
      </c>
      <c r="D349" s="28" t="s">
        <v>1347</v>
      </c>
      <c r="E349" s="28"/>
      <c r="F349" s="28">
        <v>7.5</v>
      </c>
      <c r="G349" s="28" t="s">
        <v>774</v>
      </c>
      <c r="H349" s="28">
        <v>0</v>
      </c>
      <c r="J349" s="28"/>
    </row>
    <row r="350" spans="1:10" ht="15.75" customHeight="1">
      <c r="A350" s="28">
        <v>16275</v>
      </c>
      <c r="B350" s="91">
        <v>44829.666944444441</v>
      </c>
      <c r="C350" s="28" t="s">
        <v>10</v>
      </c>
      <c r="D350" s="28" t="s">
        <v>1347</v>
      </c>
      <c r="E350" s="28"/>
      <c r="F350" s="28">
        <v>35</v>
      </c>
      <c r="G350" s="28" t="s">
        <v>124</v>
      </c>
      <c r="H350" s="28">
        <v>0</v>
      </c>
      <c r="J350" s="28"/>
    </row>
    <row r="351" spans="1:10" ht="15.75" customHeight="1">
      <c r="A351" s="28">
        <v>16275</v>
      </c>
      <c r="B351" s="91">
        <v>44829.666944444441</v>
      </c>
      <c r="C351" s="28" t="s">
        <v>10</v>
      </c>
      <c r="D351" s="28" t="s">
        <v>1347</v>
      </c>
      <c r="E351" s="28"/>
      <c r="F351" s="28">
        <v>0</v>
      </c>
      <c r="G351" s="28" t="s">
        <v>125</v>
      </c>
      <c r="H351" s="28">
        <v>0</v>
      </c>
      <c r="J351" s="28"/>
    </row>
    <row r="352" spans="1:10" ht="15.75" customHeight="1">
      <c r="A352" s="28">
        <v>16275</v>
      </c>
      <c r="B352" s="91">
        <v>44829.666944444441</v>
      </c>
      <c r="C352" s="28" t="s">
        <v>10</v>
      </c>
      <c r="D352" s="28" t="s">
        <v>1347</v>
      </c>
      <c r="E352" s="28"/>
      <c r="F352" s="28">
        <v>0</v>
      </c>
      <c r="G352" s="28" t="s">
        <v>121</v>
      </c>
      <c r="H352" s="28">
        <v>0</v>
      </c>
      <c r="J352" s="28"/>
    </row>
    <row r="353" spans="1:10" ht="15.75" customHeight="1">
      <c r="A353" s="28">
        <v>16275</v>
      </c>
      <c r="B353" s="91">
        <v>44829.666944444441</v>
      </c>
      <c r="C353" s="28" t="s">
        <v>10</v>
      </c>
      <c r="D353" s="28" t="s">
        <v>1347</v>
      </c>
      <c r="E353" s="28"/>
      <c r="F353" s="28">
        <v>0</v>
      </c>
      <c r="G353" s="28" t="s">
        <v>139</v>
      </c>
      <c r="H353" s="28">
        <v>0</v>
      </c>
      <c r="J353" s="28"/>
    </row>
    <row r="354" spans="1:10" ht="15.75" customHeight="1">
      <c r="A354" s="28">
        <v>16276</v>
      </c>
      <c r="B354" s="91">
        <v>44829.674166666664</v>
      </c>
      <c r="C354" s="28" t="s">
        <v>10</v>
      </c>
      <c r="D354" s="28" t="s">
        <v>1346</v>
      </c>
      <c r="E354" s="28"/>
      <c r="F354" s="28">
        <v>35</v>
      </c>
      <c r="G354" s="28" t="s">
        <v>124</v>
      </c>
      <c r="H354" s="28">
        <v>0</v>
      </c>
      <c r="J354" s="28"/>
    </row>
    <row r="355" spans="1:10" ht="15.75" customHeight="1">
      <c r="A355" s="28">
        <v>16276</v>
      </c>
      <c r="B355" s="91">
        <v>44829.674166666664</v>
      </c>
      <c r="C355" s="28" t="s">
        <v>10</v>
      </c>
      <c r="D355" s="28" t="s">
        <v>1346</v>
      </c>
      <c r="E355" s="28"/>
      <c r="F355" s="28">
        <v>0</v>
      </c>
      <c r="G355" s="28" t="s">
        <v>125</v>
      </c>
      <c r="H355" s="28">
        <v>0</v>
      </c>
      <c r="J355" s="28"/>
    </row>
    <row r="356" spans="1:10" ht="15.75" customHeight="1">
      <c r="A356" s="28">
        <v>16276</v>
      </c>
      <c r="B356" s="91">
        <v>44829.674166666664</v>
      </c>
      <c r="C356" s="28" t="s">
        <v>10</v>
      </c>
      <c r="D356" s="28" t="s">
        <v>1346</v>
      </c>
      <c r="E356" s="28"/>
      <c r="F356" s="28">
        <v>0</v>
      </c>
      <c r="G356" s="28" t="s">
        <v>121</v>
      </c>
      <c r="H356" s="28">
        <v>0</v>
      </c>
      <c r="J356" s="28"/>
    </row>
    <row r="357" spans="1:10" ht="15.75" customHeight="1">
      <c r="A357" s="28">
        <v>16276</v>
      </c>
      <c r="B357" s="91">
        <v>44829.674166666664</v>
      </c>
      <c r="C357" s="28" t="s">
        <v>10</v>
      </c>
      <c r="D357" s="28" t="s">
        <v>1346</v>
      </c>
      <c r="E357" s="28"/>
      <c r="F357" s="28">
        <v>0</v>
      </c>
      <c r="G357" s="28" t="s">
        <v>139</v>
      </c>
      <c r="H357" s="28">
        <v>0</v>
      </c>
      <c r="J357" s="28"/>
    </row>
    <row r="358" spans="1:10" ht="15.75" customHeight="1">
      <c r="A358" s="28">
        <v>16276</v>
      </c>
      <c r="B358" s="91">
        <v>44829.674166666664</v>
      </c>
      <c r="C358" s="28" t="s">
        <v>10</v>
      </c>
      <c r="D358" s="28" t="s">
        <v>1346</v>
      </c>
      <c r="E358" s="28"/>
      <c r="F358" s="28">
        <v>10</v>
      </c>
      <c r="G358" s="28" t="s">
        <v>334</v>
      </c>
      <c r="H358" s="28">
        <v>0</v>
      </c>
      <c r="J358" s="28"/>
    </row>
    <row r="359" spans="1:10" ht="15.75" customHeight="1">
      <c r="A359" s="28">
        <v>16277</v>
      </c>
      <c r="B359" s="91">
        <v>44829.675925925927</v>
      </c>
      <c r="C359" s="28" t="s">
        <v>10</v>
      </c>
      <c r="D359" s="28" t="s">
        <v>1345</v>
      </c>
      <c r="E359" s="28"/>
      <c r="F359" s="28">
        <v>25</v>
      </c>
      <c r="G359" s="28">
        <v>100692</v>
      </c>
      <c r="H359" s="28">
        <v>0</v>
      </c>
      <c r="J359" s="28"/>
    </row>
    <row r="360" spans="1:10" ht="15.75" customHeight="1">
      <c r="A360" s="28">
        <v>16277</v>
      </c>
      <c r="B360" s="91">
        <v>44829.675925925927</v>
      </c>
      <c r="C360" s="28" t="s">
        <v>10</v>
      </c>
      <c r="D360" s="28" t="s">
        <v>1345</v>
      </c>
      <c r="E360" s="28"/>
      <c r="F360" s="28">
        <v>0</v>
      </c>
      <c r="G360" s="28" t="s">
        <v>125</v>
      </c>
      <c r="H360" s="28">
        <v>0</v>
      </c>
      <c r="J360" s="28"/>
    </row>
    <row r="361" spans="1:10" ht="15.75" customHeight="1">
      <c r="A361" s="28">
        <v>16277</v>
      </c>
      <c r="B361" s="91">
        <v>44829.675925925927</v>
      </c>
      <c r="C361" s="28" t="s">
        <v>10</v>
      </c>
      <c r="D361" s="28" t="s">
        <v>1345</v>
      </c>
      <c r="E361" s="28"/>
      <c r="F361" s="28">
        <v>0</v>
      </c>
      <c r="G361" s="28" t="s">
        <v>119</v>
      </c>
      <c r="H361" s="28">
        <v>0</v>
      </c>
      <c r="J361" s="28"/>
    </row>
    <row r="362" spans="1:10" ht="15.75" customHeight="1">
      <c r="A362" s="28">
        <v>16277</v>
      </c>
      <c r="B362" s="91">
        <v>44829.675925925927</v>
      </c>
      <c r="C362" s="28" t="s">
        <v>10</v>
      </c>
      <c r="D362" s="28" t="s">
        <v>1345</v>
      </c>
      <c r="E362" s="28"/>
      <c r="F362" s="28">
        <v>20</v>
      </c>
      <c r="G362" s="28" t="s">
        <v>148</v>
      </c>
      <c r="H362" s="28">
        <v>0</v>
      </c>
      <c r="J362" s="28"/>
    </row>
    <row r="363" spans="1:10" ht="15.75" customHeight="1">
      <c r="A363" s="28">
        <v>16278</v>
      </c>
      <c r="B363" s="91">
        <v>44829.677314814813</v>
      </c>
      <c r="C363" s="28" t="s">
        <v>10</v>
      </c>
      <c r="D363" s="28" t="s">
        <v>1344</v>
      </c>
      <c r="E363" s="28"/>
      <c r="F363" s="28">
        <v>25</v>
      </c>
      <c r="G363" s="28">
        <v>100692</v>
      </c>
      <c r="H363" s="28">
        <v>0</v>
      </c>
      <c r="J363" s="28"/>
    </row>
    <row r="364" spans="1:10" ht="15.75" customHeight="1">
      <c r="A364" s="28">
        <v>16278</v>
      </c>
      <c r="B364" s="91">
        <v>44829.677314814813</v>
      </c>
      <c r="C364" s="28" t="s">
        <v>10</v>
      </c>
      <c r="D364" s="28" t="s">
        <v>1344</v>
      </c>
      <c r="E364" s="28"/>
      <c r="F364" s="28">
        <v>0</v>
      </c>
      <c r="G364" s="28" t="s">
        <v>125</v>
      </c>
      <c r="H364" s="28">
        <v>0</v>
      </c>
      <c r="J364" s="28"/>
    </row>
    <row r="365" spans="1:10" ht="15.75" customHeight="1">
      <c r="A365" s="28">
        <v>16278</v>
      </c>
      <c r="B365" s="91">
        <v>44829.677314814813</v>
      </c>
      <c r="C365" s="28" t="s">
        <v>10</v>
      </c>
      <c r="D365" s="28" t="s">
        <v>1344</v>
      </c>
      <c r="E365" s="28"/>
      <c r="F365" s="28">
        <v>0</v>
      </c>
      <c r="G365" s="28" t="s">
        <v>119</v>
      </c>
      <c r="H365" s="28">
        <v>0</v>
      </c>
      <c r="J365" s="28"/>
    </row>
    <row r="366" spans="1:10" ht="15.75" customHeight="1">
      <c r="A366" s="28">
        <v>16279</v>
      </c>
      <c r="B366" s="91">
        <v>44829.682175925926</v>
      </c>
      <c r="C366" s="28" t="s">
        <v>10</v>
      </c>
      <c r="D366" s="28" t="s">
        <v>1343</v>
      </c>
      <c r="E366" s="28"/>
      <c r="F366" s="28">
        <v>22</v>
      </c>
      <c r="G366" s="28" t="s">
        <v>137</v>
      </c>
      <c r="H366" s="28">
        <v>0</v>
      </c>
      <c r="J366" s="28"/>
    </row>
    <row r="367" spans="1:10" ht="15.75" customHeight="1">
      <c r="A367" s="28">
        <v>16279</v>
      </c>
      <c r="B367" s="91">
        <v>44829.682175925926</v>
      </c>
      <c r="C367" s="28" t="s">
        <v>10</v>
      </c>
      <c r="D367" s="28" t="s">
        <v>1343</v>
      </c>
      <c r="E367" s="28"/>
      <c r="F367" s="28">
        <v>70</v>
      </c>
      <c r="G367" s="28" t="s">
        <v>124</v>
      </c>
      <c r="H367" s="28">
        <v>0</v>
      </c>
      <c r="J367" s="28"/>
    </row>
    <row r="368" spans="1:10" ht="15.75" customHeight="1">
      <c r="A368" s="28">
        <v>16279</v>
      </c>
      <c r="B368" s="91">
        <v>44829.682175925926</v>
      </c>
      <c r="C368" s="28" t="s">
        <v>10</v>
      </c>
      <c r="D368" s="28" t="s">
        <v>1343</v>
      </c>
      <c r="E368" s="28"/>
      <c r="F368" s="28">
        <v>0</v>
      </c>
      <c r="G368" s="28" t="s">
        <v>125</v>
      </c>
      <c r="H368" s="28">
        <v>0</v>
      </c>
      <c r="J368" s="28"/>
    </row>
    <row r="369" spans="1:10" ht="15.75" customHeight="1">
      <c r="A369" s="28">
        <v>16279</v>
      </c>
      <c r="B369" s="91">
        <v>44829.682175925926</v>
      </c>
      <c r="C369" s="28" t="s">
        <v>10</v>
      </c>
      <c r="D369" s="28" t="s">
        <v>1343</v>
      </c>
      <c r="E369" s="28"/>
      <c r="F369" s="28">
        <v>0</v>
      </c>
      <c r="G369" s="28" t="s">
        <v>121</v>
      </c>
      <c r="H369" s="28">
        <v>0</v>
      </c>
      <c r="J369" s="28"/>
    </row>
    <row r="370" spans="1:10" ht="15.75" customHeight="1">
      <c r="A370" s="28">
        <v>16279</v>
      </c>
      <c r="B370" s="91">
        <v>44829.682175925926</v>
      </c>
      <c r="C370" s="28" t="s">
        <v>10</v>
      </c>
      <c r="D370" s="28" t="s">
        <v>1343</v>
      </c>
      <c r="E370" s="28"/>
      <c r="F370" s="28">
        <v>0</v>
      </c>
      <c r="G370" s="28" t="s">
        <v>139</v>
      </c>
      <c r="H370" s="28">
        <v>0</v>
      </c>
      <c r="J370" s="28"/>
    </row>
    <row r="371" spans="1:10" ht="15.75" customHeight="1">
      <c r="A371" s="28">
        <v>16280</v>
      </c>
      <c r="B371" s="91">
        <v>44829.682812500003</v>
      </c>
      <c r="C371" s="28" t="s">
        <v>10</v>
      </c>
      <c r="D371" s="28" t="s">
        <v>1342</v>
      </c>
      <c r="E371" s="28"/>
      <c r="F371" s="28">
        <v>15</v>
      </c>
      <c r="G371" s="28" t="s">
        <v>125</v>
      </c>
      <c r="H371" s="28">
        <v>0</v>
      </c>
      <c r="J371" s="28"/>
    </row>
    <row r="372" spans="1:10" ht="15.75" customHeight="1">
      <c r="A372" s="28">
        <v>16281</v>
      </c>
      <c r="B372" s="91">
        <v>44829.684074074074</v>
      </c>
      <c r="C372" s="28" t="s">
        <v>10</v>
      </c>
      <c r="D372" s="28" t="s">
        <v>1341</v>
      </c>
      <c r="E372" s="28"/>
      <c r="F372" s="28">
        <v>18</v>
      </c>
      <c r="G372" s="28" t="s">
        <v>119</v>
      </c>
      <c r="H372" s="28">
        <v>0</v>
      </c>
      <c r="J372" s="28"/>
    </row>
    <row r="373" spans="1:10" ht="15.75" customHeight="1">
      <c r="A373" s="28">
        <v>16283</v>
      </c>
      <c r="B373" s="91">
        <v>44829.68472222222</v>
      </c>
      <c r="C373" s="28" t="s">
        <v>10</v>
      </c>
      <c r="D373" s="28" t="s">
        <v>1340</v>
      </c>
      <c r="E373" s="28"/>
      <c r="F373" s="28">
        <v>28</v>
      </c>
      <c r="G373" s="28" t="s">
        <v>143</v>
      </c>
      <c r="H373" s="28">
        <v>0</v>
      </c>
      <c r="J373" s="28"/>
    </row>
    <row r="374" spans="1:10" ht="15.75" customHeight="1">
      <c r="A374" s="28">
        <v>16283</v>
      </c>
      <c r="B374" s="91">
        <v>44829.68472222222</v>
      </c>
      <c r="C374" s="28" t="s">
        <v>10</v>
      </c>
      <c r="D374" s="28" t="s">
        <v>1340</v>
      </c>
      <c r="E374" s="28"/>
      <c r="F374" s="28">
        <v>30</v>
      </c>
      <c r="G374" s="28" t="s">
        <v>125</v>
      </c>
      <c r="H374" s="28">
        <v>0</v>
      </c>
      <c r="J374" s="28"/>
    </row>
    <row r="375" spans="1:10" ht="15.75" customHeight="1">
      <c r="A375" s="28">
        <v>16284</v>
      </c>
      <c r="B375" s="91">
        <v>44829.685833333337</v>
      </c>
      <c r="C375" s="28" t="s">
        <v>10</v>
      </c>
      <c r="D375" s="28" t="s">
        <v>1336</v>
      </c>
      <c r="E375" s="28"/>
      <c r="F375" s="28">
        <v>35</v>
      </c>
      <c r="G375" s="28" t="s">
        <v>124</v>
      </c>
      <c r="H375" s="28">
        <v>0</v>
      </c>
      <c r="J375" s="28"/>
    </row>
    <row r="376" spans="1:10" ht="15.75" customHeight="1">
      <c r="A376" s="28">
        <v>16284</v>
      </c>
      <c r="B376" s="91">
        <v>44829.685833333337</v>
      </c>
      <c r="C376" s="28" t="s">
        <v>10</v>
      </c>
      <c r="D376" s="28" t="s">
        <v>1336</v>
      </c>
      <c r="E376" s="28"/>
      <c r="F376" s="28">
        <v>0</v>
      </c>
      <c r="G376" s="28" t="s">
        <v>125</v>
      </c>
      <c r="H376" s="28">
        <v>0</v>
      </c>
      <c r="J376" s="28"/>
    </row>
    <row r="377" spans="1:10" ht="15.75" customHeight="1">
      <c r="A377" s="28">
        <v>16284</v>
      </c>
      <c r="B377" s="91">
        <v>44829.685833333337</v>
      </c>
      <c r="C377" s="28" t="s">
        <v>10</v>
      </c>
      <c r="D377" s="28" t="s">
        <v>1336</v>
      </c>
      <c r="E377" s="28"/>
      <c r="F377" s="28">
        <v>0</v>
      </c>
      <c r="G377" s="28" t="s">
        <v>121</v>
      </c>
      <c r="H377" s="28">
        <v>0</v>
      </c>
      <c r="J377" s="28"/>
    </row>
    <row r="378" spans="1:10" ht="15.75" customHeight="1">
      <c r="A378" s="28">
        <v>16284</v>
      </c>
      <c r="B378" s="91">
        <v>44829.685833333337</v>
      </c>
      <c r="C378" s="28" t="s">
        <v>10</v>
      </c>
      <c r="D378" s="28" t="s">
        <v>1336</v>
      </c>
      <c r="E378" s="28"/>
      <c r="F378" s="28">
        <v>0</v>
      </c>
      <c r="G378" s="28" t="s">
        <v>139</v>
      </c>
      <c r="H378" s="28">
        <v>0</v>
      </c>
      <c r="J378" s="28"/>
    </row>
    <row r="379" spans="1:10" ht="15.75" customHeight="1">
      <c r="A379" s="28">
        <v>16285</v>
      </c>
      <c r="B379" s="91">
        <v>44829.687673611115</v>
      </c>
      <c r="C379" s="28" t="s">
        <v>10</v>
      </c>
      <c r="D379" s="28" t="s">
        <v>1339</v>
      </c>
      <c r="E379" s="28"/>
      <c r="F379" s="28">
        <v>28</v>
      </c>
      <c r="G379" s="28" t="s">
        <v>143</v>
      </c>
      <c r="H379" s="28">
        <v>0</v>
      </c>
      <c r="J379" s="28"/>
    </row>
    <row r="380" spans="1:10" ht="15.75" customHeight="1">
      <c r="A380" s="28">
        <v>16285</v>
      </c>
      <c r="B380" s="91">
        <v>44829.687673611115</v>
      </c>
      <c r="C380" s="28" t="s">
        <v>10</v>
      </c>
      <c r="D380" s="28" t="s">
        <v>1339</v>
      </c>
      <c r="E380" s="28"/>
      <c r="F380" s="28">
        <v>25</v>
      </c>
      <c r="G380" s="28">
        <v>100692</v>
      </c>
      <c r="H380" s="28">
        <v>0</v>
      </c>
      <c r="J380" s="28"/>
    </row>
    <row r="381" spans="1:10" ht="15.75" customHeight="1">
      <c r="A381" s="28">
        <v>16285</v>
      </c>
      <c r="B381" s="91">
        <v>44829.687673611115</v>
      </c>
      <c r="C381" s="28" t="s">
        <v>10</v>
      </c>
      <c r="D381" s="28" t="s">
        <v>1339</v>
      </c>
      <c r="E381" s="28"/>
      <c r="F381" s="28">
        <v>0</v>
      </c>
      <c r="G381" s="28" t="s">
        <v>125</v>
      </c>
      <c r="H381" s="28">
        <v>0</v>
      </c>
      <c r="J381" s="28"/>
    </row>
    <row r="382" spans="1:10" ht="15.75" customHeight="1">
      <c r="A382" s="28">
        <v>16285</v>
      </c>
      <c r="B382" s="91">
        <v>44829.687673611115</v>
      </c>
      <c r="C382" s="28" t="s">
        <v>10</v>
      </c>
      <c r="D382" s="28" t="s">
        <v>1339</v>
      </c>
      <c r="E382" s="28"/>
      <c r="F382" s="28">
        <v>0</v>
      </c>
      <c r="G382" s="28" t="s">
        <v>119</v>
      </c>
      <c r="H382" s="28">
        <v>0</v>
      </c>
      <c r="J382" s="28"/>
    </row>
    <row r="383" spans="1:10" ht="15.75" customHeight="1">
      <c r="A383" s="28">
        <v>16286</v>
      </c>
      <c r="B383" s="91">
        <v>44829.698749999996</v>
      </c>
      <c r="C383" s="28" t="s">
        <v>10</v>
      </c>
      <c r="D383" s="28" t="s">
        <v>1338</v>
      </c>
      <c r="E383" s="28"/>
      <c r="F383" s="28">
        <v>15</v>
      </c>
      <c r="G383" s="28" t="s">
        <v>125</v>
      </c>
      <c r="H383" s="28">
        <v>0</v>
      </c>
      <c r="J383" s="28"/>
    </row>
    <row r="384" spans="1:10" ht="15.75" customHeight="1">
      <c r="A384" s="28">
        <v>16287</v>
      </c>
      <c r="B384" s="91">
        <v>44829.702175925922</v>
      </c>
      <c r="C384" s="28" t="s">
        <v>10</v>
      </c>
      <c r="D384" s="28" t="s">
        <v>1337</v>
      </c>
      <c r="E384" s="28"/>
      <c r="F384" s="28">
        <v>30</v>
      </c>
      <c r="G384" s="28" t="s">
        <v>128</v>
      </c>
      <c r="H384" s="28">
        <v>0</v>
      </c>
      <c r="J384" s="28"/>
    </row>
    <row r="385" spans="1:10" ht="15.75" customHeight="1">
      <c r="A385" s="28">
        <v>16287</v>
      </c>
      <c r="B385" s="91">
        <v>44829.702175925922</v>
      </c>
      <c r="C385" s="28" t="s">
        <v>10</v>
      </c>
      <c r="D385" s="28" t="s">
        <v>1337</v>
      </c>
      <c r="E385" s="28"/>
      <c r="F385" s="28">
        <v>0</v>
      </c>
      <c r="G385" s="28" t="s">
        <v>125</v>
      </c>
      <c r="H385" s="28">
        <v>0</v>
      </c>
      <c r="J385" s="28"/>
    </row>
    <row r="386" spans="1:10" ht="15.75" customHeight="1">
      <c r="A386" s="28">
        <v>16287</v>
      </c>
      <c r="B386" s="91">
        <v>44829.702175925922</v>
      </c>
      <c r="C386" s="28" t="s">
        <v>10</v>
      </c>
      <c r="D386" s="28" t="s">
        <v>1337</v>
      </c>
      <c r="E386" s="28"/>
      <c r="F386" s="28">
        <v>0</v>
      </c>
      <c r="G386" s="28" t="s">
        <v>119</v>
      </c>
      <c r="H386" s="28">
        <v>0</v>
      </c>
      <c r="J386" s="28"/>
    </row>
    <row r="387" spans="1:10" ht="15.75" customHeight="1">
      <c r="A387" s="28">
        <v>16288</v>
      </c>
      <c r="B387" s="91">
        <v>44829.70313657407</v>
      </c>
      <c r="C387" s="28" t="s">
        <v>10</v>
      </c>
      <c r="D387" s="28" t="s">
        <v>1336</v>
      </c>
      <c r="E387" s="28"/>
      <c r="F387" s="28">
        <v>35</v>
      </c>
      <c r="G387" s="28" t="s">
        <v>124</v>
      </c>
      <c r="H387" s="28">
        <v>0</v>
      </c>
      <c r="J387" s="28"/>
    </row>
    <row r="388" spans="1:10" ht="15.75" customHeight="1">
      <c r="A388" s="28">
        <v>16288</v>
      </c>
      <c r="B388" s="91">
        <v>44829.70313657407</v>
      </c>
      <c r="C388" s="28" t="s">
        <v>10</v>
      </c>
      <c r="D388" s="28" t="s">
        <v>1336</v>
      </c>
      <c r="E388" s="28"/>
      <c r="F388" s="28">
        <v>0</v>
      </c>
      <c r="G388" s="28" t="s">
        <v>125</v>
      </c>
      <c r="H388" s="28">
        <v>0</v>
      </c>
      <c r="J388" s="28"/>
    </row>
    <row r="389" spans="1:10" ht="15.75" customHeight="1">
      <c r="A389" s="28">
        <v>16288</v>
      </c>
      <c r="B389" s="91">
        <v>44829.70313657407</v>
      </c>
      <c r="C389" s="28" t="s">
        <v>10</v>
      </c>
      <c r="D389" s="28" t="s">
        <v>1336</v>
      </c>
      <c r="E389" s="28"/>
      <c r="F389" s="28">
        <v>0</v>
      </c>
      <c r="G389" s="28" t="s">
        <v>121</v>
      </c>
      <c r="H389" s="28">
        <v>0</v>
      </c>
      <c r="J389" s="28"/>
    </row>
    <row r="390" spans="1:10" ht="15.75" customHeight="1">
      <c r="A390" s="28">
        <v>16288</v>
      </c>
      <c r="B390" s="91">
        <v>44829.70313657407</v>
      </c>
      <c r="C390" s="28" t="s">
        <v>10</v>
      </c>
      <c r="D390" s="28" t="s">
        <v>1336</v>
      </c>
      <c r="E390" s="28"/>
      <c r="F390" s="28">
        <v>0</v>
      </c>
      <c r="G390" s="28" t="s">
        <v>139</v>
      </c>
      <c r="H390" s="28">
        <v>0</v>
      </c>
      <c r="J390" s="28"/>
    </row>
    <row r="391" spans="1:10" ht="15.75" customHeight="1">
      <c r="A391" s="28">
        <v>16289</v>
      </c>
      <c r="B391" s="91">
        <v>44829.706782407404</v>
      </c>
      <c r="C391" s="28" t="s">
        <v>10</v>
      </c>
      <c r="D391" s="28" t="s">
        <v>1335</v>
      </c>
      <c r="E391" s="28"/>
      <c r="F391" s="28">
        <v>50</v>
      </c>
      <c r="G391" s="28" t="s">
        <v>118</v>
      </c>
      <c r="H391" s="28">
        <v>0</v>
      </c>
      <c r="J391" s="28"/>
    </row>
    <row r="392" spans="1:10" ht="15.75" customHeight="1">
      <c r="A392" s="28">
        <v>16290</v>
      </c>
      <c r="B392" s="91">
        <v>44829.713090277779</v>
      </c>
      <c r="C392" s="28" t="s">
        <v>10</v>
      </c>
      <c r="D392" s="28" t="s">
        <v>1334</v>
      </c>
      <c r="E392" s="28"/>
      <c r="F392" s="28">
        <v>25</v>
      </c>
      <c r="G392" s="28">
        <v>100692</v>
      </c>
      <c r="H392" s="28">
        <v>0</v>
      </c>
      <c r="J392" s="28"/>
    </row>
    <row r="393" spans="1:10" ht="15.75" customHeight="1">
      <c r="A393" s="28">
        <v>16290</v>
      </c>
      <c r="B393" s="91">
        <v>44829.713090277779</v>
      </c>
      <c r="C393" s="28" t="s">
        <v>10</v>
      </c>
      <c r="D393" s="28" t="s">
        <v>1334</v>
      </c>
      <c r="E393" s="28"/>
      <c r="F393" s="28">
        <v>0</v>
      </c>
      <c r="G393" s="28" t="s">
        <v>125</v>
      </c>
      <c r="H393" s="28">
        <v>0</v>
      </c>
      <c r="J393" s="28"/>
    </row>
    <row r="394" spans="1:10" ht="15.75" customHeight="1">
      <c r="A394" s="28">
        <v>16290</v>
      </c>
      <c r="B394" s="91">
        <v>44829.713090277779</v>
      </c>
      <c r="C394" s="28" t="s">
        <v>10</v>
      </c>
      <c r="D394" s="28" t="s">
        <v>1334</v>
      </c>
      <c r="E394" s="28"/>
      <c r="F394" s="28">
        <v>0</v>
      </c>
      <c r="G394" s="28" t="s">
        <v>119</v>
      </c>
      <c r="H394" s="28">
        <v>0</v>
      </c>
      <c r="J394" s="28"/>
    </row>
    <row r="395" spans="1:10" ht="15.75" customHeight="1">
      <c r="A395" s="28">
        <v>16290</v>
      </c>
      <c r="B395" s="91">
        <v>44829.713090277779</v>
      </c>
      <c r="C395" s="28" t="s">
        <v>10</v>
      </c>
      <c r="D395" s="28" t="s">
        <v>1334</v>
      </c>
      <c r="E395" s="28"/>
      <c r="F395" s="28">
        <v>24</v>
      </c>
      <c r="G395" s="28" t="s">
        <v>122</v>
      </c>
      <c r="H395" s="28">
        <v>0</v>
      </c>
      <c r="J395" s="28"/>
    </row>
    <row r="396" spans="1:10" ht="15.75" customHeight="1">
      <c r="A396" s="28">
        <v>16291</v>
      </c>
      <c r="B396" s="91">
        <v>44829.737268518518</v>
      </c>
      <c r="C396" s="28" t="s">
        <v>10</v>
      </c>
      <c r="D396" s="28" t="s">
        <v>1333</v>
      </c>
      <c r="E396" s="28"/>
      <c r="F396" s="28">
        <v>25</v>
      </c>
      <c r="G396" s="28">
        <v>100692</v>
      </c>
      <c r="H396" s="28">
        <v>0</v>
      </c>
      <c r="J396" s="28"/>
    </row>
    <row r="397" spans="1:10" ht="15.75" customHeight="1">
      <c r="A397" s="28">
        <v>16291</v>
      </c>
      <c r="B397" s="91">
        <v>44829.737268518518</v>
      </c>
      <c r="C397" s="28" t="s">
        <v>10</v>
      </c>
      <c r="D397" s="28" t="s">
        <v>1333</v>
      </c>
      <c r="E397" s="28"/>
      <c r="F397" s="28">
        <v>0</v>
      </c>
      <c r="G397" s="28" t="s">
        <v>125</v>
      </c>
      <c r="H397" s="28">
        <v>0</v>
      </c>
      <c r="J397" s="28"/>
    </row>
    <row r="398" spans="1:10" ht="15.75" customHeight="1">
      <c r="A398" s="28">
        <v>16291</v>
      </c>
      <c r="B398" s="91">
        <v>44829.737268518518</v>
      </c>
      <c r="C398" s="28" t="s">
        <v>10</v>
      </c>
      <c r="D398" s="28" t="s">
        <v>1333</v>
      </c>
      <c r="E398" s="28"/>
      <c r="F398" s="28">
        <v>0</v>
      </c>
      <c r="G398" s="28" t="s">
        <v>119</v>
      </c>
      <c r="H398" s="28">
        <v>0</v>
      </c>
      <c r="J398" s="28"/>
    </row>
    <row r="399" spans="1:10" ht="15.75" customHeight="1">
      <c r="A399" s="28">
        <v>16292</v>
      </c>
      <c r="B399" s="91">
        <v>44829.744039351848</v>
      </c>
      <c r="C399" s="28" t="s">
        <v>10</v>
      </c>
      <c r="D399" s="28" t="s">
        <v>1332</v>
      </c>
      <c r="E399" s="28"/>
      <c r="F399" s="28">
        <v>25</v>
      </c>
      <c r="G399" s="28">
        <v>100692</v>
      </c>
      <c r="H399" s="28">
        <v>0</v>
      </c>
      <c r="J399" s="28"/>
    </row>
    <row r="400" spans="1:10" ht="15.75" customHeight="1">
      <c r="A400" s="28">
        <v>16292</v>
      </c>
      <c r="B400" s="91">
        <v>44829.744039351848</v>
      </c>
      <c r="C400" s="28" t="s">
        <v>10</v>
      </c>
      <c r="D400" s="28" t="s">
        <v>1332</v>
      </c>
      <c r="E400" s="28"/>
      <c r="F400" s="28">
        <v>0</v>
      </c>
      <c r="G400" s="28" t="s">
        <v>125</v>
      </c>
      <c r="H400" s="28">
        <v>0</v>
      </c>
      <c r="J400" s="28"/>
    </row>
    <row r="401" spans="1:10" ht="15.75" customHeight="1">
      <c r="A401" s="28">
        <v>16292</v>
      </c>
      <c r="B401" s="91">
        <v>44829.744039351848</v>
      </c>
      <c r="C401" s="28" t="s">
        <v>10</v>
      </c>
      <c r="D401" s="28" t="s">
        <v>1332</v>
      </c>
      <c r="E401" s="28"/>
      <c r="F401" s="28">
        <v>0</v>
      </c>
      <c r="G401" s="28" t="s">
        <v>119</v>
      </c>
      <c r="H401" s="28">
        <v>0</v>
      </c>
      <c r="J401" s="28"/>
    </row>
    <row r="402" spans="1:10" ht="15.75" customHeight="1">
      <c r="A402" s="28">
        <v>16293</v>
      </c>
      <c r="B402" s="91">
        <v>44829.750694444447</v>
      </c>
      <c r="C402" s="28" t="s">
        <v>10</v>
      </c>
      <c r="D402" s="28" t="s">
        <v>1331</v>
      </c>
      <c r="E402" s="28"/>
      <c r="F402" s="28">
        <v>35</v>
      </c>
      <c r="G402" s="28" t="s">
        <v>124</v>
      </c>
      <c r="H402" s="28">
        <v>0</v>
      </c>
      <c r="J402" s="28"/>
    </row>
    <row r="403" spans="1:10" ht="15.75" customHeight="1">
      <c r="A403" s="28">
        <v>16293</v>
      </c>
      <c r="B403" s="91">
        <v>44829.750694444447</v>
      </c>
      <c r="C403" s="28" t="s">
        <v>10</v>
      </c>
      <c r="D403" s="28" t="s">
        <v>1331</v>
      </c>
      <c r="E403" s="28"/>
      <c r="F403" s="28">
        <v>0</v>
      </c>
      <c r="G403" s="28" t="s">
        <v>125</v>
      </c>
      <c r="H403" s="28">
        <v>0</v>
      </c>
      <c r="J403" s="28"/>
    </row>
    <row r="404" spans="1:10" ht="15.75" customHeight="1">
      <c r="A404" s="28">
        <v>16293</v>
      </c>
      <c r="B404" s="91">
        <v>44829.750694444447</v>
      </c>
      <c r="C404" s="28" t="s">
        <v>10</v>
      </c>
      <c r="D404" s="28" t="s">
        <v>1331</v>
      </c>
      <c r="E404" s="28"/>
      <c r="F404" s="28">
        <v>0</v>
      </c>
      <c r="G404" s="28" t="s">
        <v>121</v>
      </c>
      <c r="H404" s="28">
        <v>0</v>
      </c>
      <c r="J404" s="28"/>
    </row>
    <row r="405" spans="1:10" ht="15.75" customHeight="1">
      <c r="A405" s="28">
        <v>16293</v>
      </c>
      <c r="B405" s="91">
        <v>44829.750694444447</v>
      </c>
      <c r="C405" s="28" t="s">
        <v>10</v>
      </c>
      <c r="D405" s="28" t="s">
        <v>1331</v>
      </c>
      <c r="E405" s="28"/>
      <c r="F405" s="28">
        <v>0</v>
      </c>
      <c r="G405" s="28" t="s">
        <v>139</v>
      </c>
      <c r="H405" s="28">
        <v>0</v>
      </c>
      <c r="J405" s="28"/>
    </row>
    <row r="406" spans="1:10" ht="15.75" customHeight="1">
      <c r="A406" s="28">
        <v>16293</v>
      </c>
      <c r="B406" s="91">
        <v>44829.750694444447</v>
      </c>
      <c r="C406" s="28" t="s">
        <v>10</v>
      </c>
      <c r="D406" s="28" t="s">
        <v>1331</v>
      </c>
      <c r="E406" s="28"/>
      <c r="F406" s="28">
        <v>7.5</v>
      </c>
      <c r="G406" s="28" t="s">
        <v>774</v>
      </c>
      <c r="H406" s="28">
        <v>0</v>
      </c>
      <c r="J406" s="28"/>
    </row>
    <row r="407" spans="1:10" ht="15.75" customHeight="1">
      <c r="A407" s="28">
        <v>16294</v>
      </c>
      <c r="B407" s="91">
        <v>44829.760023148148</v>
      </c>
      <c r="C407" s="28" t="s">
        <v>10</v>
      </c>
      <c r="D407" s="28" t="s">
        <v>1330</v>
      </c>
      <c r="E407" s="28"/>
      <c r="F407" s="28">
        <v>15</v>
      </c>
      <c r="G407" s="28" t="s">
        <v>170</v>
      </c>
      <c r="H407" s="28">
        <v>0</v>
      </c>
      <c r="J407" s="28"/>
    </row>
    <row r="408" spans="1:10" ht="15.75" customHeight="1">
      <c r="A408" s="28">
        <v>16294</v>
      </c>
      <c r="B408" s="91">
        <v>44829.760023148148</v>
      </c>
      <c r="C408" s="28" t="s">
        <v>10</v>
      </c>
      <c r="D408" s="28" t="s">
        <v>1330</v>
      </c>
      <c r="E408" s="28"/>
      <c r="F408" s="28">
        <v>25</v>
      </c>
      <c r="G408" s="28">
        <v>100692</v>
      </c>
      <c r="H408" s="28">
        <v>0</v>
      </c>
      <c r="J408" s="28"/>
    </row>
    <row r="409" spans="1:10" ht="15.75" customHeight="1">
      <c r="A409" s="28">
        <v>16294</v>
      </c>
      <c r="B409" s="91">
        <v>44829.760023148148</v>
      </c>
      <c r="C409" s="28" t="s">
        <v>10</v>
      </c>
      <c r="D409" s="28" t="s">
        <v>1330</v>
      </c>
      <c r="E409" s="28"/>
      <c r="F409" s="28">
        <v>0</v>
      </c>
      <c r="G409" s="28" t="s">
        <v>125</v>
      </c>
      <c r="H409" s="28">
        <v>0</v>
      </c>
      <c r="J409" s="28"/>
    </row>
    <row r="410" spans="1:10" ht="15.75" customHeight="1">
      <c r="A410" s="28">
        <v>16294</v>
      </c>
      <c r="B410" s="91">
        <v>44829.760023148148</v>
      </c>
      <c r="C410" s="28" t="s">
        <v>10</v>
      </c>
      <c r="D410" s="28" t="s">
        <v>1330</v>
      </c>
      <c r="E410" s="28"/>
      <c r="F410" s="28">
        <v>0</v>
      </c>
      <c r="G410" s="28" t="s">
        <v>119</v>
      </c>
      <c r="H410" s="28">
        <v>0</v>
      </c>
      <c r="J410" s="28"/>
    </row>
    <row r="411" spans="1:10" ht="15.75" customHeight="1">
      <c r="A411" s="28">
        <v>16295</v>
      </c>
      <c r="B411" s="91">
        <v>44830.010821759264</v>
      </c>
      <c r="C411" s="28" t="s">
        <v>10</v>
      </c>
      <c r="D411" s="28" t="s">
        <v>1329</v>
      </c>
      <c r="E411" s="28"/>
      <c r="F411" s="28">
        <v>20</v>
      </c>
      <c r="G411" s="28" t="s">
        <v>148</v>
      </c>
      <c r="H411" s="28">
        <v>0</v>
      </c>
      <c r="J411" s="28"/>
    </row>
    <row r="412" spans="1:10" ht="15.75" customHeight="1">
      <c r="A412" s="28">
        <v>16295</v>
      </c>
      <c r="B412" s="91">
        <v>44830.010821759264</v>
      </c>
      <c r="C412" s="28" t="s">
        <v>10</v>
      </c>
      <c r="D412" s="28" t="s">
        <v>1329</v>
      </c>
      <c r="E412" s="28"/>
      <c r="F412" s="28">
        <v>28</v>
      </c>
      <c r="G412" s="28" t="s">
        <v>143</v>
      </c>
      <c r="H412" s="28">
        <v>0</v>
      </c>
      <c r="J412" s="28"/>
    </row>
    <row r="413" spans="1:10" ht="15.75" customHeight="1">
      <c r="A413" s="28">
        <v>16296</v>
      </c>
      <c r="B413" s="91">
        <v>44830.036631944444</v>
      </c>
      <c r="C413" s="28" t="s">
        <v>18</v>
      </c>
      <c r="D413" s="28" t="s">
        <v>1327</v>
      </c>
      <c r="E413" s="28"/>
      <c r="F413" s="28">
        <v>20</v>
      </c>
      <c r="G413" s="28" t="s">
        <v>121</v>
      </c>
      <c r="H413" s="28">
        <v>0</v>
      </c>
      <c r="J413" s="28"/>
    </row>
    <row r="414" spans="1:10" ht="15.75" customHeight="1">
      <c r="A414" s="28">
        <v>16296</v>
      </c>
      <c r="B414" s="91">
        <v>44830.036631944444</v>
      </c>
      <c r="C414" s="28" t="s">
        <v>18</v>
      </c>
      <c r="D414" s="28" t="s">
        <v>1327</v>
      </c>
      <c r="E414" s="28"/>
      <c r="F414" s="28">
        <v>28</v>
      </c>
      <c r="G414" s="28" t="s">
        <v>143</v>
      </c>
      <c r="H414" s="28">
        <v>0</v>
      </c>
      <c r="J414" s="28"/>
    </row>
    <row r="415" spans="1:10" ht="15.75" customHeight="1">
      <c r="A415" s="28">
        <v>16296</v>
      </c>
      <c r="B415" s="91">
        <v>44830.036631944444</v>
      </c>
      <c r="C415" s="28" t="s">
        <v>18</v>
      </c>
      <c r="D415" s="28" t="s">
        <v>1327</v>
      </c>
      <c r="E415" s="28"/>
      <c r="F415" s="28">
        <v>25</v>
      </c>
      <c r="G415" s="28" t="s">
        <v>1328</v>
      </c>
      <c r="H415" s="28">
        <v>0</v>
      </c>
      <c r="J415" s="28"/>
    </row>
    <row r="416" spans="1:10" ht="15.75" customHeight="1">
      <c r="A416" s="28">
        <v>16297</v>
      </c>
      <c r="B416" s="91">
        <v>44830.04822916667</v>
      </c>
      <c r="C416" s="28" t="s">
        <v>10</v>
      </c>
      <c r="D416" s="28" t="s">
        <v>1326</v>
      </c>
      <c r="E416" s="28"/>
      <c r="F416" s="28">
        <v>20</v>
      </c>
      <c r="G416" s="28" t="s">
        <v>286</v>
      </c>
      <c r="H416" s="28">
        <v>0</v>
      </c>
      <c r="J416" s="28"/>
    </row>
    <row r="417" spans="1:10" ht="15.75" customHeight="1">
      <c r="A417" s="28">
        <v>16297</v>
      </c>
      <c r="B417" s="91">
        <v>44830.04822916667</v>
      </c>
      <c r="C417" s="28" t="s">
        <v>10</v>
      </c>
      <c r="D417" s="28" t="s">
        <v>1326</v>
      </c>
      <c r="E417" s="28"/>
      <c r="F417" s="28">
        <v>55</v>
      </c>
      <c r="G417" s="28">
        <v>101684</v>
      </c>
      <c r="H417" s="28">
        <v>0</v>
      </c>
      <c r="J417" s="28"/>
    </row>
    <row r="418" spans="1:10" ht="15.75" customHeight="1">
      <c r="A418" s="28">
        <v>16297</v>
      </c>
      <c r="B418" s="91">
        <v>44830.04822916667</v>
      </c>
      <c r="C418" s="28" t="s">
        <v>10</v>
      </c>
      <c r="D418" s="28" t="s">
        <v>1326</v>
      </c>
      <c r="E418" s="28"/>
      <c r="F418" s="28">
        <v>0</v>
      </c>
      <c r="G418" s="28" t="s">
        <v>118</v>
      </c>
      <c r="H418" s="28">
        <v>0</v>
      </c>
      <c r="J418" s="28"/>
    </row>
    <row r="419" spans="1:10" ht="15.75" customHeight="1">
      <c r="A419" s="28">
        <v>16297</v>
      </c>
      <c r="B419" s="91">
        <v>44830.04822916667</v>
      </c>
      <c r="C419" s="28" t="s">
        <v>10</v>
      </c>
      <c r="D419" s="28" t="s">
        <v>1326</v>
      </c>
      <c r="E419" s="28"/>
      <c r="F419" s="28">
        <v>0</v>
      </c>
      <c r="G419" s="28" t="s">
        <v>119</v>
      </c>
      <c r="H419" s="28">
        <v>0</v>
      </c>
      <c r="J419" s="28"/>
    </row>
    <row r="420" spans="1:10" ht="15.75" customHeight="1">
      <c r="A420" s="28">
        <v>16297</v>
      </c>
      <c r="B420" s="91">
        <v>44830.04822916667</v>
      </c>
      <c r="C420" s="28" t="s">
        <v>10</v>
      </c>
      <c r="D420" s="28" t="s">
        <v>1326</v>
      </c>
      <c r="E420" s="28"/>
      <c r="F420" s="28">
        <v>0</v>
      </c>
      <c r="G420" s="28" t="s">
        <v>120</v>
      </c>
      <c r="H420" s="28">
        <v>0</v>
      </c>
      <c r="J420" s="28"/>
    </row>
    <row r="421" spans="1:10" ht="15.75" customHeight="1">
      <c r="A421" s="28">
        <v>16297</v>
      </c>
      <c r="B421" s="91">
        <v>44830.04822916667</v>
      </c>
      <c r="C421" s="28" t="s">
        <v>10</v>
      </c>
      <c r="D421" s="28" t="s">
        <v>1326</v>
      </c>
      <c r="E421" s="28"/>
      <c r="F421" s="28">
        <v>0</v>
      </c>
      <c r="G421" s="28" t="s">
        <v>121</v>
      </c>
      <c r="H421" s="28">
        <v>0</v>
      </c>
      <c r="J421" s="28"/>
    </row>
    <row r="422" spans="1:10" ht="15.75" customHeight="1">
      <c r="A422" s="28">
        <v>16297</v>
      </c>
      <c r="B422" s="91">
        <v>44830.04822916667</v>
      </c>
      <c r="C422" s="28" t="s">
        <v>10</v>
      </c>
      <c r="D422" s="28" t="s">
        <v>1326</v>
      </c>
      <c r="E422" s="28"/>
      <c r="F422" s="28">
        <v>24</v>
      </c>
      <c r="G422" s="28" t="s">
        <v>122</v>
      </c>
      <c r="H422" s="28">
        <v>0</v>
      </c>
      <c r="J422" s="28"/>
    </row>
    <row r="423" spans="1:10" ht="15.75" customHeight="1">
      <c r="A423" s="28">
        <v>16298</v>
      </c>
      <c r="B423" s="91">
        <v>44830.051342592589</v>
      </c>
      <c r="C423" s="28" t="s">
        <v>10</v>
      </c>
      <c r="D423" s="28" t="s">
        <v>1325</v>
      </c>
      <c r="E423" s="28"/>
      <c r="F423" s="28">
        <v>100</v>
      </c>
      <c r="G423" s="28">
        <v>102779</v>
      </c>
      <c r="H423" s="28">
        <v>0</v>
      </c>
      <c r="J423" s="28"/>
    </row>
    <row r="424" spans="1:10" ht="15.75" customHeight="1">
      <c r="A424" s="28">
        <v>16298</v>
      </c>
      <c r="B424" s="91">
        <v>44830.051342592589</v>
      </c>
      <c r="C424" s="28" t="s">
        <v>10</v>
      </c>
      <c r="D424" s="28" t="s">
        <v>1325</v>
      </c>
      <c r="E424" s="28"/>
      <c r="F424" s="28">
        <v>0</v>
      </c>
      <c r="G424" s="28" t="s">
        <v>118</v>
      </c>
      <c r="H424" s="28">
        <v>0</v>
      </c>
      <c r="J424" s="28"/>
    </row>
    <row r="425" spans="1:10" ht="15.75" customHeight="1">
      <c r="A425" s="28">
        <v>16298</v>
      </c>
      <c r="B425" s="91">
        <v>44830.051342592589</v>
      </c>
      <c r="C425" s="28" t="s">
        <v>10</v>
      </c>
      <c r="D425" s="28" t="s">
        <v>1325</v>
      </c>
      <c r="E425" s="28"/>
      <c r="F425" s="28">
        <v>0</v>
      </c>
      <c r="G425" s="28" t="s">
        <v>119</v>
      </c>
      <c r="H425" s="28">
        <v>0</v>
      </c>
      <c r="J425" s="28"/>
    </row>
    <row r="426" spans="1:10" ht="15.75" customHeight="1">
      <c r="A426" s="28">
        <v>16298</v>
      </c>
      <c r="B426" s="91">
        <v>44830.051342592589</v>
      </c>
      <c r="C426" s="28" t="s">
        <v>10</v>
      </c>
      <c r="D426" s="28" t="s">
        <v>1325</v>
      </c>
      <c r="E426" s="28"/>
      <c r="F426" s="28">
        <v>0</v>
      </c>
      <c r="G426" s="28" t="s">
        <v>120</v>
      </c>
      <c r="H426" s="28">
        <v>0</v>
      </c>
      <c r="J426" s="28"/>
    </row>
    <row r="427" spans="1:10" ht="15.75" customHeight="1">
      <c r="A427" s="28">
        <v>16298</v>
      </c>
      <c r="B427" s="91">
        <v>44830.051342592589</v>
      </c>
      <c r="C427" s="28" t="s">
        <v>10</v>
      </c>
      <c r="D427" s="28" t="s">
        <v>1325</v>
      </c>
      <c r="E427" s="28"/>
      <c r="F427" s="28">
        <v>0</v>
      </c>
      <c r="G427" s="28" t="s">
        <v>122</v>
      </c>
      <c r="H427" s="28">
        <v>0</v>
      </c>
      <c r="J427" s="28"/>
    </row>
    <row r="428" spans="1:10" ht="15.75" customHeight="1">
      <c r="A428" s="28">
        <v>16298</v>
      </c>
      <c r="B428" s="91">
        <v>44830.051342592589</v>
      </c>
      <c r="C428" s="28" t="s">
        <v>10</v>
      </c>
      <c r="D428" s="28" t="s">
        <v>1325</v>
      </c>
      <c r="E428" s="28"/>
      <c r="F428" s="28">
        <v>0</v>
      </c>
      <c r="G428" s="28" t="s">
        <v>121</v>
      </c>
      <c r="H428" s="28">
        <v>0</v>
      </c>
      <c r="J428" s="28"/>
    </row>
    <row r="429" spans="1:10" ht="15.75" customHeight="1">
      <c r="A429" s="28">
        <v>16300</v>
      </c>
      <c r="B429" s="91">
        <v>44830.681724537033</v>
      </c>
      <c r="C429" s="28" t="s">
        <v>10</v>
      </c>
      <c r="D429" s="28" t="s">
        <v>1324</v>
      </c>
      <c r="E429" s="28"/>
      <c r="F429" s="28">
        <v>0</v>
      </c>
      <c r="G429" s="28" t="s">
        <v>139</v>
      </c>
      <c r="H429" s="28">
        <v>0</v>
      </c>
      <c r="J429" s="28"/>
    </row>
    <row r="430" spans="1:10" ht="15.75" customHeight="1">
      <c r="A430" s="28">
        <v>16300</v>
      </c>
      <c r="B430" s="91">
        <v>44830.681724537033</v>
      </c>
      <c r="C430" s="28" t="s">
        <v>10</v>
      </c>
      <c r="D430" s="28" t="s">
        <v>1324</v>
      </c>
      <c r="E430" s="28"/>
      <c r="F430" s="28">
        <v>15</v>
      </c>
      <c r="G430" s="28"/>
      <c r="H430" s="28">
        <v>0</v>
      </c>
      <c r="J430" s="28"/>
    </row>
    <row r="431" spans="1:10" ht="15.75" customHeight="1">
      <c r="A431" s="28">
        <v>16300</v>
      </c>
      <c r="B431" s="91">
        <v>44830.681724537033</v>
      </c>
      <c r="C431" s="28" t="s">
        <v>10</v>
      </c>
      <c r="D431" s="28" t="s">
        <v>1324</v>
      </c>
      <c r="E431" s="28"/>
      <c r="F431" s="28">
        <v>35</v>
      </c>
      <c r="G431" s="28" t="s">
        <v>124</v>
      </c>
      <c r="H431" s="28">
        <v>0</v>
      </c>
      <c r="J431" s="28"/>
    </row>
    <row r="432" spans="1:10" ht="15.75" customHeight="1">
      <c r="A432" s="28">
        <v>16300</v>
      </c>
      <c r="B432" s="91">
        <v>44830.681724537033</v>
      </c>
      <c r="C432" s="28" t="s">
        <v>10</v>
      </c>
      <c r="D432" s="28" t="s">
        <v>1324</v>
      </c>
      <c r="E432" s="28"/>
      <c r="F432" s="28">
        <v>0</v>
      </c>
      <c r="G432" s="28" t="s">
        <v>125</v>
      </c>
      <c r="H432" s="28">
        <v>0</v>
      </c>
      <c r="J432" s="28"/>
    </row>
    <row r="433" spans="1:10" ht="15.75" customHeight="1">
      <c r="A433" s="28">
        <v>16300</v>
      </c>
      <c r="B433" s="91">
        <v>44830.681724537033</v>
      </c>
      <c r="C433" s="28" t="s">
        <v>10</v>
      </c>
      <c r="D433" s="28" t="s">
        <v>1324</v>
      </c>
      <c r="E433" s="28"/>
      <c r="F433" s="28">
        <v>0</v>
      </c>
      <c r="G433" s="28" t="s">
        <v>121</v>
      </c>
      <c r="H433" s="28">
        <v>0</v>
      </c>
      <c r="J433" s="28"/>
    </row>
    <row r="434" spans="1:10" ht="15.75" customHeight="1">
      <c r="A434" s="28">
        <v>16300</v>
      </c>
      <c r="B434" s="91">
        <v>44830.681724537033</v>
      </c>
      <c r="C434" s="28" t="s">
        <v>10</v>
      </c>
      <c r="D434" s="28" t="s">
        <v>1324</v>
      </c>
      <c r="E434" s="28"/>
      <c r="F434" s="28">
        <v>0</v>
      </c>
      <c r="G434" s="28" t="s">
        <v>139</v>
      </c>
      <c r="H434" s="28">
        <v>0</v>
      </c>
      <c r="J434" s="28"/>
    </row>
    <row r="435" spans="1:10" ht="15.75" customHeight="1">
      <c r="A435" s="28">
        <v>16300</v>
      </c>
      <c r="B435" s="91">
        <v>44830.681724537033</v>
      </c>
      <c r="C435" s="28" t="s">
        <v>10</v>
      </c>
      <c r="D435" s="28" t="s">
        <v>1324</v>
      </c>
      <c r="E435" s="28"/>
      <c r="F435" s="28">
        <v>18</v>
      </c>
      <c r="G435" s="28" t="s">
        <v>119</v>
      </c>
      <c r="H435" s="28">
        <v>0</v>
      </c>
      <c r="J435" s="28"/>
    </row>
    <row r="436" spans="1:10" ht="15.75" customHeight="1">
      <c r="A436" s="28">
        <v>16321</v>
      </c>
      <c r="B436" s="91">
        <v>44831.047280092593</v>
      </c>
      <c r="C436" s="28" t="s">
        <v>10</v>
      </c>
      <c r="D436" s="28" t="s">
        <v>1323</v>
      </c>
      <c r="E436" s="28"/>
      <c r="F436" s="28">
        <v>20</v>
      </c>
      <c r="G436" s="28" t="s">
        <v>148</v>
      </c>
      <c r="H436" s="28">
        <v>0</v>
      </c>
      <c r="J436" s="28"/>
    </row>
    <row r="437" spans="1:10" ht="15.75" customHeight="1">
      <c r="A437" s="28">
        <v>16321</v>
      </c>
      <c r="B437" s="91">
        <v>44831.047280092593</v>
      </c>
      <c r="C437" s="28" t="s">
        <v>10</v>
      </c>
      <c r="D437" s="28" t="s">
        <v>1323</v>
      </c>
      <c r="E437" s="28"/>
      <c r="F437" s="28">
        <v>24</v>
      </c>
      <c r="G437" s="28" t="s">
        <v>122</v>
      </c>
      <c r="H437" s="28">
        <v>0</v>
      </c>
      <c r="J437" s="28"/>
    </row>
    <row r="438" spans="1:10" ht="15.75" customHeight="1">
      <c r="A438" s="28">
        <v>16324</v>
      </c>
      <c r="B438" s="91">
        <v>44831.079317129625</v>
      </c>
      <c r="C438" s="28" t="s">
        <v>10</v>
      </c>
      <c r="D438" s="28" t="s">
        <v>660</v>
      </c>
      <c r="E438" s="28"/>
      <c r="F438" s="28">
        <v>20</v>
      </c>
      <c r="G438" s="28" t="s">
        <v>121</v>
      </c>
      <c r="H438" s="28">
        <v>0</v>
      </c>
      <c r="J438" s="28"/>
    </row>
    <row r="439" spans="1:10" ht="15.75" customHeight="1">
      <c r="A439" s="28">
        <v>16324</v>
      </c>
      <c r="B439" s="91">
        <v>44831.079317129625</v>
      </c>
      <c r="C439" s="28" t="s">
        <v>10</v>
      </c>
      <c r="D439" s="28" t="s">
        <v>660</v>
      </c>
      <c r="E439" s="28"/>
      <c r="F439" s="28">
        <v>28</v>
      </c>
      <c r="G439" s="28" t="s">
        <v>143</v>
      </c>
      <c r="H439" s="28">
        <v>0</v>
      </c>
      <c r="J439" s="28"/>
    </row>
    <row r="440" spans="1:10" ht="15.75" customHeight="1">
      <c r="A440" s="28">
        <v>16324</v>
      </c>
      <c r="B440" s="91">
        <v>44831.079317129625</v>
      </c>
      <c r="C440" s="28" t="s">
        <v>10</v>
      </c>
      <c r="D440" s="28" t="s">
        <v>660</v>
      </c>
      <c r="E440" s="28"/>
      <c r="F440" s="28">
        <v>0</v>
      </c>
      <c r="G440" s="28" t="s">
        <v>139</v>
      </c>
      <c r="H440" s="28">
        <v>0</v>
      </c>
      <c r="J440" s="28"/>
    </row>
    <row r="441" spans="1:10" ht="15.75" customHeight="1">
      <c r="A441" s="28">
        <v>16325</v>
      </c>
      <c r="B441" s="91">
        <v>44831.081273148149</v>
      </c>
      <c r="C441" s="28" t="s">
        <v>10</v>
      </c>
      <c r="D441" s="28" t="s">
        <v>661</v>
      </c>
      <c r="E441" s="28"/>
      <c r="F441" s="28">
        <v>20</v>
      </c>
      <c r="G441" s="28" t="s">
        <v>121</v>
      </c>
      <c r="H441" s="28">
        <v>0</v>
      </c>
      <c r="J441" s="28"/>
    </row>
    <row r="442" spans="1:10" ht="15.75" customHeight="1">
      <c r="A442" s="28">
        <v>16325</v>
      </c>
      <c r="B442" s="91">
        <v>44831.081273148149</v>
      </c>
      <c r="C442" s="28" t="s">
        <v>10</v>
      </c>
      <c r="D442" s="28" t="s">
        <v>661</v>
      </c>
      <c r="E442" s="28"/>
      <c r="F442" s="28">
        <v>28</v>
      </c>
      <c r="G442" s="28" t="s">
        <v>143</v>
      </c>
      <c r="H442" s="28">
        <v>0</v>
      </c>
      <c r="J442" s="28"/>
    </row>
    <row r="443" spans="1:10" ht="15.75" customHeight="1">
      <c r="A443" s="28">
        <v>16326</v>
      </c>
      <c r="B443" s="91">
        <v>44831.085439814815</v>
      </c>
      <c r="C443" s="28" t="s">
        <v>10</v>
      </c>
      <c r="D443" s="28" t="s">
        <v>661</v>
      </c>
      <c r="E443" s="28"/>
      <c r="F443" s="28">
        <v>18</v>
      </c>
      <c r="G443" s="28" t="s">
        <v>457</v>
      </c>
      <c r="H443" s="28">
        <v>0</v>
      </c>
      <c r="J443" s="28"/>
    </row>
    <row r="444" spans="1:10" ht="15.75" customHeight="1">
      <c r="A444" s="28">
        <v>16326</v>
      </c>
      <c r="B444" s="91">
        <v>44831.085439814815</v>
      </c>
      <c r="C444" s="28" t="s">
        <v>10</v>
      </c>
      <c r="D444" s="28" t="s">
        <v>661</v>
      </c>
      <c r="E444" s="28"/>
      <c r="F444" s="28">
        <v>20</v>
      </c>
      <c r="G444" s="28" t="s">
        <v>205</v>
      </c>
      <c r="H444" s="28">
        <v>0</v>
      </c>
      <c r="J444" s="28"/>
    </row>
    <row r="445" spans="1:10" ht="15.75" customHeight="1">
      <c r="A445" s="28">
        <v>16326</v>
      </c>
      <c r="B445" s="91">
        <v>44831.085439814815</v>
      </c>
      <c r="C445" s="28" t="s">
        <v>10</v>
      </c>
      <c r="D445" s="28" t="s">
        <v>661</v>
      </c>
      <c r="E445" s="28"/>
      <c r="F445" s="28">
        <v>0</v>
      </c>
      <c r="G445" s="28" t="s">
        <v>125</v>
      </c>
      <c r="H445" s="28">
        <v>0</v>
      </c>
      <c r="J445" s="28"/>
    </row>
    <row r="446" spans="1:10" ht="15.75" customHeight="1">
      <c r="A446" s="28">
        <v>16327</v>
      </c>
      <c r="B446" s="91">
        <v>44831.467048611114</v>
      </c>
      <c r="C446" s="28" t="s">
        <v>10</v>
      </c>
      <c r="D446" s="28" t="s">
        <v>1322</v>
      </c>
      <c r="E446" s="28"/>
      <c r="F446" s="28">
        <v>18</v>
      </c>
      <c r="G446" s="28" t="s">
        <v>119</v>
      </c>
      <c r="H446" s="28">
        <v>0</v>
      </c>
      <c r="J446" s="28"/>
    </row>
    <row r="447" spans="1:10" ht="15.75" customHeight="1">
      <c r="A447" s="28">
        <v>16329</v>
      </c>
      <c r="B447" s="91">
        <v>44832.499895833331</v>
      </c>
      <c r="C447" s="28" t="s">
        <v>10</v>
      </c>
      <c r="D447" s="28" t="s">
        <v>1321</v>
      </c>
      <c r="E447" s="28"/>
      <c r="F447" s="28">
        <v>35</v>
      </c>
      <c r="G447" s="28" t="s">
        <v>124</v>
      </c>
      <c r="H447" s="28">
        <v>0</v>
      </c>
      <c r="J447" s="28"/>
    </row>
    <row r="448" spans="1:10" ht="15.75" customHeight="1">
      <c r="A448" s="28">
        <v>16329</v>
      </c>
      <c r="B448" s="91">
        <v>44832.499895833331</v>
      </c>
      <c r="C448" s="28" t="s">
        <v>10</v>
      </c>
      <c r="D448" s="28" t="s">
        <v>1321</v>
      </c>
      <c r="E448" s="28"/>
      <c r="F448" s="28">
        <v>0</v>
      </c>
      <c r="G448" s="28" t="s">
        <v>125</v>
      </c>
      <c r="H448" s="28">
        <v>0</v>
      </c>
      <c r="J448" s="28"/>
    </row>
    <row r="449" spans="1:10" ht="15.75" customHeight="1">
      <c r="A449" s="28">
        <v>16329</v>
      </c>
      <c r="B449" s="91">
        <v>44832.499895833331</v>
      </c>
      <c r="C449" s="28" t="s">
        <v>10</v>
      </c>
      <c r="D449" s="28" t="s">
        <v>1321</v>
      </c>
      <c r="E449" s="28"/>
      <c r="F449" s="28">
        <v>0</v>
      </c>
      <c r="G449" s="28" t="s">
        <v>121</v>
      </c>
      <c r="H449" s="28">
        <v>0</v>
      </c>
      <c r="J449" s="28"/>
    </row>
    <row r="450" spans="1:10" ht="15.75" customHeight="1">
      <c r="A450" s="28">
        <v>16329</v>
      </c>
      <c r="B450" s="91">
        <v>44832.499895833331</v>
      </c>
      <c r="C450" s="28" t="s">
        <v>10</v>
      </c>
      <c r="D450" s="28" t="s">
        <v>1321</v>
      </c>
      <c r="E450" s="28"/>
      <c r="F450" s="28">
        <v>0</v>
      </c>
      <c r="G450" s="28" t="s">
        <v>139</v>
      </c>
      <c r="H450" s="28">
        <v>0</v>
      </c>
      <c r="J450" s="28"/>
    </row>
    <row r="451" spans="1:10" ht="15.75" customHeight="1">
      <c r="A451" s="28">
        <v>16330</v>
      </c>
      <c r="B451" s="91">
        <v>44832.537916666668</v>
      </c>
      <c r="C451" s="28" t="s">
        <v>10</v>
      </c>
      <c r="D451" s="28" t="s">
        <v>1320</v>
      </c>
      <c r="E451" s="28"/>
      <c r="F451" s="28">
        <v>35</v>
      </c>
      <c r="G451" s="28" t="s">
        <v>124</v>
      </c>
      <c r="H451" s="28">
        <v>0</v>
      </c>
      <c r="J451" s="28"/>
    </row>
    <row r="452" spans="1:10" ht="15.75" customHeight="1">
      <c r="A452" s="28">
        <v>16330</v>
      </c>
      <c r="B452" s="91">
        <v>44832.537916666668</v>
      </c>
      <c r="C452" s="28" t="s">
        <v>10</v>
      </c>
      <c r="D452" s="28" t="s">
        <v>1320</v>
      </c>
      <c r="E452" s="28"/>
      <c r="F452" s="28">
        <v>0</v>
      </c>
      <c r="G452" s="28" t="s">
        <v>125</v>
      </c>
      <c r="H452" s="28">
        <v>0</v>
      </c>
      <c r="J452" s="28"/>
    </row>
    <row r="453" spans="1:10" ht="15.75" customHeight="1">
      <c r="A453" s="28">
        <v>16330</v>
      </c>
      <c r="B453" s="91">
        <v>44832.537916666668</v>
      </c>
      <c r="C453" s="28" t="s">
        <v>10</v>
      </c>
      <c r="D453" s="28" t="s">
        <v>1320</v>
      </c>
      <c r="E453" s="28"/>
      <c r="F453" s="28">
        <v>0</v>
      </c>
      <c r="G453" s="28" t="s">
        <v>121</v>
      </c>
      <c r="H453" s="28">
        <v>0</v>
      </c>
      <c r="J453" s="28"/>
    </row>
    <row r="454" spans="1:10" ht="15.75" customHeight="1">
      <c r="A454" s="28">
        <v>16330</v>
      </c>
      <c r="B454" s="91">
        <v>44832.537916666668</v>
      </c>
      <c r="C454" s="28" t="s">
        <v>10</v>
      </c>
      <c r="D454" s="28" t="s">
        <v>1320</v>
      </c>
      <c r="E454" s="28"/>
      <c r="F454" s="28">
        <v>0</v>
      </c>
      <c r="G454" s="28" t="s">
        <v>139</v>
      </c>
      <c r="H454" s="28">
        <v>0</v>
      </c>
      <c r="J454" s="28"/>
    </row>
    <row r="455" spans="1:10" ht="15.75" customHeight="1">
      <c r="A455" s="28">
        <v>16331</v>
      </c>
      <c r="B455" s="91">
        <v>44832.576226851852</v>
      </c>
      <c r="C455" s="28" t="s">
        <v>10</v>
      </c>
      <c r="D455" s="28" t="s">
        <v>1319</v>
      </c>
      <c r="E455" s="28"/>
      <c r="F455" s="28">
        <v>0</v>
      </c>
      <c r="G455" s="28" t="s">
        <v>139</v>
      </c>
      <c r="H455" s="28">
        <v>0</v>
      </c>
      <c r="J455" s="28"/>
    </row>
    <row r="456" spans="1:10" ht="15.75" customHeight="1">
      <c r="A456" s="28">
        <v>16331</v>
      </c>
      <c r="B456" s="91">
        <v>44832.576226851852</v>
      </c>
      <c r="C456" s="28" t="s">
        <v>10</v>
      </c>
      <c r="D456" s="28" t="s">
        <v>1319</v>
      </c>
      <c r="E456" s="28"/>
      <c r="F456" s="28">
        <v>25</v>
      </c>
      <c r="G456" s="28">
        <v>100692</v>
      </c>
      <c r="H456" s="28">
        <v>0</v>
      </c>
      <c r="J456" s="28"/>
    </row>
    <row r="457" spans="1:10" ht="15.75" customHeight="1">
      <c r="A457" s="28">
        <v>16331</v>
      </c>
      <c r="B457" s="91">
        <v>44832.576226851852</v>
      </c>
      <c r="C457" s="28" t="s">
        <v>10</v>
      </c>
      <c r="D457" s="28" t="s">
        <v>1319</v>
      </c>
      <c r="E457" s="28"/>
      <c r="F457" s="28">
        <v>0</v>
      </c>
      <c r="G457" s="28" t="s">
        <v>125</v>
      </c>
      <c r="H457" s="28">
        <v>0</v>
      </c>
      <c r="J457" s="28"/>
    </row>
    <row r="458" spans="1:10" ht="15.75" customHeight="1">
      <c r="A458" s="28">
        <v>16331</v>
      </c>
      <c r="B458" s="91">
        <v>44832.576226851852</v>
      </c>
      <c r="C458" s="28" t="s">
        <v>10</v>
      </c>
      <c r="D458" s="28" t="s">
        <v>1319</v>
      </c>
      <c r="E458" s="28"/>
      <c r="F458" s="28">
        <v>0</v>
      </c>
      <c r="G458" s="28" t="s">
        <v>119</v>
      </c>
      <c r="H458" s="28">
        <v>0</v>
      </c>
      <c r="J458" s="28"/>
    </row>
    <row r="459" spans="1:10" ht="15.75" customHeight="1">
      <c r="A459" s="28">
        <v>16332</v>
      </c>
      <c r="B459" s="91">
        <v>44832.642812499995</v>
      </c>
      <c r="C459" s="28" t="s">
        <v>10</v>
      </c>
      <c r="D459" s="28" t="s">
        <v>1318</v>
      </c>
      <c r="E459" s="28"/>
      <c r="F459" s="28">
        <v>25</v>
      </c>
      <c r="G459" s="28">
        <v>100692</v>
      </c>
      <c r="H459" s="28">
        <v>0</v>
      </c>
      <c r="J459" s="28"/>
    </row>
    <row r="460" spans="1:10" ht="15.75" customHeight="1">
      <c r="A460" s="28">
        <v>16332</v>
      </c>
      <c r="B460" s="91">
        <v>44832.642812499995</v>
      </c>
      <c r="C460" s="28" t="s">
        <v>10</v>
      </c>
      <c r="D460" s="28" t="s">
        <v>1318</v>
      </c>
      <c r="E460" s="28"/>
      <c r="F460" s="28">
        <v>0</v>
      </c>
      <c r="G460" s="28" t="s">
        <v>125</v>
      </c>
      <c r="H460" s="28">
        <v>0</v>
      </c>
      <c r="J460" s="28"/>
    </row>
    <row r="461" spans="1:10" ht="15.75" customHeight="1">
      <c r="A461" s="28">
        <v>16332</v>
      </c>
      <c r="B461" s="91">
        <v>44832.642812499995</v>
      </c>
      <c r="C461" s="28" t="s">
        <v>10</v>
      </c>
      <c r="D461" s="28" t="s">
        <v>1318</v>
      </c>
      <c r="E461" s="28"/>
      <c r="F461" s="28">
        <v>0</v>
      </c>
      <c r="G461" s="28" t="s">
        <v>119</v>
      </c>
      <c r="H461" s="28">
        <v>0</v>
      </c>
      <c r="J461" s="28"/>
    </row>
    <row r="462" spans="1:10" ht="15.75" customHeight="1">
      <c r="A462" s="28">
        <v>16333</v>
      </c>
      <c r="B462" s="91">
        <v>44832.645254629635</v>
      </c>
      <c r="C462" s="28" t="s">
        <v>10</v>
      </c>
      <c r="D462" s="28" t="s">
        <v>1317</v>
      </c>
      <c r="E462" s="28"/>
      <c r="F462" s="28">
        <v>25</v>
      </c>
      <c r="G462" s="28">
        <v>100692</v>
      </c>
      <c r="H462" s="28">
        <v>0</v>
      </c>
      <c r="J462" s="28"/>
    </row>
    <row r="463" spans="1:10" ht="15.75" customHeight="1">
      <c r="A463" s="28">
        <v>16333</v>
      </c>
      <c r="B463" s="91">
        <v>44832.645254629635</v>
      </c>
      <c r="C463" s="28" t="s">
        <v>10</v>
      </c>
      <c r="D463" s="28" t="s">
        <v>1317</v>
      </c>
      <c r="E463" s="28"/>
      <c r="F463" s="28">
        <v>0</v>
      </c>
      <c r="G463" s="28" t="s">
        <v>125</v>
      </c>
      <c r="H463" s="28">
        <v>0</v>
      </c>
      <c r="J463" s="28"/>
    </row>
    <row r="464" spans="1:10" ht="15.75" customHeight="1">
      <c r="A464" s="28">
        <v>16333</v>
      </c>
      <c r="B464" s="91">
        <v>44832.645254629635</v>
      </c>
      <c r="C464" s="28" t="s">
        <v>10</v>
      </c>
      <c r="D464" s="28" t="s">
        <v>1317</v>
      </c>
      <c r="E464" s="28"/>
      <c r="F464" s="28">
        <v>0</v>
      </c>
      <c r="G464" s="28" t="s">
        <v>119</v>
      </c>
      <c r="H464" s="28">
        <v>0</v>
      </c>
      <c r="J464" s="28"/>
    </row>
    <row r="465" spans="1:10" ht="15.75" customHeight="1">
      <c r="A465" s="28">
        <v>16334</v>
      </c>
      <c r="B465" s="91">
        <v>44832.93167824074</v>
      </c>
      <c r="C465" s="28" t="s">
        <v>10</v>
      </c>
      <c r="D465" s="28" t="s">
        <v>1316</v>
      </c>
      <c r="E465" s="28"/>
      <c r="F465" s="28">
        <v>24</v>
      </c>
      <c r="G465" s="28" t="s">
        <v>122</v>
      </c>
      <c r="H465" s="28">
        <v>0</v>
      </c>
      <c r="J465" s="28"/>
    </row>
    <row r="466" spans="1:10" ht="15.75" customHeight="1">
      <c r="A466" s="28">
        <v>16335</v>
      </c>
      <c r="B466" s="91">
        <v>44834.001886574071</v>
      </c>
      <c r="C466" s="28" t="s">
        <v>10</v>
      </c>
      <c r="D466" s="28" t="s">
        <v>1315</v>
      </c>
      <c r="E466" s="28"/>
      <c r="F466" s="28">
        <v>18</v>
      </c>
      <c r="G466" s="28" t="s">
        <v>119</v>
      </c>
      <c r="H466" s="28">
        <v>0</v>
      </c>
      <c r="J466" s="28"/>
    </row>
    <row r="467" spans="1:10" ht="15.75" customHeight="1">
      <c r="A467" s="28">
        <v>16336</v>
      </c>
      <c r="B467" s="91">
        <v>44834.130462962959</v>
      </c>
      <c r="C467" s="28" t="s">
        <v>10</v>
      </c>
      <c r="D467" s="28" t="s">
        <v>1314</v>
      </c>
      <c r="E467" s="28"/>
      <c r="F467" s="28">
        <v>0</v>
      </c>
      <c r="G467" s="28" t="s">
        <v>139</v>
      </c>
      <c r="H467" s="28">
        <v>0</v>
      </c>
      <c r="J467" s="28"/>
    </row>
    <row r="468" spans="1:10" ht="15.75" customHeight="1">
      <c r="A468" s="28">
        <v>16336</v>
      </c>
      <c r="B468" s="91">
        <v>44834.130462962959</v>
      </c>
      <c r="C468" s="28" t="s">
        <v>10</v>
      </c>
      <c r="D468" s="28" t="s">
        <v>1314</v>
      </c>
      <c r="E468" s="28"/>
      <c r="F468" s="28">
        <v>18</v>
      </c>
      <c r="G468" s="28" t="s">
        <v>267</v>
      </c>
      <c r="H468" s="28">
        <v>0</v>
      </c>
      <c r="J468" s="28"/>
    </row>
    <row r="469" spans="1:10" ht="15.75" customHeight="1">
      <c r="A469" s="28">
        <v>16336</v>
      </c>
      <c r="B469" s="91">
        <v>44834.130462962959</v>
      </c>
      <c r="C469" s="28" t="s">
        <v>10</v>
      </c>
      <c r="D469" s="28" t="s">
        <v>1314</v>
      </c>
      <c r="E469" s="28"/>
      <c r="F469" s="28">
        <v>15</v>
      </c>
      <c r="G469" s="28" t="s">
        <v>125</v>
      </c>
      <c r="H469" s="28">
        <v>0</v>
      </c>
      <c r="J469" s="28"/>
    </row>
    <row r="470" spans="1:10" ht="15.75" customHeight="1">
      <c r="A470" s="28">
        <v>16337</v>
      </c>
      <c r="B470" s="91">
        <v>44834.491608796292</v>
      </c>
      <c r="C470" s="28" t="s">
        <v>10</v>
      </c>
      <c r="D470" s="28" t="s">
        <v>1313</v>
      </c>
      <c r="E470" s="28"/>
      <c r="F470" s="28">
        <v>28</v>
      </c>
      <c r="G470" s="28" t="s">
        <v>143</v>
      </c>
      <c r="H470" s="28">
        <v>0</v>
      </c>
      <c r="J470" s="28"/>
    </row>
    <row r="471" spans="1:10" ht="15.75" customHeight="1">
      <c r="A471" s="28">
        <v>16337</v>
      </c>
      <c r="B471" s="91">
        <v>44834.491608796292</v>
      </c>
      <c r="C471" s="28" t="s">
        <v>10</v>
      </c>
      <c r="D471" s="28" t="s">
        <v>1313</v>
      </c>
      <c r="E471" s="28"/>
      <c r="F471" s="28">
        <v>0</v>
      </c>
      <c r="G471" s="28" t="s">
        <v>139</v>
      </c>
      <c r="H471" s="28">
        <v>0</v>
      </c>
      <c r="J471" s="28"/>
    </row>
    <row r="472" spans="1:10" ht="15.75" customHeight="1">
      <c r="A472" s="28">
        <v>16337</v>
      </c>
      <c r="B472" s="91">
        <v>44834.491608796292</v>
      </c>
      <c r="C472" s="28" t="s">
        <v>10</v>
      </c>
      <c r="D472" s="28" t="s">
        <v>1313</v>
      </c>
      <c r="E472" s="28"/>
      <c r="F472" s="28">
        <v>25</v>
      </c>
      <c r="G472" s="28" t="s">
        <v>118</v>
      </c>
      <c r="H472" s="28">
        <v>0</v>
      </c>
      <c r="J472" s="28"/>
    </row>
    <row r="473" spans="1:10" ht="15.75" customHeight="1">
      <c r="A473" s="28">
        <v>16339</v>
      </c>
      <c r="B473" s="91">
        <v>44835.343414351853</v>
      </c>
      <c r="C473" s="28" t="s">
        <v>10</v>
      </c>
      <c r="D473" s="28" t="s">
        <v>1312</v>
      </c>
      <c r="E473" s="28"/>
      <c r="F473" s="28">
        <v>0</v>
      </c>
      <c r="G473" s="28" t="s">
        <v>139</v>
      </c>
      <c r="H473" s="28">
        <v>0</v>
      </c>
      <c r="J473" s="28"/>
    </row>
    <row r="474" spans="1:10" ht="15.75" customHeight="1">
      <c r="A474" s="28">
        <v>16339</v>
      </c>
      <c r="B474" s="91">
        <v>44835.343414351853</v>
      </c>
      <c r="C474" s="28" t="s">
        <v>10</v>
      </c>
      <c r="D474" s="28" t="s">
        <v>1312</v>
      </c>
      <c r="E474" s="28"/>
      <c r="F474" s="28">
        <v>15</v>
      </c>
      <c r="G474" s="28" t="s">
        <v>125</v>
      </c>
      <c r="H474" s="28">
        <v>0</v>
      </c>
      <c r="J474" s="28"/>
    </row>
    <row r="475" spans="1:10" ht="15.75" customHeight="1">
      <c r="A475" s="28">
        <v>16340</v>
      </c>
      <c r="B475" s="91">
        <v>44837.593136574069</v>
      </c>
      <c r="C475" s="28" t="s">
        <v>10</v>
      </c>
      <c r="D475" s="28" t="s">
        <v>1252</v>
      </c>
      <c r="E475" s="28"/>
      <c r="F475" s="28">
        <v>28</v>
      </c>
      <c r="G475" s="28" t="s">
        <v>143</v>
      </c>
      <c r="H475" s="28">
        <v>0</v>
      </c>
      <c r="J475" s="28"/>
    </row>
    <row r="476" spans="1:10" ht="15.75" customHeight="1">
      <c r="A476" s="28">
        <v>16341</v>
      </c>
      <c r="B476" s="91">
        <v>44839.766770833332</v>
      </c>
      <c r="C476" s="28" t="s">
        <v>10</v>
      </c>
      <c r="D476" s="28" t="s">
        <v>1311</v>
      </c>
      <c r="E476" s="28"/>
      <c r="F476" s="28">
        <v>25</v>
      </c>
      <c r="G476" s="28">
        <v>100692</v>
      </c>
      <c r="H476" s="28">
        <v>0</v>
      </c>
      <c r="J476" s="28"/>
    </row>
    <row r="477" spans="1:10" ht="15.75" customHeight="1">
      <c r="A477" s="28">
        <v>16341</v>
      </c>
      <c r="B477" s="91">
        <v>44839.766770833332</v>
      </c>
      <c r="C477" s="28" t="s">
        <v>10</v>
      </c>
      <c r="D477" s="28" t="s">
        <v>1311</v>
      </c>
      <c r="E477" s="28"/>
      <c r="F477" s="28">
        <v>0</v>
      </c>
      <c r="G477" s="28" t="s">
        <v>125</v>
      </c>
      <c r="H477" s="28">
        <v>0</v>
      </c>
      <c r="J477" s="28"/>
    </row>
    <row r="478" spans="1:10" ht="15.75" customHeight="1">
      <c r="A478" s="28">
        <v>16341</v>
      </c>
      <c r="B478" s="91">
        <v>44839.766770833332</v>
      </c>
      <c r="C478" s="28" t="s">
        <v>10</v>
      </c>
      <c r="D478" s="28" t="s">
        <v>1311</v>
      </c>
      <c r="E478" s="28"/>
      <c r="F478" s="28">
        <v>0</v>
      </c>
      <c r="G478" s="28" t="s">
        <v>119</v>
      </c>
      <c r="H478" s="28">
        <v>0</v>
      </c>
      <c r="J478" s="28"/>
    </row>
    <row r="479" spans="1:10" ht="15.75" customHeight="1">
      <c r="A479" s="28">
        <v>16342</v>
      </c>
      <c r="B479" s="91">
        <v>44840.964224537034</v>
      </c>
      <c r="C479" s="28" t="s">
        <v>10</v>
      </c>
      <c r="D479" s="28" t="s">
        <v>1310</v>
      </c>
      <c r="E479" s="28"/>
      <c r="F479" s="28">
        <v>50</v>
      </c>
      <c r="G479" s="28" t="s">
        <v>297</v>
      </c>
      <c r="H479" s="28">
        <v>0</v>
      </c>
      <c r="J479" s="28"/>
    </row>
    <row r="480" spans="1:10" ht="15.75" customHeight="1">
      <c r="A480" s="28">
        <v>16342</v>
      </c>
      <c r="B480" s="91">
        <v>44840.964224537034</v>
      </c>
      <c r="C480" s="28" t="s">
        <v>10</v>
      </c>
      <c r="D480" s="28" t="s">
        <v>1310</v>
      </c>
      <c r="E480" s="28"/>
      <c r="F480" s="28">
        <v>35</v>
      </c>
      <c r="G480" s="28" t="s">
        <v>124</v>
      </c>
      <c r="H480" s="28">
        <v>0</v>
      </c>
      <c r="J480" s="28"/>
    </row>
    <row r="481" spans="1:10" ht="15.75" customHeight="1">
      <c r="A481" s="28">
        <v>16342</v>
      </c>
      <c r="B481" s="91">
        <v>44840.964224537034</v>
      </c>
      <c r="C481" s="28" t="s">
        <v>10</v>
      </c>
      <c r="D481" s="28" t="s">
        <v>1310</v>
      </c>
      <c r="E481" s="28"/>
      <c r="F481" s="28">
        <v>0</v>
      </c>
      <c r="G481" s="28" t="s">
        <v>125</v>
      </c>
      <c r="H481" s="28">
        <v>0</v>
      </c>
      <c r="J481" s="28"/>
    </row>
    <row r="482" spans="1:10" ht="15.75" customHeight="1">
      <c r="A482" s="28">
        <v>16342</v>
      </c>
      <c r="B482" s="91">
        <v>44840.964224537034</v>
      </c>
      <c r="C482" s="28" t="s">
        <v>10</v>
      </c>
      <c r="D482" s="28" t="s">
        <v>1310</v>
      </c>
      <c r="E482" s="28"/>
      <c r="F482" s="28">
        <v>0</v>
      </c>
      <c r="G482" s="28" t="s">
        <v>121</v>
      </c>
      <c r="H482" s="28">
        <v>0</v>
      </c>
      <c r="J482" s="28"/>
    </row>
    <row r="483" spans="1:10" ht="15.75" customHeight="1">
      <c r="A483" s="28">
        <v>16342</v>
      </c>
      <c r="B483" s="91">
        <v>44840.964224537034</v>
      </c>
      <c r="C483" s="28" t="s">
        <v>10</v>
      </c>
      <c r="D483" s="28" t="s">
        <v>1310</v>
      </c>
      <c r="E483" s="28"/>
      <c r="F483" s="28">
        <v>0</v>
      </c>
      <c r="G483" s="28" t="s">
        <v>139</v>
      </c>
      <c r="H483" s="28">
        <v>0</v>
      </c>
      <c r="J483" s="28"/>
    </row>
    <row r="484" spans="1:10" ht="15.75" customHeight="1">
      <c r="A484" s="28">
        <v>16343</v>
      </c>
      <c r="B484" s="91">
        <v>44840.964490740742</v>
      </c>
      <c r="C484" s="28" t="s">
        <v>10</v>
      </c>
      <c r="D484" s="28" t="s">
        <v>1309</v>
      </c>
      <c r="E484" s="28"/>
      <c r="F484" s="28">
        <v>55</v>
      </c>
      <c r="G484" s="28">
        <v>101684</v>
      </c>
      <c r="H484" s="28">
        <v>0</v>
      </c>
      <c r="J484" s="28"/>
    </row>
    <row r="485" spans="1:10" ht="15.75" customHeight="1">
      <c r="A485" s="28">
        <v>16343</v>
      </c>
      <c r="B485" s="91">
        <v>44840.964490740742</v>
      </c>
      <c r="C485" s="28" t="s">
        <v>10</v>
      </c>
      <c r="D485" s="28" t="s">
        <v>1309</v>
      </c>
      <c r="E485" s="28"/>
      <c r="F485" s="28">
        <v>0</v>
      </c>
      <c r="G485" s="28" t="s">
        <v>118</v>
      </c>
      <c r="H485" s="28">
        <v>0</v>
      </c>
      <c r="J485" s="28"/>
    </row>
    <row r="486" spans="1:10" ht="15.75" customHeight="1">
      <c r="A486" s="28">
        <v>16343</v>
      </c>
      <c r="B486" s="91">
        <v>44840.964490740742</v>
      </c>
      <c r="C486" s="28" t="s">
        <v>10</v>
      </c>
      <c r="D486" s="28" t="s">
        <v>1309</v>
      </c>
      <c r="E486" s="28"/>
      <c r="F486" s="28">
        <v>0</v>
      </c>
      <c r="G486" s="28" t="s">
        <v>119</v>
      </c>
      <c r="H486" s="28">
        <v>0</v>
      </c>
      <c r="J486" s="28"/>
    </row>
    <row r="487" spans="1:10" ht="15.75" customHeight="1">
      <c r="A487" s="28">
        <v>16343</v>
      </c>
      <c r="B487" s="91">
        <v>44840.964490740742</v>
      </c>
      <c r="C487" s="28" t="s">
        <v>10</v>
      </c>
      <c r="D487" s="28" t="s">
        <v>1309</v>
      </c>
      <c r="E487" s="28"/>
      <c r="F487" s="28">
        <v>0</v>
      </c>
      <c r="G487" s="28" t="s">
        <v>120</v>
      </c>
      <c r="H487" s="28">
        <v>0</v>
      </c>
      <c r="J487" s="28"/>
    </row>
    <row r="488" spans="1:10" ht="15.75" customHeight="1">
      <c r="A488" s="28">
        <v>16343</v>
      </c>
      <c r="B488" s="91">
        <v>44840.964490740742</v>
      </c>
      <c r="C488" s="28" t="s">
        <v>10</v>
      </c>
      <c r="D488" s="28" t="s">
        <v>1309</v>
      </c>
      <c r="E488" s="28"/>
      <c r="F488" s="28">
        <v>0</v>
      </c>
      <c r="G488" s="28" t="s">
        <v>121</v>
      </c>
      <c r="H488" s="28">
        <v>0</v>
      </c>
      <c r="J488" s="28"/>
    </row>
    <row r="489" spans="1:10" ht="15.75" customHeight="1">
      <c r="A489" s="28">
        <v>16344</v>
      </c>
      <c r="B489" s="91">
        <v>44840.965787037036</v>
      </c>
      <c r="C489" s="28" t="s">
        <v>10</v>
      </c>
      <c r="D489" s="28" t="s">
        <v>1308</v>
      </c>
      <c r="E489" s="28"/>
      <c r="F489" s="28">
        <v>35</v>
      </c>
      <c r="G489" s="28" t="s">
        <v>124</v>
      </c>
      <c r="H489" s="28">
        <v>0</v>
      </c>
      <c r="J489" s="28"/>
    </row>
    <row r="490" spans="1:10" ht="15.75" customHeight="1">
      <c r="A490" s="28">
        <v>16344</v>
      </c>
      <c r="B490" s="91">
        <v>44840.965787037036</v>
      </c>
      <c r="C490" s="28" t="s">
        <v>10</v>
      </c>
      <c r="D490" s="28" t="s">
        <v>1308</v>
      </c>
      <c r="E490" s="28"/>
      <c r="F490" s="28">
        <v>0</v>
      </c>
      <c r="G490" s="28" t="s">
        <v>125</v>
      </c>
      <c r="H490" s="28">
        <v>0</v>
      </c>
      <c r="J490" s="28"/>
    </row>
    <row r="491" spans="1:10" ht="15.75" customHeight="1">
      <c r="A491" s="28">
        <v>16344</v>
      </c>
      <c r="B491" s="91">
        <v>44840.965787037036</v>
      </c>
      <c r="C491" s="28" t="s">
        <v>10</v>
      </c>
      <c r="D491" s="28" t="s">
        <v>1308</v>
      </c>
      <c r="E491" s="28"/>
      <c r="F491" s="28">
        <v>0</v>
      </c>
      <c r="G491" s="28" t="s">
        <v>121</v>
      </c>
      <c r="H491" s="28">
        <v>0</v>
      </c>
      <c r="J491" s="28"/>
    </row>
    <row r="492" spans="1:10" ht="15.75" customHeight="1">
      <c r="A492" s="28">
        <v>16344</v>
      </c>
      <c r="B492" s="91">
        <v>44840.965787037036</v>
      </c>
      <c r="C492" s="28" t="s">
        <v>10</v>
      </c>
      <c r="D492" s="28" t="s">
        <v>1308</v>
      </c>
      <c r="E492" s="28"/>
      <c r="F492" s="28">
        <v>0</v>
      </c>
      <c r="G492" s="28" t="s">
        <v>139</v>
      </c>
      <c r="H492" s="28">
        <v>0</v>
      </c>
      <c r="J492" s="28"/>
    </row>
    <row r="493" spans="1:10" ht="15.75" customHeight="1">
      <c r="A493" s="28">
        <v>16346</v>
      </c>
      <c r="B493" s="91">
        <v>44844.096562499995</v>
      </c>
      <c r="C493" s="28" t="s">
        <v>10</v>
      </c>
      <c r="D493" s="28" t="s">
        <v>1307</v>
      </c>
      <c r="E493" s="28"/>
      <c r="F493" s="28">
        <v>25</v>
      </c>
      <c r="G493" s="28">
        <v>100692</v>
      </c>
      <c r="H493" s="28">
        <v>0</v>
      </c>
      <c r="J493" s="28"/>
    </row>
    <row r="494" spans="1:10" ht="15.75" customHeight="1">
      <c r="A494" s="28">
        <v>16346</v>
      </c>
      <c r="B494" s="91">
        <v>44844.096562499995</v>
      </c>
      <c r="C494" s="28" t="s">
        <v>10</v>
      </c>
      <c r="D494" s="28" t="s">
        <v>1307</v>
      </c>
      <c r="E494" s="28"/>
      <c r="F494" s="28">
        <v>0</v>
      </c>
      <c r="G494" s="28" t="s">
        <v>125</v>
      </c>
      <c r="H494" s="28">
        <v>0</v>
      </c>
      <c r="J494" s="28"/>
    </row>
    <row r="495" spans="1:10" ht="15.75" customHeight="1">
      <c r="A495" s="28">
        <v>16346</v>
      </c>
      <c r="B495" s="91">
        <v>44844.096562499995</v>
      </c>
      <c r="C495" s="28" t="s">
        <v>10</v>
      </c>
      <c r="D495" s="28" t="s">
        <v>1307</v>
      </c>
      <c r="E495" s="28"/>
      <c r="F495" s="28">
        <v>0</v>
      </c>
      <c r="G495" s="28" t="s">
        <v>119</v>
      </c>
      <c r="H495" s="28">
        <v>0</v>
      </c>
      <c r="J495" s="28"/>
    </row>
    <row r="496" spans="1:10" ht="15.75" customHeight="1">
      <c r="A496" s="28">
        <v>16346</v>
      </c>
      <c r="B496" s="91">
        <v>44844.096562499995</v>
      </c>
      <c r="C496" s="28" t="s">
        <v>10</v>
      </c>
      <c r="D496" s="28" t="s">
        <v>1307</v>
      </c>
      <c r="E496" s="28"/>
      <c r="F496" s="28">
        <v>15</v>
      </c>
      <c r="G496" s="28" t="s">
        <v>170</v>
      </c>
      <c r="H496" s="28">
        <v>0</v>
      </c>
      <c r="J496" s="28"/>
    </row>
    <row r="497" spans="1:10" ht="15.75" customHeight="1">
      <c r="A497" s="28">
        <v>16347</v>
      </c>
      <c r="B497" s="91">
        <v>44844.855486111112</v>
      </c>
      <c r="C497" s="28" t="s">
        <v>10</v>
      </c>
      <c r="D497" s="28" t="s">
        <v>1306</v>
      </c>
      <c r="E497" s="28"/>
      <c r="F497" s="28">
        <v>0</v>
      </c>
      <c r="G497" s="28" t="s">
        <v>139</v>
      </c>
      <c r="H497" s="28">
        <v>0</v>
      </c>
      <c r="J497" s="28"/>
    </row>
    <row r="498" spans="1:10" ht="15.75" customHeight="1">
      <c r="A498" s="28">
        <v>16347</v>
      </c>
      <c r="B498" s="91">
        <v>44844.855486111112</v>
      </c>
      <c r="C498" s="28" t="s">
        <v>10</v>
      </c>
      <c r="D498" s="28" t="s">
        <v>1306</v>
      </c>
      <c r="E498" s="28"/>
      <c r="F498" s="28">
        <v>25</v>
      </c>
      <c r="G498" s="28">
        <v>100692</v>
      </c>
      <c r="H498" s="28">
        <v>0</v>
      </c>
      <c r="J498" s="28"/>
    </row>
    <row r="499" spans="1:10" ht="15.75" customHeight="1">
      <c r="A499" s="28">
        <v>16347</v>
      </c>
      <c r="B499" s="91">
        <v>44844.855486111112</v>
      </c>
      <c r="C499" s="28" t="s">
        <v>10</v>
      </c>
      <c r="D499" s="28" t="s">
        <v>1306</v>
      </c>
      <c r="E499" s="28"/>
      <c r="F499" s="28">
        <v>0</v>
      </c>
      <c r="G499" s="28" t="s">
        <v>125</v>
      </c>
      <c r="H499" s="28">
        <v>0</v>
      </c>
      <c r="J499" s="28"/>
    </row>
    <row r="500" spans="1:10" ht="15.75" customHeight="1">
      <c r="A500" s="28">
        <v>16347</v>
      </c>
      <c r="B500" s="91">
        <v>44844.855486111112</v>
      </c>
      <c r="C500" s="28" t="s">
        <v>10</v>
      </c>
      <c r="D500" s="28" t="s">
        <v>1306</v>
      </c>
      <c r="E500" s="28"/>
      <c r="F500" s="28">
        <v>0</v>
      </c>
      <c r="G500" s="28" t="s">
        <v>119</v>
      </c>
      <c r="H500" s="28">
        <v>0</v>
      </c>
      <c r="J500" s="28"/>
    </row>
    <row r="501" spans="1:10" ht="15.75" customHeight="1">
      <c r="A501" s="28">
        <v>16348</v>
      </c>
      <c r="B501" s="91">
        <v>44844.920347222222</v>
      </c>
      <c r="C501" s="28" t="s">
        <v>10</v>
      </c>
      <c r="D501" s="28" t="s">
        <v>1305</v>
      </c>
      <c r="E501" s="28"/>
      <c r="F501" s="28">
        <v>25</v>
      </c>
      <c r="G501" s="28">
        <v>100692</v>
      </c>
      <c r="H501" s="28">
        <v>0</v>
      </c>
      <c r="J501" s="28"/>
    </row>
    <row r="502" spans="1:10" ht="15.75" customHeight="1">
      <c r="A502" s="28">
        <v>16348</v>
      </c>
      <c r="B502" s="91">
        <v>44844.920347222222</v>
      </c>
      <c r="C502" s="28" t="s">
        <v>10</v>
      </c>
      <c r="D502" s="28" t="s">
        <v>1305</v>
      </c>
      <c r="E502" s="28"/>
      <c r="F502" s="28">
        <v>0</v>
      </c>
      <c r="G502" s="28" t="s">
        <v>125</v>
      </c>
      <c r="H502" s="28">
        <v>0</v>
      </c>
      <c r="J502" s="28"/>
    </row>
    <row r="503" spans="1:10" ht="15.75" customHeight="1">
      <c r="A503" s="28">
        <v>16348</v>
      </c>
      <c r="B503" s="91">
        <v>44844.920347222222</v>
      </c>
      <c r="C503" s="28" t="s">
        <v>10</v>
      </c>
      <c r="D503" s="28" t="s">
        <v>1305</v>
      </c>
      <c r="E503" s="28"/>
      <c r="F503" s="28">
        <v>0</v>
      </c>
      <c r="G503" s="28" t="s">
        <v>119</v>
      </c>
      <c r="H503" s="28">
        <v>0</v>
      </c>
      <c r="J503" s="28"/>
    </row>
    <row r="504" spans="1:10" ht="15.75" customHeight="1">
      <c r="A504" s="28">
        <v>16349</v>
      </c>
      <c r="B504" s="91">
        <v>44845.026053240741</v>
      </c>
      <c r="C504" s="28" t="s">
        <v>10</v>
      </c>
      <c r="D504" s="28" t="s">
        <v>1304</v>
      </c>
      <c r="E504" s="28"/>
      <c r="F504" s="28">
        <v>25</v>
      </c>
      <c r="G504" s="28">
        <v>100692</v>
      </c>
      <c r="H504" s="28">
        <v>0</v>
      </c>
      <c r="J504" s="28"/>
    </row>
    <row r="505" spans="1:10" ht="15.75" customHeight="1">
      <c r="A505" s="28">
        <v>16349</v>
      </c>
      <c r="B505" s="91">
        <v>44845.026053240741</v>
      </c>
      <c r="C505" s="28" t="s">
        <v>10</v>
      </c>
      <c r="D505" s="28" t="s">
        <v>1304</v>
      </c>
      <c r="E505" s="28"/>
      <c r="F505" s="28">
        <v>0</v>
      </c>
      <c r="G505" s="28" t="s">
        <v>125</v>
      </c>
      <c r="H505" s="28">
        <v>0</v>
      </c>
      <c r="J505" s="28"/>
    </row>
    <row r="506" spans="1:10" ht="15.75" customHeight="1">
      <c r="A506" s="28">
        <v>16349</v>
      </c>
      <c r="B506" s="91">
        <v>44845.026053240741</v>
      </c>
      <c r="C506" s="28" t="s">
        <v>10</v>
      </c>
      <c r="D506" s="28" t="s">
        <v>1304</v>
      </c>
      <c r="E506" s="28"/>
      <c r="F506" s="28">
        <v>0</v>
      </c>
      <c r="G506" s="28" t="s">
        <v>119</v>
      </c>
      <c r="H506" s="28">
        <v>0</v>
      </c>
      <c r="J506" s="28"/>
    </row>
    <row r="507" spans="1:10" ht="15.75" customHeight="1">
      <c r="A507" s="28">
        <v>16351</v>
      </c>
      <c r="B507" s="91">
        <v>44846.101666666669</v>
      </c>
      <c r="C507" s="28" t="s">
        <v>10</v>
      </c>
      <c r="D507" s="28" t="s">
        <v>1303</v>
      </c>
      <c r="E507" s="28"/>
      <c r="F507" s="28">
        <v>18</v>
      </c>
      <c r="G507" s="28" t="s">
        <v>457</v>
      </c>
      <c r="H507" s="28">
        <v>0</v>
      </c>
      <c r="J507" s="28"/>
    </row>
    <row r="508" spans="1:10" ht="15.75" customHeight="1">
      <c r="A508" s="28">
        <v>16351</v>
      </c>
      <c r="B508" s="91">
        <v>44846.101666666669</v>
      </c>
      <c r="C508" s="28" t="s">
        <v>10</v>
      </c>
      <c r="D508" s="28" t="s">
        <v>1303</v>
      </c>
      <c r="E508" s="28"/>
      <c r="F508" s="28">
        <v>30</v>
      </c>
      <c r="G508" s="28" t="s">
        <v>128</v>
      </c>
      <c r="H508" s="28">
        <v>0</v>
      </c>
      <c r="J508" s="28"/>
    </row>
    <row r="509" spans="1:10" ht="15.75" customHeight="1">
      <c r="A509" s="28">
        <v>16351</v>
      </c>
      <c r="B509" s="91">
        <v>44846.101666666669</v>
      </c>
      <c r="C509" s="28" t="s">
        <v>10</v>
      </c>
      <c r="D509" s="28" t="s">
        <v>1303</v>
      </c>
      <c r="E509" s="28"/>
      <c r="F509" s="28">
        <v>0</v>
      </c>
      <c r="G509" s="28" t="s">
        <v>125</v>
      </c>
      <c r="H509" s="28">
        <v>0</v>
      </c>
      <c r="J509" s="28"/>
    </row>
    <row r="510" spans="1:10" ht="15.75" customHeight="1">
      <c r="A510" s="28">
        <v>16351</v>
      </c>
      <c r="B510" s="91">
        <v>44846.101666666669</v>
      </c>
      <c r="C510" s="28" t="s">
        <v>10</v>
      </c>
      <c r="D510" s="28" t="s">
        <v>1303</v>
      </c>
      <c r="E510" s="28"/>
      <c r="F510" s="28">
        <v>0</v>
      </c>
      <c r="G510" s="28" t="s">
        <v>119</v>
      </c>
      <c r="H510" s="28">
        <v>0</v>
      </c>
      <c r="J510" s="28"/>
    </row>
    <row r="511" spans="1:10" ht="15.75" customHeight="1">
      <c r="A511" s="28">
        <v>16351</v>
      </c>
      <c r="B511" s="91">
        <v>44846.101666666669</v>
      </c>
      <c r="C511" s="28" t="s">
        <v>10</v>
      </c>
      <c r="D511" s="28" t="s">
        <v>1303</v>
      </c>
      <c r="E511" s="28"/>
      <c r="F511" s="28">
        <v>10</v>
      </c>
      <c r="G511" s="28" t="s">
        <v>334</v>
      </c>
      <c r="H511" s="28">
        <v>0</v>
      </c>
      <c r="J511" s="28"/>
    </row>
    <row r="512" spans="1:10" ht="15.75" customHeight="1">
      <c r="A512" s="28">
        <v>16352</v>
      </c>
      <c r="B512" s="91">
        <v>44846.104664351849</v>
      </c>
      <c r="C512" s="28" t="s">
        <v>10</v>
      </c>
      <c r="D512" s="28" t="s">
        <v>867</v>
      </c>
      <c r="E512" s="28"/>
      <c r="F512" s="28">
        <v>25</v>
      </c>
      <c r="G512" s="28">
        <v>100692</v>
      </c>
      <c r="H512" s="28">
        <v>0</v>
      </c>
      <c r="J512" s="28"/>
    </row>
    <row r="513" spans="1:10" ht="15.75" customHeight="1">
      <c r="A513" s="28">
        <v>16352</v>
      </c>
      <c r="B513" s="91">
        <v>44846.104664351849</v>
      </c>
      <c r="C513" s="28" t="s">
        <v>10</v>
      </c>
      <c r="D513" s="28" t="s">
        <v>867</v>
      </c>
      <c r="E513" s="28"/>
      <c r="F513" s="28">
        <v>0</v>
      </c>
      <c r="G513" s="28" t="s">
        <v>125</v>
      </c>
      <c r="H513" s="28">
        <v>0</v>
      </c>
      <c r="J513" s="28"/>
    </row>
    <row r="514" spans="1:10" ht="15.75" customHeight="1">
      <c r="A514" s="28">
        <v>16352</v>
      </c>
      <c r="B514" s="91">
        <v>44846.104664351849</v>
      </c>
      <c r="C514" s="28" t="s">
        <v>10</v>
      </c>
      <c r="D514" s="28" t="s">
        <v>867</v>
      </c>
      <c r="E514" s="28"/>
      <c r="F514" s="28">
        <v>0</v>
      </c>
      <c r="G514" s="28" t="s">
        <v>119</v>
      </c>
      <c r="H514" s="28">
        <v>0</v>
      </c>
      <c r="J514" s="28"/>
    </row>
    <row r="515" spans="1:10" ht="15.75" customHeight="1">
      <c r="A515" s="28">
        <v>16352</v>
      </c>
      <c r="B515" s="91">
        <v>44846.104664351849</v>
      </c>
      <c r="C515" s="28" t="s">
        <v>10</v>
      </c>
      <c r="D515" s="28" t="s">
        <v>867</v>
      </c>
      <c r="E515" s="28"/>
      <c r="F515" s="28">
        <v>20</v>
      </c>
      <c r="G515" s="28" t="s">
        <v>334</v>
      </c>
      <c r="H515" s="28">
        <v>0</v>
      </c>
      <c r="J515" s="28"/>
    </row>
    <row r="516" spans="1:10" ht="15.75" customHeight="1">
      <c r="A516" s="28">
        <v>16353</v>
      </c>
      <c r="B516" s="91">
        <v>44846.105983796297</v>
      </c>
      <c r="C516" s="28" t="s">
        <v>10</v>
      </c>
      <c r="D516" s="28" t="s">
        <v>1302</v>
      </c>
      <c r="E516" s="28"/>
      <c r="F516" s="28">
        <v>25</v>
      </c>
      <c r="G516" s="28">
        <v>100692</v>
      </c>
      <c r="H516" s="28">
        <v>0</v>
      </c>
      <c r="J516" s="28"/>
    </row>
    <row r="517" spans="1:10" ht="15.75" customHeight="1">
      <c r="A517" s="28">
        <v>16353</v>
      </c>
      <c r="B517" s="91">
        <v>44846.105983796297</v>
      </c>
      <c r="C517" s="28" t="s">
        <v>10</v>
      </c>
      <c r="D517" s="28" t="s">
        <v>1302</v>
      </c>
      <c r="E517" s="28"/>
      <c r="F517" s="28">
        <v>0</v>
      </c>
      <c r="G517" s="28" t="s">
        <v>125</v>
      </c>
      <c r="H517" s="28">
        <v>0</v>
      </c>
      <c r="J517" s="28"/>
    </row>
    <row r="518" spans="1:10" ht="15.75" customHeight="1">
      <c r="A518" s="28">
        <v>16353</v>
      </c>
      <c r="B518" s="91">
        <v>44846.105983796297</v>
      </c>
      <c r="C518" s="28" t="s">
        <v>10</v>
      </c>
      <c r="D518" s="28" t="s">
        <v>1302</v>
      </c>
      <c r="E518" s="28"/>
      <c r="F518" s="28">
        <v>0</v>
      </c>
      <c r="G518" s="28" t="s">
        <v>119</v>
      </c>
      <c r="H518" s="28">
        <v>0</v>
      </c>
      <c r="J518" s="28"/>
    </row>
    <row r="519" spans="1:10" ht="15.75" customHeight="1">
      <c r="A519" s="28">
        <v>16353</v>
      </c>
      <c r="B519" s="91">
        <v>44846.105983796297</v>
      </c>
      <c r="C519" s="28" t="s">
        <v>10</v>
      </c>
      <c r="D519" s="28" t="s">
        <v>1302</v>
      </c>
      <c r="E519" s="28"/>
      <c r="F519" s="28">
        <v>20</v>
      </c>
      <c r="G519" s="28" t="s">
        <v>334</v>
      </c>
      <c r="H519" s="28">
        <v>0</v>
      </c>
      <c r="J519" s="28"/>
    </row>
    <row r="520" spans="1:10" ht="15.75" customHeight="1">
      <c r="A520" s="28">
        <v>16354</v>
      </c>
      <c r="B520" s="91">
        <v>44846.554270833338</v>
      </c>
      <c r="C520" s="28" t="s">
        <v>10</v>
      </c>
      <c r="D520" s="28" t="s">
        <v>1301</v>
      </c>
      <c r="E520" s="28"/>
      <c r="F520" s="28">
        <v>0</v>
      </c>
      <c r="G520" s="28" t="s">
        <v>139</v>
      </c>
      <c r="H520" s="28">
        <v>0</v>
      </c>
      <c r="J520" s="28"/>
    </row>
    <row r="521" spans="1:10" ht="15.75" customHeight="1">
      <c r="A521" s="28">
        <v>16354</v>
      </c>
      <c r="B521" s="91">
        <v>44846.554270833338</v>
      </c>
      <c r="C521" s="28" t="s">
        <v>10</v>
      </c>
      <c r="D521" s="28" t="s">
        <v>1301</v>
      </c>
      <c r="E521" s="28"/>
      <c r="F521" s="28">
        <v>22</v>
      </c>
      <c r="G521" s="28" t="s">
        <v>137</v>
      </c>
      <c r="H521" s="28">
        <v>0</v>
      </c>
      <c r="J521" s="28"/>
    </row>
    <row r="522" spans="1:10" ht="15.75" customHeight="1">
      <c r="A522" s="28">
        <v>16359</v>
      </c>
      <c r="B522" s="91">
        <v>44848.588854166665</v>
      </c>
      <c r="C522" s="28" t="s">
        <v>10</v>
      </c>
      <c r="D522" s="28" t="s">
        <v>1300</v>
      </c>
      <c r="E522" s="28"/>
      <c r="F522" s="28">
        <v>20</v>
      </c>
      <c r="G522" s="28" t="s">
        <v>121</v>
      </c>
      <c r="H522" s="28">
        <v>0</v>
      </c>
      <c r="J522" s="28"/>
    </row>
    <row r="523" spans="1:10" ht="15.75" customHeight="1">
      <c r="A523" s="28">
        <v>16359</v>
      </c>
      <c r="B523" s="91">
        <v>44848.588854166665</v>
      </c>
      <c r="C523" s="28" t="s">
        <v>10</v>
      </c>
      <c r="D523" s="28" t="s">
        <v>1300</v>
      </c>
      <c r="E523" s="28"/>
      <c r="F523" s="28">
        <v>28</v>
      </c>
      <c r="G523" s="28" t="s">
        <v>143</v>
      </c>
      <c r="H523" s="28">
        <v>0</v>
      </c>
      <c r="J523" s="28"/>
    </row>
    <row r="524" spans="1:10" ht="15.75" customHeight="1">
      <c r="A524" s="28">
        <v>16359</v>
      </c>
      <c r="B524" s="91">
        <v>44848.588854166665</v>
      </c>
      <c r="C524" s="28" t="s">
        <v>10</v>
      </c>
      <c r="D524" s="28" t="s">
        <v>1300</v>
      </c>
      <c r="E524" s="28"/>
      <c r="F524" s="28">
        <v>0</v>
      </c>
      <c r="G524" s="28" t="s">
        <v>139</v>
      </c>
      <c r="H524" s="28">
        <v>0</v>
      </c>
      <c r="J524" s="28"/>
    </row>
    <row r="525" spans="1:10" ht="15.75" customHeight="1">
      <c r="A525" s="28">
        <v>16360</v>
      </c>
      <c r="B525" s="91">
        <v>44848.592222222222</v>
      </c>
      <c r="C525" s="28" t="s">
        <v>10</v>
      </c>
      <c r="D525" s="28" t="s">
        <v>1299</v>
      </c>
      <c r="E525" s="28"/>
      <c r="F525" s="28">
        <v>20</v>
      </c>
      <c r="G525" s="28" t="s">
        <v>121</v>
      </c>
      <c r="H525" s="28">
        <v>0</v>
      </c>
      <c r="J525" s="28"/>
    </row>
    <row r="526" spans="1:10" ht="15.75" customHeight="1">
      <c r="A526" s="28">
        <v>16360</v>
      </c>
      <c r="B526" s="91">
        <v>44848.592222222222</v>
      </c>
      <c r="C526" s="28" t="s">
        <v>10</v>
      </c>
      <c r="D526" s="28" t="s">
        <v>1299</v>
      </c>
      <c r="E526" s="28"/>
      <c r="F526" s="28">
        <v>28</v>
      </c>
      <c r="G526" s="28" t="s">
        <v>143</v>
      </c>
      <c r="H526" s="28">
        <v>0</v>
      </c>
      <c r="J526" s="28"/>
    </row>
    <row r="527" spans="1:10" ht="15.75" customHeight="1">
      <c r="A527" s="28">
        <v>16360</v>
      </c>
      <c r="B527" s="91">
        <v>44848.592222222222</v>
      </c>
      <c r="C527" s="28" t="s">
        <v>10</v>
      </c>
      <c r="D527" s="28" t="s">
        <v>1299</v>
      </c>
      <c r="E527" s="28"/>
      <c r="F527" s="28">
        <v>0</v>
      </c>
      <c r="G527" s="28" t="s">
        <v>139</v>
      </c>
      <c r="H527" s="28">
        <v>0</v>
      </c>
      <c r="J527" s="28"/>
    </row>
    <row r="528" spans="1:10" ht="15.75" customHeight="1">
      <c r="A528" s="28">
        <v>16361</v>
      </c>
      <c r="B528" s="91">
        <v>44850.523483796293</v>
      </c>
      <c r="C528" s="28" t="s">
        <v>10</v>
      </c>
      <c r="D528" s="28" t="s">
        <v>1298</v>
      </c>
      <c r="E528" s="28"/>
      <c r="F528" s="28">
        <v>15</v>
      </c>
      <c r="G528" s="28" t="s">
        <v>125</v>
      </c>
      <c r="H528" s="28">
        <v>0</v>
      </c>
      <c r="J528" s="28"/>
    </row>
    <row r="529" spans="1:10" ht="15.75" customHeight="1">
      <c r="A529" s="28">
        <v>16362</v>
      </c>
      <c r="B529" s="91">
        <v>44850.64230324074</v>
      </c>
      <c r="C529" s="28" t="s">
        <v>10</v>
      </c>
      <c r="D529" s="28" t="s">
        <v>1097</v>
      </c>
      <c r="E529" s="28"/>
      <c r="F529" s="28">
        <v>0</v>
      </c>
      <c r="G529" s="28">
        <v>101684</v>
      </c>
      <c r="H529" s="28">
        <v>0</v>
      </c>
      <c r="J529" s="28"/>
    </row>
    <row r="530" spans="1:10" ht="15.75" customHeight="1">
      <c r="A530" s="28">
        <v>16362</v>
      </c>
      <c r="B530" s="91">
        <v>44850.64230324074</v>
      </c>
      <c r="C530" s="28" t="s">
        <v>10</v>
      </c>
      <c r="D530" s="28" t="s">
        <v>1097</v>
      </c>
      <c r="E530" s="28"/>
      <c r="F530" s="28">
        <v>0</v>
      </c>
      <c r="G530" s="28" t="s">
        <v>118</v>
      </c>
      <c r="H530" s="28">
        <v>0</v>
      </c>
      <c r="J530" s="28"/>
    </row>
    <row r="531" spans="1:10" ht="15.75" customHeight="1">
      <c r="A531" s="28">
        <v>16362</v>
      </c>
      <c r="B531" s="91">
        <v>44850.64230324074</v>
      </c>
      <c r="C531" s="28" t="s">
        <v>10</v>
      </c>
      <c r="D531" s="28" t="s">
        <v>1097</v>
      </c>
      <c r="E531" s="28"/>
      <c r="F531" s="28">
        <v>0</v>
      </c>
      <c r="G531" s="28" t="s">
        <v>119</v>
      </c>
      <c r="H531" s="28">
        <v>0</v>
      </c>
      <c r="J531" s="28"/>
    </row>
    <row r="532" spans="1:10" ht="15.75" customHeight="1">
      <c r="A532" s="28">
        <v>16362</v>
      </c>
      <c r="B532" s="91">
        <v>44850.64230324074</v>
      </c>
      <c r="C532" s="28" t="s">
        <v>10</v>
      </c>
      <c r="D532" s="28" t="s">
        <v>1097</v>
      </c>
      <c r="E532" s="28"/>
      <c r="F532" s="28">
        <v>0</v>
      </c>
      <c r="G532" s="28" t="s">
        <v>120</v>
      </c>
      <c r="H532" s="28">
        <v>0</v>
      </c>
      <c r="J532" s="28"/>
    </row>
    <row r="533" spans="1:10" ht="15.75" customHeight="1">
      <c r="A533" s="28">
        <v>16362</v>
      </c>
      <c r="B533" s="91">
        <v>44850.64230324074</v>
      </c>
      <c r="C533" s="28" t="s">
        <v>10</v>
      </c>
      <c r="D533" s="28" t="s">
        <v>1097</v>
      </c>
      <c r="E533" s="28"/>
      <c r="F533" s="28">
        <v>0</v>
      </c>
      <c r="G533" s="28" t="s">
        <v>121</v>
      </c>
      <c r="H533" s="28">
        <v>0</v>
      </c>
      <c r="J533" s="28"/>
    </row>
    <row r="534" spans="1:10" ht="15.75" customHeight="1">
      <c r="A534" s="28">
        <v>16363</v>
      </c>
      <c r="B534" s="91">
        <v>44850.660682870366</v>
      </c>
      <c r="C534" s="28" t="s">
        <v>10</v>
      </c>
      <c r="D534" s="28" t="s">
        <v>1297</v>
      </c>
      <c r="E534" s="28"/>
      <c r="F534" s="28">
        <v>28</v>
      </c>
      <c r="G534" s="28" t="s">
        <v>143</v>
      </c>
      <c r="H534" s="28">
        <v>0</v>
      </c>
      <c r="J534" s="28"/>
    </row>
    <row r="535" spans="1:10" ht="15.75" customHeight="1">
      <c r="A535" s="28">
        <v>16364</v>
      </c>
      <c r="B535" s="91">
        <v>44851.519918981481</v>
      </c>
      <c r="C535" s="28" t="s">
        <v>10</v>
      </c>
      <c r="D535" s="28" t="s">
        <v>1295</v>
      </c>
      <c r="E535" s="28"/>
      <c r="F535" s="28">
        <v>48</v>
      </c>
      <c r="G535" s="28" t="s">
        <v>1296</v>
      </c>
      <c r="H535" s="28">
        <v>0</v>
      </c>
      <c r="J535" s="28"/>
    </row>
    <row r="536" spans="1:10" ht="15.75" customHeight="1">
      <c r="A536" s="28">
        <v>16364</v>
      </c>
      <c r="B536" s="91">
        <v>44851.519918981481</v>
      </c>
      <c r="C536" s="28" t="s">
        <v>10</v>
      </c>
      <c r="D536" s="28" t="s">
        <v>1295</v>
      </c>
      <c r="E536" s="28"/>
      <c r="F536" s="28">
        <v>0</v>
      </c>
      <c r="G536" s="28" t="s">
        <v>139</v>
      </c>
      <c r="H536" s="28">
        <v>0</v>
      </c>
      <c r="J536" s="28"/>
    </row>
    <row r="537" spans="1:10" ht="15.75" customHeight="1">
      <c r="A537" s="28">
        <v>16364</v>
      </c>
      <c r="B537" s="91">
        <v>44851.519918981481</v>
      </c>
      <c r="C537" s="28" t="s">
        <v>10</v>
      </c>
      <c r="D537" s="28" t="s">
        <v>1295</v>
      </c>
      <c r="E537" s="28"/>
      <c r="F537" s="28">
        <v>55</v>
      </c>
      <c r="G537" s="28">
        <v>101684</v>
      </c>
      <c r="H537" s="28">
        <v>0</v>
      </c>
      <c r="J537" s="28"/>
    </row>
    <row r="538" spans="1:10" ht="15.75" customHeight="1">
      <c r="A538" s="28">
        <v>16364</v>
      </c>
      <c r="B538" s="91">
        <v>44851.519918981481</v>
      </c>
      <c r="C538" s="28" t="s">
        <v>10</v>
      </c>
      <c r="D538" s="28" t="s">
        <v>1295</v>
      </c>
      <c r="E538" s="28"/>
      <c r="F538" s="28">
        <v>0</v>
      </c>
      <c r="G538" s="28" t="s">
        <v>118</v>
      </c>
      <c r="H538" s="28">
        <v>0</v>
      </c>
      <c r="J538" s="28"/>
    </row>
    <row r="539" spans="1:10" ht="15.75" customHeight="1">
      <c r="A539" s="28">
        <v>16364</v>
      </c>
      <c r="B539" s="91">
        <v>44851.519918981481</v>
      </c>
      <c r="C539" s="28" t="s">
        <v>10</v>
      </c>
      <c r="D539" s="28" t="s">
        <v>1295</v>
      </c>
      <c r="E539" s="28"/>
      <c r="F539" s="28">
        <v>0</v>
      </c>
      <c r="G539" s="28" t="s">
        <v>119</v>
      </c>
      <c r="H539" s="28">
        <v>0</v>
      </c>
      <c r="J539" s="28"/>
    </row>
    <row r="540" spans="1:10" ht="15.75" customHeight="1">
      <c r="A540" s="28">
        <v>16364</v>
      </c>
      <c r="B540" s="91">
        <v>44851.519918981481</v>
      </c>
      <c r="C540" s="28" t="s">
        <v>10</v>
      </c>
      <c r="D540" s="28" t="s">
        <v>1295</v>
      </c>
      <c r="E540" s="28"/>
      <c r="F540" s="28">
        <v>0</v>
      </c>
      <c r="G540" s="28" t="s">
        <v>120</v>
      </c>
      <c r="H540" s="28">
        <v>0</v>
      </c>
      <c r="J540" s="28"/>
    </row>
    <row r="541" spans="1:10" ht="15.75" customHeight="1">
      <c r="A541" s="28">
        <v>16364</v>
      </c>
      <c r="B541" s="91">
        <v>44851.519918981481</v>
      </c>
      <c r="C541" s="28" t="s">
        <v>10</v>
      </c>
      <c r="D541" s="28" t="s">
        <v>1295</v>
      </c>
      <c r="E541" s="28"/>
      <c r="F541" s="28">
        <v>0</v>
      </c>
      <c r="G541" s="28" t="s">
        <v>121</v>
      </c>
      <c r="H541" s="28">
        <v>0</v>
      </c>
      <c r="J541" s="28"/>
    </row>
    <row r="542" spans="1:10" ht="15.75" customHeight="1">
      <c r="A542" s="28">
        <v>16366</v>
      </c>
      <c r="B542" s="91">
        <v>44854.984803240739</v>
      </c>
      <c r="C542" s="28" t="s">
        <v>10</v>
      </c>
      <c r="D542" s="28" t="s">
        <v>1294</v>
      </c>
      <c r="E542" s="28"/>
      <c r="F542" s="28">
        <v>55</v>
      </c>
      <c r="G542" s="28">
        <v>101684</v>
      </c>
      <c r="H542" s="28">
        <v>0</v>
      </c>
      <c r="J542" s="28"/>
    </row>
    <row r="543" spans="1:10" ht="15.75" customHeight="1">
      <c r="A543" s="28">
        <v>16366</v>
      </c>
      <c r="B543" s="91">
        <v>44854.984803240739</v>
      </c>
      <c r="C543" s="28" t="s">
        <v>10</v>
      </c>
      <c r="D543" s="28" t="s">
        <v>1294</v>
      </c>
      <c r="E543" s="28"/>
      <c r="F543" s="28">
        <v>0</v>
      </c>
      <c r="G543" s="28" t="s">
        <v>118</v>
      </c>
      <c r="H543" s="28">
        <v>0</v>
      </c>
      <c r="J543" s="28"/>
    </row>
    <row r="544" spans="1:10" ht="15.75" customHeight="1">
      <c r="A544" s="28">
        <v>16366</v>
      </c>
      <c r="B544" s="91">
        <v>44854.984803240739</v>
      </c>
      <c r="C544" s="28" t="s">
        <v>10</v>
      </c>
      <c r="D544" s="28" t="s">
        <v>1294</v>
      </c>
      <c r="E544" s="28"/>
      <c r="F544" s="28">
        <v>0</v>
      </c>
      <c r="G544" s="28" t="s">
        <v>119</v>
      </c>
      <c r="H544" s="28">
        <v>0</v>
      </c>
      <c r="J544" s="28"/>
    </row>
    <row r="545" spans="1:10" ht="15.75" customHeight="1">
      <c r="A545" s="28">
        <v>16366</v>
      </c>
      <c r="B545" s="91">
        <v>44854.984803240739</v>
      </c>
      <c r="C545" s="28" t="s">
        <v>10</v>
      </c>
      <c r="D545" s="28" t="s">
        <v>1294</v>
      </c>
      <c r="E545" s="28"/>
      <c r="F545" s="28">
        <v>0</v>
      </c>
      <c r="G545" s="28" t="s">
        <v>120</v>
      </c>
      <c r="H545" s="28">
        <v>0</v>
      </c>
      <c r="J545" s="28"/>
    </row>
    <row r="546" spans="1:10" ht="15.75" customHeight="1">
      <c r="A546" s="28">
        <v>16366</v>
      </c>
      <c r="B546" s="91">
        <v>44854.984803240739</v>
      </c>
      <c r="C546" s="28" t="s">
        <v>10</v>
      </c>
      <c r="D546" s="28" t="s">
        <v>1294</v>
      </c>
      <c r="E546" s="28"/>
      <c r="F546" s="28">
        <v>0</v>
      </c>
      <c r="G546" s="28" t="s">
        <v>121</v>
      </c>
      <c r="H546" s="28">
        <v>0</v>
      </c>
      <c r="J546" s="28"/>
    </row>
    <row r="547" spans="1:10" ht="15.75" customHeight="1">
      <c r="A547" s="28">
        <v>16367</v>
      </c>
      <c r="B547" s="91">
        <v>44857.508518518516</v>
      </c>
      <c r="C547" s="28" t="s">
        <v>10</v>
      </c>
      <c r="D547" s="28" t="s">
        <v>1293</v>
      </c>
      <c r="E547" s="28"/>
      <c r="F547" s="28">
        <v>55</v>
      </c>
      <c r="G547" s="28">
        <v>101684</v>
      </c>
      <c r="H547" s="28">
        <v>0</v>
      </c>
      <c r="J547" s="28"/>
    </row>
    <row r="548" spans="1:10" ht="15.75" customHeight="1">
      <c r="A548" s="28">
        <v>16367</v>
      </c>
      <c r="B548" s="91">
        <v>44857.508518518516</v>
      </c>
      <c r="C548" s="28" t="s">
        <v>10</v>
      </c>
      <c r="D548" s="28" t="s">
        <v>1293</v>
      </c>
      <c r="E548" s="28"/>
      <c r="F548" s="28">
        <v>0</v>
      </c>
      <c r="G548" s="28" t="s">
        <v>118</v>
      </c>
      <c r="H548" s="28">
        <v>0</v>
      </c>
      <c r="J548" s="28"/>
    </row>
    <row r="549" spans="1:10" ht="15.75" customHeight="1">
      <c r="A549" s="28">
        <v>16367</v>
      </c>
      <c r="B549" s="91">
        <v>44857.508518518516</v>
      </c>
      <c r="C549" s="28" t="s">
        <v>10</v>
      </c>
      <c r="D549" s="28" t="s">
        <v>1293</v>
      </c>
      <c r="E549" s="28"/>
      <c r="F549" s="28">
        <v>0</v>
      </c>
      <c r="G549" s="28" t="s">
        <v>119</v>
      </c>
      <c r="H549" s="28">
        <v>0</v>
      </c>
      <c r="J549" s="28"/>
    </row>
    <row r="550" spans="1:10" ht="15.75" customHeight="1">
      <c r="A550" s="28">
        <v>16367</v>
      </c>
      <c r="B550" s="91">
        <v>44857.508518518516</v>
      </c>
      <c r="C550" s="28" t="s">
        <v>10</v>
      </c>
      <c r="D550" s="28" t="s">
        <v>1293</v>
      </c>
      <c r="E550" s="28"/>
      <c r="F550" s="28">
        <v>0</v>
      </c>
      <c r="G550" s="28" t="s">
        <v>120</v>
      </c>
      <c r="H550" s="28">
        <v>0</v>
      </c>
      <c r="J550" s="28"/>
    </row>
    <row r="551" spans="1:10" ht="15.75" customHeight="1">
      <c r="A551" s="28">
        <v>16367</v>
      </c>
      <c r="B551" s="91">
        <v>44857.508518518516</v>
      </c>
      <c r="C551" s="28" t="s">
        <v>10</v>
      </c>
      <c r="D551" s="28" t="s">
        <v>1293</v>
      </c>
      <c r="E551" s="28"/>
      <c r="F551" s="28">
        <v>0</v>
      </c>
      <c r="G551" s="28" t="s">
        <v>121</v>
      </c>
      <c r="H551" s="28">
        <v>0</v>
      </c>
      <c r="J551" s="28"/>
    </row>
    <row r="552" spans="1:10" ht="15.75" customHeight="1">
      <c r="A552" s="28">
        <v>16368</v>
      </c>
      <c r="B552" s="91">
        <v>44858.653391203705</v>
      </c>
      <c r="C552" s="28" t="s">
        <v>10</v>
      </c>
      <c r="D552" s="28" t="s">
        <v>1292</v>
      </c>
      <c r="E552" s="28"/>
      <c r="F552" s="28">
        <v>25</v>
      </c>
      <c r="G552" s="28">
        <v>100692</v>
      </c>
      <c r="H552" s="28">
        <v>0</v>
      </c>
      <c r="J552" s="28"/>
    </row>
    <row r="553" spans="1:10" ht="15.75" customHeight="1">
      <c r="A553" s="28">
        <v>16368</v>
      </c>
      <c r="B553" s="91">
        <v>44858.653391203705</v>
      </c>
      <c r="C553" s="28" t="s">
        <v>10</v>
      </c>
      <c r="D553" s="28" t="s">
        <v>1292</v>
      </c>
      <c r="E553" s="28"/>
      <c r="F553" s="28">
        <v>0</v>
      </c>
      <c r="G553" s="28" t="s">
        <v>125</v>
      </c>
      <c r="H553" s="28">
        <v>0</v>
      </c>
      <c r="J553" s="28"/>
    </row>
    <row r="554" spans="1:10" ht="15.75" customHeight="1">
      <c r="A554" s="28">
        <v>16368</v>
      </c>
      <c r="B554" s="91">
        <v>44858.653391203705</v>
      </c>
      <c r="C554" s="28" t="s">
        <v>10</v>
      </c>
      <c r="D554" s="28" t="s">
        <v>1292</v>
      </c>
      <c r="E554" s="28"/>
      <c r="F554" s="28">
        <v>0</v>
      </c>
      <c r="G554" s="28" t="s">
        <v>119</v>
      </c>
      <c r="H554" s="28">
        <v>0</v>
      </c>
      <c r="J554" s="28"/>
    </row>
    <row r="555" spans="1:10" ht="15.75" customHeight="1">
      <c r="A555" s="28">
        <v>16368</v>
      </c>
      <c r="B555" s="91">
        <v>44858.653391203705</v>
      </c>
      <c r="C555" s="28" t="s">
        <v>10</v>
      </c>
      <c r="D555" s="28" t="s">
        <v>1292</v>
      </c>
      <c r="E555" s="28"/>
      <c r="F555" s="28">
        <v>10</v>
      </c>
      <c r="G555" s="28" t="s">
        <v>334</v>
      </c>
      <c r="H555" s="28">
        <v>0</v>
      </c>
      <c r="J555" s="28"/>
    </row>
    <row r="556" spans="1:10" ht="15.75" customHeight="1">
      <c r="A556" s="28">
        <v>16369</v>
      </c>
      <c r="B556" s="91">
        <v>44860.572083333333</v>
      </c>
      <c r="C556" s="28" t="s">
        <v>10</v>
      </c>
      <c r="D556" s="28" t="s">
        <v>1291</v>
      </c>
      <c r="E556" s="28"/>
      <c r="F556" s="28">
        <v>25</v>
      </c>
      <c r="G556" s="28" t="s">
        <v>120</v>
      </c>
      <c r="H556" s="28">
        <v>0</v>
      </c>
      <c r="J556" s="28"/>
    </row>
    <row r="557" spans="1:10" ht="15.75" customHeight="1">
      <c r="A557" s="28">
        <v>16370</v>
      </c>
      <c r="B557" s="91">
        <v>44860.575601851851</v>
      </c>
      <c r="C557" s="28" t="s">
        <v>10</v>
      </c>
      <c r="D557" s="28" t="s">
        <v>1290</v>
      </c>
      <c r="E557" s="28"/>
      <c r="F557" s="28">
        <v>25</v>
      </c>
      <c r="G557" s="28" t="s">
        <v>120</v>
      </c>
      <c r="H557" s="28">
        <v>0</v>
      </c>
      <c r="J557" s="28"/>
    </row>
    <row r="558" spans="1:10" ht="15.75" customHeight="1">
      <c r="A558" s="28">
        <v>16373</v>
      </c>
      <c r="B558" s="91">
        <v>44861.635914351849</v>
      </c>
      <c r="C558" s="28" t="s">
        <v>10</v>
      </c>
      <c r="D558" s="28" t="s">
        <v>1289</v>
      </c>
      <c r="E558" s="28"/>
      <c r="F558" s="28">
        <v>24</v>
      </c>
      <c r="G558" s="28" t="s">
        <v>122</v>
      </c>
      <c r="H558" s="28">
        <v>0</v>
      </c>
      <c r="J558" s="28"/>
    </row>
    <row r="559" spans="1:10" ht="15.75" customHeight="1">
      <c r="A559" s="28">
        <v>16374</v>
      </c>
      <c r="B559" s="91">
        <v>44861.666712962964</v>
      </c>
      <c r="C559" s="28" t="s">
        <v>10</v>
      </c>
      <c r="D559" s="28" t="s">
        <v>1288</v>
      </c>
      <c r="E559" s="28"/>
      <c r="F559" s="28">
        <v>28</v>
      </c>
      <c r="G559" s="28" t="s">
        <v>143</v>
      </c>
      <c r="H559" s="28">
        <v>0</v>
      </c>
      <c r="J559" s="28"/>
    </row>
    <row r="560" spans="1:10" ht="15.75" customHeight="1">
      <c r="A560" s="28">
        <v>16374</v>
      </c>
      <c r="B560" s="91">
        <v>44861.666712962964</v>
      </c>
      <c r="C560" s="28" t="s">
        <v>10</v>
      </c>
      <c r="D560" s="28" t="s">
        <v>1288</v>
      </c>
      <c r="E560" s="28"/>
      <c r="F560" s="28">
        <v>15</v>
      </c>
      <c r="G560" s="28" t="s">
        <v>125</v>
      </c>
      <c r="H560" s="28">
        <v>0</v>
      </c>
      <c r="J560" s="28"/>
    </row>
    <row r="561" spans="1:10" ht="15.75" customHeight="1">
      <c r="A561" s="28">
        <v>16374</v>
      </c>
      <c r="B561" s="91">
        <v>44861.666712962964</v>
      </c>
      <c r="C561" s="28" t="s">
        <v>10</v>
      </c>
      <c r="D561" s="28" t="s">
        <v>1288</v>
      </c>
      <c r="E561" s="28"/>
      <c r="F561" s="28">
        <v>15</v>
      </c>
      <c r="G561" s="28" t="s">
        <v>170</v>
      </c>
      <c r="H561" s="28">
        <v>0</v>
      </c>
      <c r="J561" s="28"/>
    </row>
    <row r="562" spans="1:10" ht="15.75" customHeight="1">
      <c r="A562" s="28">
        <v>16375</v>
      </c>
      <c r="B562" s="91">
        <v>44861.813333333332</v>
      </c>
      <c r="C562" s="28" t="s">
        <v>10</v>
      </c>
      <c r="D562" s="28" t="s">
        <v>1287</v>
      </c>
      <c r="E562" s="28"/>
      <c r="F562" s="28">
        <v>28</v>
      </c>
      <c r="G562" s="28" t="s">
        <v>143</v>
      </c>
      <c r="H562" s="28">
        <v>0</v>
      </c>
      <c r="J562" s="28"/>
    </row>
    <row r="563" spans="1:10" ht="15.75" customHeight="1">
      <c r="A563" s="28">
        <v>16376</v>
      </c>
      <c r="B563" s="91">
        <v>44861.856238425928</v>
      </c>
      <c r="C563" s="28" t="s">
        <v>10</v>
      </c>
      <c r="D563" s="28" t="s">
        <v>1286</v>
      </c>
      <c r="E563" s="28"/>
      <c r="F563" s="28">
        <v>55</v>
      </c>
      <c r="G563" s="28" t="s">
        <v>861</v>
      </c>
      <c r="H563" s="28">
        <v>0</v>
      </c>
      <c r="J563" s="28"/>
    </row>
    <row r="564" spans="1:10" ht="15.75" customHeight="1">
      <c r="A564" s="28">
        <v>16376</v>
      </c>
      <c r="B564" s="91">
        <v>44861.856238425928</v>
      </c>
      <c r="C564" s="28" t="s">
        <v>10</v>
      </c>
      <c r="D564" s="28" t="s">
        <v>1286</v>
      </c>
      <c r="E564" s="28"/>
      <c r="F564" s="28">
        <v>28</v>
      </c>
      <c r="G564" s="28" t="s">
        <v>143</v>
      </c>
      <c r="H564" s="28">
        <v>0</v>
      </c>
      <c r="J564" s="28"/>
    </row>
    <row r="565" spans="1:10" ht="15.75" customHeight="1">
      <c r="A565" s="28">
        <v>16377</v>
      </c>
      <c r="B565" s="91">
        <v>44861.859270833331</v>
      </c>
      <c r="C565" s="28" t="s">
        <v>18</v>
      </c>
      <c r="D565" s="28" t="s">
        <v>1285</v>
      </c>
      <c r="E565" s="28"/>
      <c r="F565" s="28">
        <v>25</v>
      </c>
      <c r="G565" s="28">
        <v>100692</v>
      </c>
      <c r="H565" s="28">
        <v>0</v>
      </c>
      <c r="J565" s="28"/>
    </row>
    <row r="566" spans="1:10" ht="15.75" customHeight="1">
      <c r="A566" s="28">
        <v>16377</v>
      </c>
      <c r="B566" s="91">
        <v>44861.859270833331</v>
      </c>
      <c r="C566" s="28" t="s">
        <v>18</v>
      </c>
      <c r="D566" s="28" t="s">
        <v>1285</v>
      </c>
      <c r="E566" s="28"/>
      <c r="F566" s="28">
        <v>0</v>
      </c>
      <c r="G566" s="28" t="s">
        <v>125</v>
      </c>
      <c r="H566" s="28">
        <v>0</v>
      </c>
      <c r="J566" s="28"/>
    </row>
    <row r="567" spans="1:10" ht="15.75" customHeight="1">
      <c r="A567" s="28">
        <v>16377</v>
      </c>
      <c r="B567" s="91">
        <v>44861.859270833331</v>
      </c>
      <c r="C567" s="28" t="s">
        <v>18</v>
      </c>
      <c r="D567" s="28" t="s">
        <v>1285</v>
      </c>
      <c r="E567" s="28"/>
      <c r="F567" s="28">
        <v>0</v>
      </c>
      <c r="G567" s="28" t="s">
        <v>119</v>
      </c>
      <c r="H567" s="28">
        <v>0</v>
      </c>
      <c r="J567" s="28"/>
    </row>
    <row r="568" spans="1:10" ht="15.75" customHeight="1">
      <c r="A568" s="28">
        <v>16378</v>
      </c>
      <c r="B568" s="91">
        <v>44861.883692129632</v>
      </c>
      <c r="C568" s="28" t="s">
        <v>10</v>
      </c>
      <c r="D568" s="28" t="s">
        <v>1094</v>
      </c>
      <c r="E568" s="28"/>
      <c r="F568" s="28">
        <v>15</v>
      </c>
      <c r="G568" s="28"/>
      <c r="H568" s="28">
        <v>0</v>
      </c>
      <c r="J568" s="28"/>
    </row>
    <row r="569" spans="1:10" ht="15.75" customHeight="1">
      <c r="A569" s="28">
        <v>16379</v>
      </c>
      <c r="B569" s="91">
        <v>44861.88890046296</v>
      </c>
      <c r="C569" s="28" t="s">
        <v>10</v>
      </c>
      <c r="D569" s="28" t="s">
        <v>1284</v>
      </c>
      <c r="E569" s="28"/>
      <c r="F569" s="28">
        <v>55</v>
      </c>
      <c r="G569" s="28">
        <v>101684</v>
      </c>
      <c r="H569" s="28">
        <v>0</v>
      </c>
      <c r="J569" s="28"/>
    </row>
    <row r="570" spans="1:10" ht="15.75" customHeight="1">
      <c r="A570" s="28">
        <v>16379</v>
      </c>
      <c r="B570" s="91">
        <v>44861.88890046296</v>
      </c>
      <c r="C570" s="28" t="s">
        <v>10</v>
      </c>
      <c r="D570" s="28" t="s">
        <v>1284</v>
      </c>
      <c r="E570" s="28"/>
      <c r="F570" s="28">
        <v>0</v>
      </c>
      <c r="G570" s="28" t="s">
        <v>118</v>
      </c>
      <c r="H570" s="28">
        <v>0</v>
      </c>
      <c r="J570" s="28"/>
    </row>
    <row r="571" spans="1:10" ht="15.75" customHeight="1">
      <c r="A571" s="28">
        <v>16379</v>
      </c>
      <c r="B571" s="91">
        <v>44861.88890046296</v>
      </c>
      <c r="C571" s="28" t="s">
        <v>10</v>
      </c>
      <c r="D571" s="28" t="s">
        <v>1284</v>
      </c>
      <c r="E571" s="28"/>
      <c r="F571" s="28">
        <v>0</v>
      </c>
      <c r="G571" s="28" t="s">
        <v>119</v>
      </c>
      <c r="H571" s="28">
        <v>0</v>
      </c>
      <c r="J571" s="28"/>
    </row>
    <row r="572" spans="1:10" ht="15.75" customHeight="1">
      <c r="A572" s="28">
        <v>16379</v>
      </c>
      <c r="B572" s="91">
        <v>44861.88890046296</v>
      </c>
      <c r="C572" s="28" t="s">
        <v>10</v>
      </c>
      <c r="D572" s="28" t="s">
        <v>1284</v>
      </c>
      <c r="E572" s="28"/>
      <c r="F572" s="28">
        <v>0</v>
      </c>
      <c r="G572" s="28" t="s">
        <v>120</v>
      </c>
      <c r="H572" s="28">
        <v>0</v>
      </c>
      <c r="J572" s="28"/>
    </row>
    <row r="573" spans="1:10" ht="15.75" customHeight="1">
      <c r="A573" s="28">
        <v>16379</v>
      </c>
      <c r="B573" s="91">
        <v>44861.88890046296</v>
      </c>
      <c r="C573" s="28" t="s">
        <v>10</v>
      </c>
      <c r="D573" s="28" t="s">
        <v>1284</v>
      </c>
      <c r="E573" s="28"/>
      <c r="F573" s="28">
        <v>0</v>
      </c>
      <c r="G573" s="28" t="s">
        <v>121</v>
      </c>
      <c r="H573" s="28">
        <v>0</v>
      </c>
      <c r="J573" s="28"/>
    </row>
    <row r="574" spans="1:10" ht="15.75" customHeight="1">
      <c r="A574" s="28">
        <v>16379</v>
      </c>
      <c r="B574" s="91">
        <v>44861.88890046296</v>
      </c>
      <c r="C574" s="28" t="s">
        <v>10</v>
      </c>
      <c r="D574" s="28" t="s">
        <v>1284</v>
      </c>
      <c r="E574" s="28"/>
      <c r="F574" s="28">
        <v>22</v>
      </c>
      <c r="G574" s="28" t="s">
        <v>137</v>
      </c>
      <c r="H574" s="28">
        <v>0</v>
      </c>
      <c r="J574" s="28"/>
    </row>
    <row r="575" spans="1:10" ht="15.75" customHeight="1">
      <c r="A575" s="28">
        <v>16380</v>
      </c>
      <c r="B575" s="91">
        <v>44861.926585648151</v>
      </c>
      <c r="C575" s="28" t="s">
        <v>10</v>
      </c>
      <c r="D575" s="28" t="s">
        <v>1283</v>
      </c>
      <c r="E575" s="28"/>
      <c r="F575" s="28">
        <v>25</v>
      </c>
      <c r="G575" s="28">
        <v>100692</v>
      </c>
      <c r="H575" s="28">
        <v>0</v>
      </c>
      <c r="J575" s="28"/>
    </row>
    <row r="576" spans="1:10" ht="15.75" customHeight="1">
      <c r="A576" s="28">
        <v>16380</v>
      </c>
      <c r="B576" s="91">
        <v>44861.926585648151</v>
      </c>
      <c r="C576" s="28" t="s">
        <v>10</v>
      </c>
      <c r="D576" s="28" t="s">
        <v>1283</v>
      </c>
      <c r="E576" s="28"/>
      <c r="F576" s="28">
        <v>0</v>
      </c>
      <c r="G576" s="28" t="s">
        <v>125</v>
      </c>
      <c r="H576" s="28">
        <v>0</v>
      </c>
      <c r="J576" s="28"/>
    </row>
    <row r="577" spans="1:10" ht="15.75" customHeight="1">
      <c r="A577" s="28">
        <v>16380</v>
      </c>
      <c r="B577" s="91">
        <v>44861.926585648151</v>
      </c>
      <c r="C577" s="28" t="s">
        <v>10</v>
      </c>
      <c r="D577" s="28" t="s">
        <v>1283</v>
      </c>
      <c r="E577" s="28"/>
      <c r="F577" s="28">
        <v>0</v>
      </c>
      <c r="G577" s="28" t="s">
        <v>119</v>
      </c>
      <c r="H577" s="28">
        <v>0</v>
      </c>
      <c r="J577" s="28"/>
    </row>
    <row r="578" spans="1:10" ht="15.75" customHeight="1">
      <c r="A578" s="28">
        <v>16380</v>
      </c>
      <c r="B578" s="91">
        <v>44861.926585648151</v>
      </c>
      <c r="C578" s="28" t="s">
        <v>10</v>
      </c>
      <c r="D578" s="28" t="s">
        <v>1283</v>
      </c>
      <c r="E578" s="28"/>
      <c r="F578" s="28">
        <v>35</v>
      </c>
      <c r="G578" s="28" t="s">
        <v>124</v>
      </c>
      <c r="H578" s="28">
        <v>0</v>
      </c>
      <c r="J578" s="28"/>
    </row>
    <row r="579" spans="1:10" ht="15.75" customHeight="1">
      <c r="A579" s="28">
        <v>16380</v>
      </c>
      <c r="B579" s="91">
        <v>44861.926585648151</v>
      </c>
      <c r="C579" s="28" t="s">
        <v>10</v>
      </c>
      <c r="D579" s="28" t="s">
        <v>1283</v>
      </c>
      <c r="E579" s="28"/>
      <c r="F579" s="28">
        <v>0</v>
      </c>
      <c r="G579" s="28" t="s">
        <v>125</v>
      </c>
      <c r="H579" s="28">
        <v>0</v>
      </c>
      <c r="J579" s="28"/>
    </row>
    <row r="580" spans="1:10" ht="15.75" customHeight="1">
      <c r="A580" s="28">
        <v>16380</v>
      </c>
      <c r="B580" s="91">
        <v>44861.926585648151</v>
      </c>
      <c r="C580" s="28" t="s">
        <v>10</v>
      </c>
      <c r="D580" s="28" t="s">
        <v>1283</v>
      </c>
      <c r="E580" s="28"/>
      <c r="F580" s="28">
        <v>0</v>
      </c>
      <c r="G580" s="28" t="s">
        <v>121</v>
      </c>
      <c r="H580" s="28">
        <v>0</v>
      </c>
      <c r="J580" s="28"/>
    </row>
    <row r="581" spans="1:10" ht="15.75" customHeight="1">
      <c r="A581" s="28">
        <v>16380</v>
      </c>
      <c r="B581" s="91">
        <v>44861.926585648151</v>
      </c>
      <c r="C581" s="28" t="s">
        <v>10</v>
      </c>
      <c r="D581" s="28" t="s">
        <v>1283</v>
      </c>
      <c r="E581" s="28"/>
      <c r="F581" s="28">
        <v>0</v>
      </c>
      <c r="G581" s="28" t="s">
        <v>139</v>
      </c>
      <c r="H581" s="28">
        <v>0</v>
      </c>
      <c r="J581" s="28"/>
    </row>
    <row r="582" spans="1:10" ht="15.75" customHeight="1">
      <c r="A582" s="28">
        <v>16381</v>
      </c>
      <c r="B582" s="91">
        <v>44861.932627314818</v>
      </c>
      <c r="C582" s="28" t="s">
        <v>10</v>
      </c>
      <c r="D582" s="28" t="s">
        <v>1282</v>
      </c>
      <c r="E582" s="28"/>
      <c r="F582" s="28">
        <v>25</v>
      </c>
      <c r="G582" s="28">
        <v>100692</v>
      </c>
      <c r="H582" s="28">
        <v>0</v>
      </c>
      <c r="J582" s="28"/>
    </row>
    <row r="583" spans="1:10" ht="15.75" customHeight="1">
      <c r="A583" s="28">
        <v>16381</v>
      </c>
      <c r="B583" s="91">
        <v>44861.932627314818</v>
      </c>
      <c r="C583" s="28" t="s">
        <v>10</v>
      </c>
      <c r="D583" s="28" t="s">
        <v>1282</v>
      </c>
      <c r="E583" s="28"/>
      <c r="F583" s="28">
        <v>0</v>
      </c>
      <c r="G583" s="28" t="s">
        <v>125</v>
      </c>
      <c r="H583" s="28">
        <v>0</v>
      </c>
      <c r="J583" s="28"/>
    </row>
    <row r="584" spans="1:10" ht="15.75" customHeight="1">
      <c r="A584" s="28">
        <v>16381</v>
      </c>
      <c r="B584" s="91">
        <v>44861.932627314818</v>
      </c>
      <c r="C584" s="28" t="s">
        <v>10</v>
      </c>
      <c r="D584" s="28" t="s">
        <v>1282</v>
      </c>
      <c r="E584" s="28"/>
      <c r="F584" s="28">
        <v>0</v>
      </c>
      <c r="G584" s="28" t="s">
        <v>119</v>
      </c>
      <c r="H584" s="28">
        <v>0</v>
      </c>
      <c r="J584" s="28"/>
    </row>
    <row r="585" spans="1:10" ht="15.75" customHeight="1">
      <c r="A585" s="28">
        <v>16382</v>
      </c>
      <c r="B585" s="91">
        <v>44861.963402777779</v>
      </c>
      <c r="C585" s="28" t="s">
        <v>10</v>
      </c>
      <c r="D585" s="28" t="s">
        <v>1281</v>
      </c>
      <c r="E585" s="28"/>
      <c r="F585" s="28">
        <v>15</v>
      </c>
      <c r="G585" s="28" t="s">
        <v>170</v>
      </c>
      <c r="H585" s="28">
        <v>0</v>
      </c>
      <c r="J585" s="28"/>
    </row>
    <row r="586" spans="1:10" ht="15.75" customHeight="1">
      <c r="A586" s="28">
        <v>16382</v>
      </c>
      <c r="B586" s="91">
        <v>44861.963402777779</v>
      </c>
      <c r="C586" s="28" t="s">
        <v>10</v>
      </c>
      <c r="D586" s="28" t="s">
        <v>1281</v>
      </c>
      <c r="E586" s="28"/>
      <c r="F586" s="28">
        <v>28</v>
      </c>
      <c r="G586" s="28" t="s">
        <v>143</v>
      </c>
      <c r="H586" s="28">
        <v>0</v>
      </c>
      <c r="J586" s="28"/>
    </row>
    <row r="587" spans="1:10" ht="15.75" customHeight="1">
      <c r="A587" s="28">
        <v>16382</v>
      </c>
      <c r="B587" s="91">
        <v>44861.963402777779</v>
      </c>
      <c r="C587" s="28" t="s">
        <v>10</v>
      </c>
      <c r="D587" s="28" t="s">
        <v>1281</v>
      </c>
      <c r="E587" s="28"/>
      <c r="F587" s="28">
        <v>0</v>
      </c>
      <c r="G587" s="28" t="s">
        <v>139</v>
      </c>
      <c r="H587" s="28">
        <v>0</v>
      </c>
      <c r="J587" s="28"/>
    </row>
    <row r="588" spans="1:10" ht="15.75" customHeight="1">
      <c r="A588" s="28">
        <v>16383</v>
      </c>
      <c r="B588" s="91">
        <v>44861.977303240739</v>
      </c>
      <c r="C588" s="28" t="s">
        <v>10</v>
      </c>
      <c r="D588" s="28" t="s">
        <v>1280</v>
      </c>
      <c r="E588" s="28"/>
      <c r="F588" s="28">
        <v>56</v>
      </c>
      <c r="G588" s="28" t="s">
        <v>143</v>
      </c>
      <c r="H588" s="28">
        <v>0</v>
      </c>
      <c r="J588" s="28"/>
    </row>
    <row r="589" spans="1:10" ht="15.75" customHeight="1">
      <c r="A589" s="28">
        <v>16383</v>
      </c>
      <c r="B589" s="91">
        <v>44861.977303240739</v>
      </c>
      <c r="C589" s="28" t="s">
        <v>10</v>
      </c>
      <c r="D589" s="28" t="s">
        <v>1280</v>
      </c>
      <c r="E589" s="28"/>
      <c r="F589" s="28">
        <v>0</v>
      </c>
      <c r="G589" s="28" t="s">
        <v>139</v>
      </c>
      <c r="H589" s="28">
        <v>0</v>
      </c>
      <c r="J589" s="28"/>
    </row>
    <row r="590" spans="1:10" ht="15.75" customHeight="1">
      <c r="A590" s="28">
        <v>16383</v>
      </c>
      <c r="B590" s="91">
        <v>44861.977303240739</v>
      </c>
      <c r="C590" s="28" t="s">
        <v>10</v>
      </c>
      <c r="D590" s="28" t="s">
        <v>1280</v>
      </c>
      <c r="E590" s="28"/>
      <c r="F590" s="28">
        <v>25</v>
      </c>
      <c r="G590" s="28" t="s">
        <v>120</v>
      </c>
      <c r="H590" s="28">
        <v>0</v>
      </c>
      <c r="J590" s="28"/>
    </row>
    <row r="591" spans="1:10" ht="15.75" customHeight="1">
      <c r="A591" s="28">
        <v>16384</v>
      </c>
      <c r="B591" s="91">
        <v>44862.025659722218</v>
      </c>
      <c r="C591" s="28" t="s">
        <v>10</v>
      </c>
      <c r="D591" s="28" t="s">
        <v>1279</v>
      </c>
      <c r="E591" s="28"/>
      <c r="F591" s="28">
        <v>18</v>
      </c>
      <c r="G591" s="28" t="s">
        <v>119</v>
      </c>
      <c r="H591" s="28">
        <v>0</v>
      </c>
      <c r="J591" s="28"/>
    </row>
    <row r="592" spans="1:10" ht="15.75" customHeight="1">
      <c r="A592" s="28">
        <v>16385</v>
      </c>
      <c r="B592" s="91">
        <v>44862.035601851851</v>
      </c>
      <c r="C592" s="28" t="s">
        <v>10</v>
      </c>
      <c r="D592" s="28" t="s">
        <v>1278</v>
      </c>
      <c r="E592" s="28"/>
      <c r="F592" s="28">
        <v>0</v>
      </c>
      <c r="G592" s="28" t="s">
        <v>139</v>
      </c>
      <c r="H592" s="28">
        <v>0</v>
      </c>
      <c r="J592" s="28"/>
    </row>
    <row r="593" spans="1:10" ht="15.75" customHeight="1">
      <c r="A593" s="28">
        <v>16385</v>
      </c>
      <c r="B593" s="91">
        <v>44862.035601851851</v>
      </c>
      <c r="C593" s="28" t="s">
        <v>10</v>
      </c>
      <c r="D593" s="28" t="s">
        <v>1278</v>
      </c>
      <c r="E593" s="28"/>
      <c r="F593" s="28">
        <v>55</v>
      </c>
      <c r="G593" s="28">
        <v>101684</v>
      </c>
      <c r="H593" s="28">
        <v>0</v>
      </c>
      <c r="J593" s="28"/>
    </row>
    <row r="594" spans="1:10" ht="15.75" customHeight="1">
      <c r="A594" s="28">
        <v>16385</v>
      </c>
      <c r="B594" s="91">
        <v>44862.035601851851</v>
      </c>
      <c r="C594" s="28" t="s">
        <v>10</v>
      </c>
      <c r="D594" s="28" t="s">
        <v>1278</v>
      </c>
      <c r="E594" s="28"/>
      <c r="F594" s="28">
        <v>0</v>
      </c>
      <c r="G594" s="28" t="s">
        <v>118</v>
      </c>
      <c r="H594" s="28">
        <v>0</v>
      </c>
      <c r="J594" s="28"/>
    </row>
    <row r="595" spans="1:10" ht="15.75" customHeight="1">
      <c r="A595" s="28">
        <v>16385</v>
      </c>
      <c r="B595" s="91">
        <v>44862.035601851851</v>
      </c>
      <c r="C595" s="28" t="s">
        <v>10</v>
      </c>
      <c r="D595" s="28" t="s">
        <v>1278</v>
      </c>
      <c r="E595" s="28"/>
      <c r="F595" s="28">
        <v>0</v>
      </c>
      <c r="G595" s="28" t="s">
        <v>119</v>
      </c>
      <c r="H595" s="28">
        <v>0</v>
      </c>
      <c r="J595" s="28"/>
    </row>
    <row r="596" spans="1:10" ht="15.75" customHeight="1">
      <c r="A596" s="28">
        <v>16385</v>
      </c>
      <c r="B596" s="91">
        <v>44862.035601851851</v>
      </c>
      <c r="C596" s="28" t="s">
        <v>10</v>
      </c>
      <c r="D596" s="28" t="s">
        <v>1278</v>
      </c>
      <c r="E596" s="28"/>
      <c r="F596" s="28">
        <v>0</v>
      </c>
      <c r="G596" s="28" t="s">
        <v>120</v>
      </c>
      <c r="H596" s="28">
        <v>0</v>
      </c>
      <c r="J596" s="28"/>
    </row>
    <row r="597" spans="1:10" ht="15.75" customHeight="1">
      <c r="A597" s="28">
        <v>16385</v>
      </c>
      <c r="B597" s="91">
        <v>44862.035601851851</v>
      </c>
      <c r="C597" s="28" t="s">
        <v>10</v>
      </c>
      <c r="D597" s="28" t="s">
        <v>1278</v>
      </c>
      <c r="E597" s="28"/>
      <c r="F597" s="28">
        <v>0</v>
      </c>
      <c r="G597" s="28" t="s">
        <v>121</v>
      </c>
      <c r="H597" s="28">
        <v>0</v>
      </c>
      <c r="J597" s="28"/>
    </row>
    <row r="598" spans="1:10" ht="15.75" customHeight="1">
      <c r="A598" s="28">
        <v>16386</v>
      </c>
      <c r="B598" s="91">
        <v>44863.098368055551</v>
      </c>
      <c r="C598" s="28" t="s">
        <v>10</v>
      </c>
      <c r="D598" s="28" t="s">
        <v>1269</v>
      </c>
      <c r="E598" s="28"/>
      <c r="F598" s="28">
        <v>22</v>
      </c>
      <c r="G598" s="28" t="s">
        <v>137</v>
      </c>
      <c r="H598" s="28">
        <v>0</v>
      </c>
      <c r="J598" s="28"/>
    </row>
    <row r="599" spans="1:10" ht="15.75" customHeight="1">
      <c r="A599" s="28">
        <v>16386</v>
      </c>
      <c r="B599" s="91">
        <v>44863.098368055551</v>
      </c>
      <c r="C599" s="28" t="s">
        <v>10</v>
      </c>
      <c r="D599" s="28" t="s">
        <v>1269</v>
      </c>
      <c r="E599" s="28"/>
      <c r="F599" s="28">
        <v>15</v>
      </c>
      <c r="G599" s="28"/>
      <c r="H599" s="28">
        <v>0</v>
      </c>
      <c r="J599" s="28"/>
    </row>
    <row r="600" spans="1:10" ht="15.75" customHeight="1">
      <c r="A600" s="28">
        <v>16387</v>
      </c>
      <c r="B600" s="91">
        <v>44863.60328703704</v>
      </c>
      <c r="C600" s="28" t="s">
        <v>10</v>
      </c>
      <c r="D600" s="28" t="s">
        <v>1277</v>
      </c>
      <c r="E600" s="28"/>
      <c r="F600" s="28">
        <v>0</v>
      </c>
      <c r="G600" s="28" t="s">
        <v>139</v>
      </c>
      <c r="H600" s="28">
        <v>0</v>
      </c>
      <c r="J600" s="28"/>
    </row>
    <row r="601" spans="1:10" ht="15.75" customHeight="1">
      <c r="A601" s="28">
        <v>16387</v>
      </c>
      <c r="B601" s="91">
        <v>44863.60328703704</v>
      </c>
      <c r="C601" s="28" t="s">
        <v>10</v>
      </c>
      <c r="D601" s="28" t="s">
        <v>1277</v>
      </c>
      <c r="E601" s="28"/>
      <c r="F601" s="28">
        <v>55</v>
      </c>
      <c r="G601" s="28">
        <v>101684</v>
      </c>
      <c r="H601" s="28">
        <v>0</v>
      </c>
      <c r="J601" s="28"/>
    </row>
    <row r="602" spans="1:10" ht="15.75" customHeight="1">
      <c r="A602" s="28">
        <v>16387</v>
      </c>
      <c r="B602" s="91">
        <v>44863.60328703704</v>
      </c>
      <c r="C602" s="28" t="s">
        <v>10</v>
      </c>
      <c r="D602" s="28" t="s">
        <v>1277</v>
      </c>
      <c r="E602" s="28"/>
      <c r="F602" s="28">
        <v>0</v>
      </c>
      <c r="G602" s="28" t="s">
        <v>118</v>
      </c>
      <c r="H602" s="28">
        <v>0</v>
      </c>
      <c r="J602" s="28"/>
    </row>
    <row r="603" spans="1:10" ht="15.75" customHeight="1">
      <c r="A603" s="28">
        <v>16387</v>
      </c>
      <c r="B603" s="91">
        <v>44863.60328703704</v>
      </c>
      <c r="C603" s="28" t="s">
        <v>10</v>
      </c>
      <c r="D603" s="28" t="s">
        <v>1277</v>
      </c>
      <c r="E603" s="28"/>
      <c r="F603" s="28">
        <v>0</v>
      </c>
      <c r="G603" s="28" t="s">
        <v>119</v>
      </c>
      <c r="H603" s="28">
        <v>0</v>
      </c>
      <c r="J603" s="28"/>
    </row>
    <row r="604" spans="1:10" ht="15.75" customHeight="1">
      <c r="A604" s="28">
        <v>16387</v>
      </c>
      <c r="B604" s="91">
        <v>44863.60328703704</v>
      </c>
      <c r="C604" s="28" t="s">
        <v>10</v>
      </c>
      <c r="D604" s="28" t="s">
        <v>1277</v>
      </c>
      <c r="E604" s="28"/>
      <c r="F604" s="28">
        <v>0</v>
      </c>
      <c r="G604" s="28" t="s">
        <v>120</v>
      </c>
      <c r="H604" s="28">
        <v>0</v>
      </c>
      <c r="J604" s="28"/>
    </row>
    <row r="605" spans="1:10" ht="15.75" customHeight="1">
      <c r="A605" s="28">
        <v>16387</v>
      </c>
      <c r="B605" s="91">
        <v>44863.60328703704</v>
      </c>
      <c r="C605" s="28" t="s">
        <v>10</v>
      </c>
      <c r="D605" s="28" t="s">
        <v>1277</v>
      </c>
      <c r="E605" s="28"/>
      <c r="F605" s="28">
        <v>0</v>
      </c>
      <c r="G605" s="28" t="s">
        <v>121</v>
      </c>
      <c r="H605" s="28">
        <v>0</v>
      </c>
      <c r="J605" s="28"/>
    </row>
    <row r="606" spans="1:10" ht="15.75" customHeight="1">
      <c r="A606" s="28">
        <v>16388</v>
      </c>
      <c r="B606" s="91">
        <v>44863.660740740743</v>
      </c>
      <c r="C606" s="28" t="s">
        <v>10</v>
      </c>
      <c r="D606" s="28" t="s">
        <v>1276</v>
      </c>
      <c r="E606" s="28"/>
      <c r="F606" s="28">
        <v>24</v>
      </c>
      <c r="G606" s="28" t="s">
        <v>122</v>
      </c>
      <c r="H606" s="28">
        <v>0</v>
      </c>
      <c r="J606" s="28"/>
    </row>
    <row r="607" spans="1:10" ht="15.75" customHeight="1">
      <c r="A607" s="28">
        <v>16390</v>
      </c>
      <c r="B607" s="91">
        <v>44864.684212962966</v>
      </c>
      <c r="C607" s="28" t="s">
        <v>10</v>
      </c>
      <c r="D607" s="28" t="s">
        <v>1275</v>
      </c>
      <c r="E607" s="28"/>
      <c r="F607" s="28">
        <v>15</v>
      </c>
      <c r="G607" s="28" t="s">
        <v>125</v>
      </c>
      <c r="H607" s="28">
        <v>0</v>
      </c>
      <c r="J607" s="28"/>
    </row>
    <row r="608" spans="1:10" ht="15.75" customHeight="1">
      <c r="A608" s="28">
        <v>16391</v>
      </c>
      <c r="B608" s="91">
        <v>44864.710821759261</v>
      </c>
      <c r="C608" s="28" t="s">
        <v>10</v>
      </c>
      <c r="D608" s="28" t="s">
        <v>1274</v>
      </c>
      <c r="E608" s="28"/>
      <c r="F608" s="28">
        <v>15</v>
      </c>
      <c r="G608" s="28" t="s">
        <v>125</v>
      </c>
      <c r="H608" s="28">
        <v>0</v>
      </c>
      <c r="J608" s="28"/>
    </row>
    <row r="609" spans="1:10" ht="15.75" customHeight="1">
      <c r="A609" s="28">
        <v>16392</v>
      </c>
      <c r="B609" s="91">
        <v>44864.809513888889</v>
      </c>
      <c r="C609" s="28" t="s">
        <v>10</v>
      </c>
      <c r="D609" s="28" t="s">
        <v>1273</v>
      </c>
      <c r="E609" s="28"/>
      <c r="F609" s="28">
        <v>25</v>
      </c>
      <c r="G609" s="28">
        <v>100692</v>
      </c>
      <c r="H609" s="28">
        <v>0</v>
      </c>
      <c r="J609" s="28"/>
    </row>
    <row r="610" spans="1:10" ht="15.75" customHeight="1">
      <c r="A610" s="28">
        <v>16392</v>
      </c>
      <c r="B610" s="91">
        <v>44864.809513888889</v>
      </c>
      <c r="C610" s="28" t="s">
        <v>10</v>
      </c>
      <c r="D610" s="28" t="s">
        <v>1273</v>
      </c>
      <c r="E610" s="28"/>
      <c r="F610" s="28">
        <v>0</v>
      </c>
      <c r="G610" s="28" t="s">
        <v>125</v>
      </c>
      <c r="H610" s="28">
        <v>0</v>
      </c>
      <c r="J610" s="28"/>
    </row>
    <row r="611" spans="1:10" ht="15.75" customHeight="1">
      <c r="A611" s="28">
        <v>16392</v>
      </c>
      <c r="B611" s="91">
        <v>44864.809513888889</v>
      </c>
      <c r="C611" s="28" t="s">
        <v>10</v>
      </c>
      <c r="D611" s="28" t="s">
        <v>1273</v>
      </c>
      <c r="E611" s="28"/>
      <c r="F611" s="28">
        <v>0</v>
      </c>
      <c r="G611" s="28" t="s">
        <v>119</v>
      </c>
      <c r="H611" s="28">
        <v>0</v>
      </c>
      <c r="J611" s="28"/>
    </row>
    <row r="612" spans="1:10" ht="15.75" customHeight="1">
      <c r="A612" s="28">
        <v>16392</v>
      </c>
      <c r="B612" s="91">
        <v>44864.809513888889</v>
      </c>
      <c r="C612" s="28" t="s">
        <v>10</v>
      </c>
      <c r="D612" s="28" t="s">
        <v>1273</v>
      </c>
      <c r="E612" s="28"/>
      <c r="F612" s="28">
        <v>22</v>
      </c>
      <c r="G612" s="28" t="s">
        <v>137</v>
      </c>
      <c r="H612" s="28">
        <v>0</v>
      </c>
      <c r="J612" s="28"/>
    </row>
    <row r="613" spans="1:10" ht="15.75" customHeight="1">
      <c r="A613" s="28">
        <v>16393</v>
      </c>
      <c r="B613" s="91">
        <v>44864.810543981483</v>
      </c>
      <c r="C613" s="28" t="s">
        <v>10</v>
      </c>
      <c r="D613" s="28" t="s">
        <v>1272</v>
      </c>
      <c r="E613" s="28"/>
      <c r="F613" s="28">
        <v>25</v>
      </c>
      <c r="G613" s="28">
        <v>100692</v>
      </c>
      <c r="H613" s="28">
        <v>0</v>
      </c>
      <c r="J613" s="28"/>
    </row>
    <row r="614" spans="1:10" ht="15.75" customHeight="1">
      <c r="A614" s="28">
        <v>16393</v>
      </c>
      <c r="B614" s="91">
        <v>44864.810543981483</v>
      </c>
      <c r="C614" s="28" t="s">
        <v>10</v>
      </c>
      <c r="D614" s="28" t="s">
        <v>1272</v>
      </c>
      <c r="E614" s="28"/>
      <c r="F614" s="28">
        <v>0</v>
      </c>
      <c r="G614" s="28" t="s">
        <v>125</v>
      </c>
      <c r="H614" s="28">
        <v>0</v>
      </c>
      <c r="J614" s="28"/>
    </row>
    <row r="615" spans="1:10" ht="15.75" customHeight="1">
      <c r="A615" s="28">
        <v>16393</v>
      </c>
      <c r="B615" s="91">
        <v>44864.810543981483</v>
      </c>
      <c r="C615" s="28" t="s">
        <v>10</v>
      </c>
      <c r="D615" s="28" t="s">
        <v>1272</v>
      </c>
      <c r="E615" s="28"/>
      <c r="F615" s="28">
        <v>0</v>
      </c>
      <c r="G615" s="28" t="s">
        <v>119</v>
      </c>
      <c r="H615" s="28">
        <v>0</v>
      </c>
      <c r="J615" s="28"/>
    </row>
    <row r="616" spans="1:10" ht="15.75" customHeight="1">
      <c r="A616" s="28">
        <v>16393</v>
      </c>
      <c r="B616" s="91">
        <v>44864.810543981483</v>
      </c>
      <c r="C616" s="28" t="s">
        <v>10</v>
      </c>
      <c r="D616" s="28" t="s">
        <v>1272</v>
      </c>
      <c r="E616" s="28"/>
      <c r="F616" s="28">
        <v>22</v>
      </c>
      <c r="G616" s="28" t="s">
        <v>137</v>
      </c>
      <c r="H616" s="28">
        <v>0</v>
      </c>
      <c r="J616" s="28"/>
    </row>
    <row r="617" spans="1:10" ht="15.75" customHeight="1">
      <c r="A617" s="28">
        <v>16394</v>
      </c>
      <c r="B617" s="91">
        <v>44864.833402777775</v>
      </c>
      <c r="C617" s="28" t="s">
        <v>10</v>
      </c>
      <c r="D617" s="28" t="s">
        <v>1271</v>
      </c>
      <c r="E617" s="28"/>
      <c r="F617" s="28">
        <v>55</v>
      </c>
      <c r="G617" s="28">
        <v>101684</v>
      </c>
      <c r="H617" s="28">
        <v>0</v>
      </c>
      <c r="J617" s="28"/>
    </row>
    <row r="618" spans="1:10" ht="15.75" customHeight="1">
      <c r="A618" s="28">
        <v>16394</v>
      </c>
      <c r="B618" s="91">
        <v>44864.833402777775</v>
      </c>
      <c r="C618" s="28" t="s">
        <v>10</v>
      </c>
      <c r="D618" s="28" t="s">
        <v>1271</v>
      </c>
      <c r="E618" s="28"/>
      <c r="F618" s="28">
        <v>0</v>
      </c>
      <c r="G618" s="28" t="s">
        <v>118</v>
      </c>
      <c r="H618" s="28">
        <v>0</v>
      </c>
      <c r="J618" s="28"/>
    </row>
    <row r="619" spans="1:10" ht="15.75" customHeight="1">
      <c r="A619" s="28">
        <v>16394</v>
      </c>
      <c r="B619" s="91">
        <v>44864.833402777775</v>
      </c>
      <c r="C619" s="28" t="s">
        <v>10</v>
      </c>
      <c r="D619" s="28" t="s">
        <v>1271</v>
      </c>
      <c r="E619" s="28"/>
      <c r="F619" s="28">
        <v>0</v>
      </c>
      <c r="G619" s="28" t="s">
        <v>119</v>
      </c>
      <c r="H619" s="28">
        <v>0</v>
      </c>
      <c r="J619" s="28"/>
    </row>
    <row r="620" spans="1:10" ht="15.75" customHeight="1">
      <c r="A620" s="28">
        <v>16394</v>
      </c>
      <c r="B620" s="91">
        <v>44864.833402777775</v>
      </c>
      <c r="C620" s="28" t="s">
        <v>10</v>
      </c>
      <c r="D620" s="28" t="s">
        <v>1271</v>
      </c>
      <c r="E620" s="28"/>
      <c r="F620" s="28">
        <v>0</v>
      </c>
      <c r="G620" s="28" t="s">
        <v>120</v>
      </c>
      <c r="H620" s="28">
        <v>0</v>
      </c>
      <c r="J620" s="28"/>
    </row>
    <row r="621" spans="1:10" ht="15.75" customHeight="1">
      <c r="A621" s="28">
        <v>16394</v>
      </c>
      <c r="B621" s="91">
        <v>44864.833402777775</v>
      </c>
      <c r="C621" s="28" t="s">
        <v>10</v>
      </c>
      <c r="D621" s="28" t="s">
        <v>1271</v>
      </c>
      <c r="E621" s="28"/>
      <c r="F621" s="28">
        <v>0</v>
      </c>
      <c r="G621" s="28" t="s">
        <v>121</v>
      </c>
      <c r="H621" s="28">
        <v>0</v>
      </c>
      <c r="J621" s="28"/>
    </row>
    <row r="622" spans="1:10" ht="15.75" customHeight="1">
      <c r="A622" s="28">
        <v>16395</v>
      </c>
      <c r="B622" s="91">
        <v>44864.898831018523</v>
      </c>
      <c r="C622" s="28" t="s">
        <v>10</v>
      </c>
      <c r="D622" s="28" t="s">
        <v>1270</v>
      </c>
      <c r="E622" s="28"/>
      <c r="F622" s="28">
        <v>18</v>
      </c>
      <c r="G622" s="28" t="s">
        <v>457</v>
      </c>
      <c r="H622" s="28">
        <v>0</v>
      </c>
      <c r="J622" s="28"/>
    </row>
    <row r="623" spans="1:10" ht="15.75" customHeight="1">
      <c r="A623" s="28">
        <v>16397</v>
      </c>
      <c r="B623" s="91">
        <v>44865.114629629628</v>
      </c>
      <c r="C623" s="28" t="s">
        <v>10</v>
      </c>
      <c r="D623" s="28" t="s">
        <v>1269</v>
      </c>
      <c r="E623" s="28"/>
      <c r="F623" s="28">
        <v>20</v>
      </c>
      <c r="G623" s="28" t="s">
        <v>121</v>
      </c>
      <c r="H623" s="28">
        <v>0</v>
      </c>
      <c r="J623" s="28"/>
    </row>
    <row r="624" spans="1:10" ht="15.75" customHeight="1">
      <c r="A624" s="28">
        <v>16397</v>
      </c>
      <c r="B624" s="91">
        <v>44865.114629629628</v>
      </c>
      <c r="C624" s="28" t="s">
        <v>10</v>
      </c>
      <c r="D624" s="28" t="s">
        <v>1269</v>
      </c>
      <c r="E624" s="28"/>
      <c r="F624" s="28">
        <v>15</v>
      </c>
      <c r="G624" s="28" t="s">
        <v>742</v>
      </c>
      <c r="H624" s="28">
        <v>0</v>
      </c>
      <c r="J624" s="28"/>
    </row>
    <row r="625" spans="1:10" ht="15.75" customHeight="1">
      <c r="A625" s="28">
        <v>16406</v>
      </c>
      <c r="B625" s="91">
        <v>44868.76262731482</v>
      </c>
      <c r="C625" s="28" t="s">
        <v>10</v>
      </c>
      <c r="D625" s="28" t="s">
        <v>1097</v>
      </c>
      <c r="E625" s="28" t="s">
        <v>1268</v>
      </c>
      <c r="F625" s="28">
        <v>0</v>
      </c>
      <c r="G625" s="28" t="s">
        <v>908</v>
      </c>
      <c r="H625" s="28">
        <v>0</v>
      </c>
      <c r="J625" s="28"/>
    </row>
    <row r="626" spans="1:10" ht="15.75" customHeight="1">
      <c r="A626" s="28">
        <v>16430</v>
      </c>
      <c r="B626" s="91">
        <v>44871.039884259255</v>
      </c>
      <c r="C626" s="28" t="s">
        <v>10</v>
      </c>
      <c r="D626" s="28" t="s">
        <v>1097</v>
      </c>
      <c r="E626" s="28" t="s">
        <v>93</v>
      </c>
      <c r="F626" s="28">
        <v>0</v>
      </c>
      <c r="G626" s="28" t="s">
        <v>334</v>
      </c>
      <c r="H626" s="28">
        <v>0</v>
      </c>
      <c r="J626" s="28"/>
    </row>
    <row r="627" spans="1:10" ht="15.75" customHeight="1">
      <c r="A627" s="28">
        <v>16430</v>
      </c>
      <c r="B627" s="91">
        <v>44871.039884259255</v>
      </c>
      <c r="C627" s="28" t="s">
        <v>10</v>
      </c>
      <c r="D627" s="28" t="s">
        <v>1097</v>
      </c>
      <c r="E627" s="28" t="s">
        <v>93</v>
      </c>
      <c r="F627" s="28">
        <v>0</v>
      </c>
      <c r="G627" s="28" t="s">
        <v>119</v>
      </c>
      <c r="H627" s="28">
        <v>0</v>
      </c>
      <c r="J627" s="28"/>
    </row>
    <row r="628" spans="1:10" ht="15.75" customHeight="1">
      <c r="A628" s="28">
        <v>16431</v>
      </c>
      <c r="B628" s="91">
        <v>44874.8909837963</v>
      </c>
      <c r="C628" s="28" t="s">
        <v>10</v>
      </c>
      <c r="D628" s="28" t="s">
        <v>1267</v>
      </c>
      <c r="E628" s="28" t="s">
        <v>92</v>
      </c>
      <c r="F628" s="28">
        <v>25</v>
      </c>
      <c r="G628" s="28" t="s">
        <v>1106</v>
      </c>
      <c r="H628" s="28">
        <v>0</v>
      </c>
      <c r="J628" s="28"/>
    </row>
    <row r="629" spans="1:10" ht="15.75" customHeight="1">
      <c r="A629" s="28">
        <v>16431</v>
      </c>
      <c r="B629" s="91">
        <v>44874.8909837963</v>
      </c>
      <c r="C629" s="28" t="s">
        <v>10</v>
      </c>
      <c r="D629" s="28" t="s">
        <v>1267</v>
      </c>
      <c r="E629" s="28" t="s">
        <v>92</v>
      </c>
      <c r="F629" s="28">
        <v>0</v>
      </c>
      <c r="G629" s="28" t="s">
        <v>884</v>
      </c>
      <c r="H629" s="28">
        <v>0</v>
      </c>
      <c r="J629" s="28"/>
    </row>
    <row r="630" spans="1:10" ht="15.75" customHeight="1">
      <c r="A630" s="28">
        <v>16431</v>
      </c>
      <c r="B630" s="91">
        <v>44874.8909837963</v>
      </c>
      <c r="C630" s="28" t="s">
        <v>10</v>
      </c>
      <c r="D630" s="28" t="s">
        <v>1267</v>
      </c>
      <c r="E630" s="28" t="s">
        <v>92</v>
      </c>
      <c r="F630" s="28">
        <v>0</v>
      </c>
      <c r="G630" s="28" t="s">
        <v>882</v>
      </c>
      <c r="H630" s="28">
        <v>0</v>
      </c>
      <c r="J630" s="28"/>
    </row>
    <row r="631" spans="1:10" ht="15.75" customHeight="1">
      <c r="A631" s="28">
        <v>16442</v>
      </c>
      <c r="B631" s="91">
        <v>44875.502824074079</v>
      </c>
      <c r="C631" s="28" t="s">
        <v>10</v>
      </c>
      <c r="D631" s="28" t="s">
        <v>1266</v>
      </c>
      <c r="E631" s="28" t="s">
        <v>92</v>
      </c>
      <c r="F631" s="28">
        <v>25</v>
      </c>
      <c r="G631" s="28" t="s">
        <v>1106</v>
      </c>
      <c r="H631" s="28">
        <v>0</v>
      </c>
      <c r="J631" s="28"/>
    </row>
    <row r="632" spans="1:10" ht="15.75" customHeight="1">
      <c r="A632" s="28">
        <v>16442</v>
      </c>
      <c r="B632" s="91">
        <v>44875.502824074079</v>
      </c>
      <c r="C632" s="28" t="s">
        <v>10</v>
      </c>
      <c r="D632" s="28" t="s">
        <v>1266</v>
      </c>
      <c r="E632" s="28" t="s">
        <v>92</v>
      </c>
      <c r="F632" s="28">
        <v>0</v>
      </c>
      <c r="G632" s="28" t="s">
        <v>884</v>
      </c>
      <c r="H632" s="28">
        <v>0</v>
      </c>
      <c r="J632" s="28"/>
    </row>
    <row r="633" spans="1:10" ht="15.75" customHeight="1">
      <c r="A633" s="28">
        <v>16442</v>
      </c>
      <c r="B633" s="91">
        <v>44875.502824074079</v>
      </c>
      <c r="C633" s="28" t="s">
        <v>10</v>
      </c>
      <c r="D633" s="28" t="s">
        <v>1266</v>
      </c>
      <c r="E633" s="28" t="s">
        <v>92</v>
      </c>
      <c r="F633" s="28">
        <v>0</v>
      </c>
      <c r="G633" s="28" t="s">
        <v>882</v>
      </c>
      <c r="H633" s="28">
        <v>0</v>
      </c>
      <c r="J633" s="28"/>
    </row>
    <row r="634" spans="1:10" ht="15.75" customHeight="1">
      <c r="A634" s="28">
        <v>16443</v>
      </c>
      <c r="B634" s="91">
        <v>44875.800659722227</v>
      </c>
      <c r="C634" s="28" t="s">
        <v>10</v>
      </c>
      <c r="D634" s="28" t="s">
        <v>1265</v>
      </c>
      <c r="E634" s="28" t="s">
        <v>92</v>
      </c>
      <c r="F634" s="28">
        <v>25</v>
      </c>
      <c r="G634" s="28" t="s">
        <v>1106</v>
      </c>
      <c r="H634" s="28">
        <v>0</v>
      </c>
      <c r="J634" s="28"/>
    </row>
    <row r="635" spans="1:10" ht="15.75" customHeight="1">
      <c r="A635" s="28">
        <v>16443</v>
      </c>
      <c r="B635" s="91">
        <v>44875.800659722227</v>
      </c>
      <c r="C635" s="28" t="s">
        <v>10</v>
      </c>
      <c r="D635" s="28" t="s">
        <v>1265</v>
      </c>
      <c r="E635" s="28" t="s">
        <v>92</v>
      </c>
      <c r="F635" s="28">
        <v>0</v>
      </c>
      <c r="G635" s="28" t="s">
        <v>884</v>
      </c>
      <c r="H635" s="28">
        <v>0</v>
      </c>
      <c r="J635" s="28"/>
    </row>
    <row r="636" spans="1:10" ht="15.75" customHeight="1">
      <c r="A636" s="28">
        <v>16443</v>
      </c>
      <c r="B636" s="91">
        <v>44875.800659722227</v>
      </c>
      <c r="C636" s="28" t="s">
        <v>10</v>
      </c>
      <c r="D636" s="28" t="s">
        <v>1265</v>
      </c>
      <c r="E636" s="28" t="s">
        <v>92</v>
      </c>
      <c r="F636" s="28">
        <v>0</v>
      </c>
      <c r="G636" s="28" t="s">
        <v>882</v>
      </c>
      <c r="H636" s="28">
        <v>0</v>
      </c>
      <c r="J636" s="28"/>
    </row>
    <row r="637" spans="1:10" ht="15.75" customHeight="1">
      <c r="A637" s="28">
        <v>16444</v>
      </c>
      <c r="B637" s="91">
        <v>44875.802395833336</v>
      </c>
      <c r="C637" s="28" t="s">
        <v>10</v>
      </c>
      <c r="D637" s="28" t="s">
        <v>1265</v>
      </c>
      <c r="E637" s="28" t="s">
        <v>92</v>
      </c>
      <c r="F637" s="28">
        <v>25</v>
      </c>
      <c r="G637" s="28">
        <v>100692</v>
      </c>
      <c r="H637" s="28">
        <v>0</v>
      </c>
      <c r="J637" s="28"/>
    </row>
    <row r="638" spans="1:10" ht="15.75" customHeight="1">
      <c r="A638" s="28">
        <v>16444</v>
      </c>
      <c r="B638" s="91">
        <v>44875.802395833336</v>
      </c>
      <c r="C638" s="28" t="s">
        <v>10</v>
      </c>
      <c r="D638" s="28" t="s">
        <v>1265</v>
      </c>
      <c r="E638" s="28" t="s">
        <v>92</v>
      </c>
      <c r="F638" s="28">
        <v>0</v>
      </c>
      <c r="G638" s="28" t="s">
        <v>125</v>
      </c>
      <c r="H638" s="28">
        <v>0</v>
      </c>
      <c r="J638" s="28"/>
    </row>
    <row r="639" spans="1:10" ht="15.75" customHeight="1">
      <c r="A639" s="28">
        <v>16444</v>
      </c>
      <c r="B639" s="91">
        <v>44875.802395833336</v>
      </c>
      <c r="C639" s="28" t="s">
        <v>10</v>
      </c>
      <c r="D639" s="28" t="s">
        <v>1265</v>
      </c>
      <c r="E639" s="28" t="s">
        <v>92</v>
      </c>
      <c r="F639" s="28">
        <v>0</v>
      </c>
      <c r="G639" s="28" t="s">
        <v>119</v>
      </c>
      <c r="H639" s="28">
        <v>0</v>
      </c>
      <c r="J639" s="28"/>
    </row>
    <row r="640" spans="1:10" ht="15.75" customHeight="1">
      <c r="A640" s="28">
        <v>16458</v>
      </c>
      <c r="B640" s="91">
        <v>44876.807546296295</v>
      </c>
      <c r="C640" s="28" t="s">
        <v>10</v>
      </c>
      <c r="D640" s="28" t="s">
        <v>1264</v>
      </c>
      <c r="E640" s="28" t="s">
        <v>92</v>
      </c>
      <c r="F640" s="28">
        <v>15</v>
      </c>
      <c r="G640" s="28" t="s">
        <v>170</v>
      </c>
      <c r="H640" s="28">
        <v>0</v>
      </c>
      <c r="J640" s="28"/>
    </row>
    <row r="641" spans="1:10" ht="15.75" customHeight="1">
      <c r="A641" s="28">
        <v>16458</v>
      </c>
      <c r="B641" s="91">
        <v>44876.807546296295</v>
      </c>
      <c r="C641" s="28" t="s">
        <v>10</v>
      </c>
      <c r="D641" s="28" t="s">
        <v>1264</v>
      </c>
      <c r="E641" s="28" t="s">
        <v>92</v>
      </c>
      <c r="F641" s="28">
        <v>25</v>
      </c>
      <c r="G641" s="28" t="s">
        <v>1106</v>
      </c>
      <c r="H641" s="28">
        <v>0</v>
      </c>
      <c r="J641" s="28"/>
    </row>
    <row r="642" spans="1:10" ht="15.75" customHeight="1">
      <c r="A642" s="28">
        <v>16458</v>
      </c>
      <c r="B642" s="91">
        <v>44876.807546296295</v>
      </c>
      <c r="C642" s="28" t="s">
        <v>10</v>
      </c>
      <c r="D642" s="28" t="s">
        <v>1264</v>
      </c>
      <c r="E642" s="28" t="s">
        <v>92</v>
      </c>
      <c r="F642" s="28">
        <v>0</v>
      </c>
      <c r="G642" s="28" t="s">
        <v>884</v>
      </c>
      <c r="H642" s="28">
        <v>0</v>
      </c>
      <c r="J642" s="28"/>
    </row>
    <row r="643" spans="1:10" ht="15.75" customHeight="1">
      <c r="A643" s="28">
        <v>16458</v>
      </c>
      <c r="B643" s="91">
        <v>44876.807546296295</v>
      </c>
      <c r="C643" s="28" t="s">
        <v>10</v>
      </c>
      <c r="D643" s="28" t="s">
        <v>1264</v>
      </c>
      <c r="E643" s="28" t="s">
        <v>92</v>
      </c>
      <c r="F643" s="28">
        <v>0</v>
      </c>
      <c r="G643" s="28" t="s">
        <v>882</v>
      </c>
      <c r="H643" s="28">
        <v>0</v>
      </c>
      <c r="J643" s="28"/>
    </row>
    <row r="644" spans="1:10" ht="15.75" customHeight="1">
      <c r="A644" s="28">
        <v>16534</v>
      </c>
      <c r="B644" s="91">
        <v>44877.270196759258</v>
      </c>
      <c r="C644" s="28" t="s">
        <v>10</v>
      </c>
      <c r="D644" s="28" t="s">
        <v>1263</v>
      </c>
      <c r="E644" s="28" t="s">
        <v>92</v>
      </c>
      <c r="F644" s="28">
        <v>25</v>
      </c>
      <c r="G644" s="28" t="s">
        <v>1106</v>
      </c>
      <c r="H644" s="28">
        <v>0</v>
      </c>
      <c r="J644" s="28"/>
    </row>
    <row r="645" spans="1:10" ht="15.75" customHeight="1">
      <c r="A645" s="28">
        <v>16534</v>
      </c>
      <c r="B645" s="91">
        <v>44877.270196759258</v>
      </c>
      <c r="C645" s="28" t="s">
        <v>10</v>
      </c>
      <c r="D645" s="28" t="s">
        <v>1263</v>
      </c>
      <c r="E645" s="28" t="s">
        <v>92</v>
      </c>
      <c r="F645" s="28">
        <v>0</v>
      </c>
      <c r="G645" s="28" t="s">
        <v>884</v>
      </c>
      <c r="H645" s="28">
        <v>0</v>
      </c>
      <c r="J645" s="28"/>
    </row>
    <row r="646" spans="1:10" ht="15.75" customHeight="1">
      <c r="A646" s="28">
        <v>16534</v>
      </c>
      <c r="B646" s="91">
        <v>44877.270196759258</v>
      </c>
      <c r="C646" s="28" t="s">
        <v>10</v>
      </c>
      <c r="D646" s="28" t="s">
        <v>1263</v>
      </c>
      <c r="E646" s="28" t="s">
        <v>92</v>
      </c>
      <c r="F646" s="28">
        <v>0</v>
      </c>
      <c r="G646" s="28" t="s">
        <v>882</v>
      </c>
      <c r="H646" s="28">
        <v>0</v>
      </c>
      <c r="J646" s="28"/>
    </row>
    <row r="647" spans="1:10" ht="15.75" customHeight="1">
      <c r="A647" s="28">
        <v>16535</v>
      </c>
      <c r="B647" s="91">
        <v>44877.644236111111</v>
      </c>
      <c r="C647" s="28" t="s">
        <v>10</v>
      </c>
      <c r="D647" s="28" t="s">
        <v>138</v>
      </c>
      <c r="E647" s="28" t="s">
        <v>92</v>
      </c>
      <c r="F647" s="28">
        <v>25</v>
      </c>
      <c r="G647" s="28" t="s">
        <v>1106</v>
      </c>
      <c r="H647" s="28">
        <v>0</v>
      </c>
      <c r="J647" s="28"/>
    </row>
    <row r="648" spans="1:10" ht="15.75" customHeight="1">
      <c r="A648" s="28">
        <v>16535</v>
      </c>
      <c r="B648" s="91">
        <v>44877.644236111111</v>
      </c>
      <c r="C648" s="28" t="s">
        <v>10</v>
      </c>
      <c r="D648" s="28" t="s">
        <v>138</v>
      </c>
      <c r="E648" s="28" t="s">
        <v>92</v>
      </c>
      <c r="F648" s="28">
        <v>0</v>
      </c>
      <c r="G648" s="28" t="s">
        <v>884</v>
      </c>
      <c r="H648" s="28">
        <v>0</v>
      </c>
      <c r="J648" s="28"/>
    </row>
    <row r="649" spans="1:10" ht="15.75" customHeight="1">
      <c r="A649" s="28">
        <v>16535</v>
      </c>
      <c r="B649" s="91">
        <v>44877.644236111111</v>
      </c>
      <c r="C649" s="28" t="s">
        <v>10</v>
      </c>
      <c r="D649" s="28" t="s">
        <v>138</v>
      </c>
      <c r="E649" s="28" t="s">
        <v>92</v>
      </c>
      <c r="F649" s="28">
        <v>0</v>
      </c>
      <c r="G649" s="28" t="s">
        <v>882</v>
      </c>
      <c r="H649" s="28">
        <v>0</v>
      </c>
      <c r="J649" s="28"/>
    </row>
    <row r="650" spans="1:10" ht="15.75" customHeight="1">
      <c r="A650" s="28">
        <v>16536</v>
      </c>
      <c r="B650" s="91">
        <v>44877.654212962967</v>
      </c>
      <c r="C650" s="28" t="s">
        <v>10</v>
      </c>
      <c r="D650" s="28" t="s">
        <v>131</v>
      </c>
      <c r="E650" s="28" t="s">
        <v>92</v>
      </c>
      <c r="F650" s="28">
        <v>25</v>
      </c>
      <c r="G650" s="28" t="s">
        <v>1106</v>
      </c>
      <c r="H650" s="28">
        <v>0</v>
      </c>
      <c r="J650" s="28"/>
    </row>
    <row r="651" spans="1:10" ht="15.75" customHeight="1">
      <c r="A651" s="28">
        <v>16536</v>
      </c>
      <c r="B651" s="91">
        <v>44877.654212962967</v>
      </c>
      <c r="C651" s="28" t="s">
        <v>10</v>
      </c>
      <c r="D651" s="28" t="s">
        <v>131</v>
      </c>
      <c r="E651" s="28" t="s">
        <v>92</v>
      </c>
      <c r="F651" s="28">
        <v>0</v>
      </c>
      <c r="G651" s="28" t="s">
        <v>884</v>
      </c>
      <c r="H651" s="28">
        <v>0</v>
      </c>
      <c r="J651" s="28"/>
    </row>
    <row r="652" spans="1:10" ht="15.75" customHeight="1">
      <c r="A652" s="28">
        <v>16536</v>
      </c>
      <c r="B652" s="91">
        <v>44877.654212962967</v>
      </c>
      <c r="C652" s="28" t="s">
        <v>10</v>
      </c>
      <c r="D652" s="28" t="s">
        <v>131</v>
      </c>
      <c r="E652" s="28" t="s">
        <v>92</v>
      </c>
      <c r="F652" s="28">
        <v>0</v>
      </c>
      <c r="G652" s="28" t="s">
        <v>882</v>
      </c>
      <c r="H652" s="28">
        <v>0</v>
      </c>
      <c r="J652" s="28"/>
    </row>
    <row r="653" spans="1:10" ht="15.75" customHeight="1">
      <c r="A653" s="28">
        <v>16536</v>
      </c>
      <c r="B653" s="91">
        <v>44877.654212962967</v>
      </c>
      <c r="C653" s="28" t="s">
        <v>10</v>
      </c>
      <c r="D653" s="28" t="s">
        <v>131</v>
      </c>
      <c r="E653" s="28" t="s">
        <v>92</v>
      </c>
      <c r="F653" s="28">
        <v>24</v>
      </c>
      <c r="G653" s="28" t="s">
        <v>122</v>
      </c>
      <c r="H653" s="28">
        <v>0</v>
      </c>
      <c r="J653" s="28"/>
    </row>
    <row r="654" spans="1:10" ht="15.75" customHeight="1">
      <c r="A654" s="28">
        <v>16537</v>
      </c>
      <c r="B654" s="91">
        <v>44877.734259259261</v>
      </c>
      <c r="C654" s="28" t="s">
        <v>10</v>
      </c>
      <c r="D654" s="28" t="s">
        <v>1262</v>
      </c>
      <c r="E654" s="28" t="s">
        <v>92</v>
      </c>
      <c r="F654" s="28">
        <v>24</v>
      </c>
      <c r="G654" s="28" t="s">
        <v>122</v>
      </c>
      <c r="H654" s="28">
        <v>0</v>
      </c>
      <c r="J654" s="28"/>
    </row>
    <row r="655" spans="1:10" ht="15.75" customHeight="1">
      <c r="A655" s="28">
        <v>16538</v>
      </c>
      <c r="B655" s="91">
        <v>44877.763958333337</v>
      </c>
      <c r="C655" s="28" t="s">
        <v>10</v>
      </c>
      <c r="D655" s="28" t="s">
        <v>1261</v>
      </c>
      <c r="E655" s="28" t="s">
        <v>92</v>
      </c>
      <c r="F655" s="28">
        <v>25</v>
      </c>
      <c r="G655" s="28" t="s">
        <v>1106</v>
      </c>
      <c r="H655" s="28">
        <v>0</v>
      </c>
      <c r="J655" s="28"/>
    </row>
    <row r="656" spans="1:10" ht="15.75" customHeight="1">
      <c r="A656" s="28">
        <v>16538</v>
      </c>
      <c r="B656" s="91">
        <v>44877.763958333337</v>
      </c>
      <c r="C656" s="28" t="s">
        <v>10</v>
      </c>
      <c r="D656" s="28" t="s">
        <v>1261</v>
      </c>
      <c r="E656" s="28" t="s">
        <v>92</v>
      </c>
      <c r="F656" s="28">
        <v>0</v>
      </c>
      <c r="G656" s="28" t="s">
        <v>884</v>
      </c>
      <c r="H656" s="28">
        <v>0</v>
      </c>
      <c r="J656" s="28"/>
    </row>
    <row r="657" spans="1:10" ht="15.75" customHeight="1">
      <c r="A657" s="28">
        <v>16538</v>
      </c>
      <c r="B657" s="91">
        <v>44877.763958333337</v>
      </c>
      <c r="C657" s="28" t="s">
        <v>10</v>
      </c>
      <c r="D657" s="28" t="s">
        <v>1261</v>
      </c>
      <c r="E657" s="28" t="s">
        <v>92</v>
      </c>
      <c r="F657" s="28">
        <v>0</v>
      </c>
      <c r="G657" s="28" t="s">
        <v>882</v>
      </c>
      <c r="H657" s="28">
        <v>0</v>
      </c>
      <c r="J657" s="28"/>
    </row>
    <row r="658" spans="1:10" ht="15.75" customHeight="1">
      <c r="A658" s="28">
        <v>16539</v>
      </c>
      <c r="B658" s="91">
        <v>44877.767118055555</v>
      </c>
      <c r="C658" s="28" t="s">
        <v>10</v>
      </c>
      <c r="D658" s="28" t="s">
        <v>1260</v>
      </c>
      <c r="E658" s="28" t="s">
        <v>92</v>
      </c>
      <c r="F658" s="28">
        <v>25</v>
      </c>
      <c r="G658" s="28" t="s">
        <v>1106</v>
      </c>
      <c r="H658" s="28">
        <v>0</v>
      </c>
      <c r="J658" s="28"/>
    </row>
    <row r="659" spans="1:10" ht="15.75" customHeight="1">
      <c r="A659" s="28">
        <v>16539</v>
      </c>
      <c r="B659" s="91">
        <v>44877.767118055555</v>
      </c>
      <c r="C659" s="28" t="s">
        <v>10</v>
      </c>
      <c r="D659" s="28" t="s">
        <v>1260</v>
      </c>
      <c r="E659" s="28" t="s">
        <v>92</v>
      </c>
      <c r="F659" s="28">
        <v>0</v>
      </c>
      <c r="G659" s="28" t="s">
        <v>884</v>
      </c>
      <c r="H659" s="28">
        <v>0</v>
      </c>
      <c r="J659" s="28"/>
    </row>
    <row r="660" spans="1:10" ht="15.75" customHeight="1">
      <c r="A660" s="28">
        <v>16539</v>
      </c>
      <c r="B660" s="91">
        <v>44877.767118055555</v>
      </c>
      <c r="C660" s="28" t="s">
        <v>10</v>
      </c>
      <c r="D660" s="28" t="s">
        <v>1260</v>
      </c>
      <c r="E660" s="28" t="s">
        <v>92</v>
      </c>
      <c r="F660" s="28">
        <v>0</v>
      </c>
      <c r="G660" s="28" t="s">
        <v>882</v>
      </c>
      <c r="H660" s="28">
        <v>0</v>
      </c>
      <c r="J660" s="28"/>
    </row>
    <row r="661" spans="1:10" ht="15.75" customHeight="1">
      <c r="A661" s="28">
        <v>16540</v>
      </c>
      <c r="B661" s="91">
        <v>44877.784085648149</v>
      </c>
      <c r="C661" s="28" t="s">
        <v>10</v>
      </c>
      <c r="D661" s="28" t="s">
        <v>1259</v>
      </c>
      <c r="E661" s="28" t="s">
        <v>92</v>
      </c>
      <c r="F661" s="28">
        <v>35</v>
      </c>
      <c r="G661" s="28" t="s">
        <v>124</v>
      </c>
      <c r="H661" s="28">
        <v>0</v>
      </c>
      <c r="J661" s="28"/>
    </row>
    <row r="662" spans="1:10" ht="15.75" customHeight="1">
      <c r="A662" s="28">
        <v>16540</v>
      </c>
      <c r="B662" s="91">
        <v>44877.784085648149</v>
      </c>
      <c r="C662" s="28" t="s">
        <v>10</v>
      </c>
      <c r="D662" s="28" t="s">
        <v>1259</v>
      </c>
      <c r="E662" s="28" t="s">
        <v>92</v>
      </c>
      <c r="F662" s="28">
        <v>0</v>
      </c>
      <c r="G662" s="28" t="s">
        <v>125</v>
      </c>
      <c r="H662" s="28">
        <v>0</v>
      </c>
      <c r="J662" s="28"/>
    </row>
    <row r="663" spans="1:10" ht="15.75" customHeight="1">
      <c r="A663" s="28">
        <v>16540</v>
      </c>
      <c r="B663" s="91">
        <v>44877.784085648149</v>
      </c>
      <c r="C663" s="28" t="s">
        <v>10</v>
      </c>
      <c r="D663" s="28" t="s">
        <v>1259</v>
      </c>
      <c r="E663" s="28" t="s">
        <v>92</v>
      </c>
      <c r="F663" s="28">
        <v>0</v>
      </c>
      <c r="G663" s="28" t="s">
        <v>121</v>
      </c>
      <c r="H663" s="28">
        <v>0</v>
      </c>
      <c r="J663" s="28"/>
    </row>
    <row r="664" spans="1:10" ht="15.75" customHeight="1">
      <c r="A664" s="28">
        <v>16540</v>
      </c>
      <c r="B664" s="91">
        <v>44877.784085648149</v>
      </c>
      <c r="C664" s="28" t="s">
        <v>10</v>
      </c>
      <c r="D664" s="28" t="s">
        <v>1259</v>
      </c>
      <c r="E664" s="28" t="s">
        <v>92</v>
      </c>
      <c r="F664" s="28">
        <v>0</v>
      </c>
      <c r="G664" s="28" t="s">
        <v>139</v>
      </c>
      <c r="H664" s="28">
        <v>0</v>
      </c>
      <c r="J664" s="28"/>
    </row>
    <row r="665" spans="1:10" ht="15.75" customHeight="1">
      <c r="A665" s="28">
        <v>16541</v>
      </c>
      <c r="B665" s="91">
        <v>44877.787175925929</v>
      </c>
      <c r="C665" s="28" t="s">
        <v>10</v>
      </c>
      <c r="D665" s="28" t="s">
        <v>1258</v>
      </c>
      <c r="E665" s="28" t="s">
        <v>92</v>
      </c>
      <c r="F665" s="28">
        <v>25</v>
      </c>
      <c r="G665" s="28" t="s">
        <v>1106</v>
      </c>
      <c r="H665" s="28">
        <v>0</v>
      </c>
      <c r="J665" s="28"/>
    </row>
    <row r="666" spans="1:10" ht="15.75" customHeight="1">
      <c r="A666" s="28">
        <v>16541</v>
      </c>
      <c r="B666" s="91">
        <v>44877.787175925929</v>
      </c>
      <c r="C666" s="28" t="s">
        <v>10</v>
      </c>
      <c r="D666" s="28" t="s">
        <v>1258</v>
      </c>
      <c r="E666" s="28" t="s">
        <v>92</v>
      </c>
      <c r="F666" s="28">
        <v>0</v>
      </c>
      <c r="G666" s="28" t="s">
        <v>884</v>
      </c>
      <c r="H666" s="28">
        <v>0</v>
      </c>
      <c r="J666" s="28"/>
    </row>
    <row r="667" spans="1:10" ht="15.75" customHeight="1">
      <c r="A667" s="28">
        <v>16541</v>
      </c>
      <c r="B667" s="91">
        <v>44877.787175925929</v>
      </c>
      <c r="C667" s="28" t="s">
        <v>10</v>
      </c>
      <c r="D667" s="28" t="s">
        <v>1258</v>
      </c>
      <c r="E667" s="28" t="s">
        <v>92</v>
      </c>
      <c r="F667" s="28">
        <v>0</v>
      </c>
      <c r="G667" s="28" t="s">
        <v>882</v>
      </c>
      <c r="H667" s="28">
        <v>0</v>
      </c>
      <c r="J667" s="28"/>
    </row>
    <row r="668" spans="1:10" ht="15.75" customHeight="1">
      <c r="A668" s="28">
        <v>16542</v>
      </c>
      <c r="B668" s="91">
        <v>44877.795497685191</v>
      </c>
      <c r="C668" s="28" t="s">
        <v>10</v>
      </c>
      <c r="D668" s="28" t="s">
        <v>1257</v>
      </c>
      <c r="E668" s="28" t="s">
        <v>92</v>
      </c>
      <c r="F668" s="28">
        <v>18</v>
      </c>
      <c r="G668" s="28" t="s">
        <v>119</v>
      </c>
      <c r="H668" s="28">
        <v>0</v>
      </c>
      <c r="J668" s="28"/>
    </row>
    <row r="669" spans="1:10" ht="15.75" customHeight="1">
      <c r="A669" s="28">
        <v>16542</v>
      </c>
      <c r="B669" s="91">
        <v>44877.795497685191</v>
      </c>
      <c r="C669" s="28" t="s">
        <v>10</v>
      </c>
      <c r="D669" s="28" t="s">
        <v>1257</v>
      </c>
      <c r="E669" s="28" t="s">
        <v>92</v>
      </c>
      <c r="F669" s="28">
        <v>28</v>
      </c>
      <c r="G669" s="28" t="s">
        <v>143</v>
      </c>
      <c r="H669" s="28">
        <v>0</v>
      </c>
      <c r="J669" s="28"/>
    </row>
    <row r="670" spans="1:10" ht="15.75" customHeight="1">
      <c r="A670" s="28">
        <v>16543</v>
      </c>
      <c r="B670" s="91">
        <v>44877.795787037037</v>
      </c>
      <c r="C670" s="28" t="s">
        <v>10</v>
      </c>
      <c r="D670" s="28" t="s">
        <v>1256</v>
      </c>
      <c r="E670" s="28" t="s">
        <v>92</v>
      </c>
      <c r="F670" s="28">
        <v>25</v>
      </c>
      <c r="G670" s="28" t="s">
        <v>1106</v>
      </c>
      <c r="H670" s="28">
        <v>0</v>
      </c>
      <c r="J670" s="28"/>
    </row>
    <row r="671" spans="1:10" ht="15.75" customHeight="1">
      <c r="A671" s="28">
        <v>16543</v>
      </c>
      <c r="B671" s="91">
        <v>44877.795787037037</v>
      </c>
      <c r="C671" s="28" t="s">
        <v>10</v>
      </c>
      <c r="D671" s="28" t="s">
        <v>1256</v>
      </c>
      <c r="E671" s="28" t="s">
        <v>92</v>
      </c>
      <c r="F671" s="28">
        <v>0</v>
      </c>
      <c r="G671" s="28" t="s">
        <v>884</v>
      </c>
      <c r="H671" s="28">
        <v>0</v>
      </c>
      <c r="J671" s="28"/>
    </row>
    <row r="672" spans="1:10" ht="15.75" customHeight="1">
      <c r="A672" s="28">
        <v>16543</v>
      </c>
      <c r="B672" s="91">
        <v>44877.795787037037</v>
      </c>
      <c r="C672" s="28" t="s">
        <v>10</v>
      </c>
      <c r="D672" s="28" t="s">
        <v>1256</v>
      </c>
      <c r="E672" s="28" t="s">
        <v>92</v>
      </c>
      <c r="F672" s="28">
        <v>0</v>
      </c>
      <c r="G672" s="28" t="s">
        <v>882</v>
      </c>
      <c r="H672" s="28">
        <v>0</v>
      </c>
      <c r="J672" s="28"/>
    </row>
    <row r="673" spans="1:10" ht="15.75" customHeight="1">
      <c r="A673" s="28">
        <v>16544</v>
      </c>
      <c r="B673" s="91">
        <v>44877.803032407406</v>
      </c>
      <c r="C673" s="28" t="s">
        <v>10</v>
      </c>
      <c r="D673" s="28" t="s">
        <v>1255</v>
      </c>
      <c r="E673" s="28" t="s">
        <v>92</v>
      </c>
      <c r="F673" s="28">
        <v>25</v>
      </c>
      <c r="G673" s="28" t="s">
        <v>1106</v>
      </c>
      <c r="H673" s="28">
        <v>0</v>
      </c>
      <c r="J673" s="28"/>
    </row>
    <row r="674" spans="1:10" ht="15.75" customHeight="1">
      <c r="A674" s="28">
        <v>16544</v>
      </c>
      <c r="B674" s="91">
        <v>44877.803032407406</v>
      </c>
      <c r="C674" s="28" t="s">
        <v>10</v>
      </c>
      <c r="D674" s="28" t="s">
        <v>1255</v>
      </c>
      <c r="E674" s="28" t="s">
        <v>92</v>
      </c>
      <c r="F674" s="28">
        <v>0</v>
      </c>
      <c r="G674" s="28" t="s">
        <v>884</v>
      </c>
      <c r="H674" s="28">
        <v>0</v>
      </c>
      <c r="J674" s="28"/>
    </row>
    <row r="675" spans="1:10" ht="15.75" customHeight="1">
      <c r="A675" s="28">
        <v>16544</v>
      </c>
      <c r="B675" s="91">
        <v>44877.803032407406</v>
      </c>
      <c r="C675" s="28" t="s">
        <v>10</v>
      </c>
      <c r="D675" s="28" t="s">
        <v>1255</v>
      </c>
      <c r="E675" s="28" t="s">
        <v>92</v>
      </c>
      <c r="F675" s="28">
        <v>0</v>
      </c>
      <c r="G675" s="28" t="s">
        <v>882</v>
      </c>
      <c r="H675" s="28">
        <v>0</v>
      </c>
      <c r="J675" s="28"/>
    </row>
    <row r="676" spans="1:10" ht="15.75" customHeight="1">
      <c r="A676" s="28">
        <v>16545</v>
      </c>
      <c r="B676" s="91">
        <v>44877.809513888889</v>
      </c>
      <c r="C676" s="28" t="s">
        <v>10</v>
      </c>
      <c r="D676" s="28" t="s">
        <v>1254</v>
      </c>
      <c r="E676" s="28" t="s">
        <v>92</v>
      </c>
      <c r="F676" s="28">
        <v>25</v>
      </c>
      <c r="G676" s="28" t="s">
        <v>1106</v>
      </c>
      <c r="H676" s="28">
        <v>0</v>
      </c>
      <c r="J676" s="28"/>
    </row>
    <row r="677" spans="1:10" ht="15.75" customHeight="1">
      <c r="A677" s="28">
        <v>16545</v>
      </c>
      <c r="B677" s="91">
        <v>44877.809513888889</v>
      </c>
      <c r="C677" s="28" t="s">
        <v>10</v>
      </c>
      <c r="D677" s="28" t="s">
        <v>1254</v>
      </c>
      <c r="E677" s="28" t="s">
        <v>92</v>
      </c>
      <c r="F677" s="28">
        <v>0</v>
      </c>
      <c r="G677" s="28" t="s">
        <v>884</v>
      </c>
      <c r="H677" s="28">
        <v>0</v>
      </c>
      <c r="J677" s="28"/>
    </row>
    <row r="678" spans="1:10" ht="15.75" customHeight="1">
      <c r="A678" s="28">
        <v>16545</v>
      </c>
      <c r="B678" s="91">
        <v>44877.809513888889</v>
      </c>
      <c r="C678" s="28" t="s">
        <v>10</v>
      </c>
      <c r="D678" s="28" t="s">
        <v>1254</v>
      </c>
      <c r="E678" s="28" t="s">
        <v>92</v>
      </c>
      <c r="F678" s="28">
        <v>0</v>
      </c>
      <c r="G678" s="28" t="s">
        <v>882</v>
      </c>
      <c r="H678" s="28">
        <v>0</v>
      </c>
      <c r="J678" s="28"/>
    </row>
    <row r="679" spans="1:10" ht="15.75" customHeight="1">
      <c r="A679" s="28">
        <v>16546</v>
      </c>
      <c r="B679" s="91">
        <v>44877.809733796297</v>
      </c>
      <c r="C679" s="28" t="s">
        <v>10</v>
      </c>
      <c r="D679" s="28" t="s">
        <v>1253</v>
      </c>
      <c r="E679" s="28" t="s">
        <v>92</v>
      </c>
      <c r="F679" s="28">
        <v>25</v>
      </c>
      <c r="G679" s="28" t="s">
        <v>1106</v>
      </c>
      <c r="H679" s="28">
        <v>0</v>
      </c>
      <c r="J679" s="28"/>
    </row>
    <row r="680" spans="1:10" ht="15.75" customHeight="1">
      <c r="A680" s="28">
        <v>16546</v>
      </c>
      <c r="B680" s="91">
        <v>44877.809733796297</v>
      </c>
      <c r="C680" s="28" t="s">
        <v>10</v>
      </c>
      <c r="D680" s="28" t="s">
        <v>1253</v>
      </c>
      <c r="E680" s="28" t="s">
        <v>92</v>
      </c>
      <c r="F680" s="28">
        <v>0</v>
      </c>
      <c r="G680" s="28" t="s">
        <v>884</v>
      </c>
      <c r="H680" s="28">
        <v>0</v>
      </c>
      <c r="J680" s="28"/>
    </row>
    <row r="681" spans="1:10" ht="15.75" customHeight="1">
      <c r="A681" s="28">
        <v>16546</v>
      </c>
      <c r="B681" s="91">
        <v>44877.809733796297</v>
      </c>
      <c r="C681" s="28" t="s">
        <v>10</v>
      </c>
      <c r="D681" s="28" t="s">
        <v>1253</v>
      </c>
      <c r="E681" s="28" t="s">
        <v>92</v>
      </c>
      <c r="F681" s="28">
        <v>0</v>
      </c>
      <c r="G681" s="28" t="s">
        <v>882</v>
      </c>
      <c r="H681" s="28">
        <v>0</v>
      </c>
      <c r="J681" s="28"/>
    </row>
    <row r="682" spans="1:10" ht="15.75" customHeight="1">
      <c r="A682" s="28">
        <v>16552</v>
      </c>
      <c r="B682" s="91">
        <v>44878.204340277778</v>
      </c>
      <c r="C682" s="28" t="s">
        <v>10</v>
      </c>
      <c r="D682" s="28" t="s">
        <v>1252</v>
      </c>
      <c r="E682" s="28" t="s">
        <v>93</v>
      </c>
      <c r="F682" s="28">
        <v>25</v>
      </c>
      <c r="G682" s="28">
        <v>100692</v>
      </c>
      <c r="H682" s="28">
        <v>0</v>
      </c>
      <c r="J682" s="28"/>
    </row>
    <row r="683" spans="1:10" ht="15.75" customHeight="1">
      <c r="A683" s="28">
        <v>16552</v>
      </c>
      <c r="B683" s="91">
        <v>44878.204340277778</v>
      </c>
      <c r="C683" s="28" t="s">
        <v>10</v>
      </c>
      <c r="D683" s="28" t="s">
        <v>1252</v>
      </c>
      <c r="E683" s="28" t="s">
        <v>93</v>
      </c>
      <c r="F683" s="28">
        <v>0</v>
      </c>
      <c r="G683" s="28" t="s">
        <v>125</v>
      </c>
      <c r="H683" s="28">
        <v>0</v>
      </c>
      <c r="J683" s="28"/>
    </row>
    <row r="684" spans="1:10" ht="15.75" customHeight="1">
      <c r="A684" s="28">
        <v>16552</v>
      </c>
      <c r="B684" s="91">
        <v>44878.204340277778</v>
      </c>
      <c r="C684" s="28" t="s">
        <v>10</v>
      </c>
      <c r="D684" s="28" t="s">
        <v>1252</v>
      </c>
      <c r="E684" s="28" t="s">
        <v>93</v>
      </c>
      <c r="F684" s="28">
        <v>0</v>
      </c>
      <c r="G684" s="28" t="s">
        <v>119</v>
      </c>
      <c r="H684" s="28">
        <v>0</v>
      </c>
      <c r="J684" s="28"/>
    </row>
    <row r="685" spans="1:10" ht="15.75" customHeight="1">
      <c r="A685" s="28">
        <v>16552</v>
      </c>
      <c r="B685" s="91">
        <v>44878.204340277778</v>
      </c>
      <c r="C685" s="28" t="s">
        <v>10</v>
      </c>
      <c r="D685" s="28" t="s">
        <v>1252</v>
      </c>
      <c r="E685" s="28" t="s">
        <v>93</v>
      </c>
      <c r="F685" s="28">
        <v>22</v>
      </c>
      <c r="G685" s="28" t="s">
        <v>137</v>
      </c>
      <c r="H685" s="28">
        <v>0</v>
      </c>
      <c r="J685" s="28"/>
    </row>
    <row r="686" spans="1:10" ht="15.75" customHeight="1">
      <c r="A686" s="28">
        <v>16554</v>
      </c>
      <c r="B686" s="91">
        <v>44880.163101851853</v>
      </c>
      <c r="C686" s="28" t="s">
        <v>10</v>
      </c>
      <c r="D686" s="28" t="s">
        <v>1252</v>
      </c>
      <c r="E686" s="28" t="s">
        <v>50</v>
      </c>
      <c r="F686" s="28">
        <v>0</v>
      </c>
      <c r="G686" s="28">
        <v>100692</v>
      </c>
      <c r="H686" s="28">
        <v>0</v>
      </c>
      <c r="J686" s="28"/>
    </row>
    <row r="687" spans="1:10" ht="15.75" customHeight="1">
      <c r="A687" s="28">
        <v>16554</v>
      </c>
      <c r="B687" s="91">
        <v>44880.163101851853</v>
      </c>
      <c r="C687" s="28" t="s">
        <v>10</v>
      </c>
      <c r="D687" s="28" t="s">
        <v>1252</v>
      </c>
      <c r="E687" s="28" t="s">
        <v>50</v>
      </c>
      <c r="F687" s="28">
        <v>0</v>
      </c>
      <c r="G687" s="28" t="s">
        <v>125</v>
      </c>
      <c r="H687" s="28">
        <v>0</v>
      </c>
      <c r="J687" s="28"/>
    </row>
    <row r="688" spans="1:10" ht="15.75" customHeight="1">
      <c r="A688" s="28">
        <v>16554</v>
      </c>
      <c r="B688" s="91">
        <v>44880.163101851853</v>
      </c>
      <c r="C688" s="28" t="s">
        <v>10</v>
      </c>
      <c r="D688" s="28" t="s">
        <v>1252</v>
      </c>
      <c r="E688" s="28" t="s">
        <v>50</v>
      </c>
      <c r="F688" s="28">
        <v>0</v>
      </c>
      <c r="G688" s="28" t="s">
        <v>119</v>
      </c>
      <c r="H688" s="28">
        <v>0</v>
      </c>
      <c r="J688" s="28"/>
    </row>
    <row r="689" spans="1:10" ht="15.75" customHeight="1">
      <c r="A689" s="28">
        <v>16560</v>
      </c>
      <c r="B689" s="91">
        <v>44881.775277777779</v>
      </c>
      <c r="C689" s="28" t="s">
        <v>10</v>
      </c>
      <c r="D689" s="28" t="s">
        <v>1251</v>
      </c>
      <c r="E689" s="28" t="s">
        <v>91</v>
      </c>
      <c r="F689" s="28">
        <v>28</v>
      </c>
      <c r="G689" s="28" t="s">
        <v>143</v>
      </c>
      <c r="H689" s="28">
        <v>0</v>
      </c>
      <c r="J689" s="28"/>
    </row>
    <row r="690" spans="1:10" ht="15.75" customHeight="1">
      <c r="A690" s="28">
        <v>16560</v>
      </c>
      <c r="B690" s="91">
        <v>44881.775277777779</v>
      </c>
      <c r="C690" s="28" t="s">
        <v>10</v>
      </c>
      <c r="D690" s="28" t="s">
        <v>1251</v>
      </c>
      <c r="E690" s="28" t="s">
        <v>91</v>
      </c>
      <c r="F690" s="28">
        <v>55</v>
      </c>
      <c r="G690" s="28" t="s">
        <v>861</v>
      </c>
      <c r="H690" s="28">
        <v>0</v>
      </c>
      <c r="J690" s="28"/>
    </row>
    <row r="691" spans="1:10" ht="15.75" customHeight="1">
      <c r="A691" s="28">
        <v>16564</v>
      </c>
      <c r="B691" s="91">
        <v>44882.996932870374</v>
      </c>
      <c r="C691" s="28" t="s">
        <v>10</v>
      </c>
      <c r="D691" s="28" t="s">
        <v>1250</v>
      </c>
      <c r="E691" s="28" t="s">
        <v>92</v>
      </c>
      <c r="F691" s="28">
        <v>35</v>
      </c>
      <c r="G691" s="28" t="s">
        <v>124</v>
      </c>
      <c r="H691" s="28">
        <v>0</v>
      </c>
      <c r="J691" s="28"/>
    </row>
    <row r="692" spans="1:10" ht="15.75" customHeight="1">
      <c r="A692" s="28">
        <v>16564</v>
      </c>
      <c r="B692" s="91">
        <v>44882.996932870374</v>
      </c>
      <c r="C692" s="28" t="s">
        <v>10</v>
      </c>
      <c r="D692" s="28" t="s">
        <v>1250</v>
      </c>
      <c r="E692" s="28" t="s">
        <v>92</v>
      </c>
      <c r="F692" s="28">
        <v>0</v>
      </c>
      <c r="G692" s="28" t="s">
        <v>125</v>
      </c>
      <c r="H692" s="28">
        <v>0</v>
      </c>
      <c r="J692" s="28"/>
    </row>
    <row r="693" spans="1:10" ht="15.75" customHeight="1">
      <c r="A693" s="28">
        <v>16564</v>
      </c>
      <c r="B693" s="91">
        <v>44882.996932870374</v>
      </c>
      <c r="C693" s="28" t="s">
        <v>10</v>
      </c>
      <c r="D693" s="28" t="s">
        <v>1250</v>
      </c>
      <c r="E693" s="28" t="s">
        <v>92</v>
      </c>
      <c r="F693" s="28">
        <v>0</v>
      </c>
      <c r="G693" s="28" t="s">
        <v>121</v>
      </c>
      <c r="H693" s="28">
        <v>0</v>
      </c>
      <c r="J693" s="28"/>
    </row>
    <row r="694" spans="1:10" ht="15.75" customHeight="1">
      <c r="A694" s="28">
        <v>16564</v>
      </c>
      <c r="B694" s="91">
        <v>44882.996932870374</v>
      </c>
      <c r="C694" s="28" t="s">
        <v>10</v>
      </c>
      <c r="D694" s="28" t="s">
        <v>1250</v>
      </c>
      <c r="E694" s="28" t="s">
        <v>92</v>
      </c>
      <c r="F694" s="28">
        <v>0</v>
      </c>
      <c r="G694" s="28" t="s">
        <v>139</v>
      </c>
      <c r="H694" s="28">
        <v>0</v>
      </c>
      <c r="J694" s="28"/>
    </row>
    <row r="695" spans="1:10" ht="15.75" customHeight="1">
      <c r="A695" s="28">
        <v>16602</v>
      </c>
      <c r="B695" s="91">
        <v>44883.590520833328</v>
      </c>
      <c r="C695" s="28" t="s">
        <v>10</v>
      </c>
      <c r="D695" s="28" t="s">
        <v>1249</v>
      </c>
      <c r="E695" s="28" t="s">
        <v>91</v>
      </c>
      <c r="F695" s="28">
        <v>30</v>
      </c>
      <c r="G695" s="28" t="s">
        <v>125</v>
      </c>
      <c r="H695" s="28">
        <v>0</v>
      </c>
      <c r="J695" s="28"/>
    </row>
    <row r="696" spans="1:10" ht="15.75" customHeight="1">
      <c r="A696" s="28">
        <v>16602</v>
      </c>
      <c r="B696" s="91">
        <v>44883.590520833328</v>
      </c>
      <c r="C696" s="28" t="s">
        <v>10</v>
      </c>
      <c r="D696" s="28" t="s">
        <v>1249</v>
      </c>
      <c r="E696" s="28" t="s">
        <v>91</v>
      </c>
      <c r="F696" s="28">
        <v>30</v>
      </c>
      <c r="G696" s="28" t="s">
        <v>170</v>
      </c>
      <c r="H696" s="28">
        <v>0</v>
      </c>
      <c r="J696" s="28"/>
    </row>
    <row r="697" spans="1:10" ht="15.75" customHeight="1">
      <c r="A697" s="28">
        <v>16603</v>
      </c>
      <c r="B697" s="91">
        <v>44883.615162037036</v>
      </c>
      <c r="C697" s="28" t="s">
        <v>10</v>
      </c>
      <c r="D697" s="28" t="s">
        <v>1248</v>
      </c>
      <c r="E697" s="28" t="s">
        <v>50</v>
      </c>
      <c r="F697" s="28">
        <v>100</v>
      </c>
      <c r="G697" s="28">
        <v>102779</v>
      </c>
      <c r="H697" s="28">
        <v>0</v>
      </c>
      <c r="J697" s="28"/>
    </row>
    <row r="698" spans="1:10" ht="15.75" customHeight="1">
      <c r="A698" s="28">
        <v>16603</v>
      </c>
      <c r="B698" s="91">
        <v>44883.615162037036</v>
      </c>
      <c r="C698" s="28" t="s">
        <v>10</v>
      </c>
      <c r="D698" s="28" t="s">
        <v>1248</v>
      </c>
      <c r="E698" s="28" t="s">
        <v>50</v>
      </c>
      <c r="F698" s="28">
        <v>0</v>
      </c>
      <c r="G698" s="28" t="s">
        <v>118</v>
      </c>
      <c r="H698" s="28">
        <v>0</v>
      </c>
      <c r="J698" s="28"/>
    </row>
    <row r="699" spans="1:10" ht="15.75" customHeight="1">
      <c r="A699" s="28">
        <v>16603</v>
      </c>
      <c r="B699" s="91">
        <v>44883.615162037036</v>
      </c>
      <c r="C699" s="28" t="s">
        <v>10</v>
      </c>
      <c r="D699" s="28" t="s">
        <v>1248</v>
      </c>
      <c r="E699" s="28" t="s">
        <v>50</v>
      </c>
      <c r="F699" s="28">
        <v>0</v>
      </c>
      <c r="G699" s="28" t="s">
        <v>119</v>
      </c>
      <c r="H699" s="28">
        <v>0</v>
      </c>
      <c r="J699" s="28"/>
    </row>
    <row r="700" spans="1:10" ht="15.75" customHeight="1">
      <c r="A700" s="28">
        <v>16603</v>
      </c>
      <c r="B700" s="91">
        <v>44883.615162037036</v>
      </c>
      <c r="C700" s="28" t="s">
        <v>10</v>
      </c>
      <c r="D700" s="28" t="s">
        <v>1248</v>
      </c>
      <c r="E700" s="28" t="s">
        <v>50</v>
      </c>
      <c r="F700" s="28">
        <v>0</v>
      </c>
      <c r="G700" s="28" t="s">
        <v>120</v>
      </c>
      <c r="H700" s="28">
        <v>0</v>
      </c>
      <c r="J700" s="28"/>
    </row>
    <row r="701" spans="1:10" ht="15.75" customHeight="1">
      <c r="A701" s="28">
        <v>16603</v>
      </c>
      <c r="B701" s="91">
        <v>44883.615162037036</v>
      </c>
      <c r="C701" s="28" t="s">
        <v>10</v>
      </c>
      <c r="D701" s="28" t="s">
        <v>1248</v>
      </c>
      <c r="E701" s="28" t="s">
        <v>50</v>
      </c>
      <c r="F701" s="28">
        <v>0</v>
      </c>
      <c r="G701" s="28" t="s">
        <v>122</v>
      </c>
      <c r="H701" s="28">
        <v>0</v>
      </c>
      <c r="J701" s="28"/>
    </row>
    <row r="702" spans="1:10" ht="15.75" customHeight="1">
      <c r="A702" s="28">
        <v>16603</v>
      </c>
      <c r="B702" s="91">
        <v>44883.615162037036</v>
      </c>
      <c r="C702" s="28" t="s">
        <v>10</v>
      </c>
      <c r="D702" s="28" t="s">
        <v>1248</v>
      </c>
      <c r="E702" s="28" t="s">
        <v>50</v>
      </c>
      <c r="F702" s="28">
        <v>0</v>
      </c>
      <c r="G702" s="28" t="s">
        <v>121</v>
      </c>
      <c r="H702" s="28">
        <v>0</v>
      </c>
      <c r="J702" s="28"/>
    </row>
    <row r="703" spans="1:10" ht="15.75" customHeight="1">
      <c r="A703" s="28">
        <v>16603</v>
      </c>
      <c r="B703" s="91">
        <v>44883.615162037036</v>
      </c>
      <c r="C703" s="28" t="s">
        <v>10</v>
      </c>
      <c r="D703" s="28" t="s">
        <v>1248</v>
      </c>
      <c r="E703" s="28" t="s">
        <v>50</v>
      </c>
      <c r="F703" s="28">
        <v>28</v>
      </c>
      <c r="G703" s="28" t="s">
        <v>143</v>
      </c>
      <c r="H703" s="28">
        <v>0</v>
      </c>
      <c r="J703" s="28"/>
    </row>
    <row r="704" spans="1:10" ht="15.75" customHeight="1">
      <c r="A704" s="28">
        <v>16603</v>
      </c>
      <c r="B704" s="91">
        <v>44883.615162037036</v>
      </c>
      <c r="C704" s="28" t="s">
        <v>10</v>
      </c>
      <c r="D704" s="28" t="s">
        <v>1248</v>
      </c>
      <c r="E704" s="28" t="s">
        <v>50</v>
      </c>
      <c r="F704" s="28">
        <v>15</v>
      </c>
      <c r="G704" s="28" t="s">
        <v>896</v>
      </c>
      <c r="H704" s="28">
        <v>0</v>
      </c>
      <c r="J704" s="28"/>
    </row>
    <row r="705" spans="1:10" ht="15.75" customHeight="1">
      <c r="A705" s="28">
        <v>16604</v>
      </c>
      <c r="B705" s="91">
        <v>44883.616122685184</v>
      </c>
      <c r="C705" s="28" t="s">
        <v>10</v>
      </c>
      <c r="D705" s="28" t="s">
        <v>1248</v>
      </c>
      <c r="E705" s="28" t="s">
        <v>50</v>
      </c>
      <c r="F705" s="28">
        <v>15</v>
      </c>
      <c r="G705" s="28" t="s">
        <v>139</v>
      </c>
      <c r="H705" s="28">
        <v>0</v>
      </c>
      <c r="J705" s="28"/>
    </row>
    <row r="706" spans="1:10" ht="15.75" customHeight="1">
      <c r="A706" s="28">
        <v>16621</v>
      </c>
      <c r="B706" s="91">
        <v>44885.659571759257</v>
      </c>
      <c r="C706" s="28" t="s">
        <v>10</v>
      </c>
      <c r="D706" s="28" t="s">
        <v>1247</v>
      </c>
      <c r="E706" s="28" t="s">
        <v>50</v>
      </c>
      <c r="F706" s="28">
        <v>0</v>
      </c>
      <c r="G706" s="28">
        <v>100692</v>
      </c>
      <c r="H706" s="28">
        <v>0</v>
      </c>
      <c r="J706" s="28"/>
    </row>
    <row r="707" spans="1:10" ht="15.75" customHeight="1">
      <c r="A707" s="28">
        <v>16621</v>
      </c>
      <c r="B707" s="91">
        <v>44885.659571759257</v>
      </c>
      <c r="C707" s="28" t="s">
        <v>10</v>
      </c>
      <c r="D707" s="28" t="s">
        <v>1247</v>
      </c>
      <c r="E707" s="28" t="s">
        <v>50</v>
      </c>
      <c r="F707" s="28">
        <v>0</v>
      </c>
      <c r="G707" s="28" t="s">
        <v>125</v>
      </c>
      <c r="H707" s="28">
        <v>0</v>
      </c>
      <c r="J707" s="28"/>
    </row>
    <row r="708" spans="1:10" ht="15.75" customHeight="1">
      <c r="A708" s="28">
        <v>16621</v>
      </c>
      <c r="B708" s="91">
        <v>44885.659571759257</v>
      </c>
      <c r="C708" s="28" t="s">
        <v>10</v>
      </c>
      <c r="D708" s="28" t="s">
        <v>1247</v>
      </c>
      <c r="E708" s="28" t="s">
        <v>50</v>
      </c>
      <c r="F708" s="28">
        <v>0</v>
      </c>
      <c r="G708" s="28" t="s">
        <v>119</v>
      </c>
      <c r="H708" s="28">
        <v>0</v>
      </c>
      <c r="J708" s="28"/>
    </row>
    <row r="709" spans="1:10" ht="15.75" customHeight="1">
      <c r="A709" s="28">
        <v>16630</v>
      </c>
      <c r="B709" s="91">
        <v>44885.909884259258</v>
      </c>
      <c r="C709" s="28" t="s">
        <v>10</v>
      </c>
      <c r="D709" s="28" t="s">
        <v>1246</v>
      </c>
      <c r="E709" s="28" t="s">
        <v>50</v>
      </c>
      <c r="F709" s="28">
        <v>20</v>
      </c>
      <c r="G709" s="28" t="s">
        <v>148</v>
      </c>
      <c r="H709" s="28">
        <v>0</v>
      </c>
      <c r="J709" s="28"/>
    </row>
    <row r="710" spans="1:10" ht="15.75" customHeight="1">
      <c r="A710" s="28">
        <v>16652</v>
      </c>
      <c r="B710" s="91">
        <v>44886.48364583333</v>
      </c>
      <c r="C710" s="28" t="s">
        <v>10</v>
      </c>
      <c r="D710" s="28" t="s">
        <v>1245</v>
      </c>
      <c r="E710" s="28" t="s">
        <v>50</v>
      </c>
      <c r="F710" s="28">
        <v>25</v>
      </c>
      <c r="G710" s="28">
        <v>100692</v>
      </c>
      <c r="H710" s="28">
        <v>0</v>
      </c>
      <c r="J710" s="28"/>
    </row>
    <row r="711" spans="1:10" ht="15.75" customHeight="1">
      <c r="A711" s="28">
        <v>16652</v>
      </c>
      <c r="B711" s="91">
        <v>44886.48364583333</v>
      </c>
      <c r="C711" s="28" t="s">
        <v>10</v>
      </c>
      <c r="D711" s="28" t="s">
        <v>1245</v>
      </c>
      <c r="E711" s="28" t="s">
        <v>50</v>
      </c>
      <c r="F711" s="28">
        <v>0</v>
      </c>
      <c r="G711" s="28" t="s">
        <v>125</v>
      </c>
      <c r="H711" s="28">
        <v>0</v>
      </c>
      <c r="J711" s="28"/>
    </row>
    <row r="712" spans="1:10" ht="15.75" customHeight="1">
      <c r="A712" s="28">
        <v>16652</v>
      </c>
      <c r="B712" s="91">
        <v>44886.48364583333</v>
      </c>
      <c r="C712" s="28" t="s">
        <v>10</v>
      </c>
      <c r="D712" s="28" t="s">
        <v>1245</v>
      </c>
      <c r="E712" s="28" t="s">
        <v>50</v>
      </c>
      <c r="F712" s="28">
        <v>0</v>
      </c>
      <c r="G712" s="28" t="s">
        <v>119</v>
      </c>
      <c r="H712" s="28">
        <v>0</v>
      </c>
      <c r="J712" s="28"/>
    </row>
    <row r="713" spans="1:10" ht="15.75" customHeight="1">
      <c r="A713" s="28">
        <v>16654</v>
      </c>
      <c r="B713" s="91">
        <v>44886.534803240742</v>
      </c>
      <c r="C713" s="28" t="s">
        <v>10</v>
      </c>
      <c r="D713" s="28" t="s">
        <v>1244</v>
      </c>
      <c r="E713" s="28" t="s">
        <v>50</v>
      </c>
      <c r="F713" s="28">
        <v>28</v>
      </c>
      <c r="G713" s="28" t="s">
        <v>143</v>
      </c>
      <c r="H713" s="28">
        <v>0</v>
      </c>
      <c r="J713" s="28"/>
    </row>
    <row r="714" spans="1:10" ht="15.75" customHeight="1">
      <c r="A714" s="28">
        <v>16654</v>
      </c>
      <c r="B714" s="91">
        <v>44886.534803240742</v>
      </c>
      <c r="C714" s="28" t="s">
        <v>10</v>
      </c>
      <c r="D714" s="28" t="s">
        <v>1244</v>
      </c>
      <c r="E714" s="28" t="s">
        <v>50</v>
      </c>
      <c r="F714" s="28">
        <v>15</v>
      </c>
      <c r="G714" s="28" t="s">
        <v>170</v>
      </c>
      <c r="H714" s="28">
        <v>0</v>
      </c>
      <c r="J714" s="28"/>
    </row>
    <row r="715" spans="1:10" ht="15.75" customHeight="1">
      <c r="A715" s="28">
        <v>16654</v>
      </c>
      <c r="B715" s="91">
        <v>44886.534803240742</v>
      </c>
      <c r="C715" s="28" t="s">
        <v>10</v>
      </c>
      <c r="D715" s="28" t="s">
        <v>1244</v>
      </c>
      <c r="E715" s="28" t="s">
        <v>50</v>
      </c>
      <c r="F715" s="28">
        <v>20</v>
      </c>
      <c r="G715" s="28" t="s">
        <v>148</v>
      </c>
      <c r="H715" s="28">
        <v>0</v>
      </c>
      <c r="J715" s="28"/>
    </row>
    <row r="716" spans="1:10" ht="15.75" customHeight="1">
      <c r="A716" s="28">
        <v>16654</v>
      </c>
      <c r="B716" s="91">
        <v>44886.534803240742</v>
      </c>
      <c r="C716" s="28" t="s">
        <v>10</v>
      </c>
      <c r="D716" s="28" t="s">
        <v>1244</v>
      </c>
      <c r="E716" s="28" t="s">
        <v>50</v>
      </c>
      <c r="F716" s="28">
        <v>24</v>
      </c>
      <c r="G716" s="28" t="s">
        <v>122</v>
      </c>
      <c r="H716" s="28">
        <v>0</v>
      </c>
      <c r="J716" s="28"/>
    </row>
    <row r="717" spans="1:10" ht="15.75" customHeight="1">
      <c r="A717" s="28">
        <v>16684</v>
      </c>
      <c r="B717" s="91">
        <v>44886.615601851852</v>
      </c>
      <c r="C717" s="28" t="s">
        <v>10</v>
      </c>
      <c r="D717" s="28" t="s">
        <v>1073</v>
      </c>
      <c r="E717" s="28" t="s">
        <v>50</v>
      </c>
      <c r="F717" s="28">
        <v>15</v>
      </c>
      <c r="G717" s="28" t="s">
        <v>170</v>
      </c>
      <c r="H717" s="28">
        <v>0</v>
      </c>
      <c r="J717" s="28"/>
    </row>
    <row r="718" spans="1:10" ht="15.75" customHeight="1">
      <c r="A718" s="28">
        <v>16685</v>
      </c>
      <c r="B718" s="91">
        <v>44886.618715277778</v>
      </c>
      <c r="C718" s="28" t="s">
        <v>10</v>
      </c>
      <c r="D718" s="28" t="s">
        <v>1243</v>
      </c>
      <c r="E718" s="28" t="s">
        <v>50</v>
      </c>
      <c r="F718" s="28">
        <v>20</v>
      </c>
      <c r="G718" s="28" t="s">
        <v>148</v>
      </c>
      <c r="H718" s="28">
        <v>0</v>
      </c>
      <c r="J718" s="28"/>
    </row>
    <row r="719" spans="1:10" ht="15.75" customHeight="1">
      <c r="A719" s="28">
        <v>16686</v>
      </c>
      <c r="B719" s="91">
        <v>44886.629699074074</v>
      </c>
      <c r="C719" s="28" t="s">
        <v>10</v>
      </c>
      <c r="D719" s="28" t="s">
        <v>1242</v>
      </c>
      <c r="E719" s="28" t="s">
        <v>50</v>
      </c>
      <c r="F719" s="28">
        <v>55</v>
      </c>
      <c r="G719" s="28">
        <v>101684</v>
      </c>
      <c r="H719" s="28">
        <v>0</v>
      </c>
      <c r="J719" s="28"/>
    </row>
    <row r="720" spans="1:10" ht="15.75" customHeight="1">
      <c r="A720" s="28">
        <v>16686</v>
      </c>
      <c r="B720" s="91">
        <v>44886.629699074074</v>
      </c>
      <c r="C720" s="28" t="s">
        <v>10</v>
      </c>
      <c r="D720" s="28" t="s">
        <v>1242</v>
      </c>
      <c r="E720" s="28" t="s">
        <v>50</v>
      </c>
      <c r="F720" s="28">
        <v>0</v>
      </c>
      <c r="G720" s="28" t="s">
        <v>118</v>
      </c>
      <c r="H720" s="28">
        <v>0</v>
      </c>
      <c r="J720" s="28"/>
    </row>
    <row r="721" spans="1:10" ht="15.75" customHeight="1">
      <c r="A721" s="28">
        <v>16686</v>
      </c>
      <c r="B721" s="91">
        <v>44886.629699074074</v>
      </c>
      <c r="C721" s="28" t="s">
        <v>10</v>
      </c>
      <c r="D721" s="28" t="s">
        <v>1242</v>
      </c>
      <c r="E721" s="28" t="s">
        <v>50</v>
      </c>
      <c r="F721" s="28">
        <v>0</v>
      </c>
      <c r="G721" s="28" t="s">
        <v>119</v>
      </c>
      <c r="H721" s="28">
        <v>0</v>
      </c>
      <c r="J721" s="28"/>
    </row>
    <row r="722" spans="1:10" ht="15.75" customHeight="1">
      <c r="A722" s="28">
        <v>16686</v>
      </c>
      <c r="B722" s="91">
        <v>44886.629699074074</v>
      </c>
      <c r="C722" s="28" t="s">
        <v>10</v>
      </c>
      <c r="D722" s="28" t="s">
        <v>1242</v>
      </c>
      <c r="E722" s="28" t="s">
        <v>50</v>
      </c>
      <c r="F722" s="28">
        <v>0</v>
      </c>
      <c r="G722" s="28" t="s">
        <v>120</v>
      </c>
      <c r="H722" s="28">
        <v>0</v>
      </c>
      <c r="J722" s="28"/>
    </row>
    <row r="723" spans="1:10" ht="15.75" customHeight="1">
      <c r="A723" s="28">
        <v>16686</v>
      </c>
      <c r="B723" s="91">
        <v>44886.629699074074</v>
      </c>
      <c r="C723" s="28" t="s">
        <v>10</v>
      </c>
      <c r="D723" s="28" t="s">
        <v>1242</v>
      </c>
      <c r="E723" s="28" t="s">
        <v>50</v>
      </c>
      <c r="F723" s="28">
        <v>0</v>
      </c>
      <c r="G723" s="28" t="s">
        <v>121</v>
      </c>
      <c r="H723" s="28">
        <v>0</v>
      </c>
      <c r="J723" s="28"/>
    </row>
    <row r="724" spans="1:10" ht="15.75" customHeight="1">
      <c r="A724" s="28">
        <v>16687</v>
      </c>
      <c r="B724" s="91">
        <v>44886.771747685183</v>
      </c>
      <c r="C724" s="28" t="s">
        <v>10</v>
      </c>
      <c r="D724" s="28" t="s">
        <v>1241</v>
      </c>
      <c r="E724" s="28" t="s">
        <v>50</v>
      </c>
      <c r="F724" s="28">
        <v>35</v>
      </c>
      <c r="G724" s="28" t="s">
        <v>124</v>
      </c>
      <c r="H724" s="28">
        <v>0</v>
      </c>
      <c r="J724" s="28"/>
    </row>
    <row r="725" spans="1:10" ht="15.75" customHeight="1">
      <c r="A725" s="28">
        <v>16687</v>
      </c>
      <c r="B725" s="91">
        <v>44886.771747685183</v>
      </c>
      <c r="C725" s="28" t="s">
        <v>10</v>
      </c>
      <c r="D725" s="28" t="s">
        <v>1241</v>
      </c>
      <c r="E725" s="28" t="s">
        <v>50</v>
      </c>
      <c r="F725" s="28">
        <v>0</v>
      </c>
      <c r="G725" s="28" t="s">
        <v>125</v>
      </c>
      <c r="H725" s="28">
        <v>0</v>
      </c>
      <c r="J725" s="28"/>
    </row>
    <row r="726" spans="1:10" ht="15.75" customHeight="1">
      <c r="A726" s="28">
        <v>16687</v>
      </c>
      <c r="B726" s="91">
        <v>44886.771747685183</v>
      </c>
      <c r="C726" s="28" t="s">
        <v>10</v>
      </c>
      <c r="D726" s="28" t="s">
        <v>1241</v>
      </c>
      <c r="E726" s="28" t="s">
        <v>50</v>
      </c>
      <c r="F726" s="28">
        <v>0</v>
      </c>
      <c r="G726" s="28" t="s">
        <v>121</v>
      </c>
      <c r="H726" s="28">
        <v>0</v>
      </c>
      <c r="J726" s="28"/>
    </row>
    <row r="727" spans="1:10" ht="15.75" customHeight="1">
      <c r="A727" s="28">
        <v>16687</v>
      </c>
      <c r="B727" s="91">
        <v>44886.771747685183</v>
      </c>
      <c r="C727" s="28" t="s">
        <v>10</v>
      </c>
      <c r="D727" s="28" t="s">
        <v>1241</v>
      </c>
      <c r="E727" s="28" t="s">
        <v>50</v>
      </c>
      <c r="F727" s="28">
        <v>0</v>
      </c>
      <c r="G727" s="28" t="s">
        <v>139</v>
      </c>
      <c r="H727" s="28">
        <v>0</v>
      </c>
      <c r="J727" s="28"/>
    </row>
    <row r="728" spans="1:10" ht="15.75" customHeight="1">
      <c r="A728" s="28">
        <v>16688</v>
      </c>
      <c r="B728" s="91">
        <v>44886.79623842593</v>
      </c>
      <c r="C728" s="28" t="s">
        <v>10</v>
      </c>
      <c r="D728" s="28" t="s">
        <v>1240</v>
      </c>
      <c r="E728" s="28" t="s">
        <v>50</v>
      </c>
      <c r="F728" s="28">
        <v>35</v>
      </c>
      <c r="G728" s="28" t="s">
        <v>124</v>
      </c>
      <c r="H728" s="28">
        <v>0</v>
      </c>
      <c r="J728" s="28"/>
    </row>
    <row r="729" spans="1:10" ht="15.75" customHeight="1">
      <c r="A729" s="28">
        <v>16688</v>
      </c>
      <c r="B729" s="91">
        <v>44886.79623842593</v>
      </c>
      <c r="C729" s="28" t="s">
        <v>10</v>
      </c>
      <c r="D729" s="28" t="s">
        <v>1240</v>
      </c>
      <c r="E729" s="28" t="s">
        <v>50</v>
      </c>
      <c r="F729" s="28">
        <v>0</v>
      </c>
      <c r="G729" s="28" t="s">
        <v>125</v>
      </c>
      <c r="H729" s="28">
        <v>0</v>
      </c>
      <c r="J729" s="28"/>
    </row>
    <row r="730" spans="1:10" ht="15.75" customHeight="1">
      <c r="A730" s="28">
        <v>16688</v>
      </c>
      <c r="B730" s="91">
        <v>44886.79623842593</v>
      </c>
      <c r="C730" s="28" t="s">
        <v>10</v>
      </c>
      <c r="D730" s="28" t="s">
        <v>1240</v>
      </c>
      <c r="E730" s="28" t="s">
        <v>50</v>
      </c>
      <c r="F730" s="28">
        <v>0</v>
      </c>
      <c r="G730" s="28" t="s">
        <v>121</v>
      </c>
      <c r="H730" s="28">
        <v>0</v>
      </c>
      <c r="J730" s="28"/>
    </row>
    <row r="731" spans="1:10" ht="15.75" customHeight="1">
      <c r="A731" s="28">
        <v>16688</v>
      </c>
      <c r="B731" s="91">
        <v>44886.79623842593</v>
      </c>
      <c r="C731" s="28" t="s">
        <v>10</v>
      </c>
      <c r="D731" s="28" t="s">
        <v>1240</v>
      </c>
      <c r="E731" s="28" t="s">
        <v>50</v>
      </c>
      <c r="F731" s="28">
        <v>0</v>
      </c>
      <c r="G731" s="28" t="s">
        <v>139</v>
      </c>
      <c r="H731" s="28">
        <v>0</v>
      </c>
      <c r="J731" s="28"/>
    </row>
    <row r="732" spans="1:10" ht="15.75" customHeight="1">
      <c r="A732" s="28">
        <v>16689</v>
      </c>
      <c r="B732" s="91">
        <v>44886.801284722227</v>
      </c>
      <c r="C732" s="28" t="s">
        <v>18</v>
      </c>
      <c r="D732" s="28" t="s">
        <v>1230</v>
      </c>
      <c r="E732" s="28" t="s">
        <v>50</v>
      </c>
      <c r="F732" s="28">
        <v>35</v>
      </c>
      <c r="G732" s="28" t="s">
        <v>124</v>
      </c>
      <c r="H732" s="28">
        <v>0</v>
      </c>
      <c r="J732" s="28"/>
    </row>
    <row r="733" spans="1:10" ht="15.75" customHeight="1">
      <c r="A733" s="28">
        <v>16689</v>
      </c>
      <c r="B733" s="91">
        <v>44886.801284722227</v>
      </c>
      <c r="C733" s="28" t="s">
        <v>18</v>
      </c>
      <c r="D733" s="28" t="s">
        <v>1230</v>
      </c>
      <c r="E733" s="28" t="s">
        <v>50</v>
      </c>
      <c r="F733" s="28">
        <v>0</v>
      </c>
      <c r="G733" s="28" t="s">
        <v>125</v>
      </c>
      <c r="H733" s="28">
        <v>0</v>
      </c>
      <c r="J733" s="28"/>
    </row>
    <row r="734" spans="1:10" ht="15.75" customHeight="1">
      <c r="A734" s="28">
        <v>16689</v>
      </c>
      <c r="B734" s="91">
        <v>44886.801284722227</v>
      </c>
      <c r="C734" s="28" t="s">
        <v>18</v>
      </c>
      <c r="D734" s="28" t="s">
        <v>1230</v>
      </c>
      <c r="E734" s="28" t="s">
        <v>50</v>
      </c>
      <c r="F734" s="28">
        <v>0</v>
      </c>
      <c r="G734" s="28" t="s">
        <v>121</v>
      </c>
      <c r="H734" s="28">
        <v>0</v>
      </c>
      <c r="J734" s="28"/>
    </row>
    <row r="735" spans="1:10" ht="15.75" customHeight="1">
      <c r="A735" s="28">
        <v>16689</v>
      </c>
      <c r="B735" s="91">
        <v>44886.801284722227</v>
      </c>
      <c r="C735" s="28" t="s">
        <v>18</v>
      </c>
      <c r="D735" s="28" t="s">
        <v>1230</v>
      </c>
      <c r="E735" s="28" t="s">
        <v>50</v>
      </c>
      <c r="F735" s="28">
        <v>0</v>
      </c>
      <c r="G735" s="28" t="s">
        <v>139</v>
      </c>
      <c r="H735" s="28">
        <v>0</v>
      </c>
      <c r="J735" s="28"/>
    </row>
    <row r="736" spans="1:10" ht="15.75" customHeight="1">
      <c r="A736" s="28">
        <v>16690</v>
      </c>
      <c r="B736" s="91">
        <v>44886.812638888892</v>
      </c>
      <c r="C736" s="28" t="s">
        <v>10</v>
      </c>
      <c r="D736" s="28" t="s">
        <v>1239</v>
      </c>
      <c r="E736" s="28" t="s">
        <v>50</v>
      </c>
      <c r="F736" s="28">
        <v>30</v>
      </c>
      <c r="G736" s="28" t="s">
        <v>170</v>
      </c>
      <c r="H736" s="28">
        <v>0</v>
      </c>
      <c r="J736" s="28"/>
    </row>
    <row r="737" spans="1:10" ht="15.75" customHeight="1">
      <c r="A737" s="28">
        <v>16690</v>
      </c>
      <c r="B737" s="91">
        <v>44886.812638888892</v>
      </c>
      <c r="C737" s="28" t="s">
        <v>10</v>
      </c>
      <c r="D737" s="28" t="s">
        <v>1239</v>
      </c>
      <c r="E737" s="28" t="s">
        <v>50</v>
      </c>
      <c r="F737" s="28">
        <v>35</v>
      </c>
      <c r="G737" s="28" t="s">
        <v>124</v>
      </c>
      <c r="H737" s="28">
        <v>0</v>
      </c>
      <c r="J737" s="28"/>
    </row>
    <row r="738" spans="1:10" ht="15.75" customHeight="1">
      <c r="A738" s="28">
        <v>16690</v>
      </c>
      <c r="B738" s="91">
        <v>44886.812638888892</v>
      </c>
      <c r="C738" s="28" t="s">
        <v>10</v>
      </c>
      <c r="D738" s="28" t="s">
        <v>1239</v>
      </c>
      <c r="E738" s="28" t="s">
        <v>50</v>
      </c>
      <c r="F738" s="28">
        <v>0</v>
      </c>
      <c r="G738" s="28" t="s">
        <v>125</v>
      </c>
      <c r="H738" s="28">
        <v>0</v>
      </c>
      <c r="J738" s="28"/>
    </row>
    <row r="739" spans="1:10" ht="15.75" customHeight="1">
      <c r="A739" s="28">
        <v>16690</v>
      </c>
      <c r="B739" s="91">
        <v>44886.812638888892</v>
      </c>
      <c r="C739" s="28" t="s">
        <v>10</v>
      </c>
      <c r="D739" s="28" t="s">
        <v>1239</v>
      </c>
      <c r="E739" s="28" t="s">
        <v>50</v>
      </c>
      <c r="F739" s="28">
        <v>0</v>
      </c>
      <c r="G739" s="28" t="s">
        <v>121</v>
      </c>
      <c r="H739" s="28">
        <v>0</v>
      </c>
      <c r="J739" s="28"/>
    </row>
    <row r="740" spans="1:10" ht="15.75" customHeight="1">
      <c r="A740" s="28">
        <v>16690</v>
      </c>
      <c r="B740" s="91">
        <v>44886.812638888892</v>
      </c>
      <c r="C740" s="28" t="s">
        <v>10</v>
      </c>
      <c r="D740" s="28" t="s">
        <v>1239</v>
      </c>
      <c r="E740" s="28" t="s">
        <v>50</v>
      </c>
      <c r="F740" s="28">
        <v>0</v>
      </c>
      <c r="G740" s="28" t="s">
        <v>139</v>
      </c>
      <c r="H740" s="28">
        <v>0</v>
      </c>
      <c r="J740" s="28"/>
    </row>
    <row r="741" spans="1:10" ht="15.75" customHeight="1">
      <c r="A741" s="28">
        <v>16691</v>
      </c>
      <c r="B741" s="91">
        <v>44886.845439814817</v>
      </c>
      <c r="C741" s="28" t="s">
        <v>10</v>
      </c>
      <c r="D741" s="28" t="s">
        <v>1238</v>
      </c>
      <c r="E741" s="28" t="s">
        <v>50</v>
      </c>
      <c r="F741" s="28">
        <v>55</v>
      </c>
      <c r="G741" s="28" t="s">
        <v>861</v>
      </c>
      <c r="H741" s="28">
        <v>0</v>
      </c>
      <c r="J741" s="28"/>
    </row>
    <row r="742" spans="1:10" ht="15.75" customHeight="1">
      <c r="A742" s="28">
        <v>16692</v>
      </c>
      <c r="B742" s="91">
        <v>44886.84642361111</v>
      </c>
      <c r="C742" s="28" t="s">
        <v>10</v>
      </c>
      <c r="D742" s="28" t="s">
        <v>1237</v>
      </c>
      <c r="E742" s="28" t="s">
        <v>50</v>
      </c>
      <c r="F742" s="28">
        <v>35</v>
      </c>
      <c r="G742" s="28" t="s">
        <v>124</v>
      </c>
      <c r="H742" s="28">
        <v>0</v>
      </c>
      <c r="J742" s="28"/>
    </row>
    <row r="743" spans="1:10" ht="15.75" customHeight="1">
      <c r="A743" s="28">
        <v>16692</v>
      </c>
      <c r="B743" s="91">
        <v>44886.84642361111</v>
      </c>
      <c r="C743" s="28" t="s">
        <v>10</v>
      </c>
      <c r="D743" s="28" t="s">
        <v>1237</v>
      </c>
      <c r="E743" s="28" t="s">
        <v>50</v>
      </c>
      <c r="F743" s="28">
        <v>0</v>
      </c>
      <c r="G743" s="28" t="s">
        <v>125</v>
      </c>
      <c r="H743" s="28">
        <v>0</v>
      </c>
      <c r="J743" s="28"/>
    </row>
    <row r="744" spans="1:10" ht="15.75" customHeight="1">
      <c r="A744" s="28">
        <v>16692</v>
      </c>
      <c r="B744" s="91">
        <v>44886.84642361111</v>
      </c>
      <c r="C744" s="28" t="s">
        <v>10</v>
      </c>
      <c r="D744" s="28" t="s">
        <v>1237</v>
      </c>
      <c r="E744" s="28" t="s">
        <v>50</v>
      </c>
      <c r="F744" s="28">
        <v>0</v>
      </c>
      <c r="G744" s="28" t="s">
        <v>121</v>
      </c>
      <c r="H744" s="28">
        <v>0</v>
      </c>
      <c r="J744" s="28"/>
    </row>
    <row r="745" spans="1:10" ht="15.75" customHeight="1">
      <c r="A745" s="28">
        <v>16692</v>
      </c>
      <c r="B745" s="91">
        <v>44886.84642361111</v>
      </c>
      <c r="C745" s="28" t="s">
        <v>10</v>
      </c>
      <c r="D745" s="28" t="s">
        <v>1237</v>
      </c>
      <c r="E745" s="28" t="s">
        <v>50</v>
      </c>
      <c r="F745" s="28">
        <v>0</v>
      </c>
      <c r="G745" s="28" t="s">
        <v>139</v>
      </c>
      <c r="H745" s="28">
        <v>0</v>
      </c>
      <c r="J745" s="28"/>
    </row>
    <row r="746" spans="1:10" ht="15.75" customHeight="1">
      <c r="A746" s="28">
        <v>16693</v>
      </c>
      <c r="B746" s="91">
        <v>44886.848020833335</v>
      </c>
      <c r="C746" s="28" t="s">
        <v>10</v>
      </c>
      <c r="D746" s="28" t="s">
        <v>1236</v>
      </c>
      <c r="E746" s="28" t="s">
        <v>50</v>
      </c>
      <c r="F746" s="28">
        <v>20</v>
      </c>
      <c r="G746" s="28" t="s">
        <v>148</v>
      </c>
      <c r="H746" s="28">
        <v>0</v>
      </c>
      <c r="J746" s="28"/>
    </row>
    <row r="747" spans="1:10" ht="15.75" customHeight="1">
      <c r="A747" s="28">
        <v>16693</v>
      </c>
      <c r="B747" s="91">
        <v>44886.848020833335</v>
      </c>
      <c r="C747" s="28" t="s">
        <v>10</v>
      </c>
      <c r="D747" s="28" t="s">
        <v>1236</v>
      </c>
      <c r="E747" s="28" t="s">
        <v>50</v>
      </c>
      <c r="F747" s="28">
        <v>55</v>
      </c>
      <c r="G747" s="28">
        <v>101684</v>
      </c>
      <c r="H747" s="28">
        <v>0</v>
      </c>
      <c r="J747" s="28"/>
    </row>
    <row r="748" spans="1:10" ht="15.75" customHeight="1">
      <c r="A748" s="28">
        <v>16693</v>
      </c>
      <c r="B748" s="91">
        <v>44886.848020833335</v>
      </c>
      <c r="C748" s="28" t="s">
        <v>10</v>
      </c>
      <c r="D748" s="28" t="s">
        <v>1236</v>
      </c>
      <c r="E748" s="28" t="s">
        <v>50</v>
      </c>
      <c r="F748" s="28">
        <v>0</v>
      </c>
      <c r="G748" s="28" t="s">
        <v>118</v>
      </c>
      <c r="H748" s="28">
        <v>0</v>
      </c>
      <c r="J748" s="28"/>
    </row>
    <row r="749" spans="1:10" ht="15.75" customHeight="1">
      <c r="A749" s="28">
        <v>16693</v>
      </c>
      <c r="B749" s="91">
        <v>44886.848020833335</v>
      </c>
      <c r="C749" s="28" t="s">
        <v>10</v>
      </c>
      <c r="D749" s="28" t="s">
        <v>1236</v>
      </c>
      <c r="E749" s="28" t="s">
        <v>50</v>
      </c>
      <c r="F749" s="28">
        <v>0</v>
      </c>
      <c r="G749" s="28" t="s">
        <v>119</v>
      </c>
      <c r="H749" s="28">
        <v>0</v>
      </c>
      <c r="J749" s="28"/>
    </row>
    <row r="750" spans="1:10" ht="15.75" customHeight="1">
      <c r="A750" s="28">
        <v>16693</v>
      </c>
      <c r="B750" s="91">
        <v>44886.848020833335</v>
      </c>
      <c r="C750" s="28" t="s">
        <v>10</v>
      </c>
      <c r="D750" s="28" t="s">
        <v>1236</v>
      </c>
      <c r="E750" s="28" t="s">
        <v>50</v>
      </c>
      <c r="F750" s="28">
        <v>0</v>
      </c>
      <c r="G750" s="28" t="s">
        <v>120</v>
      </c>
      <c r="H750" s="28">
        <v>0</v>
      </c>
      <c r="J750" s="28"/>
    </row>
    <row r="751" spans="1:10" ht="15.75" customHeight="1">
      <c r="A751" s="28">
        <v>16693</v>
      </c>
      <c r="B751" s="91">
        <v>44886.848020833335</v>
      </c>
      <c r="C751" s="28" t="s">
        <v>10</v>
      </c>
      <c r="D751" s="28" t="s">
        <v>1236</v>
      </c>
      <c r="E751" s="28" t="s">
        <v>50</v>
      </c>
      <c r="F751" s="28">
        <v>0</v>
      </c>
      <c r="G751" s="28" t="s">
        <v>121</v>
      </c>
      <c r="H751" s="28">
        <v>0</v>
      </c>
      <c r="J751" s="28"/>
    </row>
    <row r="752" spans="1:10" ht="15.75" customHeight="1">
      <c r="A752" s="28">
        <v>16694</v>
      </c>
      <c r="B752" s="91">
        <v>44886.856516203705</v>
      </c>
      <c r="C752" s="28" t="s">
        <v>10</v>
      </c>
      <c r="D752" s="28" t="s">
        <v>1235</v>
      </c>
      <c r="E752" s="28" t="s">
        <v>50</v>
      </c>
      <c r="F752" s="28">
        <v>28</v>
      </c>
      <c r="G752" s="28" t="s">
        <v>143</v>
      </c>
      <c r="H752" s="28">
        <v>0</v>
      </c>
      <c r="J752" s="28"/>
    </row>
    <row r="753" spans="1:10" ht="15.75" customHeight="1">
      <c r="A753" s="28">
        <v>16694</v>
      </c>
      <c r="B753" s="91">
        <v>44886.856516203705</v>
      </c>
      <c r="C753" s="28" t="s">
        <v>10</v>
      </c>
      <c r="D753" s="28" t="s">
        <v>1235</v>
      </c>
      <c r="E753" s="28" t="s">
        <v>50</v>
      </c>
      <c r="F753" s="28">
        <v>10</v>
      </c>
      <c r="G753" s="28" t="s">
        <v>139</v>
      </c>
      <c r="H753" s="28">
        <v>0</v>
      </c>
      <c r="J753" s="28"/>
    </row>
    <row r="754" spans="1:10" ht="15.75" customHeight="1">
      <c r="A754" s="28">
        <v>16694</v>
      </c>
      <c r="B754" s="91">
        <v>44886.856516203705</v>
      </c>
      <c r="C754" s="28" t="s">
        <v>10</v>
      </c>
      <c r="D754" s="28" t="s">
        <v>1235</v>
      </c>
      <c r="E754" s="28" t="s">
        <v>50</v>
      </c>
      <c r="F754" s="28">
        <v>15</v>
      </c>
      <c r="G754" s="28" t="s">
        <v>125</v>
      </c>
      <c r="H754" s="28">
        <v>0</v>
      </c>
      <c r="J754" s="28"/>
    </row>
    <row r="755" spans="1:10" ht="15.75" customHeight="1">
      <c r="A755" s="28">
        <v>16695</v>
      </c>
      <c r="B755" s="91">
        <v>44886.859907407408</v>
      </c>
      <c r="C755" s="28" t="s">
        <v>10</v>
      </c>
      <c r="D755" s="28" t="s">
        <v>1234</v>
      </c>
      <c r="E755" s="28" t="s">
        <v>50</v>
      </c>
      <c r="F755" s="28">
        <v>28</v>
      </c>
      <c r="G755" s="28" t="s">
        <v>143</v>
      </c>
      <c r="H755" s="28">
        <v>0</v>
      </c>
      <c r="J755" s="28"/>
    </row>
    <row r="756" spans="1:10" ht="15.75" customHeight="1">
      <c r="A756" s="28">
        <v>16695</v>
      </c>
      <c r="B756" s="91">
        <v>44886.859907407408</v>
      </c>
      <c r="C756" s="28" t="s">
        <v>10</v>
      </c>
      <c r="D756" s="28" t="s">
        <v>1234</v>
      </c>
      <c r="E756" s="28" t="s">
        <v>50</v>
      </c>
      <c r="F756" s="28">
        <v>10</v>
      </c>
      <c r="G756" s="28" t="s">
        <v>139</v>
      </c>
      <c r="H756" s="28">
        <v>0</v>
      </c>
      <c r="J756" s="28"/>
    </row>
    <row r="757" spans="1:10" ht="15.75" customHeight="1">
      <c r="A757" s="28">
        <v>16695</v>
      </c>
      <c r="B757" s="91">
        <v>44886.859907407408</v>
      </c>
      <c r="C757" s="28" t="s">
        <v>10</v>
      </c>
      <c r="D757" s="28" t="s">
        <v>1234</v>
      </c>
      <c r="E757" s="28" t="s">
        <v>50</v>
      </c>
      <c r="F757" s="28">
        <v>15</v>
      </c>
      <c r="G757" s="28" t="s">
        <v>125</v>
      </c>
      <c r="H757" s="28">
        <v>0</v>
      </c>
      <c r="J757" s="28"/>
    </row>
    <row r="758" spans="1:10" ht="15.75" customHeight="1">
      <c r="A758" s="28">
        <v>16696</v>
      </c>
      <c r="B758" s="91">
        <v>44886.860636574071</v>
      </c>
      <c r="C758" s="28" t="s">
        <v>10</v>
      </c>
      <c r="D758" s="28" t="s">
        <v>1233</v>
      </c>
      <c r="E758" s="28" t="s">
        <v>50</v>
      </c>
      <c r="F758" s="28">
        <v>35</v>
      </c>
      <c r="G758" s="28" t="s">
        <v>124</v>
      </c>
      <c r="H758" s="28">
        <v>0</v>
      </c>
      <c r="J758" s="28"/>
    </row>
    <row r="759" spans="1:10" ht="15.75" customHeight="1">
      <c r="A759" s="28">
        <v>16696</v>
      </c>
      <c r="B759" s="91">
        <v>44886.860636574071</v>
      </c>
      <c r="C759" s="28" t="s">
        <v>10</v>
      </c>
      <c r="D759" s="28" t="s">
        <v>1233</v>
      </c>
      <c r="E759" s="28" t="s">
        <v>50</v>
      </c>
      <c r="F759" s="28">
        <v>0</v>
      </c>
      <c r="G759" s="28" t="s">
        <v>125</v>
      </c>
      <c r="H759" s="28">
        <v>0</v>
      </c>
      <c r="J759" s="28"/>
    </row>
    <row r="760" spans="1:10" ht="15.75" customHeight="1">
      <c r="A760" s="28">
        <v>16696</v>
      </c>
      <c r="B760" s="91">
        <v>44886.860636574071</v>
      </c>
      <c r="C760" s="28" t="s">
        <v>10</v>
      </c>
      <c r="D760" s="28" t="s">
        <v>1233</v>
      </c>
      <c r="E760" s="28" t="s">
        <v>50</v>
      </c>
      <c r="F760" s="28">
        <v>0</v>
      </c>
      <c r="G760" s="28" t="s">
        <v>121</v>
      </c>
      <c r="H760" s="28">
        <v>0</v>
      </c>
      <c r="J760" s="28"/>
    </row>
    <row r="761" spans="1:10" ht="15.75" customHeight="1">
      <c r="A761" s="28">
        <v>16696</v>
      </c>
      <c r="B761" s="91">
        <v>44886.860636574071</v>
      </c>
      <c r="C761" s="28" t="s">
        <v>10</v>
      </c>
      <c r="D761" s="28" t="s">
        <v>1233</v>
      </c>
      <c r="E761" s="28" t="s">
        <v>50</v>
      </c>
      <c r="F761" s="28">
        <v>0</v>
      </c>
      <c r="G761" s="28" t="s">
        <v>139</v>
      </c>
      <c r="H761" s="28">
        <v>0</v>
      </c>
      <c r="J761" s="28"/>
    </row>
    <row r="762" spans="1:10" ht="15.75" customHeight="1">
      <c r="A762" s="28">
        <v>16697</v>
      </c>
      <c r="B762" s="91">
        <v>44886.880844907406</v>
      </c>
      <c r="C762" s="28" t="s">
        <v>10</v>
      </c>
      <c r="D762" s="28" t="s">
        <v>1232</v>
      </c>
      <c r="E762" s="28" t="s">
        <v>50</v>
      </c>
      <c r="F762" s="28">
        <v>35</v>
      </c>
      <c r="G762" s="28" t="s">
        <v>124</v>
      </c>
      <c r="H762" s="28">
        <v>0</v>
      </c>
      <c r="J762" s="28"/>
    </row>
    <row r="763" spans="1:10" ht="15.75" customHeight="1">
      <c r="A763" s="28">
        <v>16697</v>
      </c>
      <c r="B763" s="91">
        <v>44886.880844907406</v>
      </c>
      <c r="C763" s="28" t="s">
        <v>10</v>
      </c>
      <c r="D763" s="28" t="s">
        <v>1232</v>
      </c>
      <c r="E763" s="28" t="s">
        <v>50</v>
      </c>
      <c r="F763" s="28">
        <v>0</v>
      </c>
      <c r="G763" s="28" t="s">
        <v>125</v>
      </c>
      <c r="H763" s="28">
        <v>0</v>
      </c>
      <c r="J763" s="28"/>
    </row>
    <row r="764" spans="1:10" ht="15.75" customHeight="1">
      <c r="A764" s="28">
        <v>16697</v>
      </c>
      <c r="B764" s="91">
        <v>44886.880844907406</v>
      </c>
      <c r="C764" s="28" t="s">
        <v>10</v>
      </c>
      <c r="D764" s="28" t="s">
        <v>1232</v>
      </c>
      <c r="E764" s="28" t="s">
        <v>50</v>
      </c>
      <c r="F764" s="28">
        <v>0</v>
      </c>
      <c r="G764" s="28" t="s">
        <v>121</v>
      </c>
      <c r="H764" s="28">
        <v>0</v>
      </c>
      <c r="J764" s="28"/>
    </row>
    <row r="765" spans="1:10" ht="15.75" customHeight="1">
      <c r="A765" s="28">
        <v>16697</v>
      </c>
      <c r="B765" s="91">
        <v>44886.880844907406</v>
      </c>
      <c r="C765" s="28" t="s">
        <v>10</v>
      </c>
      <c r="D765" s="28" t="s">
        <v>1232</v>
      </c>
      <c r="E765" s="28" t="s">
        <v>50</v>
      </c>
      <c r="F765" s="28">
        <v>0</v>
      </c>
      <c r="G765" s="28" t="s">
        <v>139</v>
      </c>
      <c r="H765" s="28">
        <v>0</v>
      </c>
      <c r="J765" s="28"/>
    </row>
    <row r="766" spans="1:10" ht="15.75" customHeight="1">
      <c r="A766" s="28">
        <v>16697</v>
      </c>
      <c r="B766" s="91">
        <v>44886.880844907406</v>
      </c>
      <c r="C766" s="28" t="s">
        <v>10</v>
      </c>
      <c r="D766" s="28" t="s">
        <v>1232</v>
      </c>
      <c r="E766" s="28" t="s">
        <v>50</v>
      </c>
      <c r="F766" s="28">
        <v>18</v>
      </c>
      <c r="G766" s="28" t="s">
        <v>119</v>
      </c>
      <c r="H766" s="28">
        <v>0</v>
      </c>
      <c r="J766" s="28"/>
    </row>
    <row r="767" spans="1:10" ht="15.75" customHeight="1">
      <c r="A767" s="28">
        <v>16698</v>
      </c>
      <c r="B767" s="91">
        <v>44886.89708333333</v>
      </c>
      <c r="C767" s="28" t="s">
        <v>10</v>
      </c>
      <c r="D767" s="28" t="s">
        <v>1231</v>
      </c>
      <c r="E767" s="28" t="s">
        <v>50</v>
      </c>
      <c r="F767" s="28">
        <v>25</v>
      </c>
      <c r="G767" s="28" t="s">
        <v>120</v>
      </c>
      <c r="H767" s="28">
        <v>0</v>
      </c>
      <c r="J767" s="28"/>
    </row>
    <row r="768" spans="1:10" ht="15.75" customHeight="1">
      <c r="A768" s="28">
        <v>16698</v>
      </c>
      <c r="B768" s="91">
        <v>44886.89708333333</v>
      </c>
      <c r="C768" s="28" t="s">
        <v>10</v>
      </c>
      <c r="D768" s="28" t="s">
        <v>1231</v>
      </c>
      <c r="E768" s="28" t="s">
        <v>50</v>
      </c>
      <c r="F768" s="28">
        <v>40</v>
      </c>
      <c r="G768" s="28" t="s">
        <v>148</v>
      </c>
      <c r="H768" s="28">
        <v>0</v>
      </c>
      <c r="J768" s="28"/>
    </row>
    <row r="769" spans="1:10" ht="15.75" customHeight="1">
      <c r="A769" s="28">
        <v>16699</v>
      </c>
      <c r="B769" s="91">
        <v>44886.931712962964</v>
      </c>
      <c r="C769" s="28" t="s">
        <v>10</v>
      </c>
      <c r="D769" s="28" t="s">
        <v>1230</v>
      </c>
      <c r="E769" s="28" t="s">
        <v>50</v>
      </c>
      <c r="F769" s="28">
        <v>35</v>
      </c>
      <c r="G769" s="28" t="s">
        <v>124</v>
      </c>
      <c r="H769" s="28">
        <v>0</v>
      </c>
      <c r="J769" s="28"/>
    </row>
    <row r="770" spans="1:10" ht="15.75" customHeight="1">
      <c r="A770" s="28">
        <v>16699</v>
      </c>
      <c r="B770" s="91">
        <v>44886.931712962964</v>
      </c>
      <c r="C770" s="28" t="s">
        <v>10</v>
      </c>
      <c r="D770" s="28" t="s">
        <v>1230</v>
      </c>
      <c r="E770" s="28" t="s">
        <v>50</v>
      </c>
      <c r="F770" s="28">
        <v>0</v>
      </c>
      <c r="G770" s="28" t="s">
        <v>125</v>
      </c>
      <c r="H770" s="28">
        <v>0</v>
      </c>
      <c r="J770" s="28"/>
    </row>
    <row r="771" spans="1:10" ht="15.75" customHeight="1">
      <c r="A771" s="28">
        <v>16699</v>
      </c>
      <c r="B771" s="91">
        <v>44886.931712962964</v>
      </c>
      <c r="C771" s="28" t="s">
        <v>10</v>
      </c>
      <c r="D771" s="28" t="s">
        <v>1230</v>
      </c>
      <c r="E771" s="28" t="s">
        <v>50</v>
      </c>
      <c r="F771" s="28">
        <v>0</v>
      </c>
      <c r="G771" s="28" t="s">
        <v>121</v>
      </c>
      <c r="H771" s="28">
        <v>0</v>
      </c>
      <c r="J771" s="28"/>
    </row>
    <row r="772" spans="1:10" ht="15.75" customHeight="1">
      <c r="A772" s="28">
        <v>16699</v>
      </c>
      <c r="B772" s="91">
        <v>44886.931712962964</v>
      </c>
      <c r="C772" s="28" t="s">
        <v>10</v>
      </c>
      <c r="D772" s="28" t="s">
        <v>1230</v>
      </c>
      <c r="E772" s="28" t="s">
        <v>50</v>
      </c>
      <c r="F772" s="28">
        <v>0</v>
      </c>
      <c r="G772" s="28" t="s">
        <v>119</v>
      </c>
      <c r="H772" s="28">
        <v>0</v>
      </c>
      <c r="J772" s="28"/>
    </row>
    <row r="773" spans="1:10" ht="15.75" customHeight="1">
      <c r="A773" s="28">
        <v>16700</v>
      </c>
      <c r="B773" s="91">
        <v>44886.940694444449</v>
      </c>
      <c r="C773" s="28" t="s">
        <v>10</v>
      </c>
      <c r="D773" s="28" t="s">
        <v>1229</v>
      </c>
      <c r="E773" s="28" t="s">
        <v>50</v>
      </c>
      <c r="F773" s="28">
        <v>22</v>
      </c>
      <c r="G773" s="28" t="s">
        <v>137</v>
      </c>
      <c r="H773" s="28">
        <v>0</v>
      </c>
      <c r="J773" s="28"/>
    </row>
    <row r="774" spans="1:10" ht="15.75" customHeight="1">
      <c r="A774" s="28">
        <v>16700</v>
      </c>
      <c r="B774" s="91">
        <v>44886.940694444449</v>
      </c>
      <c r="C774" s="28" t="s">
        <v>10</v>
      </c>
      <c r="D774" s="28" t="s">
        <v>1229</v>
      </c>
      <c r="E774" s="28" t="s">
        <v>50</v>
      </c>
      <c r="F774" s="28">
        <v>20</v>
      </c>
      <c r="G774" s="28" t="s">
        <v>148</v>
      </c>
      <c r="H774" s="28">
        <v>0</v>
      </c>
      <c r="J774" s="28"/>
    </row>
    <row r="775" spans="1:10" ht="15.75" customHeight="1">
      <c r="A775" s="28">
        <v>16701</v>
      </c>
      <c r="B775" s="91">
        <v>44886.947291666671</v>
      </c>
      <c r="C775" s="28" t="s">
        <v>10</v>
      </c>
      <c r="D775" s="28" t="s">
        <v>1228</v>
      </c>
      <c r="E775" s="28" t="s">
        <v>50</v>
      </c>
      <c r="F775" s="28">
        <v>35</v>
      </c>
      <c r="G775" s="28" t="s">
        <v>124</v>
      </c>
      <c r="H775" s="28">
        <v>0</v>
      </c>
      <c r="J775" s="28"/>
    </row>
    <row r="776" spans="1:10" ht="15.75" customHeight="1">
      <c r="A776" s="28">
        <v>16701</v>
      </c>
      <c r="B776" s="91">
        <v>44886.947291666671</v>
      </c>
      <c r="C776" s="28" t="s">
        <v>10</v>
      </c>
      <c r="D776" s="28" t="s">
        <v>1228</v>
      </c>
      <c r="E776" s="28" t="s">
        <v>50</v>
      </c>
      <c r="F776" s="28">
        <v>0</v>
      </c>
      <c r="G776" s="28" t="s">
        <v>125</v>
      </c>
      <c r="H776" s="28">
        <v>0</v>
      </c>
      <c r="J776" s="28"/>
    </row>
    <row r="777" spans="1:10" ht="15.75" customHeight="1">
      <c r="A777" s="28">
        <v>16701</v>
      </c>
      <c r="B777" s="91">
        <v>44886.947291666671</v>
      </c>
      <c r="C777" s="28" t="s">
        <v>10</v>
      </c>
      <c r="D777" s="28" t="s">
        <v>1228</v>
      </c>
      <c r="E777" s="28" t="s">
        <v>50</v>
      </c>
      <c r="F777" s="28">
        <v>0</v>
      </c>
      <c r="G777" s="28" t="s">
        <v>121</v>
      </c>
      <c r="H777" s="28">
        <v>0</v>
      </c>
      <c r="J777" s="28"/>
    </row>
    <row r="778" spans="1:10" ht="15.75" customHeight="1">
      <c r="A778" s="28">
        <v>16701</v>
      </c>
      <c r="B778" s="91">
        <v>44886.947291666671</v>
      </c>
      <c r="C778" s="28" t="s">
        <v>10</v>
      </c>
      <c r="D778" s="28" t="s">
        <v>1228</v>
      </c>
      <c r="E778" s="28" t="s">
        <v>50</v>
      </c>
      <c r="F778" s="28">
        <v>0</v>
      </c>
      <c r="G778" s="28" t="s">
        <v>119</v>
      </c>
      <c r="H778" s="28">
        <v>0</v>
      </c>
      <c r="J778" s="28"/>
    </row>
    <row r="779" spans="1:10" ht="15.75" customHeight="1">
      <c r="A779" s="28">
        <v>16702</v>
      </c>
      <c r="B779" s="91">
        <v>44886.949166666665</v>
      </c>
      <c r="C779" s="28" t="s">
        <v>10</v>
      </c>
      <c r="D779" s="28" t="s">
        <v>1227</v>
      </c>
      <c r="E779" s="28" t="s">
        <v>50</v>
      </c>
      <c r="F779" s="28">
        <v>0</v>
      </c>
      <c r="G779" s="28" t="s">
        <v>139</v>
      </c>
      <c r="H779" s="28">
        <v>0</v>
      </c>
      <c r="J779" s="28"/>
    </row>
    <row r="780" spans="1:10" ht="15.75" customHeight="1">
      <c r="A780" s="28">
        <v>16702</v>
      </c>
      <c r="B780" s="91">
        <v>44886.949166666665</v>
      </c>
      <c r="C780" s="28" t="s">
        <v>10</v>
      </c>
      <c r="D780" s="28" t="s">
        <v>1227</v>
      </c>
      <c r="E780" s="28" t="s">
        <v>50</v>
      </c>
      <c r="F780" s="28">
        <v>18</v>
      </c>
      <c r="G780" s="28" t="s">
        <v>119</v>
      </c>
      <c r="H780" s="28">
        <v>0</v>
      </c>
      <c r="J780" s="28"/>
    </row>
    <row r="781" spans="1:10" ht="15.75" customHeight="1">
      <c r="A781" s="28">
        <v>16703</v>
      </c>
      <c r="B781" s="91">
        <v>44886.956921296296</v>
      </c>
      <c r="C781" s="28" t="s">
        <v>10</v>
      </c>
      <c r="D781" s="28" t="s">
        <v>1226</v>
      </c>
      <c r="E781" s="28" t="s">
        <v>50</v>
      </c>
      <c r="F781" s="28">
        <v>24</v>
      </c>
      <c r="G781" s="28" t="s">
        <v>122</v>
      </c>
      <c r="H781" s="28">
        <v>0</v>
      </c>
      <c r="J781" s="28"/>
    </row>
    <row r="782" spans="1:10" ht="15.75" customHeight="1">
      <c r="A782" s="28">
        <v>16703</v>
      </c>
      <c r="B782" s="91">
        <v>44886.956921296296</v>
      </c>
      <c r="C782" s="28" t="s">
        <v>10</v>
      </c>
      <c r="D782" s="28" t="s">
        <v>1226</v>
      </c>
      <c r="E782" s="28" t="s">
        <v>50</v>
      </c>
      <c r="F782" s="28">
        <v>28</v>
      </c>
      <c r="G782" s="28" t="s">
        <v>143</v>
      </c>
      <c r="H782" s="28">
        <v>0</v>
      </c>
      <c r="J782" s="28"/>
    </row>
    <row r="783" spans="1:10" ht="15.75" customHeight="1">
      <c r="A783" s="28">
        <v>16703</v>
      </c>
      <c r="B783" s="91">
        <v>44886.956921296296</v>
      </c>
      <c r="C783" s="28" t="s">
        <v>10</v>
      </c>
      <c r="D783" s="28" t="s">
        <v>1226</v>
      </c>
      <c r="E783" s="28" t="s">
        <v>50</v>
      </c>
      <c r="F783" s="28">
        <v>0</v>
      </c>
      <c r="G783" s="28" t="s">
        <v>139</v>
      </c>
      <c r="H783" s="28">
        <v>0</v>
      </c>
      <c r="J783" s="28"/>
    </row>
    <row r="784" spans="1:10" ht="15.75" customHeight="1">
      <c r="A784" s="28">
        <v>16704</v>
      </c>
      <c r="B784" s="91">
        <v>44886.958993055552</v>
      </c>
      <c r="C784" s="28" t="s">
        <v>10</v>
      </c>
      <c r="D784" s="28" t="s">
        <v>1225</v>
      </c>
      <c r="E784" s="28" t="s">
        <v>50</v>
      </c>
      <c r="F784" s="28">
        <v>15</v>
      </c>
      <c r="G784" s="28" t="s">
        <v>170</v>
      </c>
      <c r="H784" s="28">
        <v>0</v>
      </c>
      <c r="J784" s="28"/>
    </row>
    <row r="785" spans="1:10" ht="15.75" customHeight="1">
      <c r="A785" s="28">
        <v>16705</v>
      </c>
      <c r="B785" s="91">
        <v>44886.971377314811</v>
      </c>
      <c r="C785" s="28" t="s">
        <v>10</v>
      </c>
      <c r="D785" s="28" t="s">
        <v>1224</v>
      </c>
      <c r="E785" s="28" t="s">
        <v>50</v>
      </c>
      <c r="F785" s="28">
        <v>25</v>
      </c>
      <c r="G785" s="28">
        <v>100692</v>
      </c>
      <c r="H785" s="28">
        <v>0</v>
      </c>
      <c r="J785" s="28"/>
    </row>
    <row r="786" spans="1:10" ht="15.75" customHeight="1">
      <c r="A786" s="28">
        <v>16705</v>
      </c>
      <c r="B786" s="91">
        <v>44886.971377314811</v>
      </c>
      <c r="C786" s="28" t="s">
        <v>10</v>
      </c>
      <c r="D786" s="28" t="s">
        <v>1224</v>
      </c>
      <c r="E786" s="28" t="s">
        <v>50</v>
      </c>
      <c r="F786" s="28">
        <v>0</v>
      </c>
      <c r="G786" s="28" t="s">
        <v>125</v>
      </c>
      <c r="H786" s="28">
        <v>0</v>
      </c>
      <c r="J786" s="28"/>
    </row>
    <row r="787" spans="1:10" ht="15.75" customHeight="1">
      <c r="A787" s="28">
        <v>16705</v>
      </c>
      <c r="B787" s="91">
        <v>44886.971377314811</v>
      </c>
      <c r="C787" s="28" t="s">
        <v>10</v>
      </c>
      <c r="D787" s="28" t="s">
        <v>1224</v>
      </c>
      <c r="E787" s="28" t="s">
        <v>50</v>
      </c>
      <c r="F787" s="28">
        <v>0</v>
      </c>
      <c r="G787" s="28" t="s">
        <v>119</v>
      </c>
      <c r="H787" s="28">
        <v>0</v>
      </c>
      <c r="J787" s="28"/>
    </row>
    <row r="788" spans="1:10" ht="15.75" customHeight="1">
      <c r="A788" s="28">
        <v>16705</v>
      </c>
      <c r="B788" s="91">
        <v>44886.971377314811</v>
      </c>
      <c r="C788" s="28" t="s">
        <v>10</v>
      </c>
      <c r="D788" s="28" t="s">
        <v>1224</v>
      </c>
      <c r="E788" s="28" t="s">
        <v>50</v>
      </c>
      <c r="F788" s="28">
        <v>16</v>
      </c>
      <c r="G788" s="28" t="s">
        <v>900</v>
      </c>
      <c r="H788" s="28">
        <v>0</v>
      </c>
      <c r="J788" s="28"/>
    </row>
    <row r="789" spans="1:10" ht="15.75" customHeight="1">
      <c r="A789" s="28">
        <v>16706</v>
      </c>
      <c r="B789" s="91">
        <v>44886.976493055554</v>
      </c>
      <c r="C789" s="28" t="s">
        <v>10</v>
      </c>
      <c r="D789" s="28" t="s">
        <v>1223</v>
      </c>
      <c r="E789" s="28" t="s">
        <v>50</v>
      </c>
      <c r="F789" s="28">
        <v>25</v>
      </c>
      <c r="G789" s="28">
        <v>100692</v>
      </c>
      <c r="H789" s="28">
        <v>0</v>
      </c>
      <c r="J789" s="28"/>
    </row>
    <row r="790" spans="1:10" ht="15.75" customHeight="1">
      <c r="A790" s="28">
        <v>16706</v>
      </c>
      <c r="B790" s="91">
        <v>44886.976493055554</v>
      </c>
      <c r="C790" s="28" t="s">
        <v>10</v>
      </c>
      <c r="D790" s="28" t="s">
        <v>1223</v>
      </c>
      <c r="E790" s="28" t="s">
        <v>50</v>
      </c>
      <c r="F790" s="28">
        <v>0</v>
      </c>
      <c r="G790" s="28" t="s">
        <v>125</v>
      </c>
      <c r="H790" s="28">
        <v>0</v>
      </c>
      <c r="J790" s="28"/>
    </row>
    <row r="791" spans="1:10" ht="15.75" customHeight="1">
      <c r="A791" s="28">
        <v>16706</v>
      </c>
      <c r="B791" s="91">
        <v>44886.976493055554</v>
      </c>
      <c r="C791" s="28" t="s">
        <v>10</v>
      </c>
      <c r="D791" s="28" t="s">
        <v>1223</v>
      </c>
      <c r="E791" s="28" t="s">
        <v>50</v>
      </c>
      <c r="F791" s="28">
        <v>0</v>
      </c>
      <c r="G791" s="28" t="s">
        <v>119</v>
      </c>
      <c r="H791" s="28">
        <v>0</v>
      </c>
      <c r="J791" s="28"/>
    </row>
    <row r="792" spans="1:10" ht="15.75" customHeight="1">
      <c r="A792" s="28">
        <v>16707</v>
      </c>
      <c r="B792" s="91">
        <v>44886.981249999997</v>
      </c>
      <c r="C792" s="28" t="s">
        <v>10</v>
      </c>
      <c r="D792" s="28" t="s">
        <v>1222</v>
      </c>
      <c r="E792" s="28" t="s">
        <v>50</v>
      </c>
      <c r="F792" s="28">
        <v>25</v>
      </c>
      <c r="G792" s="28" t="s">
        <v>120</v>
      </c>
      <c r="H792" s="28">
        <v>0</v>
      </c>
      <c r="J792" s="28"/>
    </row>
    <row r="793" spans="1:10" ht="15.75" customHeight="1">
      <c r="A793" s="28">
        <v>16707</v>
      </c>
      <c r="B793" s="91">
        <v>44886.981249999997</v>
      </c>
      <c r="C793" s="28" t="s">
        <v>10</v>
      </c>
      <c r="D793" s="28" t="s">
        <v>1222</v>
      </c>
      <c r="E793" s="28" t="s">
        <v>50</v>
      </c>
      <c r="F793" s="28">
        <v>15</v>
      </c>
      <c r="G793" s="28" t="s">
        <v>170</v>
      </c>
      <c r="H793" s="28">
        <v>0</v>
      </c>
      <c r="J793" s="28"/>
    </row>
    <row r="794" spans="1:10" ht="15.75" customHeight="1">
      <c r="A794" s="28">
        <v>16708</v>
      </c>
      <c r="B794" s="91">
        <v>44886.984143518523</v>
      </c>
      <c r="C794" s="28" t="s">
        <v>10</v>
      </c>
      <c r="D794" s="28" t="s">
        <v>1215</v>
      </c>
      <c r="E794" s="28" t="s">
        <v>50</v>
      </c>
      <c r="F794" s="28">
        <v>10</v>
      </c>
      <c r="G794" s="28" t="s">
        <v>286</v>
      </c>
      <c r="H794" s="28">
        <v>0</v>
      </c>
      <c r="J794" s="28"/>
    </row>
    <row r="795" spans="1:10" ht="15.75" customHeight="1">
      <c r="A795" s="28">
        <v>16709</v>
      </c>
      <c r="B795" s="91">
        <v>44886.988726851851</v>
      </c>
      <c r="C795" s="28" t="s">
        <v>10</v>
      </c>
      <c r="D795" s="28" t="s">
        <v>1221</v>
      </c>
      <c r="E795" s="28" t="s">
        <v>50</v>
      </c>
      <c r="F795" s="28">
        <v>35</v>
      </c>
      <c r="G795" s="28" t="s">
        <v>124</v>
      </c>
      <c r="H795" s="28">
        <v>0</v>
      </c>
      <c r="J795" s="28"/>
    </row>
    <row r="796" spans="1:10" ht="15.75" customHeight="1">
      <c r="A796" s="28">
        <v>16709</v>
      </c>
      <c r="B796" s="91">
        <v>44886.988726851851</v>
      </c>
      <c r="C796" s="28" t="s">
        <v>10</v>
      </c>
      <c r="D796" s="28" t="s">
        <v>1221</v>
      </c>
      <c r="E796" s="28" t="s">
        <v>50</v>
      </c>
      <c r="F796" s="28">
        <v>0</v>
      </c>
      <c r="G796" s="28" t="s">
        <v>125</v>
      </c>
      <c r="H796" s="28">
        <v>0</v>
      </c>
      <c r="J796" s="28"/>
    </row>
    <row r="797" spans="1:10" ht="15.75" customHeight="1">
      <c r="A797" s="28">
        <v>16709</v>
      </c>
      <c r="B797" s="91">
        <v>44886.988726851851</v>
      </c>
      <c r="C797" s="28" t="s">
        <v>10</v>
      </c>
      <c r="D797" s="28" t="s">
        <v>1221</v>
      </c>
      <c r="E797" s="28" t="s">
        <v>50</v>
      </c>
      <c r="F797" s="28">
        <v>0</v>
      </c>
      <c r="G797" s="28" t="s">
        <v>121</v>
      </c>
      <c r="H797" s="28">
        <v>0</v>
      </c>
      <c r="J797" s="28"/>
    </row>
    <row r="798" spans="1:10" ht="15.75" customHeight="1">
      <c r="A798" s="28">
        <v>16709</v>
      </c>
      <c r="B798" s="91">
        <v>44886.988726851851</v>
      </c>
      <c r="C798" s="28" t="s">
        <v>10</v>
      </c>
      <c r="D798" s="28" t="s">
        <v>1221</v>
      </c>
      <c r="E798" s="28" t="s">
        <v>50</v>
      </c>
      <c r="F798" s="28">
        <v>0</v>
      </c>
      <c r="G798" s="28" t="s">
        <v>119</v>
      </c>
      <c r="H798" s="28">
        <v>0</v>
      </c>
      <c r="J798" s="28"/>
    </row>
    <row r="799" spans="1:10" ht="15.75" customHeight="1">
      <c r="A799" s="28">
        <v>16710</v>
      </c>
      <c r="B799" s="91">
        <v>44886.990983796291</v>
      </c>
      <c r="C799" s="28" t="s">
        <v>10</v>
      </c>
      <c r="D799" s="28" t="s">
        <v>1220</v>
      </c>
      <c r="E799" s="28" t="s">
        <v>50</v>
      </c>
      <c r="F799" s="28">
        <v>35</v>
      </c>
      <c r="G799" s="28" t="s">
        <v>124</v>
      </c>
      <c r="H799" s="28">
        <v>0</v>
      </c>
      <c r="J799" s="28"/>
    </row>
    <row r="800" spans="1:10" ht="15.75" customHeight="1">
      <c r="A800" s="28">
        <v>16710</v>
      </c>
      <c r="B800" s="91">
        <v>44886.990983796291</v>
      </c>
      <c r="C800" s="28" t="s">
        <v>10</v>
      </c>
      <c r="D800" s="28" t="s">
        <v>1220</v>
      </c>
      <c r="E800" s="28" t="s">
        <v>50</v>
      </c>
      <c r="F800" s="28">
        <v>0</v>
      </c>
      <c r="G800" s="28" t="s">
        <v>125</v>
      </c>
      <c r="H800" s="28">
        <v>0</v>
      </c>
      <c r="J800" s="28"/>
    </row>
    <row r="801" spans="1:10" ht="15.75" customHeight="1">
      <c r="A801" s="28">
        <v>16710</v>
      </c>
      <c r="B801" s="91">
        <v>44886.990983796291</v>
      </c>
      <c r="C801" s="28" t="s">
        <v>10</v>
      </c>
      <c r="D801" s="28" t="s">
        <v>1220</v>
      </c>
      <c r="E801" s="28" t="s">
        <v>50</v>
      </c>
      <c r="F801" s="28">
        <v>0</v>
      </c>
      <c r="G801" s="28" t="s">
        <v>121</v>
      </c>
      <c r="H801" s="28">
        <v>0</v>
      </c>
      <c r="J801" s="28"/>
    </row>
    <row r="802" spans="1:10" ht="15.75" customHeight="1">
      <c r="A802" s="28">
        <v>16710</v>
      </c>
      <c r="B802" s="91">
        <v>44886.990983796291</v>
      </c>
      <c r="C802" s="28" t="s">
        <v>10</v>
      </c>
      <c r="D802" s="28" t="s">
        <v>1220</v>
      </c>
      <c r="E802" s="28" t="s">
        <v>50</v>
      </c>
      <c r="F802" s="28">
        <v>0</v>
      </c>
      <c r="G802" s="28" t="s">
        <v>119</v>
      </c>
      <c r="H802" s="28">
        <v>0</v>
      </c>
      <c r="J802" s="28"/>
    </row>
    <row r="803" spans="1:10" ht="15.75" customHeight="1">
      <c r="A803" s="28">
        <v>16710</v>
      </c>
      <c r="B803" s="91">
        <v>44886.990983796291</v>
      </c>
      <c r="C803" s="28" t="s">
        <v>10</v>
      </c>
      <c r="D803" s="28" t="s">
        <v>1220</v>
      </c>
      <c r="E803" s="28" t="s">
        <v>50</v>
      </c>
      <c r="F803" s="28">
        <v>56</v>
      </c>
      <c r="G803" s="28" t="s">
        <v>143</v>
      </c>
      <c r="H803" s="28">
        <v>0</v>
      </c>
      <c r="J803" s="28"/>
    </row>
    <row r="804" spans="1:10" ht="15.75" customHeight="1">
      <c r="A804" s="28">
        <v>16711</v>
      </c>
      <c r="B804" s="91">
        <v>44886.99391203704</v>
      </c>
      <c r="C804" s="28" t="s">
        <v>10</v>
      </c>
      <c r="D804" s="28" t="s">
        <v>1219</v>
      </c>
      <c r="E804" s="28" t="s">
        <v>50</v>
      </c>
      <c r="F804" s="28">
        <v>20</v>
      </c>
      <c r="G804" s="28" t="s">
        <v>148</v>
      </c>
      <c r="H804" s="28">
        <v>0</v>
      </c>
      <c r="J804" s="28"/>
    </row>
    <row r="805" spans="1:10" ht="15.75" customHeight="1">
      <c r="A805" s="28">
        <v>16712</v>
      </c>
      <c r="B805" s="91">
        <v>44886.999548611115</v>
      </c>
      <c r="C805" s="28" t="s">
        <v>10</v>
      </c>
      <c r="D805" s="28" t="s">
        <v>1218</v>
      </c>
      <c r="E805" s="28" t="s">
        <v>50</v>
      </c>
      <c r="F805" s="28">
        <v>24</v>
      </c>
      <c r="G805" s="28" t="s">
        <v>122</v>
      </c>
      <c r="H805" s="28">
        <v>0</v>
      </c>
      <c r="J805" s="28"/>
    </row>
    <row r="806" spans="1:10" ht="15.75" customHeight="1">
      <c r="A806" s="28">
        <v>16712</v>
      </c>
      <c r="B806" s="91">
        <v>44886.999548611115</v>
      </c>
      <c r="C806" s="28" t="s">
        <v>10</v>
      </c>
      <c r="D806" s="28" t="s">
        <v>1218</v>
      </c>
      <c r="E806" s="28" t="s">
        <v>50</v>
      </c>
      <c r="F806" s="28">
        <v>35</v>
      </c>
      <c r="G806" s="28" t="s">
        <v>124</v>
      </c>
      <c r="H806" s="28">
        <v>0</v>
      </c>
      <c r="J806" s="28"/>
    </row>
    <row r="807" spans="1:10" ht="15.75" customHeight="1">
      <c r="A807" s="28">
        <v>16712</v>
      </c>
      <c r="B807" s="91">
        <v>44886.999548611115</v>
      </c>
      <c r="C807" s="28" t="s">
        <v>10</v>
      </c>
      <c r="D807" s="28" t="s">
        <v>1218</v>
      </c>
      <c r="E807" s="28" t="s">
        <v>50</v>
      </c>
      <c r="F807" s="28">
        <v>0</v>
      </c>
      <c r="G807" s="28" t="s">
        <v>125</v>
      </c>
      <c r="H807" s="28">
        <v>0</v>
      </c>
      <c r="J807" s="28"/>
    </row>
    <row r="808" spans="1:10" ht="15.75" customHeight="1">
      <c r="A808" s="28">
        <v>16712</v>
      </c>
      <c r="B808" s="91">
        <v>44886.999548611115</v>
      </c>
      <c r="C808" s="28" t="s">
        <v>10</v>
      </c>
      <c r="D808" s="28" t="s">
        <v>1218</v>
      </c>
      <c r="E808" s="28" t="s">
        <v>50</v>
      </c>
      <c r="F808" s="28">
        <v>0</v>
      </c>
      <c r="G808" s="28" t="s">
        <v>121</v>
      </c>
      <c r="H808" s="28">
        <v>0</v>
      </c>
      <c r="J808" s="28"/>
    </row>
    <row r="809" spans="1:10" ht="15.75" customHeight="1">
      <c r="A809" s="28">
        <v>16712</v>
      </c>
      <c r="B809" s="91">
        <v>44886.999548611115</v>
      </c>
      <c r="C809" s="28" t="s">
        <v>10</v>
      </c>
      <c r="D809" s="28" t="s">
        <v>1218</v>
      </c>
      <c r="E809" s="28" t="s">
        <v>50</v>
      </c>
      <c r="F809" s="28">
        <v>0</v>
      </c>
      <c r="G809" s="28" t="s">
        <v>119</v>
      </c>
      <c r="H809" s="28">
        <v>0</v>
      </c>
      <c r="J809" s="28"/>
    </row>
    <row r="810" spans="1:10" ht="15.75" customHeight="1">
      <c r="A810" s="28">
        <v>16713</v>
      </c>
      <c r="B810" s="91">
        <v>44886.999745370369</v>
      </c>
      <c r="C810" s="28" t="s">
        <v>10</v>
      </c>
      <c r="D810" s="28" t="s">
        <v>1217</v>
      </c>
      <c r="E810" s="28" t="s">
        <v>50</v>
      </c>
      <c r="F810" s="28">
        <v>25</v>
      </c>
      <c r="G810" s="28">
        <v>100692</v>
      </c>
      <c r="H810" s="28">
        <v>0</v>
      </c>
      <c r="J810" s="28"/>
    </row>
    <row r="811" spans="1:10" ht="15.75" customHeight="1">
      <c r="A811" s="28">
        <v>16713</v>
      </c>
      <c r="B811" s="91">
        <v>44886.999745370369</v>
      </c>
      <c r="C811" s="28" t="s">
        <v>10</v>
      </c>
      <c r="D811" s="28" t="s">
        <v>1217</v>
      </c>
      <c r="E811" s="28" t="s">
        <v>50</v>
      </c>
      <c r="F811" s="28">
        <v>0</v>
      </c>
      <c r="G811" s="28" t="s">
        <v>125</v>
      </c>
      <c r="H811" s="28">
        <v>0</v>
      </c>
      <c r="J811" s="28"/>
    </row>
    <row r="812" spans="1:10" ht="15.75" customHeight="1">
      <c r="A812" s="28">
        <v>16713</v>
      </c>
      <c r="B812" s="91">
        <v>44886.999745370369</v>
      </c>
      <c r="C812" s="28" t="s">
        <v>10</v>
      </c>
      <c r="D812" s="28" t="s">
        <v>1217</v>
      </c>
      <c r="E812" s="28" t="s">
        <v>50</v>
      </c>
      <c r="F812" s="28">
        <v>0</v>
      </c>
      <c r="G812" s="28" t="s">
        <v>119</v>
      </c>
      <c r="H812" s="28">
        <v>0</v>
      </c>
      <c r="J812" s="28"/>
    </row>
    <row r="813" spans="1:10" ht="15.75" customHeight="1">
      <c r="A813" s="28">
        <v>16714</v>
      </c>
      <c r="B813" s="91">
        <v>44887.013414351852</v>
      </c>
      <c r="C813" s="28" t="s">
        <v>10</v>
      </c>
      <c r="D813" s="28" t="s">
        <v>1216</v>
      </c>
      <c r="E813" s="28" t="s">
        <v>50</v>
      </c>
      <c r="F813" s="28">
        <v>0</v>
      </c>
      <c r="G813" s="28" t="s">
        <v>139</v>
      </c>
      <c r="H813" s="28">
        <v>0</v>
      </c>
      <c r="J813" s="28"/>
    </row>
    <row r="814" spans="1:10" ht="15.75" customHeight="1">
      <c r="A814" s="28">
        <v>16714</v>
      </c>
      <c r="B814" s="91">
        <v>44887.013414351852</v>
      </c>
      <c r="C814" s="28" t="s">
        <v>10</v>
      </c>
      <c r="D814" s="28" t="s">
        <v>1216</v>
      </c>
      <c r="E814" s="28" t="s">
        <v>50</v>
      </c>
      <c r="F814" s="28">
        <v>15</v>
      </c>
      <c r="G814" s="28" t="s">
        <v>125</v>
      </c>
      <c r="H814" s="28">
        <v>0</v>
      </c>
      <c r="J814" s="28"/>
    </row>
    <row r="815" spans="1:10" ht="15.75" customHeight="1">
      <c r="A815" s="28">
        <v>16715</v>
      </c>
      <c r="B815" s="91">
        <v>44887.027013888888</v>
      </c>
      <c r="C815" s="28" t="s">
        <v>10</v>
      </c>
      <c r="D815" s="28" t="s">
        <v>1215</v>
      </c>
      <c r="E815" s="28" t="s">
        <v>50</v>
      </c>
      <c r="F815" s="28">
        <v>25</v>
      </c>
      <c r="G815" s="28" t="s">
        <v>141</v>
      </c>
      <c r="H815" s="28">
        <v>0</v>
      </c>
      <c r="J815" s="28"/>
    </row>
    <row r="816" spans="1:10" ht="15.75" customHeight="1">
      <c r="A816" s="28">
        <v>16715</v>
      </c>
      <c r="B816" s="91">
        <v>44887.027013888888</v>
      </c>
      <c r="C816" s="28" t="s">
        <v>10</v>
      </c>
      <c r="D816" s="28" t="s">
        <v>1215</v>
      </c>
      <c r="E816" s="28" t="s">
        <v>50</v>
      </c>
      <c r="F816" s="28">
        <v>0</v>
      </c>
      <c r="G816" s="28" t="s">
        <v>139</v>
      </c>
      <c r="H816" s="28">
        <v>0</v>
      </c>
      <c r="J816" s="28"/>
    </row>
    <row r="817" spans="1:10" ht="15.75" customHeight="1">
      <c r="A817" s="28">
        <v>16715</v>
      </c>
      <c r="B817" s="91">
        <v>44887.027013888888</v>
      </c>
      <c r="C817" s="28" t="s">
        <v>10</v>
      </c>
      <c r="D817" s="28" t="s">
        <v>1215</v>
      </c>
      <c r="E817" s="28" t="s">
        <v>50</v>
      </c>
      <c r="F817" s="28">
        <v>24</v>
      </c>
      <c r="G817" s="28" t="s">
        <v>122</v>
      </c>
      <c r="H817" s="28">
        <v>0</v>
      </c>
      <c r="J817" s="28"/>
    </row>
    <row r="818" spans="1:10" ht="15.75" customHeight="1">
      <c r="A818" s="28">
        <v>16716</v>
      </c>
      <c r="B818" s="91">
        <v>44887.041203703702</v>
      </c>
      <c r="C818" s="28" t="s">
        <v>10</v>
      </c>
      <c r="D818" s="28" t="s">
        <v>1214</v>
      </c>
      <c r="E818" s="28" t="s">
        <v>50</v>
      </c>
      <c r="F818" s="28">
        <v>20</v>
      </c>
      <c r="G818" s="28" t="s">
        <v>148</v>
      </c>
      <c r="H818" s="28">
        <v>0</v>
      </c>
      <c r="J818" s="28"/>
    </row>
    <row r="819" spans="1:10" ht="15.75" customHeight="1">
      <c r="A819" s="28">
        <v>16717</v>
      </c>
      <c r="B819" s="91">
        <v>44887.050057870365</v>
      </c>
      <c r="C819" s="28" t="s">
        <v>10</v>
      </c>
      <c r="D819" s="28" t="s">
        <v>1213</v>
      </c>
      <c r="E819" s="28" t="s">
        <v>50</v>
      </c>
      <c r="F819" s="28">
        <v>10</v>
      </c>
      <c r="G819" s="28" t="s">
        <v>286</v>
      </c>
      <c r="H819" s="28">
        <v>0</v>
      </c>
      <c r="J819" s="28"/>
    </row>
    <row r="820" spans="1:10" ht="15.75" customHeight="1">
      <c r="A820" s="28">
        <v>16717</v>
      </c>
      <c r="B820" s="91">
        <v>44887.050057870365</v>
      </c>
      <c r="C820" s="28" t="s">
        <v>10</v>
      </c>
      <c r="D820" s="28" t="s">
        <v>1213</v>
      </c>
      <c r="E820" s="28" t="s">
        <v>50</v>
      </c>
      <c r="F820" s="28">
        <v>0</v>
      </c>
      <c r="G820" s="28" t="s">
        <v>139</v>
      </c>
      <c r="H820" s="28">
        <v>0</v>
      </c>
      <c r="J820" s="28"/>
    </row>
    <row r="821" spans="1:10" ht="15.75" customHeight="1">
      <c r="A821" s="28">
        <v>16718</v>
      </c>
      <c r="B821" s="91">
        <v>44887.09674768518</v>
      </c>
      <c r="C821" s="28" t="s">
        <v>10</v>
      </c>
      <c r="D821" s="28" t="s">
        <v>1212</v>
      </c>
      <c r="E821" s="28" t="s">
        <v>50</v>
      </c>
      <c r="F821" s="28">
        <v>35</v>
      </c>
      <c r="G821" s="28" t="s">
        <v>124</v>
      </c>
      <c r="H821" s="28">
        <v>0</v>
      </c>
      <c r="J821" s="28"/>
    </row>
    <row r="822" spans="1:10" ht="15.75" customHeight="1">
      <c r="A822" s="28">
        <v>16718</v>
      </c>
      <c r="B822" s="91">
        <v>44887.09674768518</v>
      </c>
      <c r="C822" s="28" t="s">
        <v>10</v>
      </c>
      <c r="D822" s="28" t="s">
        <v>1212</v>
      </c>
      <c r="E822" s="28" t="s">
        <v>50</v>
      </c>
      <c r="F822" s="28">
        <v>0</v>
      </c>
      <c r="G822" s="28" t="s">
        <v>125</v>
      </c>
      <c r="H822" s="28">
        <v>0</v>
      </c>
      <c r="J822" s="28"/>
    </row>
    <row r="823" spans="1:10" ht="15.75" customHeight="1">
      <c r="A823" s="28">
        <v>16718</v>
      </c>
      <c r="B823" s="91">
        <v>44887.09674768518</v>
      </c>
      <c r="C823" s="28" t="s">
        <v>10</v>
      </c>
      <c r="D823" s="28" t="s">
        <v>1212</v>
      </c>
      <c r="E823" s="28" t="s">
        <v>50</v>
      </c>
      <c r="F823" s="28">
        <v>0</v>
      </c>
      <c r="G823" s="28" t="s">
        <v>121</v>
      </c>
      <c r="H823" s="28">
        <v>0</v>
      </c>
      <c r="J823" s="28"/>
    </row>
    <row r="824" spans="1:10" ht="15.75" customHeight="1">
      <c r="A824" s="28">
        <v>16718</v>
      </c>
      <c r="B824" s="91">
        <v>44887.09674768518</v>
      </c>
      <c r="C824" s="28" t="s">
        <v>10</v>
      </c>
      <c r="D824" s="28" t="s">
        <v>1212</v>
      </c>
      <c r="E824" s="28" t="s">
        <v>50</v>
      </c>
      <c r="F824" s="28">
        <v>0</v>
      </c>
      <c r="G824" s="28" t="s">
        <v>119</v>
      </c>
      <c r="H824" s="28">
        <v>0</v>
      </c>
      <c r="J824" s="28"/>
    </row>
    <row r="825" spans="1:10" ht="15.75" customHeight="1">
      <c r="A825" s="28">
        <v>16719</v>
      </c>
      <c r="B825" s="91">
        <v>44887.138159722221</v>
      </c>
      <c r="C825" s="28" t="s">
        <v>10</v>
      </c>
      <c r="D825" s="28" t="s">
        <v>1211</v>
      </c>
      <c r="E825" s="28" t="s">
        <v>50</v>
      </c>
      <c r="F825" s="28">
        <v>20</v>
      </c>
      <c r="G825" s="28" t="s">
        <v>148</v>
      </c>
      <c r="H825" s="28">
        <v>0</v>
      </c>
      <c r="J825" s="28"/>
    </row>
    <row r="826" spans="1:10" ht="15.75" customHeight="1">
      <c r="A826" s="28">
        <v>16723</v>
      </c>
      <c r="B826" s="91">
        <v>44887.539178240739</v>
      </c>
      <c r="C826" s="28" t="s">
        <v>10</v>
      </c>
      <c r="D826" s="28" t="s">
        <v>1210</v>
      </c>
      <c r="E826" s="28" t="s">
        <v>50</v>
      </c>
      <c r="F826" s="28">
        <v>35</v>
      </c>
      <c r="G826" s="28" t="s">
        <v>124</v>
      </c>
      <c r="H826" s="28">
        <v>0</v>
      </c>
      <c r="J826" s="28"/>
    </row>
    <row r="827" spans="1:10" ht="15.75" customHeight="1">
      <c r="A827" s="28">
        <v>16723</v>
      </c>
      <c r="B827" s="91">
        <v>44887.539178240739</v>
      </c>
      <c r="C827" s="28" t="s">
        <v>10</v>
      </c>
      <c r="D827" s="28" t="s">
        <v>1210</v>
      </c>
      <c r="E827" s="28" t="s">
        <v>50</v>
      </c>
      <c r="F827" s="28">
        <v>0</v>
      </c>
      <c r="G827" s="28" t="s">
        <v>125</v>
      </c>
      <c r="H827" s="28">
        <v>0</v>
      </c>
      <c r="J827" s="28"/>
    </row>
    <row r="828" spans="1:10" ht="15.75" customHeight="1">
      <c r="A828" s="28">
        <v>16723</v>
      </c>
      <c r="B828" s="91">
        <v>44887.539178240739</v>
      </c>
      <c r="C828" s="28" t="s">
        <v>10</v>
      </c>
      <c r="D828" s="28" t="s">
        <v>1210</v>
      </c>
      <c r="E828" s="28" t="s">
        <v>50</v>
      </c>
      <c r="F828" s="28">
        <v>0</v>
      </c>
      <c r="G828" s="28" t="s">
        <v>121</v>
      </c>
      <c r="H828" s="28">
        <v>0</v>
      </c>
      <c r="J828" s="28"/>
    </row>
    <row r="829" spans="1:10" ht="15.75" customHeight="1">
      <c r="A829" s="28">
        <v>16723</v>
      </c>
      <c r="B829" s="91">
        <v>44887.539178240739</v>
      </c>
      <c r="C829" s="28" t="s">
        <v>10</v>
      </c>
      <c r="D829" s="28" t="s">
        <v>1210</v>
      </c>
      <c r="E829" s="28" t="s">
        <v>50</v>
      </c>
      <c r="F829" s="28">
        <v>0</v>
      </c>
      <c r="G829" s="28" t="s">
        <v>119</v>
      </c>
      <c r="H829" s="28">
        <v>0</v>
      </c>
      <c r="J829" s="28"/>
    </row>
    <row r="830" spans="1:10" ht="15.75" customHeight="1">
      <c r="A830" s="28">
        <v>16724</v>
      </c>
      <c r="B830" s="91">
        <v>44887.691759259258</v>
      </c>
      <c r="C830" s="28" t="s">
        <v>10</v>
      </c>
      <c r="D830" s="28" t="s">
        <v>1209</v>
      </c>
      <c r="E830" s="28" t="s">
        <v>50</v>
      </c>
      <c r="F830" s="28">
        <v>20</v>
      </c>
      <c r="G830" s="28" t="s">
        <v>148</v>
      </c>
      <c r="H830" s="28">
        <v>0</v>
      </c>
      <c r="J830" s="28"/>
    </row>
    <row r="831" spans="1:10" ht="15.75" customHeight="1">
      <c r="A831" s="28">
        <v>16724</v>
      </c>
      <c r="B831" s="91">
        <v>44887.691759259258</v>
      </c>
      <c r="C831" s="28" t="s">
        <v>10</v>
      </c>
      <c r="D831" s="28" t="s">
        <v>1209</v>
      </c>
      <c r="E831" s="28" t="s">
        <v>50</v>
      </c>
      <c r="F831" s="28">
        <v>22</v>
      </c>
      <c r="G831" s="28" t="s">
        <v>137</v>
      </c>
      <c r="H831" s="28">
        <v>0</v>
      </c>
      <c r="J831" s="28"/>
    </row>
    <row r="832" spans="1:10" ht="15.75" customHeight="1">
      <c r="A832" s="28">
        <v>16725</v>
      </c>
      <c r="B832" s="91">
        <v>44887.693449074075</v>
      </c>
      <c r="C832" s="28" t="s">
        <v>10</v>
      </c>
      <c r="D832" s="28" t="s">
        <v>1208</v>
      </c>
      <c r="E832" s="28" t="s">
        <v>50</v>
      </c>
      <c r="F832" s="28">
        <v>35</v>
      </c>
      <c r="G832" s="28" t="s">
        <v>124</v>
      </c>
      <c r="H832" s="28">
        <v>0</v>
      </c>
      <c r="J832" s="28"/>
    </row>
    <row r="833" spans="1:10" ht="15.75" customHeight="1">
      <c r="A833" s="28">
        <v>16725</v>
      </c>
      <c r="B833" s="91">
        <v>44887.693449074075</v>
      </c>
      <c r="C833" s="28" t="s">
        <v>10</v>
      </c>
      <c r="D833" s="28" t="s">
        <v>1208</v>
      </c>
      <c r="E833" s="28" t="s">
        <v>50</v>
      </c>
      <c r="F833" s="28">
        <v>0</v>
      </c>
      <c r="G833" s="28" t="s">
        <v>125</v>
      </c>
      <c r="H833" s="28">
        <v>0</v>
      </c>
      <c r="J833" s="28"/>
    </row>
    <row r="834" spans="1:10" ht="15.75" customHeight="1">
      <c r="A834" s="28">
        <v>16725</v>
      </c>
      <c r="B834" s="91">
        <v>44887.693449074075</v>
      </c>
      <c r="C834" s="28" t="s">
        <v>10</v>
      </c>
      <c r="D834" s="28" t="s">
        <v>1208</v>
      </c>
      <c r="E834" s="28" t="s">
        <v>50</v>
      </c>
      <c r="F834" s="28">
        <v>0</v>
      </c>
      <c r="G834" s="28" t="s">
        <v>121</v>
      </c>
      <c r="H834" s="28">
        <v>0</v>
      </c>
      <c r="J834" s="28"/>
    </row>
    <row r="835" spans="1:10" ht="15.75" customHeight="1">
      <c r="A835" s="28">
        <v>16725</v>
      </c>
      <c r="B835" s="91">
        <v>44887.693449074075</v>
      </c>
      <c r="C835" s="28" t="s">
        <v>10</v>
      </c>
      <c r="D835" s="28" t="s">
        <v>1208</v>
      </c>
      <c r="E835" s="28" t="s">
        <v>50</v>
      </c>
      <c r="F835" s="28">
        <v>0</v>
      </c>
      <c r="G835" s="28" t="s">
        <v>119</v>
      </c>
      <c r="H835" s="28">
        <v>0</v>
      </c>
      <c r="J835" s="28"/>
    </row>
    <row r="836" spans="1:10" ht="15.75" customHeight="1">
      <c r="A836" s="28">
        <v>16726</v>
      </c>
      <c r="B836" s="91">
        <v>44887.729444444441</v>
      </c>
      <c r="C836" s="28" t="s">
        <v>10</v>
      </c>
      <c r="D836" s="28" t="s">
        <v>1200</v>
      </c>
      <c r="E836" s="28" t="s">
        <v>50</v>
      </c>
      <c r="F836" s="28">
        <v>28</v>
      </c>
      <c r="G836" s="28" t="s">
        <v>143</v>
      </c>
      <c r="H836" s="28">
        <v>0</v>
      </c>
      <c r="J836" s="28"/>
    </row>
    <row r="837" spans="1:10" ht="15.75" customHeight="1">
      <c r="A837" s="28">
        <v>16727</v>
      </c>
      <c r="B837" s="91">
        <v>44887.730856481481</v>
      </c>
      <c r="C837" s="28" t="s">
        <v>10</v>
      </c>
      <c r="D837" s="28" t="s">
        <v>1207</v>
      </c>
      <c r="E837" s="28" t="s">
        <v>50</v>
      </c>
      <c r="F837" s="28">
        <v>55</v>
      </c>
      <c r="G837" s="28">
        <v>101684</v>
      </c>
      <c r="H837" s="28">
        <v>0</v>
      </c>
      <c r="J837" s="28"/>
    </row>
    <row r="838" spans="1:10" ht="15.75" customHeight="1">
      <c r="A838" s="28">
        <v>16727</v>
      </c>
      <c r="B838" s="91">
        <v>44887.730856481481</v>
      </c>
      <c r="C838" s="28" t="s">
        <v>10</v>
      </c>
      <c r="D838" s="28" t="s">
        <v>1207</v>
      </c>
      <c r="E838" s="28" t="s">
        <v>50</v>
      </c>
      <c r="F838" s="28">
        <v>0</v>
      </c>
      <c r="G838" s="28" t="s">
        <v>118</v>
      </c>
      <c r="H838" s="28">
        <v>0</v>
      </c>
      <c r="J838" s="28"/>
    </row>
    <row r="839" spans="1:10" ht="15.75" customHeight="1">
      <c r="A839" s="28">
        <v>16727</v>
      </c>
      <c r="B839" s="91">
        <v>44887.730856481481</v>
      </c>
      <c r="C839" s="28" t="s">
        <v>10</v>
      </c>
      <c r="D839" s="28" t="s">
        <v>1207</v>
      </c>
      <c r="E839" s="28" t="s">
        <v>50</v>
      </c>
      <c r="F839" s="28">
        <v>0</v>
      </c>
      <c r="G839" s="28" t="s">
        <v>119</v>
      </c>
      <c r="H839" s="28">
        <v>0</v>
      </c>
      <c r="J839" s="28"/>
    </row>
    <row r="840" spans="1:10" ht="15.75" customHeight="1">
      <c r="A840" s="28">
        <v>16727</v>
      </c>
      <c r="B840" s="91">
        <v>44887.730856481481</v>
      </c>
      <c r="C840" s="28" t="s">
        <v>10</v>
      </c>
      <c r="D840" s="28" t="s">
        <v>1207</v>
      </c>
      <c r="E840" s="28" t="s">
        <v>50</v>
      </c>
      <c r="F840" s="28">
        <v>0</v>
      </c>
      <c r="G840" s="28" t="s">
        <v>120</v>
      </c>
      <c r="H840" s="28">
        <v>0</v>
      </c>
      <c r="J840" s="28"/>
    </row>
    <row r="841" spans="1:10" ht="15.75" customHeight="1">
      <c r="A841" s="28">
        <v>16727</v>
      </c>
      <c r="B841" s="91">
        <v>44887.730856481481</v>
      </c>
      <c r="C841" s="28" t="s">
        <v>10</v>
      </c>
      <c r="D841" s="28" t="s">
        <v>1207</v>
      </c>
      <c r="E841" s="28" t="s">
        <v>50</v>
      </c>
      <c r="F841" s="28">
        <v>0</v>
      </c>
      <c r="G841" s="28" t="s">
        <v>121</v>
      </c>
      <c r="H841" s="28">
        <v>0</v>
      </c>
      <c r="J841" s="28"/>
    </row>
    <row r="842" spans="1:10" ht="15.75" customHeight="1">
      <c r="A842" s="28">
        <v>16729</v>
      </c>
      <c r="B842" s="91">
        <v>44887.822280092594</v>
      </c>
      <c r="C842" s="28" t="s">
        <v>10</v>
      </c>
      <c r="D842" s="28" t="s">
        <v>1206</v>
      </c>
      <c r="E842" s="28" t="s">
        <v>50</v>
      </c>
      <c r="F842" s="28">
        <v>35</v>
      </c>
      <c r="G842" s="28" t="s">
        <v>124</v>
      </c>
      <c r="H842" s="28">
        <v>0</v>
      </c>
      <c r="J842" s="28"/>
    </row>
    <row r="843" spans="1:10" ht="15.75" customHeight="1">
      <c r="A843" s="28">
        <v>16729</v>
      </c>
      <c r="B843" s="91">
        <v>44887.822280092594</v>
      </c>
      <c r="C843" s="28" t="s">
        <v>10</v>
      </c>
      <c r="D843" s="28" t="s">
        <v>1206</v>
      </c>
      <c r="E843" s="28" t="s">
        <v>50</v>
      </c>
      <c r="F843" s="28">
        <v>0</v>
      </c>
      <c r="G843" s="28" t="s">
        <v>125</v>
      </c>
      <c r="H843" s="28">
        <v>0</v>
      </c>
      <c r="J843" s="28"/>
    </row>
    <row r="844" spans="1:10" ht="15.75" customHeight="1">
      <c r="A844" s="28">
        <v>16729</v>
      </c>
      <c r="B844" s="91">
        <v>44887.822280092594</v>
      </c>
      <c r="C844" s="28" t="s">
        <v>10</v>
      </c>
      <c r="D844" s="28" t="s">
        <v>1206</v>
      </c>
      <c r="E844" s="28" t="s">
        <v>50</v>
      </c>
      <c r="F844" s="28">
        <v>0</v>
      </c>
      <c r="G844" s="28" t="s">
        <v>121</v>
      </c>
      <c r="H844" s="28">
        <v>0</v>
      </c>
      <c r="J844" s="28"/>
    </row>
    <row r="845" spans="1:10" ht="15.75" customHeight="1">
      <c r="A845" s="28">
        <v>16729</v>
      </c>
      <c r="B845" s="91">
        <v>44887.822280092594</v>
      </c>
      <c r="C845" s="28" t="s">
        <v>10</v>
      </c>
      <c r="D845" s="28" t="s">
        <v>1206</v>
      </c>
      <c r="E845" s="28" t="s">
        <v>50</v>
      </c>
      <c r="F845" s="28">
        <v>0</v>
      </c>
      <c r="G845" s="28" t="s">
        <v>119</v>
      </c>
      <c r="H845" s="28">
        <v>0</v>
      </c>
      <c r="J845" s="28"/>
    </row>
    <row r="846" spans="1:10" ht="15.75" customHeight="1">
      <c r="A846" s="28">
        <v>16729</v>
      </c>
      <c r="B846" s="91">
        <v>44887.822280092594</v>
      </c>
      <c r="C846" s="28" t="s">
        <v>10</v>
      </c>
      <c r="D846" s="28" t="s">
        <v>1206</v>
      </c>
      <c r="E846" s="28" t="s">
        <v>50</v>
      </c>
      <c r="F846" s="28">
        <v>0</v>
      </c>
      <c r="G846" s="28" t="s">
        <v>139</v>
      </c>
      <c r="H846" s="28">
        <v>0</v>
      </c>
      <c r="J846" s="28"/>
    </row>
    <row r="847" spans="1:10" ht="15.75" customHeight="1">
      <c r="A847" s="28">
        <v>16730</v>
      </c>
      <c r="B847" s="91">
        <v>44887.859918981485</v>
      </c>
      <c r="C847" s="28" t="s">
        <v>10</v>
      </c>
      <c r="D847" s="28" t="s">
        <v>1205</v>
      </c>
      <c r="E847" s="28" t="s">
        <v>50</v>
      </c>
      <c r="F847" s="28">
        <v>15</v>
      </c>
      <c r="G847" s="28" t="s">
        <v>125</v>
      </c>
      <c r="H847" s="28">
        <v>0</v>
      </c>
      <c r="J847" s="28"/>
    </row>
    <row r="848" spans="1:10" ht="15.75" customHeight="1">
      <c r="A848" s="28">
        <v>16730</v>
      </c>
      <c r="B848" s="91">
        <v>44887.859918981485</v>
      </c>
      <c r="C848" s="28" t="s">
        <v>10</v>
      </c>
      <c r="D848" s="28" t="s">
        <v>1205</v>
      </c>
      <c r="E848" s="28" t="s">
        <v>50</v>
      </c>
      <c r="F848" s="28">
        <v>0</v>
      </c>
      <c r="G848" s="28" t="s">
        <v>139</v>
      </c>
      <c r="H848" s="28">
        <v>0</v>
      </c>
      <c r="J848" s="28"/>
    </row>
    <row r="849" spans="1:10" ht="15.75" customHeight="1">
      <c r="A849" s="28">
        <v>16732</v>
      </c>
      <c r="B849" s="91">
        <v>44887.914849537032</v>
      </c>
      <c r="C849" s="28" t="s">
        <v>10</v>
      </c>
      <c r="D849" s="28" t="s">
        <v>1204</v>
      </c>
      <c r="E849" s="28" t="s">
        <v>50</v>
      </c>
      <c r="F849" s="28">
        <v>18</v>
      </c>
      <c r="G849" s="28" t="s">
        <v>119</v>
      </c>
      <c r="H849" s="28">
        <v>0</v>
      </c>
      <c r="J849" s="28"/>
    </row>
    <row r="850" spans="1:10" ht="15.75" customHeight="1">
      <c r="A850" s="28">
        <v>16733</v>
      </c>
      <c r="B850" s="91">
        <v>44887.937615740739</v>
      </c>
      <c r="C850" s="28" t="s">
        <v>10</v>
      </c>
      <c r="D850" s="28" t="s">
        <v>1203</v>
      </c>
      <c r="E850" s="28" t="s">
        <v>50</v>
      </c>
      <c r="F850" s="28">
        <v>22</v>
      </c>
      <c r="G850" s="28" t="s">
        <v>137</v>
      </c>
      <c r="H850" s="28">
        <v>0</v>
      </c>
      <c r="J850" s="28"/>
    </row>
    <row r="851" spans="1:10" ht="15.75" customHeight="1">
      <c r="A851" s="28">
        <v>16733</v>
      </c>
      <c r="B851" s="91">
        <v>44887.937615740739</v>
      </c>
      <c r="C851" s="28" t="s">
        <v>10</v>
      </c>
      <c r="D851" s="28" t="s">
        <v>1203</v>
      </c>
      <c r="E851" s="28" t="s">
        <v>50</v>
      </c>
      <c r="F851" s="28">
        <v>20</v>
      </c>
      <c r="G851" s="28" t="s">
        <v>148</v>
      </c>
      <c r="H851" s="28">
        <v>0</v>
      </c>
      <c r="J851" s="28"/>
    </row>
    <row r="852" spans="1:10" ht="15.75" customHeight="1">
      <c r="A852" s="28">
        <v>16734</v>
      </c>
      <c r="B852" s="91">
        <v>44887.94231481482</v>
      </c>
      <c r="C852" s="28" t="s">
        <v>10</v>
      </c>
      <c r="D852" s="28" t="s">
        <v>1202</v>
      </c>
      <c r="E852" s="28" t="s">
        <v>50</v>
      </c>
      <c r="F852" s="28">
        <v>0</v>
      </c>
      <c r="G852" s="28" t="s">
        <v>139</v>
      </c>
      <c r="H852" s="28">
        <v>0</v>
      </c>
      <c r="J852" s="28"/>
    </row>
    <row r="853" spans="1:10" ht="15.75" customHeight="1">
      <c r="A853" s="28">
        <v>16734</v>
      </c>
      <c r="B853" s="91">
        <v>44887.94231481482</v>
      </c>
      <c r="C853" s="28" t="s">
        <v>10</v>
      </c>
      <c r="D853" s="28" t="s">
        <v>1202</v>
      </c>
      <c r="E853" s="28" t="s">
        <v>50</v>
      </c>
      <c r="F853" s="28">
        <v>28</v>
      </c>
      <c r="G853" s="28" t="s">
        <v>143</v>
      </c>
      <c r="H853" s="28">
        <v>0</v>
      </c>
      <c r="J853" s="28"/>
    </row>
    <row r="854" spans="1:10" ht="15.75" customHeight="1">
      <c r="A854" s="28">
        <v>16734</v>
      </c>
      <c r="B854" s="91">
        <v>44887.94231481482</v>
      </c>
      <c r="C854" s="28" t="s">
        <v>10</v>
      </c>
      <c r="D854" s="28" t="s">
        <v>1202</v>
      </c>
      <c r="E854" s="28" t="s">
        <v>50</v>
      </c>
      <c r="F854" s="28">
        <v>35</v>
      </c>
      <c r="G854" s="28" t="s">
        <v>124</v>
      </c>
      <c r="H854" s="28">
        <v>0</v>
      </c>
      <c r="J854" s="28"/>
    </row>
    <row r="855" spans="1:10" ht="15.75" customHeight="1">
      <c r="A855" s="28">
        <v>16734</v>
      </c>
      <c r="B855" s="91">
        <v>44887.94231481482</v>
      </c>
      <c r="C855" s="28" t="s">
        <v>10</v>
      </c>
      <c r="D855" s="28" t="s">
        <v>1202</v>
      </c>
      <c r="E855" s="28" t="s">
        <v>50</v>
      </c>
      <c r="F855" s="28">
        <v>0</v>
      </c>
      <c r="G855" s="28" t="s">
        <v>125</v>
      </c>
      <c r="H855" s="28">
        <v>0</v>
      </c>
      <c r="J855" s="28"/>
    </row>
    <row r="856" spans="1:10" ht="15.75" customHeight="1">
      <c r="A856" s="28">
        <v>16734</v>
      </c>
      <c r="B856" s="91">
        <v>44887.94231481482</v>
      </c>
      <c r="C856" s="28" t="s">
        <v>10</v>
      </c>
      <c r="D856" s="28" t="s">
        <v>1202</v>
      </c>
      <c r="E856" s="28" t="s">
        <v>50</v>
      </c>
      <c r="F856" s="28">
        <v>0</v>
      </c>
      <c r="G856" s="28" t="s">
        <v>121</v>
      </c>
      <c r="H856" s="28">
        <v>0</v>
      </c>
      <c r="J856" s="28"/>
    </row>
    <row r="857" spans="1:10" ht="15.75" customHeight="1">
      <c r="A857" s="28">
        <v>16734</v>
      </c>
      <c r="B857" s="91">
        <v>44887.94231481482</v>
      </c>
      <c r="C857" s="28" t="s">
        <v>10</v>
      </c>
      <c r="D857" s="28" t="s">
        <v>1202</v>
      </c>
      <c r="E857" s="28" t="s">
        <v>50</v>
      </c>
      <c r="F857" s="28">
        <v>0</v>
      </c>
      <c r="G857" s="28" t="s">
        <v>119</v>
      </c>
      <c r="H857" s="28">
        <v>0</v>
      </c>
      <c r="J857" s="28"/>
    </row>
    <row r="858" spans="1:10" ht="15.75" customHeight="1">
      <c r="A858" s="28">
        <v>16735</v>
      </c>
      <c r="B858" s="91">
        <v>44887.942361111112</v>
      </c>
      <c r="C858" s="28" t="s">
        <v>10</v>
      </c>
      <c r="D858" s="28" t="s">
        <v>1201</v>
      </c>
      <c r="E858" s="28" t="s">
        <v>50</v>
      </c>
      <c r="F858" s="28">
        <v>24</v>
      </c>
      <c r="G858" s="28" t="s">
        <v>122</v>
      </c>
      <c r="H858" s="28">
        <v>0</v>
      </c>
      <c r="J858" s="28"/>
    </row>
    <row r="859" spans="1:10" ht="15.75" customHeight="1">
      <c r="A859" s="28">
        <v>16735</v>
      </c>
      <c r="B859" s="91">
        <v>44887.942361111112</v>
      </c>
      <c r="C859" s="28" t="s">
        <v>10</v>
      </c>
      <c r="D859" s="28" t="s">
        <v>1201</v>
      </c>
      <c r="E859" s="28" t="s">
        <v>50</v>
      </c>
      <c r="F859" s="28">
        <v>15</v>
      </c>
      <c r="G859" s="28" t="s">
        <v>125</v>
      </c>
      <c r="H859" s="28">
        <v>0</v>
      </c>
      <c r="J859" s="28"/>
    </row>
    <row r="860" spans="1:10" ht="15.75" customHeight="1">
      <c r="A860" s="28">
        <v>16736</v>
      </c>
      <c r="B860" s="91">
        <v>44887.967824074076</v>
      </c>
      <c r="C860" s="28" t="s">
        <v>10</v>
      </c>
      <c r="D860" s="28" t="s">
        <v>1200</v>
      </c>
      <c r="E860" s="28" t="s">
        <v>50</v>
      </c>
      <c r="F860" s="28">
        <v>35</v>
      </c>
      <c r="G860" s="28" t="s">
        <v>124</v>
      </c>
      <c r="H860" s="28">
        <v>0</v>
      </c>
      <c r="J860" s="28"/>
    </row>
    <row r="861" spans="1:10" ht="15.75" customHeight="1">
      <c r="A861" s="28">
        <v>16736</v>
      </c>
      <c r="B861" s="91">
        <v>44887.967824074076</v>
      </c>
      <c r="C861" s="28" t="s">
        <v>10</v>
      </c>
      <c r="D861" s="28" t="s">
        <v>1200</v>
      </c>
      <c r="E861" s="28" t="s">
        <v>50</v>
      </c>
      <c r="F861" s="28">
        <v>0</v>
      </c>
      <c r="G861" s="28" t="s">
        <v>125</v>
      </c>
      <c r="H861" s="28">
        <v>0</v>
      </c>
      <c r="J861" s="28"/>
    </row>
    <row r="862" spans="1:10" ht="15.75" customHeight="1">
      <c r="A862" s="28">
        <v>16736</v>
      </c>
      <c r="B862" s="91">
        <v>44887.967824074076</v>
      </c>
      <c r="C862" s="28" t="s">
        <v>10</v>
      </c>
      <c r="D862" s="28" t="s">
        <v>1200</v>
      </c>
      <c r="E862" s="28" t="s">
        <v>50</v>
      </c>
      <c r="F862" s="28">
        <v>0</v>
      </c>
      <c r="G862" s="28" t="s">
        <v>121</v>
      </c>
      <c r="H862" s="28">
        <v>0</v>
      </c>
      <c r="J862" s="28"/>
    </row>
    <row r="863" spans="1:10" ht="15.75" customHeight="1">
      <c r="A863" s="28">
        <v>16736</v>
      </c>
      <c r="B863" s="91">
        <v>44887.967824074076</v>
      </c>
      <c r="C863" s="28" t="s">
        <v>10</v>
      </c>
      <c r="D863" s="28" t="s">
        <v>1200</v>
      </c>
      <c r="E863" s="28" t="s">
        <v>50</v>
      </c>
      <c r="F863" s="28">
        <v>0</v>
      </c>
      <c r="G863" s="28" t="s">
        <v>119</v>
      </c>
      <c r="H863" s="28">
        <v>0</v>
      </c>
      <c r="J863" s="28"/>
    </row>
    <row r="864" spans="1:10" ht="15.75" customHeight="1">
      <c r="A864" s="28">
        <v>16737</v>
      </c>
      <c r="B864" s="91">
        <v>44887.968518518523</v>
      </c>
      <c r="C864" s="28" t="s">
        <v>10</v>
      </c>
      <c r="D864" s="28" t="s">
        <v>1199</v>
      </c>
      <c r="E864" s="28" t="s">
        <v>50</v>
      </c>
      <c r="F864" s="28">
        <v>25</v>
      </c>
      <c r="G864" s="28">
        <v>100692</v>
      </c>
      <c r="H864" s="28">
        <v>0</v>
      </c>
      <c r="J864" s="28"/>
    </row>
    <row r="865" spans="1:10" ht="15.75" customHeight="1">
      <c r="A865" s="28">
        <v>16737</v>
      </c>
      <c r="B865" s="91">
        <v>44887.968518518523</v>
      </c>
      <c r="C865" s="28" t="s">
        <v>10</v>
      </c>
      <c r="D865" s="28" t="s">
        <v>1199</v>
      </c>
      <c r="E865" s="28" t="s">
        <v>50</v>
      </c>
      <c r="F865" s="28">
        <v>0</v>
      </c>
      <c r="G865" s="28" t="s">
        <v>125</v>
      </c>
      <c r="H865" s="28">
        <v>0</v>
      </c>
      <c r="J865" s="28"/>
    </row>
    <row r="866" spans="1:10" ht="15.75" customHeight="1">
      <c r="A866" s="28">
        <v>16737</v>
      </c>
      <c r="B866" s="91">
        <v>44887.968518518523</v>
      </c>
      <c r="C866" s="28" t="s">
        <v>10</v>
      </c>
      <c r="D866" s="28" t="s">
        <v>1199</v>
      </c>
      <c r="E866" s="28" t="s">
        <v>50</v>
      </c>
      <c r="F866" s="28">
        <v>0</v>
      </c>
      <c r="G866" s="28" t="s">
        <v>119</v>
      </c>
      <c r="H866" s="28">
        <v>0</v>
      </c>
      <c r="J866" s="28"/>
    </row>
    <row r="867" spans="1:10" ht="15.75" customHeight="1">
      <c r="A867" s="28">
        <v>16738</v>
      </c>
      <c r="B867" s="91">
        <v>44887.970324074078</v>
      </c>
      <c r="C867" s="28" t="s">
        <v>10</v>
      </c>
      <c r="D867" s="28" t="s">
        <v>1198</v>
      </c>
      <c r="E867" s="28" t="s">
        <v>50</v>
      </c>
      <c r="F867" s="28">
        <v>35</v>
      </c>
      <c r="G867" s="28" t="s">
        <v>124</v>
      </c>
      <c r="H867" s="28">
        <v>0</v>
      </c>
      <c r="J867" s="28"/>
    </row>
    <row r="868" spans="1:10" ht="15.75" customHeight="1">
      <c r="A868" s="28">
        <v>16738</v>
      </c>
      <c r="B868" s="91">
        <v>44887.970324074078</v>
      </c>
      <c r="C868" s="28" t="s">
        <v>10</v>
      </c>
      <c r="D868" s="28" t="s">
        <v>1198</v>
      </c>
      <c r="E868" s="28" t="s">
        <v>50</v>
      </c>
      <c r="F868" s="28">
        <v>0</v>
      </c>
      <c r="G868" s="28" t="s">
        <v>125</v>
      </c>
      <c r="H868" s="28">
        <v>0</v>
      </c>
      <c r="J868" s="28"/>
    </row>
    <row r="869" spans="1:10" ht="15.75" customHeight="1">
      <c r="A869" s="28">
        <v>16738</v>
      </c>
      <c r="B869" s="91">
        <v>44887.970324074078</v>
      </c>
      <c r="C869" s="28" t="s">
        <v>10</v>
      </c>
      <c r="D869" s="28" t="s">
        <v>1198</v>
      </c>
      <c r="E869" s="28" t="s">
        <v>50</v>
      </c>
      <c r="F869" s="28">
        <v>0</v>
      </c>
      <c r="G869" s="28" t="s">
        <v>121</v>
      </c>
      <c r="H869" s="28">
        <v>0</v>
      </c>
      <c r="J869" s="28"/>
    </row>
    <row r="870" spans="1:10" ht="15.75" customHeight="1">
      <c r="A870" s="28">
        <v>16738</v>
      </c>
      <c r="B870" s="91">
        <v>44887.970324074078</v>
      </c>
      <c r="C870" s="28" t="s">
        <v>10</v>
      </c>
      <c r="D870" s="28" t="s">
        <v>1198</v>
      </c>
      <c r="E870" s="28" t="s">
        <v>50</v>
      </c>
      <c r="F870" s="28">
        <v>0</v>
      </c>
      <c r="G870" s="28" t="s">
        <v>119</v>
      </c>
      <c r="H870" s="28">
        <v>0</v>
      </c>
      <c r="J870" s="28"/>
    </row>
    <row r="871" spans="1:10" ht="15.75" customHeight="1">
      <c r="A871" s="28">
        <v>16739</v>
      </c>
      <c r="B871" s="91">
        <v>44887.970520833333</v>
      </c>
      <c r="C871" s="28" t="s">
        <v>10</v>
      </c>
      <c r="D871" s="28" t="s">
        <v>1197</v>
      </c>
      <c r="E871" s="28" t="s">
        <v>50</v>
      </c>
      <c r="F871" s="28">
        <v>25</v>
      </c>
      <c r="G871" s="28">
        <v>100692</v>
      </c>
      <c r="H871" s="28">
        <v>0</v>
      </c>
      <c r="J871" s="28"/>
    </row>
    <row r="872" spans="1:10" ht="15.75" customHeight="1">
      <c r="A872" s="28">
        <v>16739</v>
      </c>
      <c r="B872" s="91">
        <v>44887.970520833333</v>
      </c>
      <c r="C872" s="28" t="s">
        <v>10</v>
      </c>
      <c r="D872" s="28" t="s">
        <v>1197</v>
      </c>
      <c r="E872" s="28" t="s">
        <v>50</v>
      </c>
      <c r="F872" s="28">
        <v>0</v>
      </c>
      <c r="G872" s="28" t="s">
        <v>125</v>
      </c>
      <c r="H872" s="28">
        <v>0</v>
      </c>
      <c r="J872" s="28"/>
    </row>
    <row r="873" spans="1:10" ht="15.75" customHeight="1">
      <c r="A873" s="28">
        <v>16739</v>
      </c>
      <c r="B873" s="91">
        <v>44887.970520833333</v>
      </c>
      <c r="C873" s="28" t="s">
        <v>10</v>
      </c>
      <c r="D873" s="28" t="s">
        <v>1197</v>
      </c>
      <c r="E873" s="28" t="s">
        <v>50</v>
      </c>
      <c r="F873" s="28">
        <v>0</v>
      </c>
      <c r="G873" s="28" t="s">
        <v>119</v>
      </c>
      <c r="H873" s="28">
        <v>0</v>
      </c>
      <c r="J873" s="28"/>
    </row>
    <row r="874" spans="1:10" ht="15.75" customHeight="1">
      <c r="A874" s="28">
        <v>16740</v>
      </c>
      <c r="B874" s="91">
        <v>44887.973761574074</v>
      </c>
      <c r="C874" s="28" t="s">
        <v>10</v>
      </c>
      <c r="D874" s="28" t="s">
        <v>1196</v>
      </c>
      <c r="E874" s="28" t="s">
        <v>50</v>
      </c>
      <c r="F874" s="28">
        <v>55</v>
      </c>
      <c r="G874" s="28">
        <v>101684</v>
      </c>
      <c r="H874" s="28">
        <v>0</v>
      </c>
      <c r="J874" s="28"/>
    </row>
    <row r="875" spans="1:10" ht="15.75" customHeight="1">
      <c r="A875" s="28">
        <v>16740</v>
      </c>
      <c r="B875" s="91">
        <v>44887.973761574074</v>
      </c>
      <c r="C875" s="28" t="s">
        <v>10</v>
      </c>
      <c r="D875" s="28" t="s">
        <v>1196</v>
      </c>
      <c r="E875" s="28" t="s">
        <v>50</v>
      </c>
      <c r="F875" s="28">
        <v>0</v>
      </c>
      <c r="G875" s="28" t="s">
        <v>118</v>
      </c>
      <c r="H875" s="28">
        <v>0</v>
      </c>
      <c r="J875" s="28"/>
    </row>
    <row r="876" spans="1:10" ht="15.75" customHeight="1">
      <c r="A876" s="28">
        <v>16740</v>
      </c>
      <c r="B876" s="91">
        <v>44887.973761574074</v>
      </c>
      <c r="C876" s="28" t="s">
        <v>10</v>
      </c>
      <c r="D876" s="28" t="s">
        <v>1196</v>
      </c>
      <c r="E876" s="28" t="s">
        <v>50</v>
      </c>
      <c r="F876" s="28">
        <v>0</v>
      </c>
      <c r="G876" s="28" t="s">
        <v>119</v>
      </c>
      <c r="H876" s="28">
        <v>0</v>
      </c>
      <c r="J876" s="28"/>
    </row>
    <row r="877" spans="1:10" ht="15.75" customHeight="1">
      <c r="A877" s="28">
        <v>16740</v>
      </c>
      <c r="B877" s="91">
        <v>44887.973761574074</v>
      </c>
      <c r="C877" s="28" t="s">
        <v>10</v>
      </c>
      <c r="D877" s="28" t="s">
        <v>1196</v>
      </c>
      <c r="E877" s="28" t="s">
        <v>50</v>
      </c>
      <c r="F877" s="28">
        <v>0</v>
      </c>
      <c r="G877" s="28" t="s">
        <v>120</v>
      </c>
      <c r="H877" s="28">
        <v>0</v>
      </c>
      <c r="J877" s="28"/>
    </row>
    <row r="878" spans="1:10" ht="15.75" customHeight="1">
      <c r="A878" s="28">
        <v>16740</v>
      </c>
      <c r="B878" s="91">
        <v>44887.973761574074</v>
      </c>
      <c r="C878" s="28" t="s">
        <v>10</v>
      </c>
      <c r="D878" s="28" t="s">
        <v>1196</v>
      </c>
      <c r="E878" s="28" t="s">
        <v>50</v>
      </c>
      <c r="F878" s="28">
        <v>0</v>
      </c>
      <c r="G878" s="28" t="s">
        <v>121</v>
      </c>
      <c r="H878" s="28">
        <v>0</v>
      </c>
      <c r="J878" s="28"/>
    </row>
    <row r="879" spans="1:10" ht="15.75" customHeight="1">
      <c r="A879" s="28">
        <v>16741</v>
      </c>
      <c r="B879" s="91">
        <v>44887.975995370369</v>
      </c>
      <c r="C879" s="28" t="s">
        <v>10</v>
      </c>
      <c r="D879" s="28" t="s">
        <v>1195</v>
      </c>
      <c r="E879" s="28" t="s">
        <v>50</v>
      </c>
      <c r="F879" s="28">
        <v>24</v>
      </c>
      <c r="G879" s="28" t="s">
        <v>122</v>
      </c>
      <c r="H879" s="28">
        <v>0</v>
      </c>
      <c r="J879" s="28"/>
    </row>
    <row r="880" spans="1:10" ht="15.75" customHeight="1">
      <c r="A880" s="28">
        <v>16742</v>
      </c>
      <c r="B880" s="91">
        <v>44887.976226851853</v>
      </c>
      <c r="C880" s="28" t="s">
        <v>10</v>
      </c>
      <c r="D880" s="28" t="s">
        <v>1194</v>
      </c>
      <c r="E880" s="28" t="s">
        <v>50</v>
      </c>
      <c r="F880" s="28">
        <v>24</v>
      </c>
      <c r="G880" s="28" t="s">
        <v>122</v>
      </c>
      <c r="H880" s="28">
        <v>0</v>
      </c>
      <c r="J880" s="28"/>
    </row>
    <row r="881" spans="1:10" ht="15.75" customHeight="1">
      <c r="A881" s="28">
        <v>16742</v>
      </c>
      <c r="B881" s="91">
        <v>44887.976226851853</v>
      </c>
      <c r="C881" s="28" t="s">
        <v>10</v>
      </c>
      <c r="D881" s="28" t="s">
        <v>1194</v>
      </c>
      <c r="E881" s="28" t="s">
        <v>50</v>
      </c>
      <c r="F881" s="28">
        <v>20</v>
      </c>
      <c r="G881" s="28" t="s">
        <v>148</v>
      </c>
      <c r="H881" s="28">
        <v>0</v>
      </c>
      <c r="J881" s="28"/>
    </row>
    <row r="882" spans="1:10" ht="15.75" customHeight="1">
      <c r="A882" s="28">
        <v>16743</v>
      </c>
      <c r="B882" s="91">
        <v>44887.977083333331</v>
      </c>
      <c r="C882" s="28" t="s">
        <v>10</v>
      </c>
      <c r="D882" s="28" t="s">
        <v>1193</v>
      </c>
      <c r="E882" s="28" t="s">
        <v>50</v>
      </c>
      <c r="F882" s="28">
        <v>28</v>
      </c>
      <c r="G882" s="28" t="s">
        <v>143</v>
      </c>
      <c r="H882" s="28">
        <v>0</v>
      </c>
      <c r="J882" s="28"/>
    </row>
    <row r="883" spans="1:10" ht="15.75" customHeight="1">
      <c r="A883" s="28">
        <v>16744</v>
      </c>
      <c r="B883" s="91">
        <v>44887.983807870369</v>
      </c>
      <c r="C883" s="28" t="s">
        <v>10</v>
      </c>
      <c r="D883" s="28" t="s">
        <v>1192</v>
      </c>
      <c r="E883" s="28" t="s">
        <v>50</v>
      </c>
      <c r="F883" s="28">
        <v>25</v>
      </c>
      <c r="G883" s="28">
        <v>100692</v>
      </c>
      <c r="H883" s="28">
        <v>0</v>
      </c>
      <c r="J883" s="28"/>
    </row>
    <row r="884" spans="1:10" ht="15.75" customHeight="1">
      <c r="A884" s="28">
        <v>16744</v>
      </c>
      <c r="B884" s="91">
        <v>44887.983807870369</v>
      </c>
      <c r="C884" s="28" t="s">
        <v>10</v>
      </c>
      <c r="D884" s="28" t="s">
        <v>1192</v>
      </c>
      <c r="E884" s="28" t="s">
        <v>50</v>
      </c>
      <c r="F884" s="28">
        <v>0</v>
      </c>
      <c r="G884" s="28" t="s">
        <v>125</v>
      </c>
      <c r="H884" s="28">
        <v>0</v>
      </c>
      <c r="J884" s="28"/>
    </row>
    <row r="885" spans="1:10" ht="15.75" customHeight="1">
      <c r="A885" s="28">
        <v>16744</v>
      </c>
      <c r="B885" s="91">
        <v>44887.983807870369</v>
      </c>
      <c r="C885" s="28" t="s">
        <v>10</v>
      </c>
      <c r="D885" s="28" t="s">
        <v>1192</v>
      </c>
      <c r="E885" s="28" t="s">
        <v>50</v>
      </c>
      <c r="F885" s="28">
        <v>0</v>
      </c>
      <c r="G885" s="28" t="s">
        <v>119</v>
      </c>
      <c r="H885" s="28">
        <v>0</v>
      </c>
      <c r="J885" s="28"/>
    </row>
    <row r="886" spans="1:10" ht="15.75" customHeight="1">
      <c r="A886" s="28">
        <v>16745</v>
      </c>
      <c r="B886" s="91">
        <v>44887.985173611116</v>
      </c>
      <c r="C886" s="28" t="s">
        <v>10</v>
      </c>
      <c r="D886" s="28" t="s">
        <v>1191</v>
      </c>
      <c r="E886" s="28" t="s">
        <v>50</v>
      </c>
      <c r="F886" s="28">
        <v>35</v>
      </c>
      <c r="G886" s="28" t="s">
        <v>124</v>
      </c>
      <c r="H886" s="28">
        <v>0</v>
      </c>
      <c r="J886" s="28"/>
    </row>
    <row r="887" spans="1:10" ht="15.75" customHeight="1">
      <c r="A887" s="28">
        <v>16745</v>
      </c>
      <c r="B887" s="91">
        <v>44887.985173611116</v>
      </c>
      <c r="C887" s="28" t="s">
        <v>10</v>
      </c>
      <c r="D887" s="28" t="s">
        <v>1191</v>
      </c>
      <c r="E887" s="28" t="s">
        <v>50</v>
      </c>
      <c r="F887" s="28">
        <v>0</v>
      </c>
      <c r="G887" s="28" t="s">
        <v>125</v>
      </c>
      <c r="H887" s="28">
        <v>0</v>
      </c>
      <c r="J887" s="28"/>
    </row>
    <row r="888" spans="1:10" ht="15.75" customHeight="1">
      <c r="A888" s="28">
        <v>16745</v>
      </c>
      <c r="B888" s="91">
        <v>44887.985173611116</v>
      </c>
      <c r="C888" s="28" t="s">
        <v>10</v>
      </c>
      <c r="D888" s="28" t="s">
        <v>1191</v>
      </c>
      <c r="E888" s="28" t="s">
        <v>50</v>
      </c>
      <c r="F888" s="28">
        <v>0</v>
      </c>
      <c r="G888" s="28" t="s">
        <v>121</v>
      </c>
      <c r="H888" s="28">
        <v>0</v>
      </c>
      <c r="J888" s="28"/>
    </row>
    <row r="889" spans="1:10" ht="15.75" customHeight="1">
      <c r="A889" s="28">
        <v>16745</v>
      </c>
      <c r="B889" s="91">
        <v>44887.985173611116</v>
      </c>
      <c r="C889" s="28" t="s">
        <v>10</v>
      </c>
      <c r="D889" s="28" t="s">
        <v>1191</v>
      </c>
      <c r="E889" s="28" t="s">
        <v>50</v>
      </c>
      <c r="F889" s="28">
        <v>0</v>
      </c>
      <c r="G889" s="28" t="s">
        <v>119</v>
      </c>
      <c r="H889" s="28">
        <v>0</v>
      </c>
      <c r="J889" s="28"/>
    </row>
    <row r="890" spans="1:10" ht="15.75" customHeight="1">
      <c r="A890" s="28">
        <v>16745</v>
      </c>
      <c r="B890" s="91">
        <v>44887.985173611116</v>
      </c>
      <c r="C890" s="28" t="s">
        <v>10</v>
      </c>
      <c r="D890" s="28" t="s">
        <v>1191</v>
      </c>
      <c r="E890" s="28" t="s">
        <v>50</v>
      </c>
      <c r="F890" s="28">
        <v>18</v>
      </c>
      <c r="G890" s="28" t="s">
        <v>457</v>
      </c>
      <c r="H890" s="28">
        <v>0</v>
      </c>
      <c r="J890" s="28"/>
    </row>
    <row r="891" spans="1:10" ht="15.75" customHeight="1">
      <c r="A891" s="28">
        <v>16746</v>
      </c>
      <c r="B891" s="91">
        <v>44887.986597222218</v>
      </c>
      <c r="C891" s="28" t="s">
        <v>10</v>
      </c>
      <c r="D891" s="28" t="s">
        <v>1190</v>
      </c>
      <c r="E891" s="28" t="s">
        <v>50</v>
      </c>
      <c r="F891" s="28">
        <v>35</v>
      </c>
      <c r="G891" s="28" t="s">
        <v>124</v>
      </c>
      <c r="H891" s="28">
        <v>0</v>
      </c>
      <c r="J891" s="28"/>
    </row>
    <row r="892" spans="1:10" ht="15.75" customHeight="1">
      <c r="A892" s="28">
        <v>16746</v>
      </c>
      <c r="B892" s="91">
        <v>44887.986597222218</v>
      </c>
      <c r="C892" s="28" t="s">
        <v>10</v>
      </c>
      <c r="D892" s="28" t="s">
        <v>1190</v>
      </c>
      <c r="E892" s="28" t="s">
        <v>50</v>
      </c>
      <c r="F892" s="28">
        <v>0</v>
      </c>
      <c r="G892" s="28" t="s">
        <v>125</v>
      </c>
      <c r="H892" s="28">
        <v>0</v>
      </c>
      <c r="J892" s="28"/>
    </row>
    <row r="893" spans="1:10" ht="15.75" customHeight="1">
      <c r="A893" s="28">
        <v>16746</v>
      </c>
      <c r="B893" s="91">
        <v>44887.986597222218</v>
      </c>
      <c r="C893" s="28" t="s">
        <v>10</v>
      </c>
      <c r="D893" s="28" t="s">
        <v>1190</v>
      </c>
      <c r="E893" s="28" t="s">
        <v>50</v>
      </c>
      <c r="F893" s="28">
        <v>0</v>
      </c>
      <c r="G893" s="28" t="s">
        <v>121</v>
      </c>
      <c r="H893" s="28">
        <v>0</v>
      </c>
      <c r="J893" s="28"/>
    </row>
    <row r="894" spans="1:10" ht="15.75" customHeight="1">
      <c r="A894" s="28">
        <v>16746</v>
      </c>
      <c r="B894" s="91">
        <v>44887.986597222218</v>
      </c>
      <c r="C894" s="28" t="s">
        <v>10</v>
      </c>
      <c r="D894" s="28" t="s">
        <v>1190</v>
      </c>
      <c r="E894" s="28" t="s">
        <v>50</v>
      </c>
      <c r="F894" s="28">
        <v>0</v>
      </c>
      <c r="G894" s="28" t="s">
        <v>119</v>
      </c>
      <c r="H894" s="28">
        <v>0</v>
      </c>
      <c r="J894" s="28"/>
    </row>
    <row r="895" spans="1:10" ht="15.75" customHeight="1">
      <c r="A895" s="28">
        <v>16747</v>
      </c>
      <c r="B895" s="91">
        <v>44887.989687499998</v>
      </c>
      <c r="C895" s="28" t="s">
        <v>10</v>
      </c>
      <c r="D895" s="28" t="s">
        <v>1183</v>
      </c>
      <c r="E895" s="28" t="s">
        <v>50</v>
      </c>
      <c r="F895" s="28">
        <v>28</v>
      </c>
      <c r="G895" s="28" t="s">
        <v>143</v>
      </c>
      <c r="H895" s="28">
        <v>0</v>
      </c>
      <c r="J895" s="28"/>
    </row>
    <row r="896" spans="1:10" ht="15.75" customHeight="1">
      <c r="A896" s="28">
        <v>16747</v>
      </c>
      <c r="B896" s="91">
        <v>44887.989687499998</v>
      </c>
      <c r="C896" s="28" t="s">
        <v>10</v>
      </c>
      <c r="D896" s="28" t="s">
        <v>1183</v>
      </c>
      <c r="E896" s="28" t="s">
        <v>50</v>
      </c>
      <c r="F896" s="28">
        <v>25</v>
      </c>
      <c r="G896" s="28" t="s">
        <v>120</v>
      </c>
      <c r="H896" s="28">
        <v>0</v>
      </c>
      <c r="J896" s="28"/>
    </row>
    <row r="897" spans="1:10" ht="15.75" customHeight="1">
      <c r="A897" s="28">
        <v>16748</v>
      </c>
      <c r="B897" s="91">
        <v>44887.990173611106</v>
      </c>
      <c r="C897" s="28" t="s">
        <v>10</v>
      </c>
      <c r="D897" s="28" t="s">
        <v>1118</v>
      </c>
      <c r="E897" s="28" t="s">
        <v>50</v>
      </c>
      <c r="F897" s="28">
        <v>25</v>
      </c>
      <c r="G897" s="28">
        <v>100692</v>
      </c>
      <c r="H897" s="28">
        <v>0</v>
      </c>
      <c r="J897" s="28"/>
    </row>
    <row r="898" spans="1:10" ht="15.75" customHeight="1">
      <c r="A898" s="28">
        <v>16748</v>
      </c>
      <c r="B898" s="91">
        <v>44887.990173611106</v>
      </c>
      <c r="C898" s="28" t="s">
        <v>10</v>
      </c>
      <c r="D898" s="28" t="s">
        <v>1118</v>
      </c>
      <c r="E898" s="28" t="s">
        <v>50</v>
      </c>
      <c r="F898" s="28">
        <v>0</v>
      </c>
      <c r="G898" s="28" t="s">
        <v>125</v>
      </c>
      <c r="H898" s="28">
        <v>0</v>
      </c>
      <c r="J898" s="28"/>
    </row>
    <row r="899" spans="1:10" ht="15.75" customHeight="1">
      <c r="A899" s="28">
        <v>16748</v>
      </c>
      <c r="B899" s="91">
        <v>44887.990173611106</v>
      </c>
      <c r="C899" s="28" t="s">
        <v>10</v>
      </c>
      <c r="D899" s="28" t="s">
        <v>1118</v>
      </c>
      <c r="E899" s="28" t="s">
        <v>50</v>
      </c>
      <c r="F899" s="28">
        <v>0</v>
      </c>
      <c r="G899" s="28" t="s">
        <v>119</v>
      </c>
      <c r="H899" s="28">
        <v>0</v>
      </c>
      <c r="J899" s="28"/>
    </row>
    <row r="900" spans="1:10" ht="15.75" customHeight="1">
      <c r="A900" s="28">
        <v>16749</v>
      </c>
      <c r="B900" s="91">
        <v>44887.998194444444</v>
      </c>
      <c r="C900" s="28" t="s">
        <v>10</v>
      </c>
      <c r="D900" s="28" t="s">
        <v>1189</v>
      </c>
      <c r="E900" s="28" t="s">
        <v>50</v>
      </c>
      <c r="F900" s="28">
        <v>15</v>
      </c>
      <c r="G900" s="28"/>
      <c r="H900" s="28">
        <v>0</v>
      </c>
      <c r="J900" s="28"/>
    </row>
    <row r="901" spans="1:10" ht="15.75" customHeight="1">
      <c r="A901" s="28">
        <v>16750</v>
      </c>
      <c r="B901" s="91">
        <v>44887.999027777776</v>
      </c>
      <c r="C901" s="28" t="s">
        <v>10</v>
      </c>
      <c r="D901" s="28" t="s">
        <v>1188</v>
      </c>
      <c r="E901" s="28" t="s">
        <v>50</v>
      </c>
      <c r="F901" s="28">
        <v>25</v>
      </c>
      <c r="G901" s="28">
        <v>100692</v>
      </c>
      <c r="H901" s="28">
        <v>0</v>
      </c>
      <c r="J901" s="28"/>
    </row>
    <row r="902" spans="1:10" ht="15.75" customHeight="1">
      <c r="A902" s="28">
        <v>16750</v>
      </c>
      <c r="B902" s="91">
        <v>44887.999027777776</v>
      </c>
      <c r="C902" s="28" t="s">
        <v>10</v>
      </c>
      <c r="D902" s="28" t="s">
        <v>1188</v>
      </c>
      <c r="E902" s="28" t="s">
        <v>50</v>
      </c>
      <c r="F902" s="28">
        <v>0</v>
      </c>
      <c r="G902" s="28" t="s">
        <v>125</v>
      </c>
      <c r="H902" s="28">
        <v>0</v>
      </c>
      <c r="J902" s="28"/>
    </row>
    <row r="903" spans="1:10" ht="15.75" customHeight="1">
      <c r="A903" s="28">
        <v>16750</v>
      </c>
      <c r="B903" s="91">
        <v>44887.999027777776</v>
      </c>
      <c r="C903" s="28" t="s">
        <v>10</v>
      </c>
      <c r="D903" s="28" t="s">
        <v>1188</v>
      </c>
      <c r="E903" s="28" t="s">
        <v>50</v>
      </c>
      <c r="F903" s="28">
        <v>0</v>
      </c>
      <c r="G903" s="28" t="s">
        <v>119</v>
      </c>
      <c r="H903" s="28">
        <v>0</v>
      </c>
      <c r="J903" s="28"/>
    </row>
    <row r="904" spans="1:10" ht="15.75" customHeight="1">
      <c r="A904" s="28">
        <v>16751</v>
      </c>
      <c r="B904" s="91">
        <v>44888.003750000003</v>
      </c>
      <c r="C904" s="28" t="s">
        <v>10</v>
      </c>
      <c r="D904" s="28" t="s">
        <v>1187</v>
      </c>
      <c r="E904" s="28" t="s">
        <v>50</v>
      </c>
      <c r="F904" s="28">
        <v>35</v>
      </c>
      <c r="G904" s="28" t="s">
        <v>124</v>
      </c>
      <c r="H904" s="28">
        <v>0</v>
      </c>
      <c r="J904" s="28"/>
    </row>
    <row r="905" spans="1:10" ht="15.75" customHeight="1">
      <c r="A905" s="28">
        <v>16751</v>
      </c>
      <c r="B905" s="91">
        <v>44888.003750000003</v>
      </c>
      <c r="C905" s="28" t="s">
        <v>10</v>
      </c>
      <c r="D905" s="28" t="s">
        <v>1187</v>
      </c>
      <c r="E905" s="28" t="s">
        <v>50</v>
      </c>
      <c r="F905" s="28">
        <v>0</v>
      </c>
      <c r="G905" s="28" t="s">
        <v>125</v>
      </c>
      <c r="H905" s="28">
        <v>0</v>
      </c>
      <c r="J905" s="28"/>
    </row>
    <row r="906" spans="1:10" ht="15.75" customHeight="1">
      <c r="A906" s="28">
        <v>16751</v>
      </c>
      <c r="B906" s="91">
        <v>44888.003750000003</v>
      </c>
      <c r="C906" s="28" t="s">
        <v>10</v>
      </c>
      <c r="D906" s="28" t="s">
        <v>1187</v>
      </c>
      <c r="E906" s="28" t="s">
        <v>50</v>
      </c>
      <c r="F906" s="28">
        <v>0</v>
      </c>
      <c r="G906" s="28" t="s">
        <v>121</v>
      </c>
      <c r="H906" s="28">
        <v>0</v>
      </c>
      <c r="J906" s="28"/>
    </row>
    <row r="907" spans="1:10" ht="15.75" customHeight="1">
      <c r="A907" s="28">
        <v>16751</v>
      </c>
      <c r="B907" s="91">
        <v>44888.003750000003</v>
      </c>
      <c r="C907" s="28" t="s">
        <v>10</v>
      </c>
      <c r="D907" s="28" t="s">
        <v>1187</v>
      </c>
      <c r="E907" s="28" t="s">
        <v>50</v>
      </c>
      <c r="F907" s="28">
        <v>0</v>
      </c>
      <c r="G907" s="28" t="s">
        <v>119</v>
      </c>
      <c r="H907" s="28">
        <v>0</v>
      </c>
      <c r="J907" s="28"/>
    </row>
    <row r="908" spans="1:10" ht="15.75" customHeight="1">
      <c r="A908" s="28">
        <v>16752</v>
      </c>
      <c r="B908" s="91">
        <v>44888.006539351853</v>
      </c>
      <c r="C908" s="28" t="s">
        <v>10</v>
      </c>
      <c r="D908" s="28" t="s">
        <v>1186</v>
      </c>
      <c r="E908" s="28" t="s">
        <v>50</v>
      </c>
      <c r="F908" s="28">
        <v>0</v>
      </c>
      <c r="G908" s="28" t="s">
        <v>139</v>
      </c>
      <c r="H908" s="28">
        <v>0</v>
      </c>
      <c r="J908" s="28"/>
    </row>
    <row r="909" spans="1:10" ht="15.75" customHeight="1">
      <c r="A909" s="28">
        <v>16752</v>
      </c>
      <c r="B909" s="91">
        <v>44888.006539351853</v>
      </c>
      <c r="C909" s="28" t="s">
        <v>10</v>
      </c>
      <c r="D909" s="28" t="s">
        <v>1186</v>
      </c>
      <c r="E909" s="28" t="s">
        <v>50</v>
      </c>
      <c r="F909" s="28">
        <v>35</v>
      </c>
      <c r="G909" s="28" t="s">
        <v>124</v>
      </c>
      <c r="H909" s="28">
        <v>0</v>
      </c>
      <c r="J909" s="28"/>
    </row>
    <row r="910" spans="1:10" ht="15.75" customHeight="1">
      <c r="A910" s="28">
        <v>16752</v>
      </c>
      <c r="B910" s="91">
        <v>44888.006539351853</v>
      </c>
      <c r="C910" s="28" t="s">
        <v>10</v>
      </c>
      <c r="D910" s="28" t="s">
        <v>1186</v>
      </c>
      <c r="E910" s="28" t="s">
        <v>50</v>
      </c>
      <c r="F910" s="28">
        <v>0</v>
      </c>
      <c r="G910" s="28" t="s">
        <v>125</v>
      </c>
      <c r="H910" s="28">
        <v>0</v>
      </c>
      <c r="J910" s="28"/>
    </row>
    <row r="911" spans="1:10" ht="15.75" customHeight="1">
      <c r="A911" s="28">
        <v>16752</v>
      </c>
      <c r="B911" s="91">
        <v>44888.006539351853</v>
      </c>
      <c r="C911" s="28" t="s">
        <v>10</v>
      </c>
      <c r="D911" s="28" t="s">
        <v>1186</v>
      </c>
      <c r="E911" s="28" t="s">
        <v>50</v>
      </c>
      <c r="F911" s="28">
        <v>0</v>
      </c>
      <c r="G911" s="28" t="s">
        <v>121</v>
      </c>
      <c r="H911" s="28">
        <v>0</v>
      </c>
      <c r="J911" s="28"/>
    </row>
    <row r="912" spans="1:10" ht="15.75" customHeight="1">
      <c r="A912" s="28">
        <v>16752</v>
      </c>
      <c r="B912" s="91">
        <v>44888.006539351853</v>
      </c>
      <c r="C912" s="28" t="s">
        <v>10</v>
      </c>
      <c r="D912" s="28" t="s">
        <v>1186</v>
      </c>
      <c r="E912" s="28" t="s">
        <v>50</v>
      </c>
      <c r="F912" s="28">
        <v>0</v>
      </c>
      <c r="G912" s="28" t="s">
        <v>119</v>
      </c>
      <c r="H912" s="28">
        <v>0</v>
      </c>
      <c r="J912" s="28"/>
    </row>
    <row r="913" spans="1:10" ht="15.75" customHeight="1">
      <c r="A913" s="28">
        <v>16753</v>
      </c>
      <c r="B913" s="91">
        <v>44888.008009259254</v>
      </c>
      <c r="C913" s="28" t="s">
        <v>10</v>
      </c>
      <c r="D913" s="28" t="s">
        <v>1185</v>
      </c>
      <c r="E913" s="28" t="s">
        <v>50</v>
      </c>
      <c r="F913" s="28">
        <v>55</v>
      </c>
      <c r="G913" s="28">
        <v>101684</v>
      </c>
      <c r="H913" s="28">
        <v>0</v>
      </c>
      <c r="J913" s="28"/>
    </row>
    <row r="914" spans="1:10" ht="15.75" customHeight="1">
      <c r="A914" s="28">
        <v>16753</v>
      </c>
      <c r="B914" s="91">
        <v>44888.008009259254</v>
      </c>
      <c r="C914" s="28" t="s">
        <v>10</v>
      </c>
      <c r="D914" s="28" t="s">
        <v>1185</v>
      </c>
      <c r="E914" s="28" t="s">
        <v>50</v>
      </c>
      <c r="F914" s="28">
        <v>0</v>
      </c>
      <c r="G914" s="28" t="s">
        <v>118</v>
      </c>
      <c r="H914" s="28">
        <v>0</v>
      </c>
      <c r="J914" s="28"/>
    </row>
    <row r="915" spans="1:10" ht="15.75" customHeight="1">
      <c r="A915" s="28">
        <v>16753</v>
      </c>
      <c r="B915" s="91">
        <v>44888.008009259254</v>
      </c>
      <c r="C915" s="28" t="s">
        <v>10</v>
      </c>
      <c r="D915" s="28" t="s">
        <v>1185</v>
      </c>
      <c r="E915" s="28" t="s">
        <v>50</v>
      </c>
      <c r="F915" s="28">
        <v>0</v>
      </c>
      <c r="G915" s="28" t="s">
        <v>119</v>
      </c>
      <c r="H915" s="28">
        <v>0</v>
      </c>
      <c r="J915" s="28"/>
    </row>
    <row r="916" spans="1:10" ht="15.75" customHeight="1">
      <c r="A916" s="28">
        <v>16753</v>
      </c>
      <c r="B916" s="91">
        <v>44888.008009259254</v>
      </c>
      <c r="C916" s="28" t="s">
        <v>10</v>
      </c>
      <c r="D916" s="28" t="s">
        <v>1185</v>
      </c>
      <c r="E916" s="28" t="s">
        <v>50</v>
      </c>
      <c r="F916" s="28">
        <v>0</v>
      </c>
      <c r="G916" s="28" t="s">
        <v>120</v>
      </c>
      <c r="H916" s="28">
        <v>0</v>
      </c>
      <c r="J916" s="28"/>
    </row>
    <row r="917" spans="1:10" ht="15.75" customHeight="1">
      <c r="A917" s="28">
        <v>16753</v>
      </c>
      <c r="B917" s="91">
        <v>44888.008009259254</v>
      </c>
      <c r="C917" s="28" t="s">
        <v>10</v>
      </c>
      <c r="D917" s="28" t="s">
        <v>1185</v>
      </c>
      <c r="E917" s="28" t="s">
        <v>50</v>
      </c>
      <c r="F917" s="28">
        <v>0</v>
      </c>
      <c r="G917" s="28" t="s">
        <v>121</v>
      </c>
      <c r="H917" s="28">
        <v>0</v>
      </c>
      <c r="J917" s="28"/>
    </row>
    <row r="918" spans="1:10" ht="15.75" customHeight="1">
      <c r="A918" s="28">
        <v>16754</v>
      </c>
      <c r="B918" s="91">
        <v>44888.009976851856</v>
      </c>
      <c r="C918" s="28" t="s">
        <v>10</v>
      </c>
      <c r="D918" s="28" t="s">
        <v>1184</v>
      </c>
      <c r="E918" s="28" t="s">
        <v>50</v>
      </c>
      <c r="F918" s="28">
        <v>35</v>
      </c>
      <c r="G918" s="28" t="s">
        <v>124</v>
      </c>
      <c r="H918" s="28">
        <v>0</v>
      </c>
      <c r="J918" s="28"/>
    </row>
    <row r="919" spans="1:10" ht="15.75" customHeight="1">
      <c r="A919" s="28">
        <v>16754</v>
      </c>
      <c r="B919" s="91">
        <v>44888.009976851856</v>
      </c>
      <c r="C919" s="28" t="s">
        <v>10</v>
      </c>
      <c r="D919" s="28" t="s">
        <v>1184</v>
      </c>
      <c r="E919" s="28" t="s">
        <v>50</v>
      </c>
      <c r="F919" s="28">
        <v>0</v>
      </c>
      <c r="G919" s="28" t="s">
        <v>125</v>
      </c>
      <c r="H919" s="28">
        <v>0</v>
      </c>
      <c r="J919" s="28"/>
    </row>
    <row r="920" spans="1:10" ht="15.75" customHeight="1">
      <c r="A920" s="28">
        <v>16754</v>
      </c>
      <c r="B920" s="91">
        <v>44888.009976851856</v>
      </c>
      <c r="C920" s="28" t="s">
        <v>10</v>
      </c>
      <c r="D920" s="28" t="s">
        <v>1184</v>
      </c>
      <c r="E920" s="28" t="s">
        <v>50</v>
      </c>
      <c r="F920" s="28">
        <v>0</v>
      </c>
      <c r="G920" s="28" t="s">
        <v>121</v>
      </c>
      <c r="H920" s="28">
        <v>0</v>
      </c>
      <c r="J920" s="28"/>
    </row>
    <row r="921" spans="1:10" ht="15.75" customHeight="1">
      <c r="A921" s="28">
        <v>16754</v>
      </c>
      <c r="B921" s="91">
        <v>44888.009976851856</v>
      </c>
      <c r="C921" s="28" t="s">
        <v>10</v>
      </c>
      <c r="D921" s="28" t="s">
        <v>1184</v>
      </c>
      <c r="E921" s="28" t="s">
        <v>50</v>
      </c>
      <c r="F921" s="28">
        <v>0</v>
      </c>
      <c r="G921" s="28" t="s">
        <v>119</v>
      </c>
      <c r="H921" s="28">
        <v>0</v>
      </c>
      <c r="J921" s="28"/>
    </row>
    <row r="922" spans="1:10" ht="15.75" customHeight="1">
      <c r="A922" s="28">
        <v>16754</v>
      </c>
      <c r="B922" s="91">
        <v>44888.009976851856</v>
      </c>
      <c r="C922" s="28" t="s">
        <v>10</v>
      </c>
      <c r="D922" s="28" t="s">
        <v>1184</v>
      </c>
      <c r="E922" s="28" t="s">
        <v>50</v>
      </c>
      <c r="F922" s="28">
        <v>10</v>
      </c>
      <c r="G922" s="28" t="s">
        <v>334</v>
      </c>
      <c r="H922" s="28">
        <v>0</v>
      </c>
      <c r="J922" s="28"/>
    </row>
    <row r="923" spans="1:10" ht="15.75" customHeight="1">
      <c r="A923" s="28">
        <v>16755</v>
      </c>
      <c r="B923" s="91">
        <v>44888.018043981487</v>
      </c>
      <c r="C923" s="28" t="s">
        <v>10</v>
      </c>
      <c r="D923" s="28" t="s">
        <v>1183</v>
      </c>
      <c r="E923" s="28" t="s">
        <v>50</v>
      </c>
      <c r="F923" s="28">
        <v>0</v>
      </c>
      <c r="G923" s="28" t="s">
        <v>139</v>
      </c>
      <c r="H923" s="28">
        <v>0</v>
      </c>
      <c r="J923" s="28"/>
    </row>
    <row r="924" spans="1:10" ht="15.75" customHeight="1">
      <c r="A924" s="28">
        <v>16757</v>
      </c>
      <c r="B924" s="91">
        <v>44888.028009259258</v>
      </c>
      <c r="C924" s="28" t="s">
        <v>10</v>
      </c>
      <c r="D924" s="28" t="s">
        <v>1181</v>
      </c>
      <c r="E924" s="28" t="s">
        <v>50</v>
      </c>
      <c r="F924" s="28">
        <v>35</v>
      </c>
      <c r="G924" s="28" t="s">
        <v>124</v>
      </c>
      <c r="H924" s="28">
        <v>0</v>
      </c>
      <c r="J924" s="28"/>
    </row>
    <row r="925" spans="1:10" ht="15.75" customHeight="1">
      <c r="A925" s="28">
        <v>16757</v>
      </c>
      <c r="B925" s="91">
        <v>44888.028009259258</v>
      </c>
      <c r="C925" s="28" t="s">
        <v>10</v>
      </c>
      <c r="D925" s="28" t="s">
        <v>1181</v>
      </c>
      <c r="E925" s="28" t="s">
        <v>50</v>
      </c>
      <c r="F925" s="28">
        <v>0</v>
      </c>
      <c r="G925" s="28" t="s">
        <v>125</v>
      </c>
      <c r="H925" s="28">
        <v>0</v>
      </c>
      <c r="J925" s="28"/>
    </row>
    <row r="926" spans="1:10" ht="15.75" customHeight="1">
      <c r="A926" s="28">
        <v>16757</v>
      </c>
      <c r="B926" s="91">
        <v>44888.028009259258</v>
      </c>
      <c r="C926" s="28" t="s">
        <v>10</v>
      </c>
      <c r="D926" s="28" t="s">
        <v>1181</v>
      </c>
      <c r="E926" s="28" t="s">
        <v>50</v>
      </c>
      <c r="F926" s="28">
        <v>0</v>
      </c>
      <c r="G926" s="28" t="s">
        <v>121</v>
      </c>
      <c r="H926" s="28">
        <v>0</v>
      </c>
      <c r="J926" s="28"/>
    </row>
    <row r="927" spans="1:10" ht="15.75" customHeight="1">
      <c r="A927" s="28">
        <v>16757</v>
      </c>
      <c r="B927" s="91">
        <v>44888.028009259258</v>
      </c>
      <c r="C927" s="28" t="s">
        <v>10</v>
      </c>
      <c r="D927" s="28" t="s">
        <v>1181</v>
      </c>
      <c r="E927" s="28" t="s">
        <v>50</v>
      </c>
      <c r="F927" s="28">
        <v>0</v>
      </c>
      <c r="G927" s="28" t="s">
        <v>119</v>
      </c>
      <c r="H927" s="28">
        <v>0</v>
      </c>
      <c r="J927" s="28"/>
    </row>
    <row r="928" spans="1:10" ht="15.75" customHeight="1">
      <c r="A928" s="28">
        <v>16756</v>
      </c>
      <c r="B928" s="91">
        <v>44888.028009259258</v>
      </c>
      <c r="C928" s="28" t="s">
        <v>10</v>
      </c>
      <c r="D928" s="28" t="s">
        <v>1182</v>
      </c>
      <c r="E928" s="28" t="s">
        <v>50</v>
      </c>
      <c r="F928" s="28">
        <v>0</v>
      </c>
      <c r="G928" s="28" t="s">
        <v>139</v>
      </c>
      <c r="H928" s="28">
        <v>0</v>
      </c>
      <c r="J928" s="28"/>
    </row>
    <row r="929" spans="1:10" ht="15.75" customHeight="1">
      <c r="A929" s="28">
        <v>16756</v>
      </c>
      <c r="B929" s="91">
        <v>44888.028009259258</v>
      </c>
      <c r="C929" s="28" t="s">
        <v>10</v>
      </c>
      <c r="D929" s="28" t="s">
        <v>1182</v>
      </c>
      <c r="E929" s="28" t="s">
        <v>50</v>
      </c>
      <c r="F929" s="28">
        <v>24</v>
      </c>
      <c r="G929" s="28" t="s">
        <v>122</v>
      </c>
      <c r="H929" s="28">
        <v>0</v>
      </c>
      <c r="J929" s="28"/>
    </row>
    <row r="930" spans="1:10" ht="15.75" customHeight="1">
      <c r="A930" s="28">
        <v>16758</v>
      </c>
      <c r="B930" s="91">
        <v>44888.03125</v>
      </c>
      <c r="C930" s="28" t="s">
        <v>10</v>
      </c>
      <c r="D930" s="28" t="s">
        <v>1180</v>
      </c>
      <c r="E930" s="28" t="s">
        <v>50</v>
      </c>
      <c r="F930" s="28">
        <v>35</v>
      </c>
      <c r="G930" s="28" t="s">
        <v>124</v>
      </c>
      <c r="H930" s="28">
        <v>0</v>
      </c>
      <c r="J930" s="28"/>
    </row>
    <row r="931" spans="1:10" ht="15.75" customHeight="1">
      <c r="A931" s="28">
        <v>16758</v>
      </c>
      <c r="B931" s="91">
        <v>44888.03125</v>
      </c>
      <c r="C931" s="28" t="s">
        <v>10</v>
      </c>
      <c r="D931" s="28" t="s">
        <v>1180</v>
      </c>
      <c r="E931" s="28" t="s">
        <v>50</v>
      </c>
      <c r="F931" s="28">
        <v>0</v>
      </c>
      <c r="G931" s="28" t="s">
        <v>125</v>
      </c>
      <c r="H931" s="28">
        <v>0</v>
      </c>
      <c r="J931" s="28"/>
    </row>
    <row r="932" spans="1:10" ht="15.75" customHeight="1">
      <c r="A932" s="28">
        <v>16758</v>
      </c>
      <c r="B932" s="91">
        <v>44888.03125</v>
      </c>
      <c r="C932" s="28" t="s">
        <v>10</v>
      </c>
      <c r="D932" s="28" t="s">
        <v>1180</v>
      </c>
      <c r="E932" s="28" t="s">
        <v>50</v>
      </c>
      <c r="F932" s="28">
        <v>0</v>
      </c>
      <c r="G932" s="28" t="s">
        <v>121</v>
      </c>
      <c r="H932" s="28">
        <v>0</v>
      </c>
      <c r="J932" s="28"/>
    </row>
    <row r="933" spans="1:10" ht="15.75" customHeight="1">
      <c r="A933" s="28">
        <v>16758</v>
      </c>
      <c r="B933" s="91">
        <v>44888.03125</v>
      </c>
      <c r="C933" s="28" t="s">
        <v>10</v>
      </c>
      <c r="D933" s="28" t="s">
        <v>1180</v>
      </c>
      <c r="E933" s="28" t="s">
        <v>50</v>
      </c>
      <c r="F933" s="28">
        <v>0</v>
      </c>
      <c r="G933" s="28" t="s">
        <v>119</v>
      </c>
      <c r="H933" s="28">
        <v>0</v>
      </c>
      <c r="J933" s="28"/>
    </row>
    <row r="934" spans="1:10" ht="15.75" customHeight="1">
      <c r="A934" s="28">
        <v>16759</v>
      </c>
      <c r="B934" s="91">
        <v>44888.032812500001</v>
      </c>
      <c r="C934" s="28" t="s">
        <v>10</v>
      </c>
      <c r="D934" s="28" t="s">
        <v>1179</v>
      </c>
      <c r="E934" s="28" t="s">
        <v>50</v>
      </c>
      <c r="F934" s="28">
        <v>25</v>
      </c>
      <c r="G934" s="28">
        <v>100692</v>
      </c>
      <c r="H934" s="28">
        <v>0</v>
      </c>
      <c r="J934" s="28"/>
    </row>
    <row r="935" spans="1:10" ht="15.75" customHeight="1">
      <c r="A935" s="28">
        <v>16759</v>
      </c>
      <c r="B935" s="91">
        <v>44888.032812500001</v>
      </c>
      <c r="C935" s="28" t="s">
        <v>10</v>
      </c>
      <c r="D935" s="28" t="s">
        <v>1179</v>
      </c>
      <c r="E935" s="28" t="s">
        <v>50</v>
      </c>
      <c r="F935" s="28">
        <v>0</v>
      </c>
      <c r="G935" s="28" t="s">
        <v>125</v>
      </c>
      <c r="H935" s="28">
        <v>0</v>
      </c>
      <c r="J935" s="28"/>
    </row>
    <row r="936" spans="1:10" ht="15.75" customHeight="1">
      <c r="A936" s="28">
        <v>16759</v>
      </c>
      <c r="B936" s="91">
        <v>44888.032812500001</v>
      </c>
      <c r="C936" s="28" t="s">
        <v>10</v>
      </c>
      <c r="D936" s="28" t="s">
        <v>1179</v>
      </c>
      <c r="E936" s="28" t="s">
        <v>50</v>
      </c>
      <c r="F936" s="28">
        <v>0</v>
      </c>
      <c r="G936" s="28" t="s">
        <v>119</v>
      </c>
      <c r="H936" s="28">
        <v>0</v>
      </c>
      <c r="J936" s="28"/>
    </row>
    <row r="937" spans="1:10" ht="15.75" customHeight="1">
      <c r="A937" s="28">
        <v>16760</v>
      </c>
      <c r="B937" s="91">
        <v>44888.035092592589</v>
      </c>
      <c r="C937" s="28" t="s">
        <v>10</v>
      </c>
      <c r="D937" s="28" t="s">
        <v>1178</v>
      </c>
      <c r="E937" s="28" t="s">
        <v>50</v>
      </c>
      <c r="F937" s="28">
        <v>70</v>
      </c>
      <c r="G937" s="28" t="s">
        <v>124</v>
      </c>
      <c r="H937" s="28">
        <v>0</v>
      </c>
      <c r="J937" s="28"/>
    </row>
    <row r="938" spans="1:10" ht="15.75" customHeight="1">
      <c r="A938" s="28">
        <v>16760</v>
      </c>
      <c r="B938" s="91">
        <v>44888.035092592589</v>
      </c>
      <c r="C938" s="28" t="s">
        <v>10</v>
      </c>
      <c r="D938" s="28" t="s">
        <v>1178</v>
      </c>
      <c r="E938" s="28" t="s">
        <v>50</v>
      </c>
      <c r="F938" s="28">
        <v>0</v>
      </c>
      <c r="G938" s="28" t="s">
        <v>125</v>
      </c>
      <c r="H938" s="28">
        <v>0</v>
      </c>
      <c r="J938" s="28"/>
    </row>
    <row r="939" spans="1:10" ht="15.75" customHeight="1">
      <c r="A939" s="28">
        <v>16760</v>
      </c>
      <c r="B939" s="91">
        <v>44888.035092592589</v>
      </c>
      <c r="C939" s="28" t="s">
        <v>10</v>
      </c>
      <c r="D939" s="28" t="s">
        <v>1178</v>
      </c>
      <c r="E939" s="28" t="s">
        <v>50</v>
      </c>
      <c r="F939" s="28">
        <v>0</v>
      </c>
      <c r="G939" s="28" t="s">
        <v>121</v>
      </c>
      <c r="H939" s="28">
        <v>0</v>
      </c>
      <c r="J939" s="28"/>
    </row>
    <row r="940" spans="1:10" ht="15.75" customHeight="1">
      <c r="A940" s="28">
        <v>16760</v>
      </c>
      <c r="B940" s="91">
        <v>44888.035092592589</v>
      </c>
      <c r="C940" s="28" t="s">
        <v>10</v>
      </c>
      <c r="D940" s="28" t="s">
        <v>1178</v>
      </c>
      <c r="E940" s="28" t="s">
        <v>50</v>
      </c>
      <c r="F940" s="28">
        <v>0</v>
      </c>
      <c r="G940" s="28" t="s">
        <v>119</v>
      </c>
      <c r="H940" s="28">
        <v>0</v>
      </c>
      <c r="J940" s="28"/>
    </row>
    <row r="941" spans="1:10" ht="15.75" customHeight="1">
      <c r="A941" s="28">
        <v>16760</v>
      </c>
      <c r="B941" s="91">
        <v>44888.035092592589</v>
      </c>
      <c r="C941" s="28" t="s">
        <v>10</v>
      </c>
      <c r="D941" s="28" t="s">
        <v>1178</v>
      </c>
      <c r="E941" s="28" t="s">
        <v>50</v>
      </c>
      <c r="F941" s="28">
        <v>18</v>
      </c>
      <c r="G941" s="28" t="s">
        <v>119</v>
      </c>
      <c r="H941" s="28">
        <v>0</v>
      </c>
      <c r="J941" s="28"/>
    </row>
    <row r="942" spans="1:10" ht="15.75" customHeight="1">
      <c r="A942" s="28">
        <v>16761</v>
      </c>
      <c r="B942" s="91">
        <v>44888.036122685182</v>
      </c>
      <c r="C942" s="28" t="s">
        <v>10</v>
      </c>
      <c r="D942" s="28" t="s">
        <v>1177</v>
      </c>
      <c r="E942" s="28" t="s">
        <v>50</v>
      </c>
      <c r="F942" s="28">
        <v>20</v>
      </c>
      <c r="G942" s="28" t="s">
        <v>148</v>
      </c>
      <c r="H942" s="28">
        <v>0</v>
      </c>
      <c r="J942" s="28"/>
    </row>
    <row r="943" spans="1:10" ht="15.75" customHeight="1">
      <c r="A943" s="28">
        <v>16761</v>
      </c>
      <c r="B943" s="91">
        <v>44888.036122685182</v>
      </c>
      <c r="C943" s="28" t="s">
        <v>10</v>
      </c>
      <c r="D943" s="28" t="s">
        <v>1177</v>
      </c>
      <c r="E943" s="28" t="s">
        <v>50</v>
      </c>
      <c r="F943" s="28">
        <v>22</v>
      </c>
      <c r="G943" s="28" t="s">
        <v>137</v>
      </c>
      <c r="H943" s="28">
        <v>0</v>
      </c>
      <c r="J943" s="28"/>
    </row>
    <row r="944" spans="1:10" ht="15.75" customHeight="1">
      <c r="A944" s="28">
        <v>16762</v>
      </c>
      <c r="B944" s="91">
        <v>44888.038206018522</v>
      </c>
      <c r="C944" s="28" t="s">
        <v>10</v>
      </c>
      <c r="D944" s="28" t="s">
        <v>1084</v>
      </c>
      <c r="E944" s="28" t="s">
        <v>50</v>
      </c>
      <c r="F944" s="28">
        <v>20</v>
      </c>
      <c r="G944" s="28" t="s">
        <v>148</v>
      </c>
      <c r="H944" s="28">
        <v>0</v>
      </c>
      <c r="J944" s="28"/>
    </row>
    <row r="945" spans="1:10" ht="15.75" customHeight="1">
      <c r="A945" s="28">
        <v>16763</v>
      </c>
      <c r="B945" s="91">
        <v>44888.039594907408</v>
      </c>
      <c r="C945" s="28" t="s">
        <v>10</v>
      </c>
      <c r="D945" s="28" t="s">
        <v>1176</v>
      </c>
      <c r="E945" s="28" t="s">
        <v>50</v>
      </c>
      <c r="F945" s="28">
        <v>35</v>
      </c>
      <c r="G945" s="28" t="s">
        <v>124</v>
      </c>
      <c r="H945" s="28">
        <v>0</v>
      </c>
      <c r="J945" s="28"/>
    </row>
    <row r="946" spans="1:10" ht="15.75" customHeight="1">
      <c r="A946" s="28">
        <v>16763</v>
      </c>
      <c r="B946" s="91">
        <v>44888.039594907408</v>
      </c>
      <c r="C946" s="28" t="s">
        <v>10</v>
      </c>
      <c r="D946" s="28" t="s">
        <v>1176</v>
      </c>
      <c r="E946" s="28" t="s">
        <v>50</v>
      </c>
      <c r="F946" s="28">
        <v>0</v>
      </c>
      <c r="G946" s="28" t="s">
        <v>125</v>
      </c>
      <c r="H946" s="28">
        <v>0</v>
      </c>
      <c r="J946" s="28"/>
    </row>
    <row r="947" spans="1:10" ht="15.75" customHeight="1">
      <c r="A947" s="28">
        <v>16763</v>
      </c>
      <c r="B947" s="91">
        <v>44888.039594907408</v>
      </c>
      <c r="C947" s="28" t="s">
        <v>10</v>
      </c>
      <c r="D947" s="28" t="s">
        <v>1176</v>
      </c>
      <c r="E947" s="28" t="s">
        <v>50</v>
      </c>
      <c r="F947" s="28">
        <v>0</v>
      </c>
      <c r="G947" s="28" t="s">
        <v>121</v>
      </c>
      <c r="H947" s="28">
        <v>0</v>
      </c>
      <c r="J947" s="28"/>
    </row>
    <row r="948" spans="1:10" ht="15.75" customHeight="1">
      <c r="A948" s="28">
        <v>16763</v>
      </c>
      <c r="B948" s="91">
        <v>44888.039594907408</v>
      </c>
      <c r="C948" s="28" t="s">
        <v>10</v>
      </c>
      <c r="D948" s="28" t="s">
        <v>1176</v>
      </c>
      <c r="E948" s="28" t="s">
        <v>50</v>
      </c>
      <c r="F948" s="28">
        <v>0</v>
      </c>
      <c r="G948" s="28" t="s">
        <v>119</v>
      </c>
      <c r="H948" s="28">
        <v>0</v>
      </c>
      <c r="J948" s="28"/>
    </row>
    <row r="949" spans="1:10" ht="15.75" customHeight="1">
      <c r="A949" s="28">
        <v>16764</v>
      </c>
      <c r="B949" s="91">
        <v>44888.03974537037</v>
      </c>
      <c r="C949" s="28" t="s">
        <v>10</v>
      </c>
      <c r="D949" s="28" t="s">
        <v>1175</v>
      </c>
      <c r="E949" s="28" t="s">
        <v>50</v>
      </c>
      <c r="F949" s="28">
        <v>25</v>
      </c>
      <c r="G949" s="28">
        <v>100692</v>
      </c>
      <c r="H949" s="28">
        <v>0</v>
      </c>
      <c r="J949" s="28"/>
    </row>
    <row r="950" spans="1:10" ht="15.75" customHeight="1">
      <c r="A950" s="28">
        <v>16764</v>
      </c>
      <c r="B950" s="91">
        <v>44888.03974537037</v>
      </c>
      <c r="C950" s="28" t="s">
        <v>10</v>
      </c>
      <c r="D950" s="28" t="s">
        <v>1175</v>
      </c>
      <c r="E950" s="28" t="s">
        <v>50</v>
      </c>
      <c r="F950" s="28">
        <v>0</v>
      </c>
      <c r="G950" s="28" t="s">
        <v>125</v>
      </c>
      <c r="H950" s="28">
        <v>0</v>
      </c>
      <c r="J950" s="28"/>
    </row>
    <row r="951" spans="1:10" ht="15.75" customHeight="1">
      <c r="A951" s="28">
        <v>16764</v>
      </c>
      <c r="B951" s="91">
        <v>44888.03974537037</v>
      </c>
      <c r="C951" s="28" t="s">
        <v>10</v>
      </c>
      <c r="D951" s="28" t="s">
        <v>1175</v>
      </c>
      <c r="E951" s="28" t="s">
        <v>50</v>
      </c>
      <c r="F951" s="28">
        <v>0</v>
      </c>
      <c r="G951" s="28" t="s">
        <v>119</v>
      </c>
      <c r="H951" s="28">
        <v>0</v>
      </c>
      <c r="J951" s="28"/>
    </row>
    <row r="952" spans="1:10" ht="15.75" customHeight="1">
      <c r="A952" s="28">
        <v>16765</v>
      </c>
      <c r="B952" s="91">
        <v>44888.04142361111</v>
      </c>
      <c r="C952" s="28" t="s">
        <v>10</v>
      </c>
      <c r="D952" s="28" t="s">
        <v>1174</v>
      </c>
      <c r="E952" s="28" t="s">
        <v>50</v>
      </c>
      <c r="F952" s="28">
        <v>35</v>
      </c>
      <c r="G952" s="28" t="s">
        <v>124</v>
      </c>
      <c r="H952" s="28">
        <v>0</v>
      </c>
      <c r="J952" s="28"/>
    </row>
    <row r="953" spans="1:10" ht="15.75" customHeight="1">
      <c r="A953" s="28">
        <v>16765</v>
      </c>
      <c r="B953" s="91">
        <v>44888.04142361111</v>
      </c>
      <c r="C953" s="28" t="s">
        <v>10</v>
      </c>
      <c r="D953" s="28" t="s">
        <v>1174</v>
      </c>
      <c r="E953" s="28" t="s">
        <v>50</v>
      </c>
      <c r="F953" s="28">
        <v>0</v>
      </c>
      <c r="G953" s="28" t="s">
        <v>125</v>
      </c>
      <c r="H953" s="28">
        <v>0</v>
      </c>
      <c r="J953" s="28"/>
    </row>
    <row r="954" spans="1:10" ht="15.75" customHeight="1">
      <c r="A954" s="28">
        <v>16765</v>
      </c>
      <c r="B954" s="91">
        <v>44888.04142361111</v>
      </c>
      <c r="C954" s="28" t="s">
        <v>10</v>
      </c>
      <c r="D954" s="28" t="s">
        <v>1174</v>
      </c>
      <c r="E954" s="28" t="s">
        <v>50</v>
      </c>
      <c r="F954" s="28">
        <v>0</v>
      </c>
      <c r="G954" s="28" t="s">
        <v>121</v>
      </c>
      <c r="H954" s="28">
        <v>0</v>
      </c>
      <c r="J954" s="28"/>
    </row>
    <row r="955" spans="1:10" ht="15.75" customHeight="1">
      <c r="A955" s="28">
        <v>16765</v>
      </c>
      <c r="B955" s="91">
        <v>44888.04142361111</v>
      </c>
      <c r="C955" s="28" t="s">
        <v>10</v>
      </c>
      <c r="D955" s="28" t="s">
        <v>1174</v>
      </c>
      <c r="E955" s="28" t="s">
        <v>50</v>
      </c>
      <c r="F955" s="28">
        <v>0</v>
      </c>
      <c r="G955" s="28" t="s">
        <v>119</v>
      </c>
      <c r="H955" s="28">
        <v>0</v>
      </c>
      <c r="J955" s="28"/>
    </row>
    <row r="956" spans="1:10" ht="15.75" customHeight="1">
      <c r="A956" s="28">
        <v>16766</v>
      </c>
      <c r="B956" s="91">
        <v>44888.041886574079</v>
      </c>
      <c r="C956" s="28" t="s">
        <v>10</v>
      </c>
      <c r="D956" s="28" t="s">
        <v>1173</v>
      </c>
      <c r="E956" s="28" t="s">
        <v>50</v>
      </c>
      <c r="F956" s="28">
        <v>35</v>
      </c>
      <c r="G956" s="28" t="s">
        <v>124</v>
      </c>
      <c r="H956" s="28">
        <v>0</v>
      </c>
      <c r="J956" s="28"/>
    </row>
    <row r="957" spans="1:10" ht="15.75" customHeight="1">
      <c r="A957" s="28">
        <v>16766</v>
      </c>
      <c r="B957" s="91">
        <v>44888.041886574079</v>
      </c>
      <c r="C957" s="28" t="s">
        <v>10</v>
      </c>
      <c r="D957" s="28" t="s">
        <v>1173</v>
      </c>
      <c r="E957" s="28" t="s">
        <v>50</v>
      </c>
      <c r="F957" s="28">
        <v>0</v>
      </c>
      <c r="G957" s="28" t="s">
        <v>125</v>
      </c>
      <c r="H957" s="28">
        <v>0</v>
      </c>
      <c r="J957" s="28"/>
    </row>
    <row r="958" spans="1:10" ht="15.75" customHeight="1">
      <c r="A958" s="28">
        <v>16766</v>
      </c>
      <c r="B958" s="91">
        <v>44888.041886574079</v>
      </c>
      <c r="C958" s="28" t="s">
        <v>10</v>
      </c>
      <c r="D958" s="28" t="s">
        <v>1173</v>
      </c>
      <c r="E958" s="28" t="s">
        <v>50</v>
      </c>
      <c r="F958" s="28">
        <v>0</v>
      </c>
      <c r="G958" s="28" t="s">
        <v>121</v>
      </c>
      <c r="H958" s="28">
        <v>0</v>
      </c>
      <c r="J958" s="28"/>
    </row>
    <row r="959" spans="1:10" ht="15.75" customHeight="1">
      <c r="A959" s="28">
        <v>16766</v>
      </c>
      <c r="B959" s="91">
        <v>44888.041886574079</v>
      </c>
      <c r="C959" s="28" t="s">
        <v>10</v>
      </c>
      <c r="D959" s="28" t="s">
        <v>1173</v>
      </c>
      <c r="E959" s="28" t="s">
        <v>50</v>
      </c>
      <c r="F959" s="28">
        <v>0</v>
      </c>
      <c r="G959" s="28" t="s">
        <v>119</v>
      </c>
      <c r="H959" s="28">
        <v>0</v>
      </c>
      <c r="J959" s="28"/>
    </row>
    <row r="960" spans="1:10" ht="15.75" customHeight="1">
      <c r="A960" s="28">
        <v>16767</v>
      </c>
      <c r="B960" s="91">
        <v>44888.045057870375</v>
      </c>
      <c r="C960" s="28" t="s">
        <v>10</v>
      </c>
      <c r="D960" s="28" t="s">
        <v>1172</v>
      </c>
      <c r="E960" s="28" t="s">
        <v>50</v>
      </c>
      <c r="F960" s="28">
        <v>35</v>
      </c>
      <c r="G960" s="28" t="s">
        <v>124</v>
      </c>
      <c r="H960" s="28">
        <v>0</v>
      </c>
      <c r="J960" s="28"/>
    </row>
    <row r="961" spans="1:10" ht="15.75" customHeight="1">
      <c r="A961" s="28">
        <v>16767</v>
      </c>
      <c r="B961" s="91">
        <v>44888.045057870375</v>
      </c>
      <c r="C961" s="28" t="s">
        <v>10</v>
      </c>
      <c r="D961" s="28" t="s">
        <v>1172</v>
      </c>
      <c r="E961" s="28" t="s">
        <v>50</v>
      </c>
      <c r="F961" s="28">
        <v>0</v>
      </c>
      <c r="G961" s="28" t="s">
        <v>125</v>
      </c>
      <c r="H961" s="28">
        <v>0</v>
      </c>
      <c r="J961" s="28"/>
    </row>
    <row r="962" spans="1:10" ht="15.75" customHeight="1">
      <c r="A962" s="28">
        <v>16767</v>
      </c>
      <c r="B962" s="91">
        <v>44888.045057870375</v>
      </c>
      <c r="C962" s="28" t="s">
        <v>10</v>
      </c>
      <c r="D962" s="28" t="s">
        <v>1172</v>
      </c>
      <c r="E962" s="28" t="s">
        <v>50</v>
      </c>
      <c r="F962" s="28">
        <v>0</v>
      </c>
      <c r="G962" s="28" t="s">
        <v>121</v>
      </c>
      <c r="H962" s="28">
        <v>0</v>
      </c>
      <c r="J962" s="28"/>
    </row>
    <row r="963" spans="1:10" ht="15.75" customHeight="1">
      <c r="A963" s="28">
        <v>16767</v>
      </c>
      <c r="B963" s="91">
        <v>44888.045057870375</v>
      </c>
      <c r="C963" s="28" t="s">
        <v>10</v>
      </c>
      <c r="D963" s="28" t="s">
        <v>1172</v>
      </c>
      <c r="E963" s="28" t="s">
        <v>50</v>
      </c>
      <c r="F963" s="28">
        <v>0</v>
      </c>
      <c r="G963" s="28" t="s">
        <v>119</v>
      </c>
      <c r="H963" s="28">
        <v>0</v>
      </c>
      <c r="J963" s="28"/>
    </row>
    <row r="964" spans="1:10" ht="15.75" customHeight="1">
      <c r="A964" s="28">
        <v>16768</v>
      </c>
      <c r="B964" s="91">
        <v>44888.047986111109</v>
      </c>
      <c r="C964" s="28" t="s">
        <v>10</v>
      </c>
      <c r="D964" s="28" t="s">
        <v>1171</v>
      </c>
      <c r="E964" s="28" t="s">
        <v>50</v>
      </c>
      <c r="F964" s="28">
        <v>35</v>
      </c>
      <c r="G964" s="28" t="s">
        <v>124</v>
      </c>
      <c r="H964" s="28">
        <v>0</v>
      </c>
      <c r="J964" s="28"/>
    </row>
    <row r="965" spans="1:10" ht="15.75" customHeight="1">
      <c r="A965" s="28">
        <v>16768</v>
      </c>
      <c r="B965" s="91">
        <v>44888.047986111109</v>
      </c>
      <c r="C965" s="28" t="s">
        <v>10</v>
      </c>
      <c r="D965" s="28" t="s">
        <v>1171</v>
      </c>
      <c r="E965" s="28" t="s">
        <v>50</v>
      </c>
      <c r="F965" s="28">
        <v>0</v>
      </c>
      <c r="G965" s="28" t="s">
        <v>125</v>
      </c>
      <c r="H965" s="28">
        <v>0</v>
      </c>
      <c r="J965" s="28"/>
    </row>
    <row r="966" spans="1:10" ht="15.75" customHeight="1">
      <c r="A966" s="28">
        <v>16768</v>
      </c>
      <c r="B966" s="91">
        <v>44888.047986111109</v>
      </c>
      <c r="C966" s="28" t="s">
        <v>10</v>
      </c>
      <c r="D966" s="28" t="s">
        <v>1171</v>
      </c>
      <c r="E966" s="28" t="s">
        <v>50</v>
      </c>
      <c r="F966" s="28">
        <v>0</v>
      </c>
      <c r="G966" s="28" t="s">
        <v>121</v>
      </c>
      <c r="H966" s="28">
        <v>0</v>
      </c>
      <c r="J966" s="28"/>
    </row>
    <row r="967" spans="1:10" ht="15.75" customHeight="1">
      <c r="A967" s="28">
        <v>16768</v>
      </c>
      <c r="B967" s="91">
        <v>44888.047986111109</v>
      </c>
      <c r="C967" s="28" t="s">
        <v>10</v>
      </c>
      <c r="D967" s="28" t="s">
        <v>1171</v>
      </c>
      <c r="E967" s="28" t="s">
        <v>50</v>
      </c>
      <c r="F967" s="28">
        <v>0</v>
      </c>
      <c r="G967" s="28" t="s">
        <v>119</v>
      </c>
      <c r="H967" s="28">
        <v>0</v>
      </c>
      <c r="J967" s="28"/>
    </row>
    <row r="968" spans="1:10" ht="15.75" customHeight="1">
      <c r="A968" s="28">
        <v>16769</v>
      </c>
      <c r="B968" s="91">
        <v>44888.057291666672</v>
      </c>
      <c r="C968" s="28" t="s">
        <v>10</v>
      </c>
      <c r="D968" s="28" t="s">
        <v>1170</v>
      </c>
      <c r="E968" s="28" t="s">
        <v>50</v>
      </c>
      <c r="F968" s="28">
        <v>25</v>
      </c>
      <c r="G968" s="28">
        <v>100692</v>
      </c>
      <c r="H968" s="28">
        <v>0</v>
      </c>
      <c r="J968" s="28"/>
    </row>
    <row r="969" spans="1:10" ht="15.75" customHeight="1">
      <c r="A969" s="28">
        <v>16769</v>
      </c>
      <c r="B969" s="91">
        <v>44888.057291666672</v>
      </c>
      <c r="C969" s="28" t="s">
        <v>10</v>
      </c>
      <c r="D969" s="28" t="s">
        <v>1170</v>
      </c>
      <c r="E969" s="28" t="s">
        <v>50</v>
      </c>
      <c r="F969" s="28">
        <v>0</v>
      </c>
      <c r="G969" s="28" t="s">
        <v>125</v>
      </c>
      <c r="H969" s="28">
        <v>0</v>
      </c>
      <c r="J969" s="28"/>
    </row>
    <row r="970" spans="1:10" ht="15.75" customHeight="1">
      <c r="A970" s="28">
        <v>16769</v>
      </c>
      <c r="B970" s="91">
        <v>44888.057291666672</v>
      </c>
      <c r="C970" s="28" t="s">
        <v>10</v>
      </c>
      <c r="D970" s="28" t="s">
        <v>1170</v>
      </c>
      <c r="E970" s="28" t="s">
        <v>50</v>
      </c>
      <c r="F970" s="28">
        <v>0</v>
      </c>
      <c r="G970" s="28" t="s">
        <v>119</v>
      </c>
      <c r="H970" s="28">
        <v>0</v>
      </c>
      <c r="J970" s="28"/>
    </row>
    <row r="971" spans="1:10" ht="15.75" customHeight="1">
      <c r="A971" s="28">
        <v>16770</v>
      </c>
      <c r="B971" s="91">
        <v>44888.062939814816</v>
      </c>
      <c r="C971" s="28" t="s">
        <v>10</v>
      </c>
      <c r="D971" s="28" t="s">
        <v>1169</v>
      </c>
      <c r="E971" s="28" t="s">
        <v>50</v>
      </c>
      <c r="F971" s="28">
        <v>24</v>
      </c>
      <c r="G971" s="28" t="s">
        <v>122</v>
      </c>
      <c r="H971" s="28">
        <v>0</v>
      </c>
      <c r="J971" s="28"/>
    </row>
    <row r="972" spans="1:10" ht="15.75" customHeight="1">
      <c r="A972" s="28">
        <v>16771</v>
      </c>
      <c r="B972" s="91">
        <v>44888.065474537041</v>
      </c>
      <c r="C972" s="28" t="s">
        <v>10</v>
      </c>
      <c r="D972" s="28" t="s">
        <v>1168</v>
      </c>
      <c r="E972" s="28" t="s">
        <v>50</v>
      </c>
      <c r="F972" s="28">
        <v>25</v>
      </c>
      <c r="G972" s="28">
        <v>100692</v>
      </c>
      <c r="H972" s="28">
        <v>0</v>
      </c>
      <c r="J972" s="28"/>
    </row>
    <row r="973" spans="1:10" ht="15.75" customHeight="1">
      <c r="A973" s="28">
        <v>16771</v>
      </c>
      <c r="B973" s="91">
        <v>44888.065474537041</v>
      </c>
      <c r="C973" s="28" t="s">
        <v>10</v>
      </c>
      <c r="D973" s="28" t="s">
        <v>1168</v>
      </c>
      <c r="E973" s="28" t="s">
        <v>50</v>
      </c>
      <c r="F973" s="28">
        <v>0</v>
      </c>
      <c r="G973" s="28" t="s">
        <v>125</v>
      </c>
      <c r="H973" s="28">
        <v>0</v>
      </c>
      <c r="J973" s="28"/>
    </row>
    <row r="974" spans="1:10" ht="15.75" customHeight="1">
      <c r="A974" s="28">
        <v>16771</v>
      </c>
      <c r="B974" s="91">
        <v>44888.065474537041</v>
      </c>
      <c r="C974" s="28" t="s">
        <v>10</v>
      </c>
      <c r="D974" s="28" t="s">
        <v>1168</v>
      </c>
      <c r="E974" s="28" t="s">
        <v>50</v>
      </c>
      <c r="F974" s="28">
        <v>0</v>
      </c>
      <c r="G974" s="28" t="s">
        <v>119</v>
      </c>
      <c r="H974" s="28">
        <v>0</v>
      </c>
      <c r="J974" s="28"/>
    </row>
    <row r="975" spans="1:10" ht="15.75" customHeight="1">
      <c r="A975" s="28">
        <v>16772</v>
      </c>
      <c r="B975" s="91">
        <v>44888.065821759257</v>
      </c>
      <c r="C975" s="28" t="s">
        <v>10</v>
      </c>
      <c r="D975" s="28" t="s">
        <v>1167</v>
      </c>
      <c r="E975" s="28" t="s">
        <v>50</v>
      </c>
      <c r="F975" s="28">
        <v>30</v>
      </c>
      <c r="G975" s="28" t="s">
        <v>125</v>
      </c>
      <c r="H975" s="28">
        <v>0</v>
      </c>
      <c r="J975" s="28"/>
    </row>
    <row r="976" spans="1:10" ht="15.75" customHeight="1">
      <c r="A976" s="28">
        <v>16772</v>
      </c>
      <c r="B976" s="91">
        <v>44888.065821759257</v>
      </c>
      <c r="C976" s="28" t="s">
        <v>10</v>
      </c>
      <c r="D976" s="28" t="s">
        <v>1167</v>
      </c>
      <c r="E976" s="28" t="s">
        <v>50</v>
      </c>
      <c r="F976" s="28">
        <v>28</v>
      </c>
      <c r="G976" s="28" t="s">
        <v>143</v>
      </c>
      <c r="H976" s="28">
        <v>0</v>
      </c>
      <c r="J976" s="28"/>
    </row>
    <row r="977" spans="1:10" ht="15.75" customHeight="1">
      <c r="A977" s="28">
        <v>16773</v>
      </c>
      <c r="B977" s="91">
        <v>44888.069537037038</v>
      </c>
      <c r="C977" s="28" t="s">
        <v>10</v>
      </c>
      <c r="D977" s="28" t="s">
        <v>1166</v>
      </c>
      <c r="E977" s="28" t="s">
        <v>50</v>
      </c>
      <c r="F977" s="28">
        <v>25</v>
      </c>
      <c r="G977" s="28">
        <v>100692</v>
      </c>
      <c r="H977" s="28">
        <v>0</v>
      </c>
      <c r="J977" s="28"/>
    </row>
    <row r="978" spans="1:10" ht="15.75" customHeight="1">
      <c r="A978" s="28">
        <v>16773</v>
      </c>
      <c r="B978" s="91">
        <v>44888.069537037038</v>
      </c>
      <c r="C978" s="28" t="s">
        <v>10</v>
      </c>
      <c r="D978" s="28" t="s">
        <v>1166</v>
      </c>
      <c r="E978" s="28" t="s">
        <v>50</v>
      </c>
      <c r="F978" s="28">
        <v>0</v>
      </c>
      <c r="G978" s="28" t="s">
        <v>125</v>
      </c>
      <c r="H978" s="28">
        <v>0</v>
      </c>
      <c r="J978" s="28"/>
    </row>
    <row r="979" spans="1:10" ht="15.75" customHeight="1">
      <c r="A979" s="28">
        <v>16773</v>
      </c>
      <c r="B979" s="91">
        <v>44888.069537037038</v>
      </c>
      <c r="C979" s="28" t="s">
        <v>10</v>
      </c>
      <c r="D979" s="28" t="s">
        <v>1166</v>
      </c>
      <c r="E979" s="28" t="s">
        <v>50</v>
      </c>
      <c r="F979" s="28">
        <v>0</v>
      </c>
      <c r="G979" s="28" t="s">
        <v>119</v>
      </c>
      <c r="H979" s="28">
        <v>0</v>
      </c>
      <c r="J979" s="28"/>
    </row>
    <row r="980" spans="1:10" ht="15.75" customHeight="1">
      <c r="A980" s="28">
        <v>16773</v>
      </c>
      <c r="B980" s="91">
        <v>44888.069537037038</v>
      </c>
      <c r="C980" s="28" t="s">
        <v>10</v>
      </c>
      <c r="D980" s="28" t="s">
        <v>1166</v>
      </c>
      <c r="E980" s="28" t="s">
        <v>50</v>
      </c>
      <c r="F980" s="28">
        <v>24</v>
      </c>
      <c r="G980" s="28" t="s">
        <v>122</v>
      </c>
      <c r="H980" s="28">
        <v>0</v>
      </c>
      <c r="J980" s="28"/>
    </row>
    <row r="981" spans="1:10" ht="15.75" customHeight="1">
      <c r="A981" s="28">
        <v>16774</v>
      </c>
      <c r="B981" s="91">
        <v>44888.07335648148</v>
      </c>
      <c r="C981" s="28" t="s">
        <v>10</v>
      </c>
      <c r="D981" s="28" t="s">
        <v>1165</v>
      </c>
      <c r="E981" s="28" t="s">
        <v>50</v>
      </c>
      <c r="F981" s="28">
        <v>20</v>
      </c>
      <c r="G981" s="28" t="s">
        <v>121</v>
      </c>
      <c r="H981" s="28">
        <v>0</v>
      </c>
      <c r="J981" s="28"/>
    </row>
    <row r="982" spans="1:10" ht="15.75" customHeight="1">
      <c r="A982" s="28">
        <v>16775</v>
      </c>
      <c r="B982" s="91">
        <v>44888.07613425926</v>
      </c>
      <c r="C982" s="28" t="s">
        <v>10</v>
      </c>
      <c r="D982" s="28" t="s">
        <v>1164</v>
      </c>
      <c r="E982" s="28" t="s">
        <v>50</v>
      </c>
      <c r="F982" s="28">
        <v>35</v>
      </c>
      <c r="G982" s="28" t="s">
        <v>124</v>
      </c>
      <c r="H982" s="28">
        <v>0</v>
      </c>
      <c r="J982" s="28"/>
    </row>
    <row r="983" spans="1:10" ht="15.75" customHeight="1">
      <c r="A983" s="28">
        <v>16775</v>
      </c>
      <c r="B983" s="91">
        <v>44888.07613425926</v>
      </c>
      <c r="C983" s="28" t="s">
        <v>10</v>
      </c>
      <c r="D983" s="28" t="s">
        <v>1164</v>
      </c>
      <c r="E983" s="28" t="s">
        <v>50</v>
      </c>
      <c r="F983" s="28">
        <v>0</v>
      </c>
      <c r="G983" s="28" t="s">
        <v>125</v>
      </c>
      <c r="H983" s="28">
        <v>0</v>
      </c>
      <c r="J983" s="28"/>
    </row>
    <row r="984" spans="1:10" ht="15.75" customHeight="1">
      <c r="A984" s="28">
        <v>16775</v>
      </c>
      <c r="B984" s="91">
        <v>44888.07613425926</v>
      </c>
      <c r="C984" s="28" t="s">
        <v>10</v>
      </c>
      <c r="D984" s="28" t="s">
        <v>1164</v>
      </c>
      <c r="E984" s="28" t="s">
        <v>50</v>
      </c>
      <c r="F984" s="28">
        <v>0</v>
      </c>
      <c r="G984" s="28" t="s">
        <v>121</v>
      </c>
      <c r="H984" s="28">
        <v>0</v>
      </c>
      <c r="J984" s="28"/>
    </row>
    <row r="985" spans="1:10" ht="15.75" customHeight="1">
      <c r="A985" s="28">
        <v>16775</v>
      </c>
      <c r="B985" s="91">
        <v>44888.07613425926</v>
      </c>
      <c r="C985" s="28" t="s">
        <v>10</v>
      </c>
      <c r="D985" s="28" t="s">
        <v>1164</v>
      </c>
      <c r="E985" s="28" t="s">
        <v>50</v>
      </c>
      <c r="F985" s="28">
        <v>0</v>
      </c>
      <c r="G985" s="28" t="s">
        <v>119</v>
      </c>
      <c r="H985" s="28">
        <v>0</v>
      </c>
      <c r="J985" s="28"/>
    </row>
    <row r="986" spans="1:10" ht="15.75" customHeight="1">
      <c r="A986" s="28">
        <v>16776</v>
      </c>
      <c r="B986" s="91">
        <v>44888.078680555554</v>
      </c>
      <c r="C986" s="28" t="s">
        <v>10</v>
      </c>
      <c r="D986" s="28" t="s">
        <v>1163</v>
      </c>
      <c r="E986" s="28" t="s">
        <v>50</v>
      </c>
      <c r="F986" s="28">
        <v>20</v>
      </c>
      <c r="G986" s="28" t="s">
        <v>148</v>
      </c>
      <c r="H986" s="28">
        <v>0</v>
      </c>
      <c r="J986" s="28"/>
    </row>
    <row r="987" spans="1:10" ht="15.75" customHeight="1">
      <c r="A987" s="28">
        <v>16777</v>
      </c>
      <c r="B987" s="91">
        <v>44888.15489583333</v>
      </c>
      <c r="C987" s="28" t="s">
        <v>10</v>
      </c>
      <c r="D987" s="28" t="s">
        <v>1162</v>
      </c>
      <c r="E987" s="28" t="s">
        <v>50</v>
      </c>
      <c r="F987" s="28">
        <v>20</v>
      </c>
      <c r="G987" s="28" t="s">
        <v>148</v>
      </c>
      <c r="H987" s="28">
        <v>0</v>
      </c>
      <c r="J987" s="28"/>
    </row>
    <row r="988" spans="1:10" ht="15.75" customHeight="1">
      <c r="A988" s="28">
        <v>16777</v>
      </c>
      <c r="B988" s="91">
        <v>44888.15489583333</v>
      </c>
      <c r="C988" s="28" t="s">
        <v>10</v>
      </c>
      <c r="D988" s="28" t="s">
        <v>1162</v>
      </c>
      <c r="E988" s="28" t="s">
        <v>50</v>
      </c>
      <c r="F988" s="28">
        <v>25</v>
      </c>
      <c r="G988" s="28" t="s">
        <v>120</v>
      </c>
      <c r="H988" s="28">
        <v>0</v>
      </c>
      <c r="J988" s="28"/>
    </row>
    <row r="989" spans="1:10" ht="15.75" customHeight="1">
      <c r="A989" s="28">
        <v>16778</v>
      </c>
      <c r="B989" s="91">
        <v>44888.156805555554</v>
      </c>
      <c r="C989" s="28" t="s">
        <v>10</v>
      </c>
      <c r="D989" s="28" t="s">
        <v>1161</v>
      </c>
      <c r="E989" s="28" t="s">
        <v>50</v>
      </c>
      <c r="F989" s="28">
        <v>24</v>
      </c>
      <c r="G989" s="28" t="s">
        <v>122</v>
      </c>
      <c r="H989" s="28">
        <v>0</v>
      </c>
      <c r="J989" s="28"/>
    </row>
    <row r="990" spans="1:10" ht="15.75" customHeight="1">
      <c r="A990" s="28">
        <v>16779</v>
      </c>
      <c r="B990" s="91">
        <v>44888.165150462963</v>
      </c>
      <c r="C990" s="28" t="s">
        <v>10</v>
      </c>
      <c r="D990" s="28" t="s">
        <v>1160</v>
      </c>
      <c r="E990" s="28" t="s">
        <v>50</v>
      </c>
      <c r="F990" s="28">
        <v>20</v>
      </c>
      <c r="G990" s="28" t="s">
        <v>205</v>
      </c>
      <c r="H990" s="28">
        <v>0</v>
      </c>
      <c r="J990" s="28"/>
    </row>
    <row r="991" spans="1:10" ht="15.75" customHeight="1">
      <c r="A991" s="28">
        <v>16779</v>
      </c>
      <c r="B991" s="91">
        <v>44888.165150462963</v>
      </c>
      <c r="C991" s="28" t="s">
        <v>10</v>
      </c>
      <c r="D991" s="28" t="s">
        <v>1160</v>
      </c>
      <c r="E991" s="28" t="s">
        <v>50</v>
      </c>
      <c r="F991" s="28">
        <v>0</v>
      </c>
      <c r="G991" s="28" t="s">
        <v>125</v>
      </c>
      <c r="H991" s="28">
        <v>0</v>
      </c>
      <c r="J991" s="28"/>
    </row>
    <row r="992" spans="1:10" ht="15.75" customHeight="1">
      <c r="A992" s="28">
        <v>16779</v>
      </c>
      <c r="B992" s="91">
        <v>44888.165150462963</v>
      </c>
      <c r="C992" s="28" t="s">
        <v>10</v>
      </c>
      <c r="D992" s="28" t="s">
        <v>1160</v>
      </c>
      <c r="E992" s="28" t="s">
        <v>50</v>
      </c>
      <c r="F992" s="28">
        <v>24</v>
      </c>
      <c r="G992" s="28" t="s">
        <v>122</v>
      </c>
      <c r="H992" s="28">
        <v>0</v>
      </c>
      <c r="J992" s="28"/>
    </row>
    <row r="993" spans="1:10" ht="15.75" customHeight="1">
      <c r="A993" s="28">
        <v>16779</v>
      </c>
      <c r="B993" s="91">
        <v>44888.165150462963</v>
      </c>
      <c r="C993" s="28" t="s">
        <v>10</v>
      </c>
      <c r="D993" s="28" t="s">
        <v>1160</v>
      </c>
      <c r="E993" s="28" t="s">
        <v>50</v>
      </c>
      <c r="F993" s="28">
        <v>24</v>
      </c>
      <c r="G993" s="28" t="s">
        <v>122</v>
      </c>
      <c r="H993" s="28">
        <v>0</v>
      </c>
      <c r="J993" s="28"/>
    </row>
    <row r="994" spans="1:10" ht="15.75" customHeight="1">
      <c r="A994" s="28">
        <v>16780</v>
      </c>
      <c r="B994" s="91">
        <v>44888.536469907413</v>
      </c>
      <c r="C994" s="28" t="s">
        <v>10</v>
      </c>
      <c r="D994" s="28" t="s">
        <v>591</v>
      </c>
      <c r="E994" s="28" t="s">
        <v>50</v>
      </c>
      <c r="F994" s="28">
        <v>35</v>
      </c>
      <c r="G994" s="28" t="s">
        <v>124</v>
      </c>
      <c r="H994" s="28">
        <v>0</v>
      </c>
      <c r="J994" s="28"/>
    </row>
    <row r="995" spans="1:10" ht="15.75" customHeight="1">
      <c r="A995" s="28">
        <v>16780</v>
      </c>
      <c r="B995" s="91">
        <v>44888.536469907413</v>
      </c>
      <c r="C995" s="28" t="s">
        <v>10</v>
      </c>
      <c r="D995" s="28" t="s">
        <v>591</v>
      </c>
      <c r="E995" s="28" t="s">
        <v>50</v>
      </c>
      <c r="F995" s="28">
        <v>0</v>
      </c>
      <c r="G995" s="28" t="s">
        <v>125</v>
      </c>
      <c r="H995" s="28">
        <v>0</v>
      </c>
      <c r="J995" s="28"/>
    </row>
    <row r="996" spans="1:10" ht="15.75" customHeight="1">
      <c r="A996" s="28">
        <v>16780</v>
      </c>
      <c r="B996" s="91">
        <v>44888.536469907413</v>
      </c>
      <c r="C996" s="28" t="s">
        <v>10</v>
      </c>
      <c r="D996" s="28" t="s">
        <v>591</v>
      </c>
      <c r="E996" s="28" t="s">
        <v>50</v>
      </c>
      <c r="F996" s="28">
        <v>0</v>
      </c>
      <c r="G996" s="28" t="s">
        <v>121</v>
      </c>
      <c r="H996" s="28">
        <v>0</v>
      </c>
      <c r="J996" s="28"/>
    </row>
    <row r="997" spans="1:10" ht="15.75" customHeight="1">
      <c r="A997" s="28">
        <v>16780</v>
      </c>
      <c r="B997" s="91">
        <v>44888.536469907413</v>
      </c>
      <c r="C997" s="28" t="s">
        <v>10</v>
      </c>
      <c r="D997" s="28" t="s">
        <v>591</v>
      </c>
      <c r="E997" s="28" t="s">
        <v>50</v>
      </c>
      <c r="F997" s="28">
        <v>0</v>
      </c>
      <c r="G997" s="28" t="s">
        <v>119</v>
      </c>
      <c r="H997" s="28">
        <v>0</v>
      </c>
      <c r="J997" s="28"/>
    </row>
    <row r="998" spans="1:10" ht="15.75" customHeight="1">
      <c r="A998" s="28">
        <v>16780</v>
      </c>
      <c r="B998" s="91">
        <v>44888.536469907413</v>
      </c>
      <c r="C998" s="28" t="s">
        <v>10</v>
      </c>
      <c r="D998" s="28" t="s">
        <v>591</v>
      </c>
      <c r="E998" s="28" t="s">
        <v>50</v>
      </c>
      <c r="F998" s="28">
        <v>24</v>
      </c>
      <c r="G998" s="28" t="s">
        <v>122</v>
      </c>
      <c r="H998" s="28">
        <v>0</v>
      </c>
      <c r="J998" s="28"/>
    </row>
    <row r="999" spans="1:10" ht="15.75" customHeight="1">
      <c r="A999" s="28">
        <v>16781</v>
      </c>
      <c r="B999" s="91">
        <v>44888.572268518517</v>
      </c>
      <c r="C999" s="28" t="s">
        <v>10</v>
      </c>
      <c r="D999" s="28" t="s">
        <v>1159</v>
      </c>
      <c r="E999" s="28" t="s">
        <v>74</v>
      </c>
      <c r="F999" s="28">
        <v>28</v>
      </c>
      <c r="G999" s="28" t="s">
        <v>143</v>
      </c>
      <c r="H999" s="28">
        <v>0</v>
      </c>
      <c r="J999" s="28"/>
    </row>
    <row r="1000" spans="1:10" ht="15.75" customHeight="1">
      <c r="A1000" s="28">
        <v>16781</v>
      </c>
      <c r="B1000" s="91">
        <v>44888.572268518517</v>
      </c>
      <c r="C1000" s="28" t="s">
        <v>10</v>
      </c>
      <c r="D1000" s="28" t="s">
        <v>1159</v>
      </c>
      <c r="E1000" s="28" t="s">
        <v>74</v>
      </c>
      <c r="F1000" s="28">
        <v>25</v>
      </c>
      <c r="G1000" s="28" t="s">
        <v>1106</v>
      </c>
      <c r="H1000" s="28">
        <v>0</v>
      </c>
      <c r="J1000" s="28"/>
    </row>
    <row r="1001" spans="1:10" ht="15.75" customHeight="1">
      <c r="A1001" s="28">
        <v>16781</v>
      </c>
      <c r="B1001" s="91">
        <v>44888.572268518517</v>
      </c>
      <c r="C1001" s="28" t="s">
        <v>10</v>
      </c>
      <c r="D1001" s="28" t="s">
        <v>1159</v>
      </c>
      <c r="E1001" s="28" t="s">
        <v>74</v>
      </c>
      <c r="F1001" s="28">
        <v>0</v>
      </c>
      <c r="G1001" s="28" t="s">
        <v>884</v>
      </c>
      <c r="H1001" s="28">
        <v>0</v>
      </c>
      <c r="J1001" s="28"/>
    </row>
    <row r="1002" spans="1:10" ht="15.75" customHeight="1">
      <c r="A1002" s="28">
        <v>16781</v>
      </c>
      <c r="B1002" s="91">
        <v>44888.572268518517</v>
      </c>
      <c r="C1002" s="28" t="s">
        <v>10</v>
      </c>
      <c r="D1002" s="28" t="s">
        <v>1159</v>
      </c>
      <c r="E1002" s="28" t="s">
        <v>74</v>
      </c>
      <c r="F1002" s="28">
        <v>0</v>
      </c>
      <c r="G1002" s="28" t="s">
        <v>882</v>
      </c>
      <c r="H1002" s="28">
        <v>0</v>
      </c>
      <c r="J1002" s="28"/>
    </row>
    <row r="1003" spans="1:10" ht="15.75" customHeight="1">
      <c r="A1003" s="28">
        <v>16782</v>
      </c>
      <c r="B1003" s="91">
        <v>44888.6015625</v>
      </c>
      <c r="C1003" s="28" t="s">
        <v>10</v>
      </c>
      <c r="D1003" s="28" t="s">
        <v>1158</v>
      </c>
      <c r="E1003" s="28" t="s">
        <v>50</v>
      </c>
      <c r="F1003" s="28">
        <v>55</v>
      </c>
      <c r="G1003" s="28">
        <v>101684</v>
      </c>
      <c r="H1003" s="28">
        <v>0</v>
      </c>
      <c r="J1003" s="28"/>
    </row>
    <row r="1004" spans="1:10" ht="15.75" customHeight="1">
      <c r="A1004" s="28">
        <v>16782</v>
      </c>
      <c r="B1004" s="91">
        <v>44888.6015625</v>
      </c>
      <c r="C1004" s="28" t="s">
        <v>10</v>
      </c>
      <c r="D1004" s="28" t="s">
        <v>1158</v>
      </c>
      <c r="E1004" s="28" t="s">
        <v>50</v>
      </c>
      <c r="F1004" s="28">
        <v>0</v>
      </c>
      <c r="G1004" s="28" t="s">
        <v>118</v>
      </c>
      <c r="H1004" s="28">
        <v>0</v>
      </c>
      <c r="J1004" s="28"/>
    </row>
    <row r="1005" spans="1:10" ht="15.75" customHeight="1">
      <c r="A1005" s="28">
        <v>16782</v>
      </c>
      <c r="B1005" s="91">
        <v>44888.6015625</v>
      </c>
      <c r="C1005" s="28" t="s">
        <v>10</v>
      </c>
      <c r="D1005" s="28" t="s">
        <v>1158</v>
      </c>
      <c r="E1005" s="28" t="s">
        <v>50</v>
      </c>
      <c r="F1005" s="28">
        <v>0</v>
      </c>
      <c r="G1005" s="28" t="s">
        <v>119</v>
      </c>
      <c r="H1005" s="28">
        <v>0</v>
      </c>
      <c r="J1005" s="28"/>
    </row>
    <row r="1006" spans="1:10" ht="15.75" customHeight="1">
      <c r="A1006" s="28">
        <v>16782</v>
      </c>
      <c r="B1006" s="91">
        <v>44888.6015625</v>
      </c>
      <c r="C1006" s="28" t="s">
        <v>10</v>
      </c>
      <c r="D1006" s="28" t="s">
        <v>1158</v>
      </c>
      <c r="E1006" s="28" t="s">
        <v>50</v>
      </c>
      <c r="F1006" s="28">
        <v>0</v>
      </c>
      <c r="G1006" s="28" t="s">
        <v>120</v>
      </c>
      <c r="H1006" s="28">
        <v>0</v>
      </c>
      <c r="J1006" s="28"/>
    </row>
    <row r="1007" spans="1:10" ht="15.75" customHeight="1">
      <c r="A1007" s="28">
        <v>16782</v>
      </c>
      <c r="B1007" s="91">
        <v>44888.6015625</v>
      </c>
      <c r="C1007" s="28" t="s">
        <v>10</v>
      </c>
      <c r="D1007" s="28" t="s">
        <v>1158</v>
      </c>
      <c r="E1007" s="28" t="s">
        <v>50</v>
      </c>
      <c r="F1007" s="28">
        <v>0</v>
      </c>
      <c r="G1007" s="28" t="s">
        <v>121</v>
      </c>
      <c r="H1007" s="28">
        <v>0</v>
      </c>
      <c r="J1007" s="28"/>
    </row>
    <row r="1008" spans="1:10" ht="15.75" customHeight="1">
      <c r="A1008" s="28">
        <v>16783</v>
      </c>
      <c r="B1008" s="91">
        <v>44888.635219907403</v>
      </c>
      <c r="C1008" s="28" t="s">
        <v>10</v>
      </c>
      <c r="D1008" s="28" t="s">
        <v>1157</v>
      </c>
      <c r="E1008" s="28" t="s">
        <v>74</v>
      </c>
      <c r="F1008" s="28">
        <v>25</v>
      </c>
      <c r="G1008" s="28" t="s">
        <v>1106</v>
      </c>
      <c r="H1008" s="28">
        <v>0</v>
      </c>
      <c r="J1008" s="28"/>
    </row>
    <row r="1009" spans="1:10" ht="15.75" customHeight="1">
      <c r="A1009" s="28">
        <v>16783</v>
      </c>
      <c r="B1009" s="91">
        <v>44888.635219907403</v>
      </c>
      <c r="C1009" s="28" t="s">
        <v>10</v>
      </c>
      <c r="D1009" s="28" t="s">
        <v>1157</v>
      </c>
      <c r="E1009" s="28" t="s">
        <v>74</v>
      </c>
      <c r="F1009" s="28">
        <v>0</v>
      </c>
      <c r="G1009" s="28" t="s">
        <v>884</v>
      </c>
      <c r="H1009" s="28">
        <v>0</v>
      </c>
      <c r="J1009" s="28"/>
    </row>
    <row r="1010" spans="1:10" ht="15.75" customHeight="1">
      <c r="A1010" s="28">
        <v>16783</v>
      </c>
      <c r="B1010" s="91">
        <v>44888.635219907403</v>
      </c>
      <c r="C1010" s="28" t="s">
        <v>10</v>
      </c>
      <c r="D1010" s="28" t="s">
        <v>1157</v>
      </c>
      <c r="E1010" s="28" t="s">
        <v>74</v>
      </c>
      <c r="F1010" s="28">
        <v>0</v>
      </c>
      <c r="G1010" s="28" t="s">
        <v>882</v>
      </c>
      <c r="H1010" s="28">
        <v>0</v>
      </c>
      <c r="J1010" s="28"/>
    </row>
    <row r="1011" spans="1:10" ht="15.75" customHeight="1">
      <c r="A1011" s="28">
        <v>16783</v>
      </c>
      <c r="B1011" s="91">
        <v>44888.635219907403</v>
      </c>
      <c r="C1011" s="28" t="s">
        <v>10</v>
      </c>
      <c r="D1011" s="28" t="s">
        <v>1157</v>
      </c>
      <c r="E1011" s="28" t="s">
        <v>74</v>
      </c>
      <c r="F1011" s="28">
        <v>25</v>
      </c>
      <c r="G1011" s="28">
        <v>100692</v>
      </c>
      <c r="H1011" s="28">
        <v>0</v>
      </c>
      <c r="J1011" s="28"/>
    </row>
    <row r="1012" spans="1:10" ht="15.75" customHeight="1">
      <c r="A1012" s="28">
        <v>16783</v>
      </c>
      <c r="B1012" s="91">
        <v>44888.635219907403</v>
      </c>
      <c r="C1012" s="28" t="s">
        <v>10</v>
      </c>
      <c r="D1012" s="28" t="s">
        <v>1157</v>
      </c>
      <c r="E1012" s="28" t="s">
        <v>74</v>
      </c>
      <c r="F1012" s="28">
        <v>0</v>
      </c>
      <c r="G1012" s="28" t="s">
        <v>125</v>
      </c>
      <c r="H1012" s="28">
        <v>0</v>
      </c>
      <c r="J1012" s="28"/>
    </row>
    <row r="1013" spans="1:10" ht="15.75" customHeight="1">
      <c r="A1013" s="28">
        <v>16783</v>
      </c>
      <c r="B1013" s="91">
        <v>44888.635219907403</v>
      </c>
      <c r="C1013" s="28" t="s">
        <v>10</v>
      </c>
      <c r="D1013" s="28" t="s">
        <v>1157</v>
      </c>
      <c r="E1013" s="28" t="s">
        <v>74</v>
      </c>
      <c r="F1013" s="28">
        <v>0</v>
      </c>
      <c r="G1013" s="28" t="s">
        <v>119</v>
      </c>
      <c r="H1013" s="28">
        <v>0</v>
      </c>
      <c r="J1013" s="28"/>
    </row>
    <row r="1014" spans="1:10" ht="15.75" customHeight="1">
      <c r="A1014" s="28">
        <v>16784</v>
      </c>
      <c r="B1014" s="91">
        <v>44888.785682870366</v>
      </c>
      <c r="C1014" s="28" t="s">
        <v>10</v>
      </c>
      <c r="D1014" s="28" t="s">
        <v>1156</v>
      </c>
      <c r="E1014" s="28" t="s">
        <v>50</v>
      </c>
      <c r="F1014" s="28">
        <v>22</v>
      </c>
      <c r="G1014" s="28" t="s">
        <v>137</v>
      </c>
      <c r="H1014" s="28">
        <v>0</v>
      </c>
      <c r="J1014" s="28"/>
    </row>
    <row r="1015" spans="1:10" ht="15.75" customHeight="1">
      <c r="A1015" s="28">
        <v>16785</v>
      </c>
      <c r="B1015" s="91">
        <v>44888.818402777775</v>
      </c>
      <c r="C1015" s="28" t="s">
        <v>10</v>
      </c>
      <c r="D1015" s="28" t="s">
        <v>1155</v>
      </c>
      <c r="E1015" s="28" t="s">
        <v>50</v>
      </c>
      <c r="F1015" s="28">
        <v>24</v>
      </c>
      <c r="G1015" s="28" t="s">
        <v>122</v>
      </c>
      <c r="H1015" s="28">
        <v>0</v>
      </c>
      <c r="J1015" s="28"/>
    </row>
    <row r="1016" spans="1:10" ht="15.75" customHeight="1">
      <c r="A1016" s="28">
        <v>16786</v>
      </c>
      <c r="B1016" s="91">
        <v>44888.843518518523</v>
      </c>
      <c r="C1016" s="28" t="s">
        <v>10</v>
      </c>
      <c r="D1016" s="28" t="s">
        <v>1154</v>
      </c>
      <c r="E1016" s="28" t="s">
        <v>50</v>
      </c>
      <c r="F1016" s="28">
        <v>24</v>
      </c>
      <c r="G1016" s="28" t="s">
        <v>122</v>
      </c>
      <c r="H1016" s="28">
        <v>0</v>
      </c>
      <c r="J1016" s="28"/>
    </row>
    <row r="1017" spans="1:10" ht="15.75" customHeight="1">
      <c r="A1017" s="28">
        <v>16787</v>
      </c>
      <c r="B1017" s="91">
        <v>44888.84511574074</v>
      </c>
      <c r="C1017" s="28" t="s">
        <v>10</v>
      </c>
      <c r="D1017" s="28" t="s">
        <v>1153</v>
      </c>
      <c r="E1017" s="28" t="s">
        <v>50</v>
      </c>
      <c r="F1017" s="28">
        <v>24</v>
      </c>
      <c r="G1017" s="28" t="s">
        <v>122</v>
      </c>
      <c r="H1017" s="28">
        <v>0</v>
      </c>
      <c r="J1017" s="28"/>
    </row>
    <row r="1018" spans="1:10" ht="15.75" customHeight="1">
      <c r="A1018" s="28">
        <v>16788</v>
      </c>
      <c r="B1018" s="91">
        <v>44888.886145833334</v>
      </c>
      <c r="C1018" s="28" t="s">
        <v>10</v>
      </c>
      <c r="D1018" s="28" t="s">
        <v>1152</v>
      </c>
      <c r="E1018" s="28" t="s">
        <v>74</v>
      </c>
      <c r="F1018" s="28">
        <v>15</v>
      </c>
      <c r="G1018" s="28" t="s">
        <v>170</v>
      </c>
      <c r="H1018" s="28">
        <v>0</v>
      </c>
      <c r="J1018" s="28"/>
    </row>
    <row r="1019" spans="1:10" ht="15.75" customHeight="1">
      <c r="A1019" s="28">
        <v>16788</v>
      </c>
      <c r="B1019" s="91">
        <v>44888.886145833334</v>
      </c>
      <c r="C1019" s="28" t="s">
        <v>10</v>
      </c>
      <c r="D1019" s="28" t="s">
        <v>1152</v>
      </c>
      <c r="E1019" s="28" t="s">
        <v>74</v>
      </c>
      <c r="F1019" s="28">
        <v>25</v>
      </c>
      <c r="G1019" s="28" t="s">
        <v>1106</v>
      </c>
      <c r="H1019" s="28">
        <v>0</v>
      </c>
      <c r="J1019" s="28"/>
    </row>
    <row r="1020" spans="1:10" ht="15.75" customHeight="1">
      <c r="A1020" s="28">
        <v>16788</v>
      </c>
      <c r="B1020" s="91">
        <v>44888.886145833334</v>
      </c>
      <c r="C1020" s="28" t="s">
        <v>10</v>
      </c>
      <c r="D1020" s="28" t="s">
        <v>1152</v>
      </c>
      <c r="E1020" s="28" t="s">
        <v>74</v>
      </c>
      <c r="F1020" s="28">
        <v>0</v>
      </c>
      <c r="G1020" s="28" t="s">
        <v>884</v>
      </c>
      <c r="H1020" s="28">
        <v>0</v>
      </c>
      <c r="J1020" s="28"/>
    </row>
    <row r="1021" spans="1:10" ht="15.75" customHeight="1">
      <c r="A1021" s="28">
        <v>16788</v>
      </c>
      <c r="B1021" s="91">
        <v>44888.886145833334</v>
      </c>
      <c r="C1021" s="28" t="s">
        <v>10</v>
      </c>
      <c r="D1021" s="28" t="s">
        <v>1152</v>
      </c>
      <c r="E1021" s="28" t="s">
        <v>74</v>
      </c>
      <c r="F1021" s="28">
        <v>0</v>
      </c>
      <c r="G1021" s="28" t="s">
        <v>882</v>
      </c>
      <c r="H1021" s="28">
        <v>0</v>
      </c>
      <c r="J1021" s="28"/>
    </row>
    <row r="1022" spans="1:10" ht="15.75" customHeight="1">
      <c r="A1022" s="28">
        <v>16789</v>
      </c>
      <c r="B1022" s="91">
        <v>44888.920902777776</v>
      </c>
      <c r="C1022" s="28" t="s">
        <v>10</v>
      </c>
      <c r="D1022" s="28" t="s">
        <v>1151</v>
      </c>
      <c r="E1022" s="28" t="s">
        <v>50</v>
      </c>
      <c r="F1022" s="28">
        <v>24</v>
      </c>
      <c r="G1022" s="28" t="s">
        <v>122</v>
      </c>
      <c r="H1022" s="28">
        <v>0</v>
      </c>
      <c r="J1022" s="28"/>
    </row>
    <row r="1023" spans="1:10" ht="15.75" customHeight="1">
      <c r="A1023" s="28">
        <v>16789</v>
      </c>
      <c r="B1023" s="91">
        <v>44888.920902777776</v>
      </c>
      <c r="C1023" s="28" t="s">
        <v>10</v>
      </c>
      <c r="D1023" s="28" t="s">
        <v>1151</v>
      </c>
      <c r="E1023" s="28" t="s">
        <v>50</v>
      </c>
      <c r="F1023" s="28">
        <v>15</v>
      </c>
      <c r="G1023" s="28" t="s">
        <v>170</v>
      </c>
      <c r="H1023" s="28">
        <v>0</v>
      </c>
      <c r="J1023" s="28"/>
    </row>
    <row r="1024" spans="1:10" ht="15.75" customHeight="1">
      <c r="A1024" s="28">
        <v>16789</v>
      </c>
      <c r="B1024" s="91">
        <v>44888.920902777776</v>
      </c>
      <c r="C1024" s="28" t="s">
        <v>10</v>
      </c>
      <c r="D1024" s="28" t="s">
        <v>1151</v>
      </c>
      <c r="E1024" s="28" t="s">
        <v>50</v>
      </c>
      <c r="F1024" s="28">
        <v>18</v>
      </c>
      <c r="G1024" s="28" t="s">
        <v>457</v>
      </c>
      <c r="H1024" s="28">
        <v>0</v>
      </c>
      <c r="J1024" s="28"/>
    </row>
    <row r="1025" spans="1:10" ht="15.75" customHeight="1">
      <c r="A1025" s="28">
        <v>16790</v>
      </c>
      <c r="B1025" s="91">
        <v>44888.935231481482</v>
      </c>
      <c r="C1025" s="28" t="s">
        <v>10</v>
      </c>
      <c r="D1025" s="28" t="s">
        <v>1150</v>
      </c>
      <c r="E1025" s="28" t="s">
        <v>50</v>
      </c>
      <c r="F1025" s="28">
        <v>28</v>
      </c>
      <c r="G1025" s="28" t="s">
        <v>143</v>
      </c>
      <c r="H1025" s="28">
        <v>0</v>
      </c>
      <c r="J1025" s="28"/>
    </row>
    <row r="1026" spans="1:10" ht="15.75" customHeight="1">
      <c r="A1026" s="28">
        <v>16790</v>
      </c>
      <c r="B1026" s="91">
        <v>44888.935231481482</v>
      </c>
      <c r="C1026" s="28" t="s">
        <v>10</v>
      </c>
      <c r="D1026" s="28" t="s">
        <v>1150</v>
      </c>
      <c r="E1026" s="28" t="s">
        <v>50</v>
      </c>
      <c r="F1026" s="28">
        <v>25</v>
      </c>
      <c r="G1026" s="28">
        <v>100692</v>
      </c>
      <c r="H1026" s="28">
        <v>0</v>
      </c>
      <c r="J1026" s="28"/>
    </row>
    <row r="1027" spans="1:10" ht="15.75" customHeight="1">
      <c r="A1027" s="28">
        <v>16790</v>
      </c>
      <c r="B1027" s="91">
        <v>44888.935231481482</v>
      </c>
      <c r="C1027" s="28" t="s">
        <v>10</v>
      </c>
      <c r="D1027" s="28" t="s">
        <v>1150</v>
      </c>
      <c r="E1027" s="28" t="s">
        <v>50</v>
      </c>
      <c r="F1027" s="28">
        <v>0</v>
      </c>
      <c r="G1027" s="28" t="s">
        <v>125</v>
      </c>
      <c r="H1027" s="28">
        <v>0</v>
      </c>
      <c r="J1027" s="28"/>
    </row>
    <row r="1028" spans="1:10" ht="15.75" customHeight="1">
      <c r="A1028" s="28">
        <v>16790</v>
      </c>
      <c r="B1028" s="91">
        <v>44888.935231481482</v>
      </c>
      <c r="C1028" s="28" t="s">
        <v>10</v>
      </c>
      <c r="D1028" s="28" t="s">
        <v>1150</v>
      </c>
      <c r="E1028" s="28" t="s">
        <v>50</v>
      </c>
      <c r="F1028" s="28">
        <v>0</v>
      </c>
      <c r="G1028" s="28" t="s">
        <v>119</v>
      </c>
      <c r="H1028" s="28">
        <v>0</v>
      </c>
      <c r="J1028" s="28"/>
    </row>
    <row r="1029" spans="1:10" ht="15.75" customHeight="1">
      <c r="A1029" s="28">
        <v>16791</v>
      </c>
      <c r="B1029" s="91">
        <v>44888.948564814811</v>
      </c>
      <c r="C1029" s="28" t="s">
        <v>10</v>
      </c>
      <c r="D1029" s="28" t="s">
        <v>1090</v>
      </c>
      <c r="E1029" s="28" t="s">
        <v>50</v>
      </c>
      <c r="F1029" s="28">
        <v>24</v>
      </c>
      <c r="G1029" s="28" t="s">
        <v>122</v>
      </c>
      <c r="H1029" s="28">
        <v>0</v>
      </c>
      <c r="J1029" s="28"/>
    </row>
    <row r="1030" spans="1:10" ht="15.75" customHeight="1">
      <c r="A1030" s="28">
        <v>16792</v>
      </c>
      <c r="B1030" s="91">
        <v>44888.950300925921</v>
      </c>
      <c r="C1030" s="28" t="s">
        <v>10</v>
      </c>
      <c r="D1030" s="28" t="s">
        <v>1149</v>
      </c>
      <c r="E1030" s="28" t="s">
        <v>50</v>
      </c>
      <c r="F1030" s="28">
        <v>15</v>
      </c>
      <c r="G1030" s="28" t="s">
        <v>125</v>
      </c>
      <c r="H1030" s="28">
        <v>0</v>
      </c>
      <c r="J1030" s="28"/>
    </row>
    <row r="1031" spans="1:10" ht="15.75" customHeight="1">
      <c r="A1031" s="28">
        <v>16792</v>
      </c>
      <c r="B1031" s="91">
        <v>44888.950300925921</v>
      </c>
      <c r="C1031" s="28" t="s">
        <v>10</v>
      </c>
      <c r="D1031" s="28" t="s">
        <v>1149</v>
      </c>
      <c r="E1031" s="28" t="s">
        <v>50</v>
      </c>
      <c r="F1031" s="28">
        <v>24</v>
      </c>
      <c r="G1031" s="28" t="s">
        <v>122</v>
      </c>
      <c r="H1031" s="28">
        <v>0</v>
      </c>
      <c r="J1031" s="28"/>
    </row>
    <row r="1032" spans="1:10" ht="15.75" customHeight="1">
      <c r="A1032" s="28">
        <v>16793</v>
      </c>
      <c r="B1032" s="91">
        <v>44888.960902777777</v>
      </c>
      <c r="C1032" s="28" t="s">
        <v>10</v>
      </c>
      <c r="D1032" s="28" t="s">
        <v>1148</v>
      </c>
      <c r="E1032" s="28" t="s">
        <v>50</v>
      </c>
      <c r="F1032" s="28">
        <v>55</v>
      </c>
      <c r="G1032" s="28">
        <v>101684</v>
      </c>
      <c r="H1032" s="28">
        <v>0</v>
      </c>
      <c r="J1032" s="28"/>
    </row>
    <row r="1033" spans="1:10" ht="15.75" customHeight="1">
      <c r="A1033" s="28">
        <v>16793</v>
      </c>
      <c r="B1033" s="91">
        <v>44888.960902777777</v>
      </c>
      <c r="C1033" s="28" t="s">
        <v>10</v>
      </c>
      <c r="D1033" s="28" t="s">
        <v>1148</v>
      </c>
      <c r="E1033" s="28" t="s">
        <v>50</v>
      </c>
      <c r="F1033" s="28">
        <v>0</v>
      </c>
      <c r="G1033" s="28" t="s">
        <v>118</v>
      </c>
      <c r="H1033" s="28">
        <v>0</v>
      </c>
      <c r="J1033" s="28"/>
    </row>
    <row r="1034" spans="1:10" ht="15.75" customHeight="1">
      <c r="A1034" s="28">
        <v>16793</v>
      </c>
      <c r="B1034" s="91">
        <v>44888.960902777777</v>
      </c>
      <c r="C1034" s="28" t="s">
        <v>10</v>
      </c>
      <c r="D1034" s="28" t="s">
        <v>1148</v>
      </c>
      <c r="E1034" s="28" t="s">
        <v>50</v>
      </c>
      <c r="F1034" s="28">
        <v>0</v>
      </c>
      <c r="G1034" s="28" t="s">
        <v>119</v>
      </c>
      <c r="H1034" s="28">
        <v>0</v>
      </c>
      <c r="J1034" s="28"/>
    </row>
    <row r="1035" spans="1:10" ht="15.75" customHeight="1">
      <c r="A1035" s="28">
        <v>16793</v>
      </c>
      <c r="B1035" s="91">
        <v>44888.960902777777</v>
      </c>
      <c r="C1035" s="28" t="s">
        <v>10</v>
      </c>
      <c r="D1035" s="28" t="s">
        <v>1148</v>
      </c>
      <c r="E1035" s="28" t="s">
        <v>50</v>
      </c>
      <c r="F1035" s="28">
        <v>0</v>
      </c>
      <c r="G1035" s="28" t="s">
        <v>120</v>
      </c>
      <c r="H1035" s="28">
        <v>0</v>
      </c>
      <c r="J1035" s="28"/>
    </row>
    <row r="1036" spans="1:10" ht="15.75" customHeight="1">
      <c r="A1036" s="28">
        <v>16793</v>
      </c>
      <c r="B1036" s="91">
        <v>44888.960902777777</v>
      </c>
      <c r="C1036" s="28" t="s">
        <v>10</v>
      </c>
      <c r="D1036" s="28" t="s">
        <v>1148</v>
      </c>
      <c r="E1036" s="28" t="s">
        <v>50</v>
      </c>
      <c r="F1036" s="28">
        <v>0</v>
      </c>
      <c r="G1036" s="28" t="s">
        <v>121</v>
      </c>
      <c r="H1036" s="28">
        <v>0</v>
      </c>
      <c r="J1036" s="28"/>
    </row>
    <row r="1037" spans="1:10" ht="15.75" customHeight="1">
      <c r="A1037" s="28">
        <v>16794</v>
      </c>
      <c r="B1037" s="91">
        <v>44888.962256944447</v>
      </c>
      <c r="C1037" s="28" t="s">
        <v>10</v>
      </c>
      <c r="D1037" s="28" t="s">
        <v>1147</v>
      </c>
      <c r="E1037" s="28" t="s">
        <v>50</v>
      </c>
      <c r="F1037" s="28">
        <v>25</v>
      </c>
      <c r="G1037" s="28">
        <v>100692</v>
      </c>
      <c r="H1037" s="28">
        <v>0</v>
      </c>
      <c r="J1037" s="28"/>
    </row>
    <row r="1038" spans="1:10" ht="15.75" customHeight="1">
      <c r="A1038" s="28">
        <v>16794</v>
      </c>
      <c r="B1038" s="91">
        <v>44888.962256944447</v>
      </c>
      <c r="C1038" s="28" t="s">
        <v>10</v>
      </c>
      <c r="D1038" s="28" t="s">
        <v>1147</v>
      </c>
      <c r="E1038" s="28" t="s">
        <v>50</v>
      </c>
      <c r="F1038" s="28">
        <v>0</v>
      </c>
      <c r="G1038" s="28" t="s">
        <v>125</v>
      </c>
      <c r="H1038" s="28">
        <v>0</v>
      </c>
      <c r="J1038" s="28"/>
    </row>
    <row r="1039" spans="1:10" ht="15.75" customHeight="1">
      <c r="A1039" s="28">
        <v>16794</v>
      </c>
      <c r="B1039" s="91">
        <v>44888.962256944447</v>
      </c>
      <c r="C1039" s="28" t="s">
        <v>10</v>
      </c>
      <c r="D1039" s="28" t="s">
        <v>1147</v>
      </c>
      <c r="E1039" s="28" t="s">
        <v>50</v>
      </c>
      <c r="F1039" s="28">
        <v>0</v>
      </c>
      <c r="G1039" s="28" t="s">
        <v>119</v>
      </c>
      <c r="H1039" s="28">
        <v>0</v>
      </c>
      <c r="J1039" s="28"/>
    </row>
    <row r="1040" spans="1:10" ht="15.75" customHeight="1">
      <c r="A1040" s="28">
        <v>16795</v>
      </c>
      <c r="B1040" s="91">
        <v>44888.963854166665</v>
      </c>
      <c r="C1040" s="28" t="s">
        <v>10</v>
      </c>
      <c r="D1040" s="28" t="s">
        <v>1146</v>
      </c>
      <c r="E1040" s="28" t="s">
        <v>50</v>
      </c>
      <c r="F1040" s="28">
        <v>30</v>
      </c>
      <c r="G1040" s="28" t="s">
        <v>170</v>
      </c>
      <c r="H1040" s="28">
        <v>0</v>
      </c>
      <c r="J1040" s="28"/>
    </row>
    <row r="1041" spans="1:10" ht="15.75" customHeight="1">
      <c r="A1041" s="28">
        <v>16796</v>
      </c>
      <c r="B1041" s="91">
        <v>44888.965347222227</v>
      </c>
      <c r="C1041" s="28" t="s">
        <v>10</v>
      </c>
      <c r="D1041" s="28" t="s">
        <v>1145</v>
      </c>
      <c r="E1041" s="28" t="s">
        <v>50</v>
      </c>
      <c r="F1041" s="28">
        <v>25</v>
      </c>
      <c r="G1041" s="28">
        <v>100692</v>
      </c>
      <c r="H1041" s="28">
        <v>0</v>
      </c>
      <c r="J1041" s="28"/>
    </row>
    <row r="1042" spans="1:10" ht="15.75" customHeight="1">
      <c r="A1042" s="28">
        <v>16796</v>
      </c>
      <c r="B1042" s="91">
        <v>44888.965347222227</v>
      </c>
      <c r="C1042" s="28" t="s">
        <v>10</v>
      </c>
      <c r="D1042" s="28" t="s">
        <v>1145</v>
      </c>
      <c r="E1042" s="28" t="s">
        <v>50</v>
      </c>
      <c r="F1042" s="28">
        <v>0</v>
      </c>
      <c r="G1042" s="28" t="s">
        <v>125</v>
      </c>
      <c r="H1042" s="28">
        <v>0</v>
      </c>
      <c r="J1042" s="28"/>
    </row>
    <row r="1043" spans="1:10" ht="15.75" customHeight="1">
      <c r="A1043" s="28">
        <v>16796</v>
      </c>
      <c r="B1043" s="91">
        <v>44888.965347222227</v>
      </c>
      <c r="C1043" s="28" t="s">
        <v>10</v>
      </c>
      <c r="D1043" s="28" t="s">
        <v>1145</v>
      </c>
      <c r="E1043" s="28" t="s">
        <v>50</v>
      </c>
      <c r="F1043" s="28">
        <v>0</v>
      </c>
      <c r="G1043" s="28" t="s">
        <v>119</v>
      </c>
      <c r="H1043" s="28">
        <v>0</v>
      </c>
      <c r="J1043" s="28"/>
    </row>
    <row r="1044" spans="1:10" ht="15.75" customHeight="1">
      <c r="A1044" s="28">
        <v>16797</v>
      </c>
      <c r="B1044" s="91">
        <v>44888.965717592597</v>
      </c>
      <c r="C1044" s="28" t="s">
        <v>10</v>
      </c>
      <c r="D1044" s="28" t="s">
        <v>1144</v>
      </c>
      <c r="E1044" s="28" t="s">
        <v>50</v>
      </c>
      <c r="F1044" s="28">
        <v>25</v>
      </c>
      <c r="G1044" s="28">
        <v>100692</v>
      </c>
      <c r="H1044" s="28">
        <v>0</v>
      </c>
      <c r="J1044" s="28"/>
    </row>
    <row r="1045" spans="1:10" ht="15.75" customHeight="1">
      <c r="A1045" s="28">
        <v>16797</v>
      </c>
      <c r="B1045" s="91">
        <v>44888.965717592597</v>
      </c>
      <c r="C1045" s="28" t="s">
        <v>10</v>
      </c>
      <c r="D1045" s="28" t="s">
        <v>1144</v>
      </c>
      <c r="E1045" s="28" t="s">
        <v>50</v>
      </c>
      <c r="F1045" s="28">
        <v>0</v>
      </c>
      <c r="G1045" s="28" t="s">
        <v>125</v>
      </c>
      <c r="H1045" s="28">
        <v>0</v>
      </c>
      <c r="J1045" s="28"/>
    </row>
    <row r="1046" spans="1:10" ht="15.75" customHeight="1">
      <c r="A1046" s="28">
        <v>16797</v>
      </c>
      <c r="B1046" s="91">
        <v>44888.965717592597</v>
      </c>
      <c r="C1046" s="28" t="s">
        <v>10</v>
      </c>
      <c r="D1046" s="28" t="s">
        <v>1144</v>
      </c>
      <c r="E1046" s="28" t="s">
        <v>50</v>
      </c>
      <c r="F1046" s="28">
        <v>0</v>
      </c>
      <c r="G1046" s="28" t="s">
        <v>119</v>
      </c>
      <c r="H1046" s="28">
        <v>0</v>
      </c>
      <c r="J1046" s="28"/>
    </row>
    <row r="1047" spans="1:10" ht="15.75" customHeight="1">
      <c r="A1047" s="28">
        <v>16798</v>
      </c>
      <c r="B1047" s="91">
        <v>44888.967349537037</v>
      </c>
      <c r="C1047" s="28" t="s">
        <v>10</v>
      </c>
      <c r="D1047" s="28" t="s">
        <v>1143</v>
      </c>
      <c r="E1047" s="28" t="s">
        <v>50</v>
      </c>
      <c r="F1047" s="28">
        <v>28</v>
      </c>
      <c r="G1047" s="28" t="s">
        <v>143</v>
      </c>
      <c r="H1047" s="28">
        <v>0</v>
      </c>
      <c r="J1047" s="28"/>
    </row>
    <row r="1048" spans="1:10" ht="15.75" customHeight="1">
      <c r="A1048" s="28">
        <v>16799</v>
      </c>
      <c r="B1048" s="91">
        <v>44888.968055555553</v>
      </c>
      <c r="C1048" s="28" t="s">
        <v>10</v>
      </c>
      <c r="D1048" s="28" t="s">
        <v>1142</v>
      </c>
      <c r="E1048" s="28" t="s">
        <v>50</v>
      </c>
      <c r="F1048" s="28">
        <v>24</v>
      </c>
      <c r="G1048" s="28" t="s">
        <v>122</v>
      </c>
      <c r="H1048" s="28">
        <v>0</v>
      </c>
      <c r="J1048" s="28"/>
    </row>
    <row r="1049" spans="1:10" ht="15.75" customHeight="1">
      <c r="A1049" s="28">
        <v>16800</v>
      </c>
      <c r="B1049" s="91">
        <v>44888.969988425924</v>
      </c>
      <c r="C1049" s="28" t="s">
        <v>10</v>
      </c>
      <c r="D1049" s="28" t="s">
        <v>1141</v>
      </c>
      <c r="E1049" s="28" t="s">
        <v>50</v>
      </c>
      <c r="F1049" s="28">
        <v>24</v>
      </c>
      <c r="G1049" s="28" t="s">
        <v>122</v>
      </c>
      <c r="H1049" s="28">
        <v>0</v>
      </c>
      <c r="J1049" s="28"/>
    </row>
    <row r="1050" spans="1:10" ht="15.75" customHeight="1">
      <c r="A1050" s="28">
        <v>16801</v>
      </c>
      <c r="B1050" s="91">
        <v>44888.975497685184</v>
      </c>
      <c r="C1050" s="28" t="s">
        <v>10</v>
      </c>
      <c r="D1050" s="28" t="s">
        <v>1140</v>
      </c>
      <c r="E1050" s="28" t="s">
        <v>50</v>
      </c>
      <c r="F1050" s="28">
        <v>35</v>
      </c>
      <c r="G1050" s="28" t="s">
        <v>124</v>
      </c>
      <c r="H1050" s="28">
        <v>0</v>
      </c>
      <c r="J1050" s="28"/>
    </row>
    <row r="1051" spans="1:10" ht="15.75" customHeight="1">
      <c r="A1051" s="28">
        <v>16801</v>
      </c>
      <c r="B1051" s="91">
        <v>44888.975497685184</v>
      </c>
      <c r="C1051" s="28" t="s">
        <v>10</v>
      </c>
      <c r="D1051" s="28" t="s">
        <v>1140</v>
      </c>
      <c r="E1051" s="28" t="s">
        <v>50</v>
      </c>
      <c r="F1051" s="28">
        <v>0</v>
      </c>
      <c r="G1051" s="28" t="s">
        <v>125</v>
      </c>
      <c r="H1051" s="28">
        <v>0</v>
      </c>
      <c r="J1051" s="28"/>
    </row>
    <row r="1052" spans="1:10" ht="15.75" customHeight="1">
      <c r="A1052" s="28">
        <v>16801</v>
      </c>
      <c r="B1052" s="91">
        <v>44888.975497685184</v>
      </c>
      <c r="C1052" s="28" t="s">
        <v>10</v>
      </c>
      <c r="D1052" s="28" t="s">
        <v>1140</v>
      </c>
      <c r="E1052" s="28" t="s">
        <v>50</v>
      </c>
      <c r="F1052" s="28">
        <v>0</v>
      </c>
      <c r="G1052" s="28" t="s">
        <v>121</v>
      </c>
      <c r="H1052" s="28">
        <v>0</v>
      </c>
      <c r="J1052" s="28"/>
    </row>
    <row r="1053" spans="1:10" ht="15.75" customHeight="1">
      <c r="A1053" s="28">
        <v>16801</v>
      </c>
      <c r="B1053" s="91">
        <v>44888.975497685184</v>
      </c>
      <c r="C1053" s="28" t="s">
        <v>10</v>
      </c>
      <c r="D1053" s="28" t="s">
        <v>1140</v>
      </c>
      <c r="E1053" s="28" t="s">
        <v>50</v>
      </c>
      <c r="F1053" s="28">
        <v>0</v>
      </c>
      <c r="G1053" s="28" t="s">
        <v>119</v>
      </c>
      <c r="H1053" s="28">
        <v>0</v>
      </c>
      <c r="J1053" s="28"/>
    </row>
    <row r="1054" spans="1:10" ht="15.75" customHeight="1">
      <c r="A1054" s="28">
        <v>16802</v>
      </c>
      <c r="B1054" s="91">
        <v>44888.982581018514</v>
      </c>
      <c r="C1054" s="28" t="s">
        <v>10</v>
      </c>
      <c r="D1054" s="28" t="s">
        <v>1139</v>
      </c>
      <c r="E1054" s="28" t="s">
        <v>50</v>
      </c>
      <c r="F1054" s="28">
        <v>25</v>
      </c>
      <c r="G1054" s="28" t="s">
        <v>297</v>
      </c>
      <c r="H1054" s="28">
        <v>0</v>
      </c>
      <c r="J1054" s="28"/>
    </row>
    <row r="1055" spans="1:10" ht="15.75" customHeight="1">
      <c r="A1055" s="28">
        <v>16802</v>
      </c>
      <c r="B1055" s="91">
        <v>44888.982581018514</v>
      </c>
      <c r="C1055" s="28" t="s">
        <v>10</v>
      </c>
      <c r="D1055" s="28" t="s">
        <v>1139</v>
      </c>
      <c r="E1055" s="28" t="s">
        <v>50</v>
      </c>
      <c r="F1055" s="28">
        <v>55</v>
      </c>
      <c r="G1055" s="28">
        <v>101684</v>
      </c>
      <c r="H1055" s="28">
        <v>0</v>
      </c>
      <c r="J1055" s="28"/>
    </row>
    <row r="1056" spans="1:10" ht="15.75" customHeight="1">
      <c r="A1056" s="28">
        <v>16802</v>
      </c>
      <c r="B1056" s="91">
        <v>44888.982581018514</v>
      </c>
      <c r="C1056" s="28" t="s">
        <v>10</v>
      </c>
      <c r="D1056" s="28" t="s">
        <v>1139</v>
      </c>
      <c r="E1056" s="28" t="s">
        <v>50</v>
      </c>
      <c r="F1056" s="28">
        <v>0</v>
      </c>
      <c r="G1056" s="28" t="s">
        <v>118</v>
      </c>
      <c r="H1056" s="28">
        <v>0</v>
      </c>
      <c r="J1056" s="28"/>
    </row>
    <row r="1057" spans="1:10" ht="15.75" customHeight="1">
      <c r="A1057" s="28">
        <v>16802</v>
      </c>
      <c r="B1057" s="91">
        <v>44888.982581018514</v>
      </c>
      <c r="C1057" s="28" t="s">
        <v>10</v>
      </c>
      <c r="D1057" s="28" t="s">
        <v>1139</v>
      </c>
      <c r="E1057" s="28" t="s">
        <v>50</v>
      </c>
      <c r="F1057" s="28">
        <v>0</v>
      </c>
      <c r="G1057" s="28" t="s">
        <v>119</v>
      </c>
      <c r="H1057" s="28">
        <v>0</v>
      </c>
      <c r="J1057" s="28"/>
    </row>
    <row r="1058" spans="1:10" ht="15.75" customHeight="1">
      <c r="A1058" s="28">
        <v>16802</v>
      </c>
      <c r="B1058" s="91">
        <v>44888.982581018514</v>
      </c>
      <c r="C1058" s="28" t="s">
        <v>10</v>
      </c>
      <c r="D1058" s="28" t="s">
        <v>1139</v>
      </c>
      <c r="E1058" s="28" t="s">
        <v>50</v>
      </c>
      <c r="F1058" s="28">
        <v>0</v>
      </c>
      <c r="G1058" s="28" t="s">
        <v>120</v>
      </c>
      <c r="H1058" s="28">
        <v>0</v>
      </c>
      <c r="J1058" s="28"/>
    </row>
    <row r="1059" spans="1:10" ht="15.75" customHeight="1">
      <c r="A1059" s="28">
        <v>16802</v>
      </c>
      <c r="B1059" s="91">
        <v>44888.982581018514</v>
      </c>
      <c r="C1059" s="28" t="s">
        <v>10</v>
      </c>
      <c r="D1059" s="28" t="s">
        <v>1139</v>
      </c>
      <c r="E1059" s="28" t="s">
        <v>50</v>
      </c>
      <c r="F1059" s="28">
        <v>0</v>
      </c>
      <c r="G1059" s="28" t="s">
        <v>121</v>
      </c>
      <c r="H1059" s="28">
        <v>0</v>
      </c>
      <c r="J1059" s="28"/>
    </row>
    <row r="1060" spans="1:10" ht="15.75" customHeight="1">
      <c r="A1060" s="28">
        <v>16802</v>
      </c>
      <c r="B1060" s="91">
        <v>44888.982581018514</v>
      </c>
      <c r="C1060" s="28" t="s">
        <v>10</v>
      </c>
      <c r="D1060" s="28" t="s">
        <v>1139</v>
      </c>
      <c r="E1060" s="28" t="s">
        <v>50</v>
      </c>
      <c r="F1060" s="28">
        <v>20</v>
      </c>
      <c r="G1060" s="28" t="s">
        <v>205</v>
      </c>
      <c r="H1060" s="28">
        <v>0</v>
      </c>
      <c r="J1060" s="28"/>
    </row>
    <row r="1061" spans="1:10" ht="15.75" customHeight="1">
      <c r="A1061" s="28">
        <v>16802</v>
      </c>
      <c r="B1061" s="91">
        <v>44888.982581018514</v>
      </c>
      <c r="C1061" s="28" t="s">
        <v>10</v>
      </c>
      <c r="D1061" s="28" t="s">
        <v>1139</v>
      </c>
      <c r="E1061" s="28" t="s">
        <v>50</v>
      </c>
      <c r="F1061" s="28">
        <v>0</v>
      </c>
      <c r="G1061" s="28" t="s">
        <v>125</v>
      </c>
      <c r="H1061" s="28">
        <v>0</v>
      </c>
      <c r="J1061" s="28"/>
    </row>
    <row r="1062" spans="1:10" ht="15.75" customHeight="1">
      <c r="A1062" s="28">
        <v>16802</v>
      </c>
      <c r="B1062" s="91">
        <v>44888.982581018514</v>
      </c>
      <c r="C1062" s="28" t="s">
        <v>10</v>
      </c>
      <c r="D1062" s="28" t="s">
        <v>1139</v>
      </c>
      <c r="E1062" s="28" t="s">
        <v>50</v>
      </c>
      <c r="F1062" s="28">
        <v>0</v>
      </c>
      <c r="G1062" s="28" t="s">
        <v>139</v>
      </c>
      <c r="H1062" s="28">
        <v>0</v>
      </c>
      <c r="J1062" s="28"/>
    </row>
    <row r="1063" spans="1:10" ht="15.75" customHeight="1">
      <c r="A1063" s="28">
        <v>16803</v>
      </c>
      <c r="B1063" s="91">
        <v>44888.993888888886</v>
      </c>
      <c r="C1063" s="28" t="s">
        <v>10</v>
      </c>
      <c r="D1063" s="28" t="s">
        <v>1138</v>
      </c>
      <c r="E1063" s="28" t="s">
        <v>50</v>
      </c>
      <c r="F1063" s="28">
        <v>0</v>
      </c>
      <c r="G1063" s="28" t="s">
        <v>139</v>
      </c>
      <c r="H1063" s="28">
        <v>0</v>
      </c>
      <c r="J1063" s="28"/>
    </row>
    <row r="1064" spans="1:10" ht="15.75" customHeight="1">
      <c r="A1064" s="28">
        <v>16803</v>
      </c>
      <c r="B1064" s="91">
        <v>44888.993888888886</v>
      </c>
      <c r="C1064" s="28" t="s">
        <v>10</v>
      </c>
      <c r="D1064" s="28" t="s">
        <v>1138</v>
      </c>
      <c r="E1064" s="28" t="s">
        <v>50</v>
      </c>
      <c r="F1064" s="28">
        <v>20</v>
      </c>
      <c r="G1064" s="28" t="s">
        <v>148</v>
      </c>
      <c r="H1064" s="28">
        <v>0</v>
      </c>
      <c r="J1064" s="28"/>
    </row>
    <row r="1065" spans="1:10" ht="15.75" customHeight="1">
      <c r="A1065" s="28">
        <v>16803</v>
      </c>
      <c r="B1065" s="91">
        <v>44888.993888888886</v>
      </c>
      <c r="C1065" s="28" t="s">
        <v>10</v>
      </c>
      <c r="D1065" s="28" t="s">
        <v>1138</v>
      </c>
      <c r="E1065" s="28" t="s">
        <v>50</v>
      </c>
      <c r="F1065" s="28">
        <v>24</v>
      </c>
      <c r="G1065" s="28" t="s">
        <v>122</v>
      </c>
      <c r="H1065" s="28">
        <v>0</v>
      </c>
      <c r="J1065" s="28"/>
    </row>
    <row r="1066" spans="1:10" ht="15.75" customHeight="1">
      <c r="A1066" s="28">
        <v>16804</v>
      </c>
      <c r="B1066" s="91">
        <v>44888.99486111111</v>
      </c>
      <c r="C1066" s="28" t="s">
        <v>10</v>
      </c>
      <c r="D1066" s="28" t="s">
        <v>1137</v>
      </c>
      <c r="E1066" s="28" t="s">
        <v>50</v>
      </c>
      <c r="F1066" s="28">
        <v>15</v>
      </c>
      <c r="G1066" s="28" t="s">
        <v>170</v>
      </c>
      <c r="H1066" s="28">
        <v>0</v>
      </c>
      <c r="J1066" s="28"/>
    </row>
    <row r="1067" spans="1:10" ht="15.75" customHeight="1">
      <c r="A1067" s="28">
        <v>16805</v>
      </c>
      <c r="B1067" s="91">
        <v>44888.997141203705</v>
      </c>
      <c r="C1067" s="28" t="s">
        <v>10</v>
      </c>
      <c r="D1067" s="28" t="s">
        <v>1136</v>
      </c>
      <c r="E1067" s="28" t="s">
        <v>50</v>
      </c>
      <c r="F1067" s="28">
        <v>55</v>
      </c>
      <c r="G1067" s="28">
        <v>101684</v>
      </c>
      <c r="H1067" s="28">
        <v>0</v>
      </c>
      <c r="J1067" s="28"/>
    </row>
    <row r="1068" spans="1:10" ht="15.75" customHeight="1">
      <c r="A1068" s="28">
        <v>16805</v>
      </c>
      <c r="B1068" s="91">
        <v>44888.997141203705</v>
      </c>
      <c r="C1068" s="28" t="s">
        <v>10</v>
      </c>
      <c r="D1068" s="28" t="s">
        <v>1136</v>
      </c>
      <c r="E1068" s="28" t="s">
        <v>50</v>
      </c>
      <c r="F1068" s="28">
        <v>0</v>
      </c>
      <c r="G1068" s="28" t="s">
        <v>118</v>
      </c>
      <c r="H1068" s="28">
        <v>0</v>
      </c>
      <c r="J1068" s="28"/>
    </row>
    <row r="1069" spans="1:10" ht="15.75" customHeight="1">
      <c r="A1069" s="28">
        <v>16805</v>
      </c>
      <c r="B1069" s="91">
        <v>44888.997141203705</v>
      </c>
      <c r="C1069" s="28" t="s">
        <v>10</v>
      </c>
      <c r="D1069" s="28" t="s">
        <v>1136</v>
      </c>
      <c r="E1069" s="28" t="s">
        <v>50</v>
      </c>
      <c r="F1069" s="28">
        <v>0</v>
      </c>
      <c r="G1069" s="28" t="s">
        <v>119</v>
      </c>
      <c r="H1069" s="28">
        <v>0</v>
      </c>
      <c r="J1069" s="28"/>
    </row>
    <row r="1070" spans="1:10" ht="15.75" customHeight="1">
      <c r="A1070" s="28">
        <v>16805</v>
      </c>
      <c r="B1070" s="91">
        <v>44888.997141203705</v>
      </c>
      <c r="C1070" s="28" t="s">
        <v>10</v>
      </c>
      <c r="D1070" s="28" t="s">
        <v>1136</v>
      </c>
      <c r="E1070" s="28" t="s">
        <v>50</v>
      </c>
      <c r="F1070" s="28">
        <v>0</v>
      </c>
      <c r="G1070" s="28" t="s">
        <v>120</v>
      </c>
      <c r="H1070" s="28">
        <v>0</v>
      </c>
      <c r="J1070" s="28"/>
    </row>
    <row r="1071" spans="1:10" ht="15.75" customHeight="1">
      <c r="A1071" s="28">
        <v>16805</v>
      </c>
      <c r="B1071" s="91">
        <v>44888.997141203705</v>
      </c>
      <c r="C1071" s="28" t="s">
        <v>10</v>
      </c>
      <c r="D1071" s="28" t="s">
        <v>1136</v>
      </c>
      <c r="E1071" s="28" t="s">
        <v>50</v>
      </c>
      <c r="F1071" s="28">
        <v>0</v>
      </c>
      <c r="G1071" s="28" t="s">
        <v>121</v>
      </c>
      <c r="H1071" s="28">
        <v>0</v>
      </c>
      <c r="J1071" s="28"/>
    </row>
    <row r="1072" spans="1:10" ht="15.75" customHeight="1">
      <c r="A1072" s="28">
        <v>16806</v>
      </c>
      <c r="B1072" s="91">
        <v>44889.005023148144</v>
      </c>
      <c r="C1072" s="28" t="s">
        <v>10</v>
      </c>
      <c r="D1072" s="28" t="s">
        <v>1135</v>
      </c>
      <c r="E1072" s="28" t="s">
        <v>50</v>
      </c>
      <c r="F1072" s="28">
        <v>25</v>
      </c>
      <c r="G1072" s="28">
        <v>100692</v>
      </c>
      <c r="H1072" s="28">
        <v>0</v>
      </c>
      <c r="J1072" s="28"/>
    </row>
    <row r="1073" spans="1:10" ht="15.75" customHeight="1">
      <c r="A1073" s="28">
        <v>16806</v>
      </c>
      <c r="B1073" s="91">
        <v>44889.005023148144</v>
      </c>
      <c r="C1073" s="28" t="s">
        <v>10</v>
      </c>
      <c r="D1073" s="28" t="s">
        <v>1135</v>
      </c>
      <c r="E1073" s="28" t="s">
        <v>50</v>
      </c>
      <c r="F1073" s="28">
        <v>0</v>
      </c>
      <c r="G1073" s="28" t="s">
        <v>125</v>
      </c>
      <c r="H1073" s="28">
        <v>0</v>
      </c>
      <c r="J1073" s="28"/>
    </row>
    <row r="1074" spans="1:10" ht="15.75" customHeight="1">
      <c r="A1074" s="28">
        <v>16806</v>
      </c>
      <c r="B1074" s="91">
        <v>44889.005023148144</v>
      </c>
      <c r="C1074" s="28" t="s">
        <v>10</v>
      </c>
      <c r="D1074" s="28" t="s">
        <v>1135</v>
      </c>
      <c r="E1074" s="28" t="s">
        <v>50</v>
      </c>
      <c r="F1074" s="28">
        <v>0</v>
      </c>
      <c r="G1074" s="28" t="s">
        <v>119</v>
      </c>
      <c r="H1074" s="28">
        <v>0</v>
      </c>
      <c r="J1074" s="28"/>
    </row>
    <row r="1075" spans="1:10" ht="15.75" customHeight="1">
      <c r="A1075" s="28">
        <v>16807</v>
      </c>
      <c r="B1075" s="91">
        <v>44889.006655092591</v>
      </c>
      <c r="C1075" s="28" t="s">
        <v>10</v>
      </c>
      <c r="D1075" s="28" t="s">
        <v>1134</v>
      </c>
      <c r="E1075" s="28" t="s">
        <v>50</v>
      </c>
      <c r="F1075" s="28">
        <v>25</v>
      </c>
      <c r="G1075" s="28">
        <v>100692</v>
      </c>
      <c r="H1075" s="28">
        <v>0</v>
      </c>
      <c r="J1075" s="28"/>
    </row>
    <row r="1076" spans="1:10" ht="15.75" customHeight="1">
      <c r="A1076" s="28">
        <v>16807</v>
      </c>
      <c r="B1076" s="91">
        <v>44889.006655092591</v>
      </c>
      <c r="C1076" s="28" t="s">
        <v>10</v>
      </c>
      <c r="D1076" s="28" t="s">
        <v>1134</v>
      </c>
      <c r="E1076" s="28" t="s">
        <v>50</v>
      </c>
      <c r="F1076" s="28">
        <v>0</v>
      </c>
      <c r="G1076" s="28" t="s">
        <v>125</v>
      </c>
      <c r="H1076" s="28">
        <v>0</v>
      </c>
      <c r="J1076" s="28"/>
    </row>
    <row r="1077" spans="1:10" ht="15.75" customHeight="1">
      <c r="A1077" s="28">
        <v>16807</v>
      </c>
      <c r="B1077" s="91">
        <v>44889.006655092591</v>
      </c>
      <c r="C1077" s="28" t="s">
        <v>10</v>
      </c>
      <c r="D1077" s="28" t="s">
        <v>1134</v>
      </c>
      <c r="E1077" s="28" t="s">
        <v>50</v>
      </c>
      <c r="F1077" s="28">
        <v>0</v>
      </c>
      <c r="G1077" s="28" t="s">
        <v>119</v>
      </c>
      <c r="H1077" s="28">
        <v>0</v>
      </c>
      <c r="J1077" s="28"/>
    </row>
    <row r="1078" spans="1:10" ht="15.75" customHeight="1">
      <c r="A1078" s="28">
        <v>16807</v>
      </c>
      <c r="B1078" s="91">
        <v>44889.006655092591</v>
      </c>
      <c r="C1078" s="28" t="s">
        <v>10</v>
      </c>
      <c r="D1078" s="28" t="s">
        <v>1134</v>
      </c>
      <c r="E1078" s="28" t="s">
        <v>50</v>
      </c>
      <c r="F1078" s="28">
        <v>0</v>
      </c>
      <c r="G1078" s="28" t="s">
        <v>139</v>
      </c>
      <c r="H1078" s="28">
        <v>0</v>
      </c>
      <c r="J1078" s="28"/>
    </row>
    <row r="1079" spans="1:10" ht="15.75" customHeight="1">
      <c r="A1079" s="28">
        <v>16809</v>
      </c>
      <c r="B1079" s="91">
        <v>44889.026990740742</v>
      </c>
      <c r="C1079" s="28" t="s">
        <v>10</v>
      </c>
      <c r="D1079" s="28" t="s">
        <v>1133</v>
      </c>
      <c r="E1079" s="28" t="s">
        <v>50</v>
      </c>
      <c r="F1079" s="28">
        <v>30</v>
      </c>
      <c r="G1079" s="28" t="s">
        <v>128</v>
      </c>
      <c r="H1079" s="28">
        <v>0</v>
      </c>
      <c r="J1079" s="28"/>
    </row>
    <row r="1080" spans="1:10" ht="15.75" customHeight="1">
      <c r="A1080" s="28">
        <v>16809</v>
      </c>
      <c r="B1080" s="91">
        <v>44889.026990740742</v>
      </c>
      <c r="C1080" s="28" t="s">
        <v>10</v>
      </c>
      <c r="D1080" s="28" t="s">
        <v>1133</v>
      </c>
      <c r="E1080" s="28" t="s">
        <v>50</v>
      </c>
      <c r="F1080" s="28">
        <v>0</v>
      </c>
      <c r="G1080" s="28" t="s">
        <v>125</v>
      </c>
      <c r="H1080" s="28">
        <v>0</v>
      </c>
      <c r="J1080" s="28"/>
    </row>
    <row r="1081" spans="1:10" ht="15.75" customHeight="1">
      <c r="A1081" s="28">
        <v>16809</v>
      </c>
      <c r="B1081" s="91">
        <v>44889.026990740742</v>
      </c>
      <c r="C1081" s="28" t="s">
        <v>10</v>
      </c>
      <c r="D1081" s="28" t="s">
        <v>1133</v>
      </c>
      <c r="E1081" s="28" t="s">
        <v>50</v>
      </c>
      <c r="F1081" s="28">
        <v>0</v>
      </c>
      <c r="G1081" s="28" t="s">
        <v>119</v>
      </c>
      <c r="H1081" s="28">
        <v>0</v>
      </c>
      <c r="J1081" s="28"/>
    </row>
    <row r="1082" spans="1:10" ht="15.75" customHeight="1">
      <c r="A1082" s="28">
        <v>16810</v>
      </c>
      <c r="B1082" s="91">
        <v>44889.122442129628</v>
      </c>
      <c r="C1082" s="28" t="s">
        <v>10</v>
      </c>
      <c r="D1082" s="28" t="s">
        <v>1132</v>
      </c>
      <c r="E1082" s="28" t="s">
        <v>50</v>
      </c>
      <c r="F1082" s="28">
        <v>0</v>
      </c>
      <c r="G1082" s="28" t="s">
        <v>139</v>
      </c>
      <c r="H1082" s="28">
        <v>0</v>
      </c>
      <c r="J1082" s="28"/>
    </row>
    <row r="1083" spans="1:10" ht="15.75" customHeight="1">
      <c r="A1083" s="28">
        <v>16810</v>
      </c>
      <c r="B1083" s="91">
        <v>44889.122442129628</v>
      </c>
      <c r="C1083" s="28" t="s">
        <v>10</v>
      </c>
      <c r="D1083" s="28" t="s">
        <v>1132</v>
      </c>
      <c r="E1083" s="28" t="s">
        <v>50</v>
      </c>
      <c r="F1083" s="28">
        <v>15</v>
      </c>
      <c r="G1083" s="28" t="s">
        <v>125</v>
      </c>
      <c r="H1083" s="28">
        <v>0</v>
      </c>
      <c r="J1083" s="28"/>
    </row>
    <row r="1084" spans="1:10" ht="15.75" customHeight="1">
      <c r="A1084" s="28">
        <v>16811</v>
      </c>
      <c r="B1084" s="91">
        <v>44889.146701388891</v>
      </c>
      <c r="C1084" s="28" t="s">
        <v>10</v>
      </c>
      <c r="D1084" s="28" t="s">
        <v>1131</v>
      </c>
      <c r="E1084" s="28" t="s">
        <v>50</v>
      </c>
      <c r="F1084" s="28">
        <v>0</v>
      </c>
      <c r="G1084" s="28" t="s">
        <v>139</v>
      </c>
      <c r="H1084" s="28">
        <v>0</v>
      </c>
      <c r="J1084" s="28"/>
    </row>
    <row r="1085" spans="1:10" ht="15.75" customHeight="1">
      <c r="A1085" s="28">
        <v>16811</v>
      </c>
      <c r="B1085" s="91">
        <v>44889.146701388891</v>
      </c>
      <c r="C1085" s="28" t="s">
        <v>10</v>
      </c>
      <c r="D1085" s="28" t="s">
        <v>1131</v>
      </c>
      <c r="E1085" s="28" t="s">
        <v>50</v>
      </c>
      <c r="F1085" s="28">
        <v>56</v>
      </c>
      <c r="G1085" s="28" t="s">
        <v>143</v>
      </c>
      <c r="H1085" s="28">
        <v>0</v>
      </c>
      <c r="J1085" s="28"/>
    </row>
    <row r="1086" spans="1:10" ht="15.75" customHeight="1">
      <c r="A1086" s="28">
        <v>16811</v>
      </c>
      <c r="B1086" s="91">
        <v>44889.146701388891</v>
      </c>
      <c r="C1086" s="28" t="s">
        <v>10</v>
      </c>
      <c r="D1086" s="28" t="s">
        <v>1131</v>
      </c>
      <c r="E1086" s="28" t="s">
        <v>50</v>
      </c>
      <c r="F1086" s="28">
        <v>20</v>
      </c>
      <c r="G1086" s="28" t="s">
        <v>121</v>
      </c>
      <c r="H1086" s="28">
        <v>0</v>
      </c>
      <c r="J1086" s="28"/>
    </row>
    <row r="1087" spans="1:10" ht="15.75" customHeight="1">
      <c r="A1087" s="28">
        <v>16812</v>
      </c>
      <c r="B1087" s="91">
        <v>44889.18074074074</v>
      </c>
      <c r="C1087" s="28" t="s">
        <v>10</v>
      </c>
      <c r="D1087" s="28" t="s">
        <v>1130</v>
      </c>
      <c r="E1087" s="28" t="s">
        <v>74</v>
      </c>
      <c r="F1087" s="28">
        <v>25</v>
      </c>
      <c r="G1087" s="28" t="s">
        <v>1106</v>
      </c>
      <c r="H1087" s="28">
        <v>0</v>
      </c>
      <c r="J1087" s="28"/>
    </row>
    <row r="1088" spans="1:10" ht="15.75" customHeight="1">
      <c r="A1088" s="28">
        <v>16812</v>
      </c>
      <c r="B1088" s="91">
        <v>44889.18074074074</v>
      </c>
      <c r="C1088" s="28" t="s">
        <v>10</v>
      </c>
      <c r="D1088" s="28" t="s">
        <v>1130</v>
      </c>
      <c r="E1088" s="28" t="s">
        <v>74</v>
      </c>
      <c r="F1088" s="28">
        <v>0</v>
      </c>
      <c r="G1088" s="28" t="s">
        <v>884</v>
      </c>
      <c r="H1088" s="28">
        <v>0</v>
      </c>
      <c r="J1088" s="28"/>
    </row>
    <row r="1089" spans="1:10" ht="15.75" customHeight="1">
      <c r="A1089" s="28">
        <v>16812</v>
      </c>
      <c r="B1089" s="91">
        <v>44889.18074074074</v>
      </c>
      <c r="C1089" s="28" t="s">
        <v>10</v>
      </c>
      <c r="D1089" s="28" t="s">
        <v>1130</v>
      </c>
      <c r="E1089" s="28" t="s">
        <v>74</v>
      </c>
      <c r="F1089" s="28">
        <v>0</v>
      </c>
      <c r="G1089" s="28" t="s">
        <v>882</v>
      </c>
      <c r="H1089" s="28">
        <v>0</v>
      </c>
      <c r="J1089" s="28"/>
    </row>
    <row r="1090" spans="1:10" ht="15.75" customHeight="1">
      <c r="A1090" s="28">
        <v>16815</v>
      </c>
      <c r="B1090" s="91">
        <v>44889.544664351852</v>
      </c>
      <c r="C1090" s="28" t="s">
        <v>10</v>
      </c>
      <c r="D1090" s="28" t="s">
        <v>1129</v>
      </c>
      <c r="E1090" s="28" t="s">
        <v>74</v>
      </c>
      <c r="F1090" s="28">
        <v>25</v>
      </c>
      <c r="G1090" s="28" t="s">
        <v>1106</v>
      </c>
      <c r="H1090" s="28">
        <v>0</v>
      </c>
      <c r="J1090" s="28"/>
    </row>
    <row r="1091" spans="1:10" ht="15.75" customHeight="1">
      <c r="A1091" s="28">
        <v>16815</v>
      </c>
      <c r="B1091" s="91">
        <v>44889.544664351852</v>
      </c>
      <c r="C1091" s="28" t="s">
        <v>10</v>
      </c>
      <c r="D1091" s="28" t="s">
        <v>1129</v>
      </c>
      <c r="E1091" s="28" t="s">
        <v>74</v>
      </c>
      <c r="F1091" s="28">
        <v>0</v>
      </c>
      <c r="G1091" s="28" t="s">
        <v>884</v>
      </c>
      <c r="H1091" s="28">
        <v>0</v>
      </c>
      <c r="J1091" s="28"/>
    </row>
    <row r="1092" spans="1:10" ht="15.75" customHeight="1">
      <c r="A1092" s="28">
        <v>16815</v>
      </c>
      <c r="B1092" s="91">
        <v>44889.544664351852</v>
      </c>
      <c r="C1092" s="28" t="s">
        <v>10</v>
      </c>
      <c r="D1092" s="28" t="s">
        <v>1129</v>
      </c>
      <c r="E1092" s="28" t="s">
        <v>74</v>
      </c>
      <c r="F1092" s="28">
        <v>0</v>
      </c>
      <c r="G1092" s="28" t="s">
        <v>882</v>
      </c>
      <c r="H1092" s="28">
        <v>0</v>
      </c>
      <c r="J1092" s="28"/>
    </row>
    <row r="1093" spans="1:10" ht="15.75" customHeight="1">
      <c r="A1093" s="28">
        <v>16816</v>
      </c>
      <c r="B1093" s="91">
        <v>44889.595810185187</v>
      </c>
      <c r="C1093" s="28" t="s">
        <v>10</v>
      </c>
      <c r="D1093" s="28" t="s">
        <v>1128</v>
      </c>
      <c r="E1093" s="28" t="s">
        <v>50</v>
      </c>
      <c r="F1093" s="28">
        <v>28</v>
      </c>
      <c r="G1093" s="28" t="s">
        <v>143</v>
      </c>
      <c r="H1093" s="28">
        <v>0</v>
      </c>
      <c r="J1093" s="28"/>
    </row>
    <row r="1094" spans="1:10" ht="15.75" customHeight="1">
      <c r="A1094" s="28">
        <v>16817</v>
      </c>
      <c r="B1094" s="91">
        <v>44889.81832175926</v>
      </c>
      <c r="C1094" s="28" t="s">
        <v>10</v>
      </c>
      <c r="D1094" s="28" t="s">
        <v>1127</v>
      </c>
      <c r="E1094" s="28" t="s">
        <v>50</v>
      </c>
      <c r="F1094" s="28">
        <v>0</v>
      </c>
      <c r="G1094" s="28" t="s">
        <v>139</v>
      </c>
      <c r="H1094" s="28">
        <v>0</v>
      </c>
      <c r="J1094" s="28"/>
    </row>
    <row r="1095" spans="1:10" ht="15.75" customHeight="1">
      <c r="A1095" s="28">
        <v>16817</v>
      </c>
      <c r="B1095" s="91">
        <v>44889.81832175926</v>
      </c>
      <c r="C1095" s="28" t="s">
        <v>10</v>
      </c>
      <c r="D1095" s="28" t="s">
        <v>1127</v>
      </c>
      <c r="E1095" s="28" t="s">
        <v>50</v>
      </c>
      <c r="F1095" s="28">
        <v>28</v>
      </c>
      <c r="G1095" s="28" t="s">
        <v>143</v>
      </c>
      <c r="H1095" s="28">
        <v>0</v>
      </c>
      <c r="J1095" s="28"/>
    </row>
    <row r="1096" spans="1:10" ht="15.75" customHeight="1">
      <c r="A1096" s="28">
        <v>16817</v>
      </c>
      <c r="B1096" s="91">
        <v>44889.81832175926</v>
      </c>
      <c r="C1096" s="28" t="s">
        <v>10</v>
      </c>
      <c r="D1096" s="28" t="s">
        <v>1127</v>
      </c>
      <c r="E1096" s="28" t="s">
        <v>50</v>
      </c>
      <c r="F1096" s="28">
        <v>15</v>
      </c>
      <c r="G1096" s="28" t="s">
        <v>170</v>
      </c>
      <c r="H1096" s="28">
        <v>0</v>
      </c>
      <c r="J1096" s="28"/>
    </row>
    <row r="1097" spans="1:10" ht="15.75" customHeight="1">
      <c r="A1097" s="28">
        <v>16818</v>
      </c>
      <c r="B1097" s="91">
        <v>44889.863182870366</v>
      </c>
      <c r="C1097" s="28" t="s">
        <v>10</v>
      </c>
      <c r="D1097" s="28" t="s">
        <v>1126</v>
      </c>
      <c r="E1097" s="28" t="s">
        <v>74</v>
      </c>
      <c r="F1097" s="28">
        <v>25</v>
      </c>
      <c r="G1097" s="28" t="s">
        <v>1106</v>
      </c>
      <c r="H1097" s="28">
        <v>0</v>
      </c>
      <c r="J1097" s="28"/>
    </row>
    <row r="1098" spans="1:10" ht="15.75" customHeight="1">
      <c r="A1098" s="28">
        <v>16818</v>
      </c>
      <c r="B1098" s="91">
        <v>44889.863182870366</v>
      </c>
      <c r="C1098" s="28" t="s">
        <v>10</v>
      </c>
      <c r="D1098" s="28" t="s">
        <v>1126</v>
      </c>
      <c r="E1098" s="28" t="s">
        <v>74</v>
      </c>
      <c r="F1098" s="28">
        <v>0</v>
      </c>
      <c r="G1098" s="28" t="s">
        <v>884</v>
      </c>
      <c r="H1098" s="28">
        <v>0</v>
      </c>
      <c r="J1098" s="28"/>
    </row>
    <row r="1099" spans="1:10" ht="15.75" customHeight="1">
      <c r="A1099" s="28">
        <v>16818</v>
      </c>
      <c r="B1099" s="91">
        <v>44889.863182870366</v>
      </c>
      <c r="C1099" s="28" t="s">
        <v>10</v>
      </c>
      <c r="D1099" s="28" t="s">
        <v>1126</v>
      </c>
      <c r="E1099" s="28" t="s">
        <v>74</v>
      </c>
      <c r="F1099" s="28">
        <v>0</v>
      </c>
      <c r="G1099" s="28" t="s">
        <v>882</v>
      </c>
      <c r="H1099" s="28">
        <v>0</v>
      </c>
      <c r="J1099" s="28"/>
    </row>
    <row r="1100" spans="1:10" ht="15.75" customHeight="1">
      <c r="A1100" s="28">
        <v>16819</v>
      </c>
      <c r="B1100" s="91">
        <v>44889.911226851851</v>
      </c>
      <c r="C1100" s="28" t="s">
        <v>10</v>
      </c>
      <c r="D1100" s="28" t="s">
        <v>1125</v>
      </c>
      <c r="E1100" s="28" t="s">
        <v>74</v>
      </c>
      <c r="F1100" s="28">
        <v>25</v>
      </c>
      <c r="G1100" s="28" t="s">
        <v>1106</v>
      </c>
      <c r="H1100" s="28">
        <v>0</v>
      </c>
      <c r="J1100" s="28"/>
    </row>
    <row r="1101" spans="1:10" ht="15.75" customHeight="1">
      <c r="A1101" s="28">
        <v>16819</v>
      </c>
      <c r="B1101" s="91">
        <v>44889.911226851851</v>
      </c>
      <c r="C1101" s="28" t="s">
        <v>10</v>
      </c>
      <c r="D1101" s="28" t="s">
        <v>1125</v>
      </c>
      <c r="E1101" s="28" t="s">
        <v>74</v>
      </c>
      <c r="F1101" s="28">
        <v>0</v>
      </c>
      <c r="G1101" s="28" t="s">
        <v>884</v>
      </c>
      <c r="H1101" s="28">
        <v>0</v>
      </c>
      <c r="J1101" s="28"/>
    </row>
    <row r="1102" spans="1:10" ht="15.75" customHeight="1">
      <c r="A1102" s="28">
        <v>16819</v>
      </c>
      <c r="B1102" s="91">
        <v>44889.911226851851</v>
      </c>
      <c r="C1102" s="28" t="s">
        <v>10</v>
      </c>
      <c r="D1102" s="28" t="s">
        <v>1125</v>
      </c>
      <c r="E1102" s="28" t="s">
        <v>74</v>
      </c>
      <c r="F1102" s="28">
        <v>0</v>
      </c>
      <c r="G1102" s="28" t="s">
        <v>882</v>
      </c>
      <c r="H1102" s="28">
        <v>0</v>
      </c>
      <c r="J1102" s="28"/>
    </row>
    <row r="1103" spans="1:10" ht="15.75" customHeight="1">
      <c r="A1103" s="28">
        <v>16820</v>
      </c>
      <c r="B1103" s="91">
        <v>44889.990624999999</v>
      </c>
      <c r="C1103" s="28" t="s">
        <v>10</v>
      </c>
      <c r="D1103" s="28" t="s">
        <v>1124</v>
      </c>
      <c r="E1103" s="28" t="s">
        <v>74</v>
      </c>
      <c r="F1103" s="28">
        <v>25</v>
      </c>
      <c r="G1103" s="28" t="s">
        <v>1106</v>
      </c>
      <c r="H1103" s="28">
        <v>0</v>
      </c>
      <c r="J1103" s="28"/>
    </row>
    <row r="1104" spans="1:10" ht="15.75" customHeight="1">
      <c r="A1104" s="28">
        <v>16820</v>
      </c>
      <c r="B1104" s="91">
        <v>44889.990624999999</v>
      </c>
      <c r="C1104" s="28" t="s">
        <v>10</v>
      </c>
      <c r="D1104" s="28" t="s">
        <v>1124</v>
      </c>
      <c r="E1104" s="28" t="s">
        <v>74</v>
      </c>
      <c r="F1104" s="28">
        <v>0</v>
      </c>
      <c r="G1104" s="28" t="s">
        <v>884</v>
      </c>
      <c r="H1104" s="28">
        <v>0</v>
      </c>
      <c r="J1104" s="28"/>
    </row>
    <row r="1105" spans="1:10" ht="15.75" customHeight="1">
      <c r="A1105" s="28">
        <v>16820</v>
      </c>
      <c r="B1105" s="91">
        <v>44889.990624999999</v>
      </c>
      <c r="C1105" s="28" t="s">
        <v>10</v>
      </c>
      <c r="D1105" s="28" t="s">
        <v>1124</v>
      </c>
      <c r="E1105" s="28" t="s">
        <v>74</v>
      </c>
      <c r="F1105" s="28">
        <v>0</v>
      </c>
      <c r="G1105" s="28" t="s">
        <v>882</v>
      </c>
      <c r="H1105" s="28">
        <v>0</v>
      </c>
      <c r="J1105" s="28"/>
    </row>
    <row r="1106" spans="1:10" ht="15.75" customHeight="1">
      <c r="A1106" s="28">
        <v>16821</v>
      </c>
      <c r="B1106" s="91">
        <v>44889.992835648147</v>
      </c>
      <c r="C1106" s="28" t="s">
        <v>10</v>
      </c>
      <c r="D1106" s="28" t="s">
        <v>1123</v>
      </c>
      <c r="E1106" s="28" t="s">
        <v>74</v>
      </c>
      <c r="F1106" s="28">
        <v>25</v>
      </c>
      <c r="G1106" s="28" t="s">
        <v>1106</v>
      </c>
      <c r="H1106" s="28">
        <v>0</v>
      </c>
      <c r="J1106" s="28"/>
    </row>
    <row r="1107" spans="1:10" ht="15.75" customHeight="1">
      <c r="A1107" s="28">
        <v>16821</v>
      </c>
      <c r="B1107" s="91">
        <v>44889.992835648147</v>
      </c>
      <c r="C1107" s="28" t="s">
        <v>10</v>
      </c>
      <c r="D1107" s="28" t="s">
        <v>1123</v>
      </c>
      <c r="E1107" s="28" t="s">
        <v>74</v>
      </c>
      <c r="F1107" s="28">
        <v>0</v>
      </c>
      <c r="G1107" s="28" t="s">
        <v>884</v>
      </c>
      <c r="H1107" s="28">
        <v>0</v>
      </c>
      <c r="J1107" s="28"/>
    </row>
    <row r="1108" spans="1:10" ht="15.75" customHeight="1">
      <c r="A1108" s="28">
        <v>16821</v>
      </c>
      <c r="B1108" s="91">
        <v>44889.992835648147</v>
      </c>
      <c r="C1108" s="28" t="s">
        <v>10</v>
      </c>
      <c r="D1108" s="28" t="s">
        <v>1123</v>
      </c>
      <c r="E1108" s="28" t="s">
        <v>74</v>
      </c>
      <c r="F1108" s="28">
        <v>0</v>
      </c>
      <c r="G1108" s="28" t="s">
        <v>882</v>
      </c>
      <c r="H1108" s="28">
        <v>0</v>
      </c>
      <c r="J1108" s="28"/>
    </row>
    <row r="1109" spans="1:10" ht="15.75" customHeight="1">
      <c r="A1109" s="28">
        <v>16822</v>
      </c>
      <c r="B1109" s="91">
        <v>44889.993611111116</v>
      </c>
      <c r="C1109" s="28" t="s">
        <v>10</v>
      </c>
      <c r="D1109" s="28" t="s">
        <v>1122</v>
      </c>
      <c r="E1109" s="28" t="s">
        <v>74</v>
      </c>
      <c r="F1109" s="28">
        <v>25</v>
      </c>
      <c r="G1109" s="28" t="s">
        <v>1106</v>
      </c>
      <c r="H1109" s="28">
        <v>0</v>
      </c>
      <c r="J1109" s="28"/>
    </row>
    <row r="1110" spans="1:10" ht="15.75" customHeight="1">
      <c r="A1110" s="28">
        <v>16822</v>
      </c>
      <c r="B1110" s="91">
        <v>44889.993611111116</v>
      </c>
      <c r="C1110" s="28" t="s">
        <v>10</v>
      </c>
      <c r="D1110" s="28" t="s">
        <v>1122</v>
      </c>
      <c r="E1110" s="28" t="s">
        <v>74</v>
      </c>
      <c r="F1110" s="28">
        <v>0</v>
      </c>
      <c r="G1110" s="28" t="s">
        <v>884</v>
      </c>
      <c r="H1110" s="28">
        <v>0</v>
      </c>
      <c r="J1110" s="28"/>
    </row>
    <row r="1111" spans="1:10" ht="15.75" customHeight="1">
      <c r="A1111" s="28">
        <v>16822</v>
      </c>
      <c r="B1111" s="91">
        <v>44889.993611111116</v>
      </c>
      <c r="C1111" s="28" t="s">
        <v>10</v>
      </c>
      <c r="D1111" s="28" t="s">
        <v>1122</v>
      </c>
      <c r="E1111" s="28" t="s">
        <v>74</v>
      </c>
      <c r="F1111" s="28">
        <v>0</v>
      </c>
      <c r="G1111" s="28" t="s">
        <v>882</v>
      </c>
      <c r="H1111" s="28">
        <v>0</v>
      </c>
      <c r="J1111" s="28"/>
    </row>
    <row r="1112" spans="1:10" ht="15.75" customHeight="1">
      <c r="A1112" s="28">
        <v>16823</v>
      </c>
      <c r="B1112" s="91">
        <v>44890.024907407409</v>
      </c>
      <c r="C1112" s="28" t="s">
        <v>10</v>
      </c>
      <c r="D1112" s="28" t="s">
        <v>1121</v>
      </c>
      <c r="E1112" s="28" t="s">
        <v>74</v>
      </c>
      <c r="F1112" s="28">
        <v>25</v>
      </c>
      <c r="G1112" s="28" t="s">
        <v>1106</v>
      </c>
      <c r="H1112" s="28">
        <v>0</v>
      </c>
      <c r="J1112" s="28"/>
    </row>
    <row r="1113" spans="1:10" ht="15.75" customHeight="1">
      <c r="A1113" s="28">
        <v>16823</v>
      </c>
      <c r="B1113" s="91">
        <v>44890.024907407409</v>
      </c>
      <c r="C1113" s="28" t="s">
        <v>10</v>
      </c>
      <c r="D1113" s="28" t="s">
        <v>1121</v>
      </c>
      <c r="E1113" s="28" t="s">
        <v>74</v>
      </c>
      <c r="F1113" s="28">
        <v>0</v>
      </c>
      <c r="G1113" s="28" t="s">
        <v>884</v>
      </c>
      <c r="H1113" s="28">
        <v>0</v>
      </c>
      <c r="J1113" s="28"/>
    </row>
    <row r="1114" spans="1:10" ht="15.75" customHeight="1">
      <c r="A1114" s="28">
        <v>16823</v>
      </c>
      <c r="B1114" s="91">
        <v>44890.024907407409</v>
      </c>
      <c r="C1114" s="28" t="s">
        <v>10</v>
      </c>
      <c r="D1114" s="28" t="s">
        <v>1121</v>
      </c>
      <c r="E1114" s="28" t="s">
        <v>74</v>
      </c>
      <c r="F1114" s="28">
        <v>0</v>
      </c>
      <c r="G1114" s="28" t="s">
        <v>882</v>
      </c>
      <c r="H1114" s="28">
        <v>0</v>
      </c>
      <c r="J1114" s="28"/>
    </row>
    <row r="1115" spans="1:10" ht="15.75" customHeight="1">
      <c r="A1115" s="28">
        <v>16824</v>
      </c>
      <c r="B1115" s="91">
        <v>44890.02715277778</v>
      </c>
      <c r="C1115" s="28" t="s">
        <v>10</v>
      </c>
      <c r="D1115" s="28" t="s">
        <v>151</v>
      </c>
      <c r="E1115" s="28" t="s">
        <v>74</v>
      </c>
      <c r="F1115" s="28">
        <v>25</v>
      </c>
      <c r="G1115" s="28" t="s">
        <v>1106</v>
      </c>
      <c r="H1115" s="28">
        <v>0</v>
      </c>
      <c r="J1115" s="28"/>
    </row>
    <row r="1116" spans="1:10" ht="15.75" customHeight="1">
      <c r="A1116" s="28">
        <v>16824</v>
      </c>
      <c r="B1116" s="91">
        <v>44890.02715277778</v>
      </c>
      <c r="C1116" s="28" t="s">
        <v>10</v>
      </c>
      <c r="D1116" s="28" t="s">
        <v>151</v>
      </c>
      <c r="E1116" s="28" t="s">
        <v>74</v>
      </c>
      <c r="F1116" s="28">
        <v>0</v>
      </c>
      <c r="G1116" s="28" t="s">
        <v>884</v>
      </c>
      <c r="H1116" s="28">
        <v>0</v>
      </c>
      <c r="J1116" s="28"/>
    </row>
    <row r="1117" spans="1:10" ht="15.75" customHeight="1">
      <c r="A1117" s="28">
        <v>16824</v>
      </c>
      <c r="B1117" s="91">
        <v>44890.02715277778</v>
      </c>
      <c r="C1117" s="28" t="s">
        <v>10</v>
      </c>
      <c r="D1117" s="28" t="s">
        <v>151</v>
      </c>
      <c r="E1117" s="28" t="s">
        <v>74</v>
      </c>
      <c r="F1117" s="28">
        <v>0</v>
      </c>
      <c r="G1117" s="28" t="s">
        <v>882</v>
      </c>
      <c r="H1117" s="28">
        <v>0</v>
      </c>
      <c r="J1117" s="28"/>
    </row>
    <row r="1118" spans="1:10" ht="15.75" customHeight="1">
      <c r="A1118" s="28">
        <v>16825</v>
      </c>
      <c r="B1118" s="91">
        <v>44890.099166666667</v>
      </c>
      <c r="C1118" s="28" t="s">
        <v>10</v>
      </c>
      <c r="D1118" s="28" t="s">
        <v>1120</v>
      </c>
      <c r="E1118" s="28" t="s">
        <v>50</v>
      </c>
      <c r="F1118" s="28">
        <v>55</v>
      </c>
      <c r="G1118" s="28">
        <v>101684</v>
      </c>
      <c r="H1118" s="28">
        <v>0</v>
      </c>
      <c r="J1118" s="28"/>
    </row>
    <row r="1119" spans="1:10" ht="15.75" customHeight="1">
      <c r="A1119" s="28">
        <v>16825</v>
      </c>
      <c r="B1119" s="91">
        <v>44890.099166666667</v>
      </c>
      <c r="C1119" s="28" t="s">
        <v>10</v>
      </c>
      <c r="D1119" s="28" t="s">
        <v>1120</v>
      </c>
      <c r="E1119" s="28" t="s">
        <v>50</v>
      </c>
      <c r="F1119" s="28">
        <v>0</v>
      </c>
      <c r="G1119" s="28" t="s">
        <v>118</v>
      </c>
      <c r="H1119" s="28">
        <v>0</v>
      </c>
      <c r="J1119" s="28"/>
    </row>
    <row r="1120" spans="1:10" ht="15.75" customHeight="1">
      <c r="A1120" s="28">
        <v>16825</v>
      </c>
      <c r="B1120" s="91">
        <v>44890.099166666667</v>
      </c>
      <c r="C1120" s="28" t="s">
        <v>10</v>
      </c>
      <c r="D1120" s="28" t="s">
        <v>1120</v>
      </c>
      <c r="E1120" s="28" t="s">
        <v>50</v>
      </c>
      <c r="F1120" s="28">
        <v>0</v>
      </c>
      <c r="G1120" s="28" t="s">
        <v>119</v>
      </c>
      <c r="H1120" s="28">
        <v>0</v>
      </c>
      <c r="J1120" s="28"/>
    </row>
    <row r="1121" spans="1:10" ht="15.75" customHeight="1">
      <c r="A1121" s="28">
        <v>16825</v>
      </c>
      <c r="B1121" s="91">
        <v>44890.099166666667</v>
      </c>
      <c r="C1121" s="28" t="s">
        <v>10</v>
      </c>
      <c r="D1121" s="28" t="s">
        <v>1120</v>
      </c>
      <c r="E1121" s="28" t="s">
        <v>50</v>
      </c>
      <c r="F1121" s="28">
        <v>0</v>
      </c>
      <c r="G1121" s="28" t="s">
        <v>120</v>
      </c>
      <c r="H1121" s="28">
        <v>0</v>
      </c>
      <c r="J1121" s="28"/>
    </row>
    <row r="1122" spans="1:10" ht="15.75" customHeight="1">
      <c r="A1122" s="28">
        <v>16825</v>
      </c>
      <c r="B1122" s="91">
        <v>44890.099166666667</v>
      </c>
      <c r="C1122" s="28" t="s">
        <v>10</v>
      </c>
      <c r="D1122" s="28" t="s">
        <v>1120</v>
      </c>
      <c r="E1122" s="28" t="s">
        <v>50</v>
      </c>
      <c r="F1122" s="28">
        <v>0</v>
      </c>
      <c r="G1122" s="28" t="s">
        <v>121</v>
      </c>
      <c r="H1122" s="28">
        <v>0</v>
      </c>
      <c r="J1122" s="28"/>
    </row>
    <row r="1123" spans="1:10" ht="15.75" customHeight="1">
      <c r="A1123" s="28">
        <v>16825</v>
      </c>
      <c r="B1123" s="91">
        <v>44890.099166666667</v>
      </c>
      <c r="C1123" s="28" t="s">
        <v>10</v>
      </c>
      <c r="D1123" s="28" t="s">
        <v>1120</v>
      </c>
      <c r="E1123" s="28" t="s">
        <v>50</v>
      </c>
      <c r="F1123" s="28">
        <v>24</v>
      </c>
      <c r="G1123" s="28" t="s">
        <v>122</v>
      </c>
      <c r="H1123" s="28">
        <v>0</v>
      </c>
      <c r="J1123" s="28"/>
    </row>
    <row r="1124" spans="1:10" ht="15.75" customHeight="1">
      <c r="A1124" s="28">
        <v>16826</v>
      </c>
      <c r="B1124" s="91">
        <v>44890.118692129632</v>
      </c>
      <c r="C1124" s="28" t="s">
        <v>10</v>
      </c>
      <c r="D1124" s="28" t="s">
        <v>1119</v>
      </c>
      <c r="E1124" s="28" t="s">
        <v>50</v>
      </c>
      <c r="F1124" s="28">
        <v>0</v>
      </c>
      <c r="G1124" s="28" t="s">
        <v>139</v>
      </c>
      <c r="H1124" s="28">
        <v>0</v>
      </c>
      <c r="J1124" s="28"/>
    </row>
    <row r="1125" spans="1:10" ht="15.75" customHeight="1">
      <c r="A1125" s="28">
        <v>16826</v>
      </c>
      <c r="B1125" s="91">
        <v>44890.118692129632</v>
      </c>
      <c r="C1125" s="28" t="s">
        <v>10</v>
      </c>
      <c r="D1125" s="28" t="s">
        <v>1119</v>
      </c>
      <c r="E1125" s="28" t="s">
        <v>50</v>
      </c>
      <c r="F1125" s="28">
        <v>15</v>
      </c>
      <c r="G1125" s="28" t="s">
        <v>125</v>
      </c>
      <c r="H1125" s="28">
        <v>0</v>
      </c>
      <c r="J1125" s="28"/>
    </row>
    <row r="1126" spans="1:10" ht="15.75" customHeight="1">
      <c r="A1126" s="28">
        <v>16826</v>
      </c>
      <c r="B1126" s="91">
        <v>44890.118692129632</v>
      </c>
      <c r="C1126" s="28" t="s">
        <v>10</v>
      </c>
      <c r="D1126" s="28" t="s">
        <v>1119</v>
      </c>
      <c r="E1126" s="28" t="s">
        <v>50</v>
      </c>
      <c r="F1126" s="28">
        <v>15</v>
      </c>
      <c r="G1126" s="28"/>
      <c r="H1126" s="28">
        <v>0</v>
      </c>
      <c r="J1126" s="28"/>
    </row>
    <row r="1127" spans="1:10" ht="15.75" customHeight="1">
      <c r="A1127" s="28">
        <v>16826</v>
      </c>
      <c r="B1127" s="91">
        <v>44890.118692129632</v>
      </c>
      <c r="C1127" s="28" t="s">
        <v>10</v>
      </c>
      <c r="D1127" s="28" t="s">
        <v>1119</v>
      </c>
      <c r="E1127" s="28" t="s">
        <v>50</v>
      </c>
      <c r="F1127" s="28">
        <v>56</v>
      </c>
      <c r="G1127" s="28" t="s">
        <v>143</v>
      </c>
      <c r="H1127" s="28">
        <v>0</v>
      </c>
      <c r="J1127" s="28"/>
    </row>
    <row r="1128" spans="1:10" ht="15.75" customHeight="1">
      <c r="A1128" s="28">
        <v>16832</v>
      </c>
      <c r="B1128" s="91">
        <v>44890.688912037032</v>
      </c>
      <c r="C1128" s="28" t="s">
        <v>10</v>
      </c>
      <c r="D1128" s="28" t="s">
        <v>1118</v>
      </c>
      <c r="E1128" s="28" t="s">
        <v>50</v>
      </c>
      <c r="F1128" s="28">
        <v>25</v>
      </c>
      <c r="G1128" s="28">
        <v>100692</v>
      </c>
      <c r="H1128" s="28">
        <v>0</v>
      </c>
      <c r="J1128" s="28"/>
    </row>
    <row r="1129" spans="1:10" ht="15.75" customHeight="1">
      <c r="A1129" s="28">
        <v>16832</v>
      </c>
      <c r="B1129" s="91">
        <v>44890.688912037032</v>
      </c>
      <c r="C1129" s="28" t="s">
        <v>10</v>
      </c>
      <c r="D1129" s="28" t="s">
        <v>1118</v>
      </c>
      <c r="E1129" s="28" t="s">
        <v>50</v>
      </c>
      <c r="F1129" s="28">
        <v>0</v>
      </c>
      <c r="G1129" s="28" t="s">
        <v>125</v>
      </c>
      <c r="H1129" s="28">
        <v>0</v>
      </c>
      <c r="J1129" s="28"/>
    </row>
    <row r="1130" spans="1:10" ht="15.75" customHeight="1">
      <c r="A1130" s="28">
        <v>16832</v>
      </c>
      <c r="B1130" s="91">
        <v>44890.688912037032</v>
      </c>
      <c r="C1130" s="28" t="s">
        <v>10</v>
      </c>
      <c r="D1130" s="28" t="s">
        <v>1118</v>
      </c>
      <c r="E1130" s="28" t="s">
        <v>50</v>
      </c>
      <c r="F1130" s="28">
        <v>0</v>
      </c>
      <c r="G1130" s="28" t="s">
        <v>119</v>
      </c>
      <c r="H1130" s="28">
        <v>0</v>
      </c>
      <c r="J1130" s="28"/>
    </row>
    <row r="1131" spans="1:10" ht="15.75" customHeight="1">
      <c r="A1131" s="28">
        <v>16833</v>
      </c>
      <c r="B1131" s="91">
        <v>44890.786296296297</v>
      </c>
      <c r="C1131" s="28" t="s">
        <v>10</v>
      </c>
      <c r="D1131" s="28" t="s">
        <v>1117</v>
      </c>
      <c r="E1131" s="28" t="s">
        <v>50</v>
      </c>
      <c r="F1131" s="28">
        <v>70</v>
      </c>
      <c r="G1131" s="28" t="s">
        <v>124</v>
      </c>
      <c r="H1131" s="28">
        <v>0</v>
      </c>
      <c r="J1131" s="28"/>
    </row>
    <row r="1132" spans="1:10" ht="15.75" customHeight="1">
      <c r="A1132" s="28">
        <v>16833</v>
      </c>
      <c r="B1132" s="91">
        <v>44890.786296296297</v>
      </c>
      <c r="C1132" s="28" t="s">
        <v>10</v>
      </c>
      <c r="D1132" s="28" t="s">
        <v>1117</v>
      </c>
      <c r="E1132" s="28" t="s">
        <v>50</v>
      </c>
      <c r="F1132" s="28">
        <v>0</v>
      </c>
      <c r="G1132" s="28" t="s">
        <v>125</v>
      </c>
      <c r="H1132" s="28">
        <v>0</v>
      </c>
      <c r="J1132" s="28"/>
    </row>
    <row r="1133" spans="1:10" ht="15.75" customHeight="1">
      <c r="A1133" s="28">
        <v>16833</v>
      </c>
      <c r="B1133" s="91">
        <v>44890.786296296297</v>
      </c>
      <c r="C1133" s="28" t="s">
        <v>10</v>
      </c>
      <c r="D1133" s="28" t="s">
        <v>1117</v>
      </c>
      <c r="E1133" s="28" t="s">
        <v>50</v>
      </c>
      <c r="F1133" s="28">
        <v>0</v>
      </c>
      <c r="G1133" s="28" t="s">
        <v>121</v>
      </c>
      <c r="H1133" s="28">
        <v>0</v>
      </c>
      <c r="J1133" s="28"/>
    </row>
    <row r="1134" spans="1:10" ht="15.75" customHeight="1">
      <c r="A1134" s="28">
        <v>16833</v>
      </c>
      <c r="B1134" s="91">
        <v>44890.786296296297</v>
      </c>
      <c r="C1134" s="28" t="s">
        <v>10</v>
      </c>
      <c r="D1134" s="28" t="s">
        <v>1117</v>
      </c>
      <c r="E1134" s="28" t="s">
        <v>50</v>
      </c>
      <c r="F1134" s="28">
        <v>0</v>
      </c>
      <c r="G1134" s="28" t="s">
        <v>119</v>
      </c>
      <c r="H1134" s="28">
        <v>0</v>
      </c>
      <c r="J1134" s="28"/>
    </row>
    <row r="1135" spans="1:10" ht="15.75" customHeight="1">
      <c r="A1135" s="28">
        <v>16833</v>
      </c>
      <c r="B1135" s="91">
        <v>44890.786296296297</v>
      </c>
      <c r="C1135" s="28" t="s">
        <v>10</v>
      </c>
      <c r="D1135" s="28" t="s">
        <v>1117</v>
      </c>
      <c r="E1135" s="28" t="s">
        <v>50</v>
      </c>
      <c r="F1135" s="28">
        <v>20</v>
      </c>
      <c r="G1135" s="28" t="s">
        <v>205</v>
      </c>
      <c r="H1135" s="28">
        <v>0</v>
      </c>
      <c r="J1135" s="28"/>
    </row>
    <row r="1136" spans="1:10" ht="15.75" customHeight="1">
      <c r="A1136" s="28">
        <v>16833</v>
      </c>
      <c r="B1136" s="91">
        <v>44890.786296296297</v>
      </c>
      <c r="C1136" s="28" t="s">
        <v>10</v>
      </c>
      <c r="D1136" s="28" t="s">
        <v>1117</v>
      </c>
      <c r="E1136" s="28" t="s">
        <v>50</v>
      </c>
      <c r="F1136" s="28">
        <v>0</v>
      </c>
      <c r="G1136" s="28" t="s">
        <v>125</v>
      </c>
      <c r="H1136" s="28">
        <v>0</v>
      </c>
      <c r="J1136" s="28"/>
    </row>
    <row r="1137" spans="1:10" ht="15.75" customHeight="1">
      <c r="A1137" s="28">
        <v>16833</v>
      </c>
      <c r="B1137" s="91">
        <v>44890.786296296297</v>
      </c>
      <c r="C1137" s="28" t="s">
        <v>10</v>
      </c>
      <c r="D1137" s="28" t="s">
        <v>1117</v>
      </c>
      <c r="E1137" s="28" t="s">
        <v>50</v>
      </c>
      <c r="F1137" s="28">
        <v>0</v>
      </c>
      <c r="G1137" s="28" t="s">
        <v>139</v>
      </c>
      <c r="H1137" s="28">
        <v>0</v>
      </c>
      <c r="J1137" s="28"/>
    </row>
    <row r="1138" spans="1:10" ht="15.75" customHeight="1">
      <c r="A1138" s="28">
        <v>16834</v>
      </c>
      <c r="B1138" s="91">
        <v>44890.833807870367</v>
      </c>
      <c r="C1138" s="28" t="s">
        <v>10</v>
      </c>
      <c r="D1138" s="28" t="s">
        <v>149</v>
      </c>
      <c r="E1138" s="28" t="s">
        <v>74</v>
      </c>
      <c r="F1138" s="28">
        <v>25</v>
      </c>
      <c r="G1138" s="28" t="s">
        <v>1106</v>
      </c>
      <c r="H1138" s="28">
        <v>0</v>
      </c>
      <c r="J1138" s="28"/>
    </row>
    <row r="1139" spans="1:10" ht="15.75" customHeight="1">
      <c r="A1139" s="28">
        <v>16834</v>
      </c>
      <c r="B1139" s="91">
        <v>44890.833807870367</v>
      </c>
      <c r="C1139" s="28" t="s">
        <v>10</v>
      </c>
      <c r="D1139" s="28" t="s">
        <v>149</v>
      </c>
      <c r="E1139" s="28" t="s">
        <v>74</v>
      </c>
      <c r="F1139" s="28">
        <v>0</v>
      </c>
      <c r="G1139" s="28" t="s">
        <v>884</v>
      </c>
      <c r="H1139" s="28">
        <v>0</v>
      </c>
      <c r="J1139" s="28"/>
    </row>
    <row r="1140" spans="1:10" ht="15.75" customHeight="1">
      <c r="A1140" s="28">
        <v>16834</v>
      </c>
      <c r="B1140" s="91">
        <v>44890.833807870367</v>
      </c>
      <c r="C1140" s="28" t="s">
        <v>10</v>
      </c>
      <c r="D1140" s="28" t="s">
        <v>149</v>
      </c>
      <c r="E1140" s="28" t="s">
        <v>74</v>
      </c>
      <c r="F1140" s="28">
        <v>0</v>
      </c>
      <c r="G1140" s="28" t="s">
        <v>882</v>
      </c>
      <c r="H1140" s="28">
        <v>0</v>
      </c>
      <c r="J1140" s="28"/>
    </row>
    <row r="1141" spans="1:10" ht="15.75" customHeight="1">
      <c r="A1141" s="28">
        <v>16835</v>
      </c>
      <c r="B1141" s="91">
        <v>44890.892060185186</v>
      </c>
      <c r="C1141" s="28" t="s">
        <v>10</v>
      </c>
      <c r="D1141" s="28" t="s">
        <v>1116</v>
      </c>
      <c r="E1141" s="28" t="s">
        <v>50</v>
      </c>
      <c r="F1141" s="28">
        <v>25</v>
      </c>
      <c r="G1141" s="28">
        <v>100692</v>
      </c>
      <c r="H1141" s="28">
        <v>0</v>
      </c>
      <c r="J1141" s="28"/>
    </row>
    <row r="1142" spans="1:10" ht="15.75" customHeight="1">
      <c r="A1142" s="28">
        <v>16835</v>
      </c>
      <c r="B1142" s="91">
        <v>44890.892060185186</v>
      </c>
      <c r="C1142" s="28" t="s">
        <v>10</v>
      </c>
      <c r="D1142" s="28" t="s">
        <v>1116</v>
      </c>
      <c r="E1142" s="28" t="s">
        <v>50</v>
      </c>
      <c r="F1142" s="28">
        <v>0</v>
      </c>
      <c r="G1142" s="28" t="s">
        <v>125</v>
      </c>
      <c r="H1142" s="28">
        <v>0</v>
      </c>
      <c r="J1142" s="28"/>
    </row>
    <row r="1143" spans="1:10" ht="15.75" customHeight="1">
      <c r="A1143" s="28">
        <v>16835</v>
      </c>
      <c r="B1143" s="91">
        <v>44890.892060185186</v>
      </c>
      <c r="C1143" s="28" t="s">
        <v>10</v>
      </c>
      <c r="D1143" s="28" t="s">
        <v>1116</v>
      </c>
      <c r="E1143" s="28" t="s">
        <v>50</v>
      </c>
      <c r="F1143" s="28">
        <v>0</v>
      </c>
      <c r="G1143" s="28" t="s">
        <v>119</v>
      </c>
      <c r="H1143" s="28">
        <v>0</v>
      </c>
      <c r="J1143" s="28"/>
    </row>
    <row r="1144" spans="1:10" ht="15.75" customHeight="1">
      <c r="A1144" s="28">
        <v>16836</v>
      </c>
      <c r="B1144" s="91">
        <v>44890.898483796293</v>
      </c>
      <c r="C1144" s="28" t="s">
        <v>10</v>
      </c>
      <c r="D1144" s="28" t="s">
        <v>1115</v>
      </c>
      <c r="E1144" s="28" t="s">
        <v>50</v>
      </c>
      <c r="F1144" s="28">
        <v>25</v>
      </c>
      <c r="G1144" s="28">
        <v>100692</v>
      </c>
      <c r="H1144" s="28">
        <v>0</v>
      </c>
      <c r="J1144" s="28"/>
    </row>
    <row r="1145" spans="1:10" ht="15.75" customHeight="1">
      <c r="A1145" s="28">
        <v>16836</v>
      </c>
      <c r="B1145" s="91">
        <v>44890.898483796293</v>
      </c>
      <c r="C1145" s="28" t="s">
        <v>10</v>
      </c>
      <c r="D1145" s="28" t="s">
        <v>1115</v>
      </c>
      <c r="E1145" s="28" t="s">
        <v>50</v>
      </c>
      <c r="F1145" s="28">
        <v>0</v>
      </c>
      <c r="G1145" s="28" t="s">
        <v>125</v>
      </c>
      <c r="H1145" s="28">
        <v>0</v>
      </c>
      <c r="J1145" s="28"/>
    </row>
    <row r="1146" spans="1:10" ht="15.75" customHeight="1">
      <c r="A1146" s="28">
        <v>16836</v>
      </c>
      <c r="B1146" s="91">
        <v>44890.898483796293</v>
      </c>
      <c r="C1146" s="28" t="s">
        <v>10</v>
      </c>
      <c r="D1146" s="28" t="s">
        <v>1115</v>
      </c>
      <c r="E1146" s="28" t="s">
        <v>50</v>
      </c>
      <c r="F1146" s="28">
        <v>0</v>
      </c>
      <c r="G1146" s="28" t="s">
        <v>119</v>
      </c>
      <c r="H1146" s="28">
        <v>0</v>
      </c>
      <c r="J1146" s="28"/>
    </row>
    <row r="1147" spans="1:10" ht="15.75" customHeight="1">
      <c r="A1147" s="28">
        <v>16837</v>
      </c>
      <c r="B1147" s="91">
        <v>44891.803622685184</v>
      </c>
      <c r="C1147" s="28" t="s">
        <v>10</v>
      </c>
      <c r="D1147" s="28" t="s">
        <v>1114</v>
      </c>
      <c r="E1147" s="28"/>
      <c r="F1147" s="28">
        <v>25</v>
      </c>
      <c r="G1147" s="28">
        <v>100692</v>
      </c>
      <c r="H1147" s="28">
        <v>0</v>
      </c>
      <c r="J1147" s="28"/>
    </row>
    <row r="1148" spans="1:10" ht="15.75" customHeight="1">
      <c r="A1148" s="28">
        <v>16837</v>
      </c>
      <c r="B1148" s="91">
        <v>44891.803622685184</v>
      </c>
      <c r="C1148" s="28" t="s">
        <v>10</v>
      </c>
      <c r="D1148" s="28" t="s">
        <v>1114</v>
      </c>
      <c r="E1148" s="28"/>
      <c r="F1148" s="28">
        <v>0</v>
      </c>
      <c r="G1148" s="28" t="s">
        <v>125</v>
      </c>
      <c r="H1148" s="28">
        <v>0</v>
      </c>
      <c r="J1148" s="28"/>
    </row>
    <row r="1149" spans="1:10" ht="15.75" customHeight="1">
      <c r="A1149" s="28">
        <v>16837</v>
      </c>
      <c r="B1149" s="91">
        <v>44891.803622685184</v>
      </c>
      <c r="C1149" s="28" t="s">
        <v>10</v>
      </c>
      <c r="D1149" s="28" t="s">
        <v>1114</v>
      </c>
      <c r="E1149" s="28"/>
      <c r="F1149" s="28">
        <v>0</v>
      </c>
      <c r="G1149" s="28" t="s">
        <v>119</v>
      </c>
      <c r="H1149" s="28">
        <v>0</v>
      </c>
      <c r="J1149" s="28"/>
    </row>
    <row r="1150" spans="1:10" ht="15.75" customHeight="1">
      <c r="A1150" s="28">
        <v>16837</v>
      </c>
      <c r="B1150" s="91">
        <v>44891.803622685184</v>
      </c>
      <c r="C1150" s="28" t="s">
        <v>10</v>
      </c>
      <c r="D1150" s="28" t="s">
        <v>1114</v>
      </c>
      <c r="E1150" s="28"/>
      <c r="F1150" s="28">
        <v>22</v>
      </c>
      <c r="G1150" s="28" t="s">
        <v>137</v>
      </c>
      <c r="H1150" s="28">
        <v>0</v>
      </c>
      <c r="J1150" s="28"/>
    </row>
    <row r="1151" spans="1:10" ht="15.75" customHeight="1">
      <c r="A1151" s="28">
        <v>16838</v>
      </c>
      <c r="B1151" s="91">
        <v>44891.805891203709</v>
      </c>
      <c r="C1151" s="28" t="s">
        <v>10</v>
      </c>
      <c r="D1151" s="28" t="s">
        <v>1114</v>
      </c>
      <c r="E1151" s="28"/>
      <c r="F1151" s="28">
        <v>0</v>
      </c>
      <c r="G1151" s="28" t="s">
        <v>139</v>
      </c>
      <c r="H1151" s="28">
        <v>0</v>
      </c>
      <c r="J1151" s="28"/>
    </row>
    <row r="1152" spans="1:10" ht="15.75" customHeight="1">
      <c r="A1152" s="28">
        <v>16839</v>
      </c>
      <c r="B1152" s="91">
        <v>44891.822013888886</v>
      </c>
      <c r="C1152" s="28" t="s">
        <v>10</v>
      </c>
      <c r="D1152" s="28" t="s">
        <v>145</v>
      </c>
      <c r="E1152" s="28"/>
      <c r="F1152" s="28">
        <v>25</v>
      </c>
      <c r="G1152" s="28" t="s">
        <v>1106</v>
      </c>
      <c r="H1152" s="28">
        <v>0</v>
      </c>
      <c r="J1152" s="28"/>
    </row>
    <row r="1153" spans="1:10" ht="15.75" customHeight="1">
      <c r="A1153" s="28">
        <v>16839</v>
      </c>
      <c r="B1153" s="91">
        <v>44891.822013888886</v>
      </c>
      <c r="C1153" s="28" t="s">
        <v>10</v>
      </c>
      <c r="D1153" s="28" t="s">
        <v>145</v>
      </c>
      <c r="E1153" s="28"/>
      <c r="F1153" s="28">
        <v>0</v>
      </c>
      <c r="G1153" s="28" t="s">
        <v>884</v>
      </c>
      <c r="H1153" s="28">
        <v>0</v>
      </c>
      <c r="J1153" s="28"/>
    </row>
    <row r="1154" spans="1:10" ht="15.75" customHeight="1">
      <c r="A1154" s="28">
        <v>16839</v>
      </c>
      <c r="B1154" s="91">
        <v>44891.822013888886</v>
      </c>
      <c r="C1154" s="28" t="s">
        <v>10</v>
      </c>
      <c r="D1154" s="28" t="s">
        <v>145</v>
      </c>
      <c r="E1154" s="28"/>
      <c r="F1154" s="28">
        <v>0</v>
      </c>
      <c r="G1154" s="28" t="s">
        <v>882</v>
      </c>
      <c r="H1154" s="28">
        <v>0</v>
      </c>
      <c r="J1154" s="28"/>
    </row>
    <row r="1155" spans="1:10" ht="15.75" customHeight="1">
      <c r="A1155" s="28">
        <v>16840</v>
      </c>
      <c r="B1155" s="91">
        <v>44892.151076388887</v>
      </c>
      <c r="C1155" s="28" t="s">
        <v>10</v>
      </c>
      <c r="D1155" s="28" t="s">
        <v>1097</v>
      </c>
      <c r="E1155" s="28"/>
      <c r="F1155" s="28">
        <v>0</v>
      </c>
      <c r="G1155" s="28" t="s">
        <v>124</v>
      </c>
      <c r="H1155" s="28">
        <v>0</v>
      </c>
      <c r="J1155" s="28"/>
    </row>
    <row r="1156" spans="1:10" ht="15.75" customHeight="1">
      <c r="A1156" s="28">
        <v>16840</v>
      </c>
      <c r="B1156" s="91">
        <v>44892.151076388887</v>
      </c>
      <c r="C1156" s="28" t="s">
        <v>10</v>
      </c>
      <c r="D1156" s="28" t="s">
        <v>1097</v>
      </c>
      <c r="E1156" s="28"/>
      <c r="F1156" s="28">
        <v>0</v>
      </c>
      <c r="G1156" s="28" t="s">
        <v>125</v>
      </c>
      <c r="H1156" s="28">
        <v>0</v>
      </c>
      <c r="J1156" s="28"/>
    </row>
    <row r="1157" spans="1:10" ht="15.75" customHeight="1">
      <c r="A1157" s="28">
        <v>16840</v>
      </c>
      <c r="B1157" s="91">
        <v>44892.151076388887</v>
      </c>
      <c r="C1157" s="28" t="s">
        <v>10</v>
      </c>
      <c r="D1157" s="28" t="s">
        <v>1097</v>
      </c>
      <c r="E1157" s="28"/>
      <c r="F1157" s="28">
        <v>0</v>
      </c>
      <c r="G1157" s="28" t="s">
        <v>121</v>
      </c>
      <c r="H1157" s="28">
        <v>0</v>
      </c>
      <c r="J1157" s="28"/>
    </row>
    <row r="1158" spans="1:10" ht="15.75" customHeight="1">
      <c r="A1158" s="28">
        <v>16840</v>
      </c>
      <c r="B1158" s="91">
        <v>44892.151076388887</v>
      </c>
      <c r="C1158" s="28" t="s">
        <v>10</v>
      </c>
      <c r="D1158" s="28" t="s">
        <v>1097</v>
      </c>
      <c r="E1158" s="28"/>
      <c r="F1158" s="28">
        <v>0</v>
      </c>
      <c r="G1158" s="28" t="s">
        <v>119</v>
      </c>
      <c r="H1158" s="28">
        <v>0</v>
      </c>
      <c r="J1158" s="28"/>
    </row>
    <row r="1159" spans="1:10" ht="15.75" customHeight="1">
      <c r="A1159" s="28">
        <v>16845</v>
      </c>
      <c r="B1159" s="91">
        <v>44892.934594907405</v>
      </c>
      <c r="C1159" s="28" t="s">
        <v>10</v>
      </c>
      <c r="D1159" s="28" t="s">
        <v>1113</v>
      </c>
      <c r="E1159" s="28"/>
      <c r="F1159" s="28">
        <v>25</v>
      </c>
      <c r="G1159" s="28" t="s">
        <v>1106</v>
      </c>
      <c r="H1159" s="28">
        <v>0</v>
      </c>
      <c r="J1159" s="28"/>
    </row>
    <row r="1160" spans="1:10" ht="15.75" customHeight="1">
      <c r="A1160" s="28">
        <v>16845</v>
      </c>
      <c r="B1160" s="91">
        <v>44892.934594907405</v>
      </c>
      <c r="C1160" s="28" t="s">
        <v>10</v>
      </c>
      <c r="D1160" s="28" t="s">
        <v>1113</v>
      </c>
      <c r="E1160" s="28"/>
      <c r="F1160" s="28">
        <v>0</v>
      </c>
      <c r="G1160" s="28" t="s">
        <v>884</v>
      </c>
      <c r="H1160" s="28">
        <v>0</v>
      </c>
      <c r="J1160" s="28"/>
    </row>
    <row r="1161" spans="1:10" ht="15.75" customHeight="1">
      <c r="A1161" s="28">
        <v>16845</v>
      </c>
      <c r="B1161" s="91">
        <v>44892.934594907405</v>
      </c>
      <c r="C1161" s="28" t="s">
        <v>10</v>
      </c>
      <c r="D1161" s="28" t="s">
        <v>1113</v>
      </c>
      <c r="E1161" s="28"/>
      <c r="F1161" s="28">
        <v>0</v>
      </c>
      <c r="G1161" s="28" t="s">
        <v>882</v>
      </c>
      <c r="H1161" s="28">
        <v>0</v>
      </c>
      <c r="J1161" s="28"/>
    </row>
    <row r="1162" spans="1:10" ht="15.75" customHeight="1">
      <c r="A1162" s="28">
        <v>16845</v>
      </c>
      <c r="B1162" s="91">
        <v>44892.934594907405</v>
      </c>
      <c r="C1162" s="28" t="s">
        <v>10</v>
      </c>
      <c r="D1162" s="28" t="s">
        <v>1113</v>
      </c>
      <c r="E1162" s="28"/>
      <c r="F1162" s="28">
        <v>24</v>
      </c>
      <c r="G1162" s="28" t="s">
        <v>122</v>
      </c>
      <c r="H1162" s="28">
        <v>0</v>
      </c>
      <c r="J1162" s="28"/>
    </row>
    <row r="1163" spans="1:10" ht="15.75" customHeight="1">
      <c r="A1163" s="28">
        <v>16846</v>
      </c>
      <c r="B1163" s="91">
        <v>44892.962407407409</v>
      </c>
      <c r="C1163" s="28" t="s">
        <v>10</v>
      </c>
      <c r="D1163" s="28" t="s">
        <v>155</v>
      </c>
      <c r="E1163" s="28"/>
      <c r="F1163" s="28">
        <v>25</v>
      </c>
      <c r="G1163" s="28" t="s">
        <v>1106</v>
      </c>
      <c r="H1163" s="28">
        <v>0</v>
      </c>
      <c r="J1163" s="28"/>
    </row>
    <row r="1164" spans="1:10" ht="15.75" customHeight="1">
      <c r="A1164" s="28">
        <v>16846</v>
      </c>
      <c r="B1164" s="91">
        <v>44892.962407407409</v>
      </c>
      <c r="C1164" s="28" t="s">
        <v>10</v>
      </c>
      <c r="D1164" s="28" t="s">
        <v>155</v>
      </c>
      <c r="E1164" s="28"/>
      <c r="F1164" s="28">
        <v>0</v>
      </c>
      <c r="G1164" s="28" t="s">
        <v>884</v>
      </c>
      <c r="H1164" s="28">
        <v>0</v>
      </c>
      <c r="J1164" s="28"/>
    </row>
    <row r="1165" spans="1:10" ht="15.75" customHeight="1">
      <c r="A1165" s="28">
        <v>16846</v>
      </c>
      <c r="B1165" s="91">
        <v>44892.962407407409</v>
      </c>
      <c r="C1165" s="28" t="s">
        <v>10</v>
      </c>
      <c r="D1165" s="28" t="s">
        <v>155</v>
      </c>
      <c r="E1165" s="28"/>
      <c r="F1165" s="28">
        <v>0</v>
      </c>
      <c r="G1165" s="28" t="s">
        <v>882</v>
      </c>
      <c r="H1165" s="28">
        <v>0</v>
      </c>
      <c r="J1165" s="28"/>
    </row>
    <row r="1166" spans="1:10" ht="15.75" customHeight="1">
      <c r="A1166" s="28">
        <v>16847</v>
      </c>
      <c r="B1166" s="91">
        <v>44893.067430555559</v>
      </c>
      <c r="C1166" s="28" t="s">
        <v>10</v>
      </c>
      <c r="D1166" s="28" t="s">
        <v>1112</v>
      </c>
      <c r="E1166" s="28"/>
      <c r="F1166" s="28">
        <v>25</v>
      </c>
      <c r="G1166" s="28" t="s">
        <v>1106</v>
      </c>
      <c r="H1166" s="28">
        <v>0</v>
      </c>
      <c r="J1166" s="28"/>
    </row>
    <row r="1167" spans="1:10" ht="15.75" customHeight="1">
      <c r="A1167" s="28">
        <v>16847</v>
      </c>
      <c r="B1167" s="91">
        <v>44893.067430555559</v>
      </c>
      <c r="C1167" s="28" t="s">
        <v>10</v>
      </c>
      <c r="D1167" s="28" t="s">
        <v>1112</v>
      </c>
      <c r="E1167" s="28"/>
      <c r="F1167" s="28">
        <v>0</v>
      </c>
      <c r="G1167" s="28" t="s">
        <v>884</v>
      </c>
      <c r="H1167" s="28">
        <v>0</v>
      </c>
      <c r="J1167" s="28"/>
    </row>
    <row r="1168" spans="1:10" ht="15.75" customHeight="1">
      <c r="A1168" s="28">
        <v>16847</v>
      </c>
      <c r="B1168" s="91">
        <v>44893.067430555559</v>
      </c>
      <c r="C1168" s="28" t="s">
        <v>10</v>
      </c>
      <c r="D1168" s="28" t="s">
        <v>1112</v>
      </c>
      <c r="E1168" s="28"/>
      <c r="F1168" s="28">
        <v>0</v>
      </c>
      <c r="G1168" s="28" t="s">
        <v>882</v>
      </c>
      <c r="H1168" s="28">
        <v>0</v>
      </c>
      <c r="J1168" s="28"/>
    </row>
    <row r="1169" spans="1:10" ht="15.75" customHeight="1">
      <c r="A1169" s="28">
        <v>16848</v>
      </c>
      <c r="B1169" s="91">
        <v>44893.737523148149</v>
      </c>
      <c r="C1169" s="28" t="s">
        <v>10</v>
      </c>
      <c r="D1169" s="28" t="s">
        <v>1097</v>
      </c>
      <c r="E1169" s="28"/>
      <c r="F1169" s="28">
        <v>0</v>
      </c>
      <c r="G1169" s="28" t="s">
        <v>124</v>
      </c>
      <c r="H1169" s="28">
        <v>0</v>
      </c>
      <c r="J1169" s="28"/>
    </row>
    <row r="1170" spans="1:10" ht="15.75" customHeight="1">
      <c r="A1170" s="28">
        <v>16848</v>
      </c>
      <c r="B1170" s="91">
        <v>44893.737523148149</v>
      </c>
      <c r="C1170" s="28" t="s">
        <v>10</v>
      </c>
      <c r="D1170" s="28" t="s">
        <v>1097</v>
      </c>
      <c r="E1170" s="28"/>
      <c r="F1170" s="28">
        <v>0</v>
      </c>
      <c r="G1170" s="28" t="s">
        <v>125</v>
      </c>
      <c r="H1170" s="28">
        <v>0</v>
      </c>
      <c r="J1170" s="28"/>
    </row>
    <row r="1171" spans="1:10" ht="15.75" customHeight="1">
      <c r="A1171" s="28">
        <v>16848</v>
      </c>
      <c r="B1171" s="91">
        <v>44893.737523148149</v>
      </c>
      <c r="C1171" s="28" t="s">
        <v>10</v>
      </c>
      <c r="D1171" s="28" t="s">
        <v>1097</v>
      </c>
      <c r="E1171" s="28"/>
      <c r="F1171" s="28">
        <v>0</v>
      </c>
      <c r="G1171" s="28" t="s">
        <v>121</v>
      </c>
      <c r="H1171" s="28">
        <v>0</v>
      </c>
      <c r="J1171" s="28"/>
    </row>
    <row r="1172" spans="1:10" ht="15.75" customHeight="1">
      <c r="A1172" s="28">
        <v>16848</v>
      </c>
      <c r="B1172" s="91">
        <v>44893.737523148149</v>
      </c>
      <c r="C1172" s="28" t="s">
        <v>10</v>
      </c>
      <c r="D1172" s="28" t="s">
        <v>1097</v>
      </c>
      <c r="E1172" s="28"/>
      <c r="F1172" s="28">
        <v>0</v>
      </c>
      <c r="G1172" s="28" t="s">
        <v>119</v>
      </c>
      <c r="H1172" s="28">
        <v>0</v>
      </c>
      <c r="J1172" s="28"/>
    </row>
    <row r="1173" spans="1:10" ht="15.75" customHeight="1">
      <c r="A1173" s="28">
        <v>16849</v>
      </c>
      <c r="B1173" s="91">
        <v>44893.856192129635</v>
      </c>
      <c r="C1173" s="28" t="s">
        <v>10</v>
      </c>
      <c r="D1173" s="28" t="s">
        <v>123</v>
      </c>
      <c r="E1173" s="28"/>
      <c r="F1173" s="28">
        <v>25</v>
      </c>
      <c r="G1173" s="28" t="s">
        <v>1106</v>
      </c>
      <c r="H1173" s="28">
        <v>0</v>
      </c>
      <c r="J1173" s="28"/>
    </row>
    <row r="1174" spans="1:10" ht="15.75" customHeight="1">
      <c r="A1174" s="28">
        <v>16849</v>
      </c>
      <c r="B1174" s="91">
        <v>44893.856192129635</v>
      </c>
      <c r="C1174" s="28" t="s">
        <v>10</v>
      </c>
      <c r="D1174" s="28" t="s">
        <v>123</v>
      </c>
      <c r="E1174" s="28"/>
      <c r="F1174" s="28">
        <v>0</v>
      </c>
      <c r="G1174" s="28" t="s">
        <v>884</v>
      </c>
      <c r="H1174" s="28">
        <v>0</v>
      </c>
      <c r="J1174" s="28"/>
    </row>
    <row r="1175" spans="1:10" ht="15.75" customHeight="1">
      <c r="A1175" s="28">
        <v>16849</v>
      </c>
      <c r="B1175" s="91">
        <v>44893.856192129635</v>
      </c>
      <c r="C1175" s="28" t="s">
        <v>10</v>
      </c>
      <c r="D1175" s="28" t="s">
        <v>123</v>
      </c>
      <c r="E1175" s="28"/>
      <c r="F1175" s="28">
        <v>0</v>
      </c>
      <c r="G1175" s="28" t="s">
        <v>882</v>
      </c>
      <c r="H1175" s="28">
        <v>0</v>
      </c>
      <c r="J1175" s="28"/>
    </row>
    <row r="1176" spans="1:10" ht="15.75" customHeight="1">
      <c r="A1176" s="28">
        <v>16849</v>
      </c>
      <c r="B1176" s="91">
        <v>44893.856192129635</v>
      </c>
      <c r="C1176" s="28" t="s">
        <v>10</v>
      </c>
      <c r="D1176" s="28" t="s">
        <v>123</v>
      </c>
      <c r="E1176" s="28"/>
      <c r="F1176" s="28">
        <v>24</v>
      </c>
      <c r="G1176" s="28" t="s">
        <v>122</v>
      </c>
      <c r="H1176" s="28">
        <v>0</v>
      </c>
      <c r="J1176" s="28"/>
    </row>
    <row r="1177" spans="1:10" ht="15.75" customHeight="1">
      <c r="A1177" s="28">
        <v>16849</v>
      </c>
      <c r="B1177" s="91">
        <v>44893.856192129635</v>
      </c>
      <c r="C1177" s="28" t="s">
        <v>10</v>
      </c>
      <c r="D1177" s="28" t="s">
        <v>123</v>
      </c>
      <c r="E1177" s="28"/>
      <c r="F1177" s="28">
        <v>25</v>
      </c>
      <c r="G1177" s="28" t="s">
        <v>118</v>
      </c>
      <c r="H1177" s="28">
        <v>0</v>
      </c>
      <c r="J1177" s="28"/>
    </row>
    <row r="1178" spans="1:10" ht="15.75" customHeight="1">
      <c r="A1178" s="28">
        <v>16850</v>
      </c>
      <c r="B1178" s="91">
        <v>44893.887141203704</v>
      </c>
      <c r="C1178" s="28" t="s">
        <v>10</v>
      </c>
      <c r="D1178" s="28" t="s">
        <v>1111</v>
      </c>
      <c r="E1178" s="28"/>
      <c r="F1178" s="28">
        <v>55</v>
      </c>
      <c r="G1178" s="28">
        <v>101684</v>
      </c>
      <c r="H1178" s="28">
        <v>0</v>
      </c>
      <c r="J1178" s="28"/>
    </row>
    <row r="1179" spans="1:10" ht="15.75" customHeight="1">
      <c r="A1179" s="28">
        <v>16850</v>
      </c>
      <c r="B1179" s="91">
        <v>44893.887141203704</v>
      </c>
      <c r="C1179" s="28" t="s">
        <v>10</v>
      </c>
      <c r="D1179" s="28" t="s">
        <v>1111</v>
      </c>
      <c r="E1179" s="28"/>
      <c r="F1179" s="28">
        <v>0</v>
      </c>
      <c r="G1179" s="28" t="s">
        <v>118</v>
      </c>
      <c r="H1179" s="28">
        <v>0</v>
      </c>
      <c r="J1179" s="28"/>
    </row>
    <row r="1180" spans="1:10" ht="15.75" customHeight="1">
      <c r="A1180" s="28">
        <v>16850</v>
      </c>
      <c r="B1180" s="91">
        <v>44893.887141203704</v>
      </c>
      <c r="C1180" s="28" t="s">
        <v>10</v>
      </c>
      <c r="D1180" s="28" t="s">
        <v>1111</v>
      </c>
      <c r="E1180" s="28"/>
      <c r="F1180" s="28">
        <v>0</v>
      </c>
      <c r="G1180" s="28" t="s">
        <v>119</v>
      </c>
      <c r="H1180" s="28">
        <v>0</v>
      </c>
      <c r="J1180" s="28"/>
    </row>
    <row r="1181" spans="1:10" ht="15.75" customHeight="1">
      <c r="A1181" s="28">
        <v>16850</v>
      </c>
      <c r="B1181" s="91">
        <v>44893.887141203704</v>
      </c>
      <c r="C1181" s="28" t="s">
        <v>10</v>
      </c>
      <c r="D1181" s="28" t="s">
        <v>1111</v>
      </c>
      <c r="E1181" s="28"/>
      <c r="F1181" s="28">
        <v>0</v>
      </c>
      <c r="G1181" s="28" t="s">
        <v>120</v>
      </c>
      <c r="H1181" s="28">
        <v>0</v>
      </c>
      <c r="J1181" s="28"/>
    </row>
    <row r="1182" spans="1:10" ht="15.75" customHeight="1">
      <c r="A1182" s="28">
        <v>16850</v>
      </c>
      <c r="B1182" s="91">
        <v>44893.887141203704</v>
      </c>
      <c r="C1182" s="28" t="s">
        <v>10</v>
      </c>
      <c r="D1182" s="28" t="s">
        <v>1111</v>
      </c>
      <c r="E1182" s="28"/>
      <c r="F1182" s="28">
        <v>0</v>
      </c>
      <c r="G1182" s="28" t="s">
        <v>121</v>
      </c>
      <c r="H1182" s="28">
        <v>0</v>
      </c>
      <c r="J1182" s="28"/>
    </row>
    <row r="1183" spans="1:10" ht="15.75" customHeight="1">
      <c r="A1183" s="28">
        <v>16851</v>
      </c>
      <c r="B1183" s="91">
        <v>44894.095902777779</v>
      </c>
      <c r="C1183" s="28" t="s">
        <v>10</v>
      </c>
      <c r="D1183" s="28" t="s">
        <v>1110</v>
      </c>
      <c r="E1183" s="28"/>
      <c r="F1183" s="28">
        <v>55</v>
      </c>
      <c r="G1183" s="28">
        <v>101684</v>
      </c>
      <c r="H1183" s="28">
        <v>0</v>
      </c>
      <c r="J1183" s="28"/>
    </row>
    <row r="1184" spans="1:10" ht="15.75" customHeight="1">
      <c r="A1184" s="28">
        <v>16851</v>
      </c>
      <c r="B1184" s="91">
        <v>44894.095902777779</v>
      </c>
      <c r="C1184" s="28" t="s">
        <v>10</v>
      </c>
      <c r="D1184" s="28" t="s">
        <v>1110</v>
      </c>
      <c r="E1184" s="28"/>
      <c r="F1184" s="28">
        <v>0</v>
      </c>
      <c r="G1184" s="28" t="s">
        <v>118</v>
      </c>
      <c r="H1184" s="28">
        <v>0</v>
      </c>
      <c r="J1184" s="28"/>
    </row>
    <row r="1185" spans="1:10" ht="15.75" customHeight="1">
      <c r="A1185" s="28">
        <v>16851</v>
      </c>
      <c r="B1185" s="91">
        <v>44894.095902777779</v>
      </c>
      <c r="C1185" s="28" t="s">
        <v>10</v>
      </c>
      <c r="D1185" s="28" t="s">
        <v>1110</v>
      </c>
      <c r="E1185" s="28"/>
      <c r="F1185" s="28">
        <v>0</v>
      </c>
      <c r="G1185" s="28" t="s">
        <v>119</v>
      </c>
      <c r="H1185" s="28">
        <v>0</v>
      </c>
      <c r="J1185" s="28"/>
    </row>
    <row r="1186" spans="1:10" ht="15.75" customHeight="1">
      <c r="A1186" s="28">
        <v>16851</v>
      </c>
      <c r="B1186" s="91">
        <v>44894.095902777779</v>
      </c>
      <c r="C1186" s="28" t="s">
        <v>10</v>
      </c>
      <c r="D1186" s="28" t="s">
        <v>1110</v>
      </c>
      <c r="E1186" s="28"/>
      <c r="F1186" s="28">
        <v>0</v>
      </c>
      <c r="G1186" s="28" t="s">
        <v>120</v>
      </c>
      <c r="H1186" s="28">
        <v>0</v>
      </c>
      <c r="J1186" s="28"/>
    </row>
    <row r="1187" spans="1:10" ht="15.75" customHeight="1">
      <c r="A1187" s="28">
        <v>16851</v>
      </c>
      <c r="B1187" s="91">
        <v>44894.095902777779</v>
      </c>
      <c r="C1187" s="28" t="s">
        <v>10</v>
      </c>
      <c r="D1187" s="28" t="s">
        <v>1110</v>
      </c>
      <c r="E1187" s="28"/>
      <c r="F1187" s="28">
        <v>0</v>
      </c>
      <c r="G1187" s="28" t="s">
        <v>121</v>
      </c>
      <c r="H1187" s="28">
        <v>0</v>
      </c>
      <c r="J1187" s="28"/>
    </row>
    <row r="1188" spans="1:10" ht="15.75" customHeight="1">
      <c r="A1188" s="28">
        <v>16851</v>
      </c>
      <c r="B1188" s="91">
        <v>44894.095902777779</v>
      </c>
      <c r="C1188" s="28" t="s">
        <v>10</v>
      </c>
      <c r="D1188" s="28" t="s">
        <v>1110</v>
      </c>
      <c r="E1188" s="28"/>
      <c r="F1188" s="28">
        <v>15</v>
      </c>
      <c r="G1188" s="28" t="s">
        <v>170</v>
      </c>
      <c r="H1188" s="28">
        <v>0</v>
      </c>
      <c r="J1188" s="28"/>
    </row>
    <row r="1189" spans="1:10" ht="15.75" customHeight="1">
      <c r="A1189" s="28">
        <v>16851</v>
      </c>
      <c r="B1189" s="91">
        <v>44894.095902777779</v>
      </c>
      <c r="C1189" s="28" t="s">
        <v>10</v>
      </c>
      <c r="D1189" s="28" t="s">
        <v>1110</v>
      </c>
      <c r="E1189" s="28"/>
      <c r="F1189" s="28">
        <v>22</v>
      </c>
      <c r="G1189" s="28" t="s">
        <v>137</v>
      </c>
      <c r="H1189" s="28">
        <v>0</v>
      </c>
      <c r="J1189" s="28"/>
    </row>
    <row r="1190" spans="1:10" ht="15.75" customHeight="1">
      <c r="A1190" s="28">
        <v>16853</v>
      </c>
      <c r="B1190" s="91">
        <v>44894.522395833337</v>
      </c>
      <c r="C1190" s="28" t="s">
        <v>10</v>
      </c>
      <c r="D1190" s="28" t="s">
        <v>165</v>
      </c>
      <c r="E1190" s="28"/>
      <c r="F1190" s="28">
        <v>25</v>
      </c>
      <c r="G1190" s="28" t="s">
        <v>1106</v>
      </c>
      <c r="H1190" s="28">
        <v>0</v>
      </c>
      <c r="J1190" s="28"/>
    </row>
    <row r="1191" spans="1:10" ht="15.75" customHeight="1">
      <c r="A1191" s="28">
        <v>16853</v>
      </c>
      <c r="B1191" s="91">
        <v>44894.522395833337</v>
      </c>
      <c r="C1191" s="28" t="s">
        <v>10</v>
      </c>
      <c r="D1191" s="28" t="s">
        <v>165</v>
      </c>
      <c r="E1191" s="28"/>
      <c r="F1191" s="28">
        <v>0</v>
      </c>
      <c r="G1191" s="28" t="s">
        <v>884</v>
      </c>
      <c r="H1191" s="28">
        <v>0</v>
      </c>
      <c r="J1191" s="28"/>
    </row>
    <row r="1192" spans="1:10" ht="15.75" customHeight="1">
      <c r="A1192" s="28">
        <v>16853</v>
      </c>
      <c r="B1192" s="91">
        <v>44894.522395833337</v>
      </c>
      <c r="C1192" s="28" t="s">
        <v>10</v>
      </c>
      <c r="D1192" s="28" t="s">
        <v>165</v>
      </c>
      <c r="E1192" s="28"/>
      <c r="F1192" s="28">
        <v>0</v>
      </c>
      <c r="G1192" s="28" t="s">
        <v>882</v>
      </c>
      <c r="H1192" s="28">
        <v>0</v>
      </c>
      <c r="J1192" s="28"/>
    </row>
    <row r="1193" spans="1:10" ht="15.75" customHeight="1">
      <c r="A1193" s="28">
        <v>16853</v>
      </c>
      <c r="B1193" s="91">
        <v>44894.522395833337</v>
      </c>
      <c r="C1193" s="28" t="s">
        <v>10</v>
      </c>
      <c r="D1193" s="28" t="s">
        <v>165</v>
      </c>
      <c r="E1193" s="28"/>
      <c r="F1193" s="28">
        <v>25</v>
      </c>
      <c r="G1193" s="28">
        <v>100692</v>
      </c>
      <c r="H1193" s="28">
        <v>0</v>
      </c>
      <c r="J1193" s="28"/>
    </row>
    <row r="1194" spans="1:10" ht="15.75" customHeight="1">
      <c r="A1194" s="28">
        <v>16853</v>
      </c>
      <c r="B1194" s="91">
        <v>44894.522395833337</v>
      </c>
      <c r="C1194" s="28" t="s">
        <v>10</v>
      </c>
      <c r="D1194" s="28" t="s">
        <v>165</v>
      </c>
      <c r="E1194" s="28"/>
      <c r="F1194" s="28">
        <v>0</v>
      </c>
      <c r="G1194" s="28" t="s">
        <v>125</v>
      </c>
      <c r="H1194" s="28">
        <v>0</v>
      </c>
      <c r="J1194" s="28"/>
    </row>
    <row r="1195" spans="1:10" ht="15.75" customHeight="1">
      <c r="A1195" s="28">
        <v>16853</v>
      </c>
      <c r="B1195" s="91">
        <v>44894.522395833337</v>
      </c>
      <c r="C1195" s="28" t="s">
        <v>10</v>
      </c>
      <c r="D1195" s="28" t="s">
        <v>165</v>
      </c>
      <c r="E1195" s="28"/>
      <c r="F1195" s="28">
        <v>0</v>
      </c>
      <c r="G1195" s="28" t="s">
        <v>119</v>
      </c>
      <c r="H1195" s="28">
        <v>0</v>
      </c>
      <c r="J1195" s="28"/>
    </row>
    <row r="1196" spans="1:10" ht="15.75" customHeight="1">
      <c r="A1196" s="28">
        <v>16854</v>
      </c>
      <c r="B1196" s="91">
        <v>44894.685208333336</v>
      </c>
      <c r="C1196" s="28" t="s">
        <v>10</v>
      </c>
      <c r="D1196" s="28" t="s">
        <v>1109</v>
      </c>
      <c r="E1196" s="28"/>
      <c r="F1196" s="28">
        <v>25</v>
      </c>
      <c r="G1196" s="28" t="s">
        <v>1106</v>
      </c>
      <c r="H1196" s="28">
        <v>0</v>
      </c>
      <c r="J1196" s="28"/>
    </row>
    <row r="1197" spans="1:10" ht="15.75" customHeight="1">
      <c r="A1197" s="28">
        <v>16854</v>
      </c>
      <c r="B1197" s="91">
        <v>44894.685208333336</v>
      </c>
      <c r="C1197" s="28" t="s">
        <v>10</v>
      </c>
      <c r="D1197" s="28" t="s">
        <v>1109</v>
      </c>
      <c r="E1197" s="28"/>
      <c r="F1197" s="28">
        <v>0</v>
      </c>
      <c r="G1197" s="28" t="s">
        <v>884</v>
      </c>
      <c r="H1197" s="28">
        <v>0</v>
      </c>
      <c r="J1197" s="28"/>
    </row>
    <row r="1198" spans="1:10" ht="15.75" customHeight="1">
      <c r="A1198" s="28">
        <v>16854</v>
      </c>
      <c r="B1198" s="91">
        <v>44894.685208333336</v>
      </c>
      <c r="C1198" s="28" t="s">
        <v>10</v>
      </c>
      <c r="D1198" s="28" t="s">
        <v>1109</v>
      </c>
      <c r="E1198" s="28"/>
      <c r="F1198" s="28">
        <v>0</v>
      </c>
      <c r="G1198" s="28" t="s">
        <v>882</v>
      </c>
      <c r="H1198" s="28">
        <v>0</v>
      </c>
      <c r="J1198" s="28"/>
    </row>
    <row r="1199" spans="1:10" ht="15.75" customHeight="1">
      <c r="A1199" s="28">
        <v>16857</v>
      </c>
      <c r="B1199" s="91">
        <v>44895.099652777775</v>
      </c>
      <c r="C1199" s="28" t="s">
        <v>10</v>
      </c>
      <c r="D1199" s="28" t="s">
        <v>1108</v>
      </c>
      <c r="E1199" s="28"/>
      <c r="F1199" s="28">
        <v>25</v>
      </c>
      <c r="G1199" s="28" t="s">
        <v>1106</v>
      </c>
      <c r="H1199" s="28">
        <v>0</v>
      </c>
      <c r="J1199" s="28"/>
    </row>
    <row r="1200" spans="1:10" ht="15.75" customHeight="1">
      <c r="A1200" s="28">
        <v>16857</v>
      </c>
      <c r="B1200" s="91">
        <v>44895.099652777775</v>
      </c>
      <c r="C1200" s="28" t="s">
        <v>10</v>
      </c>
      <c r="D1200" s="28" t="s">
        <v>1108</v>
      </c>
      <c r="E1200" s="28"/>
      <c r="F1200" s="28">
        <v>0</v>
      </c>
      <c r="G1200" s="28" t="s">
        <v>884</v>
      </c>
      <c r="H1200" s="28">
        <v>0</v>
      </c>
      <c r="J1200" s="28"/>
    </row>
    <row r="1201" spans="1:10" ht="15.75" customHeight="1">
      <c r="A1201" s="28">
        <v>16857</v>
      </c>
      <c r="B1201" s="91">
        <v>44895.099652777775</v>
      </c>
      <c r="C1201" s="28" t="s">
        <v>10</v>
      </c>
      <c r="D1201" s="28" t="s">
        <v>1108</v>
      </c>
      <c r="E1201" s="28"/>
      <c r="F1201" s="28">
        <v>0</v>
      </c>
      <c r="G1201" s="28" t="s">
        <v>882</v>
      </c>
      <c r="H1201" s="28">
        <v>0</v>
      </c>
      <c r="J1201" s="28"/>
    </row>
    <row r="1202" spans="1:10" ht="15.75" customHeight="1">
      <c r="A1202" s="28">
        <v>16857</v>
      </c>
      <c r="B1202" s="91">
        <v>44895.099652777775</v>
      </c>
      <c r="C1202" s="28" t="s">
        <v>10</v>
      </c>
      <c r="D1202" s="28" t="s">
        <v>1108</v>
      </c>
      <c r="E1202" s="28"/>
      <c r="F1202" s="28">
        <v>20</v>
      </c>
      <c r="G1202" s="28" t="s">
        <v>205</v>
      </c>
      <c r="H1202" s="28">
        <v>0</v>
      </c>
      <c r="J1202" s="28"/>
    </row>
    <row r="1203" spans="1:10" ht="15.75" customHeight="1">
      <c r="A1203" s="28">
        <v>16857</v>
      </c>
      <c r="B1203" s="91">
        <v>44895.099652777775</v>
      </c>
      <c r="C1203" s="28" t="s">
        <v>10</v>
      </c>
      <c r="D1203" s="28" t="s">
        <v>1108</v>
      </c>
      <c r="E1203" s="28"/>
      <c r="F1203" s="28">
        <v>0</v>
      </c>
      <c r="G1203" s="28" t="s">
        <v>125</v>
      </c>
      <c r="H1203" s="28">
        <v>0</v>
      </c>
      <c r="J1203" s="28"/>
    </row>
    <row r="1204" spans="1:10" ht="15.75" customHeight="1">
      <c r="A1204" s="28">
        <v>16857</v>
      </c>
      <c r="B1204" s="91">
        <v>44895.099652777775</v>
      </c>
      <c r="C1204" s="28" t="s">
        <v>10</v>
      </c>
      <c r="D1204" s="28" t="s">
        <v>1108</v>
      </c>
      <c r="E1204" s="28"/>
      <c r="F1204" s="28">
        <v>18</v>
      </c>
      <c r="G1204" s="28" t="s">
        <v>457</v>
      </c>
      <c r="H1204" s="28">
        <v>0</v>
      </c>
      <c r="J1204" s="28"/>
    </row>
    <row r="1205" spans="1:10" ht="15.75" customHeight="1">
      <c r="A1205" s="28">
        <v>16862</v>
      </c>
      <c r="B1205" s="91">
        <v>44895.9450462963</v>
      </c>
      <c r="C1205" s="28" t="s">
        <v>10</v>
      </c>
      <c r="D1205" s="28" t="s">
        <v>1097</v>
      </c>
      <c r="E1205" s="28"/>
      <c r="F1205" s="28">
        <v>0</v>
      </c>
      <c r="G1205" s="28" t="s">
        <v>121</v>
      </c>
      <c r="H1205" s="28">
        <v>0</v>
      </c>
      <c r="J1205" s="28"/>
    </row>
    <row r="1206" spans="1:10" ht="15.75" customHeight="1">
      <c r="A1206" s="28">
        <v>16863</v>
      </c>
      <c r="B1206" s="91">
        <v>44896.023333333331</v>
      </c>
      <c r="C1206" s="28" t="s">
        <v>10</v>
      </c>
      <c r="D1206" s="28" t="s">
        <v>1107</v>
      </c>
      <c r="E1206" s="28"/>
      <c r="F1206" s="28">
        <v>35</v>
      </c>
      <c r="G1206" s="28" t="s">
        <v>124</v>
      </c>
      <c r="H1206" s="28">
        <v>0</v>
      </c>
      <c r="J1206" s="28"/>
    </row>
    <row r="1207" spans="1:10" ht="15.75" customHeight="1">
      <c r="A1207" s="28">
        <v>16863</v>
      </c>
      <c r="B1207" s="91">
        <v>44896.023333333331</v>
      </c>
      <c r="C1207" s="28" t="s">
        <v>10</v>
      </c>
      <c r="D1207" s="28" t="s">
        <v>1107</v>
      </c>
      <c r="E1207" s="28"/>
      <c r="F1207" s="28">
        <v>0</v>
      </c>
      <c r="G1207" s="28" t="s">
        <v>125</v>
      </c>
      <c r="H1207" s="28">
        <v>0</v>
      </c>
      <c r="J1207" s="28"/>
    </row>
    <row r="1208" spans="1:10" ht="15.75" customHeight="1">
      <c r="A1208" s="28">
        <v>16863</v>
      </c>
      <c r="B1208" s="91">
        <v>44896.023333333331</v>
      </c>
      <c r="C1208" s="28" t="s">
        <v>10</v>
      </c>
      <c r="D1208" s="28" t="s">
        <v>1107</v>
      </c>
      <c r="E1208" s="28"/>
      <c r="F1208" s="28">
        <v>0</v>
      </c>
      <c r="G1208" s="28" t="s">
        <v>121</v>
      </c>
      <c r="H1208" s="28">
        <v>0</v>
      </c>
      <c r="J1208" s="28"/>
    </row>
    <row r="1209" spans="1:10" ht="15.75" customHeight="1">
      <c r="A1209" s="28">
        <v>16863</v>
      </c>
      <c r="B1209" s="91">
        <v>44896.023333333331</v>
      </c>
      <c r="C1209" s="28" t="s">
        <v>10</v>
      </c>
      <c r="D1209" s="28" t="s">
        <v>1107</v>
      </c>
      <c r="E1209" s="28"/>
      <c r="F1209" s="28">
        <v>0</v>
      </c>
      <c r="G1209" s="28" t="s">
        <v>119</v>
      </c>
      <c r="H1209" s="28">
        <v>0</v>
      </c>
      <c r="J1209" s="28"/>
    </row>
    <row r="1210" spans="1:10" ht="15.75" customHeight="1">
      <c r="A1210" s="28">
        <v>16894</v>
      </c>
      <c r="B1210" s="91">
        <v>44896.716921296298</v>
      </c>
      <c r="C1210" s="28" t="s">
        <v>10</v>
      </c>
      <c r="D1210" s="28" t="s">
        <v>1105</v>
      </c>
      <c r="E1210" s="28"/>
      <c r="F1210" s="28">
        <v>25</v>
      </c>
      <c r="G1210" s="28" t="s">
        <v>1106</v>
      </c>
      <c r="H1210" s="28">
        <v>0</v>
      </c>
      <c r="J1210" s="28"/>
    </row>
    <row r="1211" spans="1:10" ht="15.75" customHeight="1">
      <c r="A1211" s="28">
        <v>16894</v>
      </c>
      <c r="B1211" s="91">
        <v>44896.716921296298</v>
      </c>
      <c r="C1211" s="28" t="s">
        <v>10</v>
      </c>
      <c r="D1211" s="28" t="s">
        <v>1105</v>
      </c>
      <c r="E1211" s="28"/>
      <c r="F1211" s="28">
        <v>0</v>
      </c>
      <c r="G1211" s="28" t="s">
        <v>884</v>
      </c>
      <c r="H1211" s="28">
        <v>0</v>
      </c>
      <c r="J1211" s="28"/>
    </row>
    <row r="1212" spans="1:10" ht="15.75" customHeight="1">
      <c r="A1212" s="28">
        <v>16894</v>
      </c>
      <c r="B1212" s="91">
        <v>44896.716921296298</v>
      </c>
      <c r="C1212" s="28" t="s">
        <v>10</v>
      </c>
      <c r="D1212" s="28" t="s">
        <v>1105</v>
      </c>
      <c r="E1212" s="28"/>
      <c r="F1212" s="28">
        <v>0</v>
      </c>
      <c r="G1212" s="28" t="s">
        <v>882</v>
      </c>
      <c r="H1212" s="28">
        <v>0</v>
      </c>
      <c r="J1212" s="28"/>
    </row>
    <row r="1213" spans="1:10" ht="15.75" customHeight="1">
      <c r="A1213" s="28">
        <v>16895</v>
      </c>
      <c r="B1213" s="91">
        <v>44897.070613425924</v>
      </c>
      <c r="C1213" s="28" t="s">
        <v>10</v>
      </c>
      <c r="D1213" s="28" t="s">
        <v>1104</v>
      </c>
      <c r="E1213" s="28"/>
      <c r="F1213" s="28">
        <v>0</v>
      </c>
      <c r="G1213" s="28" t="s">
        <v>139</v>
      </c>
      <c r="H1213" s="28">
        <v>0</v>
      </c>
      <c r="J1213" s="28"/>
    </row>
    <row r="1214" spans="1:10" ht="15.75" customHeight="1">
      <c r="A1214" s="28">
        <v>16895</v>
      </c>
      <c r="B1214" s="91">
        <v>44897.070613425924</v>
      </c>
      <c r="C1214" s="28" t="s">
        <v>10</v>
      </c>
      <c r="D1214" s="28" t="s">
        <v>1104</v>
      </c>
      <c r="E1214" s="28"/>
      <c r="F1214" s="28">
        <v>24</v>
      </c>
      <c r="G1214" s="28" t="s">
        <v>122</v>
      </c>
      <c r="H1214" s="28">
        <v>0</v>
      </c>
      <c r="J1214" s="28"/>
    </row>
    <row r="1215" spans="1:10" ht="15.75" customHeight="1">
      <c r="A1215" s="28">
        <v>16895</v>
      </c>
      <c r="B1215" s="91">
        <v>44897.070613425924</v>
      </c>
      <c r="C1215" s="28" t="s">
        <v>10</v>
      </c>
      <c r="D1215" s="28" t="s">
        <v>1104</v>
      </c>
      <c r="E1215" s="28"/>
      <c r="F1215" s="28">
        <v>25</v>
      </c>
      <c r="G1215" s="28">
        <v>100692</v>
      </c>
      <c r="H1215" s="28">
        <v>0</v>
      </c>
      <c r="J1215" s="28"/>
    </row>
    <row r="1216" spans="1:10" ht="15.75" customHeight="1">
      <c r="A1216" s="28">
        <v>16895</v>
      </c>
      <c r="B1216" s="91">
        <v>44897.070613425924</v>
      </c>
      <c r="C1216" s="28" t="s">
        <v>10</v>
      </c>
      <c r="D1216" s="28" t="s">
        <v>1104</v>
      </c>
      <c r="E1216" s="28"/>
      <c r="F1216" s="28">
        <v>0</v>
      </c>
      <c r="G1216" s="28" t="s">
        <v>125</v>
      </c>
      <c r="H1216" s="28">
        <v>0</v>
      </c>
      <c r="J1216" s="28"/>
    </row>
    <row r="1217" spans="1:10" ht="15.75" customHeight="1">
      <c r="A1217" s="28">
        <v>16895</v>
      </c>
      <c r="B1217" s="91">
        <v>44897.070613425924</v>
      </c>
      <c r="C1217" s="28" t="s">
        <v>10</v>
      </c>
      <c r="D1217" s="28" t="s">
        <v>1104</v>
      </c>
      <c r="E1217" s="28"/>
      <c r="F1217" s="28">
        <v>0</v>
      </c>
      <c r="G1217" s="28" t="s">
        <v>119</v>
      </c>
      <c r="H1217" s="28">
        <v>0</v>
      </c>
      <c r="J1217" s="28"/>
    </row>
    <row r="1218" spans="1:10" ht="15.75" customHeight="1">
      <c r="A1218" s="28">
        <v>16933</v>
      </c>
      <c r="B1218" s="91">
        <v>44898.127488425926</v>
      </c>
      <c r="C1218" s="28" t="s">
        <v>10</v>
      </c>
      <c r="D1218" s="28" t="s">
        <v>1103</v>
      </c>
      <c r="E1218" s="28"/>
      <c r="F1218" s="28">
        <v>25</v>
      </c>
      <c r="G1218" s="28">
        <v>100692</v>
      </c>
      <c r="H1218" s="28">
        <v>0</v>
      </c>
      <c r="J1218" s="28"/>
    </row>
    <row r="1219" spans="1:10" ht="15.75" customHeight="1">
      <c r="A1219" s="28">
        <v>16933</v>
      </c>
      <c r="B1219" s="91">
        <v>44898.127488425926</v>
      </c>
      <c r="C1219" s="28" t="s">
        <v>10</v>
      </c>
      <c r="D1219" s="28" t="s">
        <v>1103</v>
      </c>
      <c r="E1219" s="28"/>
      <c r="F1219" s="28">
        <v>0</v>
      </c>
      <c r="G1219" s="28" t="s">
        <v>125</v>
      </c>
      <c r="H1219" s="28">
        <v>0</v>
      </c>
      <c r="J1219" s="28"/>
    </row>
    <row r="1220" spans="1:10" ht="15.75" customHeight="1">
      <c r="A1220" s="28">
        <v>16933</v>
      </c>
      <c r="B1220" s="91">
        <v>44898.127488425926</v>
      </c>
      <c r="C1220" s="28" t="s">
        <v>10</v>
      </c>
      <c r="D1220" s="28" t="s">
        <v>1103</v>
      </c>
      <c r="E1220" s="28"/>
      <c r="F1220" s="28">
        <v>0</v>
      </c>
      <c r="G1220" s="28" t="s">
        <v>119</v>
      </c>
      <c r="H1220" s="28">
        <v>0</v>
      </c>
      <c r="J1220" s="28"/>
    </row>
    <row r="1221" spans="1:10" ht="15.75" customHeight="1">
      <c r="A1221" s="28">
        <v>16934</v>
      </c>
      <c r="B1221" s="91">
        <v>44900.127789351856</v>
      </c>
      <c r="C1221" s="28" t="s">
        <v>10</v>
      </c>
      <c r="D1221" s="28" t="s">
        <v>1102</v>
      </c>
      <c r="E1221" s="28"/>
      <c r="F1221" s="28">
        <v>20</v>
      </c>
      <c r="G1221" s="28" t="s">
        <v>148</v>
      </c>
      <c r="H1221" s="28">
        <v>0</v>
      </c>
      <c r="J1221" s="28"/>
    </row>
    <row r="1222" spans="1:10" ht="15.75" customHeight="1">
      <c r="A1222" s="28">
        <v>16935</v>
      </c>
      <c r="B1222" s="91">
        <v>44900.929108796292</v>
      </c>
      <c r="C1222" s="28" t="s">
        <v>10</v>
      </c>
      <c r="D1222" s="28" t="s">
        <v>1101</v>
      </c>
      <c r="E1222" s="28"/>
      <c r="F1222" s="28">
        <v>22</v>
      </c>
      <c r="G1222" s="28" t="s">
        <v>137</v>
      </c>
      <c r="H1222" s="28">
        <v>0</v>
      </c>
      <c r="J1222" s="28"/>
    </row>
    <row r="1223" spans="1:10" ht="15.75" customHeight="1">
      <c r="A1223" s="28">
        <v>16937</v>
      </c>
      <c r="B1223" s="91">
        <v>44903.283379629633</v>
      </c>
      <c r="C1223" s="28" t="s">
        <v>10</v>
      </c>
      <c r="D1223" s="28" t="s">
        <v>1100</v>
      </c>
      <c r="E1223" s="28"/>
      <c r="F1223" s="28">
        <v>0</v>
      </c>
      <c r="G1223" s="28" t="s">
        <v>122</v>
      </c>
      <c r="H1223" s="28">
        <v>0</v>
      </c>
      <c r="J1223" s="28"/>
    </row>
    <row r="1224" spans="1:10" ht="15.75" customHeight="1">
      <c r="A1224" s="28">
        <v>16938</v>
      </c>
      <c r="B1224" s="91">
        <v>44903.291828703703</v>
      </c>
      <c r="C1224" s="28" t="s">
        <v>10</v>
      </c>
      <c r="D1224" s="28" t="s">
        <v>1099</v>
      </c>
      <c r="E1224" s="28"/>
      <c r="F1224" s="28">
        <v>24</v>
      </c>
      <c r="G1224" s="28" t="s">
        <v>122</v>
      </c>
      <c r="H1224" s="28">
        <v>0</v>
      </c>
      <c r="J1224" s="28"/>
    </row>
    <row r="1225" spans="1:10" ht="15.75" customHeight="1">
      <c r="A1225" s="28">
        <v>16941</v>
      </c>
      <c r="B1225" s="91">
        <v>44905.748229166667</v>
      </c>
      <c r="C1225" s="28" t="s">
        <v>10</v>
      </c>
      <c r="D1225" s="28" t="s">
        <v>1098</v>
      </c>
      <c r="E1225" s="28"/>
      <c r="F1225" s="28">
        <v>25</v>
      </c>
      <c r="G1225" s="28">
        <v>100692</v>
      </c>
      <c r="H1225" s="28">
        <v>0</v>
      </c>
      <c r="J1225" s="28"/>
    </row>
    <row r="1226" spans="1:10" ht="15.75" customHeight="1">
      <c r="A1226" s="28">
        <v>16941</v>
      </c>
      <c r="B1226" s="91">
        <v>44905.748229166667</v>
      </c>
      <c r="C1226" s="28" t="s">
        <v>10</v>
      </c>
      <c r="D1226" s="28" t="s">
        <v>1098</v>
      </c>
      <c r="E1226" s="28"/>
      <c r="F1226" s="28">
        <v>0</v>
      </c>
      <c r="G1226" s="28" t="s">
        <v>125</v>
      </c>
      <c r="H1226" s="28">
        <v>0</v>
      </c>
      <c r="J1226" s="28"/>
    </row>
    <row r="1227" spans="1:10" ht="15.75" customHeight="1">
      <c r="A1227" s="28">
        <v>16941</v>
      </c>
      <c r="B1227" s="91">
        <v>44905.748229166667</v>
      </c>
      <c r="C1227" s="28" t="s">
        <v>10</v>
      </c>
      <c r="D1227" s="28" t="s">
        <v>1098</v>
      </c>
      <c r="E1227" s="28"/>
      <c r="F1227" s="28">
        <v>0</v>
      </c>
      <c r="G1227" s="28" t="s">
        <v>119</v>
      </c>
      <c r="H1227" s="28">
        <v>0</v>
      </c>
      <c r="J1227" s="28"/>
    </row>
    <row r="1228" spans="1:10" ht="15.75" customHeight="1">
      <c r="A1228" s="28">
        <v>16946</v>
      </c>
      <c r="B1228" s="91">
        <v>44907.692858796298</v>
      </c>
      <c r="C1228" s="28" t="s">
        <v>10</v>
      </c>
      <c r="D1228" s="28" t="s">
        <v>1097</v>
      </c>
      <c r="E1228" s="28"/>
      <c r="F1228" s="28">
        <v>0</v>
      </c>
      <c r="G1228" s="28">
        <v>100692</v>
      </c>
      <c r="H1228" s="28">
        <v>0</v>
      </c>
      <c r="J1228" s="28"/>
    </row>
    <row r="1229" spans="1:10" ht="15.75" customHeight="1">
      <c r="A1229" s="28">
        <v>16946</v>
      </c>
      <c r="B1229" s="91">
        <v>44907.692858796298</v>
      </c>
      <c r="C1229" s="28" t="s">
        <v>10</v>
      </c>
      <c r="D1229" s="28" t="s">
        <v>1097</v>
      </c>
      <c r="E1229" s="28"/>
      <c r="F1229" s="28">
        <v>0</v>
      </c>
      <c r="G1229" s="28" t="s">
        <v>125</v>
      </c>
      <c r="H1229" s="28">
        <v>0</v>
      </c>
      <c r="J1229" s="28"/>
    </row>
    <row r="1230" spans="1:10" ht="15.75" customHeight="1">
      <c r="A1230" s="28">
        <v>16946</v>
      </c>
      <c r="B1230" s="91">
        <v>44907.692858796298</v>
      </c>
      <c r="C1230" s="28" t="s">
        <v>10</v>
      </c>
      <c r="D1230" s="28" t="s">
        <v>1097</v>
      </c>
      <c r="E1230" s="28"/>
      <c r="F1230" s="28">
        <v>0</v>
      </c>
      <c r="G1230" s="28" t="s">
        <v>119</v>
      </c>
      <c r="H1230" s="28">
        <v>0</v>
      </c>
      <c r="J1230" s="28"/>
    </row>
    <row r="1231" spans="1:10" ht="15.75" customHeight="1">
      <c r="A1231" s="28">
        <v>16952</v>
      </c>
      <c r="B1231" s="91">
        <v>44908.568819444445</v>
      </c>
      <c r="C1231" s="28" t="s">
        <v>10</v>
      </c>
      <c r="D1231" s="28" t="s">
        <v>1096</v>
      </c>
      <c r="E1231" s="28"/>
      <c r="F1231" s="28">
        <v>35</v>
      </c>
      <c r="G1231" s="28" t="s">
        <v>124</v>
      </c>
      <c r="H1231" s="28">
        <v>0</v>
      </c>
      <c r="J1231" s="28"/>
    </row>
    <row r="1232" spans="1:10" ht="15.75" customHeight="1">
      <c r="A1232" s="28">
        <v>16952</v>
      </c>
      <c r="B1232" s="91">
        <v>44908.568819444445</v>
      </c>
      <c r="C1232" s="28" t="s">
        <v>10</v>
      </c>
      <c r="D1232" s="28" t="s">
        <v>1096</v>
      </c>
      <c r="E1232" s="28"/>
      <c r="F1232" s="28">
        <v>0</v>
      </c>
      <c r="G1232" s="28" t="s">
        <v>125</v>
      </c>
      <c r="H1232" s="28">
        <v>0</v>
      </c>
      <c r="J1232" s="28"/>
    </row>
    <row r="1233" spans="1:10" ht="15.75" customHeight="1">
      <c r="A1233" s="28">
        <v>16952</v>
      </c>
      <c r="B1233" s="91">
        <v>44908.568819444445</v>
      </c>
      <c r="C1233" s="28" t="s">
        <v>10</v>
      </c>
      <c r="D1233" s="28" t="s">
        <v>1096</v>
      </c>
      <c r="E1233" s="28"/>
      <c r="F1233" s="28">
        <v>0</v>
      </c>
      <c r="G1233" s="28" t="s">
        <v>121</v>
      </c>
      <c r="H1233" s="28">
        <v>0</v>
      </c>
      <c r="J1233" s="28"/>
    </row>
    <row r="1234" spans="1:10" ht="15.75" customHeight="1">
      <c r="A1234" s="28">
        <v>16952</v>
      </c>
      <c r="B1234" s="91">
        <v>44908.568819444445</v>
      </c>
      <c r="C1234" s="28" t="s">
        <v>10</v>
      </c>
      <c r="D1234" s="28" t="s">
        <v>1096</v>
      </c>
      <c r="E1234" s="28"/>
      <c r="F1234" s="28">
        <v>0</v>
      </c>
      <c r="G1234" s="28" t="s">
        <v>119</v>
      </c>
      <c r="H1234" s="28">
        <v>0</v>
      </c>
      <c r="J1234" s="28"/>
    </row>
    <row r="1235" spans="1:10" ht="15.75" customHeight="1">
      <c r="A1235" s="28">
        <v>16952</v>
      </c>
      <c r="B1235" s="91">
        <v>44908.568819444445</v>
      </c>
      <c r="C1235" s="28" t="s">
        <v>10</v>
      </c>
      <c r="D1235" s="28" t="s">
        <v>1096</v>
      </c>
      <c r="E1235" s="28"/>
      <c r="F1235" s="28">
        <v>25</v>
      </c>
      <c r="G1235" s="28">
        <v>100692</v>
      </c>
      <c r="H1235" s="28">
        <v>0</v>
      </c>
      <c r="J1235" s="28"/>
    </row>
    <row r="1236" spans="1:10" ht="15.75" customHeight="1">
      <c r="A1236" s="28">
        <v>16952</v>
      </c>
      <c r="B1236" s="91">
        <v>44908.568819444445</v>
      </c>
      <c r="C1236" s="28" t="s">
        <v>10</v>
      </c>
      <c r="D1236" s="28" t="s">
        <v>1096</v>
      </c>
      <c r="E1236" s="28"/>
      <c r="F1236" s="28">
        <v>0</v>
      </c>
      <c r="G1236" s="28" t="s">
        <v>125</v>
      </c>
      <c r="H1236" s="28">
        <v>0</v>
      </c>
      <c r="J1236" s="28"/>
    </row>
    <row r="1237" spans="1:10" ht="15.75" customHeight="1">
      <c r="A1237" s="28">
        <v>16952</v>
      </c>
      <c r="B1237" s="91">
        <v>44908.568819444445</v>
      </c>
      <c r="C1237" s="28" t="s">
        <v>10</v>
      </c>
      <c r="D1237" s="28" t="s">
        <v>1096</v>
      </c>
      <c r="E1237" s="28"/>
      <c r="F1237" s="28">
        <v>0</v>
      </c>
      <c r="G1237" s="28" t="s">
        <v>119</v>
      </c>
      <c r="H1237" s="28">
        <v>0</v>
      </c>
      <c r="J1237" s="28"/>
    </row>
    <row r="1238" spans="1:10" ht="15.75" customHeight="1">
      <c r="A1238" s="28">
        <v>16975</v>
      </c>
      <c r="B1238" s="91">
        <v>44909.943159722221</v>
      </c>
      <c r="C1238" s="28" t="s">
        <v>10</v>
      </c>
      <c r="D1238" s="28" t="s">
        <v>1095</v>
      </c>
      <c r="E1238" s="28"/>
      <c r="F1238" s="28">
        <v>28</v>
      </c>
      <c r="G1238" s="28" t="s">
        <v>143</v>
      </c>
      <c r="H1238" s="28">
        <v>0</v>
      </c>
      <c r="J1238" s="28"/>
    </row>
    <row r="1239" spans="1:10" ht="15.75" customHeight="1">
      <c r="A1239" s="28">
        <v>16976</v>
      </c>
      <c r="B1239" s="91">
        <v>44910.182800925926</v>
      </c>
      <c r="C1239" s="28" t="s">
        <v>10</v>
      </c>
      <c r="D1239" s="28" t="s">
        <v>1094</v>
      </c>
      <c r="E1239" s="28"/>
      <c r="F1239" s="28">
        <v>0</v>
      </c>
      <c r="G1239" s="28" t="s">
        <v>121</v>
      </c>
      <c r="H1239" s="28">
        <v>0</v>
      </c>
      <c r="J1239" s="28"/>
    </row>
    <row r="1240" spans="1:10" ht="15.75" customHeight="1">
      <c r="A1240" s="28">
        <v>17014</v>
      </c>
      <c r="B1240" s="91">
        <v>44913.854201388887</v>
      </c>
      <c r="C1240" s="28" t="s">
        <v>10</v>
      </c>
      <c r="D1240" s="28" t="s">
        <v>1093</v>
      </c>
      <c r="E1240" s="28"/>
      <c r="F1240" s="28">
        <v>28</v>
      </c>
      <c r="G1240" s="28" t="s">
        <v>143</v>
      </c>
      <c r="H1240" s="28">
        <v>0</v>
      </c>
      <c r="J1240" s="28"/>
    </row>
    <row r="1241" spans="1:10" ht="15.75" customHeight="1">
      <c r="A1241" s="28">
        <v>17014</v>
      </c>
      <c r="B1241" s="91">
        <v>44913.854201388887</v>
      </c>
      <c r="C1241" s="28" t="s">
        <v>10</v>
      </c>
      <c r="D1241" s="28" t="s">
        <v>1093</v>
      </c>
      <c r="E1241" s="28"/>
      <c r="F1241" s="28">
        <v>18</v>
      </c>
      <c r="G1241" s="28" t="s">
        <v>119</v>
      </c>
      <c r="H1241" s="28">
        <v>0</v>
      </c>
      <c r="J1241" s="28"/>
    </row>
    <row r="1242" spans="1:10" ht="15.75" customHeight="1">
      <c r="A1242" s="28">
        <v>17015</v>
      </c>
      <c r="B1242" s="91">
        <v>44913.896481481483</v>
      </c>
      <c r="C1242" s="28" t="s">
        <v>10</v>
      </c>
      <c r="D1242" s="28" t="s">
        <v>1092</v>
      </c>
      <c r="E1242" s="28"/>
      <c r="F1242" s="28">
        <v>100</v>
      </c>
      <c r="G1242" s="28">
        <v>102779</v>
      </c>
      <c r="H1242" s="28">
        <v>0</v>
      </c>
      <c r="J1242" s="28"/>
    </row>
    <row r="1243" spans="1:10" ht="15.75" customHeight="1">
      <c r="A1243" s="28">
        <v>17015</v>
      </c>
      <c r="B1243" s="91">
        <v>44913.896481481483</v>
      </c>
      <c r="C1243" s="28" t="s">
        <v>10</v>
      </c>
      <c r="D1243" s="28" t="s">
        <v>1092</v>
      </c>
      <c r="E1243" s="28"/>
      <c r="F1243" s="28">
        <v>0</v>
      </c>
      <c r="G1243" s="28" t="s">
        <v>118</v>
      </c>
      <c r="H1243" s="28">
        <v>0</v>
      </c>
      <c r="J1243" s="28"/>
    </row>
    <row r="1244" spans="1:10" ht="15.75" customHeight="1">
      <c r="A1244" s="28">
        <v>17015</v>
      </c>
      <c r="B1244" s="91">
        <v>44913.896481481483</v>
      </c>
      <c r="C1244" s="28" t="s">
        <v>10</v>
      </c>
      <c r="D1244" s="28" t="s">
        <v>1092</v>
      </c>
      <c r="E1244" s="28"/>
      <c r="F1244" s="28">
        <v>0</v>
      </c>
      <c r="G1244" s="28" t="s">
        <v>119</v>
      </c>
      <c r="H1244" s="28">
        <v>0</v>
      </c>
      <c r="J1244" s="28"/>
    </row>
    <row r="1245" spans="1:10" ht="15.75" customHeight="1">
      <c r="A1245" s="28">
        <v>17015</v>
      </c>
      <c r="B1245" s="91">
        <v>44913.896481481483</v>
      </c>
      <c r="C1245" s="28" t="s">
        <v>10</v>
      </c>
      <c r="D1245" s="28" t="s">
        <v>1092</v>
      </c>
      <c r="E1245" s="28"/>
      <c r="F1245" s="28">
        <v>0</v>
      </c>
      <c r="G1245" s="28" t="s">
        <v>120</v>
      </c>
      <c r="H1245" s="28">
        <v>0</v>
      </c>
      <c r="J1245" s="28"/>
    </row>
    <row r="1246" spans="1:10" ht="15.75" customHeight="1">
      <c r="A1246" s="28">
        <v>17015</v>
      </c>
      <c r="B1246" s="91">
        <v>44913.896481481483</v>
      </c>
      <c r="C1246" s="28" t="s">
        <v>10</v>
      </c>
      <c r="D1246" s="28" t="s">
        <v>1092</v>
      </c>
      <c r="E1246" s="28"/>
      <c r="F1246" s="28">
        <v>0</v>
      </c>
      <c r="G1246" s="28" t="s">
        <v>122</v>
      </c>
      <c r="H1246" s="28">
        <v>0</v>
      </c>
      <c r="J1246" s="28"/>
    </row>
    <row r="1247" spans="1:10" ht="15.75" customHeight="1">
      <c r="A1247" s="28">
        <v>17015</v>
      </c>
      <c r="B1247" s="91">
        <v>44913.896481481483</v>
      </c>
      <c r="C1247" s="28" t="s">
        <v>10</v>
      </c>
      <c r="D1247" s="28" t="s">
        <v>1092</v>
      </c>
      <c r="E1247" s="28"/>
      <c r="F1247" s="28">
        <v>0</v>
      </c>
      <c r="G1247" s="28" t="s">
        <v>121</v>
      </c>
      <c r="H1247" s="28">
        <v>0</v>
      </c>
      <c r="J1247" s="28"/>
    </row>
    <row r="1248" spans="1:10" ht="15.75" customHeight="1">
      <c r="A1248" s="28">
        <v>17015</v>
      </c>
      <c r="B1248" s="91">
        <v>44913.896481481483</v>
      </c>
      <c r="C1248" s="28" t="s">
        <v>10</v>
      </c>
      <c r="D1248" s="28" t="s">
        <v>1092</v>
      </c>
      <c r="E1248" s="28"/>
      <c r="F1248" s="28">
        <v>0</v>
      </c>
      <c r="G1248" s="28" t="s">
        <v>139</v>
      </c>
      <c r="H1248" s="28">
        <v>0</v>
      </c>
      <c r="J1248" s="28"/>
    </row>
    <row r="1249" spans="1:10" ht="15.75" customHeight="1">
      <c r="A1249" s="28">
        <v>17025</v>
      </c>
      <c r="B1249" s="91">
        <v>44913.988773148143</v>
      </c>
      <c r="C1249" s="28" t="s">
        <v>10</v>
      </c>
      <c r="D1249" s="28" t="s">
        <v>1091</v>
      </c>
      <c r="E1249" s="28"/>
      <c r="F1249" s="28">
        <v>0</v>
      </c>
      <c r="G1249" s="28"/>
      <c r="H1249" s="28">
        <v>0</v>
      </c>
      <c r="J1249" s="28"/>
    </row>
    <row r="1250" spans="1:10" ht="15.75" customHeight="1">
      <c r="A1250" s="28">
        <v>17025</v>
      </c>
      <c r="B1250" s="91">
        <v>44913.988773148143</v>
      </c>
      <c r="C1250" s="28" t="s">
        <v>10</v>
      </c>
      <c r="D1250" s="28" t="s">
        <v>1091</v>
      </c>
      <c r="E1250" s="28"/>
      <c r="F1250" s="28">
        <v>0</v>
      </c>
      <c r="G1250" s="28" t="s">
        <v>125</v>
      </c>
      <c r="H1250" s="28">
        <v>0</v>
      </c>
      <c r="J1250" s="28"/>
    </row>
    <row r="1251" spans="1:10" ht="15.75" customHeight="1">
      <c r="A1251" s="28">
        <v>17025</v>
      </c>
      <c r="B1251" s="91">
        <v>44913.988773148143</v>
      </c>
      <c r="C1251" s="28" t="s">
        <v>10</v>
      </c>
      <c r="D1251" s="28" t="s">
        <v>1091</v>
      </c>
      <c r="E1251" s="28"/>
      <c r="F1251" s="28">
        <v>0</v>
      </c>
      <c r="G1251" s="28" t="s">
        <v>119</v>
      </c>
      <c r="H1251" s="28">
        <v>0</v>
      </c>
      <c r="J1251" s="28"/>
    </row>
    <row r="1252" spans="1:10" ht="15.75" customHeight="1">
      <c r="A1252" s="28">
        <v>17025</v>
      </c>
      <c r="B1252" s="91">
        <v>44913.988773148143</v>
      </c>
      <c r="C1252" s="28" t="s">
        <v>10</v>
      </c>
      <c r="D1252" s="28" t="s">
        <v>1091</v>
      </c>
      <c r="E1252" s="28"/>
      <c r="F1252" s="28">
        <v>0</v>
      </c>
      <c r="G1252" s="28" t="s">
        <v>148</v>
      </c>
      <c r="H1252" s="28">
        <v>0</v>
      </c>
      <c r="J1252" s="28"/>
    </row>
    <row r="1253" spans="1:10" ht="15.75" customHeight="1">
      <c r="A1253" s="28">
        <v>17026</v>
      </c>
      <c r="B1253" s="91">
        <v>44913.99423611111</v>
      </c>
      <c r="C1253" s="28" t="s">
        <v>10</v>
      </c>
      <c r="D1253" s="28" t="s">
        <v>1090</v>
      </c>
      <c r="E1253" s="28"/>
      <c r="F1253" s="28">
        <v>0</v>
      </c>
      <c r="G1253" s="28" t="s">
        <v>124</v>
      </c>
      <c r="H1253" s="28">
        <v>0</v>
      </c>
      <c r="J1253" s="28"/>
    </row>
    <row r="1254" spans="1:10" ht="15.75" customHeight="1">
      <c r="A1254" s="28">
        <v>17026</v>
      </c>
      <c r="B1254" s="91">
        <v>44913.99423611111</v>
      </c>
      <c r="C1254" s="28" t="s">
        <v>10</v>
      </c>
      <c r="D1254" s="28" t="s">
        <v>1090</v>
      </c>
      <c r="E1254" s="28"/>
      <c r="F1254" s="28">
        <v>0</v>
      </c>
      <c r="G1254" s="28" t="s">
        <v>125</v>
      </c>
      <c r="H1254" s="28">
        <v>0</v>
      </c>
      <c r="J1254" s="28"/>
    </row>
    <row r="1255" spans="1:10" ht="15.75" customHeight="1">
      <c r="A1255" s="28">
        <v>17026</v>
      </c>
      <c r="B1255" s="91">
        <v>44913.99423611111</v>
      </c>
      <c r="C1255" s="28" t="s">
        <v>10</v>
      </c>
      <c r="D1255" s="28" t="s">
        <v>1090</v>
      </c>
      <c r="E1255" s="28"/>
      <c r="F1255" s="28">
        <v>0</v>
      </c>
      <c r="G1255" s="28" t="s">
        <v>119</v>
      </c>
      <c r="H1255" s="28">
        <v>0</v>
      </c>
      <c r="J1255" s="28"/>
    </row>
    <row r="1256" spans="1:10" ht="15.75" customHeight="1">
      <c r="A1256" s="28">
        <v>17026</v>
      </c>
      <c r="B1256" s="91">
        <v>44913.99423611111</v>
      </c>
      <c r="C1256" s="28" t="s">
        <v>10</v>
      </c>
      <c r="D1256" s="28" t="s">
        <v>1090</v>
      </c>
      <c r="E1256" s="28"/>
      <c r="F1256" s="28">
        <v>0</v>
      </c>
      <c r="G1256" s="28" t="s">
        <v>121</v>
      </c>
      <c r="H1256" s="28">
        <v>0</v>
      </c>
      <c r="J1256" s="28"/>
    </row>
    <row r="1257" spans="1:10" ht="15.75" customHeight="1">
      <c r="A1257" s="28">
        <v>17027</v>
      </c>
      <c r="B1257" s="91">
        <v>44914.026099537034</v>
      </c>
      <c r="C1257" s="28" t="s">
        <v>10</v>
      </c>
      <c r="D1257" s="28" t="s">
        <v>1089</v>
      </c>
      <c r="E1257" s="28"/>
      <c r="F1257" s="28">
        <v>28</v>
      </c>
      <c r="G1257" s="28" t="s">
        <v>143</v>
      </c>
      <c r="H1257" s="28">
        <v>0</v>
      </c>
      <c r="J1257" s="28"/>
    </row>
    <row r="1258" spans="1:10" ht="15.75" customHeight="1">
      <c r="A1258" s="28">
        <v>17028</v>
      </c>
      <c r="B1258" s="91">
        <v>44915.259155092594</v>
      </c>
      <c r="C1258" s="28" t="s">
        <v>10</v>
      </c>
      <c r="D1258" s="28" t="s">
        <v>1088</v>
      </c>
      <c r="E1258" s="28"/>
      <c r="F1258" s="28">
        <v>15</v>
      </c>
      <c r="G1258" s="28" t="s">
        <v>139</v>
      </c>
      <c r="H1258" s="28">
        <v>0</v>
      </c>
      <c r="J1258" s="28"/>
    </row>
    <row r="1259" spans="1:10" ht="15.75" customHeight="1">
      <c r="A1259" s="28">
        <v>17028</v>
      </c>
      <c r="B1259" s="91">
        <v>44915.259155092594</v>
      </c>
      <c r="C1259" s="28" t="s">
        <v>10</v>
      </c>
      <c r="D1259" s="28" t="s">
        <v>1088</v>
      </c>
      <c r="E1259" s="28"/>
      <c r="F1259" s="28">
        <v>28</v>
      </c>
      <c r="G1259" s="28" t="s">
        <v>143</v>
      </c>
      <c r="H1259" s="28">
        <v>0</v>
      </c>
      <c r="J1259" s="28"/>
    </row>
    <row r="1260" spans="1:10" ht="15.75" customHeight="1">
      <c r="A1260" s="28">
        <v>17028</v>
      </c>
      <c r="B1260" s="91">
        <v>44915.259155092594</v>
      </c>
      <c r="C1260" s="28" t="s">
        <v>10</v>
      </c>
      <c r="D1260" s="28" t="s">
        <v>1088</v>
      </c>
      <c r="E1260" s="28"/>
      <c r="F1260" s="28">
        <v>25</v>
      </c>
      <c r="G1260" s="28">
        <v>100692</v>
      </c>
      <c r="H1260" s="28">
        <v>0</v>
      </c>
      <c r="J1260" s="28"/>
    </row>
    <row r="1261" spans="1:10" ht="15.75" customHeight="1">
      <c r="A1261" s="28">
        <v>17028</v>
      </c>
      <c r="B1261" s="91">
        <v>44915.259155092594</v>
      </c>
      <c r="C1261" s="28" t="s">
        <v>10</v>
      </c>
      <c r="D1261" s="28" t="s">
        <v>1088</v>
      </c>
      <c r="E1261" s="28"/>
      <c r="F1261" s="28">
        <v>0</v>
      </c>
      <c r="G1261" s="28" t="s">
        <v>125</v>
      </c>
      <c r="H1261" s="28">
        <v>0</v>
      </c>
      <c r="J1261" s="28"/>
    </row>
    <row r="1262" spans="1:10" ht="15.75" customHeight="1">
      <c r="A1262" s="28">
        <v>17028</v>
      </c>
      <c r="B1262" s="91">
        <v>44915.259155092594</v>
      </c>
      <c r="C1262" s="28" t="s">
        <v>10</v>
      </c>
      <c r="D1262" s="28" t="s">
        <v>1088</v>
      </c>
      <c r="E1262" s="28"/>
      <c r="F1262" s="28">
        <v>0</v>
      </c>
      <c r="G1262" s="28" t="s">
        <v>119</v>
      </c>
      <c r="H1262" s="28">
        <v>0</v>
      </c>
      <c r="J1262" s="28"/>
    </row>
    <row r="1263" spans="1:10" ht="15.75" customHeight="1">
      <c r="A1263" s="28">
        <v>17029</v>
      </c>
      <c r="B1263" s="91">
        <v>44915.261238425926</v>
      </c>
      <c r="C1263" s="28" t="s">
        <v>10</v>
      </c>
      <c r="D1263" s="28" t="s">
        <v>1087</v>
      </c>
      <c r="E1263" s="28"/>
      <c r="F1263" s="28">
        <v>25</v>
      </c>
      <c r="G1263" s="28">
        <v>100692</v>
      </c>
      <c r="H1263" s="28">
        <v>0</v>
      </c>
      <c r="J1263" s="28"/>
    </row>
    <row r="1264" spans="1:10" ht="15.75" customHeight="1">
      <c r="A1264" s="28">
        <v>17029</v>
      </c>
      <c r="B1264" s="91">
        <v>44915.261238425926</v>
      </c>
      <c r="C1264" s="28" t="s">
        <v>10</v>
      </c>
      <c r="D1264" s="28" t="s">
        <v>1087</v>
      </c>
      <c r="E1264" s="28"/>
      <c r="F1264" s="28">
        <v>0</v>
      </c>
      <c r="G1264" s="28" t="s">
        <v>125</v>
      </c>
      <c r="H1264" s="28">
        <v>0</v>
      </c>
      <c r="J1264" s="28"/>
    </row>
    <row r="1265" spans="1:10" ht="15.75" customHeight="1">
      <c r="A1265" s="28">
        <v>17029</v>
      </c>
      <c r="B1265" s="91">
        <v>44915.261238425926</v>
      </c>
      <c r="C1265" s="28" t="s">
        <v>10</v>
      </c>
      <c r="D1265" s="28" t="s">
        <v>1087</v>
      </c>
      <c r="E1265" s="28"/>
      <c r="F1265" s="28">
        <v>0</v>
      </c>
      <c r="G1265" s="28" t="s">
        <v>119</v>
      </c>
      <c r="H1265" s="28">
        <v>0</v>
      </c>
      <c r="J1265" s="28"/>
    </row>
    <row r="1266" spans="1:10" ht="15.75" customHeight="1">
      <c r="A1266" s="28">
        <v>17029</v>
      </c>
      <c r="B1266" s="91">
        <v>44915.261238425926</v>
      </c>
      <c r="C1266" s="28" t="s">
        <v>10</v>
      </c>
      <c r="D1266" s="28" t="s">
        <v>1087</v>
      </c>
      <c r="E1266" s="28"/>
      <c r="F1266" s="28">
        <v>28</v>
      </c>
      <c r="G1266" s="28" t="s">
        <v>143</v>
      </c>
      <c r="H1266" s="28">
        <v>0</v>
      </c>
      <c r="J1266" s="28"/>
    </row>
    <row r="1267" spans="1:10" ht="15.75" customHeight="1">
      <c r="A1267" s="28">
        <v>17029</v>
      </c>
      <c r="B1267" s="91">
        <v>44915.261238425926</v>
      </c>
      <c r="C1267" s="28" t="s">
        <v>10</v>
      </c>
      <c r="D1267" s="28" t="s">
        <v>1087</v>
      </c>
      <c r="E1267" s="28"/>
      <c r="F1267" s="28">
        <v>15</v>
      </c>
      <c r="G1267" s="28" t="s">
        <v>139</v>
      </c>
      <c r="H1267" s="28">
        <v>0</v>
      </c>
      <c r="J1267" s="28"/>
    </row>
    <row r="1268" spans="1:10" ht="15.75" customHeight="1">
      <c r="A1268" s="28">
        <v>17070</v>
      </c>
      <c r="B1268" s="91">
        <v>44918.150578703702</v>
      </c>
      <c r="C1268" s="28" t="s">
        <v>10</v>
      </c>
      <c r="D1268" s="28" t="s">
        <v>1086</v>
      </c>
      <c r="E1268" s="28"/>
      <c r="F1268" s="28">
        <v>25</v>
      </c>
      <c r="G1268" s="28">
        <v>100692</v>
      </c>
      <c r="H1268" s="28">
        <v>0</v>
      </c>
      <c r="J1268" s="28"/>
    </row>
    <row r="1269" spans="1:10" ht="15.75" customHeight="1">
      <c r="A1269" s="28">
        <v>17070</v>
      </c>
      <c r="B1269" s="91">
        <v>44918.150578703702</v>
      </c>
      <c r="C1269" s="28" t="s">
        <v>10</v>
      </c>
      <c r="D1269" s="28" t="s">
        <v>1086</v>
      </c>
      <c r="E1269" s="28"/>
      <c r="F1269" s="28">
        <v>0</v>
      </c>
      <c r="G1269" s="28" t="s">
        <v>125</v>
      </c>
      <c r="H1269" s="28">
        <v>0</v>
      </c>
      <c r="J1269" s="28"/>
    </row>
    <row r="1270" spans="1:10" ht="15.75" customHeight="1">
      <c r="A1270" s="28">
        <v>17070</v>
      </c>
      <c r="B1270" s="91">
        <v>44918.150578703702</v>
      </c>
      <c r="C1270" s="28" t="s">
        <v>10</v>
      </c>
      <c r="D1270" s="28" t="s">
        <v>1086</v>
      </c>
      <c r="E1270" s="28"/>
      <c r="F1270" s="28">
        <v>0</v>
      </c>
      <c r="G1270" s="28" t="s">
        <v>119</v>
      </c>
      <c r="H1270" s="28">
        <v>0</v>
      </c>
      <c r="J1270" s="28"/>
    </row>
    <row r="1271" spans="1:10" ht="15.75" customHeight="1">
      <c r="A1271" s="28">
        <v>17070</v>
      </c>
      <c r="B1271" s="91">
        <v>44918.150578703702</v>
      </c>
      <c r="C1271" s="28" t="s">
        <v>10</v>
      </c>
      <c r="D1271" s="28" t="s">
        <v>1086</v>
      </c>
      <c r="E1271" s="28"/>
      <c r="F1271" s="28">
        <v>22</v>
      </c>
      <c r="G1271" s="28" t="s">
        <v>137</v>
      </c>
      <c r="H1271" s="28">
        <v>0</v>
      </c>
      <c r="J1271" s="28"/>
    </row>
    <row r="1272" spans="1:10" ht="15.75" customHeight="1">
      <c r="A1272" s="28">
        <v>17189</v>
      </c>
      <c r="B1272" s="91">
        <v>44923.03424768518</v>
      </c>
      <c r="C1272" s="28" t="s">
        <v>10</v>
      </c>
      <c r="D1272" s="28" t="s">
        <v>1085</v>
      </c>
      <c r="E1272" s="28"/>
      <c r="F1272" s="28">
        <v>24</v>
      </c>
      <c r="G1272" s="28" t="s">
        <v>122</v>
      </c>
      <c r="H1272" s="28">
        <v>0</v>
      </c>
      <c r="J1272" s="28"/>
    </row>
    <row r="1273" spans="1:10" ht="15.75" customHeight="1">
      <c r="A1273" s="28">
        <v>17189</v>
      </c>
      <c r="B1273" s="91">
        <v>44923.03424768518</v>
      </c>
      <c r="C1273" s="28" t="s">
        <v>10</v>
      </c>
      <c r="D1273" s="28" t="s">
        <v>1085</v>
      </c>
      <c r="E1273" s="28"/>
      <c r="F1273" s="28">
        <v>15</v>
      </c>
      <c r="G1273" s="28" t="s">
        <v>139</v>
      </c>
      <c r="H1273" s="28">
        <v>0</v>
      </c>
      <c r="J1273" s="28"/>
    </row>
    <row r="1274" spans="1:10" ht="15.75" customHeight="1">
      <c r="A1274" s="28">
        <v>17189</v>
      </c>
      <c r="B1274" s="91">
        <v>44923.03424768518</v>
      </c>
      <c r="C1274" s="28" t="s">
        <v>10</v>
      </c>
      <c r="D1274" s="28" t="s">
        <v>1085</v>
      </c>
      <c r="E1274" s="28"/>
      <c r="F1274" s="28">
        <v>25</v>
      </c>
      <c r="G1274" s="28">
        <v>100692</v>
      </c>
      <c r="H1274" s="28">
        <v>0</v>
      </c>
      <c r="J1274" s="28"/>
    </row>
    <row r="1275" spans="1:10" ht="15.75" customHeight="1">
      <c r="A1275" s="28">
        <v>17189</v>
      </c>
      <c r="B1275" s="91">
        <v>44923.03424768518</v>
      </c>
      <c r="C1275" s="28" t="s">
        <v>10</v>
      </c>
      <c r="D1275" s="28" t="s">
        <v>1085</v>
      </c>
      <c r="E1275" s="28"/>
      <c r="F1275" s="28">
        <v>0</v>
      </c>
      <c r="G1275" s="28" t="s">
        <v>125</v>
      </c>
      <c r="H1275" s="28">
        <v>0</v>
      </c>
      <c r="J1275" s="28"/>
    </row>
    <row r="1276" spans="1:10" ht="15.75" customHeight="1">
      <c r="A1276" s="28">
        <v>17189</v>
      </c>
      <c r="B1276" s="91">
        <v>44923.03424768518</v>
      </c>
      <c r="C1276" s="28" t="s">
        <v>10</v>
      </c>
      <c r="D1276" s="28" t="s">
        <v>1085</v>
      </c>
      <c r="E1276" s="28"/>
      <c r="F1276" s="28">
        <v>0</v>
      </c>
      <c r="G1276" s="28" t="s">
        <v>119</v>
      </c>
      <c r="H1276" s="28">
        <v>0</v>
      </c>
      <c r="J1276" s="28"/>
    </row>
    <row r="1277" spans="1:10" ht="15.75" customHeight="1">
      <c r="A1277" s="28">
        <v>17192</v>
      </c>
      <c r="B1277" s="91">
        <v>44927.631331018521</v>
      </c>
      <c r="C1277" s="28" t="s">
        <v>10</v>
      </c>
      <c r="D1277" s="28" t="s">
        <v>1084</v>
      </c>
      <c r="E1277" s="28"/>
      <c r="F1277" s="28">
        <v>20</v>
      </c>
      <c r="G1277" s="28" t="s">
        <v>148</v>
      </c>
      <c r="H1277" s="28">
        <v>0</v>
      </c>
      <c r="J1277" s="28"/>
    </row>
    <row r="1278" spans="1:10" ht="15.75" customHeight="1">
      <c r="A1278" s="28">
        <v>17428</v>
      </c>
      <c r="B1278" s="91">
        <v>44934.852476851855</v>
      </c>
      <c r="C1278" s="28" t="s">
        <v>10</v>
      </c>
      <c r="D1278" s="28" t="s">
        <v>1083</v>
      </c>
      <c r="E1278" s="28"/>
      <c r="F1278" s="28">
        <v>15</v>
      </c>
      <c r="G1278" s="28" t="s">
        <v>139</v>
      </c>
      <c r="H1278" s="28">
        <v>0</v>
      </c>
      <c r="J1278" s="28"/>
    </row>
    <row r="1279" spans="1:10" ht="15.75" customHeight="1">
      <c r="A1279" s="28">
        <v>17428</v>
      </c>
      <c r="B1279" s="91">
        <v>44934.852476851855</v>
      </c>
      <c r="C1279" s="28" t="s">
        <v>10</v>
      </c>
      <c r="D1279" s="28" t="s">
        <v>1083</v>
      </c>
      <c r="E1279" s="28"/>
      <c r="F1279" s="28">
        <v>24</v>
      </c>
      <c r="G1279" s="28" t="s">
        <v>122</v>
      </c>
      <c r="H1279" s="28">
        <v>0</v>
      </c>
      <c r="J1279" s="28"/>
    </row>
    <row r="1280" spans="1:10" ht="15.75" customHeight="1">
      <c r="A1280" s="28">
        <v>17446</v>
      </c>
      <c r="B1280" s="91">
        <v>44936.161041666666</v>
      </c>
      <c r="C1280" s="28" t="s">
        <v>10</v>
      </c>
      <c r="D1280" s="28" t="s">
        <v>1082</v>
      </c>
      <c r="E1280" s="28"/>
      <c r="F1280" s="28">
        <v>35</v>
      </c>
      <c r="G1280" s="28" t="s">
        <v>124</v>
      </c>
      <c r="H1280" s="28">
        <v>0</v>
      </c>
      <c r="J1280" s="28"/>
    </row>
    <row r="1281" spans="1:10" ht="15.75" customHeight="1">
      <c r="A1281" s="28">
        <v>17446</v>
      </c>
      <c r="B1281" s="91">
        <v>44936.161041666666</v>
      </c>
      <c r="C1281" s="28" t="s">
        <v>10</v>
      </c>
      <c r="D1281" s="28" t="s">
        <v>1082</v>
      </c>
      <c r="E1281" s="28"/>
      <c r="F1281" s="28">
        <v>0</v>
      </c>
      <c r="G1281" s="28" t="s">
        <v>125</v>
      </c>
      <c r="H1281" s="28">
        <v>0</v>
      </c>
      <c r="J1281" s="28"/>
    </row>
    <row r="1282" spans="1:10" ht="15.75" customHeight="1">
      <c r="A1282" s="28">
        <v>17446</v>
      </c>
      <c r="B1282" s="91">
        <v>44936.161041666666</v>
      </c>
      <c r="C1282" s="28" t="s">
        <v>10</v>
      </c>
      <c r="D1282" s="28" t="s">
        <v>1082</v>
      </c>
      <c r="E1282" s="28"/>
      <c r="F1282" s="28">
        <v>0</v>
      </c>
      <c r="G1282" s="28" t="s">
        <v>119</v>
      </c>
      <c r="H1282" s="28">
        <v>0</v>
      </c>
      <c r="J1282" s="28"/>
    </row>
    <row r="1283" spans="1:10" ht="15.75" customHeight="1">
      <c r="A1283" s="28">
        <v>17446</v>
      </c>
      <c r="B1283" s="91">
        <v>44936.161041666666</v>
      </c>
      <c r="C1283" s="28" t="s">
        <v>10</v>
      </c>
      <c r="D1283" s="28" t="s">
        <v>1082</v>
      </c>
      <c r="E1283" s="28"/>
      <c r="F1283" s="28">
        <v>0</v>
      </c>
      <c r="G1283" s="28" t="s">
        <v>121</v>
      </c>
      <c r="H1283" s="28">
        <v>0</v>
      </c>
      <c r="J1283" s="28"/>
    </row>
    <row r="1284" spans="1:10" ht="15.75" customHeight="1">
      <c r="A1284" s="28">
        <v>17446</v>
      </c>
      <c r="B1284" s="91">
        <v>44936.161041666666</v>
      </c>
      <c r="C1284" s="28" t="s">
        <v>10</v>
      </c>
      <c r="D1284" s="28" t="s">
        <v>1082</v>
      </c>
      <c r="E1284" s="28"/>
      <c r="F1284" s="28">
        <v>25</v>
      </c>
      <c r="G1284" s="28" t="s">
        <v>118</v>
      </c>
      <c r="H1284" s="28">
        <v>0</v>
      </c>
      <c r="J1284" s="28"/>
    </row>
    <row r="1285" spans="1:10" ht="15.75" customHeight="1">
      <c r="A1285" s="28">
        <v>17532</v>
      </c>
      <c r="B1285" s="91">
        <v>44940.561828703707</v>
      </c>
      <c r="C1285" s="28" t="s">
        <v>10</v>
      </c>
      <c r="D1285" s="28" t="s">
        <v>1081</v>
      </c>
      <c r="E1285" s="28"/>
      <c r="F1285" s="28">
        <v>20</v>
      </c>
      <c r="G1285" s="28" t="s">
        <v>148</v>
      </c>
      <c r="H1285" s="28">
        <v>0</v>
      </c>
      <c r="J1285" s="28"/>
    </row>
    <row r="1286" spans="1:10" ht="15.75" customHeight="1">
      <c r="A1286" s="28">
        <v>17533</v>
      </c>
      <c r="B1286" s="91">
        <v>44941.950972222221</v>
      </c>
      <c r="C1286" s="28" t="s">
        <v>10</v>
      </c>
      <c r="D1286" s="28" t="s">
        <v>1080</v>
      </c>
      <c r="E1286" s="28"/>
      <c r="F1286" s="28">
        <v>28</v>
      </c>
      <c r="G1286" s="28" t="s">
        <v>143</v>
      </c>
      <c r="H1286" s="28">
        <v>0</v>
      </c>
      <c r="J1286" s="28"/>
    </row>
    <row r="1287" spans="1:10" ht="15.75" customHeight="1">
      <c r="A1287" s="28">
        <v>17533</v>
      </c>
      <c r="B1287" s="91">
        <v>44941.950972222221</v>
      </c>
      <c r="C1287" s="28" t="s">
        <v>10</v>
      </c>
      <c r="D1287" s="28" t="s">
        <v>1080</v>
      </c>
      <c r="E1287" s="28"/>
      <c r="F1287" s="28">
        <v>55</v>
      </c>
      <c r="G1287" s="28">
        <v>101684</v>
      </c>
      <c r="H1287" s="28">
        <v>0</v>
      </c>
      <c r="J1287" s="28"/>
    </row>
    <row r="1288" spans="1:10" ht="15.75" customHeight="1">
      <c r="A1288" s="28">
        <v>17533</v>
      </c>
      <c r="B1288" s="91">
        <v>44941.950972222221</v>
      </c>
      <c r="C1288" s="28" t="s">
        <v>10</v>
      </c>
      <c r="D1288" s="28" t="s">
        <v>1080</v>
      </c>
      <c r="E1288" s="28"/>
      <c r="F1288" s="28">
        <v>0</v>
      </c>
      <c r="G1288" s="28" t="s">
        <v>118</v>
      </c>
      <c r="H1288" s="28">
        <v>0</v>
      </c>
      <c r="J1288" s="28"/>
    </row>
    <row r="1289" spans="1:10" ht="15.75" customHeight="1">
      <c r="A1289" s="28">
        <v>17533</v>
      </c>
      <c r="B1289" s="91">
        <v>44941.950972222221</v>
      </c>
      <c r="C1289" s="28" t="s">
        <v>10</v>
      </c>
      <c r="D1289" s="28" t="s">
        <v>1080</v>
      </c>
      <c r="E1289" s="28"/>
      <c r="F1289" s="28">
        <v>0</v>
      </c>
      <c r="G1289" s="28" t="s">
        <v>119</v>
      </c>
      <c r="H1289" s="28">
        <v>0</v>
      </c>
      <c r="J1289" s="28"/>
    </row>
    <row r="1290" spans="1:10" ht="15.75" customHeight="1">
      <c r="A1290" s="28">
        <v>17533</v>
      </c>
      <c r="B1290" s="91">
        <v>44941.950972222221</v>
      </c>
      <c r="C1290" s="28" t="s">
        <v>10</v>
      </c>
      <c r="D1290" s="28" t="s">
        <v>1080</v>
      </c>
      <c r="E1290" s="28"/>
      <c r="F1290" s="28">
        <v>0</v>
      </c>
      <c r="G1290" s="28" t="s">
        <v>120</v>
      </c>
      <c r="H1290" s="28">
        <v>0</v>
      </c>
      <c r="J1290" s="28"/>
    </row>
    <row r="1291" spans="1:10" ht="15.75" customHeight="1">
      <c r="A1291" s="28">
        <v>17533</v>
      </c>
      <c r="B1291" s="91">
        <v>44941.950972222221</v>
      </c>
      <c r="C1291" s="28" t="s">
        <v>10</v>
      </c>
      <c r="D1291" s="28" t="s">
        <v>1080</v>
      </c>
      <c r="E1291" s="28"/>
      <c r="F1291" s="28">
        <v>0</v>
      </c>
      <c r="G1291" s="28" t="s">
        <v>121</v>
      </c>
      <c r="H1291" s="28">
        <v>0</v>
      </c>
      <c r="J1291" s="28"/>
    </row>
    <row r="1292" spans="1:10" ht="15.75" customHeight="1">
      <c r="A1292" s="28">
        <v>17536</v>
      </c>
      <c r="B1292" s="91">
        <v>44942.691111111111</v>
      </c>
      <c r="C1292" s="28" t="s">
        <v>10</v>
      </c>
      <c r="D1292" s="28" t="s">
        <v>1079</v>
      </c>
      <c r="E1292" s="28"/>
      <c r="F1292" s="28">
        <v>24</v>
      </c>
      <c r="G1292" s="28" t="s">
        <v>122</v>
      </c>
      <c r="H1292" s="28">
        <v>0</v>
      </c>
      <c r="J1292" s="28"/>
    </row>
    <row r="1293" spans="1:10" ht="15.75" customHeight="1">
      <c r="A1293" s="28">
        <v>17536</v>
      </c>
      <c r="B1293" s="91">
        <v>44942.691111111111</v>
      </c>
      <c r="C1293" s="28" t="s">
        <v>10</v>
      </c>
      <c r="D1293" s="28" t="s">
        <v>1079</v>
      </c>
      <c r="E1293" s="28"/>
      <c r="F1293" s="28">
        <v>24</v>
      </c>
      <c r="G1293" s="28" t="s">
        <v>122</v>
      </c>
      <c r="H1293" s="28">
        <v>0</v>
      </c>
      <c r="J1293" s="28"/>
    </row>
    <row r="1294" spans="1:10" ht="15.75" customHeight="1">
      <c r="A1294" s="28">
        <v>17538</v>
      </c>
      <c r="B1294" s="91">
        <v>44943.878460648149</v>
      </c>
      <c r="C1294" s="28" t="s">
        <v>10</v>
      </c>
      <c r="D1294" s="28" t="s">
        <v>1078</v>
      </c>
      <c r="E1294" s="28"/>
      <c r="F1294" s="28">
        <v>25</v>
      </c>
      <c r="G1294" s="28">
        <v>100692</v>
      </c>
      <c r="H1294" s="28">
        <v>0</v>
      </c>
      <c r="J1294" s="28"/>
    </row>
    <row r="1295" spans="1:10" ht="15.75" customHeight="1">
      <c r="A1295" s="28">
        <v>17538</v>
      </c>
      <c r="B1295" s="91">
        <v>44943.878460648149</v>
      </c>
      <c r="C1295" s="28" t="s">
        <v>10</v>
      </c>
      <c r="D1295" s="28" t="s">
        <v>1078</v>
      </c>
      <c r="E1295" s="28"/>
      <c r="F1295" s="28">
        <v>0</v>
      </c>
      <c r="G1295" s="28" t="s">
        <v>125</v>
      </c>
      <c r="H1295" s="28">
        <v>0</v>
      </c>
      <c r="J1295" s="28"/>
    </row>
    <row r="1296" spans="1:10" ht="15.75" customHeight="1">
      <c r="A1296" s="28">
        <v>17538</v>
      </c>
      <c r="B1296" s="91">
        <v>44943.878460648149</v>
      </c>
      <c r="C1296" s="28" t="s">
        <v>10</v>
      </c>
      <c r="D1296" s="28" t="s">
        <v>1078</v>
      </c>
      <c r="E1296" s="28"/>
      <c r="F1296" s="28">
        <v>0</v>
      </c>
      <c r="G1296" s="28" t="s">
        <v>119</v>
      </c>
      <c r="H1296" s="28">
        <v>0</v>
      </c>
      <c r="J1296" s="28"/>
    </row>
    <row r="1297" spans="1:10" ht="15.75" customHeight="1">
      <c r="A1297" s="28">
        <v>17539</v>
      </c>
      <c r="B1297" s="91">
        <v>44943.932534722218</v>
      </c>
      <c r="C1297" s="28" t="s">
        <v>10</v>
      </c>
      <c r="D1297" s="28" t="s">
        <v>1077</v>
      </c>
      <c r="E1297" s="28"/>
      <c r="F1297" s="28">
        <v>24</v>
      </c>
      <c r="G1297" s="28" t="s">
        <v>122</v>
      </c>
      <c r="H1297" s="28">
        <v>0</v>
      </c>
      <c r="J1297" s="28"/>
    </row>
    <row r="1298" spans="1:10" ht="15.75" customHeight="1">
      <c r="A1298" s="28">
        <v>17539</v>
      </c>
      <c r="B1298" s="91">
        <v>44943.932534722218</v>
      </c>
      <c r="C1298" s="28" t="s">
        <v>10</v>
      </c>
      <c r="D1298" s="28" t="s">
        <v>1077</v>
      </c>
      <c r="E1298" s="28"/>
      <c r="F1298" s="28">
        <v>25</v>
      </c>
      <c r="G1298" s="28">
        <v>100692</v>
      </c>
      <c r="H1298" s="28">
        <v>0</v>
      </c>
      <c r="J1298" s="28"/>
    </row>
    <row r="1299" spans="1:10" ht="15.75" customHeight="1">
      <c r="A1299" s="28">
        <v>17539</v>
      </c>
      <c r="B1299" s="91">
        <v>44943.932534722218</v>
      </c>
      <c r="C1299" s="28" t="s">
        <v>10</v>
      </c>
      <c r="D1299" s="28" t="s">
        <v>1077</v>
      </c>
      <c r="E1299" s="28"/>
      <c r="F1299" s="28">
        <v>0</v>
      </c>
      <c r="G1299" s="28" t="s">
        <v>125</v>
      </c>
      <c r="H1299" s="28">
        <v>0</v>
      </c>
      <c r="J1299" s="28"/>
    </row>
    <row r="1300" spans="1:10" ht="15.75" customHeight="1">
      <c r="A1300" s="28">
        <v>17539</v>
      </c>
      <c r="B1300" s="91">
        <v>44943.932534722218</v>
      </c>
      <c r="C1300" s="28" t="s">
        <v>10</v>
      </c>
      <c r="D1300" s="28" t="s">
        <v>1077</v>
      </c>
      <c r="E1300" s="28"/>
      <c r="F1300" s="28">
        <v>0</v>
      </c>
      <c r="G1300" s="28" t="s">
        <v>119</v>
      </c>
      <c r="H1300" s="28">
        <v>0</v>
      </c>
      <c r="J1300" s="28"/>
    </row>
    <row r="1301" spans="1:10" ht="15.75" customHeight="1">
      <c r="A1301" s="28">
        <v>17540</v>
      </c>
      <c r="B1301" s="91">
        <v>44944.732719907406</v>
      </c>
      <c r="C1301" s="28" t="s">
        <v>10</v>
      </c>
      <c r="D1301" s="28" t="s">
        <v>1076</v>
      </c>
      <c r="E1301" s="28"/>
      <c r="F1301" s="28">
        <v>0</v>
      </c>
      <c r="G1301" s="28" t="s">
        <v>125</v>
      </c>
      <c r="H1301" s="28">
        <v>0</v>
      </c>
      <c r="J1301" s="28"/>
    </row>
    <row r="1302" spans="1:10" ht="15.75" customHeight="1">
      <c r="A1302" s="28">
        <v>17540</v>
      </c>
      <c r="B1302" s="91">
        <v>44944.732719907406</v>
      </c>
      <c r="C1302" s="28" t="s">
        <v>10</v>
      </c>
      <c r="D1302" s="28" t="s">
        <v>1076</v>
      </c>
      <c r="E1302" s="28"/>
      <c r="F1302" s="28">
        <v>0</v>
      </c>
      <c r="G1302" s="28" t="s">
        <v>139</v>
      </c>
      <c r="H1302" s="28">
        <v>0</v>
      </c>
      <c r="J1302" s="28"/>
    </row>
    <row r="1303" spans="1:10" ht="15.75" customHeight="1">
      <c r="A1303" s="28">
        <v>17549</v>
      </c>
      <c r="B1303" s="91">
        <v>44948.041076388894</v>
      </c>
      <c r="C1303" s="28" t="s">
        <v>10</v>
      </c>
      <c r="D1303" s="28" t="s">
        <v>1075</v>
      </c>
      <c r="E1303" s="28"/>
      <c r="F1303" s="28">
        <v>35</v>
      </c>
      <c r="G1303" s="28" t="s">
        <v>124</v>
      </c>
      <c r="H1303" s="28">
        <v>0</v>
      </c>
      <c r="J1303" s="28"/>
    </row>
    <row r="1304" spans="1:10" ht="15.75" customHeight="1">
      <c r="A1304" s="28">
        <v>17549</v>
      </c>
      <c r="B1304" s="91">
        <v>44948.041076388894</v>
      </c>
      <c r="C1304" s="28" t="s">
        <v>10</v>
      </c>
      <c r="D1304" s="28" t="s">
        <v>1075</v>
      </c>
      <c r="E1304" s="28"/>
      <c r="F1304" s="28">
        <v>0</v>
      </c>
      <c r="G1304" s="28" t="s">
        <v>125</v>
      </c>
      <c r="H1304" s="28">
        <v>0</v>
      </c>
      <c r="J1304" s="28"/>
    </row>
    <row r="1305" spans="1:10" ht="15.75" customHeight="1">
      <c r="A1305" s="28">
        <v>17549</v>
      </c>
      <c r="B1305" s="91">
        <v>44948.041076388894</v>
      </c>
      <c r="C1305" s="28" t="s">
        <v>10</v>
      </c>
      <c r="D1305" s="28" t="s">
        <v>1075</v>
      </c>
      <c r="E1305" s="28"/>
      <c r="F1305" s="28">
        <v>0</v>
      </c>
      <c r="G1305" s="28" t="s">
        <v>119</v>
      </c>
      <c r="H1305" s="28">
        <v>0</v>
      </c>
      <c r="J1305" s="28"/>
    </row>
    <row r="1306" spans="1:10" ht="15.75" customHeight="1">
      <c r="A1306" s="28">
        <v>17549</v>
      </c>
      <c r="B1306" s="91">
        <v>44948.041076388894</v>
      </c>
      <c r="C1306" s="28" t="s">
        <v>10</v>
      </c>
      <c r="D1306" s="28" t="s">
        <v>1075</v>
      </c>
      <c r="E1306" s="28"/>
      <c r="F1306" s="28">
        <v>0</v>
      </c>
      <c r="G1306" s="28" t="s">
        <v>121</v>
      </c>
      <c r="H1306" s="28">
        <v>0</v>
      </c>
      <c r="J1306" s="28"/>
    </row>
    <row r="1307" spans="1:10" ht="15.75" customHeight="1">
      <c r="A1307" s="28">
        <v>17591</v>
      </c>
      <c r="B1307" s="91">
        <v>44950.609513888892</v>
      </c>
      <c r="C1307" s="28" t="s">
        <v>10</v>
      </c>
      <c r="D1307" s="28" t="s">
        <v>1074</v>
      </c>
      <c r="E1307" s="28"/>
      <c r="F1307" s="28">
        <v>15</v>
      </c>
      <c r="G1307" s="28" t="s">
        <v>125</v>
      </c>
      <c r="H1307" s="28">
        <v>0</v>
      </c>
      <c r="J1307" s="28"/>
    </row>
    <row r="1308" spans="1:10" ht="15.75" customHeight="1">
      <c r="A1308" s="28">
        <v>17591</v>
      </c>
      <c r="B1308" s="91">
        <v>44950.609513888892</v>
      </c>
      <c r="C1308" s="28" t="s">
        <v>10</v>
      </c>
      <c r="D1308" s="28" t="s">
        <v>1074</v>
      </c>
      <c r="E1308" s="28"/>
      <c r="F1308" s="28">
        <v>15</v>
      </c>
      <c r="G1308" s="28" t="s">
        <v>170</v>
      </c>
      <c r="H1308" s="28">
        <v>0</v>
      </c>
      <c r="J1308" s="28"/>
    </row>
    <row r="1309" spans="1:10" ht="15.75" customHeight="1">
      <c r="A1309" s="28">
        <v>17592</v>
      </c>
      <c r="B1309" s="91">
        <v>44950.769895833335</v>
      </c>
      <c r="C1309" s="28" t="s">
        <v>10</v>
      </c>
      <c r="D1309" s="28" t="s">
        <v>1073</v>
      </c>
      <c r="E1309" s="28"/>
      <c r="F1309" s="28">
        <v>13.5</v>
      </c>
      <c r="G1309" s="28" t="s">
        <v>125</v>
      </c>
      <c r="H1309" s="28">
        <v>0</v>
      </c>
      <c r="J1309" s="28"/>
    </row>
    <row r="1310" spans="1:10" ht="15.75" customHeight="1">
      <c r="A1310" s="28">
        <v>17673</v>
      </c>
      <c r="B1310" s="91">
        <v>44970.905405092592</v>
      </c>
      <c r="C1310" s="28" t="s">
        <v>10</v>
      </c>
      <c r="D1310" s="28" t="s">
        <v>1072</v>
      </c>
      <c r="E1310" s="28"/>
      <c r="F1310" s="28">
        <v>10</v>
      </c>
      <c r="G1310" s="28" t="s">
        <v>286</v>
      </c>
      <c r="H1310" s="28">
        <v>0</v>
      </c>
      <c r="J1310" s="28"/>
    </row>
    <row r="1311" spans="1:10" ht="15.75" customHeight="1">
      <c r="A1311" s="28">
        <v>17673</v>
      </c>
      <c r="B1311" s="91">
        <v>44970.905405092592</v>
      </c>
      <c r="C1311" s="28" t="s">
        <v>10</v>
      </c>
      <c r="D1311" s="28" t="s">
        <v>1072</v>
      </c>
      <c r="E1311" s="28"/>
      <c r="F1311" s="28">
        <v>15</v>
      </c>
      <c r="G1311" s="28" t="s">
        <v>139</v>
      </c>
      <c r="H1311" s="28">
        <v>0</v>
      </c>
      <c r="J1311" s="28"/>
    </row>
    <row r="1312" spans="1:10" ht="15.75" customHeight="1">
      <c r="A1312" s="28">
        <v>17673</v>
      </c>
      <c r="B1312" s="91">
        <v>44970.905405092592</v>
      </c>
      <c r="C1312" s="28" t="s">
        <v>10</v>
      </c>
      <c r="D1312" s="28" t="s">
        <v>1072</v>
      </c>
      <c r="E1312" s="28"/>
      <c r="F1312" s="28">
        <v>18</v>
      </c>
      <c r="G1312" s="28" t="s">
        <v>119</v>
      </c>
      <c r="H1312" s="28">
        <v>0</v>
      </c>
      <c r="J1312" s="28"/>
    </row>
    <row r="1313" spans="1:10" ht="15.75" customHeight="1">
      <c r="A1313" s="28">
        <v>17674</v>
      </c>
      <c r="B1313" s="91">
        <v>44971.078946759255</v>
      </c>
      <c r="C1313" s="28" t="s">
        <v>10</v>
      </c>
      <c r="D1313" s="28" t="s">
        <v>683</v>
      </c>
      <c r="E1313" s="28"/>
      <c r="F1313" s="28">
        <v>15</v>
      </c>
      <c r="G1313" s="28" t="s">
        <v>170</v>
      </c>
      <c r="H1313" s="28">
        <v>0</v>
      </c>
      <c r="J1313" s="28"/>
    </row>
    <row r="1314" spans="1:10" ht="15.75" customHeight="1">
      <c r="A1314" s="28">
        <v>17674</v>
      </c>
      <c r="B1314" s="91">
        <v>44971.078946759255</v>
      </c>
      <c r="C1314" s="28" t="s">
        <v>10</v>
      </c>
      <c r="D1314" s="28" t="s">
        <v>683</v>
      </c>
      <c r="E1314" s="28"/>
      <c r="F1314" s="28">
        <v>15</v>
      </c>
      <c r="G1314" s="28" t="s">
        <v>125</v>
      </c>
      <c r="H1314" s="28">
        <v>0</v>
      </c>
      <c r="J1314" s="28"/>
    </row>
    <row r="1315" spans="1:10" ht="15.75" customHeight="1">
      <c r="A1315" s="28">
        <v>17676</v>
      </c>
      <c r="B1315" s="91">
        <v>44972.149664351848</v>
      </c>
      <c r="C1315" s="28" t="s">
        <v>10</v>
      </c>
      <c r="D1315" s="28" t="s">
        <v>809</v>
      </c>
      <c r="E1315" s="28"/>
      <c r="F1315" s="28">
        <v>20</v>
      </c>
      <c r="G1315" s="28" t="s">
        <v>121</v>
      </c>
      <c r="H1315" s="28">
        <v>0</v>
      </c>
      <c r="J1315" s="28"/>
    </row>
    <row r="1316" spans="1:10" ht="15.75" customHeight="1">
      <c r="A1316" s="28">
        <v>17676</v>
      </c>
      <c r="B1316" s="91">
        <v>44972.149664351848</v>
      </c>
      <c r="C1316" s="28" t="s">
        <v>10</v>
      </c>
      <c r="D1316" s="28" t="s">
        <v>809</v>
      </c>
      <c r="E1316" s="28"/>
      <c r="F1316" s="28">
        <v>18</v>
      </c>
      <c r="G1316" s="28" t="s">
        <v>119</v>
      </c>
      <c r="H1316" s="28">
        <v>0</v>
      </c>
      <c r="J1316" s="28"/>
    </row>
    <row r="1317" spans="1:10" ht="15.75" customHeight="1">
      <c r="A1317" s="28">
        <v>17678</v>
      </c>
      <c r="B1317" s="91">
        <v>44972.55868055555</v>
      </c>
      <c r="C1317" s="28" t="s">
        <v>10</v>
      </c>
      <c r="D1317" s="28" t="s">
        <v>1071</v>
      </c>
      <c r="E1317" s="28"/>
      <c r="F1317" s="28">
        <v>25</v>
      </c>
      <c r="G1317" s="28">
        <v>100692</v>
      </c>
      <c r="H1317" s="28">
        <v>0</v>
      </c>
      <c r="J1317" s="28"/>
    </row>
    <row r="1318" spans="1:10" ht="15.75" customHeight="1">
      <c r="A1318" s="28">
        <v>17678</v>
      </c>
      <c r="B1318" s="91">
        <v>44972.55868055555</v>
      </c>
      <c r="C1318" s="28" t="s">
        <v>10</v>
      </c>
      <c r="D1318" s="28" t="s">
        <v>1071</v>
      </c>
      <c r="E1318" s="28"/>
      <c r="F1318" s="28">
        <v>0</v>
      </c>
      <c r="G1318" s="28" t="s">
        <v>125</v>
      </c>
      <c r="H1318" s="28">
        <v>0</v>
      </c>
      <c r="J1318" s="28"/>
    </row>
    <row r="1319" spans="1:10" ht="15.75" customHeight="1">
      <c r="A1319" s="28">
        <v>17678</v>
      </c>
      <c r="B1319" s="91">
        <v>44972.55868055555</v>
      </c>
      <c r="C1319" s="28" t="s">
        <v>10</v>
      </c>
      <c r="D1319" s="28" t="s">
        <v>1071</v>
      </c>
      <c r="E1319" s="28"/>
      <c r="F1319" s="28">
        <v>0</v>
      </c>
      <c r="G1319" s="28" t="s">
        <v>119</v>
      </c>
      <c r="H1319" s="28">
        <v>0</v>
      </c>
      <c r="J1319" s="28"/>
    </row>
    <row r="1320" spans="1:10" ht="15.75" customHeight="1">
      <c r="A1320" s="28">
        <v>17678</v>
      </c>
      <c r="B1320" s="91">
        <v>44972.55868055555</v>
      </c>
      <c r="C1320" s="28" t="s">
        <v>10</v>
      </c>
      <c r="D1320" s="28" t="s">
        <v>1071</v>
      </c>
      <c r="E1320" s="28"/>
      <c r="F1320" s="28">
        <v>15</v>
      </c>
      <c r="G1320" s="28" t="s">
        <v>139</v>
      </c>
      <c r="H1320" s="28">
        <v>0</v>
      </c>
      <c r="J1320" s="28"/>
    </row>
    <row r="1321" spans="1:10" ht="15.75" customHeight="1">
      <c r="A1321" s="28">
        <v>17679</v>
      </c>
      <c r="B1321" s="91">
        <v>44972.565474537041</v>
      </c>
      <c r="C1321" s="28" t="s">
        <v>10</v>
      </c>
      <c r="D1321" s="28" t="s">
        <v>1070</v>
      </c>
      <c r="E1321" s="28"/>
      <c r="F1321" s="28">
        <v>15</v>
      </c>
      <c r="G1321" s="28" t="s">
        <v>125</v>
      </c>
      <c r="H1321" s="28">
        <v>0</v>
      </c>
      <c r="J1321" s="28"/>
    </row>
    <row r="1322" spans="1:10" ht="15.75" customHeight="1">
      <c r="A1322" s="28">
        <v>17680</v>
      </c>
      <c r="B1322" s="91">
        <v>44972.576782407406</v>
      </c>
      <c r="C1322" s="28" t="s">
        <v>10</v>
      </c>
      <c r="D1322" s="28" t="s">
        <v>1069</v>
      </c>
      <c r="E1322" s="28"/>
      <c r="F1322" s="28">
        <v>25</v>
      </c>
      <c r="G1322" s="28">
        <v>100692</v>
      </c>
      <c r="H1322" s="28">
        <v>0</v>
      </c>
      <c r="J1322" s="28"/>
    </row>
    <row r="1323" spans="1:10" ht="15.75" customHeight="1">
      <c r="A1323" s="28">
        <v>17680</v>
      </c>
      <c r="B1323" s="91">
        <v>44972.576782407406</v>
      </c>
      <c r="C1323" s="28" t="s">
        <v>10</v>
      </c>
      <c r="D1323" s="28" t="s">
        <v>1069</v>
      </c>
      <c r="E1323" s="28"/>
      <c r="F1323" s="28">
        <v>0</v>
      </c>
      <c r="G1323" s="28" t="s">
        <v>125</v>
      </c>
      <c r="H1323" s="28">
        <v>0</v>
      </c>
      <c r="J1323" s="28"/>
    </row>
    <row r="1324" spans="1:10" ht="15.75" customHeight="1">
      <c r="A1324" s="28">
        <v>17680</v>
      </c>
      <c r="B1324" s="91">
        <v>44972.576782407406</v>
      </c>
      <c r="C1324" s="28" t="s">
        <v>10</v>
      </c>
      <c r="D1324" s="28" t="s">
        <v>1069</v>
      </c>
      <c r="E1324" s="28"/>
      <c r="F1324" s="28">
        <v>0</v>
      </c>
      <c r="G1324" s="28" t="s">
        <v>119</v>
      </c>
      <c r="H1324" s="28">
        <v>0</v>
      </c>
      <c r="J1324" s="28"/>
    </row>
    <row r="1325" spans="1:10" ht="15.75" customHeight="1">
      <c r="A1325" s="28">
        <v>17683</v>
      </c>
      <c r="B1325" s="91">
        <v>44972.666203703702</v>
      </c>
      <c r="C1325" s="28" t="s">
        <v>10</v>
      </c>
      <c r="D1325" s="28" t="s">
        <v>709</v>
      </c>
      <c r="E1325" s="28"/>
      <c r="F1325" s="28">
        <v>15</v>
      </c>
      <c r="G1325" s="28" t="s">
        <v>125</v>
      </c>
      <c r="H1325" s="28">
        <v>0</v>
      </c>
      <c r="J1325" s="28"/>
    </row>
    <row r="1326" spans="1:10" ht="15.75" customHeight="1">
      <c r="A1326" s="28">
        <v>17684</v>
      </c>
      <c r="B1326" s="91">
        <v>44972.666620370372</v>
      </c>
      <c r="C1326" s="28" t="s">
        <v>10</v>
      </c>
      <c r="D1326" s="28" t="s">
        <v>1068</v>
      </c>
      <c r="E1326" s="28"/>
      <c r="F1326" s="28">
        <v>55</v>
      </c>
      <c r="G1326" s="28">
        <v>101684</v>
      </c>
      <c r="H1326" s="28">
        <v>0</v>
      </c>
      <c r="J1326" s="28"/>
    </row>
    <row r="1327" spans="1:10" ht="15.75" customHeight="1">
      <c r="A1327" s="28">
        <v>17684</v>
      </c>
      <c r="B1327" s="91">
        <v>44972.666620370372</v>
      </c>
      <c r="C1327" s="28" t="s">
        <v>10</v>
      </c>
      <c r="D1327" s="28" t="s">
        <v>1068</v>
      </c>
      <c r="E1327" s="28"/>
      <c r="F1327" s="28">
        <v>0</v>
      </c>
      <c r="G1327" s="28" t="s">
        <v>118</v>
      </c>
      <c r="H1327" s="28">
        <v>0</v>
      </c>
      <c r="J1327" s="28"/>
    </row>
    <row r="1328" spans="1:10" ht="15.75" customHeight="1">
      <c r="A1328" s="28">
        <v>17684</v>
      </c>
      <c r="B1328" s="91">
        <v>44972.666620370372</v>
      </c>
      <c r="C1328" s="28" t="s">
        <v>10</v>
      </c>
      <c r="D1328" s="28" t="s">
        <v>1068</v>
      </c>
      <c r="E1328" s="28"/>
      <c r="F1328" s="28">
        <v>0</v>
      </c>
      <c r="G1328" s="28" t="s">
        <v>119</v>
      </c>
      <c r="H1328" s="28">
        <v>0</v>
      </c>
      <c r="J1328" s="28"/>
    </row>
    <row r="1329" spans="1:10" ht="15.75" customHeight="1">
      <c r="A1329" s="28">
        <v>17684</v>
      </c>
      <c r="B1329" s="91">
        <v>44972.666620370372</v>
      </c>
      <c r="C1329" s="28" t="s">
        <v>10</v>
      </c>
      <c r="D1329" s="28" t="s">
        <v>1068</v>
      </c>
      <c r="E1329" s="28"/>
      <c r="F1329" s="28">
        <v>0</v>
      </c>
      <c r="G1329" s="28" t="s">
        <v>120</v>
      </c>
      <c r="H1329" s="28">
        <v>0</v>
      </c>
      <c r="J1329" s="28"/>
    </row>
    <row r="1330" spans="1:10" ht="15.75" customHeight="1">
      <c r="A1330" s="28">
        <v>17684</v>
      </c>
      <c r="B1330" s="91">
        <v>44972.666620370372</v>
      </c>
      <c r="C1330" s="28" t="s">
        <v>10</v>
      </c>
      <c r="D1330" s="28" t="s">
        <v>1068</v>
      </c>
      <c r="E1330" s="28"/>
      <c r="F1330" s="28">
        <v>0</v>
      </c>
      <c r="G1330" s="28" t="s">
        <v>121</v>
      </c>
      <c r="H1330" s="28">
        <v>0</v>
      </c>
      <c r="J1330" s="28"/>
    </row>
    <row r="1331" spans="1:10" ht="15.75" customHeight="1">
      <c r="A1331" s="28">
        <v>17685</v>
      </c>
      <c r="B1331" s="91">
        <v>44972.730567129634</v>
      </c>
      <c r="C1331" s="28" t="s">
        <v>10</v>
      </c>
      <c r="D1331" s="28" t="s">
        <v>727</v>
      </c>
      <c r="E1331" s="28"/>
      <c r="F1331" s="28">
        <v>20</v>
      </c>
      <c r="G1331" s="28" t="s">
        <v>148</v>
      </c>
      <c r="H1331" s="28">
        <v>0</v>
      </c>
      <c r="J1331" s="28"/>
    </row>
    <row r="1332" spans="1:10" ht="15.75" customHeight="1">
      <c r="A1332" s="28">
        <v>17686</v>
      </c>
      <c r="B1332" s="91">
        <v>44972.800081018519</v>
      </c>
      <c r="C1332" s="28" t="s">
        <v>53</v>
      </c>
      <c r="D1332" s="28" t="s">
        <v>1067</v>
      </c>
      <c r="E1332" s="28"/>
      <c r="F1332" s="28">
        <v>35</v>
      </c>
      <c r="G1332" s="28" t="s">
        <v>124</v>
      </c>
      <c r="H1332" s="28">
        <v>0</v>
      </c>
      <c r="J1332" s="28"/>
    </row>
    <row r="1333" spans="1:10" ht="15.75" customHeight="1">
      <c r="A1333" s="28">
        <v>17686</v>
      </c>
      <c r="B1333" s="91">
        <v>44972.800081018519</v>
      </c>
      <c r="C1333" s="28" t="s">
        <v>53</v>
      </c>
      <c r="D1333" s="28" t="s">
        <v>1067</v>
      </c>
      <c r="E1333" s="28"/>
      <c r="F1333" s="28">
        <v>0</v>
      </c>
      <c r="G1333" s="28" t="s">
        <v>125</v>
      </c>
      <c r="H1333" s="28">
        <v>0</v>
      </c>
      <c r="J1333" s="28"/>
    </row>
    <row r="1334" spans="1:10" ht="15.75" customHeight="1">
      <c r="A1334" s="28">
        <v>17686</v>
      </c>
      <c r="B1334" s="91">
        <v>44972.800081018519</v>
      </c>
      <c r="C1334" s="28" t="s">
        <v>53</v>
      </c>
      <c r="D1334" s="28" t="s">
        <v>1067</v>
      </c>
      <c r="E1334" s="28"/>
      <c r="F1334" s="28">
        <v>0</v>
      </c>
      <c r="G1334" s="28" t="s">
        <v>119</v>
      </c>
      <c r="H1334" s="28">
        <v>0</v>
      </c>
      <c r="J1334" s="28"/>
    </row>
    <row r="1335" spans="1:10" ht="15.75" customHeight="1">
      <c r="A1335" s="28">
        <v>17686</v>
      </c>
      <c r="B1335" s="91">
        <v>44972.800081018519</v>
      </c>
      <c r="C1335" s="28" t="s">
        <v>53</v>
      </c>
      <c r="D1335" s="28" t="s">
        <v>1067</v>
      </c>
      <c r="E1335" s="28"/>
      <c r="F1335" s="28">
        <v>0</v>
      </c>
      <c r="G1335" s="28" t="s">
        <v>121</v>
      </c>
      <c r="H1335" s="28">
        <v>0</v>
      </c>
      <c r="J1335" s="28"/>
    </row>
    <row r="1336" spans="1:10" ht="15.75" customHeight="1">
      <c r="A1336" s="28">
        <v>17688</v>
      </c>
      <c r="B1336" s="91">
        <v>44972.866886574076</v>
      </c>
      <c r="C1336" s="28" t="s">
        <v>10</v>
      </c>
      <c r="D1336" s="28" t="s">
        <v>1066</v>
      </c>
      <c r="E1336" s="28"/>
      <c r="F1336" s="28">
        <v>20</v>
      </c>
      <c r="G1336" s="28" t="s">
        <v>205</v>
      </c>
      <c r="H1336" s="28">
        <v>0</v>
      </c>
      <c r="J1336" s="28"/>
    </row>
    <row r="1337" spans="1:10" ht="15.75" customHeight="1">
      <c r="A1337" s="28">
        <v>17688</v>
      </c>
      <c r="B1337" s="91">
        <v>44972.866886574076</v>
      </c>
      <c r="C1337" s="28" t="s">
        <v>10</v>
      </c>
      <c r="D1337" s="28" t="s">
        <v>1066</v>
      </c>
      <c r="E1337" s="28"/>
      <c r="F1337" s="28">
        <v>0</v>
      </c>
      <c r="G1337" s="28" t="s">
        <v>125</v>
      </c>
      <c r="H1337" s="28">
        <v>0</v>
      </c>
      <c r="J1337" s="28"/>
    </row>
    <row r="1338" spans="1:10" ht="15.75" customHeight="1">
      <c r="A1338" s="28">
        <v>17689</v>
      </c>
      <c r="B1338" s="91">
        <v>44972.870532407411</v>
      </c>
      <c r="C1338" s="28" t="s">
        <v>10</v>
      </c>
      <c r="D1338" s="28" t="s">
        <v>1065</v>
      </c>
      <c r="E1338" s="28"/>
      <c r="F1338" s="28">
        <v>20</v>
      </c>
      <c r="G1338" s="28" t="s">
        <v>148</v>
      </c>
      <c r="H1338" s="28">
        <v>0</v>
      </c>
      <c r="J1338" s="28"/>
    </row>
    <row r="1339" spans="1:10" ht="15.75" customHeight="1">
      <c r="A1339" s="28">
        <v>17689</v>
      </c>
      <c r="B1339" s="91">
        <v>44972.870532407411</v>
      </c>
      <c r="C1339" s="28" t="s">
        <v>10</v>
      </c>
      <c r="D1339" s="28" t="s">
        <v>1065</v>
      </c>
      <c r="E1339" s="28"/>
      <c r="F1339" s="28">
        <v>28</v>
      </c>
      <c r="G1339" s="28" t="s">
        <v>143</v>
      </c>
      <c r="H1339" s="28">
        <v>0</v>
      </c>
      <c r="J1339" s="28"/>
    </row>
    <row r="1340" spans="1:10" ht="15.75" customHeight="1">
      <c r="A1340" s="28">
        <v>17690</v>
      </c>
      <c r="B1340" s="91">
        <v>44972.874409722222</v>
      </c>
      <c r="C1340" s="28" t="s">
        <v>10</v>
      </c>
      <c r="D1340" s="28" t="s">
        <v>985</v>
      </c>
      <c r="E1340" s="28"/>
      <c r="F1340" s="28">
        <v>20</v>
      </c>
      <c r="G1340" s="28" t="s">
        <v>148</v>
      </c>
      <c r="H1340" s="28">
        <v>0</v>
      </c>
      <c r="J1340" s="28"/>
    </row>
    <row r="1341" spans="1:10" ht="15.75" customHeight="1">
      <c r="A1341" s="28">
        <v>17690</v>
      </c>
      <c r="B1341" s="91">
        <v>44972.874409722222</v>
      </c>
      <c r="C1341" s="28" t="s">
        <v>10</v>
      </c>
      <c r="D1341" s="28" t="s">
        <v>985</v>
      </c>
      <c r="E1341" s="28"/>
      <c r="F1341" s="28">
        <v>28</v>
      </c>
      <c r="G1341" s="28" t="s">
        <v>143</v>
      </c>
      <c r="H1341" s="28">
        <v>0</v>
      </c>
      <c r="J1341" s="28"/>
    </row>
    <row r="1342" spans="1:10" ht="15.75" customHeight="1">
      <c r="A1342" s="28">
        <v>17691</v>
      </c>
      <c r="B1342" s="91">
        <v>44972.899872685186</v>
      </c>
      <c r="C1342" s="28" t="s">
        <v>10</v>
      </c>
      <c r="D1342" s="28" t="s">
        <v>1064</v>
      </c>
      <c r="E1342" s="28"/>
      <c r="F1342" s="28">
        <v>24</v>
      </c>
      <c r="G1342" s="28" t="s">
        <v>122</v>
      </c>
      <c r="H1342" s="28">
        <v>0</v>
      </c>
      <c r="J1342" s="28"/>
    </row>
    <row r="1343" spans="1:10" ht="15.75" customHeight="1">
      <c r="A1343" s="28">
        <v>17692</v>
      </c>
      <c r="B1343" s="91">
        <v>44972.909722222219</v>
      </c>
      <c r="C1343" s="28" t="s">
        <v>10</v>
      </c>
      <c r="D1343" s="28" t="s">
        <v>736</v>
      </c>
      <c r="E1343" s="28"/>
      <c r="F1343" s="28">
        <v>25</v>
      </c>
      <c r="G1343" s="28" t="s">
        <v>141</v>
      </c>
      <c r="H1343" s="28">
        <v>0</v>
      </c>
      <c r="J1343" s="28"/>
    </row>
    <row r="1344" spans="1:10" ht="15.75" customHeight="1">
      <c r="A1344" s="28">
        <v>17692</v>
      </c>
      <c r="B1344" s="91">
        <v>44972.909722222219</v>
      </c>
      <c r="C1344" s="28" t="s">
        <v>10</v>
      </c>
      <c r="D1344" s="28" t="s">
        <v>736</v>
      </c>
      <c r="E1344" s="28"/>
      <c r="F1344" s="28">
        <v>0</v>
      </c>
      <c r="G1344" s="28" t="s">
        <v>139</v>
      </c>
      <c r="H1344" s="28">
        <v>0</v>
      </c>
      <c r="J1344" s="28"/>
    </row>
    <row r="1345" spans="1:10" ht="15.75" customHeight="1">
      <c r="A1345" s="28">
        <v>17693</v>
      </c>
      <c r="B1345" s="91">
        <v>44972.925729166665</v>
      </c>
      <c r="C1345" s="28" t="s">
        <v>10</v>
      </c>
      <c r="D1345" s="28" t="s">
        <v>688</v>
      </c>
      <c r="E1345" s="28"/>
      <c r="F1345" s="28">
        <v>24</v>
      </c>
      <c r="G1345" s="28" t="s">
        <v>122</v>
      </c>
      <c r="H1345" s="28">
        <v>0</v>
      </c>
      <c r="J1345" s="28"/>
    </row>
    <row r="1346" spans="1:10" ht="15.75" customHeight="1">
      <c r="A1346" s="28">
        <v>17694</v>
      </c>
      <c r="B1346" s="91">
        <v>44972.952615740738</v>
      </c>
      <c r="C1346" s="28" t="s">
        <v>10</v>
      </c>
      <c r="D1346" s="28" t="s">
        <v>1063</v>
      </c>
      <c r="E1346" s="28"/>
      <c r="F1346" s="28">
        <v>24</v>
      </c>
      <c r="G1346" s="28" t="s">
        <v>122</v>
      </c>
      <c r="H1346" s="28">
        <v>0</v>
      </c>
      <c r="J1346" s="28"/>
    </row>
    <row r="1347" spans="1:10" ht="15.75" customHeight="1">
      <c r="A1347" s="28">
        <v>17695</v>
      </c>
      <c r="B1347" s="91">
        <v>44972.971215277779</v>
      </c>
      <c r="C1347" s="28" t="s">
        <v>10</v>
      </c>
      <c r="D1347" s="28" t="s">
        <v>1062</v>
      </c>
      <c r="E1347" s="28"/>
      <c r="F1347" s="28">
        <v>25</v>
      </c>
      <c r="G1347" s="28">
        <v>100692</v>
      </c>
      <c r="H1347" s="28">
        <v>0</v>
      </c>
      <c r="J1347" s="28"/>
    </row>
    <row r="1348" spans="1:10" ht="15.75" customHeight="1">
      <c r="A1348" s="28">
        <v>17695</v>
      </c>
      <c r="B1348" s="91">
        <v>44972.971215277779</v>
      </c>
      <c r="C1348" s="28" t="s">
        <v>10</v>
      </c>
      <c r="D1348" s="28" t="s">
        <v>1062</v>
      </c>
      <c r="E1348" s="28"/>
      <c r="F1348" s="28">
        <v>0</v>
      </c>
      <c r="G1348" s="28" t="s">
        <v>125</v>
      </c>
      <c r="H1348" s="28">
        <v>0</v>
      </c>
      <c r="J1348" s="28"/>
    </row>
    <row r="1349" spans="1:10" ht="15.75" customHeight="1">
      <c r="A1349" s="28">
        <v>17695</v>
      </c>
      <c r="B1349" s="91">
        <v>44972.971215277779</v>
      </c>
      <c r="C1349" s="28" t="s">
        <v>10</v>
      </c>
      <c r="D1349" s="28" t="s">
        <v>1062</v>
      </c>
      <c r="E1349" s="28"/>
      <c r="F1349" s="28">
        <v>0</v>
      </c>
      <c r="G1349" s="28" t="s">
        <v>119</v>
      </c>
      <c r="H1349" s="28">
        <v>0</v>
      </c>
      <c r="J1349" s="28"/>
    </row>
    <row r="1350" spans="1:10" ht="15.75" customHeight="1">
      <c r="A1350" s="28">
        <v>17695</v>
      </c>
      <c r="B1350" s="91">
        <v>44972.971215277779</v>
      </c>
      <c r="C1350" s="28" t="s">
        <v>10</v>
      </c>
      <c r="D1350" s="28" t="s">
        <v>1062</v>
      </c>
      <c r="E1350" s="28"/>
      <c r="F1350" s="28">
        <v>28</v>
      </c>
      <c r="G1350" s="28" t="s">
        <v>143</v>
      </c>
      <c r="H1350" s="28">
        <v>0</v>
      </c>
      <c r="J1350" s="28"/>
    </row>
    <row r="1351" spans="1:10" ht="15.75" customHeight="1">
      <c r="A1351" s="28">
        <v>17696</v>
      </c>
      <c r="B1351" s="91">
        <v>44972.971875000003</v>
      </c>
      <c r="C1351" s="28" t="s">
        <v>10</v>
      </c>
      <c r="D1351" s="28" t="s">
        <v>1061</v>
      </c>
      <c r="E1351" s="28"/>
      <c r="F1351" s="28">
        <v>55</v>
      </c>
      <c r="G1351" s="28" t="s">
        <v>861</v>
      </c>
      <c r="H1351" s="28">
        <v>0</v>
      </c>
      <c r="J1351" s="28"/>
    </row>
    <row r="1352" spans="1:10" ht="15.75" customHeight="1">
      <c r="A1352" s="28">
        <v>17697</v>
      </c>
      <c r="B1352" s="91">
        <v>44972.973344907412</v>
      </c>
      <c r="C1352" s="28" t="s">
        <v>10</v>
      </c>
      <c r="D1352" s="28" t="s">
        <v>1060</v>
      </c>
      <c r="E1352" s="28"/>
      <c r="F1352" s="28">
        <v>20</v>
      </c>
      <c r="G1352" s="28" t="s">
        <v>205</v>
      </c>
      <c r="H1352" s="28">
        <v>0</v>
      </c>
      <c r="J1352" s="28"/>
    </row>
    <row r="1353" spans="1:10" ht="15.75" customHeight="1">
      <c r="A1353" s="28">
        <v>17697</v>
      </c>
      <c r="B1353" s="91">
        <v>44972.973344907412</v>
      </c>
      <c r="C1353" s="28" t="s">
        <v>10</v>
      </c>
      <c r="D1353" s="28" t="s">
        <v>1060</v>
      </c>
      <c r="E1353" s="28"/>
      <c r="F1353" s="28">
        <v>0</v>
      </c>
      <c r="G1353" s="28" t="s">
        <v>125</v>
      </c>
      <c r="H1353" s="28">
        <v>0</v>
      </c>
      <c r="J1353" s="28"/>
    </row>
    <row r="1354" spans="1:10" ht="15.75" customHeight="1">
      <c r="A1354" s="28">
        <v>17698</v>
      </c>
      <c r="B1354" s="91">
        <v>44972.978379629625</v>
      </c>
      <c r="C1354" s="28" t="s">
        <v>10</v>
      </c>
      <c r="D1354" s="28" t="s">
        <v>691</v>
      </c>
      <c r="E1354" s="28"/>
      <c r="F1354" s="28">
        <v>110</v>
      </c>
      <c r="G1354" s="28">
        <v>101684</v>
      </c>
      <c r="H1354" s="28">
        <v>0</v>
      </c>
      <c r="J1354" s="28"/>
    </row>
    <row r="1355" spans="1:10" ht="15.75" customHeight="1">
      <c r="A1355" s="28">
        <v>17698</v>
      </c>
      <c r="B1355" s="91">
        <v>44972.978379629625</v>
      </c>
      <c r="C1355" s="28" t="s">
        <v>10</v>
      </c>
      <c r="D1355" s="28" t="s">
        <v>691</v>
      </c>
      <c r="E1355" s="28"/>
      <c r="F1355" s="28">
        <v>0</v>
      </c>
      <c r="G1355" s="28" t="s">
        <v>118</v>
      </c>
      <c r="H1355" s="28">
        <v>0</v>
      </c>
      <c r="J1355" s="28"/>
    </row>
    <row r="1356" spans="1:10" ht="15.75" customHeight="1">
      <c r="A1356" s="28">
        <v>17698</v>
      </c>
      <c r="B1356" s="91">
        <v>44972.978379629625</v>
      </c>
      <c r="C1356" s="28" t="s">
        <v>10</v>
      </c>
      <c r="D1356" s="28" t="s">
        <v>691</v>
      </c>
      <c r="E1356" s="28"/>
      <c r="F1356" s="28">
        <v>0</v>
      </c>
      <c r="G1356" s="28" t="s">
        <v>119</v>
      </c>
      <c r="H1356" s="28">
        <v>0</v>
      </c>
      <c r="J1356" s="28"/>
    </row>
    <row r="1357" spans="1:10" ht="15.75" customHeight="1">
      <c r="A1357" s="28">
        <v>17698</v>
      </c>
      <c r="B1357" s="91">
        <v>44972.978379629625</v>
      </c>
      <c r="C1357" s="28" t="s">
        <v>10</v>
      </c>
      <c r="D1357" s="28" t="s">
        <v>691</v>
      </c>
      <c r="E1357" s="28"/>
      <c r="F1357" s="28">
        <v>0</v>
      </c>
      <c r="G1357" s="28" t="s">
        <v>120</v>
      </c>
      <c r="H1357" s="28">
        <v>0</v>
      </c>
      <c r="J1357" s="28"/>
    </row>
    <row r="1358" spans="1:10" ht="15.75" customHeight="1">
      <c r="A1358" s="28">
        <v>17698</v>
      </c>
      <c r="B1358" s="91">
        <v>44972.978379629625</v>
      </c>
      <c r="C1358" s="28" t="s">
        <v>10</v>
      </c>
      <c r="D1358" s="28" t="s">
        <v>691</v>
      </c>
      <c r="E1358" s="28"/>
      <c r="F1358" s="28">
        <v>0</v>
      </c>
      <c r="G1358" s="28" t="s">
        <v>121</v>
      </c>
      <c r="H1358" s="28">
        <v>0</v>
      </c>
      <c r="J1358" s="28"/>
    </row>
    <row r="1359" spans="1:10" ht="15.75" customHeight="1">
      <c r="A1359" s="28">
        <v>17699</v>
      </c>
      <c r="B1359" s="91">
        <v>44972.983333333337</v>
      </c>
      <c r="C1359" s="28" t="s">
        <v>10</v>
      </c>
      <c r="D1359" s="28" t="s">
        <v>1059</v>
      </c>
      <c r="E1359" s="28"/>
      <c r="F1359" s="28">
        <v>55</v>
      </c>
      <c r="G1359" s="28">
        <v>101684</v>
      </c>
      <c r="H1359" s="28">
        <v>0</v>
      </c>
      <c r="J1359" s="28"/>
    </row>
    <row r="1360" spans="1:10" ht="15.75" customHeight="1">
      <c r="A1360" s="28">
        <v>17699</v>
      </c>
      <c r="B1360" s="91">
        <v>44972.983333333337</v>
      </c>
      <c r="C1360" s="28" t="s">
        <v>10</v>
      </c>
      <c r="D1360" s="28" t="s">
        <v>1059</v>
      </c>
      <c r="E1360" s="28"/>
      <c r="F1360" s="28">
        <v>0</v>
      </c>
      <c r="G1360" s="28" t="s">
        <v>118</v>
      </c>
      <c r="H1360" s="28">
        <v>0</v>
      </c>
      <c r="J1360" s="28"/>
    </row>
    <row r="1361" spans="1:10" ht="15.75" customHeight="1">
      <c r="A1361" s="28">
        <v>17699</v>
      </c>
      <c r="B1361" s="91">
        <v>44972.983333333337</v>
      </c>
      <c r="C1361" s="28" t="s">
        <v>10</v>
      </c>
      <c r="D1361" s="28" t="s">
        <v>1059</v>
      </c>
      <c r="E1361" s="28"/>
      <c r="F1361" s="28">
        <v>0</v>
      </c>
      <c r="G1361" s="28" t="s">
        <v>119</v>
      </c>
      <c r="H1361" s="28">
        <v>0</v>
      </c>
      <c r="J1361" s="28"/>
    </row>
    <row r="1362" spans="1:10" ht="15.75" customHeight="1">
      <c r="A1362" s="28">
        <v>17699</v>
      </c>
      <c r="B1362" s="91">
        <v>44972.983333333337</v>
      </c>
      <c r="C1362" s="28" t="s">
        <v>10</v>
      </c>
      <c r="D1362" s="28" t="s">
        <v>1059</v>
      </c>
      <c r="E1362" s="28"/>
      <c r="F1362" s="28">
        <v>0</v>
      </c>
      <c r="G1362" s="28" t="s">
        <v>120</v>
      </c>
      <c r="H1362" s="28">
        <v>0</v>
      </c>
      <c r="J1362" s="28"/>
    </row>
    <row r="1363" spans="1:10" ht="15.75" customHeight="1">
      <c r="A1363" s="28">
        <v>17699</v>
      </c>
      <c r="B1363" s="91">
        <v>44972.983333333337</v>
      </c>
      <c r="C1363" s="28" t="s">
        <v>10</v>
      </c>
      <c r="D1363" s="28" t="s">
        <v>1059</v>
      </c>
      <c r="E1363" s="28"/>
      <c r="F1363" s="28">
        <v>0</v>
      </c>
      <c r="G1363" s="28" t="s">
        <v>121</v>
      </c>
      <c r="H1363" s="28">
        <v>0</v>
      </c>
      <c r="J1363" s="28"/>
    </row>
    <row r="1364" spans="1:10" ht="15.75" customHeight="1">
      <c r="A1364" s="28">
        <v>17700</v>
      </c>
      <c r="B1364" s="91">
        <v>44972.984803240739</v>
      </c>
      <c r="C1364" s="28" t="s">
        <v>8</v>
      </c>
      <c r="D1364" s="28" t="s">
        <v>1058</v>
      </c>
      <c r="E1364" s="28"/>
      <c r="F1364" s="28">
        <v>30</v>
      </c>
      <c r="G1364" s="28"/>
      <c r="H1364" s="28">
        <v>0</v>
      </c>
      <c r="J1364" s="28"/>
    </row>
    <row r="1365" spans="1:10" ht="15.75" customHeight="1">
      <c r="A1365" s="28">
        <v>17700</v>
      </c>
      <c r="B1365" s="91">
        <v>44972.984803240739</v>
      </c>
      <c r="C1365" s="28" t="s">
        <v>8</v>
      </c>
      <c r="D1365" s="28" t="s">
        <v>1058</v>
      </c>
      <c r="E1365" s="28"/>
      <c r="F1365" s="28">
        <v>25</v>
      </c>
      <c r="G1365" s="28">
        <v>100692</v>
      </c>
      <c r="H1365" s="28">
        <v>0</v>
      </c>
      <c r="J1365" s="28"/>
    </row>
    <row r="1366" spans="1:10" ht="15.75" customHeight="1">
      <c r="A1366" s="28">
        <v>17700</v>
      </c>
      <c r="B1366" s="91">
        <v>44972.984803240739</v>
      </c>
      <c r="C1366" s="28" t="s">
        <v>8</v>
      </c>
      <c r="D1366" s="28" t="s">
        <v>1058</v>
      </c>
      <c r="E1366" s="28"/>
      <c r="F1366" s="28">
        <v>0</v>
      </c>
      <c r="G1366" s="28" t="s">
        <v>125</v>
      </c>
      <c r="H1366" s="28">
        <v>0</v>
      </c>
      <c r="J1366" s="28"/>
    </row>
    <row r="1367" spans="1:10" ht="15.75" customHeight="1">
      <c r="A1367" s="28">
        <v>17700</v>
      </c>
      <c r="B1367" s="91">
        <v>44972.984803240739</v>
      </c>
      <c r="C1367" s="28" t="s">
        <v>8</v>
      </c>
      <c r="D1367" s="28" t="s">
        <v>1058</v>
      </c>
      <c r="E1367" s="28"/>
      <c r="F1367" s="28">
        <v>0</v>
      </c>
      <c r="G1367" s="28" t="s">
        <v>119</v>
      </c>
      <c r="H1367" s="28">
        <v>0</v>
      </c>
      <c r="J1367" s="28"/>
    </row>
    <row r="1368" spans="1:10" ht="15.75" customHeight="1">
      <c r="A1368" s="28">
        <v>17701</v>
      </c>
      <c r="B1368" s="91">
        <v>44972.984953703708</v>
      </c>
      <c r="C1368" s="28" t="s">
        <v>10</v>
      </c>
      <c r="D1368" s="28" t="s">
        <v>1057</v>
      </c>
      <c r="E1368" s="28"/>
      <c r="F1368" s="28">
        <v>20</v>
      </c>
      <c r="G1368" s="28" t="s">
        <v>205</v>
      </c>
      <c r="H1368" s="28">
        <v>0</v>
      </c>
      <c r="J1368" s="28"/>
    </row>
    <row r="1369" spans="1:10" ht="15.75" customHeight="1">
      <c r="A1369" s="28">
        <v>17701</v>
      </c>
      <c r="B1369" s="91">
        <v>44972.984953703708</v>
      </c>
      <c r="C1369" s="28" t="s">
        <v>10</v>
      </c>
      <c r="D1369" s="28" t="s">
        <v>1057</v>
      </c>
      <c r="E1369" s="28"/>
      <c r="F1369" s="28">
        <v>0</v>
      </c>
      <c r="G1369" s="28" t="s">
        <v>125</v>
      </c>
      <c r="H1369" s="28">
        <v>0</v>
      </c>
      <c r="J1369" s="28"/>
    </row>
    <row r="1370" spans="1:10" ht="15.75" customHeight="1">
      <c r="A1370" s="28">
        <v>17701</v>
      </c>
      <c r="B1370" s="91">
        <v>44972.984953703708</v>
      </c>
      <c r="C1370" s="28" t="s">
        <v>10</v>
      </c>
      <c r="D1370" s="28" t="s">
        <v>1057</v>
      </c>
      <c r="E1370" s="28"/>
      <c r="F1370" s="28">
        <v>30</v>
      </c>
      <c r="G1370" s="28" t="s">
        <v>125</v>
      </c>
      <c r="H1370" s="28">
        <v>0</v>
      </c>
      <c r="J1370" s="28"/>
    </row>
    <row r="1371" spans="1:10" ht="15.75" customHeight="1">
      <c r="A1371" s="28">
        <v>17702</v>
      </c>
      <c r="B1371" s="91">
        <v>44972.985185185185</v>
      </c>
      <c r="C1371" s="28" t="s">
        <v>10</v>
      </c>
      <c r="D1371" s="28" t="s">
        <v>1056</v>
      </c>
      <c r="E1371" s="28"/>
      <c r="F1371" s="28">
        <v>20</v>
      </c>
      <c r="G1371" s="28" t="s">
        <v>261</v>
      </c>
      <c r="H1371" s="28">
        <v>0</v>
      </c>
      <c r="J1371" s="28"/>
    </row>
    <row r="1372" spans="1:10" ht="15.75" customHeight="1">
      <c r="A1372" s="28">
        <v>17702</v>
      </c>
      <c r="B1372" s="91">
        <v>44972.985185185185</v>
      </c>
      <c r="C1372" s="28" t="s">
        <v>10</v>
      </c>
      <c r="D1372" s="28" t="s">
        <v>1056</v>
      </c>
      <c r="E1372" s="28"/>
      <c r="F1372" s="28">
        <v>24</v>
      </c>
      <c r="G1372" s="28" t="s">
        <v>122</v>
      </c>
      <c r="H1372" s="28">
        <v>0</v>
      </c>
      <c r="J1372" s="28"/>
    </row>
    <row r="1373" spans="1:10" ht="15.75" customHeight="1">
      <c r="A1373" s="28">
        <v>17702</v>
      </c>
      <c r="B1373" s="91">
        <v>44972.985185185185</v>
      </c>
      <c r="C1373" s="28" t="s">
        <v>10</v>
      </c>
      <c r="D1373" s="28" t="s">
        <v>1056</v>
      </c>
      <c r="E1373" s="28"/>
      <c r="F1373" s="28">
        <v>24</v>
      </c>
      <c r="G1373" s="28" t="s">
        <v>122</v>
      </c>
      <c r="H1373" s="28">
        <v>0</v>
      </c>
      <c r="J1373" s="28"/>
    </row>
    <row r="1374" spans="1:10" ht="15.75" customHeight="1">
      <c r="A1374" s="28">
        <v>17702</v>
      </c>
      <c r="B1374" s="91">
        <v>44972.985185185185</v>
      </c>
      <c r="C1374" s="28" t="s">
        <v>10</v>
      </c>
      <c r="D1374" s="28" t="s">
        <v>1056</v>
      </c>
      <c r="E1374" s="28"/>
      <c r="F1374" s="28">
        <v>24</v>
      </c>
      <c r="G1374" s="28" t="s">
        <v>122</v>
      </c>
      <c r="H1374" s="28">
        <v>0</v>
      </c>
      <c r="J1374" s="28"/>
    </row>
    <row r="1375" spans="1:10" ht="15.75" customHeight="1">
      <c r="A1375" s="28">
        <v>17703</v>
      </c>
      <c r="B1375" s="91">
        <v>44972.988877314812</v>
      </c>
      <c r="C1375" s="28" t="s">
        <v>10</v>
      </c>
      <c r="D1375" s="28" t="s">
        <v>848</v>
      </c>
      <c r="E1375" s="28"/>
      <c r="F1375" s="28">
        <v>25</v>
      </c>
      <c r="G1375" s="28">
        <v>100692</v>
      </c>
      <c r="H1375" s="28">
        <v>0</v>
      </c>
      <c r="J1375" s="28"/>
    </row>
    <row r="1376" spans="1:10" ht="15.75" customHeight="1">
      <c r="A1376" s="28">
        <v>17703</v>
      </c>
      <c r="B1376" s="91">
        <v>44972.988877314812</v>
      </c>
      <c r="C1376" s="28" t="s">
        <v>10</v>
      </c>
      <c r="D1376" s="28" t="s">
        <v>848</v>
      </c>
      <c r="E1376" s="28"/>
      <c r="F1376" s="28">
        <v>0</v>
      </c>
      <c r="G1376" s="28" t="s">
        <v>125</v>
      </c>
      <c r="H1376" s="28">
        <v>0</v>
      </c>
      <c r="J1376" s="28"/>
    </row>
    <row r="1377" spans="1:10" ht="15.75" customHeight="1">
      <c r="A1377" s="28">
        <v>17703</v>
      </c>
      <c r="B1377" s="91">
        <v>44972.988877314812</v>
      </c>
      <c r="C1377" s="28" t="s">
        <v>10</v>
      </c>
      <c r="D1377" s="28" t="s">
        <v>848</v>
      </c>
      <c r="E1377" s="28"/>
      <c r="F1377" s="28">
        <v>0</v>
      </c>
      <c r="G1377" s="28" t="s">
        <v>119</v>
      </c>
      <c r="H1377" s="28">
        <v>0</v>
      </c>
      <c r="J1377" s="28"/>
    </row>
    <row r="1378" spans="1:10" ht="15.75" customHeight="1">
      <c r="A1378" s="28">
        <v>17704</v>
      </c>
      <c r="B1378" s="91">
        <v>44972.989050925928</v>
      </c>
      <c r="C1378" s="28" t="s">
        <v>10</v>
      </c>
      <c r="D1378" s="28" t="s">
        <v>1055</v>
      </c>
      <c r="E1378" s="28"/>
      <c r="F1378" s="28">
        <v>18</v>
      </c>
      <c r="G1378" s="28" t="s">
        <v>119</v>
      </c>
      <c r="H1378" s="28">
        <v>0</v>
      </c>
      <c r="J1378" s="28"/>
    </row>
    <row r="1379" spans="1:10" ht="15.75" customHeight="1">
      <c r="A1379" s="28">
        <v>17705</v>
      </c>
      <c r="B1379" s="91">
        <v>44972.990902777776</v>
      </c>
      <c r="C1379" s="28" t="s">
        <v>10</v>
      </c>
      <c r="D1379" s="28" t="s">
        <v>1054</v>
      </c>
      <c r="E1379" s="28"/>
      <c r="F1379" s="28">
        <v>24</v>
      </c>
      <c r="G1379" s="28" t="s">
        <v>122</v>
      </c>
      <c r="H1379" s="28">
        <v>0</v>
      </c>
      <c r="J1379" s="28"/>
    </row>
    <row r="1380" spans="1:10" ht="15.75" customHeight="1">
      <c r="A1380" s="28">
        <v>17706</v>
      </c>
      <c r="B1380" s="91">
        <v>44972.991539351853</v>
      </c>
      <c r="C1380" s="28" t="s">
        <v>10</v>
      </c>
      <c r="D1380" s="28" t="s">
        <v>1053</v>
      </c>
      <c r="E1380" s="28"/>
      <c r="F1380" s="28">
        <v>24</v>
      </c>
      <c r="G1380" s="28" t="s">
        <v>122</v>
      </c>
      <c r="H1380" s="28">
        <v>0</v>
      </c>
      <c r="J1380" s="28"/>
    </row>
    <row r="1381" spans="1:10" ht="15.75" customHeight="1">
      <c r="A1381" s="28">
        <v>17707</v>
      </c>
      <c r="B1381" s="91">
        <v>44972.996435185181</v>
      </c>
      <c r="C1381" s="28" t="s">
        <v>10</v>
      </c>
      <c r="D1381" s="28" t="s">
        <v>287</v>
      </c>
      <c r="E1381" s="28"/>
      <c r="F1381" s="28">
        <v>18</v>
      </c>
      <c r="G1381" s="28" t="s">
        <v>119</v>
      </c>
      <c r="H1381" s="28">
        <v>0</v>
      </c>
      <c r="J1381" s="28"/>
    </row>
    <row r="1382" spans="1:10" ht="15.75" customHeight="1">
      <c r="A1382" s="28">
        <v>17708</v>
      </c>
      <c r="B1382" s="91">
        <v>44972.998333333337</v>
      </c>
      <c r="C1382" s="28" t="s">
        <v>10</v>
      </c>
      <c r="D1382" s="28" t="s">
        <v>1052</v>
      </c>
      <c r="E1382" s="28"/>
      <c r="F1382" s="28">
        <v>18</v>
      </c>
      <c r="G1382" s="28" t="s">
        <v>119</v>
      </c>
      <c r="H1382" s="28">
        <v>0</v>
      </c>
      <c r="J1382" s="28"/>
    </row>
    <row r="1383" spans="1:10" ht="15.75" customHeight="1">
      <c r="A1383" s="28">
        <v>17709</v>
      </c>
      <c r="B1383" s="91">
        <v>44973.000891203701</v>
      </c>
      <c r="C1383" s="28" t="s">
        <v>10</v>
      </c>
      <c r="D1383" s="28" t="s">
        <v>1051</v>
      </c>
      <c r="E1383" s="28"/>
      <c r="F1383" s="28">
        <v>0</v>
      </c>
      <c r="G1383" s="28" t="s">
        <v>139</v>
      </c>
      <c r="H1383" s="28">
        <v>0</v>
      </c>
      <c r="J1383" s="28"/>
    </row>
    <row r="1384" spans="1:10" ht="15.75" customHeight="1">
      <c r="A1384" s="28">
        <v>17709</v>
      </c>
      <c r="B1384" s="91">
        <v>44973.000891203701</v>
      </c>
      <c r="C1384" s="28" t="s">
        <v>10</v>
      </c>
      <c r="D1384" s="28" t="s">
        <v>1051</v>
      </c>
      <c r="E1384" s="28"/>
      <c r="F1384" s="28">
        <v>35</v>
      </c>
      <c r="G1384" s="28" t="s">
        <v>124</v>
      </c>
      <c r="H1384" s="28">
        <v>0</v>
      </c>
      <c r="J1384" s="28"/>
    </row>
    <row r="1385" spans="1:10" ht="15.75" customHeight="1">
      <c r="A1385" s="28">
        <v>17709</v>
      </c>
      <c r="B1385" s="91">
        <v>44973.000891203701</v>
      </c>
      <c r="C1385" s="28" t="s">
        <v>10</v>
      </c>
      <c r="D1385" s="28" t="s">
        <v>1051</v>
      </c>
      <c r="E1385" s="28"/>
      <c r="F1385" s="28">
        <v>0</v>
      </c>
      <c r="G1385" s="28" t="s">
        <v>125</v>
      </c>
      <c r="H1385" s="28">
        <v>0</v>
      </c>
      <c r="J1385" s="28"/>
    </row>
    <row r="1386" spans="1:10" ht="15.75" customHeight="1">
      <c r="A1386" s="28">
        <v>17709</v>
      </c>
      <c r="B1386" s="91">
        <v>44973.000891203701</v>
      </c>
      <c r="C1386" s="28" t="s">
        <v>10</v>
      </c>
      <c r="D1386" s="28" t="s">
        <v>1051</v>
      </c>
      <c r="E1386" s="28"/>
      <c r="F1386" s="28">
        <v>0</v>
      </c>
      <c r="G1386" s="28" t="s">
        <v>119</v>
      </c>
      <c r="H1386" s="28">
        <v>0</v>
      </c>
      <c r="J1386" s="28"/>
    </row>
    <row r="1387" spans="1:10" ht="15.75" customHeight="1">
      <c r="A1387" s="28">
        <v>17709</v>
      </c>
      <c r="B1387" s="91">
        <v>44973.000891203701</v>
      </c>
      <c r="C1387" s="28" t="s">
        <v>10</v>
      </c>
      <c r="D1387" s="28" t="s">
        <v>1051</v>
      </c>
      <c r="E1387" s="28"/>
      <c r="F1387" s="28">
        <v>0</v>
      </c>
      <c r="G1387" s="28" t="s">
        <v>121</v>
      </c>
      <c r="H1387" s="28">
        <v>0</v>
      </c>
      <c r="J1387" s="28"/>
    </row>
    <row r="1388" spans="1:10" ht="15.75" customHeight="1">
      <c r="A1388" s="28">
        <v>17710</v>
      </c>
      <c r="B1388" s="91">
        <v>44973.002835648149</v>
      </c>
      <c r="C1388" s="28" t="s">
        <v>10</v>
      </c>
      <c r="D1388" s="28" t="s">
        <v>1050</v>
      </c>
      <c r="E1388" s="28"/>
      <c r="F1388" s="28">
        <v>35</v>
      </c>
      <c r="G1388" s="28" t="s">
        <v>124</v>
      </c>
      <c r="H1388" s="28">
        <v>0</v>
      </c>
      <c r="J1388" s="28"/>
    </row>
    <row r="1389" spans="1:10" ht="15.75" customHeight="1">
      <c r="A1389" s="28">
        <v>17710</v>
      </c>
      <c r="B1389" s="91">
        <v>44973.002835648149</v>
      </c>
      <c r="C1389" s="28" t="s">
        <v>10</v>
      </c>
      <c r="D1389" s="28" t="s">
        <v>1050</v>
      </c>
      <c r="E1389" s="28"/>
      <c r="F1389" s="28">
        <v>0</v>
      </c>
      <c r="G1389" s="28" t="s">
        <v>125</v>
      </c>
      <c r="H1389" s="28">
        <v>0</v>
      </c>
      <c r="J1389" s="28"/>
    </row>
    <row r="1390" spans="1:10" ht="15.75" customHeight="1">
      <c r="A1390" s="28">
        <v>17710</v>
      </c>
      <c r="B1390" s="91">
        <v>44973.002835648149</v>
      </c>
      <c r="C1390" s="28" t="s">
        <v>10</v>
      </c>
      <c r="D1390" s="28" t="s">
        <v>1050</v>
      </c>
      <c r="E1390" s="28"/>
      <c r="F1390" s="28">
        <v>0</v>
      </c>
      <c r="G1390" s="28" t="s">
        <v>119</v>
      </c>
      <c r="H1390" s="28">
        <v>0</v>
      </c>
      <c r="J1390" s="28"/>
    </row>
    <row r="1391" spans="1:10" ht="15.75" customHeight="1">
      <c r="A1391" s="28">
        <v>17710</v>
      </c>
      <c r="B1391" s="91">
        <v>44973.002835648149</v>
      </c>
      <c r="C1391" s="28" t="s">
        <v>10</v>
      </c>
      <c r="D1391" s="28" t="s">
        <v>1050</v>
      </c>
      <c r="E1391" s="28"/>
      <c r="F1391" s="28">
        <v>0</v>
      </c>
      <c r="G1391" s="28" t="s">
        <v>121</v>
      </c>
      <c r="H1391" s="28">
        <v>0</v>
      </c>
      <c r="J1391" s="28"/>
    </row>
    <row r="1392" spans="1:10" ht="15.75" customHeight="1">
      <c r="A1392" s="28">
        <v>17710</v>
      </c>
      <c r="B1392" s="91">
        <v>44973.002835648149</v>
      </c>
      <c r="C1392" s="28" t="s">
        <v>10</v>
      </c>
      <c r="D1392" s="28" t="s">
        <v>1050</v>
      </c>
      <c r="E1392" s="28"/>
      <c r="F1392" s="28">
        <v>0</v>
      </c>
      <c r="G1392" s="28" t="s">
        <v>139</v>
      </c>
      <c r="H1392" s="28">
        <v>0</v>
      </c>
      <c r="J1392" s="28"/>
    </row>
    <row r="1393" spans="1:10" ht="15.75" customHeight="1">
      <c r="A1393" s="28">
        <v>17711</v>
      </c>
      <c r="B1393" s="91">
        <v>44973.004606481481</v>
      </c>
      <c r="C1393" s="28" t="s">
        <v>10</v>
      </c>
      <c r="D1393" s="28" t="s">
        <v>659</v>
      </c>
      <c r="E1393" s="28"/>
      <c r="F1393" s="28">
        <v>28</v>
      </c>
      <c r="G1393" s="28" t="s">
        <v>143</v>
      </c>
      <c r="H1393" s="28">
        <v>0</v>
      </c>
      <c r="J1393" s="28"/>
    </row>
    <row r="1394" spans="1:10" ht="15.75" customHeight="1">
      <c r="A1394" s="28">
        <v>17712</v>
      </c>
      <c r="B1394" s="91">
        <v>44973.00503472222</v>
      </c>
      <c r="C1394" s="28" t="s">
        <v>10</v>
      </c>
      <c r="D1394" s="28" t="s">
        <v>1049</v>
      </c>
      <c r="E1394" s="28"/>
      <c r="F1394" s="28">
        <v>25</v>
      </c>
      <c r="G1394" s="28">
        <v>100692</v>
      </c>
      <c r="H1394" s="28">
        <v>0</v>
      </c>
      <c r="J1394" s="28"/>
    </row>
    <row r="1395" spans="1:10" ht="15.75" customHeight="1">
      <c r="A1395" s="28">
        <v>17712</v>
      </c>
      <c r="B1395" s="91">
        <v>44973.00503472222</v>
      </c>
      <c r="C1395" s="28" t="s">
        <v>10</v>
      </c>
      <c r="D1395" s="28" t="s">
        <v>1049</v>
      </c>
      <c r="E1395" s="28"/>
      <c r="F1395" s="28">
        <v>0</v>
      </c>
      <c r="G1395" s="28" t="s">
        <v>125</v>
      </c>
      <c r="H1395" s="28">
        <v>0</v>
      </c>
      <c r="J1395" s="28"/>
    </row>
    <row r="1396" spans="1:10" ht="15.75" customHeight="1">
      <c r="A1396" s="28">
        <v>17712</v>
      </c>
      <c r="B1396" s="91">
        <v>44973.00503472222</v>
      </c>
      <c r="C1396" s="28" t="s">
        <v>10</v>
      </c>
      <c r="D1396" s="28" t="s">
        <v>1049</v>
      </c>
      <c r="E1396" s="28"/>
      <c r="F1396" s="28">
        <v>0</v>
      </c>
      <c r="G1396" s="28" t="s">
        <v>119</v>
      </c>
      <c r="H1396" s="28">
        <v>0</v>
      </c>
      <c r="J1396" s="28"/>
    </row>
    <row r="1397" spans="1:10" ht="15.75" customHeight="1">
      <c r="A1397" s="28">
        <v>17712</v>
      </c>
      <c r="B1397" s="91">
        <v>44973.00503472222</v>
      </c>
      <c r="C1397" s="28" t="s">
        <v>10</v>
      </c>
      <c r="D1397" s="28" t="s">
        <v>1049</v>
      </c>
      <c r="E1397" s="28"/>
      <c r="F1397" s="28">
        <v>0</v>
      </c>
      <c r="G1397" s="28" t="s">
        <v>139</v>
      </c>
      <c r="H1397" s="28">
        <v>0</v>
      </c>
      <c r="J1397" s="28"/>
    </row>
    <row r="1398" spans="1:10" ht="15.75" customHeight="1">
      <c r="A1398" s="28">
        <v>17713</v>
      </c>
      <c r="B1398" s="91">
        <v>44973.008240740739</v>
      </c>
      <c r="C1398" s="28" t="s">
        <v>10</v>
      </c>
      <c r="D1398" s="28" t="s">
        <v>326</v>
      </c>
      <c r="E1398" s="28"/>
      <c r="F1398" s="28">
        <v>24</v>
      </c>
      <c r="G1398" s="28" t="s">
        <v>122</v>
      </c>
      <c r="H1398" s="28">
        <v>0</v>
      </c>
      <c r="J1398" s="28"/>
    </row>
    <row r="1399" spans="1:10" ht="15.75" customHeight="1">
      <c r="A1399" s="28">
        <v>17714</v>
      </c>
      <c r="B1399" s="91">
        <v>44973.013541666667</v>
      </c>
      <c r="C1399" s="28" t="s">
        <v>10</v>
      </c>
      <c r="D1399" s="28" t="s">
        <v>1048</v>
      </c>
      <c r="E1399" s="28"/>
      <c r="F1399" s="28">
        <v>35</v>
      </c>
      <c r="G1399" s="28" t="s">
        <v>124</v>
      </c>
      <c r="H1399" s="28">
        <v>0</v>
      </c>
      <c r="J1399" s="28"/>
    </row>
    <row r="1400" spans="1:10" ht="15.75" customHeight="1">
      <c r="A1400" s="28">
        <v>17714</v>
      </c>
      <c r="B1400" s="91">
        <v>44973.013541666667</v>
      </c>
      <c r="C1400" s="28" t="s">
        <v>10</v>
      </c>
      <c r="D1400" s="28" t="s">
        <v>1048</v>
      </c>
      <c r="E1400" s="28"/>
      <c r="F1400" s="28">
        <v>0</v>
      </c>
      <c r="G1400" s="28" t="s">
        <v>125</v>
      </c>
      <c r="H1400" s="28">
        <v>0</v>
      </c>
      <c r="J1400" s="28"/>
    </row>
    <row r="1401" spans="1:10" ht="15.75" customHeight="1">
      <c r="A1401" s="28">
        <v>17714</v>
      </c>
      <c r="B1401" s="91">
        <v>44973.013541666667</v>
      </c>
      <c r="C1401" s="28" t="s">
        <v>10</v>
      </c>
      <c r="D1401" s="28" t="s">
        <v>1048</v>
      </c>
      <c r="E1401" s="28"/>
      <c r="F1401" s="28">
        <v>0</v>
      </c>
      <c r="G1401" s="28" t="s">
        <v>119</v>
      </c>
      <c r="H1401" s="28">
        <v>0</v>
      </c>
      <c r="J1401" s="28"/>
    </row>
    <row r="1402" spans="1:10" ht="15.75" customHeight="1">
      <c r="A1402" s="28">
        <v>17714</v>
      </c>
      <c r="B1402" s="91">
        <v>44973.013541666667</v>
      </c>
      <c r="C1402" s="28" t="s">
        <v>10</v>
      </c>
      <c r="D1402" s="28" t="s">
        <v>1048</v>
      </c>
      <c r="E1402" s="28"/>
      <c r="F1402" s="28">
        <v>0</v>
      </c>
      <c r="G1402" s="28" t="s">
        <v>121</v>
      </c>
      <c r="H1402" s="28">
        <v>0</v>
      </c>
      <c r="J1402" s="28"/>
    </row>
    <row r="1403" spans="1:10" ht="15.75" customHeight="1">
      <c r="A1403" s="28">
        <v>17714</v>
      </c>
      <c r="B1403" s="91">
        <v>44973.013541666667</v>
      </c>
      <c r="C1403" s="28" t="s">
        <v>10</v>
      </c>
      <c r="D1403" s="28" t="s">
        <v>1048</v>
      </c>
      <c r="E1403" s="28"/>
      <c r="F1403" s="28">
        <v>0</v>
      </c>
      <c r="G1403" s="28" t="s">
        <v>139</v>
      </c>
      <c r="H1403" s="28">
        <v>0</v>
      </c>
      <c r="J1403" s="28"/>
    </row>
    <row r="1404" spans="1:10" ht="15.75" customHeight="1">
      <c r="A1404" s="28">
        <v>17715</v>
      </c>
      <c r="B1404" s="91">
        <v>44973.014293981483</v>
      </c>
      <c r="C1404" s="28" t="s">
        <v>10</v>
      </c>
      <c r="D1404" s="28" t="s">
        <v>1047</v>
      </c>
      <c r="E1404" s="28"/>
      <c r="F1404" s="28">
        <v>35</v>
      </c>
      <c r="G1404" s="28" t="s">
        <v>124</v>
      </c>
      <c r="H1404" s="28">
        <v>0</v>
      </c>
      <c r="J1404" s="28"/>
    </row>
    <row r="1405" spans="1:10" ht="15.75" customHeight="1">
      <c r="A1405" s="28">
        <v>17715</v>
      </c>
      <c r="B1405" s="91">
        <v>44973.014293981483</v>
      </c>
      <c r="C1405" s="28" t="s">
        <v>10</v>
      </c>
      <c r="D1405" s="28" t="s">
        <v>1047</v>
      </c>
      <c r="E1405" s="28"/>
      <c r="F1405" s="28">
        <v>0</v>
      </c>
      <c r="G1405" s="28" t="s">
        <v>125</v>
      </c>
      <c r="H1405" s="28">
        <v>0</v>
      </c>
      <c r="J1405" s="28"/>
    </row>
    <row r="1406" spans="1:10" ht="15.75" customHeight="1">
      <c r="A1406" s="28">
        <v>17715</v>
      </c>
      <c r="B1406" s="91">
        <v>44973.014293981483</v>
      </c>
      <c r="C1406" s="28" t="s">
        <v>10</v>
      </c>
      <c r="D1406" s="28" t="s">
        <v>1047</v>
      </c>
      <c r="E1406" s="28"/>
      <c r="F1406" s="28">
        <v>0</v>
      </c>
      <c r="G1406" s="28" t="s">
        <v>119</v>
      </c>
      <c r="H1406" s="28">
        <v>0</v>
      </c>
      <c r="J1406" s="28"/>
    </row>
    <row r="1407" spans="1:10" ht="15.75" customHeight="1">
      <c r="A1407" s="28">
        <v>17715</v>
      </c>
      <c r="B1407" s="91">
        <v>44973.014293981483</v>
      </c>
      <c r="C1407" s="28" t="s">
        <v>10</v>
      </c>
      <c r="D1407" s="28" t="s">
        <v>1047</v>
      </c>
      <c r="E1407" s="28"/>
      <c r="F1407" s="28">
        <v>0</v>
      </c>
      <c r="G1407" s="28" t="s">
        <v>121</v>
      </c>
      <c r="H1407" s="28">
        <v>0</v>
      </c>
      <c r="J1407" s="28"/>
    </row>
    <row r="1408" spans="1:10" ht="15.75" customHeight="1">
      <c r="A1408" s="28">
        <v>17715</v>
      </c>
      <c r="B1408" s="91">
        <v>44973.014293981483</v>
      </c>
      <c r="C1408" s="28" t="s">
        <v>10</v>
      </c>
      <c r="D1408" s="28" t="s">
        <v>1047</v>
      </c>
      <c r="E1408" s="28"/>
      <c r="F1408" s="28">
        <v>10</v>
      </c>
      <c r="G1408" s="28" t="s">
        <v>286</v>
      </c>
      <c r="H1408" s="28">
        <v>0</v>
      </c>
      <c r="J1408" s="28"/>
    </row>
    <row r="1409" spans="1:10" ht="15.75" customHeight="1">
      <c r="A1409" s="28">
        <v>17716</v>
      </c>
      <c r="B1409" s="91">
        <v>44973.016203703708</v>
      </c>
      <c r="C1409" s="28" t="s">
        <v>10</v>
      </c>
      <c r="D1409" s="28" t="s">
        <v>714</v>
      </c>
      <c r="E1409" s="28"/>
      <c r="F1409" s="28">
        <v>0</v>
      </c>
      <c r="G1409" s="28" t="s">
        <v>139</v>
      </c>
      <c r="H1409" s="28">
        <v>0</v>
      </c>
      <c r="J1409" s="28"/>
    </row>
    <row r="1410" spans="1:10" ht="15.75" customHeight="1">
      <c r="A1410" s="28">
        <v>17716</v>
      </c>
      <c r="B1410" s="91">
        <v>44973.016203703708</v>
      </c>
      <c r="C1410" s="28" t="s">
        <v>10</v>
      </c>
      <c r="D1410" s="28" t="s">
        <v>714</v>
      </c>
      <c r="E1410" s="28"/>
      <c r="F1410" s="28">
        <v>10</v>
      </c>
      <c r="G1410" s="28" t="s">
        <v>286</v>
      </c>
      <c r="H1410" s="28">
        <v>0</v>
      </c>
      <c r="J1410" s="28"/>
    </row>
    <row r="1411" spans="1:10" ht="15.75" customHeight="1">
      <c r="A1411" s="28">
        <v>17717</v>
      </c>
      <c r="B1411" s="91">
        <v>44973.017731481479</v>
      </c>
      <c r="C1411" s="28" t="s">
        <v>10</v>
      </c>
      <c r="D1411" s="28" t="s">
        <v>1046</v>
      </c>
      <c r="E1411" s="28"/>
      <c r="F1411" s="28">
        <v>10</v>
      </c>
      <c r="G1411" s="28" t="s">
        <v>286</v>
      </c>
      <c r="H1411" s="28">
        <v>0</v>
      </c>
      <c r="J1411" s="28"/>
    </row>
    <row r="1412" spans="1:10" ht="15.75" customHeight="1">
      <c r="A1412" s="28">
        <v>17717</v>
      </c>
      <c r="B1412" s="91">
        <v>44973.017731481479</v>
      </c>
      <c r="C1412" s="28" t="s">
        <v>10</v>
      </c>
      <c r="D1412" s="28" t="s">
        <v>1046</v>
      </c>
      <c r="E1412" s="28"/>
      <c r="F1412" s="28">
        <v>28</v>
      </c>
      <c r="G1412" s="28" t="s">
        <v>143</v>
      </c>
      <c r="H1412" s="28">
        <v>0</v>
      </c>
      <c r="J1412" s="28"/>
    </row>
    <row r="1413" spans="1:10" ht="15.75" customHeight="1">
      <c r="A1413" s="28">
        <v>17717</v>
      </c>
      <c r="B1413" s="91">
        <v>44973.017731481479</v>
      </c>
      <c r="C1413" s="28" t="s">
        <v>10</v>
      </c>
      <c r="D1413" s="28" t="s">
        <v>1046</v>
      </c>
      <c r="E1413" s="28"/>
      <c r="F1413" s="28">
        <v>20</v>
      </c>
      <c r="G1413" s="28" t="s">
        <v>148</v>
      </c>
      <c r="H1413" s="28">
        <v>0</v>
      </c>
      <c r="J1413" s="28"/>
    </row>
    <row r="1414" spans="1:10" ht="15.75" customHeight="1">
      <c r="A1414" s="28">
        <v>17718</v>
      </c>
      <c r="B1414" s="91">
        <v>44973.028541666667</v>
      </c>
      <c r="C1414" s="28" t="s">
        <v>10</v>
      </c>
      <c r="D1414" s="28" t="s">
        <v>1045</v>
      </c>
      <c r="E1414" s="28"/>
      <c r="F1414" s="28">
        <v>24</v>
      </c>
      <c r="G1414" s="28" t="s">
        <v>122</v>
      </c>
      <c r="H1414" s="28">
        <v>0</v>
      </c>
      <c r="J1414" s="28"/>
    </row>
    <row r="1415" spans="1:10" ht="15.75" customHeight="1">
      <c r="A1415" s="28">
        <v>17719</v>
      </c>
      <c r="B1415" s="91">
        <v>44973.033483796295</v>
      </c>
      <c r="C1415" s="28" t="s">
        <v>18</v>
      </c>
      <c r="D1415" s="28" t="s">
        <v>1044</v>
      </c>
      <c r="E1415" s="28"/>
      <c r="F1415" s="28">
        <v>25</v>
      </c>
      <c r="G1415" s="28">
        <v>100692</v>
      </c>
      <c r="H1415" s="28">
        <v>0</v>
      </c>
      <c r="J1415" s="28"/>
    </row>
    <row r="1416" spans="1:10" ht="15.75" customHeight="1">
      <c r="A1416" s="28">
        <v>17719</v>
      </c>
      <c r="B1416" s="91">
        <v>44973.033483796295</v>
      </c>
      <c r="C1416" s="28" t="s">
        <v>18</v>
      </c>
      <c r="D1416" s="28" t="s">
        <v>1044</v>
      </c>
      <c r="E1416" s="28"/>
      <c r="F1416" s="28">
        <v>0</v>
      </c>
      <c r="G1416" s="28" t="s">
        <v>125</v>
      </c>
      <c r="H1416" s="28">
        <v>0</v>
      </c>
      <c r="J1416" s="28"/>
    </row>
    <row r="1417" spans="1:10" ht="15.75" customHeight="1">
      <c r="A1417" s="28">
        <v>17719</v>
      </c>
      <c r="B1417" s="91">
        <v>44973.033483796295</v>
      </c>
      <c r="C1417" s="28" t="s">
        <v>18</v>
      </c>
      <c r="D1417" s="28" t="s">
        <v>1044</v>
      </c>
      <c r="E1417" s="28"/>
      <c r="F1417" s="28">
        <v>0</v>
      </c>
      <c r="G1417" s="28" t="s">
        <v>119</v>
      </c>
      <c r="H1417" s="28">
        <v>0</v>
      </c>
      <c r="J1417" s="28"/>
    </row>
    <row r="1418" spans="1:10" ht="15.75" customHeight="1">
      <c r="A1418" s="28">
        <v>17720</v>
      </c>
      <c r="B1418" s="91">
        <v>44973.034444444449</v>
      </c>
      <c r="C1418" s="28" t="s">
        <v>10</v>
      </c>
      <c r="D1418" s="28" t="s">
        <v>648</v>
      </c>
      <c r="E1418" s="28"/>
      <c r="F1418" s="28">
        <v>0</v>
      </c>
      <c r="G1418" s="28" t="s">
        <v>139</v>
      </c>
      <c r="H1418" s="28">
        <v>0</v>
      </c>
      <c r="J1418" s="28"/>
    </row>
    <row r="1419" spans="1:10" ht="15.75" customHeight="1">
      <c r="A1419" s="28">
        <v>17720</v>
      </c>
      <c r="B1419" s="91">
        <v>44973.034444444449</v>
      </c>
      <c r="C1419" s="28" t="s">
        <v>10</v>
      </c>
      <c r="D1419" s="28" t="s">
        <v>648</v>
      </c>
      <c r="E1419" s="28"/>
      <c r="F1419" s="28">
        <v>10</v>
      </c>
      <c r="G1419" s="28" t="s">
        <v>286</v>
      </c>
      <c r="H1419" s="28">
        <v>0</v>
      </c>
      <c r="J1419" s="28"/>
    </row>
    <row r="1420" spans="1:10" ht="15.75" customHeight="1">
      <c r="A1420" s="28">
        <v>17720</v>
      </c>
      <c r="B1420" s="91">
        <v>44973.034444444449</v>
      </c>
      <c r="C1420" s="28" t="s">
        <v>10</v>
      </c>
      <c r="D1420" s="28" t="s">
        <v>648</v>
      </c>
      <c r="E1420" s="28"/>
      <c r="F1420" s="28">
        <v>35</v>
      </c>
      <c r="G1420" s="28" t="s">
        <v>124</v>
      </c>
      <c r="H1420" s="28">
        <v>0</v>
      </c>
      <c r="J1420" s="28"/>
    </row>
    <row r="1421" spans="1:10" ht="15.75" customHeight="1">
      <c r="A1421" s="28">
        <v>17720</v>
      </c>
      <c r="B1421" s="91">
        <v>44973.034444444449</v>
      </c>
      <c r="C1421" s="28" t="s">
        <v>10</v>
      </c>
      <c r="D1421" s="28" t="s">
        <v>648</v>
      </c>
      <c r="E1421" s="28"/>
      <c r="F1421" s="28">
        <v>0</v>
      </c>
      <c r="G1421" s="28" t="s">
        <v>125</v>
      </c>
      <c r="H1421" s="28">
        <v>0</v>
      </c>
      <c r="J1421" s="28"/>
    </row>
    <row r="1422" spans="1:10" ht="15.75" customHeight="1">
      <c r="A1422" s="28">
        <v>17720</v>
      </c>
      <c r="B1422" s="91">
        <v>44973.034444444449</v>
      </c>
      <c r="C1422" s="28" t="s">
        <v>10</v>
      </c>
      <c r="D1422" s="28" t="s">
        <v>648</v>
      </c>
      <c r="E1422" s="28"/>
      <c r="F1422" s="28">
        <v>0</v>
      </c>
      <c r="G1422" s="28" t="s">
        <v>119</v>
      </c>
      <c r="H1422" s="28">
        <v>0</v>
      </c>
      <c r="J1422" s="28"/>
    </row>
    <row r="1423" spans="1:10" ht="15.75" customHeight="1">
      <c r="A1423" s="28">
        <v>17720</v>
      </c>
      <c r="B1423" s="91">
        <v>44973.034444444449</v>
      </c>
      <c r="C1423" s="28" t="s">
        <v>10</v>
      </c>
      <c r="D1423" s="28" t="s">
        <v>648</v>
      </c>
      <c r="E1423" s="28"/>
      <c r="F1423" s="28">
        <v>0</v>
      </c>
      <c r="G1423" s="28" t="s">
        <v>121</v>
      </c>
      <c r="H1423" s="28">
        <v>0</v>
      </c>
      <c r="J1423" s="28"/>
    </row>
    <row r="1424" spans="1:10" ht="15.75" customHeight="1">
      <c r="A1424" s="28">
        <v>17720</v>
      </c>
      <c r="B1424" s="91">
        <v>44973.034444444449</v>
      </c>
      <c r="C1424" s="28" t="s">
        <v>10</v>
      </c>
      <c r="D1424" s="28" t="s">
        <v>648</v>
      </c>
      <c r="E1424" s="28"/>
      <c r="F1424" s="28">
        <v>15</v>
      </c>
      <c r="G1424" s="28" t="s">
        <v>170</v>
      </c>
      <c r="H1424" s="28">
        <v>0</v>
      </c>
      <c r="J1424" s="28"/>
    </row>
    <row r="1425" spans="1:10" ht="15.75" customHeight="1">
      <c r="A1425" s="28">
        <v>17721</v>
      </c>
      <c r="B1425" s="91">
        <v>44973.03696759259</v>
      </c>
      <c r="C1425" s="28" t="s">
        <v>10</v>
      </c>
      <c r="D1425" s="28" t="s">
        <v>933</v>
      </c>
      <c r="E1425" s="28"/>
      <c r="F1425" s="28">
        <v>25</v>
      </c>
      <c r="G1425" s="28">
        <v>100692</v>
      </c>
      <c r="H1425" s="28">
        <v>0</v>
      </c>
      <c r="J1425" s="28"/>
    </row>
    <row r="1426" spans="1:10" ht="15.75" customHeight="1">
      <c r="A1426" s="28">
        <v>17721</v>
      </c>
      <c r="B1426" s="91">
        <v>44973.03696759259</v>
      </c>
      <c r="C1426" s="28" t="s">
        <v>10</v>
      </c>
      <c r="D1426" s="28" t="s">
        <v>933</v>
      </c>
      <c r="E1426" s="28"/>
      <c r="F1426" s="28">
        <v>0</v>
      </c>
      <c r="G1426" s="28" t="s">
        <v>125</v>
      </c>
      <c r="H1426" s="28">
        <v>0</v>
      </c>
      <c r="J1426" s="28"/>
    </row>
    <row r="1427" spans="1:10" ht="15.75" customHeight="1">
      <c r="A1427" s="28">
        <v>17721</v>
      </c>
      <c r="B1427" s="91">
        <v>44973.03696759259</v>
      </c>
      <c r="C1427" s="28" t="s">
        <v>10</v>
      </c>
      <c r="D1427" s="28" t="s">
        <v>933</v>
      </c>
      <c r="E1427" s="28"/>
      <c r="F1427" s="28">
        <v>0</v>
      </c>
      <c r="G1427" s="28" t="s">
        <v>119</v>
      </c>
      <c r="H1427" s="28">
        <v>0</v>
      </c>
      <c r="J1427" s="28"/>
    </row>
    <row r="1428" spans="1:10" ht="15.75" customHeight="1">
      <c r="A1428" s="28">
        <v>17722</v>
      </c>
      <c r="B1428" s="91">
        <v>44973.037199074075</v>
      </c>
      <c r="C1428" s="28" t="s">
        <v>10</v>
      </c>
      <c r="D1428" s="28" t="s">
        <v>1044</v>
      </c>
      <c r="E1428" s="28"/>
      <c r="F1428" s="28">
        <v>0</v>
      </c>
      <c r="G1428" s="28" t="s">
        <v>139</v>
      </c>
      <c r="H1428" s="28">
        <v>0</v>
      </c>
      <c r="J1428" s="28"/>
    </row>
    <row r="1429" spans="1:10" ht="15.75" customHeight="1">
      <c r="A1429" s="28">
        <v>17722</v>
      </c>
      <c r="B1429" s="91">
        <v>44973.037199074075</v>
      </c>
      <c r="C1429" s="28" t="s">
        <v>10</v>
      </c>
      <c r="D1429" s="28" t="s">
        <v>1044</v>
      </c>
      <c r="E1429" s="28"/>
      <c r="F1429" s="28">
        <v>25</v>
      </c>
      <c r="G1429" s="28">
        <v>100692</v>
      </c>
      <c r="H1429" s="28">
        <v>0</v>
      </c>
      <c r="J1429" s="28"/>
    </row>
    <row r="1430" spans="1:10" ht="15.75" customHeight="1">
      <c r="A1430" s="28">
        <v>17722</v>
      </c>
      <c r="B1430" s="91">
        <v>44973.037199074075</v>
      </c>
      <c r="C1430" s="28" t="s">
        <v>10</v>
      </c>
      <c r="D1430" s="28" t="s">
        <v>1044</v>
      </c>
      <c r="E1430" s="28"/>
      <c r="F1430" s="28">
        <v>0</v>
      </c>
      <c r="G1430" s="28" t="s">
        <v>125</v>
      </c>
      <c r="H1430" s="28">
        <v>0</v>
      </c>
      <c r="J1430" s="28"/>
    </row>
    <row r="1431" spans="1:10" ht="15.75" customHeight="1">
      <c r="A1431" s="28">
        <v>17722</v>
      </c>
      <c r="B1431" s="91">
        <v>44973.037199074075</v>
      </c>
      <c r="C1431" s="28" t="s">
        <v>10</v>
      </c>
      <c r="D1431" s="28" t="s">
        <v>1044</v>
      </c>
      <c r="E1431" s="28"/>
      <c r="F1431" s="28">
        <v>0</v>
      </c>
      <c r="G1431" s="28" t="s">
        <v>119</v>
      </c>
      <c r="H1431" s="28">
        <v>0</v>
      </c>
      <c r="J1431" s="28"/>
    </row>
    <row r="1432" spans="1:10" ht="15.75" customHeight="1">
      <c r="A1432" s="28">
        <v>17723</v>
      </c>
      <c r="B1432" s="91">
        <v>44973.040590277778</v>
      </c>
      <c r="C1432" s="28" t="s">
        <v>10</v>
      </c>
      <c r="D1432" s="28" t="s">
        <v>1043</v>
      </c>
      <c r="E1432" s="28"/>
      <c r="F1432" s="28">
        <v>25</v>
      </c>
      <c r="G1432" s="28">
        <v>100692</v>
      </c>
      <c r="H1432" s="28">
        <v>0</v>
      </c>
      <c r="J1432" s="28"/>
    </row>
    <row r="1433" spans="1:10" ht="15.75" customHeight="1">
      <c r="A1433" s="28">
        <v>17723</v>
      </c>
      <c r="B1433" s="91">
        <v>44973.040590277778</v>
      </c>
      <c r="C1433" s="28" t="s">
        <v>10</v>
      </c>
      <c r="D1433" s="28" t="s">
        <v>1043</v>
      </c>
      <c r="E1433" s="28"/>
      <c r="F1433" s="28">
        <v>0</v>
      </c>
      <c r="G1433" s="28" t="s">
        <v>125</v>
      </c>
      <c r="H1433" s="28">
        <v>0</v>
      </c>
      <c r="J1433" s="28"/>
    </row>
    <row r="1434" spans="1:10" ht="15.75" customHeight="1">
      <c r="A1434" s="28">
        <v>17723</v>
      </c>
      <c r="B1434" s="91">
        <v>44973.040590277778</v>
      </c>
      <c r="C1434" s="28" t="s">
        <v>10</v>
      </c>
      <c r="D1434" s="28" t="s">
        <v>1043</v>
      </c>
      <c r="E1434" s="28"/>
      <c r="F1434" s="28">
        <v>0</v>
      </c>
      <c r="G1434" s="28" t="s">
        <v>119</v>
      </c>
      <c r="H1434" s="28">
        <v>0</v>
      </c>
      <c r="J1434" s="28"/>
    </row>
    <row r="1435" spans="1:10" ht="15.75" customHeight="1">
      <c r="A1435" s="28">
        <v>17724</v>
      </c>
      <c r="B1435" s="91">
        <v>44973.041458333333</v>
      </c>
      <c r="C1435" s="28" t="s">
        <v>10</v>
      </c>
      <c r="D1435" s="28" t="s">
        <v>657</v>
      </c>
      <c r="E1435" s="28"/>
      <c r="F1435" s="28">
        <v>24</v>
      </c>
      <c r="G1435" s="28" t="s">
        <v>122</v>
      </c>
      <c r="H1435" s="28">
        <v>0</v>
      </c>
      <c r="J1435" s="28"/>
    </row>
    <row r="1436" spans="1:10" ht="15.75" customHeight="1">
      <c r="A1436" s="28">
        <v>17725</v>
      </c>
      <c r="B1436" s="91">
        <v>44973.044120370367</v>
      </c>
      <c r="C1436" s="28" t="s">
        <v>10</v>
      </c>
      <c r="D1436" s="28" t="s">
        <v>1042</v>
      </c>
      <c r="E1436" s="28"/>
      <c r="F1436" s="28">
        <v>24</v>
      </c>
      <c r="G1436" s="28" t="s">
        <v>122</v>
      </c>
      <c r="H1436" s="28">
        <v>0</v>
      </c>
      <c r="J1436" s="28"/>
    </row>
    <row r="1437" spans="1:10" ht="15.75" customHeight="1">
      <c r="A1437" s="28">
        <v>17726</v>
      </c>
      <c r="B1437" s="91">
        <v>44973.076388888891</v>
      </c>
      <c r="C1437" s="28" t="s">
        <v>10</v>
      </c>
      <c r="D1437" s="28" t="s">
        <v>1041</v>
      </c>
      <c r="E1437" s="28"/>
      <c r="F1437" s="28">
        <v>56</v>
      </c>
      <c r="G1437" s="28" t="s">
        <v>143</v>
      </c>
      <c r="H1437" s="28">
        <v>0</v>
      </c>
      <c r="J1437" s="28"/>
    </row>
    <row r="1438" spans="1:10" ht="15.75" customHeight="1">
      <c r="A1438" s="28">
        <v>17727</v>
      </c>
      <c r="B1438" s="91">
        <v>44973.0856712963</v>
      </c>
      <c r="C1438" s="28" t="s">
        <v>10</v>
      </c>
      <c r="D1438" s="28" t="s">
        <v>1040</v>
      </c>
      <c r="E1438" s="28"/>
      <c r="F1438" s="28">
        <v>25</v>
      </c>
      <c r="G1438" s="28">
        <v>100692</v>
      </c>
      <c r="H1438" s="28">
        <v>0</v>
      </c>
      <c r="J1438" s="28"/>
    </row>
    <row r="1439" spans="1:10" ht="15.75" customHeight="1">
      <c r="A1439" s="28">
        <v>17727</v>
      </c>
      <c r="B1439" s="91">
        <v>44973.0856712963</v>
      </c>
      <c r="C1439" s="28" t="s">
        <v>10</v>
      </c>
      <c r="D1439" s="28" t="s">
        <v>1040</v>
      </c>
      <c r="E1439" s="28"/>
      <c r="F1439" s="28">
        <v>0</v>
      </c>
      <c r="G1439" s="28" t="s">
        <v>125</v>
      </c>
      <c r="H1439" s="28">
        <v>0</v>
      </c>
      <c r="J1439" s="28"/>
    </row>
    <row r="1440" spans="1:10" ht="15.75" customHeight="1">
      <c r="A1440" s="28">
        <v>17727</v>
      </c>
      <c r="B1440" s="91">
        <v>44973.0856712963</v>
      </c>
      <c r="C1440" s="28" t="s">
        <v>10</v>
      </c>
      <c r="D1440" s="28" t="s">
        <v>1040</v>
      </c>
      <c r="E1440" s="28"/>
      <c r="F1440" s="28">
        <v>0</v>
      </c>
      <c r="G1440" s="28" t="s">
        <v>119</v>
      </c>
      <c r="H1440" s="28">
        <v>0</v>
      </c>
      <c r="J1440" s="28"/>
    </row>
    <row r="1441" spans="1:10" ht="15.75" customHeight="1">
      <c r="A1441" s="28">
        <v>17728</v>
      </c>
      <c r="B1441" s="91">
        <v>44973.097280092596</v>
      </c>
      <c r="C1441" s="28" t="s">
        <v>10</v>
      </c>
      <c r="D1441" s="28" t="s">
        <v>680</v>
      </c>
      <c r="E1441" s="28"/>
      <c r="F1441" s="28">
        <v>25</v>
      </c>
      <c r="G1441" s="28">
        <v>100692</v>
      </c>
      <c r="H1441" s="28">
        <v>0</v>
      </c>
      <c r="J1441" s="28"/>
    </row>
    <row r="1442" spans="1:10" ht="15.75" customHeight="1">
      <c r="A1442" s="28">
        <v>17728</v>
      </c>
      <c r="B1442" s="91">
        <v>44973.097280092596</v>
      </c>
      <c r="C1442" s="28" t="s">
        <v>10</v>
      </c>
      <c r="D1442" s="28" t="s">
        <v>680</v>
      </c>
      <c r="E1442" s="28"/>
      <c r="F1442" s="28">
        <v>0</v>
      </c>
      <c r="G1442" s="28" t="s">
        <v>125</v>
      </c>
      <c r="H1442" s="28">
        <v>0</v>
      </c>
      <c r="J1442" s="28"/>
    </row>
    <row r="1443" spans="1:10" ht="15.75" customHeight="1">
      <c r="A1443" s="28">
        <v>17728</v>
      </c>
      <c r="B1443" s="91">
        <v>44973.097280092596</v>
      </c>
      <c r="C1443" s="28" t="s">
        <v>10</v>
      </c>
      <c r="D1443" s="28" t="s">
        <v>680</v>
      </c>
      <c r="E1443" s="28"/>
      <c r="F1443" s="28">
        <v>0</v>
      </c>
      <c r="G1443" s="28" t="s">
        <v>119</v>
      </c>
      <c r="H1443" s="28">
        <v>0</v>
      </c>
      <c r="J1443" s="28"/>
    </row>
    <row r="1444" spans="1:10" ht="15.75" customHeight="1">
      <c r="A1444" s="28">
        <v>17729</v>
      </c>
      <c r="B1444" s="91">
        <v>44973.099733796298</v>
      </c>
      <c r="C1444" s="28" t="s">
        <v>10</v>
      </c>
      <c r="D1444" s="28" t="s">
        <v>858</v>
      </c>
      <c r="E1444" s="28"/>
      <c r="F1444" s="28">
        <v>24</v>
      </c>
      <c r="G1444" s="28" t="s">
        <v>122</v>
      </c>
      <c r="H1444" s="28">
        <v>0</v>
      </c>
      <c r="J1444" s="28"/>
    </row>
    <row r="1445" spans="1:10" ht="15.75" customHeight="1">
      <c r="A1445" s="28">
        <v>17729</v>
      </c>
      <c r="B1445" s="91">
        <v>44973.099733796298</v>
      </c>
      <c r="C1445" s="28" t="s">
        <v>10</v>
      </c>
      <c r="D1445" s="28" t="s">
        <v>858</v>
      </c>
      <c r="E1445" s="28"/>
      <c r="F1445" s="28">
        <v>28</v>
      </c>
      <c r="G1445" s="28" t="s">
        <v>143</v>
      </c>
      <c r="H1445" s="28">
        <v>0</v>
      </c>
      <c r="J1445" s="28"/>
    </row>
    <row r="1446" spans="1:10" ht="15.75" customHeight="1">
      <c r="A1446" s="28">
        <v>17729</v>
      </c>
      <c r="B1446" s="91">
        <v>44973.099733796298</v>
      </c>
      <c r="C1446" s="28" t="s">
        <v>10</v>
      </c>
      <c r="D1446" s="28" t="s">
        <v>858</v>
      </c>
      <c r="E1446" s="28"/>
      <c r="F1446" s="28">
        <v>0</v>
      </c>
      <c r="G1446" s="28" t="s">
        <v>139</v>
      </c>
      <c r="H1446" s="28">
        <v>0</v>
      </c>
      <c r="J1446" s="28"/>
    </row>
    <row r="1447" spans="1:10" ht="15.75" customHeight="1">
      <c r="A1447" s="28">
        <v>17729</v>
      </c>
      <c r="B1447" s="91">
        <v>44973.099733796298</v>
      </c>
      <c r="C1447" s="28" t="s">
        <v>10</v>
      </c>
      <c r="D1447" s="28" t="s">
        <v>858</v>
      </c>
      <c r="E1447" s="28"/>
      <c r="F1447" s="28">
        <v>55</v>
      </c>
      <c r="G1447" s="28">
        <v>101684</v>
      </c>
      <c r="H1447" s="28">
        <v>0</v>
      </c>
      <c r="J1447" s="28"/>
    </row>
    <row r="1448" spans="1:10" ht="15.75" customHeight="1">
      <c r="A1448" s="28">
        <v>17729</v>
      </c>
      <c r="B1448" s="91">
        <v>44973.099733796298</v>
      </c>
      <c r="C1448" s="28" t="s">
        <v>10</v>
      </c>
      <c r="D1448" s="28" t="s">
        <v>858</v>
      </c>
      <c r="E1448" s="28"/>
      <c r="F1448" s="28">
        <v>0</v>
      </c>
      <c r="G1448" s="28" t="s">
        <v>118</v>
      </c>
      <c r="H1448" s="28">
        <v>0</v>
      </c>
      <c r="J1448" s="28"/>
    </row>
    <row r="1449" spans="1:10" ht="15.75" customHeight="1">
      <c r="A1449" s="28">
        <v>17729</v>
      </c>
      <c r="B1449" s="91">
        <v>44973.099733796298</v>
      </c>
      <c r="C1449" s="28" t="s">
        <v>10</v>
      </c>
      <c r="D1449" s="28" t="s">
        <v>858</v>
      </c>
      <c r="E1449" s="28"/>
      <c r="F1449" s="28">
        <v>0</v>
      </c>
      <c r="G1449" s="28" t="s">
        <v>119</v>
      </c>
      <c r="H1449" s="28">
        <v>0</v>
      </c>
      <c r="J1449" s="28"/>
    </row>
    <row r="1450" spans="1:10" ht="15.75" customHeight="1">
      <c r="A1450" s="28">
        <v>17729</v>
      </c>
      <c r="B1450" s="91">
        <v>44973.099733796298</v>
      </c>
      <c r="C1450" s="28" t="s">
        <v>10</v>
      </c>
      <c r="D1450" s="28" t="s">
        <v>858</v>
      </c>
      <c r="E1450" s="28"/>
      <c r="F1450" s="28">
        <v>0</v>
      </c>
      <c r="G1450" s="28" t="s">
        <v>120</v>
      </c>
      <c r="H1450" s="28">
        <v>0</v>
      </c>
      <c r="J1450" s="28"/>
    </row>
    <row r="1451" spans="1:10" ht="15.75" customHeight="1">
      <c r="A1451" s="28">
        <v>17729</v>
      </c>
      <c r="B1451" s="91">
        <v>44973.099733796298</v>
      </c>
      <c r="C1451" s="28" t="s">
        <v>10</v>
      </c>
      <c r="D1451" s="28" t="s">
        <v>858</v>
      </c>
      <c r="E1451" s="28"/>
      <c r="F1451" s="28">
        <v>0</v>
      </c>
      <c r="G1451" s="28" t="s">
        <v>121</v>
      </c>
      <c r="H1451" s="28">
        <v>0</v>
      </c>
      <c r="J1451" s="28"/>
    </row>
    <row r="1452" spans="1:10" ht="15.75" customHeight="1">
      <c r="A1452" s="28">
        <v>17730</v>
      </c>
      <c r="B1452" s="91">
        <v>44973.100034722222</v>
      </c>
      <c r="C1452" s="28" t="s">
        <v>10</v>
      </c>
      <c r="D1452" s="28" t="s">
        <v>820</v>
      </c>
      <c r="E1452" s="28"/>
      <c r="F1452" s="28">
        <v>25</v>
      </c>
      <c r="G1452" s="28" t="s">
        <v>118</v>
      </c>
      <c r="H1452" s="28">
        <v>0</v>
      </c>
      <c r="J1452" s="28"/>
    </row>
    <row r="1453" spans="1:10" ht="15.75" customHeight="1">
      <c r="A1453" s="28">
        <v>17730</v>
      </c>
      <c r="B1453" s="91">
        <v>44973.100034722222</v>
      </c>
      <c r="C1453" s="28" t="s">
        <v>10</v>
      </c>
      <c r="D1453" s="28" t="s">
        <v>820</v>
      </c>
      <c r="E1453" s="28"/>
      <c r="F1453" s="28">
        <v>18</v>
      </c>
      <c r="G1453" s="28" t="s">
        <v>119</v>
      </c>
      <c r="H1453" s="28">
        <v>0</v>
      </c>
      <c r="J1453" s="28"/>
    </row>
    <row r="1454" spans="1:10" ht="15.75" customHeight="1">
      <c r="A1454" s="28">
        <v>17731</v>
      </c>
      <c r="B1454" s="91">
        <v>44973.137164351851</v>
      </c>
      <c r="C1454" s="28" t="s">
        <v>10</v>
      </c>
      <c r="D1454" s="28" t="s">
        <v>661</v>
      </c>
      <c r="E1454" s="28"/>
      <c r="F1454" s="28">
        <v>15</v>
      </c>
      <c r="G1454" s="28" t="s">
        <v>125</v>
      </c>
      <c r="H1454" s="28">
        <v>0</v>
      </c>
      <c r="J1454" s="28"/>
    </row>
    <row r="1455" spans="1:10" ht="15.75" customHeight="1">
      <c r="A1455" s="28">
        <v>17731</v>
      </c>
      <c r="B1455" s="91">
        <v>44973.137164351851</v>
      </c>
      <c r="C1455" s="28" t="s">
        <v>10</v>
      </c>
      <c r="D1455" s="28" t="s">
        <v>661</v>
      </c>
      <c r="E1455" s="28"/>
      <c r="F1455" s="28">
        <v>22</v>
      </c>
      <c r="G1455" s="28" t="s">
        <v>137</v>
      </c>
      <c r="H1455" s="28">
        <v>0</v>
      </c>
      <c r="J1455" s="28"/>
    </row>
    <row r="1456" spans="1:10" ht="15.75" customHeight="1">
      <c r="A1456" s="28">
        <v>17732</v>
      </c>
      <c r="B1456" s="91">
        <v>44973.141805555555</v>
      </c>
      <c r="C1456" s="28" t="s">
        <v>10</v>
      </c>
      <c r="D1456" s="28" t="s">
        <v>660</v>
      </c>
      <c r="E1456" s="28"/>
      <c r="F1456" s="28">
        <v>15</v>
      </c>
      <c r="G1456" s="28" t="s">
        <v>125</v>
      </c>
      <c r="H1456" s="28">
        <v>0</v>
      </c>
      <c r="J1456" s="28"/>
    </row>
    <row r="1457" spans="1:10" ht="15.75" customHeight="1">
      <c r="A1457" s="28">
        <v>17732</v>
      </c>
      <c r="B1457" s="91">
        <v>44973.141805555555</v>
      </c>
      <c r="C1457" s="28" t="s">
        <v>10</v>
      </c>
      <c r="D1457" s="28" t="s">
        <v>660</v>
      </c>
      <c r="E1457" s="28"/>
      <c r="F1457" s="28">
        <v>22</v>
      </c>
      <c r="G1457" s="28" t="s">
        <v>137</v>
      </c>
      <c r="H1457" s="28">
        <v>0</v>
      </c>
      <c r="J1457" s="28"/>
    </row>
    <row r="1458" spans="1:10" ht="15.75" customHeight="1">
      <c r="A1458" s="28">
        <v>17733</v>
      </c>
      <c r="B1458" s="91">
        <v>44973.144131944442</v>
      </c>
      <c r="C1458" s="28" t="s">
        <v>10</v>
      </c>
      <c r="D1458" s="28" t="s">
        <v>660</v>
      </c>
      <c r="E1458" s="28"/>
      <c r="F1458" s="28">
        <v>15</v>
      </c>
      <c r="G1458" s="28" t="s">
        <v>125</v>
      </c>
      <c r="H1458" s="28">
        <v>0</v>
      </c>
      <c r="J1458" s="28"/>
    </row>
    <row r="1459" spans="1:10" ht="15.75" customHeight="1">
      <c r="A1459" s="28">
        <v>17734</v>
      </c>
      <c r="B1459" s="91">
        <v>44973.148564814815</v>
      </c>
      <c r="C1459" s="28" t="s">
        <v>10</v>
      </c>
      <c r="D1459" s="28" t="s">
        <v>641</v>
      </c>
      <c r="E1459" s="28"/>
      <c r="F1459" s="28">
        <v>35</v>
      </c>
      <c r="G1459" s="28" t="s">
        <v>124</v>
      </c>
      <c r="H1459" s="28">
        <v>0</v>
      </c>
      <c r="J1459" s="28"/>
    </row>
    <row r="1460" spans="1:10" ht="15.75" customHeight="1">
      <c r="A1460" s="28">
        <v>17734</v>
      </c>
      <c r="B1460" s="91">
        <v>44973.148564814815</v>
      </c>
      <c r="C1460" s="28" t="s">
        <v>10</v>
      </c>
      <c r="D1460" s="28" t="s">
        <v>641</v>
      </c>
      <c r="E1460" s="28"/>
      <c r="F1460" s="28">
        <v>0</v>
      </c>
      <c r="G1460" s="28" t="s">
        <v>125</v>
      </c>
      <c r="H1460" s="28">
        <v>0</v>
      </c>
      <c r="J1460" s="28"/>
    </row>
    <row r="1461" spans="1:10" ht="15.75" customHeight="1">
      <c r="A1461" s="28">
        <v>17734</v>
      </c>
      <c r="B1461" s="91">
        <v>44973.148564814815</v>
      </c>
      <c r="C1461" s="28" t="s">
        <v>10</v>
      </c>
      <c r="D1461" s="28" t="s">
        <v>641</v>
      </c>
      <c r="E1461" s="28"/>
      <c r="F1461" s="28">
        <v>0</v>
      </c>
      <c r="G1461" s="28" t="s">
        <v>119</v>
      </c>
      <c r="H1461" s="28">
        <v>0</v>
      </c>
      <c r="J1461" s="28"/>
    </row>
    <row r="1462" spans="1:10" ht="15.75" customHeight="1">
      <c r="A1462" s="28">
        <v>17734</v>
      </c>
      <c r="B1462" s="91">
        <v>44973.148564814815</v>
      </c>
      <c r="C1462" s="28" t="s">
        <v>10</v>
      </c>
      <c r="D1462" s="28" t="s">
        <v>641</v>
      </c>
      <c r="E1462" s="28"/>
      <c r="F1462" s="28">
        <v>0</v>
      </c>
      <c r="G1462" s="28" t="s">
        <v>121</v>
      </c>
      <c r="H1462" s="28">
        <v>0</v>
      </c>
      <c r="J1462" s="28"/>
    </row>
    <row r="1463" spans="1:10" ht="15.75" customHeight="1">
      <c r="A1463" s="28">
        <v>17735</v>
      </c>
      <c r="B1463" s="91">
        <v>44973.528981481482</v>
      </c>
      <c r="C1463" s="28" t="s">
        <v>10</v>
      </c>
      <c r="D1463" s="28" t="s">
        <v>1039</v>
      </c>
      <c r="E1463" s="28"/>
      <c r="F1463" s="28">
        <v>18</v>
      </c>
      <c r="G1463" s="28" t="s">
        <v>119</v>
      </c>
      <c r="H1463" s="28">
        <v>0</v>
      </c>
      <c r="J1463" s="28"/>
    </row>
    <row r="1464" spans="1:10" ht="15.75" customHeight="1">
      <c r="A1464" s="28">
        <v>17735</v>
      </c>
      <c r="B1464" s="91">
        <v>44973.528981481482</v>
      </c>
      <c r="C1464" s="28" t="s">
        <v>10</v>
      </c>
      <c r="D1464" s="28" t="s">
        <v>1039</v>
      </c>
      <c r="E1464" s="28"/>
      <c r="F1464" s="28">
        <v>30</v>
      </c>
      <c r="G1464" s="28" t="s">
        <v>128</v>
      </c>
      <c r="H1464" s="28">
        <v>0</v>
      </c>
      <c r="J1464" s="28"/>
    </row>
    <row r="1465" spans="1:10" ht="15.75" customHeight="1">
      <c r="A1465" s="28">
        <v>17735</v>
      </c>
      <c r="B1465" s="91">
        <v>44973.528981481482</v>
      </c>
      <c r="C1465" s="28" t="s">
        <v>10</v>
      </c>
      <c r="D1465" s="28" t="s">
        <v>1039</v>
      </c>
      <c r="E1465" s="28"/>
      <c r="F1465" s="28">
        <v>0</v>
      </c>
      <c r="G1465" s="28" t="s">
        <v>125</v>
      </c>
      <c r="H1465" s="28">
        <v>0</v>
      </c>
      <c r="J1465" s="28"/>
    </row>
    <row r="1466" spans="1:10" ht="15.75" customHeight="1">
      <c r="A1466" s="28">
        <v>17735</v>
      </c>
      <c r="B1466" s="91">
        <v>44973.528981481482</v>
      </c>
      <c r="C1466" s="28" t="s">
        <v>10</v>
      </c>
      <c r="D1466" s="28" t="s">
        <v>1039</v>
      </c>
      <c r="E1466" s="28"/>
      <c r="F1466" s="28">
        <v>0</v>
      </c>
      <c r="G1466" s="28" t="s">
        <v>119</v>
      </c>
      <c r="H1466" s="28">
        <v>0</v>
      </c>
      <c r="J1466" s="28"/>
    </row>
    <row r="1467" spans="1:10" ht="15.75" customHeight="1">
      <c r="A1467" s="28">
        <v>17736</v>
      </c>
      <c r="B1467" s="91">
        <v>44973.530347222222</v>
      </c>
      <c r="C1467" s="28" t="s">
        <v>10</v>
      </c>
      <c r="D1467" s="28" t="s">
        <v>1038</v>
      </c>
      <c r="E1467" s="28"/>
      <c r="F1467" s="28">
        <v>18</v>
      </c>
      <c r="G1467" s="28" t="s">
        <v>119</v>
      </c>
      <c r="H1467" s="28">
        <v>0</v>
      </c>
      <c r="J1467" s="28"/>
    </row>
    <row r="1468" spans="1:10" ht="15.75" customHeight="1">
      <c r="A1468" s="28">
        <v>17737</v>
      </c>
      <c r="B1468" s="91">
        <v>44973.621423611112</v>
      </c>
      <c r="C1468" s="28" t="s">
        <v>10</v>
      </c>
      <c r="D1468" s="28" t="s">
        <v>727</v>
      </c>
      <c r="E1468" s="28"/>
      <c r="F1468" s="28">
        <v>18</v>
      </c>
      <c r="G1468" s="28" t="s">
        <v>119</v>
      </c>
      <c r="H1468" s="28">
        <v>0</v>
      </c>
      <c r="J1468" s="28"/>
    </row>
    <row r="1469" spans="1:10" ht="15.75" customHeight="1">
      <c r="A1469" s="28">
        <v>17738</v>
      </c>
      <c r="B1469" s="91">
        <v>44973.628113425926</v>
      </c>
      <c r="C1469" s="28" t="s">
        <v>10</v>
      </c>
      <c r="D1469" s="28" t="s">
        <v>1037</v>
      </c>
      <c r="E1469" s="28"/>
      <c r="F1469" s="28">
        <v>25</v>
      </c>
      <c r="G1469" s="28">
        <v>100692</v>
      </c>
      <c r="H1469" s="28">
        <v>0</v>
      </c>
      <c r="J1469" s="28"/>
    </row>
    <row r="1470" spans="1:10" ht="15.75" customHeight="1">
      <c r="A1470" s="28">
        <v>17738</v>
      </c>
      <c r="B1470" s="91">
        <v>44973.628113425926</v>
      </c>
      <c r="C1470" s="28" t="s">
        <v>10</v>
      </c>
      <c r="D1470" s="28" t="s">
        <v>1037</v>
      </c>
      <c r="E1470" s="28"/>
      <c r="F1470" s="28">
        <v>0</v>
      </c>
      <c r="G1470" s="28" t="s">
        <v>125</v>
      </c>
      <c r="H1470" s="28">
        <v>0</v>
      </c>
      <c r="J1470" s="28"/>
    </row>
    <row r="1471" spans="1:10" ht="15.75" customHeight="1">
      <c r="A1471" s="28">
        <v>17738</v>
      </c>
      <c r="B1471" s="91">
        <v>44973.628113425926</v>
      </c>
      <c r="C1471" s="28" t="s">
        <v>10</v>
      </c>
      <c r="D1471" s="28" t="s">
        <v>1037</v>
      </c>
      <c r="E1471" s="28"/>
      <c r="F1471" s="28">
        <v>0</v>
      </c>
      <c r="G1471" s="28" t="s">
        <v>119</v>
      </c>
      <c r="H1471" s="28">
        <v>0</v>
      </c>
      <c r="J1471" s="28"/>
    </row>
    <row r="1472" spans="1:10" ht="15.75" customHeight="1">
      <c r="A1472" s="28">
        <v>17738</v>
      </c>
      <c r="B1472" s="91">
        <v>44973.628113425926</v>
      </c>
      <c r="C1472" s="28" t="s">
        <v>10</v>
      </c>
      <c r="D1472" s="28" t="s">
        <v>1037</v>
      </c>
      <c r="E1472" s="28"/>
      <c r="F1472" s="28">
        <v>0</v>
      </c>
      <c r="G1472" s="28" t="s">
        <v>139</v>
      </c>
      <c r="H1472" s="28">
        <v>0</v>
      </c>
      <c r="J1472" s="28"/>
    </row>
    <row r="1473" spans="1:10" ht="15.75" customHeight="1">
      <c r="A1473" s="28">
        <v>17739</v>
      </c>
      <c r="B1473" s="91">
        <v>44973.629155092596</v>
      </c>
      <c r="C1473" s="28" t="s">
        <v>10</v>
      </c>
      <c r="D1473" s="28" t="s">
        <v>1036</v>
      </c>
      <c r="E1473" s="28"/>
      <c r="F1473" s="28">
        <v>25</v>
      </c>
      <c r="G1473" s="28">
        <v>100692</v>
      </c>
      <c r="H1473" s="28">
        <v>0</v>
      </c>
      <c r="J1473" s="28"/>
    </row>
    <row r="1474" spans="1:10" ht="15.75" customHeight="1">
      <c r="A1474" s="28">
        <v>17739</v>
      </c>
      <c r="B1474" s="91">
        <v>44973.629155092596</v>
      </c>
      <c r="C1474" s="28" t="s">
        <v>10</v>
      </c>
      <c r="D1474" s="28" t="s">
        <v>1036</v>
      </c>
      <c r="E1474" s="28"/>
      <c r="F1474" s="28">
        <v>0</v>
      </c>
      <c r="G1474" s="28" t="s">
        <v>125</v>
      </c>
      <c r="H1474" s="28">
        <v>0</v>
      </c>
      <c r="J1474" s="28"/>
    </row>
    <row r="1475" spans="1:10" ht="15.75" customHeight="1">
      <c r="A1475" s="28">
        <v>17739</v>
      </c>
      <c r="B1475" s="91">
        <v>44973.629155092596</v>
      </c>
      <c r="C1475" s="28" t="s">
        <v>10</v>
      </c>
      <c r="D1475" s="28" t="s">
        <v>1036</v>
      </c>
      <c r="E1475" s="28"/>
      <c r="F1475" s="28">
        <v>0</v>
      </c>
      <c r="G1475" s="28" t="s">
        <v>119</v>
      </c>
      <c r="H1475" s="28">
        <v>0</v>
      </c>
      <c r="J1475" s="28"/>
    </row>
    <row r="1476" spans="1:10" ht="15.75" customHeight="1">
      <c r="A1476" s="28">
        <v>17739</v>
      </c>
      <c r="B1476" s="91">
        <v>44973.629155092596</v>
      </c>
      <c r="C1476" s="28" t="s">
        <v>10</v>
      </c>
      <c r="D1476" s="28" t="s">
        <v>1036</v>
      </c>
      <c r="E1476" s="28"/>
      <c r="F1476" s="28">
        <v>0</v>
      </c>
      <c r="G1476" s="28" t="s">
        <v>139</v>
      </c>
      <c r="H1476" s="28">
        <v>0</v>
      </c>
      <c r="J1476" s="28"/>
    </row>
    <row r="1477" spans="1:10" ht="15.75" customHeight="1">
      <c r="A1477" s="28">
        <v>17740</v>
      </c>
      <c r="B1477" s="91">
        <v>44973.674201388887</v>
      </c>
      <c r="C1477" s="28" t="s">
        <v>10</v>
      </c>
      <c r="D1477" s="28" t="s">
        <v>326</v>
      </c>
      <c r="E1477" s="28"/>
      <c r="F1477" s="28">
        <v>0</v>
      </c>
      <c r="G1477" s="28" t="s">
        <v>139</v>
      </c>
      <c r="H1477" s="28">
        <v>0</v>
      </c>
      <c r="J1477" s="28"/>
    </row>
    <row r="1478" spans="1:10" ht="15.75" customHeight="1">
      <c r="A1478" s="28">
        <v>17741</v>
      </c>
      <c r="B1478" s="91">
        <v>44973.686331018514</v>
      </c>
      <c r="C1478" s="28" t="s">
        <v>10</v>
      </c>
      <c r="D1478" s="28" t="s">
        <v>327</v>
      </c>
      <c r="E1478" s="28"/>
      <c r="F1478" s="28">
        <v>24</v>
      </c>
      <c r="G1478" s="28" t="s">
        <v>122</v>
      </c>
      <c r="H1478" s="28">
        <v>0</v>
      </c>
      <c r="J1478" s="28"/>
    </row>
    <row r="1479" spans="1:10" ht="15.75" customHeight="1">
      <c r="A1479" s="28">
        <v>17741</v>
      </c>
      <c r="B1479" s="91">
        <v>44973.686331018514</v>
      </c>
      <c r="C1479" s="28" t="s">
        <v>10</v>
      </c>
      <c r="D1479" s="28" t="s">
        <v>327</v>
      </c>
      <c r="E1479" s="28"/>
      <c r="F1479" s="28">
        <v>0</v>
      </c>
      <c r="G1479" s="28" t="s">
        <v>139</v>
      </c>
      <c r="H1479" s="28">
        <v>0</v>
      </c>
      <c r="J1479" s="28"/>
    </row>
    <row r="1480" spans="1:10" ht="15.75" customHeight="1">
      <c r="A1480" s="28">
        <v>17742</v>
      </c>
      <c r="B1480" s="91">
        <v>44973.740370370375</v>
      </c>
      <c r="C1480" s="28" t="s">
        <v>10</v>
      </c>
      <c r="D1480" s="28" t="s">
        <v>1035</v>
      </c>
      <c r="E1480" s="28"/>
      <c r="F1480" s="28">
        <v>25</v>
      </c>
      <c r="G1480" s="28">
        <v>100692</v>
      </c>
      <c r="H1480" s="28">
        <v>0</v>
      </c>
      <c r="J1480" s="28"/>
    </row>
    <row r="1481" spans="1:10" ht="15.75" customHeight="1">
      <c r="A1481" s="28">
        <v>17742</v>
      </c>
      <c r="B1481" s="91">
        <v>44973.740370370375</v>
      </c>
      <c r="C1481" s="28" t="s">
        <v>10</v>
      </c>
      <c r="D1481" s="28" t="s">
        <v>1035</v>
      </c>
      <c r="E1481" s="28"/>
      <c r="F1481" s="28">
        <v>0</v>
      </c>
      <c r="G1481" s="28" t="s">
        <v>125</v>
      </c>
      <c r="H1481" s="28">
        <v>0</v>
      </c>
      <c r="J1481" s="28"/>
    </row>
    <row r="1482" spans="1:10" ht="15.75" customHeight="1">
      <c r="A1482" s="28">
        <v>17742</v>
      </c>
      <c r="B1482" s="91">
        <v>44973.740370370375</v>
      </c>
      <c r="C1482" s="28" t="s">
        <v>10</v>
      </c>
      <c r="D1482" s="28" t="s">
        <v>1035</v>
      </c>
      <c r="E1482" s="28"/>
      <c r="F1482" s="28">
        <v>0</v>
      </c>
      <c r="G1482" s="28" t="s">
        <v>119</v>
      </c>
      <c r="H1482" s="28">
        <v>0</v>
      </c>
      <c r="J1482" s="28"/>
    </row>
    <row r="1483" spans="1:10" ht="15.75" customHeight="1">
      <c r="A1483" s="28">
        <v>17743</v>
      </c>
      <c r="B1483" s="91">
        <v>44973.750046296293</v>
      </c>
      <c r="C1483" s="28" t="s">
        <v>10</v>
      </c>
      <c r="D1483" s="28" t="s">
        <v>703</v>
      </c>
      <c r="E1483" s="28"/>
      <c r="F1483" s="28">
        <v>25</v>
      </c>
      <c r="G1483" s="28">
        <v>100692</v>
      </c>
      <c r="H1483" s="28">
        <v>0</v>
      </c>
      <c r="J1483" s="28"/>
    </row>
    <row r="1484" spans="1:10" ht="15.75" customHeight="1">
      <c r="A1484" s="28">
        <v>17743</v>
      </c>
      <c r="B1484" s="91">
        <v>44973.750046296293</v>
      </c>
      <c r="C1484" s="28" t="s">
        <v>10</v>
      </c>
      <c r="D1484" s="28" t="s">
        <v>703</v>
      </c>
      <c r="E1484" s="28"/>
      <c r="F1484" s="28">
        <v>0</v>
      </c>
      <c r="G1484" s="28" t="s">
        <v>125</v>
      </c>
      <c r="H1484" s="28">
        <v>0</v>
      </c>
      <c r="J1484" s="28"/>
    </row>
    <row r="1485" spans="1:10" ht="15.75" customHeight="1">
      <c r="A1485" s="28">
        <v>17743</v>
      </c>
      <c r="B1485" s="91">
        <v>44973.750046296293</v>
      </c>
      <c r="C1485" s="28" t="s">
        <v>10</v>
      </c>
      <c r="D1485" s="28" t="s">
        <v>703</v>
      </c>
      <c r="E1485" s="28"/>
      <c r="F1485" s="28">
        <v>0</v>
      </c>
      <c r="G1485" s="28" t="s">
        <v>119</v>
      </c>
      <c r="H1485" s="28">
        <v>0</v>
      </c>
      <c r="J1485" s="28"/>
    </row>
    <row r="1486" spans="1:10" ht="15.75" customHeight="1">
      <c r="A1486" s="28">
        <v>17743</v>
      </c>
      <c r="B1486" s="91">
        <v>44973.750046296293</v>
      </c>
      <c r="C1486" s="28" t="s">
        <v>10</v>
      </c>
      <c r="D1486" s="28" t="s">
        <v>703</v>
      </c>
      <c r="E1486" s="28"/>
      <c r="F1486" s="28">
        <v>20</v>
      </c>
      <c r="G1486" s="28" t="s">
        <v>148</v>
      </c>
      <c r="H1486" s="28">
        <v>0</v>
      </c>
      <c r="J1486" s="28"/>
    </row>
    <row r="1487" spans="1:10" ht="15.75" customHeight="1">
      <c r="A1487" s="28">
        <v>17744</v>
      </c>
      <c r="B1487" s="91">
        <v>44973.769942129627</v>
      </c>
      <c r="C1487" s="28" t="s">
        <v>10</v>
      </c>
      <c r="D1487" s="28" t="s">
        <v>1034</v>
      </c>
      <c r="E1487" s="28"/>
      <c r="F1487" s="28">
        <v>25</v>
      </c>
      <c r="G1487" s="28">
        <v>100692</v>
      </c>
      <c r="H1487" s="28">
        <v>0</v>
      </c>
      <c r="J1487" s="28"/>
    </row>
    <row r="1488" spans="1:10" ht="15.75" customHeight="1">
      <c r="A1488" s="28">
        <v>17744</v>
      </c>
      <c r="B1488" s="91">
        <v>44973.769942129627</v>
      </c>
      <c r="C1488" s="28" t="s">
        <v>10</v>
      </c>
      <c r="D1488" s="28" t="s">
        <v>1034</v>
      </c>
      <c r="E1488" s="28"/>
      <c r="F1488" s="28">
        <v>0</v>
      </c>
      <c r="G1488" s="28" t="s">
        <v>125</v>
      </c>
      <c r="H1488" s="28">
        <v>0</v>
      </c>
      <c r="J1488" s="28"/>
    </row>
    <row r="1489" spans="1:10" ht="15.75" customHeight="1">
      <c r="A1489" s="28">
        <v>17744</v>
      </c>
      <c r="B1489" s="91">
        <v>44973.769942129627</v>
      </c>
      <c r="C1489" s="28" t="s">
        <v>10</v>
      </c>
      <c r="D1489" s="28" t="s">
        <v>1034</v>
      </c>
      <c r="E1489" s="28"/>
      <c r="F1489" s="28">
        <v>0</v>
      </c>
      <c r="G1489" s="28" t="s">
        <v>119</v>
      </c>
      <c r="H1489" s="28">
        <v>0</v>
      </c>
      <c r="J1489" s="28"/>
    </row>
    <row r="1490" spans="1:10" ht="15.75" customHeight="1">
      <c r="A1490" s="28">
        <v>17745</v>
      </c>
      <c r="B1490" s="91">
        <v>44973.796307870369</v>
      </c>
      <c r="C1490" s="28" t="s">
        <v>10</v>
      </c>
      <c r="D1490" s="28" t="s">
        <v>661</v>
      </c>
      <c r="E1490" s="28"/>
      <c r="F1490" s="28">
        <v>20</v>
      </c>
      <c r="G1490" s="28" t="s">
        <v>148</v>
      </c>
      <c r="H1490" s="28">
        <v>0</v>
      </c>
      <c r="J1490" s="28"/>
    </row>
    <row r="1491" spans="1:10" ht="15.75" customHeight="1">
      <c r="A1491" s="28">
        <v>17745</v>
      </c>
      <c r="B1491" s="91">
        <v>44973.796307870369</v>
      </c>
      <c r="C1491" s="28" t="s">
        <v>10</v>
      </c>
      <c r="D1491" s="28" t="s">
        <v>661</v>
      </c>
      <c r="E1491" s="28"/>
      <c r="F1491" s="28">
        <v>22</v>
      </c>
      <c r="G1491" s="28" t="s">
        <v>137</v>
      </c>
      <c r="H1491" s="28">
        <v>0</v>
      </c>
      <c r="J1491" s="28"/>
    </row>
    <row r="1492" spans="1:10" ht="15.75" customHeight="1">
      <c r="A1492" s="28">
        <v>17746</v>
      </c>
      <c r="B1492" s="91">
        <v>44973.79987268518</v>
      </c>
      <c r="C1492" s="28" t="s">
        <v>10</v>
      </c>
      <c r="D1492" s="28" t="s">
        <v>660</v>
      </c>
      <c r="E1492" s="28"/>
      <c r="F1492" s="28">
        <v>22</v>
      </c>
      <c r="G1492" s="28" t="s">
        <v>137</v>
      </c>
      <c r="H1492" s="28">
        <v>0</v>
      </c>
      <c r="J1492" s="28"/>
    </row>
    <row r="1493" spans="1:10" ht="15.75" customHeight="1">
      <c r="A1493" s="28">
        <v>17747</v>
      </c>
      <c r="B1493" s="91">
        <v>44973.803067129629</v>
      </c>
      <c r="C1493" s="28" t="s">
        <v>10</v>
      </c>
      <c r="D1493" s="28" t="s">
        <v>660</v>
      </c>
      <c r="E1493" s="28"/>
      <c r="F1493" s="28">
        <v>18</v>
      </c>
      <c r="G1493" s="28" t="s">
        <v>457</v>
      </c>
      <c r="H1493" s="28">
        <v>0</v>
      </c>
      <c r="J1493" s="28"/>
    </row>
    <row r="1494" spans="1:10" ht="15.75" customHeight="1">
      <c r="A1494" s="28">
        <v>17748</v>
      </c>
      <c r="B1494" s="91">
        <v>44973.898726851854</v>
      </c>
      <c r="C1494" s="28" t="s">
        <v>10</v>
      </c>
      <c r="D1494" s="28" t="s">
        <v>1033</v>
      </c>
      <c r="E1494" s="28"/>
      <c r="F1494" s="28">
        <v>25</v>
      </c>
      <c r="G1494" s="28">
        <v>100692</v>
      </c>
      <c r="H1494" s="28">
        <v>0</v>
      </c>
      <c r="J1494" s="28"/>
    </row>
    <row r="1495" spans="1:10" ht="15.75" customHeight="1">
      <c r="A1495" s="28">
        <v>17748</v>
      </c>
      <c r="B1495" s="91">
        <v>44973.898726851854</v>
      </c>
      <c r="C1495" s="28" t="s">
        <v>10</v>
      </c>
      <c r="D1495" s="28" t="s">
        <v>1033</v>
      </c>
      <c r="E1495" s="28"/>
      <c r="F1495" s="28">
        <v>0</v>
      </c>
      <c r="G1495" s="28" t="s">
        <v>125</v>
      </c>
      <c r="H1495" s="28">
        <v>0</v>
      </c>
      <c r="J1495" s="28"/>
    </row>
    <row r="1496" spans="1:10" ht="15.75" customHeight="1">
      <c r="A1496" s="28">
        <v>17748</v>
      </c>
      <c r="B1496" s="91">
        <v>44973.898726851854</v>
      </c>
      <c r="C1496" s="28" t="s">
        <v>10</v>
      </c>
      <c r="D1496" s="28" t="s">
        <v>1033</v>
      </c>
      <c r="E1496" s="28"/>
      <c r="F1496" s="28">
        <v>0</v>
      </c>
      <c r="G1496" s="28" t="s">
        <v>119</v>
      </c>
      <c r="H1496" s="28">
        <v>0</v>
      </c>
      <c r="J1496" s="28"/>
    </row>
    <row r="1497" spans="1:10" ht="15.75" customHeight="1">
      <c r="A1497" s="28">
        <v>17749</v>
      </c>
      <c r="B1497" s="91">
        <v>44973.913576388892</v>
      </c>
      <c r="C1497" s="28" t="s">
        <v>10</v>
      </c>
      <c r="D1497" s="28" t="s">
        <v>831</v>
      </c>
      <c r="E1497" s="28"/>
      <c r="F1497" s="28">
        <v>25</v>
      </c>
      <c r="G1497" s="28">
        <v>100692</v>
      </c>
      <c r="H1497" s="28">
        <v>0</v>
      </c>
      <c r="J1497" s="28"/>
    </row>
    <row r="1498" spans="1:10" ht="15.75" customHeight="1">
      <c r="A1498" s="28">
        <v>17749</v>
      </c>
      <c r="B1498" s="91">
        <v>44973.913576388892</v>
      </c>
      <c r="C1498" s="28" t="s">
        <v>10</v>
      </c>
      <c r="D1498" s="28" t="s">
        <v>831</v>
      </c>
      <c r="E1498" s="28"/>
      <c r="F1498" s="28">
        <v>0</v>
      </c>
      <c r="G1498" s="28" t="s">
        <v>125</v>
      </c>
      <c r="H1498" s="28">
        <v>0</v>
      </c>
      <c r="J1498" s="28"/>
    </row>
    <row r="1499" spans="1:10" ht="15.75" customHeight="1">
      <c r="A1499" s="28">
        <v>17749</v>
      </c>
      <c r="B1499" s="91">
        <v>44973.913576388892</v>
      </c>
      <c r="C1499" s="28" t="s">
        <v>10</v>
      </c>
      <c r="D1499" s="28" t="s">
        <v>831</v>
      </c>
      <c r="E1499" s="28"/>
      <c r="F1499" s="28">
        <v>0</v>
      </c>
      <c r="G1499" s="28" t="s">
        <v>119</v>
      </c>
      <c r="H1499" s="28">
        <v>0</v>
      </c>
      <c r="J1499" s="28"/>
    </row>
    <row r="1500" spans="1:10" ht="15.75" customHeight="1">
      <c r="A1500" s="28">
        <v>17750</v>
      </c>
      <c r="B1500" s="91">
        <v>44973.929490740746</v>
      </c>
      <c r="C1500" s="28" t="s">
        <v>10</v>
      </c>
      <c r="D1500" s="28" t="s">
        <v>686</v>
      </c>
      <c r="E1500" s="28"/>
      <c r="F1500" s="28">
        <v>55</v>
      </c>
      <c r="G1500" s="28">
        <v>101684</v>
      </c>
      <c r="H1500" s="28">
        <v>0</v>
      </c>
      <c r="J1500" s="28"/>
    </row>
    <row r="1501" spans="1:10" ht="15.75" customHeight="1">
      <c r="A1501" s="28">
        <v>17750</v>
      </c>
      <c r="B1501" s="91">
        <v>44973.929490740746</v>
      </c>
      <c r="C1501" s="28" t="s">
        <v>10</v>
      </c>
      <c r="D1501" s="28" t="s">
        <v>686</v>
      </c>
      <c r="E1501" s="28"/>
      <c r="F1501" s="28">
        <v>0</v>
      </c>
      <c r="G1501" s="28" t="s">
        <v>118</v>
      </c>
      <c r="H1501" s="28">
        <v>0</v>
      </c>
      <c r="J1501" s="28"/>
    </row>
    <row r="1502" spans="1:10" ht="15.75" customHeight="1">
      <c r="A1502" s="28">
        <v>17750</v>
      </c>
      <c r="B1502" s="91">
        <v>44973.929490740746</v>
      </c>
      <c r="C1502" s="28" t="s">
        <v>10</v>
      </c>
      <c r="D1502" s="28" t="s">
        <v>686</v>
      </c>
      <c r="E1502" s="28"/>
      <c r="F1502" s="28">
        <v>0</v>
      </c>
      <c r="G1502" s="28" t="s">
        <v>119</v>
      </c>
      <c r="H1502" s="28">
        <v>0</v>
      </c>
      <c r="J1502" s="28"/>
    </row>
    <row r="1503" spans="1:10" ht="15.75" customHeight="1">
      <c r="A1503" s="28">
        <v>17750</v>
      </c>
      <c r="B1503" s="91">
        <v>44973.929490740746</v>
      </c>
      <c r="C1503" s="28" t="s">
        <v>10</v>
      </c>
      <c r="D1503" s="28" t="s">
        <v>686</v>
      </c>
      <c r="E1503" s="28"/>
      <c r="F1503" s="28">
        <v>0</v>
      </c>
      <c r="G1503" s="28" t="s">
        <v>120</v>
      </c>
      <c r="H1503" s="28">
        <v>0</v>
      </c>
      <c r="J1503" s="28"/>
    </row>
    <row r="1504" spans="1:10" ht="15.75" customHeight="1">
      <c r="A1504" s="28">
        <v>17750</v>
      </c>
      <c r="B1504" s="91">
        <v>44973.929490740746</v>
      </c>
      <c r="C1504" s="28" t="s">
        <v>10</v>
      </c>
      <c r="D1504" s="28" t="s">
        <v>686</v>
      </c>
      <c r="E1504" s="28"/>
      <c r="F1504" s="28">
        <v>0</v>
      </c>
      <c r="G1504" s="28" t="s">
        <v>121</v>
      </c>
      <c r="H1504" s="28">
        <v>0</v>
      </c>
      <c r="J1504" s="28"/>
    </row>
    <row r="1505" spans="1:10" ht="15.75" customHeight="1">
      <c r="A1505" s="28">
        <v>17751</v>
      </c>
      <c r="B1505" s="91">
        <v>44973.93450231482</v>
      </c>
      <c r="C1505" s="28" t="s">
        <v>10</v>
      </c>
      <c r="D1505" s="28" t="s">
        <v>645</v>
      </c>
      <c r="E1505" s="28"/>
      <c r="F1505" s="28">
        <v>28</v>
      </c>
      <c r="G1505" s="28" t="s">
        <v>143</v>
      </c>
      <c r="H1505" s="28">
        <v>0</v>
      </c>
      <c r="J1505" s="28"/>
    </row>
    <row r="1506" spans="1:10" ht="15.75" customHeight="1">
      <c r="A1506" s="28">
        <v>17751</v>
      </c>
      <c r="B1506" s="91">
        <v>44973.93450231482</v>
      </c>
      <c r="C1506" s="28" t="s">
        <v>10</v>
      </c>
      <c r="D1506" s="28" t="s">
        <v>645</v>
      </c>
      <c r="E1506" s="28"/>
      <c r="F1506" s="28">
        <v>15</v>
      </c>
      <c r="G1506" s="28" t="s">
        <v>125</v>
      </c>
      <c r="H1506" s="28">
        <v>0</v>
      </c>
      <c r="J1506" s="28"/>
    </row>
    <row r="1507" spans="1:10" ht="15.75" customHeight="1">
      <c r="A1507" s="28">
        <v>17752</v>
      </c>
      <c r="B1507" s="91">
        <v>44973.960324074069</v>
      </c>
      <c r="C1507" s="28" t="s">
        <v>10</v>
      </c>
      <c r="D1507" s="28" t="s">
        <v>768</v>
      </c>
      <c r="E1507" s="28"/>
      <c r="F1507" s="28">
        <v>35</v>
      </c>
      <c r="G1507" s="28" t="s">
        <v>124</v>
      </c>
      <c r="H1507" s="28">
        <v>0</v>
      </c>
      <c r="J1507" s="28"/>
    </row>
    <row r="1508" spans="1:10" ht="15.75" customHeight="1">
      <c r="A1508" s="28">
        <v>17752</v>
      </c>
      <c r="B1508" s="91">
        <v>44973.960324074069</v>
      </c>
      <c r="C1508" s="28" t="s">
        <v>10</v>
      </c>
      <c r="D1508" s="28" t="s">
        <v>768</v>
      </c>
      <c r="E1508" s="28"/>
      <c r="F1508" s="28">
        <v>0</v>
      </c>
      <c r="G1508" s="28" t="s">
        <v>125</v>
      </c>
      <c r="H1508" s="28">
        <v>0</v>
      </c>
      <c r="J1508" s="28"/>
    </row>
    <row r="1509" spans="1:10" ht="15.75" customHeight="1">
      <c r="A1509" s="28">
        <v>17752</v>
      </c>
      <c r="B1509" s="91">
        <v>44973.960324074069</v>
      </c>
      <c r="C1509" s="28" t="s">
        <v>10</v>
      </c>
      <c r="D1509" s="28" t="s">
        <v>768</v>
      </c>
      <c r="E1509" s="28"/>
      <c r="F1509" s="28">
        <v>0</v>
      </c>
      <c r="G1509" s="28" t="s">
        <v>119</v>
      </c>
      <c r="H1509" s="28">
        <v>0</v>
      </c>
      <c r="J1509" s="28"/>
    </row>
    <row r="1510" spans="1:10" ht="15.75" customHeight="1">
      <c r="A1510" s="28">
        <v>17752</v>
      </c>
      <c r="B1510" s="91">
        <v>44973.960324074069</v>
      </c>
      <c r="C1510" s="28" t="s">
        <v>10</v>
      </c>
      <c r="D1510" s="28" t="s">
        <v>768</v>
      </c>
      <c r="E1510" s="28"/>
      <c r="F1510" s="28">
        <v>0</v>
      </c>
      <c r="G1510" s="28" t="s">
        <v>121</v>
      </c>
      <c r="H1510" s="28">
        <v>0</v>
      </c>
      <c r="J1510" s="28"/>
    </row>
    <row r="1511" spans="1:10" ht="15.75" customHeight="1">
      <c r="A1511" s="28">
        <v>17753</v>
      </c>
      <c r="B1511" s="91">
        <v>44973.965787037036</v>
      </c>
      <c r="C1511" s="28" t="s">
        <v>10</v>
      </c>
      <c r="D1511" s="28" t="s">
        <v>835</v>
      </c>
      <c r="E1511" s="28"/>
      <c r="F1511" s="28">
        <v>0</v>
      </c>
      <c r="G1511" s="28" t="s">
        <v>139</v>
      </c>
      <c r="H1511" s="28">
        <v>0</v>
      </c>
      <c r="J1511" s="28"/>
    </row>
    <row r="1512" spans="1:10" ht="15.75" customHeight="1">
      <c r="A1512" s="28">
        <v>17753</v>
      </c>
      <c r="B1512" s="91">
        <v>44973.965787037036</v>
      </c>
      <c r="C1512" s="28" t="s">
        <v>10</v>
      </c>
      <c r="D1512" s="28" t="s">
        <v>835</v>
      </c>
      <c r="E1512" s="28"/>
      <c r="F1512" s="28">
        <v>24</v>
      </c>
      <c r="G1512" s="28" t="s">
        <v>122</v>
      </c>
      <c r="H1512" s="28">
        <v>0</v>
      </c>
      <c r="J1512" s="28"/>
    </row>
    <row r="1513" spans="1:10" ht="15.75" customHeight="1">
      <c r="A1513" s="28">
        <v>17753</v>
      </c>
      <c r="B1513" s="91">
        <v>44973.965787037036</v>
      </c>
      <c r="C1513" s="28" t="s">
        <v>10</v>
      </c>
      <c r="D1513" s="28" t="s">
        <v>835</v>
      </c>
      <c r="E1513" s="28"/>
      <c r="F1513" s="28">
        <v>15</v>
      </c>
      <c r="G1513" s="28" t="s">
        <v>125</v>
      </c>
      <c r="H1513" s="28">
        <v>0</v>
      </c>
      <c r="J1513" s="28"/>
    </row>
    <row r="1514" spans="1:10" ht="15.75" customHeight="1">
      <c r="A1514" s="28">
        <v>17754</v>
      </c>
      <c r="B1514" s="91">
        <v>44973.982245370367</v>
      </c>
      <c r="C1514" s="28" t="s">
        <v>10</v>
      </c>
      <c r="D1514" s="28" t="s">
        <v>1032</v>
      </c>
      <c r="E1514" s="28"/>
      <c r="F1514" s="28">
        <v>55</v>
      </c>
      <c r="G1514" s="28">
        <v>101684</v>
      </c>
      <c r="H1514" s="28">
        <v>0</v>
      </c>
      <c r="J1514" s="28"/>
    </row>
    <row r="1515" spans="1:10" ht="15.75" customHeight="1">
      <c r="A1515" s="28">
        <v>17754</v>
      </c>
      <c r="B1515" s="91">
        <v>44973.982245370367</v>
      </c>
      <c r="C1515" s="28" t="s">
        <v>10</v>
      </c>
      <c r="D1515" s="28" t="s">
        <v>1032</v>
      </c>
      <c r="E1515" s="28"/>
      <c r="F1515" s="28">
        <v>0</v>
      </c>
      <c r="G1515" s="28" t="s">
        <v>118</v>
      </c>
      <c r="H1515" s="28">
        <v>0</v>
      </c>
      <c r="J1515" s="28"/>
    </row>
    <row r="1516" spans="1:10" ht="15.75" customHeight="1">
      <c r="A1516" s="28">
        <v>17754</v>
      </c>
      <c r="B1516" s="91">
        <v>44973.982245370367</v>
      </c>
      <c r="C1516" s="28" t="s">
        <v>10</v>
      </c>
      <c r="D1516" s="28" t="s">
        <v>1032</v>
      </c>
      <c r="E1516" s="28"/>
      <c r="F1516" s="28">
        <v>0</v>
      </c>
      <c r="G1516" s="28" t="s">
        <v>119</v>
      </c>
      <c r="H1516" s="28">
        <v>0</v>
      </c>
      <c r="J1516" s="28"/>
    </row>
    <row r="1517" spans="1:10" ht="15.75" customHeight="1">
      <c r="A1517" s="28">
        <v>17754</v>
      </c>
      <c r="B1517" s="91">
        <v>44973.982245370367</v>
      </c>
      <c r="C1517" s="28" t="s">
        <v>10</v>
      </c>
      <c r="D1517" s="28" t="s">
        <v>1032</v>
      </c>
      <c r="E1517" s="28"/>
      <c r="F1517" s="28">
        <v>0</v>
      </c>
      <c r="G1517" s="28" t="s">
        <v>120</v>
      </c>
      <c r="H1517" s="28">
        <v>0</v>
      </c>
      <c r="J1517" s="28"/>
    </row>
    <row r="1518" spans="1:10" ht="15.75" customHeight="1">
      <c r="A1518" s="28">
        <v>17754</v>
      </c>
      <c r="B1518" s="91">
        <v>44973.982245370367</v>
      </c>
      <c r="C1518" s="28" t="s">
        <v>10</v>
      </c>
      <c r="D1518" s="28" t="s">
        <v>1032</v>
      </c>
      <c r="E1518" s="28"/>
      <c r="F1518" s="28">
        <v>0</v>
      </c>
      <c r="G1518" s="28" t="s">
        <v>121</v>
      </c>
      <c r="H1518" s="28">
        <v>0</v>
      </c>
      <c r="J1518" s="28"/>
    </row>
    <row r="1519" spans="1:10" ht="15.75" customHeight="1">
      <c r="A1519" s="28">
        <v>17755</v>
      </c>
      <c r="B1519" s="91">
        <v>44973.982638888891</v>
      </c>
      <c r="C1519" s="28" t="s">
        <v>10</v>
      </c>
      <c r="D1519" s="28" t="s">
        <v>798</v>
      </c>
      <c r="E1519" s="28"/>
      <c r="F1519" s="28">
        <v>28</v>
      </c>
      <c r="G1519" s="28" t="s">
        <v>143</v>
      </c>
      <c r="H1519" s="28">
        <v>0</v>
      </c>
      <c r="J1519" s="28"/>
    </row>
    <row r="1520" spans="1:10" ht="15.75" customHeight="1">
      <c r="A1520" s="28">
        <v>17755</v>
      </c>
      <c r="B1520" s="91">
        <v>44973.982638888891</v>
      </c>
      <c r="C1520" s="28" t="s">
        <v>10</v>
      </c>
      <c r="D1520" s="28" t="s">
        <v>798</v>
      </c>
      <c r="E1520" s="28"/>
      <c r="F1520" s="28">
        <v>55</v>
      </c>
      <c r="G1520" s="28">
        <v>101684</v>
      </c>
      <c r="H1520" s="28">
        <v>0</v>
      </c>
      <c r="J1520" s="28"/>
    </row>
    <row r="1521" spans="1:10" ht="15.75" customHeight="1">
      <c r="A1521" s="28">
        <v>17755</v>
      </c>
      <c r="B1521" s="91">
        <v>44973.982638888891</v>
      </c>
      <c r="C1521" s="28" t="s">
        <v>10</v>
      </c>
      <c r="D1521" s="28" t="s">
        <v>798</v>
      </c>
      <c r="E1521" s="28"/>
      <c r="F1521" s="28">
        <v>0</v>
      </c>
      <c r="G1521" s="28" t="s">
        <v>118</v>
      </c>
      <c r="H1521" s="28">
        <v>0</v>
      </c>
      <c r="J1521" s="28"/>
    </row>
    <row r="1522" spans="1:10" ht="15.75" customHeight="1">
      <c r="A1522" s="28">
        <v>17755</v>
      </c>
      <c r="B1522" s="91">
        <v>44973.982638888891</v>
      </c>
      <c r="C1522" s="28" t="s">
        <v>10</v>
      </c>
      <c r="D1522" s="28" t="s">
        <v>798</v>
      </c>
      <c r="E1522" s="28"/>
      <c r="F1522" s="28">
        <v>0</v>
      </c>
      <c r="G1522" s="28" t="s">
        <v>119</v>
      </c>
      <c r="H1522" s="28">
        <v>0</v>
      </c>
      <c r="J1522" s="28"/>
    </row>
    <row r="1523" spans="1:10" ht="15.75" customHeight="1">
      <c r="A1523" s="28">
        <v>17755</v>
      </c>
      <c r="B1523" s="91">
        <v>44973.982638888891</v>
      </c>
      <c r="C1523" s="28" t="s">
        <v>10</v>
      </c>
      <c r="D1523" s="28" t="s">
        <v>798</v>
      </c>
      <c r="E1523" s="28"/>
      <c r="F1523" s="28">
        <v>0</v>
      </c>
      <c r="G1523" s="28" t="s">
        <v>120</v>
      </c>
      <c r="H1523" s="28">
        <v>0</v>
      </c>
      <c r="J1523" s="28"/>
    </row>
    <row r="1524" spans="1:10" ht="15.75" customHeight="1">
      <c r="A1524" s="28">
        <v>17755</v>
      </c>
      <c r="B1524" s="91">
        <v>44973.982638888891</v>
      </c>
      <c r="C1524" s="28" t="s">
        <v>10</v>
      </c>
      <c r="D1524" s="28" t="s">
        <v>798</v>
      </c>
      <c r="E1524" s="28"/>
      <c r="F1524" s="28">
        <v>0</v>
      </c>
      <c r="G1524" s="28" t="s">
        <v>121</v>
      </c>
      <c r="H1524" s="28">
        <v>0</v>
      </c>
      <c r="J1524" s="28"/>
    </row>
    <row r="1525" spans="1:10" ht="15.75" customHeight="1">
      <c r="A1525" s="28">
        <v>17756</v>
      </c>
      <c r="B1525" s="91">
        <v>44974.002199074079</v>
      </c>
      <c r="C1525" s="28" t="s">
        <v>10</v>
      </c>
      <c r="D1525" s="28" t="s">
        <v>834</v>
      </c>
      <c r="E1525" s="28"/>
      <c r="F1525" s="28">
        <v>28</v>
      </c>
      <c r="G1525" s="28" t="s">
        <v>143</v>
      </c>
      <c r="H1525" s="28">
        <v>0</v>
      </c>
      <c r="J1525" s="28"/>
    </row>
    <row r="1526" spans="1:10" ht="15.75" customHeight="1">
      <c r="A1526" s="28">
        <v>17757</v>
      </c>
      <c r="B1526" s="91">
        <v>44974.005127314813</v>
      </c>
      <c r="C1526" s="28" t="s">
        <v>10</v>
      </c>
      <c r="D1526" s="28" t="s">
        <v>684</v>
      </c>
      <c r="E1526" s="28"/>
      <c r="F1526" s="28">
        <v>55</v>
      </c>
      <c r="G1526" s="28">
        <v>101684</v>
      </c>
      <c r="H1526" s="28">
        <v>0</v>
      </c>
      <c r="J1526" s="28"/>
    </row>
    <row r="1527" spans="1:10" ht="15.75" customHeight="1">
      <c r="A1527" s="28">
        <v>17757</v>
      </c>
      <c r="B1527" s="91">
        <v>44974.005127314813</v>
      </c>
      <c r="C1527" s="28" t="s">
        <v>10</v>
      </c>
      <c r="D1527" s="28" t="s">
        <v>684</v>
      </c>
      <c r="E1527" s="28"/>
      <c r="F1527" s="28">
        <v>0</v>
      </c>
      <c r="G1527" s="28" t="s">
        <v>118</v>
      </c>
      <c r="H1527" s="28">
        <v>0</v>
      </c>
      <c r="J1527" s="28"/>
    </row>
    <row r="1528" spans="1:10" ht="15.75" customHeight="1">
      <c r="A1528" s="28">
        <v>17757</v>
      </c>
      <c r="B1528" s="91">
        <v>44974.005127314813</v>
      </c>
      <c r="C1528" s="28" t="s">
        <v>10</v>
      </c>
      <c r="D1528" s="28" t="s">
        <v>684</v>
      </c>
      <c r="E1528" s="28"/>
      <c r="F1528" s="28">
        <v>0</v>
      </c>
      <c r="G1528" s="28" t="s">
        <v>119</v>
      </c>
      <c r="H1528" s="28">
        <v>0</v>
      </c>
      <c r="J1528" s="28"/>
    </row>
    <row r="1529" spans="1:10" ht="15.75" customHeight="1">
      <c r="A1529" s="28">
        <v>17757</v>
      </c>
      <c r="B1529" s="91">
        <v>44974.005127314813</v>
      </c>
      <c r="C1529" s="28" t="s">
        <v>10</v>
      </c>
      <c r="D1529" s="28" t="s">
        <v>684</v>
      </c>
      <c r="E1529" s="28"/>
      <c r="F1529" s="28">
        <v>0</v>
      </c>
      <c r="G1529" s="28" t="s">
        <v>120</v>
      </c>
      <c r="H1529" s="28">
        <v>0</v>
      </c>
      <c r="J1529" s="28"/>
    </row>
    <row r="1530" spans="1:10" ht="15.75" customHeight="1">
      <c r="A1530" s="28">
        <v>17757</v>
      </c>
      <c r="B1530" s="91">
        <v>44974.005127314813</v>
      </c>
      <c r="C1530" s="28" t="s">
        <v>10</v>
      </c>
      <c r="D1530" s="28" t="s">
        <v>684</v>
      </c>
      <c r="E1530" s="28"/>
      <c r="F1530" s="28">
        <v>0</v>
      </c>
      <c r="G1530" s="28" t="s">
        <v>121</v>
      </c>
      <c r="H1530" s="28">
        <v>0</v>
      </c>
      <c r="J1530" s="28"/>
    </row>
    <row r="1531" spans="1:10" ht="15.75" customHeight="1">
      <c r="A1531" s="28">
        <v>17758</v>
      </c>
      <c r="B1531" s="91">
        <v>44974.008530092593</v>
      </c>
      <c r="C1531" s="28" t="s">
        <v>10</v>
      </c>
      <c r="D1531" s="28" t="s">
        <v>1031</v>
      </c>
      <c r="E1531" s="28"/>
      <c r="F1531" s="28">
        <v>0</v>
      </c>
      <c r="G1531" s="28" t="s">
        <v>139</v>
      </c>
      <c r="H1531" s="28">
        <v>0</v>
      </c>
      <c r="J1531" s="28"/>
    </row>
    <row r="1532" spans="1:10" ht="15.75" customHeight="1">
      <c r="A1532" s="28">
        <v>17758</v>
      </c>
      <c r="B1532" s="91">
        <v>44974.008530092593</v>
      </c>
      <c r="C1532" s="28" t="s">
        <v>10</v>
      </c>
      <c r="D1532" s="28" t="s">
        <v>1031</v>
      </c>
      <c r="E1532" s="28"/>
      <c r="F1532" s="28">
        <v>25</v>
      </c>
      <c r="G1532" s="28">
        <v>100692</v>
      </c>
      <c r="H1532" s="28">
        <v>0</v>
      </c>
      <c r="J1532" s="28"/>
    </row>
    <row r="1533" spans="1:10" ht="15.75" customHeight="1">
      <c r="A1533" s="28">
        <v>17758</v>
      </c>
      <c r="B1533" s="91">
        <v>44974.008530092593</v>
      </c>
      <c r="C1533" s="28" t="s">
        <v>10</v>
      </c>
      <c r="D1533" s="28" t="s">
        <v>1031</v>
      </c>
      <c r="E1533" s="28"/>
      <c r="F1533" s="28">
        <v>0</v>
      </c>
      <c r="G1533" s="28" t="s">
        <v>125</v>
      </c>
      <c r="H1533" s="28">
        <v>0</v>
      </c>
      <c r="J1533" s="28"/>
    </row>
    <row r="1534" spans="1:10" ht="15.75" customHeight="1">
      <c r="A1534" s="28">
        <v>17758</v>
      </c>
      <c r="B1534" s="91">
        <v>44974.008530092593</v>
      </c>
      <c r="C1534" s="28" t="s">
        <v>10</v>
      </c>
      <c r="D1534" s="28" t="s">
        <v>1031</v>
      </c>
      <c r="E1534" s="28"/>
      <c r="F1534" s="28">
        <v>0</v>
      </c>
      <c r="G1534" s="28" t="s">
        <v>119</v>
      </c>
      <c r="H1534" s="28">
        <v>0</v>
      </c>
      <c r="J1534" s="28"/>
    </row>
    <row r="1535" spans="1:10" ht="15.75" customHeight="1">
      <c r="A1535" s="28">
        <v>17759</v>
      </c>
      <c r="B1535" s="91">
        <v>44974.013784722221</v>
      </c>
      <c r="C1535" s="28" t="s">
        <v>10</v>
      </c>
      <c r="D1535" s="28" t="s">
        <v>1030</v>
      </c>
      <c r="E1535" s="28"/>
      <c r="F1535" s="28">
        <v>25</v>
      </c>
      <c r="G1535" s="28">
        <v>100692</v>
      </c>
      <c r="H1535" s="28">
        <v>0</v>
      </c>
      <c r="J1535" s="28"/>
    </row>
    <row r="1536" spans="1:10" ht="15.75" customHeight="1">
      <c r="A1536" s="28">
        <v>17759</v>
      </c>
      <c r="B1536" s="91">
        <v>44974.013784722221</v>
      </c>
      <c r="C1536" s="28" t="s">
        <v>10</v>
      </c>
      <c r="D1536" s="28" t="s">
        <v>1030</v>
      </c>
      <c r="E1536" s="28"/>
      <c r="F1536" s="28">
        <v>0</v>
      </c>
      <c r="G1536" s="28" t="s">
        <v>125</v>
      </c>
      <c r="H1536" s="28">
        <v>0</v>
      </c>
      <c r="J1536" s="28"/>
    </row>
    <row r="1537" spans="1:10" ht="15.75" customHeight="1">
      <c r="A1537" s="28">
        <v>17759</v>
      </c>
      <c r="B1537" s="91">
        <v>44974.013784722221</v>
      </c>
      <c r="C1537" s="28" t="s">
        <v>10</v>
      </c>
      <c r="D1537" s="28" t="s">
        <v>1030</v>
      </c>
      <c r="E1537" s="28"/>
      <c r="F1537" s="28">
        <v>0</v>
      </c>
      <c r="G1537" s="28" t="s">
        <v>119</v>
      </c>
      <c r="H1537" s="28">
        <v>0</v>
      </c>
      <c r="J1537" s="28"/>
    </row>
    <row r="1538" spans="1:10" ht="15.75" customHeight="1">
      <c r="A1538" s="28">
        <v>17760</v>
      </c>
      <c r="B1538" s="91">
        <v>44974.016238425931</v>
      </c>
      <c r="C1538" s="28" t="s">
        <v>10</v>
      </c>
      <c r="D1538" s="28" t="s">
        <v>1029</v>
      </c>
      <c r="E1538" s="28"/>
      <c r="F1538" s="28">
        <v>55</v>
      </c>
      <c r="G1538" s="28">
        <v>101684</v>
      </c>
      <c r="H1538" s="28">
        <v>0</v>
      </c>
      <c r="J1538" s="28"/>
    </row>
    <row r="1539" spans="1:10" ht="15.75" customHeight="1">
      <c r="A1539" s="28">
        <v>17760</v>
      </c>
      <c r="B1539" s="91">
        <v>44974.016238425931</v>
      </c>
      <c r="C1539" s="28" t="s">
        <v>10</v>
      </c>
      <c r="D1539" s="28" t="s">
        <v>1029</v>
      </c>
      <c r="E1539" s="28"/>
      <c r="F1539" s="28">
        <v>0</v>
      </c>
      <c r="G1539" s="28" t="s">
        <v>118</v>
      </c>
      <c r="H1539" s="28">
        <v>0</v>
      </c>
      <c r="J1539" s="28"/>
    </row>
    <row r="1540" spans="1:10" ht="15.75" customHeight="1">
      <c r="A1540" s="28">
        <v>17760</v>
      </c>
      <c r="B1540" s="91">
        <v>44974.016238425931</v>
      </c>
      <c r="C1540" s="28" t="s">
        <v>10</v>
      </c>
      <c r="D1540" s="28" t="s">
        <v>1029</v>
      </c>
      <c r="E1540" s="28"/>
      <c r="F1540" s="28">
        <v>0</v>
      </c>
      <c r="G1540" s="28" t="s">
        <v>119</v>
      </c>
      <c r="H1540" s="28">
        <v>0</v>
      </c>
      <c r="J1540" s="28"/>
    </row>
    <row r="1541" spans="1:10" ht="15.75" customHeight="1">
      <c r="A1541" s="28">
        <v>17760</v>
      </c>
      <c r="B1541" s="91">
        <v>44974.016238425931</v>
      </c>
      <c r="C1541" s="28" t="s">
        <v>10</v>
      </c>
      <c r="D1541" s="28" t="s">
        <v>1029</v>
      </c>
      <c r="E1541" s="28"/>
      <c r="F1541" s="28">
        <v>0</v>
      </c>
      <c r="G1541" s="28" t="s">
        <v>120</v>
      </c>
      <c r="H1541" s="28">
        <v>0</v>
      </c>
      <c r="J1541" s="28"/>
    </row>
    <row r="1542" spans="1:10" ht="15.75" customHeight="1">
      <c r="A1542" s="28">
        <v>17760</v>
      </c>
      <c r="B1542" s="91">
        <v>44974.016238425931</v>
      </c>
      <c r="C1542" s="28" t="s">
        <v>10</v>
      </c>
      <c r="D1542" s="28" t="s">
        <v>1029</v>
      </c>
      <c r="E1542" s="28"/>
      <c r="F1542" s="28">
        <v>0</v>
      </c>
      <c r="G1542" s="28" t="s">
        <v>121</v>
      </c>
      <c r="H1542" s="28">
        <v>0</v>
      </c>
      <c r="J1542" s="28"/>
    </row>
    <row r="1543" spans="1:10" ht="15.75" customHeight="1">
      <c r="A1543" s="28">
        <v>17761</v>
      </c>
      <c r="B1543" s="91">
        <v>44974.041168981479</v>
      </c>
      <c r="C1543" s="28" t="s">
        <v>10</v>
      </c>
      <c r="D1543" s="28" t="s">
        <v>209</v>
      </c>
      <c r="E1543" s="28"/>
      <c r="F1543" s="28">
        <v>28</v>
      </c>
      <c r="G1543" s="28" t="s">
        <v>143</v>
      </c>
      <c r="H1543" s="28">
        <v>0</v>
      </c>
      <c r="J1543" s="28"/>
    </row>
    <row r="1544" spans="1:10" ht="15.75" customHeight="1">
      <c r="A1544" s="28">
        <v>17761</v>
      </c>
      <c r="B1544" s="91">
        <v>44974.041168981479</v>
      </c>
      <c r="C1544" s="28" t="s">
        <v>10</v>
      </c>
      <c r="D1544" s="28" t="s">
        <v>209</v>
      </c>
      <c r="E1544" s="28"/>
      <c r="F1544" s="28">
        <v>0</v>
      </c>
      <c r="G1544" s="28" t="s">
        <v>139</v>
      </c>
      <c r="H1544" s="28">
        <v>0</v>
      </c>
      <c r="J1544" s="28"/>
    </row>
    <row r="1545" spans="1:10" ht="15.75" customHeight="1">
      <c r="A1545" s="28">
        <v>17762</v>
      </c>
      <c r="B1545" s="91">
        <v>44974.042858796296</v>
      </c>
      <c r="C1545" s="28" t="s">
        <v>10</v>
      </c>
      <c r="D1545" s="28" t="s">
        <v>834</v>
      </c>
      <c r="E1545" s="28"/>
      <c r="F1545" s="28">
        <v>0</v>
      </c>
      <c r="G1545" s="28" t="s">
        <v>139</v>
      </c>
      <c r="H1545" s="28">
        <v>0</v>
      </c>
      <c r="J1545" s="28"/>
    </row>
    <row r="1546" spans="1:10" ht="15.75" customHeight="1">
      <c r="A1546" s="28">
        <v>17763</v>
      </c>
      <c r="B1546" s="91">
        <v>44974.043657407412</v>
      </c>
      <c r="C1546" s="28" t="s">
        <v>10</v>
      </c>
      <c r="D1546" s="28" t="s">
        <v>1028</v>
      </c>
      <c r="E1546" s="28"/>
      <c r="F1546" s="28">
        <v>22</v>
      </c>
      <c r="G1546" s="28" t="s">
        <v>137</v>
      </c>
      <c r="H1546" s="28">
        <v>0</v>
      </c>
      <c r="J1546" s="28"/>
    </row>
    <row r="1547" spans="1:10" ht="15.75" customHeight="1">
      <c r="A1547" s="28">
        <v>17763</v>
      </c>
      <c r="B1547" s="91">
        <v>44974.043657407412</v>
      </c>
      <c r="C1547" s="28" t="s">
        <v>10</v>
      </c>
      <c r="D1547" s="28" t="s">
        <v>1028</v>
      </c>
      <c r="E1547" s="28"/>
      <c r="F1547" s="28">
        <v>20</v>
      </c>
      <c r="G1547" s="28" t="s">
        <v>121</v>
      </c>
      <c r="H1547" s="28">
        <v>0</v>
      </c>
      <c r="J1547" s="28"/>
    </row>
    <row r="1548" spans="1:10" ht="15.75" customHeight="1">
      <c r="A1548" s="28">
        <v>17763</v>
      </c>
      <c r="B1548" s="91">
        <v>44974.043657407412</v>
      </c>
      <c r="C1548" s="28" t="s">
        <v>10</v>
      </c>
      <c r="D1548" s="28" t="s">
        <v>1028</v>
      </c>
      <c r="E1548" s="28"/>
      <c r="F1548" s="28">
        <v>0</v>
      </c>
      <c r="G1548" s="28" t="s">
        <v>139</v>
      </c>
      <c r="H1548" s="28">
        <v>0</v>
      </c>
      <c r="J1548" s="28"/>
    </row>
    <row r="1549" spans="1:10" ht="15.75" customHeight="1">
      <c r="A1549" s="28">
        <v>17764</v>
      </c>
      <c r="B1549" s="91">
        <v>44974.053645833337</v>
      </c>
      <c r="C1549" s="28" t="s">
        <v>10</v>
      </c>
      <c r="D1549" s="28" t="s">
        <v>1027</v>
      </c>
      <c r="E1549" s="28"/>
      <c r="F1549" s="28">
        <v>25</v>
      </c>
      <c r="G1549" s="28" t="s">
        <v>120</v>
      </c>
      <c r="H1549" s="28">
        <v>0</v>
      </c>
      <c r="J1549" s="28"/>
    </row>
    <row r="1550" spans="1:10" ht="15.75" customHeight="1">
      <c r="A1550" s="28">
        <v>17764</v>
      </c>
      <c r="B1550" s="91">
        <v>44974.053645833337</v>
      </c>
      <c r="C1550" s="28" t="s">
        <v>10</v>
      </c>
      <c r="D1550" s="28" t="s">
        <v>1027</v>
      </c>
      <c r="E1550" s="28"/>
      <c r="F1550" s="28">
        <v>15</v>
      </c>
      <c r="G1550" s="28" t="s">
        <v>170</v>
      </c>
      <c r="H1550" s="28">
        <v>0</v>
      </c>
      <c r="J1550" s="28"/>
    </row>
    <row r="1551" spans="1:10" ht="15.75" customHeight="1">
      <c r="A1551" s="28">
        <v>17765</v>
      </c>
      <c r="B1551" s="91">
        <v>44974.056516203702</v>
      </c>
      <c r="C1551" s="28" t="s">
        <v>10</v>
      </c>
      <c r="D1551" s="28" t="s">
        <v>1026</v>
      </c>
      <c r="E1551" s="28"/>
      <c r="F1551" s="28">
        <v>15</v>
      </c>
      <c r="G1551" s="28" t="s">
        <v>125</v>
      </c>
      <c r="H1551" s="28">
        <v>0</v>
      </c>
      <c r="J1551" s="28"/>
    </row>
    <row r="1552" spans="1:10" ht="15.75" customHeight="1">
      <c r="A1552" s="28">
        <v>17766</v>
      </c>
      <c r="B1552" s="91">
        <v>44974.057303240741</v>
      </c>
      <c r="C1552" s="28" t="s">
        <v>10</v>
      </c>
      <c r="D1552" s="28" t="s">
        <v>895</v>
      </c>
      <c r="E1552" s="28"/>
      <c r="F1552" s="28">
        <v>28</v>
      </c>
      <c r="G1552" s="28" t="s">
        <v>143</v>
      </c>
      <c r="H1552" s="28">
        <v>0</v>
      </c>
      <c r="J1552" s="28"/>
    </row>
    <row r="1553" spans="1:10" ht="15.75" customHeight="1">
      <c r="A1553" s="28">
        <v>17767</v>
      </c>
      <c r="B1553" s="91">
        <v>44974.065532407403</v>
      </c>
      <c r="C1553" s="28" t="s">
        <v>10</v>
      </c>
      <c r="D1553" s="28" t="s">
        <v>1025</v>
      </c>
      <c r="E1553" s="28"/>
      <c r="F1553" s="28">
        <v>22</v>
      </c>
      <c r="G1553" s="28" t="s">
        <v>137</v>
      </c>
      <c r="H1553" s="28">
        <v>0</v>
      </c>
      <c r="J1553" s="28"/>
    </row>
    <row r="1554" spans="1:10" ht="15.75" customHeight="1">
      <c r="A1554" s="28">
        <v>17768</v>
      </c>
      <c r="B1554" s="91">
        <v>44974.065995370373</v>
      </c>
      <c r="C1554" s="28" t="s">
        <v>10</v>
      </c>
      <c r="D1554" s="28" t="s">
        <v>1024</v>
      </c>
      <c r="E1554" s="28"/>
      <c r="F1554" s="28">
        <v>15</v>
      </c>
      <c r="G1554" s="28" t="s">
        <v>286</v>
      </c>
      <c r="H1554" s="28">
        <v>0</v>
      </c>
      <c r="J1554" s="28"/>
    </row>
    <row r="1555" spans="1:10" ht="15.75" customHeight="1">
      <c r="A1555" s="28">
        <v>17769</v>
      </c>
      <c r="B1555" s="91">
        <v>44974.067881944444</v>
      </c>
      <c r="C1555" s="28" t="s">
        <v>10</v>
      </c>
      <c r="D1555" s="28" t="s">
        <v>1023</v>
      </c>
      <c r="E1555" s="28"/>
      <c r="F1555" s="28">
        <v>22</v>
      </c>
      <c r="G1555" s="28" t="s">
        <v>137</v>
      </c>
      <c r="H1555" s="28">
        <v>0</v>
      </c>
      <c r="J1555" s="28"/>
    </row>
    <row r="1556" spans="1:10" ht="15.75" customHeight="1">
      <c r="A1556" s="28">
        <v>17770</v>
      </c>
      <c r="B1556" s="91">
        <v>44974.071921296301</v>
      </c>
      <c r="C1556" s="28" t="s">
        <v>10</v>
      </c>
      <c r="D1556" s="28" t="s">
        <v>1022</v>
      </c>
      <c r="E1556" s="28"/>
      <c r="F1556" s="28">
        <v>35</v>
      </c>
      <c r="G1556" s="28" t="s">
        <v>124</v>
      </c>
      <c r="H1556" s="28">
        <v>0</v>
      </c>
      <c r="J1556" s="28"/>
    </row>
    <row r="1557" spans="1:10" ht="15.75" customHeight="1">
      <c r="A1557" s="28">
        <v>17770</v>
      </c>
      <c r="B1557" s="91">
        <v>44974.071921296301</v>
      </c>
      <c r="C1557" s="28" t="s">
        <v>10</v>
      </c>
      <c r="D1557" s="28" t="s">
        <v>1022</v>
      </c>
      <c r="E1557" s="28"/>
      <c r="F1557" s="28">
        <v>0</v>
      </c>
      <c r="G1557" s="28" t="s">
        <v>125</v>
      </c>
      <c r="H1557" s="28">
        <v>0</v>
      </c>
      <c r="J1557" s="28"/>
    </row>
    <row r="1558" spans="1:10" ht="15.75" customHeight="1">
      <c r="A1558" s="28">
        <v>17770</v>
      </c>
      <c r="B1558" s="91">
        <v>44974.071921296301</v>
      </c>
      <c r="C1558" s="28" t="s">
        <v>10</v>
      </c>
      <c r="D1558" s="28" t="s">
        <v>1022</v>
      </c>
      <c r="E1558" s="28"/>
      <c r="F1558" s="28">
        <v>0</v>
      </c>
      <c r="G1558" s="28" t="s">
        <v>119</v>
      </c>
      <c r="H1558" s="28">
        <v>0</v>
      </c>
      <c r="J1558" s="28"/>
    </row>
    <row r="1559" spans="1:10" ht="15.75" customHeight="1">
      <c r="A1559" s="28">
        <v>17770</v>
      </c>
      <c r="B1559" s="91">
        <v>44974.071921296301</v>
      </c>
      <c r="C1559" s="28" t="s">
        <v>10</v>
      </c>
      <c r="D1559" s="28" t="s">
        <v>1022</v>
      </c>
      <c r="E1559" s="28"/>
      <c r="F1559" s="28">
        <v>0</v>
      </c>
      <c r="G1559" s="28" t="s">
        <v>121</v>
      </c>
      <c r="H1559" s="28">
        <v>0</v>
      </c>
      <c r="J1559" s="28"/>
    </row>
    <row r="1560" spans="1:10" ht="15.75" customHeight="1">
      <c r="A1560" s="28">
        <v>17770</v>
      </c>
      <c r="B1560" s="91">
        <v>44974.071921296301</v>
      </c>
      <c r="C1560" s="28" t="s">
        <v>10</v>
      </c>
      <c r="D1560" s="28" t="s">
        <v>1022</v>
      </c>
      <c r="E1560" s="28"/>
      <c r="F1560" s="28">
        <v>20</v>
      </c>
      <c r="G1560" s="28" t="s">
        <v>148</v>
      </c>
      <c r="H1560" s="28">
        <v>0</v>
      </c>
      <c r="J1560" s="28"/>
    </row>
    <row r="1561" spans="1:10" ht="15.75" customHeight="1">
      <c r="A1561" s="28">
        <v>17771</v>
      </c>
      <c r="B1561" s="91">
        <v>44974.257719907408</v>
      </c>
      <c r="C1561" s="28" t="s">
        <v>10</v>
      </c>
      <c r="D1561" s="28" t="s">
        <v>1021</v>
      </c>
      <c r="E1561" s="28"/>
      <c r="F1561" s="28">
        <v>25</v>
      </c>
      <c r="G1561" s="28">
        <v>100692</v>
      </c>
      <c r="H1561" s="28">
        <v>0</v>
      </c>
      <c r="J1561" s="28"/>
    </row>
    <row r="1562" spans="1:10" ht="15.75" customHeight="1">
      <c r="A1562" s="28">
        <v>17771</v>
      </c>
      <c r="B1562" s="91">
        <v>44974.257719907408</v>
      </c>
      <c r="C1562" s="28" t="s">
        <v>10</v>
      </c>
      <c r="D1562" s="28" t="s">
        <v>1021</v>
      </c>
      <c r="E1562" s="28"/>
      <c r="F1562" s="28">
        <v>0</v>
      </c>
      <c r="G1562" s="28" t="s">
        <v>125</v>
      </c>
      <c r="H1562" s="28">
        <v>0</v>
      </c>
      <c r="J1562" s="28"/>
    </row>
    <row r="1563" spans="1:10" ht="15.75" customHeight="1">
      <c r="A1563" s="28">
        <v>17771</v>
      </c>
      <c r="B1563" s="91">
        <v>44974.257719907408</v>
      </c>
      <c r="C1563" s="28" t="s">
        <v>10</v>
      </c>
      <c r="D1563" s="28" t="s">
        <v>1021</v>
      </c>
      <c r="E1563" s="28"/>
      <c r="F1563" s="28">
        <v>0</v>
      </c>
      <c r="G1563" s="28" t="s">
        <v>119</v>
      </c>
      <c r="H1563" s="28">
        <v>0</v>
      </c>
      <c r="J1563" s="28"/>
    </row>
    <row r="1564" spans="1:10" ht="15.75" customHeight="1">
      <c r="A1564" s="28">
        <v>17772</v>
      </c>
      <c r="B1564" s="91">
        <v>44974.261678240742</v>
      </c>
      <c r="C1564" s="28" t="s">
        <v>10</v>
      </c>
      <c r="D1564" s="28" t="s">
        <v>1020</v>
      </c>
      <c r="E1564" s="28"/>
      <c r="F1564" s="28">
        <v>25</v>
      </c>
      <c r="G1564" s="28">
        <v>100692</v>
      </c>
      <c r="H1564" s="28">
        <v>0</v>
      </c>
      <c r="J1564" s="28"/>
    </row>
    <row r="1565" spans="1:10" ht="15.75" customHeight="1">
      <c r="A1565" s="28">
        <v>17772</v>
      </c>
      <c r="B1565" s="91">
        <v>44974.261678240742</v>
      </c>
      <c r="C1565" s="28" t="s">
        <v>10</v>
      </c>
      <c r="D1565" s="28" t="s">
        <v>1020</v>
      </c>
      <c r="E1565" s="28"/>
      <c r="F1565" s="28">
        <v>0</v>
      </c>
      <c r="G1565" s="28" t="s">
        <v>125</v>
      </c>
      <c r="H1565" s="28">
        <v>0</v>
      </c>
      <c r="J1565" s="28"/>
    </row>
    <row r="1566" spans="1:10" ht="15.75" customHeight="1">
      <c r="A1566" s="28">
        <v>17772</v>
      </c>
      <c r="B1566" s="91">
        <v>44974.261678240742</v>
      </c>
      <c r="C1566" s="28" t="s">
        <v>10</v>
      </c>
      <c r="D1566" s="28" t="s">
        <v>1020</v>
      </c>
      <c r="E1566" s="28"/>
      <c r="F1566" s="28">
        <v>0</v>
      </c>
      <c r="G1566" s="28" t="s">
        <v>119</v>
      </c>
      <c r="H1566" s="28">
        <v>0</v>
      </c>
      <c r="J1566" s="28"/>
    </row>
    <row r="1567" spans="1:10" ht="15.75" customHeight="1">
      <c r="A1567" s="28">
        <v>17773</v>
      </c>
      <c r="B1567" s="91">
        <v>44974.433935185181</v>
      </c>
      <c r="C1567" s="28" t="s">
        <v>10</v>
      </c>
      <c r="D1567" s="28" t="s">
        <v>1019</v>
      </c>
      <c r="E1567" s="28"/>
      <c r="F1567" s="28">
        <v>25</v>
      </c>
      <c r="G1567" s="28">
        <v>100692</v>
      </c>
      <c r="H1567" s="28">
        <v>0</v>
      </c>
      <c r="J1567" s="28"/>
    </row>
    <row r="1568" spans="1:10" ht="15.75" customHeight="1">
      <c r="A1568" s="28">
        <v>17773</v>
      </c>
      <c r="B1568" s="91">
        <v>44974.433935185181</v>
      </c>
      <c r="C1568" s="28" t="s">
        <v>10</v>
      </c>
      <c r="D1568" s="28" t="s">
        <v>1019</v>
      </c>
      <c r="E1568" s="28"/>
      <c r="F1568" s="28">
        <v>0</v>
      </c>
      <c r="G1568" s="28" t="s">
        <v>125</v>
      </c>
      <c r="H1568" s="28">
        <v>0</v>
      </c>
      <c r="J1568" s="28"/>
    </row>
    <row r="1569" spans="1:10" ht="15.75" customHeight="1">
      <c r="A1569" s="28">
        <v>17773</v>
      </c>
      <c r="B1569" s="91">
        <v>44974.433935185181</v>
      </c>
      <c r="C1569" s="28" t="s">
        <v>10</v>
      </c>
      <c r="D1569" s="28" t="s">
        <v>1019</v>
      </c>
      <c r="E1569" s="28"/>
      <c r="F1569" s="28">
        <v>0</v>
      </c>
      <c r="G1569" s="28" t="s">
        <v>119</v>
      </c>
      <c r="H1569" s="28">
        <v>0</v>
      </c>
      <c r="J1569" s="28"/>
    </row>
    <row r="1570" spans="1:10" ht="15.75" customHeight="1">
      <c r="A1570" s="28">
        <v>17774</v>
      </c>
      <c r="B1570" s="91">
        <v>44974.467835648145</v>
      </c>
      <c r="C1570" s="28" t="s">
        <v>10</v>
      </c>
      <c r="D1570" s="28" t="s">
        <v>1018</v>
      </c>
      <c r="E1570" s="28"/>
      <c r="F1570" s="28">
        <v>25</v>
      </c>
      <c r="G1570" s="28">
        <v>100692</v>
      </c>
      <c r="H1570" s="28">
        <v>0</v>
      </c>
      <c r="J1570" s="28"/>
    </row>
    <row r="1571" spans="1:10" ht="15.75" customHeight="1">
      <c r="A1571" s="28">
        <v>17774</v>
      </c>
      <c r="B1571" s="91">
        <v>44974.467835648145</v>
      </c>
      <c r="C1571" s="28" t="s">
        <v>10</v>
      </c>
      <c r="D1571" s="28" t="s">
        <v>1018</v>
      </c>
      <c r="E1571" s="28"/>
      <c r="F1571" s="28">
        <v>0</v>
      </c>
      <c r="G1571" s="28" t="s">
        <v>125</v>
      </c>
      <c r="H1571" s="28">
        <v>0</v>
      </c>
      <c r="J1571" s="28"/>
    </row>
    <row r="1572" spans="1:10" ht="15.75" customHeight="1">
      <c r="A1572" s="28">
        <v>17774</v>
      </c>
      <c r="B1572" s="91">
        <v>44974.467835648145</v>
      </c>
      <c r="C1572" s="28" t="s">
        <v>10</v>
      </c>
      <c r="D1572" s="28" t="s">
        <v>1018</v>
      </c>
      <c r="E1572" s="28"/>
      <c r="F1572" s="28">
        <v>0</v>
      </c>
      <c r="G1572" s="28" t="s">
        <v>119</v>
      </c>
      <c r="H1572" s="28">
        <v>0</v>
      </c>
      <c r="J1572" s="28"/>
    </row>
    <row r="1573" spans="1:10" ht="15.75" customHeight="1">
      <c r="A1573" s="28">
        <v>17774</v>
      </c>
      <c r="B1573" s="91">
        <v>44974.467835648145</v>
      </c>
      <c r="C1573" s="28" t="s">
        <v>10</v>
      </c>
      <c r="D1573" s="28" t="s">
        <v>1018</v>
      </c>
      <c r="E1573" s="28"/>
      <c r="F1573" s="28">
        <v>35</v>
      </c>
      <c r="G1573" s="28" t="s">
        <v>124</v>
      </c>
      <c r="H1573" s="28">
        <v>0</v>
      </c>
      <c r="J1573" s="28"/>
    </row>
    <row r="1574" spans="1:10" ht="15.75" customHeight="1">
      <c r="A1574" s="28">
        <v>17774</v>
      </c>
      <c r="B1574" s="91">
        <v>44974.467835648145</v>
      </c>
      <c r="C1574" s="28" t="s">
        <v>10</v>
      </c>
      <c r="D1574" s="28" t="s">
        <v>1018</v>
      </c>
      <c r="E1574" s="28"/>
      <c r="F1574" s="28">
        <v>0</v>
      </c>
      <c r="G1574" s="28" t="s">
        <v>125</v>
      </c>
      <c r="H1574" s="28">
        <v>0</v>
      </c>
      <c r="J1574" s="28"/>
    </row>
    <row r="1575" spans="1:10" ht="15.75" customHeight="1">
      <c r="A1575" s="28">
        <v>17774</v>
      </c>
      <c r="B1575" s="91">
        <v>44974.467835648145</v>
      </c>
      <c r="C1575" s="28" t="s">
        <v>10</v>
      </c>
      <c r="D1575" s="28" t="s">
        <v>1018</v>
      </c>
      <c r="E1575" s="28"/>
      <c r="F1575" s="28">
        <v>0</v>
      </c>
      <c r="G1575" s="28" t="s">
        <v>119</v>
      </c>
      <c r="H1575" s="28">
        <v>0</v>
      </c>
      <c r="J1575" s="28"/>
    </row>
    <row r="1576" spans="1:10" ht="15.75" customHeight="1">
      <c r="A1576" s="28">
        <v>17774</v>
      </c>
      <c r="B1576" s="91">
        <v>44974.467835648145</v>
      </c>
      <c r="C1576" s="28" t="s">
        <v>10</v>
      </c>
      <c r="D1576" s="28" t="s">
        <v>1018</v>
      </c>
      <c r="E1576" s="28"/>
      <c r="F1576" s="28">
        <v>0</v>
      </c>
      <c r="G1576" s="28" t="s">
        <v>121</v>
      </c>
      <c r="H1576" s="28">
        <v>0</v>
      </c>
      <c r="J1576" s="28"/>
    </row>
    <row r="1577" spans="1:10" ht="15.75" customHeight="1">
      <c r="A1577" s="28">
        <v>17775</v>
      </c>
      <c r="B1577" s="91">
        <v>44974.52039351852</v>
      </c>
      <c r="C1577" s="28" t="s">
        <v>10</v>
      </c>
      <c r="D1577" s="28" t="s">
        <v>1017</v>
      </c>
      <c r="E1577" s="28"/>
      <c r="F1577" s="28">
        <v>15</v>
      </c>
      <c r="G1577" s="28" t="s">
        <v>286</v>
      </c>
      <c r="H1577" s="28">
        <v>0</v>
      </c>
      <c r="J1577" s="28"/>
    </row>
    <row r="1578" spans="1:10" ht="15.75" customHeight="1">
      <c r="A1578" s="28">
        <v>17776</v>
      </c>
      <c r="B1578" s="91">
        <v>44974.780266203699</v>
      </c>
      <c r="C1578" s="28" t="s">
        <v>10</v>
      </c>
      <c r="D1578" s="28" t="s">
        <v>1016</v>
      </c>
      <c r="E1578" s="28"/>
      <c r="F1578" s="28">
        <v>20</v>
      </c>
      <c r="G1578" s="28" t="s">
        <v>148</v>
      </c>
      <c r="H1578" s="28">
        <v>0</v>
      </c>
      <c r="J1578" s="28"/>
    </row>
    <row r="1579" spans="1:10" ht="15.75" customHeight="1">
      <c r="A1579" s="28">
        <v>17776</v>
      </c>
      <c r="B1579" s="91">
        <v>44974.780266203699</v>
      </c>
      <c r="C1579" s="28" t="s">
        <v>10</v>
      </c>
      <c r="D1579" s="28" t="s">
        <v>1016</v>
      </c>
      <c r="E1579" s="28"/>
      <c r="F1579" s="28">
        <v>25</v>
      </c>
      <c r="G1579" s="28">
        <v>100692</v>
      </c>
      <c r="H1579" s="28">
        <v>0</v>
      </c>
      <c r="J1579" s="28"/>
    </row>
    <row r="1580" spans="1:10" ht="15.75" customHeight="1">
      <c r="A1580" s="28">
        <v>17776</v>
      </c>
      <c r="B1580" s="91">
        <v>44974.780266203699</v>
      </c>
      <c r="C1580" s="28" t="s">
        <v>10</v>
      </c>
      <c r="D1580" s="28" t="s">
        <v>1016</v>
      </c>
      <c r="E1580" s="28"/>
      <c r="F1580" s="28">
        <v>0</v>
      </c>
      <c r="G1580" s="28" t="s">
        <v>125</v>
      </c>
      <c r="H1580" s="28">
        <v>0</v>
      </c>
      <c r="J1580" s="28"/>
    </row>
    <row r="1581" spans="1:10" ht="15.75" customHeight="1">
      <c r="A1581" s="28">
        <v>17776</v>
      </c>
      <c r="B1581" s="91">
        <v>44974.780266203699</v>
      </c>
      <c r="C1581" s="28" t="s">
        <v>10</v>
      </c>
      <c r="D1581" s="28" t="s">
        <v>1016</v>
      </c>
      <c r="E1581" s="28"/>
      <c r="F1581" s="28">
        <v>0</v>
      </c>
      <c r="G1581" s="28" t="s">
        <v>119</v>
      </c>
      <c r="H1581" s="28">
        <v>0</v>
      </c>
      <c r="J1581" s="28"/>
    </row>
    <row r="1582" spans="1:10" ht="15.75" customHeight="1">
      <c r="A1582" s="28">
        <v>17776</v>
      </c>
      <c r="B1582" s="91">
        <v>44974.780266203699</v>
      </c>
      <c r="C1582" s="28" t="s">
        <v>10</v>
      </c>
      <c r="D1582" s="28" t="s">
        <v>1016</v>
      </c>
      <c r="E1582" s="28"/>
      <c r="F1582" s="28">
        <v>0</v>
      </c>
      <c r="G1582" s="28" t="s">
        <v>139</v>
      </c>
      <c r="H1582" s="28">
        <v>0</v>
      </c>
      <c r="J1582" s="28"/>
    </row>
    <row r="1583" spans="1:10" ht="15.75" customHeight="1">
      <c r="A1583" s="28">
        <v>17776</v>
      </c>
      <c r="B1583" s="91">
        <v>44974.780266203699</v>
      </c>
      <c r="C1583" s="28" t="s">
        <v>10</v>
      </c>
      <c r="D1583" s="28" t="s">
        <v>1016</v>
      </c>
      <c r="E1583" s="28"/>
      <c r="F1583" s="28">
        <v>22</v>
      </c>
      <c r="G1583" s="28" t="s">
        <v>137</v>
      </c>
      <c r="H1583" s="28">
        <v>0</v>
      </c>
      <c r="J1583" s="28"/>
    </row>
    <row r="1584" spans="1:10" ht="15.75" customHeight="1">
      <c r="A1584" s="28">
        <v>17777</v>
      </c>
      <c r="B1584" s="91">
        <v>44974.782118055555</v>
      </c>
      <c r="C1584" s="28" t="s">
        <v>10</v>
      </c>
      <c r="D1584" s="28" t="s">
        <v>804</v>
      </c>
      <c r="E1584" s="28"/>
      <c r="F1584" s="28">
        <v>55</v>
      </c>
      <c r="G1584" s="28" t="s">
        <v>861</v>
      </c>
      <c r="H1584" s="28">
        <v>0</v>
      </c>
      <c r="J1584" s="28"/>
    </row>
    <row r="1585" spans="1:10" ht="15.75" customHeight="1">
      <c r="A1585" s="28">
        <v>17777</v>
      </c>
      <c r="B1585" s="91">
        <v>44974.782118055555</v>
      </c>
      <c r="C1585" s="28" t="s">
        <v>10</v>
      </c>
      <c r="D1585" s="28" t="s">
        <v>804</v>
      </c>
      <c r="E1585" s="28"/>
      <c r="F1585" s="28">
        <v>25</v>
      </c>
      <c r="G1585" s="28" t="s">
        <v>120</v>
      </c>
      <c r="H1585" s="28">
        <v>0</v>
      </c>
      <c r="J1585" s="28"/>
    </row>
    <row r="1586" spans="1:10" ht="15.75" customHeight="1">
      <c r="A1586" s="28">
        <v>17778</v>
      </c>
      <c r="B1586" s="91">
        <v>44974.793854166666</v>
      </c>
      <c r="C1586" s="28" t="s">
        <v>10</v>
      </c>
      <c r="D1586" s="28" t="s">
        <v>1015</v>
      </c>
      <c r="E1586" s="28"/>
      <c r="F1586" s="28">
        <v>35</v>
      </c>
      <c r="G1586" s="28" t="s">
        <v>124</v>
      </c>
      <c r="H1586" s="28">
        <v>0</v>
      </c>
      <c r="J1586" s="28"/>
    </row>
    <row r="1587" spans="1:10" ht="15.75" customHeight="1">
      <c r="A1587" s="28">
        <v>17778</v>
      </c>
      <c r="B1587" s="91">
        <v>44974.793854166666</v>
      </c>
      <c r="C1587" s="28" t="s">
        <v>10</v>
      </c>
      <c r="D1587" s="28" t="s">
        <v>1015</v>
      </c>
      <c r="E1587" s="28"/>
      <c r="F1587" s="28">
        <v>0</v>
      </c>
      <c r="G1587" s="28" t="s">
        <v>125</v>
      </c>
      <c r="H1587" s="28">
        <v>0</v>
      </c>
      <c r="J1587" s="28"/>
    </row>
    <row r="1588" spans="1:10" ht="15.75" customHeight="1">
      <c r="A1588" s="28">
        <v>17778</v>
      </c>
      <c r="B1588" s="91">
        <v>44974.793854166666</v>
      </c>
      <c r="C1588" s="28" t="s">
        <v>10</v>
      </c>
      <c r="D1588" s="28" t="s">
        <v>1015</v>
      </c>
      <c r="E1588" s="28"/>
      <c r="F1588" s="28">
        <v>0</v>
      </c>
      <c r="G1588" s="28" t="s">
        <v>119</v>
      </c>
      <c r="H1588" s="28">
        <v>0</v>
      </c>
      <c r="J1588" s="28"/>
    </row>
    <row r="1589" spans="1:10" ht="15.75" customHeight="1">
      <c r="A1589" s="28">
        <v>17778</v>
      </c>
      <c r="B1589" s="91">
        <v>44974.793854166666</v>
      </c>
      <c r="C1589" s="28" t="s">
        <v>10</v>
      </c>
      <c r="D1589" s="28" t="s">
        <v>1015</v>
      </c>
      <c r="E1589" s="28"/>
      <c r="F1589" s="28">
        <v>0</v>
      </c>
      <c r="G1589" s="28" t="s">
        <v>121</v>
      </c>
      <c r="H1589" s="28">
        <v>0</v>
      </c>
      <c r="J1589" s="28"/>
    </row>
    <row r="1590" spans="1:10" ht="15.75" customHeight="1">
      <c r="A1590" s="28">
        <v>17779</v>
      </c>
      <c r="B1590" s="91">
        <v>44974.856261574074</v>
      </c>
      <c r="C1590" s="28" t="s">
        <v>18</v>
      </c>
      <c r="D1590" s="28" t="s">
        <v>869</v>
      </c>
      <c r="E1590" s="28"/>
      <c r="F1590" s="28">
        <v>55</v>
      </c>
      <c r="G1590" s="28">
        <v>101684</v>
      </c>
      <c r="H1590" s="28">
        <v>0</v>
      </c>
      <c r="J1590" s="28"/>
    </row>
    <row r="1591" spans="1:10" ht="15.75" customHeight="1">
      <c r="A1591" s="28">
        <v>17779</v>
      </c>
      <c r="B1591" s="91">
        <v>44974.856261574074</v>
      </c>
      <c r="C1591" s="28" t="s">
        <v>18</v>
      </c>
      <c r="D1591" s="28" t="s">
        <v>869</v>
      </c>
      <c r="E1591" s="28"/>
      <c r="F1591" s="28">
        <v>0</v>
      </c>
      <c r="G1591" s="28" t="s">
        <v>118</v>
      </c>
      <c r="H1591" s="28">
        <v>0</v>
      </c>
      <c r="J1591" s="28"/>
    </row>
    <row r="1592" spans="1:10" ht="15.75" customHeight="1">
      <c r="A1592" s="28">
        <v>17779</v>
      </c>
      <c r="B1592" s="91">
        <v>44974.856261574074</v>
      </c>
      <c r="C1592" s="28" t="s">
        <v>18</v>
      </c>
      <c r="D1592" s="28" t="s">
        <v>869</v>
      </c>
      <c r="E1592" s="28"/>
      <c r="F1592" s="28">
        <v>0</v>
      </c>
      <c r="G1592" s="28" t="s">
        <v>119</v>
      </c>
      <c r="H1592" s="28">
        <v>0</v>
      </c>
      <c r="J1592" s="28"/>
    </row>
    <row r="1593" spans="1:10" ht="15.75" customHeight="1">
      <c r="A1593" s="28">
        <v>17779</v>
      </c>
      <c r="B1593" s="91">
        <v>44974.856261574074</v>
      </c>
      <c r="C1593" s="28" t="s">
        <v>18</v>
      </c>
      <c r="D1593" s="28" t="s">
        <v>869</v>
      </c>
      <c r="E1593" s="28"/>
      <c r="F1593" s="28">
        <v>0</v>
      </c>
      <c r="G1593" s="28" t="s">
        <v>120</v>
      </c>
      <c r="H1593" s="28">
        <v>0</v>
      </c>
      <c r="J1593" s="28"/>
    </row>
    <row r="1594" spans="1:10" ht="15.75" customHeight="1">
      <c r="A1594" s="28">
        <v>17779</v>
      </c>
      <c r="B1594" s="91">
        <v>44974.856261574074</v>
      </c>
      <c r="C1594" s="28" t="s">
        <v>18</v>
      </c>
      <c r="D1594" s="28" t="s">
        <v>869</v>
      </c>
      <c r="E1594" s="28"/>
      <c r="F1594" s="28">
        <v>0</v>
      </c>
      <c r="G1594" s="28" t="s">
        <v>121</v>
      </c>
      <c r="H1594" s="28">
        <v>0</v>
      </c>
      <c r="J1594" s="28"/>
    </row>
    <row r="1595" spans="1:10" ht="15.75" customHeight="1">
      <c r="A1595" s="28">
        <v>17780</v>
      </c>
      <c r="B1595" s="91">
        <v>44974.861840277779</v>
      </c>
      <c r="C1595" s="28" t="s">
        <v>10</v>
      </c>
      <c r="D1595" s="28" t="s">
        <v>869</v>
      </c>
      <c r="E1595" s="28"/>
      <c r="F1595" s="28">
        <v>0</v>
      </c>
      <c r="G1595" s="28" t="s">
        <v>139</v>
      </c>
      <c r="H1595" s="28">
        <v>0</v>
      </c>
      <c r="J1595" s="28"/>
    </row>
    <row r="1596" spans="1:10" ht="15.75" customHeight="1">
      <c r="A1596" s="28">
        <v>17780</v>
      </c>
      <c r="B1596" s="91">
        <v>44974.861840277779</v>
      </c>
      <c r="C1596" s="28" t="s">
        <v>10</v>
      </c>
      <c r="D1596" s="28" t="s">
        <v>869</v>
      </c>
      <c r="E1596" s="28"/>
      <c r="F1596" s="28">
        <v>55</v>
      </c>
      <c r="G1596" s="28">
        <v>101684</v>
      </c>
      <c r="H1596" s="28">
        <v>0</v>
      </c>
      <c r="J1596" s="28"/>
    </row>
    <row r="1597" spans="1:10" ht="15.75" customHeight="1">
      <c r="A1597" s="28">
        <v>17780</v>
      </c>
      <c r="B1597" s="91">
        <v>44974.861840277779</v>
      </c>
      <c r="C1597" s="28" t="s">
        <v>10</v>
      </c>
      <c r="D1597" s="28" t="s">
        <v>869</v>
      </c>
      <c r="E1597" s="28"/>
      <c r="F1597" s="28">
        <v>0</v>
      </c>
      <c r="G1597" s="28" t="s">
        <v>118</v>
      </c>
      <c r="H1597" s="28">
        <v>0</v>
      </c>
      <c r="J1597" s="28"/>
    </row>
    <row r="1598" spans="1:10" ht="15.75" customHeight="1">
      <c r="A1598" s="28">
        <v>17780</v>
      </c>
      <c r="B1598" s="91">
        <v>44974.861840277779</v>
      </c>
      <c r="C1598" s="28" t="s">
        <v>10</v>
      </c>
      <c r="D1598" s="28" t="s">
        <v>869</v>
      </c>
      <c r="E1598" s="28"/>
      <c r="F1598" s="28">
        <v>0</v>
      </c>
      <c r="G1598" s="28" t="s">
        <v>119</v>
      </c>
      <c r="H1598" s="28">
        <v>0</v>
      </c>
      <c r="J1598" s="28"/>
    </row>
    <row r="1599" spans="1:10" ht="15.75" customHeight="1">
      <c r="A1599" s="28">
        <v>17780</v>
      </c>
      <c r="B1599" s="91">
        <v>44974.861840277779</v>
      </c>
      <c r="C1599" s="28" t="s">
        <v>10</v>
      </c>
      <c r="D1599" s="28" t="s">
        <v>869</v>
      </c>
      <c r="E1599" s="28"/>
      <c r="F1599" s="28">
        <v>0</v>
      </c>
      <c r="G1599" s="28" t="s">
        <v>120</v>
      </c>
      <c r="H1599" s="28">
        <v>0</v>
      </c>
      <c r="J1599" s="28"/>
    </row>
    <row r="1600" spans="1:10" ht="15.75" customHeight="1">
      <c r="A1600" s="28">
        <v>17780</v>
      </c>
      <c r="B1600" s="91">
        <v>44974.861840277779</v>
      </c>
      <c r="C1600" s="28" t="s">
        <v>10</v>
      </c>
      <c r="D1600" s="28" t="s">
        <v>869</v>
      </c>
      <c r="E1600" s="28"/>
      <c r="F1600" s="28">
        <v>0</v>
      </c>
      <c r="G1600" s="28" t="s">
        <v>121</v>
      </c>
      <c r="H1600" s="28">
        <v>0</v>
      </c>
      <c r="J1600" s="28"/>
    </row>
    <row r="1601" spans="1:10" ht="15.75" customHeight="1">
      <c r="A1601" s="28">
        <v>17781</v>
      </c>
      <c r="B1601" s="91">
        <v>44974.863541666666</v>
      </c>
      <c r="C1601" s="28" t="s">
        <v>10</v>
      </c>
      <c r="D1601" s="28" t="s">
        <v>868</v>
      </c>
      <c r="E1601" s="28"/>
      <c r="F1601" s="28">
        <v>25</v>
      </c>
      <c r="G1601" s="28" t="s">
        <v>118</v>
      </c>
      <c r="H1601" s="28">
        <v>0</v>
      </c>
      <c r="J1601" s="28"/>
    </row>
    <row r="1602" spans="1:10" ht="15.75" customHeight="1">
      <c r="A1602" s="28">
        <v>17782</v>
      </c>
      <c r="B1602" s="91">
        <v>44974.866678240738</v>
      </c>
      <c r="C1602" s="28" t="s">
        <v>10</v>
      </c>
      <c r="D1602" s="28" t="s">
        <v>870</v>
      </c>
      <c r="E1602" s="28"/>
      <c r="F1602" s="28">
        <v>0</v>
      </c>
      <c r="G1602" s="28" t="s">
        <v>139</v>
      </c>
      <c r="H1602" s="28">
        <v>0</v>
      </c>
      <c r="J1602" s="28"/>
    </row>
    <row r="1603" spans="1:10" ht="15.75" customHeight="1">
      <c r="A1603" s="28">
        <v>17782</v>
      </c>
      <c r="B1603" s="91">
        <v>44974.866678240738</v>
      </c>
      <c r="C1603" s="28" t="s">
        <v>10</v>
      </c>
      <c r="D1603" s="28" t="s">
        <v>870</v>
      </c>
      <c r="E1603" s="28"/>
      <c r="F1603" s="28">
        <v>25</v>
      </c>
      <c r="G1603" s="28" t="s">
        <v>118</v>
      </c>
      <c r="H1603" s="28">
        <v>0</v>
      </c>
      <c r="J1603" s="28"/>
    </row>
    <row r="1604" spans="1:10" ht="15.75" customHeight="1">
      <c r="A1604" s="28">
        <v>17783</v>
      </c>
      <c r="B1604" s="91">
        <v>44974.871388888889</v>
      </c>
      <c r="C1604" s="28" t="s">
        <v>10</v>
      </c>
      <c r="D1604" s="28" t="s">
        <v>1014</v>
      </c>
      <c r="E1604" s="28"/>
      <c r="F1604" s="28">
        <v>55</v>
      </c>
      <c r="G1604" s="28">
        <v>101684</v>
      </c>
      <c r="H1604" s="28">
        <v>0</v>
      </c>
      <c r="J1604" s="28"/>
    </row>
    <row r="1605" spans="1:10" ht="15.75" customHeight="1">
      <c r="A1605" s="28">
        <v>17783</v>
      </c>
      <c r="B1605" s="91">
        <v>44974.871388888889</v>
      </c>
      <c r="C1605" s="28" t="s">
        <v>10</v>
      </c>
      <c r="D1605" s="28" t="s">
        <v>1014</v>
      </c>
      <c r="E1605" s="28"/>
      <c r="F1605" s="28">
        <v>0</v>
      </c>
      <c r="G1605" s="28" t="s">
        <v>118</v>
      </c>
      <c r="H1605" s="28">
        <v>0</v>
      </c>
      <c r="J1605" s="28"/>
    </row>
    <row r="1606" spans="1:10" ht="15.75" customHeight="1">
      <c r="A1606" s="28">
        <v>17783</v>
      </c>
      <c r="B1606" s="91">
        <v>44974.871388888889</v>
      </c>
      <c r="C1606" s="28" t="s">
        <v>10</v>
      </c>
      <c r="D1606" s="28" t="s">
        <v>1014</v>
      </c>
      <c r="E1606" s="28"/>
      <c r="F1606" s="28">
        <v>0</v>
      </c>
      <c r="G1606" s="28" t="s">
        <v>119</v>
      </c>
      <c r="H1606" s="28">
        <v>0</v>
      </c>
      <c r="J1606" s="28"/>
    </row>
    <row r="1607" spans="1:10" ht="15.75" customHeight="1">
      <c r="A1607" s="28">
        <v>17783</v>
      </c>
      <c r="B1607" s="91">
        <v>44974.871388888889</v>
      </c>
      <c r="C1607" s="28" t="s">
        <v>10</v>
      </c>
      <c r="D1607" s="28" t="s">
        <v>1014</v>
      </c>
      <c r="E1607" s="28"/>
      <c r="F1607" s="28">
        <v>0</v>
      </c>
      <c r="G1607" s="28" t="s">
        <v>120</v>
      </c>
      <c r="H1607" s="28">
        <v>0</v>
      </c>
      <c r="J1607" s="28"/>
    </row>
    <row r="1608" spans="1:10" ht="15.75" customHeight="1">
      <c r="A1608" s="28">
        <v>17783</v>
      </c>
      <c r="B1608" s="91">
        <v>44974.871388888889</v>
      </c>
      <c r="C1608" s="28" t="s">
        <v>10</v>
      </c>
      <c r="D1608" s="28" t="s">
        <v>1014</v>
      </c>
      <c r="E1608" s="28"/>
      <c r="F1608" s="28">
        <v>0</v>
      </c>
      <c r="G1608" s="28" t="s">
        <v>121</v>
      </c>
      <c r="H1608" s="28">
        <v>0</v>
      </c>
      <c r="J1608" s="28"/>
    </row>
    <row r="1609" spans="1:10" ht="15.75" customHeight="1">
      <c r="A1609" s="28">
        <v>17784</v>
      </c>
      <c r="B1609" s="91">
        <v>44974.923321759255</v>
      </c>
      <c r="C1609" s="28" t="s">
        <v>10</v>
      </c>
      <c r="D1609" s="28" t="s">
        <v>1013</v>
      </c>
      <c r="E1609" s="28"/>
      <c r="F1609" s="28">
        <v>15</v>
      </c>
      <c r="G1609" s="28" t="s">
        <v>125</v>
      </c>
      <c r="H1609" s="28">
        <v>0</v>
      </c>
      <c r="J1609" s="28"/>
    </row>
    <row r="1610" spans="1:10" ht="15.75" customHeight="1">
      <c r="A1610" s="28">
        <v>17784</v>
      </c>
      <c r="B1610" s="91">
        <v>44974.923321759255</v>
      </c>
      <c r="C1610" s="28" t="s">
        <v>10</v>
      </c>
      <c r="D1610" s="28" t="s">
        <v>1013</v>
      </c>
      <c r="E1610" s="28"/>
      <c r="F1610" s="28">
        <v>24</v>
      </c>
      <c r="G1610" s="28" t="s">
        <v>122</v>
      </c>
      <c r="H1610" s="28">
        <v>0</v>
      </c>
      <c r="J1610" s="28"/>
    </row>
    <row r="1611" spans="1:10" ht="15.75" customHeight="1">
      <c r="A1611" s="28">
        <v>17785</v>
      </c>
      <c r="B1611" s="91">
        <v>44974.9612962963</v>
      </c>
      <c r="C1611" s="28" t="s">
        <v>10</v>
      </c>
      <c r="D1611" s="28" t="s">
        <v>658</v>
      </c>
      <c r="E1611" s="28"/>
      <c r="F1611" s="28">
        <v>24</v>
      </c>
      <c r="G1611" s="28" t="s">
        <v>122</v>
      </c>
      <c r="H1611" s="28">
        <v>0</v>
      </c>
      <c r="J1611" s="28"/>
    </row>
    <row r="1612" spans="1:10" ht="15.75" customHeight="1">
      <c r="A1612" s="28">
        <v>17786</v>
      </c>
      <c r="B1612" s="91">
        <v>44974.967418981483</v>
      </c>
      <c r="C1612" s="28" t="s">
        <v>10</v>
      </c>
      <c r="D1612" s="28" t="s">
        <v>1012</v>
      </c>
      <c r="E1612" s="28"/>
      <c r="F1612" s="28">
        <v>24</v>
      </c>
      <c r="G1612" s="28" t="s">
        <v>122</v>
      </c>
      <c r="H1612" s="28">
        <v>0</v>
      </c>
      <c r="J1612" s="28"/>
    </row>
    <row r="1613" spans="1:10" ht="15.75" customHeight="1">
      <c r="A1613" s="28">
        <v>17787</v>
      </c>
      <c r="B1613" s="91">
        <v>44974.968541666662</v>
      </c>
      <c r="C1613" s="28" t="s">
        <v>10</v>
      </c>
      <c r="D1613" s="28" t="s">
        <v>1011</v>
      </c>
      <c r="E1613" s="28"/>
      <c r="F1613" s="28">
        <v>24</v>
      </c>
      <c r="G1613" s="28" t="s">
        <v>122</v>
      </c>
      <c r="H1613" s="28">
        <v>0</v>
      </c>
      <c r="J1613" s="28"/>
    </row>
    <row r="1614" spans="1:10" ht="15.75" customHeight="1">
      <c r="A1614" s="28">
        <v>17788</v>
      </c>
      <c r="B1614" s="91">
        <v>44974.97042824074</v>
      </c>
      <c r="C1614" s="28" t="s">
        <v>10</v>
      </c>
      <c r="D1614" s="28" t="s">
        <v>1010</v>
      </c>
      <c r="E1614" s="28"/>
      <c r="F1614" s="28">
        <v>24</v>
      </c>
      <c r="G1614" s="28" t="s">
        <v>122</v>
      </c>
      <c r="H1614" s="28">
        <v>0</v>
      </c>
      <c r="J1614" s="28"/>
    </row>
    <row r="1615" spans="1:10" ht="15.75" customHeight="1">
      <c r="A1615" s="28">
        <v>17789</v>
      </c>
      <c r="B1615" s="91">
        <v>44974.970486111109</v>
      </c>
      <c r="C1615" s="28" t="s">
        <v>10</v>
      </c>
      <c r="D1615" s="28" t="s">
        <v>695</v>
      </c>
      <c r="E1615" s="28"/>
      <c r="F1615" s="28">
        <v>15</v>
      </c>
      <c r="G1615" s="28" t="s">
        <v>125</v>
      </c>
      <c r="H1615" s="28">
        <v>0</v>
      </c>
      <c r="J1615" s="28"/>
    </row>
    <row r="1616" spans="1:10" ht="15.75" customHeight="1">
      <c r="A1616" s="28">
        <v>17790</v>
      </c>
      <c r="B1616" s="91">
        <v>44974.97075231481</v>
      </c>
      <c r="C1616" s="28" t="s">
        <v>10</v>
      </c>
      <c r="D1616" s="28" t="s">
        <v>1009</v>
      </c>
      <c r="E1616" s="28"/>
      <c r="F1616" s="28">
        <v>25</v>
      </c>
      <c r="G1616" s="28">
        <v>100692</v>
      </c>
      <c r="H1616" s="28">
        <v>0</v>
      </c>
      <c r="J1616" s="28"/>
    </row>
    <row r="1617" spans="1:10" ht="15.75" customHeight="1">
      <c r="A1617" s="28">
        <v>17790</v>
      </c>
      <c r="B1617" s="91">
        <v>44974.97075231481</v>
      </c>
      <c r="C1617" s="28" t="s">
        <v>10</v>
      </c>
      <c r="D1617" s="28" t="s">
        <v>1009</v>
      </c>
      <c r="E1617" s="28"/>
      <c r="F1617" s="28">
        <v>0</v>
      </c>
      <c r="G1617" s="28" t="s">
        <v>125</v>
      </c>
      <c r="H1617" s="28">
        <v>0</v>
      </c>
      <c r="J1617" s="28"/>
    </row>
    <row r="1618" spans="1:10" ht="15.75" customHeight="1">
      <c r="A1618" s="28">
        <v>17790</v>
      </c>
      <c r="B1618" s="91">
        <v>44974.97075231481</v>
      </c>
      <c r="C1618" s="28" t="s">
        <v>10</v>
      </c>
      <c r="D1618" s="28" t="s">
        <v>1009</v>
      </c>
      <c r="E1618" s="28"/>
      <c r="F1618" s="28">
        <v>0</v>
      </c>
      <c r="G1618" s="28" t="s">
        <v>119</v>
      </c>
      <c r="H1618" s="28">
        <v>0</v>
      </c>
      <c r="J1618" s="28"/>
    </row>
    <row r="1619" spans="1:10" ht="15.75" customHeight="1">
      <c r="A1619" s="28">
        <v>17791</v>
      </c>
      <c r="B1619" s="91">
        <v>44974.973078703704</v>
      </c>
      <c r="C1619" s="28" t="s">
        <v>10</v>
      </c>
      <c r="D1619" s="28" t="s">
        <v>717</v>
      </c>
      <c r="E1619" s="28"/>
      <c r="F1619" s="28">
        <v>25</v>
      </c>
      <c r="G1619" s="28">
        <v>100692</v>
      </c>
      <c r="H1619" s="28">
        <v>0</v>
      </c>
      <c r="J1619" s="28"/>
    </row>
    <row r="1620" spans="1:10" ht="15.75" customHeight="1">
      <c r="A1620" s="28">
        <v>17791</v>
      </c>
      <c r="B1620" s="91">
        <v>44974.973078703704</v>
      </c>
      <c r="C1620" s="28" t="s">
        <v>10</v>
      </c>
      <c r="D1620" s="28" t="s">
        <v>717</v>
      </c>
      <c r="E1620" s="28"/>
      <c r="F1620" s="28">
        <v>0</v>
      </c>
      <c r="G1620" s="28" t="s">
        <v>125</v>
      </c>
      <c r="H1620" s="28">
        <v>0</v>
      </c>
      <c r="J1620" s="28"/>
    </row>
    <row r="1621" spans="1:10" ht="15.75" customHeight="1">
      <c r="A1621" s="28">
        <v>17791</v>
      </c>
      <c r="B1621" s="91">
        <v>44974.973078703704</v>
      </c>
      <c r="C1621" s="28" t="s">
        <v>10</v>
      </c>
      <c r="D1621" s="28" t="s">
        <v>717</v>
      </c>
      <c r="E1621" s="28"/>
      <c r="F1621" s="28">
        <v>0</v>
      </c>
      <c r="G1621" s="28" t="s">
        <v>119</v>
      </c>
      <c r="H1621" s="28">
        <v>0</v>
      </c>
      <c r="J1621" s="28"/>
    </row>
    <row r="1622" spans="1:10" ht="15.75" customHeight="1">
      <c r="A1622" s="28">
        <v>17792</v>
      </c>
      <c r="B1622" s="91">
        <v>44974.977800925924</v>
      </c>
      <c r="C1622" s="28" t="s">
        <v>10</v>
      </c>
      <c r="D1622" s="28" t="s">
        <v>1008</v>
      </c>
      <c r="E1622" s="28"/>
      <c r="F1622" s="28">
        <v>25</v>
      </c>
      <c r="G1622" s="28">
        <v>100692</v>
      </c>
      <c r="H1622" s="28">
        <v>0</v>
      </c>
      <c r="J1622" s="28"/>
    </row>
    <row r="1623" spans="1:10" ht="15.75" customHeight="1">
      <c r="A1623" s="28">
        <v>17792</v>
      </c>
      <c r="B1623" s="91">
        <v>44974.977800925924</v>
      </c>
      <c r="C1623" s="28" t="s">
        <v>10</v>
      </c>
      <c r="D1623" s="28" t="s">
        <v>1008</v>
      </c>
      <c r="E1623" s="28"/>
      <c r="F1623" s="28">
        <v>0</v>
      </c>
      <c r="G1623" s="28" t="s">
        <v>125</v>
      </c>
      <c r="H1623" s="28">
        <v>0</v>
      </c>
      <c r="J1623" s="28"/>
    </row>
    <row r="1624" spans="1:10" ht="15.75" customHeight="1">
      <c r="A1624" s="28">
        <v>17792</v>
      </c>
      <c r="B1624" s="91">
        <v>44974.977800925924</v>
      </c>
      <c r="C1624" s="28" t="s">
        <v>10</v>
      </c>
      <c r="D1624" s="28" t="s">
        <v>1008</v>
      </c>
      <c r="E1624" s="28"/>
      <c r="F1624" s="28">
        <v>0</v>
      </c>
      <c r="G1624" s="28" t="s">
        <v>119</v>
      </c>
      <c r="H1624" s="28">
        <v>0</v>
      </c>
      <c r="J1624" s="28"/>
    </row>
    <row r="1625" spans="1:10" ht="15.75" customHeight="1">
      <c r="A1625" s="28">
        <v>17793</v>
      </c>
      <c r="B1625" s="91">
        <v>44974.981076388889</v>
      </c>
      <c r="C1625" s="28" t="s">
        <v>10</v>
      </c>
      <c r="D1625" s="28" t="s">
        <v>1007</v>
      </c>
      <c r="E1625" s="28"/>
      <c r="F1625" s="28">
        <v>25</v>
      </c>
      <c r="G1625" s="28">
        <v>100692</v>
      </c>
      <c r="H1625" s="28">
        <v>0</v>
      </c>
      <c r="J1625" s="28"/>
    </row>
    <row r="1626" spans="1:10" ht="15.75" customHeight="1">
      <c r="A1626" s="28">
        <v>17793</v>
      </c>
      <c r="B1626" s="91">
        <v>44974.981076388889</v>
      </c>
      <c r="C1626" s="28" t="s">
        <v>10</v>
      </c>
      <c r="D1626" s="28" t="s">
        <v>1007</v>
      </c>
      <c r="E1626" s="28"/>
      <c r="F1626" s="28">
        <v>0</v>
      </c>
      <c r="G1626" s="28" t="s">
        <v>125</v>
      </c>
      <c r="H1626" s="28">
        <v>0</v>
      </c>
      <c r="J1626" s="28"/>
    </row>
    <row r="1627" spans="1:10" ht="15.75" customHeight="1">
      <c r="A1627" s="28">
        <v>17793</v>
      </c>
      <c r="B1627" s="91">
        <v>44974.981076388889</v>
      </c>
      <c r="C1627" s="28" t="s">
        <v>10</v>
      </c>
      <c r="D1627" s="28" t="s">
        <v>1007</v>
      </c>
      <c r="E1627" s="28"/>
      <c r="F1627" s="28">
        <v>0</v>
      </c>
      <c r="G1627" s="28" t="s">
        <v>119</v>
      </c>
      <c r="H1627" s="28">
        <v>0</v>
      </c>
      <c r="J1627" s="28"/>
    </row>
    <row r="1628" spans="1:10" ht="15.75" customHeight="1">
      <c r="A1628" s="28">
        <v>17794</v>
      </c>
      <c r="B1628" s="91">
        <v>44974.98836805555</v>
      </c>
      <c r="C1628" s="28" t="s">
        <v>10</v>
      </c>
      <c r="D1628" s="28" t="s">
        <v>1006</v>
      </c>
      <c r="E1628" s="28"/>
      <c r="F1628" s="28">
        <v>25</v>
      </c>
      <c r="G1628" s="28">
        <v>100692</v>
      </c>
      <c r="H1628" s="28">
        <v>0</v>
      </c>
      <c r="J1628" s="28"/>
    </row>
    <row r="1629" spans="1:10" ht="15.75" customHeight="1">
      <c r="A1629" s="28">
        <v>17794</v>
      </c>
      <c r="B1629" s="91">
        <v>44974.98836805555</v>
      </c>
      <c r="C1629" s="28" t="s">
        <v>10</v>
      </c>
      <c r="D1629" s="28" t="s">
        <v>1006</v>
      </c>
      <c r="E1629" s="28"/>
      <c r="F1629" s="28">
        <v>0</v>
      </c>
      <c r="G1629" s="28" t="s">
        <v>125</v>
      </c>
      <c r="H1629" s="28">
        <v>0</v>
      </c>
      <c r="J1629" s="28"/>
    </row>
    <row r="1630" spans="1:10" ht="15.75" customHeight="1">
      <c r="A1630" s="28">
        <v>17794</v>
      </c>
      <c r="B1630" s="91">
        <v>44974.98836805555</v>
      </c>
      <c r="C1630" s="28" t="s">
        <v>10</v>
      </c>
      <c r="D1630" s="28" t="s">
        <v>1006</v>
      </c>
      <c r="E1630" s="28"/>
      <c r="F1630" s="28">
        <v>0</v>
      </c>
      <c r="G1630" s="28" t="s">
        <v>119</v>
      </c>
      <c r="H1630" s="28">
        <v>0</v>
      </c>
      <c r="J1630" s="28"/>
    </row>
    <row r="1631" spans="1:10" ht="15.75" customHeight="1">
      <c r="A1631" s="28">
        <v>17794</v>
      </c>
      <c r="B1631" s="91">
        <v>44974.98836805555</v>
      </c>
      <c r="C1631" s="28" t="s">
        <v>10</v>
      </c>
      <c r="D1631" s="28" t="s">
        <v>1006</v>
      </c>
      <c r="E1631" s="28"/>
      <c r="F1631" s="28">
        <v>18</v>
      </c>
      <c r="G1631" s="28" t="s">
        <v>457</v>
      </c>
      <c r="H1631" s="28">
        <v>0</v>
      </c>
      <c r="J1631" s="28"/>
    </row>
    <row r="1632" spans="1:10" ht="15.75" customHeight="1">
      <c r="A1632" s="28">
        <v>17795</v>
      </c>
      <c r="B1632" s="91">
        <v>44974.989710648151</v>
      </c>
      <c r="C1632" s="28" t="s">
        <v>10</v>
      </c>
      <c r="D1632" s="28" t="s">
        <v>1005</v>
      </c>
      <c r="E1632" s="28"/>
      <c r="F1632" s="28">
        <v>50</v>
      </c>
      <c r="G1632" s="28">
        <v>100692</v>
      </c>
      <c r="H1632" s="28">
        <v>0</v>
      </c>
      <c r="J1632" s="28"/>
    </row>
    <row r="1633" spans="1:10" ht="15.75" customHeight="1">
      <c r="A1633" s="28">
        <v>17795</v>
      </c>
      <c r="B1633" s="91">
        <v>44974.989710648151</v>
      </c>
      <c r="C1633" s="28" t="s">
        <v>10</v>
      </c>
      <c r="D1633" s="28" t="s">
        <v>1005</v>
      </c>
      <c r="E1633" s="28"/>
      <c r="F1633" s="28">
        <v>0</v>
      </c>
      <c r="G1633" s="28" t="s">
        <v>125</v>
      </c>
      <c r="H1633" s="28">
        <v>0</v>
      </c>
      <c r="J1633" s="28"/>
    </row>
    <row r="1634" spans="1:10" ht="15.75" customHeight="1">
      <c r="A1634" s="28">
        <v>17795</v>
      </c>
      <c r="B1634" s="91">
        <v>44974.989710648151</v>
      </c>
      <c r="C1634" s="28" t="s">
        <v>10</v>
      </c>
      <c r="D1634" s="28" t="s">
        <v>1005</v>
      </c>
      <c r="E1634" s="28"/>
      <c r="F1634" s="28">
        <v>0</v>
      </c>
      <c r="G1634" s="28" t="s">
        <v>119</v>
      </c>
      <c r="H1634" s="28">
        <v>0</v>
      </c>
      <c r="J1634" s="28"/>
    </row>
    <row r="1635" spans="1:10" ht="15.75" customHeight="1">
      <c r="A1635" s="28">
        <v>17795</v>
      </c>
      <c r="B1635" s="91">
        <v>44974.989710648151</v>
      </c>
      <c r="C1635" s="28" t="s">
        <v>10</v>
      </c>
      <c r="D1635" s="28" t="s">
        <v>1005</v>
      </c>
      <c r="E1635" s="28"/>
      <c r="F1635" s="28">
        <v>40</v>
      </c>
      <c r="G1635" s="28" t="s">
        <v>148</v>
      </c>
      <c r="H1635" s="28">
        <v>0</v>
      </c>
      <c r="J1635" s="28"/>
    </row>
    <row r="1636" spans="1:10" ht="15.75" customHeight="1">
      <c r="A1636" s="28">
        <v>17795</v>
      </c>
      <c r="B1636" s="91">
        <v>44974.989710648151</v>
      </c>
      <c r="C1636" s="28" t="s">
        <v>10</v>
      </c>
      <c r="D1636" s="28" t="s">
        <v>1005</v>
      </c>
      <c r="E1636" s="28"/>
      <c r="F1636" s="28">
        <v>20</v>
      </c>
      <c r="G1636" s="28" t="s">
        <v>205</v>
      </c>
      <c r="H1636" s="28">
        <v>0</v>
      </c>
      <c r="J1636" s="28"/>
    </row>
    <row r="1637" spans="1:10" ht="15.75" customHeight="1">
      <c r="A1637" s="28">
        <v>17795</v>
      </c>
      <c r="B1637" s="91">
        <v>44974.989710648151</v>
      </c>
      <c r="C1637" s="28" t="s">
        <v>10</v>
      </c>
      <c r="D1637" s="28" t="s">
        <v>1005</v>
      </c>
      <c r="E1637" s="28"/>
      <c r="F1637" s="28">
        <v>0</v>
      </c>
      <c r="G1637" s="28" t="s">
        <v>125</v>
      </c>
      <c r="H1637" s="28">
        <v>0</v>
      </c>
      <c r="J1637" s="28"/>
    </row>
    <row r="1638" spans="1:10" ht="15.75" customHeight="1">
      <c r="A1638" s="28">
        <v>17796</v>
      </c>
      <c r="B1638" s="91">
        <v>44975.005740740744</v>
      </c>
      <c r="C1638" s="28" t="s">
        <v>10</v>
      </c>
      <c r="D1638" s="28" t="s">
        <v>1004</v>
      </c>
      <c r="E1638" s="28"/>
      <c r="F1638" s="28">
        <v>100</v>
      </c>
      <c r="G1638" s="28">
        <v>102779</v>
      </c>
      <c r="H1638" s="28">
        <v>0</v>
      </c>
      <c r="J1638" s="28"/>
    </row>
    <row r="1639" spans="1:10" ht="15.75" customHeight="1">
      <c r="A1639" s="28">
        <v>17796</v>
      </c>
      <c r="B1639" s="91">
        <v>44975.005740740744</v>
      </c>
      <c r="C1639" s="28" t="s">
        <v>10</v>
      </c>
      <c r="D1639" s="28" t="s">
        <v>1004</v>
      </c>
      <c r="E1639" s="28"/>
      <c r="F1639" s="28">
        <v>0</v>
      </c>
      <c r="G1639" s="28" t="s">
        <v>118</v>
      </c>
      <c r="H1639" s="28">
        <v>0</v>
      </c>
      <c r="J1639" s="28"/>
    </row>
    <row r="1640" spans="1:10" ht="15.75" customHeight="1">
      <c r="A1640" s="28">
        <v>17796</v>
      </c>
      <c r="B1640" s="91">
        <v>44975.005740740744</v>
      </c>
      <c r="C1640" s="28" t="s">
        <v>10</v>
      </c>
      <c r="D1640" s="28" t="s">
        <v>1004</v>
      </c>
      <c r="E1640" s="28"/>
      <c r="F1640" s="28">
        <v>0</v>
      </c>
      <c r="G1640" s="28" t="s">
        <v>119</v>
      </c>
      <c r="H1640" s="28">
        <v>0</v>
      </c>
      <c r="J1640" s="28"/>
    </row>
    <row r="1641" spans="1:10" ht="15.75" customHeight="1">
      <c r="A1641" s="28">
        <v>17796</v>
      </c>
      <c r="B1641" s="91">
        <v>44975.005740740744</v>
      </c>
      <c r="C1641" s="28" t="s">
        <v>10</v>
      </c>
      <c r="D1641" s="28" t="s">
        <v>1004</v>
      </c>
      <c r="E1641" s="28"/>
      <c r="F1641" s="28">
        <v>0</v>
      </c>
      <c r="G1641" s="28" t="s">
        <v>120</v>
      </c>
      <c r="H1641" s="28">
        <v>0</v>
      </c>
      <c r="J1641" s="28"/>
    </row>
    <row r="1642" spans="1:10" ht="15.75" customHeight="1">
      <c r="A1642" s="28">
        <v>17796</v>
      </c>
      <c r="B1642" s="91">
        <v>44975.005740740744</v>
      </c>
      <c r="C1642" s="28" t="s">
        <v>10</v>
      </c>
      <c r="D1642" s="28" t="s">
        <v>1004</v>
      </c>
      <c r="E1642" s="28"/>
      <c r="F1642" s="28">
        <v>0</v>
      </c>
      <c r="G1642" s="28" t="s">
        <v>122</v>
      </c>
      <c r="H1642" s="28">
        <v>0</v>
      </c>
      <c r="J1642" s="28"/>
    </row>
    <row r="1643" spans="1:10" ht="15.75" customHeight="1">
      <c r="A1643" s="28">
        <v>17796</v>
      </c>
      <c r="B1643" s="91">
        <v>44975.005740740744</v>
      </c>
      <c r="C1643" s="28" t="s">
        <v>10</v>
      </c>
      <c r="D1643" s="28" t="s">
        <v>1004</v>
      </c>
      <c r="E1643" s="28"/>
      <c r="F1643" s="28">
        <v>0</v>
      </c>
      <c r="G1643" s="28" t="s">
        <v>121</v>
      </c>
      <c r="H1643" s="28">
        <v>0</v>
      </c>
      <c r="J1643" s="28"/>
    </row>
    <row r="1644" spans="1:10" ht="15.75" customHeight="1">
      <c r="A1644" s="28">
        <v>17797</v>
      </c>
      <c r="B1644" s="91">
        <v>44975.009340277778</v>
      </c>
      <c r="C1644" s="28" t="s">
        <v>10</v>
      </c>
      <c r="D1644" s="28" t="s">
        <v>1002</v>
      </c>
      <c r="E1644" s="28"/>
      <c r="F1644" s="28">
        <v>25</v>
      </c>
      <c r="G1644" s="28">
        <v>100692</v>
      </c>
      <c r="H1644" s="28">
        <v>0</v>
      </c>
      <c r="J1644" s="28"/>
    </row>
    <row r="1645" spans="1:10" ht="15.75" customHeight="1">
      <c r="A1645" s="28">
        <v>17797</v>
      </c>
      <c r="B1645" s="91">
        <v>44975.009340277778</v>
      </c>
      <c r="C1645" s="28" t="s">
        <v>10</v>
      </c>
      <c r="D1645" s="28" t="s">
        <v>1002</v>
      </c>
      <c r="E1645" s="28"/>
      <c r="F1645" s="28">
        <v>0</v>
      </c>
      <c r="G1645" s="28" t="s">
        <v>125</v>
      </c>
      <c r="H1645" s="28">
        <v>0</v>
      </c>
      <c r="J1645" s="28"/>
    </row>
    <row r="1646" spans="1:10" ht="15.75" customHeight="1">
      <c r="A1646" s="28">
        <v>17797</v>
      </c>
      <c r="B1646" s="91">
        <v>44975.009340277778</v>
      </c>
      <c r="C1646" s="28" t="s">
        <v>10</v>
      </c>
      <c r="D1646" s="28" t="s">
        <v>1002</v>
      </c>
      <c r="E1646" s="28"/>
      <c r="F1646" s="28">
        <v>0</v>
      </c>
      <c r="G1646" s="28" t="s">
        <v>119</v>
      </c>
      <c r="H1646" s="28">
        <v>0</v>
      </c>
      <c r="J1646" s="28"/>
    </row>
    <row r="1647" spans="1:10" ht="15.75" customHeight="1">
      <c r="A1647" s="28">
        <v>17798</v>
      </c>
      <c r="B1647" s="91">
        <v>44975.00990740741</v>
      </c>
      <c r="C1647" s="28" t="s">
        <v>10</v>
      </c>
      <c r="D1647" s="28" t="s">
        <v>1003</v>
      </c>
      <c r="E1647" s="28"/>
      <c r="F1647" s="28">
        <v>24</v>
      </c>
      <c r="G1647" s="28" t="s">
        <v>122</v>
      </c>
      <c r="H1647" s="28">
        <v>0</v>
      </c>
      <c r="J1647" s="28"/>
    </row>
    <row r="1648" spans="1:10" ht="15.75" customHeight="1">
      <c r="A1648" s="28">
        <v>17799</v>
      </c>
      <c r="B1648" s="91">
        <v>44975.010636574079</v>
      </c>
      <c r="C1648" s="28" t="s">
        <v>10</v>
      </c>
      <c r="D1648" s="28" t="s">
        <v>1002</v>
      </c>
      <c r="E1648" s="28"/>
      <c r="F1648" s="28">
        <v>25</v>
      </c>
      <c r="G1648" s="28">
        <v>100692</v>
      </c>
      <c r="H1648" s="28">
        <v>0</v>
      </c>
      <c r="J1648" s="28"/>
    </row>
    <row r="1649" spans="1:10" ht="15.75" customHeight="1">
      <c r="A1649" s="28">
        <v>17799</v>
      </c>
      <c r="B1649" s="91">
        <v>44975.010636574079</v>
      </c>
      <c r="C1649" s="28" t="s">
        <v>10</v>
      </c>
      <c r="D1649" s="28" t="s">
        <v>1002</v>
      </c>
      <c r="E1649" s="28"/>
      <c r="F1649" s="28">
        <v>0</v>
      </c>
      <c r="G1649" s="28" t="s">
        <v>125</v>
      </c>
      <c r="H1649" s="28">
        <v>0</v>
      </c>
      <c r="J1649" s="28"/>
    </row>
    <row r="1650" spans="1:10" ht="15.75" customHeight="1">
      <c r="A1650" s="28">
        <v>17799</v>
      </c>
      <c r="B1650" s="91">
        <v>44975.010636574079</v>
      </c>
      <c r="C1650" s="28" t="s">
        <v>10</v>
      </c>
      <c r="D1650" s="28" t="s">
        <v>1002</v>
      </c>
      <c r="E1650" s="28"/>
      <c r="F1650" s="28">
        <v>0</v>
      </c>
      <c r="G1650" s="28" t="s">
        <v>119</v>
      </c>
      <c r="H1650" s="28">
        <v>0</v>
      </c>
      <c r="J1650" s="28"/>
    </row>
    <row r="1651" spans="1:10" ht="15.75" customHeight="1">
      <c r="A1651" s="28">
        <v>17800</v>
      </c>
      <c r="B1651" s="91">
        <v>44975.028148148151</v>
      </c>
      <c r="C1651" s="28" t="s">
        <v>10</v>
      </c>
      <c r="D1651" s="28" t="s">
        <v>1001</v>
      </c>
      <c r="E1651" s="28"/>
      <c r="F1651" s="28">
        <v>24</v>
      </c>
      <c r="G1651" s="28" t="s">
        <v>122</v>
      </c>
      <c r="H1651" s="28">
        <v>0</v>
      </c>
      <c r="J1651" s="28"/>
    </row>
    <row r="1652" spans="1:10" ht="15.75" customHeight="1">
      <c r="A1652" s="28">
        <v>17800</v>
      </c>
      <c r="B1652" s="91">
        <v>44975.028148148151</v>
      </c>
      <c r="C1652" s="28" t="s">
        <v>10</v>
      </c>
      <c r="D1652" s="28" t="s">
        <v>1001</v>
      </c>
      <c r="E1652" s="28"/>
      <c r="F1652" s="28">
        <v>100</v>
      </c>
      <c r="G1652" s="28" t="s">
        <v>908</v>
      </c>
      <c r="H1652" s="28">
        <v>0</v>
      </c>
      <c r="J1652" s="28"/>
    </row>
    <row r="1653" spans="1:10" ht="15.75" customHeight="1">
      <c r="A1653" s="28">
        <v>17801</v>
      </c>
      <c r="B1653" s="91">
        <v>44975.03434027778</v>
      </c>
      <c r="C1653" s="28" t="s">
        <v>10</v>
      </c>
      <c r="D1653" s="28" t="s">
        <v>1000</v>
      </c>
      <c r="E1653" s="28"/>
      <c r="F1653" s="28">
        <v>35</v>
      </c>
      <c r="G1653" s="28" t="s">
        <v>124</v>
      </c>
      <c r="H1653" s="28">
        <v>0</v>
      </c>
      <c r="J1653" s="28"/>
    </row>
    <row r="1654" spans="1:10" ht="15.75" customHeight="1">
      <c r="A1654" s="28">
        <v>17801</v>
      </c>
      <c r="B1654" s="91">
        <v>44975.03434027778</v>
      </c>
      <c r="C1654" s="28" t="s">
        <v>10</v>
      </c>
      <c r="D1654" s="28" t="s">
        <v>1000</v>
      </c>
      <c r="E1654" s="28"/>
      <c r="F1654" s="28">
        <v>0</v>
      </c>
      <c r="G1654" s="28" t="s">
        <v>125</v>
      </c>
      <c r="H1654" s="28">
        <v>0</v>
      </c>
      <c r="J1654" s="28"/>
    </row>
    <row r="1655" spans="1:10" ht="15.75" customHeight="1">
      <c r="A1655" s="28">
        <v>17801</v>
      </c>
      <c r="B1655" s="91">
        <v>44975.03434027778</v>
      </c>
      <c r="C1655" s="28" t="s">
        <v>10</v>
      </c>
      <c r="D1655" s="28" t="s">
        <v>1000</v>
      </c>
      <c r="E1655" s="28"/>
      <c r="F1655" s="28">
        <v>0</v>
      </c>
      <c r="G1655" s="28" t="s">
        <v>119</v>
      </c>
      <c r="H1655" s="28">
        <v>0</v>
      </c>
      <c r="J1655" s="28"/>
    </row>
    <row r="1656" spans="1:10" ht="15.75" customHeight="1">
      <c r="A1656" s="28">
        <v>17801</v>
      </c>
      <c r="B1656" s="91">
        <v>44975.03434027778</v>
      </c>
      <c r="C1656" s="28" t="s">
        <v>10</v>
      </c>
      <c r="D1656" s="28" t="s">
        <v>1000</v>
      </c>
      <c r="E1656" s="28"/>
      <c r="F1656" s="28">
        <v>0</v>
      </c>
      <c r="G1656" s="28" t="s">
        <v>121</v>
      </c>
      <c r="H1656" s="28">
        <v>0</v>
      </c>
      <c r="J1656" s="28"/>
    </row>
    <row r="1657" spans="1:10" ht="15.75" customHeight="1">
      <c r="A1657" s="28">
        <v>17802</v>
      </c>
      <c r="B1657" s="91">
        <v>44975.037986111114</v>
      </c>
      <c r="C1657" s="28" t="s">
        <v>10</v>
      </c>
      <c r="D1657" s="28" t="s">
        <v>828</v>
      </c>
      <c r="E1657" s="28"/>
      <c r="F1657" s="28">
        <v>55</v>
      </c>
      <c r="G1657" s="28">
        <v>101684</v>
      </c>
      <c r="H1657" s="28">
        <v>0</v>
      </c>
      <c r="J1657" s="28"/>
    </row>
    <row r="1658" spans="1:10" ht="15.75" customHeight="1">
      <c r="A1658" s="28">
        <v>17802</v>
      </c>
      <c r="B1658" s="91">
        <v>44975.037986111114</v>
      </c>
      <c r="C1658" s="28" t="s">
        <v>10</v>
      </c>
      <c r="D1658" s="28" t="s">
        <v>828</v>
      </c>
      <c r="E1658" s="28"/>
      <c r="F1658" s="28">
        <v>0</v>
      </c>
      <c r="G1658" s="28" t="s">
        <v>118</v>
      </c>
      <c r="H1658" s="28">
        <v>0</v>
      </c>
      <c r="J1658" s="28"/>
    </row>
    <row r="1659" spans="1:10" ht="15.75" customHeight="1">
      <c r="A1659" s="28">
        <v>17802</v>
      </c>
      <c r="B1659" s="91">
        <v>44975.037986111114</v>
      </c>
      <c r="C1659" s="28" t="s">
        <v>10</v>
      </c>
      <c r="D1659" s="28" t="s">
        <v>828</v>
      </c>
      <c r="E1659" s="28"/>
      <c r="F1659" s="28">
        <v>0</v>
      </c>
      <c r="G1659" s="28" t="s">
        <v>119</v>
      </c>
      <c r="H1659" s="28">
        <v>0</v>
      </c>
      <c r="J1659" s="28"/>
    </row>
    <row r="1660" spans="1:10" ht="15.75" customHeight="1">
      <c r="A1660" s="28">
        <v>17802</v>
      </c>
      <c r="B1660" s="91">
        <v>44975.037986111114</v>
      </c>
      <c r="C1660" s="28" t="s">
        <v>10</v>
      </c>
      <c r="D1660" s="28" t="s">
        <v>828</v>
      </c>
      <c r="E1660" s="28"/>
      <c r="F1660" s="28">
        <v>0</v>
      </c>
      <c r="G1660" s="28" t="s">
        <v>120</v>
      </c>
      <c r="H1660" s="28">
        <v>0</v>
      </c>
      <c r="J1660" s="28"/>
    </row>
    <row r="1661" spans="1:10" ht="15.75" customHeight="1">
      <c r="A1661" s="28">
        <v>17802</v>
      </c>
      <c r="B1661" s="91">
        <v>44975.037986111114</v>
      </c>
      <c r="C1661" s="28" t="s">
        <v>10</v>
      </c>
      <c r="D1661" s="28" t="s">
        <v>828</v>
      </c>
      <c r="E1661" s="28"/>
      <c r="F1661" s="28">
        <v>0</v>
      </c>
      <c r="G1661" s="28" t="s">
        <v>121</v>
      </c>
      <c r="H1661" s="28">
        <v>0</v>
      </c>
      <c r="J1661" s="28"/>
    </row>
    <row r="1662" spans="1:10" ht="15.75" customHeight="1">
      <c r="A1662" s="28">
        <v>17803</v>
      </c>
      <c r="B1662" s="91">
        <v>44975.042453703703</v>
      </c>
      <c r="C1662" s="28" t="s">
        <v>10</v>
      </c>
      <c r="D1662" s="28" t="s">
        <v>325</v>
      </c>
      <c r="E1662" s="28"/>
      <c r="F1662" s="28">
        <v>35</v>
      </c>
      <c r="G1662" s="28" t="s">
        <v>124</v>
      </c>
      <c r="H1662" s="28">
        <v>0</v>
      </c>
      <c r="J1662" s="28"/>
    </row>
    <row r="1663" spans="1:10" ht="15.75" customHeight="1">
      <c r="A1663" s="28">
        <v>17803</v>
      </c>
      <c r="B1663" s="91">
        <v>44975.042453703703</v>
      </c>
      <c r="C1663" s="28" t="s">
        <v>10</v>
      </c>
      <c r="D1663" s="28" t="s">
        <v>325</v>
      </c>
      <c r="E1663" s="28"/>
      <c r="F1663" s="28">
        <v>0</v>
      </c>
      <c r="G1663" s="28" t="s">
        <v>125</v>
      </c>
      <c r="H1663" s="28">
        <v>0</v>
      </c>
      <c r="J1663" s="28"/>
    </row>
    <row r="1664" spans="1:10" ht="15.75" customHeight="1">
      <c r="A1664" s="28">
        <v>17803</v>
      </c>
      <c r="B1664" s="91">
        <v>44975.042453703703</v>
      </c>
      <c r="C1664" s="28" t="s">
        <v>10</v>
      </c>
      <c r="D1664" s="28" t="s">
        <v>325</v>
      </c>
      <c r="E1664" s="28"/>
      <c r="F1664" s="28">
        <v>0</v>
      </c>
      <c r="G1664" s="28" t="s">
        <v>119</v>
      </c>
      <c r="H1664" s="28">
        <v>0</v>
      </c>
      <c r="J1664" s="28"/>
    </row>
    <row r="1665" spans="1:10" ht="15.75" customHeight="1">
      <c r="A1665" s="28">
        <v>17803</v>
      </c>
      <c r="B1665" s="91">
        <v>44975.042453703703</v>
      </c>
      <c r="C1665" s="28" t="s">
        <v>10</v>
      </c>
      <c r="D1665" s="28" t="s">
        <v>325</v>
      </c>
      <c r="E1665" s="28"/>
      <c r="F1665" s="28">
        <v>0</v>
      </c>
      <c r="G1665" s="28" t="s">
        <v>121</v>
      </c>
      <c r="H1665" s="28">
        <v>0</v>
      </c>
      <c r="J1665" s="28"/>
    </row>
    <row r="1666" spans="1:10" ht="15.75" customHeight="1">
      <c r="A1666" s="28">
        <v>17804</v>
      </c>
      <c r="B1666" s="91">
        <v>44975.044837962967</v>
      </c>
      <c r="C1666" s="28" t="s">
        <v>10</v>
      </c>
      <c r="D1666" s="28" t="s">
        <v>706</v>
      </c>
      <c r="E1666" s="28"/>
      <c r="F1666" s="28">
        <v>24</v>
      </c>
      <c r="G1666" s="28" t="s">
        <v>122</v>
      </c>
      <c r="H1666" s="28">
        <v>0</v>
      </c>
      <c r="J1666" s="28"/>
    </row>
    <row r="1667" spans="1:10" ht="15.75" customHeight="1">
      <c r="A1667" s="28">
        <v>17805</v>
      </c>
      <c r="B1667" s="91">
        <v>44975.045474537037</v>
      </c>
      <c r="C1667" s="28" t="s">
        <v>10</v>
      </c>
      <c r="D1667" s="28" t="s">
        <v>999</v>
      </c>
      <c r="E1667" s="28"/>
      <c r="F1667" s="28">
        <v>35</v>
      </c>
      <c r="G1667" s="28" t="s">
        <v>124</v>
      </c>
      <c r="H1667" s="28">
        <v>0</v>
      </c>
      <c r="J1667" s="28"/>
    </row>
    <row r="1668" spans="1:10" ht="15.75" customHeight="1">
      <c r="A1668" s="28">
        <v>17805</v>
      </c>
      <c r="B1668" s="91">
        <v>44975.045474537037</v>
      </c>
      <c r="C1668" s="28" t="s">
        <v>10</v>
      </c>
      <c r="D1668" s="28" t="s">
        <v>999</v>
      </c>
      <c r="E1668" s="28"/>
      <c r="F1668" s="28">
        <v>0</v>
      </c>
      <c r="G1668" s="28" t="s">
        <v>125</v>
      </c>
      <c r="H1668" s="28">
        <v>0</v>
      </c>
      <c r="J1668" s="28"/>
    </row>
    <row r="1669" spans="1:10" ht="15.75" customHeight="1">
      <c r="A1669" s="28">
        <v>17805</v>
      </c>
      <c r="B1669" s="91">
        <v>44975.045474537037</v>
      </c>
      <c r="C1669" s="28" t="s">
        <v>10</v>
      </c>
      <c r="D1669" s="28" t="s">
        <v>999</v>
      </c>
      <c r="E1669" s="28"/>
      <c r="F1669" s="28">
        <v>0</v>
      </c>
      <c r="G1669" s="28" t="s">
        <v>119</v>
      </c>
      <c r="H1669" s="28">
        <v>0</v>
      </c>
      <c r="J1669" s="28"/>
    </row>
    <row r="1670" spans="1:10" ht="15.75" customHeight="1">
      <c r="A1670" s="28">
        <v>17805</v>
      </c>
      <c r="B1670" s="91">
        <v>44975.045474537037</v>
      </c>
      <c r="C1670" s="28" t="s">
        <v>10</v>
      </c>
      <c r="D1670" s="28" t="s">
        <v>999</v>
      </c>
      <c r="E1670" s="28"/>
      <c r="F1670" s="28">
        <v>0</v>
      </c>
      <c r="G1670" s="28" t="s">
        <v>121</v>
      </c>
      <c r="H1670" s="28">
        <v>0</v>
      </c>
      <c r="J1670" s="28"/>
    </row>
    <row r="1671" spans="1:10" ht="15.75" customHeight="1">
      <c r="A1671" s="28">
        <v>17806</v>
      </c>
      <c r="B1671" s="91">
        <v>44975.049675925926</v>
      </c>
      <c r="C1671" s="28" t="s">
        <v>10</v>
      </c>
      <c r="D1671" s="28" t="s">
        <v>998</v>
      </c>
      <c r="E1671" s="28"/>
      <c r="F1671" s="28">
        <v>15</v>
      </c>
      <c r="G1671" s="28" t="s">
        <v>170</v>
      </c>
      <c r="H1671" s="28">
        <v>0</v>
      </c>
      <c r="J1671" s="28"/>
    </row>
    <row r="1672" spans="1:10" ht="15.75" customHeight="1">
      <c r="A1672" s="28">
        <v>17807</v>
      </c>
      <c r="B1672" s="91">
        <v>44975.05097222222</v>
      </c>
      <c r="C1672" s="28" t="s">
        <v>10</v>
      </c>
      <c r="D1672" s="28" t="s">
        <v>828</v>
      </c>
      <c r="E1672" s="28"/>
      <c r="F1672" s="28">
        <v>25</v>
      </c>
      <c r="G1672" s="28">
        <v>100692</v>
      </c>
      <c r="H1672" s="28">
        <v>0</v>
      </c>
      <c r="J1672" s="28"/>
    </row>
    <row r="1673" spans="1:10" ht="15.75" customHeight="1">
      <c r="A1673" s="28">
        <v>17807</v>
      </c>
      <c r="B1673" s="91">
        <v>44975.05097222222</v>
      </c>
      <c r="C1673" s="28" t="s">
        <v>10</v>
      </c>
      <c r="D1673" s="28" t="s">
        <v>828</v>
      </c>
      <c r="E1673" s="28"/>
      <c r="F1673" s="28">
        <v>0</v>
      </c>
      <c r="G1673" s="28" t="s">
        <v>125</v>
      </c>
      <c r="H1673" s="28">
        <v>0</v>
      </c>
      <c r="J1673" s="28"/>
    </row>
    <row r="1674" spans="1:10" ht="15.75" customHeight="1">
      <c r="A1674" s="28">
        <v>17807</v>
      </c>
      <c r="B1674" s="91">
        <v>44975.05097222222</v>
      </c>
      <c r="C1674" s="28" t="s">
        <v>10</v>
      </c>
      <c r="D1674" s="28" t="s">
        <v>828</v>
      </c>
      <c r="E1674" s="28"/>
      <c r="F1674" s="28">
        <v>0</v>
      </c>
      <c r="G1674" s="28" t="s">
        <v>119</v>
      </c>
      <c r="H1674" s="28">
        <v>0</v>
      </c>
      <c r="J1674" s="28"/>
    </row>
    <row r="1675" spans="1:10" ht="15.75" customHeight="1">
      <c r="A1675" s="28">
        <v>17808</v>
      </c>
      <c r="B1675" s="91">
        <v>44975.052557870367</v>
      </c>
      <c r="C1675" s="28" t="s">
        <v>10</v>
      </c>
      <c r="D1675" s="28" t="s">
        <v>746</v>
      </c>
      <c r="E1675" s="28"/>
      <c r="F1675" s="28">
        <v>0</v>
      </c>
      <c r="G1675" s="28" t="s">
        <v>139</v>
      </c>
      <c r="H1675" s="28">
        <v>0</v>
      </c>
      <c r="J1675" s="28"/>
    </row>
    <row r="1676" spans="1:10" ht="15.75" customHeight="1">
      <c r="A1676" s="28">
        <v>17808</v>
      </c>
      <c r="B1676" s="91">
        <v>44975.052557870367</v>
      </c>
      <c r="C1676" s="28" t="s">
        <v>10</v>
      </c>
      <c r="D1676" s="28" t="s">
        <v>746</v>
      </c>
      <c r="E1676" s="28"/>
      <c r="F1676" s="28">
        <v>15</v>
      </c>
      <c r="G1676" s="28" t="s">
        <v>286</v>
      </c>
      <c r="H1676" s="28">
        <v>0</v>
      </c>
      <c r="J1676" s="28"/>
    </row>
    <row r="1677" spans="1:10" ht="15.75" customHeight="1">
      <c r="A1677" s="28">
        <v>17809</v>
      </c>
      <c r="B1677" s="91">
        <v>44975.059525462959</v>
      </c>
      <c r="C1677" s="28" t="s">
        <v>10</v>
      </c>
      <c r="D1677" s="28" t="s">
        <v>997</v>
      </c>
      <c r="E1677" s="28"/>
      <c r="F1677" s="28">
        <v>22</v>
      </c>
      <c r="G1677" s="28" t="s">
        <v>137</v>
      </c>
      <c r="H1677" s="28">
        <v>0</v>
      </c>
      <c r="J1677" s="28"/>
    </row>
    <row r="1678" spans="1:10" ht="15.75" customHeight="1">
      <c r="A1678" s="28">
        <v>17810</v>
      </c>
      <c r="B1678" s="91">
        <v>44975.061053240745</v>
      </c>
      <c r="C1678" s="28" t="s">
        <v>10</v>
      </c>
      <c r="D1678" s="28" t="s">
        <v>996</v>
      </c>
      <c r="E1678" s="28"/>
      <c r="F1678" s="28">
        <v>22</v>
      </c>
      <c r="G1678" s="28" t="s">
        <v>137</v>
      </c>
      <c r="H1678" s="28">
        <v>0</v>
      </c>
      <c r="J1678" s="28"/>
    </row>
    <row r="1679" spans="1:10" ht="15.75" customHeight="1">
      <c r="A1679" s="28">
        <v>17811</v>
      </c>
      <c r="B1679" s="91">
        <v>44975.065011574072</v>
      </c>
      <c r="C1679" s="28" t="s">
        <v>10</v>
      </c>
      <c r="D1679" s="28" t="s">
        <v>996</v>
      </c>
      <c r="E1679" s="28"/>
      <c r="F1679" s="28">
        <v>40</v>
      </c>
      <c r="G1679" s="28" t="s">
        <v>205</v>
      </c>
      <c r="H1679" s="28">
        <v>0</v>
      </c>
      <c r="J1679" s="28"/>
    </row>
    <row r="1680" spans="1:10" ht="15.75" customHeight="1">
      <c r="A1680" s="28">
        <v>17811</v>
      </c>
      <c r="B1680" s="91">
        <v>44975.065011574072</v>
      </c>
      <c r="C1680" s="28" t="s">
        <v>10</v>
      </c>
      <c r="D1680" s="28" t="s">
        <v>996</v>
      </c>
      <c r="E1680" s="28"/>
      <c r="F1680" s="28">
        <v>0</v>
      </c>
      <c r="G1680" s="28" t="s">
        <v>125</v>
      </c>
      <c r="H1680" s="28">
        <v>0</v>
      </c>
      <c r="J1680" s="28"/>
    </row>
    <row r="1681" spans="1:10" ht="15.75" customHeight="1">
      <c r="A1681" s="28">
        <v>17812</v>
      </c>
      <c r="B1681" s="91">
        <v>44975.065428240741</v>
      </c>
      <c r="C1681" s="28" t="s">
        <v>10</v>
      </c>
      <c r="D1681" s="28" t="s">
        <v>995</v>
      </c>
      <c r="E1681" s="28"/>
      <c r="F1681" s="28">
        <v>45</v>
      </c>
      <c r="G1681" s="28" t="s">
        <v>286</v>
      </c>
      <c r="H1681" s="28">
        <v>0</v>
      </c>
      <c r="J1681" s="28"/>
    </row>
    <row r="1682" spans="1:10" ht="15.75" customHeight="1">
      <c r="A1682" s="28">
        <v>17813</v>
      </c>
      <c r="B1682" s="91">
        <v>44975.069803240738</v>
      </c>
      <c r="C1682" s="28" t="s">
        <v>10</v>
      </c>
      <c r="D1682" s="28" t="s">
        <v>994</v>
      </c>
      <c r="E1682" s="28"/>
      <c r="F1682" s="28">
        <v>20</v>
      </c>
      <c r="G1682" s="28" t="s">
        <v>205</v>
      </c>
      <c r="H1682" s="28">
        <v>0</v>
      </c>
      <c r="J1682" s="28"/>
    </row>
    <row r="1683" spans="1:10" ht="15.75" customHeight="1">
      <c r="A1683" s="28">
        <v>17813</v>
      </c>
      <c r="B1683" s="91">
        <v>44975.069803240738</v>
      </c>
      <c r="C1683" s="28" t="s">
        <v>10</v>
      </c>
      <c r="D1683" s="28" t="s">
        <v>994</v>
      </c>
      <c r="E1683" s="28"/>
      <c r="F1683" s="28">
        <v>0</v>
      </c>
      <c r="G1683" s="28" t="s">
        <v>125</v>
      </c>
      <c r="H1683" s="28">
        <v>0</v>
      </c>
      <c r="J1683" s="28"/>
    </row>
    <row r="1684" spans="1:10" ht="15.75" customHeight="1">
      <c r="A1684" s="28">
        <v>17813</v>
      </c>
      <c r="B1684" s="91">
        <v>44975.069803240738</v>
      </c>
      <c r="C1684" s="28" t="s">
        <v>10</v>
      </c>
      <c r="D1684" s="28" t="s">
        <v>994</v>
      </c>
      <c r="E1684" s="28"/>
      <c r="F1684" s="28">
        <v>18</v>
      </c>
      <c r="G1684" s="28" t="s">
        <v>457</v>
      </c>
      <c r="H1684" s="28">
        <v>0</v>
      </c>
      <c r="J1684" s="28"/>
    </row>
    <row r="1685" spans="1:10" ht="15.75" customHeight="1">
      <c r="A1685" s="28">
        <v>17814</v>
      </c>
      <c r="B1685" s="91">
        <v>44975.070219907408</v>
      </c>
      <c r="C1685" s="28" t="s">
        <v>10</v>
      </c>
      <c r="D1685" s="28" t="s">
        <v>993</v>
      </c>
      <c r="E1685" s="28"/>
      <c r="F1685" s="28">
        <v>45</v>
      </c>
      <c r="G1685" s="28" t="s">
        <v>286</v>
      </c>
      <c r="H1685" s="28">
        <v>0</v>
      </c>
      <c r="J1685" s="28"/>
    </row>
    <row r="1686" spans="1:10" ht="15.75" customHeight="1">
      <c r="A1686" s="28">
        <v>17815</v>
      </c>
      <c r="B1686" s="91">
        <v>44975.071273148147</v>
      </c>
      <c r="C1686" s="28" t="s">
        <v>10</v>
      </c>
      <c r="D1686" s="28" t="s">
        <v>992</v>
      </c>
      <c r="E1686" s="28"/>
      <c r="F1686" s="28">
        <v>20</v>
      </c>
      <c r="G1686" s="28" t="s">
        <v>205</v>
      </c>
      <c r="H1686" s="28">
        <v>0</v>
      </c>
      <c r="J1686" s="28"/>
    </row>
    <row r="1687" spans="1:10" ht="15.75" customHeight="1">
      <c r="A1687" s="28">
        <v>17815</v>
      </c>
      <c r="B1687" s="91">
        <v>44975.071273148147</v>
      </c>
      <c r="C1687" s="28" t="s">
        <v>10</v>
      </c>
      <c r="D1687" s="28" t="s">
        <v>992</v>
      </c>
      <c r="E1687" s="28"/>
      <c r="F1687" s="28">
        <v>0</v>
      </c>
      <c r="G1687" s="28" t="s">
        <v>125</v>
      </c>
      <c r="H1687" s="28">
        <v>0</v>
      </c>
      <c r="J1687" s="28"/>
    </row>
    <row r="1688" spans="1:10" ht="15.75" customHeight="1">
      <c r="A1688" s="28">
        <v>17816</v>
      </c>
      <c r="B1688" s="91">
        <v>44975.074895833328</v>
      </c>
      <c r="C1688" s="28" t="s">
        <v>10</v>
      </c>
      <c r="D1688" s="28" t="s">
        <v>991</v>
      </c>
      <c r="E1688" s="28"/>
      <c r="F1688" s="28">
        <v>24</v>
      </c>
      <c r="G1688" s="28" t="s">
        <v>122</v>
      </c>
      <c r="H1688" s="28">
        <v>0</v>
      </c>
      <c r="J1688" s="28"/>
    </row>
    <row r="1689" spans="1:10" ht="15.75" customHeight="1">
      <c r="A1689" s="28">
        <v>17817</v>
      </c>
      <c r="B1689" s="91">
        <v>44975.078958333332</v>
      </c>
      <c r="C1689" s="28" t="s">
        <v>10</v>
      </c>
      <c r="D1689" s="28" t="s">
        <v>990</v>
      </c>
      <c r="E1689" s="28"/>
      <c r="F1689" s="28">
        <v>24</v>
      </c>
      <c r="G1689" s="28" t="s">
        <v>122</v>
      </c>
      <c r="H1689" s="28">
        <v>0</v>
      </c>
      <c r="J1689" s="28"/>
    </row>
    <row r="1690" spans="1:10" ht="15.75" customHeight="1">
      <c r="A1690" s="28">
        <v>17818</v>
      </c>
      <c r="B1690" s="91">
        <v>44975.079918981486</v>
      </c>
      <c r="C1690" s="28" t="s">
        <v>10</v>
      </c>
      <c r="D1690" s="28" t="s">
        <v>325</v>
      </c>
      <c r="E1690" s="28"/>
      <c r="F1690" s="28">
        <v>15</v>
      </c>
      <c r="G1690" s="28"/>
      <c r="H1690" s="28">
        <v>0</v>
      </c>
      <c r="J1690" s="28"/>
    </row>
    <row r="1691" spans="1:10" ht="15.75" customHeight="1">
      <c r="A1691" s="28">
        <v>17819</v>
      </c>
      <c r="B1691" s="91">
        <v>44975.103749999995</v>
      </c>
      <c r="C1691" s="28" t="s">
        <v>10</v>
      </c>
      <c r="D1691" s="28" t="s">
        <v>989</v>
      </c>
      <c r="E1691" s="28"/>
      <c r="F1691" s="28">
        <v>0</v>
      </c>
      <c r="G1691" s="28" t="s">
        <v>139</v>
      </c>
      <c r="H1691" s="28">
        <v>0</v>
      </c>
      <c r="J1691" s="28"/>
    </row>
    <row r="1692" spans="1:10" ht="15.75" customHeight="1">
      <c r="A1692" s="28">
        <v>17819</v>
      </c>
      <c r="B1692" s="91">
        <v>44975.103749999995</v>
      </c>
      <c r="C1692" s="28" t="s">
        <v>10</v>
      </c>
      <c r="D1692" s="28" t="s">
        <v>989</v>
      </c>
      <c r="E1692" s="28"/>
      <c r="F1692" s="28">
        <v>20</v>
      </c>
      <c r="G1692" s="28" t="s">
        <v>148</v>
      </c>
      <c r="H1692" s="28">
        <v>0</v>
      </c>
      <c r="J1692" s="28"/>
    </row>
    <row r="1693" spans="1:10" ht="15.75" customHeight="1">
      <c r="A1693" s="28">
        <v>17820</v>
      </c>
      <c r="B1693" s="91">
        <v>44975.157731481479</v>
      </c>
      <c r="C1693" s="28" t="s">
        <v>10</v>
      </c>
      <c r="D1693" s="28" t="s">
        <v>648</v>
      </c>
      <c r="E1693" s="28"/>
      <c r="F1693" s="28">
        <v>24</v>
      </c>
      <c r="G1693" s="28" t="s">
        <v>122</v>
      </c>
      <c r="H1693" s="28">
        <v>0</v>
      </c>
      <c r="J1693" s="28"/>
    </row>
    <row r="1694" spans="1:10" ht="15.75" customHeight="1">
      <c r="A1694" s="28">
        <v>17821</v>
      </c>
      <c r="B1694" s="91">
        <v>44975.526030092587</v>
      </c>
      <c r="C1694" s="28" t="s">
        <v>10</v>
      </c>
      <c r="D1694" s="28" t="s">
        <v>656</v>
      </c>
      <c r="E1694" s="28"/>
      <c r="F1694" s="28">
        <v>25</v>
      </c>
      <c r="G1694" s="28">
        <v>100692</v>
      </c>
      <c r="H1694" s="28">
        <v>0</v>
      </c>
      <c r="J1694" s="28"/>
    </row>
    <row r="1695" spans="1:10" ht="15.75" customHeight="1">
      <c r="A1695" s="28">
        <v>17821</v>
      </c>
      <c r="B1695" s="91">
        <v>44975.526030092587</v>
      </c>
      <c r="C1695" s="28" t="s">
        <v>10</v>
      </c>
      <c r="D1695" s="28" t="s">
        <v>656</v>
      </c>
      <c r="E1695" s="28"/>
      <c r="F1695" s="28">
        <v>0</v>
      </c>
      <c r="G1695" s="28" t="s">
        <v>125</v>
      </c>
      <c r="H1695" s="28">
        <v>0</v>
      </c>
      <c r="J1695" s="28"/>
    </row>
    <row r="1696" spans="1:10" ht="15.75" customHeight="1">
      <c r="A1696" s="28">
        <v>17821</v>
      </c>
      <c r="B1696" s="91">
        <v>44975.526030092587</v>
      </c>
      <c r="C1696" s="28" t="s">
        <v>10</v>
      </c>
      <c r="D1696" s="28" t="s">
        <v>656</v>
      </c>
      <c r="E1696" s="28"/>
      <c r="F1696" s="28">
        <v>0</v>
      </c>
      <c r="G1696" s="28" t="s">
        <v>119</v>
      </c>
      <c r="H1696" s="28">
        <v>0</v>
      </c>
      <c r="J1696" s="28"/>
    </row>
    <row r="1697" spans="1:10" ht="15.75" customHeight="1">
      <c r="A1697" s="28">
        <v>17822</v>
      </c>
      <c r="B1697" s="91">
        <v>44975.537974537037</v>
      </c>
      <c r="C1697" s="28" t="s">
        <v>10</v>
      </c>
      <c r="D1697" s="28" t="s">
        <v>988</v>
      </c>
      <c r="E1697" s="28"/>
      <c r="F1697" s="28">
        <v>25</v>
      </c>
      <c r="G1697" s="28">
        <v>100692</v>
      </c>
      <c r="H1697" s="28">
        <v>0</v>
      </c>
      <c r="J1697" s="28"/>
    </row>
    <row r="1698" spans="1:10" ht="15.75" customHeight="1">
      <c r="A1698" s="28">
        <v>17822</v>
      </c>
      <c r="B1698" s="91">
        <v>44975.537974537037</v>
      </c>
      <c r="C1698" s="28" t="s">
        <v>10</v>
      </c>
      <c r="D1698" s="28" t="s">
        <v>988</v>
      </c>
      <c r="E1698" s="28"/>
      <c r="F1698" s="28">
        <v>0</v>
      </c>
      <c r="G1698" s="28" t="s">
        <v>125</v>
      </c>
      <c r="H1698" s="28">
        <v>0</v>
      </c>
      <c r="J1698" s="28"/>
    </row>
    <row r="1699" spans="1:10" ht="15.75" customHeight="1">
      <c r="A1699" s="28">
        <v>17822</v>
      </c>
      <c r="B1699" s="91">
        <v>44975.537974537037</v>
      </c>
      <c r="C1699" s="28" t="s">
        <v>10</v>
      </c>
      <c r="D1699" s="28" t="s">
        <v>988</v>
      </c>
      <c r="E1699" s="28"/>
      <c r="F1699" s="28">
        <v>0</v>
      </c>
      <c r="G1699" s="28" t="s">
        <v>119</v>
      </c>
      <c r="H1699" s="28">
        <v>0</v>
      </c>
      <c r="J1699" s="28"/>
    </row>
    <row r="1700" spans="1:10" ht="15.75" customHeight="1">
      <c r="A1700" s="28">
        <v>17823</v>
      </c>
      <c r="B1700" s="91">
        <v>44975.539097222223</v>
      </c>
      <c r="C1700" s="28" t="s">
        <v>10</v>
      </c>
      <c r="D1700" s="28" t="s">
        <v>987</v>
      </c>
      <c r="E1700" s="28"/>
      <c r="F1700" s="28">
        <v>25</v>
      </c>
      <c r="G1700" s="28" t="s">
        <v>120</v>
      </c>
      <c r="H1700" s="28">
        <v>0</v>
      </c>
      <c r="J1700" s="28"/>
    </row>
    <row r="1701" spans="1:10" ht="15.75" customHeight="1">
      <c r="A1701" s="28">
        <v>17824</v>
      </c>
      <c r="B1701" s="91">
        <v>44975.557812500003</v>
      </c>
      <c r="C1701" s="28" t="s">
        <v>10</v>
      </c>
      <c r="D1701" s="28" t="s">
        <v>986</v>
      </c>
      <c r="E1701" s="28"/>
      <c r="F1701" s="28">
        <v>0</v>
      </c>
      <c r="G1701" s="28" t="s">
        <v>139</v>
      </c>
      <c r="H1701" s="28">
        <v>0</v>
      </c>
      <c r="J1701" s="28"/>
    </row>
    <row r="1702" spans="1:10" ht="15.75" customHeight="1">
      <c r="A1702" s="28">
        <v>17824</v>
      </c>
      <c r="B1702" s="91">
        <v>44975.557812500003</v>
      </c>
      <c r="C1702" s="28" t="s">
        <v>10</v>
      </c>
      <c r="D1702" s="28" t="s">
        <v>986</v>
      </c>
      <c r="E1702" s="28"/>
      <c r="F1702" s="28">
        <v>25</v>
      </c>
      <c r="G1702" s="28">
        <v>100692</v>
      </c>
      <c r="H1702" s="28">
        <v>0</v>
      </c>
      <c r="J1702" s="28"/>
    </row>
    <row r="1703" spans="1:10" ht="15.75" customHeight="1">
      <c r="A1703" s="28">
        <v>17824</v>
      </c>
      <c r="B1703" s="91">
        <v>44975.557812500003</v>
      </c>
      <c r="C1703" s="28" t="s">
        <v>10</v>
      </c>
      <c r="D1703" s="28" t="s">
        <v>986</v>
      </c>
      <c r="E1703" s="28"/>
      <c r="F1703" s="28">
        <v>0</v>
      </c>
      <c r="G1703" s="28" t="s">
        <v>125</v>
      </c>
      <c r="H1703" s="28">
        <v>0</v>
      </c>
      <c r="J1703" s="28"/>
    </row>
    <row r="1704" spans="1:10" ht="15.75" customHeight="1">
      <c r="A1704" s="28">
        <v>17824</v>
      </c>
      <c r="B1704" s="91">
        <v>44975.557812500003</v>
      </c>
      <c r="C1704" s="28" t="s">
        <v>10</v>
      </c>
      <c r="D1704" s="28" t="s">
        <v>986</v>
      </c>
      <c r="E1704" s="28"/>
      <c r="F1704" s="28">
        <v>0</v>
      </c>
      <c r="G1704" s="28" t="s">
        <v>119</v>
      </c>
      <c r="H1704" s="28">
        <v>0</v>
      </c>
      <c r="J1704" s="28"/>
    </row>
    <row r="1705" spans="1:10" ht="15.75" customHeight="1">
      <c r="A1705" s="28">
        <v>17825</v>
      </c>
      <c r="B1705" s="91">
        <v>44975.575891203705</v>
      </c>
      <c r="C1705" s="28" t="s">
        <v>10</v>
      </c>
      <c r="D1705" s="28" t="s">
        <v>985</v>
      </c>
      <c r="E1705" s="28"/>
      <c r="F1705" s="28">
        <v>28</v>
      </c>
      <c r="G1705" s="28" t="s">
        <v>143</v>
      </c>
      <c r="H1705" s="28">
        <v>0</v>
      </c>
      <c r="J1705" s="28"/>
    </row>
    <row r="1706" spans="1:10" ht="15.75" customHeight="1">
      <c r="A1706" s="28">
        <v>17826</v>
      </c>
      <c r="B1706" s="91">
        <v>44975.580231481479</v>
      </c>
      <c r="C1706" s="28" t="s">
        <v>10</v>
      </c>
      <c r="D1706" s="28" t="s">
        <v>853</v>
      </c>
      <c r="E1706" s="28"/>
      <c r="F1706" s="28">
        <v>55</v>
      </c>
      <c r="G1706" s="28">
        <v>101684</v>
      </c>
      <c r="H1706" s="28">
        <v>0</v>
      </c>
      <c r="J1706" s="28"/>
    </row>
    <row r="1707" spans="1:10" ht="15.75" customHeight="1">
      <c r="A1707" s="28">
        <v>17826</v>
      </c>
      <c r="B1707" s="91">
        <v>44975.580231481479</v>
      </c>
      <c r="C1707" s="28" t="s">
        <v>10</v>
      </c>
      <c r="D1707" s="28" t="s">
        <v>853</v>
      </c>
      <c r="E1707" s="28"/>
      <c r="F1707" s="28">
        <v>0</v>
      </c>
      <c r="G1707" s="28" t="s">
        <v>118</v>
      </c>
      <c r="H1707" s="28">
        <v>0</v>
      </c>
      <c r="J1707" s="28"/>
    </row>
    <row r="1708" spans="1:10" ht="15.75" customHeight="1">
      <c r="A1708" s="28">
        <v>17826</v>
      </c>
      <c r="B1708" s="91">
        <v>44975.580231481479</v>
      </c>
      <c r="C1708" s="28" t="s">
        <v>10</v>
      </c>
      <c r="D1708" s="28" t="s">
        <v>853</v>
      </c>
      <c r="E1708" s="28"/>
      <c r="F1708" s="28">
        <v>0</v>
      </c>
      <c r="G1708" s="28" t="s">
        <v>119</v>
      </c>
      <c r="H1708" s="28">
        <v>0</v>
      </c>
      <c r="J1708" s="28"/>
    </row>
    <row r="1709" spans="1:10" ht="15.75" customHeight="1">
      <c r="A1709" s="28">
        <v>17826</v>
      </c>
      <c r="B1709" s="91">
        <v>44975.580231481479</v>
      </c>
      <c r="C1709" s="28" t="s">
        <v>10</v>
      </c>
      <c r="D1709" s="28" t="s">
        <v>853</v>
      </c>
      <c r="E1709" s="28"/>
      <c r="F1709" s="28">
        <v>0</v>
      </c>
      <c r="G1709" s="28" t="s">
        <v>120</v>
      </c>
      <c r="H1709" s="28">
        <v>0</v>
      </c>
      <c r="J1709" s="28"/>
    </row>
    <row r="1710" spans="1:10" ht="15.75" customHeight="1">
      <c r="A1710" s="28">
        <v>17826</v>
      </c>
      <c r="B1710" s="91">
        <v>44975.580231481479</v>
      </c>
      <c r="C1710" s="28" t="s">
        <v>10</v>
      </c>
      <c r="D1710" s="28" t="s">
        <v>853</v>
      </c>
      <c r="E1710" s="28"/>
      <c r="F1710" s="28">
        <v>0</v>
      </c>
      <c r="G1710" s="28" t="s">
        <v>121</v>
      </c>
      <c r="H1710" s="28">
        <v>0</v>
      </c>
      <c r="J1710" s="28"/>
    </row>
    <row r="1711" spans="1:10" ht="15.75" customHeight="1">
      <c r="A1711" s="28">
        <v>17827</v>
      </c>
      <c r="B1711" s="91">
        <v>44975.585787037038</v>
      </c>
      <c r="C1711" s="28" t="s">
        <v>10</v>
      </c>
      <c r="D1711" s="28" t="s">
        <v>984</v>
      </c>
      <c r="E1711" s="28"/>
      <c r="F1711" s="28">
        <v>30</v>
      </c>
      <c r="G1711" s="28" t="s">
        <v>125</v>
      </c>
      <c r="H1711" s="28">
        <v>0</v>
      </c>
      <c r="J1711" s="28"/>
    </row>
    <row r="1712" spans="1:10" ht="15.75" customHeight="1">
      <c r="A1712" s="28">
        <v>17828</v>
      </c>
      <c r="B1712" s="91">
        <v>44975.589409722219</v>
      </c>
      <c r="C1712" s="28" t="s">
        <v>10</v>
      </c>
      <c r="D1712" s="28" t="s">
        <v>983</v>
      </c>
      <c r="E1712" s="28"/>
      <c r="F1712" s="28">
        <v>55</v>
      </c>
      <c r="G1712" s="28">
        <v>101684</v>
      </c>
      <c r="H1712" s="28">
        <v>0</v>
      </c>
      <c r="J1712" s="28"/>
    </row>
    <row r="1713" spans="1:10" ht="15.75" customHeight="1">
      <c r="A1713" s="28">
        <v>17828</v>
      </c>
      <c r="B1713" s="91">
        <v>44975.589409722219</v>
      </c>
      <c r="C1713" s="28" t="s">
        <v>10</v>
      </c>
      <c r="D1713" s="28" t="s">
        <v>983</v>
      </c>
      <c r="E1713" s="28"/>
      <c r="F1713" s="28">
        <v>0</v>
      </c>
      <c r="G1713" s="28" t="s">
        <v>118</v>
      </c>
      <c r="H1713" s="28">
        <v>0</v>
      </c>
      <c r="J1713" s="28"/>
    </row>
    <row r="1714" spans="1:10" ht="15.75" customHeight="1">
      <c r="A1714" s="28">
        <v>17828</v>
      </c>
      <c r="B1714" s="91">
        <v>44975.589409722219</v>
      </c>
      <c r="C1714" s="28" t="s">
        <v>10</v>
      </c>
      <c r="D1714" s="28" t="s">
        <v>983</v>
      </c>
      <c r="E1714" s="28"/>
      <c r="F1714" s="28">
        <v>0</v>
      </c>
      <c r="G1714" s="28" t="s">
        <v>119</v>
      </c>
      <c r="H1714" s="28">
        <v>0</v>
      </c>
      <c r="J1714" s="28"/>
    </row>
    <row r="1715" spans="1:10" ht="15.75" customHeight="1">
      <c r="A1715" s="28">
        <v>17828</v>
      </c>
      <c r="B1715" s="91">
        <v>44975.589409722219</v>
      </c>
      <c r="C1715" s="28" t="s">
        <v>10</v>
      </c>
      <c r="D1715" s="28" t="s">
        <v>983</v>
      </c>
      <c r="E1715" s="28"/>
      <c r="F1715" s="28">
        <v>0</v>
      </c>
      <c r="G1715" s="28" t="s">
        <v>120</v>
      </c>
      <c r="H1715" s="28">
        <v>0</v>
      </c>
      <c r="J1715" s="28"/>
    </row>
    <row r="1716" spans="1:10" ht="15.75" customHeight="1">
      <c r="A1716" s="28">
        <v>17828</v>
      </c>
      <c r="B1716" s="91">
        <v>44975.589409722219</v>
      </c>
      <c r="C1716" s="28" t="s">
        <v>10</v>
      </c>
      <c r="D1716" s="28" t="s">
        <v>983</v>
      </c>
      <c r="E1716" s="28"/>
      <c r="F1716" s="28">
        <v>0</v>
      </c>
      <c r="G1716" s="28" t="s">
        <v>121</v>
      </c>
      <c r="H1716" s="28">
        <v>0</v>
      </c>
      <c r="J1716" s="28"/>
    </row>
    <row r="1717" spans="1:10" ht="15.75" customHeight="1">
      <c r="A1717" s="28">
        <v>17829</v>
      </c>
      <c r="B1717" s="91">
        <v>44975.592939814815</v>
      </c>
      <c r="C1717" s="28" t="s">
        <v>10</v>
      </c>
      <c r="D1717" s="28" t="s">
        <v>982</v>
      </c>
      <c r="E1717" s="28"/>
      <c r="F1717" s="28">
        <v>25</v>
      </c>
      <c r="G1717" s="28">
        <v>100692</v>
      </c>
      <c r="H1717" s="28">
        <v>0</v>
      </c>
      <c r="J1717" s="28"/>
    </row>
    <row r="1718" spans="1:10" ht="15.75" customHeight="1">
      <c r="A1718" s="28">
        <v>17829</v>
      </c>
      <c r="B1718" s="91">
        <v>44975.592939814815</v>
      </c>
      <c r="C1718" s="28" t="s">
        <v>10</v>
      </c>
      <c r="D1718" s="28" t="s">
        <v>982</v>
      </c>
      <c r="E1718" s="28"/>
      <c r="F1718" s="28">
        <v>0</v>
      </c>
      <c r="G1718" s="28" t="s">
        <v>125</v>
      </c>
      <c r="H1718" s="28">
        <v>0</v>
      </c>
      <c r="J1718" s="28"/>
    </row>
    <row r="1719" spans="1:10" ht="15.75" customHeight="1">
      <c r="A1719" s="28">
        <v>17829</v>
      </c>
      <c r="B1719" s="91">
        <v>44975.592939814815</v>
      </c>
      <c r="C1719" s="28" t="s">
        <v>10</v>
      </c>
      <c r="D1719" s="28" t="s">
        <v>982</v>
      </c>
      <c r="E1719" s="28"/>
      <c r="F1719" s="28">
        <v>0</v>
      </c>
      <c r="G1719" s="28" t="s">
        <v>119</v>
      </c>
      <c r="H1719" s="28">
        <v>0</v>
      </c>
      <c r="J1719" s="28"/>
    </row>
    <row r="1720" spans="1:10" ht="15.75" customHeight="1">
      <c r="A1720" s="28">
        <v>17830</v>
      </c>
      <c r="B1720" s="91">
        <v>44975.595023148147</v>
      </c>
      <c r="C1720" s="28" t="s">
        <v>10</v>
      </c>
      <c r="D1720" s="28" t="s">
        <v>981</v>
      </c>
      <c r="E1720" s="28"/>
      <c r="F1720" s="28">
        <v>22</v>
      </c>
      <c r="G1720" s="28" t="s">
        <v>137</v>
      </c>
      <c r="H1720" s="28">
        <v>0</v>
      </c>
      <c r="J1720" s="28"/>
    </row>
    <row r="1721" spans="1:10" ht="15.75" customHeight="1">
      <c r="A1721" s="28">
        <v>17831</v>
      </c>
      <c r="B1721" s="91">
        <v>44975.595219907409</v>
      </c>
      <c r="C1721" s="28" t="s">
        <v>10</v>
      </c>
      <c r="D1721" s="28" t="s">
        <v>980</v>
      </c>
      <c r="E1721" s="28"/>
      <c r="F1721" s="28">
        <v>25</v>
      </c>
      <c r="G1721" s="28">
        <v>100692</v>
      </c>
      <c r="H1721" s="28">
        <v>0</v>
      </c>
      <c r="J1721" s="28"/>
    </row>
    <row r="1722" spans="1:10" ht="15.75" customHeight="1">
      <c r="A1722" s="28">
        <v>17831</v>
      </c>
      <c r="B1722" s="91">
        <v>44975.595219907409</v>
      </c>
      <c r="C1722" s="28" t="s">
        <v>10</v>
      </c>
      <c r="D1722" s="28" t="s">
        <v>980</v>
      </c>
      <c r="E1722" s="28"/>
      <c r="F1722" s="28">
        <v>0</v>
      </c>
      <c r="G1722" s="28" t="s">
        <v>125</v>
      </c>
      <c r="H1722" s="28">
        <v>0</v>
      </c>
      <c r="J1722" s="28"/>
    </row>
    <row r="1723" spans="1:10" ht="15.75" customHeight="1">
      <c r="A1723" s="28">
        <v>17831</v>
      </c>
      <c r="B1723" s="91">
        <v>44975.595219907409</v>
      </c>
      <c r="C1723" s="28" t="s">
        <v>10</v>
      </c>
      <c r="D1723" s="28" t="s">
        <v>980</v>
      </c>
      <c r="E1723" s="28"/>
      <c r="F1723" s="28">
        <v>0</v>
      </c>
      <c r="G1723" s="28" t="s">
        <v>119</v>
      </c>
      <c r="H1723" s="28">
        <v>0</v>
      </c>
      <c r="J1723" s="28"/>
    </row>
    <row r="1724" spans="1:10" ht="15.75" customHeight="1">
      <c r="A1724" s="28">
        <v>17832</v>
      </c>
      <c r="B1724" s="91">
        <v>44975.597395833334</v>
      </c>
      <c r="C1724" s="28" t="s">
        <v>10</v>
      </c>
      <c r="D1724" s="28" t="s">
        <v>647</v>
      </c>
      <c r="E1724" s="28"/>
      <c r="F1724" s="28">
        <v>0</v>
      </c>
      <c r="G1724" s="28" t="s">
        <v>139</v>
      </c>
      <c r="H1724" s="28">
        <v>0</v>
      </c>
      <c r="J1724" s="28"/>
    </row>
    <row r="1725" spans="1:10" ht="15.75" customHeight="1">
      <c r="A1725" s="28">
        <v>17832</v>
      </c>
      <c r="B1725" s="91">
        <v>44975.597395833334</v>
      </c>
      <c r="C1725" s="28" t="s">
        <v>10</v>
      </c>
      <c r="D1725" s="28" t="s">
        <v>647</v>
      </c>
      <c r="E1725" s="28"/>
      <c r="F1725" s="28">
        <v>35</v>
      </c>
      <c r="G1725" s="28" t="s">
        <v>124</v>
      </c>
      <c r="H1725" s="28">
        <v>0</v>
      </c>
      <c r="J1725" s="28"/>
    </row>
    <row r="1726" spans="1:10" ht="15.75" customHeight="1">
      <c r="A1726" s="28">
        <v>17832</v>
      </c>
      <c r="B1726" s="91">
        <v>44975.597395833334</v>
      </c>
      <c r="C1726" s="28" t="s">
        <v>10</v>
      </c>
      <c r="D1726" s="28" t="s">
        <v>647</v>
      </c>
      <c r="E1726" s="28"/>
      <c r="F1726" s="28">
        <v>0</v>
      </c>
      <c r="G1726" s="28" t="s">
        <v>125</v>
      </c>
      <c r="H1726" s="28">
        <v>0</v>
      </c>
      <c r="J1726" s="28"/>
    </row>
    <row r="1727" spans="1:10" ht="15.75" customHeight="1">
      <c r="A1727" s="28">
        <v>17832</v>
      </c>
      <c r="B1727" s="91">
        <v>44975.597395833334</v>
      </c>
      <c r="C1727" s="28" t="s">
        <v>10</v>
      </c>
      <c r="D1727" s="28" t="s">
        <v>647</v>
      </c>
      <c r="E1727" s="28"/>
      <c r="F1727" s="28">
        <v>0</v>
      </c>
      <c r="G1727" s="28" t="s">
        <v>119</v>
      </c>
      <c r="H1727" s="28">
        <v>0</v>
      </c>
      <c r="J1727" s="28"/>
    </row>
    <row r="1728" spans="1:10" ht="15.75" customHeight="1">
      <c r="A1728" s="28">
        <v>17832</v>
      </c>
      <c r="B1728" s="91">
        <v>44975.597395833334</v>
      </c>
      <c r="C1728" s="28" t="s">
        <v>10</v>
      </c>
      <c r="D1728" s="28" t="s">
        <v>647</v>
      </c>
      <c r="E1728" s="28"/>
      <c r="F1728" s="28">
        <v>0</v>
      </c>
      <c r="G1728" s="28" t="s">
        <v>121</v>
      </c>
      <c r="H1728" s="28">
        <v>0</v>
      </c>
      <c r="J1728" s="28"/>
    </row>
    <row r="1729" spans="1:10" ht="15.75" customHeight="1">
      <c r="A1729" s="28">
        <v>17832</v>
      </c>
      <c r="B1729" s="91">
        <v>44975.597395833334</v>
      </c>
      <c r="C1729" s="28" t="s">
        <v>10</v>
      </c>
      <c r="D1729" s="28" t="s">
        <v>647</v>
      </c>
      <c r="E1729" s="28"/>
      <c r="F1729" s="28">
        <v>24</v>
      </c>
      <c r="G1729" s="28" t="s">
        <v>122</v>
      </c>
      <c r="H1729" s="28">
        <v>0</v>
      </c>
      <c r="J1729" s="28"/>
    </row>
    <row r="1730" spans="1:10" ht="15.75" customHeight="1">
      <c r="A1730" s="28">
        <v>17832</v>
      </c>
      <c r="B1730" s="91">
        <v>44975.597395833334</v>
      </c>
      <c r="C1730" s="28" t="s">
        <v>10</v>
      </c>
      <c r="D1730" s="28" t="s">
        <v>647</v>
      </c>
      <c r="E1730" s="28"/>
      <c r="F1730" s="28">
        <v>15</v>
      </c>
      <c r="G1730" s="28"/>
      <c r="H1730" s="28">
        <v>0</v>
      </c>
      <c r="J1730" s="28"/>
    </row>
    <row r="1731" spans="1:10" ht="15.75" customHeight="1">
      <c r="A1731" s="28">
        <v>17833</v>
      </c>
      <c r="B1731" s="91">
        <v>44975.607094907406</v>
      </c>
      <c r="C1731" s="28" t="s">
        <v>10</v>
      </c>
      <c r="D1731" s="28" t="s">
        <v>979</v>
      </c>
      <c r="E1731" s="28"/>
      <c r="F1731" s="28">
        <v>24</v>
      </c>
      <c r="G1731" s="28" t="s">
        <v>122</v>
      </c>
      <c r="H1731" s="28">
        <v>0</v>
      </c>
      <c r="J1731" s="28"/>
    </row>
    <row r="1732" spans="1:10" ht="15.75" customHeight="1">
      <c r="A1732" s="28">
        <v>17833</v>
      </c>
      <c r="B1732" s="91">
        <v>44975.607094907406</v>
      </c>
      <c r="C1732" s="28" t="s">
        <v>10</v>
      </c>
      <c r="D1732" s="28" t="s">
        <v>979</v>
      </c>
      <c r="E1732" s="28"/>
      <c r="F1732" s="28">
        <v>100</v>
      </c>
      <c r="G1732" s="28" t="s">
        <v>908</v>
      </c>
      <c r="H1732" s="28">
        <v>0</v>
      </c>
      <c r="J1732" s="28"/>
    </row>
    <row r="1733" spans="1:10" ht="15.75" customHeight="1">
      <c r="A1733" s="28">
        <v>17834</v>
      </c>
      <c r="B1733" s="91">
        <v>44975.609537037039</v>
      </c>
      <c r="C1733" s="28" t="s">
        <v>10</v>
      </c>
      <c r="D1733" s="28" t="s">
        <v>976</v>
      </c>
      <c r="E1733" s="28"/>
      <c r="F1733" s="28">
        <v>25</v>
      </c>
      <c r="G1733" s="28">
        <v>100692</v>
      </c>
      <c r="H1733" s="28">
        <v>0</v>
      </c>
      <c r="J1733" s="28"/>
    </row>
    <row r="1734" spans="1:10" ht="15.75" customHeight="1">
      <c r="A1734" s="28">
        <v>17834</v>
      </c>
      <c r="B1734" s="91">
        <v>44975.609537037039</v>
      </c>
      <c r="C1734" s="28" t="s">
        <v>10</v>
      </c>
      <c r="D1734" s="28" t="s">
        <v>976</v>
      </c>
      <c r="E1734" s="28"/>
      <c r="F1734" s="28">
        <v>0</v>
      </c>
      <c r="G1734" s="28" t="s">
        <v>125</v>
      </c>
      <c r="H1734" s="28">
        <v>0</v>
      </c>
      <c r="J1734" s="28"/>
    </row>
    <row r="1735" spans="1:10" ht="15.75" customHeight="1">
      <c r="A1735" s="28">
        <v>17834</v>
      </c>
      <c r="B1735" s="91">
        <v>44975.609537037039</v>
      </c>
      <c r="C1735" s="28" t="s">
        <v>10</v>
      </c>
      <c r="D1735" s="28" t="s">
        <v>976</v>
      </c>
      <c r="E1735" s="28"/>
      <c r="F1735" s="28">
        <v>0</v>
      </c>
      <c r="G1735" s="28" t="s">
        <v>119</v>
      </c>
      <c r="H1735" s="28">
        <v>0</v>
      </c>
      <c r="J1735" s="28"/>
    </row>
    <row r="1736" spans="1:10" ht="15.75" customHeight="1">
      <c r="A1736" s="28">
        <v>17835</v>
      </c>
      <c r="B1736" s="91">
        <v>44975.611030092594</v>
      </c>
      <c r="C1736" s="28" t="s">
        <v>10</v>
      </c>
      <c r="D1736" s="28" t="s">
        <v>978</v>
      </c>
      <c r="E1736" s="28"/>
      <c r="F1736" s="28">
        <v>20</v>
      </c>
      <c r="G1736" s="28" t="s">
        <v>148</v>
      </c>
      <c r="H1736" s="28">
        <v>0</v>
      </c>
      <c r="J1736" s="28"/>
    </row>
    <row r="1737" spans="1:10" ht="15.75" customHeight="1">
      <c r="A1737" s="28">
        <v>17836</v>
      </c>
      <c r="B1737" s="91">
        <v>44975.61518518519</v>
      </c>
      <c r="C1737" s="28" t="s">
        <v>10</v>
      </c>
      <c r="D1737" s="28" t="s">
        <v>977</v>
      </c>
      <c r="E1737" s="28"/>
      <c r="F1737" s="28">
        <v>36</v>
      </c>
      <c r="G1737" s="28" t="s">
        <v>119</v>
      </c>
      <c r="H1737" s="28">
        <v>0</v>
      </c>
      <c r="J1737" s="28"/>
    </row>
    <row r="1738" spans="1:10" ht="15.75" customHeight="1">
      <c r="A1738" s="28">
        <v>17837</v>
      </c>
      <c r="B1738" s="91">
        <v>44975.62799768518</v>
      </c>
      <c r="C1738" s="28" t="s">
        <v>10</v>
      </c>
      <c r="D1738" s="28" t="s">
        <v>863</v>
      </c>
      <c r="E1738" s="28"/>
      <c r="F1738" s="28">
        <v>55</v>
      </c>
      <c r="G1738" s="28">
        <v>101684</v>
      </c>
      <c r="H1738" s="28">
        <v>0</v>
      </c>
      <c r="J1738" s="28"/>
    </row>
    <row r="1739" spans="1:10" ht="15.75" customHeight="1">
      <c r="A1739" s="28">
        <v>17837</v>
      </c>
      <c r="B1739" s="91">
        <v>44975.62799768518</v>
      </c>
      <c r="C1739" s="28" t="s">
        <v>10</v>
      </c>
      <c r="D1739" s="28" t="s">
        <v>863</v>
      </c>
      <c r="E1739" s="28"/>
      <c r="F1739" s="28">
        <v>0</v>
      </c>
      <c r="G1739" s="28" t="s">
        <v>118</v>
      </c>
      <c r="H1739" s="28">
        <v>0</v>
      </c>
      <c r="J1739" s="28"/>
    </row>
    <row r="1740" spans="1:10" ht="15.75" customHeight="1">
      <c r="A1740" s="28">
        <v>17837</v>
      </c>
      <c r="B1740" s="91">
        <v>44975.62799768518</v>
      </c>
      <c r="C1740" s="28" t="s">
        <v>10</v>
      </c>
      <c r="D1740" s="28" t="s">
        <v>863</v>
      </c>
      <c r="E1740" s="28"/>
      <c r="F1740" s="28">
        <v>0</v>
      </c>
      <c r="G1740" s="28" t="s">
        <v>119</v>
      </c>
      <c r="H1740" s="28">
        <v>0</v>
      </c>
      <c r="J1740" s="28"/>
    </row>
    <row r="1741" spans="1:10" ht="15.75" customHeight="1">
      <c r="A1741" s="28">
        <v>17837</v>
      </c>
      <c r="B1741" s="91">
        <v>44975.62799768518</v>
      </c>
      <c r="C1741" s="28" t="s">
        <v>10</v>
      </c>
      <c r="D1741" s="28" t="s">
        <v>863</v>
      </c>
      <c r="E1741" s="28"/>
      <c r="F1741" s="28">
        <v>0</v>
      </c>
      <c r="G1741" s="28" t="s">
        <v>120</v>
      </c>
      <c r="H1741" s="28">
        <v>0</v>
      </c>
      <c r="J1741" s="28"/>
    </row>
    <row r="1742" spans="1:10" ht="15.75" customHeight="1">
      <c r="A1742" s="28">
        <v>17837</v>
      </c>
      <c r="B1742" s="91">
        <v>44975.62799768518</v>
      </c>
      <c r="C1742" s="28" t="s">
        <v>10</v>
      </c>
      <c r="D1742" s="28" t="s">
        <v>863</v>
      </c>
      <c r="E1742" s="28"/>
      <c r="F1742" s="28">
        <v>0</v>
      </c>
      <c r="G1742" s="28" t="s">
        <v>121</v>
      </c>
      <c r="H1742" s="28">
        <v>0</v>
      </c>
      <c r="J1742" s="28"/>
    </row>
    <row r="1743" spans="1:10" ht="15.75" customHeight="1">
      <c r="A1743" s="28">
        <v>17838</v>
      </c>
      <c r="B1743" s="91">
        <v>44975.628229166672</v>
      </c>
      <c r="C1743" s="28" t="s">
        <v>10</v>
      </c>
      <c r="D1743" s="28" t="s">
        <v>976</v>
      </c>
      <c r="E1743" s="28"/>
      <c r="F1743" s="28">
        <v>28</v>
      </c>
      <c r="G1743" s="28" t="s">
        <v>143</v>
      </c>
      <c r="H1743" s="28">
        <v>0</v>
      </c>
      <c r="J1743" s="28"/>
    </row>
    <row r="1744" spans="1:10" ht="15.75" customHeight="1">
      <c r="A1744" s="28">
        <v>17839</v>
      </c>
      <c r="B1744" s="91">
        <v>44975.646134259259</v>
      </c>
      <c r="C1744" s="28" t="s">
        <v>10</v>
      </c>
      <c r="D1744" s="28" t="s">
        <v>728</v>
      </c>
      <c r="E1744" s="28"/>
      <c r="F1744" s="28">
        <v>25</v>
      </c>
      <c r="G1744" s="28">
        <v>100692</v>
      </c>
      <c r="H1744" s="28">
        <v>0</v>
      </c>
      <c r="J1744" s="28"/>
    </row>
    <row r="1745" spans="1:10" ht="15.75" customHeight="1">
      <c r="A1745" s="28">
        <v>17839</v>
      </c>
      <c r="B1745" s="91">
        <v>44975.646134259259</v>
      </c>
      <c r="C1745" s="28" t="s">
        <v>10</v>
      </c>
      <c r="D1745" s="28" t="s">
        <v>728</v>
      </c>
      <c r="E1745" s="28"/>
      <c r="F1745" s="28">
        <v>0</v>
      </c>
      <c r="G1745" s="28" t="s">
        <v>125</v>
      </c>
      <c r="H1745" s="28">
        <v>0</v>
      </c>
      <c r="J1745" s="28"/>
    </row>
    <row r="1746" spans="1:10" ht="15.75" customHeight="1">
      <c r="A1746" s="28">
        <v>17839</v>
      </c>
      <c r="B1746" s="91">
        <v>44975.646134259259</v>
      </c>
      <c r="C1746" s="28" t="s">
        <v>10</v>
      </c>
      <c r="D1746" s="28" t="s">
        <v>728</v>
      </c>
      <c r="E1746" s="28"/>
      <c r="F1746" s="28">
        <v>0</v>
      </c>
      <c r="G1746" s="28" t="s">
        <v>119</v>
      </c>
      <c r="H1746" s="28">
        <v>0</v>
      </c>
      <c r="J1746" s="28"/>
    </row>
    <row r="1747" spans="1:10" ht="15.75" customHeight="1">
      <c r="A1747" s="28">
        <v>17839</v>
      </c>
      <c r="B1747" s="91">
        <v>44975.646134259259</v>
      </c>
      <c r="C1747" s="28" t="s">
        <v>10</v>
      </c>
      <c r="D1747" s="28" t="s">
        <v>728</v>
      </c>
      <c r="E1747" s="28"/>
      <c r="F1747" s="28">
        <v>35</v>
      </c>
      <c r="G1747" s="28" t="s">
        <v>124</v>
      </c>
      <c r="H1747" s="28">
        <v>0</v>
      </c>
      <c r="J1747" s="28"/>
    </row>
    <row r="1748" spans="1:10" ht="15.75" customHeight="1">
      <c r="A1748" s="28">
        <v>17839</v>
      </c>
      <c r="B1748" s="91">
        <v>44975.646134259259</v>
      </c>
      <c r="C1748" s="28" t="s">
        <v>10</v>
      </c>
      <c r="D1748" s="28" t="s">
        <v>728</v>
      </c>
      <c r="E1748" s="28"/>
      <c r="F1748" s="28">
        <v>0</v>
      </c>
      <c r="G1748" s="28" t="s">
        <v>125</v>
      </c>
      <c r="H1748" s="28">
        <v>0</v>
      </c>
      <c r="J1748" s="28"/>
    </row>
    <row r="1749" spans="1:10" ht="15.75" customHeight="1">
      <c r="A1749" s="28">
        <v>17839</v>
      </c>
      <c r="B1749" s="91">
        <v>44975.646134259259</v>
      </c>
      <c r="C1749" s="28" t="s">
        <v>10</v>
      </c>
      <c r="D1749" s="28" t="s">
        <v>728</v>
      </c>
      <c r="E1749" s="28"/>
      <c r="F1749" s="28">
        <v>0</v>
      </c>
      <c r="G1749" s="28" t="s">
        <v>119</v>
      </c>
      <c r="H1749" s="28">
        <v>0</v>
      </c>
      <c r="J1749" s="28"/>
    </row>
    <row r="1750" spans="1:10" ht="15.75" customHeight="1">
      <c r="A1750" s="28">
        <v>17839</v>
      </c>
      <c r="B1750" s="91">
        <v>44975.646134259259</v>
      </c>
      <c r="C1750" s="28" t="s">
        <v>10</v>
      </c>
      <c r="D1750" s="28" t="s">
        <v>728</v>
      </c>
      <c r="E1750" s="28"/>
      <c r="F1750" s="28">
        <v>0</v>
      </c>
      <c r="G1750" s="28" t="s">
        <v>121</v>
      </c>
      <c r="H1750" s="28">
        <v>0</v>
      </c>
      <c r="J1750" s="28"/>
    </row>
    <row r="1751" spans="1:10" ht="15.75" customHeight="1">
      <c r="A1751" s="28">
        <v>17840</v>
      </c>
      <c r="B1751" s="91">
        <v>44975.647256944445</v>
      </c>
      <c r="C1751" s="28" t="s">
        <v>10</v>
      </c>
      <c r="D1751" s="28" t="s">
        <v>923</v>
      </c>
      <c r="E1751" s="28"/>
      <c r="F1751" s="28">
        <v>28</v>
      </c>
      <c r="G1751" s="28" t="s">
        <v>143</v>
      </c>
      <c r="H1751" s="28">
        <v>0</v>
      </c>
      <c r="J1751" s="28"/>
    </row>
    <row r="1752" spans="1:10" ht="15.75" customHeight="1">
      <c r="A1752" s="28">
        <v>17841</v>
      </c>
      <c r="B1752" s="91">
        <v>44975.650393518517</v>
      </c>
      <c r="C1752" s="28" t="s">
        <v>10</v>
      </c>
      <c r="D1752" s="28" t="s">
        <v>699</v>
      </c>
      <c r="E1752" s="28"/>
      <c r="F1752" s="28">
        <v>28</v>
      </c>
      <c r="G1752" s="28" t="s">
        <v>143</v>
      </c>
      <c r="H1752" s="28">
        <v>0</v>
      </c>
      <c r="J1752" s="28"/>
    </row>
    <row r="1753" spans="1:10" ht="15.75" customHeight="1">
      <c r="A1753" s="28">
        <v>17842</v>
      </c>
      <c r="B1753" s="91">
        <v>44975.651655092588</v>
      </c>
      <c r="C1753" s="28" t="s">
        <v>10</v>
      </c>
      <c r="D1753" s="28" t="s">
        <v>475</v>
      </c>
      <c r="E1753" s="28"/>
      <c r="F1753" s="28">
        <v>25</v>
      </c>
      <c r="G1753" s="28" t="s">
        <v>120</v>
      </c>
      <c r="H1753" s="28">
        <v>0</v>
      </c>
      <c r="J1753" s="28"/>
    </row>
    <row r="1754" spans="1:10" ht="15.75" customHeight="1">
      <c r="A1754" s="28">
        <v>17843</v>
      </c>
      <c r="B1754" s="91">
        <v>44975.652673611112</v>
      </c>
      <c r="C1754" s="28" t="s">
        <v>10</v>
      </c>
      <c r="D1754" s="28" t="s">
        <v>700</v>
      </c>
      <c r="E1754" s="28"/>
      <c r="F1754" s="28">
        <v>28</v>
      </c>
      <c r="G1754" s="28" t="s">
        <v>143</v>
      </c>
      <c r="H1754" s="28">
        <v>0</v>
      </c>
      <c r="J1754" s="28"/>
    </row>
    <row r="1755" spans="1:10" ht="15.75" customHeight="1">
      <c r="A1755" s="28">
        <v>17844</v>
      </c>
      <c r="B1755" s="91">
        <v>44975.65829861111</v>
      </c>
      <c r="C1755" s="28" t="s">
        <v>10</v>
      </c>
      <c r="D1755" s="28" t="s">
        <v>975</v>
      </c>
      <c r="E1755" s="28"/>
      <c r="F1755" s="28">
        <v>10</v>
      </c>
      <c r="G1755" s="28" t="s">
        <v>334</v>
      </c>
      <c r="H1755" s="28">
        <v>0</v>
      </c>
      <c r="J1755" s="28"/>
    </row>
    <row r="1756" spans="1:10" ht="15.75" customHeight="1">
      <c r="A1756" s="28">
        <v>17844</v>
      </c>
      <c r="B1756" s="91">
        <v>44975.65829861111</v>
      </c>
      <c r="C1756" s="28" t="s">
        <v>10</v>
      </c>
      <c r="D1756" s="28" t="s">
        <v>975</v>
      </c>
      <c r="E1756" s="28"/>
      <c r="F1756" s="28">
        <v>35</v>
      </c>
      <c r="G1756" s="28" t="s">
        <v>124</v>
      </c>
      <c r="H1756" s="28">
        <v>0</v>
      </c>
      <c r="J1756" s="28"/>
    </row>
    <row r="1757" spans="1:10" ht="15.75" customHeight="1">
      <c r="A1757" s="28">
        <v>17844</v>
      </c>
      <c r="B1757" s="91">
        <v>44975.65829861111</v>
      </c>
      <c r="C1757" s="28" t="s">
        <v>10</v>
      </c>
      <c r="D1757" s="28" t="s">
        <v>975</v>
      </c>
      <c r="E1757" s="28"/>
      <c r="F1757" s="28">
        <v>0</v>
      </c>
      <c r="G1757" s="28" t="s">
        <v>125</v>
      </c>
      <c r="H1757" s="28">
        <v>0</v>
      </c>
      <c r="J1757" s="28"/>
    </row>
    <row r="1758" spans="1:10" ht="15.75" customHeight="1">
      <c r="A1758" s="28">
        <v>17844</v>
      </c>
      <c r="B1758" s="91">
        <v>44975.65829861111</v>
      </c>
      <c r="C1758" s="28" t="s">
        <v>10</v>
      </c>
      <c r="D1758" s="28" t="s">
        <v>975</v>
      </c>
      <c r="E1758" s="28"/>
      <c r="F1758" s="28">
        <v>0</v>
      </c>
      <c r="G1758" s="28" t="s">
        <v>119</v>
      </c>
      <c r="H1758" s="28">
        <v>0</v>
      </c>
      <c r="J1758" s="28"/>
    </row>
    <row r="1759" spans="1:10" ht="15.75" customHeight="1">
      <c r="A1759" s="28">
        <v>17844</v>
      </c>
      <c r="B1759" s="91">
        <v>44975.65829861111</v>
      </c>
      <c r="C1759" s="28" t="s">
        <v>10</v>
      </c>
      <c r="D1759" s="28" t="s">
        <v>975</v>
      </c>
      <c r="E1759" s="28"/>
      <c r="F1759" s="28">
        <v>0</v>
      </c>
      <c r="G1759" s="28" t="s">
        <v>121</v>
      </c>
      <c r="H1759" s="28">
        <v>0</v>
      </c>
      <c r="J1759" s="28"/>
    </row>
    <row r="1760" spans="1:10" ht="15.75" customHeight="1">
      <c r="A1760" s="28">
        <v>17845</v>
      </c>
      <c r="B1760" s="91">
        <v>44975.661944444444</v>
      </c>
      <c r="C1760" s="28" t="s">
        <v>10</v>
      </c>
      <c r="D1760" s="28" t="s">
        <v>974</v>
      </c>
      <c r="E1760" s="28"/>
      <c r="F1760" s="28">
        <v>28</v>
      </c>
      <c r="G1760" s="28" t="s">
        <v>143</v>
      </c>
      <c r="H1760" s="28">
        <v>0</v>
      </c>
      <c r="J1760" s="28"/>
    </row>
    <row r="1761" spans="1:10" ht="15.75" customHeight="1">
      <c r="A1761" s="28">
        <v>17846</v>
      </c>
      <c r="B1761" s="91">
        <v>44975.662893518514</v>
      </c>
      <c r="C1761" s="28" t="s">
        <v>10</v>
      </c>
      <c r="D1761" s="28" t="s">
        <v>973</v>
      </c>
      <c r="E1761" s="28"/>
      <c r="F1761" s="28">
        <v>25</v>
      </c>
      <c r="G1761" s="28">
        <v>100692</v>
      </c>
      <c r="H1761" s="28">
        <v>0</v>
      </c>
      <c r="J1761" s="28"/>
    </row>
    <row r="1762" spans="1:10" ht="15.75" customHeight="1">
      <c r="A1762" s="28">
        <v>17846</v>
      </c>
      <c r="B1762" s="91">
        <v>44975.662893518514</v>
      </c>
      <c r="C1762" s="28" t="s">
        <v>10</v>
      </c>
      <c r="D1762" s="28" t="s">
        <v>973</v>
      </c>
      <c r="E1762" s="28"/>
      <c r="F1762" s="28">
        <v>0</v>
      </c>
      <c r="G1762" s="28" t="s">
        <v>125</v>
      </c>
      <c r="H1762" s="28">
        <v>0</v>
      </c>
      <c r="J1762" s="28"/>
    </row>
    <row r="1763" spans="1:10" ht="15.75" customHeight="1">
      <c r="A1763" s="28">
        <v>17846</v>
      </c>
      <c r="B1763" s="91">
        <v>44975.662893518514</v>
      </c>
      <c r="C1763" s="28" t="s">
        <v>10</v>
      </c>
      <c r="D1763" s="28" t="s">
        <v>973</v>
      </c>
      <c r="E1763" s="28"/>
      <c r="F1763" s="28">
        <v>0</v>
      </c>
      <c r="G1763" s="28" t="s">
        <v>119</v>
      </c>
      <c r="H1763" s="28">
        <v>0</v>
      </c>
      <c r="J1763" s="28"/>
    </row>
    <row r="1764" spans="1:10" ht="15.75" customHeight="1">
      <c r="A1764" s="28">
        <v>17847</v>
      </c>
      <c r="B1764" s="91">
        <v>44975.670451388884</v>
      </c>
      <c r="C1764" s="28" t="s">
        <v>10</v>
      </c>
      <c r="D1764" s="28" t="s">
        <v>701</v>
      </c>
      <c r="E1764" s="28"/>
      <c r="F1764" s="28">
        <v>24</v>
      </c>
      <c r="G1764" s="28" t="s">
        <v>122</v>
      </c>
      <c r="H1764" s="28">
        <v>0</v>
      </c>
      <c r="J1764" s="28"/>
    </row>
    <row r="1765" spans="1:10" ht="15.75" customHeight="1">
      <c r="A1765" s="28">
        <v>17847</v>
      </c>
      <c r="B1765" s="91">
        <v>44975.670451388884</v>
      </c>
      <c r="C1765" s="28" t="s">
        <v>10</v>
      </c>
      <c r="D1765" s="28" t="s">
        <v>701</v>
      </c>
      <c r="E1765" s="28"/>
      <c r="F1765" s="28">
        <v>0</v>
      </c>
      <c r="G1765" s="28" t="s">
        <v>139</v>
      </c>
      <c r="H1765" s="28">
        <v>0</v>
      </c>
      <c r="J1765" s="28"/>
    </row>
    <row r="1766" spans="1:10" ht="15.75" customHeight="1">
      <c r="A1766" s="28">
        <v>17847</v>
      </c>
      <c r="B1766" s="91">
        <v>44975.670451388884</v>
      </c>
      <c r="C1766" s="28" t="s">
        <v>10</v>
      </c>
      <c r="D1766" s="28" t="s">
        <v>701</v>
      </c>
      <c r="E1766" s="28"/>
      <c r="F1766" s="28">
        <v>15</v>
      </c>
      <c r="G1766" s="28" t="s">
        <v>286</v>
      </c>
      <c r="H1766" s="28">
        <v>0</v>
      </c>
      <c r="J1766" s="28"/>
    </row>
    <row r="1767" spans="1:10" ht="15.75" customHeight="1">
      <c r="A1767" s="28">
        <v>17847</v>
      </c>
      <c r="B1767" s="91">
        <v>44975.670451388884</v>
      </c>
      <c r="C1767" s="28" t="s">
        <v>10</v>
      </c>
      <c r="D1767" s="28" t="s">
        <v>701</v>
      </c>
      <c r="E1767" s="28"/>
      <c r="F1767" s="28">
        <v>22</v>
      </c>
      <c r="G1767" s="28" t="s">
        <v>137</v>
      </c>
      <c r="H1767" s="28">
        <v>0</v>
      </c>
      <c r="J1767" s="28"/>
    </row>
    <row r="1768" spans="1:10" ht="15.75" customHeight="1">
      <c r="A1768" s="28">
        <v>17847</v>
      </c>
      <c r="B1768" s="91">
        <v>44975.670451388884</v>
      </c>
      <c r="C1768" s="28" t="s">
        <v>10</v>
      </c>
      <c r="D1768" s="28" t="s">
        <v>701</v>
      </c>
      <c r="E1768" s="28"/>
      <c r="F1768" s="28">
        <v>55</v>
      </c>
      <c r="G1768" s="28">
        <v>101684</v>
      </c>
      <c r="H1768" s="28">
        <v>0</v>
      </c>
      <c r="J1768" s="28"/>
    </row>
    <row r="1769" spans="1:10" ht="15.75" customHeight="1">
      <c r="A1769" s="28">
        <v>17847</v>
      </c>
      <c r="B1769" s="91">
        <v>44975.670451388884</v>
      </c>
      <c r="C1769" s="28" t="s">
        <v>10</v>
      </c>
      <c r="D1769" s="28" t="s">
        <v>701</v>
      </c>
      <c r="E1769" s="28"/>
      <c r="F1769" s="28">
        <v>0</v>
      </c>
      <c r="G1769" s="28" t="s">
        <v>118</v>
      </c>
      <c r="H1769" s="28">
        <v>0</v>
      </c>
      <c r="J1769" s="28"/>
    </row>
    <row r="1770" spans="1:10" ht="15.75" customHeight="1">
      <c r="A1770" s="28">
        <v>17847</v>
      </c>
      <c r="B1770" s="91">
        <v>44975.670451388884</v>
      </c>
      <c r="C1770" s="28" t="s">
        <v>10</v>
      </c>
      <c r="D1770" s="28" t="s">
        <v>701</v>
      </c>
      <c r="E1770" s="28"/>
      <c r="F1770" s="28">
        <v>0</v>
      </c>
      <c r="G1770" s="28" t="s">
        <v>119</v>
      </c>
      <c r="H1770" s="28">
        <v>0</v>
      </c>
      <c r="J1770" s="28"/>
    </row>
    <row r="1771" spans="1:10" ht="15.75" customHeight="1">
      <c r="A1771" s="28">
        <v>17847</v>
      </c>
      <c r="B1771" s="91">
        <v>44975.670451388884</v>
      </c>
      <c r="C1771" s="28" t="s">
        <v>10</v>
      </c>
      <c r="D1771" s="28" t="s">
        <v>701</v>
      </c>
      <c r="E1771" s="28"/>
      <c r="F1771" s="28">
        <v>0</v>
      </c>
      <c r="G1771" s="28" t="s">
        <v>120</v>
      </c>
      <c r="H1771" s="28">
        <v>0</v>
      </c>
      <c r="J1771" s="28"/>
    </row>
    <row r="1772" spans="1:10" ht="15.75" customHeight="1">
      <c r="A1772" s="28">
        <v>17847</v>
      </c>
      <c r="B1772" s="91">
        <v>44975.670451388884</v>
      </c>
      <c r="C1772" s="28" t="s">
        <v>10</v>
      </c>
      <c r="D1772" s="28" t="s">
        <v>701</v>
      </c>
      <c r="E1772" s="28"/>
      <c r="F1772" s="28">
        <v>0</v>
      </c>
      <c r="G1772" s="28" t="s">
        <v>121</v>
      </c>
      <c r="H1772" s="28">
        <v>0</v>
      </c>
      <c r="J1772" s="28"/>
    </row>
    <row r="1773" spans="1:10" ht="15.75" customHeight="1">
      <c r="A1773" s="28">
        <v>17848</v>
      </c>
      <c r="B1773" s="91">
        <v>44975.672037037039</v>
      </c>
      <c r="C1773" s="28" t="s">
        <v>10</v>
      </c>
      <c r="D1773" s="28" t="s">
        <v>807</v>
      </c>
      <c r="E1773" s="28"/>
      <c r="F1773" s="28">
        <v>55</v>
      </c>
      <c r="G1773" s="28">
        <v>101684</v>
      </c>
      <c r="H1773" s="28">
        <v>0</v>
      </c>
      <c r="J1773" s="28"/>
    </row>
    <row r="1774" spans="1:10" ht="15.75" customHeight="1">
      <c r="A1774" s="28">
        <v>17848</v>
      </c>
      <c r="B1774" s="91">
        <v>44975.672037037039</v>
      </c>
      <c r="C1774" s="28" t="s">
        <v>10</v>
      </c>
      <c r="D1774" s="28" t="s">
        <v>807</v>
      </c>
      <c r="E1774" s="28"/>
      <c r="F1774" s="28">
        <v>0</v>
      </c>
      <c r="G1774" s="28" t="s">
        <v>118</v>
      </c>
      <c r="H1774" s="28">
        <v>0</v>
      </c>
      <c r="J1774" s="28"/>
    </row>
    <row r="1775" spans="1:10" ht="15.75" customHeight="1">
      <c r="A1775" s="28">
        <v>17848</v>
      </c>
      <c r="B1775" s="91">
        <v>44975.672037037039</v>
      </c>
      <c r="C1775" s="28" t="s">
        <v>10</v>
      </c>
      <c r="D1775" s="28" t="s">
        <v>807</v>
      </c>
      <c r="E1775" s="28"/>
      <c r="F1775" s="28">
        <v>0</v>
      </c>
      <c r="G1775" s="28" t="s">
        <v>119</v>
      </c>
      <c r="H1775" s="28">
        <v>0</v>
      </c>
      <c r="J1775" s="28"/>
    </row>
    <row r="1776" spans="1:10" ht="15.75" customHeight="1">
      <c r="A1776" s="28">
        <v>17848</v>
      </c>
      <c r="B1776" s="91">
        <v>44975.672037037039</v>
      </c>
      <c r="C1776" s="28" t="s">
        <v>10</v>
      </c>
      <c r="D1776" s="28" t="s">
        <v>807</v>
      </c>
      <c r="E1776" s="28"/>
      <c r="F1776" s="28">
        <v>0</v>
      </c>
      <c r="G1776" s="28" t="s">
        <v>120</v>
      </c>
      <c r="H1776" s="28">
        <v>0</v>
      </c>
      <c r="J1776" s="28"/>
    </row>
    <row r="1777" spans="1:10" ht="15.75" customHeight="1">
      <c r="A1777" s="28">
        <v>17848</v>
      </c>
      <c r="B1777" s="91">
        <v>44975.672037037039</v>
      </c>
      <c r="C1777" s="28" t="s">
        <v>10</v>
      </c>
      <c r="D1777" s="28" t="s">
        <v>807</v>
      </c>
      <c r="E1777" s="28"/>
      <c r="F1777" s="28">
        <v>0</v>
      </c>
      <c r="G1777" s="28" t="s">
        <v>121</v>
      </c>
      <c r="H1777" s="28">
        <v>0</v>
      </c>
      <c r="J1777" s="28"/>
    </row>
    <row r="1778" spans="1:10" ht="15.75" customHeight="1">
      <c r="A1778" s="28">
        <v>17848</v>
      </c>
      <c r="B1778" s="91">
        <v>44975.672037037039</v>
      </c>
      <c r="C1778" s="28" t="s">
        <v>10</v>
      </c>
      <c r="D1778" s="28" t="s">
        <v>807</v>
      </c>
      <c r="E1778" s="28"/>
      <c r="F1778" s="28">
        <v>0</v>
      </c>
      <c r="G1778" s="28" t="s">
        <v>139</v>
      </c>
      <c r="H1778" s="28">
        <v>0</v>
      </c>
      <c r="J1778" s="28"/>
    </row>
    <row r="1779" spans="1:10" ht="15.75" customHeight="1">
      <c r="A1779" s="28">
        <v>17849</v>
      </c>
      <c r="B1779" s="91">
        <v>44975.679282407407</v>
      </c>
      <c r="C1779" s="28" t="s">
        <v>10</v>
      </c>
      <c r="D1779" s="28" t="s">
        <v>692</v>
      </c>
      <c r="E1779" s="28"/>
      <c r="F1779" s="28">
        <v>0</v>
      </c>
      <c r="G1779" s="28" t="s">
        <v>139</v>
      </c>
      <c r="H1779" s="28">
        <v>0</v>
      </c>
      <c r="J1779" s="28"/>
    </row>
    <row r="1780" spans="1:10" ht="15.75" customHeight="1">
      <c r="A1780" s="28">
        <v>17849</v>
      </c>
      <c r="B1780" s="91">
        <v>44975.679282407407</v>
      </c>
      <c r="C1780" s="28" t="s">
        <v>10</v>
      </c>
      <c r="D1780" s="28" t="s">
        <v>692</v>
      </c>
      <c r="E1780" s="28"/>
      <c r="F1780" s="28">
        <v>24</v>
      </c>
      <c r="G1780" s="28" t="s">
        <v>122</v>
      </c>
      <c r="H1780" s="28">
        <v>0</v>
      </c>
      <c r="J1780" s="28"/>
    </row>
    <row r="1781" spans="1:10" ht="15.75" customHeight="1">
      <c r="A1781" s="28">
        <v>17849</v>
      </c>
      <c r="B1781" s="91">
        <v>44975.679282407407</v>
      </c>
      <c r="C1781" s="28" t="s">
        <v>10</v>
      </c>
      <c r="D1781" s="28" t="s">
        <v>692</v>
      </c>
      <c r="E1781" s="28"/>
      <c r="F1781" s="28">
        <v>15</v>
      </c>
      <c r="G1781" s="28" t="s">
        <v>170</v>
      </c>
      <c r="H1781" s="28">
        <v>0</v>
      </c>
      <c r="J1781" s="28"/>
    </row>
    <row r="1782" spans="1:10" ht="15.75" customHeight="1">
      <c r="A1782" s="28">
        <v>17850</v>
      </c>
      <c r="B1782" s="91">
        <v>44975.683969907404</v>
      </c>
      <c r="C1782" s="28" t="s">
        <v>10</v>
      </c>
      <c r="D1782" s="28" t="s">
        <v>972</v>
      </c>
      <c r="E1782" s="28"/>
      <c r="F1782" s="28">
        <v>15</v>
      </c>
      <c r="G1782" s="28" t="s">
        <v>170</v>
      </c>
      <c r="H1782" s="28">
        <v>0</v>
      </c>
      <c r="J1782" s="28"/>
    </row>
    <row r="1783" spans="1:10" ht="15.75" customHeight="1">
      <c r="A1783" s="28">
        <v>17851</v>
      </c>
      <c r="B1783" s="91">
        <v>44975.696111111116</v>
      </c>
      <c r="C1783" s="28" t="s">
        <v>10</v>
      </c>
      <c r="D1783" s="28" t="s">
        <v>971</v>
      </c>
      <c r="E1783" s="28"/>
      <c r="F1783" s="28">
        <v>25</v>
      </c>
      <c r="G1783" s="28">
        <v>100692</v>
      </c>
      <c r="H1783" s="28">
        <v>0</v>
      </c>
      <c r="J1783" s="28"/>
    </row>
    <row r="1784" spans="1:10" ht="15.75" customHeight="1">
      <c r="A1784" s="28">
        <v>17851</v>
      </c>
      <c r="B1784" s="91">
        <v>44975.696111111116</v>
      </c>
      <c r="C1784" s="28" t="s">
        <v>10</v>
      </c>
      <c r="D1784" s="28" t="s">
        <v>971</v>
      </c>
      <c r="E1784" s="28"/>
      <c r="F1784" s="28">
        <v>0</v>
      </c>
      <c r="G1784" s="28" t="s">
        <v>125</v>
      </c>
      <c r="H1784" s="28">
        <v>0</v>
      </c>
      <c r="J1784" s="28"/>
    </row>
    <row r="1785" spans="1:10" ht="15.75" customHeight="1">
      <c r="A1785" s="28">
        <v>17851</v>
      </c>
      <c r="B1785" s="91">
        <v>44975.696111111116</v>
      </c>
      <c r="C1785" s="28" t="s">
        <v>10</v>
      </c>
      <c r="D1785" s="28" t="s">
        <v>971</v>
      </c>
      <c r="E1785" s="28"/>
      <c r="F1785" s="28">
        <v>0</v>
      </c>
      <c r="G1785" s="28" t="s">
        <v>119</v>
      </c>
      <c r="H1785" s="28">
        <v>0</v>
      </c>
      <c r="J1785" s="28"/>
    </row>
    <row r="1786" spans="1:10" ht="15.75" customHeight="1">
      <c r="A1786" s="28">
        <v>17851</v>
      </c>
      <c r="B1786" s="91">
        <v>44975.696111111116</v>
      </c>
      <c r="C1786" s="28" t="s">
        <v>10</v>
      </c>
      <c r="D1786" s="28" t="s">
        <v>971</v>
      </c>
      <c r="E1786" s="28"/>
      <c r="F1786" s="28">
        <v>22</v>
      </c>
      <c r="G1786" s="28" t="s">
        <v>137</v>
      </c>
      <c r="H1786" s="28">
        <v>0</v>
      </c>
      <c r="J1786" s="28"/>
    </row>
    <row r="1787" spans="1:10" ht="15.75" customHeight="1">
      <c r="A1787" s="28">
        <v>17852</v>
      </c>
      <c r="B1787" s="91">
        <v>44975.708969907406</v>
      </c>
      <c r="C1787" s="28" t="s">
        <v>10</v>
      </c>
      <c r="D1787" s="28" t="s">
        <v>726</v>
      </c>
      <c r="E1787" s="28"/>
      <c r="F1787" s="28">
        <v>25</v>
      </c>
      <c r="G1787" s="28">
        <v>100692</v>
      </c>
      <c r="H1787" s="28">
        <v>0</v>
      </c>
      <c r="J1787" s="28"/>
    </row>
    <row r="1788" spans="1:10" ht="15.75" customHeight="1">
      <c r="A1788" s="28">
        <v>17852</v>
      </c>
      <c r="B1788" s="91">
        <v>44975.708969907406</v>
      </c>
      <c r="C1788" s="28" t="s">
        <v>10</v>
      </c>
      <c r="D1788" s="28" t="s">
        <v>726</v>
      </c>
      <c r="E1788" s="28"/>
      <c r="F1788" s="28">
        <v>0</v>
      </c>
      <c r="G1788" s="28" t="s">
        <v>125</v>
      </c>
      <c r="H1788" s="28">
        <v>0</v>
      </c>
      <c r="J1788" s="28"/>
    </row>
    <row r="1789" spans="1:10" ht="15.75" customHeight="1">
      <c r="A1789" s="28">
        <v>17852</v>
      </c>
      <c r="B1789" s="91">
        <v>44975.708969907406</v>
      </c>
      <c r="C1789" s="28" t="s">
        <v>10</v>
      </c>
      <c r="D1789" s="28" t="s">
        <v>726</v>
      </c>
      <c r="E1789" s="28"/>
      <c r="F1789" s="28">
        <v>0</v>
      </c>
      <c r="G1789" s="28" t="s">
        <v>119</v>
      </c>
      <c r="H1789" s="28">
        <v>0</v>
      </c>
      <c r="J1789" s="28"/>
    </row>
    <row r="1790" spans="1:10" ht="15.75" customHeight="1">
      <c r="A1790" s="28">
        <v>17853</v>
      </c>
      <c r="B1790" s="91">
        <v>44975.710601851853</v>
      </c>
      <c r="C1790" s="28" t="s">
        <v>10</v>
      </c>
      <c r="D1790" s="28" t="s">
        <v>970</v>
      </c>
      <c r="E1790" s="28"/>
      <c r="F1790" s="28">
        <v>25</v>
      </c>
      <c r="G1790" s="28">
        <v>100692</v>
      </c>
      <c r="H1790" s="28">
        <v>0</v>
      </c>
      <c r="J1790" s="28"/>
    </row>
    <row r="1791" spans="1:10" ht="15.75" customHeight="1">
      <c r="A1791" s="28">
        <v>17853</v>
      </c>
      <c r="B1791" s="91">
        <v>44975.710601851853</v>
      </c>
      <c r="C1791" s="28" t="s">
        <v>10</v>
      </c>
      <c r="D1791" s="28" t="s">
        <v>970</v>
      </c>
      <c r="E1791" s="28"/>
      <c r="F1791" s="28">
        <v>0</v>
      </c>
      <c r="G1791" s="28" t="s">
        <v>125</v>
      </c>
      <c r="H1791" s="28">
        <v>0</v>
      </c>
      <c r="J1791" s="28"/>
    </row>
    <row r="1792" spans="1:10" ht="15.75" customHeight="1">
      <c r="A1792" s="28">
        <v>17853</v>
      </c>
      <c r="B1792" s="91">
        <v>44975.710601851853</v>
      </c>
      <c r="C1792" s="28" t="s">
        <v>10</v>
      </c>
      <c r="D1792" s="28" t="s">
        <v>970</v>
      </c>
      <c r="E1792" s="28"/>
      <c r="F1792" s="28">
        <v>0</v>
      </c>
      <c r="G1792" s="28" t="s">
        <v>119</v>
      </c>
      <c r="H1792" s="28">
        <v>0</v>
      </c>
      <c r="J1792" s="28"/>
    </row>
    <row r="1793" spans="1:10" ht="15.75" customHeight="1">
      <c r="A1793" s="28">
        <v>17854</v>
      </c>
      <c r="B1793" s="91">
        <v>44975.712627314817</v>
      </c>
      <c r="C1793" s="28" t="s">
        <v>10</v>
      </c>
      <c r="D1793" s="28" t="s">
        <v>969</v>
      </c>
      <c r="E1793" s="28"/>
      <c r="F1793" s="28">
        <v>30</v>
      </c>
      <c r="G1793" s="28" t="s">
        <v>128</v>
      </c>
      <c r="H1793" s="28">
        <v>0</v>
      </c>
      <c r="J1793" s="28"/>
    </row>
    <row r="1794" spans="1:10" ht="15.75" customHeight="1">
      <c r="A1794" s="28">
        <v>17854</v>
      </c>
      <c r="B1794" s="91">
        <v>44975.712627314817</v>
      </c>
      <c r="C1794" s="28" t="s">
        <v>10</v>
      </c>
      <c r="D1794" s="28" t="s">
        <v>969</v>
      </c>
      <c r="E1794" s="28"/>
      <c r="F1794" s="28">
        <v>0</v>
      </c>
      <c r="G1794" s="28" t="s">
        <v>125</v>
      </c>
      <c r="H1794" s="28">
        <v>0</v>
      </c>
      <c r="J1794" s="28"/>
    </row>
    <row r="1795" spans="1:10" ht="15.75" customHeight="1">
      <c r="A1795" s="28">
        <v>17854</v>
      </c>
      <c r="B1795" s="91">
        <v>44975.712627314817</v>
      </c>
      <c r="C1795" s="28" t="s">
        <v>10</v>
      </c>
      <c r="D1795" s="28" t="s">
        <v>969</v>
      </c>
      <c r="E1795" s="28"/>
      <c r="F1795" s="28">
        <v>0</v>
      </c>
      <c r="G1795" s="28" t="s">
        <v>119</v>
      </c>
      <c r="H1795" s="28">
        <v>0</v>
      </c>
      <c r="J1795" s="28"/>
    </row>
    <row r="1796" spans="1:10" ht="15.75" customHeight="1">
      <c r="A1796" s="28">
        <v>17855</v>
      </c>
      <c r="B1796" s="91">
        <v>44975.712789351848</v>
      </c>
      <c r="C1796" s="28" t="s">
        <v>10</v>
      </c>
      <c r="D1796" s="28" t="s">
        <v>968</v>
      </c>
      <c r="E1796" s="28"/>
      <c r="F1796" s="28">
        <v>0</v>
      </c>
      <c r="G1796" s="28" t="s">
        <v>139</v>
      </c>
      <c r="H1796" s="28">
        <v>0</v>
      </c>
      <c r="J1796" s="28"/>
    </row>
    <row r="1797" spans="1:10" ht="15.75" customHeight="1">
      <c r="A1797" s="28">
        <v>17855</v>
      </c>
      <c r="B1797" s="91">
        <v>44975.712789351848</v>
      </c>
      <c r="C1797" s="28" t="s">
        <v>10</v>
      </c>
      <c r="D1797" s="28" t="s">
        <v>968</v>
      </c>
      <c r="E1797" s="28"/>
      <c r="F1797" s="28">
        <v>25</v>
      </c>
      <c r="G1797" s="28">
        <v>100692</v>
      </c>
      <c r="H1797" s="28">
        <v>0</v>
      </c>
      <c r="J1797" s="28"/>
    </row>
    <row r="1798" spans="1:10" ht="15.75" customHeight="1">
      <c r="A1798" s="28">
        <v>17855</v>
      </c>
      <c r="B1798" s="91">
        <v>44975.712789351848</v>
      </c>
      <c r="C1798" s="28" t="s">
        <v>10</v>
      </c>
      <c r="D1798" s="28" t="s">
        <v>968</v>
      </c>
      <c r="E1798" s="28"/>
      <c r="F1798" s="28">
        <v>0</v>
      </c>
      <c r="G1798" s="28" t="s">
        <v>125</v>
      </c>
      <c r="H1798" s="28">
        <v>0</v>
      </c>
      <c r="J1798" s="28"/>
    </row>
    <row r="1799" spans="1:10" ht="15.75" customHeight="1">
      <c r="A1799" s="28">
        <v>17855</v>
      </c>
      <c r="B1799" s="91">
        <v>44975.712789351848</v>
      </c>
      <c r="C1799" s="28" t="s">
        <v>10</v>
      </c>
      <c r="D1799" s="28" t="s">
        <v>968</v>
      </c>
      <c r="E1799" s="28"/>
      <c r="F1799" s="28">
        <v>0</v>
      </c>
      <c r="G1799" s="28" t="s">
        <v>119</v>
      </c>
      <c r="H1799" s="28">
        <v>0</v>
      </c>
      <c r="J1799" s="28"/>
    </row>
    <row r="1800" spans="1:10" ht="15.75" customHeight="1">
      <c r="A1800" s="28">
        <v>17856</v>
      </c>
      <c r="B1800" s="91">
        <v>44975.716134259259</v>
      </c>
      <c r="C1800" s="28" t="s">
        <v>10</v>
      </c>
      <c r="D1800" s="28" t="s">
        <v>967</v>
      </c>
      <c r="E1800" s="28"/>
      <c r="F1800" s="28">
        <v>25</v>
      </c>
      <c r="G1800" s="28">
        <v>100692</v>
      </c>
      <c r="H1800" s="28">
        <v>0</v>
      </c>
      <c r="J1800" s="28"/>
    </row>
    <row r="1801" spans="1:10" ht="15.75" customHeight="1">
      <c r="A1801" s="28">
        <v>17856</v>
      </c>
      <c r="B1801" s="91">
        <v>44975.716134259259</v>
      </c>
      <c r="C1801" s="28" t="s">
        <v>10</v>
      </c>
      <c r="D1801" s="28" t="s">
        <v>967</v>
      </c>
      <c r="E1801" s="28"/>
      <c r="F1801" s="28">
        <v>0</v>
      </c>
      <c r="G1801" s="28" t="s">
        <v>125</v>
      </c>
      <c r="H1801" s="28">
        <v>0</v>
      </c>
      <c r="J1801" s="28"/>
    </row>
    <row r="1802" spans="1:10" ht="15.75" customHeight="1">
      <c r="A1802" s="28">
        <v>17856</v>
      </c>
      <c r="B1802" s="91">
        <v>44975.716134259259</v>
      </c>
      <c r="C1802" s="28" t="s">
        <v>10</v>
      </c>
      <c r="D1802" s="28" t="s">
        <v>967</v>
      </c>
      <c r="E1802" s="28"/>
      <c r="F1802" s="28">
        <v>0</v>
      </c>
      <c r="G1802" s="28" t="s">
        <v>119</v>
      </c>
      <c r="H1802" s="28">
        <v>0</v>
      </c>
      <c r="J1802" s="28"/>
    </row>
    <row r="1803" spans="1:10" ht="15.75" customHeight="1">
      <c r="A1803" s="28">
        <v>17857</v>
      </c>
      <c r="B1803" s="91">
        <v>44975.719768518524</v>
      </c>
      <c r="C1803" s="28" t="s">
        <v>10</v>
      </c>
      <c r="D1803" s="28" t="s">
        <v>966</v>
      </c>
      <c r="E1803" s="28"/>
      <c r="F1803" s="28">
        <v>24</v>
      </c>
      <c r="G1803" s="28" t="s">
        <v>122</v>
      </c>
      <c r="H1803" s="28">
        <v>0</v>
      </c>
      <c r="J1803" s="28"/>
    </row>
    <row r="1804" spans="1:10" ht="15.75" customHeight="1">
      <c r="A1804" s="28">
        <v>17858</v>
      </c>
      <c r="B1804" s="91">
        <v>44975.72010416667</v>
      </c>
      <c r="C1804" s="28" t="s">
        <v>10</v>
      </c>
      <c r="D1804" s="28" t="s">
        <v>965</v>
      </c>
      <c r="E1804" s="28"/>
      <c r="F1804" s="28">
        <v>0</v>
      </c>
      <c r="G1804" s="28" t="s">
        <v>139</v>
      </c>
      <c r="H1804" s="28">
        <v>0</v>
      </c>
      <c r="J1804" s="28"/>
    </row>
    <row r="1805" spans="1:10" ht="15.75" customHeight="1">
      <c r="A1805" s="28">
        <v>17858</v>
      </c>
      <c r="B1805" s="91">
        <v>44975.72010416667</v>
      </c>
      <c r="C1805" s="28" t="s">
        <v>10</v>
      </c>
      <c r="D1805" s="28" t="s">
        <v>965</v>
      </c>
      <c r="E1805" s="28"/>
      <c r="F1805" s="28">
        <v>15</v>
      </c>
      <c r="G1805" s="28" t="s">
        <v>125</v>
      </c>
      <c r="H1805" s="28">
        <v>0</v>
      </c>
      <c r="J1805" s="28"/>
    </row>
    <row r="1806" spans="1:10" ht="15.75" customHeight="1">
      <c r="A1806" s="28">
        <v>17859</v>
      </c>
      <c r="B1806" s="91">
        <v>44975.738877314812</v>
      </c>
      <c r="C1806" s="28" t="s">
        <v>10</v>
      </c>
      <c r="D1806" s="28" t="s">
        <v>964</v>
      </c>
      <c r="E1806" s="28"/>
      <c r="F1806" s="28">
        <v>18</v>
      </c>
      <c r="G1806" s="28" t="s">
        <v>119</v>
      </c>
      <c r="H1806" s="28">
        <v>0</v>
      </c>
      <c r="J1806" s="28"/>
    </row>
    <row r="1807" spans="1:10" ht="15.75" customHeight="1">
      <c r="A1807" s="28">
        <v>17859</v>
      </c>
      <c r="B1807" s="91">
        <v>44975.738877314812</v>
      </c>
      <c r="C1807" s="28" t="s">
        <v>10</v>
      </c>
      <c r="D1807" s="28" t="s">
        <v>964</v>
      </c>
      <c r="E1807" s="28"/>
      <c r="F1807" s="28">
        <v>0</v>
      </c>
      <c r="G1807" s="28" t="s">
        <v>139</v>
      </c>
      <c r="H1807" s="28">
        <v>0</v>
      </c>
      <c r="J1807" s="28"/>
    </row>
    <row r="1808" spans="1:10" ht="15.75" customHeight="1">
      <c r="A1808" s="28">
        <v>17860</v>
      </c>
      <c r="B1808" s="91">
        <v>44975.753599537042</v>
      </c>
      <c r="C1808" s="28" t="s">
        <v>10</v>
      </c>
      <c r="D1808" s="28" t="s">
        <v>963</v>
      </c>
      <c r="E1808" s="28"/>
      <c r="F1808" s="28">
        <v>24</v>
      </c>
      <c r="G1808" s="28" t="s">
        <v>122</v>
      </c>
      <c r="H1808" s="28">
        <v>0</v>
      </c>
      <c r="J1808" s="28"/>
    </row>
    <row r="1809" spans="1:10" ht="15.75" customHeight="1">
      <c r="A1809" s="28">
        <v>17860</v>
      </c>
      <c r="B1809" s="91">
        <v>44975.753599537042</v>
      </c>
      <c r="C1809" s="28" t="s">
        <v>10</v>
      </c>
      <c r="D1809" s="28" t="s">
        <v>963</v>
      </c>
      <c r="E1809" s="28"/>
      <c r="F1809" s="28">
        <v>25</v>
      </c>
      <c r="G1809" s="28">
        <v>100692</v>
      </c>
      <c r="H1809" s="28">
        <v>0</v>
      </c>
      <c r="J1809" s="28"/>
    </row>
    <row r="1810" spans="1:10" ht="15.75" customHeight="1">
      <c r="A1810" s="28">
        <v>17860</v>
      </c>
      <c r="B1810" s="91">
        <v>44975.753599537042</v>
      </c>
      <c r="C1810" s="28" t="s">
        <v>10</v>
      </c>
      <c r="D1810" s="28" t="s">
        <v>963</v>
      </c>
      <c r="E1810" s="28"/>
      <c r="F1810" s="28">
        <v>0</v>
      </c>
      <c r="G1810" s="28" t="s">
        <v>125</v>
      </c>
      <c r="H1810" s="28">
        <v>0</v>
      </c>
      <c r="J1810" s="28"/>
    </row>
    <row r="1811" spans="1:10" ht="15.75" customHeight="1">
      <c r="A1811" s="28">
        <v>17860</v>
      </c>
      <c r="B1811" s="91">
        <v>44975.753599537042</v>
      </c>
      <c r="C1811" s="28" t="s">
        <v>10</v>
      </c>
      <c r="D1811" s="28" t="s">
        <v>963</v>
      </c>
      <c r="E1811" s="28"/>
      <c r="F1811" s="28">
        <v>0</v>
      </c>
      <c r="G1811" s="28" t="s">
        <v>119</v>
      </c>
      <c r="H1811" s="28">
        <v>0</v>
      </c>
      <c r="J1811" s="28"/>
    </row>
    <row r="1812" spans="1:10" ht="15.75" customHeight="1">
      <c r="A1812" s="28">
        <v>17861</v>
      </c>
      <c r="B1812" s="91">
        <v>44975.759606481486</v>
      </c>
      <c r="C1812" s="28" t="s">
        <v>10</v>
      </c>
      <c r="D1812" s="28" t="s">
        <v>962</v>
      </c>
      <c r="E1812" s="28"/>
      <c r="F1812" s="28">
        <v>24</v>
      </c>
      <c r="G1812" s="28" t="s">
        <v>122</v>
      </c>
      <c r="H1812" s="28">
        <v>0</v>
      </c>
      <c r="J1812" s="28"/>
    </row>
    <row r="1813" spans="1:10" ht="15.75" customHeight="1">
      <c r="A1813" s="28">
        <v>17861</v>
      </c>
      <c r="B1813" s="91">
        <v>44975.759606481486</v>
      </c>
      <c r="C1813" s="28" t="s">
        <v>10</v>
      </c>
      <c r="D1813" s="28" t="s">
        <v>962</v>
      </c>
      <c r="E1813" s="28"/>
      <c r="F1813" s="28">
        <v>0</v>
      </c>
      <c r="G1813" s="28" t="s">
        <v>139</v>
      </c>
      <c r="H1813" s="28">
        <v>0</v>
      </c>
      <c r="J1813" s="28"/>
    </row>
    <row r="1814" spans="1:10" ht="15.75" customHeight="1">
      <c r="A1814" s="28">
        <v>17861</v>
      </c>
      <c r="B1814" s="91">
        <v>44975.759606481486</v>
      </c>
      <c r="C1814" s="28" t="s">
        <v>10</v>
      </c>
      <c r="D1814" s="28" t="s">
        <v>962</v>
      </c>
      <c r="E1814" s="28"/>
      <c r="F1814" s="28">
        <v>25</v>
      </c>
      <c r="G1814" s="28">
        <v>100692</v>
      </c>
      <c r="H1814" s="28">
        <v>0</v>
      </c>
      <c r="J1814" s="28"/>
    </row>
    <row r="1815" spans="1:10" ht="15.75" customHeight="1">
      <c r="A1815" s="28">
        <v>17861</v>
      </c>
      <c r="B1815" s="91">
        <v>44975.759606481486</v>
      </c>
      <c r="C1815" s="28" t="s">
        <v>10</v>
      </c>
      <c r="D1815" s="28" t="s">
        <v>962</v>
      </c>
      <c r="E1815" s="28"/>
      <c r="F1815" s="28">
        <v>0</v>
      </c>
      <c r="G1815" s="28" t="s">
        <v>125</v>
      </c>
      <c r="H1815" s="28">
        <v>0</v>
      </c>
      <c r="J1815" s="28"/>
    </row>
    <row r="1816" spans="1:10" ht="15.75" customHeight="1">
      <c r="A1816" s="28">
        <v>17861</v>
      </c>
      <c r="B1816" s="91">
        <v>44975.759606481486</v>
      </c>
      <c r="C1816" s="28" t="s">
        <v>10</v>
      </c>
      <c r="D1816" s="28" t="s">
        <v>962</v>
      </c>
      <c r="E1816" s="28"/>
      <c r="F1816" s="28">
        <v>0</v>
      </c>
      <c r="G1816" s="28" t="s">
        <v>119</v>
      </c>
      <c r="H1816" s="28">
        <v>0</v>
      </c>
      <c r="J1816" s="28"/>
    </row>
    <row r="1817" spans="1:10" ht="15.75" customHeight="1">
      <c r="A1817" s="28">
        <v>17862</v>
      </c>
      <c r="B1817" s="91">
        <v>44975.787175925929</v>
      </c>
      <c r="C1817" s="28" t="s">
        <v>10</v>
      </c>
      <c r="D1817" s="28" t="s">
        <v>961</v>
      </c>
      <c r="E1817" s="28"/>
      <c r="F1817" s="28">
        <v>24</v>
      </c>
      <c r="G1817" s="28" t="s">
        <v>122</v>
      </c>
      <c r="H1817" s="28">
        <v>0</v>
      </c>
      <c r="J1817" s="28"/>
    </row>
    <row r="1818" spans="1:10" ht="15.75" customHeight="1">
      <c r="A1818" s="28">
        <v>17863</v>
      </c>
      <c r="B1818" s="91">
        <v>44975.802245370374</v>
      </c>
      <c r="C1818" s="28" t="s">
        <v>10</v>
      </c>
      <c r="D1818" s="28" t="s">
        <v>960</v>
      </c>
      <c r="E1818" s="28"/>
      <c r="F1818" s="28">
        <v>35</v>
      </c>
      <c r="G1818" s="28" t="s">
        <v>124</v>
      </c>
      <c r="H1818" s="28">
        <v>0</v>
      </c>
      <c r="J1818" s="28"/>
    </row>
    <row r="1819" spans="1:10" ht="15.75" customHeight="1">
      <c r="A1819" s="28">
        <v>17863</v>
      </c>
      <c r="B1819" s="91">
        <v>44975.802245370374</v>
      </c>
      <c r="C1819" s="28" t="s">
        <v>10</v>
      </c>
      <c r="D1819" s="28" t="s">
        <v>960</v>
      </c>
      <c r="E1819" s="28"/>
      <c r="F1819" s="28">
        <v>0</v>
      </c>
      <c r="G1819" s="28" t="s">
        <v>125</v>
      </c>
      <c r="H1819" s="28">
        <v>0</v>
      </c>
      <c r="J1819" s="28"/>
    </row>
    <row r="1820" spans="1:10" ht="15.75" customHeight="1">
      <c r="A1820" s="28">
        <v>17863</v>
      </c>
      <c r="B1820" s="91">
        <v>44975.802245370374</v>
      </c>
      <c r="C1820" s="28" t="s">
        <v>10</v>
      </c>
      <c r="D1820" s="28" t="s">
        <v>960</v>
      </c>
      <c r="E1820" s="28"/>
      <c r="F1820" s="28">
        <v>0</v>
      </c>
      <c r="G1820" s="28" t="s">
        <v>119</v>
      </c>
      <c r="H1820" s="28">
        <v>0</v>
      </c>
      <c r="J1820" s="28"/>
    </row>
    <row r="1821" spans="1:10" ht="15.75" customHeight="1">
      <c r="A1821" s="28">
        <v>17863</v>
      </c>
      <c r="B1821" s="91">
        <v>44975.802245370374</v>
      </c>
      <c r="C1821" s="28" t="s">
        <v>10</v>
      </c>
      <c r="D1821" s="28" t="s">
        <v>960</v>
      </c>
      <c r="E1821" s="28"/>
      <c r="F1821" s="28">
        <v>0</v>
      </c>
      <c r="G1821" s="28" t="s">
        <v>121</v>
      </c>
      <c r="H1821" s="28">
        <v>0</v>
      </c>
      <c r="J1821" s="28"/>
    </row>
    <row r="1822" spans="1:10" ht="15.75" customHeight="1">
      <c r="A1822" s="28">
        <v>17864</v>
      </c>
      <c r="B1822" s="91">
        <v>44975.823553240742</v>
      </c>
      <c r="C1822" s="28" t="s">
        <v>10</v>
      </c>
      <c r="D1822" s="28" t="s">
        <v>959</v>
      </c>
      <c r="E1822" s="28"/>
      <c r="F1822" s="28">
        <v>56</v>
      </c>
      <c r="G1822" s="28" t="s">
        <v>143</v>
      </c>
      <c r="H1822" s="28">
        <v>0</v>
      </c>
      <c r="J1822" s="28"/>
    </row>
    <row r="1823" spans="1:10" ht="15.75" customHeight="1">
      <c r="A1823" s="28">
        <v>17864</v>
      </c>
      <c r="B1823" s="91">
        <v>44975.823553240742</v>
      </c>
      <c r="C1823" s="28" t="s">
        <v>10</v>
      </c>
      <c r="D1823" s="28" t="s">
        <v>959</v>
      </c>
      <c r="E1823" s="28"/>
      <c r="F1823" s="28">
        <v>24</v>
      </c>
      <c r="G1823" s="28" t="s">
        <v>122</v>
      </c>
      <c r="H1823" s="28">
        <v>0</v>
      </c>
      <c r="J1823" s="28"/>
    </row>
    <row r="1824" spans="1:10" ht="15.75" customHeight="1">
      <c r="A1824" s="28">
        <v>17864</v>
      </c>
      <c r="B1824" s="91">
        <v>44975.823553240742</v>
      </c>
      <c r="C1824" s="28" t="s">
        <v>10</v>
      </c>
      <c r="D1824" s="28" t="s">
        <v>959</v>
      </c>
      <c r="E1824" s="28"/>
      <c r="F1824" s="28">
        <v>0</v>
      </c>
      <c r="G1824" s="28" t="s">
        <v>139</v>
      </c>
      <c r="H1824" s="28">
        <v>0</v>
      </c>
      <c r="J1824" s="28"/>
    </row>
    <row r="1825" spans="1:10" ht="15.75" customHeight="1">
      <c r="A1825" s="28">
        <v>17865</v>
      </c>
      <c r="B1825" s="91">
        <v>44975.828460648147</v>
      </c>
      <c r="C1825" s="28" t="s">
        <v>10</v>
      </c>
      <c r="D1825" s="28" t="s">
        <v>818</v>
      </c>
      <c r="E1825" s="28"/>
      <c r="F1825" s="28">
        <v>15</v>
      </c>
      <c r="G1825" s="28"/>
      <c r="H1825" s="28">
        <v>0</v>
      </c>
      <c r="J1825" s="28"/>
    </row>
    <row r="1826" spans="1:10" ht="15.75" customHeight="1">
      <c r="A1826" s="28">
        <v>17865</v>
      </c>
      <c r="B1826" s="91">
        <v>44975.828460648147</v>
      </c>
      <c r="C1826" s="28" t="s">
        <v>10</v>
      </c>
      <c r="D1826" s="28" t="s">
        <v>818</v>
      </c>
      <c r="E1826" s="28"/>
      <c r="F1826" s="28">
        <v>28</v>
      </c>
      <c r="G1826" s="28" t="s">
        <v>143</v>
      </c>
      <c r="H1826" s="28">
        <v>0</v>
      </c>
      <c r="J1826" s="28"/>
    </row>
    <row r="1827" spans="1:10" ht="15.75" customHeight="1">
      <c r="A1827" s="28">
        <v>17865</v>
      </c>
      <c r="B1827" s="91">
        <v>44975.828460648147</v>
      </c>
      <c r="C1827" s="28" t="s">
        <v>10</v>
      </c>
      <c r="D1827" s="28" t="s">
        <v>818</v>
      </c>
      <c r="E1827" s="28"/>
      <c r="F1827" s="28">
        <v>0</v>
      </c>
      <c r="G1827" s="28" t="s">
        <v>139</v>
      </c>
      <c r="H1827" s="28">
        <v>0</v>
      </c>
      <c r="J1827" s="28"/>
    </row>
    <row r="1828" spans="1:10" ht="15.75" customHeight="1">
      <c r="A1828" s="28">
        <v>17866</v>
      </c>
      <c r="B1828" s="91">
        <v>44975.850891203707</v>
      </c>
      <c r="C1828" s="28" t="s">
        <v>10</v>
      </c>
      <c r="D1828" s="28" t="s">
        <v>958</v>
      </c>
      <c r="E1828" s="28"/>
      <c r="F1828" s="28">
        <v>18</v>
      </c>
      <c r="G1828" s="28" t="s">
        <v>457</v>
      </c>
      <c r="H1828" s="28">
        <v>0</v>
      </c>
      <c r="J1828" s="28"/>
    </row>
    <row r="1829" spans="1:10" ht="15.75" customHeight="1">
      <c r="A1829" s="28">
        <v>17867</v>
      </c>
      <c r="B1829" s="91">
        <v>44975.855023148149</v>
      </c>
      <c r="C1829" s="28" t="s">
        <v>10</v>
      </c>
      <c r="D1829" s="28" t="s">
        <v>782</v>
      </c>
      <c r="E1829" s="28"/>
      <c r="F1829" s="28">
        <v>0</v>
      </c>
      <c r="G1829" s="28" t="s">
        <v>139</v>
      </c>
      <c r="H1829" s="28">
        <v>0</v>
      </c>
      <c r="J1829" s="28"/>
    </row>
    <row r="1830" spans="1:10" ht="15.75" customHeight="1">
      <c r="A1830" s="28">
        <v>17867</v>
      </c>
      <c r="B1830" s="91">
        <v>44975.855023148149</v>
      </c>
      <c r="C1830" s="28" t="s">
        <v>10</v>
      </c>
      <c r="D1830" s="28" t="s">
        <v>782</v>
      </c>
      <c r="E1830" s="28"/>
      <c r="F1830" s="28">
        <v>15</v>
      </c>
      <c r="G1830" s="28"/>
      <c r="H1830" s="28">
        <v>0</v>
      </c>
      <c r="J1830" s="28"/>
    </row>
    <row r="1831" spans="1:10" ht="15.75" customHeight="1">
      <c r="A1831" s="28">
        <v>17868</v>
      </c>
      <c r="B1831" s="91">
        <v>44975.856817129628</v>
      </c>
      <c r="C1831" s="28" t="s">
        <v>10</v>
      </c>
      <c r="D1831" s="28" t="s">
        <v>957</v>
      </c>
      <c r="E1831" s="28"/>
      <c r="F1831" s="28">
        <v>15</v>
      </c>
      <c r="G1831" s="28"/>
      <c r="H1831" s="28">
        <v>0</v>
      </c>
      <c r="J1831" s="28"/>
    </row>
    <row r="1832" spans="1:10" ht="15.75" customHeight="1">
      <c r="A1832" s="28">
        <v>17868</v>
      </c>
      <c r="B1832" s="91">
        <v>44975.856817129628</v>
      </c>
      <c r="C1832" s="28" t="s">
        <v>10</v>
      </c>
      <c r="D1832" s="28" t="s">
        <v>957</v>
      </c>
      <c r="E1832" s="28"/>
      <c r="F1832" s="28">
        <v>0</v>
      </c>
      <c r="G1832" s="28" t="s">
        <v>139</v>
      </c>
      <c r="H1832" s="28">
        <v>0</v>
      </c>
      <c r="J1832" s="28"/>
    </row>
    <row r="1833" spans="1:10" ht="15.75" customHeight="1">
      <c r="A1833" s="28">
        <v>17869</v>
      </c>
      <c r="B1833" s="91">
        <v>44975.858217592591</v>
      </c>
      <c r="C1833" s="28" t="s">
        <v>10</v>
      </c>
      <c r="D1833" s="28" t="s">
        <v>956</v>
      </c>
      <c r="E1833" s="28"/>
      <c r="F1833" s="28">
        <v>15</v>
      </c>
      <c r="G1833" s="28"/>
      <c r="H1833" s="28">
        <v>0</v>
      </c>
      <c r="J1833" s="28"/>
    </row>
    <row r="1834" spans="1:10" ht="15.75" customHeight="1">
      <c r="A1834" s="28">
        <v>17869</v>
      </c>
      <c r="B1834" s="91">
        <v>44975.858217592591</v>
      </c>
      <c r="C1834" s="28" t="s">
        <v>10</v>
      </c>
      <c r="D1834" s="28" t="s">
        <v>956</v>
      </c>
      <c r="E1834" s="28"/>
      <c r="F1834" s="28">
        <v>0</v>
      </c>
      <c r="G1834" s="28" t="s">
        <v>139</v>
      </c>
      <c r="H1834" s="28">
        <v>0</v>
      </c>
      <c r="J1834" s="28"/>
    </row>
    <row r="1835" spans="1:10" ht="15.75" customHeight="1">
      <c r="A1835" s="28">
        <v>17870</v>
      </c>
      <c r="B1835" s="91">
        <v>44975.903379629628</v>
      </c>
      <c r="C1835" s="28" t="s">
        <v>10</v>
      </c>
      <c r="D1835" s="28" t="s">
        <v>955</v>
      </c>
      <c r="E1835" s="28"/>
      <c r="F1835" s="28">
        <v>35</v>
      </c>
      <c r="G1835" s="28" t="s">
        <v>124</v>
      </c>
      <c r="H1835" s="28">
        <v>0</v>
      </c>
      <c r="J1835" s="28"/>
    </row>
    <row r="1836" spans="1:10" ht="15.75" customHeight="1">
      <c r="A1836" s="28">
        <v>17870</v>
      </c>
      <c r="B1836" s="91">
        <v>44975.903379629628</v>
      </c>
      <c r="C1836" s="28" t="s">
        <v>10</v>
      </c>
      <c r="D1836" s="28" t="s">
        <v>955</v>
      </c>
      <c r="E1836" s="28"/>
      <c r="F1836" s="28">
        <v>0</v>
      </c>
      <c r="G1836" s="28" t="s">
        <v>125</v>
      </c>
      <c r="H1836" s="28">
        <v>0</v>
      </c>
      <c r="J1836" s="28"/>
    </row>
    <row r="1837" spans="1:10" ht="15.75" customHeight="1">
      <c r="A1837" s="28">
        <v>17870</v>
      </c>
      <c r="B1837" s="91">
        <v>44975.903379629628</v>
      </c>
      <c r="C1837" s="28" t="s">
        <v>10</v>
      </c>
      <c r="D1837" s="28" t="s">
        <v>955</v>
      </c>
      <c r="E1837" s="28"/>
      <c r="F1837" s="28">
        <v>0</v>
      </c>
      <c r="G1837" s="28" t="s">
        <v>119</v>
      </c>
      <c r="H1837" s="28">
        <v>0</v>
      </c>
      <c r="J1837" s="28"/>
    </row>
    <row r="1838" spans="1:10" ht="15.75" customHeight="1">
      <c r="A1838" s="28">
        <v>17870</v>
      </c>
      <c r="B1838" s="91">
        <v>44975.903379629628</v>
      </c>
      <c r="C1838" s="28" t="s">
        <v>10</v>
      </c>
      <c r="D1838" s="28" t="s">
        <v>955</v>
      </c>
      <c r="E1838" s="28"/>
      <c r="F1838" s="28">
        <v>0</v>
      </c>
      <c r="G1838" s="28" t="s">
        <v>121</v>
      </c>
      <c r="H1838" s="28">
        <v>0</v>
      </c>
      <c r="J1838" s="28"/>
    </row>
    <row r="1839" spans="1:10" ht="15.75" customHeight="1">
      <c r="A1839" s="28">
        <v>17871</v>
      </c>
      <c r="B1839" s="91">
        <v>44975.942210648151</v>
      </c>
      <c r="C1839" s="28" t="s">
        <v>10</v>
      </c>
      <c r="D1839" s="28" t="s">
        <v>923</v>
      </c>
      <c r="E1839" s="28"/>
      <c r="F1839" s="28">
        <v>0</v>
      </c>
      <c r="G1839" s="28" t="s">
        <v>139</v>
      </c>
      <c r="H1839" s="28">
        <v>0</v>
      </c>
      <c r="J1839" s="28"/>
    </row>
    <row r="1840" spans="1:10" ht="15.75" customHeight="1">
      <c r="A1840" s="28">
        <v>17871</v>
      </c>
      <c r="B1840" s="91">
        <v>44975.942210648151</v>
      </c>
      <c r="C1840" s="28" t="s">
        <v>10</v>
      </c>
      <c r="D1840" s="28" t="s">
        <v>923</v>
      </c>
      <c r="E1840" s="28"/>
      <c r="F1840" s="28">
        <v>25</v>
      </c>
      <c r="G1840" s="28">
        <v>100692</v>
      </c>
      <c r="H1840" s="28">
        <v>0</v>
      </c>
      <c r="J1840" s="28"/>
    </row>
    <row r="1841" spans="1:10" ht="15.75" customHeight="1">
      <c r="A1841" s="28">
        <v>17871</v>
      </c>
      <c r="B1841" s="91">
        <v>44975.942210648151</v>
      </c>
      <c r="C1841" s="28" t="s">
        <v>10</v>
      </c>
      <c r="D1841" s="28" t="s">
        <v>923</v>
      </c>
      <c r="E1841" s="28"/>
      <c r="F1841" s="28">
        <v>0</v>
      </c>
      <c r="G1841" s="28" t="s">
        <v>125</v>
      </c>
      <c r="H1841" s="28">
        <v>0</v>
      </c>
      <c r="J1841" s="28"/>
    </row>
    <row r="1842" spans="1:10" ht="15.75" customHeight="1">
      <c r="A1842" s="28">
        <v>17871</v>
      </c>
      <c r="B1842" s="91">
        <v>44975.942210648151</v>
      </c>
      <c r="C1842" s="28" t="s">
        <v>10</v>
      </c>
      <c r="D1842" s="28" t="s">
        <v>923</v>
      </c>
      <c r="E1842" s="28"/>
      <c r="F1842" s="28">
        <v>0</v>
      </c>
      <c r="G1842" s="28" t="s">
        <v>119</v>
      </c>
      <c r="H1842" s="28">
        <v>0</v>
      </c>
      <c r="J1842" s="28"/>
    </row>
    <row r="1843" spans="1:10" ht="15.75" customHeight="1">
      <c r="A1843" s="28">
        <v>17872</v>
      </c>
      <c r="B1843" s="91">
        <v>44976.566759259258</v>
      </c>
      <c r="C1843" s="28" t="s">
        <v>10</v>
      </c>
      <c r="D1843" s="28" t="s">
        <v>954</v>
      </c>
      <c r="E1843" s="28"/>
      <c r="F1843" s="28">
        <v>28</v>
      </c>
      <c r="G1843" s="28" t="s">
        <v>143</v>
      </c>
      <c r="H1843" s="28">
        <v>0</v>
      </c>
      <c r="J1843" s="28"/>
    </row>
    <row r="1844" spans="1:10" ht="15.75" customHeight="1">
      <c r="A1844" s="28">
        <v>17872</v>
      </c>
      <c r="B1844" s="91">
        <v>44976.566759259258</v>
      </c>
      <c r="C1844" s="28" t="s">
        <v>10</v>
      </c>
      <c r="D1844" s="28" t="s">
        <v>954</v>
      </c>
      <c r="E1844" s="28"/>
      <c r="F1844" s="28">
        <v>20</v>
      </c>
      <c r="G1844" s="28" t="s">
        <v>148</v>
      </c>
      <c r="H1844" s="28">
        <v>0</v>
      </c>
      <c r="J1844" s="28"/>
    </row>
    <row r="1845" spans="1:10" ht="15.75" customHeight="1">
      <c r="A1845" s="28">
        <v>17873</v>
      </c>
      <c r="B1845" s="91">
        <v>44976.845162037032</v>
      </c>
      <c r="C1845" s="28" t="s">
        <v>10</v>
      </c>
      <c r="D1845" s="28" t="s">
        <v>953</v>
      </c>
      <c r="E1845" s="28"/>
      <c r="F1845" s="28">
        <v>30</v>
      </c>
      <c r="G1845" s="28" t="s">
        <v>128</v>
      </c>
      <c r="H1845" s="28">
        <v>0</v>
      </c>
      <c r="J1845" s="28"/>
    </row>
    <row r="1846" spans="1:10" ht="15.75" customHeight="1">
      <c r="A1846" s="28">
        <v>17873</v>
      </c>
      <c r="B1846" s="91">
        <v>44976.845162037032</v>
      </c>
      <c r="C1846" s="28" t="s">
        <v>10</v>
      </c>
      <c r="D1846" s="28" t="s">
        <v>953</v>
      </c>
      <c r="E1846" s="28"/>
      <c r="F1846" s="28">
        <v>0</v>
      </c>
      <c r="G1846" s="28" t="s">
        <v>125</v>
      </c>
      <c r="H1846" s="28">
        <v>0</v>
      </c>
      <c r="J1846" s="28"/>
    </row>
    <row r="1847" spans="1:10" ht="15.75" customHeight="1">
      <c r="A1847" s="28">
        <v>17873</v>
      </c>
      <c r="B1847" s="91">
        <v>44976.845162037032</v>
      </c>
      <c r="C1847" s="28" t="s">
        <v>10</v>
      </c>
      <c r="D1847" s="28" t="s">
        <v>953</v>
      </c>
      <c r="E1847" s="28"/>
      <c r="F1847" s="28">
        <v>0</v>
      </c>
      <c r="G1847" s="28" t="s">
        <v>119</v>
      </c>
      <c r="H1847" s="28">
        <v>0</v>
      </c>
      <c r="J1847" s="28"/>
    </row>
    <row r="1848" spans="1:10" ht="15.75" customHeight="1">
      <c r="A1848" s="28">
        <v>17874</v>
      </c>
      <c r="B1848" s="91">
        <v>44976.845405092594</v>
      </c>
      <c r="C1848" s="28" t="s">
        <v>10</v>
      </c>
      <c r="D1848" s="28" t="s">
        <v>952</v>
      </c>
      <c r="E1848" s="28"/>
      <c r="F1848" s="28">
        <v>18</v>
      </c>
      <c r="G1848" s="28" t="s">
        <v>119</v>
      </c>
      <c r="H1848" s="28">
        <v>0</v>
      </c>
      <c r="J1848" s="28"/>
    </row>
    <row r="1849" spans="1:10" ht="15.75" customHeight="1">
      <c r="A1849" s="28">
        <v>17874</v>
      </c>
      <c r="B1849" s="91">
        <v>44976.845405092594</v>
      </c>
      <c r="C1849" s="28" t="s">
        <v>10</v>
      </c>
      <c r="D1849" s="28" t="s">
        <v>952</v>
      </c>
      <c r="E1849" s="28"/>
      <c r="F1849" s="28">
        <v>0</v>
      </c>
      <c r="G1849" s="28" t="s">
        <v>139</v>
      </c>
      <c r="H1849" s="28">
        <v>0</v>
      </c>
      <c r="J1849" s="28"/>
    </row>
    <row r="1850" spans="1:10" ht="15.75" customHeight="1">
      <c r="A1850" s="28">
        <v>17874</v>
      </c>
      <c r="B1850" s="91">
        <v>44976.845405092594</v>
      </c>
      <c r="C1850" s="28" t="s">
        <v>10</v>
      </c>
      <c r="D1850" s="28" t="s">
        <v>952</v>
      </c>
      <c r="E1850" s="28"/>
      <c r="F1850" s="28">
        <v>28</v>
      </c>
      <c r="G1850" s="28" t="s">
        <v>143</v>
      </c>
      <c r="H1850" s="28">
        <v>0</v>
      </c>
      <c r="J1850" s="28"/>
    </row>
    <row r="1851" spans="1:10" ht="15.75" customHeight="1">
      <c r="A1851" s="28">
        <v>17923</v>
      </c>
      <c r="B1851" s="91">
        <v>44977.016134259262</v>
      </c>
      <c r="C1851" s="28" t="s">
        <v>10</v>
      </c>
      <c r="D1851" s="28" t="s">
        <v>951</v>
      </c>
      <c r="E1851" s="28"/>
      <c r="F1851" s="28">
        <v>20</v>
      </c>
      <c r="G1851" s="28" t="s">
        <v>205</v>
      </c>
      <c r="H1851" s="28">
        <v>0</v>
      </c>
      <c r="J1851" s="28"/>
    </row>
    <row r="1852" spans="1:10" ht="15.75" customHeight="1">
      <c r="A1852" s="28">
        <v>17923</v>
      </c>
      <c r="B1852" s="91">
        <v>44977.016134259262</v>
      </c>
      <c r="C1852" s="28" t="s">
        <v>10</v>
      </c>
      <c r="D1852" s="28" t="s">
        <v>951</v>
      </c>
      <c r="E1852" s="28"/>
      <c r="F1852" s="28">
        <v>0</v>
      </c>
      <c r="G1852" s="28" t="s">
        <v>125</v>
      </c>
      <c r="H1852" s="28">
        <v>0</v>
      </c>
      <c r="J1852" s="28"/>
    </row>
    <row r="1853" spans="1:10" ht="15.75" customHeight="1">
      <c r="A1853" s="28">
        <v>17923</v>
      </c>
      <c r="B1853" s="91">
        <v>44977.016134259262</v>
      </c>
      <c r="C1853" s="28" t="s">
        <v>10</v>
      </c>
      <c r="D1853" s="28" t="s">
        <v>951</v>
      </c>
      <c r="E1853" s="28"/>
      <c r="F1853" s="28">
        <v>24</v>
      </c>
      <c r="G1853" s="28" t="s">
        <v>122</v>
      </c>
      <c r="H1853" s="28">
        <v>0</v>
      </c>
      <c r="J1853" s="28"/>
    </row>
    <row r="1854" spans="1:10" ht="15.75" customHeight="1">
      <c r="A1854" s="28">
        <v>17923</v>
      </c>
      <c r="B1854" s="91">
        <v>44977.016134259262</v>
      </c>
      <c r="C1854" s="28" t="s">
        <v>10</v>
      </c>
      <c r="D1854" s="28" t="s">
        <v>951</v>
      </c>
      <c r="E1854" s="28"/>
      <c r="F1854" s="28">
        <v>24</v>
      </c>
      <c r="G1854" s="28" t="s">
        <v>122</v>
      </c>
      <c r="H1854" s="28">
        <v>0</v>
      </c>
      <c r="J1854" s="28"/>
    </row>
    <row r="1855" spans="1:10" ht="15.75" customHeight="1">
      <c r="A1855" s="28">
        <v>17923</v>
      </c>
      <c r="B1855" s="91">
        <v>44977.016134259262</v>
      </c>
      <c r="C1855" s="28" t="s">
        <v>10</v>
      </c>
      <c r="D1855" s="28" t="s">
        <v>951</v>
      </c>
      <c r="E1855" s="28"/>
      <c r="F1855" s="28">
        <v>0</v>
      </c>
      <c r="G1855" s="28" t="s">
        <v>139</v>
      </c>
      <c r="H1855" s="28">
        <v>0</v>
      </c>
      <c r="J1855" s="28"/>
    </row>
    <row r="1856" spans="1:10" ht="15.75" customHeight="1">
      <c r="A1856" s="28">
        <v>17949</v>
      </c>
      <c r="B1856" s="91">
        <v>44977.074432870373</v>
      </c>
      <c r="C1856" s="28" t="s">
        <v>10</v>
      </c>
      <c r="D1856" s="28" t="s">
        <v>950</v>
      </c>
      <c r="E1856" s="28"/>
      <c r="F1856" s="28">
        <v>24</v>
      </c>
      <c r="G1856" s="28" t="s">
        <v>122</v>
      </c>
      <c r="H1856" s="28">
        <v>0</v>
      </c>
      <c r="J1856" s="28"/>
    </row>
    <row r="1857" spans="1:10" ht="15.75" customHeight="1">
      <c r="A1857" s="28">
        <v>17953</v>
      </c>
      <c r="B1857" s="91">
        <v>44977.134699074071</v>
      </c>
      <c r="C1857" s="28" t="s">
        <v>10</v>
      </c>
      <c r="D1857" s="28" t="s">
        <v>949</v>
      </c>
      <c r="E1857" s="28"/>
      <c r="F1857" s="28">
        <v>24</v>
      </c>
      <c r="G1857" s="28" t="s">
        <v>122</v>
      </c>
      <c r="H1857" s="28">
        <v>0</v>
      </c>
      <c r="J1857" s="28"/>
    </row>
    <row r="1858" spans="1:10" ht="15.75" customHeight="1">
      <c r="A1858" s="28">
        <v>17954</v>
      </c>
      <c r="B1858" s="91">
        <v>44977.549108796295</v>
      </c>
      <c r="C1858" s="28" t="s">
        <v>10</v>
      </c>
      <c r="D1858" s="28" t="s">
        <v>948</v>
      </c>
      <c r="E1858" s="28"/>
      <c r="F1858" s="28">
        <v>18</v>
      </c>
      <c r="G1858" s="28" t="s">
        <v>119</v>
      </c>
      <c r="H1858" s="28">
        <v>0</v>
      </c>
      <c r="J1858" s="28"/>
    </row>
    <row r="1859" spans="1:10" ht="15.75" customHeight="1">
      <c r="A1859" s="28">
        <v>17955</v>
      </c>
      <c r="B1859" s="91">
        <v>44977.550474537042</v>
      </c>
      <c r="C1859" s="28" t="s">
        <v>10</v>
      </c>
      <c r="D1859" s="28" t="s">
        <v>947</v>
      </c>
      <c r="E1859" s="28"/>
      <c r="F1859" s="28">
        <v>18</v>
      </c>
      <c r="G1859" s="28" t="s">
        <v>119</v>
      </c>
      <c r="H1859" s="28">
        <v>0</v>
      </c>
      <c r="J1859" s="28"/>
    </row>
    <row r="1860" spans="1:10" ht="15.75" customHeight="1">
      <c r="A1860" s="28">
        <v>17956</v>
      </c>
      <c r="B1860" s="91">
        <v>44977.613923611112</v>
      </c>
      <c r="C1860" s="28" t="s">
        <v>10</v>
      </c>
      <c r="D1860" s="28" t="s">
        <v>946</v>
      </c>
      <c r="E1860" s="28"/>
      <c r="F1860" s="28">
        <v>0</v>
      </c>
      <c r="G1860" s="28" t="s">
        <v>139</v>
      </c>
      <c r="H1860" s="28">
        <v>0</v>
      </c>
      <c r="J1860" s="28"/>
    </row>
    <row r="1861" spans="1:10" ht="15.75" customHeight="1">
      <c r="A1861" s="28">
        <v>17956</v>
      </c>
      <c r="B1861" s="91">
        <v>44977.613923611112</v>
      </c>
      <c r="C1861" s="28" t="s">
        <v>10</v>
      </c>
      <c r="D1861" s="28" t="s">
        <v>946</v>
      </c>
      <c r="E1861" s="28"/>
      <c r="F1861" s="28">
        <v>35</v>
      </c>
      <c r="G1861" s="28" t="s">
        <v>124</v>
      </c>
      <c r="H1861" s="28">
        <v>0</v>
      </c>
      <c r="J1861" s="28"/>
    </row>
    <row r="1862" spans="1:10" ht="15.75" customHeight="1">
      <c r="A1862" s="28">
        <v>17956</v>
      </c>
      <c r="B1862" s="91">
        <v>44977.613923611112</v>
      </c>
      <c r="C1862" s="28" t="s">
        <v>10</v>
      </c>
      <c r="D1862" s="28" t="s">
        <v>946</v>
      </c>
      <c r="E1862" s="28"/>
      <c r="F1862" s="28">
        <v>0</v>
      </c>
      <c r="G1862" s="28" t="s">
        <v>125</v>
      </c>
      <c r="H1862" s="28">
        <v>0</v>
      </c>
      <c r="J1862" s="28"/>
    </row>
    <row r="1863" spans="1:10" ht="15.75" customHeight="1">
      <c r="A1863" s="28">
        <v>17956</v>
      </c>
      <c r="B1863" s="91">
        <v>44977.613923611112</v>
      </c>
      <c r="C1863" s="28" t="s">
        <v>10</v>
      </c>
      <c r="D1863" s="28" t="s">
        <v>946</v>
      </c>
      <c r="E1863" s="28"/>
      <c r="F1863" s="28">
        <v>0</v>
      </c>
      <c r="G1863" s="28" t="s">
        <v>119</v>
      </c>
      <c r="H1863" s="28">
        <v>0</v>
      </c>
      <c r="J1863" s="28"/>
    </row>
    <row r="1864" spans="1:10" ht="15.75" customHeight="1">
      <c r="A1864" s="28">
        <v>17956</v>
      </c>
      <c r="B1864" s="91">
        <v>44977.613923611112</v>
      </c>
      <c r="C1864" s="28" t="s">
        <v>10</v>
      </c>
      <c r="D1864" s="28" t="s">
        <v>946</v>
      </c>
      <c r="E1864" s="28"/>
      <c r="F1864" s="28">
        <v>0</v>
      </c>
      <c r="G1864" s="28" t="s">
        <v>121</v>
      </c>
      <c r="H1864" s="28">
        <v>0</v>
      </c>
      <c r="J1864" s="28"/>
    </row>
    <row r="1865" spans="1:10" ht="15.75" customHeight="1">
      <c r="A1865" s="28">
        <v>17956</v>
      </c>
      <c r="B1865" s="91">
        <v>44977.613923611112</v>
      </c>
      <c r="C1865" s="28" t="s">
        <v>10</v>
      </c>
      <c r="D1865" s="28" t="s">
        <v>946</v>
      </c>
      <c r="E1865" s="28"/>
      <c r="F1865" s="28">
        <v>22</v>
      </c>
      <c r="G1865" s="28" t="s">
        <v>137</v>
      </c>
      <c r="H1865" s="28">
        <v>0</v>
      </c>
      <c r="J1865" s="28"/>
    </row>
    <row r="1866" spans="1:10" ht="15.75" customHeight="1">
      <c r="A1866" s="28">
        <v>17992</v>
      </c>
      <c r="B1866" s="91">
        <v>44978.609965277778</v>
      </c>
      <c r="C1866" s="28" t="s">
        <v>10</v>
      </c>
      <c r="D1866" s="28" t="s">
        <v>945</v>
      </c>
      <c r="E1866" s="28"/>
      <c r="F1866" s="28">
        <v>0</v>
      </c>
      <c r="G1866" s="28" t="s">
        <v>139</v>
      </c>
      <c r="H1866" s="28">
        <v>0</v>
      </c>
      <c r="J1866" s="28"/>
    </row>
    <row r="1867" spans="1:10" ht="15.75" customHeight="1">
      <c r="A1867" s="28">
        <v>17992</v>
      </c>
      <c r="B1867" s="91">
        <v>44978.609965277778</v>
      </c>
      <c r="C1867" s="28" t="s">
        <v>10</v>
      </c>
      <c r="D1867" s="28" t="s">
        <v>945</v>
      </c>
      <c r="E1867" s="28"/>
      <c r="F1867" s="28">
        <v>24</v>
      </c>
      <c r="G1867" s="28" t="s">
        <v>122</v>
      </c>
      <c r="H1867" s="28">
        <v>0</v>
      </c>
      <c r="J1867" s="28"/>
    </row>
    <row r="1868" spans="1:10" ht="15.75" customHeight="1">
      <c r="A1868" s="28">
        <v>17992</v>
      </c>
      <c r="B1868" s="91">
        <v>44978.609965277778</v>
      </c>
      <c r="C1868" s="28" t="s">
        <v>10</v>
      </c>
      <c r="D1868" s="28" t="s">
        <v>945</v>
      </c>
      <c r="E1868" s="28"/>
      <c r="F1868" s="28">
        <v>55</v>
      </c>
      <c r="G1868" s="28">
        <v>101684</v>
      </c>
      <c r="H1868" s="28">
        <v>0</v>
      </c>
      <c r="J1868" s="28"/>
    </row>
    <row r="1869" spans="1:10" ht="15.75" customHeight="1">
      <c r="A1869" s="28">
        <v>17992</v>
      </c>
      <c r="B1869" s="91">
        <v>44978.609965277778</v>
      </c>
      <c r="C1869" s="28" t="s">
        <v>10</v>
      </c>
      <c r="D1869" s="28" t="s">
        <v>945</v>
      </c>
      <c r="E1869" s="28"/>
      <c r="F1869" s="28">
        <v>0</v>
      </c>
      <c r="G1869" s="28" t="s">
        <v>118</v>
      </c>
      <c r="H1869" s="28">
        <v>0</v>
      </c>
      <c r="J1869" s="28"/>
    </row>
    <row r="1870" spans="1:10" ht="15.75" customHeight="1">
      <c r="A1870" s="28">
        <v>17992</v>
      </c>
      <c r="B1870" s="91">
        <v>44978.609965277778</v>
      </c>
      <c r="C1870" s="28" t="s">
        <v>10</v>
      </c>
      <c r="D1870" s="28" t="s">
        <v>945</v>
      </c>
      <c r="E1870" s="28"/>
      <c r="F1870" s="28">
        <v>0</v>
      </c>
      <c r="G1870" s="28" t="s">
        <v>119</v>
      </c>
      <c r="H1870" s="28">
        <v>0</v>
      </c>
      <c r="J1870" s="28"/>
    </row>
    <row r="1871" spans="1:10" ht="15.75" customHeight="1">
      <c r="A1871" s="28">
        <v>17992</v>
      </c>
      <c r="B1871" s="91">
        <v>44978.609965277778</v>
      </c>
      <c r="C1871" s="28" t="s">
        <v>10</v>
      </c>
      <c r="D1871" s="28" t="s">
        <v>945</v>
      </c>
      <c r="E1871" s="28"/>
      <c r="F1871" s="28">
        <v>0</v>
      </c>
      <c r="G1871" s="28" t="s">
        <v>120</v>
      </c>
      <c r="H1871" s="28">
        <v>0</v>
      </c>
      <c r="J1871" s="28"/>
    </row>
    <row r="1872" spans="1:10" ht="15.75" customHeight="1">
      <c r="A1872" s="28">
        <v>17992</v>
      </c>
      <c r="B1872" s="91">
        <v>44978.609965277778</v>
      </c>
      <c r="C1872" s="28" t="s">
        <v>10</v>
      </c>
      <c r="D1872" s="28" t="s">
        <v>945</v>
      </c>
      <c r="E1872" s="28"/>
      <c r="F1872" s="28">
        <v>0</v>
      </c>
      <c r="G1872" s="28" t="s">
        <v>121</v>
      </c>
      <c r="H1872" s="28">
        <v>0</v>
      </c>
      <c r="J1872" s="28"/>
    </row>
    <row r="1873" spans="1:10" ht="15.75" customHeight="1">
      <c r="A1873" s="28">
        <v>17993</v>
      </c>
      <c r="B1873" s="91">
        <v>44978.694108796291</v>
      </c>
      <c r="C1873" s="28" t="s">
        <v>10</v>
      </c>
      <c r="D1873" s="28" t="s">
        <v>749</v>
      </c>
      <c r="E1873" s="28"/>
      <c r="F1873" s="28">
        <v>28</v>
      </c>
      <c r="G1873" s="28" t="s">
        <v>143</v>
      </c>
      <c r="H1873" s="28">
        <v>0</v>
      </c>
      <c r="J1873" s="28"/>
    </row>
    <row r="1874" spans="1:10" ht="15.75" customHeight="1">
      <c r="A1874" s="28">
        <v>17994</v>
      </c>
      <c r="B1874" s="91">
        <v>44979.629513888889</v>
      </c>
      <c r="C1874" s="28" t="s">
        <v>10</v>
      </c>
      <c r="D1874" s="28" t="s">
        <v>944</v>
      </c>
      <c r="E1874" s="28"/>
      <c r="F1874" s="28">
        <v>44</v>
      </c>
      <c r="G1874" s="28" t="s">
        <v>137</v>
      </c>
      <c r="H1874" s="28">
        <v>0</v>
      </c>
      <c r="J1874" s="28"/>
    </row>
    <row r="1875" spans="1:10" ht="15.75" customHeight="1">
      <c r="A1875" s="28">
        <v>17994</v>
      </c>
      <c r="B1875" s="91">
        <v>44979.629513888889</v>
      </c>
      <c r="C1875" s="28" t="s">
        <v>10</v>
      </c>
      <c r="D1875" s="28" t="s">
        <v>944</v>
      </c>
      <c r="E1875" s="28"/>
      <c r="F1875" s="28">
        <v>20</v>
      </c>
      <c r="G1875" s="28" t="s">
        <v>205</v>
      </c>
      <c r="H1875" s="28">
        <v>0</v>
      </c>
      <c r="J1875" s="28"/>
    </row>
    <row r="1876" spans="1:10" ht="15.75" customHeight="1">
      <c r="A1876" s="28">
        <v>17994</v>
      </c>
      <c r="B1876" s="91">
        <v>44979.629513888889</v>
      </c>
      <c r="C1876" s="28" t="s">
        <v>10</v>
      </c>
      <c r="D1876" s="28" t="s">
        <v>944</v>
      </c>
      <c r="E1876" s="28"/>
      <c r="F1876" s="28">
        <v>0</v>
      </c>
      <c r="G1876" s="28" t="s">
        <v>125</v>
      </c>
      <c r="H1876" s="28">
        <v>0</v>
      </c>
      <c r="J1876" s="28"/>
    </row>
    <row r="1877" spans="1:10" ht="15.75" customHeight="1">
      <c r="A1877" s="28">
        <v>17995</v>
      </c>
      <c r="B1877" s="91">
        <v>44979.806886574079</v>
      </c>
      <c r="C1877" s="28" t="s">
        <v>10</v>
      </c>
      <c r="D1877" s="28" t="s">
        <v>943</v>
      </c>
      <c r="E1877" s="28"/>
      <c r="F1877" s="28">
        <v>24</v>
      </c>
      <c r="G1877" s="28" t="s">
        <v>122</v>
      </c>
      <c r="H1877" s="28">
        <v>0</v>
      </c>
      <c r="J1877" s="28"/>
    </row>
    <row r="1878" spans="1:10" ht="15.75" customHeight="1">
      <c r="A1878" s="28">
        <v>17996</v>
      </c>
      <c r="B1878" s="91">
        <v>44980.137731481482</v>
      </c>
      <c r="C1878" s="28" t="s">
        <v>10</v>
      </c>
      <c r="D1878" s="28" t="s">
        <v>942</v>
      </c>
      <c r="E1878" s="28"/>
      <c r="F1878" s="28">
        <v>28</v>
      </c>
      <c r="G1878" s="28" t="s">
        <v>143</v>
      </c>
      <c r="H1878" s="28">
        <v>0</v>
      </c>
      <c r="J1878" s="28"/>
    </row>
    <row r="1879" spans="1:10" ht="15.75" customHeight="1">
      <c r="A1879" s="28">
        <v>17996</v>
      </c>
      <c r="B1879" s="91">
        <v>44980.137731481482</v>
      </c>
      <c r="C1879" s="28" t="s">
        <v>10</v>
      </c>
      <c r="D1879" s="28" t="s">
        <v>942</v>
      </c>
      <c r="E1879" s="28"/>
      <c r="F1879" s="28">
        <v>15</v>
      </c>
      <c r="G1879" s="28"/>
      <c r="H1879" s="28">
        <v>0</v>
      </c>
      <c r="J1879" s="28"/>
    </row>
    <row r="1880" spans="1:10" ht="15.75" customHeight="1">
      <c r="A1880" s="28">
        <v>17997</v>
      </c>
      <c r="B1880" s="91">
        <v>44981.906030092592</v>
      </c>
      <c r="C1880" s="28" t="s">
        <v>10</v>
      </c>
      <c r="D1880" s="28" t="s">
        <v>941</v>
      </c>
      <c r="E1880" s="28"/>
      <c r="F1880" s="28">
        <v>28</v>
      </c>
      <c r="G1880" s="28" t="s">
        <v>143</v>
      </c>
      <c r="H1880" s="28">
        <v>0</v>
      </c>
      <c r="J1880" s="28"/>
    </row>
    <row r="1881" spans="1:10" ht="15.75" customHeight="1">
      <c r="A1881" s="28">
        <v>17998</v>
      </c>
      <c r="B1881" s="91">
        <v>44982.081041666665</v>
      </c>
      <c r="C1881" s="28" t="s">
        <v>10</v>
      </c>
      <c r="D1881" s="28" t="s">
        <v>400</v>
      </c>
      <c r="E1881" s="28"/>
      <c r="F1881" s="28">
        <v>25</v>
      </c>
      <c r="G1881" s="28">
        <v>100692</v>
      </c>
      <c r="H1881" s="28">
        <v>0</v>
      </c>
      <c r="J1881" s="28"/>
    </row>
    <row r="1882" spans="1:10" ht="15.75" customHeight="1">
      <c r="A1882" s="28">
        <v>17998</v>
      </c>
      <c r="B1882" s="91">
        <v>44982.081041666665</v>
      </c>
      <c r="C1882" s="28" t="s">
        <v>10</v>
      </c>
      <c r="D1882" s="28" t="s">
        <v>400</v>
      </c>
      <c r="E1882" s="28"/>
      <c r="F1882" s="28">
        <v>0</v>
      </c>
      <c r="G1882" s="28" t="s">
        <v>125</v>
      </c>
      <c r="H1882" s="28">
        <v>0</v>
      </c>
      <c r="J1882" s="28"/>
    </row>
    <row r="1883" spans="1:10" ht="15.75" customHeight="1">
      <c r="A1883" s="28">
        <v>17998</v>
      </c>
      <c r="B1883" s="91">
        <v>44982.081041666665</v>
      </c>
      <c r="C1883" s="28" t="s">
        <v>10</v>
      </c>
      <c r="D1883" s="28" t="s">
        <v>400</v>
      </c>
      <c r="E1883" s="28"/>
      <c r="F1883" s="28">
        <v>0</v>
      </c>
      <c r="G1883" s="28" t="s">
        <v>119</v>
      </c>
      <c r="H1883" s="28">
        <v>0</v>
      </c>
      <c r="J1883" s="28"/>
    </row>
    <row r="1884" spans="1:10" ht="15.75" customHeight="1">
      <c r="A1884" s="28">
        <v>17998</v>
      </c>
      <c r="B1884" s="91">
        <v>44982.081041666665</v>
      </c>
      <c r="C1884" s="28" t="s">
        <v>10</v>
      </c>
      <c r="D1884" s="28" t="s">
        <v>400</v>
      </c>
      <c r="E1884" s="28"/>
      <c r="F1884" s="28">
        <v>0</v>
      </c>
      <c r="G1884" s="28" t="s">
        <v>139</v>
      </c>
      <c r="H1884" s="28">
        <v>0</v>
      </c>
      <c r="J1884" s="28"/>
    </row>
    <row r="1885" spans="1:10" ht="15.75" customHeight="1">
      <c r="A1885" s="28">
        <v>18000</v>
      </c>
      <c r="B1885" s="91">
        <v>44982.730150462958</v>
      </c>
      <c r="C1885" s="28" t="s">
        <v>10</v>
      </c>
      <c r="D1885" s="28" t="s">
        <v>940</v>
      </c>
      <c r="E1885" s="28"/>
      <c r="F1885" s="28">
        <v>30</v>
      </c>
      <c r="G1885" s="28" t="s">
        <v>128</v>
      </c>
      <c r="H1885" s="28">
        <v>0</v>
      </c>
      <c r="J1885" s="28"/>
    </row>
    <row r="1886" spans="1:10" ht="15.75" customHeight="1">
      <c r="A1886" s="28">
        <v>18000</v>
      </c>
      <c r="B1886" s="91">
        <v>44982.730150462958</v>
      </c>
      <c r="C1886" s="28" t="s">
        <v>10</v>
      </c>
      <c r="D1886" s="28" t="s">
        <v>940</v>
      </c>
      <c r="E1886" s="28"/>
      <c r="F1886" s="28">
        <v>0</v>
      </c>
      <c r="G1886" s="28" t="s">
        <v>125</v>
      </c>
      <c r="H1886" s="28">
        <v>0</v>
      </c>
      <c r="J1886" s="28"/>
    </row>
    <row r="1887" spans="1:10" ht="15.75" customHeight="1">
      <c r="A1887" s="28">
        <v>18000</v>
      </c>
      <c r="B1887" s="91">
        <v>44982.730150462958</v>
      </c>
      <c r="C1887" s="28" t="s">
        <v>10</v>
      </c>
      <c r="D1887" s="28" t="s">
        <v>940</v>
      </c>
      <c r="E1887" s="28"/>
      <c r="F1887" s="28">
        <v>0</v>
      </c>
      <c r="G1887" s="28" t="s">
        <v>119</v>
      </c>
      <c r="H1887" s="28">
        <v>0</v>
      </c>
      <c r="J1887" s="28"/>
    </row>
    <row r="1888" spans="1:10" ht="15.75" customHeight="1">
      <c r="A1888" s="28">
        <v>18001</v>
      </c>
      <c r="B1888" s="91">
        <v>44982.954409722224</v>
      </c>
      <c r="C1888" s="28" t="s">
        <v>10</v>
      </c>
      <c r="D1888" s="28" t="s">
        <v>653</v>
      </c>
      <c r="E1888" s="28"/>
      <c r="F1888" s="28">
        <v>28</v>
      </c>
      <c r="G1888" s="28" t="s">
        <v>143</v>
      </c>
      <c r="H1888" s="28">
        <v>0</v>
      </c>
      <c r="J1888" s="28"/>
    </row>
    <row r="1889" spans="1:10" ht="15.75" customHeight="1">
      <c r="A1889" s="28">
        <v>18001</v>
      </c>
      <c r="B1889" s="91">
        <v>44982.954409722224</v>
      </c>
      <c r="C1889" s="28" t="s">
        <v>10</v>
      </c>
      <c r="D1889" s="28" t="s">
        <v>653</v>
      </c>
      <c r="E1889" s="28"/>
      <c r="F1889" s="28">
        <v>0</v>
      </c>
      <c r="G1889" s="28" t="s">
        <v>139</v>
      </c>
      <c r="H1889" s="28">
        <v>0</v>
      </c>
      <c r="J1889" s="28"/>
    </row>
    <row r="1890" spans="1:10" ht="15.75" customHeight="1">
      <c r="A1890" s="28">
        <v>18003</v>
      </c>
      <c r="B1890" s="91">
        <v>44983.765925925924</v>
      </c>
      <c r="C1890" s="28" t="s">
        <v>10</v>
      </c>
      <c r="D1890" s="28" t="s">
        <v>939</v>
      </c>
      <c r="E1890" s="28"/>
      <c r="F1890" s="28">
        <v>15</v>
      </c>
      <c r="G1890" s="28"/>
      <c r="H1890" s="28">
        <v>0</v>
      </c>
      <c r="J1890" s="28"/>
    </row>
    <row r="1891" spans="1:10" ht="15.75" customHeight="1">
      <c r="A1891" s="28">
        <v>18004</v>
      </c>
      <c r="B1891" s="91">
        <v>44984.08798611111</v>
      </c>
      <c r="C1891" s="28" t="s">
        <v>10</v>
      </c>
      <c r="D1891" s="28" t="s">
        <v>749</v>
      </c>
      <c r="E1891" s="28"/>
      <c r="F1891" s="28">
        <v>15</v>
      </c>
      <c r="G1891" s="28"/>
      <c r="H1891" s="28">
        <v>0</v>
      </c>
      <c r="J1891" s="28"/>
    </row>
    <row r="1892" spans="1:10" ht="15.75" customHeight="1">
      <c r="A1892" s="28">
        <v>18005</v>
      </c>
      <c r="B1892" s="91">
        <v>44984.572430555556</v>
      </c>
      <c r="C1892" s="28" t="s">
        <v>10</v>
      </c>
      <c r="D1892" s="28" t="s">
        <v>933</v>
      </c>
      <c r="E1892" s="28"/>
      <c r="F1892" s="28">
        <v>30</v>
      </c>
      <c r="G1892" s="28" t="s">
        <v>128</v>
      </c>
      <c r="H1892" s="28">
        <v>0</v>
      </c>
      <c r="J1892" s="28"/>
    </row>
    <row r="1893" spans="1:10" ht="15.75" customHeight="1">
      <c r="A1893" s="28">
        <v>18005</v>
      </c>
      <c r="B1893" s="91">
        <v>44984.572430555556</v>
      </c>
      <c r="C1893" s="28" t="s">
        <v>10</v>
      </c>
      <c r="D1893" s="28" t="s">
        <v>933</v>
      </c>
      <c r="E1893" s="28"/>
      <c r="F1893" s="28">
        <v>0</v>
      </c>
      <c r="G1893" s="28" t="s">
        <v>125</v>
      </c>
      <c r="H1893" s="28">
        <v>0</v>
      </c>
      <c r="J1893" s="28"/>
    </row>
    <row r="1894" spans="1:10" ht="15.75" customHeight="1">
      <c r="A1894" s="28">
        <v>18005</v>
      </c>
      <c r="B1894" s="91">
        <v>44984.572430555556</v>
      </c>
      <c r="C1894" s="28" t="s">
        <v>10</v>
      </c>
      <c r="D1894" s="28" t="s">
        <v>933</v>
      </c>
      <c r="E1894" s="28"/>
      <c r="F1894" s="28">
        <v>0</v>
      </c>
      <c r="G1894" s="28" t="s">
        <v>119</v>
      </c>
      <c r="H1894" s="28">
        <v>0</v>
      </c>
      <c r="J1894" s="28"/>
    </row>
    <row r="1895" spans="1:10" ht="15.75" customHeight="1">
      <c r="A1895" s="28">
        <v>18006</v>
      </c>
      <c r="B1895" s="91">
        <v>44984.632314814815</v>
      </c>
      <c r="C1895" s="28" t="s">
        <v>10</v>
      </c>
      <c r="D1895" s="28" t="s">
        <v>938</v>
      </c>
      <c r="E1895" s="28"/>
      <c r="F1895" s="28">
        <v>25</v>
      </c>
      <c r="G1895" s="28" t="s">
        <v>141</v>
      </c>
      <c r="H1895" s="28">
        <v>0</v>
      </c>
      <c r="J1895" s="28"/>
    </row>
    <row r="1896" spans="1:10" ht="15.75" customHeight="1">
      <c r="A1896" s="28">
        <v>18007</v>
      </c>
      <c r="B1896" s="91">
        <v>44984.63762731482</v>
      </c>
      <c r="C1896" s="28" t="s">
        <v>10</v>
      </c>
      <c r="D1896" s="28" t="s">
        <v>937</v>
      </c>
      <c r="E1896" s="28"/>
      <c r="F1896" s="28">
        <v>25</v>
      </c>
      <c r="G1896" s="28" t="s">
        <v>141</v>
      </c>
      <c r="H1896" s="28">
        <v>0</v>
      </c>
      <c r="J1896" s="28"/>
    </row>
    <row r="1897" spans="1:10" ht="15.75" customHeight="1">
      <c r="A1897" s="28">
        <v>18008</v>
      </c>
      <c r="B1897" s="91">
        <v>44984.655706018515</v>
      </c>
      <c r="C1897" s="28" t="s">
        <v>10</v>
      </c>
      <c r="D1897" s="28" t="s">
        <v>936</v>
      </c>
      <c r="E1897" s="28"/>
      <c r="F1897" s="28">
        <v>35</v>
      </c>
      <c r="G1897" s="28" t="s">
        <v>124</v>
      </c>
      <c r="H1897" s="28">
        <v>0</v>
      </c>
      <c r="J1897" s="28"/>
    </row>
    <row r="1898" spans="1:10" ht="15.75" customHeight="1">
      <c r="A1898" s="28">
        <v>18008</v>
      </c>
      <c r="B1898" s="91">
        <v>44984.655706018515</v>
      </c>
      <c r="C1898" s="28" t="s">
        <v>10</v>
      </c>
      <c r="D1898" s="28" t="s">
        <v>936</v>
      </c>
      <c r="E1898" s="28"/>
      <c r="F1898" s="28">
        <v>0</v>
      </c>
      <c r="G1898" s="28" t="s">
        <v>125</v>
      </c>
      <c r="H1898" s="28">
        <v>0</v>
      </c>
      <c r="J1898" s="28"/>
    </row>
    <row r="1899" spans="1:10" ht="15.75" customHeight="1">
      <c r="A1899" s="28">
        <v>18008</v>
      </c>
      <c r="B1899" s="91">
        <v>44984.655706018515</v>
      </c>
      <c r="C1899" s="28" t="s">
        <v>10</v>
      </c>
      <c r="D1899" s="28" t="s">
        <v>936</v>
      </c>
      <c r="E1899" s="28"/>
      <c r="F1899" s="28">
        <v>0</v>
      </c>
      <c r="G1899" s="28" t="s">
        <v>119</v>
      </c>
      <c r="H1899" s="28">
        <v>0</v>
      </c>
      <c r="J1899" s="28"/>
    </row>
    <row r="1900" spans="1:10" ht="15.75" customHeight="1">
      <c r="A1900" s="28">
        <v>18008</v>
      </c>
      <c r="B1900" s="91">
        <v>44984.655706018515</v>
      </c>
      <c r="C1900" s="28" t="s">
        <v>10</v>
      </c>
      <c r="D1900" s="28" t="s">
        <v>936</v>
      </c>
      <c r="E1900" s="28"/>
      <c r="F1900" s="28">
        <v>0</v>
      </c>
      <c r="G1900" s="28" t="s">
        <v>121</v>
      </c>
      <c r="H1900" s="28">
        <v>0</v>
      </c>
      <c r="J1900" s="28"/>
    </row>
    <row r="1901" spans="1:10" ht="15.75" customHeight="1">
      <c r="A1901" s="28">
        <v>18009</v>
      </c>
      <c r="B1901" s="91">
        <v>44984.678379629629</v>
      </c>
      <c r="C1901" s="28" t="s">
        <v>10</v>
      </c>
      <c r="D1901" s="28" t="s">
        <v>935</v>
      </c>
      <c r="E1901" s="28"/>
      <c r="F1901" s="28">
        <v>15</v>
      </c>
      <c r="G1901" s="28" t="s">
        <v>896</v>
      </c>
      <c r="H1901" s="28">
        <v>0</v>
      </c>
      <c r="J1901" s="28"/>
    </row>
    <row r="1902" spans="1:10" ht="15.75" customHeight="1">
      <c r="A1902" s="28">
        <v>18010</v>
      </c>
      <c r="B1902" s="91">
        <v>44985.118229166663</v>
      </c>
      <c r="C1902" s="28" t="s">
        <v>10</v>
      </c>
      <c r="D1902" s="28" t="s">
        <v>431</v>
      </c>
      <c r="E1902" s="28"/>
      <c r="F1902" s="28">
        <v>0</v>
      </c>
      <c r="G1902" s="28" t="s">
        <v>139</v>
      </c>
      <c r="H1902" s="28">
        <v>0</v>
      </c>
      <c r="J1902" s="28"/>
    </row>
    <row r="1903" spans="1:10" ht="15.75" customHeight="1">
      <c r="A1903" s="28">
        <v>18010</v>
      </c>
      <c r="B1903" s="91">
        <v>44985.118229166663</v>
      </c>
      <c r="C1903" s="28" t="s">
        <v>10</v>
      </c>
      <c r="D1903" s="28" t="s">
        <v>431</v>
      </c>
      <c r="E1903" s="28"/>
      <c r="F1903" s="28">
        <v>15</v>
      </c>
      <c r="G1903" s="28" t="s">
        <v>286</v>
      </c>
      <c r="H1903" s="28">
        <v>0</v>
      </c>
      <c r="J1903" s="28"/>
    </row>
    <row r="1904" spans="1:10" ht="15.75" customHeight="1">
      <c r="A1904" s="28">
        <v>18011</v>
      </c>
      <c r="B1904" s="91">
        <v>44985.123668981483</v>
      </c>
      <c r="C1904" s="28" t="s">
        <v>10</v>
      </c>
      <c r="D1904" s="28" t="s">
        <v>934</v>
      </c>
      <c r="E1904" s="28"/>
      <c r="F1904" s="28">
        <v>0</v>
      </c>
      <c r="G1904" s="28" t="s">
        <v>139</v>
      </c>
      <c r="H1904" s="28">
        <v>0</v>
      </c>
      <c r="J1904" s="28"/>
    </row>
    <row r="1905" spans="1:10" ht="15.75" customHeight="1">
      <c r="A1905" s="28">
        <v>18011</v>
      </c>
      <c r="B1905" s="91">
        <v>44985.123668981483</v>
      </c>
      <c r="C1905" s="28" t="s">
        <v>10</v>
      </c>
      <c r="D1905" s="28" t="s">
        <v>934</v>
      </c>
      <c r="E1905" s="28"/>
      <c r="F1905" s="28">
        <v>15</v>
      </c>
      <c r="G1905" s="28" t="s">
        <v>286</v>
      </c>
      <c r="H1905" s="28">
        <v>0</v>
      </c>
      <c r="J1905" s="28"/>
    </row>
    <row r="1906" spans="1:10" ht="15.75" customHeight="1">
      <c r="A1906" s="28">
        <v>18012</v>
      </c>
      <c r="B1906" s="91">
        <v>44985.958020833335</v>
      </c>
      <c r="C1906" s="28" t="s">
        <v>10</v>
      </c>
      <c r="D1906" s="28" t="s">
        <v>682</v>
      </c>
      <c r="E1906" s="28"/>
      <c r="F1906" s="28">
        <v>0</v>
      </c>
      <c r="G1906" s="28" t="s">
        <v>139</v>
      </c>
      <c r="H1906" s="28">
        <v>0</v>
      </c>
      <c r="J1906" s="28"/>
    </row>
    <row r="1907" spans="1:10" ht="15.75" customHeight="1">
      <c r="A1907" s="28">
        <v>18012</v>
      </c>
      <c r="B1907" s="91">
        <v>44985.958020833335</v>
      </c>
      <c r="C1907" s="28" t="s">
        <v>10</v>
      </c>
      <c r="D1907" s="28" t="s">
        <v>682</v>
      </c>
      <c r="E1907" s="28"/>
      <c r="F1907" s="28">
        <v>15</v>
      </c>
      <c r="G1907" s="28" t="s">
        <v>125</v>
      </c>
      <c r="H1907" s="28">
        <v>0</v>
      </c>
      <c r="J1907" s="28"/>
    </row>
    <row r="1908" spans="1:10" ht="15.75" customHeight="1">
      <c r="A1908" s="28">
        <v>18012</v>
      </c>
      <c r="B1908" s="91">
        <v>44985.958020833335</v>
      </c>
      <c r="C1908" s="28" t="s">
        <v>10</v>
      </c>
      <c r="D1908" s="28" t="s">
        <v>682</v>
      </c>
      <c r="E1908" s="28"/>
      <c r="F1908" s="28">
        <v>18</v>
      </c>
      <c r="G1908" s="28" t="s">
        <v>119</v>
      </c>
      <c r="H1908" s="28">
        <v>0</v>
      </c>
      <c r="J1908" s="28"/>
    </row>
    <row r="1909" spans="1:10" ht="15.75" customHeight="1">
      <c r="A1909" s="28">
        <v>18025</v>
      </c>
      <c r="B1909" s="91">
        <v>44986.687152777777</v>
      </c>
      <c r="C1909" s="28" t="s">
        <v>10</v>
      </c>
      <c r="D1909" s="28" t="s">
        <v>933</v>
      </c>
      <c r="E1909" s="28"/>
      <c r="F1909" s="28">
        <v>30</v>
      </c>
      <c r="G1909" s="28" t="s">
        <v>128</v>
      </c>
      <c r="H1909" s="28">
        <v>0</v>
      </c>
      <c r="J1909" s="28"/>
    </row>
    <row r="1910" spans="1:10" ht="15.75" customHeight="1">
      <c r="A1910" s="28">
        <v>18025</v>
      </c>
      <c r="B1910" s="91">
        <v>44986.687152777777</v>
      </c>
      <c r="C1910" s="28" t="s">
        <v>10</v>
      </c>
      <c r="D1910" s="28" t="s">
        <v>933</v>
      </c>
      <c r="E1910" s="28"/>
      <c r="F1910" s="28">
        <v>0</v>
      </c>
      <c r="G1910" s="28" t="s">
        <v>125</v>
      </c>
      <c r="H1910" s="28">
        <v>0</v>
      </c>
      <c r="J1910" s="28"/>
    </row>
    <row r="1911" spans="1:10" ht="15.75" customHeight="1">
      <c r="A1911" s="28">
        <v>18025</v>
      </c>
      <c r="B1911" s="91">
        <v>44986.687152777777</v>
      </c>
      <c r="C1911" s="28" t="s">
        <v>10</v>
      </c>
      <c r="D1911" s="28" t="s">
        <v>933</v>
      </c>
      <c r="E1911" s="28"/>
      <c r="F1911" s="28">
        <v>0</v>
      </c>
      <c r="G1911" s="28" t="s">
        <v>119</v>
      </c>
      <c r="H1911" s="28">
        <v>0</v>
      </c>
      <c r="J1911" s="28"/>
    </row>
    <row r="1912" spans="1:10" ht="15.75" customHeight="1">
      <c r="A1912" s="28">
        <v>18029</v>
      </c>
      <c r="B1912" s="91">
        <v>44988.705601851849</v>
      </c>
      <c r="C1912" s="28" t="s">
        <v>10</v>
      </c>
      <c r="D1912" s="28" t="s">
        <v>248</v>
      </c>
      <c r="E1912" s="28"/>
      <c r="F1912" s="28">
        <v>18</v>
      </c>
      <c r="G1912" s="28" t="s">
        <v>119</v>
      </c>
      <c r="H1912" s="28">
        <v>0</v>
      </c>
      <c r="J1912" s="28"/>
    </row>
    <row r="1913" spans="1:10" ht="15.75" customHeight="1">
      <c r="A1913" s="28">
        <v>18029</v>
      </c>
      <c r="B1913" s="91">
        <v>44988.705601851849</v>
      </c>
      <c r="C1913" s="28" t="s">
        <v>10</v>
      </c>
      <c r="D1913" s="28" t="s">
        <v>248</v>
      </c>
      <c r="E1913" s="28"/>
      <c r="F1913" s="28">
        <v>24</v>
      </c>
      <c r="G1913" s="28" t="s">
        <v>122</v>
      </c>
      <c r="H1913" s="28">
        <v>0</v>
      </c>
      <c r="J1913" s="28"/>
    </row>
    <row r="1914" spans="1:10" ht="15.75" customHeight="1">
      <c r="A1914" s="28">
        <v>18030</v>
      </c>
      <c r="B1914" s="91">
        <v>44989.093275462961</v>
      </c>
      <c r="C1914" s="28" t="s">
        <v>10</v>
      </c>
      <c r="D1914" s="28" t="s">
        <v>932</v>
      </c>
      <c r="E1914" s="28"/>
      <c r="F1914" s="28">
        <v>30</v>
      </c>
      <c r="G1914" s="28" t="s">
        <v>128</v>
      </c>
      <c r="H1914" s="28">
        <v>0</v>
      </c>
      <c r="J1914" s="28"/>
    </row>
    <row r="1915" spans="1:10" ht="15.75" customHeight="1">
      <c r="A1915" s="28">
        <v>18030</v>
      </c>
      <c r="B1915" s="91">
        <v>44989.093275462961</v>
      </c>
      <c r="C1915" s="28" t="s">
        <v>10</v>
      </c>
      <c r="D1915" s="28" t="s">
        <v>932</v>
      </c>
      <c r="E1915" s="28"/>
      <c r="F1915" s="28">
        <v>0</v>
      </c>
      <c r="G1915" s="28" t="s">
        <v>125</v>
      </c>
      <c r="H1915" s="28">
        <v>0</v>
      </c>
      <c r="J1915" s="28"/>
    </row>
    <row r="1916" spans="1:10" ht="15.75" customHeight="1">
      <c r="A1916" s="28">
        <v>18030</v>
      </c>
      <c r="B1916" s="91">
        <v>44989.093275462961</v>
      </c>
      <c r="C1916" s="28" t="s">
        <v>10</v>
      </c>
      <c r="D1916" s="28" t="s">
        <v>932</v>
      </c>
      <c r="E1916" s="28"/>
      <c r="F1916" s="28">
        <v>0</v>
      </c>
      <c r="G1916" s="28" t="s">
        <v>119</v>
      </c>
      <c r="H1916" s="28">
        <v>0</v>
      </c>
      <c r="J1916" s="28"/>
    </row>
    <row r="1917" spans="1:10" ht="15.75" customHeight="1">
      <c r="A1917" s="28">
        <v>18030</v>
      </c>
      <c r="B1917" s="91">
        <v>44989.093275462961</v>
      </c>
      <c r="C1917" s="28" t="s">
        <v>10</v>
      </c>
      <c r="D1917" s="28" t="s">
        <v>932</v>
      </c>
      <c r="E1917" s="28"/>
      <c r="F1917" s="28">
        <v>10</v>
      </c>
      <c r="G1917" s="28" t="s">
        <v>334</v>
      </c>
      <c r="H1917" s="28">
        <v>0</v>
      </c>
      <c r="J1917" s="28"/>
    </row>
    <row r="1918" spans="1:10" ht="15.75" customHeight="1">
      <c r="A1918" s="28">
        <v>18030</v>
      </c>
      <c r="B1918" s="91">
        <v>44989.093275462961</v>
      </c>
      <c r="C1918" s="28" t="s">
        <v>10</v>
      </c>
      <c r="D1918" s="28" t="s">
        <v>932</v>
      </c>
      <c r="E1918" s="28"/>
      <c r="F1918" s="28">
        <v>25</v>
      </c>
      <c r="G1918" s="28">
        <v>100692</v>
      </c>
      <c r="H1918" s="28">
        <v>0</v>
      </c>
      <c r="J1918" s="28"/>
    </row>
    <row r="1919" spans="1:10" ht="15.75" customHeight="1">
      <c r="A1919" s="28">
        <v>18030</v>
      </c>
      <c r="B1919" s="91">
        <v>44989.093275462961</v>
      </c>
      <c r="C1919" s="28" t="s">
        <v>10</v>
      </c>
      <c r="D1919" s="28" t="s">
        <v>932</v>
      </c>
      <c r="E1919" s="28"/>
      <c r="F1919" s="28">
        <v>0</v>
      </c>
      <c r="G1919" s="28" t="s">
        <v>125</v>
      </c>
      <c r="H1919" s="28">
        <v>0</v>
      </c>
      <c r="J1919" s="28"/>
    </row>
    <row r="1920" spans="1:10" ht="15.75" customHeight="1">
      <c r="A1920" s="28">
        <v>18030</v>
      </c>
      <c r="B1920" s="91">
        <v>44989.093275462961</v>
      </c>
      <c r="C1920" s="28" t="s">
        <v>10</v>
      </c>
      <c r="D1920" s="28" t="s">
        <v>932</v>
      </c>
      <c r="E1920" s="28"/>
      <c r="F1920" s="28">
        <v>0</v>
      </c>
      <c r="G1920" s="28" t="s">
        <v>119</v>
      </c>
      <c r="H1920" s="28">
        <v>0</v>
      </c>
      <c r="J1920" s="28"/>
    </row>
    <row r="1921" spans="1:10" ht="15.75" customHeight="1">
      <c r="A1921" s="28">
        <v>18030</v>
      </c>
      <c r="B1921" s="91">
        <v>44989.093275462961</v>
      </c>
      <c r="C1921" s="28" t="s">
        <v>10</v>
      </c>
      <c r="D1921" s="28" t="s">
        <v>932</v>
      </c>
      <c r="E1921" s="28"/>
      <c r="F1921" s="28">
        <v>15</v>
      </c>
      <c r="G1921" s="28" t="s">
        <v>286</v>
      </c>
      <c r="H1921" s="28">
        <v>0</v>
      </c>
      <c r="J1921" s="28"/>
    </row>
    <row r="1922" spans="1:10" ht="15.75" customHeight="1">
      <c r="A1922" s="28">
        <v>18031</v>
      </c>
      <c r="B1922" s="91">
        <v>44989.838796296295</v>
      </c>
      <c r="C1922" s="28" t="s">
        <v>10</v>
      </c>
      <c r="D1922" s="28" t="s">
        <v>931</v>
      </c>
      <c r="E1922" s="28"/>
      <c r="F1922" s="28">
        <v>15</v>
      </c>
      <c r="G1922" s="28"/>
      <c r="H1922" s="28">
        <v>0</v>
      </c>
      <c r="J1922" s="28"/>
    </row>
    <row r="1923" spans="1:10" ht="15.75" customHeight="1">
      <c r="A1923" s="28">
        <v>18032</v>
      </c>
      <c r="B1923" s="91">
        <v>44991.078645833331</v>
      </c>
      <c r="C1923" s="28" t="s">
        <v>10</v>
      </c>
      <c r="D1923" s="28" t="s">
        <v>930</v>
      </c>
      <c r="E1923" s="28"/>
      <c r="F1923" s="28">
        <v>18</v>
      </c>
      <c r="G1923" s="28" t="s">
        <v>119</v>
      </c>
      <c r="H1923" s="28">
        <v>0</v>
      </c>
      <c r="J1923" s="28"/>
    </row>
    <row r="1924" spans="1:10" ht="15.75" customHeight="1">
      <c r="A1924" s="28">
        <v>18032</v>
      </c>
      <c r="B1924" s="91">
        <v>44991.078645833331</v>
      </c>
      <c r="C1924" s="28" t="s">
        <v>10</v>
      </c>
      <c r="D1924" s="28" t="s">
        <v>930</v>
      </c>
      <c r="E1924" s="28"/>
      <c r="F1924" s="28">
        <v>15</v>
      </c>
      <c r="G1924" s="28"/>
      <c r="H1924" s="28">
        <v>0</v>
      </c>
      <c r="J1924" s="28"/>
    </row>
    <row r="1925" spans="1:10" ht="15.75" customHeight="1">
      <c r="A1925" s="28">
        <v>18033</v>
      </c>
      <c r="B1925" s="91">
        <v>44991.128969907411</v>
      </c>
      <c r="C1925" s="28" t="s">
        <v>10</v>
      </c>
      <c r="D1925" s="28" t="s">
        <v>929</v>
      </c>
      <c r="E1925" s="28"/>
      <c r="F1925" s="28">
        <v>18</v>
      </c>
      <c r="G1925" s="28" t="s">
        <v>457</v>
      </c>
      <c r="H1925" s="28">
        <v>0</v>
      </c>
      <c r="J1925" s="28"/>
    </row>
    <row r="1926" spans="1:10" ht="15.75" customHeight="1">
      <c r="A1926" s="28">
        <v>18034</v>
      </c>
      <c r="B1926" s="91">
        <v>44991.535983796297</v>
      </c>
      <c r="C1926" s="28" t="s">
        <v>10</v>
      </c>
      <c r="D1926" s="28" t="s">
        <v>928</v>
      </c>
      <c r="E1926" s="28"/>
      <c r="F1926" s="28">
        <v>15</v>
      </c>
      <c r="G1926" s="28"/>
      <c r="H1926" s="28">
        <v>0</v>
      </c>
      <c r="J1926" s="28"/>
    </row>
    <row r="1927" spans="1:10" ht="15.75" customHeight="1">
      <c r="A1927" s="28">
        <v>18034</v>
      </c>
      <c r="B1927" s="91">
        <v>44991.535983796297</v>
      </c>
      <c r="C1927" s="28" t="s">
        <v>10</v>
      </c>
      <c r="D1927" s="28" t="s">
        <v>928</v>
      </c>
      <c r="E1927" s="28"/>
      <c r="F1927" s="28">
        <v>20</v>
      </c>
      <c r="G1927" s="28" t="s">
        <v>205</v>
      </c>
      <c r="H1927" s="28">
        <v>0</v>
      </c>
      <c r="J1927" s="28"/>
    </row>
    <row r="1928" spans="1:10" ht="15.75" customHeight="1">
      <c r="A1928" s="28">
        <v>18034</v>
      </c>
      <c r="B1928" s="91">
        <v>44991.535983796297</v>
      </c>
      <c r="C1928" s="28" t="s">
        <v>10</v>
      </c>
      <c r="D1928" s="28" t="s">
        <v>928</v>
      </c>
      <c r="E1928" s="28"/>
      <c r="F1928" s="28">
        <v>0</v>
      </c>
      <c r="G1928" s="28" t="s">
        <v>125</v>
      </c>
      <c r="H1928" s="28">
        <v>0</v>
      </c>
      <c r="J1928" s="28"/>
    </row>
    <row r="1929" spans="1:10" ht="15.75" customHeight="1">
      <c r="A1929" s="28">
        <v>18035</v>
      </c>
      <c r="B1929" s="91">
        <v>44991.538090277776</v>
      </c>
      <c r="C1929" s="28" t="s">
        <v>10</v>
      </c>
      <c r="D1929" s="28" t="s">
        <v>927</v>
      </c>
      <c r="E1929" s="28"/>
      <c r="F1929" s="28">
        <v>15</v>
      </c>
      <c r="G1929" s="28"/>
      <c r="H1929" s="28">
        <v>0</v>
      </c>
      <c r="J1929" s="28"/>
    </row>
    <row r="1930" spans="1:10" ht="15.75" customHeight="1">
      <c r="A1930" s="28">
        <v>18036</v>
      </c>
      <c r="B1930" s="91">
        <v>44991.626550925925</v>
      </c>
      <c r="C1930" s="28" t="s">
        <v>10</v>
      </c>
      <c r="D1930" s="28" t="s">
        <v>926</v>
      </c>
      <c r="E1930" s="28"/>
      <c r="F1930" s="28">
        <v>15</v>
      </c>
      <c r="G1930" s="28" t="s">
        <v>286</v>
      </c>
      <c r="H1930" s="28">
        <v>0</v>
      </c>
      <c r="J1930" s="28"/>
    </row>
    <row r="1931" spans="1:10" ht="15.75" customHeight="1">
      <c r="A1931" s="28">
        <v>18037</v>
      </c>
      <c r="B1931" s="91">
        <v>44991.893506944441</v>
      </c>
      <c r="C1931" s="28" t="s">
        <v>10</v>
      </c>
      <c r="D1931" s="28" t="s">
        <v>925</v>
      </c>
      <c r="E1931" s="28"/>
      <c r="F1931" s="28">
        <v>15</v>
      </c>
      <c r="G1931" s="28" t="s">
        <v>286</v>
      </c>
      <c r="H1931" s="28">
        <v>0</v>
      </c>
      <c r="J1931" s="28"/>
    </row>
    <row r="1932" spans="1:10" ht="15.75" customHeight="1">
      <c r="A1932" s="28">
        <v>18038</v>
      </c>
      <c r="B1932" s="91">
        <v>44991.971030092594</v>
      </c>
      <c r="C1932" s="28" t="s">
        <v>10</v>
      </c>
      <c r="D1932" s="28" t="s">
        <v>924</v>
      </c>
      <c r="E1932" s="28"/>
      <c r="F1932" s="28">
        <v>25</v>
      </c>
      <c r="G1932" s="28">
        <v>100692</v>
      </c>
      <c r="H1932" s="28">
        <v>0</v>
      </c>
      <c r="J1932" s="28"/>
    </row>
    <row r="1933" spans="1:10" ht="15.75" customHeight="1">
      <c r="A1933" s="28">
        <v>18038</v>
      </c>
      <c r="B1933" s="91">
        <v>44991.971030092594</v>
      </c>
      <c r="C1933" s="28" t="s">
        <v>10</v>
      </c>
      <c r="D1933" s="28" t="s">
        <v>924</v>
      </c>
      <c r="E1933" s="28"/>
      <c r="F1933" s="28">
        <v>0</v>
      </c>
      <c r="G1933" s="28" t="s">
        <v>125</v>
      </c>
      <c r="H1933" s="28">
        <v>0</v>
      </c>
      <c r="J1933" s="28"/>
    </row>
    <row r="1934" spans="1:10" ht="15.75" customHeight="1">
      <c r="A1934" s="28">
        <v>18038</v>
      </c>
      <c r="B1934" s="91">
        <v>44991.971030092594</v>
      </c>
      <c r="C1934" s="28" t="s">
        <v>10</v>
      </c>
      <c r="D1934" s="28" t="s">
        <v>924</v>
      </c>
      <c r="E1934" s="28"/>
      <c r="F1934" s="28">
        <v>0</v>
      </c>
      <c r="G1934" s="28" t="s">
        <v>119</v>
      </c>
      <c r="H1934" s="28">
        <v>0</v>
      </c>
      <c r="J1934" s="28"/>
    </row>
    <row r="1935" spans="1:10" ht="15.75" customHeight="1">
      <c r="A1935" s="28">
        <v>18039</v>
      </c>
      <c r="B1935" s="91">
        <v>44992.786111111112</v>
      </c>
      <c r="C1935" s="28" t="s">
        <v>10</v>
      </c>
      <c r="D1935" s="28" t="s">
        <v>923</v>
      </c>
      <c r="E1935" s="28"/>
      <c r="F1935" s="28">
        <v>15</v>
      </c>
      <c r="G1935" s="28"/>
      <c r="H1935" s="28">
        <v>0</v>
      </c>
      <c r="J1935" s="28"/>
    </row>
    <row r="1936" spans="1:10" ht="15.75" customHeight="1">
      <c r="A1936" s="28">
        <v>18040</v>
      </c>
      <c r="B1936" s="91">
        <v>44992.813275462962</v>
      </c>
      <c r="C1936" s="28" t="s">
        <v>10</v>
      </c>
      <c r="D1936" s="28" t="s">
        <v>922</v>
      </c>
      <c r="E1936" s="28"/>
      <c r="F1936" s="28">
        <v>40</v>
      </c>
      <c r="G1936" s="28" t="s">
        <v>205</v>
      </c>
      <c r="H1936" s="28">
        <v>0</v>
      </c>
      <c r="J1936" s="28"/>
    </row>
    <row r="1937" spans="1:10" ht="15.75" customHeight="1">
      <c r="A1937" s="28">
        <v>18040</v>
      </c>
      <c r="B1937" s="91">
        <v>44992.813275462962</v>
      </c>
      <c r="C1937" s="28" t="s">
        <v>10</v>
      </c>
      <c r="D1937" s="28" t="s">
        <v>922</v>
      </c>
      <c r="E1937" s="28"/>
      <c r="F1937" s="28">
        <v>0</v>
      </c>
      <c r="G1937" s="28" t="s">
        <v>125</v>
      </c>
      <c r="H1937" s="28">
        <v>0</v>
      </c>
      <c r="J1937" s="28"/>
    </row>
    <row r="1938" spans="1:10" ht="15.75" customHeight="1">
      <c r="A1938" s="28">
        <v>18041</v>
      </c>
      <c r="B1938" s="91">
        <v>44993.082245370373</v>
      </c>
      <c r="C1938" s="28" t="s">
        <v>10</v>
      </c>
      <c r="D1938" s="28" t="s">
        <v>754</v>
      </c>
      <c r="E1938" s="28"/>
      <c r="F1938" s="28">
        <v>15</v>
      </c>
      <c r="G1938" s="28" t="s">
        <v>170</v>
      </c>
      <c r="H1938" s="28">
        <v>0</v>
      </c>
      <c r="J1938" s="28"/>
    </row>
    <row r="1939" spans="1:10" ht="15.75" customHeight="1">
      <c r="A1939" s="28">
        <v>18041</v>
      </c>
      <c r="B1939" s="91">
        <v>44993.082245370373</v>
      </c>
      <c r="C1939" s="28" t="s">
        <v>10</v>
      </c>
      <c r="D1939" s="28" t="s">
        <v>754</v>
      </c>
      <c r="E1939" s="28"/>
      <c r="F1939" s="28">
        <v>28</v>
      </c>
      <c r="G1939" s="28" t="s">
        <v>143</v>
      </c>
      <c r="H1939" s="28">
        <v>0</v>
      </c>
      <c r="J1939" s="28"/>
    </row>
    <row r="1940" spans="1:10" ht="15.75" customHeight="1">
      <c r="A1940" s="28">
        <v>18041</v>
      </c>
      <c r="B1940" s="91">
        <v>44993.082245370373</v>
      </c>
      <c r="C1940" s="28" t="s">
        <v>10</v>
      </c>
      <c r="D1940" s="28" t="s">
        <v>754</v>
      </c>
      <c r="E1940" s="28"/>
      <c r="F1940" s="28">
        <v>25</v>
      </c>
      <c r="G1940" s="28" t="s">
        <v>120</v>
      </c>
      <c r="H1940" s="28">
        <v>0</v>
      </c>
      <c r="J1940" s="28"/>
    </row>
    <row r="1941" spans="1:10" ht="15.75" customHeight="1">
      <c r="A1941" s="28">
        <v>18041</v>
      </c>
      <c r="B1941" s="91">
        <v>44993.082245370373</v>
      </c>
      <c r="C1941" s="28" t="s">
        <v>10</v>
      </c>
      <c r="D1941" s="28" t="s">
        <v>754</v>
      </c>
      <c r="E1941" s="28"/>
      <c r="F1941" s="28">
        <v>18</v>
      </c>
      <c r="G1941" s="28" t="s">
        <v>119</v>
      </c>
      <c r="H1941" s="28">
        <v>0</v>
      </c>
      <c r="J1941" s="28"/>
    </row>
    <row r="1942" spans="1:10" ht="15.75" customHeight="1">
      <c r="A1942" s="28">
        <v>18042</v>
      </c>
      <c r="B1942" s="91">
        <v>44993.612071759257</v>
      </c>
      <c r="C1942" s="28" t="s">
        <v>10</v>
      </c>
      <c r="D1942" s="28" t="s">
        <v>921</v>
      </c>
      <c r="E1942" s="28"/>
      <c r="F1942" s="28">
        <v>35</v>
      </c>
      <c r="G1942" s="28" t="s">
        <v>124</v>
      </c>
      <c r="H1942" s="28">
        <v>0</v>
      </c>
      <c r="J1942" s="28"/>
    </row>
    <row r="1943" spans="1:10" ht="15.75" customHeight="1">
      <c r="A1943" s="28">
        <v>18042</v>
      </c>
      <c r="B1943" s="91">
        <v>44993.612071759257</v>
      </c>
      <c r="C1943" s="28" t="s">
        <v>10</v>
      </c>
      <c r="D1943" s="28" t="s">
        <v>921</v>
      </c>
      <c r="E1943" s="28"/>
      <c r="F1943" s="28">
        <v>0</v>
      </c>
      <c r="G1943" s="28" t="s">
        <v>125</v>
      </c>
      <c r="H1943" s="28">
        <v>0</v>
      </c>
      <c r="J1943" s="28"/>
    </row>
    <row r="1944" spans="1:10" ht="15.75" customHeight="1">
      <c r="A1944" s="28">
        <v>18042</v>
      </c>
      <c r="B1944" s="91">
        <v>44993.612071759257</v>
      </c>
      <c r="C1944" s="28" t="s">
        <v>10</v>
      </c>
      <c r="D1944" s="28" t="s">
        <v>921</v>
      </c>
      <c r="E1944" s="28"/>
      <c r="F1944" s="28">
        <v>0</v>
      </c>
      <c r="G1944" s="28" t="s">
        <v>119</v>
      </c>
      <c r="H1944" s="28">
        <v>0</v>
      </c>
      <c r="J1944" s="28"/>
    </row>
    <row r="1945" spans="1:10" ht="15.75" customHeight="1">
      <c r="A1945" s="28">
        <v>18042</v>
      </c>
      <c r="B1945" s="91">
        <v>44993.612071759257</v>
      </c>
      <c r="C1945" s="28" t="s">
        <v>10</v>
      </c>
      <c r="D1945" s="28" t="s">
        <v>921</v>
      </c>
      <c r="E1945" s="28"/>
      <c r="F1945" s="28">
        <v>0</v>
      </c>
      <c r="G1945" s="28" t="s">
        <v>121</v>
      </c>
      <c r="H1945" s="28">
        <v>0</v>
      </c>
      <c r="J1945" s="28"/>
    </row>
    <row r="1946" spans="1:10" ht="15.75" customHeight="1">
      <c r="A1946" s="28">
        <v>18043</v>
      </c>
      <c r="B1946" s="91">
        <v>44993.613391203704</v>
      </c>
      <c r="C1946" s="28" t="s">
        <v>10</v>
      </c>
      <c r="D1946" s="28" t="s">
        <v>921</v>
      </c>
      <c r="E1946" s="28"/>
      <c r="F1946" s="28">
        <v>15</v>
      </c>
      <c r="G1946" s="28"/>
      <c r="H1946" s="28">
        <v>0</v>
      </c>
      <c r="J1946" s="28"/>
    </row>
    <row r="1947" spans="1:10" ht="15.75" customHeight="1">
      <c r="A1947" s="28">
        <v>18047</v>
      </c>
      <c r="B1947" s="91">
        <v>44993.984722222223</v>
      </c>
      <c r="C1947" s="28" t="s">
        <v>10</v>
      </c>
      <c r="D1947" s="28" t="s">
        <v>920</v>
      </c>
      <c r="E1947" s="28"/>
      <c r="F1947" s="28">
        <v>50</v>
      </c>
      <c r="G1947" s="28">
        <v>100692</v>
      </c>
      <c r="H1947" s="28">
        <v>0</v>
      </c>
      <c r="J1947" s="28"/>
    </row>
    <row r="1948" spans="1:10" ht="15.75" customHeight="1">
      <c r="A1948" s="28">
        <v>18047</v>
      </c>
      <c r="B1948" s="91">
        <v>44993.984722222223</v>
      </c>
      <c r="C1948" s="28" t="s">
        <v>10</v>
      </c>
      <c r="D1948" s="28" t="s">
        <v>920</v>
      </c>
      <c r="E1948" s="28"/>
      <c r="F1948" s="28">
        <v>0</v>
      </c>
      <c r="G1948" s="28" t="s">
        <v>125</v>
      </c>
      <c r="H1948" s="28">
        <v>0</v>
      </c>
      <c r="J1948" s="28"/>
    </row>
    <row r="1949" spans="1:10" ht="15.75" customHeight="1">
      <c r="A1949" s="28">
        <v>18047</v>
      </c>
      <c r="B1949" s="91">
        <v>44993.984722222223</v>
      </c>
      <c r="C1949" s="28" t="s">
        <v>10</v>
      </c>
      <c r="D1949" s="28" t="s">
        <v>920</v>
      </c>
      <c r="E1949" s="28"/>
      <c r="F1949" s="28">
        <v>0</v>
      </c>
      <c r="G1949" s="28" t="s">
        <v>119</v>
      </c>
      <c r="H1949" s="28">
        <v>0</v>
      </c>
      <c r="J1949" s="28"/>
    </row>
    <row r="1950" spans="1:10" ht="15.75" customHeight="1">
      <c r="A1950" s="28">
        <v>18052</v>
      </c>
      <c r="B1950" s="91">
        <v>44994.749027777776</v>
      </c>
      <c r="C1950" s="28" t="s">
        <v>10</v>
      </c>
      <c r="D1950" s="28" t="s">
        <v>919</v>
      </c>
      <c r="E1950" s="28"/>
      <c r="F1950" s="28">
        <v>25</v>
      </c>
      <c r="G1950" s="28" t="s">
        <v>141</v>
      </c>
      <c r="H1950" s="28">
        <v>0</v>
      </c>
      <c r="J1950" s="28"/>
    </row>
    <row r="1951" spans="1:10" ht="15.75" customHeight="1">
      <c r="A1951" s="28">
        <v>18052</v>
      </c>
      <c r="B1951" s="91">
        <v>44994.749027777776</v>
      </c>
      <c r="C1951" s="28" t="s">
        <v>10</v>
      </c>
      <c r="D1951" s="28" t="s">
        <v>919</v>
      </c>
      <c r="E1951" s="28"/>
      <c r="F1951" s="28">
        <v>0</v>
      </c>
      <c r="G1951" s="28" t="s">
        <v>139</v>
      </c>
      <c r="H1951" s="28">
        <v>0</v>
      </c>
      <c r="J1951" s="28"/>
    </row>
    <row r="1952" spans="1:10" ht="15.75" customHeight="1">
      <c r="A1952" s="28">
        <v>18053</v>
      </c>
      <c r="B1952" s="91">
        <v>44994.750856481478</v>
      </c>
      <c r="C1952" s="28" t="s">
        <v>10</v>
      </c>
      <c r="D1952" s="28" t="s">
        <v>918</v>
      </c>
      <c r="E1952" s="28"/>
      <c r="F1952" s="28">
        <v>25</v>
      </c>
      <c r="G1952" s="28" t="s">
        <v>141</v>
      </c>
      <c r="H1952" s="28">
        <v>0</v>
      </c>
      <c r="J1952" s="28"/>
    </row>
    <row r="1953" spans="1:10" ht="15.75" customHeight="1">
      <c r="A1953" s="28">
        <v>18053</v>
      </c>
      <c r="B1953" s="91">
        <v>44994.750856481478</v>
      </c>
      <c r="C1953" s="28" t="s">
        <v>10</v>
      </c>
      <c r="D1953" s="28" t="s">
        <v>918</v>
      </c>
      <c r="E1953" s="28"/>
      <c r="F1953" s="28">
        <v>0</v>
      </c>
      <c r="G1953" s="28" t="s">
        <v>139</v>
      </c>
      <c r="H1953" s="28">
        <v>0</v>
      </c>
      <c r="J1953" s="28"/>
    </row>
    <row r="1954" spans="1:10" ht="15.75" customHeight="1">
      <c r="A1954" s="28">
        <v>18054</v>
      </c>
      <c r="B1954" s="91">
        <v>44995.115949074076</v>
      </c>
      <c r="C1954" s="28" t="s">
        <v>10</v>
      </c>
      <c r="D1954" s="28" t="s">
        <v>917</v>
      </c>
      <c r="E1954" s="28"/>
      <c r="F1954" s="28">
        <v>28</v>
      </c>
      <c r="G1954" s="28" t="s">
        <v>143</v>
      </c>
      <c r="H1954" s="28">
        <v>0</v>
      </c>
      <c r="J1954" s="28"/>
    </row>
    <row r="1955" spans="1:10" ht="15.75" customHeight="1">
      <c r="A1955" s="28">
        <v>18054</v>
      </c>
      <c r="B1955" s="91">
        <v>44995.115949074076</v>
      </c>
      <c r="C1955" s="28" t="s">
        <v>10</v>
      </c>
      <c r="D1955" s="28" t="s">
        <v>917</v>
      </c>
      <c r="E1955" s="28"/>
      <c r="F1955" s="28">
        <v>15</v>
      </c>
      <c r="G1955" s="28"/>
      <c r="H1955" s="28">
        <v>0</v>
      </c>
      <c r="J1955" s="28"/>
    </row>
    <row r="1956" spans="1:10" ht="15.75" customHeight="1">
      <c r="A1956" s="28">
        <v>18055</v>
      </c>
      <c r="B1956" s="91">
        <v>44995.143020833333</v>
      </c>
      <c r="C1956" s="28" t="s">
        <v>10</v>
      </c>
      <c r="D1956" s="28" t="s">
        <v>916</v>
      </c>
      <c r="E1956" s="28"/>
      <c r="F1956" s="28">
        <v>40</v>
      </c>
      <c r="G1956" s="28" t="s">
        <v>205</v>
      </c>
      <c r="H1956" s="28">
        <v>0</v>
      </c>
      <c r="J1956" s="28"/>
    </row>
    <row r="1957" spans="1:10" ht="15.75" customHeight="1">
      <c r="A1957" s="28">
        <v>18055</v>
      </c>
      <c r="B1957" s="91">
        <v>44995.143020833333</v>
      </c>
      <c r="C1957" s="28" t="s">
        <v>10</v>
      </c>
      <c r="D1957" s="28" t="s">
        <v>916</v>
      </c>
      <c r="E1957" s="28"/>
      <c r="F1957" s="28">
        <v>0</v>
      </c>
      <c r="G1957" s="28" t="s">
        <v>125</v>
      </c>
      <c r="H1957" s="28">
        <v>0</v>
      </c>
      <c r="J1957" s="28"/>
    </row>
    <row r="1958" spans="1:10" ht="15.75" customHeight="1">
      <c r="A1958" s="28">
        <v>18056</v>
      </c>
      <c r="B1958" s="91">
        <v>44995.83520833333</v>
      </c>
      <c r="C1958" s="28" t="s">
        <v>10</v>
      </c>
      <c r="D1958" s="28" t="s">
        <v>915</v>
      </c>
      <c r="E1958" s="28"/>
      <c r="F1958" s="28">
        <v>55</v>
      </c>
      <c r="G1958" s="28">
        <v>101684</v>
      </c>
      <c r="H1958" s="28">
        <v>0</v>
      </c>
      <c r="J1958" s="28"/>
    </row>
    <row r="1959" spans="1:10" ht="15.75" customHeight="1">
      <c r="A1959" s="28">
        <v>18056</v>
      </c>
      <c r="B1959" s="91">
        <v>44995.83520833333</v>
      </c>
      <c r="C1959" s="28" t="s">
        <v>10</v>
      </c>
      <c r="D1959" s="28" t="s">
        <v>915</v>
      </c>
      <c r="E1959" s="28"/>
      <c r="F1959" s="28">
        <v>0</v>
      </c>
      <c r="G1959" s="28" t="s">
        <v>118</v>
      </c>
      <c r="H1959" s="28">
        <v>0</v>
      </c>
      <c r="J1959" s="28"/>
    </row>
    <row r="1960" spans="1:10" ht="15.75" customHeight="1">
      <c r="A1960" s="28">
        <v>18056</v>
      </c>
      <c r="B1960" s="91">
        <v>44995.83520833333</v>
      </c>
      <c r="C1960" s="28" t="s">
        <v>10</v>
      </c>
      <c r="D1960" s="28" t="s">
        <v>915</v>
      </c>
      <c r="E1960" s="28"/>
      <c r="F1960" s="28">
        <v>0</v>
      </c>
      <c r="G1960" s="28" t="s">
        <v>119</v>
      </c>
      <c r="H1960" s="28">
        <v>0</v>
      </c>
      <c r="J1960" s="28"/>
    </row>
    <row r="1961" spans="1:10" ht="15.75" customHeight="1">
      <c r="A1961" s="28">
        <v>18056</v>
      </c>
      <c r="B1961" s="91">
        <v>44995.83520833333</v>
      </c>
      <c r="C1961" s="28" t="s">
        <v>10</v>
      </c>
      <c r="D1961" s="28" t="s">
        <v>915</v>
      </c>
      <c r="E1961" s="28"/>
      <c r="F1961" s="28">
        <v>0</v>
      </c>
      <c r="G1961" s="28" t="s">
        <v>120</v>
      </c>
      <c r="H1961" s="28">
        <v>0</v>
      </c>
      <c r="J1961" s="28"/>
    </row>
    <row r="1962" spans="1:10" ht="15.75" customHeight="1">
      <c r="A1962" s="28">
        <v>18056</v>
      </c>
      <c r="B1962" s="91">
        <v>44995.83520833333</v>
      </c>
      <c r="C1962" s="28" t="s">
        <v>10</v>
      </c>
      <c r="D1962" s="28" t="s">
        <v>915</v>
      </c>
      <c r="E1962" s="28"/>
      <c r="F1962" s="28">
        <v>0</v>
      </c>
      <c r="G1962" s="28" t="s">
        <v>121</v>
      </c>
      <c r="H1962" s="28">
        <v>0</v>
      </c>
      <c r="J1962" s="28"/>
    </row>
    <row r="1963" spans="1:10" ht="15.75" customHeight="1">
      <c r="A1963" s="28">
        <v>18057</v>
      </c>
      <c r="B1963" s="91">
        <v>44995.838749999995</v>
      </c>
      <c r="C1963" s="28" t="s">
        <v>10</v>
      </c>
      <c r="D1963" s="28" t="s">
        <v>914</v>
      </c>
      <c r="E1963" s="28"/>
      <c r="F1963" s="28">
        <v>55</v>
      </c>
      <c r="G1963" s="28">
        <v>101684</v>
      </c>
      <c r="H1963" s="28">
        <v>0</v>
      </c>
      <c r="J1963" s="28"/>
    </row>
    <row r="1964" spans="1:10" ht="15.75" customHeight="1">
      <c r="A1964" s="28">
        <v>18057</v>
      </c>
      <c r="B1964" s="91">
        <v>44995.838749999995</v>
      </c>
      <c r="C1964" s="28" t="s">
        <v>10</v>
      </c>
      <c r="D1964" s="28" t="s">
        <v>914</v>
      </c>
      <c r="E1964" s="28"/>
      <c r="F1964" s="28">
        <v>0</v>
      </c>
      <c r="G1964" s="28" t="s">
        <v>118</v>
      </c>
      <c r="H1964" s="28">
        <v>0</v>
      </c>
      <c r="J1964" s="28"/>
    </row>
    <row r="1965" spans="1:10" ht="15.75" customHeight="1">
      <c r="A1965" s="28">
        <v>18057</v>
      </c>
      <c r="B1965" s="91">
        <v>44995.838749999995</v>
      </c>
      <c r="C1965" s="28" t="s">
        <v>10</v>
      </c>
      <c r="D1965" s="28" t="s">
        <v>914</v>
      </c>
      <c r="E1965" s="28"/>
      <c r="F1965" s="28">
        <v>0</v>
      </c>
      <c r="G1965" s="28" t="s">
        <v>119</v>
      </c>
      <c r="H1965" s="28">
        <v>0</v>
      </c>
      <c r="J1965" s="28"/>
    </row>
    <row r="1966" spans="1:10" ht="15.75" customHeight="1">
      <c r="A1966" s="28">
        <v>18057</v>
      </c>
      <c r="B1966" s="91">
        <v>44995.838749999995</v>
      </c>
      <c r="C1966" s="28" t="s">
        <v>10</v>
      </c>
      <c r="D1966" s="28" t="s">
        <v>914</v>
      </c>
      <c r="E1966" s="28"/>
      <c r="F1966" s="28">
        <v>0</v>
      </c>
      <c r="G1966" s="28" t="s">
        <v>120</v>
      </c>
      <c r="H1966" s="28">
        <v>0</v>
      </c>
      <c r="J1966" s="28"/>
    </row>
    <row r="1967" spans="1:10" ht="15.75" customHeight="1">
      <c r="A1967" s="28">
        <v>18057</v>
      </c>
      <c r="B1967" s="91">
        <v>44995.838749999995</v>
      </c>
      <c r="C1967" s="28" t="s">
        <v>10</v>
      </c>
      <c r="D1967" s="28" t="s">
        <v>914</v>
      </c>
      <c r="E1967" s="28"/>
      <c r="F1967" s="28">
        <v>0</v>
      </c>
      <c r="G1967" s="28" t="s">
        <v>121</v>
      </c>
      <c r="H1967" s="28">
        <v>0</v>
      </c>
      <c r="J1967" s="28"/>
    </row>
    <row r="1968" spans="1:10" ht="15.75" customHeight="1">
      <c r="A1968" s="28">
        <v>18061</v>
      </c>
      <c r="B1968" s="91">
        <v>44998.579965277779</v>
      </c>
      <c r="C1968" s="28" t="s">
        <v>10</v>
      </c>
      <c r="D1968" s="28" t="s">
        <v>913</v>
      </c>
      <c r="E1968" s="28"/>
      <c r="F1968" s="28">
        <v>40</v>
      </c>
      <c r="G1968" s="28" t="s">
        <v>121</v>
      </c>
      <c r="H1968" s="28">
        <v>0</v>
      </c>
      <c r="J1968" s="28"/>
    </row>
    <row r="1969" spans="1:10" ht="15.75" customHeight="1">
      <c r="A1969" s="28">
        <v>18061</v>
      </c>
      <c r="B1969" s="91">
        <v>44998.579965277779</v>
      </c>
      <c r="C1969" s="28" t="s">
        <v>10</v>
      </c>
      <c r="D1969" s="28" t="s">
        <v>913</v>
      </c>
      <c r="E1969" s="28"/>
      <c r="F1969" s="28">
        <v>60</v>
      </c>
      <c r="G1969" s="28" t="s">
        <v>170</v>
      </c>
      <c r="H1969" s="28">
        <v>0</v>
      </c>
      <c r="J1969" s="28"/>
    </row>
    <row r="1970" spans="1:10" ht="15.75" customHeight="1">
      <c r="A1970" s="28">
        <v>18062</v>
      </c>
      <c r="B1970" s="91">
        <v>44999.671319444446</v>
      </c>
      <c r="C1970" s="28" t="s">
        <v>10</v>
      </c>
      <c r="D1970" s="28" t="s">
        <v>912</v>
      </c>
      <c r="E1970" s="28"/>
      <c r="F1970" s="28">
        <v>35</v>
      </c>
      <c r="G1970" s="28" t="s">
        <v>124</v>
      </c>
      <c r="H1970" s="28">
        <v>0</v>
      </c>
      <c r="J1970" s="28"/>
    </row>
    <row r="1971" spans="1:10" ht="15.75" customHeight="1">
      <c r="A1971" s="28">
        <v>18062</v>
      </c>
      <c r="B1971" s="91">
        <v>44999.671319444446</v>
      </c>
      <c r="C1971" s="28" t="s">
        <v>10</v>
      </c>
      <c r="D1971" s="28" t="s">
        <v>912</v>
      </c>
      <c r="E1971" s="28"/>
      <c r="F1971" s="28">
        <v>0</v>
      </c>
      <c r="G1971" s="28" t="s">
        <v>125</v>
      </c>
      <c r="H1971" s="28">
        <v>0</v>
      </c>
      <c r="J1971" s="28"/>
    </row>
    <row r="1972" spans="1:10" ht="15.75" customHeight="1">
      <c r="A1972" s="28">
        <v>18062</v>
      </c>
      <c r="B1972" s="91">
        <v>44999.671319444446</v>
      </c>
      <c r="C1972" s="28" t="s">
        <v>10</v>
      </c>
      <c r="D1972" s="28" t="s">
        <v>912</v>
      </c>
      <c r="E1972" s="28"/>
      <c r="F1972" s="28">
        <v>0</v>
      </c>
      <c r="G1972" s="28" t="s">
        <v>119</v>
      </c>
      <c r="H1972" s="28">
        <v>0</v>
      </c>
      <c r="J1972" s="28"/>
    </row>
    <row r="1973" spans="1:10" ht="15.75" customHeight="1">
      <c r="A1973" s="28">
        <v>18062</v>
      </c>
      <c r="B1973" s="91">
        <v>44999.671319444446</v>
      </c>
      <c r="C1973" s="28" t="s">
        <v>10</v>
      </c>
      <c r="D1973" s="28" t="s">
        <v>912</v>
      </c>
      <c r="E1973" s="28"/>
      <c r="F1973" s="28">
        <v>0</v>
      </c>
      <c r="G1973" s="28" t="s">
        <v>121</v>
      </c>
      <c r="H1973" s="28">
        <v>0</v>
      </c>
      <c r="J1973" s="28"/>
    </row>
    <row r="1974" spans="1:10" ht="15.75" customHeight="1">
      <c r="A1974" s="28">
        <v>18062</v>
      </c>
      <c r="B1974" s="91">
        <v>44999.671319444446</v>
      </c>
      <c r="C1974" s="28" t="s">
        <v>10</v>
      </c>
      <c r="D1974" s="28" t="s">
        <v>912</v>
      </c>
      <c r="E1974" s="28"/>
      <c r="F1974" s="28">
        <v>0</v>
      </c>
      <c r="G1974" s="28" t="s">
        <v>139</v>
      </c>
      <c r="H1974" s="28">
        <v>0</v>
      </c>
      <c r="J1974" s="28"/>
    </row>
    <row r="1975" spans="1:10" ht="15.75" customHeight="1">
      <c r="A1975" s="28">
        <v>18093</v>
      </c>
      <c r="B1975" s="91">
        <v>45003.747025462959</v>
      </c>
      <c r="C1975" s="28" t="s">
        <v>10</v>
      </c>
      <c r="D1975" s="28" t="s">
        <v>911</v>
      </c>
      <c r="E1975" s="28"/>
      <c r="F1975" s="28">
        <v>0</v>
      </c>
      <c r="G1975" s="28" t="s">
        <v>139</v>
      </c>
      <c r="H1975" s="28">
        <v>0</v>
      </c>
      <c r="J1975" s="28"/>
    </row>
    <row r="1976" spans="1:10" ht="15.75" customHeight="1">
      <c r="A1976" s="28">
        <v>18093</v>
      </c>
      <c r="B1976" s="91">
        <v>45003.747025462959</v>
      </c>
      <c r="C1976" s="28" t="s">
        <v>10</v>
      </c>
      <c r="D1976" s="28" t="s">
        <v>911</v>
      </c>
      <c r="E1976" s="28"/>
      <c r="F1976" s="28">
        <v>28</v>
      </c>
      <c r="G1976" s="28" t="s">
        <v>143</v>
      </c>
      <c r="H1976" s="28">
        <v>0</v>
      </c>
      <c r="J1976" s="28"/>
    </row>
    <row r="1977" spans="1:10" ht="15.75" customHeight="1">
      <c r="A1977" s="28">
        <v>18093</v>
      </c>
      <c r="B1977" s="91">
        <v>45003.747025462959</v>
      </c>
      <c r="C1977" s="28" t="s">
        <v>10</v>
      </c>
      <c r="D1977" s="28" t="s">
        <v>911</v>
      </c>
      <c r="E1977" s="28"/>
      <c r="F1977" s="28">
        <v>25</v>
      </c>
      <c r="G1977" s="28" t="s">
        <v>141</v>
      </c>
      <c r="H1977" s="28">
        <v>0</v>
      </c>
      <c r="J1977" s="28"/>
    </row>
    <row r="1978" spans="1:10" ht="15.75" customHeight="1">
      <c r="A1978" s="28">
        <v>18094</v>
      </c>
      <c r="B1978" s="91">
        <v>45003.816469907411</v>
      </c>
      <c r="C1978" s="28" t="s">
        <v>10</v>
      </c>
      <c r="D1978" s="28" t="s">
        <v>409</v>
      </c>
      <c r="E1978" s="28"/>
      <c r="F1978" s="28">
        <v>24</v>
      </c>
      <c r="G1978" s="28" t="s">
        <v>122</v>
      </c>
      <c r="H1978" s="28">
        <v>0</v>
      </c>
      <c r="J1978" s="28"/>
    </row>
    <row r="1979" spans="1:10" ht="15.75" customHeight="1">
      <c r="A1979" s="28">
        <v>18094</v>
      </c>
      <c r="B1979" s="91">
        <v>45003.816469907411</v>
      </c>
      <c r="C1979" s="28" t="s">
        <v>10</v>
      </c>
      <c r="D1979" s="28" t="s">
        <v>409</v>
      </c>
      <c r="E1979" s="28"/>
      <c r="F1979" s="28">
        <v>44</v>
      </c>
      <c r="G1979" s="28" t="s">
        <v>137</v>
      </c>
      <c r="H1979" s="28">
        <v>0</v>
      </c>
      <c r="J1979" s="28"/>
    </row>
    <row r="1980" spans="1:10" ht="15.75" customHeight="1">
      <c r="A1980" s="28">
        <v>18095</v>
      </c>
      <c r="B1980" s="91">
        <v>45003.973344907412</v>
      </c>
      <c r="C1980" s="28" t="s">
        <v>10</v>
      </c>
      <c r="D1980" s="28" t="s">
        <v>910</v>
      </c>
      <c r="E1980" s="28"/>
      <c r="F1980" s="28">
        <v>20</v>
      </c>
      <c r="G1980" s="28" t="s">
        <v>148</v>
      </c>
      <c r="H1980" s="28">
        <v>0</v>
      </c>
      <c r="J1980" s="28"/>
    </row>
    <row r="1981" spans="1:10" ht="15.75" customHeight="1">
      <c r="A1981" s="28">
        <v>18095</v>
      </c>
      <c r="B1981" s="91">
        <v>45003.973344907412</v>
      </c>
      <c r="C1981" s="28" t="s">
        <v>10</v>
      </c>
      <c r="D1981" s="28" t="s">
        <v>910</v>
      </c>
      <c r="E1981" s="28"/>
      <c r="F1981" s="28">
        <v>25</v>
      </c>
      <c r="G1981" s="28">
        <v>100692</v>
      </c>
      <c r="H1981" s="28">
        <v>0</v>
      </c>
      <c r="J1981" s="28"/>
    </row>
    <row r="1982" spans="1:10" ht="15.75" customHeight="1">
      <c r="A1982" s="28">
        <v>18095</v>
      </c>
      <c r="B1982" s="91">
        <v>45003.973344907412</v>
      </c>
      <c r="C1982" s="28" t="s">
        <v>10</v>
      </c>
      <c r="D1982" s="28" t="s">
        <v>910</v>
      </c>
      <c r="E1982" s="28"/>
      <c r="F1982" s="28">
        <v>0</v>
      </c>
      <c r="G1982" s="28" t="s">
        <v>125</v>
      </c>
      <c r="H1982" s="28">
        <v>0</v>
      </c>
      <c r="J1982" s="28"/>
    </row>
    <row r="1983" spans="1:10" ht="15.75" customHeight="1">
      <c r="A1983" s="28">
        <v>18095</v>
      </c>
      <c r="B1983" s="91">
        <v>45003.973344907412</v>
      </c>
      <c r="C1983" s="28" t="s">
        <v>10</v>
      </c>
      <c r="D1983" s="28" t="s">
        <v>910</v>
      </c>
      <c r="E1983" s="28"/>
      <c r="F1983" s="28">
        <v>0</v>
      </c>
      <c r="G1983" s="28" t="s">
        <v>119</v>
      </c>
      <c r="H1983" s="28">
        <v>0</v>
      </c>
      <c r="J1983" s="28"/>
    </row>
    <row r="1984" spans="1:10" ht="15.75" customHeight="1">
      <c r="A1984" s="28">
        <v>18095</v>
      </c>
      <c r="B1984" s="91">
        <v>45003.973344907412</v>
      </c>
      <c r="C1984" s="28" t="s">
        <v>10</v>
      </c>
      <c r="D1984" s="28" t="s">
        <v>910</v>
      </c>
      <c r="E1984" s="28"/>
      <c r="F1984" s="28">
        <v>10</v>
      </c>
      <c r="G1984" s="28" t="s">
        <v>334</v>
      </c>
      <c r="H1984" s="28">
        <v>0</v>
      </c>
      <c r="J1984" s="28"/>
    </row>
    <row r="1985" spans="1:10" ht="15.75" customHeight="1">
      <c r="A1985" s="28">
        <v>18097</v>
      </c>
      <c r="B1985" s="91">
        <v>45004.677650462967</v>
      </c>
      <c r="C1985" s="28" t="s">
        <v>10</v>
      </c>
      <c r="D1985" s="28" t="s">
        <v>909</v>
      </c>
      <c r="E1985" s="28"/>
      <c r="F1985" s="28">
        <v>18</v>
      </c>
      <c r="G1985" s="28" t="s">
        <v>122</v>
      </c>
      <c r="H1985" s="28">
        <v>0</v>
      </c>
      <c r="J1985" s="28"/>
    </row>
    <row r="1986" spans="1:10" ht="15.75" customHeight="1">
      <c r="A1986" s="28">
        <v>18097</v>
      </c>
      <c r="B1986" s="91">
        <v>45004.677650462967</v>
      </c>
      <c r="C1986" s="28" t="s">
        <v>10</v>
      </c>
      <c r="D1986" s="28" t="s">
        <v>909</v>
      </c>
      <c r="E1986" s="28"/>
      <c r="F1986" s="28">
        <v>18</v>
      </c>
      <c r="G1986" s="28" t="s">
        <v>122</v>
      </c>
      <c r="H1986" s="28">
        <v>0</v>
      </c>
      <c r="J1986" s="28"/>
    </row>
    <row r="1987" spans="1:10" ht="15.75" customHeight="1">
      <c r="A1987" s="28">
        <v>18097</v>
      </c>
      <c r="B1987" s="91">
        <v>45004.677650462967</v>
      </c>
      <c r="C1987" s="28" t="s">
        <v>10</v>
      </c>
      <c r="D1987" s="28" t="s">
        <v>909</v>
      </c>
      <c r="E1987" s="28"/>
      <c r="F1987" s="28">
        <v>0</v>
      </c>
      <c r="G1987" s="28" t="s">
        <v>139</v>
      </c>
      <c r="H1987" s="28">
        <v>0</v>
      </c>
      <c r="J1987" s="28"/>
    </row>
    <row r="1988" spans="1:10" ht="15.75" customHeight="1">
      <c r="A1988" s="28">
        <v>18097</v>
      </c>
      <c r="B1988" s="91">
        <v>45004.677650462967</v>
      </c>
      <c r="C1988" s="28" t="s">
        <v>10</v>
      </c>
      <c r="D1988" s="28" t="s">
        <v>909</v>
      </c>
      <c r="E1988" s="28"/>
      <c r="F1988" s="28">
        <v>37.5</v>
      </c>
      <c r="G1988" s="28" t="s">
        <v>297</v>
      </c>
      <c r="H1988" s="28">
        <v>0</v>
      </c>
      <c r="J1988" s="28"/>
    </row>
    <row r="1989" spans="1:10" ht="15.75" customHeight="1">
      <c r="A1989" s="28">
        <v>18097</v>
      </c>
      <c r="B1989" s="91">
        <v>45004.677650462967</v>
      </c>
      <c r="C1989" s="28" t="s">
        <v>10</v>
      </c>
      <c r="D1989" s="28" t="s">
        <v>909</v>
      </c>
      <c r="E1989" s="28"/>
      <c r="F1989" s="28">
        <v>27</v>
      </c>
      <c r="G1989" s="28" t="s">
        <v>457</v>
      </c>
      <c r="H1989" s="28">
        <v>0</v>
      </c>
      <c r="J1989" s="28"/>
    </row>
    <row r="1990" spans="1:10" ht="15.75" customHeight="1">
      <c r="A1990" s="28">
        <v>18097</v>
      </c>
      <c r="B1990" s="91">
        <v>45004.677650462967</v>
      </c>
      <c r="C1990" s="28" t="s">
        <v>10</v>
      </c>
      <c r="D1990" s="28" t="s">
        <v>909</v>
      </c>
      <c r="E1990" s="28"/>
      <c r="F1990" s="28">
        <v>30</v>
      </c>
      <c r="G1990" s="28" t="s">
        <v>205</v>
      </c>
      <c r="H1990" s="28">
        <v>0</v>
      </c>
      <c r="J1990" s="28"/>
    </row>
    <row r="1991" spans="1:10" ht="15.75" customHeight="1">
      <c r="A1991" s="28">
        <v>18097</v>
      </c>
      <c r="B1991" s="91">
        <v>45004.677650462967</v>
      </c>
      <c r="C1991" s="28" t="s">
        <v>10</v>
      </c>
      <c r="D1991" s="28" t="s">
        <v>909</v>
      </c>
      <c r="E1991" s="28"/>
      <c r="F1991" s="28">
        <v>0</v>
      </c>
      <c r="G1991" s="28" t="s">
        <v>125</v>
      </c>
      <c r="H1991" s="28">
        <v>0</v>
      </c>
      <c r="J1991" s="28"/>
    </row>
    <row r="1992" spans="1:10" ht="15.75" customHeight="1">
      <c r="A1992" s="28">
        <v>18098</v>
      </c>
      <c r="B1992" s="91">
        <v>45005.955277777779</v>
      </c>
      <c r="C1992" s="28" t="s">
        <v>10</v>
      </c>
      <c r="D1992" s="28" t="s">
        <v>642</v>
      </c>
      <c r="E1992" s="28"/>
      <c r="F1992" s="28">
        <v>100</v>
      </c>
      <c r="G1992" s="28" t="s">
        <v>908</v>
      </c>
      <c r="H1992" s="28">
        <v>0</v>
      </c>
      <c r="J1992" s="28"/>
    </row>
    <row r="1993" spans="1:10" ht="15.75" customHeight="1">
      <c r="A1993" s="28">
        <v>18099</v>
      </c>
      <c r="B1993" s="91">
        <v>45006.76730324074</v>
      </c>
      <c r="C1993" s="28" t="s">
        <v>10</v>
      </c>
      <c r="D1993" s="28" t="s">
        <v>907</v>
      </c>
      <c r="E1993" s="28"/>
      <c r="F1993" s="28">
        <v>50</v>
      </c>
      <c r="G1993" s="28">
        <v>100692</v>
      </c>
      <c r="H1993" s="28">
        <v>0</v>
      </c>
      <c r="J1993" s="28"/>
    </row>
    <row r="1994" spans="1:10" ht="15.75" customHeight="1">
      <c r="A1994" s="28">
        <v>18099</v>
      </c>
      <c r="B1994" s="91">
        <v>45006.76730324074</v>
      </c>
      <c r="C1994" s="28" t="s">
        <v>10</v>
      </c>
      <c r="D1994" s="28" t="s">
        <v>907</v>
      </c>
      <c r="E1994" s="28"/>
      <c r="F1994" s="28">
        <v>0</v>
      </c>
      <c r="G1994" s="28" t="s">
        <v>125</v>
      </c>
      <c r="H1994" s="28">
        <v>0</v>
      </c>
      <c r="J1994" s="28"/>
    </row>
    <row r="1995" spans="1:10" ht="15.75" customHeight="1">
      <c r="A1995" s="28">
        <v>18099</v>
      </c>
      <c r="B1995" s="91">
        <v>45006.76730324074</v>
      </c>
      <c r="C1995" s="28" t="s">
        <v>10</v>
      </c>
      <c r="D1995" s="28" t="s">
        <v>907</v>
      </c>
      <c r="E1995" s="28"/>
      <c r="F1995" s="28">
        <v>0</v>
      </c>
      <c r="G1995" s="28" t="s">
        <v>119</v>
      </c>
      <c r="H1995" s="28">
        <v>0</v>
      </c>
      <c r="J1995" s="28"/>
    </row>
    <row r="1996" spans="1:10" ht="15.75" customHeight="1">
      <c r="A1996" s="28">
        <v>18104</v>
      </c>
      <c r="B1996" s="91">
        <v>45007.938680555555</v>
      </c>
      <c r="C1996" s="28" t="s">
        <v>10</v>
      </c>
      <c r="D1996" s="28" t="s">
        <v>906</v>
      </c>
      <c r="E1996" s="28"/>
      <c r="F1996" s="28">
        <v>200</v>
      </c>
      <c r="G1996" s="28" t="s">
        <v>148</v>
      </c>
      <c r="H1996" s="28">
        <v>0</v>
      </c>
      <c r="J1996" s="28"/>
    </row>
    <row r="1997" spans="1:10" ht="15.75" customHeight="1">
      <c r="A1997" s="28">
        <v>18106</v>
      </c>
      <c r="B1997" s="91">
        <v>45008.531099537038</v>
      </c>
      <c r="C1997" s="28" t="s">
        <v>10</v>
      </c>
      <c r="D1997" s="28" t="s">
        <v>905</v>
      </c>
      <c r="E1997" s="28"/>
      <c r="F1997" s="28">
        <v>25</v>
      </c>
      <c r="G1997" s="28">
        <v>100692</v>
      </c>
      <c r="H1997" s="28">
        <v>0</v>
      </c>
      <c r="J1997" s="28"/>
    </row>
    <row r="1998" spans="1:10" ht="15.75" customHeight="1">
      <c r="A1998" s="28">
        <v>18106</v>
      </c>
      <c r="B1998" s="91">
        <v>45008.531099537038</v>
      </c>
      <c r="C1998" s="28" t="s">
        <v>10</v>
      </c>
      <c r="D1998" s="28" t="s">
        <v>905</v>
      </c>
      <c r="E1998" s="28"/>
      <c r="F1998" s="28">
        <v>0</v>
      </c>
      <c r="G1998" s="28" t="s">
        <v>125</v>
      </c>
      <c r="H1998" s="28">
        <v>0</v>
      </c>
      <c r="J1998" s="28"/>
    </row>
    <row r="1999" spans="1:10" ht="15.75" customHeight="1">
      <c r="A1999" s="28">
        <v>18106</v>
      </c>
      <c r="B1999" s="91">
        <v>45008.531099537038</v>
      </c>
      <c r="C1999" s="28" t="s">
        <v>10</v>
      </c>
      <c r="D1999" s="28" t="s">
        <v>905</v>
      </c>
      <c r="E1999" s="28"/>
      <c r="F1999" s="28">
        <v>0</v>
      </c>
      <c r="G1999" s="28" t="s">
        <v>119</v>
      </c>
      <c r="H1999" s="28">
        <v>0</v>
      </c>
      <c r="J1999" s="28"/>
    </row>
    <row r="2000" spans="1:10" ht="15.75" customHeight="1">
      <c r="A2000" s="28">
        <v>18107</v>
      </c>
      <c r="B2000" s="91">
        <v>45009.10292824074</v>
      </c>
      <c r="C2000" s="28" t="s">
        <v>10</v>
      </c>
      <c r="D2000" s="28" t="s">
        <v>904</v>
      </c>
      <c r="E2000" s="28"/>
      <c r="F2000" s="28">
        <v>25</v>
      </c>
      <c r="G2000" s="28" t="s">
        <v>141</v>
      </c>
      <c r="H2000" s="28">
        <v>0</v>
      </c>
      <c r="J2000" s="28"/>
    </row>
    <row r="2001" spans="1:10" ht="15.75" customHeight="1">
      <c r="A2001" s="28">
        <v>18108</v>
      </c>
      <c r="B2001" s="91">
        <v>45010.044733796298</v>
      </c>
      <c r="C2001" s="28" t="s">
        <v>10</v>
      </c>
      <c r="D2001" s="28" t="s">
        <v>903</v>
      </c>
      <c r="E2001" s="28"/>
      <c r="F2001" s="28">
        <v>28</v>
      </c>
      <c r="G2001" s="28" t="s">
        <v>143</v>
      </c>
      <c r="H2001" s="28">
        <v>0</v>
      </c>
      <c r="J2001" s="28"/>
    </row>
    <row r="2002" spans="1:10" ht="15.75" customHeight="1">
      <c r="A2002" s="28">
        <v>18109</v>
      </c>
      <c r="B2002" s="91">
        <v>45010.056192129632</v>
      </c>
      <c r="C2002" s="28" t="s">
        <v>10</v>
      </c>
      <c r="D2002" s="28" t="s">
        <v>902</v>
      </c>
      <c r="E2002" s="28"/>
      <c r="F2002" s="28">
        <v>25</v>
      </c>
      <c r="G2002" s="28">
        <v>100692</v>
      </c>
      <c r="H2002" s="28">
        <v>0</v>
      </c>
      <c r="J2002" s="28"/>
    </row>
    <row r="2003" spans="1:10" ht="15.75" customHeight="1">
      <c r="A2003" s="28">
        <v>18109</v>
      </c>
      <c r="B2003" s="91">
        <v>45010.056192129632</v>
      </c>
      <c r="C2003" s="28" t="s">
        <v>10</v>
      </c>
      <c r="D2003" s="28" t="s">
        <v>902</v>
      </c>
      <c r="E2003" s="28"/>
      <c r="F2003" s="28">
        <v>0</v>
      </c>
      <c r="G2003" s="28" t="s">
        <v>125</v>
      </c>
      <c r="H2003" s="28">
        <v>0</v>
      </c>
      <c r="J2003" s="28"/>
    </row>
    <row r="2004" spans="1:10" ht="15.75" customHeight="1">
      <c r="A2004" s="28">
        <v>18109</v>
      </c>
      <c r="B2004" s="91">
        <v>45010.056192129632</v>
      </c>
      <c r="C2004" s="28" t="s">
        <v>10</v>
      </c>
      <c r="D2004" s="28" t="s">
        <v>902</v>
      </c>
      <c r="E2004" s="28"/>
      <c r="F2004" s="28">
        <v>0</v>
      </c>
      <c r="G2004" s="28" t="s">
        <v>119</v>
      </c>
      <c r="H2004" s="28">
        <v>0</v>
      </c>
      <c r="J2004" s="28"/>
    </row>
    <row r="2005" spans="1:10" ht="15.75" customHeight="1">
      <c r="A2005" s="28">
        <v>18109</v>
      </c>
      <c r="B2005" s="91">
        <v>45010.056192129632</v>
      </c>
      <c r="C2005" s="28" t="s">
        <v>10</v>
      </c>
      <c r="D2005" s="28" t="s">
        <v>902</v>
      </c>
      <c r="E2005" s="28"/>
      <c r="F2005" s="28">
        <v>20</v>
      </c>
      <c r="G2005" s="28" t="s">
        <v>148</v>
      </c>
      <c r="H2005" s="28">
        <v>0</v>
      </c>
      <c r="J2005" s="28"/>
    </row>
    <row r="2006" spans="1:10" ht="15.75" customHeight="1">
      <c r="A2006" s="28">
        <v>18111</v>
      </c>
      <c r="B2006" s="91">
        <v>45011.133611111116</v>
      </c>
      <c r="C2006" s="28" t="s">
        <v>10</v>
      </c>
      <c r="D2006" s="28" t="s">
        <v>132</v>
      </c>
      <c r="E2006" s="28"/>
      <c r="F2006" s="28">
        <v>435</v>
      </c>
      <c r="G2006" s="28" t="s">
        <v>139</v>
      </c>
      <c r="H2006" s="28">
        <v>0</v>
      </c>
      <c r="J2006" s="28"/>
    </row>
    <row r="2007" spans="1:10" ht="15.75" customHeight="1">
      <c r="A2007" s="28">
        <v>18111</v>
      </c>
      <c r="B2007" s="91">
        <v>45011.133611111116</v>
      </c>
      <c r="C2007" s="28" t="s">
        <v>10</v>
      </c>
      <c r="D2007" s="28" t="s">
        <v>132</v>
      </c>
      <c r="E2007" s="28"/>
      <c r="F2007" s="28">
        <v>71</v>
      </c>
      <c r="G2007" s="28"/>
      <c r="H2007" s="28">
        <v>0</v>
      </c>
      <c r="J2007" s="28"/>
    </row>
    <row r="2008" spans="1:10" ht="15.75" customHeight="1">
      <c r="A2008" s="28">
        <v>18111</v>
      </c>
      <c r="B2008" s="91">
        <v>45011.133611111116</v>
      </c>
      <c r="C2008" s="28" t="s">
        <v>10</v>
      </c>
      <c r="D2008" s="28" t="s">
        <v>132</v>
      </c>
      <c r="E2008" s="28"/>
      <c r="F2008" s="28">
        <v>60</v>
      </c>
      <c r="G2008" s="28"/>
      <c r="H2008" s="28">
        <v>0</v>
      </c>
      <c r="J2008" s="28"/>
    </row>
    <row r="2009" spans="1:10" ht="15.75" customHeight="1">
      <c r="A2009" s="28">
        <v>18113</v>
      </c>
      <c r="B2009" s="91">
        <v>45011.520509259259</v>
      </c>
      <c r="C2009" s="28" t="s">
        <v>10</v>
      </c>
      <c r="D2009" s="28" t="s">
        <v>901</v>
      </c>
      <c r="E2009" s="28"/>
      <c r="F2009" s="28">
        <v>28</v>
      </c>
      <c r="G2009" s="28" t="s">
        <v>143</v>
      </c>
      <c r="H2009" s="28">
        <v>0</v>
      </c>
      <c r="J2009" s="28"/>
    </row>
    <row r="2010" spans="1:10" ht="15.75" customHeight="1">
      <c r="A2010" s="28">
        <v>18114</v>
      </c>
      <c r="B2010" s="91">
        <v>45011.687210648146</v>
      </c>
      <c r="C2010" s="28" t="s">
        <v>10</v>
      </c>
      <c r="D2010" s="28" t="s">
        <v>899</v>
      </c>
      <c r="E2010" s="28"/>
      <c r="F2010" s="28">
        <v>28</v>
      </c>
      <c r="G2010" s="28" t="s">
        <v>143</v>
      </c>
      <c r="H2010" s="28">
        <v>0</v>
      </c>
      <c r="J2010" s="28"/>
    </row>
    <row r="2011" spans="1:10" ht="15.75" customHeight="1">
      <c r="A2011" s="28">
        <v>18114</v>
      </c>
      <c r="B2011" s="91">
        <v>45011.687210648146</v>
      </c>
      <c r="C2011" s="28" t="s">
        <v>10</v>
      </c>
      <c r="D2011" s="28" t="s">
        <v>899</v>
      </c>
      <c r="E2011" s="28"/>
      <c r="F2011" s="28">
        <v>25</v>
      </c>
      <c r="G2011" s="28">
        <v>100692</v>
      </c>
      <c r="H2011" s="28">
        <v>0</v>
      </c>
      <c r="J2011" s="28"/>
    </row>
    <row r="2012" spans="1:10" ht="15.75" customHeight="1">
      <c r="A2012" s="28">
        <v>18114</v>
      </c>
      <c r="B2012" s="91">
        <v>45011.687210648146</v>
      </c>
      <c r="C2012" s="28" t="s">
        <v>10</v>
      </c>
      <c r="D2012" s="28" t="s">
        <v>899</v>
      </c>
      <c r="E2012" s="28"/>
      <c r="F2012" s="28">
        <v>0</v>
      </c>
      <c r="G2012" s="28" t="s">
        <v>125</v>
      </c>
      <c r="H2012" s="28">
        <v>0</v>
      </c>
      <c r="J2012" s="28"/>
    </row>
    <row r="2013" spans="1:10" ht="15.75" customHeight="1">
      <c r="A2013" s="28">
        <v>18114</v>
      </c>
      <c r="B2013" s="91">
        <v>45011.687210648146</v>
      </c>
      <c r="C2013" s="28" t="s">
        <v>10</v>
      </c>
      <c r="D2013" s="28" t="s">
        <v>899</v>
      </c>
      <c r="E2013" s="28"/>
      <c r="F2013" s="28">
        <v>0</v>
      </c>
      <c r="G2013" s="28" t="s">
        <v>119</v>
      </c>
      <c r="H2013" s="28">
        <v>0</v>
      </c>
      <c r="J2013" s="28"/>
    </row>
    <row r="2014" spans="1:10" ht="15.75" customHeight="1">
      <c r="A2014" s="28">
        <v>18114</v>
      </c>
      <c r="B2014" s="91">
        <v>45011.687210648146</v>
      </c>
      <c r="C2014" s="28" t="s">
        <v>10</v>
      </c>
      <c r="D2014" s="28" t="s">
        <v>899</v>
      </c>
      <c r="E2014" s="28"/>
      <c r="F2014" s="28">
        <v>32</v>
      </c>
      <c r="G2014" s="28" t="s">
        <v>900</v>
      </c>
      <c r="H2014" s="28">
        <v>0</v>
      </c>
      <c r="J2014" s="28"/>
    </row>
    <row r="2015" spans="1:10" ht="15.75" customHeight="1">
      <c r="A2015" s="28">
        <v>18115</v>
      </c>
      <c r="B2015" s="91">
        <v>45011.690763888888</v>
      </c>
      <c r="C2015" s="28" t="s">
        <v>10</v>
      </c>
      <c r="D2015" s="28" t="s">
        <v>898</v>
      </c>
      <c r="E2015" s="28"/>
      <c r="F2015" s="28">
        <v>15</v>
      </c>
      <c r="G2015" s="28"/>
      <c r="H2015" s="28">
        <v>0</v>
      </c>
      <c r="J2015" s="28"/>
    </row>
    <row r="2016" spans="1:10" ht="15.75" customHeight="1">
      <c r="A2016" s="28">
        <v>18116</v>
      </c>
      <c r="B2016" s="91">
        <v>45011.693726851852</v>
      </c>
      <c r="C2016" s="28" t="s">
        <v>10</v>
      </c>
      <c r="D2016" s="28" t="s">
        <v>897</v>
      </c>
      <c r="E2016" s="28"/>
      <c r="F2016" s="28">
        <v>15</v>
      </c>
      <c r="G2016" s="28"/>
      <c r="H2016" s="28">
        <v>0</v>
      </c>
      <c r="J2016" s="28"/>
    </row>
    <row r="2017" spans="1:10" ht="15.75" customHeight="1">
      <c r="A2017" s="28">
        <v>18117</v>
      </c>
      <c r="B2017" s="91">
        <v>45011.942337962959</v>
      </c>
      <c r="C2017" s="28" t="s">
        <v>10</v>
      </c>
      <c r="D2017" s="28" t="s">
        <v>895</v>
      </c>
      <c r="E2017" s="28"/>
      <c r="F2017" s="28">
        <v>15</v>
      </c>
      <c r="G2017" s="28" t="s">
        <v>896</v>
      </c>
      <c r="H2017" s="28">
        <v>0</v>
      </c>
      <c r="J2017" s="28"/>
    </row>
    <row r="2018" spans="1:10" ht="15.75" customHeight="1">
      <c r="A2018" s="28">
        <v>18122</v>
      </c>
      <c r="B2018" s="91">
        <v>45012.579421296294</v>
      </c>
      <c r="C2018" s="28" t="s">
        <v>10</v>
      </c>
      <c r="D2018" s="28" t="s">
        <v>720</v>
      </c>
      <c r="E2018" s="28"/>
      <c r="F2018" s="28">
        <v>25</v>
      </c>
      <c r="G2018" s="28">
        <v>100692</v>
      </c>
      <c r="H2018" s="28">
        <v>0</v>
      </c>
      <c r="J2018" s="28"/>
    </row>
    <row r="2019" spans="1:10" ht="15.75" customHeight="1">
      <c r="A2019" s="28">
        <v>18122</v>
      </c>
      <c r="B2019" s="91">
        <v>45012.579421296294</v>
      </c>
      <c r="C2019" s="28" t="s">
        <v>10</v>
      </c>
      <c r="D2019" s="28" t="s">
        <v>720</v>
      </c>
      <c r="E2019" s="28"/>
      <c r="F2019" s="28">
        <v>0</v>
      </c>
      <c r="G2019" s="28" t="s">
        <v>125</v>
      </c>
      <c r="H2019" s="28">
        <v>0</v>
      </c>
      <c r="J2019" s="28"/>
    </row>
    <row r="2020" spans="1:10" ht="15.75" customHeight="1">
      <c r="A2020" s="28">
        <v>18122</v>
      </c>
      <c r="B2020" s="91">
        <v>45012.579421296294</v>
      </c>
      <c r="C2020" s="28" t="s">
        <v>10</v>
      </c>
      <c r="D2020" s="28" t="s">
        <v>720</v>
      </c>
      <c r="E2020" s="28"/>
      <c r="F2020" s="28">
        <v>0</v>
      </c>
      <c r="G2020" s="28" t="s">
        <v>119</v>
      </c>
      <c r="H2020" s="28">
        <v>0</v>
      </c>
      <c r="J2020" s="28"/>
    </row>
    <row r="2021" spans="1:10" ht="15.75" customHeight="1">
      <c r="A2021" s="28">
        <v>18123</v>
      </c>
      <c r="B2021" s="91">
        <v>45012.970451388886</v>
      </c>
      <c r="C2021" s="28" t="s">
        <v>8</v>
      </c>
      <c r="D2021" s="28" t="s">
        <v>894</v>
      </c>
      <c r="E2021" s="28"/>
      <c r="F2021" s="28">
        <v>55</v>
      </c>
      <c r="G2021" s="28">
        <v>101684</v>
      </c>
      <c r="H2021" s="28">
        <v>0</v>
      </c>
      <c r="J2021" s="28"/>
    </row>
    <row r="2022" spans="1:10" ht="15.75" customHeight="1">
      <c r="A2022" s="28">
        <v>18123</v>
      </c>
      <c r="B2022" s="91">
        <v>45012.970451388886</v>
      </c>
      <c r="C2022" s="28" t="s">
        <v>8</v>
      </c>
      <c r="D2022" s="28" t="s">
        <v>894</v>
      </c>
      <c r="E2022" s="28"/>
      <c r="F2022" s="28">
        <v>0</v>
      </c>
      <c r="G2022" s="28" t="s">
        <v>118</v>
      </c>
      <c r="H2022" s="28">
        <v>0</v>
      </c>
      <c r="J2022" s="28"/>
    </row>
    <row r="2023" spans="1:10" ht="15.75" customHeight="1">
      <c r="A2023" s="28">
        <v>18123</v>
      </c>
      <c r="B2023" s="91">
        <v>45012.970451388886</v>
      </c>
      <c r="C2023" s="28" t="s">
        <v>8</v>
      </c>
      <c r="D2023" s="28" t="s">
        <v>894</v>
      </c>
      <c r="E2023" s="28"/>
      <c r="F2023" s="28">
        <v>0</v>
      </c>
      <c r="G2023" s="28" t="s">
        <v>119</v>
      </c>
      <c r="H2023" s="28">
        <v>0</v>
      </c>
      <c r="J2023" s="28"/>
    </row>
    <row r="2024" spans="1:10" ht="15.75" customHeight="1">
      <c r="A2024" s="28">
        <v>18123</v>
      </c>
      <c r="B2024" s="91">
        <v>45012.970451388886</v>
      </c>
      <c r="C2024" s="28" t="s">
        <v>8</v>
      </c>
      <c r="D2024" s="28" t="s">
        <v>894</v>
      </c>
      <c r="E2024" s="28"/>
      <c r="F2024" s="28">
        <v>0</v>
      </c>
      <c r="G2024" s="28" t="s">
        <v>120</v>
      </c>
      <c r="H2024" s="28">
        <v>0</v>
      </c>
      <c r="J2024" s="28"/>
    </row>
    <row r="2025" spans="1:10" ht="15.75" customHeight="1">
      <c r="A2025" s="28">
        <v>18123</v>
      </c>
      <c r="B2025" s="91">
        <v>45012.970451388886</v>
      </c>
      <c r="C2025" s="28" t="s">
        <v>8</v>
      </c>
      <c r="D2025" s="28" t="s">
        <v>894</v>
      </c>
      <c r="E2025" s="28"/>
      <c r="F2025" s="28">
        <v>0</v>
      </c>
      <c r="G2025" s="28" t="s">
        <v>121</v>
      </c>
      <c r="H2025" s="28">
        <v>0</v>
      </c>
      <c r="J2025" s="28"/>
    </row>
    <row r="2026" spans="1:10" ht="15.75" customHeight="1">
      <c r="A2026" s="28">
        <v>18124</v>
      </c>
      <c r="B2026" s="91">
        <v>45014.774884259255</v>
      </c>
      <c r="C2026" s="28" t="s">
        <v>10</v>
      </c>
      <c r="D2026" s="28" t="s">
        <v>893</v>
      </c>
      <c r="E2026" s="28"/>
      <c r="F2026" s="28">
        <v>25</v>
      </c>
      <c r="G2026" s="28">
        <v>100692</v>
      </c>
      <c r="H2026" s="28">
        <v>0</v>
      </c>
      <c r="J2026" s="28"/>
    </row>
    <row r="2027" spans="1:10" ht="15.75" customHeight="1">
      <c r="A2027" s="28">
        <v>18124</v>
      </c>
      <c r="B2027" s="91">
        <v>45014.774884259255</v>
      </c>
      <c r="C2027" s="28" t="s">
        <v>10</v>
      </c>
      <c r="D2027" s="28" t="s">
        <v>893</v>
      </c>
      <c r="E2027" s="28"/>
      <c r="F2027" s="28">
        <v>0</v>
      </c>
      <c r="G2027" s="28" t="s">
        <v>125</v>
      </c>
      <c r="H2027" s="28">
        <v>0</v>
      </c>
      <c r="J2027" s="28"/>
    </row>
    <row r="2028" spans="1:10" ht="15.75" customHeight="1">
      <c r="A2028" s="28">
        <v>18124</v>
      </c>
      <c r="B2028" s="91">
        <v>45014.774884259255</v>
      </c>
      <c r="C2028" s="28" t="s">
        <v>10</v>
      </c>
      <c r="D2028" s="28" t="s">
        <v>893</v>
      </c>
      <c r="E2028" s="28"/>
      <c r="F2028" s="28">
        <v>0</v>
      </c>
      <c r="G2028" s="28" t="s">
        <v>119</v>
      </c>
      <c r="H2028" s="28">
        <v>0</v>
      </c>
      <c r="J2028" s="28"/>
    </row>
    <row r="2029" spans="1:10" ht="15.75" customHeight="1">
      <c r="A2029" s="28">
        <v>18125</v>
      </c>
      <c r="B2029" s="91">
        <v>45015.575335648144</v>
      </c>
      <c r="C2029" s="28" t="s">
        <v>10</v>
      </c>
      <c r="D2029" s="28" t="s">
        <v>892</v>
      </c>
      <c r="E2029" s="28"/>
      <c r="F2029" s="28">
        <v>0</v>
      </c>
      <c r="G2029" s="28" t="s">
        <v>148</v>
      </c>
      <c r="H2029" s="28">
        <v>0</v>
      </c>
      <c r="J2029" s="28"/>
    </row>
    <row r="2030" spans="1:10" ht="15.75" customHeight="1">
      <c r="A2030" s="28">
        <v>18127</v>
      </c>
      <c r="B2030" s="91">
        <v>45015.637384259258</v>
      </c>
      <c r="C2030" s="28" t="s">
        <v>10</v>
      </c>
      <c r="D2030" s="28" t="s">
        <v>891</v>
      </c>
      <c r="E2030" s="28"/>
      <c r="F2030" s="28">
        <v>0</v>
      </c>
      <c r="G2030" s="28" t="s">
        <v>148</v>
      </c>
      <c r="H2030" s="28">
        <v>0</v>
      </c>
      <c r="J2030" s="28"/>
    </row>
    <row r="2031" spans="1:10" ht="15.75" customHeight="1">
      <c r="A2031" s="28">
        <v>18130</v>
      </c>
      <c r="B2031" s="91">
        <v>45020.573877314819</v>
      </c>
      <c r="C2031" s="28" t="s">
        <v>10</v>
      </c>
      <c r="D2031" s="28" t="s">
        <v>890</v>
      </c>
      <c r="E2031" s="28"/>
      <c r="F2031" s="28">
        <v>0</v>
      </c>
      <c r="G2031" s="28" t="s">
        <v>124</v>
      </c>
      <c r="H2031" s="28">
        <v>0</v>
      </c>
      <c r="J2031" s="28"/>
    </row>
    <row r="2032" spans="1:10" ht="15.75" customHeight="1">
      <c r="A2032" s="28">
        <v>18130</v>
      </c>
      <c r="B2032" s="91">
        <v>45020.573877314819</v>
      </c>
      <c r="C2032" s="28" t="s">
        <v>10</v>
      </c>
      <c r="D2032" s="28" t="s">
        <v>890</v>
      </c>
      <c r="E2032" s="28"/>
      <c r="F2032" s="28">
        <v>0</v>
      </c>
      <c r="G2032" s="28" t="s">
        <v>125</v>
      </c>
      <c r="H2032" s="28">
        <v>0</v>
      </c>
      <c r="J2032" s="28"/>
    </row>
    <row r="2033" spans="1:10" ht="15.75" customHeight="1">
      <c r="A2033" s="28">
        <v>18130</v>
      </c>
      <c r="B2033" s="91">
        <v>45020.573877314819</v>
      </c>
      <c r="C2033" s="28" t="s">
        <v>10</v>
      </c>
      <c r="D2033" s="28" t="s">
        <v>890</v>
      </c>
      <c r="E2033" s="28"/>
      <c r="F2033" s="28">
        <v>0</v>
      </c>
      <c r="G2033" s="28" t="s">
        <v>119</v>
      </c>
      <c r="H2033" s="28">
        <v>0</v>
      </c>
      <c r="J2033" s="28"/>
    </row>
    <row r="2034" spans="1:10" ht="15.75" customHeight="1">
      <c r="A2034" s="28">
        <v>18130</v>
      </c>
      <c r="B2034" s="91">
        <v>45020.573877314819</v>
      </c>
      <c r="C2034" s="28" t="s">
        <v>10</v>
      </c>
      <c r="D2034" s="28" t="s">
        <v>890</v>
      </c>
      <c r="E2034" s="28"/>
      <c r="F2034" s="28">
        <v>0</v>
      </c>
      <c r="G2034" s="28" t="s">
        <v>121</v>
      </c>
      <c r="H2034" s="28">
        <v>0</v>
      </c>
      <c r="J2034" s="28"/>
    </row>
    <row r="2035" spans="1:10" ht="15.75" customHeight="1">
      <c r="A2035" s="28">
        <v>18137</v>
      </c>
      <c r="B2035" s="91">
        <v>45022.120740740742</v>
      </c>
      <c r="C2035" s="28" t="s">
        <v>10</v>
      </c>
      <c r="D2035" s="28" t="s">
        <v>132</v>
      </c>
      <c r="E2035" s="28"/>
      <c r="F2035" s="28">
        <v>825</v>
      </c>
      <c r="G2035" s="28" t="s">
        <v>117</v>
      </c>
      <c r="H2035" s="28">
        <v>0</v>
      </c>
      <c r="J2035" s="28"/>
    </row>
    <row r="2036" spans="1:10" ht="15.75" customHeight="1">
      <c r="A2036" s="28">
        <v>18140</v>
      </c>
      <c r="B2036" s="91">
        <v>45023.781018518523</v>
      </c>
      <c r="C2036" s="28" t="s">
        <v>8</v>
      </c>
      <c r="D2036" s="28" t="s">
        <v>889</v>
      </c>
      <c r="E2036" s="28"/>
      <c r="F2036" s="28">
        <v>25</v>
      </c>
      <c r="G2036" s="28">
        <v>100692</v>
      </c>
      <c r="H2036" s="28">
        <v>0</v>
      </c>
      <c r="J2036" s="28"/>
    </row>
    <row r="2037" spans="1:10" ht="15.75" customHeight="1">
      <c r="A2037" s="28">
        <v>18140</v>
      </c>
      <c r="B2037" s="91">
        <v>45023.781018518523</v>
      </c>
      <c r="C2037" s="28" t="s">
        <v>8</v>
      </c>
      <c r="D2037" s="28" t="s">
        <v>889</v>
      </c>
      <c r="E2037" s="28"/>
      <c r="F2037" s="28">
        <v>0</v>
      </c>
      <c r="G2037" s="28" t="s">
        <v>125</v>
      </c>
      <c r="H2037" s="28">
        <v>0</v>
      </c>
      <c r="J2037" s="28"/>
    </row>
    <row r="2038" spans="1:10" ht="15.75" customHeight="1">
      <c r="A2038" s="28">
        <v>18140</v>
      </c>
      <c r="B2038" s="91">
        <v>45023.781018518523</v>
      </c>
      <c r="C2038" s="28" t="s">
        <v>8</v>
      </c>
      <c r="D2038" s="28" t="s">
        <v>889</v>
      </c>
      <c r="E2038" s="28"/>
      <c r="F2038" s="28">
        <v>0</v>
      </c>
      <c r="G2038" s="28" t="s">
        <v>119</v>
      </c>
      <c r="H2038" s="28">
        <v>0</v>
      </c>
      <c r="J2038" s="28"/>
    </row>
    <row r="2039" spans="1:10" ht="15.75" customHeight="1">
      <c r="A2039" s="28">
        <v>18142</v>
      </c>
      <c r="B2039" s="91">
        <v>45024.096620370372</v>
      </c>
      <c r="C2039" s="28" t="s">
        <v>10</v>
      </c>
      <c r="D2039" s="28" t="s">
        <v>888</v>
      </c>
      <c r="E2039" s="28"/>
      <c r="F2039" s="28">
        <v>28</v>
      </c>
      <c r="G2039" s="28" t="s">
        <v>143</v>
      </c>
      <c r="H2039" s="28">
        <v>0</v>
      </c>
      <c r="J2039" s="28"/>
    </row>
    <row r="2040" spans="1:10" ht="15.75" customHeight="1">
      <c r="A2040" s="28">
        <v>18350</v>
      </c>
      <c r="B2040" s="91">
        <v>45042.111863425926</v>
      </c>
      <c r="C2040" s="28" t="s">
        <v>10</v>
      </c>
      <c r="D2040" s="28" t="s">
        <v>887</v>
      </c>
      <c r="E2040" s="28"/>
      <c r="F2040" s="28">
        <v>0</v>
      </c>
      <c r="G2040" s="28" t="s">
        <v>121</v>
      </c>
      <c r="H2040" s="28">
        <v>0</v>
      </c>
      <c r="J2040" s="28"/>
    </row>
    <row r="2041" spans="1:10" ht="15.75" customHeight="1">
      <c r="A2041" s="28">
        <v>18350</v>
      </c>
      <c r="B2041" s="91">
        <v>45042.111863425926</v>
      </c>
      <c r="C2041" s="28" t="s">
        <v>10</v>
      </c>
      <c r="D2041" s="28" t="s">
        <v>887</v>
      </c>
      <c r="E2041" s="28"/>
      <c r="F2041" s="28">
        <v>0</v>
      </c>
      <c r="G2041" s="28">
        <v>100692</v>
      </c>
      <c r="H2041" s="28">
        <v>0</v>
      </c>
      <c r="J2041" s="28"/>
    </row>
    <row r="2042" spans="1:10" ht="15.75" customHeight="1">
      <c r="A2042" s="28">
        <v>18350</v>
      </c>
      <c r="B2042" s="91">
        <v>45042.111863425926</v>
      </c>
      <c r="C2042" s="28" t="s">
        <v>10</v>
      </c>
      <c r="D2042" s="28" t="s">
        <v>887</v>
      </c>
      <c r="E2042" s="28"/>
      <c r="F2042" s="28">
        <v>0</v>
      </c>
      <c r="G2042" s="28" t="s">
        <v>125</v>
      </c>
      <c r="H2042" s="28">
        <v>0</v>
      </c>
      <c r="J2042" s="28"/>
    </row>
    <row r="2043" spans="1:10" ht="15.75" customHeight="1">
      <c r="A2043" s="28">
        <v>18350</v>
      </c>
      <c r="B2043" s="91">
        <v>45042.111863425926</v>
      </c>
      <c r="C2043" s="28" t="s">
        <v>10</v>
      </c>
      <c r="D2043" s="28" t="s">
        <v>887</v>
      </c>
      <c r="E2043" s="28"/>
      <c r="F2043" s="28">
        <v>0</v>
      </c>
      <c r="G2043" s="28" t="s">
        <v>119</v>
      </c>
      <c r="H2043" s="28">
        <v>0</v>
      </c>
      <c r="J2043" s="28"/>
    </row>
    <row r="2044" spans="1:10" ht="15.75" customHeight="1">
      <c r="A2044" s="28">
        <v>18350</v>
      </c>
      <c r="B2044" s="91">
        <v>45042.111863425926</v>
      </c>
      <c r="C2044" s="28" t="s">
        <v>10</v>
      </c>
      <c r="D2044" s="28" t="s">
        <v>887</v>
      </c>
      <c r="E2044" s="28"/>
      <c r="F2044" s="28">
        <v>0</v>
      </c>
      <c r="G2044" s="28" t="s">
        <v>205</v>
      </c>
      <c r="H2044" s="28">
        <v>0</v>
      </c>
      <c r="J2044" s="28"/>
    </row>
    <row r="2045" spans="1:10" ht="15.75" customHeight="1">
      <c r="A2045" s="28">
        <v>18350</v>
      </c>
      <c r="B2045" s="91">
        <v>45042.111863425926</v>
      </c>
      <c r="C2045" s="28" t="s">
        <v>10</v>
      </c>
      <c r="D2045" s="28" t="s">
        <v>887</v>
      </c>
      <c r="E2045" s="28"/>
      <c r="F2045" s="28">
        <v>0</v>
      </c>
      <c r="G2045" s="28" t="s">
        <v>125</v>
      </c>
      <c r="H2045" s="28">
        <v>0</v>
      </c>
      <c r="J2045" s="28"/>
    </row>
    <row r="2046" spans="1:10" ht="15.75" customHeight="1">
      <c r="A2046" s="28">
        <v>18404</v>
      </c>
      <c r="B2046" s="91">
        <v>45046.081331018519</v>
      </c>
      <c r="C2046" s="28" t="s">
        <v>10</v>
      </c>
      <c r="D2046" s="28" t="s">
        <v>886</v>
      </c>
      <c r="E2046" s="28"/>
      <c r="F2046" s="28">
        <v>70</v>
      </c>
      <c r="G2046" s="28">
        <v>1010113</v>
      </c>
      <c r="H2046" s="28">
        <v>0</v>
      </c>
      <c r="J2046" s="28"/>
    </row>
    <row r="2047" spans="1:10" ht="15.75" customHeight="1">
      <c r="A2047" s="28">
        <v>18404</v>
      </c>
      <c r="B2047" s="91">
        <v>45046.081331018519</v>
      </c>
      <c r="C2047" s="28" t="s">
        <v>10</v>
      </c>
      <c r="D2047" s="28" t="s">
        <v>886</v>
      </c>
      <c r="E2047" s="28"/>
      <c r="F2047" s="28">
        <v>0</v>
      </c>
      <c r="G2047" s="28" t="s">
        <v>118</v>
      </c>
      <c r="H2047" s="28">
        <v>0</v>
      </c>
      <c r="J2047" s="28"/>
    </row>
    <row r="2048" spans="1:10" ht="15.75" customHeight="1">
      <c r="A2048" s="28">
        <v>18404</v>
      </c>
      <c r="B2048" s="91">
        <v>45046.081331018519</v>
      </c>
      <c r="C2048" s="28" t="s">
        <v>10</v>
      </c>
      <c r="D2048" s="28" t="s">
        <v>886</v>
      </c>
      <c r="E2048" s="28"/>
      <c r="F2048" s="28">
        <v>0</v>
      </c>
      <c r="G2048" s="28" t="s">
        <v>119</v>
      </c>
      <c r="H2048" s="28">
        <v>0</v>
      </c>
      <c r="J2048" s="28"/>
    </row>
    <row r="2049" spans="1:10" ht="15.75" customHeight="1">
      <c r="A2049" s="28">
        <v>18404</v>
      </c>
      <c r="B2049" s="91">
        <v>45046.081331018519</v>
      </c>
      <c r="C2049" s="28" t="s">
        <v>10</v>
      </c>
      <c r="D2049" s="28" t="s">
        <v>886</v>
      </c>
      <c r="E2049" s="28"/>
      <c r="F2049" s="28">
        <v>0</v>
      </c>
      <c r="G2049" s="28" t="s">
        <v>120</v>
      </c>
      <c r="H2049" s="28">
        <v>0</v>
      </c>
      <c r="J2049" s="28"/>
    </row>
    <row r="2050" spans="1:10" ht="15.75" customHeight="1">
      <c r="A2050" s="28">
        <v>18404</v>
      </c>
      <c r="B2050" s="91">
        <v>45046.081331018519</v>
      </c>
      <c r="C2050" s="28" t="s">
        <v>10</v>
      </c>
      <c r="D2050" s="28" t="s">
        <v>886</v>
      </c>
      <c r="E2050" s="28"/>
      <c r="F2050" s="28">
        <v>0</v>
      </c>
      <c r="G2050" s="28" t="s">
        <v>121</v>
      </c>
      <c r="H2050" s="28">
        <v>0</v>
      </c>
      <c r="J2050" s="28"/>
    </row>
    <row r="2051" spans="1:10" ht="15.75" customHeight="1">
      <c r="A2051" s="28">
        <v>18404</v>
      </c>
      <c r="B2051" s="91">
        <v>45046.081331018519</v>
      </c>
      <c r="C2051" s="28" t="s">
        <v>10</v>
      </c>
      <c r="D2051" s="28" t="s">
        <v>886</v>
      </c>
      <c r="E2051" s="28"/>
      <c r="F2051" s="28">
        <v>0</v>
      </c>
      <c r="G2051" s="28" t="s">
        <v>122</v>
      </c>
      <c r="H2051" s="28">
        <v>0</v>
      </c>
      <c r="J2051" s="28"/>
    </row>
    <row r="2052" spans="1:10" ht="15.75" customHeight="1">
      <c r="A2052" s="28">
        <v>18404</v>
      </c>
      <c r="B2052" s="91">
        <v>45046.081331018519</v>
      </c>
      <c r="C2052" s="28" t="s">
        <v>10</v>
      </c>
      <c r="D2052" s="28" t="s">
        <v>886</v>
      </c>
      <c r="E2052" s="28"/>
      <c r="F2052" s="28">
        <v>15</v>
      </c>
      <c r="G2052" s="28" t="s">
        <v>170</v>
      </c>
      <c r="H2052" s="28">
        <v>0</v>
      </c>
      <c r="J2052" s="28"/>
    </row>
    <row r="2053" spans="1:10" ht="15.75" customHeight="1">
      <c r="A2053" s="28">
        <v>18405</v>
      </c>
      <c r="B2053" s="91">
        <v>45047.607048611113</v>
      </c>
      <c r="C2053" s="28" t="s">
        <v>10</v>
      </c>
      <c r="D2053" s="28" t="s">
        <v>885</v>
      </c>
      <c r="E2053" s="28"/>
      <c r="F2053" s="28">
        <v>420</v>
      </c>
      <c r="G2053" s="28" t="s">
        <v>881</v>
      </c>
      <c r="H2053" s="28">
        <v>0</v>
      </c>
      <c r="J2053" s="28"/>
    </row>
    <row r="2054" spans="1:10" ht="15.75" customHeight="1">
      <c r="A2054" s="28">
        <v>18405</v>
      </c>
      <c r="B2054" s="91">
        <v>45047.607048611113</v>
      </c>
      <c r="C2054" s="28" t="s">
        <v>10</v>
      </c>
      <c r="D2054" s="28" t="s">
        <v>885</v>
      </c>
      <c r="E2054" s="28"/>
      <c r="F2054" s="28">
        <v>0</v>
      </c>
      <c r="G2054" s="28" t="s">
        <v>882</v>
      </c>
      <c r="H2054" s="28">
        <v>0</v>
      </c>
      <c r="J2054" s="28"/>
    </row>
    <row r="2055" spans="1:10" ht="15.75" customHeight="1">
      <c r="A2055" s="28">
        <v>18405</v>
      </c>
      <c r="B2055" s="91">
        <v>45047.607048611113</v>
      </c>
      <c r="C2055" s="28" t="s">
        <v>10</v>
      </c>
      <c r="D2055" s="28" t="s">
        <v>885</v>
      </c>
      <c r="E2055" s="28"/>
      <c r="F2055" s="28">
        <v>0</v>
      </c>
      <c r="G2055" s="28" t="s">
        <v>883</v>
      </c>
      <c r="H2055" s="28">
        <v>0</v>
      </c>
      <c r="J2055" s="28"/>
    </row>
    <row r="2056" spans="1:10" ht="15.75" customHeight="1">
      <c r="A2056" s="28">
        <v>18405</v>
      </c>
      <c r="B2056" s="91">
        <v>45047.607048611113</v>
      </c>
      <c r="C2056" s="28" t="s">
        <v>10</v>
      </c>
      <c r="D2056" s="28" t="s">
        <v>885</v>
      </c>
      <c r="E2056" s="28"/>
      <c r="F2056" s="28">
        <v>0</v>
      </c>
      <c r="G2056" s="28" t="s">
        <v>884</v>
      </c>
      <c r="H2056" s="28">
        <v>0</v>
      </c>
      <c r="J2056" s="28"/>
    </row>
    <row r="2057" spans="1:10" ht="15.75" customHeight="1">
      <c r="A2057" s="28">
        <v>18406</v>
      </c>
      <c r="B2057" s="91">
        <v>45047.687638888892</v>
      </c>
      <c r="C2057" s="28" t="s">
        <v>10</v>
      </c>
      <c r="D2057" s="28" t="s">
        <v>880</v>
      </c>
      <c r="E2057" s="28"/>
      <c r="F2057" s="28">
        <v>420</v>
      </c>
      <c r="G2057" s="28" t="s">
        <v>881</v>
      </c>
      <c r="H2057" s="28">
        <v>0</v>
      </c>
      <c r="J2057" s="28"/>
    </row>
    <row r="2058" spans="1:10" ht="15.75" customHeight="1">
      <c r="A2058" s="28">
        <v>18406</v>
      </c>
      <c r="B2058" s="91">
        <v>45047.687638888892</v>
      </c>
      <c r="C2058" s="28" t="s">
        <v>10</v>
      </c>
      <c r="D2058" s="28" t="s">
        <v>880</v>
      </c>
      <c r="E2058" s="28"/>
      <c r="F2058" s="28">
        <v>0</v>
      </c>
      <c r="G2058" s="28" t="s">
        <v>882</v>
      </c>
      <c r="H2058" s="28">
        <v>0</v>
      </c>
      <c r="J2058" s="28"/>
    </row>
    <row r="2059" spans="1:10" ht="15.75" customHeight="1">
      <c r="A2059" s="28">
        <v>18406</v>
      </c>
      <c r="B2059" s="91">
        <v>45047.687638888892</v>
      </c>
      <c r="C2059" s="28" t="s">
        <v>10</v>
      </c>
      <c r="D2059" s="28" t="s">
        <v>880</v>
      </c>
      <c r="E2059" s="28"/>
      <c r="F2059" s="28">
        <v>0</v>
      </c>
      <c r="G2059" s="28" t="s">
        <v>883</v>
      </c>
      <c r="H2059" s="28">
        <v>0</v>
      </c>
      <c r="J2059" s="28"/>
    </row>
    <row r="2060" spans="1:10" ht="15.75" customHeight="1">
      <c r="A2060" s="28">
        <v>18406</v>
      </c>
      <c r="B2060" s="91">
        <v>45047.687638888892</v>
      </c>
      <c r="C2060" s="28" t="s">
        <v>10</v>
      </c>
      <c r="D2060" s="28" t="s">
        <v>880</v>
      </c>
      <c r="E2060" s="28"/>
      <c r="F2060" s="28">
        <v>0</v>
      </c>
      <c r="G2060" s="28" t="s">
        <v>884</v>
      </c>
      <c r="H2060" s="28">
        <v>0</v>
      </c>
      <c r="J2060" s="28"/>
    </row>
    <row r="2061" spans="1:10" ht="15.75" customHeight="1">
      <c r="A2061" s="28">
        <v>18462</v>
      </c>
      <c r="B2061" s="91">
        <v>45051.616145833337</v>
      </c>
      <c r="C2061" s="28" t="s">
        <v>10</v>
      </c>
      <c r="D2061" s="28" t="s">
        <v>879</v>
      </c>
      <c r="E2061" s="28"/>
      <c r="F2061" s="28">
        <v>0</v>
      </c>
      <c r="G2061" s="28" t="s">
        <v>117</v>
      </c>
      <c r="H2061" s="28">
        <v>0</v>
      </c>
      <c r="J2061" s="28"/>
    </row>
    <row r="2062" spans="1:10" ht="15.75" customHeight="1">
      <c r="A2062" s="28">
        <v>18615</v>
      </c>
      <c r="B2062" s="91">
        <v>45055.0862037037</v>
      </c>
      <c r="C2062" s="28" t="s">
        <v>10</v>
      </c>
      <c r="D2062" s="28" t="s">
        <v>878</v>
      </c>
      <c r="E2062" s="28"/>
      <c r="F2062" s="28">
        <v>25</v>
      </c>
      <c r="G2062" s="28" t="s">
        <v>141</v>
      </c>
      <c r="H2062" s="28">
        <v>0</v>
      </c>
      <c r="J2062" s="28"/>
    </row>
    <row r="2063" spans="1:10" ht="15.75" customHeight="1">
      <c r="A2063" s="28">
        <v>18622</v>
      </c>
      <c r="B2063" s="91">
        <v>45055.599756944444</v>
      </c>
      <c r="C2063" s="28" t="s">
        <v>10</v>
      </c>
      <c r="D2063" s="28" t="s">
        <v>877</v>
      </c>
      <c r="E2063" s="28"/>
      <c r="F2063" s="28">
        <v>25</v>
      </c>
      <c r="G2063" s="28">
        <v>100692</v>
      </c>
      <c r="H2063" s="28">
        <v>0</v>
      </c>
      <c r="J2063" s="28"/>
    </row>
    <row r="2064" spans="1:10" ht="15.75" customHeight="1">
      <c r="A2064" s="28">
        <v>18622</v>
      </c>
      <c r="B2064" s="91">
        <v>45055.599756944444</v>
      </c>
      <c r="C2064" s="28" t="s">
        <v>10</v>
      </c>
      <c r="D2064" s="28" t="s">
        <v>877</v>
      </c>
      <c r="E2064" s="28"/>
      <c r="F2064" s="28">
        <v>0</v>
      </c>
      <c r="G2064" s="28" t="s">
        <v>125</v>
      </c>
      <c r="H2064" s="28">
        <v>0</v>
      </c>
      <c r="J2064" s="28"/>
    </row>
    <row r="2065" spans="1:10" ht="15.75" customHeight="1">
      <c r="A2065" s="28">
        <v>18622</v>
      </c>
      <c r="B2065" s="91">
        <v>45055.599756944444</v>
      </c>
      <c r="C2065" s="28" t="s">
        <v>10</v>
      </c>
      <c r="D2065" s="28" t="s">
        <v>877</v>
      </c>
      <c r="E2065" s="28"/>
      <c r="F2065" s="28">
        <v>0</v>
      </c>
      <c r="G2065" s="28" t="s">
        <v>119</v>
      </c>
      <c r="H2065" s="28">
        <v>0</v>
      </c>
      <c r="J2065" s="28"/>
    </row>
    <row r="2066" spans="1:10" ht="15.75" customHeight="1">
      <c r="A2066" s="28">
        <v>18623</v>
      </c>
      <c r="B2066" s="91">
        <v>45055.791701388887</v>
      </c>
      <c r="C2066" s="28" t="s">
        <v>8</v>
      </c>
      <c r="D2066" s="28" t="s">
        <v>876</v>
      </c>
      <c r="E2066" s="28"/>
      <c r="F2066" s="28">
        <v>0</v>
      </c>
      <c r="G2066" s="28" t="s">
        <v>117</v>
      </c>
      <c r="H2066" s="28">
        <v>0</v>
      </c>
      <c r="J2066" s="28"/>
    </row>
    <row r="2067" spans="1:10" ht="15.75" customHeight="1">
      <c r="A2067" s="28">
        <v>18623</v>
      </c>
      <c r="B2067" s="91">
        <v>45055.791701388887</v>
      </c>
      <c r="C2067" s="28" t="s">
        <v>8</v>
      </c>
      <c r="D2067" s="28" t="s">
        <v>876</v>
      </c>
      <c r="E2067" s="28"/>
      <c r="F2067" s="28">
        <v>20</v>
      </c>
      <c r="G2067" s="28" t="s">
        <v>286</v>
      </c>
      <c r="H2067" s="28">
        <v>0</v>
      </c>
      <c r="J2067" s="28"/>
    </row>
    <row r="2068" spans="1:10" ht="15.75" customHeight="1">
      <c r="A2068" s="28">
        <v>18624</v>
      </c>
      <c r="B2068" s="91">
        <v>45055.858715277776</v>
      </c>
      <c r="C2068" s="28" t="s">
        <v>10</v>
      </c>
      <c r="D2068" s="28" t="s">
        <v>875</v>
      </c>
      <c r="E2068" s="28"/>
      <c r="F2068" s="28">
        <v>18</v>
      </c>
      <c r="G2068" s="28" t="s">
        <v>119</v>
      </c>
      <c r="H2068" s="28">
        <v>0</v>
      </c>
      <c r="J2068" s="28"/>
    </row>
    <row r="2069" spans="1:10" ht="15.75" customHeight="1">
      <c r="A2069" s="28">
        <v>18625</v>
      </c>
      <c r="B2069" s="91">
        <v>45055.87332175926</v>
      </c>
      <c r="C2069" s="28" t="s">
        <v>10</v>
      </c>
      <c r="D2069" s="28" t="s">
        <v>693</v>
      </c>
      <c r="E2069" s="28"/>
      <c r="F2069" s="28">
        <v>0</v>
      </c>
      <c r="G2069" s="28" t="s">
        <v>117</v>
      </c>
      <c r="H2069" s="28">
        <v>0</v>
      </c>
      <c r="J2069" s="28"/>
    </row>
    <row r="2070" spans="1:10" ht="15.75" customHeight="1">
      <c r="A2070" s="28">
        <v>18625</v>
      </c>
      <c r="B2070" s="91">
        <v>45055.87332175926</v>
      </c>
      <c r="C2070" s="28" t="s">
        <v>10</v>
      </c>
      <c r="D2070" s="28" t="s">
        <v>693</v>
      </c>
      <c r="E2070" s="28"/>
      <c r="F2070" s="28">
        <v>28</v>
      </c>
      <c r="G2070" s="28" t="s">
        <v>143</v>
      </c>
      <c r="H2070" s="28">
        <v>0</v>
      </c>
      <c r="J2070" s="28"/>
    </row>
    <row r="2071" spans="1:10" ht="15.75" customHeight="1">
      <c r="A2071" s="28">
        <v>18626</v>
      </c>
      <c r="B2071" s="91">
        <v>45055.889247685191</v>
      </c>
      <c r="C2071" s="28" t="s">
        <v>10</v>
      </c>
      <c r="D2071" s="28" t="s">
        <v>874</v>
      </c>
      <c r="E2071" s="28"/>
      <c r="F2071" s="28">
        <v>18</v>
      </c>
      <c r="G2071" s="28" t="s">
        <v>457</v>
      </c>
      <c r="H2071" s="28">
        <v>0</v>
      </c>
      <c r="J2071" s="28"/>
    </row>
    <row r="2072" spans="1:10" ht="15.75" customHeight="1">
      <c r="A2072" s="28">
        <v>18627</v>
      </c>
      <c r="B2072" s="91">
        <v>45055.898530092592</v>
      </c>
      <c r="C2072" s="28" t="s">
        <v>8</v>
      </c>
      <c r="D2072" s="28" t="s">
        <v>873</v>
      </c>
      <c r="E2072" s="28"/>
      <c r="F2072" s="28">
        <v>18</v>
      </c>
      <c r="G2072" s="28" t="s">
        <v>119</v>
      </c>
      <c r="H2072" s="28">
        <v>0</v>
      </c>
      <c r="J2072" s="28"/>
    </row>
    <row r="2073" spans="1:10" ht="15.75" customHeight="1">
      <c r="A2073" s="28">
        <v>18627</v>
      </c>
      <c r="B2073" s="91">
        <v>45055.898530092592</v>
      </c>
      <c r="C2073" s="28" t="s">
        <v>8</v>
      </c>
      <c r="D2073" s="28" t="s">
        <v>873</v>
      </c>
      <c r="E2073" s="28"/>
      <c r="F2073" s="28">
        <v>20</v>
      </c>
      <c r="G2073" s="28"/>
      <c r="H2073" s="28">
        <v>0</v>
      </c>
      <c r="J2073" s="28"/>
    </row>
    <row r="2074" spans="1:10" ht="15.75" customHeight="1">
      <c r="A2074" s="28">
        <v>18628</v>
      </c>
      <c r="B2074" s="91">
        <v>45055.907673611116</v>
      </c>
      <c r="C2074" s="28" t="s">
        <v>10</v>
      </c>
      <c r="D2074" s="28" t="s">
        <v>872</v>
      </c>
      <c r="E2074" s="28"/>
      <c r="F2074" s="28">
        <v>25</v>
      </c>
      <c r="G2074" s="28">
        <v>100692</v>
      </c>
      <c r="H2074" s="28">
        <v>0</v>
      </c>
      <c r="J2074" s="28"/>
    </row>
    <row r="2075" spans="1:10" ht="15.75" customHeight="1">
      <c r="A2075" s="28">
        <v>18628</v>
      </c>
      <c r="B2075" s="91">
        <v>45055.907673611116</v>
      </c>
      <c r="C2075" s="28" t="s">
        <v>10</v>
      </c>
      <c r="D2075" s="28" t="s">
        <v>872</v>
      </c>
      <c r="E2075" s="28"/>
      <c r="F2075" s="28">
        <v>0</v>
      </c>
      <c r="G2075" s="28" t="s">
        <v>125</v>
      </c>
      <c r="H2075" s="28">
        <v>0</v>
      </c>
      <c r="J2075" s="28"/>
    </row>
    <row r="2076" spans="1:10" ht="15.75" customHeight="1">
      <c r="A2076" s="28">
        <v>18628</v>
      </c>
      <c r="B2076" s="91">
        <v>45055.907673611116</v>
      </c>
      <c r="C2076" s="28" t="s">
        <v>10</v>
      </c>
      <c r="D2076" s="28" t="s">
        <v>872</v>
      </c>
      <c r="E2076" s="28"/>
      <c r="F2076" s="28">
        <v>0</v>
      </c>
      <c r="G2076" s="28" t="s">
        <v>119</v>
      </c>
      <c r="H2076" s="28">
        <v>0</v>
      </c>
      <c r="J2076" s="28"/>
    </row>
    <row r="2077" spans="1:10" ht="15.75" customHeight="1">
      <c r="A2077" s="28">
        <v>18630</v>
      </c>
      <c r="B2077" s="91">
        <v>45055.911875000005</v>
      </c>
      <c r="C2077" s="28" t="s">
        <v>10</v>
      </c>
      <c r="D2077" s="28" t="s">
        <v>871</v>
      </c>
      <c r="E2077" s="28"/>
      <c r="F2077" s="28">
        <v>20</v>
      </c>
      <c r="G2077" s="28"/>
      <c r="H2077" s="28">
        <v>0</v>
      </c>
      <c r="J2077" s="28"/>
    </row>
    <row r="2078" spans="1:10" ht="15.75" customHeight="1">
      <c r="A2078" s="28">
        <v>18631</v>
      </c>
      <c r="B2078" s="91">
        <v>45055.916932870372</v>
      </c>
      <c r="C2078" s="28" t="s">
        <v>8</v>
      </c>
      <c r="D2078" s="28" t="s">
        <v>870</v>
      </c>
      <c r="E2078" s="28"/>
      <c r="F2078" s="28">
        <v>25</v>
      </c>
      <c r="G2078" s="28" t="s">
        <v>118</v>
      </c>
      <c r="H2078" s="28">
        <v>0</v>
      </c>
      <c r="J2078" s="28"/>
    </row>
    <row r="2079" spans="1:10" ht="15.75" customHeight="1">
      <c r="A2079" s="28">
        <v>18632</v>
      </c>
      <c r="B2079" s="91">
        <v>45055.91715277778</v>
      </c>
      <c r="C2079" s="28" t="s">
        <v>10</v>
      </c>
      <c r="D2079" s="28" t="s">
        <v>869</v>
      </c>
      <c r="E2079" s="28"/>
      <c r="F2079" s="28">
        <v>15</v>
      </c>
      <c r="G2079" s="28" t="s">
        <v>125</v>
      </c>
      <c r="H2079" s="28">
        <v>0</v>
      </c>
      <c r="J2079" s="28"/>
    </row>
    <row r="2080" spans="1:10" ht="15.75" customHeight="1">
      <c r="A2080" s="28">
        <v>18633</v>
      </c>
      <c r="B2080" s="91">
        <v>45055.918495370366</v>
      </c>
      <c r="C2080" s="28" t="s">
        <v>10</v>
      </c>
      <c r="D2080" s="28" t="s">
        <v>868</v>
      </c>
      <c r="E2080" s="28"/>
      <c r="F2080" s="28">
        <v>25</v>
      </c>
      <c r="G2080" s="28" t="s">
        <v>118</v>
      </c>
      <c r="H2080" s="28">
        <v>0</v>
      </c>
      <c r="J2080" s="28"/>
    </row>
    <row r="2081" spans="1:10" ht="15.75" customHeight="1">
      <c r="A2081" s="28">
        <v>18634</v>
      </c>
      <c r="B2081" s="91">
        <v>45055.927858796298</v>
      </c>
      <c r="C2081" s="28" t="s">
        <v>10</v>
      </c>
      <c r="D2081" s="28" t="s">
        <v>867</v>
      </c>
      <c r="E2081" s="28"/>
      <c r="F2081" s="28">
        <v>20</v>
      </c>
      <c r="G2081" s="28" t="s">
        <v>205</v>
      </c>
      <c r="H2081" s="28">
        <v>0</v>
      </c>
      <c r="J2081" s="28"/>
    </row>
    <row r="2082" spans="1:10" ht="15.75" customHeight="1">
      <c r="A2082" s="28">
        <v>18634</v>
      </c>
      <c r="B2082" s="91">
        <v>45055.927858796298</v>
      </c>
      <c r="C2082" s="28" t="s">
        <v>10</v>
      </c>
      <c r="D2082" s="28" t="s">
        <v>867</v>
      </c>
      <c r="E2082" s="28"/>
      <c r="F2082" s="28">
        <v>0</v>
      </c>
      <c r="G2082" s="28" t="s">
        <v>125</v>
      </c>
      <c r="H2082" s="28">
        <v>0</v>
      </c>
      <c r="J2082" s="28"/>
    </row>
    <row r="2083" spans="1:10" ht="15.75" customHeight="1">
      <c r="A2083" s="28">
        <v>18635</v>
      </c>
      <c r="B2083" s="91">
        <v>45055.930358796293</v>
      </c>
      <c r="C2083" s="28" t="s">
        <v>8</v>
      </c>
      <c r="D2083" s="28" t="s">
        <v>866</v>
      </c>
      <c r="E2083" s="28"/>
      <c r="F2083" s="28">
        <v>35</v>
      </c>
      <c r="G2083" s="28" t="s">
        <v>124</v>
      </c>
      <c r="H2083" s="28">
        <v>0</v>
      </c>
      <c r="J2083" s="28"/>
    </row>
    <row r="2084" spans="1:10" ht="15.75" customHeight="1">
      <c r="A2084" s="28">
        <v>18635</v>
      </c>
      <c r="B2084" s="91">
        <v>45055.930358796293</v>
      </c>
      <c r="C2084" s="28" t="s">
        <v>8</v>
      </c>
      <c r="D2084" s="28" t="s">
        <v>866</v>
      </c>
      <c r="E2084" s="28"/>
      <c r="F2084" s="28">
        <v>0</v>
      </c>
      <c r="G2084" s="28" t="s">
        <v>125</v>
      </c>
      <c r="H2084" s="28">
        <v>0</v>
      </c>
      <c r="J2084" s="28"/>
    </row>
    <row r="2085" spans="1:10" ht="15.75" customHeight="1">
      <c r="A2085" s="28">
        <v>18635</v>
      </c>
      <c r="B2085" s="91">
        <v>45055.930358796293</v>
      </c>
      <c r="C2085" s="28" t="s">
        <v>8</v>
      </c>
      <c r="D2085" s="28" t="s">
        <v>866</v>
      </c>
      <c r="E2085" s="28"/>
      <c r="F2085" s="28">
        <v>0</v>
      </c>
      <c r="G2085" s="28" t="s">
        <v>119</v>
      </c>
      <c r="H2085" s="28">
        <v>0</v>
      </c>
      <c r="J2085" s="28"/>
    </row>
    <row r="2086" spans="1:10" ht="15.75" customHeight="1">
      <c r="A2086" s="28">
        <v>18635</v>
      </c>
      <c r="B2086" s="91">
        <v>45055.930358796293</v>
      </c>
      <c r="C2086" s="28" t="s">
        <v>8</v>
      </c>
      <c r="D2086" s="28" t="s">
        <v>866</v>
      </c>
      <c r="E2086" s="28"/>
      <c r="F2086" s="28">
        <v>0</v>
      </c>
      <c r="G2086" s="28" t="s">
        <v>121</v>
      </c>
      <c r="H2086" s="28">
        <v>0</v>
      </c>
      <c r="J2086" s="28"/>
    </row>
    <row r="2087" spans="1:10" ht="15.75" customHeight="1">
      <c r="A2087" s="28">
        <v>18636</v>
      </c>
      <c r="B2087" s="91">
        <v>45055.956388888888</v>
      </c>
      <c r="C2087" s="28" t="s">
        <v>5</v>
      </c>
      <c r="D2087" s="28" t="s">
        <v>865</v>
      </c>
      <c r="E2087" s="28"/>
      <c r="F2087" s="28">
        <v>25</v>
      </c>
      <c r="G2087" s="28">
        <v>100692</v>
      </c>
      <c r="H2087" s="28">
        <v>0</v>
      </c>
      <c r="J2087" s="28"/>
    </row>
    <row r="2088" spans="1:10" ht="15.75" customHeight="1">
      <c r="A2088" s="28">
        <v>18636</v>
      </c>
      <c r="B2088" s="91">
        <v>45055.956388888888</v>
      </c>
      <c r="C2088" s="28" t="s">
        <v>5</v>
      </c>
      <c r="D2088" s="28" t="s">
        <v>865</v>
      </c>
      <c r="E2088" s="28"/>
      <c r="F2088" s="28">
        <v>0</v>
      </c>
      <c r="G2088" s="28" t="s">
        <v>125</v>
      </c>
      <c r="H2088" s="28">
        <v>0</v>
      </c>
      <c r="J2088" s="28"/>
    </row>
    <row r="2089" spans="1:10" ht="15.75" customHeight="1">
      <c r="A2089" s="28">
        <v>18636</v>
      </c>
      <c r="B2089" s="91">
        <v>45055.956388888888</v>
      </c>
      <c r="C2089" s="28" t="s">
        <v>5</v>
      </c>
      <c r="D2089" s="28" t="s">
        <v>865</v>
      </c>
      <c r="E2089" s="28"/>
      <c r="F2089" s="28">
        <v>0</v>
      </c>
      <c r="G2089" s="28" t="s">
        <v>119</v>
      </c>
      <c r="H2089" s="28">
        <v>0</v>
      </c>
      <c r="J2089" s="28"/>
    </row>
    <row r="2090" spans="1:10" ht="15.75" customHeight="1">
      <c r="A2090" s="28">
        <v>18637</v>
      </c>
      <c r="B2090" s="91">
        <v>45055.960335648153</v>
      </c>
      <c r="C2090" s="28" t="s">
        <v>10</v>
      </c>
      <c r="D2090" s="28" t="s">
        <v>864</v>
      </c>
      <c r="E2090" s="28"/>
      <c r="F2090" s="28">
        <v>25</v>
      </c>
      <c r="G2090" s="28">
        <v>100692</v>
      </c>
      <c r="H2090" s="28">
        <v>0</v>
      </c>
      <c r="J2090" s="28"/>
    </row>
    <row r="2091" spans="1:10" ht="15.75" customHeight="1">
      <c r="A2091" s="28">
        <v>18637</v>
      </c>
      <c r="B2091" s="91">
        <v>45055.960335648153</v>
      </c>
      <c r="C2091" s="28" t="s">
        <v>10</v>
      </c>
      <c r="D2091" s="28" t="s">
        <v>864</v>
      </c>
      <c r="E2091" s="28"/>
      <c r="F2091" s="28">
        <v>0</v>
      </c>
      <c r="G2091" s="28" t="s">
        <v>125</v>
      </c>
      <c r="H2091" s="28">
        <v>0</v>
      </c>
      <c r="J2091" s="28"/>
    </row>
    <row r="2092" spans="1:10" ht="15.75" customHeight="1">
      <c r="A2092" s="28">
        <v>18637</v>
      </c>
      <c r="B2092" s="91">
        <v>45055.960335648153</v>
      </c>
      <c r="C2092" s="28" t="s">
        <v>10</v>
      </c>
      <c r="D2092" s="28" t="s">
        <v>864</v>
      </c>
      <c r="E2092" s="28"/>
      <c r="F2092" s="28">
        <v>0</v>
      </c>
      <c r="G2092" s="28" t="s">
        <v>119</v>
      </c>
      <c r="H2092" s="28">
        <v>0</v>
      </c>
      <c r="J2092" s="28"/>
    </row>
    <row r="2093" spans="1:10" ht="15.75" customHeight="1">
      <c r="A2093" s="28">
        <v>18638</v>
      </c>
      <c r="B2093" s="91">
        <v>45055.963113425925</v>
      </c>
      <c r="C2093" s="28" t="s">
        <v>10</v>
      </c>
      <c r="D2093" s="28" t="s">
        <v>863</v>
      </c>
      <c r="E2093" s="28"/>
      <c r="F2093" s="28">
        <v>20</v>
      </c>
      <c r="G2093" s="28" t="s">
        <v>205</v>
      </c>
      <c r="H2093" s="28">
        <v>0</v>
      </c>
      <c r="J2093" s="28"/>
    </row>
    <row r="2094" spans="1:10" ht="15.75" customHeight="1">
      <c r="A2094" s="28">
        <v>18638</v>
      </c>
      <c r="B2094" s="91">
        <v>45055.963113425925</v>
      </c>
      <c r="C2094" s="28" t="s">
        <v>10</v>
      </c>
      <c r="D2094" s="28" t="s">
        <v>863</v>
      </c>
      <c r="E2094" s="28"/>
      <c r="F2094" s="28">
        <v>0</v>
      </c>
      <c r="G2094" s="28" t="s">
        <v>125</v>
      </c>
      <c r="H2094" s="28">
        <v>0</v>
      </c>
      <c r="J2094" s="28"/>
    </row>
    <row r="2095" spans="1:10" ht="15.75" customHeight="1">
      <c r="A2095" s="28">
        <v>18639</v>
      </c>
      <c r="B2095" s="91">
        <v>45055.973761574074</v>
      </c>
      <c r="C2095" s="28" t="s">
        <v>10</v>
      </c>
      <c r="D2095" s="28" t="s">
        <v>862</v>
      </c>
      <c r="E2095" s="28"/>
      <c r="F2095" s="28">
        <v>55</v>
      </c>
      <c r="G2095" s="28">
        <v>101684</v>
      </c>
      <c r="H2095" s="28">
        <v>0</v>
      </c>
      <c r="J2095" s="28"/>
    </row>
    <row r="2096" spans="1:10" ht="15.75" customHeight="1">
      <c r="A2096" s="28">
        <v>18639</v>
      </c>
      <c r="B2096" s="91">
        <v>45055.973761574074</v>
      </c>
      <c r="C2096" s="28" t="s">
        <v>10</v>
      </c>
      <c r="D2096" s="28" t="s">
        <v>862</v>
      </c>
      <c r="E2096" s="28"/>
      <c r="F2096" s="28">
        <v>0</v>
      </c>
      <c r="G2096" s="28" t="s">
        <v>118</v>
      </c>
      <c r="H2096" s="28">
        <v>0</v>
      </c>
      <c r="J2096" s="28"/>
    </row>
    <row r="2097" spans="1:10" ht="15.75" customHeight="1">
      <c r="A2097" s="28">
        <v>18639</v>
      </c>
      <c r="B2097" s="91">
        <v>45055.973761574074</v>
      </c>
      <c r="C2097" s="28" t="s">
        <v>10</v>
      </c>
      <c r="D2097" s="28" t="s">
        <v>862</v>
      </c>
      <c r="E2097" s="28"/>
      <c r="F2097" s="28">
        <v>0</v>
      </c>
      <c r="G2097" s="28" t="s">
        <v>119</v>
      </c>
      <c r="H2097" s="28">
        <v>0</v>
      </c>
      <c r="J2097" s="28"/>
    </row>
    <row r="2098" spans="1:10" ht="15.75" customHeight="1">
      <c r="A2098" s="28">
        <v>18639</v>
      </c>
      <c r="B2098" s="91">
        <v>45055.973761574074</v>
      </c>
      <c r="C2098" s="28" t="s">
        <v>10</v>
      </c>
      <c r="D2098" s="28" t="s">
        <v>862</v>
      </c>
      <c r="E2098" s="28"/>
      <c r="F2098" s="28">
        <v>0</v>
      </c>
      <c r="G2098" s="28" t="s">
        <v>120</v>
      </c>
      <c r="H2098" s="28">
        <v>0</v>
      </c>
      <c r="J2098" s="28"/>
    </row>
    <row r="2099" spans="1:10" ht="15.75" customHeight="1">
      <c r="A2099" s="28">
        <v>18639</v>
      </c>
      <c r="B2099" s="91">
        <v>45055.973761574074</v>
      </c>
      <c r="C2099" s="28" t="s">
        <v>10</v>
      </c>
      <c r="D2099" s="28" t="s">
        <v>862</v>
      </c>
      <c r="E2099" s="28"/>
      <c r="F2099" s="28">
        <v>0</v>
      </c>
      <c r="G2099" s="28" t="s">
        <v>121</v>
      </c>
      <c r="H2099" s="28">
        <v>0</v>
      </c>
      <c r="J2099" s="28"/>
    </row>
    <row r="2100" spans="1:10" ht="15.75" customHeight="1">
      <c r="A2100" s="28">
        <v>18639</v>
      </c>
      <c r="B2100" s="91">
        <v>45055.973761574074</v>
      </c>
      <c r="C2100" s="28" t="s">
        <v>10</v>
      </c>
      <c r="D2100" s="28" t="s">
        <v>862</v>
      </c>
      <c r="E2100" s="28"/>
      <c r="F2100" s="28">
        <v>28</v>
      </c>
      <c r="G2100" s="28" t="s">
        <v>143</v>
      </c>
      <c r="H2100" s="28">
        <v>0</v>
      </c>
      <c r="J2100" s="28"/>
    </row>
    <row r="2101" spans="1:10" ht="15.75" customHeight="1">
      <c r="A2101" s="28">
        <v>18640</v>
      </c>
      <c r="B2101" s="91">
        <v>45055.997129629628</v>
      </c>
      <c r="C2101" s="28" t="s">
        <v>10</v>
      </c>
      <c r="D2101" s="28" t="s">
        <v>700</v>
      </c>
      <c r="E2101" s="28"/>
      <c r="F2101" s="28">
        <v>28</v>
      </c>
      <c r="G2101" s="28" t="s">
        <v>143</v>
      </c>
      <c r="H2101" s="28">
        <v>0</v>
      </c>
      <c r="J2101" s="28"/>
    </row>
    <row r="2102" spans="1:10" ht="15.75" customHeight="1">
      <c r="A2102" s="28">
        <v>18641</v>
      </c>
      <c r="B2102" s="91">
        <v>45056.019490740742</v>
      </c>
      <c r="C2102" s="28" t="s">
        <v>10</v>
      </c>
      <c r="D2102" s="28" t="s">
        <v>860</v>
      </c>
      <c r="E2102" s="28"/>
      <c r="F2102" s="28">
        <v>55</v>
      </c>
      <c r="G2102" s="28" t="s">
        <v>861</v>
      </c>
      <c r="H2102" s="28">
        <v>0</v>
      </c>
      <c r="J2102" s="28"/>
    </row>
    <row r="2103" spans="1:10" ht="15.75" customHeight="1">
      <c r="A2103" s="28">
        <v>18642</v>
      </c>
      <c r="B2103" s="91">
        <v>45056.866967592592</v>
      </c>
      <c r="C2103" s="28" t="s">
        <v>10</v>
      </c>
      <c r="D2103" s="28" t="s">
        <v>673</v>
      </c>
      <c r="E2103" s="28"/>
      <c r="F2103" s="28">
        <v>15</v>
      </c>
      <c r="G2103" s="28" t="s">
        <v>125</v>
      </c>
      <c r="H2103" s="28">
        <v>0</v>
      </c>
      <c r="J2103" s="28"/>
    </row>
    <row r="2104" spans="1:10" ht="15.75" customHeight="1">
      <c r="A2104" s="28">
        <v>18643</v>
      </c>
      <c r="B2104" s="91">
        <v>45056.913761574076</v>
      </c>
      <c r="C2104" s="28" t="s">
        <v>10</v>
      </c>
      <c r="D2104" s="28" t="s">
        <v>859</v>
      </c>
      <c r="E2104" s="28"/>
      <c r="F2104" s="28">
        <v>25</v>
      </c>
      <c r="G2104" s="28" t="s">
        <v>141</v>
      </c>
      <c r="H2104" s="28">
        <v>0</v>
      </c>
      <c r="J2104" s="28"/>
    </row>
    <row r="2105" spans="1:10" ht="15.75" customHeight="1">
      <c r="A2105" s="28">
        <v>18644</v>
      </c>
      <c r="B2105" s="91">
        <v>45056.920324074075</v>
      </c>
      <c r="C2105" s="28" t="s">
        <v>10</v>
      </c>
      <c r="D2105" s="28" t="s">
        <v>858</v>
      </c>
      <c r="E2105" s="28"/>
      <c r="F2105" s="28">
        <v>0</v>
      </c>
      <c r="G2105" s="28" t="s">
        <v>117</v>
      </c>
      <c r="H2105" s="28">
        <v>0</v>
      </c>
      <c r="J2105" s="28"/>
    </row>
    <row r="2106" spans="1:10" ht="15.75" customHeight="1">
      <c r="A2106" s="28">
        <v>18644</v>
      </c>
      <c r="B2106" s="91">
        <v>45056.920324074075</v>
      </c>
      <c r="C2106" s="28" t="s">
        <v>10</v>
      </c>
      <c r="D2106" s="28" t="s">
        <v>858</v>
      </c>
      <c r="E2106" s="28"/>
      <c r="F2106" s="28">
        <v>20</v>
      </c>
      <c r="G2106" s="28"/>
      <c r="H2106" s="28">
        <v>0</v>
      </c>
      <c r="J2106" s="28"/>
    </row>
    <row r="2107" spans="1:10" ht="15.75" customHeight="1">
      <c r="A2107" s="28">
        <v>18645</v>
      </c>
      <c r="B2107" s="91">
        <v>45056.932766203703</v>
      </c>
      <c r="C2107" s="28" t="s">
        <v>10</v>
      </c>
      <c r="D2107" s="28" t="s">
        <v>857</v>
      </c>
      <c r="E2107" s="28"/>
      <c r="F2107" s="28">
        <v>25</v>
      </c>
      <c r="G2107" s="28">
        <v>100692</v>
      </c>
      <c r="H2107" s="28">
        <v>0</v>
      </c>
      <c r="J2107" s="28"/>
    </row>
    <row r="2108" spans="1:10" ht="15.75" customHeight="1">
      <c r="A2108" s="28">
        <v>18645</v>
      </c>
      <c r="B2108" s="91">
        <v>45056.932766203703</v>
      </c>
      <c r="C2108" s="28" t="s">
        <v>10</v>
      </c>
      <c r="D2108" s="28" t="s">
        <v>857</v>
      </c>
      <c r="E2108" s="28"/>
      <c r="F2108" s="28">
        <v>0</v>
      </c>
      <c r="G2108" s="28" t="s">
        <v>125</v>
      </c>
      <c r="H2108" s="28">
        <v>0</v>
      </c>
      <c r="J2108" s="28"/>
    </row>
    <row r="2109" spans="1:10" ht="15.75" customHeight="1">
      <c r="A2109" s="28">
        <v>18645</v>
      </c>
      <c r="B2109" s="91">
        <v>45056.932766203703</v>
      </c>
      <c r="C2109" s="28" t="s">
        <v>10</v>
      </c>
      <c r="D2109" s="28" t="s">
        <v>857</v>
      </c>
      <c r="E2109" s="28"/>
      <c r="F2109" s="28">
        <v>0</v>
      </c>
      <c r="G2109" s="28" t="s">
        <v>119</v>
      </c>
      <c r="H2109" s="28">
        <v>0</v>
      </c>
      <c r="J2109" s="28"/>
    </row>
    <row r="2110" spans="1:10" ht="15.75" customHeight="1">
      <c r="A2110" s="28">
        <v>18646</v>
      </c>
      <c r="B2110" s="91">
        <v>45056.933796296296</v>
      </c>
      <c r="C2110" s="28" t="s">
        <v>10</v>
      </c>
      <c r="D2110" s="28" t="s">
        <v>856</v>
      </c>
      <c r="E2110" s="28"/>
      <c r="F2110" s="28">
        <v>25</v>
      </c>
      <c r="G2110" s="28">
        <v>100692</v>
      </c>
      <c r="H2110" s="28">
        <v>0</v>
      </c>
      <c r="J2110" s="28"/>
    </row>
    <row r="2111" spans="1:10" ht="15.75" customHeight="1">
      <c r="A2111" s="28">
        <v>18646</v>
      </c>
      <c r="B2111" s="91">
        <v>45056.933796296296</v>
      </c>
      <c r="C2111" s="28" t="s">
        <v>10</v>
      </c>
      <c r="D2111" s="28" t="s">
        <v>856</v>
      </c>
      <c r="E2111" s="28"/>
      <c r="F2111" s="28">
        <v>0</v>
      </c>
      <c r="G2111" s="28" t="s">
        <v>125</v>
      </c>
      <c r="H2111" s="28">
        <v>0</v>
      </c>
      <c r="J2111" s="28"/>
    </row>
    <row r="2112" spans="1:10" ht="15.75" customHeight="1">
      <c r="A2112" s="28">
        <v>18646</v>
      </c>
      <c r="B2112" s="91">
        <v>45056.933796296296</v>
      </c>
      <c r="C2112" s="28" t="s">
        <v>10</v>
      </c>
      <c r="D2112" s="28" t="s">
        <v>856</v>
      </c>
      <c r="E2112" s="28"/>
      <c r="F2112" s="28">
        <v>0</v>
      </c>
      <c r="G2112" s="28" t="s">
        <v>119</v>
      </c>
      <c r="H2112" s="28">
        <v>0</v>
      </c>
      <c r="J2112" s="28"/>
    </row>
    <row r="2113" spans="1:10" ht="15.75" customHeight="1">
      <c r="A2113" s="28">
        <v>18647</v>
      </c>
      <c r="B2113" s="91">
        <v>45056.940185185187</v>
      </c>
      <c r="C2113" s="28" t="s">
        <v>10</v>
      </c>
      <c r="D2113" s="28" t="s">
        <v>855</v>
      </c>
      <c r="E2113" s="28"/>
      <c r="F2113" s="28">
        <v>25</v>
      </c>
      <c r="G2113" s="28">
        <v>100692</v>
      </c>
      <c r="H2113" s="28">
        <v>0</v>
      </c>
      <c r="J2113" s="28"/>
    </row>
    <row r="2114" spans="1:10" ht="15.75" customHeight="1">
      <c r="A2114" s="28">
        <v>18647</v>
      </c>
      <c r="B2114" s="91">
        <v>45056.940185185187</v>
      </c>
      <c r="C2114" s="28" t="s">
        <v>10</v>
      </c>
      <c r="D2114" s="28" t="s">
        <v>855</v>
      </c>
      <c r="E2114" s="28"/>
      <c r="F2114" s="28">
        <v>0</v>
      </c>
      <c r="G2114" s="28" t="s">
        <v>125</v>
      </c>
      <c r="H2114" s="28">
        <v>0</v>
      </c>
      <c r="J2114" s="28"/>
    </row>
    <row r="2115" spans="1:10" ht="15.75" customHeight="1">
      <c r="A2115" s="28">
        <v>18647</v>
      </c>
      <c r="B2115" s="91">
        <v>45056.940185185187</v>
      </c>
      <c r="C2115" s="28" t="s">
        <v>10</v>
      </c>
      <c r="D2115" s="28" t="s">
        <v>855</v>
      </c>
      <c r="E2115" s="28"/>
      <c r="F2115" s="28">
        <v>0</v>
      </c>
      <c r="G2115" s="28" t="s">
        <v>119</v>
      </c>
      <c r="H2115" s="28">
        <v>0</v>
      </c>
      <c r="J2115" s="28"/>
    </row>
    <row r="2116" spans="1:10" ht="15.75" customHeight="1">
      <c r="A2116" s="28">
        <v>18648</v>
      </c>
      <c r="B2116" s="91">
        <v>45056.962500000001</v>
      </c>
      <c r="C2116" s="28" t="s">
        <v>10</v>
      </c>
      <c r="D2116" s="28" t="s">
        <v>632</v>
      </c>
      <c r="E2116" s="28"/>
      <c r="F2116" s="28">
        <v>25</v>
      </c>
      <c r="G2116" s="28">
        <v>100692</v>
      </c>
      <c r="H2116" s="28">
        <v>0</v>
      </c>
      <c r="J2116" s="28"/>
    </row>
    <row r="2117" spans="1:10" ht="15.75" customHeight="1">
      <c r="A2117" s="28">
        <v>18648</v>
      </c>
      <c r="B2117" s="91">
        <v>45056.962500000001</v>
      </c>
      <c r="C2117" s="28" t="s">
        <v>10</v>
      </c>
      <c r="D2117" s="28" t="s">
        <v>632</v>
      </c>
      <c r="E2117" s="28"/>
      <c r="F2117" s="28">
        <v>0</v>
      </c>
      <c r="G2117" s="28" t="s">
        <v>125</v>
      </c>
      <c r="H2117" s="28">
        <v>0</v>
      </c>
      <c r="J2117" s="28"/>
    </row>
    <row r="2118" spans="1:10" ht="15.75" customHeight="1">
      <c r="A2118" s="28">
        <v>18648</v>
      </c>
      <c r="B2118" s="91">
        <v>45056.962500000001</v>
      </c>
      <c r="C2118" s="28" t="s">
        <v>10</v>
      </c>
      <c r="D2118" s="28" t="s">
        <v>632</v>
      </c>
      <c r="E2118" s="28"/>
      <c r="F2118" s="28">
        <v>0</v>
      </c>
      <c r="G2118" s="28" t="s">
        <v>119</v>
      </c>
      <c r="H2118" s="28">
        <v>0</v>
      </c>
      <c r="J2118" s="28"/>
    </row>
    <row r="2119" spans="1:10" ht="15.75" customHeight="1">
      <c r="A2119" s="28">
        <v>18649</v>
      </c>
      <c r="B2119" s="91">
        <v>45056.964004629626</v>
      </c>
      <c r="C2119" s="28" t="s">
        <v>10</v>
      </c>
      <c r="D2119" s="28" t="s">
        <v>854</v>
      </c>
      <c r="E2119" s="28"/>
      <c r="F2119" s="28">
        <v>35</v>
      </c>
      <c r="G2119" s="28" t="s">
        <v>124</v>
      </c>
      <c r="H2119" s="28">
        <v>0</v>
      </c>
      <c r="J2119" s="28"/>
    </row>
    <row r="2120" spans="1:10" ht="15.75" customHeight="1">
      <c r="A2120" s="28">
        <v>18649</v>
      </c>
      <c r="B2120" s="91">
        <v>45056.964004629626</v>
      </c>
      <c r="C2120" s="28" t="s">
        <v>10</v>
      </c>
      <c r="D2120" s="28" t="s">
        <v>854</v>
      </c>
      <c r="E2120" s="28"/>
      <c r="F2120" s="28">
        <v>0</v>
      </c>
      <c r="G2120" s="28" t="s">
        <v>125</v>
      </c>
      <c r="H2120" s="28">
        <v>0</v>
      </c>
      <c r="J2120" s="28"/>
    </row>
    <row r="2121" spans="1:10" ht="15.75" customHeight="1">
      <c r="A2121" s="28">
        <v>18649</v>
      </c>
      <c r="B2121" s="91">
        <v>45056.964004629626</v>
      </c>
      <c r="C2121" s="28" t="s">
        <v>10</v>
      </c>
      <c r="D2121" s="28" t="s">
        <v>854</v>
      </c>
      <c r="E2121" s="28"/>
      <c r="F2121" s="28">
        <v>0</v>
      </c>
      <c r="G2121" s="28" t="s">
        <v>119</v>
      </c>
      <c r="H2121" s="28">
        <v>0</v>
      </c>
      <c r="J2121" s="28"/>
    </row>
    <row r="2122" spans="1:10" ht="15.75" customHeight="1">
      <c r="A2122" s="28">
        <v>18649</v>
      </c>
      <c r="B2122" s="91">
        <v>45056.964004629626</v>
      </c>
      <c r="C2122" s="28" t="s">
        <v>10</v>
      </c>
      <c r="D2122" s="28" t="s">
        <v>854</v>
      </c>
      <c r="E2122" s="28"/>
      <c r="F2122" s="28">
        <v>0</v>
      </c>
      <c r="G2122" s="28" t="s">
        <v>121</v>
      </c>
      <c r="H2122" s="28">
        <v>0</v>
      </c>
      <c r="J2122" s="28"/>
    </row>
    <row r="2123" spans="1:10" ht="15.75" customHeight="1">
      <c r="A2123" s="28">
        <v>18650</v>
      </c>
      <c r="B2123" s="91">
        <v>45056.971620370372</v>
      </c>
      <c r="C2123" s="28" t="s">
        <v>10</v>
      </c>
      <c r="D2123" s="28" t="s">
        <v>853</v>
      </c>
      <c r="E2123" s="28"/>
      <c r="F2123" s="28">
        <v>25</v>
      </c>
      <c r="G2123" s="28">
        <v>100692</v>
      </c>
      <c r="H2123" s="28">
        <v>0</v>
      </c>
      <c r="J2123" s="28"/>
    </row>
    <row r="2124" spans="1:10" ht="15.75" customHeight="1">
      <c r="A2124" s="28">
        <v>18650</v>
      </c>
      <c r="B2124" s="91">
        <v>45056.971620370372</v>
      </c>
      <c r="C2124" s="28" t="s">
        <v>10</v>
      </c>
      <c r="D2124" s="28" t="s">
        <v>853</v>
      </c>
      <c r="E2124" s="28"/>
      <c r="F2124" s="28">
        <v>0</v>
      </c>
      <c r="G2124" s="28" t="s">
        <v>125</v>
      </c>
      <c r="H2124" s="28">
        <v>0</v>
      </c>
      <c r="J2124" s="28"/>
    </row>
    <row r="2125" spans="1:10" ht="15.75" customHeight="1">
      <c r="A2125" s="28">
        <v>18650</v>
      </c>
      <c r="B2125" s="91">
        <v>45056.971620370372</v>
      </c>
      <c r="C2125" s="28" t="s">
        <v>10</v>
      </c>
      <c r="D2125" s="28" t="s">
        <v>853</v>
      </c>
      <c r="E2125" s="28"/>
      <c r="F2125" s="28">
        <v>0</v>
      </c>
      <c r="G2125" s="28" t="s">
        <v>119</v>
      </c>
      <c r="H2125" s="28">
        <v>0</v>
      </c>
      <c r="J2125" s="28"/>
    </row>
    <row r="2126" spans="1:10" ht="15.75" customHeight="1">
      <c r="A2126" s="28">
        <v>18651</v>
      </c>
      <c r="B2126" s="91">
        <v>45056.977662037039</v>
      </c>
      <c r="C2126" s="28" t="s">
        <v>10</v>
      </c>
      <c r="D2126" s="28" t="s">
        <v>852</v>
      </c>
      <c r="E2126" s="28"/>
      <c r="F2126" s="28">
        <v>25</v>
      </c>
      <c r="G2126" s="28">
        <v>100692</v>
      </c>
      <c r="H2126" s="28">
        <v>0</v>
      </c>
      <c r="J2126" s="28"/>
    </row>
    <row r="2127" spans="1:10" ht="15.75" customHeight="1">
      <c r="A2127" s="28">
        <v>18651</v>
      </c>
      <c r="B2127" s="91">
        <v>45056.977662037039</v>
      </c>
      <c r="C2127" s="28" t="s">
        <v>10</v>
      </c>
      <c r="D2127" s="28" t="s">
        <v>852</v>
      </c>
      <c r="E2127" s="28"/>
      <c r="F2127" s="28">
        <v>0</v>
      </c>
      <c r="G2127" s="28" t="s">
        <v>125</v>
      </c>
      <c r="H2127" s="28">
        <v>0</v>
      </c>
      <c r="J2127" s="28"/>
    </row>
    <row r="2128" spans="1:10" ht="15.75" customHeight="1">
      <c r="A2128" s="28">
        <v>18651</v>
      </c>
      <c r="B2128" s="91">
        <v>45056.977662037039</v>
      </c>
      <c r="C2128" s="28" t="s">
        <v>10</v>
      </c>
      <c r="D2128" s="28" t="s">
        <v>852</v>
      </c>
      <c r="E2128" s="28"/>
      <c r="F2128" s="28">
        <v>0</v>
      </c>
      <c r="G2128" s="28" t="s">
        <v>119</v>
      </c>
      <c r="H2128" s="28">
        <v>0</v>
      </c>
      <c r="J2128" s="28"/>
    </row>
    <row r="2129" spans="1:10" ht="15.75" customHeight="1">
      <c r="A2129" s="28">
        <v>18652</v>
      </c>
      <c r="B2129" s="91">
        <v>45056.978495370371</v>
      </c>
      <c r="C2129" s="28" t="s">
        <v>10</v>
      </c>
      <c r="D2129" s="28" t="s">
        <v>851</v>
      </c>
      <c r="E2129" s="28"/>
      <c r="F2129" s="28">
        <v>25</v>
      </c>
      <c r="G2129" s="28">
        <v>100692</v>
      </c>
      <c r="H2129" s="28">
        <v>0</v>
      </c>
      <c r="J2129" s="28"/>
    </row>
    <row r="2130" spans="1:10" ht="15.75" customHeight="1">
      <c r="A2130" s="28">
        <v>18652</v>
      </c>
      <c r="B2130" s="91">
        <v>45056.978495370371</v>
      </c>
      <c r="C2130" s="28" t="s">
        <v>10</v>
      </c>
      <c r="D2130" s="28" t="s">
        <v>851</v>
      </c>
      <c r="E2130" s="28"/>
      <c r="F2130" s="28">
        <v>0</v>
      </c>
      <c r="G2130" s="28" t="s">
        <v>125</v>
      </c>
      <c r="H2130" s="28">
        <v>0</v>
      </c>
      <c r="J2130" s="28"/>
    </row>
    <row r="2131" spans="1:10" ht="15.75" customHeight="1">
      <c r="A2131" s="28">
        <v>18652</v>
      </c>
      <c r="B2131" s="91">
        <v>45056.978495370371</v>
      </c>
      <c r="C2131" s="28" t="s">
        <v>10</v>
      </c>
      <c r="D2131" s="28" t="s">
        <v>851</v>
      </c>
      <c r="E2131" s="28"/>
      <c r="F2131" s="28">
        <v>0</v>
      </c>
      <c r="G2131" s="28" t="s">
        <v>119</v>
      </c>
      <c r="H2131" s="28">
        <v>0</v>
      </c>
      <c r="J2131" s="28"/>
    </row>
    <row r="2132" spans="1:10" ht="15.75" customHeight="1">
      <c r="A2132" s="28">
        <v>18653</v>
      </c>
      <c r="B2132" s="91">
        <v>45056.985231481478</v>
      </c>
      <c r="C2132" s="28" t="s">
        <v>10</v>
      </c>
      <c r="D2132" s="28" t="s">
        <v>850</v>
      </c>
      <c r="E2132" s="28"/>
      <c r="F2132" s="28">
        <v>0</v>
      </c>
      <c r="G2132" s="28" t="s">
        <v>117</v>
      </c>
      <c r="H2132" s="28">
        <v>0</v>
      </c>
      <c r="J2132" s="28"/>
    </row>
    <row r="2133" spans="1:10" ht="15.75" customHeight="1">
      <c r="A2133" s="28">
        <v>18654</v>
      </c>
      <c r="B2133" s="91">
        <v>45056.986458333333</v>
      </c>
      <c r="C2133" s="28" t="s">
        <v>10</v>
      </c>
      <c r="D2133" s="28" t="s">
        <v>849</v>
      </c>
      <c r="E2133" s="28"/>
      <c r="F2133" s="28">
        <v>0</v>
      </c>
      <c r="G2133" s="28" t="s">
        <v>117</v>
      </c>
      <c r="H2133" s="28">
        <v>0</v>
      </c>
      <c r="J2133" s="28"/>
    </row>
    <row r="2134" spans="1:10" ht="15.75" customHeight="1">
      <c r="A2134" s="28">
        <v>18655</v>
      </c>
      <c r="B2134" s="91">
        <v>45056.98810185185</v>
      </c>
      <c r="C2134" s="28" t="s">
        <v>10</v>
      </c>
      <c r="D2134" s="28" t="s">
        <v>848</v>
      </c>
      <c r="E2134" s="28"/>
      <c r="F2134" s="28">
        <v>0</v>
      </c>
      <c r="G2134" s="28" t="s">
        <v>117</v>
      </c>
      <c r="H2134" s="28">
        <v>0</v>
      </c>
      <c r="J2134" s="28"/>
    </row>
    <row r="2135" spans="1:10" ht="15.75" customHeight="1">
      <c r="A2135" s="28">
        <v>18656</v>
      </c>
      <c r="B2135" s="91">
        <v>45056.991979166662</v>
      </c>
      <c r="C2135" s="28" t="s">
        <v>10</v>
      </c>
      <c r="D2135" s="28" t="s">
        <v>847</v>
      </c>
      <c r="E2135" s="28"/>
      <c r="F2135" s="28">
        <v>0</v>
      </c>
      <c r="G2135" s="28" t="s">
        <v>117</v>
      </c>
      <c r="H2135" s="28">
        <v>0</v>
      </c>
      <c r="J2135" s="28"/>
    </row>
    <row r="2136" spans="1:10" ht="15.75" customHeight="1">
      <c r="A2136" s="28">
        <v>18656</v>
      </c>
      <c r="B2136" s="91">
        <v>45056.991979166662</v>
      </c>
      <c r="C2136" s="28" t="s">
        <v>10</v>
      </c>
      <c r="D2136" s="28" t="s">
        <v>847</v>
      </c>
      <c r="E2136" s="28"/>
      <c r="F2136" s="28">
        <v>25</v>
      </c>
      <c r="G2136" s="28">
        <v>100692</v>
      </c>
      <c r="H2136" s="28">
        <v>0</v>
      </c>
      <c r="J2136" s="28"/>
    </row>
    <row r="2137" spans="1:10" ht="15.75" customHeight="1">
      <c r="A2137" s="28">
        <v>18656</v>
      </c>
      <c r="B2137" s="91">
        <v>45056.991979166662</v>
      </c>
      <c r="C2137" s="28" t="s">
        <v>10</v>
      </c>
      <c r="D2137" s="28" t="s">
        <v>847</v>
      </c>
      <c r="E2137" s="28"/>
      <c r="F2137" s="28">
        <v>0</v>
      </c>
      <c r="G2137" s="28" t="s">
        <v>125</v>
      </c>
      <c r="H2137" s="28">
        <v>0</v>
      </c>
      <c r="J2137" s="28"/>
    </row>
    <row r="2138" spans="1:10" ht="15.75" customHeight="1">
      <c r="A2138" s="28">
        <v>18656</v>
      </c>
      <c r="B2138" s="91">
        <v>45056.991979166662</v>
      </c>
      <c r="C2138" s="28" t="s">
        <v>10</v>
      </c>
      <c r="D2138" s="28" t="s">
        <v>847</v>
      </c>
      <c r="E2138" s="28"/>
      <c r="F2138" s="28">
        <v>0</v>
      </c>
      <c r="G2138" s="28" t="s">
        <v>119</v>
      </c>
      <c r="H2138" s="28">
        <v>0</v>
      </c>
      <c r="J2138" s="28"/>
    </row>
    <row r="2139" spans="1:10" ht="15.75" customHeight="1">
      <c r="A2139" s="28">
        <v>18657</v>
      </c>
      <c r="B2139" s="91">
        <v>45057.10428240741</v>
      </c>
      <c r="C2139" s="28" t="s">
        <v>10</v>
      </c>
      <c r="D2139" s="28" t="s">
        <v>846</v>
      </c>
      <c r="E2139" s="28"/>
      <c r="F2139" s="28">
        <v>18</v>
      </c>
      <c r="G2139" s="28" t="s">
        <v>119</v>
      </c>
      <c r="H2139" s="28">
        <v>0</v>
      </c>
      <c r="J2139" s="28"/>
    </row>
    <row r="2140" spans="1:10" ht="15.75" customHeight="1">
      <c r="A2140" s="28">
        <v>18658</v>
      </c>
      <c r="B2140" s="91">
        <v>45057.15929398148</v>
      </c>
      <c r="C2140" s="28" t="s">
        <v>10</v>
      </c>
      <c r="D2140" s="28" t="s">
        <v>651</v>
      </c>
      <c r="E2140" s="28"/>
      <c r="F2140" s="28">
        <v>28</v>
      </c>
      <c r="G2140" s="28" t="s">
        <v>143</v>
      </c>
      <c r="H2140" s="28">
        <v>0</v>
      </c>
      <c r="J2140" s="28"/>
    </row>
    <row r="2141" spans="1:10" ht="15.75" customHeight="1">
      <c r="A2141" s="28">
        <v>18659</v>
      </c>
      <c r="B2141" s="91">
        <v>45057.400381944448</v>
      </c>
      <c r="C2141" s="28" t="s">
        <v>8</v>
      </c>
      <c r="D2141" s="28" t="s">
        <v>845</v>
      </c>
      <c r="E2141" s="28"/>
      <c r="F2141" s="28">
        <v>0</v>
      </c>
      <c r="G2141" s="28" t="s">
        <v>117</v>
      </c>
      <c r="H2141" s="28">
        <v>0</v>
      </c>
      <c r="J2141" s="28"/>
    </row>
    <row r="2142" spans="1:10" ht="15.75" customHeight="1">
      <c r="A2142" s="28">
        <v>18659</v>
      </c>
      <c r="B2142" s="91">
        <v>45057.400381944448</v>
      </c>
      <c r="C2142" s="28" t="s">
        <v>8</v>
      </c>
      <c r="D2142" s="28" t="s">
        <v>845</v>
      </c>
      <c r="E2142" s="28"/>
      <c r="F2142" s="28">
        <v>20</v>
      </c>
      <c r="G2142" s="28" t="s">
        <v>286</v>
      </c>
      <c r="H2142" s="28">
        <v>0</v>
      </c>
      <c r="J2142" s="28"/>
    </row>
    <row r="2143" spans="1:10" ht="15.75" customHeight="1">
      <c r="A2143" s="28">
        <v>18660</v>
      </c>
      <c r="B2143" s="91">
        <v>45057.440150462964</v>
      </c>
      <c r="C2143" s="28" t="s">
        <v>10</v>
      </c>
      <c r="D2143" s="28" t="s">
        <v>844</v>
      </c>
      <c r="E2143" s="28"/>
      <c r="F2143" s="28">
        <v>25</v>
      </c>
      <c r="G2143" s="28">
        <v>100692</v>
      </c>
      <c r="H2143" s="28">
        <v>0</v>
      </c>
      <c r="J2143" s="28"/>
    </row>
    <row r="2144" spans="1:10" ht="15.75" customHeight="1">
      <c r="A2144" s="28">
        <v>18660</v>
      </c>
      <c r="B2144" s="91">
        <v>45057.440150462964</v>
      </c>
      <c r="C2144" s="28" t="s">
        <v>10</v>
      </c>
      <c r="D2144" s="28" t="s">
        <v>844</v>
      </c>
      <c r="E2144" s="28"/>
      <c r="F2144" s="28">
        <v>0</v>
      </c>
      <c r="G2144" s="28" t="s">
        <v>125</v>
      </c>
      <c r="H2144" s="28">
        <v>0</v>
      </c>
      <c r="J2144" s="28"/>
    </row>
    <row r="2145" spans="1:10" ht="15.75" customHeight="1">
      <c r="A2145" s="28">
        <v>18660</v>
      </c>
      <c r="B2145" s="91">
        <v>45057.440150462964</v>
      </c>
      <c r="C2145" s="28" t="s">
        <v>10</v>
      </c>
      <c r="D2145" s="28" t="s">
        <v>844</v>
      </c>
      <c r="E2145" s="28"/>
      <c r="F2145" s="28">
        <v>0</v>
      </c>
      <c r="G2145" s="28" t="s">
        <v>119</v>
      </c>
      <c r="H2145" s="28">
        <v>0</v>
      </c>
      <c r="J2145" s="28"/>
    </row>
    <row r="2146" spans="1:10" ht="15.75" customHeight="1">
      <c r="A2146" s="28">
        <v>18661</v>
      </c>
      <c r="B2146" s="91">
        <v>45057.614247685182</v>
      </c>
      <c r="C2146" s="28" t="s">
        <v>10</v>
      </c>
      <c r="D2146" s="28" t="s">
        <v>843</v>
      </c>
      <c r="E2146" s="28"/>
      <c r="F2146" s="28">
        <v>55</v>
      </c>
      <c r="G2146" s="28">
        <v>101684</v>
      </c>
      <c r="H2146" s="28">
        <v>0</v>
      </c>
      <c r="J2146" s="28"/>
    </row>
    <row r="2147" spans="1:10" ht="15.75" customHeight="1">
      <c r="A2147" s="28">
        <v>18661</v>
      </c>
      <c r="B2147" s="91">
        <v>45057.614247685182</v>
      </c>
      <c r="C2147" s="28" t="s">
        <v>10</v>
      </c>
      <c r="D2147" s="28" t="s">
        <v>843</v>
      </c>
      <c r="E2147" s="28"/>
      <c r="F2147" s="28">
        <v>0</v>
      </c>
      <c r="G2147" s="28" t="s">
        <v>118</v>
      </c>
      <c r="H2147" s="28">
        <v>0</v>
      </c>
      <c r="J2147" s="28"/>
    </row>
    <row r="2148" spans="1:10" ht="15.75" customHeight="1">
      <c r="A2148" s="28">
        <v>18661</v>
      </c>
      <c r="B2148" s="91">
        <v>45057.614247685182</v>
      </c>
      <c r="C2148" s="28" t="s">
        <v>10</v>
      </c>
      <c r="D2148" s="28" t="s">
        <v>843</v>
      </c>
      <c r="E2148" s="28"/>
      <c r="F2148" s="28">
        <v>0</v>
      </c>
      <c r="G2148" s="28" t="s">
        <v>119</v>
      </c>
      <c r="H2148" s="28">
        <v>0</v>
      </c>
      <c r="J2148" s="28"/>
    </row>
    <row r="2149" spans="1:10" ht="15.75" customHeight="1">
      <c r="A2149" s="28">
        <v>18661</v>
      </c>
      <c r="B2149" s="91">
        <v>45057.614247685182</v>
      </c>
      <c r="C2149" s="28" t="s">
        <v>10</v>
      </c>
      <c r="D2149" s="28" t="s">
        <v>843</v>
      </c>
      <c r="E2149" s="28"/>
      <c r="F2149" s="28">
        <v>0</v>
      </c>
      <c r="G2149" s="28" t="s">
        <v>120</v>
      </c>
      <c r="H2149" s="28">
        <v>0</v>
      </c>
      <c r="J2149" s="28"/>
    </row>
    <row r="2150" spans="1:10" ht="15.75" customHeight="1">
      <c r="A2150" s="28">
        <v>18661</v>
      </c>
      <c r="B2150" s="91">
        <v>45057.614247685182</v>
      </c>
      <c r="C2150" s="28" t="s">
        <v>10</v>
      </c>
      <c r="D2150" s="28" t="s">
        <v>843</v>
      </c>
      <c r="E2150" s="28"/>
      <c r="F2150" s="28">
        <v>0</v>
      </c>
      <c r="G2150" s="28" t="s">
        <v>121</v>
      </c>
      <c r="H2150" s="28">
        <v>0</v>
      </c>
      <c r="J2150" s="28"/>
    </row>
    <row r="2151" spans="1:10" ht="15.75" customHeight="1">
      <c r="A2151" s="28">
        <v>18662</v>
      </c>
      <c r="B2151" s="91">
        <v>45057.660104166665</v>
      </c>
      <c r="C2151" s="28" t="s">
        <v>10</v>
      </c>
      <c r="D2151" s="28" t="s">
        <v>842</v>
      </c>
      <c r="E2151" s="28"/>
      <c r="F2151" s="28">
        <v>28</v>
      </c>
      <c r="G2151" s="28" t="s">
        <v>143</v>
      </c>
      <c r="H2151" s="28">
        <v>0</v>
      </c>
      <c r="J2151" s="28"/>
    </row>
    <row r="2152" spans="1:10" ht="15.75" customHeight="1">
      <c r="A2152" s="28">
        <v>18663</v>
      </c>
      <c r="B2152" s="91">
        <v>45057.667337962965</v>
      </c>
      <c r="C2152" s="28" t="s">
        <v>10</v>
      </c>
      <c r="D2152" s="28" t="s">
        <v>659</v>
      </c>
      <c r="E2152" s="28"/>
      <c r="F2152" s="28">
        <v>15</v>
      </c>
      <c r="G2152" s="28" t="s">
        <v>125</v>
      </c>
      <c r="H2152" s="28">
        <v>0</v>
      </c>
      <c r="J2152" s="28"/>
    </row>
    <row r="2153" spans="1:10" ht="15.75" customHeight="1">
      <c r="A2153" s="28">
        <v>18664</v>
      </c>
      <c r="B2153" s="91">
        <v>45057.830706018518</v>
      </c>
      <c r="C2153" s="28" t="s">
        <v>10</v>
      </c>
      <c r="D2153" s="28" t="s">
        <v>841</v>
      </c>
      <c r="E2153" s="28"/>
      <c r="F2153" s="28">
        <v>26</v>
      </c>
      <c r="G2153" s="28" t="s">
        <v>122</v>
      </c>
      <c r="H2153" s="28">
        <v>0</v>
      </c>
      <c r="J2153" s="28"/>
    </row>
    <row r="2154" spans="1:10" ht="15.75" customHeight="1">
      <c r="A2154" s="28">
        <v>18665</v>
      </c>
      <c r="B2154" s="91">
        <v>45057.900636574079</v>
      </c>
      <c r="C2154" s="28" t="s">
        <v>10</v>
      </c>
      <c r="D2154" s="28" t="s">
        <v>840</v>
      </c>
      <c r="E2154" s="28"/>
      <c r="F2154" s="28">
        <v>55</v>
      </c>
      <c r="G2154" s="28">
        <v>101684</v>
      </c>
      <c r="H2154" s="28">
        <v>0</v>
      </c>
      <c r="J2154" s="28"/>
    </row>
    <row r="2155" spans="1:10" ht="15.75" customHeight="1">
      <c r="A2155" s="28">
        <v>18665</v>
      </c>
      <c r="B2155" s="91">
        <v>45057.900636574079</v>
      </c>
      <c r="C2155" s="28" t="s">
        <v>10</v>
      </c>
      <c r="D2155" s="28" t="s">
        <v>840</v>
      </c>
      <c r="E2155" s="28"/>
      <c r="F2155" s="28">
        <v>0</v>
      </c>
      <c r="G2155" s="28" t="s">
        <v>118</v>
      </c>
      <c r="H2155" s="28">
        <v>0</v>
      </c>
      <c r="J2155" s="28"/>
    </row>
    <row r="2156" spans="1:10" ht="15.75" customHeight="1">
      <c r="A2156" s="28">
        <v>18665</v>
      </c>
      <c r="B2156" s="91">
        <v>45057.900636574079</v>
      </c>
      <c r="C2156" s="28" t="s">
        <v>10</v>
      </c>
      <c r="D2156" s="28" t="s">
        <v>840</v>
      </c>
      <c r="E2156" s="28"/>
      <c r="F2156" s="28">
        <v>0</v>
      </c>
      <c r="G2156" s="28" t="s">
        <v>119</v>
      </c>
      <c r="H2156" s="28">
        <v>0</v>
      </c>
      <c r="J2156" s="28"/>
    </row>
    <row r="2157" spans="1:10" ht="15.75" customHeight="1">
      <c r="A2157" s="28">
        <v>18665</v>
      </c>
      <c r="B2157" s="91">
        <v>45057.900636574079</v>
      </c>
      <c r="C2157" s="28" t="s">
        <v>10</v>
      </c>
      <c r="D2157" s="28" t="s">
        <v>840</v>
      </c>
      <c r="E2157" s="28"/>
      <c r="F2157" s="28">
        <v>0</v>
      </c>
      <c r="G2157" s="28" t="s">
        <v>120</v>
      </c>
      <c r="H2157" s="28">
        <v>0</v>
      </c>
      <c r="J2157" s="28"/>
    </row>
    <row r="2158" spans="1:10" ht="15.75" customHeight="1">
      <c r="A2158" s="28">
        <v>18665</v>
      </c>
      <c r="B2158" s="91">
        <v>45057.900636574079</v>
      </c>
      <c r="C2158" s="28" t="s">
        <v>10</v>
      </c>
      <c r="D2158" s="28" t="s">
        <v>840</v>
      </c>
      <c r="E2158" s="28"/>
      <c r="F2158" s="28">
        <v>0</v>
      </c>
      <c r="G2158" s="28" t="s">
        <v>121</v>
      </c>
      <c r="H2158" s="28">
        <v>0</v>
      </c>
      <c r="J2158" s="28"/>
    </row>
    <row r="2159" spans="1:10" ht="15.75" customHeight="1">
      <c r="A2159" s="28">
        <v>18666</v>
      </c>
      <c r="B2159" s="91">
        <v>45057.91106481482</v>
      </c>
      <c r="C2159" s="28" t="s">
        <v>8</v>
      </c>
      <c r="D2159" s="28" t="s">
        <v>839</v>
      </c>
      <c r="E2159" s="28"/>
      <c r="F2159" s="28">
        <v>25</v>
      </c>
      <c r="G2159" s="28">
        <v>100692</v>
      </c>
      <c r="H2159" s="28">
        <v>0</v>
      </c>
      <c r="J2159" s="28"/>
    </row>
    <row r="2160" spans="1:10" ht="15.75" customHeight="1">
      <c r="A2160" s="28">
        <v>18666</v>
      </c>
      <c r="B2160" s="91">
        <v>45057.91106481482</v>
      </c>
      <c r="C2160" s="28" t="s">
        <v>8</v>
      </c>
      <c r="D2160" s="28" t="s">
        <v>839</v>
      </c>
      <c r="E2160" s="28"/>
      <c r="F2160" s="28">
        <v>0</v>
      </c>
      <c r="G2160" s="28" t="s">
        <v>125</v>
      </c>
      <c r="H2160" s="28">
        <v>0</v>
      </c>
      <c r="J2160" s="28"/>
    </row>
    <row r="2161" spans="1:10" ht="15.75" customHeight="1">
      <c r="A2161" s="28">
        <v>18666</v>
      </c>
      <c r="B2161" s="91">
        <v>45057.91106481482</v>
      </c>
      <c r="C2161" s="28" t="s">
        <v>8</v>
      </c>
      <c r="D2161" s="28" t="s">
        <v>839</v>
      </c>
      <c r="E2161" s="28"/>
      <c r="F2161" s="28">
        <v>0</v>
      </c>
      <c r="G2161" s="28" t="s">
        <v>119</v>
      </c>
      <c r="H2161" s="28">
        <v>0</v>
      </c>
      <c r="J2161" s="28"/>
    </row>
    <row r="2162" spans="1:10" ht="15.75" customHeight="1">
      <c r="A2162" s="28">
        <v>18667</v>
      </c>
      <c r="B2162" s="91">
        <v>45057.917581018519</v>
      </c>
      <c r="C2162" s="28" t="s">
        <v>10</v>
      </c>
      <c r="D2162" s="28" t="s">
        <v>838</v>
      </c>
      <c r="E2162" s="28"/>
      <c r="F2162" s="28">
        <v>20</v>
      </c>
      <c r="G2162" s="28" t="s">
        <v>205</v>
      </c>
      <c r="H2162" s="28">
        <v>0</v>
      </c>
      <c r="J2162" s="28"/>
    </row>
    <row r="2163" spans="1:10" ht="15.75" customHeight="1">
      <c r="A2163" s="28">
        <v>18667</v>
      </c>
      <c r="B2163" s="91">
        <v>45057.917581018519</v>
      </c>
      <c r="C2163" s="28" t="s">
        <v>10</v>
      </c>
      <c r="D2163" s="28" t="s">
        <v>838</v>
      </c>
      <c r="E2163" s="28"/>
      <c r="F2163" s="28">
        <v>0</v>
      </c>
      <c r="G2163" s="28" t="s">
        <v>125</v>
      </c>
      <c r="H2163" s="28">
        <v>0</v>
      </c>
      <c r="J2163" s="28"/>
    </row>
    <row r="2164" spans="1:10" ht="15.75" customHeight="1">
      <c r="A2164" s="28">
        <v>18668</v>
      </c>
      <c r="B2164" s="91">
        <v>45057.91810185185</v>
      </c>
      <c r="C2164" s="28" t="s">
        <v>10</v>
      </c>
      <c r="D2164" s="28" t="s">
        <v>699</v>
      </c>
      <c r="E2164" s="28"/>
      <c r="F2164" s="28">
        <v>28</v>
      </c>
      <c r="G2164" s="28" t="s">
        <v>143</v>
      </c>
      <c r="H2164" s="28">
        <v>0</v>
      </c>
      <c r="J2164" s="28"/>
    </row>
    <row r="2165" spans="1:10" ht="15.75" customHeight="1">
      <c r="A2165" s="28">
        <v>18669</v>
      </c>
      <c r="B2165" s="91">
        <v>45057.921018518522</v>
      </c>
      <c r="C2165" s="28" t="s">
        <v>10</v>
      </c>
      <c r="D2165" s="28" t="s">
        <v>837</v>
      </c>
      <c r="E2165" s="28"/>
      <c r="F2165" s="28">
        <v>55</v>
      </c>
      <c r="G2165" s="28">
        <v>101684</v>
      </c>
      <c r="H2165" s="28">
        <v>0</v>
      </c>
      <c r="J2165" s="28"/>
    </row>
    <row r="2166" spans="1:10" ht="15.75" customHeight="1">
      <c r="A2166" s="28">
        <v>18669</v>
      </c>
      <c r="B2166" s="91">
        <v>45057.921018518522</v>
      </c>
      <c r="C2166" s="28" t="s">
        <v>10</v>
      </c>
      <c r="D2166" s="28" t="s">
        <v>837</v>
      </c>
      <c r="E2166" s="28"/>
      <c r="F2166" s="28">
        <v>0</v>
      </c>
      <c r="G2166" s="28" t="s">
        <v>118</v>
      </c>
      <c r="H2166" s="28">
        <v>0</v>
      </c>
      <c r="J2166" s="28"/>
    </row>
    <row r="2167" spans="1:10" ht="15.75" customHeight="1">
      <c r="A2167" s="28">
        <v>18669</v>
      </c>
      <c r="B2167" s="91">
        <v>45057.921018518522</v>
      </c>
      <c r="C2167" s="28" t="s">
        <v>10</v>
      </c>
      <c r="D2167" s="28" t="s">
        <v>837</v>
      </c>
      <c r="E2167" s="28"/>
      <c r="F2167" s="28">
        <v>0</v>
      </c>
      <c r="G2167" s="28" t="s">
        <v>119</v>
      </c>
      <c r="H2167" s="28">
        <v>0</v>
      </c>
      <c r="J2167" s="28"/>
    </row>
    <row r="2168" spans="1:10" ht="15.75" customHeight="1">
      <c r="A2168" s="28">
        <v>18669</v>
      </c>
      <c r="B2168" s="91">
        <v>45057.921018518522</v>
      </c>
      <c r="C2168" s="28" t="s">
        <v>10</v>
      </c>
      <c r="D2168" s="28" t="s">
        <v>837</v>
      </c>
      <c r="E2168" s="28"/>
      <c r="F2168" s="28">
        <v>0</v>
      </c>
      <c r="G2168" s="28" t="s">
        <v>120</v>
      </c>
      <c r="H2168" s="28">
        <v>0</v>
      </c>
      <c r="J2168" s="28"/>
    </row>
    <row r="2169" spans="1:10" ht="15.75" customHeight="1">
      <c r="A2169" s="28">
        <v>18669</v>
      </c>
      <c r="B2169" s="91">
        <v>45057.921018518522</v>
      </c>
      <c r="C2169" s="28" t="s">
        <v>10</v>
      </c>
      <c r="D2169" s="28" t="s">
        <v>837</v>
      </c>
      <c r="E2169" s="28"/>
      <c r="F2169" s="28">
        <v>0</v>
      </c>
      <c r="G2169" s="28" t="s">
        <v>121</v>
      </c>
      <c r="H2169" s="28">
        <v>0</v>
      </c>
      <c r="J2169" s="28"/>
    </row>
    <row r="2170" spans="1:10" ht="15.75" customHeight="1">
      <c r="A2170" s="28">
        <v>18669</v>
      </c>
      <c r="B2170" s="91">
        <v>45057.921018518522</v>
      </c>
      <c r="C2170" s="28" t="s">
        <v>10</v>
      </c>
      <c r="D2170" s="28" t="s">
        <v>837</v>
      </c>
      <c r="E2170" s="28"/>
      <c r="F2170" s="28">
        <v>26</v>
      </c>
      <c r="G2170" s="28" t="s">
        <v>122</v>
      </c>
      <c r="H2170" s="28">
        <v>0</v>
      </c>
      <c r="J2170" s="28"/>
    </row>
    <row r="2171" spans="1:10" ht="15.75" customHeight="1">
      <c r="A2171" s="28">
        <v>18670</v>
      </c>
      <c r="B2171" s="91">
        <v>45057.922534722224</v>
      </c>
      <c r="C2171" s="28" t="s">
        <v>10</v>
      </c>
      <c r="D2171" s="28" t="s">
        <v>836</v>
      </c>
      <c r="E2171" s="28"/>
      <c r="F2171" s="28">
        <v>28</v>
      </c>
      <c r="G2171" s="28" t="s">
        <v>143</v>
      </c>
      <c r="H2171" s="28">
        <v>0</v>
      </c>
      <c r="J2171" s="28"/>
    </row>
    <row r="2172" spans="1:10" ht="15.75" customHeight="1">
      <c r="A2172" s="28">
        <v>18671</v>
      </c>
      <c r="B2172" s="91">
        <v>45057.927708333329</v>
      </c>
      <c r="C2172" s="28" t="s">
        <v>10</v>
      </c>
      <c r="D2172" s="28" t="s">
        <v>835</v>
      </c>
      <c r="E2172" s="28"/>
      <c r="F2172" s="28">
        <v>25</v>
      </c>
      <c r="G2172" s="28">
        <v>100692</v>
      </c>
      <c r="H2172" s="28">
        <v>0</v>
      </c>
      <c r="J2172" s="28"/>
    </row>
    <row r="2173" spans="1:10" ht="15.75" customHeight="1">
      <c r="A2173" s="28">
        <v>18671</v>
      </c>
      <c r="B2173" s="91">
        <v>45057.927708333329</v>
      </c>
      <c r="C2173" s="28" t="s">
        <v>10</v>
      </c>
      <c r="D2173" s="28" t="s">
        <v>835</v>
      </c>
      <c r="E2173" s="28"/>
      <c r="F2173" s="28">
        <v>0</v>
      </c>
      <c r="G2173" s="28" t="s">
        <v>125</v>
      </c>
      <c r="H2173" s="28">
        <v>0</v>
      </c>
      <c r="J2173" s="28"/>
    </row>
    <row r="2174" spans="1:10" ht="15.75" customHeight="1">
      <c r="A2174" s="28">
        <v>18671</v>
      </c>
      <c r="B2174" s="91">
        <v>45057.927708333329</v>
      </c>
      <c r="C2174" s="28" t="s">
        <v>10</v>
      </c>
      <c r="D2174" s="28" t="s">
        <v>835</v>
      </c>
      <c r="E2174" s="28"/>
      <c r="F2174" s="28">
        <v>0</v>
      </c>
      <c r="G2174" s="28" t="s">
        <v>119</v>
      </c>
      <c r="H2174" s="28">
        <v>0</v>
      </c>
      <c r="J2174" s="28"/>
    </row>
    <row r="2175" spans="1:10" ht="15.75" customHeight="1">
      <c r="A2175" s="28">
        <v>18672</v>
      </c>
      <c r="B2175" s="91">
        <v>45057.927719907406</v>
      </c>
      <c r="C2175" s="28" t="s">
        <v>10</v>
      </c>
      <c r="D2175" s="28" t="s">
        <v>834</v>
      </c>
      <c r="E2175" s="28"/>
      <c r="F2175" s="28">
        <v>28</v>
      </c>
      <c r="G2175" s="28" t="s">
        <v>143</v>
      </c>
      <c r="H2175" s="28">
        <v>0</v>
      </c>
      <c r="J2175" s="28"/>
    </row>
    <row r="2176" spans="1:10" ht="15.75" customHeight="1">
      <c r="A2176" s="28">
        <v>18673</v>
      </c>
      <c r="B2176" s="91">
        <v>45057.928564814814</v>
      </c>
      <c r="C2176" s="28" t="s">
        <v>10</v>
      </c>
      <c r="D2176" s="28" t="s">
        <v>833</v>
      </c>
      <c r="E2176" s="28"/>
      <c r="F2176" s="28">
        <v>25</v>
      </c>
      <c r="G2176" s="28">
        <v>100692</v>
      </c>
      <c r="H2176" s="28">
        <v>0</v>
      </c>
      <c r="J2176" s="28"/>
    </row>
    <row r="2177" spans="1:10" ht="15.75" customHeight="1">
      <c r="A2177" s="28">
        <v>18673</v>
      </c>
      <c r="B2177" s="91">
        <v>45057.928564814814</v>
      </c>
      <c r="C2177" s="28" t="s">
        <v>10</v>
      </c>
      <c r="D2177" s="28" t="s">
        <v>833</v>
      </c>
      <c r="E2177" s="28"/>
      <c r="F2177" s="28">
        <v>0</v>
      </c>
      <c r="G2177" s="28" t="s">
        <v>125</v>
      </c>
      <c r="H2177" s="28">
        <v>0</v>
      </c>
      <c r="J2177" s="28"/>
    </row>
    <row r="2178" spans="1:10" ht="15.75" customHeight="1">
      <c r="A2178" s="28">
        <v>18673</v>
      </c>
      <c r="B2178" s="91">
        <v>45057.928564814814</v>
      </c>
      <c r="C2178" s="28" t="s">
        <v>10</v>
      </c>
      <c r="D2178" s="28" t="s">
        <v>833</v>
      </c>
      <c r="E2178" s="28"/>
      <c r="F2178" s="28">
        <v>0</v>
      </c>
      <c r="G2178" s="28" t="s">
        <v>119</v>
      </c>
      <c r="H2178" s="28">
        <v>0</v>
      </c>
      <c r="J2178" s="28"/>
    </row>
    <row r="2179" spans="1:10" ht="15.75" customHeight="1">
      <c r="A2179" s="28">
        <v>18674</v>
      </c>
      <c r="B2179" s="91">
        <v>45057.936319444445</v>
      </c>
      <c r="C2179" s="28" t="s">
        <v>10</v>
      </c>
      <c r="D2179" s="28" t="s">
        <v>832</v>
      </c>
      <c r="E2179" s="28"/>
      <c r="F2179" s="28">
        <v>25</v>
      </c>
      <c r="G2179" s="28">
        <v>100692</v>
      </c>
      <c r="H2179" s="28">
        <v>0</v>
      </c>
      <c r="J2179" s="28"/>
    </row>
    <row r="2180" spans="1:10" ht="15.75" customHeight="1">
      <c r="A2180" s="28">
        <v>18674</v>
      </c>
      <c r="B2180" s="91">
        <v>45057.936319444445</v>
      </c>
      <c r="C2180" s="28" t="s">
        <v>10</v>
      </c>
      <c r="D2180" s="28" t="s">
        <v>832</v>
      </c>
      <c r="E2180" s="28"/>
      <c r="F2180" s="28">
        <v>0</v>
      </c>
      <c r="G2180" s="28" t="s">
        <v>125</v>
      </c>
      <c r="H2180" s="28">
        <v>0</v>
      </c>
      <c r="J2180" s="28"/>
    </row>
    <row r="2181" spans="1:10" ht="15.75" customHeight="1">
      <c r="A2181" s="28">
        <v>18674</v>
      </c>
      <c r="B2181" s="91">
        <v>45057.936319444445</v>
      </c>
      <c r="C2181" s="28" t="s">
        <v>10</v>
      </c>
      <c r="D2181" s="28" t="s">
        <v>832</v>
      </c>
      <c r="E2181" s="28"/>
      <c r="F2181" s="28">
        <v>0</v>
      </c>
      <c r="G2181" s="28" t="s">
        <v>119</v>
      </c>
      <c r="H2181" s="28">
        <v>0</v>
      </c>
      <c r="J2181" s="28"/>
    </row>
    <row r="2182" spans="1:10" ht="15.75" customHeight="1">
      <c r="A2182" s="28">
        <v>18675</v>
      </c>
      <c r="B2182" s="91">
        <v>45057.938206018516</v>
      </c>
      <c r="C2182" s="28" t="s">
        <v>10</v>
      </c>
      <c r="D2182" s="28" t="s">
        <v>831</v>
      </c>
      <c r="E2182" s="28"/>
      <c r="F2182" s="28">
        <v>25</v>
      </c>
      <c r="G2182" s="28">
        <v>100692</v>
      </c>
      <c r="H2182" s="28">
        <v>0</v>
      </c>
      <c r="J2182" s="28"/>
    </row>
    <row r="2183" spans="1:10" ht="15.75" customHeight="1">
      <c r="A2183" s="28">
        <v>18675</v>
      </c>
      <c r="B2183" s="91">
        <v>45057.938206018516</v>
      </c>
      <c r="C2183" s="28" t="s">
        <v>10</v>
      </c>
      <c r="D2183" s="28" t="s">
        <v>831</v>
      </c>
      <c r="E2183" s="28"/>
      <c r="F2183" s="28">
        <v>0</v>
      </c>
      <c r="G2183" s="28" t="s">
        <v>125</v>
      </c>
      <c r="H2183" s="28">
        <v>0</v>
      </c>
      <c r="J2183" s="28"/>
    </row>
    <row r="2184" spans="1:10" ht="15.75" customHeight="1">
      <c r="A2184" s="28">
        <v>18675</v>
      </c>
      <c r="B2184" s="91">
        <v>45057.938206018516</v>
      </c>
      <c r="C2184" s="28" t="s">
        <v>10</v>
      </c>
      <c r="D2184" s="28" t="s">
        <v>831</v>
      </c>
      <c r="E2184" s="28"/>
      <c r="F2184" s="28">
        <v>0</v>
      </c>
      <c r="G2184" s="28" t="s">
        <v>119</v>
      </c>
      <c r="H2184" s="28">
        <v>0</v>
      </c>
      <c r="J2184" s="28"/>
    </row>
    <row r="2185" spans="1:10" ht="15.75" customHeight="1">
      <c r="A2185" s="28">
        <v>18676</v>
      </c>
      <c r="B2185" s="91">
        <v>45057.946597222224</v>
      </c>
      <c r="C2185" s="28" t="s">
        <v>10</v>
      </c>
      <c r="D2185" s="28" t="s">
        <v>830</v>
      </c>
      <c r="E2185" s="28"/>
      <c r="F2185" s="28">
        <v>35</v>
      </c>
      <c r="G2185" s="28" t="s">
        <v>124</v>
      </c>
      <c r="H2185" s="28">
        <v>0</v>
      </c>
      <c r="J2185" s="28"/>
    </row>
    <row r="2186" spans="1:10" ht="15.75" customHeight="1">
      <c r="A2186" s="28">
        <v>18676</v>
      </c>
      <c r="B2186" s="91">
        <v>45057.946597222224</v>
      </c>
      <c r="C2186" s="28" t="s">
        <v>10</v>
      </c>
      <c r="D2186" s="28" t="s">
        <v>830</v>
      </c>
      <c r="E2186" s="28"/>
      <c r="F2186" s="28">
        <v>0</v>
      </c>
      <c r="G2186" s="28" t="s">
        <v>125</v>
      </c>
      <c r="H2186" s="28">
        <v>0</v>
      </c>
      <c r="J2186" s="28"/>
    </row>
    <row r="2187" spans="1:10" ht="15.75" customHeight="1">
      <c r="A2187" s="28">
        <v>18676</v>
      </c>
      <c r="B2187" s="91">
        <v>45057.946597222224</v>
      </c>
      <c r="C2187" s="28" t="s">
        <v>10</v>
      </c>
      <c r="D2187" s="28" t="s">
        <v>830</v>
      </c>
      <c r="E2187" s="28"/>
      <c r="F2187" s="28">
        <v>0</v>
      </c>
      <c r="G2187" s="28" t="s">
        <v>119</v>
      </c>
      <c r="H2187" s="28">
        <v>0</v>
      </c>
      <c r="J2187" s="28"/>
    </row>
    <row r="2188" spans="1:10" ht="15.75" customHeight="1">
      <c r="A2188" s="28">
        <v>18676</v>
      </c>
      <c r="B2188" s="91">
        <v>45057.946597222224</v>
      </c>
      <c r="C2188" s="28" t="s">
        <v>10</v>
      </c>
      <c r="D2188" s="28" t="s">
        <v>830</v>
      </c>
      <c r="E2188" s="28"/>
      <c r="F2188" s="28">
        <v>0</v>
      </c>
      <c r="G2188" s="28" t="s">
        <v>121</v>
      </c>
      <c r="H2188" s="28">
        <v>0</v>
      </c>
      <c r="J2188" s="28"/>
    </row>
    <row r="2189" spans="1:10" ht="15.75" customHeight="1">
      <c r="A2189" s="28">
        <v>18677</v>
      </c>
      <c r="B2189" s="91">
        <v>45057.947175925925</v>
      </c>
      <c r="C2189" s="28" t="s">
        <v>10</v>
      </c>
      <c r="D2189" s="28" t="s">
        <v>829</v>
      </c>
      <c r="E2189" s="28"/>
      <c r="F2189" s="28">
        <v>28</v>
      </c>
      <c r="G2189" s="28" t="s">
        <v>143</v>
      </c>
      <c r="H2189" s="28">
        <v>0</v>
      </c>
      <c r="J2189" s="28"/>
    </row>
    <row r="2190" spans="1:10" ht="15.75" customHeight="1">
      <c r="A2190" s="28">
        <v>18677</v>
      </c>
      <c r="B2190" s="91">
        <v>45057.947175925925</v>
      </c>
      <c r="C2190" s="28" t="s">
        <v>10</v>
      </c>
      <c r="D2190" s="28" t="s">
        <v>829</v>
      </c>
      <c r="E2190" s="28"/>
      <c r="F2190" s="28">
        <v>25</v>
      </c>
      <c r="G2190" s="28">
        <v>100692</v>
      </c>
      <c r="H2190" s="28">
        <v>0</v>
      </c>
      <c r="J2190" s="28"/>
    </row>
    <row r="2191" spans="1:10" ht="15.75" customHeight="1">
      <c r="A2191" s="28">
        <v>18677</v>
      </c>
      <c r="B2191" s="91">
        <v>45057.947175925925</v>
      </c>
      <c r="C2191" s="28" t="s">
        <v>10</v>
      </c>
      <c r="D2191" s="28" t="s">
        <v>829</v>
      </c>
      <c r="E2191" s="28"/>
      <c r="F2191" s="28">
        <v>0</v>
      </c>
      <c r="G2191" s="28" t="s">
        <v>125</v>
      </c>
      <c r="H2191" s="28">
        <v>0</v>
      </c>
      <c r="J2191" s="28"/>
    </row>
    <row r="2192" spans="1:10" ht="15.75" customHeight="1">
      <c r="A2192" s="28">
        <v>18677</v>
      </c>
      <c r="B2192" s="91">
        <v>45057.947175925925</v>
      </c>
      <c r="C2192" s="28" t="s">
        <v>10</v>
      </c>
      <c r="D2192" s="28" t="s">
        <v>829</v>
      </c>
      <c r="E2192" s="28"/>
      <c r="F2192" s="28">
        <v>0</v>
      </c>
      <c r="G2192" s="28" t="s">
        <v>119</v>
      </c>
      <c r="H2192" s="28">
        <v>0</v>
      </c>
      <c r="J2192" s="28"/>
    </row>
    <row r="2193" spans="1:10" ht="15.75" customHeight="1">
      <c r="A2193" s="28">
        <v>18678</v>
      </c>
      <c r="B2193" s="91">
        <v>45057.963368055556</v>
      </c>
      <c r="C2193" s="28" t="s">
        <v>10</v>
      </c>
      <c r="D2193" s="28" t="s">
        <v>828</v>
      </c>
      <c r="E2193" s="28"/>
      <c r="F2193" s="28">
        <v>55</v>
      </c>
      <c r="G2193" s="28">
        <v>101684</v>
      </c>
      <c r="H2193" s="28">
        <v>0</v>
      </c>
      <c r="J2193" s="28"/>
    </row>
    <row r="2194" spans="1:10" ht="15.75" customHeight="1">
      <c r="A2194" s="28">
        <v>18678</v>
      </c>
      <c r="B2194" s="91">
        <v>45057.963368055556</v>
      </c>
      <c r="C2194" s="28" t="s">
        <v>10</v>
      </c>
      <c r="D2194" s="28" t="s">
        <v>828</v>
      </c>
      <c r="E2194" s="28"/>
      <c r="F2194" s="28">
        <v>0</v>
      </c>
      <c r="G2194" s="28" t="s">
        <v>118</v>
      </c>
      <c r="H2194" s="28">
        <v>0</v>
      </c>
      <c r="J2194" s="28"/>
    </row>
    <row r="2195" spans="1:10" ht="15.75" customHeight="1">
      <c r="A2195" s="28">
        <v>18678</v>
      </c>
      <c r="B2195" s="91">
        <v>45057.963368055556</v>
      </c>
      <c r="C2195" s="28" t="s">
        <v>10</v>
      </c>
      <c r="D2195" s="28" t="s">
        <v>828</v>
      </c>
      <c r="E2195" s="28"/>
      <c r="F2195" s="28">
        <v>0</v>
      </c>
      <c r="G2195" s="28" t="s">
        <v>119</v>
      </c>
      <c r="H2195" s="28">
        <v>0</v>
      </c>
      <c r="J2195" s="28"/>
    </row>
    <row r="2196" spans="1:10" ht="15.75" customHeight="1">
      <c r="A2196" s="28">
        <v>18678</v>
      </c>
      <c r="B2196" s="91">
        <v>45057.963368055556</v>
      </c>
      <c r="C2196" s="28" t="s">
        <v>10</v>
      </c>
      <c r="D2196" s="28" t="s">
        <v>828</v>
      </c>
      <c r="E2196" s="28"/>
      <c r="F2196" s="28">
        <v>0</v>
      </c>
      <c r="G2196" s="28" t="s">
        <v>120</v>
      </c>
      <c r="H2196" s="28">
        <v>0</v>
      </c>
      <c r="J2196" s="28"/>
    </row>
    <row r="2197" spans="1:10" ht="15.75" customHeight="1">
      <c r="A2197" s="28">
        <v>18678</v>
      </c>
      <c r="B2197" s="91">
        <v>45057.963368055556</v>
      </c>
      <c r="C2197" s="28" t="s">
        <v>10</v>
      </c>
      <c r="D2197" s="28" t="s">
        <v>828</v>
      </c>
      <c r="E2197" s="28"/>
      <c r="F2197" s="28">
        <v>0</v>
      </c>
      <c r="G2197" s="28" t="s">
        <v>121</v>
      </c>
      <c r="H2197" s="28">
        <v>0</v>
      </c>
      <c r="J2197" s="28"/>
    </row>
    <row r="2198" spans="1:10" ht="15.75" customHeight="1">
      <c r="A2198" s="28">
        <v>18679</v>
      </c>
      <c r="B2198" s="91">
        <v>45058.014224537037</v>
      </c>
      <c r="C2198" s="28" t="s">
        <v>10</v>
      </c>
      <c r="D2198" s="28" t="s">
        <v>827</v>
      </c>
      <c r="E2198" s="28"/>
      <c r="F2198" s="28">
        <v>25</v>
      </c>
      <c r="G2198" s="28">
        <v>100692</v>
      </c>
      <c r="H2198" s="28">
        <v>0</v>
      </c>
      <c r="J2198" s="28"/>
    </row>
    <row r="2199" spans="1:10" ht="15.75" customHeight="1">
      <c r="A2199" s="28">
        <v>18679</v>
      </c>
      <c r="B2199" s="91">
        <v>45058.014224537037</v>
      </c>
      <c r="C2199" s="28" t="s">
        <v>10</v>
      </c>
      <c r="D2199" s="28" t="s">
        <v>827</v>
      </c>
      <c r="E2199" s="28"/>
      <c r="F2199" s="28">
        <v>0</v>
      </c>
      <c r="G2199" s="28" t="s">
        <v>125</v>
      </c>
      <c r="H2199" s="28">
        <v>0</v>
      </c>
      <c r="J2199" s="28"/>
    </row>
    <row r="2200" spans="1:10" ht="15.75" customHeight="1">
      <c r="A2200" s="28">
        <v>18679</v>
      </c>
      <c r="B2200" s="91">
        <v>45058.014224537037</v>
      </c>
      <c r="C2200" s="28" t="s">
        <v>10</v>
      </c>
      <c r="D2200" s="28" t="s">
        <v>827</v>
      </c>
      <c r="E2200" s="28"/>
      <c r="F2200" s="28">
        <v>0</v>
      </c>
      <c r="G2200" s="28" t="s">
        <v>119</v>
      </c>
      <c r="H2200" s="28">
        <v>0</v>
      </c>
      <c r="J2200" s="28"/>
    </row>
    <row r="2201" spans="1:10" ht="15.75" customHeight="1">
      <c r="A2201" s="28">
        <v>18680</v>
      </c>
      <c r="B2201" s="91">
        <v>45058.049490740741</v>
      </c>
      <c r="C2201" s="28" t="s">
        <v>10</v>
      </c>
      <c r="D2201" s="28" t="s">
        <v>826</v>
      </c>
      <c r="E2201" s="28"/>
      <c r="F2201" s="28">
        <v>25</v>
      </c>
      <c r="G2201" s="28">
        <v>100692</v>
      </c>
      <c r="H2201" s="28">
        <v>0</v>
      </c>
      <c r="J2201" s="28"/>
    </row>
    <row r="2202" spans="1:10" ht="15.75" customHeight="1">
      <c r="A2202" s="28">
        <v>18680</v>
      </c>
      <c r="B2202" s="91">
        <v>45058.049490740741</v>
      </c>
      <c r="C2202" s="28" t="s">
        <v>10</v>
      </c>
      <c r="D2202" s="28" t="s">
        <v>826</v>
      </c>
      <c r="E2202" s="28"/>
      <c r="F2202" s="28">
        <v>0</v>
      </c>
      <c r="G2202" s="28" t="s">
        <v>125</v>
      </c>
      <c r="H2202" s="28">
        <v>0</v>
      </c>
      <c r="J2202" s="28"/>
    </row>
    <row r="2203" spans="1:10" ht="15.75" customHeight="1">
      <c r="A2203" s="28">
        <v>18680</v>
      </c>
      <c r="B2203" s="91">
        <v>45058.049490740741</v>
      </c>
      <c r="C2203" s="28" t="s">
        <v>10</v>
      </c>
      <c r="D2203" s="28" t="s">
        <v>826</v>
      </c>
      <c r="E2203" s="28"/>
      <c r="F2203" s="28">
        <v>0</v>
      </c>
      <c r="G2203" s="28" t="s">
        <v>119</v>
      </c>
      <c r="H2203" s="28">
        <v>0</v>
      </c>
      <c r="J2203" s="28"/>
    </row>
    <row r="2204" spans="1:10" ht="15.75" customHeight="1">
      <c r="A2204" s="28">
        <v>18681</v>
      </c>
      <c r="B2204" s="91">
        <v>45058.077465277776</v>
      </c>
      <c r="C2204" s="28" t="s">
        <v>10</v>
      </c>
      <c r="D2204" s="28" t="s">
        <v>825</v>
      </c>
      <c r="E2204" s="28"/>
      <c r="F2204" s="28">
        <v>25</v>
      </c>
      <c r="G2204" s="28">
        <v>100692</v>
      </c>
      <c r="H2204" s="28">
        <v>0</v>
      </c>
      <c r="J2204" s="28"/>
    </row>
    <row r="2205" spans="1:10" ht="15.75" customHeight="1">
      <c r="A2205" s="28">
        <v>18681</v>
      </c>
      <c r="B2205" s="91">
        <v>45058.077465277776</v>
      </c>
      <c r="C2205" s="28" t="s">
        <v>10</v>
      </c>
      <c r="D2205" s="28" t="s">
        <v>825</v>
      </c>
      <c r="E2205" s="28"/>
      <c r="F2205" s="28">
        <v>0</v>
      </c>
      <c r="G2205" s="28" t="s">
        <v>125</v>
      </c>
      <c r="H2205" s="28">
        <v>0</v>
      </c>
      <c r="J2205" s="28"/>
    </row>
    <row r="2206" spans="1:10" ht="15.75" customHeight="1">
      <c r="A2206" s="28">
        <v>18681</v>
      </c>
      <c r="B2206" s="91">
        <v>45058.077465277776</v>
      </c>
      <c r="C2206" s="28" t="s">
        <v>10</v>
      </c>
      <c r="D2206" s="28" t="s">
        <v>825</v>
      </c>
      <c r="E2206" s="28"/>
      <c r="F2206" s="28">
        <v>0</v>
      </c>
      <c r="G2206" s="28" t="s">
        <v>119</v>
      </c>
      <c r="H2206" s="28">
        <v>0</v>
      </c>
      <c r="J2206" s="28"/>
    </row>
    <row r="2207" spans="1:10" ht="15.75" customHeight="1">
      <c r="A2207" s="28">
        <v>18682</v>
      </c>
      <c r="B2207" s="91">
        <v>45058.087650462963</v>
      </c>
      <c r="C2207" s="28" t="s">
        <v>10</v>
      </c>
      <c r="D2207" s="28" t="s">
        <v>824</v>
      </c>
      <c r="E2207" s="28"/>
      <c r="F2207" s="28">
        <v>25</v>
      </c>
      <c r="G2207" s="28">
        <v>100692</v>
      </c>
      <c r="H2207" s="28">
        <v>0</v>
      </c>
      <c r="J2207" s="28"/>
    </row>
    <row r="2208" spans="1:10" ht="15.75" customHeight="1">
      <c r="A2208" s="28">
        <v>18682</v>
      </c>
      <c r="B2208" s="91">
        <v>45058.087650462963</v>
      </c>
      <c r="C2208" s="28" t="s">
        <v>10</v>
      </c>
      <c r="D2208" s="28" t="s">
        <v>824</v>
      </c>
      <c r="E2208" s="28"/>
      <c r="F2208" s="28">
        <v>0</v>
      </c>
      <c r="G2208" s="28" t="s">
        <v>125</v>
      </c>
      <c r="H2208" s="28">
        <v>0</v>
      </c>
      <c r="J2208" s="28"/>
    </row>
    <row r="2209" spans="1:10" ht="15.75" customHeight="1">
      <c r="A2209" s="28">
        <v>18682</v>
      </c>
      <c r="B2209" s="91">
        <v>45058.087650462963</v>
      </c>
      <c r="C2209" s="28" t="s">
        <v>10</v>
      </c>
      <c r="D2209" s="28" t="s">
        <v>824</v>
      </c>
      <c r="E2209" s="28"/>
      <c r="F2209" s="28">
        <v>0</v>
      </c>
      <c r="G2209" s="28" t="s">
        <v>119</v>
      </c>
      <c r="H2209" s="28">
        <v>0</v>
      </c>
      <c r="J2209" s="28"/>
    </row>
    <row r="2210" spans="1:10" ht="15.75" customHeight="1">
      <c r="A2210" s="28">
        <v>18683</v>
      </c>
      <c r="B2210" s="91">
        <v>45058.115300925929</v>
      </c>
      <c r="C2210" s="28" t="s">
        <v>10</v>
      </c>
      <c r="D2210" s="28" t="s">
        <v>823</v>
      </c>
      <c r="E2210" s="28"/>
      <c r="F2210" s="28">
        <v>25</v>
      </c>
      <c r="G2210" s="28">
        <v>100692</v>
      </c>
      <c r="H2210" s="28">
        <v>0</v>
      </c>
      <c r="J2210" s="28"/>
    </row>
    <row r="2211" spans="1:10" ht="15.75" customHeight="1">
      <c r="A2211" s="28">
        <v>18683</v>
      </c>
      <c r="B2211" s="91">
        <v>45058.115300925929</v>
      </c>
      <c r="C2211" s="28" t="s">
        <v>10</v>
      </c>
      <c r="D2211" s="28" t="s">
        <v>823</v>
      </c>
      <c r="E2211" s="28"/>
      <c r="F2211" s="28">
        <v>0</v>
      </c>
      <c r="G2211" s="28" t="s">
        <v>125</v>
      </c>
      <c r="H2211" s="28">
        <v>0</v>
      </c>
      <c r="J2211" s="28"/>
    </row>
    <row r="2212" spans="1:10" ht="15.75" customHeight="1">
      <c r="A2212" s="28">
        <v>18683</v>
      </c>
      <c r="B2212" s="91">
        <v>45058.115300925929</v>
      </c>
      <c r="C2212" s="28" t="s">
        <v>10</v>
      </c>
      <c r="D2212" s="28" t="s">
        <v>823</v>
      </c>
      <c r="E2212" s="28"/>
      <c r="F2212" s="28">
        <v>0</v>
      </c>
      <c r="G2212" s="28" t="s">
        <v>119</v>
      </c>
      <c r="H2212" s="28">
        <v>0</v>
      </c>
      <c r="J2212" s="28"/>
    </row>
    <row r="2213" spans="1:10" ht="15.75" customHeight="1">
      <c r="A2213" s="28">
        <v>18684</v>
      </c>
      <c r="B2213" s="91">
        <v>45058.127511574072</v>
      </c>
      <c r="C2213" s="28" t="s">
        <v>10</v>
      </c>
      <c r="D2213" s="28" t="s">
        <v>822</v>
      </c>
      <c r="E2213" s="28"/>
      <c r="F2213" s="28">
        <v>25</v>
      </c>
      <c r="G2213" s="28">
        <v>100692</v>
      </c>
      <c r="H2213" s="28">
        <v>0</v>
      </c>
      <c r="J2213" s="28"/>
    </row>
    <row r="2214" spans="1:10" ht="15.75" customHeight="1">
      <c r="A2214" s="28">
        <v>18684</v>
      </c>
      <c r="B2214" s="91">
        <v>45058.127511574072</v>
      </c>
      <c r="C2214" s="28" t="s">
        <v>10</v>
      </c>
      <c r="D2214" s="28" t="s">
        <v>822</v>
      </c>
      <c r="E2214" s="28"/>
      <c r="F2214" s="28">
        <v>0</v>
      </c>
      <c r="G2214" s="28" t="s">
        <v>125</v>
      </c>
      <c r="H2214" s="28">
        <v>0</v>
      </c>
      <c r="J2214" s="28"/>
    </row>
    <row r="2215" spans="1:10" ht="15.75" customHeight="1">
      <c r="A2215" s="28">
        <v>18684</v>
      </c>
      <c r="B2215" s="91">
        <v>45058.127511574072</v>
      </c>
      <c r="C2215" s="28" t="s">
        <v>10</v>
      </c>
      <c r="D2215" s="28" t="s">
        <v>822</v>
      </c>
      <c r="E2215" s="28"/>
      <c r="F2215" s="28">
        <v>0</v>
      </c>
      <c r="G2215" s="28" t="s">
        <v>119</v>
      </c>
      <c r="H2215" s="28">
        <v>0</v>
      </c>
      <c r="J2215" s="28"/>
    </row>
    <row r="2216" spans="1:10" ht="15.75" customHeight="1">
      <c r="A2216" s="28">
        <v>18685</v>
      </c>
      <c r="B2216" s="91">
        <v>45059.058657407411</v>
      </c>
      <c r="C2216" s="28" t="s">
        <v>10</v>
      </c>
      <c r="D2216" s="28" t="s">
        <v>821</v>
      </c>
      <c r="E2216" s="28"/>
      <c r="F2216" s="28">
        <v>0</v>
      </c>
      <c r="G2216" s="28" t="s">
        <v>117</v>
      </c>
      <c r="H2216" s="28">
        <v>0</v>
      </c>
      <c r="J2216" s="28"/>
    </row>
    <row r="2217" spans="1:10" ht="15.75" customHeight="1">
      <c r="A2217" s="28">
        <v>18685</v>
      </c>
      <c r="B2217" s="91">
        <v>45059.058657407411</v>
      </c>
      <c r="C2217" s="28" t="s">
        <v>10</v>
      </c>
      <c r="D2217" s="28" t="s">
        <v>821</v>
      </c>
      <c r="E2217" s="28"/>
      <c r="F2217" s="28">
        <v>30</v>
      </c>
      <c r="G2217" s="28" t="s">
        <v>128</v>
      </c>
      <c r="H2217" s="28">
        <v>0</v>
      </c>
      <c r="J2217" s="28"/>
    </row>
    <row r="2218" spans="1:10" ht="15.75" customHeight="1">
      <c r="A2218" s="28">
        <v>18685</v>
      </c>
      <c r="B2218" s="91">
        <v>45059.058657407411</v>
      </c>
      <c r="C2218" s="28" t="s">
        <v>10</v>
      </c>
      <c r="D2218" s="28" t="s">
        <v>821</v>
      </c>
      <c r="E2218" s="28"/>
      <c r="F2218" s="28">
        <v>0</v>
      </c>
      <c r="G2218" s="28" t="s">
        <v>125</v>
      </c>
      <c r="H2218" s="28">
        <v>0</v>
      </c>
      <c r="J2218" s="28"/>
    </row>
    <row r="2219" spans="1:10" ht="15.75" customHeight="1">
      <c r="A2219" s="28">
        <v>18685</v>
      </c>
      <c r="B2219" s="91">
        <v>45059.058657407411</v>
      </c>
      <c r="C2219" s="28" t="s">
        <v>10</v>
      </c>
      <c r="D2219" s="28" t="s">
        <v>821</v>
      </c>
      <c r="E2219" s="28"/>
      <c r="F2219" s="28">
        <v>0</v>
      </c>
      <c r="G2219" s="28" t="s">
        <v>119</v>
      </c>
      <c r="H2219" s="28">
        <v>0</v>
      </c>
      <c r="J2219" s="28"/>
    </row>
    <row r="2220" spans="1:10" ht="15.75" customHeight="1">
      <c r="A2220" s="28">
        <v>18686</v>
      </c>
      <c r="B2220" s="91">
        <v>45059.07813657407</v>
      </c>
      <c r="C2220" s="28" t="s">
        <v>10</v>
      </c>
      <c r="D2220" s="28" t="s">
        <v>820</v>
      </c>
      <c r="E2220" s="28"/>
      <c r="F2220" s="28">
        <v>20</v>
      </c>
      <c r="G2220" s="28" t="s">
        <v>121</v>
      </c>
      <c r="H2220" s="28">
        <v>0</v>
      </c>
      <c r="J2220" s="28"/>
    </row>
    <row r="2221" spans="1:10" ht="15.75" customHeight="1">
      <c r="A2221" s="28">
        <v>18687</v>
      </c>
      <c r="B2221" s="91">
        <v>45060.811550925922</v>
      </c>
      <c r="C2221" s="28" t="s">
        <v>10</v>
      </c>
      <c r="D2221" s="28" t="s">
        <v>819</v>
      </c>
      <c r="E2221" s="28"/>
      <c r="F2221" s="28">
        <v>28</v>
      </c>
      <c r="G2221" s="28" t="s">
        <v>143</v>
      </c>
      <c r="H2221" s="28">
        <v>0</v>
      </c>
      <c r="J2221" s="28"/>
    </row>
    <row r="2222" spans="1:10" ht="15.75" customHeight="1">
      <c r="A2222" s="28">
        <v>18687</v>
      </c>
      <c r="B2222" s="91">
        <v>45060.811550925922</v>
      </c>
      <c r="C2222" s="28" t="s">
        <v>10</v>
      </c>
      <c r="D2222" s="28" t="s">
        <v>819</v>
      </c>
      <c r="E2222" s="28"/>
      <c r="F2222" s="28">
        <v>26</v>
      </c>
      <c r="G2222" s="28" t="s">
        <v>122</v>
      </c>
      <c r="H2222" s="28">
        <v>0</v>
      </c>
      <c r="J2222" s="28"/>
    </row>
    <row r="2223" spans="1:10" ht="15.75" customHeight="1">
      <c r="A2223" s="28">
        <v>18688</v>
      </c>
      <c r="B2223" s="91">
        <v>45060.981516203705</v>
      </c>
      <c r="C2223" s="28" t="s">
        <v>10</v>
      </c>
      <c r="D2223" s="28" t="s">
        <v>818</v>
      </c>
      <c r="E2223" s="28"/>
      <c r="F2223" s="28">
        <v>28</v>
      </c>
      <c r="G2223" s="28" t="s">
        <v>143</v>
      </c>
      <c r="H2223" s="28">
        <v>0</v>
      </c>
      <c r="J2223" s="28"/>
    </row>
    <row r="2224" spans="1:10" ht="15.75" customHeight="1">
      <c r="A2224" s="28">
        <v>18688</v>
      </c>
      <c r="B2224" s="91">
        <v>45060.981516203705</v>
      </c>
      <c r="C2224" s="28" t="s">
        <v>10</v>
      </c>
      <c r="D2224" s="28" t="s">
        <v>818</v>
      </c>
      <c r="E2224" s="28"/>
      <c r="F2224" s="28">
        <v>20</v>
      </c>
      <c r="G2224" s="28"/>
      <c r="H2224" s="28">
        <v>0</v>
      </c>
      <c r="J2224" s="28"/>
    </row>
    <row r="2225" spans="1:10" ht="15.75" customHeight="1">
      <c r="A2225" s="28">
        <v>18689</v>
      </c>
      <c r="B2225" s="91">
        <v>45060.984699074077</v>
      </c>
      <c r="C2225" s="28" t="s">
        <v>10</v>
      </c>
      <c r="D2225" s="28" t="s">
        <v>817</v>
      </c>
      <c r="E2225" s="28"/>
      <c r="F2225" s="28">
        <v>28</v>
      </c>
      <c r="G2225" s="28" t="s">
        <v>143</v>
      </c>
      <c r="H2225" s="28">
        <v>0</v>
      </c>
      <c r="J2225" s="28"/>
    </row>
    <row r="2226" spans="1:10" ht="15.75" customHeight="1">
      <c r="A2226" s="28">
        <v>18689</v>
      </c>
      <c r="B2226" s="91">
        <v>45060.984699074077</v>
      </c>
      <c r="C2226" s="28" t="s">
        <v>10</v>
      </c>
      <c r="D2226" s="28" t="s">
        <v>817</v>
      </c>
      <c r="E2226" s="28"/>
      <c r="F2226" s="28">
        <v>20</v>
      </c>
      <c r="G2226" s="28"/>
      <c r="H2226" s="28">
        <v>0</v>
      </c>
      <c r="J2226" s="28"/>
    </row>
    <row r="2227" spans="1:10" ht="15.75" customHeight="1">
      <c r="A2227" s="28">
        <v>18749</v>
      </c>
      <c r="B2227" s="91">
        <v>45061.891585648147</v>
      </c>
      <c r="C2227" s="28" t="s">
        <v>10</v>
      </c>
      <c r="D2227" s="28" t="s">
        <v>816</v>
      </c>
      <c r="E2227" s="28"/>
      <c r="F2227" s="28">
        <v>28</v>
      </c>
      <c r="G2227" s="28" t="s">
        <v>143</v>
      </c>
      <c r="H2227" s="28">
        <v>0</v>
      </c>
      <c r="J2227" s="28"/>
    </row>
    <row r="2228" spans="1:10" ht="15.75" customHeight="1">
      <c r="A2228" s="28">
        <v>18750</v>
      </c>
      <c r="B2228" s="91">
        <v>45061.926354166666</v>
      </c>
      <c r="C2228" s="28" t="s">
        <v>10</v>
      </c>
      <c r="D2228" s="28" t="s">
        <v>815</v>
      </c>
      <c r="E2228" s="28"/>
      <c r="F2228" s="28">
        <v>25</v>
      </c>
      <c r="G2228" s="28">
        <v>100692</v>
      </c>
      <c r="H2228" s="28">
        <v>0</v>
      </c>
      <c r="J2228" s="28"/>
    </row>
    <row r="2229" spans="1:10" ht="15.75" customHeight="1">
      <c r="A2229" s="28">
        <v>18750</v>
      </c>
      <c r="B2229" s="91">
        <v>45061.926354166666</v>
      </c>
      <c r="C2229" s="28" t="s">
        <v>10</v>
      </c>
      <c r="D2229" s="28" t="s">
        <v>815</v>
      </c>
      <c r="E2229" s="28"/>
      <c r="F2229" s="28">
        <v>0</v>
      </c>
      <c r="G2229" s="28" t="s">
        <v>125</v>
      </c>
      <c r="H2229" s="28">
        <v>0</v>
      </c>
      <c r="J2229" s="28"/>
    </row>
    <row r="2230" spans="1:10" ht="15.75" customHeight="1">
      <c r="A2230" s="28">
        <v>18750</v>
      </c>
      <c r="B2230" s="91">
        <v>45061.926354166666</v>
      </c>
      <c r="C2230" s="28" t="s">
        <v>10</v>
      </c>
      <c r="D2230" s="28" t="s">
        <v>815</v>
      </c>
      <c r="E2230" s="28"/>
      <c r="F2230" s="28">
        <v>0</v>
      </c>
      <c r="G2230" s="28" t="s">
        <v>119</v>
      </c>
      <c r="H2230" s="28">
        <v>0</v>
      </c>
      <c r="J2230" s="28"/>
    </row>
    <row r="2231" spans="1:10" ht="15.75" customHeight="1">
      <c r="A2231" s="28">
        <v>18751</v>
      </c>
      <c r="B2231" s="91">
        <v>45062.039942129632</v>
      </c>
      <c r="C2231" s="28" t="s">
        <v>10</v>
      </c>
      <c r="D2231" s="28" t="s">
        <v>636</v>
      </c>
      <c r="E2231" s="28"/>
      <c r="F2231" s="28">
        <v>28</v>
      </c>
      <c r="G2231" s="28" t="s">
        <v>143</v>
      </c>
      <c r="H2231" s="28">
        <v>0</v>
      </c>
      <c r="J2231" s="28"/>
    </row>
    <row r="2232" spans="1:10" ht="15.75" customHeight="1">
      <c r="A2232" s="28">
        <v>18751</v>
      </c>
      <c r="B2232" s="91">
        <v>45062.039942129632</v>
      </c>
      <c r="C2232" s="28" t="s">
        <v>10</v>
      </c>
      <c r="D2232" s="28" t="s">
        <v>636</v>
      </c>
      <c r="E2232" s="28"/>
      <c r="F2232" s="28">
        <v>25</v>
      </c>
      <c r="G2232" s="28">
        <v>100692</v>
      </c>
      <c r="H2232" s="28">
        <v>0</v>
      </c>
      <c r="J2232" s="28"/>
    </row>
    <row r="2233" spans="1:10" ht="15.75" customHeight="1">
      <c r="A2233" s="28">
        <v>18751</v>
      </c>
      <c r="B2233" s="91">
        <v>45062.039942129632</v>
      </c>
      <c r="C2233" s="28" t="s">
        <v>10</v>
      </c>
      <c r="D2233" s="28" t="s">
        <v>636</v>
      </c>
      <c r="E2233" s="28"/>
      <c r="F2233" s="28">
        <v>0</v>
      </c>
      <c r="G2233" s="28" t="s">
        <v>125</v>
      </c>
      <c r="H2233" s="28">
        <v>0</v>
      </c>
      <c r="J2233" s="28"/>
    </row>
    <row r="2234" spans="1:10" ht="15.75" customHeight="1">
      <c r="A2234" s="28">
        <v>18751</v>
      </c>
      <c r="B2234" s="91">
        <v>45062.039942129632</v>
      </c>
      <c r="C2234" s="28" t="s">
        <v>10</v>
      </c>
      <c r="D2234" s="28" t="s">
        <v>636</v>
      </c>
      <c r="E2234" s="28"/>
      <c r="F2234" s="28">
        <v>0</v>
      </c>
      <c r="G2234" s="28" t="s">
        <v>119</v>
      </c>
      <c r="H2234" s="28">
        <v>0</v>
      </c>
      <c r="J2234" s="28"/>
    </row>
    <row r="2235" spans="1:10" ht="15.75" customHeight="1">
      <c r="A2235" s="28">
        <v>18752</v>
      </c>
      <c r="B2235" s="91">
        <v>45062.451041666667</v>
      </c>
      <c r="C2235" s="28" t="s">
        <v>10</v>
      </c>
      <c r="D2235" s="28" t="s">
        <v>814</v>
      </c>
      <c r="E2235" s="28"/>
      <c r="F2235" s="28">
        <v>30</v>
      </c>
      <c r="G2235" s="28" t="s">
        <v>128</v>
      </c>
      <c r="H2235" s="28">
        <v>0</v>
      </c>
      <c r="J2235" s="28"/>
    </row>
    <row r="2236" spans="1:10" ht="15.75" customHeight="1">
      <c r="A2236" s="28">
        <v>18752</v>
      </c>
      <c r="B2236" s="91">
        <v>45062.451041666667</v>
      </c>
      <c r="C2236" s="28" t="s">
        <v>10</v>
      </c>
      <c r="D2236" s="28" t="s">
        <v>814</v>
      </c>
      <c r="E2236" s="28"/>
      <c r="F2236" s="28">
        <v>0</v>
      </c>
      <c r="G2236" s="28" t="s">
        <v>125</v>
      </c>
      <c r="H2236" s="28">
        <v>0</v>
      </c>
      <c r="J2236" s="28"/>
    </row>
    <row r="2237" spans="1:10" ht="15.75" customHeight="1">
      <c r="A2237" s="28">
        <v>18752</v>
      </c>
      <c r="B2237" s="91">
        <v>45062.451041666667</v>
      </c>
      <c r="C2237" s="28" t="s">
        <v>10</v>
      </c>
      <c r="D2237" s="28" t="s">
        <v>814</v>
      </c>
      <c r="E2237" s="28"/>
      <c r="F2237" s="28">
        <v>0</v>
      </c>
      <c r="G2237" s="28" t="s">
        <v>119</v>
      </c>
      <c r="H2237" s="28">
        <v>0</v>
      </c>
      <c r="J2237" s="28"/>
    </row>
    <row r="2238" spans="1:10" ht="15.75" customHeight="1">
      <c r="A2238" s="28">
        <v>18752</v>
      </c>
      <c r="B2238" s="91">
        <v>45062.451041666667</v>
      </c>
      <c r="C2238" s="28" t="s">
        <v>10</v>
      </c>
      <c r="D2238" s="28" t="s">
        <v>814</v>
      </c>
      <c r="E2238" s="28"/>
      <c r="F2238" s="28">
        <v>0</v>
      </c>
      <c r="G2238" s="28" t="s">
        <v>117</v>
      </c>
      <c r="H2238" s="28">
        <v>0</v>
      </c>
      <c r="J2238" s="28"/>
    </row>
    <row r="2239" spans="1:10" ht="15.75" customHeight="1">
      <c r="A2239" s="28">
        <v>18752</v>
      </c>
      <c r="B2239" s="91">
        <v>45062.451041666667</v>
      </c>
      <c r="C2239" s="28" t="s">
        <v>10</v>
      </c>
      <c r="D2239" s="28" t="s">
        <v>814</v>
      </c>
      <c r="E2239" s="28"/>
      <c r="F2239" s="28">
        <v>25</v>
      </c>
      <c r="G2239" s="28" t="s">
        <v>297</v>
      </c>
      <c r="H2239" s="28">
        <v>0</v>
      </c>
      <c r="J2239" s="28"/>
    </row>
    <row r="2240" spans="1:10" ht="15.75" customHeight="1">
      <c r="A2240" s="28">
        <v>18752</v>
      </c>
      <c r="B2240" s="91">
        <v>45062.451041666667</v>
      </c>
      <c r="C2240" s="28" t="s">
        <v>10</v>
      </c>
      <c r="D2240" s="28" t="s">
        <v>814</v>
      </c>
      <c r="E2240" s="28"/>
      <c r="F2240" s="28">
        <v>30</v>
      </c>
      <c r="G2240" s="28" t="s">
        <v>125</v>
      </c>
      <c r="H2240" s="28">
        <v>0</v>
      </c>
      <c r="J2240" s="28"/>
    </row>
    <row r="2241" spans="1:10" ht="15.75" customHeight="1">
      <c r="A2241" s="28">
        <v>18753</v>
      </c>
      <c r="B2241" s="91">
        <v>45062.609155092592</v>
      </c>
      <c r="C2241" s="28" t="s">
        <v>10</v>
      </c>
      <c r="D2241" s="28" t="s">
        <v>813</v>
      </c>
      <c r="E2241" s="28"/>
      <c r="F2241" s="28">
        <v>25</v>
      </c>
      <c r="G2241" s="28">
        <v>100692</v>
      </c>
      <c r="H2241" s="28">
        <v>0</v>
      </c>
      <c r="J2241" s="28"/>
    </row>
    <row r="2242" spans="1:10" ht="15.75" customHeight="1">
      <c r="A2242" s="28">
        <v>18753</v>
      </c>
      <c r="B2242" s="91">
        <v>45062.609155092592</v>
      </c>
      <c r="C2242" s="28" t="s">
        <v>10</v>
      </c>
      <c r="D2242" s="28" t="s">
        <v>813</v>
      </c>
      <c r="E2242" s="28"/>
      <c r="F2242" s="28">
        <v>0</v>
      </c>
      <c r="G2242" s="28" t="s">
        <v>125</v>
      </c>
      <c r="H2242" s="28">
        <v>0</v>
      </c>
      <c r="J2242" s="28"/>
    </row>
    <row r="2243" spans="1:10" ht="15.75" customHeight="1">
      <c r="A2243" s="28">
        <v>18753</v>
      </c>
      <c r="B2243" s="91">
        <v>45062.609155092592</v>
      </c>
      <c r="C2243" s="28" t="s">
        <v>10</v>
      </c>
      <c r="D2243" s="28" t="s">
        <v>813</v>
      </c>
      <c r="E2243" s="28"/>
      <c r="F2243" s="28">
        <v>0</v>
      </c>
      <c r="G2243" s="28" t="s">
        <v>119</v>
      </c>
      <c r="H2243" s="28">
        <v>0</v>
      </c>
      <c r="J2243" s="28"/>
    </row>
    <row r="2244" spans="1:10" ht="15.75" customHeight="1">
      <c r="A2244" s="28">
        <v>18753</v>
      </c>
      <c r="B2244" s="91">
        <v>45062.609155092592</v>
      </c>
      <c r="C2244" s="28" t="s">
        <v>10</v>
      </c>
      <c r="D2244" s="28" t="s">
        <v>813</v>
      </c>
      <c r="E2244" s="28"/>
      <c r="F2244" s="28">
        <v>0</v>
      </c>
      <c r="G2244" s="28" t="s">
        <v>117</v>
      </c>
      <c r="H2244" s="28">
        <v>0</v>
      </c>
      <c r="J2244" s="28"/>
    </row>
    <row r="2245" spans="1:10" ht="15.75" customHeight="1">
      <c r="A2245" s="28">
        <v>18754</v>
      </c>
      <c r="B2245" s="91">
        <v>45063.002384259264</v>
      </c>
      <c r="C2245" s="28" t="s">
        <v>10</v>
      </c>
      <c r="D2245" s="28" t="s">
        <v>812</v>
      </c>
      <c r="E2245" s="28"/>
      <c r="F2245" s="28">
        <v>20</v>
      </c>
      <c r="G2245" s="28"/>
      <c r="H2245" s="28">
        <v>0</v>
      </c>
      <c r="J2245" s="28"/>
    </row>
    <row r="2246" spans="1:10" ht="15.75" customHeight="1">
      <c r="A2246" s="28">
        <v>18755</v>
      </c>
      <c r="B2246" s="91">
        <v>45063.005219907413</v>
      </c>
      <c r="C2246" s="28" t="s">
        <v>10</v>
      </c>
      <c r="D2246" s="28" t="s">
        <v>811</v>
      </c>
      <c r="E2246" s="28"/>
      <c r="F2246" s="28">
        <v>20</v>
      </c>
      <c r="G2246" s="28"/>
      <c r="H2246" s="28">
        <v>0</v>
      </c>
      <c r="J2246" s="28"/>
    </row>
    <row r="2247" spans="1:10" ht="15.75" customHeight="1">
      <c r="A2247" s="28">
        <v>18756</v>
      </c>
      <c r="B2247" s="91">
        <v>45063.037407407406</v>
      </c>
      <c r="C2247" s="28" t="s">
        <v>8</v>
      </c>
      <c r="D2247" s="28" t="s">
        <v>810</v>
      </c>
      <c r="E2247" s="28"/>
      <c r="F2247" s="28">
        <v>25</v>
      </c>
      <c r="G2247" s="28">
        <v>100692</v>
      </c>
      <c r="H2247" s="28">
        <v>0</v>
      </c>
      <c r="J2247" s="28"/>
    </row>
    <row r="2248" spans="1:10" ht="15.75" customHeight="1">
      <c r="A2248" s="28">
        <v>18756</v>
      </c>
      <c r="B2248" s="91">
        <v>45063.037407407406</v>
      </c>
      <c r="C2248" s="28" t="s">
        <v>8</v>
      </c>
      <c r="D2248" s="28" t="s">
        <v>810</v>
      </c>
      <c r="E2248" s="28"/>
      <c r="F2248" s="28">
        <v>0</v>
      </c>
      <c r="G2248" s="28" t="s">
        <v>125</v>
      </c>
      <c r="H2248" s="28">
        <v>0</v>
      </c>
      <c r="J2248" s="28"/>
    </row>
    <row r="2249" spans="1:10" ht="15.75" customHeight="1">
      <c r="A2249" s="28">
        <v>18756</v>
      </c>
      <c r="B2249" s="91">
        <v>45063.037407407406</v>
      </c>
      <c r="C2249" s="28" t="s">
        <v>8</v>
      </c>
      <c r="D2249" s="28" t="s">
        <v>810</v>
      </c>
      <c r="E2249" s="28"/>
      <c r="F2249" s="28">
        <v>0</v>
      </c>
      <c r="G2249" s="28" t="s">
        <v>119</v>
      </c>
      <c r="H2249" s="28">
        <v>0</v>
      </c>
      <c r="J2249" s="28"/>
    </row>
    <row r="2250" spans="1:10" ht="15.75" customHeight="1">
      <c r="A2250" s="28">
        <v>18756</v>
      </c>
      <c r="B2250" s="91">
        <v>45063.037407407406</v>
      </c>
      <c r="C2250" s="28" t="s">
        <v>8</v>
      </c>
      <c r="D2250" s="28" t="s">
        <v>810</v>
      </c>
      <c r="E2250" s="28"/>
      <c r="F2250" s="28">
        <v>28</v>
      </c>
      <c r="G2250" s="28" t="s">
        <v>143</v>
      </c>
      <c r="H2250" s="28">
        <v>0</v>
      </c>
      <c r="J2250" s="28"/>
    </row>
    <row r="2251" spans="1:10" ht="15.75" customHeight="1">
      <c r="A2251" s="28">
        <v>18758</v>
      </c>
      <c r="B2251" s="91">
        <v>45063.107893518521</v>
      </c>
      <c r="C2251" s="28" t="s">
        <v>10</v>
      </c>
      <c r="D2251" s="28" t="s">
        <v>809</v>
      </c>
      <c r="E2251" s="28"/>
      <c r="F2251" s="28">
        <v>20</v>
      </c>
      <c r="G2251" s="28" t="s">
        <v>121</v>
      </c>
      <c r="H2251" s="28">
        <v>0</v>
      </c>
      <c r="J2251" s="28"/>
    </row>
    <row r="2252" spans="1:10" ht="15.75" customHeight="1">
      <c r="A2252" s="28">
        <v>18759</v>
      </c>
      <c r="B2252" s="91">
        <v>45063.645960648151</v>
      </c>
      <c r="C2252" s="28" t="s">
        <v>10</v>
      </c>
      <c r="D2252" s="28" t="s">
        <v>808</v>
      </c>
      <c r="E2252" s="28"/>
      <c r="F2252" s="28">
        <v>25</v>
      </c>
      <c r="G2252" s="28">
        <v>100692</v>
      </c>
      <c r="H2252" s="28">
        <v>0</v>
      </c>
      <c r="J2252" s="28"/>
    </row>
    <row r="2253" spans="1:10" ht="15.75" customHeight="1">
      <c r="A2253" s="28">
        <v>18759</v>
      </c>
      <c r="B2253" s="91">
        <v>45063.645960648151</v>
      </c>
      <c r="C2253" s="28" t="s">
        <v>10</v>
      </c>
      <c r="D2253" s="28" t="s">
        <v>808</v>
      </c>
      <c r="E2253" s="28"/>
      <c r="F2253" s="28">
        <v>0</v>
      </c>
      <c r="G2253" s="28" t="s">
        <v>125</v>
      </c>
      <c r="H2253" s="28">
        <v>0</v>
      </c>
      <c r="J2253" s="28"/>
    </row>
    <row r="2254" spans="1:10" ht="15.75" customHeight="1">
      <c r="A2254" s="28">
        <v>18759</v>
      </c>
      <c r="B2254" s="91">
        <v>45063.645960648151</v>
      </c>
      <c r="C2254" s="28" t="s">
        <v>10</v>
      </c>
      <c r="D2254" s="28" t="s">
        <v>808</v>
      </c>
      <c r="E2254" s="28"/>
      <c r="F2254" s="28">
        <v>0</v>
      </c>
      <c r="G2254" s="28" t="s">
        <v>119</v>
      </c>
      <c r="H2254" s="28">
        <v>0</v>
      </c>
      <c r="J2254" s="28"/>
    </row>
    <row r="2255" spans="1:10" ht="15.75" customHeight="1">
      <c r="A2255" s="28">
        <v>18760</v>
      </c>
      <c r="B2255" s="91">
        <v>45063.662870370375</v>
      </c>
      <c r="C2255" s="28" t="s">
        <v>10</v>
      </c>
      <c r="D2255" s="28" t="s">
        <v>807</v>
      </c>
      <c r="E2255" s="28"/>
      <c r="F2255" s="28">
        <v>25</v>
      </c>
      <c r="G2255" s="28">
        <v>100692</v>
      </c>
      <c r="H2255" s="28">
        <v>0</v>
      </c>
      <c r="J2255" s="28"/>
    </row>
    <row r="2256" spans="1:10" ht="15.75" customHeight="1">
      <c r="A2256" s="28">
        <v>18760</v>
      </c>
      <c r="B2256" s="91">
        <v>45063.662870370375</v>
      </c>
      <c r="C2256" s="28" t="s">
        <v>10</v>
      </c>
      <c r="D2256" s="28" t="s">
        <v>807</v>
      </c>
      <c r="E2256" s="28"/>
      <c r="F2256" s="28">
        <v>0</v>
      </c>
      <c r="G2256" s="28" t="s">
        <v>125</v>
      </c>
      <c r="H2256" s="28">
        <v>0</v>
      </c>
      <c r="J2256" s="28"/>
    </row>
    <row r="2257" spans="1:10" ht="15.75" customHeight="1">
      <c r="A2257" s="28">
        <v>18760</v>
      </c>
      <c r="B2257" s="91">
        <v>45063.662870370375</v>
      </c>
      <c r="C2257" s="28" t="s">
        <v>10</v>
      </c>
      <c r="D2257" s="28" t="s">
        <v>807</v>
      </c>
      <c r="E2257" s="28"/>
      <c r="F2257" s="28">
        <v>0</v>
      </c>
      <c r="G2257" s="28" t="s">
        <v>119</v>
      </c>
      <c r="H2257" s="28">
        <v>0</v>
      </c>
      <c r="J2257" s="28"/>
    </row>
    <row r="2258" spans="1:10" ht="15.75" customHeight="1">
      <c r="A2258" s="28">
        <v>18760</v>
      </c>
      <c r="B2258" s="91">
        <v>45063.662870370375</v>
      </c>
      <c r="C2258" s="28" t="s">
        <v>10</v>
      </c>
      <c r="D2258" s="28" t="s">
        <v>807</v>
      </c>
      <c r="E2258" s="28"/>
      <c r="F2258" s="28">
        <v>0</v>
      </c>
      <c r="G2258" s="28" t="s">
        <v>117</v>
      </c>
      <c r="H2258" s="28">
        <v>0</v>
      </c>
      <c r="J2258" s="28"/>
    </row>
    <row r="2259" spans="1:10" ht="15.75" customHeight="1">
      <c r="A2259" s="28">
        <v>18761</v>
      </c>
      <c r="B2259" s="91">
        <v>45063.689837962964</v>
      </c>
      <c r="C2259" s="28" t="s">
        <v>10</v>
      </c>
      <c r="D2259" s="28" t="s">
        <v>806</v>
      </c>
      <c r="E2259" s="28"/>
      <c r="F2259" s="28">
        <v>36</v>
      </c>
      <c r="G2259" s="28" t="s">
        <v>457</v>
      </c>
      <c r="H2259" s="28">
        <v>0</v>
      </c>
      <c r="J2259" s="28"/>
    </row>
    <row r="2260" spans="1:10" ht="15.75" customHeight="1">
      <c r="A2260" s="28">
        <v>18761</v>
      </c>
      <c r="B2260" s="91">
        <v>45063.689837962964</v>
      </c>
      <c r="C2260" s="28" t="s">
        <v>10</v>
      </c>
      <c r="D2260" s="28" t="s">
        <v>806</v>
      </c>
      <c r="E2260" s="28"/>
      <c r="F2260" s="28">
        <v>25</v>
      </c>
      <c r="G2260" s="28">
        <v>100692</v>
      </c>
      <c r="H2260" s="28">
        <v>0</v>
      </c>
      <c r="J2260" s="28"/>
    </row>
    <row r="2261" spans="1:10" ht="15.75" customHeight="1">
      <c r="A2261" s="28">
        <v>18761</v>
      </c>
      <c r="B2261" s="91">
        <v>45063.689837962964</v>
      </c>
      <c r="C2261" s="28" t="s">
        <v>10</v>
      </c>
      <c r="D2261" s="28" t="s">
        <v>806</v>
      </c>
      <c r="E2261" s="28"/>
      <c r="F2261" s="28">
        <v>0</v>
      </c>
      <c r="G2261" s="28" t="s">
        <v>125</v>
      </c>
      <c r="H2261" s="28">
        <v>0</v>
      </c>
      <c r="J2261" s="28"/>
    </row>
    <row r="2262" spans="1:10" ht="15.75" customHeight="1">
      <c r="A2262" s="28">
        <v>18761</v>
      </c>
      <c r="B2262" s="91">
        <v>45063.689837962964</v>
      </c>
      <c r="C2262" s="28" t="s">
        <v>10</v>
      </c>
      <c r="D2262" s="28" t="s">
        <v>806</v>
      </c>
      <c r="E2262" s="28"/>
      <c r="F2262" s="28">
        <v>0</v>
      </c>
      <c r="G2262" s="28" t="s">
        <v>119</v>
      </c>
      <c r="H2262" s="28">
        <v>0</v>
      </c>
      <c r="J2262" s="28"/>
    </row>
    <row r="2263" spans="1:10" ht="15.75" customHeight="1">
      <c r="A2263" s="28">
        <v>18762</v>
      </c>
      <c r="B2263" s="91">
        <v>45063.692557870367</v>
      </c>
      <c r="C2263" s="28" t="s">
        <v>10</v>
      </c>
      <c r="D2263" s="28" t="s">
        <v>292</v>
      </c>
      <c r="E2263" s="28"/>
      <c r="F2263" s="28">
        <v>25</v>
      </c>
      <c r="G2263" s="28">
        <v>100692</v>
      </c>
      <c r="H2263" s="28">
        <v>0</v>
      </c>
      <c r="J2263" s="28"/>
    </row>
    <row r="2264" spans="1:10" ht="15.75" customHeight="1">
      <c r="A2264" s="28">
        <v>18762</v>
      </c>
      <c r="B2264" s="91">
        <v>45063.692557870367</v>
      </c>
      <c r="C2264" s="28" t="s">
        <v>10</v>
      </c>
      <c r="D2264" s="28" t="s">
        <v>292</v>
      </c>
      <c r="E2264" s="28"/>
      <c r="F2264" s="28">
        <v>0</v>
      </c>
      <c r="G2264" s="28" t="s">
        <v>125</v>
      </c>
      <c r="H2264" s="28">
        <v>0</v>
      </c>
      <c r="J2264" s="28"/>
    </row>
    <row r="2265" spans="1:10" ht="15.75" customHeight="1">
      <c r="A2265" s="28">
        <v>18762</v>
      </c>
      <c r="B2265" s="91">
        <v>45063.692557870367</v>
      </c>
      <c r="C2265" s="28" t="s">
        <v>10</v>
      </c>
      <c r="D2265" s="28" t="s">
        <v>292</v>
      </c>
      <c r="E2265" s="28"/>
      <c r="F2265" s="28">
        <v>0</v>
      </c>
      <c r="G2265" s="28" t="s">
        <v>119</v>
      </c>
      <c r="H2265" s="28">
        <v>0</v>
      </c>
      <c r="J2265" s="28"/>
    </row>
    <row r="2266" spans="1:10" ht="15.75" customHeight="1">
      <c r="A2266" s="28">
        <v>18763</v>
      </c>
      <c r="B2266" s="91">
        <v>45063.696724537032</v>
      </c>
      <c r="C2266" s="28" t="s">
        <v>10</v>
      </c>
      <c r="D2266" s="28" t="s">
        <v>805</v>
      </c>
      <c r="E2266" s="28"/>
      <c r="F2266" s="28">
        <v>0</v>
      </c>
      <c r="G2266" s="28" t="s">
        <v>117</v>
      </c>
      <c r="H2266" s="28">
        <v>0</v>
      </c>
      <c r="J2266" s="28"/>
    </row>
    <row r="2267" spans="1:10" ht="15.75" customHeight="1">
      <c r="A2267" s="28">
        <v>18763</v>
      </c>
      <c r="B2267" s="91">
        <v>45063.696724537032</v>
      </c>
      <c r="C2267" s="28" t="s">
        <v>10</v>
      </c>
      <c r="D2267" s="28" t="s">
        <v>805</v>
      </c>
      <c r="E2267" s="28"/>
      <c r="F2267" s="28">
        <v>26</v>
      </c>
      <c r="G2267" s="28" t="s">
        <v>122</v>
      </c>
      <c r="H2267" s="28">
        <v>0</v>
      </c>
      <c r="J2267" s="28"/>
    </row>
    <row r="2268" spans="1:10" ht="15.75" customHeight="1">
      <c r="A2268" s="28">
        <v>18764</v>
      </c>
      <c r="B2268" s="91">
        <v>45063.71711805556</v>
      </c>
      <c r="C2268" s="28" t="s">
        <v>10</v>
      </c>
      <c r="D2268" s="28" t="s">
        <v>804</v>
      </c>
      <c r="E2268" s="28"/>
      <c r="F2268" s="28">
        <v>15</v>
      </c>
      <c r="G2268" s="28" t="s">
        <v>125</v>
      </c>
      <c r="H2268" s="28">
        <v>0</v>
      </c>
      <c r="J2268" s="28"/>
    </row>
    <row r="2269" spans="1:10" ht="15.75" customHeight="1">
      <c r="A2269" s="28">
        <v>18765</v>
      </c>
      <c r="B2269" s="91">
        <v>45063.74618055555</v>
      </c>
      <c r="C2269" s="28" t="s">
        <v>10</v>
      </c>
      <c r="D2269" s="28" t="s">
        <v>803</v>
      </c>
      <c r="E2269" s="28"/>
      <c r="F2269" s="28">
        <v>22</v>
      </c>
      <c r="G2269" s="28" t="s">
        <v>137</v>
      </c>
      <c r="H2269" s="28">
        <v>0</v>
      </c>
      <c r="J2269" s="28"/>
    </row>
    <row r="2270" spans="1:10" ht="15.75" customHeight="1">
      <c r="A2270" s="28">
        <v>18766</v>
      </c>
      <c r="B2270" s="91">
        <v>45063.76158564815</v>
      </c>
      <c r="C2270" s="28" t="s">
        <v>10</v>
      </c>
      <c r="D2270" s="28" t="s">
        <v>802</v>
      </c>
      <c r="E2270" s="28"/>
      <c r="F2270" s="28">
        <v>25</v>
      </c>
      <c r="G2270" s="28">
        <v>100692</v>
      </c>
      <c r="H2270" s="28">
        <v>0</v>
      </c>
      <c r="J2270" s="28"/>
    </row>
    <row r="2271" spans="1:10" ht="15.75" customHeight="1">
      <c r="A2271" s="28">
        <v>18766</v>
      </c>
      <c r="B2271" s="91">
        <v>45063.76158564815</v>
      </c>
      <c r="C2271" s="28" t="s">
        <v>10</v>
      </c>
      <c r="D2271" s="28" t="s">
        <v>802</v>
      </c>
      <c r="E2271" s="28"/>
      <c r="F2271" s="28">
        <v>0</v>
      </c>
      <c r="G2271" s="28" t="s">
        <v>125</v>
      </c>
      <c r="H2271" s="28">
        <v>0</v>
      </c>
      <c r="J2271" s="28"/>
    </row>
    <row r="2272" spans="1:10" ht="15.75" customHeight="1">
      <c r="A2272" s="28">
        <v>18766</v>
      </c>
      <c r="B2272" s="91">
        <v>45063.76158564815</v>
      </c>
      <c r="C2272" s="28" t="s">
        <v>10</v>
      </c>
      <c r="D2272" s="28" t="s">
        <v>802</v>
      </c>
      <c r="E2272" s="28"/>
      <c r="F2272" s="28">
        <v>0</v>
      </c>
      <c r="G2272" s="28" t="s">
        <v>119</v>
      </c>
      <c r="H2272" s="28">
        <v>0</v>
      </c>
      <c r="J2272" s="28"/>
    </row>
    <row r="2273" spans="1:10" ht="15.75" customHeight="1">
      <c r="A2273" s="28">
        <v>18767</v>
      </c>
      <c r="B2273" s="91">
        <v>45063.782800925925</v>
      </c>
      <c r="C2273" s="28" t="s">
        <v>10</v>
      </c>
      <c r="D2273" s="28" t="s">
        <v>792</v>
      </c>
      <c r="E2273" s="28"/>
      <c r="F2273" s="28">
        <v>56</v>
      </c>
      <c r="G2273" s="28" t="s">
        <v>143</v>
      </c>
      <c r="H2273" s="28">
        <v>0</v>
      </c>
      <c r="J2273" s="28"/>
    </row>
    <row r="2274" spans="1:10" ht="15.75" customHeight="1">
      <c r="A2274" s="28">
        <v>18768</v>
      </c>
      <c r="B2274" s="91">
        <v>45063.878518518519</v>
      </c>
      <c r="C2274" s="28" t="s">
        <v>10</v>
      </c>
      <c r="D2274" s="28" t="s">
        <v>801</v>
      </c>
      <c r="E2274" s="28"/>
      <c r="F2274" s="28">
        <v>0</v>
      </c>
      <c r="G2274" s="28" t="s">
        <v>117</v>
      </c>
      <c r="H2274" s="28">
        <v>0</v>
      </c>
      <c r="J2274" s="28"/>
    </row>
    <row r="2275" spans="1:10" ht="15.75" customHeight="1">
      <c r="A2275" s="28">
        <v>18768</v>
      </c>
      <c r="B2275" s="91">
        <v>45063.878518518519</v>
      </c>
      <c r="C2275" s="28" t="s">
        <v>10</v>
      </c>
      <c r="D2275" s="28" t="s">
        <v>801</v>
      </c>
      <c r="E2275" s="28"/>
      <c r="F2275" s="28">
        <v>20</v>
      </c>
      <c r="G2275" s="28" t="s">
        <v>121</v>
      </c>
      <c r="H2275" s="28">
        <v>0</v>
      </c>
      <c r="J2275" s="28"/>
    </row>
    <row r="2276" spans="1:10" ht="15.75" customHeight="1">
      <c r="A2276" s="28">
        <v>18768</v>
      </c>
      <c r="B2276" s="91">
        <v>45063.878518518519</v>
      </c>
      <c r="C2276" s="28" t="s">
        <v>10</v>
      </c>
      <c r="D2276" s="28" t="s">
        <v>801</v>
      </c>
      <c r="E2276" s="28"/>
      <c r="F2276" s="28">
        <v>25</v>
      </c>
      <c r="G2276" s="28">
        <v>100692</v>
      </c>
      <c r="H2276" s="28">
        <v>0</v>
      </c>
      <c r="J2276" s="28"/>
    </row>
    <row r="2277" spans="1:10" ht="15.75" customHeight="1">
      <c r="A2277" s="28">
        <v>18768</v>
      </c>
      <c r="B2277" s="91">
        <v>45063.878518518519</v>
      </c>
      <c r="C2277" s="28" t="s">
        <v>10</v>
      </c>
      <c r="D2277" s="28" t="s">
        <v>801</v>
      </c>
      <c r="E2277" s="28"/>
      <c r="F2277" s="28">
        <v>0</v>
      </c>
      <c r="G2277" s="28" t="s">
        <v>125</v>
      </c>
      <c r="H2277" s="28">
        <v>0</v>
      </c>
      <c r="J2277" s="28"/>
    </row>
    <row r="2278" spans="1:10" ht="15.75" customHeight="1">
      <c r="A2278" s="28">
        <v>18768</v>
      </c>
      <c r="B2278" s="91">
        <v>45063.878518518519</v>
      </c>
      <c r="C2278" s="28" t="s">
        <v>10</v>
      </c>
      <c r="D2278" s="28" t="s">
        <v>801</v>
      </c>
      <c r="E2278" s="28"/>
      <c r="F2278" s="28">
        <v>0</v>
      </c>
      <c r="G2278" s="28" t="s">
        <v>119</v>
      </c>
      <c r="H2278" s="28">
        <v>0</v>
      </c>
      <c r="J2278" s="28"/>
    </row>
    <row r="2279" spans="1:10" ht="15.75" customHeight="1">
      <c r="A2279" s="28">
        <v>18769</v>
      </c>
      <c r="B2279" s="91">
        <v>45063.933032407411</v>
      </c>
      <c r="C2279" s="28" t="s">
        <v>10</v>
      </c>
      <c r="D2279" s="28" t="s">
        <v>800</v>
      </c>
      <c r="E2279" s="28"/>
      <c r="F2279" s="28">
        <v>25</v>
      </c>
      <c r="G2279" s="28">
        <v>100692</v>
      </c>
      <c r="H2279" s="28">
        <v>0</v>
      </c>
      <c r="J2279" s="28"/>
    </row>
    <row r="2280" spans="1:10" ht="15.75" customHeight="1">
      <c r="A2280" s="28">
        <v>18769</v>
      </c>
      <c r="B2280" s="91">
        <v>45063.933032407411</v>
      </c>
      <c r="C2280" s="28" t="s">
        <v>10</v>
      </c>
      <c r="D2280" s="28" t="s">
        <v>800</v>
      </c>
      <c r="E2280" s="28"/>
      <c r="F2280" s="28">
        <v>0</v>
      </c>
      <c r="G2280" s="28" t="s">
        <v>125</v>
      </c>
      <c r="H2280" s="28">
        <v>0</v>
      </c>
      <c r="J2280" s="28"/>
    </row>
    <row r="2281" spans="1:10" ht="15.75" customHeight="1">
      <c r="A2281" s="28">
        <v>18769</v>
      </c>
      <c r="B2281" s="91">
        <v>45063.933032407411</v>
      </c>
      <c r="C2281" s="28" t="s">
        <v>10</v>
      </c>
      <c r="D2281" s="28" t="s">
        <v>800</v>
      </c>
      <c r="E2281" s="28"/>
      <c r="F2281" s="28">
        <v>0</v>
      </c>
      <c r="G2281" s="28" t="s">
        <v>119</v>
      </c>
      <c r="H2281" s="28">
        <v>0</v>
      </c>
      <c r="J2281" s="28"/>
    </row>
    <row r="2282" spans="1:10" ht="15.75" customHeight="1">
      <c r="A2282" s="28">
        <v>18770</v>
      </c>
      <c r="B2282" s="91">
        <v>45064.079502314809</v>
      </c>
      <c r="C2282" s="28" t="s">
        <v>10</v>
      </c>
      <c r="D2282" s="28" t="s">
        <v>799</v>
      </c>
      <c r="E2282" s="28"/>
      <c r="F2282" s="28">
        <v>25</v>
      </c>
      <c r="G2282" s="28">
        <v>100692</v>
      </c>
      <c r="H2282" s="28">
        <v>0</v>
      </c>
      <c r="J2282" s="28"/>
    </row>
    <row r="2283" spans="1:10" ht="15.75" customHeight="1">
      <c r="A2283" s="28">
        <v>18770</v>
      </c>
      <c r="B2283" s="91">
        <v>45064.079502314809</v>
      </c>
      <c r="C2283" s="28" t="s">
        <v>10</v>
      </c>
      <c r="D2283" s="28" t="s">
        <v>799</v>
      </c>
      <c r="E2283" s="28"/>
      <c r="F2283" s="28">
        <v>0</v>
      </c>
      <c r="G2283" s="28" t="s">
        <v>125</v>
      </c>
      <c r="H2283" s="28">
        <v>0</v>
      </c>
      <c r="J2283" s="28"/>
    </row>
    <row r="2284" spans="1:10" ht="15.75" customHeight="1">
      <c r="A2284" s="28">
        <v>18770</v>
      </c>
      <c r="B2284" s="91">
        <v>45064.079502314809</v>
      </c>
      <c r="C2284" s="28" t="s">
        <v>10</v>
      </c>
      <c r="D2284" s="28" t="s">
        <v>799</v>
      </c>
      <c r="E2284" s="28"/>
      <c r="F2284" s="28">
        <v>0</v>
      </c>
      <c r="G2284" s="28" t="s">
        <v>119</v>
      </c>
      <c r="H2284" s="28">
        <v>0</v>
      </c>
      <c r="J2284" s="28"/>
    </row>
    <row r="2285" spans="1:10" ht="15.75" customHeight="1">
      <c r="A2285" s="28">
        <v>18775</v>
      </c>
      <c r="B2285" s="91">
        <v>45064.120844907404</v>
      </c>
      <c r="C2285" s="28" t="s">
        <v>10</v>
      </c>
      <c r="D2285" s="28" t="s">
        <v>798</v>
      </c>
      <c r="E2285" s="28"/>
      <c r="F2285" s="28">
        <v>35</v>
      </c>
      <c r="G2285" s="28" t="s">
        <v>124</v>
      </c>
      <c r="H2285" s="28">
        <v>0</v>
      </c>
      <c r="J2285" s="28"/>
    </row>
    <row r="2286" spans="1:10" ht="15.75" customHeight="1">
      <c r="A2286" s="28">
        <v>18775</v>
      </c>
      <c r="B2286" s="91">
        <v>45064.120844907404</v>
      </c>
      <c r="C2286" s="28" t="s">
        <v>10</v>
      </c>
      <c r="D2286" s="28" t="s">
        <v>798</v>
      </c>
      <c r="E2286" s="28"/>
      <c r="F2286" s="28">
        <v>0</v>
      </c>
      <c r="G2286" s="28" t="s">
        <v>125</v>
      </c>
      <c r="H2286" s="28">
        <v>0</v>
      </c>
      <c r="J2286" s="28"/>
    </row>
    <row r="2287" spans="1:10" ht="15.75" customHeight="1">
      <c r="A2287" s="28">
        <v>18775</v>
      </c>
      <c r="B2287" s="91">
        <v>45064.120844907404</v>
      </c>
      <c r="C2287" s="28" t="s">
        <v>10</v>
      </c>
      <c r="D2287" s="28" t="s">
        <v>798</v>
      </c>
      <c r="E2287" s="28"/>
      <c r="F2287" s="28">
        <v>0</v>
      </c>
      <c r="G2287" s="28" t="s">
        <v>119</v>
      </c>
      <c r="H2287" s="28">
        <v>0</v>
      </c>
      <c r="J2287" s="28"/>
    </row>
    <row r="2288" spans="1:10" ht="15.75" customHeight="1">
      <c r="A2288" s="28">
        <v>18775</v>
      </c>
      <c r="B2288" s="91">
        <v>45064.120844907404</v>
      </c>
      <c r="C2288" s="28" t="s">
        <v>10</v>
      </c>
      <c r="D2288" s="28" t="s">
        <v>798</v>
      </c>
      <c r="E2288" s="28"/>
      <c r="F2288" s="28">
        <v>0</v>
      </c>
      <c r="G2288" s="28" t="s">
        <v>121</v>
      </c>
      <c r="H2288" s="28">
        <v>0</v>
      </c>
      <c r="J2288" s="28"/>
    </row>
    <row r="2289" spans="1:10" ht="15.75" customHeight="1">
      <c r="A2289" s="28">
        <v>18775</v>
      </c>
      <c r="B2289" s="91">
        <v>45064.120844907404</v>
      </c>
      <c r="C2289" s="28" t="s">
        <v>10</v>
      </c>
      <c r="D2289" s="28" t="s">
        <v>798</v>
      </c>
      <c r="E2289" s="28"/>
      <c r="F2289" s="28">
        <v>28</v>
      </c>
      <c r="G2289" s="28" t="s">
        <v>143</v>
      </c>
      <c r="H2289" s="28">
        <v>0</v>
      </c>
      <c r="J2289" s="28"/>
    </row>
    <row r="2290" spans="1:10" ht="15.75" customHeight="1">
      <c r="A2290" s="28">
        <v>18776</v>
      </c>
      <c r="B2290" s="91">
        <v>45064.700578703705</v>
      </c>
      <c r="C2290" s="28" t="s">
        <v>10</v>
      </c>
      <c r="D2290" s="28" t="s">
        <v>797</v>
      </c>
      <c r="E2290" s="28"/>
      <c r="F2290" s="28">
        <v>25</v>
      </c>
      <c r="G2290" s="28">
        <v>100692</v>
      </c>
      <c r="H2290" s="28">
        <v>0</v>
      </c>
      <c r="J2290" s="28"/>
    </row>
    <row r="2291" spans="1:10" ht="15.75" customHeight="1">
      <c r="A2291" s="28">
        <v>18776</v>
      </c>
      <c r="B2291" s="91">
        <v>45064.700578703705</v>
      </c>
      <c r="C2291" s="28" t="s">
        <v>10</v>
      </c>
      <c r="D2291" s="28" t="s">
        <v>797</v>
      </c>
      <c r="E2291" s="28"/>
      <c r="F2291" s="28">
        <v>0</v>
      </c>
      <c r="G2291" s="28" t="s">
        <v>125</v>
      </c>
      <c r="H2291" s="28">
        <v>0</v>
      </c>
      <c r="J2291" s="28"/>
    </row>
    <row r="2292" spans="1:10" ht="15.75" customHeight="1">
      <c r="A2292" s="28">
        <v>18776</v>
      </c>
      <c r="B2292" s="91">
        <v>45064.700578703705</v>
      </c>
      <c r="C2292" s="28" t="s">
        <v>10</v>
      </c>
      <c r="D2292" s="28" t="s">
        <v>797</v>
      </c>
      <c r="E2292" s="28"/>
      <c r="F2292" s="28">
        <v>0</v>
      </c>
      <c r="G2292" s="28" t="s">
        <v>119</v>
      </c>
      <c r="H2292" s="28">
        <v>0</v>
      </c>
      <c r="J2292" s="28"/>
    </row>
    <row r="2293" spans="1:10" ht="15.75" customHeight="1">
      <c r="A2293" s="28">
        <v>18777</v>
      </c>
      <c r="B2293" s="91">
        <v>45064.726099537038</v>
      </c>
      <c r="C2293" s="28" t="s">
        <v>10</v>
      </c>
      <c r="D2293" s="28" t="s">
        <v>796</v>
      </c>
      <c r="E2293" s="28"/>
      <c r="F2293" s="28">
        <v>15</v>
      </c>
      <c r="G2293" s="28" t="s">
        <v>125</v>
      </c>
      <c r="H2293" s="28">
        <v>0</v>
      </c>
      <c r="J2293" s="28"/>
    </row>
    <row r="2294" spans="1:10" ht="15.75" customHeight="1">
      <c r="A2294" s="28">
        <v>18778</v>
      </c>
      <c r="B2294" s="91">
        <v>45064.729525462964</v>
      </c>
      <c r="C2294" s="28" t="s">
        <v>10</v>
      </c>
      <c r="D2294" s="28" t="s">
        <v>795</v>
      </c>
      <c r="E2294" s="28"/>
      <c r="F2294" s="28">
        <v>15</v>
      </c>
      <c r="G2294" s="28" t="s">
        <v>125</v>
      </c>
      <c r="H2294" s="28">
        <v>0</v>
      </c>
      <c r="J2294" s="28"/>
    </row>
    <row r="2295" spans="1:10" ht="15.75" customHeight="1">
      <c r="A2295" s="28">
        <v>18779</v>
      </c>
      <c r="B2295" s="91">
        <v>45064.806990740741</v>
      </c>
      <c r="C2295" s="28" t="s">
        <v>10</v>
      </c>
      <c r="D2295" s="28" t="s">
        <v>794</v>
      </c>
      <c r="E2295" s="28"/>
      <c r="F2295" s="28">
        <v>18</v>
      </c>
      <c r="G2295" s="28" t="s">
        <v>119</v>
      </c>
      <c r="H2295" s="28">
        <v>0</v>
      </c>
      <c r="J2295" s="28"/>
    </row>
    <row r="2296" spans="1:10" ht="15.75" customHeight="1">
      <c r="A2296" s="28">
        <v>18780</v>
      </c>
      <c r="B2296" s="91">
        <v>45065.007118055553</v>
      </c>
      <c r="C2296" s="28" t="s">
        <v>10</v>
      </c>
      <c r="D2296" s="28" t="s">
        <v>793</v>
      </c>
      <c r="E2296" s="28"/>
      <c r="F2296" s="28">
        <v>18</v>
      </c>
      <c r="G2296" s="28" t="s">
        <v>119</v>
      </c>
      <c r="H2296" s="28">
        <v>0</v>
      </c>
      <c r="J2296" s="28"/>
    </row>
    <row r="2297" spans="1:10" ht="15.75" customHeight="1">
      <c r="A2297" s="28">
        <v>18781</v>
      </c>
      <c r="B2297" s="91">
        <v>45065.619826388887</v>
      </c>
      <c r="C2297" s="28" t="s">
        <v>10</v>
      </c>
      <c r="D2297" s="28" t="s">
        <v>792</v>
      </c>
      <c r="E2297" s="28"/>
      <c r="F2297" s="28">
        <v>25</v>
      </c>
      <c r="G2297" s="28" t="s">
        <v>141</v>
      </c>
      <c r="H2297" s="28">
        <v>0</v>
      </c>
      <c r="J2297" s="28"/>
    </row>
    <row r="2298" spans="1:10" ht="15.75" customHeight="1">
      <c r="A2298" s="28">
        <v>18782</v>
      </c>
      <c r="B2298" s="91">
        <v>45065.664444444439</v>
      </c>
      <c r="C2298" s="28" t="s">
        <v>10</v>
      </c>
      <c r="D2298" s="28" t="s">
        <v>791</v>
      </c>
      <c r="E2298" s="28"/>
      <c r="F2298" s="28">
        <v>20</v>
      </c>
      <c r="G2298" s="28" t="s">
        <v>121</v>
      </c>
      <c r="H2298" s="28">
        <v>0</v>
      </c>
      <c r="J2298" s="28"/>
    </row>
    <row r="2299" spans="1:10" ht="15.75" customHeight="1">
      <c r="A2299" s="28">
        <v>18783</v>
      </c>
      <c r="B2299" s="91">
        <v>45065.710636574076</v>
      </c>
      <c r="C2299" s="28" t="s">
        <v>10</v>
      </c>
      <c r="D2299" s="28" t="s">
        <v>790</v>
      </c>
      <c r="E2299" s="28"/>
      <c r="F2299" s="28">
        <v>20</v>
      </c>
      <c r="G2299" s="28" t="s">
        <v>205</v>
      </c>
      <c r="H2299" s="28">
        <v>0</v>
      </c>
      <c r="J2299" s="28"/>
    </row>
    <row r="2300" spans="1:10" ht="15.75" customHeight="1">
      <c r="A2300" s="28">
        <v>18783</v>
      </c>
      <c r="B2300" s="91">
        <v>45065.710636574076</v>
      </c>
      <c r="C2300" s="28" t="s">
        <v>10</v>
      </c>
      <c r="D2300" s="28" t="s">
        <v>790</v>
      </c>
      <c r="E2300" s="28"/>
      <c r="F2300" s="28">
        <v>0</v>
      </c>
      <c r="G2300" s="28" t="s">
        <v>125</v>
      </c>
      <c r="H2300" s="28">
        <v>0</v>
      </c>
      <c r="J2300" s="28"/>
    </row>
    <row r="2301" spans="1:10" ht="15.75" customHeight="1">
      <c r="A2301" s="28">
        <v>18789</v>
      </c>
      <c r="B2301" s="91">
        <v>45066.205451388887</v>
      </c>
      <c r="C2301" s="28" t="s">
        <v>10</v>
      </c>
      <c r="D2301" s="28" t="s">
        <v>398</v>
      </c>
      <c r="E2301" s="28"/>
      <c r="F2301" s="28">
        <v>30</v>
      </c>
      <c r="G2301" s="28" t="s">
        <v>128</v>
      </c>
      <c r="H2301" s="28">
        <v>0</v>
      </c>
      <c r="J2301" s="28"/>
    </row>
    <row r="2302" spans="1:10" ht="15.75" customHeight="1">
      <c r="A2302" s="28">
        <v>18789</v>
      </c>
      <c r="B2302" s="91">
        <v>45066.205451388887</v>
      </c>
      <c r="C2302" s="28" t="s">
        <v>10</v>
      </c>
      <c r="D2302" s="28" t="s">
        <v>398</v>
      </c>
      <c r="E2302" s="28"/>
      <c r="F2302" s="28">
        <v>0</v>
      </c>
      <c r="G2302" s="28" t="s">
        <v>125</v>
      </c>
      <c r="H2302" s="28">
        <v>0</v>
      </c>
      <c r="J2302" s="28"/>
    </row>
    <row r="2303" spans="1:10" ht="15.75" customHeight="1">
      <c r="A2303" s="28">
        <v>18789</v>
      </c>
      <c r="B2303" s="91">
        <v>45066.205451388887</v>
      </c>
      <c r="C2303" s="28" t="s">
        <v>10</v>
      </c>
      <c r="D2303" s="28" t="s">
        <v>398</v>
      </c>
      <c r="E2303" s="28"/>
      <c r="F2303" s="28">
        <v>0</v>
      </c>
      <c r="G2303" s="28" t="s">
        <v>119</v>
      </c>
      <c r="H2303" s="28">
        <v>0</v>
      </c>
      <c r="J2303" s="28"/>
    </row>
    <row r="2304" spans="1:10" ht="15.75" customHeight="1">
      <c r="A2304" s="28">
        <v>18790</v>
      </c>
      <c r="B2304" s="91">
        <v>45066.5158912037</v>
      </c>
      <c r="C2304" s="28" t="s">
        <v>10</v>
      </c>
      <c r="D2304" s="28" t="s">
        <v>789</v>
      </c>
      <c r="E2304" s="28"/>
      <c r="F2304" s="28">
        <v>25</v>
      </c>
      <c r="G2304" s="28">
        <v>100692</v>
      </c>
      <c r="H2304" s="28">
        <v>0</v>
      </c>
      <c r="J2304" s="28"/>
    </row>
    <row r="2305" spans="1:10" ht="15.75" customHeight="1">
      <c r="A2305" s="28">
        <v>18790</v>
      </c>
      <c r="B2305" s="91">
        <v>45066.5158912037</v>
      </c>
      <c r="C2305" s="28" t="s">
        <v>10</v>
      </c>
      <c r="D2305" s="28" t="s">
        <v>789</v>
      </c>
      <c r="E2305" s="28"/>
      <c r="F2305" s="28">
        <v>0</v>
      </c>
      <c r="G2305" s="28" t="s">
        <v>125</v>
      </c>
      <c r="H2305" s="28">
        <v>0</v>
      </c>
      <c r="J2305" s="28"/>
    </row>
    <row r="2306" spans="1:10" ht="15.75" customHeight="1">
      <c r="A2306" s="28">
        <v>18790</v>
      </c>
      <c r="B2306" s="91">
        <v>45066.5158912037</v>
      </c>
      <c r="C2306" s="28" t="s">
        <v>10</v>
      </c>
      <c r="D2306" s="28" t="s">
        <v>789</v>
      </c>
      <c r="E2306" s="28"/>
      <c r="F2306" s="28">
        <v>0</v>
      </c>
      <c r="G2306" s="28" t="s">
        <v>119</v>
      </c>
      <c r="H2306" s="28">
        <v>0</v>
      </c>
      <c r="J2306" s="28"/>
    </row>
    <row r="2307" spans="1:10" ht="15.75" customHeight="1">
      <c r="A2307" s="28">
        <v>18791</v>
      </c>
      <c r="B2307" s="91">
        <v>45066.702025462961</v>
      </c>
      <c r="C2307" s="28" t="s">
        <v>10</v>
      </c>
      <c r="D2307" s="28" t="s">
        <v>788</v>
      </c>
      <c r="E2307" s="28"/>
      <c r="F2307" s="28">
        <v>28</v>
      </c>
      <c r="G2307" s="28" t="s">
        <v>143</v>
      </c>
      <c r="H2307" s="28">
        <v>0</v>
      </c>
      <c r="J2307" s="28"/>
    </row>
    <row r="2308" spans="1:10" ht="15.75" customHeight="1">
      <c r="A2308" s="28">
        <v>18792</v>
      </c>
      <c r="B2308" s="91">
        <v>45066.787928240738</v>
      </c>
      <c r="C2308" s="28" t="s">
        <v>10</v>
      </c>
      <c r="D2308" s="28" t="s">
        <v>787</v>
      </c>
      <c r="E2308" s="28"/>
      <c r="F2308" s="28">
        <v>55</v>
      </c>
      <c r="G2308" s="28">
        <v>101684</v>
      </c>
      <c r="H2308" s="28">
        <v>0</v>
      </c>
      <c r="J2308" s="28"/>
    </row>
    <row r="2309" spans="1:10" ht="15.75" customHeight="1">
      <c r="A2309" s="28">
        <v>18792</v>
      </c>
      <c r="B2309" s="91">
        <v>45066.787928240738</v>
      </c>
      <c r="C2309" s="28" t="s">
        <v>10</v>
      </c>
      <c r="D2309" s="28" t="s">
        <v>787</v>
      </c>
      <c r="E2309" s="28"/>
      <c r="F2309" s="28">
        <v>0</v>
      </c>
      <c r="G2309" s="28" t="s">
        <v>118</v>
      </c>
      <c r="H2309" s="28">
        <v>0</v>
      </c>
      <c r="J2309" s="28"/>
    </row>
    <row r="2310" spans="1:10" ht="15.75" customHeight="1">
      <c r="A2310" s="28">
        <v>18792</v>
      </c>
      <c r="B2310" s="91">
        <v>45066.787928240738</v>
      </c>
      <c r="C2310" s="28" t="s">
        <v>10</v>
      </c>
      <c r="D2310" s="28" t="s">
        <v>787</v>
      </c>
      <c r="E2310" s="28"/>
      <c r="F2310" s="28">
        <v>0</v>
      </c>
      <c r="G2310" s="28" t="s">
        <v>119</v>
      </c>
      <c r="H2310" s="28">
        <v>0</v>
      </c>
      <c r="J2310" s="28"/>
    </row>
    <row r="2311" spans="1:10" ht="15.75" customHeight="1">
      <c r="A2311" s="28">
        <v>18792</v>
      </c>
      <c r="B2311" s="91">
        <v>45066.787928240738</v>
      </c>
      <c r="C2311" s="28" t="s">
        <v>10</v>
      </c>
      <c r="D2311" s="28" t="s">
        <v>787</v>
      </c>
      <c r="E2311" s="28"/>
      <c r="F2311" s="28">
        <v>0</v>
      </c>
      <c r="G2311" s="28" t="s">
        <v>120</v>
      </c>
      <c r="H2311" s="28">
        <v>0</v>
      </c>
      <c r="J2311" s="28"/>
    </row>
    <row r="2312" spans="1:10" ht="15.75" customHeight="1">
      <c r="A2312" s="28">
        <v>18792</v>
      </c>
      <c r="B2312" s="91">
        <v>45066.787928240738</v>
      </c>
      <c r="C2312" s="28" t="s">
        <v>10</v>
      </c>
      <c r="D2312" s="28" t="s">
        <v>787</v>
      </c>
      <c r="E2312" s="28"/>
      <c r="F2312" s="28">
        <v>0</v>
      </c>
      <c r="G2312" s="28" t="s">
        <v>121</v>
      </c>
      <c r="H2312" s="28">
        <v>0</v>
      </c>
      <c r="J2312" s="28"/>
    </row>
    <row r="2313" spans="1:10" ht="15.75" customHeight="1">
      <c r="A2313" s="28">
        <v>18793</v>
      </c>
      <c r="B2313" s="91">
        <v>45066.900358796294</v>
      </c>
      <c r="C2313" s="28" t="s">
        <v>10</v>
      </c>
      <c r="D2313" s="28" t="s">
        <v>786</v>
      </c>
      <c r="E2313" s="28"/>
      <c r="F2313" s="28">
        <v>35</v>
      </c>
      <c r="G2313" s="28" t="s">
        <v>124</v>
      </c>
      <c r="H2313" s="28">
        <v>0</v>
      </c>
      <c r="J2313" s="28"/>
    </row>
    <row r="2314" spans="1:10" ht="15.75" customHeight="1">
      <c r="A2314" s="28">
        <v>18793</v>
      </c>
      <c r="B2314" s="91">
        <v>45066.900358796294</v>
      </c>
      <c r="C2314" s="28" t="s">
        <v>10</v>
      </c>
      <c r="D2314" s="28" t="s">
        <v>786</v>
      </c>
      <c r="E2314" s="28"/>
      <c r="F2314" s="28">
        <v>0</v>
      </c>
      <c r="G2314" s="28" t="s">
        <v>125</v>
      </c>
      <c r="H2314" s="28">
        <v>0</v>
      </c>
      <c r="J2314" s="28"/>
    </row>
    <row r="2315" spans="1:10" ht="15.75" customHeight="1">
      <c r="A2315" s="28">
        <v>18793</v>
      </c>
      <c r="B2315" s="91">
        <v>45066.900358796294</v>
      </c>
      <c r="C2315" s="28" t="s">
        <v>10</v>
      </c>
      <c r="D2315" s="28" t="s">
        <v>786</v>
      </c>
      <c r="E2315" s="28"/>
      <c r="F2315" s="28">
        <v>0</v>
      </c>
      <c r="G2315" s="28" t="s">
        <v>119</v>
      </c>
      <c r="H2315" s="28">
        <v>0</v>
      </c>
      <c r="J2315" s="28"/>
    </row>
    <row r="2316" spans="1:10" ht="15.75" customHeight="1">
      <c r="A2316" s="28">
        <v>18793</v>
      </c>
      <c r="B2316" s="91">
        <v>45066.900358796294</v>
      </c>
      <c r="C2316" s="28" t="s">
        <v>10</v>
      </c>
      <c r="D2316" s="28" t="s">
        <v>786</v>
      </c>
      <c r="E2316" s="28"/>
      <c r="F2316" s="28">
        <v>0</v>
      </c>
      <c r="G2316" s="28" t="s">
        <v>121</v>
      </c>
      <c r="H2316" s="28">
        <v>0</v>
      </c>
      <c r="J2316" s="28"/>
    </row>
    <row r="2317" spans="1:10" ht="15.75" customHeight="1">
      <c r="A2317" s="28">
        <v>18793</v>
      </c>
      <c r="B2317" s="91">
        <v>45066.900358796294</v>
      </c>
      <c r="C2317" s="28" t="s">
        <v>10</v>
      </c>
      <c r="D2317" s="28" t="s">
        <v>786</v>
      </c>
      <c r="E2317" s="28"/>
      <c r="F2317" s="28">
        <v>18</v>
      </c>
      <c r="G2317" s="28" t="s">
        <v>119</v>
      </c>
      <c r="H2317" s="28">
        <v>0</v>
      </c>
      <c r="J2317" s="28"/>
    </row>
    <row r="2318" spans="1:10" ht="15.75" customHeight="1">
      <c r="A2318" s="28">
        <v>18794</v>
      </c>
      <c r="B2318" s="91">
        <v>45066.90221064815</v>
      </c>
      <c r="C2318" s="28" t="s">
        <v>10</v>
      </c>
      <c r="D2318" s="28" t="s">
        <v>785</v>
      </c>
      <c r="E2318" s="28"/>
      <c r="F2318" s="28">
        <v>35</v>
      </c>
      <c r="G2318" s="28" t="s">
        <v>124</v>
      </c>
      <c r="H2318" s="28">
        <v>0</v>
      </c>
      <c r="J2318" s="28"/>
    </row>
    <row r="2319" spans="1:10" ht="15.75" customHeight="1">
      <c r="A2319" s="28">
        <v>18794</v>
      </c>
      <c r="B2319" s="91">
        <v>45066.90221064815</v>
      </c>
      <c r="C2319" s="28" t="s">
        <v>10</v>
      </c>
      <c r="D2319" s="28" t="s">
        <v>785</v>
      </c>
      <c r="E2319" s="28"/>
      <c r="F2319" s="28">
        <v>0</v>
      </c>
      <c r="G2319" s="28" t="s">
        <v>125</v>
      </c>
      <c r="H2319" s="28">
        <v>0</v>
      </c>
      <c r="J2319" s="28"/>
    </row>
    <row r="2320" spans="1:10" ht="15.75" customHeight="1">
      <c r="A2320" s="28">
        <v>18794</v>
      </c>
      <c r="B2320" s="91">
        <v>45066.90221064815</v>
      </c>
      <c r="C2320" s="28" t="s">
        <v>10</v>
      </c>
      <c r="D2320" s="28" t="s">
        <v>785</v>
      </c>
      <c r="E2320" s="28"/>
      <c r="F2320" s="28">
        <v>0</v>
      </c>
      <c r="G2320" s="28" t="s">
        <v>119</v>
      </c>
      <c r="H2320" s="28">
        <v>0</v>
      </c>
      <c r="J2320" s="28"/>
    </row>
    <row r="2321" spans="1:10" ht="15.75" customHeight="1">
      <c r="A2321" s="28">
        <v>18794</v>
      </c>
      <c r="B2321" s="91">
        <v>45066.90221064815</v>
      </c>
      <c r="C2321" s="28" t="s">
        <v>10</v>
      </c>
      <c r="D2321" s="28" t="s">
        <v>785</v>
      </c>
      <c r="E2321" s="28"/>
      <c r="F2321" s="28">
        <v>0</v>
      </c>
      <c r="G2321" s="28" t="s">
        <v>121</v>
      </c>
      <c r="H2321" s="28">
        <v>0</v>
      </c>
      <c r="J2321" s="28"/>
    </row>
    <row r="2322" spans="1:10" ht="15.75" customHeight="1">
      <c r="A2322" s="28">
        <v>18794</v>
      </c>
      <c r="B2322" s="91">
        <v>45066.90221064815</v>
      </c>
      <c r="C2322" s="28" t="s">
        <v>10</v>
      </c>
      <c r="D2322" s="28" t="s">
        <v>785</v>
      </c>
      <c r="E2322" s="28"/>
      <c r="F2322" s="28">
        <v>18</v>
      </c>
      <c r="G2322" s="28" t="s">
        <v>119</v>
      </c>
      <c r="H2322" s="28">
        <v>0</v>
      </c>
      <c r="J2322" s="28"/>
    </row>
    <row r="2323" spans="1:10" ht="15.75" customHeight="1">
      <c r="A2323" s="28">
        <v>18795</v>
      </c>
      <c r="B2323" s="91">
        <v>45067.020879629628</v>
      </c>
      <c r="C2323" s="28" t="s">
        <v>52</v>
      </c>
      <c r="D2323" s="28" t="s">
        <v>784</v>
      </c>
      <c r="E2323" s="28"/>
      <c r="F2323" s="28">
        <v>20</v>
      </c>
      <c r="G2323" s="28" t="s">
        <v>205</v>
      </c>
      <c r="H2323" s="28">
        <v>0</v>
      </c>
      <c r="J2323" s="28"/>
    </row>
    <row r="2324" spans="1:10" ht="15.75" customHeight="1">
      <c r="A2324" s="28">
        <v>18795</v>
      </c>
      <c r="B2324" s="91">
        <v>45067.020879629628</v>
      </c>
      <c r="C2324" s="28" t="s">
        <v>52</v>
      </c>
      <c r="D2324" s="28" t="s">
        <v>784</v>
      </c>
      <c r="E2324" s="28"/>
      <c r="F2324" s="28">
        <v>0</v>
      </c>
      <c r="G2324" s="28" t="s">
        <v>125</v>
      </c>
      <c r="H2324" s="28">
        <v>0</v>
      </c>
      <c r="J2324" s="28"/>
    </row>
    <row r="2325" spans="1:10" ht="15.75" customHeight="1">
      <c r="A2325" s="28">
        <v>18796</v>
      </c>
      <c r="B2325" s="91">
        <v>45067.023148148146</v>
      </c>
      <c r="C2325" s="28" t="s">
        <v>10</v>
      </c>
      <c r="D2325" s="28" t="s">
        <v>784</v>
      </c>
      <c r="E2325" s="28"/>
      <c r="F2325" s="28">
        <v>20</v>
      </c>
      <c r="G2325" s="28" t="s">
        <v>205</v>
      </c>
      <c r="H2325" s="28">
        <v>0</v>
      </c>
      <c r="J2325" s="28"/>
    </row>
    <row r="2326" spans="1:10" ht="15.75" customHeight="1">
      <c r="A2326" s="28">
        <v>18796</v>
      </c>
      <c r="B2326" s="91">
        <v>45067.023148148146</v>
      </c>
      <c r="C2326" s="28" t="s">
        <v>10</v>
      </c>
      <c r="D2326" s="28" t="s">
        <v>784</v>
      </c>
      <c r="E2326" s="28"/>
      <c r="F2326" s="28">
        <v>0</v>
      </c>
      <c r="G2326" s="28" t="s">
        <v>125</v>
      </c>
      <c r="H2326" s="28">
        <v>0</v>
      </c>
      <c r="J2326" s="28"/>
    </row>
    <row r="2327" spans="1:10" ht="15.75" customHeight="1">
      <c r="A2327" s="28">
        <v>18797</v>
      </c>
      <c r="B2327" s="91">
        <v>45067.725219907406</v>
      </c>
      <c r="C2327" s="28" t="s">
        <v>10</v>
      </c>
      <c r="D2327" s="28" t="s">
        <v>639</v>
      </c>
      <c r="E2327" s="28"/>
      <c r="F2327" s="28">
        <v>25</v>
      </c>
      <c r="G2327" s="28">
        <v>100692</v>
      </c>
      <c r="H2327" s="28">
        <v>0</v>
      </c>
      <c r="J2327" s="28"/>
    </row>
    <row r="2328" spans="1:10" ht="15.75" customHeight="1">
      <c r="A2328" s="28">
        <v>18797</v>
      </c>
      <c r="B2328" s="91">
        <v>45067.725219907406</v>
      </c>
      <c r="C2328" s="28" t="s">
        <v>10</v>
      </c>
      <c r="D2328" s="28" t="s">
        <v>639</v>
      </c>
      <c r="E2328" s="28"/>
      <c r="F2328" s="28">
        <v>0</v>
      </c>
      <c r="G2328" s="28" t="s">
        <v>125</v>
      </c>
      <c r="H2328" s="28">
        <v>0</v>
      </c>
      <c r="J2328" s="28"/>
    </row>
    <row r="2329" spans="1:10" ht="15.75" customHeight="1">
      <c r="A2329" s="28">
        <v>18797</v>
      </c>
      <c r="B2329" s="91">
        <v>45067.725219907406</v>
      </c>
      <c r="C2329" s="28" t="s">
        <v>10</v>
      </c>
      <c r="D2329" s="28" t="s">
        <v>639</v>
      </c>
      <c r="E2329" s="28"/>
      <c r="F2329" s="28">
        <v>0</v>
      </c>
      <c r="G2329" s="28" t="s">
        <v>119</v>
      </c>
      <c r="H2329" s="28">
        <v>0</v>
      </c>
      <c r="J2329" s="28"/>
    </row>
    <row r="2330" spans="1:10" ht="15.75" customHeight="1">
      <c r="A2330" s="28">
        <v>18798</v>
      </c>
      <c r="B2330" s="91">
        <v>45068.134236111116</v>
      </c>
      <c r="C2330" s="28" t="s">
        <v>10</v>
      </c>
      <c r="D2330" s="28" t="s">
        <v>662</v>
      </c>
      <c r="E2330" s="28"/>
      <c r="F2330" s="28">
        <v>28</v>
      </c>
      <c r="G2330" s="28" t="s">
        <v>143</v>
      </c>
      <c r="H2330" s="28">
        <v>0</v>
      </c>
      <c r="J2330" s="28"/>
    </row>
    <row r="2331" spans="1:10" ht="15.75" customHeight="1">
      <c r="A2331" s="28">
        <v>18799</v>
      </c>
      <c r="B2331" s="91">
        <v>45068.725312499999</v>
      </c>
      <c r="C2331" s="28" t="s">
        <v>10</v>
      </c>
      <c r="D2331" s="28" t="s">
        <v>783</v>
      </c>
      <c r="E2331" s="28"/>
      <c r="F2331" s="28">
        <v>25</v>
      </c>
      <c r="G2331" s="28">
        <v>100692</v>
      </c>
      <c r="H2331" s="28">
        <v>0</v>
      </c>
      <c r="J2331" s="28"/>
    </row>
    <row r="2332" spans="1:10" ht="15.75" customHeight="1">
      <c r="A2332" s="28">
        <v>18799</v>
      </c>
      <c r="B2332" s="91">
        <v>45068.725312499999</v>
      </c>
      <c r="C2332" s="28" t="s">
        <v>10</v>
      </c>
      <c r="D2332" s="28" t="s">
        <v>783</v>
      </c>
      <c r="E2332" s="28"/>
      <c r="F2332" s="28">
        <v>0</v>
      </c>
      <c r="G2332" s="28" t="s">
        <v>125</v>
      </c>
      <c r="H2332" s="28">
        <v>0</v>
      </c>
      <c r="J2332" s="28"/>
    </row>
    <row r="2333" spans="1:10" ht="15.75" customHeight="1">
      <c r="A2333" s="28">
        <v>18799</v>
      </c>
      <c r="B2333" s="91">
        <v>45068.725312499999</v>
      </c>
      <c r="C2333" s="28" t="s">
        <v>10</v>
      </c>
      <c r="D2333" s="28" t="s">
        <v>783</v>
      </c>
      <c r="E2333" s="28"/>
      <c r="F2333" s="28">
        <v>0</v>
      </c>
      <c r="G2333" s="28" t="s">
        <v>119</v>
      </c>
      <c r="H2333" s="28">
        <v>0</v>
      </c>
      <c r="J2333" s="28"/>
    </row>
    <row r="2334" spans="1:10" ht="15.75" customHeight="1">
      <c r="A2334" s="28">
        <v>18800</v>
      </c>
      <c r="B2334" s="91">
        <v>45068.977118055554</v>
      </c>
      <c r="C2334" s="28" t="s">
        <v>10</v>
      </c>
      <c r="D2334" s="28" t="s">
        <v>782</v>
      </c>
      <c r="E2334" s="28"/>
      <c r="F2334" s="28">
        <v>80</v>
      </c>
      <c r="G2334" s="28"/>
      <c r="H2334" s="28">
        <v>0</v>
      </c>
      <c r="J2334" s="28"/>
    </row>
    <row r="2335" spans="1:10" ht="15.75" customHeight="1">
      <c r="A2335" s="28">
        <v>18800</v>
      </c>
      <c r="B2335" s="91">
        <v>45068.977118055554</v>
      </c>
      <c r="C2335" s="28" t="s">
        <v>10</v>
      </c>
      <c r="D2335" s="28" t="s">
        <v>782</v>
      </c>
      <c r="E2335" s="28"/>
      <c r="F2335" s="28">
        <v>20</v>
      </c>
      <c r="G2335" s="28" t="s">
        <v>205</v>
      </c>
      <c r="H2335" s="28">
        <v>0</v>
      </c>
      <c r="J2335" s="28"/>
    </row>
    <row r="2336" spans="1:10" ht="15.75" customHeight="1">
      <c r="A2336" s="28">
        <v>18800</v>
      </c>
      <c r="B2336" s="91">
        <v>45068.977118055554</v>
      </c>
      <c r="C2336" s="28" t="s">
        <v>10</v>
      </c>
      <c r="D2336" s="28" t="s">
        <v>782</v>
      </c>
      <c r="E2336" s="28"/>
      <c r="F2336" s="28">
        <v>0</v>
      </c>
      <c r="G2336" s="28" t="s">
        <v>125</v>
      </c>
      <c r="H2336" s="28">
        <v>0</v>
      </c>
      <c r="J2336" s="28"/>
    </row>
    <row r="2337" spans="1:10" ht="15.75" customHeight="1">
      <c r="A2337" s="28">
        <v>18801</v>
      </c>
      <c r="B2337" s="91">
        <v>45069.578009259261</v>
      </c>
      <c r="C2337" s="28" t="s">
        <v>10</v>
      </c>
      <c r="D2337" s="28" t="s">
        <v>781</v>
      </c>
      <c r="E2337" s="28"/>
      <c r="F2337" s="28">
        <v>18</v>
      </c>
      <c r="G2337" s="28" t="s">
        <v>119</v>
      </c>
      <c r="H2337" s="28">
        <v>0</v>
      </c>
      <c r="J2337" s="28"/>
    </row>
    <row r="2338" spans="1:10" ht="15.75" customHeight="1">
      <c r="A2338" s="28">
        <v>18802</v>
      </c>
      <c r="B2338" s="91">
        <v>45069.615439814814</v>
      </c>
      <c r="C2338" s="28" t="s">
        <v>10</v>
      </c>
      <c r="D2338" s="28" t="s">
        <v>780</v>
      </c>
      <c r="E2338" s="28"/>
      <c r="F2338" s="28">
        <v>25</v>
      </c>
      <c r="G2338" s="28">
        <v>100692</v>
      </c>
      <c r="H2338" s="28">
        <v>0</v>
      </c>
      <c r="J2338" s="28"/>
    </row>
    <row r="2339" spans="1:10" ht="15.75" customHeight="1">
      <c r="A2339" s="28">
        <v>18802</v>
      </c>
      <c r="B2339" s="91">
        <v>45069.615439814814</v>
      </c>
      <c r="C2339" s="28" t="s">
        <v>10</v>
      </c>
      <c r="D2339" s="28" t="s">
        <v>780</v>
      </c>
      <c r="E2339" s="28"/>
      <c r="F2339" s="28">
        <v>0</v>
      </c>
      <c r="G2339" s="28" t="s">
        <v>125</v>
      </c>
      <c r="H2339" s="28">
        <v>0</v>
      </c>
      <c r="J2339" s="28"/>
    </row>
    <row r="2340" spans="1:10" ht="15.75" customHeight="1">
      <c r="A2340" s="28">
        <v>18802</v>
      </c>
      <c r="B2340" s="91">
        <v>45069.615439814814</v>
      </c>
      <c r="C2340" s="28" t="s">
        <v>10</v>
      </c>
      <c r="D2340" s="28" t="s">
        <v>780</v>
      </c>
      <c r="E2340" s="28"/>
      <c r="F2340" s="28">
        <v>0</v>
      </c>
      <c r="G2340" s="28" t="s">
        <v>119</v>
      </c>
      <c r="H2340" s="28">
        <v>0</v>
      </c>
      <c r="J2340" s="28"/>
    </row>
    <row r="2341" spans="1:10" ht="15.75" customHeight="1">
      <c r="A2341" s="28">
        <v>18803</v>
      </c>
      <c r="B2341" s="91">
        <v>45069.733217592591</v>
      </c>
      <c r="C2341" s="28" t="s">
        <v>10</v>
      </c>
      <c r="D2341" s="28" t="s">
        <v>779</v>
      </c>
      <c r="E2341" s="28"/>
      <c r="F2341" s="28">
        <v>55</v>
      </c>
      <c r="G2341" s="28">
        <v>101684</v>
      </c>
      <c r="H2341" s="28">
        <v>0</v>
      </c>
      <c r="J2341" s="28"/>
    </row>
    <row r="2342" spans="1:10" ht="15.75" customHeight="1">
      <c r="A2342" s="28">
        <v>18803</v>
      </c>
      <c r="B2342" s="91">
        <v>45069.733217592591</v>
      </c>
      <c r="C2342" s="28" t="s">
        <v>10</v>
      </c>
      <c r="D2342" s="28" t="s">
        <v>779</v>
      </c>
      <c r="E2342" s="28"/>
      <c r="F2342" s="28">
        <v>0</v>
      </c>
      <c r="G2342" s="28" t="s">
        <v>118</v>
      </c>
      <c r="H2342" s="28">
        <v>0</v>
      </c>
      <c r="J2342" s="28"/>
    </row>
    <row r="2343" spans="1:10" ht="15.75" customHeight="1">
      <c r="A2343" s="28">
        <v>18803</v>
      </c>
      <c r="B2343" s="91">
        <v>45069.733217592591</v>
      </c>
      <c r="C2343" s="28" t="s">
        <v>10</v>
      </c>
      <c r="D2343" s="28" t="s">
        <v>779</v>
      </c>
      <c r="E2343" s="28"/>
      <c r="F2343" s="28">
        <v>0</v>
      </c>
      <c r="G2343" s="28" t="s">
        <v>119</v>
      </c>
      <c r="H2343" s="28">
        <v>0</v>
      </c>
      <c r="J2343" s="28"/>
    </row>
    <row r="2344" spans="1:10" ht="15.75" customHeight="1">
      <c r="A2344" s="28">
        <v>18803</v>
      </c>
      <c r="B2344" s="91">
        <v>45069.733217592591</v>
      </c>
      <c r="C2344" s="28" t="s">
        <v>10</v>
      </c>
      <c r="D2344" s="28" t="s">
        <v>779</v>
      </c>
      <c r="E2344" s="28"/>
      <c r="F2344" s="28">
        <v>0</v>
      </c>
      <c r="G2344" s="28" t="s">
        <v>120</v>
      </c>
      <c r="H2344" s="28">
        <v>0</v>
      </c>
      <c r="J2344" s="28"/>
    </row>
    <row r="2345" spans="1:10" ht="15.75" customHeight="1">
      <c r="A2345" s="28">
        <v>18803</v>
      </c>
      <c r="B2345" s="91">
        <v>45069.733217592591</v>
      </c>
      <c r="C2345" s="28" t="s">
        <v>10</v>
      </c>
      <c r="D2345" s="28" t="s">
        <v>779</v>
      </c>
      <c r="E2345" s="28"/>
      <c r="F2345" s="28">
        <v>0</v>
      </c>
      <c r="G2345" s="28" t="s">
        <v>121</v>
      </c>
      <c r="H2345" s="28">
        <v>0</v>
      </c>
      <c r="J2345" s="28"/>
    </row>
    <row r="2346" spans="1:10" ht="15.75" customHeight="1">
      <c r="A2346" s="28">
        <v>18804</v>
      </c>
      <c r="B2346" s="91">
        <v>45069.776851851857</v>
      </c>
      <c r="C2346" s="28" t="s">
        <v>10</v>
      </c>
      <c r="D2346" s="28" t="s">
        <v>778</v>
      </c>
      <c r="E2346" s="28"/>
      <c r="F2346" s="28">
        <v>25</v>
      </c>
      <c r="G2346" s="28">
        <v>100692</v>
      </c>
      <c r="H2346" s="28">
        <v>0</v>
      </c>
      <c r="J2346" s="28"/>
    </row>
    <row r="2347" spans="1:10" ht="15.75" customHeight="1">
      <c r="A2347" s="28">
        <v>18804</v>
      </c>
      <c r="B2347" s="91">
        <v>45069.776851851857</v>
      </c>
      <c r="C2347" s="28" t="s">
        <v>10</v>
      </c>
      <c r="D2347" s="28" t="s">
        <v>778</v>
      </c>
      <c r="E2347" s="28"/>
      <c r="F2347" s="28">
        <v>0</v>
      </c>
      <c r="G2347" s="28" t="s">
        <v>125</v>
      </c>
      <c r="H2347" s="28">
        <v>0</v>
      </c>
      <c r="J2347" s="28"/>
    </row>
    <row r="2348" spans="1:10" ht="15.75" customHeight="1">
      <c r="A2348" s="28">
        <v>18804</v>
      </c>
      <c r="B2348" s="91">
        <v>45069.776851851857</v>
      </c>
      <c r="C2348" s="28" t="s">
        <v>10</v>
      </c>
      <c r="D2348" s="28" t="s">
        <v>778</v>
      </c>
      <c r="E2348" s="28"/>
      <c r="F2348" s="28">
        <v>0</v>
      </c>
      <c r="G2348" s="28" t="s">
        <v>119</v>
      </c>
      <c r="H2348" s="28">
        <v>0</v>
      </c>
      <c r="J2348" s="28"/>
    </row>
    <row r="2349" spans="1:10" ht="15.75" customHeight="1">
      <c r="A2349" s="28">
        <v>18804</v>
      </c>
      <c r="B2349" s="91">
        <v>45069.776851851857</v>
      </c>
      <c r="C2349" s="28" t="s">
        <v>10</v>
      </c>
      <c r="D2349" s="28" t="s">
        <v>778</v>
      </c>
      <c r="E2349" s="28"/>
      <c r="F2349" s="28">
        <v>28</v>
      </c>
      <c r="G2349" s="28" t="s">
        <v>143</v>
      </c>
      <c r="H2349" s="28">
        <v>0</v>
      </c>
      <c r="J2349" s="28"/>
    </row>
    <row r="2350" spans="1:10" ht="15.75" customHeight="1">
      <c r="A2350" s="28">
        <v>18805</v>
      </c>
      <c r="B2350" s="91">
        <v>45069.80877314815</v>
      </c>
      <c r="C2350" s="28" t="s">
        <v>10</v>
      </c>
      <c r="D2350" s="28" t="s">
        <v>777</v>
      </c>
      <c r="E2350" s="28"/>
      <c r="F2350" s="28">
        <v>0</v>
      </c>
      <c r="G2350" s="28" t="s">
        <v>117</v>
      </c>
      <c r="H2350" s="28">
        <v>0</v>
      </c>
      <c r="J2350" s="28"/>
    </row>
    <row r="2351" spans="1:10" ht="15.75" customHeight="1">
      <c r="A2351" s="28">
        <v>18805</v>
      </c>
      <c r="B2351" s="91">
        <v>45069.80877314815</v>
      </c>
      <c r="C2351" s="28" t="s">
        <v>10</v>
      </c>
      <c r="D2351" s="28" t="s">
        <v>777</v>
      </c>
      <c r="E2351" s="28"/>
      <c r="F2351" s="28">
        <v>40</v>
      </c>
      <c r="G2351" s="28" t="s">
        <v>286</v>
      </c>
      <c r="H2351" s="28">
        <v>0</v>
      </c>
      <c r="J2351" s="28"/>
    </row>
    <row r="2352" spans="1:10" ht="15.75" customHeight="1">
      <c r="A2352" s="28">
        <v>18805</v>
      </c>
      <c r="B2352" s="91">
        <v>45069.80877314815</v>
      </c>
      <c r="C2352" s="28" t="s">
        <v>10</v>
      </c>
      <c r="D2352" s="28" t="s">
        <v>777</v>
      </c>
      <c r="E2352" s="28"/>
      <c r="F2352" s="28">
        <v>20</v>
      </c>
      <c r="G2352" s="28" t="s">
        <v>205</v>
      </c>
      <c r="H2352" s="28">
        <v>0</v>
      </c>
      <c r="J2352" s="28"/>
    </row>
    <row r="2353" spans="1:10" ht="15.75" customHeight="1">
      <c r="A2353" s="28">
        <v>18805</v>
      </c>
      <c r="B2353" s="91">
        <v>45069.80877314815</v>
      </c>
      <c r="C2353" s="28" t="s">
        <v>10</v>
      </c>
      <c r="D2353" s="28" t="s">
        <v>777</v>
      </c>
      <c r="E2353" s="28"/>
      <c r="F2353" s="28">
        <v>0</v>
      </c>
      <c r="G2353" s="28" t="s">
        <v>125</v>
      </c>
      <c r="H2353" s="28">
        <v>0</v>
      </c>
      <c r="J2353" s="28"/>
    </row>
    <row r="2354" spans="1:10" ht="15.75" customHeight="1">
      <c r="A2354" s="28">
        <v>18806</v>
      </c>
      <c r="B2354" s="91">
        <v>45069.87672453704</v>
      </c>
      <c r="C2354" s="28" t="s">
        <v>10</v>
      </c>
      <c r="D2354" s="28" t="s">
        <v>776</v>
      </c>
      <c r="E2354" s="28"/>
      <c r="F2354" s="28">
        <v>22.1</v>
      </c>
      <c r="G2354" s="28" t="s">
        <v>122</v>
      </c>
      <c r="H2354" s="28">
        <v>0</v>
      </c>
      <c r="J2354" s="28"/>
    </row>
    <row r="2355" spans="1:10" ht="15.75" customHeight="1">
      <c r="A2355" s="28">
        <v>18806</v>
      </c>
      <c r="B2355" s="91">
        <v>45069.87672453704</v>
      </c>
      <c r="C2355" s="28" t="s">
        <v>10</v>
      </c>
      <c r="D2355" s="28" t="s">
        <v>776</v>
      </c>
      <c r="E2355" s="28"/>
      <c r="F2355" s="28">
        <v>22.1</v>
      </c>
      <c r="G2355" s="28" t="s">
        <v>122</v>
      </c>
      <c r="H2355" s="28">
        <v>0</v>
      </c>
      <c r="J2355" s="28"/>
    </row>
    <row r="2356" spans="1:10" ht="15.75" customHeight="1">
      <c r="A2356" s="28">
        <v>18806</v>
      </c>
      <c r="B2356" s="91">
        <v>45069.87672453704</v>
      </c>
      <c r="C2356" s="28" t="s">
        <v>10</v>
      </c>
      <c r="D2356" s="28" t="s">
        <v>776</v>
      </c>
      <c r="E2356" s="28"/>
      <c r="F2356" s="28">
        <v>17</v>
      </c>
      <c r="G2356" s="28" t="s">
        <v>205</v>
      </c>
      <c r="H2356" s="28">
        <v>0</v>
      </c>
      <c r="J2356" s="28"/>
    </row>
    <row r="2357" spans="1:10" ht="15.75" customHeight="1">
      <c r="A2357" s="28">
        <v>18806</v>
      </c>
      <c r="B2357" s="91">
        <v>45069.87672453704</v>
      </c>
      <c r="C2357" s="28" t="s">
        <v>10</v>
      </c>
      <c r="D2357" s="28" t="s">
        <v>776</v>
      </c>
      <c r="E2357" s="28"/>
      <c r="F2357" s="28">
        <v>0</v>
      </c>
      <c r="G2357" s="28" t="s">
        <v>125</v>
      </c>
      <c r="H2357" s="28">
        <v>0</v>
      </c>
      <c r="J2357" s="28"/>
    </row>
    <row r="2358" spans="1:10" ht="15.75" customHeight="1">
      <c r="A2358" s="28">
        <v>18806</v>
      </c>
      <c r="B2358" s="91">
        <v>45069.87672453704</v>
      </c>
      <c r="C2358" s="28" t="s">
        <v>10</v>
      </c>
      <c r="D2358" s="28" t="s">
        <v>776</v>
      </c>
      <c r="E2358" s="28"/>
      <c r="F2358" s="28">
        <v>15.3</v>
      </c>
      <c r="G2358" s="28" t="s">
        <v>457</v>
      </c>
      <c r="H2358" s="28">
        <v>0</v>
      </c>
      <c r="J2358" s="28"/>
    </row>
    <row r="2359" spans="1:10" ht="15.75" customHeight="1">
      <c r="A2359" s="28">
        <v>18806</v>
      </c>
      <c r="B2359" s="91">
        <v>45069.87672453704</v>
      </c>
      <c r="C2359" s="28" t="s">
        <v>10</v>
      </c>
      <c r="D2359" s="28" t="s">
        <v>776</v>
      </c>
      <c r="E2359" s="28"/>
      <c r="F2359" s="28">
        <v>0</v>
      </c>
      <c r="G2359" s="28" t="s">
        <v>117</v>
      </c>
      <c r="H2359" s="28">
        <v>0</v>
      </c>
      <c r="J2359" s="28"/>
    </row>
    <row r="2360" spans="1:10" ht="15.75" customHeight="1">
      <c r="A2360" s="28">
        <v>18807</v>
      </c>
      <c r="B2360" s="91">
        <v>45069.896041666667</v>
      </c>
      <c r="C2360" s="28" t="s">
        <v>10</v>
      </c>
      <c r="D2360" s="28" t="s">
        <v>775</v>
      </c>
      <c r="E2360" s="28"/>
      <c r="F2360" s="28">
        <v>22</v>
      </c>
      <c r="G2360" s="28" t="s">
        <v>137</v>
      </c>
      <c r="H2360" s="28">
        <v>0</v>
      </c>
      <c r="J2360" s="28"/>
    </row>
    <row r="2361" spans="1:10" ht="15.75" customHeight="1">
      <c r="A2361" s="28">
        <v>18808</v>
      </c>
      <c r="B2361" s="91">
        <v>45070.026469907403</v>
      </c>
      <c r="C2361" s="28" t="s">
        <v>10</v>
      </c>
      <c r="D2361" s="28" t="s">
        <v>773</v>
      </c>
      <c r="E2361" s="28"/>
      <c r="F2361" s="28">
        <v>35</v>
      </c>
      <c r="G2361" s="28" t="s">
        <v>124</v>
      </c>
      <c r="H2361" s="28">
        <v>0</v>
      </c>
      <c r="J2361" s="28"/>
    </row>
    <row r="2362" spans="1:10" ht="15.75" customHeight="1">
      <c r="A2362" s="28">
        <v>18808</v>
      </c>
      <c r="B2362" s="91">
        <v>45070.026469907403</v>
      </c>
      <c r="C2362" s="28" t="s">
        <v>10</v>
      </c>
      <c r="D2362" s="28" t="s">
        <v>773</v>
      </c>
      <c r="E2362" s="28"/>
      <c r="F2362" s="28">
        <v>0</v>
      </c>
      <c r="G2362" s="28" t="s">
        <v>125</v>
      </c>
      <c r="H2362" s="28">
        <v>0</v>
      </c>
      <c r="J2362" s="28"/>
    </row>
    <row r="2363" spans="1:10" ht="15.75" customHeight="1">
      <c r="A2363" s="28">
        <v>18808</v>
      </c>
      <c r="B2363" s="91">
        <v>45070.026469907403</v>
      </c>
      <c r="C2363" s="28" t="s">
        <v>10</v>
      </c>
      <c r="D2363" s="28" t="s">
        <v>773</v>
      </c>
      <c r="E2363" s="28"/>
      <c r="F2363" s="28">
        <v>0</v>
      </c>
      <c r="G2363" s="28" t="s">
        <v>119</v>
      </c>
      <c r="H2363" s="28">
        <v>0</v>
      </c>
      <c r="J2363" s="28"/>
    </row>
    <row r="2364" spans="1:10" ht="15.75" customHeight="1">
      <c r="A2364" s="28">
        <v>18808</v>
      </c>
      <c r="B2364" s="91">
        <v>45070.026469907403</v>
      </c>
      <c r="C2364" s="28" t="s">
        <v>10</v>
      </c>
      <c r="D2364" s="28" t="s">
        <v>773</v>
      </c>
      <c r="E2364" s="28"/>
      <c r="F2364" s="28">
        <v>0</v>
      </c>
      <c r="G2364" s="28" t="s">
        <v>121</v>
      </c>
      <c r="H2364" s="28">
        <v>0</v>
      </c>
      <c r="J2364" s="28"/>
    </row>
    <row r="2365" spans="1:10" ht="15.75" customHeight="1">
      <c r="A2365" s="28">
        <v>18808</v>
      </c>
      <c r="B2365" s="91">
        <v>45070.026469907403</v>
      </c>
      <c r="C2365" s="28" t="s">
        <v>10</v>
      </c>
      <c r="D2365" s="28" t="s">
        <v>773</v>
      </c>
      <c r="E2365" s="28"/>
      <c r="F2365" s="28">
        <v>7.5</v>
      </c>
      <c r="G2365" s="28" t="s">
        <v>774</v>
      </c>
      <c r="H2365" s="28">
        <v>0</v>
      </c>
      <c r="J2365" s="28"/>
    </row>
    <row r="2366" spans="1:10" ht="15.75" customHeight="1">
      <c r="A2366" s="28">
        <v>18809</v>
      </c>
      <c r="B2366" s="91">
        <v>45070.070289351846</v>
      </c>
      <c r="C2366" s="28" t="s">
        <v>10</v>
      </c>
      <c r="D2366" s="28" t="s">
        <v>772</v>
      </c>
      <c r="E2366" s="28"/>
      <c r="F2366" s="28">
        <v>25</v>
      </c>
      <c r="G2366" s="28">
        <v>100692</v>
      </c>
      <c r="H2366" s="28">
        <v>0</v>
      </c>
      <c r="J2366" s="28"/>
    </row>
    <row r="2367" spans="1:10" ht="15.75" customHeight="1">
      <c r="A2367" s="28">
        <v>18809</v>
      </c>
      <c r="B2367" s="91">
        <v>45070.070289351846</v>
      </c>
      <c r="C2367" s="28" t="s">
        <v>10</v>
      </c>
      <c r="D2367" s="28" t="s">
        <v>772</v>
      </c>
      <c r="E2367" s="28"/>
      <c r="F2367" s="28">
        <v>0</v>
      </c>
      <c r="G2367" s="28" t="s">
        <v>125</v>
      </c>
      <c r="H2367" s="28">
        <v>0</v>
      </c>
      <c r="J2367" s="28"/>
    </row>
    <row r="2368" spans="1:10" ht="15.75" customHeight="1">
      <c r="A2368" s="28">
        <v>18809</v>
      </c>
      <c r="B2368" s="91">
        <v>45070.070289351846</v>
      </c>
      <c r="C2368" s="28" t="s">
        <v>10</v>
      </c>
      <c r="D2368" s="28" t="s">
        <v>772</v>
      </c>
      <c r="E2368" s="28"/>
      <c r="F2368" s="28">
        <v>0</v>
      </c>
      <c r="G2368" s="28" t="s">
        <v>119</v>
      </c>
      <c r="H2368" s="28">
        <v>0</v>
      </c>
      <c r="J2368" s="28"/>
    </row>
    <row r="2369" spans="1:10" ht="15.75" customHeight="1">
      <c r="A2369" s="28">
        <v>18809</v>
      </c>
      <c r="B2369" s="91">
        <v>45070.070289351846</v>
      </c>
      <c r="C2369" s="28" t="s">
        <v>10</v>
      </c>
      <c r="D2369" s="28" t="s">
        <v>772</v>
      </c>
      <c r="E2369" s="28"/>
      <c r="F2369" s="28">
        <v>20</v>
      </c>
      <c r="G2369" s="28" t="s">
        <v>205</v>
      </c>
      <c r="H2369" s="28">
        <v>0</v>
      </c>
      <c r="J2369" s="28"/>
    </row>
    <row r="2370" spans="1:10" ht="15.75" customHeight="1">
      <c r="A2370" s="28">
        <v>18809</v>
      </c>
      <c r="B2370" s="91">
        <v>45070.070289351846</v>
      </c>
      <c r="C2370" s="28" t="s">
        <v>10</v>
      </c>
      <c r="D2370" s="28" t="s">
        <v>772</v>
      </c>
      <c r="E2370" s="28"/>
      <c r="F2370" s="28">
        <v>0</v>
      </c>
      <c r="G2370" s="28" t="s">
        <v>125</v>
      </c>
      <c r="H2370" s="28">
        <v>0</v>
      </c>
      <c r="J2370" s="28"/>
    </row>
    <row r="2371" spans="1:10" ht="15.75" customHeight="1">
      <c r="A2371" s="28">
        <v>18810</v>
      </c>
      <c r="B2371" s="91">
        <v>45070.071631944447</v>
      </c>
      <c r="C2371" s="28" t="s">
        <v>10</v>
      </c>
      <c r="D2371" s="28" t="s">
        <v>771</v>
      </c>
      <c r="E2371" s="28"/>
      <c r="F2371" s="28">
        <v>25</v>
      </c>
      <c r="G2371" s="28">
        <v>100692</v>
      </c>
      <c r="H2371" s="28">
        <v>0</v>
      </c>
      <c r="J2371" s="28"/>
    </row>
    <row r="2372" spans="1:10" ht="15.75" customHeight="1">
      <c r="A2372" s="28">
        <v>18810</v>
      </c>
      <c r="B2372" s="91">
        <v>45070.071631944447</v>
      </c>
      <c r="C2372" s="28" t="s">
        <v>10</v>
      </c>
      <c r="D2372" s="28" t="s">
        <v>771</v>
      </c>
      <c r="E2372" s="28"/>
      <c r="F2372" s="28">
        <v>0</v>
      </c>
      <c r="G2372" s="28" t="s">
        <v>125</v>
      </c>
      <c r="H2372" s="28">
        <v>0</v>
      </c>
      <c r="J2372" s="28"/>
    </row>
    <row r="2373" spans="1:10" ht="15.75" customHeight="1">
      <c r="A2373" s="28">
        <v>18810</v>
      </c>
      <c r="B2373" s="91">
        <v>45070.071631944447</v>
      </c>
      <c r="C2373" s="28" t="s">
        <v>10</v>
      </c>
      <c r="D2373" s="28" t="s">
        <v>771</v>
      </c>
      <c r="E2373" s="28"/>
      <c r="F2373" s="28">
        <v>0</v>
      </c>
      <c r="G2373" s="28" t="s">
        <v>119</v>
      </c>
      <c r="H2373" s="28">
        <v>0</v>
      </c>
      <c r="J2373" s="28"/>
    </row>
    <row r="2374" spans="1:10" ht="15.75" customHeight="1">
      <c r="A2374" s="28">
        <v>18811</v>
      </c>
      <c r="B2374" s="91">
        <v>45070.938333333332</v>
      </c>
      <c r="C2374" s="28" t="s">
        <v>10</v>
      </c>
      <c r="D2374" s="28" t="s">
        <v>663</v>
      </c>
      <c r="E2374" s="28"/>
      <c r="F2374" s="28">
        <v>20</v>
      </c>
      <c r="G2374" s="28" t="s">
        <v>286</v>
      </c>
      <c r="H2374" s="28">
        <v>0</v>
      </c>
      <c r="J2374" s="28"/>
    </row>
    <row r="2375" spans="1:10" ht="15.75" customHeight="1">
      <c r="A2375" s="28">
        <v>18812</v>
      </c>
      <c r="B2375" s="91">
        <v>45070.998796296291</v>
      </c>
      <c r="C2375" s="28" t="s">
        <v>10</v>
      </c>
      <c r="D2375" s="28" t="s">
        <v>770</v>
      </c>
      <c r="E2375" s="28"/>
      <c r="F2375" s="28">
        <v>25</v>
      </c>
      <c r="G2375" s="28">
        <v>100692</v>
      </c>
      <c r="H2375" s="28">
        <v>0</v>
      </c>
      <c r="J2375" s="28"/>
    </row>
    <row r="2376" spans="1:10" ht="15.75" customHeight="1">
      <c r="A2376" s="28">
        <v>18812</v>
      </c>
      <c r="B2376" s="91">
        <v>45070.998796296291</v>
      </c>
      <c r="C2376" s="28" t="s">
        <v>10</v>
      </c>
      <c r="D2376" s="28" t="s">
        <v>770</v>
      </c>
      <c r="E2376" s="28"/>
      <c r="F2376" s="28">
        <v>0</v>
      </c>
      <c r="G2376" s="28" t="s">
        <v>125</v>
      </c>
      <c r="H2376" s="28">
        <v>0</v>
      </c>
      <c r="J2376" s="28"/>
    </row>
    <row r="2377" spans="1:10" ht="15.75" customHeight="1">
      <c r="A2377" s="28">
        <v>18812</v>
      </c>
      <c r="B2377" s="91">
        <v>45070.998796296291</v>
      </c>
      <c r="C2377" s="28" t="s">
        <v>10</v>
      </c>
      <c r="D2377" s="28" t="s">
        <v>770</v>
      </c>
      <c r="E2377" s="28"/>
      <c r="F2377" s="28">
        <v>0</v>
      </c>
      <c r="G2377" s="28" t="s">
        <v>119</v>
      </c>
      <c r="H2377" s="28">
        <v>0</v>
      </c>
      <c r="J2377" s="28"/>
    </row>
    <row r="2378" spans="1:10" ht="15.75" customHeight="1">
      <c r="A2378" s="28">
        <v>18813</v>
      </c>
      <c r="B2378" s="91">
        <v>45071.011481481481</v>
      </c>
      <c r="C2378" s="28" t="s">
        <v>10</v>
      </c>
      <c r="D2378" s="28" t="s">
        <v>769</v>
      </c>
      <c r="E2378" s="28"/>
      <c r="F2378" s="28">
        <v>18</v>
      </c>
      <c r="G2378" s="28" t="s">
        <v>119</v>
      </c>
      <c r="H2378" s="28">
        <v>0</v>
      </c>
      <c r="J2378" s="28"/>
    </row>
    <row r="2379" spans="1:10" ht="15.75" customHeight="1">
      <c r="A2379" s="28">
        <v>18813</v>
      </c>
      <c r="B2379" s="91">
        <v>45071.011481481481</v>
      </c>
      <c r="C2379" s="28" t="s">
        <v>10</v>
      </c>
      <c r="D2379" s="28" t="s">
        <v>769</v>
      </c>
      <c r="E2379" s="28"/>
      <c r="F2379" s="28">
        <v>22</v>
      </c>
      <c r="G2379" s="28" t="s">
        <v>137</v>
      </c>
      <c r="H2379" s="28">
        <v>0</v>
      </c>
      <c r="J2379" s="28"/>
    </row>
    <row r="2380" spans="1:10" ht="15.75" customHeight="1">
      <c r="A2380" s="28">
        <v>18814</v>
      </c>
      <c r="B2380" s="91">
        <v>45071.039039351846</v>
      </c>
      <c r="C2380" s="28" t="s">
        <v>8</v>
      </c>
      <c r="D2380" s="28" t="s">
        <v>768</v>
      </c>
      <c r="E2380" s="28"/>
      <c r="F2380" s="28">
        <v>22</v>
      </c>
      <c r="G2380" s="28" t="s">
        <v>137</v>
      </c>
      <c r="H2380" s="28">
        <v>0</v>
      </c>
      <c r="J2380" s="28"/>
    </row>
    <row r="2381" spans="1:10" ht="15.75" customHeight="1">
      <c r="A2381" s="28">
        <v>18815</v>
      </c>
      <c r="B2381" s="91">
        <v>45071.040104166663</v>
      </c>
      <c r="C2381" s="28" t="s">
        <v>10</v>
      </c>
      <c r="D2381" s="28" t="s">
        <v>767</v>
      </c>
      <c r="E2381" s="28"/>
      <c r="F2381" s="28">
        <v>22</v>
      </c>
      <c r="G2381" s="28" t="s">
        <v>137</v>
      </c>
      <c r="H2381" s="28">
        <v>0</v>
      </c>
      <c r="J2381" s="28"/>
    </row>
    <row r="2382" spans="1:10" ht="15.75" customHeight="1">
      <c r="A2382" s="28">
        <v>18816</v>
      </c>
      <c r="B2382" s="91">
        <v>45071.042905092589</v>
      </c>
      <c r="C2382" s="28" t="s">
        <v>10</v>
      </c>
      <c r="D2382" s="28" t="s">
        <v>766</v>
      </c>
      <c r="E2382" s="28"/>
      <c r="F2382" s="28">
        <v>20</v>
      </c>
      <c r="G2382" s="28" t="s">
        <v>205</v>
      </c>
      <c r="H2382" s="28">
        <v>0</v>
      </c>
      <c r="J2382" s="28"/>
    </row>
    <row r="2383" spans="1:10" ht="15.75" customHeight="1">
      <c r="A2383" s="28">
        <v>18816</v>
      </c>
      <c r="B2383" s="91">
        <v>45071.042905092589</v>
      </c>
      <c r="C2383" s="28" t="s">
        <v>10</v>
      </c>
      <c r="D2383" s="28" t="s">
        <v>766</v>
      </c>
      <c r="E2383" s="28"/>
      <c r="F2383" s="28">
        <v>0</v>
      </c>
      <c r="G2383" s="28" t="s">
        <v>125</v>
      </c>
      <c r="H2383" s="28">
        <v>0</v>
      </c>
      <c r="J2383" s="28"/>
    </row>
    <row r="2384" spans="1:10" ht="15.75" customHeight="1">
      <c r="A2384" s="28">
        <v>18817</v>
      </c>
      <c r="B2384" s="91">
        <v>45071.084687499999</v>
      </c>
      <c r="C2384" s="28" t="s">
        <v>10</v>
      </c>
      <c r="D2384" s="28" t="s">
        <v>765</v>
      </c>
      <c r="E2384" s="28"/>
      <c r="F2384" s="28">
        <v>18</v>
      </c>
      <c r="G2384" s="28" t="s">
        <v>119</v>
      </c>
      <c r="H2384" s="28">
        <v>0</v>
      </c>
      <c r="J2384" s="28"/>
    </row>
    <row r="2385" spans="1:10" ht="15.75" customHeight="1">
      <c r="A2385" s="28">
        <v>18818</v>
      </c>
      <c r="B2385" s="91">
        <v>45071.088020833333</v>
      </c>
      <c r="C2385" s="28" t="s">
        <v>10</v>
      </c>
      <c r="D2385" s="28" t="s">
        <v>764</v>
      </c>
      <c r="E2385" s="28"/>
      <c r="F2385" s="28">
        <v>18</v>
      </c>
      <c r="G2385" s="28" t="s">
        <v>119</v>
      </c>
      <c r="H2385" s="28">
        <v>0</v>
      </c>
      <c r="J2385" s="28"/>
    </row>
    <row r="2386" spans="1:10" ht="15.75" customHeight="1">
      <c r="A2386" s="28">
        <v>18819</v>
      </c>
      <c r="B2386" s="91">
        <v>45071.088969907403</v>
      </c>
      <c r="C2386" s="28" t="s">
        <v>8</v>
      </c>
      <c r="D2386" s="28" t="s">
        <v>763</v>
      </c>
      <c r="E2386" s="28"/>
      <c r="F2386" s="28">
        <v>20</v>
      </c>
      <c r="G2386" s="28"/>
      <c r="H2386" s="28">
        <v>0</v>
      </c>
      <c r="J2386" s="28"/>
    </row>
    <row r="2387" spans="1:10" ht="15.75" customHeight="1">
      <c r="A2387" s="28">
        <v>18819</v>
      </c>
      <c r="B2387" s="91">
        <v>45071.088969907403</v>
      </c>
      <c r="C2387" s="28" t="s">
        <v>8</v>
      </c>
      <c r="D2387" s="28" t="s">
        <v>763</v>
      </c>
      <c r="E2387" s="28"/>
      <c r="F2387" s="28">
        <v>15</v>
      </c>
      <c r="G2387" s="28" t="s">
        <v>139</v>
      </c>
      <c r="H2387" s="28">
        <v>0</v>
      </c>
      <c r="J2387" s="28"/>
    </row>
    <row r="2388" spans="1:10" ht="15.75" customHeight="1">
      <c r="A2388" s="28">
        <v>18820</v>
      </c>
      <c r="B2388" s="91">
        <v>45071.114363425921</v>
      </c>
      <c r="C2388" s="28" t="s">
        <v>10</v>
      </c>
      <c r="D2388" s="28" t="s">
        <v>762</v>
      </c>
      <c r="E2388" s="28"/>
      <c r="F2388" s="28">
        <v>0</v>
      </c>
      <c r="G2388" s="28" t="s">
        <v>117</v>
      </c>
      <c r="H2388" s="28">
        <v>0</v>
      </c>
      <c r="J2388" s="28"/>
    </row>
    <row r="2389" spans="1:10" ht="15.75" customHeight="1">
      <c r="A2389" s="28">
        <v>18820</v>
      </c>
      <c r="B2389" s="91">
        <v>45071.114363425921</v>
      </c>
      <c r="C2389" s="28" t="s">
        <v>10</v>
      </c>
      <c r="D2389" s="28" t="s">
        <v>762</v>
      </c>
      <c r="E2389" s="28"/>
      <c r="F2389" s="28">
        <v>30</v>
      </c>
      <c r="G2389" s="28" t="s">
        <v>128</v>
      </c>
      <c r="H2389" s="28">
        <v>0</v>
      </c>
      <c r="J2389" s="28"/>
    </row>
    <row r="2390" spans="1:10" ht="15.75" customHeight="1">
      <c r="A2390" s="28">
        <v>18820</v>
      </c>
      <c r="B2390" s="91">
        <v>45071.114363425921</v>
      </c>
      <c r="C2390" s="28" t="s">
        <v>10</v>
      </c>
      <c r="D2390" s="28" t="s">
        <v>762</v>
      </c>
      <c r="E2390" s="28"/>
      <c r="F2390" s="28">
        <v>0</v>
      </c>
      <c r="G2390" s="28" t="s">
        <v>125</v>
      </c>
      <c r="H2390" s="28">
        <v>0</v>
      </c>
      <c r="J2390" s="28"/>
    </row>
    <row r="2391" spans="1:10" ht="15.75" customHeight="1">
      <c r="A2391" s="28">
        <v>18820</v>
      </c>
      <c r="B2391" s="91">
        <v>45071.114363425921</v>
      </c>
      <c r="C2391" s="28" t="s">
        <v>10</v>
      </c>
      <c r="D2391" s="28" t="s">
        <v>762</v>
      </c>
      <c r="E2391" s="28"/>
      <c r="F2391" s="28">
        <v>0</v>
      </c>
      <c r="G2391" s="28" t="s">
        <v>119</v>
      </c>
      <c r="H2391" s="28">
        <v>0</v>
      </c>
      <c r="J2391" s="28"/>
    </row>
    <row r="2392" spans="1:10" ht="15.75" customHeight="1">
      <c r="A2392" s="28">
        <v>18821</v>
      </c>
      <c r="B2392" s="91">
        <v>45071.123310185183</v>
      </c>
      <c r="C2392" s="28" t="s">
        <v>10</v>
      </c>
      <c r="D2392" s="28" t="s">
        <v>761</v>
      </c>
      <c r="E2392" s="28"/>
      <c r="F2392" s="28">
        <v>28</v>
      </c>
      <c r="G2392" s="28" t="s">
        <v>143</v>
      </c>
      <c r="H2392" s="28">
        <v>0</v>
      </c>
      <c r="J2392" s="28"/>
    </row>
    <row r="2393" spans="1:10" ht="15.75" customHeight="1">
      <c r="A2393" s="28">
        <v>18821</v>
      </c>
      <c r="B2393" s="91">
        <v>45071.123310185183</v>
      </c>
      <c r="C2393" s="28" t="s">
        <v>10</v>
      </c>
      <c r="D2393" s="28" t="s">
        <v>761</v>
      </c>
      <c r="E2393" s="28"/>
      <c r="F2393" s="28">
        <v>18</v>
      </c>
      <c r="G2393" s="28" t="s">
        <v>119</v>
      </c>
      <c r="H2393" s="28">
        <v>0</v>
      </c>
      <c r="J2393" s="28"/>
    </row>
    <row r="2394" spans="1:10" ht="15.75" customHeight="1">
      <c r="A2394" s="28">
        <v>18822</v>
      </c>
      <c r="B2394" s="91">
        <v>45071.576689814814</v>
      </c>
      <c r="C2394" s="28" t="s">
        <v>10</v>
      </c>
      <c r="D2394" s="28" t="s">
        <v>475</v>
      </c>
      <c r="E2394" s="28"/>
      <c r="F2394" s="28">
        <v>25</v>
      </c>
      <c r="G2394" s="28">
        <v>100692</v>
      </c>
      <c r="H2394" s="28">
        <v>0</v>
      </c>
      <c r="J2394" s="28"/>
    </row>
    <row r="2395" spans="1:10" ht="15.75" customHeight="1">
      <c r="A2395" s="28">
        <v>18822</v>
      </c>
      <c r="B2395" s="91">
        <v>45071.576689814814</v>
      </c>
      <c r="C2395" s="28" t="s">
        <v>10</v>
      </c>
      <c r="D2395" s="28" t="s">
        <v>475</v>
      </c>
      <c r="E2395" s="28"/>
      <c r="F2395" s="28">
        <v>0</v>
      </c>
      <c r="G2395" s="28" t="s">
        <v>125</v>
      </c>
      <c r="H2395" s="28">
        <v>0</v>
      </c>
      <c r="J2395" s="28"/>
    </row>
    <row r="2396" spans="1:10" ht="15.75" customHeight="1">
      <c r="A2396" s="28">
        <v>18822</v>
      </c>
      <c r="B2396" s="91">
        <v>45071.576689814814</v>
      </c>
      <c r="C2396" s="28" t="s">
        <v>10</v>
      </c>
      <c r="D2396" s="28" t="s">
        <v>475</v>
      </c>
      <c r="E2396" s="28"/>
      <c r="F2396" s="28">
        <v>0</v>
      </c>
      <c r="G2396" s="28" t="s">
        <v>119</v>
      </c>
      <c r="H2396" s="28">
        <v>0</v>
      </c>
      <c r="J2396" s="28"/>
    </row>
    <row r="2397" spans="1:10" ht="15.75" customHeight="1">
      <c r="A2397" s="28">
        <v>18823</v>
      </c>
      <c r="B2397" s="91">
        <v>45071.58</v>
      </c>
      <c r="C2397" s="28" t="s">
        <v>10</v>
      </c>
      <c r="D2397" s="28" t="s">
        <v>760</v>
      </c>
      <c r="E2397" s="28"/>
      <c r="F2397" s="28">
        <v>25</v>
      </c>
      <c r="G2397" s="28">
        <v>100692</v>
      </c>
      <c r="H2397" s="28">
        <v>0</v>
      </c>
      <c r="J2397" s="28"/>
    </row>
    <row r="2398" spans="1:10" ht="15.75" customHeight="1">
      <c r="A2398" s="28">
        <v>18823</v>
      </c>
      <c r="B2398" s="91">
        <v>45071.58</v>
      </c>
      <c r="C2398" s="28" t="s">
        <v>10</v>
      </c>
      <c r="D2398" s="28" t="s">
        <v>760</v>
      </c>
      <c r="E2398" s="28"/>
      <c r="F2398" s="28">
        <v>0</v>
      </c>
      <c r="G2398" s="28" t="s">
        <v>125</v>
      </c>
      <c r="H2398" s="28">
        <v>0</v>
      </c>
      <c r="J2398" s="28"/>
    </row>
    <row r="2399" spans="1:10" ht="15.75" customHeight="1">
      <c r="A2399" s="28">
        <v>18823</v>
      </c>
      <c r="B2399" s="91">
        <v>45071.58</v>
      </c>
      <c r="C2399" s="28" t="s">
        <v>10</v>
      </c>
      <c r="D2399" s="28" t="s">
        <v>760</v>
      </c>
      <c r="E2399" s="28"/>
      <c r="F2399" s="28">
        <v>0</v>
      </c>
      <c r="G2399" s="28" t="s">
        <v>119</v>
      </c>
      <c r="H2399" s="28">
        <v>0</v>
      </c>
      <c r="J2399" s="28"/>
    </row>
    <row r="2400" spans="1:10" ht="15.75" customHeight="1">
      <c r="A2400" s="28">
        <v>18824</v>
      </c>
      <c r="B2400" s="91">
        <v>45071.629699074074</v>
      </c>
      <c r="C2400" s="28" t="s">
        <v>10</v>
      </c>
      <c r="D2400" s="28" t="s">
        <v>759</v>
      </c>
      <c r="E2400" s="28"/>
      <c r="F2400" s="28">
        <v>28</v>
      </c>
      <c r="G2400" s="28" t="s">
        <v>143</v>
      </c>
      <c r="H2400" s="28">
        <v>0</v>
      </c>
      <c r="J2400" s="28"/>
    </row>
    <row r="2401" spans="1:10" ht="15.75" customHeight="1">
      <c r="A2401" s="28">
        <v>18825</v>
      </c>
      <c r="B2401" s="91">
        <v>45071.683159722219</v>
      </c>
      <c r="C2401" s="28" t="s">
        <v>10</v>
      </c>
      <c r="D2401" s="28" t="s">
        <v>758</v>
      </c>
      <c r="E2401" s="28"/>
      <c r="F2401" s="28">
        <v>25</v>
      </c>
      <c r="G2401" s="28">
        <v>100692</v>
      </c>
      <c r="H2401" s="28">
        <v>0</v>
      </c>
      <c r="J2401" s="28"/>
    </row>
    <row r="2402" spans="1:10" ht="15.75" customHeight="1">
      <c r="A2402" s="28">
        <v>18825</v>
      </c>
      <c r="B2402" s="91">
        <v>45071.683159722219</v>
      </c>
      <c r="C2402" s="28" t="s">
        <v>10</v>
      </c>
      <c r="D2402" s="28" t="s">
        <v>758</v>
      </c>
      <c r="E2402" s="28"/>
      <c r="F2402" s="28">
        <v>0</v>
      </c>
      <c r="G2402" s="28" t="s">
        <v>125</v>
      </c>
      <c r="H2402" s="28">
        <v>0</v>
      </c>
      <c r="J2402" s="28"/>
    </row>
    <row r="2403" spans="1:10" ht="15.75" customHeight="1">
      <c r="A2403" s="28">
        <v>18825</v>
      </c>
      <c r="B2403" s="91">
        <v>45071.683159722219</v>
      </c>
      <c r="C2403" s="28" t="s">
        <v>10</v>
      </c>
      <c r="D2403" s="28" t="s">
        <v>758</v>
      </c>
      <c r="E2403" s="28"/>
      <c r="F2403" s="28">
        <v>0</v>
      </c>
      <c r="G2403" s="28" t="s">
        <v>119</v>
      </c>
      <c r="H2403" s="28">
        <v>0</v>
      </c>
      <c r="J2403" s="28"/>
    </row>
    <row r="2404" spans="1:10" ht="15.75" customHeight="1">
      <c r="A2404" s="28">
        <v>18826</v>
      </c>
      <c r="B2404" s="91">
        <v>45071.732083333336</v>
      </c>
      <c r="C2404" s="28" t="s">
        <v>10</v>
      </c>
      <c r="D2404" s="28" t="s">
        <v>579</v>
      </c>
      <c r="E2404" s="28"/>
      <c r="F2404" s="28">
        <v>20</v>
      </c>
      <c r="G2404" s="28"/>
      <c r="H2404" s="28">
        <v>0</v>
      </c>
      <c r="J2404" s="28"/>
    </row>
    <row r="2405" spans="1:10" ht="15.75" customHeight="1">
      <c r="A2405" s="28">
        <v>18827</v>
      </c>
      <c r="B2405" s="91">
        <v>45071.763055555552</v>
      </c>
      <c r="C2405" s="28" t="s">
        <v>10</v>
      </c>
      <c r="D2405" s="28" t="s">
        <v>757</v>
      </c>
      <c r="E2405" s="28"/>
      <c r="F2405" s="28">
        <v>25</v>
      </c>
      <c r="G2405" s="28">
        <v>100692</v>
      </c>
      <c r="H2405" s="28">
        <v>0</v>
      </c>
      <c r="J2405" s="28"/>
    </row>
    <row r="2406" spans="1:10" ht="15.75" customHeight="1">
      <c r="A2406" s="28">
        <v>18827</v>
      </c>
      <c r="B2406" s="91">
        <v>45071.763055555552</v>
      </c>
      <c r="C2406" s="28" t="s">
        <v>10</v>
      </c>
      <c r="D2406" s="28" t="s">
        <v>757</v>
      </c>
      <c r="E2406" s="28"/>
      <c r="F2406" s="28">
        <v>0</v>
      </c>
      <c r="G2406" s="28" t="s">
        <v>125</v>
      </c>
      <c r="H2406" s="28">
        <v>0</v>
      </c>
      <c r="J2406" s="28"/>
    </row>
    <row r="2407" spans="1:10" ht="15.75" customHeight="1">
      <c r="A2407" s="28">
        <v>18827</v>
      </c>
      <c r="B2407" s="91">
        <v>45071.763055555552</v>
      </c>
      <c r="C2407" s="28" t="s">
        <v>10</v>
      </c>
      <c r="D2407" s="28" t="s">
        <v>757</v>
      </c>
      <c r="E2407" s="28"/>
      <c r="F2407" s="28">
        <v>0</v>
      </c>
      <c r="G2407" s="28" t="s">
        <v>119</v>
      </c>
      <c r="H2407" s="28">
        <v>0</v>
      </c>
      <c r="J2407" s="28"/>
    </row>
    <row r="2408" spans="1:10" ht="15.75" customHeight="1">
      <c r="A2408" s="28">
        <v>18828</v>
      </c>
      <c r="B2408" s="91">
        <v>45071.900370370371</v>
      </c>
      <c r="C2408" s="28" t="s">
        <v>10</v>
      </c>
      <c r="D2408" s="28" t="s">
        <v>756</v>
      </c>
      <c r="E2408" s="28"/>
      <c r="F2408" s="28">
        <v>25</v>
      </c>
      <c r="G2408" s="28">
        <v>100692</v>
      </c>
      <c r="H2408" s="28">
        <v>0</v>
      </c>
      <c r="J2408" s="28"/>
    </row>
    <row r="2409" spans="1:10" ht="15.75" customHeight="1">
      <c r="A2409" s="28">
        <v>18828</v>
      </c>
      <c r="B2409" s="91">
        <v>45071.900370370371</v>
      </c>
      <c r="C2409" s="28" t="s">
        <v>10</v>
      </c>
      <c r="D2409" s="28" t="s">
        <v>756</v>
      </c>
      <c r="E2409" s="28"/>
      <c r="F2409" s="28">
        <v>0</v>
      </c>
      <c r="G2409" s="28" t="s">
        <v>125</v>
      </c>
      <c r="H2409" s="28">
        <v>0</v>
      </c>
      <c r="J2409" s="28"/>
    </row>
    <row r="2410" spans="1:10" ht="15.75" customHeight="1">
      <c r="A2410" s="28">
        <v>18828</v>
      </c>
      <c r="B2410" s="91">
        <v>45071.900370370371</v>
      </c>
      <c r="C2410" s="28" t="s">
        <v>10</v>
      </c>
      <c r="D2410" s="28" t="s">
        <v>756</v>
      </c>
      <c r="E2410" s="28"/>
      <c r="F2410" s="28">
        <v>0</v>
      </c>
      <c r="G2410" s="28" t="s">
        <v>119</v>
      </c>
      <c r="H2410" s="28">
        <v>0</v>
      </c>
      <c r="J2410" s="28"/>
    </row>
    <row r="2411" spans="1:10" ht="15.75" customHeight="1">
      <c r="A2411" s="28">
        <v>18829</v>
      </c>
      <c r="B2411" s="91">
        <v>45072.046307870369</v>
      </c>
      <c r="C2411" s="28" t="s">
        <v>10</v>
      </c>
      <c r="D2411" s="28" t="s">
        <v>755</v>
      </c>
      <c r="E2411" s="28"/>
      <c r="F2411" s="28">
        <v>28</v>
      </c>
      <c r="G2411" s="28" t="s">
        <v>143</v>
      </c>
      <c r="H2411" s="28">
        <v>0</v>
      </c>
      <c r="J2411" s="28"/>
    </row>
    <row r="2412" spans="1:10" ht="15.75" customHeight="1">
      <c r="A2412" s="28">
        <v>18830</v>
      </c>
      <c r="B2412" s="91">
        <v>45072.681006944447</v>
      </c>
      <c r="C2412" s="28" t="s">
        <v>10</v>
      </c>
      <c r="D2412" s="28" t="s">
        <v>754</v>
      </c>
      <c r="E2412" s="28"/>
      <c r="F2412" s="28">
        <v>55</v>
      </c>
      <c r="G2412" s="28">
        <v>101684</v>
      </c>
      <c r="H2412" s="28">
        <v>0</v>
      </c>
      <c r="J2412" s="28"/>
    </row>
    <row r="2413" spans="1:10" ht="15.75" customHeight="1">
      <c r="A2413" s="28">
        <v>18830</v>
      </c>
      <c r="B2413" s="91">
        <v>45072.681006944447</v>
      </c>
      <c r="C2413" s="28" t="s">
        <v>10</v>
      </c>
      <c r="D2413" s="28" t="s">
        <v>754</v>
      </c>
      <c r="E2413" s="28"/>
      <c r="F2413" s="28">
        <v>0</v>
      </c>
      <c r="G2413" s="28" t="s">
        <v>118</v>
      </c>
      <c r="H2413" s="28">
        <v>0</v>
      </c>
      <c r="J2413" s="28"/>
    </row>
    <row r="2414" spans="1:10" ht="15.75" customHeight="1">
      <c r="A2414" s="28">
        <v>18830</v>
      </c>
      <c r="B2414" s="91">
        <v>45072.681006944447</v>
      </c>
      <c r="C2414" s="28" t="s">
        <v>10</v>
      </c>
      <c r="D2414" s="28" t="s">
        <v>754</v>
      </c>
      <c r="E2414" s="28"/>
      <c r="F2414" s="28">
        <v>0</v>
      </c>
      <c r="G2414" s="28" t="s">
        <v>119</v>
      </c>
      <c r="H2414" s="28">
        <v>0</v>
      </c>
      <c r="J2414" s="28"/>
    </row>
    <row r="2415" spans="1:10" ht="15.75" customHeight="1">
      <c r="A2415" s="28">
        <v>18830</v>
      </c>
      <c r="B2415" s="91">
        <v>45072.681006944447</v>
      </c>
      <c r="C2415" s="28" t="s">
        <v>10</v>
      </c>
      <c r="D2415" s="28" t="s">
        <v>754</v>
      </c>
      <c r="E2415" s="28"/>
      <c r="F2415" s="28">
        <v>0</v>
      </c>
      <c r="G2415" s="28" t="s">
        <v>120</v>
      </c>
      <c r="H2415" s="28">
        <v>0</v>
      </c>
      <c r="J2415" s="28"/>
    </row>
    <row r="2416" spans="1:10" ht="15.75" customHeight="1">
      <c r="A2416" s="28">
        <v>18830</v>
      </c>
      <c r="B2416" s="91">
        <v>45072.681006944447</v>
      </c>
      <c r="C2416" s="28" t="s">
        <v>10</v>
      </c>
      <c r="D2416" s="28" t="s">
        <v>754</v>
      </c>
      <c r="E2416" s="28"/>
      <c r="F2416" s="28">
        <v>0</v>
      </c>
      <c r="G2416" s="28" t="s">
        <v>121</v>
      </c>
      <c r="H2416" s="28">
        <v>0</v>
      </c>
      <c r="J2416" s="28"/>
    </row>
    <row r="2417" spans="1:10" ht="15.75" customHeight="1">
      <c r="A2417" s="28">
        <v>18830</v>
      </c>
      <c r="B2417" s="91">
        <v>45072.681006944447</v>
      </c>
      <c r="C2417" s="28" t="s">
        <v>10</v>
      </c>
      <c r="D2417" s="28" t="s">
        <v>754</v>
      </c>
      <c r="E2417" s="28"/>
      <c r="F2417" s="28">
        <v>28</v>
      </c>
      <c r="G2417" s="28" t="s">
        <v>143</v>
      </c>
      <c r="H2417" s="28">
        <v>0</v>
      </c>
      <c r="J2417" s="28"/>
    </row>
    <row r="2418" spans="1:10" ht="15.75" customHeight="1">
      <c r="A2418" s="28">
        <v>18832</v>
      </c>
      <c r="B2418" s="91">
        <v>45072.765208333338</v>
      </c>
      <c r="C2418" s="28" t="s">
        <v>10</v>
      </c>
      <c r="D2418" s="28" t="s">
        <v>753</v>
      </c>
      <c r="E2418" s="28"/>
      <c r="F2418" s="28">
        <v>56</v>
      </c>
      <c r="G2418" s="28" t="s">
        <v>143</v>
      </c>
      <c r="H2418" s="28">
        <v>0</v>
      </c>
      <c r="J2418" s="28"/>
    </row>
    <row r="2419" spans="1:10" ht="15.75" customHeight="1">
      <c r="A2419" s="28">
        <v>18833</v>
      </c>
      <c r="B2419" s="91">
        <v>45072.786203703705</v>
      </c>
      <c r="C2419" s="28" t="s">
        <v>10</v>
      </c>
      <c r="D2419" s="28" t="s">
        <v>752</v>
      </c>
      <c r="E2419" s="28"/>
      <c r="F2419" s="28">
        <v>25</v>
      </c>
      <c r="G2419" s="28">
        <v>100692</v>
      </c>
      <c r="H2419" s="28">
        <v>0</v>
      </c>
      <c r="J2419" s="28"/>
    </row>
    <row r="2420" spans="1:10" ht="15.75" customHeight="1">
      <c r="A2420" s="28">
        <v>18833</v>
      </c>
      <c r="B2420" s="91">
        <v>45072.786203703705</v>
      </c>
      <c r="C2420" s="28" t="s">
        <v>10</v>
      </c>
      <c r="D2420" s="28" t="s">
        <v>752</v>
      </c>
      <c r="E2420" s="28"/>
      <c r="F2420" s="28">
        <v>0</v>
      </c>
      <c r="G2420" s="28" t="s">
        <v>125</v>
      </c>
      <c r="H2420" s="28">
        <v>0</v>
      </c>
      <c r="J2420" s="28"/>
    </row>
    <row r="2421" spans="1:10" ht="15.75" customHeight="1">
      <c r="A2421" s="28">
        <v>18833</v>
      </c>
      <c r="B2421" s="91">
        <v>45072.786203703705</v>
      </c>
      <c r="C2421" s="28" t="s">
        <v>10</v>
      </c>
      <c r="D2421" s="28" t="s">
        <v>752</v>
      </c>
      <c r="E2421" s="28"/>
      <c r="F2421" s="28">
        <v>0</v>
      </c>
      <c r="G2421" s="28" t="s">
        <v>119</v>
      </c>
      <c r="H2421" s="28">
        <v>0</v>
      </c>
      <c r="J2421" s="28"/>
    </row>
    <row r="2422" spans="1:10" ht="15.75" customHeight="1">
      <c r="A2422" s="28">
        <v>18834</v>
      </c>
      <c r="B2422" s="91">
        <v>45072.83488425926</v>
      </c>
      <c r="C2422" s="28" t="s">
        <v>10</v>
      </c>
      <c r="D2422" s="28" t="s">
        <v>751</v>
      </c>
      <c r="E2422" s="28"/>
      <c r="F2422" s="28">
        <v>25</v>
      </c>
      <c r="G2422" s="28">
        <v>100692</v>
      </c>
      <c r="H2422" s="28">
        <v>0</v>
      </c>
      <c r="J2422" s="28"/>
    </row>
    <row r="2423" spans="1:10" ht="15.75" customHeight="1">
      <c r="A2423" s="28">
        <v>18834</v>
      </c>
      <c r="B2423" s="91">
        <v>45072.83488425926</v>
      </c>
      <c r="C2423" s="28" t="s">
        <v>10</v>
      </c>
      <c r="D2423" s="28" t="s">
        <v>751</v>
      </c>
      <c r="E2423" s="28"/>
      <c r="F2423" s="28">
        <v>0</v>
      </c>
      <c r="G2423" s="28" t="s">
        <v>125</v>
      </c>
      <c r="H2423" s="28">
        <v>0</v>
      </c>
      <c r="J2423" s="28"/>
    </row>
    <row r="2424" spans="1:10" ht="15.75" customHeight="1">
      <c r="A2424" s="28">
        <v>18834</v>
      </c>
      <c r="B2424" s="91">
        <v>45072.83488425926</v>
      </c>
      <c r="C2424" s="28" t="s">
        <v>10</v>
      </c>
      <c r="D2424" s="28" t="s">
        <v>751</v>
      </c>
      <c r="E2424" s="28"/>
      <c r="F2424" s="28">
        <v>0</v>
      </c>
      <c r="G2424" s="28" t="s">
        <v>119</v>
      </c>
      <c r="H2424" s="28">
        <v>0</v>
      </c>
      <c r="J2424" s="28"/>
    </row>
    <row r="2425" spans="1:10" ht="15.75" customHeight="1">
      <c r="A2425" s="28">
        <v>18835</v>
      </c>
      <c r="B2425" s="91">
        <v>45072.931250000001</v>
      </c>
      <c r="C2425" s="28" t="s">
        <v>10</v>
      </c>
      <c r="D2425" s="28" t="s">
        <v>603</v>
      </c>
      <c r="E2425" s="28"/>
      <c r="F2425" s="28">
        <v>30</v>
      </c>
      <c r="G2425" s="28" t="s">
        <v>128</v>
      </c>
      <c r="H2425" s="28">
        <v>0</v>
      </c>
      <c r="J2425" s="28"/>
    </row>
    <row r="2426" spans="1:10" ht="15.75" customHeight="1">
      <c r="A2426" s="28">
        <v>18835</v>
      </c>
      <c r="B2426" s="91">
        <v>45072.931250000001</v>
      </c>
      <c r="C2426" s="28" t="s">
        <v>10</v>
      </c>
      <c r="D2426" s="28" t="s">
        <v>603</v>
      </c>
      <c r="E2426" s="28"/>
      <c r="F2426" s="28">
        <v>0</v>
      </c>
      <c r="G2426" s="28" t="s">
        <v>125</v>
      </c>
      <c r="H2426" s="28">
        <v>0</v>
      </c>
      <c r="J2426" s="28"/>
    </row>
    <row r="2427" spans="1:10" ht="15.75" customHeight="1">
      <c r="A2427" s="28">
        <v>18835</v>
      </c>
      <c r="B2427" s="91">
        <v>45072.931250000001</v>
      </c>
      <c r="C2427" s="28" t="s">
        <v>10</v>
      </c>
      <c r="D2427" s="28" t="s">
        <v>603</v>
      </c>
      <c r="E2427" s="28"/>
      <c r="F2427" s="28">
        <v>0</v>
      </c>
      <c r="G2427" s="28" t="s">
        <v>119</v>
      </c>
      <c r="H2427" s="28">
        <v>0</v>
      </c>
      <c r="J2427" s="28"/>
    </row>
    <row r="2428" spans="1:10" ht="15.75" customHeight="1">
      <c r="A2428" s="28">
        <v>18835</v>
      </c>
      <c r="B2428" s="91">
        <v>45072.931250000001</v>
      </c>
      <c r="C2428" s="28" t="s">
        <v>10</v>
      </c>
      <c r="D2428" s="28" t="s">
        <v>603</v>
      </c>
      <c r="E2428" s="28"/>
      <c r="F2428" s="28">
        <v>25</v>
      </c>
      <c r="G2428" s="28">
        <v>100692</v>
      </c>
      <c r="H2428" s="28">
        <v>0</v>
      </c>
      <c r="J2428" s="28"/>
    </row>
    <row r="2429" spans="1:10" ht="15.75" customHeight="1">
      <c r="A2429" s="28">
        <v>18835</v>
      </c>
      <c r="B2429" s="91">
        <v>45072.931250000001</v>
      </c>
      <c r="C2429" s="28" t="s">
        <v>10</v>
      </c>
      <c r="D2429" s="28" t="s">
        <v>603</v>
      </c>
      <c r="E2429" s="28"/>
      <c r="F2429" s="28">
        <v>0</v>
      </c>
      <c r="G2429" s="28" t="s">
        <v>125</v>
      </c>
      <c r="H2429" s="28">
        <v>0</v>
      </c>
      <c r="J2429" s="28"/>
    </row>
    <row r="2430" spans="1:10" ht="15.75" customHeight="1">
      <c r="A2430" s="28">
        <v>18835</v>
      </c>
      <c r="B2430" s="91">
        <v>45072.931250000001</v>
      </c>
      <c r="C2430" s="28" t="s">
        <v>10</v>
      </c>
      <c r="D2430" s="28" t="s">
        <v>603</v>
      </c>
      <c r="E2430" s="28"/>
      <c r="F2430" s="28">
        <v>0</v>
      </c>
      <c r="G2430" s="28" t="s">
        <v>119</v>
      </c>
      <c r="H2430" s="28">
        <v>0</v>
      </c>
      <c r="J2430" s="28"/>
    </row>
    <row r="2431" spans="1:10" ht="15.75" customHeight="1">
      <c r="A2431" s="28">
        <v>18836</v>
      </c>
      <c r="B2431" s="91">
        <v>45072.932847222226</v>
      </c>
      <c r="C2431" s="28" t="s">
        <v>10</v>
      </c>
      <c r="D2431" s="28" t="s">
        <v>613</v>
      </c>
      <c r="E2431" s="28"/>
      <c r="F2431" s="28">
        <v>25</v>
      </c>
      <c r="G2431" s="28">
        <v>100692</v>
      </c>
      <c r="H2431" s="28">
        <v>0</v>
      </c>
      <c r="J2431" s="28"/>
    </row>
    <row r="2432" spans="1:10" ht="15.75" customHeight="1">
      <c r="A2432" s="28">
        <v>18836</v>
      </c>
      <c r="B2432" s="91">
        <v>45072.932847222226</v>
      </c>
      <c r="C2432" s="28" t="s">
        <v>10</v>
      </c>
      <c r="D2432" s="28" t="s">
        <v>613</v>
      </c>
      <c r="E2432" s="28"/>
      <c r="F2432" s="28">
        <v>0</v>
      </c>
      <c r="G2432" s="28" t="s">
        <v>125</v>
      </c>
      <c r="H2432" s="28">
        <v>0</v>
      </c>
      <c r="J2432" s="28"/>
    </row>
    <row r="2433" spans="1:10" ht="15.75" customHeight="1">
      <c r="A2433" s="28">
        <v>18836</v>
      </c>
      <c r="B2433" s="91">
        <v>45072.932847222226</v>
      </c>
      <c r="C2433" s="28" t="s">
        <v>10</v>
      </c>
      <c r="D2433" s="28" t="s">
        <v>613</v>
      </c>
      <c r="E2433" s="28"/>
      <c r="F2433" s="28">
        <v>0</v>
      </c>
      <c r="G2433" s="28" t="s">
        <v>119</v>
      </c>
      <c r="H2433" s="28">
        <v>0</v>
      </c>
      <c r="J2433" s="28"/>
    </row>
    <row r="2434" spans="1:10" ht="15.75" customHeight="1">
      <c r="A2434" s="28">
        <v>18837</v>
      </c>
      <c r="B2434" s="91">
        <v>45072.946354166663</v>
      </c>
      <c r="C2434" s="28" t="s">
        <v>10</v>
      </c>
      <c r="D2434" s="28" t="s">
        <v>750</v>
      </c>
      <c r="E2434" s="28"/>
      <c r="F2434" s="28">
        <v>25</v>
      </c>
      <c r="G2434" s="28">
        <v>100692</v>
      </c>
      <c r="H2434" s="28">
        <v>0</v>
      </c>
      <c r="J2434" s="28"/>
    </row>
    <row r="2435" spans="1:10" ht="15.75" customHeight="1">
      <c r="A2435" s="28">
        <v>18837</v>
      </c>
      <c r="B2435" s="91">
        <v>45072.946354166663</v>
      </c>
      <c r="C2435" s="28" t="s">
        <v>10</v>
      </c>
      <c r="D2435" s="28" t="s">
        <v>750</v>
      </c>
      <c r="E2435" s="28"/>
      <c r="F2435" s="28">
        <v>0</v>
      </c>
      <c r="G2435" s="28" t="s">
        <v>125</v>
      </c>
      <c r="H2435" s="28">
        <v>0</v>
      </c>
      <c r="J2435" s="28"/>
    </row>
    <row r="2436" spans="1:10" ht="15.75" customHeight="1">
      <c r="A2436" s="28">
        <v>18837</v>
      </c>
      <c r="B2436" s="91">
        <v>45072.946354166663</v>
      </c>
      <c r="C2436" s="28" t="s">
        <v>10</v>
      </c>
      <c r="D2436" s="28" t="s">
        <v>750</v>
      </c>
      <c r="E2436" s="28"/>
      <c r="F2436" s="28">
        <v>0</v>
      </c>
      <c r="G2436" s="28" t="s">
        <v>119</v>
      </c>
      <c r="H2436" s="28">
        <v>0</v>
      </c>
      <c r="J2436" s="28"/>
    </row>
    <row r="2437" spans="1:10" ht="15.75" customHeight="1">
      <c r="A2437" s="28">
        <v>18838</v>
      </c>
      <c r="B2437" s="91">
        <v>45072.9840162037</v>
      </c>
      <c r="C2437" s="28" t="s">
        <v>10</v>
      </c>
      <c r="D2437" s="28" t="s">
        <v>749</v>
      </c>
      <c r="E2437" s="28"/>
      <c r="F2437" s="28">
        <v>28</v>
      </c>
      <c r="G2437" s="28" t="s">
        <v>143</v>
      </c>
      <c r="H2437" s="28">
        <v>0</v>
      </c>
      <c r="J2437" s="28"/>
    </row>
    <row r="2438" spans="1:10" ht="15.75" customHeight="1">
      <c r="A2438" s="28">
        <v>18839</v>
      </c>
      <c r="B2438" s="91">
        <v>45072.985868055555</v>
      </c>
      <c r="C2438" s="28" t="s">
        <v>10</v>
      </c>
      <c r="D2438" s="28" t="s">
        <v>748</v>
      </c>
      <c r="E2438" s="28"/>
      <c r="F2438" s="28">
        <v>28</v>
      </c>
      <c r="G2438" s="28" t="s">
        <v>143</v>
      </c>
      <c r="H2438" s="28">
        <v>0</v>
      </c>
      <c r="J2438" s="28"/>
    </row>
    <row r="2439" spans="1:10" ht="15.75" customHeight="1">
      <c r="A2439" s="28">
        <v>18840</v>
      </c>
      <c r="B2439" s="91">
        <v>45072.9919212963</v>
      </c>
      <c r="C2439" s="28" t="s">
        <v>10</v>
      </c>
      <c r="D2439" s="28" t="s">
        <v>747</v>
      </c>
      <c r="E2439" s="28"/>
      <c r="F2439" s="28">
        <v>56</v>
      </c>
      <c r="G2439" s="28" t="s">
        <v>143</v>
      </c>
      <c r="H2439" s="28">
        <v>0</v>
      </c>
      <c r="J2439" s="28"/>
    </row>
    <row r="2440" spans="1:10" ht="15.75" customHeight="1">
      <c r="A2440" s="28">
        <v>18841</v>
      </c>
      <c r="B2440" s="91">
        <v>45073.05332175926</v>
      </c>
      <c r="C2440" s="28" t="s">
        <v>10</v>
      </c>
      <c r="D2440" s="28" t="s">
        <v>746</v>
      </c>
      <c r="E2440" s="28"/>
      <c r="F2440" s="28">
        <v>25</v>
      </c>
      <c r="G2440" s="28" t="s">
        <v>141</v>
      </c>
      <c r="H2440" s="28">
        <v>0</v>
      </c>
      <c r="J2440" s="28"/>
    </row>
    <row r="2441" spans="1:10" ht="15.75" customHeight="1">
      <c r="A2441" s="28">
        <v>18842</v>
      </c>
      <c r="B2441" s="91">
        <v>45073.532488425924</v>
      </c>
      <c r="C2441" s="28" t="s">
        <v>10</v>
      </c>
      <c r="D2441" s="28" t="s">
        <v>745</v>
      </c>
      <c r="E2441" s="28"/>
      <c r="F2441" s="28">
        <v>25</v>
      </c>
      <c r="G2441" s="28" t="s">
        <v>141</v>
      </c>
      <c r="H2441" s="28">
        <v>0</v>
      </c>
      <c r="J2441" s="28"/>
    </row>
    <row r="2442" spans="1:10" ht="15.75" customHeight="1">
      <c r="A2442" s="28">
        <v>18843</v>
      </c>
      <c r="B2442" s="91">
        <v>45073.995092592595</v>
      </c>
      <c r="C2442" s="28" t="s">
        <v>10</v>
      </c>
      <c r="D2442" s="28" t="s">
        <v>744</v>
      </c>
      <c r="E2442" s="28"/>
      <c r="F2442" s="28">
        <v>28</v>
      </c>
      <c r="G2442" s="28" t="s">
        <v>143</v>
      </c>
      <c r="H2442" s="28">
        <v>0</v>
      </c>
      <c r="J2442" s="28"/>
    </row>
    <row r="2443" spans="1:10" ht="15.75" customHeight="1">
      <c r="A2443" s="28">
        <v>18844</v>
      </c>
      <c r="B2443" s="91">
        <v>45074.647673611107</v>
      </c>
      <c r="C2443" s="28" t="s">
        <v>10</v>
      </c>
      <c r="D2443" s="28" t="s">
        <v>743</v>
      </c>
      <c r="E2443" s="28"/>
      <c r="F2443" s="28">
        <v>15</v>
      </c>
      <c r="G2443" s="28" t="s">
        <v>125</v>
      </c>
      <c r="H2443" s="28">
        <v>0</v>
      </c>
      <c r="J2443" s="28"/>
    </row>
    <row r="2444" spans="1:10" ht="15.75" customHeight="1">
      <c r="A2444" s="28">
        <v>18845</v>
      </c>
      <c r="B2444" s="91">
        <v>45074.652361111112</v>
      </c>
      <c r="C2444" s="28" t="s">
        <v>8</v>
      </c>
      <c r="D2444" s="28" t="s">
        <v>741</v>
      </c>
      <c r="E2444" s="28"/>
      <c r="F2444" s="28">
        <v>15</v>
      </c>
      <c r="G2444" s="28" t="s">
        <v>742</v>
      </c>
      <c r="H2444" s="28">
        <v>0</v>
      </c>
      <c r="J2444" s="28"/>
    </row>
    <row r="2445" spans="1:10" ht="15.75" customHeight="1">
      <c r="A2445" s="28">
        <v>18846</v>
      </c>
      <c r="B2445" s="91">
        <v>45074.882361111115</v>
      </c>
      <c r="C2445" s="28" t="s">
        <v>10</v>
      </c>
      <c r="D2445" s="28" t="s">
        <v>740</v>
      </c>
      <c r="E2445" s="28"/>
      <c r="F2445" s="28">
        <v>55</v>
      </c>
      <c r="G2445" s="28">
        <v>101684</v>
      </c>
      <c r="H2445" s="28">
        <v>0</v>
      </c>
      <c r="J2445" s="28"/>
    </row>
    <row r="2446" spans="1:10" ht="15.75" customHeight="1">
      <c r="A2446" s="28">
        <v>18846</v>
      </c>
      <c r="B2446" s="91">
        <v>45074.882361111115</v>
      </c>
      <c r="C2446" s="28" t="s">
        <v>10</v>
      </c>
      <c r="D2446" s="28" t="s">
        <v>740</v>
      </c>
      <c r="E2446" s="28"/>
      <c r="F2446" s="28">
        <v>0</v>
      </c>
      <c r="G2446" s="28" t="s">
        <v>118</v>
      </c>
      <c r="H2446" s="28">
        <v>0</v>
      </c>
      <c r="J2446" s="28"/>
    </row>
    <row r="2447" spans="1:10" ht="15.75" customHeight="1">
      <c r="A2447" s="28">
        <v>18846</v>
      </c>
      <c r="B2447" s="91">
        <v>45074.882361111115</v>
      </c>
      <c r="C2447" s="28" t="s">
        <v>10</v>
      </c>
      <c r="D2447" s="28" t="s">
        <v>740</v>
      </c>
      <c r="E2447" s="28"/>
      <c r="F2447" s="28">
        <v>0</v>
      </c>
      <c r="G2447" s="28" t="s">
        <v>119</v>
      </c>
      <c r="H2447" s="28">
        <v>0</v>
      </c>
      <c r="J2447" s="28"/>
    </row>
    <row r="2448" spans="1:10" ht="15.75" customHeight="1">
      <c r="A2448" s="28">
        <v>18846</v>
      </c>
      <c r="B2448" s="91">
        <v>45074.882361111115</v>
      </c>
      <c r="C2448" s="28" t="s">
        <v>10</v>
      </c>
      <c r="D2448" s="28" t="s">
        <v>740</v>
      </c>
      <c r="E2448" s="28"/>
      <c r="F2448" s="28">
        <v>0</v>
      </c>
      <c r="G2448" s="28" t="s">
        <v>120</v>
      </c>
      <c r="H2448" s="28">
        <v>0</v>
      </c>
      <c r="J2448" s="28"/>
    </row>
    <row r="2449" spans="1:10" ht="15.75" customHeight="1">
      <c r="A2449" s="28">
        <v>18846</v>
      </c>
      <c r="B2449" s="91">
        <v>45074.882361111115</v>
      </c>
      <c r="C2449" s="28" t="s">
        <v>10</v>
      </c>
      <c r="D2449" s="28" t="s">
        <v>740</v>
      </c>
      <c r="E2449" s="28"/>
      <c r="F2449" s="28">
        <v>0</v>
      </c>
      <c r="G2449" s="28" t="s">
        <v>121</v>
      </c>
      <c r="H2449" s="28">
        <v>0</v>
      </c>
      <c r="J2449" s="28"/>
    </row>
    <row r="2450" spans="1:10" ht="15.75" customHeight="1">
      <c r="A2450" s="28">
        <v>18847</v>
      </c>
      <c r="B2450" s="91">
        <v>45074.884780092594</v>
      </c>
      <c r="C2450" s="28" t="s">
        <v>10</v>
      </c>
      <c r="D2450" s="28" t="s">
        <v>739</v>
      </c>
      <c r="E2450" s="28"/>
      <c r="F2450" s="28">
        <v>55</v>
      </c>
      <c r="G2450" s="28">
        <v>101684</v>
      </c>
      <c r="H2450" s="28">
        <v>0</v>
      </c>
      <c r="J2450" s="28"/>
    </row>
    <row r="2451" spans="1:10" ht="15.75" customHeight="1">
      <c r="A2451" s="28">
        <v>18847</v>
      </c>
      <c r="B2451" s="91">
        <v>45074.884780092594</v>
      </c>
      <c r="C2451" s="28" t="s">
        <v>10</v>
      </c>
      <c r="D2451" s="28" t="s">
        <v>739</v>
      </c>
      <c r="E2451" s="28"/>
      <c r="F2451" s="28">
        <v>0</v>
      </c>
      <c r="G2451" s="28" t="s">
        <v>118</v>
      </c>
      <c r="H2451" s="28">
        <v>0</v>
      </c>
      <c r="J2451" s="28"/>
    </row>
    <row r="2452" spans="1:10" ht="15.75" customHeight="1">
      <c r="A2452" s="28">
        <v>18847</v>
      </c>
      <c r="B2452" s="91">
        <v>45074.884780092594</v>
      </c>
      <c r="C2452" s="28" t="s">
        <v>10</v>
      </c>
      <c r="D2452" s="28" t="s">
        <v>739</v>
      </c>
      <c r="E2452" s="28"/>
      <c r="F2452" s="28">
        <v>0</v>
      </c>
      <c r="G2452" s="28" t="s">
        <v>119</v>
      </c>
      <c r="H2452" s="28">
        <v>0</v>
      </c>
      <c r="J2452" s="28"/>
    </row>
    <row r="2453" spans="1:10" ht="15.75" customHeight="1">
      <c r="A2453" s="28">
        <v>18847</v>
      </c>
      <c r="B2453" s="91">
        <v>45074.884780092594</v>
      </c>
      <c r="C2453" s="28" t="s">
        <v>10</v>
      </c>
      <c r="D2453" s="28" t="s">
        <v>739</v>
      </c>
      <c r="E2453" s="28"/>
      <c r="F2453" s="28">
        <v>0</v>
      </c>
      <c r="G2453" s="28" t="s">
        <v>120</v>
      </c>
      <c r="H2453" s="28">
        <v>0</v>
      </c>
      <c r="J2453" s="28"/>
    </row>
    <row r="2454" spans="1:10" ht="15.75" customHeight="1">
      <c r="A2454" s="28">
        <v>18847</v>
      </c>
      <c r="B2454" s="91">
        <v>45074.884780092594</v>
      </c>
      <c r="C2454" s="28" t="s">
        <v>10</v>
      </c>
      <c r="D2454" s="28" t="s">
        <v>739</v>
      </c>
      <c r="E2454" s="28"/>
      <c r="F2454" s="28">
        <v>0</v>
      </c>
      <c r="G2454" s="28" t="s">
        <v>121</v>
      </c>
      <c r="H2454" s="28">
        <v>0</v>
      </c>
      <c r="J2454" s="28"/>
    </row>
    <row r="2455" spans="1:10" ht="15.75" customHeight="1">
      <c r="A2455" s="28">
        <v>18848</v>
      </c>
      <c r="B2455" s="91">
        <v>45074.887488425928</v>
      </c>
      <c r="C2455" s="28" t="s">
        <v>10</v>
      </c>
      <c r="D2455" s="28" t="s">
        <v>739</v>
      </c>
      <c r="E2455" s="28"/>
      <c r="F2455" s="28">
        <v>30</v>
      </c>
      <c r="G2455" s="28" t="s">
        <v>128</v>
      </c>
      <c r="H2455" s="28">
        <v>0</v>
      </c>
      <c r="J2455" s="28"/>
    </row>
    <row r="2456" spans="1:10" ht="15.75" customHeight="1">
      <c r="A2456" s="28">
        <v>18848</v>
      </c>
      <c r="B2456" s="91">
        <v>45074.887488425928</v>
      </c>
      <c r="C2456" s="28" t="s">
        <v>10</v>
      </c>
      <c r="D2456" s="28" t="s">
        <v>739</v>
      </c>
      <c r="E2456" s="28"/>
      <c r="F2456" s="28">
        <v>0</v>
      </c>
      <c r="G2456" s="28" t="s">
        <v>125</v>
      </c>
      <c r="H2456" s="28">
        <v>0</v>
      </c>
      <c r="J2456" s="28"/>
    </row>
    <row r="2457" spans="1:10" ht="15.75" customHeight="1">
      <c r="A2457" s="28">
        <v>18848</v>
      </c>
      <c r="B2457" s="91">
        <v>45074.887488425928</v>
      </c>
      <c r="C2457" s="28" t="s">
        <v>10</v>
      </c>
      <c r="D2457" s="28" t="s">
        <v>739</v>
      </c>
      <c r="E2457" s="28"/>
      <c r="F2457" s="28">
        <v>0</v>
      </c>
      <c r="G2457" s="28" t="s">
        <v>119</v>
      </c>
      <c r="H2457" s="28">
        <v>0</v>
      </c>
      <c r="J2457" s="28"/>
    </row>
    <row r="2458" spans="1:10" ht="15.75" customHeight="1">
      <c r="A2458" s="28">
        <v>18849</v>
      </c>
      <c r="B2458" s="91">
        <v>45074.917962962965</v>
      </c>
      <c r="C2458" s="28" t="s">
        <v>10</v>
      </c>
      <c r="D2458" s="28" t="s">
        <v>738</v>
      </c>
      <c r="E2458" s="28"/>
      <c r="F2458" s="28">
        <v>25</v>
      </c>
      <c r="G2458" s="28" t="s">
        <v>141</v>
      </c>
      <c r="H2458" s="28">
        <v>0</v>
      </c>
      <c r="J2458" s="28"/>
    </row>
    <row r="2459" spans="1:10" ht="15.75" customHeight="1">
      <c r="A2459" s="28">
        <v>18849</v>
      </c>
      <c r="B2459" s="91">
        <v>45074.917962962965</v>
      </c>
      <c r="C2459" s="28" t="s">
        <v>10</v>
      </c>
      <c r="D2459" s="28" t="s">
        <v>738</v>
      </c>
      <c r="E2459" s="28"/>
      <c r="F2459" s="28">
        <v>22</v>
      </c>
      <c r="G2459" s="28" t="s">
        <v>137</v>
      </c>
      <c r="H2459" s="28">
        <v>0</v>
      </c>
      <c r="J2459" s="28"/>
    </row>
    <row r="2460" spans="1:10" ht="15.75" customHeight="1">
      <c r="A2460" s="28">
        <v>18850</v>
      </c>
      <c r="B2460" s="91">
        <v>45074.967106481483</v>
      </c>
      <c r="C2460" s="28" t="s">
        <v>10</v>
      </c>
      <c r="D2460" s="28" t="s">
        <v>737</v>
      </c>
      <c r="E2460" s="28"/>
      <c r="F2460" s="28">
        <v>25</v>
      </c>
      <c r="G2460" s="28">
        <v>100692</v>
      </c>
      <c r="H2460" s="28">
        <v>0</v>
      </c>
      <c r="J2460" s="28"/>
    </row>
    <row r="2461" spans="1:10" ht="15.75" customHeight="1">
      <c r="A2461" s="28">
        <v>18850</v>
      </c>
      <c r="B2461" s="91">
        <v>45074.967106481483</v>
      </c>
      <c r="C2461" s="28" t="s">
        <v>10</v>
      </c>
      <c r="D2461" s="28" t="s">
        <v>737</v>
      </c>
      <c r="E2461" s="28"/>
      <c r="F2461" s="28">
        <v>0</v>
      </c>
      <c r="G2461" s="28" t="s">
        <v>125</v>
      </c>
      <c r="H2461" s="28">
        <v>0</v>
      </c>
      <c r="J2461" s="28"/>
    </row>
    <row r="2462" spans="1:10" ht="15.75" customHeight="1">
      <c r="A2462" s="28">
        <v>18850</v>
      </c>
      <c r="B2462" s="91">
        <v>45074.967106481483</v>
      </c>
      <c r="C2462" s="28" t="s">
        <v>10</v>
      </c>
      <c r="D2462" s="28" t="s">
        <v>737</v>
      </c>
      <c r="E2462" s="28"/>
      <c r="F2462" s="28">
        <v>0</v>
      </c>
      <c r="G2462" s="28" t="s">
        <v>119</v>
      </c>
      <c r="H2462" s="28">
        <v>0</v>
      </c>
      <c r="J2462" s="28"/>
    </row>
    <row r="2463" spans="1:10" ht="15.75" customHeight="1">
      <c r="A2463" s="28">
        <v>18850</v>
      </c>
      <c r="B2463" s="91">
        <v>45074.967106481483</v>
      </c>
      <c r="C2463" s="28" t="s">
        <v>10</v>
      </c>
      <c r="D2463" s="28" t="s">
        <v>737</v>
      </c>
      <c r="E2463" s="28"/>
      <c r="F2463" s="28">
        <v>22</v>
      </c>
      <c r="G2463" s="28" t="s">
        <v>137</v>
      </c>
      <c r="H2463" s="28">
        <v>0</v>
      </c>
      <c r="J2463" s="28"/>
    </row>
    <row r="2464" spans="1:10" ht="15.75" customHeight="1">
      <c r="A2464" s="28">
        <v>18860</v>
      </c>
      <c r="B2464" s="91">
        <v>45076.541261574079</v>
      </c>
      <c r="C2464" s="28" t="s">
        <v>10</v>
      </c>
      <c r="D2464" s="28" t="s">
        <v>736</v>
      </c>
      <c r="E2464" s="28"/>
      <c r="F2464" s="28">
        <v>0</v>
      </c>
      <c r="G2464" s="28" t="s">
        <v>117</v>
      </c>
      <c r="H2464" s="28">
        <v>0</v>
      </c>
      <c r="J2464" s="28"/>
    </row>
    <row r="2465" spans="1:10" ht="15.75" customHeight="1">
      <c r="A2465" s="28">
        <v>18860</v>
      </c>
      <c r="B2465" s="91">
        <v>45076.541261574079</v>
      </c>
      <c r="C2465" s="28" t="s">
        <v>10</v>
      </c>
      <c r="D2465" s="28" t="s">
        <v>736</v>
      </c>
      <c r="E2465" s="28"/>
      <c r="F2465" s="28">
        <v>20</v>
      </c>
      <c r="G2465" s="28"/>
      <c r="H2465" s="28">
        <v>0</v>
      </c>
      <c r="J2465" s="28"/>
    </row>
    <row r="2466" spans="1:10" ht="15.75" customHeight="1">
      <c r="A2466" s="28">
        <v>18861</v>
      </c>
      <c r="B2466" s="91">
        <v>45077.871678240743</v>
      </c>
      <c r="C2466" s="28" t="s">
        <v>10</v>
      </c>
      <c r="D2466" s="28" t="s">
        <v>735</v>
      </c>
      <c r="E2466" s="28"/>
      <c r="F2466" s="28">
        <v>26</v>
      </c>
      <c r="G2466" s="28" t="s">
        <v>122</v>
      </c>
      <c r="H2466" s="28">
        <v>0</v>
      </c>
      <c r="J2466" s="28"/>
    </row>
    <row r="2467" spans="1:10" ht="15.75" customHeight="1">
      <c r="A2467" s="28">
        <v>18862</v>
      </c>
      <c r="B2467" s="91">
        <v>45077.915023148147</v>
      </c>
      <c r="C2467" s="28" t="s">
        <v>10</v>
      </c>
      <c r="D2467" s="28" t="s">
        <v>734</v>
      </c>
      <c r="E2467" s="28"/>
      <c r="F2467" s="28">
        <v>25</v>
      </c>
      <c r="G2467" s="28">
        <v>100692</v>
      </c>
      <c r="H2467" s="28">
        <v>0</v>
      </c>
      <c r="J2467" s="28"/>
    </row>
    <row r="2468" spans="1:10" ht="15.75" customHeight="1">
      <c r="A2468" s="28">
        <v>18862</v>
      </c>
      <c r="B2468" s="91">
        <v>45077.915023148147</v>
      </c>
      <c r="C2468" s="28" t="s">
        <v>10</v>
      </c>
      <c r="D2468" s="28" t="s">
        <v>734</v>
      </c>
      <c r="E2468" s="28"/>
      <c r="F2468" s="28">
        <v>0</v>
      </c>
      <c r="G2468" s="28" t="s">
        <v>125</v>
      </c>
      <c r="H2468" s="28">
        <v>0</v>
      </c>
      <c r="J2468" s="28"/>
    </row>
    <row r="2469" spans="1:10" ht="15.75" customHeight="1">
      <c r="A2469" s="28">
        <v>18862</v>
      </c>
      <c r="B2469" s="91">
        <v>45077.915023148147</v>
      </c>
      <c r="C2469" s="28" t="s">
        <v>10</v>
      </c>
      <c r="D2469" s="28" t="s">
        <v>734</v>
      </c>
      <c r="E2469" s="28"/>
      <c r="F2469" s="28">
        <v>0</v>
      </c>
      <c r="G2469" s="28" t="s">
        <v>119</v>
      </c>
      <c r="H2469" s="28">
        <v>0</v>
      </c>
      <c r="J2469" s="28"/>
    </row>
    <row r="2470" spans="1:10" ht="15.75" customHeight="1">
      <c r="A2470" s="28">
        <v>18863</v>
      </c>
      <c r="B2470" s="91">
        <v>45077.917499999996</v>
      </c>
      <c r="C2470" s="28" t="s">
        <v>10</v>
      </c>
      <c r="D2470" s="28" t="s">
        <v>733</v>
      </c>
      <c r="E2470" s="28"/>
      <c r="F2470" s="28">
        <v>25</v>
      </c>
      <c r="G2470" s="28">
        <v>100692</v>
      </c>
      <c r="H2470" s="28">
        <v>0</v>
      </c>
      <c r="J2470" s="28"/>
    </row>
    <row r="2471" spans="1:10" ht="15.75" customHeight="1">
      <c r="A2471" s="28">
        <v>18863</v>
      </c>
      <c r="B2471" s="91">
        <v>45077.917499999996</v>
      </c>
      <c r="C2471" s="28" t="s">
        <v>10</v>
      </c>
      <c r="D2471" s="28" t="s">
        <v>733</v>
      </c>
      <c r="E2471" s="28"/>
      <c r="F2471" s="28">
        <v>0</v>
      </c>
      <c r="G2471" s="28" t="s">
        <v>125</v>
      </c>
      <c r="H2471" s="28">
        <v>0</v>
      </c>
      <c r="J2471" s="28"/>
    </row>
    <row r="2472" spans="1:10" ht="15.75" customHeight="1">
      <c r="A2472" s="28">
        <v>18863</v>
      </c>
      <c r="B2472" s="91">
        <v>45077.917499999996</v>
      </c>
      <c r="C2472" s="28" t="s">
        <v>10</v>
      </c>
      <c r="D2472" s="28" t="s">
        <v>733</v>
      </c>
      <c r="E2472" s="28"/>
      <c r="F2472" s="28">
        <v>0</v>
      </c>
      <c r="G2472" s="28" t="s">
        <v>119</v>
      </c>
      <c r="H2472" s="28">
        <v>0</v>
      </c>
      <c r="J2472" s="28"/>
    </row>
    <row r="2473" spans="1:10" ht="15.75" customHeight="1">
      <c r="A2473" s="28">
        <v>18864</v>
      </c>
      <c r="B2473" s="91">
        <v>45077.920081018514</v>
      </c>
      <c r="C2473" s="28" t="s">
        <v>10</v>
      </c>
      <c r="D2473" s="28" t="s">
        <v>732</v>
      </c>
      <c r="E2473" s="28"/>
      <c r="F2473" s="28">
        <v>25</v>
      </c>
      <c r="G2473" s="28">
        <v>100692</v>
      </c>
      <c r="H2473" s="28">
        <v>0</v>
      </c>
      <c r="J2473" s="28"/>
    </row>
    <row r="2474" spans="1:10" ht="15.75" customHeight="1">
      <c r="A2474" s="28">
        <v>18864</v>
      </c>
      <c r="B2474" s="91">
        <v>45077.920081018514</v>
      </c>
      <c r="C2474" s="28" t="s">
        <v>10</v>
      </c>
      <c r="D2474" s="28" t="s">
        <v>732</v>
      </c>
      <c r="E2474" s="28"/>
      <c r="F2474" s="28">
        <v>0</v>
      </c>
      <c r="G2474" s="28" t="s">
        <v>125</v>
      </c>
      <c r="H2474" s="28">
        <v>0</v>
      </c>
      <c r="J2474" s="28"/>
    </row>
    <row r="2475" spans="1:10" ht="15.75" customHeight="1">
      <c r="A2475" s="28">
        <v>18864</v>
      </c>
      <c r="B2475" s="91">
        <v>45077.920081018514</v>
      </c>
      <c r="C2475" s="28" t="s">
        <v>10</v>
      </c>
      <c r="D2475" s="28" t="s">
        <v>732</v>
      </c>
      <c r="E2475" s="28"/>
      <c r="F2475" s="28">
        <v>0</v>
      </c>
      <c r="G2475" s="28" t="s">
        <v>119</v>
      </c>
      <c r="H2475" s="28">
        <v>0</v>
      </c>
      <c r="J2475" s="28"/>
    </row>
    <row r="2476" spans="1:10" ht="15.75" customHeight="1">
      <c r="A2476" s="28">
        <v>18865</v>
      </c>
      <c r="B2476" s="91">
        <v>45077.920856481476</v>
      </c>
      <c r="C2476" s="28" t="s">
        <v>10</v>
      </c>
      <c r="D2476" s="28" t="s">
        <v>731</v>
      </c>
      <c r="E2476" s="28"/>
      <c r="F2476" s="28">
        <v>25</v>
      </c>
      <c r="G2476" s="28">
        <v>100692</v>
      </c>
      <c r="H2476" s="28">
        <v>0</v>
      </c>
      <c r="J2476" s="28"/>
    </row>
    <row r="2477" spans="1:10" ht="15.75" customHeight="1">
      <c r="A2477" s="28">
        <v>18865</v>
      </c>
      <c r="B2477" s="91">
        <v>45077.920856481476</v>
      </c>
      <c r="C2477" s="28" t="s">
        <v>10</v>
      </c>
      <c r="D2477" s="28" t="s">
        <v>731</v>
      </c>
      <c r="E2477" s="28"/>
      <c r="F2477" s="28">
        <v>0</v>
      </c>
      <c r="G2477" s="28" t="s">
        <v>125</v>
      </c>
      <c r="H2477" s="28">
        <v>0</v>
      </c>
      <c r="J2477" s="28"/>
    </row>
    <row r="2478" spans="1:10" ht="15.75" customHeight="1">
      <c r="A2478" s="28">
        <v>18865</v>
      </c>
      <c r="B2478" s="91">
        <v>45077.920856481476</v>
      </c>
      <c r="C2478" s="28" t="s">
        <v>10</v>
      </c>
      <c r="D2478" s="28" t="s">
        <v>731</v>
      </c>
      <c r="E2478" s="28"/>
      <c r="F2478" s="28">
        <v>0</v>
      </c>
      <c r="G2478" s="28" t="s">
        <v>119</v>
      </c>
      <c r="H2478" s="28">
        <v>0</v>
      </c>
      <c r="J2478" s="28"/>
    </row>
    <row r="2479" spans="1:10" ht="15.75" customHeight="1">
      <c r="A2479" s="28">
        <v>18866</v>
      </c>
      <c r="B2479" s="91">
        <v>45077.922060185185</v>
      </c>
      <c r="C2479" s="28" t="s">
        <v>10</v>
      </c>
      <c r="D2479" s="28" t="s">
        <v>730</v>
      </c>
      <c r="E2479" s="28"/>
      <c r="F2479" s="28">
        <v>28</v>
      </c>
      <c r="G2479" s="28" t="s">
        <v>143</v>
      </c>
      <c r="H2479" s="28">
        <v>0</v>
      </c>
      <c r="J2479" s="28"/>
    </row>
    <row r="2480" spans="1:10" ht="15.75" customHeight="1">
      <c r="A2480" s="28">
        <v>18867</v>
      </c>
      <c r="B2480" s="91">
        <v>45077.9222337963</v>
      </c>
      <c r="C2480" s="28" t="s">
        <v>10</v>
      </c>
      <c r="D2480" s="28" t="s">
        <v>729</v>
      </c>
      <c r="E2480" s="28"/>
      <c r="F2480" s="28">
        <v>50</v>
      </c>
      <c r="G2480" s="28">
        <v>100692</v>
      </c>
      <c r="H2480" s="28">
        <v>0</v>
      </c>
      <c r="J2480" s="28"/>
    </row>
    <row r="2481" spans="1:10" ht="15.75" customHeight="1">
      <c r="A2481" s="28">
        <v>18867</v>
      </c>
      <c r="B2481" s="91">
        <v>45077.9222337963</v>
      </c>
      <c r="C2481" s="28" t="s">
        <v>10</v>
      </c>
      <c r="D2481" s="28" t="s">
        <v>729</v>
      </c>
      <c r="E2481" s="28"/>
      <c r="F2481" s="28">
        <v>0</v>
      </c>
      <c r="G2481" s="28" t="s">
        <v>125</v>
      </c>
      <c r="H2481" s="28">
        <v>0</v>
      </c>
      <c r="J2481" s="28"/>
    </row>
    <row r="2482" spans="1:10" ht="15.75" customHeight="1">
      <c r="A2482" s="28">
        <v>18867</v>
      </c>
      <c r="B2482" s="91">
        <v>45077.9222337963</v>
      </c>
      <c r="C2482" s="28" t="s">
        <v>10</v>
      </c>
      <c r="D2482" s="28" t="s">
        <v>729</v>
      </c>
      <c r="E2482" s="28"/>
      <c r="F2482" s="28">
        <v>0</v>
      </c>
      <c r="G2482" s="28" t="s">
        <v>119</v>
      </c>
      <c r="H2482" s="28">
        <v>0</v>
      </c>
      <c r="J2482" s="28"/>
    </row>
    <row r="2483" spans="1:10" ht="15.75" customHeight="1">
      <c r="A2483" s="28">
        <v>18868</v>
      </c>
      <c r="B2483" s="91">
        <v>45077.937523148154</v>
      </c>
      <c r="C2483" s="28" t="s">
        <v>10</v>
      </c>
      <c r="D2483" s="28" t="s">
        <v>728</v>
      </c>
      <c r="E2483" s="28"/>
      <c r="F2483" s="28">
        <v>35</v>
      </c>
      <c r="G2483" s="28" t="s">
        <v>124</v>
      </c>
      <c r="H2483" s="28">
        <v>0</v>
      </c>
      <c r="J2483" s="28"/>
    </row>
    <row r="2484" spans="1:10" ht="15.75" customHeight="1">
      <c r="A2484" s="28">
        <v>18868</v>
      </c>
      <c r="B2484" s="91">
        <v>45077.937523148154</v>
      </c>
      <c r="C2484" s="28" t="s">
        <v>10</v>
      </c>
      <c r="D2484" s="28" t="s">
        <v>728</v>
      </c>
      <c r="E2484" s="28"/>
      <c r="F2484" s="28">
        <v>0</v>
      </c>
      <c r="G2484" s="28" t="s">
        <v>125</v>
      </c>
      <c r="H2484" s="28">
        <v>0</v>
      </c>
      <c r="J2484" s="28"/>
    </row>
    <row r="2485" spans="1:10" ht="15.75" customHeight="1">
      <c r="A2485" s="28">
        <v>18868</v>
      </c>
      <c r="B2485" s="91">
        <v>45077.937523148154</v>
      </c>
      <c r="C2485" s="28" t="s">
        <v>10</v>
      </c>
      <c r="D2485" s="28" t="s">
        <v>728</v>
      </c>
      <c r="E2485" s="28"/>
      <c r="F2485" s="28">
        <v>0</v>
      </c>
      <c r="G2485" s="28" t="s">
        <v>119</v>
      </c>
      <c r="H2485" s="28">
        <v>0</v>
      </c>
      <c r="J2485" s="28"/>
    </row>
    <row r="2486" spans="1:10" ht="15.75" customHeight="1">
      <c r="A2486" s="28">
        <v>18868</v>
      </c>
      <c r="B2486" s="91">
        <v>45077.937523148154</v>
      </c>
      <c r="C2486" s="28" t="s">
        <v>10</v>
      </c>
      <c r="D2486" s="28" t="s">
        <v>728</v>
      </c>
      <c r="E2486" s="28"/>
      <c r="F2486" s="28">
        <v>0</v>
      </c>
      <c r="G2486" s="28" t="s">
        <v>121</v>
      </c>
      <c r="H2486" s="28">
        <v>0</v>
      </c>
      <c r="J2486" s="28"/>
    </row>
    <row r="2487" spans="1:10" ht="15.75" customHeight="1">
      <c r="A2487" s="28">
        <v>18869</v>
      </c>
      <c r="B2487" s="91">
        <v>45077.939699074079</v>
      </c>
      <c r="C2487" s="28" t="s">
        <v>10</v>
      </c>
      <c r="D2487" s="28" t="s">
        <v>727</v>
      </c>
      <c r="E2487" s="28"/>
      <c r="F2487" s="28">
        <v>28</v>
      </c>
      <c r="G2487" s="28" t="s">
        <v>143</v>
      </c>
      <c r="H2487" s="28">
        <v>0</v>
      </c>
      <c r="J2487" s="28"/>
    </row>
    <row r="2488" spans="1:10" ht="15.75" customHeight="1">
      <c r="A2488" s="28">
        <v>18870</v>
      </c>
      <c r="B2488" s="91">
        <v>45077.968958333338</v>
      </c>
      <c r="C2488" s="28" t="s">
        <v>10</v>
      </c>
      <c r="D2488" s="28" t="s">
        <v>726</v>
      </c>
      <c r="E2488" s="28"/>
      <c r="F2488" s="28">
        <v>20</v>
      </c>
      <c r="G2488" s="28" t="s">
        <v>148</v>
      </c>
      <c r="H2488" s="28">
        <v>0</v>
      </c>
      <c r="J2488" s="28"/>
    </row>
    <row r="2489" spans="1:10" ht="15.75" customHeight="1">
      <c r="A2489" s="28">
        <v>18871</v>
      </c>
      <c r="B2489" s="91">
        <v>45077.969537037032</v>
      </c>
      <c r="C2489" s="28" t="s">
        <v>10</v>
      </c>
      <c r="D2489" s="28" t="s">
        <v>725</v>
      </c>
      <c r="E2489" s="28"/>
      <c r="F2489" s="28">
        <v>25</v>
      </c>
      <c r="G2489" s="28">
        <v>100692</v>
      </c>
      <c r="H2489" s="28">
        <v>0</v>
      </c>
      <c r="J2489" s="28"/>
    </row>
    <row r="2490" spans="1:10" ht="15.75" customHeight="1">
      <c r="A2490" s="28">
        <v>18871</v>
      </c>
      <c r="B2490" s="91">
        <v>45077.969537037032</v>
      </c>
      <c r="C2490" s="28" t="s">
        <v>10</v>
      </c>
      <c r="D2490" s="28" t="s">
        <v>725</v>
      </c>
      <c r="E2490" s="28"/>
      <c r="F2490" s="28">
        <v>0</v>
      </c>
      <c r="G2490" s="28" t="s">
        <v>125</v>
      </c>
      <c r="H2490" s="28">
        <v>0</v>
      </c>
      <c r="J2490" s="28"/>
    </row>
    <row r="2491" spans="1:10" ht="15.75" customHeight="1">
      <c r="A2491" s="28">
        <v>18871</v>
      </c>
      <c r="B2491" s="91">
        <v>45077.969537037032</v>
      </c>
      <c r="C2491" s="28" t="s">
        <v>10</v>
      </c>
      <c r="D2491" s="28" t="s">
        <v>725</v>
      </c>
      <c r="E2491" s="28"/>
      <c r="F2491" s="28">
        <v>0</v>
      </c>
      <c r="G2491" s="28" t="s">
        <v>119</v>
      </c>
      <c r="H2491" s="28">
        <v>0</v>
      </c>
      <c r="J2491" s="28"/>
    </row>
    <row r="2492" spans="1:10" ht="15.75" customHeight="1">
      <c r="A2492" s="28">
        <v>18872</v>
      </c>
      <c r="B2492" s="91">
        <v>45077.984918981485</v>
      </c>
      <c r="C2492" s="28" t="s">
        <v>10</v>
      </c>
      <c r="D2492" s="28" t="s">
        <v>724</v>
      </c>
      <c r="E2492" s="28"/>
      <c r="F2492" s="28">
        <v>26</v>
      </c>
      <c r="G2492" s="28" t="s">
        <v>122</v>
      </c>
      <c r="H2492" s="28">
        <v>0</v>
      </c>
      <c r="J2492" s="28"/>
    </row>
    <row r="2493" spans="1:10" ht="15.75" customHeight="1">
      <c r="A2493" s="28">
        <v>18872</v>
      </c>
      <c r="B2493" s="91">
        <v>45077.984918981485</v>
      </c>
      <c r="C2493" s="28" t="s">
        <v>10</v>
      </c>
      <c r="D2493" s="28" t="s">
        <v>724</v>
      </c>
      <c r="E2493" s="28"/>
      <c r="F2493" s="28">
        <v>18</v>
      </c>
      <c r="G2493" s="28" t="s">
        <v>119</v>
      </c>
      <c r="H2493" s="28">
        <v>0</v>
      </c>
      <c r="J2493" s="28"/>
    </row>
    <row r="2494" spans="1:10" ht="15.75" customHeight="1">
      <c r="A2494" s="28">
        <v>18873</v>
      </c>
      <c r="B2494" s="91">
        <v>45078.050775462965</v>
      </c>
      <c r="C2494" s="28" t="s">
        <v>10</v>
      </c>
      <c r="D2494" s="28" t="s">
        <v>723</v>
      </c>
      <c r="E2494" s="28"/>
      <c r="F2494" s="28">
        <v>28</v>
      </c>
      <c r="G2494" s="28" t="s">
        <v>143</v>
      </c>
      <c r="H2494" s="28">
        <v>0</v>
      </c>
      <c r="J2494" s="28"/>
    </row>
    <row r="2495" spans="1:10" ht="15.75" customHeight="1">
      <c r="A2495" s="28">
        <v>18874</v>
      </c>
      <c r="B2495" s="91">
        <v>45078.084131944444</v>
      </c>
      <c r="C2495" s="28" t="s">
        <v>10</v>
      </c>
      <c r="D2495" s="28" t="s">
        <v>722</v>
      </c>
      <c r="E2495" s="28"/>
      <c r="F2495" s="28">
        <v>25</v>
      </c>
      <c r="G2495" s="28">
        <v>100692</v>
      </c>
      <c r="H2495" s="28">
        <v>0</v>
      </c>
      <c r="J2495" s="28"/>
    </row>
    <row r="2496" spans="1:10" ht="15.75" customHeight="1">
      <c r="A2496" s="28">
        <v>18874</v>
      </c>
      <c r="B2496" s="91">
        <v>45078.084131944444</v>
      </c>
      <c r="C2496" s="28" t="s">
        <v>10</v>
      </c>
      <c r="D2496" s="28" t="s">
        <v>722</v>
      </c>
      <c r="E2496" s="28"/>
      <c r="F2496" s="28">
        <v>0</v>
      </c>
      <c r="G2496" s="28" t="s">
        <v>125</v>
      </c>
      <c r="H2496" s="28">
        <v>0</v>
      </c>
      <c r="J2496" s="28"/>
    </row>
    <row r="2497" spans="1:10" ht="15.75" customHeight="1">
      <c r="A2497" s="28">
        <v>18874</v>
      </c>
      <c r="B2497" s="91">
        <v>45078.084131944444</v>
      </c>
      <c r="C2497" s="28" t="s">
        <v>10</v>
      </c>
      <c r="D2497" s="28" t="s">
        <v>722</v>
      </c>
      <c r="E2497" s="28"/>
      <c r="F2497" s="28">
        <v>0</v>
      </c>
      <c r="G2497" s="28" t="s">
        <v>119</v>
      </c>
      <c r="H2497" s="28">
        <v>0</v>
      </c>
      <c r="J2497" s="28"/>
    </row>
    <row r="2498" spans="1:10" ht="15.75" customHeight="1">
      <c r="A2498" s="28">
        <v>18875</v>
      </c>
      <c r="B2498" s="91">
        <v>45078.528425925921</v>
      </c>
      <c r="C2498" s="28" t="s">
        <v>10</v>
      </c>
      <c r="D2498" s="28" t="s">
        <v>721</v>
      </c>
      <c r="E2498" s="28"/>
      <c r="F2498" s="28">
        <v>15</v>
      </c>
      <c r="G2498" s="28" t="s">
        <v>125</v>
      </c>
      <c r="H2498" s="28">
        <v>0</v>
      </c>
      <c r="J2498" s="28"/>
    </row>
    <row r="2499" spans="1:10" ht="15.75" customHeight="1">
      <c r="A2499" s="28">
        <v>18876</v>
      </c>
      <c r="B2499" s="91">
        <v>45078.540092592593</v>
      </c>
      <c r="C2499" s="28" t="s">
        <v>10</v>
      </c>
      <c r="D2499" s="28" t="s">
        <v>720</v>
      </c>
      <c r="E2499" s="28"/>
      <c r="F2499" s="28">
        <v>25</v>
      </c>
      <c r="G2499" s="28">
        <v>100692</v>
      </c>
      <c r="H2499" s="28">
        <v>0</v>
      </c>
      <c r="J2499" s="28"/>
    </row>
    <row r="2500" spans="1:10" ht="15.75" customHeight="1">
      <c r="A2500" s="28">
        <v>18876</v>
      </c>
      <c r="B2500" s="91">
        <v>45078.540092592593</v>
      </c>
      <c r="C2500" s="28" t="s">
        <v>10</v>
      </c>
      <c r="D2500" s="28" t="s">
        <v>720</v>
      </c>
      <c r="E2500" s="28"/>
      <c r="F2500" s="28">
        <v>0</v>
      </c>
      <c r="G2500" s="28" t="s">
        <v>125</v>
      </c>
      <c r="H2500" s="28">
        <v>0</v>
      </c>
      <c r="J2500" s="28"/>
    </row>
    <row r="2501" spans="1:10" ht="15.75" customHeight="1">
      <c r="A2501" s="28">
        <v>18876</v>
      </c>
      <c r="B2501" s="91">
        <v>45078.540092592593</v>
      </c>
      <c r="C2501" s="28" t="s">
        <v>10</v>
      </c>
      <c r="D2501" s="28" t="s">
        <v>720</v>
      </c>
      <c r="E2501" s="28"/>
      <c r="F2501" s="28">
        <v>0</v>
      </c>
      <c r="G2501" s="28" t="s">
        <v>119</v>
      </c>
      <c r="H2501" s="28">
        <v>0</v>
      </c>
      <c r="J2501" s="28"/>
    </row>
    <row r="2502" spans="1:10" ht="15.75" customHeight="1">
      <c r="A2502" s="28">
        <v>18877</v>
      </c>
      <c r="B2502" s="91">
        <v>45078.639664351853</v>
      </c>
      <c r="C2502" s="28" t="s">
        <v>10</v>
      </c>
      <c r="D2502" s="28" t="s">
        <v>719</v>
      </c>
      <c r="E2502" s="28"/>
      <c r="F2502" s="28">
        <v>0</v>
      </c>
      <c r="G2502" s="28" t="s">
        <v>117</v>
      </c>
      <c r="H2502" s="28">
        <v>0</v>
      </c>
      <c r="J2502" s="28"/>
    </row>
    <row r="2503" spans="1:10" ht="15.75" customHeight="1">
      <c r="A2503" s="28">
        <v>18877</v>
      </c>
      <c r="B2503" s="91">
        <v>45078.639664351853</v>
      </c>
      <c r="C2503" s="28" t="s">
        <v>10</v>
      </c>
      <c r="D2503" s="28" t="s">
        <v>719</v>
      </c>
      <c r="E2503" s="28"/>
      <c r="F2503" s="28">
        <v>15</v>
      </c>
      <c r="G2503" s="28" t="s">
        <v>170</v>
      </c>
      <c r="H2503" s="28">
        <v>0</v>
      </c>
      <c r="J2503" s="28"/>
    </row>
    <row r="2504" spans="1:10" ht="15.75" customHeight="1">
      <c r="A2504" s="28">
        <v>18878</v>
      </c>
      <c r="B2504" s="91">
        <v>45078.672800925924</v>
      </c>
      <c r="C2504" s="28" t="s">
        <v>10</v>
      </c>
      <c r="D2504" s="28" t="s">
        <v>718</v>
      </c>
      <c r="E2504" s="28"/>
      <c r="F2504" s="28">
        <v>25</v>
      </c>
      <c r="G2504" s="28">
        <v>100692</v>
      </c>
      <c r="H2504" s="28">
        <v>0</v>
      </c>
      <c r="J2504" s="28"/>
    </row>
    <row r="2505" spans="1:10" ht="15.75" customHeight="1">
      <c r="A2505" s="28">
        <v>18878</v>
      </c>
      <c r="B2505" s="91">
        <v>45078.672800925924</v>
      </c>
      <c r="C2505" s="28" t="s">
        <v>10</v>
      </c>
      <c r="D2505" s="28" t="s">
        <v>718</v>
      </c>
      <c r="E2505" s="28"/>
      <c r="F2505" s="28">
        <v>0</v>
      </c>
      <c r="G2505" s="28" t="s">
        <v>125</v>
      </c>
      <c r="H2505" s="28">
        <v>0</v>
      </c>
      <c r="J2505" s="28"/>
    </row>
    <row r="2506" spans="1:10" ht="15.75" customHeight="1">
      <c r="A2506" s="28">
        <v>18878</v>
      </c>
      <c r="B2506" s="91">
        <v>45078.672800925924</v>
      </c>
      <c r="C2506" s="28" t="s">
        <v>10</v>
      </c>
      <c r="D2506" s="28" t="s">
        <v>718</v>
      </c>
      <c r="E2506" s="28"/>
      <c r="F2506" s="28">
        <v>0</v>
      </c>
      <c r="G2506" s="28" t="s">
        <v>119</v>
      </c>
      <c r="H2506" s="28">
        <v>0</v>
      </c>
      <c r="J2506" s="28"/>
    </row>
    <row r="2507" spans="1:10" ht="15.75" customHeight="1">
      <c r="A2507" s="28">
        <v>18879</v>
      </c>
      <c r="B2507" s="91">
        <v>45078.828171296293</v>
      </c>
      <c r="C2507" s="28" t="s">
        <v>10</v>
      </c>
      <c r="D2507" s="28" t="s">
        <v>717</v>
      </c>
      <c r="E2507" s="28"/>
      <c r="F2507" s="28">
        <v>20</v>
      </c>
      <c r="G2507" s="28" t="s">
        <v>148</v>
      </c>
      <c r="H2507" s="28">
        <v>0</v>
      </c>
      <c r="J2507" s="28"/>
    </row>
    <row r="2508" spans="1:10" ht="15.75" customHeight="1">
      <c r="A2508" s="28">
        <v>18881</v>
      </c>
      <c r="B2508" s="91">
        <v>45078.976365740746</v>
      </c>
      <c r="C2508" s="28" t="s">
        <v>10</v>
      </c>
      <c r="D2508" s="28" t="s">
        <v>716</v>
      </c>
      <c r="E2508" s="28"/>
      <c r="F2508" s="28">
        <v>30</v>
      </c>
      <c r="G2508" s="28" t="s">
        <v>125</v>
      </c>
      <c r="H2508" s="28">
        <v>0</v>
      </c>
      <c r="J2508" s="28"/>
    </row>
    <row r="2509" spans="1:10" ht="15.75" customHeight="1">
      <c r="A2509" s="28">
        <v>18882</v>
      </c>
      <c r="B2509" s="91">
        <v>45079.109780092593</v>
      </c>
      <c r="C2509" s="28" t="s">
        <v>10</v>
      </c>
      <c r="D2509" s="28" t="s">
        <v>431</v>
      </c>
      <c r="E2509" s="28"/>
      <c r="F2509" s="28">
        <v>20</v>
      </c>
      <c r="G2509" s="28" t="s">
        <v>261</v>
      </c>
      <c r="H2509" s="28">
        <v>0</v>
      </c>
      <c r="J2509" s="28"/>
    </row>
    <row r="2510" spans="1:10" ht="15.75" customHeight="1">
      <c r="A2510" s="28">
        <v>18897</v>
      </c>
      <c r="B2510" s="91">
        <v>45079.917291666672</v>
      </c>
      <c r="C2510" s="28" t="s">
        <v>10</v>
      </c>
      <c r="D2510" s="28" t="s">
        <v>715</v>
      </c>
      <c r="E2510" s="28"/>
      <c r="F2510" s="28">
        <v>20</v>
      </c>
      <c r="G2510" s="28" t="s">
        <v>148</v>
      </c>
      <c r="H2510" s="28">
        <v>0</v>
      </c>
      <c r="J2510" s="28"/>
    </row>
    <row r="2511" spans="1:10" ht="15.75" customHeight="1">
      <c r="A2511" s="28">
        <v>18898</v>
      </c>
      <c r="B2511" s="91">
        <v>45080.044571759259</v>
      </c>
      <c r="C2511" s="28" t="s">
        <v>10</v>
      </c>
      <c r="D2511" s="28" t="s">
        <v>714</v>
      </c>
      <c r="E2511" s="28"/>
      <c r="F2511" s="28">
        <v>20</v>
      </c>
      <c r="G2511" s="28"/>
      <c r="H2511" s="28">
        <v>0</v>
      </c>
      <c r="J2511" s="28"/>
    </row>
    <row r="2512" spans="1:10" ht="15.75" customHeight="1">
      <c r="A2512" s="28">
        <v>18899</v>
      </c>
      <c r="B2512" s="91">
        <v>45080.046226851853</v>
      </c>
      <c r="C2512" s="28" t="s">
        <v>10</v>
      </c>
      <c r="D2512" s="28" t="s">
        <v>713</v>
      </c>
      <c r="E2512" s="28"/>
      <c r="F2512" s="28">
        <v>20</v>
      </c>
      <c r="G2512" s="28"/>
      <c r="H2512" s="28">
        <v>0</v>
      </c>
      <c r="J2512" s="28"/>
    </row>
    <row r="2513" spans="1:10" ht="15.75" customHeight="1">
      <c r="A2513" s="28">
        <v>18900</v>
      </c>
      <c r="B2513" s="91">
        <v>45080.049791666665</v>
      </c>
      <c r="C2513" s="28" t="s">
        <v>10</v>
      </c>
      <c r="D2513" s="28" t="s">
        <v>712</v>
      </c>
      <c r="E2513" s="28"/>
      <c r="F2513" s="28">
        <v>20</v>
      </c>
      <c r="G2513" s="28"/>
      <c r="H2513" s="28">
        <v>0</v>
      </c>
      <c r="J2513" s="28"/>
    </row>
    <row r="2514" spans="1:10" ht="15.75" customHeight="1">
      <c r="A2514" s="28">
        <v>18901</v>
      </c>
      <c r="B2514" s="91">
        <v>45080.480787037042</v>
      </c>
      <c r="C2514" s="28" t="s">
        <v>10</v>
      </c>
      <c r="D2514" s="28" t="s">
        <v>711</v>
      </c>
      <c r="E2514" s="28"/>
      <c r="F2514" s="28">
        <v>25</v>
      </c>
      <c r="G2514" s="28">
        <v>100692</v>
      </c>
      <c r="H2514" s="28">
        <v>0</v>
      </c>
      <c r="J2514" s="28"/>
    </row>
    <row r="2515" spans="1:10" ht="15.75" customHeight="1">
      <c r="A2515" s="28">
        <v>18901</v>
      </c>
      <c r="B2515" s="91">
        <v>45080.480787037042</v>
      </c>
      <c r="C2515" s="28" t="s">
        <v>10</v>
      </c>
      <c r="D2515" s="28" t="s">
        <v>711</v>
      </c>
      <c r="E2515" s="28"/>
      <c r="F2515" s="28">
        <v>0</v>
      </c>
      <c r="G2515" s="28" t="s">
        <v>125</v>
      </c>
      <c r="H2515" s="28">
        <v>0</v>
      </c>
      <c r="J2515" s="28"/>
    </row>
    <row r="2516" spans="1:10" ht="15.75" customHeight="1">
      <c r="A2516" s="28">
        <v>18901</v>
      </c>
      <c r="B2516" s="91">
        <v>45080.480787037042</v>
      </c>
      <c r="C2516" s="28" t="s">
        <v>10</v>
      </c>
      <c r="D2516" s="28" t="s">
        <v>711</v>
      </c>
      <c r="E2516" s="28"/>
      <c r="F2516" s="28">
        <v>0</v>
      </c>
      <c r="G2516" s="28" t="s">
        <v>119</v>
      </c>
      <c r="H2516" s="28">
        <v>0</v>
      </c>
      <c r="J2516" s="28"/>
    </row>
    <row r="2517" spans="1:10" ht="15.75" customHeight="1">
      <c r="A2517" s="28">
        <v>18902</v>
      </c>
      <c r="B2517" s="91">
        <v>45080.492233796293</v>
      </c>
      <c r="C2517" s="28" t="s">
        <v>10</v>
      </c>
      <c r="D2517" s="28" t="s">
        <v>710</v>
      </c>
      <c r="E2517" s="28"/>
      <c r="F2517" s="28">
        <v>50</v>
      </c>
      <c r="G2517" s="28">
        <v>100692</v>
      </c>
      <c r="H2517" s="28">
        <v>0</v>
      </c>
      <c r="J2517" s="28"/>
    </row>
    <row r="2518" spans="1:10" ht="15.75" customHeight="1">
      <c r="A2518" s="28">
        <v>18902</v>
      </c>
      <c r="B2518" s="91">
        <v>45080.492233796293</v>
      </c>
      <c r="C2518" s="28" t="s">
        <v>10</v>
      </c>
      <c r="D2518" s="28" t="s">
        <v>710</v>
      </c>
      <c r="E2518" s="28"/>
      <c r="F2518" s="28">
        <v>0</v>
      </c>
      <c r="G2518" s="28" t="s">
        <v>125</v>
      </c>
      <c r="H2518" s="28">
        <v>0</v>
      </c>
      <c r="J2518" s="28"/>
    </row>
    <row r="2519" spans="1:10" ht="15.75" customHeight="1">
      <c r="A2519" s="28">
        <v>18902</v>
      </c>
      <c r="B2519" s="91">
        <v>45080.492233796293</v>
      </c>
      <c r="C2519" s="28" t="s">
        <v>10</v>
      </c>
      <c r="D2519" s="28" t="s">
        <v>710</v>
      </c>
      <c r="E2519" s="28"/>
      <c r="F2519" s="28">
        <v>0</v>
      </c>
      <c r="G2519" s="28" t="s">
        <v>119</v>
      </c>
      <c r="H2519" s="28">
        <v>0</v>
      </c>
      <c r="J2519" s="28"/>
    </row>
    <row r="2520" spans="1:10" ht="15.75" customHeight="1">
      <c r="A2520" s="28">
        <v>18903</v>
      </c>
      <c r="B2520" s="91">
        <v>45080.510462962964</v>
      </c>
      <c r="C2520" s="28" t="s">
        <v>10</v>
      </c>
      <c r="D2520" s="28" t="s">
        <v>709</v>
      </c>
      <c r="E2520" s="28"/>
      <c r="F2520" s="28">
        <v>0</v>
      </c>
      <c r="G2520" s="28" t="s">
        <v>117</v>
      </c>
      <c r="H2520" s="28">
        <v>0</v>
      </c>
      <c r="J2520" s="28"/>
    </row>
    <row r="2521" spans="1:10" ht="15.75" customHeight="1">
      <c r="A2521" s="28">
        <v>18903</v>
      </c>
      <c r="B2521" s="91">
        <v>45080.510462962964</v>
      </c>
      <c r="C2521" s="28" t="s">
        <v>10</v>
      </c>
      <c r="D2521" s="28" t="s">
        <v>709</v>
      </c>
      <c r="E2521" s="28"/>
      <c r="F2521" s="28">
        <v>25</v>
      </c>
      <c r="G2521" s="28">
        <v>100692</v>
      </c>
      <c r="H2521" s="28">
        <v>0</v>
      </c>
      <c r="J2521" s="28"/>
    </row>
    <row r="2522" spans="1:10" ht="15.75" customHeight="1">
      <c r="A2522" s="28">
        <v>18903</v>
      </c>
      <c r="B2522" s="91">
        <v>45080.510462962964</v>
      </c>
      <c r="C2522" s="28" t="s">
        <v>10</v>
      </c>
      <c r="D2522" s="28" t="s">
        <v>709</v>
      </c>
      <c r="E2522" s="28"/>
      <c r="F2522" s="28">
        <v>0</v>
      </c>
      <c r="G2522" s="28" t="s">
        <v>125</v>
      </c>
      <c r="H2522" s="28">
        <v>0</v>
      </c>
      <c r="J2522" s="28"/>
    </row>
    <row r="2523" spans="1:10" ht="15.75" customHeight="1">
      <c r="A2523" s="28">
        <v>18903</v>
      </c>
      <c r="B2523" s="91">
        <v>45080.510462962964</v>
      </c>
      <c r="C2523" s="28" t="s">
        <v>10</v>
      </c>
      <c r="D2523" s="28" t="s">
        <v>709</v>
      </c>
      <c r="E2523" s="28"/>
      <c r="F2523" s="28">
        <v>0</v>
      </c>
      <c r="G2523" s="28" t="s">
        <v>119</v>
      </c>
      <c r="H2523" s="28">
        <v>0</v>
      </c>
      <c r="J2523" s="28"/>
    </row>
    <row r="2524" spans="1:10" ht="15.75" customHeight="1">
      <c r="A2524" s="28">
        <v>18904</v>
      </c>
      <c r="B2524" s="91">
        <v>45080.543437500004</v>
      </c>
      <c r="C2524" s="28" t="s">
        <v>10</v>
      </c>
      <c r="D2524" s="28" t="s">
        <v>708</v>
      </c>
      <c r="E2524" s="28"/>
      <c r="F2524" s="28">
        <v>56</v>
      </c>
      <c r="G2524" s="28" t="s">
        <v>143</v>
      </c>
      <c r="H2524" s="28">
        <v>0</v>
      </c>
      <c r="J2524" s="28"/>
    </row>
    <row r="2525" spans="1:10" ht="15.75" customHeight="1">
      <c r="A2525" s="28">
        <v>18905</v>
      </c>
      <c r="B2525" s="91">
        <v>45080.54415509259</v>
      </c>
      <c r="C2525" s="28" t="s">
        <v>10</v>
      </c>
      <c r="D2525" s="28" t="s">
        <v>707</v>
      </c>
      <c r="E2525" s="28"/>
      <c r="F2525" s="28">
        <v>26</v>
      </c>
      <c r="G2525" s="28" t="s">
        <v>122</v>
      </c>
      <c r="H2525" s="28">
        <v>0</v>
      </c>
      <c r="J2525" s="28"/>
    </row>
    <row r="2526" spans="1:10" ht="15.75" customHeight="1">
      <c r="A2526" s="28">
        <v>18906</v>
      </c>
      <c r="B2526" s="91">
        <v>45080.544525462959</v>
      </c>
      <c r="C2526" s="28" t="s">
        <v>10</v>
      </c>
      <c r="D2526" s="28" t="s">
        <v>706</v>
      </c>
      <c r="E2526" s="28"/>
      <c r="F2526" s="28">
        <v>26</v>
      </c>
      <c r="G2526" s="28" t="s">
        <v>122</v>
      </c>
      <c r="H2526" s="28">
        <v>0</v>
      </c>
      <c r="J2526" s="28"/>
    </row>
    <row r="2527" spans="1:10" ht="15.75" customHeight="1">
      <c r="A2527" s="28">
        <v>18907</v>
      </c>
      <c r="B2527" s="91">
        <v>45080.555543981478</v>
      </c>
      <c r="C2527" s="28" t="s">
        <v>10</v>
      </c>
      <c r="D2527" s="28" t="s">
        <v>705</v>
      </c>
      <c r="E2527" s="28"/>
      <c r="F2527" s="28">
        <v>25</v>
      </c>
      <c r="G2527" s="28">
        <v>100692</v>
      </c>
      <c r="H2527" s="28">
        <v>0</v>
      </c>
      <c r="J2527" s="28"/>
    </row>
    <row r="2528" spans="1:10" ht="15.75" customHeight="1">
      <c r="A2528" s="28">
        <v>18907</v>
      </c>
      <c r="B2528" s="91">
        <v>45080.555543981478</v>
      </c>
      <c r="C2528" s="28" t="s">
        <v>10</v>
      </c>
      <c r="D2528" s="28" t="s">
        <v>705</v>
      </c>
      <c r="E2528" s="28"/>
      <c r="F2528" s="28">
        <v>0</v>
      </c>
      <c r="G2528" s="28" t="s">
        <v>125</v>
      </c>
      <c r="H2528" s="28">
        <v>0</v>
      </c>
      <c r="J2528" s="28"/>
    </row>
    <row r="2529" spans="1:10" ht="15.75" customHeight="1">
      <c r="A2529" s="28">
        <v>18907</v>
      </c>
      <c r="B2529" s="91">
        <v>45080.555543981478</v>
      </c>
      <c r="C2529" s="28" t="s">
        <v>10</v>
      </c>
      <c r="D2529" s="28" t="s">
        <v>705</v>
      </c>
      <c r="E2529" s="28"/>
      <c r="F2529" s="28">
        <v>0</v>
      </c>
      <c r="G2529" s="28" t="s">
        <v>119</v>
      </c>
      <c r="H2529" s="28">
        <v>0</v>
      </c>
      <c r="J2529" s="28"/>
    </row>
    <row r="2530" spans="1:10" ht="15.75" customHeight="1">
      <c r="A2530" s="28">
        <v>18908</v>
      </c>
      <c r="B2530" s="91">
        <v>45080.558518518519</v>
      </c>
      <c r="C2530" s="28" t="s">
        <v>10</v>
      </c>
      <c r="D2530" s="28" t="s">
        <v>703</v>
      </c>
      <c r="E2530" s="28"/>
      <c r="F2530" s="28">
        <v>25</v>
      </c>
      <c r="G2530" s="28">
        <v>100692</v>
      </c>
      <c r="H2530" s="28">
        <v>0</v>
      </c>
      <c r="J2530" s="28"/>
    </row>
    <row r="2531" spans="1:10" ht="15.75" customHeight="1">
      <c r="A2531" s="28">
        <v>18908</v>
      </c>
      <c r="B2531" s="91">
        <v>45080.558518518519</v>
      </c>
      <c r="C2531" s="28" t="s">
        <v>10</v>
      </c>
      <c r="D2531" s="28" t="s">
        <v>703</v>
      </c>
      <c r="E2531" s="28"/>
      <c r="F2531" s="28">
        <v>0</v>
      </c>
      <c r="G2531" s="28" t="s">
        <v>125</v>
      </c>
      <c r="H2531" s="28">
        <v>0</v>
      </c>
      <c r="J2531" s="28"/>
    </row>
    <row r="2532" spans="1:10" ht="15.75" customHeight="1">
      <c r="A2532" s="28">
        <v>18908</v>
      </c>
      <c r="B2532" s="91">
        <v>45080.558518518519</v>
      </c>
      <c r="C2532" s="28" t="s">
        <v>10</v>
      </c>
      <c r="D2532" s="28" t="s">
        <v>703</v>
      </c>
      <c r="E2532" s="28"/>
      <c r="F2532" s="28">
        <v>0</v>
      </c>
      <c r="G2532" s="28" t="s">
        <v>119</v>
      </c>
      <c r="H2532" s="28">
        <v>0</v>
      </c>
      <c r="J2532" s="28"/>
    </row>
    <row r="2533" spans="1:10" ht="15.75" customHeight="1">
      <c r="A2533" s="28">
        <v>18909</v>
      </c>
      <c r="B2533" s="91">
        <v>45080.560127314813</v>
      </c>
      <c r="C2533" s="28" t="s">
        <v>10</v>
      </c>
      <c r="D2533" s="28" t="s">
        <v>704</v>
      </c>
      <c r="E2533" s="28"/>
      <c r="F2533" s="28">
        <v>25</v>
      </c>
      <c r="G2533" s="28">
        <v>100692</v>
      </c>
      <c r="H2533" s="28">
        <v>0</v>
      </c>
      <c r="J2533" s="28"/>
    </row>
    <row r="2534" spans="1:10" ht="15.75" customHeight="1">
      <c r="A2534" s="28">
        <v>18909</v>
      </c>
      <c r="B2534" s="91">
        <v>45080.560127314813</v>
      </c>
      <c r="C2534" s="28" t="s">
        <v>10</v>
      </c>
      <c r="D2534" s="28" t="s">
        <v>704</v>
      </c>
      <c r="E2534" s="28"/>
      <c r="F2534" s="28">
        <v>0</v>
      </c>
      <c r="G2534" s="28" t="s">
        <v>125</v>
      </c>
      <c r="H2534" s="28">
        <v>0</v>
      </c>
      <c r="J2534" s="28"/>
    </row>
    <row r="2535" spans="1:10" ht="15.75" customHeight="1">
      <c r="A2535" s="28">
        <v>18909</v>
      </c>
      <c r="B2535" s="91">
        <v>45080.560127314813</v>
      </c>
      <c r="C2535" s="28" t="s">
        <v>10</v>
      </c>
      <c r="D2535" s="28" t="s">
        <v>704</v>
      </c>
      <c r="E2535" s="28"/>
      <c r="F2535" s="28">
        <v>0</v>
      </c>
      <c r="G2535" s="28" t="s">
        <v>119</v>
      </c>
      <c r="H2535" s="28">
        <v>0</v>
      </c>
      <c r="J2535" s="28"/>
    </row>
    <row r="2536" spans="1:10" ht="15.75" customHeight="1">
      <c r="A2536" s="28">
        <v>18910</v>
      </c>
      <c r="B2536" s="91">
        <v>45080.562696759254</v>
      </c>
      <c r="C2536" s="28" t="s">
        <v>10</v>
      </c>
      <c r="D2536" s="28" t="s">
        <v>703</v>
      </c>
      <c r="E2536" s="28"/>
      <c r="F2536" s="28">
        <v>25</v>
      </c>
      <c r="G2536" s="28">
        <v>100692</v>
      </c>
      <c r="H2536" s="28">
        <v>0</v>
      </c>
      <c r="J2536" s="28"/>
    </row>
    <row r="2537" spans="1:10" ht="15.75" customHeight="1">
      <c r="A2537" s="28">
        <v>18910</v>
      </c>
      <c r="B2537" s="91">
        <v>45080.562696759254</v>
      </c>
      <c r="C2537" s="28" t="s">
        <v>10</v>
      </c>
      <c r="D2537" s="28" t="s">
        <v>703</v>
      </c>
      <c r="E2537" s="28"/>
      <c r="F2537" s="28">
        <v>0</v>
      </c>
      <c r="G2537" s="28" t="s">
        <v>125</v>
      </c>
      <c r="H2537" s="28">
        <v>0</v>
      </c>
      <c r="J2537" s="28"/>
    </row>
    <row r="2538" spans="1:10" ht="15.75" customHeight="1">
      <c r="A2538" s="28">
        <v>18910</v>
      </c>
      <c r="B2538" s="91">
        <v>45080.562696759254</v>
      </c>
      <c r="C2538" s="28" t="s">
        <v>10</v>
      </c>
      <c r="D2538" s="28" t="s">
        <v>703</v>
      </c>
      <c r="E2538" s="28"/>
      <c r="F2538" s="28">
        <v>0</v>
      </c>
      <c r="G2538" s="28" t="s">
        <v>119</v>
      </c>
      <c r="H2538" s="28">
        <v>0</v>
      </c>
      <c r="J2538" s="28"/>
    </row>
    <row r="2539" spans="1:10" ht="15.75" customHeight="1">
      <c r="A2539" s="28">
        <v>18910</v>
      </c>
      <c r="B2539" s="91">
        <v>45080.562696759254</v>
      </c>
      <c r="C2539" s="28" t="s">
        <v>10</v>
      </c>
      <c r="D2539" s="28" t="s">
        <v>703</v>
      </c>
      <c r="E2539" s="28"/>
      <c r="F2539" s="28">
        <v>20</v>
      </c>
      <c r="G2539" s="28" t="s">
        <v>205</v>
      </c>
      <c r="H2539" s="28">
        <v>0</v>
      </c>
      <c r="J2539" s="28"/>
    </row>
    <row r="2540" spans="1:10" ht="15.75" customHeight="1">
      <c r="A2540" s="28">
        <v>18910</v>
      </c>
      <c r="B2540" s="91">
        <v>45080.562696759254</v>
      </c>
      <c r="C2540" s="28" t="s">
        <v>10</v>
      </c>
      <c r="D2540" s="28" t="s">
        <v>703</v>
      </c>
      <c r="E2540" s="28"/>
      <c r="F2540" s="28">
        <v>0</v>
      </c>
      <c r="G2540" s="28" t="s">
        <v>125</v>
      </c>
      <c r="H2540" s="28">
        <v>0</v>
      </c>
      <c r="J2540" s="28"/>
    </row>
    <row r="2541" spans="1:10" ht="15.75" customHeight="1">
      <c r="A2541" s="28">
        <v>18911</v>
      </c>
      <c r="B2541" s="91">
        <v>45080.564768518518</v>
      </c>
      <c r="C2541" s="28" t="s">
        <v>10</v>
      </c>
      <c r="D2541" s="28" t="s">
        <v>702</v>
      </c>
      <c r="E2541" s="28"/>
      <c r="F2541" s="28">
        <v>18</v>
      </c>
      <c r="G2541" s="28" t="s">
        <v>119</v>
      </c>
      <c r="H2541" s="28">
        <v>0</v>
      </c>
      <c r="J2541" s="28"/>
    </row>
    <row r="2542" spans="1:10" ht="15.75" customHeight="1">
      <c r="A2542" s="28">
        <v>18912</v>
      </c>
      <c r="B2542" s="91">
        <v>45080.565138888887</v>
      </c>
      <c r="C2542" s="28" t="s">
        <v>10</v>
      </c>
      <c r="D2542" s="28" t="s">
        <v>701</v>
      </c>
      <c r="E2542" s="28"/>
      <c r="F2542" s="28">
        <v>20</v>
      </c>
      <c r="G2542" s="28"/>
      <c r="H2542" s="28">
        <v>0</v>
      </c>
      <c r="J2542" s="28"/>
    </row>
    <row r="2543" spans="1:10" ht="15.75" customHeight="1">
      <c r="A2543" s="28">
        <v>18912</v>
      </c>
      <c r="B2543" s="91">
        <v>45080.565138888887</v>
      </c>
      <c r="C2543" s="28" t="s">
        <v>10</v>
      </c>
      <c r="D2543" s="28" t="s">
        <v>701</v>
      </c>
      <c r="E2543" s="28"/>
      <c r="F2543" s="28">
        <v>0</v>
      </c>
      <c r="G2543" s="28" t="s">
        <v>117</v>
      </c>
      <c r="H2543" s="28">
        <v>0</v>
      </c>
      <c r="J2543" s="28"/>
    </row>
    <row r="2544" spans="1:10" ht="15.75" customHeight="1">
      <c r="A2544" s="28">
        <v>18913</v>
      </c>
      <c r="B2544" s="91">
        <v>45080.565810185188</v>
      </c>
      <c r="C2544" s="28" t="s">
        <v>10</v>
      </c>
      <c r="D2544" s="28" t="s">
        <v>700</v>
      </c>
      <c r="E2544" s="28"/>
      <c r="F2544" s="28">
        <v>28</v>
      </c>
      <c r="G2544" s="28" t="s">
        <v>143</v>
      </c>
      <c r="H2544" s="28">
        <v>0</v>
      </c>
      <c r="J2544" s="28"/>
    </row>
    <row r="2545" spans="1:10" ht="15.75" customHeight="1">
      <c r="A2545" s="28">
        <v>18914</v>
      </c>
      <c r="B2545" s="91">
        <v>45080.568784722222</v>
      </c>
      <c r="C2545" s="28" t="s">
        <v>10</v>
      </c>
      <c r="D2545" s="28" t="s">
        <v>699</v>
      </c>
      <c r="E2545" s="28"/>
      <c r="F2545" s="28">
        <v>28</v>
      </c>
      <c r="G2545" s="28" t="s">
        <v>143</v>
      </c>
      <c r="H2545" s="28">
        <v>0</v>
      </c>
      <c r="J2545" s="28"/>
    </row>
    <row r="2546" spans="1:10" ht="15.75" customHeight="1">
      <c r="A2546" s="28">
        <v>18915</v>
      </c>
      <c r="B2546" s="91">
        <v>45080.570150462961</v>
      </c>
      <c r="C2546" s="28" t="s">
        <v>10</v>
      </c>
      <c r="D2546" s="28" t="s">
        <v>698</v>
      </c>
      <c r="E2546" s="28"/>
      <c r="F2546" s="28">
        <v>0</v>
      </c>
      <c r="G2546" s="28" t="s">
        <v>117</v>
      </c>
      <c r="H2546" s="28">
        <v>0</v>
      </c>
      <c r="J2546" s="28"/>
    </row>
    <row r="2547" spans="1:10" ht="15.75" customHeight="1">
      <c r="A2547" s="28">
        <v>18915</v>
      </c>
      <c r="B2547" s="91">
        <v>45080.570150462961</v>
      </c>
      <c r="C2547" s="28" t="s">
        <v>10</v>
      </c>
      <c r="D2547" s="28" t="s">
        <v>698</v>
      </c>
      <c r="E2547" s="28"/>
      <c r="F2547" s="28">
        <v>20</v>
      </c>
      <c r="G2547" s="28" t="s">
        <v>261</v>
      </c>
      <c r="H2547" s="28">
        <v>0</v>
      </c>
      <c r="J2547" s="28"/>
    </row>
    <row r="2548" spans="1:10" ht="15.75" customHeight="1">
      <c r="A2548" s="28">
        <v>18916</v>
      </c>
      <c r="B2548" s="91">
        <v>45080.571400462963</v>
      </c>
      <c r="C2548" s="28" t="s">
        <v>10</v>
      </c>
      <c r="D2548" s="28" t="s">
        <v>697</v>
      </c>
      <c r="E2548" s="28"/>
      <c r="F2548" s="28">
        <v>25</v>
      </c>
      <c r="G2548" s="28">
        <v>100692</v>
      </c>
      <c r="H2548" s="28">
        <v>0</v>
      </c>
      <c r="J2548" s="28"/>
    </row>
    <row r="2549" spans="1:10" ht="15.75" customHeight="1">
      <c r="A2549" s="28">
        <v>18916</v>
      </c>
      <c r="B2549" s="91">
        <v>45080.571400462963</v>
      </c>
      <c r="C2549" s="28" t="s">
        <v>10</v>
      </c>
      <c r="D2549" s="28" t="s">
        <v>697</v>
      </c>
      <c r="E2549" s="28"/>
      <c r="F2549" s="28">
        <v>0</v>
      </c>
      <c r="G2549" s="28" t="s">
        <v>125</v>
      </c>
      <c r="H2549" s="28">
        <v>0</v>
      </c>
      <c r="J2549" s="28"/>
    </row>
    <row r="2550" spans="1:10" ht="15.75" customHeight="1">
      <c r="A2550" s="28">
        <v>18916</v>
      </c>
      <c r="B2550" s="91">
        <v>45080.571400462963</v>
      </c>
      <c r="C2550" s="28" t="s">
        <v>10</v>
      </c>
      <c r="D2550" s="28" t="s">
        <v>697</v>
      </c>
      <c r="E2550" s="28"/>
      <c r="F2550" s="28">
        <v>0</v>
      </c>
      <c r="G2550" s="28" t="s">
        <v>119</v>
      </c>
      <c r="H2550" s="28">
        <v>0</v>
      </c>
      <c r="J2550" s="28"/>
    </row>
    <row r="2551" spans="1:10" ht="15.75" customHeight="1">
      <c r="A2551" s="28">
        <v>18917</v>
      </c>
      <c r="B2551" s="91">
        <v>45080.582465277781</v>
      </c>
      <c r="C2551" s="28" t="s">
        <v>10</v>
      </c>
      <c r="D2551" s="28" t="s">
        <v>696</v>
      </c>
      <c r="E2551" s="28"/>
      <c r="F2551" s="28">
        <v>0</v>
      </c>
      <c r="G2551" s="28" t="s">
        <v>117</v>
      </c>
      <c r="H2551" s="28">
        <v>0</v>
      </c>
      <c r="J2551" s="28"/>
    </row>
    <row r="2552" spans="1:10" ht="15.75" customHeight="1">
      <c r="A2552" s="28">
        <v>18917</v>
      </c>
      <c r="B2552" s="91">
        <v>45080.582465277781</v>
      </c>
      <c r="C2552" s="28" t="s">
        <v>10</v>
      </c>
      <c r="D2552" s="28" t="s">
        <v>696</v>
      </c>
      <c r="E2552" s="28"/>
      <c r="F2552" s="28">
        <v>28</v>
      </c>
      <c r="G2552" s="28" t="s">
        <v>143</v>
      </c>
      <c r="H2552" s="28">
        <v>0</v>
      </c>
      <c r="J2552" s="28"/>
    </row>
    <row r="2553" spans="1:10" ht="15.75" customHeight="1">
      <c r="A2553" s="28">
        <v>18917</v>
      </c>
      <c r="B2553" s="91">
        <v>45080.582465277781</v>
      </c>
      <c r="C2553" s="28" t="s">
        <v>10</v>
      </c>
      <c r="D2553" s="28" t="s">
        <v>696</v>
      </c>
      <c r="E2553" s="28"/>
      <c r="F2553" s="28">
        <v>25</v>
      </c>
      <c r="G2553" s="28">
        <v>100692</v>
      </c>
      <c r="H2553" s="28">
        <v>0</v>
      </c>
      <c r="J2553" s="28"/>
    </row>
    <row r="2554" spans="1:10" ht="15.75" customHeight="1">
      <c r="A2554" s="28">
        <v>18917</v>
      </c>
      <c r="B2554" s="91">
        <v>45080.582465277781</v>
      </c>
      <c r="C2554" s="28" t="s">
        <v>10</v>
      </c>
      <c r="D2554" s="28" t="s">
        <v>696</v>
      </c>
      <c r="E2554" s="28"/>
      <c r="F2554" s="28">
        <v>0</v>
      </c>
      <c r="G2554" s="28" t="s">
        <v>125</v>
      </c>
      <c r="H2554" s="28">
        <v>0</v>
      </c>
      <c r="J2554" s="28"/>
    </row>
    <row r="2555" spans="1:10" ht="15.75" customHeight="1">
      <c r="A2555" s="28">
        <v>18917</v>
      </c>
      <c r="B2555" s="91">
        <v>45080.582465277781</v>
      </c>
      <c r="C2555" s="28" t="s">
        <v>10</v>
      </c>
      <c r="D2555" s="28" t="s">
        <v>696</v>
      </c>
      <c r="E2555" s="28"/>
      <c r="F2555" s="28">
        <v>0</v>
      </c>
      <c r="G2555" s="28" t="s">
        <v>119</v>
      </c>
      <c r="H2555" s="28">
        <v>0</v>
      </c>
      <c r="J2555" s="28"/>
    </row>
    <row r="2556" spans="1:10" ht="15.75" customHeight="1">
      <c r="A2556" s="28">
        <v>18917</v>
      </c>
      <c r="B2556" s="91">
        <v>45080.582465277781</v>
      </c>
      <c r="C2556" s="28" t="s">
        <v>10</v>
      </c>
      <c r="D2556" s="28" t="s">
        <v>696</v>
      </c>
      <c r="E2556" s="28"/>
      <c r="F2556" s="28">
        <v>20</v>
      </c>
      <c r="G2556" s="28" t="s">
        <v>205</v>
      </c>
      <c r="H2556" s="28">
        <v>0</v>
      </c>
      <c r="J2556" s="28"/>
    </row>
    <row r="2557" spans="1:10" ht="15.75" customHeight="1">
      <c r="A2557" s="28">
        <v>18917</v>
      </c>
      <c r="B2557" s="91">
        <v>45080.582465277781</v>
      </c>
      <c r="C2557" s="28" t="s">
        <v>10</v>
      </c>
      <c r="D2557" s="28" t="s">
        <v>696</v>
      </c>
      <c r="E2557" s="28"/>
      <c r="F2557" s="28">
        <v>0</v>
      </c>
      <c r="G2557" s="28" t="s">
        <v>125</v>
      </c>
      <c r="H2557" s="28">
        <v>0</v>
      </c>
      <c r="J2557" s="28"/>
    </row>
    <row r="2558" spans="1:10" ht="15.75" customHeight="1">
      <c r="A2558" s="28">
        <v>18918</v>
      </c>
      <c r="B2558" s="91">
        <v>45080.60356481481</v>
      </c>
      <c r="C2558" s="28" t="s">
        <v>10</v>
      </c>
      <c r="D2558" s="28" t="s">
        <v>695</v>
      </c>
      <c r="E2558" s="28"/>
      <c r="F2558" s="28">
        <v>15</v>
      </c>
      <c r="G2558" s="28" t="s">
        <v>125</v>
      </c>
      <c r="H2558" s="28">
        <v>0</v>
      </c>
      <c r="J2558" s="28"/>
    </row>
    <row r="2559" spans="1:10" ht="15.75" customHeight="1">
      <c r="A2559" s="28">
        <v>18919</v>
      </c>
      <c r="B2559" s="91">
        <v>45080.618402777778</v>
      </c>
      <c r="C2559" s="28" t="s">
        <v>10</v>
      </c>
      <c r="D2559" s="28" t="s">
        <v>694</v>
      </c>
      <c r="E2559" s="28"/>
      <c r="F2559" s="28">
        <v>35</v>
      </c>
      <c r="G2559" s="28" t="s">
        <v>124</v>
      </c>
      <c r="H2559" s="28">
        <v>0</v>
      </c>
      <c r="J2559" s="28"/>
    </row>
    <row r="2560" spans="1:10" ht="15.75" customHeight="1">
      <c r="A2560" s="28">
        <v>18919</v>
      </c>
      <c r="B2560" s="91">
        <v>45080.618402777778</v>
      </c>
      <c r="C2560" s="28" t="s">
        <v>10</v>
      </c>
      <c r="D2560" s="28" t="s">
        <v>694</v>
      </c>
      <c r="E2560" s="28"/>
      <c r="F2560" s="28">
        <v>0</v>
      </c>
      <c r="G2560" s="28" t="s">
        <v>125</v>
      </c>
      <c r="H2560" s="28">
        <v>0</v>
      </c>
      <c r="J2560" s="28"/>
    </row>
    <row r="2561" spans="1:10" ht="15.75" customHeight="1">
      <c r="A2561" s="28">
        <v>18919</v>
      </c>
      <c r="B2561" s="91">
        <v>45080.618402777778</v>
      </c>
      <c r="C2561" s="28" t="s">
        <v>10</v>
      </c>
      <c r="D2561" s="28" t="s">
        <v>694</v>
      </c>
      <c r="E2561" s="28"/>
      <c r="F2561" s="28">
        <v>0</v>
      </c>
      <c r="G2561" s="28" t="s">
        <v>119</v>
      </c>
      <c r="H2561" s="28">
        <v>0</v>
      </c>
      <c r="J2561" s="28"/>
    </row>
    <row r="2562" spans="1:10" ht="15.75" customHeight="1">
      <c r="A2562" s="28">
        <v>18919</v>
      </c>
      <c r="B2562" s="91">
        <v>45080.618402777778</v>
      </c>
      <c r="C2562" s="28" t="s">
        <v>10</v>
      </c>
      <c r="D2562" s="28" t="s">
        <v>694</v>
      </c>
      <c r="E2562" s="28"/>
      <c r="F2562" s="28">
        <v>0</v>
      </c>
      <c r="G2562" s="28" t="s">
        <v>121</v>
      </c>
      <c r="H2562" s="28">
        <v>0</v>
      </c>
      <c r="J2562" s="28"/>
    </row>
    <row r="2563" spans="1:10" ht="15.75" customHeight="1">
      <c r="A2563" s="28">
        <v>18920</v>
      </c>
      <c r="B2563" s="91">
        <v>45080.626331018517</v>
      </c>
      <c r="C2563" s="28" t="s">
        <v>10</v>
      </c>
      <c r="D2563" s="28" t="s">
        <v>693</v>
      </c>
      <c r="E2563" s="28"/>
      <c r="F2563" s="28">
        <v>26</v>
      </c>
      <c r="G2563" s="28" t="s">
        <v>122</v>
      </c>
      <c r="H2563" s="28">
        <v>0</v>
      </c>
      <c r="J2563" s="28"/>
    </row>
    <row r="2564" spans="1:10" ht="15.75" customHeight="1">
      <c r="A2564" s="28">
        <v>18921</v>
      </c>
      <c r="B2564" s="91">
        <v>45080.67900462963</v>
      </c>
      <c r="C2564" s="28" t="s">
        <v>10</v>
      </c>
      <c r="D2564" s="28" t="s">
        <v>692</v>
      </c>
      <c r="E2564" s="28"/>
      <c r="F2564" s="28">
        <v>15</v>
      </c>
      <c r="G2564" s="28" t="s">
        <v>170</v>
      </c>
      <c r="H2564" s="28">
        <v>0</v>
      </c>
      <c r="J2564" s="28"/>
    </row>
    <row r="2565" spans="1:10" ht="15.75" customHeight="1">
      <c r="A2565" s="28">
        <v>18921</v>
      </c>
      <c r="B2565" s="91">
        <v>45080.67900462963</v>
      </c>
      <c r="C2565" s="28" t="s">
        <v>10</v>
      </c>
      <c r="D2565" s="28" t="s">
        <v>692</v>
      </c>
      <c r="E2565" s="28"/>
      <c r="F2565" s="28">
        <v>26</v>
      </c>
      <c r="G2565" s="28" t="s">
        <v>122</v>
      </c>
      <c r="H2565" s="28">
        <v>0</v>
      </c>
      <c r="J2565" s="28"/>
    </row>
    <row r="2566" spans="1:10" ht="15.75" customHeight="1">
      <c r="A2566" s="28">
        <v>18922</v>
      </c>
      <c r="B2566" s="91">
        <v>45080.701597222222</v>
      </c>
      <c r="C2566" s="28" t="s">
        <v>10</v>
      </c>
      <c r="D2566" s="28" t="s">
        <v>691</v>
      </c>
      <c r="E2566" s="28"/>
      <c r="F2566" s="28">
        <v>50</v>
      </c>
      <c r="G2566" s="28">
        <v>100692</v>
      </c>
      <c r="H2566" s="28">
        <v>0</v>
      </c>
      <c r="J2566" s="28"/>
    </row>
    <row r="2567" spans="1:10" ht="15.75" customHeight="1">
      <c r="A2567" s="28">
        <v>18922</v>
      </c>
      <c r="B2567" s="91">
        <v>45080.701597222222</v>
      </c>
      <c r="C2567" s="28" t="s">
        <v>10</v>
      </c>
      <c r="D2567" s="28" t="s">
        <v>691</v>
      </c>
      <c r="E2567" s="28"/>
      <c r="F2567" s="28">
        <v>0</v>
      </c>
      <c r="G2567" s="28" t="s">
        <v>125</v>
      </c>
      <c r="H2567" s="28">
        <v>0</v>
      </c>
      <c r="J2567" s="28"/>
    </row>
    <row r="2568" spans="1:10" ht="15.75" customHeight="1">
      <c r="A2568" s="28">
        <v>18922</v>
      </c>
      <c r="B2568" s="91">
        <v>45080.701597222222</v>
      </c>
      <c r="C2568" s="28" t="s">
        <v>10</v>
      </c>
      <c r="D2568" s="28" t="s">
        <v>691</v>
      </c>
      <c r="E2568" s="28"/>
      <c r="F2568" s="28">
        <v>0</v>
      </c>
      <c r="G2568" s="28" t="s">
        <v>119</v>
      </c>
      <c r="H2568" s="28">
        <v>0</v>
      </c>
      <c r="J2568" s="28"/>
    </row>
    <row r="2569" spans="1:10" ht="15.75" customHeight="1">
      <c r="A2569" s="28">
        <v>18923</v>
      </c>
      <c r="B2569" s="91">
        <v>45080.702592592592</v>
      </c>
      <c r="C2569" s="28" t="s">
        <v>10</v>
      </c>
      <c r="D2569" s="28" t="s">
        <v>690</v>
      </c>
      <c r="E2569" s="28"/>
      <c r="F2569" s="28">
        <v>55</v>
      </c>
      <c r="G2569" s="28">
        <v>101684</v>
      </c>
      <c r="H2569" s="28">
        <v>0</v>
      </c>
      <c r="J2569" s="28"/>
    </row>
    <row r="2570" spans="1:10" ht="15.75" customHeight="1">
      <c r="A2570" s="28">
        <v>18923</v>
      </c>
      <c r="B2570" s="91">
        <v>45080.702592592592</v>
      </c>
      <c r="C2570" s="28" t="s">
        <v>10</v>
      </c>
      <c r="D2570" s="28" t="s">
        <v>690</v>
      </c>
      <c r="E2570" s="28"/>
      <c r="F2570" s="28">
        <v>0</v>
      </c>
      <c r="G2570" s="28" t="s">
        <v>118</v>
      </c>
      <c r="H2570" s="28">
        <v>0</v>
      </c>
      <c r="J2570" s="28"/>
    </row>
    <row r="2571" spans="1:10" ht="15.75" customHeight="1">
      <c r="A2571" s="28">
        <v>18923</v>
      </c>
      <c r="B2571" s="91">
        <v>45080.702592592592</v>
      </c>
      <c r="C2571" s="28" t="s">
        <v>10</v>
      </c>
      <c r="D2571" s="28" t="s">
        <v>690</v>
      </c>
      <c r="E2571" s="28"/>
      <c r="F2571" s="28">
        <v>0</v>
      </c>
      <c r="G2571" s="28" t="s">
        <v>119</v>
      </c>
      <c r="H2571" s="28">
        <v>0</v>
      </c>
      <c r="J2571" s="28"/>
    </row>
    <row r="2572" spans="1:10" ht="15.75" customHeight="1">
      <c r="A2572" s="28">
        <v>18923</v>
      </c>
      <c r="B2572" s="91">
        <v>45080.702592592592</v>
      </c>
      <c r="C2572" s="28" t="s">
        <v>10</v>
      </c>
      <c r="D2572" s="28" t="s">
        <v>690</v>
      </c>
      <c r="E2572" s="28"/>
      <c r="F2572" s="28">
        <v>0</v>
      </c>
      <c r="G2572" s="28" t="s">
        <v>120</v>
      </c>
      <c r="H2572" s="28">
        <v>0</v>
      </c>
      <c r="J2572" s="28"/>
    </row>
    <row r="2573" spans="1:10" ht="15.75" customHeight="1">
      <c r="A2573" s="28">
        <v>18923</v>
      </c>
      <c r="B2573" s="91">
        <v>45080.702592592592</v>
      </c>
      <c r="C2573" s="28" t="s">
        <v>10</v>
      </c>
      <c r="D2573" s="28" t="s">
        <v>690</v>
      </c>
      <c r="E2573" s="28"/>
      <c r="F2573" s="28">
        <v>0</v>
      </c>
      <c r="G2573" s="28" t="s">
        <v>121</v>
      </c>
      <c r="H2573" s="28">
        <v>0</v>
      </c>
      <c r="J2573" s="28"/>
    </row>
    <row r="2574" spans="1:10" ht="15.75" customHeight="1">
      <c r="A2574" s="28">
        <v>18924</v>
      </c>
      <c r="B2574" s="91">
        <v>45080.738333333335</v>
      </c>
      <c r="C2574" s="28" t="s">
        <v>10</v>
      </c>
      <c r="D2574" s="28" t="s">
        <v>689</v>
      </c>
      <c r="E2574" s="28"/>
      <c r="F2574" s="28">
        <v>18</v>
      </c>
      <c r="G2574" s="28" t="s">
        <v>119</v>
      </c>
      <c r="H2574" s="28">
        <v>0</v>
      </c>
      <c r="J2574" s="28"/>
    </row>
    <row r="2575" spans="1:10" ht="15.75" customHeight="1">
      <c r="A2575" s="28">
        <v>18925</v>
      </c>
      <c r="B2575" s="91">
        <v>45080.759837962964</v>
      </c>
      <c r="C2575" s="28" t="s">
        <v>10</v>
      </c>
      <c r="D2575" s="28" t="s">
        <v>688</v>
      </c>
      <c r="E2575" s="28"/>
      <c r="F2575" s="28">
        <v>26</v>
      </c>
      <c r="G2575" s="28" t="s">
        <v>122</v>
      </c>
      <c r="H2575" s="28">
        <v>0</v>
      </c>
      <c r="J2575" s="28"/>
    </row>
    <row r="2576" spans="1:10" ht="15.75" customHeight="1">
      <c r="A2576" s="28">
        <v>18926</v>
      </c>
      <c r="B2576" s="91">
        <v>45080.776585648149</v>
      </c>
      <c r="C2576" s="28" t="s">
        <v>10</v>
      </c>
      <c r="D2576" s="28" t="s">
        <v>687</v>
      </c>
      <c r="E2576" s="28"/>
      <c r="F2576" s="28">
        <v>20</v>
      </c>
      <c r="G2576" s="28"/>
      <c r="H2576" s="28">
        <v>0</v>
      </c>
      <c r="J2576" s="28"/>
    </row>
    <row r="2577" spans="1:10" ht="15.75" customHeight="1">
      <c r="A2577" s="28">
        <v>18927</v>
      </c>
      <c r="B2577" s="91">
        <v>45080.786469907413</v>
      </c>
      <c r="C2577" s="28" t="s">
        <v>10</v>
      </c>
      <c r="D2577" s="28" t="s">
        <v>686</v>
      </c>
      <c r="E2577" s="28"/>
      <c r="F2577" s="28">
        <v>55</v>
      </c>
      <c r="G2577" s="28">
        <v>101684</v>
      </c>
      <c r="H2577" s="28">
        <v>0</v>
      </c>
      <c r="J2577" s="28"/>
    </row>
    <row r="2578" spans="1:10" ht="15.75" customHeight="1">
      <c r="A2578" s="28">
        <v>18927</v>
      </c>
      <c r="B2578" s="91">
        <v>45080.786469907413</v>
      </c>
      <c r="C2578" s="28" t="s">
        <v>10</v>
      </c>
      <c r="D2578" s="28" t="s">
        <v>686</v>
      </c>
      <c r="E2578" s="28"/>
      <c r="F2578" s="28">
        <v>0</v>
      </c>
      <c r="G2578" s="28" t="s">
        <v>118</v>
      </c>
      <c r="H2578" s="28">
        <v>0</v>
      </c>
      <c r="J2578" s="28"/>
    </row>
    <row r="2579" spans="1:10" ht="15.75" customHeight="1">
      <c r="A2579" s="28">
        <v>18927</v>
      </c>
      <c r="B2579" s="91">
        <v>45080.786469907413</v>
      </c>
      <c r="C2579" s="28" t="s">
        <v>10</v>
      </c>
      <c r="D2579" s="28" t="s">
        <v>686</v>
      </c>
      <c r="E2579" s="28"/>
      <c r="F2579" s="28">
        <v>0</v>
      </c>
      <c r="G2579" s="28" t="s">
        <v>119</v>
      </c>
      <c r="H2579" s="28">
        <v>0</v>
      </c>
      <c r="J2579" s="28"/>
    </row>
    <row r="2580" spans="1:10" ht="15.75" customHeight="1">
      <c r="A2580" s="28">
        <v>18927</v>
      </c>
      <c r="B2580" s="91">
        <v>45080.786469907413</v>
      </c>
      <c r="C2580" s="28" t="s">
        <v>10</v>
      </c>
      <c r="D2580" s="28" t="s">
        <v>686</v>
      </c>
      <c r="E2580" s="28"/>
      <c r="F2580" s="28">
        <v>0</v>
      </c>
      <c r="G2580" s="28" t="s">
        <v>120</v>
      </c>
      <c r="H2580" s="28">
        <v>0</v>
      </c>
      <c r="J2580" s="28"/>
    </row>
    <row r="2581" spans="1:10" ht="15.75" customHeight="1">
      <c r="A2581" s="28">
        <v>18927</v>
      </c>
      <c r="B2581" s="91">
        <v>45080.786469907413</v>
      </c>
      <c r="C2581" s="28" t="s">
        <v>10</v>
      </c>
      <c r="D2581" s="28" t="s">
        <v>686</v>
      </c>
      <c r="E2581" s="28"/>
      <c r="F2581" s="28">
        <v>0</v>
      </c>
      <c r="G2581" s="28" t="s">
        <v>121</v>
      </c>
      <c r="H2581" s="28">
        <v>0</v>
      </c>
      <c r="J2581" s="28"/>
    </row>
    <row r="2582" spans="1:10" ht="15.75" customHeight="1">
      <c r="A2582" s="28">
        <v>18928</v>
      </c>
      <c r="B2582" s="91">
        <v>45080.967083333337</v>
      </c>
      <c r="C2582" s="28" t="s">
        <v>10</v>
      </c>
      <c r="D2582" s="28" t="s">
        <v>685</v>
      </c>
      <c r="E2582" s="28"/>
      <c r="F2582" s="28">
        <v>26</v>
      </c>
      <c r="G2582" s="28" t="s">
        <v>122</v>
      </c>
      <c r="H2582" s="28">
        <v>0</v>
      </c>
      <c r="J2582" s="28"/>
    </row>
    <row r="2583" spans="1:10" ht="15.75" customHeight="1">
      <c r="A2583" s="28">
        <v>18929</v>
      </c>
      <c r="B2583" s="91">
        <v>45081.111481481479</v>
      </c>
      <c r="C2583" s="28" t="s">
        <v>10</v>
      </c>
      <c r="D2583" s="28" t="s">
        <v>684</v>
      </c>
      <c r="E2583" s="28"/>
      <c r="F2583" s="28">
        <v>25</v>
      </c>
      <c r="G2583" s="28">
        <v>100692</v>
      </c>
      <c r="H2583" s="28">
        <v>0</v>
      </c>
      <c r="J2583" s="28"/>
    </row>
    <row r="2584" spans="1:10" ht="15.75" customHeight="1">
      <c r="A2584" s="28">
        <v>18929</v>
      </c>
      <c r="B2584" s="91">
        <v>45081.111481481479</v>
      </c>
      <c r="C2584" s="28" t="s">
        <v>10</v>
      </c>
      <c r="D2584" s="28" t="s">
        <v>684</v>
      </c>
      <c r="E2584" s="28"/>
      <c r="F2584" s="28">
        <v>0</v>
      </c>
      <c r="G2584" s="28" t="s">
        <v>125</v>
      </c>
      <c r="H2584" s="28">
        <v>0</v>
      </c>
      <c r="J2584" s="28"/>
    </row>
    <row r="2585" spans="1:10" ht="15.75" customHeight="1">
      <c r="A2585" s="28">
        <v>18929</v>
      </c>
      <c r="B2585" s="91">
        <v>45081.111481481479</v>
      </c>
      <c r="C2585" s="28" t="s">
        <v>10</v>
      </c>
      <c r="D2585" s="28" t="s">
        <v>684</v>
      </c>
      <c r="E2585" s="28"/>
      <c r="F2585" s="28">
        <v>0</v>
      </c>
      <c r="G2585" s="28" t="s">
        <v>119</v>
      </c>
      <c r="H2585" s="28">
        <v>0</v>
      </c>
      <c r="J2585" s="28"/>
    </row>
    <row r="2586" spans="1:10" ht="15.75" customHeight="1">
      <c r="A2586" s="28">
        <v>18930</v>
      </c>
      <c r="B2586" s="91">
        <v>45081.55400462963</v>
      </c>
      <c r="C2586" s="28" t="s">
        <v>10</v>
      </c>
      <c r="D2586" s="28" t="s">
        <v>683</v>
      </c>
      <c r="E2586" s="28"/>
      <c r="F2586" s="28">
        <v>20</v>
      </c>
      <c r="G2586" s="28" t="s">
        <v>121</v>
      </c>
      <c r="H2586" s="28">
        <v>0</v>
      </c>
      <c r="J2586" s="28"/>
    </row>
    <row r="2587" spans="1:10" ht="15.75" customHeight="1">
      <c r="A2587" s="28">
        <v>18930</v>
      </c>
      <c r="B2587" s="91">
        <v>45081.55400462963</v>
      </c>
      <c r="C2587" s="28" t="s">
        <v>10</v>
      </c>
      <c r="D2587" s="28" t="s">
        <v>683</v>
      </c>
      <c r="E2587" s="28"/>
      <c r="F2587" s="28">
        <v>18</v>
      </c>
      <c r="G2587" s="28" t="s">
        <v>457</v>
      </c>
      <c r="H2587" s="28">
        <v>0</v>
      </c>
      <c r="J2587" s="28"/>
    </row>
    <row r="2588" spans="1:10" ht="15.75" customHeight="1">
      <c r="A2588" s="28">
        <v>18931</v>
      </c>
      <c r="B2588" s="91">
        <v>45081.559178240743</v>
      </c>
      <c r="C2588" s="28" t="s">
        <v>10</v>
      </c>
      <c r="D2588" s="28" t="s">
        <v>682</v>
      </c>
      <c r="E2588" s="28"/>
      <c r="F2588" s="28">
        <v>25</v>
      </c>
      <c r="G2588" s="28">
        <v>100692</v>
      </c>
      <c r="H2588" s="28">
        <v>0</v>
      </c>
      <c r="J2588" s="28"/>
    </row>
    <row r="2589" spans="1:10" ht="15.75" customHeight="1">
      <c r="A2589" s="28">
        <v>18931</v>
      </c>
      <c r="B2589" s="91">
        <v>45081.559178240743</v>
      </c>
      <c r="C2589" s="28" t="s">
        <v>10</v>
      </c>
      <c r="D2589" s="28" t="s">
        <v>682</v>
      </c>
      <c r="E2589" s="28"/>
      <c r="F2589" s="28">
        <v>0</v>
      </c>
      <c r="G2589" s="28" t="s">
        <v>125</v>
      </c>
      <c r="H2589" s="28">
        <v>0</v>
      </c>
      <c r="J2589" s="28"/>
    </row>
    <row r="2590" spans="1:10" ht="15.75" customHeight="1">
      <c r="A2590" s="28">
        <v>18931</v>
      </c>
      <c r="B2590" s="91">
        <v>45081.559178240743</v>
      </c>
      <c r="C2590" s="28" t="s">
        <v>10</v>
      </c>
      <c r="D2590" s="28" t="s">
        <v>682</v>
      </c>
      <c r="E2590" s="28"/>
      <c r="F2590" s="28">
        <v>0</v>
      </c>
      <c r="G2590" s="28" t="s">
        <v>119</v>
      </c>
      <c r="H2590" s="28">
        <v>0</v>
      </c>
      <c r="J2590" s="28"/>
    </row>
    <row r="2591" spans="1:10" ht="15.75" customHeight="1">
      <c r="A2591" s="28">
        <v>18932</v>
      </c>
      <c r="B2591" s="91">
        <v>45082.035543981481</v>
      </c>
      <c r="C2591" s="28" t="s">
        <v>10</v>
      </c>
      <c r="D2591" s="28" t="s">
        <v>681</v>
      </c>
      <c r="E2591" s="28"/>
      <c r="F2591" s="28">
        <v>26</v>
      </c>
      <c r="G2591" s="28" t="s">
        <v>122</v>
      </c>
      <c r="H2591" s="28">
        <v>0</v>
      </c>
      <c r="J2591" s="28"/>
    </row>
    <row r="2592" spans="1:10" ht="15.75" customHeight="1">
      <c r="A2592" s="28">
        <v>18933</v>
      </c>
      <c r="B2592" s="91">
        <v>45082.700335648144</v>
      </c>
      <c r="C2592" s="28" t="s">
        <v>10</v>
      </c>
      <c r="D2592" s="28" t="s">
        <v>680</v>
      </c>
      <c r="E2592" s="28"/>
      <c r="F2592" s="28">
        <v>25</v>
      </c>
      <c r="G2592" s="28">
        <v>100692</v>
      </c>
      <c r="H2592" s="28">
        <v>0</v>
      </c>
      <c r="J2592" s="28"/>
    </row>
    <row r="2593" spans="1:10" ht="15.75" customHeight="1">
      <c r="A2593" s="28">
        <v>18933</v>
      </c>
      <c r="B2593" s="91">
        <v>45082.700335648144</v>
      </c>
      <c r="C2593" s="28" t="s">
        <v>10</v>
      </c>
      <c r="D2593" s="28" t="s">
        <v>680</v>
      </c>
      <c r="E2593" s="28"/>
      <c r="F2593" s="28">
        <v>0</v>
      </c>
      <c r="G2593" s="28" t="s">
        <v>125</v>
      </c>
      <c r="H2593" s="28">
        <v>0</v>
      </c>
      <c r="J2593" s="28"/>
    </row>
    <row r="2594" spans="1:10" ht="15.75" customHeight="1">
      <c r="A2594" s="28">
        <v>18933</v>
      </c>
      <c r="B2594" s="91">
        <v>45082.700335648144</v>
      </c>
      <c r="C2594" s="28" t="s">
        <v>10</v>
      </c>
      <c r="D2594" s="28" t="s">
        <v>680</v>
      </c>
      <c r="E2594" s="28"/>
      <c r="F2594" s="28">
        <v>0</v>
      </c>
      <c r="G2594" s="28" t="s">
        <v>119</v>
      </c>
      <c r="H2594" s="28">
        <v>0</v>
      </c>
      <c r="J2594" s="28"/>
    </row>
    <row r="2595" spans="1:10" ht="15.75" customHeight="1">
      <c r="A2595" s="28">
        <v>18934</v>
      </c>
      <c r="B2595" s="91">
        <v>45083.421759259261</v>
      </c>
      <c r="C2595" s="28" t="s">
        <v>10</v>
      </c>
      <c r="D2595" s="28" t="s">
        <v>292</v>
      </c>
      <c r="E2595" s="28"/>
      <c r="F2595" s="28">
        <v>25</v>
      </c>
      <c r="G2595" s="28">
        <v>100692</v>
      </c>
      <c r="H2595" s="28">
        <v>0</v>
      </c>
      <c r="J2595" s="28"/>
    </row>
    <row r="2596" spans="1:10" ht="15.75" customHeight="1">
      <c r="A2596" s="28">
        <v>18934</v>
      </c>
      <c r="B2596" s="91">
        <v>45083.421759259261</v>
      </c>
      <c r="C2596" s="28" t="s">
        <v>10</v>
      </c>
      <c r="D2596" s="28" t="s">
        <v>292</v>
      </c>
      <c r="E2596" s="28"/>
      <c r="F2596" s="28">
        <v>0</v>
      </c>
      <c r="G2596" s="28" t="s">
        <v>125</v>
      </c>
      <c r="H2596" s="28">
        <v>0</v>
      </c>
      <c r="J2596" s="28"/>
    </row>
    <row r="2597" spans="1:10" ht="15.75" customHeight="1">
      <c r="A2597" s="28">
        <v>18934</v>
      </c>
      <c r="B2597" s="91">
        <v>45083.421759259261</v>
      </c>
      <c r="C2597" s="28" t="s">
        <v>10</v>
      </c>
      <c r="D2597" s="28" t="s">
        <v>292</v>
      </c>
      <c r="E2597" s="28"/>
      <c r="F2597" s="28">
        <v>0</v>
      </c>
      <c r="G2597" s="28" t="s">
        <v>119</v>
      </c>
      <c r="H2597" s="28">
        <v>0</v>
      </c>
      <c r="J2597" s="28"/>
    </row>
    <row r="2598" spans="1:10" ht="15.75" customHeight="1">
      <c r="A2598" s="28">
        <v>18935</v>
      </c>
      <c r="B2598" s="91">
        <v>45083.680486111116</v>
      </c>
      <c r="C2598" s="28" t="s">
        <v>10</v>
      </c>
      <c r="D2598" s="28" t="s">
        <v>679</v>
      </c>
      <c r="E2598" s="28"/>
      <c r="F2598" s="28">
        <v>0</v>
      </c>
      <c r="G2598" s="28" t="s">
        <v>117</v>
      </c>
      <c r="H2598" s="28">
        <v>0</v>
      </c>
      <c r="J2598" s="28"/>
    </row>
    <row r="2599" spans="1:10" ht="15.75" customHeight="1">
      <c r="A2599" s="28">
        <v>18935</v>
      </c>
      <c r="B2599" s="91">
        <v>45083.680486111116</v>
      </c>
      <c r="C2599" s="28" t="s">
        <v>10</v>
      </c>
      <c r="D2599" s="28" t="s">
        <v>679</v>
      </c>
      <c r="E2599" s="28"/>
      <c r="F2599" s="28">
        <v>18</v>
      </c>
      <c r="G2599" s="28" t="s">
        <v>119</v>
      </c>
      <c r="H2599" s="28">
        <v>0</v>
      </c>
      <c r="J2599" s="28"/>
    </row>
    <row r="2600" spans="1:10" ht="15.75" customHeight="1">
      <c r="A2600" s="28">
        <v>18936</v>
      </c>
      <c r="B2600" s="91">
        <v>45083.714004629626</v>
      </c>
      <c r="C2600" s="28" t="s">
        <v>10</v>
      </c>
      <c r="D2600" s="28" t="s">
        <v>678</v>
      </c>
      <c r="E2600" s="28"/>
      <c r="F2600" s="28">
        <v>0</v>
      </c>
      <c r="G2600" s="28" t="s">
        <v>117</v>
      </c>
      <c r="H2600" s="28">
        <v>0</v>
      </c>
      <c r="J2600" s="28"/>
    </row>
    <row r="2601" spans="1:10" ht="15.75" customHeight="1">
      <c r="A2601" s="28">
        <v>18936</v>
      </c>
      <c r="B2601" s="91">
        <v>45083.714004629626</v>
      </c>
      <c r="C2601" s="28" t="s">
        <v>10</v>
      </c>
      <c r="D2601" s="28" t="s">
        <v>678</v>
      </c>
      <c r="E2601" s="28"/>
      <c r="F2601" s="28">
        <v>25</v>
      </c>
      <c r="G2601" s="28">
        <v>100692</v>
      </c>
      <c r="H2601" s="28">
        <v>0</v>
      </c>
      <c r="J2601" s="28"/>
    </row>
    <row r="2602" spans="1:10" ht="15.75" customHeight="1">
      <c r="A2602" s="28">
        <v>18936</v>
      </c>
      <c r="B2602" s="91">
        <v>45083.714004629626</v>
      </c>
      <c r="C2602" s="28" t="s">
        <v>10</v>
      </c>
      <c r="D2602" s="28" t="s">
        <v>678</v>
      </c>
      <c r="E2602" s="28"/>
      <c r="F2602" s="28">
        <v>0</v>
      </c>
      <c r="G2602" s="28" t="s">
        <v>125</v>
      </c>
      <c r="H2602" s="28">
        <v>0</v>
      </c>
      <c r="J2602" s="28"/>
    </row>
    <row r="2603" spans="1:10" ht="15.75" customHeight="1">
      <c r="A2603" s="28">
        <v>18936</v>
      </c>
      <c r="B2603" s="91">
        <v>45083.714004629626</v>
      </c>
      <c r="C2603" s="28" t="s">
        <v>10</v>
      </c>
      <c r="D2603" s="28" t="s">
        <v>678</v>
      </c>
      <c r="E2603" s="28"/>
      <c r="F2603" s="28">
        <v>0</v>
      </c>
      <c r="G2603" s="28" t="s">
        <v>119</v>
      </c>
      <c r="H2603" s="28">
        <v>0</v>
      </c>
      <c r="J2603" s="28"/>
    </row>
    <row r="2604" spans="1:10" ht="15.75" customHeight="1">
      <c r="A2604" s="28">
        <v>18937</v>
      </c>
      <c r="B2604" s="91">
        <v>45084.47956018518</v>
      </c>
      <c r="C2604" s="28" t="s">
        <v>10</v>
      </c>
      <c r="D2604" s="28" t="s">
        <v>677</v>
      </c>
      <c r="E2604" s="28"/>
      <c r="F2604" s="28">
        <v>26</v>
      </c>
      <c r="G2604" s="28" t="s">
        <v>122</v>
      </c>
      <c r="H2604" s="28">
        <v>0</v>
      </c>
      <c r="J2604" s="28"/>
    </row>
    <row r="2605" spans="1:10" ht="15.75" customHeight="1">
      <c r="A2605" s="28">
        <v>18937</v>
      </c>
      <c r="B2605" s="91">
        <v>45084.47956018518</v>
      </c>
      <c r="C2605" s="28" t="s">
        <v>10</v>
      </c>
      <c r="D2605" s="28" t="s">
        <v>677</v>
      </c>
      <c r="E2605" s="28"/>
      <c r="F2605" s="28">
        <v>28</v>
      </c>
      <c r="G2605" s="28" t="s">
        <v>143</v>
      </c>
      <c r="H2605" s="28">
        <v>0</v>
      </c>
      <c r="J2605" s="28"/>
    </row>
    <row r="2606" spans="1:10" ht="15.75" customHeight="1">
      <c r="A2606" s="28">
        <v>18938</v>
      </c>
      <c r="B2606" s="91">
        <v>45084.55878472222</v>
      </c>
      <c r="C2606" s="28" t="s">
        <v>10</v>
      </c>
      <c r="D2606" s="28" t="s">
        <v>676</v>
      </c>
      <c r="E2606" s="28"/>
      <c r="F2606" s="28">
        <v>25</v>
      </c>
      <c r="G2606" s="28">
        <v>100692</v>
      </c>
      <c r="H2606" s="28">
        <v>0</v>
      </c>
      <c r="J2606" s="28"/>
    </row>
    <row r="2607" spans="1:10" ht="15.75" customHeight="1">
      <c r="A2607" s="28">
        <v>18938</v>
      </c>
      <c r="B2607" s="91">
        <v>45084.55878472222</v>
      </c>
      <c r="C2607" s="28" t="s">
        <v>10</v>
      </c>
      <c r="D2607" s="28" t="s">
        <v>676</v>
      </c>
      <c r="E2607" s="28"/>
      <c r="F2607" s="28">
        <v>0</v>
      </c>
      <c r="G2607" s="28" t="s">
        <v>125</v>
      </c>
      <c r="H2607" s="28">
        <v>0</v>
      </c>
      <c r="J2607" s="28"/>
    </row>
    <row r="2608" spans="1:10" ht="15.75" customHeight="1">
      <c r="A2608" s="28">
        <v>18938</v>
      </c>
      <c r="B2608" s="91">
        <v>45084.55878472222</v>
      </c>
      <c r="C2608" s="28" t="s">
        <v>10</v>
      </c>
      <c r="D2608" s="28" t="s">
        <v>676</v>
      </c>
      <c r="E2608" s="28"/>
      <c r="F2608" s="28">
        <v>0</v>
      </c>
      <c r="G2608" s="28" t="s">
        <v>119</v>
      </c>
      <c r="H2608" s="28">
        <v>0</v>
      </c>
      <c r="J2608" s="28"/>
    </row>
    <row r="2609" spans="1:10" ht="15.75" customHeight="1">
      <c r="A2609" s="28">
        <v>18938</v>
      </c>
      <c r="B2609" s="91">
        <v>45084.55878472222</v>
      </c>
      <c r="C2609" s="28" t="s">
        <v>10</v>
      </c>
      <c r="D2609" s="28" t="s">
        <v>676</v>
      </c>
      <c r="E2609" s="28"/>
      <c r="F2609" s="28">
        <v>28</v>
      </c>
      <c r="G2609" s="28" t="s">
        <v>143</v>
      </c>
      <c r="H2609" s="28">
        <v>0</v>
      </c>
      <c r="J2609" s="28"/>
    </row>
    <row r="2610" spans="1:10" ht="15.75" customHeight="1">
      <c r="A2610" s="28">
        <v>18938</v>
      </c>
      <c r="B2610" s="91">
        <v>45084.55878472222</v>
      </c>
      <c r="C2610" s="28" t="s">
        <v>10</v>
      </c>
      <c r="D2610" s="28" t="s">
        <v>676</v>
      </c>
      <c r="E2610" s="28"/>
      <c r="F2610" s="28">
        <v>0</v>
      </c>
      <c r="G2610" s="28" t="s">
        <v>117</v>
      </c>
      <c r="H2610" s="28">
        <v>0</v>
      </c>
      <c r="J2610" s="28"/>
    </row>
    <row r="2611" spans="1:10" ht="15.75" customHeight="1">
      <c r="A2611" s="28">
        <v>18939</v>
      </c>
      <c r="B2611" s="91">
        <v>45084.618333333332</v>
      </c>
      <c r="C2611" s="28" t="s">
        <v>10</v>
      </c>
      <c r="D2611" s="28" t="s">
        <v>675</v>
      </c>
      <c r="E2611" s="28"/>
      <c r="F2611" s="28">
        <v>22</v>
      </c>
      <c r="G2611" s="28" t="s">
        <v>137</v>
      </c>
      <c r="H2611" s="28">
        <v>0</v>
      </c>
      <c r="J2611" s="28"/>
    </row>
    <row r="2612" spans="1:10" ht="15.75" customHeight="1">
      <c r="A2612" s="28">
        <v>18940</v>
      </c>
      <c r="B2612" s="91">
        <v>45084.653055555551</v>
      </c>
      <c r="C2612" s="28" t="s">
        <v>10</v>
      </c>
      <c r="D2612" s="28" t="s">
        <v>674</v>
      </c>
      <c r="E2612" s="28"/>
      <c r="F2612" s="28">
        <v>28</v>
      </c>
      <c r="G2612" s="28" t="s">
        <v>143</v>
      </c>
      <c r="H2612" s="28">
        <v>0</v>
      </c>
      <c r="J2612" s="28"/>
    </row>
    <row r="2613" spans="1:10" ht="15.75" customHeight="1">
      <c r="A2613" s="28">
        <v>18941</v>
      </c>
      <c r="B2613" s="91">
        <v>45084.653819444444</v>
      </c>
      <c r="C2613" s="28" t="s">
        <v>10</v>
      </c>
      <c r="D2613" s="28" t="s">
        <v>673</v>
      </c>
      <c r="E2613" s="28"/>
      <c r="F2613" s="28">
        <v>25</v>
      </c>
      <c r="G2613" s="28">
        <v>100692</v>
      </c>
      <c r="H2613" s="28">
        <v>0</v>
      </c>
      <c r="J2613" s="28"/>
    </row>
    <row r="2614" spans="1:10" ht="15.75" customHeight="1">
      <c r="A2614" s="28">
        <v>18941</v>
      </c>
      <c r="B2614" s="91">
        <v>45084.653819444444</v>
      </c>
      <c r="C2614" s="28" t="s">
        <v>10</v>
      </c>
      <c r="D2614" s="28" t="s">
        <v>673</v>
      </c>
      <c r="E2614" s="28"/>
      <c r="F2614" s="28">
        <v>0</v>
      </c>
      <c r="G2614" s="28" t="s">
        <v>125</v>
      </c>
      <c r="H2614" s="28">
        <v>0</v>
      </c>
      <c r="J2614" s="28"/>
    </row>
    <row r="2615" spans="1:10" ht="15.75" customHeight="1">
      <c r="A2615" s="28">
        <v>18941</v>
      </c>
      <c r="B2615" s="91">
        <v>45084.653819444444</v>
      </c>
      <c r="C2615" s="28" t="s">
        <v>10</v>
      </c>
      <c r="D2615" s="28" t="s">
        <v>673</v>
      </c>
      <c r="E2615" s="28"/>
      <c r="F2615" s="28">
        <v>0</v>
      </c>
      <c r="G2615" s="28" t="s">
        <v>119</v>
      </c>
      <c r="H2615" s="28">
        <v>0</v>
      </c>
      <c r="J2615" s="28"/>
    </row>
    <row r="2616" spans="1:10" ht="15.75" customHeight="1">
      <c r="A2616" s="28">
        <v>18942</v>
      </c>
      <c r="B2616" s="91">
        <v>45084.696018518516</v>
      </c>
      <c r="C2616" s="28" t="s">
        <v>10</v>
      </c>
      <c r="D2616" s="28" t="s">
        <v>209</v>
      </c>
      <c r="E2616" s="28"/>
      <c r="F2616" s="28">
        <v>28</v>
      </c>
      <c r="G2616" s="28" t="s">
        <v>143</v>
      </c>
      <c r="H2616" s="28">
        <v>0</v>
      </c>
      <c r="J2616" s="28"/>
    </row>
    <row r="2617" spans="1:10" ht="15.75" customHeight="1">
      <c r="A2617" s="28">
        <v>18943</v>
      </c>
      <c r="B2617" s="91">
        <v>45084.699733796297</v>
      </c>
      <c r="C2617" s="28" t="s">
        <v>10</v>
      </c>
      <c r="D2617" s="28" t="s">
        <v>672</v>
      </c>
      <c r="E2617" s="28"/>
      <c r="F2617" s="28">
        <v>0</v>
      </c>
      <c r="G2617" s="28" t="s">
        <v>117</v>
      </c>
      <c r="H2617" s="28">
        <v>0</v>
      </c>
      <c r="J2617" s="28"/>
    </row>
    <row r="2618" spans="1:10" ht="15.75" customHeight="1">
      <c r="A2618" s="28">
        <v>18943</v>
      </c>
      <c r="B2618" s="91">
        <v>45084.699733796297</v>
      </c>
      <c r="C2618" s="28" t="s">
        <v>10</v>
      </c>
      <c r="D2618" s="28" t="s">
        <v>672</v>
      </c>
      <c r="E2618" s="28"/>
      <c r="F2618" s="28">
        <v>20</v>
      </c>
      <c r="G2618" s="28"/>
      <c r="H2618" s="28">
        <v>0</v>
      </c>
      <c r="J2618" s="28"/>
    </row>
    <row r="2619" spans="1:10" ht="15.75" customHeight="1">
      <c r="A2619" s="28">
        <v>18944</v>
      </c>
      <c r="B2619" s="91">
        <v>45084.837199074071</v>
      </c>
      <c r="C2619" s="28" t="s">
        <v>10</v>
      </c>
      <c r="D2619" s="28" t="s">
        <v>671</v>
      </c>
      <c r="E2619" s="28"/>
      <c r="F2619" s="28">
        <v>25</v>
      </c>
      <c r="G2619" s="28">
        <v>100692</v>
      </c>
      <c r="H2619" s="28">
        <v>0</v>
      </c>
      <c r="J2619" s="28"/>
    </row>
    <row r="2620" spans="1:10" ht="15.75" customHeight="1">
      <c r="A2620" s="28">
        <v>18944</v>
      </c>
      <c r="B2620" s="91">
        <v>45084.837199074071</v>
      </c>
      <c r="C2620" s="28" t="s">
        <v>10</v>
      </c>
      <c r="D2620" s="28" t="s">
        <v>671</v>
      </c>
      <c r="E2620" s="28"/>
      <c r="F2620" s="28">
        <v>0</v>
      </c>
      <c r="G2620" s="28" t="s">
        <v>125</v>
      </c>
      <c r="H2620" s="28">
        <v>0</v>
      </c>
      <c r="J2620" s="28"/>
    </row>
    <row r="2621" spans="1:10" ht="15.75" customHeight="1">
      <c r="A2621" s="28">
        <v>18944</v>
      </c>
      <c r="B2621" s="91">
        <v>45084.837199074071</v>
      </c>
      <c r="C2621" s="28" t="s">
        <v>10</v>
      </c>
      <c r="D2621" s="28" t="s">
        <v>671</v>
      </c>
      <c r="E2621" s="28"/>
      <c r="F2621" s="28">
        <v>0</v>
      </c>
      <c r="G2621" s="28" t="s">
        <v>119</v>
      </c>
      <c r="H2621" s="28">
        <v>0</v>
      </c>
      <c r="J2621" s="28"/>
    </row>
    <row r="2622" spans="1:10" ht="15.75" customHeight="1">
      <c r="A2622" s="28">
        <v>18945</v>
      </c>
      <c r="B2622" s="91">
        <v>45084.952893518523</v>
      </c>
      <c r="C2622" s="28" t="s">
        <v>10</v>
      </c>
      <c r="D2622" s="28" t="s">
        <v>670</v>
      </c>
      <c r="E2622" s="28"/>
      <c r="F2622" s="28">
        <v>15</v>
      </c>
      <c r="G2622" s="28" t="s">
        <v>125</v>
      </c>
      <c r="H2622" s="28">
        <v>0</v>
      </c>
      <c r="J2622" s="28"/>
    </row>
    <row r="2623" spans="1:10" ht="15.75" customHeight="1">
      <c r="A2623" s="28">
        <v>18946</v>
      </c>
      <c r="B2623" s="91">
        <v>45084.953020833331</v>
      </c>
      <c r="C2623" s="28" t="s">
        <v>10</v>
      </c>
      <c r="D2623" s="28" t="s">
        <v>669</v>
      </c>
      <c r="E2623" s="28"/>
      <c r="F2623" s="28">
        <v>55</v>
      </c>
      <c r="G2623" s="28">
        <v>101684</v>
      </c>
      <c r="H2623" s="28">
        <v>0</v>
      </c>
      <c r="J2623" s="28"/>
    </row>
    <row r="2624" spans="1:10" ht="15.75" customHeight="1">
      <c r="A2624" s="28">
        <v>18946</v>
      </c>
      <c r="B2624" s="91">
        <v>45084.953020833331</v>
      </c>
      <c r="C2624" s="28" t="s">
        <v>10</v>
      </c>
      <c r="D2624" s="28" t="s">
        <v>669</v>
      </c>
      <c r="E2624" s="28"/>
      <c r="F2624" s="28">
        <v>0</v>
      </c>
      <c r="G2624" s="28" t="s">
        <v>118</v>
      </c>
      <c r="H2624" s="28">
        <v>0</v>
      </c>
      <c r="J2624" s="28"/>
    </row>
    <row r="2625" spans="1:10" ht="15.75" customHeight="1">
      <c r="A2625" s="28">
        <v>18946</v>
      </c>
      <c r="B2625" s="91">
        <v>45084.953020833331</v>
      </c>
      <c r="C2625" s="28" t="s">
        <v>10</v>
      </c>
      <c r="D2625" s="28" t="s">
        <v>669</v>
      </c>
      <c r="E2625" s="28"/>
      <c r="F2625" s="28">
        <v>0</v>
      </c>
      <c r="G2625" s="28" t="s">
        <v>119</v>
      </c>
      <c r="H2625" s="28">
        <v>0</v>
      </c>
      <c r="J2625" s="28"/>
    </row>
    <row r="2626" spans="1:10" ht="15.75" customHeight="1">
      <c r="A2626" s="28">
        <v>18946</v>
      </c>
      <c r="B2626" s="91">
        <v>45084.953020833331</v>
      </c>
      <c r="C2626" s="28" t="s">
        <v>10</v>
      </c>
      <c r="D2626" s="28" t="s">
        <v>669</v>
      </c>
      <c r="E2626" s="28"/>
      <c r="F2626" s="28">
        <v>0</v>
      </c>
      <c r="G2626" s="28" t="s">
        <v>120</v>
      </c>
      <c r="H2626" s="28">
        <v>0</v>
      </c>
      <c r="J2626" s="28"/>
    </row>
    <row r="2627" spans="1:10" ht="15.75" customHeight="1">
      <c r="A2627" s="28">
        <v>18946</v>
      </c>
      <c r="B2627" s="91">
        <v>45084.953020833331</v>
      </c>
      <c r="C2627" s="28" t="s">
        <v>10</v>
      </c>
      <c r="D2627" s="28" t="s">
        <v>669</v>
      </c>
      <c r="E2627" s="28"/>
      <c r="F2627" s="28">
        <v>0</v>
      </c>
      <c r="G2627" s="28" t="s">
        <v>121</v>
      </c>
      <c r="H2627" s="28">
        <v>0</v>
      </c>
      <c r="J2627" s="28"/>
    </row>
    <row r="2628" spans="1:10" ht="15.75" customHeight="1">
      <c r="A2628" s="28">
        <v>18947</v>
      </c>
      <c r="B2628" s="91">
        <v>45084.955613425926</v>
      </c>
      <c r="C2628" s="28" t="s">
        <v>10</v>
      </c>
      <c r="D2628" s="28" t="s">
        <v>155</v>
      </c>
      <c r="E2628" s="28"/>
      <c r="F2628" s="28">
        <v>35</v>
      </c>
      <c r="G2628" s="28" t="s">
        <v>124</v>
      </c>
      <c r="H2628" s="28">
        <v>0</v>
      </c>
      <c r="J2628" s="28"/>
    </row>
    <row r="2629" spans="1:10" ht="15.75" customHeight="1">
      <c r="A2629" s="28">
        <v>18947</v>
      </c>
      <c r="B2629" s="91">
        <v>45084.955613425926</v>
      </c>
      <c r="C2629" s="28" t="s">
        <v>10</v>
      </c>
      <c r="D2629" s="28" t="s">
        <v>155</v>
      </c>
      <c r="E2629" s="28"/>
      <c r="F2629" s="28">
        <v>0</v>
      </c>
      <c r="G2629" s="28" t="s">
        <v>125</v>
      </c>
      <c r="H2629" s="28">
        <v>0</v>
      </c>
      <c r="J2629" s="28"/>
    </row>
    <row r="2630" spans="1:10" ht="15.75" customHeight="1">
      <c r="A2630" s="28">
        <v>18947</v>
      </c>
      <c r="B2630" s="91">
        <v>45084.955613425926</v>
      </c>
      <c r="C2630" s="28" t="s">
        <v>10</v>
      </c>
      <c r="D2630" s="28" t="s">
        <v>155</v>
      </c>
      <c r="E2630" s="28"/>
      <c r="F2630" s="28">
        <v>0</v>
      </c>
      <c r="G2630" s="28" t="s">
        <v>119</v>
      </c>
      <c r="H2630" s="28">
        <v>0</v>
      </c>
      <c r="J2630" s="28"/>
    </row>
    <row r="2631" spans="1:10" ht="15.75" customHeight="1">
      <c r="A2631" s="28">
        <v>18947</v>
      </c>
      <c r="B2631" s="91">
        <v>45084.955613425926</v>
      </c>
      <c r="C2631" s="28" t="s">
        <v>10</v>
      </c>
      <c r="D2631" s="28" t="s">
        <v>155</v>
      </c>
      <c r="E2631" s="28"/>
      <c r="F2631" s="28">
        <v>0</v>
      </c>
      <c r="G2631" s="28" t="s">
        <v>121</v>
      </c>
      <c r="H2631" s="28">
        <v>0</v>
      </c>
      <c r="J2631" s="28"/>
    </row>
    <row r="2632" spans="1:10" ht="15.75" customHeight="1">
      <c r="A2632" s="28">
        <v>18947</v>
      </c>
      <c r="B2632" s="91">
        <v>45084.955613425926</v>
      </c>
      <c r="C2632" s="28" t="s">
        <v>10</v>
      </c>
      <c r="D2632" s="28" t="s">
        <v>155</v>
      </c>
      <c r="E2632" s="28"/>
      <c r="F2632" s="28">
        <v>20</v>
      </c>
      <c r="G2632" s="28"/>
      <c r="H2632" s="28">
        <v>0</v>
      </c>
      <c r="J2632" s="28"/>
    </row>
    <row r="2633" spans="1:10" ht="15.75" customHeight="1">
      <c r="A2633" s="28">
        <v>18948</v>
      </c>
      <c r="B2633" s="91">
        <v>45084.956863425927</v>
      </c>
      <c r="C2633" s="28" t="s">
        <v>10</v>
      </c>
      <c r="D2633" s="28" t="s">
        <v>668</v>
      </c>
      <c r="E2633" s="28"/>
      <c r="F2633" s="28">
        <v>30</v>
      </c>
      <c r="G2633" s="28" t="s">
        <v>125</v>
      </c>
      <c r="H2633" s="28">
        <v>0</v>
      </c>
      <c r="J2633" s="28"/>
    </row>
    <row r="2634" spans="1:10" ht="15.75" customHeight="1">
      <c r="A2634" s="28">
        <v>18949</v>
      </c>
      <c r="B2634" s="91">
        <v>45084.978645833333</v>
      </c>
      <c r="C2634" s="28" t="s">
        <v>10</v>
      </c>
      <c r="D2634" s="28" t="s">
        <v>667</v>
      </c>
      <c r="E2634" s="28"/>
      <c r="F2634" s="28">
        <v>28</v>
      </c>
      <c r="G2634" s="28" t="s">
        <v>143</v>
      </c>
      <c r="H2634" s="28">
        <v>0</v>
      </c>
      <c r="J2634" s="28"/>
    </row>
    <row r="2635" spans="1:10" ht="15.75" customHeight="1">
      <c r="A2635" s="28">
        <v>18949</v>
      </c>
      <c r="B2635" s="91">
        <v>45084.978645833333</v>
      </c>
      <c r="C2635" s="28" t="s">
        <v>10</v>
      </c>
      <c r="D2635" s="28" t="s">
        <v>667</v>
      </c>
      <c r="E2635" s="28"/>
      <c r="F2635" s="28">
        <v>25</v>
      </c>
      <c r="G2635" s="28">
        <v>100692</v>
      </c>
      <c r="H2635" s="28">
        <v>0</v>
      </c>
      <c r="J2635" s="28"/>
    </row>
    <row r="2636" spans="1:10" ht="15.75" customHeight="1">
      <c r="A2636" s="28">
        <v>18949</v>
      </c>
      <c r="B2636" s="91">
        <v>45084.978645833333</v>
      </c>
      <c r="C2636" s="28" t="s">
        <v>10</v>
      </c>
      <c r="D2636" s="28" t="s">
        <v>667</v>
      </c>
      <c r="E2636" s="28"/>
      <c r="F2636" s="28">
        <v>0</v>
      </c>
      <c r="G2636" s="28" t="s">
        <v>125</v>
      </c>
      <c r="H2636" s="28">
        <v>0</v>
      </c>
      <c r="J2636" s="28"/>
    </row>
    <row r="2637" spans="1:10" ht="15.75" customHeight="1">
      <c r="A2637" s="28">
        <v>18949</v>
      </c>
      <c r="B2637" s="91">
        <v>45084.978645833333</v>
      </c>
      <c r="C2637" s="28" t="s">
        <v>10</v>
      </c>
      <c r="D2637" s="28" t="s">
        <v>667</v>
      </c>
      <c r="E2637" s="28"/>
      <c r="F2637" s="28">
        <v>0</v>
      </c>
      <c r="G2637" s="28" t="s">
        <v>119</v>
      </c>
      <c r="H2637" s="28">
        <v>0</v>
      </c>
      <c r="J2637" s="28"/>
    </row>
    <row r="2638" spans="1:10" ht="15.75" customHeight="1">
      <c r="A2638" s="28">
        <v>18950</v>
      </c>
      <c r="B2638" s="91">
        <v>45084.980509259258</v>
      </c>
      <c r="C2638" s="28" t="s">
        <v>10</v>
      </c>
      <c r="D2638" s="28" t="s">
        <v>666</v>
      </c>
      <c r="E2638" s="28"/>
      <c r="F2638" s="28">
        <v>25</v>
      </c>
      <c r="G2638" s="28">
        <v>100692</v>
      </c>
      <c r="H2638" s="28">
        <v>0</v>
      </c>
      <c r="J2638" s="28"/>
    </row>
    <row r="2639" spans="1:10" ht="15.75" customHeight="1">
      <c r="A2639" s="28">
        <v>18950</v>
      </c>
      <c r="B2639" s="91">
        <v>45084.980509259258</v>
      </c>
      <c r="C2639" s="28" t="s">
        <v>10</v>
      </c>
      <c r="D2639" s="28" t="s">
        <v>666</v>
      </c>
      <c r="E2639" s="28"/>
      <c r="F2639" s="28">
        <v>0</v>
      </c>
      <c r="G2639" s="28" t="s">
        <v>125</v>
      </c>
      <c r="H2639" s="28">
        <v>0</v>
      </c>
      <c r="J2639" s="28"/>
    </row>
    <row r="2640" spans="1:10" ht="15.75" customHeight="1">
      <c r="A2640" s="28">
        <v>18950</v>
      </c>
      <c r="B2640" s="91">
        <v>45084.980509259258</v>
      </c>
      <c r="C2640" s="28" t="s">
        <v>10</v>
      </c>
      <c r="D2640" s="28" t="s">
        <v>666</v>
      </c>
      <c r="E2640" s="28"/>
      <c r="F2640" s="28">
        <v>0</v>
      </c>
      <c r="G2640" s="28" t="s">
        <v>119</v>
      </c>
      <c r="H2640" s="28">
        <v>0</v>
      </c>
      <c r="J2640" s="28"/>
    </row>
    <row r="2641" spans="1:10" ht="15.75" customHeight="1">
      <c r="A2641" s="28">
        <v>18950</v>
      </c>
      <c r="B2641" s="91">
        <v>45084.980509259258</v>
      </c>
      <c r="C2641" s="28" t="s">
        <v>10</v>
      </c>
      <c r="D2641" s="28" t="s">
        <v>666</v>
      </c>
      <c r="E2641" s="28"/>
      <c r="F2641" s="28">
        <v>28</v>
      </c>
      <c r="G2641" s="28" t="s">
        <v>143</v>
      </c>
      <c r="H2641" s="28">
        <v>0</v>
      </c>
      <c r="J2641" s="28"/>
    </row>
    <row r="2642" spans="1:10" ht="15.75" customHeight="1">
      <c r="A2642" s="28">
        <v>18951</v>
      </c>
      <c r="B2642" s="91">
        <v>45085.041273148148</v>
      </c>
      <c r="C2642" s="28" t="s">
        <v>10</v>
      </c>
      <c r="D2642" s="28" t="s">
        <v>665</v>
      </c>
      <c r="E2642" s="28"/>
      <c r="F2642" s="28">
        <v>28</v>
      </c>
      <c r="G2642" s="28" t="s">
        <v>143</v>
      </c>
      <c r="H2642" s="28">
        <v>0</v>
      </c>
      <c r="J2642" s="28"/>
    </row>
    <row r="2643" spans="1:10" ht="15.75" customHeight="1">
      <c r="A2643" s="28">
        <v>18952</v>
      </c>
      <c r="B2643" s="91">
        <v>45085.050636574073</v>
      </c>
      <c r="C2643" s="28" t="s">
        <v>10</v>
      </c>
      <c r="D2643" s="28" t="s">
        <v>664</v>
      </c>
      <c r="E2643" s="28"/>
      <c r="F2643" s="28">
        <v>20</v>
      </c>
      <c r="G2643" s="28" t="s">
        <v>205</v>
      </c>
      <c r="H2643" s="28">
        <v>0</v>
      </c>
      <c r="J2643" s="28"/>
    </row>
    <row r="2644" spans="1:10" ht="15.75" customHeight="1">
      <c r="A2644" s="28">
        <v>18952</v>
      </c>
      <c r="B2644" s="91">
        <v>45085.050636574073</v>
      </c>
      <c r="C2644" s="28" t="s">
        <v>10</v>
      </c>
      <c r="D2644" s="28" t="s">
        <v>664</v>
      </c>
      <c r="E2644" s="28"/>
      <c r="F2644" s="28">
        <v>0</v>
      </c>
      <c r="G2644" s="28" t="s">
        <v>125</v>
      </c>
      <c r="H2644" s="28">
        <v>0</v>
      </c>
      <c r="J2644" s="28"/>
    </row>
    <row r="2645" spans="1:10" ht="15.75" customHeight="1">
      <c r="A2645" s="28">
        <v>18952</v>
      </c>
      <c r="B2645" s="91">
        <v>45085.050636574073</v>
      </c>
      <c r="C2645" s="28" t="s">
        <v>10</v>
      </c>
      <c r="D2645" s="28" t="s">
        <v>664</v>
      </c>
      <c r="E2645" s="28"/>
      <c r="F2645" s="28">
        <v>20</v>
      </c>
      <c r="G2645" s="28"/>
      <c r="H2645" s="28">
        <v>0</v>
      </c>
      <c r="J2645" s="28"/>
    </row>
    <row r="2646" spans="1:10" ht="15.75" customHeight="1">
      <c r="A2646" s="28">
        <v>18953</v>
      </c>
      <c r="B2646" s="91">
        <v>45085.052534722221</v>
      </c>
      <c r="C2646" s="28" t="s">
        <v>10</v>
      </c>
      <c r="D2646" s="28" t="s">
        <v>663</v>
      </c>
      <c r="E2646" s="28"/>
      <c r="F2646" s="28">
        <v>20</v>
      </c>
      <c r="G2646" s="28"/>
      <c r="H2646" s="28">
        <v>0</v>
      </c>
      <c r="J2646" s="28"/>
    </row>
    <row r="2647" spans="1:10" ht="15.75" customHeight="1">
      <c r="A2647" s="28">
        <v>18954</v>
      </c>
      <c r="B2647" s="91">
        <v>45085.084537037037</v>
      </c>
      <c r="C2647" s="28" t="s">
        <v>10</v>
      </c>
      <c r="D2647" s="28" t="s">
        <v>662</v>
      </c>
      <c r="E2647" s="28"/>
      <c r="F2647" s="28">
        <v>28</v>
      </c>
      <c r="G2647" s="28" t="s">
        <v>143</v>
      </c>
      <c r="H2647" s="28">
        <v>0</v>
      </c>
      <c r="J2647" s="28"/>
    </row>
    <row r="2648" spans="1:10" ht="15.75" customHeight="1">
      <c r="A2648" s="28">
        <v>18955</v>
      </c>
      <c r="B2648" s="91">
        <v>45085.846018518518</v>
      </c>
      <c r="C2648" s="28" t="s">
        <v>10</v>
      </c>
      <c r="D2648" s="28" t="s">
        <v>660</v>
      </c>
      <c r="E2648" s="28"/>
      <c r="F2648" s="28">
        <v>20</v>
      </c>
      <c r="G2648" s="28" t="s">
        <v>205</v>
      </c>
      <c r="H2648" s="28">
        <v>0</v>
      </c>
      <c r="J2648" s="28"/>
    </row>
    <row r="2649" spans="1:10" ht="15.75" customHeight="1">
      <c r="A2649" s="28">
        <v>18955</v>
      </c>
      <c r="B2649" s="91">
        <v>45085.846018518518</v>
      </c>
      <c r="C2649" s="28" t="s">
        <v>10</v>
      </c>
      <c r="D2649" s="28" t="s">
        <v>660</v>
      </c>
      <c r="E2649" s="28"/>
      <c r="F2649" s="28">
        <v>0</v>
      </c>
      <c r="G2649" s="28" t="s">
        <v>125</v>
      </c>
      <c r="H2649" s="28">
        <v>0</v>
      </c>
      <c r="J2649" s="28"/>
    </row>
    <row r="2650" spans="1:10" ht="15.75" customHeight="1">
      <c r="A2650" s="28">
        <v>18955</v>
      </c>
      <c r="B2650" s="91">
        <v>45085.846018518518</v>
      </c>
      <c r="C2650" s="28" t="s">
        <v>10</v>
      </c>
      <c r="D2650" s="28" t="s">
        <v>660</v>
      </c>
      <c r="E2650" s="28"/>
      <c r="F2650" s="28">
        <v>22</v>
      </c>
      <c r="G2650" s="28" t="s">
        <v>137</v>
      </c>
      <c r="H2650" s="28">
        <v>0</v>
      </c>
      <c r="J2650" s="28"/>
    </row>
    <row r="2651" spans="1:10" ht="15.75" customHeight="1">
      <c r="A2651" s="28">
        <v>18956</v>
      </c>
      <c r="B2651" s="91">
        <v>45085.852476851855</v>
      </c>
      <c r="C2651" s="28" t="s">
        <v>10</v>
      </c>
      <c r="D2651" s="28" t="s">
        <v>661</v>
      </c>
      <c r="E2651" s="28"/>
      <c r="F2651" s="28">
        <v>22</v>
      </c>
      <c r="G2651" s="28" t="s">
        <v>137</v>
      </c>
      <c r="H2651" s="28">
        <v>0</v>
      </c>
      <c r="J2651" s="28"/>
    </row>
    <row r="2652" spans="1:10" ht="15.75" customHeight="1">
      <c r="A2652" s="28">
        <v>18957</v>
      </c>
      <c r="B2652" s="91">
        <v>45085.991724537038</v>
      </c>
      <c r="C2652" s="28" t="s">
        <v>10</v>
      </c>
      <c r="D2652" s="28" t="s">
        <v>661</v>
      </c>
      <c r="E2652" s="28"/>
      <c r="F2652" s="28">
        <v>20</v>
      </c>
      <c r="G2652" s="28" t="s">
        <v>121</v>
      </c>
      <c r="H2652" s="28">
        <v>0</v>
      </c>
      <c r="J2652" s="28"/>
    </row>
    <row r="2653" spans="1:10" ht="15.75" customHeight="1">
      <c r="A2653" s="28">
        <v>18957</v>
      </c>
      <c r="B2653" s="91">
        <v>45085.991724537038</v>
      </c>
      <c r="C2653" s="28" t="s">
        <v>10</v>
      </c>
      <c r="D2653" s="28" t="s">
        <v>661</v>
      </c>
      <c r="E2653" s="28"/>
      <c r="F2653" s="28">
        <v>22</v>
      </c>
      <c r="G2653" s="28" t="s">
        <v>137</v>
      </c>
      <c r="H2653" s="28">
        <v>0</v>
      </c>
      <c r="J2653" s="28"/>
    </row>
    <row r="2654" spans="1:10" ht="15.75" customHeight="1">
      <c r="A2654" s="28">
        <v>18958</v>
      </c>
      <c r="B2654" s="91">
        <v>45085.996261574073</v>
      </c>
      <c r="C2654" s="28" t="s">
        <v>10</v>
      </c>
      <c r="D2654" s="28" t="s">
        <v>660</v>
      </c>
      <c r="E2654" s="28"/>
      <c r="F2654" s="28">
        <v>20</v>
      </c>
      <c r="G2654" s="28" t="s">
        <v>121</v>
      </c>
      <c r="H2654" s="28">
        <v>0</v>
      </c>
      <c r="J2654" s="28"/>
    </row>
    <row r="2655" spans="1:10" ht="15.75" customHeight="1">
      <c r="A2655" s="28">
        <v>18958</v>
      </c>
      <c r="B2655" s="91">
        <v>45085.996261574073</v>
      </c>
      <c r="C2655" s="28" t="s">
        <v>10</v>
      </c>
      <c r="D2655" s="28" t="s">
        <v>660</v>
      </c>
      <c r="E2655" s="28"/>
      <c r="F2655" s="28">
        <v>22</v>
      </c>
      <c r="G2655" s="28" t="s">
        <v>137</v>
      </c>
      <c r="H2655" s="28">
        <v>0</v>
      </c>
      <c r="J2655" s="28"/>
    </row>
    <row r="2656" spans="1:10" ht="15.75" customHeight="1">
      <c r="A2656" s="28">
        <v>18959</v>
      </c>
      <c r="B2656" s="91">
        <v>45086.089513888888</v>
      </c>
      <c r="C2656" s="28" t="s">
        <v>10</v>
      </c>
      <c r="D2656" s="28" t="s">
        <v>659</v>
      </c>
      <c r="E2656" s="28"/>
      <c r="F2656" s="28">
        <v>20</v>
      </c>
      <c r="G2656" s="28" t="s">
        <v>148</v>
      </c>
      <c r="H2656" s="28">
        <v>0</v>
      </c>
      <c r="J2656" s="28"/>
    </row>
    <row r="2657" spans="1:10" ht="15.75" customHeight="1">
      <c r="A2657" s="28">
        <v>18959</v>
      </c>
      <c r="B2657" s="91">
        <v>45086.089513888888</v>
      </c>
      <c r="C2657" s="28" t="s">
        <v>10</v>
      </c>
      <c r="D2657" s="28" t="s">
        <v>659</v>
      </c>
      <c r="E2657" s="28"/>
      <c r="F2657" s="28">
        <v>28</v>
      </c>
      <c r="G2657" s="28" t="s">
        <v>143</v>
      </c>
      <c r="H2657" s="28">
        <v>0</v>
      </c>
      <c r="J2657" s="28"/>
    </row>
    <row r="2658" spans="1:10" ht="15.75" customHeight="1">
      <c r="A2658" s="28">
        <v>18960</v>
      </c>
      <c r="B2658" s="91">
        <v>45086.17324074074</v>
      </c>
      <c r="C2658" s="28" t="s">
        <v>10</v>
      </c>
      <c r="D2658" s="28" t="s">
        <v>658</v>
      </c>
      <c r="E2658" s="28"/>
      <c r="F2658" s="28">
        <v>26</v>
      </c>
      <c r="G2658" s="28" t="s">
        <v>122</v>
      </c>
      <c r="H2658" s="28">
        <v>0</v>
      </c>
      <c r="J2658" s="28"/>
    </row>
    <row r="2659" spans="1:10" ht="15.75" customHeight="1">
      <c r="A2659" s="28">
        <v>18961</v>
      </c>
      <c r="B2659" s="91">
        <v>45086.174884259264</v>
      </c>
      <c r="C2659" s="28" t="s">
        <v>10</v>
      </c>
      <c r="D2659" s="28" t="s">
        <v>657</v>
      </c>
      <c r="E2659" s="28"/>
      <c r="F2659" s="28">
        <v>26</v>
      </c>
      <c r="G2659" s="28" t="s">
        <v>122</v>
      </c>
      <c r="H2659" s="28">
        <v>0</v>
      </c>
      <c r="J2659" s="28"/>
    </row>
    <row r="2660" spans="1:10" ht="15.75" customHeight="1">
      <c r="A2660" s="28">
        <v>18962</v>
      </c>
      <c r="B2660" s="91">
        <v>45086.563402777778</v>
      </c>
      <c r="C2660" s="28" t="s">
        <v>10</v>
      </c>
      <c r="D2660" s="28" t="s">
        <v>656</v>
      </c>
      <c r="E2660" s="28"/>
      <c r="F2660" s="28">
        <v>25</v>
      </c>
      <c r="G2660" s="28">
        <v>100692</v>
      </c>
      <c r="H2660" s="28">
        <v>0</v>
      </c>
      <c r="J2660" s="28"/>
    </row>
    <row r="2661" spans="1:10" ht="15.75" customHeight="1">
      <c r="A2661" s="28">
        <v>18962</v>
      </c>
      <c r="B2661" s="91">
        <v>45086.563402777778</v>
      </c>
      <c r="C2661" s="28" t="s">
        <v>10</v>
      </c>
      <c r="D2661" s="28" t="s">
        <v>656</v>
      </c>
      <c r="E2661" s="28"/>
      <c r="F2661" s="28">
        <v>0</v>
      </c>
      <c r="G2661" s="28" t="s">
        <v>125</v>
      </c>
      <c r="H2661" s="28">
        <v>0</v>
      </c>
      <c r="J2661" s="28"/>
    </row>
    <row r="2662" spans="1:10" ht="15.75" customHeight="1">
      <c r="A2662" s="28">
        <v>18962</v>
      </c>
      <c r="B2662" s="91">
        <v>45086.563402777778</v>
      </c>
      <c r="C2662" s="28" t="s">
        <v>10</v>
      </c>
      <c r="D2662" s="28" t="s">
        <v>656</v>
      </c>
      <c r="E2662" s="28"/>
      <c r="F2662" s="28">
        <v>0</v>
      </c>
      <c r="G2662" s="28" t="s">
        <v>119</v>
      </c>
      <c r="H2662" s="28">
        <v>0</v>
      </c>
      <c r="J2662" s="28"/>
    </row>
    <row r="2663" spans="1:10" ht="15.75" customHeight="1">
      <c r="A2663" s="28">
        <v>18963</v>
      </c>
      <c r="B2663" s="91">
        <v>45086.567337962959</v>
      </c>
      <c r="C2663" s="28" t="s">
        <v>10</v>
      </c>
      <c r="D2663" s="28" t="s">
        <v>656</v>
      </c>
      <c r="E2663" s="28"/>
      <c r="F2663" s="28">
        <v>20</v>
      </c>
      <c r="G2663" s="28" t="s">
        <v>261</v>
      </c>
      <c r="H2663" s="28">
        <v>0</v>
      </c>
      <c r="J2663" s="28"/>
    </row>
    <row r="2664" spans="1:10" ht="15.75" customHeight="1">
      <c r="A2664" s="28">
        <v>18964</v>
      </c>
      <c r="B2664" s="91">
        <v>45086.770949074074</v>
      </c>
      <c r="C2664" s="28" t="s">
        <v>10</v>
      </c>
      <c r="D2664" s="28" t="s">
        <v>655</v>
      </c>
      <c r="E2664" s="28"/>
      <c r="F2664" s="28">
        <v>20</v>
      </c>
      <c r="G2664" s="28"/>
      <c r="H2664" s="28">
        <v>0</v>
      </c>
      <c r="J2664" s="28"/>
    </row>
    <row r="2665" spans="1:10" ht="15.75" customHeight="1">
      <c r="A2665" s="28">
        <v>18965</v>
      </c>
      <c r="B2665" s="91">
        <v>45086.80259259259</v>
      </c>
      <c r="C2665" s="28" t="s">
        <v>10</v>
      </c>
      <c r="D2665" s="28" t="s">
        <v>654</v>
      </c>
      <c r="E2665" s="28"/>
      <c r="F2665" s="28">
        <v>20</v>
      </c>
      <c r="G2665" s="28"/>
      <c r="H2665" s="28">
        <v>0</v>
      </c>
      <c r="J2665" s="28"/>
    </row>
    <row r="2666" spans="1:10" ht="15.75" customHeight="1">
      <c r="A2666" s="28">
        <v>18966</v>
      </c>
      <c r="B2666" s="91">
        <v>45087.597777777773</v>
      </c>
      <c r="C2666" s="28" t="s">
        <v>10</v>
      </c>
      <c r="D2666" s="28" t="s">
        <v>653</v>
      </c>
      <c r="E2666" s="28"/>
      <c r="F2666" s="28">
        <v>28</v>
      </c>
      <c r="G2666" s="28" t="s">
        <v>143</v>
      </c>
      <c r="H2666" s="28">
        <v>0</v>
      </c>
      <c r="J2666" s="28"/>
    </row>
    <row r="2667" spans="1:10" ht="15.75" customHeight="1">
      <c r="A2667" s="28">
        <v>18967</v>
      </c>
      <c r="B2667" s="91">
        <v>45087.599606481483</v>
      </c>
      <c r="C2667" s="28" t="s">
        <v>10</v>
      </c>
      <c r="D2667" s="28" t="s">
        <v>652</v>
      </c>
      <c r="E2667" s="28"/>
      <c r="F2667" s="28">
        <v>28</v>
      </c>
      <c r="G2667" s="28" t="s">
        <v>143</v>
      </c>
      <c r="H2667" s="28">
        <v>0</v>
      </c>
      <c r="J2667" s="28"/>
    </row>
    <row r="2668" spans="1:10" ht="15.75" customHeight="1">
      <c r="A2668" s="28">
        <v>18968</v>
      </c>
      <c r="B2668" s="91">
        <v>45087.601527777777</v>
      </c>
      <c r="C2668" s="28" t="s">
        <v>10</v>
      </c>
      <c r="D2668" s="28" t="s">
        <v>651</v>
      </c>
      <c r="E2668" s="28"/>
      <c r="F2668" s="28">
        <v>28</v>
      </c>
      <c r="G2668" s="28" t="s">
        <v>143</v>
      </c>
      <c r="H2668" s="28">
        <v>0</v>
      </c>
      <c r="J2668" s="28"/>
    </row>
    <row r="2669" spans="1:10" ht="15.75" customHeight="1">
      <c r="A2669" s="28">
        <v>18969</v>
      </c>
      <c r="B2669" s="91">
        <v>45087.735891203702</v>
      </c>
      <c r="C2669" s="28" t="s">
        <v>10</v>
      </c>
      <c r="D2669" s="28" t="s">
        <v>650</v>
      </c>
      <c r="E2669" s="28"/>
      <c r="F2669" s="28">
        <v>25</v>
      </c>
      <c r="G2669" s="28">
        <v>100692</v>
      </c>
      <c r="H2669" s="28">
        <v>0</v>
      </c>
      <c r="J2669" s="28"/>
    </row>
    <row r="2670" spans="1:10" ht="15.75" customHeight="1">
      <c r="A2670" s="28">
        <v>18969</v>
      </c>
      <c r="B2670" s="91">
        <v>45087.735891203702</v>
      </c>
      <c r="C2670" s="28" t="s">
        <v>10</v>
      </c>
      <c r="D2670" s="28" t="s">
        <v>650</v>
      </c>
      <c r="E2670" s="28"/>
      <c r="F2670" s="28">
        <v>0</v>
      </c>
      <c r="G2670" s="28" t="s">
        <v>125</v>
      </c>
      <c r="H2670" s="28">
        <v>0</v>
      </c>
      <c r="J2670" s="28"/>
    </row>
    <row r="2671" spans="1:10" ht="15.75" customHeight="1">
      <c r="A2671" s="28">
        <v>18969</v>
      </c>
      <c r="B2671" s="91">
        <v>45087.735891203702</v>
      </c>
      <c r="C2671" s="28" t="s">
        <v>10</v>
      </c>
      <c r="D2671" s="28" t="s">
        <v>650</v>
      </c>
      <c r="E2671" s="28"/>
      <c r="F2671" s="28">
        <v>0</v>
      </c>
      <c r="G2671" s="28" t="s">
        <v>119</v>
      </c>
      <c r="H2671" s="28">
        <v>0</v>
      </c>
      <c r="J2671" s="28"/>
    </row>
    <row r="2672" spans="1:10" ht="15.75" customHeight="1">
      <c r="A2672" s="28">
        <v>18970</v>
      </c>
      <c r="B2672" s="91">
        <v>45088.543553240743</v>
      </c>
      <c r="C2672" s="28" t="s">
        <v>10</v>
      </c>
      <c r="D2672" s="28" t="s">
        <v>649</v>
      </c>
      <c r="E2672" s="28"/>
      <c r="F2672" s="28">
        <v>25</v>
      </c>
      <c r="G2672" s="28" t="s">
        <v>141</v>
      </c>
      <c r="H2672" s="28">
        <v>0</v>
      </c>
      <c r="J2672" s="28"/>
    </row>
    <row r="2673" spans="1:10" ht="15.75" customHeight="1">
      <c r="A2673" s="28">
        <v>18971</v>
      </c>
      <c r="B2673" s="91">
        <v>45088.930150462962</v>
      </c>
      <c r="C2673" s="28" t="s">
        <v>10</v>
      </c>
      <c r="D2673" s="28" t="s">
        <v>648</v>
      </c>
      <c r="E2673" s="28"/>
      <c r="F2673" s="28">
        <v>26</v>
      </c>
      <c r="G2673" s="28" t="s">
        <v>122</v>
      </c>
      <c r="H2673" s="28">
        <v>0</v>
      </c>
      <c r="J2673" s="28"/>
    </row>
    <row r="2674" spans="1:10" ht="15.75" customHeight="1">
      <c r="A2674" s="28">
        <v>18971</v>
      </c>
      <c r="B2674" s="91">
        <v>45088.930150462962</v>
      </c>
      <c r="C2674" s="28" t="s">
        <v>10</v>
      </c>
      <c r="D2674" s="28" t="s">
        <v>648</v>
      </c>
      <c r="E2674" s="28"/>
      <c r="F2674" s="28">
        <v>20</v>
      </c>
      <c r="G2674" s="28"/>
      <c r="H2674" s="28">
        <v>0</v>
      </c>
      <c r="J2674" s="28"/>
    </row>
    <row r="2675" spans="1:10" ht="15.75" customHeight="1">
      <c r="A2675" s="28">
        <v>18971</v>
      </c>
      <c r="B2675" s="91">
        <v>45088.930150462962</v>
      </c>
      <c r="C2675" s="28" t="s">
        <v>10</v>
      </c>
      <c r="D2675" s="28" t="s">
        <v>648</v>
      </c>
      <c r="E2675" s="28"/>
      <c r="F2675" s="28">
        <v>0</v>
      </c>
      <c r="G2675" s="28" t="s">
        <v>117</v>
      </c>
      <c r="H2675" s="28">
        <v>0</v>
      </c>
      <c r="J2675" s="28"/>
    </row>
    <row r="2676" spans="1:10" ht="15.75" customHeight="1">
      <c r="A2676" s="28">
        <v>18971</v>
      </c>
      <c r="B2676" s="91">
        <v>45088.930150462962</v>
      </c>
      <c r="C2676" s="28" t="s">
        <v>10</v>
      </c>
      <c r="D2676" s="28" t="s">
        <v>648</v>
      </c>
      <c r="E2676" s="28"/>
      <c r="F2676" s="28">
        <v>25</v>
      </c>
      <c r="G2676" s="28" t="s">
        <v>118</v>
      </c>
      <c r="H2676" s="28">
        <v>0</v>
      </c>
      <c r="J2676" s="28"/>
    </row>
    <row r="2677" spans="1:10" ht="15.75" customHeight="1">
      <c r="A2677" s="28">
        <v>18972</v>
      </c>
      <c r="B2677" s="91">
        <v>45088.996886574074</v>
      </c>
      <c r="C2677" s="28" t="s">
        <v>10</v>
      </c>
      <c r="D2677" s="28" t="s">
        <v>647</v>
      </c>
      <c r="E2677" s="28"/>
      <c r="F2677" s="28">
        <v>26</v>
      </c>
      <c r="G2677" s="28" t="s">
        <v>122</v>
      </c>
      <c r="H2677" s="28">
        <v>0</v>
      </c>
      <c r="J2677" s="28"/>
    </row>
    <row r="2678" spans="1:10" ht="15.75" customHeight="1">
      <c r="A2678" s="28">
        <v>18973</v>
      </c>
      <c r="B2678" s="91">
        <v>45089.086701388893</v>
      </c>
      <c r="C2678" s="28" t="s">
        <v>10</v>
      </c>
      <c r="D2678" s="28" t="s">
        <v>646</v>
      </c>
      <c r="E2678" s="28"/>
      <c r="F2678" s="28">
        <v>25</v>
      </c>
      <c r="G2678" s="28">
        <v>100692</v>
      </c>
      <c r="H2678" s="28">
        <v>0</v>
      </c>
      <c r="J2678" s="28"/>
    </row>
    <row r="2679" spans="1:10" ht="15.75" customHeight="1">
      <c r="A2679" s="28">
        <v>18973</v>
      </c>
      <c r="B2679" s="91">
        <v>45089.086701388893</v>
      </c>
      <c r="C2679" s="28" t="s">
        <v>10</v>
      </c>
      <c r="D2679" s="28" t="s">
        <v>646</v>
      </c>
      <c r="E2679" s="28"/>
      <c r="F2679" s="28">
        <v>0</v>
      </c>
      <c r="G2679" s="28" t="s">
        <v>125</v>
      </c>
      <c r="H2679" s="28">
        <v>0</v>
      </c>
      <c r="J2679" s="28"/>
    </row>
    <row r="2680" spans="1:10" ht="15.75" customHeight="1">
      <c r="A2680" s="28">
        <v>18973</v>
      </c>
      <c r="B2680" s="91">
        <v>45089.086701388893</v>
      </c>
      <c r="C2680" s="28" t="s">
        <v>10</v>
      </c>
      <c r="D2680" s="28" t="s">
        <v>646</v>
      </c>
      <c r="E2680" s="28"/>
      <c r="F2680" s="28">
        <v>0</v>
      </c>
      <c r="G2680" s="28" t="s">
        <v>119</v>
      </c>
      <c r="H2680" s="28">
        <v>0</v>
      </c>
      <c r="J2680" s="28"/>
    </row>
    <row r="2681" spans="1:10" ht="15.75" customHeight="1">
      <c r="A2681" s="28">
        <v>18974</v>
      </c>
      <c r="B2681" s="91">
        <v>45089.649895833332</v>
      </c>
      <c r="C2681" s="28" t="s">
        <v>10</v>
      </c>
      <c r="D2681" s="28" t="s">
        <v>645</v>
      </c>
      <c r="E2681" s="28"/>
      <c r="F2681" s="28">
        <v>15</v>
      </c>
      <c r="G2681" s="28" t="s">
        <v>125</v>
      </c>
      <c r="H2681" s="28">
        <v>0</v>
      </c>
      <c r="J2681" s="28"/>
    </row>
    <row r="2682" spans="1:10" ht="15.75" customHeight="1">
      <c r="A2682" s="28">
        <v>18974</v>
      </c>
      <c r="B2682" s="91">
        <v>45089.649895833332</v>
      </c>
      <c r="C2682" s="28" t="s">
        <v>10</v>
      </c>
      <c r="D2682" s="28" t="s">
        <v>645</v>
      </c>
      <c r="E2682" s="28"/>
      <c r="F2682" s="28">
        <v>20</v>
      </c>
      <c r="G2682" s="28" t="s">
        <v>205</v>
      </c>
      <c r="H2682" s="28">
        <v>0</v>
      </c>
      <c r="J2682" s="28"/>
    </row>
    <row r="2683" spans="1:10" ht="15.75" customHeight="1">
      <c r="A2683" s="28">
        <v>18974</v>
      </c>
      <c r="B2683" s="91">
        <v>45089.649895833332</v>
      </c>
      <c r="C2683" s="28" t="s">
        <v>10</v>
      </c>
      <c r="D2683" s="28" t="s">
        <v>645</v>
      </c>
      <c r="E2683" s="28"/>
      <c r="F2683" s="28">
        <v>0</v>
      </c>
      <c r="G2683" s="28" t="s">
        <v>125</v>
      </c>
      <c r="H2683" s="28">
        <v>0</v>
      </c>
      <c r="J2683" s="28"/>
    </row>
    <row r="2684" spans="1:10" ht="15.75" customHeight="1">
      <c r="A2684" s="28">
        <v>18976</v>
      </c>
      <c r="B2684" s="91">
        <v>45090.068275462967</v>
      </c>
      <c r="C2684" s="28" t="s">
        <v>10</v>
      </c>
      <c r="D2684" s="28" t="s">
        <v>644</v>
      </c>
      <c r="E2684" s="28"/>
      <c r="F2684" s="28">
        <v>26</v>
      </c>
      <c r="G2684" s="28" t="s">
        <v>122</v>
      </c>
      <c r="H2684" s="28">
        <v>0</v>
      </c>
      <c r="J2684" s="28"/>
    </row>
    <row r="2685" spans="1:10" ht="15.75" customHeight="1">
      <c r="A2685" s="28">
        <v>18977</v>
      </c>
      <c r="B2685" s="91">
        <v>45090.070925925931</v>
      </c>
      <c r="C2685" s="28" t="s">
        <v>10</v>
      </c>
      <c r="D2685" s="28" t="s">
        <v>643</v>
      </c>
      <c r="E2685" s="28"/>
      <c r="F2685" s="28">
        <v>26</v>
      </c>
      <c r="G2685" s="28" t="s">
        <v>122</v>
      </c>
      <c r="H2685" s="28">
        <v>0</v>
      </c>
      <c r="J2685" s="28"/>
    </row>
    <row r="2686" spans="1:10" ht="15.75" customHeight="1">
      <c r="A2686" s="28">
        <v>18978</v>
      </c>
      <c r="B2686" s="91">
        <v>45090.073472222226</v>
      </c>
      <c r="C2686" s="28" t="s">
        <v>10</v>
      </c>
      <c r="D2686" s="28" t="s">
        <v>643</v>
      </c>
      <c r="E2686" s="28"/>
      <c r="F2686" s="28">
        <v>30</v>
      </c>
      <c r="G2686" s="28" t="s">
        <v>128</v>
      </c>
      <c r="H2686" s="28">
        <v>0</v>
      </c>
      <c r="J2686" s="28"/>
    </row>
    <row r="2687" spans="1:10" ht="15.75" customHeight="1">
      <c r="A2687" s="28">
        <v>18978</v>
      </c>
      <c r="B2687" s="91">
        <v>45090.073472222226</v>
      </c>
      <c r="C2687" s="28" t="s">
        <v>10</v>
      </c>
      <c r="D2687" s="28" t="s">
        <v>643</v>
      </c>
      <c r="E2687" s="28"/>
      <c r="F2687" s="28">
        <v>0</v>
      </c>
      <c r="G2687" s="28" t="s">
        <v>125</v>
      </c>
      <c r="H2687" s="28">
        <v>0</v>
      </c>
      <c r="J2687" s="28"/>
    </row>
    <row r="2688" spans="1:10" ht="15.75" customHeight="1">
      <c r="A2688" s="28">
        <v>18978</v>
      </c>
      <c r="B2688" s="91">
        <v>45090.073472222226</v>
      </c>
      <c r="C2688" s="28" t="s">
        <v>10</v>
      </c>
      <c r="D2688" s="28" t="s">
        <v>643</v>
      </c>
      <c r="E2688" s="28"/>
      <c r="F2688" s="28">
        <v>0</v>
      </c>
      <c r="G2688" s="28" t="s">
        <v>119</v>
      </c>
      <c r="H2688" s="28">
        <v>0</v>
      </c>
      <c r="J2688" s="28"/>
    </row>
    <row r="2689" spans="1:10" ht="15.75" customHeight="1">
      <c r="A2689" s="28">
        <v>18979</v>
      </c>
      <c r="B2689" s="91">
        <v>45090.499826388885</v>
      </c>
      <c r="C2689" s="28" t="s">
        <v>10</v>
      </c>
      <c r="D2689" s="28" t="s">
        <v>642</v>
      </c>
      <c r="E2689" s="28"/>
      <c r="F2689" s="28">
        <v>25</v>
      </c>
      <c r="G2689" s="28">
        <v>100692</v>
      </c>
      <c r="H2689" s="28">
        <v>0</v>
      </c>
      <c r="J2689" s="28"/>
    </row>
    <row r="2690" spans="1:10" ht="15.75" customHeight="1">
      <c r="A2690" s="28">
        <v>18979</v>
      </c>
      <c r="B2690" s="91">
        <v>45090.499826388885</v>
      </c>
      <c r="C2690" s="28" t="s">
        <v>10</v>
      </c>
      <c r="D2690" s="28" t="s">
        <v>642</v>
      </c>
      <c r="E2690" s="28"/>
      <c r="F2690" s="28">
        <v>0</v>
      </c>
      <c r="G2690" s="28" t="s">
        <v>125</v>
      </c>
      <c r="H2690" s="28">
        <v>0</v>
      </c>
      <c r="J2690" s="28"/>
    </row>
    <row r="2691" spans="1:10" ht="15.75" customHeight="1">
      <c r="A2691" s="28">
        <v>18979</v>
      </c>
      <c r="B2691" s="91">
        <v>45090.499826388885</v>
      </c>
      <c r="C2691" s="28" t="s">
        <v>10</v>
      </c>
      <c r="D2691" s="28" t="s">
        <v>642</v>
      </c>
      <c r="E2691" s="28"/>
      <c r="F2691" s="28">
        <v>0</v>
      </c>
      <c r="G2691" s="28" t="s">
        <v>119</v>
      </c>
      <c r="H2691" s="28">
        <v>0</v>
      </c>
      <c r="J2691" s="28"/>
    </row>
    <row r="2692" spans="1:10" ht="15.75" customHeight="1">
      <c r="A2692" s="28">
        <v>18980</v>
      </c>
      <c r="B2692" s="91">
        <v>45090.502546296295</v>
      </c>
      <c r="C2692" s="28" t="s">
        <v>10</v>
      </c>
      <c r="D2692" s="28" t="s">
        <v>642</v>
      </c>
      <c r="E2692" s="28"/>
      <c r="F2692" s="28">
        <v>25</v>
      </c>
      <c r="G2692" s="28" t="s">
        <v>141</v>
      </c>
      <c r="H2692" s="28">
        <v>0</v>
      </c>
      <c r="J2692" s="28"/>
    </row>
    <row r="2693" spans="1:10" ht="15.75" customHeight="1">
      <c r="A2693" s="28">
        <v>18981</v>
      </c>
      <c r="B2693" s="91">
        <v>45090.611284722225</v>
      </c>
      <c r="C2693" s="28" t="s">
        <v>10</v>
      </c>
      <c r="D2693" s="28" t="s">
        <v>641</v>
      </c>
      <c r="E2693" s="28"/>
      <c r="F2693" s="28">
        <v>35</v>
      </c>
      <c r="G2693" s="28" t="s">
        <v>124</v>
      </c>
      <c r="H2693" s="28">
        <v>0</v>
      </c>
      <c r="J2693" s="28"/>
    </row>
    <row r="2694" spans="1:10" ht="15.75" customHeight="1">
      <c r="A2694" s="28">
        <v>18981</v>
      </c>
      <c r="B2694" s="91">
        <v>45090.611284722225</v>
      </c>
      <c r="C2694" s="28" t="s">
        <v>10</v>
      </c>
      <c r="D2694" s="28" t="s">
        <v>641</v>
      </c>
      <c r="E2694" s="28"/>
      <c r="F2694" s="28">
        <v>0</v>
      </c>
      <c r="G2694" s="28" t="s">
        <v>125</v>
      </c>
      <c r="H2694" s="28">
        <v>0</v>
      </c>
      <c r="J2694" s="28"/>
    </row>
    <row r="2695" spans="1:10" ht="15.75" customHeight="1">
      <c r="A2695" s="28">
        <v>18981</v>
      </c>
      <c r="B2695" s="91">
        <v>45090.611284722225</v>
      </c>
      <c r="C2695" s="28" t="s">
        <v>10</v>
      </c>
      <c r="D2695" s="28" t="s">
        <v>641</v>
      </c>
      <c r="E2695" s="28"/>
      <c r="F2695" s="28">
        <v>0</v>
      </c>
      <c r="G2695" s="28" t="s">
        <v>119</v>
      </c>
      <c r="H2695" s="28">
        <v>0</v>
      </c>
      <c r="J2695" s="28"/>
    </row>
    <row r="2696" spans="1:10" ht="15.75" customHeight="1">
      <c r="A2696" s="28">
        <v>18981</v>
      </c>
      <c r="B2696" s="91">
        <v>45090.611284722225</v>
      </c>
      <c r="C2696" s="28" t="s">
        <v>10</v>
      </c>
      <c r="D2696" s="28" t="s">
        <v>641</v>
      </c>
      <c r="E2696" s="28"/>
      <c r="F2696" s="28">
        <v>0</v>
      </c>
      <c r="G2696" s="28" t="s">
        <v>121</v>
      </c>
      <c r="H2696" s="28">
        <v>0</v>
      </c>
      <c r="J2696" s="28"/>
    </row>
    <row r="2697" spans="1:10" ht="15.75" customHeight="1">
      <c r="A2697" s="28">
        <v>18982</v>
      </c>
      <c r="B2697" s="91">
        <v>45090.802777777775</v>
      </c>
      <c r="C2697" s="28" t="s">
        <v>10</v>
      </c>
      <c r="D2697" s="28" t="s">
        <v>640</v>
      </c>
      <c r="E2697" s="28"/>
      <c r="F2697" s="28">
        <v>25</v>
      </c>
      <c r="G2697" s="28">
        <v>100692</v>
      </c>
      <c r="H2697" s="28">
        <v>0</v>
      </c>
      <c r="J2697" s="28"/>
    </row>
    <row r="2698" spans="1:10" ht="15.75" customHeight="1">
      <c r="A2698" s="28">
        <v>18982</v>
      </c>
      <c r="B2698" s="91">
        <v>45090.802777777775</v>
      </c>
      <c r="C2698" s="28" t="s">
        <v>10</v>
      </c>
      <c r="D2698" s="28" t="s">
        <v>640</v>
      </c>
      <c r="E2698" s="28"/>
      <c r="F2698" s="28">
        <v>0</v>
      </c>
      <c r="G2698" s="28" t="s">
        <v>125</v>
      </c>
      <c r="H2698" s="28">
        <v>0</v>
      </c>
      <c r="J2698" s="28"/>
    </row>
    <row r="2699" spans="1:10" ht="15.75" customHeight="1">
      <c r="A2699" s="28">
        <v>18982</v>
      </c>
      <c r="B2699" s="91">
        <v>45090.802777777775</v>
      </c>
      <c r="C2699" s="28" t="s">
        <v>10</v>
      </c>
      <c r="D2699" s="28" t="s">
        <v>640</v>
      </c>
      <c r="E2699" s="28"/>
      <c r="F2699" s="28">
        <v>0</v>
      </c>
      <c r="G2699" s="28" t="s">
        <v>119</v>
      </c>
      <c r="H2699" s="28">
        <v>0</v>
      </c>
      <c r="J2699" s="28"/>
    </row>
    <row r="2700" spans="1:10" ht="15.75" customHeight="1">
      <c r="A2700" s="28">
        <v>18992</v>
      </c>
      <c r="B2700" s="91">
        <v>45093.045775462961</v>
      </c>
      <c r="C2700" s="28" t="s">
        <v>10</v>
      </c>
      <c r="D2700" s="28" t="s">
        <v>639</v>
      </c>
      <c r="E2700" s="28" t="s">
        <v>15</v>
      </c>
      <c r="F2700" s="28">
        <v>25</v>
      </c>
      <c r="G2700" s="28">
        <v>100692</v>
      </c>
      <c r="H2700" s="28">
        <v>0</v>
      </c>
      <c r="J2700" s="28"/>
    </row>
    <row r="2701" spans="1:10" ht="15.75" customHeight="1">
      <c r="A2701" s="28">
        <v>18992</v>
      </c>
      <c r="B2701" s="91">
        <v>45093.045775462961</v>
      </c>
      <c r="C2701" s="28" t="s">
        <v>10</v>
      </c>
      <c r="D2701" s="28" t="s">
        <v>639</v>
      </c>
      <c r="E2701" s="28" t="s">
        <v>15</v>
      </c>
      <c r="F2701" s="28">
        <v>0</v>
      </c>
      <c r="G2701" s="28" t="s">
        <v>125</v>
      </c>
      <c r="H2701" s="28">
        <v>0</v>
      </c>
      <c r="J2701" s="28"/>
    </row>
    <row r="2702" spans="1:10" ht="15.75" customHeight="1">
      <c r="A2702" s="28">
        <v>18992</v>
      </c>
      <c r="B2702" s="91">
        <v>45093.045775462961</v>
      </c>
      <c r="C2702" s="28" t="s">
        <v>10</v>
      </c>
      <c r="D2702" s="28" t="s">
        <v>639</v>
      </c>
      <c r="E2702" s="28" t="s">
        <v>15</v>
      </c>
      <c r="F2702" s="28">
        <v>0</v>
      </c>
      <c r="G2702" s="28" t="s">
        <v>119</v>
      </c>
      <c r="H2702" s="28">
        <v>0</v>
      </c>
      <c r="J2702" s="28"/>
    </row>
    <row r="2703" spans="1:10" ht="15.75" customHeight="1">
      <c r="A2703" s="28">
        <v>18993</v>
      </c>
      <c r="B2703" s="91">
        <v>45093.119085648148</v>
      </c>
      <c r="C2703" s="28" t="s">
        <v>10</v>
      </c>
      <c r="D2703" s="28" t="s">
        <v>638</v>
      </c>
      <c r="E2703" s="28" t="s">
        <v>15</v>
      </c>
      <c r="F2703" s="28">
        <v>20</v>
      </c>
      <c r="G2703" s="28"/>
      <c r="H2703" s="28">
        <v>0</v>
      </c>
      <c r="J2703" s="28"/>
    </row>
    <row r="2704" spans="1:10" ht="15.75" customHeight="1">
      <c r="A2704" s="28">
        <v>18993</v>
      </c>
      <c r="B2704" s="91">
        <v>45093.119085648148</v>
      </c>
      <c r="C2704" s="28" t="s">
        <v>10</v>
      </c>
      <c r="D2704" s="28" t="s">
        <v>638</v>
      </c>
      <c r="E2704" s="28" t="s">
        <v>15</v>
      </c>
      <c r="F2704" s="28">
        <v>25</v>
      </c>
      <c r="G2704" s="28">
        <v>100692</v>
      </c>
      <c r="H2704" s="28">
        <v>0</v>
      </c>
      <c r="J2704" s="28"/>
    </row>
    <row r="2705" spans="1:10" ht="15.75" customHeight="1">
      <c r="A2705" s="28">
        <v>18993</v>
      </c>
      <c r="B2705" s="91">
        <v>45093.119085648148</v>
      </c>
      <c r="C2705" s="28" t="s">
        <v>10</v>
      </c>
      <c r="D2705" s="28" t="s">
        <v>638</v>
      </c>
      <c r="E2705" s="28" t="s">
        <v>15</v>
      </c>
      <c r="F2705" s="28">
        <v>0</v>
      </c>
      <c r="G2705" s="28" t="s">
        <v>125</v>
      </c>
      <c r="H2705" s="28">
        <v>0</v>
      </c>
      <c r="J2705" s="28"/>
    </row>
    <row r="2706" spans="1:10" ht="15.75" customHeight="1">
      <c r="A2706" s="28">
        <v>18993</v>
      </c>
      <c r="B2706" s="91">
        <v>45093.119085648148</v>
      </c>
      <c r="C2706" s="28" t="s">
        <v>10</v>
      </c>
      <c r="D2706" s="28" t="s">
        <v>638</v>
      </c>
      <c r="E2706" s="28" t="s">
        <v>15</v>
      </c>
      <c r="F2706" s="28">
        <v>0</v>
      </c>
      <c r="G2706" s="28" t="s">
        <v>119</v>
      </c>
      <c r="H2706" s="28">
        <v>0</v>
      </c>
      <c r="J2706" s="28"/>
    </row>
    <row r="2707" spans="1:10" ht="15.75" customHeight="1">
      <c r="A2707" s="28">
        <v>18993</v>
      </c>
      <c r="B2707" s="91">
        <v>45093.119085648148</v>
      </c>
      <c r="C2707" s="28" t="s">
        <v>10</v>
      </c>
      <c r="D2707" s="28" t="s">
        <v>638</v>
      </c>
      <c r="E2707" s="28" t="s">
        <v>15</v>
      </c>
      <c r="F2707" s="28">
        <v>20</v>
      </c>
      <c r="G2707" s="28" t="s">
        <v>148</v>
      </c>
      <c r="H2707" s="28">
        <v>0</v>
      </c>
      <c r="J2707" s="28"/>
    </row>
    <row r="2708" spans="1:10" ht="15.75" customHeight="1">
      <c r="A2708" s="28">
        <v>18994</v>
      </c>
      <c r="B2708" s="91">
        <v>45093.139178240745</v>
      </c>
      <c r="C2708" s="28" t="s">
        <v>10</v>
      </c>
      <c r="D2708" s="28" t="s">
        <v>637</v>
      </c>
      <c r="E2708" s="28" t="s">
        <v>59</v>
      </c>
      <c r="F2708" s="28">
        <v>18</v>
      </c>
      <c r="G2708" s="28" t="s">
        <v>119</v>
      </c>
      <c r="H2708" s="28">
        <v>0</v>
      </c>
      <c r="J2708" s="28"/>
    </row>
    <row r="2709" spans="1:10" ht="15.75" customHeight="1">
      <c r="A2709" s="28">
        <v>18996</v>
      </c>
      <c r="B2709" s="91">
        <v>45094.624178240745</v>
      </c>
      <c r="C2709" s="28" t="s">
        <v>10</v>
      </c>
      <c r="D2709" s="28" t="s">
        <v>636</v>
      </c>
      <c r="E2709" s="28" t="s">
        <v>59</v>
      </c>
      <c r="F2709" s="28">
        <v>28</v>
      </c>
      <c r="G2709" s="28" t="s">
        <v>143</v>
      </c>
      <c r="H2709" s="28">
        <v>0</v>
      </c>
      <c r="J2709" s="28"/>
    </row>
    <row r="2710" spans="1:10" ht="15.75" customHeight="1">
      <c r="A2710" s="28">
        <v>18996</v>
      </c>
      <c r="B2710" s="91">
        <v>45094.624178240745</v>
      </c>
      <c r="C2710" s="28" t="s">
        <v>10</v>
      </c>
      <c r="D2710" s="28" t="s">
        <v>636</v>
      </c>
      <c r="E2710" s="28" t="s">
        <v>59</v>
      </c>
      <c r="F2710" s="28">
        <v>15</v>
      </c>
      <c r="G2710" s="28" t="s">
        <v>125</v>
      </c>
      <c r="H2710" s="28">
        <v>0</v>
      </c>
      <c r="J2710" s="28"/>
    </row>
    <row r="2711" spans="1:10" ht="15.75" customHeight="1">
      <c r="A2711" s="28">
        <v>18997</v>
      </c>
      <c r="B2711" s="91">
        <v>45094.862303240741</v>
      </c>
      <c r="C2711" s="28" t="s">
        <v>18</v>
      </c>
      <c r="D2711" s="28" t="s">
        <v>635</v>
      </c>
      <c r="E2711" s="28" t="s">
        <v>59</v>
      </c>
      <c r="F2711" s="28">
        <v>0</v>
      </c>
      <c r="G2711" s="28" t="s">
        <v>117</v>
      </c>
      <c r="H2711" s="28">
        <v>0</v>
      </c>
      <c r="J2711" s="28"/>
    </row>
    <row r="2712" spans="1:10" ht="15.75" customHeight="1">
      <c r="A2712" s="28">
        <v>18997</v>
      </c>
      <c r="B2712" s="91">
        <v>45094.862303240741</v>
      </c>
      <c r="C2712" s="28" t="s">
        <v>18</v>
      </c>
      <c r="D2712" s="28" t="s">
        <v>635</v>
      </c>
      <c r="E2712" s="28" t="s">
        <v>59</v>
      </c>
      <c r="F2712" s="28">
        <v>18</v>
      </c>
      <c r="G2712" s="28" t="s">
        <v>119</v>
      </c>
      <c r="H2712" s="28">
        <v>0</v>
      </c>
      <c r="J2712" s="28"/>
    </row>
    <row r="2713" spans="1:10" ht="15.75" customHeight="1">
      <c r="A2713" s="28">
        <v>19020</v>
      </c>
      <c r="B2713" s="91">
        <v>45095.768726851849</v>
      </c>
      <c r="C2713" s="28" t="s">
        <v>10</v>
      </c>
      <c r="D2713" s="28" t="s">
        <v>634</v>
      </c>
      <c r="E2713" s="28" t="s">
        <v>84</v>
      </c>
      <c r="F2713" s="28">
        <v>0</v>
      </c>
      <c r="G2713" s="28" t="s">
        <v>117</v>
      </c>
      <c r="H2713" s="28">
        <v>0</v>
      </c>
      <c r="J2713" s="28"/>
    </row>
    <row r="2714" spans="1:10" ht="15.75" customHeight="1">
      <c r="A2714" s="28">
        <v>19021</v>
      </c>
      <c r="B2714" s="91">
        <v>45095.838090277779</v>
      </c>
      <c r="C2714" s="28" t="s">
        <v>10</v>
      </c>
      <c r="D2714" s="28" t="s">
        <v>633</v>
      </c>
      <c r="E2714" s="28" t="s">
        <v>84</v>
      </c>
      <c r="F2714" s="28">
        <v>0</v>
      </c>
      <c r="G2714" s="28" t="s">
        <v>117</v>
      </c>
      <c r="H2714" s="28">
        <v>0</v>
      </c>
      <c r="J2714" s="28"/>
    </row>
    <row r="2715" spans="1:10" ht="15.75" customHeight="1">
      <c r="A2715" s="28">
        <v>19023</v>
      </c>
      <c r="B2715" s="91">
        <v>45096.443055555559</v>
      </c>
      <c r="C2715" s="28" t="s">
        <v>10</v>
      </c>
      <c r="D2715" s="28" t="s">
        <v>632</v>
      </c>
      <c r="E2715" s="28" t="s">
        <v>84</v>
      </c>
      <c r="F2715" s="28">
        <v>25</v>
      </c>
      <c r="G2715" s="28" t="s">
        <v>141</v>
      </c>
      <c r="H2715" s="28">
        <v>0</v>
      </c>
      <c r="J2715" s="28"/>
    </row>
    <row r="2716" spans="1:10" ht="15.75" customHeight="1">
      <c r="A2716" s="28">
        <v>19027</v>
      </c>
      <c r="B2716" s="91">
        <v>45096.479618055557</v>
      </c>
      <c r="C2716" s="28" t="s">
        <v>51</v>
      </c>
      <c r="D2716" s="28" t="s">
        <v>132</v>
      </c>
      <c r="E2716" s="28"/>
      <c r="F2716" s="28">
        <v>134</v>
      </c>
      <c r="G2716" s="28" t="s">
        <v>139</v>
      </c>
      <c r="H2716" s="28">
        <v>0</v>
      </c>
      <c r="J2716" s="28"/>
    </row>
    <row r="2717" spans="1:10" ht="15.75" customHeight="1">
      <c r="A2717" s="28">
        <v>19027</v>
      </c>
      <c r="B2717" s="91">
        <v>45096.479618055557</v>
      </c>
      <c r="C2717" s="28" t="s">
        <v>51</v>
      </c>
      <c r="D2717" s="28" t="s">
        <v>132</v>
      </c>
      <c r="E2717" s="28"/>
      <c r="F2717" s="28">
        <v>84</v>
      </c>
      <c r="G2717" s="28" t="s">
        <v>139</v>
      </c>
      <c r="H2717" s="28">
        <v>0</v>
      </c>
      <c r="J2717" s="28"/>
    </row>
    <row r="2718" spans="1:10" ht="15.75" customHeight="1">
      <c r="A2718" s="28">
        <v>19027</v>
      </c>
      <c r="B2718" s="91">
        <v>45096.479618055557</v>
      </c>
      <c r="C2718" s="28" t="s">
        <v>51</v>
      </c>
      <c r="D2718" s="28" t="s">
        <v>132</v>
      </c>
      <c r="E2718" s="28"/>
      <c r="F2718" s="28">
        <v>115</v>
      </c>
      <c r="G2718" s="28" t="s">
        <v>139</v>
      </c>
      <c r="H2718" s="28">
        <v>0</v>
      </c>
      <c r="J2718" s="28"/>
    </row>
    <row r="2719" spans="1:10" ht="15.75" customHeight="1">
      <c r="A2719" s="28">
        <v>19027</v>
      </c>
      <c r="B2719" s="91">
        <v>45096.479618055557</v>
      </c>
      <c r="C2719" s="28" t="s">
        <v>51</v>
      </c>
      <c r="D2719" s="28" t="s">
        <v>132</v>
      </c>
      <c r="E2719" s="28"/>
      <c r="F2719" s="28">
        <v>120</v>
      </c>
      <c r="G2719" s="28" t="s">
        <v>139</v>
      </c>
      <c r="H2719" s="28">
        <v>0</v>
      </c>
      <c r="J2719" s="28"/>
    </row>
    <row r="2720" spans="1:10" ht="15.75" customHeight="1">
      <c r="A2720" s="28">
        <v>19027</v>
      </c>
      <c r="B2720" s="91">
        <v>45096.479618055557</v>
      </c>
      <c r="C2720" s="28" t="s">
        <v>51</v>
      </c>
      <c r="D2720" s="28" t="s">
        <v>132</v>
      </c>
      <c r="E2720" s="28"/>
      <c r="F2720" s="28">
        <v>81</v>
      </c>
      <c r="G2720" s="28" t="s">
        <v>139</v>
      </c>
      <c r="H2720" s="28">
        <v>0</v>
      </c>
      <c r="J2720" s="28"/>
    </row>
    <row r="2721" spans="1:10" ht="15.75" customHeight="1">
      <c r="A2721" s="28">
        <v>19027</v>
      </c>
      <c r="B2721" s="91">
        <v>45096.479618055557</v>
      </c>
      <c r="C2721" s="28" t="s">
        <v>51</v>
      </c>
      <c r="D2721" s="28" t="s">
        <v>132</v>
      </c>
      <c r="E2721" s="28"/>
      <c r="F2721" s="28">
        <v>46</v>
      </c>
      <c r="G2721" s="28" t="s">
        <v>139</v>
      </c>
      <c r="H2721" s="28">
        <v>0</v>
      </c>
      <c r="J2721" s="28"/>
    </row>
    <row r="2722" spans="1:10" ht="15.75" customHeight="1">
      <c r="A2722" s="28">
        <v>19028</v>
      </c>
      <c r="B2722" s="91">
        <v>45096.920775462961</v>
      </c>
      <c r="C2722" s="28" t="s">
        <v>10</v>
      </c>
      <c r="D2722" s="28" t="s">
        <v>631</v>
      </c>
      <c r="E2722" s="28" t="s">
        <v>28</v>
      </c>
      <c r="F2722" s="28">
        <v>25</v>
      </c>
      <c r="G2722" s="28">
        <v>100692</v>
      </c>
      <c r="H2722" s="28">
        <v>0</v>
      </c>
      <c r="J2722" s="28"/>
    </row>
    <row r="2723" spans="1:10" ht="15.75" customHeight="1">
      <c r="A2723" s="28">
        <v>19028</v>
      </c>
      <c r="B2723" s="91">
        <v>45096.920775462961</v>
      </c>
      <c r="C2723" s="28" t="s">
        <v>10</v>
      </c>
      <c r="D2723" s="28" t="s">
        <v>631</v>
      </c>
      <c r="E2723" s="28" t="s">
        <v>28</v>
      </c>
      <c r="F2723" s="28">
        <v>0</v>
      </c>
      <c r="G2723" s="28" t="s">
        <v>125</v>
      </c>
      <c r="H2723" s="28">
        <v>0</v>
      </c>
      <c r="J2723" s="28"/>
    </row>
    <row r="2724" spans="1:10" ht="15.75" customHeight="1">
      <c r="A2724" s="28">
        <v>19028</v>
      </c>
      <c r="B2724" s="91">
        <v>45096.920775462961</v>
      </c>
      <c r="C2724" s="28" t="s">
        <v>10</v>
      </c>
      <c r="D2724" s="28" t="s">
        <v>631</v>
      </c>
      <c r="E2724" s="28" t="s">
        <v>28</v>
      </c>
      <c r="F2724" s="28">
        <v>0</v>
      </c>
      <c r="G2724" s="28" t="s">
        <v>119</v>
      </c>
      <c r="H2724" s="28">
        <v>0</v>
      </c>
      <c r="J2724" s="28"/>
    </row>
    <row r="2725" spans="1:10" ht="15.75" customHeight="1">
      <c r="A2725" s="28">
        <v>19029</v>
      </c>
      <c r="B2725" s="91">
        <v>45096.925821759258</v>
      </c>
      <c r="C2725" s="28" t="s">
        <v>10</v>
      </c>
      <c r="D2725" s="28" t="s">
        <v>630</v>
      </c>
      <c r="E2725" s="28" t="s">
        <v>28</v>
      </c>
      <c r="F2725" s="28">
        <v>15</v>
      </c>
      <c r="G2725" s="28" t="s">
        <v>125</v>
      </c>
      <c r="H2725" s="28">
        <v>0</v>
      </c>
      <c r="J2725" s="28"/>
    </row>
    <row r="2726" spans="1:10" ht="15.75" customHeight="1">
      <c r="A2726" s="28">
        <v>19030</v>
      </c>
      <c r="B2726" s="91">
        <v>45096.927291666667</v>
      </c>
      <c r="C2726" s="28" t="s">
        <v>10</v>
      </c>
      <c r="D2726" s="28" t="s">
        <v>629</v>
      </c>
      <c r="E2726" s="28" t="s">
        <v>28</v>
      </c>
      <c r="F2726" s="28">
        <v>26</v>
      </c>
      <c r="G2726" s="28" t="s">
        <v>122</v>
      </c>
      <c r="H2726" s="28">
        <v>0</v>
      </c>
      <c r="J2726" s="28"/>
    </row>
    <row r="2727" spans="1:10" ht="15.75" customHeight="1">
      <c r="A2727" s="28">
        <v>19031</v>
      </c>
      <c r="B2727" s="91">
        <v>45096.957789351851</v>
      </c>
      <c r="C2727" s="28" t="s">
        <v>10</v>
      </c>
      <c r="D2727" s="28" t="s">
        <v>628</v>
      </c>
      <c r="E2727" s="28" t="s">
        <v>28</v>
      </c>
      <c r="F2727" s="28">
        <v>25</v>
      </c>
      <c r="G2727" s="28">
        <v>100692</v>
      </c>
      <c r="H2727" s="28">
        <v>0</v>
      </c>
      <c r="J2727" s="28"/>
    </row>
    <row r="2728" spans="1:10" ht="15.75" customHeight="1">
      <c r="A2728" s="28">
        <v>19031</v>
      </c>
      <c r="B2728" s="91">
        <v>45096.957789351851</v>
      </c>
      <c r="C2728" s="28" t="s">
        <v>10</v>
      </c>
      <c r="D2728" s="28" t="s">
        <v>628</v>
      </c>
      <c r="E2728" s="28" t="s">
        <v>28</v>
      </c>
      <c r="F2728" s="28">
        <v>0</v>
      </c>
      <c r="G2728" s="28" t="s">
        <v>125</v>
      </c>
      <c r="H2728" s="28">
        <v>0</v>
      </c>
      <c r="J2728" s="28"/>
    </row>
    <row r="2729" spans="1:10" ht="15.75" customHeight="1">
      <c r="A2729" s="28">
        <v>19031</v>
      </c>
      <c r="B2729" s="91">
        <v>45096.957789351851</v>
      </c>
      <c r="C2729" s="28" t="s">
        <v>10</v>
      </c>
      <c r="D2729" s="28" t="s">
        <v>628</v>
      </c>
      <c r="E2729" s="28" t="s">
        <v>28</v>
      </c>
      <c r="F2729" s="28">
        <v>0</v>
      </c>
      <c r="G2729" s="28" t="s">
        <v>119</v>
      </c>
      <c r="H2729" s="28">
        <v>0</v>
      </c>
      <c r="J2729" s="28"/>
    </row>
    <row r="2730" spans="1:10" ht="15.75" customHeight="1">
      <c r="A2730" s="28">
        <v>19032</v>
      </c>
      <c r="B2730" s="91">
        <v>45096.959502314814</v>
      </c>
      <c r="C2730" s="28" t="s">
        <v>10</v>
      </c>
      <c r="D2730" s="28" t="s">
        <v>627</v>
      </c>
      <c r="E2730" s="28" t="s">
        <v>28</v>
      </c>
      <c r="F2730" s="28">
        <v>0</v>
      </c>
      <c r="G2730" s="28" t="s">
        <v>117</v>
      </c>
      <c r="H2730" s="28">
        <v>0</v>
      </c>
      <c r="J2730" s="28"/>
    </row>
    <row r="2731" spans="1:10" ht="15.75" customHeight="1">
      <c r="A2731" s="28">
        <v>19032</v>
      </c>
      <c r="B2731" s="91">
        <v>45096.959502314814</v>
      </c>
      <c r="C2731" s="28" t="s">
        <v>10</v>
      </c>
      <c r="D2731" s="28" t="s">
        <v>627</v>
      </c>
      <c r="E2731" s="28" t="s">
        <v>28</v>
      </c>
      <c r="F2731" s="28">
        <v>28</v>
      </c>
      <c r="G2731" s="28" t="s">
        <v>143</v>
      </c>
      <c r="H2731" s="28">
        <v>0</v>
      </c>
      <c r="J2731" s="28"/>
    </row>
    <row r="2732" spans="1:10" ht="15.75" customHeight="1">
      <c r="A2732" s="28">
        <v>19033</v>
      </c>
      <c r="B2732" s="91">
        <v>45096.959999999999</v>
      </c>
      <c r="C2732" s="28" t="s">
        <v>10</v>
      </c>
      <c r="D2732" s="28" t="s">
        <v>626</v>
      </c>
      <c r="E2732" s="28" t="s">
        <v>28</v>
      </c>
      <c r="F2732" s="28">
        <v>25</v>
      </c>
      <c r="G2732" s="28">
        <v>100692</v>
      </c>
      <c r="H2732" s="28">
        <v>0</v>
      </c>
      <c r="J2732" s="28"/>
    </row>
    <row r="2733" spans="1:10" ht="15.75" customHeight="1">
      <c r="A2733" s="28">
        <v>19033</v>
      </c>
      <c r="B2733" s="91">
        <v>45096.959999999999</v>
      </c>
      <c r="C2733" s="28" t="s">
        <v>10</v>
      </c>
      <c r="D2733" s="28" t="s">
        <v>626</v>
      </c>
      <c r="E2733" s="28" t="s">
        <v>28</v>
      </c>
      <c r="F2733" s="28">
        <v>0</v>
      </c>
      <c r="G2733" s="28" t="s">
        <v>125</v>
      </c>
      <c r="H2733" s="28">
        <v>0</v>
      </c>
      <c r="J2733" s="28"/>
    </row>
    <row r="2734" spans="1:10" ht="15.75" customHeight="1">
      <c r="A2734" s="28">
        <v>19033</v>
      </c>
      <c r="B2734" s="91">
        <v>45096.959999999999</v>
      </c>
      <c r="C2734" s="28" t="s">
        <v>10</v>
      </c>
      <c r="D2734" s="28" t="s">
        <v>626</v>
      </c>
      <c r="E2734" s="28" t="s">
        <v>28</v>
      </c>
      <c r="F2734" s="28">
        <v>0</v>
      </c>
      <c r="G2734" s="28" t="s">
        <v>119</v>
      </c>
      <c r="H2734" s="28">
        <v>0</v>
      </c>
      <c r="J2734" s="28"/>
    </row>
    <row r="2735" spans="1:10" ht="15.75" customHeight="1">
      <c r="A2735" s="28">
        <v>19034</v>
      </c>
      <c r="B2735" s="91">
        <v>45096.960381944446</v>
      </c>
      <c r="C2735" s="28" t="s">
        <v>10</v>
      </c>
      <c r="D2735" s="28" t="s">
        <v>625</v>
      </c>
      <c r="E2735" s="28" t="s">
        <v>28</v>
      </c>
      <c r="F2735" s="28">
        <v>0</v>
      </c>
      <c r="G2735" s="28" t="s">
        <v>117</v>
      </c>
      <c r="H2735" s="28">
        <v>0</v>
      </c>
      <c r="J2735" s="28"/>
    </row>
    <row r="2736" spans="1:10" ht="15.75" customHeight="1">
      <c r="A2736" s="28">
        <v>19034</v>
      </c>
      <c r="B2736" s="91">
        <v>45096.960381944446</v>
      </c>
      <c r="C2736" s="28" t="s">
        <v>10</v>
      </c>
      <c r="D2736" s="28" t="s">
        <v>625</v>
      </c>
      <c r="E2736" s="28" t="s">
        <v>28</v>
      </c>
      <c r="F2736" s="28">
        <v>25</v>
      </c>
      <c r="G2736" s="28" t="s">
        <v>120</v>
      </c>
      <c r="H2736" s="28">
        <v>0</v>
      </c>
      <c r="J2736" s="28"/>
    </row>
    <row r="2737" spans="1:10" ht="15.75" customHeight="1">
      <c r="A2737" s="28">
        <v>19035</v>
      </c>
      <c r="B2737" s="91">
        <v>45096.963587962964</v>
      </c>
      <c r="C2737" s="28" t="s">
        <v>10</v>
      </c>
      <c r="D2737" s="28" t="s">
        <v>624</v>
      </c>
      <c r="E2737" s="28" t="s">
        <v>28</v>
      </c>
      <c r="F2737" s="28">
        <v>20</v>
      </c>
      <c r="G2737" s="28" t="s">
        <v>121</v>
      </c>
      <c r="H2737" s="28">
        <v>0</v>
      </c>
      <c r="J2737" s="28"/>
    </row>
    <row r="2738" spans="1:10" ht="15.75" customHeight="1">
      <c r="A2738" s="28">
        <v>19035</v>
      </c>
      <c r="B2738" s="91">
        <v>45096.963587962964</v>
      </c>
      <c r="C2738" s="28" t="s">
        <v>10</v>
      </c>
      <c r="D2738" s="28" t="s">
        <v>624</v>
      </c>
      <c r="E2738" s="28" t="s">
        <v>28</v>
      </c>
      <c r="F2738" s="28">
        <v>25</v>
      </c>
      <c r="G2738" s="28">
        <v>100692</v>
      </c>
      <c r="H2738" s="28">
        <v>0</v>
      </c>
      <c r="J2738" s="28"/>
    </row>
    <row r="2739" spans="1:10" ht="15.75" customHeight="1">
      <c r="A2739" s="28">
        <v>19035</v>
      </c>
      <c r="B2739" s="91">
        <v>45096.963587962964</v>
      </c>
      <c r="C2739" s="28" t="s">
        <v>10</v>
      </c>
      <c r="D2739" s="28" t="s">
        <v>624</v>
      </c>
      <c r="E2739" s="28" t="s">
        <v>28</v>
      </c>
      <c r="F2739" s="28">
        <v>0</v>
      </c>
      <c r="G2739" s="28" t="s">
        <v>125</v>
      </c>
      <c r="H2739" s="28">
        <v>0</v>
      </c>
      <c r="J2739" s="28"/>
    </row>
    <row r="2740" spans="1:10" ht="15.75" customHeight="1">
      <c r="A2740" s="28">
        <v>19035</v>
      </c>
      <c r="B2740" s="91">
        <v>45096.963587962964</v>
      </c>
      <c r="C2740" s="28" t="s">
        <v>10</v>
      </c>
      <c r="D2740" s="28" t="s">
        <v>624</v>
      </c>
      <c r="E2740" s="28" t="s">
        <v>28</v>
      </c>
      <c r="F2740" s="28">
        <v>0</v>
      </c>
      <c r="G2740" s="28" t="s">
        <v>119</v>
      </c>
      <c r="H2740" s="28">
        <v>0</v>
      </c>
      <c r="J2740" s="28"/>
    </row>
    <row r="2741" spans="1:10" ht="15.75" customHeight="1">
      <c r="A2741" s="28">
        <v>19036</v>
      </c>
      <c r="B2741" s="91">
        <v>45096.970393518517</v>
      </c>
      <c r="C2741" s="28" t="s">
        <v>10</v>
      </c>
      <c r="D2741" s="28" t="s">
        <v>623</v>
      </c>
      <c r="E2741" s="28" t="s">
        <v>28</v>
      </c>
      <c r="F2741" s="28">
        <v>25</v>
      </c>
      <c r="G2741" s="28">
        <v>100692</v>
      </c>
      <c r="H2741" s="28">
        <v>0</v>
      </c>
      <c r="J2741" s="28"/>
    </row>
    <row r="2742" spans="1:10" ht="15.75" customHeight="1">
      <c r="A2742" s="28">
        <v>19036</v>
      </c>
      <c r="B2742" s="91">
        <v>45096.970393518517</v>
      </c>
      <c r="C2742" s="28" t="s">
        <v>10</v>
      </c>
      <c r="D2742" s="28" t="s">
        <v>623</v>
      </c>
      <c r="E2742" s="28" t="s">
        <v>28</v>
      </c>
      <c r="F2742" s="28">
        <v>0</v>
      </c>
      <c r="G2742" s="28" t="s">
        <v>125</v>
      </c>
      <c r="H2742" s="28">
        <v>0</v>
      </c>
      <c r="J2742" s="28"/>
    </row>
    <row r="2743" spans="1:10" ht="15.75" customHeight="1">
      <c r="A2743" s="28">
        <v>19036</v>
      </c>
      <c r="B2743" s="91">
        <v>45096.970393518517</v>
      </c>
      <c r="C2743" s="28" t="s">
        <v>10</v>
      </c>
      <c r="D2743" s="28" t="s">
        <v>623</v>
      </c>
      <c r="E2743" s="28" t="s">
        <v>28</v>
      </c>
      <c r="F2743" s="28">
        <v>0</v>
      </c>
      <c r="G2743" s="28" t="s">
        <v>119</v>
      </c>
      <c r="H2743" s="28">
        <v>0</v>
      </c>
      <c r="J2743" s="28"/>
    </row>
    <row r="2744" spans="1:10" ht="15.75" customHeight="1">
      <c r="A2744" s="28">
        <v>19037</v>
      </c>
      <c r="B2744" s="91">
        <v>45096.972199074073</v>
      </c>
      <c r="C2744" s="28" t="s">
        <v>10</v>
      </c>
      <c r="D2744" s="28" t="s">
        <v>622</v>
      </c>
      <c r="E2744" s="28" t="s">
        <v>28</v>
      </c>
      <c r="F2744" s="28">
        <v>35</v>
      </c>
      <c r="G2744" s="28" t="s">
        <v>124</v>
      </c>
      <c r="H2744" s="28">
        <v>0</v>
      </c>
      <c r="J2744" s="28"/>
    </row>
    <row r="2745" spans="1:10" ht="15.75" customHeight="1">
      <c r="A2745" s="28">
        <v>19037</v>
      </c>
      <c r="B2745" s="91">
        <v>45096.972199074073</v>
      </c>
      <c r="C2745" s="28" t="s">
        <v>10</v>
      </c>
      <c r="D2745" s="28" t="s">
        <v>622</v>
      </c>
      <c r="E2745" s="28" t="s">
        <v>28</v>
      </c>
      <c r="F2745" s="28">
        <v>0</v>
      </c>
      <c r="G2745" s="28" t="s">
        <v>125</v>
      </c>
      <c r="H2745" s="28">
        <v>0</v>
      </c>
      <c r="J2745" s="28"/>
    </row>
    <row r="2746" spans="1:10" ht="15.75" customHeight="1">
      <c r="A2746" s="28">
        <v>19037</v>
      </c>
      <c r="B2746" s="91">
        <v>45096.972199074073</v>
      </c>
      <c r="C2746" s="28" t="s">
        <v>10</v>
      </c>
      <c r="D2746" s="28" t="s">
        <v>622</v>
      </c>
      <c r="E2746" s="28" t="s">
        <v>28</v>
      </c>
      <c r="F2746" s="28">
        <v>0</v>
      </c>
      <c r="G2746" s="28" t="s">
        <v>119</v>
      </c>
      <c r="H2746" s="28">
        <v>0</v>
      </c>
      <c r="J2746" s="28"/>
    </row>
    <row r="2747" spans="1:10" ht="15.75" customHeight="1">
      <c r="A2747" s="28">
        <v>19037</v>
      </c>
      <c r="B2747" s="91">
        <v>45096.972199074073</v>
      </c>
      <c r="C2747" s="28" t="s">
        <v>10</v>
      </c>
      <c r="D2747" s="28" t="s">
        <v>622</v>
      </c>
      <c r="E2747" s="28" t="s">
        <v>28</v>
      </c>
      <c r="F2747" s="28">
        <v>0</v>
      </c>
      <c r="G2747" s="28" t="s">
        <v>121</v>
      </c>
      <c r="H2747" s="28">
        <v>0</v>
      </c>
      <c r="J2747" s="28"/>
    </row>
    <row r="2748" spans="1:10" ht="15.75" customHeight="1">
      <c r="A2748" s="28">
        <v>19038</v>
      </c>
      <c r="B2748" s="91">
        <v>45096.975254629629</v>
      </c>
      <c r="C2748" s="28" t="s">
        <v>10</v>
      </c>
      <c r="D2748" s="28" t="s">
        <v>621</v>
      </c>
      <c r="E2748" s="28" t="s">
        <v>28</v>
      </c>
      <c r="F2748" s="28">
        <v>15</v>
      </c>
      <c r="G2748" s="28" t="s">
        <v>125</v>
      </c>
      <c r="H2748" s="28">
        <v>0</v>
      </c>
      <c r="J2748" s="28"/>
    </row>
    <row r="2749" spans="1:10" ht="15.75" customHeight="1">
      <c r="A2749" s="28">
        <v>19039</v>
      </c>
      <c r="B2749" s="91">
        <v>45096.975347222222</v>
      </c>
      <c r="C2749" s="28" t="s">
        <v>10</v>
      </c>
      <c r="D2749" s="28" t="s">
        <v>620</v>
      </c>
      <c r="E2749" s="28" t="s">
        <v>28</v>
      </c>
      <c r="F2749" s="28">
        <v>25</v>
      </c>
      <c r="G2749" s="28">
        <v>100692</v>
      </c>
      <c r="H2749" s="28">
        <v>0</v>
      </c>
      <c r="J2749" s="28"/>
    </row>
    <row r="2750" spans="1:10" ht="15.75" customHeight="1">
      <c r="A2750" s="28">
        <v>19039</v>
      </c>
      <c r="B2750" s="91">
        <v>45096.975347222222</v>
      </c>
      <c r="C2750" s="28" t="s">
        <v>10</v>
      </c>
      <c r="D2750" s="28" t="s">
        <v>620</v>
      </c>
      <c r="E2750" s="28" t="s">
        <v>28</v>
      </c>
      <c r="F2750" s="28">
        <v>0</v>
      </c>
      <c r="G2750" s="28" t="s">
        <v>125</v>
      </c>
      <c r="H2750" s="28">
        <v>0</v>
      </c>
      <c r="J2750" s="28"/>
    </row>
    <row r="2751" spans="1:10" ht="15.75" customHeight="1">
      <c r="A2751" s="28">
        <v>19039</v>
      </c>
      <c r="B2751" s="91">
        <v>45096.975347222222</v>
      </c>
      <c r="C2751" s="28" t="s">
        <v>10</v>
      </c>
      <c r="D2751" s="28" t="s">
        <v>620</v>
      </c>
      <c r="E2751" s="28" t="s">
        <v>28</v>
      </c>
      <c r="F2751" s="28">
        <v>0</v>
      </c>
      <c r="G2751" s="28" t="s">
        <v>119</v>
      </c>
      <c r="H2751" s="28">
        <v>0</v>
      </c>
      <c r="J2751" s="28"/>
    </row>
    <row r="2752" spans="1:10" ht="15.75" customHeight="1">
      <c r="A2752" s="28">
        <v>19040</v>
      </c>
      <c r="B2752" s="91">
        <v>45096.976944444439</v>
      </c>
      <c r="C2752" s="28" t="s">
        <v>10</v>
      </c>
      <c r="D2752" s="28" t="s">
        <v>619</v>
      </c>
      <c r="E2752" s="28" t="s">
        <v>28</v>
      </c>
      <c r="F2752" s="28">
        <v>28</v>
      </c>
      <c r="G2752" s="28" t="s">
        <v>143</v>
      </c>
      <c r="H2752" s="28">
        <v>0</v>
      </c>
      <c r="J2752" s="28"/>
    </row>
    <row r="2753" spans="1:10" ht="15.75" customHeight="1">
      <c r="A2753" s="28">
        <v>19040</v>
      </c>
      <c r="B2753" s="91">
        <v>45096.976944444439</v>
      </c>
      <c r="C2753" s="28" t="s">
        <v>10</v>
      </c>
      <c r="D2753" s="28" t="s">
        <v>619</v>
      </c>
      <c r="E2753" s="28" t="s">
        <v>28</v>
      </c>
      <c r="F2753" s="28">
        <v>25</v>
      </c>
      <c r="G2753" s="28">
        <v>100692</v>
      </c>
      <c r="H2753" s="28">
        <v>0</v>
      </c>
      <c r="J2753" s="28"/>
    </row>
    <row r="2754" spans="1:10" ht="15.75" customHeight="1">
      <c r="A2754" s="28">
        <v>19040</v>
      </c>
      <c r="B2754" s="91">
        <v>45096.976944444439</v>
      </c>
      <c r="C2754" s="28" t="s">
        <v>10</v>
      </c>
      <c r="D2754" s="28" t="s">
        <v>619</v>
      </c>
      <c r="E2754" s="28" t="s">
        <v>28</v>
      </c>
      <c r="F2754" s="28">
        <v>0</v>
      </c>
      <c r="G2754" s="28" t="s">
        <v>125</v>
      </c>
      <c r="H2754" s="28">
        <v>0</v>
      </c>
      <c r="J2754" s="28"/>
    </row>
    <row r="2755" spans="1:10" ht="15.75" customHeight="1">
      <c r="A2755" s="28">
        <v>19040</v>
      </c>
      <c r="B2755" s="91">
        <v>45096.976944444439</v>
      </c>
      <c r="C2755" s="28" t="s">
        <v>10</v>
      </c>
      <c r="D2755" s="28" t="s">
        <v>619</v>
      </c>
      <c r="E2755" s="28" t="s">
        <v>28</v>
      </c>
      <c r="F2755" s="28">
        <v>0</v>
      </c>
      <c r="G2755" s="28" t="s">
        <v>119</v>
      </c>
      <c r="H2755" s="28">
        <v>0</v>
      </c>
      <c r="J2755" s="28"/>
    </row>
    <row r="2756" spans="1:10" ht="15.75" customHeight="1">
      <c r="A2756" s="28">
        <v>19040</v>
      </c>
      <c r="B2756" s="91">
        <v>45096.976944444439</v>
      </c>
      <c r="C2756" s="28" t="s">
        <v>10</v>
      </c>
      <c r="D2756" s="28" t="s">
        <v>619</v>
      </c>
      <c r="E2756" s="28" t="s">
        <v>28</v>
      </c>
      <c r="F2756" s="28">
        <v>0</v>
      </c>
      <c r="G2756" s="28" t="s">
        <v>117</v>
      </c>
      <c r="H2756" s="28">
        <v>0</v>
      </c>
      <c r="J2756" s="28"/>
    </row>
    <row r="2757" spans="1:10" ht="15.75" customHeight="1">
      <c r="A2757" s="28">
        <v>19041</v>
      </c>
      <c r="B2757" s="91">
        <v>45097.002453703702</v>
      </c>
      <c r="C2757" s="28" t="s">
        <v>10</v>
      </c>
      <c r="D2757" s="28" t="s">
        <v>618</v>
      </c>
      <c r="E2757" s="28" t="s">
        <v>28</v>
      </c>
      <c r="F2757" s="28">
        <v>25</v>
      </c>
      <c r="G2757" s="28">
        <v>100692</v>
      </c>
      <c r="H2757" s="28">
        <v>0</v>
      </c>
      <c r="J2757" s="28"/>
    </row>
    <row r="2758" spans="1:10" ht="15.75" customHeight="1">
      <c r="A2758" s="28">
        <v>19041</v>
      </c>
      <c r="B2758" s="91">
        <v>45097.002453703702</v>
      </c>
      <c r="C2758" s="28" t="s">
        <v>10</v>
      </c>
      <c r="D2758" s="28" t="s">
        <v>618</v>
      </c>
      <c r="E2758" s="28" t="s">
        <v>28</v>
      </c>
      <c r="F2758" s="28">
        <v>0</v>
      </c>
      <c r="G2758" s="28" t="s">
        <v>125</v>
      </c>
      <c r="H2758" s="28">
        <v>0</v>
      </c>
      <c r="J2758" s="28"/>
    </row>
    <row r="2759" spans="1:10" ht="15.75" customHeight="1">
      <c r="A2759" s="28">
        <v>19041</v>
      </c>
      <c r="B2759" s="91">
        <v>45097.002453703702</v>
      </c>
      <c r="C2759" s="28" t="s">
        <v>10</v>
      </c>
      <c r="D2759" s="28" t="s">
        <v>618</v>
      </c>
      <c r="E2759" s="28" t="s">
        <v>28</v>
      </c>
      <c r="F2759" s="28">
        <v>0</v>
      </c>
      <c r="G2759" s="28" t="s">
        <v>119</v>
      </c>
      <c r="H2759" s="28">
        <v>0</v>
      </c>
      <c r="J2759" s="28"/>
    </row>
    <row r="2760" spans="1:10" ht="15.75" customHeight="1">
      <c r="A2760" s="28">
        <v>19042</v>
      </c>
      <c r="B2760" s="91">
        <v>45097.003252314811</v>
      </c>
      <c r="C2760" s="28" t="s">
        <v>10</v>
      </c>
      <c r="D2760" s="28" t="s">
        <v>617</v>
      </c>
      <c r="E2760" s="28" t="s">
        <v>28</v>
      </c>
      <c r="F2760" s="28">
        <v>15</v>
      </c>
      <c r="G2760" s="28" t="s">
        <v>125</v>
      </c>
      <c r="H2760" s="28">
        <v>0</v>
      </c>
      <c r="J2760" s="28"/>
    </row>
    <row r="2761" spans="1:10" ht="15.75" customHeight="1">
      <c r="A2761" s="28">
        <v>19043</v>
      </c>
      <c r="B2761" s="91">
        <v>45097.009652777779</v>
      </c>
      <c r="C2761" s="28" t="s">
        <v>10</v>
      </c>
      <c r="D2761" s="28" t="s">
        <v>616</v>
      </c>
      <c r="E2761" s="28" t="s">
        <v>39</v>
      </c>
      <c r="F2761" s="28">
        <v>25</v>
      </c>
      <c r="G2761" s="28" t="s">
        <v>120</v>
      </c>
      <c r="H2761" s="28">
        <v>0</v>
      </c>
      <c r="J2761" s="28"/>
    </row>
    <row r="2762" spans="1:10" ht="15.75" customHeight="1">
      <c r="A2762" s="28">
        <v>19044</v>
      </c>
      <c r="B2762" s="91">
        <v>45097.03707175926</v>
      </c>
      <c r="C2762" s="28" t="s">
        <v>10</v>
      </c>
      <c r="D2762" s="28" t="s">
        <v>615</v>
      </c>
      <c r="E2762" s="28" t="s">
        <v>28</v>
      </c>
      <c r="F2762" s="28">
        <v>25</v>
      </c>
      <c r="G2762" s="28">
        <v>100692</v>
      </c>
      <c r="H2762" s="28">
        <v>0</v>
      </c>
      <c r="J2762" s="28"/>
    </row>
    <row r="2763" spans="1:10" ht="15.75" customHeight="1">
      <c r="A2763" s="28">
        <v>19044</v>
      </c>
      <c r="B2763" s="91">
        <v>45097.03707175926</v>
      </c>
      <c r="C2763" s="28" t="s">
        <v>10</v>
      </c>
      <c r="D2763" s="28" t="s">
        <v>615</v>
      </c>
      <c r="E2763" s="28" t="s">
        <v>28</v>
      </c>
      <c r="F2763" s="28">
        <v>0</v>
      </c>
      <c r="G2763" s="28" t="s">
        <v>125</v>
      </c>
      <c r="H2763" s="28">
        <v>0</v>
      </c>
      <c r="J2763" s="28"/>
    </row>
    <row r="2764" spans="1:10" ht="15.75" customHeight="1">
      <c r="A2764" s="28">
        <v>19044</v>
      </c>
      <c r="B2764" s="91">
        <v>45097.03707175926</v>
      </c>
      <c r="C2764" s="28" t="s">
        <v>10</v>
      </c>
      <c r="D2764" s="28" t="s">
        <v>615</v>
      </c>
      <c r="E2764" s="28" t="s">
        <v>28</v>
      </c>
      <c r="F2764" s="28">
        <v>0</v>
      </c>
      <c r="G2764" s="28" t="s">
        <v>119</v>
      </c>
      <c r="H2764" s="28">
        <v>0</v>
      </c>
      <c r="J2764" s="28"/>
    </row>
    <row r="2765" spans="1:10" ht="15.75" customHeight="1">
      <c r="A2765" s="28">
        <v>19045</v>
      </c>
      <c r="B2765" s="91">
        <v>45097.137337962966</v>
      </c>
      <c r="C2765" s="28" t="s">
        <v>10</v>
      </c>
      <c r="D2765" s="28" t="s">
        <v>614</v>
      </c>
      <c r="E2765" s="28" t="s">
        <v>28</v>
      </c>
      <c r="F2765" s="28">
        <v>55</v>
      </c>
      <c r="G2765" s="28">
        <v>101684</v>
      </c>
      <c r="H2765" s="28">
        <v>0</v>
      </c>
      <c r="J2765" s="28"/>
    </row>
    <row r="2766" spans="1:10" ht="15.75" customHeight="1">
      <c r="A2766" s="28">
        <v>19045</v>
      </c>
      <c r="B2766" s="91">
        <v>45097.137337962966</v>
      </c>
      <c r="C2766" s="28" t="s">
        <v>10</v>
      </c>
      <c r="D2766" s="28" t="s">
        <v>614</v>
      </c>
      <c r="E2766" s="28" t="s">
        <v>28</v>
      </c>
      <c r="F2766" s="28">
        <v>0</v>
      </c>
      <c r="G2766" s="28" t="s">
        <v>118</v>
      </c>
      <c r="H2766" s="28">
        <v>0</v>
      </c>
      <c r="J2766" s="28"/>
    </row>
    <row r="2767" spans="1:10" ht="15.75" customHeight="1">
      <c r="A2767" s="28">
        <v>19045</v>
      </c>
      <c r="B2767" s="91">
        <v>45097.137337962966</v>
      </c>
      <c r="C2767" s="28" t="s">
        <v>10</v>
      </c>
      <c r="D2767" s="28" t="s">
        <v>614</v>
      </c>
      <c r="E2767" s="28" t="s">
        <v>28</v>
      </c>
      <c r="F2767" s="28">
        <v>0</v>
      </c>
      <c r="G2767" s="28" t="s">
        <v>119</v>
      </c>
      <c r="H2767" s="28">
        <v>0</v>
      </c>
      <c r="J2767" s="28"/>
    </row>
    <row r="2768" spans="1:10" ht="15.75" customHeight="1">
      <c r="A2768" s="28">
        <v>19045</v>
      </c>
      <c r="B2768" s="91">
        <v>45097.137337962966</v>
      </c>
      <c r="C2768" s="28" t="s">
        <v>10</v>
      </c>
      <c r="D2768" s="28" t="s">
        <v>614</v>
      </c>
      <c r="E2768" s="28" t="s">
        <v>28</v>
      </c>
      <c r="F2768" s="28">
        <v>0</v>
      </c>
      <c r="G2768" s="28" t="s">
        <v>120</v>
      </c>
      <c r="H2768" s="28">
        <v>0</v>
      </c>
      <c r="J2768" s="28"/>
    </row>
    <row r="2769" spans="1:10" ht="15.75" customHeight="1">
      <c r="A2769" s="28">
        <v>19045</v>
      </c>
      <c r="B2769" s="91">
        <v>45097.137337962966</v>
      </c>
      <c r="C2769" s="28" t="s">
        <v>10</v>
      </c>
      <c r="D2769" s="28" t="s">
        <v>614</v>
      </c>
      <c r="E2769" s="28" t="s">
        <v>28</v>
      </c>
      <c r="F2769" s="28">
        <v>0</v>
      </c>
      <c r="G2769" s="28" t="s">
        <v>121</v>
      </c>
      <c r="H2769" s="28">
        <v>0</v>
      </c>
      <c r="J2769" s="28"/>
    </row>
    <row r="2770" spans="1:10" ht="15.75" customHeight="1">
      <c r="A2770" s="28">
        <v>19046</v>
      </c>
      <c r="B2770" s="91">
        <v>45097.256400462968</v>
      </c>
      <c r="C2770" s="28" t="s">
        <v>10</v>
      </c>
      <c r="D2770" s="28" t="s">
        <v>603</v>
      </c>
      <c r="E2770" s="28" t="s">
        <v>15</v>
      </c>
      <c r="F2770" s="28">
        <v>25</v>
      </c>
      <c r="G2770" s="28">
        <v>100692</v>
      </c>
      <c r="H2770" s="28">
        <v>0</v>
      </c>
      <c r="J2770" s="28"/>
    </row>
    <row r="2771" spans="1:10" ht="15.75" customHeight="1">
      <c r="A2771" s="28">
        <v>19046</v>
      </c>
      <c r="B2771" s="91">
        <v>45097.256400462968</v>
      </c>
      <c r="C2771" s="28" t="s">
        <v>10</v>
      </c>
      <c r="D2771" s="28" t="s">
        <v>603</v>
      </c>
      <c r="E2771" s="28" t="s">
        <v>15</v>
      </c>
      <c r="F2771" s="28">
        <v>0</v>
      </c>
      <c r="G2771" s="28" t="s">
        <v>125</v>
      </c>
      <c r="H2771" s="28">
        <v>0</v>
      </c>
      <c r="J2771" s="28"/>
    </row>
    <row r="2772" spans="1:10" ht="15.75" customHeight="1">
      <c r="A2772" s="28">
        <v>19046</v>
      </c>
      <c r="B2772" s="91">
        <v>45097.256400462968</v>
      </c>
      <c r="C2772" s="28" t="s">
        <v>10</v>
      </c>
      <c r="D2772" s="28" t="s">
        <v>603</v>
      </c>
      <c r="E2772" s="28" t="s">
        <v>15</v>
      </c>
      <c r="F2772" s="28">
        <v>0</v>
      </c>
      <c r="G2772" s="28" t="s">
        <v>119</v>
      </c>
      <c r="H2772" s="28">
        <v>0</v>
      </c>
      <c r="J2772" s="28"/>
    </row>
    <row r="2773" spans="1:10" ht="15.75" customHeight="1">
      <c r="A2773" s="28">
        <v>19047</v>
      </c>
      <c r="B2773" s="91">
        <v>45097.258564814816</v>
      </c>
      <c r="C2773" s="28" t="s">
        <v>10</v>
      </c>
      <c r="D2773" s="28" t="s">
        <v>613</v>
      </c>
      <c r="E2773" s="28" t="s">
        <v>15</v>
      </c>
      <c r="F2773" s="28">
        <v>25</v>
      </c>
      <c r="G2773" s="28">
        <v>100692</v>
      </c>
      <c r="H2773" s="28">
        <v>0</v>
      </c>
      <c r="J2773" s="28"/>
    </row>
    <row r="2774" spans="1:10" ht="15.75" customHeight="1">
      <c r="A2774" s="28">
        <v>19047</v>
      </c>
      <c r="B2774" s="91">
        <v>45097.258564814816</v>
      </c>
      <c r="C2774" s="28" t="s">
        <v>10</v>
      </c>
      <c r="D2774" s="28" t="s">
        <v>613</v>
      </c>
      <c r="E2774" s="28" t="s">
        <v>15</v>
      </c>
      <c r="F2774" s="28">
        <v>0</v>
      </c>
      <c r="G2774" s="28" t="s">
        <v>125</v>
      </c>
      <c r="H2774" s="28">
        <v>0</v>
      </c>
      <c r="J2774" s="28"/>
    </row>
    <row r="2775" spans="1:10" ht="15.75" customHeight="1">
      <c r="A2775" s="28">
        <v>19047</v>
      </c>
      <c r="B2775" s="91">
        <v>45097.258564814816</v>
      </c>
      <c r="C2775" s="28" t="s">
        <v>10</v>
      </c>
      <c r="D2775" s="28" t="s">
        <v>613</v>
      </c>
      <c r="E2775" s="28" t="s">
        <v>15</v>
      </c>
      <c r="F2775" s="28">
        <v>0</v>
      </c>
      <c r="G2775" s="28" t="s">
        <v>119</v>
      </c>
      <c r="H2775" s="28">
        <v>0</v>
      </c>
      <c r="J2775" s="28"/>
    </row>
    <row r="2776" spans="1:10" ht="15.75" customHeight="1">
      <c r="A2776" s="28">
        <v>19048</v>
      </c>
      <c r="B2776" s="91">
        <v>45097.261458333334</v>
      </c>
      <c r="C2776" s="28" t="s">
        <v>10</v>
      </c>
      <c r="D2776" s="28" t="s">
        <v>613</v>
      </c>
      <c r="E2776" s="28" t="s">
        <v>15</v>
      </c>
      <c r="F2776" s="28">
        <v>0</v>
      </c>
      <c r="G2776" s="28" t="s">
        <v>117</v>
      </c>
      <c r="H2776" s="28">
        <v>0</v>
      </c>
      <c r="J2776" s="28"/>
    </row>
    <row r="2777" spans="1:10" ht="15.75" customHeight="1">
      <c r="A2777" s="28">
        <v>19048</v>
      </c>
      <c r="B2777" s="91">
        <v>45097.261458333334</v>
      </c>
      <c r="C2777" s="28" t="s">
        <v>10</v>
      </c>
      <c r="D2777" s="28" t="s">
        <v>613</v>
      </c>
      <c r="E2777" s="28" t="s">
        <v>15</v>
      </c>
      <c r="F2777" s="28">
        <v>30</v>
      </c>
      <c r="G2777" s="28" t="s">
        <v>128</v>
      </c>
      <c r="H2777" s="28">
        <v>0</v>
      </c>
      <c r="J2777" s="28"/>
    </row>
    <row r="2778" spans="1:10" ht="15.75" customHeight="1">
      <c r="A2778" s="28">
        <v>19048</v>
      </c>
      <c r="B2778" s="91">
        <v>45097.261458333334</v>
      </c>
      <c r="C2778" s="28" t="s">
        <v>10</v>
      </c>
      <c r="D2778" s="28" t="s">
        <v>613</v>
      </c>
      <c r="E2778" s="28" t="s">
        <v>15</v>
      </c>
      <c r="F2778" s="28">
        <v>0</v>
      </c>
      <c r="G2778" s="28" t="s">
        <v>125</v>
      </c>
      <c r="H2778" s="28">
        <v>0</v>
      </c>
      <c r="J2778" s="28"/>
    </row>
    <row r="2779" spans="1:10" ht="15.75" customHeight="1">
      <c r="A2779" s="28">
        <v>19048</v>
      </c>
      <c r="B2779" s="91">
        <v>45097.261458333334</v>
      </c>
      <c r="C2779" s="28" t="s">
        <v>10</v>
      </c>
      <c r="D2779" s="28" t="s">
        <v>613</v>
      </c>
      <c r="E2779" s="28" t="s">
        <v>15</v>
      </c>
      <c r="F2779" s="28">
        <v>0</v>
      </c>
      <c r="G2779" s="28" t="s">
        <v>119</v>
      </c>
      <c r="H2779" s="28">
        <v>0</v>
      </c>
      <c r="J2779" s="28"/>
    </row>
    <row r="2780" spans="1:10" ht="15.75" customHeight="1">
      <c r="A2780" s="28">
        <v>19049</v>
      </c>
      <c r="B2780" s="91">
        <v>45097.514340277776</v>
      </c>
      <c r="C2780" s="28" t="s">
        <v>10</v>
      </c>
      <c r="D2780" s="28" t="s">
        <v>612</v>
      </c>
      <c r="E2780" s="28" t="s">
        <v>28</v>
      </c>
      <c r="F2780" s="28">
        <v>25</v>
      </c>
      <c r="G2780" s="28">
        <v>100692</v>
      </c>
      <c r="H2780" s="28">
        <v>0</v>
      </c>
      <c r="J2780" s="28"/>
    </row>
    <row r="2781" spans="1:10" ht="15.75" customHeight="1">
      <c r="A2781" s="28">
        <v>19049</v>
      </c>
      <c r="B2781" s="91">
        <v>45097.514340277776</v>
      </c>
      <c r="C2781" s="28" t="s">
        <v>10</v>
      </c>
      <c r="D2781" s="28" t="s">
        <v>612</v>
      </c>
      <c r="E2781" s="28" t="s">
        <v>28</v>
      </c>
      <c r="F2781" s="28">
        <v>0</v>
      </c>
      <c r="G2781" s="28" t="s">
        <v>125</v>
      </c>
      <c r="H2781" s="28">
        <v>0</v>
      </c>
      <c r="J2781" s="28"/>
    </row>
    <row r="2782" spans="1:10" ht="15.75" customHeight="1">
      <c r="A2782" s="28">
        <v>19049</v>
      </c>
      <c r="B2782" s="91">
        <v>45097.514340277776</v>
      </c>
      <c r="C2782" s="28" t="s">
        <v>10</v>
      </c>
      <c r="D2782" s="28" t="s">
        <v>612</v>
      </c>
      <c r="E2782" s="28" t="s">
        <v>28</v>
      </c>
      <c r="F2782" s="28">
        <v>0</v>
      </c>
      <c r="G2782" s="28" t="s">
        <v>119</v>
      </c>
      <c r="H2782" s="28">
        <v>0</v>
      </c>
      <c r="J2782" s="28"/>
    </row>
    <row r="2783" spans="1:10" ht="15.75" customHeight="1">
      <c r="A2783" s="28">
        <v>19052</v>
      </c>
      <c r="B2783" s="91">
        <v>45097.629259259258</v>
      </c>
      <c r="C2783" s="28" t="s">
        <v>10</v>
      </c>
      <c r="D2783" s="28" t="s">
        <v>611</v>
      </c>
      <c r="E2783" s="28" t="s">
        <v>45</v>
      </c>
      <c r="F2783" s="28">
        <v>0</v>
      </c>
      <c r="G2783" s="28" t="s">
        <v>117</v>
      </c>
      <c r="H2783" s="28">
        <v>0</v>
      </c>
      <c r="J2783" s="28"/>
    </row>
    <row r="2784" spans="1:10" ht="15.75" customHeight="1">
      <c r="A2784" s="28">
        <v>19052</v>
      </c>
      <c r="B2784" s="91">
        <v>45097.629259259258</v>
      </c>
      <c r="C2784" s="28" t="s">
        <v>10</v>
      </c>
      <c r="D2784" s="28" t="s">
        <v>611</v>
      </c>
      <c r="E2784" s="28" t="s">
        <v>45</v>
      </c>
      <c r="F2784" s="28">
        <v>25</v>
      </c>
      <c r="G2784" s="28">
        <v>100692</v>
      </c>
      <c r="H2784" s="28">
        <v>0</v>
      </c>
      <c r="J2784" s="28"/>
    </row>
    <row r="2785" spans="1:10" ht="15.75" customHeight="1">
      <c r="A2785" s="28">
        <v>19052</v>
      </c>
      <c r="B2785" s="91">
        <v>45097.629259259258</v>
      </c>
      <c r="C2785" s="28" t="s">
        <v>10</v>
      </c>
      <c r="D2785" s="28" t="s">
        <v>611</v>
      </c>
      <c r="E2785" s="28" t="s">
        <v>45</v>
      </c>
      <c r="F2785" s="28">
        <v>0</v>
      </c>
      <c r="G2785" s="28" t="s">
        <v>125</v>
      </c>
      <c r="H2785" s="28">
        <v>0</v>
      </c>
      <c r="J2785" s="28"/>
    </row>
    <row r="2786" spans="1:10" ht="15.75" customHeight="1">
      <c r="A2786" s="28">
        <v>19052</v>
      </c>
      <c r="B2786" s="91">
        <v>45097.629259259258</v>
      </c>
      <c r="C2786" s="28" t="s">
        <v>10</v>
      </c>
      <c r="D2786" s="28" t="s">
        <v>611</v>
      </c>
      <c r="E2786" s="28" t="s">
        <v>45</v>
      </c>
      <c r="F2786" s="28">
        <v>0</v>
      </c>
      <c r="G2786" s="28" t="s">
        <v>119</v>
      </c>
      <c r="H2786" s="28">
        <v>0</v>
      </c>
      <c r="J2786" s="28"/>
    </row>
    <row r="2787" spans="1:10" ht="15.75" customHeight="1">
      <c r="A2787" s="28">
        <v>19057</v>
      </c>
      <c r="B2787" s="91">
        <v>45097.655104166668</v>
      </c>
      <c r="C2787" s="28" t="s">
        <v>10</v>
      </c>
      <c r="D2787" s="28" t="s">
        <v>610</v>
      </c>
      <c r="E2787" s="28" t="s">
        <v>84</v>
      </c>
      <c r="F2787" s="28">
        <v>18</v>
      </c>
      <c r="G2787" s="28" t="s">
        <v>119</v>
      </c>
      <c r="H2787" s="28">
        <v>0</v>
      </c>
      <c r="J2787" s="28"/>
    </row>
    <row r="2788" spans="1:10" ht="15.75" customHeight="1">
      <c r="A2788" s="28">
        <v>19060</v>
      </c>
      <c r="B2788" s="91">
        <v>45097.882407407407</v>
      </c>
      <c r="C2788" s="28" t="s">
        <v>10</v>
      </c>
      <c r="D2788" s="28" t="s">
        <v>609</v>
      </c>
      <c r="E2788" s="28" t="s">
        <v>28</v>
      </c>
      <c r="F2788" s="28">
        <v>25</v>
      </c>
      <c r="G2788" s="28">
        <v>100692</v>
      </c>
      <c r="H2788" s="28">
        <v>0</v>
      </c>
      <c r="J2788" s="28"/>
    </row>
    <row r="2789" spans="1:10" ht="15.75" customHeight="1">
      <c r="A2789" s="28">
        <v>19060</v>
      </c>
      <c r="B2789" s="91">
        <v>45097.882407407407</v>
      </c>
      <c r="C2789" s="28" t="s">
        <v>10</v>
      </c>
      <c r="D2789" s="28" t="s">
        <v>609</v>
      </c>
      <c r="E2789" s="28" t="s">
        <v>28</v>
      </c>
      <c r="F2789" s="28">
        <v>0</v>
      </c>
      <c r="G2789" s="28" t="s">
        <v>125</v>
      </c>
      <c r="H2789" s="28">
        <v>0</v>
      </c>
      <c r="J2789" s="28"/>
    </row>
    <row r="2790" spans="1:10" ht="15.75" customHeight="1">
      <c r="A2790" s="28">
        <v>19060</v>
      </c>
      <c r="B2790" s="91">
        <v>45097.882407407407</v>
      </c>
      <c r="C2790" s="28" t="s">
        <v>10</v>
      </c>
      <c r="D2790" s="28" t="s">
        <v>609</v>
      </c>
      <c r="E2790" s="28" t="s">
        <v>28</v>
      </c>
      <c r="F2790" s="28">
        <v>0</v>
      </c>
      <c r="G2790" s="28" t="s">
        <v>119</v>
      </c>
      <c r="H2790" s="28">
        <v>0</v>
      </c>
      <c r="J2790" s="28"/>
    </row>
    <row r="2791" spans="1:10" ht="15.75" customHeight="1">
      <c r="A2791" s="28">
        <v>19060</v>
      </c>
      <c r="B2791" s="91">
        <v>45097.882407407407</v>
      </c>
      <c r="C2791" s="28" t="s">
        <v>10</v>
      </c>
      <c r="D2791" s="28" t="s">
        <v>609</v>
      </c>
      <c r="E2791" s="28" t="s">
        <v>28</v>
      </c>
      <c r="F2791" s="28">
        <v>28</v>
      </c>
      <c r="G2791" s="28" t="s">
        <v>143</v>
      </c>
      <c r="H2791" s="28">
        <v>0</v>
      </c>
      <c r="J2791" s="28"/>
    </row>
    <row r="2792" spans="1:10" ht="15.75" customHeight="1">
      <c r="A2792" s="28">
        <v>19061</v>
      </c>
      <c r="B2792" s="91">
        <v>45097.904317129629</v>
      </c>
      <c r="C2792" s="28" t="s">
        <v>10</v>
      </c>
      <c r="D2792" s="28" t="s">
        <v>608</v>
      </c>
      <c r="E2792" s="28" t="s">
        <v>28</v>
      </c>
      <c r="F2792" s="28">
        <v>15</v>
      </c>
      <c r="G2792" s="28" t="s">
        <v>170</v>
      </c>
      <c r="H2792" s="28">
        <v>0</v>
      </c>
      <c r="J2792" s="28"/>
    </row>
    <row r="2793" spans="1:10" ht="15.75" customHeight="1">
      <c r="A2793" s="28">
        <v>19062</v>
      </c>
      <c r="B2793" s="91">
        <v>45097.918344907404</v>
      </c>
      <c r="C2793" s="28" t="s">
        <v>10</v>
      </c>
      <c r="D2793" s="28" t="s">
        <v>607</v>
      </c>
      <c r="E2793" s="28" t="s">
        <v>28</v>
      </c>
      <c r="F2793" s="28">
        <v>28</v>
      </c>
      <c r="G2793" s="28" t="s">
        <v>143</v>
      </c>
      <c r="H2793" s="28">
        <v>0</v>
      </c>
      <c r="J2793" s="28"/>
    </row>
    <row r="2794" spans="1:10" ht="15.75" customHeight="1">
      <c r="A2794" s="28">
        <v>19063</v>
      </c>
      <c r="B2794" s="91">
        <v>45098.078252314815</v>
      </c>
      <c r="C2794" s="28" t="s">
        <v>10</v>
      </c>
      <c r="D2794" s="28" t="s">
        <v>606</v>
      </c>
      <c r="E2794" s="28" t="s">
        <v>28</v>
      </c>
      <c r="F2794" s="28">
        <v>0</v>
      </c>
      <c r="G2794" s="28" t="s">
        <v>117</v>
      </c>
      <c r="H2794" s="28">
        <v>0</v>
      </c>
      <c r="J2794" s="28"/>
    </row>
    <row r="2795" spans="1:10" ht="15.75" customHeight="1">
      <c r="A2795" s="28">
        <v>19063</v>
      </c>
      <c r="B2795" s="91">
        <v>45098.078252314815</v>
      </c>
      <c r="C2795" s="28" t="s">
        <v>10</v>
      </c>
      <c r="D2795" s="28" t="s">
        <v>606</v>
      </c>
      <c r="E2795" s="28" t="s">
        <v>28</v>
      </c>
      <c r="F2795" s="28">
        <v>15</v>
      </c>
      <c r="G2795" s="28" t="s">
        <v>125</v>
      </c>
      <c r="H2795" s="28">
        <v>0</v>
      </c>
      <c r="J2795" s="28"/>
    </row>
    <row r="2796" spans="1:10" ht="15.75" customHeight="1">
      <c r="A2796" s="28">
        <v>19064</v>
      </c>
      <c r="B2796" s="91">
        <v>45098.098993055552</v>
      </c>
      <c r="C2796" s="28" t="s">
        <v>10</v>
      </c>
      <c r="D2796" s="28" t="s">
        <v>605</v>
      </c>
      <c r="E2796" s="28" t="s">
        <v>28</v>
      </c>
      <c r="F2796" s="28">
        <v>20</v>
      </c>
      <c r="G2796" s="28" t="s">
        <v>148</v>
      </c>
      <c r="H2796" s="28">
        <v>0</v>
      </c>
      <c r="J2796" s="28"/>
    </row>
    <row r="2797" spans="1:10" ht="15.75" customHeight="1">
      <c r="A2797" s="28">
        <v>19065</v>
      </c>
      <c r="B2797" s="91">
        <v>45098.100370370375</v>
      </c>
      <c r="C2797" s="28" t="s">
        <v>10</v>
      </c>
      <c r="D2797" s="28" t="s">
        <v>604</v>
      </c>
      <c r="E2797" s="28" t="s">
        <v>28</v>
      </c>
      <c r="F2797" s="28">
        <v>20</v>
      </c>
      <c r="G2797" s="28" t="s">
        <v>148</v>
      </c>
      <c r="H2797" s="28">
        <v>0</v>
      </c>
      <c r="J2797" s="28"/>
    </row>
    <row r="2798" spans="1:10" ht="15.75" customHeight="1">
      <c r="A2798" s="28">
        <v>19066</v>
      </c>
      <c r="B2798" s="91">
        <v>45098.699571759258</v>
      </c>
      <c r="C2798" s="28" t="s">
        <v>10</v>
      </c>
      <c r="D2798" s="28" t="s">
        <v>603</v>
      </c>
      <c r="E2798" s="28" t="s">
        <v>15</v>
      </c>
      <c r="F2798" s="28">
        <v>0</v>
      </c>
      <c r="G2798" s="28" t="s">
        <v>117</v>
      </c>
      <c r="H2798" s="28">
        <v>0</v>
      </c>
      <c r="J2798" s="28"/>
    </row>
    <row r="2799" spans="1:10" ht="15.75" customHeight="1">
      <c r="A2799" s="28">
        <v>19067</v>
      </c>
      <c r="B2799" s="91">
        <v>45098.910578703704</v>
      </c>
      <c r="C2799" s="28" t="s">
        <v>10</v>
      </c>
      <c r="D2799" s="28" t="s">
        <v>602</v>
      </c>
      <c r="E2799" s="28" t="s">
        <v>28</v>
      </c>
      <c r="F2799" s="28">
        <v>25</v>
      </c>
      <c r="G2799" s="28">
        <v>100692</v>
      </c>
      <c r="H2799" s="28">
        <v>0</v>
      </c>
      <c r="J2799" s="28"/>
    </row>
    <row r="2800" spans="1:10" ht="15.75" customHeight="1">
      <c r="A2800" s="28">
        <v>19067</v>
      </c>
      <c r="B2800" s="91">
        <v>45098.910578703704</v>
      </c>
      <c r="C2800" s="28" t="s">
        <v>10</v>
      </c>
      <c r="D2800" s="28" t="s">
        <v>602</v>
      </c>
      <c r="E2800" s="28" t="s">
        <v>28</v>
      </c>
      <c r="F2800" s="28">
        <v>0</v>
      </c>
      <c r="G2800" s="28" t="s">
        <v>125</v>
      </c>
      <c r="H2800" s="28">
        <v>0</v>
      </c>
      <c r="J2800" s="28"/>
    </row>
    <row r="2801" spans="1:10" ht="15.75" customHeight="1">
      <c r="A2801" s="28">
        <v>19067</v>
      </c>
      <c r="B2801" s="91">
        <v>45098.910578703704</v>
      </c>
      <c r="C2801" s="28" t="s">
        <v>10</v>
      </c>
      <c r="D2801" s="28" t="s">
        <v>602</v>
      </c>
      <c r="E2801" s="28" t="s">
        <v>28</v>
      </c>
      <c r="F2801" s="28">
        <v>0</v>
      </c>
      <c r="G2801" s="28" t="s">
        <v>119</v>
      </c>
      <c r="H2801" s="28">
        <v>0</v>
      </c>
      <c r="J2801" s="28"/>
    </row>
    <row r="2802" spans="1:10" ht="15.75" customHeight="1">
      <c r="A2802" s="28">
        <v>19068</v>
      </c>
      <c r="B2802" s="91">
        <v>45098.921944444446</v>
      </c>
      <c r="C2802" s="28" t="s">
        <v>10</v>
      </c>
      <c r="D2802" s="28" t="s">
        <v>601</v>
      </c>
      <c r="E2802" s="28" t="s">
        <v>28</v>
      </c>
      <c r="F2802" s="28">
        <v>25</v>
      </c>
      <c r="G2802" s="28">
        <v>100692</v>
      </c>
      <c r="H2802" s="28">
        <v>0</v>
      </c>
      <c r="J2802" s="28"/>
    </row>
    <row r="2803" spans="1:10" ht="15.75" customHeight="1">
      <c r="A2803" s="28">
        <v>19068</v>
      </c>
      <c r="B2803" s="91">
        <v>45098.921944444446</v>
      </c>
      <c r="C2803" s="28" t="s">
        <v>10</v>
      </c>
      <c r="D2803" s="28" t="s">
        <v>601</v>
      </c>
      <c r="E2803" s="28" t="s">
        <v>28</v>
      </c>
      <c r="F2803" s="28">
        <v>0</v>
      </c>
      <c r="G2803" s="28" t="s">
        <v>125</v>
      </c>
      <c r="H2803" s="28">
        <v>0</v>
      </c>
      <c r="J2803" s="28"/>
    </row>
    <row r="2804" spans="1:10" ht="15.75" customHeight="1">
      <c r="A2804" s="28">
        <v>19068</v>
      </c>
      <c r="B2804" s="91">
        <v>45098.921944444446</v>
      </c>
      <c r="C2804" s="28" t="s">
        <v>10</v>
      </c>
      <c r="D2804" s="28" t="s">
        <v>601</v>
      </c>
      <c r="E2804" s="28" t="s">
        <v>28</v>
      </c>
      <c r="F2804" s="28">
        <v>0</v>
      </c>
      <c r="G2804" s="28" t="s">
        <v>119</v>
      </c>
      <c r="H2804" s="28">
        <v>0</v>
      </c>
      <c r="J2804" s="28"/>
    </row>
    <row r="2805" spans="1:10" ht="15.75" customHeight="1">
      <c r="A2805" s="28">
        <v>19069</v>
      </c>
      <c r="B2805" s="91">
        <v>45098.95385416667</v>
      </c>
      <c r="C2805" s="28" t="s">
        <v>10</v>
      </c>
      <c r="D2805" s="28" t="s">
        <v>600</v>
      </c>
      <c r="E2805" s="28" t="s">
        <v>28</v>
      </c>
      <c r="F2805" s="28">
        <v>56</v>
      </c>
      <c r="G2805" s="28" t="s">
        <v>143</v>
      </c>
      <c r="H2805" s="28">
        <v>0</v>
      </c>
      <c r="J2805" s="28"/>
    </row>
    <row r="2806" spans="1:10" ht="15.75" customHeight="1">
      <c r="A2806" s="28">
        <v>19070</v>
      </c>
      <c r="B2806" s="91">
        <v>45098.956261574072</v>
      </c>
      <c r="C2806" s="28" t="s">
        <v>10</v>
      </c>
      <c r="D2806" s="28" t="s">
        <v>599</v>
      </c>
      <c r="E2806" s="28" t="s">
        <v>28</v>
      </c>
      <c r="F2806" s="28">
        <v>25</v>
      </c>
      <c r="G2806" s="28">
        <v>100692</v>
      </c>
      <c r="H2806" s="28">
        <v>0</v>
      </c>
      <c r="J2806" s="28"/>
    </row>
    <row r="2807" spans="1:10" ht="15.75" customHeight="1">
      <c r="A2807" s="28">
        <v>19070</v>
      </c>
      <c r="B2807" s="91">
        <v>45098.956261574072</v>
      </c>
      <c r="C2807" s="28" t="s">
        <v>10</v>
      </c>
      <c r="D2807" s="28" t="s">
        <v>599</v>
      </c>
      <c r="E2807" s="28" t="s">
        <v>28</v>
      </c>
      <c r="F2807" s="28">
        <v>0</v>
      </c>
      <c r="G2807" s="28" t="s">
        <v>125</v>
      </c>
      <c r="H2807" s="28">
        <v>0</v>
      </c>
      <c r="J2807" s="28"/>
    </row>
    <row r="2808" spans="1:10" ht="15.75" customHeight="1">
      <c r="A2808" s="28">
        <v>19070</v>
      </c>
      <c r="B2808" s="91">
        <v>45098.956261574072</v>
      </c>
      <c r="C2808" s="28" t="s">
        <v>10</v>
      </c>
      <c r="D2808" s="28" t="s">
        <v>599</v>
      </c>
      <c r="E2808" s="28" t="s">
        <v>28</v>
      </c>
      <c r="F2808" s="28">
        <v>0</v>
      </c>
      <c r="G2808" s="28" t="s">
        <v>119</v>
      </c>
      <c r="H2808" s="28">
        <v>0</v>
      </c>
      <c r="J2808" s="28"/>
    </row>
    <row r="2809" spans="1:10" ht="15.75" customHeight="1">
      <c r="A2809" s="28">
        <v>19071</v>
      </c>
      <c r="B2809" s="91">
        <v>45098.966736111106</v>
      </c>
      <c r="C2809" s="28" t="s">
        <v>10</v>
      </c>
      <c r="D2809" s="28" t="s">
        <v>598</v>
      </c>
      <c r="E2809" s="28" t="s">
        <v>28</v>
      </c>
      <c r="F2809" s="28">
        <v>25</v>
      </c>
      <c r="G2809" s="28">
        <v>100692</v>
      </c>
      <c r="H2809" s="28">
        <v>0</v>
      </c>
      <c r="J2809" s="28"/>
    </row>
    <row r="2810" spans="1:10" ht="15.75" customHeight="1">
      <c r="A2810" s="28">
        <v>19071</v>
      </c>
      <c r="B2810" s="91">
        <v>45098.966736111106</v>
      </c>
      <c r="C2810" s="28" t="s">
        <v>10</v>
      </c>
      <c r="D2810" s="28" t="s">
        <v>598</v>
      </c>
      <c r="E2810" s="28" t="s">
        <v>28</v>
      </c>
      <c r="F2810" s="28">
        <v>0</v>
      </c>
      <c r="G2810" s="28" t="s">
        <v>125</v>
      </c>
      <c r="H2810" s="28">
        <v>0</v>
      </c>
      <c r="J2810" s="28"/>
    </row>
    <row r="2811" spans="1:10" ht="15.75" customHeight="1">
      <c r="A2811" s="28">
        <v>19071</v>
      </c>
      <c r="B2811" s="91">
        <v>45098.966736111106</v>
      </c>
      <c r="C2811" s="28" t="s">
        <v>10</v>
      </c>
      <c r="D2811" s="28" t="s">
        <v>598</v>
      </c>
      <c r="E2811" s="28" t="s">
        <v>28</v>
      </c>
      <c r="F2811" s="28">
        <v>0</v>
      </c>
      <c r="G2811" s="28" t="s">
        <v>119</v>
      </c>
      <c r="H2811" s="28">
        <v>0</v>
      </c>
      <c r="J2811" s="28"/>
    </row>
    <row r="2812" spans="1:10" ht="15.75" customHeight="1">
      <c r="A2812" s="28">
        <v>19072</v>
      </c>
      <c r="B2812" s="91">
        <v>45099.028217592597</v>
      </c>
      <c r="C2812" s="28" t="s">
        <v>10</v>
      </c>
      <c r="D2812" s="28" t="s">
        <v>597</v>
      </c>
      <c r="E2812" s="28" t="s">
        <v>28</v>
      </c>
      <c r="F2812" s="28">
        <v>30</v>
      </c>
      <c r="G2812" s="28" t="s">
        <v>128</v>
      </c>
      <c r="H2812" s="28">
        <v>0</v>
      </c>
      <c r="J2812" s="28"/>
    </row>
    <row r="2813" spans="1:10" ht="15.75" customHeight="1">
      <c r="A2813" s="28">
        <v>19072</v>
      </c>
      <c r="B2813" s="91">
        <v>45099.028217592597</v>
      </c>
      <c r="C2813" s="28" t="s">
        <v>10</v>
      </c>
      <c r="D2813" s="28" t="s">
        <v>597</v>
      </c>
      <c r="E2813" s="28" t="s">
        <v>28</v>
      </c>
      <c r="F2813" s="28">
        <v>0</v>
      </c>
      <c r="G2813" s="28" t="s">
        <v>125</v>
      </c>
      <c r="H2813" s="28">
        <v>0</v>
      </c>
      <c r="J2813" s="28"/>
    </row>
    <row r="2814" spans="1:10" ht="15.75" customHeight="1">
      <c r="A2814" s="28">
        <v>19072</v>
      </c>
      <c r="B2814" s="91">
        <v>45099.028217592597</v>
      </c>
      <c r="C2814" s="28" t="s">
        <v>10</v>
      </c>
      <c r="D2814" s="28" t="s">
        <v>597</v>
      </c>
      <c r="E2814" s="28" t="s">
        <v>28</v>
      </c>
      <c r="F2814" s="28">
        <v>0</v>
      </c>
      <c r="G2814" s="28" t="s">
        <v>119</v>
      </c>
      <c r="H2814" s="28">
        <v>0</v>
      </c>
      <c r="J2814" s="28"/>
    </row>
    <row r="2815" spans="1:10" ht="15.75" customHeight="1">
      <c r="A2815" s="28">
        <v>19073</v>
      </c>
      <c r="B2815" s="91">
        <v>45099.070740740739</v>
      </c>
      <c r="C2815" s="28" t="s">
        <v>10</v>
      </c>
      <c r="D2815" s="28" t="s">
        <v>596</v>
      </c>
      <c r="E2815" s="28" t="s">
        <v>28</v>
      </c>
      <c r="F2815" s="28">
        <v>30</v>
      </c>
      <c r="G2815" s="28" t="s">
        <v>125</v>
      </c>
      <c r="H2815" s="28">
        <v>0</v>
      </c>
      <c r="J2815" s="28"/>
    </row>
    <row r="2816" spans="1:10" ht="15.75" customHeight="1">
      <c r="A2816" s="28">
        <v>19074</v>
      </c>
      <c r="B2816" s="91">
        <v>45099.519780092596</v>
      </c>
      <c r="C2816" s="28" t="s">
        <v>10</v>
      </c>
      <c r="D2816" s="28" t="s">
        <v>595</v>
      </c>
      <c r="E2816" s="28" t="s">
        <v>39</v>
      </c>
      <c r="F2816" s="28">
        <v>28</v>
      </c>
      <c r="G2816" s="28" t="s">
        <v>143</v>
      </c>
      <c r="H2816" s="28">
        <v>0</v>
      </c>
      <c r="J2816" s="28"/>
    </row>
    <row r="2817" spans="1:10" ht="15.75" customHeight="1">
      <c r="A2817" s="28">
        <v>19074</v>
      </c>
      <c r="B2817" s="91">
        <v>45099.519780092596</v>
      </c>
      <c r="C2817" s="28" t="s">
        <v>10</v>
      </c>
      <c r="D2817" s="28" t="s">
        <v>595</v>
      </c>
      <c r="E2817" s="28" t="s">
        <v>39</v>
      </c>
      <c r="F2817" s="28">
        <v>0</v>
      </c>
      <c r="G2817" s="28" t="s">
        <v>117</v>
      </c>
      <c r="H2817" s="28">
        <v>0</v>
      </c>
      <c r="J2817" s="28"/>
    </row>
    <row r="2818" spans="1:10" ht="15.75" customHeight="1">
      <c r="A2818" s="28">
        <v>19075</v>
      </c>
      <c r="B2818" s="91">
        <v>45099.519895833335</v>
      </c>
      <c r="C2818" s="28" t="s">
        <v>10</v>
      </c>
      <c r="D2818" s="28" t="s">
        <v>594</v>
      </c>
      <c r="E2818" s="28" t="s">
        <v>28</v>
      </c>
      <c r="F2818" s="28">
        <v>28</v>
      </c>
      <c r="G2818" s="28" t="s">
        <v>143</v>
      </c>
      <c r="H2818" s="28">
        <v>0</v>
      </c>
      <c r="J2818" s="28"/>
    </row>
    <row r="2819" spans="1:10" ht="15.75" customHeight="1">
      <c r="A2819" s="28">
        <v>19076</v>
      </c>
      <c r="B2819" s="91">
        <v>45099.542650462958</v>
      </c>
      <c r="C2819" s="28" t="s">
        <v>10</v>
      </c>
      <c r="D2819" s="28" t="s">
        <v>593</v>
      </c>
      <c r="E2819" s="28" t="s">
        <v>28</v>
      </c>
      <c r="F2819" s="28">
        <v>0</v>
      </c>
      <c r="G2819" s="28" t="s">
        <v>117</v>
      </c>
      <c r="H2819" s="28">
        <v>0</v>
      </c>
      <c r="J2819" s="28"/>
    </row>
    <row r="2820" spans="1:10" ht="15.75" customHeight="1">
      <c r="A2820" s="28">
        <v>19077</v>
      </c>
      <c r="B2820" s="91">
        <v>45099.547164351854</v>
      </c>
      <c r="C2820" s="28" t="s">
        <v>10</v>
      </c>
      <c r="D2820" s="28" t="s">
        <v>592</v>
      </c>
      <c r="E2820" s="28" t="s">
        <v>28</v>
      </c>
      <c r="F2820" s="28">
        <v>35</v>
      </c>
      <c r="G2820" s="28" t="s">
        <v>124</v>
      </c>
      <c r="H2820" s="28">
        <v>0</v>
      </c>
      <c r="J2820" s="28"/>
    </row>
    <row r="2821" spans="1:10" ht="15.75" customHeight="1">
      <c r="A2821" s="28">
        <v>19077</v>
      </c>
      <c r="B2821" s="91">
        <v>45099.547164351854</v>
      </c>
      <c r="C2821" s="28" t="s">
        <v>10</v>
      </c>
      <c r="D2821" s="28" t="s">
        <v>592</v>
      </c>
      <c r="E2821" s="28" t="s">
        <v>28</v>
      </c>
      <c r="F2821" s="28">
        <v>0</v>
      </c>
      <c r="G2821" s="28" t="s">
        <v>125</v>
      </c>
      <c r="H2821" s="28">
        <v>0</v>
      </c>
      <c r="J2821" s="28"/>
    </row>
    <row r="2822" spans="1:10" ht="15.75" customHeight="1">
      <c r="A2822" s="28">
        <v>19077</v>
      </c>
      <c r="B2822" s="91">
        <v>45099.547164351854</v>
      </c>
      <c r="C2822" s="28" t="s">
        <v>10</v>
      </c>
      <c r="D2822" s="28" t="s">
        <v>592</v>
      </c>
      <c r="E2822" s="28" t="s">
        <v>28</v>
      </c>
      <c r="F2822" s="28">
        <v>0</v>
      </c>
      <c r="G2822" s="28" t="s">
        <v>119</v>
      </c>
      <c r="H2822" s="28">
        <v>0</v>
      </c>
      <c r="J2822" s="28"/>
    </row>
    <row r="2823" spans="1:10" ht="15.75" customHeight="1">
      <c r="A2823" s="28">
        <v>19077</v>
      </c>
      <c r="B2823" s="91">
        <v>45099.547164351854</v>
      </c>
      <c r="C2823" s="28" t="s">
        <v>10</v>
      </c>
      <c r="D2823" s="28" t="s">
        <v>592</v>
      </c>
      <c r="E2823" s="28" t="s">
        <v>28</v>
      </c>
      <c r="F2823" s="28">
        <v>0</v>
      </c>
      <c r="G2823" s="28" t="s">
        <v>121</v>
      </c>
      <c r="H2823" s="28">
        <v>0</v>
      </c>
      <c r="J2823" s="28"/>
    </row>
    <row r="2824" spans="1:10" ht="15.75" customHeight="1">
      <c r="A2824" s="28">
        <v>19078</v>
      </c>
      <c r="B2824" s="91">
        <v>45099.555243055554</v>
      </c>
      <c r="C2824" s="28" t="s">
        <v>10</v>
      </c>
      <c r="D2824" s="28" t="s">
        <v>591</v>
      </c>
      <c r="E2824" s="28" t="s">
        <v>28</v>
      </c>
      <c r="F2824" s="28">
        <v>20</v>
      </c>
      <c r="G2824" s="28" t="s">
        <v>261</v>
      </c>
      <c r="H2824" s="28">
        <v>0</v>
      </c>
      <c r="J2824" s="28"/>
    </row>
    <row r="2825" spans="1:10" ht="15.75" customHeight="1">
      <c r="A2825" s="28">
        <v>19078</v>
      </c>
      <c r="B2825" s="91">
        <v>45099.555243055554</v>
      </c>
      <c r="C2825" s="28" t="s">
        <v>10</v>
      </c>
      <c r="D2825" s="28" t="s">
        <v>591</v>
      </c>
      <c r="E2825" s="28" t="s">
        <v>28</v>
      </c>
      <c r="F2825" s="28">
        <v>0</v>
      </c>
      <c r="G2825" s="28" t="s">
        <v>117</v>
      </c>
      <c r="H2825" s="28">
        <v>0</v>
      </c>
      <c r="J2825" s="28"/>
    </row>
    <row r="2826" spans="1:10" ht="15.75" customHeight="1">
      <c r="A2826" s="28">
        <v>19079</v>
      </c>
      <c r="B2826" s="91">
        <v>45099.56559027778</v>
      </c>
      <c r="C2826" s="28" t="s">
        <v>10</v>
      </c>
      <c r="D2826" s="28" t="s">
        <v>590</v>
      </c>
      <c r="E2826" s="28" t="s">
        <v>28</v>
      </c>
      <c r="F2826" s="28">
        <v>15</v>
      </c>
      <c r="G2826" s="28" t="s">
        <v>125</v>
      </c>
      <c r="H2826" s="28">
        <v>0</v>
      </c>
      <c r="J2826" s="28"/>
    </row>
    <row r="2827" spans="1:10" ht="15.75" customHeight="1">
      <c r="A2827" s="28">
        <v>19080</v>
      </c>
      <c r="B2827" s="91">
        <v>45099.573252314818</v>
      </c>
      <c r="C2827" s="28" t="s">
        <v>10</v>
      </c>
      <c r="D2827" s="28" t="s">
        <v>589</v>
      </c>
      <c r="E2827" s="28" t="s">
        <v>28</v>
      </c>
      <c r="F2827" s="28">
        <v>25</v>
      </c>
      <c r="G2827" s="28">
        <v>100692</v>
      </c>
      <c r="H2827" s="28">
        <v>0</v>
      </c>
      <c r="J2827" s="28"/>
    </row>
    <row r="2828" spans="1:10" ht="15.75" customHeight="1">
      <c r="A2828" s="28">
        <v>19080</v>
      </c>
      <c r="B2828" s="91">
        <v>45099.573252314818</v>
      </c>
      <c r="C2828" s="28" t="s">
        <v>10</v>
      </c>
      <c r="D2828" s="28" t="s">
        <v>589</v>
      </c>
      <c r="E2828" s="28" t="s">
        <v>28</v>
      </c>
      <c r="F2828" s="28">
        <v>0</v>
      </c>
      <c r="G2828" s="28" t="s">
        <v>125</v>
      </c>
      <c r="H2828" s="28">
        <v>0</v>
      </c>
      <c r="J2828" s="28"/>
    </row>
    <row r="2829" spans="1:10" ht="15.75" customHeight="1">
      <c r="A2829" s="28">
        <v>19080</v>
      </c>
      <c r="B2829" s="91">
        <v>45099.573252314818</v>
      </c>
      <c r="C2829" s="28" t="s">
        <v>10</v>
      </c>
      <c r="D2829" s="28" t="s">
        <v>589</v>
      </c>
      <c r="E2829" s="28" t="s">
        <v>28</v>
      </c>
      <c r="F2829" s="28">
        <v>0</v>
      </c>
      <c r="G2829" s="28" t="s">
        <v>119</v>
      </c>
      <c r="H2829" s="28">
        <v>0</v>
      </c>
      <c r="J2829" s="28"/>
    </row>
    <row r="2830" spans="1:10" ht="15.75" customHeight="1">
      <c r="A2830" s="28">
        <v>19080</v>
      </c>
      <c r="B2830" s="91">
        <v>45099.573252314818</v>
      </c>
      <c r="C2830" s="28" t="s">
        <v>10</v>
      </c>
      <c r="D2830" s="28" t="s">
        <v>589</v>
      </c>
      <c r="E2830" s="28" t="s">
        <v>28</v>
      </c>
      <c r="F2830" s="28">
        <v>28</v>
      </c>
      <c r="G2830" s="28" t="s">
        <v>143</v>
      </c>
      <c r="H2830" s="28">
        <v>0</v>
      </c>
      <c r="J2830" s="28"/>
    </row>
    <row r="2831" spans="1:10" ht="15.75" customHeight="1">
      <c r="A2831" s="28">
        <v>19081</v>
      </c>
      <c r="B2831" s="91">
        <v>45099.576828703706</v>
      </c>
      <c r="C2831" s="28" t="s">
        <v>10</v>
      </c>
      <c r="D2831" s="28" t="s">
        <v>588</v>
      </c>
      <c r="E2831" s="28" t="s">
        <v>28</v>
      </c>
      <c r="F2831" s="28">
        <v>0</v>
      </c>
      <c r="G2831" s="28" t="s">
        <v>286</v>
      </c>
      <c r="H2831" s="28">
        <v>0</v>
      </c>
      <c r="J2831" s="28"/>
    </row>
    <row r="2832" spans="1:10" ht="15.75" customHeight="1">
      <c r="A2832" s="28">
        <v>19081</v>
      </c>
      <c r="B2832" s="91">
        <v>45099.576828703706</v>
      </c>
      <c r="C2832" s="28" t="s">
        <v>10</v>
      </c>
      <c r="D2832" s="28" t="s">
        <v>588</v>
      </c>
      <c r="E2832" s="28" t="s">
        <v>28</v>
      </c>
      <c r="F2832" s="28">
        <v>0</v>
      </c>
      <c r="G2832" s="28" t="s">
        <v>117</v>
      </c>
      <c r="H2832" s="28">
        <v>0</v>
      </c>
      <c r="J2832" s="28"/>
    </row>
    <row r="2833" spans="1:10" ht="15.75" customHeight="1">
      <c r="A2833" s="28">
        <v>19081</v>
      </c>
      <c r="B2833" s="91">
        <v>45099.576828703706</v>
      </c>
      <c r="C2833" s="28" t="s">
        <v>10</v>
      </c>
      <c r="D2833" s="28" t="s">
        <v>588</v>
      </c>
      <c r="E2833" s="28" t="s">
        <v>28</v>
      </c>
      <c r="F2833" s="28">
        <v>50</v>
      </c>
      <c r="G2833" s="28">
        <v>100692</v>
      </c>
      <c r="H2833" s="28">
        <v>0</v>
      </c>
      <c r="J2833" s="28"/>
    </row>
    <row r="2834" spans="1:10" ht="15.75" customHeight="1">
      <c r="A2834" s="28">
        <v>19081</v>
      </c>
      <c r="B2834" s="91">
        <v>45099.576828703706</v>
      </c>
      <c r="C2834" s="28" t="s">
        <v>10</v>
      </c>
      <c r="D2834" s="28" t="s">
        <v>588</v>
      </c>
      <c r="E2834" s="28" t="s">
        <v>28</v>
      </c>
      <c r="F2834" s="28">
        <v>0</v>
      </c>
      <c r="G2834" s="28" t="s">
        <v>125</v>
      </c>
      <c r="H2834" s="28">
        <v>0</v>
      </c>
      <c r="J2834" s="28"/>
    </row>
    <row r="2835" spans="1:10" ht="15.75" customHeight="1">
      <c r="A2835" s="28">
        <v>19081</v>
      </c>
      <c r="B2835" s="91">
        <v>45099.576828703706</v>
      </c>
      <c r="C2835" s="28" t="s">
        <v>10</v>
      </c>
      <c r="D2835" s="28" t="s">
        <v>588</v>
      </c>
      <c r="E2835" s="28" t="s">
        <v>28</v>
      </c>
      <c r="F2835" s="28">
        <v>0</v>
      </c>
      <c r="G2835" s="28" t="s">
        <v>119</v>
      </c>
      <c r="H2835" s="28">
        <v>0</v>
      </c>
      <c r="J2835" s="28"/>
    </row>
    <row r="2836" spans="1:10" ht="15.75" customHeight="1">
      <c r="A2836" s="28">
        <v>19082</v>
      </c>
      <c r="B2836" s="91">
        <v>45099.601643518516</v>
      </c>
      <c r="C2836" s="28" t="s">
        <v>10</v>
      </c>
      <c r="D2836" s="28" t="s">
        <v>587</v>
      </c>
      <c r="E2836" s="28" t="s">
        <v>28</v>
      </c>
      <c r="F2836" s="28">
        <v>0</v>
      </c>
      <c r="G2836" s="28" t="s">
        <v>286</v>
      </c>
      <c r="H2836" s="28">
        <v>0</v>
      </c>
      <c r="J2836" s="28"/>
    </row>
    <row r="2837" spans="1:10" ht="15.75" customHeight="1">
      <c r="A2837" s="28">
        <v>19082</v>
      </c>
      <c r="B2837" s="91">
        <v>45099.601643518516</v>
      </c>
      <c r="C2837" s="28" t="s">
        <v>10</v>
      </c>
      <c r="D2837" s="28" t="s">
        <v>587</v>
      </c>
      <c r="E2837" s="28" t="s">
        <v>28</v>
      </c>
      <c r="F2837" s="28">
        <v>35</v>
      </c>
      <c r="G2837" s="28" t="s">
        <v>124</v>
      </c>
      <c r="H2837" s="28">
        <v>0</v>
      </c>
      <c r="J2837" s="28"/>
    </row>
    <row r="2838" spans="1:10" ht="15.75" customHeight="1">
      <c r="A2838" s="28">
        <v>19082</v>
      </c>
      <c r="B2838" s="91">
        <v>45099.601643518516</v>
      </c>
      <c r="C2838" s="28" t="s">
        <v>10</v>
      </c>
      <c r="D2838" s="28" t="s">
        <v>587</v>
      </c>
      <c r="E2838" s="28" t="s">
        <v>28</v>
      </c>
      <c r="F2838" s="28">
        <v>0</v>
      </c>
      <c r="G2838" s="28" t="s">
        <v>125</v>
      </c>
      <c r="H2838" s="28">
        <v>0</v>
      </c>
      <c r="J2838" s="28"/>
    </row>
    <row r="2839" spans="1:10" ht="15.75" customHeight="1">
      <c r="A2839" s="28">
        <v>19082</v>
      </c>
      <c r="B2839" s="91">
        <v>45099.601643518516</v>
      </c>
      <c r="C2839" s="28" t="s">
        <v>10</v>
      </c>
      <c r="D2839" s="28" t="s">
        <v>587</v>
      </c>
      <c r="E2839" s="28" t="s">
        <v>28</v>
      </c>
      <c r="F2839" s="28">
        <v>0</v>
      </c>
      <c r="G2839" s="28" t="s">
        <v>119</v>
      </c>
      <c r="H2839" s="28">
        <v>0</v>
      </c>
      <c r="J2839" s="28"/>
    </row>
    <row r="2840" spans="1:10" ht="15.75" customHeight="1">
      <c r="A2840" s="28">
        <v>19082</v>
      </c>
      <c r="B2840" s="91">
        <v>45099.601643518516</v>
      </c>
      <c r="C2840" s="28" t="s">
        <v>10</v>
      </c>
      <c r="D2840" s="28" t="s">
        <v>587</v>
      </c>
      <c r="E2840" s="28" t="s">
        <v>28</v>
      </c>
      <c r="F2840" s="28">
        <v>0</v>
      </c>
      <c r="G2840" s="28" t="s">
        <v>121</v>
      </c>
      <c r="H2840" s="28">
        <v>0</v>
      </c>
      <c r="J2840" s="28"/>
    </row>
    <row r="2841" spans="1:10" ht="15.75" customHeight="1">
      <c r="A2841" s="28">
        <v>19083</v>
      </c>
      <c r="B2841" s="91">
        <v>45099.614930555559</v>
      </c>
      <c r="C2841" s="28" t="s">
        <v>10</v>
      </c>
      <c r="D2841" s="28" t="s">
        <v>586</v>
      </c>
      <c r="E2841" s="28" t="s">
        <v>28</v>
      </c>
      <c r="F2841" s="28">
        <v>25</v>
      </c>
      <c r="G2841" s="28">
        <v>100692</v>
      </c>
      <c r="H2841" s="28">
        <v>0</v>
      </c>
      <c r="J2841" s="28"/>
    </row>
    <row r="2842" spans="1:10" ht="15.75" customHeight="1">
      <c r="A2842" s="28">
        <v>19083</v>
      </c>
      <c r="B2842" s="91">
        <v>45099.614930555559</v>
      </c>
      <c r="C2842" s="28" t="s">
        <v>10</v>
      </c>
      <c r="D2842" s="28" t="s">
        <v>586</v>
      </c>
      <c r="E2842" s="28" t="s">
        <v>28</v>
      </c>
      <c r="F2842" s="28">
        <v>0</v>
      </c>
      <c r="G2842" s="28" t="s">
        <v>125</v>
      </c>
      <c r="H2842" s="28">
        <v>0</v>
      </c>
      <c r="J2842" s="28"/>
    </row>
    <row r="2843" spans="1:10" ht="15.75" customHeight="1">
      <c r="A2843" s="28">
        <v>19083</v>
      </c>
      <c r="B2843" s="91">
        <v>45099.614930555559</v>
      </c>
      <c r="C2843" s="28" t="s">
        <v>10</v>
      </c>
      <c r="D2843" s="28" t="s">
        <v>586</v>
      </c>
      <c r="E2843" s="28" t="s">
        <v>28</v>
      </c>
      <c r="F2843" s="28">
        <v>0</v>
      </c>
      <c r="G2843" s="28" t="s">
        <v>119</v>
      </c>
      <c r="H2843" s="28">
        <v>0</v>
      </c>
      <c r="J2843" s="28"/>
    </row>
    <row r="2844" spans="1:10" ht="15.75" customHeight="1">
      <c r="A2844" s="28">
        <v>19083</v>
      </c>
      <c r="B2844" s="91">
        <v>45099.614930555559</v>
      </c>
      <c r="C2844" s="28" t="s">
        <v>10</v>
      </c>
      <c r="D2844" s="28" t="s">
        <v>586</v>
      </c>
      <c r="E2844" s="28" t="s">
        <v>28</v>
      </c>
      <c r="F2844" s="28">
        <v>0</v>
      </c>
      <c r="G2844" s="28" t="s">
        <v>117</v>
      </c>
      <c r="H2844" s="28">
        <v>0</v>
      </c>
      <c r="J2844" s="28"/>
    </row>
    <row r="2845" spans="1:10" ht="15.75" customHeight="1">
      <c r="A2845" s="28">
        <v>19084</v>
      </c>
      <c r="B2845" s="91">
        <v>45099.661712962959</v>
      </c>
      <c r="C2845" s="28" t="s">
        <v>10</v>
      </c>
      <c r="D2845" s="28" t="s">
        <v>585</v>
      </c>
      <c r="E2845" s="28" t="s">
        <v>28</v>
      </c>
      <c r="F2845" s="28">
        <v>28</v>
      </c>
      <c r="G2845" s="28" t="s">
        <v>143</v>
      </c>
      <c r="H2845" s="28">
        <v>0</v>
      </c>
      <c r="J2845" s="28"/>
    </row>
    <row r="2846" spans="1:10" ht="15.75" customHeight="1">
      <c r="A2846" s="28">
        <v>19085</v>
      </c>
      <c r="B2846" s="91">
        <v>45099.663078703699</v>
      </c>
      <c r="C2846" s="28" t="s">
        <v>10</v>
      </c>
      <c r="D2846" s="28" t="s">
        <v>584</v>
      </c>
      <c r="E2846" s="28" t="s">
        <v>28</v>
      </c>
      <c r="F2846" s="28">
        <v>28</v>
      </c>
      <c r="G2846" s="28" t="s">
        <v>143</v>
      </c>
      <c r="H2846" s="28">
        <v>0</v>
      </c>
      <c r="J2846" s="28"/>
    </row>
    <row r="2847" spans="1:10" ht="15.75" customHeight="1">
      <c r="A2847" s="28">
        <v>19086</v>
      </c>
      <c r="B2847" s="91">
        <v>45099.692106481481</v>
      </c>
      <c r="C2847" s="28" t="s">
        <v>10</v>
      </c>
      <c r="D2847" s="28" t="s">
        <v>583</v>
      </c>
      <c r="E2847" s="28" t="s">
        <v>39</v>
      </c>
      <c r="F2847" s="28">
        <v>28</v>
      </c>
      <c r="G2847" s="28" t="s">
        <v>143</v>
      </c>
      <c r="H2847" s="28">
        <v>0</v>
      </c>
      <c r="J2847" s="28"/>
    </row>
    <row r="2848" spans="1:10" ht="15.75" customHeight="1">
      <c r="A2848" s="28">
        <v>19087</v>
      </c>
      <c r="B2848" s="91">
        <v>45099.702326388884</v>
      </c>
      <c r="C2848" s="28" t="s">
        <v>10</v>
      </c>
      <c r="D2848" s="28" t="s">
        <v>582</v>
      </c>
      <c r="E2848" s="28" t="s">
        <v>28</v>
      </c>
      <c r="F2848" s="28">
        <v>26</v>
      </c>
      <c r="G2848" s="28" t="s">
        <v>122</v>
      </c>
      <c r="H2848" s="28">
        <v>0</v>
      </c>
      <c r="J2848" s="28"/>
    </row>
    <row r="2849" spans="1:10" ht="15.75" customHeight="1">
      <c r="A2849" s="28">
        <v>19088</v>
      </c>
      <c r="B2849" s="91">
        <v>45099.738715277781</v>
      </c>
      <c r="C2849" s="28" t="s">
        <v>10</v>
      </c>
      <c r="D2849" s="28" t="s">
        <v>581</v>
      </c>
      <c r="E2849" s="28" t="s">
        <v>28</v>
      </c>
      <c r="F2849" s="28">
        <v>0</v>
      </c>
      <c r="G2849" s="28" t="s">
        <v>286</v>
      </c>
      <c r="H2849" s="28">
        <v>0</v>
      </c>
      <c r="J2849" s="28"/>
    </row>
    <row r="2850" spans="1:10" ht="15.75" customHeight="1">
      <c r="A2850" s="28">
        <v>19088</v>
      </c>
      <c r="B2850" s="91">
        <v>45099.738715277781</v>
      </c>
      <c r="C2850" s="28" t="s">
        <v>10</v>
      </c>
      <c r="D2850" s="28" t="s">
        <v>581</v>
      </c>
      <c r="E2850" s="28" t="s">
        <v>28</v>
      </c>
      <c r="F2850" s="28">
        <v>0</v>
      </c>
      <c r="G2850" s="28" t="s">
        <v>117</v>
      </c>
      <c r="H2850" s="28">
        <v>0</v>
      </c>
      <c r="J2850" s="28"/>
    </row>
    <row r="2851" spans="1:10" ht="15.75" customHeight="1">
      <c r="A2851" s="28">
        <v>19088</v>
      </c>
      <c r="B2851" s="91">
        <v>45099.738715277781</v>
      </c>
      <c r="C2851" s="28" t="s">
        <v>10</v>
      </c>
      <c r="D2851" s="28" t="s">
        <v>581</v>
      </c>
      <c r="E2851" s="28" t="s">
        <v>28</v>
      </c>
      <c r="F2851" s="28">
        <v>25</v>
      </c>
      <c r="G2851" s="28">
        <v>100692</v>
      </c>
      <c r="H2851" s="28">
        <v>0</v>
      </c>
      <c r="J2851" s="28"/>
    </row>
    <row r="2852" spans="1:10" ht="15.75" customHeight="1">
      <c r="A2852" s="28">
        <v>19088</v>
      </c>
      <c r="B2852" s="91">
        <v>45099.738715277781</v>
      </c>
      <c r="C2852" s="28" t="s">
        <v>10</v>
      </c>
      <c r="D2852" s="28" t="s">
        <v>581</v>
      </c>
      <c r="E2852" s="28" t="s">
        <v>28</v>
      </c>
      <c r="F2852" s="28">
        <v>0</v>
      </c>
      <c r="G2852" s="28" t="s">
        <v>125</v>
      </c>
      <c r="H2852" s="28">
        <v>0</v>
      </c>
      <c r="J2852" s="28"/>
    </row>
    <row r="2853" spans="1:10" ht="15.75" customHeight="1">
      <c r="A2853" s="28">
        <v>19088</v>
      </c>
      <c r="B2853" s="91">
        <v>45099.738715277781</v>
      </c>
      <c r="C2853" s="28" t="s">
        <v>10</v>
      </c>
      <c r="D2853" s="28" t="s">
        <v>581</v>
      </c>
      <c r="E2853" s="28" t="s">
        <v>28</v>
      </c>
      <c r="F2853" s="28">
        <v>0</v>
      </c>
      <c r="G2853" s="28" t="s">
        <v>119</v>
      </c>
      <c r="H2853" s="28">
        <v>0</v>
      </c>
      <c r="J2853" s="28"/>
    </row>
    <row r="2854" spans="1:10" ht="15.75" customHeight="1">
      <c r="A2854" s="28">
        <v>19089</v>
      </c>
      <c r="B2854" s="91">
        <v>45099.783101851848</v>
      </c>
      <c r="C2854" s="28" t="s">
        <v>10</v>
      </c>
      <c r="D2854" s="28" t="s">
        <v>580</v>
      </c>
      <c r="E2854" s="28" t="s">
        <v>28</v>
      </c>
      <c r="F2854" s="28">
        <v>18</v>
      </c>
      <c r="G2854" s="28" t="s">
        <v>119</v>
      </c>
      <c r="H2854" s="28">
        <v>0</v>
      </c>
      <c r="J2854" s="28"/>
    </row>
    <row r="2855" spans="1:10" ht="15.75" customHeight="1">
      <c r="A2855" s="28">
        <v>19090</v>
      </c>
      <c r="B2855" s="91">
        <v>45099.834872685184</v>
      </c>
      <c r="C2855" s="28" t="s">
        <v>10</v>
      </c>
      <c r="D2855" s="28" t="s">
        <v>579</v>
      </c>
      <c r="E2855" s="28" t="s">
        <v>84</v>
      </c>
      <c r="F2855" s="28">
        <v>25</v>
      </c>
      <c r="G2855" s="28" t="s">
        <v>141</v>
      </c>
      <c r="H2855" s="28">
        <v>0</v>
      </c>
      <c r="J2855" s="28"/>
    </row>
    <row r="2856" spans="1:10" ht="15.75" customHeight="1">
      <c r="A2856" s="28">
        <v>19092</v>
      </c>
      <c r="B2856" s="91">
        <v>45099.87872685185</v>
      </c>
      <c r="C2856" s="28" t="s">
        <v>10</v>
      </c>
      <c r="D2856" s="28" t="s">
        <v>578</v>
      </c>
      <c r="E2856" s="28" t="s">
        <v>28</v>
      </c>
      <c r="F2856" s="28">
        <v>0</v>
      </c>
      <c r="G2856" s="28" t="s">
        <v>286</v>
      </c>
      <c r="H2856" s="28">
        <v>0</v>
      </c>
      <c r="J2856" s="28"/>
    </row>
    <row r="2857" spans="1:10" ht="15.75" customHeight="1">
      <c r="A2857" s="28">
        <v>19092</v>
      </c>
      <c r="B2857" s="91">
        <v>45099.87872685185</v>
      </c>
      <c r="C2857" s="28" t="s">
        <v>10</v>
      </c>
      <c r="D2857" s="28" t="s">
        <v>578</v>
      </c>
      <c r="E2857" s="28" t="s">
        <v>28</v>
      </c>
      <c r="F2857" s="28">
        <v>0</v>
      </c>
      <c r="G2857" s="28" t="s">
        <v>117</v>
      </c>
      <c r="H2857" s="28">
        <v>0</v>
      </c>
      <c r="J2857" s="28"/>
    </row>
    <row r="2858" spans="1:10" ht="15.75" customHeight="1">
      <c r="A2858" s="28">
        <v>19092</v>
      </c>
      <c r="B2858" s="91">
        <v>45099.87872685185</v>
      </c>
      <c r="C2858" s="28" t="s">
        <v>10</v>
      </c>
      <c r="D2858" s="28" t="s">
        <v>578</v>
      </c>
      <c r="E2858" s="28" t="s">
        <v>28</v>
      </c>
      <c r="F2858" s="28">
        <v>28</v>
      </c>
      <c r="G2858" s="28" t="s">
        <v>143</v>
      </c>
      <c r="H2858" s="28">
        <v>0</v>
      </c>
      <c r="J2858" s="28"/>
    </row>
    <row r="2859" spans="1:10" ht="15.75" customHeight="1">
      <c r="A2859" s="28">
        <v>19093</v>
      </c>
      <c r="B2859" s="91">
        <v>45099.916770833333</v>
      </c>
      <c r="C2859" s="28" t="s">
        <v>10</v>
      </c>
      <c r="D2859" s="28" t="s">
        <v>577</v>
      </c>
      <c r="E2859" s="28" t="s">
        <v>28</v>
      </c>
      <c r="F2859" s="28">
        <v>35</v>
      </c>
      <c r="G2859" s="28" t="s">
        <v>124</v>
      </c>
      <c r="H2859" s="28">
        <v>0</v>
      </c>
      <c r="J2859" s="28"/>
    </row>
    <row r="2860" spans="1:10" ht="15.75" customHeight="1">
      <c r="A2860" s="28">
        <v>19093</v>
      </c>
      <c r="B2860" s="91">
        <v>45099.916770833333</v>
      </c>
      <c r="C2860" s="28" t="s">
        <v>10</v>
      </c>
      <c r="D2860" s="28" t="s">
        <v>577</v>
      </c>
      <c r="E2860" s="28" t="s">
        <v>28</v>
      </c>
      <c r="F2860" s="28">
        <v>0</v>
      </c>
      <c r="G2860" s="28" t="s">
        <v>125</v>
      </c>
      <c r="H2860" s="28">
        <v>0</v>
      </c>
      <c r="J2860" s="28"/>
    </row>
    <row r="2861" spans="1:10" ht="15.75" customHeight="1">
      <c r="A2861" s="28">
        <v>19093</v>
      </c>
      <c r="B2861" s="91">
        <v>45099.916770833333</v>
      </c>
      <c r="C2861" s="28" t="s">
        <v>10</v>
      </c>
      <c r="D2861" s="28" t="s">
        <v>577</v>
      </c>
      <c r="E2861" s="28" t="s">
        <v>28</v>
      </c>
      <c r="F2861" s="28">
        <v>0</v>
      </c>
      <c r="G2861" s="28" t="s">
        <v>119</v>
      </c>
      <c r="H2861" s="28">
        <v>0</v>
      </c>
      <c r="J2861" s="28"/>
    </row>
    <row r="2862" spans="1:10" ht="15.75" customHeight="1">
      <c r="A2862" s="28">
        <v>19093</v>
      </c>
      <c r="B2862" s="91">
        <v>45099.916770833333</v>
      </c>
      <c r="C2862" s="28" t="s">
        <v>10</v>
      </c>
      <c r="D2862" s="28" t="s">
        <v>577</v>
      </c>
      <c r="E2862" s="28" t="s">
        <v>28</v>
      </c>
      <c r="F2862" s="28">
        <v>0</v>
      </c>
      <c r="G2862" s="28" t="s">
        <v>121</v>
      </c>
      <c r="H2862" s="28">
        <v>0</v>
      </c>
      <c r="J2862" s="28"/>
    </row>
    <row r="2863" spans="1:10" ht="15.75" customHeight="1">
      <c r="A2863" s="28">
        <v>19094</v>
      </c>
      <c r="B2863" s="91">
        <v>45099.92350694444</v>
      </c>
      <c r="C2863" s="28" t="s">
        <v>10</v>
      </c>
      <c r="D2863" s="28" t="s">
        <v>576</v>
      </c>
      <c r="E2863" s="28" t="s">
        <v>28</v>
      </c>
      <c r="F2863" s="28">
        <v>20</v>
      </c>
      <c r="G2863" s="28" t="s">
        <v>121</v>
      </c>
      <c r="H2863" s="28">
        <v>0</v>
      </c>
      <c r="J2863" s="28"/>
    </row>
    <row r="2864" spans="1:10" ht="15.75" customHeight="1">
      <c r="A2864" s="28">
        <v>19094</v>
      </c>
      <c r="B2864" s="91">
        <v>45099.92350694444</v>
      </c>
      <c r="C2864" s="28" t="s">
        <v>10</v>
      </c>
      <c r="D2864" s="28" t="s">
        <v>576</v>
      </c>
      <c r="E2864" s="28" t="s">
        <v>28</v>
      </c>
      <c r="F2864" s="28">
        <v>25</v>
      </c>
      <c r="G2864" s="28">
        <v>100692</v>
      </c>
      <c r="H2864" s="28">
        <v>0</v>
      </c>
      <c r="J2864" s="28"/>
    </row>
    <row r="2865" spans="1:10" ht="15.75" customHeight="1">
      <c r="A2865" s="28">
        <v>19094</v>
      </c>
      <c r="B2865" s="91">
        <v>45099.92350694444</v>
      </c>
      <c r="C2865" s="28" t="s">
        <v>10</v>
      </c>
      <c r="D2865" s="28" t="s">
        <v>576</v>
      </c>
      <c r="E2865" s="28" t="s">
        <v>28</v>
      </c>
      <c r="F2865" s="28">
        <v>0</v>
      </c>
      <c r="G2865" s="28" t="s">
        <v>125</v>
      </c>
      <c r="H2865" s="28">
        <v>0</v>
      </c>
      <c r="J2865" s="28"/>
    </row>
    <row r="2866" spans="1:10" ht="15.75" customHeight="1">
      <c r="A2866" s="28">
        <v>19094</v>
      </c>
      <c r="B2866" s="91">
        <v>45099.92350694444</v>
      </c>
      <c r="C2866" s="28" t="s">
        <v>10</v>
      </c>
      <c r="D2866" s="28" t="s">
        <v>576</v>
      </c>
      <c r="E2866" s="28" t="s">
        <v>28</v>
      </c>
      <c r="F2866" s="28">
        <v>0</v>
      </c>
      <c r="G2866" s="28" t="s">
        <v>119</v>
      </c>
      <c r="H2866" s="28">
        <v>0</v>
      </c>
      <c r="J2866" s="28"/>
    </row>
    <row r="2867" spans="1:10" ht="15.75" customHeight="1">
      <c r="A2867" s="28">
        <v>19095</v>
      </c>
      <c r="B2867" s="91">
        <v>45099.932071759264</v>
      </c>
      <c r="C2867" s="28" t="s">
        <v>10</v>
      </c>
      <c r="D2867" s="28" t="s">
        <v>575</v>
      </c>
      <c r="E2867" s="28" t="s">
        <v>28</v>
      </c>
      <c r="F2867" s="28">
        <v>26</v>
      </c>
      <c r="G2867" s="28" t="s">
        <v>122</v>
      </c>
      <c r="H2867" s="28">
        <v>0</v>
      </c>
      <c r="J2867" s="28"/>
    </row>
    <row r="2868" spans="1:10" ht="15.75" customHeight="1">
      <c r="A2868" s="28">
        <v>19096</v>
      </c>
      <c r="B2868" s="91">
        <v>45099.93545138889</v>
      </c>
      <c r="C2868" s="28" t="s">
        <v>10</v>
      </c>
      <c r="D2868" s="28" t="s">
        <v>574</v>
      </c>
      <c r="E2868" s="28" t="s">
        <v>28</v>
      </c>
      <c r="F2868" s="28">
        <v>0</v>
      </c>
      <c r="G2868" s="28" t="s">
        <v>117</v>
      </c>
      <c r="H2868" s="28">
        <v>0</v>
      </c>
      <c r="J2868" s="28"/>
    </row>
    <row r="2869" spans="1:10" ht="15.75" customHeight="1">
      <c r="A2869" s="28">
        <v>19097</v>
      </c>
      <c r="B2869" s="91">
        <v>45099.93954861111</v>
      </c>
      <c r="C2869" s="28" t="s">
        <v>10</v>
      </c>
      <c r="D2869" s="28" t="s">
        <v>573</v>
      </c>
      <c r="E2869" s="28" t="s">
        <v>28</v>
      </c>
      <c r="F2869" s="28">
        <v>15</v>
      </c>
      <c r="G2869" s="28" t="s">
        <v>125</v>
      </c>
      <c r="H2869" s="28">
        <v>0</v>
      </c>
      <c r="J2869" s="28"/>
    </row>
    <row r="2870" spans="1:10" ht="15.75" customHeight="1">
      <c r="A2870" s="28">
        <v>19098</v>
      </c>
      <c r="B2870" s="91">
        <v>45100.003611111111</v>
      </c>
      <c r="C2870" s="28" t="s">
        <v>10</v>
      </c>
      <c r="D2870" s="28" t="s">
        <v>572</v>
      </c>
      <c r="E2870" s="28" t="s">
        <v>28</v>
      </c>
      <c r="F2870" s="28">
        <v>0</v>
      </c>
      <c r="G2870" s="28" t="s">
        <v>117</v>
      </c>
      <c r="H2870" s="28">
        <v>0</v>
      </c>
      <c r="J2870" s="28"/>
    </row>
    <row r="2871" spans="1:10" ht="15.75" customHeight="1">
      <c r="A2871" s="28">
        <v>19098</v>
      </c>
      <c r="B2871" s="91">
        <v>45100.003611111111</v>
      </c>
      <c r="C2871" s="28" t="s">
        <v>10</v>
      </c>
      <c r="D2871" s="28" t="s">
        <v>572</v>
      </c>
      <c r="E2871" s="28" t="s">
        <v>28</v>
      </c>
      <c r="F2871" s="28">
        <v>15</v>
      </c>
      <c r="G2871" s="28" t="s">
        <v>125</v>
      </c>
      <c r="H2871" s="28">
        <v>0</v>
      </c>
      <c r="J2871" s="28"/>
    </row>
    <row r="2872" spans="1:10" ht="15.75" customHeight="1">
      <c r="A2872" s="28">
        <v>19098</v>
      </c>
      <c r="B2872" s="91">
        <v>45100.003611111111</v>
      </c>
      <c r="C2872" s="28" t="s">
        <v>10</v>
      </c>
      <c r="D2872" s="28" t="s">
        <v>572</v>
      </c>
      <c r="E2872" s="28" t="s">
        <v>28</v>
      </c>
      <c r="F2872" s="28">
        <v>0</v>
      </c>
      <c r="G2872" s="28" t="s">
        <v>286</v>
      </c>
      <c r="H2872" s="28">
        <v>0</v>
      </c>
      <c r="J2872" s="28"/>
    </row>
    <row r="2873" spans="1:10" ht="15.75" customHeight="1">
      <c r="A2873" s="28">
        <v>19099</v>
      </c>
      <c r="B2873" s="91">
        <v>45100.061678240745</v>
      </c>
      <c r="C2873" s="28" t="s">
        <v>10</v>
      </c>
      <c r="D2873" s="28" t="s">
        <v>571</v>
      </c>
      <c r="E2873" s="28" t="s">
        <v>28</v>
      </c>
      <c r="F2873" s="28">
        <v>28</v>
      </c>
      <c r="G2873" s="28" t="s">
        <v>143</v>
      </c>
      <c r="H2873" s="28">
        <v>0</v>
      </c>
      <c r="J2873" s="28"/>
    </row>
    <row r="2874" spans="1:10" ht="15.75" customHeight="1">
      <c r="A2874" s="28">
        <v>19099</v>
      </c>
      <c r="B2874" s="91">
        <v>45100.061678240745</v>
      </c>
      <c r="C2874" s="28" t="s">
        <v>10</v>
      </c>
      <c r="D2874" s="28" t="s">
        <v>571</v>
      </c>
      <c r="E2874" s="28" t="s">
        <v>28</v>
      </c>
      <c r="F2874" s="28">
        <v>15</v>
      </c>
      <c r="G2874" s="28" t="s">
        <v>139</v>
      </c>
      <c r="H2874" s="28">
        <v>0</v>
      </c>
      <c r="J2874" s="28"/>
    </row>
    <row r="2875" spans="1:10" ht="15.75" customHeight="1">
      <c r="A2875" s="28">
        <v>19100</v>
      </c>
      <c r="B2875" s="91">
        <v>45100.114386574074</v>
      </c>
      <c r="C2875" s="28" t="s">
        <v>10</v>
      </c>
      <c r="D2875" s="28" t="s">
        <v>570</v>
      </c>
      <c r="E2875" s="28" t="s">
        <v>28</v>
      </c>
      <c r="F2875" s="28">
        <v>30</v>
      </c>
      <c r="G2875" s="28" t="s">
        <v>139</v>
      </c>
      <c r="H2875" s="28">
        <v>0</v>
      </c>
      <c r="J2875" s="28"/>
    </row>
    <row r="2876" spans="1:10" ht="15.75" customHeight="1">
      <c r="A2876" s="28">
        <v>19100</v>
      </c>
      <c r="B2876" s="91">
        <v>45100.114386574074</v>
      </c>
      <c r="C2876" s="28" t="s">
        <v>10</v>
      </c>
      <c r="D2876" s="28" t="s">
        <v>570</v>
      </c>
      <c r="E2876" s="28" t="s">
        <v>28</v>
      </c>
      <c r="F2876" s="28">
        <v>25</v>
      </c>
      <c r="G2876" s="28">
        <v>100692</v>
      </c>
      <c r="H2876" s="28">
        <v>0</v>
      </c>
      <c r="J2876" s="28"/>
    </row>
    <row r="2877" spans="1:10" ht="15.75" customHeight="1">
      <c r="A2877" s="28">
        <v>19100</v>
      </c>
      <c r="B2877" s="91">
        <v>45100.114386574074</v>
      </c>
      <c r="C2877" s="28" t="s">
        <v>10</v>
      </c>
      <c r="D2877" s="28" t="s">
        <v>570</v>
      </c>
      <c r="E2877" s="28" t="s">
        <v>28</v>
      </c>
      <c r="F2877" s="28">
        <v>0</v>
      </c>
      <c r="G2877" s="28" t="s">
        <v>125</v>
      </c>
      <c r="H2877" s="28">
        <v>0</v>
      </c>
      <c r="J2877" s="28"/>
    </row>
    <row r="2878" spans="1:10" ht="15.75" customHeight="1">
      <c r="A2878" s="28">
        <v>19100</v>
      </c>
      <c r="B2878" s="91">
        <v>45100.114386574074</v>
      </c>
      <c r="C2878" s="28" t="s">
        <v>10</v>
      </c>
      <c r="D2878" s="28" t="s">
        <v>570</v>
      </c>
      <c r="E2878" s="28" t="s">
        <v>28</v>
      </c>
      <c r="F2878" s="28">
        <v>0</v>
      </c>
      <c r="G2878" s="28" t="s">
        <v>119</v>
      </c>
      <c r="H2878" s="28">
        <v>0</v>
      </c>
      <c r="J2878" s="28"/>
    </row>
    <row r="2879" spans="1:10" ht="15.75" customHeight="1">
      <c r="A2879" s="28">
        <v>19101</v>
      </c>
      <c r="B2879" s="91">
        <v>45100.527731481481</v>
      </c>
      <c r="C2879" s="28" t="s">
        <v>10</v>
      </c>
      <c r="D2879" s="28" t="s">
        <v>569</v>
      </c>
      <c r="E2879" s="28" t="s">
        <v>28</v>
      </c>
      <c r="F2879" s="28">
        <v>18</v>
      </c>
      <c r="G2879" s="28" t="s">
        <v>119</v>
      </c>
      <c r="H2879" s="28">
        <v>0</v>
      </c>
      <c r="J2879" s="28"/>
    </row>
    <row r="2880" spans="1:10" ht="15.75" customHeight="1">
      <c r="A2880" s="28">
        <v>19102</v>
      </c>
      <c r="B2880" s="91">
        <v>45100.553240740745</v>
      </c>
      <c r="C2880" s="28" t="s">
        <v>10</v>
      </c>
      <c r="D2880" s="28" t="s">
        <v>568</v>
      </c>
      <c r="E2880" s="28" t="s">
        <v>39</v>
      </c>
      <c r="F2880" s="28">
        <v>0</v>
      </c>
      <c r="G2880" s="28" t="s">
        <v>117</v>
      </c>
      <c r="H2880" s="28">
        <v>0</v>
      </c>
      <c r="J2880" s="28"/>
    </row>
    <row r="2881" spans="1:10" ht="15.75" customHeight="1">
      <c r="A2881" s="28">
        <v>19102</v>
      </c>
      <c r="B2881" s="91">
        <v>45100.553240740745</v>
      </c>
      <c r="C2881" s="28" t="s">
        <v>10</v>
      </c>
      <c r="D2881" s="28" t="s">
        <v>568</v>
      </c>
      <c r="E2881" s="28" t="s">
        <v>39</v>
      </c>
      <c r="F2881" s="28">
        <v>25</v>
      </c>
      <c r="G2881" s="28">
        <v>100692</v>
      </c>
      <c r="H2881" s="28">
        <v>0</v>
      </c>
      <c r="J2881" s="28"/>
    </row>
    <row r="2882" spans="1:10" ht="15.75" customHeight="1">
      <c r="A2882" s="28">
        <v>19102</v>
      </c>
      <c r="B2882" s="91">
        <v>45100.553240740745</v>
      </c>
      <c r="C2882" s="28" t="s">
        <v>10</v>
      </c>
      <c r="D2882" s="28" t="s">
        <v>568</v>
      </c>
      <c r="E2882" s="28" t="s">
        <v>39</v>
      </c>
      <c r="F2882" s="28">
        <v>0</v>
      </c>
      <c r="G2882" s="28" t="s">
        <v>125</v>
      </c>
      <c r="H2882" s="28">
        <v>0</v>
      </c>
      <c r="J2882" s="28"/>
    </row>
    <row r="2883" spans="1:10" ht="15.75" customHeight="1">
      <c r="A2883" s="28">
        <v>19102</v>
      </c>
      <c r="B2883" s="91">
        <v>45100.553240740745</v>
      </c>
      <c r="C2883" s="28" t="s">
        <v>10</v>
      </c>
      <c r="D2883" s="28" t="s">
        <v>568</v>
      </c>
      <c r="E2883" s="28" t="s">
        <v>39</v>
      </c>
      <c r="F2883" s="28">
        <v>0</v>
      </c>
      <c r="G2883" s="28" t="s">
        <v>119</v>
      </c>
      <c r="H2883" s="28">
        <v>0</v>
      </c>
      <c r="J2883" s="28"/>
    </row>
    <row r="2884" spans="1:10" ht="15.75" customHeight="1">
      <c r="A2884" s="28">
        <v>19103</v>
      </c>
      <c r="B2884" s="91">
        <v>45100.60869212963</v>
      </c>
      <c r="C2884" s="28" t="s">
        <v>10</v>
      </c>
      <c r="D2884" s="28" t="s">
        <v>567</v>
      </c>
      <c r="E2884" s="28" t="s">
        <v>28</v>
      </c>
      <c r="F2884" s="28">
        <v>26</v>
      </c>
      <c r="G2884" s="28" t="s">
        <v>122</v>
      </c>
      <c r="H2884" s="28">
        <v>0</v>
      </c>
      <c r="J2884" s="28"/>
    </row>
    <row r="2885" spans="1:10" ht="15.75" customHeight="1">
      <c r="A2885" s="28">
        <v>19104</v>
      </c>
      <c r="B2885" s="91">
        <v>45100.693796296298</v>
      </c>
      <c r="C2885" s="28" t="s">
        <v>10</v>
      </c>
      <c r="D2885" s="28" t="s">
        <v>566</v>
      </c>
      <c r="E2885" s="28" t="s">
        <v>28</v>
      </c>
      <c r="F2885" s="28">
        <v>15</v>
      </c>
      <c r="G2885" s="28" t="s">
        <v>125</v>
      </c>
      <c r="H2885" s="28">
        <v>0</v>
      </c>
      <c r="J2885" s="28"/>
    </row>
    <row r="2886" spans="1:10" ht="15.75" customHeight="1">
      <c r="A2886" s="28">
        <v>19105</v>
      </c>
      <c r="B2886" s="91">
        <v>45100.706759259258</v>
      </c>
      <c r="C2886" s="28" t="s">
        <v>10</v>
      </c>
      <c r="D2886" s="28" t="s">
        <v>565</v>
      </c>
      <c r="E2886" s="28" t="s">
        <v>28</v>
      </c>
      <c r="F2886" s="28">
        <v>0</v>
      </c>
      <c r="G2886" s="28" t="s">
        <v>117</v>
      </c>
      <c r="H2886" s="28">
        <v>0</v>
      </c>
      <c r="J2886" s="28"/>
    </row>
    <row r="2887" spans="1:10" ht="15.75" customHeight="1">
      <c r="A2887" s="28">
        <v>19105</v>
      </c>
      <c r="B2887" s="91">
        <v>45100.706759259258</v>
      </c>
      <c r="C2887" s="28" t="s">
        <v>10</v>
      </c>
      <c r="D2887" s="28" t="s">
        <v>565</v>
      </c>
      <c r="E2887" s="28" t="s">
        <v>28</v>
      </c>
      <c r="F2887" s="28">
        <v>20</v>
      </c>
      <c r="G2887" s="28" t="s">
        <v>261</v>
      </c>
      <c r="H2887" s="28">
        <v>0</v>
      </c>
      <c r="J2887" s="28"/>
    </row>
    <row r="2888" spans="1:10" ht="15.75" customHeight="1">
      <c r="A2888" s="28">
        <v>19108</v>
      </c>
      <c r="B2888" s="91">
        <v>45100.872557870374</v>
      </c>
      <c r="C2888" s="28" t="s">
        <v>10</v>
      </c>
      <c r="D2888" s="28" t="s">
        <v>564</v>
      </c>
      <c r="E2888" s="28" t="s">
        <v>28</v>
      </c>
      <c r="F2888" s="28">
        <v>25</v>
      </c>
      <c r="G2888" s="28">
        <v>100692</v>
      </c>
      <c r="H2888" s="28">
        <v>0</v>
      </c>
      <c r="J2888" s="28"/>
    </row>
    <row r="2889" spans="1:10" ht="15.75" customHeight="1">
      <c r="A2889" s="28">
        <v>19108</v>
      </c>
      <c r="B2889" s="91">
        <v>45100.872557870374</v>
      </c>
      <c r="C2889" s="28" t="s">
        <v>10</v>
      </c>
      <c r="D2889" s="28" t="s">
        <v>564</v>
      </c>
      <c r="E2889" s="28" t="s">
        <v>28</v>
      </c>
      <c r="F2889" s="28">
        <v>0</v>
      </c>
      <c r="G2889" s="28" t="s">
        <v>125</v>
      </c>
      <c r="H2889" s="28">
        <v>0</v>
      </c>
      <c r="J2889" s="28"/>
    </row>
    <row r="2890" spans="1:10" ht="15.75" customHeight="1">
      <c r="A2890" s="28">
        <v>19108</v>
      </c>
      <c r="B2890" s="91">
        <v>45100.872557870374</v>
      </c>
      <c r="C2890" s="28" t="s">
        <v>10</v>
      </c>
      <c r="D2890" s="28" t="s">
        <v>564</v>
      </c>
      <c r="E2890" s="28" t="s">
        <v>28</v>
      </c>
      <c r="F2890" s="28">
        <v>0</v>
      </c>
      <c r="G2890" s="28" t="s">
        <v>119</v>
      </c>
      <c r="H2890" s="28">
        <v>0</v>
      </c>
      <c r="J2890" s="28"/>
    </row>
    <row r="2891" spans="1:10" ht="15.75" customHeight="1">
      <c r="A2891" s="28">
        <v>19109</v>
      </c>
      <c r="B2891" s="91">
        <v>45100.971250000002</v>
      </c>
      <c r="C2891" s="28" t="s">
        <v>10</v>
      </c>
      <c r="D2891" s="28" t="s">
        <v>563</v>
      </c>
      <c r="E2891" s="28" t="s">
        <v>28</v>
      </c>
      <c r="F2891" s="28">
        <v>26</v>
      </c>
      <c r="G2891" s="28" t="s">
        <v>122</v>
      </c>
      <c r="H2891" s="28">
        <v>0</v>
      </c>
      <c r="J2891" s="28"/>
    </row>
    <row r="2892" spans="1:10" ht="15.75" customHeight="1">
      <c r="A2892" s="28">
        <v>19110</v>
      </c>
      <c r="B2892" s="91">
        <v>45100.999513888892</v>
      </c>
      <c r="C2892" s="28" t="s">
        <v>52</v>
      </c>
      <c r="D2892" s="28" t="s">
        <v>562</v>
      </c>
      <c r="E2892" s="28" t="s">
        <v>28</v>
      </c>
      <c r="F2892" s="28">
        <v>15</v>
      </c>
      <c r="G2892" s="28" t="s">
        <v>139</v>
      </c>
      <c r="H2892" s="28">
        <v>0</v>
      </c>
      <c r="J2892" s="28"/>
    </row>
    <row r="2893" spans="1:10" ht="15.75" customHeight="1">
      <c r="A2893" s="28">
        <v>19115</v>
      </c>
      <c r="B2893" s="91">
        <v>45101.081678240742</v>
      </c>
      <c r="C2893" s="28" t="s">
        <v>10</v>
      </c>
      <c r="D2893" s="28" t="s">
        <v>561</v>
      </c>
      <c r="E2893" s="28" t="s">
        <v>28</v>
      </c>
      <c r="F2893" s="28">
        <v>40</v>
      </c>
      <c r="G2893" s="28" t="s">
        <v>205</v>
      </c>
      <c r="H2893" s="28">
        <v>0</v>
      </c>
      <c r="J2893" s="28"/>
    </row>
    <row r="2894" spans="1:10" ht="15.75" customHeight="1">
      <c r="A2894" s="28">
        <v>19115</v>
      </c>
      <c r="B2894" s="91">
        <v>45101.081678240742</v>
      </c>
      <c r="C2894" s="28" t="s">
        <v>10</v>
      </c>
      <c r="D2894" s="28" t="s">
        <v>561</v>
      </c>
      <c r="E2894" s="28" t="s">
        <v>28</v>
      </c>
      <c r="F2894" s="28">
        <v>0</v>
      </c>
      <c r="G2894" s="28" t="s">
        <v>125</v>
      </c>
      <c r="H2894" s="28">
        <v>0</v>
      </c>
      <c r="J2894" s="28"/>
    </row>
    <row r="2895" spans="1:10" ht="15.75" customHeight="1">
      <c r="A2895" s="28">
        <v>19115</v>
      </c>
      <c r="B2895" s="91">
        <v>45101.081678240742</v>
      </c>
      <c r="C2895" s="28" t="s">
        <v>10</v>
      </c>
      <c r="D2895" s="28" t="s">
        <v>561</v>
      </c>
      <c r="E2895" s="28" t="s">
        <v>28</v>
      </c>
      <c r="F2895" s="28">
        <v>28</v>
      </c>
      <c r="G2895" s="28" t="s">
        <v>143</v>
      </c>
      <c r="H2895" s="28">
        <v>0</v>
      </c>
      <c r="J2895" s="28"/>
    </row>
    <row r="2896" spans="1:10" ht="15.75" customHeight="1">
      <c r="A2896" s="28">
        <v>19116</v>
      </c>
      <c r="B2896" s="91">
        <v>45101.486597222218</v>
      </c>
      <c r="C2896" s="28" t="s">
        <v>10</v>
      </c>
      <c r="D2896" s="28" t="s">
        <v>560</v>
      </c>
      <c r="E2896" s="28" t="s">
        <v>28</v>
      </c>
      <c r="F2896" s="28">
        <v>25</v>
      </c>
      <c r="G2896" s="28">
        <v>100692</v>
      </c>
      <c r="H2896" s="28">
        <v>0</v>
      </c>
      <c r="J2896" s="28"/>
    </row>
    <row r="2897" spans="1:10" ht="15.75" customHeight="1">
      <c r="A2897" s="28">
        <v>19116</v>
      </c>
      <c r="B2897" s="91">
        <v>45101.486597222218</v>
      </c>
      <c r="C2897" s="28" t="s">
        <v>10</v>
      </c>
      <c r="D2897" s="28" t="s">
        <v>560</v>
      </c>
      <c r="E2897" s="28" t="s">
        <v>28</v>
      </c>
      <c r="F2897" s="28">
        <v>0</v>
      </c>
      <c r="G2897" s="28" t="s">
        <v>125</v>
      </c>
      <c r="H2897" s="28">
        <v>0</v>
      </c>
      <c r="J2897" s="28"/>
    </row>
    <row r="2898" spans="1:10" ht="15.75" customHeight="1">
      <c r="A2898" s="28">
        <v>19116</v>
      </c>
      <c r="B2898" s="91">
        <v>45101.486597222218</v>
      </c>
      <c r="C2898" s="28" t="s">
        <v>10</v>
      </c>
      <c r="D2898" s="28" t="s">
        <v>560</v>
      </c>
      <c r="E2898" s="28" t="s">
        <v>28</v>
      </c>
      <c r="F2898" s="28">
        <v>0</v>
      </c>
      <c r="G2898" s="28" t="s">
        <v>119</v>
      </c>
      <c r="H2898" s="28">
        <v>0</v>
      </c>
      <c r="J2898" s="28"/>
    </row>
    <row r="2899" spans="1:10" ht="15.75" customHeight="1">
      <c r="A2899" s="28">
        <v>19117</v>
      </c>
      <c r="B2899" s="91">
        <v>45101.491608796292</v>
      </c>
      <c r="C2899" s="28" t="s">
        <v>10</v>
      </c>
      <c r="D2899" s="28" t="s">
        <v>559</v>
      </c>
      <c r="E2899" s="28" t="s">
        <v>28</v>
      </c>
      <c r="F2899" s="28">
        <v>25</v>
      </c>
      <c r="G2899" s="28" t="s">
        <v>141</v>
      </c>
      <c r="H2899" s="28">
        <v>0</v>
      </c>
      <c r="J2899" s="28"/>
    </row>
    <row r="2900" spans="1:10" ht="15.75" customHeight="1">
      <c r="A2900" s="28">
        <v>19118</v>
      </c>
      <c r="B2900" s="91">
        <v>45101.502986111111</v>
      </c>
      <c r="C2900" s="28" t="s">
        <v>10</v>
      </c>
      <c r="D2900" s="28" t="s">
        <v>558</v>
      </c>
      <c r="E2900" s="28" t="s">
        <v>39</v>
      </c>
      <c r="F2900" s="28">
        <v>0</v>
      </c>
      <c r="G2900" s="28" t="s">
        <v>286</v>
      </c>
      <c r="H2900" s="28">
        <v>0</v>
      </c>
      <c r="J2900" s="28"/>
    </row>
    <row r="2901" spans="1:10" ht="15.75" customHeight="1">
      <c r="A2901" s="28">
        <v>19118</v>
      </c>
      <c r="B2901" s="91">
        <v>45101.502986111111</v>
      </c>
      <c r="C2901" s="28" t="s">
        <v>10</v>
      </c>
      <c r="D2901" s="28" t="s">
        <v>558</v>
      </c>
      <c r="E2901" s="28" t="s">
        <v>39</v>
      </c>
      <c r="F2901" s="28">
        <v>0</v>
      </c>
      <c r="G2901" s="28" t="s">
        <v>117</v>
      </c>
      <c r="H2901" s="28">
        <v>0</v>
      </c>
      <c r="J2901" s="28"/>
    </row>
    <row r="2902" spans="1:10" ht="15.75" customHeight="1">
      <c r="A2902" s="28">
        <v>19119</v>
      </c>
      <c r="B2902" s="91">
        <v>45101.512824074074</v>
      </c>
      <c r="C2902" s="28" t="s">
        <v>10</v>
      </c>
      <c r="D2902" s="28" t="s">
        <v>557</v>
      </c>
      <c r="E2902" s="28" t="s">
        <v>28</v>
      </c>
      <c r="F2902" s="28">
        <v>28</v>
      </c>
      <c r="G2902" s="28" t="s">
        <v>143</v>
      </c>
      <c r="H2902" s="28">
        <v>0</v>
      </c>
      <c r="J2902" s="28"/>
    </row>
    <row r="2903" spans="1:10" ht="15.75" customHeight="1">
      <c r="A2903" s="28">
        <v>19120</v>
      </c>
      <c r="B2903" s="91">
        <v>45101.515162037038</v>
      </c>
      <c r="C2903" s="28" t="s">
        <v>10</v>
      </c>
      <c r="D2903" s="28" t="s">
        <v>556</v>
      </c>
      <c r="E2903" s="28" t="s">
        <v>28</v>
      </c>
      <c r="F2903" s="28">
        <v>28</v>
      </c>
      <c r="G2903" s="28" t="s">
        <v>143</v>
      </c>
      <c r="H2903" s="28">
        <v>0</v>
      </c>
      <c r="J2903" s="28"/>
    </row>
    <row r="2904" spans="1:10" ht="15.75" customHeight="1">
      <c r="A2904" s="28">
        <v>19121</v>
      </c>
      <c r="B2904" s="91">
        <v>45101.515717592592</v>
      </c>
      <c r="C2904" s="28" t="s">
        <v>18</v>
      </c>
      <c r="D2904" s="28" t="s">
        <v>272</v>
      </c>
      <c r="E2904" s="28" t="s">
        <v>28</v>
      </c>
      <c r="F2904" s="28">
        <v>18</v>
      </c>
      <c r="G2904" s="28" t="s">
        <v>267</v>
      </c>
      <c r="H2904" s="28">
        <v>0</v>
      </c>
      <c r="J2904" s="28"/>
    </row>
    <row r="2905" spans="1:10" ht="15.75" customHeight="1">
      <c r="A2905" s="28">
        <v>19122</v>
      </c>
      <c r="B2905" s="91">
        <v>45101.521226851852</v>
      </c>
      <c r="C2905" s="28" t="s">
        <v>10</v>
      </c>
      <c r="D2905" s="28" t="s">
        <v>555</v>
      </c>
      <c r="E2905" s="28" t="s">
        <v>28</v>
      </c>
      <c r="F2905" s="28">
        <v>20</v>
      </c>
      <c r="G2905" s="28" t="s">
        <v>148</v>
      </c>
      <c r="H2905" s="28">
        <v>0</v>
      </c>
      <c r="J2905" s="28"/>
    </row>
    <row r="2906" spans="1:10" ht="15.75" customHeight="1">
      <c r="A2906" s="28">
        <v>19123</v>
      </c>
      <c r="B2906" s="91">
        <v>45101.524340277778</v>
      </c>
      <c r="C2906" s="28" t="s">
        <v>10</v>
      </c>
      <c r="D2906" s="28" t="s">
        <v>554</v>
      </c>
      <c r="E2906" s="28" t="s">
        <v>28</v>
      </c>
      <c r="F2906" s="28">
        <v>25</v>
      </c>
      <c r="G2906" s="28">
        <v>100692</v>
      </c>
      <c r="H2906" s="28">
        <v>0</v>
      </c>
      <c r="J2906" s="28"/>
    </row>
    <row r="2907" spans="1:10" ht="15.75" customHeight="1">
      <c r="A2907" s="28">
        <v>19123</v>
      </c>
      <c r="B2907" s="91">
        <v>45101.524340277778</v>
      </c>
      <c r="C2907" s="28" t="s">
        <v>10</v>
      </c>
      <c r="D2907" s="28" t="s">
        <v>554</v>
      </c>
      <c r="E2907" s="28" t="s">
        <v>28</v>
      </c>
      <c r="F2907" s="28">
        <v>0</v>
      </c>
      <c r="G2907" s="28" t="s">
        <v>125</v>
      </c>
      <c r="H2907" s="28">
        <v>0</v>
      </c>
      <c r="J2907" s="28"/>
    </row>
    <row r="2908" spans="1:10" ht="15.75" customHeight="1">
      <c r="A2908" s="28">
        <v>19123</v>
      </c>
      <c r="B2908" s="91">
        <v>45101.524340277778</v>
      </c>
      <c r="C2908" s="28" t="s">
        <v>10</v>
      </c>
      <c r="D2908" s="28" t="s">
        <v>554</v>
      </c>
      <c r="E2908" s="28" t="s">
        <v>28</v>
      </c>
      <c r="F2908" s="28">
        <v>0</v>
      </c>
      <c r="G2908" s="28" t="s">
        <v>119</v>
      </c>
      <c r="H2908" s="28">
        <v>0</v>
      </c>
      <c r="J2908" s="28"/>
    </row>
    <row r="2909" spans="1:10" ht="15.75" customHeight="1">
      <c r="A2909" s="28">
        <v>19124</v>
      </c>
      <c r="B2909" s="91">
        <v>45101.52643518518</v>
      </c>
      <c r="C2909" s="28" t="s">
        <v>10</v>
      </c>
      <c r="D2909" s="28" t="s">
        <v>553</v>
      </c>
      <c r="E2909" s="28" t="s">
        <v>28</v>
      </c>
      <c r="F2909" s="28">
        <v>18</v>
      </c>
      <c r="G2909" s="28" t="s">
        <v>119</v>
      </c>
      <c r="H2909" s="28">
        <v>0</v>
      </c>
      <c r="J2909" s="28"/>
    </row>
    <row r="2910" spans="1:10" ht="15.75" customHeight="1">
      <c r="A2910" s="28">
        <v>19125</v>
      </c>
      <c r="B2910" s="91">
        <v>45101.527743055558</v>
      </c>
      <c r="C2910" s="28" t="s">
        <v>10</v>
      </c>
      <c r="D2910" s="28" t="s">
        <v>552</v>
      </c>
      <c r="E2910" s="28" t="s">
        <v>28</v>
      </c>
      <c r="F2910" s="28">
        <v>22</v>
      </c>
      <c r="G2910" s="28" t="s">
        <v>137</v>
      </c>
      <c r="H2910" s="28">
        <v>0</v>
      </c>
      <c r="J2910" s="28"/>
    </row>
    <row r="2911" spans="1:10" ht="15.75" customHeight="1">
      <c r="A2911" s="28">
        <v>19125</v>
      </c>
      <c r="B2911" s="91">
        <v>45101.527743055558</v>
      </c>
      <c r="C2911" s="28" t="s">
        <v>10</v>
      </c>
      <c r="D2911" s="28" t="s">
        <v>552</v>
      </c>
      <c r="E2911" s="28" t="s">
        <v>28</v>
      </c>
      <c r="F2911" s="28">
        <v>0</v>
      </c>
      <c r="G2911" s="28" t="s">
        <v>117</v>
      </c>
      <c r="H2911" s="28">
        <v>0</v>
      </c>
      <c r="J2911" s="28"/>
    </row>
    <row r="2912" spans="1:10" ht="15.75" customHeight="1">
      <c r="A2912" s="28">
        <v>19125</v>
      </c>
      <c r="B2912" s="91">
        <v>45101.527743055558</v>
      </c>
      <c r="C2912" s="28" t="s">
        <v>10</v>
      </c>
      <c r="D2912" s="28" t="s">
        <v>552</v>
      </c>
      <c r="E2912" s="28" t="s">
        <v>28</v>
      </c>
      <c r="F2912" s="28">
        <v>26</v>
      </c>
      <c r="G2912" s="28" t="s">
        <v>122</v>
      </c>
      <c r="H2912" s="28">
        <v>0</v>
      </c>
      <c r="J2912" s="28"/>
    </row>
    <row r="2913" spans="1:10" ht="15.75" customHeight="1">
      <c r="A2913" s="28">
        <v>19126</v>
      </c>
      <c r="B2913" s="91">
        <v>45101.529548611114</v>
      </c>
      <c r="C2913" s="28" t="s">
        <v>10</v>
      </c>
      <c r="D2913" s="28" t="s">
        <v>551</v>
      </c>
      <c r="E2913" s="28" t="s">
        <v>28</v>
      </c>
      <c r="F2913" s="28">
        <v>25</v>
      </c>
      <c r="G2913" s="28" t="s">
        <v>120</v>
      </c>
      <c r="H2913" s="28">
        <v>0</v>
      </c>
      <c r="J2913" s="28"/>
    </row>
    <row r="2914" spans="1:10" ht="15.75" customHeight="1">
      <c r="A2914" s="28">
        <v>19127</v>
      </c>
      <c r="B2914" s="91">
        <v>45101.531180555554</v>
      </c>
      <c r="C2914" s="28" t="s">
        <v>10</v>
      </c>
      <c r="D2914" s="28" t="s">
        <v>550</v>
      </c>
      <c r="E2914" s="28" t="s">
        <v>39</v>
      </c>
      <c r="F2914" s="28">
        <v>25</v>
      </c>
      <c r="G2914" s="28">
        <v>100692</v>
      </c>
      <c r="H2914" s="28">
        <v>0</v>
      </c>
      <c r="J2914" s="28"/>
    </row>
    <row r="2915" spans="1:10" ht="15.75" customHeight="1">
      <c r="A2915" s="28">
        <v>19127</v>
      </c>
      <c r="B2915" s="91">
        <v>45101.531180555554</v>
      </c>
      <c r="C2915" s="28" t="s">
        <v>10</v>
      </c>
      <c r="D2915" s="28" t="s">
        <v>550</v>
      </c>
      <c r="E2915" s="28" t="s">
        <v>39</v>
      </c>
      <c r="F2915" s="28">
        <v>0</v>
      </c>
      <c r="G2915" s="28" t="s">
        <v>125</v>
      </c>
      <c r="H2915" s="28">
        <v>0</v>
      </c>
      <c r="J2915" s="28"/>
    </row>
    <row r="2916" spans="1:10" ht="15.75" customHeight="1">
      <c r="A2916" s="28">
        <v>19127</v>
      </c>
      <c r="B2916" s="91">
        <v>45101.531180555554</v>
      </c>
      <c r="C2916" s="28" t="s">
        <v>10</v>
      </c>
      <c r="D2916" s="28" t="s">
        <v>550</v>
      </c>
      <c r="E2916" s="28" t="s">
        <v>39</v>
      </c>
      <c r="F2916" s="28">
        <v>0</v>
      </c>
      <c r="G2916" s="28" t="s">
        <v>119</v>
      </c>
      <c r="H2916" s="28">
        <v>0</v>
      </c>
      <c r="J2916" s="28"/>
    </row>
    <row r="2917" spans="1:10" ht="15.75" customHeight="1">
      <c r="A2917" s="28">
        <v>19128</v>
      </c>
      <c r="B2917" s="91">
        <v>45101.533425925925</v>
      </c>
      <c r="C2917" s="28" t="s">
        <v>10</v>
      </c>
      <c r="D2917" s="28" t="s">
        <v>549</v>
      </c>
      <c r="E2917" s="28" t="s">
        <v>28</v>
      </c>
      <c r="F2917" s="28">
        <v>35</v>
      </c>
      <c r="G2917" s="28" t="s">
        <v>124</v>
      </c>
      <c r="H2917" s="28">
        <v>0</v>
      </c>
      <c r="J2917" s="28"/>
    </row>
    <row r="2918" spans="1:10" ht="15.75" customHeight="1">
      <c r="A2918" s="28">
        <v>19128</v>
      </c>
      <c r="B2918" s="91">
        <v>45101.533425925925</v>
      </c>
      <c r="C2918" s="28" t="s">
        <v>10</v>
      </c>
      <c r="D2918" s="28" t="s">
        <v>549</v>
      </c>
      <c r="E2918" s="28" t="s">
        <v>28</v>
      </c>
      <c r="F2918" s="28">
        <v>0</v>
      </c>
      <c r="G2918" s="28" t="s">
        <v>125</v>
      </c>
      <c r="H2918" s="28">
        <v>0</v>
      </c>
      <c r="J2918" s="28"/>
    </row>
    <row r="2919" spans="1:10" ht="15.75" customHeight="1">
      <c r="A2919" s="28">
        <v>19128</v>
      </c>
      <c r="B2919" s="91">
        <v>45101.533425925925</v>
      </c>
      <c r="C2919" s="28" t="s">
        <v>10</v>
      </c>
      <c r="D2919" s="28" t="s">
        <v>549</v>
      </c>
      <c r="E2919" s="28" t="s">
        <v>28</v>
      </c>
      <c r="F2919" s="28">
        <v>0</v>
      </c>
      <c r="G2919" s="28" t="s">
        <v>119</v>
      </c>
      <c r="H2919" s="28">
        <v>0</v>
      </c>
      <c r="J2919" s="28"/>
    </row>
    <row r="2920" spans="1:10" ht="15.75" customHeight="1">
      <c r="A2920" s="28">
        <v>19128</v>
      </c>
      <c r="B2920" s="91">
        <v>45101.533425925925</v>
      </c>
      <c r="C2920" s="28" t="s">
        <v>10</v>
      </c>
      <c r="D2920" s="28" t="s">
        <v>549</v>
      </c>
      <c r="E2920" s="28" t="s">
        <v>28</v>
      </c>
      <c r="F2920" s="28">
        <v>0</v>
      </c>
      <c r="G2920" s="28" t="s">
        <v>121</v>
      </c>
      <c r="H2920" s="28">
        <v>0</v>
      </c>
      <c r="J2920" s="28"/>
    </row>
    <row r="2921" spans="1:10" ht="15.75" customHeight="1">
      <c r="A2921" s="28">
        <v>19129</v>
      </c>
      <c r="B2921" s="91">
        <v>45101.534131944441</v>
      </c>
      <c r="C2921" s="28" t="s">
        <v>10</v>
      </c>
      <c r="D2921" s="28" t="s">
        <v>548</v>
      </c>
      <c r="E2921" s="28" t="s">
        <v>28</v>
      </c>
      <c r="F2921" s="28">
        <v>0</v>
      </c>
      <c r="G2921" s="28" t="s">
        <v>117</v>
      </c>
      <c r="H2921" s="28">
        <v>0</v>
      </c>
      <c r="J2921" s="28"/>
    </row>
    <row r="2922" spans="1:10" ht="15.75" customHeight="1">
      <c r="A2922" s="28">
        <v>19129</v>
      </c>
      <c r="B2922" s="91">
        <v>45101.534131944441</v>
      </c>
      <c r="C2922" s="28" t="s">
        <v>10</v>
      </c>
      <c r="D2922" s="28" t="s">
        <v>548</v>
      </c>
      <c r="E2922" s="28" t="s">
        <v>28</v>
      </c>
      <c r="F2922" s="28">
        <v>25</v>
      </c>
      <c r="G2922" s="28">
        <v>100692</v>
      </c>
      <c r="H2922" s="28">
        <v>0</v>
      </c>
      <c r="J2922" s="28"/>
    </row>
    <row r="2923" spans="1:10" ht="15.75" customHeight="1">
      <c r="A2923" s="28">
        <v>19129</v>
      </c>
      <c r="B2923" s="91">
        <v>45101.534131944441</v>
      </c>
      <c r="C2923" s="28" t="s">
        <v>10</v>
      </c>
      <c r="D2923" s="28" t="s">
        <v>548</v>
      </c>
      <c r="E2923" s="28" t="s">
        <v>28</v>
      </c>
      <c r="F2923" s="28">
        <v>0</v>
      </c>
      <c r="G2923" s="28" t="s">
        <v>125</v>
      </c>
      <c r="H2923" s="28">
        <v>0</v>
      </c>
      <c r="J2923" s="28"/>
    </row>
    <row r="2924" spans="1:10" ht="15.75" customHeight="1">
      <c r="A2924" s="28">
        <v>19129</v>
      </c>
      <c r="B2924" s="91">
        <v>45101.534131944441</v>
      </c>
      <c r="C2924" s="28" t="s">
        <v>10</v>
      </c>
      <c r="D2924" s="28" t="s">
        <v>548</v>
      </c>
      <c r="E2924" s="28" t="s">
        <v>28</v>
      </c>
      <c r="F2924" s="28">
        <v>0</v>
      </c>
      <c r="G2924" s="28" t="s">
        <v>119</v>
      </c>
      <c r="H2924" s="28">
        <v>0</v>
      </c>
      <c r="J2924" s="28"/>
    </row>
    <row r="2925" spans="1:10" ht="15.75" customHeight="1">
      <c r="A2925" s="28">
        <v>19130</v>
      </c>
      <c r="B2925" s="91">
        <v>45101.536296296297</v>
      </c>
      <c r="C2925" s="28" t="s">
        <v>10</v>
      </c>
      <c r="D2925" s="28" t="s">
        <v>547</v>
      </c>
      <c r="E2925" s="28" t="s">
        <v>28</v>
      </c>
      <c r="F2925" s="28">
        <v>20</v>
      </c>
      <c r="G2925" s="28" t="s">
        <v>205</v>
      </c>
      <c r="H2925" s="28">
        <v>0</v>
      </c>
      <c r="J2925" s="28"/>
    </row>
    <row r="2926" spans="1:10" ht="15.75" customHeight="1">
      <c r="A2926" s="28">
        <v>19130</v>
      </c>
      <c r="B2926" s="91">
        <v>45101.536296296297</v>
      </c>
      <c r="C2926" s="28" t="s">
        <v>10</v>
      </c>
      <c r="D2926" s="28" t="s">
        <v>547</v>
      </c>
      <c r="E2926" s="28" t="s">
        <v>28</v>
      </c>
      <c r="F2926" s="28">
        <v>0</v>
      </c>
      <c r="G2926" s="28" t="s">
        <v>125</v>
      </c>
      <c r="H2926" s="28">
        <v>0</v>
      </c>
      <c r="J2926" s="28"/>
    </row>
    <row r="2927" spans="1:10" ht="15.75" customHeight="1">
      <c r="A2927" s="28">
        <v>19131</v>
      </c>
      <c r="B2927" s="91">
        <v>45101.538761574076</v>
      </c>
      <c r="C2927" s="28" t="s">
        <v>10</v>
      </c>
      <c r="D2927" s="28" t="s">
        <v>546</v>
      </c>
      <c r="E2927" s="28" t="s">
        <v>39</v>
      </c>
      <c r="F2927" s="28">
        <v>18</v>
      </c>
      <c r="G2927" s="28" t="s">
        <v>119</v>
      </c>
      <c r="H2927" s="28">
        <v>0</v>
      </c>
      <c r="J2927" s="28"/>
    </row>
    <row r="2928" spans="1:10" ht="15.75" customHeight="1">
      <c r="A2928" s="28">
        <v>19131</v>
      </c>
      <c r="B2928" s="91">
        <v>45101.538761574076</v>
      </c>
      <c r="C2928" s="28" t="s">
        <v>10</v>
      </c>
      <c r="D2928" s="28" t="s">
        <v>546</v>
      </c>
      <c r="E2928" s="28" t="s">
        <v>39</v>
      </c>
      <c r="F2928" s="28">
        <v>15</v>
      </c>
      <c r="G2928" s="28" t="s">
        <v>139</v>
      </c>
      <c r="H2928" s="28">
        <v>0</v>
      </c>
      <c r="J2928" s="28"/>
    </row>
    <row r="2929" spans="1:10" ht="15.75" customHeight="1">
      <c r="A2929" s="28">
        <v>19132</v>
      </c>
      <c r="B2929" s="91">
        <v>45101.538923611108</v>
      </c>
      <c r="C2929" s="28" t="s">
        <v>10</v>
      </c>
      <c r="D2929" s="28" t="s">
        <v>545</v>
      </c>
      <c r="E2929" s="28" t="s">
        <v>39</v>
      </c>
      <c r="F2929" s="28">
        <v>25</v>
      </c>
      <c r="G2929" s="28">
        <v>100692</v>
      </c>
      <c r="H2929" s="28">
        <v>0</v>
      </c>
      <c r="J2929" s="28"/>
    </row>
    <row r="2930" spans="1:10" ht="15.75" customHeight="1">
      <c r="A2930" s="28">
        <v>19132</v>
      </c>
      <c r="B2930" s="91">
        <v>45101.538923611108</v>
      </c>
      <c r="C2930" s="28" t="s">
        <v>10</v>
      </c>
      <c r="D2930" s="28" t="s">
        <v>545</v>
      </c>
      <c r="E2930" s="28" t="s">
        <v>39</v>
      </c>
      <c r="F2930" s="28">
        <v>0</v>
      </c>
      <c r="G2930" s="28" t="s">
        <v>125</v>
      </c>
      <c r="H2930" s="28">
        <v>0</v>
      </c>
      <c r="J2930" s="28"/>
    </row>
    <row r="2931" spans="1:10" ht="15.75" customHeight="1">
      <c r="A2931" s="28">
        <v>19132</v>
      </c>
      <c r="B2931" s="91">
        <v>45101.538923611108</v>
      </c>
      <c r="C2931" s="28" t="s">
        <v>10</v>
      </c>
      <c r="D2931" s="28" t="s">
        <v>545</v>
      </c>
      <c r="E2931" s="28" t="s">
        <v>39</v>
      </c>
      <c r="F2931" s="28">
        <v>0</v>
      </c>
      <c r="G2931" s="28" t="s">
        <v>119</v>
      </c>
      <c r="H2931" s="28">
        <v>0</v>
      </c>
      <c r="J2931" s="28"/>
    </row>
    <row r="2932" spans="1:10" ht="15.75" customHeight="1">
      <c r="A2932" s="28">
        <v>19133</v>
      </c>
      <c r="B2932" s="91">
        <v>45101.539837962962</v>
      </c>
      <c r="C2932" s="28" t="s">
        <v>10</v>
      </c>
      <c r="D2932" s="28" t="s">
        <v>544</v>
      </c>
      <c r="E2932" s="28" t="s">
        <v>28</v>
      </c>
      <c r="F2932" s="28">
        <v>0</v>
      </c>
      <c r="G2932" s="28" t="s">
        <v>117</v>
      </c>
      <c r="H2932" s="28">
        <v>0</v>
      </c>
      <c r="J2932" s="28"/>
    </row>
    <row r="2933" spans="1:10" ht="15.75" customHeight="1">
      <c r="A2933" s="28">
        <v>19133</v>
      </c>
      <c r="B2933" s="91">
        <v>45101.539837962962</v>
      </c>
      <c r="C2933" s="28" t="s">
        <v>10</v>
      </c>
      <c r="D2933" s="28" t="s">
        <v>544</v>
      </c>
      <c r="E2933" s="28" t="s">
        <v>28</v>
      </c>
      <c r="F2933" s="28">
        <v>25</v>
      </c>
      <c r="G2933" s="28">
        <v>100692</v>
      </c>
      <c r="H2933" s="28">
        <v>0</v>
      </c>
      <c r="J2933" s="28"/>
    </row>
    <row r="2934" spans="1:10" ht="15.75" customHeight="1">
      <c r="A2934" s="28">
        <v>19133</v>
      </c>
      <c r="B2934" s="91">
        <v>45101.539837962962</v>
      </c>
      <c r="C2934" s="28" t="s">
        <v>10</v>
      </c>
      <c r="D2934" s="28" t="s">
        <v>544</v>
      </c>
      <c r="E2934" s="28" t="s">
        <v>28</v>
      </c>
      <c r="F2934" s="28">
        <v>0</v>
      </c>
      <c r="G2934" s="28" t="s">
        <v>125</v>
      </c>
      <c r="H2934" s="28">
        <v>0</v>
      </c>
      <c r="J2934" s="28"/>
    </row>
    <row r="2935" spans="1:10" ht="15.75" customHeight="1">
      <c r="A2935" s="28">
        <v>19133</v>
      </c>
      <c r="B2935" s="91">
        <v>45101.539837962962</v>
      </c>
      <c r="C2935" s="28" t="s">
        <v>10</v>
      </c>
      <c r="D2935" s="28" t="s">
        <v>544</v>
      </c>
      <c r="E2935" s="28" t="s">
        <v>28</v>
      </c>
      <c r="F2935" s="28">
        <v>0</v>
      </c>
      <c r="G2935" s="28" t="s">
        <v>119</v>
      </c>
      <c r="H2935" s="28">
        <v>0</v>
      </c>
      <c r="J2935" s="28"/>
    </row>
    <row r="2936" spans="1:10" ht="15.75" customHeight="1">
      <c r="A2936" s="28">
        <v>19134</v>
      </c>
      <c r="B2936" s="91">
        <v>45101.548148148147</v>
      </c>
      <c r="C2936" s="28" t="s">
        <v>10</v>
      </c>
      <c r="D2936" s="28" t="s">
        <v>543</v>
      </c>
      <c r="E2936" s="28" t="s">
        <v>28</v>
      </c>
      <c r="F2936" s="28">
        <v>25</v>
      </c>
      <c r="G2936" s="28" t="s">
        <v>120</v>
      </c>
      <c r="H2936" s="28">
        <v>0</v>
      </c>
      <c r="J2936" s="28"/>
    </row>
    <row r="2937" spans="1:10" ht="15.75" customHeight="1">
      <c r="A2937" s="28">
        <v>19135</v>
      </c>
      <c r="B2937" s="91">
        <v>45101.566469907411</v>
      </c>
      <c r="C2937" s="28" t="s">
        <v>10</v>
      </c>
      <c r="D2937" s="28" t="s">
        <v>542</v>
      </c>
      <c r="E2937" s="28" t="s">
        <v>28</v>
      </c>
      <c r="F2937" s="28">
        <v>20</v>
      </c>
      <c r="G2937" s="28" t="s">
        <v>148</v>
      </c>
      <c r="H2937" s="28">
        <v>0</v>
      </c>
      <c r="J2937" s="28"/>
    </row>
    <row r="2938" spans="1:10" ht="15.75" customHeight="1">
      <c r="A2938" s="28">
        <v>19136</v>
      </c>
      <c r="B2938" s="91">
        <v>45101.56930555556</v>
      </c>
      <c r="C2938" s="28" t="s">
        <v>10</v>
      </c>
      <c r="D2938" s="28" t="s">
        <v>541</v>
      </c>
      <c r="E2938" s="28" t="s">
        <v>28</v>
      </c>
      <c r="F2938" s="28">
        <v>20</v>
      </c>
      <c r="G2938" s="28" t="s">
        <v>148</v>
      </c>
      <c r="H2938" s="28">
        <v>0</v>
      </c>
      <c r="J2938" s="28"/>
    </row>
    <row r="2939" spans="1:10" ht="15.75" customHeight="1">
      <c r="A2939" s="28">
        <v>19137</v>
      </c>
      <c r="B2939" s="91">
        <v>45101.595613425925</v>
      </c>
      <c r="C2939" s="28" t="s">
        <v>10</v>
      </c>
      <c r="D2939" s="28" t="s">
        <v>540</v>
      </c>
      <c r="E2939" s="28" t="s">
        <v>28</v>
      </c>
      <c r="F2939" s="28">
        <v>25</v>
      </c>
      <c r="G2939" s="28" t="s">
        <v>120</v>
      </c>
      <c r="H2939" s="28">
        <v>0</v>
      </c>
      <c r="J2939" s="28"/>
    </row>
    <row r="2940" spans="1:10" ht="15.75" customHeight="1">
      <c r="A2940" s="28">
        <v>19138</v>
      </c>
      <c r="B2940" s="91">
        <v>45101.607824074075</v>
      </c>
      <c r="C2940" s="28" t="s">
        <v>10</v>
      </c>
      <c r="D2940" s="28" t="s">
        <v>539</v>
      </c>
      <c r="E2940" s="28" t="s">
        <v>28</v>
      </c>
      <c r="F2940" s="28">
        <v>28</v>
      </c>
      <c r="G2940" s="28" t="s">
        <v>143</v>
      </c>
      <c r="H2940" s="28">
        <v>0</v>
      </c>
      <c r="J2940" s="28"/>
    </row>
    <row r="2941" spans="1:10" ht="15.75" customHeight="1">
      <c r="A2941" s="28">
        <v>19139</v>
      </c>
      <c r="B2941" s="91">
        <v>45101.614328703705</v>
      </c>
      <c r="C2941" s="28" t="s">
        <v>10</v>
      </c>
      <c r="D2941" s="28" t="s">
        <v>538</v>
      </c>
      <c r="E2941" s="28" t="s">
        <v>28</v>
      </c>
      <c r="F2941" s="28">
        <v>25</v>
      </c>
      <c r="G2941" s="28">
        <v>100692</v>
      </c>
      <c r="H2941" s="28">
        <v>0</v>
      </c>
      <c r="J2941" s="28"/>
    </row>
    <row r="2942" spans="1:10" ht="15.75" customHeight="1">
      <c r="A2942" s="28">
        <v>19139</v>
      </c>
      <c r="B2942" s="91">
        <v>45101.614328703705</v>
      </c>
      <c r="C2942" s="28" t="s">
        <v>10</v>
      </c>
      <c r="D2942" s="28" t="s">
        <v>538</v>
      </c>
      <c r="E2942" s="28" t="s">
        <v>28</v>
      </c>
      <c r="F2942" s="28">
        <v>0</v>
      </c>
      <c r="G2942" s="28" t="s">
        <v>125</v>
      </c>
      <c r="H2942" s="28">
        <v>0</v>
      </c>
      <c r="J2942" s="28"/>
    </row>
    <row r="2943" spans="1:10" ht="15.75" customHeight="1">
      <c r="A2943" s="28">
        <v>19139</v>
      </c>
      <c r="B2943" s="91">
        <v>45101.614328703705</v>
      </c>
      <c r="C2943" s="28" t="s">
        <v>10</v>
      </c>
      <c r="D2943" s="28" t="s">
        <v>538</v>
      </c>
      <c r="E2943" s="28" t="s">
        <v>28</v>
      </c>
      <c r="F2943" s="28">
        <v>0</v>
      </c>
      <c r="G2943" s="28" t="s">
        <v>119</v>
      </c>
      <c r="H2943" s="28">
        <v>0</v>
      </c>
      <c r="J2943" s="28"/>
    </row>
    <row r="2944" spans="1:10" ht="15.75" customHeight="1">
      <c r="A2944" s="28">
        <v>19140</v>
      </c>
      <c r="B2944" s="91">
        <v>45101.618425925924</v>
      </c>
      <c r="C2944" s="28" t="s">
        <v>10</v>
      </c>
      <c r="D2944" s="28" t="s">
        <v>537</v>
      </c>
      <c r="E2944" s="28" t="s">
        <v>28</v>
      </c>
      <c r="F2944" s="28">
        <v>0</v>
      </c>
      <c r="G2944" s="28" t="s">
        <v>117</v>
      </c>
      <c r="H2944" s="28">
        <v>0</v>
      </c>
      <c r="J2944" s="28"/>
    </row>
    <row r="2945" spans="1:10" ht="15.75" customHeight="1">
      <c r="A2945" s="28">
        <v>19140</v>
      </c>
      <c r="B2945" s="91">
        <v>45101.618425925924</v>
      </c>
      <c r="C2945" s="28" t="s">
        <v>10</v>
      </c>
      <c r="D2945" s="28" t="s">
        <v>537</v>
      </c>
      <c r="E2945" s="28" t="s">
        <v>28</v>
      </c>
      <c r="F2945" s="28">
        <v>0</v>
      </c>
      <c r="G2945" s="28" t="s">
        <v>286</v>
      </c>
      <c r="H2945" s="28">
        <v>0</v>
      </c>
      <c r="J2945" s="28"/>
    </row>
    <row r="2946" spans="1:10" ht="15.75" customHeight="1">
      <c r="A2946" s="28">
        <v>19141</v>
      </c>
      <c r="B2946" s="91">
        <v>45101.628553240742</v>
      </c>
      <c r="C2946" s="28" t="s">
        <v>10</v>
      </c>
      <c r="D2946" s="28" t="s">
        <v>536</v>
      </c>
      <c r="E2946" s="28" t="s">
        <v>28</v>
      </c>
      <c r="F2946" s="28">
        <v>25</v>
      </c>
      <c r="G2946" s="28">
        <v>100692</v>
      </c>
      <c r="H2946" s="28">
        <v>0</v>
      </c>
      <c r="J2946" s="28"/>
    </row>
    <row r="2947" spans="1:10" ht="15.75" customHeight="1">
      <c r="A2947" s="28">
        <v>19141</v>
      </c>
      <c r="B2947" s="91">
        <v>45101.628553240742</v>
      </c>
      <c r="C2947" s="28" t="s">
        <v>10</v>
      </c>
      <c r="D2947" s="28" t="s">
        <v>536</v>
      </c>
      <c r="E2947" s="28" t="s">
        <v>28</v>
      </c>
      <c r="F2947" s="28">
        <v>0</v>
      </c>
      <c r="G2947" s="28" t="s">
        <v>125</v>
      </c>
      <c r="H2947" s="28">
        <v>0</v>
      </c>
      <c r="J2947" s="28"/>
    </row>
    <row r="2948" spans="1:10" ht="15.75" customHeight="1">
      <c r="A2948" s="28">
        <v>19141</v>
      </c>
      <c r="B2948" s="91">
        <v>45101.628553240742</v>
      </c>
      <c r="C2948" s="28" t="s">
        <v>10</v>
      </c>
      <c r="D2948" s="28" t="s">
        <v>536</v>
      </c>
      <c r="E2948" s="28" t="s">
        <v>28</v>
      </c>
      <c r="F2948" s="28">
        <v>0</v>
      </c>
      <c r="G2948" s="28" t="s">
        <v>119</v>
      </c>
      <c r="H2948" s="28">
        <v>0</v>
      </c>
      <c r="J2948" s="28"/>
    </row>
    <row r="2949" spans="1:10" ht="15.75" customHeight="1">
      <c r="A2949" s="28">
        <v>19142</v>
      </c>
      <c r="B2949" s="91">
        <v>45101.629537037035</v>
      </c>
      <c r="C2949" s="28" t="s">
        <v>10</v>
      </c>
      <c r="D2949" s="28" t="s">
        <v>535</v>
      </c>
      <c r="E2949" s="28" t="s">
        <v>28</v>
      </c>
      <c r="F2949" s="28">
        <v>25</v>
      </c>
      <c r="G2949" s="28">
        <v>100692</v>
      </c>
      <c r="H2949" s="28">
        <v>0</v>
      </c>
      <c r="J2949" s="28"/>
    </row>
    <row r="2950" spans="1:10" ht="15.75" customHeight="1">
      <c r="A2950" s="28">
        <v>19142</v>
      </c>
      <c r="B2950" s="91">
        <v>45101.629537037035</v>
      </c>
      <c r="C2950" s="28" t="s">
        <v>10</v>
      </c>
      <c r="D2950" s="28" t="s">
        <v>535</v>
      </c>
      <c r="E2950" s="28" t="s">
        <v>28</v>
      </c>
      <c r="F2950" s="28">
        <v>0</v>
      </c>
      <c r="G2950" s="28" t="s">
        <v>125</v>
      </c>
      <c r="H2950" s="28">
        <v>0</v>
      </c>
      <c r="J2950" s="28"/>
    </row>
    <row r="2951" spans="1:10" ht="15.75" customHeight="1">
      <c r="A2951" s="28">
        <v>19142</v>
      </c>
      <c r="B2951" s="91">
        <v>45101.629537037035</v>
      </c>
      <c r="C2951" s="28" t="s">
        <v>10</v>
      </c>
      <c r="D2951" s="28" t="s">
        <v>535</v>
      </c>
      <c r="E2951" s="28" t="s">
        <v>28</v>
      </c>
      <c r="F2951" s="28">
        <v>0</v>
      </c>
      <c r="G2951" s="28" t="s">
        <v>119</v>
      </c>
      <c r="H2951" s="28">
        <v>0</v>
      </c>
      <c r="J2951" s="28"/>
    </row>
    <row r="2952" spans="1:10" ht="15.75" customHeight="1">
      <c r="A2952" s="28">
        <v>19143</v>
      </c>
      <c r="B2952" s="91">
        <v>45101.6330787037</v>
      </c>
      <c r="C2952" s="28" t="s">
        <v>10</v>
      </c>
      <c r="D2952" s="28" t="s">
        <v>226</v>
      </c>
      <c r="E2952" s="28" t="s">
        <v>28</v>
      </c>
      <c r="F2952" s="28">
        <v>25</v>
      </c>
      <c r="G2952" s="28">
        <v>100692</v>
      </c>
      <c r="H2952" s="28">
        <v>0</v>
      </c>
      <c r="J2952" s="28"/>
    </row>
    <row r="2953" spans="1:10" ht="15.75" customHeight="1">
      <c r="A2953" s="28">
        <v>19143</v>
      </c>
      <c r="B2953" s="91">
        <v>45101.6330787037</v>
      </c>
      <c r="C2953" s="28" t="s">
        <v>10</v>
      </c>
      <c r="D2953" s="28" t="s">
        <v>226</v>
      </c>
      <c r="E2953" s="28" t="s">
        <v>28</v>
      </c>
      <c r="F2953" s="28">
        <v>0</v>
      </c>
      <c r="G2953" s="28" t="s">
        <v>125</v>
      </c>
      <c r="H2953" s="28">
        <v>0</v>
      </c>
      <c r="J2953" s="28"/>
    </row>
    <row r="2954" spans="1:10" ht="15.75" customHeight="1">
      <c r="A2954" s="28">
        <v>19143</v>
      </c>
      <c r="B2954" s="91">
        <v>45101.6330787037</v>
      </c>
      <c r="C2954" s="28" t="s">
        <v>10</v>
      </c>
      <c r="D2954" s="28" t="s">
        <v>226</v>
      </c>
      <c r="E2954" s="28" t="s">
        <v>28</v>
      </c>
      <c r="F2954" s="28">
        <v>0</v>
      </c>
      <c r="G2954" s="28" t="s">
        <v>119</v>
      </c>
      <c r="H2954" s="28">
        <v>0</v>
      </c>
      <c r="J2954" s="28"/>
    </row>
    <row r="2955" spans="1:10" ht="15.75" customHeight="1">
      <c r="A2955" s="28">
        <v>19144</v>
      </c>
      <c r="B2955" s="91">
        <v>45101.633263888885</v>
      </c>
      <c r="C2955" s="28" t="s">
        <v>52</v>
      </c>
      <c r="D2955" s="28" t="s">
        <v>534</v>
      </c>
      <c r="E2955" s="28" t="s">
        <v>28</v>
      </c>
      <c r="F2955" s="28">
        <v>22</v>
      </c>
      <c r="G2955" s="28" t="s">
        <v>137</v>
      </c>
      <c r="H2955" s="28">
        <v>0</v>
      </c>
      <c r="J2955" s="28"/>
    </row>
    <row r="2956" spans="1:10" ht="15.75" customHeight="1">
      <c r="A2956" s="28">
        <v>19145</v>
      </c>
      <c r="B2956" s="91">
        <v>45101.638668981483</v>
      </c>
      <c r="C2956" s="28" t="s">
        <v>10</v>
      </c>
      <c r="D2956" s="28" t="s">
        <v>533</v>
      </c>
      <c r="E2956" s="28" t="s">
        <v>28</v>
      </c>
      <c r="F2956" s="28">
        <v>22</v>
      </c>
      <c r="G2956" s="28" t="s">
        <v>137</v>
      </c>
      <c r="H2956" s="28">
        <v>0</v>
      </c>
      <c r="J2956" s="28"/>
    </row>
    <row r="2957" spans="1:10" ht="15.75" customHeight="1">
      <c r="A2957" s="28">
        <v>19146</v>
      </c>
      <c r="B2957" s="91">
        <v>45101.642268518517</v>
      </c>
      <c r="C2957" s="28" t="s">
        <v>10</v>
      </c>
      <c r="D2957" s="28" t="s">
        <v>532</v>
      </c>
      <c r="E2957" s="28" t="s">
        <v>28</v>
      </c>
      <c r="F2957" s="28">
        <v>30</v>
      </c>
      <c r="G2957" s="28" t="s">
        <v>125</v>
      </c>
      <c r="H2957" s="28">
        <v>0</v>
      </c>
      <c r="J2957" s="28"/>
    </row>
    <row r="2958" spans="1:10" ht="15.75" customHeight="1">
      <c r="A2958" s="28">
        <v>19147</v>
      </c>
      <c r="B2958" s="91">
        <v>45101.643842592588</v>
      </c>
      <c r="C2958" s="28" t="s">
        <v>10</v>
      </c>
      <c r="D2958" s="28" t="s">
        <v>531</v>
      </c>
      <c r="E2958" s="28" t="s">
        <v>28</v>
      </c>
      <c r="F2958" s="28">
        <v>0</v>
      </c>
      <c r="G2958" s="28" t="s">
        <v>286</v>
      </c>
      <c r="H2958" s="28">
        <v>0</v>
      </c>
      <c r="J2958" s="28"/>
    </row>
    <row r="2959" spans="1:10" ht="15.75" customHeight="1">
      <c r="A2959" s="28">
        <v>19148</v>
      </c>
      <c r="B2959" s="91">
        <v>45101.647187499999</v>
      </c>
      <c r="C2959" s="28" t="s">
        <v>10</v>
      </c>
      <c r="D2959" s="28" t="s">
        <v>502</v>
      </c>
      <c r="E2959" s="28" t="s">
        <v>28</v>
      </c>
      <c r="F2959" s="28">
        <v>18</v>
      </c>
      <c r="G2959" s="28" t="s">
        <v>119</v>
      </c>
      <c r="H2959" s="28">
        <v>0</v>
      </c>
      <c r="J2959" s="28"/>
    </row>
    <row r="2960" spans="1:10" ht="15.75" customHeight="1">
      <c r="A2960" s="28">
        <v>19149</v>
      </c>
      <c r="B2960" s="91">
        <v>45101.648483796293</v>
      </c>
      <c r="C2960" s="28" t="s">
        <v>10</v>
      </c>
      <c r="D2960" s="28" t="s">
        <v>530</v>
      </c>
      <c r="E2960" s="28" t="s">
        <v>28</v>
      </c>
      <c r="F2960" s="28">
        <v>18</v>
      </c>
      <c r="G2960" s="28" t="s">
        <v>119</v>
      </c>
      <c r="H2960" s="28">
        <v>0</v>
      </c>
      <c r="J2960" s="28"/>
    </row>
    <row r="2961" spans="1:10" ht="15.75" customHeight="1">
      <c r="A2961" s="28">
        <v>19150</v>
      </c>
      <c r="B2961" s="91">
        <v>45101.648680555554</v>
      </c>
      <c r="C2961" s="28" t="s">
        <v>10</v>
      </c>
      <c r="D2961" s="28" t="s">
        <v>529</v>
      </c>
      <c r="E2961" s="28" t="s">
        <v>28</v>
      </c>
      <c r="F2961" s="28">
        <v>30</v>
      </c>
      <c r="G2961" s="28" t="s">
        <v>125</v>
      </c>
      <c r="H2961" s="28">
        <v>0</v>
      </c>
      <c r="J2961" s="28"/>
    </row>
    <row r="2962" spans="1:10" ht="15.75" customHeight="1">
      <c r="A2962" s="28">
        <v>19150</v>
      </c>
      <c r="B2962" s="91">
        <v>45101.648680555554</v>
      </c>
      <c r="C2962" s="28" t="s">
        <v>10</v>
      </c>
      <c r="D2962" s="28" t="s">
        <v>529</v>
      </c>
      <c r="E2962" s="28" t="s">
        <v>28</v>
      </c>
      <c r="F2962" s="28">
        <v>18</v>
      </c>
      <c r="G2962" s="28" t="s">
        <v>119</v>
      </c>
      <c r="H2962" s="28">
        <v>0</v>
      </c>
      <c r="J2962" s="28"/>
    </row>
    <row r="2963" spans="1:10" ht="15.75" customHeight="1">
      <c r="A2963" s="28">
        <v>19151</v>
      </c>
      <c r="B2963" s="91">
        <v>45101.65042824074</v>
      </c>
      <c r="C2963" s="28" t="s">
        <v>10</v>
      </c>
      <c r="D2963" s="28" t="s">
        <v>528</v>
      </c>
      <c r="E2963" s="28" t="s">
        <v>28</v>
      </c>
      <c r="F2963" s="28">
        <v>18</v>
      </c>
      <c r="G2963" s="28" t="s">
        <v>119</v>
      </c>
      <c r="H2963" s="28">
        <v>0</v>
      </c>
      <c r="J2963" s="28"/>
    </row>
    <row r="2964" spans="1:10" ht="15.75" customHeight="1">
      <c r="A2964" s="28">
        <v>19152</v>
      </c>
      <c r="B2964" s="91">
        <v>45101.663634259261</v>
      </c>
      <c r="C2964" s="28" t="s">
        <v>10</v>
      </c>
      <c r="D2964" s="28" t="s">
        <v>527</v>
      </c>
      <c r="E2964" s="28" t="s">
        <v>28</v>
      </c>
      <c r="F2964" s="28">
        <v>26</v>
      </c>
      <c r="G2964" s="28" t="s">
        <v>122</v>
      </c>
      <c r="H2964" s="28">
        <v>0</v>
      </c>
      <c r="J2964" s="28"/>
    </row>
    <row r="2965" spans="1:10" ht="15.75" customHeight="1">
      <c r="A2965" s="28">
        <v>19152</v>
      </c>
      <c r="B2965" s="91">
        <v>45101.663634259261</v>
      </c>
      <c r="C2965" s="28" t="s">
        <v>10</v>
      </c>
      <c r="D2965" s="28" t="s">
        <v>527</v>
      </c>
      <c r="E2965" s="28" t="s">
        <v>28</v>
      </c>
      <c r="F2965" s="28">
        <v>22</v>
      </c>
      <c r="G2965" s="28" t="s">
        <v>137</v>
      </c>
      <c r="H2965" s="28">
        <v>0</v>
      </c>
      <c r="J2965" s="28"/>
    </row>
    <row r="2966" spans="1:10" ht="15.75" customHeight="1">
      <c r="A2966" s="28">
        <v>19153</v>
      </c>
      <c r="B2966" s="91">
        <v>45101.666446759264</v>
      </c>
      <c r="C2966" s="28" t="s">
        <v>10</v>
      </c>
      <c r="D2966" s="28" t="s">
        <v>526</v>
      </c>
      <c r="E2966" s="28" t="s">
        <v>28</v>
      </c>
      <c r="F2966" s="28">
        <v>25</v>
      </c>
      <c r="G2966" s="28">
        <v>100692</v>
      </c>
      <c r="H2966" s="28">
        <v>0</v>
      </c>
      <c r="J2966" s="28"/>
    </row>
    <row r="2967" spans="1:10" ht="15.75" customHeight="1">
      <c r="A2967" s="28">
        <v>19153</v>
      </c>
      <c r="B2967" s="91">
        <v>45101.666446759264</v>
      </c>
      <c r="C2967" s="28" t="s">
        <v>10</v>
      </c>
      <c r="D2967" s="28" t="s">
        <v>526</v>
      </c>
      <c r="E2967" s="28" t="s">
        <v>28</v>
      </c>
      <c r="F2967" s="28">
        <v>0</v>
      </c>
      <c r="G2967" s="28" t="s">
        <v>125</v>
      </c>
      <c r="H2967" s="28">
        <v>0</v>
      </c>
      <c r="J2967" s="28"/>
    </row>
    <row r="2968" spans="1:10" ht="15.75" customHeight="1">
      <c r="A2968" s="28">
        <v>19153</v>
      </c>
      <c r="B2968" s="91">
        <v>45101.666446759264</v>
      </c>
      <c r="C2968" s="28" t="s">
        <v>10</v>
      </c>
      <c r="D2968" s="28" t="s">
        <v>526</v>
      </c>
      <c r="E2968" s="28" t="s">
        <v>28</v>
      </c>
      <c r="F2968" s="28">
        <v>0</v>
      </c>
      <c r="G2968" s="28" t="s">
        <v>119</v>
      </c>
      <c r="H2968" s="28">
        <v>0</v>
      </c>
      <c r="J2968" s="28"/>
    </row>
    <row r="2969" spans="1:10" ht="15.75" customHeight="1">
      <c r="A2969" s="28">
        <v>19154</v>
      </c>
      <c r="B2969" s="91">
        <v>45101.666620370372</v>
      </c>
      <c r="C2969" s="28" t="s">
        <v>10</v>
      </c>
      <c r="D2969" s="28" t="s">
        <v>525</v>
      </c>
      <c r="E2969" s="28" t="s">
        <v>28</v>
      </c>
      <c r="F2969" s="28">
        <v>15</v>
      </c>
      <c r="G2969" s="28" t="s">
        <v>125</v>
      </c>
      <c r="H2969" s="28">
        <v>0</v>
      </c>
      <c r="J2969" s="28"/>
    </row>
    <row r="2970" spans="1:10" ht="15.75" customHeight="1">
      <c r="A2970" s="28">
        <v>19155</v>
      </c>
      <c r="B2970" s="91">
        <v>45101.674062499995</v>
      </c>
      <c r="C2970" s="28" t="s">
        <v>10</v>
      </c>
      <c r="D2970" s="28" t="s">
        <v>524</v>
      </c>
      <c r="E2970" s="28" t="s">
        <v>28</v>
      </c>
      <c r="F2970" s="28">
        <v>25</v>
      </c>
      <c r="G2970" s="28">
        <v>100692</v>
      </c>
      <c r="H2970" s="28">
        <v>0</v>
      </c>
      <c r="J2970" s="28"/>
    </row>
    <row r="2971" spans="1:10" ht="15.75" customHeight="1">
      <c r="A2971" s="28">
        <v>19155</v>
      </c>
      <c r="B2971" s="91">
        <v>45101.674062499995</v>
      </c>
      <c r="C2971" s="28" t="s">
        <v>10</v>
      </c>
      <c r="D2971" s="28" t="s">
        <v>524</v>
      </c>
      <c r="E2971" s="28" t="s">
        <v>28</v>
      </c>
      <c r="F2971" s="28">
        <v>0</v>
      </c>
      <c r="G2971" s="28" t="s">
        <v>125</v>
      </c>
      <c r="H2971" s="28">
        <v>0</v>
      </c>
      <c r="J2971" s="28"/>
    </row>
    <row r="2972" spans="1:10" ht="15.75" customHeight="1">
      <c r="A2972" s="28">
        <v>19155</v>
      </c>
      <c r="B2972" s="91">
        <v>45101.674062499995</v>
      </c>
      <c r="C2972" s="28" t="s">
        <v>10</v>
      </c>
      <c r="D2972" s="28" t="s">
        <v>524</v>
      </c>
      <c r="E2972" s="28" t="s">
        <v>28</v>
      </c>
      <c r="F2972" s="28">
        <v>0</v>
      </c>
      <c r="G2972" s="28" t="s">
        <v>119</v>
      </c>
      <c r="H2972" s="28">
        <v>0</v>
      </c>
      <c r="J2972" s="28"/>
    </row>
    <row r="2973" spans="1:10" ht="15.75" customHeight="1">
      <c r="A2973" s="28">
        <v>19156</v>
      </c>
      <c r="B2973" s="91">
        <v>45101.6799537037</v>
      </c>
      <c r="C2973" s="28" t="s">
        <v>10</v>
      </c>
      <c r="D2973" s="28" t="s">
        <v>523</v>
      </c>
      <c r="E2973" s="28" t="s">
        <v>28</v>
      </c>
      <c r="F2973" s="28">
        <v>25</v>
      </c>
      <c r="G2973" s="28">
        <v>100692</v>
      </c>
      <c r="H2973" s="28">
        <v>0</v>
      </c>
      <c r="J2973" s="28"/>
    </row>
    <row r="2974" spans="1:10" ht="15.75" customHeight="1">
      <c r="A2974" s="28">
        <v>19156</v>
      </c>
      <c r="B2974" s="91">
        <v>45101.6799537037</v>
      </c>
      <c r="C2974" s="28" t="s">
        <v>10</v>
      </c>
      <c r="D2974" s="28" t="s">
        <v>523</v>
      </c>
      <c r="E2974" s="28" t="s">
        <v>28</v>
      </c>
      <c r="F2974" s="28">
        <v>0</v>
      </c>
      <c r="G2974" s="28" t="s">
        <v>125</v>
      </c>
      <c r="H2974" s="28">
        <v>0</v>
      </c>
      <c r="J2974" s="28"/>
    </row>
    <row r="2975" spans="1:10" ht="15.75" customHeight="1">
      <c r="A2975" s="28">
        <v>19156</v>
      </c>
      <c r="B2975" s="91">
        <v>45101.6799537037</v>
      </c>
      <c r="C2975" s="28" t="s">
        <v>10</v>
      </c>
      <c r="D2975" s="28" t="s">
        <v>523</v>
      </c>
      <c r="E2975" s="28" t="s">
        <v>28</v>
      </c>
      <c r="F2975" s="28">
        <v>0</v>
      </c>
      <c r="G2975" s="28" t="s">
        <v>119</v>
      </c>
      <c r="H2975" s="28">
        <v>0</v>
      </c>
      <c r="J2975" s="28"/>
    </row>
    <row r="2976" spans="1:10" ht="15.75" customHeight="1">
      <c r="A2976" s="28">
        <v>19157</v>
      </c>
      <c r="B2976" s="91">
        <v>45101.680555555555</v>
      </c>
      <c r="C2976" s="28" t="s">
        <v>10</v>
      </c>
      <c r="D2976" s="28" t="s">
        <v>522</v>
      </c>
      <c r="E2976" s="28" t="s">
        <v>89</v>
      </c>
      <c r="F2976" s="28">
        <v>18</v>
      </c>
      <c r="G2976" s="28" t="s">
        <v>119</v>
      </c>
      <c r="H2976" s="28">
        <v>0</v>
      </c>
      <c r="J2976" s="28"/>
    </row>
    <row r="2977" spans="1:10" ht="15.75" customHeight="1">
      <c r="A2977" s="28">
        <v>19157</v>
      </c>
      <c r="B2977" s="91">
        <v>45101.680555555555</v>
      </c>
      <c r="C2977" s="28" t="s">
        <v>10</v>
      </c>
      <c r="D2977" s="28" t="s">
        <v>522</v>
      </c>
      <c r="E2977" s="28" t="s">
        <v>89</v>
      </c>
      <c r="F2977" s="28">
        <v>0</v>
      </c>
      <c r="G2977" s="28" t="s">
        <v>117</v>
      </c>
      <c r="H2977" s="28">
        <v>0</v>
      </c>
      <c r="J2977" s="28"/>
    </row>
    <row r="2978" spans="1:10" ht="15.75" customHeight="1">
      <c r="A2978" s="28">
        <v>19158</v>
      </c>
      <c r="B2978" s="91">
        <v>45101.681400462963</v>
      </c>
      <c r="C2978" s="28" t="s">
        <v>10</v>
      </c>
      <c r="D2978" s="28" t="s">
        <v>521</v>
      </c>
      <c r="E2978" s="28" t="s">
        <v>28</v>
      </c>
      <c r="F2978" s="28">
        <v>15</v>
      </c>
      <c r="G2978" s="28" t="s">
        <v>170</v>
      </c>
      <c r="H2978" s="28">
        <v>0</v>
      </c>
      <c r="J2978" s="28"/>
    </row>
    <row r="2979" spans="1:10" ht="15.75" customHeight="1">
      <c r="A2979" s="28">
        <v>19158</v>
      </c>
      <c r="B2979" s="91">
        <v>45101.681400462963</v>
      </c>
      <c r="C2979" s="28" t="s">
        <v>10</v>
      </c>
      <c r="D2979" s="28" t="s">
        <v>521</v>
      </c>
      <c r="E2979" s="28" t="s">
        <v>28</v>
      </c>
      <c r="F2979" s="28">
        <v>25</v>
      </c>
      <c r="G2979" s="28">
        <v>100692</v>
      </c>
      <c r="H2979" s="28">
        <v>0</v>
      </c>
      <c r="J2979" s="28"/>
    </row>
    <row r="2980" spans="1:10" ht="15.75" customHeight="1">
      <c r="A2980" s="28">
        <v>19158</v>
      </c>
      <c r="B2980" s="91">
        <v>45101.681400462963</v>
      </c>
      <c r="C2980" s="28" t="s">
        <v>10</v>
      </c>
      <c r="D2980" s="28" t="s">
        <v>521</v>
      </c>
      <c r="E2980" s="28" t="s">
        <v>28</v>
      </c>
      <c r="F2980" s="28">
        <v>0</v>
      </c>
      <c r="G2980" s="28" t="s">
        <v>125</v>
      </c>
      <c r="H2980" s="28">
        <v>0</v>
      </c>
      <c r="J2980" s="28"/>
    </row>
    <row r="2981" spans="1:10" ht="15.75" customHeight="1">
      <c r="A2981" s="28">
        <v>19158</v>
      </c>
      <c r="B2981" s="91">
        <v>45101.681400462963</v>
      </c>
      <c r="C2981" s="28" t="s">
        <v>10</v>
      </c>
      <c r="D2981" s="28" t="s">
        <v>521</v>
      </c>
      <c r="E2981" s="28" t="s">
        <v>28</v>
      </c>
      <c r="F2981" s="28">
        <v>0</v>
      </c>
      <c r="G2981" s="28" t="s">
        <v>119</v>
      </c>
      <c r="H2981" s="28">
        <v>0</v>
      </c>
      <c r="J2981" s="28"/>
    </row>
    <row r="2982" spans="1:10" ht="15.75" customHeight="1">
      <c r="A2982" s="28">
        <v>19159</v>
      </c>
      <c r="B2982" s="91">
        <v>45101.684224537035</v>
      </c>
      <c r="C2982" s="28" t="s">
        <v>10</v>
      </c>
      <c r="D2982" s="28" t="s">
        <v>520</v>
      </c>
      <c r="E2982" s="28" t="s">
        <v>28</v>
      </c>
      <c r="F2982" s="28">
        <v>20</v>
      </c>
      <c r="G2982" s="28" t="s">
        <v>148</v>
      </c>
      <c r="H2982" s="28">
        <v>0</v>
      </c>
      <c r="J2982" s="28"/>
    </row>
    <row r="2983" spans="1:10" ht="15.75" customHeight="1">
      <c r="A2983" s="28">
        <v>19160</v>
      </c>
      <c r="B2983" s="91">
        <v>45101.688055555554</v>
      </c>
      <c r="C2983" s="28" t="s">
        <v>10</v>
      </c>
      <c r="D2983" s="28" t="s">
        <v>519</v>
      </c>
      <c r="E2983" s="28" t="s">
        <v>28</v>
      </c>
      <c r="F2983" s="28">
        <v>0</v>
      </c>
      <c r="G2983" s="28" t="s">
        <v>117</v>
      </c>
      <c r="H2983" s="28">
        <v>0</v>
      </c>
      <c r="J2983" s="28"/>
    </row>
    <row r="2984" spans="1:10" ht="15.75" customHeight="1">
      <c r="A2984" s="28">
        <v>19160</v>
      </c>
      <c r="B2984" s="91">
        <v>45101.688055555554</v>
      </c>
      <c r="C2984" s="28" t="s">
        <v>10</v>
      </c>
      <c r="D2984" s="28" t="s">
        <v>519</v>
      </c>
      <c r="E2984" s="28" t="s">
        <v>28</v>
      </c>
      <c r="F2984" s="28">
        <v>25</v>
      </c>
      <c r="G2984" s="28">
        <v>100692</v>
      </c>
      <c r="H2984" s="28">
        <v>0</v>
      </c>
      <c r="J2984" s="28"/>
    </row>
    <row r="2985" spans="1:10" ht="15.75" customHeight="1">
      <c r="A2985" s="28">
        <v>19160</v>
      </c>
      <c r="B2985" s="91">
        <v>45101.688055555554</v>
      </c>
      <c r="C2985" s="28" t="s">
        <v>10</v>
      </c>
      <c r="D2985" s="28" t="s">
        <v>519</v>
      </c>
      <c r="E2985" s="28" t="s">
        <v>28</v>
      </c>
      <c r="F2985" s="28">
        <v>0</v>
      </c>
      <c r="G2985" s="28" t="s">
        <v>125</v>
      </c>
      <c r="H2985" s="28">
        <v>0</v>
      </c>
      <c r="J2985" s="28"/>
    </row>
    <row r="2986" spans="1:10" ht="15.75" customHeight="1">
      <c r="A2986" s="28">
        <v>19160</v>
      </c>
      <c r="B2986" s="91">
        <v>45101.688055555554</v>
      </c>
      <c r="C2986" s="28" t="s">
        <v>10</v>
      </c>
      <c r="D2986" s="28" t="s">
        <v>519</v>
      </c>
      <c r="E2986" s="28" t="s">
        <v>28</v>
      </c>
      <c r="F2986" s="28">
        <v>0</v>
      </c>
      <c r="G2986" s="28" t="s">
        <v>119</v>
      </c>
      <c r="H2986" s="28">
        <v>0</v>
      </c>
      <c r="J2986" s="28"/>
    </row>
    <row r="2987" spans="1:10" ht="15.75" customHeight="1">
      <c r="A2987" s="28">
        <v>19161</v>
      </c>
      <c r="B2987" s="91">
        <v>45101.689328703702</v>
      </c>
      <c r="C2987" s="28" t="s">
        <v>10</v>
      </c>
      <c r="D2987" s="28" t="s">
        <v>518</v>
      </c>
      <c r="E2987" s="28" t="s">
        <v>28</v>
      </c>
      <c r="F2987" s="28">
        <v>35</v>
      </c>
      <c r="G2987" s="28" t="s">
        <v>124</v>
      </c>
      <c r="H2987" s="28">
        <v>0</v>
      </c>
      <c r="J2987" s="28"/>
    </row>
    <row r="2988" spans="1:10" ht="15.75" customHeight="1">
      <c r="A2988" s="28">
        <v>19161</v>
      </c>
      <c r="B2988" s="91">
        <v>45101.689328703702</v>
      </c>
      <c r="C2988" s="28" t="s">
        <v>10</v>
      </c>
      <c r="D2988" s="28" t="s">
        <v>518</v>
      </c>
      <c r="E2988" s="28" t="s">
        <v>28</v>
      </c>
      <c r="F2988" s="28">
        <v>0</v>
      </c>
      <c r="G2988" s="28" t="s">
        <v>125</v>
      </c>
      <c r="H2988" s="28">
        <v>0</v>
      </c>
      <c r="J2988" s="28"/>
    </row>
    <row r="2989" spans="1:10" ht="15.75" customHeight="1">
      <c r="A2989" s="28">
        <v>19161</v>
      </c>
      <c r="B2989" s="91">
        <v>45101.689328703702</v>
      </c>
      <c r="C2989" s="28" t="s">
        <v>10</v>
      </c>
      <c r="D2989" s="28" t="s">
        <v>518</v>
      </c>
      <c r="E2989" s="28" t="s">
        <v>28</v>
      </c>
      <c r="F2989" s="28">
        <v>0</v>
      </c>
      <c r="G2989" s="28" t="s">
        <v>119</v>
      </c>
      <c r="H2989" s="28">
        <v>0</v>
      </c>
      <c r="J2989" s="28"/>
    </row>
    <row r="2990" spans="1:10" ht="15.75" customHeight="1">
      <c r="A2990" s="28">
        <v>19161</v>
      </c>
      <c r="B2990" s="91">
        <v>45101.689328703702</v>
      </c>
      <c r="C2990" s="28" t="s">
        <v>10</v>
      </c>
      <c r="D2990" s="28" t="s">
        <v>518</v>
      </c>
      <c r="E2990" s="28" t="s">
        <v>28</v>
      </c>
      <c r="F2990" s="28">
        <v>0</v>
      </c>
      <c r="G2990" s="28" t="s">
        <v>121</v>
      </c>
      <c r="H2990" s="28">
        <v>0</v>
      </c>
      <c r="J2990" s="28"/>
    </row>
    <row r="2991" spans="1:10" ht="15.75" customHeight="1">
      <c r="A2991" s="28">
        <v>19162</v>
      </c>
      <c r="B2991" s="91">
        <v>45101.713090277779</v>
      </c>
      <c r="C2991" s="28" t="s">
        <v>10</v>
      </c>
      <c r="D2991" s="28" t="s">
        <v>517</v>
      </c>
      <c r="E2991" s="28" t="s">
        <v>28</v>
      </c>
      <c r="F2991" s="28">
        <v>25</v>
      </c>
      <c r="G2991" s="28">
        <v>100692</v>
      </c>
      <c r="H2991" s="28">
        <v>0</v>
      </c>
      <c r="J2991" s="28"/>
    </row>
    <row r="2992" spans="1:10" ht="15.75" customHeight="1">
      <c r="A2992" s="28">
        <v>19162</v>
      </c>
      <c r="B2992" s="91">
        <v>45101.713090277779</v>
      </c>
      <c r="C2992" s="28" t="s">
        <v>10</v>
      </c>
      <c r="D2992" s="28" t="s">
        <v>517</v>
      </c>
      <c r="E2992" s="28" t="s">
        <v>28</v>
      </c>
      <c r="F2992" s="28">
        <v>0</v>
      </c>
      <c r="G2992" s="28" t="s">
        <v>125</v>
      </c>
      <c r="H2992" s="28">
        <v>0</v>
      </c>
      <c r="J2992" s="28"/>
    </row>
    <row r="2993" spans="1:10" ht="15.75" customHeight="1">
      <c r="A2993" s="28">
        <v>19162</v>
      </c>
      <c r="B2993" s="91">
        <v>45101.713090277779</v>
      </c>
      <c r="C2993" s="28" t="s">
        <v>10</v>
      </c>
      <c r="D2993" s="28" t="s">
        <v>517</v>
      </c>
      <c r="E2993" s="28" t="s">
        <v>28</v>
      </c>
      <c r="F2993" s="28">
        <v>0</v>
      </c>
      <c r="G2993" s="28" t="s">
        <v>119</v>
      </c>
      <c r="H2993" s="28">
        <v>0</v>
      </c>
      <c r="J2993" s="28"/>
    </row>
    <row r="2994" spans="1:10" ht="15.75" customHeight="1">
      <c r="A2994" s="28">
        <v>19163</v>
      </c>
      <c r="B2994" s="91">
        <v>45101.71402777778</v>
      </c>
      <c r="C2994" s="28" t="s">
        <v>10</v>
      </c>
      <c r="D2994" s="28" t="s">
        <v>516</v>
      </c>
      <c r="E2994" s="28" t="s">
        <v>28</v>
      </c>
      <c r="F2994" s="28">
        <v>26</v>
      </c>
      <c r="G2994" s="28" t="s">
        <v>122</v>
      </c>
      <c r="H2994" s="28">
        <v>0</v>
      </c>
      <c r="J2994" s="28"/>
    </row>
    <row r="2995" spans="1:10" ht="15.75" customHeight="1">
      <c r="A2995" s="28">
        <v>19164</v>
      </c>
      <c r="B2995" s="91">
        <v>45101.774537037039</v>
      </c>
      <c r="C2995" s="28" t="s">
        <v>10</v>
      </c>
      <c r="D2995" s="28" t="s">
        <v>515</v>
      </c>
      <c r="E2995" s="28" t="s">
        <v>28</v>
      </c>
      <c r="F2995" s="28">
        <v>0</v>
      </c>
      <c r="G2995" s="28" t="s">
        <v>286</v>
      </c>
      <c r="H2995" s="28">
        <v>0</v>
      </c>
      <c r="J2995" s="28"/>
    </row>
    <row r="2996" spans="1:10" ht="15.75" customHeight="1">
      <c r="A2996" s="28">
        <v>19164</v>
      </c>
      <c r="B2996" s="91">
        <v>45101.774537037039</v>
      </c>
      <c r="C2996" s="28" t="s">
        <v>10</v>
      </c>
      <c r="D2996" s="28" t="s">
        <v>515</v>
      </c>
      <c r="E2996" s="28" t="s">
        <v>28</v>
      </c>
      <c r="F2996" s="28">
        <v>0</v>
      </c>
      <c r="G2996" s="28" t="s">
        <v>117</v>
      </c>
      <c r="H2996" s="28">
        <v>0</v>
      </c>
      <c r="J2996" s="28"/>
    </row>
    <row r="2997" spans="1:10" ht="15.75" customHeight="1">
      <c r="A2997" s="28">
        <v>19164</v>
      </c>
      <c r="B2997" s="91">
        <v>45101.774537037039</v>
      </c>
      <c r="C2997" s="28" t="s">
        <v>10</v>
      </c>
      <c r="D2997" s="28" t="s">
        <v>515</v>
      </c>
      <c r="E2997" s="28" t="s">
        <v>28</v>
      </c>
      <c r="F2997" s="28">
        <v>18</v>
      </c>
      <c r="G2997" s="28" t="s">
        <v>119</v>
      </c>
      <c r="H2997" s="28">
        <v>0</v>
      </c>
      <c r="J2997" s="28"/>
    </row>
    <row r="2998" spans="1:10" ht="15.75" customHeight="1">
      <c r="A2998" s="28">
        <v>19165</v>
      </c>
      <c r="B2998" s="91">
        <v>45101.811412037037</v>
      </c>
      <c r="C2998" s="28" t="s">
        <v>10</v>
      </c>
      <c r="D2998" s="28" t="s">
        <v>514</v>
      </c>
      <c r="E2998" s="28" t="s">
        <v>28</v>
      </c>
      <c r="F2998" s="28">
        <v>15</v>
      </c>
      <c r="G2998" s="28" t="s">
        <v>139</v>
      </c>
      <c r="H2998" s="28">
        <v>0</v>
      </c>
      <c r="J2998" s="28"/>
    </row>
    <row r="2999" spans="1:10" ht="15.75" customHeight="1">
      <c r="A2999" s="28">
        <v>19165</v>
      </c>
      <c r="B2999" s="91">
        <v>45101.811412037037</v>
      </c>
      <c r="C2999" s="28" t="s">
        <v>10</v>
      </c>
      <c r="D2999" s="28" t="s">
        <v>514</v>
      </c>
      <c r="E2999" s="28" t="s">
        <v>28</v>
      </c>
      <c r="F2999" s="28">
        <v>18</v>
      </c>
      <c r="G2999" s="28" t="s">
        <v>119</v>
      </c>
      <c r="H2999" s="28">
        <v>0</v>
      </c>
      <c r="J2999" s="28"/>
    </row>
    <row r="3000" spans="1:10" ht="15.75" customHeight="1">
      <c r="A3000" s="28">
        <v>19166</v>
      </c>
      <c r="B3000" s="91">
        <v>45101.814317129625</v>
      </c>
      <c r="C3000" s="28" t="s">
        <v>10</v>
      </c>
      <c r="D3000" s="28" t="s">
        <v>513</v>
      </c>
      <c r="E3000" s="28" t="s">
        <v>28</v>
      </c>
      <c r="F3000" s="28">
        <v>18</v>
      </c>
      <c r="G3000" s="28" t="s">
        <v>119</v>
      </c>
      <c r="H3000" s="28">
        <v>0</v>
      </c>
      <c r="J3000" s="28"/>
    </row>
    <row r="3001" spans="1:10" ht="15.75" customHeight="1">
      <c r="A3001" s="28">
        <v>19167</v>
      </c>
      <c r="B3001" s="91">
        <v>45101.848043981481</v>
      </c>
      <c r="C3001" s="28" t="s">
        <v>10</v>
      </c>
      <c r="D3001" s="28" t="s">
        <v>512</v>
      </c>
      <c r="E3001" s="28" t="s">
        <v>28</v>
      </c>
      <c r="F3001" s="28">
        <v>0</v>
      </c>
      <c r="G3001" s="28" t="s">
        <v>286</v>
      </c>
      <c r="H3001" s="28">
        <v>0</v>
      </c>
      <c r="J3001" s="28"/>
    </row>
    <row r="3002" spans="1:10" ht="15.75" customHeight="1">
      <c r="A3002" s="28">
        <v>19167</v>
      </c>
      <c r="B3002" s="91">
        <v>45101.848043981481</v>
      </c>
      <c r="C3002" s="28" t="s">
        <v>10</v>
      </c>
      <c r="D3002" s="28" t="s">
        <v>512</v>
      </c>
      <c r="E3002" s="28" t="s">
        <v>28</v>
      </c>
      <c r="F3002" s="28">
        <v>0</v>
      </c>
      <c r="G3002" s="28" t="s">
        <v>117</v>
      </c>
      <c r="H3002" s="28">
        <v>0</v>
      </c>
      <c r="J3002" s="28"/>
    </row>
    <row r="3003" spans="1:10" ht="15.75" customHeight="1">
      <c r="A3003" s="28">
        <v>19167</v>
      </c>
      <c r="B3003" s="91">
        <v>45101.848043981481</v>
      </c>
      <c r="C3003" s="28" t="s">
        <v>10</v>
      </c>
      <c r="D3003" s="28" t="s">
        <v>512</v>
      </c>
      <c r="E3003" s="28" t="s">
        <v>28</v>
      </c>
      <c r="F3003" s="28">
        <v>26</v>
      </c>
      <c r="G3003" s="28" t="s">
        <v>122</v>
      </c>
      <c r="H3003" s="28">
        <v>0</v>
      </c>
      <c r="J3003" s="28"/>
    </row>
    <row r="3004" spans="1:10" ht="15.75" customHeight="1">
      <c r="A3004" s="28">
        <v>19168</v>
      </c>
      <c r="B3004" s="91">
        <v>45101.852870370371</v>
      </c>
      <c r="C3004" s="28" t="s">
        <v>10</v>
      </c>
      <c r="D3004" s="28" t="s">
        <v>511</v>
      </c>
      <c r="E3004" s="28" t="s">
        <v>28</v>
      </c>
      <c r="F3004" s="28">
        <v>26</v>
      </c>
      <c r="G3004" s="28" t="s">
        <v>122</v>
      </c>
      <c r="H3004" s="28">
        <v>0</v>
      </c>
      <c r="J3004" s="28"/>
    </row>
    <row r="3005" spans="1:10" ht="15.75" customHeight="1">
      <c r="A3005" s="28">
        <v>19168</v>
      </c>
      <c r="B3005" s="91">
        <v>45101.852870370371</v>
      </c>
      <c r="C3005" s="28" t="s">
        <v>10</v>
      </c>
      <c r="D3005" s="28" t="s">
        <v>511</v>
      </c>
      <c r="E3005" s="28" t="s">
        <v>28</v>
      </c>
      <c r="F3005" s="28">
        <v>0</v>
      </c>
      <c r="G3005" s="28" t="s">
        <v>286</v>
      </c>
      <c r="H3005" s="28">
        <v>0</v>
      </c>
      <c r="J3005" s="28"/>
    </row>
    <row r="3006" spans="1:10" ht="15.75" customHeight="1">
      <c r="A3006" s="28">
        <v>19168</v>
      </c>
      <c r="B3006" s="91">
        <v>45101.852870370371</v>
      </c>
      <c r="C3006" s="28" t="s">
        <v>10</v>
      </c>
      <c r="D3006" s="28" t="s">
        <v>511</v>
      </c>
      <c r="E3006" s="28" t="s">
        <v>28</v>
      </c>
      <c r="F3006" s="28">
        <v>0</v>
      </c>
      <c r="G3006" s="28" t="s">
        <v>117</v>
      </c>
      <c r="H3006" s="28">
        <v>0</v>
      </c>
      <c r="J3006" s="28"/>
    </row>
    <row r="3007" spans="1:10" ht="15.75" customHeight="1">
      <c r="A3007" s="28">
        <v>19169</v>
      </c>
      <c r="B3007" s="91">
        <v>45102.032048611116</v>
      </c>
      <c r="C3007" s="28" t="s">
        <v>10</v>
      </c>
      <c r="D3007" s="28" t="s">
        <v>510</v>
      </c>
      <c r="E3007" s="28" t="s">
        <v>88</v>
      </c>
      <c r="F3007" s="28">
        <v>25</v>
      </c>
      <c r="G3007" s="28">
        <v>100692</v>
      </c>
      <c r="H3007" s="28">
        <v>0</v>
      </c>
      <c r="J3007" s="28"/>
    </row>
    <row r="3008" spans="1:10" ht="15.75" customHeight="1">
      <c r="A3008" s="28">
        <v>19169</v>
      </c>
      <c r="B3008" s="91">
        <v>45102.032048611116</v>
      </c>
      <c r="C3008" s="28" t="s">
        <v>10</v>
      </c>
      <c r="D3008" s="28" t="s">
        <v>510</v>
      </c>
      <c r="E3008" s="28" t="s">
        <v>88</v>
      </c>
      <c r="F3008" s="28">
        <v>0</v>
      </c>
      <c r="G3008" s="28" t="s">
        <v>125</v>
      </c>
      <c r="H3008" s="28">
        <v>0</v>
      </c>
      <c r="J3008" s="28"/>
    </row>
    <row r="3009" spans="1:10" ht="15.75" customHeight="1">
      <c r="A3009" s="28">
        <v>19169</v>
      </c>
      <c r="B3009" s="91">
        <v>45102.032048611116</v>
      </c>
      <c r="C3009" s="28" t="s">
        <v>10</v>
      </c>
      <c r="D3009" s="28" t="s">
        <v>510</v>
      </c>
      <c r="E3009" s="28" t="s">
        <v>88</v>
      </c>
      <c r="F3009" s="28">
        <v>0</v>
      </c>
      <c r="G3009" s="28" t="s">
        <v>119</v>
      </c>
      <c r="H3009" s="28">
        <v>0</v>
      </c>
      <c r="J3009" s="28"/>
    </row>
    <row r="3010" spans="1:10" ht="15.75" customHeight="1">
      <c r="A3010" s="28">
        <v>19170</v>
      </c>
      <c r="B3010" s="91">
        <v>45102.132569444446</v>
      </c>
      <c r="C3010" s="28" t="s">
        <v>10</v>
      </c>
      <c r="D3010" s="28" t="s">
        <v>509</v>
      </c>
      <c r="E3010" s="28" t="s">
        <v>28</v>
      </c>
      <c r="F3010" s="28">
        <v>20</v>
      </c>
      <c r="G3010" s="28" t="s">
        <v>148</v>
      </c>
      <c r="H3010" s="28">
        <v>0</v>
      </c>
      <c r="J3010" s="28"/>
    </row>
    <row r="3011" spans="1:10" ht="15.75" customHeight="1">
      <c r="A3011" s="28">
        <v>19171</v>
      </c>
      <c r="B3011" s="91">
        <v>45102.133703703701</v>
      </c>
      <c r="C3011" s="28" t="s">
        <v>10</v>
      </c>
      <c r="D3011" s="28" t="s">
        <v>508</v>
      </c>
      <c r="E3011" s="28" t="s">
        <v>28</v>
      </c>
      <c r="F3011" s="28">
        <v>20</v>
      </c>
      <c r="G3011" s="28" t="s">
        <v>148</v>
      </c>
      <c r="H3011" s="28">
        <v>0</v>
      </c>
      <c r="J3011" s="28"/>
    </row>
    <row r="3012" spans="1:10" ht="15.75" customHeight="1">
      <c r="A3012" s="28">
        <v>19172</v>
      </c>
      <c r="B3012" s="91">
        <v>45102.13548611111</v>
      </c>
      <c r="C3012" s="28" t="s">
        <v>10</v>
      </c>
      <c r="D3012" s="28" t="s">
        <v>507</v>
      </c>
      <c r="E3012" s="28" t="s">
        <v>28</v>
      </c>
      <c r="F3012" s="28">
        <v>20</v>
      </c>
      <c r="G3012" s="28" t="s">
        <v>148</v>
      </c>
      <c r="H3012" s="28">
        <v>0</v>
      </c>
      <c r="J3012" s="28"/>
    </row>
    <row r="3013" spans="1:10" ht="15.75" customHeight="1">
      <c r="A3013" s="28">
        <v>19173</v>
      </c>
      <c r="B3013" s="91">
        <v>45102.22625</v>
      </c>
      <c r="C3013" s="28" t="s">
        <v>10</v>
      </c>
      <c r="D3013" s="28" t="s">
        <v>506</v>
      </c>
      <c r="E3013" s="28" t="s">
        <v>39</v>
      </c>
      <c r="F3013" s="28">
        <v>28</v>
      </c>
      <c r="G3013" s="28" t="s">
        <v>143</v>
      </c>
      <c r="H3013" s="28">
        <v>0</v>
      </c>
      <c r="J3013" s="28"/>
    </row>
    <row r="3014" spans="1:10" ht="15.75" customHeight="1">
      <c r="A3014" s="28">
        <v>19174</v>
      </c>
      <c r="B3014" s="91">
        <v>45102.267754629633</v>
      </c>
      <c r="C3014" s="28" t="s">
        <v>10</v>
      </c>
      <c r="D3014" s="28" t="s">
        <v>505</v>
      </c>
      <c r="E3014" s="28" t="s">
        <v>28</v>
      </c>
      <c r="F3014" s="28">
        <v>0</v>
      </c>
      <c r="G3014" s="28" t="s">
        <v>117</v>
      </c>
      <c r="H3014" s="28">
        <v>0</v>
      </c>
      <c r="J3014" s="28"/>
    </row>
    <row r="3015" spans="1:10" ht="15.75" customHeight="1">
      <c r="A3015" s="28">
        <v>19174</v>
      </c>
      <c r="B3015" s="91">
        <v>45102.267754629633</v>
      </c>
      <c r="C3015" s="28" t="s">
        <v>10</v>
      </c>
      <c r="D3015" s="28" t="s">
        <v>505</v>
      </c>
      <c r="E3015" s="28" t="s">
        <v>28</v>
      </c>
      <c r="F3015" s="28">
        <v>55</v>
      </c>
      <c r="G3015" s="28">
        <v>101684</v>
      </c>
      <c r="H3015" s="28">
        <v>0</v>
      </c>
      <c r="J3015" s="28"/>
    </row>
    <row r="3016" spans="1:10" ht="15.75" customHeight="1">
      <c r="A3016" s="28">
        <v>19174</v>
      </c>
      <c r="B3016" s="91">
        <v>45102.267754629633</v>
      </c>
      <c r="C3016" s="28" t="s">
        <v>10</v>
      </c>
      <c r="D3016" s="28" t="s">
        <v>505</v>
      </c>
      <c r="E3016" s="28" t="s">
        <v>28</v>
      </c>
      <c r="F3016" s="28">
        <v>0</v>
      </c>
      <c r="G3016" s="28" t="s">
        <v>118</v>
      </c>
      <c r="H3016" s="28">
        <v>0</v>
      </c>
      <c r="J3016" s="28"/>
    </row>
    <row r="3017" spans="1:10" ht="15.75" customHeight="1">
      <c r="A3017" s="28">
        <v>19174</v>
      </c>
      <c r="B3017" s="91">
        <v>45102.267754629633</v>
      </c>
      <c r="C3017" s="28" t="s">
        <v>10</v>
      </c>
      <c r="D3017" s="28" t="s">
        <v>505</v>
      </c>
      <c r="E3017" s="28" t="s">
        <v>28</v>
      </c>
      <c r="F3017" s="28">
        <v>0</v>
      </c>
      <c r="G3017" s="28" t="s">
        <v>119</v>
      </c>
      <c r="H3017" s="28">
        <v>0</v>
      </c>
      <c r="J3017" s="28"/>
    </row>
    <row r="3018" spans="1:10" ht="15.75" customHeight="1">
      <c r="A3018" s="28">
        <v>19174</v>
      </c>
      <c r="B3018" s="91">
        <v>45102.267754629633</v>
      </c>
      <c r="C3018" s="28" t="s">
        <v>10</v>
      </c>
      <c r="D3018" s="28" t="s">
        <v>505</v>
      </c>
      <c r="E3018" s="28" t="s">
        <v>28</v>
      </c>
      <c r="F3018" s="28">
        <v>0</v>
      </c>
      <c r="G3018" s="28" t="s">
        <v>120</v>
      </c>
      <c r="H3018" s="28">
        <v>0</v>
      </c>
      <c r="J3018" s="28"/>
    </row>
    <row r="3019" spans="1:10" ht="15.75" customHeight="1">
      <c r="A3019" s="28">
        <v>19174</v>
      </c>
      <c r="B3019" s="91">
        <v>45102.267754629633</v>
      </c>
      <c r="C3019" s="28" t="s">
        <v>10</v>
      </c>
      <c r="D3019" s="28" t="s">
        <v>505</v>
      </c>
      <c r="E3019" s="28" t="s">
        <v>28</v>
      </c>
      <c r="F3019" s="28">
        <v>0</v>
      </c>
      <c r="G3019" s="28" t="s">
        <v>121</v>
      </c>
      <c r="H3019" s="28">
        <v>0</v>
      </c>
      <c r="J3019" s="28"/>
    </row>
    <row r="3020" spans="1:10" ht="15.75" customHeight="1">
      <c r="A3020" s="28">
        <v>19174</v>
      </c>
      <c r="B3020" s="91">
        <v>45102.267754629633</v>
      </c>
      <c r="C3020" s="28" t="s">
        <v>10</v>
      </c>
      <c r="D3020" s="28" t="s">
        <v>505</v>
      </c>
      <c r="E3020" s="28" t="s">
        <v>28</v>
      </c>
      <c r="F3020" s="28">
        <v>25</v>
      </c>
      <c r="G3020" s="28" t="s">
        <v>141</v>
      </c>
      <c r="H3020" s="28">
        <v>0</v>
      </c>
      <c r="J3020" s="28"/>
    </row>
    <row r="3021" spans="1:10" ht="15.75" customHeight="1">
      <c r="A3021" s="28">
        <v>19175</v>
      </c>
      <c r="B3021" s="91">
        <v>45102.505277777775</v>
      </c>
      <c r="C3021" s="28" t="s">
        <v>10</v>
      </c>
      <c r="D3021" s="28" t="s">
        <v>503</v>
      </c>
      <c r="E3021" s="28" t="s">
        <v>28</v>
      </c>
      <c r="F3021" s="28">
        <v>18</v>
      </c>
      <c r="G3021" s="28" t="s">
        <v>119</v>
      </c>
      <c r="H3021" s="28">
        <v>0</v>
      </c>
      <c r="J3021" s="28"/>
    </row>
    <row r="3022" spans="1:10" ht="15.75" customHeight="1">
      <c r="A3022" s="28">
        <v>19176</v>
      </c>
      <c r="B3022" s="91">
        <v>45102.522060185191</v>
      </c>
      <c r="C3022" s="28" t="s">
        <v>10</v>
      </c>
      <c r="D3022" s="28" t="s">
        <v>504</v>
      </c>
      <c r="E3022" s="28" t="s">
        <v>28</v>
      </c>
      <c r="F3022" s="28">
        <v>35</v>
      </c>
      <c r="G3022" s="28" t="s">
        <v>124</v>
      </c>
      <c r="H3022" s="28">
        <v>0</v>
      </c>
      <c r="J3022" s="28"/>
    </row>
    <row r="3023" spans="1:10" ht="15.75" customHeight="1">
      <c r="A3023" s="28">
        <v>19176</v>
      </c>
      <c r="B3023" s="91">
        <v>45102.522060185191</v>
      </c>
      <c r="C3023" s="28" t="s">
        <v>10</v>
      </c>
      <c r="D3023" s="28" t="s">
        <v>504</v>
      </c>
      <c r="E3023" s="28" t="s">
        <v>28</v>
      </c>
      <c r="F3023" s="28">
        <v>0</v>
      </c>
      <c r="G3023" s="28" t="s">
        <v>125</v>
      </c>
      <c r="H3023" s="28">
        <v>0</v>
      </c>
      <c r="J3023" s="28"/>
    </row>
    <row r="3024" spans="1:10" ht="15.75" customHeight="1">
      <c r="A3024" s="28">
        <v>19176</v>
      </c>
      <c r="B3024" s="91">
        <v>45102.522060185191</v>
      </c>
      <c r="C3024" s="28" t="s">
        <v>10</v>
      </c>
      <c r="D3024" s="28" t="s">
        <v>504</v>
      </c>
      <c r="E3024" s="28" t="s">
        <v>28</v>
      </c>
      <c r="F3024" s="28">
        <v>0</v>
      </c>
      <c r="G3024" s="28" t="s">
        <v>119</v>
      </c>
      <c r="H3024" s="28">
        <v>0</v>
      </c>
      <c r="J3024" s="28"/>
    </row>
    <row r="3025" spans="1:10" ht="15.75" customHeight="1">
      <c r="A3025" s="28">
        <v>19176</v>
      </c>
      <c r="B3025" s="91">
        <v>45102.522060185191</v>
      </c>
      <c r="C3025" s="28" t="s">
        <v>10</v>
      </c>
      <c r="D3025" s="28" t="s">
        <v>504</v>
      </c>
      <c r="E3025" s="28" t="s">
        <v>28</v>
      </c>
      <c r="F3025" s="28">
        <v>0</v>
      </c>
      <c r="G3025" s="28" t="s">
        <v>121</v>
      </c>
      <c r="H3025" s="28">
        <v>0</v>
      </c>
      <c r="J3025" s="28"/>
    </row>
    <row r="3026" spans="1:10" ht="15.75" customHeight="1">
      <c r="A3026" s="28">
        <v>19177</v>
      </c>
      <c r="B3026" s="91">
        <v>45102.526539351849</v>
      </c>
      <c r="C3026" s="28" t="s">
        <v>10</v>
      </c>
      <c r="D3026" s="28" t="s">
        <v>503</v>
      </c>
      <c r="E3026" s="28" t="s">
        <v>28</v>
      </c>
      <c r="F3026" s="28">
        <v>20</v>
      </c>
      <c r="G3026" s="28" t="s">
        <v>121</v>
      </c>
      <c r="H3026" s="28">
        <v>0</v>
      </c>
      <c r="J3026" s="28"/>
    </row>
    <row r="3027" spans="1:10" ht="15.75" customHeight="1">
      <c r="A3027" s="28">
        <v>19178</v>
      </c>
      <c r="B3027" s="91">
        <v>45102.527800925927</v>
      </c>
      <c r="C3027" s="28" t="s">
        <v>10</v>
      </c>
      <c r="D3027" s="28" t="s">
        <v>502</v>
      </c>
      <c r="E3027" s="28" t="s">
        <v>28</v>
      </c>
      <c r="F3027" s="28">
        <v>20</v>
      </c>
      <c r="G3027" s="28" t="s">
        <v>121</v>
      </c>
      <c r="H3027" s="28">
        <v>0</v>
      </c>
      <c r="J3027" s="28"/>
    </row>
    <row r="3028" spans="1:10" ht="15.75" customHeight="1">
      <c r="A3028" s="28">
        <v>19179</v>
      </c>
      <c r="B3028" s="91">
        <v>45102.549780092595</v>
      </c>
      <c r="C3028" s="28" t="s">
        <v>10</v>
      </c>
      <c r="D3028" s="28" t="s">
        <v>501</v>
      </c>
      <c r="E3028" s="28" t="s">
        <v>28</v>
      </c>
      <c r="F3028" s="28">
        <v>55</v>
      </c>
      <c r="G3028" s="28">
        <v>101684</v>
      </c>
      <c r="H3028" s="28">
        <v>0</v>
      </c>
      <c r="J3028" s="28"/>
    </row>
    <row r="3029" spans="1:10" ht="15.75" customHeight="1">
      <c r="A3029" s="28">
        <v>19179</v>
      </c>
      <c r="B3029" s="91">
        <v>45102.549780092595</v>
      </c>
      <c r="C3029" s="28" t="s">
        <v>10</v>
      </c>
      <c r="D3029" s="28" t="s">
        <v>501</v>
      </c>
      <c r="E3029" s="28" t="s">
        <v>28</v>
      </c>
      <c r="F3029" s="28">
        <v>0</v>
      </c>
      <c r="G3029" s="28" t="s">
        <v>118</v>
      </c>
      <c r="H3029" s="28">
        <v>0</v>
      </c>
      <c r="J3029" s="28"/>
    </row>
    <row r="3030" spans="1:10" ht="15.75" customHeight="1">
      <c r="A3030" s="28">
        <v>19179</v>
      </c>
      <c r="B3030" s="91">
        <v>45102.549780092595</v>
      </c>
      <c r="C3030" s="28" t="s">
        <v>10</v>
      </c>
      <c r="D3030" s="28" t="s">
        <v>501</v>
      </c>
      <c r="E3030" s="28" t="s">
        <v>28</v>
      </c>
      <c r="F3030" s="28">
        <v>0</v>
      </c>
      <c r="G3030" s="28" t="s">
        <v>119</v>
      </c>
      <c r="H3030" s="28">
        <v>0</v>
      </c>
      <c r="J3030" s="28"/>
    </row>
    <row r="3031" spans="1:10" ht="15.75" customHeight="1">
      <c r="A3031" s="28">
        <v>19179</v>
      </c>
      <c r="B3031" s="91">
        <v>45102.549780092595</v>
      </c>
      <c r="C3031" s="28" t="s">
        <v>10</v>
      </c>
      <c r="D3031" s="28" t="s">
        <v>501</v>
      </c>
      <c r="E3031" s="28" t="s">
        <v>28</v>
      </c>
      <c r="F3031" s="28">
        <v>0</v>
      </c>
      <c r="G3031" s="28" t="s">
        <v>120</v>
      </c>
      <c r="H3031" s="28">
        <v>0</v>
      </c>
      <c r="J3031" s="28"/>
    </row>
    <row r="3032" spans="1:10" ht="15.75" customHeight="1">
      <c r="A3032" s="28">
        <v>19179</v>
      </c>
      <c r="B3032" s="91">
        <v>45102.549780092595</v>
      </c>
      <c r="C3032" s="28" t="s">
        <v>10</v>
      </c>
      <c r="D3032" s="28" t="s">
        <v>501</v>
      </c>
      <c r="E3032" s="28" t="s">
        <v>28</v>
      </c>
      <c r="F3032" s="28">
        <v>0</v>
      </c>
      <c r="G3032" s="28" t="s">
        <v>121</v>
      </c>
      <c r="H3032" s="28">
        <v>0</v>
      </c>
      <c r="J3032" s="28"/>
    </row>
    <row r="3033" spans="1:10" ht="15.75" customHeight="1">
      <c r="A3033" s="28">
        <v>19180</v>
      </c>
      <c r="B3033" s="91">
        <v>45102.550983796296</v>
      </c>
      <c r="C3033" s="28" t="s">
        <v>10</v>
      </c>
      <c r="D3033" s="28" t="s">
        <v>500</v>
      </c>
      <c r="E3033" s="28" t="s">
        <v>28</v>
      </c>
      <c r="F3033" s="28">
        <v>28</v>
      </c>
      <c r="G3033" s="28" t="s">
        <v>143</v>
      </c>
      <c r="H3033" s="28">
        <v>0</v>
      </c>
      <c r="J3033" s="28"/>
    </row>
    <row r="3034" spans="1:10" ht="15.75" customHeight="1">
      <c r="A3034" s="28">
        <v>19181</v>
      </c>
      <c r="B3034" s="91">
        <v>45102.554224537038</v>
      </c>
      <c r="C3034" s="28" t="s">
        <v>10</v>
      </c>
      <c r="D3034" s="28" t="s">
        <v>499</v>
      </c>
      <c r="E3034" s="28" t="s">
        <v>28</v>
      </c>
      <c r="F3034" s="28">
        <v>25</v>
      </c>
      <c r="G3034" s="28">
        <v>100692</v>
      </c>
      <c r="H3034" s="28">
        <v>0</v>
      </c>
      <c r="J3034" s="28"/>
    </row>
    <row r="3035" spans="1:10" ht="15.75" customHeight="1">
      <c r="A3035" s="28">
        <v>19181</v>
      </c>
      <c r="B3035" s="91">
        <v>45102.554224537038</v>
      </c>
      <c r="C3035" s="28" t="s">
        <v>10</v>
      </c>
      <c r="D3035" s="28" t="s">
        <v>499</v>
      </c>
      <c r="E3035" s="28" t="s">
        <v>28</v>
      </c>
      <c r="F3035" s="28">
        <v>0</v>
      </c>
      <c r="G3035" s="28" t="s">
        <v>125</v>
      </c>
      <c r="H3035" s="28">
        <v>0</v>
      </c>
      <c r="J3035" s="28"/>
    </row>
    <row r="3036" spans="1:10" ht="15.75" customHeight="1">
      <c r="A3036" s="28">
        <v>19181</v>
      </c>
      <c r="B3036" s="91">
        <v>45102.554224537038</v>
      </c>
      <c r="C3036" s="28" t="s">
        <v>10</v>
      </c>
      <c r="D3036" s="28" t="s">
        <v>499</v>
      </c>
      <c r="E3036" s="28" t="s">
        <v>28</v>
      </c>
      <c r="F3036" s="28">
        <v>0</v>
      </c>
      <c r="G3036" s="28" t="s">
        <v>119</v>
      </c>
      <c r="H3036" s="28">
        <v>0</v>
      </c>
      <c r="J3036" s="28"/>
    </row>
    <row r="3037" spans="1:10" ht="15.75" customHeight="1">
      <c r="A3037" s="28">
        <v>19182</v>
      </c>
      <c r="B3037" s="91">
        <v>45102.555543981478</v>
      </c>
      <c r="C3037" s="28" t="s">
        <v>10</v>
      </c>
      <c r="D3037" s="28" t="s">
        <v>498</v>
      </c>
      <c r="E3037" s="28" t="s">
        <v>28</v>
      </c>
      <c r="F3037" s="28">
        <v>25</v>
      </c>
      <c r="G3037" s="28">
        <v>100692</v>
      </c>
      <c r="H3037" s="28">
        <v>0</v>
      </c>
      <c r="J3037" s="28"/>
    </row>
    <row r="3038" spans="1:10" ht="15.75" customHeight="1">
      <c r="A3038" s="28">
        <v>19182</v>
      </c>
      <c r="B3038" s="91">
        <v>45102.555543981478</v>
      </c>
      <c r="C3038" s="28" t="s">
        <v>10</v>
      </c>
      <c r="D3038" s="28" t="s">
        <v>498</v>
      </c>
      <c r="E3038" s="28" t="s">
        <v>28</v>
      </c>
      <c r="F3038" s="28">
        <v>0</v>
      </c>
      <c r="G3038" s="28" t="s">
        <v>125</v>
      </c>
      <c r="H3038" s="28">
        <v>0</v>
      </c>
      <c r="J3038" s="28"/>
    </row>
    <row r="3039" spans="1:10" ht="15.75" customHeight="1">
      <c r="A3039" s="28">
        <v>19182</v>
      </c>
      <c r="B3039" s="91">
        <v>45102.555543981478</v>
      </c>
      <c r="C3039" s="28" t="s">
        <v>10</v>
      </c>
      <c r="D3039" s="28" t="s">
        <v>498</v>
      </c>
      <c r="E3039" s="28" t="s">
        <v>28</v>
      </c>
      <c r="F3039" s="28">
        <v>0</v>
      </c>
      <c r="G3039" s="28" t="s">
        <v>119</v>
      </c>
      <c r="H3039" s="28">
        <v>0</v>
      </c>
      <c r="J3039" s="28"/>
    </row>
    <row r="3040" spans="1:10" ht="15.75" customHeight="1">
      <c r="A3040" s="28">
        <v>19183</v>
      </c>
      <c r="B3040" s="91">
        <v>45102.573680555557</v>
      </c>
      <c r="C3040" s="28" t="s">
        <v>10</v>
      </c>
      <c r="D3040" s="28" t="s">
        <v>497</v>
      </c>
      <c r="E3040" s="28" t="s">
        <v>28</v>
      </c>
      <c r="F3040" s="28">
        <v>25</v>
      </c>
      <c r="G3040" s="28">
        <v>100692</v>
      </c>
      <c r="H3040" s="28">
        <v>0</v>
      </c>
      <c r="J3040" s="28"/>
    </row>
    <row r="3041" spans="1:10" ht="15.75" customHeight="1">
      <c r="A3041" s="28">
        <v>19183</v>
      </c>
      <c r="B3041" s="91">
        <v>45102.573680555557</v>
      </c>
      <c r="C3041" s="28" t="s">
        <v>10</v>
      </c>
      <c r="D3041" s="28" t="s">
        <v>497</v>
      </c>
      <c r="E3041" s="28" t="s">
        <v>28</v>
      </c>
      <c r="F3041" s="28">
        <v>0</v>
      </c>
      <c r="G3041" s="28" t="s">
        <v>125</v>
      </c>
      <c r="H3041" s="28">
        <v>0</v>
      </c>
      <c r="J3041" s="28"/>
    </row>
    <row r="3042" spans="1:10" ht="15.75" customHeight="1">
      <c r="A3042" s="28">
        <v>19183</v>
      </c>
      <c r="B3042" s="91">
        <v>45102.573680555557</v>
      </c>
      <c r="C3042" s="28" t="s">
        <v>10</v>
      </c>
      <c r="D3042" s="28" t="s">
        <v>497</v>
      </c>
      <c r="E3042" s="28" t="s">
        <v>28</v>
      </c>
      <c r="F3042" s="28">
        <v>0</v>
      </c>
      <c r="G3042" s="28" t="s">
        <v>119</v>
      </c>
      <c r="H3042" s="28">
        <v>0</v>
      </c>
      <c r="J3042" s="28"/>
    </row>
    <row r="3043" spans="1:10" ht="15.75" customHeight="1">
      <c r="A3043" s="28">
        <v>19184</v>
      </c>
      <c r="B3043" s="91">
        <v>45102.583333333328</v>
      </c>
      <c r="C3043" s="28" t="s">
        <v>10</v>
      </c>
      <c r="D3043" s="28" t="s">
        <v>496</v>
      </c>
      <c r="E3043" s="28" t="s">
        <v>28</v>
      </c>
      <c r="F3043" s="28">
        <v>35</v>
      </c>
      <c r="G3043" s="28" t="s">
        <v>124</v>
      </c>
      <c r="H3043" s="28">
        <v>0</v>
      </c>
      <c r="J3043" s="28"/>
    </row>
    <row r="3044" spans="1:10" ht="15.75" customHeight="1">
      <c r="A3044" s="28">
        <v>19184</v>
      </c>
      <c r="B3044" s="91">
        <v>45102.583333333328</v>
      </c>
      <c r="C3044" s="28" t="s">
        <v>10</v>
      </c>
      <c r="D3044" s="28" t="s">
        <v>496</v>
      </c>
      <c r="E3044" s="28" t="s">
        <v>28</v>
      </c>
      <c r="F3044" s="28">
        <v>0</v>
      </c>
      <c r="G3044" s="28" t="s">
        <v>125</v>
      </c>
      <c r="H3044" s="28">
        <v>0</v>
      </c>
      <c r="J3044" s="28"/>
    </row>
    <row r="3045" spans="1:10" ht="15.75" customHeight="1">
      <c r="A3045" s="28">
        <v>19184</v>
      </c>
      <c r="B3045" s="91">
        <v>45102.583333333328</v>
      </c>
      <c r="C3045" s="28" t="s">
        <v>10</v>
      </c>
      <c r="D3045" s="28" t="s">
        <v>496</v>
      </c>
      <c r="E3045" s="28" t="s">
        <v>28</v>
      </c>
      <c r="F3045" s="28">
        <v>0</v>
      </c>
      <c r="G3045" s="28" t="s">
        <v>119</v>
      </c>
      <c r="H3045" s="28">
        <v>0</v>
      </c>
      <c r="J3045" s="28"/>
    </row>
    <row r="3046" spans="1:10" ht="15.75" customHeight="1">
      <c r="A3046" s="28">
        <v>19184</v>
      </c>
      <c r="B3046" s="91">
        <v>45102.583333333328</v>
      </c>
      <c r="C3046" s="28" t="s">
        <v>10</v>
      </c>
      <c r="D3046" s="28" t="s">
        <v>496</v>
      </c>
      <c r="E3046" s="28" t="s">
        <v>28</v>
      </c>
      <c r="F3046" s="28">
        <v>0</v>
      </c>
      <c r="G3046" s="28" t="s">
        <v>121</v>
      </c>
      <c r="H3046" s="28">
        <v>0</v>
      </c>
      <c r="J3046" s="28"/>
    </row>
    <row r="3047" spans="1:10" ht="15.75" customHeight="1">
      <c r="A3047" s="28">
        <v>19185</v>
      </c>
      <c r="B3047" s="91">
        <v>45102.584664351853</v>
      </c>
      <c r="C3047" s="28" t="s">
        <v>10</v>
      </c>
      <c r="D3047" s="28" t="s">
        <v>495</v>
      </c>
      <c r="E3047" s="28" t="s">
        <v>28</v>
      </c>
      <c r="F3047" s="28">
        <v>15</v>
      </c>
      <c r="G3047" s="28" t="s">
        <v>125</v>
      </c>
      <c r="H3047" s="28">
        <v>0</v>
      </c>
      <c r="J3047" s="28"/>
    </row>
    <row r="3048" spans="1:10" ht="15.75" customHeight="1">
      <c r="A3048" s="28">
        <v>19186</v>
      </c>
      <c r="B3048" s="91">
        <v>45102.585497685184</v>
      </c>
      <c r="C3048" s="28" t="s">
        <v>10</v>
      </c>
      <c r="D3048" s="28" t="s">
        <v>494</v>
      </c>
      <c r="E3048" s="28" t="s">
        <v>28</v>
      </c>
      <c r="F3048" s="28">
        <v>35</v>
      </c>
      <c r="G3048" s="28" t="s">
        <v>124</v>
      </c>
      <c r="H3048" s="28">
        <v>0</v>
      </c>
      <c r="J3048" s="28"/>
    </row>
    <row r="3049" spans="1:10" ht="15.75" customHeight="1">
      <c r="A3049" s="28">
        <v>19186</v>
      </c>
      <c r="B3049" s="91">
        <v>45102.585497685184</v>
      </c>
      <c r="C3049" s="28" t="s">
        <v>10</v>
      </c>
      <c r="D3049" s="28" t="s">
        <v>494</v>
      </c>
      <c r="E3049" s="28" t="s">
        <v>28</v>
      </c>
      <c r="F3049" s="28">
        <v>0</v>
      </c>
      <c r="G3049" s="28" t="s">
        <v>125</v>
      </c>
      <c r="H3049" s="28">
        <v>0</v>
      </c>
      <c r="J3049" s="28"/>
    </row>
    <row r="3050" spans="1:10" ht="15.75" customHeight="1">
      <c r="A3050" s="28">
        <v>19186</v>
      </c>
      <c r="B3050" s="91">
        <v>45102.585497685184</v>
      </c>
      <c r="C3050" s="28" t="s">
        <v>10</v>
      </c>
      <c r="D3050" s="28" t="s">
        <v>494</v>
      </c>
      <c r="E3050" s="28" t="s">
        <v>28</v>
      </c>
      <c r="F3050" s="28">
        <v>0</v>
      </c>
      <c r="G3050" s="28" t="s">
        <v>119</v>
      </c>
      <c r="H3050" s="28">
        <v>0</v>
      </c>
      <c r="J3050" s="28"/>
    </row>
    <row r="3051" spans="1:10" ht="15.75" customHeight="1">
      <c r="A3051" s="28">
        <v>19186</v>
      </c>
      <c r="B3051" s="91">
        <v>45102.585497685184</v>
      </c>
      <c r="C3051" s="28" t="s">
        <v>10</v>
      </c>
      <c r="D3051" s="28" t="s">
        <v>494</v>
      </c>
      <c r="E3051" s="28" t="s">
        <v>28</v>
      </c>
      <c r="F3051" s="28">
        <v>0</v>
      </c>
      <c r="G3051" s="28" t="s">
        <v>121</v>
      </c>
      <c r="H3051" s="28">
        <v>0</v>
      </c>
      <c r="J3051" s="28"/>
    </row>
    <row r="3052" spans="1:10" ht="15.75" customHeight="1">
      <c r="A3052" s="28">
        <v>19187</v>
      </c>
      <c r="B3052" s="91">
        <v>45102.586817129632</v>
      </c>
      <c r="C3052" s="28" t="s">
        <v>10</v>
      </c>
      <c r="D3052" s="28" t="s">
        <v>493</v>
      </c>
      <c r="E3052" s="28" t="s">
        <v>28</v>
      </c>
      <c r="F3052" s="28">
        <v>35</v>
      </c>
      <c r="G3052" s="28" t="s">
        <v>124</v>
      </c>
      <c r="H3052" s="28">
        <v>0</v>
      </c>
      <c r="J3052" s="28"/>
    </row>
    <row r="3053" spans="1:10" ht="15.75" customHeight="1">
      <c r="A3053" s="28">
        <v>19187</v>
      </c>
      <c r="B3053" s="91">
        <v>45102.586817129632</v>
      </c>
      <c r="C3053" s="28" t="s">
        <v>10</v>
      </c>
      <c r="D3053" s="28" t="s">
        <v>493</v>
      </c>
      <c r="E3053" s="28" t="s">
        <v>28</v>
      </c>
      <c r="F3053" s="28">
        <v>0</v>
      </c>
      <c r="G3053" s="28" t="s">
        <v>125</v>
      </c>
      <c r="H3053" s="28">
        <v>0</v>
      </c>
      <c r="J3053" s="28"/>
    </row>
    <row r="3054" spans="1:10" ht="15.75" customHeight="1">
      <c r="A3054" s="28">
        <v>19187</v>
      </c>
      <c r="B3054" s="91">
        <v>45102.586817129632</v>
      </c>
      <c r="C3054" s="28" t="s">
        <v>10</v>
      </c>
      <c r="D3054" s="28" t="s">
        <v>493</v>
      </c>
      <c r="E3054" s="28" t="s">
        <v>28</v>
      </c>
      <c r="F3054" s="28">
        <v>0</v>
      </c>
      <c r="G3054" s="28" t="s">
        <v>119</v>
      </c>
      <c r="H3054" s="28">
        <v>0</v>
      </c>
      <c r="J3054" s="28"/>
    </row>
    <row r="3055" spans="1:10" ht="15.75" customHeight="1">
      <c r="A3055" s="28">
        <v>19187</v>
      </c>
      <c r="B3055" s="91">
        <v>45102.586817129632</v>
      </c>
      <c r="C3055" s="28" t="s">
        <v>10</v>
      </c>
      <c r="D3055" s="28" t="s">
        <v>493</v>
      </c>
      <c r="E3055" s="28" t="s">
        <v>28</v>
      </c>
      <c r="F3055" s="28">
        <v>0</v>
      </c>
      <c r="G3055" s="28" t="s">
        <v>121</v>
      </c>
      <c r="H3055" s="28">
        <v>0</v>
      </c>
      <c r="J3055" s="28"/>
    </row>
    <row r="3056" spans="1:10" ht="15.75" customHeight="1">
      <c r="A3056" s="28">
        <v>19188</v>
      </c>
      <c r="B3056" s="91">
        <v>45102.595138888893</v>
      </c>
      <c r="C3056" s="28" t="s">
        <v>10</v>
      </c>
      <c r="D3056" s="28" t="s">
        <v>492</v>
      </c>
      <c r="E3056" s="28" t="s">
        <v>87</v>
      </c>
      <c r="F3056" s="28">
        <v>35</v>
      </c>
      <c r="G3056" s="28" t="s">
        <v>124</v>
      </c>
      <c r="H3056" s="28">
        <v>0</v>
      </c>
      <c r="J3056" s="28"/>
    </row>
    <row r="3057" spans="1:10" ht="15.75" customHeight="1">
      <c r="A3057" s="28">
        <v>19188</v>
      </c>
      <c r="B3057" s="91">
        <v>45102.595138888893</v>
      </c>
      <c r="C3057" s="28" t="s">
        <v>10</v>
      </c>
      <c r="D3057" s="28" t="s">
        <v>492</v>
      </c>
      <c r="E3057" s="28" t="s">
        <v>87</v>
      </c>
      <c r="F3057" s="28">
        <v>0</v>
      </c>
      <c r="G3057" s="28" t="s">
        <v>125</v>
      </c>
      <c r="H3057" s="28">
        <v>0</v>
      </c>
      <c r="J3057" s="28"/>
    </row>
    <row r="3058" spans="1:10" ht="15.75" customHeight="1">
      <c r="A3058" s="28">
        <v>19188</v>
      </c>
      <c r="B3058" s="91">
        <v>45102.595138888893</v>
      </c>
      <c r="C3058" s="28" t="s">
        <v>10</v>
      </c>
      <c r="D3058" s="28" t="s">
        <v>492</v>
      </c>
      <c r="E3058" s="28" t="s">
        <v>87</v>
      </c>
      <c r="F3058" s="28">
        <v>0</v>
      </c>
      <c r="G3058" s="28" t="s">
        <v>119</v>
      </c>
      <c r="H3058" s="28">
        <v>0</v>
      </c>
      <c r="J3058" s="28"/>
    </row>
    <row r="3059" spans="1:10" ht="15.75" customHeight="1">
      <c r="A3059" s="28">
        <v>19188</v>
      </c>
      <c r="B3059" s="91">
        <v>45102.595138888893</v>
      </c>
      <c r="C3059" s="28" t="s">
        <v>10</v>
      </c>
      <c r="D3059" s="28" t="s">
        <v>492</v>
      </c>
      <c r="E3059" s="28" t="s">
        <v>87</v>
      </c>
      <c r="F3059" s="28">
        <v>0</v>
      </c>
      <c r="G3059" s="28" t="s">
        <v>121</v>
      </c>
      <c r="H3059" s="28">
        <v>0</v>
      </c>
      <c r="J3059" s="28"/>
    </row>
    <row r="3060" spans="1:10" ht="15.75" customHeight="1">
      <c r="A3060" s="28">
        <v>19189</v>
      </c>
      <c r="B3060" s="91">
        <v>45102.597893518519</v>
      </c>
      <c r="C3060" s="28" t="s">
        <v>10</v>
      </c>
      <c r="D3060" s="28" t="s">
        <v>491</v>
      </c>
      <c r="E3060" s="28" t="s">
        <v>28</v>
      </c>
      <c r="F3060" s="28">
        <v>26</v>
      </c>
      <c r="G3060" s="28" t="s">
        <v>122</v>
      </c>
      <c r="H3060" s="28">
        <v>0</v>
      </c>
      <c r="J3060" s="28"/>
    </row>
    <row r="3061" spans="1:10" ht="15.75" customHeight="1">
      <c r="A3061" s="28">
        <v>19190</v>
      </c>
      <c r="B3061" s="91">
        <v>45102.607210648144</v>
      </c>
      <c r="C3061" s="28" t="s">
        <v>10</v>
      </c>
      <c r="D3061" s="28" t="s">
        <v>490</v>
      </c>
      <c r="E3061" s="28" t="s">
        <v>28</v>
      </c>
      <c r="F3061" s="28">
        <v>25</v>
      </c>
      <c r="G3061" s="28">
        <v>100692</v>
      </c>
      <c r="H3061" s="28">
        <v>0</v>
      </c>
      <c r="J3061" s="28"/>
    </row>
    <row r="3062" spans="1:10" ht="15.75" customHeight="1">
      <c r="A3062" s="28">
        <v>19190</v>
      </c>
      <c r="B3062" s="91">
        <v>45102.607210648144</v>
      </c>
      <c r="C3062" s="28" t="s">
        <v>10</v>
      </c>
      <c r="D3062" s="28" t="s">
        <v>490</v>
      </c>
      <c r="E3062" s="28" t="s">
        <v>28</v>
      </c>
      <c r="F3062" s="28">
        <v>0</v>
      </c>
      <c r="G3062" s="28" t="s">
        <v>125</v>
      </c>
      <c r="H3062" s="28">
        <v>0</v>
      </c>
      <c r="J3062" s="28"/>
    </row>
    <row r="3063" spans="1:10" ht="15.75" customHeight="1">
      <c r="A3063" s="28">
        <v>19190</v>
      </c>
      <c r="B3063" s="91">
        <v>45102.607210648144</v>
      </c>
      <c r="C3063" s="28" t="s">
        <v>10</v>
      </c>
      <c r="D3063" s="28" t="s">
        <v>490</v>
      </c>
      <c r="E3063" s="28" t="s">
        <v>28</v>
      </c>
      <c r="F3063" s="28">
        <v>0</v>
      </c>
      <c r="G3063" s="28" t="s">
        <v>119</v>
      </c>
      <c r="H3063" s="28">
        <v>0</v>
      </c>
      <c r="J3063" s="28"/>
    </row>
    <row r="3064" spans="1:10" ht="15.75" customHeight="1">
      <c r="A3064" s="28">
        <v>19191</v>
      </c>
      <c r="B3064" s="91">
        <v>45102.608113425929</v>
      </c>
      <c r="C3064" s="28" t="s">
        <v>10</v>
      </c>
      <c r="D3064" s="28" t="s">
        <v>489</v>
      </c>
      <c r="E3064" s="28" t="s">
        <v>28</v>
      </c>
      <c r="F3064" s="28">
        <v>28</v>
      </c>
      <c r="G3064" s="28" t="s">
        <v>143</v>
      </c>
      <c r="H3064" s="28">
        <v>0</v>
      </c>
      <c r="J3064" s="28"/>
    </row>
    <row r="3065" spans="1:10" ht="15.75" customHeight="1">
      <c r="A3065" s="28">
        <v>19192</v>
      </c>
      <c r="B3065" s="91">
        <v>45102.60869212963</v>
      </c>
      <c r="C3065" s="28" t="s">
        <v>10</v>
      </c>
      <c r="D3065" s="28" t="s">
        <v>488</v>
      </c>
      <c r="E3065" s="28" t="s">
        <v>28</v>
      </c>
      <c r="F3065" s="28">
        <v>15</v>
      </c>
      <c r="G3065" s="28" t="s">
        <v>125</v>
      </c>
      <c r="H3065" s="28">
        <v>0</v>
      </c>
      <c r="J3065" s="28"/>
    </row>
    <row r="3066" spans="1:10" ht="15.75" customHeight="1">
      <c r="A3066" s="28">
        <v>19192</v>
      </c>
      <c r="B3066" s="91">
        <v>45102.60869212963</v>
      </c>
      <c r="C3066" s="28" t="s">
        <v>10</v>
      </c>
      <c r="D3066" s="28" t="s">
        <v>488</v>
      </c>
      <c r="E3066" s="28" t="s">
        <v>28</v>
      </c>
      <c r="F3066" s="28">
        <v>0</v>
      </c>
      <c r="G3066" s="28" t="s">
        <v>117</v>
      </c>
      <c r="H3066" s="28">
        <v>0</v>
      </c>
      <c r="J3066" s="28"/>
    </row>
    <row r="3067" spans="1:10" ht="15.75" customHeight="1">
      <c r="A3067" s="28">
        <v>19193</v>
      </c>
      <c r="B3067" s="91">
        <v>45102.631261574075</v>
      </c>
      <c r="C3067" s="28" t="s">
        <v>10</v>
      </c>
      <c r="D3067" s="28" t="s">
        <v>487</v>
      </c>
      <c r="E3067" s="28" t="s">
        <v>28</v>
      </c>
      <c r="F3067" s="28">
        <v>26</v>
      </c>
      <c r="G3067" s="28" t="s">
        <v>122</v>
      </c>
      <c r="H3067" s="28">
        <v>0</v>
      </c>
      <c r="J3067" s="28"/>
    </row>
    <row r="3068" spans="1:10" ht="15.75" customHeight="1">
      <c r="A3068" s="28">
        <v>19194</v>
      </c>
      <c r="B3068" s="91">
        <v>45102.799293981487</v>
      </c>
      <c r="C3068" s="28" t="s">
        <v>10</v>
      </c>
      <c r="D3068" s="28" t="s">
        <v>486</v>
      </c>
      <c r="E3068" s="28" t="s">
        <v>28</v>
      </c>
      <c r="F3068" s="28">
        <v>28</v>
      </c>
      <c r="G3068" s="28" t="s">
        <v>143</v>
      </c>
      <c r="H3068" s="28">
        <v>0</v>
      </c>
      <c r="J3068" s="28"/>
    </row>
    <row r="3069" spans="1:10" ht="15.75" customHeight="1">
      <c r="A3069" s="28">
        <v>19195</v>
      </c>
      <c r="B3069" s="91">
        <v>45102.870659722219</v>
      </c>
      <c r="C3069" s="28" t="s">
        <v>10</v>
      </c>
      <c r="D3069" s="28" t="s">
        <v>485</v>
      </c>
      <c r="E3069" s="28" t="s">
        <v>28</v>
      </c>
      <c r="F3069" s="28">
        <v>15</v>
      </c>
      <c r="G3069" s="28" t="s">
        <v>125</v>
      </c>
      <c r="H3069" s="28">
        <v>0</v>
      </c>
      <c r="J3069" s="28"/>
    </row>
    <row r="3070" spans="1:10" ht="15.75" customHeight="1">
      <c r="A3070" s="28">
        <v>19196</v>
      </c>
      <c r="B3070" s="91">
        <v>45102.872731481482</v>
      </c>
      <c r="C3070" s="28" t="s">
        <v>10</v>
      </c>
      <c r="D3070" s="28" t="s">
        <v>484</v>
      </c>
      <c r="E3070" s="28" t="s">
        <v>28</v>
      </c>
      <c r="F3070" s="28">
        <v>15</v>
      </c>
      <c r="G3070" s="28" t="s">
        <v>125</v>
      </c>
      <c r="H3070" s="28">
        <v>0</v>
      </c>
      <c r="J3070" s="28"/>
    </row>
    <row r="3071" spans="1:10" ht="15.75" customHeight="1">
      <c r="A3071" s="28">
        <v>19197</v>
      </c>
      <c r="B3071" s="91">
        <v>45102.874652777777</v>
      </c>
      <c r="C3071" s="28" t="s">
        <v>10</v>
      </c>
      <c r="D3071" s="28" t="s">
        <v>483</v>
      </c>
      <c r="E3071" s="28" t="s">
        <v>28</v>
      </c>
      <c r="F3071" s="28">
        <v>0</v>
      </c>
      <c r="G3071" s="28" t="s">
        <v>117</v>
      </c>
      <c r="H3071" s="28">
        <v>0</v>
      </c>
      <c r="J3071" s="28"/>
    </row>
    <row r="3072" spans="1:10" ht="15.75" customHeight="1">
      <c r="A3072" s="28">
        <v>19197</v>
      </c>
      <c r="B3072" s="91">
        <v>45102.874652777777</v>
      </c>
      <c r="C3072" s="28" t="s">
        <v>10</v>
      </c>
      <c r="D3072" s="28" t="s">
        <v>483</v>
      </c>
      <c r="E3072" s="28" t="s">
        <v>28</v>
      </c>
      <c r="F3072" s="28">
        <v>25</v>
      </c>
      <c r="G3072" s="28" t="s">
        <v>120</v>
      </c>
      <c r="H3072" s="28">
        <v>0</v>
      </c>
      <c r="J3072" s="28"/>
    </row>
    <row r="3073" spans="1:10" ht="15.75" customHeight="1">
      <c r="A3073" s="28">
        <v>19197</v>
      </c>
      <c r="B3073" s="91">
        <v>45102.874652777777</v>
      </c>
      <c r="C3073" s="28" t="s">
        <v>10</v>
      </c>
      <c r="D3073" s="28" t="s">
        <v>483</v>
      </c>
      <c r="E3073" s="28" t="s">
        <v>28</v>
      </c>
      <c r="F3073" s="28">
        <v>28</v>
      </c>
      <c r="G3073" s="28" t="s">
        <v>143</v>
      </c>
      <c r="H3073" s="28">
        <v>0</v>
      </c>
      <c r="J3073" s="28"/>
    </row>
    <row r="3074" spans="1:10" ht="15.75" customHeight="1">
      <c r="A3074" s="28">
        <v>19198</v>
      </c>
      <c r="B3074" s="91">
        <v>45102.989282407405</v>
      </c>
      <c r="C3074" s="28" t="s">
        <v>10</v>
      </c>
      <c r="D3074" s="28" t="s">
        <v>482</v>
      </c>
      <c r="E3074" s="28" t="s">
        <v>28</v>
      </c>
      <c r="F3074" s="28">
        <v>35</v>
      </c>
      <c r="G3074" s="28" t="s">
        <v>124</v>
      </c>
      <c r="H3074" s="28">
        <v>0</v>
      </c>
      <c r="J3074" s="28"/>
    </row>
    <row r="3075" spans="1:10" ht="15.75" customHeight="1">
      <c r="A3075" s="28">
        <v>19198</v>
      </c>
      <c r="B3075" s="91">
        <v>45102.989282407405</v>
      </c>
      <c r="C3075" s="28" t="s">
        <v>10</v>
      </c>
      <c r="D3075" s="28" t="s">
        <v>482</v>
      </c>
      <c r="E3075" s="28" t="s">
        <v>28</v>
      </c>
      <c r="F3075" s="28">
        <v>0</v>
      </c>
      <c r="G3075" s="28" t="s">
        <v>125</v>
      </c>
      <c r="H3075" s="28">
        <v>0</v>
      </c>
      <c r="J3075" s="28"/>
    </row>
    <row r="3076" spans="1:10" ht="15.75" customHeight="1">
      <c r="A3076" s="28">
        <v>19198</v>
      </c>
      <c r="B3076" s="91">
        <v>45102.989282407405</v>
      </c>
      <c r="C3076" s="28" t="s">
        <v>10</v>
      </c>
      <c r="D3076" s="28" t="s">
        <v>482</v>
      </c>
      <c r="E3076" s="28" t="s">
        <v>28</v>
      </c>
      <c r="F3076" s="28">
        <v>0</v>
      </c>
      <c r="G3076" s="28" t="s">
        <v>119</v>
      </c>
      <c r="H3076" s="28">
        <v>0</v>
      </c>
      <c r="J3076" s="28"/>
    </row>
    <row r="3077" spans="1:10" ht="15.75" customHeight="1">
      <c r="A3077" s="28">
        <v>19198</v>
      </c>
      <c r="B3077" s="91">
        <v>45102.989282407405</v>
      </c>
      <c r="C3077" s="28" t="s">
        <v>10</v>
      </c>
      <c r="D3077" s="28" t="s">
        <v>482</v>
      </c>
      <c r="E3077" s="28" t="s">
        <v>28</v>
      </c>
      <c r="F3077" s="28">
        <v>0</v>
      </c>
      <c r="G3077" s="28" t="s">
        <v>121</v>
      </c>
      <c r="H3077" s="28">
        <v>0</v>
      </c>
      <c r="J3077" s="28"/>
    </row>
    <row r="3078" spans="1:10" ht="15.75" customHeight="1">
      <c r="A3078" s="28">
        <v>19199</v>
      </c>
      <c r="B3078" s="91">
        <v>45102.990740740745</v>
      </c>
      <c r="C3078" s="28" t="s">
        <v>10</v>
      </c>
      <c r="D3078" s="28" t="s">
        <v>481</v>
      </c>
      <c r="E3078" s="28" t="s">
        <v>28</v>
      </c>
      <c r="F3078" s="28">
        <v>26</v>
      </c>
      <c r="G3078" s="28" t="s">
        <v>122</v>
      </c>
      <c r="H3078" s="28">
        <v>0</v>
      </c>
      <c r="J3078" s="28"/>
    </row>
    <row r="3079" spans="1:10" ht="15.75" customHeight="1">
      <c r="A3079" s="28">
        <v>19199</v>
      </c>
      <c r="B3079" s="91">
        <v>45102.990740740745</v>
      </c>
      <c r="C3079" s="28" t="s">
        <v>10</v>
      </c>
      <c r="D3079" s="28" t="s">
        <v>481</v>
      </c>
      <c r="E3079" s="28" t="s">
        <v>28</v>
      </c>
      <c r="F3079" s="28">
        <v>26</v>
      </c>
      <c r="G3079" s="28" t="s">
        <v>122</v>
      </c>
      <c r="H3079" s="28">
        <v>0</v>
      </c>
      <c r="J3079" s="28"/>
    </row>
    <row r="3080" spans="1:10" ht="15.75" customHeight="1">
      <c r="A3080" s="28">
        <v>19200</v>
      </c>
      <c r="B3080" s="91">
        <v>45103.034618055557</v>
      </c>
      <c r="C3080" s="28" t="s">
        <v>52</v>
      </c>
      <c r="D3080" s="28" t="s">
        <v>336</v>
      </c>
      <c r="E3080" s="28" t="s">
        <v>28</v>
      </c>
      <c r="F3080" s="28">
        <v>25</v>
      </c>
      <c r="G3080" s="28" t="s">
        <v>118</v>
      </c>
      <c r="H3080" s="28">
        <v>0</v>
      </c>
      <c r="J3080" s="28"/>
    </row>
    <row r="3081" spans="1:10" ht="15.75" customHeight="1">
      <c r="A3081" s="28">
        <v>19201</v>
      </c>
      <c r="B3081" s="91">
        <v>45103.063819444447</v>
      </c>
      <c r="C3081" s="28" t="s">
        <v>10</v>
      </c>
      <c r="D3081" s="28" t="s">
        <v>480</v>
      </c>
      <c r="E3081" s="28" t="s">
        <v>28</v>
      </c>
      <c r="F3081" s="28">
        <v>15</v>
      </c>
      <c r="G3081" s="28" t="s">
        <v>125</v>
      </c>
      <c r="H3081" s="28">
        <v>0</v>
      </c>
      <c r="J3081" s="28"/>
    </row>
    <row r="3082" spans="1:10" ht="15.75" customHeight="1">
      <c r="A3082" s="28">
        <v>19201</v>
      </c>
      <c r="B3082" s="91">
        <v>45103.063819444447</v>
      </c>
      <c r="C3082" s="28" t="s">
        <v>10</v>
      </c>
      <c r="D3082" s="28" t="s">
        <v>480</v>
      </c>
      <c r="E3082" s="28" t="s">
        <v>28</v>
      </c>
      <c r="F3082" s="28">
        <v>0</v>
      </c>
      <c r="G3082" s="28" t="s">
        <v>117</v>
      </c>
      <c r="H3082" s="28">
        <v>0</v>
      </c>
      <c r="J3082" s="28"/>
    </row>
    <row r="3083" spans="1:10" ht="15.75" customHeight="1">
      <c r="A3083" s="28">
        <v>19202</v>
      </c>
      <c r="B3083" s="91">
        <v>45103.557789351849</v>
      </c>
      <c r="C3083" s="28" t="s">
        <v>10</v>
      </c>
      <c r="D3083" s="28" t="s">
        <v>479</v>
      </c>
      <c r="E3083" s="28" t="s">
        <v>28</v>
      </c>
      <c r="F3083" s="28">
        <v>18</v>
      </c>
      <c r="G3083" s="28" t="s">
        <v>457</v>
      </c>
      <c r="H3083" s="28">
        <v>0</v>
      </c>
      <c r="J3083" s="28"/>
    </row>
    <row r="3084" spans="1:10" ht="15.75" customHeight="1">
      <c r="A3084" s="28">
        <v>19202</v>
      </c>
      <c r="B3084" s="91">
        <v>45103.557789351849</v>
      </c>
      <c r="C3084" s="28" t="s">
        <v>10</v>
      </c>
      <c r="D3084" s="28" t="s">
        <v>479</v>
      </c>
      <c r="E3084" s="28" t="s">
        <v>28</v>
      </c>
      <c r="F3084" s="28">
        <v>0</v>
      </c>
      <c r="G3084" s="28" t="s">
        <v>117</v>
      </c>
      <c r="H3084" s="28">
        <v>0</v>
      </c>
      <c r="J3084" s="28"/>
    </row>
    <row r="3085" spans="1:10" ht="15.75" customHeight="1">
      <c r="A3085" s="28">
        <v>19203</v>
      </c>
      <c r="B3085" s="91">
        <v>45103.559212962966</v>
      </c>
      <c r="C3085" s="28" t="s">
        <v>10</v>
      </c>
      <c r="D3085" s="28" t="s">
        <v>478</v>
      </c>
      <c r="E3085" s="28" t="s">
        <v>28</v>
      </c>
      <c r="F3085" s="28">
        <v>0</v>
      </c>
      <c r="G3085" s="28" t="s">
        <v>117</v>
      </c>
      <c r="H3085" s="28">
        <v>0</v>
      </c>
      <c r="J3085" s="28"/>
    </row>
    <row r="3086" spans="1:10" ht="15.75" customHeight="1">
      <c r="A3086" s="28">
        <v>19204</v>
      </c>
      <c r="B3086" s="91">
        <v>45103.649976851855</v>
      </c>
      <c r="C3086" s="28" t="s">
        <v>10</v>
      </c>
      <c r="D3086" s="28" t="s">
        <v>477</v>
      </c>
      <c r="E3086" s="28" t="s">
        <v>28</v>
      </c>
      <c r="F3086" s="28">
        <v>25</v>
      </c>
      <c r="G3086" s="28">
        <v>100692</v>
      </c>
      <c r="H3086" s="28">
        <v>0</v>
      </c>
      <c r="J3086" s="28"/>
    </row>
    <row r="3087" spans="1:10" ht="15.75" customHeight="1">
      <c r="A3087" s="28">
        <v>19204</v>
      </c>
      <c r="B3087" s="91">
        <v>45103.649976851855</v>
      </c>
      <c r="C3087" s="28" t="s">
        <v>10</v>
      </c>
      <c r="D3087" s="28" t="s">
        <v>477</v>
      </c>
      <c r="E3087" s="28" t="s">
        <v>28</v>
      </c>
      <c r="F3087" s="28">
        <v>0</v>
      </c>
      <c r="G3087" s="28" t="s">
        <v>125</v>
      </c>
      <c r="H3087" s="28">
        <v>0</v>
      </c>
      <c r="J3087" s="28"/>
    </row>
    <row r="3088" spans="1:10" ht="15.75" customHeight="1">
      <c r="A3088" s="28">
        <v>19204</v>
      </c>
      <c r="B3088" s="91">
        <v>45103.649976851855</v>
      </c>
      <c r="C3088" s="28" t="s">
        <v>10</v>
      </c>
      <c r="D3088" s="28" t="s">
        <v>477</v>
      </c>
      <c r="E3088" s="28" t="s">
        <v>28</v>
      </c>
      <c r="F3088" s="28">
        <v>0</v>
      </c>
      <c r="G3088" s="28" t="s">
        <v>119</v>
      </c>
      <c r="H3088" s="28">
        <v>0</v>
      </c>
      <c r="J3088" s="28"/>
    </row>
    <row r="3089" spans="1:10" ht="15.75" customHeight="1">
      <c r="A3089" s="28">
        <v>19205</v>
      </c>
      <c r="B3089" s="91">
        <v>45103.657118055555</v>
      </c>
      <c r="C3089" s="28" t="s">
        <v>10</v>
      </c>
      <c r="D3089" s="28" t="s">
        <v>476</v>
      </c>
      <c r="E3089" s="28" t="s">
        <v>28</v>
      </c>
      <c r="F3089" s="28">
        <v>20</v>
      </c>
      <c r="G3089" s="28" t="s">
        <v>148</v>
      </c>
      <c r="H3089" s="28">
        <v>0</v>
      </c>
      <c r="J3089" s="28"/>
    </row>
    <row r="3090" spans="1:10" ht="15.75" customHeight="1">
      <c r="A3090" s="28">
        <v>19206</v>
      </c>
      <c r="B3090" s="91">
        <v>45103.703321759254</v>
      </c>
      <c r="C3090" s="28" t="s">
        <v>10</v>
      </c>
      <c r="D3090" s="28" t="s">
        <v>475</v>
      </c>
      <c r="E3090" s="28" t="s">
        <v>84</v>
      </c>
      <c r="F3090" s="28">
        <v>15</v>
      </c>
      <c r="G3090" s="28" t="s">
        <v>125</v>
      </c>
      <c r="H3090" s="28">
        <v>0</v>
      </c>
      <c r="J3090" s="28"/>
    </row>
    <row r="3091" spans="1:10" ht="15.75" customHeight="1">
      <c r="A3091" s="28">
        <v>19207</v>
      </c>
      <c r="B3091" s="91">
        <v>45103.808854166666</v>
      </c>
      <c r="C3091" s="28" t="s">
        <v>10</v>
      </c>
      <c r="D3091" s="28" t="s">
        <v>474</v>
      </c>
      <c r="E3091" s="28" t="s">
        <v>28</v>
      </c>
      <c r="F3091" s="28">
        <v>26</v>
      </c>
      <c r="G3091" s="28" t="s">
        <v>122</v>
      </c>
      <c r="H3091" s="28">
        <v>0</v>
      </c>
      <c r="J3091" s="28"/>
    </row>
    <row r="3092" spans="1:10" ht="15.75" customHeight="1">
      <c r="A3092" s="28">
        <v>19208</v>
      </c>
      <c r="B3092" s="91">
        <v>45103.869456018518</v>
      </c>
      <c r="C3092" s="28" t="s">
        <v>10</v>
      </c>
      <c r="D3092" s="28" t="s">
        <v>473</v>
      </c>
      <c r="E3092" s="28" t="s">
        <v>28</v>
      </c>
      <c r="F3092" s="28">
        <v>25</v>
      </c>
      <c r="G3092" s="28">
        <v>100692</v>
      </c>
      <c r="H3092" s="28">
        <v>0</v>
      </c>
      <c r="J3092" s="28"/>
    </row>
    <row r="3093" spans="1:10" ht="15.75" customHeight="1">
      <c r="A3093" s="28">
        <v>19208</v>
      </c>
      <c r="B3093" s="91">
        <v>45103.869456018518</v>
      </c>
      <c r="C3093" s="28" t="s">
        <v>10</v>
      </c>
      <c r="D3093" s="28" t="s">
        <v>473</v>
      </c>
      <c r="E3093" s="28" t="s">
        <v>28</v>
      </c>
      <c r="F3093" s="28">
        <v>0</v>
      </c>
      <c r="G3093" s="28" t="s">
        <v>125</v>
      </c>
      <c r="H3093" s="28">
        <v>0</v>
      </c>
      <c r="J3093" s="28"/>
    </row>
    <row r="3094" spans="1:10" ht="15.75" customHeight="1">
      <c r="A3094" s="28">
        <v>19208</v>
      </c>
      <c r="B3094" s="91">
        <v>45103.869456018518</v>
      </c>
      <c r="C3094" s="28" t="s">
        <v>10</v>
      </c>
      <c r="D3094" s="28" t="s">
        <v>473</v>
      </c>
      <c r="E3094" s="28" t="s">
        <v>28</v>
      </c>
      <c r="F3094" s="28">
        <v>0</v>
      </c>
      <c r="G3094" s="28" t="s">
        <v>119</v>
      </c>
      <c r="H3094" s="28">
        <v>0</v>
      </c>
      <c r="J3094" s="28"/>
    </row>
    <row r="3095" spans="1:10" ht="15.75" customHeight="1">
      <c r="A3095" s="28">
        <v>19209</v>
      </c>
      <c r="B3095" s="91">
        <v>45103.873460648145</v>
      </c>
      <c r="C3095" s="28" t="s">
        <v>10</v>
      </c>
      <c r="D3095" s="28" t="s">
        <v>472</v>
      </c>
      <c r="E3095" s="28" t="s">
        <v>28</v>
      </c>
      <c r="F3095" s="28">
        <v>25</v>
      </c>
      <c r="G3095" s="28">
        <v>100692</v>
      </c>
      <c r="H3095" s="28">
        <v>0</v>
      </c>
      <c r="J3095" s="28"/>
    </row>
    <row r="3096" spans="1:10" ht="15.75" customHeight="1">
      <c r="A3096" s="28">
        <v>19209</v>
      </c>
      <c r="B3096" s="91">
        <v>45103.873460648145</v>
      </c>
      <c r="C3096" s="28" t="s">
        <v>10</v>
      </c>
      <c r="D3096" s="28" t="s">
        <v>472</v>
      </c>
      <c r="E3096" s="28" t="s">
        <v>28</v>
      </c>
      <c r="F3096" s="28">
        <v>0</v>
      </c>
      <c r="G3096" s="28" t="s">
        <v>125</v>
      </c>
      <c r="H3096" s="28">
        <v>0</v>
      </c>
      <c r="J3096" s="28"/>
    </row>
    <row r="3097" spans="1:10" ht="15.75" customHeight="1">
      <c r="A3097" s="28">
        <v>19209</v>
      </c>
      <c r="B3097" s="91">
        <v>45103.873460648145</v>
      </c>
      <c r="C3097" s="28" t="s">
        <v>10</v>
      </c>
      <c r="D3097" s="28" t="s">
        <v>472</v>
      </c>
      <c r="E3097" s="28" t="s">
        <v>28</v>
      </c>
      <c r="F3097" s="28">
        <v>0</v>
      </c>
      <c r="G3097" s="28" t="s">
        <v>119</v>
      </c>
      <c r="H3097" s="28">
        <v>0</v>
      </c>
      <c r="J3097" s="28"/>
    </row>
    <row r="3098" spans="1:10" ht="15.75" customHeight="1">
      <c r="A3098" s="28">
        <v>19210</v>
      </c>
      <c r="B3098" s="91">
        <v>45103.95275462963</v>
      </c>
      <c r="C3098" s="28" t="s">
        <v>10</v>
      </c>
      <c r="D3098" s="28" t="s">
        <v>471</v>
      </c>
      <c r="E3098" s="28" t="s">
        <v>28</v>
      </c>
      <c r="F3098" s="28">
        <v>26</v>
      </c>
      <c r="G3098" s="28" t="s">
        <v>122</v>
      </c>
      <c r="H3098" s="28">
        <v>0</v>
      </c>
      <c r="J3098" s="28"/>
    </row>
    <row r="3099" spans="1:10" ht="15.75" customHeight="1">
      <c r="A3099" s="28">
        <v>19210</v>
      </c>
      <c r="B3099" s="91">
        <v>45103.95275462963</v>
      </c>
      <c r="C3099" s="28" t="s">
        <v>10</v>
      </c>
      <c r="D3099" s="28" t="s">
        <v>471</v>
      </c>
      <c r="E3099" s="28" t="s">
        <v>28</v>
      </c>
      <c r="F3099" s="28">
        <v>26</v>
      </c>
      <c r="G3099" s="28" t="s">
        <v>122</v>
      </c>
      <c r="H3099" s="28">
        <v>0</v>
      </c>
      <c r="J3099" s="28"/>
    </row>
    <row r="3100" spans="1:10" ht="15.75" customHeight="1">
      <c r="A3100" s="28">
        <v>19210</v>
      </c>
      <c r="B3100" s="91">
        <v>45103.95275462963</v>
      </c>
      <c r="C3100" s="28" t="s">
        <v>10</v>
      </c>
      <c r="D3100" s="28" t="s">
        <v>471</v>
      </c>
      <c r="E3100" s="28" t="s">
        <v>28</v>
      </c>
      <c r="F3100" s="28">
        <v>26</v>
      </c>
      <c r="G3100" s="28" t="s">
        <v>122</v>
      </c>
      <c r="H3100" s="28">
        <v>0</v>
      </c>
      <c r="J3100" s="28"/>
    </row>
    <row r="3101" spans="1:10" ht="15.75" customHeight="1">
      <c r="A3101" s="28">
        <v>19211</v>
      </c>
      <c r="B3101" s="91">
        <v>45103.975520833337</v>
      </c>
      <c r="C3101" s="28" t="s">
        <v>10</v>
      </c>
      <c r="D3101" s="28" t="s">
        <v>470</v>
      </c>
      <c r="E3101" s="28" t="s">
        <v>28</v>
      </c>
      <c r="F3101" s="28">
        <v>22</v>
      </c>
      <c r="G3101" s="28" t="s">
        <v>137</v>
      </c>
      <c r="H3101" s="28">
        <v>0</v>
      </c>
      <c r="J3101" s="28"/>
    </row>
    <row r="3102" spans="1:10" ht="15.75" customHeight="1">
      <c r="A3102" s="28">
        <v>19212</v>
      </c>
      <c r="B3102" s="91">
        <v>45104.007847222223</v>
      </c>
      <c r="C3102" s="28" t="s">
        <v>10</v>
      </c>
      <c r="D3102" s="28" t="s">
        <v>469</v>
      </c>
      <c r="E3102" s="28" t="s">
        <v>28</v>
      </c>
      <c r="F3102" s="28">
        <v>20</v>
      </c>
      <c r="G3102" s="28" t="s">
        <v>261</v>
      </c>
      <c r="H3102" s="28">
        <v>0</v>
      </c>
      <c r="J3102" s="28"/>
    </row>
    <row r="3103" spans="1:10" ht="15.75" customHeight="1">
      <c r="A3103" s="28">
        <v>19212</v>
      </c>
      <c r="B3103" s="91">
        <v>45104.007847222223</v>
      </c>
      <c r="C3103" s="28" t="s">
        <v>10</v>
      </c>
      <c r="D3103" s="28" t="s">
        <v>469</v>
      </c>
      <c r="E3103" s="28" t="s">
        <v>28</v>
      </c>
      <c r="F3103" s="28">
        <v>0</v>
      </c>
      <c r="G3103" s="28" t="s">
        <v>117</v>
      </c>
      <c r="H3103" s="28">
        <v>0</v>
      </c>
      <c r="J3103" s="28"/>
    </row>
    <row r="3104" spans="1:10" ht="15.75" customHeight="1">
      <c r="A3104" s="28">
        <v>19213</v>
      </c>
      <c r="B3104" s="91">
        <v>45104.023356481484</v>
      </c>
      <c r="C3104" s="28" t="s">
        <v>10</v>
      </c>
      <c r="D3104" s="28" t="s">
        <v>468</v>
      </c>
      <c r="E3104" s="28" t="s">
        <v>28</v>
      </c>
      <c r="F3104" s="28">
        <v>0</v>
      </c>
      <c r="G3104" s="28" t="s">
        <v>117</v>
      </c>
      <c r="H3104" s="28">
        <v>0</v>
      </c>
      <c r="J3104" s="28"/>
    </row>
    <row r="3105" spans="1:10" ht="15.75" customHeight="1">
      <c r="A3105" s="28">
        <v>19214</v>
      </c>
      <c r="B3105" s="91">
        <v>45104.141932870371</v>
      </c>
      <c r="C3105" s="28" t="s">
        <v>10</v>
      </c>
      <c r="D3105" s="28" t="s">
        <v>467</v>
      </c>
      <c r="E3105" s="28" t="s">
        <v>28</v>
      </c>
      <c r="F3105" s="28">
        <v>25</v>
      </c>
      <c r="G3105" s="28" t="s">
        <v>141</v>
      </c>
      <c r="H3105" s="28">
        <v>0</v>
      </c>
      <c r="J3105" s="28"/>
    </row>
    <row r="3106" spans="1:10" ht="15.75" customHeight="1">
      <c r="A3106" s="28">
        <v>19215</v>
      </c>
      <c r="B3106" s="91">
        <v>45104.46774305556</v>
      </c>
      <c r="C3106" s="28" t="s">
        <v>10</v>
      </c>
      <c r="D3106" s="28" t="s">
        <v>466</v>
      </c>
      <c r="E3106" s="28" t="s">
        <v>28</v>
      </c>
      <c r="F3106" s="28">
        <v>25</v>
      </c>
      <c r="G3106" s="28">
        <v>100692</v>
      </c>
      <c r="H3106" s="28">
        <v>0</v>
      </c>
      <c r="J3106" s="28"/>
    </row>
    <row r="3107" spans="1:10" ht="15.75" customHeight="1">
      <c r="A3107" s="28">
        <v>19215</v>
      </c>
      <c r="B3107" s="91">
        <v>45104.46774305556</v>
      </c>
      <c r="C3107" s="28" t="s">
        <v>10</v>
      </c>
      <c r="D3107" s="28" t="s">
        <v>466</v>
      </c>
      <c r="E3107" s="28" t="s">
        <v>28</v>
      </c>
      <c r="F3107" s="28">
        <v>0</v>
      </c>
      <c r="G3107" s="28" t="s">
        <v>125</v>
      </c>
      <c r="H3107" s="28">
        <v>0</v>
      </c>
      <c r="J3107" s="28"/>
    </row>
    <row r="3108" spans="1:10" ht="15.75" customHeight="1">
      <c r="A3108" s="28">
        <v>19215</v>
      </c>
      <c r="B3108" s="91">
        <v>45104.46774305556</v>
      </c>
      <c r="C3108" s="28" t="s">
        <v>10</v>
      </c>
      <c r="D3108" s="28" t="s">
        <v>466</v>
      </c>
      <c r="E3108" s="28" t="s">
        <v>28</v>
      </c>
      <c r="F3108" s="28">
        <v>0</v>
      </c>
      <c r="G3108" s="28" t="s">
        <v>119</v>
      </c>
      <c r="H3108" s="28">
        <v>0</v>
      </c>
      <c r="J3108" s="28"/>
    </row>
    <row r="3109" spans="1:10" ht="15.75" customHeight="1">
      <c r="A3109" s="28">
        <v>19215</v>
      </c>
      <c r="B3109" s="91">
        <v>45104.46774305556</v>
      </c>
      <c r="C3109" s="28" t="s">
        <v>10</v>
      </c>
      <c r="D3109" s="28" t="s">
        <v>466</v>
      </c>
      <c r="E3109" s="28" t="s">
        <v>28</v>
      </c>
      <c r="F3109" s="28">
        <v>28</v>
      </c>
      <c r="G3109" s="28" t="s">
        <v>143</v>
      </c>
      <c r="H3109" s="28">
        <v>0</v>
      </c>
      <c r="J3109" s="28"/>
    </row>
    <row r="3110" spans="1:10" ht="15.75" customHeight="1">
      <c r="A3110" s="28">
        <v>19216</v>
      </c>
      <c r="B3110" s="91">
        <v>45104.61100694444</v>
      </c>
      <c r="C3110" s="28" t="s">
        <v>16</v>
      </c>
      <c r="D3110" s="28" t="s">
        <v>465</v>
      </c>
      <c r="E3110" s="28" t="s">
        <v>28</v>
      </c>
      <c r="F3110" s="28">
        <v>26</v>
      </c>
      <c r="G3110" s="28" t="s">
        <v>122</v>
      </c>
      <c r="H3110" s="28">
        <v>0</v>
      </c>
      <c r="J3110" s="28"/>
    </row>
    <row r="3111" spans="1:10" ht="15.75" customHeight="1">
      <c r="A3111" s="28">
        <v>19217</v>
      </c>
      <c r="B3111" s="91">
        <v>45104.729108796295</v>
      </c>
      <c r="C3111" s="28" t="s">
        <v>10</v>
      </c>
      <c r="D3111" s="28" t="s">
        <v>464</v>
      </c>
      <c r="E3111" s="28" t="s">
        <v>28</v>
      </c>
      <c r="F3111" s="28">
        <v>35</v>
      </c>
      <c r="G3111" s="28" t="s">
        <v>124</v>
      </c>
      <c r="H3111" s="28">
        <v>0</v>
      </c>
      <c r="J3111" s="28"/>
    </row>
    <row r="3112" spans="1:10" ht="15.75" customHeight="1">
      <c r="A3112" s="28">
        <v>19217</v>
      </c>
      <c r="B3112" s="91">
        <v>45104.729108796295</v>
      </c>
      <c r="C3112" s="28" t="s">
        <v>10</v>
      </c>
      <c r="D3112" s="28" t="s">
        <v>464</v>
      </c>
      <c r="E3112" s="28" t="s">
        <v>28</v>
      </c>
      <c r="F3112" s="28">
        <v>0</v>
      </c>
      <c r="G3112" s="28" t="s">
        <v>125</v>
      </c>
      <c r="H3112" s="28">
        <v>0</v>
      </c>
      <c r="J3112" s="28"/>
    </row>
    <row r="3113" spans="1:10" ht="15.75" customHeight="1">
      <c r="A3113" s="28">
        <v>19217</v>
      </c>
      <c r="B3113" s="91">
        <v>45104.729108796295</v>
      </c>
      <c r="C3113" s="28" t="s">
        <v>10</v>
      </c>
      <c r="D3113" s="28" t="s">
        <v>464</v>
      </c>
      <c r="E3113" s="28" t="s">
        <v>28</v>
      </c>
      <c r="F3113" s="28">
        <v>0</v>
      </c>
      <c r="G3113" s="28" t="s">
        <v>119</v>
      </c>
      <c r="H3113" s="28">
        <v>0</v>
      </c>
      <c r="J3113" s="28"/>
    </row>
    <row r="3114" spans="1:10" ht="15.75" customHeight="1">
      <c r="A3114" s="28">
        <v>19217</v>
      </c>
      <c r="B3114" s="91">
        <v>45104.729108796295</v>
      </c>
      <c r="C3114" s="28" t="s">
        <v>10</v>
      </c>
      <c r="D3114" s="28" t="s">
        <v>464</v>
      </c>
      <c r="E3114" s="28" t="s">
        <v>28</v>
      </c>
      <c r="F3114" s="28">
        <v>0</v>
      </c>
      <c r="G3114" s="28" t="s">
        <v>121</v>
      </c>
      <c r="H3114" s="28">
        <v>0</v>
      </c>
      <c r="J3114" s="28"/>
    </row>
    <row r="3115" spans="1:10" ht="15.75" customHeight="1">
      <c r="A3115" s="28">
        <v>19218</v>
      </c>
      <c r="B3115" s="91">
        <v>45104.743321759262</v>
      </c>
      <c r="C3115" s="28" t="s">
        <v>10</v>
      </c>
      <c r="D3115" s="28" t="s">
        <v>463</v>
      </c>
      <c r="E3115" s="28" t="s">
        <v>28</v>
      </c>
      <c r="F3115" s="28">
        <v>25</v>
      </c>
      <c r="G3115" s="28">
        <v>100692</v>
      </c>
      <c r="H3115" s="28">
        <v>0</v>
      </c>
      <c r="J3115" s="28"/>
    </row>
    <row r="3116" spans="1:10" ht="15.75" customHeight="1">
      <c r="A3116" s="28">
        <v>19218</v>
      </c>
      <c r="B3116" s="91">
        <v>45104.743321759262</v>
      </c>
      <c r="C3116" s="28" t="s">
        <v>10</v>
      </c>
      <c r="D3116" s="28" t="s">
        <v>463</v>
      </c>
      <c r="E3116" s="28" t="s">
        <v>28</v>
      </c>
      <c r="F3116" s="28">
        <v>0</v>
      </c>
      <c r="G3116" s="28" t="s">
        <v>125</v>
      </c>
      <c r="H3116" s="28">
        <v>0</v>
      </c>
      <c r="J3116" s="28"/>
    </row>
    <row r="3117" spans="1:10" ht="15.75" customHeight="1">
      <c r="A3117" s="28">
        <v>19218</v>
      </c>
      <c r="B3117" s="91">
        <v>45104.743321759262</v>
      </c>
      <c r="C3117" s="28" t="s">
        <v>10</v>
      </c>
      <c r="D3117" s="28" t="s">
        <v>463</v>
      </c>
      <c r="E3117" s="28" t="s">
        <v>28</v>
      </c>
      <c r="F3117" s="28">
        <v>0</v>
      </c>
      <c r="G3117" s="28" t="s">
        <v>119</v>
      </c>
      <c r="H3117" s="28">
        <v>0</v>
      </c>
      <c r="J3117" s="28"/>
    </row>
    <row r="3118" spans="1:10" ht="15.75" customHeight="1">
      <c r="A3118" s="28">
        <v>19218</v>
      </c>
      <c r="B3118" s="91">
        <v>45104.743321759262</v>
      </c>
      <c r="C3118" s="28" t="s">
        <v>10</v>
      </c>
      <c r="D3118" s="28" t="s">
        <v>463</v>
      </c>
      <c r="E3118" s="28" t="s">
        <v>28</v>
      </c>
      <c r="F3118" s="28">
        <v>0</v>
      </c>
      <c r="G3118" s="28" t="s">
        <v>117</v>
      </c>
      <c r="H3118" s="28">
        <v>0</v>
      </c>
      <c r="J3118" s="28"/>
    </row>
    <row r="3119" spans="1:10" ht="15.75" customHeight="1">
      <c r="A3119" s="28">
        <v>19219</v>
      </c>
      <c r="B3119" s="91">
        <v>45104.830231481479</v>
      </c>
      <c r="C3119" s="28" t="s">
        <v>10</v>
      </c>
      <c r="D3119" s="28" t="s">
        <v>462</v>
      </c>
      <c r="E3119" s="28" t="s">
        <v>28</v>
      </c>
      <c r="F3119" s="28">
        <v>18</v>
      </c>
      <c r="G3119" s="28" t="s">
        <v>119</v>
      </c>
      <c r="H3119" s="28">
        <v>0</v>
      </c>
      <c r="J3119" s="28"/>
    </row>
    <row r="3120" spans="1:10" ht="15.75" customHeight="1">
      <c r="A3120" s="28">
        <v>19220</v>
      </c>
      <c r="B3120" s="91">
        <v>45104.862615740742</v>
      </c>
      <c r="C3120" s="28" t="s">
        <v>10</v>
      </c>
      <c r="D3120" s="28" t="s">
        <v>461</v>
      </c>
      <c r="E3120" s="28" t="s">
        <v>28</v>
      </c>
      <c r="F3120" s="28">
        <v>25</v>
      </c>
      <c r="G3120" s="28">
        <v>100692</v>
      </c>
      <c r="H3120" s="28">
        <v>0</v>
      </c>
      <c r="J3120" s="28"/>
    </row>
    <row r="3121" spans="1:10" ht="15.75" customHeight="1">
      <c r="A3121" s="28">
        <v>19220</v>
      </c>
      <c r="B3121" s="91">
        <v>45104.862615740742</v>
      </c>
      <c r="C3121" s="28" t="s">
        <v>10</v>
      </c>
      <c r="D3121" s="28" t="s">
        <v>461</v>
      </c>
      <c r="E3121" s="28" t="s">
        <v>28</v>
      </c>
      <c r="F3121" s="28">
        <v>0</v>
      </c>
      <c r="G3121" s="28" t="s">
        <v>125</v>
      </c>
      <c r="H3121" s="28">
        <v>0</v>
      </c>
      <c r="J3121" s="28"/>
    </row>
    <row r="3122" spans="1:10" ht="15.75" customHeight="1">
      <c r="A3122" s="28">
        <v>19220</v>
      </c>
      <c r="B3122" s="91">
        <v>45104.862615740742</v>
      </c>
      <c r="C3122" s="28" t="s">
        <v>10</v>
      </c>
      <c r="D3122" s="28" t="s">
        <v>461</v>
      </c>
      <c r="E3122" s="28" t="s">
        <v>28</v>
      </c>
      <c r="F3122" s="28">
        <v>0</v>
      </c>
      <c r="G3122" s="28" t="s">
        <v>119</v>
      </c>
      <c r="H3122" s="28">
        <v>0</v>
      </c>
      <c r="J3122" s="28"/>
    </row>
    <row r="3123" spans="1:10" ht="15.75" customHeight="1">
      <c r="A3123" s="28">
        <v>19221</v>
      </c>
      <c r="B3123" s="91">
        <v>45105.058738425927</v>
      </c>
      <c r="C3123" s="28" t="s">
        <v>52</v>
      </c>
      <c r="D3123" s="28" t="s">
        <v>460</v>
      </c>
      <c r="E3123" s="28" t="s">
        <v>28</v>
      </c>
      <c r="F3123" s="28">
        <v>15</v>
      </c>
      <c r="G3123" s="28" t="s">
        <v>125</v>
      </c>
      <c r="H3123" s="28">
        <v>0</v>
      </c>
      <c r="J3123" s="28"/>
    </row>
    <row r="3124" spans="1:10" ht="15.75" customHeight="1">
      <c r="A3124" s="28">
        <v>19222</v>
      </c>
      <c r="B3124" s="91">
        <v>45105.155416666668</v>
      </c>
      <c r="C3124" s="28" t="s">
        <v>10</v>
      </c>
      <c r="D3124" s="28" t="s">
        <v>459</v>
      </c>
      <c r="E3124" s="28" t="s">
        <v>34</v>
      </c>
      <c r="F3124" s="28">
        <v>20</v>
      </c>
      <c r="G3124" s="28" t="s">
        <v>148</v>
      </c>
      <c r="H3124" s="28">
        <v>0</v>
      </c>
      <c r="J3124" s="28"/>
    </row>
    <row r="3125" spans="1:10" ht="15.75" customHeight="1">
      <c r="A3125" s="28">
        <v>19223</v>
      </c>
      <c r="B3125" s="91">
        <v>45105.515798611115</v>
      </c>
      <c r="C3125" s="28" t="s">
        <v>10</v>
      </c>
      <c r="D3125" s="28" t="s">
        <v>458</v>
      </c>
      <c r="E3125" s="28" t="s">
        <v>28</v>
      </c>
      <c r="F3125" s="28">
        <v>25</v>
      </c>
      <c r="G3125" s="28">
        <v>100692</v>
      </c>
      <c r="H3125" s="28">
        <v>0</v>
      </c>
      <c r="J3125" s="28"/>
    </row>
    <row r="3126" spans="1:10" ht="15.75" customHeight="1">
      <c r="A3126" s="28">
        <v>19223</v>
      </c>
      <c r="B3126" s="91">
        <v>45105.515798611115</v>
      </c>
      <c r="C3126" s="28" t="s">
        <v>10</v>
      </c>
      <c r="D3126" s="28" t="s">
        <v>458</v>
      </c>
      <c r="E3126" s="28" t="s">
        <v>28</v>
      </c>
      <c r="F3126" s="28">
        <v>0</v>
      </c>
      <c r="G3126" s="28" t="s">
        <v>125</v>
      </c>
      <c r="H3126" s="28">
        <v>0</v>
      </c>
      <c r="J3126" s="28"/>
    </row>
    <row r="3127" spans="1:10" ht="15.75" customHeight="1">
      <c r="A3127" s="28">
        <v>19223</v>
      </c>
      <c r="B3127" s="91">
        <v>45105.515798611115</v>
      </c>
      <c r="C3127" s="28" t="s">
        <v>10</v>
      </c>
      <c r="D3127" s="28" t="s">
        <v>458</v>
      </c>
      <c r="E3127" s="28" t="s">
        <v>28</v>
      </c>
      <c r="F3127" s="28">
        <v>0</v>
      </c>
      <c r="G3127" s="28" t="s">
        <v>119</v>
      </c>
      <c r="H3127" s="28">
        <v>0</v>
      </c>
      <c r="J3127" s="28"/>
    </row>
    <row r="3128" spans="1:10" ht="15.75" customHeight="1">
      <c r="A3128" s="28">
        <v>19224</v>
      </c>
      <c r="B3128" s="91">
        <v>45105.579618055555</v>
      </c>
      <c r="C3128" s="28" t="s">
        <v>10</v>
      </c>
      <c r="D3128" s="28" t="s">
        <v>456</v>
      </c>
      <c r="E3128" s="28" t="s">
        <v>28</v>
      </c>
      <c r="F3128" s="28">
        <v>0</v>
      </c>
      <c r="G3128" s="28" t="s">
        <v>117</v>
      </c>
      <c r="H3128" s="28">
        <v>0</v>
      </c>
      <c r="J3128" s="28"/>
    </row>
    <row r="3129" spans="1:10" ht="15.75" customHeight="1">
      <c r="A3129" s="28">
        <v>19224</v>
      </c>
      <c r="B3129" s="91">
        <v>45105.579618055555</v>
      </c>
      <c r="C3129" s="28" t="s">
        <v>10</v>
      </c>
      <c r="D3129" s="28" t="s">
        <v>456</v>
      </c>
      <c r="E3129" s="28" t="s">
        <v>28</v>
      </c>
      <c r="F3129" s="28">
        <v>36</v>
      </c>
      <c r="G3129" s="28" t="s">
        <v>457</v>
      </c>
      <c r="H3129" s="28">
        <v>0</v>
      </c>
      <c r="J3129" s="28"/>
    </row>
    <row r="3130" spans="1:10" ht="15.75" customHeight="1">
      <c r="A3130" s="28">
        <v>19224</v>
      </c>
      <c r="B3130" s="91">
        <v>45105.579618055555</v>
      </c>
      <c r="C3130" s="28" t="s">
        <v>10</v>
      </c>
      <c r="D3130" s="28" t="s">
        <v>456</v>
      </c>
      <c r="E3130" s="28" t="s">
        <v>28</v>
      </c>
      <c r="F3130" s="28">
        <v>20</v>
      </c>
      <c r="G3130" s="28" t="s">
        <v>205</v>
      </c>
      <c r="H3130" s="28">
        <v>0</v>
      </c>
      <c r="J3130" s="28"/>
    </row>
    <row r="3131" spans="1:10" ht="15.75" customHeight="1">
      <c r="A3131" s="28">
        <v>19224</v>
      </c>
      <c r="B3131" s="91">
        <v>45105.579618055555</v>
      </c>
      <c r="C3131" s="28" t="s">
        <v>10</v>
      </c>
      <c r="D3131" s="28" t="s">
        <v>456</v>
      </c>
      <c r="E3131" s="28" t="s">
        <v>28</v>
      </c>
      <c r="F3131" s="28">
        <v>0</v>
      </c>
      <c r="G3131" s="28" t="s">
        <v>125</v>
      </c>
      <c r="H3131" s="28">
        <v>0</v>
      </c>
      <c r="J3131" s="28"/>
    </row>
    <row r="3132" spans="1:10" ht="15.75" customHeight="1">
      <c r="A3132" s="28">
        <v>19224</v>
      </c>
      <c r="B3132" s="91">
        <v>45105.579618055555</v>
      </c>
      <c r="C3132" s="28" t="s">
        <v>10</v>
      </c>
      <c r="D3132" s="28" t="s">
        <v>456</v>
      </c>
      <c r="E3132" s="28" t="s">
        <v>28</v>
      </c>
      <c r="F3132" s="28">
        <v>28</v>
      </c>
      <c r="G3132" s="28" t="s">
        <v>143</v>
      </c>
      <c r="H3132" s="28">
        <v>0</v>
      </c>
      <c r="J3132" s="28"/>
    </row>
    <row r="3133" spans="1:10" ht="15.75" customHeight="1">
      <c r="A3133" s="28">
        <v>19224</v>
      </c>
      <c r="B3133" s="91">
        <v>45105.579618055555</v>
      </c>
      <c r="C3133" s="28" t="s">
        <v>10</v>
      </c>
      <c r="D3133" s="28" t="s">
        <v>456</v>
      </c>
      <c r="E3133" s="28" t="s">
        <v>28</v>
      </c>
      <c r="F3133" s="28">
        <v>50</v>
      </c>
      <c r="G3133" s="28">
        <v>100692</v>
      </c>
      <c r="H3133" s="28">
        <v>0</v>
      </c>
      <c r="J3133" s="28"/>
    </row>
    <row r="3134" spans="1:10" ht="15.75" customHeight="1">
      <c r="A3134" s="28">
        <v>19224</v>
      </c>
      <c r="B3134" s="91">
        <v>45105.579618055555</v>
      </c>
      <c r="C3134" s="28" t="s">
        <v>10</v>
      </c>
      <c r="D3134" s="28" t="s">
        <v>456</v>
      </c>
      <c r="E3134" s="28" t="s">
        <v>28</v>
      </c>
      <c r="F3134" s="28">
        <v>0</v>
      </c>
      <c r="G3134" s="28" t="s">
        <v>125</v>
      </c>
      <c r="H3134" s="28">
        <v>0</v>
      </c>
      <c r="J3134" s="28"/>
    </row>
    <row r="3135" spans="1:10" ht="15.75" customHeight="1">
      <c r="A3135" s="28">
        <v>19224</v>
      </c>
      <c r="B3135" s="91">
        <v>45105.579618055555</v>
      </c>
      <c r="C3135" s="28" t="s">
        <v>10</v>
      </c>
      <c r="D3135" s="28" t="s">
        <v>456</v>
      </c>
      <c r="E3135" s="28" t="s">
        <v>28</v>
      </c>
      <c r="F3135" s="28">
        <v>0</v>
      </c>
      <c r="G3135" s="28" t="s">
        <v>119</v>
      </c>
      <c r="H3135" s="28">
        <v>0</v>
      </c>
      <c r="J3135" s="28"/>
    </row>
    <row r="3136" spans="1:10" ht="15.75" customHeight="1">
      <c r="A3136" s="28">
        <v>19225</v>
      </c>
      <c r="B3136" s="91">
        <v>45105.588310185187</v>
      </c>
      <c r="C3136" s="28" t="s">
        <v>8</v>
      </c>
      <c r="D3136" s="28" t="s">
        <v>455</v>
      </c>
      <c r="E3136" s="28" t="s">
        <v>28</v>
      </c>
      <c r="F3136" s="28">
        <v>25</v>
      </c>
      <c r="G3136" s="28">
        <v>100692</v>
      </c>
      <c r="H3136" s="28">
        <v>0</v>
      </c>
      <c r="J3136" s="28"/>
    </row>
    <row r="3137" spans="1:10" ht="15.75" customHeight="1">
      <c r="A3137" s="28">
        <v>19225</v>
      </c>
      <c r="B3137" s="91">
        <v>45105.588310185187</v>
      </c>
      <c r="C3137" s="28" t="s">
        <v>8</v>
      </c>
      <c r="D3137" s="28" t="s">
        <v>455</v>
      </c>
      <c r="E3137" s="28" t="s">
        <v>28</v>
      </c>
      <c r="F3137" s="28">
        <v>0</v>
      </c>
      <c r="G3137" s="28" t="s">
        <v>125</v>
      </c>
      <c r="H3137" s="28">
        <v>0</v>
      </c>
      <c r="J3137" s="28"/>
    </row>
    <row r="3138" spans="1:10" ht="15.75" customHeight="1">
      <c r="A3138" s="28">
        <v>19225</v>
      </c>
      <c r="B3138" s="91">
        <v>45105.588310185187</v>
      </c>
      <c r="C3138" s="28" t="s">
        <v>8</v>
      </c>
      <c r="D3138" s="28" t="s">
        <v>455</v>
      </c>
      <c r="E3138" s="28" t="s">
        <v>28</v>
      </c>
      <c r="F3138" s="28">
        <v>0</v>
      </c>
      <c r="G3138" s="28" t="s">
        <v>119</v>
      </c>
      <c r="H3138" s="28">
        <v>0</v>
      </c>
      <c r="J3138" s="28"/>
    </row>
    <row r="3139" spans="1:10" ht="15.75" customHeight="1">
      <c r="A3139" s="28">
        <v>19225</v>
      </c>
      <c r="B3139" s="91">
        <v>45105.588310185187</v>
      </c>
      <c r="C3139" s="28" t="s">
        <v>8</v>
      </c>
      <c r="D3139" s="28" t="s">
        <v>455</v>
      </c>
      <c r="E3139" s="28" t="s">
        <v>28</v>
      </c>
      <c r="F3139" s="28">
        <v>56</v>
      </c>
      <c r="G3139" s="28" t="s">
        <v>143</v>
      </c>
      <c r="H3139" s="28">
        <v>0</v>
      </c>
      <c r="J3139" s="28"/>
    </row>
    <row r="3140" spans="1:10" ht="15.75" customHeight="1">
      <c r="A3140" s="28">
        <v>19226</v>
      </c>
      <c r="B3140" s="91">
        <v>45105.58965277778</v>
      </c>
      <c r="C3140" s="28" t="s">
        <v>10</v>
      </c>
      <c r="D3140" s="28" t="s">
        <v>455</v>
      </c>
      <c r="E3140" s="28" t="s">
        <v>28</v>
      </c>
      <c r="F3140" s="28">
        <v>0</v>
      </c>
      <c r="G3140" s="28" t="s">
        <v>117</v>
      </c>
      <c r="H3140" s="28">
        <v>0</v>
      </c>
      <c r="J3140" s="28"/>
    </row>
    <row r="3141" spans="1:10" ht="15.75" customHeight="1">
      <c r="A3141" s="28">
        <v>19227</v>
      </c>
      <c r="B3141" s="91">
        <v>45105.823136574079</v>
      </c>
      <c r="C3141" s="28" t="s">
        <v>10</v>
      </c>
      <c r="D3141" s="28" t="s">
        <v>454</v>
      </c>
      <c r="E3141" s="28" t="s">
        <v>28</v>
      </c>
      <c r="F3141" s="28">
        <v>28</v>
      </c>
      <c r="G3141" s="28" t="s">
        <v>143</v>
      </c>
      <c r="H3141" s="28">
        <v>0</v>
      </c>
      <c r="J3141" s="28"/>
    </row>
    <row r="3142" spans="1:10" ht="15.75" customHeight="1">
      <c r="A3142" s="28">
        <v>19227</v>
      </c>
      <c r="B3142" s="91">
        <v>45105.823136574079</v>
      </c>
      <c r="C3142" s="28" t="s">
        <v>10</v>
      </c>
      <c r="D3142" s="28" t="s">
        <v>454</v>
      </c>
      <c r="E3142" s="28" t="s">
        <v>28</v>
      </c>
      <c r="F3142" s="28">
        <v>25</v>
      </c>
      <c r="G3142" s="28" t="s">
        <v>118</v>
      </c>
      <c r="H3142" s="28">
        <v>0</v>
      </c>
      <c r="J3142" s="28"/>
    </row>
    <row r="3143" spans="1:10" ht="15.75" customHeight="1">
      <c r="A3143" s="28">
        <v>19227</v>
      </c>
      <c r="B3143" s="91">
        <v>45105.823136574079</v>
      </c>
      <c r="C3143" s="28" t="s">
        <v>10</v>
      </c>
      <c r="D3143" s="28" t="s">
        <v>454</v>
      </c>
      <c r="E3143" s="28" t="s">
        <v>28</v>
      </c>
      <c r="F3143" s="28">
        <v>0</v>
      </c>
      <c r="G3143" s="28" t="s">
        <v>286</v>
      </c>
      <c r="H3143" s="28">
        <v>0</v>
      </c>
      <c r="J3143" s="28"/>
    </row>
    <row r="3144" spans="1:10" ht="15.75" customHeight="1">
      <c r="A3144" s="28">
        <v>19227</v>
      </c>
      <c r="B3144" s="91">
        <v>45105.823136574079</v>
      </c>
      <c r="C3144" s="28" t="s">
        <v>10</v>
      </c>
      <c r="D3144" s="28" t="s">
        <v>454</v>
      </c>
      <c r="E3144" s="28" t="s">
        <v>28</v>
      </c>
      <c r="F3144" s="28">
        <v>0</v>
      </c>
      <c r="G3144" s="28" t="s">
        <v>117</v>
      </c>
      <c r="H3144" s="28">
        <v>0</v>
      </c>
      <c r="J3144" s="28"/>
    </row>
    <row r="3145" spans="1:10" ht="15.75" customHeight="1">
      <c r="A3145" s="28">
        <v>19228</v>
      </c>
      <c r="B3145" s="91">
        <v>45105.955590277779</v>
      </c>
      <c r="C3145" s="28" t="s">
        <v>10</v>
      </c>
      <c r="D3145" s="28" t="s">
        <v>453</v>
      </c>
      <c r="E3145" s="28" t="s">
        <v>39</v>
      </c>
      <c r="F3145" s="28">
        <v>25</v>
      </c>
      <c r="G3145" s="28">
        <v>100692</v>
      </c>
      <c r="H3145" s="28">
        <v>0</v>
      </c>
      <c r="J3145" s="28"/>
    </row>
    <row r="3146" spans="1:10" ht="15.75" customHeight="1">
      <c r="A3146" s="28">
        <v>19228</v>
      </c>
      <c r="B3146" s="91">
        <v>45105.955590277779</v>
      </c>
      <c r="C3146" s="28" t="s">
        <v>10</v>
      </c>
      <c r="D3146" s="28" t="s">
        <v>453</v>
      </c>
      <c r="E3146" s="28" t="s">
        <v>39</v>
      </c>
      <c r="F3146" s="28">
        <v>0</v>
      </c>
      <c r="G3146" s="28" t="s">
        <v>125</v>
      </c>
      <c r="H3146" s="28">
        <v>0</v>
      </c>
      <c r="J3146" s="28"/>
    </row>
    <row r="3147" spans="1:10" ht="15.75" customHeight="1">
      <c r="A3147" s="28">
        <v>19228</v>
      </c>
      <c r="B3147" s="91">
        <v>45105.955590277779</v>
      </c>
      <c r="C3147" s="28" t="s">
        <v>10</v>
      </c>
      <c r="D3147" s="28" t="s">
        <v>453</v>
      </c>
      <c r="E3147" s="28" t="s">
        <v>39</v>
      </c>
      <c r="F3147" s="28">
        <v>0</v>
      </c>
      <c r="G3147" s="28" t="s">
        <v>119</v>
      </c>
      <c r="H3147" s="28">
        <v>0</v>
      </c>
      <c r="J3147" s="28"/>
    </row>
    <row r="3148" spans="1:10" ht="15.75" customHeight="1">
      <c r="A3148" s="28">
        <v>19229</v>
      </c>
      <c r="B3148" s="91">
        <v>45105.965983796297</v>
      </c>
      <c r="C3148" s="28" t="s">
        <v>10</v>
      </c>
      <c r="D3148" s="28" t="s">
        <v>452</v>
      </c>
      <c r="E3148" s="28" t="s">
        <v>28</v>
      </c>
      <c r="F3148" s="28">
        <v>15</v>
      </c>
      <c r="G3148" s="28" t="s">
        <v>125</v>
      </c>
      <c r="H3148" s="28">
        <v>0</v>
      </c>
      <c r="J3148" s="28"/>
    </row>
    <row r="3149" spans="1:10" ht="15.75" customHeight="1">
      <c r="A3149" s="28">
        <v>19229</v>
      </c>
      <c r="B3149" s="91">
        <v>45105.965983796297</v>
      </c>
      <c r="C3149" s="28" t="s">
        <v>10</v>
      </c>
      <c r="D3149" s="28" t="s">
        <v>452</v>
      </c>
      <c r="E3149" s="28" t="s">
        <v>28</v>
      </c>
      <c r="F3149" s="28">
        <v>28</v>
      </c>
      <c r="G3149" s="28" t="s">
        <v>143</v>
      </c>
      <c r="H3149" s="28">
        <v>0</v>
      </c>
      <c r="J3149" s="28"/>
    </row>
    <row r="3150" spans="1:10" ht="15.75" customHeight="1">
      <c r="A3150" s="28">
        <v>19229</v>
      </c>
      <c r="B3150" s="91">
        <v>45105.965983796297</v>
      </c>
      <c r="C3150" s="28" t="s">
        <v>10</v>
      </c>
      <c r="D3150" s="28" t="s">
        <v>452</v>
      </c>
      <c r="E3150" s="28" t="s">
        <v>28</v>
      </c>
      <c r="F3150" s="28">
        <v>22</v>
      </c>
      <c r="G3150" s="28" t="s">
        <v>137</v>
      </c>
      <c r="H3150" s="28">
        <v>0</v>
      </c>
      <c r="J3150" s="28"/>
    </row>
    <row r="3151" spans="1:10" ht="15.75" customHeight="1">
      <c r="A3151" s="28">
        <v>19230</v>
      </c>
      <c r="B3151" s="91">
        <v>45105.967511574076</v>
      </c>
      <c r="C3151" s="28" t="s">
        <v>10</v>
      </c>
      <c r="D3151" s="28" t="s">
        <v>452</v>
      </c>
      <c r="E3151" s="28" t="s">
        <v>28</v>
      </c>
      <c r="F3151" s="28">
        <v>0</v>
      </c>
      <c r="G3151" s="28" t="s">
        <v>117</v>
      </c>
      <c r="H3151" s="28">
        <v>0</v>
      </c>
      <c r="J3151" s="28"/>
    </row>
    <row r="3152" spans="1:10" ht="15.75" customHeight="1">
      <c r="A3152" s="28">
        <v>19231</v>
      </c>
      <c r="B3152" s="91">
        <v>45106.005740740744</v>
      </c>
      <c r="C3152" s="28" t="s">
        <v>10</v>
      </c>
      <c r="D3152" s="28" t="s">
        <v>451</v>
      </c>
      <c r="E3152" s="28" t="s">
        <v>59</v>
      </c>
      <c r="F3152" s="28">
        <v>25</v>
      </c>
      <c r="G3152" s="28">
        <v>100692</v>
      </c>
      <c r="H3152" s="28">
        <v>0</v>
      </c>
      <c r="J3152" s="28"/>
    </row>
    <row r="3153" spans="1:10" ht="15.75" customHeight="1">
      <c r="A3153" s="28">
        <v>19231</v>
      </c>
      <c r="B3153" s="91">
        <v>45106.005740740744</v>
      </c>
      <c r="C3153" s="28" t="s">
        <v>10</v>
      </c>
      <c r="D3153" s="28" t="s">
        <v>451</v>
      </c>
      <c r="E3153" s="28" t="s">
        <v>59</v>
      </c>
      <c r="F3153" s="28">
        <v>0</v>
      </c>
      <c r="G3153" s="28" t="s">
        <v>125</v>
      </c>
      <c r="H3153" s="28">
        <v>0</v>
      </c>
      <c r="J3153" s="28"/>
    </row>
    <row r="3154" spans="1:10" ht="15.75" customHeight="1">
      <c r="A3154" s="28">
        <v>19231</v>
      </c>
      <c r="B3154" s="91">
        <v>45106.005740740744</v>
      </c>
      <c r="C3154" s="28" t="s">
        <v>10</v>
      </c>
      <c r="D3154" s="28" t="s">
        <v>451</v>
      </c>
      <c r="E3154" s="28" t="s">
        <v>59</v>
      </c>
      <c r="F3154" s="28">
        <v>0</v>
      </c>
      <c r="G3154" s="28" t="s">
        <v>119</v>
      </c>
      <c r="H3154" s="28">
        <v>0</v>
      </c>
      <c r="J3154" s="28"/>
    </row>
    <row r="3155" spans="1:10" ht="15.75" customHeight="1">
      <c r="A3155" s="28">
        <v>19231</v>
      </c>
      <c r="B3155" s="91">
        <v>45106.005740740744</v>
      </c>
      <c r="C3155" s="28" t="s">
        <v>10</v>
      </c>
      <c r="D3155" s="28" t="s">
        <v>451</v>
      </c>
      <c r="E3155" s="28" t="s">
        <v>59</v>
      </c>
      <c r="F3155" s="28">
        <v>0</v>
      </c>
      <c r="G3155" s="28" t="s">
        <v>117</v>
      </c>
      <c r="H3155" s="28">
        <v>0</v>
      </c>
      <c r="J3155" s="28"/>
    </row>
    <row r="3156" spans="1:10" ht="15.75" customHeight="1">
      <c r="A3156" s="28">
        <v>19232</v>
      </c>
      <c r="B3156" s="91">
        <v>45106.511111111111</v>
      </c>
      <c r="C3156" s="28" t="s">
        <v>10</v>
      </c>
      <c r="D3156" s="28" t="s">
        <v>450</v>
      </c>
      <c r="E3156" s="28" t="s">
        <v>28</v>
      </c>
      <c r="F3156" s="28">
        <v>25</v>
      </c>
      <c r="G3156" s="28">
        <v>100692</v>
      </c>
      <c r="H3156" s="28">
        <v>0</v>
      </c>
      <c r="J3156" s="28"/>
    </row>
    <row r="3157" spans="1:10" ht="15.75" customHeight="1">
      <c r="A3157" s="28">
        <v>19232</v>
      </c>
      <c r="B3157" s="91">
        <v>45106.511111111111</v>
      </c>
      <c r="C3157" s="28" t="s">
        <v>10</v>
      </c>
      <c r="D3157" s="28" t="s">
        <v>450</v>
      </c>
      <c r="E3157" s="28" t="s">
        <v>28</v>
      </c>
      <c r="F3157" s="28">
        <v>0</v>
      </c>
      <c r="G3157" s="28" t="s">
        <v>125</v>
      </c>
      <c r="H3157" s="28">
        <v>0</v>
      </c>
      <c r="J3157" s="28"/>
    </row>
    <row r="3158" spans="1:10" ht="15.75" customHeight="1">
      <c r="A3158" s="28">
        <v>19232</v>
      </c>
      <c r="B3158" s="91">
        <v>45106.511111111111</v>
      </c>
      <c r="C3158" s="28" t="s">
        <v>10</v>
      </c>
      <c r="D3158" s="28" t="s">
        <v>450</v>
      </c>
      <c r="E3158" s="28" t="s">
        <v>28</v>
      </c>
      <c r="F3158" s="28">
        <v>0</v>
      </c>
      <c r="G3158" s="28" t="s">
        <v>119</v>
      </c>
      <c r="H3158" s="28">
        <v>0</v>
      </c>
      <c r="J3158" s="28"/>
    </row>
    <row r="3159" spans="1:10" ht="15.75" customHeight="1">
      <c r="A3159" s="28">
        <v>19233</v>
      </c>
      <c r="B3159" s="91">
        <v>45106.572847222225</v>
      </c>
      <c r="C3159" s="28" t="s">
        <v>10</v>
      </c>
      <c r="D3159" s="28" t="s">
        <v>449</v>
      </c>
      <c r="E3159" s="28" t="s">
        <v>28</v>
      </c>
      <c r="F3159" s="28">
        <v>26</v>
      </c>
      <c r="G3159" s="28" t="s">
        <v>122</v>
      </c>
      <c r="H3159" s="28">
        <v>0</v>
      </c>
      <c r="J3159" s="28"/>
    </row>
    <row r="3160" spans="1:10" ht="15.75" customHeight="1">
      <c r="A3160" s="28">
        <v>19234</v>
      </c>
      <c r="B3160" s="91">
        <v>45106.575138888889</v>
      </c>
      <c r="C3160" s="28" t="s">
        <v>10</v>
      </c>
      <c r="D3160" s="28" t="s">
        <v>448</v>
      </c>
      <c r="E3160" s="28" t="s">
        <v>28</v>
      </c>
      <c r="F3160" s="28">
        <v>26</v>
      </c>
      <c r="G3160" s="28" t="s">
        <v>122</v>
      </c>
      <c r="H3160" s="28">
        <v>0</v>
      </c>
      <c r="J3160" s="28"/>
    </row>
    <row r="3161" spans="1:10" ht="15.75" customHeight="1">
      <c r="A3161" s="28">
        <v>19235</v>
      </c>
      <c r="B3161" s="91">
        <v>45106.84679398148</v>
      </c>
      <c r="C3161" s="28" t="s">
        <v>10</v>
      </c>
      <c r="D3161" s="28" t="s">
        <v>447</v>
      </c>
      <c r="E3161" s="28" t="s">
        <v>28</v>
      </c>
      <c r="F3161" s="28">
        <v>0</v>
      </c>
      <c r="G3161" s="28" t="s">
        <v>117</v>
      </c>
      <c r="H3161" s="28">
        <v>0</v>
      </c>
      <c r="J3161" s="28"/>
    </row>
    <row r="3162" spans="1:10" ht="15.75" customHeight="1">
      <c r="A3162" s="28">
        <v>19235</v>
      </c>
      <c r="B3162" s="91">
        <v>45106.84679398148</v>
      </c>
      <c r="C3162" s="28" t="s">
        <v>10</v>
      </c>
      <c r="D3162" s="28" t="s">
        <v>447</v>
      </c>
      <c r="E3162" s="28" t="s">
        <v>28</v>
      </c>
      <c r="F3162" s="28">
        <v>26</v>
      </c>
      <c r="G3162" s="28" t="s">
        <v>122</v>
      </c>
      <c r="H3162" s="28">
        <v>0</v>
      </c>
      <c r="J3162" s="28"/>
    </row>
    <row r="3163" spans="1:10" ht="15.75" customHeight="1">
      <c r="A3163" s="28">
        <v>19236</v>
      </c>
      <c r="B3163" s="91">
        <v>45106.850138888884</v>
      </c>
      <c r="C3163" s="28" t="s">
        <v>10</v>
      </c>
      <c r="D3163" s="28" t="s">
        <v>446</v>
      </c>
      <c r="E3163" s="28" t="s">
        <v>28</v>
      </c>
      <c r="F3163" s="28">
        <v>0</v>
      </c>
      <c r="G3163" s="28" t="s">
        <v>286</v>
      </c>
      <c r="H3163" s="28">
        <v>0</v>
      </c>
      <c r="J3163" s="28"/>
    </row>
    <row r="3164" spans="1:10" ht="15.75" customHeight="1">
      <c r="A3164" s="28">
        <v>19236</v>
      </c>
      <c r="B3164" s="91">
        <v>45106.850138888884</v>
      </c>
      <c r="C3164" s="28" t="s">
        <v>10</v>
      </c>
      <c r="D3164" s="28" t="s">
        <v>446</v>
      </c>
      <c r="E3164" s="28" t="s">
        <v>28</v>
      </c>
      <c r="F3164" s="28">
        <v>0</v>
      </c>
      <c r="G3164" s="28" t="s">
        <v>117</v>
      </c>
      <c r="H3164" s="28">
        <v>0</v>
      </c>
      <c r="J3164" s="28"/>
    </row>
    <row r="3165" spans="1:10" ht="15.75" customHeight="1">
      <c r="A3165" s="28">
        <v>19236</v>
      </c>
      <c r="B3165" s="91">
        <v>45106.850138888884</v>
      </c>
      <c r="C3165" s="28" t="s">
        <v>10</v>
      </c>
      <c r="D3165" s="28" t="s">
        <v>446</v>
      </c>
      <c r="E3165" s="28" t="s">
        <v>28</v>
      </c>
      <c r="F3165" s="28">
        <v>26</v>
      </c>
      <c r="G3165" s="28" t="s">
        <v>122</v>
      </c>
      <c r="H3165" s="28">
        <v>0</v>
      </c>
      <c r="J3165" s="28"/>
    </row>
    <row r="3166" spans="1:10" ht="15.75" customHeight="1">
      <c r="A3166" s="28">
        <v>19237</v>
      </c>
      <c r="B3166" s="91">
        <v>45107.68241898148</v>
      </c>
      <c r="C3166" s="28" t="s">
        <v>10</v>
      </c>
      <c r="D3166" s="28" t="s">
        <v>445</v>
      </c>
      <c r="E3166" s="28" t="s">
        <v>28</v>
      </c>
      <c r="F3166" s="28">
        <v>30</v>
      </c>
      <c r="G3166" s="28" t="s">
        <v>128</v>
      </c>
      <c r="H3166" s="28">
        <v>0</v>
      </c>
      <c r="J3166" s="28"/>
    </row>
    <row r="3167" spans="1:10" ht="15.75" customHeight="1">
      <c r="A3167" s="28">
        <v>19237</v>
      </c>
      <c r="B3167" s="91">
        <v>45107.68241898148</v>
      </c>
      <c r="C3167" s="28" t="s">
        <v>10</v>
      </c>
      <c r="D3167" s="28" t="s">
        <v>445</v>
      </c>
      <c r="E3167" s="28" t="s">
        <v>28</v>
      </c>
      <c r="F3167" s="28">
        <v>0</v>
      </c>
      <c r="G3167" s="28" t="s">
        <v>125</v>
      </c>
      <c r="H3167" s="28">
        <v>0</v>
      </c>
      <c r="J3167" s="28"/>
    </row>
    <row r="3168" spans="1:10" ht="15.75" customHeight="1">
      <c r="A3168" s="28">
        <v>19237</v>
      </c>
      <c r="B3168" s="91">
        <v>45107.68241898148</v>
      </c>
      <c r="C3168" s="28" t="s">
        <v>10</v>
      </c>
      <c r="D3168" s="28" t="s">
        <v>445</v>
      </c>
      <c r="E3168" s="28" t="s">
        <v>28</v>
      </c>
      <c r="F3168" s="28">
        <v>0</v>
      </c>
      <c r="G3168" s="28" t="s">
        <v>119</v>
      </c>
      <c r="H3168" s="28">
        <v>0</v>
      </c>
      <c r="J3168" s="28"/>
    </row>
    <row r="3169" spans="1:10" ht="15.75" customHeight="1">
      <c r="A3169" s="28">
        <v>19238</v>
      </c>
      <c r="B3169" s="91">
        <v>45107.710775462961</v>
      </c>
      <c r="C3169" s="28" t="s">
        <v>10</v>
      </c>
      <c r="D3169" s="28" t="s">
        <v>444</v>
      </c>
      <c r="E3169" s="28" t="s">
        <v>28</v>
      </c>
      <c r="F3169" s="28">
        <v>25</v>
      </c>
      <c r="G3169" s="28">
        <v>100692</v>
      </c>
      <c r="H3169" s="28">
        <v>0</v>
      </c>
      <c r="J3169" s="28"/>
    </row>
    <row r="3170" spans="1:10" ht="15.75" customHeight="1">
      <c r="A3170" s="28">
        <v>19238</v>
      </c>
      <c r="B3170" s="91">
        <v>45107.710775462961</v>
      </c>
      <c r="C3170" s="28" t="s">
        <v>10</v>
      </c>
      <c r="D3170" s="28" t="s">
        <v>444</v>
      </c>
      <c r="E3170" s="28" t="s">
        <v>28</v>
      </c>
      <c r="F3170" s="28">
        <v>0</v>
      </c>
      <c r="G3170" s="28" t="s">
        <v>125</v>
      </c>
      <c r="H3170" s="28">
        <v>0</v>
      </c>
      <c r="J3170" s="28"/>
    </row>
    <row r="3171" spans="1:10" ht="15.75" customHeight="1">
      <c r="A3171" s="28">
        <v>19238</v>
      </c>
      <c r="B3171" s="91">
        <v>45107.710775462961</v>
      </c>
      <c r="C3171" s="28" t="s">
        <v>10</v>
      </c>
      <c r="D3171" s="28" t="s">
        <v>444</v>
      </c>
      <c r="E3171" s="28" t="s">
        <v>28</v>
      </c>
      <c r="F3171" s="28">
        <v>0</v>
      </c>
      <c r="G3171" s="28" t="s">
        <v>119</v>
      </c>
      <c r="H3171" s="28">
        <v>0</v>
      </c>
      <c r="J3171" s="28"/>
    </row>
    <row r="3172" spans="1:10" ht="15.75" customHeight="1">
      <c r="A3172" s="28">
        <v>19239</v>
      </c>
      <c r="B3172" s="91">
        <v>45107.71230324074</v>
      </c>
      <c r="C3172" s="28" t="s">
        <v>10</v>
      </c>
      <c r="D3172" s="28" t="s">
        <v>443</v>
      </c>
      <c r="E3172" s="28" t="s">
        <v>28</v>
      </c>
      <c r="F3172" s="28">
        <v>25</v>
      </c>
      <c r="G3172" s="28">
        <v>100692</v>
      </c>
      <c r="H3172" s="28">
        <v>0</v>
      </c>
      <c r="J3172" s="28"/>
    </row>
    <row r="3173" spans="1:10" ht="15.75" customHeight="1">
      <c r="A3173" s="28">
        <v>19239</v>
      </c>
      <c r="B3173" s="91">
        <v>45107.71230324074</v>
      </c>
      <c r="C3173" s="28" t="s">
        <v>10</v>
      </c>
      <c r="D3173" s="28" t="s">
        <v>443</v>
      </c>
      <c r="E3173" s="28" t="s">
        <v>28</v>
      </c>
      <c r="F3173" s="28">
        <v>0</v>
      </c>
      <c r="G3173" s="28" t="s">
        <v>125</v>
      </c>
      <c r="H3173" s="28">
        <v>0</v>
      </c>
      <c r="J3173" s="28"/>
    </row>
    <row r="3174" spans="1:10" ht="15.75" customHeight="1">
      <c r="A3174" s="28">
        <v>19239</v>
      </c>
      <c r="B3174" s="91">
        <v>45107.71230324074</v>
      </c>
      <c r="C3174" s="28" t="s">
        <v>10</v>
      </c>
      <c r="D3174" s="28" t="s">
        <v>443</v>
      </c>
      <c r="E3174" s="28" t="s">
        <v>28</v>
      </c>
      <c r="F3174" s="28">
        <v>0</v>
      </c>
      <c r="G3174" s="28" t="s">
        <v>119</v>
      </c>
      <c r="H3174" s="28">
        <v>0</v>
      </c>
      <c r="J3174" s="28"/>
    </row>
    <row r="3175" spans="1:10" ht="15.75" customHeight="1">
      <c r="A3175" s="28">
        <v>19240</v>
      </c>
      <c r="B3175" s="91">
        <v>45107.822592592594</v>
      </c>
      <c r="C3175" s="28" t="s">
        <v>10</v>
      </c>
      <c r="D3175" s="28" t="s">
        <v>442</v>
      </c>
      <c r="E3175" s="28" t="s">
        <v>39</v>
      </c>
      <c r="F3175" s="28">
        <v>18</v>
      </c>
      <c r="G3175" s="28" t="s">
        <v>119</v>
      </c>
      <c r="H3175" s="28">
        <v>0</v>
      </c>
      <c r="J3175" s="28"/>
    </row>
    <row r="3176" spans="1:10" ht="15.75" customHeight="1">
      <c r="A3176" s="28">
        <v>19241</v>
      </c>
      <c r="B3176" s="91">
        <v>45108.10291666667</v>
      </c>
      <c r="C3176" s="28" t="s">
        <v>10</v>
      </c>
      <c r="D3176" s="28" t="s">
        <v>441</v>
      </c>
      <c r="E3176" s="28" t="s">
        <v>86</v>
      </c>
      <c r="F3176" s="28">
        <v>0</v>
      </c>
      <c r="G3176" s="28" t="s">
        <v>286</v>
      </c>
      <c r="H3176" s="28">
        <v>0</v>
      </c>
      <c r="J3176" s="28"/>
    </row>
    <row r="3177" spans="1:10" ht="15.75" customHeight="1">
      <c r="A3177" s="28">
        <v>19241</v>
      </c>
      <c r="B3177" s="91">
        <v>45108.10291666667</v>
      </c>
      <c r="C3177" s="28" t="s">
        <v>10</v>
      </c>
      <c r="D3177" s="28" t="s">
        <v>441</v>
      </c>
      <c r="E3177" s="28" t="s">
        <v>86</v>
      </c>
      <c r="F3177" s="28">
        <v>15</v>
      </c>
      <c r="G3177" s="28" t="s">
        <v>139</v>
      </c>
      <c r="H3177" s="28">
        <v>0</v>
      </c>
      <c r="J3177" s="28"/>
    </row>
    <row r="3178" spans="1:10" ht="15.75" customHeight="1">
      <c r="A3178" s="28">
        <v>19241</v>
      </c>
      <c r="B3178" s="91">
        <v>45108.10291666667</v>
      </c>
      <c r="C3178" s="28" t="s">
        <v>10</v>
      </c>
      <c r="D3178" s="28" t="s">
        <v>441</v>
      </c>
      <c r="E3178" s="28" t="s">
        <v>86</v>
      </c>
      <c r="F3178" s="28">
        <v>0</v>
      </c>
      <c r="G3178" s="28" t="s">
        <v>117</v>
      </c>
      <c r="H3178" s="28">
        <v>0</v>
      </c>
      <c r="J3178" s="28"/>
    </row>
    <row r="3179" spans="1:10" ht="15.75" customHeight="1">
      <c r="A3179" s="28">
        <v>19241</v>
      </c>
      <c r="B3179" s="91">
        <v>45108.10291666667</v>
      </c>
      <c r="C3179" s="28" t="s">
        <v>10</v>
      </c>
      <c r="D3179" s="28" t="s">
        <v>441</v>
      </c>
      <c r="E3179" s="28" t="s">
        <v>86</v>
      </c>
      <c r="F3179" s="28">
        <v>25</v>
      </c>
      <c r="G3179" s="28" t="s">
        <v>120</v>
      </c>
      <c r="H3179" s="28">
        <v>0</v>
      </c>
      <c r="J3179" s="28"/>
    </row>
    <row r="3180" spans="1:10" ht="15.75" customHeight="1">
      <c r="A3180" s="28">
        <v>19242</v>
      </c>
      <c r="B3180" s="91">
        <v>45108.121111111112</v>
      </c>
      <c r="C3180" s="28" t="s">
        <v>8</v>
      </c>
      <c r="D3180" s="28" t="s">
        <v>440</v>
      </c>
      <c r="E3180" s="28" t="s">
        <v>39</v>
      </c>
      <c r="F3180" s="28">
        <v>15</v>
      </c>
      <c r="G3180" s="28" t="s">
        <v>139</v>
      </c>
      <c r="H3180" s="28">
        <v>0</v>
      </c>
      <c r="J3180" s="28"/>
    </row>
    <row r="3181" spans="1:10" ht="15.75" customHeight="1">
      <c r="A3181" s="28">
        <v>19242</v>
      </c>
      <c r="B3181" s="91">
        <v>45108.121111111112</v>
      </c>
      <c r="C3181" s="28" t="s">
        <v>8</v>
      </c>
      <c r="D3181" s="28" t="s">
        <v>440</v>
      </c>
      <c r="E3181" s="28" t="s">
        <v>39</v>
      </c>
      <c r="F3181" s="28">
        <v>0</v>
      </c>
      <c r="G3181" s="28" t="s">
        <v>117</v>
      </c>
      <c r="H3181" s="28">
        <v>0</v>
      </c>
      <c r="J3181" s="28"/>
    </row>
    <row r="3182" spans="1:10" ht="15.75" customHeight="1">
      <c r="A3182" s="28">
        <v>19242</v>
      </c>
      <c r="B3182" s="91">
        <v>45108.121111111112</v>
      </c>
      <c r="C3182" s="28" t="s">
        <v>8</v>
      </c>
      <c r="D3182" s="28" t="s">
        <v>440</v>
      </c>
      <c r="E3182" s="28" t="s">
        <v>39</v>
      </c>
      <c r="F3182" s="28">
        <v>55</v>
      </c>
      <c r="G3182" s="28">
        <v>101684</v>
      </c>
      <c r="H3182" s="28">
        <v>0</v>
      </c>
      <c r="J3182" s="28"/>
    </row>
    <row r="3183" spans="1:10" ht="15.75" customHeight="1">
      <c r="A3183" s="28">
        <v>19242</v>
      </c>
      <c r="B3183" s="91">
        <v>45108.121111111112</v>
      </c>
      <c r="C3183" s="28" t="s">
        <v>8</v>
      </c>
      <c r="D3183" s="28" t="s">
        <v>440</v>
      </c>
      <c r="E3183" s="28" t="s">
        <v>39</v>
      </c>
      <c r="F3183" s="28">
        <v>0</v>
      </c>
      <c r="G3183" s="28" t="s">
        <v>118</v>
      </c>
      <c r="H3183" s="28">
        <v>0</v>
      </c>
      <c r="J3183" s="28"/>
    </row>
    <row r="3184" spans="1:10" ht="15.75" customHeight="1">
      <c r="A3184" s="28">
        <v>19242</v>
      </c>
      <c r="B3184" s="91">
        <v>45108.121111111112</v>
      </c>
      <c r="C3184" s="28" t="s">
        <v>8</v>
      </c>
      <c r="D3184" s="28" t="s">
        <v>440</v>
      </c>
      <c r="E3184" s="28" t="s">
        <v>39</v>
      </c>
      <c r="F3184" s="28">
        <v>0</v>
      </c>
      <c r="G3184" s="28" t="s">
        <v>119</v>
      </c>
      <c r="H3184" s="28">
        <v>0</v>
      </c>
      <c r="J3184" s="28"/>
    </row>
    <row r="3185" spans="1:10" ht="15.75" customHeight="1">
      <c r="A3185" s="28">
        <v>19242</v>
      </c>
      <c r="B3185" s="91">
        <v>45108.121111111112</v>
      </c>
      <c r="C3185" s="28" t="s">
        <v>8</v>
      </c>
      <c r="D3185" s="28" t="s">
        <v>440</v>
      </c>
      <c r="E3185" s="28" t="s">
        <v>39</v>
      </c>
      <c r="F3185" s="28">
        <v>0</v>
      </c>
      <c r="G3185" s="28" t="s">
        <v>120</v>
      </c>
      <c r="H3185" s="28">
        <v>0</v>
      </c>
      <c r="J3185" s="28"/>
    </row>
    <row r="3186" spans="1:10" ht="15.75" customHeight="1">
      <c r="A3186" s="28">
        <v>19242</v>
      </c>
      <c r="B3186" s="91">
        <v>45108.121111111112</v>
      </c>
      <c r="C3186" s="28" t="s">
        <v>8</v>
      </c>
      <c r="D3186" s="28" t="s">
        <v>440</v>
      </c>
      <c r="E3186" s="28" t="s">
        <v>39</v>
      </c>
      <c r="F3186" s="28">
        <v>0</v>
      </c>
      <c r="G3186" s="28" t="s">
        <v>121</v>
      </c>
      <c r="H3186" s="28">
        <v>0</v>
      </c>
      <c r="J3186" s="28"/>
    </row>
    <row r="3187" spans="1:10" ht="15.75" customHeight="1">
      <c r="A3187" s="28">
        <v>19243</v>
      </c>
      <c r="B3187" s="91">
        <v>45108.555439814816</v>
      </c>
      <c r="C3187" s="28" t="s">
        <v>10</v>
      </c>
      <c r="D3187" s="28" t="s">
        <v>439</v>
      </c>
      <c r="E3187" s="28" t="s">
        <v>39</v>
      </c>
      <c r="F3187" s="28">
        <v>15</v>
      </c>
      <c r="G3187" s="28" t="s">
        <v>125</v>
      </c>
      <c r="H3187" s="28">
        <v>0</v>
      </c>
      <c r="J3187" s="28"/>
    </row>
    <row r="3188" spans="1:10" ht="15.75" customHeight="1">
      <c r="A3188" s="28">
        <v>19245</v>
      </c>
      <c r="B3188" s="91">
        <v>45108.732777777783</v>
      </c>
      <c r="C3188" s="28" t="s">
        <v>10</v>
      </c>
      <c r="D3188" s="28" t="s">
        <v>438</v>
      </c>
      <c r="E3188" s="28" t="s">
        <v>39</v>
      </c>
      <c r="F3188" s="28">
        <v>18</v>
      </c>
      <c r="G3188" s="28" t="s">
        <v>119</v>
      </c>
      <c r="H3188" s="28">
        <v>0</v>
      </c>
      <c r="J3188" s="28"/>
    </row>
    <row r="3189" spans="1:10" ht="15.75" customHeight="1">
      <c r="A3189" s="28">
        <v>19246</v>
      </c>
      <c r="B3189" s="91">
        <v>45108.83315972222</v>
      </c>
      <c r="C3189" s="28" t="s">
        <v>10</v>
      </c>
      <c r="D3189" s="28" t="s">
        <v>437</v>
      </c>
      <c r="E3189" s="28" t="s">
        <v>28</v>
      </c>
      <c r="F3189" s="28">
        <v>20</v>
      </c>
      <c r="G3189" s="28" t="s">
        <v>148</v>
      </c>
      <c r="H3189" s="28">
        <v>0</v>
      </c>
      <c r="J3189" s="28"/>
    </row>
    <row r="3190" spans="1:10" ht="15.75" customHeight="1">
      <c r="A3190" s="28">
        <v>19247</v>
      </c>
      <c r="B3190" s="91">
        <v>45108.912395833337</v>
      </c>
      <c r="C3190" s="28" t="s">
        <v>10</v>
      </c>
      <c r="D3190" s="28" t="s">
        <v>436</v>
      </c>
      <c r="E3190" s="28" t="s">
        <v>85</v>
      </c>
      <c r="F3190" s="28">
        <v>26</v>
      </c>
      <c r="G3190" s="28" t="s">
        <v>122</v>
      </c>
      <c r="H3190" s="28">
        <v>0</v>
      </c>
      <c r="J3190" s="28"/>
    </row>
    <row r="3191" spans="1:10" ht="15.75" customHeight="1">
      <c r="A3191" s="28">
        <v>19248</v>
      </c>
      <c r="B3191" s="91">
        <v>45109.073263888888</v>
      </c>
      <c r="C3191" s="28" t="s">
        <v>10</v>
      </c>
      <c r="D3191" s="28" t="s">
        <v>435</v>
      </c>
      <c r="E3191" s="28" t="s">
        <v>59</v>
      </c>
      <c r="F3191" s="28">
        <v>26</v>
      </c>
      <c r="G3191" s="28" t="s">
        <v>122</v>
      </c>
      <c r="H3191" s="28">
        <v>0</v>
      </c>
      <c r="J3191" s="28"/>
    </row>
    <row r="3192" spans="1:10" ht="15.75" customHeight="1">
      <c r="A3192" s="28">
        <v>19249</v>
      </c>
      <c r="B3192" s="91">
        <v>45109.177650462967</v>
      </c>
      <c r="C3192" s="28" t="s">
        <v>10</v>
      </c>
      <c r="D3192" s="28" t="s">
        <v>434</v>
      </c>
      <c r="E3192" s="28" t="s">
        <v>28</v>
      </c>
      <c r="F3192" s="28">
        <v>0</v>
      </c>
      <c r="G3192" s="28" t="s">
        <v>117</v>
      </c>
      <c r="H3192" s="28">
        <v>0</v>
      </c>
      <c r="J3192" s="28"/>
    </row>
    <row r="3193" spans="1:10" ht="15.75" customHeight="1">
      <c r="A3193" s="28">
        <v>19249</v>
      </c>
      <c r="B3193" s="91">
        <v>45109.177650462967</v>
      </c>
      <c r="C3193" s="28" t="s">
        <v>10</v>
      </c>
      <c r="D3193" s="28" t="s">
        <v>434</v>
      </c>
      <c r="E3193" s="28" t="s">
        <v>28</v>
      </c>
      <c r="F3193" s="28">
        <v>18</v>
      </c>
      <c r="G3193" s="28" t="s">
        <v>119</v>
      </c>
      <c r="H3193" s="28">
        <v>0</v>
      </c>
      <c r="J3193" s="28"/>
    </row>
    <row r="3194" spans="1:10" ht="15.75" customHeight="1">
      <c r="A3194" s="28">
        <v>19250</v>
      </c>
      <c r="B3194" s="91">
        <v>45109.179548611108</v>
      </c>
      <c r="C3194" s="28" t="s">
        <v>10</v>
      </c>
      <c r="D3194" s="28" t="s">
        <v>433</v>
      </c>
      <c r="E3194" s="28" t="s">
        <v>28</v>
      </c>
      <c r="F3194" s="28">
        <v>18</v>
      </c>
      <c r="G3194" s="28" t="s">
        <v>119</v>
      </c>
      <c r="H3194" s="28">
        <v>0</v>
      </c>
      <c r="J3194" s="28"/>
    </row>
    <row r="3195" spans="1:10" ht="15.75" customHeight="1">
      <c r="A3195" s="28">
        <v>19250</v>
      </c>
      <c r="B3195" s="91">
        <v>45109.179548611108</v>
      </c>
      <c r="C3195" s="28" t="s">
        <v>10</v>
      </c>
      <c r="D3195" s="28" t="s">
        <v>433</v>
      </c>
      <c r="E3195" s="28" t="s">
        <v>28</v>
      </c>
      <c r="F3195" s="28">
        <v>0</v>
      </c>
      <c r="G3195" s="28" t="s">
        <v>117</v>
      </c>
      <c r="H3195" s="28">
        <v>0</v>
      </c>
      <c r="J3195" s="28"/>
    </row>
    <row r="3196" spans="1:10" ht="15.75" customHeight="1">
      <c r="A3196" s="28">
        <v>19251</v>
      </c>
      <c r="B3196" s="91">
        <v>45110.096805555557</v>
      </c>
      <c r="C3196" s="28" t="s">
        <v>10</v>
      </c>
      <c r="D3196" s="28" t="s">
        <v>432</v>
      </c>
      <c r="E3196" s="28" t="s">
        <v>15</v>
      </c>
      <c r="F3196" s="28">
        <v>25</v>
      </c>
      <c r="G3196" s="28">
        <v>100692</v>
      </c>
      <c r="H3196" s="28">
        <v>0</v>
      </c>
      <c r="J3196" s="28"/>
    </row>
    <row r="3197" spans="1:10" ht="15.75" customHeight="1">
      <c r="A3197" s="28">
        <v>19251</v>
      </c>
      <c r="B3197" s="91">
        <v>45110.096805555557</v>
      </c>
      <c r="C3197" s="28" t="s">
        <v>10</v>
      </c>
      <c r="D3197" s="28" t="s">
        <v>432</v>
      </c>
      <c r="E3197" s="28" t="s">
        <v>15</v>
      </c>
      <c r="F3197" s="28">
        <v>0</v>
      </c>
      <c r="G3197" s="28" t="s">
        <v>125</v>
      </c>
      <c r="H3197" s="28">
        <v>0</v>
      </c>
      <c r="J3197" s="28"/>
    </row>
    <row r="3198" spans="1:10" ht="15.75" customHeight="1">
      <c r="A3198" s="28">
        <v>19251</v>
      </c>
      <c r="B3198" s="91">
        <v>45110.096805555557</v>
      </c>
      <c r="C3198" s="28" t="s">
        <v>10</v>
      </c>
      <c r="D3198" s="28" t="s">
        <v>432</v>
      </c>
      <c r="E3198" s="28" t="s">
        <v>15</v>
      </c>
      <c r="F3198" s="28">
        <v>0</v>
      </c>
      <c r="G3198" s="28" t="s">
        <v>119</v>
      </c>
      <c r="H3198" s="28">
        <v>0</v>
      </c>
      <c r="J3198" s="28"/>
    </row>
    <row r="3199" spans="1:10" ht="15.75" customHeight="1">
      <c r="A3199" s="28">
        <v>19252</v>
      </c>
      <c r="B3199" s="91">
        <v>45110.149849537032</v>
      </c>
      <c r="C3199" s="28" t="s">
        <v>10</v>
      </c>
      <c r="D3199" s="28" t="s">
        <v>431</v>
      </c>
      <c r="E3199" s="28" t="s">
        <v>84</v>
      </c>
      <c r="F3199" s="28">
        <v>0</v>
      </c>
      <c r="G3199" s="28" t="s">
        <v>286</v>
      </c>
      <c r="H3199" s="28">
        <v>0</v>
      </c>
      <c r="J3199" s="28"/>
    </row>
    <row r="3200" spans="1:10" ht="15.75" customHeight="1">
      <c r="A3200" s="28">
        <v>19252</v>
      </c>
      <c r="B3200" s="91">
        <v>45110.149849537032</v>
      </c>
      <c r="C3200" s="28" t="s">
        <v>10</v>
      </c>
      <c r="D3200" s="28" t="s">
        <v>431</v>
      </c>
      <c r="E3200" s="28" t="s">
        <v>84</v>
      </c>
      <c r="F3200" s="28">
        <v>0</v>
      </c>
      <c r="G3200" s="28" t="s">
        <v>117</v>
      </c>
      <c r="H3200" s="28">
        <v>0</v>
      </c>
      <c r="J3200" s="28"/>
    </row>
    <row r="3201" spans="1:10" ht="15.75" customHeight="1">
      <c r="A3201" s="28">
        <v>19252</v>
      </c>
      <c r="B3201" s="91">
        <v>45110.149849537032</v>
      </c>
      <c r="C3201" s="28" t="s">
        <v>10</v>
      </c>
      <c r="D3201" s="28" t="s">
        <v>431</v>
      </c>
      <c r="E3201" s="28" t="s">
        <v>84</v>
      </c>
      <c r="F3201" s="28">
        <v>18</v>
      </c>
      <c r="G3201" s="28" t="s">
        <v>119</v>
      </c>
      <c r="H3201" s="28">
        <v>0</v>
      </c>
      <c r="J3201" s="28"/>
    </row>
    <row r="3202" spans="1:10" ht="15.75" customHeight="1">
      <c r="A3202" s="28">
        <v>19253</v>
      </c>
      <c r="B3202" s="91">
        <v>45110.571122685185</v>
      </c>
      <c r="C3202" s="28" t="s">
        <v>10</v>
      </c>
      <c r="D3202" s="28" t="s">
        <v>430</v>
      </c>
      <c r="E3202" s="28" t="s">
        <v>83</v>
      </c>
      <c r="F3202" s="28">
        <v>25</v>
      </c>
      <c r="G3202" s="28">
        <v>100692</v>
      </c>
      <c r="H3202" s="28">
        <v>0</v>
      </c>
      <c r="J3202" s="28"/>
    </row>
    <row r="3203" spans="1:10" ht="15.75" customHeight="1">
      <c r="A3203" s="28">
        <v>19253</v>
      </c>
      <c r="B3203" s="91">
        <v>45110.571122685185</v>
      </c>
      <c r="C3203" s="28" t="s">
        <v>10</v>
      </c>
      <c r="D3203" s="28" t="s">
        <v>430</v>
      </c>
      <c r="E3203" s="28" t="s">
        <v>83</v>
      </c>
      <c r="F3203" s="28">
        <v>0</v>
      </c>
      <c r="G3203" s="28" t="s">
        <v>125</v>
      </c>
      <c r="H3203" s="28">
        <v>0</v>
      </c>
      <c r="J3203" s="28"/>
    </row>
    <row r="3204" spans="1:10" ht="15.75" customHeight="1">
      <c r="A3204" s="28">
        <v>19253</v>
      </c>
      <c r="B3204" s="91">
        <v>45110.571122685185</v>
      </c>
      <c r="C3204" s="28" t="s">
        <v>10</v>
      </c>
      <c r="D3204" s="28" t="s">
        <v>430</v>
      </c>
      <c r="E3204" s="28" t="s">
        <v>83</v>
      </c>
      <c r="F3204" s="28">
        <v>0</v>
      </c>
      <c r="G3204" s="28" t="s">
        <v>119</v>
      </c>
      <c r="H3204" s="28">
        <v>0</v>
      </c>
      <c r="J3204" s="28"/>
    </row>
    <row r="3205" spans="1:10" ht="15.75" customHeight="1">
      <c r="A3205" s="28">
        <v>19254</v>
      </c>
      <c r="B3205" s="91">
        <v>45110.599108796298</v>
      </c>
      <c r="C3205" s="28" t="s">
        <v>5</v>
      </c>
      <c r="D3205" s="28" t="s">
        <v>429</v>
      </c>
      <c r="E3205" s="28" t="s">
        <v>82</v>
      </c>
      <c r="F3205" s="28">
        <v>0</v>
      </c>
      <c r="G3205" s="28" t="s">
        <v>286</v>
      </c>
      <c r="H3205" s="28">
        <v>0</v>
      </c>
      <c r="J3205" s="28"/>
    </row>
    <row r="3206" spans="1:10" ht="15.75" customHeight="1">
      <c r="A3206" s="28">
        <v>19255</v>
      </c>
      <c r="B3206" s="91">
        <v>45110.600949074069</v>
      </c>
      <c r="C3206" s="28" t="s">
        <v>5</v>
      </c>
      <c r="D3206" s="28" t="s">
        <v>428</v>
      </c>
      <c r="E3206" s="28" t="s">
        <v>82</v>
      </c>
      <c r="F3206" s="28">
        <v>0</v>
      </c>
      <c r="G3206" s="28" t="s">
        <v>286</v>
      </c>
      <c r="H3206" s="28">
        <v>0</v>
      </c>
      <c r="J3206" s="28"/>
    </row>
    <row r="3207" spans="1:10" ht="15.75" customHeight="1">
      <c r="A3207" s="28">
        <v>19256</v>
      </c>
      <c r="B3207" s="91">
        <v>45110.736898148149</v>
      </c>
      <c r="C3207" s="28" t="s">
        <v>10</v>
      </c>
      <c r="D3207" s="28" t="s">
        <v>427</v>
      </c>
      <c r="E3207" s="28" t="s">
        <v>28</v>
      </c>
      <c r="F3207" s="28">
        <v>15</v>
      </c>
      <c r="G3207" s="28" t="s">
        <v>125</v>
      </c>
      <c r="H3207" s="28">
        <v>0</v>
      </c>
      <c r="J3207" s="28"/>
    </row>
    <row r="3208" spans="1:10" ht="15.75" customHeight="1">
      <c r="A3208" s="28">
        <v>19257</v>
      </c>
      <c r="B3208" s="91">
        <v>45110.800775462965</v>
      </c>
      <c r="C3208" s="28" t="s">
        <v>10</v>
      </c>
      <c r="D3208" s="28" t="s">
        <v>426</v>
      </c>
      <c r="E3208" s="28" t="s">
        <v>28</v>
      </c>
      <c r="F3208" s="28">
        <v>25</v>
      </c>
      <c r="G3208" s="28">
        <v>100692</v>
      </c>
      <c r="H3208" s="28">
        <v>0</v>
      </c>
      <c r="J3208" s="28"/>
    </row>
    <row r="3209" spans="1:10" ht="15.75" customHeight="1">
      <c r="A3209" s="28">
        <v>19257</v>
      </c>
      <c r="B3209" s="91">
        <v>45110.800775462965</v>
      </c>
      <c r="C3209" s="28" t="s">
        <v>10</v>
      </c>
      <c r="D3209" s="28" t="s">
        <v>426</v>
      </c>
      <c r="E3209" s="28" t="s">
        <v>28</v>
      </c>
      <c r="F3209" s="28">
        <v>0</v>
      </c>
      <c r="G3209" s="28" t="s">
        <v>125</v>
      </c>
      <c r="H3209" s="28">
        <v>0</v>
      </c>
      <c r="J3209" s="28"/>
    </row>
    <row r="3210" spans="1:10" ht="15.75" customHeight="1">
      <c r="A3210" s="28">
        <v>19257</v>
      </c>
      <c r="B3210" s="91">
        <v>45110.800775462965</v>
      </c>
      <c r="C3210" s="28" t="s">
        <v>10</v>
      </c>
      <c r="D3210" s="28" t="s">
        <v>426</v>
      </c>
      <c r="E3210" s="28" t="s">
        <v>28</v>
      </c>
      <c r="F3210" s="28">
        <v>0</v>
      </c>
      <c r="G3210" s="28" t="s">
        <v>119</v>
      </c>
      <c r="H3210" s="28">
        <v>0</v>
      </c>
      <c r="J3210" s="28"/>
    </row>
    <row r="3211" spans="1:10" ht="15.75" customHeight="1">
      <c r="A3211" s="28">
        <v>19258</v>
      </c>
      <c r="B3211" s="91">
        <v>45110.846539351856</v>
      </c>
      <c r="C3211" s="28" t="s">
        <v>10</v>
      </c>
      <c r="D3211" s="28" t="s">
        <v>425</v>
      </c>
      <c r="E3211" s="28" t="s">
        <v>28</v>
      </c>
      <c r="F3211" s="28">
        <v>25</v>
      </c>
      <c r="G3211" s="28">
        <v>100692</v>
      </c>
      <c r="H3211" s="28">
        <v>0</v>
      </c>
      <c r="J3211" s="28"/>
    </row>
    <row r="3212" spans="1:10" ht="15.75" customHeight="1">
      <c r="A3212" s="28">
        <v>19258</v>
      </c>
      <c r="B3212" s="91">
        <v>45110.846539351856</v>
      </c>
      <c r="C3212" s="28" t="s">
        <v>10</v>
      </c>
      <c r="D3212" s="28" t="s">
        <v>425</v>
      </c>
      <c r="E3212" s="28" t="s">
        <v>28</v>
      </c>
      <c r="F3212" s="28">
        <v>0</v>
      </c>
      <c r="G3212" s="28" t="s">
        <v>125</v>
      </c>
      <c r="H3212" s="28">
        <v>0</v>
      </c>
      <c r="J3212" s="28"/>
    </row>
    <row r="3213" spans="1:10" ht="15.75" customHeight="1">
      <c r="A3213" s="28">
        <v>19258</v>
      </c>
      <c r="B3213" s="91">
        <v>45110.846539351856</v>
      </c>
      <c r="C3213" s="28" t="s">
        <v>10</v>
      </c>
      <c r="D3213" s="28" t="s">
        <v>425</v>
      </c>
      <c r="E3213" s="28" t="s">
        <v>28</v>
      </c>
      <c r="F3213" s="28">
        <v>0</v>
      </c>
      <c r="G3213" s="28" t="s">
        <v>119</v>
      </c>
      <c r="H3213" s="28">
        <v>0</v>
      </c>
      <c r="J3213" s="28"/>
    </row>
    <row r="3214" spans="1:10" ht="15.75" customHeight="1">
      <c r="A3214" s="28">
        <v>19258</v>
      </c>
      <c r="B3214" s="91">
        <v>45110.846539351856</v>
      </c>
      <c r="C3214" s="28" t="s">
        <v>10</v>
      </c>
      <c r="D3214" s="28" t="s">
        <v>425</v>
      </c>
      <c r="E3214" s="28" t="s">
        <v>28</v>
      </c>
      <c r="F3214" s="28">
        <v>26</v>
      </c>
      <c r="G3214" s="28" t="s">
        <v>122</v>
      </c>
      <c r="H3214" s="28">
        <v>0</v>
      </c>
      <c r="J3214" s="28"/>
    </row>
    <row r="3215" spans="1:10" ht="15.75" customHeight="1">
      <c r="A3215" s="28">
        <v>19259</v>
      </c>
      <c r="B3215" s="91">
        <v>45110.912870370375</v>
      </c>
      <c r="C3215" s="28" t="s">
        <v>10</v>
      </c>
      <c r="D3215" s="28" t="s">
        <v>424</v>
      </c>
      <c r="E3215" s="28" t="s">
        <v>28</v>
      </c>
      <c r="F3215" s="28">
        <v>28</v>
      </c>
      <c r="G3215" s="28" t="s">
        <v>143</v>
      </c>
      <c r="H3215" s="28">
        <v>0</v>
      </c>
      <c r="J3215" s="28"/>
    </row>
    <row r="3216" spans="1:10" ht="15.75" customHeight="1">
      <c r="A3216" s="28">
        <v>19260</v>
      </c>
      <c r="B3216" s="91">
        <v>45110.9144212963</v>
      </c>
      <c r="C3216" s="28" t="s">
        <v>10</v>
      </c>
      <c r="D3216" s="28" t="s">
        <v>423</v>
      </c>
      <c r="E3216" s="28" t="s">
        <v>28</v>
      </c>
      <c r="F3216" s="28">
        <v>28</v>
      </c>
      <c r="G3216" s="28" t="s">
        <v>143</v>
      </c>
      <c r="H3216" s="28">
        <v>0</v>
      </c>
      <c r="J3216" s="28"/>
    </row>
    <row r="3217" spans="1:10" ht="15.75" customHeight="1">
      <c r="A3217" s="28">
        <v>19261</v>
      </c>
      <c r="B3217" s="91">
        <v>45111.988877314812</v>
      </c>
      <c r="C3217" s="28" t="s">
        <v>10</v>
      </c>
      <c r="D3217" s="28" t="s">
        <v>422</v>
      </c>
      <c r="E3217" s="28" t="s">
        <v>28</v>
      </c>
      <c r="F3217" s="28">
        <v>15</v>
      </c>
      <c r="G3217" s="28" t="s">
        <v>125</v>
      </c>
      <c r="H3217" s="28">
        <v>0</v>
      </c>
      <c r="J3217" s="28"/>
    </row>
    <row r="3218" spans="1:10" ht="15.75" customHeight="1">
      <c r="A3218" s="28">
        <v>19263</v>
      </c>
      <c r="B3218" s="91">
        <v>45112.675104166672</v>
      </c>
      <c r="C3218" s="28" t="s">
        <v>10</v>
      </c>
      <c r="D3218" s="28" t="s">
        <v>421</v>
      </c>
      <c r="E3218" s="28" t="s">
        <v>28</v>
      </c>
      <c r="F3218" s="28">
        <v>0</v>
      </c>
      <c r="G3218" s="28" t="s">
        <v>117</v>
      </c>
      <c r="H3218" s="28">
        <v>0</v>
      </c>
      <c r="J3218" s="28"/>
    </row>
    <row r="3219" spans="1:10" ht="15.75" customHeight="1">
      <c r="A3219" s="28">
        <v>19263</v>
      </c>
      <c r="B3219" s="91">
        <v>45112.675104166672</v>
      </c>
      <c r="C3219" s="28" t="s">
        <v>10</v>
      </c>
      <c r="D3219" s="28" t="s">
        <v>421</v>
      </c>
      <c r="E3219" s="28" t="s">
        <v>28</v>
      </c>
      <c r="F3219" s="28">
        <v>18</v>
      </c>
      <c r="G3219" s="28" t="s">
        <v>119</v>
      </c>
      <c r="H3219" s="28">
        <v>0</v>
      </c>
      <c r="J3219" s="28"/>
    </row>
    <row r="3220" spans="1:10" ht="15.75" customHeight="1">
      <c r="A3220" s="28">
        <v>19264</v>
      </c>
      <c r="B3220" s="91">
        <v>45112.677256944444</v>
      </c>
      <c r="C3220" s="28" t="s">
        <v>10</v>
      </c>
      <c r="D3220" s="28" t="s">
        <v>420</v>
      </c>
      <c r="E3220" s="28" t="s">
        <v>28</v>
      </c>
      <c r="F3220" s="28">
        <v>18</v>
      </c>
      <c r="G3220" s="28" t="s">
        <v>119</v>
      </c>
      <c r="H3220" s="28">
        <v>0</v>
      </c>
      <c r="J3220" s="28"/>
    </row>
    <row r="3221" spans="1:10" ht="15.75" customHeight="1">
      <c r="A3221" s="28">
        <v>19264</v>
      </c>
      <c r="B3221" s="91">
        <v>45112.677256944444</v>
      </c>
      <c r="C3221" s="28" t="s">
        <v>10</v>
      </c>
      <c r="D3221" s="28" t="s">
        <v>420</v>
      </c>
      <c r="E3221" s="28" t="s">
        <v>28</v>
      </c>
      <c r="F3221" s="28">
        <v>0</v>
      </c>
      <c r="G3221" s="28" t="s">
        <v>117</v>
      </c>
      <c r="H3221" s="28">
        <v>0</v>
      </c>
      <c r="J3221" s="28"/>
    </row>
    <row r="3222" spans="1:10" ht="15.75" customHeight="1">
      <c r="A3222" s="28">
        <v>19265</v>
      </c>
      <c r="B3222" s="91">
        <v>45112.682974537034</v>
      </c>
      <c r="C3222" s="28" t="s">
        <v>10</v>
      </c>
      <c r="D3222" s="28" t="s">
        <v>419</v>
      </c>
      <c r="E3222" s="28" t="s">
        <v>28</v>
      </c>
      <c r="F3222" s="28">
        <v>28</v>
      </c>
      <c r="G3222" s="28" t="s">
        <v>143</v>
      </c>
      <c r="H3222" s="28">
        <v>0</v>
      </c>
      <c r="J3222" s="28"/>
    </row>
    <row r="3223" spans="1:10" ht="15.75" customHeight="1">
      <c r="A3223" s="28">
        <v>19265</v>
      </c>
      <c r="B3223" s="91">
        <v>45112.682974537034</v>
      </c>
      <c r="C3223" s="28" t="s">
        <v>10</v>
      </c>
      <c r="D3223" s="28" t="s">
        <v>419</v>
      </c>
      <c r="E3223" s="28" t="s">
        <v>28</v>
      </c>
      <c r="F3223" s="28">
        <v>15</v>
      </c>
      <c r="G3223" s="28" t="s">
        <v>125</v>
      </c>
      <c r="H3223" s="28">
        <v>0</v>
      </c>
      <c r="J3223" s="28"/>
    </row>
    <row r="3224" spans="1:10" ht="15.75" customHeight="1">
      <c r="A3224" s="28">
        <v>19266</v>
      </c>
      <c r="B3224" s="91">
        <v>45112.809444444443</v>
      </c>
      <c r="C3224" s="28" t="s">
        <v>10</v>
      </c>
      <c r="D3224" s="28" t="s">
        <v>418</v>
      </c>
      <c r="E3224" s="28" t="s">
        <v>28</v>
      </c>
      <c r="F3224" s="28">
        <v>0</v>
      </c>
      <c r="G3224" s="28" t="s">
        <v>117</v>
      </c>
      <c r="H3224" s="28">
        <v>0</v>
      </c>
      <c r="J3224" s="28"/>
    </row>
    <row r="3225" spans="1:10" ht="15.75" customHeight="1">
      <c r="A3225" s="28">
        <v>19266</v>
      </c>
      <c r="B3225" s="91">
        <v>45112.809444444443</v>
      </c>
      <c r="C3225" s="28" t="s">
        <v>10</v>
      </c>
      <c r="D3225" s="28" t="s">
        <v>418</v>
      </c>
      <c r="E3225" s="28" t="s">
        <v>28</v>
      </c>
      <c r="F3225" s="28">
        <v>28</v>
      </c>
      <c r="G3225" s="28" t="s">
        <v>143</v>
      </c>
      <c r="H3225" s="28">
        <v>0</v>
      </c>
      <c r="J3225" s="28"/>
    </row>
    <row r="3226" spans="1:10" ht="15.75" customHeight="1">
      <c r="A3226" s="28">
        <v>19267</v>
      </c>
      <c r="B3226" s="91">
        <v>45112.810717592598</v>
      </c>
      <c r="C3226" s="28" t="s">
        <v>10</v>
      </c>
      <c r="D3226" s="28" t="s">
        <v>417</v>
      </c>
      <c r="E3226" s="28" t="s">
        <v>28</v>
      </c>
      <c r="F3226" s="28">
        <v>28</v>
      </c>
      <c r="G3226" s="28" t="s">
        <v>143</v>
      </c>
      <c r="H3226" s="28">
        <v>0</v>
      </c>
      <c r="J3226" s="28"/>
    </row>
    <row r="3227" spans="1:10" ht="15.75" customHeight="1">
      <c r="A3227" s="28">
        <v>19267</v>
      </c>
      <c r="B3227" s="91">
        <v>45112.810717592598</v>
      </c>
      <c r="C3227" s="28" t="s">
        <v>10</v>
      </c>
      <c r="D3227" s="28" t="s">
        <v>417</v>
      </c>
      <c r="E3227" s="28" t="s">
        <v>28</v>
      </c>
      <c r="F3227" s="28">
        <v>0</v>
      </c>
      <c r="G3227" s="28" t="s">
        <v>117</v>
      </c>
      <c r="H3227" s="28">
        <v>0</v>
      </c>
      <c r="J3227" s="28"/>
    </row>
    <row r="3228" spans="1:10" ht="15.75" customHeight="1">
      <c r="A3228" s="28">
        <v>19274</v>
      </c>
      <c r="B3228" s="91">
        <v>45112.881354166668</v>
      </c>
      <c r="C3228" s="28" t="s">
        <v>10</v>
      </c>
      <c r="D3228" s="28" t="s">
        <v>416</v>
      </c>
      <c r="E3228" s="28" t="s">
        <v>28</v>
      </c>
      <c r="F3228" s="28">
        <v>25</v>
      </c>
      <c r="G3228" s="28">
        <v>100692</v>
      </c>
      <c r="H3228" s="28">
        <v>0</v>
      </c>
      <c r="J3228" s="28"/>
    </row>
    <row r="3229" spans="1:10" ht="15.75" customHeight="1">
      <c r="A3229" s="28">
        <v>19274</v>
      </c>
      <c r="B3229" s="91">
        <v>45112.881354166668</v>
      </c>
      <c r="C3229" s="28" t="s">
        <v>10</v>
      </c>
      <c r="D3229" s="28" t="s">
        <v>416</v>
      </c>
      <c r="E3229" s="28" t="s">
        <v>28</v>
      </c>
      <c r="F3229" s="28">
        <v>0</v>
      </c>
      <c r="G3229" s="28" t="s">
        <v>125</v>
      </c>
      <c r="H3229" s="28">
        <v>0</v>
      </c>
      <c r="J3229" s="28"/>
    </row>
    <row r="3230" spans="1:10" ht="15.75" customHeight="1">
      <c r="A3230" s="28">
        <v>19274</v>
      </c>
      <c r="B3230" s="91">
        <v>45112.881354166668</v>
      </c>
      <c r="C3230" s="28" t="s">
        <v>10</v>
      </c>
      <c r="D3230" s="28" t="s">
        <v>416</v>
      </c>
      <c r="E3230" s="28" t="s">
        <v>28</v>
      </c>
      <c r="F3230" s="28">
        <v>0</v>
      </c>
      <c r="G3230" s="28" t="s">
        <v>119</v>
      </c>
      <c r="H3230" s="28">
        <v>0</v>
      </c>
      <c r="J3230" s="28"/>
    </row>
    <row r="3231" spans="1:10" ht="15.75" customHeight="1">
      <c r="A3231" s="28">
        <v>19275</v>
      </c>
      <c r="B3231" s="91">
        <v>45112.944328703699</v>
      </c>
      <c r="C3231" s="28" t="s">
        <v>10</v>
      </c>
      <c r="D3231" s="28" t="s">
        <v>415</v>
      </c>
      <c r="E3231" s="28" t="s">
        <v>81</v>
      </c>
      <c r="F3231" s="28">
        <v>25</v>
      </c>
      <c r="G3231" s="28" t="s">
        <v>118</v>
      </c>
      <c r="H3231" s="28">
        <v>0</v>
      </c>
      <c r="J3231" s="28"/>
    </row>
    <row r="3232" spans="1:10" ht="15.75" customHeight="1">
      <c r="A3232" s="28">
        <v>19276</v>
      </c>
      <c r="B3232" s="91">
        <v>45113.014930555553</v>
      </c>
      <c r="C3232" s="28" t="s">
        <v>10</v>
      </c>
      <c r="D3232" s="28" t="s">
        <v>414</v>
      </c>
      <c r="E3232" s="28" t="s">
        <v>28</v>
      </c>
      <c r="F3232" s="28">
        <v>25</v>
      </c>
      <c r="G3232" s="28">
        <v>100692</v>
      </c>
      <c r="H3232" s="28">
        <v>0</v>
      </c>
      <c r="J3232" s="28"/>
    </row>
    <row r="3233" spans="1:10" ht="15.75" customHeight="1">
      <c r="A3233" s="28">
        <v>19276</v>
      </c>
      <c r="B3233" s="91">
        <v>45113.014930555553</v>
      </c>
      <c r="C3233" s="28" t="s">
        <v>10</v>
      </c>
      <c r="D3233" s="28" t="s">
        <v>414</v>
      </c>
      <c r="E3233" s="28" t="s">
        <v>28</v>
      </c>
      <c r="F3233" s="28">
        <v>0</v>
      </c>
      <c r="G3233" s="28" t="s">
        <v>125</v>
      </c>
      <c r="H3233" s="28">
        <v>0</v>
      </c>
      <c r="J3233" s="28"/>
    </row>
    <row r="3234" spans="1:10" ht="15.75" customHeight="1">
      <c r="A3234" s="28">
        <v>19276</v>
      </c>
      <c r="B3234" s="91">
        <v>45113.014930555553</v>
      </c>
      <c r="C3234" s="28" t="s">
        <v>10</v>
      </c>
      <c r="D3234" s="28" t="s">
        <v>414</v>
      </c>
      <c r="E3234" s="28" t="s">
        <v>28</v>
      </c>
      <c r="F3234" s="28">
        <v>0</v>
      </c>
      <c r="G3234" s="28" t="s">
        <v>119</v>
      </c>
      <c r="H3234" s="28">
        <v>0</v>
      </c>
      <c r="J3234" s="28"/>
    </row>
    <row r="3235" spans="1:10" ht="15.75" customHeight="1">
      <c r="A3235" s="28">
        <v>19276</v>
      </c>
      <c r="B3235" s="91">
        <v>45113.014930555553</v>
      </c>
      <c r="C3235" s="28" t="s">
        <v>10</v>
      </c>
      <c r="D3235" s="28" t="s">
        <v>414</v>
      </c>
      <c r="E3235" s="28" t="s">
        <v>28</v>
      </c>
      <c r="F3235" s="28">
        <v>0</v>
      </c>
      <c r="G3235" s="28" t="s">
        <v>117</v>
      </c>
      <c r="H3235" s="28">
        <v>0</v>
      </c>
      <c r="J3235" s="28"/>
    </row>
    <row r="3236" spans="1:10" ht="15.75" customHeight="1">
      <c r="A3236" s="28">
        <v>19277</v>
      </c>
      <c r="B3236" s="91">
        <v>45113.020254629635</v>
      </c>
      <c r="C3236" s="28" t="s">
        <v>10</v>
      </c>
      <c r="D3236" s="28" t="s">
        <v>413</v>
      </c>
      <c r="E3236" s="28" t="s">
        <v>28</v>
      </c>
      <c r="F3236" s="28">
        <v>0</v>
      </c>
      <c r="G3236" s="28" t="s">
        <v>117</v>
      </c>
      <c r="H3236" s="28">
        <v>0</v>
      </c>
      <c r="J3236" s="28"/>
    </row>
    <row r="3237" spans="1:10" ht="15.75" customHeight="1">
      <c r="A3237" s="28">
        <v>19277</v>
      </c>
      <c r="B3237" s="91">
        <v>45113.020254629635</v>
      </c>
      <c r="C3237" s="28" t="s">
        <v>10</v>
      </c>
      <c r="D3237" s="28" t="s">
        <v>413</v>
      </c>
      <c r="E3237" s="28" t="s">
        <v>28</v>
      </c>
      <c r="F3237" s="28">
        <v>18</v>
      </c>
      <c r="G3237" s="28" t="s">
        <v>119</v>
      </c>
      <c r="H3237" s="28">
        <v>0</v>
      </c>
      <c r="J3237" s="28"/>
    </row>
    <row r="3238" spans="1:10" ht="15.75" customHeight="1">
      <c r="A3238" s="28">
        <v>19278</v>
      </c>
      <c r="B3238" s="91">
        <v>45113.519814814819</v>
      </c>
      <c r="C3238" s="28" t="s">
        <v>10</v>
      </c>
      <c r="D3238" s="28" t="s">
        <v>412</v>
      </c>
      <c r="E3238" s="28" t="s">
        <v>28</v>
      </c>
      <c r="F3238" s="28">
        <v>25</v>
      </c>
      <c r="G3238" s="28">
        <v>100692</v>
      </c>
      <c r="H3238" s="28">
        <v>0</v>
      </c>
      <c r="J3238" s="28"/>
    </row>
    <row r="3239" spans="1:10" ht="15.75" customHeight="1">
      <c r="A3239" s="28">
        <v>19278</v>
      </c>
      <c r="B3239" s="91">
        <v>45113.519814814819</v>
      </c>
      <c r="C3239" s="28" t="s">
        <v>10</v>
      </c>
      <c r="D3239" s="28" t="s">
        <v>412</v>
      </c>
      <c r="E3239" s="28" t="s">
        <v>28</v>
      </c>
      <c r="F3239" s="28">
        <v>0</v>
      </c>
      <c r="G3239" s="28" t="s">
        <v>125</v>
      </c>
      <c r="H3239" s="28">
        <v>0</v>
      </c>
      <c r="J3239" s="28"/>
    </row>
    <row r="3240" spans="1:10" ht="15.75" customHeight="1">
      <c r="A3240" s="28">
        <v>19278</v>
      </c>
      <c r="B3240" s="91">
        <v>45113.519814814819</v>
      </c>
      <c r="C3240" s="28" t="s">
        <v>10</v>
      </c>
      <c r="D3240" s="28" t="s">
        <v>412</v>
      </c>
      <c r="E3240" s="28" t="s">
        <v>28</v>
      </c>
      <c r="F3240" s="28">
        <v>0</v>
      </c>
      <c r="G3240" s="28" t="s">
        <v>119</v>
      </c>
      <c r="H3240" s="28">
        <v>0</v>
      </c>
      <c r="J3240" s="28"/>
    </row>
    <row r="3241" spans="1:10" ht="15.75" customHeight="1">
      <c r="A3241" s="28">
        <v>19281</v>
      </c>
      <c r="B3241" s="91">
        <v>45113.801018518519</v>
      </c>
      <c r="C3241" s="28" t="s">
        <v>10</v>
      </c>
      <c r="D3241" s="28" t="s">
        <v>411</v>
      </c>
      <c r="E3241" s="28" t="s">
        <v>28</v>
      </c>
      <c r="F3241" s="28">
        <v>25</v>
      </c>
      <c r="G3241" s="28" t="s">
        <v>141</v>
      </c>
      <c r="H3241" s="28">
        <v>0</v>
      </c>
      <c r="J3241" s="28"/>
    </row>
    <row r="3242" spans="1:10" ht="15.75" customHeight="1">
      <c r="A3242" s="28">
        <v>19281</v>
      </c>
      <c r="B3242" s="91">
        <v>45113.801018518519</v>
      </c>
      <c r="C3242" s="28" t="s">
        <v>10</v>
      </c>
      <c r="D3242" s="28" t="s">
        <v>411</v>
      </c>
      <c r="E3242" s="28" t="s">
        <v>28</v>
      </c>
      <c r="F3242" s="28">
        <v>20</v>
      </c>
      <c r="G3242" s="28" t="s">
        <v>205</v>
      </c>
      <c r="H3242" s="28">
        <v>0</v>
      </c>
      <c r="J3242" s="28"/>
    </row>
    <row r="3243" spans="1:10" ht="15.75" customHeight="1">
      <c r="A3243" s="28">
        <v>19281</v>
      </c>
      <c r="B3243" s="91">
        <v>45113.801018518519</v>
      </c>
      <c r="C3243" s="28" t="s">
        <v>10</v>
      </c>
      <c r="D3243" s="28" t="s">
        <v>411</v>
      </c>
      <c r="E3243" s="28" t="s">
        <v>28</v>
      </c>
      <c r="F3243" s="28">
        <v>0</v>
      </c>
      <c r="G3243" s="28" t="s">
        <v>125</v>
      </c>
      <c r="H3243" s="28">
        <v>0</v>
      </c>
      <c r="J3243" s="28"/>
    </row>
    <row r="3244" spans="1:10" ht="15.75" customHeight="1">
      <c r="A3244" s="28">
        <v>19281</v>
      </c>
      <c r="B3244" s="91">
        <v>45113.801018518519</v>
      </c>
      <c r="C3244" s="28" t="s">
        <v>10</v>
      </c>
      <c r="D3244" s="28" t="s">
        <v>411</v>
      </c>
      <c r="E3244" s="28" t="s">
        <v>28</v>
      </c>
      <c r="F3244" s="28">
        <v>0</v>
      </c>
      <c r="G3244" s="28" t="s">
        <v>117</v>
      </c>
      <c r="H3244" s="28">
        <v>0</v>
      </c>
      <c r="J3244" s="28"/>
    </row>
    <row r="3245" spans="1:10" ht="15.75" customHeight="1">
      <c r="A3245" s="28">
        <v>19282</v>
      </c>
      <c r="B3245" s="91">
        <v>45113.804259259261</v>
      </c>
      <c r="C3245" s="28" t="s">
        <v>10</v>
      </c>
      <c r="D3245" s="28" t="s">
        <v>410</v>
      </c>
      <c r="E3245" s="28" t="s">
        <v>28</v>
      </c>
      <c r="F3245" s="28">
        <v>25</v>
      </c>
      <c r="G3245" s="28" t="s">
        <v>141</v>
      </c>
      <c r="H3245" s="28">
        <v>0</v>
      </c>
      <c r="J3245" s="28"/>
    </row>
    <row r="3246" spans="1:10" ht="15.75" customHeight="1">
      <c r="A3246" s="28">
        <v>19282</v>
      </c>
      <c r="B3246" s="91">
        <v>45113.804259259261</v>
      </c>
      <c r="C3246" s="28" t="s">
        <v>10</v>
      </c>
      <c r="D3246" s="28" t="s">
        <v>410</v>
      </c>
      <c r="E3246" s="28" t="s">
        <v>28</v>
      </c>
      <c r="F3246" s="28">
        <v>0</v>
      </c>
      <c r="G3246" s="28" t="s">
        <v>117</v>
      </c>
      <c r="H3246" s="28">
        <v>0</v>
      </c>
      <c r="J3246" s="28"/>
    </row>
    <row r="3247" spans="1:10" ht="15.75" customHeight="1">
      <c r="A3247" s="28">
        <v>19282</v>
      </c>
      <c r="B3247" s="91">
        <v>45113.804259259261</v>
      </c>
      <c r="C3247" s="28" t="s">
        <v>10</v>
      </c>
      <c r="D3247" s="28" t="s">
        <v>410</v>
      </c>
      <c r="E3247" s="28" t="s">
        <v>28</v>
      </c>
      <c r="F3247" s="28">
        <v>20</v>
      </c>
      <c r="G3247" s="28" t="s">
        <v>205</v>
      </c>
      <c r="H3247" s="28">
        <v>0</v>
      </c>
      <c r="J3247" s="28"/>
    </row>
    <row r="3248" spans="1:10" ht="15.75" customHeight="1">
      <c r="A3248" s="28">
        <v>19282</v>
      </c>
      <c r="B3248" s="91">
        <v>45113.804259259261</v>
      </c>
      <c r="C3248" s="28" t="s">
        <v>10</v>
      </c>
      <c r="D3248" s="28" t="s">
        <v>410</v>
      </c>
      <c r="E3248" s="28" t="s">
        <v>28</v>
      </c>
      <c r="F3248" s="28">
        <v>0</v>
      </c>
      <c r="G3248" s="28" t="s">
        <v>125</v>
      </c>
      <c r="H3248" s="28">
        <v>0</v>
      </c>
      <c r="J3248" s="28"/>
    </row>
    <row r="3249" spans="1:10" ht="15.75" customHeight="1">
      <c r="A3249" s="28">
        <v>19286</v>
      </c>
      <c r="B3249" s="91">
        <v>45114.106874999998</v>
      </c>
      <c r="C3249" s="28" t="s">
        <v>10</v>
      </c>
      <c r="D3249" s="28" t="s">
        <v>409</v>
      </c>
      <c r="E3249" s="28" t="s">
        <v>59</v>
      </c>
      <c r="F3249" s="28">
        <v>30</v>
      </c>
      <c r="G3249" s="28" t="s">
        <v>128</v>
      </c>
      <c r="H3249" s="28">
        <v>0</v>
      </c>
      <c r="J3249" s="28"/>
    </row>
    <row r="3250" spans="1:10" ht="15.75" customHeight="1">
      <c r="A3250" s="28">
        <v>19286</v>
      </c>
      <c r="B3250" s="91">
        <v>45114.106874999998</v>
      </c>
      <c r="C3250" s="28" t="s">
        <v>10</v>
      </c>
      <c r="D3250" s="28" t="s">
        <v>409</v>
      </c>
      <c r="E3250" s="28" t="s">
        <v>59</v>
      </c>
      <c r="F3250" s="28">
        <v>0</v>
      </c>
      <c r="G3250" s="28" t="s">
        <v>125</v>
      </c>
      <c r="H3250" s="28">
        <v>0</v>
      </c>
      <c r="J3250" s="28"/>
    </row>
    <row r="3251" spans="1:10" ht="15.75" customHeight="1">
      <c r="A3251" s="28">
        <v>19286</v>
      </c>
      <c r="B3251" s="91">
        <v>45114.106874999998</v>
      </c>
      <c r="C3251" s="28" t="s">
        <v>10</v>
      </c>
      <c r="D3251" s="28" t="s">
        <v>409</v>
      </c>
      <c r="E3251" s="28" t="s">
        <v>59</v>
      </c>
      <c r="F3251" s="28">
        <v>0</v>
      </c>
      <c r="G3251" s="28" t="s">
        <v>119</v>
      </c>
      <c r="H3251" s="28">
        <v>0</v>
      </c>
      <c r="J3251" s="28"/>
    </row>
    <row r="3252" spans="1:10" ht="15.75" customHeight="1">
      <c r="A3252" s="28">
        <v>19286</v>
      </c>
      <c r="B3252" s="91">
        <v>45114.106874999998</v>
      </c>
      <c r="C3252" s="28" t="s">
        <v>10</v>
      </c>
      <c r="D3252" s="28" t="s">
        <v>409</v>
      </c>
      <c r="E3252" s="28" t="s">
        <v>59</v>
      </c>
      <c r="F3252" s="28">
        <v>0</v>
      </c>
      <c r="G3252" s="28" t="s">
        <v>117</v>
      </c>
      <c r="H3252" s="28">
        <v>0</v>
      </c>
      <c r="J3252" s="28"/>
    </row>
    <row r="3253" spans="1:10" ht="15.75" customHeight="1">
      <c r="A3253" s="28">
        <v>19286</v>
      </c>
      <c r="B3253" s="91">
        <v>45114.106874999998</v>
      </c>
      <c r="C3253" s="28" t="s">
        <v>10</v>
      </c>
      <c r="D3253" s="28" t="s">
        <v>409</v>
      </c>
      <c r="E3253" s="28" t="s">
        <v>59</v>
      </c>
      <c r="F3253" s="28">
        <v>66</v>
      </c>
      <c r="G3253" s="28" t="s">
        <v>137</v>
      </c>
      <c r="H3253" s="28">
        <v>0</v>
      </c>
      <c r="J3253" s="28"/>
    </row>
    <row r="3254" spans="1:10" ht="15.75" customHeight="1">
      <c r="A3254" s="28">
        <v>19287</v>
      </c>
      <c r="B3254" s="91">
        <v>45114.490763888884</v>
      </c>
      <c r="C3254" s="28" t="s">
        <v>10</v>
      </c>
      <c r="D3254" s="28" t="s">
        <v>408</v>
      </c>
      <c r="E3254" s="28" t="s">
        <v>28</v>
      </c>
      <c r="F3254" s="28">
        <v>25</v>
      </c>
      <c r="G3254" s="28">
        <v>100692</v>
      </c>
      <c r="H3254" s="28">
        <v>0</v>
      </c>
      <c r="J3254" s="28"/>
    </row>
    <row r="3255" spans="1:10" ht="15.75" customHeight="1">
      <c r="A3255" s="28">
        <v>19287</v>
      </c>
      <c r="B3255" s="91">
        <v>45114.490763888884</v>
      </c>
      <c r="C3255" s="28" t="s">
        <v>10</v>
      </c>
      <c r="D3255" s="28" t="s">
        <v>408</v>
      </c>
      <c r="E3255" s="28" t="s">
        <v>28</v>
      </c>
      <c r="F3255" s="28">
        <v>0</v>
      </c>
      <c r="G3255" s="28" t="s">
        <v>125</v>
      </c>
      <c r="H3255" s="28">
        <v>0</v>
      </c>
      <c r="J3255" s="28"/>
    </row>
    <row r="3256" spans="1:10" ht="15.75" customHeight="1">
      <c r="A3256" s="28">
        <v>19287</v>
      </c>
      <c r="B3256" s="91">
        <v>45114.490763888884</v>
      </c>
      <c r="C3256" s="28" t="s">
        <v>10</v>
      </c>
      <c r="D3256" s="28" t="s">
        <v>408</v>
      </c>
      <c r="E3256" s="28" t="s">
        <v>28</v>
      </c>
      <c r="F3256" s="28">
        <v>0</v>
      </c>
      <c r="G3256" s="28" t="s">
        <v>119</v>
      </c>
      <c r="H3256" s="28">
        <v>0</v>
      </c>
      <c r="J3256" s="28"/>
    </row>
    <row r="3257" spans="1:10" ht="15.75" customHeight="1">
      <c r="A3257" s="28">
        <v>19288</v>
      </c>
      <c r="B3257" s="91">
        <v>45114.531122685185</v>
      </c>
      <c r="C3257" s="28" t="s">
        <v>10</v>
      </c>
      <c r="D3257" s="28" t="s">
        <v>407</v>
      </c>
      <c r="E3257" s="28" t="s">
        <v>28</v>
      </c>
      <c r="F3257" s="28">
        <v>35</v>
      </c>
      <c r="G3257" s="28" t="s">
        <v>124</v>
      </c>
      <c r="H3257" s="28">
        <v>0</v>
      </c>
      <c r="J3257" s="28"/>
    </row>
    <row r="3258" spans="1:10" ht="15.75" customHeight="1">
      <c r="A3258" s="28">
        <v>19288</v>
      </c>
      <c r="B3258" s="91">
        <v>45114.531122685185</v>
      </c>
      <c r="C3258" s="28" t="s">
        <v>10</v>
      </c>
      <c r="D3258" s="28" t="s">
        <v>407</v>
      </c>
      <c r="E3258" s="28" t="s">
        <v>28</v>
      </c>
      <c r="F3258" s="28">
        <v>0</v>
      </c>
      <c r="G3258" s="28" t="s">
        <v>125</v>
      </c>
      <c r="H3258" s="28">
        <v>0</v>
      </c>
      <c r="J3258" s="28"/>
    </row>
    <row r="3259" spans="1:10" ht="15.75" customHeight="1">
      <c r="A3259" s="28">
        <v>19288</v>
      </c>
      <c r="B3259" s="91">
        <v>45114.531122685185</v>
      </c>
      <c r="C3259" s="28" t="s">
        <v>10</v>
      </c>
      <c r="D3259" s="28" t="s">
        <v>407</v>
      </c>
      <c r="E3259" s="28" t="s">
        <v>28</v>
      </c>
      <c r="F3259" s="28">
        <v>0</v>
      </c>
      <c r="G3259" s="28" t="s">
        <v>119</v>
      </c>
      <c r="H3259" s="28">
        <v>0</v>
      </c>
      <c r="J3259" s="28"/>
    </row>
    <row r="3260" spans="1:10" ht="15.75" customHeight="1">
      <c r="A3260" s="28">
        <v>19288</v>
      </c>
      <c r="B3260" s="91">
        <v>45114.531122685185</v>
      </c>
      <c r="C3260" s="28" t="s">
        <v>10</v>
      </c>
      <c r="D3260" s="28" t="s">
        <v>407</v>
      </c>
      <c r="E3260" s="28" t="s">
        <v>28</v>
      </c>
      <c r="F3260" s="28">
        <v>0</v>
      </c>
      <c r="G3260" s="28" t="s">
        <v>121</v>
      </c>
      <c r="H3260" s="28">
        <v>0</v>
      </c>
      <c r="J3260" s="28"/>
    </row>
    <row r="3261" spans="1:10" ht="15.75" customHeight="1">
      <c r="A3261" s="28">
        <v>19290</v>
      </c>
      <c r="B3261" s="91">
        <v>45114.884050925924</v>
      </c>
      <c r="C3261" s="28" t="s">
        <v>10</v>
      </c>
      <c r="D3261" s="28" t="s">
        <v>406</v>
      </c>
      <c r="E3261" s="28" t="s">
        <v>28</v>
      </c>
      <c r="F3261" s="28">
        <v>35</v>
      </c>
      <c r="G3261" s="28" t="s">
        <v>124</v>
      </c>
      <c r="H3261" s="28">
        <v>0</v>
      </c>
      <c r="J3261" s="28"/>
    </row>
    <row r="3262" spans="1:10" ht="15.75" customHeight="1">
      <c r="A3262" s="28">
        <v>19290</v>
      </c>
      <c r="B3262" s="91">
        <v>45114.884050925924</v>
      </c>
      <c r="C3262" s="28" t="s">
        <v>10</v>
      </c>
      <c r="D3262" s="28" t="s">
        <v>406</v>
      </c>
      <c r="E3262" s="28" t="s">
        <v>28</v>
      </c>
      <c r="F3262" s="28">
        <v>0</v>
      </c>
      <c r="G3262" s="28" t="s">
        <v>125</v>
      </c>
      <c r="H3262" s="28">
        <v>0</v>
      </c>
      <c r="J3262" s="28"/>
    </row>
    <row r="3263" spans="1:10" ht="15.75" customHeight="1">
      <c r="A3263" s="28">
        <v>19290</v>
      </c>
      <c r="B3263" s="91">
        <v>45114.884050925924</v>
      </c>
      <c r="C3263" s="28" t="s">
        <v>10</v>
      </c>
      <c r="D3263" s="28" t="s">
        <v>406</v>
      </c>
      <c r="E3263" s="28" t="s">
        <v>28</v>
      </c>
      <c r="F3263" s="28">
        <v>0</v>
      </c>
      <c r="G3263" s="28" t="s">
        <v>119</v>
      </c>
      <c r="H3263" s="28">
        <v>0</v>
      </c>
      <c r="J3263" s="28"/>
    </row>
    <row r="3264" spans="1:10" ht="15.75" customHeight="1">
      <c r="A3264" s="28">
        <v>19290</v>
      </c>
      <c r="B3264" s="91">
        <v>45114.884050925924</v>
      </c>
      <c r="C3264" s="28" t="s">
        <v>10</v>
      </c>
      <c r="D3264" s="28" t="s">
        <v>406</v>
      </c>
      <c r="E3264" s="28" t="s">
        <v>28</v>
      </c>
      <c r="F3264" s="28">
        <v>0</v>
      </c>
      <c r="G3264" s="28" t="s">
        <v>121</v>
      </c>
      <c r="H3264" s="28">
        <v>0</v>
      </c>
      <c r="J3264" s="28"/>
    </row>
    <row r="3265" spans="1:10" ht="15.75" customHeight="1">
      <c r="A3265" s="28">
        <v>19291</v>
      </c>
      <c r="B3265" s="91">
        <v>45114.885891203703</v>
      </c>
      <c r="C3265" s="28" t="s">
        <v>10</v>
      </c>
      <c r="D3265" s="28" t="s">
        <v>405</v>
      </c>
      <c r="E3265" s="28" t="s">
        <v>28</v>
      </c>
      <c r="F3265" s="28">
        <v>35</v>
      </c>
      <c r="G3265" s="28" t="s">
        <v>124</v>
      </c>
      <c r="H3265" s="28">
        <v>0</v>
      </c>
      <c r="J3265" s="28"/>
    </row>
    <row r="3266" spans="1:10" ht="15.75" customHeight="1">
      <c r="A3266" s="28">
        <v>19291</v>
      </c>
      <c r="B3266" s="91">
        <v>45114.885891203703</v>
      </c>
      <c r="C3266" s="28" t="s">
        <v>10</v>
      </c>
      <c r="D3266" s="28" t="s">
        <v>405</v>
      </c>
      <c r="E3266" s="28" t="s">
        <v>28</v>
      </c>
      <c r="F3266" s="28">
        <v>0</v>
      </c>
      <c r="G3266" s="28" t="s">
        <v>125</v>
      </c>
      <c r="H3266" s="28">
        <v>0</v>
      </c>
      <c r="J3266" s="28"/>
    </row>
    <row r="3267" spans="1:10" ht="15.75" customHeight="1">
      <c r="A3267" s="28">
        <v>19291</v>
      </c>
      <c r="B3267" s="91">
        <v>45114.885891203703</v>
      </c>
      <c r="C3267" s="28" t="s">
        <v>10</v>
      </c>
      <c r="D3267" s="28" t="s">
        <v>405</v>
      </c>
      <c r="E3267" s="28" t="s">
        <v>28</v>
      </c>
      <c r="F3267" s="28">
        <v>0</v>
      </c>
      <c r="G3267" s="28" t="s">
        <v>119</v>
      </c>
      <c r="H3267" s="28">
        <v>0</v>
      </c>
      <c r="J3267" s="28"/>
    </row>
    <row r="3268" spans="1:10" ht="15.75" customHeight="1">
      <c r="A3268" s="28">
        <v>19291</v>
      </c>
      <c r="B3268" s="91">
        <v>45114.885891203703</v>
      </c>
      <c r="C3268" s="28" t="s">
        <v>10</v>
      </c>
      <c r="D3268" s="28" t="s">
        <v>405</v>
      </c>
      <c r="E3268" s="28" t="s">
        <v>28</v>
      </c>
      <c r="F3268" s="28">
        <v>0</v>
      </c>
      <c r="G3268" s="28" t="s">
        <v>121</v>
      </c>
      <c r="H3268" s="28">
        <v>0</v>
      </c>
      <c r="J3268" s="28"/>
    </row>
    <row r="3269" spans="1:10" ht="15.75" customHeight="1">
      <c r="A3269" s="28">
        <v>19292</v>
      </c>
      <c r="B3269" s="91">
        <v>45115.094641203701</v>
      </c>
      <c r="C3269" s="28" t="s">
        <v>10</v>
      </c>
      <c r="D3269" s="28" t="s">
        <v>404</v>
      </c>
      <c r="E3269" s="28" t="s">
        <v>28</v>
      </c>
      <c r="F3269" s="28">
        <v>0</v>
      </c>
      <c r="G3269" s="28" t="s">
        <v>117</v>
      </c>
      <c r="H3269" s="28">
        <v>0</v>
      </c>
      <c r="J3269" s="28"/>
    </row>
    <row r="3270" spans="1:10" ht="15.75" customHeight="1">
      <c r="A3270" s="28">
        <v>19292</v>
      </c>
      <c r="B3270" s="91">
        <v>45115.094641203701</v>
      </c>
      <c r="C3270" s="28" t="s">
        <v>10</v>
      </c>
      <c r="D3270" s="28" t="s">
        <v>404</v>
      </c>
      <c r="E3270" s="28" t="s">
        <v>28</v>
      </c>
      <c r="F3270" s="28">
        <v>20</v>
      </c>
      <c r="G3270" s="28" t="s">
        <v>148</v>
      </c>
      <c r="H3270" s="28">
        <v>0</v>
      </c>
      <c r="J3270" s="28"/>
    </row>
    <row r="3271" spans="1:10" ht="15.75" customHeight="1">
      <c r="A3271" s="28">
        <v>19292</v>
      </c>
      <c r="B3271" s="91">
        <v>45115.094641203701</v>
      </c>
      <c r="C3271" s="28" t="s">
        <v>10</v>
      </c>
      <c r="D3271" s="28" t="s">
        <v>404</v>
      </c>
      <c r="E3271" s="28" t="s">
        <v>28</v>
      </c>
      <c r="F3271" s="28">
        <v>15</v>
      </c>
      <c r="G3271" s="28" t="s">
        <v>170</v>
      </c>
      <c r="H3271" s="28">
        <v>0</v>
      </c>
      <c r="J3271" s="28"/>
    </row>
    <row r="3272" spans="1:10" ht="15.75" customHeight="1">
      <c r="A3272" s="28">
        <v>19293</v>
      </c>
      <c r="B3272" s="91">
        <v>45115.513831018514</v>
      </c>
      <c r="C3272" s="28" t="s">
        <v>10</v>
      </c>
      <c r="D3272" s="28" t="s">
        <v>403</v>
      </c>
      <c r="E3272" s="28" t="s">
        <v>28</v>
      </c>
      <c r="F3272" s="28">
        <v>15</v>
      </c>
      <c r="G3272" s="28" t="s">
        <v>125</v>
      </c>
      <c r="H3272" s="28">
        <v>0</v>
      </c>
      <c r="J3272" s="28"/>
    </row>
    <row r="3273" spans="1:10" ht="15.75" customHeight="1">
      <c r="A3273" s="28">
        <v>19293</v>
      </c>
      <c r="B3273" s="91">
        <v>45115.513831018514</v>
      </c>
      <c r="C3273" s="28" t="s">
        <v>10</v>
      </c>
      <c r="D3273" s="28" t="s">
        <v>403</v>
      </c>
      <c r="E3273" s="28" t="s">
        <v>28</v>
      </c>
      <c r="F3273" s="28">
        <v>15</v>
      </c>
      <c r="G3273" s="28" t="s">
        <v>170</v>
      </c>
      <c r="H3273" s="28">
        <v>0</v>
      </c>
      <c r="J3273" s="28"/>
    </row>
    <row r="3274" spans="1:10" ht="15.75" customHeight="1">
      <c r="A3274" s="28">
        <v>19294</v>
      </c>
      <c r="B3274" s="91">
        <v>45115.61</v>
      </c>
      <c r="C3274" s="28" t="s">
        <v>10</v>
      </c>
      <c r="D3274" s="28" t="s">
        <v>402</v>
      </c>
      <c r="E3274" s="28" t="s">
        <v>28</v>
      </c>
      <c r="F3274" s="28">
        <v>26</v>
      </c>
      <c r="G3274" s="28" t="s">
        <v>122</v>
      </c>
      <c r="H3274" s="28">
        <v>0</v>
      </c>
      <c r="J3274" s="28"/>
    </row>
    <row r="3275" spans="1:10" ht="15.75" customHeight="1">
      <c r="A3275" s="28">
        <v>19294</v>
      </c>
      <c r="B3275" s="91">
        <v>45115.61</v>
      </c>
      <c r="C3275" s="28" t="s">
        <v>10</v>
      </c>
      <c r="D3275" s="28" t="s">
        <v>402</v>
      </c>
      <c r="E3275" s="28" t="s">
        <v>28</v>
      </c>
      <c r="F3275" s="28">
        <v>25</v>
      </c>
      <c r="G3275" s="28">
        <v>100692</v>
      </c>
      <c r="H3275" s="28">
        <v>0</v>
      </c>
      <c r="J3275" s="28"/>
    </row>
    <row r="3276" spans="1:10" ht="15.75" customHeight="1">
      <c r="A3276" s="28">
        <v>19294</v>
      </c>
      <c r="B3276" s="91">
        <v>45115.61</v>
      </c>
      <c r="C3276" s="28" t="s">
        <v>10</v>
      </c>
      <c r="D3276" s="28" t="s">
        <v>402</v>
      </c>
      <c r="E3276" s="28" t="s">
        <v>28</v>
      </c>
      <c r="F3276" s="28">
        <v>0</v>
      </c>
      <c r="G3276" s="28" t="s">
        <v>125</v>
      </c>
      <c r="H3276" s="28">
        <v>0</v>
      </c>
      <c r="J3276" s="28"/>
    </row>
    <row r="3277" spans="1:10" ht="15.75" customHeight="1">
      <c r="A3277" s="28">
        <v>19294</v>
      </c>
      <c r="B3277" s="91">
        <v>45115.61</v>
      </c>
      <c r="C3277" s="28" t="s">
        <v>10</v>
      </c>
      <c r="D3277" s="28" t="s">
        <v>402</v>
      </c>
      <c r="E3277" s="28" t="s">
        <v>28</v>
      </c>
      <c r="F3277" s="28">
        <v>0</v>
      </c>
      <c r="G3277" s="28" t="s">
        <v>119</v>
      </c>
      <c r="H3277" s="28">
        <v>0</v>
      </c>
      <c r="J3277" s="28"/>
    </row>
    <row r="3278" spans="1:10" ht="15.75" customHeight="1">
      <c r="A3278" s="28">
        <v>19295</v>
      </c>
      <c r="B3278" s="91">
        <v>45115.684097222227</v>
      </c>
      <c r="C3278" s="28" t="s">
        <v>10</v>
      </c>
      <c r="D3278" s="28" t="s">
        <v>401</v>
      </c>
      <c r="E3278" s="28" t="s">
        <v>28</v>
      </c>
      <c r="F3278" s="28">
        <v>25</v>
      </c>
      <c r="G3278" s="28" t="s">
        <v>141</v>
      </c>
      <c r="H3278" s="28">
        <v>0</v>
      </c>
      <c r="J3278" s="28"/>
    </row>
    <row r="3279" spans="1:10" ht="15.75" customHeight="1">
      <c r="A3279" s="28">
        <v>19295</v>
      </c>
      <c r="B3279" s="91">
        <v>45115.684097222227</v>
      </c>
      <c r="C3279" s="28" t="s">
        <v>10</v>
      </c>
      <c r="D3279" s="28" t="s">
        <v>401</v>
      </c>
      <c r="E3279" s="28" t="s">
        <v>28</v>
      </c>
      <c r="F3279" s="28">
        <v>15</v>
      </c>
      <c r="G3279" s="28" t="s">
        <v>125</v>
      </c>
      <c r="H3279" s="28">
        <v>0</v>
      </c>
      <c r="J3279" s="28"/>
    </row>
    <row r="3280" spans="1:10" ht="15.75" customHeight="1">
      <c r="A3280" s="28">
        <v>19295</v>
      </c>
      <c r="B3280" s="91">
        <v>45115.684097222227</v>
      </c>
      <c r="C3280" s="28" t="s">
        <v>10</v>
      </c>
      <c r="D3280" s="28" t="s">
        <v>401</v>
      </c>
      <c r="E3280" s="28" t="s">
        <v>28</v>
      </c>
      <c r="F3280" s="28">
        <v>0</v>
      </c>
      <c r="G3280" s="28" t="s">
        <v>117</v>
      </c>
      <c r="H3280" s="28">
        <v>0</v>
      </c>
      <c r="J3280" s="28"/>
    </row>
    <row r="3281" spans="1:10" ht="15.75" customHeight="1">
      <c r="A3281" s="28">
        <v>19296</v>
      </c>
      <c r="B3281" s="91">
        <v>45115.872569444444</v>
      </c>
      <c r="C3281" s="28" t="s">
        <v>10</v>
      </c>
      <c r="D3281" s="28" t="s">
        <v>400</v>
      </c>
      <c r="E3281" s="28" t="s">
        <v>79</v>
      </c>
      <c r="F3281" s="28">
        <v>25</v>
      </c>
      <c r="G3281" s="28">
        <v>100692</v>
      </c>
      <c r="H3281" s="28">
        <v>0</v>
      </c>
      <c r="J3281" s="28"/>
    </row>
    <row r="3282" spans="1:10" ht="15.75" customHeight="1">
      <c r="A3282" s="28">
        <v>19296</v>
      </c>
      <c r="B3282" s="91">
        <v>45115.872569444444</v>
      </c>
      <c r="C3282" s="28" t="s">
        <v>10</v>
      </c>
      <c r="D3282" s="28" t="s">
        <v>400</v>
      </c>
      <c r="E3282" s="28" t="s">
        <v>79</v>
      </c>
      <c r="F3282" s="28">
        <v>0</v>
      </c>
      <c r="G3282" s="28" t="s">
        <v>125</v>
      </c>
      <c r="H3282" s="28">
        <v>0</v>
      </c>
      <c r="J3282" s="28"/>
    </row>
    <row r="3283" spans="1:10" ht="15.75" customHeight="1">
      <c r="A3283" s="28">
        <v>19296</v>
      </c>
      <c r="B3283" s="91">
        <v>45115.872569444444</v>
      </c>
      <c r="C3283" s="28" t="s">
        <v>10</v>
      </c>
      <c r="D3283" s="28" t="s">
        <v>400</v>
      </c>
      <c r="E3283" s="28" t="s">
        <v>79</v>
      </c>
      <c r="F3283" s="28">
        <v>0</v>
      </c>
      <c r="G3283" s="28" t="s">
        <v>119</v>
      </c>
      <c r="H3283" s="28">
        <v>0</v>
      </c>
      <c r="J3283" s="28"/>
    </row>
    <row r="3284" spans="1:10" ht="15.75" customHeight="1">
      <c r="A3284" s="28">
        <v>19297</v>
      </c>
      <c r="B3284" s="91">
        <v>45116.048715277779</v>
      </c>
      <c r="C3284" s="28" t="s">
        <v>10</v>
      </c>
      <c r="D3284" s="28" t="s">
        <v>399</v>
      </c>
      <c r="E3284" s="28" t="s">
        <v>28</v>
      </c>
      <c r="F3284" s="28">
        <v>0</v>
      </c>
      <c r="G3284" s="28" t="s">
        <v>117</v>
      </c>
      <c r="H3284" s="28">
        <v>0</v>
      </c>
      <c r="J3284" s="28"/>
    </row>
    <row r="3285" spans="1:10" ht="15.75" customHeight="1">
      <c r="A3285" s="28">
        <v>19297</v>
      </c>
      <c r="B3285" s="91">
        <v>45116.048715277779</v>
      </c>
      <c r="C3285" s="28" t="s">
        <v>10</v>
      </c>
      <c r="D3285" s="28" t="s">
        <v>399</v>
      </c>
      <c r="E3285" s="28" t="s">
        <v>28</v>
      </c>
      <c r="F3285" s="28">
        <v>25</v>
      </c>
      <c r="G3285" s="28">
        <v>100692</v>
      </c>
      <c r="H3285" s="28">
        <v>0</v>
      </c>
      <c r="J3285" s="28"/>
    </row>
    <row r="3286" spans="1:10" ht="15.75" customHeight="1">
      <c r="A3286" s="28">
        <v>19297</v>
      </c>
      <c r="B3286" s="91">
        <v>45116.048715277779</v>
      </c>
      <c r="C3286" s="28" t="s">
        <v>10</v>
      </c>
      <c r="D3286" s="28" t="s">
        <v>399</v>
      </c>
      <c r="E3286" s="28" t="s">
        <v>28</v>
      </c>
      <c r="F3286" s="28">
        <v>0</v>
      </c>
      <c r="G3286" s="28" t="s">
        <v>125</v>
      </c>
      <c r="H3286" s="28">
        <v>0</v>
      </c>
      <c r="J3286" s="28"/>
    </row>
    <row r="3287" spans="1:10" ht="15.75" customHeight="1">
      <c r="A3287" s="28">
        <v>19297</v>
      </c>
      <c r="B3287" s="91">
        <v>45116.048715277779</v>
      </c>
      <c r="C3287" s="28" t="s">
        <v>10</v>
      </c>
      <c r="D3287" s="28" t="s">
        <v>399</v>
      </c>
      <c r="E3287" s="28" t="s">
        <v>28</v>
      </c>
      <c r="F3287" s="28">
        <v>0</v>
      </c>
      <c r="G3287" s="28" t="s">
        <v>119</v>
      </c>
      <c r="H3287" s="28">
        <v>0</v>
      </c>
      <c r="J3287" s="28"/>
    </row>
    <row r="3288" spans="1:10" ht="15.75" customHeight="1">
      <c r="A3288" s="28">
        <v>19298</v>
      </c>
      <c r="B3288" s="91">
        <v>45116.511053240742</v>
      </c>
      <c r="C3288" s="28" t="s">
        <v>10</v>
      </c>
      <c r="D3288" s="28" t="s">
        <v>398</v>
      </c>
      <c r="E3288" s="28" t="s">
        <v>79</v>
      </c>
      <c r="F3288" s="28">
        <v>25</v>
      </c>
      <c r="G3288" s="28">
        <v>100692</v>
      </c>
      <c r="H3288" s="28">
        <v>0</v>
      </c>
      <c r="J3288" s="28"/>
    </row>
    <row r="3289" spans="1:10" ht="15.75" customHeight="1">
      <c r="A3289" s="28">
        <v>19298</v>
      </c>
      <c r="B3289" s="91">
        <v>45116.511053240742</v>
      </c>
      <c r="C3289" s="28" t="s">
        <v>10</v>
      </c>
      <c r="D3289" s="28" t="s">
        <v>398</v>
      </c>
      <c r="E3289" s="28" t="s">
        <v>79</v>
      </c>
      <c r="F3289" s="28">
        <v>0</v>
      </c>
      <c r="G3289" s="28" t="s">
        <v>125</v>
      </c>
      <c r="H3289" s="28">
        <v>0</v>
      </c>
      <c r="J3289" s="28"/>
    </row>
    <row r="3290" spans="1:10" ht="15.75" customHeight="1">
      <c r="A3290" s="28">
        <v>19298</v>
      </c>
      <c r="B3290" s="91">
        <v>45116.511053240742</v>
      </c>
      <c r="C3290" s="28" t="s">
        <v>10</v>
      </c>
      <c r="D3290" s="28" t="s">
        <v>398</v>
      </c>
      <c r="E3290" s="28" t="s">
        <v>79</v>
      </c>
      <c r="F3290" s="28">
        <v>0</v>
      </c>
      <c r="G3290" s="28" t="s">
        <v>119</v>
      </c>
      <c r="H3290" s="28">
        <v>0</v>
      </c>
      <c r="J3290" s="28"/>
    </row>
    <row r="3291" spans="1:10" ht="15.75" customHeight="1">
      <c r="A3291" s="28">
        <v>19299</v>
      </c>
      <c r="B3291" s="91">
        <v>45116.569548611107</v>
      </c>
      <c r="C3291" s="28" t="s">
        <v>10</v>
      </c>
      <c r="D3291" s="28" t="s">
        <v>397</v>
      </c>
      <c r="E3291" s="28" t="s">
        <v>28</v>
      </c>
      <c r="F3291" s="28">
        <v>25</v>
      </c>
      <c r="G3291" s="28">
        <v>100692</v>
      </c>
      <c r="H3291" s="28">
        <v>0</v>
      </c>
      <c r="J3291" s="28"/>
    </row>
    <row r="3292" spans="1:10" ht="15.75" customHeight="1">
      <c r="A3292" s="28">
        <v>19299</v>
      </c>
      <c r="B3292" s="91">
        <v>45116.569548611107</v>
      </c>
      <c r="C3292" s="28" t="s">
        <v>10</v>
      </c>
      <c r="D3292" s="28" t="s">
        <v>397</v>
      </c>
      <c r="E3292" s="28" t="s">
        <v>28</v>
      </c>
      <c r="F3292" s="28">
        <v>0</v>
      </c>
      <c r="G3292" s="28" t="s">
        <v>125</v>
      </c>
      <c r="H3292" s="28">
        <v>0</v>
      </c>
      <c r="J3292" s="28"/>
    </row>
    <row r="3293" spans="1:10" ht="15.75" customHeight="1">
      <c r="A3293" s="28">
        <v>19299</v>
      </c>
      <c r="B3293" s="91">
        <v>45116.569548611107</v>
      </c>
      <c r="C3293" s="28" t="s">
        <v>10</v>
      </c>
      <c r="D3293" s="28" t="s">
        <v>397</v>
      </c>
      <c r="E3293" s="28" t="s">
        <v>28</v>
      </c>
      <c r="F3293" s="28">
        <v>0</v>
      </c>
      <c r="G3293" s="28" t="s">
        <v>119</v>
      </c>
      <c r="H3293" s="28">
        <v>0</v>
      </c>
      <c r="J3293" s="28"/>
    </row>
    <row r="3294" spans="1:10" ht="15.75" customHeight="1">
      <c r="A3294" s="28">
        <v>19299</v>
      </c>
      <c r="B3294" s="91">
        <v>45116.569548611107</v>
      </c>
      <c r="C3294" s="28" t="s">
        <v>10</v>
      </c>
      <c r="D3294" s="28" t="s">
        <v>397</v>
      </c>
      <c r="E3294" s="28" t="s">
        <v>28</v>
      </c>
      <c r="F3294" s="28">
        <v>15</v>
      </c>
      <c r="G3294" s="28" t="s">
        <v>139</v>
      </c>
      <c r="H3294" s="28">
        <v>0</v>
      </c>
      <c r="J3294" s="28"/>
    </row>
    <row r="3295" spans="1:10" ht="15.75" customHeight="1">
      <c r="A3295" s="28">
        <v>19300</v>
      </c>
      <c r="B3295" s="91">
        <v>45116.717453703706</v>
      </c>
      <c r="C3295" s="28" t="s">
        <v>10</v>
      </c>
      <c r="D3295" s="28" t="s">
        <v>396</v>
      </c>
      <c r="E3295" s="28" t="s">
        <v>28</v>
      </c>
      <c r="F3295" s="28">
        <v>26</v>
      </c>
      <c r="G3295" s="28" t="s">
        <v>122</v>
      </c>
      <c r="H3295" s="28">
        <v>0</v>
      </c>
      <c r="J3295" s="28"/>
    </row>
    <row r="3296" spans="1:10" ht="15.75" customHeight="1">
      <c r="A3296" s="28">
        <v>19300</v>
      </c>
      <c r="B3296" s="91">
        <v>45116.717453703706</v>
      </c>
      <c r="C3296" s="28" t="s">
        <v>10</v>
      </c>
      <c r="D3296" s="28" t="s">
        <v>396</v>
      </c>
      <c r="E3296" s="28" t="s">
        <v>28</v>
      </c>
      <c r="F3296" s="28">
        <v>26</v>
      </c>
      <c r="G3296" s="28" t="s">
        <v>122</v>
      </c>
      <c r="H3296" s="28">
        <v>0</v>
      </c>
      <c r="J3296" s="28"/>
    </row>
    <row r="3297" spans="1:10" ht="15.75" customHeight="1">
      <c r="A3297" s="28">
        <v>19300</v>
      </c>
      <c r="B3297" s="91">
        <v>45116.717453703706</v>
      </c>
      <c r="C3297" s="28" t="s">
        <v>10</v>
      </c>
      <c r="D3297" s="28" t="s">
        <v>396</v>
      </c>
      <c r="E3297" s="28" t="s">
        <v>28</v>
      </c>
      <c r="F3297" s="28">
        <v>0</v>
      </c>
      <c r="G3297" s="28" t="s">
        <v>117</v>
      </c>
      <c r="H3297" s="28">
        <v>0</v>
      </c>
      <c r="J3297" s="28"/>
    </row>
    <row r="3298" spans="1:10" ht="15.75" customHeight="1">
      <c r="A3298" s="28">
        <v>19301</v>
      </c>
      <c r="B3298" s="91">
        <v>45116.746053240742</v>
      </c>
      <c r="C3298" s="28" t="s">
        <v>10</v>
      </c>
      <c r="D3298" s="28" t="s">
        <v>395</v>
      </c>
      <c r="E3298" s="28" t="s">
        <v>28</v>
      </c>
      <c r="F3298" s="28">
        <v>28</v>
      </c>
      <c r="G3298" s="28" t="s">
        <v>143</v>
      </c>
      <c r="H3298" s="28">
        <v>0</v>
      </c>
      <c r="J3298" s="28"/>
    </row>
    <row r="3299" spans="1:10" ht="15.75" customHeight="1">
      <c r="A3299" s="28">
        <v>19301</v>
      </c>
      <c r="B3299" s="91">
        <v>45116.746053240742</v>
      </c>
      <c r="C3299" s="28" t="s">
        <v>10</v>
      </c>
      <c r="D3299" s="28" t="s">
        <v>395</v>
      </c>
      <c r="E3299" s="28" t="s">
        <v>28</v>
      </c>
      <c r="F3299" s="28">
        <v>0</v>
      </c>
      <c r="G3299" s="28" t="s">
        <v>117</v>
      </c>
      <c r="H3299" s="28">
        <v>0</v>
      </c>
      <c r="J3299" s="28"/>
    </row>
    <row r="3300" spans="1:10" ht="15.75" customHeight="1">
      <c r="A3300" s="28">
        <v>19301</v>
      </c>
      <c r="B3300" s="91">
        <v>45116.746053240742</v>
      </c>
      <c r="C3300" s="28" t="s">
        <v>10</v>
      </c>
      <c r="D3300" s="28" t="s">
        <v>395</v>
      </c>
      <c r="E3300" s="28" t="s">
        <v>28</v>
      </c>
      <c r="F3300" s="28">
        <v>18</v>
      </c>
      <c r="G3300" s="28" t="s">
        <v>119</v>
      </c>
      <c r="H3300" s="28">
        <v>0</v>
      </c>
      <c r="J3300" s="28"/>
    </row>
    <row r="3301" spans="1:10" ht="15.75" customHeight="1">
      <c r="A3301" s="28">
        <v>19302</v>
      </c>
      <c r="B3301" s="91">
        <v>45116.750972222224</v>
      </c>
      <c r="C3301" s="28" t="s">
        <v>10</v>
      </c>
      <c r="D3301" s="28" t="s">
        <v>394</v>
      </c>
      <c r="E3301" s="28" t="s">
        <v>28</v>
      </c>
      <c r="F3301" s="28">
        <v>28</v>
      </c>
      <c r="G3301" s="28" t="s">
        <v>143</v>
      </c>
      <c r="H3301" s="28">
        <v>0</v>
      </c>
      <c r="J3301" s="28"/>
    </row>
    <row r="3302" spans="1:10" ht="15.75" customHeight="1">
      <c r="A3302" s="28">
        <v>19302</v>
      </c>
      <c r="B3302" s="91">
        <v>45116.750972222224</v>
      </c>
      <c r="C3302" s="28" t="s">
        <v>10</v>
      </c>
      <c r="D3302" s="28" t="s">
        <v>394</v>
      </c>
      <c r="E3302" s="28" t="s">
        <v>28</v>
      </c>
      <c r="F3302" s="28">
        <v>25</v>
      </c>
      <c r="G3302" s="28" t="s">
        <v>120</v>
      </c>
      <c r="H3302" s="28">
        <v>0</v>
      </c>
      <c r="J3302" s="28"/>
    </row>
    <row r="3303" spans="1:10" ht="15.75" customHeight="1">
      <c r="A3303" s="28">
        <v>19302</v>
      </c>
      <c r="B3303" s="91">
        <v>45116.750972222224</v>
      </c>
      <c r="C3303" s="28" t="s">
        <v>10</v>
      </c>
      <c r="D3303" s="28" t="s">
        <v>394</v>
      </c>
      <c r="E3303" s="28" t="s">
        <v>28</v>
      </c>
      <c r="F3303" s="28">
        <v>20</v>
      </c>
      <c r="G3303" s="28" t="s">
        <v>121</v>
      </c>
      <c r="H3303" s="28">
        <v>0</v>
      </c>
      <c r="J3303" s="28"/>
    </row>
    <row r="3304" spans="1:10" ht="15.75" customHeight="1">
      <c r="A3304" s="28">
        <v>19303</v>
      </c>
      <c r="B3304" s="91">
        <v>45116.756701388891</v>
      </c>
      <c r="C3304" s="28" t="s">
        <v>10</v>
      </c>
      <c r="D3304" s="28" t="s">
        <v>393</v>
      </c>
      <c r="E3304" s="28" t="s">
        <v>28</v>
      </c>
      <c r="F3304" s="28">
        <v>20</v>
      </c>
      <c r="G3304" s="28" t="s">
        <v>121</v>
      </c>
      <c r="H3304" s="28">
        <v>0</v>
      </c>
      <c r="J3304" s="28"/>
    </row>
    <row r="3305" spans="1:10" ht="15.75" customHeight="1">
      <c r="A3305" s="28">
        <v>19303</v>
      </c>
      <c r="B3305" s="91">
        <v>45116.756701388891</v>
      </c>
      <c r="C3305" s="28" t="s">
        <v>10</v>
      </c>
      <c r="D3305" s="28" t="s">
        <v>393</v>
      </c>
      <c r="E3305" s="28" t="s">
        <v>28</v>
      </c>
      <c r="F3305" s="28">
        <v>28</v>
      </c>
      <c r="G3305" s="28" t="s">
        <v>143</v>
      </c>
      <c r="H3305" s="28">
        <v>0</v>
      </c>
      <c r="J3305" s="28"/>
    </row>
    <row r="3306" spans="1:10" ht="15.75" customHeight="1">
      <c r="A3306" s="28">
        <v>19303</v>
      </c>
      <c r="B3306" s="91">
        <v>45116.756701388891</v>
      </c>
      <c r="C3306" s="28" t="s">
        <v>10</v>
      </c>
      <c r="D3306" s="28" t="s">
        <v>393</v>
      </c>
      <c r="E3306" s="28" t="s">
        <v>28</v>
      </c>
      <c r="F3306" s="28">
        <v>25</v>
      </c>
      <c r="G3306" s="28" t="s">
        <v>120</v>
      </c>
      <c r="H3306" s="28">
        <v>0</v>
      </c>
      <c r="J3306" s="28"/>
    </row>
    <row r="3307" spans="1:10" ht="15.75" customHeight="1">
      <c r="A3307" s="28">
        <v>19304</v>
      </c>
      <c r="B3307" s="91">
        <v>45116.94866898148</v>
      </c>
      <c r="C3307" s="28" t="s">
        <v>10</v>
      </c>
      <c r="D3307" s="28" t="s">
        <v>392</v>
      </c>
      <c r="E3307" s="28" t="s">
        <v>28</v>
      </c>
      <c r="F3307" s="28">
        <v>20</v>
      </c>
      <c r="G3307" s="28" t="s">
        <v>148</v>
      </c>
      <c r="H3307" s="28">
        <v>0</v>
      </c>
      <c r="J3307" s="28"/>
    </row>
    <row r="3308" spans="1:10" ht="15.75" customHeight="1">
      <c r="A3308" s="28">
        <v>19305</v>
      </c>
      <c r="B3308" s="91">
        <v>45117.053171296298</v>
      </c>
      <c r="C3308" s="28" t="s">
        <v>10</v>
      </c>
      <c r="D3308" s="28" t="s">
        <v>391</v>
      </c>
      <c r="E3308" s="28" t="s">
        <v>28</v>
      </c>
      <c r="F3308" s="28">
        <v>0</v>
      </c>
      <c r="G3308" s="28" t="s">
        <v>117</v>
      </c>
      <c r="H3308" s="28">
        <v>0</v>
      </c>
      <c r="J3308" s="28"/>
    </row>
    <row r="3309" spans="1:10" ht="15.75" customHeight="1">
      <c r="A3309" s="28">
        <v>19305</v>
      </c>
      <c r="B3309" s="91">
        <v>45117.053171296298</v>
      </c>
      <c r="C3309" s="28" t="s">
        <v>10</v>
      </c>
      <c r="D3309" s="28" t="s">
        <v>391</v>
      </c>
      <c r="E3309" s="28" t="s">
        <v>28</v>
      </c>
      <c r="F3309" s="28">
        <v>25</v>
      </c>
      <c r="G3309" s="28">
        <v>100692</v>
      </c>
      <c r="H3309" s="28">
        <v>0</v>
      </c>
      <c r="J3309" s="28"/>
    </row>
    <row r="3310" spans="1:10" ht="15.75" customHeight="1">
      <c r="A3310" s="28">
        <v>19305</v>
      </c>
      <c r="B3310" s="91">
        <v>45117.053171296298</v>
      </c>
      <c r="C3310" s="28" t="s">
        <v>10</v>
      </c>
      <c r="D3310" s="28" t="s">
        <v>391</v>
      </c>
      <c r="E3310" s="28" t="s">
        <v>28</v>
      </c>
      <c r="F3310" s="28">
        <v>0</v>
      </c>
      <c r="G3310" s="28" t="s">
        <v>125</v>
      </c>
      <c r="H3310" s="28">
        <v>0</v>
      </c>
      <c r="J3310" s="28"/>
    </row>
    <row r="3311" spans="1:10" ht="15.75" customHeight="1">
      <c r="A3311" s="28">
        <v>19305</v>
      </c>
      <c r="B3311" s="91">
        <v>45117.053171296298</v>
      </c>
      <c r="C3311" s="28" t="s">
        <v>10</v>
      </c>
      <c r="D3311" s="28" t="s">
        <v>391</v>
      </c>
      <c r="E3311" s="28" t="s">
        <v>28</v>
      </c>
      <c r="F3311" s="28">
        <v>0</v>
      </c>
      <c r="G3311" s="28" t="s">
        <v>119</v>
      </c>
      <c r="H3311" s="28">
        <v>0</v>
      </c>
      <c r="J3311" s="28"/>
    </row>
    <row r="3312" spans="1:10" ht="15.75" customHeight="1">
      <c r="A3312" s="28">
        <v>19305</v>
      </c>
      <c r="B3312" s="91">
        <v>45117.053171296298</v>
      </c>
      <c r="C3312" s="28" t="s">
        <v>10</v>
      </c>
      <c r="D3312" s="28" t="s">
        <v>391</v>
      </c>
      <c r="E3312" s="28" t="s">
        <v>28</v>
      </c>
      <c r="F3312" s="28">
        <v>15</v>
      </c>
      <c r="G3312" s="28" t="s">
        <v>139</v>
      </c>
      <c r="H3312" s="28">
        <v>0</v>
      </c>
      <c r="J3312" s="28"/>
    </row>
    <row r="3313" spans="1:10" ht="15.75" customHeight="1">
      <c r="A3313" s="28">
        <v>19306</v>
      </c>
      <c r="B3313" s="91">
        <v>45117.116956018523</v>
      </c>
      <c r="C3313" s="28" t="s">
        <v>10</v>
      </c>
      <c r="D3313" s="28" t="s">
        <v>390</v>
      </c>
      <c r="E3313" s="28" t="s">
        <v>28</v>
      </c>
      <c r="F3313" s="28">
        <v>25</v>
      </c>
      <c r="G3313" s="28">
        <v>100692</v>
      </c>
      <c r="H3313" s="28">
        <v>0</v>
      </c>
      <c r="J3313" s="28"/>
    </row>
    <row r="3314" spans="1:10" ht="15.75" customHeight="1">
      <c r="A3314" s="28">
        <v>19306</v>
      </c>
      <c r="B3314" s="91">
        <v>45117.116956018523</v>
      </c>
      <c r="C3314" s="28" t="s">
        <v>10</v>
      </c>
      <c r="D3314" s="28" t="s">
        <v>390</v>
      </c>
      <c r="E3314" s="28" t="s">
        <v>28</v>
      </c>
      <c r="F3314" s="28">
        <v>0</v>
      </c>
      <c r="G3314" s="28" t="s">
        <v>125</v>
      </c>
      <c r="H3314" s="28">
        <v>0</v>
      </c>
      <c r="J3314" s="28"/>
    </row>
    <row r="3315" spans="1:10" ht="15.75" customHeight="1">
      <c r="A3315" s="28">
        <v>19306</v>
      </c>
      <c r="B3315" s="91">
        <v>45117.116956018523</v>
      </c>
      <c r="C3315" s="28" t="s">
        <v>10</v>
      </c>
      <c r="D3315" s="28" t="s">
        <v>390</v>
      </c>
      <c r="E3315" s="28" t="s">
        <v>28</v>
      </c>
      <c r="F3315" s="28">
        <v>0</v>
      </c>
      <c r="G3315" s="28" t="s">
        <v>119</v>
      </c>
      <c r="H3315" s="28">
        <v>0</v>
      </c>
      <c r="J3315" s="28"/>
    </row>
    <row r="3316" spans="1:10" ht="15.75" customHeight="1">
      <c r="A3316" s="28">
        <v>19307</v>
      </c>
      <c r="B3316" s="91">
        <v>45117.344467592593</v>
      </c>
      <c r="C3316" s="28" t="s">
        <v>8</v>
      </c>
      <c r="D3316" s="28" t="s">
        <v>389</v>
      </c>
      <c r="E3316" s="28" t="s">
        <v>28</v>
      </c>
      <c r="F3316" s="28">
        <v>18</v>
      </c>
      <c r="G3316" s="28" t="s">
        <v>119</v>
      </c>
      <c r="H3316" s="28">
        <v>0</v>
      </c>
      <c r="J3316" s="28"/>
    </row>
    <row r="3317" spans="1:10" ht="15.75" customHeight="1">
      <c r="A3317" s="28">
        <v>19308</v>
      </c>
      <c r="B3317" s="91">
        <v>45117.523495370369</v>
      </c>
      <c r="C3317" s="28" t="s">
        <v>10</v>
      </c>
      <c r="D3317" s="28" t="s">
        <v>388</v>
      </c>
      <c r="E3317" s="28" t="s">
        <v>79</v>
      </c>
      <c r="F3317" s="28">
        <v>25</v>
      </c>
      <c r="G3317" s="28" t="s">
        <v>141</v>
      </c>
      <c r="H3317" s="28">
        <v>0</v>
      </c>
      <c r="J3317" s="28"/>
    </row>
    <row r="3318" spans="1:10" ht="15.75" customHeight="1">
      <c r="A3318" s="28">
        <v>19309</v>
      </c>
      <c r="B3318" s="91">
        <v>45117.526354166665</v>
      </c>
      <c r="C3318" s="28" t="s">
        <v>10</v>
      </c>
      <c r="D3318" s="28" t="s">
        <v>387</v>
      </c>
      <c r="E3318" s="28" t="s">
        <v>79</v>
      </c>
      <c r="F3318" s="28">
        <v>25</v>
      </c>
      <c r="G3318" s="28" t="s">
        <v>141</v>
      </c>
      <c r="H3318" s="28">
        <v>0</v>
      </c>
      <c r="J3318" s="28"/>
    </row>
    <row r="3319" spans="1:10" ht="15.75" customHeight="1">
      <c r="A3319" s="28">
        <v>19310</v>
      </c>
      <c r="B3319" s="91">
        <v>45117.678831018522</v>
      </c>
      <c r="C3319" s="28" t="s">
        <v>10</v>
      </c>
      <c r="D3319" s="28" t="s">
        <v>386</v>
      </c>
      <c r="E3319" s="28" t="s">
        <v>28</v>
      </c>
      <c r="F3319" s="28">
        <v>35</v>
      </c>
      <c r="G3319" s="28" t="s">
        <v>124</v>
      </c>
      <c r="H3319" s="28">
        <v>0</v>
      </c>
      <c r="J3319" s="28"/>
    </row>
    <row r="3320" spans="1:10" ht="15.75" customHeight="1">
      <c r="A3320" s="28">
        <v>19310</v>
      </c>
      <c r="B3320" s="91">
        <v>45117.678831018522</v>
      </c>
      <c r="C3320" s="28" t="s">
        <v>10</v>
      </c>
      <c r="D3320" s="28" t="s">
        <v>386</v>
      </c>
      <c r="E3320" s="28" t="s">
        <v>28</v>
      </c>
      <c r="F3320" s="28">
        <v>0</v>
      </c>
      <c r="G3320" s="28" t="s">
        <v>125</v>
      </c>
      <c r="H3320" s="28">
        <v>0</v>
      </c>
      <c r="J3320" s="28"/>
    </row>
    <row r="3321" spans="1:10" ht="15.75" customHeight="1">
      <c r="A3321" s="28">
        <v>19310</v>
      </c>
      <c r="B3321" s="91">
        <v>45117.678831018522</v>
      </c>
      <c r="C3321" s="28" t="s">
        <v>10</v>
      </c>
      <c r="D3321" s="28" t="s">
        <v>386</v>
      </c>
      <c r="E3321" s="28" t="s">
        <v>28</v>
      </c>
      <c r="F3321" s="28">
        <v>0</v>
      </c>
      <c r="G3321" s="28" t="s">
        <v>119</v>
      </c>
      <c r="H3321" s="28">
        <v>0</v>
      </c>
      <c r="J3321" s="28"/>
    </row>
    <row r="3322" spans="1:10" ht="15.75" customHeight="1">
      <c r="A3322" s="28">
        <v>19310</v>
      </c>
      <c r="B3322" s="91">
        <v>45117.678831018522</v>
      </c>
      <c r="C3322" s="28" t="s">
        <v>10</v>
      </c>
      <c r="D3322" s="28" t="s">
        <v>386</v>
      </c>
      <c r="E3322" s="28" t="s">
        <v>28</v>
      </c>
      <c r="F3322" s="28">
        <v>0</v>
      </c>
      <c r="G3322" s="28" t="s">
        <v>121</v>
      </c>
      <c r="H3322" s="28">
        <v>0</v>
      </c>
      <c r="J3322" s="28"/>
    </row>
    <row r="3323" spans="1:10" ht="15.75" customHeight="1">
      <c r="A3323" s="28">
        <v>19311</v>
      </c>
      <c r="B3323" s="91">
        <v>45117.807488425926</v>
      </c>
      <c r="C3323" s="28" t="s">
        <v>10</v>
      </c>
      <c r="D3323" s="28" t="s">
        <v>385</v>
      </c>
      <c r="E3323" s="28" t="s">
        <v>28</v>
      </c>
      <c r="F3323" s="28">
        <v>15</v>
      </c>
      <c r="G3323" s="28" t="s">
        <v>125</v>
      </c>
      <c r="H3323" s="28">
        <v>0</v>
      </c>
      <c r="J3323" s="28"/>
    </row>
    <row r="3324" spans="1:10" ht="15.75" customHeight="1">
      <c r="A3324" s="28">
        <v>19312</v>
      </c>
      <c r="B3324" s="91">
        <v>45117.870219907403</v>
      </c>
      <c r="C3324" s="28" t="s">
        <v>10</v>
      </c>
      <c r="D3324" s="28" t="s">
        <v>384</v>
      </c>
      <c r="E3324" s="28" t="s">
        <v>28</v>
      </c>
      <c r="F3324" s="28">
        <v>0</v>
      </c>
      <c r="G3324" s="28" t="s">
        <v>117</v>
      </c>
      <c r="H3324" s="28">
        <v>0</v>
      </c>
      <c r="J3324" s="28"/>
    </row>
    <row r="3325" spans="1:10" ht="15.75" customHeight="1">
      <c r="A3325" s="28">
        <v>19313</v>
      </c>
      <c r="B3325" s="91">
        <v>45117.872418981482</v>
      </c>
      <c r="C3325" s="28" t="s">
        <v>10</v>
      </c>
      <c r="D3325" s="28" t="s">
        <v>383</v>
      </c>
      <c r="E3325" s="28" t="s">
        <v>79</v>
      </c>
      <c r="F3325" s="28">
        <v>18</v>
      </c>
      <c r="G3325" s="28" t="s">
        <v>119</v>
      </c>
      <c r="H3325" s="28">
        <v>0</v>
      </c>
      <c r="J3325" s="28"/>
    </row>
    <row r="3326" spans="1:10" ht="15.75" customHeight="1">
      <c r="A3326" s="28">
        <v>19314</v>
      </c>
      <c r="B3326" s="91">
        <v>45117.904756944445</v>
      </c>
      <c r="C3326" s="28" t="s">
        <v>10</v>
      </c>
      <c r="D3326" s="28" t="s">
        <v>382</v>
      </c>
      <c r="E3326" s="28" t="s">
        <v>28</v>
      </c>
      <c r="F3326" s="28">
        <v>25</v>
      </c>
      <c r="G3326" s="28">
        <v>100692</v>
      </c>
      <c r="H3326" s="28">
        <v>0</v>
      </c>
      <c r="J3326" s="28"/>
    </row>
    <row r="3327" spans="1:10" ht="15.75" customHeight="1">
      <c r="A3327" s="28">
        <v>19314</v>
      </c>
      <c r="B3327" s="91">
        <v>45117.904756944445</v>
      </c>
      <c r="C3327" s="28" t="s">
        <v>10</v>
      </c>
      <c r="D3327" s="28" t="s">
        <v>382</v>
      </c>
      <c r="E3327" s="28" t="s">
        <v>28</v>
      </c>
      <c r="F3327" s="28">
        <v>0</v>
      </c>
      <c r="G3327" s="28" t="s">
        <v>125</v>
      </c>
      <c r="H3327" s="28">
        <v>0</v>
      </c>
      <c r="J3327" s="28"/>
    </row>
    <row r="3328" spans="1:10" ht="15.75" customHeight="1">
      <c r="A3328" s="28">
        <v>19314</v>
      </c>
      <c r="B3328" s="91">
        <v>45117.904756944445</v>
      </c>
      <c r="C3328" s="28" t="s">
        <v>10</v>
      </c>
      <c r="D3328" s="28" t="s">
        <v>382</v>
      </c>
      <c r="E3328" s="28" t="s">
        <v>28</v>
      </c>
      <c r="F3328" s="28">
        <v>0</v>
      </c>
      <c r="G3328" s="28" t="s">
        <v>119</v>
      </c>
      <c r="H3328" s="28">
        <v>0</v>
      </c>
      <c r="J3328" s="28"/>
    </row>
    <row r="3329" spans="1:10" ht="15.75" customHeight="1">
      <c r="A3329" s="28">
        <v>19315</v>
      </c>
      <c r="B3329" s="91">
        <v>45117.911724537036</v>
      </c>
      <c r="C3329" s="28" t="s">
        <v>10</v>
      </c>
      <c r="D3329" s="28" t="s">
        <v>381</v>
      </c>
      <c r="E3329" s="28" t="s">
        <v>28</v>
      </c>
      <c r="F3329" s="28">
        <v>22</v>
      </c>
      <c r="G3329" s="28" t="s">
        <v>137</v>
      </c>
      <c r="H3329" s="28">
        <v>0</v>
      </c>
      <c r="J3329" s="28"/>
    </row>
    <row r="3330" spans="1:10" ht="15.75" customHeight="1">
      <c r="A3330" s="28">
        <v>19316</v>
      </c>
      <c r="B3330" s="91">
        <v>45117.924490740741</v>
      </c>
      <c r="C3330" s="28" t="s">
        <v>10</v>
      </c>
      <c r="D3330" s="28" t="s">
        <v>380</v>
      </c>
      <c r="E3330" s="28" t="s">
        <v>28</v>
      </c>
      <c r="F3330" s="28">
        <v>0</v>
      </c>
      <c r="G3330" s="28" t="s">
        <v>117</v>
      </c>
      <c r="H3330" s="28">
        <v>0</v>
      </c>
      <c r="J3330" s="28"/>
    </row>
    <row r="3331" spans="1:10" ht="15.75" customHeight="1">
      <c r="A3331" s="28">
        <v>19316</v>
      </c>
      <c r="B3331" s="91">
        <v>45117.924490740741</v>
      </c>
      <c r="C3331" s="28" t="s">
        <v>10</v>
      </c>
      <c r="D3331" s="28" t="s">
        <v>380</v>
      </c>
      <c r="E3331" s="28" t="s">
        <v>28</v>
      </c>
      <c r="F3331" s="28">
        <v>28</v>
      </c>
      <c r="G3331" s="28" t="s">
        <v>143</v>
      </c>
      <c r="H3331" s="28">
        <v>0</v>
      </c>
      <c r="J3331" s="28"/>
    </row>
    <row r="3332" spans="1:10" ht="15.75" customHeight="1">
      <c r="A3332" s="28">
        <v>19317</v>
      </c>
      <c r="B3332" s="91">
        <v>45117.926400462966</v>
      </c>
      <c r="C3332" s="28" t="s">
        <v>10</v>
      </c>
      <c r="D3332" s="28" t="s">
        <v>379</v>
      </c>
      <c r="E3332" s="28" t="s">
        <v>28</v>
      </c>
      <c r="F3332" s="28">
        <v>26</v>
      </c>
      <c r="G3332" s="28" t="s">
        <v>122</v>
      </c>
      <c r="H3332" s="28">
        <v>0</v>
      </c>
      <c r="J3332" s="28"/>
    </row>
    <row r="3333" spans="1:10" ht="15.75" customHeight="1">
      <c r="A3333" s="28">
        <v>19317</v>
      </c>
      <c r="B3333" s="91">
        <v>45117.926400462966</v>
      </c>
      <c r="C3333" s="28" t="s">
        <v>10</v>
      </c>
      <c r="D3333" s="28" t="s">
        <v>379</v>
      </c>
      <c r="E3333" s="28" t="s">
        <v>28</v>
      </c>
      <c r="F3333" s="28">
        <v>0</v>
      </c>
      <c r="G3333" s="28" t="s">
        <v>117</v>
      </c>
      <c r="H3333" s="28">
        <v>0</v>
      </c>
      <c r="J3333" s="28"/>
    </row>
    <row r="3334" spans="1:10" ht="15.75" customHeight="1">
      <c r="A3334" s="28">
        <v>19318</v>
      </c>
      <c r="B3334" s="91">
        <v>45117.927384259259</v>
      </c>
      <c r="C3334" s="28" t="s">
        <v>10</v>
      </c>
      <c r="D3334" s="28" t="s">
        <v>378</v>
      </c>
      <c r="E3334" s="28" t="s">
        <v>28</v>
      </c>
      <c r="F3334" s="28">
        <v>20</v>
      </c>
      <c r="G3334" s="28" t="s">
        <v>148</v>
      </c>
      <c r="H3334" s="28">
        <v>0</v>
      </c>
      <c r="J3334" s="28"/>
    </row>
    <row r="3335" spans="1:10" ht="15.75" customHeight="1">
      <c r="A3335" s="28">
        <v>19319</v>
      </c>
      <c r="B3335" s="91">
        <v>45117.960150462968</v>
      </c>
      <c r="C3335" s="28" t="s">
        <v>10</v>
      </c>
      <c r="D3335" s="28" t="s">
        <v>377</v>
      </c>
      <c r="E3335" s="28" t="s">
        <v>28</v>
      </c>
      <c r="F3335" s="28">
        <v>28</v>
      </c>
      <c r="G3335" s="28" t="s">
        <v>143</v>
      </c>
      <c r="H3335" s="28">
        <v>0</v>
      </c>
      <c r="J3335" s="28"/>
    </row>
    <row r="3336" spans="1:10" ht="15.75" customHeight="1">
      <c r="A3336" s="28">
        <v>19320</v>
      </c>
      <c r="B3336" s="91">
        <v>45118.727349537032</v>
      </c>
      <c r="C3336" s="28" t="s">
        <v>10</v>
      </c>
      <c r="D3336" s="28" t="s">
        <v>376</v>
      </c>
      <c r="E3336" s="28" t="s">
        <v>28</v>
      </c>
      <c r="F3336" s="28">
        <v>15</v>
      </c>
      <c r="G3336" s="28" t="s">
        <v>125</v>
      </c>
      <c r="H3336" s="28">
        <v>0</v>
      </c>
      <c r="J3336" s="28"/>
    </row>
    <row r="3337" spans="1:10" ht="15.75" customHeight="1">
      <c r="A3337" s="28">
        <v>19321</v>
      </c>
      <c r="B3337" s="91">
        <v>45118.750937500001</v>
      </c>
      <c r="C3337" s="28" t="s">
        <v>10</v>
      </c>
      <c r="D3337" s="28" t="s">
        <v>375</v>
      </c>
      <c r="E3337" s="28" t="s">
        <v>28</v>
      </c>
      <c r="F3337" s="28">
        <v>26</v>
      </c>
      <c r="G3337" s="28" t="s">
        <v>122</v>
      </c>
      <c r="H3337" s="28">
        <v>0</v>
      </c>
      <c r="J3337" s="28"/>
    </row>
    <row r="3338" spans="1:10" ht="15.75" customHeight="1">
      <c r="A3338" s="28">
        <v>19321</v>
      </c>
      <c r="B3338" s="91">
        <v>45118.750937500001</v>
      </c>
      <c r="C3338" s="28" t="s">
        <v>10</v>
      </c>
      <c r="D3338" s="28" t="s">
        <v>375</v>
      </c>
      <c r="E3338" s="28" t="s">
        <v>28</v>
      </c>
      <c r="F3338" s="28">
        <v>15</v>
      </c>
      <c r="G3338" s="28" t="s">
        <v>139</v>
      </c>
      <c r="H3338" s="28">
        <v>0</v>
      </c>
      <c r="J3338" s="28"/>
    </row>
    <row r="3339" spans="1:10" ht="15.75" customHeight="1">
      <c r="A3339" s="28">
        <v>19322</v>
      </c>
      <c r="B3339" s="91">
        <v>45118.753518518519</v>
      </c>
      <c r="C3339" s="28" t="s">
        <v>10</v>
      </c>
      <c r="D3339" s="28" t="s">
        <v>374</v>
      </c>
      <c r="E3339" s="28" t="s">
        <v>28</v>
      </c>
      <c r="F3339" s="28">
        <v>26</v>
      </c>
      <c r="G3339" s="28" t="s">
        <v>122</v>
      </c>
      <c r="H3339" s="28">
        <v>0</v>
      </c>
      <c r="J3339" s="28"/>
    </row>
    <row r="3340" spans="1:10" ht="15.75" customHeight="1">
      <c r="A3340" s="28">
        <v>19322</v>
      </c>
      <c r="B3340" s="91">
        <v>45118.753518518519</v>
      </c>
      <c r="C3340" s="28" t="s">
        <v>10</v>
      </c>
      <c r="D3340" s="28" t="s">
        <v>374</v>
      </c>
      <c r="E3340" s="28" t="s">
        <v>28</v>
      </c>
      <c r="F3340" s="28">
        <v>0</v>
      </c>
      <c r="G3340" s="28" t="s">
        <v>117</v>
      </c>
      <c r="H3340" s="28">
        <v>0</v>
      </c>
      <c r="J3340" s="28"/>
    </row>
    <row r="3341" spans="1:10" ht="15.75" customHeight="1">
      <c r="A3341" s="28">
        <v>19323</v>
      </c>
      <c r="B3341" s="91">
        <v>45118.926979166667</v>
      </c>
      <c r="C3341" s="28" t="s">
        <v>10</v>
      </c>
      <c r="D3341" s="28" t="s">
        <v>373</v>
      </c>
      <c r="E3341" s="28" t="s">
        <v>28</v>
      </c>
      <c r="F3341" s="28">
        <v>25</v>
      </c>
      <c r="G3341" s="28" t="s">
        <v>141</v>
      </c>
      <c r="H3341" s="28">
        <v>0</v>
      </c>
      <c r="J3341" s="28"/>
    </row>
    <row r="3342" spans="1:10" ht="15.75" customHeight="1">
      <c r="A3342" s="28">
        <v>19325</v>
      </c>
      <c r="B3342" s="91">
        <v>45119.089872685188</v>
      </c>
      <c r="C3342" s="28" t="s">
        <v>10</v>
      </c>
      <c r="D3342" s="28" t="s">
        <v>372</v>
      </c>
      <c r="E3342" s="28" t="s">
        <v>28</v>
      </c>
      <c r="F3342" s="28">
        <v>28</v>
      </c>
      <c r="G3342" s="28" t="s">
        <v>143</v>
      </c>
      <c r="H3342" s="28">
        <v>0</v>
      </c>
      <c r="J3342" s="28"/>
    </row>
    <row r="3343" spans="1:10" ht="15.75" customHeight="1">
      <c r="A3343" s="28">
        <v>19325</v>
      </c>
      <c r="B3343" s="91">
        <v>45119.089872685188</v>
      </c>
      <c r="C3343" s="28" t="s">
        <v>10</v>
      </c>
      <c r="D3343" s="28" t="s">
        <v>372</v>
      </c>
      <c r="E3343" s="28" t="s">
        <v>28</v>
      </c>
      <c r="F3343" s="28">
        <v>25</v>
      </c>
      <c r="G3343" s="28">
        <v>100692</v>
      </c>
      <c r="H3343" s="28">
        <v>0</v>
      </c>
      <c r="J3343" s="28"/>
    </row>
    <row r="3344" spans="1:10" ht="15.75" customHeight="1">
      <c r="A3344" s="28">
        <v>19325</v>
      </c>
      <c r="B3344" s="91">
        <v>45119.089872685188</v>
      </c>
      <c r="C3344" s="28" t="s">
        <v>10</v>
      </c>
      <c r="D3344" s="28" t="s">
        <v>372</v>
      </c>
      <c r="E3344" s="28" t="s">
        <v>28</v>
      </c>
      <c r="F3344" s="28">
        <v>0</v>
      </c>
      <c r="G3344" s="28" t="s">
        <v>125</v>
      </c>
      <c r="H3344" s="28">
        <v>0</v>
      </c>
      <c r="J3344" s="28"/>
    </row>
    <row r="3345" spans="1:10" ht="15.75" customHeight="1">
      <c r="A3345" s="28">
        <v>19325</v>
      </c>
      <c r="B3345" s="91">
        <v>45119.089872685188</v>
      </c>
      <c r="C3345" s="28" t="s">
        <v>10</v>
      </c>
      <c r="D3345" s="28" t="s">
        <v>372</v>
      </c>
      <c r="E3345" s="28" t="s">
        <v>28</v>
      </c>
      <c r="F3345" s="28">
        <v>0</v>
      </c>
      <c r="G3345" s="28" t="s">
        <v>119</v>
      </c>
      <c r="H3345" s="28">
        <v>0</v>
      </c>
      <c r="J3345" s="28"/>
    </row>
    <row r="3346" spans="1:10" ht="15.75" customHeight="1">
      <c r="A3346" s="28">
        <v>19325</v>
      </c>
      <c r="B3346" s="91">
        <v>45119.089872685188</v>
      </c>
      <c r="C3346" s="28" t="s">
        <v>10</v>
      </c>
      <c r="D3346" s="28" t="s">
        <v>372</v>
      </c>
      <c r="E3346" s="28" t="s">
        <v>28</v>
      </c>
      <c r="F3346" s="28">
        <v>0</v>
      </c>
      <c r="G3346" s="28" t="s">
        <v>117</v>
      </c>
      <c r="H3346" s="28">
        <v>0</v>
      </c>
      <c r="J3346" s="28"/>
    </row>
    <row r="3347" spans="1:10" ht="15.75" customHeight="1">
      <c r="A3347" s="28">
        <v>19327</v>
      </c>
      <c r="B3347" s="91">
        <v>45119.750081018516</v>
      </c>
      <c r="C3347" s="28" t="s">
        <v>10</v>
      </c>
      <c r="D3347" s="28" t="s">
        <v>371</v>
      </c>
      <c r="E3347" s="28" t="s">
        <v>28</v>
      </c>
      <c r="F3347" s="28">
        <v>28</v>
      </c>
      <c r="G3347" s="28" t="s">
        <v>143</v>
      </c>
      <c r="H3347" s="28">
        <v>0</v>
      </c>
      <c r="J3347" s="28"/>
    </row>
    <row r="3348" spans="1:10" ht="15.75" customHeight="1">
      <c r="A3348" s="28">
        <v>19328</v>
      </c>
      <c r="B3348" s="91">
        <v>45119.79482638889</v>
      </c>
      <c r="C3348" s="28" t="s">
        <v>10</v>
      </c>
      <c r="D3348" s="28" t="s">
        <v>370</v>
      </c>
      <c r="E3348" s="28" t="s">
        <v>28</v>
      </c>
      <c r="F3348" s="28">
        <v>15</v>
      </c>
      <c r="G3348" s="28" t="s">
        <v>139</v>
      </c>
      <c r="H3348" s="28">
        <v>0</v>
      </c>
      <c r="J3348" s="28"/>
    </row>
    <row r="3349" spans="1:10" ht="15.75" customHeight="1">
      <c r="A3349" s="28">
        <v>19328</v>
      </c>
      <c r="B3349" s="91">
        <v>45119.79482638889</v>
      </c>
      <c r="C3349" s="28" t="s">
        <v>10</v>
      </c>
      <c r="D3349" s="28" t="s">
        <v>370</v>
      </c>
      <c r="E3349" s="28" t="s">
        <v>28</v>
      </c>
      <c r="F3349" s="28">
        <v>26</v>
      </c>
      <c r="G3349" s="28" t="s">
        <v>122</v>
      </c>
      <c r="H3349" s="28">
        <v>0</v>
      </c>
      <c r="J3349" s="28"/>
    </row>
    <row r="3350" spans="1:10" ht="15.75" customHeight="1">
      <c r="A3350" s="28">
        <v>19329</v>
      </c>
      <c r="B3350" s="91">
        <v>45119.811030092591</v>
      </c>
      <c r="C3350" s="28" t="s">
        <v>10</v>
      </c>
      <c r="D3350" s="28" t="s">
        <v>369</v>
      </c>
      <c r="E3350" s="28" t="s">
        <v>28</v>
      </c>
      <c r="F3350" s="28">
        <v>20</v>
      </c>
      <c r="G3350" s="28" t="s">
        <v>121</v>
      </c>
      <c r="H3350" s="28">
        <v>0</v>
      </c>
      <c r="J3350" s="28"/>
    </row>
    <row r="3351" spans="1:10" ht="15.75" customHeight="1">
      <c r="A3351" s="28">
        <v>19330</v>
      </c>
      <c r="B3351" s="91">
        <v>45119.848368055551</v>
      </c>
      <c r="C3351" s="28" t="s">
        <v>8</v>
      </c>
      <c r="D3351" s="28" t="s">
        <v>368</v>
      </c>
      <c r="E3351" s="28" t="s">
        <v>28</v>
      </c>
      <c r="F3351" s="28">
        <v>26</v>
      </c>
      <c r="G3351" s="28" t="s">
        <v>122</v>
      </c>
      <c r="H3351" s="28">
        <v>0</v>
      </c>
      <c r="J3351" s="28"/>
    </row>
    <row r="3352" spans="1:10" ht="15.75" customHeight="1">
      <c r="A3352" s="28">
        <v>19330</v>
      </c>
      <c r="B3352" s="91">
        <v>45119.848368055551</v>
      </c>
      <c r="C3352" s="28" t="s">
        <v>8</v>
      </c>
      <c r="D3352" s="28" t="s">
        <v>368</v>
      </c>
      <c r="E3352" s="28" t="s">
        <v>28</v>
      </c>
      <c r="F3352" s="28">
        <v>0</v>
      </c>
      <c r="G3352" s="28" t="s">
        <v>117</v>
      </c>
      <c r="H3352" s="28">
        <v>0</v>
      </c>
      <c r="J3352" s="28"/>
    </row>
    <row r="3353" spans="1:10" ht="15.75" customHeight="1">
      <c r="A3353" s="28">
        <v>19331</v>
      </c>
      <c r="B3353" s="91">
        <v>45119.868564814809</v>
      </c>
      <c r="C3353" s="28" t="s">
        <v>10</v>
      </c>
      <c r="D3353" s="28" t="s">
        <v>367</v>
      </c>
      <c r="E3353" s="28" t="s">
        <v>28</v>
      </c>
      <c r="F3353" s="28">
        <v>25</v>
      </c>
      <c r="G3353" s="28" t="s">
        <v>141</v>
      </c>
      <c r="H3353" s="28">
        <v>0</v>
      </c>
      <c r="J3353" s="28"/>
    </row>
    <row r="3354" spans="1:10" ht="15.75" customHeight="1">
      <c r="A3354" s="28">
        <v>19332</v>
      </c>
      <c r="B3354" s="91">
        <v>45119.916481481487</v>
      </c>
      <c r="C3354" s="28" t="s">
        <v>8</v>
      </c>
      <c r="D3354" s="28" t="s">
        <v>366</v>
      </c>
      <c r="E3354" s="28" t="s">
        <v>28</v>
      </c>
      <c r="F3354" s="28">
        <v>28</v>
      </c>
      <c r="G3354" s="28" t="s">
        <v>143</v>
      </c>
      <c r="H3354" s="28">
        <v>0</v>
      </c>
      <c r="J3354" s="28"/>
    </row>
    <row r="3355" spans="1:10" ht="15.75" customHeight="1">
      <c r="A3355" s="28">
        <v>19332</v>
      </c>
      <c r="B3355" s="91">
        <v>45119.916481481487</v>
      </c>
      <c r="C3355" s="28" t="s">
        <v>8</v>
      </c>
      <c r="D3355" s="28" t="s">
        <v>366</v>
      </c>
      <c r="E3355" s="28" t="s">
        <v>28</v>
      </c>
      <c r="F3355" s="28">
        <v>0</v>
      </c>
      <c r="G3355" s="28" t="s">
        <v>117</v>
      </c>
      <c r="H3355" s="28">
        <v>0</v>
      </c>
      <c r="J3355" s="28"/>
    </row>
    <row r="3356" spans="1:10" ht="15.75" customHeight="1">
      <c r="A3356" s="28">
        <v>19332</v>
      </c>
      <c r="B3356" s="91">
        <v>45119.916481481487</v>
      </c>
      <c r="C3356" s="28" t="s">
        <v>8</v>
      </c>
      <c r="D3356" s="28" t="s">
        <v>366</v>
      </c>
      <c r="E3356" s="28" t="s">
        <v>28</v>
      </c>
      <c r="F3356" s="28">
        <v>15</v>
      </c>
      <c r="G3356" s="28" t="s">
        <v>139</v>
      </c>
      <c r="H3356" s="28">
        <v>0</v>
      </c>
      <c r="J3356" s="28"/>
    </row>
    <row r="3357" spans="1:10" ht="15.75" customHeight="1">
      <c r="A3357" s="28">
        <v>19332</v>
      </c>
      <c r="B3357" s="91">
        <v>45119.916481481487</v>
      </c>
      <c r="C3357" s="28" t="s">
        <v>8</v>
      </c>
      <c r="D3357" s="28" t="s">
        <v>366</v>
      </c>
      <c r="E3357" s="28" t="s">
        <v>28</v>
      </c>
      <c r="F3357" s="28">
        <v>25</v>
      </c>
      <c r="G3357" s="28">
        <v>100692</v>
      </c>
      <c r="H3357" s="28">
        <v>0</v>
      </c>
      <c r="J3357" s="28"/>
    </row>
    <row r="3358" spans="1:10" ht="15.75" customHeight="1">
      <c r="A3358" s="28">
        <v>19332</v>
      </c>
      <c r="B3358" s="91">
        <v>45119.916481481487</v>
      </c>
      <c r="C3358" s="28" t="s">
        <v>8</v>
      </c>
      <c r="D3358" s="28" t="s">
        <v>366</v>
      </c>
      <c r="E3358" s="28" t="s">
        <v>28</v>
      </c>
      <c r="F3358" s="28">
        <v>0</v>
      </c>
      <c r="G3358" s="28" t="s">
        <v>125</v>
      </c>
      <c r="H3358" s="28">
        <v>0</v>
      </c>
      <c r="J3358" s="28"/>
    </row>
    <row r="3359" spans="1:10" ht="15.75" customHeight="1">
      <c r="A3359" s="28">
        <v>19332</v>
      </c>
      <c r="B3359" s="91">
        <v>45119.916481481487</v>
      </c>
      <c r="C3359" s="28" t="s">
        <v>8</v>
      </c>
      <c r="D3359" s="28" t="s">
        <v>366</v>
      </c>
      <c r="E3359" s="28" t="s">
        <v>28</v>
      </c>
      <c r="F3359" s="28">
        <v>0</v>
      </c>
      <c r="G3359" s="28" t="s">
        <v>119</v>
      </c>
      <c r="H3359" s="28">
        <v>0</v>
      </c>
      <c r="J3359" s="28"/>
    </row>
    <row r="3360" spans="1:10" ht="15.75" customHeight="1">
      <c r="A3360" s="28">
        <v>19333</v>
      </c>
      <c r="B3360" s="91">
        <v>45119.938032407408</v>
      </c>
      <c r="C3360" s="28" t="s">
        <v>10</v>
      </c>
      <c r="D3360" s="28" t="s">
        <v>365</v>
      </c>
      <c r="E3360" s="28" t="s">
        <v>28</v>
      </c>
      <c r="F3360" s="28">
        <v>20</v>
      </c>
      <c r="G3360" s="28" t="s">
        <v>121</v>
      </c>
      <c r="H3360" s="28">
        <v>0</v>
      </c>
      <c r="J3360" s="28"/>
    </row>
    <row r="3361" spans="1:10" ht="15.75" customHeight="1">
      <c r="A3361" s="28">
        <v>19333</v>
      </c>
      <c r="B3361" s="91">
        <v>45119.938032407408</v>
      </c>
      <c r="C3361" s="28" t="s">
        <v>10</v>
      </c>
      <c r="D3361" s="28" t="s">
        <v>365</v>
      </c>
      <c r="E3361" s="28" t="s">
        <v>28</v>
      </c>
      <c r="F3361" s="28">
        <v>26</v>
      </c>
      <c r="G3361" s="28" t="s">
        <v>122</v>
      </c>
      <c r="H3361" s="28">
        <v>0</v>
      </c>
      <c r="J3361" s="28"/>
    </row>
    <row r="3362" spans="1:10" ht="15.75" customHeight="1">
      <c r="A3362" s="28">
        <v>19333</v>
      </c>
      <c r="B3362" s="91">
        <v>45119.938032407408</v>
      </c>
      <c r="C3362" s="28" t="s">
        <v>10</v>
      </c>
      <c r="D3362" s="28" t="s">
        <v>365</v>
      </c>
      <c r="E3362" s="28" t="s">
        <v>28</v>
      </c>
      <c r="F3362" s="28">
        <v>0</v>
      </c>
      <c r="G3362" s="28" t="s">
        <v>117</v>
      </c>
      <c r="H3362" s="28">
        <v>0</v>
      </c>
      <c r="J3362" s="28"/>
    </row>
    <row r="3363" spans="1:10" ht="15.75" customHeight="1">
      <c r="A3363" s="28">
        <v>19334</v>
      </c>
      <c r="B3363" s="91">
        <v>45119.944293981476</v>
      </c>
      <c r="C3363" s="28" t="s">
        <v>8</v>
      </c>
      <c r="D3363" s="28" t="s">
        <v>364</v>
      </c>
      <c r="E3363" s="28" t="s">
        <v>28</v>
      </c>
      <c r="F3363" s="28">
        <v>20</v>
      </c>
      <c r="G3363" s="28" t="s">
        <v>121</v>
      </c>
      <c r="H3363" s="28">
        <v>0</v>
      </c>
      <c r="J3363" s="28"/>
    </row>
    <row r="3364" spans="1:10" ht="15.75" customHeight="1">
      <c r="A3364" s="28">
        <v>19334</v>
      </c>
      <c r="B3364" s="91">
        <v>45119.944293981476</v>
      </c>
      <c r="C3364" s="28" t="s">
        <v>8</v>
      </c>
      <c r="D3364" s="28" t="s">
        <v>364</v>
      </c>
      <c r="E3364" s="28" t="s">
        <v>28</v>
      </c>
      <c r="F3364" s="28">
        <v>26</v>
      </c>
      <c r="G3364" s="28" t="s">
        <v>122</v>
      </c>
      <c r="H3364" s="28">
        <v>0</v>
      </c>
      <c r="J3364" s="28"/>
    </row>
    <row r="3365" spans="1:10" ht="15.75" customHeight="1">
      <c r="A3365" s="28">
        <v>19334</v>
      </c>
      <c r="B3365" s="91">
        <v>45119.944293981476</v>
      </c>
      <c r="C3365" s="28" t="s">
        <v>8</v>
      </c>
      <c r="D3365" s="28" t="s">
        <v>364</v>
      </c>
      <c r="E3365" s="28" t="s">
        <v>28</v>
      </c>
      <c r="F3365" s="28">
        <v>0</v>
      </c>
      <c r="G3365" s="28" t="s">
        <v>117</v>
      </c>
      <c r="H3365" s="28">
        <v>0</v>
      </c>
      <c r="J3365" s="28"/>
    </row>
    <row r="3366" spans="1:10" ht="15.75" customHeight="1">
      <c r="A3366" s="28">
        <v>19335</v>
      </c>
      <c r="B3366" s="91">
        <v>45119.978275462963</v>
      </c>
      <c r="C3366" s="28" t="s">
        <v>8</v>
      </c>
      <c r="D3366" s="28" t="s">
        <v>363</v>
      </c>
      <c r="E3366" s="28" t="s">
        <v>28</v>
      </c>
      <c r="F3366" s="28">
        <v>20</v>
      </c>
      <c r="G3366" s="28" t="s">
        <v>148</v>
      </c>
      <c r="H3366" s="28">
        <v>0</v>
      </c>
      <c r="J3366" s="28"/>
    </row>
    <row r="3367" spans="1:10" ht="15.75" customHeight="1">
      <c r="A3367" s="28">
        <v>19339</v>
      </c>
      <c r="B3367" s="91">
        <v>45120.052511574075</v>
      </c>
      <c r="C3367" s="28" t="s">
        <v>10</v>
      </c>
      <c r="D3367" s="28" t="s">
        <v>132</v>
      </c>
      <c r="E3367" s="28" t="s">
        <v>80</v>
      </c>
      <c r="F3367" s="28">
        <v>10.5</v>
      </c>
      <c r="G3367" s="28" t="s">
        <v>117</v>
      </c>
      <c r="H3367" s="28">
        <v>0</v>
      </c>
      <c r="J3367" s="28"/>
    </row>
    <row r="3368" spans="1:10" ht="15.75" customHeight="1">
      <c r="A3368" s="28">
        <v>19339</v>
      </c>
      <c r="B3368" s="91">
        <v>45120.052511574075</v>
      </c>
      <c r="C3368" s="28" t="s">
        <v>10</v>
      </c>
      <c r="D3368" s="28" t="s">
        <v>132</v>
      </c>
      <c r="E3368" s="28" t="s">
        <v>80</v>
      </c>
      <c r="F3368" s="28">
        <v>10.5</v>
      </c>
      <c r="G3368" s="28" t="s">
        <v>117</v>
      </c>
      <c r="H3368" s="28">
        <v>0</v>
      </c>
      <c r="J3368" s="28"/>
    </row>
    <row r="3369" spans="1:10" ht="15.75" customHeight="1">
      <c r="A3369" s="28">
        <v>19339</v>
      </c>
      <c r="B3369" s="91">
        <v>45120.052511574075</v>
      </c>
      <c r="C3369" s="28" t="s">
        <v>10</v>
      </c>
      <c r="D3369" s="28" t="s">
        <v>132</v>
      </c>
      <c r="E3369" s="28" t="s">
        <v>80</v>
      </c>
      <c r="F3369" s="28">
        <v>10.5</v>
      </c>
      <c r="G3369" s="28" t="s">
        <v>117</v>
      </c>
      <c r="H3369" s="28">
        <v>0</v>
      </c>
      <c r="J3369" s="28"/>
    </row>
    <row r="3370" spans="1:10" ht="15.75" customHeight="1">
      <c r="A3370" s="28">
        <v>19339</v>
      </c>
      <c r="B3370" s="91">
        <v>45120.052511574075</v>
      </c>
      <c r="C3370" s="28" t="s">
        <v>10</v>
      </c>
      <c r="D3370" s="28" t="s">
        <v>132</v>
      </c>
      <c r="E3370" s="28" t="s">
        <v>80</v>
      </c>
      <c r="F3370" s="28">
        <v>10.5</v>
      </c>
      <c r="G3370" s="28" t="s">
        <v>117</v>
      </c>
      <c r="H3370" s="28">
        <v>0</v>
      </c>
      <c r="J3370" s="28"/>
    </row>
    <row r="3371" spans="1:10" ht="15.75" customHeight="1">
      <c r="A3371" s="28">
        <v>19339</v>
      </c>
      <c r="B3371" s="91">
        <v>45120.052511574075</v>
      </c>
      <c r="C3371" s="28" t="s">
        <v>10</v>
      </c>
      <c r="D3371" s="28" t="s">
        <v>132</v>
      </c>
      <c r="E3371" s="28" t="s">
        <v>80</v>
      </c>
      <c r="F3371" s="28">
        <v>25.5</v>
      </c>
      <c r="G3371" s="28" t="s">
        <v>117</v>
      </c>
      <c r="H3371" s="28">
        <v>0</v>
      </c>
      <c r="J3371" s="28"/>
    </row>
    <row r="3372" spans="1:10" ht="15.75" customHeight="1">
      <c r="A3372" s="28">
        <v>19339</v>
      </c>
      <c r="B3372" s="91">
        <v>45120.052511574075</v>
      </c>
      <c r="C3372" s="28" t="s">
        <v>10</v>
      </c>
      <c r="D3372" s="28" t="s">
        <v>132</v>
      </c>
      <c r="E3372" s="28" t="s">
        <v>80</v>
      </c>
      <c r="F3372" s="28">
        <v>28.5</v>
      </c>
      <c r="G3372" s="28" t="s">
        <v>117</v>
      </c>
      <c r="H3372" s="28">
        <v>0</v>
      </c>
      <c r="J3372" s="28"/>
    </row>
    <row r="3373" spans="1:10" ht="15.75" customHeight="1">
      <c r="A3373" s="28">
        <v>19339</v>
      </c>
      <c r="B3373" s="91">
        <v>45120.052511574075</v>
      </c>
      <c r="C3373" s="28" t="s">
        <v>10</v>
      </c>
      <c r="D3373" s="28" t="s">
        <v>132</v>
      </c>
      <c r="E3373" s="28" t="s">
        <v>80</v>
      </c>
      <c r="F3373" s="28">
        <v>15</v>
      </c>
      <c r="G3373" s="28" t="s">
        <v>117</v>
      </c>
      <c r="H3373" s="28">
        <v>0</v>
      </c>
      <c r="J3373" s="28"/>
    </row>
    <row r="3374" spans="1:10" ht="15.75" customHeight="1">
      <c r="A3374" s="28">
        <v>19339</v>
      </c>
      <c r="B3374" s="91">
        <v>45120.052511574075</v>
      </c>
      <c r="C3374" s="28" t="s">
        <v>10</v>
      </c>
      <c r="D3374" s="28" t="s">
        <v>132</v>
      </c>
      <c r="E3374" s="28" t="s">
        <v>80</v>
      </c>
      <c r="F3374" s="28">
        <v>16.5</v>
      </c>
      <c r="G3374" s="28" t="s">
        <v>117</v>
      </c>
      <c r="H3374" s="28">
        <v>0</v>
      </c>
      <c r="J3374" s="28"/>
    </row>
    <row r="3375" spans="1:10" ht="15.75" customHeight="1">
      <c r="A3375" s="28">
        <v>19339</v>
      </c>
      <c r="B3375" s="91">
        <v>45120.052511574075</v>
      </c>
      <c r="C3375" s="28" t="s">
        <v>10</v>
      </c>
      <c r="D3375" s="28" t="s">
        <v>132</v>
      </c>
      <c r="E3375" s="28" t="s">
        <v>80</v>
      </c>
      <c r="F3375" s="28">
        <v>22.5</v>
      </c>
      <c r="G3375" s="28" t="s">
        <v>117</v>
      </c>
      <c r="H3375" s="28">
        <v>0</v>
      </c>
      <c r="J3375" s="28"/>
    </row>
    <row r="3376" spans="1:10" ht="15.75" customHeight="1">
      <c r="A3376" s="28">
        <v>19339</v>
      </c>
      <c r="B3376" s="91">
        <v>45120.052511574075</v>
      </c>
      <c r="C3376" s="28" t="s">
        <v>10</v>
      </c>
      <c r="D3376" s="28" t="s">
        <v>132</v>
      </c>
      <c r="E3376" s="28" t="s">
        <v>80</v>
      </c>
      <c r="F3376" s="28">
        <v>25.5</v>
      </c>
      <c r="G3376" s="28" t="s">
        <v>117</v>
      </c>
      <c r="H3376" s="28">
        <v>0</v>
      </c>
      <c r="J3376" s="28"/>
    </row>
    <row r="3377" spans="1:10" ht="15.75" customHeight="1">
      <c r="A3377" s="28">
        <v>19339</v>
      </c>
      <c r="B3377" s="91">
        <v>45120.052511574075</v>
      </c>
      <c r="C3377" s="28" t="s">
        <v>10</v>
      </c>
      <c r="D3377" s="28" t="s">
        <v>132</v>
      </c>
      <c r="E3377" s="28" t="s">
        <v>80</v>
      </c>
      <c r="F3377" s="28">
        <v>25.5</v>
      </c>
      <c r="G3377" s="28" t="s">
        <v>117</v>
      </c>
      <c r="H3377" s="28">
        <v>0</v>
      </c>
      <c r="J3377" s="28"/>
    </row>
    <row r="3378" spans="1:10" ht="15.75" customHeight="1">
      <c r="A3378" s="28">
        <v>19340</v>
      </c>
      <c r="B3378" s="91">
        <v>45120.072870370372</v>
      </c>
      <c r="C3378" s="28" t="s">
        <v>10</v>
      </c>
      <c r="D3378" s="28" t="s">
        <v>362</v>
      </c>
      <c r="E3378" s="28" t="s">
        <v>28</v>
      </c>
      <c r="F3378" s="28">
        <v>25</v>
      </c>
      <c r="G3378" s="28">
        <v>100692</v>
      </c>
      <c r="H3378" s="28">
        <v>0</v>
      </c>
      <c r="J3378" s="28"/>
    </row>
    <row r="3379" spans="1:10" ht="15.75" customHeight="1">
      <c r="A3379" s="28">
        <v>19340</v>
      </c>
      <c r="B3379" s="91">
        <v>45120.072870370372</v>
      </c>
      <c r="C3379" s="28" t="s">
        <v>10</v>
      </c>
      <c r="D3379" s="28" t="s">
        <v>362</v>
      </c>
      <c r="E3379" s="28" t="s">
        <v>28</v>
      </c>
      <c r="F3379" s="28">
        <v>0</v>
      </c>
      <c r="G3379" s="28" t="s">
        <v>125</v>
      </c>
      <c r="H3379" s="28">
        <v>0</v>
      </c>
      <c r="J3379" s="28"/>
    </row>
    <row r="3380" spans="1:10" ht="15.75" customHeight="1">
      <c r="A3380" s="28">
        <v>19340</v>
      </c>
      <c r="B3380" s="91">
        <v>45120.072870370372</v>
      </c>
      <c r="C3380" s="28" t="s">
        <v>10</v>
      </c>
      <c r="D3380" s="28" t="s">
        <v>362</v>
      </c>
      <c r="E3380" s="28" t="s">
        <v>28</v>
      </c>
      <c r="F3380" s="28">
        <v>0</v>
      </c>
      <c r="G3380" s="28" t="s">
        <v>119</v>
      </c>
      <c r="H3380" s="28">
        <v>0</v>
      </c>
      <c r="J3380" s="28"/>
    </row>
    <row r="3381" spans="1:10" ht="15.75" customHeight="1">
      <c r="A3381" s="28">
        <v>19341</v>
      </c>
      <c r="B3381" s="91">
        <v>45120.078460648147</v>
      </c>
      <c r="C3381" s="28" t="s">
        <v>10</v>
      </c>
      <c r="D3381" s="28" t="s">
        <v>361</v>
      </c>
      <c r="E3381" s="28" t="s">
        <v>28</v>
      </c>
      <c r="F3381" s="28">
        <v>35</v>
      </c>
      <c r="G3381" s="28" t="s">
        <v>124</v>
      </c>
      <c r="H3381" s="28">
        <v>0</v>
      </c>
      <c r="J3381" s="28"/>
    </row>
    <row r="3382" spans="1:10" ht="15.75" customHeight="1">
      <c r="A3382" s="28">
        <v>19341</v>
      </c>
      <c r="B3382" s="91">
        <v>45120.078460648147</v>
      </c>
      <c r="C3382" s="28" t="s">
        <v>10</v>
      </c>
      <c r="D3382" s="28" t="s">
        <v>361</v>
      </c>
      <c r="E3382" s="28" t="s">
        <v>28</v>
      </c>
      <c r="F3382" s="28">
        <v>0</v>
      </c>
      <c r="G3382" s="28" t="s">
        <v>125</v>
      </c>
      <c r="H3382" s="28">
        <v>0</v>
      </c>
      <c r="J3382" s="28"/>
    </row>
    <row r="3383" spans="1:10" ht="15.75" customHeight="1">
      <c r="A3383" s="28">
        <v>19341</v>
      </c>
      <c r="B3383" s="91">
        <v>45120.078460648147</v>
      </c>
      <c r="C3383" s="28" t="s">
        <v>10</v>
      </c>
      <c r="D3383" s="28" t="s">
        <v>361</v>
      </c>
      <c r="E3383" s="28" t="s">
        <v>28</v>
      </c>
      <c r="F3383" s="28">
        <v>0</v>
      </c>
      <c r="G3383" s="28" t="s">
        <v>119</v>
      </c>
      <c r="H3383" s="28">
        <v>0</v>
      </c>
      <c r="J3383" s="28"/>
    </row>
    <row r="3384" spans="1:10" ht="15.75" customHeight="1">
      <c r="A3384" s="28">
        <v>19341</v>
      </c>
      <c r="B3384" s="91">
        <v>45120.078460648147</v>
      </c>
      <c r="C3384" s="28" t="s">
        <v>10</v>
      </c>
      <c r="D3384" s="28" t="s">
        <v>361</v>
      </c>
      <c r="E3384" s="28" t="s">
        <v>28</v>
      </c>
      <c r="F3384" s="28">
        <v>0</v>
      </c>
      <c r="G3384" s="28" t="s">
        <v>121</v>
      </c>
      <c r="H3384" s="28">
        <v>0</v>
      </c>
      <c r="J3384" s="28"/>
    </row>
    <row r="3385" spans="1:10" ht="15.75" customHeight="1">
      <c r="A3385" s="28">
        <v>19342</v>
      </c>
      <c r="B3385" s="91">
        <v>45120.563067129631</v>
      </c>
      <c r="C3385" s="28" t="s">
        <v>10</v>
      </c>
      <c r="D3385" s="28" t="s">
        <v>360</v>
      </c>
      <c r="E3385" s="28" t="s">
        <v>28</v>
      </c>
      <c r="F3385" s="28">
        <v>18</v>
      </c>
      <c r="G3385" s="28" t="s">
        <v>119</v>
      </c>
      <c r="H3385" s="28">
        <v>0</v>
      </c>
      <c r="J3385" s="28"/>
    </row>
    <row r="3386" spans="1:10" ht="15.75" customHeight="1">
      <c r="A3386" s="28">
        <v>19343</v>
      </c>
      <c r="B3386" s="91">
        <v>45120.62563657407</v>
      </c>
      <c r="C3386" s="28" t="s">
        <v>10</v>
      </c>
      <c r="D3386" s="28" t="s">
        <v>359</v>
      </c>
      <c r="E3386" s="28" t="s">
        <v>28</v>
      </c>
      <c r="F3386" s="28">
        <v>25</v>
      </c>
      <c r="G3386" s="28">
        <v>100692</v>
      </c>
      <c r="H3386" s="28">
        <v>0</v>
      </c>
      <c r="J3386" s="28"/>
    </row>
    <row r="3387" spans="1:10" ht="15.75" customHeight="1">
      <c r="A3387" s="28">
        <v>19343</v>
      </c>
      <c r="B3387" s="91">
        <v>45120.62563657407</v>
      </c>
      <c r="C3387" s="28" t="s">
        <v>10</v>
      </c>
      <c r="D3387" s="28" t="s">
        <v>359</v>
      </c>
      <c r="E3387" s="28" t="s">
        <v>28</v>
      </c>
      <c r="F3387" s="28">
        <v>0</v>
      </c>
      <c r="G3387" s="28" t="s">
        <v>125</v>
      </c>
      <c r="H3387" s="28">
        <v>0</v>
      </c>
      <c r="J3387" s="28"/>
    </row>
    <row r="3388" spans="1:10" ht="15.75" customHeight="1">
      <c r="A3388" s="28">
        <v>19343</v>
      </c>
      <c r="B3388" s="91">
        <v>45120.62563657407</v>
      </c>
      <c r="C3388" s="28" t="s">
        <v>10</v>
      </c>
      <c r="D3388" s="28" t="s">
        <v>359</v>
      </c>
      <c r="E3388" s="28" t="s">
        <v>28</v>
      </c>
      <c r="F3388" s="28">
        <v>0</v>
      </c>
      <c r="G3388" s="28" t="s">
        <v>119</v>
      </c>
      <c r="H3388" s="28">
        <v>0</v>
      </c>
      <c r="J3388" s="28"/>
    </row>
    <row r="3389" spans="1:10" ht="15.75" customHeight="1">
      <c r="A3389" s="28">
        <v>19344</v>
      </c>
      <c r="B3389" s="91">
        <v>45120.6328125</v>
      </c>
      <c r="C3389" s="28" t="s">
        <v>10</v>
      </c>
      <c r="D3389" s="28" t="s">
        <v>358</v>
      </c>
      <c r="E3389" s="28" t="s">
        <v>28</v>
      </c>
      <c r="F3389" s="28">
        <v>25</v>
      </c>
      <c r="G3389" s="28">
        <v>100692</v>
      </c>
      <c r="H3389" s="28">
        <v>0</v>
      </c>
      <c r="J3389" s="28"/>
    </row>
    <row r="3390" spans="1:10" ht="15.75" customHeight="1">
      <c r="A3390" s="28">
        <v>19344</v>
      </c>
      <c r="B3390" s="91">
        <v>45120.6328125</v>
      </c>
      <c r="C3390" s="28" t="s">
        <v>10</v>
      </c>
      <c r="D3390" s="28" t="s">
        <v>358</v>
      </c>
      <c r="E3390" s="28" t="s">
        <v>28</v>
      </c>
      <c r="F3390" s="28">
        <v>0</v>
      </c>
      <c r="G3390" s="28" t="s">
        <v>125</v>
      </c>
      <c r="H3390" s="28">
        <v>0</v>
      </c>
      <c r="J3390" s="28"/>
    </row>
    <row r="3391" spans="1:10" ht="15.75" customHeight="1">
      <c r="A3391" s="28">
        <v>19344</v>
      </c>
      <c r="B3391" s="91">
        <v>45120.6328125</v>
      </c>
      <c r="C3391" s="28" t="s">
        <v>10</v>
      </c>
      <c r="D3391" s="28" t="s">
        <v>358</v>
      </c>
      <c r="E3391" s="28" t="s">
        <v>28</v>
      </c>
      <c r="F3391" s="28">
        <v>0</v>
      </c>
      <c r="G3391" s="28" t="s">
        <v>119</v>
      </c>
      <c r="H3391" s="28">
        <v>0</v>
      </c>
      <c r="J3391" s="28"/>
    </row>
    <row r="3392" spans="1:10" ht="15.75" customHeight="1">
      <c r="A3392" s="28">
        <v>19345</v>
      </c>
      <c r="B3392" s="91">
        <v>45120.636273148149</v>
      </c>
      <c r="C3392" s="28" t="s">
        <v>10</v>
      </c>
      <c r="D3392" s="28" t="s">
        <v>281</v>
      </c>
      <c r="E3392" s="28" t="s">
        <v>28</v>
      </c>
      <c r="F3392" s="28">
        <v>25</v>
      </c>
      <c r="G3392" s="28">
        <v>100692</v>
      </c>
      <c r="H3392" s="28">
        <v>0</v>
      </c>
      <c r="J3392" s="28"/>
    </row>
    <row r="3393" spans="1:10" ht="15.75" customHeight="1">
      <c r="A3393" s="28">
        <v>19345</v>
      </c>
      <c r="B3393" s="91">
        <v>45120.636273148149</v>
      </c>
      <c r="C3393" s="28" t="s">
        <v>10</v>
      </c>
      <c r="D3393" s="28" t="s">
        <v>281</v>
      </c>
      <c r="E3393" s="28" t="s">
        <v>28</v>
      </c>
      <c r="F3393" s="28">
        <v>0</v>
      </c>
      <c r="G3393" s="28" t="s">
        <v>125</v>
      </c>
      <c r="H3393" s="28">
        <v>0</v>
      </c>
      <c r="J3393" s="28"/>
    </row>
    <row r="3394" spans="1:10" ht="15.75" customHeight="1">
      <c r="A3394" s="28">
        <v>19345</v>
      </c>
      <c r="B3394" s="91">
        <v>45120.636273148149</v>
      </c>
      <c r="C3394" s="28" t="s">
        <v>10</v>
      </c>
      <c r="D3394" s="28" t="s">
        <v>281</v>
      </c>
      <c r="E3394" s="28" t="s">
        <v>28</v>
      </c>
      <c r="F3394" s="28">
        <v>0</v>
      </c>
      <c r="G3394" s="28" t="s">
        <v>119</v>
      </c>
      <c r="H3394" s="28">
        <v>0</v>
      </c>
      <c r="J3394" s="28"/>
    </row>
    <row r="3395" spans="1:10" ht="15.75" customHeight="1">
      <c r="A3395" s="28">
        <v>19346</v>
      </c>
      <c r="B3395" s="91">
        <v>45120.796261574069</v>
      </c>
      <c r="C3395" s="28" t="s">
        <v>10</v>
      </c>
      <c r="D3395" s="28" t="s">
        <v>357</v>
      </c>
      <c r="E3395" s="28" t="s">
        <v>28</v>
      </c>
      <c r="F3395" s="28">
        <v>35</v>
      </c>
      <c r="G3395" s="28" t="s">
        <v>124</v>
      </c>
      <c r="H3395" s="28">
        <v>0</v>
      </c>
      <c r="J3395" s="28"/>
    </row>
    <row r="3396" spans="1:10" ht="15.75" customHeight="1">
      <c r="A3396" s="28">
        <v>19346</v>
      </c>
      <c r="B3396" s="91">
        <v>45120.796261574069</v>
      </c>
      <c r="C3396" s="28" t="s">
        <v>10</v>
      </c>
      <c r="D3396" s="28" t="s">
        <v>357</v>
      </c>
      <c r="E3396" s="28" t="s">
        <v>28</v>
      </c>
      <c r="F3396" s="28">
        <v>0</v>
      </c>
      <c r="G3396" s="28" t="s">
        <v>125</v>
      </c>
      <c r="H3396" s="28">
        <v>0</v>
      </c>
      <c r="J3396" s="28"/>
    </row>
    <row r="3397" spans="1:10" ht="15.75" customHeight="1">
      <c r="A3397" s="28">
        <v>19346</v>
      </c>
      <c r="B3397" s="91">
        <v>45120.796261574069</v>
      </c>
      <c r="C3397" s="28" t="s">
        <v>10</v>
      </c>
      <c r="D3397" s="28" t="s">
        <v>357</v>
      </c>
      <c r="E3397" s="28" t="s">
        <v>28</v>
      </c>
      <c r="F3397" s="28">
        <v>0</v>
      </c>
      <c r="G3397" s="28" t="s">
        <v>119</v>
      </c>
      <c r="H3397" s="28">
        <v>0</v>
      </c>
      <c r="J3397" s="28"/>
    </row>
    <row r="3398" spans="1:10" ht="15.75" customHeight="1">
      <c r="A3398" s="28">
        <v>19346</v>
      </c>
      <c r="B3398" s="91">
        <v>45120.796261574069</v>
      </c>
      <c r="C3398" s="28" t="s">
        <v>10</v>
      </c>
      <c r="D3398" s="28" t="s">
        <v>357</v>
      </c>
      <c r="E3398" s="28" t="s">
        <v>28</v>
      </c>
      <c r="F3398" s="28">
        <v>0</v>
      </c>
      <c r="G3398" s="28" t="s">
        <v>121</v>
      </c>
      <c r="H3398" s="28">
        <v>0</v>
      </c>
      <c r="J3398" s="28"/>
    </row>
    <row r="3399" spans="1:10" ht="15.75" customHeight="1">
      <c r="A3399" s="28">
        <v>19347</v>
      </c>
      <c r="B3399" s="91">
        <v>45120.891793981486</v>
      </c>
      <c r="C3399" s="28" t="s">
        <v>8</v>
      </c>
      <c r="D3399" s="28" t="s">
        <v>356</v>
      </c>
      <c r="E3399" s="28" t="s">
        <v>28</v>
      </c>
      <c r="F3399" s="28">
        <v>0</v>
      </c>
      <c r="G3399" s="28" t="s">
        <v>117</v>
      </c>
      <c r="H3399" s="28">
        <v>0</v>
      </c>
      <c r="J3399" s="28"/>
    </row>
    <row r="3400" spans="1:10" ht="15.75" customHeight="1">
      <c r="A3400" s="28">
        <v>19347</v>
      </c>
      <c r="B3400" s="91">
        <v>45120.891793981486</v>
      </c>
      <c r="C3400" s="28" t="s">
        <v>8</v>
      </c>
      <c r="D3400" s="28" t="s">
        <v>356</v>
      </c>
      <c r="E3400" s="28" t="s">
        <v>28</v>
      </c>
      <c r="F3400" s="28">
        <v>15</v>
      </c>
      <c r="G3400" s="28" t="s">
        <v>125</v>
      </c>
      <c r="H3400" s="28">
        <v>0</v>
      </c>
      <c r="J3400" s="28"/>
    </row>
    <row r="3401" spans="1:10" ht="15.75" customHeight="1">
      <c r="A3401" s="28">
        <v>19348</v>
      </c>
      <c r="B3401" s="91">
        <v>45120.89340277778</v>
      </c>
      <c r="C3401" s="28" t="s">
        <v>10</v>
      </c>
      <c r="D3401" s="28" t="s">
        <v>355</v>
      </c>
      <c r="E3401" s="28" t="s">
        <v>28</v>
      </c>
      <c r="F3401" s="28">
        <v>15</v>
      </c>
      <c r="G3401" s="28" t="s">
        <v>125</v>
      </c>
      <c r="H3401" s="28">
        <v>0</v>
      </c>
      <c r="J3401" s="28"/>
    </row>
    <row r="3402" spans="1:10" ht="15.75" customHeight="1">
      <c r="A3402" s="28">
        <v>19349</v>
      </c>
      <c r="B3402" s="91">
        <v>45120.96974537037</v>
      </c>
      <c r="C3402" s="28" t="s">
        <v>10</v>
      </c>
      <c r="D3402" s="28" t="s">
        <v>354</v>
      </c>
      <c r="E3402" s="28" t="s">
        <v>28</v>
      </c>
      <c r="F3402" s="28">
        <v>18</v>
      </c>
      <c r="G3402" s="28" t="s">
        <v>119</v>
      </c>
      <c r="H3402" s="28">
        <v>0</v>
      </c>
      <c r="J3402" s="28"/>
    </row>
    <row r="3403" spans="1:10" ht="15.75" customHeight="1">
      <c r="A3403" s="28">
        <v>19350</v>
      </c>
      <c r="B3403" s="91">
        <v>45120.971157407403</v>
      </c>
      <c r="C3403" s="28" t="s">
        <v>10</v>
      </c>
      <c r="D3403" s="28" t="s">
        <v>353</v>
      </c>
      <c r="E3403" s="28" t="s">
        <v>28</v>
      </c>
      <c r="F3403" s="28">
        <v>18</v>
      </c>
      <c r="G3403" s="28" t="s">
        <v>119</v>
      </c>
      <c r="H3403" s="28">
        <v>0</v>
      </c>
      <c r="J3403" s="28"/>
    </row>
    <row r="3404" spans="1:10" ht="15.75" customHeight="1">
      <c r="A3404" s="28">
        <v>19351</v>
      </c>
      <c r="B3404" s="91">
        <v>45120.972256944442</v>
      </c>
      <c r="C3404" s="28" t="s">
        <v>10</v>
      </c>
      <c r="D3404" s="28" t="s">
        <v>352</v>
      </c>
      <c r="E3404" s="28" t="s">
        <v>28</v>
      </c>
      <c r="F3404" s="28">
        <v>18</v>
      </c>
      <c r="G3404" s="28" t="s">
        <v>119</v>
      </c>
      <c r="H3404" s="28">
        <v>0</v>
      </c>
      <c r="J3404" s="28"/>
    </row>
    <row r="3405" spans="1:10" ht="15.75" customHeight="1">
      <c r="A3405" s="28">
        <v>19352</v>
      </c>
      <c r="B3405" s="91">
        <v>45120.973935185189</v>
      </c>
      <c r="C3405" s="28" t="s">
        <v>10</v>
      </c>
      <c r="D3405" s="28" t="s">
        <v>351</v>
      </c>
      <c r="E3405" s="28" t="s">
        <v>28</v>
      </c>
      <c r="F3405" s="28">
        <v>18</v>
      </c>
      <c r="G3405" s="28" t="s">
        <v>119</v>
      </c>
      <c r="H3405" s="28">
        <v>0</v>
      </c>
      <c r="J3405" s="28"/>
    </row>
    <row r="3406" spans="1:10" ht="15.75" customHeight="1">
      <c r="A3406" s="28">
        <v>19353</v>
      </c>
      <c r="B3406" s="91">
        <v>45120.986284722225</v>
      </c>
      <c r="C3406" s="28" t="s">
        <v>10</v>
      </c>
      <c r="D3406" s="28" t="s">
        <v>350</v>
      </c>
      <c r="E3406" s="28" t="s">
        <v>28</v>
      </c>
      <c r="F3406" s="28">
        <v>0</v>
      </c>
      <c r="G3406" s="28" t="s">
        <v>117</v>
      </c>
      <c r="H3406" s="28">
        <v>0</v>
      </c>
      <c r="J3406" s="28"/>
    </row>
    <row r="3407" spans="1:10" ht="15.75" customHeight="1">
      <c r="A3407" s="28">
        <v>19354</v>
      </c>
      <c r="B3407" s="91">
        <v>45120.988865740743</v>
      </c>
      <c r="C3407" s="28" t="s">
        <v>10</v>
      </c>
      <c r="D3407" s="28" t="s">
        <v>332</v>
      </c>
      <c r="E3407" s="28" t="s">
        <v>28</v>
      </c>
      <c r="F3407" s="28">
        <v>0</v>
      </c>
      <c r="G3407" s="28" t="s">
        <v>117</v>
      </c>
      <c r="H3407" s="28">
        <v>0</v>
      </c>
      <c r="J3407" s="28"/>
    </row>
    <row r="3408" spans="1:10" ht="15.75" customHeight="1">
      <c r="A3408" s="28">
        <v>19355</v>
      </c>
      <c r="B3408" s="91">
        <v>45121.101875</v>
      </c>
      <c r="C3408" s="28" t="s">
        <v>10</v>
      </c>
      <c r="D3408" s="28" t="s">
        <v>349</v>
      </c>
      <c r="E3408" s="28" t="s">
        <v>28</v>
      </c>
      <c r="F3408" s="28">
        <v>15</v>
      </c>
      <c r="G3408" s="28" t="s">
        <v>125</v>
      </c>
      <c r="H3408" s="28">
        <v>0</v>
      </c>
      <c r="J3408" s="28"/>
    </row>
    <row r="3409" spans="1:10" ht="15.75" customHeight="1">
      <c r="A3409" s="28">
        <v>19356</v>
      </c>
      <c r="B3409" s="91">
        <v>45121.528726851851</v>
      </c>
      <c r="C3409" s="28" t="s">
        <v>10</v>
      </c>
      <c r="D3409" s="28" t="s">
        <v>348</v>
      </c>
      <c r="E3409" s="28" t="s">
        <v>28</v>
      </c>
      <c r="F3409" s="28">
        <v>15</v>
      </c>
      <c r="G3409" s="28" t="s">
        <v>125</v>
      </c>
      <c r="H3409" s="28">
        <v>0</v>
      </c>
      <c r="J3409" s="28"/>
    </row>
    <row r="3410" spans="1:10" ht="15.75" customHeight="1">
      <c r="A3410" s="28">
        <v>19357</v>
      </c>
      <c r="B3410" s="91">
        <v>45121.597453703704</v>
      </c>
      <c r="C3410" s="28" t="s">
        <v>10</v>
      </c>
      <c r="D3410" s="28" t="s">
        <v>347</v>
      </c>
      <c r="E3410" s="28" t="s">
        <v>28</v>
      </c>
      <c r="F3410" s="28">
        <v>26</v>
      </c>
      <c r="G3410" s="28" t="s">
        <v>122</v>
      </c>
      <c r="H3410" s="28">
        <v>0</v>
      </c>
      <c r="J3410" s="28"/>
    </row>
    <row r="3411" spans="1:10" ht="15.75" customHeight="1">
      <c r="A3411" s="28">
        <v>19357</v>
      </c>
      <c r="B3411" s="91">
        <v>45121.597453703704</v>
      </c>
      <c r="C3411" s="28" t="s">
        <v>10</v>
      </c>
      <c r="D3411" s="28" t="s">
        <v>347</v>
      </c>
      <c r="E3411" s="28" t="s">
        <v>28</v>
      </c>
      <c r="F3411" s="28">
        <v>26</v>
      </c>
      <c r="G3411" s="28" t="s">
        <v>122</v>
      </c>
      <c r="H3411" s="28">
        <v>0</v>
      </c>
      <c r="J3411" s="28"/>
    </row>
    <row r="3412" spans="1:10" ht="15.75" customHeight="1">
      <c r="A3412" s="28">
        <v>19358</v>
      </c>
      <c r="B3412" s="91">
        <v>45121.617337962962</v>
      </c>
      <c r="C3412" s="28" t="s">
        <v>10</v>
      </c>
      <c r="D3412" s="28" t="s">
        <v>346</v>
      </c>
      <c r="E3412" s="28" t="s">
        <v>28</v>
      </c>
      <c r="F3412" s="28">
        <v>28</v>
      </c>
      <c r="G3412" s="28" t="s">
        <v>143</v>
      </c>
      <c r="H3412" s="28">
        <v>0</v>
      </c>
      <c r="J3412" s="28"/>
    </row>
    <row r="3413" spans="1:10" ht="15.75" customHeight="1">
      <c r="A3413" s="28">
        <v>19358</v>
      </c>
      <c r="B3413" s="91">
        <v>45121.617337962962</v>
      </c>
      <c r="C3413" s="28" t="s">
        <v>10</v>
      </c>
      <c r="D3413" s="28" t="s">
        <v>346</v>
      </c>
      <c r="E3413" s="28" t="s">
        <v>28</v>
      </c>
      <c r="F3413" s="28">
        <v>0</v>
      </c>
      <c r="G3413" s="28" t="s">
        <v>117</v>
      </c>
      <c r="H3413" s="28">
        <v>0</v>
      </c>
      <c r="J3413" s="28"/>
    </row>
    <row r="3414" spans="1:10" ht="15.75" customHeight="1">
      <c r="A3414" s="28">
        <v>19359</v>
      </c>
      <c r="B3414" s="91">
        <v>45122.491979166662</v>
      </c>
      <c r="C3414" s="28" t="s">
        <v>10</v>
      </c>
      <c r="D3414" s="28" t="s">
        <v>345</v>
      </c>
      <c r="E3414" s="28" t="s">
        <v>28</v>
      </c>
      <c r="F3414" s="28">
        <v>0</v>
      </c>
      <c r="G3414" s="28" t="s">
        <v>117</v>
      </c>
      <c r="H3414" s="28">
        <v>0</v>
      </c>
      <c r="J3414" s="28"/>
    </row>
    <row r="3415" spans="1:10" ht="15.75" customHeight="1">
      <c r="A3415" s="28">
        <v>19359</v>
      </c>
      <c r="B3415" s="91">
        <v>45122.491979166662</v>
      </c>
      <c r="C3415" s="28" t="s">
        <v>10</v>
      </c>
      <c r="D3415" s="28" t="s">
        <v>345</v>
      </c>
      <c r="E3415" s="28" t="s">
        <v>28</v>
      </c>
      <c r="F3415" s="28">
        <v>18</v>
      </c>
      <c r="G3415" s="28" t="s">
        <v>119</v>
      </c>
      <c r="H3415" s="28">
        <v>0</v>
      </c>
      <c r="J3415" s="28"/>
    </row>
    <row r="3416" spans="1:10" ht="15.75" customHeight="1">
      <c r="A3416" s="28">
        <v>19360</v>
      </c>
      <c r="B3416" s="91">
        <v>45122.591145833328</v>
      </c>
      <c r="C3416" s="28" t="s">
        <v>10</v>
      </c>
      <c r="D3416" s="28" t="s">
        <v>344</v>
      </c>
      <c r="E3416" s="28" t="s">
        <v>28</v>
      </c>
      <c r="F3416" s="28">
        <v>0</v>
      </c>
      <c r="G3416" s="28" t="s">
        <v>117</v>
      </c>
      <c r="H3416" s="28">
        <v>0</v>
      </c>
      <c r="J3416" s="28"/>
    </row>
    <row r="3417" spans="1:10" ht="15.75" customHeight="1">
      <c r="A3417" s="28">
        <v>19360</v>
      </c>
      <c r="B3417" s="91">
        <v>45122.591145833328</v>
      </c>
      <c r="C3417" s="28" t="s">
        <v>10</v>
      </c>
      <c r="D3417" s="28" t="s">
        <v>344</v>
      </c>
      <c r="E3417" s="28" t="s">
        <v>28</v>
      </c>
      <c r="F3417" s="28">
        <v>15</v>
      </c>
      <c r="G3417" s="28" t="s">
        <v>125</v>
      </c>
      <c r="H3417" s="28">
        <v>0</v>
      </c>
      <c r="J3417" s="28"/>
    </row>
    <row r="3418" spans="1:10" ht="15.75" customHeight="1">
      <c r="A3418" s="28">
        <v>19361</v>
      </c>
      <c r="B3418" s="91">
        <v>45122.592476851853</v>
      </c>
      <c r="C3418" s="28" t="s">
        <v>10</v>
      </c>
      <c r="D3418" s="28" t="s">
        <v>343</v>
      </c>
      <c r="E3418" s="28" t="s">
        <v>28</v>
      </c>
      <c r="F3418" s="28">
        <v>15</v>
      </c>
      <c r="G3418" s="28" t="s">
        <v>125</v>
      </c>
      <c r="H3418" s="28">
        <v>0</v>
      </c>
      <c r="J3418" s="28"/>
    </row>
    <row r="3419" spans="1:10" ht="15.75" customHeight="1">
      <c r="A3419" s="28">
        <v>19361</v>
      </c>
      <c r="B3419" s="91">
        <v>45122.592476851853</v>
      </c>
      <c r="C3419" s="28" t="s">
        <v>10</v>
      </c>
      <c r="D3419" s="28" t="s">
        <v>343</v>
      </c>
      <c r="E3419" s="28" t="s">
        <v>28</v>
      </c>
      <c r="F3419" s="28">
        <v>0</v>
      </c>
      <c r="G3419" s="28" t="s">
        <v>117</v>
      </c>
      <c r="H3419" s="28">
        <v>0</v>
      </c>
      <c r="J3419" s="28"/>
    </row>
    <row r="3420" spans="1:10" ht="15.75" customHeight="1">
      <c r="A3420" s="28">
        <v>19362</v>
      </c>
      <c r="B3420" s="91">
        <v>45122.593425925923</v>
      </c>
      <c r="C3420" s="28" t="s">
        <v>10</v>
      </c>
      <c r="D3420" s="28" t="s">
        <v>342</v>
      </c>
      <c r="E3420" s="28" t="s">
        <v>28</v>
      </c>
      <c r="F3420" s="28">
        <v>15</v>
      </c>
      <c r="G3420" s="28" t="s">
        <v>125</v>
      </c>
      <c r="H3420" s="28">
        <v>0</v>
      </c>
      <c r="J3420" s="28"/>
    </row>
    <row r="3421" spans="1:10" ht="15.75" customHeight="1">
      <c r="A3421" s="28">
        <v>19362</v>
      </c>
      <c r="B3421" s="91">
        <v>45122.593425925923</v>
      </c>
      <c r="C3421" s="28" t="s">
        <v>10</v>
      </c>
      <c r="D3421" s="28" t="s">
        <v>342</v>
      </c>
      <c r="E3421" s="28" t="s">
        <v>28</v>
      </c>
      <c r="F3421" s="28">
        <v>0</v>
      </c>
      <c r="G3421" s="28" t="s">
        <v>117</v>
      </c>
      <c r="H3421" s="28">
        <v>0</v>
      </c>
      <c r="J3421" s="28"/>
    </row>
    <row r="3422" spans="1:10" ht="15.75" customHeight="1">
      <c r="A3422" s="28">
        <v>19363</v>
      </c>
      <c r="B3422" s="91">
        <v>45122.761747685188</v>
      </c>
      <c r="C3422" s="28" t="s">
        <v>10</v>
      </c>
      <c r="D3422" s="28" t="s">
        <v>341</v>
      </c>
      <c r="E3422" s="28" t="s">
        <v>28</v>
      </c>
      <c r="F3422" s="28">
        <v>20</v>
      </c>
      <c r="G3422" s="28" t="s">
        <v>148</v>
      </c>
      <c r="H3422" s="28">
        <v>0</v>
      </c>
      <c r="J3422" s="28"/>
    </row>
    <row r="3423" spans="1:10" ht="15.75" customHeight="1">
      <c r="A3423" s="28">
        <v>19364</v>
      </c>
      <c r="B3423" s="91">
        <v>45122.909062499995</v>
      </c>
      <c r="C3423" s="28" t="s">
        <v>10</v>
      </c>
      <c r="D3423" s="28" t="s">
        <v>340</v>
      </c>
      <c r="E3423" s="28" t="s">
        <v>28</v>
      </c>
      <c r="F3423" s="28">
        <v>25</v>
      </c>
      <c r="G3423" s="28">
        <v>100692</v>
      </c>
      <c r="H3423" s="28">
        <v>0</v>
      </c>
      <c r="J3423" s="28"/>
    </row>
    <row r="3424" spans="1:10" ht="15.75" customHeight="1">
      <c r="A3424" s="28">
        <v>19364</v>
      </c>
      <c r="B3424" s="91">
        <v>45122.909062499995</v>
      </c>
      <c r="C3424" s="28" t="s">
        <v>10</v>
      </c>
      <c r="D3424" s="28" t="s">
        <v>340</v>
      </c>
      <c r="E3424" s="28" t="s">
        <v>28</v>
      </c>
      <c r="F3424" s="28">
        <v>0</v>
      </c>
      <c r="G3424" s="28" t="s">
        <v>125</v>
      </c>
      <c r="H3424" s="28">
        <v>0</v>
      </c>
      <c r="J3424" s="28"/>
    </row>
    <row r="3425" spans="1:10" ht="15.75" customHeight="1">
      <c r="A3425" s="28">
        <v>19364</v>
      </c>
      <c r="B3425" s="91">
        <v>45122.909062499995</v>
      </c>
      <c r="C3425" s="28" t="s">
        <v>10</v>
      </c>
      <c r="D3425" s="28" t="s">
        <v>340</v>
      </c>
      <c r="E3425" s="28" t="s">
        <v>28</v>
      </c>
      <c r="F3425" s="28">
        <v>0</v>
      </c>
      <c r="G3425" s="28" t="s">
        <v>119</v>
      </c>
      <c r="H3425" s="28">
        <v>0</v>
      </c>
      <c r="J3425" s="28"/>
    </row>
    <row r="3426" spans="1:10" ht="15.75" customHeight="1">
      <c r="A3426" s="28">
        <v>19364</v>
      </c>
      <c r="B3426" s="91">
        <v>45122.909062499995</v>
      </c>
      <c r="C3426" s="28" t="s">
        <v>10</v>
      </c>
      <c r="D3426" s="28" t="s">
        <v>340</v>
      </c>
      <c r="E3426" s="28" t="s">
        <v>28</v>
      </c>
      <c r="F3426" s="28">
        <v>0</v>
      </c>
      <c r="G3426" s="28" t="s">
        <v>117</v>
      </c>
      <c r="H3426" s="28">
        <v>0</v>
      </c>
      <c r="J3426" s="28"/>
    </row>
    <row r="3427" spans="1:10" ht="15.75" customHeight="1">
      <c r="A3427" s="28">
        <v>19365</v>
      </c>
      <c r="B3427" s="91">
        <v>45123.73133101852</v>
      </c>
      <c r="C3427" s="28" t="s">
        <v>10</v>
      </c>
      <c r="D3427" s="28" t="s">
        <v>339</v>
      </c>
      <c r="E3427" s="28" t="s">
        <v>28</v>
      </c>
      <c r="F3427" s="28">
        <v>28</v>
      </c>
      <c r="G3427" s="28" t="s">
        <v>143</v>
      </c>
      <c r="H3427" s="28">
        <v>0</v>
      </c>
      <c r="J3427" s="28"/>
    </row>
    <row r="3428" spans="1:10" ht="15.75" customHeight="1">
      <c r="A3428" s="28">
        <v>19365</v>
      </c>
      <c r="B3428" s="91">
        <v>45123.73133101852</v>
      </c>
      <c r="C3428" s="28" t="s">
        <v>10</v>
      </c>
      <c r="D3428" s="28" t="s">
        <v>339</v>
      </c>
      <c r="E3428" s="28" t="s">
        <v>28</v>
      </c>
      <c r="F3428" s="28">
        <v>0</v>
      </c>
      <c r="G3428" s="28" t="s">
        <v>117</v>
      </c>
      <c r="H3428" s="28">
        <v>0</v>
      </c>
      <c r="J3428" s="28"/>
    </row>
    <row r="3429" spans="1:10" ht="15.75" customHeight="1">
      <c r="A3429" s="28">
        <v>19366</v>
      </c>
      <c r="B3429" s="91">
        <v>45123.828819444447</v>
      </c>
      <c r="C3429" s="28" t="s">
        <v>10</v>
      </c>
      <c r="D3429" s="28" t="s">
        <v>338</v>
      </c>
      <c r="E3429" s="28" t="s">
        <v>79</v>
      </c>
      <c r="F3429" s="28">
        <v>0</v>
      </c>
      <c r="G3429" s="28" t="s">
        <v>117</v>
      </c>
      <c r="H3429" s="28">
        <v>0</v>
      </c>
      <c r="J3429" s="28"/>
    </row>
    <row r="3430" spans="1:10" ht="15.75" customHeight="1">
      <c r="A3430" s="28">
        <v>19366</v>
      </c>
      <c r="B3430" s="91">
        <v>45123.828819444447</v>
      </c>
      <c r="C3430" s="28" t="s">
        <v>10</v>
      </c>
      <c r="D3430" s="28" t="s">
        <v>338</v>
      </c>
      <c r="E3430" s="28" t="s">
        <v>79</v>
      </c>
      <c r="F3430" s="28">
        <v>55</v>
      </c>
      <c r="G3430" s="28">
        <v>101684</v>
      </c>
      <c r="H3430" s="28">
        <v>0</v>
      </c>
      <c r="J3430" s="28"/>
    </row>
    <row r="3431" spans="1:10" ht="15.75" customHeight="1">
      <c r="A3431" s="28">
        <v>19366</v>
      </c>
      <c r="B3431" s="91">
        <v>45123.828819444447</v>
      </c>
      <c r="C3431" s="28" t="s">
        <v>10</v>
      </c>
      <c r="D3431" s="28" t="s">
        <v>338</v>
      </c>
      <c r="E3431" s="28" t="s">
        <v>79</v>
      </c>
      <c r="F3431" s="28">
        <v>0</v>
      </c>
      <c r="G3431" s="28" t="s">
        <v>118</v>
      </c>
      <c r="H3431" s="28">
        <v>0</v>
      </c>
      <c r="J3431" s="28"/>
    </row>
    <row r="3432" spans="1:10" ht="15.75" customHeight="1">
      <c r="A3432" s="28">
        <v>19366</v>
      </c>
      <c r="B3432" s="91">
        <v>45123.828819444447</v>
      </c>
      <c r="C3432" s="28" t="s">
        <v>10</v>
      </c>
      <c r="D3432" s="28" t="s">
        <v>338</v>
      </c>
      <c r="E3432" s="28" t="s">
        <v>79</v>
      </c>
      <c r="F3432" s="28">
        <v>0</v>
      </c>
      <c r="G3432" s="28" t="s">
        <v>119</v>
      </c>
      <c r="H3432" s="28">
        <v>0</v>
      </c>
      <c r="J3432" s="28"/>
    </row>
    <row r="3433" spans="1:10" ht="15.75" customHeight="1">
      <c r="A3433" s="28">
        <v>19366</v>
      </c>
      <c r="B3433" s="91">
        <v>45123.828819444447</v>
      </c>
      <c r="C3433" s="28" t="s">
        <v>10</v>
      </c>
      <c r="D3433" s="28" t="s">
        <v>338</v>
      </c>
      <c r="E3433" s="28" t="s">
        <v>79</v>
      </c>
      <c r="F3433" s="28">
        <v>0</v>
      </c>
      <c r="G3433" s="28" t="s">
        <v>120</v>
      </c>
      <c r="H3433" s="28">
        <v>0</v>
      </c>
      <c r="J3433" s="28"/>
    </row>
    <row r="3434" spans="1:10" ht="15.75" customHeight="1">
      <c r="A3434" s="28">
        <v>19366</v>
      </c>
      <c r="B3434" s="91">
        <v>45123.828819444447</v>
      </c>
      <c r="C3434" s="28" t="s">
        <v>10</v>
      </c>
      <c r="D3434" s="28" t="s">
        <v>338</v>
      </c>
      <c r="E3434" s="28" t="s">
        <v>79</v>
      </c>
      <c r="F3434" s="28">
        <v>0</v>
      </c>
      <c r="G3434" s="28" t="s">
        <v>121</v>
      </c>
      <c r="H3434" s="28">
        <v>0</v>
      </c>
      <c r="J3434" s="28"/>
    </row>
    <row r="3435" spans="1:10" ht="15.75" customHeight="1">
      <c r="A3435" s="28">
        <v>19367</v>
      </c>
      <c r="B3435" s="91">
        <v>45124.621168981481</v>
      </c>
      <c r="C3435" s="28" t="s">
        <v>10</v>
      </c>
      <c r="D3435" s="28" t="s">
        <v>337</v>
      </c>
      <c r="E3435" s="28" t="s">
        <v>28</v>
      </c>
      <c r="F3435" s="28">
        <v>15</v>
      </c>
      <c r="G3435" s="28" t="s">
        <v>170</v>
      </c>
      <c r="H3435" s="28">
        <v>0</v>
      </c>
      <c r="J3435" s="28"/>
    </row>
    <row r="3436" spans="1:10" ht="15.75" customHeight="1">
      <c r="A3436" s="28">
        <v>19367</v>
      </c>
      <c r="B3436" s="91">
        <v>45124.621168981481</v>
      </c>
      <c r="C3436" s="28" t="s">
        <v>10</v>
      </c>
      <c r="D3436" s="28" t="s">
        <v>337</v>
      </c>
      <c r="E3436" s="28" t="s">
        <v>28</v>
      </c>
      <c r="F3436" s="28">
        <v>0</v>
      </c>
      <c r="G3436" s="28" t="s">
        <v>117</v>
      </c>
      <c r="H3436" s="28">
        <v>0</v>
      </c>
      <c r="J3436" s="28"/>
    </row>
    <row r="3437" spans="1:10" ht="15.75" customHeight="1">
      <c r="A3437" s="28">
        <v>19368</v>
      </c>
      <c r="B3437" s="91">
        <v>45124.623252314814</v>
      </c>
      <c r="C3437" s="28" t="s">
        <v>10</v>
      </c>
      <c r="D3437" s="28" t="s">
        <v>336</v>
      </c>
      <c r="E3437" s="28" t="s">
        <v>28</v>
      </c>
      <c r="F3437" s="28">
        <v>15</v>
      </c>
      <c r="G3437" s="28" t="s">
        <v>170</v>
      </c>
      <c r="H3437" s="28">
        <v>0</v>
      </c>
      <c r="J3437" s="28"/>
    </row>
    <row r="3438" spans="1:10" ht="15.75" customHeight="1">
      <c r="A3438" s="28">
        <v>19368</v>
      </c>
      <c r="B3438" s="91">
        <v>45124.623252314814</v>
      </c>
      <c r="C3438" s="28" t="s">
        <v>10</v>
      </c>
      <c r="D3438" s="28" t="s">
        <v>336</v>
      </c>
      <c r="E3438" s="28" t="s">
        <v>28</v>
      </c>
      <c r="F3438" s="28">
        <v>0</v>
      </c>
      <c r="G3438" s="28" t="s">
        <v>117</v>
      </c>
      <c r="H3438" s="28">
        <v>0</v>
      </c>
      <c r="J3438" s="28"/>
    </row>
    <row r="3439" spans="1:10" ht="15.75" customHeight="1">
      <c r="A3439" s="28">
        <v>19369</v>
      </c>
      <c r="B3439" s="91">
        <v>45124.82340277778</v>
      </c>
      <c r="C3439" s="28" t="s">
        <v>10</v>
      </c>
      <c r="D3439" s="28" t="s">
        <v>335</v>
      </c>
      <c r="E3439" s="28" t="s">
        <v>28</v>
      </c>
      <c r="F3439" s="28">
        <v>20</v>
      </c>
      <c r="G3439" s="28" t="s">
        <v>148</v>
      </c>
      <c r="H3439" s="28">
        <v>0</v>
      </c>
      <c r="J3439" s="28"/>
    </row>
    <row r="3440" spans="1:10" ht="15.75" customHeight="1">
      <c r="A3440" s="28">
        <v>19370</v>
      </c>
      <c r="B3440" s="91">
        <v>45124.92769675926</v>
      </c>
      <c r="C3440" s="28" t="s">
        <v>10</v>
      </c>
      <c r="D3440" s="28" t="s">
        <v>333</v>
      </c>
      <c r="E3440" s="28" t="s">
        <v>28</v>
      </c>
      <c r="F3440" s="28">
        <v>35</v>
      </c>
      <c r="G3440" s="28" t="s">
        <v>124</v>
      </c>
      <c r="H3440" s="28">
        <v>0</v>
      </c>
      <c r="J3440" s="28"/>
    </row>
    <row r="3441" spans="1:10" ht="15.75" customHeight="1">
      <c r="A3441" s="28">
        <v>19370</v>
      </c>
      <c r="B3441" s="91">
        <v>45124.92769675926</v>
      </c>
      <c r="C3441" s="28" t="s">
        <v>10</v>
      </c>
      <c r="D3441" s="28" t="s">
        <v>333</v>
      </c>
      <c r="E3441" s="28" t="s">
        <v>28</v>
      </c>
      <c r="F3441" s="28">
        <v>0</v>
      </c>
      <c r="G3441" s="28" t="s">
        <v>125</v>
      </c>
      <c r="H3441" s="28">
        <v>0</v>
      </c>
      <c r="J3441" s="28"/>
    </row>
    <row r="3442" spans="1:10" ht="15.75" customHeight="1">
      <c r="A3442" s="28">
        <v>19370</v>
      </c>
      <c r="B3442" s="91">
        <v>45124.92769675926</v>
      </c>
      <c r="C3442" s="28" t="s">
        <v>10</v>
      </c>
      <c r="D3442" s="28" t="s">
        <v>333</v>
      </c>
      <c r="E3442" s="28" t="s">
        <v>28</v>
      </c>
      <c r="F3442" s="28">
        <v>0</v>
      </c>
      <c r="G3442" s="28" t="s">
        <v>119</v>
      </c>
      <c r="H3442" s="28">
        <v>0</v>
      </c>
      <c r="J3442" s="28"/>
    </row>
    <row r="3443" spans="1:10" ht="15.75" customHeight="1">
      <c r="A3443" s="28">
        <v>19370</v>
      </c>
      <c r="B3443" s="91">
        <v>45124.92769675926</v>
      </c>
      <c r="C3443" s="28" t="s">
        <v>10</v>
      </c>
      <c r="D3443" s="28" t="s">
        <v>333</v>
      </c>
      <c r="E3443" s="28" t="s">
        <v>28</v>
      </c>
      <c r="F3443" s="28">
        <v>0</v>
      </c>
      <c r="G3443" s="28" t="s">
        <v>121</v>
      </c>
      <c r="H3443" s="28">
        <v>0</v>
      </c>
      <c r="J3443" s="28"/>
    </row>
    <row r="3444" spans="1:10" ht="15.75" customHeight="1">
      <c r="A3444" s="28">
        <v>19370</v>
      </c>
      <c r="B3444" s="91">
        <v>45124.92769675926</v>
      </c>
      <c r="C3444" s="28" t="s">
        <v>10</v>
      </c>
      <c r="D3444" s="28" t="s">
        <v>333</v>
      </c>
      <c r="E3444" s="28" t="s">
        <v>28</v>
      </c>
      <c r="F3444" s="28">
        <v>10</v>
      </c>
      <c r="G3444" s="28" t="s">
        <v>334</v>
      </c>
      <c r="H3444" s="28">
        <v>0</v>
      </c>
      <c r="J3444" s="28"/>
    </row>
    <row r="3445" spans="1:10" ht="15.75" customHeight="1">
      <c r="A3445" s="28">
        <v>19370</v>
      </c>
      <c r="B3445" s="91">
        <v>45124.92769675926</v>
      </c>
      <c r="C3445" s="28" t="s">
        <v>10</v>
      </c>
      <c r="D3445" s="28" t="s">
        <v>333</v>
      </c>
      <c r="E3445" s="28" t="s">
        <v>28</v>
      </c>
      <c r="F3445" s="28">
        <v>26</v>
      </c>
      <c r="G3445" s="28" t="s">
        <v>122</v>
      </c>
      <c r="H3445" s="28">
        <v>0</v>
      </c>
      <c r="J3445" s="28"/>
    </row>
    <row r="3446" spans="1:10" ht="15.75" customHeight="1">
      <c r="A3446" s="28">
        <v>19371</v>
      </c>
      <c r="B3446" s="91">
        <v>45124.955277777779</v>
      </c>
      <c r="C3446" s="28" t="s">
        <v>10</v>
      </c>
      <c r="D3446" s="28" t="s">
        <v>332</v>
      </c>
      <c r="E3446" s="28" t="s">
        <v>28</v>
      </c>
      <c r="F3446" s="28">
        <v>0</v>
      </c>
      <c r="G3446" s="28" t="s">
        <v>117</v>
      </c>
      <c r="H3446" s="28">
        <v>0</v>
      </c>
      <c r="J3446" s="28"/>
    </row>
    <row r="3447" spans="1:10" ht="15.75" customHeight="1">
      <c r="A3447" s="28">
        <v>19372</v>
      </c>
      <c r="B3447" s="91">
        <v>45125.030729166669</v>
      </c>
      <c r="C3447" s="28" t="s">
        <v>10</v>
      </c>
      <c r="D3447" s="28" t="s">
        <v>331</v>
      </c>
      <c r="E3447" s="28" t="s">
        <v>79</v>
      </c>
      <c r="F3447" s="28">
        <v>0</v>
      </c>
      <c r="G3447" s="28" t="s">
        <v>117</v>
      </c>
      <c r="H3447" s="28">
        <v>0</v>
      </c>
      <c r="J3447" s="28"/>
    </row>
    <row r="3448" spans="1:10" ht="15.75" customHeight="1">
      <c r="A3448" s="28">
        <v>19372</v>
      </c>
      <c r="B3448" s="91">
        <v>45125.030729166669</v>
      </c>
      <c r="C3448" s="28" t="s">
        <v>10</v>
      </c>
      <c r="D3448" s="28" t="s">
        <v>331</v>
      </c>
      <c r="E3448" s="28" t="s">
        <v>79</v>
      </c>
      <c r="F3448" s="28">
        <v>25</v>
      </c>
      <c r="G3448" s="28">
        <v>100692</v>
      </c>
      <c r="H3448" s="28">
        <v>0</v>
      </c>
      <c r="J3448" s="28"/>
    </row>
    <row r="3449" spans="1:10" ht="15.75" customHeight="1">
      <c r="A3449" s="28">
        <v>19372</v>
      </c>
      <c r="B3449" s="91">
        <v>45125.030729166669</v>
      </c>
      <c r="C3449" s="28" t="s">
        <v>10</v>
      </c>
      <c r="D3449" s="28" t="s">
        <v>331</v>
      </c>
      <c r="E3449" s="28" t="s">
        <v>79</v>
      </c>
      <c r="F3449" s="28">
        <v>0</v>
      </c>
      <c r="G3449" s="28" t="s">
        <v>125</v>
      </c>
      <c r="H3449" s="28">
        <v>0</v>
      </c>
      <c r="J3449" s="28"/>
    </row>
    <row r="3450" spans="1:10" ht="15.75" customHeight="1">
      <c r="A3450" s="28">
        <v>19372</v>
      </c>
      <c r="B3450" s="91">
        <v>45125.030729166669</v>
      </c>
      <c r="C3450" s="28" t="s">
        <v>10</v>
      </c>
      <c r="D3450" s="28" t="s">
        <v>331</v>
      </c>
      <c r="E3450" s="28" t="s">
        <v>79</v>
      </c>
      <c r="F3450" s="28">
        <v>0</v>
      </c>
      <c r="G3450" s="28" t="s">
        <v>119</v>
      </c>
      <c r="H3450" s="28">
        <v>0</v>
      </c>
      <c r="J3450" s="28"/>
    </row>
    <row r="3451" spans="1:10" ht="15.75" customHeight="1">
      <c r="A3451" s="28">
        <v>19373</v>
      </c>
      <c r="B3451" s="91">
        <v>45125.046122685184</v>
      </c>
      <c r="C3451" s="28" t="s">
        <v>10</v>
      </c>
      <c r="D3451" s="28" t="s">
        <v>330</v>
      </c>
      <c r="E3451" s="28" t="s">
        <v>79</v>
      </c>
      <c r="F3451" s="28">
        <v>15</v>
      </c>
      <c r="G3451" s="28" t="s">
        <v>170</v>
      </c>
      <c r="H3451" s="28">
        <v>0</v>
      </c>
      <c r="J3451" s="28"/>
    </row>
    <row r="3452" spans="1:10" ht="15.75" customHeight="1">
      <c r="A3452" s="28">
        <v>19374</v>
      </c>
      <c r="B3452" s="91">
        <v>45125.075196759259</v>
      </c>
      <c r="C3452" s="28" t="s">
        <v>10</v>
      </c>
      <c r="D3452" s="28" t="s">
        <v>329</v>
      </c>
      <c r="E3452" s="28" t="s">
        <v>28</v>
      </c>
      <c r="F3452" s="28">
        <v>25</v>
      </c>
      <c r="G3452" s="28">
        <v>100692</v>
      </c>
      <c r="H3452" s="28">
        <v>0</v>
      </c>
      <c r="J3452" s="28"/>
    </row>
    <row r="3453" spans="1:10" ht="15.75" customHeight="1">
      <c r="A3453" s="28">
        <v>19374</v>
      </c>
      <c r="B3453" s="91">
        <v>45125.075196759259</v>
      </c>
      <c r="C3453" s="28" t="s">
        <v>10</v>
      </c>
      <c r="D3453" s="28" t="s">
        <v>329</v>
      </c>
      <c r="E3453" s="28" t="s">
        <v>28</v>
      </c>
      <c r="F3453" s="28">
        <v>0</v>
      </c>
      <c r="G3453" s="28" t="s">
        <v>125</v>
      </c>
      <c r="H3453" s="28">
        <v>0</v>
      </c>
      <c r="J3453" s="28"/>
    </row>
    <row r="3454" spans="1:10" ht="15.75" customHeight="1">
      <c r="A3454" s="28">
        <v>19374</v>
      </c>
      <c r="B3454" s="91">
        <v>45125.075196759259</v>
      </c>
      <c r="C3454" s="28" t="s">
        <v>10</v>
      </c>
      <c r="D3454" s="28" t="s">
        <v>329</v>
      </c>
      <c r="E3454" s="28" t="s">
        <v>28</v>
      </c>
      <c r="F3454" s="28">
        <v>0</v>
      </c>
      <c r="G3454" s="28" t="s">
        <v>119</v>
      </c>
      <c r="H3454" s="28">
        <v>0</v>
      </c>
      <c r="J3454" s="28"/>
    </row>
    <row r="3455" spans="1:10" ht="15.75" customHeight="1">
      <c r="A3455" s="28">
        <v>19374</v>
      </c>
      <c r="B3455" s="91">
        <v>45125.075196759259</v>
      </c>
      <c r="C3455" s="28" t="s">
        <v>10</v>
      </c>
      <c r="D3455" s="28" t="s">
        <v>329</v>
      </c>
      <c r="E3455" s="28" t="s">
        <v>28</v>
      </c>
      <c r="F3455" s="28">
        <v>0</v>
      </c>
      <c r="G3455" s="28" t="s">
        <v>117</v>
      </c>
      <c r="H3455" s="28">
        <v>0</v>
      </c>
      <c r="J3455" s="28"/>
    </row>
    <row r="3456" spans="1:10" ht="15.75" customHeight="1">
      <c r="A3456" s="28">
        <v>19374</v>
      </c>
      <c r="B3456" s="91">
        <v>45125.075196759259</v>
      </c>
      <c r="C3456" s="28" t="s">
        <v>10</v>
      </c>
      <c r="D3456" s="28" t="s">
        <v>329</v>
      </c>
      <c r="E3456" s="28" t="s">
        <v>28</v>
      </c>
      <c r="F3456" s="28">
        <v>15</v>
      </c>
      <c r="G3456" s="28" t="s">
        <v>170</v>
      </c>
      <c r="H3456" s="28">
        <v>0</v>
      </c>
      <c r="J3456" s="28"/>
    </row>
    <row r="3457" spans="1:10" ht="15.75" customHeight="1">
      <c r="A3457" s="28">
        <v>19378</v>
      </c>
      <c r="B3457" s="91">
        <v>45125.082615740743</v>
      </c>
      <c r="C3457" s="28" t="s">
        <v>10</v>
      </c>
      <c r="D3457" s="28" t="s">
        <v>328</v>
      </c>
      <c r="E3457" s="28" t="s">
        <v>79</v>
      </c>
      <c r="F3457" s="28">
        <v>44</v>
      </c>
      <c r="G3457" s="28" t="s">
        <v>137</v>
      </c>
      <c r="H3457" s="28">
        <v>0</v>
      </c>
      <c r="J3457" s="28"/>
    </row>
    <row r="3458" spans="1:10" ht="15.75" customHeight="1">
      <c r="A3458" s="28">
        <v>19413</v>
      </c>
      <c r="B3458" s="91">
        <v>45125.098715277782</v>
      </c>
      <c r="C3458" s="28" t="s">
        <v>10</v>
      </c>
      <c r="D3458" s="28" t="s">
        <v>327</v>
      </c>
      <c r="E3458" s="28" t="s">
        <v>79</v>
      </c>
      <c r="F3458" s="28">
        <v>35</v>
      </c>
      <c r="G3458" s="28" t="s">
        <v>124</v>
      </c>
      <c r="H3458" s="28">
        <v>0</v>
      </c>
      <c r="J3458" s="28"/>
    </row>
    <row r="3459" spans="1:10" ht="15.75" customHeight="1">
      <c r="A3459" s="28">
        <v>19413</v>
      </c>
      <c r="B3459" s="91">
        <v>45125.098715277782</v>
      </c>
      <c r="C3459" s="28" t="s">
        <v>10</v>
      </c>
      <c r="D3459" s="28" t="s">
        <v>327</v>
      </c>
      <c r="E3459" s="28" t="s">
        <v>79</v>
      </c>
      <c r="F3459" s="28">
        <v>0</v>
      </c>
      <c r="G3459" s="28" t="s">
        <v>125</v>
      </c>
      <c r="H3459" s="28">
        <v>0</v>
      </c>
      <c r="J3459" s="28"/>
    </row>
    <row r="3460" spans="1:10" ht="15.75" customHeight="1">
      <c r="A3460" s="28">
        <v>19413</v>
      </c>
      <c r="B3460" s="91">
        <v>45125.098715277782</v>
      </c>
      <c r="C3460" s="28" t="s">
        <v>10</v>
      </c>
      <c r="D3460" s="28" t="s">
        <v>327</v>
      </c>
      <c r="E3460" s="28" t="s">
        <v>79</v>
      </c>
      <c r="F3460" s="28">
        <v>0</v>
      </c>
      <c r="G3460" s="28" t="s">
        <v>119</v>
      </c>
      <c r="H3460" s="28">
        <v>0</v>
      </c>
      <c r="J3460" s="28"/>
    </row>
    <row r="3461" spans="1:10" ht="15.75" customHeight="1">
      <c r="A3461" s="28">
        <v>19413</v>
      </c>
      <c r="B3461" s="91">
        <v>45125.098715277782</v>
      </c>
      <c r="C3461" s="28" t="s">
        <v>10</v>
      </c>
      <c r="D3461" s="28" t="s">
        <v>327</v>
      </c>
      <c r="E3461" s="28" t="s">
        <v>79</v>
      </c>
      <c r="F3461" s="28">
        <v>0</v>
      </c>
      <c r="G3461" s="28" t="s">
        <v>121</v>
      </c>
      <c r="H3461" s="28">
        <v>0</v>
      </c>
      <c r="J3461" s="28"/>
    </row>
    <row r="3462" spans="1:10" ht="15.75" customHeight="1">
      <c r="A3462" s="28">
        <v>19414</v>
      </c>
      <c r="B3462" s="91">
        <v>45125.102094907408</v>
      </c>
      <c r="C3462" s="28" t="s">
        <v>10</v>
      </c>
      <c r="D3462" s="28" t="s">
        <v>326</v>
      </c>
      <c r="E3462" s="28" t="s">
        <v>79</v>
      </c>
      <c r="F3462" s="28">
        <v>25</v>
      </c>
      <c r="G3462" s="28" t="s">
        <v>118</v>
      </c>
      <c r="H3462" s="28">
        <v>0</v>
      </c>
      <c r="J3462" s="28"/>
    </row>
    <row r="3463" spans="1:10" ht="15.75" customHeight="1">
      <c r="A3463" s="28">
        <v>19423</v>
      </c>
      <c r="B3463" s="91">
        <v>45125.109791666662</v>
      </c>
      <c r="C3463" s="28" t="s">
        <v>10</v>
      </c>
      <c r="D3463" s="28" t="s">
        <v>325</v>
      </c>
      <c r="E3463" s="28" t="s">
        <v>79</v>
      </c>
      <c r="F3463" s="28">
        <v>25</v>
      </c>
      <c r="G3463" s="28">
        <v>100692</v>
      </c>
      <c r="H3463" s="28">
        <v>0</v>
      </c>
      <c r="J3463" s="28"/>
    </row>
    <row r="3464" spans="1:10" ht="15.75" customHeight="1">
      <c r="A3464" s="28">
        <v>19423</v>
      </c>
      <c r="B3464" s="91">
        <v>45125.109791666662</v>
      </c>
      <c r="C3464" s="28" t="s">
        <v>10</v>
      </c>
      <c r="D3464" s="28" t="s">
        <v>325</v>
      </c>
      <c r="E3464" s="28" t="s">
        <v>79</v>
      </c>
      <c r="F3464" s="28">
        <v>0</v>
      </c>
      <c r="G3464" s="28" t="s">
        <v>125</v>
      </c>
      <c r="H3464" s="28">
        <v>0</v>
      </c>
      <c r="J3464" s="28"/>
    </row>
    <row r="3465" spans="1:10" ht="15.75" customHeight="1">
      <c r="A3465" s="28">
        <v>19423</v>
      </c>
      <c r="B3465" s="91">
        <v>45125.109791666662</v>
      </c>
      <c r="C3465" s="28" t="s">
        <v>10</v>
      </c>
      <c r="D3465" s="28" t="s">
        <v>325</v>
      </c>
      <c r="E3465" s="28" t="s">
        <v>79</v>
      </c>
      <c r="F3465" s="28">
        <v>0</v>
      </c>
      <c r="G3465" s="28" t="s">
        <v>119</v>
      </c>
      <c r="H3465" s="28">
        <v>0</v>
      </c>
      <c r="J3465" s="28"/>
    </row>
    <row r="3466" spans="1:10" ht="15.75" customHeight="1">
      <c r="A3466" s="28">
        <v>19424</v>
      </c>
      <c r="B3466" s="91">
        <v>45125.111608796295</v>
      </c>
      <c r="C3466" s="28" t="s">
        <v>10</v>
      </c>
      <c r="D3466" s="28" t="s">
        <v>324</v>
      </c>
      <c r="E3466" s="28" t="s">
        <v>79</v>
      </c>
      <c r="F3466" s="28">
        <v>25</v>
      </c>
      <c r="G3466" s="28">
        <v>100692</v>
      </c>
      <c r="H3466" s="28">
        <v>0</v>
      </c>
      <c r="J3466" s="28"/>
    </row>
    <row r="3467" spans="1:10" ht="15.75" customHeight="1">
      <c r="A3467" s="28">
        <v>19424</v>
      </c>
      <c r="B3467" s="91">
        <v>45125.111608796295</v>
      </c>
      <c r="C3467" s="28" t="s">
        <v>10</v>
      </c>
      <c r="D3467" s="28" t="s">
        <v>324</v>
      </c>
      <c r="E3467" s="28" t="s">
        <v>79</v>
      </c>
      <c r="F3467" s="28">
        <v>0</v>
      </c>
      <c r="G3467" s="28" t="s">
        <v>125</v>
      </c>
      <c r="H3467" s="28">
        <v>0</v>
      </c>
      <c r="J3467" s="28"/>
    </row>
    <row r="3468" spans="1:10" ht="15.75" customHeight="1">
      <c r="A3468" s="28">
        <v>19424</v>
      </c>
      <c r="B3468" s="91">
        <v>45125.111608796295</v>
      </c>
      <c r="C3468" s="28" t="s">
        <v>10</v>
      </c>
      <c r="D3468" s="28" t="s">
        <v>324</v>
      </c>
      <c r="E3468" s="28" t="s">
        <v>79</v>
      </c>
      <c r="F3468" s="28">
        <v>0</v>
      </c>
      <c r="G3468" s="28" t="s">
        <v>119</v>
      </c>
      <c r="H3468" s="28">
        <v>0</v>
      </c>
      <c r="J3468" s="28"/>
    </row>
    <row r="3469" spans="1:10" ht="15.75" customHeight="1">
      <c r="A3469" s="28">
        <v>19425</v>
      </c>
      <c r="B3469" s="91">
        <v>45125.562638888892</v>
      </c>
      <c r="C3469" s="28" t="s">
        <v>10</v>
      </c>
      <c r="D3469" s="28" t="s">
        <v>323</v>
      </c>
      <c r="E3469" s="28" t="s">
        <v>28</v>
      </c>
      <c r="F3469" s="28">
        <v>26</v>
      </c>
      <c r="G3469" s="28" t="s">
        <v>122</v>
      </c>
      <c r="H3469" s="28">
        <v>0</v>
      </c>
      <c r="J3469" s="28"/>
    </row>
    <row r="3470" spans="1:10" ht="15.75" customHeight="1">
      <c r="A3470" s="28">
        <v>19426</v>
      </c>
      <c r="B3470" s="91">
        <v>45125.58766203704</v>
      </c>
      <c r="C3470" s="28" t="s">
        <v>10</v>
      </c>
      <c r="D3470" s="28" t="s">
        <v>322</v>
      </c>
      <c r="E3470" s="28" t="s">
        <v>79</v>
      </c>
      <c r="F3470" s="28">
        <v>18</v>
      </c>
      <c r="G3470" s="28" t="s">
        <v>119</v>
      </c>
      <c r="H3470" s="28">
        <v>0</v>
      </c>
      <c r="J3470" s="28"/>
    </row>
    <row r="3471" spans="1:10" ht="15.75" customHeight="1">
      <c r="A3471" s="28">
        <v>19427</v>
      </c>
      <c r="B3471" s="91">
        <v>45125.670370370368</v>
      </c>
      <c r="C3471" s="28" t="s">
        <v>10</v>
      </c>
      <c r="D3471" s="28" t="s">
        <v>321</v>
      </c>
      <c r="E3471" s="28" t="s">
        <v>28</v>
      </c>
      <c r="F3471" s="28">
        <v>26</v>
      </c>
      <c r="G3471" s="28" t="s">
        <v>122</v>
      </c>
      <c r="H3471" s="28">
        <v>0</v>
      </c>
      <c r="J3471" s="28"/>
    </row>
    <row r="3472" spans="1:10" ht="15.75" customHeight="1">
      <c r="A3472" s="28">
        <v>19427</v>
      </c>
      <c r="B3472" s="91">
        <v>45125.670370370368</v>
      </c>
      <c r="C3472" s="28" t="s">
        <v>10</v>
      </c>
      <c r="D3472" s="28" t="s">
        <v>321</v>
      </c>
      <c r="E3472" s="28" t="s">
        <v>28</v>
      </c>
      <c r="F3472" s="28">
        <v>26</v>
      </c>
      <c r="G3472" s="28" t="s">
        <v>122</v>
      </c>
      <c r="H3472" s="28">
        <v>0</v>
      </c>
      <c r="J3472" s="28"/>
    </row>
    <row r="3473" spans="1:10" ht="15.75" customHeight="1">
      <c r="A3473" s="28">
        <v>19428</v>
      </c>
      <c r="B3473" s="91">
        <v>45125.748518518521</v>
      </c>
      <c r="C3473" s="28" t="s">
        <v>10</v>
      </c>
      <c r="D3473" s="28" t="s">
        <v>320</v>
      </c>
      <c r="E3473" s="28" t="s">
        <v>28</v>
      </c>
      <c r="F3473" s="28">
        <v>15</v>
      </c>
      <c r="G3473" s="28" t="s">
        <v>125</v>
      </c>
      <c r="H3473" s="28">
        <v>0</v>
      </c>
      <c r="J3473" s="28"/>
    </row>
    <row r="3474" spans="1:10" ht="15.75" customHeight="1">
      <c r="A3474" s="28">
        <v>19429</v>
      </c>
      <c r="B3474" s="91">
        <v>45125.755150462966</v>
      </c>
      <c r="C3474" s="28" t="s">
        <v>10</v>
      </c>
      <c r="D3474" s="28" t="s">
        <v>319</v>
      </c>
      <c r="E3474" s="28" t="s">
        <v>28</v>
      </c>
      <c r="F3474" s="28">
        <v>35</v>
      </c>
      <c r="G3474" s="28" t="s">
        <v>124</v>
      </c>
      <c r="H3474" s="28">
        <v>0</v>
      </c>
      <c r="J3474" s="28"/>
    </row>
    <row r="3475" spans="1:10" ht="15.75" customHeight="1">
      <c r="A3475" s="28">
        <v>19429</v>
      </c>
      <c r="B3475" s="91">
        <v>45125.755150462966</v>
      </c>
      <c r="C3475" s="28" t="s">
        <v>10</v>
      </c>
      <c r="D3475" s="28" t="s">
        <v>319</v>
      </c>
      <c r="E3475" s="28" t="s">
        <v>28</v>
      </c>
      <c r="F3475" s="28">
        <v>0</v>
      </c>
      <c r="G3475" s="28" t="s">
        <v>125</v>
      </c>
      <c r="H3475" s="28">
        <v>0</v>
      </c>
      <c r="J3475" s="28"/>
    </row>
    <row r="3476" spans="1:10" ht="15.75" customHeight="1">
      <c r="A3476" s="28">
        <v>19429</v>
      </c>
      <c r="B3476" s="91">
        <v>45125.755150462966</v>
      </c>
      <c r="C3476" s="28" t="s">
        <v>10</v>
      </c>
      <c r="D3476" s="28" t="s">
        <v>319</v>
      </c>
      <c r="E3476" s="28" t="s">
        <v>28</v>
      </c>
      <c r="F3476" s="28">
        <v>0</v>
      </c>
      <c r="G3476" s="28" t="s">
        <v>119</v>
      </c>
      <c r="H3476" s="28">
        <v>0</v>
      </c>
      <c r="J3476" s="28"/>
    </row>
    <row r="3477" spans="1:10" ht="15.75" customHeight="1">
      <c r="A3477" s="28">
        <v>19429</v>
      </c>
      <c r="B3477" s="91">
        <v>45125.755150462966</v>
      </c>
      <c r="C3477" s="28" t="s">
        <v>10</v>
      </c>
      <c r="D3477" s="28" t="s">
        <v>319</v>
      </c>
      <c r="E3477" s="28" t="s">
        <v>28</v>
      </c>
      <c r="F3477" s="28">
        <v>0</v>
      </c>
      <c r="G3477" s="28" t="s">
        <v>121</v>
      </c>
      <c r="H3477" s="28">
        <v>0</v>
      </c>
      <c r="J3477" s="28"/>
    </row>
    <row r="3478" spans="1:10" ht="15.75" customHeight="1">
      <c r="A3478" s="28">
        <v>19430</v>
      </c>
      <c r="B3478" s="91">
        <v>45125.756099537037</v>
      </c>
      <c r="C3478" s="28" t="s">
        <v>10</v>
      </c>
      <c r="D3478" s="28" t="s">
        <v>318</v>
      </c>
      <c r="E3478" s="28" t="s">
        <v>28</v>
      </c>
      <c r="F3478" s="28">
        <v>0</v>
      </c>
      <c r="G3478" s="28" t="s">
        <v>117</v>
      </c>
      <c r="H3478" s="28">
        <v>0</v>
      </c>
      <c r="J3478" s="28"/>
    </row>
    <row r="3479" spans="1:10" ht="15.75" customHeight="1">
      <c r="A3479" s="28">
        <v>19431</v>
      </c>
      <c r="B3479" s="91">
        <v>45125.771527777775</v>
      </c>
      <c r="C3479" s="28" t="s">
        <v>10</v>
      </c>
      <c r="D3479" s="28" t="s">
        <v>317</v>
      </c>
      <c r="E3479" s="28" t="s">
        <v>28</v>
      </c>
      <c r="F3479" s="28">
        <v>20</v>
      </c>
      <c r="G3479" s="28" t="s">
        <v>205</v>
      </c>
      <c r="H3479" s="28">
        <v>0</v>
      </c>
      <c r="J3479" s="28"/>
    </row>
    <row r="3480" spans="1:10" ht="15.75" customHeight="1">
      <c r="A3480" s="28">
        <v>19431</v>
      </c>
      <c r="B3480" s="91">
        <v>45125.771527777775</v>
      </c>
      <c r="C3480" s="28" t="s">
        <v>10</v>
      </c>
      <c r="D3480" s="28" t="s">
        <v>317</v>
      </c>
      <c r="E3480" s="28" t="s">
        <v>28</v>
      </c>
      <c r="F3480" s="28">
        <v>0</v>
      </c>
      <c r="G3480" s="28" t="s">
        <v>125</v>
      </c>
      <c r="H3480" s="28">
        <v>0</v>
      </c>
      <c r="J3480" s="28"/>
    </row>
    <row r="3481" spans="1:10" ht="15.75" customHeight="1">
      <c r="A3481" s="28">
        <v>19432</v>
      </c>
      <c r="B3481" s="91">
        <v>45125.775810185187</v>
      </c>
      <c r="C3481" s="28" t="s">
        <v>8</v>
      </c>
      <c r="D3481" s="28" t="s">
        <v>317</v>
      </c>
      <c r="E3481" s="28" t="s">
        <v>28</v>
      </c>
      <c r="F3481" s="28">
        <v>0</v>
      </c>
      <c r="G3481" s="28" t="s">
        <v>117</v>
      </c>
      <c r="H3481" s="28">
        <v>0</v>
      </c>
      <c r="J3481" s="28"/>
    </row>
    <row r="3482" spans="1:10" ht="15.75" customHeight="1">
      <c r="A3482" s="28">
        <v>19433</v>
      </c>
      <c r="B3482" s="91">
        <v>45125.840416666666</v>
      </c>
      <c r="C3482" s="28" t="s">
        <v>10</v>
      </c>
      <c r="D3482" s="28" t="s">
        <v>316</v>
      </c>
      <c r="E3482" s="28" t="s">
        <v>28</v>
      </c>
      <c r="F3482" s="28">
        <v>15</v>
      </c>
      <c r="G3482" s="28" t="s">
        <v>170</v>
      </c>
      <c r="H3482" s="28">
        <v>0</v>
      </c>
      <c r="J3482" s="28"/>
    </row>
    <row r="3483" spans="1:10" ht="15.75" customHeight="1">
      <c r="A3483" s="28">
        <v>19434</v>
      </c>
      <c r="B3483" s="91">
        <v>45125.845995370371</v>
      </c>
      <c r="C3483" s="28" t="s">
        <v>10</v>
      </c>
      <c r="D3483" s="28" t="s">
        <v>315</v>
      </c>
      <c r="E3483" s="28" t="s">
        <v>28</v>
      </c>
      <c r="F3483" s="28">
        <v>28</v>
      </c>
      <c r="G3483" s="28" t="s">
        <v>143</v>
      </c>
      <c r="H3483" s="28">
        <v>0</v>
      </c>
      <c r="J3483" s="28"/>
    </row>
    <row r="3484" spans="1:10" ht="15.75" customHeight="1">
      <c r="A3484" s="28">
        <v>19435</v>
      </c>
      <c r="B3484" s="91">
        <v>45125.857245370367</v>
      </c>
      <c r="C3484" s="28" t="s">
        <v>10</v>
      </c>
      <c r="D3484" s="28" t="s">
        <v>314</v>
      </c>
      <c r="E3484" s="28" t="s">
        <v>28</v>
      </c>
      <c r="F3484" s="28">
        <v>28</v>
      </c>
      <c r="G3484" s="28" t="s">
        <v>143</v>
      </c>
      <c r="H3484" s="28">
        <v>0</v>
      </c>
      <c r="J3484" s="28"/>
    </row>
    <row r="3485" spans="1:10" ht="15.75" customHeight="1">
      <c r="A3485" s="28">
        <v>19435</v>
      </c>
      <c r="B3485" s="91">
        <v>45125.857245370367</v>
      </c>
      <c r="C3485" s="28" t="s">
        <v>10</v>
      </c>
      <c r="D3485" s="28" t="s">
        <v>314</v>
      </c>
      <c r="E3485" s="28" t="s">
        <v>28</v>
      </c>
      <c r="F3485" s="28">
        <v>0</v>
      </c>
      <c r="G3485" s="28" t="s">
        <v>117</v>
      </c>
      <c r="H3485" s="28">
        <v>0</v>
      </c>
      <c r="J3485" s="28"/>
    </row>
    <row r="3486" spans="1:10" ht="15.75" customHeight="1">
      <c r="A3486" s="28">
        <v>19436</v>
      </c>
      <c r="B3486" s="91">
        <v>45125.883553240739</v>
      </c>
      <c r="C3486" s="28" t="s">
        <v>10</v>
      </c>
      <c r="D3486" s="28" t="s">
        <v>313</v>
      </c>
      <c r="E3486" s="28" t="s">
        <v>28</v>
      </c>
      <c r="F3486" s="28">
        <v>0</v>
      </c>
      <c r="G3486" s="28" t="s">
        <v>117</v>
      </c>
      <c r="H3486" s="28">
        <v>0</v>
      </c>
      <c r="J3486" s="28"/>
    </row>
    <row r="3487" spans="1:10" ht="15.75" customHeight="1">
      <c r="A3487" s="28">
        <v>19437</v>
      </c>
      <c r="B3487" s="91">
        <v>45125.886736111112</v>
      </c>
      <c r="C3487" s="28" t="s">
        <v>10</v>
      </c>
      <c r="D3487" s="28" t="s">
        <v>312</v>
      </c>
      <c r="E3487" s="28" t="s">
        <v>28</v>
      </c>
      <c r="F3487" s="28">
        <v>25</v>
      </c>
      <c r="G3487" s="28">
        <v>100692</v>
      </c>
      <c r="H3487" s="28">
        <v>0</v>
      </c>
      <c r="J3487" s="28"/>
    </row>
    <row r="3488" spans="1:10" ht="15.75" customHeight="1">
      <c r="A3488" s="28">
        <v>19437</v>
      </c>
      <c r="B3488" s="91">
        <v>45125.886736111112</v>
      </c>
      <c r="C3488" s="28" t="s">
        <v>10</v>
      </c>
      <c r="D3488" s="28" t="s">
        <v>312</v>
      </c>
      <c r="E3488" s="28" t="s">
        <v>28</v>
      </c>
      <c r="F3488" s="28">
        <v>0</v>
      </c>
      <c r="G3488" s="28" t="s">
        <v>125</v>
      </c>
      <c r="H3488" s="28">
        <v>0</v>
      </c>
      <c r="J3488" s="28"/>
    </row>
    <row r="3489" spans="1:10" ht="15.75" customHeight="1">
      <c r="A3489" s="28">
        <v>19437</v>
      </c>
      <c r="B3489" s="91">
        <v>45125.886736111112</v>
      </c>
      <c r="C3489" s="28" t="s">
        <v>10</v>
      </c>
      <c r="D3489" s="28" t="s">
        <v>312</v>
      </c>
      <c r="E3489" s="28" t="s">
        <v>28</v>
      </c>
      <c r="F3489" s="28">
        <v>0</v>
      </c>
      <c r="G3489" s="28" t="s">
        <v>119</v>
      </c>
      <c r="H3489" s="28">
        <v>0</v>
      </c>
      <c r="J3489" s="28"/>
    </row>
    <row r="3490" spans="1:10" ht="15.75" customHeight="1">
      <c r="A3490" s="28">
        <v>19438</v>
      </c>
      <c r="B3490" s="91">
        <v>45125.890590277777</v>
      </c>
      <c r="C3490" s="28" t="s">
        <v>10</v>
      </c>
      <c r="D3490" s="28" t="s">
        <v>311</v>
      </c>
      <c r="E3490" s="28" t="s">
        <v>28</v>
      </c>
      <c r="F3490" s="28">
        <v>0</v>
      </c>
      <c r="G3490" s="28" t="s">
        <v>117</v>
      </c>
      <c r="H3490" s="28">
        <v>0</v>
      </c>
      <c r="J3490" s="28"/>
    </row>
    <row r="3491" spans="1:10" ht="15.75" customHeight="1">
      <c r="A3491" s="28">
        <v>19438</v>
      </c>
      <c r="B3491" s="91">
        <v>45125.890590277777</v>
      </c>
      <c r="C3491" s="28" t="s">
        <v>10</v>
      </c>
      <c r="D3491" s="28" t="s">
        <v>311</v>
      </c>
      <c r="E3491" s="28" t="s">
        <v>28</v>
      </c>
      <c r="F3491" s="28">
        <v>25</v>
      </c>
      <c r="G3491" s="28">
        <v>100692</v>
      </c>
      <c r="H3491" s="28">
        <v>0</v>
      </c>
      <c r="J3491" s="28"/>
    </row>
    <row r="3492" spans="1:10" ht="15.75" customHeight="1">
      <c r="A3492" s="28">
        <v>19438</v>
      </c>
      <c r="B3492" s="91">
        <v>45125.890590277777</v>
      </c>
      <c r="C3492" s="28" t="s">
        <v>10</v>
      </c>
      <c r="D3492" s="28" t="s">
        <v>311</v>
      </c>
      <c r="E3492" s="28" t="s">
        <v>28</v>
      </c>
      <c r="F3492" s="28">
        <v>0</v>
      </c>
      <c r="G3492" s="28" t="s">
        <v>125</v>
      </c>
      <c r="H3492" s="28">
        <v>0</v>
      </c>
      <c r="J3492" s="28"/>
    </row>
    <row r="3493" spans="1:10" ht="15.75" customHeight="1">
      <c r="A3493" s="28">
        <v>19438</v>
      </c>
      <c r="B3493" s="91">
        <v>45125.890590277777</v>
      </c>
      <c r="C3493" s="28" t="s">
        <v>10</v>
      </c>
      <c r="D3493" s="28" t="s">
        <v>311</v>
      </c>
      <c r="E3493" s="28" t="s">
        <v>28</v>
      </c>
      <c r="F3493" s="28">
        <v>0</v>
      </c>
      <c r="G3493" s="28" t="s">
        <v>119</v>
      </c>
      <c r="H3493" s="28">
        <v>0</v>
      </c>
      <c r="J3493" s="28"/>
    </row>
    <row r="3494" spans="1:10" ht="15.75" customHeight="1">
      <c r="A3494" s="28">
        <v>19438</v>
      </c>
      <c r="B3494" s="91">
        <v>45125.890590277777</v>
      </c>
      <c r="C3494" s="28" t="s">
        <v>10</v>
      </c>
      <c r="D3494" s="28" t="s">
        <v>311</v>
      </c>
      <c r="E3494" s="28" t="s">
        <v>28</v>
      </c>
      <c r="F3494" s="28">
        <v>26</v>
      </c>
      <c r="G3494" s="28" t="s">
        <v>122</v>
      </c>
      <c r="H3494" s="28">
        <v>0</v>
      </c>
      <c r="J3494" s="28"/>
    </row>
    <row r="3495" spans="1:10" ht="15.75" customHeight="1">
      <c r="A3495" s="28">
        <v>19438</v>
      </c>
      <c r="B3495" s="91">
        <v>45125.890590277777</v>
      </c>
      <c r="C3495" s="28" t="s">
        <v>10</v>
      </c>
      <c r="D3495" s="28" t="s">
        <v>311</v>
      </c>
      <c r="E3495" s="28" t="s">
        <v>28</v>
      </c>
      <c r="F3495" s="28">
        <v>28</v>
      </c>
      <c r="G3495" s="28" t="s">
        <v>143</v>
      </c>
      <c r="H3495" s="28">
        <v>0</v>
      </c>
      <c r="J3495" s="28"/>
    </row>
    <row r="3496" spans="1:10" ht="15.75" customHeight="1">
      <c r="A3496" s="28">
        <v>19439</v>
      </c>
      <c r="B3496" s="91">
        <v>45125.912719907406</v>
      </c>
      <c r="C3496" s="28" t="s">
        <v>10</v>
      </c>
      <c r="D3496" s="28" t="s">
        <v>310</v>
      </c>
      <c r="E3496" s="28" t="s">
        <v>28</v>
      </c>
      <c r="F3496" s="28">
        <v>0</v>
      </c>
      <c r="G3496" s="28" t="s">
        <v>117</v>
      </c>
      <c r="H3496" s="28">
        <v>0</v>
      </c>
      <c r="J3496" s="28"/>
    </row>
    <row r="3497" spans="1:10" ht="15.75" customHeight="1">
      <c r="A3497" s="28">
        <v>19439</v>
      </c>
      <c r="B3497" s="91">
        <v>45125.912719907406</v>
      </c>
      <c r="C3497" s="28" t="s">
        <v>10</v>
      </c>
      <c r="D3497" s="28" t="s">
        <v>310</v>
      </c>
      <c r="E3497" s="28" t="s">
        <v>28</v>
      </c>
      <c r="F3497" s="28">
        <v>20</v>
      </c>
      <c r="G3497" s="28" t="s">
        <v>148</v>
      </c>
      <c r="H3497" s="28">
        <v>0</v>
      </c>
      <c r="J3497" s="28"/>
    </row>
    <row r="3498" spans="1:10" ht="15.75" customHeight="1">
      <c r="A3498" s="28">
        <v>19439</v>
      </c>
      <c r="B3498" s="91">
        <v>45125.912719907406</v>
      </c>
      <c r="C3498" s="28" t="s">
        <v>10</v>
      </c>
      <c r="D3498" s="28" t="s">
        <v>310</v>
      </c>
      <c r="E3498" s="28" t="s">
        <v>28</v>
      </c>
      <c r="F3498" s="28">
        <v>26</v>
      </c>
      <c r="G3498" s="28" t="s">
        <v>122</v>
      </c>
      <c r="H3498" s="28">
        <v>0</v>
      </c>
      <c r="J3498" s="28"/>
    </row>
    <row r="3499" spans="1:10" ht="15.75" customHeight="1">
      <c r="A3499" s="28">
        <v>19440</v>
      </c>
      <c r="B3499" s="91">
        <v>45125.926817129628</v>
      </c>
      <c r="C3499" s="28" t="s">
        <v>10</v>
      </c>
      <c r="D3499" s="28" t="s">
        <v>309</v>
      </c>
      <c r="E3499" s="28" t="s">
        <v>28</v>
      </c>
      <c r="F3499" s="28">
        <v>25</v>
      </c>
      <c r="G3499" s="28" t="s">
        <v>120</v>
      </c>
      <c r="H3499" s="28">
        <v>0</v>
      </c>
      <c r="J3499" s="28"/>
    </row>
    <row r="3500" spans="1:10" ht="15.75" customHeight="1">
      <c r="A3500" s="28">
        <v>19441</v>
      </c>
      <c r="B3500" s="91">
        <v>45125.946631944447</v>
      </c>
      <c r="C3500" s="28" t="s">
        <v>8</v>
      </c>
      <c r="D3500" s="28" t="s">
        <v>308</v>
      </c>
      <c r="E3500" s="28" t="s">
        <v>28</v>
      </c>
      <c r="F3500" s="28">
        <v>35</v>
      </c>
      <c r="G3500" s="28" t="s">
        <v>124</v>
      </c>
      <c r="H3500" s="28">
        <v>0</v>
      </c>
      <c r="J3500" s="28"/>
    </row>
    <row r="3501" spans="1:10" ht="15.75" customHeight="1">
      <c r="A3501" s="28">
        <v>19441</v>
      </c>
      <c r="B3501" s="91">
        <v>45125.946631944447</v>
      </c>
      <c r="C3501" s="28" t="s">
        <v>8</v>
      </c>
      <c r="D3501" s="28" t="s">
        <v>308</v>
      </c>
      <c r="E3501" s="28" t="s">
        <v>28</v>
      </c>
      <c r="F3501" s="28">
        <v>0</v>
      </c>
      <c r="G3501" s="28" t="s">
        <v>125</v>
      </c>
      <c r="H3501" s="28">
        <v>0</v>
      </c>
      <c r="J3501" s="28"/>
    </row>
    <row r="3502" spans="1:10" ht="15.75" customHeight="1">
      <c r="A3502" s="28">
        <v>19441</v>
      </c>
      <c r="B3502" s="91">
        <v>45125.946631944447</v>
      </c>
      <c r="C3502" s="28" t="s">
        <v>8</v>
      </c>
      <c r="D3502" s="28" t="s">
        <v>308</v>
      </c>
      <c r="E3502" s="28" t="s">
        <v>28</v>
      </c>
      <c r="F3502" s="28">
        <v>0</v>
      </c>
      <c r="G3502" s="28" t="s">
        <v>119</v>
      </c>
      <c r="H3502" s="28">
        <v>0</v>
      </c>
      <c r="J3502" s="28"/>
    </row>
    <row r="3503" spans="1:10" ht="15.75" customHeight="1">
      <c r="A3503" s="28">
        <v>19441</v>
      </c>
      <c r="B3503" s="91">
        <v>45125.946631944447</v>
      </c>
      <c r="C3503" s="28" t="s">
        <v>8</v>
      </c>
      <c r="D3503" s="28" t="s">
        <v>308</v>
      </c>
      <c r="E3503" s="28" t="s">
        <v>28</v>
      </c>
      <c r="F3503" s="28">
        <v>0</v>
      </c>
      <c r="G3503" s="28" t="s">
        <v>121</v>
      </c>
      <c r="H3503" s="28">
        <v>0</v>
      </c>
      <c r="J3503" s="28"/>
    </row>
    <row r="3504" spans="1:10" ht="15.75" customHeight="1">
      <c r="A3504" s="28">
        <v>19442</v>
      </c>
      <c r="B3504" s="91">
        <v>45125.946956018517</v>
      </c>
      <c r="C3504" s="28" t="s">
        <v>10</v>
      </c>
      <c r="D3504" s="28" t="s">
        <v>307</v>
      </c>
      <c r="E3504" s="28" t="s">
        <v>28</v>
      </c>
      <c r="F3504" s="28">
        <v>55</v>
      </c>
      <c r="G3504" s="28">
        <v>101684</v>
      </c>
      <c r="H3504" s="28">
        <v>0</v>
      </c>
      <c r="J3504" s="28"/>
    </row>
    <row r="3505" spans="1:10" ht="15.75" customHeight="1">
      <c r="A3505" s="28">
        <v>19442</v>
      </c>
      <c r="B3505" s="91">
        <v>45125.946956018517</v>
      </c>
      <c r="C3505" s="28" t="s">
        <v>10</v>
      </c>
      <c r="D3505" s="28" t="s">
        <v>307</v>
      </c>
      <c r="E3505" s="28" t="s">
        <v>28</v>
      </c>
      <c r="F3505" s="28">
        <v>0</v>
      </c>
      <c r="G3505" s="28" t="s">
        <v>118</v>
      </c>
      <c r="H3505" s="28">
        <v>0</v>
      </c>
      <c r="J3505" s="28"/>
    </row>
    <row r="3506" spans="1:10" ht="15.75" customHeight="1">
      <c r="A3506" s="28">
        <v>19442</v>
      </c>
      <c r="B3506" s="91">
        <v>45125.946956018517</v>
      </c>
      <c r="C3506" s="28" t="s">
        <v>10</v>
      </c>
      <c r="D3506" s="28" t="s">
        <v>307</v>
      </c>
      <c r="E3506" s="28" t="s">
        <v>28</v>
      </c>
      <c r="F3506" s="28">
        <v>0</v>
      </c>
      <c r="G3506" s="28" t="s">
        <v>119</v>
      </c>
      <c r="H3506" s="28">
        <v>0</v>
      </c>
      <c r="J3506" s="28"/>
    </row>
    <row r="3507" spans="1:10" ht="15.75" customHeight="1">
      <c r="A3507" s="28">
        <v>19442</v>
      </c>
      <c r="B3507" s="91">
        <v>45125.946956018517</v>
      </c>
      <c r="C3507" s="28" t="s">
        <v>10</v>
      </c>
      <c r="D3507" s="28" t="s">
        <v>307</v>
      </c>
      <c r="E3507" s="28" t="s">
        <v>28</v>
      </c>
      <c r="F3507" s="28">
        <v>0</v>
      </c>
      <c r="G3507" s="28" t="s">
        <v>120</v>
      </c>
      <c r="H3507" s="28">
        <v>0</v>
      </c>
      <c r="J3507" s="28"/>
    </row>
    <row r="3508" spans="1:10" ht="15.75" customHeight="1">
      <c r="A3508" s="28">
        <v>19442</v>
      </c>
      <c r="B3508" s="91">
        <v>45125.946956018517</v>
      </c>
      <c r="C3508" s="28" t="s">
        <v>10</v>
      </c>
      <c r="D3508" s="28" t="s">
        <v>307</v>
      </c>
      <c r="E3508" s="28" t="s">
        <v>28</v>
      </c>
      <c r="F3508" s="28">
        <v>0</v>
      </c>
      <c r="G3508" s="28" t="s">
        <v>121</v>
      </c>
      <c r="H3508" s="28">
        <v>0</v>
      </c>
      <c r="J3508" s="28"/>
    </row>
    <row r="3509" spans="1:10" ht="15.75" customHeight="1">
      <c r="A3509" s="28">
        <v>19443</v>
      </c>
      <c r="B3509" s="91">
        <v>45125.947118055556</v>
      </c>
      <c r="C3509" s="28" t="s">
        <v>10</v>
      </c>
      <c r="D3509" s="28" t="s">
        <v>306</v>
      </c>
      <c r="E3509" s="28" t="s">
        <v>28</v>
      </c>
      <c r="F3509" s="28">
        <v>26</v>
      </c>
      <c r="G3509" s="28" t="s">
        <v>122</v>
      </c>
      <c r="H3509" s="28">
        <v>0</v>
      </c>
      <c r="J3509" s="28"/>
    </row>
    <row r="3510" spans="1:10" ht="15.75" customHeight="1">
      <c r="A3510" s="28">
        <v>19444</v>
      </c>
      <c r="B3510" s="91">
        <v>45125.959918981476</v>
      </c>
      <c r="C3510" s="28" t="s">
        <v>10</v>
      </c>
      <c r="D3510" s="28" t="s">
        <v>305</v>
      </c>
      <c r="E3510" s="28" t="s">
        <v>28</v>
      </c>
      <c r="F3510" s="28">
        <v>35</v>
      </c>
      <c r="G3510" s="28" t="s">
        <v>124</v>
      </c>
      <c r="H3510" s="28">
        <v>0</v>
      </c>
      <c r="J3510" s="28"/>
    </row>
    <row r="3511" spans="1:10" ht="15.75" customHeight="1">
      <c r="A3511" s="28">
        <v>19444</v>
      </c>
      <c r="B3511" s="91">
        <v>45125.959918981476</v>
      </c>
      <c r="C3511" s="28" t="s">
        <v>10</v>
      </c>
      <c r="D3511" s="28" t="s">
        <v>305</v>
      </c>
      <c r="E3511" s="28" t="s">
        <v>28</v>
      </c>
      <c r="F3511" s="28">
        <v>0</v>
      </c>
      <c r="G3511" s="28" t="s">
        <v>125</v>
      </c>
      <c r="H3511" s="28">
        <v>0</v>
      </c>
      <c r="J3511" s="28"/>
    </row>
    <row r="3512" spans="1:10" ht="15.75" customHeight="1">
      <c r="A3512" s="28">
        <v>19444</v>
      </c>
      <c r="B3512" s="91">
        <v>45125.959918981476</v>
      </c>
      <c r="C3512" s="28" t="s">
        <v>10</v>
      </c>
      <c r="D3512" s="28" t="s">
        <v>305</v>
      </c>
      <c r="E3512" s="28" t="s">
        <v>28</v>
      </c>
      <c r="F3512" s="28">
        <v>0</v>
      </c>
      <c r="G3512" s="28" t="s">
        <v>119</v>
      </c>
      <c r="H3512" s="28">
        <v>0</v>
      </c>
      <c r="J3512" s="28"/>
    </row>
    <row r="3513" spans="1:10" ht="15.75" customHeight="1">
      <c r="A3513" s="28">
        <v>19444</v>
      </c>
      <c r="B3513" s="91">
        <v>45125.959918981476</v>
      </c>
      <c r="C3513" s="28" t="s">
        <v>10</v>
      </c>
      <c r="D3513" s="28" t="s">
        <v>305</v>
      </c>
      <c r="E3513" s="28" t="s">
        <v>28</v>
      </c>
      <c r="F3513" s="28">
        <v>0</v>
      </c>
      <c r="G3513" s="28" t="s">
        <v>121</v>
      </c>
      <c r="H3513" s="28">
        <v>0</v>
      </c>
      <c r="J3513" s="28"/>
    </row>
    <row r="3514" spans="1:10" ht="15.75" customHeight="1">
      <c r="A3514" s="28">
        <v>19445</v>
      </c>
      <c r="B3514" s="91">
        <v>45126.05096064815</v>
      </c>
      <c r="C3514" s="28" t="s">
        <v>10</v>
      </c>
      <c r="D3514" s="28" t="s">
        <v>304</v>
      </c>
      <c r="E3514" s="28" t="s">
        <v>28</v>
      </c>
      <c r="F3514" s="28">
        <v>18</v>
      </c>
      <c r="G3514" s="28" t="s">
        <v>119</v>
      </c>
      <c r="H3514" s="28">
        <v>0</v>
      </c>
      <c r="J3514" s="28"/>
    </row>
    <row r="3515" spans="1:10" ht="15.75" customHeight="1">
      <c r="A3515" s="28">
        <v>19445</v>
      </c>
      <c r="B3515" s="91">
        <v>45126.05096064815</v>
      </c>
      <c r="C3515" s="28" t="s">
        <v>10</v>
      </c>
      <c r="D3515" s="28" t="s">
        <v>304</v>
      </c>
      <c r="E3515" s="28" t="s">
        <v>28</v>
      </c>
      <c r="F3515" s="28">
        <v>0</v>
      </c>
      <c r="G3515" s="28" t="s">
        <v>117</v>
      </c>
      <c r="H3515" s="28">
        <v>0</v>
      </c>
      <c r="J3515" s="28"/>
    </row>
    <row r="3516" spans="1:10" ht="15.75" customHeight="1">
      <c r="A3516" s="28">
        <v>19446</v>
      </c>
      <c r="B3516" s="91">
        <v>45126.057812500003</v>
      </c>
      <c r="C3516" s="28" t="s">
        <v>10</v>
      </c>
      <c r="D3516" s="28" t="s">
        <v>303</v>
      </c>
      <c r="E3516" s="28" t="s">
        <v>28</v>
      </c>
      <c r="F3516" s="28">
        <v>22</v>
      </c>
      <c r="G3516" s="28" t="s">
        <v>137</v>
      </c>
      <c r="H3516" s="28">
        <v>0</v>
      </c>
      <c r="J3516" s="28"/>
    </row>
    <row r="3517" spans="1:10" ht="15.75" customHeight="1">
      <c r="A3517" s="28">
        <v>19447</v>
      </c>
      <c r="B3517" s="91">
        <v>45126.077499999999</v>
      </c>
      <c r="C3517" s="28" t="s">
        <v>10</v>
      </c>
      <c r="D3517" s="28" t="s">
        <v>302</v>
      </c>
      <c r="E3517" s="28" t="s">
        <v>28</v>
      </c>
      <c r="F3517" s="28">
        <v>0</v>
      </c>
      <c r="G3517" s="28" t="s">
        <v>117</v>
      </c>
      <c r="H3517" s="28">
        <v>0</v>
      </c>
      <c r="J3517" s="28"/>
    </row>
    <row r="3518" spans="1:10" ht="15.75" customHeight="1">
      <c r="A3518" s="28">
        <v>19447</v>
      </c>
      <c r="B3518" s="91">
        <v>45126.077499999999</v>
      </c>
      <c r="C3518" s="28" t="s">
        <v>10</v>
      </c>
      <c r="D3518" s="28" t="s">
        <v>302</v>
      </c>
      <c r="E3518" s="28" t="s">
        <v>28</v>
      </c>
      <c r="F3518" s="28">
        <v>25</v>
      </c>
      <c r="G3518" s="28">
        <v>100692</v>
      </c>
      <c r="H3518" s="28">
        <v>0</v>
      </c>
      <c r="J3518" s="28"/>
    </row>
    <row r="3519" spans="1:10" ht="15.75" customHeight="1">
      <c r="A3519" s="28">
        <v>19447</v>
      </c>
      <c r="B3519" s="91">
        <v>45126.077499999999</v>
      </c>
      <c r="C3519" s="28" t="s">
        <v>10</v>
      </c>
      <c r="D3519" s="28" t="s">
        <v>302</v>
      </c>
      <c r="E3519" s="28" t="s">
        <v>28</v>
      </c>
      <c r="F3519" s="28">
        <v>0</v>
      </c>
      <c r="G3519" s="28" t="s">
        <v>125</v>
      </c>
      <c r="H3519" s="28">
        <v>0</v>
      </c>
      <c r="J3519" s="28"/>
    </row>
    <row r="3520" spans="1:10" ht="15.75" customHeight="1">
      <c r="A3520" s="28">
        <v>19447</v>
      </c>
      <c r="B3520" s="91">
        <v>45126.077499999999</v>
      </c>
      <c r="C3520" s="28" t="s">
        <v>10</v>
      </c>
      <c r="D3520" s="28" t="s">
        <v>302</v>
      </c>
      <c r="E3520" s="28" t="s">
        <v>28</v>
      </c>
      <c r="F3520" s="28">
        <v>0</v>
      </c>
      <c r="G3520" s="28" t="s">
        <v>119</v>
      </c>
      <c r="H3520" s="28">
        <v>0</v>
      </c>
      <c r="J3520" s="28"/>
    </row>
    <row r="3521" spans="1:10" ht="15.75" customHeight="1">
      <c r="A3521" s="28">
        <v>19448</v>
      </c>
      <c r="B3521" s="91">
        <v>45126.092245370368</v>
      </c>
      <c r="C3521" s="28" t="s">
        <v>10</v>
      </c>
      <c r="D3521" s="28" t="s">
        <v>301</v>
      </c>
      <c r="E3521" s="28" t="s">
        <v>28</v>
      </c>
      <c r="F3521" s="28">
        <v>26</v>
      </c>
      <c r="G3521" s="28" t="s">
        <v>122</v>
      </c>
      <c r="H3521" s="28">
        <v>0</v>
      </c>
      <c r="J3521" s="28"/>
    </row>
    <row r="3522" spans="1:10" ht="15.75" customHeight="1">
      <c r="A3522" s="28">
        <v>19448</v>
      </c>
      <c r="B3522" s="91">
        <v>45126.092245370368</v>
      </c>
      <c r="C3522" s="28" t="s">
        <v>10</v>
      </c>
      <c r="D3522" s="28" t="s">
        <v>301</v>
      </c>
      <c r="E3522" s="28" t="s">
        <v>28</v>
      </c>
      <c r="F3522" s="28">
        <v>0</v>
      </c>
      <c r="G3522" s="28" t="s">
        <v>117</v>
      </c>
      <c r="H3522" s="28">
        <v>0</v>
      </c>
      <c r="J3522" s="28"/>
    </row>
    <row r="3523" spans="1:10" ht="15.75" customHeight="1">
      <c r="A3523" s="28">
        <v>19449</v>
      </c>
      <c r="B3523" s="91">
        <v>45126.546759259261</v>
      </c>
      <c r="C3523" s="28" t="s">
        <v>10</v>
      </c>
      <c r="D3523" s="28" t="s">
        <v>300</v>
      </c>
      <c r="E3523" s="28" t="s">
        <v>28</v>
      </c>
      <c r="F3523" s="28">
        <v>20</v>
      </c>
      <c r="G3523" s="28" t="s">
        <v>121</v>
      </c>
      <c r="H3523" s="28">
        <v>0</v>
      </c>
      <c r="J3523" s="28"/>
    </row>
    <row r="3524" spans="1:10" ht="15.75" customHeight="1">
      <c r="A3524" s="28">
        <v>19449</v>
      </c>
      <c r="B3524" s="91">
        <v>45126.546759259261</v>
      </c>
      <c r="C3524" s="28" t="s">
        <v>10</v>
      </c>
      <c r="D3524" s="28" t="s">
        <v>300</v>
      </c>
      <c r="E3524" s="28" t="s">
        <v>28</v>
      </c>
      <c r="F3524" s="28">
        <v>18</v>
      </c>
      <c r="G3524" s="28" t="s">
        <v>119</v>
      </c>
      <c r="H3524" s="28">
        <v>0</v>
      </c>
      <c r="J3524" s="28"/>
    </row>
    <row r="3525" spans="1:10" ht="15.75" customHeight="1">
      <c r="A3525" s="28">
        <v>19450</v>
      </c>
      <c r="B3525" s="91">
        <v>45126.730810185181</v>
      </c>
      <c r="C3525" s="28" t="s">
        <v>10</v>
      </c>
      <c r="D3525" s="28" t="s">
        <v>299</v>
      </c>
      <c r="E3525" s="28" t="s">
        <v>28</v>
      </c>
      <c r="F3525" s="28">
        <v>15</v>
      </c>
      <c r="G3525" s="28" t="s">
        <v>125</v>
      </c>
      <c r="H3525" s="28">
        <v>0</v>
      </c>
      <c r="J3525" s="28"/>
    </row>
    <row r="3526" spans="1:10" ht="15.75" customHeight="1">
      <c r="A3526" s="28">
        <v>19451</v>
      </c>
      <c r="B3526" s="91">
        <v>45126.817766203705</v>
      </c>
      <c r="C3526" s="28" t="s">
        <v>10</v>
      </c>
      <c r="D3526" s="28" t="s">
        <v>298</v>
      </c>
      <c r="E3526" s="28" t="s">
        <v>28</v>
      </c>
      <c r="F3526" s="28">
        <v>0</v>
      </c>
      <c r="G3526" s="28" t="s">
        <v>117</v>
      </c>
      <c r="H3526" s="28">
        <v>0</v>
      </c>
      <c r="J3526" s="28"/>
    </row>
    <row r="3527" spans="1:10" ht="15.75" customHeight="1">
      <c r="A3527" s="28">
        <v>19452</v>
      </c>
      <c r="B3527" s="91">
        <v>45126.963020833333</v>
      </c>
      <c r="C3527" s="28" t="s">
        <v>10</v>
      </c>
      <c r="D3527" s="28" t="s">
        <v>296</v>
      </c>
      <c r="E3527" s="28" t="s">
        <v>79</v>
      </c>
      <c r="F3527" s="28">
        <v>18</v>
      </c>
      <c r="G3527" s="28" t="s">
        <v>119</v>
      </c>
      <c r="H3527" s="28">
        <v>0</v>
      </c>
      <c r="J3527" s="28"/>
    </row>
    <row r="3528" spans="1:10" ht="15.75" customHeight="1">
      <c r="A3528" s="28">
        <v>19452</v>
      </c>
      <c r="B3528" s="91">
        <v>45126.963020833333</v>
      </c>
      <c r="C3528" s="28" t="s">
        <v>10</v>
      </c>
      <c r="D3528" s="28" t="s">
        <v>296</v>
      </c>
      <c r="E3528" s="28" t="s">
        <v>79</v>
      </c>
      <c r="F3528" s="28">
        <v>25</v>
      </c>
      <c r="G3528" s="28" t="s">
        <v>297</v>
      </c>
      <c r="H3528" s="28">
        <v>0</v>
      </c>
      <c r="J3528" s="28"/>
    </row>
    <row r="3529" spans="1:10" ht="15.75" customHeight="1">
      <c r="A3529" s="28">
        <v>19453</v>
      </c>
      <c r="B3529" s="91">
        <v>45126.984548611115</v>
      </c>
      <c r="C3529" s="28" t="s">
        <v>10</v>
      </c>
      <c r="D3529" s="28" t="s">
        <v>295</v>
      </c>
      <c r="E3529" s="28" t="s">
        <v>28</v>
      </c>
      <c r="F3529" s="28">
        <v>35</v>
      </c>
      <c r="G3529" s="28" t="s">
        <v>124</v>
      </c>
      <c r="H3529" s="28">
        <v>0</v>
      </c>
      <c r="J3529" s="28"/>
    </row>
    <row r="3530" spans="1:10" ht="15.75" customHeight="1">
      <c r="A3530" s="28">
        <v>19453</v>
      </c>
      <c r="B3530" s="91">
        <v>45126.984548611115</v>
      </c>
      <c r="C3530" s="28" t="s">
        <v>10</v>
      </c>
      <c r="D3530" s="28" t="s">
        <v>295</v>
      </c>
      <c r="E3530" s="28" t="s">
        <v>28</v>
      </c>
      <c r="F3530" s="28">
        <v>0</v>
      </c>
      <c r="G3530" s="28" t="s">
        <v>125</v>
      </c>
      <c r="H3530" s="28">
        <v>0</v>
      </c>
      <c r="J3530" s="28"/>
    </row>
    <row r="3531" spans="1:10" ht="15.75" customHeight="1">
      <c r="A3531" s="28">
        <v>19453</v>
      </c>
      <c r="B3531" s="91">
        <v>45126.984548611115</v>
      </c>
      <c r="C3531" s="28" t="s">
        <v>10</v>
      </c>
      <c r="D3531" s="28" t="s">
        <v>295</v>
      </c>
      <c r="E3531" s="28" t="s">
        <v>28</v>
      </c>
      <c r="F3531" s="28">
        <v>0</v>
      </c>
      <c r="G3531" s="28" t="s">
        <v>119</v>
      </c>
      <c r="H3531" s="28">
        <v>0</v>
      </c>
      <c r="J3531" s="28"/>
    </row>
    <row r="3532" spans="1:10" ht="15.75" customHeight="1">
      <c r="A3532" s="28">
        <v>19453</v>
      </c>
      <c r="B3532" s="91">
        <v>45126.984548611115</v>
      </c>
      <c r="C3532" s="28" t="s">
        <v>10</v>
      </c>
      <c r="D3532" s="28" t="s">
        <v>295</v>
      </c>
      <c r="E3532" s="28" t="s">
        <v>28</v>
      </c>
      <c r="F3532" s="28">
        <v>0</v>
      </c>
      <c r="G3532" s="28" t="s">
        <v>121</v>
      </c>
      <c r="H3532" s="28">
        <v>0</v>
      </c>
      <c r="J3532" s="28"/>
    </row>
    <row r="3533" spans="1:10" ht="15.75" customHeight="1">
      <c r="A3533" s="28">
        <v>19454</v>
      </c>
      <c r="B3533" s="91">
        <v>45126.988240740742</v>
      </c>
      <c r="C3533" s="28" t="s">
        <v>10</v>
      </c>
      <c r="D3533" s="28" t="s">
        <v>294</v>
      </c>
      <c r="E3533" s="28" t="s">
        <v>28</v>
      </c>
      <c r="F3533" s="28">
        <v>35</v>
      </c>
      <c r="G3533" s="28" t="s">
        <v>124</v>
      </c>
      <c r="H3533" s="28">
        <v>0</v>
      </c>
      <c r="J3533" s="28"/>
    </row>
    <row r="3534" spans="1:10" ht="15.75" customHeight="1">
      <c r="A3534" s="28">
        <v>19454</v>
      </c>
      <c r="B3534" s="91">
        <v>45126.988240740742</v>
      </c>
      <c r="C3534" s="28" t="s">
        <v>10</v>
      </c>
      <c r="D3534" s="28" t="s">
        <v>294</v>
      </c>
      <c r="E3534" s="28" t="s">
        <v>28</v>
      </c>
      <c r="F3534" s="28">
        <v>0</v>
      </c>
      <c r="G3534" s="28" t="s">
        <v>125</v>
      </c>
      <c r="H3534" s="28">
        <v>0</v>
      </c>
      <c r="J3534" s="28"/>
    </row>
    <row r="3535" spans="1:10" ht="15.75" customHeight="1">
      <c r="A3535" s="28">
        <v>19454</v>
      </c>
      <c r="B3535" s="91">
        <v>45126.988240740742</v>
      </c>
      <c r="C3535" s="28" t="s">
        <v>10</v>
      </c>
      <c r="D3535" s="28" t="s">
        <v>294</v>
      </c>
      <c r="E3535" s="28" t="s">
        <v>28</v>
      </c>
      <c r="F3535" s="28">
        <v>0</v>
      </c>
      <c r="G3535" s="28" t="s">
        <v>119</v>
      </c>
      <c r="H3535" s="28">
        <v>0</v>
      </c>
      <c r="J3535" s="28"/>
    </row>
    <row r="3536" spans="1:10" ht="15.75" customHeight="1">
      <c r="A3536" s="28">
        <v>19454</v>
      </c>
      <c r="B3536" s="91">
        <v>45126.988240740742</v>
      </c>
      <c r="C3536" s="28" t="s">
        <v>10</v>
      </c>
      <c r="D3536" s="28" t="s">
        <v>294</v>
      </c>
      <c r="E3536" s="28" t="s">
        <v>28</v>
      </c>
      <c r="F3536" s="28">
        <v>0</v>
      </c>
      <c r="G3536" s="28" t="s">
        <v>121</v>
      </c>
      <c r="H3536" s="28">
        <v>0</v>
      </c>
      <c r="J3536" s="28"/>
    </row>
    <row r="3537" spans="1:10" ht="15.75" customHeight="1">
      <c r="A3537" s="28">
        <v>19455</v>
      </c>
      <c r="B3537" s="91">
        <v>45126.989837962959</v>
      </c>
      <c r="C3537" s="28" t="s">
        <v>10</v>
      </c>
      <c r="D3537" s="28" t="s">
        <v>293</v>
      </c>
      <c r="E3537" s="28" t="s">
        <v>28</v>
      </c>
      <c r="F3537" s="28">
        <v>35</v>
      </c>
      <c r="G3537" s="28" t="s">
        <v>124</v>
      </c>
      <c r="H3537" s="28">
        <v>0</v>
      </c>
      <c r="J3537" s="28"/>
    </row>
    <row r="3538" spans="1:10" ht="15.75" customHeight="1">
      <c r="A3538" s="28">
        <v>19455</v>
      </c>
      <c r="B3538" s="91">
        <v>45126.989837962959</v>
      </c>
      <c r="C3538" s="28" t="s">
        <v>10</v>
      </c>
      <c r="D3538" s="28" t="s">
        <v>293</v>
      </c>
      <c r="E3538" s="28" t="s">
        <v>28</v>
      </c>
      <c r="F3538" s="28">
        <v>0</v>
      </c>
      <c r="G3538" s="28" t="s">
        <v>125</v>
      </c>
      <c r="H3538" s="28">
        <v>0</v>
      </c>
      <c r="J3538" s="28"/>
    </row>
    <row r="3539" spans="1:10" ht="15.75" customHeight="1">
      <c r="A3539" s="28">
        <v>19455</v>
      </c>
      <c r="B3539" s="91">
        <v>45126.989837962959</v>
      </c>
      <c r="C3539" s="28" t="s">
        <v>10</v>
      </c>
      <c r="D3539" s="28" t="s">
        <v>293</v>
      </c>
      <c r="E3539" s="28" t="s">
        <v>28</v>
      </c>
      <c r="F3539" s="28">
        <v>0</v>
      </c>
      <c r="G3539" s="28" t="s">
        <v>119</v>
      </c>
      <c r="H3539" s="28">
        <v>0</v>
      </c>
      <c r="J3539" s="28"/>
    </row>
    <row r="3540" spans="1:10" ht="15.75" customHeight="1">
      <c r="A3540" s="28">
        <v>19455</v>
      </c>
      <c r="B3540" s="91">
        <v>45126.989837962959</v>
      </c>
      <c r="C3540" s="28" t="s">
        <v>10</v>
      </c>
      <c r="D3540" s="28" t="s">
        <v>293</v>
      </c>
      <c r="E3540" s="28" t="s">
        <v>28</v>
      </c>
      <c r="F3540" s="28">
        <v>0</v>
      </c>
      <c r="G3540" s="28" t="s">
        <v>121</v>
      </c>
      <c r="H3540" s="28">
        <v>0</v>
      </c>
      <c r="J3540" s="28"/>
    </row>
    <row r="3541" spans="1:10" ht="15.75" customHeight="1">
      <c r="A3541" s="28">
        <v>19456</v>
      </c>
      <c r="B3541" s="91">
        <v>45127.031574074077</v>
      </c>
      <c r="C3541" s="28" t="s">
        <v>10</v>
      </c>
      <c r="D3541" s="28" t="s">
        <v>292</v>
      </c>
      <c r="E3541" s="28" t="s">
        <v>79</v>
      </c>
      <c r="F3541" s="28">
        <v>25</v>
      </c>
      <c r="G3541" s="28">
        <v>100692</v>
      </c>
      <c r="H3541" s="28">
        <v>0</v>
      </c>
      <c r="J3541" s="28"/>
    </row>
    <row r="3542" spans="1:10" ht="15.75" customHeight="1">
      <c r="A3542" s="28">
        <v>19456</v>
      </c>
      <c r="B3542" s="91">
        <v>45127.031574074077</v>
      </c>
      <c r="C3542" s="28" t="s">
        <v>10</v>
      </c>
      <c r="D3542" s="28" t="s">
        <v>292</v>
      </c>
      <c r="E3542" s="28" t="s">
        <v>79</v>
      </c>
      <c r="F3542" s="28">
        <v>0</v>
      </c>
      <c r="G3542" s="28" t="s">
        <v>125</v>
      </c>
      <c r="H3542" s="28">
        <v>0</v>
      </c>
      <c r="J3542" s="28"/>
    </row>
    <row r="3543" spans="1:10" ht="15.75" customHeight="1">
      <c r="A3543" s="28">
        <v>19456</v>
      </c>
      <c r="B3543" s="91">
        <v>45127.031574074077</v>
      </c>
      <c r="C3543" s="28" t="s">
        <v>10</v>
      </c>
      <c r="D3543" s="28" t="s">
        <v>292</v>
      </c>
      <c r="E3543" s="28" t="s">
        <v>79</v>
      </c>
      <c r="F3543" s="28">
        <v>0</v>
      </c>
      <c r="G3543" s="28" t="s">
        <v>119</v>
      </c>
      <c r="H3543" s="28">
        <v>0</v>
      </c>
      <c r="J3543" s="28"/>
    </row>
    <row r="3544" spans="1:10" ht="15.75" customHeight="1">
      <c r="A3544" s="28">
        <v>19457</v>
      </c>
      <c r="B3544" s="91">
        <v>45127.040393518517</v>
      </c>
      <c r="C3544" s="28" t="s">
        <v>10</v>
      </c>
      <c r="D3544" s="28" t="s">
        <v>291</v>
      </c>
      <c r="E3544" s="28" t="s">
        <v>28</v>
      </c>
      <c r="F3544" s="28">
        <v>30</v>
      </c>
      <c r="G3544" s="28" t="s">
        <v>128</v>
      </c>
      <c r="H3544" s="28">
        <v>0</v>
      </c>
      <c r="J3544" s="28"/>
    </row>
    <row r="3545" spans="1:10" ht="15.75" customHeight="1">
      <c r="A3545" s="28">
        <v>19457</v>
      </c>
      <c r="B3545" s="91">
        <v>45127.040393518517</v>
      </c>
      <c r="C3545" s="28" t="s">
        <v>10</v>
      </c>
      <c r="D3545" s="28" t="s">
        <v>291</v>
      </c>
      <c r="E3545" s="28" t="s">
        <v>28</v>
      </c>
      <c r="F3545" s="28">
        <v>0</v>
      </c>
      <c r="G3545" s="28" t="s">
        <v>125</v>
      </c>
      <c r="H3545" s="28">
        <v>0</v>
      </c>
      <c r="J3545" s="28"/>
    </row>
    <row r="3546" spans="1:10" ht="15.75" customHeight="1">
      <c r="A3546" s="28">
        <v>19457</v>
      </c>
      <c r="B3546" s="91">
        <v>45127.040393518517</v>
      </c>
      <c r="C3546" s="28" t="s">
        <v>10</v>
      </c>
      <c r="D3546" s="28" t="s">
        <v>291</v>
      </c>
      <c r="E3546" s="28" t="s">
        <v>28</v>
      </c>
      <c r="F3546" s="28">
        <v>0</v>
      </c>
      <c r="G3546" s="28" t="s">
        <v>119</v>
      </c>
      <c r="H3546" s="28">
        <v>0</v>
      </c>
      <c r="J3546" s="28"/>
    </row>
    <row r="3547" spans="1:10" ht="15.75" customHeight="1">
      <c r="A3547" s="28">
        <v>19457</v>
      </c>
      <c r="B3547" s="91">
        <v>45127.040393518517</v>
      </c>
      <c r="C3547" s="28" t="s">
        <v>10</v>
      </c>
      <c r="D3547" s="28" t="s">
        <v>291</v>
      </c>
      <c r="E3547" s="28" t="s">
        <v>28</v>
      </c>
      <c r="F3547" s="28">
        <v>20</v>
      </c>
      <c r="G3547" s="28" t="s">
        <v>205</v>
      </c>
      <c r="H3547" s="28">
        <v>0</v>
      </c>
      <c r="J3547" s="28"/>
    </row>
    <row r="3548" spans="1:10" ht="15.75" customHeight="1">
      <c r="A3548" s="28">
        <v>19457</v>
      </c>
      <c r="B3548" s="91">
        <v>45127.040393518517</v>
      </c>
      <c r="C3548" s="28" t="s">
        <v>10</v>
      </c>
      <c r="D3548" s="28" t="s">
        <v>291</v>
      </c>
      <c r="E3548" s="28" t="s">
        <v>28</v>
      </c>
      <c r="F3548" s="28">
        <v>0</v>
      </c>
      <c r="G3548" s="28" t="s">
        <v>125</v>
      </c>
      <c r="H3548" s="28">
        <v>0</v>
      </c>
      <c r="J3548" s="28"/>
    </row>
    <row r="3549" spans="1:10" ht="15.75" customHeight="1">
      <c r="A3549" s="28">
        <v>19458</v>
      </c>
      <c r="B3549" s="91">
        <v>45127.674756944441</v>
      </c>
      <c r="C3549" s="28" t="s">
        <v>10</v>
      </c>
      <c r="D3549" s="28" t="s">
        <v>290</v>
      </c>
      <c r="E3549" s="28" t="s">
        <v>28</v>
      </c>
      <c r="F3549" s="28">
        <v>25</v>
      </c>
      <c r="G3549" s="28" t="s">
        <v>141</v>
      </c>
      <c r="H3549" s="28">
        <v>0</v>
      </c>
      <c r="J3549" s="28"/>
    </row>
    <row r="3550" spans="1:10" ht="15.75" customHeight="1">
      <c r="A3550" s="28">
        <v>19458</v>
      </c>
      <c r="B3550" s="91">
        <v>45127.674756944441</v>
      </c>
      <c r="C3550" s="28" t="s">
        <v>10</v>
      </c>
      <c r="D3550" s="28" t="s">
        <v>290</v>
      </c>
      <c r="E3550" s="28" t="s">
        <v>28</v>
      </c>
      <c r="F3550" s="28">
        <v>0</v>
      </c>
      <c r="G3550" s="28" t="s">
        <v>117</v>
      </c>
      <c r="H3550" s="28">
        <v>0</v>
      </c>
      <c r="J3550" s="28"/>
    </row>
    <row r="3551" spans="1:10" ht="15.75" customHeight="1">
      <c r="A3551" s="28">
        <v>19463</v>
      </c>
      <c r="B3551" s="91">
        <v>45127.884097222224</v>
      </c>
      <c r="C3551" s="28" t="s">
        <v>10</v>
      </c>
      <c r="D3551" s="28" t="s">
        <v>289</v>
      </c>
      <c r="E3551" s="28" t="s">
        <v>28</v>
      </c>
      <c r="F3551" s="28">
        <v>25</v>
      </c>
      <c r="G3551" s="28">
        <v>100692</v>
      </c>
      <c r="H3551" s="28">
        <v>0</v>
      </c>
      <c r="J3551" s="28"/>
    </row>
    <row r="3552" spans="1:10" ht="15.75" customHeight="1">
      <c r="A3552" s="28">
        <v>19463</v>
      </c>
      <c r="B3552" s="91">
        <v>45127.884097222224</v>
      </c>
      <c r="C3552" s="28" t="s">
        <v>10</v>
      </c>
      <c r="D3552" s="28" t="s">
        <v>289</v>
      </c>
      <c r="E3552" s="28" t="s">
        <v>28</v>
      </c>
      <c r="F3552" s="28">
        <v>0</v>
      </c>
      <c r="G3552" s="28" t="s">
        <v>125</v>
      </c>
      <c r="H3552" s="28">
        <v>0</v>
      </c>
      <c r="J3552" s="28"/>
    </row>
    <row r="3553" spans="1:10" ht="15.75" customHeight="1">
      <c r="A3553" s="28">
        <v>19463</v>
      </c>
      <c r="B3553" s="91">
        <v>45127.884097222224</v>
      </c>
      <c r="C3553" s="28" t="s">
        <v>10</v>
      </c>
      <c r="D3553" s="28" t="s">
        <v>289</v>
      </c>
      <c r="E3553" s="28" t="s">
        <v>28</v>
      </c>
      <c r="F3553" s="28">
        <v>0</v>
      </c>
      <c r="G3553" s="28" t="s">
        <v>119</v>
      </c>
      <c r="H3553" s="28">
        <v>0</v>
      </c>
      <c r="J3553" s="28"/>
    </row>
    <row r="3554" spans="1:10" ht="15.75" customHeight="1">
      <c r="A3554" s="28">
        <v>19464</v>
      </c>
      <c r="B3554" s="91">
        <v>45127.885381944448</v>
      </c>
      <c r="C3554" s="28" t="s">
        <v>10</v>
      </c>
      <c r="D3554" s="28" t="s">
        <v>288</v>
      </c>
      <c r="E3554" s="28" t="s">
        <v>28</v>
      </c>
      <c r="F3554" s="28">
        <v>26</v>
      </c>
      <c r="G3554" s="28" t="s">
        <v>122</v>
      </c>
      <c r="H3554" s="28">
        <v>0</v>
      </c>
      <c r="J3554" s="28"/>
    </row>
    <row r="3555" spans="1:10" ht="15.75" customHeight="1">
      <c r="A3555" s="28">
        <v>19464</v>
      </c>
      <c r="B3555" s="91">
        <v>45127.885381944448</v>
      </c>
      <c r="C3555" s="28" t="s">
        <v>10</v>
      </c>
      <c r="D3555" s="28" t="s">
        <v>288</v>
      </c>
      <c r="E3555" s="28" t="s">
        <v>28</v>
      </c>
      <c r="F3555" s="28">
        <v>26</v>
      </c>
      <c r="G3555" s="28" t="s">
        <v>122</v>
      </c>
      <c r="H3555" s="28">
        <v>0</v>
      </c>
      <c r="J3555" s="28"/>
    </row>
    <row r="3556" spans="1:10" ht="15.75" customHeight="1">
      <c r="A3556" s="28">
        <v>19465</v>
      </c>
      <c r="B3556" s="91">
        <v>45128.044317129628</v>
      </c>
      <c r="C3556" s="28" t="s">
        <v>10</v>
      </c>
      <c r="D3556" s="28" t="s">
        <v>287</v>
      </c>
      <c r="E3556" s="28" t="s">
        <v>79</v>
      </c>
      <c r="F3556" s="28">
        <v>18</v>
      </c>
      <c r="G3556" s="28" t="s">
        <v>119</v>
      </c>
      <c r="H3556" s="28">
        <v>0</v>
      </c>
      <c r="J3556" s="28"/>
    </row>
    <row r="3557" spans="1:10" ht="15.75" customHeight="1">
      <c r="A3557" s="28">
        <v>19466</v>
      </c>
      <c r="B3557" s="91">
        <v>45128.648726851854</v>
      </c>
      <c r="C3557" s="28" t="s">
        <v>10</v>
      </c>
      <c r="D3557" s="28" t="s">
        <v>285</v>
      </c>
      <c r="E3557" s="28" t="s">
        <v>79</v>
      </c>
      <c r="F3557" s="28">
        <v>40</v>
      </c>
      <c r="G3557" s="28" t="s">
        <v>286</v>
      </c>
      <c r="H3557" s="28">
        <v>0</v>
      </c>
      <c r="J3557" s="28"/>
    </row>
    <row r="3558" spans="1:10" ht="15.75" customHeight="1">
      <c r="A3558" s="28">
        <v>19467</v>
      </c>
      <c r="B3558" s="91">
        <v>45128.732800925922</v>
      </c>
      <c r="C3558" s="28" t="s">
        <v>10</v>
      </c>
      <c r="D3558" s="28" t="s">
        <v>284</v>
      </c>
      <c r="E3558" s="28" t="s">
        <v>28</v>
      </c>
      <c r="F3558" s="28">
        <v>0</v>
      </c>
      <c r="G3558" s="28" t="s">
        <v>117</v>
      </c>
      <c r="H3558" s="28">
        <v>0</v>
      </c>
      <c r="J3558" s="28"/>
    </row>
    <row r="3559" spans="1:10" ht="15.75" customHeight="1">
      <c r="A3559" s="28">
        <v>19467</v>
      </c>
      <c r="B3559" s="91">
        <v>45128.732800925922</v>
      </c>
      <c r="C3559" s="28" t="s">
        <v>10</v>
      </c>
      <c r="D3559" s="28" t="s">
        <v>284</v>
      </c>
      <c r="E3559" s="28" t="s">
        <v>28</v>
      </c>
      <c r="F3559" s="28">
        <v>18</v>
      </c>
      <c r="G3559" s="28" t="s">
        <v>119</v>
      </c>
      <c r="H3559" s="28">
        <v>0</v>
      </c>
      <c r="J3559" s="28"/>
    </row>
    <row r="3560" spans="1:10" ht="15.75" customHeight="1">
      <c r="A3560" s="28">
        <v>19468</v>
      </c>
      <c r="B3560" s="91">
        <v>45128.886886574073</v>
      </c>
      <c r="C3560" s="28" t="s">
        <v>10</v>
      </c>
      <c r="D3560" s="28" t="s">
        <v>283</v>
      </c>
      <c r="E3560" s="28" t="s">
        <v>79</v>
      </c>
      <c r="F3560" s="28">
        <v>55</v>
      </c>
      <c r="G3560" s="28">
        <v>101684</v>
      </c>
      <c r="H3560" s="28">
        <v>0</v>
      </c>
      <c r="J3560" s="28"/>
    </row>
    <row r="3561" spans="1:10" ht="15.75" customHeight="1">
      <c r="A3561" s="28">
        <v>19468</v>
      </c>
      <c r="B3561" s="91">
        <v>45128.886886574073</v>
      </c>
      <c r="C3561" s="28" t="s">
        <v>10</v>
      </c>
      <c r="D3561" s="28" t="s">
        <v>283</v>
      </c>
      <c r="E3561" s="28" t="s">
        <v>79</v>
      </c>
      <c r="F3561" s="28">
        <v>0</v>
      </c>
      <c r="G3561" s="28" t="s">
        <v>118</v>
      </c>
      <c r="H3561" s="28">
        <v>0</v>
      </c>
      <c r="J3561" s="28"/>
    </row>
    <row r="3562" spans="1:10" ht="15.75" customHeight="1">
      <c r="A3562" s="28">
        <v>19468</v>
      </c>
      <c r="B3562" s="91">
        <v>45128.886886574073</v>
      </c>
      <c r="C3562" s="28" t="s">
        <v>10</v>
      </c>
      <c r="D3562" s="28" t="s">
        <v>283</v>
      </c>
      <c r="E3562" s="28" t="s">
        <v>79</v>
      </c>
      <c r="F3562" s="28">
        <v>0</v>
      </c>
      <c r="G3562" s="28" t="s">
        <v>119</v>
      </c>
      <c r="H3562" s="28">
        <v>0</v>
      </c>
      <c r="J3562" s="28"/>
    </row>
    <row r="3563" spans="1:10" ht="15.75" customHeight="1">
      <c r="A3563" s="28">
        <v>19468</v>
      </c>
      <c r="B3563" s="91">
        <v>45128.886886574073</v>
      </c>
      <c r="C3563" s="28" t="s">
        <v>10</v>
      </c>
      <c r="D3563" s="28" t="s">
        <v>283</v>
      </c>
      <c r="E3563" s="28" t="s">
        <v>79</v>
      </c>
      <c r="F3563" s="28">
        <v>0</v>
      </c>
      <c r="G3563" s="28" t="s">
        <v>120</v>
      </c>
      <c r="H3563" s="28">
        <v>0</v>
      </c>
      <c r="J3563" s="28"/>
    </row>
    <row r="3564" spans="1:10" ht="15.75" customHeight="1">
      <c r="A3564" s="28">
        <v>19468</v>
      </c>
      <c r="B3564" s="91">
        <v>45128.886886574073</v>
      </c>
      <c r="C3564" s="28" t="s">
        <v>10</v>
      </c>
      <c r="D3564" s="28" t="s">
        <v>283</v>
      </c>
      <c r="E3564" s="28" t="s">
        <v>79</v>
      </c>
      <c r="F3564" s="28">
        <v>0</v>
      </c>
      <c r="G3564" s="28" t="s">
        <v>121</v>
      </c>
      <c r="H3564" s="28">
        <v>0</v>
      </c>
      <c r="J3564" s="28"/>
    </row>
    <row r="3565" spans="1:10" ht="15.75" customHeight="1">
      <c r="A3565" s="28">
        <v>19469</v>
      </c>
      <c r="B3565" s="91">
        <v>45129.085717592592</v>
      </c>
      <c r="C3565" s="28" t="s">
        <v>10</v>
      </c>
      <c r="D3565" s="28" t="s">
        <v>282</v>
      </c>
      <c r="E3565" s="28" t="s">
        <v>28</v>
      </c>
      <c r="F3565" s="28">
        <v>25</v>
      </c>
      <c r="G3565" s="28" t="s">
        <v>141</v>
      </c>
      <c r="H3565" s="28">
        <v>0</v>
      </c>
      <c r="J3565" s="28"/>
    </row>
    <row r="3566" spans="1:10" ht="15.75" customHeight="1">
      <c r="A3566" s="28">
        <v>19469</v>
      </c>
      <c r="B3566" s="91">
        <v>45129.085717592592</v>
      </c>
      <c r="C3566" s="28" t="s">
        <v>10</v>
      </c>
      <c r="D3566" s="28" t="s">
        <v>282</v>
      </c>
      <c r="E3566" s="28" t="s">
        <v>28</v>
      </c>
      <c r="F3566" s="28">
        <v>18</v>
      </c>
      <c r="G3566" s="28" t="s">
        <v>119</v>
      </c>
      <c r="H3566" s="28">
        <v>0</v>
      </c>
      <c r="J3566" s="28"/>
    </row>
    <row r="3567" spans="1:10" ht="15.75" customHeight="1">
      <c r="A3567" s="28">
        <v>19469</v>
      </c>
      <c r="B3567" s="91">
        <v>45129.085717592592</v>
      </c>
      <c r="C3567" s="28" t="s">
        <v>10</v>
      </c>
      <c r="D3567" s="28" t="s">
        <v>282</v>
      </c>
      <c r="E3567" s="28" t="s">
        <v>28</v>
      </c>
      <c r="F3567" s="28">
        <v>20</v>
      </c>
      <c r="G3567" s="28" t="s">
        <v>121</v>
      </c>
      <c r="H3567" s="28">
        <v>0</v>
      </c>
      <c r="J3567" s="28"/>
    </row>
    <row r="3568" spans="1:10" ht="15.75" customHeight="1">
      <c r="A3568" s="28">
        <v>19470</v>
      </c>
      <c r="B3568" s="91">
        <v>45130.559641203705</v>
      </c>
      <c r="C3568" s="28" t="s">
        <v>10</v>
      </c>
      <c r="D3568" s="28" t="s">
        <v>281</v>
      </c>
      <c r="E3568" s="28" t="s">
        <v>28</v>
      </c>
      <c r="F3568" s="28">
        <v>0</v>
      </c>
      <c r="G3568" s="28" t="s">
        <v>117</v>
      </c>
      <c r="H3568" s="28">
        <v>0</v>
      </c>
      <c r="J3568" s="28"/>
    </row>
    <row r="3569" spans="1:10" ht="15.75" customHeight="1">
      <c r="A3569" s="28">
        <v>19472</v>
      </c>
      <c r="B3569" s="91">
        <v>45130.741759259261</v>
      </c>
      <c r="C3569" s="28" t="s">
        <v>10</v>
      </c>
      <c r="D3569" s="28" t="s">
        <v>280</v>
      </c>
      <c r="E3569" s="28" t="s">
        <v>28</v>
      </c>
      <c r="F3569" s="28">
        <v>25</v>
      </c>
      <c r="G3569" s="28">
        <v>100692</v>
      </c>
      <c r="H3569" s="28">
        <v>0</v>
      </c>
      <c r="J3569" s="28"/>
    </row>
    <row r="3570" spans="1:10" ht="15.75" customHeight="1">
      <c r="A3570" s="28">
        <v>19472</v>
      </c>
      <c r="B3570" s="91">
        <v>45130.741759259261</v>
      </c>
      <c r="C3570" s="28" t="s">
        <v>10</v>
      </c>
      <c r="D3570" s="28" t="s">
        <v>280</v>
      </c>
      <c r="E3570" s="28" t="s">
        <v>28</v>
      </c>
      <c r="F3570" s="28">
        <v>0</v>
      </c>
      <c r="G3570" s="28" t="s">
        <v>125</v>
      </c>
      <c r="H3570" s="28">
        <v>0</v>
      </c>
      <c r="J3570" s="28"/>
    </row>
    <row r="3571" spans="1:10" ht="15.75" customHeight="1">
      <c r="A3571" s="28">
        <v>19472</v>
      </c>
      <c r="B3571" s="91">
        <v>45130.741759259261</v>
      </c>
      <c r="C3571" s="28" t="s">
        <v>10</v>
      </c>
      <c r="D3571" s="28" t="s">
        <v>280</v>
      </c>
      <c r="E3571" s="28" t="s">
        <v>28</v>
      </c>
      <c r="F3571" s="28">
        <v>0</v>
      </c>
      <c r="G3571" s="28" t="s">
        <v>119</v>
      </c>
      <c r="H3571" s="28">
        <v>0</v>
      </c>
      <c r="J3571" s="28"/>
    </row>
    <row r="3572" spans="1:10" ht="15.75" customHeight="1">
      <c r="A3572" s="28">
        <v>19473</v>
      </c>
      <c r="B3572" s="91">
        <v>45130.980358796296</v>
      </c>
      <c r="C3572" s="28" t="s">
        <v>10</v>
      </c>
      <c r="D3572" s="28" t="s">
        <v>279</v>
      </c>
      <c r="E3572" s="28" t="s">
        <v>79</v>
      </c>
      <c r="F3572" s="28">
        <v>28</v>
      </c>
      <c r="G3572" s="28" t="s">
        <v>143</v>
      </c>
      <c r="H3572" s="28">
        <v>0</v>
      </c>
      <c r="J3572" s="28"/>
    </row>
    <row r="3573" spans="1:10" ht="15.75" customHeight="1">
      <c r="A3573" s="28">
        <v>19474</v>
      </c>
      <c r="B3573" s="91">
        <v>45130.982870370368</v>
      </c>
      <c r="C3573" s="28" t="s">
        <v>8</v>
      </c>
      <c r="D3573" s="28" t="s">
        <v>278</v>
      </c>
      <c r="E3573" s="28" t="s">
        <v>79</v>
      </c>
      <c r="F3573" s="28">
        <v>28</v>
      </c>
      <c r="G3573" s="28" t="s">
        <v>143</v>
      </c>
      <c r="H3573" s="28">
        <v>0</v>
      </c>
      <c r="J3573" s="28"/>
    </row>
    <row r="3574" spans="1:10" ht="15.75" customHeight="1">
      <c r="A3574" s="28">
        <v>19475</v>
      </c>
      <c r="B3574" s="91">
        <v>45130.998402777783</v>
      </c>
      <c r="C3574" s="28" t="s">
        <v>10</v>
      </c>
      <c r="D3574" s="28" t="s">
        <v>277</v>
      </c>
      <c r="E3574" s="28" t="s">
        <v>28</v>
      </c>
      <c r="F3574" s="28">
        <v>15</v>
      </c>
      <c r="G3574" s="28" t="s">
        <v>170</v>
      </c>
      <c r="H3574" s="28">
        <v>0</v>
      </c>
      <c r="J3574" s="28"/>
    </row>
    <row r="3575" spans="1:10" ht="15.75" customHeight="1">
      <c r="A3575" s="28">
        <v>19476</v>
      </c>
      <c r="B3575" s="91">
        <v>45131.000740740739</v>
      </c>
      <c r="C3575" s="28" t="s">
        <v>10</v>
      </c>
      <c r="D3575" s="28" t="s">
        <v>276</v>
      </c>
      <c r="E3575" s="28" t="s">
        <v>28</v>
      </c>
      <c r="F3575" s="28">
        <v>15</v>
      </c>
      <c r="G3575" s="28" t="s">
        <v>170</v>
      </c>
      <c r="H3575" s="28">
        <v>0</v>
      </c>
      <c r="J3575" s="28"/>
    </row>
    <row r="3576" spans="1:10" ht="15.75" customHeight="1">
      <c r="A3576" s="28">
        <v>19476</v>
      </c>
      <c r="B3576" s="91">
        <v>45131.000740740739</v>
      </c>
      <c r="C3576" s="28" t="s">
        <v>10</v>
      </c>
      <c r="D3576" s="28" t="s">
        <v>276</v>
      </c>
      <c r="E3576" s="28" t="s">
        <v>28</v>
      </c>
      <c r="F3576" s="28">
        <v>0</v>
      </c>
      <c r="G3576" s="28" t="s">
        <v>117</v>
      </c>
      <c r="H3576" s="28">
        <v>0</v>
      </c>
      <c r="J3576" s="28"/>
    </row>
    <row r="3577" spans="1:10" ht="15.75" customHeight="1">
      <c r="A3577" s="28">
        <v>19477</v>
      </c>
      <c r="B3577" s="91">
        <v>45131.873032407406</v>
      </c>
      <c r="C3577" s="28" t="s">
        <v>10</v>
      </c>
      <c r="D3577" s="28" t="s">
        <v>275</v>
      </c>
      <c r="E3577" s="28" t="s">
        <v>28</v>
      </c>
      <c r="F3577" s="28">
        <v>0</v>
      </c>
      <c r="G3577" s="28" t="s">
        <v>117</v>
      </c>
      <c r="H3577" s="28">
        <v>0</v>
      </c>
      <c r="J3577" s="28"/>
    </row>
    <row r="3578" spans="1:10" ht="15.75" customHeight="1">
      <c r="A3578" s="28">
        <v>19478</v>
      </c>
      <c r="B3578" s="91">
        <v>45132.051481481481</v>
      </c>
      <c r="C3578" s="28" t="s">
        <v>10</v>
      </c>
      <c r="D3578" s="28" t="s">
        <v>274</v>
      </c>
      <c r="E3578" s="28" t="s">
        <v>79</v>
      </c>
      <c r="F3578" s="28">
        <v>25</v>
      </c>
      <c r="G3578" s="28">
        <v>100692</v>
      </c>
      <c r="H3578" s="28">
        <v>0</v>
      </c>
      <c r="J3578" s="28"/>
    </row>
    <row r="3579" spans="1:10" ht="15.75" customHeight="1">
      <c r="A3579" s="28">
        <v>19478</v>
      </c>
      <c r="B3579" s="91">
        <v>45132.051481481481</v>
      </c>
      <c r="C3579" s="28" t="s">
        <v>10</v>
      </c>
      <c r="D3579" s="28" t="s">
        <v>274</v>
      </c>
      <c r="E3579" s="28" t="s">
        <v>79</v>
      </c>
      <c r="F3579" s="28">
        <v>0</v>
      </c>
      <c r="G3579" s="28" t="s">
        <v>125</v>
      </c>
      <c r="H3579" s="28">
        <v>0</v>
      </c>
      <c r="J3579" s="28"/>
    </row>
    <row r="3580" spans="1:10" ht="15.75" customHeight="1">
      <c r="A3580" s="28">
        <v>19478</v>
      </c>
      <c r="B3580" s="91">
        <v>45132.051481481481</v>
      </c>
      <c r="C3580" s="28" t="s">
        <v>10</v>
      </c>
      <c r="D3580" s="28" t="s">
        <v>274</v>
      </c>
      <c r="E3580" s="28" t="s">
        <v>79</v>
      </c>
      <c r="F3580" s="28">
        <v>0</v>
      </c>
      <c r="G3580" s="28" t="s">
        <v>119</v>
      </c>
      <c r="H3580" s="28">
        <v>0</v>
      </c>
      <c r="J3580" s="28"/>
    </row>
    <row r="3581" spans="1:10" ht="15.75" customHeight="1">
      <c r="A3581" s="28">
        <v>19479</v>
      </c>
      <c r="B3581" s="91">
        <v>45132.60020833333</v>
      </c>
      <c r="C3581" s="28" t="s">
        <v>10</v>
      </c>
      <c r="D3581" s="28" t="s">
        <v>273</v>
      </c>
      <c r="E3581" s="28" t="s">
        <v>28</v>
      </c>
      <c r="F3581" s="28">
        <v>25</v>
      </c>
      <c r="G3581" s="28">
        <v>100692</v>
      </c>
      <c r="H3581" s="28">
        <v>0</v>
      </c>
      <c r="J3581" s="28"/>
    </row>
    <row r="3582" spans="1:10" ht="15.75" customHeight="1">
      <c r="A3582" s="28">
        <v>19479</v>
      </c>
      <c r="B3582" s="91">
        <v>45132.60020833333</v>
      </c>
      <c r="C3582" s="28" t="s">
        <v>10</v>
      </c>
      <c r="D3582" s="28" t="s">
        <v>273</v>
      </c>
      <c r="E3582" s="28" t="s">
        <v>28</v>
      </c>
      <c r="F3582" s="28">
        <v>0</v>
      </c>
      <c r="G3582" s="28" t="s">
        <v>125</v>
      </c>
      <c r="H3582" s="28">
        <v>0</v>
      </c>
      <c r="J3582" s="28"/>
    </row>
    <row r="3583" spans="1:10" ht="15.75" customHeight="1">
      <c r="A3583" s="28">
        <v>19479</v>
      </c>
      <c r="B3583" s="91">
        <v>45132.60020833333</v>
      </c>
      <c r="C3583" s="28" t="s">
        <v>10</v>
      </c>
      <c r="D3583" s="28" t="s">
        <v>273</v>
      </c>
      <c r="E3583" s="28" t="s">
        <v>28</v>
      </c>
      <c r="F3583" s="28">
        <v>0</v>
      </c>
      <c r="G3583" s="28" t="s">
        <v>119</v>
      </c>
      <c r="H3583" s="28">
        <v>0</v>
      </c>
      <c r="J3583" s="28"/>
    </row>
    <row r="3584" spans="1:10" ht="15.75" customHeight="1">
      <c r="A3584" s="28">
        <v>19480</v>
      </c>
      <c r="B3584" s="91">
        <v>45132.615300925929</v>
      </c>
      <c r="C3584" s="28" t="s">
        <v>10</v>
      </c>
      <c r="D3584" s="28" t="s">
        <v>272</v>
      </c>
      <c r="E3584" s="28" t="s">
        <v>28</v>
      </c>
      <c r="F3584" s="28">
        <v>18</v>
      </c>
      <c r="G3584" s="28" t="s">
        <v>267</v>
      </c>
      <c r="H3584" s="28">
        <v>0</v>
      </c>
      <c r="J3584" s="28"/>
    </row>
    <row r="3585" spans="1:10" ht="15.75" customHeight="1">
      <c r="A3585" s="28">
        <v>19481</v>
      </c>
      <c r="B3585" s="91">
        <v>45132.789039351846</v>
      </c>
      <c r="C3585" s="28" t="s">
        <v>10</v>
      </c>
      <c r="D3585" s="28" t="s">
        <v>271</v>
      </c>
      <c r="E3585" s="28" t="s">
        <v>28</v>
      </c>
      <c r="F3585" s="28">
        <v>25</v>
      </c>
      <c r="G3585" s="28">
        <v>100692</v>
      </c>
      <c r="H3585" s="28">
        <v>0</v>
      </c>
      <c r="J3585" s="28"/>
    </row>
    <row r="3586" spans="1:10" ht="15.75" customHeight="1">
      <c r="A3586" s="28">
        <v>19481</v>
      </c>
      <c r="B3586" s="91">
        <v>45132.789039351846</v>
      </c>
      <c r="C3586" s="28" t="s">
        <v>10</v>
      </c>
      <c r="D3586" s="28" t="s">
        <v>271</v>
      </c>
      <c r="E3586" s="28" t="s">
        <v>28</v>
      </c>
      <c r="F3586" s="28">
        <v>0</v>
      </c>
      <c r="G3586" s="28" t="s">
        <v>125</v>
      </c>
      <c r="H3586" s="28">
        <v>0</v>
      </c>
      <c r="J3586" s="28"/>
    </row>
    <row r="3587" spans="1:10" ht="15.75" customHeight="1">
      <c r="A3587" s="28">
        <v>19481</v>
      </c>
      <c r="B3587" s="91">
        <v>45132.789039351846</v>
      </c>
      <c r="C3587" s="28" t="s">
        <v>10</v>
      </c>
      <c r="D3587" s="28" t="s">
        <v>271</v>
      </c>
      <c r="E3587" s="28" t="s">
        <v>28</v>
      </c>
      <c r="F3587" s="28">
        <v>0</v>
      </c>
      <c r="G3587" s="28" t="s">
        <v>119</v>
      </c>
      <c r="H3587" s="28">
        <v>0</v>
      </c>
      <c r="J3587" s="28"/>
    </row>
    <row r="3588" spans="1:10" ht="15.75" customHeight="1">
      <c r="A3588" s="28">
        <v>19482</v>
      </c>
      <c r="B3588" s="91">
        <v>45132.848402777774</v>
      </c>
      <c r="C3588" s="28" t="s">
        <v>10</v>
      </c>
      <c r="D3588" s="28" t="s">
        <v>270</v>
      </c>
      <c r="E3588" s="28" t="s">
        <v>28</v>
      </c>
      <c r="F3588" s="28">
        <v>26</v>
      </c>
      <c r="G3588" s="28" t="s">
        <v>122</v>
      </c>
      <c r="H3588" s="28">
        <v>0</v>
      </c>
      <c r="J3588" s="28"/>
    </row>
    <row r="3589" spans="1:10" ht="15.75" customHeight="1">
      <c r="A3589" s="28">
        <v>19482</v>
      </c>
      <c r="B3589" s="91">
        <v>45132.848402777774</v>
      </c>
      <c r="C3589" s="28" t="s">
        <v>10</v>
      </c>
      <c r="D3589" s="28" t="s">
        <v>270</v>
      </c>
      <c r="E3589" s="28" t="s">
        <v>28</v>
      </c>
      <c r="F3589" s="28">
        <v>28</v>
      </c>
      <c r="G3589" s="28" t="s">
        <v>143</v>
      </c>
      <c r="H3589" s="28">
        <v>0</v>
      </c>
      <c r="J3589" s="28"/>
    </row>
    <row r="3590" spans="1:10" ht="15.75" customHeight="1">
      <c r="A3590" s="28">
        <v>19482</v>
      </c>
      <c r="B3590" s="91">
        <v>45132.848402777774</v>
      </c>
      <c r="C3590" s="28" t="s">
        <v>10</v>
      </c>
      <c r="D3590" s="28" t="s">
        <v>270</v>
      </c>
      <c r="E3590" s="28" t="s">
        <v>28</v>
      </c>
      <c r="F3590" s="28">
        <v>15</v>
      </c>
      <c r="G3590" s="28" t="s">
        <v>170</v>
      </c>
      <c r="H3590" s="28">
        <v>0</v>
      </c>
      <c r="J3590" s="28"/>
    </row>
    <row r="3591" spans="1:10" ht="15.75" customHeight="1">
      <c r="A3591" s="28">
        <v>19483</v>
      </c>
      <c r="B3591" s="91">
        <v>45133.090150462958</v>
      </c>
      <c r="C3591" s="28" t="s">
        <v>10</v>
      </c>
      <c r="D3591" s="28" t="s">
        <v>269</v>
      </c>
      <c r="E3591" s="28" t="s">
        <v>28</v>
      </c>
      <c r="F3591" s="28">
        <v>0</v>
      </c>
      <c r="G3591" s="28" t="s">
        <v>117</v>
      </c>
      <c r="H3591" s="28">
        <v>0</v>
      </c>
      <c r="J3591" s="28"/>
    </row>
    <row r="3592" spans="1:10" ht="15.75" customHeight="1">
      <c r="A3592" s="28">
        <v>19483</v>
      </c>
      <c r="B3592" s="91">
        <v>45133.090150462958</v>
      </c>
      <c r="C3592" s="28" t="s">
        <v>10</v>
      </c>
      <c r="D3592" s="28" t="s">
        <v>269</v>
      </c>
      <c r="E3592" s="28" t="s">
        <v>28</v>
      </c>
      <c r="F3592" s="28">
        <v>20</v>
      </c>
      <c r="G3592" s="28" t="s">
        <v>121</v>
      </c>
      <c r="H3592" s="28">
        <v>0</v>
      </c>
      <c r="J3592" s="28"/>
    </row>
    <row r="3593" spans="1:10" ht="15.75" customHeight="1">
      <c r="A3593" s="28">
        <v>19484</v>
      </c>
      <c r="B3593" s="91">
        <v>45133.55668981481</v>
      </c>
      <c r="C3593" s="28" t="s">
        <v>10</v>
      </c>
      <c r="D3593" s="28" t="s">
        <v>268</v>
      </c>
      <c r="E3593" s="28" t="s">
        <v>28</v>
      </c>
      <c r="F3593" s="28">
        <v>28</v>
      </c>
      <c r="G3593" s="28" t="s">
        <v>143</v>
      </c>
      <c r="H3593" s="28">
        <v>0</v>
      </c>
      <c r="J3593" s="28"/>
    </row>
    <row r="3594" spans="1:10" ht="15.75" customHeight="1">
      <c r="A3594" s="28">
        <v>19484</v>
      </c>
      <c r="B3594" s="91">
        <v>45133.55668981481</v>
      </c>
      <c r="C3594" s="28" t="s">
        <v>10</v>
      </c>
      <c r="D3594" s="28" t="s">
        <v>268</v>
      </c>
      <c r="E3594" s="28" t="s">
        <v>28</v>
      </c>
      <c r="F3594" s="28">
        <v>15</v>
      </c>
      <c r="G3594" s="28" t="s">
        <v>170</v>
      </c>
      <c r="H3594" s="28">
        <v>0</v>
      </c>
      <c r="J3594" s="28"/>
    </row>
    <row r="3595" spans="1:10" ht="15.75" customHeight="1">
      <c r="A3595" s="28">
        <v>19485</v>
      </c>
      <c r="B3595" s="91">
        <v>45133.607789351852</v>
      </c>
      <c r="C3595" s="28" t="s">
        <v>10</v>
      </c>
      <c r="D3595" s="28" t="s">
        <v>266</v>
      </c>
      <c r="E3595" s="28" t="s">
        <v>28</v>
      </c>
      <c r="F3595" s="28">
        <v>18</v>
      </c>
      <c r="G3595" s="28" t="s">
        <v>267</v>
      </c>
      <c r="H3595" s="28">
        <v>0</v>
      </c>
      <c r="J3595" s="28"/>
    </row>
    <row r="3596" spans="1:10" ht="15.75" customHeight="1">
      <c r="A3596" s="28">
        <v>19486</v>
      </c>
      <c r="B3596" s="91">
        <v>45133.807060185187</v>
      </c>
      <c r="C3596" s="28" t="s">
        <v>10</v>
      </c>
      <c r="D3596" s="28" t="s">
        <v>265</v>
      </c>
      <c r="E3596" s="28" t="s">
        <v>28</v>
      </c>
      <c r="F3596" s="28">
        <v>25</v>
      </c>
      <c r="G3596" s="28">
        <v>100692</v>
      </c>
      <c r="H3596" s="28">
        <v>0</v>
      </c>
      <c r="J3596" s="28"/>
    </row>
    <row r="3597" spans="1:10" ht="15.75" customHeight="1">
      <c r="A3597" s="28">
        <v>19486</v>
      </c>
      <c r="B3597" s="91">
        <v>45133.807060185187</v>
      </c>
      <c r="C3597" s="28" t="s">
        <v>10</v>
      </c>
      <c r="D3597" s="28" t="s">
        <v>265</v>
      </c>
      <c r="E3597" s="28" t="s">
        <v>28</v>
      </c>
      <c r="F3597" s="28">
        <v>0</v>
      </c>
      <c r="G3597" s="28" t="s">
        <v>125</v>
      </c>
      <c r="H3597" s="28">
        <v>0</v>
      </c>
      <c r="J3597" s="28"/>
    </row>
    <row r="3598" spans="1:10" ht="15.75" customHeight="1">
      <c r="A3598" s="28">
        <v>19486</v>
      </c>
      <c r="B3598" s="91">
        <v>45133.807060185187</v>
      </c>
      <c r="C3598" s="28" t="s">
        <v>10</v>
      </c>
      <c r="D3598" s="28" t="s">
        <v>265</v>
      </c>
      <c r="E3598" s="28" t="s">
        <v>28</v>
      </c>
      <c r="F3598" s="28">
        <v>0</v>
      </c>
      <c r="G3598" s="28" t="s">
        <v>119</v>
      </c>
      <c r="H3598" s="28">
        <v>0</v>
      </c>
      <c r="J3598" s="28"/>
    </row>
    <row r="3599" spans="1:10" ht="15.75" customHeight="1">
      <c r="A3599" s="28">
        <v>19487</v>
      </c>
      <c r="B3599" s="91">
        <v>45133.808634259258</v>
      </c>
      <c r="C3599" s="28" t="s">
        <v>10</v>
      </c>
      <c r="D3599" s="28" t="s">
        <v>265</v>
      </c>
      <c r="E3599" s="28" t="s">
        <v>28</v>
      </c>
      <c r="F3599" s="28">
        <v>0</v>
      </c>
      <c r="G3599" s="28" t="s">
        <v>117</v>
      </c>
      <c r="H3599" s="28">
        <v>0</v>
      </c>
      <c r="J3599" s="28"/>
    </row>
    <row r="3600" spans="1:10" ht="15.75" customHeight="1">
      <c r="A3600" s="28">
        <v>19488</v>
      </c>
      <c r="B3600" s="91">
        <v>45133.810659722221</v>
      </c>
      <c r="C3600" s="28" t="s">
        <v>10</v>
      </c>
      <c r="D3600" s="28" t="s">
        <v>264</v>
      </c>
      <c r="E3600" s="28" t="s">
        <v>28</v>
      </c>
      <c r="F3600" s="28">
        <v>25</v>
      </c>
      <c r="G3600" s="28">
        <v>100692</v>
      </c>
      <c r="H3600" s="28">
        <v>0</v>
      </c>
      <c r="J3600" s="28"/>
    </row>
    <row r="3601" spans="1:10" ht="15.75" customHeight="1">
      <c r="A3601" s="28">
        <v>19488</v>
      </c>
      <c r="B3601" s="91">
        <v>45133.810659722221</v>
      </c>
      <c r="C3601" s="28" t="s">
        <v>10</v>
      </c>
      <c r="D3601" s="28" t="s">
        <v>264</v>
      </c>
      <c r="E3601" s="28" t="s">
        <v>28</v>
      </c>
      <c r="F3601" s="28">
        <v>0</v>
      </c>
      <c r="G3601" s="28" t="s">
        <v>125</v>
      </c>
      <c r="H3601" s="28">
        <v>0</v>
      </c>
      <c r="J3601" s="28"/>
    </row>
    <row r="3602" spans="1:10" ht="15.75" customHeight="1">
      <c r="A3602" s="28">
        <v>19488</v>
      </c>
      <c r="B3602" s="91">
        <v>45133.810659722221</v>
      </c>
      <c r="C3602" s="28" t="s">
        <v>10</v>
      </c>
      <c r="D3602" s="28" t="s">
        <v>264</v>
      </c>
      <c r="E3602" s="28" t="s">
        <v>28</v>
      </c>
      <c r="F3602" s="28">
        <v>0</v>
      </c>
      <c r="G3602" s="28" t="s">
        <v>119</v>
      </c>
      <c r="H3602" s="28">
        <v>0</v>
      </c>
      <c r="J3602" s="28"/>
    </row>
    <row r="3603" spans="1:10" ht="15.75" customHeight="1">
      <c r="A3603" s="28">
        <v>19488</v>
      </c>
      <c r="B3603" s="91">
        <v>45133.810659722221</v>
      </c>
      <c r="C3603" s="28" t="s">
        <v>10</v>
      </c>
      <c r="D3603" s="28" t="s">
        <v>264</v>
      </c>
      <c r="E3603" s="28" t="s">
        <v>28</v>
      </c>
      <c r="F3603" s="28">
        <v>0</v>
      </c>
      <c r="G3603" s="28" t="s">
        <v>117</v>
      </c>
      <c r="H3603" s="28">
        <v>0</v>
      </c>
      <c r="J3603" s="28"/>
    </row>
    <row r="3604" spans="1:10" ht="15.75" customHeight="1">
      <c r="A3604" s="28">
        <v>19489</v>
      </c>
      <c r="B3604" s="91">
        <v>45133.81318287037</v>
      </c>
      <c r="C3604" s="28" t="s">
        <v>10</v>
      </c>
      <c r="D3604" s="28" t="s">
        <v>263</v>
      </c>
      <c r="E3604" s="28" t="s">
        <v>28</v>
      </c>
      <c r="F3604" s="28">
        <v>25</v>
      </c>
      <c r="G3604" s="28">
        <v>100692</v>
      </c>
      <c r="H3604" s="28">
        <v>0</v>
      </c>
      <c r="J3604" s="28"/>
    </row>
    <row r="3605" spans="1:10" ht="15.75" customHeight="1">
      <c r="A3605" s="28">
        <v>19489</v>
      </c>
      <c r="B3605" s="91">
        <v>45133.81318287037</v>
      </c>
      <c r="C3605" s="28" t="s">
        <v>10</v>
      </c>
      <c r="D3605" s="28" t="s">
        <v>263</v>
      </c>
      <c r="E3605" s="28" t="s">
        <v>28</v>
      </c>
      <c r="F3605" s="28">
        <v>0</v>
      </c>
      <c r="G3605" s="28" t="s">
        <v>125</v>
      </c>
      <c r="H3605" s="28">
        <v>0</v>
      </c>
      <c r="J3605" s="28"/>
    </row>
    <row r="3606" spans="1:10" ht="15.75" customHeight="1">
      <c r="A3606" s="28">
        <v>19489</v>
      </c>
      <c r="B3606" s="91">
        <v>45133.81318287037</v>
      </c>
      <c r="C3606" s="28" t="s">
        <v>10</v>
      </c>
      <c r="D3606" s="28" t="s">
        <v>263</v>
      </c>
      <c r="E3606" s="28" t="s">
        <v>28</v>
      </c>
      <c r="F3606" s="28">
        <v>0</v>
      </c>
      <c r="G3606" s="28" t="s">
        <v>119</v>
      </c>
      <c r="H3606" s="28">
        <v>0</v>
      </c>
      <c r="J3606" s="28"/>
    </row>
    <row r="3607" spans="1:10" ht="15.75" customHeight="1">
      <c r="A3607" s="28">
        <v>19489</v>
      </c>
      <c r="B3607" s="91">
        <v>45133.81318287037</v>
      </c>
      <c r="C3607" s="28" t="s">
        <v>10</v>
      </c>
      <c r="D3607" s="28" t="s">
        <v>263</v>
      </c>
      <c r="E3607" s="28" t="s">
        <v>28</v>
      </c>
      <c r="F3607" s="28">
        <v>0</v>
      </c>
      <c r="G3607" s="28" t="s">
        <v>117</v>
      </c>
      <c r="H3607" s="28">
        <v>0</v>
      </c>
      <c r="J3607" s="28"/>
    </row>
    <row r="3608" spans="1:10" ht="15.75" customHeight="1">
      <c r="A3608" s="28">
        <v>19490</v>
      </c>
      <c r="B3608" s="91">
        <v>45133.844212962962</v>
      </c>
      <c r="C3608" s="28" t="s">
        <v>8</v>
      </c>
      <c r="D3608" s="28" t="s">
        <v>262</v>
      </c>
      <c r="E3608" s="28" t="s">
        <v>28</v>
      </c>
      <c r="F3608" s="28">
        <v>25</v>
      </c>
      <c r="G3608" s="28" t="s">
        <v>141</v>
      </c>
      <c r="H3608" s="28">
        <v>0</v>
      </c>
      <c r="J3608" s="28"/>
    </row>
    <row r="3609" spans="1:10" ht="15.75" customHeight="1">
      <c r="A3609" s="28">
        <v>19491</v>
      </c>
      <c r="B3609" s="91">
        <v>45133.881643518514</v>
      </c>
      <c r="C3609" s="28" t="s">
        <v>10</v>
      </c>
      <c r="D3609" s="28" t="s">
        <v>260</v>
      </c>
      <c r="E3609" s="28" t="s">
        <v>28</v>
      </c>
      <c r="F3609" s="28">
        <v>20</v>
      </c>
      <c r="G3609" s="28" t="s">
        <v>261</v>
      </c>
      <c r="H3609" s="28">
        <v>0</v>
      </c>
      <c r="J3609" s="28"/>
    </row>
    <row r="3610" spans="1:10" ht="15.75" customHeight="1">
      <c r="A3610" s="28">
        <v>19492</v>
      </c>
      <c r="B3610" s="91">
        <v>45135.930891203709</v>
      </c>
      <c r="C3610" s="28" t="s">
        <v>8</v>
      </c>
      <c r="D3610" s="28" t="s">
        <v>259</v>
      </c>
      <c r="E3610" s="28" t="s">
        <v>80</v>
      </c>
      <c r="F3610" s="28">
        <v>25</v>
      </c>
      <c r="G3610" s="28" t="s">
        <v>141</v>
      </c>
      <c r="H3610" s="28">
        <v>0</v>
      </c>
      <c r="J3610" s="28"/>
    </row>
    <row r="3611" spans="1:10" ht="15.75" customHeight="1">
      <c r="A3611" s="28">
        <v>19493</v>
      </c>
      <c r="B3611" s="91">
        <v>45135.944525462968</v>
      </c>
      <c r="C3611" s="28" t="s">
        <v>10</v>
      </c>
      <c r="D3611" s="28" t="s">
        <v>258</v>
      </c>
      <c r="E3611" s="28" t="s">
        <v>79</v>
      </c>
      <c r="F3611" s="28">
        <v>35</v>
      </c>
      <c r="G3611" s="28" t="s">
        <v>124</v>
      </c>
      <c r="H3611" s="28">
        <v>0</v>
      </c>
      <c r="J3611" s="28"/>
    </row>
    <row r="3612" spans="1:10" ht="15.75" customHeight="1">
      <c r="A3612" s="28">
        <v>19493</v>
      </c>
      <c r="B3612" s="91">
        <v>45135.944525462968</v>
      </c>
      <c r="C3612" s="28" t="s">
        <v>10</v>
      </c>
      <c r="D3612" s="28" t="s">
        <v>258</v>
      </c>
      <c r="E3612" s="28" t="s">
        <v>79</v>
      </c>
      <c r="F3612" s="28">
        <v>0</v>
      </c>
      <c r="G3612" s="28" t="s">
        <v>125</v>
      </c>
      <c r="H3612" s="28">
        <v>0</v>
      </c>
      <c r="J3612" s="28"/>
    </row>
    <row r="3613" spans="1:10" ht="15.75" customHeight="1">
      <c r="A3613" s="28">
        <v>19493</v>
      </c>
      <c r="B3613" s="91">
        <v>45135.944525462968</v>
      </c>
      <c r="C3613" s="28" t="s">
        <v>10</v>
      </c>
      <c r="D3613" s="28" t="s">
        <v>258</v>
      </c>
      <c r="E3613" s="28" t="s">
        <v>79</v>
      </c>
      <c r="F3613" s="28">
        <v>0</v>
      </c>
      <c r="G3613" s="28" t="s">
        <v>119</v>
      </c>
      <c r="H3613" s="28">
        <v>0</v>
      </c>
      <c r="J3613" s="28"/>
    </row>
    <row r="3614" spans="1:10" ht="15.75" customHeight="1">
      <c r="A3614" s="28">
        <v>19493</v>
      </c>
      <c r="B3614" s="91">
        <v>45135.944525462968</v>
      </c>
      <c r="C3614" s="28" t="s">
        <v>10</v>
      </c>
      <c r="D3614" s="28" t="s">
        <v>258</v>
      </c>
      <c r="E3614" s="28" t="s">
        <v>79</v>
      </c>
      <c r="F3614" s="28">
        <v>0</v>
      </c>
      <c r="G3614" s="28" t="s">
        <v>121</v>
      </c>
      <c r="H3614" s="28">
        <v>0</v>
      </c>
      <c r="J3614" s="28"/>
    </row>
    <row r="3615" spans="1:10" ht="15.75" customHeight="1">
      <c r="A3615" s="28">
        <v>19494</v>
      </c>
      <c r="B3615" s="91">
        <v>45136.0544212963</v>
      </c>
      <c r="C3615" s="28" t="s">
        <v>10</v>
      </c>
      <c r="D3615" s="28" t="s">
        <v>257</v>
      </c>
      <c r="E3615" s="28" t="s">
        <v>79</v>
      </c>
      <c r="F3615" s="28">
        <v>35</v>
      </c>
      <c r="G3615" s="28" t="s">
        <v>124</v>
      </c>
      <c r="H3615" s="28">
        <v>0</v>
      </c>
      <c r="J3615" s="28"/>
    </row>
    <row r="3616" spans="1:10" ht="15.75" customHeight="1">
      <c r="A3616" s="28">
        <v>19494</v>
      </c>
      <c r="B3616" s="91">
        <v>45136.0544212963</v>
      </c>
      <c r="C3616" s="28" t="s">
        <v>10</v>
      </c>
      <c r="D3616" s="28" t="s">
        <v>257</v>
      </c>
      <c r="E3616" s="28" t="s">
        <v>79</v>
      </c>
      <c r="F3616" s="28">
        <v>0</v>
      </c>
      <c r="G3616" s="28" t="s">
        <v>125</v>
      </c>
      <c r="H3616" s="28">
        <v>0</v>
      </c>
      <c r="J3616" s="28"/>
    </row>
    <row r="3617" spans="1:10" ht="15.75" customHeight="1">
      <c r="A3617" s="28">
        <v>19494</v>
      </c>
      <c r="B3617" s="91">
        <v>45136.0544212963</v>
      </c>
      <c r="C3617" s="28" t="s">
        <v>10</v>
      </c>
      <c r="D3617" s="28" t="s">
        <v>257</v>
      </c>
      <c r="E3617" s="28" t="s">
        <v>79</v>
      </c>
      <c r="F3617" s="28">
        <v>0</v>
      </c>
      <c r="G3617" s="28" t="s">
        <v>119</v>
      </c>
      <c r="H3617" s="28">
        <v>0</v>
      </c>
      <c r="J3617" s="28"/>
    </row>
    <row r="3618" spans="1:10" ht="15.75" customHeight="1">
      <c r="A3618" s="28">
        <v>19494</v>
      </c>
      <c r="B3618" s="91">
        <v>45136.0544212963</v>
      </c>
      <c r="C3618" s="28" t="s">
        <v>10</v>
      </c>
      <c r="D3618" s="28" t="s">
        <v>257</v>
      </c>
      <c r="E3618" s="28" t="s">
        <v>79</v>
      </c>
      <c r="F3618" s="28">
        <v>0</v>
      </c>
      <c r="G3618" s="28" t="s">
        <v>121</v>
      </c>
      <c r="H3618" s="28">
        <v>0</v>
      </c>
      <c r="J3618" s="28"/>
    </row>
    <row r="3619" spans="1:10" ht="15.75" customHeight="1">
      <c r="A3619" s="28">
        <v>19496</v>
      </c>
      <c r="B3619" s="91">
        <v>45136.54619212963</v>
      </c>
      <c r="C3619" s="28" t="s">
        <v>10</v>
      </c>
      <c r="D3619" s="28" t="s">
        <v>256</v>
      </c>
      <c r="E3619" s="28" t="s">
        <v>80</v>
      </c>
      <c r="F3619" s="28">
        <v>20</v>
      </c>
      <c r="G3619" s="28" t="s">
        <v>205</v>
      </c>
      <c r="H3619" s="28">
        <v>0</v>
      </c>
      <c r="J3619" s="28"/>
    </row>
    <row r="3620" spans="1:10" ht="15.75" customHeight="1">
      <c r="A3620" s="28">
        <v>19496</v>
      </c>
      <c r="B3620" s="91">
        <v>45136.54619212963</v>
      </c>
      <c r="C3620" s="28" t="s">
        <v>10</v>
      </c>
      <c r="D3620" s="28" t="s">
        <v>256</v>
      </c>
      <c r="E3620" s="28" t="s">
        <v>80</v>
      </c>
      <c r="F3620" s="28">
        <v>0</v>
      </c>
      <c r="G3620" s="28" t="s">
        <v>125</v>
      </c>
      <c r="H3620" s="28">
        <v>0</v>
      </c>
      <c r="J3620" s="28"/>
    </row>
    <row r="3621" spans="1:10" ht="15.75" customHeight="1">
      <c r="A3621" s="28">
        <v>19496</v>
      </c>
      <c r="B3621" s="91">
        <v>45136.54619212963</v>
      </c>
      <c r="C3621" s="28" t="s">
        <v>10</v>
      </c>
      <c r="D3621" s="28" t="s">
        <v>256</v>
      </c>
      <c r="E3621" s="28" t="s">
        <v>80</v>
      </c>
      <c r="F3621" s="28">
        <v>15</v>
      </c>
      <c r="G3621" s="28" t="s">
        <v>170</v>
      </c>
      <c r="H3621" s="28">
        <v>0</v>
      </c>
      <c r="J3621" s="28"/>
    </row>
    <row r="3622" spans="1:10" ht="15.75" customHeight="1">
      <c r="A3622" s="28">
        <v>19497</v>
      </c>
      <c r="B3622" s="91">
        <v>45136.684282407412</v>
      </c>
      <c r="C3622" s="28" t="s">
        <v>10</v>
      </c>
      <c r="D3622" s="28" t="s">
        <v>255</v>
      </c>
      <c r="E3622" s="28" t="s">
        <v>28</v>
      </c>
      <c r="F3622" s="28">
        <v>25</v>
      </c>
      <c r="G3622" s="28">
        <v>100692</v>
      </c>
      <c r="H3622" s="28">
        <v>0</v>
      </c>
      <c r="J3622" s="28"/>
    </row>
    <row r="3623" spans="1:10" ht="15.75" customHeight="1">
      <c r="A3623" s="28">
        <v>19497</v>
      </c>
      <c r="B3623" s="91">
        <v>45136.684282407412</v>
      </c>
      <c r="C3623" s="28" t="s">
        <v>10</v>
      </c>
      <c r="D3623" s="28" t="s">
        <v>255</v>
      </c>
      <c r="E3623" s="28" t="s">
        <v>28</v>
      </c>
      <c r="F3623" s="28">
        <v>0</v>
      </c>
      <c r="G3623" s="28" t="s">
        <v>125</v>
      </c>
      <c r="H3623" s="28">
        <v>0</v>
      </c>
      <c r="J3623" s="28"/>
    </row>
    <row r="3624" spans="1:10" ht="15.75" customHeight="1">
      <c r="A3624" s="28">
        <v>19497</v>
      </c>
      <c r="B3624" s="91">
        <v>45136.684282407412</v>
      </c>
      <c r="C3624" s="28" t="s">
        <v>10</v>
      </c>
      <c r="D3624" s="28" t="s">
        <v>255</v>
      </c>
      <c r="E3624" s="28" t="s">
        <v>28</v>
      </c>
      <c r="F3624" s="28">
        <v>0</v>
      </c>
      <c r="G3624" s="28" t="s">
        <v>119</v>
      </c>
      <c r="H3624" s="28">
        <v>0</v>
      </c>
      <c r="J3624" s="28"/>
    </row>
    <row r="3625" spans="1:10" ht="15.75" customHeight="1">
      <c r="A3625" s="28">
        <v>19498</v>
      </c>
      <c r="B3625" s="91">
        <v>45136.768240740741</v>
      </c>
      <c r="C3625" s="28" t="s">
        <v>10</v>
      </c>
      <c r="D3625" s="28" t="s">
        <v>254</v>
      </c>
      <c r="E3625" s="28" t="s">
        <v>28</v>
      </c>
      <c r="F3625" s="28">
        <v>15</v>
      </c>
      <c r="G3625" s="28" t="s">
        <v>125</v>
      </c>
      <c r="H3625" s="28">
        <v>0</v>
      </c>
      <c r="J3625" s="28"/>
    </row>
    <row r="3626" spans="1:10" ht="15.75" customHeight="1">
      <c r="A3626" s="28">
        <v>19498</v>
      </c>
      <c r="B3626" s="91">
        <v>45136.768240740741</v>
      </c>
      <c r="C3626" s="28" t="s">
        <v>10</v>
      </c>
      <c r="D3626" s="28" t="s">
        <v>254</v>
      </c>
      <c r="E3626" s="28" t="s">
        <v>28</v>
      </c>
      <c r="F3626" s="28">
        <v>0</v>
      </c>
      <c r="G3626" s="28" t="s">
        <v>117</v>
      </c>
      <c r="H3626" s="28">
        <v>0</v>
      </c>
      <c r="J3626" s="28"/>
    </row>
    <row r="3627" spans="1:10" ht="15.75" customHeight="1">
      <c r="A3627" s="28">
        <v>19499</v>
      </c>
      <c r="B3627" s="91">
        <v>45137.001030092593</v>
      </c>
      <c r="C3627" s="28" t="s">
        <v>10</v>
      </c>
      <c r="D3627" s="28" t="s">
        <v>253</v>
      </c>
      <c r="E3627" s="28" t="s">
        <v>28</v>
      </c>
      <c r="F3627" s="28">
        <v>0</v>
      </c>
      <c r="G3627" s="28" t="s">
        <v>117</v>
      </c>
      <c r="H3627" s="28">
        <v>0</v>
      </c>
      <c r="J3627" s="28"/>
    </row>
    <row r="3628" spans="1:10" ht="15.75" customHeight="1">
      <c r="A3628" s="28">
        <v>19499</v>
      </c>
      <c r="B3628" s="91">
        <v>45137.001030092593</v>
      </c>
      <c r="C3628" s="28" t="s">
        <v>10</v>
      </c>
      <c r="D3628" s="28" t="s">
        <v>253</v>
      </c>
      <c r="E3628" s="28" t="s">
        <v>28</v>
      </c>
      <c r="F3628" s="28">
        <v>25</v>
      </c>
      <c r="G3628" s="28">
        <v>100692</v>
      </c>
      <c r="H3628" s="28">
        <v>0</v>
      </c>
      <c r="J3628" s="28"/>
    </row>
    <row r="3629" spans="1:10" ht="15.75" customHeight="1">
      <c r="A3629" s="28">
        <v>19499</v>
      </c>
      <c r="B3629" s="91">
        <v>45137.001030092593</v>
      </c>
      <c r="C3629" s="28" t="s">
        <v>10</v>
      </c>
      <c r="D3629" s="28" t="s">
        <v>253</v>
      </c>
      <c r="E3629" s="28" t="s">
        <v>28</v>
      </c>
      <c r="F3629" s="28">
        <v>0</v>
      </c>
      <c r="G3629" s="28" t="s">
        <v>125</v>
      </c>
      <c r="H3629" s="28">
        <v>0</v>
      </c>
      <c r="J3629" s="28"/>
    </row>
    <row r="3630" spans="1:10" ht="15.75" customHeight="1">
      <c r="A3630" s="28">
        <v>19499</v>
      </c>
      <c r="B3630" s="91">
        <v>45137.001030092593</v>
      </c>
      <c r="C3630" s="28" t="s">
        <v>10</v>
      </c>
      <c r="D3630" s="28" t="s">
        <v>253</v>
      </c>
      <c r="E3630" s="28" t="s">
        <v>28</v>
      </c>
      <c r="F3630" s="28">
        <v>0</v>
      </c>
      <c r="G3630" s="28" t="s">
        <v>119</v>
      </c>
      <c r="H3630" s="28">
        <v>0</v>
      </c>
      <c r="J3630" s="28"/>
    </row>
    <row r="3631" spans="1:10" ht="15.75" customHeight="1">
      <c r="A3631" s="28">
        <v>19500</v>
      </c>
      <c r="B3631" s="91">
        <v>45137.104664351849</v>
      </c>
      <c r="C3631" s="28" t="s">
        <v>10</v>
      </c>
      <c r="D3631" s="28" t="s">
        <v>252</v>
      </c>
      <c r="E3631" s="28" t="s">
        <v>79</v>
      </c>
      <c r="F3631" s="28">
        <v>20</v>
      </c>
      <c r="G3631" s="28" t="s">
        <v>205</v>
      </c>
      <c r="H3631" s="28">
        <v>0</v>
      </c>
      <c r="J3631" s="28"/>
    </row>
    <row r="3632" spans="1:10" ht="15.75" customHeight="1">
      <c r="A3632" s="28">
        <v>19500</v>
      </c>
      <c r="B3632" s="91">
        <v>45137.104664351849</v>
      </c>
      <c r="C3632" s="28" t="s">
        <v>10</v>
      </c>
      <c r="D3632" s="28" t="s">
        <v>252</v>
      </c>
      <c r="E3632" s="28" t="s">
        <v>79</v>
      </c>
      <c r="F3632" s="28">
        <v>0</v>
      </c>
      <c r="G3632" s="28" t="s">
        <v>125</v>
      </c>
      <c r="H3632" s="28">
        <v>0</v>
      </c>
      <c r="J3632" s="28"/>
    </row>
    <row r="3633" spans="1:10" ht="15.75" customHeight="1">
      <c r="A3633" s="28">
        <v>19501</v>
      </c>
      <c r="B3633" s="91">
        <v>45137.549120370371</v>
      </c>
      <c r="C3633" s="28" t="s">
        <v>8</v>
      </c>
      <c r="D3633" s="28" t="s">
        <v>251</v>
      </c>
      <c r="E3633" s="28" t="s">
        <v>28</v>
      </c>
      <c r="F3633" s="28">
        <v>0</v>
      </c>
      <c r="G3633" s="28" t="s">
        <v>117</v>
      </c>
      <c r="H3633" s="28">
        <v>0</v>
      </c>
      <c r="J3633" s="28"/>
    </row>
    <row r="3634" spans="1:10" ht="15.75" customHeight="1">
      <c r="A3634" s="28">
        <v>19502</v>
      </c>
      <c r="B3634" s="91">
        <v>45137.62399305556</v>
      </c>
      <c r="C3634" s="28" t="s">
        <v>10</v>
      </c>
      <c r="D3634" s="28" t="s">
        <v>250</v>
      </c>
      <c r="E3634" s="28" t="s">
        <v>28</v>
      </c>
      <c r="F3634" s="28">
        <v>26</v>
      </c>
      <c r="G3634" s="28" t="s">
        <v>122</v>
      </c>
      <c r="H3634" s="28">
        <v>0</v>
      </c>
      <c r="J3634" s="28"/>
    </row>
    <row r="3635" spans="1:10" ht="15.75" customHeight="1">
      <c r="A3635" s="28">
        <v>19502</v>
      </c>
      <c r="B3635" s="91">
        <v>45137.62399305556</v>
      </c>
      <c r="C3635" s="28" t="s">
        <v>10</v>
      </c>
      <c r="D3635" s="28" t="s">
        <v>250</v>
      </c>
      <c r="E3635" s="28" t="s">
        <v>28</v>
      </c>
      <c r="F3635" s="28">
        <v>0</v>
      </c>
      <c r="G3635" s="28" t="s">
        <v>117</v>
      </c>
      <c r="H3635" s="28">
        <v>0</v>
      </c>
      <c r="J3635" s="28"/>
    </row>
    <row r="3636" spans="1:10" ht="15.75" customHeight="1">
      <c r="A3636" s="28">
        <v>19503</v>
      </c>
      <c r="B3636" s="91">
        <v>45137.626319444447</v>
      </c>
      <c r="C3636" s="28" t="s">
        <v>10</v>
      </c>
      <c r="D3636" s="28" t="s">
        <v>249</v>
      </c>
      <c r="E3636" s="28" t="s">
        <v>28</v>
      </c>
      <c r="F3636" s="28">
        <v>26</v>
      </c>
      <c r="G3636" s="28" t="s">
        <v>122</v>
      </c>
      <c r="H3636" s="28">
        <v>0</v>
      </c>
      <c r="J3636" s="28"/>
    </row>
    <row r="3637" spans="1:10" ht="15.75" customHeight="1">
      <c r="A3637" s="28">
        <v>19503</v>
      </c>
      <c r="B3637" s="91">
        <v>45137.626319444447</v>
      </c>
      <c r="C3637" s="28" t="s">
        <v>10</v>
      </c>
      <c r="D3637" s="28" t="s">
        <v>249</v>
      </c>
      <c r="E3637" s="28" t="s">
        <v>28</v>
      </c>
      <c r="F3637" s="28">
        <v>0</v>
      </c>
      <c r="G3637" s="28" t="s">
        <v>117</v>
      </c>
      <c r="H3637" s="28">
        <v>0</v>
      </c>
      <c r="J3637" s="28"/>
    </row>
    <row r="3638" spans="1:10" ht="15.75" customHeight="1">
      <c r="A3638" s="28">
        <v>19504</v>
      </c>
      <c r="B3638" s="91">
        <v>45137.68787037037</v>
      </c>
      <c r="C3638" s="28" t="s">
        <v>10</v>
      </c>
      <c r="D3638" s="28" t="s">
        <v>248</v>
      </c>
      <c r="E3638" s="28" t="s">
        <v>79</v>
      </c>
      <c r="F3638" s="28">
        <v>26</v>
      </c>
      <c r="G3638" s="28" t="s">
        <v>122</v>
      </c>
      <c r="H3638" s="28">
        <v>0</v>
      </c>
      <c r="J3638" s="28"/>
    </row>
    <row r="3639" spans="1:10" ht="15.75" customHeight="1">
      <c r="A3639" s="28">
        <v>19505</v>
      </c>
      <c r="B3639" s="91">
        <v>45137.751157407409</v>
      </c>
      <c r="C3639" s="28" t="s">
        <v>10</v>
      </c>
      <c r="D3639" s="28" t="s">
        <v>247</v>
      </c>
      <c r="E3639" s="28" t="s">
        <v>79</v>
      </c>
      <c r="F3639" s="28">
        <v>26</v>
      </c>
      <c r="G3639" s="28" t="s">
        <v>122</v>
      </c>
      <c r="H3639" s="28">
        <v>0</v>
      </c>
      <c r="J3639" s="28"/>
    </row>
    <row r="3640" spans="1:10" ht="15.75" customHeight="1">
      <c r="A3640" s="28">
        <v>19506</v>
      </c>
      <c r="B3640" s="91">
        <v>45137.755486111113</v>
      </c>
      <c r="C3640" s="28" t="s">
        <v>10</v>
      </c>
      <c r="D3640" s="28" t="s">
        <v>246</v>
      </c>
      <c r="E3640" s="28" t="s">
        <v>28</v>
      </c>
      <c r="F3640" s="28">
        <v>35</v>
      </c>
      <c r="G3640" s="28" t="s">
        <v>124</v>
      </c>
      <c r="H3640" s="28">
        <v>0</v>
      </c>
      <c r="J3640" s="28"/>
    </row>
    <row r="3641" spans="1:10" ht="15.75" customHeight="1">
      <c r="A3641" s="28">
        <v>19506</v>
      </c>
      <c r="B3641" s="91">
        <v>45137.755486111113</v>
      </c>
      <c r="C3641" s="28" t="s">
        <v>10</v>
      </c>
      <c r="D3641" s="28" t="s">
        <v>246</v>
      </c>
      <c r="E3641" s="28" t="s">
        <v>28</v>
      </c>
      <c r="F3641" s="28">
        <v>0</v>
      </c>
      <c r="G3641" s="28" t="s">
        <v>125</v>
      </c>
      <c r="H3641" s="28">
        <v>0</v>
      </c>
      <c r="J3641" s="28"/>
    </row>
    <row r="3642" spans="1:10" ht="15.75" customHeight="1">
      <c r="A3642" s="28">
        <v>19506</v>
      </c>
      <c r="B3642" s="91">
        <v>45137.755486111113</v>
      </c>
      <c r="C3642" s="28" t="s">
        <v>10</v>
      </c>
      <c r="D3642" s="28" t="s">
        <v>246</v>
      </c>
      <c r="E3642" s="28" t="s">
        <v>28</v>
      </c>
      <c r="F3642" s="28">
        <v>0</v>
      </c>
      <c r="G3642" s="28" t="s">
        <v>119</v>
      </c>
      <c r="H3642" s="28">
        <v>0</v>
      </c>
      <c r="J3642" s="28"/>
    </row>
    <row r="3643" spans="1:10" ht="15.75" customHeight="1">
      <c r="A3643" s="28">
        <v>19506</v>
      </c>
      <c r="B3643" s="91">
        <v>45137.755486111113</v>
      </c>
      <c r="C3643" s="28" t="s">
        <v>10</v>
      </c>
      <c r="D3643" s="28" t="s">
        <v>246</v>
      </c>
      <c r="E3643" s="28" t="s">
        <v>28</v>
      </c>
      <c r="F3643" s="28">
        <v>0</v>
      </c>
      <c r="G3643" s="28" t="s">
        <v>121</v>
      </c>
      <c r="H3643" s="28">
        <v>0</v>
      </c>
      <c r="J3643" s="28"/>
    </row>
    <row r="3644" spans="1:10" ht="15.75" customHeight="1">
      <c r="A3644" s="28">
        <v>19507</v>
      </c>
      <c r="B3644" s="91">
        <v>45137.840370370366</v>
      </c>
      <c r="C3644" s="28" t="s">
        <v>10</v>
      </c>
      <c r="D3644" s="28" t="s">
        <v>245</v>
      </c>
      <c r="E3644" s="28" t="s">
        <v>79</v>
      </c>
      <c r="F3644" s="28">
        <v>30</v>
      </c>
      <c r="G3644" s="28" t="s">
        <v>128</v>
      </c>
      <c r="H3644" s="28">
        <v>0</v>
      </c>
      <c r="J3644" s="28"/>
    </row>
    <row r="3645" spans="1:10" ht="15.75" customHeight="1">
      <c r="A3645" s="28">
        <v>19507</v>
      </c>
      <c r="B3645" s="91">
        <v>45137.840370370366</v>
      </c>
      <c r="C3645" s="28" t="s">
        <v>10</v>
      </c>
      <c r="D3645" s="28" t="s">
        <v>245</v>
      </c>
      <c r="E3645" s="28" t="s">
        <v>79</v>
      </c>
      <c r="F3645" s="28">
        <v>0</v>
      </c>
      <c r="G3645" s="28" t="s">
        <v>125</v>
      </c>
      <c r="H3645" s="28">
        <v>0</v>
      </c>
      <c r="J3645" s="28"/>
    </row>
    <row r="3646" spans="1:10" ht="15.75" customHeight="1">
      <c r="A3646" s="28">
        <v>19507</v>
      </c>
      <c r="B3646" s="91">
        <v>45137.840370370366</v>
      </c>
      <c r="C3646" s="28" t="s">
        <v>10</v>
      </c>
      <c r="D3646" s="28" t="s">
        <v>245</v>
      </c>
      <c r="E3646" s="28" t="s">
        <v>79</v>
      </c>
      <c r="F3646" s="28">
        <v>0</v>
      </c>
      <c r="G3646" s="28" t="s">
        <v>119</v>
      </c>
      <c r="H3646" s="28">
        <v>0</v>
      </c>
      <c r="J3646" s="28"/>
    </row>
    <row r="3647" spans="1:10" ht="15.75" customHeight="1">
      <c r="A3647" s="28">
        <v>19507</v>
      </c>
      <c r="B3647" s="91">
        <v>45137.840370370366</v>
      </c>
      <c r="C3647" s="28" t="s">
        <v>10</v>
      </c>
      <c r="D3647" s="28" t="s">
        <v>245</v>
      </c>
      <c r="E3647" s="28" t="s">
        <v>79</v>
      </c>
      <c r="F3647" s="28">
        <v>45</v>
      </c>
      <c r="G3647" s="28" t="s">
        <v>125</v>
      </c>
      <c r="H3647" s="28">
        <v>0</v>
      </c>
      <c r="J3647" s="28"/>
    </row>
    <row r="3648" spans="1:10" ht="15.75" customHeight="1">
      <c r="A3648" s="28">
        <v>19508</v>
      </c>
      <c r="B3648" s="91">
        <v>45138.199745370366</v>
      </c>
      <c r="C3648" s="28" t="s">
        <v>10</v>
      </c>
      <c r="D3648" s="28" t="s">
        <v>244</v>
      </c>
      <c r="E3648" s="28" t="s">
        <v>28</v>
      </c>
      <c r="F3648" s="28">
        <v>15</v>
      </c>
      <c r="G3648" s="28" t="s">
        <v>125</v>
      </c>
      <c r="H3648" s="28">
        <v>0</v>
      </c>
      <c r="J3648" s="28"/>
    </row>
    <row r="3649" spans="1:10" ht="15.75" customHeight="1">
      <c r="A3649" s="28">
        <v>19508</v>
      </c>
      <c r="B3649" s="91">
        <v>45138.199745370366</v>
      </c>
      <c r="C3649" s="28" t="s">
        <v>10</v>
      </c>
      <c r="D3649" s="28" t="s">
        <v>244</v>
      </c>
      <c r="E3649" s="28" t="s">
        <v>28</v>
      </c>
      <c r="F3649" s="28">
        <v>0</v>
      </c>
      <c r="G3649" s="28" t="s">
        <v>117</v>
      </c>
      <c r="H3649" s="28">
        <v>0</v>
      </c>
      <c r="J3649" s="28"/>
    </row>
    <row r="3650" spans="1:10" ht="15.75" customHeight="1">
      <c r="A3650" s="28">
        <v>19509</v>
      </c>
      <c r="B3650" s="91">
        <v>45138.657465277778</v>
      </c>
      <c r="C3650" s="28" t="s">
        <v>5</v>
      </c>
      <c r="D3650" s="28" t="s">
        <v>243</v>
      </c>
      <c r="E3650" s="28" t="s">
        <v>28</v>
      </c>
      <c r="F3650" s="28">
        <v>22</v>
      </c>
      <c r="G3650" s="28" t="s">
        <v>137</v>
      </c>
      <c r="H3650" s="28">
        <v>0</v>
      </c>
      <c r="J3650" s="28"/>
    </row>
    <row r="3651" spans="1:10" ht="15.75" customHeight="1">
      <c r="A3651" s="28">
        <v>19511</v>
      </c>
      <c r="B3651" s="91">
        <v>45139.646828703699</v>
      </c>
      <c r="C3651" s="28" t="s">
        <v>10</v>
      </c>
      <c r="D3651" s="28" t="s">
        <v>242</v>
      </c>
      <c r="E3651" s="28" t="s">
        <v>28</v>
      </c>
      <c r="F3651" s="28">
        <v>15</v>
      </c>
      <c r="G3651" s="28" t="s">
        <v>125</v>
      </c>
      <c r="H3651" s="28">
        <v>0</v>
      </c>
      <c r="J3651" s="28"/>
    </row>
    <row r="3652" spans="1:10" ht="15.75" customHeight="1">
      <c r="A3652" s="28">
        <v>19512</v>
      </c>
      <c r="B3652" s="91">
        <v>45139.945208333331</v>
      </c>
      <c r="C3652" s="28" t="s">
        <v>10</v>
      </c>
      <c r="D3652" s="28" t="s">
        <v>241</v>
      </c>
      <c r="E3652" s="28" t="s">
        <v>28</v>
      </c>
      <c r="F3652" s="28">
        <v>25</v>
      </c>
      <c r="G3652" s="28">
        <v>100692</v>
      </c>
      <c r="H3652" s="28">
        <v>0</v>
      </c>
      <c r="J3652" s="28"/>
    </row>
    <row r="3653" spans="1:10" ht="15.75" customHeight="1">
      <c r="A3653" s="28">
        <v>19512</v>
      </c>
      <c r="B3653" s="91">
        <v>45139.945208333331</v>
      </c>
      <c r="C3653" s="28" t="s">
        <v>10</v>
      </c>
      <c r="D3653" s="28" t="s">
        <v>241</v>
      </c>
      <c r="E3653" s="28" t="s">
        <v>28</v>
      </c>
      <c r="F3653" s="28">
        <v>0</v>
      </c>
      <c r="G3653" s="28" t="s">
        <v>125</v>
      </c>
      <c r="H3653" s="28">
        <v>0</v>
      </c>
      <c r="J3653" s="28"/>
    </row>
    <row r="3654" spans="1:10" ht="15.75" customHeight="1">
      <c r="A3654" s="28">
        <v>19512</v>
      </c>
      <c r="B3654" s="91">
        <v>45139.945208333331</v>
      </c>
      <c r="C3654" s="28" t="s">
        <v>10</v>
      </c>
      <c r="D3654" s="28" t="s">
        <v>241</v>
      </c>
      <c r="E3654" s="28" t="s">
        <v>28</v>
      </c>
      <c r="F3654" s="28">
        <v>0</v>
      </c>
      <c r="G3654" s="28" t="s">
        <v>119</v>
      </c>
      <c r="H3654" s="28">
        <v>0</v>
      </c>
      <c r="J3654" s="28"/>
    </row>
    <row r="3655" spans="1:10" ht="15.75" customHeight="1">
      <c r="A3655" s="28">
        <v>19513</v>
      </c>
      <c r="B3655" s="91">
        <v>45139.947326388894</v>
      </c>
      <c r="C3655" s="28" t="s">
        <v>10</v>
      </c>
      <c r="D3655" s="28" t="s">
        <v>240</v>
      </c>
      <c r="E3655" s="28" t="s">
        <v>28</v>
      </c>
      <c r="F3655" s="28">
        <v>25</v>
      </c>
      <c r="G3655" s="28">
        <v>100692</v>
      </c>
      <c r="H3655" s="28">
        <v>0</v>
      </c>
      <c r="J3655" s="28"/>
    </row>
    <row r="3656" spans="1:10" ht="15.75" customHeight="1">
      <c r="A3656" s="28">
        <v>19513</v>
      </c>
      <c r="B3656" s="91">
        <v>45139.947326388894</v>
      </c>
      <c r="C3656" s="28" t="s">
        <v>10</v>
      </c>
      <c r="D3656" s="28" t="s">
        <v>240</v>
      </c>
      <c r="E3656" s="28" t="s">
        <v>28</v>
      </c>
      <c r="F3656" s="28">
        <v>0</v>
      </c>
      <c r="G3656" s="28" t="s">
        <v>125</v>
      </c>
      <c r="H3656" s="28">
        <v>0</v>
      </c>
      <c r="J3656" s="28"/>
    </row>
    <row r="3657" spans="1:10" ht="15.75" customHeight="1">
      <c r="A3657" s="28">
        <v>19513</v>
      </c>
      <c r="B3657" s="91">
        <v>45139.947326388894</v>
      </c>
      <c r="C3657" s="28" t="s">
        <v>10</v>
      </c>
      <c r="D3657" s="28" t="s">
        <v>240</v>
      </c>
      <c r="E3657" s="28" t="s">
        <v>28</v>
      </c>
      <c r="F3657" s="28">
        <v>0</v>
      </c>
      <c r="G3657" s="28" t="s">
        <v>119</v>
      </c>
      <c r="H3657" s="28">
        <v>0</v>
      </c>
      <c r="J3657" s="28"/>
    </row>
    <row r="3658" spans="1:10" ht="15.75" customHeight="1">
      <c r="A3658" s="28">
        <v>19514</v>
      </c>
      <c r="B3658" s="91">
        <v>45140.545555555553</v>
      </c>
      <c r="C3658" s="28" t="s">
        <v>10</v>
      </c>
      <c r="D3658" s="28" t="s">
        <v>239</v>
      </c>
      <c r="E3658" s="28" t="s">
        <v>28</v>
      </c>
      <c r="F3658" s="28">
        <v>0</v>
      </c>
      <c r="G3658" s="28" t="s">
        <v>117</v>
      </c>
      <c r="H3658" s="28">
        <v>0</v>
      </c>
      <c r="J3658" s="28"/>
    </row>
    <row r="3659" spans="1:10" ht="15.75" customHeight="1">
      <c r="A3659" s="28">
        <v>19514</v>
      </c>
      <c r="B3659" s="91">
        <v>45140.545555555553</v>
      </c>
      <c r="C3659" s="28" t="s">
        <v>10</v>
      </c>
      <c r="D3659" s="28" t="s">
        <v>239</v>
      </c>
      <c r="E3659" s="28" t="s">
        <v>28</v>
      </c>
      <c r="F3659" s="28">
        <v>25</v>
      </c>
      <c r="G3659" s="28" t="s">
        <v>141</v>
      </c>
      <c r="H3659" s="28">
        <v>0</v>
      </c>
      <c r="J3659" s="28"/>
    </row>
    <row r="3660" spans="1:10" ht="15.75" customHeight="1">
      <c r="A3660" s="28">
        <v>19515</v>
      </c>
      <c r="B3660" s="91">
        <v>45140.618136574078</v>
      </c>
      <c r="C3660" s="28" t="s">
        <v>10</v>
      </c>
      <c r="D3660" s="28" t="s">
        <v>238</v>
      </c>
      <c r="E3660" s="28" t="s">
        <v>28</v>
      </c>
      <c r="F3660" s="28">
        <v>30</v>
      </c>
      <c r="G3660" s="28" t="s">
        <v>128</v>
      </c>
      <c r="H3660" s="28">
        <v>0</v>
      </c>
      <c r="J3660" s="28"/>
    </row>
    <row r="3661" spans="1:10" ht="15.75" customHeight="1">
      <c r="A3661" s="28">
        <v>19515</v>
      </c>
      <c r="B3661" s="91">
        <v>45140.618136574078</v>
      </c>
      <c r="C3661" s="28" t="s">
        <v>10</v>
      </c>
      <c r="D3661" s="28" t="s">
        <v>238</v>
      </c>
      <c r="E3661" s="28" t="s">
        <v>28</v>
      </c>
      <c r="F3661" s="28">
        <v>0</v>
      </c>
      <c r="G3661" s="28" t="s">
        <v>125</v>
      </c>
      <c r="H3661" s="28">
        <v>0</v>
      </c>
      <c r="J3661" s="28"/>
    </row>
    <row r="3662" spans="1:10" ht="15.75" customHeight="1">
      <c r="A3662" s="28">
        <v>19515</v>
      </c>
      <c r="B3662" s="91">
        <v>45140.618136574078</v>
      </c>
      <c r="C3662" s="28" t="s">
        <v>10</v>
      </c>
      <c r="D3662" s="28" t="s">
        <v>238</v>
      </c>
      <c r="E3662" s="28" t="s">
        <v>28</v>
      </c>
      <c r="F3662" s="28">
        <v>0</v>
      </c>
      <c r="G3662" s="28" t="s">
        <v>119</v>
      </c>
      <c r="H3662" s="28">
        <v>0</v>
      </c>
      <c r="J3662" s="28"/>
    </row>
    <row r="3663" spans="1:10" ht="15.75" customHeight="1">
      <c r="A3663" s="28">
        <v>19516</v>
      </c>
      <c r="B3663" s="91">
        <v>45140.619143518517</v>
      </c>
      <c r="C3663" s="28" t="s">
        <v>10</v>
      </c>
      <c r="D3663" s="28" t="s">
        <v>237</v>
      </c>
      <c r="E3663" s="28" t="s">
        <v>28</v>
      </c>
      <c r="F3663" s="28">
        <v>25</v>
      </c>
      <c r="G3663" s="28">
        <v>100692</v>
      </c>
      <c r="H3663" s="28">
        <v>0</v>
      </c>
      <c r="J3663" s="28"/>
    </row>
    <row r="3664" spans="1:10" ht="15.75" customHeight="1">
      <c r="A3664" s="28">
        <v>19516</v>
      </c>
      <c r="B3664" s="91">
        <v>45140.619143518517</v>
      </c>
      <c r="C3664" s="28" t="s">
        <v>10</v>
      </c>
      <c r="D3664" s="28" t="s">
        <v>237</v>
      </c>
      <c r="E3664" s="28" t="s">
        <v>28</v>
      </c>
      <c r="F3664" s="28">
        <v>0</v>
      </c>
      <c r="G3664" s="28" t="s">
        <v>125</v>
      </c>
      <c r="H3664" s="28">
        <v>0</v>
      </c>
      <c r="J3664" s="28"/>
    </row>
    <row r="3665" spans="1:10" ht="15.75" customHeight="1">
      <c r="A3665" s="28">
        <v>19516</v>
      </c>
      <c r="B3665" s="91">
        <v>45140.619143518517</v>
      </c>
      <c r="C3665" s="28" t="s">
        <v>10</v>
      </c>
      <c r="D3665" s="28" t="s">
        <v>237</v>
      </c>
      <c r="E3665" s="28" t="s">
        <v>28</v>
      </c>
      <c r="F3665" s="28">
        <v>0</v>
      </c>
      <c r="G3665" s="28" t="s">
        <v>119</v>
      </c>
      <c r="H3665" s="28">
        <v>0</v>
      </c>
      <c r="J3665" s="28"/>
    </row>
    <row r="3666" spans="1:10" ht="15.75" customHeight="1">
      <c r="A3666" s="28">
        <v>19517</v>
      </c>
      <c r="B3666" s="91">
        <v>45140.619849537034</v>
      </c>
      <c r="C3666" s="28" t="s">
        <v>10</v>
      </c>
      <c r="D3666" s="28" t="s">
        <v>236</v>
      </c>
      <c r="E3666" s="28" t="s">
        <v>28</v>
      </c>
      <c r="F3666" s="28">
        <v>25</v>
      </c>
      <c r="G3666" s="28">
        <v>100692</v>
      </c>
      <c r="H3666" s="28">
        <v>0</v>
      </c>
      <c r="J3666" s="28"/>
    </row>
    <row r="3667" spans="1:10" ht="15.75" customHeight="1">
      <c r="A3667" s="28">
        <v>19517</v>
      </c>
      <c r="B3667" s="91">
        <v>45140.619849537034</v>
      </c>
      <c r="C3667" s="28" t="s">
        <v>10</v>
      </c>
      <c r="D3667" s="28" t="s">
        <v>236</v>
      </c>
      <c r="E3667" s="28" t="s">
        <v>28</v>
      </c>
      <c r="F3667" s="28">
        <v>0</v>
      </c>
      <c r="G3667" s="28" t="s">
        <v>125</v>
      </c>
      <c r="H3667" s="28">
        <v>0</v>
      </c>
      <c r="J3667" s="28"/>
    </row>
    <row r="3668" spans="1:10" ht="15.75" customHeight="1">
      <c r="A3668" s="28">
        <v>19517</v>
      </c>
      <c r="B3668" s="91">
        <v>45140.619849537034</v>
      </c>
      <c r="C3668" s="28" t="s">
        <v>10</v>
      </c>
      <c r="D3668" s="28" t="s">
        <v>236</v>
      </c>
      <c r="E3668" s="28" t="s">
        <v>28</v>
      </c>
      <c r="F3668" s="28">
        <v>0</v>
      </c>
      <c r="G3668" s="28" t="s">
        <v>119</v>
      </c>
      <c r="H3668" s="28">
        <v>0</v>
      </c>
      <c r="J3668" s="28"/>
    </row>
    <row r="3669" spans="1:10" ht="15.75" customHeight="1">
      <c r="A3669" s="28">
        <v>19518</v>
      </c>
      <c r="B3669" s="91">
        <v>45141.02138888889</v>
      </c>
      <c r="C3669" s="28" t="s">
        <v>10</v>
      </c>
      <c r="D3669" s="28" t="s">
        <v>235</v>
      </c>
      <c r="E3669" s="28" t="s">
        <v>79</v>
      </c>
      <c r="F3669" s="28">
        <v>18</v>
      </c>
      <c r="G3669" s="28" t="s">
        <v>119</v>
      </c>
      <c r="H3669" s="28">
        <v>0</v>
      </c>
      <c r="J3669" s="28"/>
    </row>
    <row r="3670" spans="1:10" ht="15.75" customHeight="1">
      <c r="A3670" s="28">
        <v>19518</v>
      </c>
      <c r="B3670" s="91">
        <v>45141.02138888889</v>
      </c>
      <c r="C3670" s="28" t="s">
        <v>10</v>
      </c>
      <c r="D3670" s="28" t="s">
        <v>235</v>
      </c>
      <c r="E3670" s="28" t="s">
        <v>79</v>
      </c>
      <c r="F3670" s="28">
        <v>15</v>
      </c>
      <c r="G3670" s="28" t="s">
        <v>139</v>
      </c>
      <c r="H3670" s="28">
        <v>0</v>
      </c>
      <c r="J3670" s="28"/>
    </row>
    <row r="3671" spans="1:10" ht="15.75" customHeight="1">
      <c r="A3671" s="28">
        <v>19519</v>
      </c>
      <c r="B3671" s="91">
        <v>45141.057604166665</v>
      </c>
      <c r="C3671" s="28" t="s">
        <v>10</v>
      </c>
      <c r="D3671" s="28" t="s">
        <v>234</v>
      </c>
      <c r="E3671" s="28" t="s">
        <v>28</v>
      </c>
      <c r="F3671" s="28">
        <v>20</v>
      </c>
      <c r="G3671" s="28" t="s">
        <v>148</v>
      </c>
      <c r="H3671" s="28">
        <v>0</v>
      </c>
      <c r="J3671" s="28"/>
    </row>
    <row r="3672" spans="1:10" ht="15.75" customHeight="1">
      <c r="A3672" s="28">
        <v>19520</v>
      </c>
      <c r="B3672" s="91">
        <v>45141.058981481481</v>
      </c>
      <c r="C3672" s="28" t="s">
        <v>10</v>
      </c>
      <c r="D3672" s="28" t="s">
        <v>233</v>
      </c>
      <c r="E3672" s="28" t="s">
        <v>28</v>
      </c>
      <c r="F3672" s="28">
        <v>20</v>
      </c>
      <c r="G3672" s="28" t="s">
        <v>148</v>
      </c>
      <c r="H3672" s="28">
        <v>0</v>
      </c>
      <c r="J3672" s="28"/>
    </row>
    <row r="3673" spans="1:10" ht="15.75" customHeight="1">
      <c r="A3673" s="28">
        <v>19521</v>
      </c>
      <c r="B3673" s="91">
        <v>45141.060752314814</v>
      </c>
      <c r="C3673" s="28" t="s">
        <v>10</v>
      </c>
      <c r="D3673" s="28" t="s">
        <v>232</v>
      </c>
      <c r="E3673" s="28" t="s">
        <v>28</v>
      </c>
      <c r="F3673" s="28">
        <v>20</v>
      </c>
      <c r="G3673" s="28" t="s">
        <v>148</v>
      </c>
      <c r="H3673" s="28">
        <v>0</v>
      </c>
      <c r="J3673" s="28"/>
    </row>
    <row r="3674" spans="1:10" ht="15.75" customHeight="1">
      <c r="A3674" s="28">
        <v>19522</v>
      </c>
      <c r="B3674" s="91">
        <v>45141.115104166667</v>
      </c>
      <c r="C3674" s="28" t="s">
        <v>10</v>
      </c>
      <c r="D3674" s="28" t="s">
        <v>231</v>
      </c>
      <c r="E3674" s="28" t="s">
        <v>28</v>
      </c>
      <c r="F3674" s="28">
        <v>25</v>
      </c>
      <c r="G3674" s="28">
        <v>100692</v>
      </c>
      <c r="H3674" s="28">
        <v>0</v>
      </c>
      <c r="J3674" s="28"/>
    </row>
    <row r="3675" spans="1:10" ht="15.75" customHeight="1">
      <c r="A3675" s="28">
        <v>19522</v>
      </c>
      <c r="B3675" s="91">
        <v>45141.115104166667</v>
      </c>
      <c r="C3675" s="28" t="s">
        <v>10</v>
      </c>
      <c r="D3675" s="28" t="s">
        <v>231</v>
      </c>
      <c r="E3675" s="28" t="s">
        <v>28</v>
      </c>
      <c r="F3675" s="28">
        <v>0</v>
      </c>
      <c r="G3675" s="28" t="s">
        <v>125</v>
      </c>
      <c r="H3675" s="28">
        <v>0</v>
      </c>
      <c r="J3675" s="28"/>
    </row>
    <row r="3676" spans="1:10" ht="15.75" customHeight="1">
      <c r="A3676" s="28">
        <v>19522</v>
      </c>
      <c r="B3676" s="91">
        <v>45141.115104166667</v>
      </c>
      <c r="C3676" s="28" t="s">
        <v>10</v>
      </c>
      <c r="D3676" s="28" t="s">
        <v>231</v>
      </c>
      <c r="E3676" s="28" t="s">
        <v>28</v>
      </c>
      <c r="F3676" s="28">
        <v>0</v>
      </c>
      <c r="G3676" s="28" t="s">
        <v>119</v>
      </c>
      <c r="H3676" s="28">
        <v>0</v>
      </c>
      <c r="J3676" s="28"/>
    </row>
    <row r="3677" spans="1:10" ht="15.75" customHeight="1">
      <c r="A3677" s="28">
        <v>19523</v>
      </c>
      <c r="B3677" s="91">
        <v>45141.116805555561</v>
      </c>
      <c r="C3677" s="28" t="s">
        <v>10</v>
      </c>
      <c r="D3677" s="28" t="s">
        <v>230</v>
      </c>
      <c r="E3677" s="28" t="s">
        <v>28</v>
      </c>
      <c r="F3677" s="28">
        <v>25</v>
      </c>
      <c r="G3677" s="28">
        <v>100692</v>
      </c>
      <c r="H3677" s="28">
        <v>0</v>
      </c>
      <c r="J3677" s="28"/>
    </row>
    <row r="3678" spans="1:10" ht="15.75" customHeight="1">
      <c r="A3678" s="28">
        <v>19523</v>
      </c>
      <c r="B3678" s="91">
        <v>45141.116805555561</v>
      </c>
      <c r="C3678" s="28" t="s">
        <v>10</v>
      </c>
      <c r="D3678" s="28" t="s">
        <v>230</v>
      </c>
      <c r="E3678" s="28" t="s">
        <v>28</v>
      </c>
      <c r="F3678" s="28">
        <v>0</v>
      </c>
      <c r="G3678" s="28" t="s">
        <v>125</v>
      </c>
      <c r="H3678" s="28">
        <v>0</v>
      </c>
      <c r="J3678" s="28"/>
    </row>
    <row r="3679" spans="1:10" ht="15.75" customHeight="1">
      <c r="A3679" s="28">
        <v>19523</v>
      </c>
      <c r="B3679" s="91">
        <v>45141.116805555561</v>
      </c>
      <c r="C3679" s="28" t="s">
        <v>10</v>
      </c>
      <c r="D3679" s="28" t="s">
        <v>230</v>
      </c>
      <c r="E3679" s="28" t="s">
        <v>28</v>
      </c>
      <c r="F3679" s="28">
        <v>0</v>
      </c>
      <c r="G3679" s="28" t="s">
        <v>119</v>
      </c>
      <c r="H3679" s="28">
        <v>0</v>
      </c>
      <c r="J3679" s="28"/>
    </row>
    <row r="3680" spans="1:10" ht="15.75" customHeight="1">
      <c r="A3680" s="28">
        <v>19524</v>
      </c>
      <c r="B3680" s="91">
        <v>45141.180439814816</v>
      </c>
      <c r="C3680" s="28" t="s">
        <v>10</v>
      </c>
      <c r="D3680" s="28" t="s">
        <v>229</v>
      </c>
      <c r="E3680" s="28" t="s">
        <v>28</v>
      </c>
      <c r="F3680" s="28">
        <v>28</v>
      </c>
      <c r="G3680" s="28" t="s">
        <v>143</v>
      </c>
      <c r="H3680" s="28">
        <v>0</v>
      </c>
      <c r="J3680" s="28"/>
    </row>
    <row r="3681" spans="1:10" ht="15.75" customHeight="1">
      <c r="A3681" s="28">
        <v>19524</v>
      </c>
      <c r="B3681" s="91">
        <v>45141.180439814816</v>
      </c>
      <c r="C3681" s="28" t="s">
        <v>10</v>
      </c>
      <c r="D3681" s="28" t="s">
        <v>229</v>
      </c>
      <c r="E3681" s="28" t="s">
        <v>28</v>
      </c>
      <c r="F3681" s="28">
        <v>25</v>
      </c>
      <c r="G3681" s="28" t="s">
        <v>120</v>
      </c>
      <c r="H3681" s="28">
        <v>0</v>
      </c>
      <c r="J3681" s="28"/>
    </row>
    <row r="3682" spans="1:10" ht="15.75" customHeight="1">
      <c r="A3682" s="28">
        <v>19525</v>
      </c>
      <c r="B3682" s="91">
        <v>45141.538888888885</v>
      </c>
      <c r="C3682" s="28" t="s">
        <v>10</v>
      </c>
      <c r="D3682" s="28" t="s">
        <v>228</v>
      </c>
      <c r="E3682" s="28" t="s">
        <v>28</v>
      </c>
      <c r="F3682" s="28">
        <v>25</v>
      </c>
      <c r="G3682" s="28">
        <v>100692</v>
      </c>
      <c r="H3682" s="28">
        <v>0</v>
      </c>
      <c r="J3682" s="28"/>
    </row>
    <row r="3683" spans="1:10" ht="15.75" customHeight="1">
      <c r="A3683" s="28">
        <v>19525</v>
      </c>
      <c r="B3683" s="91">
        <v>45141.538888888885</v>
      </c>
      <c r="C3683" s="28" t="s">
        <v>10</v>
      </c>
      <c r="D3683" s="28" t="s">
        <v>228</v>
      </c>
      <c r="E3683" s="28" t="s">
        <v>28</v>
      </c>
      <c r="F3683" s="28">
        <v>0</v>
      </c>
      <c r="G3683" s="28" t="s">
        <v>125</v>
      </c>
      <c r="H3683" s="28">
        <v>0</v>
      </c>
      <c r="J3683" s="28"/>
    </row>
    <row r="3684" spans="1:10" ht="15.75" customHeight="1">
      <c r="A3684" s="28">
        <v>19525</v>
      </c>
      <c r="B3684" s="91">
        <v>45141.538888888885</v>
      </c>
      <c r="C3684" s="28" t="s">
        <v>10</v>
      </c>
      <c r="D3684" s="28" t="s">
        <v>228</v>
      </c>
      <c r="E3684" s="28" t="s">
        <v>28</v>
      </c>
      <c r="F3684" s="28">
        <v>0</v>
      </c>
      <c r="G3684" s="28" t="s">
        <v>119</v>
      </c>
      <c r="H3684" s="28">
        <v>0</v>
      </c>
      <c r="J3684" s="28"/>
    </row>
    <row r="3685" spans="1:10" ht="15.75" customHeight="1">
      <c r="A3685" s="28">
        <v>19526</v>
      </c>
      <c r="B3685" s="91">
        <v>45141.707002314812</v>
      </c>
      <c r="C3685" s="28" t="s">
        <v>10</v>
      </c>
      <c r="D3685" s="28" t="s">
        <v>227</v>
      </c>
      <c r="E3685" s="28" t="s">
        <v>28</v>
      </c>
      <c r="F3685" s="28">
        <v>0</v>
      </c>
      <c r="G3685" s="28" t="s">
        <v>117</v>
      </c>
      <c r="H3685" s="28">
        <v>0</v>
      </c>
      <c r="J3685" s="28"/>
    </row>
    <row r="3686" spans="1:10" ht="15.75" customHeight="1">
      <c r="A3686" s="28">
        <v>19526</v>
      </c>
      <c r="B3686" s="91">
        <v>45141.707002314812</v>
      </c>
      <c r="C3686" s="28" t="s">
        <v>10</v>
      </c>
      <c r="D3686" s="28" t="s">
        <v>227</v>
      </c>
      <c r="E3686" s="28" t="s">
        <v>28</v>
      </c>
      <c r="F3686" s="28">
        <v>25</v>
      </c>
      <c r="G3686" s="28" t="s">
        <v>141</v>
      </c>
      <c r="H3686" s="28">
        <v>0</v>
      </c>
      <c r="J3686" s="28"/>
    </row>
    <row r="3687" spans="1:10" ht="15.75" customHeight="1">
      <c r="A3687" s="28">
        <v>19527</v>
      </c>
      <c r="B3687" s="91">
        <v>45141.810995370368</v>
      </c>
      <c r="C3687" s="28" t="s">
        <v>10</v>
      </c>
      <c r="D3687" s="28" t="s">
        <v>226</v>
      </c>
      <c r="E3687" s="28" t="s">
        <v>28</v>
      </c>
      <c r="F3687" s="28">
        <v>0</v>
      </c>
      <c r="G3687" s="28" t="s">
        <v>117</v>
      </c>
      <c r="H3687" s="28">
        <v>0</v>
      </c>
      <c r="J3687" s="28"/>
    </row>
    <row r="3688" spans="1:10" ht="15.75" customHeight="1">
      <c r="A3688" s="28">
        <v>19528</v>
      </c>
      <c r="B3688" s="91">
        <v>45141.922546296293</v>
      </c>
      <c r="C3688" s="28" t="s">
        <v>10</v>
      </c>
      <c r="D3688" s="28" t="s">
        <v>225</v>
      </c>
      <c r="E3688" s="28" t="s">
        <v>28</v>
      </c>
      <c r="F3688" s="28">
        <v>52</v>
      </c>
      <c r="G3688" s="28" t="s">
        <v>122</v>
      </c>
      <c r="H3688" s="28">
        <v>0</v>
      </c>
      <c r="J3688" s="28"/>
    </row>
    <row r="3689" spans="1:10" ht="15.75" customHeight="1">
      <c r="A3689" s="28">
        <v>19528</v>
      </c>
      <c r="B3689" s="91">
        <v>45141.922546296293</v>
      </c>
      <c r="C3689" s="28" t="s">
        <v>10</v>
      </c>
      <c r="D3689" s="28" t="s">
        <v>225</v>
      </c>
      <c r="E3689" s="28" t="s">
        <v>28</v>
      </c>
      <c r="F3689" s="28">
        <v>26</v>
      </c>
      <c r="G3689" s="28" t="s">
        <v>122</v>
      </c>
      <c r="H3689" s="28">
        <v>0</v>
      </c>
      <c r="J3689" s="28"/>
    </row>
    <row r="3690" spans="1:10" ht="15.75" customHeight="1">
      <c r="A3690" s="28">
        <v>19529</v>
      </c>
      <c r="B3690" s="91">
        <v>45142.148553240739</v>
      </c>
      <c r="C3690" s="28" t="s">
        <v>10</v>
      </c>
      <c r="D3690" s="28" t="s">
        <v>224</v>
      </c>
      <c r="E3690" s="28" t="s">
        <v>28</v>
      </c>
      <c r="F3690" s="28">
        <v>0</v>
      </c>
      <c r="G3690" s="28" t="s">
        <v>117</v>
      </c>
      <c r="H3690" s="28">
        <v>0</v>
      </c>
      <c r="J3690" s="28"/>
    </row>
    <row r="3691" spans="1:10" ht="15.75" customHeight="1">
      <c r="A3691" s="28">
        <v>19530</v>
      </c>
      <c r="B3691" s="91">
        <v>45142.150451388894</v>
      </c>
      <c r="C3691" s="28" t="s">
        <v>10</v>
      </c>
      <c r="D3691" s="28" t="s">
        <v>223</v>
      </c>
      <c r="E3691" s="28" t="s">
        <v>28</v>
      </c>
      <c r="F3691" s="28">
        <v>0</v>
      </c>
      <c r="G3691" s="28" t="s">
        <v>117</v>
      </c>
      <c r="H3691" s="28">
        <v>0</v>
      </c>
      <c r="J3691" s="28"/>
    </row>
    <row r="3692" spans="1:10" ht="15.75" customHeight="1">
      <c r="A3692" s="28">
        <v>19531</v>
      </c>
      <c r="B3692" s="91">
        <v>45142.765625</v>
      </c>
      <c r="C3692" s="28" t="s">
        <v>10</v>
      </c>
      <c r="D3692" s="28" t="s">
        <v>222</v>
      </c>
      <c r="E3692" s="28" t="s">
        <v>28</v>
      </c>
      <c r="F3692" s="28">
        <v>0</v>
      </c>
      <c r="G3692" s="28" t="s">
        <v>117</v>
      </c>
      <c r="H3692" s="28">
        <v>0</v>
      </c>
      <c r="J3692" s="28"/>
    </row>
    <row r="3693" spans="1:10" ht="15.75" customHeight="1">
      <c r="A3693" s="28">
        <v>19531</v>
      </c>
      <c r="B3693" s="91">
        <v>45142.765625</v>
      </c>
      <c r="C3693" s="28" t="s">
        <v>10</v>
      </c>
      <c r="D3693" s="28" t="s">
        <v>222</v>
      </c>
      <c r="E3693" s="28" t="s">
        <v>28</v>
      </c>
      <c r="F3693" s="28">
        <v>25</v>
      </c>
      <c r="G3693" s="28">
        <v>100692</v>
      </c>
      <c r="H3693" s="28">
        <v>0</v>
      </c>
      <c r="J3693" s="28"/>
    </row>
    <row r="3694" spans="1:10" ht="15.75" customHeight="1">
      <c r="A3694" s="28">
        <v>19531</v>
      </c>
      <c r="B3694" s="91">
        <v>45142.765625</v>
      </c>
      <c r="C3694" s="28" t="s">
        <v>10</v>
      </c>
      <c r="D3694" s="28" t="s">
        <v>222</v>
      </c>
      <c r="E3694" s="28" t="s">
        <v>28</v>
      </c>
      <c r="F3694" s="28">
        <v>0</v>
      </c>
      <c r="G3694" s="28" t="s">
        <v>125</v>
      </c>
      <c r="H3694" s="28">
        <v>0</v>
      </c>
      <c r="J3694" s="28"/>
    </row>
    <row r="3695" spans="1:10" ht="15.75" customHeight="1">
      <c r="A3695" s="28">
        <v>19531</v>
      </c>
      <c r="B3695" s="91">
        <v>45142.765625</v>
      </c>
      <c r="C3695" s="28" t="s">
        <v>10</v>
      </c>
      <c r="D3695" s="28" t="s">
        <v>222</v>
      </c>
      <c r="E3695" s="28" t="s">
        <v>28</v>
      </c>
      <c r="F3695" s="28">
        <v>0</v>
      </c>
      <c r="G3695" s="28" t="s">
        <v>119</v>
      </c>
      <c r="H3695" s="28">
        <v>0</v>
      </c>
      <c r="J3695" s="28"/>
    </row>
    <row r="3696" spans="1:10" ht="15.75" customHeight="1">
      <c r="A3696" s="28">
        <v>19532</v>
      </c>
      <c r="B3696" s="91">
        <v>45142.939351851848</v>
      </c>
      <c r="C3696" s="28" t="s">
        <v>10</v>
      </c>
      <c r="D3696" s="28" t="s">
        <v>221</v>
      </c>
      <c r="E3696" s="28" t="s">
        <v>28</v>
      </c>
      <c r="F3696" s="28">
        <v>30</v>
      </c>
      <c r="G3696" s="28" t="s">
        <v>128</v>
      </c>
      <c r="H3696" s="28">
        <v>0</v>
      </c>
      <c r="J3696" s="28"/>
    </row>
    <row r="3697" spans="1:10" ht="15.75" customHeight="1">
      <c r="A3697" s="28">
        <v>19532</v>
      </c>
      <c r="B3697" s="91">
        <v>45142.939351851848</v>
      </c>
      <c r="C3697" s="28" t="s">
        <v>10</v>
      </c>
      <c r="D3697" s="28" t="s">
        <v>221</v>
      </c>
      <c r="E3697" s="28" t="s">
        <v>28</v>
      </c>
      <c r="F3697" s="28">
        <v>0</v>
      </c>
      <c r="G3697" s="28" t="s">
        <v>125</v>
      </c>
      <c r="H3697" s="28">
        <v>0</v>
      </c>
      <c r="J3697" s="28"/>
    </row>
    <row r="3698" spans="1:10" ht="15.75" customHeight="1">
      <c r="A3698" s="28">
        <v>19532</v>
      </c>
      <c r="B3698" s="91">
        <v>45142.939351851848</v>
      </c>
      <c r="C3698" s="28" t="s">
        <v>10</v>
      </c>
      <c r="D3698" s="28" t="s">
        <v>221</v>
      </c>
      <c r="E3698" s="28" t="s">
        <v>28</v>
      </c>
      <c r="F3698" s="28">
        <v>0</v>
      </c>
      <c r="G3698" s="28" t="s">
        <v>119</v>
      </c>
      <c r="H3698" s="28">
        <v>0</v>
      </c>
      <c r="J3698" s="28"/>
    </row>
    <row r="3699" spans="1:10" ht="15.75" customHeight="1">
      <c r="A3699" s="28">
        <v>19534</v>
      </c>
      <c r="B3699" s="91">
        <v>45143.093148148153</v>
      </c>
      <c r="C3699" s="28" t="s">
        <v>10</v>
      </c>
      <c r="D3699" s="28" t="s">
        <v>220</v>
      </c>
      <c r="E3699" s="28" t="s">
        <v>28</v>
      </c>
      <c r="F3699" s="28">
        <v>35</v>
      </c>
      <c r="G3699" s="28" t="s">
        <v>124</v>
      </c>
      <c r="H3699" s="28">
        <v>0</v>
      </c>
      <c r="J3699" s="28"/>
    </row>
    <row r="3700" spans="1:10" ht="15.75" customHeight="1">
      <c r="A3700" s="28">
        <v>19534</v>
      </c>
      <c r="B3700" s="91">
        <v>45143.093148148153</v>
      </c>
      <c r="C3700" s="28" t="s">
        <v>10</v>
      </c>
      <c r="D3700" s="28" t="s">
        <v>220</v>
      </c>
      <c r="E3700" s="28" t="s">
        <v>28</v>
      </c>
      <c r="F3700" s="28">
        <v>0</v>
      </c>
      <c r="G3700" s="28" t="s">
        <v>125</v>
      </c>
      <c r="H3700" s="28">
        <v>0</v>
      </c>
      <c r="J3700" s="28"/>
    </row>
    <row r="3701" spans="1:10" ht="15.75" customHeight="1">
      <c r="A3701" s="28">
        <v>19534</v>
      </c>
      <c r="B3701" s="91">
        <v>45143.093148148153</v>
      </c>
      <c r="C3701" s="28" t="s">
        <v>10</v>
      </c>
      <c r="D3701" s="28" t="s">
        <v>220</v>
      </c>
      <c r="E3701" s="28" t="s">
        <v>28</v>
      </c>
      <c r="F3701" s="28">
        <v>0</v>
      </c>
      <c r="G3701" s="28" t="s">
        <v>119</v>
      </c>
      <c r="H3701" s="28">
        <v>0</v>
      </c>
      <c r="J3701" s="28"/>
    </row>
    <row r="3702" spans="1:10" ht="15.75" customHeight="1">
      <c r="A3702" s="28">
        <v>19534</v>
      </c>
      <c r="B3702" s="91">
        <v>45143.093148148153</v>
      </c>
      <c r="C3702" s="28" t="s">
        <v>10</v>
      </c>
      <c r="D3702" s="28" t="s">
        <v>220</v>
      </c>
      <c r="E3702" s="28" t="s">
        <v>28</v>
      </c>
      <c r="F3702" s="28">
        <v>0</v>
      </c>
      <c r="G3702" s="28" t="s">
        <v>121</v>
      </c>
      <c r="H3702" s="28">
        <v>0</v>
      </c>
      <c r="J3702" s="28"/>
    </row>
    <row r="3703" spans="1:10" ht="15.75" customHeight="1">
      <c r="A3703" s="28">
        <v>19535</v>
      </c>
      <c r="B3703" s="91">
        <v>45144.15289351852</v>
      </c>
      <c r="C3703" s="28" t="s">
        <v>10</v>
      </c>
      <c r="D3703" s="28" t="s">
        <v>219</v>
      </c>
      <c r="E3703" s="28" t="s">
        <v>28</v>
      </c>
      <c r="F3703" s="28">
        <v>28</v>
      </c>
      <c r="G3703" s="28" t="s">
        <v>143</v>
      </c>
      <c r="H3703" s="28">
        <v>0</v>
      </c>
      <c r="J3703" s="28"/>
    </row>
    <row r="3704" spans="1:10" ht="15.75" customHeight="1">
      <c r="A3704" s="28">
        <v>19536</v>
      </c>
      <c r="B3704" s="91">
        <v>45144.542719907404</v>
      </c>
      <c r="C3704" s="28" t="s">
        <v>10</v>
      </c>
      <c r="D3704" s="28" t="s">
        <v>218</v>
      </c>
      <c r="E3704" s="28" t="s">
        <v>28</v>
      </c>
      <c r="F3704" s="28">
        <v>0</v>
      </c>
      <c r="G3704" s="28" t="s">
        <v>117</v>
      </c>
      <c r="H3704" s="28">
        <v>0</v>
      </c>
      <c r="J3704" s="28"/>
    </row>
    <row r="3705" spans="1:10" ht="15.75" customHeight="1">
      <c r="A3705" s="28">
        <v>19536</v>
      </c>
      <c r="B3705" s="91">
        <v>45144.542719907404</v>
      </c>
      <c r="C3705" s="28" t="s">
        <v>10</v>
      </c>
      <c r="D3705" s="28" t="s">
        <v>218</v>
      </c>
      <c r="E3705" s="28" t="s">
        <v>28</v>
      </c>
      <c r="F3705" s="28">
        <v>25</v>
      </c>
      <c r="G3705" s="28">
        <v>100692</v>
      </c>
      <c r="H3705" s="28">
        <v>0</v>
      </c>
      <c r="J3705" s="28"/>
    </row>
    <row r="3706" spans="1:10" ht="15.75" customHeight="1">
      <c r="A3706" s="28">
        <v>19536</v>
      </c>
      <c r="B3706" s="91">
        <v>45144.542719907404</v>
      </c>
      <c r="C3706" s="28" t="s">
        <v>10</v>
      </c>
      <c r="D3706" s="28" t="s">
        <v>218</v>
      </c>
      <c r="E3706" s="28" t="s">
        <v>28</v>
      </c>
      <c r="F3706" s="28">
        <v>0</v>
      </c>
      <c r="G3706" s="28" t="s">
        <v>125</v>
      </c>
      <c r="H3706" s="28">
        <v>0</v>
      </c>
      <c r="J3706" s="28"/>
    </row>
    <row r="3707" spans="1:10" ht="15.75" customHeight="1">
      <c r="A3707" s="28">
        <v>19536</v>
      </c>
      <c r="B3707" s="91">
        <v>45144.542719907404</v>
      </c>
      <c r="C3707" s="28" t="s">
        <v>10</v>
      </c>
      <c r="D3707" s="28" t="s">
        <v>218</v>
      </c>
      <c r="E3707" s="28" t="s">
        <v>28</v>
      </c>
      <c r="F3707" s="28">
        <v>0</v>
      </c>
      <c r="G3707" s="28" t="s">
        <v>119</v>
      </c>
      <c r="H3707" s="28">
        <v>0</v>
      </c>
      <c r="J3707" s="28"/>
    </row>
    <row r="3708" spans="1:10" ht="15.75" customHeight="1">
      <c r="A3708" s="28">
        <v>19539</v>
      </c>
      <c r="B3708" s="91">
        <v>45146.166863425926</v>
      </c>
      <c r="C3708" s="28" t="s">
        <v>10</v>
      </c>
      <c r="D3708" s="28" t="s">
        <v>217</v>
      </c>
      <c r="E3708" s="28" t="s">
        <v>28</v>
      </c>
      <c r="F3708" s="28">
        <v>35</v>
      </c>
      <c r="G3708" s="28" t="s">
        <v>124</v>
      </c>
      <c r="H3708" s="28">
        <v>0</v>
      </c>
      <c r="J3708" s="28"/>
    </row>
    <row r="3709" spans="1:10" ht="15.75" customHeight="1">
      <c r="A3709" s="28">
        <v>19539</v>
      </c>
      <c r="B3709" s="91">
        <v>45146.166863425926</v>
      </c>
      <c r="C3709" s="28" t="s">
        <v>10</v>
      </c>
      <c r="D3709" s="28" t="s">
        <v>217</v>
      </c>
      <c r="E3709" s="28" t="s">
        <v>28</v>
      </c>
      <c r="F3709" s="28">
        <v>0</v>
      </c>
      <c r="G3709" s="28" t="s">
        <v>125</v>
      </c>
      <c r="H3709" s="28">
        <v>0</v>
      </c>
      <c r="J3709" s="28"/>
    </row>
    <row r="3710" spans="1:10" ht="15.75" customHeight="1">
      <c r="A3710" s="28">
        <v>19539</v>
      </c>
      <c r="B3710" s="91">
        <v>45146.166863425926</v>
      </c>
      <c r="C3710" s="28" t="s">
        <v>10</v>
      </c>
      <c r="D3710" s="28" t="s">
        <v>217</v>
      </c>
      <c r="E3710" s="28" t="s">
        <v>28</v>
      </c>
      <c r="F3710" s="28">
        <v>0</v>
      </c>
      <c r="G3710" s="28" t="s">
        <v>119</v>
      </c>
      <c r="H3710" s="28">
        <v>0</v>
      </c>
      <c r="J3710" s="28"/>
    </row>
    <row r="3711" spans="1:10" ht="15.75" customHeight="1">
      <c r="A3711" s="28">
        <v>19539</v>
      </c>
      <c r="B3711" s="91">
        <v>45146.166863425926</v>
      </c>
      <c r="C3711" s="28" t="s">
        <v>10</v>
      </c>
      <c r="D3711" s="28" t="s">
        <v>217</v>
      </c>
      <c r="E3711" s="28" t="s">
        <v>28</v>
      </c>
      <c r="F3711" s="28">
        <v>0</v>
      </c>
      <c r="G3711" s="28" t="s">
        <v>121</v>
      </c>
      <c r="H3711" s="28">
        <v>0</v>
      </c>
      <c r="J3711" s="28"/>
    </row>
    <row r="3712" spans="1:10" ht="15.75" customHeight="1">
      <c r="A3712" s="28">
        <v>19539</v>
      </c>
      <c r="B3712" s="91">
        <v>45146.166863425926</v>
      </c>
      <c r="C3712" s="28" t="s">
        <v>10</v>
      </c>
      <c r="D3712" s="28" t="s">
        <v>217</v>
      </c>
      <c r="E3712" s="28" t="s">
        <v>28</v>
      </c>
      <c r="F3712" s="28">
        <v>20</v>
      </c>
      <c r="G3712" s="28" t="s">
        <v>205</v>
      </c>
      <c r="H3712" s="28">
        <v>0</v>
      </c>
      <c r="J3712" s="28"/>
    </row>
    <row r="3713" spans="1:10" ht="15.75" customHeight="1">
      <c r="A3713" s="28">
        <v>19539</v>
      </c>
      <c r="B3713" s="91">
        <v>45146.166863425926</v>
      </c>
      <c r="C3713" s="28" t="s">
        <v>10</v>
      </c>
      <c r="D3713" s="28" t="s">
        <v>217</v>
      </c>
      <c r="E3713" s="28" t="s">
        <v>28</v>
      </c>
      <c r="F3713" s="28">
        <v>0</v>
      </c>
      <c r="G3713" s="28" t="s">
        <v>125</v>
      </c>
      <c r="H3713" s="28">
        <v>0</v>
      </c>
      <c r="J3713" s="28"/>
    </row>
    <row r="3714" spans="1:10" ht="15.75" customHeight="1">
      <c r="A3714" s="28">
        <v>19540</v>
      </c>
      <c r="B3714" s="91">
        <v>45146.168599537035</v>
      </c>
      <c r="C3714" s="28" t="s">
        <v>10</v>
      </c>
      <c r="D3714" s="28" t="s">
        <v>216</v>
      </c>
      <c r="E3714" s="28" t="s">
        <v>28</v>
      </c>
      <c r="F3714" s="28">
        <v>35</v>
      </c>
      <c r="G3714" s="28" t="s">
        <v>124</v>
      </c>
      <c r="H3714" s="28">
        <v>0</v>
      </c>
      <c r="J3714" s="28"/>
    </row>
    <row r="3715" spans="1:10" ht="15.75" customHeight="1">
      <c r="A3715" s="28">
        <v>19540</v>
      </c>
      <c r="B3715" s="91">
        <v>45146.168599537035</v>
      </c>
      <c r="C3715" s="28" t="s">
        <v>10</v>
      </c>
      <c r="D3715" s="28" t="s">
        <v>216</v>
      </c>
      <c r="E3715" s="28" t="s">
        <v>28</v>
      </c>
      <c r="F3715" s="28">
        <v>0</v>
      </c>
      <c r="G3715" s="28" t="s">
        <v>125</v>
      </c>
      <c r="H3715" s="28">
        <v>0</v>
      </c>
      <c r="J3715" s="28"/>
    </row>
    <row r="3716" spans="1:10" ht="15.75" customHeight="1">
      <c r="A3716" s="28">
        <v>19540</v>
      </c>
      <c r="B3716" s="91">
        <v>45146.168599537035</v>
      </c>
      <c r="C3716" s="28" t="s">
        <v>10</v>
      </c>
      <c r="D3716" s="28" t="s">
        <v>216</v>
      </c>
      <c r="E3716" s="28" t="s">
        <v>28</v>
      </c>
      <c r="F3716" s="28">
        <v>0</v>
      </c>
      <c r="G3716" s="28" t="s">
        <v>119</v>
      </c>
      <c r="H3716" s="28">
        <v>0</v>
      </c>
      <c r="J3716" s="28"/>
    </row>
    <row r="3717" spans="1:10" ht="15.75" customHeight="1">
      <c r="A3717" s="28">
        <v>19540</v>
      </c>
      <c r="B3717" s="91">
        <v>45146.168599537035</v>
      </c>
      <c r="C3717" s="28" t="s">
        <v>10</v>
      </c>
      <c r="D3717" s="28" t="s">
        <v>216</v>
      </c>
      <c r="E3717" s="28" t="s">
        <v>28</v>
      </c>
      <c r="F3717" s="28">
        <v>0</v>
      </c>
      <c r="G3717" s="28" t="s">
        <v>121</v>
      </c>
      <c r="H3717" s="28">
        <v>0</v>
      </c>
      <c r="J3717" s="28"/>
    </row>
    <row r="3718" spans="1:10" ht="15.75" customHeight="1">
      <c r="A3718" s="28">
        <v>19541</v>
      </c>
      <c r="B3718" s="91">
        <v>45146.706921296296</v>
      </c>
      <c r="C3718" s="28" t="s">
        <v>8</v>
      </c>
      <c r="D3718" s="28" t="s">
        <v>215</v>
      </c>
      <c r="E3718" s="28" t="s">
        <v>28</v>
      </c>
      <c r="F3718" s="28">
        <v>20</v>
      </c>
      <c r="G3718" s="28" t="s">
        <v>148</v>
      </c>
      <c r="H3718" s="28">
        <v>0</v>
      </c>
      <c r="J3718" s="28"/>
    </row>
    <row r="3719" spans="1:10" ht="15.75" customHeight="1">
      <c r="A3719" s="28">
        <v>19542</v>
      </c>
      <c r="B3719" s="91">
        <v>45147.607858796298</v>
      </c>
      <c r="C3719" s="28" t="s">
        <v>10</v>
      </c>
      <c r="D3719" s="28" t="s">
        <v>214</v>
      </c>
      <c r="E3719" s="28" t="s">
        <v>28</v>
      </c>
      <c r="F3719" s="28">
        <v>30</v>
      </c>
      <c r="G3719" s="28" t="s">
        <v>125</v>
      </c>
      <c r="H3719" s="28">
        <v>0</v>
      </c>
      <c r="J3719" s="28"/>
    </row>
    <row r="3720" spans="1:10" ht="15.75" customHeight="1">
      <c r="A3720" s="28">
        <v>19543</v>
      </c>
      <c r="B3720" s="91">
        <v>45147.609467592592</v>
      </c>
      <c r="C3720" s="28" t="s">
        <v>10</v>
      </c>
      <c r="D3720" s="28" t="s">
        <v>213</v>
      </c>
      <c r="E3720" s="28" t="s">
        <v>28</v>
      </c>
      <c r="F3720" s="28">
        <v>30</v>
      </c>
      <c r="G3720" s="28" t="s">
        <v>125</v>
      </c>
      <c r="H3720" s="28">
        <v>0</v>
      </c>
      <c r="J3720" s="28"/>
    </row>
    <row r="3721" spans="1:10" ht="15.75" customHeight="1">
      <c r="A3721" s="28">
        <v>19544</v>
      </c>
      <c r="B3721" s="91">
        <v>45147.932152777779</v>
      </c>
      <c r="C3721" s="28" t="s">
        <v>10</v>
      </c>
      <c r="D3721" s="28" t="s">
        <v>212</v>
      </c>
      <c r="E3721" s="28" t="s">
        <v>28</v>
      </c>
      <c r="F3721" s="28">
        <v>20</v>
      </c>
      <c r="G3721" s="28" t="s">
        <v>205</v>
      </c>
      <c r="H3721" s="28">
        <v>0</v>
      </c>
      <c r="J3721" s="28"/>
    </row>
    <row r="3722" spans="1:10" ht="15.75" customHeight="1">
      <c r="A3722" s="28">
        <v>19544</v>
      </c>
      <c r="B3722" s="91">
        <v>45147.932152777779</v>
      </c>
      <c r="C3722" s="28" t="s">
        <v>10</v>
      </c>
      <c r="D3722" s="28" t="s">
        <v>212</v>
      </c>
      <c r="E3722" s="28" t="s">
        <v>28</v>
      </c>
      <c r="F3722" s="28">
        <v>0</v>
      </c>
      <c r="G3722" s="28" t="s">
        <v>125</v>
      </c>
      <c r="H3722" s="28">
        <v>0</v>
      </c>
      <c r="J3722" s="28"/>
    </row>
    <row r="3723" spans="1:10" ht="15.75" customHeight="1">
      <c r="A3723" s="28">
        <v>19544</v>
      </c>
      <c r="B3723" s="91">
        <v>45147.932152777779</v>
      </c>
      <c r="C3723" s="28" t="s">
        <v>10</v>
      </c>
      <c r="D3723" s="28" t="s">
        <v>212</v>
      </c>
      <c r="E3723" s="28" t="s">
        <v>28</v>
      </c>
      <c r="F3723" s="28">
        <v>25</v>
      </c>
      <c r="G3723" s="28" t="s">
        <v>141</v>
      </c>
      <c r="H3723" s="28">
        <v>0</v>
      </c>
      <c r="J3723" s="28"/>
    </row>
    <row r="3724" spans="1:10" ht="15.75" customHeight="1">
      <c r="A3724" s="28">
        <v>19545</v>
      </c>
      <c r="B3724" s="91">
        <v>45147.953263888892</v>
      </c>
      <c r="C3724" s="28" t="s">
        <v>10</v>
      </c>
      <c r="D3724" s="28" t="s">
        <v>211</v>
      </c>
      <c r="E3724" s="28" t="s">
        <v>28</v>
      </c>
      <c r="F3724" s="28">
        <v>25</v>
      </c>
      <c r="G3724" s="28" t="s">
        <v>141</v>
      </c>
      <c r="H3724" s="28">
        <v>0</v>
      </c>
      <c r="J3724" s="28"/>
    </row>
    <row r="3725" spans="1:10" ht="15.75" customHeight="1">
      <c r="A3725" s="28">
        <v>19546</v>
      </c>
      <c r="B3725" s="91">
        <v>45148.019583333335</v>
      </c>
      <c r="C3725" s="28" t="s">
        <v>10</v>
      </c>
      <c r="D3725" s="28" t="s">
        <v>210</v>
      </c>
      <c r="E3725" s="28" t="s">
        <v>28</v>
      </c>
      <c r="F3725" s="28">
        <v>20</v>
      </c>
      <c r="G3725" s="28" t="s">
        <v>148</v>
      </c>
      <c r="H3725" s="28">
        <v>0</v>
      </c>
      <c r="J3725" s="28"/>
    </row>
    <row r="3726" spans="1:10" ht="15.75" customHeight="1">
      <c r="A3726" s="28">
        <v>19547</v>
      </c>
      <c r="B3726" s="91">
        <v>45148.115393518514</v>
      </c>
      <c r="C3726" s="28" t="s">
        <v>10</v>
      </c>
      <c r="D3726" s="28" t="s">
        <v>209</v>
      </c>
      <c r="E3726" s="28" t="s">
        <v>59</v>
      </c>
      <c r="F3726" s="28">
        <v>28</v>
      </c>
      <c r="G3726" s="28" t="s">
        <v>143</v>
      </c>
      <c r="H3726" s="28">
        <v>0</v>
      </c>
      <c r="J3726" s="28"/>
    </row>
    <row r="3727" spans="1:10" ht="15.75" customHeight="1">
      <c r="A3727" s="28">
        <v>19548</v>
      </c>
      <c r="B3727" s="91">
        <v>45148.804201388892</v>
      </c>
      <c r="C3727" s="28" t="s">
        <v>10</v>
      </c>
      <c r="D3727" s="28" t="s">
        <v>208</v>
      </c>
      <c r="E3727" s="28" t="s">
        <v>28</v>
      </c>
      <c r="F3727" s="28">
        <v>28</v>
      </c>
      <c r="G3727" s="28" t="s">
        <v>143</v>
      </c>
      <c r="H3727" s="28">
        <v>0</v>
      </c>
      <c r="J3727" s="28"/>
    </row>
    <row r="3728" spans="1:10" ht="15.75" customHeight="1">
      <c r="A3728" s="28">
        <v>19551</v>
      </c>
      <c r="B3728" s="91">
        <v>45149.666446759264</v>
      </c>
      <c r="C3728" s="28" t="s">
        <v>10</v>
      </c>
      <c r="D3728" s="28" t="s">
        <v>207</v>
      </c>
      <c r="E3728" s="28" t="s">
        <v>28</v>
      </c>
      <c r="F3728" s="28">
        <v>35</v>
      </c>
      <c r="G3728" s="28" t="s">
        <v>124</v>
      </c>
      <c r="H3728" s="28">
        <v>0</v>
      </c>
      <c r="J3728" s="28"/>
    </row>
    <row r="3729" spans="1:10" ht="15.75" customHeight="1">
      <c r="A3729" s="28">
        <v>19551</v>
      </c>
      <c r="B3729" s="91">
        <v>45149.666446759264</v>
      </c>
      <c r="C3729" s="28" t="s">
        <v>10</v>
      </c>
      <c r="D3729" s="28" t="s">
        <v>207</v>
      </c>
      <c r="E3729" s="28" t="s">
        <v>28</v>
      </c>
      <c r="F3729" s="28">
        <v>0</v>
      </c>
      <c r="G3729" s="28" t="s">
        <v>125</v>
      </c>
      <c r="H3729" s="28">
        <v>0</v>
      </c>
      <c r="J3729" s="28"/>
    </row>
    <row r="3730" spans="1:10" ht="15.75" customHeight="1">
      <c r="A3730" s="28">
        <v>19551</v>
      </c>
      <c r="B3730" s="91">
        <v>45149.666446759264</v>
      </c>
      <c r="C3730" s="28" t="s">
        <v>10</v>
      </c>
      <c r="D3730" s="28" t="s">
        <v>207</v>
      </c>
      <c r="E3730" s="28" t="s">
        <v>28</v>
      </c>
      <c r="F3730" s="28">
        <v>0</v>
      </c>
      <c r="G3730" s="28" t="s">
        <v>119</v>
      </c>
      <c r="H3730" s="28">
        <v>0</v>
      </c>
      <c r="J3730" s="28"/>
    </row>
    <row r="3731" spans="1:10" ht="15.75" customHeight="1">
      <c r="A3731" s="28">
        <v>19551</v>
      </c>
      <c r="B3731" s="91">
        <v>45149.666446759264</v>
      </c>
      <c r="C3731" s="28" t="s">
        <v>10</v>
      </c>
      <c r="D3731" s="28" t="s">
        <v>207</v>
      </c>
      <c r="E3731" s="28" t="s">
        <v>28</v>
      </c>
      <c r="F3731" s="28">
        <v>0</v>
      </c>
      <c r="G3731" s="28" t="s">
        <v>121</v>
      </c>
      <c r="H3731" s="28">
        <v>0</v>
      </c>
      <c r="J3731" s="28"/>
    </row>
    <row r="3732" spans="1:10" ht="15.75" customHeight="1">
      <c r="A3732" s="28">
        <v>19558</v>
      </c>
      <c r="B3732" s="91">
        <v>45149.941747685181</v>
      </c>
      <c r="C3732" s="28" t="s">
        <v>10</v>
      </c>
      <c r="D3732" s="28" t="s">
        <v>206</v>
      </c>
      <c r="E3732" s="28" t="s">
        <v>28</v>
      </c>
      <c r="F3732" s="28">
        <v>35</v>
      </c>
      <c r="G3732" s="28" t="s">
        <v>124</v>
      </c>
      <c r="H3732" s="28">
        <v>0</v>
      </c>
      <c r="J3732" s="28"/>
    </row>
    <row r="3733" spans="1:10" ht="15.75" customHeight="1">
      <c r="A3733" s="28">
        <v>19558</v>
      </c>
      <c r="B3733" s="91">
        <v>45149.941747685181</v>
      </c>
      <c r="C3733" s="28" t="s">
        <v>10</v>
      </c>
      <c r="D3733" s="28" t="s">
        <v>206</v>
      </c>
      <c r="E3733" s="28" t="s">
        <v>28</v>
      </c>
      <c r="F3733" s="28">
        <v>0</v>
      </c>
      <c r="G3733" s="28" t="s">
        <v>125</v>
      </c>
      <c r="H3733" s="28">
        <v>0</v>
      </c>
      <c r="J3733" s="28"/>
    </row>
    <row r="3734" spans="1:10" ht="15.75" customHeight="1">
      <c r="A3734" s="28">
        <v>19558</v>
      </c>
      <c r="B3734" s="91">
        <v>45149.941747685181</v>
      </c>
      <c r="C3734" s="28" t="s">
        <v>10</v>
      </c>
      <c r="D3734" s="28" t="s">
        <v>206</v>
      </c>
      <c r="E3734" s="28" t="s">
        <v>28</v>
      </c>
      <c r="F3734" s="28">
        <v>0</v>
      </c>
      <c r="G3734" s="28" t="s">
        <v>119</v>
      </c>
      <c r="H3734" s="28">
        <v>0</v>
      </c>
      <c r="J3734" s="28"/>
    </row>
    <row r="3735" spans="1:10" ht="15.75" customHeight="1">
      <c r="A3735" s="28">
        <v>19558</v>
      </c>
      <c r="B3735" s="91">
        <v>45149.941747685181</v>
      </c>
      <c r="C3735" s="28" t="s">
        <v>10</v>
      </c>
      <c r="D3735" s="28" t="s">
        <v>206</v>
      </c>
      <c r="E3735" s="28" t="s">
        <v>28</v>
      </c>
      <c r="F3735" s="28">
        <v>0</v>
      </c>
      <c r="G3735" s="28" t="s">
        <v>121</v>
      </c>
      <c r="H3735" s="28">
        <v>0</v>
      </c>
      <c r="J3735" s="28"/>
    </row>
    <row r="3736" spans="1:10" ht="15.75" customHeight="1">
      <c r="A3736" s="28">
        <v>19559</v>
      </c>
      <c r="B3736" s="91">
        <v>45149.944456018522</v>
      </c>
      <c r="C3736" s="28" t="s">
        <v>10</v>
      </c>
      <c r="D3736" s="28" t="s">
        <v>204</v>
      </c>
      <c r="E3736" s="28" t="s">
        <v>28</v>
      </c>
      <c r="F3736" s="28">
        <v>20</v>
      </c>
      <c r="G3736" s="28" t="s">
        <v>205</v>
      </c>
      <c r="H3736" s="28">
        <v>0</v>
      </c>
      <c r="J3736" s="28"/>
    </row>
    <row r="3737" spans="1:10" ht="15.75" customHeight="1">
      <c r="A3737" s="28">
        <v>19559</v>
      </c>
      <c r="B3737" s="91">
        <v>45149.944456018522</v>
      </c>
      <c r="C3737" s="28" t="s">
        <v>10</v>
      </c>
      <c r="D3737" s="28" t="s">
        <v>204</v>
      </c>
      <c r="E3737" s="28" t="s">
        <v>28</v>
      </c>
      <c r="F3737" s="28">
        <v>0</v>
      </c>
      <c r="G3737" s="28" t="s">
        <v>125</v>
      </c>
      <c r="H3737" s="28">
        <v>0</v>
      </c>
      <c r="J3737" s="28"/>
    </row>
    <row r="3738" spans="1:10" ht="15.75" customHeight="1">
      <c r="A3738" s="28">
        <v>19559</v>
      </c>
      <c r="B3738" s="91">
        <v>45149.944456018522</v>
      </c>
      <c r="C3738" s="28" t="s">
        <v>10</v>
      </c>
      <c r="D3738" s="28" t="s">
        <v>204</v>
      </c>
      <c r="E3738" s="28" t="s">
        <v>28</v>
      </c>
      <c r="F3738" s="28">
        <v>0</v>
      </c>
      <c r="G3738" s="28" t="s">
        <v>117</v>
      </c>
      <c r="H3738" s="28">
        <v>0</v>
      </c>
      <c r="J3738" s="28"/>
    </row>
    <row r="3739" spans="1:10" ht="15.75" customHeight="1">
      <c r="A3739" s="28">
        <v>19560</v>
      </c>
      <c r="B3739" s="91">
        <v>45150.117604166662</v>
      </c>
      <c r="C3739" s="28" t="s">
        <v>8</v>
      </c>
      <c r="D3739" s="28" t="s">
        <v>203</v>
      </c>
      <c r="E3739" s="28" t="s">
        <v>28</v>
      </c>
      <c r="F3739" s="28">
        <v>20</v>
      </c>
      <c r="G3739" s="28" t="s">
        <v>121</v>
      </c>
      <c r="H3739" s="28">
        <v>0</v>
      </c>
      <c r="J3739" s="28"/>
    </row>
    <row r="3740" spans="1:10" ht="15.75" customHeight="1">
      <c r="A3740" s="28">
        <v>19561</v>
      </c>
      <c r="B3740" s="91">
        <v>45150.120624999996</v>
      </c>
      <c r="C3740" s="28" t="s">
        <v>10</v>
      </c>
      <c r="D3740" s="28" t="s">
        <v>202</v>
      </c>
      <c r="E3740" s="28" t="s">
        <v>28</v>
      </c>
      <c r="F3740" s="28">
        <v>20</v>
      </c>
      <c r="G3740" s="28" t="s">
        <v>121</v>
      </c>
      <c r="H3740" s="28">
        <v>0</v>
      </c>
      <c r="J3740" s="28"/>
    </row>
    <row r="3741" spans="1:10" ht="15.75" customHeight="1">
      <c r="A3741" s="28">
        <v>19562</v>
      </c>
      <c r="B3741" s="91">
        <v>45150.666805555556</v>
      </c>
      <c r="C3741" s="28" t="s">
        <v>10</v>
      </c>
      <c r="D3741" s="28" t="s">
        <v>201</v>
      </c>
      <c r="E3741" s="28" t="s">
        <v>28</v>
      </c>
      <c r="F3741" s="28">
        <v>28</v>
      </c>
      <c r="G3741" s="28" t="s">
        <v>143</v>
      </c>
      <c r="H3741" s="28">
        <v>0</v>
      </c>
      <c r="J3741" s="28"/>
    </row>
    <row r="3742" spans="1:10" ht="15.75" customHeight="1">
      <c r="A3742" s="28">
        <v>19562</v>
      </c>
      <c r="B3742" s="91">
        <v>45150.666805555556</v>
      </c>
      <c r="C3742" s="28" t="s">
        <v>10</v>
      </c>
      <c r="D3742" s="28" t="s">
        <v>201</v>
      </c>
      <c r="E3742" s="28" t="s">
        <v>28</v>
      </c>
      <c r="F3742" s="28">
        <v>26</v>
      </c>
      <c r="G3742" s="28" t="s">
        <v>122</v>
      </c>
      <c r="H3742" s="28">
        <v>0</v>
      </c>
      <c r="J3742" s="28"/>
    </row>
    <row r="3743" spans="1:10" ht="15.75" customHeight="1">
      <c r="A3743" s="28">
        <v>19562</v>
      </c>
      <c r="B3743" s="91">
        <v>45150.666805555556</v>
      </c>
      <c r="C3743" s="28" t="s">
        <v>10</v>
      </c>
      <c r="D3743" s="28" t="s">
        <v>201</v>
      </c>
      <c r="E3743" s="28" t="s">
        <v>28</v>
      </c>
      <c r="F3743" s="28">
        <v>20</v>
      </c>
      <c r="G3743" s="28" t="s">
        <v>148</v>
      </c>
      <c r="H3743" s="28">
        <v>0</v>
      </c>
      <c r="J3743" s="28"/>
    </row>
    <row r="3744" spans="1:10" ht="15.75" customHeight="1">
      <c r="A3744" s="28">
        <v>19562</v>
      </c>
      <c r="B3744" s="91">
        <v>45150.666805555556</v>
      </c>
      <c r="C3744" s="28" t="s">
        <v>10</v>
      </c>
      <c r="D3744" s="28" t="s">
        <v>201</v>
      </c>
      <c r="E3744" s="28" t="s">
        <v>28</v>
      </c>
      <c r="F3744" s="28">
        <v>15</v>
      </c>
      <c r="G3744" s="28" t="s">
        <v>170</v>
      </c>
      <c r="H3744" s="28">
        <v>0</v>
      </c>
      <c r="J3744" s="28"/>
    </row>
    <row r="3745" spans="1:10" ht="15.75" customHeight="1">
      <c r="A3745" s="28">
        <v>19562</v>
      </c>
      <c r="B3745" s="91">
        <v>45150.666805555556</v>
      </c>
      <c r="C3745" s="28" t="s">
        <v>10</v>
      </c>
      <c r="D3745" s="28" t="s">
        <v>201</v>
      </c>
      <c r="E3745" s="28" t="s">
        <v>28</v>
      </c>
      <c r="F3745" s="28">
        <v>18</v>
      </c>
      <c r="G3745" s="28" t="s">
        <v>119</v>
      </c>
      <c r="H3745" s="28">
        <v>0</v>
      </c>
      <c r="J3745" s="28"/>
    </row>
    <row r="3746" spans="1:10" ht="15.75" customHeight="1">
      <c r="A3746" s="28">
        <v>19562</v>
      </c>
      <c r="B3746" s="91">
        <v>45150.666805555556</v>
      </c>
      <c r="C3746" s="28" t="s">
        <v>10</v>
      </c>
      <c r="D3746" s="28" t="s">
        <v>201</v>
      </c>
      <c r="E3746" s="28" t="s">
        <v>28</v>
      </c>
      <c r="F3746" s="28">
        <v>25</v>
      </c>
      <c r="G3746" s="28" t="s">
        <v>120</v>
      </c>
      <c r="H3746" s="28">
        <v>0</v>
      </c>
      <c r="J3746" s="28"/>
    </row>
    <row r="3747" spans="1:10" ht="15.75" customHeight="1">
      <c r="A3747" s="28">
        <v>19563</v>
      </c>
      <c r="B3747" s="91">
        <v>45150.916018518517</v>
      </c>
      <c r="C3747" s="28" t="s">
        <v>10</v>
      </c>
      <c r="D3747" s="28" t="s">
        <v>200</v>
      </c>
      <c r="E3747" s="28" t="s">
        <v>28</v>
      </c>
      <c r="F3747" s="28">
        <v>25</v>
      </c>
      <c r="G3747" s="28">
        <v>100692</v>
      </c>
      <c r="H3747" s="28">
        <v>0</v>
      </c>
      <c r="J3747" s="28"/>
    </row>
    <row r="3748" spans="1:10" ht="15.75" customHeight="1">
      <c r="A3748" s="28">
        <v>19563</v>
      </c>
      <c r="B3748" s="91">
        <v>45150.916018518517</v>
      </c>
      <c r="C3748" s="28" t="s">
        <v>10</v>
      </c>
      <c r="D3748" s="28" t="s">
        <v>200</v>
      </c>
      <c r="E3748" s="28" t="s">
        <v>28</v>
      </c>
      <c r="F3748" s="28">
        <v>0</v>
      </c>
      <c r="G3748" s="28" t="s">
        <v>125</v>
      </c>
      <c r="H3748" s="28">
        <v>0</v>
      </c>
      <c r="J3748" s="28"/>
    </row>
    <row r="3749" spans="1:10" ht="15.75" customHeight="1">
      <c r="A3749" s="28">
        <v>19563</v>
      </c>
      <c r="B3749" s="91">
        <v>45150.916018518517</v>
      </c>
      <c r="C3749" s="28" t="s">
        <v>10</v>
      </c>
      <c r="D3749" s="28" t="s">
        <v>200</v>
      </c>
      <c r="E3749" s="28" t="s">
        <v>28</v>
      </c>
      <c r="F3749" s="28">
        <v>0</v>
      </c>
      <c r="G3749" s="28" t="s">
        <v>119</v>
      </c>
      <c r="H3749" s="28">
        <v>0</v>
      </c>
      <c r="J3749" s="28"/>
    </row>
    <row r="3750" spans="1:10" ht="15.75" customHeight="1">
      <c r="A3750" s="28">
        <v>19564</v>
      </c>
      <c r="B3750" s="91">
        <v>45151.572696759264</v>
      </c>
      <c r="C3750" s="28" t="s">
        <v>10</v>
      </c>
      <c r="D3750" s="28" t="s">
        <v>199</v>
      </c>
      <c r="E3750" s="28" t="s">
        <v>28</v>
      </c>
      <c r="F3750" s="28">
        <v>28</v>
      </c>
      <c r="G3750" s="28" t="s">
        <v>143</v>
      </c>
      <c r="H3750" s="28">
        <v>0</v>
      </c>
      <c r="J3750" s="28"/>
    </row>
    <row r="3751" spans="1:10" ht="15.75" customHeight="1">
      <c r="A3751" s="28">
        <v>19564</v>
      </c>
      <c r="B3751" s="91">
        <v>45151.572696759264</v>
      </c>
      <c r="C3751" s="28" t="s">
        <v>10</v>
      </c>
      <c r="D3751" s="28" t="s">
        <v>199</v>
      </c>
      <c r="E3751" s="28" t="s">
        <v>28</v>
      </c>
      <c r="F3751" s="28">
        <v>35</v>
      </c>
      <c r="G3751" s="28" t="s">
        <v>124</v>
      </c>
      <c r="H3751" s="28">
        <v>0</v>
      </c>
      <c r="J3751" s="28"/>
    </row>
    <row r="3752" spans="1:10" ht="15.75" customHeight="1">
      <c r="A3752" s="28">
        <v>19564</v>
      </c>
      <c r="B3752" s="91">
        <v>45151.572696759264</v>
      </c>
      <c r="C3752" s="28" t="s">
        <v>10</v>
      </c>
      <c r="D3752" s="28" t="s">
        <v>199</v>
      </c>
      <c r="E3752" s="28" t="s">
        <v>28</v>
      </c>
      <c r="F3752" s="28">
        <v>0</v>
      </c>
      <c r="G3752" s="28" t="s">
        <v>125</v>
      </c>
      <c r="H3752" s="28">
        <v>0</v>
      </c>
      <c r="J3752" s="28"/>
    </row>
    <row r="3753" spans="1:10" ht="15.75" customHeight="1">
      <c r="A3753" s="28">
        <v>19564</v>
      </c>
      <c r="B3753" s="91">
        <v>45151.572696759264</v>
      </c>
      <c r="C3753" s="28" t="s">
        <v>10</v>
      </c>
      <c r="D3753" s="28" t="s">
        <v>199</v>
      </c>
      <c r="E3753" s="28" t="s">
        <v>28</v>
      </c>
      <c r="F3753" s="28">
        <v>0</v>
      </c>
      <c r="G3753" s="28" t="s">
        <v>119</v>
      </c>
      <c r="H3753" s="28">
        <v>0</v>
      </c>
      <c r="J3753" s="28"/>
    </row>
    <row r="3754" spans="1:10" ht="15.75" customHeight="1">
      <c r="A3754" s="28">
        <v>19564</v>
      </c>
      <c r="B3754" s="91">
        <v>45151.572696759264</v>
      </c>
      <c r="C3754" s="28" t="s">
        <v>10</v>
      </c>
      <c r="D3754" s="28" t="s">
        <v>199</v>
      </c>
      <c r="E3754" s="28" t="s">
        <v>28</v>
      </c>
      <c r="F3754" s="28">
        <v>0</v>
      </c>
      <c r="G3754" s="28" t="s">
        <v>121</v>
      </c>
      <c r="H3754" s="28">
        <v>0</v>
      </c>
      <c r="J3754" s="28"/>
    </row>
    <row r="3755" spans="1:10" ht="15.75" customHeight="1">
      <c r="A3755" s="28">
        <v>19564</v>
      </c>
      <c r="B3755" s="91">
        <v>45151.572696759264</v>
      </c>
      <c r="C3755" s="28" t="s">
        <v>10</v>
      </c>
      <c r="D3755" s="28" t="s">
        <v>199</v>
      </c>
      <c r="E3755" s="28" t="s">
        <v>28</v>
      </c>
      <c r="F3755" s="28">
        <v>0</v>
      </c>
      <c r="G3755" s="28" t="s">
        <v>117</v>
      </c>
      <c r="H3755" s="28">
        <v>0</v>
      </c>
      <c r="J3755" s="28"/>
    </row>
    <row r="3756" spans="1:10" ht="15.75" customHeight="1">
      <c r="A3756" s="28">
        <v>19565</v>
      </c>
      <c r="B3756" s="91">
        <v>45151.576192129629</v>
      </c>
      <c r="C3756" s="28" t="s">
        <v>10</v>
      </c>
      <c r="D3756" s="28" t="s">
        <v>198</v>
      </c>
      <c r="E3756" s="28" t="s">
        <v>28</v>
      </c>
      <c r="F3756" s="28">
        <v>35</v>
      </c>
      <c r="G3756" s="28" t="s">
        <v>124</v>
      </c>
      <c r="H3756" s="28">
        <v>0</v>
      </c>
      <c r="J3756" s="28"/>
    </row>
    <row r="3757" spans="1:10" ht="15.75" customHeight="1">
      <c r="A3757" s="28">
        <v>19565</v>
      </c>
      <c r="B3757" s="91">
        <v>45151.576192129629</v>
      </c>
      <c r="C3757" s="28" t="s">
        <v>10</v>
      </c>
      <c r="D3757" s="28" t="s">
        <v>198</v>
      </c>
      <c r="E3757" s="28" t="s">
        <v>28</v>
      </c>
      <c r="F3757" s="28">
        <v>0</v>
      </c>
      <c r="G3757" s="28" t="s">
        <v>125</v>
      </c>
      <c r="H3757" s="28">
        <v>0</v>
      </c>
      <c r="J3757" s="28"/>
    </row>
    <row r="3758" spans="1:10" ht="15.75" customHeight="1">
      <c r="A3758" s="28">
        <v>19565</v>
      </c>
      <c r="B3758" s="91">
        <v>45151.576192129629</v>
      </c>
      <c r="C3758" s="28" t="s">
        <v>10</v>
      </c>
      <c r="D3758" s="28" t="s">
        <v>198</v>
      </c>
      <c r="E3758" s="28" t="s">
        <v>28</v>
      </c>
      <c r="F3758" s="28">
        <v>0</v>
      </c>
      <c r="G3758" s="28" t="s">
        <v>119</v>
      </c>
      <c r="H3758" s="28">
        <v>0</v>
      </c>
      <c r="J3758" s="28"/>
    </row>
    <row r="3759" spans="1:10" ht="15.75" customHeight="1">
      <c r="A3759" s="28">
        <v>19565</v>
      </c>
      <c r="B3759" s="91">
        <v>45151.576192129629</v>
      </c>
      <c r="C3759" s="28" t="s">
        <v>10</v>
      </c>
      <c r="D3759" s="28" t="s">
        <v>198</v>
      </c>
      <c r="E3759" s="28" t="s">
        <v>28</v>
      </c>
      <c r="F3759" s="28">
        <v>0</v>
      </c>
      <c r="G3759" s="28" t="s">
        <v>121</v>
      </c>
      <c r="H3759" s="28">
        <v>0</v>
      </c>
      <c r="J3759" s="28"/>
    </row>
    <row r="3760" spans="1:10" ht="15.75" customHeight="1">
      <c r="A3760" s="28">
        <v>19565</v>
      </c>
      <c r="B3760" s="91">
        <v>45151.576192129629</v>
      </c>
      <c r="C3760" s="28" t="s">
        <v>10</v>
      </c>
      <c r="D3760" s="28" t="s">
        <v>198</v>
      </c>
      <c r="E3760" s="28" t="s">
        <v>28</v>
      </c>
      <c r="F3760" s="28">
        <v>28</v>
      </c>
      <c r="G3760" s="28" t="s">
        <v>143</v>
      </c>
      <c r="H3760" s="28">
        <v>0</v>
      </c>
      <c r="J3760" s="28"/>
    </row>
    <row r="3761" spans="1:10" ht="15.75" customHeight="1">
      <c r="A3761" s="28">
        <v>19565</v>
      </c>
      <c r="B3761" s="91">
        <v>45151.576192129629</v>
      </c>
      <c r="C3761" s="28" t="s">
        <v>10</v>
      </c>
      <c r="D3761" s="28" t="s">
        <v>198</v>
      </c>
      <c r="E3761" s="28" t="s">
        <v>28</v>
      </c>
      <c r="F3761" s="28">
        <v>0</v>
      </c>
      <c r="G3761" s="28" t="s">
        <v>117</v>
      </c>
      <c r="H3761" s="28">
        <v>0</v>
      </c>
      <c r="J3761" s="28"/>
    </row>
    <row r="3762" spans="1:10" ht="15.75" customHeight="1">
      <c r="A3762" s="28">
        <v>19566</v>
      </c>
      <c r="B3762" s="91">
        <v>45151.679907407408</v>
      </c>
      <c r="C3762" s="28" t="s">
        <v>10</v>
      </c>
      <c r="D3762" s="28" t="s">
        <v>197</v>
      </c>
      <c r="E3762" s="28" t="s">
        <v>28</v>
      </c>
      <c r="F3762" s="28">
        <v>20</v>
      </c>
      <c r="G3762" s="28" t="s">
        <v>148</v>
      </c>
      <c r="H3762" s="28">
        <v>0</v>
      </c>
      <c r="J3762" s="28"/>
    </row>
    <row r="3763" spans="1:10" ht="15.75" customHeight="1">
      <c r="A3763" s="28">
        <v>19566</v>
      </c>
      <c r="B3763" s="91">
        <v>45151.679907407408</v>
      </c>
      <c r="C3763" s="28" t="s">
        <v>10</v>
      </c>
      <c r="D3763" s="28" t="s">
        <v>197</v>
      </c>
      <c r="E3763" s="28" t="s">
        <v>28</v>
      </c>
      <c r="F3763" s="28">
        <v>25</v>
      </c>
      <c r="G3763" s="28">
        <v>100692</v>
      </c>
      <c r="H3763" s="28">
        <v>0</v>
      </c>
      <c r="J3763" s="28"/>
    </row>
    <row r="3764" spans="1:10" ht="15.75" customHeight="1">
      <c r="A3764" s="28">
        <v>19566</v>
      </c>
      <c r="B3764" s="91">
        <v>45151.679907407408</v>
      </c>
      <c r="C3764" s="28" t="s">
        <v>10</v>
      </c>
      <c r="D3764" s="28" t="s">
        <v>197</v>
      </c>
      <c r="E3764" s="28" t="s">
        <v>28</v>
      </c>
      <c r="F3764" s="28">
        <v>0</v>
      </c>
      <c r="G3764" s="28" t="s">
        <v>125</v>
      </c>
      <c r="H3764" s="28">
        <v>0</v>
      </c>
      <c r="J3764" s="28"/>
    </row>
    <row r="3765" spans="1:10" ht="15.75" customHeight="1">
      <c r="A3765" s="28">
        <v>19566</v>
      </c>
      <c r="B3765" s="91">
        <v>45151.679907407408</v>
      </c>
      <c r="C3765" s="28" t="s">
        <v>10</v>
      </c>
      <c r="D3765" s="28" t="s">
        <v>197</v>
      </c>
      <c r="E3765" s="28" t="s">
        <v>28</v>
      </c>
      <c r="F3765" s="28">
        <v>0</v>
      </c>
      <c r="G3765" s="28" t="s">
        <v>119</v>
      </c>
      <c r="H3765" s="28">
        <v>0</v>
      </c>
      <c r="J3765" s="28"/>
    </row>
    <row r="3766" spans="1:10" ht="15.75" customHeight="1">
      <c r="A3766" s="28">
        <v>19567</v>
      </c>
      <c r="B3766" s="91">
        <v>45151.685162037036</v>
      </c>
      <c r="C3766" s="28" t="s">
        <v>10</v>
      </c>
      <c r="D3766" s="28" t="s">
        <v>196</v>
      </c>
      <c r="E3766" s="28" t="s">
        <v>28</v>
      </c>
      <c r="F3766" s="28">
        <v>25</v>
      </c>
      <c r="G3766" s="28">
        <v>100692</v>
      </c>
      <c r="H3766" s="28">
        <v>0</v>
      </c>
      <c r="J3766" s="28"/>
    </row>
    <row r="3767" spans="1:10" ht="15.75" customHeight="1">
      <c r="A3767" s="28">
        <v>19567</v>
      </c>
      <c r="B3767" s="91">
        <v>45151.685162037036</v>
      </c>
      <c r="C3767" s="28" t="s">
        <v>10</v>
      </c>
      <c r="D3767" s="28" t="s">
        <v>196</v>
      </c>
      <c r="E3767" s="28" t="s">
        <v>28</v>
      </c>
      <c r="F3767" s="28">
        <v>0</v>
      </c>
      <c r="G3767" s="28" t="s">
        <v>125</v>
      </c>
      <c r="H3767" s="28">
        <v>0</v>
      </c>
      <c r="J3767" s="28"/>
    </row>
    <row r="3768" spans="1:10" ht="15.75" customHeight="1">
      <c r="A3768" s="28">
        <v>19567</v>
      </c>
      <c r="B3768" s="91">
        <v>45151.685162037036</v>
      </c>
      <c r="C3768" s="28" t="s">
        <v>10</v>
      </c>
      <c r="D3768" s="28" t="s">
        <v>196</v>
      </c>
      <c r="E3768" s="28" t="s">
        <v>28</v>
      </c>
      <c r="F3768" s="28">
        <v>0</v>
      </c>
      <c r="G3768" s="28" t="s">
        <v>119</v>
      </c>
      <c r="H3768" s="28">
        <v>0</v>
      </c>
      <c r="J3768" s="28"/>
    </row>
    <row r="3769" spans="1:10" ht="15.75" customHeight="1">
      <c r="A3769" s="28">
        <v>19567</v>
      </c>
      <c r="B3769" s="91">
        <v>45151.685162037036</v>
      </c>
      <c r="C3769" s="28" t="s">
        <v>10</v>
      </c>
      <c r="D3769" s="28" t="s">
        <v>196</v>
      </c>
      <c r="E3769" s="28" t="s">
        <v>28</v>
      </c>
      <c r="F3769" s="28">
        <v>20</v>
      </c>
      <c r="G3769" s="28" t="s">
        <v>148</v>
      </c>
      <c r="H3769" s="28">
        <v>0</v>
      </c>
      <c r="J3769" s="28"/>
    </row>
    <row r="3770" spans="1:10" ht="15.75" customHeight="1">
      <c r="A3770" s="28">
        <v>19568</v>
      </c>
      <c r="B3770" s="91">
        <v>45152.020358796297</v>
      </c>
      <c r="C3770" s="28" t="s">
        <v>10</v>
      </c>
      <c r="D3770" s="28" t="s">
        <v>195</v>
      </c>
      <c r="E3770" s="28" t="s">
        <v>28</v>
      </c>
      <c r="F3770" s="28">
        <v>25</v>
      </c>
      <c r="G3770" s="28" t="s">
        <v>141</v>
      </c>
      <c r="H3770" s="28">
        <v>0</v>
      </c>
      <c r="J3770" s="28"/>
    </row>
    <row r="3771" spans="1:10" ht="15.75" customHeight="1">
      <c r="A3771" s="28">
        <v>19569</v>
      </c>
      <c r="B3771" s="91">
        <v>45152.844583333332</v>
      </c>
      <c r="C3771" s="28" t="s">
        <v>10</v>
      </c>
      <c r="D3771" s="28" t="s">
        <v>194</v>
      </c>
      <c r="E3771" s="28" t="s">
        <v>28</v>
      </c>
      <c r="F3771" s="28">
        <v>28</v>
      </c>
      <c r="G3771" s="28" t="s">
        <v>143</v>
      </c>
      <c r="H3771" s="28">
        <v>0</v>
      </c>
      <c r="J3771" s="28"/>
    </row>
    <row r="3772" spans="1:10" ht="15.75" customHeight="1">
      <c r="A3772" s="28">
        <v>19570</v>
      </c>
      <c r="B3772" s="91">
        <v>45153.095590277779</v>
      </c>
      <c r="C3772" s="28" t="s">
        <v>10</v>
      </c>
      <c r="D3772" s="28" t="s">
        <v>193</v>
      </c>
      <c r="E3772" s="28" t="s">
        <v>28</v>
      </c>
      <c r="F3772" s="28">
        <v>20</v>
      </c>
      <c r="G3772" s="28" t="s">
        <v>148</v>
      </c>
      <c r="H3772" s="28">
        <v>0</v>
      </c>
      <c r="J3772" s="28"/>
    </row>
    <row r="3773" spans="1:10" ht="15.75" customHeight="1">
      <c r="A3773" s="28">
        <v>19570</v>
      </c>
      <c r="B3773" s="91">
        <v>45153.095590277779</v>
      </c>
      <c r="C3773" s="28" t="s">
        <v>10</v>
      </c>
      <c r="D3773" s="28" t="s">
        <v>193</v>
      </c>
      <c r="E3773" s="28" t="s">
        <v>28</v>
      </c>
      <c r="F3773" s="28">
        <v>25</v>
      </c>
      <c r="G3773" s="28">
        <v>100692</v>
      </c>
      <c r="H3773" s="28">
        <v>0</v>
      </c>
      <c r="J3773" s="28"/>
    </row>
    <row r="3774" spans="1:10" ht="15.75" customHeight="1">
      <c r="A3774" s="28">
        <v>19570</v>
      </c>
      <c r="B3774" s="91">
        <v>45153.095590277779</v>
      </c>
      <c r="C3774" s="28" t="s">
        <v>10</v>
      </c>
      <c r="D3774" s="28" t="s">
        <v>193</v>
      </c>
      <c r="E3774" s="28" t="s">
        <v>28</v>
      </c>
      <c r="F3774" s="28">
        <v>0</v>
      </c>
      <c r="G3774" s="28" t="s">
        <v>125</v>
      </c>
      <c r="H3774" s="28">
        <v>0</v>
      </c>
      <c r="J3774" s="28"/>
    </row>
    <row r="3775" spans="1:10" ht="15.75" customHeight="1">
      <c r="A3775" s="28">
        <v>19570</v>
      </c>
      <c r="B3775" s="91">
        <v>45153.095590277779</v>
      </c>
      <c r="C3775" s="28" t="s">
        <v>10</v>
      </c>
      <c r="D3775" s="28" t="s">
        <v>193</v>
      </c>
      <c r="E3775" s="28" t="s">
        <v>28</v>
      </c>
      <c r="F3775" s="28">
        <v>0</v>
      </c>
      <c r="G3775" s="28" t="s">
        <v>119</v>
      </c>
      <c r="H3775" s="28">
        <v>0</v>
      </c>
      <c r="J3775" s="28"/>
    </row>
    <row r="3776" spans="1:10" ht="15.75" customHeight="1">
      <c r="A3776" s="28">
        <v>19571</v>
      </c>
      <c r="B3776" s="91">
        <v>45153.115439814814</v>
      </c>
      <c r="C3776" s="28" t="s">
        <v>10</v>
      </c>
      <c r="D3776" s="28" t="s">
        <v>192</v>
      </c>
      <c r="E3776" s="28" t="s">
        <v>28</v>
      </c>
      <c r="F3776" s="28">
        <v>35</v>
      </c>
      <c r="G3776" s="28" t="s">
        <v>124</v>
      </c>
      <c r="H3776" s="28">
        <v>0</v>
      </c>
      <c r="J3776" s="28"/>
    </row>
    <row r="3777" spans="1:10" ht="15.75" customHeight="1">
      <c r="A3777" s="28">
        <v>19571</v>
      </c>
      <c r="B3777" s="91">
        <v>45153.115439814814</v>
      </c>
      <c r="C3777" s="28" t="s">
        <v>10</v>
      </c>
      <c r="D3777" s="28" t="s">
        <v>192</v>
      </c>
      <c r="E3777" s="28" t="s">
        <v>28</v>
      </c>
      <c r="F3777" s="28">
        <v>0</v>
      </c>
      <c r="G3777" s="28" t="s">
        <v>125</v>
      </c>
      <c r="H3777" s="28">
        <v>0</v>
      </c>
      <c r="J3777" s="28"/>
    </row>
    <row r="3778" spans="1:10" ht="15.75" customHeight="1">
      <c r="A3778" s="28">
        <v>19571</v>
      </c>
      <c r="B3778" s="91">
        <v>45153.115439814814</v>
      </c>
      <c r="C3778" s="28" t="s">
        <v>10</v>
      </c>
      <c r="D3778" s="28" t="s">
        <v>192</v>
      </c>
      <c r="E3778" s="28" t="s">
        <v>28</v>
      </c>
      <c r="F3778" s="28">
        <v>0</v>
      </c>
      <c r="G3778" s="28" t="s">
        <v>119</v>
      </c>
      <c r="H3778" s="28">
        <v>0</v>
      </c>
      <c r="J3778" s="28"/>
    </row>
    <row r="3779" spans="1:10" ht="15.75" customHeight="1">
      <c r="A3779" s="28">
        <v>19571</v>
      </c>
      <c r="B3779" s="91">
        <v>45153.115439814814</v>
      </c>
      <c r="C3779" s="28" t="s">
        <v>10</v>
      </c>
      <c r="D3779" s="28" t="s">
        <v>192</v>
      </c>
      <c r="E3779" s="28" t="s">
        <v>28</v>
      </c>
      <c r="F3779" s="28">
        <v>0</v>
      </c>
      <c r="G3779" s="28" t="s">
        <v>121</v>
      </c>
      <c r="H3779" s="28">
        <v>0</v>
      </c>
      <c r="J3779" s="28"/>
    </row>
    <row r="3780" spans="1:10" ht="15.75" customHeight="1">
      <c r="A3780" s="28">
        <v>19572</v>
      </c>
      <c r="B3780" s="91">
        <v>45153.494687500002</v>
      </c>
      <c r="C3780" s="28" t="s">
        <v>10</v>
      </c>
      <c r="D3780" s="28" t="s">
        <v>191</v>
      </c>
      <c r="E3780" s="28" t="s">
        <v>28</v>
      </c>
      <c r="F3780" s="28">
        <v>25</v>
      </c>
      <c r="G3780" s="28">
        <v>100692</v>
      </c>
      <c r="H3780" s="28">
        <v>0</v>
      </c>
      <c r="J3780" s="28"/>
    </row>
    <row r="3781" spans="1:10" ht="15.75" customHeight="1">
      <c r="A3781" s="28">
        <v>19572</v>
      </c>
      <c r="B3781" s="91">
        <v>45153.494687500002</v>
      </c>
      <c r="C3781" s="28" t="s">
        <v>10</v>
      </c>
      <c r="D3781" s="28" t="s">
        <v>191</v>
      </c>
      <c r="E3781" s="28" t="s">
        <v>28</v>
      </c>
      <c r="F3781" s="28">
        <v>0</v>
      </c>
      <c r="G3781" s="28" t="s">
        <v>125</v>
      </c>
      <c r="H3781" s="28">
        <v>0</v>
      </c>
      <c r="J3781" s="28"/>
    </row>
    <row r="3782" spans="1:10" ht="15.75" customHeight="1">
      <c r="A3782" s="28">
        <v>19572</v>
      </c>
      <c r="B3782" s="91">
        <v>45153.494687500002</v>
      </c>
      <c r="C3782" s="28" t="s">
        <v>10</v>
      </c>
      <c r="D3782" s="28" t="s">
        <v>191</v>
      </c>
      <c r="E3782" s="28" t="s">
        <v>28</v>
      </c>
      <c r="F3782" s="28">
        <v>0</v>
      </c>
      <c r="G3782" s="28" t="s">
        <v>119</v>
      </c>
      <c r="H3782" s="28">
        <v>0</v>
      </c>
      <c r="J3782" s="28"/>
    </row>
    <row r="3783" spans="1:10" ht="15.75" customHeight="1">
      <c r="A3783" s="28">
        <v>19573</v>
      </c>
      <c r="B3783" s="91">
        <v>45153.519027777773</v>
      </c>
      <c r="C3783" s="28" t="s">
        <v>10</v>
      </c>
      <c r="D3783" s="28" t="s">
        <v>190</v>
      </c>
      <c r="E3783" s="28" t="s">
        <v>28</v>
      </c>
      <c r="F3783" s="28">
        <v>35</v>
      </c>
      <c r="G3783" s="28" t="s">
        <v>124</v>
      </c>
      <c r="H3783" s="28">
        <v>0</v>
      </c>
      <c r="J3783" s="28"/>
    </row>
    <row r="3784" spans="1:10" ht="15.75" customHeight="1">
      <c r="A3784" s="28">
        <v>19573</v>
      </c>
      <c r="B3784" s="91">
        <v>45153.519027777773</v>
      </c>
      <c r="C3784" s="28" t="s">
        <v>10</v>
      </c>
      <c r="D3784" s="28" t="s">
        <v>190</v>
      </c>
      <c r="E3784" s="28" t="s">
        <v>28</v>
      </c>
      <c r="F3784" s="28">
        <v>0</v>
      </c>
      <c r="G3784" s="28" t="s">
        <v>125</v>
      </c>
      <c r="H3784" s="28">
        <v>0</v>
      </c>
      <c r="J3784" s="28"/>
    </row>
    <row r="3785" spans="1:10" ht="15.75" customHeight="1">
      <c r="A3785" s="28">
        <v>19573</v>
      </c>
      <c r="B3785" s="91">
        <v>45153.519027777773</v>
      </c>
      <c r="C3785" s="28" t="s">
        <v>10</v>
      </c>
      <c r="D3785" s="28" t="s">
        <v>190</v>
      </c>
      <c r="E3785" s="28" t="s">
        <v>28</v>
      </c>
      <c r="F3785" s="28">
        <v>0</v>
      </c>
      <c r="G3785" s="28" t="s">
        <v>119</v>
      </c>
      <c r="H3785" s="28">
        <v>0</v>
      </c>
      <c r="J3785" s="28"/>
    </row>
    <row r="3786" spans="1:10" ht="15.75" customHeight="1">
      <c r="A3786" s="28">
        <v>19573</v>
      </c>
      <c r="B3786" s="91">
        <v>45153.519027777773</v>
      </c>
      <c r="C3786" s="28" t="s">
        <v>10</v>
      </c>
      <c r="D3786" s="28" t="s">
        <v>190</v>
      </c>
      <c r="E3786" s="28" t="s">
        <v>28</v>
      </c>
      <c r="F3786" s="28">
        <v>0</v>
      </c>
      <c r="G3786" s="28" t="s">
        <v>121</v>
      </c>
      <c r="H3786" s="28">
        <v>0</v>
      </c>
      <c r="J3786" s="28"/>
    </row>
    <row r="3787" spans="1:10" ht="15.75" customHeight="1">
      <c r="A3787" s="28">
        <v>19574</v>
      </c>
      <c r="B3787" s="91">
        <v>45153.529965277776</v>
      </c>
      <c r="C3787" s="28" t="s">
        <v>10</v>
      </c>
      <c r="D3787" s="28" t="s">
        <v>189</v>
      </c>
      <c r="E3787" s="28" t="s">
        <v>28</v>
      </c>
      <c r="F3787" s="28">
        <v>25</v>
      </c>
      <c r="G3787" s="28">
        <v>100692</v>
      </c>
      <c r="H3787" s="28">
        <v>0</v>
      </c>
      <c r="J3787" s="28"/>
    </row>
    <row r="3788" spans="1:10" ht="15.75" customHeight="1">
      <c r="A3788" s="28">
        <v>19574</v>
      </c>
      <c r="B3788" s="91">
        <v>45153.529965277776</v>
      </c>
      <c r="C3788" s="28" t="s">
        <v>10</v>
      </c>
      <c r="D3788" s="28" t="s">
        <v>189</v>
      </c>
      <c r="E3788" s="28" t="s">
        <v>28</v>
      </c>
      <c r="F3788" s="28">
        <v>0</v>
      </c>
      <c r="G3788" s="28" t="s">
        <v>125</v>
      </c>
      <c r="H3788" s="28">
        <v>0</v>
      </c>
      <c r="J3788" s="28"/>
    </row>
    <row r="3789" spans="1:10" ht="15.75" customHeight="1">
      <c r="A3789" s="28">
        <v>19574</v>
      </c>
      <c r="B3789" s="91">
        <v>45153.529965277776</v>
      </c>
      <c r="C3789" s="28" t="s">
        <v>10</v>
      </c>
      <c r="D3789" s="28" t="s">
        <v>189</v>
      </c>
      <c r="E3789" s="28" t="s">
        <v>28</v>
      </c>
      <c r="F3789" s="28">
        <v>0</v>
      </c>
      <c r="G3789" s="28" t="s">
        <v>119</v>
      </c>
      <c r="H3789" s="28">
        <v>0</v>
      </c>
      <c r="J3789" s="28"/>
    </row>
    <row r="3790" spans="1:10" ht="15.75" customHeight="1">
      <c r="A3790" s="28">
        <v>19575</v>
      </c>
      <c r="B3790" s="91">
        <v>45153.530648148153</v>
      </c>
      <c r="C3790" s="28" t="s">
        <v>10</v>
      </c>
      <c r="D3790" s="28" t="s">
        <v>188</v>
      </c>
      <c r="E3790" s="28" t="s">
        <v>28</v>
      </c>
      <c r="F3790" s="28">
        <v>25</v>
      </c>
      <c r="G3790" s="28">
        <v>100692</v>
      </c>
      <c r="H3790" s="28">
        <v>0</v>
      </c>
      <c r="J3790" s="28"/>
    </row>
    <row r="3791" spans="1:10" ht="15.75" customHeight="1">
      <c r="A3791" s="28">
        <v>19575</v>
      </c>
      <c r="B3791" s="91">
        <v>45153.530648148153</v>
      </c>
      <c r="C3791" s="28" t="s">
        <v>10</v>
      </c>
      <c r="D3791" s="28" t="s">
        <v>188</v>
      </c>
      <c r="E3791" s="28" t="s">
        <v>28</v>
      </c>
      <c r="F3791" s="28">
        <v>0</v>
      </c>
      <c r="G3791" s="28" t="s">
        <v>125</v>
      </c>
      <c r="H3791" s="28">
        <v>0</v>
      </c>
      <c r="J3791" s="28"/>
    </row>
    <row r="3792" spans="1:10" ht="15.75" customHeight="1">
      <c r="A3792" s="28">
        <v>19575</v>
      </c>
      <c r="B3792" s="91">
        <v>45153.530648148153</v>
      </c>
      <c r="C3792" s="28" t="s">
        <v>10</v>
      </c>
      <c r="D3792" s="28" t="s">
        <v>188</v>
      </c>
      <c r="E3792" s="28" t="s">
        <v>28</v>
      </c>
      <c r="F3792" s="28">
        <v>0</v>
      </c>
      <c r="G3792" s="28" t="s">
        <v>119</v>
      </c>
      <c r="H3792" s="28">
        <v>0</v>
      </c>
      <c r="J3792" s="28"/>
    </row>
    <row r="3793" spans="1:10" ht="15.75" customHeight="1">
      <c r="A3793" s="28">
        <v>19576</v>
      </c>
      <c r="B3793" s="91">
        <v>45153.544317129628</v>
      </c>
      <c r="C3793" s="28" t="s">
        <v>10</v>
      </c>
      <c r="D3793" s="28" t="s">
        <v>187</v>
      </c>
      <c r="E3793" s="28" t="s">
        <v>28</v>
      </c>
      <c r="F3793" s="28">
        <v>0</v>
      </c>
      <c r="G3793" s="28" t="s">
        <v>117</v>
      </c>
      <c r="H3793" s="28">
        <v>0</v>
      </c>
      <c r="J3793" s="28"/>
    </row>
    <row r="3794" spans="1:10" ht="15.75" customHeight="1">
      <c r="A3794" s="28">
        <v>19576</v>
      </c>
      <c r="B3794" s="91">
        <v>45153.544317129628</v>
      </c>
      <c r="C3794" s="28" t="s">
        <v>10</v>
      </c>
      <c r="D3794" s="28" t="s">
        <v>187</v>
      </c>
      <c r="E3794" s="28" t="s">
        <v>28</v>
      </c>
      <c r="F3794" s="28">
        <v>15</v>
      </c>
      <c r="G3794" s="28" t="s">
        <v>125</v>
      </c>
      <c r="H3794" s="28">
        <v>0</v>
      </c>
      <c r="J3794" s="28"/>
    </row>
    <row r="3795" spans="1:10" ht="15.75" customHeight="1">
      <c r="A3795" s="28">
        <v>19577</v>
      </c>
      <c r="B3795" s="91">
        <v>45153.546261574069</v>
      </c>
      <c r="C3795" s="28" t="s">
        <v>10</v>
      </c>
      <c r="D3795" s="28" t="s">
        <v>186</v>
      </c>
      <c r="E3795" s="28" t="s">
        <v>28</v>
      </c>
      <c r="F3795" s="28">
        <v>25</v>
      </c>
      <c r="G3795" s="28" t="s">
        <v>141</v>
      </c>
      <c r="H3795" s="28">
        <v>0</v>
      </c>
      <c r="J3795" s="28"/>
    </row>
    <row r="3796" spans="1:10" ht="15.75" customHeight="1">
      <c r="A3796" s="28">
        <v>19578</v>
      </c>
      <c r="B3796" s="91">
        <v>45153.546990740739</v>
      </c>
      <c r="C3796" s="28" t="s">
        <v>10</v>
      </c>
      <c r="D3796" s="28" t="s">
        <v>185</v>
      </c>
      <c r="E3796" s="28" t="s">
        <v>28</v>
      </c>
      <c r="F3796" s="28">
        <v>15</v>
      </c>
      <c r="G3796" s="28" t="s">
        <v>125</v>
      </c>
      <c r="H3796" s="28">
        <v>0</v>
      </c>
      <c r="J3796" s="28"/>
    </row>
    <row r="3797" spans="1:10" ht="15.75" customHeight="1">
      <c r="A3797" s="28">
        <v>19578</v>
      </c>
      <c r="B3797" s="91">
        <v>45153.546990740739</v>
      </c>
      <c r="C3797" s="28" t="s">
        <v>10</v>
      </c>
      <c r="D3797" s="28" t="s">
        <v>185</v>
      </c>
      <c r="E3797" s="28" t="s">
        <v>28</v>
      </c>
      <c r="F3797" s="28">
        <v>0</v>
      </c>
      <c r="G3797" s="28" t="s">
        <v>117</v>
      </c>
      <c r="H3797" s="28">
        <v>0</v>
      </c>
      <c r="J3797" s="28"/>
    </row>
    <row r="3798" spans="1:10" ht="15.75" customHeight="1">
      <c r="A3798" s="28">
        <v>19579</v>
      </c>
      <c r="B3798" s="91">
        <v>45153.553807870368</v>
      </c>
      <c r="C3798" s="28" t="s">
        <v>10</v>
      </c>
      <c r="D3798" s="28" t="s">
        <v>184</v>
      </c>
      <c r="E3798" s="28" t="s">
        <v>28</v>
      </c>
      <c r="F3798" s="28">
        <v>15</v>
      </c>
      <c r="G3798" s="28" t="s">
        <v>125</v>
      </c>
      <c r="H3798" s="28">
        <v>0</v>
      </c>
      <c r="J3798" s="28"/>
    </row>
    <row r="3799" spans="1:10" ht="15.75" customHeight="1">
      <c r="A3799" s="28">
        <v>19579</v>
      </c>
      <c r="B3799" s="91">
        <v>45153.553807870368</v>
      </c>
      <c r="C3799" s="28" t="s">
        <v>10</v>
      </c>
      <c r="D3799" s="28" t="s">
        <v>184</v>
      </c>
      <c r="E3799" s="28" t="s">
        <v>28</v>
      </c>
      <c r="F3799" s="28">
        <v>0</v>
      </c>
      <c r="G3799" s="28" t="s">
        <v>117</v>
      </c>
      <c r="H3799" s="28">
        <v>0</v>
      </c>
      <c r="J3799" s="28"/>
    </row>
    <row r="3800" spans="1:10" ht="15.75" customHeight="1">
      <c r="A3800" s="28">
        <v>19580</v>
      </c>
      <c r="B3800" s="91">
        <v>45153.557708333334</v>
      </c>
      <c r="C3800" s="28" t="s">
        <v>8</v>
      </c>
      <c r="D3800" s="28" t="s">
        <v>183</v>
      </c>
      <c r="E3800" s="28" t="s">
        <v>80</v>
      </c>
      <c r="F3800" s="28">
        <v>25</v>
      </c>
      <c r="G3800" s="28">
        <v>100692</v>
      </c>
      <c r="H3800" s="28">
        <v>0</v>
      </c>
      <c r="J3800" s="28"/>
    </row>
    <row r="3801" spans="1:10" ht="15.75" customHeight="1">
      <c r="A3801" s="28">
        <v>19580</v>
      </c>
      <c r="B3801" s="91">
        <v>45153.557708333334</v>
      </c>
      <c r="C3801" s="28" t="s">
        <v>8</v>
      </c>
      <c r="D3801" s="28" t="s">
        <v>183</v>
      </c>
      <c r="E3801" s="28" t="s">
        <v>80</v>
      </c>
      <c r="F3801" s="28">
        <v>0</v>
      </c>
      <c r="G3801" s="28" t="s">
        <v>125</v>
      </c>
      <c r="H3801" s="28">
        <v>0</v>
      </c>
      <c r="J3801" s="28"/>
    </row>
    <row r="3802" spans="1:10" ht="15.75" customHeight="1">
      <c r="A3802" s="28">
        <v>19580</v>
      </c>
      <c r="B3802" s="91">
        <v>45153.557708333334</v>
      </c>
      <c r="C3802" s="28" t="s">
        <v>8</v>
      </c>
      <c r="D3802" s="28" t="s">
        <v>183</v>
      </c>
      <c r="E3802" s="28" t="s">
        <v>80</v>
      </c>
      <c r="F3802" s="28">
        <v>0</v>
      </c>
      <c r="G3802" s="28" t="s">
        <v>119</v>
      </c>
      <c r="H3802" s="28">
        <v>0</v>
      </c>
      <c r="J3802" s="28"/>
    </row>
    <row r="3803" spans="1:10" ht="15.75" customHeight="1">
      <c r="A3803" s="28">
        <v>19581</v>
      </c>
      <c r="B3803" s="91">
        <v>45153.558969907404</v>
      </c>
      <c r="C3803" s="28" t="s">
        <v>8</v>
      </c>
      <c r="D3803" s="28" t="s">
        <v>182</v>
      </c>
      <c r="E3803" s="28" t="s">
        <v>80</v>
      </c>
      <c r="F3803" s="28">
        <v>25</v>
      </c>
      <c r="G3803" s="28">
        <v>100692</v>
      </c>
      <c r="H3803" s="28">
        <v>0</v>
      </c>
      <c r="J3803" s="28"/>
    </row>
    <row r="3804" spans="1:10" ht="15.75" customHeight="1">
      <c r="A3804" s="28">
        <v>19581</v>
      </c>
      <c r="B3804" s="91">
        <v>45153.558969907404</v>
      </c>
      <c r="C3804" s="28" t="s">
        <v>8</v>
      </c>
      <c r="D3804" s="28" t="s">
        <v>182</v>
      </c>
      <c r="E3804" s="28" t="s">
        <v>80</v>
      </c>
      <c r="F3804" s="28">
        <v>0</v>
      </c>
      <c r="G3804" s="28" t="s">
        <v>125</v>
      </c>
      <c r="H3804" s="28">
        <v>0</v>
      </c>
      <c r="J3804" s="28"/>
    </row>
    <row r="3805" spans="1:10" ht="15.75" customHeight="1">
      <c r="A3805" s="28">
        <v>19581</v>
      </c>
      <c r="B3805" s="91">
        <v>45153.558969907404</v>
      </c>
      <c r="C3805" s="28" t="s">
        <v>8</v>
      </c>
      <c r="D3805" s="28" t="s">
        <v>182</v>
      </c>
      <c r="E3805" s="28" t="s">
        <v>80</v>
      </c>
      <c r="F3805" s="28">
        <v>0</v>
      </c>
      <c r="G3805" s="28" t="s">
        <v>119</v>
      </c>
      <c r="H3805" s="28">
        <v>0</v>
      </c>
      <c r="J3805" s="28"/>
    </row>
    <row r="3806" spans="1:10" ht="15.75" customHeight="1">
      <c r="A3806" s="28">
        <v>19582</v>
      </c>
      <c r="B3806" s="91">
        <v>45153.659722222219</v>
      </c>
      <c r="C3806" s="28" t="s">
        <v>10</v>
      </c>
      <c r="D3806" s="28" t="s">
        <v>181</v>
      </c>
      <c r="E3806" s="28" t="s">
        <v>28</v>
      </c>
      <c r="F3806" s="28">
        <v>25</v>
      </c>
      <c r="G3806" s="28">
        <v>100692</v>
      </c>
      <c r="H3806" s="28">
        <v>0</v>
      </c>
      <c r="J3806" s="28"/>
    </row>
    <row r="3807" spans="1:10" ht="15.75" customHeight="1">
      <c r="A3807" s="28">
        <v>19582</v>
      </c>
      <c r="B3807" s="91">
        <v>45153.659722222219</v>
      </c>
      <c r="C3807" s="28" t="s">
        <v>10</v>
      </c>
      <c r="D3807" s="28" t="s">
        <v>181</v>
      </c>
      <c r="E3807" s="28" t="s">
        <v>28</v>
      </c>
      <c r="F3807" s="28">
        <v>0</v>
      </c>
      <c r="G3807" s="28" t="s">
        <v>125</v>
      </c>
      <c r="H3807" s="28">
        <v>0</v>
      </c>
      <c r="J3807" s="28"/>
    </row>
    <row r="3808" spans="1:10" ht="15.75" customHeight="1">
      <c r="A3808" s="28">
        <v>19582</v>
      </c>
      <c r="B3808" s="91">
        <v>45153.659722222219</v>
      </c>
      <c r="C3808" s="28" t="s">
        <v>10</v>
      </c>
      <c r="D3808" s="28" t="s">
        <v>181</v>
      </c>
      <c r="E3808" s="28" t="s">
        <v>28</v>
      </c>
      <c r="F3808" s="28">
        <v>0</v>
      </c>
      <c r="G3808" s="28" t="s">
        <v>119</v>
      </c>
      <c r="H3808" s="28">
        <v>0</v>
      </c>
      <c r="J3808" s="28"/>
    </row>
    <row r="3809" spans="1:10" ht="15.75" customHeight="1">
      <c r="A3809" s="28">
        <v>19582</v>
      </c>
      <c r="B3809" s="91">
        <v>45153.659722222219</v>
      </c>
      <c r="C3809" s="28" t="s">
        <v>10</v>
      </c>
      <c r="D3809" s="28" t="s">
        <v>181</v>
      </c>
      <c r="E3809" s="28" t="s">
        <v>28</v>
      </c>
      <c r="F3809" s="28">
        <v>0</v>
      </c>
      <c r="G3809" s="28" t="s">
        <v>117</v>
      </c>
      <c r="H3809" s="28">
        <v>0</v>
      </c>
      <c r="J3809" s="28"/>
    </row>
    <row r="3810" spans="1:10" ht="15.75" customHeight="1">
      <c r="A3810" s="28">
        <v>19583</v>
      </c>
      <c r="B3810" s="91">
        <v>45153.679884259254</v>
      </c>
      <c r="C3810" s="28" t="s">
        <v>10</v>
      </c>
      <c r="D3810" s="28" t="s">
        <v>179</v>
      </c>
      <c r="E3810" s="28" t="s">
        <v>28</v>
      </c>
      <c r="F3810" s="28">
        <v>0</v>
      </c>
      <c r="G3810" s="28" t="s">
        <v>117</v>
      </c>
      <c r="H3810" s="28">
        <v>0</v>
      </c>
      <c r="J3810" s="28"/>
    </row>
    <row r="3811" spans="1:10" ht="15.75" customHeight="1">
      <c r="A3811" s="28">
        <v>19583</v>
      </c>
      <c r="B3811" s="91">
        <v>45153.679884259254</v>
      </c>
      <c r="C3811" s="28" t="s">
        <v>10</v>
      </c>
      <c r="D3811" s="28" t="s">
        <v>179</v>
      </c>
      <c r="E3811" s="28" t="s">
        <v>28</v>
      </c>
      <c r="F3811" s="28">
        <v>18</v>
      </c>
      <c r="G3811" s="28" t="s">
        <v>180</v>
      </c>
      <c r="H3811" s="28">
        <v>0</v>
      </c>
      <c r="J3811" s="28"/>
    </row>
    <row r="3812" spans="1:10" ht="15.75" customHeight="1">
      <c r="A3812" s="28">
        <v>19583</v>
      </c>
      <c r="B3812" s="91">
        <v>45153.679884259254</v>
      </c>
      <c r="C3812" s="28" t="s">
        <v>10</v>
      </c>
      <c r="D3812" s="28" t="s">
        <v>179</v>
      </c>
      <c r="E3812" s="28" t="s">
        <v>28</v>
      </c>
      <c r="F3812" s="28">
        <v>25</v>
      </c>
      <c r="G3812" s="28">
        <v>100692</v>
      </c>
      <c r="H3812" s="28">
        <v>0</v>
      </c>
      <c r="J3812" s="28"/>
    </row>
    <row r="3813" spans="1:10" ht="15.75" customHeight="1">
      <c r="A3813" s="28">
        <v>19583</v>
      </c>
      <c r="B3813" s="91">
        <v>45153.679884259254</v>
      </c>
      <c r="C3813" s="28" t="s">
        <v>10</v>
      </c>
      <c r="D3813" s="28" t="s">
        <v>179</v>
      </c>
      <c r="E3813" s="28" t="s">
        <v>28</v>
      </c>
      <c r="F3813" s="28">
        <v>0</v>
      </c>
      <c r="G3813" s="28" t="s">
        <v>125</v>
      </c>
      <c r="H3813" s="28">
        <v>0</v>
      </c>
      <c r="J3813" s="28"/>
    </row>
    <row r="3814" spans="1:10" ht="15.75" customHeight="1">
      <c r="A3814" s="28">
        <v>19583</v>
      </c>
      <c r="B3814" s="91">
        <v>45153.679884259254</v>
      </c>
      <c r="C3814" s="28" t="s">
        <v>10</v>
      </c>
      <c r="D3814" s="28" t="s">
        <v>179</v>
      </c>
      <c r="E3814" s="28" t="s">
        <v>28</v>
      </c>
      <c r="F3814" s="28">
        <v>0</v>
      </c>
      <c r="G3814" s="28" t="s">
        <v>119</v>
      </c>
      <c r="H3814" s="28">
        <v>0</v>
      </c>
      <c r="J3814" s="28"/>
    </row>
    <row r="3815" spans="1:10" ht="15.75" customHeight="1">
      <c r="A3815" s="28">
        <v>19584</v>
      </c>
      <c r="B3815" s="91">
        <v>45153.928703703699</v>
      </c>
      <c r="C3815" s="28" t="s">
        <v>10</v>
      </c>
      <c r="D3815" s="28" t="s">
        <v>178</v>
      </c>
      <c r="E3815" s="28" t="s">
        <v>28</v>
      </c>
      <c r="F3815" s="28">
        <v>15</v>
      </c>
      <c r="G3815" s="28" t="s">
        <v>125</v>
      </c>
      <c r="H3815" s="28">
        <v>0</v>
      </c>
      <c r="J3815" s="28"/>
    </row>
    <row r="3816" spans="1:10" ht="15.75" customHeight="1">
      <c r="A3816" s="28">
        <v>19584</v>
      </c>
      <c r="B3816" s="91">
        <v>45153.928703703699</v>
      </c>
      <c r="C3816" s="28" t="s">
        <v>10</v>
      </c>
      <c r="D3816" s="28" t="s">
        <v>178</v>
      </c>
      <c r="E3816" s="28" t="s">
        <v>28</v>
      </c>
      <c r="F3816" s="28">
        <v>0</v>
      </c>
      <c r="G3816" s="28" t="s">
        <v>117</v>
      </c>
      <c r="H3816" s="28">
        <v>0</v>
      </c>
      <c r="J3816" s="28"/>
    </row>
    <row r="3817" spans="1:10" ht="15.75" customHeight="1">
      <c r="A3817" s="28">
        <v>19586</v>
      </c>
      <c r="B3817" s="91">
        <v>45154.536261574074</v>
      </c>
      <c r="C3817" s="28" t="s">
        <v>10</v>
      </c>
      <c r="D3817" s="28" t="s">
        <v>177</v>
      </c>
      <c r="E3817" s="28" t="s">
        <v>74</v>
      </c>
      <c r="F3817" s="28">
        <v>25</v>
      </c>
      <c r="G3817" s="28" t="s">
        <v>141</v>
      </c>
      <c r="H3817" s="28">
        <v>0</v>
      </c>
      <c r="J3817" s="28"/>
    </row>
    <row r="3818" spans="1:10" ht="15.75" customHeight="1">
      <c r="A3818" s="28">
        <v>19587</v>
      </c>
      <c r="B3818" s="91">
        <v>45154.539895833332</v>
      </c>
      <c r="C3818" s="28" t="s">
        <v>10</v>
      </c>
      <c r="D3818" s="28" t="s">
        <v>176</v>
      </c>
      <c r="E3818" s="28" t="s">
        <v>74</v>
      </c>
      <c r="F3818" s="28">
        <v>25</v>
      </c>
      <c r="G3818" s="28" t="s">
        <v>141</v>
      </c>
      <c r="H3818" s="28">
        <v>0</v>
      </c>
      <c r="J3818" s="28"/>
    </row>
    <row r="3819" spans="1:10" ht="15.75" customHeight="1">
      <c r="A3819" s="28">
        <v>19588</v>
      </c>
      <c r="B3819" s="91">
        <v>45154.630405092597</v>
      </c>
      <c r="C3819" s="28" t="s">
        <v>10</v>
      </c>
      <c r="D3819" s="28" t="s">
        <v>175</v>
      </c>
      <c r="E3819" s="28" t="s">
        <v>28</v>
      </c>
      <c r="F3819" s="28">
        <v>25</v>
      </c>
      <c r="G3819" s="28">
        <v>100692</v>
      </c>
      <c r="H3819" s="28">
        <v>0</v>
      </c>
      <c r="J3819" s="28"/>
    </row>
    <row r="3820" spans="1:10" ht="15.75" customHeight="1">
      <c r="A3820" s="28">
        <v>19588</v>
      </c>
      <c r="B3820" s="91">
        <v>45154.630405092597</v>
      </c>
      <c r="C3820" s="28" t="s">
        <v>10</v>
      </c>
      <c r="D3820" s="28" t="s">
        <v>175</v>
      </c>
      <c r="E3820" s="28" t="s">
        <v>28</v>
      </c>
      <c r="F3820" s="28">
        <v>0</v>
      </c>
      <c r="G3820" s="28" t="s">
        <v>125</v>
      </c>
      <c r="H3820" s="28">
        <v>0</v>
      </c>
      <c r="J3820" s="28"/>
    </row>
    <row r="3821" spans="1:10" ht="15.75" customHeight="1">
      <c r="A3821" s="28">
        <v>19588</v>
      </c>
      <c r="B3821" s="91">
        <v>45154.630405092597</v>
      </c>
      <c r="C3821" s="28" t="s">
        <v>10</v>
      </c>
      <c r="D3821" s="28" t="s">
        <v>175</v>
      </c>
      <c r="E3821" s="28" t="s">
        <v>28</v>
      </c>
      <c r="F3821" s="28">
        <v>0</v>
      </c>
      <c r="G3821" s="28" t="s">
        <v>119</v>
      </c>
      <c r="H3821" s="28">
        <v>0</v>
      </c>
      <c r="J3821" s="28"/>
    </row>
    <row r="3822" spans="1:10" ht="15.75" customHeight="1">
      <c r="A3822" s="28">
        <v>19589</v>
      </c>
      <c r="B3822" s="91">
        <v>45154.632303240738</v>
      </c>
      <c r="C3822" s="28" t="s">
        <v>10</v>
      </c>
      <c r="D3822" s="28" t="s">
        <v>174</v>
      </c>
      <c r="E3822" s="28" t="s">
        <v>28</v>
      </c>
      <c r="F3822" s="28">
        <v>25</v>
      </c>
      <c r="G3822" s="28">
        <v>100692</v>
      </c>
      <c r="H3822" s="28">
        <v>0</v>
      </c>
      <c r="J3822" s="28"/>
    </row>
    <row r="3823" spans="1:10" ht="15.75" customHeight="1">
      <c r="A3823" s="28">
        <v>19589</v>
      </c>
      <c r="B3823" s="91">
        <v>45154.632303240738</v>
      </c>
      <c r="C3823" s="28" t="s">
        <v>10</v>
      </c>
      <c r="D3823" s="28" t="s">
        <v>174</v>
      </c>
      <c r="E3823" s="28" t="s">
        <v>28</v>
      </c>
      <c r="F3823" s="28">
        <v>0</v>
      </c>
      <c r="G3823" s="28" t="s">
        <v>125</v>
      </c>
      <c r="H3823" s="28">
        <v>0</v>
      </c>
      <c r="J3823" s="28"/>
    </row>
    <row r="3824" spans="1:10" ht="15.75" customHeight="1">
      <c r="A3824" s="28">
        <v>19589</v>
      </c>
      <c r="B3824" s="91">
        <v>45154.632303240738</v>
      </c>
      <c r="C3824" s="28" t="s">
        <v>10</v>
      </c>
      <c r="D3824" s="28" t="s">
        <v>174</v>
      </c>
      <c r="E3824" s="28" t="s">
        <v>28</v>
      </c>
      <c r="F3824" s="28">
        <v>0</v>
      </c>
      <c r="G3824" s="28" t="s">
        <v>119</v>
      </c>
      <c r="H3824" s="28">
        <v>0</v>
      </c>
      <c r="J3824" s="28"/>
    </row>
    <row r="3825" spans="1:10" ht="15.75" customHeight="1">
      <c r="A3825" s="28">
        <v>19591</v>
      </c>
      <c r="B3825" s="91">
        <v>45155.451226851852</v>
      </c>
      <c r="C3825" s="28" t="s">
        <v>8</v>
      </c>
      <c r="D3825" s="28" t="s">
        <v>173</v>
      </c>
      <c r="E3825" s="28" t="s">
        <v>74</v>
      </c>
      <c r="F3825" s="28">
        <v>35</v>
      </c>
      <c r="G3825" s="28" t="s">
        <v>124</v>
      </c>
      <c r="H3825" s="28">
        <v>0</v>
      </c>
      <c r="J3825" s="28"/>
    </row>
    <row r="3826" spans="1:10" ht="15.75" customHeight="1">
      <c r="A3826" s="28">
        <v>19591</v>
      </c>
      <c r="B3826" s="91">
        <v>45155.451226851852</v>
      </c>
      <c r="C3826" s="28" t="s">
        <v>8</v>
      </c>
      <c r="D3826" s="28" t="s">
        <v>173</v>
      </c>
      <c r="E3826" s="28" t="s">
        <v>74</v>
      </c>
      <c r="F3826" s="28">
        <v>0</v>
      </c>
      <c r="G3826" s="28" t="s">
        <v>125</v>
      </c>
      <c r="H3826" s="28">
        <v>0</v>
      </c>
      <c r="J3826" s="28"/>
    </row>
    <row r="3827" spans="1:10" ht="15.75" customHeight="1">
      <c r="A3827" s="28">
        <v>19591</v>
      </c>
      <c r="B3827" s="91">
        <v>45155.451226851852</v>
      </c>
      <c r="C3827" s="28" t="s">
        <v>8</v>
      </c>
      <c r="D3827" s="28" t="s">
        <v>173</v>
      </c>
      <c r="E3827" s="28" t="s">
        <v>74</v>
      </c>
      <c r="F3827" s="28">
        <v>0</v>
      </c>
      <c r="G3827" s="28" t="s">
        <v>119</v>
      </c>
      <c r="H3827" s="28">
        <v>0</v>
      </c>
      <c r="J3827" s="28"/>
    </row>
    <row r="3828" spans="1:10" ht="15.75" customHeight="1">
      <c r="A3828" s="28">
        <v>19591</v>
      </c>
      <c r="B3828" s="91">
        <v>45155.451226851852</v>
      </c>
      <c r="C3828" s="28" t="s">
        <v>8</v>
      </c>
      <c r="D3828" s="28" t="s">
        <v>173</v>
      </c>
      <c r="E3828" s="28" t="s">
        <v>74</v>
      </c>
      <c r="F3828" s="28">
        <v>0</v>
      </c>
      <c r="G3828" s="28" t="s">
        <v>121</v>
      </c>
      <c r="H3828" s="28">
        <v>0</v>
      </c>
      <c r="J3828" s="28"/>
    </row>
    <row r="3829" spans="1:10" ht="15.75" customHeight="1">
      <c r="A3829" s="28">
        <v>19592</v>
      </c>
      <c r="B3829" s="91">
        <v>45155.746076388888</v>
      </c>
      <c r="C3829" s="28" t="s">
        <v>10</v>
      </c>
      <c r="D3829" s="28" t="s">
        <v>172</v>
      </c>
      <c r="E3829" s="28" t="s">
        <v>28</v>
      </c>
      <c r="F3829" s="28">
        <v>18</v>
      </c>
      <c r="G3829" s="28" t="s">
        <v>119</v>
      </c>
      <c r="H3829" s="28">
        <v>0</v>
      </c>
      <c r="J3829" s="28"/>
    </row>
    <row r="3830" spans="1:10" ht="15.75" customHeight="1">
      <c r="A3830" s="28">
        <v>19592</v>
      </c>
      <c r="B3830" s="91">
        <v>45155.746076388888</v>
      </c>
      <c r="C3830" s="28" t="s">
        <v>10</v>
      </c>
      <c r="D3830" s="28" t="s">
        <v>172</v>
      </c>
      <c r="E3830" s="28" t="s">
        <v>28</v>
      </c>
      <c r="F3830" s="28">
        <v>15</v>
      </c>
      <c r="G3830" s="28" t="s">
        <v>139</v>
      </c>
      <c r="H3830" s="28">
        <v>0</v>
      </c>
      <c r="J3830" s="28"/>
    </row>
    <row r="3831" spans="1:10" ht="15.75" customHeight="1">
      <c r="A3831" s="28">
        <v>19592</v>
      </c>
      <c r="B3831" s="91">
        <v>45155.746076388888</v>
      </c>
      <c r="C3831" s="28" t="s">
        <v>10</v>
      </c>
      <c r="D3831" s="28" t="s">
        <v>172</v>
      </c>
      <c r="E3831" s="28" t="s">
        <v>28</v>
      </c>
      <c r="F3831" s="28">
        <v>15</v>
      </c>
      <c r="G3831" s="28" t="s">
        <v>170</v>
      </c>
      <c r="H3831" s="28">
        <v>0</v>
      </c>
      <c r="J3831" s="28"/>
    </row>
    <row r="3832" spans="1:10" ht="15.75" customHeight="1">
      <c r="A3832" s="28">
        <v>19593</v>
      </c>
      <c r="B3832" s="91">
        <v>45155.750069444446</v>
      </c>
      <c r="C3832" s="28" t="s">
        <v>8</v>
      </c>
      <c r="D3832" s="28" t="s">
        <v>171</v>
      </c>
      <c r="E3832" s="28" t="s">
        <v>74</v>
      </c>
      <c r="F3832" s="28">
        <v>15</v>
      </c>
      <c r="G3832" s="28" t="s">
        <v>139</v>
      </c>
      <c r="H3832" s="28">
        <v>0</v>
      </c>
      <c r="J3832" s="28"/>
    </row>
    <row r="3833" spans="1:10" ht="15.75" customHeight="1">
      <c r="A3833" s="28">
        <v>19593</v>
      </c>
      <c r="B3833" s="91">
        <v>45155.750069444446</v>
      </c>
      <c r="C3833" s="28" t="s">
        <v>8</v>
      </c>
      <c r="D3833" s="28" t="s">
        <v>171</v>
      </c>
      <c r="E3833" s="28" t="s">
        <v>74</v>
      </c>
      <c r="F3833" s="28">
        <v>15</v>
      </c>
      <c r="G3833" s="28" t="s">
        <v>125</v>
      </c>
      <c r="H3833" s="28">
        <v>0</v>
      </c>
      <c r="J3833" s="28"/>
    </row>
    <row r="3834" spans="1:10" ht="15.75" customHeight="1">
      <c r="A3834" s="28">
        <v>19593</v>
      </c>
      <c r="B3834" s="91">
        <v>45155.750069444446</v>
      </c>
      <c r="C3834" s="28" t="s">
        <v>8</v>
      </c>
      <c r="D3834" s="28" t="s">
        <v>171</v>
      </c>
      <c r="E3834" s="28" t="s">
        <v>74</v>
      </c>
      <c r="F3834" s="28">
        <v>28</v>
      </c>
      <c r="G3834" s="28" t="s">
        <v>143</v>
      </c>
      <c r="H3834" s="28">
        <v>0</v>
      </c>
      <c r="J3834" s="28"/>
    </row>
    <row r="3835" spans="1:10" ht="15.75" customHeight="1">
      <c r="A3835" s="28">
        <v>19593</v>
      </c>
      <c r="B3835" s="91">
        <v>45155.750069444446</v>
      </c>
      <c r="C3835" s="28" t="s">
        <v>8</v>
      </c>
      <c r="D3835" s="28" t="s">
        <v>171</v>
      </c>
      <c r="E3835" s="28" t="s">
        <v>74</v>
      </c>
      <c r="F3835" s="28">
        <v>26</v>
      </c>
      <c r="G3835" s="28" t="s">
        <v>122</v>
      </c>
      <c r="H3835" s="28">
        <v>0</v>
      </c>
      <c r="J3835" s="28"/>
    </row>
    <row r="3836" spans="1:10" ht="15.75" customHeight="1">
      <c r="A3836" s="28">
        <v>19594</v>
      </c>
      <c r="B3836" s="91">
        <v>45155.864293981482</v>
      </c>
      <c r="C3836" s="28" t="s">
        <v>10</v>
      </c>
      <c r="D3836" s="28" t="s">
        <v>169</v>
      </c>
      <c r="E3836" s="28" t="s">
        <v>79</v>
      </c>
      <c r="F3836" s="28">
        <v>25</v>
      </c>
      <c r="G3836" s="28" t="s">
        <v>120</v>
      </c>
      <c r="H3836" s="28">
        <v>0</v>
      </c>
      <c r="J3836" s="28"/>
    </row>
    <row r="3837" spans="1:10" ht="15.75" customHeight="1">
      <c r="A3837" s="28">
        <v>19594</v>
      </c>
      <c r="B3837" s="91">
        <v>45155.864293981482</v>
      </c>
      <c r="C3837" s="28" t="s">
        <v>10</v>
      </c>
      <c r="D3837" s="28" t="s">
        <v>169</v>
      </c>
      <c r="E3837" s="28" t="s">
        <v>79</v>
      </c>
      <c r="F3837" s="28">
        <v>15</v>
      </c>
      <c r="G3837" s="28" t="s">
        <v>170</v>
      </c>
      <c r="H3837" s="28">
        <v>0</v>
      </c>
      <c r="J3837" s="28"/>
    </row>
    <row r="3838" spans="1:10" ht="15.75" customHeight="1">
      <c r="A3838" s="28">
        <v>19595</v>
      </c>
      <c r="B3838" s="91">
        <v>45156.479201388887</v>
      </c>
      <c r="C3838" s="28" t="s">
        <v>10</v>
      </c>
      <c r="D3838" s="28" t="s">
        <v>168</v>
      </c>
      <c r="E3838" s="28" t="s">
        <v>28</v>
      </c>
      <c r="F3838" s="28">
        <v>35</v>
      </c>
      <c r="G3838" s="28" t="s">
        <v>124</v>
      </c>
      <c r="H3838" s="28">
        <v>0</v>
      </c>
      <c r="J3838" s="28"/>
    </row>
    <row r="3839" spans="1:10" ht="15.75" customHeight="1">
      <c r="A3839" s="28">
        <v>19595</v>
      </c>
      <c r="B3839" s="91">
        <v>45156.479201388887</v>
      </c>
      <c r="C3839" s="28" t="s">
        <v>10</v>
      </c>
      <c r="D3839" s="28" t="s">
        <v>168</v>
      </c>
      <c r="E3839" s="28" t="s">
        <v>28</v>
      </c>
      <c r="F3839" s="28">
        <v>0</v>
      </c>
      <c r="G3839" s="28" t="s">
        <v>125</v>
      </c>
      <c r="H3839" s="28">
        <v>0</v>
      </c>
      <c r="J3839" s="28"/>
    </row>
    <row r="3840" spans="1:10" ht="15.75" customHeight="1">
      <c r="A3840" s="28">
        <v>19595</v>
      </c>
      <c r="B3840" s="91">
        <v>45156.479201388887</v>
      </c>
      <c r="C3840" s="28" t="s">
        <v>10</v>
      </c>
      <c r="D3840" s="28" t="s">
        <v>168</v>
      </c>
      <c r="E3840" s="28" t="s">
        <v>28</v>
      </c>
      <c r="F3840" s="28">
        <v>0</v>
      </c>
      <c r="G3840" s="28" t="s">
        <v>119</v>
      </c>
      <c r="H3840" s="28">
        <v>0</v>
      </c>
      <c r="J3840" s="28"/>
    </row>
    <row r="3841" spans="1:10" ht="15.75" customHeight="1">
      <c r="A3841" s="28">
        <v>19595</v>
      </c>
      <c r="B3841" s="91">
        <v>45156.479201388887</v>
      </c>
      <c r="C3841" s="28" t="s">
        <v>10</v>
      </c>
      <c r="D3841" s="28" t="s">
        <v>168</v>
      </c>
      <c r="E3841" s="28" t="s">
        <v>28</v>
      </c>
      <c r="F3841" s="28">
        <v>0</v>
      </c>
      <c r="G3841" s="28" t="s">
        <v>121</v>
      </c>
      <c r="H3841" s="28">
        <v>0</v>
      </c>
      <c r="J3841" s="28"/>
    </row>
    <row r="3842" spans="1:10" ht="15.75" customHeight="1">
      <c r="A3842" s="28">
        <v>19596</v>
      </c>
      <c r="B3842" s="91">
        <v>45156.549907407403</v>
      </c>
      <c r="C3842" s="28" t="s">
        <v>8</v>
      </c>
      <c r="D3842" s="28" t="s">
        <v>167</v>
      </c>
      <c r="E3842" s="28" t="s">
        <v>74</v>
      </c>
      <c r="F3842" s="28">
        <v>25</v>
      </c>
      <c r="G3842" s="28">
        <v>100692</v>
      </c>
      <c r="H3842" s="28">
        <v>0</v>
      </c>
      <c r="J3842" s="28"/>
    </row>
    <row r="3843" spans="1:10" ht="15.75" customHeight="1">
      <c r="A3843" s="28">
        <v>19596</v>
      </c>
      <c r="B3843" s="91">
        <v>45156.549907407403</v>
      </c>
      <c r="C3843" s="28" t="s">
        <v>8</v>
      </c>
      <c r="D3843" s="28" t="s">
        <v>167</v>
      </c>
      <c r="E3843" s="28" t="s">
        <v>74</v>
      </c>
      <c r="F3843" s="28">
        <v>0</v>
      </c>
      <c r="G3843" s="28" t="s">
        <v>125</v>
      </c>
      <c r="H3843" s="28">
        <v>0</v>
      </c>
      <c r="J3843" s="28"/>
    </row>
    <row r="3844" spans="1:10" ht="15.75" customHeight="1">
      <c r="A3844" s="28">
        <v>19596</v>
      </c>
      <c r="B3844" s="91">
        <v>45156.549907407403</v>
      </c>
      <c r="C3844" s="28" t="s">
        <v>8</v>
      </c>
      <c r="D3844" s="28" t="s">
        <v>167</v>
      </c>
      <c r="E3844" s="28" t="s">
        <v>74</v>
      </c>
      <c r="F3844" s="28">
        <v>0</v>
      </c>
      <c r="G3844" s="28" t="s">
        <v>119</v>
      </c>
      <c r="H3844" s="28">
        <v>0</v>
      </c>
      <c r="J3844" s="28"/>
    </row>
    <row r="3845" spans="1:10" ht="15.75" customHeight="1">
      <c r="A3845" s="28">
        <v>19596</v>
      </c>
      <c r="B3845" s="91">
        <v>45156.549907407403</v>
      </c>
      <c r="C3845" s="28" t="s">
        <v>8</v>
      </c>
      <c r="D3845" s="28" t="s">
        <v>167</v>
      </c>
      <c r="E3845" s="28" t="s">
        <v>74</v>
      </c>
      <c r="F3845" s="28">
        <v>0</v>
      </c>
      <c r="G3845" s="28" t="s">
        <v>117</v>
      </c>
      <c r="H3845" s="28">
        <v>0</v>
      </c>
      <c r="J3845" s="28"/>
    </row>
    <row r="3846" spans="1:10" ht="15.75" customHeight="1">
      <c r="A3846" s="28">
        <v>19597</v>
      </c>
      <c r="B3846" s="91">
        <v>45156.606736111113</v>
      </c>
      <c r="C3846" s="28" t="s">
        <v>10</v>
      </c>
      <c r="D3846" s="28" t="s">
        <v>166</v>
      </c>
      <c r="E3846" s="28" t="s">
        <v>74</v>
      </c>
      <c r="F3846" s="28">
        <v>25</v>
      </c>
      <c r="G3846" s="28" t="s">
        <v>141</v>
      </c>
      <c r="H3846" s="28">
        <v>0</v>
      </c>
      <c r="J3846" s="28"/>
    </row>
    <row r="3847" spans="1:10" ht="15.75" customHeight="1">
      <c r="A3847" s="28">
        <v>19597</v>
      </c>
      <c r="B3847" s="91">
        <v>45156.606736111113</v>
      </c>
      <c r="C3847" s="28" t="s">
        <v>10</v>
      </c>
      <c r="D3847" s="28" t="s">
        <v>166</v>
      </c>
      <c r="E3847" s="28" t="s">
        <v>74</v>
      </c>
      <c r="F3847" s="28">
        <v>0</v>
      </c>
      <c r="G3847" s="28" t="s">
        <v>117</v>
      </c>
      <c r="H3847" s="28">
        <v>0</v>
      </c>
      <c r="J3847" s="28"/>
    </row>
    <row r="3848" spans="1:10" ht="15.75" customHeight="1">
      <c r="A3848" s="28">
        <v>19598</v>
      </c>
      <c r="B3848" s="91">
        <v>45156.711875000001</v>
      </c>
      <c r="C3848" s="28" t="s">
        <v>8</v>
      </c>
      <c r="D3848" s="28" t="s">
        <v>162</v>
      </c>
      <c r="E3848" s="28" t="s">
        <v>74</v>
      </c>
      <c r="F3848" s="28">
        <v>28</v>
      </c>
      <c r="G3848" s="28" t="s">
        <v>143</v>
      </c>
      <c r="H3848" s="28">
        <v>0</v>
      </c>
      <c r="J3848" s="28"/>
    </row>
    <row r="3849" spans="1:10" ht="15.75" customHeight="1">
      <c r="A3849" s="28">
        <v>19598</v>
      </c>
      <c r="B3849" s="91">
        <v>45156.711875000001</v>
      </c>
      <c r="C3849" s="28" t="s">
        <v>8</v>
      </c>
      <c r="D3849" s="28" t="s">
        <v>162</v>
      </c>
      <c r="E3849" s="28" t="s">
        <v>74</v>
      </c>
      <c r="F3849" s="28">
        <v>35</v>
      </c>
      <c r="G3849" s="28" t="s">
        <v>124</v>
      </c>
      <c r="H3849" s="28">
        <v>0</v>
      </c>
      <c r="J3849" s="28"/>
    </row>
    <row r="3850" spans="1:10" ht="15.75" customHeight="1">
      <c r="A3850" s="28">
        <v>19598</v>
      </c>
      <c r="B3850" s="91">
        <v>45156.711875000001</v>
      </c>
      <c r="C3850" s="28" t="s">
        <v>8</v>
      </c>
      <c r="D3850" s="28" t="s">
        <v>162</v>
      </c>
      <c r="E3850" s="28" t="s">
        <v>74</v>
      </c>
      <c r="F3850" s="28">
        <v>0</v>
      </c>
      <c r="G3850" s="28" t="s">
        <v>125</v>
      </c>
      <c r="H3850" s="28">
        <v>0</v>
      </c>
      <c r="J3850" s="28"/>
    </row>
    <row r="3851" spans="1:10" ht="15.75" customHeight="1">
      <c r="A3851" s="28">
        <v>19598</v>
      </c>
      <c r="B3851" s="91">
        <v>45156.711875000001</v>
      </c>
      <c r="C3851" s="28" t="s">
        <v>8</v>
      </c>
      <c r="D3851" s="28" t="s">
        <v>162</v>
      </c>
      <c r="E3851" s="28" t="s">
        <v>74</v>
      </c>
      <c r="F3851" s="28">
        <v>0</v>
      </c>
      <c r="G3851" s="28" t="s">
        <v>119</v>
      </c>
      <c r="H3851" s="28">
        <v>0</v>
      </c>
      <c r="J3851" s="28"/>
    </row>
    <row r="3852" spans="1:10" ht="15.75" customHeight="1">
      <c r="A3852" s="28">
        <v>19598</v>
      </c>
      <c r="B3852" s="91">
        <v>45156.711875000001</v>
      </c>
      <c r="C3852" s="28" t="s">
        <v>8</v>
      </c>
      <c r="D3852" s="28" t="s">
        <v>162</v>
      </c>
      <c r="E3852" s="28" t="s">
        <v>74</v>
      </c>
      <c r="F3852" s="28">
        <v>0</v>
      </c>
      <c r="G3852" s="28" t="s">
        <v>121</v>
      </c>
      <c r="H3852" s="28">
        <v>0</v>
      </c>
      <c r="J3852" s="28"/>
    </row>
    <row r="3853" spans="1:10" ht="15.75" customHeight="1">
      <c r="A3853" s="28">
        <v>19599</v>
      </c>
      <c r="B3853" s="91">
        <v>45156.712789351848</v>
      </c>
      <c r="C3853" s="28" t="s">
        <v>10</v>
      </c>
      <c r="D3853" s="28" t="s">
        <v>165</v>
      </c>
      <c r="E3853" s="28" t="s">
        <v>74</v>
      </c>
      <c r="F3853" s="28">
        <v>0</v>
      </c>
      <c r="G3853" s="28" t="s">
        <v>117</v>
      </c>
      <c r="H3853" s="28">
        <v>0</v>
      </c>
      <c r="J3853" s="28"/>
    </row>
    <row r="3854" spans="1:10" ht="15.75" customHeight="1">
      <c r="A3854" s="28">
        <v>19600</v>
      </c>
      <c r="B3854" s="91">
        <v>45156.714895833335</v>
      </c>
      <c r="C3854" s="28" t="s">
        <v>8</v>
      </c>
      <c r="D3854" s="28" t="s">
        <v>164</v>
      </c>
      <c r="E3854" s="28" t="s">
        <v>74</v>
      </c>
      <c r="F3854" s="28">
        <v>28</v>
      </c>
      <c r="G3854" s="28" t="s">
        <v>143</v>
      </c>
      <c r="H3854" s="28">
        <v>0</v>
      </c>
      <c r="J3854" s="28"/>
    </row>
    <row r="3855" spans="1:10" ht="15.75" customHeight="1">
      <c r="A3855" s="28">
        <v>19600</v>
      </c>
      <c r="B3855" s="91">
        <v>45156.714895833335</v>
      </c>
      <c r="C3855" s="28" t="s">
        <v>8</v>
      </c>
      <c r="D3855" s="28" t="s">
        <v>164</v>
      </c>
      <c r="E3855" s="28" t="s">
        <v>74</v>
      </c>
      <c r="F3855" s="28">
        <v>0</v>
      </c>
      <c r="G3855" s="28" t="s">
        <v>117</v>
      </c>
      <c r="H3855" s="28">
        <v>0</v>
      </c>
      <c r="J3855" s="28"/>
    </row>
    <row r="3856" spans="1:10" ht="15.75" customHeight="1">
      <c r="A3856" s="28">
        <v>19600</v>
      </c>
      <c r="B3856" s="91">
        <v>45156.714895833335</v>
      </c>
      <c r="C3856" s="28" t="s">
        <v>8</v>
      </c>
      <c r="D3856" s="28" t="s">
        <v>164</v>
      </c>
      <c r="E3856" s="28" t="s">
        <v>74</v>
      </c>
      <c r="F3856" s="28">
        <v>35</v>
      </c>
      <c r="G3856" s="28" t="s">
        <v>124</v>
      </c>
      <c r="H3856" s="28">
        <v>0</v>
      </c>
      <c r="J3856" s="28"/>
    </row>
    <row r="3857" spans="1:10" ht="15.75" customHeight="1">
      <c r="A3857" s="28">
        <v>19600</v>
      </c>
      <c r="B3857" s="91">
        <v>45156.714895833335</v>
      </c>
      <c r="C3857" s="28" t="s">
        <v>8</v>
      </c>
      <c r="D3857" s="28" t="s">
        <v>164</v>
      </c>
      <c r="E3857" s="28" t="s">
        <v>74</v>
      </c>
      <c r="F3857" s="28">
        <v>0</v>
      </c>
      <c r="G3857" s="28" t="s">
        <v>125</v>
      </c>
      <c r="H3857" s="28">
        <v>0</v>
      </c>
      <c r="J3857" s="28"/>
    </row>
    <row r="3858" spans="1:10" ht="15.75" customHeight="1">
      <c r="A3858" s="28">
        <v>19600</v>
      </c>
      <c r="B3858" s="91">
        <v>45156.714895833335</v>
      </c>
      <c r="C3858" s="28" t="s">
        <v>8</v>
      </c>
      <c r="D3858" s="28" t="s">
        <v>164</v>
      </c>
      <c r="E3858" s="28" t="s">
        <v>74</v>
      </c>
      <c r="F3858" s="28">
        <v>0</v>
      </c>
      <c r="G3858" s="28" t="s">
        <v>119</v>
      </c>
      <c r="H3858" s="28">
        <v>0</v>
      </c>
      <c r="J3858" s="28"/>
    </row>
    <row r="3859" spans="1:10" ht="15.75" customHeight="1">
      <c r="A3859" s="28">
        <v>19600</v>
      </c>
      <c r="B3859" s="91">
        <v>45156.714895833335</v>
      </c>
      <c r="C3859" s="28" t="s">
        <v>8</v>
      </c>
      <c r="D3859" s="28" t="s">
        <v>164</v>
      </c>
      <c r="E3859" s="28" t="s">
        <v>74</v>
      </c>
      <c r="F3859" s="28">
        <v>0</v>
      </c>
      <c r="G3859" s="28" t="s">
        <v>121</v>
      </c>
      <c r="H3859" s="28">
        <v>0</v>
      </c>
      <c r="J3859" s="28"/>
    </row>
    <row r="3860" spans="1:10" ht="15.75" customHeight="1">
      <c r="A3860" s="28">
        <v>19601</v>
      </c>
      <c r="B3860" s="91">
        <v>45156.715555555551</v>
      </c>
      <c r="C3860" s="28" t="s">
        <v>8</v>
      </c>
      <c r="D3860" s="28" t="s">
        <v>163</v>
      </c>
      <c r="E3860" s="28" t="s">
        <v>74</v>
      </c>
      <c r="F3860" s="28">
        <v>28</v>
      </c>
      <c r="G3860" s="28" t="s">
        <v>143</v>
      </c>
      <c r="H3860" s="28">
        <v>0</v>
      </c>
      <c r="J3860" s="28"/>
    </row>
    <row r="3861" spans="1:10" ht="15.75" customHeight="1">
      <c r="A3861" s="28">
        <v>19601</v>
      </c>
      <c r="B3861" s="91">
        <v>45156.715555555551</v>
      </c>
      <c r="C3861" s="28" t="s">
        <v>8</v>
      </c>
      <c r="D3861" s="28" t="s">
        <v>163</v>
      </c>
      <c r="E3861" s="28" t="s">
        <v>74</v>
      </c>
      <c r="F3861" s="28">
        <v>0</v>
      </c>
      <c r="G3861" s="28" t="s">
        <v>117</v>
      </c>
      <c r="H3861" s="28">
        <v>0</v>
      </c>
      <c r="J3861" s="28"/>
    </row>
    <row r="3862" spans="1:10" ht="15.75" customHeight="1">
      <c r="A3862" s="28">
        <v>19601</v>
      </c>
      <c r="B3862" s="91">
        <v>45156.715555555551</v>
      </c>
      <c r="C3862" s="28" t="s">
        <v>8</v>
      </c>
      <c r="D3862" s="28" t="s">
        <v>163</v>
      </c>
      <c r="E3862" s="28" t="s">
        <v>74</v>
      </c>
      <c r="F3862" s="28">
        <v>26</v>
      </c>
      <c r="G3862" s="28" t="s">
        <v>122</v>
      </c>
      <c r="H3862" s="28">
        <v>0</v>
      </c>
      <c r="J3862" s="28"/>
    </row>
    <row r="3863" spans="1:10" ht="15.75" customHeight="1">
      <c r="A3863" s="28">
        <v>19602</v>
      </c>
      <c r="B3863" s="91">
        <v>45156.717442129629</v>
      </c>
      <c r="C3863" s="28" t="s">
        <v>10</v>
      </c>
      <c r="D3863" s="28" t="s">
        <v>162</v>
      </c>
      <c r="E3863" s="28" t="s">
        <v>74</v>
      </c>
      <c r="F3863" s="28">
        <v>0</v>
      </c>
      <c r="G3863" s="28" t="s">
        <v>117</v>
      </c>
      <c r="H3863" s="28">
        <v>0</v>
      </c>
      <c r="J3863" s="28"/>
    </row>
    <row r="3864" spans="1:10" ht="15.75" customHeight="1">
      <c r="A3864" s="28">
        <v>19603</v>
      </c>
      <c r="B3864" s="91">
        <v>45156.743680555555</v>
      </c>
      <c r="C3864" s="28" t="s">
        <v>8</v>
      </c>
      <c r="D3864" s="28" t="s">
        <v>161</v>
      </c>
      <c r="E3864" s="28" t="s">
        <v>74</v>
      </c>
      <c r="F3864" s="28">
        <v>0</v>
      </c>
      <c r="G3864" s="28" t="s">
        <v>117</v>
      </c>
      <c r="H3864" s="28">
        <v>0</v>
      </c>
      <c r="J3864" s="28"/>
    </row>
    <row r="3865" spans="1:10" ht="15.75" customHeight="1">
      <c r="A3865" s="28">
        <v>19603</v>
      </c>
      <c r="B3865" s="91">
        <v>45156.743680555555</v>
      </c>
      <c r="C3865" s="28" t="s">
        <v>8</v>
      </c>
      <c r="D3865" s="28" t="s">
        <v>161</v>
      </c>
      <c r="E3865" s="28" t="s">
        <v>74</v>
      </c>
      <c r="F3865" s="28">
        <v>25</v>
      </c>
      <c r="G3865" s="28">
        <v>100692</v>
      </c>
      <c r="H3865" s="28">
        <v>0</v>
      </c>
      <c r="J3865" s="28"/>
    </row>
    <row r="3866" spans="1:10" ht="15.75" customHeight="1">
      <c r="A3866" s="28">
        <v>19603</v>
      </c>
      <c r="B3866" s="91">
        <v>45156.743680555555</v>
      </c>
      <c r="C3866" s="28" t="s">
        <v>8</v>
      </c>
      <c r="D3866" s="28" t="s">
        <v>161</v>
      </c>
      <c r="E3866" s="28" t="s">
        <v>74</v>
      </c>
      <c r="F3866" s="28">
        <v>0</v>
      </c>
      <c r="G3866" s="28" t="s">
        <v>125</v>
      </c>
      <c r="H3866" s="28">
        <v>0</v>
      </c>
      <c r="J3866" s="28"/>
    </row>
    <row r="3867" spans="1:10" ht="15.75" customHeight="1">
      <c r="A3867" s="28">
        <v>19603</v>
      </c>
      <c r="B3867" s="91">
        <v>45156.743680555555</v>
      </c>
      <c r="C3867" s="28" t="s">
        <v>8</v>
      </c>
      <c r="D3867" s="28" t="s">
        <v>161</v>
      </c>
      <c r="E3867" s="28" t="s">
        <v>74</v>
      </c>
      <c r="F3867" s="28">
        <v>0</v>
      </c>
      <c r="G3867" s="28" t="s">
        <v>119</v>
      </c>
      <c r="H3867" s="28">
        <v>0</v>
      </c>
      <c r="J3867" s="28"/>
    </row>
    <row r="3868" spans="1:10" ht="15.75" customHeight="1">
      <c r="A3868" s="28">
        <v>19604</v>
      </c>
      <c r="B3868" s="91">
        <v>45156.823888888888</v>
      </c>
      <c r="C3868" s="28" t="s">
        <v>10</v>
      </c>
      <c r="D3868" s="28" t="s">
        <v>160</v>
      </c>
      <c r="E3868" s="28" t="s">
        <v>74</v>
      </c>
      <c r="F3868" s="28">
        <v>25</v>
      </c>
      <c r="G3868" s="28" t="s">
        <v>141</v>
      </c>
      <c r="H3868" s="28">
        <v>0</v>
      </c>
      <c r="J3868" s="28"/>
    </row>
    <row r="3869" spans="1:10" ht="15.75" customHeight="1">
      <c r="A3869" s="28">
        <v>19604</v>
      </c>
      <c r="B3869" s="91">
        <v>45156.823888888888</v>
      </c>
      <c r="C3869" s="28" t="s">
        <v>10</v>
      </c>
      <c r="D3869" s="28" t="s">
        <v>160</v>
      </c>
      <c r="E3869" s="28" t="s">
        <v>74</v>
      </c>
      <c r="F3869" s="28">
        <v>0</v>
      </c>
      <c r="G3869" s="28" t="s">
        <v>117</v>
      </c>
      <c r="H3869" s="28">
        <v>0</v>
      </c>
      <c r="J3869" s="28"/>
    </row>
    <row r="3870" spans="1:10" ht="15.75" customHeight="1">
      <c r="A3870" s="28">
        <v>19605</v>
      </c>
      <c r="B3870" s="91">
        <v>45156.827349537038</v>
      </c>
      <c r="C3870" s="28" t="s">
        <v>10</v>
      </c>
      <c r="D3870" s="28" t="s">
        <v>159</v>
      </c>
      <c r="E3870" s="28" t="s">
        <v>28</v>
      </c>
      <c r="F3870" s="28">
        <v>22</v>
      </c>
      <c r="G3870" s="28" t="s">
        <v>137</v>
      </c>
      <c r="H3870" s="28">
        <v>0</v>
      </c>
      <c r="J3870" s="28"/>
    </row>
    <row r="3871" spans="1:10" ht="15.75" customHeight="1">
      <c r="A3871" s="28">
        <v>19606</v>
      </c>
      <c r="B3871" s="91">
        <v>45156.828715277778</v>
      </c>
      <c r="C3871" s="28" t="s">
        <v>10</v>
      </c>
      <c r="D3871" s="28" t="s">
        <v>158</v>
      </c>
      <c r="E3871" s="28" t="s">
        <v>28</v>
      </c>
      <c r="F3871" s="28">
        <v>22</v>
      </c>
      <c r="G3871" s="28" t="s">
        <v>137</v>
      </c>
      <c r="H3871" s="28">
        <v>0</v>
      </c>
      <c r="J3871" s="28"/>
    </row>
    <row r="3872" spans="1:10" ht="15.75" customHeight="1">
      <c r="A3872" s="28">
        <v>19607</v>
      </c>
      <c r="B3872" s="91">
        <v>45156.829907407402</v>
      </c>
      <c r="C3872" s="28" t="s">
        <v>10</v>
      </c>
      <c r="D3872" s="28" t="s">
        <v>157</v>
      </c>
      <c r="E3872" s="28" t="s">
        <v>28</v>
      </c>
      <c r="F3872" s="28">
        <v>22</v>
      </c>
      <c r="G3872" s="28" t="s">
        <v>137</v>
      </c>
      <c r="H3872" s="28">
        <v>0</v>
      </c>
      <c r="J3872" s="28"/>
    </row>
    <row r="3873" spans="1:10" ht="15.75" customHeight="1">
      <c r="A3873" s="28">
        <v>19608</v>
      </c>
      <c r="B3873" s="91">
        <v>45156.862476851849</v>
      </c>
      <c r="C3873" s="28" t="s">
        <v>8</v>
      </c>
      <c r="D3873" s="28" t="s">
        <v>156</v>
      </c>
      <c r="E3873" s="28" t="s">
        <v>74</v>
      </c>
      <c r="F3873" s="28">
        <v>26</v>
      </c>
      <c r="G3873" s="28" t="s">
        <v>122</v>
      </c>
      <c r="H3873" s="28">
        <v>0</v>
      </c>
      <c r="J3873" s="28"/>
    </row>
    <row r="3874" spans="1:10" ht="15.75" customHeight="1">
      <c r="A3874" s="28">
        <v>19608</v>
      </c>
      <c r="B3874" s="91">
        <v>45156.862476851849</v>
      </c>
      <c r="C3874" s="28" t="s">
        <v>8</v>
      </c>
      <c r="D3874" s="28" t="s">
        <v>156</v>
      </c>
      <c r="E3874" s="28" t="s">
        <v>74</v>
      </c>
      <c r="F3874" s="28">
        <v>25</v>
      </c>
      <c r="G3874" s="28">
        <v>100692</v>
      </c>
      <c r="H3874" s="28">
        <v>0</v>
      </c>
      <c r="J3874" s="28"/>
    </row>
    <row r="3875" spans="1:10" ht="15.75" customHeight="1">
      <c r="A3875" s="28">
        <v>19608</v>
      </c>
      <c r="B3875" s="91">
        <v>45156.862476851849</v>
      </c>
      <c r="C3875" s="28" t="s">
        <v>8</v>
      </c>
      <c r="D3875" s="28" t="s">
        <v>156</v>
      </c>
      <c r="E3875" s="28" t="s">
        <v>74</v>
      </c>
      <c r="F3875" s="28">
        <v>0</v>
      </c>
      <c r="G3875" s="28" t="s">
        <v>125</v>
      </c>
      <c r="H3875" s="28">
        <v>0</v>
      </c>
      <c r="J3875" s="28"/>
    </row>
    <row r="3876" spans="1:10" ht="15.75" customHeight="1">
      <c r="A3876" s="28">
        <v>19608</v>
      </c>
      <c r="B3876" s="91">
        <v>45156.862476851849</v>
      </c>
      <c r="C3876" s="28" t="s">
        <v>8</v>
      </c>
      <c r="D3876" s="28" t="s">
        <v>156</v>
      </c>
      <c r="E3876" s="28" t="s">
        <v>74</v>
      </c>
      <c r="F3876" s="28">
        <v>0</v>
      </c>
      <c r="G3876" s="28" t="s">
        <v>119</v>
      </c>
      <c r="H3876" s="28">
        <v>0</v>
      </c>
      <c r="J3876" s="28"/>
    </row>
    <row r="3877" spans="1:10" ht="15.75" customHeight="1">
      <c r="A3877" s="28">
        <v>19608</v>
      </c>
      <c r="B3877" s="91">
        <v>45156.862476851849</v>
      </c>
      <c r="C3877" s="28" t="s">
        <v>8</v>
      </c>
      <c r="D3877" s="28" t="s">
        <v>156</v>
      </c>
      <c r="E3877" s="28" t="s">
        <v>74</v>
      </c>
      <c r="F3877" s="28">
        <v>0</v>
      </c>
      <c r="G3877" s="28" t="s">
        <v>117</v>
      </c>
      <c r="H3877" s="28">
        <v>0</v>
      </c>
      <c r="J3877" s="28"/>
    </row>
    <row r="3878" spans="1:10" ht="15.75" customHeight="1">
      <c r="A3878" s="28">
        <v>19609</v>
      </c>
      <c r="B3878" s="91">
        <v>45156.871168981481</v>
      </c>
      <c r="C3878" s="28" t="s">
        <v>8</v>
      </c>
      <c r="D3878" s="28" t="s">
        <v>155</v>
      </c>
      <c r="E3878" s="28" t="s">
        <v>74</v>
      </c>
      <c r="F3878" s="28">
        <v>25</v>
      </c>
      <c r="G3878" s="28" t="s">
        <v>141</v>
      </c>
      <c r="H3878" s="28">
        <v>0</v>
      </c>
      <c r="J3878" s="28"/>
    </row>
    <row r="3879" spans="1:10" ht="15.75" customHeight="1">
      <c r="A3879" s="28">
        <v>19609</v>
      </c>
      <c r="B3879" s="91">
        <v>45156.871168981481</v>
      </c>
      <c r="C3879" s="28" t="s">
        <v>8</v>
      </c>
      <c r="D3879" s="28" t="s">
        <v>155</v>
      </c>
      <c r="E3879" s="28" t="s">
        <v>74</v>
      </c>
      <c r="F3879" s="28">
        <v>35</v>
      </c>
      <c r="G3879" s="28" t="s">
        <v>124</v>
      </c>
      <c r="H3879" s="28">
        <v>0</v>
      </c>
      <c r="J3879" s="28"/>
    </row>
    <row r="3880" spans="1:10" ht="15.75" customHeight="1">
      <c r="A3880" s="28">
        <v>19609</v>
      </c>
      <c r="B3880" s="91">
        <v>45156.871168981481</v>
      </c>
      <c r="C3880" s="28" t="s">
        <v>8</v>
      </c>
      <c r="D3880" s="28" t="s">
        <v>155</v>
      </c>
      <c r="E3880" s="28" t="s">
        <v>74</v>
      </c>
      <c r="F3880" s="28">
        <v>0</v>
      </c>
      <c r="G3880" s="28" t="s">
        <v>125</v>
      </c>
      <c r="H3880" s="28">
        <v>0</v>
      </c>
      <c r="J3880" s="28"/>
    </row>
    <row r="3881" spans="1:10" ht="15.75" customHeight="1">
      <c r="A3881" s="28">
        <v>19609</v>
      </c>
      <c r="B3881" s="91">
        <v>45156.871168981481</v>
      </c>
      <c r="C3881" s="28" t="s">
        <v>8</v>
      </c>
      <c r="D3881" s="28" t="s">
        <v>155</v>
      </c>
      <c r="E3881" s="28" t="s">
        <v>74</v>
      </c>
      <c r="F3881" s="28">
        <v>0</v>
      </c>
      <c r="G3881" s="28" t="s">
        <v>119</v>
      </c>
      <c r="H3881" s="28">
        <v>0</v>
      </c>
      <c r="J3881" s="28"/>
    </row>
    <row r="3882" spans="1:10" ht="15.75" customHeight="1">
      <c r="A3882" s="28">
        <v>19609</v>
      </c>
      <c r="B3882" s="91">
        <v>45156.871168981481</v>
      </c>
      <c r="C3882" s="28" t="s">
        <v>8</v>
      </c>
      <c r="D3882" s="28" t="s">
        <v>155</v>
      </c>
      <c r="E3882" s="28" t="s">
        <v>74</v>
      </c>
      <c r="F3882" s="28">
        <v>0</v>
      </c>
      <c r="G3882" s="28" t="s">
        <v>121</v>
      </c>
      <c r="H3882" s="28">
        <v>0</v>
      </c>
      <c r="J3882" s="28"/>
    </row>
    <row r="3883" spans="1:10" ht="15.75" customHeight="1">
      <c r="A3883" s="28">
        <v>19610</v>
      </c>
      <c r="B3883" s="91">
        <v>45156.871307870373</v>
      </c>
      <c r="C3883" s="28" t="s">
        <v>8</v>
      </c>
      <c r="D3883" s="28" t="s">
        <v>154</v>
      </c>
      <c r="E3883" s="28" t="s">
        <v>74</v>
      </c>
      <c r="F3883" s="28">
        <v>35</v>
      </c>
      <c r="G3883" s="28" t="s">
        <v>124</v>
      </c>
      <c r="H3883" s="28">
        <v>0</v>
      </c>
      <c r="J3883" s="28"/>
    </row>
    <row r="3884" spans="1:10" ht="15.75" customHeight="1">
      <c r="A3884" s="28">
        <v>19610</v>
      </c>
      <c r="B3884" s="91">
        <v>45156.871307870373</v>
      </c>
      <c r="C3884" s="28" t="s">
        <v>8</v>
      </c>
      <c r="D3884" s="28" t="s">
        <v>154</v>
      </c>
      <c r="E3884" s="28" t="s">
        <v>74</v>
      </c>
      <c r="F3884" s="28">
        <v>0</v>
      </c>
      <c r="G3884" s="28" t="s">
        <v>125</v>
      </c>
      <c r="H3884" s="28">
        <v>0</v>
      </c>
      <c r="J3884" s="28"/>
    </row>
    <row r="3885" spans="1:10" ht="15.75" customHeight="1">
      <c r="A3885" s="28">
        <v>19610</v>
      </c>
      <c r="B3885" s="91">
        <v>45156.871307870373</v>
      </c>
      <c r="C3885" s="28" t="s">
        <v>8</v>
      </c>
      <c r="D3885" s="28" t="s">
        <v>154</v>
      </c>
      <c r="E3885" s="28" t="s">
        <v>74</v>
      </c>
      <c r="F3885" s="28">
        <v>0</v>
      </c>
      <c r="G3885" s="28" t="s">
        <v>119</v>
      </c>
      <c r="H3885" s="28">
        <v>0</v>
      </c>
      <c r="J3885" s="28"/>
    </row>
    <row r="3886" spans="1:10" ht="15.75" customHeight="1">
      <c r="A3886" s="28">
        <v>19610</v>
      </c>
      <c r="B3886" s="91">
        <v>45156.871307870373</v>
      </c>
      <c r="C3886" s="28" t="s">
        <v>8</v>
      </c>
      <c r="D3886" s="28" t="s">
        <v>154</v>
      </c>
      <c r="E3886" s="28" t="s">
        <v>74</v>
      </c>
      <c r="F3886" s="28">
        <v>0</v>
      </c>
      <c r="G3886" s="28" t="s">
        <v>121</v>
      </c>
      <c r="H3886" s="28">
        <v>0</v>
      </c>
      <c r="J3886" s="28"/>
    </row>
    <row r="3887" spans="1:10" ht="15.75" customHeight="1">
      <c r="A3887" s="28">
        <v>19610</v>
      </c>
      <c r="B3887" s="91">
        <v>45156.871307870373</v>
      </c>
      <c r="C3887" s="28" t="s">
        <v>8</v>
      </c>
      <c r="D3887" s="28" t="s">
        <v>154</v>
      </c>
      <c r="E3887" s="28" t="s">
        <v>74</v>
      </c>
      <c r="F3887" s="28">
        <v>0</v>
      </c>
      <c r="G3887" s="28" t="s">
        <v>117</v>
      </c>
      <c r="H3887" s="28">
        <v>0</v>
      </c>
      <c r="J3887" s="28"/>
    </row>
    <row r="3888" spans="1:10" ht="15.75" customHeight="1">
      <c r="A3888" s="28">
        <v>19611</v>
      </c>
      <c r="B3888" s="91">
        <v>45156.871701388889</v>
      </c>
      <c r="C3888" s="28" t="s">
        <v>8</v>
      </c>
      <c r="D3888" s="28" t="s">
        <v>153</v>
      </c>
      <c r="E3888" s="28" t="s">
        <v>74</v>
      </c>
      <c r="F3888" s="28">
        <v>25</v>
      </c>
      <c r="G3888" s="28" t="s">
        <v>141</v>
      </c>
      <c r="H3888" s="28">
        <v>0</v>
      </c>
      <c r="J3888" s="28"/>
    </row>
    <row r="3889" spans="1:10" ht="15.75" customHeight="1">
      <c r="A3889" s="28">
        <v>19611</v>
      </c>
      <c r="B3889" s="91">
        <v>45156.871701388889</v>
      </c>
      <c r="C3889" s="28" t="s">
        <v>8</v>
      </c>
      <c r="D3889" s="28" t="s">
        <v>153</v>
      </c>
      <c r="E3889" s="28" t="s">
        <v>74</v>
      </c>
      <c r="F3889" s="28">
        <v>0</v>
      </c>
      <c r="G3889" s="28" t="s">
        <v>117</v>
      </c>
      <c r="H3889" s="28">
        <v>0</v>
      </c>
      <c r="J3889" s="28"/>
    </row>
    <row r="3890" spans="1:10" ht="15.75" customHeight="1">
      <c r="A3890" s="28">
        <v>19612</v>
      </c>
      <c r="B3890" s="91">
        <v>45156.873344907406</v>
      </c>
      <c r="C3890" s="28" t="s">
        <v>8</v>
      </c>
      <c r="D3890" s="28" t="s">
        <v>152</v>
      </c>
      <c r="E3890" s="28" t="s">
        <v>74</v>
      </c>
      <c r="F3890" s="28">
        <v>0</v>
      </c>
      <c r="G3890" s="28" t="s">
        <v>117</v>
      </c>
      <c r="H3890" s="28">
        <v>0</v>
      </c>
      <c r="J3890" s="28"/>
    </row>
    <row r="3891" spans="1:10" ht="15.75" customHeight="1">
      <c r="A3891" s="28">
        <v>19612</v>
      </c>
      <c r="B3891" s="91">
        <v>45156.873344907406</v>
      </c>
      <c r="C3891" s="28" t="s">
        <v>8</v>
      </c>
      <c r="D3891" s="28" t="s">
        <v>152</v>
      </c>
      <c r="E3891" s="28" t="s">
        <v>74</v>
      </c>
      <c r="F3891" s="28">
        <v>20</v>
      </c>
      <c r="G3891" s="28" t="s">
        <v>121</v>
      </c>
      <c r="H3891" s="28">
        <v>0</v>
      </c>
      <c r="J3891" s="28"/>
    </row>
    <row r="3892" spans="1:10" ht="15.75" customHeight="1">
      <c r="A3892" s="28">
        <v>19612</v>
      </c>
      <c r="B3892" s="91">
        <v>45156.873344907406</v>
      </c>
      <c r="C3892" s="28" t="s">
        <v>8</v>
      </c>
      <c r="D3892" s="28" t="s">
        <v>152</v>
      </c>
      <c r="E3892" s="28" t="s">
        <v>74</v>
      </c>
      <c r="F3892" s="28">
        <v>25</v>
      </c>
      <c r="G3892" s="28">
        <v>100692</v>
      </c>
      <c r="H3892" s="28">
        <v>0</v>
      </c>
      <c r="J3892" s="28"/>
    </row>
    <row r="3893" spans="1:10" ht="15.75" customHeight="1">
      <c r="A3893" s="28">
        <v>19612</v>
      </c>
      <c r="B3893" s="91">
        <v>45156.873344907406</v>
      </c>
      <c r="C3893" s="28" t="s">
        <v>8</v>
      </c>
      <c r="D3893" s="28" t="s">
        <v>152</v>
      </c>
      <c r="E3893" s="28" t="s">
        <v>74</v>
      </c>
      <c r="F3893" s="28">
        <v>0</v>
      </c>
      <c r="G3893" s="28" t="s">
        <v>125</v>
      </c>
      <c r="H3893" s="28">
        <v>0</v>
      </c>
      <c r="J3893" s="28"/>
    </row>
    <row r="3894" spans="1:10" ht="15.75" customHeight="1">
      <c r="A3894" s="28">
        <v>19612</v>
      </c>
      <c r="B3894" s="91">
        <v>45156.873344907406</v>
      </c>
      <c r="C3894" s="28" t="s">
        <v>8</v>
      </c>
      <c r="D3894" s="28" t="s">
        <v>152</v>
      </c>
      <c r="E3894" s="28" t="s">
        <v>74</v>
      </c>
      <c r="F3894" s="28">
        <v>0</v>
      </c>
      <c r="G3894" s="28" t="s">
        <v>119</v>
      </c>
      <c r="H3894" s="28">
        <v>0</v>
      </c>
      <c r="J3894" s="28"/>
    </row>
    <row r="3895" spans="1:10" ht="15.75" customHeight="1">
      <c r="A3895" s="28">
        <v>19613</v>
      </c>
      <c r="B3895" s="91">
        <v>45156.874710648146</v>
      </c>
      <c r="C3895" s="28" t="s">
        <v>8</v>
      </c>
      <c r="D3895" s="28" t="s">
        <v>151</v>
      </c>
      <c r="E3895" s="28" t="s">
        <v>74</v>
      </c>
      <c r="F3895" s="28">
        <v>28</v>
      </c>
      <c r="G3895" s="28" t="s">
        <v>143</v>
      </c>
      <c r="H3895" s="28">
        <v>0</v>
      </c>
      <c r="J3895" s="28"/>
    </row>
    <row r="3896" spans="1:10" ht="15.75" customHeight="1">
      <c r="A3896" s="28">
        <v>19613</v>
      </c>
      <c r="B3896" s="91">
        <v>45156.874710648146</v>
      </c>
      <c r="C3896" s="28" t="s">
        <v>8</v>
      </c>
      <c r="D3896" s="28" t="s">
        <v>151</v>
      </c>
      <c r="E3896" s="28" t="s">
        <v>74</v>
      </c>
      <c r="F3896" s="28">
        <v>0</v>
      </c>
      <c r="G3896" s="28" t="s">
        <v>117</v>
      </c>
      <c r="H3896" s="28">
        <v>0</v>
      </c>
      <c r="J3896" s="28"/>
    </row>
    <row r="3897" spans="1:10" ht="15.75" customHeight="1">
      <c r="A3897" s="28">
        <v>19614</v>
      </c>
      <c r="B3897" s="91">
        <v>45156.87663194444</v>
      </c>
      <c r="C3897" s="28" t="s">
        <v>8</v>
      </c>
      <c r="D3897" s="28" t="s">
        <v>150</v>
      </c>
      <c r="E3897" s="28" t="s">
        <v>74</v>
      </c>
      <c r="F3897" s="28">
        <v>35</v>
      </c>
      <c r="G3897" s="28" t="s">
        <v>124</v>
      </c>
      <c r="H3897" s="28">
        <v>0</v>
      </c>
      <c r="J3897" s="28"/>
    </row>
    <row r="3898" spans="1:10" ht="15.75" customHeight="1">
      <c r="A3898" s="28">
        <v>19614</v>
      </c>
      <c r="B3898" s="91">
        <v>45156.87663194444</v>
      </c>
      <c r="C3898" s="28" t="s">
        <v>8</v>
      </c>
      <c r="D3898" s="28" t="s">
        <v>150</v>
      </c>
      <c r="E3898" s="28" t="s">
        <v>74</v>
      </c>
      <c r="F3898" s="28">
        <v>0</v>
      </c>
      <c r="G3898" s="28" t="s">
        <v>125</v>
      </c>
      <c r="H3898" s="28">
        <v>0</v>
      </c>
      <c r="J3898" s="28"/>
    </row>
    <row r="3899" spans="1:10" ht="15.75" customHeight="1">
      <c r="A3899" s="28">
        <v>19614</v>
      </c>
      <c r="B3899" s="91">
        <v>45156.87663194444</v>
      </c>
      <c r="C3899" s="28" t="s">
        <v>8</v>
      </c>
      <c r="D3899" s="28" t="s">
        <v>150</v>
      </c>
      <c r="E3899" s="28" t="s">
        <v>74</v>
      </c>
      <c r="F3899" s="28">
        <v>0</v>
      </c>
      <c r="G3899" s="28" t="s">
        <v>119</v>
      </c>
      <c r="H3899" s="28">
        <v>0</v>
      </c>
      <c r="J3899" s="28"/>
    </row>
    <row r="3900" spans="1:10" ht="15.75" customHeight="1">
      <c r="A3900" s="28">
        <v>19614</v>
      </c>
      <c r="B3900" s="91">
        <v>45156.87663194444</v>
      </c>
      <c r="C3900" s="28" t="s">
        <v>8</v>
      </c>
      <c r="D3900" s="28" t="s">
        <v>150</v>
      </c>
      <c r="E3900" s="28" t="s">
        <v>74</v>
      </c>
      <c r="F3900" s="28">
        <v>0</v>
      </c>
      <c r="G3900" s="28" t="s">
        <v>121</v>
      </c>
      <c r="H3900" s="28">
        <v>0</v>
      </c>
      <c r="J3900" s="28"/>
    </row>
    <row r="3901" spans="1:10" ht="15.75" customHeight="1">
      <c r="A3901" s="28">
        <v>19614</v>
      </c>
      <c r="B3901" s="91">
        <v>45156.87663194444</v>
      </c>
      <c r="C3901" s="28" t="s">
        <v>8</v>
      </c>
      <c r="D3901" s="28" t="s">
        <v>150</v>
      </c>
      <c r="E3901" s="28" t="s">
        <v>74</v>
      </c>
      <c r="F3901" s="28">
        <v>26</v>
      </c>
      <c r="G3901" s="28" t="s">
        <v>122</v>
      </c>
      <c r="H3901" s="28">
        <v>0</v>
      </c>
      <c r="J3901" s="28"/>
    </row>
    <row r="3902" spans="1:10" ht="15.75" customHeight="1">
      <c r="A3902" s="28">
        <v>19614</v>
      </c>
      <c r="B3902" s="91">
        <v>45156.87663194444</v>
      </c>
      <c r="C3902" s="28" t="s">
        <v>8</v>
      </c>
      <c r="D3902" s="28" t="s">
        <v>150</v>
      </c>
      <c r="E3902" s="28" t="s">
        <v>74</v>
      </c>
      <c r="F3902" s="28">
        <v>0</v>
      </c>
      <c r="G3902" s="28" t="s">
        <v>117</v>
      </c>
      <c r="H3902" s="28">
        <v>0</v>
      </c>
      <c r="J3902" s="28"/>
    </row>
    <row r="3903" spans="1:10" ht="15.75" customHeight="1">
      <c r="A3903" s="28">
        <v>19615</v>
      </c>
      <c r="B3903" s="91">
        <v>45156.877465277779</v>
      </c>
      <c r="C3903" s="28" t="s">
        <v>8</v>
      </c>
      <c r="D3903" s="28" t="s">
        <v>149</v>
      </c>
      <c r="E3903" s="28" t="s">
        <v>74</v>
      </c>
      <c r="F3903" s="28">
        <v>25</v>
      </c>
      <c r="G3903" s="28">
        <v>100692</v>
      </c>
      <c r="H3903" s="28">
        <v>0</v>
      </c>
      <c r="J3903" s="28"/>
    </row>
    <row r="3904" spans="1:10" ht="15.75" customHeight="1">
      <c r="A3904" s="28">
        <v>19615</v>
      </c>
      <c r="B3904" s="91">
        <v>45156.877465277779</v>
      </c>
      <c r="C3904" s="28" t="s">
        <v>8</v>
      </c>
      <c r="D3904" s="28" t="s">
        <v>149</v>
      </c>
      <c r="E3904" s="28" t="s">
        <v>74</v>
      </c>
      <c r="F3904" s="28">
        <v>0</v>
      </c>
      <c r="G3904" s="28" t="s">
        <v>125</v>
      </c>
      <c r="H3904" s="28">
        <v>0</v>
      </c>
      <c r="J3904" s="28"/>
    </row>
    <row r="3905" spans="1:10" ht="15.75" customHeight="1">
      <c r="A3905" s="28">
        <v>19615</v>
      </c>
      <c r="B3905" s="91">
        <v>45156.877465277779</v>
      </c>
      <c r="C3905" s="28" t="s">
        <v>8</v>
      </c>
      <c r="D3905" s="28" t="s">
        <v>149</v>
      </c>
      <c r="E3905" s="28" t="s">
        <v>74</v>
      </c>
      <c r="F3905" s="28">
        <v>0</v>
      </c>
      <c r="G3905" s="28" t="s">
        <v>119</v>
      </c>
      <c r="H3905" s="28">
        <v>0</v>
      </c>
      <c r="J3905" s="28"/>
    </row>
    <row r="3906" spans="1:10" ht="15.75" customHeight="1">
      <c r="A3906" s="28">
        <v>19615</v>
      </c>
      <c r="B3906" s="91">
        <v>45156.877465277779</v>
      </c>
      <c r="C3906" s="28" t="s">
        <v>8</v>
      </c>
      <c r="D3906" s="28" t="s">
        <v>149</v>
      </c>
      <c r="E3906" s="28" t="s">
        <v>74</v>
      </c>
      <c r="F3906" s="28">
        <v>0</v>
      </c>
      <c r="G3906" s="28" t="s">
        <v>117</v>
      </c>
      <c r="H3906" s="28">
        <v>0</v>
      </c>
      <c r="J3906" s="28"/>
    </row>
    <row r="3907" spans="1:10" ht="15.75" customHeight="1">
      <c r="A3907" s="28">
        <v>19615</v>
      </c>
      <c r="B3907" s="91">
        <v>45156.877465277779</v>
      </c>
      <c r="C3907" s="28" t="s">
        <v>8</v>
      </c>
      <c r="D3907" s="28" t="s">
        <v>149</v>
      </c>
      <c r="E3907" s="28" t="s">
        <v>74</v>
      </c>
      <c r="F3907" s="28">
        <v>26</v>
      </c>
      <c r="G3907" s="28" t="s">
        <v>122</v>
      </c>
      <c r="H3907" s="28">
        <v>0</v>
      </c>
      <c r="J3907" s="28"/>
    </row>
    <row r="3908" spans="1:10" ht="15.75" customHeight="1">
      <c r="A3908" s="28">
        <v>19616</v>
      </c>
      <c r="B3908" s="91">
        <v>45156.878634259258</v>
      </c>
      <c r="C3908" s="28" t="s">
        <v>0</v>
      </c>
      <c r="D3908" s="28" t="s">
        <v>147</v>
      </c>
      <c r="E3908" s="28" t="s">
        <v>74</v>
      </c>
      <c r="F3908" s="28">
        <v>20</v>
      </c>
      <c r="G3908" s="28" t="s">
        <v>148</v>
      </c>
      <c r="H3908" s="28">
        <v>0</v>
      </c>
      <c r="J3908" s="28"/>
    </row>
    <row r="3909" spans="1:10" ht="15.75" customHeight="1">
      <c r="A3909" s="28">
        <v>19617</v>
      </c>
      <c r="B3909" s="91">
        <v>45156.88890046296</v>
      </c>
      <c r="C3909" s="28" t="s">
        <v>8</v>
      </c>
      <c r="D3909" s="28" t="s">
        <v>146</v>
      </c>
      <c r="E3909" s="28" t="s">
        <v>74</v>
      </c>
      <c r="F3909" s="28">
        <v>55</v>
      </c>
      <c r="G3909" s="28">
        <v>101684</v>
      </c>
      <c r="H3909" s="28">
        <v>0</v>
      </c>
      <c r="J3909" s="28"/>
    </row>
    <row r="3910" spans="1:10" ht="15.75" customHeight="1">
      <c r="A3910" s="28">
        <v>19617</v>
      </c>
      <c r="B3910" s="91">
        <v>45156.88890046296</v>
      </c>
      <c r="C3910" s="28" t="s">
        <v>8</v>
      </c>
      <c r="D3910" s="28" t="s">
        <v>146</v>
      </c>
      <c r="E3910" s="28" t="s">
        <v>74</v>
      </c>
      <c r="F3910" s="28">
        <v>0</v>
      </c>
      <c r="G3910" s="28" t="s">
        <v>118</v>
      </c>
      <c r="H3910" s="28">
        <v>0</v>
      </c>
      <c r="J3910" s="28"/>
    </row>
    <row r="3911" spans="1:10" ht="15.75" customHeight="1">
      <c r="A3911" s="28">
        <v>19617</v>
      </c>
      <c r="B3911" s="91">
        <v>45156.88890046296</v>
      </c>
      <c r="C3911" s="28" t="s">
        <v>8</v>
      </c>
      <c r="D3911" s="28" t="s">
        <v>146</v>
      </c>
      <c r="E3911" s="28" t="s">
        <v>74</v>
      </c>
      <c r="F3911" s="28">
        <v>0</v>
      </c>
      <c r="G3911" s="28" t="s">
        <v>119</v>
      </c>
      <c r="H3911" s="28">
        <v>0</v>
      </c>
      <c r="J3911" s="28"/>
    </row>
    <row r="3912" spans="1:10" ht="15.75" customHeight="1">
      <c r="A3912" s="28">
        <v>19617</v>
      </c>
      <c r="B3912" s="91">
        <v>45156.88890046296</v>
      </c>
      <c r="C3912" s="28" t="s">
        <v>8</v>
      </c>
      <c r="D3912" s="28" t="s">
        <v>146</v>
      </c>
      <c r="E3912" s="28" t="s">
        <v>74</v>
      </c>
      <c r="F3912" s="28">
        <v>0</v>
      </c>
      <c r="G3912" s="28" t="s">
        <v>120</v>
      </c>
      <c r="H3912" s="28">
        <v>0</v>
      </c>
      <c r="J3912" s="28"/>
    </row>
    <row r="3913" spans="1:10" ht="15.75" customHeight="1">
      <c r="A3913" s="28">
        <v>19617</v>
      </c>
      <c r="B3913" s="91">
        <v>45156.88890046296</v>
      </c>
      <c r="C3913" s="28" t="s">
        <v>8</v>
      </c>
      <c r="D3913" s="28" t="s">
        <v>146</v>
      </c>
      <c r="E3913" s="28" t="s">
        <v>74</v>
      </c>
      <c r="F3913" s="28">
        <v>0</v>
      </c>
      <c r="G3913" s="28" t="s">
        <v>121</v>
      </c>
      <c r="H3913" s="28">
        <v>0</v>
      </c>
      <c r="J3913" s="28"/>
    </row>
    <row r="3914" spans="1:10" ht="15.75" customHeight="1">
      <c r="A3914" s="28">
        <v>19617</v>
      </c>
      <c r="B3914" s="91">
        <v>45156.88890046296</v>
      </c>
      <c r="C3914" s="28" t="s">
        <v>8</v>
      </c>
      <c r="D3914" s="28" t="s">
        <v>146</v>
      </c>
      <c r="E3914" s="28" t="s">
        <v>74</v>
      </c>
      <c r="F3914" s="28">
        <v>22</v>
      </c>
      <c r="G3914" s="28" t="s">
        <v>137</v>
      </c>
      <c r="H3914" s="28">
        <v>0</v>
      </c>
      <c r="J3914" s="28"/>
    </row>
    <row r="3915" spans="1:10" ht="15.75" customHeight="1">
      <c r="A3915" s="28">
        <v>19618</v>
      </c>
      <c r="B3915" s="91">
        <v>45156.899930555555</v>
      </c>
      <c r="C3915" s="28" t="s">
        <v>8</v>
      </c>
      <c r="D3915" s="28" t="s">
        <v>145</v>
      </c>
      <c r="E3915" s="28" t="s">
        <v>74</v>
      </c>
      <c r="F3915" s="28">
        <v>0</v>
      </c>
      <c r="G3915" s="28" t="s">
        <v>117</v>
      </c>
      <c r="H3915" s="28">
        <v>0</v>
      </c>
      <c r="J3915" s="28"/>
    </row>
    <row r="3916" spans="1:10" ht="15.75" customHeight="1">
      <c r="A3916" s="28">
        <v>19618</v>
      </c>
      <c r="B3916" s="91">
        <v>45156.899930555555</v>
      </c>
      <c r="C3916" s="28" t="s">
        <v>8</v>
      </c>
      <c r="D3916" s="28" t="s">
        <v>145</v>
      </c>
      <c r="E3916" s="28" t="s">
        <v>74</v>
      </c>
      <c r="F3916" s="28">
        <v>28</v>
      </c>
      <c r="G3916" s="28" t="s">
        <v>143</v>
      </c>
      <c r="H3916" s="28">
        <v>0</v>
      </c>
      <c r="J3916" s="28"/>
    </row>
    <row r="3917" spans="1:10" ht="15.75" customHeight="1">
      <c r="A3917" s="28">
        <v>19619</v>
      </c>
      <c r="B3917" s="91">
        <v>45156.934108796297</v>
      </c>
      <c r="C3917" s="28" t="s">
        <v>8</v>
      </c>
      <c r="D3917" s="28" t="s">
        <v>144</v>
      </c>
      <c r="E3917" s="28" t="s">
        <v>74</v>
      </c>
      <c r="F3917" s="28">
        <v>0</v>
      </c>
      <c r="G3917" s="28" t="s">
        <v>117</v>
      </c>
      <c r="H3917" s="28">
        <v>0</v>
      </c>
      <c r="J3917" s="28"/>
    </row>
    <row r="3918" spans="1:10" ht="15.75" customHeight="1">
      <c r="A3918" s="28">
        <v>19619</v>
      </c>
      <c r="B3918" s="91">
        <v>45156.934108796297</v>
      </c>
      <c r="C3918" s="28" t="s">
        <v>8</v>
      </c>
      <c r="D3918" s="28" t="s">
        <v>144</v>
      </c>
      <c r="E3918" s="28" t="s">
        <v>74</v>
      </c>
      <c r="F3918" s="28">
        <v>28</v>
      </c>
      <c r="G3918" s="28" t="s">
        <v>143</v>
      </c>
      <c r="H3918" s="28">
        <v>0</v>
      </c>
      <c r="J3918" s="28"/>
    </row>
    <row r="3919" spans="1:10" ht="15.75" customHeight="1">
      <c r="A3919" s="28">
        <v>19620</v>
      </c>
      <c r="B3919" s="91">
        <v>45156.935844907406</v>
      </c>
      <c r="C3919" s="28" t="s">
        <v>8</v>
      </c>
      <c r="D3919" s="28" t="s">
        <v>142</v>
      </c>
      <c r="E3919" s="28" t="s">
        <v>74</v>
      </c>
      <c r="F3919" s="28">
        <v>28</v>
      </c>
      <c r="G3919" s="28" t="s">
        <v>143</v>
      </c>
      <c r="H3919" s="28">
        <v>0</v>
      </c>
      <c r="J3919" s="28"/>
    </row>
    <row r="3920" spans="1:10" ht="15.75" customHeight="1">
      <c r="A3920" s="28">
        <v>19620</v>
      </c>
      <c r="B3920" s="91">
        <v>45156.935844907406</v>
      </c>
      <c r="C3920" s="28" t="s">
        <v>8</v>
      </c>
      <c r="D3920" s="28" t="s">
        <v>142</v>
      </c>
      <c r="E3920" s="28" t="s">
        <v>74</v>
      </c>
      <c r="F3920" s="28">
        <v>0</v>
      </c>
      <c r="G3920" s="28" t="s">
        <v>117</v>
      </c>
      <c r="H3920" s="28">
        <v>0</v>
      </c>
      <c r="J3920" s="28"/>
    </row>
    <row r="3921" spans="1:10" ht="15.75" customHeight="1">
      <c r="A3921" s="28">
        <v>19621</v>
      </c>
      <c r="B3921" s="91">
        <v>45156.963807870372</v>
      </c>
      <c r="C3921" s="28" t="s">
        <v>8</v>
      </c>
      <c r="D3921" s="28" t="s">
        <v>140</v>
      </c>
      <c r="E3921" s="28" t="s">
        <v>74</v>
      </c>
      <c r="F3921" s="28">
        <v>0</v>
      </c>
      <c r="G3921" s="28" t="s">
        <v>117</v>
      </c>
      <c r="H3921" s="28">
        <v>0</v>
      </c>
      <c r="J3921" s="28"/>
    </row>
    <row r="3922" spans="1:10" ht="15.75" customHeight="1">
      <c r="A3922" s="28">
        <v>19621</v>
      </c>
      <c r="B3922" s="91">
        <v>45156.963807870372</v>
      </c>
      <c r="C3922" s="28" t="s">
        <v>8</v>
      </c>
      <c r="D3922" s="28" t="s">
        <v>140</v>
      </c>
      <c r="E3922" s="28" t="s">
        <v>74</v>
      </c>
      <c r="F3922" s="28">
        <v>25</v>
      </c>
      <c r="G3922" s="28" t="s">
        <v>141</v>
      </c>
      <c r="H3922" s="28">
        <v>0</v>
      </c>
      <c r="J3922" s="28"/>
    </row>
    <row r="3923" spans="1:10" ht="15.75" customHeight="1">
      <c r="A3923" s="28">
        <v>19621</v>
      </c>
      <c r="B3923" s="91">
        <v>45156.963807870372</v>
      </c>
      <c r="C3923" s="28" t="s">
        <v>8</v>
      </c>
      <c r="D3923" s="28" t="s">
        <v>140</v>
      </c>
      <c r="E3923" s="28" t="s">
        <v>74</v>
      </c>
      <c r="F3923" s="28">
        <v>26</v>
      </c>
      <c r="G3923" s="28" t="s">
        <v>122</v>
      </c>
      <c r="H3923" s="28">
        <v>0</v>
      </c>
      <c r="J3923" s="28"/>
    </row>
    <row r="3924" spans="1:10" ht="15.75" customHeight="1">
      <c r="A3924" s="28">
        <v>19623</v>
      </c>
      <c r="B3924" s="91">
        <v>45157.568657407406</v>
      </c>
      <c r="C3924" s="28" t="s">
        <v>8</v>
      </c>
      <c r="D3924" s="28" t="s">
        <v>138</v>
      </c>
      <c r="E3924" s="28" t="s">
        <v>74</v>
      </c>
      <c r="F3924" s="28">
        <v>26</v>
      </c>
      <c r="G3924" s="28" t="s">
        <v>122</v>
      </c>
      <c r="H3924" s="28">
        <v>0</v>
      </c>
      <c r="J3924" s="28"/>
    </row>
    <row r="3925" spans="1:10" ht="15.75" customHeight="1">
      <c r="A3925" s="28">
        <v>19623</v>
      </c>
      <c r="B3925" s="91">
        <v>45157.568657407406</v>
      </c>
      <c r="C3925" s="28" t="s">
        <v>8</v>
      </c>
      <c r="D3925" s="28" t="s">
        <v>138</v>
      </c>
      <c r="E3925" s="28" t="s">
        <v>74</v>
      </c>
      <c r="F3925" s="28">
        <v>15</v>
      </c>
      <c r="G3925" s="28" t="s">
        <v>139</v>
      </c>
      <c r="H3925" s="28">
        <v>0</v>
      </c>
      <c r="J3925" s="28"/>
    </row>
    <row r="3926" spans="1:10" ht="15.75" customHeight="1">
      <c r="A3926" s="28">
        <v>19626</v>
      </c>
      <c r="B3926" s="91">
        <v>45158.194467592592</v>
      </c>
      <c r="C3926" s="28" t="s">
        <v>8</v>
      </c>
      <c r="D3926" s="28" t="s">
        <v>136</v>
      </c>
      <c r="E3926" s="28" t="s">
        <v>28</v>
      </c>
      <c r="F3926" s="28">
        <v>22</v>
      </c>
      <c r="G3926" s="28" t="s">
        <v>137</v>
      </c>
      <c r="H3926" s="28">
        <v>0</v>
      </c>
      <c r="J3926" s="28"/>
    </row>
    <row r="3927" spans="1:10" ht="15.75" customHeight="1">
      <c r="A3927" s="28">
        <v>19626</v>
      </c>
      <c r="B3927" s="91">
        <v>45158.194467592592</v>
      </c>
      <c r="C3927" s="28" t="s">
        <v>8</v>
      </c>
      <c r="D3927" s="28" t="s">
        <v>136</v>
      </c>
      <c r="E3927" s="28" t="s">
        <v>28</v>
      </c>
      <c r="F3927" s="28">
        <v>50</v>
      </c>
      <c r="G3927" s="28">
        <v>100692</v>
      </c>
      <c r="H3927" s="28">
        <v>0</v>
      </c>
      <c r="J3927" s="28"/>
    </row>
    <row r="3928" spans="1:10" ht="15.75" customHeight="1">
      <c r="A3928" s="28">
        <v>19626</v>
      </c>
      <c r="B3928" s="91">
        <v>45158.194467592592</v>
      </c>
      <c r="C3928" s="28" t="s">
        <v>8</v>
      </c>
      <c r="D3928" s="28" t="s">
        <v>136</v>
      </c>
      <c r="E3928" s="28" t="s">
        <v>28</v>
      </c>
      <c r="F3928" s="28">
        <v>0</v>
      </c>
      <c r="G3928" s="28" t="s">
        <v>125</v>
      </c>
      <c r="H3928" s="28">
        <v>0</v>
      </c>
      <c r="J3928" s="28"/>
    </row>
    <row r="3929" spans="1:10" ht="15.75" customHeight="1">
      <c r="A3929" s="28">
        <v>19626</v>
      </c>
      <c r="B3929" s="91">
        <v>45158.194467592592</v>
      </c>
      <c r="C3929" s="28" t="s">
        <v>8</v>
      </c>
      <c r="D3929" s="28" t="s">
        <v>136</v>
      </c>
      <c r="E3929" s="28" t="s">
        <v>28</v>
      </c>
      <c r="F3929" s="28">
        <v>0</v>
      </c>
      <c r="G3929" s="28" t="s">
        <v>119</v>
      </c>
      <c r="H3929" s="28">
        <v>0</v>
      </c>
      <c r="J3929" s="28"/>
    </row>
    <row r="3930" spans="1:10" ht="15.75" customHeight="1">
      <c r="A3930" s="28">
        <v>19626</v>
      </c>
      <c r="B3930" s="91">
        <v>45158.194467592592</v>
      </c>
      <c r="C3930" s="28" t="s">
        <v>8</v>
      </c>
      <c r="D3930" s="28" t="s">
        <v>136</v>
      </c>
      <c r="E3930" s="28" t="s">
        <v>28</v>
      </c>
      <c r="F3930" s="28">
        <v>0</v>
      </c>
      <c r="G3930" s="28" t="s">
        <v>117</v>
      </c>
      <c r="H3930" s="28">
        <v>0</v>
      </c>
      <c r="J3930" s="28"/>
    </row>
    <row r="3931" spans="1:10" ht="15.75" customHeight="1">
      <c r="A3931" s="28">
        <v>19627</v>
      </c>
      <c r="B3931" s="91">
        <v>45158.66878472222</v>
      </c>
      <c r="C3931" s="28" t="s">
        <v>10</v>
      </c>
      <c r="D3931" s="28" t="s">
        <v>135</v>
      </c>
      <c r="E3931" s="28" t="s">
        <v>28</v>
      </c>
      <c r="F3931" s="28">
        <v>15</v>
      </c>
      <c r="G3931" s="28" t="s">
        <v>125</v>
      </c>
      <c r="H3931" s="28">
        <v>0</v>
      </c>
      <c r="J3931" s="28"/>
    </row>
    <row r="3932" spans="1:10" ht="15.75" customHeight="1">
      <c r="A3932" s="28">
        <v>19782</v>
      </c>
      <c r="B3932" s="91">
        <v>45161.044803240744</v>
      </c>
      <c r="C3932" s="28" t="s">
        <v>10</v>
      </c>
      <c r="D3932" s="28" t="s">
        <v>134</v>
      </c>
      <c r="E3932" s="28"/>
      <c r="F3932" s="28">
        <v>84</v>
      </c>
      <c r="G3932" s="28" t="s">
        <v>117</v>
      </c>
      <c r="H3932" s="28">
        <v>0</v>
      </c>
      <c r="J3932" s="28"/>
    </row>
    <row r="3933" spans="1:10" ht="15.75" customHeight="1">
      <c r="A3933" s="28">
        <v>19782</v>
      </c>
      <c r="B3933" s="91">
        <v>45161.044803240744</v>
      </c>
      <c r="C3933" s="28" t="s">
        <v>10</v>
      </c>
      <c r="D3933" s="28" t="s">
        <v>134</v>
      </c>
      <c r="E3933" s="28"/>
      <c r="F3933" s="28">
        <v>190</v>
      </c>
      <c r="G3933" s="28" t="s">
        <v>117</v>
      </c>
      <c r="H3933" s="28">
        <v>0</v>
      </c>
      <c r="J3933" s="28"/>
    </row>
    <row r="3934" spans="1:10" ht="15.75" customHeight="1">
      <c r="A3934" s="28">
        <v>19782</v>
      </c>
      <c r="B3934" s="91">
        <v>45161.044803240744</v>
      </c>
      <c r="C3934" s="28" t="s">
        <v>10</v>
      </c>
      <c r="D3934" s="28" t="s">
        <v>134</v>
      </c>
      <c r="E3934" s="28"/>
      <c r="F3934" s="28">
        <v>208.5</v>
      </c>
      <c r="G3934" s="28" t="s">
        <v>117</v>
      </c>
      <c r="H3934" s="28">
        <v>0</v>
      </c>
      <c r="J3934" s="28"/>
    </row>
    <row r="3935" spans="1:10" ht="15.75" customHeight="1">
      <c r="A3935" s="28">
        <v>19782</v>
      </c>
      <c r="B3935" s="91">
        <v>45161.044803240744</v>
      </c>
      <c r="C3935" s="28" t="s">
        <v>10</v>
      </c>
      <c r="D3935" s="28" t="s">
        <v>134</v>
      </c>
      <c r="E3935" s="28"/>
      <c r="F3935" s="28">
        <v>106.5</v>
      </c>
      <c r="G3935" s="28" t="s">
        <v>117</v>
      </c>
      <c r="H3935" s="28">
        <v>0</v>
      </c>
      <c r="J3935" s="28"/>
    </row>
    <row r="3936" spans="1:10" ht="15.75" customHeight="1">
      <c r="A3936" s="28">
        <v>19783</v>
      </c>
      <c r="B3936" s="91">
        <v>45161.068252314813</v>
      </c>
      <c r="C3936" s="28" t="s">
        <v>8</v>
      </c>
      <c r="D3936" s="28" t="s">
        <v>133</v>
      </c>
      <c r="E3936" s="28" t="s">
        <v>79</v>
      </c>
      <c r="F3936" s="28">
        <v>26</v>
      </c>
      <c r="G3936" s="28" t="s">
        <v>122</v>
      </c>
      <c r="H3936" s="28">
        <v>0</v>
      </c>
      <c r="J3936" s="28"/>
    </row>
    <row r="3937" spans="1:10" ht="15.75" customHeight="1">
      <c r="A3937" s="28">
        <v>19783</v>
      </c>
      <c r="B3937" s="91">
        <v>45161.068252314813</v>
      </c>
      <c r="C3937" s="28" t="s">
        <v>8</v>
      </c>
      <c r="D3937" s="28" t="s">
        <v>133</v>
      </c>
      <c r="E3937" s="28" t="s">
        <v>79</v>
      </c>
      <c r="F3937" s="28">
        <v>26</v>
      </c>
      <c r="G3937" s="28" t="s">
        <v>122</v>
      </c>
      <c r="H3937" s="28">
        <v>0</v>
      </c>
      <c r="J3937" s="28"/>
    </row>
    <row r="3938" spans="1:10" ht="15.75" customHeight="1">
      <c r="A3938" s="28">
        <v>19784</v>
      </c>
      <c r="B3938" s="91">
        <v>45161.103368055556</v>
      </c>
      <c r="C3938" s="28" t="s">
        <v>51</v>
      </c>
      <c r="D3938" s="28" t="s">
        <v>132</v>
      </c>
      <c r="E3938" s="28" t="s">
        <v>28</v>
      </c>
      <c r="F3938" s="28">
        <v>178.5</v>
      </c>
      <c r="G3938" s="28" t="s">
        <v>117</v>
      </c>
      <c r="H3938" s="28">
        <v>0</v>
      </c>
      <c r="J3938" s="28"/>
    </row>
    <row r="3939" spans="1:10" ht="15.75" customHeight="1">
      <c r="A3939" s="28">
        <v>19784</v>
      </c>
      <c r="B3939" s="91">
        <v>45161.103368055556</v>
      </c>
      <c r="C3939" s="28" t="s">
        <v>51</v>
      </c>
      <c r="D3939" s="28" t="s">
        <v>132</v>
      </c>
      <c r="E3939" s="28" t="s">
        <v>28</v>
      </c>
      <c r="F3939" s="28">
        <v>153</v>
      </c>
      <c r="G3939" s="28" t="s">
        <v>117</v>
      </c>
      <c r="H3939" s="28">
        <v>0</v>
      </c>
      <c r="J3939" s="28"/>
    </row>
    <row r="3940" spans="1:10" ht="15.75" customHeight="1">
      <c r="A3940" s="28">
        <v>19784</v>
      </c>
      <c r="B3940" s="91">
        <v>45161.103368055556</v>
      </c>
      <c r="C3940" s="28" t="s">
        <v>51</v>
      </c>
      <c r="D3940" s="28" t="s">
        <v>132</v>
      </c>
      <c r="E3940" s="28" t="s">
        <v>28</v>
      </c>
      <c r="F3940" s="28">
        <v>162</v>
      </c>
      <c r="G3940" s="28" t="s">
        <v>117</v>
      </c>
      <c r="H3940" s="28">
        <v>0</v>
      </c>
      <c r="J3940" s="28"/>
    </row>
    <row r="3941" spans="1:10" ht="15.75" customHeight="1">
      <c r="A3941" s="28">
        <v>19784</v>
      </c>
      <c r="B3941" s="91">
        <v>45161.103368055556</v>
      </c>
      <c r="C3941" s="28" t="s">
        <v>51</v>
      </c>
      <c r="D3941" s="28" t="s">
        <v>132</v>
      </c>
      <c r="E3941" s="28" t="s">
        <v>28</v>
      </c>
      <c r="F3941" s="28">
        <v>286.5</v>
      </c>
      <c r="G3941" s="28" t="s">
        <v>117</v>
      </c>
      <c r="H3941" s="28">
        <v>0</v>
      </c>
      <c r="J3941" s="28"/>
    </row>
    <row r="3942" spans="1:10" ht="15.75" customHeight="1">
      <c r="A3942" s="28">
        <v>19784</v>
      </c>
      <c r="B3942" s="91">
        <v>45161.103368055556</v>
      </c>
      <c r="C3942" s="28" t="s">
        <v>51</v>
      </c>
      <c r="D3942" s="28" t="s">
        <v>132</v>
      </c>
      <c r="E3942" s="28" t="s">
        <v>28</v>
      </c>
      <c r="F3942" s="28">
        <v>361.5</v>
      </c>
      <c r="G3942" s="28" t="s">
        <v>117</v>
      </c>
      <c r="H3942" s="28">
        <v>0</v>
      </c>
      <c r="J3942" s="28"/>
    </row>
    <row r="3943" spans="1:10" ht="15.75" customHeight="1">
      <c r="A3943" s="28">
        <v>19784</v>
      </c>
      <c r="B3943" s="91">
        <v>45161.103368055556</v>
      </c>
      <c r="C3943" s="28" t="s">
        <v>51</v>
      </c>
      <c r="D3943" s="28" t="s">
        <v>132</v>
      </c>
      <c r="E3943" s="28" t="s">
        <v>28</v>
      </c>
      <c r="F3943" s="28">
        <v>391.5</v>
      </c>
      <c r="G3943" s="28" t="s">
        <v>117</v>
      </c>
      <c r="H3943" s="28">
        <v>0</v>
      </c>
      <c r="J3943" s="92"/>
    </row>
    <row r="3944" spans="1:10" ht="15.75" customHeight="1">
      <c r="A3944" s="28">
        <v>19784</v>
      </c>
      <c r="B3944" s="91">
        <v>45161.103368055556</v>
      </c>
      <c r="C3944" s="28" t="s">
        <v>51</v>
      </c>
      <c r="D3944" s="28" t="s">
        <v>132</v>
      </c>
      <c r="E3944" s="28" t="s">
        <v>28</v>
      </c>
      <c r="F3944" s="28">
        <v>243</v>
      </c>
      <c r="G3944" s="28" t="s">
        <v>117</v>
      </c>
      <c r="H3944" s="28">
        <v>0</v>
      </c>
      <c r="J3944" s="28"/>
    </row>
    <row r="3945" spans="1:10" ht="15.75" customHeight="1">
      <c r="A3945" s="28">
        <v>19784</v>
      </c>
      <c r="B3945" s="91">
        <v>45161.103368055556</v>
      </c>
      <c r="C3945" s="28" t="s">
        <v>51</v>
      </c>
      <c r="D3945" s="28" t="s">
        <v>132</v>
      </c>
      <c r="E3945" s="28" t="s">
        <v>28</v>
      </c>
      <c r="F3945" s="28">
        <v>198</v>
      </c>
      <c r="G3945" s="28" t="s">
        <v>117</v>
      </c>
      <c r="H3945" s="28">
        <v>0</v>
      </c>
      <c r="J3945" s="28"/>
    </row>
    <row r="3946" spans="1:10" ht="15.75" customHeight="1">
      <c r="A3946" s="28">
        <v>19784</v>
      </c>
      <c r="B3946" s="91">
        <v>45161.103368055556</v>
      </c>
      <c r="C3946" s="28" t="s">
        <v>51</v>
      </c>
      <c r="D3946" s="28" t="s">
        <v>132</v>
      </c>
      <c r="E3946" s="28" t="s">
        <v>28</v>
      </c>
      <c r="F3946" s="28">
        <v>27</v>
      </c>
      <c r="G3946" s="28" t="s">
        <v>117</v>
      </c>
      <c r="H3946" s="28">
        <v>0</v>
      </c>
      <c r="J3946" s="28"/>
    </row>
    <row r="3947" spans="1:10" ht="15.75" customHeight="1">
      <c r="A3947" s="28">
        <v>19848</v>
      </c>
      <c r="B3947" s="91">
        <v>45163.819178240738</v>
      </c>
      <c r="C3947" s="28" t="s">
        <v>8</v>
      </c>
      <c r="D3947" s="28" t="s">
        <v>131</v>
      </c>
      <c r="E3947" s="28" t="s">
        <v>74</v>
      </c>
      <c r="F3947" s="28">
        <v>26</v>
      </c>
      <c r="G3947" s="28"/>
      <c r="H3947" s="28">
        <v>0</v>
      </c>
      <c r="J3947" s="28"/>
    </row>
    <row r="3948" spans="1:10" ht="15.75" customHeight="1">
      <c r="A3948" s="28">
        <v>19848</v>
      </c>
      <c r="B3948" s="91">
        <v>45163.819178240738</v>
      </c>
      <c r="C3948" s="28" t="s">
        <v>8</v>
      </c>
      <c r="D3948" s="28" t="s">
        <v>131</v>
      </c>
      <c r="E3948" s="28" t="s">
        <v>74</v>
      </c>
      <c r="F3948" s="28">
        <v>25</v>
      </c>
      <c r="G3948" s="28">
        <v>100692</v>
      </c>
      <c r="H3948" s="28">
        <v>0</v>
      </c>
      <c r="J3948" s="28"/>
    </row>
    <row r="3949" spans="1:10" ht="15.75" customHeight="1">
      <c r="A3949" s="28">
        <v>19848</v>
      </c>
      <c r="B3949" s="91">
        <v>45163.819178240738</v>
      </c>
      <c r="C3949" s="28" t="s">
        <v>8</v>
      </c>
      <c r="D3949" s="28" t="s">
        <v>131</v>
      </c>
      <c r="E3949" s="28" t="s">
        <v>74</v>
      </c>
      <c r="F3949" s="28">
        <v>0</v>
      </c>
      <c r="G3949" s="28" t="s">
        <v>125</v>
      </c>
      <c r="H3949" s="28">
        <v>0</v>
      </c>
      <c r="J3949" s="28"/>
    </row>
    <row r="3950" spans="1:10" ht="15.75" customHeight="1">
      <c r="A3950" s="28">
        <v>19848</v>
      </c>
      <c r="B3950" s="91">
        <v>45163.819178240738</v>
      </c>
      <c r="C3950" s="28" t="s">
        <v>8</v>
      </c>
      <c r="D3950" s="28" t="s">
        <v>131</v>
      </c>
      <c r="E3950" s="28" t="s">
        <v>74</v>
      </c>
      <c r="F3950" s="28">
        <v>0</v>
      </c>
      <c r="G3950" s="28" t="s">
        <v>119</v>
      </c>
      <c r="H3950" s="28">
        <v>0</v>
      </c>
      <c r="J3950" s="28"/>
    </row>
    <row r="3951" spans="1:10" ht="15.75" customHeight="1">
      <c r="A3951" s="28">
        <v>19848</v>
      </c>
      <c r="B3951" s="91">
        <v>45163.819178240738</v>
      </c>
      <c r="C3951" s="28" t="s">
        <v>8</v>
      </c>
      <c r="D3951" s="28" t="s">
        <v>131</v>
      </c>
      <c r="E3951" s="28" t="s">
        <v>74</v>
      </c>
      <c r="F3951" s="28">
        <v>0</v>
      </c>
      <c r="G3951" s="28" t="s">
        <v>117</v>
      </c>
      <c r="H3951" s="28">
        <v>0</v>
      </c>
      <c r="J3951" s="28"/>
    </row>
    <row r="3952" spans="1:10" ht="15.75" customHeight="1">
      <c r="A3952" s="28">
        <v>19849</v>
      </c>
      <c r="B3952" s="91">
        <v>45163.964143518519</v>
      </c>
      <c r="C3952" s="28" t="s">
        <v>8</v>
      </c>
      <c r="D3952" s="28" t="s">
        <v>129</v>
      </c>
      <c r="E3952" s="28" t="s">
        <v>74</v>
      </c>
      <c r="F3952" s="28">
        <v>25</v>
      </c>
      <c r="G3952" s="28" t="s">
        <v>130</v>
      </c>
      <c r="H3952" s="28">
        <v>0</v>
      </c>
      <c r="J3952" s="28"/>
    </row>
    <row r="3953" spans="1:10" ht="15.75" customHeight="1">
      <c r="A3953" s="28">
        <v>19850</v>
      </c>
      <c r="B3953" s="91">
        <v>45164.592129629629</v>
      </c>
      <c r="C3953" s="28" t="s">
        <v>8</v>
      </c>
      <c r="D3953" s="28" t="s">
        <v>127</v>
      </c>
      <c r="E3953" s="28" t="s">
        <v>28</v>
      </c>
      <c r="F3953" s="28">
        <v>0</v>
      </c>
      <c r="G3953" s="28" t="s">
        <v>117</v>
      </c>
      <c r="H3953" s="28">
        <v>0</v>
      </c>
      <c r="J3953" s="28"/>
    </row>
    <row r="3954" spans="1:10" ht="15.75" customHeight="1">
      <c r="A3954" s="28">
        <v>19850</v>
      </c>
      <c r="B3954" s="91">
        <v>45164.592129629629</v>
      </c>
      <c r="C3954" s="28" t="s">
        <v>8</v>
      </c>
      <c r="D3954" s="28" t="s">
        <v>127</v>
      </c>
      <c r="E3954" s="28" t="s">
        <v>28</v>
      </c>
      <c r="F3954" s="28">
        <v>25</v>
      </c>
      <c r="G3954" s="28">
        <v>100692</v>
      </c>
      <c r="H3954" s="28">
        <v>0</v>
      </c>
      <c r="J3954" s="28"/>
    </row>
    <row r="3955" spans="1:10" ht="15.75" customHeight="1">
      <c r="A3955" s="28">
        <v>19850</v>
      </c>
      <c r="B3955" s="91">
        <v>45164.592129629629</v>
      </c>
      <c r="C3955" s="28" t="s">
        <v>8</v>
      </c>
      <c r="D3955" s="28" t="s">
        <v>127</v>
      </c>
      <c r="E3955" s="28" t="s">
        <v>28</v>
      </c>
      <c r="F3955" s="28">
        <v>0</v>
      </c>
      <c r="G3955" s="28" t="s">
        <v>125</v>
      </c>
      <c r="H3955" s="28">
        <v>0</v>
      </c>
      <c r="J3955" s="28"/>
    </row>
    <row r="3956" spans="1:10" ht="15.75" customHeight="1">
      <c r="A3956" s="28">
        <v>19850</v>
      </c>
      <c r="B3956" s="91">
        <v>45164.592129629629</v>
      </c>
      <c r="C3956" s="28" t="s">
        <v>8</v>
      </c>
      <c r="D3956" s="28" t="s">
        <v>127</v>
      </c>
      <c r="E3956" s="28" t="s">
        <v>28</v>
      </c>
      <c r="F3956" s="28">
        <v>0</v>
      </c>
      <c r="G3956" s="28" t="s">
        <v>119</v>
      </c>
      <c r="H3956" s="28">
        <v>0</v>
      </c>
      <c r="J3956" s="28"/>
    </row>
    <row r="3957" spans="1:10" ht="15.75" customHeight="1">
      <c r="A3957" s="28">
        <v>19850</v>
      </c>
      <c r="B3957" s="91">
        <v>45164.592129629629</v>
      </c>
      <c r="C3957" s="28" t="s">
        <v>8</v>
      </c>
      <c r="D3957" s="28" t="s">
        <v>127</v>
      </c>
      <c r="E3957" s="28" t="s">
        <v>28</v>
      </c>
      <c r="F3957" s="28">
        <v>30</v>
      </c>
      <c r="G3957" s="28" t="s">
        <v>128</v>
      </c>
      <c r="H3957" s="28">
        <v>0</v>
      </c>
      <c r="J3957" s="28"/>
    </row>
    <row r="3958" spans="1:10" ht="15.75" customHeight="1">
      <c r="A3958" s="28">
        <v>19850</v>
      </c>
      <c r="B3958" s="91">
        <v>45164.592129629629</v>
      </c>
      <c r="C3958" s="28" t="s">
        <v>8</v>
      </c>
      <c r="D3958" s="28" t="s">
        <v>127</v>
      </c>
      <c r="E3958" s="28" t="s">
        <v>28</v>
      </c>
      <c r="F3958" s="28">
        <v>0</v>
      </c>
      <c r="G3958" s="28" t="s">
        <v>125</v>
      </c>
      <c r="H3958" s="28">
        <v>0</v>
      </c>
      <c r="J3958" s="28"/>
    </row>
    <row r="3959" spans="1:10" ht="15.75" customHeight="1">
      <c r="A3959" s="28">
        <v>19850</v>
      </c>
      <c r="B3959" s="91">
        <v>45164.592129629629</v>
      </c>
      <c r="C3959" s="28" t="s">
        <v>8</v>
      </c>
      <c r="D3959" s="28" t="s">
        <v>127</v>
      </c>
      <c r="E3959" s="28" t="s">
        <v>28</v>
      </c>
      <c r="F3959" s="28">
        <v>0</v>
      </c>
      <c r="G3959" s="28" t="s">
        <v>119</v>
      </c>
      <c r="H3959" s="28">
        <v>0</v>
      </c>
      <c r="J3959" s="28"/>
    </row>
    <row r="3960" spans="1:10" ht="15.75" customHeight="1">
      <c r="A3960" s="28">
        <v>19851</v>
      </c>
      <c r="B3960" s="91">
        <v>45164.59480324074</v>
      </c>
      <c r="C3960" s="28" t="s">
        <v>8</v>
      </c>
      <c r="D3960" s="28" t="s">
        <v>126</v>
      </c>
      <c r="E3960" s="28" t="s">
        <v>28</v>
      </c>
      <c r="F3960" s="28">
        <v>25</v>
      </c>
      <c r="G3960" s="28">
        <v>100692</v>
      </c>
      <c r="H3960" s="28">
        <v>0</v>
      </c>
      <c r="J3960" s="28"/>
    </row>
    <row r="3961" spans="1:10" ht="15.75" customHeight="1">
      <c r="A3961" s="28">
        <v>19851</v>
      </c>
      <c r="B3961" s="91">
        <v>45164.59480324074</v>
      </c>
      <c r="C3961" s="28" t="s">
        <v>8</v>
      </c>
      <c r="D3961" s="28" t="s">
        <v>126</v>
      </c>
      <c r="E3961" s="28" t="s">
        <v>28</v>
      </c>
      <c r="F3961" s="28">
        <v>0</v>
      </c>
      <c r="G3961" s="28" t="s">
        <v>125</v>
      </c>
      <c r="H3961" s="28">
        <v>0</v>
      </c>
      <c r="J3961" s="28"/>
    </row>
    <row r="3962" spans="1:10" ht="15.75" customHeight="1">
      <c r="A3962" s="28">
        <v>19851</v>
      </c>
      <c r="B3962" s="91">
        <v>45164.59480324074</v>
      </c>
      <c r="C3962" s="28" t="s">
        <v>8</v>
      </c>
      <c r="D3962" s="28" t="s">
        <v>126</v>
      </c>
      <c r="E3962" s="28" t="s">
        <v>28</v>
      </c>
      <c r="F3962" s="28">
        <v>0</v>
      </c>
      <c r="G3962" s="28" t="s">
        <v>119</v>
      </c>
      <c r="H3962" s="28">
        <v>0</v>
      </c>
      <c r="J3962" s="28"/>
    </row>
    <row r="3963" spans="1:10" ht="15.75" customHeight="1">
      <c r="A3963" s="28">
        <v>19851</v>
      </c>
      <c r="B3963" s="91">
        <v>45164.59480324074</v>
      </c>
      <c r="C3963" s="28" t="s">
        <v>8</v>
      </c>
      <c r="D3963" s="28" t="s">
        <v>126</v>
      </c>
      <c r="E3963" s="28" t="s">
        <v>28</v>
      </c>
      <c r="F3963" s="28">
        <v>0</v>
      </c>
      <c r="G3963" s="28" t="s">
        <v>117</v>
      </c>
      <c r="H3963" s="28">
        <v>0</v>
      </c>
      <c r="J3963" s="28"/>
    </row>
    <row r="3964" spans="1:10" ht="15.75" customHeight="1">
      <c r="A3964" s="28">
        <v>19890</v>
      </c>
      <c r="B3964" s="91">
        <v>45165.758958333332</v>
      </c>
      <c r="C3964" s="28" t="s">
        <v>8</v>
      </c>
      <c r="D3964" s="28" t="s">
        <v>123</v>
      </c>
      <c r="E3964" s="28" t="s">
        <v>74</v>
      </c>
      <c r="F3964" s="28">
        <v>26</v>
      </c>
      <c r="G3964" s="28" t="s">
        <v>122</v>
      </c>
      <c r="H3964" s="28">
        <v>0</v>
      </c>
      <c r="J3964" s="28"/>
    </row>
    <row r="3965" spans="1:10" ht="15.75" customHeight="1">
      <c r="A3965" s="28">
        <v>19890</v>
      </c>
      <c r="B3965" s="91">
        <v>45165.758958333332</v>
      </c>
      <c r="C3965" s="28" t="s">
        <v>8</v>
      </c>
      <c r="D3965" s="28" t="s">
        <v>123</v>
      </c>
      <c r="E3965" s="28" t="s">
        <v>74</v>
      </c>
      <c r="F3965" s="28">
        <v>35</v>
      </c>
      <c r="G3965" s="28" t="s">
        <v>124</v>
      </c>
      <c r="H3965" s="28">
        <v>0</v>
      </c>
      <c r="J3965" s="28"/>
    </row>
    <row r="3966" spans="1:10" ht="15.75" customHeight="1">
      <c r="A3966" s="28">
        <v>19890</v>
      </c>
      <c r="B3966" s="91">
        <v>45165.758958333332</v>
      </c>
      <c r="C3966" s="28" t="s">
        <v>8</v>
      </c>
      <c r="D3966" s="28" t="s">
        <v>123</v>
      </c>
      <c r="E3966" s="28" t="s">
        <v>74</v>
      </c>
      <c r="F3966" s="28">
        <v>0</v>
      </c>
      <c r="G3966" s="28" t="s">
        <v>125</v>
      </c>
      <c r="H3966" s="28">
        <v>0</v>
      </c>
      <c r="J3966" s="28"/>
    </row>
    <row r="3967" spans="1:10" ht="15.75" customHeight="1">
      <c r="A3967" s="28">
        <v>19890</v>
      </c>
      <c r="B3967" s="91">
        <v>45165.758958333332</v>
      </c>
      <c r="C3967" s="28" t="s">
        <v>8</v>
      </c>
      <c r="D3967" s="28" t="s">
        <v>123</v>
      </c>
      <c r="E3967" s="28" t="s">
        <v>74</v>
      </c>
      <c r="F3967" s="28">
        <v>0</v>
      </c>
      <c r="G3967" s="28" t="s">
        <v>119</v>
      </c>
      <c r="H3967" s="28">
        <v>0</v>
      </c>
      <c r="J3967" s="28"/>
    </row>
    <row r="3968" spans="1:10" ht="15.75" customHeight="1">
      <c r="A3968" s="28">
        <v>19890</v>
      </c>
      <c r="B3968" s="91">
        <v>45165.758958333332</v>
      </c>
      <c r="C3968" s="28" t="s">
        <v>8</v>
      </c>
      <c r="D3968" s="28" t="s">
        <v>123</v>
      </c>
      <c r="E3968" s="28" t="s">
        <v>74</v>
      </c>
      <c r="F3968" s="28">
        <v>0</v>
      </c>
      <c r="G3968" s="28" t="s">
        <v>121</v>
      </c>
      <c r="H3968" s="28">
        <v>0</v>
      </c>
      <c r="J3968" s="28"/>
    </row>
    <row r="3969" spans="1:10" ht="15.75" customHeight="1">
      <c r="A3969" s="28">
        <v>19899</v>
      </c>
      <c r="B3969" s="91">
        <v>45166.029270833329</v>
      </c>
      <c r="C3969" s="28" t="s">
        <v>8</v>
      </c>
      <c r="D3969" s="28" t="s">
        <v>116</v>
      </c>
      <c r="E3969" s="28" t="s">
        <v>74</v>
      </c>
      <c r="F3969" s="28">
        <v>0</v>
      </c>
      <c r="G3969" s="28" t="s">
        <v>117</v>
      </c>
      <c r="H3969" s="28">
        <v>0</v>
      </c>
      <c r="J3969" s="28"/>
    </row>
    <row r="3970" spans="1:10" ht="15.75" customHeight="1">
      <c r="A3970" s="28">
        <v>19899</v>
      </c>
      <c r="B3970" s="91">
        <v>45166.029270833329</v>
      </c>
      <c r="C3970" s="28" t="s">
        <v>8</v>
      </c>
      <c r="D3970" s="28" t="s">
        <v>116</v>
      </c>
      <c r="E3970" s="28" t="s">
        <v>74</v>
      </c>
      <c r="F3970" s="28">
        <v>70</v>
      </c>
      <c r="G3970" s="28">
        <v>1010113</v>
      </c>
      <c r="H3970" s="28">
        <v>0</v>
      </c>
      <c r="J3970" s="28"/>
    </row>
    <row r="3971" spans="1:10" ht="15.75" customHeight="1">
      <c r="A3971" s="28">
        <v>19899</v>
      </c>
      <c r="B3971" s="91">
        <v>45166.029270833329</v>
      </c>
      <c r="C3971" s="28" t="s">
        <v>8</v>
      </c>
      <c r="D3971" s="28" t="s">
        <v>116</v>
      </c>
      <c r="E3971" s="28" t="s">
        <v>74</v>
      </c>
      <c r="F3971" s="28">
        <v>0</v>
      </c>
      <c r="G3971" s="28" t="s">
        <v>118</v>
      </c>
      <c r="H3971" s="28">
        <v>0</v>
      </c>
      <c r="J3971" s="28"/>
    </row>
    <row r="3972" spans="1:10" ht="15.75" customHeight="1">
      <c r="A3972" s="28">
        <v>19899</v>
      </c>
      <c r="B3972" s="91">
        <v>45166.029270833329</v>
      </c>
      <c r="C3972" s="28" t="s">
        <v>8</v>
      </c>
      <c r="D3972" s="28" t="s">
        <v>116</v>
      </c>
      <c r="E3972" s="28" t="s">
        <v>74</v>
      </c>
      <c r="F3972" s="28">
        <v>0</v>
      </c>
      <c r="G3972" s="28" t="s">
        <v>119</v>
      </c>
      <c r="H3972" s="28">
        <v>0</v>
      </c>
      <c r="J3972" s="28"/>
    </row>
    <row r="3973" spans="1:10" ht="15.75" customHeight="1">
      <c r="A3973" s="28">
        <v>19899</v>
      </c>
      <c r="B3973" s="91">
        <v>45166.029270833329</v>
      </c>
      <c r="C3973" s="28" t="s">
        <v>8</v>
      </c>
      <c r="D3973" s="28" t="s">
        <v>116</v>
      </c>
      <c r="E3973" s="28" t="s">
        <v>74</v>
      </c>
      <c r="F3973" s="28">
        <v>0</v>
      </c>
      <c r="G3973" s="28" t="s">
        <v>120</v>
      </c>
      <c r="H3973" s="28">
        <v>0</v>
      </c>
      <c r="J3973" s="28"/>
    </row>
    <row r="3974" spans="1:10" ht="15.75" customHeight="1">
      <c r="A3974" s="28">
        <v>19899</v>
      </c>
      <c r="B3974" s="91">
        <v>45166.029270833329</v>
      </c>
      <c r="C3974" s="28" t="s">
        <v>8</v>
      </c>
      <c r="D3974" s="28" t="s">
        <v>116</v>
      </c>
      <c r="E3974" s="28" t="s">
        <v>74</v>
      </c>
      <c r="F3974" s="28">
        <v>0</v>
      </c>
      <c r="G3974" s="28" t="s">
        <v>121</v>
      </c>
      <c r="H3974" s="28">
        <v>0</v>
      </c>
      <c r="J3974" s="28"/>
    </row>
    <row r="3975" spans="1:10" ht="15.75" customHeight="1">
      <c r="A3975" s="28">
        <v>19899</v>
      </c>
      <c r="B3975" s="91">
        <v>45166.029270833329</v>
      </c>
      <c r="C3975" s="28" t="s">
        <v>8</v>
      </c>
      <c r="D3975" s="28" t="s">
        <v>116</v>
      </c>
      <c r="E3975" s="28" t="s">
        <v>74</v>
      </c>
      <c r="F3975" s="28">
        <v>0</v>
      </c>
      <c r="G3975" s="28" t="s">
        <v>122</v>
      </c>
      <c r="H3975" s="28">
        <v>0</v>
      </c>
      <c r="J3975" s="92"/>
    </row>
    <row r="3976" spans="1:10" ht="15.75" customHeight="1">
      <c r="A3976" s="28">
        <v>19931</v>
      </c>
      <c r="B3976" s="91">
        <v>45169.172662037039</v>
      </c>
      <c r="C3976" s="28" t="s">
        <v>8</v>
      </c>
      <c r="D3976" s="28" t="s">
        <v>1440</v>
      </c>
      <c r="E3976" s="28" t="s">
        <v>28</v>
      </c>
      <c r="F3976" s="28">
        <v>25</v>
      </c>
      <c r="G3976" s="28">
        <v>100692</v>
      </c>
      <c r="H3976" s="28">
        <v>0</v>
      </c>
      <c r="J3976" s="92"/>
    </row>
    <row r="3977" spans="1:10" ht="15.75" customHeight="1">
      <c r="A3977" s="28">
        <v>19931</v>
      </c>
      <c r="B3977" s="91">
        <v>45169.172662037039</v>
      </c>
      <c r="C3977" s="28" t="s">
        <v>8</v>
      </c>
      <c r="D3977" s="28" t="s">
        <v>1440</v>
      </c>
      <c r="E3977" s="28" t="s">
        <v>28</v>
      </c>
      <c r="F3977" s="28">
        <v>0</v>
      </c>
      <c r="G3977" s="28" t="s">
        <v>125</v>
      </c>
      <c r="H3977" s="28">
        <v>0</v>
      </c>
      <c r="J3977" s="92"/>
    </row>
    <row r="3978" spans="1:10" ht="15.75" customHeight="1">
      <c r="A3978" s="28">
        <v>19931</v>
      </c>
      <c r="B3978" s="91">
        <v>45169.172662037039</v>
      </c>
      <c r="C3978" s="28" t="s">
        <v>8</v>
      </c>
      <c r="D3978" s="28" t="s">
        <v>1440</v>
      </c>
      <c r="E3978" s="28" t="s">
        <v>28</v>
      </c>
      <c r="F3978" s="28">
        <v>0</v>
      </c>
      <c r="G3978" s="28" t="s">
        <v>119</v>
      </c>
      <c r="H3978" s="28">
        <v>0</v>
      </c>
      <c r="J3978" s="92"/>
    </row>
    <row r="3979" spans="1:10" ht="15.75" customHeight="1">
      <c r="A3979" s="28">
        <v>19930</v>
      </c>
      <c r="B3979" s="91">
        <v>45169.16847222222</v>
      </c>
      <c r="C3979" s="28" t="s">
        <v>8</v>
      </c>
      <c r="D3979" s="28" t="s">
        <v>1441</v>
      </c>
      <c r="E3979" s="28" t="s">
        <v>28</v>
      </c>
      <c r="F3979" s="28">
        <v>25</v>
      </c>
      <c r="G3979" s="28">
        <v>100692</v>
      </c>
      <c r="H3979" s="28">
        <v>0</v>
      </c>
      <c r="J3979" s="92"/>
    </row>
    <row r="3980" spans="1:10" ht="15.75" customHeight="1">
      <c r="A3980" s="28">
        <v>19930</v>
      </c>
      <c r="B3980" s="91">
        <v>45169.16847222222</v>
      </c>
      <c r="C3980" s="28" t="s">
        <v>8</v>
      </c>
      <c r="D3980" s="28" t="s">
        <v>1441</v>
      </c>
      <c r="E3980" s="28" t="s">
        <v>28</v>
      </c>
      <c r="F3980" s="28">
        <v>0</v>
      </c>
      <c r="G3980" s="28" t="s">
        <v>125</v>
      </c>
      <c r="H3980" s="28">
        <v>0</v>
      </c>
      <c r="J3980" s="92"/>
    </row>
    <row r="3981" spans="1:10" ht="15.75" customHeight="1">
      <c r="A3981" s="28">
        <v>19930</v>
      </c>
      <c r="B3981" s="91">
        <v>45169.16847222222</v>
      </c>
      <c r="C3981" s="28" t="s">
        <v>8</v>
      </c>
      <c r="D3981" s="28" t="s">
        <v>1441</v>
      </c>
      <c r="E3981" s="28" t="s">
        <v>28</v>
      </c>
      <c r="F3981" s="28">
        <v>0</v>
      </c>
      <c r="G3981" s="28" t="s">
        <v>119</v>
      </c>
      <c r="H3981" s="28">
        <v>0</v>
      </c>
      <c r="J3981" s="92"/>
    </row>
    <row r="3982" spans="1:10" ht="15.75" customHeight="1">
      <c r="A3982" s="28">
        <v>19929</v>
      </c>
      <c r="B3982" s="91">
        <v>45168.949560185189</v>
      </c>
      <c r="C3982" s="28" t="s">
        <v>8</v>
      </c>
      <c r="D3982" s="28" t="s">
        <v>1442</v>
      </c>
      <c r="E3982" s="28" t="s">
        <v>28</v>
      </c>
      <c r="F3982" s="28">
        <v>25</v>
      </c>
      <c r="G3982" s="28">
        <v>100692</v>
      </c>
      <c r="H3982" s="28">
        <v>0</v>
      </c>
      <c r="J3982" s="92"/>
    </row>
    <row r="3983" spans="1:10" ht="15.75" customHeight="1">
      <c r="A3983" s="28">
        <v>19929</v>
      </c>
      <c r="B3983" s="91">
        <v>45168.949560185189</v>
      </c>
      <c r="C3983" s="28" t="s">
        <v>8</v>
      </c>
      <c r="D3983" s="28" t="s">
        <v>1442</v>
      </c>
      <c r="E3983" s="28" t="s">
        <v>28</v>
      </c>
      <c r="F3983" s="28">
        <v>0</v>
      </c>
      <c r="G3983" s="28" t="s">
        <v>125</v>
      </c>
      <c r="H3983" s="28">
        <v>0</v>
      </c>
      <c r="J3983" s="92"/>
    </row>
    <row r="3984" spans="1:10" ht="15.75" customHeight="1">
      <c r="A3984" s="28">
        <v>19929</v>
      </c>
      <c r="B3984" s="91">
        <v>45168.949560185189</v>
      </c>
      <c r="C3984" s="28" t="s">
        <v>8</v>
      </c>
      <c r="D3984" s="28" t="s">
        <v>1442</v>
      </c>
      <c r="E3984" s="28" t="s">
        <v>28</v>
      </c>
      <c r="F3984" s="28">
        <v>0</v>
      </c>
      <c r="G3984" s="28" t="s">
        <v>119</v>
      </c>
      <c r="H3984" s="28">
        <v>0</v>
      </c>
      <c r="J3984" s="92"/>
    </row>
    <row r="3985" spans="1:10" ht="15.75" customHeight="1">
      <c r="A3985" s="28">
        <v>19928</v>
      </c>
      <c r="B3985" s="91">
        <v>45168.123703703706</v>
      </c>
      <c r="C3985" s="28" t="s">
        <v>0</v>
      </c>
      <c r="D3985" s="28" t="s">
        <v>1097</v>
      </c>
      <c r="E3985" s="28" t="s">
        <v>92</v>
      </c>
      <c r="F3985" s="28">
        <v>0</v>
      </c>
      <c r="G3985" s="28" t="s">
        <v>896</v>
      </c>
      <c r="H3985" s="28">
        <v>0</v>
      </c>
      <c r="J3985" s="92"/>
    </row>
    <row r="3986" spans="1:10" ht="15.75" customHeight="1">
      <c r="A3986" s="28">
        <v>19928</v>
      </c>
      <c r="B3986" s="91">
        <v>45168.123703703706</v>
      </c>
      <c r="C3986" s="28" t="s">
        <v>0</v>
      </c>
      <c r="D3986" s="28" t="s">
        <v>1097</v>
      </c>
      <c r="E3986" s="28" t="s">
        <v>92</v>
      </c>
      <c r="F3986" s="28">
        <v>0</v>
      </c>
      <c r="G3986" s="28" t="s">
        <v>124</v>
      </c>
      <c r="H3986" s="28">
        <v>0</v>
      </c>
      <c r="J3986" s="92"/>
    </row>
    <row r="3987" spans="1:10" ht="15.75" customHeight="1">
      <c r="A3987" s="28">
        <v>19928</v>
      </c>
      <c r="B3987" s="91">
        <v>45168.123703703706</v>
      </c>
      <c r="C3987" s="28" t="s">
        <v>0</v>
      </c>
      <c r="D3987" s="28" t="s">
        <v>1097</v>
      </c>
      <c r="E3987" s="28" t="s">
        <v>92</v>
      </c>
      <c r="F3987" s="28">
        <v>0</v>
      </c>
      <c r="G3987" s="28" t="s">
        <v>125</v>
      </c>
      <c r="H3987" s="28">
        <v>0</v>
      </c>
      <c r="J3987" s="92"/>
    </row>
    <row r="3988" spans="1:10" ht="15.75" customHeight="1">
      <c r="A3988" s="28">
        <v>19928</v>
      </c>
      <c r="B3988" s="91">
        <v>45168.123703703706</v>
      </c>
      <c r="C3988" s="28" t="s">
        <v>0</v>
      </c>
      <c r="D3988" s="28" t="s">
        <v>1097</v>
      </c>
      <c r="E3988" s="28" t="s">
        <v>92</v>
      </c>
      <c r="F3988" s="28">
        <v>0</v>
      </c>
      <c r="G3988" s="28" t="s">
        <v>119</v>
      </c>
      <c r="H3988" s="28">
        <v>0</v>
      </c>
      <c r="J3988" s="92"/>
    </row>
    <row r="3989" spans="1:10" ht="15.75" customHeight="1">
      <c r="A3989" s="28">
        <v>19928</v>
      </c>
      <c r="B3989" s="91">
        <v>45168.123703703706</v>
      </c>
      <c r="C3989" s="28" t="s">
        <v>0</v>
      </c>
      <c r="D3989" s="28" t="s">
        <v>1097</v>
      </c>
      <c r="E3989" s="28" t="s">
        <v>92</v>
      </c>
      <c r="F3989" s="28">
        <v>0</v>
      </c>
      <c r="G3989" s="28" t="s">
        <v>121</v>
      </c>
      <c r="H3989" s="28">
        <v>0</v>
      </c>
      <c r="J3989" s="92"/>
    </row>
    <row r="3990" spans="1:10" ht="15.75" customHeight="1">
      <c r="A3990" s="28">
        <v>19928</v>
      </c>
      <c r="B3990" s="91">
        <v>45168.123703703706</v>
      </c>
      <c r="C3990" s="28" t="s">
        <v>0</v>
      </c>
      <c r="D3990" s="28" t="s">
        <v>1097</v>
      </c>
      <c r="E3990" s="28" t="s">
        <v>92</v>
      </c>
      <c r="F3990" s="28">
        <v>0</v>
      </c>
      <c r="G3990" s="28" t="s">
        <v>1443</v>
      </c>
      <c r="H3990" s="28">
        <v>0</v>
      </c>
      <c r="J3990" s="92"/>
    </row>
    <row r="3991" spans="1:10" ht="15.75" customHeight="1">
      <c r="A3991" s="28">
        <v>19928</v>
      </c>
      <c r="B3991" s="91">
        <v>45168.123703703706</v>
      </c>
      <c r="C3991" s="28" t="s">
        <v>0</v>
      </c>
      <c r="D3991" s="28" t="s">
        <v>1097</v>
      </c>
      <c r="E3991" s="28" t="s">
        <v>92</v>
      </c>
      <c r="F3991" s="28">
        <v>0</v>
      </c>
      <c r="G3991" s="28" t="s">
        <v>1444</v>
      </c>
      <c r="H3991" s="28">
        <v>0</v>
      </c>
      <c r="J3991" s="92"/>
    </row>
    <row r="3992" spans="1:10" ht="15.75" customHeight="1">
      <c r="A3992" s="28">
        <v>19928</v>
      </c>
      <c r="B3992" s="91">
        <v>45168.123703703706</v>
      </c>
      <c r="C3992" s="28" t="s">
        <v>0</v>
      </c>
      <c r="D3992" s="28" t="s">
        <v>1097</v>
      </c>
      <c r="E3992" s="28" t="s">
        <v>92</v>
      </c>
      <c r="F3992" s="28">
        <v>0</v>
      </c>
      <c r="G3992" s="28">
        <v>100692</v>
      </c>
      <c r="H3992" s="28">
        <v>0</v>
      </c>
      <c r="J3992" s="92"/>
    </row>
    <row r="3993" spans="1:10" ht="15.75" customHeight="1">
      <c r="A3993" s="28">
        <v>19928</v>
      </c>
      <c r="B3993" s="91">
        <v>45168.123703703706</v>
      </c>
      <c r="C3993" s="28" t="s">
        <v>0</v>
      </c>
      <c r="D3993" s="28" t="s">
        <v>1097</v>
      </c>
      <c r="E3993" s="28" t="s">
        <v>92</v>
      </c>
      <c r="F3993" s="28">
        <v>0</v>
      </c>
      <c r="G3993" s="28" t="s">
        <v>125</v>
      </c>
      <c r="H3993" s="28">
        <v>0</v>
      </c>
      <c r="J3993" s="92"/>
    </row>
    <row r="3994" spans="1:10" ht="15.75" customHeight="1">
      <c r="A3994" s="28">
        <v>19928</v>
      </c>
      <c r="B3994" s="91">
        <v>45168.123703703706</v>
      </c>
      <c r="C3994" s="28" t="s">
        <v>0</v>
      </c>
      <c r="D3994" s="28" t="s">
        <v>1097</v>
      </c>
      <c r="E3994" s="28" t="s">
        <v>92</v>
      </c>
      <c r="F3994" s="28">
        <v>0</v>
      </c>
      <c r="G3994" s="28" t="s">
        <v>119</v>
      </c>
      <c r="H3994" s="28">
        <v>0</v>
      </c>
      <c r="J3994" s="92"/>
    </row>
    <row r="3995" spans="1:10" ht="15.75" customHeight="1">
      <c r="A3995" s="28">
        <v>20617</v>
      </c>
      <c r="B3995" s="91">
        <v>45203.085659722223</v>
      </c>
      <c r="C3995" s="28" t="s">
        <v>95</v>
      </c>
      <c r="D3995" s="28" t="s">
        <v>1445</v>
      </c>
      <c r="E3995" s="28" t="s">
        <v>75</v>
      </c>
      <c r="F3995" s="28">
        <v>25</v>
      </c>
      <c r="G3995" s="28" t="s">
        <v>1446</v>
      </c>
      <c r="H3995" s="28">
        <v>0</v>
      </c>
      <c r="J3995" s="92"/>
    </row>
    <row r="3996" spans="1:10" ht="15.75" customHeight="1">
      <c r="A3996" s="28">
        <v>20615</v>
      </c>
      <c r="B3996" s="91">
        <v>45202.762939814813</v>
      </c>
      <c r="C3996" s="28" t="s">
        <v>95</v>
      </c>
      <c r="D3996" s="28" t="s">
        <v>1447</v>
      </c>
      <c r="E3996" s="28" t="s">
        <v>74</v>
      </c>
      <c r="F3996" s="28">
        <v>28</v>
      </c>
      <c r="G3996" s="28" t="s">
        <v>1448</v>
      </c>
      <c r="H3996" s="28">
        <v>0</v>
      </c>
      <c r="J3996" s="92"/>
    </row>
    <row r="3997" spans="1:10" ht="15.75" customHeight="1">
      <c r="A3997" s="28">
        <v>20615</v>
      </c>
      <c r="B3997" s="91">
        <v>45202.762939814813</v>
      </c>
      <c r="C3997" s="28" t="s">
        <v>95</v>
      </c>
      <c r="D3997" s="28" t="s">
        <v>1447</v>
      </c>
      <c r="E3997" s="28" t="s">
        <v>74</v>
      </c>
      <c r="F3997" s="28">
        <v>25</v>
      </c>
      <c r="G3997" s="28" t="s">
        <v>1446</v>
      </c>
      <c r="H3997" s="28">
        <v>0</v>
      </c>
      <c r="J3997" s="92"/>
    </row>
    <row r="3998" spans="1:10" ht="15.75" customHeight="1">
      <c r="A3998" s="28">
        <v>20612</v>
      </c>
      <c r="B3998" s="91">
        <v>45202.566504629627</v>
      </c>
      <c r="C3998" s="28" t="s">
        <v>95</v>
      </c>
      <c r="D3998" s="28" t="s">
        <v>1449</v>
      </c>
      <c r="E3998" s="28" t="s">
        <v>75</v>
      </c>
      <c r="F3998" s="28">
        <v>70</v>
      </c>
      <c r="G3998" s="28">
        <v>1010113</v>
      </c>
      <c r="H3998" s="28">
        <v>0</v>
      </c>
      <c r="J3998" s="92"/>
    </row>
    <row r="3999" spans="1:10" ht="15.75" customHeight="1">
      <c r="A3999" s="28">
        <v>20612</v>
      </c>
      <c r="B3999" s="91">
        <v>45202.566504629627</v>
      </c>
      <c r="C3999" s="28" t="s">
        <v>95</v>
      </c>
      <c r="D3999" s="28" t="s">
        <v>1449</v>
      </c>
      <c r="E3999" s="28" t="s">
        <v>75</v>
      </c>
      <c r="F3999" s="28">
        <v>0</v>
      </c>
      <c r="G3999" s="28" t="s">
        <v>118</v>
      </c>
      <c r="H3999" s="28">
        <v>0</v>
      </c>
      <c r="J3999" s="92"/>
    </row>
    <row r="4000" spans="1:10" ht="15.75" customHeight="1">
      <c r="A4000" s="28">
        <v>20612</v>
      </c>
      <c r="B4000" s="91">
        <v>45202.566504629627</v>
      </c>
      <c r="C4000" s="28" t="s">
        <v>95</v>
      </c>
      <c r="D4000" s="28" t="s">
        <v>1449</v>
      </c>
      <c r="E4000" s="28" t="s">
        <v>75</v>
      </c>
      <c r="F4000" s="28">
        <v>0</v>
      </c>
      <c r="G4000" s="28" t="s">
        <v>119</v>
      </c>
      <c r="H4000" s="28">
        <v>0</v>
      </c>
      <c r="J4000" s="92"/>
    </row>
    <row r="4001" spans="1:10" ht="15.75" customHeight="1">
      <c r="A4001" s="28">
        <v>20612</v>
      </c>
      <c r="B4001" s="91">
        <v>45202.566504629627</v>
      </c>
      <c r="C4001" s="28" t="s">
        <v>95</v>
      </c>
      <c r="D4001" s="28" t="s">
        <v>1449</v>
      </c>
      <c r="E4001" s="28" t="s">
        <v>75</v>
      </c>
      <c r="F4001" s="28">
        <v>0</v>
      </c>
      <c r="G4001" s="28" t="s">
        <v>120</v>
      </c>
      <c r="H4001" s="28">
        <v>0</v>
      </c>
      <c r="J4001" s="92"/>
    </row>
    <row r="4002" spans="1:10" ht="15.75" customHeight="1">
      <c r="A4002" s="28">
        <v>20612</v>
      </c>
      <c r="B4002" s="91">
        <v>45202.566504629627</v>
      </c>
      <c r="C4002" s="28" t="s">
        <v>95</v>
      </c>
      <c r="D4002" s="28" t="s">
        <v>1449</v>
      </c>
      <c r="E4002" s="28" t="s">
        <v>75</v>
      </c>
      <c r="F4002" s="28">
        <v>0</v>
      </c>
      <c r="G4002" s="28" t="s">
        <v>121</v>
      </c>
      <c r="H4002" s="28">
        <v>0</v>
      </c>
      <c r="J4002" s="92"/>
    </row>
    <row r="4003" spans="1:10" ht="15.75" customHeight="1">
      <c r="A4003" s="28">
        <v>20612</v>
      </c>
      <c r="B4003" s="91">
        <v>45202.566504629627</v>
      </c>
      <c r="C4003" s="28" t="s">
        <v>95</v>
      </c>
      <c r="D4003" s="28" t="s">
        <v>1449</v>
      </c>
      <c r="E4003" s="28" t="s">
        <v>75</v>
      </c>
      <c r="F4003" s="28">
        <v>0</v>
      </c>
      <c r="G4003" s="28" t="s">
        <v>122</v>
      </c>
      <c r="H4003" s="28">
        <v>0</v>
      </c>
      <c r="J4003" s="92"/>
    </row>
    <row r="4004" spans="1:10" ht="15.75" customHeight="1">
      <c r="A4004" s="28">
        <v>20611</v>
      </c>
      <c r="B4004" s="91">
        <v>45202.559976851851</v>
      </c>
      <c r="C4004" s="28" t="s">
        <v>95</v>
      </c>
      <c r="D4004" s="28" t="s">
        <v>1450</v>
      </c>
      <c r="E4004" s="28" t="s">
        <v>75</v>
      </c>
      <c r="F4004" s="28">
        <v>70</v>
      </c>
      <c r="G4004" s="28">
        <v>1010113</v>
      </c>
      <c r="H4004" s="28">
        <v>0</v>
      </c>
      <c r="J4004" s="92"/>
    </row>
    <row r="4005" spans="1:10" ht="15.75" customHeight="1">
      <c r="A4005" s="28">
        <v>20611</v>
      </c>
      <c r="B4005" s="91">
        <v>45202.559976851851</v>
      </c>
      <c r="C4005" s="28" t="s">
        <v>95</v>
      </c>
      <c r="D4005" s="28" t="s">
        <v>1450</v>
      </c>
      <c r="E4005" s="28" t="s">
        <v>75</v>
      </c>
      <c r="F4005" s="28">
        <v>0</v>
      </c>
      <c r="G4005" s="28" t="s">
        <v>118</v>
      </c>
      <c r="H4005" s="28">
        <v>0</v>
      </c>
      <c r="J4005" s="92"/>
    </row>
    <row r="4006" spans="1:10" ht="15.75" customHeight="1">
      <c r="A4006" s="28">
        <v>20611</v>
      </c>
      <c r="B4006" s="91">
        <v>45202.559976851851</v>
      </c>
      <c r="C4006" s="28" t="s">
        <v>95</v>
      </c>
      <c r="D4006" s="28" t="s">
        <v>1450</v>
      </c>
      <c r="E4006" s="28" t="s">
        <v>75</v>
      </c>
      <c r="F4006" s="28">
        <v>0</v>
      </c>
      <c r="G4006" s="28" t="s">
        <v>119</v>
      </c>
      <c r="H4006" s="28">
        <v>0</v>
      </c>
      <c r="J4006" s="92"/>
    </row>
    <row r="4007" spans="1:10" ht="15.75" customHeight="1">
      <c r="A4007" s="28">
        <v>20611</v>
      </c>
      <c r="B4007" s="91">
        <v>45202.559976851851</v>
      </c>
      <c r="C4007" s="28" t="s">
        <v>95</v>
      </c>
      <c r="D4007" s="28" t="s">
        <v>1450</v>
      </c>
      <c r="E4007" s="28" t="s">
        <v>75</v>
      </c>
      <c r="F4007" s="28">
        <v>0</v>
      </c>
      <c r="G4007" s="28" t="s">
        <v>120</v>
      </c>
      <c r="H4007" s="28">
        <v>0</v>
      </c>
      <c r="J4007" s="92"/>
    </row>
    <row r="4008" spans="1:10" ht="15.75" customHeight="1">
      <c r="A4008" s="28">
        <v>20611</v>
      </c>
      <c r="B4008" s="91">
        <v>45202.559976851851</v>
      </c>
      <c r="C4008" s="28" t="s">
        <v>95</v>
      </c>
      <c r="D4008" s="28" t="s">
        <v>1450</v>
      </c>
      <c r="E4008" s="28" t="s">
        <v>75</v>
      </c>
      <c r="F4008" s="28">
        <v>0</v>
      </c>
      <c r="G4008" s="28" t="s">
        <v>121</v>
      </c>
      <c r="H4008" s="28">
        <v>0</v>
      </c>
      <c r="J4008" s="92"/>
    </row>
    <row r="4009" spans="1:10" ht="15.75" customHeight="1">
      <c r="A4009" s="28">
        <v>20611</v>
      </c>
      <c r="B4009" s="91">
        <v>45202.559976851851</v>
      </c>
      <c r="C4009" s="28" t="s">
        <v>95</v>
      </c>
      <c r="D4009" s="28" t="s">
        <v>1450</v>
      </c>
      <c r="E4009" s="28" t="s">
        <v>75</v>
      </c>
      <c r="F4009" s="28">
        <v>0</v>
      </c>
      <c r="G4009" s="28" t="s">
        <v>122</v>
      </c>
      <c r="H4009" s="28">
        <v>0</v>
      </c>
      <c r="J4009" s="92"/>
    </row>
    <row r="4010" spans="1:10" ht="15.75" customHeight="1">
      <c r="A4010" s="28">
        <v>20610</v>
      </c>
      <c r="B4010" s="91">
        <v>45202.023402777777</v>
      </c>
      <c r="C4010" s="28" t="s">
        <v>95</v>
      </c>
      <c r="D4010" s="28" t="s">
        <v>1451</v>
      </c>
      <c r="E4010" s="28" t="s">
        <v>75</v>
      </c>
      <c r="F4010" s="28">
        <v>20</v>
      </c>
      <c r="G4010" s="28"/>
      <c r="H4010" s="28">
        <v>0</v>
      </c>
      <c r="J4010" s="92"/>
    </row>
    <row r="4011" spans="1:10" ht="15.75" customHeight="1">
      <c r="A4011" s="28">
        <v>20610</v>
      </c>
      <c r="B4011" s="91">
        <v>45202.023402777777</v>
      </c>
      <c r="C4011" s="28" t="s">
        <v>95</v>
      </c>
      <c r="D4011" s="28" t="s">
        <v>1451</v>
      </c>
      <c r="E4011" s="28" t="s">
        <v>75</v>
      </c>
      <c r="F4011" s="28">
        <v>25</v>
      </c>
      <c r="G4011" s="28" t="s">
        <v>141</v>
      </c>
      <c r="H4011" s="28">
        <v>0</v>
      </c>
      <c r="J4011" s="92"/>
    </row>
    <row r="4012" spans="1:10" ht="15.75" customHeight="1">
      <c r="A4012" s="28">
        <v>20609</v>
      </c>
      <c r="B4012" s="91">
        <v>45201.954606481479</v>
      </c>
      <c r="C4012" s="28" t="s">
        <v>95</v>
      </c>
      <c r="D4012" s="28" t="s">
        <v>1452</v>
      </c>
      <c r="E4012" s="28" t="s">
        <v>76</v>
      </c>
      <c r="F4012" s="28">
        <v>15</v>
      </c>
      <c r="G4012" s="28" t="s">
        <v>1453</v>
      </c>
      <c r="H4012" s="28">
        <v>0</v>
      </c>
      <c r="J4012" s="92"/>
    </row>
    <row r="4013" spans="1:10" ht="15.75" customHeight="1">
      <c r="A4013" s="28">
        <v>20608</v>
      </c>
      <c r="B4013" s="91">
        <v>45201.635995370372</v>
      </c>
      <c r="C4013" s="28" t="s">
        <v>95</v>
      </c>
      <c r="D4013" s="28" t="s">
        <v>1454</v>
      </c>
      <c r="E4013" s="28" t="s">
        <v>76</v>
      </c>
      <c r="F4013" s="28">
        <v>26</v>
      </c>
      <c r="G4013" s="28" t="s">
        <v>1455</v>
      </c>
      <c r="H4013" s="28">
        <v>0</v>
      </c>
      <c r="J4013" s="92"/>
    </row>
    <row r="4014" spans="1:10" ht="15.75" customHeight="1">
      <c r="A4014" s="28">
        <v>20608</v>
      </c>
      <c r="B4014" s="91">
        <v>45201.635995370372</v>
      </c>
      <c r="C4014" s="28" t="s">
        <v>95</v>
      </c>
      <c r="D4014" s="28" t="s">
        <v>1454</v>
      </c>
      <c r="E4014" s="28" t="s">
        <v>76</v>
      </c>
      <c r="F4014" s="28">
        <v>26</v>
      </c>
      <c r="G4014" s="28" t="s">
        <v>1455</v>
      </c>
      <c r="H4014" s="28">
        <v>0</v>
      </c>
      <c r="J4014" s="92"/>
    </row>
    <row r="4015" spans="1:10" ht="15.75" customHeight="1">
      <c r="A4015" s="28">
        <v>20607</v>
      </c>
      <c r="B4015" s="91">
        <v>45201.091678240744</v>
      </c>
      <c r="C4015" s="28" t="s">
        <v>95</v>
      </c>
      <c r="D4015" s="28" t="s">
        <v>1456</v>
      </c>
      <c r="E4015" s="28" t="s">
        <v>75</v>
      </c>
      <c r="F4015" s="28">
        <v>55</v>
      </c>
      <c r="G4015" s="28" t="s">
        <v>1457</v>
      </c>
      <c r="H4015" s="28">
        <v>0</v>
      </c>
      <c r="J4015" s="92"/>
    </row>
    <row r="4016" spans="1:10" ht="15.75" customHeight="1">
      <c r="A4016" s="28">
        <v>20607</v>
      </c>
      <c r="B4016" s="91">
        <v>45201.091678240744</v>
      </c>
      <c r="C4016" s="28" t="s">
        <v>95</v>
      </c>
      <c r="D4016" s="28" t="s">
        <v>1456</v>
      </c>
      <c r="E4016" s="28" t="s">
        <v>75</v>
      </c>
      <c r="F4016" s="28">
        <v>26</v>
      </c>
      <c r="G4016" s="28" t="s">
        <v>1455</v>
      </c>
      <c r="H4016" s="28">
        <v>0</v>
      </c>
      <c r="J4016" s="92"/>
    </row>
    <row r="4017" spans="1:10" ht="15.75" customHeight="1">
      <c r="A4017" s="28">
        <v>20607</v>
      </c>
      <c r="B4017" s="91">
        <v>45201.091678240744</v>
      </c>
      <c r="C4017" s="28" t="s">
        <v>95</v>
      </c>
      <c r="D4017" s="28" t="s">
        <v>1456</v>
      </c>
      <c r="E4017" s="28" t="s">
        <v>75</v>
      </c>
      <c r="F4017" s="28">
        <v>28</v>
      </c>
      <c r="G4017" s="28" t="s">
        <v>1448</v>
      </c>
      <c r="H4017" s="28">
        <v>0</v>
      </c>
      <c r="J4017" s="92"/>
    </row>
    <row r="4018" spans="1:10" ht="15.75" customHeight="1">
      <c r="A4018" s="28">
        <v>20606</v>
      </c>
      <c r="B4018" s="91">
        <v>45201.049780092595</v>
      </c>
      <c r="C4018" s="28" t="s">
        <v>95</v>
      </c>
      <c r="D4018" s="28" t="s">
        <v>1336</v>
      </c>
      <c r="E4018" s="28" t="s">
        <v>75</v>
      </c>
      <c r="F4018" s="28">
        <v>28</v>
      </c>
      <c r="G4018" s="28" t="s">
        <v>1448</v>
      </c>
      <c r="H4018" s="28">
        <v>0</v>
      </c>
      <c r="J4018" s="92"/>
    </row>
    <row r="4019" spans="1:10" ht="15.75" customHeight="1">
      <c r="A4019" s="28">
        <v>20606</v>
      </c>
      <c r="B4019" s="91">
        <v>45201.049780092595</v>
      </c>
      <c r="C4019" s="28" t="s">
        <v>95</v>
      </c>
      <c r="D4019" s="28" t="s">
        <v>1336</v>
      </c>
      <c r="E4019" s="28" t="s">
        <v>75</v>
      </c>
      <c r="F4019" s="28">
        <v>55</v>
      </c>
      <c r="G4019" s="28" t="s">
        <v>1457</v>
      </c>
      <c r="H4019" s="28">
        <v>0</v>
      </c>
      <c r="J4019" s="92"/>
    </row>
    <row r="4020" spans="1:10" ht="15.75" customHeight="1">
      <c r="A4020" s="28">
        <v>20605</v>
      </c>
      <c r="B4020" s="91">
        <v>45201.041168981479</v>
      </c>
      <c r="C4020" s="28" t="s">
        <v>95</v>
      </c>
      <c r="D4020" s="28" t="s">
        <v>1458</v>
      </c>
      <c r="E4020" s="28" t="s">
        <v>75</v>
      </c>
      <c r="F4020" s="28">
        <v>22</v>
      </c>
      <c r="G4020" s="28" t="s">
        <v>1459</v>
      </c>
      <c r="H4020" s="28">
        <v>0</v>
      </c>
      <c r="J4020" s="92"/>
    </row>
    <row r="4021" spans="1:10" ht="15.75" customHeight="1">
      <c r="A4021" s="28">
        <v>20605</v>
      </c>
      <c r="B4021" s="91">
        <v>45201.041168981479</v>
      </c>
      <c r="C4021" s="28" t="s">
        <v>95</v>
      </c>
      <c r="D4021" s="28" t="s">
        <v>1458</v>
      </c>
      <c r="E4021" s="28" t="s">
        <v>75</v>
      </c>
      <c r="F4021" s="28">
        <v>15</v>
      </c>
      <c r="G4021" s="28" t="s">
        <v>1453</v>
      </c>
      <c r="H4021" s="28">
        <v>0</v>
      </c>
      <c r="J4021" s="92"/>
    </row>
    <row r="4022" spans="1:10" ht="15.75" customHeight="1">
      <c r="A4022" s="28">
        <v>20604</v>
      </c>
      <c r="B4022" s="91">
        <v>45200.93445601852</v>
      </c>
      <c r="C4022" s="28" t="s">
        <v>0</v>
      </c>
      <c r="D4022" s="28" t="s">
        <v>1460</v>
      </c>
      <c r="E4022" s="28" t="s">
        <v>28</v>
      </c>
      <c r="F4022" s="28">
        <v>15</v>
      </c>
      <c r="G4022" s="28" t="s">
        <v>1453</v>
      </c>
      <c r="H4022" s="28">
        <v>0</v>
      </c>
      <c r="J4022" s="92"/>
    </row>
    <row r="4023" spans="1:10" ht="15.75" customHeight="1">
      <c r="A4023" s="28">
        <v>20603</v>
      </c>
      <c r="B4023" s="91">
        <v>45200.600729166668</v>
      </c>
      <c r="C4023" s="28" t="s">
        <v>95</v>
      </c>
      <c r="D4023" s="28" t="s">
        <v>1461</v>
      </c>
      <c r="E4023" s="28" t="s">
        <v>75</v>
      </c>
      <c r="F4023" s="28">
        <v>0</v>
      </c>
      <c r="G4023" s="28" t="s">
        <v>141</v>
      </c>
      <c r="H4023" s="28">
        <v>0</v>
      </c>
      <c r="J4023" s="92"/>
    </row>
    <row r="4024" spans="1:10" ht="15.75" customHeight="1">
      <c r="A4024" s="28">
        <v>20603</v>
      </c>
      <c r="B4024" s="91">
        <v>45200.600729166668</v>
      </c>
      <c r="C4024" s="28" t="s">
        <v>95</v>
      </c>
      <c r="D4024" s="28" t="s">
        <v>1461</v>
      </c>
      <c r="E4024" s="28" t="s">
        <v>75</v>
      </c>
      <c r="F4024" s="28">
        <v>25</v>
      </c>
      <c r="G4024" s="28" t="s">
        <v>1462</v>
      </c>
      <c r="H4024" s="28">
        <v>0</v>
      </c>
      <c r="J4024" s="92"/>
    </row>
    <row r="4025" spans="1:10" ht="15.75" customHeight="1">
      <c r="A4025" s="28">
        <v>20603</v>
      </c>
      <c r="B4025" s="91">
        <v>45200.600729166668</v>
      </c>
      <c r="C4025" s="28" t="s">
        <v>95</v>
      </c>
      <c r="D4025" s="28" t="s">
        <v>1461</v>
      </c>
      <c r="E4025" s="28" t="s">
        <v>75</v>
      </c>
      <c r="F4025" s="28">
        <v>28</v>
      </c>
      <c r="G4025" s="28" t="s">
        <v>1448</v>
      </c>
      <c r="H4025" s="28">
        <v>0</v>
      </c>
      <c r="J4025" s="92"/>
    </row>
    <row r="4026" spans="1:10" ht="15.75" customHeight="1">
      <c r="A4026" s="28">
        <v>20602</v>
      </c>
      <c r="B4026" s="91">
        <v>45200.55810185185</v>
      </c>
      <c r="C4026" s="28" t="s">
        <v>10</v>
      </c>
      <c r="D4026" s="28" t="s">
        <v>1463</v>
      </c>
      <c r="E4026" s="28" t="s">
        <v>77</v>
      </c>
      <c r="F4026" s="28">
        <v>595</v>
      </c>
      <c r="G4026" s="28" t="s">
        <v>881</v>
      </c>
      <c r="H4026" s="28">
        <v>0</v>
      </c>
      <c r="J4026" s="92"/>
    </row>
    <row r="4027" spans="1:10" ht="15.75" customHeight="1">
      <c r="A4027" s="28">
        <v>20602</v>
      </c>
      <c r="B4027" s="91">
        <v>45200.55810185185</v>
      </c>
      <c r="C4027" s="28" t="s">
        <v>10</v>
      </c>
      <c r="D4027" s="28" t="s">
        <v>1463</v>
      </c>
      <c r="E4027" s="28" t="s">
        <v>77</v>
      </c>
      <c r="F4027" s="28">
        <v>0</v>
      </c>
      <c r="G4027" s="28" t="s">
        <v>882</v>
      </c>
      <c r="H4027" s="28">
        <v>0</v>
      </c>
      <c r="J4027" s="92"/>
    </row>
    <row r="4028" spans="1:10" ht="15.75" customHeight="1">
      <c r="A4028" s="28">
        <v>20602</v>
      </c>
      <c r="B4028" s="91">
        <v>45200.55810185185</v>
      </c>
      <c r="C4028" s="28" t="s">
        <v>10</v>
      </c>
      <c r="D4028" s="28" t="s">
        <v>1463</v>
      </c>
      <c r="E4028" s="28" t="s">
        <v>77</v>
      </c>
      <c r="F4028" s="28">
        <v>0</v>
      </c>
      <c r="G4028" s="28" t="s">
        <v>884</v>
      </c>
      <c r="H4028" s="28">
        <v>0</v>
      </c>
      <c r="J4028" s="92"/>
    </row>
    <row r="4029" spans="1:10" ht="15.75" customHeight="1">
      <c r="A4029" s="28">
        <v>20597</v>
      </c>
      <c r="B4029" s="91">
        <v>45200.526898148149</v>
      </c>
      <c r="C4029" s="28" t="s">
        <v>95</v>
      </c>
      <c r="D4029" s="28" t="s">
        <v>867</v>
      </c>
      <c r="E4029" s="28" t="s">
        <v>75</v>
      </c>
      <c r="F4029" s="28">
        <v>20</v>
      </c>
      <c r="G4029" s="28"/>
      <c r="H4029" s="28">
        <v>0</v>
      </c>
      <c r="J4029" s="92"/>
    </row>
    <row r="4030" spans="1:10" ht="15.75" customHeight="1">
      <c r="A4030" s="28">
        <v>20597</v>
      </c>
      <c r="B4030" s="91">
        <v>45200.526898148149</v>
      </c>
      <c r="C4030" s="28" t="s">
        <v>95</v>
      </c>
      <c r="D4030" s="28" t="s">
        <v>867</v>
      </c>
      <c r="E4030" s="28" t="s">
        <v>75</v>
      </c>
      <c r="F4030" s="28">
        <v>20</v>
      </c>
      <c r="G4030" s="28"/>
      <c r="H4030" s="28">
        <v>0</v>
      </c>
      <c r="J4030" s="92"/>
    </row>
    <row r="4031" spans="1:10" ht="15.75" customHeight="1">
      <c r="A4031" s="28">
        <v>20597</v>
      </c>
      <c r="B4031" s="91">
        <v>45200.526898148149</v>
      </c>
      <c r="C4031" s="28" t="s">
        <v>95</v>
      </c>
      <c r="D4031" s="28" t="s">
        <v>867</v>
      </c>
      <c r="E4031" s="28" t="s">
        <v>75</v>
      </c>
      <c r="F4031" s="28">
        <v>24</v>
      </c>
      <c r="G4031" s="28"/>
      <c r="H4031" s="28">
        <v>0</v>
      </c>
      <c r="J4031" s="92"/>
    </row>
    <row r="4032" spans="1:10" ht="15.75" customHeight="1">
      <c r="A4032" s="28">
        <v>20596</v>
      </c>
      <c r="B4032" s="91">
        <v>45199.824907407405</v>
      </c>
      <c r="C4032" s="28" t="s">
        <v>95</v>
      </c>
      <c r="D4032" s="28" t="s">
        <v>1464</v>
      </c>
      <c r="E4032" s="28" t="s">
        <v>75</v>
      </c>
      <c r="F4032" s="28">
        <v>35</v>
      </c>
      <c r="G4032" s="28" t="s">
        <v>1443</v>
      </c>
      <c r="H4032" s="28">
        <v>0</v>
      </c>
      <c r="J4032" s="92"/>
    </row>
    <row r="4033" spans="1:10" ht="15.75" customHeight="1">
      <c r="A4033" s="28">
        <v>20595</v>
      </c>
      <c r="B4033" s="91">
        <v>45199.776446759257</v>
      </c>
      <c r="C4033" s="28" t="s">
        <v>95</v>
      </c>
      <c r="D4033" s="28" t="s">
        <v>1465</v>
      </c>
      <c r="E4033" s="28" t="s">
        <v>75</v>
      </c>
      <c r="F4033" s="28">
        <v>25</v>
      </c>
      <c r="G4033" s="28" t="s">
        <v>1446</v>
      </c>
      <c r="H4033" s="28">
        <v>0</v>
      </c>
      <c r="J4033" s="92"/>
    </row>
    <row r="4034" spans="1:10" ht="15.75" customHeight="1">
      <c r="A4034" s="28">
        <v>20594</v>
      </c>
      <c r="B4034" s="91">
        <v>45199.695081018515</v>
      </c>
      <c r="C4034" s="28" t="s">
        <v>95</v>
      </c>
      <c r="D4034" s="28" t="s">
        <v>1466</v>
      </c>
      <c r="E4034" s="28" t="s">
        <v>75</v>
      </c>
      <c r="F4034" s="28">
        <v>24</v>
      </c>
      <c r="G4034" s="28"/>
      <c r="H4034" s="28">
        <v>0</v>
      </c>
      <c r="J4034" s="92"/>
    </row>
    <row r="4035" spans="1:10" ht="15.75" customHeight="1">
      <c r="A4035" s="28">
        <v>20590</v>
      </c>
      <c r="B4035" s="91">
        <v>45199.522407407407</v>
      </c>
      <c r="C4035" s="28" t="s">
        <v>95</v>
      </c>
      <c r="D4035" s="28" t="s">
        <v>1374</v>
      </c>
      <c r="E4035" s="28" t="s">
        <v>75</v>
      </c>
      <c r="F4035" s="28">
        <v>25</v>
      </c>
      <c r="G4035" s="28" t="s">
        <v>1446</v>
      </c>
      <c r="H4035" s="28">
        <v>0</v>
      </c>
      <c r="J4035" s="92"/>
    </row>
    <row r="4036" spans="1:10" ht="15.75" customHeight="1">
      <c r="A4036" s="28">
        <v>20589</v>
      </c>
      <c r="B4036" s="91">
        <v>45199.068043981482</v>
      </c>
      <c r="C4036" s="28" t="s">
        <v>95</v>
      </c>
      <c r="D4036" s="28" t="s">
        <v>1367</v>
      </c>
      <c r="E4036" s="28" t="s">
        <v>75</v>
      </c>
      <c r="F4036" s="28">
        <v>15</v>
      </c>
      <c r="G4036" s="28" t="s">
        <v>1467</v>
      </c>
      <c r="H4036" s="28">
        <v>0</v>
      </c>
      <c r="J4036" s="92"/>
    </row>
    <row r="4037" spans="1:10" ht="15.75" customHeight="1">
      <c r="A4037" s="28">
        <v>20589</v>
      </c>
      <c r="B4037" s="91">
        <v>45199.068043981482</v>
      </c>
      <c r="C4037" s="28" t="s">
        <v>95</v>
      </c>
      <c r="D4037" s="28" t="s">
        <v>1367</v>
      </c>
      <c r="E4037" s="28" t="s">
        <v>75</v>
      </c>
      <c r="F4037" s="28">
        <v>25</v>
      </c>
      <c r="G4037" s="28" t="s">
        <v>1446</v>
      </c>
      <c r="H4037" s="28">
        <v>0</v>
      </c>
      <c r="J4037" s="92"/>
    </row>
    <row r="4038" spans="1:10" ht="15.75" customHeight="1">
      <c r="A4038" s="28">
        <v>20588</v>
      </c>
      <c r="B4038" s="91">
        <v>45198.653483796297</v>
      </c>
      <c r="C4038" s="28" t="s">
        <v>95</v>
      </c>
      <c r="D4038" s="28" t="s">
        <v>1468</v>
      </c>
      <c r="E4038" s="28" t="s">
        <v>75</v>
      </c>
      <c r="F4038" s="28">
        <v>0</v>
      </c>
      <c r="G4038" s="28" t="s">
        <v>141</v>
      </c>
      <c r="H4038" s="28">
        <v>0</v>
      </c>
      <c r="J4038" s="92"/>
    </row>
    <row r="4039" spans="1:10" ht="15.75" customHeight="1">
      <c r="A4039" s="28">
        <v>20587</v>
      </c>
      <c r="B4039" s="91">
        <v>45198.630844907406</v>
      </c>
      <c r="C4039" s="28" t="s">
        <v>95</v>
      </c>
      <c r="D4039" s="28" t="s">
        <v>1469</v>
      </c>
      <c r="E4039" s="28" t="s">
        <v>75</v>
      </c>
      <c r="F4039" s="28">
        <v>0</v>
      </c>
      <c r="G4039" s="28" t="s">
        <v>141</v>
      </c>
      <c r="H4039" s="28">
        <v>0</v>
      </c>
      <c r="J4039" s="92"/>
    </row>
    <row r="4040" spans="1:10" ht="15.75" customHeight="1">
      <c r="A4040" s="28">
        <v>20587</v>
      </c>
      <c r="B4040" s="91">
        <v>45198.630844907406</v>
      </c>
      <c r="C4040" s="28" t="s">
        <v>95</v>
      </c>
      <c r="D4040" s="28" t="s">
        <v>1469</v>
      </c>
      <c r="E4040" s="28" t="s">
        <v>75</v>
      </c>
      <c r="F4040" s="28">
        <v>18</v>
      </c>
      <c r="G4040" s="28" t="s">
        <v>1470</v>
      </c>
      <c r="H4040" s="28">
        <v>0</v>
      </c>
      <c r="J4040" s="92"/>
    </row>
    <row r="4041" spans="1:10" ht="15.75" customHeight="1">
      <c r="A4041" s="28">
        <v>20587</v>
      </c>
      <c r="B4041" s="91">
        <v>45198.630844907406</v>
      </c>
      <c r="C4041" s="28" t="s">
        <v>95</v>
      </c>
      <c r="D4041" s="28" t="s">
        <v>1469</v>
      </c>
      <c r="E4041" s="28" t="s">
        <v>75</v>
      </c>
      <c r="F4041" s="28">
        <v>15</v>
      </c>
      <c r="G4041" s="28" t="s">
        <v>1453</v>
      </c>
      <c r="H4041" s="28">
        <v>0</v>
      </c>
      <c r="J4041" s="92"/>
    </row>
    <row r="4042" spans="1:10" ht="15.75" customHeight="1">
      <c r="A4042" s="28">
        <v>20586</v>
      </c>
      <c r="B4042" s="91">
        <v>45197.496493055558</v>
      </c>
      <c r="C4042" s="28" t="s">
        <v>95</v>
      </c>
      <c r="D4042" s="28" t="s">
        <v>1471</v>
      </c>
      <c r="E4042" s="28" t="s">
        <v>75</v>
      </c>
      <c r="F4042" s="28">
        <v>55</v>
      </c>
      <c r="G4042" s="28" t="s">
        <v>1457</v>
      </c>
      <c r="H4042" s="28">
        <v>0</v>
      </c>
      <c r="J4042" s="92"/>
    </row>
    <row r="4043" spans="1:10" ht="15.75" customHeight="1">
      <c r="A4043" s="28">
        <v>20585</v>
      </c>
      <c r="B4043" s="91">
        <v>45196.8753125</v>
      </c>
      <c r="C4043" s="28" t="s">
        <v>95</v>
      </c>
      <c r="D4043" s="28" t="s">
        <v>1472</v>
      </c>
      <c r="E4043" s="28" t="s">
        <v>75</v>
      </c>
      <c r="F4043" s="28">
        <v>15</v>
      </c>
      <c r="G4043" s="28" t="s">
        <v>1453</v>
      </c>
      <c r="H4043" s="28">
        <v>0</v>
      </c>
      <c r="J4043" s="92"/>
    </row>
    <row r="4044" spans="1:10" ht="15.75" customHeight="1">
      <c r="A4044" s="28">
        <v>20585</v>
      </c>
      <c r="B4044" s="91">
        <v>45196.8753125</v>
      </c>
      <c r="C4044" s="28" t="s">
        <v>95</v>
      </c>
      <c r="D4044" s="28" t="s">
        <v>1472</v>
      </c>
      <c r="E4044" s="28" t="s">
        <v>75</v>
      </c>
      <c r="F4044" s="28">
        <v>28</v>
      </c>
      <c r="G4044" s="28" t="s">
        <v>1448</v>
      </c>
      <c r="H4044" s="28">
        <v>0</v>
      </c>
      <c r="J4044" s="92"/>
    </row>
    <row r="4045" spans="1:10" ht="15.75" customHeight="1">
      <c r="A4045" s="28">
        <v>20585</v>
      </c>
      <c r="B4045" s="91">
        <v>45196.8753125</v>
      </c>
      <c r="C4045" s="28" t="s">
        <v>95</v>
      </c>
      <c r="D4045" s="28" t="s">
        <v>1472</v>
      </c>
      <c r="E4045" s="28" t="s">
        <v>75</v>
      </c>
      <c r="F4045" s="28">
        <v>0</v>
      </c>
      <c r="G4045" s="28" t="s">
        <v>141</v>
      </c>
      <c r="H4045" s="28">
        <v>0</v>
      </c>
      <c r="J4045" s="92"/>
    </row>
    <row r="4046" spans="1:10" ht="15.75" customHeight="1">
      <c r="A4046" s="28">
        <v>20584</v>
      </c>
      <c r="B4046" s="91">
        <v>45196.872337962966</v>
      </c>
      <c r="C4046" s="28" t="s">
        <v>95</v>
      </c>
      <c r="D4046" s="28" t="s">
        <v>1473</v>
      </c>
      <c r="E4046" s="28" t="s">
        <v>75</v>
      </c>
      <c r="F4046" s="28">
        <v>20</v>
      </c>
      <c r="G4046" s="28"/>
      <c r="H4046" s="28">
        <v>0</v>
      </c>
      <c r="J4046" s="92"/>
    </row>
    <row r="4047" spans="1:10" ht="15.75" customHeight="1">
      <c r="A4047" s="28">
        <v>20584</v>
      </c>
      <c r="B4047" s="91">
        <v>45196.872337962966</v>
      </c>
      <c r="C4047" s="28" t="s">
        <v>95</v>
      </c>
      <c r="D4047" s="28" t="s">
        <v>1473</v>
      </c>
      <c r="E4047" s="28" t="s">
        <v>75</v>
      </c>
      <c r="F4047" s="28">
        <v>15</v>
      </c>
      <c r="G4047" s="28" t="s">
        <v>1453</v>
      </c>
      <c r="H4047" s="28">
        <v>0</v>
      </c>
      <c r="J4047" s="92"/>
    </row>
    <row r="4048" spans="1:10" ht="15.75" customHeight="1">
      <c r="A4048" s="28">
        <v>20584</v>
      </c>
      <c r="B4048" s="91">
        <v>45196.872337962966</v>
      </c>
      <c r="C4048" s="28" t="s">
        <v>95</v>
      </c>
      <c r="D4048" s="28" t="s">
        <v>1473</v>
      </c>
      <c r="E4048" s="28" t="s">
        <v>75</v>
      </c>
      <c r="F4048" s="28">
        <v>28</v>
      </c>
      <c r="G4048" s="28" t="s">
        <v>1448</v>
      </c>
      <c r="H4048" s="28">
        <v>0</v>
      </c>
      <c r="J4048" s="92"/>
    </row>
    <row r="4049" spans="1:10" ht="15.75" customHeight="1">
      <c r="A4049" s="28">
        <v>20584</v>
      </c>
      <c r="B4049" s="91">
        <v>45196.872337962966</v>
      </c>
      <c r="C4049" s="28" t="s">
        <v>95</v>
      </c>
      <c r="D4049" s="28" t="s">
        <v>1473</v>
      </c>
      <c r="E4049" s="28" t="s">
        <v>75</v>
      </c>
      <c r="F4049" s="28">
        <v>0</v>
      </c>
      <c r="G4049" s="28" t="s">
        <v>141</v>
      </c>
      <c r="H4049" s="28">
        <v>0</v>
      </c>
      <c r="J4049" s="92"/>
    </row>
    <row r="4050" spans="1:10" ht="15.75" customHeight="1">
      <c r="A4050" s="28">
        <v>20583</v>
      </c>
      <c r="B4050" s="91">
        <v>45195.874699074076</v>
      </c>
      <c r="C4050" s="28" t="s">
        <v>95</v>
      </c>
      <c r="D4050" s="28" t="s">
        <v>1322</v>
      </c>
      <c r="E4050" s="28" t="s">
        <v>75</v>
      </c>
      <c r="F4050" s="28">
        <v>35</v>
      </c>
      <c r="G4050" s="28" t="s">
        <v>1443</v>
      </c>
      <c r="H4050" s="28">
        <v>0</v>
      </c>
      <c r="J4050" s="92"/>
    </row>
    <row r="4051" spans="1:10" ht="15.75" customHeight="1">
      <c r="A4051" s="28">
        <v>20582</v>
      </c>
      <c r="B4051" s="91">
        <v>45195.810972222222</v>
      </c>
      <c r="C4051" s="28" t="s">
        <v>95</v>
      </c>
      <c r="D4051" s="28" t="s">
        <v>1474</v>
      </c>
      <c r="E4051" s="28" t="s">
        <v>75</v>
      </c>
      <c r="F4051" s="28">
        <v>20</v>
      </c>
      <c r="G4051" s="28" t="s">
        <v>1475</v>
      </c>
      <c r="H4051" s="28">
        <v>0</v>
      </c>
      <c r="J4051" s="92"/>
    </row>
    <row r="4052" spans="1:10" ht="15.75" customHeight="1">
      <c r="A4052" s="28">
        <v>20582</v>
      </c>
      <c r="B4052" s="91">
        <v>45195.810972222222</v>
      </c>
      <c r="C4052" s="28" t="s">
        <v>95</v>
      </c>
      <c r="D4052" s="28" t="s">
        <v>1474</v>
      </c>
      <c r="E4052" s="28" t="s">
        <v>75</v>
      </c>
      <c r="F4052" s="28">
        <v>55</v>
      </c>
      <c r="G4052" s="28" t="s">
        <v>1457</v>
      </c>
      <c r="H4052" s="28">
        <v>0</v>
      </c>
      <c r="J4052" s="92"/>
    </row>
    <row r="4053" spans="1:10" ht="15.75" customHeight="1">
      <c r="A4053" s="28">
        <v>20581</v>
      </c>
      <c r="B4053" s="91">
        <v>45195.506064814814</v>
      </c>
      <c r="C4053" s="28" t="s">
        <v>95</v>
      </c>
      <c r="D4053" s="28" t="s">
        <v>1378</v>
      </c>
      <c r="E4053" s="28" t="s">
        <v>75</v>
      </c>
      <c r="F4053" s="28">
        <v>28</v>
      </c>
      <c r="G4053" s="28" t="s">
        <v>1448</v>
      </c>
      <c r="H4053" s="28">
        <v>0</v>
      </c>
      <c r="J4053" s="92"/>
    </row>
    <row r="4054" spans="1:10" ht="15.75" customHeight="1">
      <c r="A4054" s="28">
        <v>20580</v>
      </c>
      <c r="B4054" s="91">
        <v>45195.504826388889</v>
      </c>
      <c r="C4054" s="28" t="s">
        <v>95</v>
      </c>
      <c r="D4054" s="28" t="s">
        <v>1476</v>
      </c>
      <c r="E4054" s="28" t="s">
        <v>75</v>
      </c>
      <c r="F4054" s="28">
        <v>28</v>
      </c>
      <c r="G4054" s="28" t="s">
        <v>1448</v>
      </c>
      <c r="H4054" s="28">
        <v>0</v>
      </c>
      <c r="J4054" s="92"/>
    </row>
    <row r="4055" spans="1:10" ht="15.75" customHeight="1">
      <c r="A4055" s="28">
        <v>20579</v>
      </c>
      <c r="B4055" s="91">
        <v>45195.502326388887</v>
      </c>
      <c r="C4055" s="28" t="s">
        <v>95</v>
      </c>
      <c r="D4055" s="28" t="s">
        <v>1477</v>
      </c>
      <c r="E4055" s="28" t="s">
        <v>75</v>
      </c>
      <c r="F4055" s="28">
        <v>25</v>
      </c>
      <c r="G4055" s="28"/>
      <c r="H4055" s="28">
        <v>0</v>
      </c>
      <c r="J4055" s="92"/>
    </row>
    <row r="4056" spans="1:10" ht="15.75" customHeight="1">
      <c r="A4056" s="28">
        <v>20579</v>
      </c>
      <c r="B4056" s="91">
        <v>45195.502326388887</v>
      </c>
      <c r="C4056" s="28" t="s">
        <v>95</v>
      </c>
      <c r="D4056" s="28" t="s">
        <v>1477</v>
      </c>
      <c r="E4056" s="28" t="s">
        <v>75</v>
      </c>
      <c r="F4056" s="28">
        <v>28</v>
      </c>
      <c r="G4056" s="28" t="s">
        <v>1448</v>
      </c>
      <c r="H4056" s="28">
        <v>0</v>
      </c>
      <c r="J4056" s="92"/>
    </row>
    <row r="4057" spans="1:10" ht="15.75" customHeight="1">
      <c r="A4057" s="28">
        <v>20569</v>
      </c>
      <c r="B4057" s="91">
        <v>45194.074074074073</v>
      </c>
      <c r="C4057" s="28" t="s">
        <v>95</v>
      </c>
      <c r="D4057" s="28" t="s">
        <v>1317</v>
      </c>
      <c r="E4057" s="28" t="s">
        <v>75</v>
      </c>
      <c r="F4057" s="28">
        <v>25</v>
      </c>
      <c r="G4057" s="28" t="s">
        <v>1446</v>
      </c>
      <c r="H4057" s="28">
        <v>0</v>
      </c>
      <c r="J4057" s="92"/>
    </row>
    <row r="4058" spans="1:10" ht="15.75" customHeight="1">
      <c r="A4058" s="28">
        <v>20568</v>
      </c>
      <c r="B4058" s="91">
        <v>45193.930428240739</v>
      </c>
      <c r="C4058" s="28" t="s">
        <v>95</v>
      </c>
      <c r="D4058" s="28" t="s">
        <v>1478</v>
      </c>
      <c r="E4058" s="28" t="s">
        <v>75</v>
      </c>
      <c r="F4058" s="28">
        <v>55</v>
      </c>
      <c r="G4058" s="28" t="s">
        <v>1457</v>
      </c>
      <c r="H4058" s="28">
        <v>0</v>
      </c>
      <c r="J4058" s="92"/>
    </row>
    <row r="4059" spans="1:10" ht="15.75" customHeight="1">
      <c r="A4059" s="28">
        <v>20568</v>
      </c>
      <c r="B4059" s="91">
        <v>45193.930428240739</v>
      </c>
      <c r="C4059" s="28" t="s">
        <v>95</v>
      </c>
      <c r="D4059" s="28" t="s">
        <v>1478</v>
      </c>
      <c r="E4059" s="28" t="s">
        <v>75</v>
      </c>
      <c r="F4059" s="28">
        <v>26</v>
      </c>
      <c r="G4059" s="28" t="s">
        <v>1455</v>
      </c>
      <c r="H4059" s="28">
        <v>0</v>
      </c>
      <c r="J4059" s="92"/>
    </row>
    <row r="4060" spans="1:10" ht="15.75" customHeight="1">
      <c r="A4060" s="28">
        <v>20567</v>
      </c>
      <c r="B4060" s="91">
        <v>45193.871192129627</v>
      </c>
      <c r="C4060" s="28" t="s">
        <v>95</v>
      </c>
      <c r="D4060" s="28" t="s">
        <v>1479</v>
      </c>
      <c r="E4060" s="28" t="s">
        <v>75</v>
      </c>
      <c r="F4060" s="28">
        <v>15</v>
      </c>
      <c r="G4060" s="28" t="s">
        <v>1453</v>
      </c>
      <c r="H4060" s="28">
        <v>0</v>
      </c>
      <c r="J4060" s="92"/>
    </row>
    <row r="4061" spans="1:10" ht="15.75" customHeight="1">
      <c r="A4061" s="28">
        <v>20566</v>
      </c>
      <c r="B4061" s="91">
        <v>45193.75203703704</v>
      </c>
      <c r="C4061" s="28" t="s">
        <v>95</v>
      </c>
      <c r="D4061" s="28" t="s">
        <v>1480</v>
      </c>
      <c r="E4061" s="28" t="s">
        <v>75</v>
      </c>
      <c r="F4061" s="28">
        <v>35</v>
      </c>
      <c r="G4061" s="28" t="s">
        <v>1443</v>
      </c>
      <c r="H4061" s="28">
        <v>0</v>
      </c>
      <c r="J4061" s="92"/>
    </row>
    <row r="4062" spans="1:10" ht="15.75" customHeight="1">
      <c r="A4062" s="28">
        <v>20565</v>
      </c>
      <c r="B4062" s="91">
        <v>45193.691736111112</v>
      </c>
      <c r="C4062" s="28" t="s">
        <v>95</v>
      </c>
      <c r="D4062" s="28" t="s">
        <v>1481</v>
      </c>
      <c r="E4062" s="28" t="s">
        <v>75</v>
      </c>
      <c r="F4062" s="28">
        <v>28</v>
      </c>
      <c r="G4062" s="28" t="s">
        <v>1448</v>
      </c>
      <c r="H4062" s="28">
        <v>0</v>
      </c>
      <c r="J4062" s="92"/>
    </row>
    <row r="4063" spans="1:10" ht="15.75" customHeight="1">
      <c r="A4063" s="28">
        <v>20565</v>
      </c>
      <c r="B4063" s="91">
        <v>45193.691736111112</v>
      </c>
      <c r="C4063" s="28" t="s">
        <v>95</v>
      </c>
      <c r="D4063" s="28" t="s">
        <v>1481</v>
      </c>
      <c r="E4063" s="28" t="s">
        <v>75</v>
      </c>
      <c r="F4063" s="28">
        <v>0</v>
      </c>
      <c r="G4063" s="28" t="s">
        <v>141</v>
      </c>
      <c r="H4063" s="28">
        <v>0</v>
      </c>
      <c r="J4063" s="92"/>
    </row>
    <row r="4064" spans="1:10" ht="15.75" customHeight="1">
      <c r="A4064" s="28">
        <v>20564</v>
      </c>
      <c r="B4064" s="91">
        <v>45193.691689814812</v>
      </c>
      <c r="C4064" s="28" t="s">
        <v>95</v>
      </c>
      <c r="D4064" s="28" t="s">
        <v>1358</v>
      </c>
      <c r="E4064" s="28" t="s">
        <v>75</v>
      </c>
      <c r="F4064" s="28">
        <v>35</v>
      </c>
      <c r="G4064" s="28" t="s">
        <v>1443</v>
      </c>
      <c r="H4064" s="28">
        <v>0</v>
      </c>
      <c r="J4064" s="92"/>
    </row>
    <row r="4065" spans="1:10" ht="15.75" customHeight="1">
      <c r="A4065" s="28">
        <v>20563</v>
      </c>
      <c r="B4065" s="91">
        <v>45193.689652777779</v>
      </c>
      <c r="C4065" s="28" t="s">
        <v>95</v>
      </c>
      <c r="D4065" s="28" t="s">
        <v>1482</v>
      </c>
      <c r="E4065" s="28" t="s">
        <v>75</v>
      </c>
      <c r="F4065" s="28">
        <v>35</v>
      </c>
      <c r="G4065" s="28" t="s">
        <v>1443</v>
      </c>
      <c r="H4065" s="28">
        <v>0</v>
      </c>
      <c r="J4065" s="92"/>
    </row>
    <row r="4066" spans="1:10" ht="15.75" customHeight="1">
      <c r="A4066" s="28">
        <v>20562</v>
      </c>
      <c r="B4066" s="91">
        <v>45193.687210648146</v>
      </c>
      <c r="C4066" s="28" t="s">
        <v>95</v>
      </c>
      <c r="D4066" s="28" t="s">
        <v>1483</v>
      </c>
      <c r="E4066" s="28" t="s">
        <v>75</v>
      </c>
      <c r="F4066" s="28">
        <v>22</v>
      </c>
      <c r="G4066" s="28" t="s">
        <v>1459</v>
      </c>
      <c r="H4066" s="28">
        <v>0</v>
      </c>
      <c r="J4066" s="92"/>
    </row>
    <row r="4067" spans="1:10" ht="15.75" customHeight="1">
      <c r="A4067" s="28">
        <v>20561</v>
      </c>
      <c r="B4067" s="91">
        <v>45193.686238425929</v>
      </c>
      <c r="C4067" s="28" t="s">
        <v>95</v>
      </c>
      <c r="D4067" s="28" t="s">
        <v>1484</v>
      </c>
      <c r="E4067" s="28" t="s">
        <v>75</v>
      </c>
      <c r="F4067" s="28">
        <v>35</v>
      </c>
      <c r="G4067" s="28" t="s">
        <v>1443</v>
      </c>
      <c r="H4067" s="28">
        <v>0</v>
      </c>
      <c r="J4067" s="92"/>
    </row>
    <row r="4068" spans="1:10" ht="15.75" customHeight="1">
      <c r="A4068" s="28">
        <v>20560</v>
      </c>
      <c r="B4068" s="91">
        <v>45193.683206018519</v>
      </c>
      <c r="C4068" s="28" t="s">
        <v>95</v>
      </c>
      <c r="D4068" s="28" t="s">
        <v>1485</v>
      </c>
      <c r="E4068" s="28" t="s">
        <v>75</v>
      </c>
      <c r="F4068" s="28">
        <v>55</v>
      </c>
      <c r="G4068" s="28" t="s">
        <v>1457</v>
      </c>
      <c r="H4068" s="28">
        <v>0</v>
      </c>
      <c r="J4068" s="92"/>
    </row>
    <row r="4069" spans="1:10" ht="15.75" customHeight="1">
      <c r="A4069" s="28">
        <v>20559</v>
      </c>
      <c r="B4069" s="91">
        <v>45193.682164351849</v>
      </c>
      <c r="C4069" s="28" t="s">
        <v>52</v>
      </c>
      <c r="D4069" s="28" t="s">
        <v>1486</v>
      </c>
      <c r="E4069" s="28" t="s">
        <v>75</v>
      </c>
      <c r="F4069" s="28">
        <v>35</v>
      </c>
      <c r="G4069" s="28" t="s">
        <v>124</v>
      </c>
      <c r="H4069" s="28">
        <v>0</v>
      </c>
      <c r="J4069" s="92"/>
    </row>
    <row r="4070" spans="1:10" ht="15.75" customHeight="1">
      <c r="A4070" s="28">
        <v>20559</v>
      </c>
      <c r="B4070" s="91">
        <v>45193.682164351849</v>
      </c>
      <c r="C4070" s="28" t="s">
        <v>52</v>
      </c>
      <c r="D4070" s="28" t="s">
        <v>1486</v>
      </c>
      <c r="E4070" s="28" t="s">
        <v>75</v>
      </c>
      <c r="F4070" s="28">
        <v>0</v>
      </c>
      <c r="G4070" s="28" t="s">
        <v>125</v>
      </c>
      <c r="H4070" s="28">
        <v>0</v>
      </c>
      <c r="J4070" s="92"/>
    </row>
    <row r="4071" spans="1:10" ht="15.75" customHeight="1">
      <c r="A4071" s="28">
        <v>20559</v>
      </c>
      <c r="B4071" s="91">
        <v>45193.682164351849</v>
      </c>
      <c r="C4071" s="28" t="s">
        <v>52</v>
      </c>
      <c r="D4071" s="28" t="s">
        <v>1486</v>
      </c>
      <c r="E4071" s="28" t="s">
        <v>75</v>
      </c>
      <c r="F4071" s="28">
        <v>0</v>
      </c>
      <c r="G4071" s="28" t="s">
        <v>119</v>
      </c>
      <c r="H4071" s="28">
        <v>0</v>
      </c>
      <c r="J4071" s="92"/>
    </row>
    <row r="4072" spans="1:10" ht="15.75" customHeight="1">
      <c r="A4072" s="28">
        <v>20559</v>
      </c>
      <c r="B4072" s="91">
        <v>45193.682164351849</v>
      </c>
      <c r="C4072" s="28" t="s">
        <v>52</v>
      </c>
      <c r="D4072" s="28" t="s">
        <v>1486</v>
      </c>
      <c r="E4072" s="28" t="s">
        <v>75</v>
      </c>
      <c r="F4072" s="28">
        <v>0</v>
      </c>
      <c r="G4072" s="28" t="s">
        <v>121</v>
      </c>
      <c r="H4072" s="28">
        <v>0</v>
      </c>
      <c r="J4072" s="92"/>
    </row>
    <row r="4073" spans="1:10" ht="15.75" customHeight="1">
      <c r="A4073" s="28">
        <v>20558</v>
      </c>
      <c r="B4073" s="91">
        <v>45193.679965277777</v>
      </c>
      <c r="C4073" s="28" t="s">
        <v>95</v>
      </c>
      <c r="D4073" s="28" t="s">
        <v>1486</v>
      </c>
      <c r="E4073" s="28" t="s">
        <v>75</v>
      </c>
      <c r="F4073" s="28">
        <v>35</v>
      </c>
      <c r="G4073" s="28" t="s">
        <v>124</v>
      </c>
      <c r="H4073" s="28">
        <v>0</v>
      </c>
      <c r="J4073" s="92"/>
    </row>
    <row r="4074" spans="1:10" ht="15.75" customHeight="1">
      <c r="A4074" s="28">
        <v>20558</v>
      </c>
      <c r="B4074" s="91">
        <v>45193.679965277777</v>
      </c>
      <c r="C4074" s="28" t="s">
        <v>95</v>
      </c>
      <c r="D4074" s="28" t="s">
        <v>1486</v>
      </c>
      <c r="E4074" s="28" t="s">
        <v>75</v>
      </c>
      <c r="F4074" s="28">
        <v>0</v>
      </c>
      <c r="G4074" s="28" t="s">
        <v>125</v>
      </c>
      <c r="H4074" s="28">
        <v>0</v>
      </c>
      <c r="J4074" s="92"/>
    </row>
    <row r="4075" spans="1:10" ht="15.75" customHeight="1">
      <c r="A4075" s="28">
        <v>20558</v>
      </c>
      <c r="B4075" s="91">
        <v>45193.679965277777</v>
      </c>
      <c r="C4075" s="28" t="s">
        <v>95</v>
      </c>
      <c r="D4075" s="28" t="s">
        <v>1486</v>
      </c>
      <c r="E4075" s="28" t="s">
        <v>75</v>
      </c>
      <c r="F4075" s="28">
        <v>0</v>
      </c>
      <c r="G4075" s="28" t="s">
        <v>119</v>
      </c>
      <c r="H4075" s="28">
        <v>0</v>
      </c>
      <c r="J4075" s="92"/>
    </row>
    <row r="4076" spans="1:10" ht="15.75" customHeight="1">
      <c r="A4076" s="28">
        <v>20558</v>
      </c>
      <c r="B4076" s="91">
        <v>45193.679965277777</v>
      </c>
      <c r="C4076" s="28" t="s">
        <v>95</v>
      </c>
      <c r="D4076" s="28" t="s">
        <v>1486</v>
      </c>
      <c r="E4076" s="28" t="s">
        <v>75</v>
      </c>
      <c r="F4076" s="28">
        <v>0</v>
      </c>
      <c r="G4076" s="28" t="s">
        <v>121</v>
      </c>
      <c r="H4076" s="28">
        <v>0</v>
      </c>
      <c r="J4076" s="92"/>
    </row>
    <row r="4077" spans="1:10" ht="15.75" customHeight="1">
      <c r="A4077" s="28">
        <v>20557</v>
      </c>
      <c r="B4077" s="91">
        <v>45193.674247685187</v>
      </c>
      <c r="C4077" s="28" t="s">
        <v>95</v>
      </c>
      <c r="D4077" s="28" t="s">
        <v>1487</v>
      </c>
      <c r="E4077" s="28" t="s">
        <v>75</v>
      </c>
      <c r="F4077" s="28">
        <v>35</v>
      </c>
      <c r="G4077" s="28" t="s">
        <v>1443</v>
      </c>
      <c r="H4077" s="28">
        <v>0</v>
      </c>
      <c r="J4077" s="92"/>
    </row>
    <row r="4078" spans="1:10" ht="15.75" customHeight="1">
      <c r="A4078" s="28">
        <v>20556</v>
      </c>
      <c r="B4078" s="91">
        <v>45193.665995370371</v>
      </c>
      <c r="C4078" s="28" t="s">
        <v>95</v>
      </c>
      <c r="D4078" s="28" t="s">
        <v>1173</v>
      </c>
      <c r="E4078" s="28" t="s">
        <v>75</v>
      </c>
      <c r="F4078" s="28">
        <v>35</v>
      </c>
      <c r="G4078" s="28" t="s">
        <v>1443</v>
      </c>
      <c r="H4078" s="28">
        <v>0</v>
      </c>
      <c r="J4078" s="92"/>
    </row>
    <row r="4079" spans="1:10" ht="15.75" customHeight="1">
      <c r="A4079" s="28">
        <v>20555</v>
      </c>
      <c r="B4079" s="91">
        <v>45193.659733796296</v>
      </c>
      <c r="C4079" s="28" t="s">
        <v>95</v>
      </c>
      <c r="D4079" s="28" t="s">
        <v>1488</v>
      </c>
      <c r="E4079" s="28" t="s">
        <v>75</v>
      </c>
      <c r="F4079" s="28">
        <v>35</v>
      </c>
      <c r="G4079" s="28" t="s">
        <v>1443</v>
      </c>
      <c r="H4079" s="28">
        <v>0</v>
      </c>
      <c r="J4079" s="92"/>
    </row>
    <row r="4080" spans="1:10" ht="15.75" customHeight="1">
      <c r="A4080" s="28">
        <v>20554</v>
      </c>
      <c r="B4080" s="91">
        <v>45193.659641203703</v>
      </c>
      <c r="C4080" s="28" t="s">
        <v>95</v>
      </c>
      <c r="D4080" s="28" t="s">
        <v>1424</v>
      </c>
      <c r="E4080" s="28" t="s">
        <v>75</v>
      </c>
      <c r="F4080" s="28">
        <v>15</v>
      </c>
      <c r="G4080" s="28" t="s">
        <v>1467</v>
      </c>
      <c r="H4080" s="28">
        <v>0</v>
      </c>
      <c r="J4080" s="92"/>
    </row>
    <row r="4081" spans="1:10" ht="15.75" customHeight="1">
      <c r="A4081" s="28">
        <v>20554</v>
      </c>
      <c r="B4081" s="91">
        <v>45193.659641203703</v>
      </c>
      <c r="C4081" s="28" t="s">
        <v>95</v>
      </c>
      <c r="D4081" s="28" t="s">
        <v>1424</v>
      </c>
      <c r="E4081" s="28" t="s">
        <v>75</v>
      </c>
      <c r="F4081" s="28">
        <v>22</v>
      </c>
      <c r="G4081" s="28" t="s">
        <v>1459</v>
      </c>
      <c r="H4081" s="28">
        <v>0</v>
      </c>
      <c r="J4081" s="92"/>
    </row>
    <row r="4082" spans="1:10" ht="15.75" customHeight="1">
      <c r="A4082" s="28">
        <v>20553</v>
      </c>
      <c r="B4082" s="91">
        <v>45193.657581018517</v>
      </c>
      <c r="C4082" s="28" t="s">
        <v>95</v>
      </c>
      <c r="D4082" s="28" t="s">
        <v>1489</v>
      </c>
      <c r="E4082" s="28" t="s">
        <v>75</v>
      </c>
      <c r="F4082" s="28">
        <v>35</v>
      </c>
      <c r="G4082" s="28" t="s">
        <v>124</v>
      </c>
      <c r="H4082" s="28">
        <v>0</v>
      </c>
      <c r="J4082" s="92"/>
    </row>
    <row r="4083" spans="1:10" ht="15.75" customHeight="1">
      <c r="A4083" s="28">
        <v>20553</v>
      </c>
      <c r="B4083" s="91">
        <v>45193.657581018517</v>
      </c>
      <c r="C4083" s="28" t="s">
        <v>95</v>
      </c>
      <c r="D4083" s="28" t="s">
        <v>1489</v>
      </c>
      <c r="E4083" s="28" t="s">
        <v>75</v>
      </c>
      <c r="F4083" s="28">
        <v>0</v>
      </c>
      <c r="G4083" s="28" t="s">
        <v>125</v>
      </c>
      <c r="H4083" s="28">
        <v>0</v>
      </c>
      <c r="J4083" s="92"/>
    </row>
    <row r="4084" spans="1:10" ht="15.75" customHeight="1">
      <c r="A4084" s="28">
        <v>20553</v>
      </c>
      <c r="B4084" s="91">
        <v>45193.657581018517</v>
      </c>
      <c r="C4084" s="28" t="s">
        <v>95</v>
      </c>
      <c r="D4084" s="28" t="s">
        <v>1489</v>
      </c>
      <c r="E4084" s="28" t="s">
        <v>75</v>
      </c>
      <c r="F4084" s="28">
        <v>0</v>
      </c>
      <c r="G4084" s="28" t="s">
        <v>119</v>
      </c>
      <c r="H4084" s="28">
        <v>0</v>
      </c>
      <c r="J4084" s="92"/>
    </row>
    <row r="4085" spans="1:10" ht="15.75" customHeight="1">
      <c r="A4085" s="28">
        <v>20553</v>
      </c>
      <c r="B4085" s="91">
        <v>45193.657581018517</v>
      </c>
      <c r="C4085" s="28" t="s">
        <v>95</v>
      </c>
      <c r="D4085" s="28" t="s">
        <v>1489</v>
      </c>
      <c r="E4085" s="28" t="s">
        <v>75</v>
      </c>
      <c r="F4085" s="28">
        <v>0</v>
      </c>
      <c r="G4085" s="28" t="s">
        <v>121</v>
      </c>
      <c r="H4085" s="28">
        <v>0</v>
      </c>
      <c r="J4085" s="92"/>
    </row>
    <row r="4086" spans="1:10" ht="15.75" customHeight="1">
      <c r="A4086" s="28">
        <v>20552</v>
      </c>
      <c r="B4086" s="91">
        <v>45193.640300925923</v>
      </c>
      <c r="C4086" s="28" t="s">
        <v>5</v>
      </c>
      <c r="D4086" s="28" t="s">
        <v>1330</v>
      </c>
      <c r="E4086" s="28" t="s">
        <v>75</v>
      </c>
      <c r="F4086" s="28">
        <v>25</v>
      </c>
      <c r="G4086" s="28">
        <v>100692</v>
      </c>
      <c r="H4086" s="28">
        <v>0</v>
      </c>
      <c r="J4086" s="92"/>
    </row>
    <row r="4087" spans="1:10" ht="15.75" customHeight="1">
      <c r="A4087" s="28">
        <v>20552</v>
      </c>
      <c r="B4087" s="91">
        <v>45193.640300925923</v>
      </c>
      <c r="C4087" s="28" t="s">
        <v>5</v>
      </c>
      <c r="D4087" s="28" t="s">
        <v>1330</v>
      </c>
      <c r="E4087" s="28" t="s">
        <v>75</v>
      </c>
      <c r="F4087" s="28">
        <v>0</v>
      </c>
      <c r="G4087" s="28" t="s">
        <v>125</v>
      </c>
      <c r="H4087" s="28">
        <v>0</v>
      </c>
      <c r="J4087" s="92"/>
    </row>
    <row r="4088" spans="1:10" ht="15.75" customHeight="1">
      <c r="A4088" s="28">
        <v>20552</v>
      </c>
      <c r="B4088" s="91">
        <v>45193.640300925923</v>
      </c>
      <c r="C4088" s="28" t="s">
        <v>5</v>
      </c>
      <c r="D4088" s="28" t="s">
        <v>1330</v>
      </c>
      <c r="E4088" s="28" t="s">
        <v>75</v>
      </c>
      <c r="F4088" s="28">
        <v>0</v>
      </c>
      <c r="G4088" s="28" t="s">
        <v>119</v>
      </c>
      <c r="H4088" s="28">
        <v>0</v>
      </c>
      <c r="J4088" s="92"/>
    </row>
    <row r="4089" spans="1:10" ht="15.75" customHeight="1">
      <c r="A4089" s="28">
        <v>20552</v>
      </c>
      <c r="B4089" s="91">
        <v>45193.640300925923</v>
      </c>
      <c r="C4089" s="28" t="s">
        <v>5</v>
      </c>
      <c r="D4089" s="28" t="s">
        <v>1330</v>
      </c>
      <c r="E4089" s="28" t="s">
        <v>75</v>
      </c>
      <c r="F4089" s="28">
        <v>15</v>
      </c>
      <c r="G4089" s="28" t="s">
        <v>1467</v>
      </c>
      <c r="H4089" s="28">
        <v>0</v>
      </c>
      <c r="J4089" s="92"/>
    </row>
    <row r="4090" spans="1:10" ht="15.75" customHeight="1">
      <c r="A4090" s="28">
        <v>20551</v>
      </c>
      <c r="B4090" s="91">
        <v>45193.635405092595</v>
      </c>
      <c r="C4090" s="28" t="s">
        <v>95</v>
      </c>
      <c r="D4090" s="28" t="s">
        <v>1490</v>
      </c>
      <c r="E4090" s="28" t="s">
        <v>75</v>
      </c>
      <c r="F4090" s="28">
        <v>25</v>
      </c>
      <c r="G4090" s="28" t="s">
        <v>1446</v>
      </c>
      <c r="H4090" s="28">
        <v>0</v>
      </c>
      <c r="J4090" s="92"/>
    </row>
    <row r="4091" spans="1:10" ht="15.75" customHeight="1">
      <c r="A4091" s="28">
        <v>20551</v>
      </c>
      <c r="B4091" s="91">
        <v>45193.635405092595</v>
      </c>
      <c r="C4091" s="28" t="s">
        <v>95</v>
      </c>
      <c r="D4091" s="28" t="s">
        <v>1490</v>
      </c>
      <c r="E4091" s="28" t="s">
        <v>75</v>
      </c>
      <c r="F4091" s="28">
        <v>20</v>
      </c>
      <c r="G4091" s="28">
        <v>100252</v>
      </c>
      <c r="H4091" s="28">
        <v>0</v>
      </c>
      <c r="J4091" s="92"/>
    </row>
    <row r="4092" spans="1:10" ht="15.75" customHeight="1">
      <c r="A4092" s="28">
        <v>20550</v>
      </c>
      <c r="B4092" s="91">
        <v>45193.633252314816</v>
      </c>
      <c r="C4092" s="28" t="s">
        <v>95</v>
      </c>
      <c r="D4092" s="28" t="s">
        <v>1491</v>
      </c>
      <c r="E4092" s="28" t="s">
        <v>75</v>
      </c>
      <c r="F4092" s="28">
        <v>25</v>
      </c>
      <c r="G4092" s="28" t="s">
        <v>1446</v>
      </c>
      <c r="H4092" s="28">
        <v>0</v>
      </c>
      <c r="J4092" s="92"/>
    </row>
    <row r="4093" spans="1:10" ht="15.75" customHeight="1">
      <c r="A4093" s="28">
        <v>20549</v>
      </c>
      <c r="B4093" s="91">
        <v>45193.618564814817</v>
      </c>
      <c r="C4093" s="28" t="s">
        <v>95</v>
      </c>
      <c r="D4093" s="28" t="s">
        <v>1432</v>
      </c>
      <c r="E4093" s="28" t="s">
        <v>75</v>
      </c>
      <c r="F4093" s="28">
        <v>35</v>
      </c>
      <c r="G4093" s="28" t="s">
        <v>1443</v>
      </c>
      <c r="H4093" s="28">
        <v>0</v>
      </c>
      <c r="J4093" s="92"/>
    </row>
    <row r="4094" spans="1:10" ht="15.75" customHeight="1">
      <c r="A4094" s="28">
        <v>20549</v>
      </c>
      <c r="B4094" s="91">
        <v>45193.618564814817</v>
      </c>
      <c r="C4094" s="28" t="s">
        <v>95</v>
      </c>
      <c r="D4094" s="28" t="s">
        <v>1432</v>
      </c>
      <c r="E4094" s="28" t="s">
        <v>75</v>
      </c>
      <c r="F4094" s="28">
        <v>0</v>
      </c>
      <c r="G4094" s="28" t="s">
        <v>141</v>
      </c>
      <c r="H4094" s="28">
        <v>0</v>
      </c>
      <c r="J4094" s="92"/>
    </row>
    <row r="4095" spans="1:10" ht="15.75" customHeight="1">
      <c r="A4095" s="28">
        <v>20548</v>
      </c>
      <c r="B4095" s="91">
        <v>45193.606111111112</v>
      </c>
      <c r="C4095" s="28" t="s">
        <v>95</v>
      </c>
      <c r="D4095" s="28" t="s">
        <v>1353</v>
      </c>
      <c r="E4095" s="28" t="s">
        <v>75</v>
      </c>
      <c r="F4095" s="28">
        <v>55</v>
      </c>
      <c r="G4095" s="28" t="s">
        <v>1457</v>
      </c>
      <c r="H4095" s="28">
        <v>0</v>
      </c>
      <c r="J4095" s="92"/>
    </row>
    <row r="4096" spans="1:10" ht="15.75" customHeight="1">
      <c r="A4096" s="28">
        <v>20547</v>
      </c>
      <c r="B4096" s="91">
        <v>45193.602523148147</v>
      </c>
      <c r="C4096" s="28" t="s">
        <v>95</v>
      </c>
      <c r="D4096" s="28" t="s">
        <v>1492</v>
      </c>
      <c r="E4096" s="28" t="s">
        <v>75</v>
      </c>
      <c r="F4096" s="28">
        <v>55</v>
      </c>
      <c r="G4096" s="28" t="s">
        <v>1457</v>
      </c>
      <c r="H4096" s="28">
        <v>0</v>
      </c>
      <c r="J4096" s="92"/>
    </row>
    <row r="4097" spans="1:10" ht="15.75" customHeight="1">
      <c r="A4097" s="28">
        <v>20546</v>
      </c>
      <c r="B4097" s="91">
        <v>45193.59778935185</v>
      </c>
      <c r="C4097" s="28" t="s">
        <v>95</v>
      </c>
      <c r="D4097" s="28" t="s">
        <v>1493</v>
      </c>
      <c r="E4097" s="28" t="s">
        <v>75</v>
      </c>
      <c r="F4097" s="28">
        <v>35</v>
      </c>
      <c r="G4097" s="28" t="s">
        <v>1443</v>
      </c>
      <c r="H4097" s="28">
        <v>0</v>
      </c>
      <c r="J4097" s="92"/>
    </row>
    <row r="4098" spans="1:10" ht="15.75" customHeight="1">
      <c r="A4098" s="28">
        <v>20546</v>
      </c>
      <c r="B4098" s="91">
        <v>45193.59778935185</v>
      </c>
      <c r="C4098" s="28" t="s">
        <v>95</v>
      </c>
      <c r="D4098" s="28" t="s">
        <v>1493</v>
      </c>
      <c r="E4098" s="28" t="s">
        <v>75</v>
      </c>
      <c r="F4098" s="28">
        <v>30</v>
      </c>
      <c r="G4098" s="28" t="s">
        <v>1453</v>
      </c>
      <c r="H4098" s="28">
        <v>0</v>
      </c>
      <c r="J4098" s="92"/>
    </row>
    <row r="4099" spans="1:10" ht="15.75" customHeight="1">
      <c r="A4099" s="28">
        <v>20545</v>
      </c>
      <c r="B4099" s="91">
        <v>45193.597777777781</v>
      </c>
      <c r="C4099" s="28" t="s">
        <v>95</v>
      </c>
      <c r="D4099" s="28" t="s">
        <v>1494</v>
      </c>
      <c r="E4099" s="28" t="s">
        <v>75</v>
      </c>
      <c r="F4099" s="28">
        <v>35</v>
      </c>
      <c r="G4099" s="28" t="s">
        <v>1443</v>
      </c>
      <c r="H4099" s="28">
        <v>0</v>
      </c>
      <c r="J4099" s="92"/>
    </row>
    <row r="4100" spans="1:10" ht="15.75" customHeight="1">
      <c r="A4100" s="28">
        <v>20544</v>
      </c>
      <c r="B4100" s="91">
        <v>45193.592314814814</v>
      </c>
      <c r="C4100" s="28" t="s">
        <v>95</v>
      </c>
      <c r="D4100" s="28" t="s">
        <v>1429</v>
      </c>
      <c r="E4100" s="28" t="s">
        <v>75</v>
      </c>
      <c r="F4100" s="28">
        <v>55</v>
      </c>
      <c r="G4100" s="28" t="s">
        <v>1457</v>
      </c>
      <c r="H4100" s="28">
        <v>0</v>
      </c>
      <c r="J4100" s="92"/>
    </row>
    <row r="4101" spans="1:10" ht="15.75" customHeight="1">
      <c r="A4101" s="28">
        <v>20544</v>
      </c>
      <c r="B4101" s="91">
        <v>45193.592314814814</v>
      </c>
      <c r="C4101" s="28" t="s">
        <v>95</v>
      </c>
      <c r="D4101" s="28" t="s">
        <v>1429</v>
      </c>
      <c r="E4101" s="28" t="s">
        <v>75</v>
      </c>
      <c r="F4101" s="28">
        <v>22</v>
      </c>
      <c r="G4101" s="28" t="s">
        <v>1459</v>
      </c>
      <c r="H4101" s="28">
        <v>0</v>
      </c>
      <c r="J4101" s="92"/>
    </row>
    <row r="4102" spans="1:10" ht="15.75" customHeight="1">
      <c r="A4102" s="28">
        <v>20543</v>
      </c>
      <c r="B4102" s="91">
        <v>45193.591782407406</v>
      </c>
      <c r="C4102" s="28" t="s">
        <v>95</v>
      </c>
      <c r="D4102" s="28" t="s">
        <v>1402</v>
      </c>
      <c r="E4102" s="28" t="s">
        <v>75</v>
      </c>
      <c r="F4102" s="28">
        <v>55</v>
      </c>
      <c r="G4102" s="28" t="s">
        <v>1457</v>
      </c>
      <c r="H4102" s="28">
        <v>0</v>
      </c>
      <c r="J4102" s="92"/>
    </row>
    <row r="4103" spans="1:10" ht="15.75" customHeight="1">
      <c r="A4103" s="28">
        <v>20542</v>
      </c>
      <c r="B4103" s="91">
        <v>45193.591273148151</v>
      </c>
      <c r="C4103" s="28" t="s">
        <v>95</v>
      </c>
      <c r="D4103" s="28" t="s">
        <v>1495</v>
      </c>
      <c r="E4103" s="28" t="s">
        <v>75</v>
      </c>
      <c r="F4103" s="28">
        <v>15</v>
      </c>
      <c r="G4103" s="28" t="s">
        <v>1453</v>
      </c>
      <c r="H4103" s="28">
        <v>0</v>
      </c>
      <c r="J4103" s="92"/>
    </row>
    <row r="4104" spans="1:10" ht="15.75" customHeight="1">
      <c r="A4104" s="28">
        <v>20542</v>
      </c>
      <c r="B4104" s="91">
        <v>45193.591273148151</v>
      </c>
      <c r="C4104" s="28" t="s">
        <v>95</v>
      </c>
      <c r="D4104" s="28" t="s">
        <v>1495</v>
      </c>
      <c r="E4104" s="28" t="s">
        <v>75</v>
      </c>
      <c r="F4104" s="28">
        <v>18</v>
      </c>
      <c r="G4104" s="28" t="s">
        <v>1470</v>
      </c>
      <c r="H4104" s="28">
        <v>0</v>
      </c>
      <c r="J4104" s="92"/>
    </row>
    <row r="4105" spans="1:10" ht="15.75" customHeight="1">
      <c r="A4105" s="28">
        <v>20541</v>
      </c>
      <c r="B4105" s="91">
        <v>45193.586805555555</v>
      </c>
      <c r="C4105" s="28" t="s">
        <v>95</v>
      </c>
      <c r="D4105" s="28" t="s">
        <v>1434</v>
      </c>
      <c r="E4105" s="28" t="s">
        <v>75</v>
      </c>
      <c r="F4105" s="28">
        <v>20</v>
      </c>
      <c r="G4105" s="28"/>
      <c r="H4105" s="28">
        <v>0</v>
      </c>
      <c r="J4105" s="92"/>
    </row>
    <row r="4106" spans="1:10" ht="15.75" customHeight="1">
      <c r="A4106" s="28">
        <v>20540</v>
      </c>
      <c r="B4106" s="91">
        <v>45193.582361111112</v>
      </c>
      <c r="C4106" s="28" t="s">
        <v>95</v>
      </c>
      <c r="D4106" s="28" t="s">
        <v>1390</v>
      </c>
      <c r="E4106" s="28" t="s">
        <v>75</v>
      </c>
      <c r="F4106" s="28">
        <v>35</v>
      </c>
      <c r="G4106" s="28" t="s">
        <v>1443</v>
      </c>
      <c r="H4106" s="28">
        <v>0</v>
      </c>
      <c r="J4106" s="92"/>
    </row>
    <row r="4107" spans="1:10" ht="15.75" customHeight="1">
      <c r="A4107" s="28">
        <v>20539</v>
      </c>
      <c r="B4107" s="91">
        <v>45193.576319444444</v>
      </c>
      <c r="C4107" s="28" t="s">
        <v>95</v>
      </c>
      <c r="D4107" s="28" t="s">
        <v>1496</v>
      </c>
      <c r="E4107" s="28" t="s">
        <v>75</v>
      </c>
      <c r="F4107" s="28">
        <v>15</v>
      </c>
      <c r="G4107" s="28" t="s">
        <v>1453</v>
      </c>
      <c r="H4107" s="28">
        <v>0</v>
      </c>
      <c r="J4107" s="92"/>
    </row>
    <row r="4108" spans="1:10" ht="15.75" customHeight="1">
      <c r="A4108" s="28">
        <v>20539</v>
      </c>
      <c r="B4108" s="91">
        <v>45193.576319444444</v>
      </c>
      <c r="C4108" s="28" t="s">
        <v>95</v>
      </c>
      <c r="D4108" s="28" t="s">
        <v>1496</v>
      </c>
      <c r="E4108" s="28" t="s">
        <v>75</v>
      </c>
      <c r="F4108" s="28">
        <v>26</v>
      </c>
      <c r="G4108" s="28" t="s">
        <v>1455</v>
      </c>
      <c r="H4108" s="28">
        <v>0</v>
      </c>
      <c r="J4108" s="92"/>
    </row>
    <row r="4109" spans="1:10" ht="15.75" customHeight="1">
      <c r="A4109" s="28">
        <v>20538</v>
      </c>
      <c r="B4109" s="91">
        <v>45193.531145833331</v>
      </c>
      <c r="C4109" s="28" t="s">
        <v>95</v>
      </c>
      <c r="D4109" s="28" t="s">
        <v>1497</v>
      </c>
      <c r="E4109" s="28" t="s">
        <v>75</v>
      </c>
      <c r="F4109" s="28">
        <v>55</v>
      </c>
      <c r="G4109" s="28" t="s">
        <v>1457</v>
      </c>
      <c r="H4109" s="28">
        <v>0</v>
      </c>
      <c r="J4109" s="92"/>
    </row>
    <row r="4110" spans="1:10" ht="15.75" customHeight="1">
      <c r="A4110" s="28">
        <v>20537</v>
      </c>
      <c r="B4110" s="91">
        <v>45193.530775462961</v>
      </c>
      <c r="C4110" s="28" t="s">
        <v>95</v>
      </c>
      <c r="D4110" s="28" t="s">
        <v>1468</v>
      </c>
      <c r="E4110" s="28" t="s">
        <v>75</v>
      </c>
      <c r="F4110" s="28">
        <v>35</v>
      </c>
      <c r="G4110" s="28" t="s">
        <v>1443</v>
      </c>
      <c r="H4110" s="28">
        <v>0</v>
      </c>
      <c r="J4110" s="92"/>
    </row>
    <row r="4111" spans="1:10" ht="15.75" customHeight="1">
      <c r="A4111" s="28">
        <v>20536</v>
      </c>
      <c r="B4111" s="91">
        <v>45193.52847222222</v>
      </c>
      <c r="C4111" s="28" t="s">
        <v>95</v>
      </c>
      <c r="D4111" s="28" t="s">
        <v>1427</v>
      </c>
      <c r="E4111" s="28" t="s">
        <v>75</v>
      </c>
      <c r="F4111" s="28">
        <v>26</v>
      </c>
      <c r="G4111" s="28" t="s">
        <v>1455</v>
      </c>
      <c r="H4111" s="28">
        <v>0</v>
      </c>
      <c r="J4111" s="92"/>
    </row>
    <row r="4112" spans="1:10" ht="15.75" customHeight="1">
      <c r="A4112" s="28">
        <v>20536</v>
      </c>
      <c r="B4112" s="91">
        <v>45193.52847222222</v>
      </c>
      <c r="C4112" s="28" t="s">
        <v>95</v>
      </c>
      <c r="D4112" s="28" t="s">
        <v>1427</v>
      </c>
      <c r="E4112" s="28" t="s">
        <v>75</v>
      </c>
      <c r="F4112" s="28">
        <v>15</v>
      </c>
      <c r="G4112" s="28" t="s">
        <v>1467</v>
      </c>
      <c r="H4112" s="28">
        <v>0</v>
      </c>
      <c r="J4112" s="92"/>
    </row>
    <row r="4113" spans="1:10" ht="15.75" customHeight="1">
      <c r="A4113" s="28">
        <v>20535</v>
      </c>
      <c r="B4113" s="91">
        <v>45193.526666666665</v>
      </c>
      <c r="C4113" s="28" t="s">
        <v>95</v>
      </c>
      <c r="D4113" s="28" t="s">
        <v>1498</v>
      </c>
      <c r="E4113" s="28" t="s">
        <v>75</v>
      </c>
      <c r="F4113" s="28">
        <v>55</v>
      </c>
      <c r="G4113" s="28" t="s">
        <v>1457</v>
      </c>
      <c r="H4113" s="28">
        <v>0</v>
      </c>
      <c r="J4113" s="92"/>
    </row>
    <row r="4114" spans="1:10" ht="15.75" customHeight="1">
      <c r="A4114" s="28">
        <v>20534</v>
      </c>
      <c r="B4114" s="91">
        <v>45193.524456018517</v>
      </c>
      <c r="C4114" s="28" t="s">
        <v>5</v>
      </c>
      <c r="D4114" s="28" t="s">
        <v>1499</v>
      </c>
      <c r="E4114" s="28" t="s">
        <v>75</v>
      </c>
      <c r="F4114" s="28">
        <v>28</v>
      </c>
      <c r="G4114" s="28" t="s">
        <v>1448</v>
      </c>
      <c r="H4114" s="28">
        <v>0</v>
      </c>
      <c r="J4114" s="92"/>
    </row>
    <row r="4115" spans="1:10" ht="15.75" customHeight="1">
      <c r="A4115" s="28">
        <v>20533</v>
      </c>
      <c r="B4115" s="91">
        <v>45193.522696759261</v>
      </c>
      <c r="C4115" s="28" t="s">
        <v>5</v>
      </c>
      <c r="D4115" s="28" t="s">
        <v>1384</v>
      </c>
      <c r="E4115" s="28" t="s">
        <v>75</v>
      </c>
      <c r="F4115" s="28">
        <v>20</v>
      </c>
      <c r="G4115" s="28"/>
      <c r="H4115" s="28">
        <v>0</v>
      </c>
      <c r="J4115" s="92"/>
    </row>
    <row r="4116" spans="1:10" ht="15.75" customHeight="1">
      <c r="A4116" s="28">
        <v>20533</v>
      </c>
      <c r="B4116" s="91">
        <v>45193.522696759261</v>
      </c>
      <c r="C4116" s="28" t="s">
        <v>5</v>
      </c>
      <c r="D4116" s="28" t="s">
        <v>1384</v>
      </c>
      <c r="E4116" s="28" t="s">
        <v>75</v>
      </c>
      <c r="F4116" s="28">
        <v>28</v>
      </c>
      <c r="G4116" s="28" t="s">
        <v>1448</v>
      </c>
      <c r="H4116" s="28">
        <v>0</v>
      </c>
      <c r="J4116" s="92"/>
    </row>
    <row r="4117" spans="1:10" ht="15.75" customHeight="1">
      <c r="A4117" s="28">
        <v>20532</v>
      </c>
      <c r="B4117" s="91">
        <v>45193.520868055559</v>
      </c>
      <c r="C4117" s="28" t="s">
        <v>95</v>
      </c>
      <c r="D4117" s="28" t="s">
        <v>720</v>
      </c>
      <c r="E4117" s="28" t="s">
        <v>75</v>
      </c>
      <c r="F4117" s="28">
        <v>35</v>
      </c>
      <c r="G4117" s="28" t="s">
        <v>1443</v>
      </c>
      <c r="H4117" s="28">
        <v>0</v>
      </c>
      <c r="J4117" s="92"/>
    </row>
    <row r="4118" spans="1:10" ht="15.75" customHeight="1">
      <c r="A4118" s="28">
        <v>20531</v>
      </c>
      <c r="B4118" s="91">
        <v>45193.517129629632</v>
      </c>
      <c r="C4118" s="28" t="s">
        <v>95</v>
      </c>
      <c r="D4118" s="28" t="s">
        <v>1500</v>
      </c>
      <c r="E4118" s="28" t="s">
        <v>75</v>
      </c>
      <c r="F4118" s="28">
        <v>25</v>
      </c>
      <c r="G4118" s="28" t="s">
        <v>1446</v>
      </c>
      <c r="H4118" s="28">
        <v>0</v>
      </c>
      <c r="J4118" s="92"/>
    </row>
    <row r="4119" spans="1:10" ht="15.75" customHeight="1">
      <c r="A4119" s="28">
        <v>20530</v>
      </c>
      <c r="B4119" s="91">
        <v>45193.512638888889</v>
      </c>
      <c r="C4119" s="28" t="s">
        <v>95</v>
      </c>
      <c r="D4119" s="28" t="s">
        <v>1501</v>
      </c>
      <c r="E4119" s="28" t="s">
        <v>75</v>
      </c>
      <c r="F4119" s="28">
        <v>15</v>
      </c>
      <c r="G4119" s="28" t="s">
        <v>1453</v>
      </c>
      <c r="H4119" s="28">
        <v>0</v>
      </c>
      <c r="J4119" s="92"/>
    </row>
    <row r="4120" spans="1:10" ht="15.75" customHeight="1">
      <c r="A4120" s="28">
        <v>20529</v>
      </c>
      <c r="B4120" s="91">
        <v>45193.512141203704</v>
      </c>
      <c r="C4120" s="28" t="s">
        <v>95</v>
      </c>
      <c r="D4120" s="28" t="s">
        <v>1387</v>
      </c>
      <c r="E4120" s="28" t="s">
        <v>75</v>
      </c>
      <c r="F4120" s="28">
        <v>25</v>
      </c>
      <c r="G4120" s="28" t="s">
        <v>1446</v>
      </c>
      <c r="H4120" s="28">
        <v>0</v>
      </c>
      <c r="J4120" s="92"/>
    </row>
    <row r="4121" spans="1:10" ht="15.75" customHeight="1">
      <c r="A4121" s="28">
        <v>20528</v>
      </c>
      <c r="B4121" s="91">
        <v>45193.508611111109</v>
      </c>
      <c r="C4121" s="28" t="s">
        <v>95</v>
      </c>
      <c r="D4121" s="28" t="s">
        <v>1388</v>
      </c>
      <c r="E4121" s="28" t="s">
        <v>75</v>
      </c>
      <c r="F4121" s="28">
        <v>25</v>
      </c>
      <c r="G4121" s="28" t="s">
        <v>1446</v>
      </c>
      <c r="H4121" s="28">
        <v>0</v>
      </c>
      <c r="J4121" s="92"/>
    </row>
    <row r="4122" spans="1:10" ht="15.75" customHeight="1">
      <c r="A4122" s="28">
        <v>20527</v>
      </c>
      <c r="B4122" s="91">
        <v>45193.493518518517</v>
      </c>
      <c r="C4122" s="28" t="s">
        <v>95</v>
      </c>
      <c r="D4122" s="28" t="s">
        <v>1502</v>
      </c>
      <c r="E4122" s="28" t="s">
        <v>75</v>
      </c>
      <c r="F4122" s="28">
        <v>26</v>
      </c>
      <c r="G4122" s="28" t="s">
        <v>1455</v>
      </c>
      <c r="H4122" s="28">
        <v>0</v>
      </c>
      <c r="J4122" s="92"/>
    </row>
    <row r="4123" spans="1:10" ht="15.75" customHeight="1">
      <c r="A4123" s="28">
        <v>20526</v>
      </c>
      <c r="B4123" s="91">
        <v>45193.490972222222</v>
      </c>
      <c r="C4123" s="28" t="s">
        <v>95</v>
      </c>
      <c r="D4123" s="28" t="s">
        <v>1410</v>
      </c>
      <c r="E4123" s="28" t="s">
        <v>75</v>
      </c>
      <c r="F4123" s="28">
        <v>15</v>
      </c>
      <c r="G4123" s="28" t="s">
        <v>1467</v>
      </c>
      <c r="H4123" s="28">
        <v>0</v>
      </c>
      <c r="J4123" s="92"/>
    </row>
    <row r="4124" spans="1:10" ht="15.75" customHeight="1">
      <c r="A4124" s="28">
        <v>20526</v>
      </c>
      <c r="B4124" s="91">
        <v>45193.490972222222</v>
      </c>
      <c r="C4124" s="28" t="s">
        <v>95</v>
      </c>
      <c r="D4124" s="28" t="s">
        <v>1410</v>
      </c>
      <c r="E4124" s="28" t="s">
        <v>75</v>
      </c>
      <c r="F4124" s="28">
        <v>22</v>
      </c>
      <c r="G4124" s="28" t="s">
        <v>1459</v>
      </c>
      <c r="H4124" s="28">
        <v>0</v>
      </c>
      <c r="J4124" s="92"/>
    </row>
    <row r="4125" spans="1:10" ht="15.75" customHeight="1">
      <c r="A4125" s="28">
        <v>20525</v>
      </c>
      <c r="B4125" s="91">
        <v>45193.487951388888</v>
      </c>
      <c r="C4125" s="28" t="s">
        <v>95</v>
      </c>
      <c r="D4125" s="28" t="s">
        <v>1503</v>
      </c>
      <c r="E4125" s="28" t="s">
        <v>75</v>
      </c>
      <c r="F4125" s="28">
        <v>25</v>
      </c>
      <c r="G4125" s="28" t="s">
        <v>1446</v>
      </c>
      <c r="H4125" s="28">
        <v>0</v>
      </c>
      <c r="J4125" s="92"/>
    </row>
    <row r="4126" spans="1:10" ht="15.75" customHeight="1">
      <c r="A4126" s="28">
        <v>20524</v>
      </c>
      <c r="B4126" s="91">
        <v>45193.478738425925</v>
      </c>
      <c r="C4126" s="28" t="s">
        <v>95</v>
      </c>
      <c r="D4126" s="28" t="s">
        <v>1504</v>
      </c>
      <c r="E4126" s="28" t="s">
        <v>75</v>
      </c>
      <c r="F4126" s="28">
        <v>28</v>
      </c>
      <c r="G4126" s="28" t="s">
        <v>1448</v>
      </c>
      <c r="H4126" s="28">
        <v>0</v>
      </c>
      <c r="J4126" s="92"/>
    </row>
    <row r="4127" spans="1:10" ht="15.75" customHeight="1">
      <c r="A4127" s="28">
        <v>20523</v>
      </c>
      <c r="B4127" s="91">
        <v>45193.117129629631</v>
      </c>
      <c r="C4127" s="28" t="s">
        <v>95</v>
      </c>
      <c r="D4127" s="28" t="s">
        <v>1505</v>
      </c>
      <c r="E4127" s="28" t="s">
        <v>75</v>
      </c>
      <c r="F4127" s="28">
        <v>28</v>
      </c>
      <c r="G4127" s="28" t="s">
        <v>1448</v>
      </c>
      <c r="H4127" s="28">
        <v>0</v>
      </c>
      <c r="J4127" s="92"/>
    </row>
    <row r="4128" spans="1:10" ht="15.75" customHeight="1">
      <c r="A4128" s="28">
        <v>20505</v>
      </c>
      <c r="B4128" s="91">
        <v>45193.036504629628</v>
      </c>
      <c r="C4128" s="28" t="s">
        <v>95</v>
      </c>
      <c r="D4128" s="28" t="s">
        <v>1506</v>
      </c>
      <c r="E4128" s="28" t="s">
        <v>75</v>
      </c>
      <c r="F4128" s="28">
        <v>15</v>
      </c>
      <c r="G4128" s="28" t="s">
        <v>1453</v>
      </c>
      <c r="H4128" s="28">
        <v>0</v>
      </c>
      <c r="J4128" s="92"/>
    </row>
    <row r="4129" spans="1:10" ht="15.75" customHeight="1">
      <c r="A4129" s="28">
        <v>20480</v>
      </c>
      <c r="B4129" s="91">
        <v>45192.796979166669</v>
      </c>
      <c r="C4129" s="28" t="s">
        <v>95</v>
      </c>
      <c r="D4129" s="28" t="s">
        <v>1507</v>
      </c>
      <c r="E4129" s="28" t="s">
        <v>75</v>
      </c>
      <c r="F4129" s="28">
        <v>20</v>
      </c>
      <c r="G4129" s="28"/>
      <c r="H4129" s="28">
        <v>0</v>
      </c>
      <c r="J4129" s="92"/>
    </row>
    <row r="4130" spans="1:10" ht="15.75" customHeight="1">
      <c r="A4130" s="28">
        <v>20480</v>
      </c>
      <c r="B4130" s="91">
        <v>45192.796979166669</v>
      </c>
      <c r="C4130" s="28" t="s">
        <v>95</v>
      </c>
      <c r="D4130" s="28" t="s">
        <v>1507</v>
      </c>
      <c r="E4130" s="28" t="s">
        <v>75</v>
      </c>
      <c r="F4130" s="28">
        <v>70</v>
      </c>
      <c r="G4130" s="28" t="s">
        <v>1443</v>
      </c>
      <c r="H4130" s="28">
        <v>0</v>
      </c>
      <c r="J4130" s="92"/>
    </row>
    <row r="4131" spans="1:10" ht="15.75" customHeight="1">
      <c r="A4131" s="28">
        <v>20479</v>
      </c>
      <c r="B4131" s="91">
        <v>45192.758090277777</v>
      </c>
      <c r="C4131" s="28" t="s">
        <v>95</v>
      </c>
      <c r="D4131" s="28" t="s">
        <v>1508</v>
      </c>
      <c r="E4131" s="28" t="s">
        <v>75</v>
      </c>
      <c r="F4131" s="28">
        <v>35</v>
      </c>
      <c r="G4131" s="28" t="s">
        <v>1443</v>
      </c>
      <c r="H4131" s="28">
        <v>0</v>
      </c>
      <c r="J4131" s="92"/>
    </row>
    <row r="4132" spans="1:10" ht="15.75" customHeight="1">
      <c r="A4132" s="28">
        <v>20478</v>
      </c>
      <c r="B4132" s="91">
        <v>45192.69871527778</v>
      </c>
      <c r="C4132" s="28" t="s">
        <v>95</v>
      </c>
      <c r="D4132" s="28" t="s">
        <v>1509</v>
      </c>
      <c r="E4132" s="28" t="s">
        <v>75</v>
      </c>
      <c r="F4132" s="28">
        <v>15</v>
      </c>
      <c r="G4132" s="28" t="s">
        <v>1467</v>
      </c>
      <c r="H4132" s="28">
        <v>0</v>
      </c>
      <c r="J4132" s="92"/>
    </row>
    <row r="4133" spans="1:10" ht="15.75" customHeight="1">
      <c r="A4133" s="28">
        <v>20477</v>
      </c>
      <c r="B4133" s="91">
        <v>45192.585057870368</v>
      </c>
      <c r="C4133" s="28" t="s">
        <v>95</v>
      </c>
      <c r="D4133" s="28" t="s">
        <v>1510</v>
      </c>
      <c r="E4133" s="28" t="s">
        <v>75</v>
      </c>
      <c r="F4133" s="28">
        <v>35</v>
      </c>
      <c r="G4133" s="28" t="s">
        <v>881</v>
      </c>
      <c r="H4133" s="28">
        <v>0</v>
      </c>
      <c r="J4133" s="92"/>
    </row>
    <row r="4134" spans="1:10" ht="15.75" customHeight="1">
      <c r="A4134" s="28">
        <v>20477</v>
      </c>
      <c r="B4134" s="91">
        <v>45192.585057870368</v>
      </c>
      <c r="C4134" s="28" t="s">
        <v>95</v>
      </c>
      <c r="D4134" s="28" t="s">
        <v>1510</v>
      </c>
      <c r="E4134" s="28" t="s">
        <v>75</v>
      </c>
      <c r="F4134" s="28">
        <v>0</v>
      </c>
      <c r="G4134" s="28" t="s">
        <v>882</v>
      </c>
      <c r="H4134" s="28">
        <v>0</v>
      </c>
      <c r="J4134" s="92"/>
    </row>
    <row r="4135" spans="1:10" ht="15.75" customHeight="1">
      <c r="A4135" s="28">
        <v>20477</v>
      </c>
      <c r="B4135" s="91">
        <v>45192.585057870368</v>
      </c>
      <c r="C4135" s="28" t="s">
        <v>95</v>
      </c>
      <c r="D4135" s="28" t="s">
        <v>1510</v>
      </c>
      <c r="E4135" s="28" t="s">
        <v>75</v>
      </c>
      <c r="F4135" s="28">
        <v>0</v>
      </c>
      <c r="G4135" s="28" t="s">
        <v>883</v>
      </c>
      <c r="H4135" s="28">
        <v>0</v>
      </c>
      <c r="J4135" s="92"/>
    </row>
    <row r="4136" spans="1:10" ht="15.75" customHeight="1">
      <c r="A4136" s="28">
        <v>20477</v>
      </c>
      <c r="B4136" s="91">
        <v>45192.585057870368</v>
      </c>
      <c r="C4136" s="28" t="s">
        <v>95</v>
      </c>
      <c r="D4136" s="28" t="s">
        <v>1510</v>
      </c>
      <c r="E4136" s="28" t="s">
        <v>75</v>
      </c>
      <c r="F4136" s="28">
        <v>0</v>
      </c>
      <c r="G4136" s="28" t="s">
        <v>884</v>
      </c>
      <c r="H4136" s="28">
        <v>0</v>
      </c>
      <c r="J4136" s="92"/>
    </row>
    <row r="4137" spans="1:10" ht="15.75" customHeight="1">
      <c r="A4137" s="28">
        <v>20475</v>
      </c>
      <c r="B4137" s="91">
        <v>45192.068715277775</v>
      </c>
      <c r="C4137" s="28" t="s">
        <v>95</v>
      </c>
      <c r="D4137" s="28" t="s">
        <v>1511</v>
      </c>
      <c r="E4137" s="28" t="s">
        <v>74</v>
      </c>
      <c r="F4137" s="28">
        <v>22</v>
      </c>
      <c r="G4137" s="28" t="s">
        <v>1459</v>
      </c>
      <c r="H4137" s="28">
        <v>0</v>
      </c>
      <c r="J4137" s="92"/>
    </row>
    <row r="4138" spans="1:10" ht="15.75" customHeight="1">
      <c r="A4138" s="28">
        <v>20472</v>
      </c>
      <c r="B4138" s="91">
        <v>45191.667685185188</v>
      </c>
      <c r="C4138" s="28" t="s">
        <v>95</v>
      </c>
      <c r="D4138" s="28" t="s">
        <v>1512</v>
      </c>
      <c r="E4138" s="28" t="s">
        <v>75</v>
      </c>
      <c r="F4138" s="28">
        <v>26</v>
      </c>
      <c r="G4138" s="28" t="s">
        <v>1455</v>
      </c>
      <c r="H4138" s="28">
        <v>0</v>
      </c>
      <c r="J4138" s="92"/>
    </row>
    <row r="4139" spans="1:10" ht="15.75" customHeight="1">
      <c r="A4139" s="28">
        <v>20471</v>
      </c>
      <c r="B4139" s="91">
        <v>45191.552708333336</v>
      </c>
      <c r="C4139" s="28" t="s">
        <v>95</v>
      </c>
      <c r="D4139" s="28" t="s">
        <v>1513</v>
      </c>
      <c r="E4139" s="28" t="s">
        <v>75</v>
      </c>
      <c r="F4139" s="28">
        <v>26</v>
      </c>
      <c r="G4139" s="28" t="s">
        <v>1455</v>
      </c>
      <c r="H4139" s="28">
        <v>0</v>
      </c>
      <c r="J4139" s="92"/>
    </row>
    <row r="4140" spans="1:10" ht="15.75" customHeight="1">
      <c r="A4140" s="28">
        <v>20470</v>
      </c>
      <c r="B4140" s="91">
        <v>45191.133877314816</v>
      </c>
      <c r="C4140" s="28" t="s">
        <v>95</v>
      </c>
      <c r="D4140" s="28" t="s">
        <v>1514</v>
      </c>
      <c r="E4140" s="28" t="s">
        <v>75</v>
      </c>
      <c r="F4140" s="28">
        <v>25</v>
      </c>
      <c r="G4140" s="28" t="s">
        <v>1446</v>
      </c>
      <c r="H4140" s="28">
        <v>0</v>
      </c>
      <c r="J4140" s="92"/>
    </row>
    <row r="4141" spans="1:10" ht="15.75" customHeight="1">
      <c r="A4141" s="28">
        <v>20470</v>
      </c>
      <c r="B4141" s="91">
        <v>45191.133877314816</v>
      </c>
      <c r="C4141" s="28" t="s">
        <v>95</v>
      </c>
      <c r="D4141" s="28" t="s">
        <v>1514</v>
      </c>
      <c r="E4141" s="28" t="s">
        <v>75</v>
      </c>
      <c r="F4141" s="28">
        <v>18</v>
      </c>
      <c r="G4141" s="28" t="s">
        <v>1470</v>
      </c>
      <c r="H4141" s="28">
        <v>0</v>
      </c>
      <c r="J4141" s="92"/>
    </row>
    <row r="4142" spans="1:10" ht="15.75" customHeight="1">
      <c r="A4142" s="28">
        <v>20469</v>
      </c>
      <c r="B4142" s="91">
        <v>45191.120879629627</v>
      </c>
      <c r="C4142" s="28" t="s">
        <v>18</v>
      </c>
      <c r="D4142" s="28" t="s">
        <v>1515</v>
      </c>
      <c r="E4142" s="28" t="s">
        <v>75</v>
      </c>
      <c r="F4142" s="28">
        <v>25</v>
      </c>
      <c r="G4142" s="28" t="s">
        <v>1446</v>
      </c>
      <c r="H4142" s="28">
        <v>0</v>
      </c>
      <c r="J4142" s="92"/>
    </row>
    <row r="4143" spans="1:10" ht="15.75" customHeight="1">
      <c r="A4143" s="28">
        <v>20468</v>
      </c>
      <c r="B4143" s="91">
        <v>45191.117476851854</v>
      </c>
      <c r="C4143" s="28" t="s">
        <v>18</v>
      </c>
      <c r="D4143" s="28" t="s">
        <v>1515</v>
      </c>
      <c r="E4143" s="28" t="s">
        <v>75</v>
      </c>
      <c r="F4143" s="28">
        <v>25</v>
      </c>
      <c r="G4143" s="28" t="s">
        <v>1446</v>
      </c>
      <c r="H4143" s="28">
        <v>0</v>
      </c>
      <c r="J4143" s="92"/>
    </row>
    <row r="4144" spans="1:10" ht="15.75" customHeight="1">
      <c r="A4144" s="28">
        <v>20468</v>
      </c>
      <c r="B4144" s="91">
        <v>45191.117476851854</v>
      </c>
      <c r="C4144" s="28" t="s">
        <v>18</v>
      </c>
      <c r="D4144" s="28" t="s">
        <v>1515</v>
      </c>
      <c r="E4144" s="28" t="s">
        <v>75</v>
      </c>
      <c r="F4144" s="28">
        <v>0</v>
      </c>
      <c r="G4144" s="28" t="s">
        <v>141</v>
      </c>
      <c r="H4144" s="28">
        <v>0</v>
      </c>
      <c r="J4144" s="92"/>
    </row>
    <row r="4145" spans="1:10" ht="15.75" customHeight="1">
      <c r="A4145" s="28">
        <v>20466</v>
      </c>
      <c r="B4145" s="91">
        <v>45190.554745370369</v>
      </c>
      <c r="C4145" s="28" t="s">
        <v>95</v>
      </c>
      <c r="D4145" s="28" t="s">
        <v>860</v>
      </c>
      <c r="E4145" s="28" t="s">
        <v>75</v>
      </c>
      <c r="F4145" s="28">
        <v>35</v>
      </c>
      <c r="G4145" s="28" t="s">
        <v>1443</v>
      </c>
      <c r="H4145" s="28">
        <v>0</v>
      </c>
      <c r="J4145" s="92"/>
    </row>
    <row r="4146" spans="1:10" ht="15.75" customHeight="1">
      <c r="A4146" s="28">
        <v>20464</v>
      </c>
      <c r="B4146" s="91">
        <v>45189.902581018519</v>
      </c>
      <c r="C4146" s="28" t="s">
        <v>95</v>
      </c>
      <c r="D4146" s="28" t="s">
        <v>1344</v>
      </c>
      <c r="E4146" s="28" t="s">
        <v>75</v>
      </c>
      <c r="F4146" s="28">
        <v>35</v>
      </c>
      <c r="G4146" s="28" t="s">
        <v>1443</v>
      </c>
      <c r="H4146" s="28">
        <v>0</v>
      </c>
      <c r="J4146" s="92"/>
    </row>
    <row r="4147" spans="1:10" ht="15.75" customHeight="1">
      <c r="A4147" s="28">
        <v>20463</v>
      </c>
      <c r="B4147" s="91">
        <v>45189.657395833332</v>
      </c>
      <c r="C4147" s="28" t="s">
        <v>10</v>
      </c>
      <c r="D4147" s="28" t="s">
        <v>1130</v>
      </c>
      <c r="E4147" s="28" t="s">
        <v>74</v>
      </c>
      <c r="F4147" s="28">
        <v>25</v>
      </c>
      <c r="G4147" s="28" t="s">
        <v>141</v>
      </c>
      <c r="H4147" s="28">
        <v>0</v>
      </c>
      <c r="J4147" s="92"/>
    </row>
    <row r="4148" spans="1:10" ht="15.75" customHeight="1">
      <c r="A4148" s="28">
        <v>20462</v>
      </c>
      <c r="B4148" s="91">
        <v>45189.566296296296</v>
      </c>
      <c r="C4148" s="28" t="s">
        <v>95</v>
      </c>
      <c r="D4148" s="28" t="s">
        <v>1516</v>
      </c>
      <c r="E4148" s="28" t="s">
        <v>75</v>
      </c>
      <c r="F4148" s="28">
        <v>35</v>
      </c>
      <c r="G4148" s="28" t="s">
        <v>1443</v>
      </c>
      <c r="H4148" s="28">
        <v>0</v>
      </c>
      <c r="J4148" s="92"/>
    </row>
    <row r="4149" spans="1:10" ht="15.75" customHeight="1">
      <c r="A4149" s="28">
        <v>20461</v>
      </c>
      <c r="B4149" s="91">
        <v>45189.342650462961</v>
      </c>
      <c r="C4149" s="28" t="s">
        <v>95</v>
      </c>
      <c r="D4149" s="28" t="s">
        <v>1517</v>
      </c>
      <c r="E4149" s="28" t="s">
        <v>75</v>
      </c>
      <c r="F4149" s="28">
        <v>35</v>
      </c>
      <c r="G4149" s="28" t="s">
        <v>1443</v>
      </c>
      <c r="H4149" s="28">
        <v>0</v>
      </c>
      <c r="J4149" s="92"/>
    </row>
    <row r="4150" spans="1:10" ht="15.75" customHeight="1">
      <c r="A4150" s="28">
        <v>20459</v>
      </c>
      <c r="B4150" s="91">
        <v>45188.689189814817</v>
      </c>
      <c r="C4150" s="28" t="s">
        <v>95</v>
      </c>
      <c r="D4150" s="28" t="s">
        <v>1518</v>
      </c>
      <c r="E4150" s="28" t="s">
        <v>28</v>
      </c>
      <c r="F4150" s="28">
        <v>26</v>
      </c>
      <c r="G4150" s="28" t="s">
        <v>1455</v>
      </c>
      <c r="H4150" s="28">
        <v>0</v>
      </c>
      <c r="J4150" s="92"/>
    </row>
    <row r="4151" spans="1:10" ht="15.75" customHeight="1">
      <c r="A4151" s="28">
        <v>20458</v>
      </c>
      <c r="B4151" s="91">
        <v>45188.518865740742</v>
      </c>
      <c r="C4151" s="28" t="s">
        <v>95</v>
      </c>
      <c r="D4151" s="28" t="s">
        <v>1325</v>
      </c>
      <c r="E4151" s="28" t="s">
        <v>75</v>
      </c>
      <c r="F4151" s="28">
        <v>26</v>
      </c>
      <c r="G4151" s="28" t="s">
        <v>1455</v>
      </c>
      <c r="H4151" s="28">
        <v>0</v>
      </c>
      <c r="J4151" s="92"/>
    </row>
    <row r="4152" spans="1:10" ht="15.75" customHeight="1">
      <c r="A4152" s="28">
        <v>20458</v>
      </c>
      <c r="B4152" s="91">
        <v>45188.518865740742</v>
      </c>
      <c r="C4152" s="28" t="s">
        <v>95</v>
      </c>
      <c r="D4152" s="28" t="s">
        <v>1325</v>
      </c>
      <c r="E4152" s="28" t="s">
        <v>75</v>
      </c>
      <c r="F4152" s="28">
        <v>55</v>
      </c>
      <c r="G4152" s="28" t="s">
        <v>1457</v>
      </c>
      <c r="H4152" s="28">
        <v>0</v>
      </c>
      <c r="J4152" s="92"/>
    </row>
    <row r="4153" spans="1:10" ht="15.75" customHeight="1">
      <c r="A4153" s="28">
        <v>20458</v>
      </c>
      <c r="B4153" s="91">
        <v>45188.518865740742</v>
      </c>
      <c r="C4153" s="28" t="s">
        <v>95</v>
      </c>
      <c r="D4153" s="28" t="s">
        <v>1325</v>
      </c>
      <c r="E4153" s="28" t="s">
        <v>75</v>
      </c>
      <c r="F4153" s="28">
        <v>20</v>
      </c>
      <c r="G4153" s="28"/>
      <c r="H4153" s="28">
        <v>0</v>
      </c>
      <c r="J4153" s="92"/>
    </row>
    <row r="4154" spans="1:10" ht="15.75" customHeight="1">
      <c r="A4154" s="28">
        <v>20457</v>
      </c>
      <c r="B4154" s="91">
        <v>45187.952418981484</v>
      </c>
      <c r="C4154" s="28" t="s">
        <v>95</v>
      </c>
      <c r="D4154" s="28" t="s">
        <v>1356</v>
      </c>
      <c r="E4154" s="28" t="s">
        <v>75</v>
      </c>
      <c r="F4154" s="28">
        <v>18</v>
      </c>
      <c r="G4154" s="28" t="s">
        <v>1470</v>
      </c>
      <c r="H4154" s="28">
        <v>0</v>
      </c>
      <c r="J4154" s="92"/>
    </row>
    <row r="4155" spans="1:10" ht="15.75" customHeight="1">
      <c r="A4155" s="28">
        <v>20457</v>
      </c>
      <c r="B4155" s="91">
        <v>45187.952418981484</v>
      </c>
      <c r="C4155" s="28" t="s">
        <v>95</v>
      </c>
      <c r="D4155" s="28" t="s">
        <v>1356</v>
      </c>
      <c r="E4155" s="28" t="s">
        <v>75</v>
      </c>
      <c r="F4155" s="28">
        <v>0</v>
      </c>
      <c r="G4155" s="28" t="s">
        <v>141</v>
      </c>
      <c r="H4155" s="28">
        <v>0</v>
      </c>
      <c r="J4155" s="92"/>
    </row>
    <row r="4156" spans="1:10" ht="15.75" customHeight="1">
      <c r="A4156" s="28">
        <v>20432</v>
      </c>
      <c r="B4156" s="91">
        <v>45187.49119212963</v>
      </c>
      <c r="C4156" s="28" t="s">
        <v>95</v>
      </c>
      <c r="D4156" s="28" t="s">
        <v>1314</v>
      </c>
      <c r="E4156" s="28" t="s">
        <v>75</v>
      </c>
      <c r="F4156" s="28">
        <v>20</v>
      </c>
      <c r="G4156" s="28">
        <v>100252</v>
      </c>
      <c r="H4156" s="28">
        <v>0</v>
      </c>
      <c r="J4156" s="92"/>
    </row>
    <row r="4157" spans="1:10" ht="15.75" customHeight="1">
      <c r="A4157" s="28">
        <v>20432</v>
      </c>
      <c r="B4157" s="91">
        <v>45187.49119212963</v>
      </c>
      <c r="C4157" s="28" t="s">
        <v>95</v>
      </c>
      <c r="D4157" s="28" t="s">
        <v>1314</v>
      </c>
      <c r="E4157" s="28" t="s">
        <v>75</v>
      </c>
      <c r="F4157" s="28">
        <v>20</v>
      </c>
      <c r="G4157" s="28" t="s">
        <v>1444</v>
      </c>
      <c r="H4157" s="28">
        <v>0</v>
      </c>
      <c r="J4157" s="92"/>
    </row>
    <row r="4158" spans="1:10" ht="15.75" customHeight="1">
      <c r="A4158" s="28">
        <v>20432</v>
      </c>
      <c r="B4158" s="91">
        <v>45187.49119212963</v>
      </c>
      <c r="C4158" s="28" t="s">
        <v>95</v>
      </c>
      <c r="D4158" s="28" t="s">
        <v>1314</v>
      </c>
      <c r="E4158" s="28" t="s">
        <v>75</v>
      </c>
      <c r="F4158" s="28">
        <v>15</v>
      </c>
      <c r="G4158" s="28" t="s">
        <v>1453</v>
      </c>
      <c r="H4158" s="28">
        <v>0</v>
      </c>
      <c r="J4158" s="92"/>
    </row>
    <row r="4159" spans="1:10" ht="15.75" customHeight="1">
      <c r="A4159" s="28">
        <v>20431</v>
      </c>
      <c r="B4159" s="91">
        <v>45187.08421296296</v>
      </c>
      <c r="C4159" s="28" t="s">
        <v>95</v>
      </c>
      <c r="D4159" s="28" t="s">
        <v>1519</v>
      </c>
      <c r="E4159" s="28" t="s">
        <v>75</v>
      </c>
      <c r="F4159" s="28">
        <v>18</v>
      </c>
      <c r="G4159" s="28" t="s">
        <v>1470</v>
      </c>
      <c r="H4159" s="28">
        <v>0</v>
      </c>
      <c r="J4159" s="92"/>
    </row>
    <row r="4160" spans="1:10" ht="15.75" customHeight="1">
      <c r="A4160" s="28">
        <v>20431</v>
      </c>
      <c r="B4160" s="91">
        <v>45187.08421296296</v>
      </c>
      <c r="C4160" s="28" t="s">
        <v>95</v>
      </c>
      <c r="D4160" s="28" t="s">
        <v>1519</v>
      </c>
      <c r="E4160" s="28" t="s">
        <v>75</v>
      </c>
      <c r="F4160" s="28">
        <v>20</v>
      </c>
      <c r="G4160" s="28"/>
      <c r="H4160" s="28">
        <v>0</v>
      </c>
      <c r="J4160" s="92"/>
    </row>
    <row r="4161" spans="1:10" ht="15.75" customHeight="1">
      <c r="A4161" s="28">
        <v>20430</v>
      </c>
      <c r="B4161" s="91">
        <v>45187.006203703706</v>
      </c>
      <c r="C4161" s="28" t="s">
        <v>95</v>
      </c>
      <c r="D4161" s="28" t="s">
        <v>1520</v>
      </c>
      <c r="E4161" s="28" t="s">
        <v>75</v>
      </c>
      <c r="F4161" s="28">
        <v>28</v>
      </c>
      <c r="G4161" s="28" t="s">
        <v>1448</v>
      </c>
      <c r="H4161" s="28">
        <v>0</v>
      </c>
      <c r="J4161" s="92"/>
    </row>
    <row r="4162" spans="1:10" ht="15.75" customHeight="1">
      <c r="A4162" s="28">
        <v>20429</v>
      </c>
      <c r="B4162" s="91">
        <v>45186.930671296293</v>
      </c>
      <c r="C4162" s="28" t="s">
        <v>95</v>
      </c>
      <c r="D4162" s="28" t="s">
        <v>1521</v>
      </c>
      <c r="E4162" s="28" t="s">
        <v>75</v>
      </c>
      <c r="F4162" s="28">
        <v>28</v>
      </c>
      <c r="G4162" s="28" t="s">
        <v>1448</v>
      </c>
      <c r="H4162" s="28">
        <v>0</v>
      </c>
      <c r="J4162" s="92"/>
    </row>
    <row r="4163" spans="1:10" ht="15.75" customHeight="1">
      <c r="A4163" s="28">
        <v>20428</v>
      </c>
      <c r="B4163" s="91">
        <v>45186.762164351851</v>
      </c>
      <c r="C4163" s="28" t="s">
        <v>95</v>
      </c>
      <c r="D4163" s="28" t="s">
        <v>1522</v>
      </c>
      <c r="E4163" s="28" t="s">
        <v>75</v>
      </c>
      <c r="F4163" s="28">
        <v>26</v>
      </c>
      <c r="G4163" s="28" t="s">
        <v>1455</v>
      </c>
      <c r="H4163" s="28">
        <v>0</v>
      </c>
      <c r="J4163" s="92"/>
    </row>
    <row r="4164" spans="1:10" ht="15.75" customHeight="1">
      <c r="A4164" s="28">
        <v>20427</v>
      </c>
      <c r="B4164" s="91">
        <v>45186.684340277781</v>
      </c>
      <c r="C4164" s="28" t="s">
        <v>95</v>
      </c>
      <c r="D4164" s="28" t="s">
        <v>1368</v>
      </c>
      <c r="E4164" s="28" t="s">
        <v>75</v>
      </c>
      <c r="F4164" s="28">
        <v>35</v>
      </c>
      <c r="G4164" s="28" t="s">
        <v>1443</v>
      </c>
      <c r="H4164" s="28">
        <v>0</v>
      </c>
      <c r="J4164" s="92"/>
    </row>
    <row r="4165" spans="1:10" ht="15.75" customHeight="1">
      <c r="A4165" s="28">
        <v>20426</v>
      </c>
      <c r="B4165" s="91">
        <v>45186.682627314818</v>
      </c>
      <c r="C4165" s="28" t="s">
        <v>95</v>
      </c>
      <c r="D4165" s="28" t="s">
        <v>1319</v>
      </c>
      <c r="E4165" s="28" t="s">
        <v>75</v>
      </c>
      <c r="F4165" s="28">
        <v>25</v>
      </c>
      <c r="G4165" s="28" t="s">
        <v>1446</v>
      </c>
      <c r="H4165" s="28">
        <v>0</v>
      </c>
      <c r="J4165" s="92"/>
    </row>
    <row r="4166" spans="1:10" ht="15.75" customHeight="1">
      <c r="A4166" s="28">
        <v>20426</v>
      </c>
      <c r="B4166" s="91">
        <v>45186.682627314818</v>
      </c>
      <c r="C4166" s="28" t="s">
        <v>95</v>
      </c>
      <c r="D4166" s="28" t="s">
        <v>1319</v>
      </c>
      <c r="E4166" s="28" t="s">
        <v>75</v>
      </c>
      <c r="F4166" s="28">
        <v>28</v>
      </c>
      <c r="G4166" s="28" t="s">
        <v>1448</v>
      </c>
      <c r="H4166" s="28">
        <v>0</v>
      </c>
      <c r="J4166" s="92"/>
    </row>
    <row r="4167" spans="1:10" ht="15.75" customHeight="1">
      <c r="A4167" s="28">
        <v>20425</v>
      </c>
      <c r="B4167" s="91">
        <v>45186.680625000001</v>
      </c>
      <c r="C4167" s="28" t="s">
        <v>95</v>
      </c>
      <c r="D4167" s="28" t="s">
        <v>1366</v>
      </c>
      <c r="E4167" s="28" t="s">
        <v>75</v>
      </c>
      <c r="F4167" s="28">
        <v>15</v>
      </c>
      <c r="G4167" s="28" t="s">
        <v>1467</v>
      </c>
      <c r="H4167" s="28">
        <v>0</v>
      </c>
      <c r="J4167" s="92"/>
    </row>
    <row r="4168" spans="1:10" ht="15.75" customHeight="1">
      <c r="A4168" s="28">
        <v>20425</v>
      </c>
      <c r="B4168" s="91">
        <v>45186.680625000001</v>
      </c>
      <c r="C4168" s="28" t="s">
        <v>95</v>
      </c>
      <c r="D4168" s="28" t="s">
        <v>1366</v>
      </c>
      <c r="E4168" s="28" t="s">
        <v>75</v>
      </c>
      <c r="F4168" s="28">
        <v>22</v>
      </c>
      <c r="G4168" s="28" t="s">
        <v>1459</v>
      </c>
      <c r="H4168" s="28">
        <v>0</v>
      </c>
      <c r="J4168" s="92"/>
    </row>
    <row r="4169" spans="1:10" ht="15.75" customHeight="1">
      <c r="A4169" s="28">
        <v>20424</v>
      </c>
      <c r="B4169" s="91">
        <v>45186.661087962966</v>
      </c>
      <c r="C4169" s="28" t="s">
        <v>95</v>
      </c>
      <c r="D4169" s="28" t="s">
        <v>1398</v>
      </c>
      <c r="E4169" s="28" t="s">
        <v>75</v>
      </c>
      <c r="F4169" s="28">
        <v>35</v>
      </c>
      <c r="G4169" s="28" t="s">
        <v>1443</v>
      </c>
      <c r="H4169" s="28">
        <v>0</v>
      </c>
      <c r="J4169" s="92"/>
    </row>
    <row r="4170" spans="1:10" ht="15.75" customHeight="1">
      <c r="A4170" s="28">
        <v>20423</v>
      </c>
      <c r="B4170" s="91">
        <v>45186.65861111111</v>
      </c>
      <c r="C4170" s="28" t="s">
        <v>95</v>
      </c>
      <c r="D4170" s="28" t="s">
        <v>1523</v>
      </c>
      <c r="E4170" s="28" t="s">
        <v>75</v>
      </c>
      <c r="F4170" s="28">
        <v>25</v>
      </c>
      <c r="G4170" s="28" t="s">
        <v>141</v>
      </c>
      <c r="H4170" s="28">
        <v>0</v>
      </c>
      <c r="J4170" s="92"/>
    </row>
    <row r="4171" spans="1:10" ht="15.75" customHeight="1">
      <c r="A4171" s="28">
        <v>20423</v>
      </c>
      <c r="B4171" s="91">
        <v>45186.65861111111</v>
      </c>
      <c r="C4171" s="28" t="s">
        <v>95</v>
      </c>
      <c r="D4171" s="28" t="s">
        <v>1523</v>
      </c>
      <c r="E4171" s="28" t="s">
        <v>75</v>
      </c>
      <c r="F4171" s="28">
        <v>20</v>
      </c>
      <c r="G4171" s="28"/>
      <c r="H4171" s="28">
        <v>0</v>
      </c>
      <c r="J4171" s="92"/>
    </row>
    <row r="4172" spans="1:10" ht="15.75" customHeight="1">
      <c r="A4172" s="28">
        <v>20422</v>
      </c>
      <c r="B4172" s="91">
        <v>45186.658587962964</v>
      </c>
      <c r="C4172" s="28" t="s">
        <v>95</v>
      </c>
      <c r="D4172" s="28" t="s">
        <v>1524</v>
      </c>
      <c r="E4172" s="28" t="s">
        <v>75</v>
      </c>
      <c r="F4172" s="28">
        <v>55</v>
      </c>
      <c r="G4172" s="28" t="s">
        <v>1457</v>
      </c>
      <c r="H4172" s="28">
        <v>0</v>
      </c>
      <c r="J4172" s="92"/>
    </row>
    <row r="4173" spans="1:10" ht="15.75" customHeight="1">
      <c r="A4173" s="28">
        <v>20421</v>
      </c>
      <c r="B4173" s="91">
        <v>45186.654097222221</v>
      </c>
      <c r="C4173" s="28" t="s">
        <v>95</v>
      </c>
      <c r="D4173" s="28" t="s">
        <v>1391</v>
      </c>
      <c r="E4173" s="28" t="s">
        <v>75</v>
      </c>
      <c r="F4173" s="28">
        <v>55</v>
      </c>
      <c r="G4173" s="28" t="s">
        <v>1457</v>
      </c>
      <c r="H4173" s="28">
        <v>0</v>
      </c>
      <c r="J4173" s="92"/>
    </row>
    <row r="4174" spans="1:10" ht="15.75" customHeight="1">
      <c r="A4174" s="28">
        <v>20420</v>
      </c>
      <c r="B4174" s="91">
        <v>45186.643009259256</v>
      </c>
      <c r="C4174" s="28" t="s">
        <v>95</v>
      </c>
      <c r="D4174" s="28" t="s">
        <v>1525</v>
      </c>
      <c r="E4174" s="28" t="s">
        <v>75</v>
      </c>
      <c r="F4174" s="28">
        <v>28</v>
      </c>
      <c r="G4174" s="28" t="s">
        <v>1448</v>
      </c>
      <c r="H4174" s="28">
        <v>0</v>
      </c>
      <c r="J4174" s="92"/>
    </row>
    <row r="4175" spans="1:10" ht="15.75" customHeight="1">
      <c r="A4175" s="28">
        <v>20420</v>
      </c>
      <c r="B4175" s="91">
        <v>45186.643009259256</v>
      </c>
      <c r="C4175" s="28" t="s">
        <v>95</v>
      </c>
      <c r="D4175" s="28" t="s">
        <v>1525</v>
      </c>
      <c r="E4175" s="28" t="s">
        <v>75</v>
      </c>
      <c r="F4175" s="28">
        <v>20</v>
      </c>
      <c r="G4175" s="28" t="s">
        <v>1444</v>
      </c>
      <c r="H4175" s="28">
        <v>0</v>
      </c>
      <c r="J4175" s="92"/>
    </row>
    <row r="4176" spans="1:10" ht="15.75" customHeight="1">
      <c r="A4176" s="28">
        <v>20419</v>
      </c>
      <c r="B4176" s="91">
        <v>45186.621076388888</v>
      </c>
      <c r="C4176" s="28" t="s">
        <v>95</v>
      </c>
      <c r="D4176" s="28" t="s">
        <v>1526</v>
      </c>
      <c r="E4176" s="28" t="s">
        <v>75</v>
      </c>
      <c r="F4176" s="28">
        <v>15</v>
      </c>
      <c r="G4176" s="28" t="s">
        <v>1453</v>
      </c>
      <c r="H4176" s="28">
        <v>0</v>
      </c>
      <c r="J4176" s="92"/>
    </row>
    <row r="4177" spans="1:10" ht="15.75" customHeight="1">
      <c r="A4177" s="28">
        <v>20418</v>
      </c>
      <c r="B4177" s="91">
        <v>45186.618402777778</v>
      </c>
      <c r="C4177" s="28" t="s">
        <v>95</v>
      </c>
      <c r="D4177" s="28" t="s">
        <v>1527</v>
      </c>
      <c r="E4177" s="28" t="s">
        <v>75</v>
      </c>
      <c r="F4177" s="28">
        <v>30</v>
      </c>
      <c r="G4177" s="28"/>
      <c r="H4177" s="28">
        <v>0</v>
      </c>
      <c r="J4177" s="92"/>
    </row>
    <row r="4178" spans="1:10" ht="15.75" customHeight="1">
      <c r="A4178" s="28">
        <v>20418</v>
      </c>
      <c r="B4178" s="91">
        <v>45186.618402777778</v>
      </c>
      <c r="C4178" s="28" t="s">
        <v>95</v>
      </c>
      <c r="D4178" s="28" t="s">
        <v>1527</v>
      </c>
      <c r="E4178" s="28" t="s">
        <v>75</v>
      </c>
      <c r="F4178" s="28">
        <v>15</v>
      </c>
      <c r="G4178" s="28" t="s">
        <v>1453</v>
      </c>
      <c r="H4178" s="28">
        <v>0</v>
      </c>
      <c r="J4178" s="92"/>
    </row>
    <row r="4179" spans="1:10" ht="15.75" customHeight="1">
      <c r="A4179" s="28">
        <v>20417</v>
      </c>
      <c r="B4179" s="91">
        <v>45186.614490740743</v>
      </c>
      <c r="C4179" s="28" t="s">
        <v>95</v>
      </c>
      <c r="D4179" s="28" t="s">
        <v>1318</v>
      </c>
      <c r="E4179" s="28" t="s">
        <v>75</v>
      </c>
      <c r="F4179" s="28">
        <v>25</v>
      </c>
      <c r="G4179" s="28" t="s">
        <v>1446</v>
      </c>
      <c r="H4179" s="28">
        <v>0</v>
      </c>
      <c r="J4179" s="92"/>
    </row>
    <row r="4180" spans="1:10" ht="15.75" customHeight="1">
      <c r="A4180" s="28">
        <v>20416</v>
      </c>
      <c r="B4180" s="91">
        <v>45186.613437499997</v>
      </c>
      <c r="C4180" s="28" t="s">
        <v>95</v>
      </c>
      <c r="D4180" s="28" t="s">
        <v>1528</v>
      </c>
      <c r="E4180" s="28" t="s">
        <v>75</v>
      </c>
      <c r="F4180" s="28">
        <v>15</v>
      </c>
      <c r="G4180" s="28" t="s">
        <v>1467</v>
      </c>
      <c r="H4180" s="28">
        <v>0</v>
      </c>
      <c r="J4180" s="92"/>
    </row>
    <row r="4181" spans="1:10" ht="15.75" customHeight="1">
      <c r="A4181" s="28">
        <v>20416</v>
      </c>
      <c r="B4181" s="91">
        <v>45186.613437499997</v>
      </c>
      <c r="C4181" s="28" t="s">
        <v>95</v>
      </c>
      <c r="D4181" s="28" t="s">
        <v>1528</v>
      </c>
      <c r="E4181" s="28" t="s">
        <v>75</v>
      </c>
      <c r="F4181" s="28">
        <v>22</v>
      </c>
      <c r="G4181" s="28" t="s">
        <v>1459</v>
      </c>
      <c r="H4181" s="28">
        <v>0</v>
      </c>
      <c r="J4181" s="92"/>
    </row>
    <row r="4182" spans="1:10" ht="15.75" customHeight="1">
      <c r="A4182" s="28">
        <v>20415</v>
      </c>
      <c r="B4182" s="91">
        <v>45186.607708333337</v>
      </c>
      <c r="C4182" s="28" t="s">
        <v>95</v>
      </c>
      <c r="D4182" s="28" t="s">
        <v>1529</v>
      </c>
      <c r="E4182" s="28" t="s">
        <v>75</v>
      </c>
      <c r="F4182" s="28">
        <v>44</v>
      </c>
      <c r="G4182" s="28" t="s">
        <v>1459</v>
      </c>
      <c r="H4182" s="28">
        <v>0</v>
      </c>
      <c r="J4182" s="92"/>
    </row>
    <row r="4183" spans="1:10" ht="15.75" customHeight="1">
      <c r="A4183" s="28">
        <v>20414</v>
      </c>
      <c r="B4183" s="91">
        <v>45186.606342592589</v>
      </c>
      <c r="C4183" s="28" t="s">
        <v>95</v>
      </c>
      <c r="D4183" s="28" t="s">
        <v>1530</v>
      </c>
      <c r="E4183" s="28" t="s">
        <v>75</v>
      </c>
      <c r="F4183" s="28">
        <v>15</v>
      </c>
      <c r="G4183" s="28" t="s">
        <v>1453</v>
      </c>
      <c r="H4183" s="28">
        <v>0</v>
      </c>
      <c r="J4183" s="92"/>
    </row>
    <row r="4184" spans="1:10" ht="15.75" customHeight="1">
      <c r="A4184" s="28">
        <v>20413</v>
      </c>
      <c r="B4184" s="91">
        <v>45186.599664351852</v>
      </c>
      <c r="C4184" s="28" t="s">
        <v>95</v>
      </c>
      <c r="D4184" s="28" t="s">
        <v>1531</v>
      </c>
      <c r="E4184" s="28" t="s">
        <v>75</v>
      </c>
      <c r="F4184" s="28">
        <v>40</v>
      </c>
      <c r="G4184" s="28"/>
      <c r="H4184" s="28">
        <v>0</v>
      </c>
      <c r="J4184" s="92"/>
    </row>
    <row r="4185" spans="1:10" ht="15.75" customHeight="1">
      <c r="A4185" s="28">
        <v>20413</v>
      </c>
      <c r="B4185" s="91">
        <v>45186.599664351852</v>
      </c>
      <c r="C4185" s="28" t="s">
        <v>95</v>
      </c>
      <c r="D4185" s="28" t="s">
        <v>1531</v>
      </c>
      <c r="E4185" s="28" t="s">
        <v>75</v>
      </c>
      <c r="F4185" s="28">
        <v>28</v>
      </c>
      <c r="G4185" s="28" t="s">
        <v>1448</v>
      </c>
      <c r="H4185" s="28">
        <v>0</v>
      </c>
      <c r="J4185" s="92"/>
    </row>
    <row r="4186" spans="1:10" ht="15.75" customHeight="1">
      <c r="A4186" s="28">
        <v>20413</v>
      </c>
      <c r="B4186" s="91">
        <v>45186.599664351852</v>
      </c>
      <c r="C4186" s="28" t="s">
        <v>95</v>
      </c>
      <c r="D4186" s="28" t="s">
        <v>1531</v>
      </c>
      <c r="E4186" s="28" t="s">
        <v>75</v>
      </c>
      <c r="F4186" s="28">
        <v>0</v>
      </c>
      <c r="G4186" s="28" t="s">
        <v>141</v>
      </c>
      <c r="H4186" s="28">
        <v>0</v>
      </c>
      <c r="J4186" s="92"/>
    </row>
    <row r="4187" spans="1:10" ht="15.75" customHeight="1">
      <c r="A4187" s="28">
        <v>20412</v>
      </c>
      <c r="B4187" s="91">
        <v>45186.598379629628</v>
      </c>
      <c r="C4187" s="28" t="s">
        <v>95</v>
      </c>
      <c r="D4187" s="28" t="s">
        <v>1439</v>
      </c>
      <c r="E4187" s="28" t="s">
        <v>75</v>
      </c>
      <c r="F4187" s="28">
        <v>35</v>
      </c>
      <c r="G4187" s="28" t="s">
        <v>1443</v>
      </c>
      <c r="H4187" s="28">
        <v>0</v>
      </c>
      <c r="J4187" s="92"/>
    </row>
    <row r="4188" spans="1:10" ht="15.75" customHeight="1">
      <c r="A4188" s="28">
        <v>20411</v>
      </c>
      <c r="B4188" s="91">
        <v>45186.595266203702</v>
      </c>
      <c r="C4188" s="28" t="s">
        <v>95</v>
      </c>
      <c r="D4188" s="28" t="s">
        <v>1532</v>
      </c>
      <c r="E4188" s="28" t="s">
        <v>75</v>
      </c>
      <c r="F4188" s="28">
        <v>15</v>
      </c>
      <c r="G4188" s="28" t="s">
        <v>1467</v>
      </c>
      <c r="H4188" s="28">
        <v>0</v>
      </c>
      <c r="J4188" s="92"/>
    </row>
    <row r="4189" spans="1:10" ht="15.75" customHeight="1">
      <c r="A4189" s="28">
        <v>20410</v>
      </c>
      <c r="B4189" s="91">
        <v>45186.593391203707</v>
      </c>
      <c r="C4189" s="28" t="s">
        <v>95</v>
      </c>
      <c r="D4189" s="28" t="s">
        <v>1412</v>
      </c>
      <c r="E4189" s="28" t="s">
        <v>75</v>
      </c>
      <c r="F4189" s="28">
        <v>55</v>
      </c>
      <c r="G4189" s="28" t="s">
        <v>1457</v>
      </c>
      <c r="H4189" s="28">
        <v>0</v>
      </c>
      <c r="J4189" s="92"/>
    </row>
    <row r="4190" spans="1:10" ht="15.75" customHeight="1">
      <c r="A4190" s="28">
        <v>20409</v>
      </c>
      <c r="B4190" s="91">
        <v>45186.592731481483</v>
      </c>
      <c r="C4190" s="28" t="s">
        <v>95</v>
      </c>
      <c r="D4190" s="28" t="s">
        <v>1533</v>
      </c>
      <c r="E4190" s="28" t="s">
        <v>75</v>
      </c>
      <c r="F4190" s="28">
        <v>30</v>
      </c>
      <c r="G4190" s="28" t="s">
        <v>1453</v>
      </c>
      <c r="H4190" s="28">
        <v>0</v>
      </c>
      <c r="J4190" s="92"/>
    </row>
    <row r="4191" spans="1:10" ht="15.75" customHeight="1">
      <c r="A4191" s="28">
        <v>20408</v>
      </c>
      <c r="B4191" s="91">
        <v>45186.590069444443</v>
      </c>
      <c r="C4191" s="28" t="s">
        <v>95</v>
      </c>
      <c r="D4191" s="28" t="s">
        <v>1534</v>
      </c>
      <c r="E4191" s="28" t="s">
        <v>75</v>
      </c>
      <c r="F4191" s="28">
        <v>26</v>
      </c>
      <c r="G4191" s="28" t="s">
        <v>1455</v>
      </c>
      <c r="H4191" s="28">
        <v>0</v>
      </c>
      <c r="J4191" s="92"/>
    </row>
    <row r="4192" spans="1:10" ht="15.75" customHeight="1">
      <c r="A4192" s="28">
        <v>20408</v>
      </c>
      <c r="B4192" s="91">
        <v>45186.590069444443</v>
      </c>
      <c r="C4192" s="28" t="s">
        <v>95</v>
      </c>
      <c r="D4192" s="28" t="s">
        <v>1534</v>
      </c>
      <c r="E4192" s="28" t="s">
        <v>75</v>
      </c>
      <c r="F4192" s="28">
        <v>22</v>
      </c>
      <c r="G4192" s="28" t="s">
        <v>1535</v>
      </c>
      <c r="H4192" s="28">
        <v>0</v>
      </c>
      <c r="J4192" s="92"/>
    </row>
    <row r="4193" spans="1:10" ht="15.75" customHeight="1">
      <c r="A4193" s="28">
        <v>20407</v>
      </c>
      <c r="B4193" s="91">
        <v>45186.587847222225</v>
      </c>
      <c r="C4193" s="28" t="s">
        <v>95</v>
      </c>
      <c r="D4193" s="28" t="s">
        <v>1536</v>
      </c>
      <c r="E4193" s="28" t="s">
        <v>75</v>
      </c>
      <c r="F4193" s="28">
        <v>35</v>
      </c>
      <c r="G4193" s="28" t="s">
        <v>1443</v>
      </c>
      <c r="H4193" s="28">
        <v>0</v>
      </c>
      <c r="J4193" s="92"/>
    </row>
    <row r="4194" spans="1:10" ht="15.75" customHeight="1">
      <c r="A4194" s="28">
        <v>20406</v>
      </c>
      <c r="B4194" s="91">
        <v>45186.585972222223</v>
      </c>
      <c r="C4194" s="28" t="s">
        <v>95</v>
      </c>
      <c r="D4194" s="28" t="s">
        <v>1537</v>
      </c>
      <c r="E4194" s="28" t="s">
        <v>75</v>
      </c>
      <c r="F4194" s="28">
        <v>35</v>
      </c>
      <c r="G4194" s="28" t="s">
        <v>1443</v>
      </c>
      <c r="H4194" s="28">
        <v>0</v>
      </c>
      <c r="J4194" s="92"/>
    </row>
    <row r="4195" spans="1:10" ht="15.75" customHeight="1">
      <c r="A4195" s="28">
        <v>20405</v>
      </c>
      <c r="B4195" s="91">
        <v>45186.58421296296</v>
      </c>
      <c r="C4195" s="28" t="s">
        <v>95</v>
      </c>
      <c r="D4195" s="28" t="s">
        <v>1371</v>
      </c>
      <c r="E4195" s="28" t="s">
        <v>75</v>
      </c>
      <c r="F4195" s="28">
        <v>15</v>
      </c>
      <c r="G4195" s="28" t="s">
        <v>1453</v>
      </c>
      <c r="H4195" s="28">
        <v>0</v>
      </c>
      <c r="J4195" s="92"/>
    </row>
    <row r="4196" spans="1:10" ht="15.75" customHeight="1">
      <c r="A4196" s="28">
        <v>20405</v>
      </c>
      <c r="B4196" s="91">
        <v>45186.58421296296</v>
      </c>
      <c r="C4196" s="28" t="s">
        <v>95</v>
      </c>
      <c r="D4196" s="28" t="s">
        <v>1371</v>
      </c>
      <c r="E4196" s="28" t="s">
        <v>75</v>
      </c>
      <c r="F4196" s="28">
        <v>18</v>
      </c>
      <c r="G4196" s="28" t="s">
        <v>1470</v>
      </c>
      <c r="H4196" s="28">
        <v>0</v>
      </c>
      <c r="J4196" s="92"/>
    </row>
    <row r="4197" spans="1:10" ht="15.75" customHeight="1">
      <c r="A4197" s="28">
        <v>20404</v>
      </c>
      <c r="B4197" s="91">
        <v>45186.578402777777</v>
      </c>
      <c r="C4197" s="28" t="s">
        <v>95</v>
      </c>
      <c r="D4197" s="28" t="s">
        <v>1411</v>
      </c>
      <c r="E4197" s="28" t="s">
        <v>75</v>
      </c>
      <c r="F4197" s="28">
        <v>20</v>
      </c>
      <c r="G4197" s="28"/>
      <c r="H4197" s="28">
        <v>0</v>
      </c>
      <c r="J4197" s="92"/>
    </row>
    <row r="4198" spans="1:10" ht="15.75" customHeight="1">
      <c r="A4198" s="28">
        <v>20404</v>
      </c>
      <c r="B4198" s="91">
        <v>45186.578402777777</v>
      </c>
      <c r="C4198" s="28" t="s">
        <v>95</v>
      </c>
      <c r="D4198" s="28" t="s">
        <v>1411</v>
      </c>
      <c r="E4198" s="28" t="s">
        <v>75</v>
      </c>
      <c r="F4198" s="28">
        <v>28</v>
      </c>
      <c r="G4198" s="28" t="s">
        <v>1448</v>
      </c>
      <c r="H4198" s="28">
        <v>0</v>
      </c>
      <c r="J4198" s="92"/>
    </row>
    <row r="4199" spans="1:10" ht="15.75" customHeight="1">
      <c r="A4199" s="28">
        <v>20403</v>
      </c>
      <c r="B4199" s="91">
        <v>45186.572465277779</v>
      </c>
      <c r="C4199" s="28" t="s">
        <v>95</v>
      </c>
      <c r="D4199" s="28" t="s">
        <v>1360</v>
      </c>
      <c r="E4199" s="28" t="s">
        <v>75</v>
      </c>
      <c r="F4199" s="28">
        <v>22</v>
      </c>
      <c r="G4199" s="28" t="s">
        <v>1459</v>
      </c>
      <c r="H4199" s="28">
        <v>0</v>
      </c>
      <c r="J4199" s="92"/>
    </row>
    <row r="4200" spans="1:10" ht="15.75" customHeight="1">
      <c r="A4200" s="28">
        <v>20403</v>
      </c>
      <c r="B4200" s="91">
        <v>45186.572465277779</v>
      </c>
      <c r="C4200" s="28" t="s">
        <v>95</v>
      </c>
      <c r="D4200" s="28" t="s">
        <v>1360</v>
      </c>
      <c r="E4200" s="28" t="s">
        <v>75</v>
      </c>
      <c r="F4200" s="28">
        <v>30</v>
      </c>
      <c r="G4200" s="28" t="s">
        <v>1467</v>
      </c>
      <c r="H4200" s="28">
        <v>0</v>
      </c>
      <c r="J4200" s="92"/>
    </row>
    <row r="4201" spans="1:10" ht="15.75" customHeight="1">
      <c r="A4201" s="28">
        <v>20403</v>
      </c>
      <c r="B4201" s="91">
        <v>45186.572465277779</v>
      </c>
      <c r="C4201" s="28" t="s">
        <v>95</v>
      </c>
      <c r="D4201" s="28" t="s">
        <v>1360</v>
      </c>
      <c r="E4201" s="28" t="s">
        <v>75</v>
      </c>
      <c r="F4201" s="28">
        <v>22</v>
      </c>
      <c r="G4201" s="28" t="s">
        <v>1535</v>
      </c>
      <c r="H4201" s="28">
        <v>0</v>
      </c>
      <c r="J4201" s="92"/>
    </row>
    <row r="4202" spans="1:10" ht="15.75" customHeight="1">
      <c r="A4202" s="28">
        <v>20403</v>
      </c>
      <c r="B4202" s="91">
        <v>45186.572465277779</v>
      </c>
      <c r="C4202" s="28" t="s">
        <v>95</v>
      </c>
      <c r="D4202" s="28" t="s">
        <v>1360</v>
      </c>
      <c r="E4202" s="28" t="s">
        <v>75</v>
      </c>
      <c r="F4202" s="28">
        <v>26</v>
      </c>
      <c r="G4202" s="28" t="s">
        <v>1455</v>
      </c>
      <c r="H4202" s="28">
        <v>0</v>
      </c>
      <c r="J4202" s="92"/>
    </row>
    <row r="4203" spans="1:10" ht="15.75" customHeight="1">
      <c r="A4203" s="28">
        <v>20402</v>
      </c>
      <c r="B4203" s="91">
        <v>45186.563379629632</v>
      </c>
      <c r="C4203" s="28" t="s">
        <v>95</v>
      </c>
      <c r="D4203" s="28" t="s">
        <v>1538</v>
      </c>
      <c r="E4203" s="28" t="s">
        <v>75</v>
      </c>
      <c r="F4203" s="28">
        <v>35</v>
      </c>
      <c r="G4203" s="28" t="s">
        <v>1443</v>
      </c>
      <c r="H4203" s="28">
        <v>0</v>
      </c>
      <c r="J4203" s="92"/>
    </row>
    <row r="4204" spans="1:10" ht="15.75" customHeight="1">
      <c r="A4204" s="28">
        <v>20401</v>
      </c>
      <c r="B4204" s="91">
        <v>45186.559212962966</v>
      </c>
      <c r="C4204" s="28" t="s">
        <v>95</v>
      </c>
      <c r="D4204" s="28" t="s">
        <v>1369</v>
      </c>
      <c r="E4204" s="28" t="s">
        <v>75</v>
      </c>
      <c r="F4204" s="28">
        <v>25</v>
      </c>
      <c r="G4204" s="28" t="s">
        <v>1446</v>
      </c>
      <c r="H4204" s="28">
        <v>0</v>
      </c>
      <c r="J4204" s="92"/>
    </row>
    <row r="4205" spans="1:10" ht="15.75" customHeight="1">
      <c r="A4205" s="28">
        <v>20401</v>
      </c>
      <c r="B4205" s="91">
        <v>45186.559212962966</v>
      </c>
      <c r="C4205" s="28" t="s">
        <v>95</v>
      </c>
      <c r="D4205" s="28" t="s">
        <v>1369</v>
      </c>
      <c r="E4205" s="28" t="s">
        <v>75</v>
      </c>
      <c r="F4205" s="28">
        <v>25</v>
      </c>
      <c r="G4205" s="28"/>
      <c r="H4205" s="28">
        <v>0</v>
      </c>
      <c r="J4205" s="92"/>
    </row>
    <row r="4206" spans="1:10" ht="15.75" customHeight="1">
      <c r="A4206" s="28">
        <v>20401</v>
      </c>
      <c r="B4206" s="91">
        <v>45186.559212962966</v>
      </c>
      <c r="C4206" s="28" t="s">
        <v>95</v>
      </c>
      <c r="D4206" s="28" t="s">
        <v>1369</v>
      </c>
      <c r="E4206" s="28" t="s">
        <v>75</v>
      </c>
      <c r="F4206" s="28">
        <v>0</v>
      </c>
      <c r="G4206" s="28" t="s">
        <v>141</v>
      </c>
      <c r="H4206" s="28">
        <v>0</v>
      </c>
      <c r="J4206" s="92"/>
    </row>
    <row r="4207" spans="1:10" ht="15.75" customHeight="1">
      <c r="A4207" s="28">
        <v>20401</v>
      </c>
      <c r="B4207" s="91">
        <v>45186.559212962966</v>
      </c>
      <c r="C4207" s="28" t="s">
        <v>95</v>
      </c>
      <c r="D4207" s="28" t="s">
        <v>1369</v>
      </c>
      <c r="E4207" s="28" t="s">
        <v>75</v>
      </c>
      <c r="F4207" s="28">
        <v>28</v>
      </c>
      <c r="G4207" s="28" t="s">
        <v>1448</v>
      </c>
      <c r="H4207" s="28">
        <v>0</v>
      </c>
      <c r="J4207" s="92"/>
    </row>
    <row r="4208" spans="1:10" ht="15.75" customHeight="1">
      <c r="A4208" s="28">
        <v>20400</v>
      </c>
      <c r="B4208" s="91">
        <v>45186.554050925923</v>
      </c>
      <c r="C4208" s="28" t="s">
        <v>95</v>
      </c>
      <c r="D4208" s="28" t="s">
        <v>1539</v>
      </c>
      <c r="E4208" s="28" t="s">
        <v>75</v>
      </c>
      <c r="F4208" s="28">
        <v>18</v>
      </c>
      <c r="G4208" s="28" t="s">
        <v>1470</v>
      </c>
      <c r="H4208" s="28">
        <v>0</v>
      </c>
      <c r="J4208" s="92"/>
    </row>
    <row r="4209" spans="1:10" ht="15.75" customHeight="1">
      <c r="A4209" s="28">
        <v>20399</v>
      </c>
      <c r="B4209" s="91">
        <v>45186.54278935185</v>
      </c>
      <c r="C4209" s="28" t="s">
        <v>95</v>
      </c>
      <c r="D4209" s="28" t="s">
        <v>1540</v>
      </c>
      <c r="E4209" s="28" t="s">
        <v>75</v>
      </c>
      <c r="F4209" s="28">
        <v>22</v>
      </c>
      <c r="G4209" s="28" t="s">
        <v>1535</v>
      </c>
      <c r="H4209" s="28">
        <v>0</v>
      </c>
      <c r="J4209" s="92"/>
    </row>
    <row r="4210" spans="1:10" ht="15.75" customHeight="1">
      <c r="A4210" s="28">
        <v>20399</v>
      </c>
      <c r="B4210" s="91">
        <v>45186.54278935185</v>
      </c>
      <c r="C4210" s="28" t="s">
        <v>95</v>
      </c>
      <c r="D4210" s="28" t="s">
        <v>1540</v>
      </c>
      <c r="E4210" s="28" t="s">
        <v>75</v>
      </c>
      <c r="F4210" s="28">
        <v>18</v>
      </c>
      <c r="G4210" s="28" t="s">
        <v>1470</v>
      </c>
      <c r="H4210" s="28">
        <v>0</v>
      </c>
      <c r="J4210" s="92"/>
    </row>
    <row r="4211" spans="1:10" ht="15.75" customHeight="1">
      <c r="A4211" s="28">
        <v>20399</v>
      </c>
      <c r="B4211" s="91">
        <v>45186.54278935185</v>
      </c>
      <c r="C4211" s="28" t="s">
        <v>95</v>
      </c>
      <c r="D4211" s="28" t="s">
        <v>1540</v>
      </c>
      <c r="E4211" s="28" t="s">
        <v>75</v>
      </c>
      <c r="F4211" s="28">
        <v>26</v>
      </c>
      <c r="G4211" s="28" t="s">
        <v>1455</v>
      </c>
      <c r="H4211" s="28">
        <v>0</v>
      </c>
      <c r="J4211" s="92"/>
    </row>
    <row r="4212" spans="1:10" ht="15.75" customHeight="1">
      <c r="A4212" s="28">
        <v>20398</v>
      </c>
      <c r="B4212" s="91">
        <v>45186.540520833332</v>
      </c>
      <c r="C4212" s="28" t="s">
        <v>95</v>
      </c>
      <c r="D4212" s="28" t="s">
        <v>600</v>
      </c>
      <c r="E4212" s="28" t="s">
        <v>75</v>
      </c>
      <c r="F4212" s="28">
        <v>0</v>
      </c>
      <c r="G4212" s="28" t="s">
        <v>141</v>
      </c>
      <c r="H4212" s="28">
        <v>0</v>
      </c>
      <c r="J4212" s="92"/>
    </row>
    <row r="4213" spans="1:10" ht="15.75" customHeight="1">
      <c r="A4213" s="28">
        <v>20398</v>
      </c>
      <c r="B4213" s="91">
        <v>45186.540520833332</v>
      </c>
      <c r="C4213" s="28" t="s">
        <v>95</v>
      </c>
      <c r="D4213" s="28" t="s">
        <v>600</v>
      </c>
      <c r="E4213" s="28" t="s">
        <v>75</v>
      </c>
      <c r="F4213" s="28">
        <v>56</v>
      </c>
      <c r="G4213" s="28" t="s">
        <v>1448</v>
      </c>
      <c r="H4213" s="28">
        <v>0</v>
      </c>
      <c r="J4213" s="92"/>
    </row>
    <row r="4214" spans="1:10" ht="15.75" customHeight="1">
      <c r="A4214" s="28">
        <v>20397</v>
      </c>
      <c r="B4214" s="91">
        <v>45186.537743055553</v>
      </c>
      <c r="C4214" s="28" t="s">
        <v>95</v>
      </c>
      <c r="D4214" s="28" t="s">
        <v>284</v>
      </c>
      <c r="E4214" s="28" t="s">
        <v>75</v>
      </c>
      <c r="F4214" s="28">
        <v>18</v>
      </c>
      <c r="G4214" s="28" t="s">
        <v>1470</v>
      </c>
      <c r="H4214" s="28">
        <v>0</v>
      </c>
      <c r="J4214" s="92"/>
    </row>
    <row r="4215" spans="1:10" ht="15.75" customHeight="1">
      <c r="A4215" s="28">
        <v>20397</v>
      </c>
      <c r="B4215" s="91">
        <v>45186.537743055553</v>
      </c>
      <c r="C4215" s="28" t="s">
        <v>95</v>
      </c>
      <c r="D4215" s="28" t="s">
        <v>284</v>
      </c>
      <c r="E4215" s="28" t="s">
        <v>75</v>
      </c>
      <c r="F4215" s="28">
        <v>55</v>
      </c>
      <c r="G4215" s="28" t="s">
        <v>1541</v>
      </c>
      <c r="H4215" s="28">
        <v>0</v>
      </c>
      <c r="J4215" s="92"/>
    </row>
    <row r="4216" spans="1:10" ht="15.75" customHeight="1">
      <c r="A4216" s="28">
        <v>20396</v>
      </c>
      <c r="B4216" s="91">
        <v>45186.532048611109</v>
      </c>
      <c r="C4216" s="28" t="s">
        <v>95</v>
      </c>
      <c r="D4216" s="28" t="s">
        <v>1542</v>
      </c>
      <c r="E4216" s="28" t="s">
        <v>75</v>
      </c>
      <c r="F4216" s="28">
        <v>15</v>
      </c>
      <c r="G4216" s="28" t="s">
        <v>1453</v>
      </c>
      <c r="H4216" s="28">
        <v>0</v>
      </c>
      <c r="J4216" s="92"/>
    </row>
    <row r="4217" spans="1:10" ht="15.75" customHeight="1">
      <c r="A4217" s="28">
        <v>20396</v>
      </c>
      <c r="B4217" s="91">
        <v>45186.532048611109</v>
      </c>
      <c r="C4217" s="28" t="s">
        <v>95</v>
      </c>
      <c r="D4217" s="28" t="s">
        <v>1542</v>
      </c>
      <c r="E4217" s="28" t="s">
        <v>75</v>
      </c>
      <c r="F4217" s="28">
        <v>22</v>
      </c>
      <c r="G4217" s="28" t="s">
        <v>1459</v>
      </c>
      <c r="H4217" s="28">
        <v>0</v>
      </c>
      <c r="J4217" s="92"/>
    </row>
    <row r="4218" spans="1:10" ht="15.75" customHeight="1">
      <c r="A4218" s="28">
        <v>20395</v>
      </c>
      <c r="B4218" s="91">
        <v>45186.523263888892</v>
      </c>
      <c r="C4218" s="28" t="s">
        <v>95</v>
      </c>
      <c r="D4218" s="28" t="s">
        <v>1543</v>
      </c>
      <c r="E4218" s="28" t="s">
        <v>75</v>
      </c>
      <c r="F4218" s="28">
        <v>35</v>
      </c>
      <c r="G4218" s="28" t="s">
        <v>1443</v>
      </c>
      <c r="H4218" s="28">
        <v>0</v>
      </c>
      <c r="J4218" s="92"/>
    </row>
    <row r="4219" spans="1:10" ht="15.75" customHeight="1">
      <c r="A4219" s="28">
        <v>20394</v>
      </c>
      <c r="B4219" s="91">
        <v>45186.521493055552</v>
      </c>
      <c r="C4219" s="28" t="s">
        <v>95</v>
      </c>
      <c r="D4219" s="28" t="s">
        <v>1544</v>
      </c>
      <c r="E4219" s="28" t="s">
        <v>75</v>
      </c>
      <c r="F4219" s="28">
        <v>35</v>
      </c>
      <c r="G4219" s="28" t="s">
        <v>1443</v>
      </c>
      <c r="H4219" s="28">
        <v>0</v>
      </c>
      <c r="J4219" s="92"/>
    </row>
    <row r="4220" spans="1:10" ht="15.75" customHeight="1">
      <c r="A4220" s="28">
        <v>20394</v>
      </c>
      <c r="B4220" s="91">
        <v>45186.521493055552</v>
      </c>
      <c r="C4220" s="28" t="s">
        <v>95</v>
      </c>
      <c r="D4220" s="28" t="s">
        <v>1544</v>
      </c>
      <c r="E4220" s="28" t="s">
        <v>75</v>
      </c>
      <c r="F4220" s="28">
        <v>25</v>
      </c>
      <c r="G4220" s="28" t="s">
        <v>141</v>
      </c>
      <c r="H4220" s="28">
        <v>0</v>
      </c>
      <c r="J4220" s="92"/>
    </row>
    <row r="4221" spans="1:10" ht="15.75" customHeight="1">
      <c r="A4221" s="28">
        <v>20393</v>
      </c>
      <c r="B4221" s="91">
        <v>45186.517951388887</v>
      </c>
      <c r="C4221" s="28" t="s">
        <v>95</v>
      </c>
      <c r="D4221" s="28" t="s">
        <v>1545</v>
      </c>
      <c r="E4221" s="28" t="s">
        <v>75</v>
      </c>
      <c r="F4221" s="28">
        <v>35</v>
      </c>
      <c r="G4221" s="28" t="s">
        <v>1443</v>
      </c>
      <c r="H4221" s="28">
        <v>0</v>
      </c>
      <c r="J4221" s="92"/>
    </row>
    <row r="4222" spans="1:10" ht="15.75" customHeight="1">
      <c r="A4222" s="28">
        <v>20393</v>
      </c>
      <c r="B4222" s="91">
        <v>45186.517951388887</v>
      </c>
      <c r="C4222" s="28" t="s">
        <v>95</v>
      </c>
      <c r="D4222" s="28" t="s">
        <v>1545</v>
      </c>
      <c r="E4222" s="28" t="s">
        <v>75</v>
      </c>
      <c r="F4222" s="28">
        <v>15</v>
      </c>
      <c r="G4222" s="28" t="s">
        <v>1453</v>
      </c>
      <c r="H4222" s="28">
        <v>0</v>
      </c>
      <c r="J4222" s="92"/>
    </row>
    <row r="4223" spans="1:10" ht="15.75" customHeight="1">
      <c r="A4223" s="28">
        <v>20392</v>
      </c>
      <c r="B4223" s="91">
        <v>45186.514293981483</v>
      </c>
      <c r="C4223" s="28" t="s">
        <v>95</v>
      </c>
      <c r="D4223" s="28" t="s">
        <v>1546</v>
      </c>
      <c r="E4223" s="28" t="s">
        <v>75</v>
      </c>
      <c r="F4223" s="28">
        <v>35</v>
      </c>
      <c r="G4223" s="28" t="s">
        <v>1443</v>
      </c>
      <c r="H4223" s="28">
        <v>0</v>
      </c>
      <c r="J4223" s="92"/>
    </row>
    <row r="4224" spans="1:10" ht="15.75" customHeight="1">
      <c r="A4224" s="28">
        <v>20391</v>
      </c>
      <c r="B4224" s="91">
        <v>45186.510891203703</v>
      </c>
      <c r="C4224" s="28" t="s">
        <v>95</v>
      </c>
      <c r="D4224" s="28" t="s">
        <v>1547</v>
      </c>
      <c r="E4224" s="28" t="s">
        <v>75</v>
      </c>
      <c r="F4224" s="28">
        <v>26</v>
      </c>
      <c r="G4224" s="28" t="s">
        <v>1455</v>
      </c>
      <c r="H4224" s="28">
        <v>0</v>
      </c>
      <c r="J4224" s="92"/>
    </row>
    <row r="4225" spans="1:10" ht="15.75" customHeight="1">
      <c r="A4225" s="28">
        <v>20390</v>
      </c>
      <c r="B4225" s="91">
        <v>45186.50849537037</v>
      </c>
      <c r="C4225" s="28" t="s">
        <v>95</v>
      </c>
      <c r="D4225" s="28" t="s">
        <v>1548</v>
      </c>
      <c r="E4225" s="28" t="s">
        <v>75</v>
      </c>
      <c r="F4225" s="28">
        <v>35</v>
      </c>
      <c r="G4225" s="28" t="s">
        <v>1443</v>
      </c>
      <c r="H4225" s="28">
        <v>0</v>
      </c>
      <c r="J4225" s="92"/>
    </row>
    <row r="4226" spans="1:10" ht="15.75" customHeight="1">
      <c r="A4226" s="28">
        <v>20389</v>
      </c>
      <c r="B4226" s="91">
        <v>45186.465925925928</v>
      </c>
      <c r="C4226" s="28" t="s">
        <v>10</v>
      </c>
      <c r="D4226" s="28" t="s">
        <v>1394</v>
      </c>
      <c r="E4226" s="28" t="s">
        <v>75</v>
      </c>
      <c r="F4226" s="28">
        <v>50</v>
      </c>
      <c r="G4226" s="28" t="s">
        <v>141</v>
      </c>
      <c r="H4226" s="28">
        <v>0</v>
      </c>
      <c r="J4226" s="92"/>
    </row>
    <row r="4227" spans="1:10" ht="15.75" customHeight="1">
      <c r="A4227" s="28">
        <v>20388</v>
      </c>
      <c r="B4227" s="91">
        <v>45186.461863425924</v>
      </c>
      <c r="C4227" s="28" t="s">
        <v>95</v>
      </c>
      <c r="D4227" s="28" t="s">
        <v>1426</v>
      </c>
      <c r="E4227" s="28" t="s">
        <v>75</v>
      </c>
      <c r="F4227" s="28">
        <v>25</v>
      </c>
      <c r="G4227" s="28" t="s">
        <v>1446</v>
      </c>
      <c r="H4227" s="28">
        <v>0</v>
      </c>
      <c r="J4227" s="92"/>
    </row>
    <row r="4228" spans="1:10" ht="15.75" customHeight="1">
      <c r="A4228" s="28">
        <v>20387</v>
      </c>
      <c r="B4228" s="91">
        <v>45186.139745370368</v>
      </c>
      <c r="C4228" s="28" t="s">
        <v>95</v>
      </c>
      <c r="D4228" s="28" t="s">
        <v>1400</v>
      </c>
      <c r="E4228" s="28" t="s">
        <v>75</v>
      </c>
      <c r="F4228" s="28">
        <v>22</v>
      </c>
      <c r="G4228" s="28" t="s">
        <v>1459</v>
      </c>
      <c r="H4228" s="28">
        <v>0</v>
      </c>
      <c r="J4228" s="92"/>
    </row>
    <row r="4229" spans="1:10" ht="15.75" customHeight="1">
      <c r="A4229" s="28">
        <v>20387</v>
      </c>
      <c r="B4229" s="91">
        <v>45186.139745370368</v>
      </c>
      <c r="C4229" s="28" t="s">
        <v>95</v>
      </c>
      <c r="D4229" s="28" t="s">
        <v>1400</v>
      </c>
      <c r="E4229" s="28" t="s">
        <v>75</v>
      </c>
      <c r="F4229" s="28">
        <v>25</v>
      </c>
      <c r="G4229" s="28" t="s">
        <v>1446</v>
      </c>
      <c r="H4229" s="28">
        <v>0</v>
      </c>
      <c r="J4229" s="92"/>
    </row>
    <row r="4230" spans="1:10" ht="15.75" customHeight="1">
      <c r="A4230" s="28">
        <v>20386</v>
      </c>
      <c r="B4230" s="91">
        <v>45186.090624999997</v>
      </c>
      <c r="C4230" s="28" t="s">
        <v>95</v>
      </c>
      <c r="D4230" s="28" t="s">
        <v>1352</v>
      </c>
      <c r="E4230" s="28" t="s">
        <v>75</v>
      </c>
      <c r="F4230" s="28">
        <v>28</v>
      </c>
      <c r="G4230" s="28" t="s">
        <v>1448</v>
      </c>
      <c r="H4230" s="28">
        <v>0</v>
      </c>
      <c r="J4230" s="92"/>
    </row>
    <row r="4231" spans="1:10" ht="15.75" customHeight="1">
      <c r="A4231" s="28">
        <v>20386</v>
      </c>
      <c r="B4231" s="91">
        <v>45186.090624999997</v>
      </c>
      <c r="C4231" s="28" t="s">
        <v>95</v>
      </c>
      <c r="D4231" s="28" t="s">
        <v>1352</v>
      </c>
      <c r="E4231" s="28" t="s">
        <v>75</v>
      </c>
      <c r="F4231" s="28">
        <v>20</v>
      </c>
      <c r="G4231" s="28">
        <v>100252</v>
      </c>
      <c r="H4231" s="28">
        <v>0</v>
      </c>
      <c r="J4231" s="92"/>
    </row>
    <row r="4232" spans="1:10" ht="15.75" customHeight="1">
      <c r="A4232" s="28">
        <v>20386</v>
      </c>
      <c r="B4232" s="91">
        <v>45186.090624999997</v>
      </c>
      <c r="C4232" s="28" t="s">
        <v>95</v>
      </c>
      <c r="D4232" s="28" t="s">
        <v>1352</v>
      </c>
      <c r="E4232" s="28" t="s">
        <v>75</v>
      </c>
      <c r="F4232" s="28">
        <v>0</v>
      </c>
      <c r="G4232" s="28" t="s">
        <v>141</v>
      </c>
      <c r="H4232" s="28">
        <v>0</v>
      </c>
      <c r="J4232" s="92"/>
    </row>
    <row r="4233" spans="1:10" ht="15.75" customHeight="1">
      <c r="A4233" s="28">
        <v>20385</v>
      </c>
      <c r="B4233" s="91">
        <v>45186.080648148149</v>
      </c>
      <c r="C4233" s="28" t="s">
        <v>95</v>
      </c>
      <c r="D4233" s="28" t="s">
        <v>1549</v>
      </c>
      <c r="E4233" s="28" t="s">
        <v>75</v>
      </c>
      <c r="F4233" s="28">
        <v>22</v>
      </c>
      <c r="G4233" s="28" t="s">
        <v>1535</v>
      </c>
      <c r="H4233" s="28">
        <v>0</v>
      </c>
      <c r="J4233" s="92"/>
    </row>
    <row r="4234" spans="1:10" ht="15.75" customHeight="1">
      <c r="A4234" s="28">
        <v>20385</v>
      </c>
      <c r="B4234" s="91">
        <v>45186.080648148149</v>
      </c>
      <c r="C4234" s="28" t="s">
        <v>95</v>
      </c>
      <c r="D4234" s="28" t="s">
        <v>1549</v>
      </c>
      <c r="E4234" s="28" t="s">
        <v>75</v>
      </c>
      <c r="F4234" s="28">
        <v>25</v>
      </c>
      <c r="G4234" s="28" t="s">
        <v>141</v>
      </c>
      <c r="H4234" s="28">
        <v>0</v>
      </c>
      <c r="J4234" s="92"/>
    </row>
    <row r="4235" spans="1:10" ht="15.75" customHeight="1">
      <c r="A4235" s="28">
        <v>20384</v>
      </c>
      <c r="B4235" s="91">
        <v>45186.028749999998</v>
      </c>
      <c r="C4235" s="28" t="s">
        <v>95</v>
      </c>
      <c r="D4235" s="28" t="s">
        <v>1305</v>
      </c>
      <c r="E4235" s="28" t="s">
        <v>75</v>
      </c>
      <c r="F4235" s="28">
        <v>18</v>
      </c>
      <c r="G4235" s="28" t="s">
        <v>1470</v>
      </c>
      <c r="H4235" s="28">
        <v>0</v>
      </c>
      <c r="J4235" s="92"/>
    </row>
    <row r="4236" spans="1:10" ht="15.75" customHeight="1">
      <c r="A4236" s="28">
        <v>20383</v>
      </c>
      <c r="B4236" s="91">
        <v>45185.983611111114</v>
      </c>
      <c r="C4236" s="28" t="s">
        <v>95</v>
      </c>
      <c r="D4236" s="28" t="s">
        <v>1550</v>
      </c>
      <c r="E4236" s="28" t="s">
        <v>75</v>
      </c>
      <c r="F4236" s="28">
        <v>25</v>
      </c>
      <c r="G4236" s="28" t="s">
        <v>1446</v>
      </c>
      <c r="H4236" s="28">
        <v>0</v>
      </c>
      <c r="J4236" s="92"/>
    </row>
    <row r="4237" spans="1:10" ht="15.75" customHeight="1">
      <c r="A4237" s="28">
        <v>20383</v>
      </c>
      <c r="B4237" s="91">
        <v>45185.983611111114</v>
      </c>
      <c r="C4237" s="28" t="s">
        <v>95</v>
      </c>
      <c r="D4237" s="28" t="s">
        <v>1550</v>
      </c>
      <c r="E4237" s="28" t="s">
        <v>75</v>
      </c>
      <c r="F4237" s="28">
        <v>28</v>
      </c>
      <c r="G4237" s="28" t="s">
        <v>1448</v>
      </c>
      <c r="H4237" s="28">
        <v>0</v>
      </c>
      <c r="J4237" s="92"/>
    </row>
    <row r="4238" spans="1:10" ht="15.75" customHeight="1">
      <c r="A4238" s="28">
        <v>20382</v>
      </c>
      <c r="B4238" s="91">
        <v>45185.946828703702</v>
      </c>
      <c r="C4238" s="28" t="s">
        <v>95</v>
      </c>
      <c r="D4238" s="28" t="s">
        <v>1392</v>
      </c>
      <c r="E4238" s="28" t="s">
        <v>75</v>
      </c>
      <c r="F4238" s="28">
        <v>35</v>
      </c>
      <c r="G4238" s="28" t="s">
        <v>1443</v>
      </c>
      <c r="H4238" s="28">
        <v>0</v>
      </c>
      <c r="J4238" s="92"/>
    </row>
    <row r="4239" spans="1:10" ht="15.75" customHeight="1">
      <c r="A4239" s="28">
        <v>20382</v>
      </c>
      <c r="B4239" s="91">
        <v>45185.946828703702</v>
      </c>
      <c r="C4239" s="28" t="s">
        <v>95</v>
      </c>
      <c r="D4239" s="28" t="s">
        <v>1392</v>
      </c>
      <c r="E4239" s="28" t="s">
        <v>75</v>
      </c>
      <c r="F4239" s="28">
        <v>22</v>
      </c>
      <c r="G4239" s="28" t="s">
        <v>1459</v>
      </c>
      <c r="H4239" s="28">
        <v>0</v>
      </c>
      <c r="J4239" s="92"/>
    </row>
    <row r="4240" spans="1:10" ht="15.75" customHeight="1">
      <c r="A4240" s="28">
        <v>20381</v>
      </c>
      <c r="B4240" s="91">
        <v>45185.899375000001</v>
      </c>
      <c r="C4240" s="28" t="s">
        <v>95</v>
      </c>
      <c r="D4240" s="28" t="s">
        <v>1551</v>
      </c>
      <c r="E4240" s="28" t="s">
        <v>75</v>
      </c>
      <c r="F4240" s="28">
        <v>55</v>
      </c>
      <c r="G4240" s="28">
        <v>101684</v>
      </c>
      <c r="H4240" s="28">
        <v>0</v>
      </c>
      <c r="J4240" s="92"/>
    </row>
    <row r="4241" spans="1:10" ht="15.75" customHeight="1">
      <c r="A4241" s="28">
        <v>20381</v>
      </c>
      <c r="B4241" s="91">
        <v>45185.899375000001</v>
      </c>
      <c r="C4241" s="28" t="s">
        <v>95</v>
      </c>
      <c r="D4241" s="28" t="s">
        <v>1551</v>
      </c>
      <c r="E4241" s="28" t="s">
        <v>75</v>
      </c>
      <c r="F4241" s="28">
        <v>0</v>
      </c>
      <c r="G4241" s="28" t="s">
        <v>118</v>
      </c>
      <c r="H4241" s="28">
        <v>0</v>
      </c>
      <c r="J4241" s="92"/>
    </row>
    <row r="4242" spans="1:10" ht="15.75" customHeight="1">
      <c r="A4242" s="28">
        <v>20381</v>
      </c>
      <c r="B4242" s="91">
        <v>45185.899375000001</v>
      </c>
      <c r="C4242" s="28" t="s">
        <v>95</v>
      </c>
      <c r="D4242" s="28" t="s">
        <v>1551</v>
      </c>
      <c r="E4242" s="28" t="s">
        <v>75</v>
      </c>
      <c r="F4242" s="28">
        <v>0</v>
      </c>
      <c r="G4242" s="28" t="s">
        <v>119</v>
      </c>
      <c r="H4242" s="28">
        <v>0</v>
      </c>
      <c r="J4242" s="92"/>
    </row>
    <row r="4243" spans="1:10" ht="15.75" customHeight="1">
      <c r="A4243" s="28">
        <v>20381</v>
      </c>
      <c r="B4243" s="91">
        <v>45185.899375000001</v>
      </c>
      <c r="C4243" s="28" t="s">
        <v>95</v>
      </c>
      <c r="D4243" s="28" t="s">
        <v>1551</v>
      </c>
      <c r="E4243" s="28" t="s">
        <v>75</v>
      </c>
      <c r="F4243" s="28">
        <v>0</v>
      </c>
      <c r="G4243" s="28" t="s">
        <v>120</v>
      </c>
      <c r="H4243" s="28">
        <v>0</v>
      </c>
      <c r="J4243" s="92"/>
    </row>
    <row r="4244" spans="1:10" ht="15.75" customHeight="1">
      <c r="A4244" s="28">
        <v>20381</v>
      </c>
      <c r="B4244" s="91">
        <v>45185.899375000001</v>
      </c>
      <c r="C4244" s="28" t="s">
        <v>95</v>
      </c>
      <c r="D4244" s="28" t="s">
        <v>1551</v>
      </c>
      <c r="E4244" s="28" t="s">
        <v>75</v>
      </c>
      <c r="F4244" s="28">
        <v>0</v>
      </c>
      <c r="G4244" s="28" t="s">
        <v>121</v>
      </c>
      <c r="H4244" s="28">
        <v>0</v>
      </c>
      <c r="J4244" s="92"/>
    </row>
    <row r="4245" spans="1:10" ht="15.75" customHeight="1">
      <c r="A4245" s="28">
        <v>20380</v>
      </c>
      <c r="B4245" s="91">
        <v>45185.855428240742</v>
      </c>
      <c r="C4245" s="28" t="s">
        <v>95</v>
      </c>
      <c r="D4245" s="28" t="s">
        <v>1552</v>
      </c>
      <c r="E4245" s="28" t="s">
        <v>75</v>
      </c>
      <c r="F4245" s="28">
        <v>18</v>
      </c>
      <c r="G4245" s="28" t="s">
        <v>1470</v>
      </c>
      <c r="H4245" s="28">
        <v>0</v>
      </c>
      <c r="J4245" s="92"/>
    </row>
    <row r="4246" spans="1:10" ht="15.75" customHeight="1">
      <c r="A4246" s="28">
        <v>20380</v>
      </c>
      <c r="B4246" s="91">
        <v>45185.855428240742</v>
      </c>
      <c r="C4246" s="28" t="s">
        <v>95</v>
      </c>
      <c r="D4246" s="28" t="s">
        <v>1552</v>
      </c>
      <c r="E4246" s="28" t="s">
        <v>75</v>
      </c>
      <c r="F4246" s="28">
        <v>28</v>
      </c>
      <c r="G4246" s="28" t="s">
        <v>1448</v>
      </c>
      <c r="H4246" s="28">
        <v>0</v>
      </c>
      <c r="J4246" s="92"/>
    </row>
    <row r="4247" spans="1:10" ht="15.75" customHeight="1">
      <c r="A4247" s="28">
        <v>20379</v>
      </c>
      <c r="B4247" s="91">
        <v>45185.806134259263</v>
      </c>
      <c r="C4247" s="28" t="s">
        <v>95</v>
      </c>
      <c r="D4247" s="28" t="s">
        <v>1345</v>
      </c>
      <c r="E4247" s="28" t="s">
        <v>75</v>
      </c>
      <c r="F4247" s="28">
        <v>15</v>
      </c>
      <c r="G4247" s="28" t="s">
        <v>1453</v>
      </c>
      <c r="H4247" s="28">
        <v>0</v>
      </c>
      <c r="J4247" s="92"/>
    </row>
    <row r="4248" spans="1:10" ht="15.75" customHeight="1">
      <c r="A4248" s="28">
        <v>20379</v>
      </c>
      <c r="B4248" s="91">
        <v>45185.806134259263</v>
      </c>
      <c r="C4248" s="28" t="s">
        <v>95</v>
      </c>
      <c r="D4248" s="28" t="s">
        <v>1345</v>
      </c>
      <c r="E4248" s="28" t="s">
        <v>75</v>
      </c>
      <c r="F4248" s="28">
        <v>25</v>
      </c>
      <c r="G4248" s="28" t="s">
        <v>141</v>
      </c>
      <c r="H4248" s="28">
        <v>0</v>
      </c>
      <c r="J4248" s="92"/>
    </row>
    <row r="4249" spans="1:10" ht="15.75" customHeight="1">
      <c r="A4249" s="28">
        <v>20378</v>
      </c>
      <c r="B4249" s="91">
        <v>45185.802858796298</v>
      </c>
      <c r="C4249" s="28" t="s">
        <v>95</v>
      </c>
      <c r="D4249" s="28" t="s">
        <v>1553</v>
      </c>
      <c r="E4249" s="28" t="s">
        <v>75</v>
      </c>
      <c r="F4249" s="28">
        <v>35</v>
      </c>
      <c r="G4249" s="28" t="s">
        <v>1443</v>
      </c>
      <c r="H4249" s="28">
        <v>0</v>
      </c>
      <c r="J4249" s="92"/>
    </row>
    <row r="4250" spans="1:10" ht="15.75" customHeight="1">
      <c r="A4250" s="28">
        <v>20377</v>
      </c>
      <c r="B4250" s="91">
        <v>45185.786168981482</v>
      </c>
      <c r="C4250" s="28" t="s">
        <v>95</v>
      </c>
      <c r="D4250" s="28" t="s">
        <v>1554</v>
      </c>
      <c r="E4250" s="28" t="s">
        <v>75</v>
      </c>
      <c r="F4250" s="28">
        <v>15</v>
      </c>
      <c r="G4250" s="28" t="s">
        <v>1467</v>
      </c>
      <c r="H4250" s="28">
        <v>0</v>
      </c>
      <c r="J4250" s="92"/>
    </row>
    <row r="4251" spans="1:10" ht="15.75" customHeight="1">
      <c r="A4251" s="28">
        <v>20377</v>
      </c>
      <c r="B4251" s="91">
        <v>45185.786168981482</v>
      </c>
      <c r="C4251" s="28" t="s">
        <v>95</v>
      </c>
      <c r="D4251" s="28" t="s">
        <v>1554</v>
      </c>
      <c r="E4251" s="28" t="s">
        <v>75</v>
      </c>
      <c r="F4251" s="28">
        <v>26</v>
      </c>
      <c r="G4251" s="28" t="s">
        <v>1455</v>
      </c>
      <c r="H4251" s="28">
        <v>0</v>
      </c>
      <c r="J4251" s="92"/>
    </row>
    <row r="4252" spans="1:10" ht="15.75" customHeight="1">
      <c r="A4252" s="28">
        <v>20376</v>
      </c>
      <c r="B4252" s="91">
        <v>45185.726018518515</v>
      </c>
      <c r="C4252" s="28" t="s">
        <v>95</v>
      </c>
      <c r="D4252" s="28" t="s">
        <v>1555</v>
      </c>
      <c r="E4252" s="28" t="s">
        <v>75</v>
      </c>
      <c r="F4252" s="28">
        <v>25</v>
      </c>
      <c r="G4252" s="28" t="s">
        <v>1446</v>
      </c>
      <c r="H4252" s="28">
        <v>0</v>
      </c>
      <c r="J4252" s="92"/>
    </row>
    <row r="4253" spans="1:10" ht="15.75" customHeight="1">
      <c r="A4253" s="28">
        <v>20375</v>
      </c>
      <c r="B4253" s="91">
        <v>45185.694305555553</v>
      </c>
      <c r="C4253" s="28" t="s">
        <v>95</v>
      </c>
      <c r="D4253" s="28" t="s">
        <v>1556</v>
      </c>
      <c r="E4253" s="28" t="s">
        <v>75</v>
      </c>
      <c r="F4253" s="28">
        <v>25</v>
      </c>
      <c r="G4253" s="28" t="s">
        <v>141</v>
      </c>
      <c r="H4253" s="28">
        <v>0</v>
      </c>
      <c r="J4253" s="92"/>
    </row>
    <row r="4254" spans="1:10" ht="15.75" customHeight="1">
      <c r="A4254" s="28">
        <v>20375</v>
      </c>
      <c r="B4254" s="91">
        <v>45185.694305555553</v>
      </c>
      <c r="C4254" s="28" t="s">
        <v>95</v>
      </c>
      <c r="D4254" s="28" t="s">
        <v>1556</v>
      </c>
      <c r="E4254" s="28" t="s">
        <v>75</v>
      </c>
      <c r="F4254" s="28">
        <v>26</v>
      </c>
      <c r="G4254" s="28" t="s">
        <v>1455</v>
      </c>
      <c r="H4254" s="28">
        <v>0</v>
      </c>
      <c r="J4254" s="92"/>
    </row>
    <row r="4255" spans="1:10" ht="15.75" customHeight="1">
      <c r="A4255" s="28">
        <v>20374</v>
      </c>
      <c r="B4255" s="91">
        <v>45185.552974537037</v>
      </c>
      <c r="C4255" s="28" t="s">
        <v>95</v>
      </c>
      <c r="D4255" s="28" t="s">
        <v>1557</v>
      </c>
      <c r="E4255" s="28" t="s">
        <v>75</v>
      </c>
      <c r="F4255" s="28">
        <v>26</v>
      </c>
      <c r="G4255" s="28" t="s">
        <v>1455</v>
      </c>
      <c r="H4255" s="28">
        <v>0</v>
      </c>
      <c r="J4255" s="92"/>
    </row>
    <row r="4256" spans="1:10" ht="15.75" customHeight="1">
      <c r="A4256" s="28">
        <v>20373</v>
      </c>
      <c r="B4256" s="91">
        <v>45185.539409722223</v>
      </c>
      <c r="C4256" s="28" t="s">
        <v>95</v>
      </c>
      <c r="D4256" s="28" t="s">
        <v>1558</v>
      </c>
      <c r="E4256" s="28" t="s">
        <v>75</v>
      </c>
      <c r="F4256" s="28">
        <v>0</v>
      </c>
      <c r="G4256" s="28" t="s">
        <v>141</v>
      </c>
      <c r="H4256" s="28">
        <v>0</v>
      </c>
      <c r="J4256" s="92"/>
    </row>
    <row r="4257" spans="1:10" ht="15.75" customHeight="1">
      <c r="A4257" s="28">
        <v>20373</v>
      </c>
      <c r="B4257" s="91">
        <v>45185.539409722223</v>
      </c>
      <c r="C4257" s="28" t="s">
        <v>95</v>
      </c>
      <c r="D4257" s="28" t="s">
        <v>1558</v>
      </c>
      <c r="E4257" s="28" t="s">
        <v>75</v>
      </c>
      <c r="F4257" s="28">
        <v>55</v>
      </c>
      <c r="G4257" s="28" t="s">
        <v>1457</v>
      </c>
      <c r="H4257" s="28">
        <v>0</v>
      </c>
      <c r="J4257" s="92"/>
    </row>
    <row r="4258" spans="1:10" ht="15.75" customHeight="1">
      <c r="A4258" s="28">
        <v>20372</v>
      </c>
      <c r="B4258" s="91">
        <v>45185.491898148146</v>
      </c>
      <c r="C4258" s="28" t="s">
        <v>95</v>
      </c>
      <c r="D4258" s="28" t="s">
        <v>1554</v>
      </c>
      <c r="E4258" s="28" t="s">
        <v>75</v>
      </c>
      <c r="F4258" s="28">
        <v>26</v>
      </c>
      <c r="G4258" s="28" t="s">
        <v>1455</v>
      </c>
      <c r="H4258" s="28">
        <v>0</v>
      </c>
      <c r="J4258" s="92"/>
    </row>
    <row r="4259" spans="1:10" ht="15.75" customHeight="1">
      <c r="A4259" s="28">
        <v>20372</v>
      </c>
      <c r="B4259" s="91">
        <v>45185.491898148146</v>
      </c>
      <c r="C4259" s="28" t="s">
        <v>95</v>
      </c>
      <c r="D4259" s="28" t="s">
        <v>1554</v>
      </c>
      <c r="E4259" s="28" t="s">
        <v>75</v>
      </c>
      <c r="F4259" s="28">
        <v>28</v>
      </c>
      <c r="G4259" s="28" t="s">
        <v>1448</v>
      </c>
      <c r="H4259" s="28">
        <v>0</v>
      </c>
      <c r="J4259" s="92"/>
    </row>
    <row r="4260" spans="1:10" ht="15.75" customHeight="1">
      <c r="A4260" s="28">
        <v>20371</v>
      </c>
      <c r="B4260" s="91">
        <v>45185.06386574074</v>
      </c>
      <c r="C4260" s="28" t="s">
        <v>95</v>
      </c>
      <c r="D4260" s="28" t="s">
        <v>1559</v>
      </c>
      <c r="E4260" s="28" t="s">
        <v>75</v>
      </c>
      <c r="F4260" s="28">
        <v>35</v>
      </c>
      <c r="G4260" s="28" t="s">
        <v>1443</v>
      </c>
      <c r="H4260" s="28">
        <v>0</v>
      </c>
      <c r="J4260" s="92"/>
    </row>
    <row r="4261" spans="1:10" ht="15.75" customHeight="1">
      <c r="A4261" s="28">
        <v>20370</v>
      </c>
      <c r="B4261" s="91">
        <v>45184.95685185185</v>
      </c>
      <c r="C4261" s="28" t="s">
        <v>95</v>
      </c>
      <c r="D4261" s="28" t="s">
        <v>1560</v>
      </c>
      <c r="E4261" s="28" t="s">
        <v>75</v>
      </c>
      <c r="F4261" s="28">
        <v>15</v>
      </c>
      <c r="G4261" s="28" t="s">
        <v>1453</v>
      </c>
      <c r="H4261" s="28">
        <v>0</v>
      </c>
      <c r="J4261" s="92"/>
    </row>
    <row r="4262" spans="1:10" ht="15.75" customHeight="1">
      <c r="A4262" s="28">
        <v>20370</v>
      </c>
      <c r="B4262" s="91">
        <v>45184.95685185185</v>
      </c>
      <c r="C4262" s="28" t="s">
        <v>95</v>
      </c>
      <c r="D4262" s="28" t="s">
        <v>1560</v>
      </c>
      <c r="E4262" s="28" t="s">
        <v>75</v>
      </c>
      <c r="F4262" s="28">
        <v>22</v>
      </c>
      <c r="G4262" s="28" t="s">
        <v>1535</v>
      </c>
      <c r="H4262" s="28">
        <v>0</v>
      </c>
      <c r="J4262" s="92"/>
    </row>
    <row r="4263" spans="1:10" ht="15.75" customHeight="1">
      <c r="A4263" s="28">
        <v>20369</v>
      </c>
      <c r="B4263" s="91">
        <v>45184.935324074075</v>
      </c>
      <c r="C4263" s="28" t="s">
        <v>95</v>
      </c>
      <c r="D4263" s="28" t="s">
        <v>1304</v>
      </c>
      <c r="E4263" s="28" t="s">
        <v>75</v>
      </c>
      <c r="F4263" s="28">
        <v>25</v>
      </c>
      <c r="G4263" s="28" t="s">
        <v>1446</v>
      </c>
      <c r="H4263" s="28">
        <v>0</v>
      </c>
      <c r="J4263" s="92"/>
    </row>
    <row r="4264" spans="1:10" ht="15.75" customHeight="1">
      <c r="A4264" s="28">
        <v>20369</v>
      </c>
      <c r="B4264" s="91">
        <v>45184.935324074075</v>
      </c>
      <c r="C4264" s="28" t="s">
        <v>95</v>
      </c>
      <c r="D4264" s="28" t="s">
        <v>1304</v>
      </c>
      <c r="E4264" s="28" t="s">
        <v>75</v>
      </c>
      <c r="F4264" s="28">
        <v>26</v>
      </c>
      <c r="G4264" s="28" t="s">
        <v>1455</v>
      </c>
      <c r="H4264" s="28">
        <v>0</v>
      </c>
      <c r="J4264" s="92"/>
    </row>
    <row r="4265" spans="1:10" ht="15.75" customHeight="1">
      <c r="A4265" s="28">
        <v>20368</v>
      </c>
      <c r="B4265" s="91">
        <v>45184.93472222222</v>
      </c>
      <c r="C4265" s="28" t="s">
        <v>95</v>
      </c>
      <c r="D4265" s="28" t="s">
        <v>1561</v>
      </c>
      <c r="E4265" s="28" t="s">
        <v>75</v>
      </c>
      <c r="F4265" s="28">
        <v>28</v>
      </c>
      <c r="G4265" s="28" t="s">
        <v>1448</v>
      </c>
      <c r="H4265" s="28">
        <v>0</v>
      </c>
      <c r="J4265" s="92"/>
    </row>
    <row r="4266" spans="1:10" ht="15.75" customHeight="1">
      <c r="A4266" s="28">
        <v>20368</v>
      </c>
      <c r="B4266" s="91">
        <v>45184.93472222222</v>
      </c>
      <c r="C4266" s="28" t="s">
        <v>95</v>
      </c>
      <c r="D4266" s="28" t="s">
        <v>1561</v>
      </c>
      <c r="E4266" s="28" t="s">
        <v>75</v>
      </c>
      <c r="F4266" s="28">
        <v>25</v>
      </c>
      <c r="G4266" s="28" t="s">
        <v>1462</v>
      </c>
      <c r="H4266" s="28">
        <v>0</v>
      </c>
      <c r="J4266" s="92"/>
    </row>
    <row r="4267" spans="1:10" ht="15.75" customHeight="1">
      <c r="A4267" s="28">
        <v>20368</v>
      </c>
      <c r="B4267" s="91">
        <v>45184.93472222222</v>
      </c>
      <c r="C4267" s="28" t="s">
        <v>95</v>
      </c>
      <c r="D4267" s="28" t="s">
        <v>1561</v>
      </c>
      <c r="E4267" s="28" t="s">
        <v>75</v>
      </c>
      <c r="F4267" s="28">
        <v>25</v>
      </c>
      <c r="G4267" s="28" t="s">
        <v>1446</v>
      </c>
      <c r="H4267" s="28">
        <v>0</v>
      </c>
      <c r="J4267" s="92"/>
    </row>
    <row r="4268" spans="1:10" ht="15.75" customHeight="1">
      <c r="A4268" s="28">
        <v>20367</v>
      </c>
      <c r="B4268" s="91">
        <v>45184.862534722219</v>
      </c>
      <c r="C4268" s="28" t="s">
        <v>95</v>
      </c>
      <c r="D4268" s="28" t="s">
        <v>1562</v>
      </c>
      <c r="E4268" s="28" t="s">
        <v>75</v>
      </c>
      <c r="F4268" s="28">
        <v>25</v>
      </c>
      <c r="G4268" s="28" t="s">
        <v>141</v>
      </c>
      <c r="H4268" s="28">
        <v>0</v>
      </c>
      <c r="J4268" s="92"/>
    </row>
    <row r="4269" spans="1:10" ht="15.75" customHeight="1">
      <c r="A4269" s="28">
        <v>20364</v>
      </c>
      <c r="B4269" s="91">
        <v>45184.625300925924</v>
      </c>
      <c r="C4269" s="28" t="s">
        <v>95</v>
      </c>
      <c r="D4269" s="28" t="s">
        <v>1423</v>
      </c>
      <c r="E4269" s="28" t="s">
        <v>75</v>
      </c>
      <c r="F4269" s="28">
        <v>35</v>
      </c>
      <c r="G4269" s="28" t="s">
        <v>1443</v>
      </c>
      <c r="H4269" s="28">
        <v>0</v>
      </c>
      <c r="J4269" s="92"/>
    </row>
    <row r="4270" spans="1:10" ht="15.75" customHeight="1">
      <c r="A4270" s="28">
        <v>20363</v>
      </c>
      <c r="B4270" s="91">
        <v>45184.605300925927</v>
      </c>
      <c r="C4270" s="28" t="s">
        <v>95</v>
      </c>
      <c r="D4270" s="28" t="s">
        <v>1563</v>
      </c>
      <c r="E4270" s="28" t="s">
        <v>75</v>
      </c>
      <c r="F4270" s="28">
        <v>70</v>
      </c>
      <c r="G4270" s="28" t="s">
        <v>1443</v>
      </c>
      <c r="H4270" s="28">
        <v>0</v>
      </c>
      <c r="J4270" s="92"/>
    </row>
    <row r="4271" spans="1:10" ht="15.75" customHeight="1">
      <c r="A4271" s="28">
        <v>20362</v>
      </c>
      <c r="B4271" s="91">
        <v>45184.577141203707</v>
      </c>
      <c r="C4271" s="28" t="s">
        <v>95</v>
      </c>
      <c r="D4271" s="28" t="s">
        <v>1564</v>
      </c>
      <c r="E4271" s="28" t="s">
        <v>75</v>
      </c>
      <c r="F4271" s="28">
        <v>35</v>
      </c>
      <c r="G4271" s="28" t="s">
        <v>1443</v>
      </c>
      <c r="H4271" s="28">
        <v>0</v>
      </c>
      <c r="J4271" s="92"/>
    </row>
    <row r="4272" spans="1:10" ht="15.75" customHeight="1">
      <c r="A4272" s="28">
        <v>20361</v>
      </c>
      <c r="B4272" s="91">
        <v>45184.575266203705</v>
      </c>
      <c r="C4272" s="28" t="s">
        <v>95</v>
      </c>
      <c r="D4272" s="28" t="s">
        <v>1351</v>
      </c>
      <c r="E4272" s="28" t="s">
        <v>75</v>
      </c>
      <c r="F4272" s="28">
        <v>35</v>
      </c>
      <c r="G4272" s="28" t="s">
        <v>1443</v>
      </c>
      <c r="H4272" s="28">
        <v>0</v>
      </c>
      <c r="J4272" s="92"/>
    </row>
    <row r="4273" spans="1:10" ht="15.75" customHeight="1">
      <c r="A4273" s="28">
        <v>20361</v>
      </c>
      <c r="B4273" s="91">
        <v>45184.575266203705</v>
      </c>
      <c r="C4273" s="28" t="s">
        <v>95</v>
      </c>
      <c r="D4273" s="28" t="s">
        <v>1351</v>
      </c>
      <c r="E4273" s="28" t="s">
        <v>75</v>
      </c>
      <c r="F4273" s="28">
        <v>20</v>
      </c>
      <c r="G4273" s="28"/>
      <c r="H4273" s="28">
        <v>0</v>
      </c>
      <c r="J4273" s="92"/>
    </row>
    <row r="4274" spans="1:10" ht="15.75" customHeight="1">
      <c r="A4274" s="28">
        <v>20360</v>
      </c>
      <c r="B4274" s="91">
        <v>45184.568553240744</v>
      </c>
      <c r="C4274" s="28" t="s">
        <v>95</v>
      </c>
      <c r="D4274" s="28" t="s">
        <v>1565</v>
      </c>
      <c r="E4274" s="28" t="s">
        <v>75</v>
      </c>
      <c r="F4274" s="28">
        <v>22</v>
      </c>
      <c r="G4274" s="28" t="s">
        <v>1535</v>
      </c>
      <c r="H4274" s="28">
        <v>0</v>
      </c>
      <c r="J4274" s="92"/>
    </row>
    <row r="4275" spans="1:10" ht="15.75" customHeight="1">
      <c r="A4275" s="28">
        <v>20359</v>
      </c>
      <c r="B4275" s="91">
        <v>45184.423148148147</v>
      </c>
      <c r="C4275" s="28" t="s">
        <v>95</v>
      </c>
      <c r="D4275" s="28" t="s">
        <v>1566</v>
      </c>
      <c r="E4275" s="28" t="s">
        <v>75</v>
      </c>
      <c r="F4275" s="28">
        <v>35</v>
      </c>
      <c r="G4275" s="28" t="s">
        <v>1443</v>
      </c>
      <c r="H4275" s="28">
        <v>0</v>
      </c>
      <c r="J4275" s="92"/>
    </row>
    <row r="4276" spans="1:10" ht="15.75" customHeight="1">
      <c r="A4276" s="28">
        <v>20359</v>
      </c>
      <c r="B4276" s="91">
        <v>45184.423148148147</v>
      </c>
      <c r="C4276" s="28" t="s">
        <v>95</v>
      </c>
      <c r="D4276" s="28" t="s">
        <v>1566</v>
      </c>
      <c r="E4276" s="28" t="s">
        <v>75</v>
      </c>
      <c r="F4276" s="28">
        <v>28</v>
      </c>
      <c r="G4276" s="28" t="s">
        <v>1448</v>
      </c>
      <c r="H4276" s="28">
        <v>0</v>
      </c>
      <c r="J4276" s="92"/>
    </row>
    <row r="4277" spans="1:10" ht="15.75" customHeight="1">
      <c r="A4277" s="28">
        <v>20358</v>
      </c>
      <c r="B4277" s="91">
        <v>45184.04650462963</v>
      </c>
      <c r="C4277" s="28" t="s">
        <v>95</v>
      </c>
      <c r="D4277" s="28" t="s">
        <v>563</v>
      </c>
      <c r="E4277" s="28" t="s">
        <v>75</v>
      </c>
      <c r="F4277" s="28">
        <v>26</v>
      </c>
      <c r="G4277" s="28" t="s">
        <v>1455</v>
      </c>
      <c r="H4277" s="28">
        <v>0</v>
      </c>
      <c r="J4277" s="92"/>
    </row>
    <row r="4278" spans="1:10" ht="15.75" customHeight="1">
      <c r="A4278" s="28">
        <v>20357</v>
      </c>
      <c r="B4278" s="91">
        <v>45183.924328703702</v>
      </c>
      <c r="C4278" s="28" t="s">
        <v>95</v>
      </c>
      <c r="D4278" s="28" t="s">
        <v>1405</v>
      </c>
      <c r="E4278" s="28" t="s">
        <v>75</v>
      </c>
      <c r="F4278" s="28">
        <v>22</v>
      </c>
      <c r="G4278" s="28" t="s">
        <v>1535</v>
      </c>
      <c r="H4278" s="28">
        <v>0</v>
      </c>
      <c r="J4278" s="92"/>
    </row>
    <row r="4279" spans="1:10" ht="15.75" customHeight="1">
      <c r="A4279" s="28">
        <v>20356</v>
      </c>
      <c r="B4279" s="91">
        <v>45183.58792824074</v>
      </c>
      <c r="C4279" s="28" t="s">
        <v>95</v>
      </c>
      <c r="D4279" s="28" t="s">
        <v>1567</v>
      </c>
      <c r="E4279" s="28" t="s">
        <v>75</v>
      </c>
      <c r="F4279" s="28">
        <v>35</v>
      </c>
      <c r="G4279" s="28" t="s">
        <v>1443</v>
      </c>
      <c r="H4279" s="28">
        <v>0</v>
      </c>
      <c r="J4279" s="92"/>
    </row>
    <row r="4280" spans="1:10" ht="15.75" customHeight="1">
      <c r="A4280" s="28">
        <v>20355</v>
      </c>
      <c r="B4280" s="91">
        <v>45183.554976851854</v>
      </c>
      <c r="C4280" s="28" t="s">
        <v>95</v>
      </c>
      <c r="D4280" s="28" t="s">
        <v>1568</v>
      </c>
      <c r="E4280" s="28" t="s">
        <v>75</v>
      </c>
      <c r="F4280" s="28">
        <v>55</v>
      </c>
      <c r="G4280" s="28" t="s">
        <v>1457</v>
      </c>
      <c r="H4280" s="28">
        <v>0</v>
      </c>
      <c r="J4280" s="92"/>
    </row>
    <row r="4281" spans="1:10" ht="15.75" customHeight="1">
      <c r="A4281" s="28">
        <v>20355</v>
      </c>
      <c r="B4281" s="91">
        <v>45183.554976851854</v>
      </c>
      <c r="C4281" s="28" t="s">
        <v>95</v>
      </c>
      <c r="D4281" s="28" t="s">
        <v>1568</v>
      </c>
      <c r="E4281" s="28" t="s">
        <v>75</v>
      </c>
      <c r="F4281" s="28">
        <v>25</v>
      </c>
      <c r="G4281" s="28" t="s">
        <v>1462</v>
      </c>
      <c r="H4281" s="28">
        <v>0</v>
      </c>
      <c r="J4281" s="92"/>
    </row>
    <row r="4282" spans="1:10" ht="15.75" customHeight="1">
      <c r="A4282" s="28">
        <v>20354</v>
      </c>
      <c r="B4282" s="91">
        <v>45182.95853009259</v>
      </c>
      <c r="C4282" s="28" t="s">
        <v>95</v>
      </c>
      <c r="D4282" s="28" t="s">
        <v>1381</v>
      </c>
      <c r="E4282" s="28" t="s">
        <v>75</v>
      </c>
      <c r="F4282" s="28">
        <v>55</v>
      </c>
      <c r="G4282" s="28" t="s">
        <v>1457</v>
      </c>
      <c r="H4282" s="28">
        <v>0</v>
      </c>
      <c r="J4282" s="92"/>
    </row>
    <row r="4283" spans="1:10" ht="15.75" customHeight="1">
      <c r="A4283" s="28">
        <v>20353</v>
      </c>
      <c r="B4283" s="91">
        <v>45182.936273148145</v>
      </c>
      <c r="C4283" s="28" t="s">
        <v>95</v>
      </c>
      <c r="D4283" s="28" t="s">
        <v>1311</v>
      </c>
      <c r="E4283" s="28" t="s">
        <v>75</v>
      </c>
      <c r="F4283" s="28">
        <v>25</v>
      </c>
      <c r="G4283" s="28" t="s">
        <v>1446</v>
      </c>
      <c r="H4283" s="28">
        <v>0</v>
      </c>
      <c r="J4283" s="92"/>
    </row>
    <row r="4284" spans="1:10" ht="15.75" customHeight="1">
      <c r="A4284" s="28">
        <v>20352</v>
      </c>
      <c r="B4284" s="91">
        <v>45182.722094907411</v>
      </c>
      <c r="C4284" s="28" t="s">
        <v>95</v>
      </c>
      <c r="D4284" s="28" t="s">
        <v>1569</v>
      </c>
      <c r="E4284" s="28" t="s">
        <v>75</v>
      </c>
      <c r="F4284" s="28">
        <v>55</v>
      </c>
      <c r="G4284" s="28" t="s">
        <v>1457</v>
      </c>
      <c r="H4284" s="28">
        <v>0</v>
      </c>
      <c r="J4284" s="92"/>
    </row>
    <row r="4285" spans="1:10" ht="15.75" customHeight="1">
      <c r="A4285" s="28">
        <v>20351</v>
      </c>
      <c r="B4285" s="91">
        <v>45182.694756944446</v>
      </c>
      <c r="C4285" s="28" t="s">
        <v>95</v>
      </c>
      <c r="D4285" s="28" t="s">
        <v>300</v>
      </c>
      <c r="E4285" s="28" t="s">
        <v>75</v>
      </c>
      <c r="F4285" s="28">
        <v>55</v>
      </c>
      <c r="G4285" s="28" t="s">
        <v>1457</v>
      </c>
      <c r="H4285" s="28">
        <v>0</v>
      </c>
      <c r="J4285" s="92"/>
    </row>
    <row r="4286" spans="1:10" ht="15.75" customHeight="1">
      <c r="A4286" s="28">
        <v>20350</v>
      </c>
      <c r="B4286" s="91">
        <v>45182.610138888886</v>
      </c>
      <c r="C4286" s="28" t="s">
        <v>95</v>
      </c>
      <c r="D4286" s="28" t="s">
        <v>1570</v>
      </c>
      <c r="E4286" s="28" t="s">
        <v>75</v>
      </c>
      <c r="F4286" s="28">
        <v>15</v>
      </c>
      <c r="G4286" s="28" t="s">
        <v>1453</v>
      </c>
      <c r="H4286" s="28">
        <v>0</v>
      </c>
      <c r="J4286" s="92"/>
    </row>
    <row r="4287" spans="1:10" ht="15.75" customHeight="1">
      <c r="A4287" s="28">
        <v>20349</v>
      </c>
      <c r="B4287" s="91">
        <v>45182.561701388891</v>
      </c>
      <c r="C4287" s="28" t="s">
        <v>95</v>
      </c>
      <c r="D4287" s="28" t="s">
        <v>1309</v>
      </c>
      <c r="E4287" s="28" t="s">
        <v>75</v>
      </c>
      <c r="F4287" s="28">
        <v>55</v>
      </c>
      <c r="G4287" s="28" t="s">
        <v>1457</v>
      </c>
      <c r="H4287" s="28">
        <v>0</v>
      </c>
      <c r="J4287" s="92"/>
    </row>
    <row r="4288" spans="1:10" ht="15.75" customHeight="1">
      <c r="A4288" s="28">
        <v>20348</v>
      </c>
      <c r="B4288" s="91">
        <v>45182.496111111112</v>
      </c>
      <c r="C4288" s="28" t="s">
        <v>95</v>
      </c>
      <c r="D4288" s="28" t="s">
        <v>1347</v>
      </c>
      <c r="E4288" s="28" t="s">
        <v>75</v>
      </c>
      <c r="F4288" s="28">
        <v>22</v>
      </c>
      <c r="G4288" s="28" t="s">
        <v>1459</v>
      </c>
      <c r="H4288" s="28">
        <v>0</v>
      </c>
      <c r="J4288" s="92"/>
    </row>
    <row r="4289" spans="1:10" ht="15.75" customHeight="1">
      <c r="A4289" s="28">
        <v>20348</v>
      </c>
      <c r="B4289" s="91">
        <v>45182.496111111112</v>
      </c>
      <c r="C4289" s="28" t="s">
        <v>95</v>
      </c>
      <c r="D4289" s="28" t="s">
        <v>1347</v>
      </c>
      <c r="E4289" s="28" t="s">
        <v>75</v>
      </c>
      <c r="F4289" s="28">
        <v>25</v>
      </c>
      <c r="G4289" s="28" t="s">
        <v>1462</v>
      </c>
      <c r="H4289" s="28">
        <v>0</v>
      </c>
      <c r="J4289" s="92"/>
    </row>
    <row r="4290" spans="1:10" ht="15.75" customHeight="1">
      <c r="A4290" s="28">
        <v>20347</v>
      </c>
      <c r="B4290" s="91">
        <v>45182.45484953704</v>
      </c>
      <c r="C4290" s="28" t="s">
        <v>95</v>
      </c>
      <c r="D4290" s="28" t="s">
        <v>1422</v>
      </c>
      <c r="E4290" s="28" t="s">
        <v>75</v>
      </c>
      <c r="F4290" s="28">
        <v>15</v>
      </c>
      <c r="G4290" s="28" t="s">
        <v>1467</v>
      </c>
      <c r="H4290" s="28">
        <v>0</v>
      </c>
      <c r="J4290" s="92"/>
    </row>
    <row r="4291" spans="1:10" ht="15.75" customHeight="1">
      <c r="A4291" s="28">
        <v>20346</v>
      </c>
      <c r="B4291" s="91">
        <v>45182.181631944448</v>
      </c>
      <c r="C4291" s="28" t="s">
        <v>95</v>
      </c>
      <c r="D4291" s="28" t="s">
        <v>1571</v>
      </c>
      <c r="E4291" s="28" t="s">
        <v>75</v>
      </c>
      <c r="F4291" s="28">
        <v>15</v>
      </c>
      <c r="G4291" s="28" t="s">
        <v>1453</v>
      </c>
      <c r="H4291" s="28">
        <v>0</v>
      </c>
      <c r="J4291" s="92"/>
    </row>
    <row r="4292" spans="1:10" ht="15.75" customHeight="1">
      <c r="A4292" s="28">
        <v>20346</v>
      </c>
      <c r="B4292" s="91">
        <v>45182.181631944448</v>
      </c>
      <c r="C4292" s="28" t="s">
        <v>95</v>
      </c>
      <c r="D4292" s="28" t="s">
        <v>1571</v>
      </c>
      <c r="E4292" s="28" t="s">
        <v>75</v>
      </c>
      <c r="F4292" s="28">
        <v>25</v>
      </c>
      <c r="G4292" s="28" t="s">
        <v>141</v>
      </c>
      <c r="H4292" s="28">
        <v>0</v>
      </c>
      <c r="J4292" s="92"/>
    </row>
    <row r="4293" spans="1:10" ht="15.75" customHeight="1">
      <c r="A4293" s="28">
        <v>20345</v>
      </c>
      <c r="B4293" s="91">
        <v>45182.148009259261</v>
      </c>
      <c r="C4293" s="28" t="s">
        <v>95</v>
      </c>
      <c r="D4293" s="28" t="s">
        <v>1572</v>
      </c>
      <c r="E4293" s="28" t="s">
        <v>75</v>
      </c>
      <c r="F4293" s="28">
        <v>0</v>
      </c>
      <c r="G4293" s="28" t="s">
        <v>141</v>
      </c>
      <c r="H4293" s="28">
        <v>0</v>
      </c>
      <c r="J4293" s="92"/>
    </row>
    <row r="4294" spans="1:10" ht="15.75" customHeight="1">
      <c r="A4294" s="28">
        <v>20345</v>
      </c>
      <c r="B4294" s="91">
        <v>45182.148009259261</v>
      </c>
      <c r="C4294" s="28" t="s">
        <v>95</v>
      </c>
      <c r="D4294" s="28" t="s">
        <v>1572</v>
      </c>
      <c r="E4294" s="28" t="s">
        <v>75</v>
      </c>
      <c r="F4294" s="28">
        <v>20</v>
      </c>
      <c r="G4294" s="28"/>
      <c r="H4294" s="28">
        <v>0</v>
      </c>
      <c r="J4294" s="92"/>
    </row>
    <row r="4295" spans="1:10" ht="15.75" customHeight="1">
      <c r="A4295" s="28">
        <v>20345</v>
      </c>
      <c r="B4295" s="91">
        <v>45182.148009259261</v>
      </c>
      <c r="C4295" s="28" t="s">
        <v>95</v>
      </c>
      <c r="D4295" s="28" t="s">
        <v>1572</v>
      </c>
      <c r="E4295" s="28" t="s">
        <v>75</v>
      </c>
      <c r="F4295" s="28">
        <v>28</v>
      </c>
      <c r="G4295" s="28" t="s">
        <v>1448</v>
      </c>
      <c r="H4295" s="28">
        <v>0</v>
      </c>
      <c r="J4295" s="92"/>
    </row>
    <row r="4296" spans="1:10" ht="15.75" customHeight="1">
      <c r="A4296" s="28">
        <v>20344</v>
      </c>
      <c r="B4296" s="91">
        <v>45182.124722222223</v>
      </c>
      <c r="C4296" s="28" t="s">
        <v>95</v>
      </c>
      <c r="D4296" s="28" t="s">
        <v>1573</v>
      </c>
      <c r="E4296" s="28" t="s">
        <v>75</v>
      </c>
      <c r="F4296" s="28">
        <v>20</v>
      </c>
      <c r="G4296" s="28"/>
      <c r="H4296" s="28">
        <v>0</v>
      </c>
      <c r="J4296" s="92"/>
    </row>
    <row r="4297" spans="1:10" ht="15.75" customHeight="1">
      <c r="A4297" s="28">
        <v>20344</v>
      </c>
      <c r="B4297" s="91">
        <v>45182.124722222223</v>
      </c>
      <c r="C4297" s="28" t="s">
        <v>95</v>
      </c>
      <c r="D4297" s="28" t="s">
        <v>1573</v>
      </c>
      <c r="E4297" s="28" t="s">
        <v>75</v>
      </c>
      <c r="F4297" s="28">
        <v>70</v>
      </c>
      <c r="G4297" s="28" t="s">
        <v>1443</v>
      </c>
      <c r="H4297" s="28">
        <v>0</v>
      </c>
      <c r="J4297" s="92"/>
    </row>
    <row r="4298" spans="1:10" ht="15.75" customHeight="1">
      <c r="A4298" s="28">
        <v>20343</v>
      </c>
      <c r="B4298" s="91">
        <v>45182.116273148145</v>
      </c>
      <c r="C4298" s="28" t="s">
        <v>95</v>
      </c>
      <c r="D4298" s="28" t="s">
        <v>1574</v>
      </c>
      <c r="E4298" s="28" t="s">
        <v>75</v>
      </c>
      <c r="F4298" s="28">
        <v>26</v>
      </c>
      <c r="G4298" s="28" t="s">
        <v>1455</v>
      </c>
      <c r="H4298" s="28">
        <v>0</v>
      </c>
      <c r="J4298" s="92"/>
    </row>
    <row r="4299" spans="1:10" ht="15.75" customHeight="1">
      <c r="A4299" s="28">
        <v>20343</v>
      </c>
      <c r="B4299" s="91">
        <v>45182.116273148145</v>
      </c>
      <c r="C4299" s="28" t="s">
        <v>95</v>
      </c>
      <c r="D4299" s="28" t="s">
        <v>1574</v>
      </c>
      <c r="E4299" s="28" t="s">
        <v>75</v>
      </c>
      <c r="F4299" s="28">
        <v>20</v>
      </c>
      <c r="G4299" s="28" t="s">
        <v>1444</v>
      </c>
      <c r="H4299" s="28">
        <v>0</v>
      </c>
      <c r="J4299" s="92"/>
    </row>
    <row r="4300" spans="1:10" ht="15.75" customHeight="1">
      <c r="A4300" s="28">
        <v>20342</v>
      </c>
      <c r="B4300" s="91">
        <v>45182.109189814815</v>
      </c>
      <c r="C4300" s="28" t="s">
        <v>95</v>
      </c>
      <c r="D4300" s="28" t="s">
        <v>1575</v>
      </c>
      <c r="E4300" s="28" t="s">
        <v>75</v>
      </c>
      <c r="F4300" s="28">
        <v>35</v>
      </c>
      <c r="G4300" s="28" t="s">
        <v>1443</v>
      </c>
      <c r="H4300" s="28">
        <v>0</v>
      </c>
      <c r="J4300" s="92"/>
    </row>
    <row r="4301" spans="1:10" ht="15.75" customHeight="1">
      <c r="A4301" s="28">
        <v>20314</v>
      </c>
      <c r="B4301" s="91">
        <v>45181.575624999998</v>
      </c>
      <c r="C4301" s="28" t="s">
        <v>95</v>
      </c>
      <c r="D4301" s="28" t="s">
        <v>1406</v>
      </c>
      <c r="E4301" s="28" t="s">
        <v>75</v>
      </c>
      <c r="F4301" s="28">
        <v>35</v>
      </c>
      <c r="G4301" s="28" t="s">
        <v>1443</v>
      </c>
      <c r="H4301" s="28">
        <v>0</v>
      </c>
      <c r="J4301" s="92"/>
    </row>
    <row r="4302" spans="1:10" ht="15.75" customHeight="1">
      <c r="A4302" s="28">
        <v>20313</v>
      </c>
      <c r="B4302" s="91">
        <v>45181.055208333331</v>
      </c>
      <c r="C4302" s="28" t="s">
        <v>10</v>
      </c>
      <c r="D4302" s="28" t="s">
        <v>1576</v>
      </c>
      <c r="E4302" s="28" t="s">
        <v>28</v>
      </c>
      <c r="F4302" s="28">
        <v>25</v>
      </c>
      <c r="G4302" s="28" t="s">
        <v>1446</v>
      </c>
      <c r="H4302" s="28">
        <v>0</v>
      </c>
      <c r="J4302" s="92"/>
    </row>
    <row r="4303" spans="1:10" ht="15.75" customHeight="1">
      <c r="A4303" s="28">
        <v>20312</v>
      </c>
      <c r="B4303" s="91">
        <v>45181.035150462965</v>
      </c>
      <c r="C4303" s="28" t="s">
        <v>10</v>
      </c>
      <c r="D4303" s="28" t="s">
        <v>1577</v>
      </c>
      <c r="E4303" s="28" t="s">
        <v>28</v>
      </c>
      <c r="F4303" s="28">
        <v>20</v>
      </c>
      <c r="G4303" s="28"/>
      <c r="H4303" s="28">
        <v>0</v>
      </c>
      <c r="J4303" s="92"/>
    </row>
    <row r="4304" spans="1:10" ht="15.75" customHeight="1">
      <c r="A4304" s="28">
        <v>20311</v>
      </c>
      <c r="B4304" s="91">
        <v>45181.015439814815</v>
      </c>
      <c r="C4304" s="28" t="s">
        <v>10</v>
      </c>
      <c r="D4304" s="28" t="s">
        <v>1578</v>
      </c>
      <c r="E4304" s="28" t="s">
        <v>28</v>
      </c>
      <c r="F4304" s="28">
        <v>15</v>
      </c>
      <c r="G4304" s="28" t="s">
        <v>1467</v>
      </c>
      <c r="H4304" s="28">
        <v>0</v>
      </c>
      <c r="J4304" s="92"/>
    </row>
    <row r="4305" spans="1:10" ht="15.75" customHeight="1">
      <c r="A4305" s="28">
        <v>20311</v>
      </c>
      <c r="B4305" s="91">
        <v>45181.015439814815</v>
      </c>
      <c r="C4305" s="28" t="s">
        <v>10</v>
      </c>
      <c r="D4305" s="28" t="s">
        <v>1578</v>
      </c>
      <c r="E4305" s="28" t="s">
        <v>28</v>
      </c>
      <c r="F4305" s="28">
        <v>18</v>
      </c>
      <c r="G4305" s="28" t="s">
        <v>1470</v>
      </c>
      <c r="H4305" s="28">
        <v>0</v>
      </c>
      <c r="J4305" s="92"/>
    </row>
    <row r="4306" spans="1:10" ht="15.75" customHeight="1">
      <c r="A4306" s="28">
        <v>20244</v>
      </c>
      <c r="B4306" s="91">
        <v>45179.782777777778</v>
      </c>
      <c r="C4306" s="28" t="s">
        <v>10</v>
      </c>
      <c r="D4306" s="28" t="s">
        <v>1579</v>
      </c>
      <c r="E4306" s="28" t="s">
        <v>78</v>
      </c>
      <c r="F4306" s="28">
        <v>1300</v>
      </c>
      <c r="G4306" s="28" t="s">
        <v>1580</v>
      </c>
      <c r="H4306" s="28">
        <v>0</v>
      </c>
      <c r="J4306" s="92"/>
    </row>
    <row r="4307" spans="1:10" ht="15.75" customHeight="1">
      <c r="A4307" s="28">
        <v>20227</v>
      </c>
      <c r="B4307" s="91">
        <v>45179.561736111114</v>
      </c>
      <c r="C4307" s="28" t="s">
        <v>10</v>
      </c>
      <c r="D4307" s="28" t="s">
        <v>649</v>
      </c>
      <c r="E4307" s="28" t="s">
        <v>74</v>
      </c>
      <c r="F4307" s="28">
        <v>55</v>
      </c>
      <c r="G4307" s="28" t="s">
        <v>1457</v>
      </c>
      <c r="H4307" s="28">
        <v>0</v>
      </c>
      <c r="J4307" s="92"/>
    </row>
    <row r="4308" spans="1:10" ht="15.75" customHeight="1">
      <c r="A4308" s="28">
        <v>20226</v>
      </c>
      <c r="B4308" s="91">
        <v>45179.554259259261</v>
      </c>
      <c r="C4308" s="28" t="s">
        <v>10</v>
      </c>
      <c r="D4308" s="28" t="s">
        <v>1581</v>
      </c>
      <c r="E4308" s="28" t="s">
        <v>74</v>
      </c>
      <c r="F4308" s="28">
        <v>40</v>
      </c>
      <c r="G4308" s="28"/>
      <c r="H4308" s="28">
        <v>0</v>
      </c>
      <c r="J4308" s="92"/>
    </row>
    <row r="4309" spans="1:10" ht="15.75" customHeight="1">
      <c r="A4309" s="28">
        <v>20214</v>
      </c>
      <c r="B4309" s="91">
        <v>45178.68072916667</v>
      </c>
      <c r="C4309" s="28" t="s">
        <v>10</v>
      </c>
      <c r="D4309" s="28" t="s">
        <v>853</v>
      </c>
      <c r="E4309" s="28" t="s">
        <v>79</v>
      </c>
      <c r="F4309" s="28">
        <v>18</v>
      </c>
      <c r="G4309" s="28" t="s">
        <v>1470</v>
      </c>
      <c r="H4309" s="28">
        <v>0</v>
      </c>
      <c r="J4309" s="92"/>
    </row>
    <row r="4310" spans="1:10" ht="15.75" customHeight="1">
      <c r="A4310" s="28">
        <v>20172</v>
      </c>
      <c r="B4310" s="91">
        <v>45175.799085648148</v>
      </c>
      <c r="C4310" s="28" t="s">
        <v>10</v>
      </c>
      <c r="D4310" s="28" t="s">
        <v>1582</v>
      </c>
      <c r="E4310" s="28" t="s">
        <v>28</v>
      </c>
      <c r="F4310" s="28">
        <v>56</v>
      </c>
      <c r="G4310" s="28" t="s">
        <v>1448</v>
      </c>
      <c r="H4310" s="28">
        <v>0</v>
      </c>
      <c r="J4310" s="92"/>
    </row>
    <row r="4311" spans="1:10" ht="15.75" customHeight="1">
      <c r="A4311" s="28">
        <v>20171</v>
      </c>
      <c r="B4311" s="91">
        <v>45175.727141203701</v>
      </c>
      <c r="C4311" s="28" t="s">
        <v>10</v>
      </c>
      <c r="D4311" s="28" t="s">
        <v>1583</v>
      </c>
      <c r="E4311" s="28" t="s">
        <v>28</v>
      </c>
      <c r="F4311" s="28">
        <v>22</v>
      </c>
      <c r="G4311" s="28" t="s">
        <v>1459</v>
      </c>
      <c r="H4311" s="28">
        <v>0</v>
      </c>
      <c r="J4311" s="92"/>
    </row>
    <row r="4312" spans="1:10" ht="15.75" customHeight="1">
      <c r="A4312" s="28">
        <v>20171</v>
      </c>
      <c r="B4312" s="91">
        <v>45175.727141203701</v>
      </c>
      <c r="C4312" s="28" t="s">
        <v>10</v>
      </c>
      <c r="D4312" s="28" t="s">
        <v>1583</v>
      </c>
      <c r="E4312" s="28" t="s">
        <v>28</v>
      </c>
      <c r="F4312" s="28">
        <v>35</v>
      </c>
      <c r="G4312" s="28" t="s">
        <v>1443</v>
      </c>
      <c r="H4312" s="28">
        <v>0</v>
      </c>
      <c r="J4312" s="92"/>
    </row>
    <row r="4313" spans="1:10" ht="15.75" customHeight="1">
      <c r="A4313" s="28">
        <v>20161</v>
      </c>
      <c r="B4313" s="91">
        <v>45174.14916666667</v>
      </c>
      <c r="C4313" s="28" t="s">
        <v>10</v>
      </c>
      <c r="D4313" s="28" t="s">
        <v>1537</v>
      </c>
      <c r="E4313" s="28" t="s">
        <v>28</v>
      </c>
      <c r="F4313" s="28">
        <v>35</v>
      </c>
      <c r="G4313" s="28" t="s">
        <v>1443</v>
      </c>
      <c r="H4313" s="28">
        <v>0</v>
      </c>
      <c r="J4313" s="92"/>
    </row>
    <row r="4314" spans="1:10" ht="15.75" customHeight="1">
      <c r="A4314" s="28">
        <v>20069</v>
      </c>
      <c r="B4314" s="91">
        <v>45173.574618055558</v>
      </c>
      <c r="C4314" s="28" t="s">
        <v>10</v>
      </c>
      <c r="D4314" s="28" t="s">
        <v>1584</v>
      </c>
      <c r="E4314" s="28" t="s">
        <v>28</v>
      </c>
      <c r="F4314" s="28">
        <v>88</v>
      </c>
      <c r="G4314" s="28" t="s">
        <v>137</v>
      </c>
      <c r="H4314" s="28">
        <v>0</v>
      </c>
      <c r="J4314" s="92"/>
    </row>
    <row r="4315" spans="1:10" ht="15.75" customHeight="1">
      <c r="A4315" s="28">
        <v>20068</v>
      </c>
      <c r="B4315" s="91">
        <v>45173.541539351849</v>
      </c>
      <c r="C4315" s="28" t="s">
        <v>10</v>
      </c>
      <c r="D4315" s="28" t="s">
        <v>1585</v>
      </c>
      <c r="E4315" s="28" t="s">
        <v>28</v>
      </c>
      <c r="F4315" s="28">
        <v>15</v>
      </c>
      <c r="G4315" s="28" t="s">
        <v>170</v>
      </c>
      <c r="H4315" s="28">
        <v>0</v>
      </c>
      <c r="J4315" s="92"/>
    </row>
    <row r="4316" spans="1:10" ht="15.75" customHeight="1">
      <c r="A4316" s="28">
        <v>19991</v>
      </c>
      <c r="B4316" s="91">
        <v>45171.741701388892</v>
      </c>
      <c r="C4316" s="28" t="s">
        <v>10</v>
      </c>
      <c r="D4316" s="28" t="s">
        <v>1586</v>
      </c>
      <c r="E4316" s="28" t="s">
        <v>28</v>
      </c>
      <c r="F4316" s="28">
        <v>22</v>
      </c>
      <c r="G4316" s="28" t="s">
        <v>137</v>
      </c>
      <c r="H4316" s="28">
        <v>0</v>
      </c>
      <c r="J4316" s="92"/>
    </row>
    <row r="4317" spans="1:10" ht="15.75" customHeight="1">
      <c r="A4317" s="28">
        <v>19991</v>
      </c>
      <c r="B4317" s="91">
        <v>45171.741701388892</v>
      </c>
      <c r="C4317" s="28" t="s">
        <v>10</v>
      </c>
      <c r="D4317" s="28" t="s">
        <v>1586</v>
      </c>
      <c r="E4317" s="28" t="s">
        <v>28</v>
      </c>
      <c r="F4317" s="28">
        <v>25</v>
      </c>
      <c r="G4317" s="28">
        <v>100692</v>
      </c>
      <c r="H4317" s="28">
        <v>0</v>
      </c>
      <c r="J4317" s="92"/>
    </row>
    <row r="4318" spans="1:10" ht="15.75" customHeight="1">
      <c r="A4318" s="28">
        <v>19991</v>
      </c>
      <c r="B4318" s="91">
        <v>45171.741701388892</v>
      </c>
      <c r="C4318" s="28" t="s">
        <v>10</v>
      </c>
      <c r="D4318" s="28" t="s">
        <v>1586</v>
      </c>
      <c r="E4318" s="28" t="s">
        <v>28</v>
      </c>
      <c r="F4318" s="28">
        <v>0</v>
      </c>
      <c r="G4318" s="28" t="s">
        <v>125</v>
      </c>
      <c r="H4318" s="28">
        <v>0</v>
      </c>
      <c r="J4318" s="92"/>
    </row>
    <row r="4319" spans="1:10" ht="15.75" customHeight="1">
      <c r="A4319" s="28">
        <v>19991</v>
      </c>
      <c r="B4319" s="91">
        <v>45171.741701388892</v>
      </c>
      <c r="C4319" s="28" t="s">
        <v>10</v>
      </c>
      <c r="D4319" s="28" t="s">
        <v>1586</v>
      </c>
      <c r="E4319" s="28" t="s">
        <v>28</v>
      </c>
      <c r="F4319" s="28">
        <v>0</v>
      </c>
      <c r="G4319" s="28" t="s">
        <v>119</v>
      </c>
      <c r="H4319" s="28">
        <v>0</v>
      </c>
      <c r="J4319" s="92"/>
    </row>
    <row r="4320" spans="1:10" ht="15.75" customHeight="1">
      <c r="A4320" s="28">
        <v>19990</v>
      </c>
      <c r="B4320" s="91">
        <v>45171.692349537036</v>
      </c>
      <c r="C4320" s="28" t="s">
        <v>10</v>
      </c>
      <c r="D4320" s="28" t="s">
        <v>1587</v>
      </c>
      <c r="E4320" s="28" t="s">
        <v>28</v>
      </c>
      <c r="F4320" s="28">
        <v>55</v>
      </c>
      <c r="G4320" s="28">
        <v>101684</v>
      </c>
      <c r="H4320" s="28">
        <v>0</v>
      </c>
      <c r="J4320" s="92"/>
    </row>
    <row r="4321" spans="1:10" ht="15.75" customHeight="1">
      <c r="A4321" s="28">
        <v>19990</v>
      </c>
      <c r="B4321" s="91">
        <v>45171.692349537036</v>
      </c>
      <c r="C4321" s="28" t="s">
        <v>10</v>
      </c>
      <c r="D4321" s="28" t="s">
        <v>1587</v>
      </c>
      <c r="E4321" s="28" t="s">
        <v>28</v>
      </c>
      <c r="F4321" s="28">
        <v>0</v>
      </c>
      <c r="G4321" s="28" t="s">
        <v>118</v>
      </c>
      <c r="H4321" s="28">
        <v>0</v>
      </c>
      <c r="J4321" s="92"/>
    </row>
    <row r="4322" spans="1:10" ht="15.75" customHeight="1">
      <c r="A4322" s="28">
        <v>19990</v>
      </c>
      <c r="B4322" s="91">
        <v>45171.692349537036</v>
      </c>
      <c r="C4322" s="28" t="s">
        <v>10</v>
      </c>
      <c r="D4322" s="28" t="s">
        <v>1587</v>
      </c>
      <c r="E4322" s="28" t="s">
        <v>28</v>
      </c>
      <c r="F4322" s="28">
        <v>0</v>
      </c>
      <c r="G4322" s="28" t="s">
        <v>119</v>
      </c>
      <c r="H4322" s="28">
        <v>0</v>
      </c>
      <c r="J4322" s="92"/>
    </row>
    <row r="4323" spans="1:10" ht="15.75" customHeight="1">
      <c r="A4323" s="28">
        <v>19990</v>
      </c>
      <c r="B4323" s="91">
        <v>45171.692349537036</v>
      </c>
      <c r="C4323" s="28" t="s">
        <v>10</v>
      </c>
      <c r="D4323" s="28" t="s">
        <v>1587</v>
      </c>
      <c r="E4323" s="28" t="s">
        <v>28</v>
      </c>
      <c r="F4323" s="28">
        <v>0</v>
      </c>
      <c r="G4323" s="28" t="s">
        <v>120</v>
      </c>
      <c r="H4323" s="28">
        <v>0</v>
      </c>
      <c r="J4323" s="92"/>
    </row>
    <row r="4324" spans="1:10" ht="15.75" customHeight="1">
      <c r="A4324" s="28">
        <v>19990</v>
      </c>
      <c r="B4324" s="91">
        <v>45171.692349537036</v>
      </c>
      <c r="C4324" s="28" t="s">
        <v>10</v>
      </c>
      <c r="D4324" s="28" t="s">
        <v>1587</v>
      </c>
      <c r="E4324" s="28" t="s">
        <v>28</v>
      </c>
      <c r="F4324" s="28">
        <v>0</v>
      </c>
      <c r="G4324" s="28" t="s">
        <v>121</v>
      </c>
      <c r="H4324" s="28">
        <v>0</v>
      </c>
      <c r="J4324" s="92"/>
    </row>
    <row r="4325" spans="1:10" ht="15.75" customHeight="1">
      <c r="A4325" s="28">
        <v>19989</v>
      </c>
      <c r="B4325" s="91">
        <v>45171.551666666666</v>
      </c>
      <c r="C4325" s="28" t="s">
        <v>10</v>
      </c>
      <c r="D4325" s="28" t="s">
        <v>1588</v>
      </c>
      <c r="E4325" s="28" t="s">
        <v>74</v>
      </c>
      <c r="F4325" s="28">
        <v>25</v>
      </c>
      <c r="G4325" s="28">
        <v>100692</v>
      </c>
      <c r="H4325" s="28">
        <v>0</v>
      </c>
      <c r="J4325" s="92"/>
    </row>
    <row r="4326" spans="1:10" ht="15.75" customHeight="1">
      <c r="A4326" s="28">
        <v>19989</v>
      </c>
      <c r="B4326" s="91">
        <v>45171.551666666666</v>
      </c>
      <c r="C4326" s="28" t="s">
        <v>10</v>
      </c>
      <c r="D4326" s="28" t="s">
        <v>1588</v>
      </c>
      <c r="E4326" s="28" t="s">
        <v>74</v>
      </c>
      <c r="F4326" s="28">
        <v>0</v>
      </c>
      <c r="G4326" s="28" t="s">
        <v>125</v>
      </c>
      <c r="H4326" s="28">
        <v>0</v>
      </c>
      <c r="J4326" s="92"/>
    </row>
    <row r="4327" spans="1:10" ht="15.75" customHeight="1">
      <c r="A4327" s="28">
        <v>19989</v>
      </c>
      <c r="B4327" s="91">
        <v>45171.551666666666</v>
      </c>
      <c r="C4327" s="28" t="s">
        <v>10</v>
      </c>
      <c r="D4327" s="28" t="s">
        <v>1588</v>
      </c>
      <c r="E4327" s="28" t="s">
        <v>74</v>
      </c>
      <c r="F4327" s="28">
        <v>0</v>
      </c>
      <c r="G4327" s="28" t="s">
        <v>119</v>
      </c>
      <c r="H4327" s="28">
        <v>0</v>
      </c>
      <c r="J4327" s="92"/>
    </row>
    <row r="4328" spans="1:10" ht="15.75" customHeight="1">
      <c r="A4328" s="28">
        <v>20618</v>
      </c>
      <c r="B4328" s="91">
        <v>45203.574201388888</v>
      </c>
      <c r="C4328" s="28" t="s">
        <v>0</v>
      </c>
      <c r="D4328" s="28" t="s">
        <v>1589</v>
      </c>
      <c r="E4328" s="28" t="s">
        <v>75</v>
      </c>
      <c r="F4328" s="28">
        <v>22</v>
      </c>
      <c r="G4328" s="28" t="s">
        <v>1535</v>
      </c>
      <c r="H4328" s="28">
        <v>0</v>
      </c>
      <c r="J4328" s="92"/>
    </row>
    <row r="4329" spans="1:10" ht="15.75" customHeight="1">
      <c r="A4329" s="28">
        <v>20619</v>
      </c>
      <c r="B4329" s="91">
        <v>45203.95890046296</v>
      </c>
      <c r="C4329" s="28" t="s">
        <v>18</v>
      </c>
      <c r="D4329" s="28" t="s">
        <v>1590</v>
      </c>
      <c r="E4329" s="28" t="s">
        <v>75</v>
      </c>
      <c r="F4329" s="28">
        <v>25</v>
      </c>
      <c r="G4329" s="28" t="s">
        <v>1446</v>
      </c>
      <c r="H4329" s="28">
        <v>0</v>
      </c>
      <c r="J4329" s="92"/>
    </row>
    <row r="4330" spans="1:10" ht="15.75" customHeight="1">
      <c r="A4330" s="28">
        <v>20619</v>
      </c>
      <c r="B4330" s="91">
        <v>45203.95890046296</v>
      </c>
      <c r="C4330" s="28" t="s">
        <v>18</v>
      </c>
      <c r="D4330" s="28" t="s">
        <v>1590</v>
      </c>
      <c r="E4330" s="28" t="s">
        <v>75</v>
      </c>
      <c r="F4330" s="28">
        <v>26</v>
      </c>
      <c r="G4330" s="28" t="s">
        <v>1455</v>
      </c>
      <c r="H4330" s="28">
        <v>0</v>
      </c>
      <c r="J4330" s="92"/>
    </row>
    <row r="4331" spans="1:10" ht="15.75" customHeight="1">
      <c r="A4331" s="28">
        <v>20619</v>
      </c>
      <c r="B4331" s="91">
        <v>45203.95890046296</v>
      </c>
      <c r="C4331" s="28" t="s">
        <v>18</v>
      </c>
      <c r="D4331" s="28" t="s">
        <v>1590</v>
      </c>
      <c r="E4331" s="28" t="s">
        <v>75</v>
      </c>
      <c r="F4331" s="28">
        <v>0</v>
      </c>
      <c r="G4331" s="28" t="s">
        <v>141</v>
      </c>
      <c r="H4331" s="28">
        <v>0</v>
      </c>
      <c r="J4331" s="92"/>
    </row>
    <row r="4332" spans="1:10" ht="15.75" customHeight="1">
      <c r="A4332" s="28">
        <v>20620</v>
      </c>
      <c r="B4332" s="91">
        <v>45204.030034722222</v>
      </c>
      <c r="C4332" s="28" t="s">
        <v>0</v>
      </c>
      <c r="D4332" s="28" t="s">
        <v>1107</v>
      </c>
      <c r="E4332" s="28" t="s">
        <v>75</v>
      </c>
      <c r="F4332" s="28">
        <v>15</v>
      </c>
      <c r="G4332" s="28" t="s">
        <v>1467</v>
      </c>
      <c r="H4332" s="28">
        <v>0</v>
      </c>
      <c r="J4332" s="92"/>
    </row>
    <row r="4333" spans="1:10" ht="15.75" customHeight="1">
      <c r="A4333" s="28">
        <v>20621</v>
      </c>
      <c r="B4333" s="91">
        <v>45204.040300925924</v>
      </c>
      <c r="C4333" s="28" t="s">
        <v>0</v>
      </c>
      <c r="D4333" s="28" t="s">
        <v>1591</v>
      </c>
      <c r="E4333" s="28" t="s">
        <v>75</v>
      </c>
      <c r="F4333" s="28">
        <v>18</v>
      </c>
      <c r="G4333" s="28" t="s">
        <v>1470</v>
      </c>
      <c r="H4333" s="28">
        <v>0</v>
      </c>
      <c r="J4333" s="92"/>
    </row>
    <row r="4334" spans="1:10" ht="15.75" customHeight="1">
      <c r="A4334" s="28">
        <v>20622</v>
      </c>
      <c r="B4334" s="91">
        <v>45204.052847222221</v>
      </c>
      <c r="C4334" s="28" t="s">
        <v>0</v>
      </c>
      <c r="D4334" s="28" t="s">
        <v>1592</v>
      </c>
      <c r="E4334" s="28" t="s">
        <v>75</v>
      </c>
      <c r="F4334" s="28">
        <v>35</v>
      </c>
      <c r="G4334" s="28" t="s">
        <v>1443</v>
      </c>
      <c r="H4334" s="28">
        <v>0</v>
      </c>
      <c r="J4334" s="92"/>
    </row>
    <row r="4335" spans="1:10" ht="15.75" customHeight="1">
      <c r="A4335" s="28">
        <v>20623</v>
      </c>
      <c r="B4335" s="91">
        <v>45204.062847222223</v>
      </c>
      <c r="C4335" s="28" t="s">
        <v>18</v>
      </c>
      <c r="D4335" s="28" t="s">
        <v>1593</v>
      </c>
      <c r="E4335" s="28" t="s">
        <v>75</v>
      </c>
      <c r="F4335" s="28">
        <v>15</v>
      </c>
      <c r="G4335" s="28" t="s">
        <v>1467</v>
      </c>
      <c r="H4335" s="28">
        <v>0</v>
      </c>
      <c r="J4335" s="92"/>
    </row>
    <row r="4336" spans="1:10" ht="15.75" customHeight="1">
      <c r="A4336" s="28">
        <v>20623</v>
      </c>
      <c r="B4336" s="91">
        <v>45204.062847222223</v>
      </c>
      <c r="C4336" s="28" t="s">
        <v>18</v>
      </c>
      <c r="D4336" s="28" t="s">
        <v>1593</v>
      </c>
      <c r="E4336" s="28" t="s">
        <v>75</v>
      </c>
      <c r="F4336" s="28">
        <v>22</v>
      </c>
      <c r="G4336" s="28" t="s">
        <v>1459</v>
      </c>
      <c r="H4336" s="28">
        <v>0</v>
      </c>
      <c r="J4336" s="92"/>
    </row>
    <row r="4337" spans="1:10" ht="15.75" customHeight="1">
      <c r="A4337" s="28">
        <v>20624</v>
      </c>
      <c r="B4337" s="91">
        <v>45204.440092592595</v>
      </c>
      <c r="C4337" s="28" t="s">
        <v>0</v>
      </c>
      <c r="D4337" s="28" t="s">
        <v>1594</v>
      </c>
      <c r="E4337" s="28" t="s">
        <v>75</v>
      </c>
      <c r="F4337" s="28">
        <v>15</v>
      </c>
      <c r="G4337" s="28" t="s">
        <v>1453</v>
      </c>
      <c r="H4337" s="28">
        <v>0</v>
      </c>
      <c r="J4337" s="92"/>
    </row>
    <row r="4338" spans="1:10" ht="15.75" customHeight="1">
      <c r="A4338" s="28">
        <v>20624</v>
      </c>
      <c r="B4338" s="91">
        <v>45204.440092592595</v>
      </c>
      <c r="C4338" s="28" t="s">
        <v>0</v>
      </c>
      <c r="D4338" s="28" t="s">
        <v>1594</v>
      </c>
      <c r="E4338" s="28" t="s">
        <v>75</v>
      </c>
      <c r="F4338" s="28">
        <v>15</v>
      </c>
      <c r="G4338" s="28" t="s">
        <v>1467</v>
      </c>
      <c r="H4338" s="28">
        <v>0</v>
      </c>
      <c r="J4338" s="92"/>
    </row>
    <row r="4339" spans="1:10" ht="15.75" customHeight="1">
      <c r="A4339" s="28">
        <v>20624</v>
      </c>
      <c r="B4339" s="91">
        <v>45204.440092592595</v>
      </c>
      <c r="C4339" s="28" t="s">
        <v>0</v>
      </c>
      <c r="D4339" s="28" t="s">
        <v>1594</v>
      </c>
      <c r="E4339" s="28" t="s">
        <v>75</v>
      </c>
      <c r="F4339" s="28">
        <v>18</v>
      </c>
      <c r="G4339" s="28" t="s">
        <v>1470</v>
      </c>
      <c r="H4339" s="28">
        <v>0</v>
      </c>
      <c r="J4339" s="92"/>
    </row>
    <row r="4340" spans="1:10" ht="15.75" customHeight="1">
      <c r="A4340" s="28">
        <v>20625</v>
      </c>
      <c r="B4340" s="91">
        <v>45204.489305555559</v>
      </c>
      <c r="C4340" s="28" t="s">
        <v>0</v>
      </c>
      <c r="D4340" s="28" t="s">
        <v>1404</v>
      </c>
      <c r="E4340" s="28" t="s">
        <v>75</v>
      </c>
      <c r="F4340" s="28">
        <v>55</v>
      </c>
      <c r="G4340" s="28" t="s">
        <v>1457</v>
      </c>
      <c r="H4340" s="28">
        <v>0</v>
      </c>
      <c r="J4340" s="92"/>
    </row>
    <row r="4341" spans="1:10" ht="15.75" customHeight="1">
      <c r="A4341" s="28">
        <v>20626</v>
      </c>
      <c r="B4341" s="91">
        <v>45204.921539351853</v>
      </c>
      <c r="C4341" s="28" t="s">
        <v>0</v>
      </c>
      <c r="D4341" s="28" t="s">
        <v>1595</v>
      </c>
      <c r="E4341" s="28" t="s">
        <v>75</v>
      </c>
      <c r="F4341" s="28">
        <v>35</v>
      </c>
      <c r="G4341" s="28" t="s">
        <v>1443</v>
      </c>
      <c r="H4341" s="28">
        <v>0</v>
      </c>
      <c r="J4341" s="92"/>
    </row>
    <row r="4342" spans="1:10" ht="15.75" customHeight="1">
      <c r="A4342" s="28">
        <v>20627</v>
      </c>
      <c r="B4342" s="91">
        <v>45204.928136574075</v>
      </c>
      <c r="C4342" s="28" t="s">
        <v>0</v>
      </c>
      <c r="D4342" s="28" t="s">
        <v>1548</v>
      </c>
      <c r="E4342" s="28" t="s">
        <v>75</v>
      </c>
      <c r="F4342" s="28">
        <v>0</v>
      </c>
      <c r="G4342" s="28" t="s">
        <v>141</v>
      </c>
      <c r="H4342" s="28">
        <v>0</v>
      </c>
      <c r="J4342" s="92"/>
    </row>
    <row r="4343" spans="1:10" ht="15.75" customHeight="1">
      <c r="A4343" s="28">
        <v>20628</v>
      </c>
      <c r="B4343" s="91">
        <v>45204.939027777778</v>
      </c>
      <c r="C4343" s="28" t="s">
        <v>0</v>
      </c>
      <c r="D4343" s="28" t="s">
        <v>1596</v>
      </c>
      <c r="E4343" s="28" t="s">
        <v>74</v>
      </c>
      <c r="F4343" s="28">
        <v>26</v>
      </c>
      <c r="G4343" s="28" t="s">
        <v>1455</v>
      </c>
      <c r="H4343" s="28">
        <v>0</v>
      </c>
      <c r="J4343" s="92"/>
    </row>
    <row r="4344" spans="1:10" ht="15.75" customHeight="1">
      <c r="A4344" s="28">
        <v>20630</v>
      </c>
      <c r="B4344" s="91">
        <v>45205.805625000001</v>
      </c>
      <c r="C4344" s="28" t="s">
        <v>0</v>
      </c>
      <c r="D4344" s="28" t="s">
        <v>1597</v>
      </c>
      <c r="E4344" s="28" t="s">
        <v>75</v>
      </c>
      <c r="F4344" s="28">
        <v>22</v>
      </c>
      <c r="G4344" s="28" t="s">
        <v>1535</v>
      </c>
      <c r="H4344" s="28">
        <v>0</v>
      </c>
      <c r="J4344" s="92"/>
    </row>
    <row r="4345" spans="1:10" ht="15.75" customHeight="1">
      <c r="A4345" s="28">
        <v>20630</v>
      </c>
      <c r="B4345" s="91">
        <v>45205.805625000001</v>
      </c>
      <c r="C4345" s="28" t="s">
        <v>0</v>
      </c>
      <c r="D4345" s="28" t="s">
        <v>1597</v>
      </c>
      <c r="E4345" s="28" t="s">
        <v>75</v>
      </c>
      <c r="F4345" s="28">
        <v>28</v>
      </c>
      <c r="G4345" s="28" t="s">
        <v>1448</v>
      </c>
      <c r="H4345" s="28">
        <v>0</v>
      </c>
      <c r="J4345" s="92"/>
    </row>
    <row r="4346" spans="1:10" ht="15.75" customHeight="1">
      <c r="A4346" s="28">
        <v>20693</v>
      </c>
      <c r="B4346" s="91">
        <v>45206.847511574073</v>
      </c>
      <c r="C4346" s="28" t="s">
        <v>0</v>
      </c>
      <c r="D4346" s="28" t="s">
        <v>1215</v>
      </c>
      <c r="E4346" s="28" t="s">
        <v>77</v>
      </c>
      <c r="F4346" s="28">
        <v>25</v>
      </c>
      <c r="G4346" s="28" t="s">
        <v>141</v>
      </c>
      <c r="H4346" s="28">
        <v>0</v>
      </c>
      <c r="J4346" s="92"/>
    </row>
    <row r="4347" spans="1:10" ht="15.75" customHeight="1">
      <c r="A4347" s="28">
        <v>20693</v>
      </c>
      <c r="B4347" s="91">
        <v>45206.847511574073</v>
      </c>
      <c r="C4347" s="28" t="s">
        <v>0</v>
      </c>
      <c r="D4347" s="28" t="s">
        <v>1215</v>
      </c>
      <c r="E4347" s="28" t="s">
        <v>77</v>
      </c>
      <c r="F4347" s="28">
        <v>26</v>
      </c>
      <c r="G4347" s="28" t="s">
        <v>1455</v>
      </c>
      <c r="H4347" s="28">
        <v>0</v>
      </c>
      <c r="J4347" s="92"/>
    </row>
    <row r="4348" spans="1:10" ht="15.75" customHeight="1">
      <c r="A4348" s="28">
        <v>20694</v>
      </c>
      <c r="B4348" s="91">
        <v>45207.057442129626</v>
      </c>
      <c r="C4348" s="28" t="s">
        <v>0</v>
      </c>
      <c r="D4348" s="28" t="s">
        <v>1598</v>
      </c>
      <c r="E4348" s="28" t="s">
        <v>75</v>
      </c>
      <c r="F4348" s="28">
        <v>24</v>
      </c>
      <c r="G4348" s="28"/>
      <c r="H4348" s="28">
        <v>0</v>
      </c>
      <c r="J4348" s="92"/>
    </row>
    <row r="4349" spans="1:10" ht="15.75" customHeight="1">
      <c r="A4349" s="28">
        <v>20694</v>
      </c>
      <c r="B4349" s="91">
        <v>45207.057442129626</v>
      </c>
      <c r="C4349" s="28" t="s">
        <v>0</v>
      </c>
      <c r="D4349" s="28" t="s">
        <v>1598</v>
      </c>
      <c r="E4349" s="28" t="s">
        <v>75</v>
      </c>
      <c r="F4349" s="28">
        <v>15</v>
      </c>
      <c r="G4349" s="28" t="s">
        <v>1453</v>
      </c>
      <c r="H4349" s="28">
        <v>0</v>
      </c>
      <c r="J4349" s="92"/>
    </row>
    <row r="4350" spans="1:10" ht="15.75" customHeight="1">
      <c r="A4350" s="28">
        <v>20694</v>
      </c>
      <c r="B4350" s="91">
        <v>45207.057442129626</v>
      </c>
      <c r="C4350" s="28" t="s">
        <v>0</v>
      </c>
      <c r="D4350" s="28" t="s">
        <v>1598</v>
      </c>
      <c r="E4350" s="28" t="s">
        <v>75</v>
      </c>
      <c r="F4350" s="28">
        <v>20</v>
      </c>
      <c r="G4350" s="28"/>
      <c r="H4350" s="28">
        <v>0</v>
      </c>
      <c r="J4350" s="92"/>
    </row>
    <row r="4351" spans="1:10" ht="15.75" customHeight="1">
      <c r="A4351" s="28">
        <v>20695</v>
      </c>
      <c r="B4351" s="91">
        <v>45207.059675925928</v>
      </c>
      <c r="C4351" s="28" t="s">
        <v>0</v>
      </c>
      <c r="D4351" s="28" t="s">
        <v>1599</v>
      </c>
      <c r="E4351" s="28" t="s">
        <v>75</v>
      </c>
      <c r="F4351" s="28">
        <v>15</v>
      </c>
      <c r="G4351" s="28" t="s">
        <v>1453</v>
      </c>
      <c r="H4351" s="28">
        <v>0</v>
      </c>
      <c r="J4351" s="92"/>
    </row>
    <row r="4352" spans="1:10" ht="15.75" customHeight="1">
      <c r="A4352" s="28">
        <v>20711</v>
      </c>
      <c r="B4352" s="91">
        <v>45207.599016203705</v>
      </c>
      <c r="C4352" s="28" t="s">
        <v>0</v>
      </c>
      <c r="D4352" s="28" t="s">
        <v>1600</v>
      </c>
      <c r="E4352" s="28" t="s">
        <v>75</v>
      </c>
      <c r="F4352" s="28">
        <v>18</v>
      </c>
      <c r="G4352" s="28" t="s">
        <v>1470</v>
      </c>
      <c r="H4352" s="28">
        <v>0</v>
      </c>
      <c r="J4352" s="92"/>
    </row>
    <row r="4353" spans="1:10" ht="15.75" customHeight="1">
      <c r="A4353" s="28">
        <v>20711</v>
      </c>
      <c r="B4353" s="91">
        <v>45207.599016203705</v>
      </c>
      <c r="C4353" s="28" t="s">
        <v>0</v>
      </c>
      <c r="D4353" s="28" t="s">
        <v>1600</v>
      </c>
      <c r="E4353" s="28" t="s">
        <v>75</v>
      </c>
      <c r="F4353" s="28">
        <v>22</v>
      </c>
      <c r="G4353" s="28" t="s">
        <v>1535</v>
      </c>
      <c r="H4353" s="28">
        <v>0</v>
      </c>
      <c r="J4353" s="92"/>
    </row>
    <row r="4354" spans="1:10" ht="15.75" customHeight="1">
      <c r="A4354" s="28">
        <v>20711</v>
      </c>
      <c r="B4354" s="91">
        <v>45207.599016203705</v>
      </c>
      <c r="C4354" s="28" t="s">
        <v>0</v>
      </c>
      <c r="D4354" s="28" t="s">
        <v>1600</v>
      </c>
      <c r="E4354" s="28" t="s">
        <v>75</v>
      </c>
      <c r="F4354" s="28">
        <v>15</v>
      </c>
      <c r="G4354" s="28" t="s">
        <v>1467</v>
      </c>
      <c r="H4354" s="28">
        <v>0</v>
      </c>
      <c r="J4354" s="92"/>
    </row>
    <row r="4355" spans="1:10" ht="15.75" customHeight="1">
      <c r="A4355" s="28">
        <v>20711</v>
      </c>
      <c r="B4355" s="91">
        <v>45207.599016203705</v>
      </c>
      <c r="C4355" s="28" t="s">
        <v>0</v>
      </c>
      <c r="D4355" s="28" t="s">
        <v>1600</v>
      </c>
      <c r="E4355" s="28" t="s">
        <v>75</v>
      </c>
      <c r="F4355" s="28">
        <v>20</v>
      </c>
      <c r="G4355" s="28"/>
      <c r="H4355" s="28">
        <v>0</v>
      </c>
      <c r="J4355" s="92"/>
    </row>
    <row r="4356" spans="1:10" ht="15.75" customHeight="1">
      <c r="A4356" s="28">
        <v>20712</v>
      </c>
      <c r="B4356" s="91">
        <v>45207.601643518516</v>
      </c>
      <c r="C4356" s="28" t="s">
        <v>0</v>
      </c>
      <c r="D4356" s="28" t="s">
        <v>1601</v>
      </c>
      <c r="E4356" s="28" t="s">
        <v>75</v>
      </c>
      <c r="F4356" s="28">
        <v>22</v>
      </c>
      <c r="G4356" s="28" t="s">
        <v>1535</v>
      </c>
      <c r="H4356" s="28">
        <v>0</v>
      </c>
      <c r="J4356" s="92"/>
    </row>
    <row r="4357" spans="1:10" ht="15.75" customHeight="1">
      <c r="A4357" s="28">
        <v>20712</v>
      </c>
      <c r="B4357" s="91">
        <v>45207.601643518516</v>
      </c>
      <c r="C4357" s="28" t="s">
        <v>0</v>
      </c>
      <c r="D4357" s="28" t="s">
        <v>1601</v>
      </c>
      <c r="E4357" s="28" t="s">
        <v>75</v>
      </c>
      <c r="F4357" s="28">
        <v>18</v>
      </c>
      <c r="G4357" s="28" t="s">
        <v>1470</v>
      </c>
      <c r="H4357" s="28">
        <v>0</v>
      </c>
      <c r="J4357" s="92"/>
    </row>
    <row r="4358" spans="1:10" ht="15.75" customHeight="1">
      <c r="A4358" s="28">
        <v>20712</v>
      </c>
      <c r="B4358" s="91">
        <v>45207.601643518516</v>
      </c>
      <c r="C4358" s="28" t="s">
        <v>0</v>
      </c>
      <c r="D4358" s="28" t="s">
        <v>1601</v>
      </c>
      <c r="E4358" s="28" t="s">
        <v>75</v>
      </c>
      <c r="F4358" s="28">
        <v>15</v>
      </c>
      <c r="G4358" s="28" t="s">
        <v>1467</v>
      </c>
      <c r="H4358" s="28">
        <v>0</v>
      </c>
      <c r="J4358" s="92"/>
    </row>
    <row r="4359" spans="1:10" ht="15.75" customHeight="1">
      <c r="A4359" s="28">
        <v>20713</v>
      </c>
      <c r="B4359" s="91">
        <v>45207.7891087963</v>
      </c>
      <c r="C4359" s="28" t="s">
        <v>0</v>
      </c>
      <c r="D4359" s="28" t="s">
        <v>1602</v>
      </c>
      <c r="E4359" s="28" t="s">
        <v>75</v>
      </c>
      <c r="F4359" s="28">
        <v>25</v>
      </c>
      <c r="G4359" s="28" t="s">
        <v>141</v>
      </c>
      <c r="H4359" s="28">
        <v>0</v>
      </c>
      <c r="J4359" s="92"/>
    </row>
    <row r="4360" spans="1:10" ht="15.75" customHeight="1">
      <c r="A4360" s="28">
        <v>20716</v>
      </c>
      <c r="B4360" s="91">
        <v>45207.988993055558</v>
      </c>
      <c r="C4360" s="28" t="s">
        <v>0</v>
      </c>
      <c r="D4360" s="28" t="s">
        <v>1603</v>
      </c>
      <c r="E4360" s="28" t="s">
        <v>75</v>
      </c>
      <c r="F4360" s="28">
        <v>35</v>
      </c>
      <c r="G4360" s="28" t="s">
        <v>1443</v>
      </c>
      <c r="H4360" s="28">
        <v>0</v>
      </c>
      <c r="J4360" s="92"/>
    </row>
    <row r="4361" spans="1:10" ht="15.75" customHeight="1">
      <c r="A4361" s="28">
        <v>20717</v>
      </c>
      <c r="B4361" s="91">
        <v>45208.025335648148</v>
      </c>
      <c r="C4361" s="28" t="s">
        <v>0</v>
      </c>
      <c r="D4361" s="28" t="s">
        <v>1604</v>
      </c>
      <c r="E4361" s="28" t="s">
        <v>75</v>
      </c>
      <c r="F4361" s="28">
        <v>22</v>
      </c>
      <c r="G4361" s="28" t="s">
        <v>1535</v>
      </c>
      <c r="H4361" s="28">
        <v>0</v>
      </c>
      <c r="J4361" s="92"/>
    </row>
    <row r="4362" spans="1:10" ht="15.75" customHeight="1">
      <c r="A4362" s="28">
        <v>20718</v>
      </c>
      <c r="B4362" s="91">
        <v>45209.623749999999</v>
      </c>
      <c r="C4362" s="28" t="s">
        <v>0</v>
      </c>
      <c r="D4362" s="28" t="s">
        <v>1605</v>
      </c>
      <c r="E4362" s="28" t="s">
        <v>75</v>
      </c>
      <c r="F4362" s="28">
        <v>25</v>
      </c>
      <c r="G4362" s="28" t="s">
        <v>141</v>
      </c>
      <c r="H4362" s="28">
        <v>0</v>
      </c>
      <c r="J4362" s="92"/>
    </row>
    <row r="4363" spans="1:10" ht="15.75" customHeight="1">
      <c r="A4363" s="28">
        <v>20719</v>
      </c>
      <c r="B4363" s="91">
        <v>45210.750902777778</v>
      </c>
      <c r="C4363" s="28" t="s">
        <v>0</v>
      </c>
      <c r="D4363" s="28" t="s">
        <v>1606</v>
      </c>
      <c r="E4363" s="28" t="s">
        <v>75</v>
      </c>
      <c r="F4363" s="28">
        <v>26</v>
      </c>
      <c r="G4363" s="28" t="s">
        <v>1455</v>
      </c>
      <c r="H4363" s="28">
        <v>0</v>
      </c>
      <c r="J4363" s="92"/>
    </row>
    <row r="4364" spans="1:10" ht="15.75" customHeight="1">
      <c r="A4364" s="28">
        <v>20720</v>
      </c>
      <c r="B4364" s="91">
        <v>45211.649907407409</v>
      </c>
      <c r="C4364" s="28" t="s">
        <v>0</v>
      </c>
      <c r="D4364" s="28" t="s">
        <v>1347</v>
      </c>
      <c r="E4364" s="28" t="s">
        <v>75</v>
      </c>
      <c r="F4364" s="28">
        <v>0</v>
      </c>
      <c r="G4364" s="28" t="s">
        <v>141</v>
      </c>
      <c r="H4364" s="28">
        <v>0</v>
      </c>
      <c r="J4364" s="92"/>
    </row>
    <row r="4365" spans="1:10" ht="15.75" customHeight="1">
      <c r="A4365" s="28">
        <v>20721</v>
      </c>
      <c r="B4365" s="91">
        <v>45211.897187499999</v>
      </c>
      <c r="C4365" s="28" t="s">
        <v>0</v>
      </c>
      <c r="D4365" s="28" t="s">
        <v>1607</v>
      </c>
      <c r="E4365" s="28" t="s">
        <v>75</v>
      </c>
      <c r="F4365" s="28">
        <v>26</v>
      </c>
      <c r="G4365" s="28" t="s">
        <v>1455</v>
      </c>
      <c r="H4365" s="28">
        <v>0</v>
      </c>
      <c r="J4365" s="92"/>
    </row>
    <row r="4366" spans="1:10" ht="15.75" customHeight="1">
      <c r="A4366" s="28">
        <v>20722</v>
      </c>
      <c r="B4366" s="91">
        <v>45211.929108796299</v>
      </c>
      <c r="C4366" s="28" t="s">
        <v>0</v>
      </c>
      <c r="D4366" s="28" t="s">
        <v>1271</v>
      </c>
      <c r="E4366" s="28" t="s">
        <v>75</v>
      </c>
      <c r="F4366" s="28">
        <v>35</v>
      </c>
      <c r="G4366" s="28" t="s">
        <v>1443</v>
      </c>
      <c r="H4366" s="28">
        <v>0</v>
      </c>
      <c r="J4366" s="92"/>
    </row>
    <row r="4367" spans="1:10" ht="15.75" customHeight="1">
      <c r="A4367" s="28">
        <v>20723</v>
      </c>
      <c r="B4367" s="91">
        <v>45212.614351851851</v>
      </c>
      <c r="C4367" s="28" t="s">
        <v>0</v>
      </c>
      <c r="D4367" s="28" t="s">
        <v>1608</v>
      </c>
      <c r="E4367" s="28" t="s">
        <v>75</v>
      </c>
      <c r="F4367" s="28">
        <v>28</v>
      </c>
      <c r="G4367" s="28" t="s">
        <v>1448</v>
      </c>
      <c r="H4367" s="28">
        <v>0</v>
      </c>
      <c r="J4367" s="92"/>
    </row>
    <row r="4368" spans="1:10" ht="15.75" customHeight="1">
      <c r="A4368" s="28">
        <v>20723</v>
      </c>
      <c r="B4368" s="91">
        <v>45212.614351851851</v>
      </c>
      <c r="C4368" s="28" t="s">
        <v>0</v>
      </c>
      <c r="D4368" s="28" t="s">
        <v>1608</v>
      </c>
      <c r="E4368" s="28" t="s">
        <v>75</v>
      </c>
      <c r="F4368" s="28">
        <v>35</v>
      </c>
      <c r="G4368" s="28" t="s">
        <v>1443</v>
      </c>
      <c r="H4368" s="28">
        <v>0</v>
      </c>
      <c r="J4368" s="92"/>
    </row>
    <row r="4369" spans="1:10" ht="15.75" customHeight="1">
      <c r="A4369" s="28">
        <v>20724</v>
      </c>
      <c r="B4369" s="91">
        <v>45213.020543981482</v>
      </c>
      <c r="C4369" s="28" t="s">
        <v>0</v>
      </c>
      <c r="D4369" s="28" t="s">
        <v>1609</v>
      </c>
      <c r="E4369" s="28" t="s">
        <v>75</v>
      </c>
      <c r="F4369" s="28">
        <v>18</v>
      </c>
      <c r="G4369" s="28" t="s">
        <v>1470</v>
      </c>
      <c r="H4369" s="28">
        <v>0</v>
      </c>
      <c r="J4369" s="92"/>
    </row>
    <row r="4370" spans="1:10" ht="15.75" customHeight="1">
      <c r="A4370" s="28">
        <v>20725</v>
      </c>
      <c r="B4370" s="91">
        <v>45213.022592592592</v>
      </c>
      <c r="C4370" s="28" t="s">
        <v>0</v>
      </c>
      <c r="D4370" s="28" t="s">
        <v>1610</v>
      </c>
      <c r="E4370" s="28" t="s">
        <v>75</v>
      </c>
      <c r="F4370" s="28">
        <v>18</v>
      </c>
      <c r="G4370" s="28" t="s">
        <v>1470</v>
      </c>
      <c r="H4370" s="28">
        <v>0</v>
      </c>
      <c r="J4370" s="92"/>
    </row>
    <row r="4371" spans="1:10" ht="15.75" customHeight="1">
      <c r="A4371" s="28">
        <v>20726</v>
      </c>
      <c r="B4371" s="91">
        <v>45213.023379629631</v>
      </c>
      <c r="C4371" s="28" t="s">
        <v>0</v>
      </c>
      <c r="D4371" s="28" t="s">
        <v>1611</v>
      </c>
      <c r="E4371" s="28" t="s">
        <v>75</v>
      </c>
      <c r="F4371" s="28">
        <v>20</v>
      </c>
      <c r="G4371" s="28"/>
      <c r="H4371" s="28">
        <v>0</v>
      </c>
      <c r="J4371" s="92"/>
    </row>
    <row r="4372" spans="1:10" ht="15.75" customHeight="1">
      <c r="A4372" s="28">
        <v>20726</v>
      </c>
      <c r="B4372" s="91">
        <v>45213.023379629631</v>
      </c>
      <c r="C4372" s="28" t="s">
        <v>0</v>
      </c>
      <c r="D4372" s="28" t="s">
        <v>1611</v>
      </c>
      <c r="E4372" s="28" t="s">
        <v>75</v>
      </c>
      <c r="F4372" s="28">
        <v>110</v>
      </c>
      <c r="G4372" s="28" t="s">
        <v>1459</v>
      </c>
      <c r="H4372" s="28">
        <v>0</v>
      </c>
      <c r="J4372" s="92"/>
    </row>
    <row r="4373" spans="1:10" ht="15.75" customHeight="1">
      <c r="A4373" s="28">
        <v>20747</v>
      </c>
      <c r="B4373" s="91">
        <v>45213.134027777778</v>
      </c>
      <c r="C4373" s="28" t="s">
        <v>0</v>
      </c>
      <c r="D4373" s="28" t="s">
        <v>1612</v>
      </c>
      <c r="E4373" s="28" t="s">
        <v>75</v>
      </c>
      <c r="F4373" s="28">
        <v>22</v>
      </c>
      <c r="G4373" s="28" t="s">
        <v>1459</v>
      </c>
      <c r="H4373" s="28">
        <v>0</v>
      </c>
      <c r="J4373" s="92"/>
    </row>
    <row r="4374" spans="1:10" ht="15.75" customHeight="1">
      <c r="A4374" s="28">
        <v>20747</v>
      </c>
      <c r="B4374" s="91">
        <v>45213.134027777778</v>
      </c>
      <c r="C4374" s="28" t="s">
        <v>0</v>
      </c>
      <c r="D4374" s="28" t="s">
        <v>1612</v>
      </c>
      <c r="E4374" s="28" t="s">
        <v>75</v>
      </c>
      <c r="F4374" s="28">
        <v>15</v>
      </c>
      <c r="G4374" s="28" t="s">
        <v>1453</v>
      </c>
      <c r="H4374" s="28">
        <v>0</v>
      </c>
      <c r="J4374" s="92"/>
    </row>
    <row r="4375" spans="1:10" ht="15.75" customHeight="1">
      <c r="A4375" s="28">
        <v>20763</v>
      </c>
      <c r="B4375" s="91">
        <v>45213.616064814814</v>
      </c>
      <c r="C4375" s="28" t="s">
        <v>5</v>
      </c>
      <c r="D4375" s="28" t="s">
        <v>1613</v>
      </c>
      <c r="E4375" s="28" t="s">
        <v>92</v>
      </c>
      <c r="F4375" s="28">
        <v>35</v>
      </c>
      <c r="G4375" s="28" t="s">
        <v>1443</v>
      </c>
      <c r="H4375" s="28">
        <v>0</v>
      </c>
      <c r="J4375" s="92"/>
    </row>
    <row r="4376" spans="1:10" ht="15.75" customHeight="1">
      <c r="A4376" s="28">
        <v>20764</v>
      </c>
      <c r="B4376" s="91">
        <v>45213.617476851854</v>
      </c>
      <c r="C4376" s="28" t="s">
        <v>0</v>
      </c>
      <c r="D4376" s="28" t="s">
        <v>1614</v>
      </c>
      <c r="E4376" s="28" t="s">
        <v>92</v>
      </c>
      <c r="F4376" s="28">
        <v>25</v>
      </c>
      <c r="G4376" s="28" t="s">
        <v>1446</v>
      </c>
      <c r="H4376" s="28">
        <v>0</v>
      </c>
      <c r="J4376" s="92"/>
    </row>
    <row r="4377" spans="1:10" ht="15.75" customHeight="1">
      <c r="A4377" s="28">
        <v>20765</v>
      </c>
      <c r="B4377" s="91">
        <v>45213.619108796294</v>
      </c>
      <c r="C4377" s="28" t="s">
        <v>0</v>
      </c>
      <c r="D4377" s="28" t="s">
        <v>1615</v>
      </c>
      <c r="E4377" s="28" t="s">
        <v>92</v>
      </c>
      <c r="F4377" s="28">
        <v>25</v>
      </c>
      <c r="G4377" s="28" t="s">
        <v>1446</v>
      </c>
      <c r="H4377" s="28">
        <v>0</v>
      </c>
      <c r="J4377" s="92"/>
    </row>
    <row r="4378" spans="1:10" ht="15.75" customHeight="1">
      <c r="A4378" s="28">
        <v>20766</v>
      </c>
      <c r="B4378" s="91">
        <v>45213.620763888888</v>
      </c>
      <c r="C4378" s="28" t="s">
        <v>5</v>
      </c>
      <c r="D4378" s="28" t="s">
        <v>1616</v>
      </c>
      <c r="E4378" s="28" t="s">
        <v>92</v>
      </c>
      <c r="F4378" s="28">
        <v>25</v>
      </c>
      <c r="G4378" s="28" t="s">
        <v>1446</v>
      </c>
      <c r="H4378" s="28">
        <v>0</v>
      </c>
      <c r="J4378" s="92"/>
    </row>
    <row r="4379" spans="1:10" ht="15.75" customHeight="1">
      <c r="A4379" s="28">
        <v>20767</v>
      </c>
      <c r="B4379" s="91">
        <v>45213.620833333334</v>
      </c>
      <c r="C4379" s="28" t="s">
        <v>0</v>
      </c>
      <c r="D4379" s="28" t="s">
        <v>1617</v>
      </c>
      <c r="E4379" s="28" t="s">
        <v>92</v>
      </c>
      <c r="F4379" s="28">
        <v>25</v>
      </c>
      <c r="G4379" s="28" t="s">
        <v>1446</v>
      </c>
      <c r="H4379" s="28">
        <v>0</v>
      </c>
      <c r="J4379" s="92"/>
    </row>
    <row r="4380" spans="1:10" ht="15.75" customHeight="1">
      <c r="A4380" s="28">
        <v>20769</v>
      </c>
      <c r="B4380" s="91">
        <v>45213.622881944444</v>
      </c>
      <c r="C4380" s="28" t="s">
        <v>0</v>
      </c>
      <c r="D4380" s="28" t="s">
        <v>1618</v>
      </c>
      <c r="E4380" s="28" t="s">
        <v>92</v>
      </c>
      <c r="F4380" s="28">
        <v>25</v>
      </c>
      <c r="G4380" s="28" t="s">
        <v>1446</v>
      </c>
      <c r="H4380" s="28">
        <v>0</v>
      </c>
      <c r="J4380" s="92"/>
    </row>
    <row r="4381" spans="1:10" ht="15.75" customHeight="1">
      <c r="A4381" s="28">
        <v>20768</v>
      </c>
      <c r="B4381" s="91">
        <v>45213.622708333336</v>
      </c>
      <c r="C4381" s="28" t="s">
        <v>0</v>
      </c>
      <c r="D4381" s="28" t="s">
        <v>1619</v>
      </c>
      <c r="E4381" s="28" t="s">
        <v>92</v>
      </c>
      <c r="F4381" s="28">
        <v>35</v>
      </c>
      <c r="G4381" s="28" t="s">
        <v>1443</v>
      </c>
      <c r="H4381" s="28">
        <v>0</v>
      </c>
      <c r="J4381" s="92"/>
    </row>
    <row r="4382" spans="1:10" ht="15.75" customHeight="1">
      <c r="A4382" s="28">
        <v>20770</v>
      </c>
      <c r="B4382" s="91">
        <v>45213.624432870369</v>
      </c>
      <c r="C4382" s="28" t="s">
        <v>5</v>
      </c>
      <c r="D4382" s="28" t="s">
        <v>1620</v>
      </c>
      <c r="E4382" s="28" t="s">
        <v>92</v>
      </c>
      <c r="F4382" s="28">
        <v>26</v>
      </c>
      <c r="G4382" s="28" t="s">
        <v>1455</v>
      </c>
      <c r="H4382" s="28">
        <v>0</v>
      </c>
      <c r="J4382" s="92"/>
    </row>
    <row r="4383" spans="1:10" ht="15.75" customHeight="1">
      <c r="A4383" s="28">
        <v>20770</v>
      </c>
      <c r="B4383" s="91">
        <v>45213.624432870369</v>
      </c>
      <c r="C4383" s="28" t="s">
        <v>5</v>
      </c>
      <c r="D4383" s="28" t="s">
        <v>1620</v>
      </c>
      <c r="E4383" s="28" t="s">
        <v>92</v>
      </c>
      <c r="F4383" s="28">
        <v>25</v>
      </c>
      <c r="G4383" s="28" t="s">
        <v>141</v>
      </c>
      <c r="H4383" s="28">
        <v>0</v>
      </c>
      <c r="J4383" s="92"/>
    </row>
    <row r="4384" spans="1:10" ht="15.75" customHeight="1">
      <c r="A4384" s="28">
        <v>20771</v>
      </c>
      <c r="B4384" s="91">
        <v>45213.629826388889</v>
      </c>
      <c r="C4384" s="28" t="s">
        <v>0</v>
      </c>
      <c r="D4384" s="28" t="s">
        <v>1621</v>
      </c>
      <c r="E4384" s="28" t="s">
        <v>92</v>
      </c>
      <c r="F4384" s="28">
        <v>25</v>
      </c>
      <c r="G4384" s="28" t="s">
        <v>1446</v>
      </c>
      <c r="H4384" s="28">
        <v>0</v>
      </c>
      <c r="J4384" s="92"/>
    </row>
    <row r="4385" spans="1:10" ht="15.75" customHeight="1">
      <c r="A4385" s="28">
        <v>20772</v>
      </c>
      <c r="B4385" s="91">
        <v>45213.63108796296</v>
      </c>
      <c r="C4385" s="28" t="s">
        <v>0</v>
      </c>
      <c r="D4385" s="28" t="s">
        <v>1620</v>
      </c>
      <c r="E4385" s="28" t="s">
        <v>92</v>
      </c>
      <c r="F4385" s="28">
        <v>26</v>
      </c>
      <c r="G4385" s="28" t="s">
        <v>1455</v>
      </c>
      <c r="H4385" s="28">
        <v>0</v>
      </c>
      <c r="J4385" s="92"/>
    </row>
    <row r="4386" spans="1:10" ht="15.75" customHeight="1">
      <c r="A4386" s="28">
        <v>20772</v>
      </c>
      <c r="B4386" s="91">
        <v>45213.63108796296</v>
      </c>
      <c r="C4386" s="28" t="s">
        <v>0</v>
      </c>
      <c r="D4386" s="28" t="s">
        <v>1620</v>
      </c>
      <c r="E4386" s="28" t="s">
        <v>92</v>
      </c>
      <c r="F4386" s="28">
        <v>25</v>
      </c>
      <c r="G4386" s="28" t="s">
        <v>141</v>
      </c>
      <c r="H4386" s="28">
        <v>0</v>
      </c>
      <c r="J4386" s="92"/>
    </row>
    <row r="4387" spans="1:10" ht="15.75" customHeight="1">
      <c r="A4387" s="28">
        <v>20773</v>
      </c>
      <c r="B4387" s="91">
        <v>45213.637685185182</v>
      </c>
      <c r="C4387" s="28" t="s">
        <v>0</v>
      </c>
      <c r="D4387" s="28" t="s">
        <v>1622</v>
      </c>
      <c r="E4387" s="28" t="s">
        <v>92</v>
      </c>
      <c r="F4387" s="28">
        <v>25</v>
      </c>
      <c r="G4387" s="28" t="s">
        <v>1446</v>
      </c>
      <c r="H4387" s="28">
        <v>0</v>
      </c>
      <c r="J4387" s="92"/>
    </row>
    <row r="4388" spans="1:10" ht="15.75" customHeight="1">
      <c r="A4388" s="28">
        <v>20774</v>
      </c>
      <c r="B4388" s="91">
        <v>45213.643530092595</v>
      </c>
      <c r="C4388" s="28" t="s">
        <v>5</v>
      </c>
      <c r="D4388" s="28" t="s">
        <v>1623</v>
      </c>
      <c r="E4388" s="28" t="s">
        <v>92</v>
      </c>
      <c r="F4388" s="28">
        <v>26</v>
      </c>
      <c r="G4388" s="28" t="s">
        <v>1455</v>
      </c>
      <c r="H4388" s="28">
        <v>0</v>
      </c>
      <c r="J4388" s="92"/>
    </row>
    <row r="4389" spans="1:10" ht="15.75" customHeight="1">
      <c r="A4389" s="28">
        <v>20775</v>
      </c>
      <c r="B4389" s="91">
        <v>45213.645509259259</v>
      </c>
      <c r="C4389" s="28" t="s">
        <v>0</v>
      </c>
      <c r="D4389" s="28" t="s">
        <v>1621</v>
      </c>
      <c r="E4389" s="28" t="s">
        <v>92</v>
      </c>
      <c r="F4389" s="28">
        <v>30</v>
      </c>
      <c r="G4389" s="28"/>
      <c r="H4389" s="28">
        <v>0</v>
      </c>
      <c r="J4389" s="92"/>
    </row>
    <row r="4390" spans="1:10" ht="15.75" customHeight="1">
      <c r="A4390" s="28">
        <v>20776</v>
      </c>
      <c r="B4390" s="91">
        <v>45213.653935185182</v>
      </c>
      <c r="C4390" s="28" t="s">
        <v>0</v>
      </c>
      <c r="D4390" s="28" t="s">
        <v>1624</v>
      </c>
      <c r="E4390" s="28" t="s">
        <v>92</v>
      </c>
      <c r="F4390" s="28">
        <v>22</v>
      </c>
      <c r="G4390" s="28" t="s">
        <v>1459</v>
      </c>
      <c r="H4390" s="28">
        <v>0</v>
      </c>
      <c r="J4390" s="92"/>
    </row>
    <row r="4391" spans="1:10" ht="15.75" customHeight="1">
      <c r="A4391" s="28">
        <v>20777</v>
      </c>
      <c r="B4391" s="91">
        <v>45213.664837962962</v>
      </c>
      <c r="C4391" s="28" t="s">
        <v>0</v>
      </c>
      <c r="D4391" s="28" t="s">
        <v>1625</v>
      </c>
      <c r="E4391" s="28" t="s">
        <v>92</v>
      </c>
      <c r="F4391" s="28">
        <v>75</v>
      </c>
      <c r="G4391" s="28" t="s">
        <v>1446</v>
      </c>
      <c r="H4391" s="28">
        <v>0</v>
      </c>
      <c r="J4391" s="92"/>
    </row>
    <row r="4392" spans="1:10" ht="15.75" customHeight="1">
      <c r="A4392" s="28">
        <v>20778</v>
      </c>
      <c r="B4392" s="91">
        <v>45213.668738425928</v>
      </c>
      <c r="C4392" s="28" t="s">
        <v>51</v>
      </c>
      <c r="D4392" s="28" t="s">
        <v>1626</v>
      </c>
      <c r="E4392" s="28" t="s">
        <v>92</v>
      </c>
      <c r="F4392" s="28">
        <v>18</v>
      </c>
      <c r="G4392" s="28" t="s">
        <v>1470</v>
      </c>
      <c r="H4392" s="28">
        <v>0</v>
      </c>
      <c r="J4392" s="92"/>
    </row>
    <row r="4393" spans="1:10" ht="15.75" customHeight="1">
      <c r="A4393" s="28">
        <v>20779</v>
      </c>
      <c r="B4393" s="91">
        <v>45213.683749999997</v>
      </c>
      <c r="C4393" s="28" t="s">
        <v>0</v>
      </c>
      <c r="D4393" s="28" t="s">
        <v>1613</v>
      </c>
      <c r="E4393" s="28" t="s">
        <v>92</v>
      </c>
      <c r="F4393" s="28">
        <v>35</v>
      </c>
      <c r="G4393" s="28" t="s">
        <v>1443</v>
      </c>
      <c r="H4393" s="28">
        <v>0</v>
      </c>
      <c r="J4393" s="92"/>
    </row>
    <row r="4394" spans="1:10" ht="15.75" customHeight="1">
      <c r="A4394" s="28">
        <v>20780</v>
      </c>
      <c r="B4394" s="91">
        <v>45213.717141203706</v>
      </c>
      <c r="C4394" s="28" t="s">
        <v>0</v>
      </c>
      <c r="D4394" s="28" t="s">
        <v>1627</v>
      </c>
      <c r="E4394" s="28" t="s">
        <v>92</v>
      </c>
      <c r="F4394" s="28">
        <v>26</v>
      </c>
      <c r="G4394" s="28" t="s">
        <v>1455</v>
      </c>
      <c r="H4394" s="28">
        <v>0</v>
      </c>
      <c r="J4394" s="92"/>
    </row>
    <row r="4395" spans="1:10" ht="15.75" customHeight="1">
      <c r="A4395" s="28">
        <v>20781</v>
      </c>
      <c r="B4395" s="91">
        <v>45213.76902777778</v>
      </c>
      <c r="C4395" s="28" t="s">
        <v>0</v>
      </c>
      <c r="D4395" s="28" t="s">
        <v>1628</v>
      </c>
      <c r="E4395" s="28" t="s">
        <v>92</v>
      </c>
      <c r="F4395" s="28">
        <v>15</v>
      </c>
      <c r="G4395" s="28" t="s">
        <v>1453</v>
      </c>
      <c r="H4395" s="28">
        <v>0</v>
      </c>
      <c r="J4395" s="92"/>
    </row>
    <row r="4396" spans="1:10" ht="15.75" customHeight="1">
      <c r="A4396" s="28">
        <v>20781</v>
      </c>
      <c r="B4396" s="91">
        <v>45213.76902777778</v>
      </c>
      <c r="C4396" s="28" t="s">
        <v>0</v>
      </c>
      <c r="D4396" s="28" t="s">
        <v>1628</v>
      </c>
      <c r="E4396" s="28" t="s">
        <v>92</v>
      </c>
      <c r="F4396" s="28">
        <v>22</v>
      </c>
      <c r="G4396" s="28" t="s">
        <v>1535</v>
      </c>
      <c r="H4396" s="28">
        <v>0</v>
      </c>
      <c r="J4396" s="92"/>
    </row>
    <row r="4397" spans="1:10" ht="15.75" customHeight="1">
      <c r="A4397" s="28">
        <v>20782</v>
      </c>
      <c r="B4397" s="91">
        <v>45213.776990740742</v>
      </c>
      <c r="C4397" s="28" t="s">
        <v>5</v>
      </c>
      <c r="D4397" s="28" t="s">
        <v>1629</v>
      </c>
      <c r="E4397" s="28" t="s">
        <v>92</v>
      </c>
      <c r="F4397" s="28">
        <v>26</v>
      </c>
      <c r="G4397" s="28" t="s">
        <v>1455</v>
      </c>
      <c r="H4397" s="28">
        <v>0</v>
      </c>
      <c r="J4397" s="92"/>
    </row>
    <row r="4398" spans="1:10" ht="15.75" customHeight="1">
      <c r="A4398" s="28">
        <v>20783</v>
      </c>
      <c r="B4398" s="91">
        <v>45213.779849537037</v>
      </c>
      <c r="C4398" s="28" t="s">
        <v>51</v>
      </c>
      <c r="D4398" s="28" t="s">
        <v>1630</v>
      </c>
      <c r="E4398" s="28" t="s">
        <v>92</v>
      </c>
      <c r="F4398" s="28">
        <v>26</v>
      </c>
      <c r="G4398" s="28" t="s">
        <v>1455</v>
      </c>
      <c r="H4398" s="28">
        <v>0</v>
      </c>
      <c r="J4398" s="92"/>
    </row>
    <row r="4399" spans="1:10" ht="15.75" customHeight="1">
      <c r="A4399" s="28">
        <v>20784</v>
      </c>
      <c r="B4399" s="91">
        <v>45213.783425925925</v>
      </c>
      <c r="C4399" s="28" t="s">
        <v>5</v>
      </c>
      <c r="D4399" s="28" t="s">
        <v>1631</v>
      </c>
      <c r="E4399" s="28" t="s">
        <v>77</v>
      </c>
      <c r="F4399" s="28">
        <v>15</v>
      </c>
      <c r="G4399" s="28" t="s">
        <v>1453</v>
      </c>
      <c r="H4399" s="28">
        <v>0</v>
      </c>
      <c r="J4399" s="92"/>
    </row>
    <row r="4400" spans="1:10" ht="15.75" customHeight="1">
      <c r="A4400" s="28">
        <v>20785</v>
      </c>
      <c r="B4400" s="91">
        <v>45213.792754629627</v>
      </c>
      <c r="C4400" s="28" t="s">
        <v>0</v>
      </c>
      <c r="D4400" s="28" t="s">
        <v>1632</v>
      </c>
      <c r="E4400" s="28" t="s">
        <v>92</v>
      </c>
      <c r="F4400" s="28">
        <v>35</v>
      </c>
      <c r="G4400" s="28" t="s">
        <v>1443</v>
      </c>
      <c r="H4400" s="28">
        <v>0</v>
      </c>
      <c r="J4400" s="92"/>
    </row>
    <row r="4401" spans="1:10" ht="15.75" customHeight="1">
      <c r="A4401" s="28">
        <v>20786</v>
      </c>
      <c r="B4401" s="91">
        <v>45213.797326388885</v>
      </c>
      <c r="C4401" s="28" t="s">
        <v>0</v>
      </c>
      <c r="D4401" s="28" t="s">
        <v>1633</v>
      </c>
      <c r="E4401" s="28" t="s">
        <v>92</v>
      </c>
      <c r="F4401" s="28">
        <v>35</v>
      </c>
      <c r="G4401" s="28" t="s">
        <v>1443</v>
      </c>
      <c r="H4401" s="28">
        <v>0</v>
      </c>
      <c r="J4401" s="92"/>
    </row>
    <row r="4402" spans="1:10" ht="15.75" customHeight="1">
      <c r="A4402" s="28">
        <v>20787</v>
      </c>
      <c r="B4402" s="91">
        <v>45213.828483796293</v>
      </c>
      <c r="C4402" s="28" t="s">
        <v>0</v>
      </c>
      <c r="D4402" s="28" t="s">
        <v>1634</v>
      </c>
      <c r="E4402" s="28" t="s">
        <v>92</v>
      </c>
      <c r="F4402" s="28">
        <v>15</v>
      </c>
      <c r="G4402" s="28" t="s">
        <v>1467</v>
      </c>
      <c r="H4402" s="28">
        <v>0</v>
      </c>
      <c r="J4402" s="92"/>
    </row>
    <row r="4403" spans="1:10" ht="15.75" customHeight="1">
      <c r="A4403" s="28">
        <v>20787</v>
      </c>
      <c r="B4403" s="91">
        <v>45213.828483796293</v>
      </c>
      <c r="C4403" s="28" t="s">
        <v>0</v>
      </c>
      <c r="D4403" s="28" t="s">
        <v>1634</v>
      </c>
      <c r="E4403" s="28" t="s">
        <v>92</v>
      </c>
      <c r="F4403" s="28">
        <v>26</v>
      </c>
      <c r="G4403" s="28" t="s">
        <v>1455</v>
      </c>
      <c r="H4403" s="28">
        <v>0</v>
      </c>
      <c r="J4403" s="92"/>
    </row>
    <row r="4404" spans="1:10" ht="15.75" customHeight="1">
      <c r="A4404" s="28">
        <v>20787</v>
      </c>
      <c r="B4404" s="91">
        <v>45213.828483796293</v>
      </c>
      <c r="C4404" s="28" t="s">
        <v>0</v>
      </c>
      <c r="D4404" s="28" t="s">
        <v>1634</v>
      </c>
      <c r="E4404" s="28" t="s">
        <v>92</v>
      </c>
      <c r="F4404" s="28">
        <v>0</v>
      </c>
      <c r="G4404" s="28" t="s">
        <v>141</v>
      </c>
      <c r="H4404" s="28">
        <v>0</v>
      </c>
      <c r="J4404" s="92"/>
    </row>
    <row r="4405" spans="1:10" ht="15.75" customHeight="1">
      <c r="A4405" s="28">
        <v>20788</v>
      </c>
      <c r="B4405" s="91">
        <v>45213.841874999998</v>
      </c>
      <c r="C4405" s="28" t="s">
        <v>0</v>
      </c>
      <c r="D4405" s="28" t="s">
        <v>1635</v>
      </c>
      <c r="E4405" s="28" t="s">
        <v>75</v>
      </c>
      <c r="F4405" s="28">
        <v>0</v>
      </c>
      <c r="G4405" s="28" t="s">
        <v>141</v>
      </c>
      <c r="H4405" s="28">
        <v>0</v>
      </c>
      <c r="J4405" s="92"/>
    </row>
    <row r="4406" spans="1:10" ht="15.75" customHeight="1">
      <c r="A4406" s="28">
        <v>20788</v>
      </c>
      <c r="B4406" s="91">
        <v>45213.841874999998</v>
      </c>
      <c r="C4406" s="28" t="s">
        <v>0</v>
      </c>
      <c r="D4406" s="28" t="s">
        <v>1635</v>
      </c>
      <c r="E4406" s="28" t="s">
        <v>75</v>
      </c>
      <c r="F4406" s="28">
        <v>28</v>
      </c>
      <c r="G4406" s="28" t="s">
        <v>1448</v>
      </c>
      <c r="H4406" s="28">
        <v>0</v>
      </c>
      <c r="J4406" s="92"/>
    </row>
    <row r="4407" spans="1:10" ht="15.75" customHeight="1">
      <c r="A4407" s="28">
        <v>20788</v>
      </c>
      <c r="B4407" s="91">
        <v>45213.841874999998</v>
      </c>
      <c r="C4407" s="28" t="s">
        <v>0</v>
      </c>
      <c r="D4407" s="28" t="s">
        <v>1635</v>
      </c>
      <c r="E4407" s="28" t="s">
        <v>75</v>
      </c>
      <c r="F4407" s="28">
        <v>35</v>
      </c>
      <c r="G4407" s="28" t="s">
        <v>1443</v>
      </c>
      <c r="H4407" s="28">
        <v>0</v>
      </c>
      <c r="J4407" s="92"/>
    </row>
    <row r="4408" spans="1:10" ht="15.75" customHeight="1">
      <c r="A4408" s="28">
        <v>20789</v>
      </c>
      <c r="B4408" s="91">
        <v>45213.910671296297</v>
      </c>
      <c r="C4408" s="28" t="s">
        <v>0</v>
      </c>
      <c r="D4408" s="28" t="s">
        <v>1636</v>
      </c>
      <c r="E4408" s="28" t="s">
        <v>92</v>
      </c>
      <c r="F4408" s="28">
        <v>26</v>
      </c>
      <c r="G4408" s="28" t="s">
        <v>1455</v>
      </c>
      <c r="H4408" s="28">
        <v>0</v>
      </c>
      <c r="J4408" s="92"/>
    </row>
    <row r="4409" spans="1:10" ht="15.75" customHeight="1">
      <c r="A4409" s="28">
        <v>20790</v>
      </c>
      <c r="B4409" s="91">
        <v>45213.980891203704</v>
      </c>
      <c r="C4409" s="28" t="s">
        <v>0</v>
      </c>
      <c r="D4409" s="28" t="s">
        <v>1637</v>
      </c>
      <c r="E4409" s="28" t="s">
        <v>92</v>
      </c>
      <c r="F4409" s="28">
        <v>15</v>
      </c>
      <c r="G4409" s="28" t="s">
        <v>1453</v>
      </c>
      <c r="H4409" s="28">
        <v>0</v>
      </c>
      <c r="J4409" s="92"/>
    </row>
    <row r="4410" spans="1:10" ht="15.75" customHeight="1">
      <c r="A4410" s="28">
        <v>20790</v>
      </c>
      <c r="B4410" s="91">
        <v>45213.980891203704</v>
      </c>
      <c r="C4410" s="28" t="s">
        <v>0</v>
      </c>
      <c r="D4410" s="28" t="s">
        <v>1637</v>
      </c>
      <c r="E4410" s="28" t="s">
        <v>92</v>
      </c>
      <c r="F4410" s="28">
        <v>15</v>
      </c>
      <c r="G4410" s="28" t="s">
        <v>1467</v>
      </c>
      <c r="H4410" s="28">
        <v>0</v>
      </c>
      <c r="J4410" s="92"/>
    </row>
    <row r="4411" spans="1:10" ht="15.75" customHeight="1">
      <c r="A4411" s="28">
        <v>20790</v>
      </c>
      <c r="B4411" s="91">
        <v>45213.980891203704</v>
      </c>
      <c r="C4411" s="28" t="s">
        <v>0</v>
      </c>
      <c r="D4411" s="28" t="s">
        <v>1637</v>
      </c>
      <c r="E4411" s="28" t="s">
        <v>92</v>
      </c>
      <c r="F4411" s="28">
        <v>18</v>
      </c>
      <c r="G4411" s="28" t="s">
        <v>1470</v>
      </c>
      <c r="H4411" s="28">
        <v>0</v>
      </c>
      <c r="J4411" s="92"/>
    </row>
    <row r="4412" spans="1:10" ht="15.75" customHeight="1">
      <c r="A4412" s="28">
        <v>20791</v>
      </c>
      <c r="B4412" s="91">
        <v>45214.0393287037</v>
      </c>
      <c r="C4412" s="28" t="s">
        <v>0</v>
      </c>
      <c r="D4412" s="28" t="s">
        <v>1413</v>
      </c>
      <c r="E4412" s="28" t="s">
        <v>75</v>
      </c>
      <c r="F4412" s="28">
        <v>15</v>
      </c>
      <c r="G4412" s="28" t="s">
        <v>1453</v>
      </c>
      <c r="H4412" s="28">
        <v>0</v>
      </c>
      <c r="J4412" s="92"/>
    </row>
    <row r="4413" spans="1:10" ht="15.75" customHeight="1">
      <c r="A4413" s="28">
        <v>20792</v>
      </c>
      <c r="B4413" s="91">
        <v>45214.042314814818</v>
      </c>
      <c r="C4413" s="28" t="s">
        <v>0</v>
      </c>
      <c r="D4413" s="28" t="s">
        <v>1638</v>
      </c>
      <c r="E4413" s="28" t="s">
        <v>75</v>
      </c>
      <c r="F4413" s="28">
        <v>15</v>
      </c>
      <c r="G4413" s="28" t="s">
        <v>1453</v>
      </c>
      <c r="H4413" s="28">
        <v>0</v>
      </c>
      <c r="J4413" s="92"/>
    </row>
    <row r="4414" spans="1:10" ht="15.75" customHeight="1">
      <c r="A4414" s="28">
        <v>20793</v>
      </c>
      <c r="B4414" s="91">
        <v>45214.044212962966</v>
      </c>
      <c r="C4414" s="28" t="s">
        <v>0</v>
      </c>
      <c r="D4414" s="28" t="s">
        <v>1639</v>
      </c>
      <c r="E4414" s="28" t="s">
        <v>92</v>
      </c>
      <c r="F4414" s="28">
        <v>26</v>
      </c>
      <c r="G4414" s="28" t="s">
        <v>1455</v>
      </c>
      <c r="H4414" s="28">
        <v>0</v>
      </c>
      <c r="J4414" s="92"/>
    </row>
    <row r="4415" spans="1:10" ht="15.75" customHeight="1">
      <c r="A4415" s="28">
        <v>20793</v>
      </c>
      <c r="B4415" s="91">
        <v>45214.044212962966</v>
      </c>
      <c r="C4415" s="28" t="s">
        <v>0</v>
      </c>
      <c r="D4415" s="28" t="s">
        <v>1639</v>
      </c>
      <c r="E4415" s="28" t="s">
        <v>92</v>
      </c>
      <c r="F4415" s="28">
        <v>35</v>
      </c>
      <c r="G4415" s="28" t="s">
        <v>1443</v>
      </c>
      <c r="H4415" s="28">
        <v>0</v>
      </c>
      <c r="J4415" s="92"/>
    </row>
    <row r="4416" spans="1:10" ht="15.75" customHeight="1">
      <c r="A4416" s="28">
        <v>20794</v>
      </c>
      <c r="B4416" s="91">
        <v>45214.441342592596</v>
      </c>
      <c r="C4416" s="28" t="s">
        <v>0</v>
      </c>
      <c r="D4416" s="28" t="s">
        <v>1640</v>
      </c>
      <c r="E4416" s="28" t="s">
        <v>75</v>
      </c>
      <c r="F4416" s="28">
        <v>15</v>
      </c>
      <c r="G4416" s="28" t="s">
        <v>1453</v>
      </c>
      <c r="H4416" s="28">
        <v>0</v>
      </c>
      <c r="J4416" s="92"/>
    </row>
    <row r="4417" spans="1:10" ht="15.75" customHeight="1">
      <c r="A4417" s="28">
        <v>20795</v>
      </c>
      <c r="B4417" s="91">
        <v>45214.521527777775</v>
      </c>
      <c r="C4417" s="28" t="s">
        <v>0</v>
      </c>
      <c r="D4417" s="28" t="s">
        <v>1641</v>
      </c>
      <c r="E4417" s="28" t="s">
        <v>92</v>
      </c>
      <c r="F4417" s="28">
        <v>22</v>
      </c>
      <c r="G4417" s="28" t="s">
        <v>1459</v>
      </c>
      <c r="H4417" s="28">
        <v>0</v>
      </c>
      <c r="J4417" s="92"/>
    </row>
    <row r="4418" spans="1:10" ht="15.75" customHeight="1">
      <c r="A4418" s="28">
        <v>20796</v>
      </c>
      <c r="B4418" s="91">
        <v>45214.535162037035</v>
      </c>
      <c r="C4418" s="28" t="s">
        <v>18</v>
      </c>
      <c r="D4418" s="28" t="s">
        <v>1642</v>
      </c>
      <c r="E4418" s="28" t="s">
        <v>92</v>
      </c>
      <c r="F4418" s="28">
        <v>15</v>
      </c>
      <c r="G4418" s="28" t="s">
        <v>1453</v>
      </c>
      <c r="H4418" s="28">
        <v>0</v>
      </c>
      <c r="J4418" s="92"/>
    </row>
    <row r="4419" spans="1:10" ht="15.75" customHeight="1">
      <c r="A4419" s="28">
        <v>20797</v>
      </c>
      <c r="B4419" s="91">
        <v>45214.543657407405</v>
      </c>
      <c r="C4419" s="28" t="s">
        <v>0</v>
      </c>
      <c r="D4419" s="28" t="s">
        <v>1643</v>
      </c>
      <c r="E4419" s="28" t="s">
        <v>92</v>
      </c>
      <c r="F4419" s="28">
        <v>15</v>
      </c>
      <c r="G4419" s="28" t="s">
        <v>1453</v>
      </c>
      <c r="H4419" s="28">
        <v>0</v>
      </c>
      <c r="J4419" s="92"/>
    </row>
    <row r="4420" spans="1:10" ht="15.75" customHeight="1">
      <c r="A4420" s="28">
        <v>20797</v>
      </c>
      <c r="B4420" s="91">
        <v>45214.543657407405</v>
      </c>
      <c r="C4420" s="28" t="s">
        <v>0</v>
      </c>
      <c r="D4420" s="28" t="s">
        <v>1643</v>
      </c>
      <c r="E4420" s="28" t="s">
        <v>92</v>
      </c>
      <c r="F4420" s="28">
        <v>18</v>
      </c>
      <c r="G4420" s="28" t="s">
        <v>1470</v>
      </c>
      <c r="H4420" s="28">
        <v>0</v>
      </c>
      <c r="J4420" s="92"/>
    </row>
    <row r="4421" spans="1:10" ht="15.75" customHeight="1">
      <c r="A4421" s="28">
        <v>20798</v>
      </c>
      <c r="B4421" s="91">
        <v>45214.565347222226</v>
      </c>
      <c r="C4421" s="28" t="s">
        <v>0</v>
      </c>
      <c r="D4421" s="28" t="s">
        <v>1644</v>
      </c>
      <c r="E4421" s="28" t="s">
        <v>75</v>
      </c>
      <c r="F4421" s="28">
        <v>15</v>
      </c>
      <c r="G4421" s="28" t="s">
        <v>1467</v>
      </c>
      <c r="H4421" s="28">
        <v>0</v>
      </c>
      <c r="J4421" s="92"/>
    </row>
    <row r="4422" spans="1:10" ht="15.75" customHeight="1">
      <c r="A4422" s="28">
        <v>20799</v>
      </c>
      <c r="B4422" s="91">
        <v>45214.596388888887</v>
      </c>
      <c r="C4422" s="28" t="s">
        <v>0</v>
      </c>
      <c r="D4422" s="28" t="s">
        <v>1645</v>
      </c>
      <c r="E4422" s="28" t="s">
        <v>75</v>
      </c>
      <c r="F4422" s="28">
        <v>26</v>
      </c>
      <c r="G4422" s="28" t="s">
        <v>1455</v>
      </c>
      <c r="H4422" s="28">
        <v>0</v>
      </c>
      <c r="J4422" s="92"/>
    </row>
    <row r="4423" spans="1:10" ht="15.75" customHeight="1">
      <c r="A4423" s="28">
        <v>20800</v>
      </c>
      <c r="B4423" s="91">
        <v>45214.618310185186</v>
      </c>
      <c r="C4423" s="28" t="s">
        <v>18</v>
      </c>
      <c r="D4423" s="28" t="s">
        <v>1646</v>
      </c>
      <c r="E4423" s="28" t="s">
        <v>74</v>
      </c>
      <c r="F4423" s="28">
        <v>28</v>
      </c>
      <c r="G4423" s="28" t="s">
        <v>1448</v>
      </c>
      <c r="H4423" s="28">
        <v>0</v>
      </c>
      <c r="J4423" s="92"/>
    </row>
    <row r="4424" spans="1:10" ht="15.75" customHeight="1">
      <c r="A4424" s="28">
        <v>20800</v>
      </c>
      <c r="B4424" s="91">
        <v>45214.618310185186</v>
      </c>
      <c r="C4424" s="28" t="s">
        <v>18</v>
      </c>
      <c r="D4424" s="28" t="s">
        <v>1646</v>
      </c>
      <c r="E4424" s="28" t="s">
        <v>74</v>
      </c>
      <c r="F4424" s="28">
        <v>25</v>
      </c>
      <c r="G4424" s="28" t="s">
        <v>1446</v>
      </c>
      <c r="H4424" s="28">
        <v>0</v>
      </c>
      <c r="J4424" s="92"/>
    </row>
    <row r="4425" spans="1:10" ht="15.75" customHeight="1">
      <c r="A4425" s="28">
        <v>20801</v>
      </c>
      <c r="B4425" s="91">
        <v>45214.666608796295</v>
      </c>
      <c r="C4425" s="28" t="s">
        <v>0</v>
      </c>
      <c r="D4425" s="28" t="s">
        <v>1647</v>
      </c>
      <c r="E4425" s="28" t="s">
        <v>92</v>
      </c>
      <c r="F4425" s="28">
        <v>35</v>
      </c>
      <c r="G4425" s="28" t="s">
        <v>1443</v>
      </c>
      <c r="H4425" s="28">
        <v>0</v>
      </c>
      <c r="J4425" s="92"/>
    </row>
    <row r="4426" spans="1:10" ht="15.75" customHeight="1">
      <c r="A4426" s="28">
        <v>20803</v>
      </c>
      <c r="B4426" s="91">
        <v>45214.670347222222</v>
      </c>
      <c r="C4426" s="28" t="s">
        <v>0</v>
      </c>
      <c r="D4426" s="28" t="s">
        <v>1648</v>
      </c>
      <c r="E4426" s="28" t="s">
        <v>92</v>
      </c>
      <c r="F4426" s="28">
        <v>55</v>
      </c>
      <c r="G4426" s="28" t="s">
        <v>1457</v>
      </c>
      <c r="H4426" s="28">
        <v>0</v>
      </c>
      <c r="J4426" s="92"/>
    </row>
    <row r="4427" spans="1:10" ht="15.75" customHeight="1">
      <c r="A4427" s="28">
        <v>20802</v>
      </c>
      <c r="B4427" s="91">
        <v>45214.670300925929</v>
      </c>
      <c r="C4427" s="28" t="s">
        <v>0</v>
      </c>
      <c r="D4427" s="28" t="s">
        <v>1649</v>
      </c>
      <c r="E4427" s="28" t="s">
        <v>92</v>
      </c>
      <c r="F4427" s="28">
        <v>15</v>
      </c>
      <c r="G4427" s="28" t="s">
        <v>1467</v>
      </c>
      <c r="H4427" s="28">
        <v>0</v>
      </c>
      <c r="J4427" s="92"/>
    </row>
    <row r="4428" spans="1:10" ht="15.75" customHeight="1">
      <c r="A4428" s="28">
        <v>20802</v>
      </c>
      <c r="B4428" s="91">
        <v>45214.670300925929</v>
      </c>
      <c r="C4428" s="28" t="s">
        <v>0</v>
      </c>
      <c r="D4428" s="28" t="s">
        <v>1649</v>
      </c>
      <c r="E4428" s="28" t="s">
        <v>92</v>
      </c>
      <c r="F4428" s="28">
        <v>22</v>
      </c>
      <c r="G4428" s="28" t="s">
        <v>1459</v>
      </c>
      <c r="H4428" s="28">
        <v>0</v>
      </c>
      <c r="J4428" s="92"/>
    </row>
    <row r="4429" spans="1:10" ht="15.75" customHeight="1">
      <c r="A4429" s="28">
        <v>20802</v>
      </c>
      <c r="B4429" s="91">
        <v>45214.670300925929</v>
      </c>
      <c r="C4429" s="28" t="s">
        <v>0</v>
      </c>
      <c r="D4429" s="28" t="s">
        <v>1649</v>
      </c>
      <c r="E4429" s="28" t="s">
        <v>92</v>
      </c>
      <c r="F4429" s="28">
        <v>0</v>
      </c>
      <c r="G4429" s="28" t="s">
        <v>141</v>
      </c>
      <c r="H4429" s="28">
        <v>0</v>
      </c>
      <c r="J4429" s="92"/>
    </row>
    <row r="4430" spans="1:10" ht="15.75" customHeight="1">
      <c r="A4430" s="28">
        <v>20804</v>
      </c>
      <c r="B4430" s="91">
        <v>45214.672627314816</v>
      </c>
      <c r="C4430" s="28" t="s">
        <v>0</v>
      </c>
      <c r="D4430" s="28" t="s">
        <v>1650</v>
      </c>
      <c r="E4430" s="28" t="s">
        <v>92</v>
      </c>
      <c r="F4430" s="28">
        <v>26</v>
      </c>
      <c r="G4430" s="28" t="s">
        <v>1455</v>
      </c>
      <c r="H4430" s="28">
        <v>0</v>
      </c>
      <c r="J4430" s="92"/>
    </row>
    <row r="4431" spans="1:10" ht="15.75" customHeight="1">
      <c r="A4431" s="28">
        <v>20805</v>
      </c>
      <c r="B4431" s="91">
        <v>45214.673194444447</v>
      </c>
      <c r="C4431" s="28" t="s">
        <v>0</v>
      </c>
      <c r="D4431" s="28" t="s">
        <v>1651</v>
      </c>
      <c r="E4431" s="28" t="s">
        <v>92</v>
      </c>
      <c r="F4431" s="28">
        <v>35</v>
      </c>
      <c r="G4431" s="28" t="s">
        <v>1443</v>
      </c>
      <c r="H4431" s="28">
        <v>0</v>
      </c>
      <c r="J4431" s="92"/>
    </row>
    <row r="4432" spans="1:10" ht="15.75" customHeight="1">
      <c r="A4432" s="28">
        <v>20805</v>
      </c>
      <c r="B4432" s="91">
        <v>45214.673194444447</v>
      </c>
      <c r="C4432" s="28" t="s">
        <v>0</v>
      </c>
      <c r="D4432" s="28" t="s">
        <v>1651</v>
      </c>
      <c r="E4432" s="28" t="s">
        <v>92</v>
      </c>
      <c r="F4432" s="28">
        <v>0</v>
      </c>
      <c r="G4432" s="28" t="s">
        <v>141</v>
      </c>
      <c r="H4432" s="28">
        <v>0</v>
      </c>
      <c r="J4432" s="92"/>
    </row>
    <row r="4433" spans="1:10" ht="15.75" customHeight="1">
      <c r="A4433" s="28">
        <v>20806</v>
      </c>
      <c r="B4433" s="91">
        <v>45214.680995370371</v>
      </c>
      <c r="C4433" s="28" t="s">
        <v>0</v>
      </c>
      <c r="D4433" s="28" t="s">
        <v>1652</v>
      </c>
      <c r="E4433" s="28" t="s">
        <v>92</v>
      </c>
      <c r="F4433" s="28">
        <v>15</v>
      </c>
      <c r="G4433" s="28" t="s">
        <v>1453</v>
      </c>
      <c r="H4433" s="28">
        <v>0</v>
      </c>
      <c r="J4433" s="92"/>
    </row>
    <row r="4434" spans="1:10" ht="15.75" customHeight="1">
      <c r="A4434" s="28">
        <v>20807</v>
      </c>
      <c r="B4434" s="91">
        <v>45214.690844907411</v>
      </c>
      <c r="C4434" s="28" t="s">
        <v>5</v>
      </c>
      <c r="D4434" s="28" t="s">
        <v>1653</v>
      </c>
      <c r="E4434" s="28" t="s">
        <v>28</v>
      </c>
      <c r="F4434" s="28">
        <v>22</v>
      </c>
      <c r="G4434" s="28" t="s">
        <v>1535</v>
      </c>
      <c r="H4434" s="28">
        <v>0</v>
      </c>
      <c r="J4434" s="92"/>
    </row>
    <row r="4435" spans="1:10" ht="15.75" customHeight="1">
      <c r="A4435" s="28">
        <v>20807</v>
      </c>
      <c r="B4435" s="91">
        <v>45214.690844907411</v>
      </c>
      <c r="C4435" s="28" t="s">
        <v>5</v>
      </c>
      <c r="D4435" s="28" t="s">
        <v>1653</v>
      </c>
      <c r="E4435" s="28" t="s">
        <v>28</v>
      </c>
      <c r="F4435" s="28">
        <v>26</v>
      </c>
      <c r="G4435" s="28" t="s">
        <v>1455</v>
      </c>
      <c r="H4435" s="28">
        <v>0</v>
      </c>
      <c r="J4435" s="92"/>
    </row>
    <row r="4436" spans="1:10" ht="15.75" customHeight="1">
      <c r="A4436" s="28">
        <v>20808</v>
      </c>
      <c r="B4436" s="91">
        <v>45214.704710648148</v>
      </c>
      <c r="C4436" s="28" t="s">
        <v>0</v>
      </c>
      <c r="D4436" s="28" t="s">
        <v>1654</v>
      </c>
      <c r="E4436" s="28" t="s">
        <v>92</v>
      </c>
      <c r="F4436" s="28">
        <v>26</v>
      </c>
      <c r="G4436" s="28" t="s">
        <v>1455</v>
      </c>
      <c r="H4436" s="28">
        <v>0</v>
      </c>
      <c r="J4436" s="92"/>
    </row>
    <row r="4437" spans="1:10" ht="15.75" customHeight="1">
      <c r="A4437" s="28">
        <v>20809</v>
      </c>
      <c r="B4437" s="91">
        <v>45214.706932870373</v>
      </c>
      <c r="C4437" s="28" t="s">
        <v>51</v>
      </c>
      <c r="D4437" s="28" t="s">
        <v>1655</v>
      </c>
      <c r="E4437" s="28" t="s">
        <v>92</v>
      </c>
      <c r="F4437" s="28">
        <v>26</v>
      </c>
      <c r="G4437" s="28" t="s">
        <v>1455</v>
      </c>
      <c r="H4437" s="28">
        <v>0</v>
      </c>
      <c r="J4437" s="92"/>
    </row>
    <row r="4438" spans="1:10" ht="15.75" customHeight="1">
      <c r="A4438" s="28">
        <v>20810</v>
      </c>
      <c r="B4438" s="91">
        <v>45214.720486111109</v>
      </c>
      <c r="C4438" s="28" t="s">
        <v>0</v>
      </c>
      <c r="D4438" s="28" t="s">
        <v>1656</v>
      </c>
      <c r="E4438" s="28" t="s">
        <v>92</v>
      </c>
      <c r="F4438" s="28">
        <v>15</v>
      </c>
      <c r="G4438" s="28" t="s">
        <v>1453</v>
      </c>
      <c r="H4438" s="28">
        <v>0</v>
      </c>
      <c r="J4438" s="92"/>
    </row>
    <row r="4439" spans="1:10" ht="15.75" customHeight="1">
      <c r="A4439" s="28">
        <v>20810</v>
      </c>
      <c r="B4439" s="91">
        <v>45214.720486111109</v>
      </c>
      <c r="C4439" s="28" t="s">
        <v>0</v>
      </c>
      <c r="D4439" s="28" t="s">
        <v>1656</v>
      </c>
      <c r="E4439" s="28" t="s">
        <v>92</v>
      </c>
      <c r="F4439" s="28">
        <v>26</v>
      </c>
      <c r="G4439" s="28" t="s">
        <v>1455</v>
      </c>
      <c r="H4439" s="28">
        <v>0</v>
      </c>
      <c r="J4439" s="92"/>
    </row>
    <row r="4440" spans="1:10" ht="15.75" customHeight="1">
      <c r="A4440" s="28">
        <v>20810</v>
      </c>
      <c r="B4440" s="91">
        <v>45214.720486111109</v>
      </c>
      <c r="C4440" s="28" t="s">
        <v>0</v>
      </c>
      <c r="D4440" s="28" t="s">
        <v>1656</v>
      </c>
      <c r="E4440" s="28" t="s">
        <v>92</v>
      </c>
      <c r="F4440" s="28">
        <v>15</v>
      </c>
      <c r="G4440" s="28" t="s">
        <v>1467</v>
      </c>
      <c r="H4440" s="28">
        <v>0</v>
      </c>
      <c r="J4440" s="92"/>
    </row>
    <row r="4441" spans="1:10" ht="15.75" customHeight="1">
      <c r="A4441" s="28">
        <v>20811</v>
      </c>
      <c r="B4441" s="91">
        <v>45214.758263888885</v>
      </c>
      <c r="C4441" s="28" t="s">
        <v>5</v>
      </c>
      <c r="D4441" s="28" t="s">
        <v>1657</v>
      </c>
      <c r="E4441" s="28" t="s">
        <v>92</v>
      </c>
      <c r="F4441" s="28">
        <v>22</v>
      </c>
      <c r="G4441" s="28" t="s">
        <v>1459</v>
      </c>
      <c r="H4441" s="28">
        <v>0</v>
      </c>
      <c r="J4441" s="92"/>
    </row>
    <row r="4442" spans="1:10" ht="15.75" customHeight="1">
      <c r="A4442" s="28">
        <v>20813</v>
      </c>
      <c r="B4442" s="91">
        <v>45214.78534722222</v>
      </c>
      <c r="C4442" s="28" t="s">
        <v>0</v>
      </c>
      <c r="D4442" s="28" t="s">
        <v>1658</v>
      </c>
      <c r="E4442" s="28" t="s">
        <v>92</v>
      </c>
      <c r="F4442" s="28">
        <v>15</v>
      </c>
      <c r="G4442" s="28" t="s">
        <v>1453</v>
      </c>
      <c r="H4442" s="28">
        <v>0</v>
      </c>
      <c r="J4442" s="92"/>
    </row>
    <row r="4443" spans="1:10" ht="15.75" customHeight="1">
      <c r="A4443" s="28">
        <v>20813</v>
      </c>
      <c r="B4443" s="91">
        <v>45214.78534722222</v>
      </c>
      <c r="C4443" s="28" t="s">
        <v>0</v>
      </c>
      <c r="D4443" s="28" t="s">
        <v>1658</v>
      </c>
      <c r="E4443" s="28" t="s">
        <v>92</v>
      </c>
      <c r="F4443" s="28">
        <v>20</v>
      </c>
      <c r="G4443" s="28"/>
      <c r="H4443" s="28">
        <v>0</v>
      </c>
      <c r="J4443" s="92"/>
    </row>
    <row r="4444" spans="1:10" ht="15.75" customHeight="1">
      <c r="A4444" s="28">
        <v>20814</v>
      </c>
      <c r="B4444" s="91">
        <v>45214.787766203706</v>
      </c>
      <c r="C4444" s="28" t="s">
        <v>0</v>
      </c>
      <c r="D4444" s="28" t="s">
        <v>1659</v>
      </c>
      <c r="E4444" s="28" t="s">
        <v>92</v>
      </c>
      <c r="F4444" s="28">
        <v>44</v>
      </c>
      <c r="G4444" s="28" t="s">
        <v>1535</v>
      </c>
      <c r="H4444" s="28">
        <v>0</v>
      </c>
      <c r="J4444" s="92"/>
    </row>
    <row r="4445" spans="1:10" ht="15.75" customHeight="1">
      <c r="A4445" s="28">
        <v>20815</v>
      </c>
      <c r="B4445" s="91">
        <v>45214.792187500003</v>
      </c>
      <c r="C4445" s="28" t="s">
        <v>0</v>
      </c>
      <c r="D4445" s="28" t="s">
        <v>1660</v>
      </c>
      <c r="E4445" s="28" t="s">
        <v>92</v>
      </c>
      <c r="F4445" s="28">
        <v>20</v>
      </c>
      <c r="G4445" s="28"/>
      <c r="H4445" s="28">
        <v>0</v>
      </c>
      <c r="J4445" s="92"/>
    </row>
    <row r="4446" spans="1:10" ht="15.75" customHeight="1">
      <c r="A4446" s="28">
        <v>20815</v>
      </c>
      <c r="B4446" s="91">
        <v>45214.792187500003</v>
      </c>
      <c r="C4446" s="28" t="s">
        <v>0</v>
      </c>
      <c r="D4446" s="28" t="s">
        <v>1660</v>
      </c>
      <c r="E4446" s="28" t="s">
        <v>92</v>
      </c>
      <c r="F4446" s="28">
        <v>25</v>
      </c>
      <c r="G4446" s="28" t="s">
        <v>1446</v>
      </c>
      <c r="H4446" s="28">
        <v>0</v>
      </c>
      <c r="J4446" s="92"/>
    </row>
    <row r="4447" spans="1:10" ht="15.75" customHeight="1">
      <c r="A4447" s="28">
        <v>20816</v>
      </c>
      <c r="B4447" s="91">
        <v>45214.794918981483</v>
      </c>
      <c r="C4447" s="28" t="s">
        <v>0</v>
      </c>
      <c r="D4447" s="28" t="s">
        <v>1661</v>
      </c>
      <c r="E4447" s="28" t="s">
        <v>92</v>
      </c>
      <c r="F4447" s="28">
        <v>35</v>
      </c>
      <c r="G4447" s="28" t="s">
        <v>1443</v>
      </c>
      <c r="H4447" s="28">
        <v>0</v>
      </c>
      <c r="J4447" s="92"/>
    </row>
    <row r="4448" spans="1:10" ht="15.75" customHeight="1">
      <c r="A4448" s="28">
        <v>20816</v>
      </c>
      <c r="B4448" s="91">
        <v>45214.794918981483</v>
      </c>
      <c r="C4448" s="28" t="s">
        <v>0</v>
      </c>
      <c r="D4448" s="28" t="s">
        <v>1661</v>
      </c>
      <c r="E4448" s="28" t="s">
        <v>92</v>
      </c>
      <c r="F4448" s="28">
        <v>0</v>
      </c>
      <c r="G4448" s="28" t="s">
        <v>141</v>
      </c>
      <c r="H4448" s="28">
        <v>0</v>
      </c>
      <c r="J4448" s="92"/>
    </row>
    <row r="4449" spans="1:10" ht="15.75" customHeight="1">
      <c r="A4449" s="28">
        <v>20817</v>
      </c>
      <c r="B4449" s="91">
        <v>45214.824594907404</v>
      </c>
      <c r="C4449" s="28" t="s">
        <v>0</v>
      </c>
      <c r="D4449" s="28" t="s">
        <v>1662</v>
      </c>
      <c r="E4449" s="28" t="s">
        <v>75</v>
      </c>
      <c r="F4449" s="28">
        <v>28</v>
      </c>
      <c r="G4449" s="28" t="s">
        <v>1448</v>
      </c>
      <c r="H4449" s="28">
        <v>0</v>
      </c>
      <c r="J4449" s="92"/>
    </row>
    <row r="4450" spans="1:10" ht="15.75" customHeight="1">
      <c r="A4450" s="28">
        <v>20818</v>
      </c>
      <c r="B4450" s="91">
        <v>45214.849131944444</v>
      </c>
      <c r="C4450" s="28" t="s">
        <v>0</v>
      </c>
      <c r="D4450" s="28" t="s">
        <v>1663</v>
      </c>
      <c r="E4450" s="28" t="s">
        <v>92</v>
      </c>
      <c r="F4450" s="28">
        <v>26</v>
      </c>
      <c r="G4450" s="28" t="s">
        <v>1455</v>
      </c>
      <c r="H4450" s="28">
        <v>0</v>
      </c>
      <c r="J4450" s="92"/>
    </row>
    <row r="4451" spans="1:10" ht="15.75" customHeight="1">
      <c r="A4451" s="28">
        <v>20818</v>
      </c>
      <c r="B4451" s="91">
        <v>45214.849131944444</v>
      </c>
      <c r="C4451" s="28" t="s">
        <v>0</v>
      </c>
      <c r="D4451" s="28" t="s">
        <v>1663</v>
      </c>
      <c r="E4451" s="28" t="s">
        <v>92</v>
      </c>
      <c r="F4451" s="28">
        <v>56</v>
      </c>
      <c r="G4451" s="28" t="s">
        <v>1448</v>
      </c>
      <c r="H4451" s="28">
        <v>0</v>
      </c>
      <c r="J4451" s="92"/>
    </row>
    <row r="4452" spans="1:10" ht="15.75" customHeight="1">
      <c r="A4452" s="28">
        <v>20818</v>
      </c>
      <c r="B4452" s="91">
        <v>45214.849131944444</v>
      </c>
      <c r="C4452" s="28" t="s">
        <v>0</v>
      </c>
      <c r="D4452" s="28" t="s">
        <v>1663</v>
      </c>
      <c r="E4452" s="28" t="s">
        <v>92</v>
      </c>
      <c r="F4452" s="28">
        <v>20</v>
      </c>
      <c r="G4452" s="28" t="s">
        <v>148</v>
      </c>
      <c r="H4452" s="28">
        <v>0</v>
      </c>
      <c r="J4452" s="92"/>
    </row>
    <row r="4453" spans="1:10" ht="15.75" customHeight="1">
      <c r="A4453" s="28">
        <v>20818</v>
      </c>
      <c r="B4453" s="91">
        <v>45214.849131944444</v>
      </c>
      <c r="C4453" s="28" t="s">
        <v>0</v>
      </c>
      <c r="D4453" s="28" t="s">
        <v>1663</v>
      </c>
      <c r="E4453" s="28" t="s">
        <v>92</v>
      </c>
      <c r="F4453" s="28">
        <v>15</v>
      </c>
      <c r="G4453" s="28" t="s">
        <v>170</v>
      </c>
      <c r="H4453" s="28">
        <v>0</v>
      </c>
      <c r="J4453" s="92"/>
    </row>
    <row r="4454" spans="1:10" ht="15.75" customHeight="1">
      <c r="A4454" s="28">
        <v>20819</v>
      </c>
      <c r="B4454" s="91">
        <v>45214.861180555556</v>
      </c>
      <c r="C4454" s="28" t="s">
        <v>0</v>
      </c>
      <c r="D4454" s="28" t="s">
        <v>1664</v>
      </c>
      <c r="E4454" s="28" t="s">
        <v>92</v>
      </c>
      <c r="F4454" s="28">
        <v>22</v>
      </c>
      <c r="G4454" s="28" t="s">
        <v>1459</v>
      </c>
      <c r="H4454" s="28">
        <v>0</v>
      </c>
      <c r="J4454" s="92"/>
    </row>
    <row r="4455" spans="1:10" ht="15.75" customHeight="1">
      <c r="A4455" s="28">
        <v>20819</v>
      </c>
      <c r="B4455" s="91">
        <v>45214.861180555556</v>
      </c>
      <c r="C4455" s="28" t="s">
        <v>0</v>
      </c>
      <c r="D4455" s="28" t="s">
        <v>1664</v>
      </c>
      <c r="E4455" s="28" t="s">
        <v>92</v>
      </c>
      <c r="F4455" s="28">
        <v>15</v>
      </c>
      <c r="G4455" s="28" t="s">
        <v>1467</v>
      </c>
      <c r="H4455" s="28">
        <v>0</v>
      </c>
      <c r="J4455" s="92"/>
    </row>
    <row r="4456" spans="1:10" ht="15.75" customHeight="1">
      <c r="A4456" s="28">
        <v>20820</v>
      </c>
      <c r="B4456" s="91">
        <v>45214.882488425923</v>
      </c>
      <c r="C4456" s="28" t="s">
        <v>0</v>
      </c>
      <c r="D4456" s="28" t="s">
        <v>1665</v>
      </c>
      <c r="E4456" s="28" t="s">
        <v>92</v>
      </c>
      <c r="F4456" s="28">
        <v>15</v>
      </c>
      <c r="G4456" s="28" t="s">
        <v>1467</v>
      </c>
      <c r="H4456" s="28">
        <v>0</v>
      </c>
      <c r="J4456" s="92"/>
    </row>
    <row r="4457" spans="1:10" ht="15.75" customHeight="1">
      <c r="A4457" s="28">
        <v>20820</v>
      </c>
      <c r="B4457" s="91">
        <v>45214.882488425923</v>
      </c>
      <c r="C4457" s="28" t="s">
        <v>0</v>
      </c>
      <c r="D4457" s="28" t="s">
        <v>1665</v>
      </c>
      <c r="E4457" s="28" t="s">
        <v>92</v>
      </c>
      <c r="F4457" s="28">
        <v>25</v>
      </c>
      <c r="G4457" s="28" t="s">
        <v>141</v>
      </c>
      <c r="H4457" s="28">
        <v>0</v>
      </c>
      <c r="J4457" s="92"/>
    </row>
    <row r="4458" spans="1:10" ht="15.75" customHeight="1">
      <c r="A4458" s="28">
        <v>20821</v>
      </c>
      <c r="B4458" s="91">
        <v>45214.900810185187</v>
      </c>
      <c r="C4458" s="28" t="s">
        <v>0</v>
      </c>
      <c r="D4458" s="28" t="s">
        <v>1666</v>
      </c>
      <c r="E4458" s="28" t="s">
        <v>92</v>
      </c>
      <c r="F4458" s="28">
        <v>26</v>
      </c>
      <c r="G4458" s="28" t="s">
        <v>1455</v>
      </c>
      <c r="H4458" s="28">
        <v>0</v>
      </c>
      <c r="J4458" s="92"/>
    </row>
    <row r="4459" spans="1:10" ht="15.75" customHeight="1">
      <c r="A4459" s="28">
        <v>20822</v>
      </c>
      <c r="B4459" s="91">
        <v>45214.910868055558</v>
      </c>
      <c r="C4459" s="28" t="s">
        <v>0</v>
      </c>
      <c r="D4459" s="28" t="s">
        <v>1667</v>
      </c>
      <c r="E4459" s="28" t="s">
        <v>92</v>
      </c>
      <c r="F4459" s="28">
        <v>15</v>
      </c>
      <c r="G4459" s="28" t="s">
        <v>1453</v>
      </c>
      <c r="H4459" s="28">
        <v>0</v>
      </c>
      <c r="J4459" s="92"/>
    </row>
    <row r="4460" spans="1:10" ht="15.75" customHeight="1">
      <c r="A4460" s="28">
        <v>20823</v>
      </c>
      <c r="B4460" s="91">
        <v>45214.917222222219</v>
      </c>
      <c r="C4460" s="28" t="s">
        <v>0</v>
      </c>
      <c r="D4460" s="28" t="s">
        <v>1668</v>
      </c>
      <c r="E4460" s="28" t="s">
        <v>92</v>
      </c>
      <c r="F4460" s="28">
        <v>18</v>
      </c>
      <c r="G4460" s="28" t="s">
        <v>1470</v>
      </c>
      <c r="H4460" s="28">
        <v>0</v>
      </c>
      <c r="J4460" s="92"/>
    </row>
    <row r="4461" spans="1:10" ht="15.75" customHeight="1">
      <c r="A4461" s="28">
        <v>20824</v>
      </c>
      <c r="B4461" s="91">
        <v>45214.923356481479</v>
      </c>
      <c r="C4461" s="28" t="s">
        <v>0</v>
      </c>
      <c r="D4461" s="28" t="s">
        <v>1669</v>
      </c>
      <c r="E4461" s="28" t="s">
        <v>92</v>
      </c>
      <c r="F4461" s="28">
        <v>26</v>
      </c>
      <c r="G4461" s="28" t="s">
        <v>1455</v>
      </c>
      <c r="H4461" s="28">
        <v>0</v>
      </c>
      <c r="J4461" s="92"/>
    </row>
    <row r="4462" spans="1:10" ht="15.75" customHeight="1">
      <c r="A4462" s="28">
        <v>20825</v>
      </c>
      <c r="B4462" s="91">
        <v>45215.001562500001</v>
      </c>
      <c r="C4462" s="28" t="s">
        <v>0</v>
      </c>
      <c r="D4462" s="28" t="s">
        <v>1670</v>
      </c>
      <c r="E4462" s="28" t="s">
        <v>92</v>
      </c>
      <c r="F4462" s="28">
        <v>0</v>
      </c>
      <c r="G4462" s="28" t="s">
        <v>141</v>
      </c>
      <c r="H4462" s="28">
        <v>0</v>
      </c>
      <c r="J4462" s="92"/>
    </row>
    <row r="4463" spans="1:10" ht="15.75" customHeight="1">
      <c r="A4463" s="28">
        <v>20825</v>
      </c>
      <c r="B4463" s="91">
        <v>45215.001562500001</v>
      </c>
      <c r="C4463" s="28" t="s">
        <v>0</v>
      </c>
      <c r="D4463" s="28" t="s">
        <v>1670</v>
      </c>
      <c r="E4463" s="28" t="s">
        <v>92</v>
      </c>
      <c r="F4463" s="28">
        <v>22</v>
      </c>
      <c r="G4463" s="28" t="s">
        <v>1459</v>
      </c>
      <c r="H4463" s="28">
        <v>0</v>
      </c>
      <c r="J4463" s="92"/>
    </row>
    <row r="4464" spans="1:10" ht="15.75" customHeight="1">
      <c r="A4464" s="28">
        <v>20825</v>
      </c>
      <c r="B4464" s="91">
        <v>45215.001562500001</v>
      </c>
      <c r="C4464" s="28" t="s">
        <v>0</v>
      </c>
      <c r="D4464" s="28" t="s">
        <v>1670</v>
      </c>
      <c r="E4464" s="28" t="s">
        <v>92</v>
      </c>
      <c r="F4464" s="28">
        <v>22</v>
      </c>
      <c r="G4464" s="28" t="s">
        <v>1535</v>
      </c>
      <c r="H4464" s="28">
        <v>0</v>
      </c>
      <c r="J4464" s="92"/>
    </row>
    <row r="4465" spans="1:10" ht="15.75" customHeight="1">
      <c r="A4465" s="28">
        <v>20826</v>
      </c>
      <c r="B4465" s="91">
        <v>45215.032349537039</v>
      </c>
      <c r="C4465" s="28" t="s">
        <v>0</v>
      </c>
      <c r="D4465" s="28" t="s">
        <v>1671</v>
      </c>
      <c r="E4465" s="28" t="s">
        <v>92</v>
      </c>
      <c r="F4465" s="28">
        <v>20</v>
      </c>
      <c r="G4465" s="28"/>
      <c r="H4465" s="28">
        <v>0</v>
      </c>
      <c r="J4465" s="92"/>
    </row>
    <row r="4466" spans="1:10" ht="15.75" customHeight="1">
      <c r="A4466" s="28">
        <v>20826</v>
      </c>
      <c r="B4466" s="91">
        <v>45215.032349537039</v>
      </c>
      <c r="C4466" s="28" t="s">
        <v>0</v>
      </c>
      <c r="D4466" s="28" t="s">
        <v>1671</v>
      </c>
      <c r="E4466" s="28" t="s">
        <v>92</v>
      </c>
      <c r="F4466" s="28">
        <v>25</v>
      </c>
      <c r="G4466" s="28" t="s">
        <v>1446</v>
      </c>
      <c r="H4466" s="28">
        <v>0</v>
      </c>
      <c r="J4466" s="92"/>
    </row>
    <row r="4467" spans="1:10" ht="15.75" customHeight="1">
      <c r="A4467" s="28">
        <v>20826</v>
      </c>
      <c r="B4467" s="91">
        <v>45215.032349537039</v>
      </c>
      <c r="C4467" s="28" t="s">
        <v>0</v>
      </c>
      <c r="D4467" s="28" t="s">
        <v>1671</v>
      </c>
      <c r="E4467" s="28" t="s">
        <v>92</v>
      </c>
      <c r="F4467" s="28">
        <v>0</v>
      </c>
      <c r="G4467" s="28" t="s">
        <v>141</v>
      </c>
      <c r="H4467" s="28">
        <v>0</v>
      </c>
      <c r="J4467" s="92"/>
    </row>
    <row r="4468" spans="1:10" ht="15.75" customHeight="1">
      <c r="A4468" s="28">
        <v>20827</v>
      </c>
      <c r="B4468" s="91">
        <v>45215.048761574071</v>
      </c>
      <c r="C4468" s="28" t="s">
        <v>0</v>
      </c>
      <c r="D4468" s="28" t="s">
        <v>1672</v>
      </c>
      <c r="E4468" s="28" t="s">
        <v>92</v>
      </c>
      <c r="F4468" s="28">
        <v>25</v>
      </c>
      <c r="G4468" s="28" t="s">
        <v>1446</v>
      </c>
      <c r="H4468" s="28">
        <v>0</v>
      </c>
      <c r="J4468" s="92"/>
    </row>
    <row r="4469" spans="1:10" ht="15.75" customHeight="1">
      <c r="A4469" s="28">
        <v>20827</v>
      </c>
      <c r="B4469" s="91">
        <v>45215.048761574071</v>
      </c>
      <c r="C4469" s="28" t="s">
        <v>0</v>
      </c>
      <c r="D4469" s="28" t="s">
        <v>1672</v>
      </c>
      <c r="E4469" s="28" t="s">
        <v>92</v>
      </c>
      <c r="F4469" s="28">
        <v>24</v>
      </c>
      <c r="G4469" s="28"/>
      <c r="H4469" s="28">
        <v>0</v>
      </c>
      <c r="J4469" s="92"/>
    </row>
    <row r="4470" spans="1:10" ht="15.75" customHeight="1">
      <c r="A4470" s="28">
        <v>20827</v>
      </c>
      <c r="B4470" s="91">
        <v>45215.048761574071</v>
      </c>
      <c r="C4470" s="28" t="s">
        <v>0</v>
      </c>
      <c r="D4470" s="28" t="s">
        <v>1672</v>
      </c>
      <c r="E4470" s="28" t="s">
        <v>92</v>
      </c>
      <c r="F4470" s="28">
        <v>0</v>
      </c>
      <c r="G4470" s="28" t="s">
        <v>141</v>
      </c>
      <c r="H4470" s="28">
        <v>0</v>
      </c>
      <c r="J4470" s="92"/>
    </row>
    <row r="4471" spans="1:10" ht="15.75" customHeight="1">
      <c r="A4471" s="28">
        <v>20828</v>
      </c>
      <c r="B4471" s="91">
        <v>45215.065324074072</v>
      </c>
      <c r="C4471" s="28" t="s">
        <v>0</v>
      </c>
      <c r="D4471" s="28" t="s">
        <v>1673</v>
      </c>
      <c r="E4471" s="28" t="s">
        <v>92</v>
      </c>
      <c r="F4471" s="28">
        <v>22</v>
      </c>
      <c r="G4471" s="28" t="s">
        <v>1459</v>
      </c>
      <c r="H4471" s="28">
        <v>0</v>
      </c>
      <c r="J4471" s="92"/>
    </row>
    <row r="4472" spans="1:10" ht="15.75" customHeight="1">
      <c r="A4472" s="28">
        <v>20828</v>
      </c>
      <c r="B4472" s="91">
        <v>45215.065324074072</v>
      </c>
      <c r="C4472" s="28" t="s">
        <v>0</v>
      </c>
      <c r="D4472" s="28" t="s">
        <v>1673</v>
      </c>
      <c r="E4472" s="28" t="s">
        <v>92</v>
      </c>
      <c r="F4472" s="28">
        <v>18</v>
      </c>
      <c r="G4472" s="28" t="s">
        <v>1470</v>
      </c>
      <c r="H4472" s="28">
        <v>0</v>
      </c>
      <c r="J4472" s="92"/>
    </row>
    <row r="4473" spans="1:10" ht="15.75" customHeight="1">
      <c r="A4473" s="28">
        <v>20829</v>
      </c>
      <c r="B4473" s="91">
        <v>45215.088796296295</v>
      </c>
      <c r="C4473" s="28" t="s">
        <v>0</v>
      </c>
      <c r="D4473" s="28" t="s">
        <v>1674</v>
      </c>
      <c r="E4473" s="28" t="s">
        <v>92</v>
      </c>
      <c r="F4473" s="28">
        <v>22</v>
      </c>
      <c r="G4473" s="28" t="s">
        <v>1535</v>
      </c>
      <c r="H4473" s="28">
        <v>0</v>
      </c>
      <c r="J4473" s="92"/>
    </row>
    <row r="4474" spans="1:10" ht="15.75" customHeight="1">
      <c r="A4474" s="28">
        <v>20829</v>
      </c>
      <c r="B4474" s="91">
        <v>45215.088796296295</v>
      </c>
      <c r="C4474" s="28" t="s">
        <v>0</v>
      </c>
      <c r="D4474" s="28" t="s">
        <v>1674</v>
      </c>
      <c r="E4474" s="28" t="s">
        <v>92</v>
      </c>
      <c r="F4474" s="28">
        <v>28</v>
      </c>
      <c r="G4474" s="28" t="s">
        <v>1448</v>
      </c>
      <c r="H4474" s="28">
        <v>0</v>
      </c>
      <c r="J4474" s="92"/>
    </row>
    <row r="4475" spans="1:10" ht="15.75" customHeight="1">
      <c r="A4475" s="28">
        <v>20830</v>
      </c>
      <c r="B4475" s="91">
        <v>45215.619930555556</v>
      </c>
      <c r="C4475" s="28" t="s">
        <v>0</v>
      </c>
      <c r="D4475" s="28" t="s">
        <v>1675</v>
      </c>
      <c r="E4475" s="28" t="s">
        <v>92</v>
      </c>
      <c r="F4475" s="28">
        <v>25</v>
      </c>
      <c r="G4475" s="28">
        <v>100692</v>
      </c>
      <c r="H4475" s="28">
        <v>0</v>
      </c>
      <c r="J4475" s="92"/>
    </row>
    <row r="4476" spans="1:10" ht="15.75" customHeight="1">
      <c r="A4476" s="28">
        <v>20830</v>
      </c>
      <c r="B4476" s="91">
        <v>45215.619930555556</v>
      </c>
      <c r="C4476" s="28" t="s">
        <v>0</v>
      </c>
      <c r="D4476" s="28" t="s">
        <v>1675</v>
      </c>
      <c r="E4476" s="28" t="s">
        <v>92</v>
      </c>
      <c r="F4476" s="28">
        <v>0</v>
      </c>
      <c r="G4476" s="28" t="s">
        <v>125</v>
      </c>
      <c r="H4476" s="28">
        <v>0</v>
      </c>
      <c r="J4476" s="92"/>
    </row>
    <row r="4477" spans="1:10" ht="15.75" customHeight="1">
      <c r="A4477" s="28">
        <v>20830</v>
      </c>
      <c r="B4477" s="91">
        <v>45215.619930555556</v>
      </c>
      <c r="C4477" s="28" t="s">
        <v>0</v>
      </c>
      <c r="D4477" s="28" t="s">
        <v>1675</v>
      </c>
      <c r="E4477" s="28" t="s">
        <v>92</v>
      </c>
      <c r="F4477" s="28">
        <v>0</v>
      </c>
      <c r="G4477" s="28" t="s">
        <v>119</v>
      </c>
      <c r="H4477" s="28">
        <v>0</v>
      </c>
      <c r="J4477" s="92"/>
    </row>
    <row r="4478" spans="1:10" ht="15.75" customHeight="1">
      <c r="A4478" s="28">
        <v>20830</v>
      </c>
      <c r="B4478" s="91">
        <v>45215.619930555556</v>
      </c>
      <c r="C4478" s="28" t="s">
        <v>0</v>
      </c>
      <c r="D4478" s="28" t="s">
        <v>1675</v>
      </c>
      <c r="E4478" s="28" t="s">
        <v>92</v>
      </c>
      <c r="F4478" s="28">
        <v>15</v>
      </c>
      <c r="G4478" s="28" t="s">
        <v>1467</v>
      </c>
      <c r="H4478" s="28">
        <v>0</v>
      </c>
      <c r="J4478" s="92"/>
    </row>
    <row r="4479" spans="1:10" ht="15.75" customHeight="1">
      <c r="A4479" s="28">
        <v>20831</v>
      </c>
      <c r="B4479" s="91">
        <v>45215.774861111109</v>
      </c>
      <c r="C4479" s="28" t="s">
        <v>0</v>
      </c>
      <c r="D4479" s="28" t="s">
        <v>1676</v>
      </c>
      <c r="E4479" s="28" t="s">
        <v>92</v>
      </c>
      <c r="F4479" s="28">
        <v>15</v>
      </c>
      <c r="G4479" s="28" t="s">
        <v>1467</v>
      </c>
      <c r="H4479" s="28">
        <v>0</v>
      </c>
      <c r="J4479" s="92"/>
    </row>
    <row r="4480" spans="1:10" ht="15.75" customHeight="1">
      <c r="A4480" s="28">
        <v>20831</v>
      </c>
      <c r="B4480" s="91">
        <v>45215.774861111109</v>
      </c>
      <c r="C4480" s="28" t="s">
        <v>0</v>
      </c>
      <c r="D4480" s="28" t="s">
        <v>1676</v>
      </c>
      <c r="E4480" s="28" t="s">
        <v>92</v>
      </c>
      <c r="F4480" s="28">
        <v>18</v>
      </c>
      <c r="G4480" s="28" t="s">
        <v>1470</v>
      </c>
      <c r="H4480" s="28">
        <v>0</v>
      </c>
      <c r="J4480" s="92"/>
    </row>
    <row r="4481" spans="1:10" ht="15.75" customHeight="1">
      <c r="A4481" s="28">
        <v>20832</v>
      </c>
      <c r="B4481" s="91">
        <v>45215.826365740744</v>
      </c>
      <c r="C4481" s="28" t="s">
        <v>0</v>
      </c>
      <c r="D4481" s="28" t="s">
        <v>1113</v>
      </c>
      <c r="E4481" s="28" t="s">
        <v>74</v>
      </c>
      <c r="F4481" s="28">
        <v>22</v>
      </c>
      <c r="G4481" s="28" t="s">
        <v>1459</v>
      </c>
      <c r="H4481" s="28">
        <v>0</v>
      </c>
      <c r="J4481" s="92"/>
    </row>
    <row r="4482" spans="1:10" ht="15.75" customHeight="1">
      <c r="A4482" s="28">
        <v>20832</v>
      </c>
      <c r="B4482" s="91">
        <v>45215.826365740744</v>
      </c>
      <c r="C4482" s="28" t="s">
        <v>0</v>
      </c>
      <c r="D4482" s="28" t="s">
        <v>1113</v>
      </c>
      <c r="E4482" s="28" t="s">
        <v>74</v>
      </c>
      <c r="F4482" s="28">
        <v>26</v>
      </c>
      <c r="G4482" s="28" t="s">
        <v>1455</v>
      </c>
      <c r="H4482" s="28">
        <v>0</v>
      </c>
      <c r="J4482" s="92"/>
    </row>
    <row r="4483" spans="1:10" ht="15.75" customHeight="1">
      <c r="A4483" s="28">
        <v>20833</v>
      </c>
      <c r="B4483" s="91">
        <v>45215.886018518519</v>
      </c>
      <c r="C4483" s="28" t="s">
        <v>0</v>
      </c>
      <c r="D4483" s="28" t="s">
        <v>1677</v>
      </c>
      <c r="E4483" s="28" t="s">
        <v>92</v>
      </c>
      <c r="F4483" s="28">
        <v>28</v>
      </c>
      <c r="G4483" s="28" t="s">
        <v>1448</v>
      </c>
      <c r="H4483" s="28">
        <v>0</v>
      </c>
      <c r="J4483" s="92"/>
    </row>
    <row r="4484" spans="1:10" ht="15.75" customHeight="1">
      <c r="A4484" s="28">
        <v>20834</v>
      </c>
      <c r="B4484" s="91">
        <v>45215.937199074076</v>
      </c>
      <c r="C4484" s="28" t="s">
        <v>0</v>
      </c>
      <c r="D4484" s="28" t="s">
        <v>1295</v>
      </c>
      <c r="E4484" s="28" t="s">
        <v>75</v>
      </c>
      <c r="F4484" s="28">
        <v>100</v>
      </c>
      <c r="G4484" s="28" t="s">
        <v>1678</v>
      </c>
      <c r="H4484" s="28">
        <v>0</v>
      </c>
      <c r="J4484" s="92"/>
    </row>
    <row r="4485" spans="1:10" ht="15.75" customHeight="1">
      <c r="A4485" s="28">
        <v>20834</v>
      </c>
      <c r="B4485" s="91">
        <v>45215.937199074076</v>
      </c>
      <c r="C4485" s="28" t="s">
        <v>0</v>
      </c>
      <c r="D4485" s="28" t="s">
        <v>1295</v>
      </c>
      <c r="E4485" s="28" t="s">
        <v>75</v>
      </c>
      <c r="F4485" s="28">
        <v>90</v>
      </c>
      <c r="G4485" s="28"/>
      <c r="H4485" s="28">
        <v>0</v>
      </c>
      <c r="J4485" s="92"/>
    </row>
    <row r="4486" spans="1:10" ht="15.75" customHeight="1">
      <c r="A4486" s="28">
        <v>20834</v>
      </c>
      <c r="B4486" s="91">
        <v>45215.937199074076</v>
      </c>
      <c r="C4486" s="28" t="s">
        <v>0</v>
      </c>
      <c r="D4486" s="28" t="s">
        <v>1295</v>
      </c>
      <c r="E4486" s="28" t="s">
        <v>75</v>
      </c>
      <c r="F4486" s="28">
        <v>20</v>
      </c>
      <c r="G4486" s="28"/>
      <c r="H4486" s="28">
        <v>0</v>
      </c>
      <c r="J4486" s="92"/>
    </row>
    <row r="4487" spans="1:10" ht="15.75" customHeight="1">
      <c r="A4487" s="28">
        <v>20835</v>
      </c>
      <c r="B4487" s="91">
        <v>45215.988113425927</v>
      </c>
      <c r="C4487" s="28" t="s">
        <v>0</v>
      </c>
      <c r="D4487" s="28" t="s">
        <v>1679</v>
      </c>
      <c r="E4487" s="28" t="s">
        <v>92</v>
      </c>
      <c r="F4487" s="28">
        <v>35</v>
      </c>
      <c r="G4487" s="28" t="s">
        <v>1443</v>
      </c>
      <c r="H4487" s="28">
        <v>0</v>
      </c>
      <c r="J4487" s="92"/>
    </row>
    <row r="4488" spans="1:10" ht="15.75" customHeight="1">
      <c r="A4488" s="28">
        <v>20836</v>
      </c>
      <c r="B4488" s="91">
        <v>45216.03056712963</v>
      </c>
      <c r="C4488" s="28" t="s">
        <v>0</v>
      </c>
      <c r="D4488" s="28" t="s">
        <v>1680</v>
      </c>
      <c r="E4488" s="28" t="s">
        <v>92</v>
      </c>
      <c r="F4488" s="28">
        <v>18</v>
      </c>
      <c r="G4488" s="28" t="s">
        <v>1470</v>
      </c>
      <c r="H4488" s="28">
        <v>0</v>
      </c>
      <c r="J4488" s="92"/>
    </row>
    <row r="4489" spans="1:10" ht="15.75" customHeight="1">
      <c r="A4489" s="28">
        <v>20837</v>
      </c>
      <c r="B4489" s="91">
        <v>45216.032349537039</v>
      </c>
      <c r="C4489" s="28" t="s">
        <v>0</v>
      </c>
      <c r="D4489" s="28" t="s">
        <v>1681</v>
      </c>
      <c r="E4489" s="28" t="s">
        <v>92</v>
      </c>
      <c r="F4489" s="28">
        <v>18</v>
      </c>
      <c r="G4489" s="28" t="s">
        <v>1470</v>
      </c>
      <c r="H4489" s="28">
        <v>0</v>
      </c>
      <c r="J4489" s="92"/>
    </row>
    <row r="4490" spans="1:10" ht="15.75" customHeight="1">
      <c r="A4490" s="28">
        <v>20838</v>
      </c>
      <c r="B4490" s="91">
        <v>45216.062604166669</v>
      </c>
      <c r="C4490" s="28" t="s">
        <v>0</v>
      </c>
      <c r="D4490" s="28" t="s">
        <v>1681</v>
      </c>
      <c r="E4490" s="28" t="s">
        <v>92</v>
      </c>
      <c r="F4490" s="28">
        <v>24</v>
      </c>
      <c r="G4490" s="28"/>
      <c r="H4490" s="28">
        <v>0</v>
      </c>
      <c r="J4490" s="92"/>
    </row>
    <row r="4491" spans="1:10" ht="15.75" customHeight="1">
      <c r="A4491" s="28">
        <v>20839</v>
      </c>
      <c r="B4491" s="91">
        <v>45216.067175925928</v>
      </c>
      <c r="C4491" s="28" t="s">
        <v>0</v>
      </c>
      <c r="D4491" s="28" t="s">
        <v>1682</v>
      </c>
      <c r="E4491" s="28" t="s">
        <v>76</v>
      </c>
      <c r="F4491" s="28">
        <v>26</v>
      </c>
      <c r="G4491" s="28" t="s">
        <v>1455</v>
      </c>
      <c r="H4491" s="28">
        <v>0</v>
      </c>
      <c r="J4491" s="92"/>
    </row>
    <row r="4492" spans="1:10" ht="15.75" customHeight="1">
      <c r="A4492" s="28">
        <v>20840</v>
      </c>
      <c r="B4492" s="91">
        <v>45216.06894675926</v>
      </c>
      <c r="C4492" s="28" t="s">
        <v>0</v>
      </c>
      <c r="D4492" s="28" t="s">
        <v>340</v>
      </c>
      <c r="E4492" s="28" t="s">
        <v>76</v>
      </c>
      <c r="F4492" s="28">
        <v>26</v>
      </c>
      <c r="G4492" s="28" t="s">
        <v>1455</v>
      </c>
      <c r="H4492" s="28">
        <v>0</v>
      </c>
      <c r="J4492" s="92"/>
    </row>
    <row r="4493" spans="1:10" ht="15.75" customHeight="1">
      <c r="A4493" s="28">
        <v>20841</v>
      </c>
      <c r="B4493" s="91">
        <v>45216.136574074073</v>
      </c>
      <c r="C4493" s="28" t="s">
        <v>0</v>
      </c>
      <c r="D4493" s="28" t="s">
        <v>1683</v>
      </c>
      <c r="E4493" s="28" t="s">
        <v>92</v>
      </c>
      <c r="F4493" s="28">
        <v>15</v>
      </c>
      <c r="G4493" s="28" t="s">
        <v>1467</v>
      </c>
      <c r="H4493" s="28">
        <v>0</v>
      </c>
      <c r="J4493" s="92"/>
    </row>
    <row r="4494" spans="1:10" ht="15.75" customHeight="1">
      <c r="A4494" s="28">
        <v>20842</v>
      </c>
      <c r="B4494" s="91">
        <v>45216.773958333331</v>
      </c>
      <c r="C4494" s="28" t="s">
        <v>0</v>
      </c>
      <c r="D4494" s="28" t="s">
        <v>1629</v>
      </c>
      <c r="E4494" s="28" t="s">
        <v>92</v>
      </c>
      <c r="F4494" s="28">
        <v>20</v>
      </c>
      <c r="G4494" s="28" t="s">
        <v>1475</v>
      </c>
      <c r="H4494" s="28">
        <v>0</v>
      </c>
      <c r="J4494" s="92"/>
    </row>
    <row r="4495" spans="1:10" ht="15.75" customHeight="1">
      <c r="A4495" s="28">
        <v>20843</v>
      </c>
      <c r="B4495" s="91">
        <v>45216.844710648147</v>
      </c>
      <c r="C4495" s="28" t="s">
        <v>0</v>
      </c>
      <c r="D4495" s="28" t="s">
        <v>1684</v>
      </c>
      <c r="E4495" s="28" t="s">
        <v>75</v>
      </c>
      <c r="F4495" s="28">
        <v>15</v>
      </c>
      <c r="G4495" s="28" t="s">
        <v>1453</v>
      </c>
      <c r="H4495" s="28">
        <v>0</v>
      </c>
      <c r="J4495" s="92"/>
    </row>
    <row r="4496" spans="1:10" ht="15.75" customHeight="1">
      <c r="A4496" s="28">
        <v>20844</v>
      </c>
      <c r="B4496" s="91">
        <v>45216.967812499999</v>
      </c>
      <c r="C4496" s="28" t="s">
        <v>0</v>
      </c>
      <c r="D4496" s="28" t="s">
        <v>1685</v>
      </c>
      <c r="E4496" s="28" t="s">
        <v>92</v>
      </c>
      <c r="F4496" s="28">
        <v>18</v>
      </c>
      <c r="G4496" s="28" t="s">
        <v>1470</v>
      </c>
      <c r="H4496" s="28">
        <v>0</v>
      </c>
      <c r="J4496" s="92"/>
    </row>
    <row r="4497" spans="1:10" ht="15.75" customHeight="1">
      <c r="A4497" s="28">
        <v>20844</v>
      </c>
      <c r="B4497" s="91">
        <v>45216.967812499999</v>
      </c>
      <c r="C4497" s="28" t="s">
        <v>0</v>
      </c>
      <c r="D4497" s="28" t="s">
        <v>1685</v>
      </c>
      <c r="E4497" s="28" t="s">
        <v>92</v>
      </c>
      <c r="F4497" s="28">
        <v>15</v>
      </c>
      <c r="G4497" s="28" t="s">
        <v>1453</v>
      </c>
      <c r="H4497" s="28">
        <v>0</v>
      </c>
      <c r="J4497" s="92"/>
    </row>
    <row r="4498" spans="1:10" ht="15.75" customHeight="1">
      <c r="A4498" s="28">
        <v>20845</v>
      </c>
      <c r="B4498" s="91">
        <v>45217.181041666663</v>
      </c>
      <c r="C4498" s="28" t="s">
        <v>0</v>
      </c>
      <c r="D4498" s="28" t="s">
        <v>1686</v>
      </c>
      <c r="E4498" s="28" t="s">
        <v>92</v>
      </c>
      <c r="F4498" s="28">
        <v>15</v>
      </c>
      <c r="G4498" s="28" t="s">
        <v>1467</v>
      </c>
      <c r="H4498" s="28">
        <v>0</v>
      </c>
      <c r="J4498" s="92"/>
    </row>
    <row r="4499" spans="1:10" ht="15.75" customHeight="1">
      <c r="A4499" s="28">
        <v>20846</v>
      </c>
      <c r="B4499" s="91">
        <v>45217.517708333333</v>
      </c>
      <c r="C4499" s="28" t="s">
        <v>0</v>
      </c>
      <c r="D4499" s="28" t="s">
        <v>1687</v>
      </c>
      <c r="E4499" s="28" t="s">
        <v>28</v>
      </c>
      <c r="F4499" s="28">
        <v>15</v>
      </c>
      <c r="G4499" s="28" t="s">
        <v>1453</v>
      </c>
      <c r="H4499" s="28">
        <v>0</v>
      </c>
      <c r="J4499" s="92"/>
    </row>
    <row r="4500" spans="1:10" ht="15.75" customHeight="1">
      <c r="A4500" s="28">
        <v>20847</v>
      </c>
      <c r="B4500" s="91">
        <v>45217.564120370371</v>
      </c>
      <c r="C4500" s="28" t="s">
        <v>0</v>
      </c>
      <c r="D4500" s="28" t="s">
        <v>1688</v>
      </c>
      <c r="E4500" s="28" t="s">
        <v>92</v>
      </c>
      <c r="F4500" s="28">
        <v>25</v>
      </c>
      <c r="G4500" s="28" t="s">
        <v>141</v>
      </c>
      <c r="H4500" s="28">
        <v>0</v>
      </c>
      <c r="J4500" s="92"/>
    </row>
    <row r="4501" spans="1:10" ht="15.75" customHeight="1">
      <c r="A4501" s="28">
        <v>20847</v>
      </c>
      <c r="B4501" s="91">
        <v>45217.564120370371</v>
      </c>
      <c r="C4501" s="28" t="s">
        <v>0</v>
      </c>
      <c r="D4501" s="28" t="s">
        <v>1688</v>
      </c>
      <c r="E4501" s="28" t="s">
        <v>92</v>
      </c>
      <c r="F4501" s="28">
        <v>26</v>
      </c>
      <c r="G4501" s="28" t="s">
        <v>1455</v>
      </c>
      <c r="H4501" s="28">
        <v>0</v>
      </c>
      <c r="J4501" s="92"/>
    </row>
    <row r="4502" spans="1:10" ht="15.75" customHeight="1">
      <c r="A4502" s="28">
        <v>20872</v>
      </c>
      <c r="B4502" s="91">
        <v>45217.748657407406</v>
      </c>
      <c r="C4502" s="28" t="s">
        <v>0</v>
      </c>
      <c r="D4502" s="28" t="s">
        <v>1689</v>
      </c>
      <c r="E4502" s="28" t="s">
        <v>92</v>
      </c>
      <c r="F4502" s="28">
        <v>22</v>
      </c>
      <c r="G4502" s="28" t="s">
        <v>1535</v>
      </c>
      <c r="H4502" s="28">
        <v>0</v>
      </c>
      <c r="J4502" s="92"/>
    </row>
    <row r="4503" spans="1:10" ht="15.75" customHeight="1">
      <c r="A4503" s="28">
        <v>20872</v>
      </c>
      <c r="B4503" s="91">
        <v>45217.748657407406</v>
      </c>
      <c r="C4503" s="28" t="s">
        <v>0</v>
      </c>
      <c r="D4503" s="28" t="s">
        <v>1689</v>
      </c>
      <c r="E4503" s="28" t="s">
        <v>92</v>
      </c>
      <c r="F4503" s="28">
        <v>15</v>
      </c>
      <c r="G4503" s="28" t="s">
        <v>1467</v>
      </c>
      <c r="H4503" s="28">
        <v>0</v>
      </c>
      <c r="J4503" s="92"/>
    </row>
    <row r="4504" spans="1:10" ht="15.75" customHeight="1">
      <c r="A4504" s="28">
        <v>20873</v>
      </c>
      <c r="B4504" s="91">
        <v>45218.115347222221</v>
      </c>
      <c r="C4504" s="28" t="s">
        <v>0</v>
      </c>
      <c r="D4504" s="28" t="s">
        <v>1092</v>
      </c>
      <c r="E4504" s="28" t="s">
        <v>77</v>
      </c>
      <c r="F4504" s="28">
        <v>100</v>
      </c>
      <c r="G4504" s="28" t="s">
        <v>1580</v>
      </c>
      <c r="H4504" s="28">
        <v>0</v>
      </c>
      <c r="J4504" s="92"/>
    </row>
    <row r="4505" spans="1:10" ht="15.75" customHeight="1">
      <c r="A4505" s="28">
        <v>20875</v>
      </c>
      <c r="B4505" s="91">
        <v>45218.428043981483</v>
      </c>
      <c r="C4505" s="28" t="s">
        <v>0</v>
      </c>
      <c r="D4505" s="28" t="s">
        <v>710</v>
      </c>
      <c r="E4505" s="28" t="s">
        <v>92</v>
      </c>
      <c r="F4505" s="28">
        <v>15</v>
      </c>
      <c r="G4505" s="28" t="s">
        <v>1467</v>
      </c>
      <c r="H4505" s="28">
        <v>0</v>
      </c>
      <c r="J4505" s="92"/>
    </row>
    <row r="4506" spans="1:10" ht="15.75" customHeight="1">
      <c r="A4506" s="28">
        <v>20875</v>
      </c>
      <c r="B4506" s="91">
        <v>45218.428043981483</v>
      </c>
      <c r="C4506" s="28" t="s">
        <v>0</v>
      </c>
      <c r="D4506" s="28" t="s">
        <v>710</v>
      </c>
      <c r="E4506" s="28" t="s">
        <v>92</v>
      </c>
      <c r="F4506" s="28">
        <v>35</v>
      </c>
      <c r="G4506" s="28" t="s">
        <v>1443</v>
      </c>
      <c r="H4506" s="28">
        <v>0</v>
      </c>
      <c r="J4506" s="92"/>
    </row>
    <row r="4507" spans="1:10" ht="15.75" customHeight="1">
      <c r="A4507" s="28">
        <v>20876</v>
      </c>
      <c r="B4507" s="91">
        <v>45218.930509259262</v>
      </c>
      <c r="C4507" s="28" t="s">
        <v>0</v>
      </c>
      <c r="D4507" s="28" t="s">
        <v>1400</v>
      </c>
      <c r="E4507" s="28" t="s">
        <v>28</v>
      </c>
      <c r="F4507" s="28">
        <v>25</v>
      </c>
      <c r="G4507" s="28" t="s">
        <v>1446</v>
      </c>
      <c r="H4507" s="28">
        <v>0</v>
      </c>
      <c r="J4507" s="92"/>
    </row>
    <row r="4508" spans="1:10" ht="15.75" customHeight="1">
      <c r="A4508" s="28">
        <v>20877</v>
      </c>
      <c r="B4508" s="91">
        <v>45219.03019675926</v>
      </c>
      <c r="C4508" s="28" t="s">
        <v>0</v>
      </c>
      <c r="D4508" s="28" t="s">
        <v>1690</v>
      </c>
      <c r="E4508" s="28" t="s">
        <v>92</v>
      </c>
      <c r="F4508" s="28">
        <v>35</v>
      </c>
      <c r="G4508" s="28" t="s">
        <v>1443</v>
      </c>
      <c r="H4508" s="28">
        <v>0</v>
      </c>
      <c r="J4508" s="92"/>
    </row>
    <row r="4509" spans="1:10" ht="15.75" customHeight="1">
      <c r="A4509" s="28">
        <v>20877</v>
      </c>
      <c r="B4509" s="91">
        <v>45219.03019675926</v>
      </c>
      <c r="C4509" s="28" t="s">
        <v>0</v>
      </c>
      <c r="D4509" s="28" t="s">
        <v>1690</v>
      </c>
      <c r="E4509" s="28" t="s">
        <v>92</v>
      </c>
      <c r="F4509" s="28">
        <v>25</v>
      </c>
      <c r="G4509" s="28" t="s">
        <v>1446</v>
      </c>
      <c r="H4509" s="28">
        <v>0</v>
      </c>
      <c r="J4509" s="92"/>
    </row>
    <row r="4510" spans="1:10" ht="15.75" customHeight="1">
      <c r="A4510" s="28">
        <v>20878</v>
      </c>
      <c r="B4510" s="91">
        <v>45219.047592592593</v>
      </c>
      <c r="C4510" s="28" t="s">
        <v>18</v>
      </c>
      <c r="D4510" s="28" t="s">
        <v>1691</v>
      </c>
      <c r="E4510" s="28" t="s">
        <v>92</v>
      </c>
      <c r="F4510" s="28">
        <v>25</v>
      </c>
      <c r="G4510" s="28" t="s">
        <v>141</v>
      </c>
      <c r="H4510" s="28">
        <v>0</v>
      </c>
      <c r="J4510" s="92"/>
    </row>
    <row r="4511" spans="1:10" ht="15.75" customHeight="1">
      <c r="A4511" s="28">
        <v>20879</v>
      </c>
      <c r="B4511" s="91">
        <v>45219.188807870371</v>
      </c>
      <c r="C4511" s="28" t="s">
        <v>0</v>
      </c>
      <c r="D4511" s="28" t="s">
        <v>1692</v>
      </c>
      <c r="E4511" s="28" t="s">
        <v>92</v>
      </c>
      <c r="F4511" s="28">
        <v>15</v>
      </c>
      <c r="G4511" s="28" t="s">
        <v>1453</v>
      </c>
      <c r="H4511" s="28">
        <v>0</v>
      </c>
      <c r="J4511" s="92"/>
    </row>
    <row r="4512" spans="1:10" ht="15.75" customHeight="1">
      <c r="A4512" s="28">
        <v>20880</v>
      </c>
      <c r="B4512" s="91">
        <v>45219.670185185183</v>
      </c>
      <c r="C4512" s="28" t="s">
        <v>0</v>
      </c>
      <c r="D4512" s="28" t="s">
        <v>1693</v>
      </c>
      <c r="E4512" s="28" t="s">
        <v>50</v>
      </c>
      <c r="F4512" s="28">
        <v>35</v>
      </c>
      <c r="G4512" s="28" t="s">
        <v>1443</v>
      </c>
      <c r="H4512" s="28">
        <v>0</v>
      </c>
      <c r="J4512" s="92"/>
    </row>
    <row r="4513" spans="1:10" ht="15.75" customHeight="1">
      <c r="A4513" s="28">
        <v>20883</v>
      </c>
      <c r="B4513" s="91">
        <v>45220.37023148148</v>
      </c>
      <c r="C4513" s="28" t="s">
        <v>0</v>
      </c>
      <c r="D4513" s="28" t="s">
        <v>1145</v>
      </c>
      <c r="E4513" s="28" t="s">
        <v>50</v>
      </c>
      <c r="F4513" s="28">
        <v>35</v>
      </c>
      <c r="G4513" s="28" t="s">
        <v>1443</v>
      </c>
      <c r="H4513" s="28">
        <v>0</v>
      </c>
      <c r="J4513" s="92"/>
    </row>
    <row r="4514" spans="1:10" ht="15.75" customHeight="1">
      <c r="A4514" s="28">
        <v>20884</v>
      </c>
      <c r="B4514" s="91">
        <v>45220.681666666664</v>
      </c>
      <c r="C4514" s="28" t="s">
        <v>0</v>
      </c>
      <c r="D4514" s="28" t="s">
        <v>1694</v>
      </c>
      <c r="E4514" s="28" t="s">
        <v>92</v>
      </c>
      <c r="F4514" s="28">
        <v>28</v>
      </c>
      <c r="G4514" s="28" t="s">
        <v>1448</v>
      </c>
      <c r="H4514" s="28">
        <v>0</v>
      </c>
      <c r="J4514" s="92"/>
    </row>
    <row r="4515" spans="1:10" ht="15.75" customHeight="1">
      <c r="A4515" s="28">
        <v>20884</v>
      </c>
      <c r="B4515" s="91">
        <v>45220.681666666664</v>
      </c>
      <c r="C4515" s="28" t="s">
        <v>0</v>
      </c>
      <c r="D4515" s="28" t="s">
        <v>1694</v>
      </c>
      <c r="E4515" s="28" t="s">
        <v>92</v>
      </c>
      <c r="F4515" s="28">
        <v>15</v>
      </c>
      <c r="G4515" s="28" t="s">
        <v>1467</v>
      </c>
      <c r="H4515" s="28">
        <v>0</v>
      </c>
      <c r="J4515" s="92"/>
    </row>
    <row r="4516" spans="1:10" ht="15.75" customHeight="1">
      <c r="A4516" s="28">
        <v>20884</v>
      </c>
      <c r="B4516" s="91">
        <v>45220.681666666664</v>
      </c>
      <c r="C4516" s="28" t="s">
        <v>0</v>
      </c>
      <c r="D4516" s="28" t="s">
        <v>1694</v>
      </c>
      <c r="E4516" s="28" t="s">
        <v>92</v>
      </c>
      <c r="F4516" s="28">
        <v>22</v>
      </c>
      <c r="G4516" s="28" t="s">
        <v>1535</v>
      </c>
      <c r="H4516" s="28">
        <v>0</v>
      </c>
      <c r="J4516" s="92"/>
    </row>
    <row r="4517" spans="1:10" ht="15.75" customHeight="1">
      <c r="A4517" s="28">
        <v>20942</v>
      </c>
      <c r="B4517" s="91">
        <v>45220.94195601852</v>
      </c>
      <c r="C4517" s="28" t="s">
        <v>0</v>
      </c>
      <c r="D4517" s="28" t="s">
        <v>1695</v>
      </c>
      <c r="E4517" s="28" t="s">
        <v>92</v>
      </c>
      <c r="F4517" s="28">
        <v>35</v>
      </c>
      <c r="G4517" s="28" t="s">
        <v>1443</v>
      </c>
      <c r="H4517" s="28">
        <v>0</v>
      </c>
      <c r="J4517" s="92"/>
    </row>
    <row r="4518" spans="1:10" ht="15.75" customHeight="1">
      <c r="A4518" s="28">
        <v>20943</v>
      </c>
      <c r="B4518" s="91">
        <v>45221.633009259262</v>
      </c>
      <c r="C4518" s="28" t="s">
        <v>0</v>
      </c>
      <c r="D4518" s="28" t="s">
        <v>1039</v>
      </c>
      <c r="E4518" s="28" t="s">
        <v>75</v>
      </c>
      <c r="F4518" s="28">
        <v>18</v>
      </c>
      <c r="G4518" s="28" t="s">
        <v>1470</v>
      </c>
      <c r="H4518" s="28">
        <v>0</v>
      </c>
      <c r="J4518" s="92"/>
    </row>
    <row r="4519" spans="1:10" ht="15.75" customHeight="1">
      <c r="A4519" s="28">
        <v>20943</v>
      </c>
      <c r="B4519" s="91">
        <v>45221.633009259262</v>
      </c>
      <c r="C4519" s="28" t="s">
        <v>0</v>
      </c>
      <c r="D4519" s="28" t="s">
        <v>1039</v>
      </c>
      <c r="E4519" s="28" t="s">
        <v>75</v>
      </c>
      <c r="F4519" s="28">
        <v>25</v>
      </c>
      <c r="G4519" s="28" t="s">
        <v>1446</v>
      </c>
      <c r="H4519" s="28">
        <v>0</v>
      </c>
      <c r="J4519" s="92"/>
    </row>
    <row r="4520" spans="1:10" ht="15.75" customHeight="1">
      <c r="A4520" s="28">
        <v>20944</v>
      </c>
      <c r="B4520" s="91">
        <v>45221.737025462964</v>
      </c>
      <c r="C4520" s="28" t="s">
        <v>0</v>
      </c>
      <c r="D4520" s="28" t="s">
        <v>1696</v>
      </c>
      <c r="E4520" s="28" t="s">
        <v>92</v>
      </c>
      <c r="F4520" s="28">
        <v>35</v>
      </c>
      <c r="G4520" s="28" t="s">
        <v>1443</v>
      </c>
      <c r="H4520" s="28">
        <v>0</v>
      </c>
      <c r="J4520" s="92"/>
    </row>
    <row r="4521" spans="1:10" ht="15.75" customHeight="1">
      <c r="A4521" s="28">
        <v>20946</v>
      </c>
      <c r="B4521" s="91">
        <v>45221.808969907404</v>
      </c>
      <c r="C4521" s="28" t="s">
        <v>0</v>
      </c>
      <c r="D4521" s="28" t="s">
        <v>1697</v>
      </c>
      <c r="E4521" s="28" t="s">
        <v>50</v>
      </c>
      <c r="F4521" s="28">
        <v>56</v>
      </c>
      <c r="G4521" s="28" t="s">
        <v>1448</v>
      </c>
      <c r="H4521" s="28">
        <v>0</v>
      </c>
      <c r="J4521" s="92"/>
    </row>
    <row r="4522" spans="1:10" ht="15.75" customHeight="1">
      <c r="A4522" s="28">
        <v>20946</v>
      </c>
      <c r="B4522" s="91">
        <v>45221.808969907404</v>
      </c>
      <c r="C4522" s="28" t="s">
        <v>0</v>
      </c>
      <c r="D4522" s="28" t="s">
        <v>1697</v>
      </c>
      <c r="E4522" s="28" t="s">
        <v>50</v>
      </c>
      <c r="F4522" s="28">
        <v>22</v>
      </c>
      <c r="G4522" s="28" t="s">
        <v>1535</v>
      </c>
      <c r="H4522" s="28">
        <v>0</v>
      </c>
      <c r="J4522" s="92"/>
    </row>
    <row r="4523" spans="1:10" ht="15.75" customHeight="1">
      <c r="A4523" s="28">
        <v>20946</v>
      </c>
      <c r="B4523" s="91">
        <v>45221.808969907404</v>
      </c>
      <c r="C4523" s="28" t="s">
        <v>0</v>
      </c>
      <c r="D4523" s="28" t="s">
        <v>1697</v>
      </c>
      <c r="E4523" s="28" t="s">
        <v>50</v>
      </c>
      <c r="F4523" s="28">
        <v>30</v>
      </c>
      <c r="G4523" s="28" t="s">
        <v>1467</v>
      </c>
      <c r="H4523" s="28">
        <v>0</v>
      </c>
      <c r="J4523" s="92"/>
    </row>
    <row r="4524" spans="1:10" ht="15.75" customHeight="1">
      <c r="A4524" s="28">
        <v>20945</v>
      </c>
      <c r="B4524" s="91">
        <v>45221.808530092596</v>
      </c>
      <c r="C4524" s="28" t="s">
        <v>0</v>
      </c>
      <c r="D4524" s="28" t="s">
        <v>1698</v>
      </c>
      <c r="E4524" s="28" t="s">
        <v>50</v>
      </c>
      <c r="F4524" s="28">
        <v>25</v>
      </c>
      <c r="G4524" s="28" t="s">
        <v>1446</v>
      </c>
      <c r="H4524" s="28">
        <v>0</v>
      </c>
      <c r="J4524" s="92"/>
    </row>
    <row r="4525" spans="1:10" ht="15.75" customHeight="1">
      <c r="A4525" s="28">
        <v>20945</v>
      </c>
      <c r="B4525" s="91">
        <v>45221.808530092596</v>
      </c>
      <c r="C4525" s="28" t="s">
        <v>0</v>
      </c>
      <c r="D4525" s="28" t="s">
        <v>1698</v>
      </c>
      <c r="E4525" s="28" t="s">
        <v>50</v>
      </c>
      <c r="F4525" s="28">
        <v>28</v>
      </c>
      <c r="G4525" s="28" t="s">
        <v>1448</v>
      </c>
      <c r="H4525" s="28">
        <v>0</v>
      </c>
      <c r="J4525" s="92"/>
    </row>
    <row r="4526" spans="1:10" ht="15.75" customHeight="1">
      <c r="A4526" s="28">
        <v>20947</v>
      </c>
      <c r="B4526" s="91">
        <v>45221.81590277778</v>
      </c>
      <c r="C4526" s="28" t="s">
        <v>0</v>
      </c>
      <c r="D4526" s="28" t="s">
        <v>1128</v>
      </c>
      <c r="E4526" s="28" t="s">
        <v>50</v>
      </c>
      <c r="F4526" s="28">
        <v>25</v>
      </c>
      <c r="G4526" s="28" t="s">
        <v>1446</v>
      </c>
      <c r="H4526" s="28">
        <v>0</v>
      </c>
      <c r="J4526" s="92"/>
    </row>
    <row r="4527" spans="1:10" ht="15.75" customHeight="1">
      <c r="A4527" s="28">
        <v>20947</v>
      </c>
      <c r="B4527" s="91">
        <v>45221.81590277778</v>
      </c>
      <c r="C4527" s="28" t="s">
        <v>0</v>
      </c>
      <c r="D4527" s="28" t="s">
        <v>1128</v>
      </c>
      <c r="E4527" s="28" t="s">
        <v>50</v>
      </c>
      <c r="F4527" s="28">
        <v>28</v>
      </c>
      <c r="G4527" s="28" t="s">
        <v>1448</v>
      </c>
      <c r="H4527" s="28">
        <v>0</v>
      </c>
      <c r="J4527" s="92"/>
    </row>
    <row r="4528" spans="1:10" ht="15.75" customHeight="1">
      <c r="A4528" s="28">
        <v>20948</v>
      </c>
      <c r="B4528" s="91">
        <v>45221.830601851849</v>
      </c>
      <c r="C4528" s="28" t="s">
        <v>0</v>
      </c>
      <c r="D4528" s="28" t="s">
        <v>1699</v>
      </c>
      <c r="E4528" s="28" t="s">
        <v>75</v>
      </c>
      <c r="F4528" s="28">
        <v>20</v>
      </c>
      <c r="G4528" s="28"/>
      <c r="H4528" s="28">
        <v>0</v>
      </c>
      <c r="J4528" s="92"/>
    </row>
    <row r="4529" spans="1:10" ht="15.75" customHeight="1">
      <c r="A4529" s="28">
        <v>20949</v>
      </c>
      <c r="B4529" s="91">
        <v>45221.857199074075</v>
      </c>
      <c r="C4529" s="28" t="s">
        <v>0</v>
      </c>
      <c r="D4529" s="28" t="s">
        <v>1700</v>
      </c>
      <c r="E4529" s="28" t="s">
        <v>92</v>
      </c>
      <c r="F4529" s="28">
        <v>26</v>
      </c>
      <c r="G4529" s="28" t="s">
        <v>1455</v>
      </c>
      <c r="H4529" s="28">
        <v>0</v>
      </c>
      <c r="J4529" s="92"/>
    </row>
    <row r="4530" spans="1:10" ht="15.75" customHeight="1">
      <c r="A4530" s="28">
        <v>20950</v>
      </c>
      <c r="B4530" s="91">
        <v>45222.041770833333</v>
      </c>
      <c r="C4530" s="28" t="s">
        <v>0</v>
      </c>
      <c r="D4530" s="28" t="s">
        <v>1236</v>
      </c>
      <c r="E4530" s="28" t="s">
        <v>50</v>
      </c>
      <c r="F4530" s="28">
        <v>55</v>
      </c>
      <c r="G4530" s="28" t="s">
        <v>1457</v>
      </c>
      <c r="H4530" s="28">
        <v>0</v>
      </c>
      <c r="J4530" s="92"/>
    </row>
    <row r="4531" spans="1:10" ht="15.75" customHeight="1">
      <c r="A4531" s="28">
        <v>20950</v>
      </c>
      <c r="B4531" s="91">
        <v>45222.041770833333</v>
      </c>
      <c r="C4531" s="28" t="s">
        <v>0</v>
      </c>
      <c r="D4531" s="28" t="s">
        <v>1236</v>
      </c>
      <c r="E4531" s="28" t="s">
        <v>50</v>
      </c>
      <c r="F4531" s="28">
        <v>26</v>
      </c>
      <c r="G4531" s="28" t="s">
        <v>1455</v>
      </c>
      <c r="H4531" s="28">
        <v>0</v>
      </c>
      <c r="J4531" s="92"/>
    </row>
    <row r="4532" spans="1:10" ht="15.75" customHeight="1">
      <c r="A4532" s="28">
        <v>20951</v>
      </c>
      <c r="B4532" s="91">
        <v>45222.125023148146</v>
      </c>
      <c r="C4532" s="28" t="s">
        <v>0</v>
      </c>
      <c r="D4532" s="28" t="s">
        <v>1098</v>
      </c>
      <c r="E4532" s="28" t="s">
        <v>50</v>
      </c>
      <c r="F4532" s="28">
        <v>25</v>
      </c>
      <c r="G4532" s="28">
        <v>100692</v>
      </c>
      <c r="H4532" s="28">
        <v>0</v>
      </c>
      <c r="J4532" s="92"/>
    </row>
    <row r="4533" spans="1:10" ht="15.75" customHeight="1">
      <c r="A4533" s="28">
        <v>20951</v>
      </c>
      <c r="B4533" s="91">
        <v>45222.125023148146</v>
      </c>
      <c r="C4533" s="28" t="s">
        <v>0</v>
      </c>
      <c r="D4533" s="28" t="s">
        <v>1098</v>
      </c>
      <c r="E4533" s="28" t="s">
        <v>50</v>
      </c>
      <c r="F4533" s="28">
        <v>0</v>
      </c>
      <c r="G4533" s="28" t="s">
        <v>125</v>
      </c>
      <c r="H4533" s="28">
        <v>0</v>
      </c>
      <c r="J4533" s="92"/>
    </row>
    <row r="4534" spans="1:10" ht="15.75" customHeight="1">
      <c r="A4534" s="28">
        <v>20951</v>
      </c>
      <c r="B4534" s="91">
        <v>45222.125023148146</v>
      </c>
      <c r="C4534" s="28" t="s">
        <v>0</v>
      </c>
      <c r="D4534" s="28" t="s">
        <v>1098</v>
      </c>
      <c r="E4534" s="28" t="s">
        <v>50</v>
      </c>
      <c r="F4534" s="28">
        <v>0</v>
      </c>
      <c r="G4534" s="28" t="s">
        <v>119</v>
      </c>
      <c r="H4534" s="28">
        <v>0</v>
      </c>
      <c r="J4534" s="92"/>
    </row>
    <row r="4535" spans="1:10" ht="15.75" customHeight="1">
      <c r="A4535" s="28">
        <v>20952</v>
      </c>
      <c r="B4535" s="91">
        <v>45222.569074074076</v>
      </c>
      <c r="C4535" s="28" t="s">
        <v>0</v>
      </c>
      <c r="D4535" s="28" t="s">
        <v>1701</v>
      </c>
      <c r="E4535" s="28" t="s">
        <v>50</v>
      </c>
      <c r="F4535" s="28">
        <v>25</v>
      </c>
      <c r="G4535" s="28" t="s">
        <v>141</v>
      </c>
      <c r="H4535" s="28">
        <v>0</v>
      </c>
      <c r="J4535" s="92"/>
    </row>
    <row r="4536" spans="1:10" ht="15.75" customHeight="1">
      <c r="A4536" s="28">
        <v>20953</v>
      </c>
      <c r="B4536" s="91">
        <v>45222.747199074074</v>
      </c>
      <c r="C4536" s="28" t="s">
        <v>51</v>
      </c>
      <c r="D4536" s="28" t="s">
        <v>1180</v>
      </c>
      <c r="E4536" s="28" t="s">
        <v>50</v>
      </c>
      <c r="F4536" s="28">
        <v>26</v>
      </c>
      <c r="G4536" s="28" t="s">
        <v>1455</v>
      </c>
      <c r="H4536" s="28">
        <v>0</v>
      </c>
      <c r="J4536" s="92"/>
    </row>
    <row r="4537" spans="1:10" ht="15.75" customHeight="1">
      <c r="A4537" s="28">
        <v>20954</v>
      </c>
      <c r="B4537" s="91">
        <v>45222.833090277774</v>
      </c>
      <c r="C4537" s="28" t="s">
        <v>5</v>
      </c>
      <c r="D4537" s="28" t="s">
        <v>1243</v>
      </c>
      <c r="E4537" s="28" t="s">
        <v>50</v>
      </c>
      <c r="F4537" s="28">
        <v>20</v>
      </c>
      <c r="G4537" s="28" t="s">
        <v>1444</v>
      </c>
      <c r="H4537" s="28">
        <v>0</v>
      </c>
      <c r="J4537" s="92"/>
    </row>
    <row r="4538" spans="1:10" ht="15.75" customHeight="1">
      <c r="A4538" s="28">
        <v>20955</v>
      </c>
      <c r="B4538" s="91">
        <v>45222.835023148145</v>
      </c>
      <c r="C4538" s="28" t="s">
        <v>0</v>
      </c>
      <c r="D4538" s="28" t="s">
        <v>1702</v>
      </c>
      <c r="E4538" s="28" t="s">
        <v>50</v>
      </c>
      <c r="F4538" s="28">
        <v>26</v>
      </c>
      <c r="G4538" s="28" t="s">
        <v>1455</v>
      </c>
      <c r="H4538" s="28">
        <v>0</v>
      </c>
      <c r="J4538" s="92"/>
    </row>
    <row r="4539" spans="1:10" ht="15.75" customHeight="1">
      <c r="A4539" s="28">
        <v>20956</v>
      </c>
      <c r="B4539" s="91">
        <v>45222.836504629631</v>
      </c>
      <c r="C4539" s="28" t="s">
        <v>0</v>
      </c>
      <c r="D4539" s="28" t="s">
        <v>1243</v>
      </c>
      <c r="E4539" s="28" t="s">
        <v>50</v>
      </c>
      <c r="F4539" s="28">
        <v>20</v>
      </c>
      <c r="G4539" s="28" t="s">
        <v>1444</v>
      </c>
      <c r="H4539" s="28">
        <v>0</v>
      </c>
      <c r="J4539" s="92"/>
    </row>
    <row r="4540" spans="1:10" ht="15.75" customHeight="1">
      <c r="A4540" s="28">
        <v>20957</v>
      </c>
      <c r="B4540" s="91">
        <v>45222.839479166665</v>
      </c>
      <c r="C4540" s="28" t="s">
        <v>0</v>
      </c>
      <c r="D4540" s="28" t="s">
        <v>1079</v>
      </c>
      <c r="E4540" s="28" t="s">
        <v>50</v>
      </c>
      <c r="F4540" s="28">
        <v>26</v>
      </c>
      <c r="G4540" s="28" t="s">
        <v>1455</v>
      </c>
      <c r="H4540" s="28">
        <v>0</v>
      </c>
      <c r="J4540" s="92"/>
    </row>
    <row r="4541" spans="1:10" ht="15.75" customHeight="1">
      <c r="A4541" s="28">
        <v>20958</v>
      </c>
      <c r="B4541" s="91">
        <v>45222.859791666669</v>
      </c>
      <c r="C4541" s="28" t="s">
        <v>0</v>
      </c>
      <c r="D4541" s="28" t="s">
        <v>591</v>
      </c>
      <c r="E4541" s="28" t="s">
        <v>50</v>
      </c>
      <c r="F4541" s="28">
        <v>20</v>
      </c>
      <c r="G4541" s="28"/>
      <c r="H4541" s="28">
        <v>0</v>
      </c>
      <c r="J4541" s="92"/>
    </row>
    <row r="4542" spans="1:10" ht="15.75" customHeight="1">
      <c r="A4542" s="28">
        <v>20958</v>
      </c>
      <c r="B4542" s="91">
        <v>45222.859791666669</v>
      </c>
      <c r="C4542" s="28" t="s">
        <v>0</v>
      </c>
      <c r="D4542" s="28" t="s">
        <v>591</v>
      </c>
      <c r="E4542" s="28" t="s">
        <v>50</v>
      </c>
      <c r="F4542" s="28">
        <v>26</v>
      </c>
      <c r="G4542" s="28" t="s">
        <v>1455</v>
      </c>
      <c r="H4542" s="28">
        <v>0</v>
      </c>
      <c r="J4542" s="92"/>
    </row>
    <row r="4543" spans="1:10" ht="15.75" customHeight="1">
      <c r="A4543" s="28">
        <v>20960</v>
      </c>
      <c r="B4543" s="91">
        <v>45222.8752662037</v>
      </c>
      <c r="C4543" s="28" t="s">
        <v>0</v>
      </c>
      <c r="D4543" s="28" t="s">
        <v>1147</v>
      </c>
      <c r="E4543" s="28" t="s">
        <v>50</v>
      </c>
      <c r="F4543" s="28">
        <v>35</v>
      </c>
      <c r="G4543" s="28" t="s">
        <v>1443</v>
      </c>
      <c r="H4543" s="28">
        <v>0</v>
      </c>
      <c r="J4543" s="92"/>
    </row>
    <row r="4544" spans="1:10" ht="15.75" customHeight="1">
      <c r="A4544" s="28">
        <v>20959</v>
      </c>
      <c r="B4544" s="91">
        <v>45222.875092592592</v>
      </c>
      <c r="C4544" s="28" t="s">
        <v>0</v>
      </c>
      <c r="D4544" s="28" t="s">
        <v>1220</v>
      </c>
      <c r="E4544" s="28" t="s">
        <v>50</v>
      </c>
      <c r="F4544" s="28">
        <v>28</v>
      </c>
      <c r="G4544" s="28" t="s">
        <v>1448</v>
      </c>
      <c r="H4544" s="28">
        <v>0</v>
      </c>
      <c r="J4544" s="92"/>
    </row>
    <row r="4545" spans="1:10" ht="15.75" customHeight="1">
      <c r="A4545" s="28">
        <v>20961</v>
      </c>
      <c r="B4545" s="91">
        <v>45222.890810185185</v>
      </c>
      <c r="C4545" s="28" t="s">
        <v>5</v>
      </c>
      <c r="D4545" s="28" t="s">
        <v>1144</v>
      </c>
      <c r="E4545" s="28" t="s">
        <v>50</v>
      </c>
      <c r="F4545" s="28">
        <v>25</v>
      </c>
      <c r="G4545" s="28" t="s">
        <v>1446</v>
      </c>
      <c r="H4545" s="28">
        <v>0</v>
      </c>
      <c r="J4545" s="92"/>
    </row>
    <row r="4546" spans="1:10" ht="15.75" customHeight="1">
      <c r="A4546" s="28">
        <v>20962</v>
      </c>
      <c r="B4546" s="91">
        <v>45222.892800925925</v>
      </c>
      <c r="C4546" s="28" t="s">
        <v>5</v>
      </c>
      <c r="D4546" s="28" t="s">
        <v>1150</v>
      </c>
      <c r="E4546" s="28" t="s">
        <v>50</v>
      </c>
      <c r="F4546" s="28">
        <v>25</v>
      </c>
      <c r="G4546" s="28" t="s">
        <v>1446</v>
      </c>
      <c r="H4546" s="28">
        <v>0</v>
      </c>
      <c r="J4546" s="92"/>
    </row>
    <row r="4547" spans="1:10" ht="15.75" customHeight="1">
      <c r="A4547" s="28">
        <v>20963</v>
      </c>
      <c r="B4547" s="91">
        <v>45222.895694444444</v>
      </c>
      <c r="C4547" s="28" t="s">
        <v>5</v>
      </c>
      <c r="D4547" s="28" t="s">
        <v>1142</v>
      </c>
      <c r="E4547" s="28" t="s">
        <v>50</v>
      </c>
      <c r="F4547" s="28">
        <v>26</v>
      </c>
      <c r="G4547" s="28" t="s">
        <v>1455</v>
      </c>
      <c r="H4547" s="28">
        <v>0</v>
      </c>
      <c r="J4547" s="92"/>
    </row>
    <row r="4548" spans="1:10" ht="15.75" customHeight="1">
      <c r="A4548" s="28">
        <v>20964</v>
      </c>
      <c r="B4548" s="91">
        <v>45222.909259259257</v>
      </c>
      <c r="C4548" s="28" t="s">
        <v>0</v>
      </c>
      <c r="D4548" s="28" t="s">
        <v>1703</v>
      </c>
      <c r="E4548" s="28" t="s">
        <v>50</v>
      </c>
      <c r="F4548" s="28">
        <v>25</v>
      </c>
      <c r="G4548" s="28" t="s">
        <v>141</v>
      </c>
      <c r="H4548" s="28">
        <v>0</v>
      </c>
      <c r="J4548" s="92"/>
    </row>
    <row r="4549" spans="1:10" ht="15.75" customHeight="1">
      <c r="A4549" s="28">
        <v>20965</v>
      </c>
      <c r="B4549" s="91">
        <v>45222.919189814813</v>
      </c>
      <c r="C4549" s="28" t="s">
        <v>0</v>
      </c>
      <c r="D4549" s="28" t="s">
        <v>1240</v>
      </c>
      <c r="E4549" s="28" t="s">
        <v>50</v>
      </c>
      <c r="F4549" s="28">
        <v>22</v>
      </c>
      <c r="G4549" s="28" t="s">
        <v>1459</v>
      </c>
      <c r="H4549" s="28">
        <v>0</v>
      </c>
      <c r="J4549" s="92"/>
    </row>
    <row r="4550" spans="1:10" ht="15.75" customHeight="1">
      <c r="A4550" s="28">
        <v>20965</v>
      </c>
      <c r="B4550" s="91">
        <v>45222.919189814813</v>
      </c>
      <c r="C4550" s="28" t="s">
        <v>0</v>
      </c>
      <c r="D4550" s="28" t="s">
        <v>1240</v>
      </c>
      <c r="E4550" s="28" t="s">
        <v>50</v>
      </c>
      <c r="F4550" s="28">
        <v>15</v>
      </c>
      <c r="G4550" s="28" t="s">
        <v>1453</v>
      </c>
      <c r="H4550" s="28">
        <v>0</v>
      </c>
      <c r="J4550" s="92"/>
    </row>
    <row r="4551" spans="1:10" ht="15.75" customHeight="1">
      <c r="A4551" s="28">
        <v>20966</v>
      </c>
      <c r="B4551" s="91">
        <v>45222.920740740738</v>
      </c>
      <c r="C4551" s="28" t="s">
        <v>0</v>
      </c>
      <c r="D4551" s="28" t="s">
        <v>1149</v>
      </c>
      <c r="E4551" s="28" t="s">
        <v>50</v>
      </c>
      <c r="F4551" s="28">
        <v>26</v>
      </c>
      <c r="G4551" s="28" t="s">
        <v>1455</v>
      </c>
      <c r="H4551" s="28">
        <v>0</v>
      </c>
      <c r="J4551" s="92"/>
    </row>
    <row r="4552" spans="1:10" ht="15.75" customHeight="1">
      <c r="A4552" s="28">
        <v>20967</v>
      </c>
      <c r="B4552" s="91">
        <v>45222.956377314818</v>
      </c>
      <c r="C4552" s="28" t="s">
        <v>0</v>
      </c>
      <c r="D4552" s="28" t="s">
        <v>1104</v>
      </c>
      <c r="E4552" s="28" t="s">
        <v>50</v>
      </c>
      <c r="F4552" s="28">
        <v>28</v>
      </c>
      <c r="G4552" s="28" t="s">
        <v>1448</v>
      </c>
      <c r="H4552" s="28">
        <v>0</v>
      </c>
      <c r="J4552" s="92"/>
    </row>
    <row r="4553" spans="1:10" ht="15.75" customHeight="1">
      <c r="A4553" s="28">
        <v>20967</v>
      </c>
      <c r="B4553" s="91">
        <v>45222.956377314818</v>
      </c>
      <c r="C4553" s="28" t="s">
        <v>0</v>
      </c>
      <c r="D4553" s="28" t="s">
        <v>1104</v>
      </c>
      <c r="E4553" s="28" t="s">
        <v>50</v>
      </c>
      <c r="F4553" s="28">
        <v>26</v>
      </c>
      <c r="G4553" s="28" t="s">
        <v>1455</v>
      </c>
      <c r="H4553" s="28">
        <v>0</v>
      </c>
      <c r="J4553" s="92"/>
    </row>
    <row r="4554" spans="1:10" ht="15.75" customHeight="1">
      <c r="A4554" s="28">
        <v>20968</v>
      </c>
      <c r="B4554" s="91">
        <v>45222.957824074074</v>
      </c>
      <c r="C4554" s="28" t="s">
        <v>0</v>
      </c>
      <c r="D4554" s="28" t="s">
        <v>1119</v>
      </c>
      <c r="E4554" s="28" t="s">
        <v>50</v>
      </c>
      <c r="F4554" s="28">
        <v>56</v>
      </c>
      <c r="G4554" s="28" t="s">
        <v>1448</v>
      </c>
      <c r="H4554" s="28">
        <v>0</v>
      </c>
      <c r="J4554" s="92"/>
    </row>
    <row r="4555" spans="1:10" ht="15.75" customHeight="1">
      <c r="A4555" s="28">
        <v>20968</v>
      </c>
      <c r="B4555" s="91">
        <v>45222.957824074074</v>
      </c>
      <c r="C4555" s="28" t="s">
        <v>0</v>
      </c>
      <c r="D4555" s="28" t="s">
        <v>1119</v>
      </c>
      <c r="E4555" s="28" t="s">
        <v>50</v>
      </c>
      <c r="F4555" s="28">
        <v>25</v>
      </c>
      <c r="G4555" s="28" t="s">
        <v>141</v>
      </c>
      <c r="H4555" s="28">
        <v>0</v>
      </c>
      <c r="J4555" s="92"/>
    </row>
    <row r="4556" spans="1:10" ht="15.75" customHeight="1">
      <c r="A4556" s="28">
        <v>20969</v>
      </c>
      <c r="B4556" s="91">
        <v>45222.989421296297</v>
      </c>
      <c r="C4556" s="28" t="s">
        <v>0</v>
      </c>
      <c r="D4556" s="28" t="s">
        <v>1704</v>
      </c>
      <c r="E4556" s="28" t="s">
        <v>50</v>
      </c>
      <c r="F4556" s="28">
        <v>26</v>
      </c>
      <c r="G4556" s="28" t="s">
        <v>1455</v>
      </c>
      <c r="H4556" s="28">
        <v>0</v>
      </c>
      <c r="J4556" s="92"/>
    </row>
    <row r="4557" spans="1:10" ht="15.75" customHeight="1">
      <c r="A4557" s="28">
        <v>20969</v>
      </c>
      <c r="B4557" s="91">
        <v>45222.989421296297</v>
      </c>
      <c r="C4557" s="28" t="s">
        <v>0</v>
      </c>
      <c r="D4557" s="28" t="s">
        <v>1704</v>
      </c>
      <c r="E4557" s="28" t="s">
        <v>50</v>
      </c>
      <c r="F4557" s="28">
        <v>55</v>
      </c>
      <c r="G4557" s="28" t="s">
        <v>1457</v>
      </c>
      <c r="H4557" s="28">
        <v>0</v>
      </c>
      <c r="J4557" s="92"/>
    </row>
    <row r="4558" spans="1:10" ht="15.75" customHeight="1">
      <c r="A4558" s="28">
        <v>20970</v>
      </c>
      <c r="B4558" s="91">
        <v>45223.016875000001</v>
      </c>
      <c r="C4558" s="28" t="s">
        <v>5</v>
      </c>
      <c r="D4558" s="28" t="s">
        <v>1705</v>
      </c>
      <c r="E4558" s="28" t="s">
        <v>50</v>
      </c>
      <c r="F4558" s="28">
        <v>25</v>
      </c>
      <c r="G4558" s="28" t="s">
        <v>1446</v>
      </c>
      <c r="H4558" s="28">
        <v>0</v>
      </c>
      <c r="J4558" s="92"/>
    </row>
    <row r="4559" spans="1:10" ht="15.75" customHeight="1">
      <c r="A4559" s="28">
        <v>20971</v>
      </c>
      <c r="B4559" s="91">
        <v>45223.806215277778</v>
      </c>
      <c r="C4559" s="28" t="s">
        <v>51</v>
      </c>
      <c r="D4559" s="28" t="s">
        <v>1200</v>
      </c>
      <c r="E4559" s="28" t="s">
        <v>50</v>
      </c>
      <c r="F4559" s="28">
        <v>28</v>
      </c>
      <c r="G4559" s="28" t="s">
        <v>1448</v>
      </c>
      <c r="H4559" s="28">
        <v>0</v>
      </c>
      <c r="J4559" s="92"/>
    </row>
    <row r="4560" spans="1:10" ht="15.75" customHeight="1">
      <c r="A4560" s="28">
        <v>20972</v>
      </c>
      <c r="B4560" s="91">
        <v>45223.832997685182</v>
      </c>
      <c r="C4560" s="28" t="s">
        <v>0</v>
      </c>
      <c r="D4560" s="28" t="s">
        <v>1706</v>
      </c>
      <c r="E4560" s="28" t="s">
        <v>50</v>
      </c>
      <c r="F4560" s="28">
        <v>20</v>
      </c>
      <c r="G4560" s="28"/>
      <c r="H4560" s="28">
        <v>0</v>
      </c>
      <c r="J4560" s="92"/>
    </row>
    <row r="4561" spans="1:10" ht="15.75" customHeight="1">
      <c r="A4561" s="28">
        <v>20972</v>
      </c>
      <c r="B4561" s="91">
        <v>45223.832997685182</v>
      </c>
      <c r="C4561" s="28" t="s">
        <v>0</v>
      </c>
      <c r="D4561" s="28" t="s">
        <v>1706</v>
      </c>
      <c r="E4561" s="28" t="s">
        <v>50</v>
      </c>
      <c r="F4561" s="28">
        <v>15</v>
      </c>
      <c r="G4561" s="28" t="s">
        <v>1453</v>
      </c>
      <c r="H4561" s="28">
        <v>0</v>
      </c>
      <c r="J4561" s="92"/>
    </row>
    <row r="4562" spans="1:10" ht="15.75" customHeight="1">
      <c r="A4562" s="28">
        <v>20972</v>
      </c>
      <c r="B4562" s="91">
        <v>45223.832997685182</v>
      </c>
      <c r="C4562" s="28" t="s">
        <v>0</v>
      </c>
      <c r="D4562" s="28" t="s">
        <v>1706</v>
      </c>
      <c r="E4562" s="28" t="s">
        <v>50</v>
      </c>
      <c r="F4562" s="28">
        <v>22</v>
      </c>
      <c r="G4562" s="28" t="s">
        <v>1459</v>
      </c>
      <c r="H4562" s="28">
        <v>0</v>
      </c>
      <c r="J4562" s="92"/>
    </row>
    <row r="4563" spans="1:10" ht="15.75" customHeight="1">
      <c r="A4563" s="28">
        <v>20972</v>
      </c>
      <c r="B4563" s="91">
        <v>45223.832997685182</v>
      </c>
      <c r="C4563" s="28" t="s">
        <v>0</v>
      </c>
      <c r="D4563" s="28" t="s">
        <v>1706</v>
      </c>
      <c r="E4563" s="28" t="s">
        <v>50</v>
      </c>
      <c r="F4563" s="28">
        <v>0</v>
      </c>
      <c r="G4563" s="28" t="s">
        <v>141</v>
      </c>
      <c r="H4563" s="28">
        <v>0</v>
      </c>
      <c r="J4563" s="92"/>
    </row>
    <row r="4564" spans="1:10" ht="15.75" customHeight="1">
      <c r="A4564" s="28">
        <v>20972</v>
      </c>
      <c r="B4564" s="91">
        <v>45223.832997685182</v>
      </c>
      <c r="C4564" s="28" t="s">
        <v>0</v>
      </c>
      <c r="D4564" s="28" t="s">
        <v>1706</v>
      </c>
      <c r="E4564" s="28" t="s">
        <v>50</v>
      </c>
      <c r="F4564" s="28">
        <v>26</v>
      </c>
      <c r="G4564" s="28" t="s">
        <v>1455</v>
      </c>
      <c r="H4564" s="28">
        <v>0</v>
      </c>
      <c r="J4564" s="92"/>
    </row>
    <row r="4565" spans="1:10" ht="15.75" customHeight="1">
      <c r="A4565" s="28">
        <v>20973</v>
      </c>
      <c r="B4565" s="91">
        <v>45223.84002314815</v>
      </c>
      <c r="C4565" s="28" t="s">
        <v>0</v>
      </c>
      <c r="D4565" s="28" t="s">
        <v>1707</v>
      </c>
      <c r="E4565" s="28" t="s">
        <v>50</v>
      </c>
      <c r="F4565" s="28">
        <v>15</v>
      </c>
      <c r="G4565" s="28" t="s">
        <v>1453</v>
      </c>
      <c r="H4565" s="28">
        <v>0</v>
      </c>
      <c r="J4565" s="92"/>
    </row>
    <row r="4566" spans="1:10" ht="15.75" customHeight="1">
      <c r="A4566" s="28">
        <v>20973</v>
      </c>
      <c r="B4566" s="91">
        <v>45223.84002314815</v>
      </c>
      <c r="C4566" s="28" t="s">
        <v>0</v>
      </c>
      <c r="D4566" s="28" t="s">
        <v>1707</v>
      </c>
      <c r="E4566" s="28" t="s">
        <v>50</v>
      </c>
      <c r="F4566" s="28">
        <v>22</v>
      </c>
      <c r="G4566" s="28" t="s">
        <v>1459</v>
      </c>
      <c r="H4566" s="28">
        <v>0</v>
      </c>
      <c r="J4566" s="92"/>
    </row>
    <row r="4567" spans="1:10" ht="15.75" customHeight="1">
      <c r="A4567" s="28">
        <v>20973</v>
      </c>
      <c r="B4567" s="91">
        <v>45223.84002314815</v>
      </c>
      <c r="C4567" s="28" t="s">
        <v>0</v>
      </c>
      <c r="D4567" s="28" t="s">
        <v>1707</v>
      </c>
      <c r="E4567" s="28" t="s">
        <v>50</v>
      </c>
      <c r="F4567" s="28">
        <v>26</v>
      </c>
      <c r="G4567" s="28" t="s">
        <v>1455</v>
      </c>
      <c r="H4567" s="28">
        <v>0</v>
      </c>
      <c r="J4567" s="92"/>
    </row>
    <row r="4568" spans="1:10" ht="15.75" customHeight="1">
      <c r="A4568" s="28">
        <v>20973</v>
      </c>
      <c r="B4568" s="91">
        <v>45223.84002314815</v>
      </c>
      <c r="C4568" s="28" t="s">
        <v>0</v>
      </c>
      <c r="D4568" s="28" t="s">
        <v>1707</v>
      </c>
      <c r="E4568" s="28" t="s">
        <v>50</v>
      </c>
      <c r="F4568" s="28">
        <v>0</v>
      </c>
      <c r="G4568" s="28" t="s">
        <v>141</v>
      </c>
      <c r="H4568" s="28">
        <v>0</v>
      </c>
      <c r="J4568" s="92"/>
    </row>
    <row r="4569" spans="1:10" ht="15.75" customHeight="1">
      <c r="A4569" s="28">
        <v>20974</v>
      </c>
      <c r="B4569" s="91">
        <v>45223.877789351849</v>
      </c>
      <c r="C4569" s="28" t="s">
        <v>0</v>
      </c>
      <c r="D4569" s="28" t="s">
        <v>1206</v>
      </c>
      <c r="E4569" s="28" t="s">
        <v>50</v>
      </c>
      <c r="F4569" s="28">
        <v>35</v>
      </c>
      <c r="G4569" s="28" t="s">
        <v>1443</v>
      </c>
      <c r="H4569" s="28">
        <v>0</v>
      </c>
      <c r="J4569" s="92"/>
    </row>
    <row r="4570" spans="1:10" ht="15.75" customHeight="1">
      <c r="A4570" s="28">
        <v>20975</v>
      </c>
      <c r="B4570" s="91">
        <v>45223.883275462962</v>
      </c>
      <c r="C4570" s="28" t="s">
        <v>18</v>
      </c>
      <c r="D4570" s="28" t="s">
        <v>1708</v>
      </c>
      <c r="E4570" s="28" t="s">
        <v>50</v>
      </c>
      <c r="F4570" s="28">
        <v>26</v>
      </c>
      <c r="G4570" s="28" t="s">
        <v>1455</v>
      </c>
      <c r="H4570" s="28">
        <v>0</v>
      </c>
      <c r="J4570" s="92"/>
    </row>
    <row r="4571" spans="1:10" ht="15.75" customHeight="1">
      <c r="A4571" s="28">
        <v>20975</v>
      </c>
      <c r="B4571" s="91">
        <v>45223.883275462962</v>
      </c>
      <c r="C4571" s="28" t="s">
        <v>18</v>
      </c>
      <c r="D4571" s="28" t="s">
        <v>1708</v>
      </c>
      <c r="E4571" s="28" t="s">
        <v>50</v>
      </c>
      <c r="F4571" s="28">
        <v>15</v>
      </c>
      <c r="G4571" s="28" t="s">
        <v>1453</v>
      </c>
      <c r="H4571" s="28">
        <v>0</v>
      </c>
      <c r="J4571" s="92"/>
    </row>
    <row r="4572" spans="1:10" ht="15.75" customHeight="1">
      <c r="A4572" s="28">
        <v>20976</v>
      </c>
      <c r="B4572" s="91">
        <v>45223.895416666666</v>
      </c>
      <c r="C4572" s="28" t="s">
        <v>0</v>
      </c>
      <c r="D4572" s="28" t="s">
        <v>1709</v>
      </c>
      <c r="E4572" s="28" t="s">
        <v>92</v>
      </c>
      <c r="F4572" s="28">
        <v>18</v>
      </c>
      <c r="G4572" s="28" t="s">
        <v>1470</v>
      </c>
      <c r="H4572" s="28">
        <v>0</v>
      </c>
      <c r="J4572" s="92"/>
    </row>
    <row r="4573" spans="1:10" ht="15.75" customHeight="1">
      <c r="A4573" s="28">
        <v>20977</v>
      </c>
      <c r="B4573" s="91">
        <v>45223.935694444444</v>
      </c>
      <c r="C4573" s="28" t="s">
        <v>0</v>
      </c>
      <c r="D4573" s="28" t="s">
        <v>1171</v>
      </c>
      <c r="E4573" s="28" t="s">
        <v>50</v>
      </c>
      <c r="F4573" s="28">
        <v>35</v>
      </c>
      <c r="G4573" s="28" t="s">
        <v>1443</v>
      </c>
      <c r="H4573" s="28">
        <v>0</v>
      </c>
      <c r="J4573" s="92"/>
    </row>
    <row r="4574" spans="1:10" ht="15.75" customHeight="1">
      <c r="A4574" s="28">
        <v>20978</v>
      </c>
      <c r="B4574" s="91">
        <v>45223.955937500003</v>
      </c>
      <c r="C4574" s="28" t="s">
        <v>0</v>
      </c>
      <c r="D4574" s="28" t="s">
        <v>1135</v>
      </c>
      <c r="E4574" s="28" t="s">
        <v>50</v>
      </c>
      <c r="F4574" s="28">
        <v>35</v>
      </c>
      <c r="G4574" s="28" t="s">
        <v>1443</v>
      </c>
      <c r="H4574" s="28">
        <v>0</v>
      </c>
      <c r="J4574" s="92"/>
    </row>
    <row r="4575" spans="1:10" ht="15.75" customHeight="1">
      <c r="A4575" s="28">
        <v>20979</v>
      </c>
      <c r="B4575" s="91">
        <v>45223.969756944447</v>
      </c>
      <c r="C4575" s="28" t="s">
        <v>0</v>
      </c>
      <c r="D4575" s="28" t="s">
        <v>1200</v>
      </c>
      <c r="E4575" s="28" t="s">
        <v>50</v>
      </c>
      <c r="F4575" s="28">
        <v>25</v>
      </c>
      <c r="G4575" s="28" t="s">
        <v>1446</v>
      </c>
      <c r="H4575" s="28">
        <v>0</v>
      </c>
      <c r="J4575" s="92"/>
    </row>
    <row r="4576" spans="1:10" ht="15.75" customHeight="1">
      <c r="A4576" s="28">
        <v>20980</v>
      </c>
      <c r="B4576" s="91">
        <v>45223.975046296298</v>
      </c>
      <c r="C4576" s="28" t="s">
        <v>0</v>
      </c>
      <c r="D4576" s="28" t="s">
        <v>1710</v>
      </c>
      <c r="E4576" s="28" t="s">
        <v>92</v>
      </c>
      <c r="F4576" s="28">
        <v>26</v>
      </c>
      <c r="G4576" s="28" t="s">
        <v>1455</v>
      </c>
      <c r="H4576" s="28">
        <v>0</v>
      </c>
      <c r="J4576" s="92"/>
    </row>
    <row r="4577" spans="1:10" ht="15.75" customHeight="1">
      <c r="A4577" s="28">
        <v>20981</v>
      </c>
      <c r="B4577" s="91">
        <v>45223.977465277778</v>
      </c>
      <c r="C4577" s="28" t="s">
        <v>18</v>
      </c>
      <c r="D4577" s="28" t="s">
        <v>1103</v>
      </c>
      <c r="E4577" s="28" t="s">
        <v>50</v>
      </c>
      <c r="F4577" s="28">
        <v>35</v>
      </c>
      <c r="G4577" s="28" t="s">
        <v>1443</v>
      </c>
      <c r="H4577" s="28">
        <v>0</v>
      </c>
      <c r="J4577" s="92"/>
    </row>
    <row r="4578" spans="1:10" ht="15.75" customHeight="1">
      <c r="A4578" s="28">
        <v>20982</v>
      </c>
      <c r="B4578" s="91">
        <v>45223.988900462966</v>
      </c>
      <c r="C4578" s="28" t="s">
        <v>0</v>
      </c>
      <c r="D4578" s="28" t="s">
        <v>1711</v>
      </c>
      <c r="E4578" s="28" t="s">
        <v>50</v>
      </c>
      <c r="F4578" s="28">
        <v>25</v>
      </c>
      <c r="G4578" s="28" t="s">
        <v>1446</v>
      </c>
      <c r="H4578" s="28">
        <v>0</v>
      </c>
      <c r="J4578" s="92"/>
    </row>
    <row r="4579" spans="1:10" ht="15.75" customHeight="1">
      <c r="A4579" s="28">
        <v>20982</v>
      </c>
      <c r="B4579" s="91">
        <v>45223.988900462966</v>
      </c>
      <c r="C4579" s="28" t="s">
        <v>0</v>
      </c>
      <c r="D4579" s="28" t="s">
        <v>1711</v>
      </c>
      <c r="E4579" s="28" t="s">
        <v>50</v>
      </c>
      <c r="F4579" s="28">
        <v>22</v>
      </c>
      <c r="G4579" s="28" t="s">
        <v>1459</v>
      </c>
      <c r="H4579" s="28">
        <v>0</v>
      </c>
      <c r="J4579" s="92"/>
    </row>
    <row r="4580" spans="1:10" ht="15.75" customHeight="1">
      <c r="A4580" s="28">
        <v>20983</v>
      </c>
      <c r="B4580" s="91">
        <v>45223.995243055557</v>
      </c>
      <c r="C4580" s="28" t="s">
        <v>5</v>
      </c>
      <c r="D4580" s="28" t="s">
        <v>1712</v>
      </c>
      <c r="E4580" s="28" t="s">
        <v>50</v>
      </c>
      <c r="F4580" s="28">
        <v>25</v>
      </c>
      <c r="G4580" s="28" t="s">
        <v>1446</v>
      </c>
      <c r="H4580" s="28">
        <v>0</v>
      </c>
      <c r="J4580" s="92"/>
    </row>
    <row r="4581" spans="1:10" ht="15.75" customHeight="1">
      <c r="A4581" s="28">
        <v>20984</v>
      </c>
      <c r="B4581" s="91">
        <v>45224.00267361111</v>
      </c>
      <c r="C4581" s="28" t="s">
        <v>0</v>
      </c>
      <c r="D4581" s="28" t="s">
        <v>1222</v>
      </c>
      <c r="E4581" s="28" t="s">
        <v>50</v>
      </c>
      <c r="F4581" s="28">
        <v>15</v>
      </c>
      <c r="G4581" s="28" t="s">
        <v>1467</v>
      </c>
      <c r="H4581" s="28">
        <v>0</v>
      </c>
      <c r="J4581" s="92"/>
    </row>
    <row r="4582" spans="1:10" ht="15.75" customHeight="1">
      <c r="A4582" s="28">
        <v>20985</v>
      </c>
      <c r="B4582" s="91">
        <v>45224.059120370373</v>
      </c>
      <c r="C4582" s="28" t="s">
        <v>0</v>
      </c>
      <c r="D4582" s="28" t="s">
        <v>1713</v>
      </c>
      <c r="E4582" s="28" t="s">
        <v>50</v>
      </c>
      <c r="F4582" s="28">
        <v>26</v>
      </c>
      <c r="G4582" s="28" t="s">
        <v>1455</v>
      </c>
      <c r="H4582" s="28">
        <v>0</v>
      </c>
      <c r="J4582" s="92"/>
    </row>
    <row r="4583" spans="1:10" ht="15.75" customHeight="1">
      <c r="A4583" s="28">
        <v>20985</v>
      </c>
      <c r="B4583" s="91">
        <v>45224.059120370373</v>
      </c>
      <c r="C4583" s="28" t="s">
        <v>0</v>
      </c>
      <c r="D4583" s="28" t="s">
        <v>1713</v>
      </c>
      <c r="E4583" s="28" t="s">
        <v>50</v>
      </c>
      <c r="F4583" s="28">
        <v>35</v>
      </c>
      <c r="G4583" s="28" t="s">
        <v>1443</v>
      </c>
      <c r="H4583" s="28">
        <v>0</v>
      </c>
      <c r="J4583" s="92"/>
    </row>
    <row r="4584" spans="1:10" ht="15.75" customHeight="1">
      <c r="A4584" s="28">
        <v>20986</v>
      </c>
      <c r="B4584" s="91">
        <v>45224.195115740738</v>
      </c>
      <c r="C4584" s="28" t="s">
        <v>51</v>
      </c>
      <c r="D4584" s="28" t="s">
        <v>1714</v>
      </c>
      <c r="E4584" s="28" t="s">
        <v>50</v>
      </c>
      <c r="F4584" s="28">
        <v>25</v>
      </c>
      <c r="G4584" s="28" t="s">
        <v>1446</v>
      </c>
      <c r="H4584" s="28">
        <v>0</v>
      </c>
      <c r="J4584" s="92"/>
    </row>
    <row r="4585" spans="1:10" ht="15.75" customHeight="1">
      <c r="A4585" s="28">
        <v>20987</v>
      </c>
      <c r="B4585" s="91">
        <v>45224.470613425925</v>
      </c>
      <c r="C4585" s="28" t="s">
        <v>0</v>
      </c>
      <c r="D4585" s="28" t="s">
        <v>1232</v>
      </c>
      <c r="E4585" s="28" t="s">
        <v>50</v>
      </c>
      <c r="F4585" s="28">
        <v>15</v>
      </c>
      <c r="G4585" s="28" t="s">
        <v>1453</v>
      </c>
      <c r="H4585" s="28">
        <v>0</v>
      </c>
      <c r="J4585" s="92"/>
    </row>
    <row r="4586" spans="1:10" ht="15.75" customHeight="1">
      <c r="A4586" s="28">
        <v>20987</v>
      </c>
      <c r="B4586" s="91">
        <v>45224.470613425925</v>
      </c>
      <c r="C4586" s="28" t="s">
        <v>0</v>
      </c>
      <c r="D4586" s="28" t="s">
        <v>1232</v>
      </c>
      <c r="E4586" s="28" t="s">
        <v>50</v>
      </c>
      <c r="F4586" s="28">
        <v>35</v>
      </c>
      <c r="G4586" s="28" t="s">
        <v>1443</v>
      </c>
      <c r="H4586" s="28">
        <v>0</v>
      </c>
      <c r="J4586" s="92"/>
    </row>
    <row r="4587" spans="1:10" ht="15.75" customHeight="1">
      <c r="A4587" s="28">
        <v>20988</v>
      </c>
      <c r="B4587" s="91">
        <v>45224.499074074076</v>
      </c>
      <c r="C4587" s="28" t="s">
        <v>0</v>
      </c>
      <c r="D4587" s="28" t="s">
        <v>1217</v>
      </c>
      <c r="E4587" s="28" t="s">
        <v>50</v>
      </c>
      <c r="F4587" s="28">
        <v>18</v>
      </c>
      <c r="G4587" s="28" t="s">
        <v>1470</v>
      </c>
      <c r="H4587" s="28">
        <v>0</v>
      </c>
      <c r="J4587" s="92"/>
    </row>
    <row r="4588" spans="1:10" ht="15.75" customHeight="1">
      <c r="A4588" s="28">
        <v>20989</v>
      </c>
      <c r="B4588" s="91">
        <v>45224.571967592594</v>
      </c>
      <c r="C4588" s="28" t="s">
        <v>0</v>
      </c>
      <c r="D4588" s="28" t="s">
        <v>1715</v>
      </c>
      <c r="E4588" s="28" t="s">
        <v>92</v>
      </c>
      <c r="F4588" s="28">
        <v>26</v>
      </c>
      <c r="G4588" s="28" t="s">
        <v>1455</v>
      </c>
      <c r="H4588" s="28">
        <v>0</v>
      </c>
      <c r="J4588" s="92"/>
    </row>
    <row r="4589" spans="1:10" ht="15.75" customHeight="1">
      <c r="A4589" s="28">
        <v>20990</v>
      </c>
      <c r="B4589" s="91">
        <v>45224.715416666666</v>
      </c>
      <c r="C4589" s="28" t="s">
        <v>0</v>
      </c>
      <c r="D4589" s="28" t="s">
        <v>341</v>
      </c>
      <c r="E4589" s="28" t="s">
        <v>50</v>
      </c>
      <c r="F4589" s="28">
        <v>20</v>
      </c>
      <c r="G4589" s="28" t="s">
        <v>1475</v>
      </c>
      <c r="H4589" s="28">
        <v>0</v>
      </c>
      <c r="J4589" s="92"/>
    </row>
    <row r="4590" spans="1:10" ht="15.75" customHeight="1">
      <c r="A4590" s="28">
        <v>20990</v>
      </c>
      <c r="B4590" s="91">
        <v>45224.715416666666</v>
      </c>
      <c r="C4590" s="28" t="s">
        <v>0</v>
      </c>
      <c r="D4590" s="28" t="s">
        <v>341</v>
      </c>
      <c r="E4590" s="28" t="s">
        <v>50</v>
      </c>
      <c r="F4590" s="28">
        <v>0</v>
      </c>
      <c r="G4590" s="28" t="s">
        <v>141</v>
      </c>
      <c r="H4590" s="28">
        <v>0</v>
      </c>
      <c r="J4590" s="92"/>
    </row>
    <row r="4591" spans="1:10" ht="15.75" customHeight="1">
      <c r="A4591" s="28">
        <v>20990</v>
      </c>
      <c r="B4591" s="91">
        <v>45224.715416666666</v>
      </c>
      <c r="C4591" s="28" t="s">
        <v>0</v>
      </c>
      <c r="D4591" s="28" t="s">
        <v>341</v>
      </c>
      <c r="E4591" s="28" t="s">
        <v>50</v>
      </c>
      <c r="F4591" s="28">
        <v>20</v>
      </c>
      <c r="G4591" s="28"/>
      <c r="H4591" s="28">
        <v>0</v>
      </c>
      <c r="J4591" s="92"/>
    </row>
    <row r="4592" spans="1:10" ht="15.75" customHeight="1">
      <c r="A4592" s="28">
        <v>20991</v>
      </c>
      <c r="B4592" s="91">
        <v>45224.732615740744</v>
      </c>
      <c r="C4592" s="28" t="s">
        <v>51</v>
      </c>
      <c r="D4592" s="28" t="s">
        <v>1716</v>
      </c>
      <c r="E4592" s="28" t="s">
        <v>50</v>
      </c>
      <c r="F4592" s="28">
        <v>35</v>
      </c>
      <c r="G4592" s="28" t="s">
        <v>1443</v>
      </c>
      <c r="H4592" s="28">
        <v>0</v>
      </c>
      <c r="J4592" s="92"/>
    </row>
    <row r="4593" spans="1:10" ht="15.75" customHeight="1">
      <c r="A4593" s="28">
        <v>20992</v>
      </c>
      <c r="B4593" s="91">
        <v>45224.831597222219</v>
      </c>
      <c r="C4593" s="28" t="s">
        <v>0</v>
      </c>
      <c r="D4593" s="28" t="s">
        <v>1158</v>
      </c>
      <c r="E4593" s="28" t="s">
        <v>50</v>
      </c>
      <c r="F4593" s="28">
        <v>25</v>
      </c>
      <c r="G4593" s="28" t="s">
        <v>1446</v>
      </c>
      <c r="H4593" s="28">
        <v>0</v>
      </c>
      <c r="J4593" s="92"/>
    </row>
    <row r="4594" spans="1:10" ht="15.75" customHeight="1">
      <c r="A4594" s="28">
        <v>20993</v>
      </c>
      <c r="B4594" s="91">
        <v>45224.843923611108</v>
      </c>
      <c r="C4594" s="28" t="s">
        <v>0</v>
      </c>
      <c r="D4594" s="28" t="s">
        <v>1212</v>
      </c>
      <c r="E4594" s="28" t="s">
        <v>50</v>
      </c>
      <c r="F4594" s="28">
        <v>15</v>
      </c>
      <c r="G4594" s="28" t="s">
        <v>1453</v>
      </c>
      <c r="H4594" s="28">
        <v>0</v>
      </c>
      <c r="J4594" s="92"/>
    </row>
    <row r="4595" spans="1:10" ht="15.75" customHeight="1">
      <c r="A4595" s="28">
        <v>20994</v>
      </c>
      <c r="B4595" s="91">
        <v>45224.849687499998</v>
      </c>
      <c r="C4595" s="28" t="s">
        <v>0</v>
      </c>
      <c r="D4595" s="28" t="s">
        <v>1223</v>
      </c>
      <c r="E4595" s="28" t="s">
        <v>50</v>
      </c>
      <c r="F4595" s="28">
        <v>30</v>
      </c>
      <c r="G4595" s="28" t="s">
        <v>1453</v>
      </c>
      <c r="H4595" s="28">
        <v>0</v>
      </c>
      <c r="J4595" s="92"/>
    </row>
    <row r="4596" spans="1:10" ht="15.75" customHeight="1">
      <c r="A4596" s="28">
        <v>20994</v>
      </c>
      <c r="B4596" s="91">
        <v>45224.849687499998</v>
      </c>
      <c r="C4596" s="28" t="s">
        <v>0</v>
      </c>
      <c r="D4596" s="28" t="s">
        <v>1223</v>
      </c>
      <c r="E4596" s="28" t="s">
        <v>50</v>
      </c>
      <c r="F4596" s="28">
        <v>28</v>
      </c>
      <c r="G4596" s="28" t="s">
        <v>1448</v>
      </c>
      <c r="H4596" s="28">
        <v>0</v>
      </c>
      <c r="J4596" s="92"/>
    </row>
    <row r="4597" spans="1:10" ht="15.75" customHeight="1">
      <c r="A4597" s="28">
        <v>20995</v>
      </c>
      <c r="B4597" s="91">
        <v>45224.853275462963</v>
      </c>
      <c r="C4597" s="28" t="s">
        <v>0</v>
      </c>
      <c r="D4597" s="28" t="s">
        <v>1226</v>
      </c>
      <c r="E4597" s="28" t="s">
        <v>50</v>
      </c>
      <c r="F4597" s="28">
        <v>28</v>
      </c>
      <c r="G4597" s="28" t="s">
        <v>1448</v>
      </c>
      <c r="H4597" s="28">
        <v>0</v>
      </c>
      <c r="J4597" s="92"/>
    </row>
    <row r="4598" spans="1:10" ht="15.75" customHeight="1">
      <c r="A4598" s="28">
        <v>20995</v>
      </c>
      <c r="B4598" s="91">
        <v>45224.853275462963</v>
      </c>
      <c r="C4598" s="28" t="s">
        <v>0</v>
      </c>
      <c r="D4598" s="28" t="s">
        <v>1226</v>
      </c>
      <c r="E4598" s="28" t="s">
        <v>50</v>
      </c>
      <c r="F4598" s="28">
        <v>26</v>
      </c>
      <c r="G4598" s="28" t="s">
        <v>1455</v>
      </c>
      <c r="H4598" s="28">
        <v>0</v>
      </c>
      <c r="J4598" s="92"/>
    </row>
    <row r="4599" spans="1:10" ht="15.75" customHeight="1">
      <c r="A4599" s="28">
        <v>20996</v>
      </c>
      <c r="B4599" s="91">
        <v>45224.873171296298</v>
      </c>
      <c r="C4599" s="28" t="s">
        <v>0</v>
      </c>
      <c r="D4599" s="28" t="s">
        <v>1717</v>
      </c>
      <c r="E4599" s="28" t="s">
        <v>50</v>
      </c>
      <c r="F4599" s="28">
        <v>22</v>
      </c>
      <c r="G4599" s="28" t="s">
        <v>1459</v>
      </c>
      <c r="H4599" s="28">
        <v>0</v>
      </c>
      <c r="J4599" s="92"/>
    </row>
    <row r="4600" spans="1:10" ht="15.75" customHeight="1">
      <c r="A4600" s="28">
        <v>20996</v>
      </c>
      <c r="B4600" s="91">
        <v>45224.873171296298</v>
      </c>
      <c r="C4600" s="28" t="s">
        <v>0</v>
      </c>
      <c r="D4600" s="28" t="s">
        <v>1717</v>
      </c>
      <c r="E4600" s="28" t="s">
        <v>50</v>
      </c>
      <c r="F4600" s="28">
        <v>15</v>
      </c>
      <c r="G4600" s="28" t="s">
        <v>1453</v>
      </c>
      <c r="H4600" s="28">
        <v>0</v>
      </c>
      <c r="J4600" s="92"/>
    </row>
    <row r="4601" spans="1:10" ht="15.75" customHeight="1">
      <c r="A4601" s="28">
        <v>20996</v>
      </c>
      <c r="B4601" s="91">
        <v>45224.873171296298</v>
      </c>
      <c r="C4601" s="28" t="s">
        <v>0</v>
      </c>
      <c r="D4601" s="28" t="s">
        <v>1717</v>
      </c>
      <c r="E4601" s="28" t="s">
        <v>50</v>
      </c>
      <c r="F4601" s="28">
        <v>0</v>
      </c>
      <c r="G4601" s="28" t="s">
        <v>141</v>
      </c>
      <c r="H4601" s="28">
        <v>0</v>
      </c>
      <c r="J4601" s="92"/>
    </row>
    <row r="4602" spans="1:10" ht="15.75" customHeight="1">
      <c r="A4602" s="28">
        <v>20997</v>
      </c>
      <c r="B4602" s="91">
        <v>45224.903981481482</v>
      </c>
      <c r="C4602" s="28" t="s">
        <v>0</v>
      </c>
      <c r="D4602" s="28" t="s">
        <v>1231</v>
      </c>
      <c r="E4602" s="28" t="s">
        <v>50</v>
      </c>
      <c r="F4602" s="28">
        <v>15</v>
      </c>
      <c r="G4602" s="28" t="s">
        <v>1453</v>
      </c>
      <c r="H4602" s="28">
        <v>0</v>
      </c>
      <c r="J4602" s="92"/>
    </row>
    <row r="4603" spans="1:10" ht="15.75" customHeight="1">
      <c r="A4603" s="28">
        <v>20997</v>
      </c>
      <c r="B4603" s="91">
        <v>45224.903981481482</v>
      </c>
      <c r="C4603" s="28" t="s">
        <v>0</v>
      </c>
      <c r="D4603" s="28" t="s">
        <v>1231</v>
      </c>
      <c r="E4603" s="28" t="s">
        <v>50</v>
      </c>
      <c r="F4603" s="28">
        <v>40</v>
      </c>
      <c r="G4603" s="28" t="s">
        <v>1475</v>
      </c>
      <c r="H4603" s="28">
        <v>0</v>
      </c>
      <c r="J4603" s="92"/>
    </row>
    <row r="4604" spans="1:10" ht="15.75" customHeight="1">
      <c r="A4604" s="28">
        <v>20998</v>
      </c>
      <c r="B4604" s="91">
        <v>45224.910185185188</v>
      </c>
      <c r="C4604" s="28" t="s">
        <v>0</v>
      </c>
      <c r="D4604" s="28" t="s">
        <v>1718</v>
      </c>
      <c r="E4604" s="28" t="s">
        <v>50</v>
      </c>
      <c r="F4604" s="28">
        <v>25</v>
      </c>
      <c r="G4604" s="28" t="s">
        <v>141</v>
      </c>
      <c r="H4604" s="28">
        <v>0</v>
      </c>
      <c r="J4604" s="92"/>
    </row>
    <row r="4605" spans="1:10" ht="15.75" customHeight="1">
      <c r="A4605" s="28">
        <v>20999</v>
      </c>
      <c r="B4605" s="91">
        <v>45224.984768518516</v>
      </c>
      <c r="C4605" s="28" t="s">
        <v>0</v>
      </c>
      <c r="D4605" s="28" t="s">
        <v>1204</v>
      </c>
      <c r="E4605" s="28" t="s">
        <v>50</v>
      </c>
      <c r="F4605" s="28">
        <v>18</v>
      </c>
      <c r="G4605" s="28" t="s">
        <v>1470</v>
      </c>
      <c r="H4605" s="28">
        <v>0</v>
      </c>
      <c r="J4605" s="92"/>
    </row>
    <row r="4606" spans="1:10" ht="15.75" customHeight="1">
      <c r="A4606" s="28">
        <v>21000</v>
      </c>
      <c r="B4606" s="91">
        <v>45224.991516203707</v>
      </c>
      <c r="C4606" s="28" t="s">
        <v>0</v>
      </c>
      <c r="D4606" s="28" t="s">
        <v>1154</v>
      </c>
      <c r="E4606" s="28" t="s">
        <v>50</v>
      </c>
      <c r="F4606" s="28">
        <v>26</v>
      </c>
      <c r="G4606" s="28" t="s">
        <v>1455</v>
      </c>
      <c r="H4606" s="28">
        <v>0</v>
      </c>
      <c r="J4606" s="92"/>
    </row>
    <row r="4607" spans="1:10" ht="15.75" customHeight="1">
      <c r="A4607" s="28">
        <v>21001</v>
      </c>
      <c r="B4607" s="91">
        <v>45224.995694444442</v>
      </c>
      <c r="C4607" s="28" t="s">
        <v>0</v>
      </c>
      <c r="D4607" s="28" t="s">
        <v>1153</v>
      </c>
      <c r="E4607" s="28" t="s">
        <v>50</v>
      </c>
      <c r="F4607" s="28">
        <v>26</v>
      </c>
      <c r="G4607" s="28" t="s">
        <v>1455</v>
      </c>
      <c r="H4607" s="28">
        <v>0</v>
      </c>
      <c r="J4607" s="92"/>
    </row>
    <row r="4608" spans="1:10" ht="15.75" customHeight="1">
      <c r="A4608" s="28">
        <v>21002</v>
      </c>
      <c r="B4608" s="91">
        <v>45225.043981481482</v>
      </c>
      <c r="C4608" s="28" t="s">
        <v>0</v>
      </c>
      <c r="D4608" s="28" t="s">
        <v>1081</v>
      </c>
      <c r="E4608" s="28" t="s">
        <v>50</v>
      </c>
      <c r="F4608" s="28">
        <v>20</v>
      </c>
      <c r="G4608" s="28" t="s">
        <v>1475</v>
      </c>
      <c r="H4608" s="28">
        <v>0</v>
      </c>
      <c r="J4608" s="92"/>
    </row>
    <row r="4609" spans="1:10" ht="15.75" customHeight="1">
      <c r="A4609" s="28">
        <v>21003</v>
      </c>
      <c r="B4609" s="91">
        <v>45225.085173611114</v>
      </c>
      <c r="C4609" s="28" t="s">
        <v>0</v>
      </c>
      <c r="D4609" s="28" t="s">
        <v>1187</v>
      </c>
      <c r="E4609" s="28" t="s">
        <v>50</v>
      </c>
      <c r="F4609" s="28">
        <v>25</v>
      </c>
      <c r="G4609" s="28" t="s">
        <v>1446</v>
      </c>
      <c r="H4609" s="28">
        <v>0</v>
      </c>
      <c r="J4609" s="92"/>
    </row>
    <row r="4610" spans="1:10" ht="15.75" customHeight="1">
      <c r="A4610" s="28">
        <v>21004</v>
      </c>
      <c r="B4610" s="91">
        <v>45225.158356481479</v>
      </c>
      <c r="C4610" s="28" t="s">
        <v>0</v>
      </c>
      <c r="D4610" s="28" t="s">
        <v>1719</v>
      </c>
      <c r="E4610" s="28" t="s">
        <v>92</v>
      </c>
      <c r="F4610" s="28">
        <v>26</v>
      </c>
      <c r="G4610" s="28" t="s">
        <v>1455</v>
      </c>
      <c r="H4610" s="28">
        <v>0</v>
      </c>
      <c r="J4610" s="92"/>
    </row>
    <row r="4611" spans="1:10" ht="15.75" customHeight="1">
      <c r="A4611" s="28">
        <v>21005</v>
      </c>
      <c r="B4611" s="91">
        <v>45225.212395833332</v>
      </c>
      <c r="C4611" s="28" t="s">
        <v>0</v>
      </c>
      <c r="D4611" s="28" t="s">
        <v>1151</v>
      </c>
      <c r="E4611" s="28" t="s">
        <v>50</v>
      </c>
      <c r="F4611" s="28">
        <v>26</v>
      </c>
      <c r="G4611" s="28" t="s">
        <v>1455</v>
      </c>
      <c r="H4611" s="28">
        <v>0</v>
      </c>
      <c r="J4611" s="92"/>
    </row>
    <row r="4612" spans="1:10" ht="15.75" customHeight="1">
      <c r="A4612" s="28">
        <v>21005</v>
      </c>
      <c r="B4612" s="91">
        <v>45225.212395833332</v>
      </c>
      <c r="C4612" s="28" t="s">
        <v>0</v>
      </c>
      <c r="D4612" s="28" t="s">
        <v>1151</v>
      </c>
      <c r="E4612" s="28" t="s">
        <v>50</v>
      </c>
      <c r="F4612" s="28">
        <v>20</v>
      </c>
      <c r="G4612" s="28"/>
      <c r="H4612" s="28">
        <v>0</v>
      </c>
      <c r="J4612" s="92"/>
    </row>
    <row r="4613" spans="1:10" ht="15.75" customHeight="1">
      <c r="A4613" s="28">
        <v>21005</v>
      </c>
      <c r="B4613" s="91">
        <v>45225.212395833332</v>
      </c>
      <c r="C4613" s="28" t="s">
        <v>0</v>
      </c>
      <c r="D4613" s="28" t="s">
        <v>1151</v>
      </c>
      <c r="E4613" s="28" t="s">
        <v>50</v>
      </c>
      <c r="F4613" s="28">
        <v>15</v>
      </c>
      <c r="G4613" s="28" t="s">
        <v>1467</v>
      </c>
      <c r="H4613" s="28">
        <v>0</v>
      </c>
      <c r="J4613" s="92"/>
    </row>
    <row r="4614" spans="1:10" ht="15.75" customHeight="1">
      <c r="A4614" s="28">
        <v>21006</v>
      </c>
      <c r="B4614" s="91">
        <v>45225.228437500002</v>
      </c>
      <c r="C4614" s="28" t="s">
        <v>0</v>
      </c>
      <c r="D4614" s="28" t="s">
        <v>1218</v>
      </c>
      <c r="E4614" s="28" t="s">
        <v>77</v>
      </c>
      <c r="F4614" s="28">
        <v>26</v>
      </c>
      <c r="G4614" s="28" t="s">
        <v>1455</v>
      </c>
      <c r="H4614" s="28">
        <v>0</v>
      </c>
      <c r="J4614" s="92"/>
    </row>
    <row r="4615" spans="1:10" ht="15.75" customHeight="1">
      <c r="A4615" s="28">
        <v>21006</v>
      </c>
      <c r="B4615" s="91">
        <v>45225.228437500002</v>
      </c>
      <c r="C4615" s="28" t="s">
        <v>0</v>
      </c>
      <c r="D4615" s="28" t="s">
        <v>1218</v>
      </c>
      <c r="E4615" s="28" t="s">
        <v>77</v>
      </c>
      <c r="F4615" s="28">
        <v>35</v>
      </c>
      <c r="G4615" s="28" t="s">
        <v>1443</v>
      </c>
      <c r="H4615" s="28">
        <v>0</v>
      </c>
      <c r="J4615" s="92"/>
    </row>
    <row r="4616" spans="1:10" ht="15.75" customHeight="1">
      <c r="A4616" s="28">
        <v>21007</v>
      </c>
      <c r="B4616" s="91">
        <v>45225.562141203707</v>
      </c>
      <c r="C4616" s="28" t="s">
        <v>0</v>
      </c>
      <c r="D4616" s="28" t="s">
        <v>952</v>
      </c>
      <c r="E4616" s="28" t="s">
        <v>77</v>
      </c>
      <c r="F4616" s="28">
        <v>56</v>
      </c>
      <c r="G4616" s="28" t="s">
        <v>1448</v>
      </c>
      <c r="H4616" s="28">
        <v>0</v>
      </c>
      <c r="J4616" s="92"/>
    </row>
    <row r="4617" spans="1:10" ht="15.75" customHeight="1">
      <c r="A4617" s="28">
        <v>21008</v>
      </c>
      <c r="B4617" s="91">
        <v>45225.859606481485</v>
      </c>
      <c r="C4617" s="28" t="s">
        <v>0</v>
      </c>
      <c r="D4617" s="28" t="s">
        <v>1720</v>
      </c>
      <c r="E4617" s="28" t="s">
        <v>50</v>
      </c>
      <c r="F4617" s="28">
        <v>25</v>
      </c>
      <c r="G4617" s="28" t="s">
        <v>141</v>
      </c>
      <c r="H4617" s="28">
        <v>0</v>
      </c>
      <c r="J4617" s="92"/>
    </row>
    <row r="4618" spans="1:10" ht="15.75" customHeight="1">
      <c r="A4618" s="28">
        <v>21009</v>
      </c>
      <c r="B4618" s="91">
        <v>45225.91133101852</v>
      </c>
      <c r="C4618" s="28" t="s">
        <v>0</v>
      </c>
      <c r="D4618" s="28" t="s">
        <v>1090</v>
      </c>
      <c r="E4618" s="28" t="s">
        <v>50</v>
      </c>
      <c r="F4618" s="28">
        <v>20</v>
      </c>
      <c r="G4618" s="28" t="s">
        <v>1444</v>
      </c>
      <c r="H4618" s="28">
        <v>0</v>
      </c>
      <c r="J4618" s="92"/>
    </row>
    <row r="4619" spans="1:10" ht="15.75" customHeight="1">
      <c r="A4619" s="28">
        <v>21009</v>
      </c>
      <c r="B4619" s="91">
        <v>45225.91133101852</v>
      </c>
      <c r="C4619" s="28" t="s">
        <v>0</v>
      </c>
      <c r="D4619" s="28" t="s">
        <v>1090</v>
      </c>
      <c r="E4619" s="28" t="s">
        <v>50</v>
      </c>
      <c r="F4619" s="28">
        <v>26</v>
      </c>
      <c r="G4619" s="28" t="s">
        <v>1455</v>
      </c>
      <c r="H4619" s="28">
        <v>0</v>
      </c>
      <c r="J4619" s="92"/>
    </row>
    <row r="4620" spans="1:10" ht="15.75" customHeight="1">
      <c r="A4620" s="28">
        <v>21010</v>
      </c>
      <c r="B4620" s="91">
        <v>45225.962083333332</v>
      </c>
      <c r="C4620" s="28" t="s">
        <v>0</v>
      </c>
      <c r="D4620" s="28" t="s">
        <v>1188</v>
      </c>
      <c r="E4620" s="28" t="s">
        <v>50</v>
      </c>
      <c r="F4620" s="28">
        <v>25</v>
      </c>
      <c r="G4620" s="28" t="s">
        <v>1462</v>
      </c>
      <c r="H4620" s="28">
        <v>0</v>
      </c>
      <c r="J4620" s="92"/>
    </row>
    <row r="4621" spans="1:10" ht="15.75" customHeight="1">
      <c r="A4621" s="28">
        <v>21011</v>
      </c>
      <c r="B4621" s="91">
        <v>45226.002002314817</v>
      </c>
      <c r="C4621" s="28" t="s">
        <v>0</v>
      </c>
      <c r="D4621" s="28" t="s">
        <v>1190</v>
      </c>
      <c r="E4621" s="28" t="s">
        <v>50</v>
      </c>
      <c r="F4621" s="28">
        <v>35</v>
      </c>
      <c r="G4621" s="28" t="s">
        <v>1443</v>
      </c>
      <c r="H4621" s="28">
        <v>0</v>
      </c>
      <c r="J4621" s="92"/>
    </row>
    <row r="4622" spans="1:10" ht="15.75" customHeight="1">
      <c r="A4622" s="28">
        <v>21011</v>
      </c>
      <c r="B4622" s="91">
        <v>45226.002002314817</v>
      </c>
      <c r="C4622" s="28" t="s">
        <v>0</v>
      </c>
      <c r="D4622" s="28" t="s">
        <v>1190</v>
      </c>
      <c r="E4622" s="28" t="s">
        <v>50</v>
      </c>
      <c r="F4622" s="28">
        <v>25</v>
      </c>
      <c r="G4622" s="28"/>
      <c r="H4622" s="28">
        <v>0</v>
      </c>
      <c r="J4622" s="92"/>
    </row>
    <row r="4623" spans="1:10" ht="15.75" customHeight="1">
      <c r="A4623" s="28">
        <v>21014</v>
      </c>
      <c r="B4623" s="91">
        <v>45226.531655092593</v>
      </c>
      <c r="C4623" s="28" t="s">
        <v>0</v>
      </c>
      <c r="D4623" s="28" t="s">
        <v>1721</v>
      </c>
      <c r="E4623" s="28" t="s">
        <v>75</v>
      </c>
      <c r="F4623" s="28">
        <v>22</v>
      </c>
      <c r="G4623" s="28" t="s">
        <v>1459</v>
      </c>
      <c r="H4623" s="28">
        <v>0</v>
      </c>
      <c r="J4623" s="92"/>
    </row>
    <row r="4624" spans="1:10" ht="15.75" customHeight="1">
      <c r="A4624" s="28">
        <v>21014</v>
      </c>
      <c r="B4624" s="91">
        <v>45226.531655092593</v>
      </c>
      <c r="C4624" s="28" t="s">
        <v>0</v>
      </c>
      <c r="D4624" s="28" t="s">
        <v>1721</v>
      </c>
      <c r="E4624" s="28" t="s">
        <v>75</v>
      </c>
      <c r="F4624" s="28">
        <v>15</v>
      </c>
      <c r="G4624" s="28" t="s">
        <v>1453</v>
      </c>
      <c r="H4624" s="28">
        <v>0</v>
      </c>
      <c r="J4624" s="92"/>
    </row>
    <row r="4625" spans="1:10" ht="15.75" customHeight="1">
      <c r="A4625" s="28">
        <v>21013</v>
      </c>
      <c r="B4625" s="91">
        <v>45226.531273148146</v>
      </c>
      <c r="C4625" s="28" t="s">
        <v>0</v>
      </c>
      <c r="D4625" s="28" t="s">
        <v>1722</v>
      </c>
      <c r="E4625" s="28" t="s">
        <v>92</v>
      </c>
      <c r="F4625" s="28">
        <v>22</v>
      </c>
      <c r="G4625" s="28" t="s">
        <v>1459</v>
      </c>
      <c r="H4625" s="28">
        <v>0</v>
      </c>
      <c r="J4625" s="92"/>
    </row>
    <row r="4626" spans="1:10" ht="15.75" customHeight="1">
      <c r="A4626" s="28">
        <v>21015</v>
      </c>
      <c r="B4626" s="91">
        <v>45226.533668981479</v>
      </c>
      <c r="C4626" s="28" t="s">
        <v>0</v>
      </c>
      <c r="D4626" s="28" t="s">
        <v>1723</v>
      </c>
      <c r="E4626" s="28" t="s">
        <v>92</v>
      </c>
      <c r="F4626" s="28">
        <v>22</v>
      </c>
      <c r="G4626" s="28" t="s">
        <v>1459</v>
      </c>
      <c r="H4626" s="28">
        <v>0</v>
      </c>
      <c r="J4626" s="92"/>
    </row>
    <row r="4627" spans="1:10" ht="15.75" customHeight="1">
      <c r="A4627" s="28">
        <v>21016</v>
      </c>
      <c r="B4627" s="91">
        <v>45226.608472222222</v>
      </c>
      <c r="C4627" s="28" t="s">
        <v>0</v>
      </c>
      <c r="D4627" s="28" t="s">
        <v>1724</v>
      </c>
      <c r="E4627" s="28" t="s">
        <v>92</v>
      </c>
      <c r="F4627" s="28">
        <v>20</v>
      </c>
      <c r="G4627" s="28" t="s">
        <v>1475</v>
      </c>
      <c r="H4627" s="28">
        <v>0</v>
      </c>
      <c r="J4627" s="92"/>
    </row>
    <row r="4628" spans="1:10" ht="15.75" customHeight="1">
      <c r="A4628" s="28">
        <v>21017</v>
      </c>
      <c r="B4628" s="91">
        <v>45226.61822916667</v>
      </c>
      <c r="C4628" s="28" t="s">
        <v>0</v>
      </c>
      <c r="D4628" s="28" t="s">
        <v>1725</v>
      </c>
      <c r="E4628" s="28" t="s">
        <v>75</v>
      </c>
      <c r="F4628" s="28">
        <v>48</v>
      </c>
      <c r="G4628" s="28"/>
      <c r="H4628" s="28">
        <v>0</v>
      </c>
      <c r="J4628" s="92"/>
    </row>
    <row r="4629" spans="1:10" ht="15.75" customHeight="1">
      <c r="A4629" s="28">
        <v>21018</v>
      </c>
      <c r="B4629" s="91">
        <v>45226.736712962964</v>
      </c>
      <c r="C4629" s="28" t="s">
        <v>0</v>
      </c>
      <c r="D4629" s="28" t="s">
        <v>1207</v>
      </c>
      <c r="E4629" s="28" t="s">
        <v>50</v>
      </c>
      <c r="F4629" s="28">
        <v>25</v>
      </c>
      <c r="G4629" s="28" t="s">
        <v>1446</v>
      </c>
      <c r="H4629" s="28">
        <v>0</v>
      </c>
      <c r="J4629" s="92"/>
    </row>
    <row r="4630" spans="1:10" ht="15.75" customHeight="1">
      <c r="A4630" s="28">
        <v>21019</v>
      </c>
      <c r="B4630" s="91">
        <v>45227.539467592593</v>
      </c>
      <c r="C4630" s="28" t="s">
        <v>0</v>
      </c>
      <c r="D4630" s="28" t="s">
        <v>1726</v>
      </c>
      <c r="E4630" s="28" t="s">
        <v>92</v>
      </c>
      <c r="F4630" s="28">
        <v>20</v>
      </c>
      <c r="G4630" s="28" t="s">
        <v>1475</v>
      </c>
      <c r="H4630" s="28">
        <v>0</v>
      </c>
      <c r="J4630" s="92"/>
    </row>
    <row r="4631" spans="1:10" ht="15.75" customHeight="1">
      <c r="A4631" s="28">
        <v>21020</v>
      </c>
      <c r="B4631" s="91">
        <v>45227.549166666664</v>
      </c>
      <c r="C4631" s="28" t="s">
        <v>0</v>
      </c>
      <c r="D4631" s="28" t="s">
        <v>1727</v>
      </c>
      <c r="E4631" s="28" t="s">
        <v>92</v>
      </c>
      <c r="F4631" s="28">
        <v>26</v>
      </c>
      <c r="G4631" s="28" t="s">
        <v>1455</v>
      </c>
      <c r="H4631" s="28">
        <v>0</v>
      </c>
      <c r="J4631" s="92"/>
    </row>
    <row r="4632" spans="1:10" ht="15.75" customHeight="1">
      <c r="A4632" s="28">
        <v>21021</v>
      </c>
      <c r="B4632" s="91">
        <v>45227.552870370368</v>
      </c>
      <c r="C4632" s="28" t="s">
        <v>0</v>
      </c>
      <c r="D4632" s="28" t="s">
        <v>1728</v>
      </c>
      <c r="E4632" s="28" t="s">
        <v>92</v>
      </c>
      <c r="F4632" s="28">
        <v>20</v>
      </c>
      <c r="G4632" s="28" t="s">
        <v>1475</v>
      </c>
      <c r="H4632" s="28">
        <v>0</v>
      </c>
      <c r="J4632" s="92"/>
    </row>
    <row r="4633" spans="1:10" ht="15.75" customHeight="1">
      <c r="A4633" s="28">
        <v>21021</v>
      </c>
      <c r="B4633" s="91">
        <v>45227.552870370368</v>
      </c>
      <c r="C4633" s="28" t="s">
        <v>0</v>
      </c>
      <c r="D4633" s="28" t="s">
        <v>1728</v>
      </c>
      <c r="E4633" s="28" t="s">
        <v>92</v>
      </c>
      <c r="F4633" s="28">
        <v>15</v>
      </c>
      <c r="G4633" s="28" t="s">
        <v>1453</v>
      </c>
      <c r="H4633" s="28">
        <v>0</v>
      </c>
      <c r="J4633" s="92"/>
    </row>
    <row r="4634" spans="1:10" ht="15.75" customHeight="1">
      <c r="A4634" s="28">
        <v>21022</v>
      </c>
      <c r="B4634" s="91">
        <v>45227.555150462962</v>
      </c>
      <c r="C4634" s="28" t="s">
        <v>0</v>
      </c>
      <c r="D4634" s="28" t="s">
        <v>1729</v>
      </c>
      <c r="E4634" s="28" t="s">
        <v>92</v>
      </c>
      <c r="F4634" s="28">
        <v>26</v>
      </c>
      <c r="G4634" s="28" t="s">
        <v>1455</v>
      </c>
      <c r="H4634" s="28">
        <v>0</v>
      </c>
      <c r="J4634" s="92"/>
    </row>
    <row r="4635" spans="1:10" ht="15.75" customHeight="1">
      <c r="A4635" s="28">
        <v>21023</v>
      </c>
      <c r="B4635" s="91">
        <v>45227.567604166667</v>
      </c>
      <c r="C4635" s="28" t="s">
        <v>0</v>
      </c>
      <c r="D4635" s="28" t="s">
        <v>1730</v>
      </c>
      <c r="E4635" s="28" t="s">
        <v>92</v>
      </c>
      <c r="F4635" s="28">
        <v>25</v>
      </c>
      <c r="G4635" s="28" t="s">
        <v>1446</v>
      </c>
      <c r="H4635" s="28">
        <v>0</v>
      </c>
      <c r="J4635" s="92"/>
    </row>
    <row r="4636" spans="1:10" ht="15.75" customHeight="1">
      <c r="A4636" s="28">
        <v>21024</v>
      </c>
      <c r="B4636" s="91">
        <v>45227.573564814818</v>
      </c>
      <c r="C4636" s="28" t="s">
        <v>0</v>
      </c>
      <c r="D4636" s="28" t="s">
        <v>1731</v>
      </c>
      <c r="E4636" s="28" t="s">
        <v>92</v>
      </c>
      <c r="F4636" s="28">
        <v>18</v>
      </c>
      <c r="G4636" s="28" t="s">
        <v>1470</v>
      </c>
      <c r="H4636" s="28">
        <v>0</v>
      </c>
      <c r="J4636" s="92"/>
    </row>
    <row r="4637" spans="1:10" ht="15.75" customHeight="1">
      <c r="A4637" s="28">
        <v>21025</v>
      </c>
      <c r="B4637" s="91">
        <v>45227.574363425927</v>
      </c>
      <c r="C4637" s="28" t="s">
        <v>0</v>
      </c>
      <c r="D4637" s="28" t="s">
        <v>1732</v>
      </c>
      <c r="E4637" s="28" t="s">
        <v>92</v>
      </c>
      <c r="F4637" s="28">
        <v>28</v>
      </c>
      <c r="G4637" s="28" t="s">
        <v>1448</v>
      </c>
      <c r="H4637" s="28">
        <v>0</v>
      </c>
      <c r="J4637" s="92"/>
    </row>
    <row r="4638" spans="1:10" ht="15.75" customHeight="1">
      <c r="A4638" s="28">
        <v>21026</v>
      </c>
      <c r="B4638" s="91">
        <v>45227.576412037037</v>
      </c>
      <c r="C4638" s="28" t="s">
        <v>0</v>
      </c>
      <c r="D4638" s="28" t="s">
        <v>1733</v>
      </c>
      <c r="E4638" s="28" t="s">
        <v>92</v>
      </c>
      <c r="F4638" s="28">
        <v>55</v>
      </c>
      <c r="G4638" s="28" t="s">
        <v>1457</v>
      </c>
      <c r="H4638" s="28">
        <v>0</v>
      </c>
      <c r="J4638" s="92"/>
    </row>
    <row r="4639" spans="1:10" ht="15.75" customHeight="1">
      <c r="A4639" s="28">
        <v>21026</v>
      </c>
      <c r="B4639" s="91">
        <v>45227.576412037037</v>
      </c>
      <c r="C4639" s="28" t="s">
        <v>0</v>
      </c>
      <c r="D4639" s="28" t="s">
        <v>1733</v>
      </c>
      <c r="E4639" s="28" t="s">
        <v>92</v>
      </c>
      <c r="F4639" s="28">
        <v>28</v>
      </c>
      <c r="G4639" s="28" t="s">
        <v>1448</v>
      </c>
      <c r="H4639" s="28">
        <v>0</v>
      </c>
      <c r="J4639" s="92"/>
    </row>
    <row r="4640" spans="1:10" ht="15.75" customHeight="1">
      <c r="A4640" s="28">
        <v>21026</v>
      </c>
      <c r="B4640" s="91">
        <v>45227.576412037037</v>
      </c>
      <c r="C4640" s="28" t="s">
        <v>0</v>
      </c>
      <c r="D4640" s="28" t="s">
        <v>1733</v>
      </c>
      <c r="E4640" s="28" t="s">
        <v>92</v>
      </c>
      <c r="F4640" s="28">
        <v>25</v>
      </c>
      <c r="G4640" s="28" t="s">
        <v>141</v>
      </c>
      <c r="H4640" s="28">
        <v>0</v>
      </c>
      <c r="J4640" s="92"/>
    </row>
    <row r="4641" spans="1:10" ht="15.75" customHeight="1">
      <c r="A4641" s="28">
        <v>21027</v>
      </c>
      <c r="B4641" s="91">
        <v>45227.605543981481</v>
      </c>
      <c r="C4641" s="28" t="s">
        <v>51</v>
      </c>
      <c r="D4641" s="28" t="s">
        <v>1734</v>
      </c>
      <c r="E4641" s="28" t="s">
        <v>92</v>
      </c>
      <c r="F4641" s="28">
        <v>26</v>
      </c>
      <c r="G4641" s="28" t="s">
        <v>1455</v>
      </c>
      <c r="H4641" s="28">
        <v>0</v>
      </c>
      <c r="J4641" s="92"/>
    </row>
    <row r="4642" spans="1:10" ht="15.75" customHeight="1">
      <c r="A4642" s="28">
        <v>21028</v>
      </c>
      <c r="B4642" s="91">
        <v>45227.647314814814</v>
      </c>
      <c r="C4642" s="28" t="s">
        <v>0</v>
      </c>
      <c r="D4642" s="28" t="s">
        <v>1735</v>
      </c>
      <c r="E4642" s="28" t="s">
        <v>92</v>
      </c>
      <c r="F4642" s="28">
        <v>25</v>
      </c>
      <c r="G4642" s="28" t="s">
        <v>1446</v>
      </c>
      <c r="H4642" s="28">
        <v>0</v>
      </c>
      <c r="J4642" s="92"/>
    </row>
    <row r="4643" spans="1:10" ht="15.75" customHeight="1">
      <c r="A4643" s="28">
        <v>21029</v>
      </c>
      <c r="B4643" s="91">
        <v>45227.64916666667</v>
      </c>
      <c r="C4643" s="28" t="s">
        <v>0</v>
      </c>
      <c r="D4643" s="28" t="s">
        <v>1736</v>
      </c>
      <c r="E4643" s="28" t="s">
        <v>92</v>
      </c>
      <c r="F4643" s="28">
        <v>25</v>
      </c>
      <c r="G4643" s="28" t="s">
        <v>1446</v>
      </c>
      <c r="H4643" s="28">
        <v>0</v>
      </c>
      <c r="J4643" s="92"/>
    </row>
    <row r="4644" spans="1:10" ht="15.75" customHeight="1">
      <c r="A4644" s="28">
        <v>21029</v>
      </c>
      <c r="B4644" s="91">
        <v>45227.64916666667</v>
      </c>
      <c r="C4644" s="28" t="s">
        <v>0</v>
      </c>
      <c r="D4644" s="28" t="s">
        <v>1736</v>
      </c>
      <c r="E4644" s="28" t="s">
        <v>92</v>
      </c>
      <c r="F4644" s="28">
        <v>0</v>
      </c>
      <c r="G4644" s="28" t="s">
        <v>141</v>
      </c>
      <c r="H4644" s="28">
        <v>0</v>
      </c>
      <c r="J4644" s="92"/>
    </row>
    <row r="4645" spans="1:10" ht="15.75" customHeight="1">
      <c r="A4645" s="28">
        <v>21030</v>
      </c>
      <c r="B4645" s="91">
        <v>45227.649618055555</v>
      </c>
      <c r="C4645" s="28" t="s">
        <v>0</v>
      </c>
      <c r="D4645" s="28" t="s">
        <v>1737</v>
      </c>
      <c r="E4645" s="28" t="s">
        <v>92</v>
      </c>
      <c r="F4645" s="28">
        <v>20</v>
      </c>
      <c r="G4645" s="28" t="s">
        <v>1475</v>
      </c>
      <c r="H4645" s="28">
        <v>0</v>
      </c>
      <c r="J4645" s="92"/>
    </row>
    <row r="4646" spans="1:10" ht="15.75" customHeight="1">
      <c r="A4646" s="28">
        <v>21031</v>
      </c>
      <c r="B4646" s="91">
        <v>45227.650185185186</v>
      </c>
      <c r="C4646" s="28" t="s">
        <v>0</v>
      </c>
      <c r="D4646" s="28" t="s">
        <v>1738</v>
      </c>
      <c r="E4646" s="28" t="s">
        <v>92</v>
      </c>
      <c r="F4646" s="28">
        <v>22</v>
      </c>
      <c r="G4646" s="28" t="s">
        <v>1535</v>
      </c>
      <c r="H4646" s="28">
        <v>0</v>
      </c>
      <c r="J4646" s="92"/>
    </row>
    <row r="4647" spans="1:10" ht="15.75" customHeight="1">
      <c r="A4647" s="28">
        <v>21032</v>
      </c>
      <c r="B4647" s="91">
        <v>45227.655636574076</v>
      </c>
      <c r="C4647" s="28" t="s">
        <v>0</v>
      </c>
      <c r="D4647" s="28" t="s">
        <v>1267</v>
      </c>
      <c r="E4647" s="28" t="s">
        <v>92</v>
      </c>
      <c r="F4647" s="28">
        <v>25</v>
      </c>
      <c r="G4647" s="28" t="s">
        <v>141</v>
      </c>
      <c r="H4647" s="28">
        <v>0</v>
      </c>
      <c r="J4647" s="92"/>
    </row>
    <row r="4648" spans="1:10" ht="15.75" customHeight="1">
      <c r="A4648" s="28">
        <v>21032</v>
      </c>
      <c r="B4648" s="91">
        <v>45227.655636574076</v>
      </c>
      <c r="C4648" s="28" t="s">
        <v>0</v>
      </c>
      <c r="D4648" s="28" t="s">
        <v>1267</v>
      </c>
      <c r="E4648" s="28" t="s">
        <v>92</v>
      </c>
      <c r="F4648" s="28">
        <v>15</v>
      </c>
      <c r="G4648" s="28" t="s">
        <v>1453</v>
      </c>
      <c r="H4648" s="28">
        <v>0</v>
      </c>
      <c r="J4648" s="92"/>
    </row>
    <row r="4649" spans="1:10" ht="15.75" customHeight="1">
      <c r="A4649" s="28">
        <v>21033</v>
      </c>
      <c r="B4649" s="91">
        <v>45227.657002314816</v>
      </c>
      <c r="C4649" s="28" t="s">
        <v>51</v>
      </c>
      <c r="D4649" s="28" t="s">
        <v>1739</v>
      </c>
      <c r="E4649" s="28" t="s">
        <v>92</v>
      </c>
      <c r="F4649" s="28">
        <v>26</v>
      </c>
      <c r="G4649" s="28" t="s">
        <v>1455</v>
      </c>
      <c r="H4649" s="28">
        <v>0</v>
      </c>
      <c r="J4649" s="92"/>
    </row>
    <row r="4650" spans="1:10" ht="15.75" customHeight="1">
      <c r="A4650" s="28">
        <v>21034</v>
      </c>
      <c r="B4650" s="91">
        <v>45227.662141203706</v>
      </c>
      <c r="C4650" s="28" t="s">
        <v>0</v>
      </c>
      <c r="D4650" s="28" t="s">
        <v>1740</v>
      </c>
      <c r="E4650" s="28" t="s">
        <v>92</v>
      </c>
      <c r="F4650" s="28">
        <v>18</v>
      </c>
      <c r="G4650" s="28" t="s">
        <v>1470</v>
      </c>
      <c r="H4650" s="28">
        <v>0</v>
      </c>
      <c r="J4650" s="92"/>
    </row>
    <row r="4651" spans="1:10" ht="15.75" customHeight="1">
      <c r="A4651" s="28">
        <v>21036</v>
      </c>
      <c r="B4651" s="91">
        <v>45227.733148148145</v>
      </c>
      <c r="C4651" s="28" t="s">
        <v>0</v>
      </c>
      <c r="D4651" s="28" t="s">
        <v>1741</v>
      </c>
      <c r="E4651" s="28" t="s">
        <v>92</v>
      </c>
      <c r="F4651" s="28">
        <v>22</v>
      </c>
      <c r="G4651" s="28" t="s">
        <v>1459</v>
      </c>
      <c r="H4651" s="28">
        <v>0</v>
      </c>
      <c r="J4651" s="92"/>
    </row>
    <row r="4652" spans="1:10" ht="15.75" customHeight="1">
      <c r="A4652" s="28">
        <v>21037</v>
      </c>
      <c r="B4652" s="91">
        <v>45227.746192129627</v>
      </c>
      <c r="C4652" s="28" t="s">
        <v>0</v>
      </c>
      <c r="D4652" s="28" t="s">
        <v>1742</v>
      </c>
      <c r="E4652" s="28" t="s">
        <v>92</v>
      </c>
      <c r="F4652" s="28">
        <v>15</v>
      </c>
      <c r="G4652" s="28" t="s">
        <v>1453</v>
      </c>
      <c r="H4652" s="28">
        <v>0</v>
      </c>
      <c r="J4652" s="92"/>
    </row>
    <row r="4653" spans="1:10" ht="15.75" customHeight="1">
      <c r="A4653" s="28">
        <v>21038</v>
      </c>
      <c r="B4653" s="91">
        <v>45227.766550925924</v>
      </c>
      <c r="C4653" s="28" t="s">
        <v>5</v>
      </c>
      <c r="D4653" s="28" t="s">
        <v>1743</v>
      </c>
      <c r="E4653" s="28" t="s">
        <v>75</v>
      </c>
      <c r="F4653" s="28">
        <v>35</v>
      </c>
      <c r="G4653" s="28" t="s">
        <v>1443</v>
      </c>
      <c r="H4653" s="28">
        <v>0</v>
      </c>
      <c r="J4653" s="92"/>
    </row>
    <row r="4654" spans="1:10" ht="15.75" customHeight="1">
      <c r="A4654" s="28">
        <v>21044</v>
      </c>
      <c r="B4654" s="91">
        <v>45227.889560185184</v>
      </c>
      <c r="C4654" s="28" t="s">
        <v>51</v>
      </c>
      <c r="D4654" s="28" t="s">
        <v>1744</v>
      </c>
      <c r="E4654" s="28" t="s">
        <v>92</v>
      </c>
      <c r="F4654" s="28">
        <v>28</v>
      </c>
      <c r="G4654" s="28" t="s">
        <v>1448</v>
      </c>
      <c r="H4654" s="28">
        <v>0</v>
      </c>
      <c r="J4654" s="92"/>
    </row>
    <row r="4655" spans="1:10" ht="15.75" customHeight="1">
      <c r="A4655" s="28">
        <v>21045</v>
      </c>
      <c r="B4655" s="91">
        <v>45228.019861111112</v>
      </c>
      <c r="C4655" s="28" t="s">
        <v>0</v>
      </c>
      <c r="D4655" s="28" t="s">
        <v>1745</v>
      </c>
      <c r="E4655" s="28" t="s">
        <v>92</v>
      </c>
      <c r="F4655" s="28">
        <v>26</v>
      </c>
      <c r="G4655" s="28" t="s">
        <v>1455</v>
      </c>
      <c r="H4655" s="28">
        <v>0</v>
      </c>
      <c r="J4655" s="92"/>
    </row>
    <row r="4656" spans="1:10" ht="15.75" customHeight="1">
      <c r="A4656" s="28">
        <v>21046</v>
      </c>
      <c r="B4656" s="91">
        <v>45228.618680555555</v>
      </c>
      <c r="C4656" s="28" t="s">
        <v>0</v>
      </c>
      <c r="D4656" s="28" t="s">
        <v>1746</v>
      </c>
      <c r="E4656" s="28" t="s">
        <v>50</v>
      </c>
      <c r="F4656" s="28">
        <v>25</v>
      </c>
      <c r="G4656" s="28" t="s">
        <v>1446</v>
      </c>
      <c r="H4656" s="28">
        <v>0</v>
      </c>
      <c r="J4656" s="92"/>
    </row>
    <row r="4657" spans="1:10" ht="15.75" customHeight="1">
      <c r="A4657" s="28">
        <v>21046</v>
      </c>
      <c r="B4657" s="91">
        <v>45228.618680555555</v>
      </c>
      <c r="C4657" s="28" t="s">
        <v>0</v>
      </c>
      <c r="D4657" s="28" t="s">
        <v>1746</v>
      </c>
      <c r="E4657" s="28" t="s">
        <v>50</v>
      </c>
      <c r="F4657" s="28">
        <v>18</v>
      </c>
      <c r="G4657" s="28" t="s">
        <v>1470</v>
      </c>
      <c r="H4657" s="28">
        <v>0</v>
      </c>
      <c r="J4657" s="92"/>
    </row>
    <row r="4658" spans="1:10" ht="15.75" customHeight="1">
      <c r="A4658" s="28">
        <v>21050</v>
      </c>
      <c r="B4658" s="91">
        <v>45228.730787037035</v>
      </c>
      <c r="C4658" s="28" t="s">
        <v>0</v>
      </c>
      <c r="D4658" s="28" t="s">
        <v>1747</v>
      </c>
      <c r="E4658" s="28" t="s">
        <v>92</v>
      </c>
      <c r="F4658" s="28">
        <v>25</v>
      </c>
      <c r="G4658" s="28">
        <v>100692</v>
      </c>
      <c r="H4658" s="28">
        <v>0</v>
      </c>
      <c r="J4658" s="92"/>
    </row>
    <row r="4659" spans="1:10" ht="15.75" customHeight="1">
      <c r="A4659" s="28">
        <v>21050</v>
      </c>
      <c r="B4659" s="91">
        <v>45228.730787037035</v>
      </c>
      <c r="C4659" s="28" t="s">
        <v>0</v>
      </c>
      <c r="D4659" s="28" t="s">
        <v>1747</v>
      </c>
      <c r="E4659" s="28" t="s">
        <v>92</v>
      </c>
      <c r="F4659" s="28">
        <v>0</v>
      </c>
      <c r="G4659" s="28" t="s">
        <v>125</v>
      </c>
      <c r="H4659" s="28">
        <v>0</v>
      </c>
      <c r="J4659" s="92"/>
    </row>
    <row r="4660" spans="1:10" ht="15.75" customHeight="1">
      <c r="A4660" s="28">
        <v>21050</v>
      </c>
      <c r="B4660" s="91">
        <v>45228.730787037035</v>
      </c>
      <c r="C4660" s="28" t="s">
        <v>0</v>
      </c>
      <c r="D4660" s="28" t="s">
        <v>1747</v>
      </c>
      <c r="E4660" s="28" t="s">
        <v>92</v>
      </c>
      <c r="F4660" s="28">
        <v>0</v>
      </c>
      <c r="G4660" s="28" t="s">
        <v>119</v>
      </c>
      <c r="H4660" s="28">
        <v>0</v>
      </c>
      <c r="J4660" s="92"/>
    </row>
    <row r="4661" spans="1:10" ht="15.75" customHeight="1">
      <c r="A4661" s="28">
        <v>21051</v>
      </c>
      <c r="B4661" s="91">
        <v>45228.733506944445</v>
      </c>
      <c r="C4661" s="28" t="s">
        <v>18</v>
      </c>
      <c r="D4661" s="28" t="s">
        <v>1748</v>
      </c>
      <c r="E4661" s="28" t="s">
        <v>92</v>
      </c>
      <c r="F4661" s="28">
        <v>25</v>
      </c>
      <c r="G4661" s="28">
        <v>100692</v>
      </c>
      <c r="H4661" s="28">
        <v>0</v>
      </c>
      <c r="J4661" s="92"/>
    </row>
    <row r="4662" spans="1:10" ht="15.75" customHeight="1">
      <c r="A4662" s="28">
        <v>21051</v>
      </c>
      <c r="B4662" s="91">
        <v>45228.733506944445</v>
      </c>
      <c r="C4662" s="28" t="s">
        <v>18</v>
      </c>
      <c r="D4662" s="28" t="s">
        <v>1748</v>
      </c>
      <c r="E4662" s="28" t="s">
        <v>92</v>
      </c>
      <c r="F4662" s="28">
        <v>0</v>
      </c>
      <c r="G4662" s="28" t="s">
        <v>125</v>
      </c>
      <c r="H4662" s="28">
        <v>0</v>
      </c>
      <c r="J4662" s="92"/>
    </row>
    <row r="4663" spans="1:10" ht="15.75" customHeight="1">
      <c r="A4663" s="28">
        <v>21051</v>
      </c>
      <c r="B4663" s="91">
        <v>45228.733506944445</v>
      </c>
      <c r="C4663" s="28" t="s">
        <v>18</v>
      </c>
      <c r="D4663" s="28" t="s">
        <v>1748</v>
      </c>
      <c r="E4663" s="28" t="s">
        <v>92</v>
      </c>
      <c r="F4663" s="28">
        <v>0</v>
      </c>
      <c r="G4663" s="28" t="s">
        <v>119</v>
      </c>
      <c r="H4663" s="28">
        <v>0</v>
      </c>
      <c r="J4663" s="92"/>
    </row>
    <row r="4664" spans="1:10" ht="15.75" customHeight="1">
      <c r="A4664" s="28">
        <v>21052</v>
      </c>
      <c r="B4664" s="91">
        <v>45228.747245370374</v>
      </c>
      <c r="C4664" s="28" t="s">
        <v>0</v>
      </c>
      <c r="D4664" s="28" t="s">
        <v>1749</v>
      </c>
      <c r="E4664" s="28" t="s">
        <v>50</v>
      </c>
      <c r="F4664" s="28">
        <v>25</v>
      </c>
      <c r="G4664" s="28" t="s">
        <v>1446</v>
      </c>
      <c r="H4664" s="28">
        <v>0</v>
      </c>
      <c r="J4664" s="92"/>
    </row>
    <row r="4665" spans="1:10" ht="15.75" customHeight="1">
      <c r="A4665" s="28">
        <v>21053</v>
      </c>
      <c r="B4665" s="91">
        <v>45228.751967592594</v>
      </c>
      <c r="C4665" s="28" t="s">
        <v>0</v>
      </c>
      <c r="D4665" s="28" t="s">
        <v>1750</v>
      </c>
      <c r="E4665" s="28" t="s">
        <v>92</v>
      </c>
      <c r="F4665" s="28">
        <v>25</v>
      </c>
      <c r="G4665" s="28" t="s">
        <v>1446</v>
      </c>
      <c r="H4665" s="28">
        <v>0</v>
      </c>
      <c r="J4665" s="92"/>
    </row>
    <row r="4666" spans="1:10" ht="15.75" customHeight="1">
      <c r="A4666" s="28">
        <v>21053</v>
      </c>
      <c r="B4666" s="91">
        <v>45228.751967592594</v>
      </c>
      <c r="C4666" s="28" t="s">
        <v>0</v>
      </c>
      <c r="D4666" s="28" t="s">
        <v>1750</v>
      </c>
      <c r="E4666" s="28" t="s">
        <v>92</v>
      </c>
      <c r="F4666" s="28">
        <v>20</v>
      </c>
      <c r="G4666" s="28"/>
      <c r="H4666" s="28">
        <v>0</v>
      </c>
      <c r="J4666" s="92"/>
    </row>
    <row r="4667" spans="1:10" ht="15.75" customHeight="1">
      <c r="A4667" s="28">
        <v>21054</v>
      </c>
      <c r="B4667" s="91">
        <v>45228.768842592595</v>
      </c>
      <c r="C4667" s="28" t="s">
        <v>0</v>
      </c>
      <c r="D4667" s="28" t="s">
        <v>1751</v>
      </c>
      <c r="E4667" s="28" t="s">
        <v>50</v>
      </c>
      <c r="F4667" s="28">
        <v>25</v>
      </c>
      <c r="G4667" s="28" t="s">
        <v>1446</v>
      </c>
      <c r="H4667" s="28">
        <v>0</v>
      </c>
      <c r="J4667" s="92"/>
    </row>
    <row r="4668" spans="1:10" ht="15.75" customHeight="1">
      <c r="A4668" s="28">
        <v>21055</v>
      </c>
      <c r="B4668" s="91">
        <v>45228.828275462962</v>
      </c>
      <c r="C4668" s="28" t="s">
        <v>0</v>
      </c>
      <c r="D4668" s="28" t="s">
        <v>1752</v>
      </c>
      <c r="E4668" s="28" t="s">
        <v>92</v>
      </c>
      <c r="F4668" s="28">
        <v>26</v>
      </c>
      <c r="G4668" s="28" t="s">
        <v>1455</v>
      </c>
      <c r="H4668" s="28">
        <v>0</v>
      </c>
      <c r="J4668" s="92"/>
    </row>
    <row r="4669" spans="1:10" ht="15.75" customHeight="1">
      <c r="A4669" s="28">
        <v>21056</v>
      </c>
      <c r="B4669" s="91">
        <v>45228.951874999999</v>
      </c>
      <c r="C4669" s="28" t="s">
        <v>0</v>
      </c>
      <c r="D4669" s="28" t="s">
        <v>1753</v>
      </c>
      <c r="E4669" s="28" t="s">
        <v>50</v>
      </c>
      <c r="F4669" s="28">
        <v>15</v>
      </c>
      <c r="G4669" s="28" t="s">
        <v>1467</v>
      </c>
      <c r="H4669" s="28">
        <v>0</v>
      </c>
      <c r="J4669" s="92"/>
    </row>
    <row r="4670" spans="1:10" ht="15.75" customHeight="1">
      <c r="A4670" s="28">
        <v>21056</v>
      </c>
      <c r="B4670" s="91">
        <v>45228.951874999999</v>
      </c>
      <c r="C4670" s="28" t="s">
        <v>0</v>
      </c>
      <c r="D4670" s="28" t="s">
        <v>1753</v>
      </c>
      <c r="E4670" s="28" t="s">
        <v>50</v>
      </c>
      <c r="F4670" s="28">
        <v>22</v>
      </c>
      <c r="G4670" s="28" t="s">
        <v>1459</v>
      </c>
      <c r="H4670" s="28">
        <v>0</v>
      </c>
      <c r="J4670" s="92"/>
    </row>
    <row r="4671" spans="1:10" ht="15.75" customHeight="1">
      <c r="A4671" s="28">
        <v>21057</v>
      </c>
      <c r="B4671" s="91">
        <v>45228.9846412037</v>
      </c>
      <c r="C4671" s="28" t="s">
        <v>0</v>
      </c>
      <c r="D4671" s="28" t="s">
        <v>1350</v>
      </c>
      <c r="E4671" s="28" t="s">
        <v>75</v>
      </c>
      <c r="F4671" s="28">
        <v>22</v>
      </c>
      <c r="G4671" s="28" t="s">
        <v>1535</v>
      </c>
      <c r="H4671" s="28">
        <v>0</v>
      </c>
      <c r="J4671" s="92"/>
    </row>
    <row r="4672" spans="1:10" ht="15.75" customHeight="1">
      <c r="A4672" s="28">
        <v>21058</v>
      </c>
      <c r="B4672" s="91">
        <v>45229.128506944442</v>
      </c>
      <c r="C4672" s="28" t="s">
        <v>0</v>
      </c>
      <c r="D4672" s="28" t="s">
        <v>1754</v>
      </c>
      <c r="E4672" s="28" t="s">
        <v>92</v>
      </c>
      <c r="F4672" s="28">
        <v>25</v>
      </c>
      <c r="G4672" s="28" t="s">
        <v>1446</v>
      </c>
      <c r="H4672" s="28">
        <v>0</v>
      </c>
      <c r="J4672" s="92"/>
    </row>
    <row r="4673" spans="1:10" ht="15.75" customHeight="1">
      <c r="A4673" s="28">
        <v>21059</v>
      </c>
      <c r="B4673" s="91">
        <v>45229.570555555554</v>
      </c>
      <c r="C4673" s="28" t="s">
        <v>0</v>
      </c>
      <c r="D4673" s="28" t="s">
        <v>165</v>
      </c>
      <c r="E4673" s="28" t="s">
        <v>74</v>
      </c>
      <c r="F4673" s="28">
        <v>25</v>
      </c>
      <c r="G4673" s="28" t="s">
        <v>1446</v>
      </c>
      <c r="H4673" s="28">
        <v>0</v>
      </c>
      <c r="J4673" s="92"/>
    </row>
    <row r="4674" spans="1:10" ht="15.75" customHeight="1">
      <c r="A4674" s="28">
        <v>21060</v>
      </c>
      <c r="B4674" s="91">
        <v>45229.572870370372</v>
      </c>
      <c r="C4674" s="28" t="s">
        <v>0</v>
      </c>
      <c r="D4674" s="28" t="s">
        <v>1753</v>
      </c>
      <c r="E4674" s="28" t="s">
        <v>50</v>
      </c>
      <c r="F4674" s="28">
        <v>26</v>
      </c>
      <c r="G4674" s="28" t="s">
        <v>1455</v>
      </c>
      <c r="H4674" s="28">
        <v>0</v>
      </c>
      <c r="J4674" s="92"/>
    </row>
    <row r="4675" spans="1:10" ht="15.75" customHeight="1">
      <c r="A4675" s="28">
        <v>21061</v>
      </c>
      <c r="B4675" s="91">
        <v>45229.576782407406</v>
      </c>
      <c r="C4675" s="28" t="s">
        <v>0</v>
      </c>
      <c r="D4675" s="28" t="s">
        <v>1753</v>
      </c>
      <c r="E4675" s="28" t="s">
        <v>50</v>
      </c>
      <c r="F4675" s="28">
        <v>0</v>
      </c>
      <c r="G4675" s="28" t="s">
        <v>141</v>
      </c>
      <c r="H4675" s="28">
        <v>0</v>
      </c>
      <c r="J4675" s="92"/>
    </row>
    <row r="4676" spans="1:10" ht="15.75" customHeight="1">
      <c r="A4676" s="28">
        <v>21062</v>
      </c>
      <c r="B4676" s="91">
        <v>45229.58090277778</v>
      </c>
      <c r="C4676" s="28" t="s">
        <v>0</v>
      </c>
      <c r="D4676" s="28" t="s">
        <v>1755</v>
      </c>
      <c r="E4676" s="28" t="s">
        <v>92</v>
      </c>
      <c r="F4676" s="28">
        <v>35</v>
      </c>
      <c r="G4676" s="28" t="s">
        <v>1443</v>
      </c>
      <c r="H4676" s="28">
        <v>0</v>
      </c>
      <c r="J4676" s="92"/>
    </row>
    <row r="4677" spans="1:10" ht="15.75" customHeight="1">
      <c r="A4677" s="28">
        <v>21063</v>
      </c>
      <c r="B4677" s="91">
        <v>45229.63689814815</v>
      </c>
      <c r="C4677" s="28" t="s">
        <v>0</v>
      </c>
      <c r="D4677" s="28" t="s">
        <v>1685</v>
      </c>
      <c r="E4677" s="28" t="s">
        <v>92</v>
      </c>
      <c r="F4677" s="28">
        <v>25</v>
      </c>
      <c r="G4677" s="28" t="s">
        <v>141</v>
      </c>
      <c r="H4677" s="28">
        <v>0</v>
      </c>
      <c r="J4677" s="92"/>
    </row>
    <row r="4678" spans="1:10" ht="15.75" customHeight="1">
      <c r="A4678" s="28">
        <v>21063</v>
      </c>
      <c r="B4678" s="91">
        <v>45229.63689814815</v>
      </c>
      <c r="C4678" s="28" t="s">
        <v>0</v>
      </c>
      <c r="D4678" s="28" t="s">
        <v>1685</v>
      </c>
      <c r="E4678" s="28" t="s">
        <v>92</v>
      </c>
      <c r="F4678" s="28">
        <v>26</v>
      </c>
      <c r="G4678" s="28" t="s">
        <v>1455</v>
      </c>
      <c r="H4678" s="28">
        <v>0</v>
      </c>
      <c r="J4678" s="92"/>
    </row>
    <row r="4679" spans="1:10" ht="15.75" customHeight="1">
      <c r="A4679" s="28">
        <v>21064</v>
      </c>
      <c r="B4679" s="91">
        <v>45229.643460648149</v>
      </c>
      <c r="C4679" s="28" t="s">
        <v>0</v>
      </c>
      <c r="D4679" s="28" t="s">
        <v>1756</v>
      </c>
      <c r="E4679" s="28" t="s">
        <v>50</v>
      </c>
      <c r="F4679" s="28">
        <v>15</v>
      </c>
      <c r="G4679" s="28" t="s">
        <v>1453</v>
      </c>
      <c r="H4679" s="28">
        <v>0</v>
      </c>
      <c r="J4679" s="92"/>
    </row>
    <row r="4680" spans="1:10" ht="15.75" customHeight="1">
      <c r="A4680" s="28">
        <v>21064</v>
      </c>
      <c r="B4680" s="91">
        <v>45229.643460648149</v>
      </c>
      <c r="C4680" s="28" t="s">
        <v>0</v>
      </c>
      <c r="D4680" s="28" t="s">
        <v>1756</v>
      </c>
      <c r="E4680" s="28" t="s">
        <v>50</v>
      </c>
      <c r="F4680" s="28">
        <v>0</v>
      </c>
      <c r="G4680" s="28" t="s">
        <v>141</v>
      </c>
      <c r="H4680" s="28">
        <v>0</v>
      </c>
      <c r="J4680" s="92"/>
    </row>
    <row r="4681" spans="1:10" ht="15.75" customHeight="1">
      <c r="A4681" s="28">
        <v>21064</v>
      </c>
      <c r="B4681" s="91">
        <v>45229.643460648149</v>
      </c>
      <c r="C4681" s="28" t="s">
        <v>0</v>
      </c>
      <c r="D4681" s="28" t="s">
        <v>1756</v>
      </c>
      <c r="E4681" s="28" t="s">
        <v>50</v>
      </c>
      <c r="F4681" s="28">
        <v>28</v>
      </c>
      <c r="G4681" s="28" t="s">
        <v>1448</v>
      </c>
      <c r="H4681" s="28">
        <v>0</v>
      </c>
      <c r="J4681" s="92"/>
    </row>
    <row r="4682" spans="1:10" ht="15.75" customHeight="1">
      <c r="A4682" s="28">
        <v>21065</v>
      </c>
      <c r="B4682" s="91">
        <v>45229.662094907406</v>
      </c>
      <c r="C4682" s="28" t="s">
        <v>0</v>
      </c>
      <c r="D4682" s="28" t="s">
        <v>1757</v>
      </c>
      <c r="E4682" s="28" t="s">
        <v>92</v>
      </c>
      <c r="F4682" s="28">
        <v>26</v>
      </c>
      <c r="G4682" s="28" t="s">
        <v>1455</v>
      </c>
      <c r="H4682" s="28">
        <v>0</v>
      </c>
      <c r="J4682" s="92"/>
    </row>
    <row r="4683" spans="1:10" ht="15.75" customHeight="1">
      <c r="A4683" s="28">
        <v>21066</v>
      </c>
      <c r="B4683" s="91">
        <v>45229.691793981481</v>
      </c>
      <c r="C4683" s="28" t="s">
        <v>0</v>
      </c>
      <c r="D4683" s="28" t="s">
        <v>918</v>
      </c>
      <c r="E4683" s="28" t="s">
        <v>59</v>
      </c>
      <c r="F4683" s="28">
        <v>22</v>
      </c>
      <c r="G4683" s="28" t="s">
        <v>1459</v>
      </c>
      <c r="H4683" s="28">
        <v>0</v>
      </c>
      <c r="J4683" s="92"/>
    </row>
    <row r="4684" spans="1:10" ht="15.75" customHeight="1">
      <c r="A4684" s="28">
        <v>21067</v>
      </c>
      <c r="B4684" s="91">
        <v>45229.829259259262</v>
      </c>
      <c r="C4684" s="28" t="s">
        <v>0</v>
      </c>
      <c r="D4684" s="28" t="s">
        <v>1758</v>
      </c>
      <c r="E4684" s="28" t="s">
        <v>75</v>
      </c>
      <c r="F4684" s="28">
        <v>15</v>
      </c>
      <c r="G4684" s="28" t="s">
        <v>1453</v>
      </c>
      <c r="H4684" s="28">
        <v>0</v>
      </c>
      <c r="J4684" s="92"/>
    </row>
    <row r="4685" spans="1:10" ht="15.75" customHeight="1">
      <c r="A4685" s="28">
        <v>21068</v>
      </c>
      <c r="B4685" s="91">
        <v>45229.832141203704</v>
      </c>
      <c r="C4685" s="28" t="s">
        <v>0</v>
      </c>
      <c r="D4685" s="28" t="s">
        <v>1759</v>
      </c>
      <c r="E4685" s="28" t="s">
        <v>75</v>
      </c>
      <c r="F4685" s="28">
        <v>15</v>
      </c>
      <c r="G4685" s="28" t="s">
        <v>1453</v>
      </c>
      <c r="H4685" s="28">
        <v>0</v>
      </c>
      <c r="J4685" s="92"/>
    </row>
    <row r="4686" spans="1:10" ht="15.75" customHeight="1">
      <c r="A4686" s="28">
        <v>21069</v>
      </c>
      <c r="B4686" s="91">
        <v>45229.860775462963</v>
      </c>
      <c r="C4686" s="28" t="s">
        <v>0</v>
      </c>
      <c r="D4686" s="28" t="s">
        <v>1182</v>
      </c>
      <c r="E4686" s="28" t="s">
        <v>50</v>
      </c>
      <c r="F4686" s="28">
        <v>26</v>
      </c>
      <c r="G4686" s="28" t="s">
        <v>1455</v>
      </c>
      <c r="H4686" s="28">
        <v>0</v>
      </c>
      <c r="J4686" s="92"/>
    </row>
    <row r="4687" spans="1:10" ht="15.75" customHeight="1">
      <c r="A4687" s="28">
        <v>21069</v>
      </c>
      <c r="B4687" s="91">
        <v>45229.860775462963</v>
      </c>
      <c r="C4687" s="28" t="s">
        <v>0</v>
      </c>
      <c r="D4687" s="28" t="s">
        <v>1182</v>
      </c>
      <c r="E4687" s="28" t="s">
        <v>50</v>
      </c>
      <c r="F4687" s="28">
        <v>15</v>
      </c>
      <c r="G4687" s="28" t="s">
        <v>1453</v>
      </c>
      <c r="H4687" s="28">
        <v>0</v>
      </c>
      <c r="J4687" s="92"/>
    </row>
    <row r="4688" spans="1:10" ht="15.75" customHeight="1">
      <c r="A4688" s="28">
        <v>21070</v>
      </c>
      <c r="B4688" s="91">
        <v>45229.86990740741</v>
      </c>
      <c r="C4688" s="28" t="s">
        <v>0</v>
      </c>
      <c r="D4688" s="28" t="s">
        <v>919</v>
      </c>
      <c r="E4688" s="28" t="s">
        <v>59</v>
      </c>
      <c r="F4688" s="28">
        <v>22</v>
      </c>
      <c r="G4688" s="28" t="s">
        <v>1459</v>
      </c>
      <c r="H4688" s="28">
        <v>0</v>
      </c>
      <c r="J4688" s="92"/>
    </row>
    <row r="4689" spans="1:10" ht="15.75" customHeight="1">
      <c r="A4689" s="28">
        <v>21071</v>
      </c>
      <c r="B4689" s="91">
        <v>45229.922442129631</v>
      </c>
      <c r="C4689" s="28" t="s">
        <v>0</v>
      </c>
      <c r="D4689" s="28" t="s">
        <v>1760</v>
      </c>
      <c r="E4689" s="28" t="s">
        <v>50</v>
      </c>
      <c r="F4689" s="28">
        <v>25</v>
      </c>
      <c r="G4689" s="28" t="s">
        <v>1446</v>
      </c>
      <c r="H4689" s="28">
        <v>0</v>
      </c>
      <c r="J4689" s="92"/>
    </row>
    <row r="4690" spans="1:10" ht="15.75" customHeight="1">
      <c r="A4690" s="28">
        <v>21072</v>
      </c>
      <c r="B4690" s="91">
        <v>45229.940439814818</v>
      </c>
      <c r="C4690" s="28" t="s">
        <v>0</v>
      </c>
      <c r="D4690" s="28" t="s">
        <v>1172</v>
      </c>
      <c r="E4690" s="28" t="s">
        <v>50</v>
      </c>
      <c r="F4690" s="28">
        <v>26</v>
      </c>
      <c r="G4690" s="28" t="s">
        <v>1455</v>
      </c>
      <c r="H4690" s="28">
        <v>0</v>
      </c>
      <c r="J4690" s="92"/>
    </row>
    <row r="4691" spans="1:10" ht="15.75" customHeight="1">
      <c r="A4691" s="28">
        <v>21073</v>
      </c>
      <c r="B4691" s="91">
        <v>45229.95244212963</v>
      </c>
      <c r="C4691" s="28" t="s">
        <v>0</v>
      </c>
      <c r="D4691" s="28" t="s">
        <v>1198</v>
      </c>
      <c r="E4691" s="28" t="s">
        <v>50</v>
      </c>
      <c r="F4691" s="28">
        <v>35</v>
      </c>
      <c r="G4691" s="28" t="s">
        <v>1443</v>
      </c>
      <c r="H4691" s="28">
        <v>0</v>
      </c>
      <c r="J4691" s="92"/>
    </row>
    <row r="4692" spans="1:10" ht="15.75" customHeight="1">
      <c r="A4692" s="28">
        <v>21074</v>
      </c>
      <c r="B4692" s="91">
        <v>45229.957152777781</v>
      </c>
      <c r="C4692" s="28" t="s">
        <v>18</v>
      </c>
      <c r="D4692" s="28" t="s">
        <v>1761</v>
      </c>
      <c r="E4692" s="28" t="s">
        <v>92</v>
      </c>
      <c r="F4692" s="28">
        <v>15</v>
      </c>
      <c r="G4692" s="28" t="s">
        <v>1453</v>
      </c>
      <c r="H4692" s="28">
        <v>0</v>
      </c>
      <c r="J4692" s="92"/>
    </row>
    <row r="4693" spans="1:10" ht="15.75" customHeight="1">
      <c r="A4693" s="28">
        <v>21075</v>
      </c>
      <c r="B4693" s="91">
        <v>45229.958738425928</v>
      </c>
      <c r="C4693" s="28" t="s">
        <v>0</v>
      </c>
      <c r="D4693" s="28" t="s">
        <v>1762</v>
      </c>
      <c r="E4693" s="28" t="s">
        <v>50</v>
      </c>
      <c r="F4693" s="28">
        <v>28</v>
      </c>
      <c r="G4693" s="28" t="s">
        <v>1448</v>
      </c>
      <c r="H4693" s="28">
        <v>0</v>
      </c>
      <c r="J4693" s="92"/>
    </row>
    <row r="4694" spans="1:10" ht="15.75" customHeight="1">
      <c r="A4694" s="28">
        <v>21075</v>
      </c>
      <c r="B4694" s="91">
        <v>45229.958738425928</v>
      </c>
      <c r="C4694" s="28" t="s">
        <v>0</v>
      </c>
      <c r="D4694" s="28" t="s">
        <v>1762</v>
      </c>
      <c r="E4694" s="28" t="s">
        <v>50</v>
      </c>
      <c r="F4694" s="28">
        <v>22</v>
      </c>
      <c r="G4694" s="28" t="s">
        <v>1535</v>
      </c>
      <c r="H4694" s="28">
        <v>0</v>
      </c>
      <c r="J4694" s="92"/>
    </row>
    <row r="4695" spans="1:10" ht="15.75" customHeight="1">
      <c r="A4695" s="28">
        <v>21076</v>
      </c>
      <c r="B4695" s="91">
        <v>45229.962638888886</v>
      </c>
      <c r="C4695" s="28" t="s">
        <v>0</v>
      </c>
      <c r="D4695" s="28" t="s">
        <v>1761</v>
      </c>
      <c r="E4695" s="28" t="s">
        <v>92</v>
      </c>
      <c r="F4695" s="28">
        <v>15</v>
      </c>
      <c r="G4695" s="28" t="s">
        <v>1453</v>
      </c>
      <c r="H4695" s="28">
        <v>0</v>
      </c>
      <c r="J4695" s="92"/>
    </row>
    <row r="4696" spans="1:10" ht="15.75" customHeight="1">
      <c r="A4696" s="28">
        <v>21077</v>
      </c>
      <c r="B4696" s="91">
        <v>45229.970381944448</v>
      </c>
      <c r="C4696" s="28" t="s">
        <v>0</v>
      </c>
      <c r="D4696" s="28" t="s">
        <v>1146</v>
      </c>
      <c r="E4696" s="28" t="s">
        <v>50</v>
      </c>
      <c r="F4696" s="28">
        <v>15</v>
      </c>
      <c r="G4696" s="28" t="s">
        <v>1467</v>
      </c>
      <c r="H4696" s="28">
        <v>0</v>
      </c>
      <c r="J4696" s="92"/>
    </row>
    <row r="4697" spans="1:10" ht="15.75" customHeight="1">
      <c r="A4697" s="28">
        <v>21077</v>
      </c>
      <c r="B4697" s="91">
        <v>45229.970381944448</v>
      </c>
      <c r="C4697" s="28" t="s">
        <v>0</v>
      </c>
      <c r="D4697" s="28" t="s">
        <v>1146</v>
      </c>
      <c r="E4697" s="28" t="s">
        <v>50</v>
      </c>
      <c r="F4697" s="28">
        <v>15</v>
      </c>
      <c r="G4697" s="28" t="s">
        <v>1453</v>
      </c>
      <c r="H4697" s="28">
        <v>0</v>
      </c>
      <c r="J4697" s="92"/>
    </row>
    <row r="4698" spans="1:10" ht="15.75" customHeight="1">
      <c r="A4698" s="28">
        <v>21078</v>
      </c>
      <c r="B4698" s="91">
        <v>45229.978738425925</v>
      </c>
      <c r="C4698" s="28" t="s">
        <v>0</v>
      </c>
      <c r="D4698" s="28" t="s">
        <v>1763</v>
      </c>
      <c r="E4698" s="28" t="s">
        <v>50</v>
      </c>
      <c r="F4698" s="28">
        <v>35</v>
      </c>
      <c r="G4698" s="28" t="s">
        <v>1443</v>
      </c>
      <c r="H4698" s="28">
        <v>0</v>
      </c>
      <c r="J4698" s="92"/>
    </row>
    <row r="4699" spans="1:10" ht="15.75" customHeight="1">
      <c r="A4699" s="28">
        <v>21079</v>
      </c>
      <c r="B4699" s="91">
        <v>45229.980995370373</v>
      </c>
      <c r="C4699" s="28" t="s">
        <v>18</v>
      </c>
      <c r="D4699" s="28" t="s">
        <v>1764</v>
      </c>
      <c r="E4699" s="28" t="s">
        <v>50</v>
      </c>
      <c r="F4699" s="28">
        <v>35</v>
      </c>
      <c r="G4699" s="28" t="s">
        <v>1443</v>
      </c>
      <c r="H4699" s="28">
        <v>0</v>
      </c>
      <c r="J4699" s="92"/>
    </row>
    <row r="4700" spans="1:10" ht="15.75" customHeight="1">
      <c r="A4700" s="28">
        <v>21080</v>
      </c>
      <c r="B4700" s="91">
        <v>45230.010057870371</v>
      </c>
      <c r="C4700" s="28" t="s">
        <v>0</v>
      </c>
      <c r="D4700" s="28" t="s">
        <v>1765</v>
      </c>
      <c r="E4700" s="28" t="s">
        <v>50</v>
      </c>
      <c r="F4700" s="28">
        <v>25</v>
      </c>
      <c r="G4700" s="28" t="s">
        <v>141</v>
      </c>
      <c r="H4700" s="28">
        <v>0</v>
      </c>
      <c r="J4700" s="92"/>
    </row>
    <row r="4701" spans="1:10" ht="15.75" customHeight="1">
      <c r="A4701" s="28">
        <v>21081</v>
      </c>
      <c r="B4701" s="91">
        <v>45230.016180555554</v>
      </c>
      <c r="C4701" s="28" t="s">
        <v>0</v>
      </c>
      <c r="D4701" s="28" t="s">
        <v>1766</v>
      </c>
      <c r="E4701" s="28" t="s">
        <v>50</v>
      </c>
      <c r="F4701" s="28">
        <v>28</v>
      </c>
      <c r="G4701" s="28" t="s">
        <v>1448</v>
      </c>
      <c r="H4701" s="28">
        <v>0</v>
      </c>
      <c r="J4701" s="92"/>
    </row>
    <row r="4702" spans="1:10" ht="15.75" customHeight="1">
      <c r="A4702" s="28">
        <v>21081</v>
      </c>
      <c r="B4702" s="91">
        <v>45230.016180555554</v>
      </c>
      <c r="C4702" s="28" t="s">
        <v>0</v>
      </c>
      <c r="D4702" s="28" t="s">
        <v>1766</v>
      </c>
      <c r="E4702" s="28" t="s">
        <v>50</v>
      </c>
      <c r="F4702" s="28">
        <v>26</v>
      </c>
      <c r="G4702" s="28" t="s">
        <v>1455</v>
      </c>
      <c r="H4702" s="28">
        <v>0</v>
      </c>
      <c r="J4702" s="92"/>
    </row>
    <row r="4703" spans="1:10" ht="15.75" customHeight="1">
      <c r="A4703" s="28">
        <v>21081</v>
      </c>
      <c r="B4703" s="91">
        <v>45230.016180555554</v>
      </c>
      <c r="C4703" s="28" t="s">
        <v>0</v>
      </c>
      <c r="D4703" s="28" t="s">
        <v>1766</v>
      </c>
      <c r="E4703" s="28" t="s">
        <v>50</v>
      </c>
      <c r="F4703" s="28">
        <v>0</v>
      </c>
      <c r="G4703" s="28" t="s">
        <v>141</v>
      </c>
      <c r="H4703" s="28">
        <v>0</v>
      </c>
      <c r="J4703" s="92"/>
    </row>
    <row r="4704" spans="1:10" ht="15.75" customHeight="1">
      <c r="A4704" s="28">
        <v>21085</v>
      </c>
      <c r="B4704" s="91">
        <v>45230.448935185188</v>
      </c>
      <c r="C4704" s="28" t="s">
        <v>18</v>
      </c>
      <c r="D4704" s="28" t="s">
        <v>1767</v>
      </c>
      <c r="E4704" s="28" t="s">
        <v>92</v>
      </c>
      <c r="F4704" s="28">
        <v>25</v>
      </c>
      <c r="G4704" s="28" t="s">
        <v>1446</v>
      </c>
      <c r="H4704" s="28">
        <v>0</v>
      </c>
      <c r="J4704" s="92"/>
    </row>
    <row r="4705" spans="1:10" ht="15.75" customHeight="1">
      <c r="A4705" s="28">
        <v>21086</v>
      </c>
      <c r="B4705" s="91">
        <v>45230.453206018516</v>
      </c>
      <c r="C4705" s="28" t="s">
        <v>0</v>
      </c>
      <c r="D4705" s="28" t="s">
        <v>1136</v>
      </c>
      <c r="E4705" s="28" t="s">
        <v>50</v>
      </c>
      <c r="F4705" s="28">
        <v>35</v>
      </c>
      <c r="G4705" s="28" t="s">
        <v>1443</v>
      </c>
      <c r="H4705" s="28">
        <v>0</v>
      </c>
      <c r="J4705" s="92"/>
    </row>
    <row r="4706" spans="1:10" ht="15.75" customHeight="1">
      <c r="A4706" s="28">
        <v>21087</v>
      </c>
      <c r="B4706" s="91">
        <v>45230.551006944443</v>
      </c>
      <c r="C4706" s="28" t="s">
        <v>0</v>
      </c>
      <c r="D4706" s="28" t="s">
        <v>1768</v>
      </c>
      <c r="E4706" s="28" t="s">
        <v>50</v>
      </c>
      <c r="F4706" s="28">
        <v>35</v>
      </c>
      <c r="G4706" s="28" t="s">
        <v>1443</v>
      </c>
      <c r="H4706" s="28">
        <v>0</v>
      </c>
      <c r="J4706" s="92"/>
    </row>
    <row r="4707" spans="1:10" ht="15.75" customHeight="1">
      <c r="A4707" s="28">
        <v>21087</v>
      </c>
      <c r="B4707" s="91">
        <v>45230.551006944443</v>
      </c>
      <c r="C4707" s="28" t="s">
        <v>0</v>
      </c>
      <c r="D4707" s="28" t="s">
        <v>1768</v>
      </c>
      <c r="E4707" s="28" t="s">
        <v>50</v>
      </c>
      <c r="F4707" s="28">
        <v>26</v>
      </c>
      <c r="G4707" s="28" t="s">
        <v>1455</v>
      </c>
      <c r="H4707" s="28">
        <v>0</v>
      </c>
      <c r="J4707" s="92"/>
    </row>
    <row r="4708" spans="1:10" ht="15.75" customHeight="1">
      <c r="A4708" s="28">
        <v>21088</v>
      </c>
      <c r="B4708" s="91">
        <v>45230.620474537034</v>
      </c>
      <c r="C4708" s="28" t="s">
        <v>0</v>
      </c>
      <c r="D4708" s="28" t="s">
        <v>1245</v>
      </c>
      <c r="E4708" s="28" t="s">
        <v>50</v>
      </c>
      <c r="F4708" s="28">
        <v>25</v>
      </c>
      <c r="G4708" s="28" t="s">
        <v>1446</v>
      </c>
      <c r="H4708" s="28">
        <v>0</v>
      </c>
      <c r="J4708" s="92"/>
    </row>
    <row r="4709" spans="1:10" ht="15.75" customHeight="1">
      <c r="A4709" s="28">
        <v>21089</v>
      </c>
      <c r="B4709" s="91">
        <v>45230.652048611111</v>
      </c>
      <c r="C4709" s="28" t="s">
        <v>0</v>
      </c>
      <c r="D4709" s="28" t="s">
        <v>1224</v>
      </c>
      <c r="E4709" s="28" t="s">
        <v>50</v>
      </c>
      <c r="F4709" s="28">
        <v>0</v>
      </c>
      <c r="G4709" s="28" t="s">
        <v>141</v>
      </c>
      <c r="H4709" s="28">
        <v>0</v>
      </c>
      <c r="J4709" s="92"/>
    </row>
    <row r="4710" spans="1:10" ht="15.75" customHeight="1">
      <c r="A4710" s="28">
        <v>21089</v>
      </c>
      <c r="B4710" s="91">
        <v>45230.652048611111</v>
      </c>
      <c r="C4710" s="28" t="s">
        <v>0</v>
      </c>
      <c r="D4710" s="28" t="s">
        <v>1224</v>
      </c>
      <c r="E4710" s="28" t="s">
        <v>50</v>
      </c>
      <c r="F4710" s="28">
        <v>35</v>
      </c>
      <c r="G4710" s="28" t="s">
        <v>1443</v>
      </c>
      <c r="H4710" s="28">
        <v>0</v>
      </c>
      <c r="J4710" s="92"/>
    </row>
    <row r="4711" spans="1:10" ht="15.75" customHeight="1">
      <c r="A4711" s="28">
        <v>21089</v>
      </c>
      <c r="B4711" s="91">
        <v>45230.652048611111</v>
      </c>
      <c r="C4711" s="28" t="s">
        <v>0</v>
      </c>
      <c r="D4711" s="28" t="s">
        <v>1224</v>
      </c>
      <c r="E4711" s="28" t="s">
        <v>50</v>
      </c>
      <c r="F4711" s="28">
        <v>26</v>
      </c>
      <c r="G4711" s="28" t="s">
        <v>1455</v>
      </c>
      <c r="H4711" s="28">
        <v>0</v>
      </c>
      <c r="J4711" s="92"/>
    </row>
    <row r="4712" spans="1:10" ht="15.75" customHeight="1">
      <c r="A4712" s="28">
        <v>21090</v>
      </c>
      <c r="B4712" s="91">
        <v>45230.681875000002</v>
      </c>
      <c r="C4712" s="28" t="s">
        <v>0</v>
      </c>
      <c r="D4712" s="28" t="s">
        <v>1769</v>
      </c>
      <c r="E4712" s="28" t="s">
        <v>75</v>
      </c>
      <c r="F4712" s="28">
        <v>25</v>
      </c>
      <c r="G4712" s="28" t="s">
        <v>1446</v>
      </c>
      <c r="H4712" s="28">
        <v>0</v>
      </c>
      <c r="J4712" s="92"/>
    </row>
    <row r="4713" spans="1:10" ht="15.75" customHeight="1">
      <c r="A4713" s="28">
        <v>21091</v>
      </c>
      <c r="B4713" s="91">
        <v>45230.705046296294</v>
      </c>
      <c r="C4713" s="28" t="s">
        <v>0</v>
      </c>
      <c r="D4713" s="28" t="s">
        <v>1770</v>
      </c>
      <c r="E4713" s="28" t="s">
        <v>92</v>
      </c>
      <c r="F4713" s="28">
        <v>55</v>
      </c>
      <c r="G4713" s="28" t="s">
        <v>1457</v>
      </c>
      <c r="H4713" s="28">
        <v>0</v>
      </c>
      <c r="J4713" s="92"/>
    </row>
    <row r="4714" spans="1:10" ht="15.75" customHeight="1">
      <c r="A4714" s="28">
        <v>21091</v>
      </c>
      <c r="B4714" s="91">
        <v>45230.705046296294</v>
      </c>
      <c r="C4714" s="28" t="s">
        <v>0</v>
      </c>
      <c r="D4714" s="28" t="s">
        <v>1770</v>
      </c>
      <c r="E4714" s="28" t="s">
        <v>92</v>
      </c>
      <c r="F4714" s="28">
        <v>25</v>
      </c>
      <c r="G4714" s="28" t="s">
        <v>141</v>
      </c>
      <c r="H4714" s="28">
        <v>0</v>
      </c>
      <c r="J4714" s="92"/>
    </row>
    <row r="4715" spans="1:10" ht="15.75" customHeight="1">
      <c r="A4715" s="28">
        <v>21091</v>
      </c>
      <c r="B4715" s="91">
        <v>45230.705046296294</v>
      </c>
      <c r="C4715" s="28" t="s">
        <v>0</v>
      </c>
      <c r="D4715" s="28" t="s">
        <v>1770</v>
      </c>
      <c r="E4715" s="28" t="s">
        <v>92</v>
      </c>
      <c r="F4715" s="28">
        <v>24</v>
      </c>
      <c r="G4715" s="28"/>
      <c r="H4715" s="28">
        <v>0</v>
      </c>
      <c r="J4715" s="92"/>
    </row>
    <row r="4716" spans="1:10" ht="15.75" customHeight="1">
      <c r="A4716" s="28">
        <v>21091</v>
      </c>
      <c r="B4716" s="91">
        <v>45230.705046296294</v>
      </c>
      <c r="C4716" s="28" t="s">
        <v>0</v>
      </c>
      <c r="D4716" s="28" t="s">
        <v>1770</v>
      </c>
      <c r="E4716" s="28" t="s">
        <v>92</v>
      </c>
      <c r="F4716" s="28">
        <v>26</v>
      </c>
      <c r="G4716" s="28" t="s">
        <v>1455</v>
      </c>
      <c r="H4716" s="28">
        <v>0</v>
      </c>
      <c r="J4716" s="92"/>
    </row>
    <row r="4717" spans="1:10" ht="15.75" customHeight="1">
      <c r="A4717" s="28">
        <v>21092</v>
      </c>
      <c r="B4717" s="91">
        <v>45230.772430555553</v>
      </c>
      <c r="C4717" s="28" t="s">
        <v>0</v>
      </c>
      <c r="D4717" s="28" t="s">
        <v>1771</v>
      </c>
      <c r="E4717" s="28" t="s">
        <v>92</v>
      </c>
      <c r="F4717" s="28">
        <v>22</v>
      </c>
      <c r="G4717" s="28" t="s">
        <v>1459</v>
      </c>
      <c r="H4717" s="28">
        <v>0</v>
      </c>
      <c r="J4717" s="92"/>
    </row>
    <row r="4718" spans="1:10" ht="15.75" customHeight="1">
      <c r="A4718" s="28">
        <v>21092</v>
      </c>
      <c r="B4718" s="91">
        <v>45230.772430555553</v>
      </c>
      <c r="C4718" s="28" t="s">
        <v>0</v>
      </c>
      <c r="D4718" s="28" t="s">
        <v>1771</v>
      </c>
      <c r="E4718" s="28" t="s">
        <v>92</v>
      </c>
      <c r="F4718" s="28">
        <v>26</v>
      </c>
      <c r="G4718" s="28" t="s">
        <v>1455</v>
      </c>
      <c r="H4718" s="28">
        <v>0</v>
      </c>
      <c r="J4718" s="92"/>
    </row>
    <row r="4719" spans="1:10" ht="15.75" customHeight="1">
      <c r="A4719" s="28">
        <v>21100</v>
      </c>
      <c r="B4719" s="91">
        <v>45230.948252314818</v>
      </c>
      <c r="C4719" s="28" t="s">
        <v>0</v>
      </c>
      <c r="D4719" s="28" t="s">
        <v>1772</v>
      </c>
      <c r="E4719" s="28" t="s">
        <v>92</v>
      </c>
      <c r="F4719" s="28">
        <v>15</v>
      </c>
      <c r="G4719" s="28" t="s">
        <v>1453</v>
      </c>
      <c r="H4719" s="28">
        <v>0</v>
      </c>
      <c r="J4719" s="92"/>
    </row>
    <row r="4720" spans="1:10" ht="15.75" customHeight="1">
      <c r="A4720" s="28">
        <v>21101</v>
      </c>
      <c r="B4720" s="91">
        <v>45230.98133101852</v>
      </c>
      <c r="C4720" s="28" t="s">
        <v>0</v>
      </c>
      <c r="D4720" s="28" t="s">
        <v>1773</v>
      </c>
      <c r="E4720" s="28" t="s">
        <v>92</v>
      </c>
      <c r="F4720" s="28">
        <v>25</v>
      </c>
      <c r="G4720" s="28" t="s">
        <v>141</v>
      </c>
      <c r="H4720" s="28">
        <v>0</v>
      </c>
      <c r="J4720" s="92"/>
    </row>
    <row r="4721" spans="1:10" ht="15.75" customHeight="1">
      <c r="A4721" s="28">
        <v>21102</v>
      </c>
      <c r="B4721" s="91">
        <v>45231.058437500003</v>
      </c>
      <c r="C4721" s="28" t="s">
        <v>0</v>
      </c>
      <c r="D4721" s="28" t="s">
        <v>1774</v>
      </c>
      <c r="E4721" s="28" t="s">
        <v>50</v>
      </c>
      <c r="F4721" s="28">
        <v>25</v>
      </c>
      <c r="G4721" s="28" t="s">
        <v>141</v>
      </c>
      <c r="H4721" s="28">
        <v>0</v>
      </c>
      <c r="J4721" s="92"/>
    </row>
    <row r="4722" spans="1:10" ht="15.75" customHeight="1">
      <c r="A4722" s="28">
        <v>21104</v>
      </c>
      <c r="B4722" s="91">
        <v>45231.609201388892</v>
      </c>
      <c r="C4722" s="28" t="s">
        <v>0</v>
      </c>
      <c r="D4722" s="28" t="s">
        <v>1775</v>
      </c>
      <c r="E4722" s="28" t="s">
        <v>75</v>
      </c>
      <c r="F4722" s="28">
        <v>35</v>
      </c>
      <c r="G4722" s="28" t="s">
        <v>1443</v>
      </c>
      <c r="H4722" s="28">
        <v>0</v>
      </c>
      <c r="J4722" s="92"/>
    </row>
    <row r="4723" spans="1:10" ht="15.75" customHeight="1">
      <c r="A4723" s="28">
        <v>21104</v>
      </c>
      <c r="B4723" s="91">
        <v>45231.609201388892</v>
      </c>
      <c r="C4723" s="28" t="s">
        <v>0</v>
      </c>
      <c r="D4723" s="28" t="s">
        <v>1775</v>
      </c>
      <c r="E4723" s="28" t="s">
        <v>75</v>
      </c>
      <c r="F4723" s="28">
        <v>0</v>
      </c>
      <c r="G4723" s="28" t="s">
        <v>141</v>
      </c>
      <c r="H4723" s="28">
        <v>0</v>
      </c>
      <c r="J4723" s="92"/>
    </row>
    <row r="4724" spans="1:10" ht="15.75" customHeight="1">
      <c r="A4724" s="28">
        <v>21105</v>
      </c>
      <c r="B4724" s="91">
        <v>45231.661631944444</v>
      </c>
      <c r="C4724" s="28" t="s">
        <v>0</v>
      </c>
      <c r="D4724" s="28" t="s">
        <v>1776</v>
      </c>
      <c r="E4724" s="28" t="s">
        <v>50</v>
      </c>
      <c r="F4724" s="28">
        <v>35</v>
      </c>
      <c r="G4724" s="28" t="s">
        <v>1443</v>
      </c>
      <c r="H4724" s="28">
        <v>0</v>
      </c>
      <c r="J4724" s="92"/>
    </row>
    <row r="4725" spans="1:10" ht="15.75" customHeight="1">
      <c r="A4725" s="28">
        <v>21106</v>
      </c>
      <c r="B4725" s="91">
        <v>45231.706365740742</v>
      </c>
      <c r="C4725" s="28" t="s">
        <v>0</v>
      </c>
      <c r="D4725" s="28" t="s">
        <v>1777</v>
      </c>
      <c r="E4725" s="28" t="s">
        <v>50</v>
      </c>
      <c r="F4725" s="28">
        <v>55</v>
      </c>
      <c r="G4725" s="28" t="s">
        <v>1457</v>
      </c>
      <c r="H4725" s="28">
        <v>0</v>
      </c>
      <c r="J4725" s="92"/>
    </row>
    <row r="4726" spans="1:10" ht="15.75" customHeight="1">
      <c r="A4726" s="28">
        <v>21107</v>
      </c>
      <c r="B4726" s="91">
        <v>45231.91747685185</v>
      </c>
      <c r="C4726" s="28" t="s">
        <v>0</v>
      </c>
      <c r="D4726" s="28" t="s">
        <v>1778</v>
      </c>
      <c r="E4726" s="28" t="s">
        <v>92</v>
      </c>
      <c r="F4726" s="28">
        <v>26</v>
      </c>
      <c r="G4726" s="28" t="s">
        <v>1455</v>
      </c>
      <c r="H4726" s="28">
        <v>0</v>
      </c>
      <c r="J4726" s="92"/>
    </row>
    <row r="4727" spans="1:10" ht="15.75" customHeight="1">
      <c r="A4727" s="28">
        <v>21108</v>
      </c>
      <c r="B4727" s="91">
        <v>45231.925891203704</v>
      </c>
      <c r="C4727" s="28" t="s">
        <v>18</v>
      </c>
      <c r="D4727" s="28" t="s">
        <v>1779</v>
      </c>
      <c r="E4727" s="28" t="s">
        <v>92</v>
      </c>
      <c r="F4727" s="28">
        <v>25</v>
      </c>
      <c r="G4727" s="28" t="s">
        <v>141</v>
      </c>
      <c r="H4727" s="28">
        <v>0</v>
      </c>
      <c r="J4727" s="92"/>
    </row>
    <row r="4728" spans="1:10" ht="15.75" customHeight="1">
      <c r="A4728" s="28">
        <v>21109</v>
      </c>
      <c r="B4728" s="91">
        <v>45231.930949074071</v>
      </c>
      <c r="C4728" s="28" t="s">
        <v>0</v>
      </c>
      <c r="D4728" s="28" t="s">
        <v>1780</v>
      </c>
      <c r="E4728" s="28" t="s">
        <v>92</v>
      </c>
      <c r="F4728" s="28">
        <v>25</v>
      </c>
      <c r="G4728" s="28" t="s">
        <v>141</v>
      </c>
      <c r="H4728" s="28">
        <v>0</v>
      </c>
      <c r="J4728" s="92"/>
    </row>
    <row r="4729" spans="1:10" ht="15.75" customHeight="1">
      <c r="A4729" s="28">
        <v>21110</v>
      </c>
      <c r="B4729" s="91">
        <v>45232.874351851853</v>
      </c>
      <c r="C4729" s="28" t="s">
        <v>0</v>
      </c>
      <c r="D4729" s="28" t="s">
        <v>1781</v>
      </c>
      <c r="E4729" s="28" t="s">
        <v>50</v>
      </c>
      <c r="F4729" s="28">
        <v>25</v>
      </c>
      <c r="G4729" s="28" t="s">
        <v>1446</v>
      </c>
      <c r="H4729" s="28">
        <v>0</v>
      </c>
      <c r="J4729" s="92"/>
    </row>
    <row r="4730" spans="1:10" ht="15.75" customHeight="1">
      <c r="A4730" s="28">
        <v>21111</v>
      </c>
      <c r="B4730" s="91">
        <v>45232.968240740738</v>
      </c>
      <c r="C4730" s="28" t="s">
        <v>51</v>
      </c>
      <c r="D4730" s="28" t="s">
        <v>1782</v>
      </c>
      <c r="E4730" s="28" t="s">
        <v>92</v>
      </c>
      <c r="F4730" s="28">
        <v>28</v>
      </c>
      <c r="G4730" s="28" t="s">
        <v>1448</v>
      </c>
      <c r="H4730" s="28">
        <v>0</v>
      </c>
      <c r="J4730" s="92"/>
    </row>
    <row r="4731" spans="1:10" ht="15.75" customHeight="1">
      <c r="A4731" s="28">
        <v>21112</v>
      </c>
      <c r="B4731" s="91">
        <v>45232.997673611113</v>
      </c>
      <c r="C4731" s="28" t="s">
        <v>0</v>
      </c>
      <c r="D4731" s="28" t="s">
        <v>1177</v>
      </c>
      <c r="E4731" s="28" t="s">
        <v>50</v>
      </c>
      <c r="F4731" s="28">
        <v>22</v>
      </c>
      <c r="G4731" s="28" t="s">
        <v>1459</v>
      </c>
      <c r="H4731" s="28">
        <v>0</v>
      </c>
      <c r="J4731" s="92"/>
    </row>
    <row r="4732" spans="1:10" ht="15.75" customHeight="1">
      <c r="A4732" s="28">
        <v>21113</v>
      </c>
      <c r="B4732" s="91">
        <v>45233.046747685185</v>
      </c>
      <c r="C4732" s="28" t="s">
        <v>18</v>
      </c>
      <c r="D4732" s="28" t="s">
        <v>1783</v>
      </c>
      <c r="E4732" s="28" t="s">
        <v>92</v>
      </c>
      <c r="F4732" s="28">
        <v>22</v>
      </c>
      <c r="G4732" s="28" t="s">
        <v>1535</v>
      </c>
      <c r="H4732" s="28">
        <v>0</v>
      </c>
      <c r="J4732" s="92"/>
    </row>
    <row r="4733" spans="1:10" ht="15.75" customHeight="1">
      <c r="A4733" s="28">
        <v>21114</v>
      </c>
      <c r="B4733" s="91">
        <v>45233.608078703706</v>
      </c>
      <c r="C4733" s="28" t="s">
        <v>0</v>
      </c>
      <c r="D4733" s="28" t="s">
        <v>1784</v>
      </c>
      <c r="E4733" s="28" t="s">
        <v>92</v>
      </c>
      <c r="F4733" s="28">
        <v>22</v>
      </c>
      <c r="G4733" s="28" t="s">
        <v>1535</v>
      </c>
      <c r="H4733" s="28">
        <v>0</v>
      </c>
      <c r="J4733" s="92"/>
    </row>
    <row r="4734" spans="1:10" ht="15.75" customHeight="1">
      <c r="A4734" s="28">
        <v>21114</v>
      </c>
      <c r="B4734" s="91">
        <v>45233.608078703706</v>
      </c>
      <c r="C4734" s="28" t="s">
        <v>0</v>
      </c>
      <c r="D4734" s="28" t="s">
        <v>1784</v>
      </c>
      <c r="E4734" s="28" t="s">
        <v>92</v>
      </c>
      <c r="F4734" s="28">
        <v>26</v>
      </c>
      <c r="G4734" s="28" t="s">
        <v>1455</v>
      </c>
      <c r="H4734" s="28">
        <v>0</v>
      </c>
      <c r="J4734" s="92"/>
    </row>
    <row r="4735" spans="1:10" ht="15.75" customHeight="1">
      <c r="A4735" s="28">
        <v>21115</v>
      </c>
      <c r="B4735" s="91">
        <v>45233.680706018517</v>
      </c>
      <c r="C4735" s="28" t="s">
        <v>0</v>
      </c>
      <c r="D4735" s="28" t="s">
        <v>1785</v>
      </c>
      <c r="E4735" s="28" t="s">
        <v>92</v>
      </c>
      <c r="F4735" s="28">
        <v>15</v>
      </c>
      <c r="G4735" s="28" t="s">
        <v>1453</v>
      </c>
      <c r="H4735" s="28">
        <v>0</v>
      </c>
      <c r="J4735" s="92"/>
    </row>
    <row r="4736" spans="1:10" ht="15.75" customHeight="1">
      <c r="A4736" s="28">
        <v>21116</v>
      </c>
      <c r="B4736" s="91">
        <v>45233.687523148146</v>
      </c>
      <c r="C4736" s="28" t="s">
        <v>0</v>
      </c>
      <c r="D4736" s="28" t="s">
        <v>1786</v>
      </c>
      <c r="E4736" s="28" t="s">
        <v>91</v>
      </c>
      <c r="F4736" s="28">
        <v>15</v>
      </c>
      <c r="G4736" s="28" t="s">
        <v>1453</v>
      </c>
      <c r="H4736" s="28">
        <v>0</v>
      </c>
      <c r="J4736" s="92"/>
    </row>
    <row r="4737" spans="1:10" ht="15.75" customHeight="1">
      <c r="A4737" s="28">
        <v>21117</v>
      </c>
      <c r="B4737" s="91">
        <v>45233.934791666667</v>
      </c>
      <c r="C4737" s="28" t="s">
        <v>0</v>
      </c>
      <c r="D4737" s="28" t="s">
        <v>1787</v>
      </c>
      <c r="E4737" s="28" t="s">
        <v>92</v>
      </c>
      <c r="F4737" s="28">
        <v>35</v>
      </c>
      <c r="G4737" s="28" t="s">
        <v>1443</v>
      </c>
      <c r="H4737" s="28">
        <v>0</v>
      </c>
      <c r="J4737" s="92"/>
    </row>
    <row r="4738" spans="1:10" ht="15.75" customHeight="1">
      <c r="A4738" s="28">
        <v>21118</v>
      </c>
      <c r="B4738" s="91">
        <v>45233.935972222222</v>
      </c>
      <c r="C4738" s="28" t="s">
        <v>0</v>
      </c>
      <c r="D4738" s="28" t="s">
        <v>1788</v>
      </c>
      <c r="E4738" s="28" t="s">
        <v>92</v>
      </c>
      <c r="F4738" s="28">
        <v>35</v>
      </c>
      <c r="G4738" s="28" t="s">
        <v>1443</v>
      </c>
      <c r="H4738" s="28">
        <v>0</v>
      </c>
      <c r="J4738" s="92"/>
    </row>
    <row r="4739" spans="1:10" ht="15.75" customHeight="1">
      <c r="A4739" s="28">
        <v>21119</v>
      </c>
      <c r="B4739" s="91">
        <v>45234.019849537035</v>
      </c>
      <c r="C4739" s="28" t="s">
        <v>0</v>
      </c>
      <c r="D4739" s="28" t="s">
        <v>1789</v>
      </c>
      <c r="E4739" s="28" t="s">
        <v>50</v>
      </c>
      <c r="F4739" s="28">
        <v>22</v>
      </c>
      <c r="G4739" s="28" t="s">
        <v>1535</v>
      </c>
      <c r="H4739" s="28">
        <v>0</v>
      </c>
      <c r="J4739" s="92"/>
    </row>
    <row r="4740" spans="1:10" ht="15.75" customHeight="1">
      <c r="A4740" s="28">
        <v>21120</v>
      </c>
      <c r="B4740" s="91">
        <v>45234.688657407409</v>
      </c>
      <c r="C4740" s="28" t="s">
        <v>0</v>
      </c>
      <c r="D4740" s="28" t="s">
        <v>1790</v>
      </c>
      <c r="E4740" s="28" t="s">
        <v>92</v>
      </c>
      <c r="F4740" s="28">
        <v>25</v>
      </c>
      <c r="G4740" s="28" t="s">
        <v>141</v>
      </c>
      <c r="H4740" s="28">
        <v>0</v>
      </c>
      <c r="J4740" s="92"/>
    </row>
    <row r="4741" spans="1:10" ht="15.75" customHeight="1">
      <c r="A4741" s="28">
        <v>21145</v>
      </c>
      <c r="B4741" s="91">
        <v>45235.0155787037</v>
      </c>
      <c r="C4741" s="28" t="s">
        <v>0</v>
      </c>
      <c r="D4741" s="28" t="s">
        <v>1791</v>
      </c>
      <c r="E4741" s="28" t="s">
        <v>92</v>
      </c>
      <c r="F4741" s="28">
        <v>22</v>
      </c>
      <c r="G4741" s="28" t="s">
        <v>1535</v>
      </c>
      <c r="H4741" s="28">
        <v>0</v>
      </c>
      <c r="J4741" s="92"/>
    </row>
    <row r="4742" spans="1:10" ht="15.75" customHeight="1">
      <c r="A4742" s="28">
        <v>21145</v>
      </c>
      <c r="B4742" s="91">
        <v>45235.0155787037</v>
      </c>
      <c r="C4742" s="28" t="s">
        <v>0</v>
      </c>
      <c r="D4742" s="28" t="s">
        <v>1791</v>
      </c>
      <c r="E4742" s="28" t="s">
        <v>92</v>
      </c>
      <c r="F4742" s="28">
        <v>20</v>
      </c>
      <c r="G4742" s="28" t="s">
        <v>1475</v>
      </c>
      <c r="H4742" s="28">
        <v>0</v>
      </c>
      <c r="J4742" s="92"/>
    </row>
    <row r="4743" spans="1:10" ht="15.75" customHeight="1">
      <c r="A4743" s="28">
        <v>21146</v>
      </c>
      <c r="B4743" s="91">
        <v>45235.030104166668</v>
      </c>
      <c r="C4743" s="28" t="s">
        <v>0</v>
      </c>
      <c r="D4743" s="28" t="s">
        <v>1792</v>
      </c>
      <c r="E4743" s="28" t="s">
        <v>92</v>
      </c>
      <c r="F4743" s="28">
        <v>25</v>
      </c>
      <c r="G4743" s="28" t="s">
        <v>141</v>
      </c>
      <c r="H4743" s="28">
        <v>0</v>
      </c>
      <c r="J4743" s="92"/>
    </row>
    <row r="4744" spans="1:10" ht="15.75" customHeight="1">
      <c r="A4744" s="28">
        <v>21147</v>
      </c>
      <c r="B4744" s="91">
        <v>45235.613159722219</v>
      </c>
      <c r="C4744" s="28" t="s">
        <v>0</v>
      </c>
      <c r="D4744" s="28" t="s">
        <v>1793</v>
      </c>
      <c r="E4744" s="28" t="s">
        <v>75</v>
      </c>
      <c r="F4744" s="28">
        <v>15</v>
      </c>
      <c r="G4744" s="28" t="s">
        <v>1467</v>
      </c>
      <c r="H4744" s="28">
        <v>0</v>
      </c>
      <c r="J4744" s="92"/>
    </row>
    <row r="4745" spans="1:10" ht="15.75" customHeight="1">
      <c r="A4745" s="28">
        <v>21147</v>
      </c>
      <c r="B4745" s="91">
        <v>45235.613159722219</v>
      </c>
      <c r="C4745" s="28" t="s">
        <v>0</v>
      </c>
      <c r="D4745" s="28" t="s">
        <v>1793</v>
      </c>
      <c r="E4745" s="28" t="s">
        <v>75</v>
      </c>
      <c r="F4745" s="28">
        <v>22</v>
      </c>
      <c r="G4745" s="28" t="s">
        <v>1535</v>
      </c>
      <c r="H4745" s="28">
        <v>0</v>
      </c>
      <c r="J4745" s="92"/>
    </row>
    <row r="4746" spans="1:10" ht="15.75" customHeight="1">
      <c r="A4746" s="28">
        <v>21147</v>
      </c>
      <c r="B4746" s="91">
        <v>45235.613159722219</v>
      </c>
      <c r="C4746" s="28" t="s">
        <v>0</v>
      </c>
      <c r="D4746" s="28" t="s">
        <v>1793</v>
      </c>
      <c r="E4746" s="28" t="s">
        <v>75</v>
      </c>
      <c r="F4746" s="28">
        <v>0</v>
      </c>
      <c r="G4746" s="28" t="s">
        <v>141</v>
      </c>
      <c r="H4746" s="28">
        <v>0</v>
      </c>
      <c r="J4746" s="92"/>
    </row>
    <row r="4747" spans="1:10" ht="15.75" customHeight="1">
      <c r="A4747" s="28">
        <v>21149</v>
      </c>
      <c r="B4747" s="91">
        <v>45235.718310185184</v>
      </c>
      <c r="C4747" s="28" t="s">
        <v>0</v>
      </c>
      <c r="D4747" s="28" t="s">
        <v>1293</v>
      </c>
      <c r="E4747" s="28" t="s">
        <v>75</v>
      </c>
      <c r="F4747" s="28">
        <v>25</v>
      </c>
      <c r="G4747" s="28" t="s">
        <v>141</v>
      </c>
      <c r="H4747" s="28">
        <v>0</v>
      </c>
      <c r="J4747" s="92"/>
    </row>
    <row r="4748" spans="1:10" ht="15.75" customHeight="1">
      <c r="A4748" s="28">
        <v>21150</v>
      </c>
      <c r="B4748" s="91">
        <v>45235.84065972222</v>
      </c>
      <c r="C4748" s="28" t="s">
        <v>0</v>
      </c>
      <c r="D4748" s="28" t="s">
        <v>1794</v>
      </c>
      <c r="E4748" s="28" t="s">
        <v>92</v>
      </c>
      <c r="F4748" s="28">
        <v>25</v>
      </c>
      <c r="G4748" s="28" t="s">
        <v>141</v>
      </c>
      <c r="H4748" s="28">
        <v>0</v>
      </c>
      <c r="J4748" s="92"/>
    </row>
    <row r="4749" spans="1:10" ht="15.75" customHeight="1">
      <c r="A4749" s="28">
        <v>21151</v>
      </c>
      <c r="B4749" s="91">
        <v>45235.843124999999</v>
      </c>
      <c r="C4749" s="28" t="s">
        <v>0</v>
      </c>
      <c r="D4749" s="28" t="s">
        <v>1794</v>
      </c>
      <c r="E4749" s="28" t="s">
        <v>92</v>
      </c>
      <c r="F4749" s="28">
        <v>25</v>
      </c>
      <c r="G4749" s="28" t="s">
        <v>141</v>
      </c>
      <c r="H4749" s="28">
        <v>0</v>
      </c>
      <c r="J4749" s="92"/>
    </row>
    <row r="4750" spans="1:10" ht="15.75" customHeight="1">
      <c r="A4750" s="28">
        <v>21152</v>
      </c>
      <c r="B4750" s="91">
        <v>45235.88958333333</v>
      </c>
      <c r="C4750" s="28" t="s">
        <v>51</v>
      </c>
      <c r="D4750" s="28" t="s">
        <v>1795</v>
      </c>
      <c r="E4750" s="28" t="s">
        <v>92</v>
      </c>
      <c r="F4750" s="28">
        <v>26</v>
      </c>
      <c r="G4750" s="28" t="s">
        <v>1455</v>
      </c>
      <c r="H4750" s="28">
        <v>0</v>
      </c>
      <c r="J4750" s="92"/>
    </row>
    <row r="4751" spans="1:10" ht="15.75" customHeight="1">
      <c r="A4751" s="28">
        <v>21153</v>
      </c>
      <c r="B4751" s="91">
        <v>45235.909826388888</v>
      </c>
      <c r="C4751" s="28" t="s">
        <v>0</v>
      </c>
      <c r="D4751" s="28" t="s">
        <v>1796</v>
      </c>
      <c r="E4751" s="28" t="s">
        <v>50</v>
      </c>
      <c r="F4751" s="28">
        <v>25</v>
      </c>
      <c r="G4751" s="28" t="s">
        <v>141</v>
      </c>
      <c r="H4751" s="28">
        <v>0</v>
      </c>
      <c r="J4751" s="92"/>
    </row>
    <row r="4752" spans="1:10" ht="15.75" customHeight="1">
      <c r="A4752" s="28">
        <v>21154</v>
      </c>
      <c r="B4752" s="91">
        <v>45235.965648148151</v>
      </c>
      <c r="C4752" s="28" t="s">
        <v>0</v>
      </c>
      <c r="D4752" s="28" t="s">
        <v>1100</v>
      </c>
      <c r="E4752" s="28" t="s">
        <v>50</v>
      </c>
      <c r="F4752" s="28">
        <v>26</v>
      </c>
      <c r="G4752" s="28" t="s">
        <v>1455</v>
      </c>
      <c r="H4752" s="28">
        <v>0</v>
      </c>
      <c r="J4752" s="92"/>
    </row>
    <row r="4753" spans="1:10" ht="15.75" customHeight="1">
      <c r="A4753" s="28">
        <v>21155</v>
      </c>
      <c r="B4753" s="91">
        <v>45236.032407407409</v>
      </c>
      <c r="C4753" s="28" t="s">
        <v>18</v>
      </c>
      <c r="D4753" s="28" t="s">
        <v>1797</v>
      </c>
      <c r="E4753" s="28" t="s">
        <v>50</v>
      </c>
      <c r="F4753" s="28">
        <v>26</v>
      </c>
      <c r="G4753" s="28" t="s">
        <v>1455</v>
      </c>
      <c r="H4753" s="28">
        <v>0</v>
      </c>
      <c r="J4753" s="92"/>
    </row>
    <row r="4754" spans="1:10" ht="15.75" customHeight="1">
      <c r="A4754" s="28">
        <v>21155</v>
      </c>
      <c r="B4754" s="91">
        <v>45236.032407407409</v>
      </c>
      <c r="C4754" s="28" t="s">
        <v>18</v>
      </c>
      <c r="D4754" s="28" t="s">
        <v>1797</v>
      </c>
      <c r="E4754" s="28" t="s">
        <v>50</v>
      </c>
      <c r="F4754" s="28">
        <v>15</v>
      </c>
      <c r="G4754" s="28" t="s">
        <v>1467</v>
      </c>
      <c r="H4754" s="28">
        <v>0</v>
      </c>
      <c r="J4754" s="92"/>
    </row>
    <row r="4755" spans="1:10" ht="15.75" customHeight="1">
      <c r="A4755" s="28">
        <v>21156</v>
      </c>
      <c r="B4755" s="91">
        <v>45236.077511574076</v>
      </c>
      <c r="C4755" s="28" t="s">
        <v>0</v>
      </c>
      <c r="D4755" s="28" t="s">
        <v>1798</v>
      </c>
      <c r="E4755" s="28" t="s">
        <v>50</v>
      </c>
      <c r="F4755" s="28">
        <v>35</v>
      </c>
      <c r="G4755" s="28" t="s">
        <v>1443</v>
      </c>
      <c r="H4755" s="28">
        <v>0</v>
      </c>
      <c r="J4755" s="92"/>
    </row>
    <row r="4756" spans="1:10" ht="15.75" customHeight="1">
      <c r="A4756" s="28">
        <v>21156</v>
      </c>
      <c r="B4756" s="91">
        <v>45236.077511574076</v>
      </c>
      <c r="C4756" s="28" t="s">
        <v>0</v>
      </c>
      <c r="D4756" s="28" t="s">
        <v>1798</v>
      </c>
      <c r="E4756" s="28" t="s">
        <v>50</v>
      </c>
      <c r="F4756" s="28">
        <v>28</v>
      </c>
      <c r="G4756" s="28" t="s">
        <v>1448</v>
      </c>
      <c r="H4756" s="28">
        <v>0</v>
      </c>
      <c r="J4756" s="92"/>
    </row>
    <row r="4757" spans="1:10" ht="15.75" customHeight="1">
      <c r="A4757" s="28">
        <v>21156</v>
      </c>
      <c r="B4757" s="91">
        <v>45236.077511574076</v>
      </c>
      <c r="C4757" s="28" t="s">
        <v>0</v>
      </c>
      <c r="D4757" s="28" t="s">
        <v>1798</v>
      </c>
      <c r="E4757" s="28" t="s">
        <v>50</v>
      </c>
      <c r="F4757" s="28">
        <v>26</v>
      </c>
      <c r="G4757" s="28" t="s">
        <v>1455</v>
      </c>
      <c r="H4757" s="28">
        <v>0</v>
      </c>
      <c r="J4757" s="92"/>
    </row>
    <row r="4758" spans="1:10" ht="15.75" customHeight="1">
      <c r="A4758" s="28">
        <v>21156</v>
      </c>
      <c r="B4758" s="91">
        <v>45236.077511574076</v>
      </c>
      <c r="C4758" s="28" t="s">
        <v>0</v>
      </c>
      <c r="D4758" s="28" t="s">
        <v>1798</v>
      </c>
      <c r="E4758" s="28" t="s">
        <v>50</v>
      </c>
      <c r="F4758" s="28">
        <v>15</v>
      </c>
      <c r="G4758" s="28" t="s">
        <v>1467</v>
      </c>
      <c r="H4758" s="28">
        <v>0</v>
      </c>
      <c r="J4758" s="92"/>
    </row>
    <row r="4759" spans="1:10" ht="15.75" customHeight="1">
      <c r="A4759" s="28">
        <v>21156</v>
      </c>
      <c r="B4759" s="91">
        <v>45236.077511574076</v>
      </c>
      <c r="C4759" s="28" t="s">
        <v>0</v>
      </c>
      <c r="D4759" s="28" t="s">
        <v>1798</v>
      </c>
      <c r="E4759" s="28" t="s">
        <v>50</v>
      </c>
      <c r="F4759" s="28">
        <v>15</v>
      </c>
      <c r="G4759" s="28" t="s">
        <v>1453</v>
      </c>
      <c r="H4759" s="28">
        <v>0</v>
      </c>
      <c r="J4759" s="92"/>
    </row>
    <row r="4760" spans="1:10" ht="15.75" customHeight="1">
      <c r="A4760" s="28">
        <v>21157</v>
      </c>
      <c r="B4760" s="91">
        <v>45236.575995370367</v>
      </c>
      <c r="C4760" s="28" t="s">
        <v>0</v>
      </c>
      <c r="D4760" s="28" t="s">
        <v>1799</v>
      </c>
      <c r="E4760" s="28" t="s">
        <v>50</v>
      </c>
      <c r="F4760" s="28">
        <v>35</v>
      </c>
      <c r="G4760" s="28" t="s">
        <v>1443</v>
      </c>
      <c r="H4760" s="28">
        <v>0</v>
      </c>
      <c r="J4760" s="92"/>
    </row>
    <row r="4761" spans="1:10" ht="15.75" customHeight="1">
      <c r="A4761" s="28">
        <v>21158</v>
      </c>
      <c r="B4761" s="91">
        <v>45236.622303240743</v>
      </c>
      <c r="C4761" s="28" t="s">
        <v>0</v>
      </c>
      <c r="D4761" s="28" t="s">
        <v>1800</v>
      </c>
      <c r="E4761" s="28" t="s">
        <v>75</v>
      </c>
      <c r="F4761" s="28">
        <v>0</v>
      </c>
      <c r="G4761" s="28" t="s">
        <v>141</v>
      </c>
      <c r="H4761" s="28">
        <v>0</v>
      </c>
      <c r="J4761" s="92"/>
    </row>
    <row r="4762" spans="1:10" ht="15.75" customHeight="1">
      <c r="A4762" s="28">
        <v>21158</v>
      </c>
      <c r="B4762" s="91">
        <v>45236.622303240743</v>
      </c>
      <c r="C4762" s="28" t="s">
        <v>0</v>
      </c>
      <c r="D4762" s="28" t="s">
        <v>1800</v>
      </c>
      <c r="E4762" s="28" t="s">
        <v>75</v>
      </c>
      <c r="F4762" s="28">
        <v>28</v>
      </c>
      <c r="G4762" s="28" t="s">
        <v>1448</v>
      </c>
      <c r="H4762" s="28">
        <v>0</v>
      </c>
      <c r="J4762" s="92"/>
    </row>
    <row r="4763" spans="1:10" ht="15.75" customHeight="1">
      <c r="A4763" s="28">
        <v>21159</v>
      </c>
      <c r="B4763" s="91">
        <v>45236.624189814815</v>
      </c>
      <c r="C4763" s="28" t="s">
        <v>0</v>
      </c>
      <c r="D4763" s="28" t="s">
        <v>1300</v>
      </c>
      <c r="E4763" s="28" t="s">
        <v>75</v>
      </c>
      <c r="F4763" s="28">
        <v>28</v>
      </c>
      <c r="G4763" s="28" t="s">
        <v>1448</v>
      </c>
      <c r="H4763" s="28">
        <v>0</v>
      </c>
      <c r="J4763" s="92"/>
    </row>
    <row r="4764" spans="1:10" ht="15.75" customHeight="1">
      <c r="A4764" s="28">
        <v>21159</v>
      </c>
      <c r="B4764" s="91">
        <v>45236.624189814815</v>
      </c>
      <c r="C4764" s="28" t="s">
        <v>0</v>
      </c>
      <c r="D4764" s="28" t="s">
        <v>1300</v>
      </c>
      <c r="E4764" s="28" t="s">
        <v>75</v>
      </c>
      <c r="F4764" s="28">
        <v>0</v>
      </c>
      <c r="G4764" s="28" t="s">
        <v>141</v>
      </c>
      <c r="H4764" s="28">
        <v>0</v>
      </c>
      <c r="J4764" s="92"/>
    </row>
    <row r="4765" spans="1:10" ht="15.75" customHeight="1">
      <c r="A4765" s="28">
        <v>21160</v>
      </c>
      <c r="B4765" s="91">
        <v>45236.712638888886</v>
      </c>
      <c r="C4765" s="28" t="s">
        <v>0</v>
      </c>
      <c r="D4765" s="28" t="s">
        <v>1801</v>
      </c>
      <c r="E4765" s="28" t="s">
        <v>92</v>
      </c>
      <c r="F4765" s="28">
        <v>22</v>
      </c>
      <c r="G4765" s="28" t="s">
        <v>1535</v>
      </c>
      <c r="H4765" s="28">
        <v>0</v>
      </c>
      <c r="J4765" s="92"/>
    </row>
    <row r="4766" spans="1:10" ht="15.75" customHeight="1">
      <c r="A4766" s="28">
        <v>21161</v>
      </c>
      <c r="B4766" s="91">
        <v>45236.787546296298</v>
      </c>
      <c r="C4766" s="28" t="s">
        <v>0</v>
      </c>
      <c r="D4766" s="28" t="s">
        <v>1802</v>
      </c>
      <c r="E4766" s="28" t="s">
        <v>92</v>
      </c>
      <c r="F4766" s="28">
        <v>26</v>
      </c>
      <c r="G4766" s="28" t="s">
        <v>1455</v>
      </c>
      <c r="H4766" s="28">
        <v>0</v>
      </c>
      <c r="J4766" s="92"/>
    </row>
    <row r="4767" spans="1:10" ht="15.75" customHeight="1">
      <c r="A4767" s="28">
        <v>21162</v>
      </c>
      <c r="B4767" s="91">
        <v>45237.09957175926</v>
      </c>
      <c r="C4767" s="28" t="s">
        <v>0</v>
      </c>
      <c r="D4767" s="28" t="s">
        <v>1803</v>
      </c>
      <c r="E4767" s="28" t="s">
        <v>92</v>
      </c>
      <c r="F4767" s="28">
        <v>20</v>
      </c>
      <c r="G4767" s="28">
        <v>100252</v>
      </c>
      <c r="H4767" s="28">
        <v>0</v>
      </c>
      <c r="J4767" s="92"/>
    </row>
    <row r="4768" spans="1:10" ht="15.75" customHeight="1">
      <c r="A4768" s="28">
        <v>21162</v>
      </c>
      <c r="B4768" s="91">
        <v>45237.09957175926</v>
      </c>
      <c r="C4768" s="28" t="s">
        <v>0</v>
      </c>
      <c r="D4768" s="28" t="s">
        <v>1803</v>
      </c>
      <c r="E4768" s="28" t="s">
        <v>92</v>
      </c>
      <c r="F4768" s="28">
        <v>28</v>
      </c>
      <c r="G4768" s="28" t="s">
        <v>1448</v>
      </c>
      <c r="H4768" s="28">
        <v>0</v>
      </c>
      <c r="J4768" s="92"/>
    </row>
    <row r="4769" spans="1:10" ht="15.75" customHeight="1">
      <c r="A4769" s="28">
        <v>21163</v>
      </c>
      <c r="B4769" s="91">
        <v>45237.10255787037</v>
      </c>
      <c r="C4769" s="28" t="s">
        <v>0</v>
      </c>
      <c r="D4769" s="28" t="s">
        <v>1803</v>
      </c>
      <c r="E4769" s="28" t="s">
        <v>92</v>
      </c>
      <c r="F4769" s="28">
        <v>15</v>
      </c>
      <c r="G4769" s="28" t="s">
        <v>139</v>
      </c>
      <c r="H4769" s="28">
        <v>0</v>
      </c>
      <c r="J4769" s="92"/>
    </row>
    <row r="4770" spans="1:10" ht="15.75" customHeight="1">
      <c r="A4770" s="28">
        <v>21164</v>
      </c>
      <c r="B4770" s="91">
        <v>45237.126620370371</v>
      </c>
      <c r="C4770" s="28" t="s">
        <v>0</v>
      </c>
      <c r="D4770" s="28" t="s">
        <v>1804</v>
      </c>
      <c r="E4770" s="28" t="s">
        <v>74</v>
      </c>
      <c r="F4770" s="28">
        <v>22</v>
      </c>
      <c r="G4770" s="28" t="s">
        <v>1535</v>
      </c>
      <c r="H4770" s="28">
        <v>0</v>
      </c>
      <c r="J4770" s="92"/>
    </row>
    <row r="4771" spans="1:10" ht="15.75" customHeight="1">
      <c r="A4771" s="28">
        <v>21164</v>
      </c>
      <c r="B4771" s="91">
        <v>45237.126620370371</v>
      </c>
      <c r="C4771" s="28" t="s">
        <v>0</v>
      </c>
      <c r="D4771" s="28" t="s">
        <v>1804</v>
      </c>
      <c r="E4771" s="28" t="s">
        <v>74</v>
      </c>
      <c r="F4771" s="28">
        <v>20</v>
      </c>
      <c r="G4771" s="28" t="s">
        <v>1475</v>
      </c>
      <c r="H4771" s="28">
        <v>0</v>
      </c>
      <c r="J4771" s="92"/>
    </row>
    <row r="4772" spans="1:10" ht="15.75" customHeight="1">
      <c r="A4772" s="28">
        <v>21165</v>
      </c>
      <c r="B4772" s="91">
        <v>45237.573321759257</v>
      </c>
      <c r="C4772" s="28" t="s">
        <v>0</v>
      </c>
      <c r="D4772" s="28" t="s">
        <v>1805</v>
      </c>
      <c r="E4772" s="28" t="s">
        <v>50</v>
      </c>
      <c r="F4772" s="28">
        <v>26</v>
      </c>
      <c r="G4772" s="28" t="s">
        <v>1455</v>
      </c>
      <c r="H4772" s="28">
        <v>0</v>
      </c>
      <c r="J4772" s="92"/>
    </row>
    <row r="4773" spans="1:10" ht="15.75" customHeight="1">
      <c r="A4773" s="28">
        <v>21166</v>
      </c>
      <c r="B4773" s="91">
        <v>45237.632314814815</v>
      </c>
      <c r="C4773" s="28" t="s">
        <v>0</v>
      </c>
      <c r="D4773" s="28" t="s">
        <v>1780</v>
      </c>
      <c r="E4773" s="28" t="s">
        <v>92</v>
      </c>
      <c r="F4773" s="28">
        <v>22</v>
      </c>
      <c r="G4773" s="28" t="s">
        <v>1535</v>
      </c>
      <c r="H4773" s="28">
        <v>0</v>
      </c>
      <c r="J4773" s="92"/>
    </row>
    <row r="4774" spans="1:10" ht="15.75" customHeight="1">
      <c r="A4774" s="28">
        <v>21167</v>
      </c>
      <c r="B4774" s="91">
        <v>45237.633773148147</v>
      </c>
      <c r="C4774" s="28" t="s">
        <v>0</v>
      </c>
      <c r="D4774" s="28" t="s">
        <v>1779</v>
      </c>
      <c r="E4774" s="28" t="s">
        <v>92</v>
      </c>
      <c r="F4774" s="28">
        <v>22</v>
      </c>
      <c r="G4774" s="28" t="s">
        <v>1535</v>
      </c>
      <c r="H4774" s="28">
        <v>0</v>
      </c>
      <c r="J4774" s="92"/>
    </row>
    <row r="4775" spans="1:10" ht="15.75" customHeight="1">
      <c r="A4775" s="28">
        <v>21168</v>
      </c>
      <c r="B4775" s="91">
        <v>45237.832766203705</v>
      </c>
      <c r="C4775" s="28" t="s">
        <v>0</v>
      </c>
      <c r="D4775" s="28" t="s">
        <v>1248</v>
      </c>
      <c r="E4775" s="28" t="s">
        <v>50</v>
      </c>
      <c r="F4775" s="28">
        <v>100</v>
      </c>
      <c r="G4775" s="28" t="s">
        <v>1580</v>
      </c>
      <c r="H4775" s="28">
        <v>0</v>
      </c>
      <c r="J4775" s="92"/>
    </row>
    <row r="4776" spans="1:10" ht="15.75" customHeight="1">
      <c r="A4776" s="28">
        <v>21168</v>
      </c>
      <c r="B4776" s="91">
        <v>45237.832766203705</v>
      </c>
      <c r="C4776" s="28" t="s">
        <v>0</v>
      </c>
      <c r="D4776" s="28" t="s">
        <v>1248</v>
      </c>
      <c r="E4776" s="28" t="s">
        <v>50</v>
      </c>
      <c r="F4776" s="28">
        <v>26</v>
      </c>
      <c r="G4776" s="28" t="s">
        <v>1455</v>
      </c>
      <c r="H4776" s="28">
        <v>0</v>
      </c>
      <c r="J4776" s="92"/>
    </row>
    <row r="4777" spans="1:10" ht="15.75" customHeight="1">
      <c r="A4777" s="28">
        <v>21168</v>
      </c>
      <c r="B4777" s="91">
        <v>45237.832766203705</v>
      </c>
      <c r="C4777" s="28" t="s">
        <v>0</v>
      </c>
      <c r="D4777" s="28" t="s">
        <v>1248</v>
      </c>
      <c r="E4777" s="28" t="s">
        <v>50</v>
      </c>
      <c r="F4777" s="28">
        <v>28</v>
      </c>
      <c r="G4777" s="28" t="s">
        <v>1448</v>
      </c>
      <c r="H4777" s="28">
        <v>0</v>
      </c>
      <c r="J4777" s="92"/>
    </row>
    <row r="4778" spans="1:10" ht="15.75" customHeight="1">
      <c r="A4778" s="28">
        <v>21168</v>
      </c>
      <c r="B4778" s="91">
        <v>45237.832766203705</v>
      </c>
      <c r="C4778" s="28" t="s">
        <v>0</v>
      </c>
      <c r="D4778" s="28" t="s">
        <v>1248</v>
      </c>
      <c r="E4778" s="28" t="s">
        <v>50</v>
      </c>
      <c r="F4778" s="28">
        <v>0</v>
      </c>
      <c r="G4778" s="28" t="s">
        <v>141</v>
      </c>
      <c r="H4778" s="28">
        <v>0</v>
      </c>
      <c r="J4778" s="92"/>
    </row>
    <row r="4779" spans="1:10" ht="15.75" customHeight="1">
      <c r="A4779" s="28">
        <v>21169</v>
      </c>
      <c r="B4779" s="91">
        <v>45237.968460648146</v>
      </c>
      <c r="C4779" s="28" t="s">
        <v>0</v>
      </c>
      <c r="D4779" s="28" t="s">
        <v>1184</v>
      </c>
      <c r="E4779" s="28" t="s">
        <v>50</v>
      </c>
      <c r="F4779" s="28">
        <v>25</v>
      </c>
      <c r="G4779" s="28" t="s">
        <v>141</v>
      </c>
      <c r="H4779" s="28">
        <v>0</v>
      </c>
      <c r="J4779" s="92"/>
    </row>
    <row r="4780" spans="1:10" ht="15.75" customHeight="1">
      <c r="A4780" s="28">
        <v>21172</v>
      </c>
      <c r="B4780" s="91">
        <v>45238.749525462961</v>
      </c>
      <c r="C4780" s="28" t="s">
        <v>0</v>
      </c>
      <c r="D4780" s="28" t="s">
        <v>1239</v>
      </c>
      <c r="E4780" s="28" t="s">
        <v>50</v>
      </c>
      <c r="F4780" s="28">
        <v>15</v>
      </c>
      <c r="G4780" s="28" t="s">
        <v>1467</v>
      </c>
      <c r="H4780" s="28">
        <v>0</v>
      </c>
      <c r="J4780" s="92"/>
    </row>
    <row r="4781" spans="1:10" ht="15.75" customHeight="1">
      <c r="A4781" s="28">
        <v>21172</v>
      </c>
      <c r="B4781" s="91">
        <v>45238.749525462961</v>
      </c>
      <c r="C4781" s="28" t="s">
        <v>0</v>
      </c>
      <c r="D4781" s="28" t="s">
        <v>1239</v>
      </c>
      <c r="E4781" s="28" t="s">
        <v>50</v>
      </c>
      <c r="F4781" s="28">
        <v>20</v>
      </c>
      <c r="G4781" s="28"/>
      <c r="H4781" s="28">
        <v>0</v>
      </c>
      <c r="J4781" s="92"/>
    </row>
    <row r="4782" spans="1:10" ht="15.75" customHeight="1">
      <c r="A4782" s="28">
        <v>21172</v>
      </c>
      <c r="B4782" s="91">
        <v>45238.749525462961</v>
      </c>
      <c r="C4782" s="28" t="s">
        <v>0</v>
      </c>
      <c r="D4782" s="28" t="s">
        <v>1239</v>
      </c>
      <c r="E4782" s="28" t="s">
        <v>50</v>
      </c>
      <c r="F4782" s="28">
        <v>18</v>
      </c>
      <c r="G4782" s="28" t="s">
        <v>1470</v>
      </c>
      <c r="H4782" s="28">
        <v>0</v>
      </c>
      <c r="J4782" s="92"/>
    </row>
    <row r="4783" spans="1:10" ht="15.75" customHeight="1">
      <c r="A4783" s="28">
        <v>21173</v>
      </c>
      <c r="B4783" s="91">
        <v>45238.819849537038</v>
      </c>
      <c r="C4783" s="28" t="s">
        <v>0</v>
      </c>
      <c r="D4783" s="28" t="s">
        <v>1097</v>
      </c>
      <c r="E4783" s="28" t="s">
        <v>75</v>
      </c>
      <c r="F4783" s="28">
        <v>0</v>
      </c>
      <c r="G4783" s="28" t="s">
        <v>1475</v>
      </c>
      <c r="H4783" s="28">
        <v>0</v>
      </c>
      <c r="J4783" s="92"/>
    </row>
    <row r="4784" spans="1:10" ht="15.75" customHeight="1">
      <c r="A4784" s="28">
        <v>21173</v>
      </c>
      <c r="B4784" s="91">
        <v>45238.819849537038</v>
      </c>
      <c r="C4784" s="28" t="s">
        <v>0</v>
      </c>
      <c r="D4784" s="28" t="s">
        <v>1097</v>
      </c>
      <c r="E4784" s="28" t="s">
        <v>75</v>
      </c>
      <c r="F4784" s="28">
        <v>0</v>
      </c>
      <c r="G4784" s="28" t="s">
        <v>881</v>
      </c>
      <c r="H4784" s="28">
        <v>0</v>
      </c>
      <c r="J4784" s="92"/>
    </row>
    <row r="4785" spans="1:10" ht="15.75" customHeight="1">
      <c r="A4785" s="28">
        <v>21173</v>
      </c>
      <c r="B4785" s="91">
        <v>45238.819849537038</v>
      </c>
      <c r="C4785" s="28" t="s">
        <v>0</v>
      </c>
      <c r="D4785" s="28" t="s">
        <v>1097</v>
      </c>
      <c r="E4785" s="28" t="s">
        <v>75</v>
      </c>
      <c r="F4785" s="28">
        <v>0</v>
      </c>
      <c r="G4785" s="28" t="s">
        <v>882</v>
      </c>
      <c r="H4785" s="28">
        <v>0</v>
      </c>
      <c r="J4785" s="92"/>
    </row>
    <row r="4786" spans="1:10" ht="15.75" customHeight="1">
      <c r="A4786" s="28">
        <v>21173</v>
      </c>
      <c r="B4786" s="91">
        <v>45238.819849537038</v>
      </c>
      <c r="C4786" s="28" t="s">
        <v>0</v>
      </c>
      <c r="D4786" s="28" t="s">
        <v>1097</v>
      </c>
      <c r="E4786" s="28" t="s">
        <v>75</v>
      </c>
      <c r="F4786" s="28">
        <v>0</v>
      </c>
      <c r="G4786" s="28" t="s">
        <v>884</v>
      </c>
      <c r="H4786" s="28">
        <v>0</v>
      </c>
      <c r="J4786" s="92"/>
    </row>
    <row r="4787" spans="1:10" ht="15.75" customHeight="1">
      <c r="A4787" s="28">
        <v>21173</v>
      </c>
      <c r="B4787" s="91">
        <v>45238.819849537038</v>
      </c>
      <c r="C4787" s="28" t="s">
        <v>0</v>
      </c>
      <c r="D4787" s="28" t="s">
        <v>1097</v>
      </c>
      <c r="E4787" s="28" t="s">
        <v>75</v>
      </c>
      <c r="F4787" s="28">
        <v>0</v>
      </c>
      <c r="G4787" s="28" t="s">
        <v>1467</v>
      </c>
      <c r="H4787" s="28">
        <v>0</v>
      </c>
      <c r="J4787" s="92"/>
    </row>
    <row r="4788" spans="1:10" ht="15.75" customHeight="1">
      <c r="A4788" s="28">
        <v>21174</v>
      </c>
      <c r="B4788" s="91">
        <v>45238.991539351853</v>
      </c>
      <c r="C4788" s="28" t="s">
        <v>0</v>
      </c>
      <c r="D4788" s="28" t="s">
        <v>1806</v>
      </c>
      <c r="E4788" s="28" t="s">
        <v>92</v>
      </c>
      <c r="F4788" s="28">
        <v>15</v>
      </c>
      <c r="G4788" s="28" t="s">
        <v>1453</v>
      </c>
      <c r="H4788" s="28">
        <v>0</v>
      </c>
      <c r="J4788" s="92"/>
    </row>
    <row r="4789" spans="1:10" ht="15.75" customHeight="1">
      <c r="A4789" s="28">
        <v>21175</v>
      </c>
      <c r="B4789" s="91">
        <v>45238.993368055555</v>
      </c>
      <c r="C4789" s="28" t="s">
        <v>0</v>
      </c>
      <c r="D4789" s="28" t="s">
        <v>1807</v>
      </c>
      <c r="E4789" s="28" t="s">
        <v>92</v>
      </c>
      <c r="F4789" s="28">
        <v>15</v>
      </c>
      <c r="G4789" s="28" t="s">
        <v>1453</v>
      </c>
      <c r="H4789" s="28">
        <v>0</v>
      </c>
      <c r="J4789" s="92"/>
    </row>
    <row r="4790" spans="1:10" ht="15.75" customHeight="1">
      <c r="A4790" s="28">
        <v>21176</v>
      </c>
      <c r="B4790" s="91">
        <v>45239.012384259258</v>
      </c>
      <c r="C4790" s="28" t="s">
        <v>0</v>
      </c>
      <c r="D4790" s="28" t="s">
        <v>1808</v>
      </c>
      <c r="E4790" s="28" t="s">
        <v>50</v>
      </c>
      <c r="F4790" s="28">
        <v>26</v>
      </c>
      <c r="G4790" s="28" t="s">
        <v>1455</v>
      </c>
      <c r="H4790" s="28">
        <v>0</v>
      </c>
      <c r="J4790" s="92"/>
    </row>
    <row r="4791" spans="1:10" ht="15.75" customHeight="1">
      <c r="A4791" s="28">
        <v>21177</v>
      </c>
      <c r="B4791" s="91">
        <v>45239.014733796299</v>
      </c>
      <c r="C4791" s="28" t="s">
        <v>0</v>
      </c>
      <c r="D4791" s="28" t="s">
        <v>1809</v>
      </c>
      <c r="E4791" s="28" t="s">
        <v>50</v>
      </c>
      <c r="F4791" s="28">
        <v>26</v>
      </c>
      <c r="G4791" s="28" t="s">
        <v>1455</v>
      </c>
      <c r="H4791" s="28">
        <v>0</v>
      </c>
      <c r="J4791" s="92"/>
    </row>
    <row r="4792" spans="1:10" ht="15.75" customHeight="1">
      <c r="A4792" s="28">
        <v>21178</v>
      </c>
      <c r="B4792" s="91">
        <v>45239.017199074071</v>
      </c>
      <c r="C4792" s="28" t="s">
        <v>0</v>
      </c>
      <c r="D4792" s="28" t="s">
        <v>1810</v>
      </c>
      <c r="E4792" s="28" t="s">
        <v>92</v>
      </c>
      <c r="F4792" s="28">
        <v>22</v>
      </c>
      <c r="G4792" s="28" t="s">
        <v>1459</v>
      </c>
      <c r="H4792" s="28">
        <v>0</v>
      </c>
      <c r="J4792" s="92"/>
    </row>
    <row r="4793" spans="1:10" ht="15.75" customHeight="1">
      <c r="A4793" s="28">
        <v>21178</v>
      </c>
      <c r="B4793" s="91">
        <v>45239.017199074071</v>
      </c>
      <c r="C4793" s="28" t="s">
        <v>0</v>
      </c>
      <c r="D4793" s="28" t="s">
        <v>1810</v>
      </c>
      <c r="E4793" s="28" t="s">
        <v>92</v>
      </c>
      <c r="F4793" s="28">
        <v>18</v>
      </c>
      <c r="G4793" s="28" t="s">
        <v>1470</v>
      </c>
      <c r="H4793" s="28">
        <v>0</v>
      </c>
      <c r="J4793" s="92"/>
    </row>
    <row r="4794" spans="1:10" ht="15.75" customHeight="1">
      <c r="A4794" s="28">
        <v>21179</v>
      </c>
      <c r="B4794" s="91">
        <v>45239.078912037039</v>
      </c>
      <c r="C4794" s="28" t="s">
        <v>0</v>
      </c>
      <c r="D4794" s="28" t="s">
        <v>1811</v>
      </c>
      <c r="E4794" s="28" t="s">
        <v>92</v>
      </c>
      <c r="F4794" s="28">
        <v>25</v>
      </c>
      <c r="G4794" s="28" t="s">
        <v>1446</v>
      </c>
      <c r="H4794" s="28">
        <v>0</v>
      </c>
      <c r="J4794" s="92"/>
    </row>
    <row r="4795" spans="1:10" ht="15.75" customHeight="1">
      <c r="A4795" s="28">
        <v>21180</v>
      </c>
      <c r="B4795" s="91">
        <v>45239.080752314818</v>
      </c>
      <c r="C4795" s="28" t="s">
        <v>0</v>
      </c>
      <c r="D4795" s="28" t="s">
        <v>1041</v>
      </c>
      <c r="E4795" s="28" t="s">
        <v>92</v>
      </c>
      <c r="F4795" s="28">
        <v>25</v>
      </c>
      <c r="G4795" s="28" t="s">
        <v>141</v>
      </c>
      <c r="H4795" s="28">
        <v>0</v>
      </c>
      <c r="J4795" s="92"/>
    </row>
    <row r="4796" spans="1:10" ht="15.75" customHeight="1">
      <c r="A4796" s="28">
        <v>21181</v>
      </c>
      <c r="B4796" s="91">
        <v>45239.129675925928</v>
      </c>
      <c r="C4796" s="28" t="s">
        <v>0</v>
      </c>
      <c r="D4796" s="28" t="s">
        <v>1139</v>
      </c>
      <c r="E4796" s="28" t="s">
        <v>50</v>
      </c>
      <c r="F4796" s="28">
        <v>35</v>
      </c>
      <c r="G4796" s="28" t="s">
        <v>1443</v>
      </c>
      <c r="H4796" s="28">
        <v>0</v>
      </c>
      <c r="J4796" s="92"/>
    </row>
    <row r="4797" spans="1:10" ht="15.75" customHeight="1">
      <c r="A4797" s="28">
        <v>21181</v>
      </c>
      <c r="B4797" s="91">
        <v>45239.129675925928</v>
      </c>
      <c r="C4797" s="28" t="s">
        <v>0</v>
      </c>
      <c r="D4797" s="28" t="s">
        <v>1139</v>
      </c>
      <c r="E4797" s="28" t="s">
        <v>50</v>
      </c>
      <c r="F4797" s="28">
        <v>20</v>
      </c>
      <c r="G4797" s="28"/>
      <c r="H4797" s="28">
        <v>0</v>
      </c>
      <c r="J4797" s="92"/>
    </row>
    <row r="4798" spans="1:10" ht="15.75" customHeight="1">
      <c r="A4798" s="28">
        <v>21181</v>
      </c>
      <c r="B4798" s="91">
        <v>45239.129675925928</v>
      </c>
      <c r="C4798" s="28" t="s">
        <v>0</v>
      </c>
      <c r="D4798" s="28" t="s">
        <v>1139</v>
      </c>
      <c r="E4798" s="28" t="s">
        <v>50</v>
      </c>
      <c r="F4798" s="28">
        <v>20</v>
      </c>
      <c r="G4798" s="28"/>
      <c r="H4798" s="28">
        <v>0</v>
      </c>
      <c r="J4798" s="92"/>
    </row>
    <row r="4799" spans="1:10" ht="15.75" customHeight="1">
      <c r="A4799" s="28">
        <v>21181</v>
      </c>
      <c r="B4799" s="91">
        <v>45239.129675925928</v>
      </c>
      <c r="C4799" s="28" t="s">
        <v>0</v>
      </c>
      <c r="D4799" s="28" t="s">
        <v>1139</v>
      </c>
      <c r="E4799" s="28" t="s">
        <v>50</v>
      </c>
      <c r="F4799" s="28">
        <v>25</v>
      </c>
      <c r="G4799" s="28"/>
      <c r="H4799" s="28">
        <v>0</v>
      </c>
      <c r="J4799" s="92"/>
    </row>
    <row r="4800" spans="1:10" ht="15.75" customHeight="1">
      <c r="A4800" s="28">
        <v>21182</v>
      </c>
      <c r="B4800" s="91">
        <v>45239.664768518516</v>
      </c>
      <c r="C4800" s="28" t="s">
        <v>0</v>
      </c>
      <c r="D4800" s="28" t="s">
        <v>1812</v>
      </c>
      <c r="E4800" s="28" t="s">
        <v>92</v>
      </c>
      <c r="F4800" s="28">
        <v>15</v>
      </c>
      <c r="G4800" s="28" t="s">
        <v>1453</v>
      </c>
      <c r="H4800" s="28">
        <v>0</v>
      </c>
      <c r="J4800" s="92"/>
    </row>
    <row r="4801" spans="1:10" ht="15.75" customHeight="1">
      <c r="A4801" s="28">
        <v>21183</v>
      </c>
      <c r="B4801" s="91">
        <v>45239.696631944447</v>
      </c>
      <c r="C4801" s="28" t="s">
        <v>0</v>
      </c>
      <c r="D4801" s="28" t="s">
        <v>1813</v>
      </c>
      <c r="E4801" s="28" t="s">
        <v>75</v>
      </c>
      <c r="F4801" s="28">
        <v>22</v>
      </c>
      <c r="G4801" s="28" t="s">
        <v>1459</v>
      </c>
      <c r="H4801" s="28">
        <v>0</v>
      </c>
      <c r="J4801" s="92"/>
    </row>
    <row r="4802" spans="1:10" ht="15.75" customHeight="1">
      <c r="A4802" s="28">
        <v>21183</v>
      </c>
      <c r="B4802" s="91">
        <v>45239.696631944447</v>
      </c>
      <c r="C4802" s="28" t="s">
        <v>0</v>
      </c>
      <c r="D4802" s="28" t="s">
        <v>1813</v>
      </c>
      <c r="E4802" s="28" t="s">
        <v>75</v>
      </c>
      <c r="F4802" s="28">
        <v>20</v>
      </c>
      <c r="G4802" s="28" t="s">
        <v>1444</v>
      </c>
      <c r="H4802" s="28">
        <v>0</v>
      </c>
      <c r="J4802" s="92"/>
    </row>
    <row r="4803" spans="1:10" ht="15.75" customHeight="1">
      <c r="A4803" s="28">
        <v>21184</v>
      </c>
      <c r="B4803" s="91">
        <v>45239.794108796297</v>
      </c>
      <c r="C4803" s="28" t="s">
        <v>0</v>
      </c>
      <c r="D4803" s="28" t="s">
        <v>1814</v>
      </c>
      <c r="E4803" s="28" t="s">
        <v>92</v>
      </c>
      <c r="F4803" s="28">
        <v>22</v>
      </c>
      <c r="G4803" s="28" t="s">
        <v>1535</v>
      </c>
      <c r="H4803" s="28">
        <v>0</v>
      </c>
      <c r="J4803" s="92"/>
    </row>
    <row r="4804" spans="1:10" ht="15.75" customHeight="1">
      <c r="A4804" s="28">
        <v>21184</v>
      </c>
      <c r="B4804" s="91">
        <v>45239.794108796297</v>
      </c>
      <c r="C4804" s="28" t="s">
        <v>0</v>
      </c>
      <c r="D4804" s="28" t="s">
        <v>1814</v>
      </c>
      <c r="E4804" s="28" t="s">
        <v>92</v>
      </c>
      <c r="F4804" s="28">
        <v>18</v>
      </c>
      <c r="G4804" s="28" t="s">
        <v>1470</v>
      </c>
      <c r="H4804" s="28">
        <v>0</v>
      </c>
      <c r="J4804" s="92"/>
    </row>
    <row r="4805" spans="1:10" ht="15.75" customHeight="1">
      <c r="A4805" s="28">
        <v>21184</v>
      </c>
      <c r="B4805" s="91">
        <v>45239.794108796297</v>
      </c>
      <c r="C4805" s="28" t="s">
        <v>0</v>
      </c>
      <c r="D4805" s="28" t="s">
        <v>1814</v>
      </c>
      <c r="E4805" s="28" t="s">
        <v>92</v>
      </c>
      <c r="F4805" s="28">
        <v>15</v>
      </c>
      <c r="G4805" s="28" t="s">
        <v>1467</v>
      </c>
      <c r="H4805" s="28">
        <v>0</v>
      </c>
      <c r="J4805" s="92"/>
    </row>
    <row r="4806" spans="1:10" ht="15.75" customHeight="1">
      <c r="A4806" s="28">
        <v>21185</v>
      </c>
      <c r="B4806" s="91">
        <v>45239.98</v>
      </c>
      <c r="C4806" s="28" t="s">
        <v>0</v>
      </c>
      <c r="D4806" s="28" t="s">
        <v>1815</v>
      </c>
      <c r="E4806" s="28" t="s">
        <v>92</v>
      </c>
      <c r="F4806" s="28">
        <v>15</v>
      </c>
      <c r="G4806" s="28" t="s">
        <v>1453</v>
      </c>
      <c r="H4806" s="28">
        <v>0</v>
      </c>
      <c r="J4806" s="92"/>
    </row>
    <row r="4807" spans="1:10" ht="15.75" customHeight="1">
      <c r="A4807" s="28">
        <v>21185</v>
      </c>
      <c r="B4807" s="91">
        <v>45239.98</v>
      </c>
      <c r="C4807" s="28" t="s">
        <v>0</v>
      </c>
      <c r="D4807" s="28" t="s">
        <v>1815</v>
      </c>
      <c r="E4807" s="28" t="s">
        <v>92</v>
      </c>
      <c r="F4807" s="28">
        <v>15</v>
      </c>
      <c r="G4807" s="28" t="s">
        <v>1467</v>
      </c>
      <c r="H4807" s="28">
        <v>0</v>
      </c>
      <c r="J4807" s="92"/>
    </row>
    <row r="4808" spans="1:10" ht="15.75" customHeight="1">
      <c r="A4808" s="28">
        <v>21186</v>
      </c>
      <c r="B4808" s="91">
        <v>45239.988738425927</v>
      </c>
      <c r="C4808" s="28" t="s">
        <v>0</v>
      </c>
      <c r="D4808" s="28" t="s">
        <v>1259</v>
      </c>
      <c r="E4808" s="28" t="s">
        <v>92</v>
      </c>
      <c r="F4808" s="28">
        <v>20</v>
      </c>
      <c r="G4808" s="28" t="s">
        <v>1475</v>
      </c>
      <c r="H4808" s="28">
        <v>0</v>
      </c>
      <c r="J4808" s="92"/>
    </row>
    <row r="4809" spans="1:10" ht="15.75" customHeight="1">
      <c r="A4809" s="28">
        <v>21186</v>
      </c>
      <c r="B4809" s="91">
        <v>45239.988738425927</v>
      </c>
      <c r="C4809" s="28" t="s">
        <v>0</v>
      </c>
      <c r="D4809" s="28" t="s">
        <v>1259</v>
      </c>
      <c r="E4809" s="28" t="s">
        <v>92</v>
      </c>
      <c r="F4809" s="28">
        <v>26</v>
      </c>
      <c r="G4809" s="28" t="s">
        <v>1455</v>
      </c>
      <c r="H4809" s="28">
        <v>0</v>
      </c>
      <c r="J4809" s="92"/>
    </row>
    <row r="4810" spans="1:10" ht="15.75" customHeight="1">
      <c r="A4810" s="28">
        <v>21187</v>
      </c>
      <c r="B4810" s="91">
        <v>45240.076863425929</v>
      </c>
      <c r="C4810" s="28" t="s">
        <v>0</v>
      </c>
      <c r="D4810" s="28" t="s">
        <v>1716</v>
      </c>
      <c r="E4810" s="28" t="s">
        <v>50</v>
      </c>
      <c r="F4810" s="28">
        <v>26</v>
      </c>
      <c r="G4810" s="28" t="s">
        <v>1455</v>
      </c>
      <c r="H4810" s="28">
        <v>0</v>
      </c>
      <c r="J4810" s="92"/>
    </row>
    <row r="4811" spans="1:10" ht="15.75" customHeight="1">
      <c r="A4811" s="28">
        <v>21203</v>
      </c>
      <c r="B4811" s="91">
        <v>45240.820393518516</v>
      </c>
      <c r="C4811" s="28" t="s">
        <v>0</v>
      </c>
      <c r="D4811" s="28" t="s">
        <v>1816</v>
      </c>
      <c r="E4811" s="28" t="s">
        <v>50</v>
      </c>
      <c r="F4811" s="28">
        <v>26</v>
      </c>
      <c r="G4811" s="28" t="s">
        <v>1455</v>
      </c>
      <c r="H4811" s="28">
        <v>0</v>
      </c>
      <c r="J4811" s="92"/>
    </row>
    <row r="4812" spans="1:10" ht="15.75" customHeight="1">
      <c r="A4812" s="28">
        <v>21203</v>
      </c>
      <c r="B4812" s="91">
        <v>45240.820393518516</v>
      </c>
      <c r="C4812" s="28" t="s">
        <v>0</v>
      </c>
      <c r="D4812" s="28" t="s">
        <v>1816</v>
      </c>
      <c r="E4812" s="28" t="s">
        <v>50</v>
      </c>
      <c r="F4812" s="28">
        <v>22</v>
      </c>
      <c r="G4812" s="28" t="s">
        <v>1459</v>
      </c>
      <c r="H4812" s="28">
        <v>0</v>
      </c>
      <c r="J4812" s="92"/>
    </row>
    <row r="4813" spans="1:10" ht="15.75" customHeight="1">
      <c r="A4813" s="28">
        <v>21204</v>
      </c>
      <c r="B4813" s="91">
        <v>45240.905231481483</v>
      </c>
      <c r="C4813" s="28" t="s">
        <v>0</v>
      </c>
      <c r="D4813" s="28" t="s">
        <v>1817</v>
      </c>
      <c r="E4813" s="28" t="s">
        <v>50</v>
      </c>
      <c r="F4813" s="28">
        <v>26</v>
      </c>
      <c r="G4813" s="28" t="s">
        <v>1455</v>
      </c>
      <c r="H4813" s="28">
        <v>0</v>
      </c>
      <c r="J4813" s="92"/>
    </row>
    <row r="4814" spans="1:10" ht="15.75" customHeight="1">
      <c r="A4814" s="28">
        <v>21205</v>
      </c>
      <c r="B4814" s="91">
        <v>45241.06459490741</v>
      </c>
      <c r="C4814" s="28" t="s">
        <v>0</v>
      </c>
      <c r="D4814" s="28" t="s">
        <v>1818</v>
      </c>
      <c r="E4814" s="28" t="s">
        <v>92</v>
      </c>
      <c r="F4814" s="28">
        <v>26</v>
      </c>
      <c r="G4814" s="28" t="s">
        <v>1455</v>
      </c>
      <c r="H4814" s="28">
        <v>0</v>
      </c>
      <c r="J4814" s="92"/>
    </row>
    <row r="4815" spans="1:10" ht="15.75" customHeight="1">
      <c r="A4815" s="28">
        <v>21206</v>
      </c>
      <c r="B4815" s="91">
        <v>45241.724004629628</v>
      </c>
      <c r="C4815" s="28" t="s">
        <v>0</v>
      </c>
      <c r="D4815" s="28" t="s">
        <v>1819</v>
      </c>
      <c r="E4815" s="28" t="s">
        <v>50</v>
      </c>
      <c r="F4815" s="28">
        <v>55</v>
      </c>
      <c r="G4815" s="28" t="s">
        <v>1457</v>
      </c>
      <c r="H4815" s="28">
        <v>0</v>
      </c>
      <c r="J4815" s="92"/>
    </row>
    <row r="4816" spans="1:10" ht="15.75" customHeight="1">
      <c r="A4816" s="28">
        <v>21206</v>
      </c>
      <c r="B4816" s="91">
        <v>45241.724004629628</v>
      </c>
      <c r="C4816" s="28" t="s">
        <v>0</v>
      </c>
      <c r="D4816" s="28" t="s">
        <v>1819</v>
      </c>
      <c r="E4816" s="28" t="s">
        <v>50</v>
      </c>
      <c r="F4816" s="28">
        <v>28</v>
      </c>
      <c r="G4816" s="28" t="s">
        <v>1448</v>
      </c>
      <c r="H4816" s="28">
        <v>0</v>
      </c>
      <c r="J4816" s="92"/>
    </row>
    <row r="4817" spans="1:10" ht="15.75" customHeight="1">
      <c r="A4817" s="28">
        <v>21206</v>
      </c>
      <c r="B4817" s="91">
        <v>45241.724004629628</v>
      </c>
      <c r="C4817" s="28" t="s">
        <v>0</v>
      </c>
      <c r="D4817" s="28" t="s">
        <v>1819</v>
      </c>
      <c r="E4817" s="28" t="s">
        <v>50</v>
      </c>
      <c r="F4817" s="28">
        <v>26</v>
      </c>
      <c r="G4817" s="28" t="s">
        <v>1455</v>
      </c>
      <c r="H4817" s="28">
        <v>0</v>
      </c>
      <c r="J4817" s="92"/>
    </row>
    <row r="4818" spans="1:10" ht="15.75" customHeight="1">
      <c r="A4818" s="28">
        <v>21207</v>
      </c>
      <c r="B4818" s="91">
        <v>45241.85864583333</v>
      </c>
      <c r="C4818" s="28" t="s">
        <v>0</v>
      </c>
      <c r="D4818" s="28" t="s">
        <v>1820</v>
      </c>
      <c r="E4818" s="28" t="s">
        <v>50</v>
      </c>
      <c r="F4818" s="28">
        <v>28</v>
      </c>
      <c r="G4818" s="28" t="s">
        <v>1448</v>
      </c>
      <c r="H4818" s="28">
        <v>0</v>
      </c>
      <c r="J4818" s="92"/>
    </row>
    <row r="4819" spans="1:10" ht="15.75" customHeight="1">
      <c r="A4819" s="28">
        <v>21207</v>
      </c>
      <c r="B4819" s="91">
        <v>45241.85864583333</v>
      </c>
      <c r="C4819" s="28" t="s">
        <v>0</v>
      </c>
      <c r="D4819" s="28" t="s">
        <v>1820</v>
      </c>
      <c r="E4819" s="28" t="s">
        <v>50</v>
      </c>
      <c r="F4819" s="28">
        <v>22</v>
      </c>
      <c r="G4819" s="28" t="s">
        <v>1535</v>
      </c>
      <c r="H4819" s="28">
        <v>0</v>
      </c>
      <c r="J4819" s="92"/>
    </row>
    <row r="4820" spans="1:10" ht="15.75" customHeight="1">
      <c r="A4820" s="28">
        <v>21207</v>
      </c>
      <c r="B4820" s="91">
        <v>45241.85864583333</v>
      </c>
      <c r="C4820" s="28" t="s">
        <v>0</v>
      </c>
      <c r="D4820" s="28" t="s">
        <v>1820</v>
      </c>
      <c r="E4820" s="28" t="s">
        <v>50</v>
      </c>
      <c r="F4820" s="28">
        <v>0</v>
      </c>
      <c r="G4820" s="28" t="s">
        <v>141</v>
      </c>
      <c r="H4820" s="28">
        <v>0</v>
      </c>
      <c r="J4820" s="92"/>
    </row>
    <row r="4821" spans="1:10" ht="15.75" customHeight="1">
      <c r="A4821" s="28">
        <v>21208</v>
      </c>
      <c r="B4821" s="91">
        <v>45241.874027777776</v>
      </c>
      <c r="C4821" s="28" t="s">
        <v>0</v>
      </c>
      <c r="D4821" s="28" t="s">
        <v>1821</v>
      </c>
      <c r="E4821" s="28" t="s">
        <v>92</v>
      </c>
      <c r="F4821" s="28">
        <v>25</v>
      </c>
      <c r="G4821" s="28" t="s">
        <v>1446</v>
      </c>
      <c r="H4821" s="28">
        <v>0</v>
      </c>
      <c r="J4821" s="92"/>
    </row>
    <row r="4822" spans="1:10" ht="15.75" customHeight="1">
      <c r="A4822" s="28">
        <v>21209</v>
      </c>
      <c r="B4822" s="91">
        <v>45241.88449074074</v>
      </c>
      <c r="C4822" s="28" t="s">
        <v>0</v>
      </c>
      <c r="D4822" s="28" t="s">
        <v>1822</v>
      </c>
      <c r="E4822" s="28" t="s">
        <v>92</v>
      </c>
      <c r="F4822" s="28">
        <v>25</v>
      </c>
      <c r="G4822" s="28" t="s">
        <v>141</v>
      </c>
      <c r="H4822" s="28">
        <v>0</v>
      </c>
      <c r="J4822" s="92"/>
    </row>
    <row r="4823" spans="1:10" ht="15.75" customHeight="1">
      <c r="A4823" s="28">
        <v>21211</v>
      </c>
      <c r="B4823" s="91">
        <v>45242.150405092594</v>
      </c>
      <c r="C4823" s="28" t="s">
        <v>0</v>
      </c>
      <c r="D4823" s="28" t="s">
        <v>1265</v>
      </c>
      <c r="E4823" s="28" t="s">
        <v>92</v>
      </c>
      <c r="F4823" s="28">
        <v>25</v>
      </c>
      <c r="G4823" s="28" t="s">
        <v>1446</v>
      </c>
      <c r="H4823" s="28">
        <v>0</v>
      </c>
      <c r="J4823" s="92"/>
    </row>
    <row r="4824" spans="1:10" ht="15.75" customHeight="1">
      <c r="A4824" s="28">
        <v>21287</v>
      </c>
      <c r="B4824" s="91">
        <v>45242.623182870368</v>
      </c>
      <c r="C4824" s="28" t="s">
        <v>0</v>
      </c>
      <c r="D4824" s="28" t="s">
        <v>1823</v>
      </c>
      <c r="E4824" s="28" t="s">
        <v>50</v>
      </c>
      <c r="F4824" s="28">
        <v>35</v>
      </c>
      <c r="G4824" s="28" t="s">
        <v>1443</v>
      </c>
      <c r="H4824" s="28">
        <v>0</v>
      </c>
      <c r="J4824" s="92"/>
    </row>
    <row r="4825" spans="1:10" ht="15.75" customHeight="1">
      <c r="A4825" s="28">
        <v>21292</v>
      </c>
      <c r="B4825" s="91">
        <v>45242.75608796296</v>
      </c>
      <c r="C4825" s="28" t="s">
        <v>0</v>
      </c>
      <c r="D4825" s="28" t="s">
        <v>1185</v>
      </c>
      <c r="E4825" s="28" t="s">
        <v>50</v>
      </c>
      <c r="F4825" s="28">
        <v>35</v>
      </c>
      <c r="G4825" s="28" t="s">
        <v>1443</v>
      </c>
      <c r="H4825" s="28">
        <v>0</v>
      </c>
      <c r="J4825" s="92"/>
    </row>
    <row r="4826" spans="1:10" ht="15.75" customHeight="1">
      <c r="A4826" s="28">
        <v>21293</v>
      </c>
      <c r="B4826" s="91">
        <v>45242.758483796293</v>
      </c>
      <c r="C4826" s="28" t="s">
        <v>0</v>
      </c>
      <c r="D4826" s="28" t="s">
        <v>1148</v>
      </c>
      <c r="E4826" s="28" t="s">
        <v>50</v>
      </c>
      <c r="F4826" s="28">
        <v>35</v>
      </c>
      <c r="G4826" s="28" t="s">
        <v>1443</v>
      </c>
      <c r="H4826" s="28">
        <v>0</v>
      </c>
      <c r="J4826" s="92"/>
    </row>
    <row r="4827" spans="1:10" ht="15.75" customHeight="1">
      <c r="A4827" s="28">
        <v>21300</v>
      </c>
      <c r="B4827" s="91">
        <v>45243.053495370368</v>
      </c>
      <c r="C4827" s="28" t="s">
        <v>0</v>
      </c>
      <c r="D4827" s="28" t="s">
        <v>1824</v>
      </c>
      <c r="E4827" s="28" t="s">
        <v>50</v>
      </c>
      <c r="F4827" s="28">
        <v>15</v>
      </c>
      <c r="G4827" s="28" t="s">
        <v>1467</v>
      </c>
      <c r="H4827" s="28">
        <v>0</v>
      </c>
      <c r="J4827" s="92"/>
    </row>
    <row r="4828" spans="1:10" ht="15.75" customHeight="1">
      <c r="A4828" s="28">
        <v>21300</v>
      </c>
      <c r="B4828" s="91">
        <v>45243.053495370368</v>
      </c>
      <c r="C4828" s="28" t="s">
        <v>0</v>
      </c>
      <c r="D4828" s="28" t="s">
        <v>1824</v>
      </c>
      <c r="E4828" s="28" t="s">
        <v>50</v>
      </c>
      <c r="F4828" s="28">
        <v>35</v>
      </c>
      <c r="G4828" s="28" t="s">
        <v>1443</v>
      </c>
      <c r="H4828" s="28">
        <v>0</v>
      </c>
      <c r="J4828" s="92"/>
    </row>
    <row r="4829" spans="1:10" ht="15.75" customHeight="1">
      <c r="A4829" s="28">
        <v>21365</v>
      </c>
      <c r="B4829" s="91">
        <v>45243.551076388889</v>
      </c>
      <c r="C4829" s="28" t="s">
        <v>18</v>
      </c>
      <c r="D4829" s="28" t="s">
        <v>1825</v>
      </c>
      <c r="E4829" s="28" t="s">
        <v>91</v>
      </c>
      <c r="F4829" s="28">
        <v>44</v>
      </c>
      <c r="G4829" s="28" t="s">
        <v>1459</v>
      </c>
      <c r="H4829" s="28">
        <v>0</v>
      </c>
      <c r="J4829" s="92"/>
    </row>
    <row r="4830" spans="1:10" ht="15.75" customHeight="1">
      <c r="A4830" s="28">
        <v>21366</v>
      </c>
      <c r="B4830" s="91">
        <v>45243.699849537035</v>
      </c>
      <c r="C4830" s="28" t="s">
        <v>0</v>
      </c>
      <c r="D4830" s="28" t="s">
        <v>1826</v>
      </c>
      <c r="E4830" s="28" t="s">
        <v>50</v>
      </c>
      <c r="F4830" s="28">
        <v>35</v>
      </c>
      <c r="G4830" s="28" t="s">
        <v>1443</v>
      </c>
      <c r="H4830" s="28">
        <v>0</v>
      </c>
      <c r="J4830" s="92"/>
    </row>
    <row r="4831" spans="1:10" ht="15.75" customHeight="1">
      <c r="A4831" s="28">
        <v>21367</v>
      </c>
      <c r="B4831" s="91">
        <v>45243.964872685188</v>
      </c>
      <c r="C4831" s="28" t="s">
        <v>0</v>
      </c>
      <c r="D4831" s="28" t="s">
        <v>899</v>
      </c>
      <c r="E4831" s="28" t="s">
        <v>50</v>
      </c>
      <c r="F4831" s="28">
        <v>25</v>
      </c>
      <c r="G4831" s="28" t="s">
        <v>1446</v>
      </c>
      <c r="H4831" s="28">
        <v>0</v>
      </c>
      <c r="J4831" s="92"/>
    </row>
    <row r="4832" spans="1:10" ht="15.75" customHeight="1">
      <c r="A4832" s="28">
        <v>21464</v>
      </c>
      <c r="B4832" s="91">
        <v>45244.831493055557</v>
      </c>
      <c r="C4832" s="28" t="s">
        <v>0</v>
      </c>
      <c r="D4832" s="28" t="s">
        <v>1827</v>
      </c>
      <c r="E4832" s="28" t="s">
        <v>92</v>
      </c>
      <c r="F4832" s="28">
        <v>35</v>
      </c>
      <c r="G4832" s="28" t="s">
        <v>1443</v>
      </c>
      <c r="H4832" s="28">
        <v>0</v>
      </c>
      <c r="J4832" s="92"/>
    </row>
    <row r="4833" spans="1:10" ht="15.75" customHeight="1">
      <c r="A4833" s="28">
        <v>21464</v>
      </c>
      <c r="B4833" s="91">
        <v>45244.831493055557</v>
      </c>
      <c r="C4833" s="28" t="s">
        <v>0</v>
      </c>
      <c r="D4833" s="28" t="s">
        <v>1827</v>
      </c>
      <c r="E4833" s="28" t="s">
        <v>92</v>
      </c>
      <c r="F4833" s="28">
        <v>0</v>
      </c>
      <c r="G4833" s="28" t="s">
        <v>141</v>
      </c>
      <c r="H4833" s="28">
        <v>0</v>
      </c>
      <c r="J4833" s="92"/>
    </row>
    <row r="4834" spans="1:10" ht="15.75" customHeight="1">
      <c r="A4834" s="28">
        <v>21465</v>
      </c>
      <c r="B4834" s="91">
        <v>45244.974456018521</v>
      </c>
      <c r="C4834" s="28" t="s">
        <v>0</v>
      </c>
      <c r="D4834" s="28" t="s">
        <v>1828</v>
      </c>
      <c r="E4834" s="28" t="s">
        <v>92</v>
      </c>
      <c r="F4834" s="28">
        <v>22</v>
      </c>
      <c r="G4834" s="28" t="s">
        <v>1535</v>
      </c>
      <c r="H4834" s="28">
        <v>0</v>
      </c>
      <c r="J4834" s="92"/>
    </row>
    <row r="4835" spans="1:10" ht="15.75" customHeight="1">
      <c r="A4835" s="28">
        <v>21472</v>
      </c>
      <c r="B4835" s="91">
        <v>45245.717152777775</v>
      </c>
      <c r="C4835" s="28" t="s">
        <v>0</v>
      </c>
      <c r="D4835" s="28" t="s">
        <v>1829</v>
      </c>
      <c r="E4835" s="28" t="s">
        <v>90</v>
      </c>
      <c r="F4835" s="28">
        <v>25</v>
      </c>
      <c r="G4835" s="28" t="s">
        <v>141</v>
      </c>
      <c r="H4835" s="28">
        <v>0</v>
      </c>
      <c r="J4835" s="92"/>
    </row>
    <row r="4836" spans="1:10" ht="15.75" customHeight="1">
      <c r="A4836" s="28">
        <v>21473</v>
      </c>
      <c r="B4836" s="91">
        <v>45245.818715277775</v>
      </c>
      <c r="C4836" s="28" t="s">
        <v>0</v>
      </c>
      <c r="D4836" s="28" t="s">
        <v>1830</v>
      </c>
      <c r="E4836" s="28" t="s">
        <v>74</v>
      </c>
      <c r="F4836" s="28">
        <v>28</v>
      </c>
      <c r="G4836" s="28" t="s">
        <v>1448</v>
      </c>
      <c r="H4836" s="28">
        <v>0</v>
      </c>
      <c r="J4836" s="92"/>
    </row>
    <row r="4837" spans="1:10" ht="15.75" customHeight="1">
      <c r="A4837" s="28">
        <v>21473</v>
      </c>
      <c r="B4837" s="91">
        <v>45245.818715277775</v>
      </c>
      <c r="C4837" s="28" t="s">
        <v>0</v>
      </c>
      <c r="D4837" s="28" t="s">
        <v>1830</v>
      </c>
      <c r="E4837" s="28" t="s">
        <v>74</v>
      </c>
      <c r="F4837" s="28">
        <v>15</v>
      </c>
      <c r="G4837" s="28" t="s">
        <v>1453</v>
      </c>
      <c r="H4837" s="28">
        <v>0</v>
      </c>
      <c r="J4837" s="92"/>
    </row>
    <row r="4838" spans="1:10" ht="15.75" customHeight="1">
      <c r="A4838" s="28">
        <v>21473</v>
      </c>
      <c r="B4838" s="91">
        <v>45245.818715277775</v>
      </c>
      <c r="C4838" s="28" t="s">
        <v>0</v>
      </c>
      <c r="D4838" s="28" t="s">
        <v>1830</v>
      </c>
      <c r="E4838" s="28" t="s">
        <v>74</v>
      </c>
      <c r="F4838" s="28">
        <v>18</v>
      </c>
      <c r="G4838" s="28" t="s">
        <v>1470</v>
      </c>
      <c r="H4838" s="28">
        <v>0</v>
      </c>
      <c r="J4838" s="92"/>
    </row>
    <row r="4839" spans="1:10" ht="15.75" customHeight="1">
      <c r="A4839" s="28">
        <v>21473</v>
      </c>
      <c r="B4839" s="91">
        <v>45245.818715277775</v>
      </c>
      <c r="C4839" s="28" t="s">
        <v>0</v>
      </c>
      <c r="D4839" s="28" t="s">
        <v>1830</v>
      </c>
      <c r="E4839" s="28" t="s">
        <v>74</v>
      </c>
      <c r="F4839" s="28">
        <v>0</v>
      </c>
      <c r="G4839" s="28" t="s">
        <v>141</v>
      </c>
      <c r="H4839" s="28">
        <v>0</v>
      </c>
      <c r="J4839" s="92"/>
    </row>
    <row r="4840" spans="1:10" ht="15.75" customHeight="1">
      <c r="A4840" s="28">
        <v>21517</v>
      </c>
      <c r="B4840" s="91">
        <v>45248.558310185188</v>
      </c>
      <c r="C4840" s="28" t="s">
        <v>51</v>
      </c>
      <c r="D4840" s="28" t="s">
        <v>1831</v>
      </c>
      <c r="E4840" s="28" t="s">
        <v>75</v>
      </c>
      <c r="F4840" s="28">
        <v>22</v>
      </c>
      <c r="G4840" s="28" t="s">
        <v>1459</v>
      </c>
      <c r="H4840" s="28">
        <v>0</v>
      </c>
      <c r="J4840" s="92"/>
    </row>
    <row r="4841" spans="1:10" ht="15.75" customHeight="1">
      <c r="A4841" s="28">
        <v>21517</v>
      </c>
      <c r="B4841" s="91">
        <v>45248.558310185188</v>
      </c>
      <c r="C4841" s="28" t="s">
        <v>51</v>
      </c>
      <c r="D4841" s="28" t="s">
        <v>1831</v>
      </c>
      <c r="E4841" s="28" t="s">
        <v>75</v>
      </c>
      <c r="F4841" s="28">
        <v>0</v>
      </c>
      <c r="G4841" s="28" t="s">
        <v>141</v>
      </c>
      <c r="H4841" s="28">
        <v>0</v>
      </c>
      <c r="J4841" s="92"/>
    </row>
    <row r="4842" spans="1:10" ht="15.75" customHeight="1">
      <c r="A4842" s="28">
        <v>21517</v>
      </c>
      <c r="B4842" s="91">
        <v>45248.558310185188</v>
      </c>
      <c r="C4842" s="28" t="s">
        <v>51</v>
      </c>
      <c r="D4842" s="28" t="s">
        <v>1831</v>
      </c>
      <c r="E4842" s="28" t="s">
        <v>75</v>
      </c>
      <c r="F4842" s="28">
        <v>35</v>
      </c>
      <c r="G4842" s="28" t="s">
        <v>1443</v>
      </c>
      <c r="H4842" s="28">
        <v>0</v>
      </c>
      <c r="J4842" s="92"/>
    </row>
    <row r="4843" spans="1:10" ht="15.75" customHeight="1">
      <c r="A4843" s="28">
        <v>21518</v>
      </c>
      <c r="B4843" s="91">
        <v>45248.72855324074</v>
      </c>
      <c r="C4843" s="28" t="s">
        <v>0</v>
      </c>
      <c r="D4843" s="28" t="s">
        <v>1832</v>
      </c>
      <c r="E4843" s="28" t="s">
        <v>90</v>
      </c>
      <c r="F4843" s="28">
        <v>15</v>
      </c>
      <c r="G4843" s="28" t="s">
        <v>1467</v>
      </c>
      <c r="H4843" s="28">
        <v>0</v>
      </c>
      <c r="J4843" s="92"/>
    </row>
    <row r="4844" spans="1:10" ht="15.75" customHeight="1">
      <c r="A4844" s="28">
        <v>21525</v>
      </c>
      <c r="B4844" s="91">
        <v>45248.975277777776</v>
      </c>
      <c r="C4844" s="28" t="s">
        <v>0</v>
      </c>
      <c r="D4844" s="28" t="s">
        <v>1833</v>
      </c>
      <c r="E4844" s="28" t="s">
        <v>92</v>
      </c>
      <c r="F4844" s="28">
        <v>35</v>
      </c>
      <c r="G4844" s="28" t="s">
        <v>1443</v>
      </c>
      <c r="H4844" s="28">
        <v>0</v>
      </c>
      <c r="J4844" s="92"/>
    </row>
    <row r="4845" spans="1:10" ht="15.75" customHeight="1">
      <c r="A4845" s="28">
        <v>21532</v>
      </c>
      <c r="B4845" s="91">
        <v>45250.559259259258</v>
      </c>
      <c r="C4845" s="28" t="s">
        <v>0</v>
      </c>
      <c r="D4845" s="28" t="s">
        <v>1834</v>
      </c>
      <c r="E4845" s="28" t="s">
        <v>92</v>
      </c>
      <c r="F4845" s="28">
        <v>26</v>
      </c>
      <c r="G4845" s="28" t="s">
        <v>1455</v>
      </c>
      <c r="H4845" s="28">
        <v>0</v>
      </c>
      <c r="J4845" s="92"/>
    </row>
    <row r="4846" spans="1:10" ht="15.75" customHeight="1">
      <c r="A4846" s="28">
        <v>21552</v>
      </c>
      <c r="B4846" s="91">
        <v>45251.750231481485</v>
      </c>
      <c r="C4846" s="28" t="s">
        <v>0</v>
      </c>
      <c r="D4846" s="28" t="s">
        <v>1041</v>
      </c>
      <c r="E4846" s="28" t="s">
        <v>92</v>
      </c>
      <c r="F4846" s="28">
        <v>56</v>
      </c>
      <c r="G4846" s="28" t="s">
        <v>1448</v>
      </c>
      <c r="H4846" s="28">
        <v>0</v>
      </c>
      <c r="J4846" s="92"/>
    </row>
    <row r="4847" spans="1:10" ht="15.75" customHeight="1">
      <c r="A4847" s="28">
        <v>21555</v>
      </c>
      <c r="B4847" s="91">
        <v>45251.860578703701</v>
      </c>
      <c r="C4847" s="28" t="s">
        <v>0</v>
      </c>
      <c r="D4847" s="28" t="s">
        <v>1835</v>
      </c>
      <c r="E4847" s="28" t="s">
        <v>92</v>
      </c>
      <c r="F4847" s="28">
        <v>25</v>
      </c>
      <c r="G4847" s="28" t="s">
        <v>1446</v>
      </c>
      <c r="H4847" s="28">
        <v>0</v>
      </c>
      <c r="J4847" s="92"/>
    </row>
    <row r="4848" spans="1:10" ht="15.75" customHeight="1">
      <c r="A4848" s="28">
        <v>21581</v>
      </c>
      <c r="B4848" s="91">
        <v>45253.027986111112</v>
      </c>
      <c r="C4848" s="28" t="s">
        <v>0</v>
      </c>
      <c r="D4848" s="28" t="s">
        <v>1836</v>
      </c>
      <c r="E4848" s="28" t="s">
        <v>94</v>
      </c>
      <c r="F4848" s="28">
        <v>25</v>
      </c>
      <c r="G4848" s="28" t="s">
        <v>1446</v>
      </c>
      <c r="H4848" s="28">
        <v>0</v>
      </c>
      <c r="J4848" s="92"/>
    </row>
    <row r="4849" spans="1:10" ht="15.75" customHeight="1">
      <c r="A4849" s="28">
        <v>21582</v>
      </c>
      <c r="B4849" s="91">
        <v>45253.107881944445</v>
      </c>
      <c r="C4849" s="28" t="s">
        <v>0</v>
      </c>
      <c r="D4849" s="28" t="s">
        <v>1837</v>
      </c>
      <c r="E4849" s="28" t="s">
        <v>74</v>
      </c>
      <c r="F4849" s="28">
        <v>22</v>
      </c>
      <c r="G4849" s="28" t="s">
        <v>1459</v>
      </c>
      <c r="H4849" s="28">
        <v>0</v>
      </c>
      <c r="J4849" s="92"/>
    </row>
    <row r="4850" spans="1:10" ht="15.75" customHeight="1">
      <c r="A4850" s="28">
        <v>21582</v>
      </c>
      <c r="B4850" s="91">
        <v>45253.107881944445</v>
      </c>
      <c r="C4850" s="28" t="s">
        <v>0</v>
      </c>
      <c r="D4850" s="28" t="s">
        <v>1837</v>
      </c>
      <c r="E4850" s="28" t="s">
        <v>74</v>
      </c>
      <c r="F4850" s="28">
        <v>0</v>
      </c>
      <c r="G4850" s="28" t="s">
        <v>141</v>
      </c>
      <c r="H4850" s="28">
        <v>0</v>
      </c>
      <c r="J4850" s="92"/>
    </row>
    <row r="4851" spans="1:10" ht="15.75" customHeight="1">
      <c r="A4851" s="28">
        <v>21582</v>
      </c>
      <c r="B4851" s="91">
        <v>45253.107881944445</v>
      </c>
      <c r="C4851" s="28" t="s">
        <v>0</v>
      </c>
      <c r="D4851" s="28" t="s">
        <v>1837</v>
      </c>
      <c r="E4851" s="28" t="s">
        <v>74</v>
      </c>
      <c r="F4851" s="28">
        <v>26</v>
      </c>
      <c r="G4851" s="28" t="s">
        <v>1455</v>
      </c>
      <c r="H4851" s="28">
        <v>0</v>
      </c>
      <c r="J4851" s="92"/>
    </row>
    <row r="4852" spans="1:10" ht="15.75" customHeight="1">
      <c r="A4852" s="28">
        <v>21582</v>
      </c>
      <c r="B4852" s="91">
        <v>45253.107881944445</v>
      </c>
      <c r="C4852" s="28" t="s">
        <v>0</v>
      </c>
      <c r="D4852" s="28" t="s">
        <v>1837</v>
      </c>
      <c r="E4852" s="28" t="s">
        <v>74</v>
      </c>
      <c r="F4852" s="28">
        <v>55</v>
      </c>
      <c r="G4852" s="28" t="s">
        <v>1457</v>
      </c>
      <c r="H4852" s="28">
        <v>0</v>
      </c>
      <c r="J4852" s="92"/>
    </row>
    <row r="4853" spans="1:10" ht="15.75" customHeight="1">
      <c r="A4853" s="28">
        <v>21586</v>
      </c>
      <c r="B4853" s="91">
        <v>45253.823310185187</v>
      </c>
      <c r="C4853" s="28" t="s">
        <v>0</v>
      </c>
      <c r="D4853" s="28" t="s">
        <v>1838</v>
      </c>
      <c r="E4853" s="28" t="s">
        <v>94</v>
      </c>
      <c r="F4853" s="28">
        <v>55</v>
      </c>
      <c r="G4853" s="28" t="s">
        <v>1457</v>
      </c>
      <c r="H4853" s="28">
        <v>0</v>
      </c>
      <c r="J4853" s="92"/>
    </row>
    <row r="4854" spans="1:10" ht="15.75" customHeight="1">
      <c r="A4854" s="28">
        <v>21587</v>
      </c>
      <c r="B4854" s="91">
        <v>45253.825590277775</v>
      </c>
      <c r="C4854" s="28" t="s">
        <v>0</v>
      </c>
      <c r="D4854" s="28" t="s">
        <v>1839</v>
      </c>
      <c r="E4854" s="28" t="s">
        <v>94</v>
      </c>
      <c r="F4854" s="28">
        <v>55</v>
      </c>
      <c r="G4854" s="28" t="s">
        <v>1457</v>
      </c>
      <c r="H4854" s="28">
        <v>0</v>
      </c>
      <c r="J4854" s="92"/>
    </row>
    <row r="4855" spans="1:10" ht="15.75" customHeight="1">
      <c r="A4855" s="28">
        <v>21587</v>
      </c>
      <c r="B4855" s="91">
        <v>45253.825590277775</v>
      </c>
      <c r="C4855" s="28" t="s">
        <v>0</v>
      </c>
      <c r="D4855" s="28" t="s">
        <v>1839</v>
      </c>
      <c r="E4855" s="28" t="s">
        <v>94</v>
      </c>
      <c r="F4855" s="28">
        <v>20</v>
      </c>
      <c r="G4855" s="28"/>
      <c r="H4855" s="28">
        <v>0</v>
      </c>
      <c r="J4855" s="92"/>
    </row>
    <row r="4856" spans="1:10" ht="15.75" customHeight="1">
      <c r="A4856" s="28">
        <v>21588</v>
      </c>
      <c r="B4856" s="91">
        <v>45254.728587962964</v>
      </c>
      <c r="C4856" s="28" t="s">
        <v>0</v>
      </c>
      <c r="D4856" s="28" t="s">
        <v>1840</v>
      </c>
      <c r="E4856" s="28" t="s">
        <v>94</v>
      </c>
      <c r="F4856" s="28">
        <v>100</v>
      </c>
      <c r="G4856" s="28" t="s">
        <v>1580</v>
      </c>
      <c r="H4856" s="28">
        <v>0</v>
      </c>
      <c r="J4856" s="92"/>
    </row>
    <row r="4857" spans="1:10" ht="15.75" customHeight="1">
      <c r="A4857" s="28">
        <v>21588</v>
      </c>
      <c r="B4857" s="91">
        <v>45254.728587962964</v>
      </c>
      <c r="C4857" s="28" t="s">
        <v>0</v>
      </c>
      <c r="D4857" s="28" t="s">
        <v>1840</v>
      </c>
      <c r="E4857" s="28" t="s">
        <v>94</v>
      </c>
      <c r="F4857" s="28">
        <v>35</v>
      </c>
      <c r="G4857" s="28" t="s">
        <v>1443</v>
      </c>
      <c r="H4857" s="28">
        <v>0</v>
      </c>
      <c r="J4857" s="92"/>
    </row>
    <row r="4858" spans="1:10" ht="15.75" customHeight="1">
      <c r="A4858" s="28">
        <v>21589</v>
      </c>
      <c r="B4858" s="91">
        <v>45256.074166666665</v>
      </c>
      <c r="C4858" s="28" t="s">
        <v>0</v>
      </c>
      <c r="D4858" s="28" t="s">
        <v>1841</v>
      </c>
      <c r="E4858" s="28" t="s">
        <v>74</v>
      </c>
      <c r="F4858" s="28">
        <v>0</v>
      </c>
      <c r="G4858" s="28" t="s">
        <v>141</v>
      </c>
      <c r="H4858" s="28">
        <v>0</v>
      </c>
      <c r="J4858" s="92"/>
    </row>
    <row r="4859" spans="1:10" ht="15.75" customHeight="1">
      <c r="A4859" s="28">
        <v>21589</v>
      </c>
      <c r="B4859" s="91">
        <v>45256.074166666665</v>
      </c>
      <c r="C4859" s="28" t="s">
        <v>0</v>
      </c>
      <c r="D4859" s="28" t="s">
        <v>1841</v>
      </c>
      <c r="E4859" s="28" t="s">
        <v>74</v>
      </c>
      <c r="F4859" s="28">
        <v>26</v>
      </c>
      <c r="G4859" s="28" t="s">
        <v>1455</v>
      </c>
      <c r="H4859" s="28">
        <v>0</v>
      </c>
      <c r="J4859" s="92"/>
    </row>
    <row r="4860" spans="1:10" ht="15.75" customHeight="1">
      <c r="A4860" s="28">
        <v>21590</v>
      </c>
      <c r="B4860" s="91">
        <v>45256.652557870373</v>
      </c>
      <c r="C4860" s="28" t="s">
        <v>0</v>
      </c>
      <c r="D4860" s="28" t="s">
        <v>1842</v>
      </c>
      <c r="E4860" s="28" t="s">
        <v>94</v>
      </c>
      <c r="F4860" s="28">
        <v>22</v>
      </c>
      <c r="G4860" s="28" t="s">
        <v>1535</v>
      </c>
      <c r="H4860" s="28">
        <v>0</v>
      </c>
      <c r="J4860" s="92"/>
    </row>
    <row r="4861" spans="1:10" ht="15.75" customHeight="1">
      <c r="A4861" s="28">
        <v>21591</v>
      </c>
      <c r="B4861" s="91">
        <v>45257.073912037034</v>
      </c>
      <c r="C4861" s="28" t="s">
        <v>0</v>
      </c>
      <c r="D4861" s="28" t="s">
        <v>1843</v>
      </c>
      <c r="E4861" s="28" t="s">
        <v>94</v>
      </c>
      <c r="F4861" s="28">
        <v>25</v>
      </c>
      <c r="G4861" s="28" t="s">
        <v>1446</v>
      </c>
      <c r="H4861" s="28">
        <v>0</v>
      </c>
      <c r="J4861" s="92"/>
    </row>
    <row r="4862" spans="1:10" ht="15.75" customHeight="1">
      <c r="A4862" s="28">
        <v>21592</v>
      </c>
      <c r="B4862" s="91">
        <v>45257.076145833336</v>
      </c>
      <c r="C4862" s="28" t="s">
        <v>0</v>
      </c>
      <c r="D4862" s="28" t="s">
        <v>1844</v>
      </c>
      <c r="E4862" s="28" t="s">
        <v>94</v>
      </c>
      <c r="F4862" s="28">
        <v>25</v>
      </c>
      <c r="G4862" s="28" t="s">
        <v>1446</v>
      </c>
      <c r="H4862" s="28">
        <v>0</v>
      </c>
      <c r="J4862" s="92"/>
    </row>
    <row r="4863" spans="1:10" ht="15.75" customHeight="1">
      <c r="A4863" s="28">
        <v>21593</v>
      </c>
      <c r="B4863" s="91">
        <v>45257.08090277778</v>
      </c>
      <c r="C4863" s="28" t="s">
        <v>0</v>
      </c>
      <c r="D4863" s="28" t="s">
        <v>1845</v>
      </c>
      <c r="E4863" s="28" t="s">
        <v>94</v>
      </c>
      <c r="F4863" s="28">
        <v>25</v>
      </c>
      <c r="G4863" s="28" t="s">
        <v>1446</v>
      </c>
      <c r="H4863" s="28">
        <v>0</v>
      </c>
      <c r="J4863" s="92"/>
    </row>
    <row r="4864" spans="1:10" ht="15.75" customHeight="1">
      <c r="A4864" s="28">
        <v>21593</v>
      </c>
      <c r="B4864" s="91">
        <v>45257.08090277778</v>
      </c>
      <c r="C4864" s="28" t="s">
        <v>0</v>
      </c>
      <c r="D4864" s="28" t="s">
        <v>1845</v>
      </c>
      <c r="E4864" s="28" t="s">
        <v>94</v>
      </c>
      <c r="F4864" s="28">
        <v>20</v>
      </c>
      <c r="G4864" s="28"/>
      <c r="H4864" s="28">
        <v>0</v>
      </c>
      <c r="J4864" s="92"/>
    </row>
    <row r="4865" spans="1:10" ht="15.75" customHeight="1">
      <c r="A4865" s="28">
        <v>21593</v>
      </c>
      <c r="B4865" s="91">
        <v>45257.08090277778</v>
      </c>
      <c r="C4865" s="28" t="s">
        <v>0</v>
      </c>
      <c r="D4865" s="28" t="s">
        <v>1845</v>
      </c>
      <c r="E4865" s="28" t="s">
        <v>94</v>
      </c>
      <c r="F4865" s="28">
        <v>0</v>
      </c>
      <c r="G4865" s="28" t="s">
        <v>141</v>
      </c>
      <c r="H4865" s="28">
        <v>0</v>
      </c>
      <c r="J4865" s="92"/>
    </row>
    <row r="4866" spans="1:10" ht="15.75" customHeight="1">
      <c r="A4866" s="28">
        <v>21594</v>
      </c>
      <c r="B4866" s="91">
        <v>45257.14503472222</v>
      </c>
      <c r="C4866" s="28" t="s">
        <v>0</v>
      </c>
      <c r="D4866" s="28" t="s">
        <v>1846</v>
      </c>
      <c r="E4866" s="28" t="s">
        <v>74</v>
      </c>
      <c r="F4866" s="28">
        <v>25</v>
      </c>
      <c r="G4866" s="28" t="s">
        <v>141</v>
      </c>
      <c r="H4866" s="28">
        <v>0</v>
      </c>
      <c r="J4866" s="92"/>
    </row>
    <row r="4867" spans="1:10" ht="15.75" customHeight="1">
      <c r="A4867" s="28">
        <v>21599</v>
      </c>
      <c r="B4867" s="91">
        <v>45257.715636574074</v>
      </c>
      <c r="C4867" s="28" t="s">
        <v>0</v>
      </c>
      <c r="D4867" s="28" t="s">
        <v>1847</v>
      </c>
      <c r="E4867" s="28" t="s">
        <v>94</v>
      </c>
      <c r="F4867" s="28">
        <v>0</v>
      </c>
      <c r="G4867" s="28" t="s">
        <v>141</v>
      </c>
      <c r="H4867" s="28">
        <v>0</v>
      </c>
      <c r="J4867" s="92"/>
    </row>
    <row r="4868" spans="1:10" ht="15.75" customHeight="1">
      <c r="A4868" s="28">
        <v>21599</v>
      </c>
      <c r="B4868" s="91">
        <v>45257.715636574074</v>
      </c>
      <c r="C4868" s="28" t="s">
        <v>0</v>
      </c>
      <c r="D4868" s="28" t="s">
        <v>1847</v>
      </c>
      <c r="E4868" s="28" t="s">
        <v>94</v>
      </c>
      <c r="F4868" s="28">
        <v>100</v>
      </c>
      <c r="G4868" s="28" t="s">
        <v>1580</v>
      </c>
      <c r="H4868" s="28">
        <v>0</v>
      </c>
      <c r="J4868" s="92"/>
    </row>
    <row r="4869" spans="1:10" ht="15.75" customHeight="1">
      <c r="A4869" s="28">
        <v>21600</v>
      </c>
      <c r="B4869" s="91">
        <v>45257.831759259258</v>
      </c>
      <c r="C4869" s="28" t="s">
        <v>0</v>
      </c>
      <c r="D4869" s="28" t="s">
        <v>1848</v>
      </c>
      <c r="E4869" s="28" t="s">
        <v>50</v>
      </c>
      <c r="F4869" s="28">
        <v>15</v>
      </c>
      <c r="G4869" s="28" t="s">
        <v>1467</v>
      </c>
      <c r="H4869" s="28">
        <v>0</v>
      </c>
      <c r="J4869" s="92"/>
    </row>
    <row r="4870" spans="1:10" ht="15.75" customHeight="1">
      <c r="A4870" s="28">
        <v>21601</v>
      </c>
      <c r="B4870" s="91">
        <v>45258.010428240741</v>
      </c>
      <c r="C4870" s="28" t="s">
        <v>0</v>
      </c>
      <c r="D4870" s="28" t="s">
        <v>1849</v>
      </c>
      <c r="E4870" s="28" t="s">
        <v>50</v>
      </c>
      <c r="F4870" s="28">
        <v>22</v>
      </c>
      <c r="G4870" s="28" t="s">
        <v>1535</v>
      </c>
      <c r="H4870" s="28">
        <v>0</v>
      </c>
      <c r="J4870" s="92"/>
    </row>
    <row r="4871" spans="1:10" ht="15.75" customHeight="1">
      <c r="A4871" s="28">
        <v>21601</v>
      </c>
      <c r="B4871" s="91">
        <v>45258.010428240741</v>
      </c>
      <c r="C4871" s="28" t="s">
        <v>0</v>
      </c>
      <c r="D4871" s="28" t="s">
        <v>1849</v>
      </c>
      <c r="E4871" s="28" t="s">
        <v>50</v>
      </c>
      <c r="F4871" s="28">
        <v>28</v>
      </c>
      <c r="G4871" s="28" t="s">
        <v>1448</v>
      </c>
      <c r="H4871" s="28">
        <v>0</v>
      </c>
      <c r="J4871" s="92"/>
    </row>
    <row r="4872" spans="1:10" ht="15.75" customHeight="1">
      <c r="A4872" s="28">
        <v>21602</v>
      </c>
      <c r="B4872" s="91">
        <v>45258.060173611113</v>
      </c>
      <c r="C4872" s="28" t="s">
        <v>0</v>
      </c>
      <c r="D4872" s="28" t="s">
        <v>1850</v>
      </c>
      <c r="E4872" s="28" t="s">
        <v>92</v>
      </c>
      <c r="F4872" s="28">
        <v>26</v>
      </c>
      <c r="G4872" s="28" t="s">
        <v>1455</v>
      </c>
      <c r="H4872" s="28">
        <v>0</v>
      </c>
      <c r="J4872" s="92"/>
    </row>
    <row r="4873" spans="1:10" ht="15.75" customHeight="1">
      <c r="A4873" s="28">
        <v>21602</v>
      </c>
      <c r="B4873" s="91">
        <v>45258.060173611113</v>
      </c>
      <c r="C4873" s="28" t="s">
        <v>0</v>
      </c>
      <c r="D4873" s="28" t="s">
        <v>1850</v>
      </c>
      <c r="E4873" s="28" t="s">
        <v>92</v>
      </c>
      <c r="F4873" s="28">
        <v>15</v>
      </c>
      <c r="G4873" s="28" t="s">
        <v>1453</v>
      </c>
      <c r="H4873" s="28">
        <v>0</v>
      </c>
      <c r="J4873" s="92"/>
    </row>
    <row r="4874" spans="1:10" ht="15.75" customHeight="1">
      <c r="A4874" s="28">
        <v>21603</v>
      </c>
      <c r="B4874" s="91">
        <v>45258.064375000002</v>
      </c>
      <c r="C4874" s="28" t="s">
        <v>0</v>
      </c>
      <c r="D4874" s="28" t="s">
        <v>1131</v>
      </c>
      <c r="E4874" s="28" t="s">
        <v>50</v>
      </c>
      <c r="F4874" s="28">
        <v>28</v>
      </c>
      <c r="G4874" s="28" t="s">
        <v>1448</v>
      </c>
      <c r="H4874" s="28">
        <v>0</v>
      </c>
      <c r="J4874" s="92"/>
    </row>
    <row r="4875" spans="1:10" ht="15.75" customHeight="1">
      <c r="A4875" s="28">
        <v>21603</v>
      </c>
      <c r="B4875" s="91">
        <v>45258.064375000002</v>
      </c>
      <c r="C4875" s="28" t="s">
        <v>0</v>
      </c>
      <c r="D4875" s="28" t="s">
        <v>1131</v>
      </c>
      <c r="E4875" s="28" t="s">
        <v>50</v>
      </c>
      <c r="F4875" s="28">
        <v>20</v>
      </c>
      <c r="G4875" s="28" t="s">
        <v>1444</v>
      </c>
      <c r="H4875" s="28">
        <v>0</v>
      </c>
      <c r="J4875" s="92"/>
    </row>
    <row r="4876" spans="1:10" ht="15.75" customHeight="1">
      <c r="A4876" s="28">
        <v>21606</v>
      </c>
      <c r="B4876" s="91">
        <v>45258.103472222225</v>
      </c>
      <c r="C4876" s="28" t="s">
        <v>0</v>
      </c>
      <c r="D4876" s="28" t="s">
        <v>1170</v>
      </c>
      <c r="E4876" s="28" t="s">
        <v>50</v>
      </c>
      <c r="F4876" s="28">
        <v>25</v>
      </c>
      <c r="G4876" s="28" t="s">
        <v>1446</v>
      </c>
      <c r="H4876" s="28">
        <v>0</v>
      </c>
      <c r="J4876" s="92"/>
    </row>
    <row r="4877" spans="1:10" ht="15.75" customHeight="1">
      <c r="A4877" s="28">
        <v>21607</v>
      </c>
      <c r="B4877" s="91">
        <v>45258.105011574073</v>
      </c>
      <c r="C4877" s="28" t="s">
        <v>0</v>
      </c>
      <c r="D4877" s="28" t="s">
        <v>499</v>
      </c>
      <c r="E4877" s="28" t="s">
        <v>50</v>
      </c>
      <c r="F4877" s="28">
        <v>25</v>
      </c>
      <c r="G4877" s="28" t="s">
        <v>1446</v>
      </c>
      <c r="H4877" s="28">
        <v>0</v>
      </c>
      <c r="J4877" s="92"/>
    </row>
    <row r="4878" spans="1:10" ht="15.75" customHeight="1">
      <c r="A4878" s="28">
        <v>21609</v>
      </c>
      <c r="B4878" s="91">
        <v>45258.110578703701</v>
      </c>
      <c r="C4878" s="28" t="s">
        <v>0</v>
      </c>
      <c r="D4878" s="28" t="s">
        <v>499</v>
      </c>
      <c r="E4878" s="28" t="s">
        <v>50</v>
      </c>
      <c r="F4878" s="28">
        <v>20</v>
      </c>
      <c r="G4878" s="28"/>
      <c r="H4878" s="28">
        <v>0</v>
      </c>
      <c r="J4878" s="92"/>
    </row>
    <row r="4879" spans="1:10" ht="15.75" customHeight="1">
      <c r="A4879" s="28">
        <v>21611</v>
      </c>
      <c r="B4879" s="91">
        <v>45258.134363425925</v>
      </c>
      <c r="C4879" s="28" t="s">
        <v>0</v>
      </c>
      <c r="D4879" s="28" t="s">
        <v>773</v>
      </c>
      <c r="E4879" s="28" t="s">
        <v>79</v>
      </c>
      <c r="F4879" s="28">
        <v>20</v>
      </c>
      <c r="G4879" s="28" t="s">
        <v>1444</v>
      </c>
      <c r="H4879" s="28">
        <v>0</v>
      </c>
      <c r="J4879" s="92"/>
    </row>
    <row r="4880" spans="1:10" ht="15.75" customHeight="1">
      <c r="A4880" s="28">
        <v>21611</v>
      </c>
      <c r="B4880" s="91">
        <v>45258.134363425925</v>
      </c>
      <c r="C4880" s="28" t="s">
        <v>0</v>
      </c>
      <c r="D4880" s="28" t="s">
        <v>773</v>
      </c>
      <c r="E4880" s="28" t="s">
        <v>79</v>
      </c>
      <c r="F4880" s="28">
        <v>15</v>
      </c>
      <c r="G4880" s="28" t="s">
        <v>1453</v>
      </c>
      <c r="H4880" s="28">
        <v>0</v>
      </c>
      <c r="J4880" s="92"/>
    </row>
    <row r="4881" spans="1:10" ht="15.75" customHeight="1">
      <c r="A4881" s="28">
        <v>21612</v>
      </c>
      <c r="B4881" s="91">
        <v>45258.193379629629</v>
      </c>
      <c r="C4881" s="28" t="s">
        <v>0</v>
      </c>
      <c r="D4881" s="28" t="s">
        <v>1851</v>
      </c>
      <c r="E4881" s="28" t="s">
        <v>50</v>
      </c>
      <c r="F4881" s="28">
        <v>15</v>
      </c>
      <c r="G4881" s="28" t="s">
        <v>1453</v>
      </c>
      <c r="H4881" s="28">
        <v>0</v>
      </c>
      <c r="J4881" s="92"/>
    </row>
    <row r="4882" spans="1:10" ht="15.75" customHeight="1">
      <c r="A4882" s="28">
        <v>21615</v>
      </c>
      <c r="B4882" s="91">
        <v>45259.512546296297</v>
      </c>
      <c r="C4882" s="28" t="s">
        <v>0</v>
      </c>
      <c r="D4882" s="28" t="s">
        <v>1852</v>
      </c>
      <c r="E4882" s="28" t="s">
        <v>94</v>
      </c>
      <c r="F4882" s="28">
        <v>25</v>
      </c>
      <c r="G4882" s="28" t="s">
        <v>141</v>
      </c>
      <c r="H4882" s="28">
        <v>0</v>
      </c>
      <c r="J4882" s="92"/>
    </row>
    <row r="4883" spans="1:10" ht="15.75" customHeight="1">
      <c r="A4883" s="28">
        <v>21649</v>
      </c>
      <c r="B4883" s="91">
        <v>45260.915416666663</v>
      </c>
      <c r="C4883" s="28" t="s">
        <v>0</v>
      </c>
      <c r="D4883" s="28" t="s">
        <v>1201</v>
      </c>
      <c r="E4883" s="28" t="s">
        <v>50</v>
      </c>
      <c r="F4883" s="28">
        <v>15</v>
      </c>
      <c r="G4883" s="28" t="s">
        <v>1467</v>
      </c>
      <c r="H4883" s="28">
        <v>0</v>
      </c>
      <c r="J4883" s="92"/>
    </row>
    <row r="4884" spans="1:10" ht="15.75" customHeight="1">
      <c r="A4884" s="28">
        <v>21649</v>
      </c>
      <c r="B4884" s="91">
        <v>45260.915416666663</v>
      </c>
      <c r="C4884" s="28" t="s">
        <v>0</v>
      </c>
      <c r="D4884" s="28" t="s">
        <v>1201</v>
      </c>
      <c r="E4884" s="28" t="s">
        <v>50</v>
      </c>
      <c r="F4884" s="28">
        <v>26</v>
      </c>
      <c r="G4884" s="28" t="s">
        <v>1455</v>
      </c>
      <c r="H4884" s="28">
        <v>0</v>
      </c>
      <c r="J4884" s="92"/>
    </row>
    <row r="4885" spans="1:10" ht="15.75" customHeight="1">
      <c r="A4885" s="28">
        <v>21659</v>
      </c>
      <c r="B4885" s="91">
        <v>45261.698703703703</v>
      </c>
      <c r="C4885" s="28" t="s">
        <v>0</v>
      </c>
      <c r="D4885" s="28" t="s">
        <v>1853</v>
      </c>
      <c r="E4885" s="28" t="s">
        <v>91</v>
      </c>
      <c r="F4885" s="28">
        <v>15</v>
      </c>
      <c r="G4885" s="28" t="s">
        <v>125</v>
      </c>
      <c r="H4885" s="28">
        <v>0</v>
      </c>
      <c r="J4885" s="92"/>
    </row>
    <row r="4886" spans="1:10" ht="15.75" customHeight="1">
      <c r="A4886" s="28">
        <v>21660</v>
      </c>
      <c r="B4886" s="91">
        <v>45262.023379629631</v>
      </c>
      <c r="C4886" s="28" t="s">
        <v>0</v>
      </c>
      <c r="D4886" s="28" t="s">
        <v>1854</v>
      </c>
      <c r="E4886" s="28" t="s">
        <v>94</v>
      </c>
      <c r="F4886" s="28">
        <v>15</v>
      </c>
      <c r="G4886" s="28" t="s">
        <v>1453</v>
      </c>
      <c r="H4886" s="28">
        <v>0</v>
      </c>
      <c r="J4886" s="92"/>
    </row>
    <row r="4887" spans="1:10" ht="15.75" customHeight="1">
      <c r="A4887" s="28">
        <v>21660</v>
      </c>
      <c r="B4887" s="91">
        <v>45262.023379629631</v>
      </c>
      <c r="C4887" s="28" t="s">
        <v>0</v>
      </c>
      <c r="D4887" s="28" t="s">
        <v>1854</v>
      </c>
      <c r="E4887" s="28" t="s">
        <v>94</v>
      </c>
      <c r="F4887" s="28">
        <v>22</v>
      </c>
      <c r="G4887" s="28" t="s">
        <v>1459</v>
      </c>
      <c r="H4887" s="28">
        <v>0</v>
      </c>
      <c r="J4887" s="92"/>
    </row>
    <row r="4888" spans="1:10" ht="15.75" customHeight="1">
      <c r="A4888" s="28">
        <v>21660</v>
      </c>
      <c r="B4888" s="91">
        <v>45262.023379629631</v>
      </c>
      <c r="C4888" s="28" t="s">
        <v>0</v>
      </c>
      <c r="D4888" s="28" t="s">
        <v>1854</v>
      </c>
      <c r="E4888" s="28" t="s">
        <v>94</v>
      </c>
      <c r="F4888" s="28">
        <v>20</v>
      </c>
      <c r="G4888" s="28" t="s">
        <v>1475</v>
      </c>
      <c r="H4888" s="28">
        <v>0</v>
      </c>
      <c r="J4888" s="92"/>
    </row>
    <row r="4889" spans="1:10" ht="15.75" customHeight="1">
      <c r="A4889" s="28">
        <v>21660</v>
      </c>
      <c r="B4889" s="91">
        <v>45262.023379629631</v>
      </c>
      <c r="C4889" s="28" t="s">
        <v>0</v>
      </c>
      <c r="D4889" s="28" t="s">
        <v>1854</v>
      </c>
      <c r="E4889" s="28" t="s">
        <v>94</v>
      </c>
      <c r="F4889" s="28">
        <v>0</v>
      </c>
      <c r="G4889" s="28" t="s">
        <v>141</v>
      </c>
      <c r="H4889" s="28">
        <v>0</v>
      </c>
      <c r="J4889" s="92"/>
    </row>
    <row r="4890" spans="1:10" ht="15.75" customHeight="1">
      <c r="A4890" s="28">
        <v>21661</v>
      </c>
      <c r="B4890" s="91">
        <v>45262.026192129626</v>
      </c>
      <c r="C4890" s="28" t="s">
        <v>0</v>
      </c>
      <c r="D4890" s="28" t="s">
        <v>1855</v>
      </c>
      <c r="E4890" s="28" t="s">
        <v>94</v>
      </c>
      <c r="F4890" s="28">
        <v>18</v>
      </c>
      <c r="G4890" s="28" t="s">
        <v>1470</v>
      </c>
      <c r="H4890" s="28">
        <v>0</v>
      </c>
      <c r="J4890" s="92"/>
    </row>
    <row r="4891" spans="1:10" ht="15.75" customHeight="1">
      <c r="A4891" s="28">
        <v>21666</v>
      </c>
      <c r="B4891" s="91">
        <v>45262.059872685182</v>
      </c>
      <c r="C4891" s="28" t="s">
        <v>0</v>
      </c>
      <c r="D4891" s="28" t="s">
        <v>1856</v>
      </c>
      <c r="E4891" s="28" t="s">
        <v>94</v>
      </c>
      <c r="F4891" s="28">
        <v>56</v>
      </c>
      <c r="G4891" s="28" t="s">
        <v>1448</v>
      </c>
      <c r="H4891" s="28">
        <v>0</v>
      </c>
      <c r="J4891" s="92"/>
    </row>
    <row r="4892" spans="1:10" ht="15.75" customHeight="1">
      <c r="A4892" s="28">
        <v>21666</v>
      </c>
      <c r="B4892" s="91">
        <v>45262.059872685182</v>
      </c>
      <c r="C4892" s="28" t="s">
        <v>0</v>
      </c>
      <c r="D4892" s="28" t="s">
        <v>1856</v>
      </c>
      <c r="E4892" s="28" t="s">
        <v>94</v>
      </c>
      <c r="F4892" s="28">
        <v>20</v>
      </c>
      <c r="G4892" s="28"/>
      <c r="H4892" s="28">
        <v>0</v>
      </c>
      <c r="J4892" s="92"/>
    </row>
    <row r="4893" spans="1:10" ht="15.75" customHeight="1">
      <c r="A4893" s="28">
        <v>21666</v>
      </c>
      <c r="B4893" s="91">
        <v>45262.059872685182</v>
      </c>
      <c r="C4893" s="28" t="s">
        <v>0</v>
      </c>
      <c r="D4893" s="28" t="s">
        <v>1856</v>
      </c>
      <c r="E4893" s="28" t="s">
        <v>94</v>
      </c>
      <c r="F4893" s="28">
        <v>0</v>
      </c>
      <c r="G4893" s="28" t="s">
        <v>141</v>
      </c>
      <c r="H4893" s="28">
        <v>0</v>
      </c>
      <c r="J4893" s="92"/>
    </row>
    <row r="4894" spans="1:10" ht="15.75" customHeight="1">
      <c r="A4894" s="28">
        <v>21667</v>
      </c>
      <c r="B4894" s="91">
        <v>45262.517256944448</v>
      </c>
      <c r="C4894" s="28" t="s">
        <v>0</v>
      </c>
      <c r="D4894" s="28" t="s">
        <v>356</v>
      </c>
      <c r="E4894" s="28" t="s">
        <v>94</v>
      </c>
      <c r="F4894" s="28">
        <v>15</v>
      </c>
      <c r="G4894" s="28" t="s">
        <v>1453</v>
      </c>
      <c r="H4894" s="28">
        <v>0</v>
      </c>
      <c r="J4894" s="92"/>
    </row>
    <row r="4895" spans="1:10" ht="15.75" customHeight="1">
      <c r="A4895" s="28">
        <v>21667</v>
      </c>
      <c r="B4895" s="91">
        <v>45262.517256944448</v>
      </c>
      <c r="C4895" s="28" t="s">
        <v>0</v>
      </c>
      <c r="D4895" s="28" t="s">
        <v>356</v>
      </c>
      <c r="E4895" s="28" t="s">
        <v>94</v>
      </c>
      <c r="F4895" s="28">
        <v>0</v>
      </c>
      <c r="G4895" s="28" t="s">
        <v>141</v>
      </c>
      <c r="H4895" s="28">
        <v>0</v>
      </c>
      <c r="J4895" s="92"/>
    </row>
    <row r="4896" spans="1:10" ht="15.75" customHeight="1">
      <c r="A4896" s="28">
        <v>21668</v>
      </c>
      <c r="B4896" s="91">
        <v>45262.893946759257</v>
      </c>
      <c r="C4896" s="28" t="s">
        <v>0</v>
      </c>
      <c r="D4896" s="28" t="s">
        <v>1857</v>
      </c>
      <c r="E4896" s="28" t="s">
        <v>91</v>
      </c>
      <c r="F4896" s="28">
        <v>28</v>
      </c>
      <c r="G4896" s="28" t="s">
        <v>1448</v>
      </c>
      <c r="H4896" s="28">
        <v>0</v>
      </c>
      <c r="J4896" s="92"/>
    </row>
    <row r="4897" spans="1:10" ht="15.75" customHeight="1">
      <c r="A4897" s="28">
        <v>21669</v>
      </c>
      <c r="B4897" s="91">
        <v>45262.946412037039</v>
      </c>
      <c r="C4897" s="28" t="s">
        <v>0</v>
      </c>
      <c r="D4897" s="28" t="s">
        <v>1858</v>
      </c>
      <c r="E4897" s="28" t="s">
        <v>94</v>
      </c>
      <c r="F4897" s="28">
        <v>40</v>
      </c>
      <c r="G4897" s="28"/>
      <c r="H4897" s="28">
        <v>0</v>
      </c>
      <c r="J4897" s="92"/>
    </row>
    <row r="4898" spans="1:10" ht="15.75" customHeight="1">
      <c r="A4898" s="28">
        <v>21669</v>
      </c>
      <c r="B4898" s="91">
        <v>45262.946412037039</v>
      </c>
      <c r="C4898" s="28" t="s">
        <v>0</v>
      </c>
      <c r="D4898" s="28" t="s">
        <v>1858</v>
      </c>
      <c r="E4898" s="28" t="s">
        <v>94</v>
      </c>
      <c r="F4898" s="28">
        <v>2</v>
      </c>
      <c r="G4898" s="28" t="s">
        <v>117</v>
      </c>
      <c r="H4898" s="28">
        <v>0</v>
      </c>
      <c r="J4898" s="92"/>
    </row>
    <row r="4899" spans="1:10" ht="15.75" customHeight="1">
      <c r="A4899" s="28">
        <v>21670</v>
      </c>
      <c r="B4899" s="91">
        <v>45263.013148148151</v>
      </c>
      <c r="C4899" s="28" t="s">
        <v>18</v>
      </c>
      <c r="D4899" s="28" t="s">
        <v>1859</v>
      </c>
      <c r="E4899" s="28" t="s">
        <v>94</v>
      </c>
      <c r="F4899" s="28">
        <v>22</v>
      </c>
      <c r="G4899" s="28" t="s">
        <v>1459</v>
      </c>
      <c r="H4899" s="28">
        <v>0</v>
      </c>
      <c r="J4899" s="92"/>
    </row>
    <row r="4900" spans="1:10" ht="15.75" customHeight="1">
      <c r="A4900" s="28">
        <v>21671</v>
      </c>
      <c r="B4900" s="91">
        <v>45263.063923611109</v>
      </c>
      <c r="C4900" s="28" t="s">
        <v>0</v>
      </c>
      <c r="D4900" s="28" t="s">
        <v>1860</v>
      </c>
      <c r="E4900" s="28" t="s">
        <v>94</v>
      </c>
      <c r="F4900" s="28">
        <v>25</v>
      </c>
      <c r="G4900" s="28" t="s">
        <v>141</v>
      </c>
      <c r="H4900" s="28">
        <v>0</v>
      </c>
      <c r="J4900" s="92"/>
    </row>
    <row r="4901" spans="1:10" ht="15.75" customHeight="1">
      <c r="A4901" s="28">
        <v>21672</v>
      </c>
      <c r="B4901" s="91">
        <v>45263.127071759256</v>
      </c>
      <c r="C4901" s="28" t="s">
        <v>51</v>
      </c>
      <c r="D4901" s="28" t="s">
        <v>1861</v>
      </c>
      <c r="E4901" s="28" t="s">
        <v>94</v>
      </c>
      <c r="F4901" s="28">
        <v>15</v>
      </c>
      <c r="G4901" s="28" t="s">
        <v>1467</v>
      </c>
      <c r="H4901" s="28">
        <v>0</v>
      </c>
      <c r="J4901" s="92"/>
    </row>
    <row r="4902" spans="1:10" ht="15.75" customHeight="1">
      <c r="A4902" s="28">
        <v>21673</v>
      </c>
      <c r="B4902" s="91">
        <v>45264.019895833335</v>
      </c>
      <c r="C4902" s="28" t="s">
        <v>0</v>
      </c>
      <c r="D4902" s="28" t="s">
        <v>1862</v>
      </c>
      <c r="E4902" s="28" t="s">
        <v>96</v>
      </c>
      <c r="F4902" s="28">
        <v>22</v>
      </c>
      <c r="G4902" s="28" t="s">
        <v>1535</v>
      </c>
      <c r="H4902" s="28">
        <v>0</v>
      </c>
      <c r="J4902" s="92"/>
    </row>
    <row r="4903" spans="1:10" ht="15.75" customHeight="1">
      <c r="A4903" s="28">
        <v>21676</v>
      </c>
      <c r="B4903" s="91">
        <v>45264.414097222223</v>
      </c>
      <c r="C4903" s="28" t="s">
        <v>0</v>
      </c>
      <c r="D4903" s="28" t="s">
        <v>1863</v>
      </c>
      <c r="E4903" s="28" t="s">
        <v>92</v>
      </c>
      <c r="F4903" s="28">
        <v>20</v>
      </c>
      <c r="G4903" s="28"/>
      <c r="H4903" s="28">
        <v>0</v>
      </c>
      <c r="J4903" s="92"/>
    </row>
    <row r="4904" spans="1:10" ht="15.75" customHeight="1">
      <c r="A4904" s="28">
        <v>21677</v>
      </c>
      <c r="B4904" s="91">
        <v>45264.670115740744</v>
      </c>
      <c r="C4904" s="28" t="s">
        <v>0</v>
      </c>
      <c r="D4904" s="28" t="s">
        <v>1864</v>
      </c>
      <c r="E4904" s="28" t="s">
        <v>94</v>
      </c>
      <c r="F4904" s="28">
        <v>15</v>
      </c>
      <c r="G4904" s="28" t="s">
        <v>1453</v>
      </c>
      <c r="H4904" s="28">
        <v>0</v>
      </c>
      <c r="J4904" s="92"/>
    </row>
    <row r="4905" spans="1:10" ht="15.75" customHeight="1">
      <c r="A4905" s="28">
        <v>21678</v>
      </c>
      <c r="B4905" s="91">
        <v>45264.691979166666</v>
      </c>
      <c r="C4905" s="28" t="s">
        <v>0</v>
      </c>
      <c r="D4905" s="28" t="s">
        <v>1865</v>
      </c>
      <c r="E4905" s="28" t="s">
        <v>94</v>
      </c>
      <c r="F4905" s="28">
        <v>35</v>
      </c>
      <c r="G4905" s="28" t="s">
        <v>1443</v>
      </c>
      <c r="H4905" s="28">
        <v>0</v>
      </c>
      <c r="J4905" s="92"/>
    </row>
    <row r="4906" spans="1:10" ht="15.75" customHeight="1">
      <c r="A4906" s="28">
        <v>21679</v>
      </c>
      <c r="B4906" s="91">
        <v>45264.730567129627</v>
      </c>
      <c r="C4906" s="28" t="s">
        <v>0</v>
      </c>
      <c r="D4906" s="28" t="s">
        <v>1866</v>
      </c>
      <c r="E4906" s="28" t="s">
        <v>94</v>
      </c>
      <c r="F4906" s="28">
        <v>25</v>
      </c>
      <c r="G4906" s="28" t="s">
        <v>141</v>
      </c>
      <c r="H4906" s="28">
        <v>0</v>
      </c>
      <c r="J4906" s="92"/>
    </row>
    <row r="4907" spans="1:10" ht="15.75" customHeight="1">
      <c r="A4907" s="28">
        <v>21680</v>
      </c>
      <c r="B4907" s="91">
        <v>45264.778298611112</v>
      </c>
      <c r="C4907" s="28" t="s">
        <v>0</v>
      </c>
      <c r="D4907" s="28" t="s">
        <v>1867</v>
      </c>
      <c r="E4907" s="28" t="s">
        <v>94</v>
      </c>
      <c r="F4907" s="28">
        <v>0</v>
      </c>
      <c r="G4907" s="28" t="s">
        <v>141</v>
      </c>
      <c r="H4907" s="28">
        <v>0</v>
      </c>
      <c r="J4907" s="92"/>
    </row>
    <row r="4908" spans="1:10" ht="15.75" customHeight="1">
      <c r="A4908" s="28">
        <v>21681</v>
      </c>
      <c r="B4908" s="91">
        <v>45264.798495370371</v>
      </c>
      <c r="C4908" s="28" t="s">
        <v>0</v>
      </c>
      <c r="D4908" s="28" t="s">
        <v>1868</v>
      </c>
      <c r="E4908" s="28" t="s">
        <v>94</v>
      </c>
      <c r="F4908" s="28">
        <v>55</v>
      </c>
      <c r="G4908" s="28" t="s">
        <v>1457</v>
      </c>
      <c r="H4908" s="28">
        <v>0</v>
      </c>
      <c r="J4908" s="92"/>
    </row>
    <row r="4909" spans="1:10" ht="15.75" customHeight="1">
      <c r="A4909" s="28">
        <v>21682</v>
      </c>
      <c r="B4909" s="91">
        <v>45264.890243055554</v>
      </c>
      <c r="C4909" s="28" t="s">
        <v>18</v>
      </c>
      <c r="D4909" s="28" t="s">
        <v>1869</v>
      </c>
      <c r="E4909" s="28" t="s">
        <v>94</v>
      </c>
      <c r="F4909" s="28">
        <v>25</v>
      </c>
      <c r="G4909" s="28" t="s">
        <v>141</v>
      </c>
      <c r="H4909" s="28">
        <v>0</v>
      </c>
      <c r="J4909" s="92"/>
    </row>
    <row r="4910" spans="1:10" ht="15.75" customHeight="1">
      <c r="A4910" s="28">
        <v>21683</v>
      </c>
      <c r="B4910" s="91">
        <v>45264.899409722224</v>
      </c>
      <c r="C4910" s="28" t="s">
        <v>0</v>
      </c>
      <c r="D4910" s="28" t="s">
        <v>1870</v>
      </c>
      <c r="E4910" s="28" t="s">
        <v>94</v>
      </c>
      <c r="F4910" s="28">
        <v>25</v>
      </c>
      <c r="G4910" s="28" t="s">
        <v>141</v>
      </c>
      <c r="H4910" s="28">
        <v>0</v>
      </c>
      <c r="J4910" s="92"/>
    </row>
    <row r="4911" spans="1:10" ht="15.75" customHeight="1">
      <c r="A4911" s="28">
        <v>21684</v>
      </c>
      <c r="B4911" s="91">
        <v>45264.993680555555</v>
      </c>
      <c r="C4911" s="28" t="s">
        <v>0</v>
      </c>
      <c r="D4911" s="28" t="s">
        <v>1871</v>
      </c>
      <c r="E4911" s="28" t="s">
        <v>94</v>
      </c>
      <c r="F4911" s="28">
        <v>25</v>
      </c>
      <c r="G4911" s="28" t="s">
        <v>141</v>
      </c>
      <c r="H4911" s="28">
        <v>0</v>
      </c>
      <c r="J4911" s="92"/>
    </row>
    <row r="4912" spans="1:10" ht="15.75" customHeight="1">
      <c r="A4912" s="28">
        <v>21685</v>
      </c>
      <c r="B4912" s="91">
        <v>45265.585162037038</v>
      </c>
      <c r="C4912" s="28" t="s">
        <v>0</v>
      </c>
      <c r="D4912" s="28" t="s">
        <v>1867</v>
      </c>
      <c r="E4912" s="28" t="s">
        <v>94</v>
      </c>
      <c r="F4912" s="28">
        <v>22</v>
      </c>
      <c r="G4912" s="28" t="s">
        <v>1535</v>
      </c>
      <c r="H4912" s="28">
        <v>0</v>
      </c>
      <c r="J4912" s="92"/>
    </row>
    <row r="4913" spans="1:10" ht="15.75" customHeight="1">
      <c r="A4913" s="28">
        <v>21685</v>
      </c>
      <c r="B4913" s="91">
        <v>45265.585162037038</v>
      </c>
      <c r="C4913" s="28" t="s">
        <v>0</v>
      </c>
      <c r="D4913" s="28" t="s">
        <v>1867</v>
      </c>
      <c r="E4913" s="28" t="s">
        <v>94</v>
      </c>
      <c r="F4913" s="28">
        <v>28</v>
      </c>
      <c r="G4913" s="28" t="s">
        <v>1448</v>
      </c>
      <c r="H4913" s="28">
        <v>0</v>
      </c>
      <c r="J4913" s="92"/>
    </row>
    <row r="4914" spans="1:10" ht="15.75" customHeight="1">
      <c r="A4914" s="28">
        <v>21686</v>
      </c>
      <c r="B4914" s="91">
        <v>45265.829062500001</v>
      </c>
      <c r="C4914" s="28" t="s">
        <v>0</v>
      </c>
      <c r="D4914" s="28" t="s">
        <v>1872</v>
      </c>
      <c r="E4914" s="28" t="s">
        <v>50</v>
      </c>
      <c r="F4914" s="28">
        <v>15</v>
      </c>
      <c r="G4914" s="28" t="s">
        <v>1453</v>
      </c>
      <c r="H4914" s="28">
        <v>0</v>
      </c>
      <c r="J4914" s="92"/>
    </row>
    <row r="4915" spans="1:10" ht="15.75" customHeight="1">
      <c r="A4915" s="28">
        <v>21688</v>
      </c>
      <c r="B4915" s="91">
        <v>45267.055428240739</v>
      </c>
      <c r="C4915" s="28" t="s">
        <v>0</v>
      </c>
      <c r="D4915" s="28" t="s">
        <v>1873</v>
      </c>
      <c r="E4915" s="28" t="s">
        <v>94</v>
      </c>
      <c r="F4915" s="28">
        <v>25</v>
      </c>
      <c r="G4915" s="28" t="s">
        <v>1446</v>
      </c>
      <c r="H4915" s="28">
        <v>0</v>
      </c>
      <c r="J4915" s="92"/>
    </row>
    <row r="4916" spans="1:10" ht="15.75" customHeight="1">
      <c r="A4916" s="28">
        <v>21692</v>
      </c>
      <c r="B4916" s="91">
        <v>45267.233449074076</v>
      </c>
      <c r="C4916" s="28" t="s">
        <v>0</v>
      </c>
      <c r="D4916" s="28" t="s">
        <v>1874</v>
      </c>
      <c r="E4916" s="28" t="s">
        <v>92</v>
      </c>
      <c r="F4916" s="28">
        <v>28</v>
      </c>
      <c r="G4916" s="28" t="s">
        <v>1448</v>
      </c>
      <c r="H4916" s="28">
        <v>0</v>
      </c>
      <c r="J4916" s="92"/>
    </row>
    <row r="4917" spans="1:10" ht="15.75" customHeight="1">
      <c r="A4917" s="28">
        <v>21692</v>
      </c>
      <c r="B4917" s="91">
        <v>45267.233449074076</v>
      </c>
      <c r="C4917" s="28" t="s">
        <v>0</v>
      </c>
      <c r="D4917" s="28" t="s">
        <v>1874</v>
      </c>
      <c r="E4917" s="28" t="s">
        <v>92</v>
      </c>
      <c r="F4917" s="28">
        <v>18</v>
      </c>
      <c r="G4917" s="28" t="s">
        <v>1470</v>
      </c>
      <c r="H4917" s="28">
        <v>0</v>
      </c>
      <c r="J4917" s="92"/>
    </row>
    <row r="4918" spans="1:10" ht="15.75" customHeight="1">
      <c r="A4918" s="28">
        <v>21694</v>
      </c>
      <c r="B4918" s="91">
        <v>45268.120740740742</v>
      </c>
      <c r="C4918" s="28" t="s">
        <v>0</v>
      </c>
      <c r="D4918" s="28" t="s">
        <v>1637</v>
      </c>
      <c r="E4918" s="28" t="s">
        <v>92</v>
      </c>
      <c r="F4918" s="28">
        <v>15</v>
      </c>
      <c r="G4918" s="28" t="s">
        <v>1467</v>
      </c>
      <c r="H4918" s="28">
        <v>0</v>
      </c>
      <c r="J4918" s="92"/>
    </row>
    <row r="4919" spans="1:10" ht="15.75" customHeight="1">
      <c r="A4919" s="28">
        <v>21694</v>
      </c>
      <c r="B4919" s="91">
        <v>45268.120740740742</v>
      </c>
      <c r="C4919" s="28" t="s">
        <v>0</v>
      </c>
      <c r="D4919" s="28" t="s">
        <v>1637</v>
      </c>
      <c r="E4919" s="28" t="s">
        <v>92</v>
      </c>
      <c r="F4919" s="28">
        <v>22</v>
      </c>
      <c r="G4919" s="28" t="s">
        <v>1535</v>
      </c>
      <c r="H4919" s="28">
        <v>0</v>
      </c>
      <c r="J4919" s="92"/>
    </row>
    <row r="4920" spans="1:10" ht="15.75" customHeight="1">
      <c r="A4920" s="28">
        <v>21694</v>
      </c>
      <c r="B4920" s="91">
        <v>45268.120740740742</v>
      </c>
      <c r="C4920" s="28" t="s">
        <v>0</v>
      </c>
      <c r="D4920" s="28" t="s">
        <v>1637</v>
      </c>
      <c r="E4920" s="28" t="s">
        <v>92</v>
      </c>
      <c r="F4920" s="28">
        <v>18</v>
      </c>
      <c r="G4920" s="28" t="s">
        <v>1470</v>
      </c>
      <c r="H4920" s="28">
        <v>0</v>
      </c>
      <c r="J4920" s="92"/>
    </row>
    <row r="4921" spans="1:10" ht="15.75" customHeight="1">
      <c r="A4921" s="28">
        <v>21695</v>
      </c>
      <c r="B4921" s="91">
        <v>45268.60765046296</v>
      </c>
      <c r="C4921" s="28" t="s">
        <v>0</v>
      </c>
      <c r="D4921" s="28" t="s">
        <v>1875</v>
      </c>
      <c r="E4921" s="28" t="s">
        <v>94</v>
      </c>
      <c r="F4921" s="28">
        <v>35</v>
      </c>
      <c r="G4921" s="28" t="s">
        <v>1443</v>
      </c>
      <c r="H4921" s="28">
        <v>0</v>
      </c>
      <c r="J4921" s="92"/>
    </row>
    <row r="4922" spans="1:10" ht="15.75" customHeight="1">
      <c r="A4922" s="28">
        <v>21699</v>
      </c>
      <c r="B4922" s="91">
        <v>45269.578344907408</v>
      </c>
      <c r="C4922" s="28" t="s">
        <v>0</v>
      </c>
      <c r="D4922" s="28" t="s">
        <v>1766</v>
      </c>
      <c r="E4922" s="28" t="s">
        <v>50</v>
      </c>
      <c r="F4922" s="28">
        <v>25</v>
      </c>
      <c r="G4922" s="28" t="s">
        <v>141</v>
      </c>
      <c r="H4922" s="28">
        <v>0</v>
      </c>
      <c r="J4922" s="92"/>
    </row>
    <row r="4923" spans="1:10" ht="15.75" customHeight="1">
      <c r="A4923" s="28">
        <v>21706</v>
      </c>
      <c r="B4923" s="91">
        <v>45272.004467592589</v>
      </c>
      <c r="C4923" s="28" t="s">
        <v>0</v>
      </c>
      <c r="D4923" s="28" t="s">
        <v>1876</v>
      </c>
      <c r="E4923" s="28" t="s">
        <v>75</v>
      </c>
      <c r="F4923" s="28">
        <v>25</v>
      </c>
      <c r="G4923" s="28" t="s">
        <v>141</v>
      </c>
      <c r="H4923" s="28">
        <v>0</v>
      </c>
      <c r="J4923" s="92"/>
    </row>
    <row r="4924" spans="1:10" ht="15.75" customHeight="1">
      <c r="A4924" s="28">
        <v>21782</v>
      </c>
      <c r="B4924" s="91">
        <v>45274.601064814815</v>
      </c>
      <c r="C4924" s="28" t="s">
        <v>0</v>
      </c>
      <c r="D4924" s="28" t="s">
        <v>1751</v>
      </c>
      <c r="E4924" s="28" t="s">
        <v>50</v>
      </c>
      <c r="F4924" s="28">
        <v>25</v>
      </c>
      <c r="G4924" s="28" t="s">
        <v>1446</v>
      </c>
      <c r="H4924" s="28">
        <v>0</v>
      </c>
      <c r="J4924" s="92"/>
    </row>
    <row r="4925" spans="1:10" ht="15.75" customHeight="1">
      <c r="A4925" s="28">
        <v>21806</v>
      </c>
      <c r="B4925" s="91">
        <v>45276.904803240737</v>
      </c>
      <c r="C4925" s="28" t="s">
        <v>0</v>
      </c>
      <c r="D4925" s="28" t="s">
        <v>1877</v>
      </c>
      <c r="E4925" s="28" t="s">
        <v>50</v>
      </c>
      <c r="F4925" s="28">
        <v>25</v>
      </c>
      <c r="G4925" s="28" t="s">
        <v>1446</v>
      </c>
      <c r="H4925" s="28">
        <v>0</v>
      </c>
      <c r="J4925" s="92"/>
    </row>
    <row r="4926" spans="1:10" ht="15.75" customHeight="1">
      <c r="A4926" s="28">
        <v>21807</v>
      </c>
      <c r="B4926" s="91">
        <v>45277.128541666665</v>
      </c>
      <c r="C4926" s="28" t="s">
        <v>0</v>
      </c>
      <c r="D4926" s="28" t="s">
        <v>1878</v>
      </c>
      <c r="E4926" s="28" t="s">
        <v>96</v>
      </c>
      <c r="F4926" s="28">
        <v>15</v>
      </c>
      <c r="G4926" s="28" t="s">
        <v>1453</v>
      </c>
      <c r="H4926" s="28">
        <v>0</v>
      </c>
      <c r="J4926" s="92"/>
    </row>
    <row r="4927" spans="1:10" ht="15.75" customHeight="1">
      <c r="A4927" s="28">
        <v>21808</v>
      </c>
      <c r="B4927" s="91">
        <v>45277.766770833332</v>
      </c>
      <c r="C4927" s="28" t="s">
        <v>0</v>
      </c>
      <c r="D4927" s="28" t="s">
        <v>1879</v>
      </c>
      <c r="E4927" s="28" t="s">
        <v>96</v>
      </c>
      <c r="F4927" s="28">
        <v>25</v>
      </c>
      <c r="G4927" s="28" t="s">
        <v>1446</v>
      </c>
      <c r="H4927" s="28">
        <v>0</v>
      </c>
      <c r="J4927" s="92"/>
    </row>
    <row r="4928" spans="1:10" ht="15.75" customHeight="1">
      <c r="A4928" s="28">
        <v>21808</v>
      </c>
      <c r="B4928" s="91">
        <v>45277.766770833332</v>
      </c>
      <c r="C4928" s="28" t="s">
        <v>0</v>
      </c>
      <c r="D4928" s="28" t="s">
        <v>1879</v>
      </c>
      <c r="E4928" s="28" t="s">
        <v>96</v>
      </c>
      <c r="F4928" s="28">
        <v>22</v>
      </c>
      <c r="G4928" s="28" t="s">
        <v>1459</v>
      </c>
      <c r="H4928" s="28">
        <v>0</v>
      </c>
      <c r="J4928" s="92"/>
    </row>
    <row r="4929" spans="1:10" ht="15.75" customHeight="1">
      <c r="A4929" s="28">
        <v>21810</v>
      </c>
      <c r="B4929" s="91">
        <v>45278.031261574077</v>
      </c>
      <c r="C4929" s="28" t="s">
        <v>0</v>
      </c>
      <c r="D4929" s="28" t="s">
        <v>1262</v>
      </c>
      <c r="E4929" s="28" t="s">
        <v>92</v>
      </c>
      <c r="F4929" s="28">
        <v>26</v>
      </c>
      <c r="G4929" s="28" t="s">
        <v>1455</v>
      </c>
      <c r="H4929" s="28">
        <v>0</v>
      </c>
      <c r="J4929" s="92"/>
    </row>
    <row r="4930" spans="1:10" ht="15.75" customHeight="1">
      <c r="A4930" s="28">
        <v>21814</v>
      </c>
      <c r="B4930" s="91">
        <v>45279.599560185183</v>
      </c>
      <c r="C4930" s="28" t="s">
        <v>0</v>
      </c>
      <c r="D4930" s="28" t="s">
        <v>1880</v>
      </c>
      <c r="E4930" s="28" t="s">
        <v>50</v>
      </c>
      <c r="F4930" s="28">
        <v>22</v>
      </c>
      <c r="G4930" s="28" t="s">
        <v>1535</v>
      </c>
      <c r="H4930" s="28">
        <v>0</v>
      </c>
      <c r="J4930" s="92"/>
    </row>
    <row r="4931" spans="1:10" ht="15.75" customHeight="1">
      <c r="A4931" s="28">
        <v>21815</v>
      </c>
      <c r="B4931" s="91">
        <v>45279.664340277777</v>
      </c>
      <c r="C4931" s="28" t="s">
        <v>0</v>
      </c>
      <c r="D4931" s="28" t="s">
        <v>1881</v>
      </c>
      <c r="E4931" s="28" t="s">
        <v>96</v>
      </c>
      <c r="F4931" s="28">
        <v>18</v>
      </c>
      <c r="G4931" s="28" t="s">
        <v>1470</v>
      </c>
      <c r="H4931" s="28">
        <v>0</v>
      </c>
      <c r="J4931" s="92"/>
    </row>
    <row r="4932" spans="1:10" ht="15.75" customHeight="1">
      <c r="A4932" s="28">
        <v>21817</v>
      </c>
      <c r="B4932" s="91">
        <v>45280.475659722222</v>
      </c>
      <c r="C4932" s="28" t="s">
        <v>0</v>
      </c>
      <c r="D4932" s="28" t="s">
        <v>1882</v>
      </c>
      <c r="E4932" s="28" t="s">
        <v>92</v>
      </c>
      <c r="F4932" s="28">
        <v>22</v>
      </c>
      <c r="G4932" s="28" t="s">
        <v>1459</v>
      </c>
      <c r="H4932" s="28">
        <v>0</v>
      </c>
      <c r="J4932" s="92"/>
    </row>
    <row r="4933" spans="1:10" ht="15.75" customHeight="1">
      <c r="A4933" s="28">
        <v>21826</v>
      </c>
      <c r="B4933" s="91">
        <v>45281.597858796296</v>
      </c>
      <c r="C4933" s="28" t="s">
        <v>0</v>
      </c>
      <c r="D4933" s="28" t="s">
        <v>1194</v>
      </c>
      <c r="E4933" s="28" t="s">
        <v>50</v>
      </c>
      <c r="F4933" s="28">
        <v>26</v>
      </c>
      <c r="G4933" s="28" t="s">
        <v>1455</v>
      </c>
      <c r="H4933" s="28">
        <v>0</v>
      </c>
      <c r="J4933" s="92"/>
    </row>
    <row r="4934" spans="1:10" ht="15.75" customHeight="1">
      <c r="A4934" s="28">
        <v>21828</v>
      </c>
      <c r="B4934" s="91">
        <v>45281.656550925924</v>
      </c>
      <c r="C4934" s="28" t="s">
        <v>0</v>
      </c>
      <c r="D4934" s="28" t="s">
        <v>1883</v>
      </c>
      <c r="E4934" s="28" t="s">
        <v>50</v>
      </c>
      <c r="F4934" s="28">
        <v>26</v>
      </c>
      <c r="G4934" s="28" t="s">
        <v>1455</v>
      </c>
      <c r="H4934" s="28">
        <v>0</v>
      </c>
      <c r="J4934" s="92"/>
    </row>
    <row r="4935" spans="1:10" ht="15.75" customHeight="1">
      <c r="A4935" s="28">
        <v>21827</v>
      </c>
      <c r="B4935" s="91">
        <v>45281.65625</v>
      </c>
      <c r="C4935" s="28" t="s">
        <v>0</v>
      </c>
      <c r="D4935" s="28" t="s">
        <v>1884</v>
      </c>
      <c r="E4935" s="28" t="s">
        <v>94</v>
      </c>
      <c r="F4935" s="28">
        <v>25</v>
      </c>
      <c r="G4935" s="28" t="s">
        <v>141</v>
      </c>
      <c r="H4935" s="28">
        <v>0</v>
      </c>
      <c r="J4935" s="92"/>
    </row>
    <row r="4936" spans="1:10" ht="15.75" customHeight="1">
      <c r="A4936" s="28">
        <v>21829</v>
      </c>
      <c r="B4936" s="91">
        <v>45281.658159722225</v>
      </c>
      <c r="C4936" s="28" t="s">
        <v>0</v>
      </c>
      <c r="D4936" s="28" t="s">
        <v>1885</v>
      </c>
      <c r="E4936" s="28" t="s">
        <v>94</v>
      </c>
      <c r="F4936" s="28">
        <v>25</v>
      </c>
      <c r="G4936" s="28" t="s">
        <v>141</v>
      </c>
      <c r="H4936" s="28">
        <v>0</v>
      </c>
      <c r="J4936" s="92"/>
    </row>
    <row r="4937" spans="1:10" ht="15.75" customHeight="1">
      <c r="A4937" s="28">
        <v>21837</v>
      </c>
      <c r="B4937" s="91">
        <v>45282.157800925925</v>
      </c>
      <c r="C4937" s="28" t="s">
        <v>0</v>
      </c>
      <c r="D4937" s="28" t="s">
        <v>1886</v>
      </c>
      <c r="E4937" s="28" t="s">
        <v>96</v>
      </c>
      <c r="F4937" s="28">
        <v>35</v>
      </c>
      <c r="G4937" s="28" t="s">
        <v>1443</v>
      </c>
      <c r="H4937" s="28">
        <v>0</v>
      </c>
      <c r="J4937" s="92"/>
    </row>
    <row r="4938" spans="1:10" ht="15.75" customHeight="1">
      <c r="A4938" s="28">
        <v>21854</v>
      </c>
      <c r="B4938" s="91">
        <v>45283.507962962962</v>
      </c>
      <c r="C4938" s="28" t="s">
        <v>0</v>
      </c>
      <c r="D4938" s="28" t="s">
        <v>1177</v>
      </c>
      <c r="E4938" s="28" t="s">
        <v>50</v>
      </c>
      <c r="F4938" s="28">
        <v>22</v>
      </c>
      <c r="G4938" s="28" t="s">
        <v>1459</v>
      </c>
      <c r="H4938" s="28">
        <v>0</v>
      </c>
      <c r="J4938" s="92"/>
    </row>
    <row r="4939" spans="1:10" ht="15.75" customHeight="1">
      <c r="A4939" s="28">
        <v>21874</v>
      </c>
      <c r="B4939" s="91">
        <v>45287.883842592593</v>
      </c>
      <c r="C4939" s="28" t="s">
        <v>0</v>
      </c>
      <c r="D4939" s="28" t="s">
        <v>1143</v>
      </c>
      <c r="E4939" s="28" t="s">
        <v>50</v>
      </c>
      <c r="F4939" s="28">
        <v>28</v>
      </c>
      <c r="G4939" s="28" t="s">
        <v>1448</v>
      </c>
      <c r="H4939" s="28">
        <v>0</v>
      </c>
      <c r="J4939" s="92"/>
    </row>
    <row r="4940" spans="1:10" ht="15.75" customHeight="1">
      <c r="A4940" s="28">
        <v>21874</v>
      </c>
      <c r="B4940" s="91">
        <v>45287.883842592593</v>
      </c>
      <c r="C4940" s="28" t="s">
        <v>0</v>
      </c>
      <c r="D4940" s="28" t="s">
        <v>1143</v>
      </c>
      <c r="E4940" s="28" t="s">
        <v>50</v>
      </c>
      <c r="F4940" s="28">
        <v>25</v>
      </c>
      <c r="G4940" s="28" t="s">
        <v>1446</v>
      </c>
      <c r="H4940" s="28">
        <v>0</v>
      </c>
      <c r="J4940" s="92"/>
    </row>
    <row r="4941" spans="1:10" ht="15.75" customHeight="1">
      <c r="A4941" s="28">
        <v>21951</v>
      </c>
      <c r="B4941" s="91">
        <v>45291.924027777779</v>
      </c>
      <c r="C4941" s="28" t="s">
        <v>0</v>
      </c>
      <c r="D4941" s="28" t="s">
        <v>1887</v>
      </c>
      <c r="E4941" s="28" t="s">
        <v>1888</v>
      </c>
      <c r="F4941" s="28">
        <v>0</v>
      </c>
      <c r="G4941" s="28" t="s">
        <v>1453</v>
      </c>
      <c r="H4941" s="28">
        <v>0</v>
      </c>
      <c r="J4941" s="92"/>
    </row>
    <row r="4942" spans="1:10" ht="15.75" customHeight="1">
      <c r="A4942" s="28">
        <v>21975</v>
      </c>
      <c r="B4942" s="91">
        <v>45291.946817129632</v>
      </c>
      <c r="C4942" s="28" t="s">
        <v>0</v>
      </c>
      <c r="D4942" s="28" t="s">
        <v>1887</v>
      </c>
      <c r="E4942" s="28" t="s">
        <v>1888</v>
      </c>
      <c r="F4942" s="28">
        <v>0</v>
      </c>
      <c r="G4942" s="28" t="s">
        <v>1453</v>
      </c>
      <c r="H4942" s="28">
        <v>0</v>
      </c>
      <c r="J4942" s="92"/>
    </row>
    <row r="4943" spans="1:10" ht="15.75" customHeight="1">
      <c r="A4943" s="28">
        <v>22116</v>
      </c>
      <c r="B4943" s="91">
        <v>45294.108020833337</v>
      </c>
      <c r="C4943" s="28" t="s">
        <v>0</v>
      </c>
      <c r="D4943" s="28" t="s">
        <v>1887</v>
      </c>
      <c r="E4943" s="28" t="s">
        <v>80</v>
      </c>
      <c r="F4943" s="28">
        <v>0</v>
      </c>
      <c r="G4943" s="28" t="s">
        <v>1446</v>
      </c>
      <c r="H4943" s="28">
        <v>0</v>
      </c>
      <c r="J4943" s="92"/>
    </row>
    <row r="4944" spans="1:10" ht="15.75" customHeight="1">
      <c r="A4944" s="28">
        <v>22117</v>
      </c>
      <c r="B4944" s="91">
        <v>45294.746608796297</v>
      </c>
      <c r="C4944" s="28" t="s">
        <v>0</v>
      </c>
      <c r="D4944" s="28" t="s">
        <v>1889</v>
      </c>
      <c r="E4944" s="28" t="s">
        <v>92</v>
      </c>
      <c r="F4944" s="28">
        <v>26</v>
      </c>
      <c r="G4944" s="28" t="s">
        <v>1455</v>
      </c>
      <c r="H4944" s="28">
        <v>0</v>
      </c>
      <c r="J4944" s="92"/>
    </row>
    <row r="4945" spans="1:10" ht="15.75" customHeight="1">
      <c r="A4945" s="28">
        <v>22119</v>
      </c>
      <c r="B4945" s="91">
        <v>45296.806597222225</v>
      </c>
      <c r="C4945" s="28" t="s">
        <v>0</v>
      </c>
      <c r="D4945" s="28" t="s">
        <v>1890</v>
      </c>
      <c r="E4945" s="28" t="s">
        <v>92</v>
      </c>
      <c r="F4945" s="28">
        <v>26</v>
      </c>
      <c r="G4945" s="28" t="s">
        <v>1455</v>
      </c>
      <c r="H4945" s="28">
        <v>0</v>
      </c>
      <c r="J4945" s="92"/>
    </row>
    <row r="4946" spans="1:10" ht="15.75" customHeight="1">
      <c r="A4946" s="28">
        <v>22121</v>
      </c>
      <c r="B4946" s="91">
        <v>45297.632025462961</v>
      </c>
      <c r="C4946" s="28" t="s">
        <v>0</v>
      </c>
      <c r="D4946" s="28" t="s">
        <v>1891</v>
      </c>
      <c r="E4946" s="28" t="s">
        <v>80</v>
      </c>
      <c r="F4946" s="28">
        <v>0</v>
      </c>
      <c r="G4946" s="28" t="s">
        <v>1446</v>
      </c>
      <c r="H4946" s="28">
        <v>0</v>
      </c>
      <c r="J4946" s="92"/>
    </row>
    <row r="4947" spans="1:10" ht="15.75" customHeight="1">
      <c r="A4947" s="28">
        <v>22123</v>
      </c>
      <c r="B4947" s="91">
        <v>45297.644224537034</v>
      </c>
      <c r="C4947" s="28" t="s">
        <v>0</v>
      </c>
      <c r="D4947" s="28" t="s">
        <v>1892</v>
      </c>
      <c r="E4947" s="28" t="s">
        <v>80</v>
      </c>
      <c r="F4947" s="28">
        <v>0</v>
      </c>
      <c r="G4947" s="28" t="s">
        <v>1453</v>
      </c>
      <c r="H4947" s="28">
        <v>0</v>
      </c>
      <c r="J4947" s="92"/>
    </row>
    <row r="4948" spans="1:10" ht="15.75" customHeight="1">
      <c r="A4948" s="28">
        <v>22122</v>
      </c>
      <c r="B4948" s="91">
        <v>45297.644178240742</v>
      </c>
      <c r="C4948" s="28" t="s">
        <v>0</v>
      </c>
      <c r="D4948" s="28" t="s">
        <v>1892</v>
      </c>
      <c r="E4948" s="28" t="s">
        <v>80</v>
      </c>
      <c r="F4948" s="28">
        <v>0</v>
      </c>
      <c r="G4948" s="28" t="s">
        <v>1453</v>
      </c>
      <c r="H4948" s="28">
        <v>0</v>
      </c>
      <c r="J4948" s="92"/>
    </row>
    <row r="4949" spans="1:10" ht="15.75" customHeight="1">
      <c r="A4949" s="28">
        <v>22170</v>
      </c>
      <c r="B4949" s="91">
        <v>45298.727731481478</v>
      </c>
      <c r="C4949" s="28" t="s">
        <v>0</v>
      </c>
      <c r="D4949" s="28" t="s">
        <v>1893</v>
      </c>
      <c r="E4949" s="28" t="s">
        <v>96</v>
      </c>
      <c r="F4949" s="28">
        <v>35</v>
      </c>
      <c r="G4949" s="28" t="s">
        <v>1443</v>
      </c>
      <c r="H4949" s="28">
        <v>0</v>
      </c>
      <c r="J4949" s="92"/>
    </row>
    <row r="4950" spans="1:10" ht="15.75" customHeight="1">
      <c r="A4950" s="28">
        <v>22171</v>
      </c>
      <c r="B4950" s="91">
        <v>45298.732303240744</v>
      </c>
      <c r="C4950" s="28" t="s">
        <v>0</v>
      </c>
      <c r="D4950" s="28" t="s">
        <v>1894</v>
      </c>
      <c r="E4950" s="28" t="s">
        <v>96</v>
      </c>
      <c r="F4950" s="28">
        <v>35</v>
      </c>
      <c r="G4950" s="28" t="s">
        <v>1443</v>
      </c>
      <c r="H4950" s="28">
        <v>0</v>
      </c>
      <c r="J4950" s="92"/>
    </row>
    <row r="4951" spans="1:10" ht="15.75" customHeight="1">
      <c r="A4951" s="28">
        <v>22173</v>
      </c>
      <c r="B4951" s="91">
        <v>45301.577094907407</v>
      </c>
      <c r="C4951" s="28" t="s">
        <v>0</v>
      </c>
      <c r="D4951" s="28" t="s">
        <v>1895</v>
      </c>
      <c r="E4951" s="28" t="s">
        <v>76</v>
      </c>
      <c r="F4951" s="28">
        <v>0</v>
      </c>
      <c r="G4951" s="28" t="s">
        <v>1453</v>
      </c>
      <c r="H4951" s="28">
        <v>0</v>
      </c>
      <c r="J4951" s="92"/>
    </row>
    <row r="4952" spans="1:10" ht="15.75" customHeight="1">
      <c r="A4952" s="28">
        <v>22173</v>
      </c>
      <c r="B4952" s="91">
        <v>45301.577094907407</v>
      </c>
      <c r="C4952" s="28" t="s">
        <v>0</v>
      </c>
      <c r="D4952" s="28" t="s">
        <v>1895</v>
      </c>
      <c r="E4952" s="28" t="s">
        <v>76</v>
      </c>
      <c r="F4952" s="28">
        <v>0</v>
      </c>
      <c r="G4952" s="28" t="s">
        <v>1535</v>
      </c>
      <c r="H4952" s="28">
        <v>0</v>
      </c>
      <c r="J4952" s="92"/>
    </row>
    <row r="4953" spans="1:10" ht="15.75" customHeight="1">
      <c r="A4953" s="28">
        <v>22174</v>
      </c>
      <c r="B4953" s="91">
        <v>45302.429965277777</v>
      </c>
      <c r="C4953" s="28" t="s">
        <v>0</v>
      </c>
      <c r="D4953" s="28" t="s">
        <v>1896</v>
      </c>
      <c r="E4953" s="28" t="s">
        <v>50</v>
      </c>
      <c r="F4953" s="28">
        <v>0</v>
      </c>
      <c r="G4953" s="28" t="s">
        <v>1453</v>
      </c>
      <c r="H4953" s="28">
        <v>0</v>
      </c>
      <c r="J4953" s="92"/>
    </row>
    <row r="4954" spans="1:10" ht="15.75" customHeight="1">
      <c r="A4954" s="28">
        <v>22257</v>
      </c>
      <c r="B4954" s="91">
        <v>45304.667650462965</v>
      </c>
      <c r="C4954" s="28" t="s">
        <v>0</v>
      </c>
      <c r="D4954" s="28" t="s">
        <v>1191</v>
      </c>
      <c r="E4954" s="28" t="s">
        <v>77</v>
      </c>
      <c r="F4954" s="28">
        <v>35</v>
      </c>
      <c r="G4954" s="28" t="s">
        <v>1443</v>
      </c>
      <c r="H4954" s="28">
        <v>0</v>
      </c>
      <c r="J4954" s="92"/>
    </row>
    <row r="4955" spans="1:10" ht="15.75" customHeight="1">
      <c r="A4955" s="28">
        <v>22282</v>
      </c>
      <c r="B4955" s="91">
        <v>45307.770694444444</v>
      </c>
      <c r="C4955" s="28" t="s">
        <v>0</v>
      </c>
      <c r="D4955" s="28" t="s">
        <v>1887</v>
      </c>
      <c r="E4955" s="28" t="s">
        <v>50</v>
      </c>
      <c r="F4955" s="28">
        <v>0</v>
      </c>
      <c r="G4955" s="28" t="s">
        <v>1453</v>
      </c>
      <c r="H4955" s="28">
        <v>0</v>
      </c>
      <c r="J4955" s="92"/>
    </row>
    <row r="4956" spans="1:10" ht="15.75" customHeight="1">
      <c r="A4956" s="28">
        <v>22303</v>
      </c>
      <c r="B4956" s="91">
        <v>45311.412870370368</v>
      </c>
      <c r="C4956" s="28" t="s">
        <v>0</v>
      </c>
      <c r="D4956" s="28" t="s">
        <v>1092</v>
      </c>
      <c r="E4956" s="28" t="s">
        <v>77</v>
      </c>
      <c r="F4956" s="28">
        <v>0</v>
      </c>
      <c r="G4956" s="28" t="s">
        <v>1457</v>
      </c>
      <c r="H4956" s="28">
        <v>0</v>
      </c>
      <c r="J4956" s="92"/>
    </row>
    <row r="4957" spans="1:10" ht="15.75" customHeight="1">
      <c r="A4957" s="28">
        <v>22303</v>
      </c>
      <c r="B4957" s="91">
        <v>45311.412870370368</v>
      </c>
      <c r="C4957" s="28" t="s">
        <v>0</v>
      </c>
      <c r="D4957" s="28" t="s">
        <v>1092</v>
      </c>
      <c r="E4957" s="28" t="s">
        <v>77</v>
      </c>
      <c r="F4957" s="28">
        <v>0</v>
      </c>
      <c r="G4957" s="28" t="s">
        <v>1459</v>
      </c>
      <c r="H4957" s="28">
        <v>0</v>
      </c>
      <c r="J4957" s="92"/>
    </row>
    <row r="4958" spans="1:10" ht="15.75" customHeight="1">
      <c r="A4958" s="28">
        <v>22303</v>
      </c>
      <c r="B4958" s="91">
        <v>45311.412870370368</v>
      </c>
      <c r="C4958" s="28" t="s">
        <v>0</v>
      </c>
      <c r="D4958" s="28" t="s">
        <v>1092</v>
      </c>
      <c r="E4958" s="28" t="s">
        <v>77</v>
      </c>
      <c r="F4958" s="28">
        <v>0</v>
      </c>
      <c r="G4958" s="28" t="s">
        <v>1455</v>
      </c>
      <c r="H4958" s="28">
        <v>0</v>
      </c>
      <c r="J4958" s="92"/>
    </row>
    <row r="4959" spans="1:10" ht="15.75" customHeight="1">
      <c r="A4959" s="28">
        <v>22371</v>
      </c>
      <c r="B4959" s="91">
        <v>45314.609189814815</v>
      </c>
      <c r="C4959" s="28" t="s">
        <v>0</v>
      </c>
      <c r="D4959" s="28" t="s">
        <v>1897</v>
      </c>
      <c r="E4959" s="28" t="s">
        <v>50</v>
      </c>
      <c r="F4959" s="28">
        <v>26</v>
      </c>
      <c r="G4959" s="28" t="s">
        <v>1455</v>
      </c>
      <c r="H4959" s="28">
        <v>0</v>
      </c>
      <c r="J4959" s="92"/>
    </row>
    <row r="4960" spans="1:10" ht="15.75" customHeight="1">
      <c r="A4960" s="28">
        <v>22371</v>
      </c>
      <c r="B4960" s="91">
        <v>45314.609189814815</v>
      </c>
      <c r="C4960" s="28" t="s">
        <v>0</v>
      </c>
      <c r="D4960" s="28" t="s">
        <v>1897</v>
      </c>
      <c r="E4960" s="28" t="s">
        <v>50</v>
      </c>
      <c r="F4960" s="28">
        <v>28</v>
      </c>
      <c r="G4960" s="28" t="s">
        <v>1448</v>
      </c>
      <c r="H4960" s="28">
        <v>0</v>
      </c>
      <c r="J4960" s="92"/>
    </row>
    <row r="4961" spans="1:10" ht="15.75" customHeight="1">
      <c r="A4961" s="28">
        <v>22371</v>
      </c>
      <c r="B4961" s="91">
        <v>45314.609189814815</v>
      </c>
      <c r="C4961" s="28" t="s">
        <v>0</v>
      </c>
      <c r="D4961" s="28" t="s">
        <v>1897</v>
      </c>
      <c r="E4961" s="28" t="s">
        <v>50</v>
      </c>
      <c r="F4961" s="28">
        <v>18</v>
      </c>
      <c r="G4961" s="28" t="s">
        <v>1470</v>
      </c>
      <c r="H4961" s="28">
        <v>0</v>
      </c>
      <c r="J4961" s="92"/>
    </row>
    <row r="4962" spans="1:10" ht="15.75" customHeight="1">
      <c r="A4962" s="28">
        <v>22372</v>
      </c>
      <c r="B4962" s="91">
        <v>45314.645578703705</v>
      </c>
      <c r="C4962" s="28" t="s">
        <v>0</v>
      </c>
      <c r="D4962" s="28" t="s">
        <v>1898</v>
      </c>
      <c r="E4962" s="28" t="s">
        <v>50</v>
      </c>
      <c r="F4962" s="28">
        <v>22</v>
      </c>
      <c r="G4962" s="28" t="s">
        <v>1535</v>
      </c>
      <c r="H4962" s="28">
        <v>0</v>
      </c>
      <c r="J4962" s="92"/>
    </row>
    <row r="4963" spans="1:10" ht="15.75" customHeight="1">
      <c r="A4963" s="28">
        <v>22372</v>
      </c>
      <c r="B4963" s="91">
        <v>45314.645578703705</v>
      </c>
      <c r="C4963" s="28" t="s">
        <v>0</v>
      </c>
      <c r="D4963" s="28" t="s">
        <v>1898</v>
      </c>
      <c r="E4963" s="28" t="s">
        <v>50</v>
      </c>
      <c r="F4963" s="28">
        <v>35</v>
      </c>
      <c r="G4963" s="28" t="s">
        <v>1443</v>
      </c>
      <c r="H4963" s="28">
        <v>0</v>
      </c>
      <c r="J4963" s="92"/>
    </row>
    <row r="4964" spans="1:10" ht="15.75" customHeight="1">
      <c r="A4964" s="28">
        <v>22372</v>
      </c>
      <c r="B4964" s="91">
        <v>45314.645578703705</v>
      </c>
      <c r="C4964" s="28" t="s">
        <v>0</v>
      </c>
      <c r="D4964" s="28" t="s">
        <v>1898</v>
      </c>
      <c r="E4964" s="28" t="s">
        <v>50</v>
      </c>
      <c r="F4964" s="28">
        <v>0</v>
      </c>
      <c r="G4964" s="28" t="s">
        <v>141</v>
      </c>
      <c r="H4964" s="28">
        <v>0</v>
      </c>
      <c r="J4964" s="92"/>
    </row>
    <row r="4965" spans="1:10" ht="15.75" customHeight="1">
      <c r="A4965" s="28">
        <v>22373</v>
      </c>
      <c r="B4965" s="91">
        <v>45314.729467592595</v>
      </c>
      <c r="C4965" s="28" t="s">
        <v>0</v>
      </c>
      <c r="D4965" s="28" t="s">
        <v>1899</v>
      </c>
      <c r="E4965" s="28" t="s">
        <v>50</v>
      </c>
      <c r="F4965" s="28">
        <v>22</v>
      </c>
      <c r="G4965" s="28" t="s">
        <v>1459</v>
      </c>
      <c r="H4965" s="28">
        <v>0</v>
      </c>
      <c r="J4965" s="92"/>
    </row>
    <row r="4966" spans="1:10" ht="15.75" customHeight="1">
      <c r="A4966" s="28">
        <v>22373</v>
      </c>
      <c r="B4966" s="91">
        <v>45314.729467592595</v>
      </c>
      <c r="C4966" s="28" t="s">
        <v>0</v>
      </c>
      <c r="D4966" s="28" t="s">
        <v>1899</v>
      </c>
      <c r="E4966" s="28" t="s">
        <v>50</v>
      </c>
      <c r="F4966" s="28">
        <v>26</v>
      </c>
      <c r="G4966" s="28" t="s">
        <v>1455</v>
      </c>
      <c r="H4966" s="28">
        <v>0</v>
      </c>
      <c r="J4966" s="92"/>
    </row>
    <row r="4967" spans="1:10" ht="15.75" customHeight="1">
      <c r="A4967" s="28">
        <v>22373</v>
      </c>
      <c r="B4967" s="91">
        <v>45314.729467592595</v>
      </c>
      <c r="C4967" s="28" t="s">
        <v>0</v>
      </c>
      <c r="D4967" s="28" t="s">
        <v>1899</v>
      </c>
      <c r="E4967" s="28" t="s">
        <v>50</v>
      </c>
      <c r="F4967" s="28">
        <v>0</v>
      </c>
      <c r="G4967" s="28" t="s">
        <v>141</v>
      </c>
      <c r="H4967" s="28">
        <v>0</v>
      </c>
      <c r="J4967" s="92"/>
    </row>
    <row r="4968" spans="1:10" ht="15.75" customHeight="1">
      <c r="A4968" s="28">
        <v>22374</v>
      </c>
      <c r="B4968" s="91">
        <v>45314.731192129628</v>
      </c>
      <c r="C4968" s="28" t="s">
        <v>0</v>
      </c>
      <c r="D4968" s="28" t="s">
        <v>1900</v>
      </c>
      <c r="E4968" s="28" t="s">
        <v>50</v>
      </c>
      <c r="F4968" s="28">
        <v>26</v>
      </c>
      <c r="G4968" s="28" t="s">
        <v>1455</v>
      </c>
      <c r="H4968" s="28">
        <v>0</v>
      </c>
      <c r="J4968" s="92"/>
    </row>
    <row r="4969" spans="1:10" ht="15.75" customHeight="1">
      <c r="A4969" s="28">
        <v>22383</v>
      </c>
      <c r="B4969" s="91">
        <v>45315.771284722221</v>
      </c>
      <c r="C4969" s="28" t="s">
        <v>0</v>
      </c>
      <c r="D4969" s="28" t="s">
        <v>1901</v>
      </c>
      <c r="E4969" s="28" t="s">
        <v>50</v>
      </c>
      <c r="F4969" s="28">
        <v>25</v>
      </c>
      <c r="G4969" s="28" t="s">
        <v>141</v>
      </c>
      <c r="H4969" s="28">
        <v>0</v>
      </c>
      <c r="J4969" s="92"/>
    </row>
    <row r="4970" spans="1:10" ht="15.75" customHeight="1">
      <c r="A4970" s="28">
        <v>22412</v>
      </c>
      <c r="B4970" s="91">
        <v>45316.840624999997</v>
      </c>
      <c r="C4970" s="28" t="s">
        <v>0</v>
      </c>
      <c r="D4970" s="28" t="s">
        <v>1902</v>
      </c>
      <c r="E4970" s="28" t="s">
        <v>77</v>
      </c>
      <c r="F4970" s="28">
        <v>425</v>
      </c>
      <c r="G4970" s="28" t="s">
        <v>1106</v>
      </c>
      <c r="H4970" s="28">
        <v>0</v>
      </c>
      <c r="J4970" s="92"/>
    </row>
    <row r="4971" spans="1:10" ht="15.75" customHeight="1">
      <c r="A4971" s="28">
        <v>22412</v>
      </c>
      <c r="B4971" s="91">
        <v>45316.840624999997</v>
      </c>
      <c r="C4971" s="28" t="s">
        <v>0</v>
      </c>
      <c r="D4971" s="28" t="s">
        <v>1902</v>
      </c>
      <c r="E4971" s="28" t="s">
        <v>77</v>
      </c>
      <c r="F4971" s="28">
        <v>0</v>
      </c>
      <c r="G4971" s="28" t="s">
        <v>884</v>
      </c>
      <c r="H4971" s="28">
        <v>0</v>
      </c>
      <c r="J4971" s="92"/>
    </row>
    <row r="4972" spans="1:10" ht="15.75" customHeight="1">
      <c r="A4972" s="28">
        <v>22412</v>
      </c>
      <c r="B4972" s="91">
        <v>45316.840624999997</v>
      </c>
      <c r="C4972" s="28" t="s">
        <v>0</v>
      </c>
      <c r="D4972" s="28" t="s">
        <v>1902</v>
      </c>
      <c r="E4972" s="28" t="s">
        <v>77</v>
      </c>
      <c r="F4972" s="28">
        <v>0</v>
      </c>
      <c r="G4972" s="28" t="s">
        <v>882</v>
      </c>
      <c r="H4972" s="28">
        <v>0</v>
      </c>
      <c r="J4972" s="92"/>
    </row>
    <row r="4973" spans="1:10" ht="15.75" customHeight="1">
      <c r="A4973" s="28">
        <v>22415</v>
      </c>
      <c r="B4973" s="91">
        <v>45317.93476851852</v>
      </c>
      <c r="C4973" s="28" t="s">
        <v>0</v>
      </c>
      <c r="D4973" s="28" t="s">
        <v>1903</v>
      </c>
      <c r="E4973" s="28" t="s">
        <v>92</v>
      </c>
      <c r="F4973" s="28">
        <v>28</v>
      </c>
      <c r="G4973" s="28" t="s">
        <v>1448</v>
      </c>
      <c r="H4973" s="28">
        <v>0</v>
      </c>
      <c r="J4973" s="92"/>
    </row>
    <row r="4974" spans="1:10" ht="15.75" customHeight="1">
      <c r="A4974" s="28">
        <v>22417</v>
      </c>
      <c r="B4974" s="91">
        <v>45318.582245370373</v>
      </c>
      <c r="C4974" s="28" t="s">
        <v>0</v>
      </c>
      <c r="D4974" s="28" t="s">
        <v>1904</v>
      </c>
      <c r="E4974" s="28" t="s">
        <v>50</v>
      </c>
      <c r="F4974" s="28">
        <v>25</v>
      </c>
      <c r="G4974" s="28" t="s">
        <v>1446</v>
      </c>
      <c r="H4974" s="28">
        <v>0</v>
      </c>
      <c r="J4974" s="92"/>
    </row>
    <row r="4975" spans="1:10" ht="15.75" customHeight="1">
      <c r="A4975" s="28">
        <v>22417</v>
      </c>
      <c r="B4975" s="91">
        <v>45318.582245370373</v>
      </c>
      <c r="C4975" s="28" t="s">
        <v>0</v>
      </c>
      <c r="D4975" s="28" t="s">
        <v>1904</v>
      </c>
      <c r="E4975" s="28" t="s">
        <v>50</v>
      </c>
      <c r="F4975" s="28">
        <v>26</v>
      </c>
      <c r="G4975" s="28" t="s">
        <v>1455</v>
      </c>
      <c r="H4975" s="28">
        <v>0</v>
      </c>
      <c r="J4975" s="92"/>
    </row>
    <row r="4976" spans="1:10" ht="15.75" customHeight="1">
      <c r="A4976" s="28">
        <v>22417</v>
      </c>
      <c r="B4976" s="91">
        <v>45318.582245370373</v>
      </c>
      <c r="C4976" s="28" t="s">
        <v>0</v>
      </c>
      <c r="D4976" s="28" t="s">
        <v>1904</v>
      </c>
      <c r="E4976" s="28" t="s">
        <v>50</v>
      </c>
      <c r="F4976" s="28">
        <v>0</v>
      </c>
      <c r="G4976" s="28" t="s">
        <v>141</v>
      </c>
      <c r="H4976" s="28">
        <v>0</v>
      </c>
      <c r="J4976" s="92"/>
    </row>
    <row r="4977" spans="1:10" ht="15.75" customHeight="1">
      <c r="A4977" s="28">
        <v>22443</v>
      </c>
      <c r="B4977" s="91">
        <v>45318.678888888891</v>
      </c>
      <c r="C4977" s="28" t="s">
        <v>0</v>
      </c>
      <c r="D4977" s="28" t="s">
        <v>1905</v>
      </c>
      <c r="E4977" s="28" t="s">
        <v>50</v>
      </c>
      <c r="F4977" s="28">
        <v>22</v>
      </c>
      <c r="G4977" s="28" t="s">
        <v>1535</v>
      </c>
      <c r="H4977" s="28">
        <v>0</v>
      </c>
      <c r="J4977" s="92"/>
    </row>
    <row r="4978" spans="1:10" ht="15.75" customHeight="1">
      <c r="A4978" s="28">
        <v>22443</v>
      </c>
      <c r="B4978" s="91">
        <v>45318.678888888891</v>
      </c>
      <c r="C4978" s="28" t="s">
        <v>0</v>
      </c>
      <c r="D4978" s="28" t="s">
        <v>1905</v>
      </c>
      <c r="E4978" s="28" t="s">
        <v>50</v>
      </c>
      <c r="F4978" s="28">
        <v>26</v>
      </c>
      <c r="G4978" s="28" t="s">
        <v>1455</v>
      </c>
      <c r="H4978" s="28">
        <v>0</v>
      </c>
      <c r="J4978" s="92"/>
    </row>
    <row r="4979" spans="1:10" ht="15.75" customHeight="1">
      <c r="A4979" s="28">
        <v>22445</v>
      </c>
      <c r="B4979" s="91">
        <v>45318.819340277776</v>
      </c>
      <c r="C4979" s="28" t="s">
        <v>0</v>
      </c>
      <c r="D4979" s="28" t="s">
        <v>1902</v>
      </c>
      <c r="E4979" s="28" t="s">
        <v>77</v>
      </c>
      <c r="F4979" s="28">
        <v>595</v>
      </c>
      <c r="G4979" s="28" t="s">
        <v>881</v>
      </c>
      <c r="H4979" s="28">
        <v>0</v>
      </c>
      <c r="J4979" s="92"/>
    </row>
    <row r="4980" spans="1:10" ht="15.75" customHeight="1">
      <c r="A4980" s="28">
        <v>22445</v>
      </c>
      <c r="B4980" s="91">
        <v>45318.819340277776</v>
      </c>
      <c r="C4980" s="28" t="s">
        <v>0</v>
      </c>
      <c r="D4980" s="28" t="s">
        <v>1902</v>
      </c>
      <c r="E4980" s="28" t="s">
        <v>77</v>
      </c>
      <c r="F4980" s="28">
        <v>0</v>
      </c>
      <c r="G4980" s="28" t="s">
        <v>882</v>
      </c>
      <c r="H4980" s="28">
        <v>0</v>
      </c>
      <c r="J4980" s="92"/>
    </row>
    <row r="4981" spans="1:10" ht="15.75" customHeight="1">
      <c r="A4981" s="28">
        <v>22445</v>
      </c>
      <c r="B4981" s="91">
        <v>45318.819340277776</v>
      </c>
      <c r="C4981" s="28" t="s">
        <v>0</v>
      </c>
      <c r="D4981" s="28" t="s">
        <v>1902</v>
      </c>
      <c r="E4981" s="28" t="s">
        <v>77</v>
      </c>
      <c r="F4981" s="28">
        <v>0</v>
      </c>
      <c r="G4981" s="28" t="s">
        <v>884</v>
      </c>
      <c r="H4981" s="28">
        <v>0</v>
      </c>
      <c r="J4981" s="92"/>
    </row>
    <row r="4982" spans="1:10" ht="15.75" customHeight="1">
      <c r="A4982" s="28">
        <v>22446</v>
      </c>
      <c r="B4982" s="91">
        <v>45319.448969907404</v>
      </c>
      <c r="C4982" s="28" t="s">
        <v>0</v>
      </c>
      <c r="D4982" s="28" t="s">
        <v>1097</v>
      </c>
      <c r="E4982" s="28" t="s">
        <v>77</v>
      </c>
      <c r="F4982" s="28">
        <v>0</v>
      </c>
      <c r="G4982" s="28" t="s">
        <v>1453</v>
      </c>
      <c r="H4982" s="28">
        <v>0</v>
      </c>
      <c r="J4982" s="92"/>
    </row>
    <row r="4983" spans="1:10" ht="15.75" customHeight="1">
      <c r="A4983" s="28">
        <v>22459</v>
      </c>
      <c r="B4983" s="91">
        <v>45319.557928240742</v>
      </c>
      <c r="C4983" s="28" t="s">
        <v>0</v>
      </c>
      <c r="D4983" s="28" t="s">
        <v>1097</v>
      </c>
      <c r="E4983" s="28" t="s">
        <v>77</v>
      </c>
      <c r="F4983" s="28">
        <v>0</v>
      </c>
      <c r="G4983" s="28" t="s">
        <v>1446</v>
      </c>
      <c r="H4983" s="28">
        <v>0</v>
      </c>
      <c r="J4983" s="92"/>
    </row>
    <row r="4984" spans="1:10" ht="15.75" customHeight="1">
      <c r="A4984" s="28">
        <v>22460</v>
      </c>
      <c r="B4984" s="91">
        <v>45319.562175925923</v>
      </c>
      <c r="C4984" s="28" t="s">
        <v>0</v>
      </c>
      <c r="D4984" s="28" t="s">
        <v>1097</v>
      </c>
      <c r="E4984" s="28" t="s">
        <v>77</v>
      </c>
      <c r="F4984" s="28">
        <v>0</v>
      </c>
      <c r="G4984" s="28" t="s">
        <v>1453</v>
      </c>
      <c r="H4984" s="28">
        <v>0</v>
      </c>
      <c r="J4984" s="92"/>
    </row>
    <row r="4985" spans="1:10" ht="15.75" customHeight="1">
      <c r="A4985" s="28">
        <v>22511</v>
      </c>
      <c r="B4985" s="91">
        <v>45319.70553240741</v>
      </c>
      <c r="C4985" s="28" t="s">
        <v>51</v>
      </c>
      <c r="D4985" s="28" t="s">
        <v>1906</v>
      </c>
      <c r="E4985" s="28" t="s">
        <v>1907</v>
      </c>
      <c r="F4985" s="28">
        <v>24</v>
      </c>
      <c r="G4985" s="28"/>
      <c r="H4985" s="28">
        <v>0</v>
      </c>
      <c r="J4985" s="92"/>
    </row>
    <row r="4986" spans="1:10" ht="15.75" customHeight="1">
      <c r="A4986" s="28">
        <v>22512</v>
      </c>
      <c r="B4986" s="91">
        <v>45319.742118055554</v>
      </c>
      <c r="C4986" s="28" t="s">
        <v>0</v>
      </c>
      <c r="D4986" s="28" t="s">
        <v>1908</v>
      </c>
      <c r="E4986" s="28" t="s">
        <v>50</v>
      </c>
      <c r="F4986" s="28">
        <v>45</v>
      </c>
      <c r="G4986" s="28" t="s">
        <v>1455</v>
      </c>
      <c r="H4986" s="28">
        <v>0</v>
      </c>
      <c r="J4986" s="92"/>
    </row>
    <row r="4987" spans="1:10" ht="15.75" customHeight="1">
      <c r="A4987" s="28">
        <v>22512</v>
      </c>
      <c r="B4987" s="91">
        <v>45319.742118055554</v>
      </c>
      <c r="C4987" s="28" t="s">
        <v>0</v>
      </c>
      <c r="D4987" s="28" t="s">
        <v>1908</v>
      </c>
      <c r="E4987" s="28" t="s">
        <v>50</v>
      </c>
      <c r="F4987" s="28">
        <v>0</v>
      </c>
      <c r="G4987" s="28" t="s">
        <v>141</v>
      </c>
      <c r="H4987" s="28">
        <v>0</v>
      </c>
      <c r="J4987" s="92"/>
    </row>
    <row r="4988" spans="1:10" ht="15.75" customHeight="1">
      <c r="A4988" s="28">
        <v>22519</v>
      </c>
      <c r="B4988" s="91">
        <v>45320.535520833335</v>
      </c>
      <c r="C4988" s="28" t="s">
        <v>0</v>
      </c>
      <c r="D4988" s="28" t="s">
        <v>1909</v>
      </c>
      <c r="E4988" s="28" t="s">
        <v>50</v>
      </c>
      <c r="F4988" s="28">
        <v>45</v>
      </c>
      <c r="G4988" s="28" t="s">
        <v>1455</v>
      </c>
      <c r="H4988" s="28">
        <v>0</v>
      </c>
      <c r="J4988" s="92"/>
    </row>
    <row r="4989" spans="1:10" ht="15.75" customHeight="1">
      <c r="A4989" s="28">
        <v>22519</v>
      </c>
      <c r="B4989" s="91">
        <v>45320.535520833335</v>
      </c>
      <c r="C4989" s="28" t="s">
        <v>0</v>
      </c>
      <c r="D4989" s="28" t="s">
        <v>1909</v>
      </c>
      <c r="E4989" s="28" t="s">
        <v>50</v>
      </c>
      <c r="F4989" s="28">
        <v>0</v>
      </c>
      <c r="G4989" s="28" t="s">
        <v>141</v>
      </c>
      <c r="H4989" s="28">
        <v>0</v>
      </c>
      <c r="J4989" s="92"/>
    </row>
    <row r="4990" spans="1:10" ht="15.75" customHeight="1">
      <c r="A4990" s="28">
        <v>22520</v>
      </c>
      <c r="B4990" s="91">
        <v>45320.903703703705</v>
      </c>
      <c r="C4990" s="28" t="s">
        <v>0</v>
      </c>
      <c r="D4990" s="28" t="s">
        <v>1097</v>
      </c>
      <c r="E4990" s="28" t="s">
        <v>77</v>
      </c>
      <c r="F4990" s="28">
        <v>0</v>
      </c>
      <c r="G4990" s="28" t="s">
        <v>1453</v>
      </c>
      <c r="H4990" s="28">
        <v>0</v>
      </c>
      <c r="J4990" s="92"/>
    </row>
    <row r="4991" spans="1:10" ht="15.75" customHeight="1">
      <c r="A4991" s="28">
        <v>22521</v>
      </c>
      <c r="B4991" s="91">
        <v>45320.924861111111</v>
      </c>
      <c r="C4991" s="28" t="s">
        <v>0</v>
      </c>
      <c r="D4991" s="28" t="s">
        <v>1097</v>
      </c>
      <c r="E4991" s="28" t="s">
        <v>77</v>
      </c>
      <c r="F4991" s="28">
        <v>0</v>
      </c>
      <c r="G4991" s="28" t="s">
        <v>1453</v>
      </c>
      <c r="H4991" s="28">
        <v>0</v>
      </c>
      <c r="J4991" s="92"/>
    </row>
    <row r="4992" spans="1:10" ht="15.75" customHeight="1">
      <c r="A4992" s="28">
        <v>22522</v>
      </c>
      <c r="B4992" s="91">
        <v>45320.961967592593</v>
      </c>
      <c r="C4992" s="28" t="s">
        <v>0</v>
      </c>
      <c r="D4992" s="28" t="s">
        <v>1910</v>
      </c>
      <c r="E4992" s="28" t="s">
        <v>76</v>
      </c>
      <c r="F4992" s="28">
        <v>0</v>
      </c>
      <c r="G4992" s="28" t="s">
        <v>1453</v>
      </c>
      <c r="H4992" s="28">
        <v>0</v>
      </c>
      <c r="J4992" s="92"/>
    </row>
    <row r="4993" spans="1:10" ht="15.75" customHeight="1">
      <c r="A4993" s="28">
        <v>22537</v>
      </c>
      <c r="B4993" s="91">
        <v>45321.841956018521</v>
      </c>
      <c r="C4993" s="28" t="s">
        <v>10</v>
      </c>
      <c r="D4993" s="28" t="s">
        <v>1911</v>
      </c>
      <c r="E4993" s="28" t="s">
        <v>76</v>
      </c>
      <c r="F4993" s="28">
        <v>44</v>
      </c>
      <c r="G4993" s="28" t="s">
        <v>1459</v>
      </c>
      <c r="H4993" s="28">
        <v>0</v>
      </c>
      <c r="J4993" s="92"/>
    </row>
    <row r="4994" spans="1:10" ht="15.75" customHeight="1">
      <c r="A4994" s="28">
        <v>22593</v>
      </c>
      <c r="B4994" s="91">
        <v>45321.956944444442</v>
      </c>
      <c r="C4994" s="28" t="s">
        <v>0</v>
      </c>
      <c r="D4994" s="28" t="s">
        <v>1911</v>
      </c>
      <c r="E4994" s="28" t="s">
        <v>76</v>
      </c>
      <c r="F4994" s="28">
        <v>0</v>
      </c>
      <c r="G4994" s="28" t="s">
        <v>1453</v>
      </c>
      <c r="H4994" s="28">
        <v>0</v>
      </c>
      <c r="J4994" s="92"/>
    </row>
    <row r="4995" spans="1:10" ht="15.75" customHeight="1">
      <c r="A4995" s="28">
        <v>22604</v>
      </c>
      <c r="B4995" s="91">
        <v>45322.889236111114</v>
      </c>
      <c r="C4995" s="28" t="s">
        <v>0</v>
      </c>
      <c r="D4995" s="28" t="s">
        <v>1912</v>
      </c>
      <c r="E4995" s="28" t="s">
        <v>74</v>
      </c>
      <c r="F4995" s="28">
        <v>26</v>
      </c>
      <c r="G4995" s="28" t="s">
        <v>1455</v>
      </c>
      <c r="H4995" s="28">
        <v>0</v>
      </c>
      <c r="J4995" s="92"/>
    </row>
    <row r="4996" spans="1:10" ht="15.75" customHeight="1">
      <c r="A4996" s="28">
        <v>22604</v>
      </c>
      <c r="B4996" s="91">
        <v>45322.889236111114</v>
      </c>
      <c r="C4996" s="28" t="s">
        <v>0</v>
      </c>
      <c r="D4996" s="28" t="s">
        <v>1912</v>
      </c>
      <c r="E4996" s="28" t="s">
        <v>74</v>
      </c>
      <c r="F4996" s="28">
        <v>15</v>
      </c>
      <c r="G4996" s="28" t="s">
        <v>1453</v>
      </c>
      <c r="H4996" s="28">
        <v>0</v>
      </c>
      <c r="J4996" s="92"/>
    </row>
    <row r="4997" spans="1:10" ht="15.75" customHeight="1">
      <c r="A4997" s="28">
        <v>22605</v>
      </c>
      <c r="B4997" s="91">
        <v>45322.948078703703</v>
      </c>
      <c r="C4997" s="28" t="s">
        <v>18</v>
      </c>
      <c r="D4997" s="28" t="s">
        <v>1911</v>
      </c>
      <c r="E4997" s="28" t="s">
        <v>76</v>
      </c>
      <c r="F4997" s="28">
        <v>15</v>
      </c>
      <c r="G4997" s="28" t="s">
        <v>1453</v>
      </c>
      <c r="H4997" s="28">
        <v>0</v>
      </c>
      <c r="J4997" s="92"/>
    </row>
    <row r="4998" spans="1:10" ht="15.75" customHeight="1">
      <c r="A4998" s="28">
        <v>22605</v>
      </c>
      <c r="B4998" s="91">
        <v>45322.948078703703</v>
      </c>
      <c r="C4998" s="28" t="s">
        <v>18</v>
      </c>
      <c r="D4998" s="28" t="s">
        <v>1911</v>
      </c>
      <c r="E4998" s="28" t="s">
        <v>76</v>
      </c>
      <c r="F4998" s="28">
        <v>44</v>
      </c>
      <c r="G4998" s="28" t="s">
        <v>1535</v>
      </c>
      <c r="H4998" s="28">
        <v>0</v>
      </c>
      <c r="J4998" s="92"/>
    </row>
    <row r="4999" spans="1:10" ht="15.75" customHeight="1">
      <c r="A4999" s="28">
        <v>22614</v>
      </c>
      <c r="B4999" s="91">
        <v>45323.326423611114</v>
      </c>
      <c r="C4999" s="28" t="s">
        <v>0</v>
      </c>
      <c r="D4999" s="28" t="s">
        <v>1911</v>
      </c>
      <c r="E4999" s="28" t="s">
        <v>76</v>
      </c>
      <c r="F4999" s="28">
        <v>0</v>
      </c>
      <c r="G4999" s="28" t="s">
        <v>1453</v>
      </c>
      <c r="H4999" s="28">
        <v>0</v>
      </c>
      <c r="J4999" s="92"/>
    </row>
    <row r="5000" spans="1:10" ht="15.75" customHeight="1">
      <c r="A5000" s="28">
        <v>22615</v>
      </c>
      <c r="B5000" s="91">
        <v>45323.656446759262</v>
      </c>
      <c r="C5000" s="28" t="s">
        <v>0</v>
      </c>
      <c r="D5000" s="28" t="s">
        <v>1913</v>
      </c>
      <c r="E5000" s="28" t="s">
        <v>1907</v>
      </c>
      <c r="F5000" s="28">
        <v>25</v>
      </c>
      <c r="G5000" s="28" t="s">
        <v>1446</v>
      </c>
      <c r="H5000" s="28">
        <v>0</v>
      </c>
      <c r="J5000" s="92"/>
    </row>
    <row r="5001" spans="1:10" ht="15.75" customHeight="1">
      <c r="A5001" s="28">
        <v>22616</v>
      </c>
      <c r="B5001" s="91">
        <v>45323.661585648151</v>
      </c>
      <c r="C5001" s="28" t="s">
        <v>0</v>
      </c>
      <c r="D5001" s="28" t="s">
        <v>1013</v>
      </c>
      <c r="E5001" s="28" t="s">
        <v>1907</v>
      </c>
      <c r="F5001" s="28">
        <v>25</v>
      </c>
      <c r="G5001" s="28" t="s">
        <v>1446</v>
      </c>
      <c r="H5001" s="28">
        <v>0</v>
      </c>
      <c r="J5001" s="92"/>
    </row>
    <row r="5002" spans="1:10" ht="15.75" customHeight="1">
      <c r="A5002" s="28">
        <v>22617</v>
      </c>
      <c r="B5002" s="91">
        <v>45323.671319444446</v>
      </c>
      <c r="C5002" s="28" t="s">
        <v>0</v>
      </c>
      <c r="D5002" s="28" t="s">
        <v>680</v>
      </c>
      <c r="E5002" s="28" t="s">
        <v>1907</v>
      </c>
      <c r="F5002" s="28">
        <v>35</v>
      </c>
      <c r="G5002" s="28" t="s">
        <v>1443</v>
      </c>
      <c r="H5002" s="28">
        <v>0</v>
      </c>
      <c r="J5002" s="92"/>
    </row>
    <row r="5003" spans="1:10" ht="15.75" customHeight="1">
      <c r="A5003" s="28">
        <v>22618</v>
      </c>
      <c r="B5003" s="91">
        <v>45323.676111111112</v>
      </c>
      <c r="C5003" s="28" t="s">
        <v>0</v>
      </c>
      <c r="D5003" s="28" t="s">
        <v>1914</v>
      </c>
      <c r="E5003" s="28" t="s">
        <v>1907</v>
      </c>
      <c r="F5003" s="28">
        <v>25</v>
      </c>
      <c r="G5003" s="28" t="s">
        <v>1446</v>
      </c>
      <c r="H5003" s="28">
        <v>0</v>
      </c>
      <c r="J5003" s="92"/>
    </row>
    <row r="5004" spans="1:10" ht="15.75" customHeight="1">
      <c r="A5004" s="28">
        <v>22619</v>
      </c>
      <c r="B5004" s="91">
        <v>45323.742476851854</v>
      </c>
      <c r="C5004" s="28" t="s">
        <v>0</v>
      </c>
      <c r="D5004" s="28" t="s">
        <v>287</v>
      </c>
      <c r="E5004" s="28" t="s">
        <v>1907</v>
      </c>
      <c r="F5004" s="28">
        <v>18</v>
      </c>
      <c r="G5004" s="28" t="s">
        <v>1470</v>
      </c>
      <c r="H5004" s="28">
        <v>0</v>
      </c>
      <c r="J5004" s="92"/>
    </row>
    <row r="5005" spans="1:10" ht="15.75" customHeight="1">
      <c r="A5005" s="28">
        <v>22620</v>
      </c>
      <c r="B5005" s="91">
        <v>45323.743125000001</v>
      </c>
      <c r="C5005" s="28" t="s">
        <v>0</v>
      </c>
      <c r="D5005" s="28" t="s">
        <v>1915</v>
      </c>
      <c r="E5005" s="28" t="s">
        <v>77</v>
      </c>
      <c r="F5005" s="28">
        <v>26</v>
      </c>
      <c r="G5005" s="28" t="s">
        <v>1455</v>
      </c>
      <c r="H5005" s="28">
        <v>0</v>
      </c>
      <c r="J5005" s="92"/>
    </row>
    <row r="5006" spans="1:10" ht="15.75" customHeight="1">
      <c r="A5006" s="28">
        <v>22620</v>
      </c>
      <c r="B5006" s="91">
        <v>45323.743125000001</v>
      </c>
      <c r="C5006" s="28" t="s">
        <v>0</v>
      </c>
      <c r="D5006" s="28" t="s">
        <v>1915</v>
      </c>
      <c r="E5006" s="28" t="s">
        <v>77</v>
      </c>
      <c r="F5006" s="28">
        <v>20</v>
      </c>
      <c r="G5006" s="28"/>
      <c r="H5006" s="28">
        <v>0</v>
      </c>
      <c r="J5006" s="92"/>
    </row>
    <row r="5007" spans="1:10" ht="15.75" customHeight="1">
      <c r="A5007" s="28">
        <v>22621</v>
      </c>
      <c r="B5007" s="91">
        <v>45323.756967592592</v>
      </c>
      <c r="C5007" s="28" t="s">
        <v>0</v>
      </c>
      <c r="D5007" s="28" t="s">
        <v>1916</v>
      </c>
      <c r="E5007" s="28" t="s">
        <v>1907</v>
      </c>
      <c r="F5007" s="28">
        <v>20</v>
      </c>
      <c r="G5007" s="28"/>
      <c r="H5007" s="28">
        <v>0</v>
      </c>
      <c r="J5007" s="92"/>
    </row>
    <row r="5008" spans="1:10" ht="15.75" customHeight="1">
      <c r="A5008" s="28">
        <v>22621</v>
      </c>
      <c r="B5008" s="91">
        <v>45323.756967592592</v>
      </c>
      <c r="C5008" s="28" t="s">
        <v>0</v>
      </c>
      <c r="D5008" s="28" t="s">
        <v>1916</v>
      </c>
      <c r="E5008" s="28" t="s">
        <v>1907</v>
      </c>
      <c r="F5008" s="28">
        <v>25</v>
      </c>
      <c r="G5008" s="28" t="s">
        <v>1446</v>
      </c>
      <c r="H5008" s="28">
        <v>0</v>
      </c>
      <c r="J5008" s="92"/>
    </row>
    <row r="5009" spans="1:10" ht="15.75" customHeight="1">
      <c r="A5009" s="28">
        <v>22622</v>
      </c>
      <c r="B5009" s="91">
        <v>45323.827719907407</v>
      </c>
      <c r="C5009" s="28" t="s">
        <v>0</v>
      </c>
      <c r="D5009" s="28" t="s">
        <v>1009</v>
      </c>
      <c r="E5009" s="28" t="s">
        <v>1907</v>
      </c>
      <c r="F5009" s="28">
        <v>26</v>
      </c>
      <c r="G5009" s="28" t="s">
        <v>1455</v>
      </c>
      <c r="H5009" s="28">
        <v>0</v>
      </c>
      <c r="J5009" s="92"/>
    </row>
    <row r="5010" spans="1:10" ht="15.75" customHeight="1">
      <c r="A5010" s="28">
        <v>22623</v>
      </c>
      <c r="B5010" s="91">
        <v>45323.831261574072</v>
      </c>
      <c r="C5010" s="28" t="s">
        <v>0</v>
      </c>
      <c r="D5010" s="28" t="s">
        <v>1917</v>
      </c>
      <c r="E5010" s="28" t="s">
        <v>1907</v>
      </c>
      <c r="F5010" s="28">
        <v>25</v>
      </c>
      <c r="G5010" s="28" t="s">
        <v>141</v>
      </c>
      <c r="H5010" s="28">
        <v>0</v>
      </c>
      <c r="J5010" s="92"/>
    </row>
    <row r="5011" spans="1:10" ht="15.75" customHeight="1">
      <c r="A5011" s="28">
        <v>22624</v>
      </c>
      <c r="B5011" s="91">
        <v>45323.836828703701</v>
      </c>
      <c r="C5011" s="28" t="s">
        <v>0</v>
      </c>
      <c r="D5011" s="28" t="s">
        <v>725</v>
      </c>
      <c r="E5011" s="28" t="s">
        <v>1907</v>
      </c>
      <c r="F5011" s="28">
        <v>25</v>
      </c>
      <c r="G5011" s="28" t="s">
        <v>1446</v>
      </c>
      <c r="H5011" s="28">
        <v>0</v>
      </c>
      <c r="J5011" s="92"/>
    </row>
    <row r="5012" spans="1:10" ht="15.75" customHeight="1">
      <c r="A5012" s="28">
        <v>22625</v>
      </c>
      <c r="B5012" s="91">
        <v>45323.889537037037</v>
      </c>
      <c r="C5012" s="28" t="s">
        <v>0</v>
      </c>
      <c r="D5012" s="28" t="s">
        <v>829</v>
      </c>
      <c r="E5012" s="28" t="s">
        <v>1907</v>
      </c>
      <c r="F5012" s="28">
        <v>55</v>
      </c>
      <c r="G5012" s="28" t="s">
        <v>1457</v>
      </c>
      <c r="H5012" s="28">
        <v>0</v>
      </c>
      <c r="J5012" s="92"/>
    </row>
    <row r="5013" spans="1:10" ht="15.75" customHeight="1">
      <c r="A5013" s="28">
        <v>22626</v>
      </c>
      <c r="B5013" s="91">
        <v>45323.990069444444</v>
      </c>
      <c r="C5013" s="28" t="s">
        <v>0</v>
      </c>
      <c r="D5013" s="28" t="s">
        <v>1911</v>
      </c>
      <c r="E5013" s="28" t="s">
        <v>76</v>
      </c>
      <c r="F5013" s="28">
        <v>0</v>
      </c>
      <c r="G5013" s="28" t="s">
        <v>1453</v>
      </c>
      <c r="H5013" s="28">
        <v>0</v>
      </c>
      <c r="J5013" s="92"/>
    </row>
    <row r="5014" spans="1:10" ht="15.75" customHeight="1">
      <c r="A5014" s="28">
        <v>22627</v>
      </c>
      <c r="B5014" s="91">
        <v>45324.477962962963</v>
      </c>
      <c r="C5014" s="28" t="s">
        <v>0</v>
      </c>
      <c r="D5014" s="28" t="s">
        <v>709</v>
      </c>
      <c r="E5014" s="28" t="s">
        <v>1907</v>
      </c>
      <c r="F5014" s="28">
        <v>15</v>
      </c>
      <c r="G5014" s="28" t="s">
        <v>1453</v>
      </c>
      <c r="H5014" s="28">
        <v>0</v>
      </c>
      <c r="J5014" s="92"/>
    </row>
    <row r="5015" spans="1:10" ht="15.75" customHeight="1">
      <c r="A5015" s="28">
        <v>22628</v>
      </c>
      <c r="B5015" s="91">
        <v>45324.524375000001</v>
      </c>
      <c r="C5015" s="28" t="s">
        <v>0</v>
      </c>
      <c r="D5015" s="28" t="s">
        <v>1068</v>
      </c>
      <c r="E5015" s="28" t="s">
        <v>1907</v>
      </c>
      <c r="F5015" s="28">
        <v>20</v>
      </c>
      <c r="G5015" s="28"/>
      <c r="H5015" s="28">
        <v>0</v>
      </c>
      <c r="J5015" s="92"/>
    </row>
    <row r="5016" spans="1:10" ht="15.75" customHeight="1">
      <c r="A5016" s="28">
        <v>22628</v>
      </c>
      <c r="B5016" s="91">
        <v>45324.524375000001</v>
      </c>
      <c r="C5016" s="28" t="s">
        <v>0</v>
      </c>
      <c r="D5016" s="28" t="s">
        <v>1068</v>
      </c>
      <c r="E5016" s="28" t="s">
        <v>1907</v>
      </c>
      <c r="F5016" s="28">
        <v>50</v>
      </c>
      <c r="G5016" s="28" t="s">
        <v>1462</v>
      </c>
      <c r="H5016" s="28">
        <v>0</v>
      </c>
      <c r="J5016" s="92"/>
    </row>
    <row r="5017" spans="1:10" ht="15.75" customHeight="1">
      <c r="A5017" s="28">
        <v>22629</v>
      </c>
      <c r="B5017" s="91">
        <v>45324.589108796295</v>
      </c>
      <c r="C5017" s="28" t="s">
        <v>18</v>
      </c>
      <c r="D5017" s="28" t="s">
        <v>726</v>
      </c>
      <c r="E5017" s="28" t="s">
        <v>1907</v>
      </c>
      <c r="F5017" s="28">
        <v>20</v>
      </c>
      <c r="G5017" s="28" t="s">
        <v>1475</v>
      </c>
      <c r="H5017" s="28">
        <v>0</v>
      </c>
      <c r="J5017" s="92"/>
    </row>
    <row r="5018" spans="1:10" ht="15.75" customHeight="1">
      <c r="A5018" s="28">
        <v>22630</v>
      </c>
      <c r="B5018" s="91">
        <v>45324.607627314814</v>
      </c>
      <c r="C5018" s="28" t="s">
        <v>51</v>
      </c>
      <c r="D5018" s="28" t="s">
        <v>1918</v>
      </c>
      <c r="E5018" s="28" t="s">
        <v>50</v>
      </c>
      <c r="F5018" s="28">
        <v>26</v>
      </c>
      <c r="G5018" s="28">
        <v>100850</v>
      </c>
      <c r="H5018" s="28">
        <v>0</v>
      </c>
      <c r="J5018" s="92"/>
    </row>
    <row r="5019" spans="1:10" ht="15.75" customHeight="1">
      <c r="A5019" s="28">
        <v>22630</v>
      </c>
      <c r="B5019" s="91">
        <v>45324.607627314814</v>
      </c>
      <c r="C5019" s="28" t="s">
        <v>51</v>
      </c>
      <c r="D5019" s="28" t="s">
        <v>1918</v>
      </c>
      <c r="E5019" s="28" t="s">
        <v>50</v>
      </c>
      <c r="F5019" s="28">
        <v>0</v>
      </c>
      <c r="G5019" s="28" t="s">
        <v>141</v>
      </c>
      <c r="H5019" s="28">
        <v>0</v>
      </c>
      <c r="J5019" s="92"/>
    </row>
    <row r="5020" spans="1:10" ht="15.75" customHeight="1">
      <c r="A5020" s="28">
        <v>22630</v>
      </c>
      <c r="B5020" s="91">
        <v>45324.607627314814</v>
      </c>
      <c r="C5020" s="28" t="s">
        <v>51</v>
      </c>
      <c r="D5020" s="28" t="s">
        <v>1918</v>
      </c>
      <c r="E5020" s="28" t="s">
        <v>50</v>
      </c>
      <c r="F5020" s="28">
        <v>20</v>
      </c>
      <c r="G5020" s="28"/>
      <c r="H5020" s="28">
        <v>0</v>
      </c>
      <c r="J5020" s="92"/>
    </row>
    <row r="5021" spans="1:10" ht="15.75" customHeight="1">
      <c r="A5021" s="28">
        <v>22631</v>
      </c>
      <c r="B5021" s="91">
        <v>45324.632025462961</v>
      </c>
      <c r="C5021" s="28" t="s">
        <v>0</v>
      </c>
      <c r="D5021" s="28" t="s">
        <v>1919</v>
      </c>
      <c r="E5021" s="28" t="s">
        <v>1907</v>
      </c>
      <c r="F5021" s="28">
        <v>56</v>
      </c>
      <c r="G5021" s="28" t="s">
        <v>1448</v>
      </c>
      <c r="H5021" s="28">
        <v>0</v>
      </c>
      <c r="J5021" s="92"/>
    </row>
    <row r="5022" spans="1:10" ht="15.75" customHeight="1">
      <c r="A5022" s="28">
        <v>22631</v>
      </c>
      <c r="B5022" s="91">
        <v>45324.632025462961</v>
      </c>
      <c r="C5022" s="28" t="s">
        <v>0</v>
      </c>
      <c r="D5022" s="28" t="s">
        <v>1919</v>
      </c>
      <c r="E5022" s="28" t="s">
        <v>1907</v>
      </c>
      <c r="F5022" s="28">
        <v>26</v>
      </c>
      <c r="G5022" s="28">
        <v>100850</v>
      </c>
      <c r="H5022" s="28">
        <v>0</v>
      </c>
      <c r="J5022" s="92"/>
    </row>
    <row r="5023" spans="1:10" ht="15.75" customHeight="1">
      <c r="A5023" s="28">
        <v>22632</v>
      </c>
      <c r="B5023" s="91">
        <v>45324.672511574077</v>
      </c>
      <c r="C5023" s="28" t="s">
        <v>0</v>
      </c>
      <c r="D5023" s="28" t="s">
        <v>717</v>
      </c>
      <c r="E5023" s="28" t="s">
        <v>1907</v>
      </c>
      <c r="F5023" s="28">
        <v>20</v>
      </c>
      <c r="G5023" s="28" t="s">
        <v>1475</v>
      </c>
      <c r="H5023" s="28">
        <v>0</v>
      </c>
      <c r="J5023" s="92"/>
    </row>
    <row r="5024" spans="1:10" ht="15.75" customHeight="1">
      <c r="A5024" s="28">
        <v>22632</v>
      </c>
      <c r="B5024" s="91">
        <v>45324.672511574077</v>
      </c>
      <c r="C5024" s="28" t="s">
        <v>0</v>
      </c>
      <c r="D5024" s="28" t="s">
        <v>717</v>
      </c>
      <c r="E5024" s="28" t="s">
        <v>1907</v>
      </c>
      <c r="F5024" s="28">
        <v>15</v>
      </c>
      <c r="G5024" s="28" t="s">
        <v>1453</v>
      </c>
      <c r="H5024" s="28">
        <v>0</v>
      </c>
      <c r="J5024" s="92"/>
    </row>
    <row r="5025" spans="1:10" ht="15.75" customHeight="1">
      <c r="A5025" s="28">
        <v>22633</v>
      </c>
      <c r="B5025" s="91">
        <v>45324.776203703703</v>
      </c>
      <c r="C5025" s="28" t="s">
        <v>0</v>
      </c>
      <c r="D5025" s="28" t="s">
        <v>869</v>
      </c>
      <c r="E5025" s="28" t="s">
        <v>1907</v>
      </c>
      <c r="F5025" s="28">
        <v>35</v>
      </c>
      <c r="G5025" s="28" t="s">
        <v>1443</v>
      </c>
      <c r="H5025" s="28">
        <v>0</v>
      </c>
      <c r="J5025" s="92"/>
    </row>
    <row r="5026" spans="1:10" ht="15.75" customHeight="1">
      <c r="A5026" s="28">
        <v>22633</v>
      </c>
      <c r="B5026" s="91">
        <v>45324.776203703703</v>
      </c>
      <c r="C5026" s="28" t="s">
        <v>0</v>
      </c>
      <c r="D5026" s="28" t="s">
        <v>869</v>
      </c>
      <c r="E5026" s="28" t="s">
        <v>1907</v>
      </c>
      <c r="F5026" s="28">
        <v>15</v>
      </c>
      <c r="G5026" s="28" t="s">
        <v>1453</v>
      </c>
      <c r="H5026" s="28">
        <v>0</v>
      </c>
      <c r="J5026" s="92"/>
    </row>
    <row r="5027" spans="1:10" ht="15.75" customHeight="1">
      <c r="A5027" s="28">
        <v>22634</v>
      </c>
      <c r="B5027" s="91">
        <v>45324.777025462965</v>
      </c>
      <c r="C5027" s="28" t="s">
        <v>18</v>
      </c>
      <c r="D5027" s="28" t="s">
        <v>962</v>
      </c>
      <c r="E5027" s="28" t="s">
        <v>1907</v>
      </c>
      <c r="F5027" s="28">
        <v>26</v>
      </c>
      <c r="G5027" s="28" t="s">
        <v>1455</v>
      </c>
      <c r="H5027" s="28">
        <v>0</v>
      </c>
      <c r="J5027" s="92"/>
    </row>
    <row r="5028" spans="1:10" ht="15.75" customHeight="1">
      <c r="A5028" s="28">
        <v>22635</v>
      </c>
      <c r="B5028" s="91">
        <v>45324.794039351851</v>
      </c>
      <c r="C5028" s="28" t="s">
        <v>0</v>
      </c>
      <c r="D5028" s="28" t="s">
        <v>1920</v>
      </c>
      <c r="E5028" s="28" t="s">
        <v>1907</v>
      </c>
      <c r="F5028" s="28">
        <v>25</v>
      </c>
      <c r="G5028" s="28" t="s">
        <v>1446</v>
      </c>
      <c r="H5028" s="28">
        <v>0</v>
      </c>
      <c r="J5028" s="92"/>
    </row>
    <row r="5029" spans="1:10" ht="15.75" customHeight="1">
      <c r="A5029" s="28">
        <v>22636</v>
      </c>
      <c r="B5029" s="91">
        <v>45324.795023148145</v>
      </c>
      <c r="C5029" s="28" t="s">
        <v>0</v>
      </c>
      <c r="D5029" s="28" t="s">
        <v>972</v>
      </c>
      <c r="E5029" s="28" t="s">
        <v>1907</v>
      </c>
      <c r="F5029" s="28">
        <v>15</v>
      </c>
      <c r="G5029" s="28" t="s">
        <v>1467</v>
      </c>
      <c r="H5029" s="28">
        <v>0</v>
      </c>
      <c r="J5029" s="92"/>
    </row>
    <row r="5030" spans="1:10" ht="15.75" customHeight="1">
      <c r="A5030" s="28">
        <v>22637</v>
      </c>
      <c r="B5030" s="91">
        <v>45324.813587962963</v>
      </c>
      <c r="C5030" s="28" t="s">
        <v>0</v>
      </c>
      <c r="D5030" s="28" t="s">
        <v>699</v>
      </c>
      <c r="E5030" s="28" t="s">
        <v>1907</v>
      </c>
      <c r="F5030" s="28">
        <v>44</v>
      </c>
      <c r="G5030" s="28" t="s">
        <v>1459</v>
      </c>
      <c r="H5030" s="28">
        <v>0</v>
      </c>
      <c r="J5030" s="92"/>
    </row>
    <row r="5031" spans="1:10" ht="15.75" customHeight="1">
      <c r="A5031" s="28">
        <v>22638</v>
      </c>
      <c r="B5031" s="91">
        <v>45324.823206018518</v>
      </c>
      <c r="C5031" s="28" t="s">
        <v>0</v>
      </c>
      <c r="D5031" s="28" t="s">
        <v>728</v>
      </c>
      <c r="E5031" s="28" t="s">
        <v>1907</v>
      </c>
      <c r="F5031" s="28">
        <v>35</v>
      </c>
      <c r="G5031" s="28" t="s">
        <v>1443</v>
      </c>
      <c r="H5031" s="28">
        <v>0</v>
      </c>
      <c r="J5031" s="92"/>
    </row>
    <row r="5032" spans="1:10" ht="15.75" customHeight="1">
      <c r="A5032" s="28">
        <v>22639</v>
      </c>
      <c r="B5032" s="91">
        <v>45324.82984953704</v>
      </c>
      <c r="C5032" s="28" t="s">
        <v>51</v>
      </c>
      <c r="D5032" s="28" t="s">
        <v>1921</v>
      </c>
      <c r="E5032" s="28" t="s">
        <v>1907</v>
      </c>
      <c r="F5032" s="28">
        <v>20</v>
      </c>
      <c r="G5032" s="28"/>
      <c r="H5032" s="28">
        <v>0</v>
      </c>
      <c r="J5032" s="92"/>
    </row>
    <row r="5033" spans="1:10" ht="15.75" customHeight="1">
      <c r="A5033" s="28">
        <v>22639</v>
      </c>
      <c r="B5033" s="91">
        <v>45324.82984953704</v>
      </c>
      <c r="C5033" s="28" t="s">
        <v>51</v>
      </c>
      <c r="D5033" s="28" t="s">
        <v>1921</v>
      </c>
      <c r="E5033" s="28" t="s">
        <v>1907</v>
      </c>
      <c r="F5033" s="28">
        <v>28</v>
      </c>
      <c r="G5033" s="28" t="s">
        <v>1448</v>
      </c>
      <c r="H5033" s="28">
        <v>0</v>
      </c>
      <c r="J5033" s="92"/>
    </row>
    <row r="5034" spans="1:10" ht="15.75" customHeight="1">
      <c r="A5034" s="28">
        <v>22640</v>
      </c>
      <c r="B5034" s="91">
        <v>45324.942175925928</v>
      </c>
      <c r="C5034" s="28" t="s">
        <v>0</v>
      </c>
      <c r="D5034" s="28" t="s">
        <v>708</v>
      </c>
      <c r="E5034" s="28" t="s">
        <v>1907</v>
      </c>
      <c r="F5034" s="28">
        <v>56</v>
      </c>
      <c r="G5034" s="28" t="s">
        <v>1448</v>
      </c>
      <c r="H5034" s="28">
        <v>0</v>
      </c>
      <c r="J5034" s="92"/>
    </row>
    <row r="5035" spans="1:10" ht="15.75" customHeight="1">
      <c r="A5035" s="28">
        <v>22640</v>
      </c>
      <c r="B5035" s="91">
        <v>45324.942175925928</v>
      </c>
      <c r="C5035" s="28" t="s">
        <v>0</v>
      </c>
      <c r="D5035" s="28" t="s">
        <v>708</v>
      </c>
      <c r="E5035" s="28" t="s">
        <v>1907</v>
      </c>
      <c r="F5035" s="28">
        <v>0</v>
      </c>
      <c r="G5035" s="28" t="s">
        <v>141</v>
      </c>
      <c r="H5035" s="28">
        <v>0</v>
      </c>
      <c r="J5035" s="92"/>
    </row>
    <row r="5036" spans="1:10" ht="15.75" customHeight="1">
      <c r="A5036" s="28">
        <v>22641</v>
      </c>
      <c r="B5036" s="91">
        <v>45325.355821759258</v>
      </c>
      <c r="C5036" s="28" t="s">
        <v>0</v>
      </c>
      <c r="D5036" s="28" t="s">
        <v>1019</v>
      </c>
      <c r="E5036" s="28" t="s">
        <v>1907</v>
      </c>
      <c r="F5036" s="28">
        <v>18</v>
      </c>
      <c r="G5036" s="28" t="s">
        <v>1470</v>
      </c>
      <c r="H5036" s="28">
        <v>0</v>
      </c>
      <c r="J5036" s="92"/>
    </row>
    <row r="5037" spans="1:10" ht="15.75" customHeight="1">
      <c r="A5037" s="28">
        <v>22641</v>
      </c>
      <c r="B5037" s="91">
        <v>45325.355821759258</v>
      </c>
      <c r="C5037" s="28" t="s">
        <v>0</v>
      </c>
      <c r="D5037" s="28" t="s">
        <v>1019</v>
      </c>
      <c r="E5037" s="28" t="s">
        <v>1907</v>
      </c>
      <c r="F5037" s="28">
        <v>22</v>
      </c>
      <c r="G5037" s="28" t="s">
        <v>1535</v>
      </c>
      <c r="H5037" s="28">
        <v>0</v>
      </c>
      <c r="J5037" s="92"/>
    </row>
    <row r="5038" spans="1:10" ht="15.75" customHeight="1">
      <c r="A5038" s="28">
        <v>22642</v>
      </c>
      <c r="B5038" s="91">
        <v>45325.372569444444</v>
      </c>
      <c r="C5038" s="28" t="s">
        <v>0</v>
      </c>
      <c r="D5038" s="28" t="s">
        <v>736</v>
      </c>
      <c r="E5038" s="28" t="s">
        <v>1907</v>
      </c>
      <c r="F5038" s="28">
        <v>25</v>
      </c>
      <c r="G5038" s="28" t="s">
        <v>141</v>
      </c>
      <c r="H5038" s="28">
        <v>0</v>
      </c>
      <c r="J5038" s="92"/>
    </row>
    <row r="5039" spans="1:10" ht="15.75" customHeight="1">
      <c r="A5039" s="28">
        <v>22644</v>
      </c>
      <c r="B5039" s="91">
        <v>45325.416296296295</v>
      </c>
      <c r="C5039" s="28" t="s">
        <v>0</v>
      </c>
      <c r="D5039" s="28" t="s">
        <v>1922</v>
      </c>
      <c r="E5039" s="28" t="s">
        <v>1907</v>
      </c>
      <c r="F5039" s="28">
        <v>15</v>
      </c>
      <c r="G5039" s="28" t="s">
        <v>1453</v>
      </c>
      <c r="H5039" s="28">
        <v>0</v>
      </c>
      <c r="J5039" s="92"/>
    </row>
    <row r="5040" spans="1:10" ht="15.75" customHeight="1">
      <c r="A5040" s="28">
        <v>22643</v>
      </c>
      <c r="B5040" s="91">
        <v>45325.416018518517</v>
      </c>
      <c r="C5040" s="28" t="s">
        <v>18</v>
      </c>
      <c r="D5040" s="28" t="s">
        <v>992</v>
      </c>
      <c r="E5040" s="28" t="s">
        <v>1907</v>
      </c>
      <c r="F5040" s="28">
        <v>25</v>
      </c>
      <c r="G5040" s="28" t="s">
        <v>1446</v>
      </c>
      <c r="H5040" s="28">
        <v>0</v>
      </c>
      <c r="J5040" s="92"/>
    </row>
    <row r="5041" spans="1:10" ht="15.75" customHeight="1">
      <c r="A5041" s="28">
        <v>22645</v>
      </c>
      <c r="B5041" s="91">
        <v>45325.435439814813</v>
      </c>
      <c r="C5041" s="28" t="s">
        <v>0</v>
      </c>
      <c r="D5041" s="28" t="s">
        <v>1010</v>
      </c>
      <c r="E5041" s="28" t="s">
        <v>1907</v>
      </c>
      <c r="F5041" s="28">
        <v>26</v>
      </c>
      <c r="G5041" s="28" t="s">
        <v>1455</v>
      </c>
      <c r="H5041" s="28">
        <v>0</v>
      </c>
      <c r="J5041" s="92"/>
    </row>
    <row r="5042" spans="1:10" ht="15.75" customHeight="1">
      <c r="A5042" s="28">
        <v>22646</v>
      </c>
      <c r="B5042" s="91">
        <v>45325.441331018519</v>
      </c>
      <c r="C5042" s="28" t="s">
        <v>0</v>
      </c>
      <c r="D5042" s="28" t="s">
        <v>1923</v>
      </c>
      <c r="E5042" s="28" t="s">
        <v>1907</v>
      </c>
      <c r="F5042" s="28">
        <v>28</v>
      </c>
      <c r="G5042" s="28" t="s">
        <v>1448</v>
      </c>
      <c r="H5042" s="28">
        <v>0</v>
      </c>
      <c r="J5042" s="92"/>
    </row>
    <row r="5043" spans="1:10" ht="15.75" customHeight="1">
      <c r="A5043" s="28">
        <v>22646</v>
      </c>
      <c r="B5043" s="91">
        <v>45325.441331018519</v>
      </c>
      <c r="C5043" s="28" t="s">
        <v>0</v>
      </c>
      <c r="D5043" s="28" t="s">
        <v>1923</v>
      </c>
      <c r="E5043" s="28" t="s">
        <v>1907</v>
      </c>
      <c r="F5043" s="28">
        <v>22</v>
      </c>
      <c r="G5043" s="28" t="s">
        <v>1535</v>
      </c>
      <c r="H5043" s="28">
        <v>0</v>
      </c>
      <c r="J5043" s="92"/>
    </row>
    <row r="5044" spans="1:10" ht="15.75" customHeight="1">
      <c r="A5044" s="28">
        <v>22647</v>
      </c>
      <c r="B5044" s="91">
        <v>45325.455613425926</v>
      </c>
      <c r="C5044" s="28" t="s">
        <v>0</v>
      </c>
      <c r="D5044" s="28" t="s">
        <v>1040</v>
      </c>
      <c r="E5044" s="28" t="s">
        <v>1907</v>
      </c>
      <c r="F5044" s="28">
        <v>25</v>
      </c>
      <c r="G5044" s="28" t="s">
        <v>1446</v>
      </c>
      <c r="H5044" s="28">
        <v>0</v>
      </c>
      <c r="J5044" s="92"/>
    </row>
    <row r="5045" spans="1:10" ht="15.75" customHeight="1">
      <c r="A5045" s="28">
        <v>22648</v>
      </c>
      <c r="B5045" s="91">
        <v>45325.460648148146</v>
      </c>
      <c r="C5045" s="28" t="s">
        <v>0</v>
      </c>
      <c r="D5045" s="28" t="s">
        <v>730</v>
      </c>
      <c r="E5045" s="28" t="s">
        <v>1907</v>
      </c>
      <c r="F5045" s="28">
        <v>28</v>
      </c>
      <c r="G5045" s="28" t="s">
        <v>1448</v>
      </c>
      <c r="H5045" s="28">
        <v>0</v>
      </c>
      <c r="J5045" s="92"/>
    </row>
    <row r="5046" spans="1:10" ht="15.75" customHeight="1">
      <c r="A5046" s="28">
        <v>22649</v>
      </c>
      <c r="B5046" s="91">
        <v>45325.46434027778</v>
      </c>
      <c r="C5046" s="28" t="s">
        <v>0</v>
      </c>
      <c r="D5046" s="28" t="s">
        <v>727</v>
      </c>
      <c r="E5046" s="28" t="s">
        <v>1907</v>
      </c>
      <c r="F5046" s="28">
        <v>28</v>
      </c>
      <c r="G5046" s="28" t="s">
        <v>1448</v>
      </c>
      <c r="H5046" s="28">
        <v>0</v>
      </c>
      <c r="J5046" s="92"/>
    </row>
    <row r="5047" spans="1:10" ht="15.75" customHeight="1">
      <c r="A5047" s="28">
        <v>22650</v>
      </c>
      <c r="B5047" s="91">
        <v>45325.477708333332</v>
      </c>
      <c r="C5047" s="28" t="s">
        <v>0</v>
      </c>
      <c r="D5047" s="28" t="s">
        <v>828</v>
      </c>
      <c r="E5047" s="28" t="s">
        <v>1907</v>
      </c>
      <c r="F5047" s="28">
        <v>55</v>
      </c>
      <c r="G5047" s="28" t="s">
        <v>1457</v>
      </c>
      <c r="H5047" s="28">
        <v>0</v>
      </c>
      <c r="J5047" s="92"/>
    </row>
    <row r="5048" spans="1:10" ht="15.75" customHeight="1">
      <c r="A5048" s="28">
        <v>22651</v>
      </c>
      <c r="B5048" s="91">
        <v>45325.514201388891</v>
      </c>
      <c r="C5048" s="28" t="s">
        <v>0</v>
      </c>
      <c r="D5048" s="28" t="s">
        <v>1000</v>
      </c>
      <c r="E5048" s="28" t="s">
        <v>1907</v>
      </c>
      <c r="F5048" s="28">
        <v>35</v>
      </c>
      <c r="G5048" s="28" t="s">
        <v>1443</v>
      </c>
      <c r="H5048" s="28">
        <v>0</v>
      </c>
      <c r="J5048" s="92"/>
    </row>
    <row r="5049" spans="1:10" ht="15.75" customHeight="1">
      <c r="A5049" s="28">
        <v>22653</v>
      </c>
      <c r="B5049" s="91">
        <v>45325.538888888892</v>
      </c>
      <c r="C5049" s="28" t="s">
        <v>51</v>
      </c>
      <c r="D5049" s="28" t="s">
        <v>968</v>
      </c>
      <c r="E5049" s="28" t="s">
        <v>1907</v>
      </c>
      <c r="F5049" s="28">
        <v>15</v>
      </c>
      <c r="G5049" s="28" t="s">
        <v>1453</v>
      </c>
      <c r="H5049" s="28">
        <v>0</v>
      </c>
      <c r="J5049" s="92"/>
    </row>
    <row r="5050" spans="1:10" ht="15.75" customHeight="1">
      <c r="A5050" s="28">
        <v>22652</v>
      </c>
      <c r="B5050" s="91">
        <v>45325.538865740738</v>
      </c>
      <c r="C5050" s="28" t="s">
        <v>51</v>
      </c>
      <c r="D5050" s="28" t="s">
        <v>700</v>
      </c>
      <c r="E5050" s="28" t="s">
        <v>1907</v>
      </c>
      <c r="F5050" s="28">
        <v>44</v>
      </c>
      <c r="G5050" s="28" t="s">
        <v>1459</v>
      </c>
      <c r="H5050" s="28">
        <v>0</v>
      </c>
      <c r="J5050" s="92"/>
    </row>
    <row r="5051" spans="1:10" ht="15.75" customHeight="1">
      <c r="A5051" s="28">
        <v>22654</v>
      </c>
      <c r="B5051" s="91">
        <v>45325.54415509259</v>
      </c>
      <c r="C5051" s="28" t="s">
        <v>0</v>
      </c>
      <c r="D5051" s="28" t="s">
        <v>941</v>
      </c>
      <c r="E5051" s="28" t="s">
        <v>1907</v>
      </c>
      <c r="F5051" s="28">
        <v>22</v>
      </c>
      <c r="G5051" s="28" t="s">
        <v>1459</v>
      </c>
      <c r="H5051" s="28">
        <v>0</v>
      </c>
      <c r="J5051" s="92"/>
    </row>
    <row r="5052" spans="1:10" ht="15.75" customHeight="1">
      <c r="A5052" s="28">
        <v>22655</v>
      </c>
      <c r="B5052" s="91">
        <v>45325.548437500001</v>
      </c>
      <c r="C5052" s="28" t="s">
        <v>0</v>
      </c>
      <c r="D5052" s="28" t="s">
        <v>695</v>
      </c>
      <c r="E5052" s="28" t="s">
        <v>1907</v>
      </c>
      <c r="F5052" s="28">
        <v>25</v>
      </c>
      <c r="G5052" s="28" t="s">
        <v>1446</v>
      </c>
      <c r="H5052" s="28">
        <v>0</v>
      </c>
      <c r="J5052" s="92"/>
    </row>
    <row r="5053" spans="1:10" ht="15.75" customHeight="1">
      <c r="A5053" s="28">
        <v>22656</v>
      </c>
      <c r="B5053" s="91">
        <v>45325.56145833333</v>
      </c>
      <c r="C5053" s="28" t="s">
        <v>0</v>
      </c>
      <c r="D5053" s="28" t="s">
        <v>714</v>
      </c>
      <c r="E5053" s="28" t="s">
        <v>1907</v>
      </c>
      <c r="F5053" s="28">
        <v>25</v>
      </c>
      <c r="G5053" s="28" t="s">
        <v>141</v>
      </c>
      <c r="H5053" s="28">
        <v>0</v>
      </c>
      <c r="J5053" s="92"/>
    </row>
    <row r="5054" spans="1:10" ht="15.75" customHeight="1">
      <c r="A5054" s="28">
        <v>22657</v>
      </c>
      <c r="B5054" s="91">
        <v>45325.574016203704</v>
      </c>
      <c r="C5054" s="28" t="s">
        <v>0</v>
      </c>
      <c r="D5054" s="28" t="s">
        <v>895</v>
      </c>
      <c r="E5054" s="28" t="s">
        <v>1907</v>
      </c>
      <c r="F5054" s="28">
        <v>28</v>
      </c>
      <c r="G5054" s="28" t="s">
        <v>1448</v>
      </c>
      <c r="H5054" s="28">
        <v>0</v>
      </c>
      <c r="J5054" s="92"/>
    </row>
    <row r="5055" spans="1:10" ht="15.75" customHeight="1">
      <c r="A5055" s="28">
        <v>22658</v>
      </c>
      <c r="B5055" s="91">
        <v>45325.584803240738</v>
      </c>
      <c r="C5055" s="28" t="s">
        <v>0</v>
      </c>
      <c r="D5055" s="28" t="s">
        <v>1924</v>
      </c>
      <c r="E5055" s="28" t="s">
        <v>1907</v>
      </c>
      <c r="F5055" s="28">
        <v>15</v>
      </c>
      <c r="G5055" s="28" t="s">
        <v>1453</v>
      </c>
      <c r="H5055" s="28">
        <v>0</v>
      </c>
      <c r="J5055" s="92"/>
    </row>
    <row r="5056" spans="1:10" ht="15.75" customHeight="1">
      <c r="A5056" s="28">
        <v>22659</v>
      </c>
      <c r="B5056" s="91">
        <v>45325.673090277778</v>
      </c>
      <c r="C5056" s="28" t="s">
        <v>0</v>
      </c>
      <c r="D5056" s="28" t="s">
        <v>1925</v>
      </c>
      <c r="E5056" s="28" t="s">
        <v>1907</v>
      </c>
      <c r="F5056" s="28">
        <v>22</v>
      </c>
      <c r="G5056" s="28" t="s">
        <v>1535</v>
      </c>
      <c r="H5056" s="28">
        <v>0</v>
      </c>
      <c r="J5056" s="92"/>
    </row>
    <row r="5057" spans="1:10" ht="15.75" customHeight="1">
      <c r="A5057" s="28">
        <v>22660</v>
      </c>
      <c r="B5057" s="91">
        <v>45325.678356481483</v>
      </c>
      <c r="C5057" s="28" t="s">
        <v>0</v>
      </c>
      <c r="D5057" s="28" t="s">
        <v>692</v>
      </c>
      <c r="E5057" s="28" t="s">
        <v>1907</v>
      </c>
      <c r="F5057" s="28">
        <v>26</v>
      </c>
      <c r="G5057" s="28" t="s">
        <v>1455</v>
      </c>
      <c r="H5057" s="28">
        <v>0</v>
      </c>
      <c r="J5057" s="92"/>
    </row>
    <row r="5058" spans="1:10" ht="15.75" customHeight="1">
      <c r="A5058" s="28">
        <v>22660</v>
      </c>
      <c r="B5058" s="91">
        <v>45325.678356481483</v>
      </c>
      <c r="C5058" s="28" t="s">
        <v>0</v>
      </c>
      <c r="D5058" s="28" t="s">
        <v>692</v>
      </c>
      <c r="E5058" s="28" t="s">
        <v>1907</v>
      </c>
      <c r="F5058" s="28">
        <v>15</v>
      </c>
      <c r="G5058" s="28" t="s">
        <v>1467</v>
      </c>
      <c r="H5058" s="28">
        <v>0</v>
      </c>
      <c r="J5058" s="92"/>
    </row>
    <row r="5059" spans="1:10" ht="15.75" customHeight="1">
      <c r="A5059" s="28">
        <v>22661</v>
      </c>
      <c r="B5059" s="91">
        <v>45325.679907407408</v>
      </c>
      <c r="C5059" s="28" t="s">
        <v>51</v>
      </c>
      <c r="D5059" s="28" t="s">
        <v>950</v>
      </c>
      <c r="E5059" s="28" t="s">
        <v>1907</v>
      </c>
      <c r="F5059" s="28">
        <v>26</v>
      </c>
      <c r="G5059" s="28" t="s">
        <v>1455</v>
      </c>
      <c r="H5059" s="28">
        <v>0</v>
      </c>
      <c r="J5059" s="92"/>
    </row>
    <row r="5060" spans="1:10" ht="15.75" customHeight="1">
      <c r="A5060" s="28">
        <v>22662</v>
      </c>
      <c r="B5060" s="91">
        <v>45325.821956018517</v>
      </c>
      <c r="C5060" s="28" t="s">
        <v>0</v>
      </c>
      <c r="D5060" s="28" t="s">
        <v>701</v>
      </c>
      <c r="E5060" s="28" t="s">
        <v>1907</v>
      </c>
      <c r="F5060" s="28">
        <v>26</v>
      </c>
      <c r="G5060" s="28" t="s">
        <v>1455</v>
      </c>
      <c r="H5060" s="28">
        <v>0</v>
      </c>
      <c r="J5060" s="92"/>
    </row>
    <row r="5061" spans="1:10" ht="15.75" customHeight="1">
      <c r="A5061" s="28">
        <v>22662</v>
      </c>
      <c r="B5061" s="91">
        <v>45325.821956018517</v>
      </c>
      <c r="C5061" s="28" t="s">
        <v>0</v>
      </c>
      <c r="D5061" s="28" t="s">
        <v>701</v>
      </c>
      <c r="E5061" s="28" t="s">
        <v>1907</v>
      </c>
      <c r="F5061" s="28">
        <v>22</v>
      </c>
      <c r="G5061" s="28" t="s">
        <v>1459</v>
      </c>
      <c r="H5061" s="28">
        <v>0</v>
      </c>
      <c r="J5061" s="92"/>
    </row>
    <row r="5062" spans="1:10" ht="15.75" customHeight="1">
      <c r="A5062" s="28">
        <v>22662</v>
      </c>
      <c r="B5062" s="91">
        <v>45325.821956018517</v>
      </c>
      <c r="C5062" s="28" t="s">
        <v>0</v>
      </c>
      <c r="D5062" s="28" t="s">
        <v>701</v>
      </c>
      <c r="E5062" s="28" t="s">
        <v>1907</v>
      </c>
      <c r="F5062" s="28">
        <v>22</v>
      </c>
      <c r="G5062" s="28" t="s">
        <v>1535</v>
      </c>
      <c r="H5062" s="28">
        <v>0</v>
      </c>
      <c r="J5062" s="92"/>
    </row>
    <row r="5063" spans="1:10" ht="15.75" customHeight="1">
      <c r="A5063" s="28">
        <v>22663</v>
      </c>
      <c r="B5063" s="91">
        <v>45325.871631944443</v>
      </c>
      <c r="C5063" s="28" t="s">
        <v>0</v>
      </c>
      <c r="D5063" s="28" t="s">
        <v>798</v>
      </c>
      <c r="E5063" s="28" t="s">
        <v>1907</v>
      </c>
      <c r="F5063" s="28">
        <v>15</v>
      </c>
      <c r="G5063" s="28" t="s">
        <v>1467</v>
      </c>
      <c r="H5063" s="28">
        <v>0</v>
      </c>
      <c r="J5063" s="92"/>
    </row>
    <row r="5064" spans="1:10" ht="15.75" customHeight="1">
      <c r="A5064" s="28">
        <v>22663</v>
      </c>
      <c r="B5064" s="91">
        <v>45325.871631944443</v>
      </c>
      <c r="C5064" s="28" t="s">
        <v>0</v>
      </c>
      <c r="D5064" s="28" t="s">
        <v>798</v>
      </c>
      <c r="E5064" s="28" t="s">
        <v>1907</v>
      </c>
      <c r="F5064" s="28">
        <v>28</v>
      </c>
      <c r="G5064" s="28" t="s">
        <v>1448</v>
      </c>
      <c r="H5064" s="28">
        <v>0</v>
      </c>
      <c r="J5064" s="92"/>
    </row>
    <row r="5065" spans="1:10" ht="15.75" customHeight="1">
      <c r="A5065" s="28">
        <v>22663</v>
      </c>
      <c r="B5065" s="91">
        <v>45325.871631944443</v>
      </c>
      <c r="C5065" s="28" t="s">
        <v>0</v>
      </c>
      <c r="D5065" s="28" t="s">
        <v>798</v>
      </c>
      <c r="E5065" s="28" t="s">
        <v>1907</v>
      </c>
      <c r="F5065" s="28">
        <v>55</v>
      </c>
      <c r="G5065" s="28" t="s">
        <v>1457</v>
      </c>
      <c r="H5065" s="28">
        <v>0</v>
      </c>
      <c r="J5065" s="92"/>
    </row>
    <row r="5066" spans="1:10" ht="15.75" customHeight="1">
      <c r="A5066" s="28">
        <v>22664</v>
      </c>
      <c r="B5066" s="91">
        <v>45326.369421296295</v>
      </c>
      <c r="C5066" s="28" t="s">
        <v>51</v>
      </c>
      <c r="D5066" s="28" t="s">
        <v>690</v>
      </c>
      <c r="E5066" s="28" t="s">
        <v>1907</v>
      </c>
      <c r="F5066" s="28">
        <v>22</v>
      </c>
      <c r="G5066" s="28" t="s">
        <v>1535</v>
      </c>
      <c r="H5066" s="28">
        <v>0</v>
      </c>
      <c r="J5066" s="92"/>
    </row>
    <row r="5067" spans="1:10" ht="15.75" customHeight="1">
      <c r="A5067" s="28">
        <v>22665</v>
      </c>
      <c r="B5067" s="91">
        <v>45326.519386574073</v>
      </c>
      <c r="C5067" s="28" t="s">
        <v>0</v>
      </c>
      <c r="D5067" s="28" t="s">
        <v>683</v>
      </c>
      <c r="E5067" s="28" t="s">
        <v>1907</v>
      </c>
      <c r="F5067" s="28">
        <v>15</v>
      </c>
      <c r="G5067" s="28" t="s">
        <v>1467</v>
      </c>
      <c r="H5067" s="28">
        <v>0</v>
      </c>
      <c r="J5067" s="92"/>
    </row>
    <row r="5068" spans="1:10" ht="15.75" customHeight="1">
      <c r="A5068" s="28">
        <v>22666</v>
      </c>
      <c r="B5068" s="91">
        <v>45326.571006944447</v>
      </c>
      <c r="C5068" s="28" t="s">
        <v>0</v>
      </c>
      <c r="D5068" s="28" t="s">
        <v>1926</v>
      </c>
      <c r="E5068" s="28" t="s">
        <v>1907</v>
      </c>
      <c r="F5068" s="28">
        <v>26</v>
      </c>
      <c r="G5068" s="28" t="s">
        <v>1455</v>
      </c>
      <c r="H5068" s="28">
        <v>0</v>
      </c>
      <c r="J5068" s="92"/>
    </row>
    <row r="5069" spans="1:10" ht="15.75" customHeight="1">
      <c r="A5069" s="28">
        <v>22666</v>
      </c>
      <c r="B5069" s="91">
        <v>45326.571006944447</v>
      </c>
      <c r="C5069" s="28" t="s">
        <v>0</v>
      </c>
      <c r="D5069" s="28" t="s">
        <v>1926</v>
      </c>
      <c r="E5069" s="28" t="s">
        <v>1907</v>
      </c>
      <c r="F5069" s="28">
        <v>26</v>
      </c>
      <c r="G5069" s="28" t="s">
        <v>1455</v>
      </c>
      <c r="H5069" s="28">
        <v>0</v>
      </c>
      <c r="J5069" s="92"/>
    </row>
    <row r="5070" spans="1:10" ht="15.75" customHeight="1">
      <c r="A5070" s="28">
        <v>22667</v>
      </c>
      <c r="B5070" s="91">
        <v>45326.573784722219</v>
      </c>
      <c r="C5070" s="28" t="s">
        <v>0</v>
      </c>
      <c r="D5070" s="28" t="s">
        <v>1054</v>
      </c>
      <c r="E5070" s="28" t="s">
        <v>1907</v>
      </c>
      <c r="F5070" s="28">
        <v>26</v>
      </c>
      <c r="G5070" s="28" t="s">
        <v>1455</v>
      </c>
      <c r="H5070" s="28">
        <v>0</v>
      </c>
      <c r="J5070" s="92"/>
    </row>
    <row r="5071" spans="1:10" ht="15.75" customHeight="1">
      <c r="A5071" s="28">
        <v>22668</v>
      </c>
      <c r="B5071" s="91">
        <v>45326.678171296298</v>
      </c>
      <c r="C5071" s="28" t="s">
        <v>0</v>
      </c>
      <c r="D5071" s="28" t="s">
        <v>1927</v>
      </c>
      <c r="E5071" s="28" t="s">
        <v>77</v>
      </c>
      <c r="F5071" s="28">
        <v>35</v>
      </c>
      <c r="G5071" s="28" t="s">
        <v>1443</v>
      </c>
      <c r="H5071" s="28">
        <v>0</v>
      </c>
      <c r="J5071" s="92"/>
    </row>
    <row r="5072" spans="1:10" ht="15.75" customHeight="1">
      <c r="A5072" s="28">
        <v>22669</v>
      </c>
      <c r="B5072" s="91">
        <v>45326.691400462965</v>
      </c>
      <c r="C5072" s="28" t="s">
        <v>0</v>
      </c>
      <c r="D5072" s="28" t="s">
        <v>964</v>
      </c>
      <c r="E5072" s="28" t="s">
        <v>1907</v>
      </c>
      <c r="F5072" s="28">
        <v>18</v>
      </c>
      <c r="G5072" s="28" t="s">
        <v>1470</v>
      </c>
      <c r="H5072" s="28">
        <v>0</v>
      </c>
      <c r="J5072" s="92"/>
    </row>
    <row r="5073" spans="1:10" ht="15.75" customHeight="1">
      <c r="A5073" s="28">
        <v>22670</v>
      </c>
      <c r="B5073" s="91">
        <v>45326.763715277775</v>
      </c>
      <c r="C5073" s="28" t="s">
        <v>0</v>
      </c>
      <c r="D5073" s="28" t="s">
        <v>858</v>
      </c>
      <c r="E5073" s="28" t="s">
        <v>1907</v>
      </c>
      <c r="F5073" s="28">
        <v>26</v>
      </c>
      <c r="G5073" s="28" t="s">
        <v>1455</v>
      </c>
      <c r="H5073" s="28">
        <v>0</v>
      </c>
      <c r="J5073" s="92"/>
    </row>
    <row r="5074" spans="1:10" ht="15.75" customHeight="1">
      <c r="A5074" s="28">
        <v>22670</v>
      </c>
      <c r="B5074" s="91">
        <v>45326.763715277775</v>
      </c>
      <c r="C5074" s="28" t="s">
        <v>0</v>
      </c>
      <c r="D5074" s="28" t="s">
        <v>858</v>
      </c>
      <c r="E5074" s="28" t="s">
        <v>1907</v>
      </c>
      <c r="F5074" s="28">
        <v>35</v>
      </c>
      <c r="G5074" s="28" t="s">
        <v>1443</v>
      </c>
      <c r="H5074" s="28">
        <v>0</v>
      </c>
      <c r="J5074" s="92"/>
    </row>
    <row r="5075" spans="1:10" ht="15.75" customHeight="1">
      <c r="A5075" s="28">
        <v>22670</v>
      </c>
      <c r="B5075" s="91">
        <v>45326.763715277775</v>
      </c>
      <c r="C5075" s="28" t="s">
        <v>0</v>
      </c>
      <c r="D5075" s="28" t="s">
        <v>858</v>
      </c>
      <c r="E5075" s="28" t="s">
        <v>1907</v>
      </c>
      <c r="F5075" s="28">
        <v>0</v>
      </c>
      <c r="G5075" s="28" t="s">
        <v>141</v>
      </c>
      <c r="H5075" s="28">
        <v>0</v>
      </c>
      <c r="J5075" s="92"/>
    </row>
    <row r="5076" spans="1:10" ht="15.75" customHeight="1">
      <c r="A5076" s="28">
        <v>22671</v>
      </c>
      <c r="B5076" s="91">
        <v>45326.842685185184</v>
      </c>
      <c r="C5076" s="28" t="s">
        <v>0</v>
      </c>
      <c r="D5076" s="28" t="s">
        <v>1928</v>
      </c>
      <c r="E5076" s="28" t="s">
        <v>1907</v>
      </c>
      <c r="F5076" s="28">
        <v>26</v>
      </c>
      <c r="G5076" s="28" t="s">
        <v>1455</v>
      </c>
      <c r="H5076" s="28">
        <v>0</v>
      </c>
      <c r="J5076" s="92"/>
    </row>
    <row r="5077" spans="1:10" ht="15.75" customHeight="1">
      <c r="A5077" s="28">
        <v>22672</v>
      </c>
      <c r="B5077" s="91">
        <v>45326.853275462963</v>
      </c>
      <c r="C5077" s="28" t="s">
        <v>0</v>
      </c>
      <c r="D5077" s="28" t="s">
        <v>853</v>
      </c>
      <c r="E5077" s="28" t="s">
        <v>1907</v>
      </c>
      <c r="F5077" s="28">
        <v>25</v>
      </c>
      <c r="G5077" s="28" t="s">
        <v>1446</v>
      </c>
      <c r="H5077" s="28">
        <v>0</v>
      </c>
      <c r="J5077" s="92"/>
    </row>
    <row r="5078" spans="1:10" ht="15.75" customHeight="1">
      <c r="A5078" s="28">
        <v>22673</v>
      </c>
      <c r="B5078" s="91">
        <v>45326.87023148148</v>
      </c>
      <c r="C5078" s="28" t="s">
        <v>0</v>
      </c>
      <c r="D5078" s="28" t="s">
        <v>1929</v>
      </c>
      <c r="E5078" s="28" t="s">
        <v>77</v>
      </c>
      <c r="F5078" s="28">
        <v>20</v>
      </c>
      <c r="G5078" s="28"/>
      <c r="H5078" s="28">
        <v>0</v>
      </c>
      <c r="J5078" s="92"/>
    </row>
    <row r="5079" spans="1:10" ht="15.75" customHeight="1">
      <c r="A5079" s="28">
        <v>22673</v>
      </c>
      <c r="B5079" s="91">
        <v>45326.87023148148</v>
      </c>
      <c r="C5079" s="28" t="s">
        <v>0</v>
      </c>
      <c r="D5079" s="28" t="s">
        <v>1929</v>
      </c>
      <c r="E5079" s="28" t="s">
        <v>77</v>
      </c>
      <c r="F5079" s="28">
        <v>22</v>
      </c>
      <c r="G5079" s="28" t="s">
        <v>1535</v>
      </c>
      <c r="H5079" s="28">
        <v>0</v>
      </c>
      <c r="J5079" s="92"/>
    </row>
    <row r="5080" spans="1:10" ht="15.75" customHeight="1">
      <c r="A5080" s="28">
        <v>22673</v>
      </c>
      <c r="B5080" s="91">
        <v>45326.87023148148</v>
      </c>
      <c r="C5080" s="28" t="s">
        <v>0</v>
      </c>
      <c r="D5080" s="28" t="s">
        <v>1929</v>
      </c>
      <c r="E5080" s="28" t="s">
        <v>77</v>
      </c>
      <c r="F5080" s="28">
        <v>0</v>
      </c>
      <c r="G5080" s="28" t="s">
        <v>141</v>
      </c>
      <c r="H5080" s="28">
        <v>0</v>
      </c>
      <c r="J5080" s="92"/>
    </row>
    <row r="5081" spans="1:10" ht="15.75" customHeight="1">
      <c r="A5081" s="28">
        <v>22674</v>
      </c>
      <c r="B5081" s="91">
        <v>45326.886064814818</v>
      </c>
      <c r="C5081" s="28" t="s">
        <v>0</v>
      </c>
      <c r="D5081" s="28" t="s">
        <v>897</v>
      </c>
      <c r="E5081" s="28" t="s">
        <v>1907</v>
      </c>
      <c r="F5081" s="28">
        <v>25</v>
      </c>
      <c r="G5081" s="28" t="s">
        <v>141</v>
      </c>
      <c r="H5081" s="28">
        <v>0</v>
      </c>
      <c r="J5081" s="92"/>
    </row>
    <row r="5082" spans="1:10" ht="15.75" customHeight="1">
      <c r="A5082" s="28">
        <v>22675</v>
      </c>
      <c r="B5082" s="91">
        <v>45326.888506944444</v>
      </c>
      <c r="C5082" s="28" t="s">
        <v>0</v>
      </c>
      <c r="D5082" s="28" t="s">
        <v>898</v>
      </c>
      <c r="E5082" s="28" t="s">
        <v>1907</v>
      </c>
      <c r="F5082" s="28">
        <v>25</v>
      </c>
      <c r="G5082" s="28" t="s">
        <v>141</v>
      </c>
      <c r="H5082" s="28">
        <v>0</v>
      </c>
      <c r="J5082" s="92"/>
    </row>
    <row r="5083" spans="1:10" ht="15.75" customHeight="1">
      <c r="A5083" s="28">
        <v>22676</v>
      </c>
      <c r="B5083" s="91">
        <v>45327.424328703702</v>
      </c>
      <c r="C5083" s="28" t="s">
        <v>0</v>
      </c>
      <c r="D5083" s="28" t="s">
        <v>807</v>
      </c>
      <c r="E5083" s="28" t="s">
        <v>1907</v>
      </c>
      <c r="F5083" s="28">
        <v>55</v>
      </c>
      <c r="G5083" s="28" t="s">
        <v>1457</v>
      </c>
      <c r="H5083" s="28">
        <v>0</v>
      </c>
      <c r="J5083" s="92"/>
    </row>
    <row r="5084" spans="1:10" ht="15.75" customHeight="1">
      <c r="A5084" s="28">
        <v>22677</v>
      </c>
      <c r="B5084" s="91">
        <v>45327.441782407404</v>
      </c>
      <c r="C5084" s="28" t="s">
        <v>0</v>
      </c>
      <c r="D5084" s="28" t="s">
        <v>988</v>
      </c>
      <c r="E5084" s="28" t="s">
        <v>1907</v>
      </c>
      <c r="F5084" s="28">
        <v>15</v>
      </c>
      <c r="G5084" s="28" t="s">
        <v>1453</v>
      </c>
      <c r="H5084" s="28">
        <v>0</v>
      </c>
      <c r="J5084" s="92"/>
    </row>
    <row r="5085" spans="1:10" ht="15.75" customHeight="1">
      <c r="A5085" s="28">
        <v>22677</v>
      </c>
      <c r="B5085" s="91">
        <v>45327.441782407404</v>
      </c>
      <c r="C5085" s="28" t="s">
        <v>0</v>
      </c>
      <c r="D5085" s="28" t="s">
        <v>988</v>
      </c>
      <c r="E5085" s="28" t="s">
        <v>1907</v>
      </c>
      <c r="F5085" s="28">
        <v>18</v>
      </c>
      <c r="G5085" s="28" t="s">
        <v>1470</v>
      </c>
      <c r="H5085" s="28">
        <v>0</v>
      </c>
      <c r="J5085" s="92"/>
    </row>
    <row r="5086" spans="1:10" ht="15.75" customHeight="1">
      <c r="A5086" s="28">
        <v>22678</v>
      </c>
      <c r="B5086" s="91">
        <v>45327.477326388886</v>
      </c>
      <c r="C5086" s="28" t="s">
        <v>0</v>
      </c>
      <c r="D5086" s="28" t="s">
        <v>1930</v>
      </c>
      <c r="E5086" s="28" t="s">
        <v>1907</v>
      </c>
      <c r="F5086" s="28">
        <v>26</v>
      </c>
      <c r="G5086" s="28" t="s">
        <v>1455</v>
      </c>
      <c r="H5086" s="28">
        <v>0</v>
      </c>
      <c r="J5086" s="92"/>
    </row>
    <row r="5087" spans="1:10" ht="15.75" customHeight="1">
      <c r="A5087" s="28">
        <v>22678</v>
      </c>
      <c r="B5087" s="91">
        <v>45327.477326388886</v>
      </c>
      <c r="C5087" s="28" t="s">
        <v>0</v>
      </c>
      <c r="D5087" s="28" t="s">
        <v>1930</v>
      </c>
      <c r="E5087" s="28" t="s">
        <v>1907</v>
      </c>
      <c r="F5087" s="28">
        <v>25</v>
      </c>
      <c r="G5087" s="28" t="s">
        <v>141</v>
      </c>
      <c r="H5087" s="28">
        <v>0</v>
      </c>
      <c r="J5087" s="92"/>
    </row>
    <row r="5088" spans="1:10" ht="15.75" customHeight="1">
      <c r="A5088" s="28">
        <v>22679</v>
      </c>
      <c r="B5088" s="91">
        <v>45327.506956018522</v>
      </c>
      <c r="C5088" s="28" t="s">
        <v>0</v>
      </c>
      <c r="D5088" s="28" t="s">
        <v>1931</v>
      </c>
      <c r="E5088" s="28" t="s">
        <v>1907</v>
      </c>
      <c r="F5088" s="28">
        <v>35</v>
      </c>
      <c r="G5088" s="28" t="s">
        <v>1443</v>
      </c>
      <c r="H5088" s="28">
        <v>0</v>
      </c>
      <c r="J5088" s="92"/>
    </row>
    <row r="5089" spans="1:10" ht="15.75" customHeight="1">
      <c r="A5089" s="28">
        <v>22680</v>
      </c>
      <c r="B5089" s="91">
        <v>45327.509340277778</v>
      </c>
      <c r="C5089" s="28" t="s">
        <v>0</v>
      </c>
      <c r="D5089" s="28" t="s">
        <v>1059</v>
      </c>
      <c r="E5089" s="28" t="s">
        <v>1907</v>
      </c>
      <c r="F5089" s="28">
        <v>0</v>
      </c>
      <c r="G5089" s="28" t="s">
        <v>141</v>
      </c>
      <c r="H5089" s="28">
        <v>0</v>
      </c>
      <c r="J5089" s="92"/>
    </row>
    <row r="5090" spans="1:10" ht="15.75" customHeight="1">
      <c r="A5090" s="28">
        <v>22681</v>
      </c>
      <c r="B5090" s="91">
        <v>45327.555069444446</v>
      </c>
      <c r="C5090" s="28" t="s">
        <v>0</v>
      </c>
      <c r="D5090" s="28" t="s">
        <v>1057</v>
      </c>
      <c r="E5090" s="28" t="s">
        <v>1907</v>
      </c>
      <c r="F5090" s="28">
        <v>22</v>
      </c>
      <c r="G5090" s="28" t="s">
        <v>1535</v>
      </c>
      <c r="H5090" s="28">
        <v>0</v>
      </c>
      <c r="J5090" s="92"/>
    </row>
    <row r="5091" spans="1:10" ht="15.75" customHeight="1">
      <c r="A5091" s="28">
        <v>22682</v>
      </c>
      <c r="B5091" s="91">
        <v>45327.643634259257</v>
      </c>
      <c r="C5091" s="28" t="s">
        <v>0</v>
      </c>
      <c r="D5091" s="28" t="s">
        <v>1932</v>
      </c>
      <c r="E5091" s="28" t="s">
        <v>1907</v>
      </c>
      <c r="F5091" s="28">
        <v>18</v>
      </c>
      <c r="G5091" s="28" t="s">
        <v>1470</v>
      </c>
      <c r="H5091" s="28">
        <v>0</v>
      </c>
      <c r="J5091" s="92"/>
    </row>
    <row r="5092" spans="1:10" ht="15.75" customHeight="1">
      <c r="A5092" s="28">
        <v>22682</v>
      </c>
      <c r="B5092" s="91">
        <v>45327.643634259257</v>
      </c>
      <c r="C5092" s="28" t="s">
        <v>0</v>
      </c>
      <c r="D5092" s="28" t="s">
        <v>1932</v>
      </c>
      <c r="E5092" s="28" t="s">
        <v>1907</v>
      </c>
      <c r="F5092" s="28">
        <v>15</v>
      </c>
      <c r="G5092" s="28" t="s">
        <v>1453</v>
      </c>
      <c r="H5092" s="28">
        <v>0</v>
      </c>
      <c r="J5092" s="92"/>
    </row>
    <row r="5093" spans="1:10" ht="15.75" customHeight="1">
      <c r="A5093" s="28">
        <v>22683</v>
      </c>
      <c r="B5093" s="91">
        <v>45327.699259259258</v>
      </c>
      <c r="C5093" s="28" t="s">
        <v>0</v>
      </c>
      <c r="D5093" s="28" t="s">
        <v>682</v>
      </c>
      <c r="E5093" s="28" t="s">
        <v>1907</v>
      </c>
      <c r="F5093" s="28">
        <v>35</v>
      </c>
      <c r="G5093" s="28" t="s">
        <v>1443</v>
      </c>
      <c r="H5093" s="28">
        <v>0</v>
      </c>
      <c r="J5093" s="92"/>
    </row>
    <row r="5094" spans="1:10" ht="15.75" customHeight="1">
      <c r="A5094" s="28">
        <v>22684</v>
      </c>
      <c r="B5094" s="91">
        <v>45327.811423611114</v>
      </c>
      <c r="C5094" s="28" t="s">
        <v>0</v>
      </c>
      <c r="D5094" s="28" t="s">
        <v>749</v>
      </c>
      <c r="E5094" s="28" t="s">
        <v>1907</v>
      </c>
      <c r="F5094" s="28">
        <v>22</v>
      </c>
      <c r="G5094" s="28" t="s">
        <v>1459</v>
      </c>
      <c r="H5094" s="28">
        <v>0</v>
      </c>
      <c r="J5094" s="92"/>
    </row>
    <row r="5095" spans="1:10" ht="15.75" customHeight="1">
      <c r="A5095" s="28">
        <v>22684</v>
      </c>
      <c r="B5095" s="91">
        <v>45327.811423611114</v>
      </c>
      <c r="C5095" s="28" t="s">
        <v>0</v>
      </c>
      <c r="D5095" s="28" t="s">
        <v>749</v>
      </c>
      <c r="E5095" s="28" t="s">
        <v>1907</v>
      </c>
      <c r="F5095" s="28">
        <v>20</v>
      </c>
      <c r="G5095" s="28"/>
      <c r="H5095" s="28">
        <v>0</v>
      </c>
      <c r="J5095" s="92"/>
    </row>
    <row r="5096" spans="1:10" ht="15.75" customHeight="1">
      <c r="A5096" s="28">
        <v>22684</v>
      </c>
      <c r="B5096" s="91">
        <v>45327.811423611114</v>
      </c>
      <c r="C5096" s="28" t="s">
        <v>0</v>
      </c>
      <c r="D5096" s="28" t="s">
        <v>749</v>
      </c>
      <c r="E5096" s="28" t="s">
        <v>1907</v>
      </c>
      <c r="F5096" s="28">
        <v>0</v>
      </c>
      <c r="G5096" s="28" t="s">
        <v>141</v>
      </c>
      <c r="H5096" s="28">
        <v>0</v>
      </c>
      <c r="J5096" s="92"/>
    </row>
    <row r="5097" spans="1:10" ht="15.75" customHeight="1">
      <c r="A5097" s="28">
        <v>22685</v>
      </c>
      <c r="B5097" s="91">
        <v>45327.816365740742</v>
      </c>
      <c r="C5097" s="28" t="s">
        <v>0</v>
      </c>
      <c r="D5097" s="28" t="s">
        <v>748</v>
      </c>
      <c r="E5097" s="28" t="s">
        <v>1907</v>
      </c>
      <c r="F5097" s="28">
        <v>22</v>
      </c>
      <c r="G5097" s="28" t="s">
        <v>1459</v>
      </c>
      <c r="H5097" s="28">
        <v>0</v>
      </c>
      <c r="J5097" s="92"/>
    </row>
    <row r="5098" spans="1:10" ht="15.75" customHeight="1">
      <c r="A5098" s="28">
        <v>22685</v>
      </c>
      <c r="B5098" s="91">
        <v>45327.816365740742</v>
      </c>
      <c r="C5098" s="28" t="s">
        <v>0</v>
      </c>
      <c r="D5098" s="28" t="s">
        <v>748</v>
      </c>
      <c r="E5098" s="28" t="s">
        <v>1907</v>
      </c>
      <c r="F5098" s="28">
        <v>25</v>
      </c>
      <c r="G5098" s="28" t="s">
        <v>141</v>
      </c>
      <c r="H5098" s="28">
        <v>0</v>
      </c>
      <c r="J5098" s="92"/>
    </row>
    <row r="5099" spans="1:10" ht="15.75" customHeight="1">
      <c r="A5099" s="28">
        <v>22686</v>
      </c>
      <c r="B5099" s="91">
        <v>45327.821192129632</v>
      </c>
      <c r="C5099" s="28" t="s">
        <v>0</v>
      </c>
      <c r="D5099" s="28" t="s">
        <v>1933</v>
      </c>
      <c r="E5099" s="28" t="s">
        <v>1907</v>
      </c>
      <c r="F5099" s="28">
        <v>26</v>
      </c>
      <c r="G5099" s="28" t="s">
        <v>1455</v>
      </c>
      <c r="H5099" s="28">
        <v>0</v>
      </c>
      <c r="J5099" s="92"/>
    </row>
    <row r="5100" spans="1:10" ht="15.75" customHeight="1">
      <c r="A5100" s="28">
        <v>22687</v>
      </c>
      <c r="B5100" s="91">
        <v>45327.822129629632</v>
      </c>
      <c r="C5100" s="28" t="s">
        <v>0</v>
      </c>
      <c r="D5100" s="28" t="s">
        <v>1934</v>
      </c>
      <c r="E5100" s="28" t="s">
        <v>1907</v>
      </c>
      <c r="F5100" s="28">
        <v>20</v>
      </c>
      <c r="G5100" s="28"/>
      <c r="H5100" s="28">
        <v>0</v>
      </c>
      <c r="J5100" s="92"/>
    </row>
    <row r="5101" spans="1:10" ht="15.75" customHeight="1">
      <c r="A5101" s="28">
        <v>22687</v>
      </c>
      <c r="B5101" s="91">
        <v>45327.822129629632</v>
      </c>
      <c r="C5101" s="28" t="s">
        <v>0</v>
      </c>
      <c r="D5101" s="28" t="s">
        <v>1934</v>
      </c>
      <c r="E5101" s="28" t="s">
        <v>1907</v>
      </c>
      <c r="F5101" s="28">
        <v>100</v>
      </c>
      <c r="G5101" s="28" t="s">
        <v>141</v>
      </c>
      <c r="H5101" s="28">
        <v>0</v>
      </c>
      <c r="J5101" s="92"/>
    </row>
    <row r="5102" spans="1:10" ht="15.75" customHeight="1">
      <c r="A5102" s="28">
        <v>22689</v>
      </c>
      <c r="B5102" s="91">
        <v>45327.846388888887</v>
      </c>
      <c r="C5102" s="28" t="s">
        <v>0</v>
      </c>
      <c r="D5102" s="28" t="s">
        <v>723</v>
      </c>
      <c r="E5102" s="28" t="s">
        <v>1907</v>
      </c>
      <c r="F5102" s="28">
        <v>18</v>
      </c>
      <c r="G5102" s="28" t="s">
        <v>1470</v>
      </c>
      <c r="H5102" s="28">
        <v>0</v>
      </c>
      <c r="J5102" s="92"/>
    </row>
    <row r="5103" spans="1:10" ht="15.75" customHeight="1">
      <c r="A5103" s="28">
        <v>22689</v>
      </c>
      <c r="B5103" s="91">
        <v>45327.846388888887</v>
      </c>
      <c r="C5103" s="28" t="s">
        <v>0</v>
      </c>
      <c r="D5103" s="28" t="s">
        <v>723</v>
      </c>
      <c r="E5103" s="28" t="s">
        <v>1907</v>
      </c>
      <c r="F5103" s="28">
        <v>28</v>
      </c>
      <c r="G5103" s="28" t="s">
        <v>1448</v>
      </c>
      <c r="H5103" s="28">
        <v>0</v>
      </c>
      <c r="J5103" s="92"/>
    </row>
    <row r="5104" spans="1:10" ht="15.75" customHeight="1">
      <c r="A5104" s="28">
        <v>22688</v>
      </c>
      <c r="B5104" s="91">
        <v>45327.846354166664</v>
      </c>
      <c r="C5104" s="28" t="s">
        <v>0</v>
      </c>
      <c r="D5104" s="28" t="s">
        <v>835</v>
      </c>
      <c r="E5104" s="28" t="s">
        <v>1907</v>
      </c>
      <c r="F5104" s="28">
        <v>55</v>
      </c>
      <c r="G5104" s="28" t="s">
        <v>1457</v>
      </c>
      <c r="H5104" s="28">
        <v>0</v>
      </c>
      <c r="J5104" s="92"/>
    </row>
    <row r="5105" spans="1:10" ht="15.75" customHeight="1">
      <c r="A5105" s="28">
        <v>22690</v>
      </c>
      <c r="B5105" s="91">
        <v>45327.874189814815</v>
      </c>
      <c r="C5105" s="28" t="s">
        <v>0</v>
      </c>
      <c r="D5105" s="28" t="s">
        <v>1015</v>
      </c>
      <c r="E5105" s="28" t="s">
        <v>1907</v>
      </c>
      <c r="F5105" s="28">
        <v>25</v>
      </c>
      <c r="G5105" s="28" t="s">
        <v>141</v>
      </c>
      <c r="H5105" s="28">
        <v>0</v>
      </c>
      <c r="J5105" s="92"/>
    </row>
    <row r="5106" spans="1:10" ht="15.75" customHeight="1">
      <c r="A5106" s="28">
        <v>22691</v>
      </c>
      <c r="B5106" s="91">
        <v>45327.883090277777</v>
      </c>
      <c r="C5106" s="28" t="s">
        <v>0</v>
      </c>
      <c r="D5106" s="28" t="s">
        <v>1033</v>
      </c>
      <c r="E5106" s="28" t="s">
        <v>1907</v>
      </c>
      <c r="F5106" s="28">
        <v>25</v>
      </c>
      <c r="G5106" s="28" t="s">
        <v>141</v>
      </c>
      <c r="H5106" s="28">
        <v>0</v>
      </c>
      <c r="J5106" s="92"/>
    </row>
    <row r="5107" spans="1:10" ht="15.75" customHeight="1">
      <c r="A5107" s="28">
        <v>22692</v>
      </c>
      <c r="B5107" s="91">
        <v>45327.886793981481</v>
      </c>
      <c r="C5107" s="28" t="s">
        <v>51</v>
      </c>
      <c r="D5107" s="28" t="s">
        <v>659</v>
      </c>
      <c r="E5107" s="28" t="s">
        <v>1907</v>
      </c>
      <c r="F5107" s="28">
        <v>20</v>
      </c>
      <c r="G5107" s="28" t="s">
        <v>1475</v>
      </c>
      <c r="H5107" s="28">
        <v>0</v>
      </c>
      <c r="J5107" s="92"/>
    </row>
    <row r="5108" spans="1:10" ht="15.75" customHeight="1">
      <c r="A5108" s="28">
        <v>22692</v>
      </c>
      <c r="B5108" s="91">
        <v>45327.886793981481</v>
      </c>
      <c r="C5108" s="28" t="s">
        <v>51</v>
      </c>
      <c r="D5108" s="28" t="s">
        <v>659</v>
      </c>
      <c r="E5108" s="28" t="s">
        <v>1907</v>
      </c>
      <c r="F5108" s="28">
        <v>28</v>
      </c>
      <c r="G5108" s="28" t="s">
        <v>1448</v>
      </c>
      <c r="H5108" s="28">
        <v>0</v>
      </c>
      <c r="J5108" s="92"/>
    </row>
    <row r="5109" spans="1:10" ht="15.75" customHeight="1">
      <c r="A5109" s="28">
        <v>22692</v>
      </c>
      <c r="B5109" s="91">
        <v>45327.886793981481</v>
      </c>
      <c r="C5109" s="28" t="s">
        <v>51</v>
      </c>
      <c r="D5109" s="28" t="s">
        <v>659</v>
      </c>
      <c r="E5109" s="28" t="s">
        <v>1907</v>
      </c>
      <c r="F5109" s="28">
        <v>0</v>
      </c>
      <c r="G5109" s="28" t="s">
        <v>141</v>
      </c>
      <c r="H5109" s="28">
        <v>0</v>
      </c>
      <c r="J5109" s="92"/>
    </row>
    <row r="5110" spans="1:10" ht="15.75" customHeight="1">
      <c r="A5110" s="28">
        <v>22693</v>
      </c>
      <c r="B5110" s="91">
        <v>45327.887743055559</v>
      </c>
      <c r="C5110" s="28" t="s">
        <v>0</v>
      </c>
      <c r="D5110" s="28" t="s">
        <v>686</v>
      </c>
      <c r="E5110" s="28" t="s">
        <v>1907</v>
      </c>
      <c r="F5110" s="28">
        <v>35</v>
      </c>
      <c r="G5110" s="28" t="s">
        <v>1443</v>
      </c>
      <c r="H5110" s="28">
        <v>0</v>
      </c>
      <c r="J5110" s="92"/>
    </row>
    <row r="5111" spans="1:10" ht="15.75" customHeight="1">
      <c r="A5111" s="28">
        <v>22693</v>
      </c>
      <c r="B5111" s="91">
        <v>45327.887743055559</v>
      </c>
      <c r="C5111" s="28" t="s">
        <v>0</v>
      </c>
      <c r="D5111" s="28" t="s">
        <v>686</v>
      </c>
      <c r="E5111" s="28" t="s">
        <v>1907</v>
      </c>
      <c r="F5111" s="28">
        <v>26</v>
      </c>
      <c r="G5111" s="28" t="s">
        <v>1455</v>
      </c>
      <c r="H5111" s="28">
        <v>0</v>
      </c>
      <c r="J5111" s="92"/>
    </row>
    <row r="5112" spans="1:10" ht="15.75" customHeight="1">
      <c r="A5112" s="28">
        <v>22694</v>
      </c>
      <c r="B5112" s="91">
        <v>45327.894270833334</v>
      </c>
      <c r="C5112" s="28" t="s">
        <v>0</v>
      </c>
      <c r="D5112" s="28" t="s">
        <v>1935</v>
      </c>
      <c r="E5112" s="28" t="s">
        <v>1907</v>
      </c>
      <c r="F5112" s="28">
        <v>22</v>
      </c>
      <c r="G5112" s="28" t="s">
        <v>1535</v>
      </c>
      <c r="H5112" s="28">
        <v>0</v>
      </c>
      <c r="J5112" s="92"/>
    </row>
    <row r="5113" spans="1:10" ht="15.75" customHeight="1">
      <c r="A5113" s="28">
        <v>22695</v>
      </c>
      <c r="B5113" s="91">
        <v>45327.901701388888</v>
      </c>
      <c r="C5113" s="28" t="s">
        <v>0</v>
      </c>
      <c r="D5113" s="28" t="s">
        <v>1021</v>
      </c>
      <c r="E5113" s="28" t="s">
        <v>1907</v>
      </c>
      <c r="F5113" s="28">
        <v>25</v>
      </c>
      <c r="G5113" s="28" t="s">
        <v>1446</v>
      </c>
      <c r="H5113" s="28">
        <v>0</v>
      </c>
      <c r="J5113" s="92"/>
    </row>
    <row r="5114" spans="1:10" ht="15.75" customHeight="1">
      <c r="A5114" s="28">
        <v>22695</v>
      </c>
      <c r="B5114" s="91">
        <v>45327.901701388888</v>
      </c>
      <c r="C5114" s="28" t="s">
        <v>0</v>
      </c>
      <c r="D5114" s="28" t="s">
        <v>1021</v>
      </c>
      <c r="E5114" s="28" t="s">
        <v>1907</v>
      </c>
      <c r="F5114" s="28">
        <v>0</v>
      </c>
      <c r="G5114" s="28" t="s">
        <v>141</v>
      </c>
      <c r="H5114" s="28">
        <v>0</v>
      </c>
      <c r="J5114" s="92"/>
    </row>
    <row r="5115" spans="1:10" ht="15.75" customHeight="1">
      <c r="A5115" s="28">
        <v>22695</v>
      </c>
      <c r="B5115" s="91">
        <v>45327.901701388888</v>
      </c>
      <c r="C5115" s="28" t="s">
        <v>0</v>
      </c>
      <c r="D5115" s="28" t="s">
        <v>1021</v>
      </c>
      <c r="E5115" s="28" t="s">
        <v>1907</v>
      </c>
      <c r="F5115" s="28">
        <v>26</v>
      </c>
      <c r="G5115" s="28" t="s">
        <v>1455</v>
      </c>
      <c r="H5115" s="28">
        <v>0</v>
      </c>
      <c r="J5115" s="92"/>
    </row>
    <row r="5116" spans="1:10" ht="15.75" customHeight="1">
      <c r="A5116" s="28">
        <v>22696</v>
      </c>
      <c r="B5116" s="91">
        <v>45327.914467592593</v>
      </c>
      <c r="C5116" s="28" t="s">
        <v>0</v>
      </c>
      <c r="D5116" s="28" t="s">
        <v>1936</v>
      </c>
      <c r="E5116" s="28" t="s">
        <v>1907</v>
      </c>
      <c r="F5116" s="28">
        <v>22</v>
      </c>
      <c r="G5116" s="28" t="s">
        <v>1535</v>
      </c>
      <c r="H5116" s="28">
        <v>0</v>
      </c>
      <c r="J5116" s="92"/>
    </row>
    <row r="5117" spans="1:10" ht="15.75" customHeight="1">
      <c r="A5117" s="28">
        <v>22696</v>
      </c>
      <c r="B5117" s="91">
        <v>45327.914467592593</v>
      </c>
      <c r="C5117" s="28" t="s">
        <v>0</v>
      </c>
      <c r="D5117" s="28" t="s">
        <v>1936</v>
      </c>
      <c r="E5117" s="28" t="s">
        <v>1907</v>
      </c>
      <c r="F5117" s="28">
        <v>18</v>
      </c>
      <c r="G5117" s="28" t="s">
        <v>1470</v>
      </c>
      <c r="H5117" s="28">
        <v>0</v>
      </c>
      <c r="J5117" s="92"/>
    </row>
    <row r="5118" spans="1:10" ht="15.75" customHeight="1">
      <c r="A5118" s="28">
        <v>22697</v>
      </c>
      <c r="B5118" s="91">
        <v>45327.921863425923</v>
      </c>
      <c r="C5118" s="28" t="s">
        <v>0</v>
      </c>
      <c r="D5118" s="28" t="s">
        <v>820</v>
      </c>
      <c r="E5118" s="28" t="s">
        <v>1907</v>
      </c>
      <c r="F5118" s="28">
        <v>15</v>
      </c>
      <c r="G5118" s="28" t="s">
        <v>1467</v>
      </c>
      <c r="H5118" s="28">
        <v>0</v>
      </c>
      <c r="J5118" s="92"/>
    </row>
    <row r="5119" spans="1:10" ht="15.75" customHeight="1">
      <c r="A5119" s="28">
        <v>22698</v>
      </c>
      <c r="B5119" s="91">
        <v>45327.924768518518</v>
      </c>
      <c r="C5119" s="28" t="s">
        <v>0</v>
      </c>
      <c r="D5119" s="28" t="s">
        <v>809</v>
      </c>
      <c r="E5119" s="28" t="s">
        <v>1907</v>
      </c>
      <c r="F5119" s="28">
        <v>15</v>
      </c>
      <c r="G5119" s="28" t="s">
        <v>1467</v>
      </c>
      <c r="H5119" s="28">
        <v>0</v>
      </c>
      <c r="J5119" s="92"/>
    </row>
    <row r="5120" spans="1:10" ht="15.75" customHeight="1">
      <c r="A5120" s="28">
        <v>22699</v>
      </c>
      <c r="B5120" s="91">
        <v>45327.958680555559</v>
      </c>
      <c r="C5120" s="28" t="s">
        <v>0</v>
      </c>
      <c r="D5120" s="28" t="s">
        <v>773</v>
      </c>
      <c r="E5120" s="28" t="s">
        <v>1907</v>
      </c>
      <c r="F5120" s="28">
        <v>26</v>
      </c>
      <c r="G5120" s="28" t="s">
        <v>1455</v>
      </c>
      <c r="H5120" s="28">
        <v>0</v>
      </c>
      <c r="J5120" s="92"/>
    </row>
    <row r="5121" spans="1:10" ht="15.75" customHeight="1">
      <c r="A5121" s="28">
        <v>22699</v>
      </c>
      <c r="B5121" s="91">
        <v>45327.958680555559</v>
      </c>
      <c r="C5121" s="28" t="s">
        <v>0</v>
      </c>
      <c r="D5121" s="28" t="s">
        <v>773</v>
      </c>
      <c r="E5121" s="28" t="s">
        <v>1907</v>
      </c>
      <c r="F5121" s="28">
        <v>20</v>
      </c>
      <c r="G5121" s="28" t="s">
        <v>1444</v>
      </c>
      <c r="H5121" s="28">
        <v>0</v>
      </c>
      <c r="J5121" s="92"/>
    </row>
    <row r="5122" spans="1:10" ht="15.75" customHeight="1">
      <c r="A5122" s="28">
        <v>22699</v>
      </c>
      <c r="B5122" s="91">
        <v>45327.958680555559</v>
      </c>
      <c r="C5122" s="28" t="s">
        <v>0</v>
      </c>
      <c r="D5122" s="28" t="s">
        <v>773</v>
      </c>
      <c r="E5122" s="28" t="s">
        <v>1907</v>
      </c>
      <c r="F5122" s="28">
        <v>0</v>
      </c>
      <c r="G5122" s="28" t="s">
        <v>141</v>
      </c>
      <c r="H5122" s="28">
        <v>0</v>
      </c>
      <c r="J5122" s="92"/>
    </row>
    <row r="5123" spans="1:10" ht="15.75" customHeight="1">
      <c r="A5123" s="28">
        <v>22700</v>
      </c>
      <c r="B5123" s="91">
        <v>45327.964386574073</v>
      </c>
      <c r="C5123" s="28" t="s">
        <v>0</v>
      </c>
      <c r="D5123" s="28" t="s">
        <v>1937</v>
      </c>
      <c r="E5123" s="28" t="s">
        <v>1907</v>
      </c>
      <c r="F5123" s="28">
        <v>0</v>
      </c>
      <c r="G5123" s="28" t="s">
        <v>141</v>
      </c>
      <c r="H5123" s="28">
        <v>0</v>
      </c>
      <c r="J5123" s="92"/>
    </row>
    <row r="5124" spans="1:10" ht="15.75" customHeight="1">
      <c r="A5124" s="28">
        <v>22700</v>
      </c>
      <c r="B5124" s="91">
        <v>45327.964386574073</v>
      </c>
      <c r="C5124" s="28" t="s">
        <v>0</v>
      </c>
      <c r="D5124" s="28" t="s">
        <v>1937</v>
      </c>
      <c r="E5124" s="28" t="s">
        <v>1907</v>
      </c>
      <c r="F5124" s="28">
        <v>28</v>
      </c>
      <c r="G5124" s="28" t="s">
        <v>1448</v>
      </c>
      <c r="H5124" s="28">
        <v>0</v>
      </c>
      <c r="J5124" s="92"/>
    </row>
    <row r="5125" spans="1:10" ht="15.75" customHeight="1">
      <c r="A5125" s="28">
        <v>22700</v>
      </c>
      <c r="B5125" s="91">
        <v>45327.964386574073</v>
      </c>
      <c r="C5125" s="28" t="s">
        <v>0</v>
      </c>
      <c r="D5125" s="28" t="s">
        <v>1937</v>
      </c>
      <c r="E5125" s="28" t="s">
        <v>1907</v>
      </c>
      <c r="F5125" s="28">
        <v>25</v>
      </c>
      <c r="G5125" s="28" t="s">
        <v>1446</v>
      </c>
      <c r="H5125" s="28">
        <v>0</v>
      </c>
      <c r="J5125" s="92"/>
    </row>
    <row r="5126" spans="1:10" ht="15.75" customHeight="1">
      <c r="A5126" s="28">
        <v>22701</v>
      </c>
      <c r="B5126" s="91">
        <v>45328.340509259258</v>
      </c>
      <c r="C5126" s="28" t="s">
        <v>0</v>
      </c>
      <c r="D5126" s="28" t="s">
        <v>1938</v>
      </c>
      <c r="E5126" s="28" t="s">
        <v>1907</v>
      </c>
      <c r="F5126" s="28">
        <v>55</v>
      </c>
      <c r="G5126" s="28" t="s">
        <v>1457</v>
      </c>
      <c r="H5126" s="28">
        <v>0</v>
      </c>
      <c r="J5126" s="92"/>
    </row>
    <row r="5127" spans="1:10" ht="15.75" customHeight="1">
      <c r="A5127" s="28">
        <v>22703</v>
      </c>
      <c r="B5127" s="91">
        <v>45328.348194444443</v>
      </c>
      <c r="C5127" s="28" t="s">
        <v>0</v>
      </c>
      <c r="D5127" s="28" t="s">
        <v>804</v>
      </c>
      <c r="E5127" s="28" t="s">
        <v>1907</v>
      </c>
      <c r="F5127" s="28">
        <v>55</v>
      </c>
      <c r="G5127" s="28" t="s">
        <v>1541</v>
      </c>
      <c r="H5127" s="28">
        <v>0</v>
      </c>
      <c r="J5127" s="92"/>
    </row>
    <row r="5128" spans="1:10" ht="15.75" customHeight="1">
      <c r="A5128" s="28">
        <v>22703</v>
      </c>
      <c r="B5128" s="91">
        <v>45328.348194444443</v>
      </c>
      <c r="C5128" s="28" t="s">
        <v>0</v>
      </c>
      <c r="D5128" s="28" t="s">
        <v>804</v>
      </c>
      <c r="E5128" s="28" t="s">
        <v>1907</v>
      </c>
      <c r="F5128" s="28">
        <v>30</v>
      </c>
      <c r="G5128" s="28" t="s">
        <v>1467</v>
      </c>
      <c r="H5128" s="28">
        <v>0</v>
      </c>
      <c r="J5128" s="92"/>
    </row>
    <row r="5129" spans="1:10" ht="15.75" customHeight="1">
      <c r="A5129" s="28">
        <v>22702</v>
      </c>
      <c r="B5129" s="91">
        <v>45328.348090277781</v>
      </c>
      <c r="C5129" s="28" t="s">
        <v>0</v>
      </c>
      <c r="D5129" s="28" t="s">
        <v>1932</v>
      </c>
      <c r="E5129" s="28" t="s">
        <v>1907</v>
      </c>
      <c r="F5129" s="28">
        <v>25</v>
      </c>
      <c r="G5129" s="28" t="s">
        <v>141</v>
      </c>
      <c r="H5129" s="28">
        <v>0</v>
      </c>
      <c r="J5129" s="92"/>
    </row>
    <row r="5130" spans="1:10" ht="15.75" customHeight="1">
      <c r="A5130" s="28">
        <v>22704</v>
      </c>
      <c r="B5130" s="91">
        <v>45328.412361111114</v>
      </c>
      <c r="C5130" s="28" t="s">
        <v>0</v>
      </c>
      <c r="D5130" s="28" t="s">
        <v>915</v>
      </c>
      <c r="E5130" s="28" t="s">
        <v>1907</v>
      </c>
      <c r="F5130" s="28">
        <v>26</v>
      </c>
      <c r="G5130" s="28">
        <v>100850</v>
      </c>
      <c r="H5130" s="28">
        <v>0</v>
      </c>
      <c r="J5130" s="92"/>
    </row>
    <row r="5131" spans="1:10" ht="15.75" customHeight="1">
      <c r="A5131" s="28">
        <v>22704</v>
      </c>
      <c r="B5131" s="91">
        <v>45328.412361111114</v>
      </c>
      <c r="C5131" s="28" t="s">
        <v>0</v>
      </c>
      <c r="D5131" s="28" t="s">
        <v>915</v>
      </c>
      <c r="E5131" s="28" t="s">
        <v>1907</v>
      </c>
      <c r="F5131" s="28">
        <v>35</v>
      </c>
      <c r="G5131" s="28" t="s">
        <v>1443</v>
      </c>
      <c r="H5131" s="28">
        <v>0</v>
      </c>
      <c r="J5131" s="92"/>
    </row>
    <row r="5132" spans="1:10" ht="15.75" customHeight="1">
      <c r="A5132" s="28">
        <v>22705</v>
      </c>
      <c r="B5132" s="91">
        <v>45328.415949074071</v>
      </c>
      <c r="C5132" s="28" t="s">
        <v>0</v>
      </c>
      <c r="D5132" s="28" t="s">
        <v>914</v>
      </c>
      <c r="E5132" s="28" t="s">
        <v>1907</v>
      </c>
      <c r="F5132" s="28">
        <v>35</v>
      </c>
      <c r="G5132" s="28" t="s">
        <v>1443</v>
      </c>
      <c r="H5132" s="28">
        <v>0</v>
      </c>
      <c r="J5132" s="92"/>
    </row>
    <row r="5133" spans="1:10" ht="15.75" customHeight="1">
      <c r="A5133" s="28">
        <v>22705</v>
      </c>
      <c r="B5133" s="91">
        <v>45328.415949074071</v>
      </c>
      <c r="C5133" s="28" t="s">
        <v>0</v>
      </c>
      <c r="D5133" s="28" t="s">
        <v>914</v>
      </c>
      <c r="E5133" s="28" t="s">
        <v>1907</v>
      </c>
      <c r="F5133" s="28">
        <v>26</v>
      </c>
      <c r="G5133" s="28">
        <v>100850</v>
      </c>
      <c r="H5133" s="28">
        <v>0</v>
      </c>
      <c r="J5133" s="92"/>
    </row>
    <row r="5134" spans="1:10" ht="15.75" customHeight="1">
      <c r="A5134" s="28">
        <v>22706</v>
      </c>
      <c r="B5134" s="91">
        <v>45328.473692129628</v>
      </c>
      <c r="C5134" s="28" t="s">
        <v>18</v>
      </c>
      <c r="D5134" s="28" t="s">
        <v>1939</v>
      </c>
      <c r="E5134" s="28" t="s">
        <v>1907</v>
      </c>
      <c r="F5134" s="28">
        <v>28</v>
      </c>
      <c r="G5134" s="28" t="s">
        <v>1448</v>
      </c>
      <c r="H5134" s="28">
        <v>0</v>
      </c>
      <c r="J5134" s="92"/>
    </row>
    <row r="5135" spans="1:10" ht="15.75" customHeight="1">
      <c r="A5135" s="28">
        <v>22707</v>
      </c>
      <c r="B5135" s="91">
        <v>45328.509155092594</v>
      </c>
      <c r="C5135" s="28" t="s">
        <v>0</v>
      </c>
      <c r="D5135" s="28" t="s">
        <v>1940</v>
      </c>
      <c r="E5135" s="28" t="s">
        <v>1907</v>
      </c>
      <c r="F5135" s="28">
        <v>24</v>
      </c>
      <c r="G5135" s="28"/>
      <c r="H5135" s="28">
        <v>0</v>
      </c>
      <c r="J5135" s="92"/>
    </row>
    <row r="5136" spans="1:10" ht="15.75" customHeight="1">
      <c r="A5136" s="28">
        <v>22707</v>
      </c>
      <c r="B5136" s="91">
        <v>45328.509155092594</v>
      </c>
      <c r="C5136" s="28" t="s">
        <v>0</v>
      </c>
      <c r="D5136" s="28" t="s">
        <v>1940</v>
      </c>
      <c r="E5136" s="28" t="s">
        <v>1907</v>
      </c>
      <c r="F5136" s="28">
        <v>20</v>
      </c>
      <c r="G5136" s="28"/>
      <c r="H5136" s="28">
        <v>0</v>
      </c>
      <c r="J5136" s="92"/>
    </row>
    <row r="5137" spans="1:10" ht="15.75" customHeight="1">
      <c r="A5137" s="28">
        <v>22708</v>
      </c>
      <c r="B5137" s="91">
        <v>45328.579375000001</v>
      </c>
      <c r="C5137" s="28" t="s">
        <v>0</v>
      </c>
      <c r="D5137" s="28" t="s">
        <v>928</v>
      </c>
      <c r="E5137" s="28" t="s">
        <v>1907</v>
      </c>
      <c r="F5137" s="28">
        <v>25</v>
      </c>
      <c r="G5137" s="28" t="s">
        <v>1446</v>
      </c>
      <c r="H5137" s="28">
        <v>0</v>
      </c>
      <c r="J5137" s="92"/>
    </row>
    <row r="5138" spans="1:10" ht="15.75" customHeight="1">
      <c r="A5138" s="28">
        <v>22708</v>
      </c>
      <c r="B5138" s="91">
        <v>45328.579375000001</v>
      </c>
      <c r="C5138" s="28" t="s">
        <v>0</v>
      </c>
      <c r="D5138" s="28" t="s">
        <v>928</v>
      </c>
      <c r="E5138" s="28" t="s">
        <v>1907</v>
      </c>
      <c r="F5138" s="28">
        <v>20</v>
      </c>
      <c r="G5138" s="28"/>
      <c r="H5138" s="28">
        <v>0</v>
      </c>
      <c r="J5138" s="92"/>
    </row>
    <row r="5139" spans="1:10" ht="15.75" customHeight="1">
      <c r="A5139" s="28">
        <v>22708</v>
      </c>
      <c r="B5139" s="91">
        <v>45328.579375000001</v>
      </c>
      <c r="C5139" s="28" t="s">
        <v>0</v>
      </c>
      <c r="D5139" s="28" t="s">
        <v>928</v>
      </c>
      <c r="E5139" s="28" t="s">
        <v>1907</v>
      </c>
      <c r="F5139" s="28">
        <v>0</v>
      </c>
      <c r="G5139" s="28" t="s">
        <v>141</v>
      </c>
      <c r="H5139" s="28">
        <v>0</v>
      </c>
      <c r="J5139" s="92"/>
    </row>
    <row r="5140" spans="1:10" ht="15.75" customHeight="1">
      <c r="A5140" s="28">
        <v>22709</v>
      </c>
      <c r="B5140" s="91">
        <v>45328.581828703704</v>
      </c>
      <c r="C5140" s="28" t="s">
        <v>0</v>
      </c>
      <c r="D5140" s="28" t="s">
        <v>927</v>
      </c>
      <c r="E5140" s="28" t="s">
        <v>1907</v>
      </c>
      <c r="F5140" s="28">
        <v>25</v>
      </c>
      <c r="G5140" s="28" t="s">
        <v>1446</v>
      </c>
      <c r="H5140" s="28">
        <v>0</v>
      </c>
      <c r="J5140" s="92"/>
    </row>
    <row r="5141" spans="1:10" ht="15.75" customHeight="1">
      <c r="A5141" s="28">
        <v>22709</v>
      </c>
      <c r="B5141" s="91">
        <v>45328.581828703704</v>
      </c>
      <c r="C5141" s="28" t="s">
        <v>0</v>
      </c>
      <c r="D5141" s="28" t="s">
        <v>927</v>
      </c>
      <c r="E5141" s="28" t="s">
        <v>1907</v>
      </c>
      <c r="F5141" s="28">
        <v>0</v>
      </c>
      <c r="G5141" s="28" t="s">
        <v>141</v>
      </c>
      <c r="H5141" s="28">
        <v>0</v>
      </c>
      <c r="J5141" s="92"/>
    </row>
    <row r="5142" spans="1:10" ht="15.75" customHeight="1">
      <c r="A5142" s="28">
        <v>22710</v>
      </c>
      <c r="B5142" s="91">
        <v>45328.586273148147</v>
      </c>
      <c r="C5142" s="28" t="s">
        <v>0</v>
      </c>
      <c r="D5142" s="28" t="s">
        <v>868</v>
      </c>
      <c r="E5142" s="28" t="s">
        <v>1907</v>
      </c>
      <c r="F5142" s="28">
        <v>25</v>
      </c>
      <c r="G5142" s="28" t="s">
        <v>1462</v>
      </c>
      <c r="H5142" s="28">
        <v>0</v>
      </c>
      <c r="J5142" s="92"/>
    </row>
    <row r="5143" spans="1:10" ht="15.75" customHeight="1">
      <c r="A5143" s="28">
        <v>22711</v>
      </c>
      <c r="B5143" s="91">
        <v>45328.58797453704</v>
      </c>
      <c r="C5143" s="28" t="s">
        <v>0</v>
      </c>
      <c r="D5143" s="28" t="s">
        <v>870</v>
      </c>
      <c r="E5143" s="28" t="s">
        <v>1907</v>
      </c>
      <c r="F5143" s="28">
        <v>25</v>
      </c>
      <c r="G5143" s="28" t="s">
        <v>1462</v>
      </c>
      <c r="H5143" s="28">
        <v>0</v>
      </c>
      <c r="J5143" s="92"/>
    </row>
    <row r="5144" spans="1:10" ht="15.75" customHeight="1">
      <c r="A5144" s="28">
        <v>22712</v>
      </c>
      <c r="B5144" s="91">
        <v>45328.591562499998</v>
      </c>
      <c r="C5144" s="28" t="s">
        <v>0</v>
      </c>
      <c r="D5144" s="28" t="s">
        <v>1033</v>
      </c>
      <c r="E5144" s="28" t="s">
        <v>1907</v>
      </c>
      <c r="F5144" s="28">
        <v>18</v>
      </c>
      <c r="G5144" s="28" t="s">
        <v>1470</v>
      </c>
      <c r="H5144" s="28">
        <v>0</v>
      </c>
      <c r="J5144" s="92"/>
    </row>
    <row r="5145" spans="1:10" ht="15.75" customHeight="1">
      <c r="A5145" s="28">
        <v>22713</v>
      </c>
      <c r="B5145" s="91">
        <v>45328.721446759257</v>
      </c>
      <c r="C5145" s="28" t="s">
        <v>0</v>
      </c>
      <c r="D5145" s="28" t="s">
        <v>285</v>
      </c>
      <c r="E5145" s="28" t="s">
        <v>1907</v>
      </c>
      <c r="F5145" s="28">
        <v>55</v>
      </c>
      <c r="G5145" s="28" t="s">
        <v>1457</v>
      </c>
      <c r="H5145" s="28">
        <v>0</v>
      </c>
      <c r="J5145" s="92"/>
    </row>
    <row r="5146" spans="1:10" ht="15.75" customHeight="1">
      <c r="A5146" s="28">
        <v>22714</v>
      </c>
      <c r="B5146" s="91">
        <v>45328.786851851852</v>
      </c>
      <c r="C5146" s="28" t="s">
        <v>0</v>
      </c>
      <c r="D5146" s="28" t="s">
        <v>636</v>
      </c>
      <c r="E5146" s="28" t="s">
        <v>1907</v>
      </c>
      <c r="F5146" s="28">
        <v>26</v>
      </c>
      <c r="G5146" s="28" t="s">
        <v>1455</v>
      </c>
      <c r="H5146" s="28">
        <v>0</v>
      </c>
      <c r="J5146" s="92"/>
    </row>
    <row r="5147" spans="1:10" ht="15.75" customHeight="1">
      <c r="A5147" s="28">
        <v>22715</v>
      </c>
      <c r="B5147" s="91">
        <v>45328.859699074077</v>
      </c>
      <c r="C5147" s="28" t="s">
        <v>51</v>
      </c>
      <c r="D5147" s="28" t="s">
        <v>684</v>
      </c>
      <c r="E5147" s="28" t="s">
        <v>1907</v>
      </c>
      <c r="F5147" s="28">
        <v>25</v>
      </c>
      <c r="G5147" s="28" t="s">
        <v>141</v>
      </c>
      <c r="H5147" s="28">
        <v>0</v>
      </c>
      <c r="J5147" s="92"/>
    </row>
    <row r="5148" spans="1:10" ht="15.75" customHeight="1">
      <c r="A5148" s="28">
        <v>22716</v>
      </c>
      <c r="B5148" s="91">
        <v>45328.885844907411</v>
      </c>
      <c r="C5148" s="28" t="s">
        <v>0</v>
      </c>
      <c r="D5148" s="28" t="s">
        <v>1941</v>
      </c>
      <c r="E5148" s="28" t="s">
        <v>1907</v>
      </c>
      <c r="F5148" s="28">
        <v>55</v>
      </c>
      <c r="G5148" s="28" t="s">
        <v>1457</v>
      </c>
      <c r="H5148" s="28">
        <v>0</v>
      </c>
      <c r="J5148" s="92"/>
    </row>
    <row r="5149" spans="1:10" ht="15.75" customHeight="1">
      <c r="A5149" s="28">
        <v>22716</v>
      </c>
      <c r="B5149" s="91">
        <v>45328.885844907411</v>
      </c>
      <c r="C5149" s="28" t="s">
        <v>0</v>
      </c>
      <c r="D5149" s="28" t="s">
        <v>1941</v>
      </c>
      <c r="E5149" s="28" t="s">
        <v>1907</v>
      </c>
      <c r="F5149" s="28">
        <v>0</v>
      </c>
      <c r="G5149" s="28" t="s">
        <v>141</v>
      </c>
      <c r="H5149" s="28">
        <v>0</v>
      </c>
      <c r="J5149" s="92"/>
    </row>
    <row r="5150" spans="1:10" ht="15.75" customHeight="1">
      <c r="A5150" s="28">
        <v>22717</v>
      </c>
      <c r="B5150" s="91">
        <v>45328.905081018522</v>
      </c>
      <c r="C5150" s="28" t="s">
        <v>0</v>
      </c>
      <c r="D5150" s="28" t="s">
        <v>1942</v>
      </c>
      <c r="E5150" s="28" t="s">
        <v>1907</v>
      </c>
      <c r="F5150" s="28">
        <v>0</v>
      </c>
      <c r="G5150" s="28" t="s">
        <v>141</v>
      </c>
      <c r="H5150" s="28">
        <v>0</v>
      </c>
      <c r="J5150" s="92"/>
    </row>
    <row r="5151" spans="1:10" ht="15.75" customHeight="1">
      <c r="A5151" s="28">
        <v>22718</v>
      </c>
      <c r="B5151" s="91">
        <v>45329.344236111108</v>
      </c>
      <c r="C5151" s="28" t="s">
        <v>0</v>
      </c>
      <c r="D5151" s="28" t="s">
        <v>763</v>
      </c>
      <c r="E5151" s="28" t="s">
        <v>1907</v>
      </c>
      <c r="F5151" s="28">
        <v>22</v>
      </c>
      <c r="G5151" s="28" t="s">
        <v>1459</v>
      </c>
      <c r="H5151" s="28">
        <v>0</v>
      </c>
      <c r="J5151" s="92"/>
    </row>
    <row r="5152" spans="1:10" ht="15.75" customHeight="1">
      <c r="A5152" s="28">
        <v>22718</v>
      </c>
      <c r="B5152" s="91">
        <v>45329.344236111108</v>
      </c>
      <c r="C5152" s="28" t="s">
        <v>0</v>
      </c>
      <c r="D5152" s="28" t="s">
        <v>763</v>
      </c>
      <c r="E5152" s="28" t="s">
        <v>1907</v>
      </c>
      <c r="F5152" s="28">
        <v>0</v>
      </c>
      <c r="G5152" s="28" t="s">
        <v>141</v>
      </c>
      <c r="H5152" s="28">
        <v>0</v>
      </c>
      <c r="J5152" s="92"/>
    </row>
    <row r="5153" spans="1:10" ht="15.75" customHeight="1">
      <c r="A5153" s="28">
        <v>22718</v>
      </c>
      <c r="B5153" s="91">
        <v>45329.344236111108</v>
      </c>
      <c r="C5153" s="28" t="s">
        <v>0</v>
      </c>
      <c r="D5153" s="28" t="s">
        <v>763</v>
      </c>
      <c r="E5153" s="28" t="s">
        <v>1907</v>
      </c>
      <c r="F5153" s="28">
        <v>15</v>
      </c>
      <c r="G5153" s="28" t="s">
        <v>1467</v>
      </c>
      <c r="H5153" s="28">
        <v>0</v>
      </c>
      <c r="J5153" s="92"/>
    </row>
    <row r="5154" spans="1:10" ht="15.75" customHeight="1">
      <c r="A5154" s="28">
        <v>22719</v>
      </c>
      <c r="B5154" s="91">
        <v>45329.360081018516</v>
      </c>
      <c r="C5154" s="28" t="s">
        <v>0</v>
      </c>
      <c r="D5154" s="28" t="s">
        <v>673</v>
      </c>
      <c r="E5154" s="28" t="s">
        <v>1907</v>
      </c>
      <c r="F5154" s="28">
        <v>25</v>
      </c>
      <c r="G5154" s="28" t="s">
        <v>141</v>
      </c>
      <c r="H5154" s="28">
        <v>0</v>
      </c>
      <c r="J5154" s="92"/>
    </row>
    <row r="5155" spans="1:10" ht="15.75" customHeight="1">
      <c r="A5155" s="28">
        <v>22720</v>
      </c>
      <c r="B5155" s="91">
        <v>45329.375208333331</v>
      </c>
      <c r="C5155" s="28" t="s">
        <v>0</v>
      </c>
      <c r="D5155" s="28" t="s">
        <v>1001</v>
      </c>
      <c r="E5155" s="28" t="s">
        <v>1907</v>
      </c>
      <c r="F5155" s="28">
        <v>26</v>
      </c>
      <c r="G5155" s="28" t="s">
        <v>1455</v>
      </c>
      <c r="H5155" s="28">
        <v>0</v>
      </c>
      <c r="J5155" s="92"/>
    </row>
    <row r="5156" spans="1:10" ht="15.75" customHeight="1">
      <c r="A5156" s="28">
        <v>22720</v>
      </c>
      <c r="B5156" s="91">
        <v>45329.375208333331</v>
      </c>
      <c r="C5156" s="28" t="s">
        <v>0</v>
      </c>
      <c r="D5156" s="28" t="s">
        <v>1001</v>
      </c>
      <c r="E5156" s="28" t="s">
        <v>1907</v>
      </c>
      <c r="F5156" s="28">
        <v>26</v>
      </c>
      <c r="G5156" s="28" t="s">
        <v>1455</v>
      </c>
      <c r="H5156" s="28">
        <v>0</v>
      </c>
      <c r="J5156" s="92"/>
    </row>
    <row r="5157" spans="1:10" ht="15.75" customHeight="1">
      <c r="A5157" s="28">
        <v>22720</v>
      </c>
      <c r="B5157" s="91">
        <v>45329.375208333331</v>
      </c>
      <c r="C5157" s="28" t="s">
        <v>0</v>
      </c>
      <c r="D5157" s="28" t="s">
        <v>1001</v>
      </c>
      <c r="E5157" s="28" t="s">
        <v>1907</v>
      </c>
      <c r="F5157" s="28">
        <v>20</v>
      </c>
      <c r="G5157" s="28"/>
      <c r="H5157" s="28">
        <v>0</v>
      </c>
      <c r="J5157" s="92"/>
    </row>
    <row r="5158" spans="1:10" ht="15.75" customHeight="1">
      <c r="A5158" s="28">
        <v>22720</v>
      </c>
      <c r="B5158" s="91">
        <v>45329.375208333331</v>
      </c>
      <c r="C5158" s="28" t="s">
        <v>0</v>
      </c>
      <c r="D5158" s="28" t="s">
        <v>1001</v>
      </c>
      <c r="E5158" s="28" t="s">
        <v>1907</v>
      </c>
      <c r="F5158" s="28">
        <v>25</v>
      </c>
      <c r="G5158" s="28" t="s">
        <v>141</v>
      </c>
      <c r="H5158" s="28">
        <v>0</v>
      </c>
      <c r="J5158" s="92"/>
    </row>
    <row r="5159" spans="1:10" ht="15.75" customHeight="1">
      <c r="A5159" s="28">
        <v>22723</v>
      </c>
      <c r="B5159" s="91">
        <v>45329.749305555553</v>
      </c>
      <c r="C5159" s="28" t="s">
        <v>0</v>
      </c>
      <c r="D5159" s="28" t="s">
        <v>959</v>
      </c>
      <c r="E5159" s="28" t="s">
        <v>1907</v>
      </c>
      <c r="F5159" s="28">
        <v>28</v>
      </c>
      <c r="G5159" s="28" t="s">
        <v>1448</v>
      </c>
      <c r="H5159" s="28">
        <v>0</v>
      </c>
      <c r="J5159" s="92"/>
    </row>
    <row r="5160" spans="1:10" ht="15.75" customHeight="1">
      <c r="A5160" s="28">
        <v>22723</v>
      </c>
      <c r="B5160" s="91">
        <v>45329.749305555553</v>
      </c>
      <c r="C5160" s="28" t="s">
        <v>0</v>
      </c>
      <c r="D5160" s="28" t="s">
        <v>959</v>
      </c>
      <c r="E5160" s="28" t="s">
        <v>1907</v>
      </c>
      <c r="F5160" s="28">
        <v>25</v>
      </c>
      <c r="G5160" s="28" t="s">
        <v>141</v>
      </c>
      <c r="H5160" s="28">
        <v>0</v>
      </c>
      <c r="J5160" s="92"/>
    </row>
    <row r="5161" spans="1:10" ht="15.75" customHeight="1">
      <c r="A5161" s="28">
        <v>22724</v>
      </c>
      <c r="B5161" s="91">
        <v>45329.819930555554</v>
      </c>
      <c r="C5161" s="28" t="s">
        <v>0</v>
      </c>
      <c r="D5161" s="28" t="s">
        <v>920</v>
      </c>
      <c r="E5161" s="28" t="s">
        <v>1907</v>
      </c>
      <c r="F5161" s="28">
        <v>35</v>
      </c>
      <c r="G5161" s="28" t="s">
        <v>1443</v>
      </c>
      <c r="H5161" s="28">
        <v>0</v>
      </c>
      <c r="J5161" s="92"/>
    </row>
    <row r="5162" spans="1:10" ht="15.75" customHeight="1">
      <c r="A5162" s="28">
        <v>22725</v>
      </c>
      <c r="B5162" s="91">
        <v>45329.842372685183</v>
      </c>
      <c r="C5162" s="28" t="s">
        <v>0</v>
      </c>
      <c r="D5162" s="28" t="s">
        <v>731</v>
      </c>
      <c r="E5162" s="28" t="s">
        <v>1907</v>
      </c>
      <c r="F5162" s="28">
        <v>15</v>
      </c>
      <c r="G5162" s="28" t="s">
        <v>1453</v>
      </c>
      <c r="H5162" s="28">
        <v>0</v>
      </c>
      <c r="J5162" s="92"/>
    </row>
    <row r="5163" spans="1:10" ht="15.75" customHeight="1">
      <c r="A5163" s="28">
        <v>22725</v>
      </c>
      <c r="B5163" s="91">
        <v>45329.842372685183</v>
      </c>
      <c r="C5163" s="28" t="s">
        <v>0</v>
      </c>
      <c r="D5163" s="28" t="s">
        <v>731</v>
      </c>
      <c r="E5163" s="28" t="s">
        <v>1907</v>
      </c>
      <c r="F5163" s="28">
        <v>18</v>
      </c>
      <c r="G5163" s="28" t="s">
        <v>1470</v>
      </c>
      <c r="H5163" s="28">
        <v>0</v>
      </c>
      <c r="J5163" s="92"/>
    </row>
    <row r="5164" spans="1:10" ht="15.75" customHeight="1">
      <c r="A5164" s="28">
        <v>22726</v>
      </c>
      <c r="B5164" s="91">
        <v>45329.85528935185</v>
      </c>
      <c r="C5164" s="28" t="s">
        <v>0</v>
      </c>
      <c r="D5164" s="28" t="s">
        <v>1943</v>
      </c>
      <c r="E5164" s="28" t="s">
        <v>1907</v>
      </c>
      <c r="F5164" s="28">
        <v>55</v>
      </c>
      <c r="G5164" s="28" t="s">
        <v>1457</v>
      </c>
      <c r="H5164" s="28">
        <v>0</v>
      </c>
      <c r="J5164" s="92"/>
    </row>
    <row r="5165" spans="1:10" ht="15.75" customHeight="1">
      <c r="A5165" s="28">
        <v>22727</v>
      </c>
      <c r="B5165" s="91">
        <v>45329.907581018517</v>
      </c>
      <c r="C5165" s="28" t="s">
        <v>0</v>
      </c>
      <c r="D5165" s="28" t="s">
        <v>451</v>
      </c>
      <c r="E5165" s="28" t="s">
        <v>1907</v>
      </c>
      <c r="F5165" s="28">
        <v>25</v>
      </c>
      <c r="G5165" s="28" t="s">
        <v>141</v>
      </c>
      <c r="H5165" s="28">
        <v>0</v>
      </c>
      <c r="J5165" s="92"/>
    </row>
    <row r="5166" spans="1:10" ht="15.75" customHeight="1">
      <c r="A5166" s="28">
        <v>22728</v>
      </c>
      <c r="B5166" s="91">
        <v>45329.934247685182</v>
      </c>
      <c r="C5166" s="28" t="s">
        <v>18</v>
      </c>
      <c r="D5166" s="28" t="s">
        <v>674</v>
      </c>
      <c r="E5166" s="28" t="s">
        <v>1907</v>
      </c>
      <c r="F5166" s="28">
        <v>22</v>
      </c>
      <c r="G5166" s="28" t="s">
        <v>1459</v>
      </c>
      <c r="H5166" s="28">
        <v>0</v>
      </c>
      <c r="J5166" s="92"/>
    </row>
    <row r="5167" spans="1:10" ht="15.75" customHeight="1">
      <c r="A5167" s="28">
        <v>22729</v>
      </c>
      <c r="B5167" s="91">
        <v>45330.350555555553</v>
      </c>
      <c r="C5167" s="28" t="s">
        <v>0</v>
      </c>
      <c r="D5167" s="28" t="s">
        <v>691</v>
      </c>
      <c r="E5167" s="28" t="s">
        <v>1907</v>
      </c>
      <c r="F5167" s="28">
        <v>36</v>
      </c>
      <c r="G5167" s="28" t="s">
        <v>1470</v>
      </c>
      <c r="H5167" s="28">
        <v>0</v>
      </c>
      <c r="J5167" s="92"/>
    </row>
    <row r="5168" spans="1:10" ht="15.75" customHeight="1">
      <c r="A5168" s="28">
        <v>22729</v>
      </c>
      <c r="B5168" s="91">
        <v>45330.350555555553</v>
      </c>
      <c r="C5168" s="28" t="s">
        <v>0</v>
      </c>
      <c r="D5168" s="28" t="s">
        <v>691</v>
      </c>
      <c r="E5168" s="28" t="s">
        <v>1907</v>
      </c>
      <c r="F5168" s="28">
        <v>44</v>
      </c>
      <c r="G5168" s="28" t="s">
        <v>1535</v>
      </c>
      <c r="H5168" s="28">
        <v>0</v>
      </c>
      <c r="J5168" s="92"/>
    </row>
    <row r="5169" spans="1:10" ht="15.75" customHeight="1">
      <c r="A5169" s="28">
        <v>22729</v>
      </c>
      <c r="B5169" s="91">
        <v>45330.350555555553</v>
      </c>
      <c r="C5169" s="28" t="s">
        <v>0</v>
      </c>
      <c r="D5169" s="28" t="s">
        <v>691</v>
      </c>
      <c r="E5169" s="28" t="s">
        <v>1907</v>
      </c>
      <c r="F5169" s="28">
        <v>15</v>
      </c>
      <c r="G5169" s="28" t="s">
        <v>1467</v>
      </c>
      <c r="H5169" s="28">
        <v>0</v>
      </c>
      <c r="J5169" s="92"/>
    </row>
    <row r="5170" spans="1:10" ht="15.75" customHeight="1">
      <c r="A5170" s="28">
        <v>22729</v>
      </c>
      <c r="B5170" s="91">
        <v>45330.350555555553</v>
      </c>
      <c r="C5170" s="28" t="s">
        <v>0</v>
      </c>
      <c r="D5170" s="28" t="s">
        <v>691</v>
      </c>
      <c r="E5170" s="28" t="s">
        <v>1907</v>
      </c>
      <c r="F5170" s="28">
        <v>0</v>
      </c>
      <c r="G5170" s="28" t="s">
        <v>141</v>
      </c>
      <c r="H5170" s="28">
        <v>0</v>
      </c>
      <c r="J5170" s="92"/>
    </row>
    <row r="5171" spans="1:10" ht="15.75" customHeight="1">
      <c r="A5171" s="28">
        <v>22730</v>
      </c>
      <c r="B5171" s="91">
        <v>45330.372175925928</v>
      </c>
      <c r="C5171" s="28" t="s">
        <v>0</v>
      </c>
      <c r="D5171" s="28" t="s">
        <v>1035</v>
      </c>
      <c r="E5171" s="28" t="s">
        <v>1907</v>
      </c>
      <c r="F5171" s="28">
        <v>22</v>
      </c>
      <c r="G5171" s="28" t="s">
        <v>1459</v>
      </c>
      <c r="H5171" s="28">
        <v>0</v>
      </c>
      <c r="J5171" s="92"/>
    </row>
    <row r="5172" spans="1:10" ht="15.75" customHeight="1">
      <c r="A5172" s="28">
        <v>22730</v>
      </c>
      <c r="B5172" s="91">
        <v>45330.372175925928</v>
      </c>
      <c r="C5172" s="28" t="s">
        <v>0</v>
      </c>
      <c r="D5172" s="28" t="s">
        <v>1035</v>
      </c>
      <c r="E5172" s="28" t="s">
        <v>1907</v>
      </c>
      <c r="F5172" s="28">
        <v>25</v>
      </c>
      <c r="G5172" s="28" t="s">
        <v>1446</v>
      </c>
      <c r="H5172" s="28">
        <v>0</v>
      </c>
      <c r="J5172" s="92"/>
    </row>
    <row r="5173" spans="1:10" ht="15.75" customHeight="1">
      <c r="A5173" s="28">
        <v>22730</v>
      </c>
      <c r="B5173" s="91">
        <v>45330.372175925928</v>
      </c>
      <c r="C5173" s="28" t="s">
        <v>0</v>
      </c>
      <c r="D5173" s="28" t="s">
        <v>1035</v>
      </c>
      <c r="E5173" s="28" t="s">
        <v>1907</v>
      </c>
      <c r="F5173" s="28">
        <v>0</v>
      </c>
      <c r="G5173" s="28" t="s">
        <v>141</v>
      </c>
      <c r="H5173" s="28">
        <v>0</v>
      </c>
      <c r="J5173" s="92"/>
    </row>
    <row r="5174" spans="1:10" ht="15.75" customHeight="1">
      <c r="A5174" s="28">
        <v>22731</v>
      </c>
      <c r="B5174" s="91">
        <v>45330.413182870368</v>
      </c>
      <c r="C5174" s="28" t="s">
        <v>51</v>
      </c>
      <c r="D5174" s="28" t="s">
        <v>1944</v>
      </c>
      <c r="E5174" s="28" t="s">
        <v>1907</v>
      </c>
      <c r="F5174" s="28">
        <v>13.34</v>
      </c>
      <c r="G5174" s="28"/>
      <c r="H5174" s="28">
        <v>0</v>
      </c>
      <c r="J5174" s="92"/>
    </row>
    <row r="5175" spans="1:10" ht="15.75" customHeight="1">
      <c r="A5175" s="28">
        <v>22731</v>
      </c>
      <c r="B5175" s="91">
        <v>45330.413182870368</v>
      </c>
      <c r="C5175" s="28" t="s">
        <v>51</v>
      </c>
      <c r="D5175" s="28" t="s">
        <v>1944</v>
      </c>
      <c r="E5175" s="28" t="s">
        <v>1907</v>
      </c>
      <c r="F5175" s="28">
        <v>19.329999999999998</v>
      </c>
      <c r="G5175" s="28" t="s">
        <v>1455</v>
      </c>
      <c r="H5175" s="28">
        <v>0</v>
      </c>
      <c r="J5175" s="92"/>
    </row>
    <row r="5176" spans="1:10" ht="15.75" customHeight="1">
      <c r="A5176" s="28">
        <v>22731</v>
      </c>
      <c r="B5176" s="91">
        <v>45330.413182870368</v>
      </c>
      <c r="C5176" s="28" t="s">
        <v>51</v>
      </c>
      <c r="D5176" s="28" t="s">
        <v>1944</v>
      </c>
      <c r="E5176" s="28" t="s">
        <v>1907</v>
      </c>
      <c r="F5176" s="28">
        <v>19.329999999999998</v>
      </c>
      <c r="G5176" s="28" t="s">
        <v>1455</v>
      </c>
      <c r="H5176" s="28">
        <v>0</v>
      </c>
      <c r="J5176" s="92"/>
    </row>
    <row r="5177" spans="1:10" ht="15.75" customHeight="1">
      <c r="A5177" s="28">
        <v>22732</v>
      </c>
      <c r="B5177" s="91">
        <v>45330.419317129628</v>
      </c>
      <c r="C5177" s="28" t="s">
        <v>0</v>
      </c>
      <c r="D5177" s="28" t="s">
        <v>430</v>
      </c>
      <c r="E5177" s="28" t="s">
        <v>1907</v>
      </c>
      <c r="F5177" s="28">
        <v>50</v>
      </c>
      <c r="G5177" s="28" t="s">
        <v>1446</v>
      </c>
      <c r="H5177" s="28">
        <v>0</v>
      </c>
      <c r="J5177" s="92"/>
    </row>
    <row r="5178" spans="1:10" ht="15.75" customHeight="1">
      <c r="A5178" s="28">
        <v>22732</v>
      </c>
      <c r="B5178" s="91">
        <v>45330.419317129628</v>
      </c>
      <c r="C5178" s="28" t="s">
        <v>0</v>
      </c>
      <c r="D5178" s="28" t="s">
        <v>430</v>
      </c>
      <c r="E5178" s="28" t="s">
        <v>1907</v>
      </c>
      <c r="F5178" s="28">
        <v>20</v>
      </c>
      <c r="G5178" s="28"/>
      <c r="H5178" s="28">
        <v>0</v>
      </c>
      <c r="J5178" s="92"/>
    </row>
    <row r="5179" spans="1:10" ht="15.75" customHeight="1">
      <c r="A5179" s="28">
        <v>22732</v>
      </c>
      <c r="B5179" s="91">
        <v>45330.419317129628</v>
      </c>
      <c r="C5179" s="28" t="s">
        <v>0</v>
      </c>
      <c r="D5179" s="28" t="s">
        <v>430</v>
      </c>
      <c r="E5179" s="28" t="s">
        <v>1907</v>
      </c>
      <c r="F5179" s="28">
        <v>24</v>
      </c>
      <c r="G5179" s="28"/>
      <c r="H5179" s="28">
        <v>0</v>
      </c>
      <c r="J5179" s="92"/>
    </row>
    <row r="5180" spans="1:10" ht="15.75" customHeight="1">
      <c r="A5180" s="28">
        <v>22732</v>
      </c>
      <c r="B5180" s="91">
        <v>45330.419317129628</v>
      </c>
      <c r="C5180" s="28" t="s">
        <v>0</v>
      </c>
      <c r="D5180" s="28" t="s">
        <v>430</v>
      </c>
      <c r="E5180" s="28" t="s">
        <v>1907</v>
      </c>
      <c r="F5180" s="28">
        <v>0</v>
      </c>
      <c r="G5180" s="28" t="s">
        <v>141</v>
      </c>
      <c r="H5180" s="28">
        <v>0</v>
      </c>
      <c r="J5180" s="92"/>
    </row>
    <row r="5181" spans="1:10" ht="15.75" customHeight="1">
      <c r="A5181" s="28">
        <v>22733</v>
      </c>
      <c r="B5181" s="91">
        <v>45330.433854166666</v>
      </c>
      <c r="C5181" s="28" t="s">
        <v>0</v>
      </c>
      <c r="D5181" s="28" t="s">
        <v>400</v>
      </c>
      <c r="E5181" s="28" t="s">
        <v>1907</v>
      </c>
      <c r="F5181" s="28">
        <v>25</v>
      </c>
      <c r="G5181" s="28" t="s">
        <v>1446</v>
      </c>
      <c r="H5181" s="28">
        <v>0</v>
      </c>
      <c r="J5181" s="92"/>
    </row>
    <row r="5182" spans="1:10" ht="15.75" customHeight="1">
      <c r="A5182" s="28">
        <v>22734</v>
      </c>
      <c r="B5182" s="91">
        <v>45330.491238425922</v>
      </c>
      <c r="C5182" s="28" t="s">
        <v>0</v>
      </c>
      <c r="D5182" s="28" t="s">
        <v>1047</v>
      </c>
      <c r="E5182" s="28" t="s">
        <v>1907</v>
      </c>
      <c r="F5182" s="28">
        <v>25</v>
      </c>
      <c r="G5182" s="28" t="s">
        <v>141</v>
      </c>
      <c r="H5182" s="28">
        <v>0</v>
      </c>
      <c r="J5182" s="92"/>
    </row>
    <row r="5183" spans="1:10" ht="15.75" customHeight="1">
      <c r="A5183" s="28">
        <v>22735</v>
      </c>
      <c r="B5183" s="91">
        <v>45330.586782407408</v>
      </c>
      <c r="C5183" s="28" t="s">
        <v>51</v>
      </c>
      <c r="D5183" s="28" t="s">
        <v>1065</v>
      </c>
      <c r="E5183" s="28" t="s">
        <v>1907</v>
      </c>
      <c r="F5183" s="28">
        <v>28</v>
      </c>
      <c r="G5183" s="28" t="s">
        <v>1448</v>
      </c>
      <c r="H5183" s="28">
        <v>0</v>
      </c>
      <c r="J5183" s="92"/>
    </row>
    <row r="5184" spans="1:10" ht="15.75" customHeight="1">
      <c r="A5184" s="28">
        <v>22735</v>
      </c>
      <c r="B5184" s="91">
        <v>45330.586782407408</v>
      </c>
      <c r="C5184" s="28" t="s">
        <v>51</v>
      </c>
      <c r="D5184" s="28" t="s">
        <v>1065</v>
      </c>
      <c r="E5184" s="28" t="s">
        <v>1907</v>
      </c>
      <c r="F5184" s="28">
        <v>25</v>
      </c>
      <c r="G5184" s="28" t="s">
        <v>141</v>
      </c>
      <c r="H5184" s="28">
        <v>0</v>
      </c>
      <c r="J5184" s="92"/>
    </row>
    <row r="5185" spans="1:10" ht="15.75" customHeight="1">
      <c r="A5185" s="28">
        <v>22740</v>
      </c>
      <c r="B5185" s="91">
        <v>45330.766192129631</v>
      </c>
      <c r="C5185" s="28" t="s">
        <v>0</v>
      </c>
      <c r="D5185" s="28" t="s">
        <v>746</v>
      </c>
      <c r="E5185" s="28" t="s">
        <v>1907</v>
      </c>
      <c r="F5185" s="28">
        <v>25</v>
      </c>
      <c r="G5185" s="28" t="s">
        <v>141</v>
      </c>
      <c r="H5185" s="28">
        <v>0</v>
      </c>
      <c r="J5185" s="92"/>
    </row>
    <row r="5186" spans="1:10" ht="15.75" customHeight="1">
      <c r="A5186" s="28">
        <v>22741</v>
      </c>
      <c r="B5186" s="91">
        <v>45330.830312500002</v>
      </c>
      <c r="C5186" s="28" t="s">
        <v>0</v>
      </c>
      <c r="D5186" s="28" t="s">
        <v>921</v>
      </c>
      <c r="E5186" s="28" t="s">
        <v>1907</v>
      </c>
      <c r="F5186" s="28">
        <v>55</v>
      </c>
      <c r="G5186" s="28" t="s">
        <v>1457</v>
      </c>
      <c r="H5186" s="28">
        <v>0</v>
      </c>
      <c r="J5186" s="92"/>
    </row>
    <row r="5187" spans="1:10" ht="15.75" customHeight="1">
      <c r="A5187" s="28">
        <v>22741</v>
      </c>
      <c r="B5187" s="91">
        <v>45330.830312500002</v>
      </c>
      <c r="C5187" s="28" t="s">
        <v>0</v>
      </c>
      <c r="D5187" s="28" t="s">
        <v>921</v>
      </c>
      <c r="E5187" s="28" t="s">
        <v>1907</v>
      </c>
      <c r="F5187" s="28">
        <v>0</v>
      </c>
      <c r="G5187" s="28" t="s">
        <v>141</v>
      </c>
      <c r="H5187" s="28">
        <v>0</v>
      </c>
      <c r="J5187" s="92"/>
    </row>
    <row r="5188" spans="1:10" ht="15.75" customHeight="1">
      <c r="A5188" s="28">
        <v>22742</v>
      </c>
      <c r="B5188" s="91">
        <v>45330.830740740741</v>
      </c>
      <c r="C5188" s="28" t="s">
        <v>0</v>
      </c>
      <c r="D5188" s="28" t="s">
        <v>1945</v>
      </c>
      <c r="E5188" s="28" t="s">
        <v>1907</v>
      </c>
      <c r="F5188" s="28">
        <v>20</v>
      </c>
      <c r="G5188" s="28"/>
      <c r="H5188" s="28">
        <v>0</v>
      </c>
      <c r="J5188" s="92"/>
    </row>
    <row r="5189" spans="1:10" ht="15.75" customHeight="1">
      <c r="A5189" s="28">
        <v>22742</v>
      </c>
      <c r="B5189" s="91">
        <v>45330.830740740741</v>
      </c>
      <c r="C5189" s="28" t="s">
        <v>0</v>
      </c>
      <c r="D5189" s="28" t="s">
        <v>1945</v>
      </c>
      <c r="E5189" s="28" t="s">
        <v>1907</v>
      </c>
      <c r="F5189" s="28">
        <v>20</v>
      </c>
      <c r="G5189" s="28"/>
      <c r="H5189" s="28">
        <v>0</v>
      </c>
      <c r="J5189" s="92"/>
    </row>
    <row r="5190" spans="1:10" ht="15.75" customHeight="1">
      <c r="A5190" s="28">
        <v>22743</v>
      </c>
      <c r="B5190" s="91">
        <v>45330.833819444444</v>
      </c>
      <c r="C5190" s="28" t="s">
        <v>0</v>
      </c>
      <c r="D5190" s="28" t="s">
        <v>1946</v>
      </c>
      <c r="E5190" s="28" t="s">
        <v>1907</v>
      </c>
      <c r="F5190" s="28">
        <v>55</v>
      </c>
      <c r="G5190" s="28" t="s">
        <v>1457</v>
      </c>
      <c r="H5190" s="28">
        <v>0</v>
      </c>
      <c r="J5190" s="92"/>
    </row>
    <row r="5191" spans="1:10" ht="15.75" customHeight="1">
      <c r="A5191" s="28">
        <v>22743</v>
      </c>
      <c r="B5191" s="91">
        <v>45330.833819444444</v>
      </c>
      <c r="C5191" s="28" t="s">
        <v>0</v>
      </c>
      <c r="D5191" s="28" t="s">
        <v>1946</v>
      </c>
      <c r="E5191" s="28" t="s">
        <v>1907</v>
      </c>
      <c r="F5191" s="28">
        <v>0</v>
      </c>
      <c r="G5191" s="28" t="s">
        <v>141</v>
      </c>
      <c r="H5191" s="28">
        <v>0</v>
      </c>
      <c r="J5191" s="92"/>
    </row>
    <row r="5192" spans="1:10" ht="15.75" customHeight="1">
      <c r="A5192" s="28">
        <v>22744</v>
      </c>
      <c r="B5192" s="91">
        <v>45330.837268518517</v>
      </c>
      <c r="C5192" s="28" t="s">
        <v>0</v>
      </c>
      <c r="D5192" s="28" t="s">
        <v>1947</v>
      </c>
      <c r="E5192" s="28" t="s">
        <v>1907</v>
      </c>
      <c r="F5192" s="28">
        <v>25</v>
      </c>
      <c r="G5192" s="28"/>
      <c r="H5192" s="28">
        <v>0</v>
      </c>
      <c r="J5192" s="92"/>
    </row>
    <row r="5193" spans="1:10" ht="15.75" customHeight="1">
      <c r="A5193" s="28">
        <v>22745</v>
      </c>
      <c r="B5193" s="91">
        <v>45330.854502314818</v>
      </c>
      <c r="C5193" s="28" t="s">
        <v>0</v>
      </c>
      <c r="D5193" s="28" t="s">
        <v>657</v>
      </c>
      <c r="E5193" s="28" t="s">
        <v>1907</v>
      </c>
      <c r="F5193" s="28">
        <v>26</v>
      </c>
      <c r="G5193" s="28" t="s">
        <v>1455</v>
      </c>
      <c r="H5193" s="28">
        <v>0</v>
      </c>
      <c r="J5193" s="92"/>
    </row>
    <row r="5194" spans="1:10" ht="15.75" customHeight="1">
      <c r="A5194" s="28">
        <v>22746</v>
      </c>
      <c r="B5194" s="91">
        <v>45330.857164351852</v>
      </c>
      <c r="C5194" s="28" t="s">
        <v>0</v>
      </c>
      <c r="D5194" s="28" t="s">
        <v>658</v>
      </c>
      <c r="E5194" s="28" t="s">
        <v>1907</v>
      </c>
      <c r="F5194" s="28">
        <v>26</v>
      </c>
      <c r="G5194" s="28" t="s">
        <v>1455</v>
      </c>
      <c r="H5194" s="28">
        <v>0</v>
      </c>
      <c r="J5194" s="92"/>
    </row>
    <row r="5195" spans="1:10" ht="15.75" customHeight="1">
      <c r="A5195" s="28">
        <v>22747</v>
      </c>
      <c r="B5195" s="91">
        <v>45331.372523148151</v>
      </c>
      <c r="C5195" s="28" t="s">
        <v>0</v>
      </c>
      <c r="D5195" s="28" t="s">
        <v>1948</v>
      </c>
      <c r="E5195" s="28" t="s">
        <v>1907</v>
      </c>
      <c r="F5195" s="28">
        <v>0</v>
      </c>
      <c r="G5195" s="28" t="s">
        <v>141</v>
      </c>
      <c r="H5195" s="28">
        <v>0</v>
      </c>
      <c r="J5195" s="92"/>
    </row>
    <row r="5196" spans="1:10" ht="15.75" customHeight="1">
      <c r="A5196" s="28">
        <v>22747</v>
      </c>
      <c r="B5196" s="91">
        <v>45331.372523148151</v>
      </c>
      <c r="C5196" s="28" t="s">
        <v>0</v>
      </c>
      <c r="D5196" s="28" t="s">
        <v>1948</v>
      </c>
      <c r="E5196" s="28" t="s">
        <v>1907</v>
      </c>
      <c r="F5196" s="28">
        <v>22</v>
      </c>
      <c r="G5196" s="28" t="s">
        <v>1459</v>
      </c>
      <c r="H5196" s="28">
        <v>0</v>
      </c>
      <c r="J5196" s="92"/>
    </row>
    <row r="5197" spans="1:10" ht="15.75" customHeight="1">
      <c r="A5197" s="28">
        <v>22747</v>
      </c>
      <c r="B5197" s="91">
        <v>45331.372523148151</v>
      </c>
      <c r="C5197" s="28" t="s">
        <v>0</v>
      </c>
      <c r="D5197" s="28" t="s">
        <v>1948</v>
      </c>
      <c r="E5197" s="28" t="s">
        <v>1907</v>
      </c>
      <c r="F5197" s="28">
        <v>25</v>
      </c>
      <c r="G5197" s="28" t="s">
        <v>1446</v>
      </c>
      <c r="H5197" s="28">
        <v>0</v>
      </c>
      <c r="J5197" s="92"/>
    </row>
    <row r="5198" spans="1:10" ht="15.75" customHeight="1">
      <c r="A5198" s="28">
        <v>22748</v>
      </c>
      <c r="B5198" s="91">
        <v>45331.405347222222</v>
      </c>
      <c r="C5198" s="28" t="s">
        <v>0</v>
      </c>
      <c r="D5198" s="28" t="s">
        <v>1949</v>
      </c>
      <c r="E5198" s="28" t="s">
        <v>1907</v>
      </c>
      <c r="F5198" s="28">
        <v>26</v>
      </c>
      <c r="G5198" s="28" t="s">
        <v>1455</v>
      </c>
      <c r="H5198" s="28">
        <v>0</v>
      </c>
      <c r="J5198" s="92"/>
    </row>
    <row r="5199" spans="1:10" ht="15.75" customHeight="1">
      <c r="A5199" s="28">
        <v>22748</v>
      </c>
      <c r="B5199" s="91">
        <v>45331.405347222222</v>
      </c>
      <c r="C5199" s="28" t="s">
        <v>0</v>
      </c>
      <c r="D5199" s="28" t="s">
        <v>1949</v>
      </c>
      <c r="E5199" s="28" t="s">
        <v>1907</v>
      </c>
      <c r="F5199" s="28">
        <v>26</v>
      </c>
      <c r="G5199" s="28" t="s">
        <v>1455</v>
      </c>
      <c r="H5199" s="28">
        <v>0</v>
      </c>
      <c r="J5199" s="92"/>
    </row>
    <row r="5200" spans="1:10" ht="15.75" customHeight="1">
      <c r="A5200" s="28">
        <v>22764</v>
      </c>
      <c r="B5200" s="91">
        <v>45331.532824074071</v>
      </c>
      <c r="C5200" s="28" t="s">
        <v>0</v>
      </c>
      <c r="D5200" s="28" t="s">
        <v>1950</v>
      </c>
      <c r="E5200" s="28" t="s">
        <v>1907</v>
      </c>
      <c r="F5200" s="28">
        <v>22</v>
      </c>
      <c r="G5200" s="28" t="s">
        <v>1535</v>
      </c>
      <c r="H5200" s="28">
        <v>0</v>
      </c>
      <c r="J5200" s="92"/>
    </row>
    <row r="5201" spans="1:10" ht="15.75" customHeight="1">
      <c r="A5201" s="28">
        <v>22764</v>
      </c>
      <c r="B5201" s="91">
        <v>45331.532824074071</v>
      </c>
      <c r="C5201" s="28" t="s">
        <v>0</v>
      </c>
      <c r="D5201" s="28" t="s">
        <v>1950</v>
      </c>
      <c r="E5201" s="28" t="s">
        <v>1907</v>
      </c>
      <c r="F5201" s="28">
        <v>20</v>
      </c>
      <c r="G5201" s="28"/>
      <c r="H5201" s="28">
        <v>0</v>
      </c>
      <c r="J5201" s="92"/>
    </row>
    <row r="5202" spans="1:10" ht="15.75" customHeight="1">
      <c r="A5202" s="28">
        <v>22764</v>
      </c>
      <c r="B5202" s="91">
        <v>45331.532824074071</v>
      </c>
      <c r="C5202" s="28" t="s">
        <v>0</v>
      </c>
      <c r="D5202" s="28" t="s">
        <v>1950</v>
      </c>
      <c r="E5202" s="28" t="s">
        <v>1907</v>
      </c>
      <c r="F5202" s="28">
        <v>0</v>
      </c>
      <c r="G5202" s="28" t="s">
        <v>141</v>
      </c>
      <c r="H5202" s="28">
        <v>0</v>
      </c>
      <c r="J5202" s="92"/>
    </row>
    <row r="5203" spans="1:10" ht="15.75" customHeight="1">
      <c r="A5203" s="28">
        <v>22768</v>
      </c>
      <c r="B5203" s="91">
        <v>45331.722557870373</v>
      </c>
      <c r="C5203" s="28" t="s">
        <v>0</v>
      </c>
      <c r="D5203" s="28" t="s">
        <v>1951</v>
      </c>
      <c r="E5203" s="28" t="s">
        <v>1907</v>
      </c>
      <c r="F5203" s="28">
        <v>25</v>
      </c>
      <c r="G5203" s="28" t="s">
        <v>1446</v>
      </c>
      <c r="H5203" s="28">
        <v>0</v>
      </c>
      <c r="J5203" s="92"/>
    </row>
    <row r="5204" spans="1:10" ht="15.75" customHeight="1">
      <c r="A5204" s="28">
        <v>22769</v>
      </c>
      <c r="B5204" s="91">
        <v>45331.827453703707</v>
      </c>
      <c r="C5204" s="28" t="s">
        <v>0</v>
      </c>
      <c r="D5204" s="28" t="s">
        <v>1039</v>
      </c>
      <c r="E5204" s="28" t="s">
        <v>1907</v>
      </c>
      <c r="F5204" s="28">
        <v>25</v>
      </c>
      <c r="G5204" s="28" t="s">
        <v>1446</v>
      </c>
      <c r="H5204" s="28">
        <v>0</v>
      </c>
      <c r="J5204" s="92"/>
    </row>
    <row r="5205" spans="1:10" ht="15.75" customHeight="1">
      <c r="A5205" s="28">
        <v>22769</v>
      </c>
      <c r="B5205" s="91">
        <v>45331.827453703707</v>
      </c>
      <c r="C5205" s="28" t="s">
        <v>0</v>
      </c>
      <c r="D5205" s="28" t="s">
        <v>1039</v>
      </c>
      <c r="E5205" s="28" t="s">
        <v>1907</v>
      </c>
      <c r="F5205" s="28">
        <v>18</v>
      </c>
      <c r="G5205" s="28" t="s">
        <v>1470</v>
      </c>
      <c r="H5205" s="28">
        <v>0</v>
      </c>
      <c r="J5205" s="92"/>
    </row>
    <row r="5206" spans="1:10" ht="15.75" customHeight="1">
      <c r="A5206" s="28">
        <v>22769</v>
      </c>
      <c r="B5206" s="91">
        <v>45331.827453703707</v>
      </c>
      <c r="C5206" s="28" t="s">
        <v>0</v>
      </c>
      <c r="D5206" s="28" t="s">
        <v>1039</v>
      </c>
      <c r="E5206" s="28" t="s">
        <v>1907</v>
      </c>
      <c r="F5206" s="28">
        <v>25</v>
      </c>
      <c r="G5206" s="28" t="s">
        <v>141</v>
      </c>
      <c r="H5206" s="28">
        <v>0</v>
      </c>
      <c r="J5206" s="92"/>
    </row>
    <row r="5207" spans="1:10" ht="15.75" customHeight="1">
      <c r="A5207" s="28">
        <v>22770</v>
      </c>
      <c r="B5207" s="91">
        <v>45332.348819444444</v>
      </c>
      <c r="C5207" s="28" t="s">
        <v>0</v>
      </c>
      <c r="D5207" s="28" t="s">
        <v>1952</v>
      </c>
      <c r="E5207" s="28" t="s">
        <v>1907</v>
      </c>
      <c r="F5207" s="28">
        <v>45</v>
      </c>
      <c r="G5207" s="28" t="s">
        <v>1455</v>
      </c>
      <c r="H5207" s="28">
        <v>0</v>
      </c>
      <c r="J5207" s="92"/>
    </row>
    <row r="5208" spans="1:10" ht="15.75" customHeight="1">
      <c r="A5208" s="28">
        <v>22771</v>
      </c>
      <c r="B5208" s="91">
        <v>45332.441724537035</v>
      </c>
      <c r="C5208" s="28" t="s">
        <v>0</v>
      </c>
      <c r="D5208" s="28" t="s">
        <v>878</v>
      </c>
      <c r="E5208" s="28" t="s">
        <v>1907</v>
      </c>
      <c r="F5208" s="28">
        <v>26</v>
      </c>
      <c r="G5208" s="28" t="s">
        <v>1455</v>
      </c>
      <c r="H5208" s="28">
        <v>0</v>
      </c>
      <c r="J5208" s="92"/>
    </row>
    <row r="5209" spans="1:10" ht="15.75" customHeight="1">
      <c r="A5209" s="28">
        <v>22771</v>
      </c>
      <c r="B5209" s="91">
        <v>45332.441724537035</v>
      </c>
      <c r="C5209" s="28" t="s">
        <v>0</v>
      </c>
      <c r="D5209" s="28" t="s">
        <v>878</v>
      </c>
      <c r="E5209" s="28" t="s">
        <v>1907</v>
      </c>
      <c r="F5209" s="28">
        <v>0</v>
      </c>
      <c r="G5209" s="28" t="s">
        <v>141</v>
      </c>
      <c r="H5209" s="28">
        <v>0</v>
      </c>
      <c r="J5209" s="92"/>
    </row>
    <row r="5210" spans="1:10" ht="15.75" customHeight="1">
      <c r="A5210" s="28">
        <v>22771</v>
      </c>
      <c r="B5210" s="91">
        <v>45332.441724537035</v>
      </c>
      <c r="C5210" s="28" t="s">
        <v>0</v>
      </c>
      <c r="D5210" s="28" t="s">
        <v>878</v>
      </c>
      <c r="E5210" s="28" t="s">
        <v>1907</v>
      </c>
      <c r="F5210" s="28">
        <v>15</v>
      </c>
      <c r="G5210" s="28" t="s">
        <v>1453</v>
      </c>
      <c r="H5210" s="28">
        <v>0</v>
      </c>
      <c r="J5210" s="92"/>
    </row>
    <row r="5211" spans="1:10" ht="15.75" customHeight="1">
      <c r="A5211" s="28">
        <v>22772</v>
      </c>
      <c r="B5211" s="91">
        <v>45332.476620370369</v>
      </c>
      <c r="C5211" s="28" t="s">
        <v>0</v>
      </c>
      <c r="D5211" s="28" t="s">
        <v>642</v>
      </c>
      <c r="E5211" s="28" t="s">
        <v>1907</v>
      </c>
      <c r="F5211" s="28">
        <v>35</v>
      </c>
      <c r="G5211" s="28" t="s">
        <v>1443</v>
      </c>
      <c r="H5211" s="28">
        <v>0</v>
      </c>
      <c r="J5211" s="92"/>
    </row>
    <row r="5212" spans="1:10" ht="15.75" customHeight="1">
      <c r="A5212" s="28">
        <v>22772</v>
      </c>
      <c r="B5212" s="91">
        <v>45332.476620370369</v>
      </c>
      <c r="C5212" s="28" t="s">
        <v>0</v>
      </c>
      <c r="D5212" s="28" t="s">
        <v>642</v>
      </c>
      <c r="E5212" s="28" t="s">
        <v>1907</v>
      </c>
      <c r="F5212" s="28">
        <v>0</v>
      </c>
      <c r="G5212" s="28" t="s">
        <v>141</v>
      </c>
      <c r="H5212" s="28">
        <v>0</v>
      </c>
      <c r="J5212" s="92"/>
    </row>
    <row r="5213" spans="1:10" ht="15.75" customHeight="1">
      <c r="A5213" s="28">
        <v>22773</v>
      </c>
      <c r="B5213" s="91">
        <v>45332.477881944447</v>
      </c>
      <c r="C5213" s="28" t="s">
        <v>0</v>
      </c>
      <c r="D5213" s="28" t="s">
        <v>1953</v>
      </c>
      <c r="E5213" s="28" t="s">
        <v>1907</v>
      </c>
      <c r="F5213" s="28">
        <v>25</v>
      </c>
      <c r="G5213" s="28" t="s">
        <v>1446</v>
      </c>
      <c r="H5213" s="28">
        <v>0</v>
      </c>
      <c r="J5213" s="92"/>
    </row>
    <row r="5214" spans="1:10" ht="15.75" customHeight="1">
      <c r="A5214" s="28">
        <v>22774</v>
      </c>
      <c r="B5214" s="91">
        <v>45332.563252314816</v>
      </c>
      <c r="C5214" s="28" t="s">
        <v>0</v>
      </c>
      <c r="D5214" s="28" t="s">
        <v>1954</v>
      </c>
      <c r="E5214" s="28" t="s">
        <v>1907</v>
      </c>
      <c r="F5214" s="28">
        <v>15</v>
      </c>
      <c r="G5214" s="28" t="s">
        <v>1453</v>
      </c>
      <c r="H5214" s="28">
        <v>0</v>
      </c>
      <c r="J5214" s="92"/>
    </row>
    <row r="5215" spans="1:10" ht="15.75" customHeight="1">
      <c r="A5215" s="28">
        <v>22775</v>
      </c>
      <c r="B5215" s="91">
        <v>45332.685937499999</v>
      </c>
      <c r="C5215" s="28" t="s">
        <v>0</v>
      </c>
      <c r="D5215" s="28" t="s">
        <v>1058</v>
      </c>
      <c r="E5215" s="28" t="s">
        <v>1907</v>
      </c>
      <c r="F5215" s="28">
        <v>22</v>
      </c>
      <c r="G5215" s="28" t="s">
        <v>1459</v>
      </c>
      <c r="H5215" s="28">
        <v>0</v>
      </c>
      <c r="J5215" s="92"/>
    </row>
    <row r="5216" spans="1:10" ht="15.75" customHeight="1">
      <c r="A5216" s="28">
        <v>22775</v>
      </c>
      <c r="B5216" s="91">
        <v>45332.685937499999</v>
      </c>
      <c r="C5216" s="28" t="s">
        <v>0</v>
      </c>
      <c r="D5216" s="28" t="s">
        <v>1058</v>
      </c>
      <c r="E5216" s="28" t="s">
        <v>1907</v>
      </c>
      <c r="F5216" s="28">
        <v>15</v>
      </c>
      <c r="G5216" s="28" t="s">
        <v>1453</v>
      </c>
      <c r="H5216" s="28">
        <v>0</v>
      </c>
      <c r="J5216" s="92"/>
    </row>
    <row r="5217" spans="1:10" ht="15.75" customHeight="1">
      <c r="A5217" s="28">
        <v>22776</v>
      </c>
      <c r="B5217" s="91">
        <v>45332.688043981485</v>
      </c>
      <c r="C5217" s="28" t="s">
        <v>0</v>
      </c>
      <c r="D5217" s="28" t="s">
        <v>1955</v>
      </c>
      <c r="E5217" s="28" t="s">
        <v>1907</v>
      </c>
      <c r="F5217" s="28">
        <v>15</v>
      </c>
      <c r="G5217" s="28" t="s">
        <v>1453</v>
      </c>
      <c r="H5217" s="28">
        <v>0</v>
      </c>
      <c r="J5217" s="92"/>
    </row>
    <row r="5218" spans="1:10" ht="15.75" customHeight="1">
      <c r="A5218" s="28">
        <v>22776</v>
      </c>
      <c r="B5218" s="91">
        <v>45332.688043981485</v>
      </c>
      <c r="C5218" s="28" t="s">
        <v>0</v>
      </c>
      <c r="D5218" s="28" t="s">
        <v>1955</v>
      </c>
      <c r="E5218" s="28" t="s">
        <v>1907</v>
      </c>
      <c r="F5218" s="28">
        <v>22</v>
      </c>
      <c r="G5218" s="28" t="s">
        <v>1459</v>
      </c>
      <c r="H5218" s="28">
        <v>0</v>
      </c>
      <c r="J5218" s="92"/>
    </row>
    <row r="5219" spans="1:10" ht="15.75" customHeight="1">
      <c r="A5219" s="28">
        <v>22777</v>
      </c>
      <c r="B5219" s="91">
        <v>45332.690243055556</v>
      </c>
      <c r="C5219" s="28" t="s">
        <v>0</v>
      </c>
      <c r="D5219" s="28" t="s">
        <v>1956</v>
      </c>
      <c r="E5219" s="28" t="s">
        <v>1907</v>
      </c>
      <c r="F5219" s="28">
        <v>15</v>
      </c>
      <c r="G5219" s="28" t="s">
        <v>1453</v>
      </c>
      <c r="H5219" s="28">
        <v>0</v>
      </c>
      <c r="J5219" s="92"/>
    </row>
    <row r="5220" spans="1:10" ht="15.75" customHeight="1">
      <c r="A5220" s="28">
        <v>22777</v>
      </c>
      <c r="B5220" s="91">
        <v>45332.690243055556</v>
      </c>
      <c r="C5220" s="28" t="s">
        <v>0</v>
      </c>
      <c r="D5220" s="28" t="s">
        <v>1956</v>
      </c>
      <c r="E5220" s="28" t="s">
        <v>1907</v>
      </c>
      <c r="F5220" s="28">
        <v>22</v>
      </c>
      <c r="G5220" s="28" t="s">
        <v>1459</v>
      </c>
      <c r="H5220" s="28">
        <v>0</v>
      </c>
      <c r="J5220" s="92"/>
    </row>
    <row r="5221" spans="1:10" ht="15.75" customHeight="1">
      <c r="A5221" s="28">
        <v>22778</v>
      </c>
      <c r="B5221" s="91">
        <v>45332.770520833335</v>
      </c>
      <c r="C5221" s="28" t="s">
        <v>0</v>
      </c>
      <c r="D5221" s="28" t="s">
        <v>1072</v>
      </c>
      <c r="E5221" s="28" t="s">
        <v>1907</v>
      </c>
      <c r="F5221" s="28">
        <v>20</v>
      </c>
      <c r="G5221" s="28" t="s">
        <v>1475</v>
      </c>
      <c r="H5221" s="28">
        <v>0</v>
      </c>
      <c r="J5221" s="92"/>
    </row>
    <row r="5222" spans="1:10" ht="15.75" customHeight="1">
      <c r="A5222" s="28">
        <v>22778</v>
      </c>
      <c r="B5222" s="91">
        <v>45332.770520833335</v>
      </c>
      <c r="C5222" s="28" t="s">
        <v>0</v>
      </c>
      <c r="D5222" s="28" t="s">
        <v>1072</v>
      </c>
      <c r="E5222" s="28" t="s">
        <v>1907</v>
      </c>
      <c r="F5222" s="28">
        <v>0</v>
      </c>
      <c r="G5222" s="28" t="s">
        <v>141</v>
      </c>
      <c r="H5222" s="28">
        <v>0</v>
      </c>
      <c r="J5222" s="92"/>
    </row>
    <row r="5223" spans="1:10" ht="15.75" customHeight="1">
      <c r="A5223" s="28">
        <v>22778</v>
      </c>
      <c r="B5223" s="91">
        <v>45332.770520833335</v>
      </c>
      <c r="C5223" s="28" t="s">
        <v>0</v>
      </c>
      <c r="D5223" s="28" t="s">
        <v>1072</v>
      </c>
      <c r="E5223" s="28" t="s">
        <v>1907</v>
      </c>
      <c r="F5223" s="28">
        <v>26</v>
      </c>
      <c r="G5223" s="28" t="s">
        <v>1455</v>
      </c>
      <c r="H5223" s="28">
        <v>0</v>
      </c>
      <c r="J5223" s="92"/>
    </row>
    <row r="5224" spans="1:10" ht="15.75" customHeight="1">
      <c r="A5224" s="28">
        <v>22779</v>
      </c>
      <c r="B5224" s="91">
        <v>45332.864074074074</v>
      </c>
      <c r="C5224" s="28" t="s">
        <v>0</v>
      </c>
      <c r="D5224" s="28" t="s">
        <v>1957</v>
      </c>
      <c r="E5224" s="28" t="s">
        <v>1907</v>
      </c>
      <c r="F5224" s="28">
        <v>35</v>
      </c>
      <c r="G5224" s="28" t="s">
        <v>1443</v>
      </c>
      <c r="H5224" s="28">
        <v>0</v>
      </c>
      <c r="J5224" s="92"/>
    </row>
    <row r="5225" spans="1:10" ht="15.75" customHeight="1">
      <c r="A5225" s="28">
        <v>22780</v>
      </c>
      <c r="B5225" s="91">
        <v>45332.899513888886</v>
      </c>
      <c r="C5225" s="28" t="s">
        <v>18</v>
      </c>
      <c r="D5225" s="28" t="s">
        <v>1958</v>
      </c>
      <c r="E5225" s="28" t="s">
        <v>1907</v>
      </c>
      <c r="F5225" s="28">
        <v>22</v>
      </c>
      <c r="G5225" s="28" t="s">
        <v>1459</v>
      </c>
      <c r="H5225" s="28">
        <v>0</v>
      </c>
      <c r="J5225" s="92"/>
    </row>
    <row r="5226" spans="1:10" ht="15.75" customHeight="1">
      <c r="A5226" s="28">
        <v>22780</v>
      </c>
      <c r="B5226" s="91">
        <v>45332.899513888886</v>
      </c>
      <c r="C5226" s="28" t="s">
        <v>18</v>
      </c>
      <c r="D5226" s="28" t="s">
        <v>1958</v>
      </c>
      <c r="E5226" s="28" t="s">
        <v>1907</v>
      </c>
      <c r="F5226" s="28">
        <v>25</v>
      </c>
      <c r="G5226" s="28" t="s">
        <v>1446</v>
      </c>
      <c r="H5226" s="28">
        <v>0</v>
      </c>
      <c r="J5226" s="92"/>
    </row>
    <row r="5227" spans="1:10" ht="15.75" customHeight="1">
      <c r="A5227" s="28">
        <v>22781</v>
      </c>
      <c r="B5227" s="91">
        <v>45333.377442129633</v>
      </c>
      <c r="C5227" s="28" t="s">
        <v>0</v>
      </c>
      <c r="D5227" s="28" t="s">
        <v>647</v>
      </c>
      <c r="E5227" s="28" t="s">
        <v>1907</v>
      </c>
      <c r="F5227" s="28">
        <v>26</v>
      </c>
      <c r="G5227" s="28" t="s">
        <v>1455</v>
      </c>
      <c r="H5227" s="28">
        <v>0</v>
      </c>
      <c r="J5227" s="92"/>
    </row>
    <row r="5228" spans="1:10" ht="15.75" customHeight="1">
      <c r="A5228" s="28">
        <v>22781</v>
      </c>
      <c r="B5228" s="91">
        <v>45333.377442129633</v>
      </c>
      <c r="C5228" s="28" t="s">
        <v>0</v>
      </c>
      <c r="D5228" s="28" t="s">
        <v>647</v>
      </c>
      <c r="E5228" s="28" t="s">
        <v>1907</v>
      </c>
      <c r="F5228" s="28">
        <v>0</v>
      </c>
      <c r="G5228" s="28" t="s">
        <v>141</v>
      </c>
      <c r="H5228" s="28">
        <v>0</v>
      </c>
      <c r="J5228" s="92"/>
    </row>
    <row r="5229" spans="1:10" ht="15.75" customHeight="1">
      <c r="A5229" s="28">
        <v>22781</v>
      </c>
      <c r="B5229" s="91">
        <v>45333.377442129633</v>
      </c>
      <c r="C5229" s="28" t="s">
        <v>0</v>
      </c>
      <c r="D5229" s="28" t="s">
        <v>647</v>
      </c>
      <c r="E5229" s="28" t="s">
        <v>1907</v>
      </c>
      <c r="F5229" s="28">
        <v>15</v>
      </c>
      <c r="G5229" s="28" t="s">
        <v>1453</v>
      </c>
      <c r="H5229" s="28">
        <v>0</v>
      </c>
      <c r="J5229" s="92"/>
    </row>
    <row r="5230" spans="1:10" ht="15.75" customHeight="1">
      <c r="A5230" s="28">
        <v>22782</v>
      </c>
      <c r="B5230" s="91">
        <v>45333.386712962965</v>
      </c>
      <c r="C5230" s="28" t="s">
        <v>0</v>
      </c>
      <c r="D5230" s="28" t="s">
        <v>948</v>
      </c>
      <c r="E5230" s="28" t="s">
        <v>1907</v>
      </c>
      <c r="F5230" s="28">
        <v>18</v>
      </c>
      <c r="G5230" s="28" t="s">
        <v>1470</v>
      </c>
      <c r="H5230" s="28">
        <v>0</v>
      </c>
      <c r="J5230" s="92"/>
    </row>
    <row r="5231" spans="1:10" ht="15.75" customHeight="1">
      <c r="A5231" s="28">
        <v>22782</v>
      </c>
      <c r="B5231" s="91">
        <v>45333.386712962965</v>
      </c>
      <c r="C5231" s="28" t="s">
        <v>0</v>
      </c>
      <c r="D5231" s="28" t="s">
        <v>948</v>
      </c>
      <c r="E5231" s="28" t="s">
        <v>1907</v>
      </c>
      <c r="F5231" s="28">
        <v>1.5</v>
      </c>
      <c r="G5231" s="28" t="s">
        <v>117</v>
      </c>
      <c r="H5231" s="28">
        <v>0</v>
      </c>
      <c r="J5231" s="92"/>
    </row>
    <row r="5232" spans="1:10" ht="15.75" customHeight="1">
      <c r="A5232" s="28">
        <v>22784</v>
      </c>
      <c r="B5232" s="91">
        <v>45333.391701388886</v>
      </c>
      <c r="C5232" s="28" t="s">
        <v>0</v>
      </c>
      <c r="D5232" s="28" t="s">
        <v>947</v>
      </c>
      <c r="E5232" s="28" t="s">
        <v>1907</v>
      </c>
      <c r="F5232" s="28">
        <v>18</v>
      </c>
      <c r="G5232" s="28" t="s">
        <v>1470</v>
      </c>
      <c r="H5232" s="28">
        <v>0</v>
      </c>
      <c r="J5232" s="92"/>
    </row>
    <row r="5233" spans="1:10" ht="15.75" customHeight="1">
      <c r="A5233" s="28">
        <v>22785</v>
      </c>
      <c r="B5233" s="91">
        <v>45333.431423611109</v>
      </c>
      <c r="C5233" s="28" t="s">
        <v>0</v>
      </c>
      <c r="D5233" s="28" t="s">
        <v>1959</v>
      </c>
      <c r="E5233" s="28" t="s">
        <v>1907</v>
      </c>
      <c r="F5233" s="28">
        <v>35</v>
      </c>
      <c r="G5233" s="28" t="s">
        <v>1443</v>
      </c>
      <c r="H5233" s="28">
        <v>0</v>
      </c>
      <c r="J5233" s="92"/>
    </row>
    <row r="5234" spans="1:10" ht="15.75" customHeight="1">
      <c r="A5234" s="28">
        <v>22786</v>
      </c>
      <c r="B5234" s="91">
        <v>45333.433981481481</v>
      </c>
      <c r="C5234" s="28" t="s">
        <v>0</v>
      </c>
      <c r="D5234" s="28" t="s">
        <v>1959</v>
      </c>
      <c r="E5234" s="28" t="s">
        <v>1907</v>
      </c>
      <c r="F5234" s="28">
        <v>0</v>
      </c>
      <c r="G5234" s="28" t="s">
        <v>141</v>
      </c>
      <c r="H5234" s="28">
        <v>0</v>
      </c>
      <c r="J5234" s="92"/>
    </row>
    <row r="5235" spans="1:10" ht="15.75" customHeight="1">
      <c r="A5235" s="28">
        <v>22787</v>
      </c>
      <c r="B5235" s="91">
        <v>45333.448449074072</v>
      </c>
      <c r="C5235" s="28" t="s">
        <v>0</v>
      </c>
      <c r="D5235" s="28" t="s">
        <v>1960</v>
      </c>
      <c r="E5235" s="28" t="s">
        <v>1907</v>
      </c>
      <c r="F5235" s="28">
        <v>22</v>
      </c>
      <c r="G5235" s="28" t="s">
        <v>1459</v>
      </c>
      <c r="H5235" s="28">
        <v>0</v>
      </c>
      <c r="J5235" s="92"/>
    </row>
    <row r="5236" spans="1:10" ht="15.75" customHeight="1">
      <c r="A5236" s="28">
        <v>22788</v>
      </c>
      <c r="B5236" s="91">
        <v>45333.560960648145</v>
      </c>
      <c r="C5236" s="28" t="s">
        <v>0</v>
      </c>
      <c r="D5236" s="28" t="s">
        <v>697</v>
      </c>
      <c r="E5236" s="28" t="s">
        <v>1907</v>
      </c>
      <c r="F5236" s="28">
        <v>26</v>
      </c>
      <c r="G5236" s="28" t="s">
        <v>1455</v>
      </c>
      <c r="H5236" s="28">
        <v>0</v>
      </c>
      <c r="J5236" s="92"/>
    </row>
    <row r="5237" spans="1:10" ht="15.75" customHeight="1">
      <c r="A5237" s="28">
        <v>22788</v>
      </c>
      <c r="B5237" s="91">
        <v>45333.560960648145</v>
      </c>
      <c r="C5237" s="28" t="s">
        <v>0</v>
      </c>
      <c r="D5237" s="28" t="s">
        <v>697</v>
      </c>
      <c r="E5237" s="28" t="s">
        <v>1907</v>
      </c>
      <c r="F5237" s="28">
        <v>0</v>
      </c>
      <c r="G5237" s="28" t="s">
        <v>141</v>
      </c>
      <c r="H5237" s="28">
        <v>0</v>
      </c>
      <c r="J5237" s="92"/>
    </row>
    <row r="5238" spans="1:10" ht="15.75" customHeight="1">
      <c r="A5238" s="28">
        <v>22788</v>
      </c>
      <c r="B5238" s="91">
        <v>45333.560960648145</v>
      </c>
      <c r="C5238" s="28" t="s">
        <v>0</v>
      </c>
      <c r="D5238" s="28" t="s">
        <v>697</v>
      </c>
      <c r="E5238" s="28" t="s">
        <v>1907</v>
      </c>
      <c r="F5238" s="28">
        <v>15</v>
      </c>
      <c r="G5238" s="28" t="s">
        <v>1453</v>
      </c>
      <c r="H5238" s="28">
        <v>0</v>
      </c>
      <c r="J5238" s="92"/>
    </row>
    <row r="5239" spans="1:10" ht="15.75" customHeight="1">
      <c r="A5239" s="28">
        <v>22789</v>
      </c>
      <c r="B5239" s="91">
        <v>45333.572118055556</v>
      </c>
      <c r="C5239" s="28" t="s">
        <v>0</v>
      </c>
      <c r="D5239" s="28" t="s">
        <v>763</v>
      </c>
      <c r="E5239" s="28" t="s">
        <v>1907</v>
      </c>
      <c r="F5239" s="28">
        <v>26</v>
      </c>
      <c r="G5239" s="28" t="s">
        <v>1455</v>
      </c>
      <c r="H5239" s="28">
        <v>0</v>
      </c>
      <c r="J5239" s="92"/>
    </row>
    <row r="5240" spans="1:10" ht="15.75" customHeight="1">
      <c r="A5240" s="28">
        <v>22790</v>
      </c>
      <c r="B5240" s="91">
        <v>45333.611990740741</v>
      </c>
      <c r="C5240" s="28" t="s">
        <v>0</v>
      </c>
      <c r="D5240" s="28" t="s">
        <v>648</v>
      </c>
      <c r="E5240" s="28" t="s">
        <v>1907</v>
      </c>
      <c r="F5240" s="28">
        <v>26</v>
      </c>
      <c r="G5240" s="28" t="s">
        <v>1455</v>
      </c>
      <c r="H5240" s="28">
        <v>0</v>
      </c>
      <c r="J5240" s="92"/>
    </row>
    <row r="5241" spans="1:10" ht="15.75" customHeight="1">
      <c r="A5241" s="28">
        <v>22790</v>
      </c>
      <c r="B5241" s="91">
        <v>45333.611990740741</v>
      </c>
      <c r="C5241" s="28" t="s">
        <v>0</v>
      </c>
      <c r="D5241" s="28" t="s">
        <v>648</v>
      </c>
      <c r="E5241" s="28" t="s">
        <v>1907</v>
      </c>
      <c r="F5241" s="28">
        <v>0</v>
      </c>
      <c r="G5241" s="28" t="s">
        <v>141</v>
      </c>
      <c r="H5241" s="28">
        <v>0</v>
      </c>
      <c r="J5241" s="92"/>
    </row>
    <row r="5242" spans="1:10" ht="15.75" customHeight="1">
      <c r="A5242" s="28">
        <v>22790</v>
      </c>
      <c r="B5242" s="91">
        <v>45333.611990740741</v>
      </c>
      <c r="C5242" s="28" t="s">
        <v>0</v>
      </c>
      <c r="D5242" s="28" t="s">
        <v>648</v>
      </c>
      <c r="E5242" s="28" t="s">
        <v>1907</v>
      </c>
      <c r="F5242" s="28">
        <v>20</v>
      </c>
      <c r="G5242" s="28" t="s">
        <v>1475</v>
      </c>
      <c r="H5242" s="28">
        <v>0</v>
      </c>
      <c r="J5242" s="92"/>
    </row>
    <row r="5243" spans="1:10" ht="15.75" customHeight="1">
      <c r="A5243" s="28">
        <v>22791</v>
      </c>
      <c r="B5243" s="91">
        <v>45333.629953703705</v>
      </c>
      <c r="C5243" s="28" t="s">
        <v>0</v>
      </c>
      <c r="D5243" s="28" t="s">
        <v>963</v>
      </c>
      <c r="E5243" s="28" t="s">
        <v>1907</v>
      </c>
      <c r="F5243" s="28">
        <v>25</v>
      </c>
      <c r="G5243" s="28" t="s">
        <v>141</v>
      </c>
      <c r="H5243" s="28">
        <v>0</v>
      </c>
      <c r="J5243" s="92"/>
    </row>
    <row r="5244" spans="1:10" ht="15.75" customHeight="1">
      <c r="A5244" s="28">
        <v>22792</v>
      </c>
      <c r="B5244" s="91">
        <v>45333.662442129629</v>
      </c>
      <c r="C5244" s="28" t="s">
        <v>0</v>
      </c>
      <c r="D5244" s="28" t="s">
        <v>706</v>
      </c>
      <c r="E5244" s="28" t="s">
        <v>1907</v>
      </c>
      <c r="F5244" s="28">
        <v>18</v>
      </c>
      <c r="G5244" s="28" t="s">
        <v>1470</v>
      </c>
      <c r="H5244" s="28">
        <v>0</v>
      </c>
      <c r="J5244" s="92"/>
    </row>
    <row r="5245" spans="1:10" ht="15.75" customHeight="1">
      <c r="A5245" s="28">
        <v>22793</v>
      </c>
      <c r="B5245" s="91">
        <v>45333.665069444447</v>
      </c>
      <c r="C5245" s="28" t="s">
        <v>0</v>
      </c>
      <c r="D5245" s="28" t="s">
        <v>706</v>
      </c>
      <c r="E5245" s="28" t="s">
        <v>1907</v>
      </c>
      <c r="F5245" s="28">
        <v>18</v>
      </c>
      <c r="G5245" s="28" t="s">
        <v>1470</v>
      </c>
      <c r="H5245" s="28">
        <v>0</v>
      </c>
      <c r="J5245" s="92"/>
    </row>
    <row r="5246" spans="1:10" ht="15.75" customHeight="1">
      <c r="A5246" s="28">
        <v>22794</v>
      </c>
      <c r="B5246" s="91">
        <v>45333.882893518516</v>
      </c>
      <c r="C5246" s="28" t="s">
        <v>0</v>
      </c>
      <c r="D5246" s="28" t="s">
        <v>910</v>
      </c>
      <c r="E5246" s="28" t="s">
        <v>1907</v>
      </c>
      <c r="F5246" s="28">
        <v>22</v>
      </c>
      <c r="G5246" s="28" t="s">
        <v>1535</v>
      </c>
      <c r="H5246" s="28">
        <v>0</v>
      </c>
      <c r="J5246" s="92"/>
    </row>
    <row r="5247" spans="1:10" ht="15.75" customHeight="1">
      <c r="A5247" s="28">
        <v>22794</v>
      </c>
      <c r="B5247" s="91">
        <v>45333.882893518516</v>
      </c>
      <c r="C5247" s="28" t="s">
        <v>0</v>
      </c>
      <c r="D5247" s="28" t="s">
        <v>910</v>
      </c>
      <c r="E5247" s="28" t="s">
        <v>1907</v>
      </c>
      <c r="F5247" s="28">
        <v>15</v>
      </c>
      <c r="G5247" s="28" t="s">
        <v>1467</v>
      </c>
      <c r="H5247" s="28">
        <v>0</v>
      </c>
      <c r="J5247" s="92"/>
    </row>
    <row r="5248" spans="1:10" ht="15.75" customHeight="1">
      <c r="A5248" s="28">
        <v>22795</v>
      </c>
      <c r="B5248" s="91">
        <v>45334.391724537039</v>
      </c>
      <c r="C5248" s="28" t="s">
        <v>0</v>
      </c>
      <c r="D5248" s="28" t="s">
        <v>1961</v>
      </c>
      <c r="E5248" s="28" t="s">
        <v>1907</v>
      </c>
      <c r="F5248" s="28">
        <v>56</v>
      </c>
      <c r="G5248" s="28" t="s">
        <v>1448</v>
      </c>
      <c r="H5248" s="28">
        <v>0</v>
      </c>
      <c r="J5248" s="92"/>
    </row>
    <row r="5249" spans="1:10" ht="15.75" customHeight="1">
      <c r="A5249" s="28">
        <v>22796</v>
      </c>
      <c r="B5249" s="91">
        <v>45334.405243055553</v>
      </c>
      <c r="C5249" s="28" t="s">
        <v>0</v>
      </c>
      <c r="D5249" s="28" t="s">
        <v>944</v>
      </c>
      <c r="E5249" s="28" t="s">
        <v>1907</v>
      </c>
      <c r="F5249" s="28">
        <v>26</v>
      </c>
      <c r="G5249" s="28" t="s">
        <v>1455</v>
      </c>
      <c r="H5249" s="28">
        <v>0</v>
      </c>
      <c r="J5249" s="92"/>
    </row>
    <row r="5250" spans="1:10" ht="15.75" customHeight="1">
      <c r="A5250" s="28">
        <v>22797</v>
      </c>
      <c r="B5250" s="91">
        <v>45334.407453703701</v>
      </c>
      <c r="C5250" s="28" t="s">
        <v>0</v>
      </c>
      <c r="D5250" s="28" t="s">
        <v>1962</v>
      </c>
      <c r="E5250" s="28" t="s">
        <v>1907</v>
      </c>
      <c r="F5250" s="28">
        <v>26</v>
      </c>
      <c r="G5250" s="28" t="s">
        <v>1455</v>
      </c>
      <c r="H5250" s="28">
        <v>0</v>
      </c>
      <c r="J5250" s="92"/>
    </row>
    <row r="5251" spans="1:10" ht="15.75" customHeight="1">
      <c r="A5251" s="28">
        <v>22798</v>
      </c>
      <c r="B5251" s="91">
        <v>45334.602962962963</v>
      </c>
      <c r="C5251" s="28" t="s">
        <v>0</v>
      </c>
      <c r="D5251" s="28" t="s">
        <v>1963</v>
      </c>
      <c r="E5251" s="28" t="s">
        <v>50</v>
      </c>
      <c r="F5251" s="28">
        <v>22</v>
      </c>
      <c r="G5251" s="28" t="s">
        <v>1535</v>
      </c>
      <c r="H5251" s="28">
        <v>0</v>
      </c>
      <c r="J5251" s="92"/>
    </row>
    <row r="5252" spans="1:10" ht="15.75" customHeight="1">
      <c r="A5252" s="28">
        <v>22798</v>
      </c>
      <c r="B5252" s="91">
        <v>45334.602962962963</v>
      </c>
      <c r="C5252" s="28" t="s">
        <v>0</v>
      </c>
      <c r="D5252" s="28" t="s">
        <v>1963</v>
      </c>
      <c r="E5252" s="28" t="s">
        <v>50</v>
      </c>
      <c r="F5252" s="28">
        <v>15</v>
      </c>
      <c r="G5252" s="28" t="s">
        <v>1453</v>
      </c>
      <c r="H5252" s="28">
        <v>0</v>
      </c>
      <c r="J5252" s="92"/>
    </row>
    <row r="5253" spans="1:10" ht="15.75" customHeight="1">
      <c r="A5253" s="28">
        <v>22801</v>
      </c>
      <c r="B5253" s="91">
        <v>45335.816400462965</v>
      </c>
      <c r="C5253" s="28" t="s">
        <v>0</v>
      </c>
      <c r="D5253" s="28" t="s">
        <v>646</v>
      </c>
      <c r="E5253" s="28" t="s">
        <v>1907</v>
      </c>
      <c r="F5253" s="28">
        <v>45</v>
      </c>
      <c r="G5253" s="28" t="s">
        <v>1455</v>
      </c>
      <c r="H5253" s="28">
        <v>0</v>
      </c>
      <c r="J5253" s="92"/>
    </row>
    <row r="5254" spans="1:10" ht="15.75" customHeight="1">
      <c r="A5254" s="28">
        <v>22801</v>
      </c>
      <c r="B5254" s="91">
        <v>45335.816400462965</v>
      </c>
      <c r="C5254" s="28" t="s">
        <v>0</v>
      </c>
      <c r="D5254" s="28" t="s">
        <v>646</v>
      </c>
      <c r="E5254" s="28" t="s">
        <v>1907</v>
      </c>
      <c r="F5254" s="28">
        <v>15</v>
      </c>
      <c r="G5254" s="28" t="s">
        <v>1453</v>
      </c>
      <c r="H5254" s="28">
        <v>0</v>
      </c>
      <c r="J5254" s="92"/>
    </row>
    <row r="5255" spans="1:10" ht="15.75" customHeight="1">
      <c r="A5255" s="28">
        <v>22805</v>
      </c>
      <c r="B5255" s="91">
        <v>45336.402233796296</v>
      </c>
      <c r="C5255" s="28" t="s">
        <v>0</v>
      </c>
      <c r="D5255" s="28" t="s">
        <v>936</v>
      </c>
      <c r="E5255" s="28" t="s">
        <v>1907</v>
      </c>
      <c r="F5255" s="28">
        <v>56</v>
      </c>
      <c r="G5255" s="28" t="s">
        <v>1448</v>
      </c>
      <c r="H5255" s="28">
        <v>0</v>
      </c>
      <c r="J5255" s="92"/>
    </row>
    <row r="5256" spans="1:10" ht="15.75" customHeight="1">
      <c r="A5256" s="28">
        <v>22805</v>
      </c>
      <c r="B5256" s="91">
        <v>45336.402233796296</v>
      </c>
      <c r="C5256" s="28" t="s">
        <v>0</v>
      </c>
      <c r="D5256" s="28" t="s">
        <v>936</v>
      </c>
      <c r="E5256" s="28" t="s">
        <v>1907</v>
      </c>
      <c r="F5256" s="28">
        <v>20</v>
      </c>
      <c r="G5256" s="28" t="s">
        <v>1444</v>
      </c>
      <c r="H5256" s="28">
        <v>0</v>
      </c>
      <c r="J5256" s="92"/>
    </row>
    <row r="5257" spans="1:10" ht="15.75" customHeight="1">
      <c r="A5257" s="28">
        <v>22806</v>
      </c>
      <c r="B5257" s="91">
        <v>45336.417962962965</v>
      </c>
      <c r="C5257" s="28" t="s">
        <v>0</v>
      </c>
      <c r="D5257" s="28" t="s">
        <v>982</v>
      </c>
      <c r="E5257" s="28" t="s">
        <v>1907</v>
      </c>
      <c r="F5257" s="28">
        <v>22</v>
      </c>
      <c r="G5257" s="28" t="s">
        <v>1535</v>
      </c>
      <c r="H5257" s="28">
        <v>0</v>
      </c>
      <c r="J5257" s="92"/>
    </row>
    <row r="5258" spans="1:10" ht="15.75" customHeight="1">
      <c r="A5258" s="28">
        <v>22807</v>
      </c>
      <c r="B5258" s="91">
        <v>45336.561597222222</v>
      </c>
      <c r="C5258" s="28" t="s">
        <v>0</v>
      </c>
      <c r="D5258" s="28" t="s">
        <v>653</v>
      </c>
      <c r="E5258" s="28" t="s">
        <v>1907</v>
      </c>
      <c r="F5258" s="28">
        <v>28</v>
      </c>
      <c r="G5258" s="28" t="s">
        <v>1448</v>
      </c>
      <c r="H5258" s="28">
        <v>0</v>
      </c>
      <c r="J5258" s="92"/>
    </row>
    <row r="5259" spans="1:10" ht="15.75" customHeight="1">
      <c r="A5259" s="28">
        <v>22808</v>
      </c>
      <c r="B5259" s="91">
        <v>45336.76425925926</v>
      </c>
      <c r="C5259" s="28" t="s">
        <v>18</v>
      </c>
      <c r="D5259" s="28" t="s">
        <v>703</v>
      </c>
      <c r="E5259" s="28" t="s">
        <v>1907</v>
      </c>
      <c r="F5259" s="28">
        <v>20</v>
      </c>
      <c r="G5259" s="28"/>
      <c r="H5259" s="28">
        <v>0</v>
      </c>
      <c r="J5259" s="92"/>
    </row>
    <row r="5260" spans="1:10" ht="15.75" customHeight="1">
      <c r="A5260" s="28">
        <v>22808</v>
      </c>
      <c r="B5260" s="91">
        <v>45336.76425925926</v>
      </c>
      <c r="C5260" s="28" t="s">
        <v>18</v>
      </c>
      <c r="D5260" s="28" t="s">
        <v>703</v>
      </c>
      <c r="E5260" s="28" t="s">
        <v>1907</v>
      </c>
      <c r="F5260" s="28">
        <v>0</v>
      </c>
      <c r="G5260" s="28" t="s">
        <v>141</v>
      </c>
      <c r="H5260" s="28">
        <v>0</v>
      </c>
      <c r="J5260" s="92"/>
    </row>
    <row r="5261" spans="1:10" ht="15.75" customHeight="1">
      <c r="A5261" s="28">
        <v>22808</v>
      </c>
      <c r="B5261" s="91">
        <v>45336.76425925926</v>
      </c>
      <c r="C5261" s="28" t="s">
        <v>18</v>
      </c>
      <c r="D5261" s="28" t="s">
        <v>703</v>
      </c>
      <c r="E5261" s="28" t="s">
        <v>1907</v>
      </c>
      <c r="F5261" s="28">
        <v>26</v>
      </c>
      <c r="G5261" s="28" t="s">
        <v>1455</v>
      </c>
      <c r="H5261" s="28">
        <v>0</v>
      </c>
      <c r="J5261" s="92"/>
    </row>
    <row r="5262" spans="1:10" ht="15.75" customHeight="1">
      <c r="A5262" s="28">
        <v>22808</v>
      </c>
      <c r="B5262" s="91">
        <v>45336.76425925926</v>
      </c>
      <c r="C5262" s="28" t="s">
        <v>18</v>
      </c>
      <c r="D5262" s="28" t="s">
        <v>703</v>
      </c>
      <c r="E5262" s="28" t="s">
        <v>1907</v>
      </c>
      <c r="F5262" s="28">
        <v>35</v>
      </c>
      <c r="G5262" s="28" t="s">
        <v>1443</v>
      </c>
      <c r="H5262" s="28">
        <v>0</v>
      </c>
      <c r="J5262" s="92"/>
    </row>
    <row r="5263" spans="1:10" ht="15.75" customHeight="1">
      <c r="A5263" s="28">
        <v>22809</v>
      </c>
      <c r="B5263" s="91">
        <v>45336.779722222222</v>
      </c>
      <c r="C5263" s="28" t="s">
        <v>0</v>
      </c>
      <c r="D5263" s="28" t="s">
        <v>660</v>
      </c>
      <c r="E5263" s="28" t="s">
        <v>1907</v>
      </c>
      <c r="F5263" s="28">
        <v>15</v>
      </c>
      <c r="G5263" s="28" t="s">
        <v>1453</v>
      </c>
      <c r="H5263" s="28">
        <v>0</v>
      </c>
      <c r="J5263" s="92"/>
    </row>
    <row r="5264" spans="1:10" ht="15.75" customHeight="1">
      <c r="A5264" s="28">
        <v>22809</v>
      </c>
      <c r="B5264" s="91">
        <v>45336.779722222222</v>
      </c>
      <c r="C5264" s="28" t="s">
        <v>0</v>
      </c>
      <c r="D5264" s="28" t="s">
        <v>660</v>
      </c>
      <c r="E5264" s="28" t="s">
        <v>1907</v>
      </c>
      <c r="F5264" s="28">
        <v>22</v>
      </c>
      <c r="G5264" s="28" t="s">
        <v>1459</v>
      </c>
      <c r="H5264" s="28">
        <v>0</v>
      </c>
      <c r="J5264" s="92"/>
    </row>
    <row r="5265" spans="1:10" ht="15.75" customHeight="1">
      <c r="A5265" s="28">
        <v>22810</v>
      </c>
      <c r="B5265" s="91">
        <v>45336.902060185188</v>
      </c>
      <c r="C5265" s="28" t="s">
        <v>51</v>
      </c>
      <c r="D5265" s="28" t="s">
        <v>245</v>
      </c>
      <c r="E5265" s="28" t="s">
        <v>1907</v>
      </c>
      <c r="F5265" s="28">
        <v>20</v>
      </c>
      <c r="G5265" s="28"/>
      <c r="H5265" s="28">
        <v>0</v>
      </c>
      <c r="J5265" s="92"/>
    </row>
    <row r="5266" spans="1:10" ht="15.75" customHeight="1">
      <c r="A5266" s="28">
        <v>22810</v>
      </c>
      <c r="B5266" s="91">
        <v>45336.902060185188</v>
      </c>
      <c r="C5266" s="28" t="s">
        <v>51</v>
      </c>
      <c r="D5266" s="28" t="s">
        <v>245</v>
      </c>
      <c r="E5266" s="28" t="s">
        <v>1907</v>
      </c>
      <c r="F5266" s="28">
        <v>24</v>
      </c>
      <c r="G5266" s="28"/>
      <c r="H5266" s="28">
        <v>0</v>
      </c>
      <c r="J5266" s="92"/>
    </row>
    <row r="5267" spans="1:10" ht="15.75" customHeight="1">
      <c r="A5267" s="28">
        <v>22811</v>
      </c>
      <c r="B5267" s="91">
        <v>45336.902905092589</v>
      </c>
      <c r="C5267" s="28" t="s">
        <v>0</v>
      </c>
      <c r="D5267" s="28" t="s">
        <v>1964</v>
      </c>
      <c r="E5267" s="28" t="s">
        <v>1907</v>
      </c>
      <c r="F5267" s="28">
        <v>15</v>
      </c>
      <c r="G5267" s="28" t="s">
        <v>1453</v>
      </c>
      <c r="H5267" s="28">
        <v>0</v>
      </c>
      <c r="J5267" s="92"/>
    </row>
    <row r="5268" spans="1:10" ht="15.75" customHeight="1">
      <c r="A5268" s="28">
        <v>22812</v>
      </c>
      <c r="B5268" s="91">
        <v>45336.908854166664</v>
      </c>
      <c r="C5268" s="28" t="s">
        <v>0</v>
      </c>
      <c r="D5268" s="28" t="s">
        <v>1965</v>
      </c>
      <c r="E5268" s="28" t="s">
        <v>1907</v>
      </c>
      <c r="F5268" s="28">
        <v>22</v>
      </c>
      <c r="G5268" s="28" t="s">
        <v>1459</v>
      </c>
      <c r="H5268" s="28">
        <v>0</v>
      </c>
      <c r="J5268" s="92"/>
    </row>
    <row r="5269" spans="1:10" ht="15.75" customHeight="1">
      <c r="A5269" s="28">
        <v>22812</v>
      </c>
      <c r="B5269" s="91">
        <v>45336.908854166664</v>
      </c>
      <c r="C5269" s="28" t="s">
        <v>0</v>
      </c>
      <c r="D5269" s="28" t="s">
        <v>1965</v>
      </c>
      <c r="E5269" s="28" t="s">
        <v>1907</v>
      </c>
      <c r="F5269" s="28">
        <v>25</v>
      </c>
      <c r="G5269" s="28" t="s">
        <v>141</v>
      </c>
      <c r="H5269" s="28">
        <v>0</v>
      </c>
      <c r="J5269" s="92"/>
    </row>
    <row r="5270" spans="1:10" ht="15.75" customHeight="1">
      <c r="A5270" s="28">
        <v>22813</v>
      </c>
      <c r="B5270" s="91">
        <v>45336.923495370371</v>
      </c>
      <c r="C5270" s="28" t="s">
        <v>0</v>
      </c>
      <c r="D5270" s="28" t="s">
        <v>672</v>
      </c>
      <c r="E5270" s="28" t="s">
        <v>1907</v>
      </c>
      <c r="F5270" s="28">
        <v>25</v>
      </c>
      <c r="G5270" s="28" t="s">
        <v>141</v>
      </c>
      <c r="H5270" s="28">
        <v>0</v>
      </c>
      <c r="J5270" s="92"/>
    </row>
    <row r="5271" spans="1:10" ht="15.75" customHeight="1">
      <c r="A5271" s="28">
        <v>22814</v>
      </c>
      <c r="B5271" s="91">
        <v>45336.947002314817</v>
      </c>
      <c r="C5271" s="28" t="s">
        <v>0</v>
      </c>
      <c r="D5271" s="28" t="s">
        <v>800</v>
      </c>
      <c r="E5271" s="28" t="s">
        <v>1907</v>
      </c>
      <c r="F5271" s="28">
        <v>28</v>
      </c>
      <c r="G5271" s="28" t="s">
        <v>1448</v>
      </c>
      <c r="H5271" s="28">
        <v>0</v>
      </c>
      <c r="J5271" s="92"/>
    </row>
    <row r="5272" spans="1:10" ht="15.75" customHeight="1">
      <c r="A5272" s="28">
        <v>22814</v>
      </c>
      <c r="B5272" s="91">
        <v>45336.947002314817</v>
      </c>
      <c r="C5272" s="28" t="s">
        <v>0</v>
      </c>
      <c r="D5272" s="28" t="s">
        <v>800</v>
      </c>
      <c r="E5272" s="28" t="s">
        <v>1907</v>
      </c>
      <c r="F5272" s="28">
        <v>18</v>
      </c>
      <c r="G5272" s="28" t="s">
        <v>1470</v>
      </c>
      <c r="H5272" s="28">
        <v>0</v>
      </c>
      <c r="J5272" s="92"/>
    </row>
    <row r="5273" spans="1:10" ht="15.75" customHeight="1">
      <c r="A5273" s="28">
        <v>22821</v>
      </c>
      <c r="B5273" s="91">
        <v>45336.996504629627</v>
      </c>
      <c r="C5273" s="28" t="s">
        <v>51</v>
      </c>
      <c r="D5273" s="28" t="s">
        <v>1966</v>
      </c>
      <c r="E5273" s="28" t="s">
        <v>1907</v>
      </c>
      <c r="F5273" s="28">
        <v>44</v>
      </c>
      <c r="G5273" s="28" t="s">
        <v>1459</v>
      </c>
      <c r="H5273" s="28">
        <v>0</v>
      </c>
      <c r="J5273" s="92"/>
    </row>
    <row r="5274" spans="1:10" ht="15.75" customHeight="1">
      <c r="A5274" s="28">
        <v>22831</v>
      </c>
      <c r="B5274" s="91">
        <v>45337.406319444446</v>
      </c>
      <c r="C5274" s="28" t="s">
        <v>0</v>
      </c>
      <c r="D5274" s="28" t="s">
        <v>1967</v>
      </c>
      <c r="E5274" s="28" t="s">
        <v>1907</v>
      </c>
      <c r="F5274" s="28">
        <v>50</v>
      </c>
      <c r="G5274" s="28" t="s">
        <v>141</v>
      </c>
      <c r="H5274" s="28">
        <v>0</v>
      </c>
      <c r="J5274" s="92"/>
    </row>
    <row r="5275" spans="1:10" ht="15.75" customHeight="1">
      <c r="A5275" s="28">
        <v>22832</v>
      </c>
      <c r="B5275" s="91">
        <v>45337.415347222224</v>
      </c>
      <c r="C5275" s="28" t="s">
        <v>0</v>
      </c>
      <c r="D5275" s="28" t="s">
        <v>919</v>
      </c>
      <c r="E5275" s="28" t="s">
        <v>1907</v>
      </c>
      <c r="F5275" s="28">
        <v>25</v>
      </c>
      <c r="G5275" s="28" t="s">
        <v>141</v>
      </c>
      <c r="H5275" s="28">
        <v>0</v>
      </c>
      <c r="J5275" s="92"/>
    </row>
    <row r="5276" spans="1:10" ht="15.75" customHeight="1">
      <c r="A5276" s="28">
        <v>22832</v>
      </c>
      <c r="B5276" s="91">
        <v>45337.415347222224</v>
      </c>
      <c r="C5276" s="28" t="s">
        <v>0</v>
      </c>
      <c r="D5276" s="28" t="s">
        <v>919</v>
      </c>
      <c r="E5276" s="28" t="s">
        <v>1907</v>
      </c>
      <c r="F5276" s="28">
        <v>22</v>
      </c>
      <c r="G5276" s="28" t="s">
        <v>1459</v>
      </c>
      <c r="H5276" s="28">
        <v>0</v>
      </c>
      <c r="J5276" s="92"/>
    </row>
    <row r="5277" spans="1:10" ht="15.75" customHeight="1">
      <c r="A5277" s="28">
        <v>22833</v>
      </c>
      <c r="B5277" s="91">
        <v>45337.419490740744</v>
      </c>
      <c r="C5277" s="28" t="s">
        <v>0</v>
      </c>
      <c r="D5277" s="28" t="s">
        <v>918</v>
      </c>
      <c r="E5277" s="28" t="s">
        <v>1907</v>
      </c>
      <c r="F5277" s="28">
        <v>22</v>
      </c>
      <c r="G5277" s="28" t="s">
        <v>1459</v>
      </c>
      <c r="H5277" s="28">
        <v>0</v>
      </c>
      <c r="J5277" s="92"/>
    </row>
    <row r="5278" spans="1:10" ht="15.75" customHeight="1">
      <c r="A5278" s="28">
        <v>22833</v>
      </c>
      <c r="B5278" s="91">
        <v>45337.419490740744</v>
      </c>
      <c r="C5278" s="28" t="s">
        <v>0</v>
      </c>
      <c r="D5278" s="28" t="s">
        <v>918</v>
      </c>
      <c r="E5278" s="28" t="s">
        <v>1907</v>
      </c>
      <c r="F5278" s="28">
        <v>25</v>
      </c>
      <c r="G5278" s="28" t="s">
        <v>141</v>
      </c>
      <c r="H5278" s="28">
        <v>0</v>
      </c>
      <c r="J5278" s="92"/>
    </row>
    <row r="5279" spans="1:10" ht="15.75" customHeight="1">
      <c r="A5279" s="28">
        <v>22835</v>
      </c>
      <c r="B5279" s="91">
        <v>45337.528622685182</v>
      </c>
      <c r="C5279" s="28" t="s">
        <v>0</v>
      </c>
      <c r="D5279" s="28" t="s">
        <v>248</v>
      </c>
      <c r="E5279" s="28" t="s">
        <v>1907</v>
      </c>
      <c r="F5279" s="28">
        <v>26</v>
      </c>
      <c r="G5279" s="28" t="s">
        <v>1455</v>
      </c>
      <c r="H5279" s="28">
        <v>0</v>
      </c>
      <c r="J5279" s="92"/>
    </row>
    <row r="5280" spans="1:10" ht="15.75" customHeight="1">
      <c r="A5280" s="28">
        <v>22836</v>
      </c>
      <c r="B5280" s="91">
        <v>45337.63212962963</v>
      </c>
      <c r="C5280" s="28" t="s">
        <v>0</v>
      </c>
      <c r="D5280" s="28" t="s">
        <v>734</v>
      </c>
      <c r="E5280" s="28" t="s">
        <v>1907</v>
      </c>
      <c r="F5280" s="28">
        <v>15</v>
      </c>
      <c r="G5280" s="28" t="s">
        <v>1453</v>
      </c>
      <c r="H5280" s="28">
        <v>0</v>
      </c>
      <c r="J5280" s="92"/>
    </row>
    <row r="5281" spans="1:10" ht="15.75" customHeight="1">
      <c r="A5281" s="28">
        <v>22836</v>
      </c>
      <c r="B5281" s="91">
        <v>45337.63212962963</v>
      </c>
      <c r="C5281" s="28" t="s">
        <v>0</v>
      </c>
      <c r="D5281" s="28" t="s">
        <v>734</v>
      </c>
      <c r="E5281" s="28" t="s">
        <v>1907</v>
      </c>
      <c r="F5281" s="28">
        <v>18</v>
      </c>
      <c r="G5281" s="28" t="s">
        <v>1470</v>
      </c>
      <c r="H5281" s="28">
        <v>0</v>
      </c>
      <c r="J5281" s="92"/>
    </row>
    <row r="5282" spans="1:10" ht="15.75" customHeight="1">
      <c r="A5282" s="28">
        <v>22837</v>
      </c>
      <c r="B5282" s="91">
        <v>45337.823344907411</v>
      </c>
      <c r="C5282" s="28" t="s">
        <v>0</v>
      </c>
      <c r="D5282" s="28" t="s">
        <v>973</v>
      </c>
      <c r="E5282" s="28" t="s">
        <v>1907</v>
      </c>
      <c r="F5282" s="28">
        <v>25</v>
      </c>
      <c r="G5282" s="28" t="s">
        <v>1446</v>
      </c>
      <c r="H5282" s="28">
        <v>0</v>
      </c>
      <c r="J5282" s="92"/>
    </row>
    <row r="5283" spans="1:10" ht="15.75" customHeight="1">
      <c r="A5283" s="28">
        <v>22838</v>
      </c>
      <c r="B5283" s="91">
        <v>45337.887939814813</v>
      </c>
      <c r="C5283" s="28" t="s">
        <v>0</v>
      </c>
      <c r="D5283" s="28" t="s">
        <v>1968</v>
      </c>
      <c r="E5283" s="28" t="s">
        <v>1907</v>
      </c>
      <c r="F5283" s="28">
        <v>26</v>
      </c>
      <c r="G5283" s="28" t="s">
        <v>1455</v>
      </c>
      <c r="H5283" s="28">
        <v>0</v>
      </c>
      <c r="J5283" s="92"/>
    </row>
    <row r="5284" spans="1:10" ht="15.75" customHeight="1">
      <c r="A5284" s="28">
        <v>22839</v>
      </c>
      <c r="B5284" s="91">
        <v>45337.890219907407</v>
      </c>
      <c r="C5284" s="28" t="s">
        <v>0</v>
      </c>
      <c r="D5284" s="28" t="s">
        <v>1969</v>
      </c>
      <c r="E5284" s="28" t="s">
        <v>1907</v>
      </c>
      <c r="F5284" s="28">
        <v>26</v>
      </c>
      <c r="G5284" s="28" t="s">
        <v>1455</v>
      </c>
      <c r="H5284" s="28">
        <v>0</v>
      </c>
      <c r="J5284" s="92"/>
    </row>
    <row r="5285" spans="1:10" ht="15.75" customHeight="1">
      <c r="A5285" s="28">
        <v>22840</v>
      </c>
      <c r="B5285" s="91">
        <v>45338.560115740744</v>
      </c>
      <c r="C5285" s="28" t="s">
        <v>0</v>
      </c>
      <c r="D5285" s="28" t="s">
        <v>660</v>
      </c>
      <c r="E5285" s="28" t="s">
        <v>1907</v>
      </c>
      <c r="F5285" s="28">
        <v>15</v>
      </c>
      <c r="G5285" s="28" t="s">
        <v>1453</v>
      </c>
      <c r="H5285" s="28">
        <v>0</v>
      </c>
      <c r="J5285" s="92"/>
    </row>
    <row r="5286" spans="1:10" ht="15.75" customHeight="1">
      <c r="A5286" s="28">
        <v>22840</v>
      </c>
      <c r="B5286" s="91">
        <v>45338.560115740744</v>
      </c>
      <c r="C5286" s="28" t="s">
        <v>0</v>
      </c>
      <c r="D5286" s="28" t="s">
        <v>660</v>
      </c>
      <c r="E5286" s="28" t="s">
        <v>1907</v>
      </c>
      <c r="F5286" s="28">
        <v>20</v>
      </c>
      <c r="G5286" s="28" t="s">
        <v>1475</v>
      </c>
      <c r="H5286" s="28">
        <v>0</v>
      </c>
      <c r="J5286" s="92"/>
    </row>
    <row r="5287" spans="1:10" ht="15.75" customHeight="1">
      <c r="A5287" s="28">
        <v>22841</v>
      </c>
      <c r="B5287" s="91">
        <v>45338.566701388889</v>
      </c>
      <c r="C5287" s="28" t="s">
        <v>0</v>
      </c>
      <c r="D5287" s="28" t="s">
        <v>660</v>
      </c>
      <c r="E5287" s="28" t="s">
        <v>1907</v>
      </c>
      <c r="F5287" s="28">
        <v>12</v>
      </c>
      <c r="G5287" s="28" t="s">
        <v>1467</v>
      </c>
      <c r="H5287" s="28">
        <v>0</v>
      </c>
      <c r="J5287" s="92"/>
    </row>
    <row r="5288" spans="1:10" ht="15.75" customHeight="1">
      <c r="A5288" s="28">
        <v>22841</v>
      </c>
      <c r="B5288" s="91">
        <v>45338.566701388889</v>
      </c>
      <c r="C5288" s="28" t="s">
        <v>0</v>
      </c>
      <c r="D5288" s="28" t="s">
        <v>660</v>
      </c>
      <c r="E5288" s="28" t="s">
        <v>1907</v>
      </c>
      <c r="F5288" s="28">
        <v>17.600000000000001</v>
      </c>
      <c r="G5288" s="28" t="s">
        <v>1459</v>
      </c>
      <c r="H5288" s="28">
        <v>0</v>
      </c>
      <c r="J5288" s="92"/>
    </row>
    <row r="5289" spans="1:10" ht="15.75" customHeight="1">
      <c r="A5289" s="28">
        <v>22842</v>
      </c>
      <c r="B5289" s="91">
        <v>45338.786550925928</v>
      </c>
      <c r="C5289" s="28" t="s">
        <v>18</v>
      </c>
      <c r="D5289" s="28" t="s">
        <v>997</v>
      </c>
      <c r="E5289" s="28" t="s">
        <v>1907</v>
      </c>
      <c r="F5289" s="28">
        <v>25</v>
      </c>
      <c r="G5289" s="28" t="s">
        <v>141</v>
      </c>
      <c r="H5289" s="28">
        <v>0</v>
      </c>
      <c r="J5289" s="92"/>
    </row>
    <row r="5290" spans="1:10" ht="15.75" customHeight="1">
      <c r="A5290" s="28">
        <v>22843</v>
      </c>
      <c r="B5290" s="91">
        <v>45338.789629629631</v>
      </c>
      <c r="C5290" s="28" t="s">
        <v>0</v>
      </c>
      <c r="D5290" s="28" t="s">
        <v>996</v>
      </c>
      <c r="E5290" s="28" t="s">
        <v>1907</v>
      </c>
      <c r="F5290" s="28">
        <v>25</v>
      </c>
      <c r="G5290" s="28" t="s">
        <v>141</v>
      </c>
      <c r="H5290" s="28">
        <v>0</v>
      </c>
      <c r="J5290" s="92"/>
    </row>
    <row r="5291" spans="1:10" ht="15.75" customHeight="1">
      <c r="A5291" s="28">
        <v>22844</v>
      </c>
      <c r="B5291" s="91">
        <v>45339.314872685187</v>
      </c>
      <c r="C5291" s="28" t="s">
        <v>0</v>
      </c>
      <c r="D5291" s="28" t="s">
        <v>973</v>
      </c>
      <c r="E5291" s="28" t="s">
        <v>1907</v>
      </c>
      <c r="F5291" s="28">
        <v>25</v>
      </c>
      <c r="G5291" s="28" t="s">
        <v>1446</v>
      </c>
      <c r="H5291" s="28">
        <v>0</v>
      </c>
      <c r="J5291" s="92"/>
    </row>
    <row r="5292" spans="1:10" ht="15.75" customHeight="1">
      <c r="A5292" s="28">
        <v>22845</v>
      </c>
      <c r="B5292" s="91">
        <v>45339.355856481481</v>
      </c>
      <c r="C5292" s="28" t="s">
        <v>0</v>
      </c>
      <c r="D5292" s="28" t="s">
        <v>662</v>
      </c>
      <c r="E5292" s="28" t="s">
        <v>1907</v>
      </c>
      <c r="F5292" s="28">
        <v>22</v>
      </c>
      <c r="G5292" s="28" t="s">
        <v>1459</v>
      </c>
      <c r="H5292" s="28">
        <v>0</v>
      </c>
      <c r="J5292" s="92"/>
    </row>
    <row r="5293" spans="1:10" ht="15.75" customHeight="1">
      <c r="A5293" s="28">
        <v>22845</v>
      </c>
      <c r="B5293" s="91">
        <v>45339.355856481481</v>
      </c>
      <c r="C5293" s="28" t="s">
        <v>0</v>
      </c>
      <c r="D5293" s="28" t="s">
        <v>662</v>
      </c>
      <c r="E5293" s="28" t="s">
        <v>1907</v>
      </c>
      <c r="F5293" s="28">
        <v>26</v>
      </c>
      <c r="G5293" s="28" t="s">
        <v>1455</v>
      </c>
      <c r="H5293" s="28">
        <v>0</v>
      </c>
      <c r="J5293" s="92"/>
    </row>
    <row r="5294" spans="1:10" ht="15.75" customHeight="1">
      <c r="A5294" s="28">
        <v>22845</v>
      </c>
      <c r="B5294" s="91">
        <v>45339.355856481481</v>
      </c>
      <c r="C5294" s="28" t="s">
        <v>0</v>
      </c>
      <c r="D5294" s="28" t="s">
        <v>662</v>
      </c>
      <c r="E5294" s="28" t="s">
        <v>1907</v>
      </c>
      <c r="F5294" s="28">
        <v>0</v>
      </c>
      <c r="G5294" s="28" t="s">
        <v>141</v>
      </c>
      <c r="H5294" s="28">
        <v>0</v>
      </c>
      <c r="J5294" s="92"/>
    </row>
    <row r="5295" spans="1:10" ht="15.75" customHeight="1">
      <c r="A5295" s="28">
        <v>22846</v>
      </c>
      <c r="B5295" s="91">
        <v>45339.508969907409</v>
      </c>
      <c r="C5295" s="28" t="s">
        <v>0</v>
      </c>
      <c r="D5295" s="28" t="s">
        <v>829</v>
      </c>
      <c r="E5295" s="28" t="s">
        <v>1907</v>
      </c>
      <c r="F5295" s="28">
        <v>26</v>
      </c>
      <c r="G5295" s="28" t="s">
        <v>1455</v>
      </c>
      <c r="H5295" s="28">
        <v>0</v>
      </c>
      <c r="J5295" s="92"/>
    </row>
    <row r="5296" spans="1:10" ht="15.75" customHeight="1">
      <c r="A5296" s="28">
        <v>22846</v>
      </c>
      <c r="B5296" s="91">
        <v>45339.508969907409</v>
      </c>
      <c r="C5296" s="28" t="s">
        <v>0</v>
      </c>
      <c r="D5296" s="28" t="s">
        <v>829</v>
      </c>
      <c r="E5296" s="28" t="s">
        <v>1907</v>
      </c>
      <c r="F5296" s="28">
        <v>20</v>
      </c>
      <c r="G5296" s="28"/>
      <c r="H5296" s="28">
        <v>0</v>
      </c>
      <c r="J5296" s="92"/>
    </row>
    <row r="5297" spans="1:10" ht="15.75" customHeight="1">
      <c r="A5297" s="28">
        <v>22846</v>
      </c>
      <c r="B5297" s="91">
        <v>45339.508969907409</v>
      </c>
      <c r="C5297" s="28" t="s">
        <v>0</v>
      </c>
      <c r="D5297" s="28" t="s">
        <v>829</v>
      </c>
      <c r="E5297" s="28" t="s">
        <v>1907</v>
      </c>
      <c r="F5297" s="28">
        <v>55</v>
      </c>
      <c r="G5297" s="28" t="s">
        <v>1457</v>
      </c>
      <c r="H5297" s="28">
        <v>0</v>
      </c>
      <c r="J5297" s="92"/>
    </row>
    <row r="5298" spans="1:10" ht="15.75" customHeight="1">
      <c r="A5298" s="28">
        <v>22847</v>
      </c>
      <c r="B5298" s="91">
        <v>45339.737314814818</v>
      </c>
      <c r="C5298" s="28" t="s">
        <v>0</v>
      </c>
      <c r="D5298" s="28" t="s">
        <v>788</v>
      </c>
      <c r="E5298" s="28" t="s">
        <v>1907</v>
      </c>
      <c r="F5298" s="28">
        <v>26</v>
      </c>
      <c r="G5298" s="28" t="s">
        <v>1455</v>
      </c>
      <c r="H5298" s="28">
        <v>0</v>
      </c>
      <c r="J5298" s="92"/>
    </row>
    <row r="5299" spans="1:10" ht="15.75" customHeight="1">
      <c r="A5299" s="28">
        <v>22848</v>
      </c>
      <c r="B5299" s="91">
        <v>45339.865983796299</v>
      </c>
      <c r="C5299" s="28" t="s">
        <v>0</v>
      </c>
      <c r="D5299" s="28" t="s">
        <v>1970</v>
      </c>
      <c r="E5299" s="28" t="s">
        <v>1907</v>
      </c>
      <c r="F5299" s="28">
        <v>26</v>
      </c>
      <c r="G5299" s="28" t="s">
        <v>1455</v>
      </c>
      <c r="H5299" s="28">
        <v>0</v>
      </c>
      <c r="J5299" s="92"/>
    </row>
    <row r="5300" spans="1:10" ht="15.75" customHeight="1">
      <c r="A5300" s="28">
        <v>22848</v>
      </c>
      <c r="B5300" s="91">
        <v>45339.865983796299</v>
      </c>
      <c r="C5300" s="28" t="s">
        <v>0</v>
      </c>
      <c r="D5300" s="28" t="s">
        <v>1970</v>
      </c>
      <c r="E5300" s="28" t="s">
        <v>1907</v>
      </c>
      <c r="F5300" s="28">
        <v>15</v>
      </c>
      <c r="G5300" s="28" t="s">
        <v>1453</v>
      </c>
      <c r="H5300" s="28">
        <v>0</v>
      </c>
      <c r="J5300" s="92"/>
    </row>
    <row r="5301" spans="1:10" ht="15.75" customHeight="1">
      <c r="A5301" s="28">
        <v>22855</v>
      </c>
      <c r="B5301" s="91">
        <v>45340.316550925927</v>
      </c>
      <c r="C5301" s="28" t="s">
        <v>0</v>
      </c>
      <c r="D5301" s="28" t="s">
        <v>1971</v>
      </c>
      <c r="E5301" s="28" t="s">
        <v>1907</v>
      </c>
      <c r="F5301" s="28">
        <v>28</v>
      </c>
      <c r="G5301" s="28" t="s">
        <v>1448</v>
      </c>
      <c r="H5301" s="28">
        <v>0</v>
      </c>
      <c r="J5301" s="92"/>
    </row>
    <row r="5302" spans="1:10" ht="15.75" customHeight="1">
      <c r="A5302" s="28">
        <v>22856</v>
      </c>
      <c r="B5302" s="91">
        <v>45340.318032407406</v>
      </c>
      <c r="C5302" s="28" t="s">
        <v>51</v>
      </c>
      <c r="D5302" s="28" t="s">
        <v>1972</v>
      </c>
      <c r="E5302" s="28" t="s">
        <v>1907</v>
      </c>
      <c r="F5302" s="28">
        <v>28</v>
      </c>
      <c r="G5302" s="28" t="s">
        <v>1448</v>
      </c>
      <c r="H5302" s="28">
        <v>0</v>
      </c>
      <c r="J5302" s="92"/>
    </row>
    <row r="5303" spans="1:10" ht="15.75" customHeight="1">
      <c r="A5303" s="28">
        <v>22857</v>
      </c>
      <c r="B5303" s="91">
        <v>45340.430613425924</v>
      </c>
      <c r="C5303" s="28" t="s">
        <v>0</v>
      </c>
      <c r="D5303" s="28" t="s">
        <v>1963</v>
      </c>
      <c r="E5303" s="28" t="s">
        <v>50</v>
      </c>
      <c r="F5303" s="28">
        <v>26</v>
      </c>
      <c r="G5303" s="28" t="s">
        <v>1455</v>
      </c>
      <c r="H5303" s="28">
        <v>0</v>
      </c>
      <c r="J5303" s="92"/>
    </row>
    <row r="5304" spans="1:10" ht="15.75" customHeight="1">
      <c r="A5304" s="28">
        <v>22858</v>
      </c>
      <c r="B5304" s="91">
        <v>45340.708564814813</v>
      </c>
      <c r="C5304" s="28" t="s">
        <v>0</v>
      </c>
      <c r="D5304" s="28" t="s">
        <v>1973</v>
      </c>
      <c r="E5304" s="28" t="s">
        <v>1907</v>
      </c>
      <c r="F5304" s="28">
        <v>26</v>
      </c>
      <c r="G5304" s="28" t="s">
        <v>1455</v>
      </c>
      <c r="H5304" s="28">
        <v>0</v>
      </c>
      <c r="J5304" s="92"/>
    </row>
    <row r="5305" spans="1:10" ht="15.75" customHeight="1">
      <c r="A5305" s="28">
        <v>22859</v>
      </c>
      <c r="B5305" s="91">
        <v>45340.756018518521</v>
      </c>
      <c r="C5305" s="28" t="s">
        <v>0</v>
      </c>
      <c r="D5305" s="28" t="s">
        <v>916</v>
      </c>
      <c r="E5305" s="28" t="s">
        <v>1907</v>
      </c>
      <c r="F5305" s="28">
        <v>40</v>
      </c>
      <c r="G5305" s="28"/>
      <c r="H5305" s="28">
        <v>0</v>
      </c>
      <c r="J5305" s="92"/>
    </row>
    <row r="5306" spans="1:10" ht="15.75" customHeight="1">
      <c r="A5306" s="28">
        <v>22860</v>
      </c>
      <c r="B5306" s="91">
        <v>45340.92560185185</v>
      </c>
      <c r="C5306" s="28" t="s">
        <v>0</v>
      </c>
      <c r="D5306" s="28" t="s">
        <v>1974</v>
      </c>
      <c r="E5306" s="28" t="s">
        <v>1907</v>
      </c>
      <c r="F5306" s="28">
        <v>26</v>
      </c>
      <c r="G5306" s="28" t="s">
        <v>1455</v>
      </c>
      <c r="H5306" s="28">
        <v>0</v>
      </c>
      <c r="J5306" s="92"/>
    </row>
    <row r="5307" spans="1:10" ht="15.75" customHeight="1">
      <c r="A5307" s="28">
        <v>22860</v>
      </c>
      <c r="B5307" s="91">
        <v>45340.92560185185</v>
      </c>
      <c r="C5307" s="28" t="s">
        <v>0</v>
      </c>
      <c r="D5307" s="28" t="s">
        <v>1974</v>
      </c>
      <c r="E5307" s="28" t="s">
        <v>1907</v>
      </c>
      <c r="F5307" s="28">
        <v>28</v>
      </c>
      <c r="G5307" s="28" t="s">
        <v>1448</v>
      </c>
      <c r="H5307" s="28">
        <v>0</v>
      </c>
      <c r="J5307" s="92"/>
    </row>
    <row r="5308" spans="1:10" ht="15.75" customHeight="1">
      <c r="A5308" s="28">
        <v>22861</v>
      </c>
      <c r="B5308" s="91">
        <v>45340.936666666668</v>
      </c>
      <c r="C5308" s="28" t="s">
        <v>0</v>
      </c>
      <c r="D5308" s="28" t="s">
        <v>1974</v>
      </c>
      <c r="E5308" s="28" t="s">
        <v>1907</v>
      </c>
      <c r="F5308" s="28">
        <v>28</v>
      </c>
      <c r="G5308" s="28" t="s">
        <v>1448</v>
      </c>
      <c r="H5308" s="28">
        <v>0</v>
      </c>
      <c r="J5308" s="92"/>
    </row>
    <row r="5309" spans="1:10" ht="15.75" customHeight="1">
      <c r="A5309" s="28">
        <v>22861</v>
      </c>
      <c r="B5309" s="91">
        <v>45340.936666666668</v>
      </c>
      <c r="C5309" s="28" t="s">
        <v>0</v>
      </c>
      <c r="D5309" s="28" t="s">
        <v>1974</v>
      </c>
      <c r="E5309" s="28" t="s">
        <v>1907</v>
      </c>
      <c r="F5309" s="28">
        <v>26</v>
      </c>
      <c r="G5309" s="28" t="s">
        <v>1455</v>
      </c>
      <c r="H5309" s="28">
        <v>0</v>
      </c>
      <c r="J5309" s="92"/>
    </row>
    <row r="5310" spans="1:10" ht="15.75" customHeight="1">
      <c r="A5310" s="28">
        <v>22862</v>
      </c>
      <c r="B5310" s="91">
        <v>45340.960590277777</v>
      </c>
      <c r="C5310" s="28" t="s">
        <v>0</v>
      </c>
      <c r="D5310" s="28" t="s">
        <v>1032</v>
      </c>
      <c r="E5310" s="28" t="s">
        <v>1907</v>
      </c>
      <c r="F5310" s="28">
        <v>55</v>
      </c>
      <c r="G5310" s="28" t="s">
        <v>1457</v>
      </c>
      <c r="H5310" s="28">
        <v>0</v>
      </c>
      <c r="J5310" s="92"/>
    </row>
    <row r="5311" spans="1:10" ht="15.75" customHeight="1">
      <c r="A5311" s="28">
        <v>22863</v>
      </c>
      <c r="B5311" s="91">
        <v>45341.390381944446</v>
      </c>
      <c r="C5311" s="28" t="s">
        <v>0</v>
      </c>
      <c r="D5311" s="28" t="s">
        <v>1975</v>
      </c>
      <c r="E5311" s="28" t="s">
        <v>1907</v>
      </c>
      <c r="F5311" s="28">
        <v>28</v>
      </c>
      <c r="G5311" s="28" t="s">
        <v>1448</v>
      </c>
      <c r="H5311" s="28">
        <v>0</v>
      </c>
      <c r="J5311" s="92"/>
    </row>
    <row r="5312" spans="1:10" ht="15.75" customHeight="1">
      <c r="A5312" s="28">
        <v>22863</v>
      </c>
      <c r="B5312" s="91">
        <v>45341.390381944446</v>
      </c>
      <c r="C5312" s="28" t="s">
        <v>0</v>
      </c>
      <c r="D5312" s="28" t="s">
        <v>1975</v>
      </c>
      <c r="E5312" s="28" t="s">
        <v>1907</v>
      </c>
      <c r="F5312" s="28">
        <v>0</v>
      </c>
      <c r="G5312" s="28" t="s">
        <v>141</v>
      </c>
      <c r="H5312" s="28">
        <v>0</v>
      </c>
      <c r="J5312" s="92"/>
    </row>
    <row r="5313" spans="1:10" ht="15.75" customHeight="1">
      <c r="A5313" s="28">
        <v>22864</v>
      </c>
      <c r="B5313" s="91">
        <v>45341.575231481482</v>
      </c>
      <c r="C5313" s="28" t="s">
        <v>0</v>
      </c>
      <c r="D5313" s="28" t="s">
        <v>475</v>
      </c>
      <c r="E5313" s="28" t="s">
        <v>1907</v>
      </c>
      <c r="F5313" s="28">
        <v>15</v>
      </c>
      <c r="G5313" s="28" t="s">
        <v>1453</v>
      </c>
      <c r="H5313" s="28">
        <v>0</v>
      </c>
      <c r="J5313" s="92"/>
    </row>
    <row r="5314" spans="1:10" ht="15.75" customHeight="1">
      <c r="A5314" s="28">
        <v>22864</v>
      </c>
      <c r="B5314" s="91">
        <v>45341.575231481482</v>
      </c>
      <c r="C5314" s="28" t="s">
        <v>0</v>
      </c>
      <c r="D5314" s="28" t="s">
        <v>475</v>
      </c>
      <c r="E5314" s="28" t="s">
        <v>1907</v>
      </c>
      <c r="F5314" s="28">
        <v>26</v>
      </c>
      <c r="G5314" s="28" t="s">
        <v>1455</v>
      </c>
      <c r="H5314" s="28">
        <v>0</v>
      </c>
      <c r="J5314" s="92"/>
    </row>
    <row r="5315" spans="1:10" ht="15.75" customHeight="1">
      <c r="A5315" s="28">
        <v>22865</v>
      </c>
      <c r="B5315" s="91">
        <v>45341.614004629628</v>
      </c>
      <c r="C5315" s="28" t="s">
        <v>0</v>
      </c>
      <c r="D5315" s="28" t="s">
        <v>1976</v>
      </c>
      <c r="E5315" s="28" t="s">
        <v>1907</v>
      </c>
      <c r="F5315" s="28">
        <v>28</v>
      </c>
      <c r="G5315" s="28" t="s">
        <v>1448</v>
      </c>
      <c r="H5315" s="28">
        <v>0</v>
      </c>
      <c r="J5315" s="92"/>
    </row>
    <row r="5316" spans="1:10" ht="15.75" customHeight="1">
      <c r="A5316" s="28">
        <v>22866</v>
      </c>
      <c r="B5316" s="91">
        <v>45341.678715277776</v>
      </c>
      <c r="C5316" s="28" t="s">
        <v>0</v>
      </c>
      <c r="D5316" s="28" t="s">
        <v>325</v>
      </c>
      <c r="E5316" s="28" t="s">
        <v>1907</v>
      </c>
      <c r="F5316" s="28">
        <v>26</v>
      </c>
      <c r="G5316" s="28" t="s">
        <v>1455</v>
      </c>
      <c r="H5316" s="28">
        <v>0</v>
      </c>
      <c r="J5316" s="92"/>
    </row>
    <row r="5317" spans="1:10" ht="15.75" customHeight="1">
      <c r="A5317" s="28">
        <v>22867</v>
      </c>
      <c r="B5317" s="91">
        <v>45341.680833333332</v>
      </c>
      <c r="C5317" s="28" t="s">
        <v>0</v>
      </c>
      <c r="D5317" s="28" t="s">
        <v>325</v>
      </c>
      <c r="E5317" s="28" t="s">
        <v>1907</v>
      </c>
      <c r="F5317" s="28">
        <v>25</v>
      </c>
      <c r="G5317" s="28" t="s">
        <v>141</v>
      </c>
      <c r="H5317" s="28">
        <v>0</v>
      </c>
      <c r="J5317" s="92"/>
    </row>
    <row r="5318" spans="1:10" ht="15.75" customHeight="1">
      <c r="A5318" s="28">
        <v>22869</v>
      </c>
      <c r="B5318" s="91">
        <v>45341.794502314813</v>
      </c>
      <c r="C5318" s="28" t="s">
        <v>0</v>
      </c>
      <c r="D5318" s="28" t="s">
        <v>1977</v>
      </c>
      <c r="E5318" s="28" t="s">
        <v>1907</v>
      </c>
      <c r="F5318" s="28">
        <v>26</v>
      </c>
      <c r="G5318" s="28" t="s">
        <v>1455</v>
      </c>
      <c r="H5318" s="28">
        <v>0</v>
      </c>
      <c r="J5318" s="92"/>
    </row>
    <row r="5319" spans="1:10" ht="15.75" customHeight="1">
      <c r="A5319" s="28">
        <v>22869</v>
      </c>
      <c r="B5319" s="91">
        <v>45341.794502314813</v>
      </c>
      <c r="C5319" s="28" t="s">
        <v>0</v>
      </c>
      <c r="D5319" s="28" t="s">
        <v>1977</v>
      </c>
      <c r="E5319" s="28" t="s">
        <v>1907</v>
      </c>
      <c r="F5319" s="28">
        <v>0</v>
      </c>
      <c r="G5319" s="28" t="s">
        <v>141</v>
      </c>
      <c r="H5319" s="28">
        <v>0</v>
      </c>
      <c r="J5319" s="92"/>
    </row>
    <row r="5320" spans="1:10" ht="15.75" customHeight="1">
      <c r="A5320" s="28">
        <v>22869</v>
      </c>
      <c r="B5320" s="91">
        <v>45341.794502314813</v>
      </c>
      <c r="C5320" s="28" t="s">
        <v>0</v>
      </c>
      <c r="D5320" s="28" t="s">
        <v>1977</v>
      </c>
      <c r="E5320" s="28" t="s">
        <v>1907</v>
      </c>
      <c r="F5320" s="28">
        <v>22</v>
      </c>
      <c r="G5320" s="28" t="s">
        <v>1535</v>
      </c>
      <c r="H5320" s="28">
        <v>0</v>
      </c>
      <c r="J5320" s="92"/>
    </row>
    <row r="5321" spans="1:10" ht="15.75" customHeight="1">
      <c r="A5321" s="28">
        <v>22868</v>
      </c>
      <c r="B5321" s="91">
        <v>45341.794456018521</v>
      </c>
      <c r="C5321" s="28" t="s">
        <v>0</v>
      </c>
      <c r="D5321" s="28" t="s">
        <v>1978</v>
      </c>
      <c r="E5321" s="28" t="s">
        <v>1907</v>
      </c>
      <c r="F5321" s="28">
        <v>20</v>
      </c>
      <c r="G5321" s="28"/>
      <c r="H5321" s="28">
        <v>0</v>
      </c>
      <c r="J5321" s="92"/>
    </row>
    <row r="5322" spans="1:10" ht="15.75" customHeight="1">
      <c r="A5322" s="28">
        <v>22868</v>
      </c>
      <c r="B5322" s="91">
        <v>45341.794456018521</v>
      </c>
      <c r="C5322" s="28" t="s">
        <v>0</v>
      </c>
      <c r="D5322" s="28" t="s">
        <v>1978</v>
      </c>
      <c r="E5322" s="28" t="s">
        <v>1907</v>
      </c>
      <c r="F5322" s="28">
        <v>20</v>
      </c>
      <c r="G5322" s="28"/>
      <c r="H5322" s="28">
        <v>0</v>
      </c>
      <c r="J5322" s="92"/>
    </row>
    <row r="5323" spans="1:10" ht="15.75" customHeight="1">
      <c r="A5323" s="28">
        <v>22870</v>
      </c>
      <c r="B5323" s="91">
        <v>45341.796875</v>
      </c>
      <c r="C5323" s="28" t="s">
        <v>0</v>
      </c>
      <c r="D5323" s="28" t="s">
        <v>1979</v>
      </c>
      <c r="E5323" s="28" t="s">
        <v>1907</v>
      </c>
      <c r="F5323" s="28">
        <v>20</v>
      </c>
      <c r="G5323" s="28"/>
      <c r="H5323" s="28">
        <v>0</v>
      </c>
      <c r="J5323" s="92"/>
    </row>
    <row r="5324" spans="1:10" ht="15.75" customHeight="1">
      <c r="A5324" s="28">
        <v>22871</v>
      </c>
      <c r="B5324" s="91">
        <v>45341.813043981485</v>
      </c>
      <c r="C5324" s="28" t="s">
        <v>0</v>
      </c>
      <c r="D5324" s="28" t="s">
        <v>1043</v>
      </c>
      <c r="E5324" s="28" t="s">
        <v>1907</v>
      </c>
      <c r="F5324" s="28">
        <v>24</v>
      </c>
      <c r="G5324" s="28"/>
      <c r="H5324" s="28">
        <v>0</v>
      </c>
      <c r="J5324" s="92"/>
    </row>
    <row r="5325" spans="1:10" ht="15.75" customHeight="1">
      <c r="A5325" s="28">
        <v>22872</v>
      </c>
      <c r="B5325" s="91">
        <v>45341.819351851853</v>
      </c>
      <c r="C5325" s="28" t="s">
        <v>0</v>
      </c>
      <c r="D5325" s="28" t="s">
        <v>327</v>
      </c>
      <c r="E5325" s="28" t="s">
        <v>1907</v>
      </c>
      <c r="F5325" s="28">
        <v>20</v>
      </c>
      <c r="G5325" s="28"/>
      <c r="H5325" s="28">
        <v>0</v>
      </c>
      <c r="J5325" s="92"/>
    </row>
    <row r="5326" spans="1:10" ht="15.75" customHeight="1">
      <c r="A5326" s="28">
        <v>22872</v>
      </c>
      <c r="B5326" s="91">
        <v>45341.819351851853</v>
      </c>
      <c r="C5326" s="28" t="s">
        <v>0</v>
      </c>
      <c r="D5326" s="28" t="s">
        <v>327</v>
      </c>
      <c r="E5326" s="28" t="s">
        <v>1907</v>
      </c>
      <c r="F5326" s="28">
        <v>0</v>
      </c>
      <c r="G5326" s="28" t="s">
        <v>141</v>
      </c>
      <c r="H5326" s="28">
        <v>0</v>
      </c>
      <c r="J5326" s="92"/>
    </row>
    <row r="5327" spans="1:10" ht="15.75" customHeight="1">
      <c r="A5327" s="28">
        <v>22872</v>
      </c>
      <c r="B5327" s="91">
        <v>45341.819351851853</v>
      </c>
      <c r="C5327" s="28" t="s">
        <v>0</v>
      </c>
      <c r="D5327" s="28" t="s">
        <v>327</v>
      </c>
      <c r="E5327" s="28" t="s">
        <v>1907</v>
      </c>
      <c r="F5327" s="28">
        <v>15</v>
      </c>
      <c r="G5327" s="28" t="s">
        <v>1453</v>
      </c>
      <c r="H5327" s="28">
        <v>0</v>
      </c>
      <c r="J5327" s="92"/>
    </row>
    <row r="5328" spans="1:10" ht="15.75" customHeight="1">
      <c r="A5328" s="28">
        <v>22873</v>
      </c>
      <c r="B5328" s="91">
        <v>45341.82135416667</v>
      </c>
      <c r="C5328" s="28" t="s">
        <v>18</v>
      </c>
      <c r="D5328" s="28" t="s">
        <v>326</v>
      </c>
      <c r="E5328" s="28" t="s">
        <v>1907</v>
      </c>
      <c r="F5328" s="28">
        <v>15</v>
      </c>
      <c r="G5328" s="28" t="s">
        <v>1453</v>
      </c>
      <c r="H5328" s="28">
        <v>0</v>
      </c>
      <c r="J5328" s="92"/>
    </row>
    <row r="5329" spans="1:10" ht="15.75" customHeight="1">
      <c r="A5329" s="28">
        <v>22873</v>
      </c>
      <c r="B5329" s="91">
        <v>45341.82135416667</v>
      </c>
      <c r="C5329" s="28" t="s">
        <v>18</v>
      </c>
      <c r="D5329" s="28" t="s">
        <v>326</v>
      </c>
      <c r="E5329" s="28" t="s">
        <v>1907</v>
      </c>
      <c r="F5329" s="28">
        <v>0</v>
      </c>
      <c r="G5329" s="28" t="s">
        <v>141</v>
      </c>
      <c r="H5329" s="28">
        <v>0</v>
      </c>
      <c r="J5329" s="92"/>
    </row>
    <row r="5330" spans="1:10" ht="15.75" customHeight="1">
      <c r="A5330" s="28">
        <v>22874</v>
      </c>
      <c r="B5330" s="91">
        <v>45341.833819444444</v>
      </c>
      <c r="C5330" s="28" t="s">
        <v>0</v>
      </c>
      <c r="D5330" s="28" t="s">
        <v>1980</v>
      </c>
      <c r="E5330" s="28" t="s">
        <v>1907</v>
      </c>
      <c r="F5330" s="28">
        <v>20</v>
      </c>
      <c r="G5330" s="28" t="s">
        <v>1475</v>
      </c>
      <c r="H5330" s="28">
        <v>0</v>
      </c>
      <c r="J5330" s="92"/>
    </row>
    <row r="5331" spans="1:10" ht="15.75" customHeight="1">
      <c r="A5331" s="28">
        <v>22874</v>
      </c>
      <c r="B5331" s="91">
        <v>45341.833819444444</v>
      </c>
      <c r="C5331" s="28" t="s">
        <v>0</v>
      </c>
      <c r="D5331" s="28" t="s">
        <v>1980</v>
      </c>
      <c r="E5331" s="28" t="s">
        <v>1907</v>
      </c>
      <c r="F5331" s="28">
        <v>28</v>
      </c>
      <c r="G5331" s="28" t="s">
        <v>1448</v>
      </c>
      <c r="H5331" s="28">
        <v>0</v>
      </c>
      <c r="J5331" s="92"/>
    </row>
    <row r="5332" spans="1:10" ht="15.75" customHeight="1">
      <c r="A5332" s="28">
        <v>22874</v>
      </c>
      <c r="B5332" s="91">
        <v>45341.833819444444</v>
      </c>
      <c r="C5332" s="28" t="s">
        <v>0</v>
      </c>
      <c r="D5332" s="28" t="s">
        <v>1980</v>
      </c>
      <c r="E5332" s="28" t="s">
        <v>1907</v>
      </c>
      <c r="F5332" s="28">
        <v>22</v>
      </c>
      <c r="G5332" s="28" t="s">
        <v>1535</v>
      </c>
      <c r="H5332" s="28">
        <v>0</v>
      </c>
      <c r="J5332" s="92"/>
    </row>
    <row r="5333" spans="1:10" ht="15.75" customHeight="1">
      <c r="A5333" s="28">
        <v>22874</v>
      </c>
      <c r="B5333" s="91">
        <v>45341.833819444444</v>
      </c>
      <c r="C5333" s="28" t="s">
        <v>0</v>
      </c>
      <c r="D5333" s="28" t="s">
        <v>1980</v>
      </c>
      <c r="E5333" s="28" t="s">
        <v>1907</v>
      </c>
      <c r="F5333" s="28">
        <v>0</v>
      </c>
      <c r="G5333" s="28" t="s">
        <v>141</v>
      </c>
      <c r="H5333" s="28">
        <v>0</v>
      </c>
      <c r="J5333" s="92"/>
    </row>
    <row r="5334" spans="1:10" ht="15.75" customHeight="1">
      <c r="A5334" s="28">
        <v>22875</v>
      </c>
      <c r="B5334" s="91">
        <v>45341.854189814818</v>
      </c>
      <c r="C5334" s="28" t="s">
        <v>0</v>
      </c>
      <c r="D5334" s="28" t="s">
        <v>934</v>
      </c>
      <c r="E5334" s="28" t="s">
        <v>1907</v>
      </c>
      <c r="F5334" s="28">
        <v>25</v>
      </c>
      <c r="G5334" s="28" t="s">
        <v>141</v>
      </c>
      <c r="H5334" s="28">
        <v>0</v>
      </c>
      <c r="J5334" s="92"/>
    </row>
    <row r="5335" spans="1:10" ht="15.75" customHeight="1">
      <c r="A5335" s="28">
        <v>22875</v>
      </c>
      <c r="B5335" s="91">
        <v>45341.854189814818</v>
      </c>
      <c r="C5335" s="28" t="s">
        <v>0</v>
      </c>
      <c r="D5335" s="28" t="s">
        <v>934</v>
      </c>
      <c r="E5335" s="28" t="s">
        <v>1907</v>
      </c>
      <c r="F5335" s="28">
        <v>26</v>
      </c>
      <c r="G5335" s="28" t="s">
        <v>1455</v>
      </c>
      <c r="H5335" s="28">
        <v>0</v>
      </c>
      <c r="J5335" s="92"/>
    </row>
    <row r="5336" spans="1:10" ht="15.75" customHeight="1">
      <c r="A5336" s="28">
        <v>22876</v>
      </c>
      <c r="B5336" s="91">
        <v>45341.888923611114</v>
      </c>
      <c r="C5336" s="28" t="s">
        <v>0</v>
      </c>
      <c r="D5336" s="28" t="s">
        <v>645</v>
      </c>
      <c r="E5336" s="28" t="s">
        <v>1907</v>
      </c>
      <c r="F5336" s="28">
        <v>22</v>
      </c>
      <c r="G5336" s="28" t="s">
        <v>1535</v>
      </c>
      <c r="H5336" s="28">
        <v>0</v>
      </c>
      <c r="J5336" s="92"/>
    </row>
    <row r="5337" spans="1:10" ht="15.75" customHeight="1">
      <c r="A5337" s="28">
        <v>22876</v>
      </c>
      <c r="B5337" s="91">
        <v>45341.888923611114</v>
      </c>
      <c r="C5337" s="28" t="s">
        <v>0</v>
      </c>
      <c r="D5337" s="28" t="s">
        <v>645</v>
      </c>
      <c r="E5337" s="28" t="s">
        <v>1907</v>
      </c>
      <c r="F5337" s="28">
        <v>22</v>
      </c>
      <c r="G5337" s="28" t="s">
        <v>1459</v>
      </c>
      <c r="H5337" s="28">
        <v>0</v>
      </c>
      <c r="J5337" s="92"/>
    </row>
    <row r="5338" spans="1:10" ht="15.75" customHeight="1">
      <c r="A5338" s="28">
        <v>22877</v>
      </c>
      <c r="B5338" s="91">
        <v>45341.895624999997</v>
      </c>
      <c r="C5338" s="28" t="s">
        <v>0</v>
      </c>
      <c r="D5338" s="28" t="s">
        <v>893</v>
      </c>
      <c r="E5338" s="28" t="s">
        <v>1907</v>
      </c>
      <c r="F5338" s="28">
        <v>28</v>
      </c>
      <c r="G5338" s="28" t="s">
        <v>1448</v>
      </c>
      <c r="H5338" s="28">
        <v>0</v>
      </c>
      <c r="J5338" s="92"/>
    </row>
    <row r="5339" spans="1:10" ht="15.75" customHeight="1">
      <c r="A5339" s="28">
        <v>22878</v>
      </c>
      <c r="B5339" s="91">
        <v>45341.897800925923</v>
      </c>
      <c r="C5339" s="28" t="s">
        <v>0</v>
      </c>
      <c r="D5339" s="28" t="s">
        <v>1981</v>
      </c>
      <c r="E5339" s="28" t="s">
        <v>1907</v>
      </c>
      <c r="F5339" s="28">
        <v>28</v>
      </c>
      <c r="G5339" s="28" t="s">
        <v>1448</v>
      </c>
      <c r="H5339" s="28">
        <v>0</v>
      </c>
      <c r="J5339" s="92"/>
    </row>
    <row r="5340" spans="1:10" ht="15.75" customHeight="1">
      <c r="A5340" s="28">
        <v>22879</v>
      </c>
      <c r="B5340" s="91">
        <v>45341.947141203702</v>
      </c>
      <c r="C5340" s="28" t="s">
        <v>0</v>
      </c>
      <c r="D5340" s="28" t="s">
        <v>1982</v>
      </c>
      <c r="E5340" s="28" t="s">
        <v>1907</v>
      </c>
      <c r="F5340" s="28">
        <v>26</v>
      </c>
      <c r="G5340" s="28" t="s">
        <v>1455</v>
      </c>
      <c r="H5340" s="28">
        <v>0</v>
      </c>
      <c r="J5340" s="92"/>
    </row>
    <row r="5341" spans="1:10" ht="15.75" customHeight="1">
      <c r="A5341" s="28">
        <v>22879</v>
      </c>
      <c r="B5341" s="91">
        <v>45341.947141203702</v>
      </c>
      <c r="C5341" s="28" t="s">
        <v>0</v>
      </c>
      <c r="D5341" s="28" t="s">
        <v>1982</v>
      </c>
      <c r="E5341" s="28" t="s">
        <v>1907</v>
      </c>
      <c r="F5341" s="28">
        <v>20</v>
      </c>
      <c r="G5341" s="28"/>
      <c r="H5341" s="28">
        <v>0</v>
      </c>
      <c r="J5341" s="92"/>
    </row>
    <row r="5342" spans="1:10" ht="15.75" customHeight="1">
      <c r="A5342" s="28">
        <v>22879</v>
      </c>
      <c r="B5342" s="91">
        <v>45341.947141203702</v>
      </c>
      <c r="C5342" s="28" t="s">
        <v>0</v>
      </c>
      <c r="D5342" s="28" t="s">
        <v>1982</v>
      </c>
      <c r="E5342" s="28" t="s">
        <v>1907</v>
      </c>
      <c r="F5342" s="28">
        <v>26</v>
      </c>
      <c r="G5342" s="28" t="s">
        <v>1455</v>
      </c>
      <c r="H5342" s="28">
        <v>0</v>
      </c>
      <c r="J5342" s="92"/>
    </row>
    <row r="5343" spans="1:10" ht="15.75" customHeight="1">
      <c r="A5343" s="28">
        <v>22879</v>
      </c>
      <c r="B5343" s="91">
        <v>45341.947141203702</v>
      </c>
      <c r="C5343" s="28" t="s">
        <v>0</v>
      </c>
      <c r="D5343" s="28" t="s">
        <v>1982</v>
      </c>
      <c r="E5343" s="28" t="s">
        <v>1907</v>
      </c>
      <c r="F5343" s="28">
        <v>45</v>
      </c>
      <c r="G5343" s="28" t="s">
        <v>1453</v>
      </c>
      <c r="H5343" s="28">
        <v>0</v>
      </c>
      <c r="J5343" s="92"/>
    </row>
    <row r="5344" spans="1:10" ht="15.75" customHeight="1">
      <c r="A5344" s="28">
        <v>22879</v>
      </c>
      <c r="B5344" s="91">
        <v>45341.947141203702</v>
      </c>
      <c r="C5344" s="28" t="s">
        <v>0</v>
      </c>
      <c r="D5344" s="28" t="s">
        <v>1982</v>
      </c>
      <c r="E5344" s="28" t="s">
        <v>1907</v>
      </c>
      <c r="F5344" s="28">
        <v>0</v>
      </c>
      <c r="G5344" s="28" t="s">
        <v>141</v>
      </c>
      <c r="H5344" s="28">
        <v>0</v>
      </c>
      <c r="J5344" s="92"/>
    </row>
    <row r="5345" spans="1:10" ht="15.75" customHeight="1">
      <c r="A5345" s="28">
        <v>22880</v>
      </c>
      <c r="B5345" s="91">
        <v>45342.308611111112</v>
      </c>
      <c r="C5345" s="28" t="s">
        <v>0</v>
      </c>
      <c r="D5345" s="28" t="s">
        <v>1983</v>
      </c>
      <c r="E5345" s="28" t="s">
        <v>1907</v>
      </c>
      <c r="F5345" s="28">
        <v>20</v>
      </c>
      <c r="G5345" s="28"/>
      <c r="H5345" s="28">
        <v>0</v>
      </c>
      <c r="J5345" s="92"/>
    </row>
    <row r="5346" spans="1:10" ht="15.75" customHeight="1">
      <c r="A5346" s="28">
        <v>22880</v>
      </c>
      <c r="B5346" s="91">
        <v>45342.308611111112</v>
      </c>
      <c r="C5346" s="28" t="s">
        <v>0</v>
      </c>
      <c r="D5346" s="28" t="s">
        <v>1983</v>
      </c>
      <c r="E5346" s="28" t="s">
        <v>1907</v>
      </c>
      <c r="F5346" s="28">
        <v>26</v>
      </c>
      <c r="G5346" s="28" t="s">
        <v>1455</v>
      </c>
      <c r="H5346" s="28">
        <v>0</v>
      </c>
      <c r="J5346" s="92"/>
    </row>
    <row r="5347" spans="1:10" ht="15.75" customHeight="1">
      <c r="A5347" s="28">
        <v>22880</v>
      </c>
      <c r="B5347" s="91">
        <v>45342.308611111112</v>
      </c>
      <c r="C5347" s="28" t="s">
        <v>0</v>
      </c>
      <c r="D5347" s="28" t="s">
        <v>1983</v>
      </c>
      <c r="E5347" s="28" t="s">
        <v>1907</v>
      </c>
      <c r="F5347" s="28">
        <v>26</v>
      </c>
      <c r="G5347" s="28" t="s">
        <v>1455</v>
      </c>
      <c r="H5347" s="28">
        <v>0</v>
      </c>
      <c r="J5347" s="92"/>
    </row>
    <row r="5348" spans="1:10" ht="15.75" customHeight="1">
      <c r="A5348" s="28">
        <v>22881</v>
      </c>
      <c r="B5348" s="91">
        <v>45342.675381944442</v>
      </c>
      <c r="C5348" s="28" t="s">
        <v>0</v>
      </c>
      <c r="D5348" s="28" t="s">
        <v>1984</v>
      </c>
      <c r="E5348" s="28" t="s">
        <v>1907</v>
      </c>
      <c r="F5348" s="28">
        <v>25</v>
      </c>
      <c r="G5348" s="28" t="s">
        <v>1446</v>
      </c>
      <c r="H5348" s="28">
        <v>0</v>
      </c>
      <c r="J5348" s="92"/>
    </row>
    <row r="5349" spans="1:10" ht="15.75" customHeight="1">
      <c r="A5349" s="28">
        <v>22882</v>
      </c>
      <c r="B5349" s="91">
        <v>45342.788159722222</v>
      </c>
      <c r="C5349" s="28" t="s">
        <v>51</v>
      </c>
      <c r="D5349" s="28" t="s">
        <v>942</v>
      </c>
      <c r="E5349" s="28" t="s">
        <v>1907</v>
      </c>
      <c r="F5349" s="28">
        <v>28</v>
      </c>
      <c r="G5349" s="28" t="s">
        <v>1448</v>
      </c>
      <c r="H5349" s="28">
        <v>0</v>
      </c>
      <c r="J5349" s="92"/>
    </row>
    <row r="5350" spans="1:10" ht="15.75" customHeight="1">
      <c r="A5350" s="28">
        <v>22882</v>
      </c>
      <c r="B5350" s="91">
        <v>45342.788159722222</v>
      </c>
      <c r="C5350" s="28" t="s">
        <v>51</v>
      </c>
      <c r="D5350" s="28" t="s">
        <v>942</v>
      </c>
      <c r="E5350" s="28" t="s">
        <v>1907</v>
      </c>
      <c r="F5350" s="28">
        <v>20</v>
      </c>
      <c r="G5350" s="28" t="s">
        <v>1444</v>
      </c>
      <c r="H5350" s="28">
        <v>0</v>
      </c>
      <c r="J5350" s="92"/>
    </row>
    <row r="5351" spans="1:10" ht="15.75" customHeight="1">
      <c r="A5351" s="28">
        <v>22883</v>
      </c>
      <c r="B5351" s="91">
        <v>45342.821273148147</v>
      </c>
      <c r="C5351" s="28" t="s">
        <v>0</v>
      </c>
      <c r="D5351" s="28" t="s">
        <v>912</v>
      </c>
      <c r="E5351" s="28" t="s">
        <v>1907</v>
      </c>
      <c r="F5351" s="28">
        <v>25</v>
      </c>
      <c r="G5351" s="28" t="s">
        <v>1446</v>
      </c>
      <c r="H5351" s="28">
        <v>0</v>
      </c>
      <c r="J5351" s="92"/>
    </row>
    <row r="5352" spans="1:10" ht="15.75" customHeight="1">
      <c r="A5352" s="28">
        <v>22884</v>
      </c>
      <c r="B5352" s="91">
        <v>45342.88857638889</v>
      </c>
      <c r="C5352" s="28" t="s">
        <v>0</v>
      </c>
      <c r="D5352" s="28" t="s">
        <v>917</v>
      </c>
      <c r="E5352" s="28" t="s">
        <v>1907</v>
      </c>
      <c r="F5352" s="28">
        <v>25</v>
      </c>
      <c r="G5352" s="28" t="s">
        <v>141</v>
      </c>
      <c r="H5352" s="28">
        <v>0</v>
      </c>
      <c r="J5352" s="92"/>
    </row>
    <row r="5353" spans="1:10" ht="15.75" customHeight="1">
      <c r="A5353" s="28">
        <v>22894</v>
      </c>
      <c r="B5353" s="91">
        <v>45343.098032407404</v>
      </c>
      <c r="C5353" s="28" t="s">
        <v>0</v>
      </c>
      <c r="D5353" s="28" t="s">
        <v>1985</v>
      </c>
      <c r="E5353" s="28"/>
      <c r="F5353" s="28">
        <v>36</v>
      </c>
      <c r="G5353" s="28" t="s">
        <v>457</v>
      </c>
      <c r="H5353" s="28">
        <v>0</v>
      </c>
      <c r="J5353" s="92"/>
    </row>
    <row r="5354" spans="1:10" ht="15.75" customHeight="1">
      <c r="A5354" s="28">
        <v>22899</v>
      </c>
      <c r="B5354" s="91">
        <v>45343.122291666667</v>
      </c>
      <c r="C5354" s="28" t="s">
        <v>10</v>
      </c>
      <c r="D5354" s="28" t="s">
        <v>1986</v>
      </c>
      <c r="E5354" s="28"/>
      <c r="F5354" s="28">
        <v>18</v>
      </c>
      <c r="G5354" s="28" t="s">
        <v>457</v>
      </c>
      <c r="H5354" s="28">
        <v>0</v>
      </c>
      <c r="J5354" s="92"/>
    </row>
    <row r="5355" spans="1:10" ht="15.75" customHeight="1">
      <c r="A5355" s="28">
        <v>22903</v>
      </c>
      <c r="B5355" s="91">
        <v>45343.134131944447</v>
      </c>
      <c r="C5355" s="28" t="s">
        <v>16</v>
      </c>
      <c r="D5355" s="28" t="s">
        <v>1986</v>
      </c>
      <c r="E5355" s="28"/>
      <c r="F5355" s="28">
        <v>18</v>
      </c>
      <c r="G5355" s="28" t="s">
        <v>457</v>
      </c>
      <c r="H5355" s="28">
        <v>0</v>
      </c>
      <c r="J5355" s="92"/>
    </row>
    <row r="5356" spans="1:10" ht="15.75" customHeight="1">
      <c r="A5356" s="28">
        <v>22907</v>
      </c>
      <c r="B5356" s="91">
        <v>45343.2028125</v>
      </c>
      <c r="C5356" s="28" t="s">
        <v>0</v>
      </c>
      <c r="D5356" s="28" t="s">
        <v>1986</v>
      </c>
      <c r="E5356" s="28"/>
      <c r="F5356" s="28">
        <v>18</v>
      </c>
      <c r="G5356" s="28" t="s">
        <v>457</v>
      </c>
      <c r="H5356" s="28">
        <v>0</v>
      </c>
      <c r="J5356" s="92"/>
    </row>
    <row r="5357" spans="1:10" ht="15.75" customHeight="1">
      <c r="A5357" s="28">
        <v>22914</v>
      </c>
      <c r="B5357" s="91">
        <v>45343.342673611114</v>
      </c>
      <c r="C5357" s="28" t="s">
        <v>0</v>
      </c>
      <c r="D5357" s="28" t="s">
        <v>1987</v>
      </c>
      <c r="E5357" s="28" t="s">
        <v>75</v>
      </c>
      <c r="F5357" s="28">
        <v>15</v>
      </c>
      <c r="G5357" s="28" t="s">
        <v>1453</v>
      </c>
      <c r="H5357" s="28">
        <v>0</v>
      </c>
      <c r="J5357" s="92"/>
    </row>
    <row r="5358" spans="1:10" ht="15.75" customHeight="1">
      <c r="A5358" s="28">
        <v>22916</v>
      </c>
      <c r="B5358" s="91">
        <v>45343.357546296298</v>
      </c>
      <c r="C5358" s="28" t="s">
        <v>0</v>
      </c>
      <c r="D5358" s="28" t="s">
        <v>1988</v>
      </c>
      <c r="E5358" s="28" t="s">
        <v>75</v>
      </c>
      <c r="F5358" s="28">
        <v>15</v>
      </c>
      <c r="G5358" s="28" t="s">
        <v>1453</v>
      </c>
      <c r="H5358" s="28">
        <v>0</v>
      </c>
      <c r="J5358" s="92"/>
    </row>
    <row r="5359" spans="1:10" ht="15.75" customHeight="1">
      <c r="A5359" s="28">
        <v>22917</v>
      </c>
      <c r="B5359" s="91">
        <v>45343.599953703706</v>
      </c>
      <c r="C5359" s="28" t="s">
        <v>0</v>
      </c>
      <c r="D5359" s="28" t="s">
        <v>1989</v>
      </c>
      <c r="E5359" s="28" t="s">
        <v>1907</v>
      </c>
      <c r="F5359" s="28">
        <v>25</v>
      </c>
      <c r="G5359" s="28" t="s">
        <v>141</v>
      </c>
      <c r="H5359" s="28">
        <v>0</v>
      </c>
      <c r="J5359" s="92"/>
    </row>
    <row r="5360" spans="1:10" ht="15.75" customHeight="1">
      <c r="A5360" s="28">
        <v>22918</v>
      </c>
      <c r="B5360" s="91">
        <v>45343.602812500001</v>
      </c>
      <c r="C5360" s="28" t="s">
        <v>0</v>
      </c>
      <c r="D5360" s="28" t="s">
        <v>818</v>
      </c>
      <c r="E5360" s="28" t="s">
        <v>1907</v>
      </c>
      <c r="F5360" s="28">
        <v>25</v>
      </c>
      <c r="G5360" s="28" t="s">
        <v>141</v>
      </c>
      <c r="H5360" s="28">
        <v>0</v>
      </c>
      <c r="J5360" s="92"/>
    </row>
    <row r="5361" spans="1:10" ht="15.75" customHeight="1">
      <c r="A5361" s="28">
        <v>22919</v>
      </c>
      <c r="B5361" s="91">
        <v>45343.772372685184</v>
      </c>
      <c r="C5361" s="28" t="s">
        <v>0</v>
      </c>
      <c r="D5361" s="28" t="s">
        <v>1990</v>
      </c>
      <c r="E5361" s="28" t="s">
        <v>1907</v>
      </c>
      <c r="F5361" s="28">
        <v>26</v>
      </c>
      <c r="G5361" s="28" t="s">
        <v>1455</v>
      </c>
      <c r="H5361" s="28">
        <v>0</v>
      </c>
      <c r="J5361" s="92"/>
    </row>
    <row r="5362" spans="1:10" ht="15.75" customHeight="1">
      <c r="A5362" s="28">
        <v>22933</v>
      </c>
      <c r="B5362" s="91">
        <v>45344.027430555558</v>
      </c>
      <c r="C5362" s="28" t="s">
        <v>0</v>
      </c>
      <c r="D5362" s="28" t="s">
        <v>1991</v>
      </c>
      <c r="E5362" s="28" t="s">
        <v>92</v>
      </c>
      <c r="F5362" s="28">
        <v>22</v>
      </c>
      <c r="G5362" s="28" t="s">
        <v>1535</v>
      </c>
      <c r="H5362" s="28">
        <v>0</v>
      </c>
      <c r="J5362" s="92"/>
    </row>
    <row r="5363" spans="1:10" ht="15.75" customHeight="1">
      <c r="A5363" s="28">
        <v>22997</v>
      </c>
      <c r="B5363" s="91">
        <v>45346.780706018515</v>
      </c>
      <c r="C5363" s="28" t="s">
        <v>0</v>
      </c>
      <c r="D5363" s="28" t="s">
        <v>1992</v>
      </c>
      <c r="E5363" s="28" t="s">
        <v>1907</v>
      </c>
      <c r="F5363" s="28">
        <v>25</v>
      </c>
      <c r="G5363" s="28" t="s">
        <v>141</v>
      </c>
      <c r="H5363" s="28">
        <v>0</v>
      </c>
      <c r="J5363" s="92"/>
    </row>
    <row r="5364" spans="1:10" ht="15.75" customHeight="1">
      <c r="A5364" s="28">
        <v>22998</v>
      </c>
      <c r="B5364" s="91">
        <v>45346.839733796296</v>
      </c>
      <c r="C5364" s="28" t="s">
        <v>0</v>
      </c>
      <c r="D5364" s="28" t="s">
        <v>1993</v>
      </c>
      <c r="E5364" s="28" t="s">
        <v>1907</v>
      </c>
      <c r="F5364" s="28">
        <v>25</v>
      </c>
      <c r="G5364" s="28" t="s">
        <v>141</v>
      </c>
      <c r="H5364" s="28">
        <v>0</v>
      </c>
      <c r="J5364" s="92"/>
    </row>
    <row r="5365" spans="1:10" ht="15.75" customHeight="1">
      <c r="A5365" s="28">
        <v>22999</v>
      </c>
      <c r="B5365" s="91">
        <v>45346.849907407406</v>
      </c>
      <c r="C5365" s="28" t="s">
        <v>0</v>
      </c>
      <c r="D5365" s="28" t="s">
        <v>776</v>
      </c>
      <c r="E5365" s="28" t="s">
        <v>1907</v>
      </c>
      <c r="F5365" s="28">
        <v>25</v>
      </c>
      <c r="G5365" s="28" t="s">
        <v>141</v>
      </c>
      <c r="H5365" s="28">
        <v>0</v>
      </c>
      <c r="J5365" s="92"/>
    </row>
    <row r="5366" spans="1:10" ht="15.75" customHeight="1">
      <c r="A5366" s="28">
        <v>23066</v>
      </c>
      <c r="B5366" s="91">
        <v>45348.33730324074</v>
      </c>
      <c r="C5366" s="28" t="s">
        <v>0</v>
      </c>
      <c r="D5366" s="28" t="s">
        <v>1994</v>
      </c>
      <c r="E5366" s="28" t="s">
        <v>1907</v>
      </c>
      <c r="F5366" s="28">
        <v>25</v>
      </c>
      <c r="G5366" s="28" t="s">
        <v>1446</v>
      </c>
      <c r="H5366" s="28">
        <v>0</v>
      </c>
      <c r="J5366" s="92"/>
    </row>
    <row r="5367" spans="1:10" ht="15.75" customHeight="1">
      <c r="A5367" s="28">
        <v>23088</v>
      </c>
      <c r="B5367" s="91">
        <v>45348.789930555555</v>
      </c>
      <c r="C5367" s="28" t="s">
        <v>0</v>
      </c>
      <c r="D5367" s="28" t="s">
        <v>1995</v>
      </c>
      <c r="E5367" s="28" t="s">
        <v>1907</v>
      </c>
      <c r="F5367" s="28">
        <v>25</v>
      </c>
      <c r="G5367" s="28" t="s">
        <v>141</v>
      </c>
      <c r="H5367" s="28">
        <v>0</v>
      </c>
      <c r="J5367" s="92"/>
    </row>
    <row r="5368" spans="1:10" ht="15.75" customHeight="1">
      <c r="A5368" s="28">
        <v>23089</v>
      </c>
      <c r="B5368" s="91">
        <v>45349.515648148146</v>
      </c>
      <c r="C5368" s="28" t="s">
        <v>0</v>
      </c>
      <c r="D5368" s="28" t="s">
        <v>839</v>
      </c>
      <c r="E5368" s="28" t="s">
        <v>1907</v>
      </c>
      <c r="F5368" s="28">
        <v>26</v>
      </c>
      <c r="G5368" s="28" t="s">
        <v>1455</v>
      </c>
      <c r="H5368" s="28">
        <v>0</v>
      </c>
      <c r="J5368" s="92"/>
    </row>
    <row r="5369" spans="1:10" ht="15.75" customHeight="1">
      <c r="A5369" s="28">
        <v>23089</v>
      </c>
      <c r="B5369" s="91">
        <v>45349.515648148146</v>
      </c>
      <c r="C5369" s="28" t="s">
        <v>0</v>
      </c>
      <c r="D5369" s="28" t="s">
        <v>839</v>
      </c>
      <c r="E5369" s="28" t="s">
        <v>1907</v>
      </c>
      <c r="F5369" s="28">
        <v>15</v>
      </c>
      <c r="G5369" s="28" t="s">
        <v>1453</v>
      </c>
      <c r="H5369" s="28">
        <v>0</v>
      </c>
      <c r="J5369" s="92"/>
    </row>
    <row r="5370" spans="1:10" ht="15.75" customHeight="1">
      <c r="A5370" s="28">
        <v>23090</v>
      </c>
      <c r="B5370" s="91">
        <v>45349.780046296299</v>
      </c>
      <c r="C5370" s="28" t="s">
        <v>0</v>
      </c>
      <c r="D5370" s="28" t="s">
        <v>834</v>
      </c>
      <c r="E5370" s="28" t="s">
        <v>1907</v>
      </c>
      <c r="F5370" s="28">
        <v>28</v>
      </c>
      <c r="G5370" s="28" t="s">
        <v>1448</v>
      </c>
      <c r="H5370" s="28">
        <v>0</v>
      </c>
      <c r="J5370" s="92"/>
    </row>
    <row r="5371" spans="1:10" ht="15.75" customHeight="1">
      <c r="A5371" s="28">
        <v>23092</v>
      </c>
      <c r="B5371" s="91">
        <v>45353.87023148148</v>
      </c>
      <c r="C5371" s="28" t="s">
        <v>0</v>
      </c>
      <c r="D5371" s="28" t="s">
        <v>1996</v>
      </c>
      <c r="E5371" s="28" t="s">
        <v>92</v>
      </c>
      <c r="F5371" s="28">
        <v>25</v>
      </c>
      <c r="G5371" s="28" t="s">
        <v>141</v>
      </c>
      <c r="H5371" s="28">
        <v>0</v>
      </c>
      <c r="J5371" s="92"/>
    </row>
    <row r="5372" spans="1:10" ht="15.75" customHeight="1">
      <c r="A5372" s="28">
        <v>23094</v>
      </c>
      <c r="B5372" s="91">
        <v>45357.486087962963</v>
      </c>
      <c r="C5372" s="28" t="s">
        <v>0</v>
      </c>
      <c r="D5372" s="28" t="s">
        <v>1997</v>
      </c>
      <c r="E5372" s="28" t="s">
        <v>1907</v>
      </c>
      <c r="F5372" s="28">
        <v>15</v>
      </c>
      <c r="G5372" s="28" t="s">
        <v>1453</v>
      </c>
      <c r="H5372" s="28">
        <v>0</v>
      </c>
      <c r="J5372" s="92"/>
    </row>
    <row r="5373" spans="1:10" ht="15.75" customHeight="1">
      <c r="A5373" s="28">
        <v>23095</v>
      </c>
      <c r="B5373" s="91">
        <v>45357.487696759257</v>
      </c>
      <c r="C5373" s="28" t="s">
        <v>0</v>
      </c>
      <c r="D5373" s="28" t="s">
        <v>1998</v>
      </c>
      <c r="E5373" s="28" t="s">
        <v>1907</v>
      </c>
      <c r="F5373" s="28">
        <v>15</v>
      </c>
      <c r="G5373" s="28" t="s">
        <v>1453</v>
      </c>
      <c r="H5373" s="28">
        <v>0</v>
      </c>
      <c r="J5373" s="92"/>
    </row>
    <row r="5374" spans="1:10" ht="15.75" customHeight="1">
      <c r="A5374" s="28">
        <v>23096</v>
      </c>
      <c r="B5374" s="91">
        <v>45358.33871527778</v>
      </c>
      <c r="C5374" s="28" t="s">
        <v>0</v>
      </c>
      <c r="D5374" s="28" t="s">
        <v>1999</v>
      </c>
      <c r="E5374" s="28" t="s">
        <v>1907</v>
      </c>
      <c r="F5374" s="28">
        <v>26</v>
      </c>
      <c r="G5374" s="28" t="s">
        <v>1455</v>
      </c>
      <c r="H5374" s="28">
        <v>0</v>
      </c>
      <c r="J5374" s="92"/>
    </row>
    <row r="5375" spans="1:10" ht="15.75" customHeight="1">
      <c r="A5375" s="28">
        <v>23097</v>
      </c>
      <c r="B5375" s="91">
        <v>45358.471678240741</v>
      </c>
      <c r="C5375" s="28" t="s">
        <v>0</v>
      </c>
      <c r="D5375" s="28" t="s">
        <v>1050</v>
      </c>
      <c r="E5375" s="28" t="s">
        <v>1907</v>
      </c>
      <c r="F5375" s="28">
        <v>0</v>
      </c>
      <c r="G5375" s="28" t="s">
        <v>141</v>
      </c>
      <c r="H5375" s="28">
        <v>0</v>
      </c>
      <c r="J5375" s="92"/>
    </row>
    <row r="5376" spans="1:10" ht="15.75" customHeight="1">
      <c r="A5376" s="28">
        <v>23097</v>
      </c>
      <c r="B5376" s="91">
        <v>45358.471678240741</v>
      </c>
      <c r="C5376" s="28" t="s">
        <v>0</v>
      </c>
      <c r="D5376" s="28" t="s">
        <v>1050</v>
      </c>
      <c r="E5376" s="28" t="s">
        <v>1907</v>
      </c>
      <c r="F5376" s="28">
        <v>24</v>
      </c>
      <c r="G5376" s="28"/>
      <c r="H5376" s="28">
        <v>0</v>
      </c>
      <c r="J5376" s="92"/>
    </row>
    <row r="5377" spans="1:10" ht="15.75" customHeight="1">
      <c r="A5377" s="28">
        <v>23097</v>
      </c>
      <c r="B5377" s="91">
        <v>45358.471678240741</v>
      </c>
      <c r="C5377" s="28" t="s">
        <v>0</v>
      </c>
      <c r="D5377" s="28" t="s">
        <v>1050</v>
      </c>
      <c r="E5377" s="28" t="s">
        <v>1907</v>
      </c>
      <c r="F5377" s="28">
        <v>15</v>
      </c>
      <c r="G5377" s="28" t="s">
        <v>1453</v>
      </c>
      <c r="H5377" s="28">
        <v>0</v>
      </c>
      <c r="J5377" s="92"/>
    </row>
    <row r="5378" spans="1:10" ht="15.75" customHeight="1">
      <c r="A5378" s="28">
        <v>23098</v>
      </c>
      <c r="B5378" s="91">
        <v>45359.700138888889</v>
      </c>
      <c r="C5378" s="28" t="s">
        <v>0</v>
      </c>
      <c r="D5378" s="28" t="s">
        <v>338</v>
      </c>
      <c r="E5378" s="28" t="s">
        <v>1907</v>
      </c>
      <c r="F5378" s="28">
        <v>55</v>
      </c>
      <c r="G5378" s="28">
        <v>101684</v>
      </c>
      <c r="H5378" s="28">
        <v>0</v>
      </c>
      <c r="J5378" s="92"/>
    </row>
    <row r="5379" spans="1:10" ht="15.75" customHeight="1">
      <c r="A5379" s="28">
        <v>23098</v>
      </c>
      <c r="B5379" s="91">
        <v>45359.700138888889</v>
      </c>
      <c r="C5379" s="28" t="s">
        <v>0</v>
      </c>
      <c r="D5379" s="28" t="s">
        <v>338</v>
      </c>
      <c r="E5379" s="28" t="s">
        <v>1907</v>
      </c>
      <c r="F5379" s="28">
        <v>0</v>
      </c>
      <c r="G5379" s="28" t="s">
        <v>118</v>
      </c>
      <c r="H5379" s="28">
        <v>0</v>
      </c>
      <c r="J5379" s="92"/>
    </row>
    <row r="5380" spans="1:10" ht="15.75" customHeight="1">
      <c r="A5380" s="28">
        <v>23098</v>
      </c>
      <c r="B5380" s="91">
        <v>45359.700138888889</v>
      </c>
      <c r="C5380" s="28" t="s">
        <v>0</v>
      </c>
      <c r="D5380" s="28" t="s">
        <v>338</v>
      </c>
      <c r="E5380" s="28" t="s">
        <v>1907</v>
      </c>
      <c r="F5380" s="28">
        <v>0</v>
      </c>
      <c r="G5380" s="28" t="s">
        <v>119</v>
      </c>
      <c r="H5380" s="28">
        <v>0</v>
      </c>
      <c r="J5380" s="92"/>
    </row>
    <row r="5381" spans="1:10" ht="15.75" customHeight="1">
      <c r="A5381" s="28">
        <v>23098</v>
      </c>
      <c r="B5381" s="91">
        <v>45359.700138888889</v>
      </c>
      <c r="C5381" s="28" t="s">
        <v>0</v>
      </c>
      <c r="D5381" s="28" t="s">
        <v>338</v>
      </c>
      <c r="E5381" s="28" t="s">
        <v>1907</v>
      </c>
      <c r="F5381" s="28">
        <v>0</v>
      </c>
      <c r="G5381" s="28" t="s">
        <v>120</v>
      </c>
      <c r="H5381" s="28">
        <v>0</v>
      </c>
      <c r="J5381" s="92"/>
    </row>
    <row r="5382" spans="1:10" ht="15.75" customHeight="1">
      <c r="A5382" s="28">
        <v>23098</v>
      </c>
      <c r="B5382" s="91">
        <v>45359.700138888889</v>
      </c>
      <c r="C5382" s="28" t="s">
        <v>0</v>
      </c>
      <c r="D5382" s="28" t="s">
        <v>338</v>
      </c>
      <c r="E5382" s="28" t="s">
        <v>1907</v>
      </c>
      <c r="F5382" s="28">
        <v>0</v>
      </c>
      <c r="G5382" s="28" t="s">
        <v>121</v>
      </c>
      <c r="H5382" s="28">
        <v>0</v>
      </c>
      <c r="J5382" s="92"/>
    </row>
    <row r="5383" spans="1:10" ht="15.75" customHeight="1">
      <c r="A5383" s="28">
        <v>23103</v>
      </c>
      <c r="B5383" s="91">
        <v>45360.985868055555</v>
      </c>
      <c r="C5383" s="28" t="s">
        <v>0</v>
      </c>
      <c r="D5383" s="28" t="s">
        <v>754</v>
      </c>
      <c r="E5383" s="28" t="s">
        <v>1907</v>
      </c>
      <c r="F5383" s="28">
        <v>25</v>
      </c>
      <c r="G5383" s="28" t="s">
        <v>1446</v>
      </c>
      <c r="H5383" s="28">
        <v>0</v>
      </c>
      <c r="J5383" s="92"/>
    </row>
    <row r="5384" spans="1:10" ht="15.75" customHeight="1">
      <c r="A5384" s="28">
        <v>23103</v>
      </c>
      <c r="B5384" s="91">
        <v>45360.985868055555</v>
      </c>
      <c r="C5384" s="28" t="s">
        <v>0</v>
      </c>
      <c r="D5384" s="28" t="s">
        <v>754</v>
      </c>
      <c r="E5384" s="28" t="s">
        <v>1907</v>
      </c>
      <c r="F5384" s="28">
        <v>28</v>
      </c>
      <c r="G5384" s="28" t="s">
        <v>1448</v>
      </c>
      <c r="H5384" s="28">
        <v>0</v>
      </c>
      <c r="J5384" s="92"/>
    </row>
    <row r="5385" spans="1:10" ht="15.75" customHeight="1">
      <c r="A5385" s="28">
        <v>23105</v>
      </c>
      <c r="B5385" s="91">
        <v>45365.409178240741</v>
      </c>
      <c r="C5385" s="28" t="s">
        <v>0</v>
      </c>
      <c r="D5385" s="28" t="s">
        <v>2000</v>
      </c>
      <c r="E5385" s="28" t="s">
        <v>50</v>
      </c>
      <c r="F5385" s="28">
        <v>25</v>
      </c>
      <c r="G5385" s="28" t="s">
        <v>141</v>
      </c>
      <c r="H5385" s="28">
        <v>0</v>
      </c>
      <c r="J5385" s="92"/>
    </row>
    <row r="5386" spans="1:10" ht="15.75" customHeight="1">
      <c r="A5386" s="28">
        <v>23106</v>
      </c>
      <c r="B5386" s="91">
        <v>45367.665324074071</v>
      </c>
      <c r="C5386" s="28" t="s">
        <v>0</v>
      </c>
      <c r="D5386" s="28" t="s">
        <v>2001</v>
      </c>
      <c r="E5386" s="28" t="s">
        <v>50</v>
      </c>
      <c r="F5386" s="28">
        <v>26</v>
      </c>
      <c r="G5386" s="28" t="s">
        <v>1455</v>
      </c>
      <c r="H5386" s="28">
        <v>0</v>
      </c>
      <c r="J5386" s="92"/>
    </row>
    <row r="5387" spans="1:10" ht="15.75" customHeight="1">
      <c r="A5387" s="28">
        <v>23106</v>
      </c>
      <c r="B5387" s="91">
        <v>45367.665324074071</v>
      </c>
      <c r="C5387" s="28" t="s">
        <v>0</v>
      </c>
      <c r="D5387" s="28" t="s">
        <v>2001</v>
      </c>
      <c r="E5387" s="28" t="s">
        <v>50</v>
      </c>
      <c r="F5387" s="28">
        <v>30</v>
      </c>
      <c r="G5387" s="28" t="s">
        <v>1453</v>
      </c>
      <c r="H5387" s="28">
        <v>0</v>
      </c>
      <c r="J5387" s="92"/>
    </row>
    <row r="5388" spans="1:10" ht="15.75" customHeight="1">
      <c r="A5388" s="28">
        <v>23107</v>
      </c>
      <c r="B5388" s="91">
        <v>45369.567418981482</v>
      </c>
      <c r="C5388" s="28" t="s">
        <v>0</v>
      </c>
      <c r="D5388" s="28" t="s">
        <v>1069</v>
      </c>
      <c r="E5388" s="28" t="s">
        <v>1907</v>
      </c>
      <c r="F5388" s="28">
        <v>25</v>
      </c>
      <c r="G5388" s="28" t="s">
        <v>141</v>
      </c>
      <c r="H5388" s="28">
        <v>0</v>
      </c>
      <c r="J5388" s="92"/>
    </row>
    <row r="5389" spans="1:10" ht="15.75" customHeight="1">
      <c r="A5389" s="28">
        <v>23110</v>
      </c>
      <c r="B5389" s="91">
        <v>45371.260810185187</v>
      </c>
      <c r="C5389" s="28" t="s">
        <v>0</v>
      </c>
      <c r="D5389" s="28" t="s">
        <v>1080</v>
      </c>
      <c r="E5389" s="28" t="s">
        <v>77</v>
      </c>
      <c r="F5389" s="28">
        <v>55</v>
      </c>
      <c r="G5389" s="28" t="s">
        <v>1457</v>
      </c>
      <c r="H5389" s="28">
        <v>0</v>
      </c>
      <c r="J5389" s="92"/>
    </row>
    <row r="5390" spans="1:10" ht="15.75" customHeight="1">
      <c r="A5390" s="28">
        <v>23110</v>
      </c>
      <c r="B5390" s="91">
        <v>45371.260810185187</v>
      </c>
      <c r="C5390" s="28" t="s">
        <v>0</v>
      </c>
      <c r="D5390" s="28" t="s">
        <v>1080</v>
      </c>
      <c r="E5390" s="28" t="s">
        <v>77</v>
      </c>
      <c r="F5390" s="28">
        <v>22</v>
      </c>
      <c r="G5390" s="28" t="s">
        <v>1459</v>
      </c>
      <c r="H5390" s="28">
        <v>0</v>
      </c>
      <c r="J5390" s="92"/>
    </row>
    <row r="5391" spans="1:10" ht="15.75" customHeight="1">
      <c r="A5391" s="28">
        <v>23111</v>
      </c>
      <c r="B5391" s="91">
        <v>45371.554502314815</v>
      </c>
      <c r="C5391" s="28" t="s">
        <v>0</v>
      </c>
      <c r="D5391" s="28" t="s">
        <v>2002</v>
      </c>
      <c r="E5391" s="28" t="s">
        <v>74</v>
      </c>
      <c r="F5391" s="28">
        <v>15</v>
      </c>
      <c r="G5391" s="28" t="s">
        <v>1453</v>
      </c>
      <c r="H5391" s="28">
        <v>0</v>
      </c>
      <c r="J5391" s="92"/>
    </row>
    <row r="5392" spans="1:10" ht="15.75" customHeight="1">
      <c r="A5392" s="28">
        <v>23112</v>
      </c>
      <c r="B5392" s="91">
        <v>45371.929594907408</v>
      </c>
      <c r="C5392" s="28" t="s">
        <v>18</v>
      </c>
      <c r="D5392" s="28" t="s">
        <v>924</v>
      </c>
      <c r="E5392" s="28" t="s">
        <v>1907</v>
      </c>
      <c r="F5392" s="28">
        <v>25</v>
      </c>
      <c r="G5392" s="28" t="s">
        <v>1446</v>
      </c>
      <c r="H5392" s="28">
        <v>0</v>
      </c>
      <c r="J5392" s="92"/>
    </row>
    <row r="5393" spans="1:10" ht="15.75" customHeight="1">
      <c r="A5393" s="28">
        <v>23113</v>
      </c>
      <c r="B5393" s="91">
        <v>45372.270046296297</v>
      </c>
      <c r="C5393" s="28" t="s">
        <v>0</v>
      </c>
      <c r="D5393" s="28" t="s">
        <v>804</v>
      </c>
      <c r="E5393" s="28" t="s">
        <v>1907</v>
      </c>
      <c r="F5393" s="28">
        <v>15</v>
      </c>
      <c r="G5393" s="28" t="s">
        <v>1453</v>
      </c>
      <c r="H5393" s="28">
        <v>0</v>
      </c>
      <c r="J5393" s="92"/>
    </row>
    <row r="5394" spans="1:10" ht="15.75" customHeight="1">
      <c r="A5394" s="28">
        <v>23114</v>
      </c>
      <c r="B5394" s="91">
        <v>45374.400023148148</v>
      </c>
      <c r="C5394" s="28" t="s">
        <v>0</v>
      </c>
      <c r="D5394" s="28" t="s">
        <v>2003</v>
      </c>
      <c r="E5394" s="28" t="s">
        <v>1907</v>
      </c>
      <c r="F5394" s="28">
        <v>18</v>
      </c>
      <c r="G5394" s="28" t="s">
        <v>1470</v>
      </c>
      <c r="H5394" s="28">
        <v>0</v>
      </c>
      <c r="J5394" s="92"/>
    </row>
    <row r="5395" spans="1:10" ht="15.75" customHeight="1">
      <c r="A5395" s="28">
        <v>23114</v>
      </c>
      <c r="B5395" s="91">
        <v>45374.400023148148</v>
      </c>
      <c r="C5395" s="28" t="s">
        <v>0</v>
      </c>
      <c r="D5395" s="28" t="s">
        <v>2003</v>
      </c>
      <c r="E5395" s="28" t="s">
        <v>1907</v>
      </c>
      <c r="F5395" s="28">
        <v>22</v>
      </c>
      <c r="G5395" s="28" t="s">
        <v>1459</v>
      </c>
      <c r="H5395" s="28">
        <v>0</v>
      </c>
      <c r="J5395" s="92"/>
    </row>
    <row r="5396" spans="1:10" ht="15.75" customHeight="1">
      <c r="A5396" s="28">
        <v>23129</v>
      </c>
      <c r="B5396" s="91">
        <v>45381.830937500003</v>
      </c>
      <c r="C5396" s="28" t="s">
        <v>18</v>
      </c>
      <c r="D5396" s="28" t="s">
        <v>2004</v>
      </c>
      <c r="E5396" s="28" t="s">
        <v>1907</v>
      </c>
      <c r="F5396" s="28">
        <v>25</v>
      </c>
      <c r="G5396" s="28" t="s">
        <v>141</v>
      </c>
      <c r="H5396" s="28">
        <v>0</v>
      </c>
      <c r="J5396" s="92"/>
    </row>
    <row r="5397" spans="1:10" ht="15.75" customHeight="1">
      <c r="A5397" s="28">
        <v>23133</v>
      </c>
      <c r="B5397" s="91">
        <v>45383.463020833333</v>
      </c>
      <c r="C5397" s="28" t="s">
        <v>0</v>
      </c>
      <c r="D5397" s="28" t="s">
        <v>2005</v>
      </c>
      <c r="E5397" s="28" t="s">
        <v>76</v>
      </c>
      <c r="F5397" s="28">
        <v>0</v>
      </c>
      <c r="G5397" s="28" t="s">
        <v>1453</v>
      </c>
      <c r="H5397" s="28">
        <v>0</v>
      </c>
      <c r="J5397" s="92"/>
    </row>
    <row r="5398" spans="1:10" ht="15.75" customHeight="1">
      <c r="A5398" s="28">
        <v>23175</v>
      </c>
      <c r="B5398" s="91">
        <v>45386.663993055554</v>
      </c>
      <c r="C5398" s="28" t="s">
        <v>0</v>
      </c>
      <c r="D5398" s="28" t="s">
        <v>1887</v>
      </c>
      <c r="E5398" s="28" t="s">
        <v>75</v>
      </c>
      <c r="F5398" s="28">
        <v>0</v>
      </c>
      <c r="G5398" s="28" t="s">
        <v>1446</v>
      </c>
      <c r="H5398" s="28">
        <v>0</v>
      </c>
      <c r="J5398" s="92"/>
    </row>
    <row r="5399" spans="1:10" ht="15.75" customHeight="1">
      <c r="A5399" s="28">
        <v>23176</v>
      </c>
      <c r="B5399" s="91">
        <v>45386.676319444443</v>
      </c>
      <c r="C5399" s="28" t="s">
        <v>0</v>
      </c>
      <c r="D5399" s="28" t="s">
        <v>2006</v>
      </c>
      <c r="E5399" s="28" t="s">
        <v>96</v>
      </c>
      <c r="F5399" s="28">
        <v>0</v>
      </c>
      <c r="G5399" s="28" t="s">
        <v>141</v>
      </c>
      <c r="H5399" s="28">
        <v>0</v>
      </c>
      <c r="J5399" s="92"/>
    </row>
    <row r="5400" spans="1:10" ht="15.75" customHeight="1">
      <c r="A5400" s="28">
        <v>23177</v>
      </c>
      <c r="B5400" s="91">
        <v>45389.532372685186</v>
      </c>
      <c r="C5400" s="28" t="s">
        <v>0</v>
      </c>
      <c r="D5400" s="28" t="s">
        <v>2007</v>
      </c>
      <c r="E5400" s="28" t="s">
        <v>85</v>
      </c>
      <c r="F5400" s="28">
        <v>20</v>
      </c>
      <c r="G5400" s="28"/>
      <c r="H5400" s="28">
        <v>0</v>
      </c>
      <c r="J5400" s="92"/>
    </row>
    <row r="5401" spans="1:10" ht="15.75" customHeight="1">
      <c r="A5401" s="28">
        <v>23177</v>
      </c>
      <c r="B5401" s="91">
        <v>45389.532372685186</v>
      </c>
      <c r="C5401" s="28" t="s">
        <v>0</v>
      </c>
      <c r="D5401" s="28" t="s">
        <v>2007</v>
      </c>
      <c r="E5401" s="28" t="s">
        <v>85</v>
      </c>
      <c r="F5401" s="28">
        <v>22</v>
      </c>
      <c r="G5401" s="28" t="s">
        <v>1459</v>
      </c>
      <c r="H5401" s="28">
        <v>0</v>
      </c>
      <c r="J5401" s="92"/>
    </row>
    <row r="5402" spans="1:10" ht="15.75" customHeight="1">
      <c r="A5402" s="28">
        <v>23178</v>
      </c>
      <c r="B5402" s="91">
        <v>45389.534444444442</v>
      </c>
      <c r="C5402" s="28" t="s">
        <v>0</v>
      </c>
      <c r="D5402" s="28" t="s">
        <v>2008</v>
      </c>
      <c r="E5402" s="28" t="s">
        <v>85</v>
      </c>
      <c r="F5402" s="28">
        <v>22</v>
      </c>
      <c r="G5402" s="28" t="s">
        <v>1459</v>
      </c>
      <c r="H5402" s="28">
        <v>0</v>
      </c>
      <c r="J5402" s="92"/>
    </row>
    <row r="5403" spans="1:10" ht="15.75" customHeight="1">
      <c r="A5403" s="28">
        <v>23178</v>
      </c>
      <c r="B5403" s="91">
        <v>45389.534444444442</v>
      </c>
      <c r="C5403" s="28" t="s">
        <v>0</v>
      </c>
      <c r="D5403" s="28" t="s">
        <v>2008</v>
      </c>
      <c r="E5403" s="28" t="s">
        <v>85</v>
      </c>
      <c r="F5403" s="28">
        <v>15</v>
      </c>
      <c r="G5403" s="28" t="s">
        <v>1467</v>
      </c>
      <c r="H5403" s="28">
        <v>0</v>
      </c>
      <c r="J5403" s="92"/>
    </row>
    <row r="5404" spans="1:10" ht="15.75" customHeight="1">
      <c r="A5404" s="28">
        <v>23179</v>
      </c>
      <c r="B5404" s="91">
        <v>45389.535624999997</v>
      </c>
      <c r="C5404" s="28" t="s">
        <v>0</v>
      </c>
      <c r="D5404" s="28" t="s">
        <v>2007</v>
      </c>
      <c r="E5404" s="28" t="s">
        <v>85</v>
      </c>
      <c r="F5404" s="28">
        <v>15</v>
      </c>
      <c r="G5404" s="28" t="s">
        <v>1467</v>
      </c>
      <c r="H5404" s="28">
        <v>0</v>
      </c>
      <c r="J5404" s="92"/>
    </row>
    <row r="5405" spans="1:10" ht="15.75" customHeight="1">
      <c r="A5405" s="28">
        <v>23180</v>
      </c>
      <c r="B5405" s="91">
        <v>45394.285196759258</v>
      </c>
      <c r="C5405" s="28" t="s">
        <v>0</v>
      </c>
      <c r="D5405" s="28" t="s">
        <v>2009</v>
      </c>
      <c r="E5405" s="28" t="s">
        <v>2010</v>
      </c>
      <c r="F5405" s="28">
        <v>45</v>
      </c>
      <c r="G5405" s="28" t="s">
        <v>1455</v>
      </c>
      <c r="H5405" s="28">
        <v>0</v>
      </c>
      <c r="J5405" s="92"/>
    </row>
    <row r="5406" spans="1:10" ht="15.75" customHeight="1">
      <c r="A5406" s="28">
        <v>23180</v>
      </c>
      <c r="B5406" s="91">
        <v>45394.285196759258</v>
      </c>
      <c r="C5406" s="28" t="s">
        <v>0</v>
      </c>
      <c r="D5406" s="28" t="s">
        <v>2009</v>
      </c>
      <c r="E5406" s="28" t="s">
        <v>2010</v>
      </c>
      <c r="F5406" s="28">
        <v>0</v>
      </c>
      <c r="G5406" s="28" t="s">
        <v>141</v>
      </c>
      <c r="H5406" s="28">
        <v>0</v>
      </c>
      <c r="J5406" s="92"/>
    </row>
    <row r="5407" spans="1:10" ht="15.75" customHeight="1">
      <c r="A5407" s="28">
        <v>23182</v>
      </c>
      <c r="B5407" s="91">
        <v>45396.574224537035</v>
      </c>
      <c r="C5407" s="28" t="s">
        <v>18</v>
      </c>
      <c r="D5407" s="28" t="s">
        <v>2011</v>
      </c>
      <c r="E5407" s="28" t="s">
        <v>85</v>
      </c>
      <c r="F5407" s="28">
        <v>26</v>
      </c>
      <c r="G5407" s="28" t="s">
        <v>1455</v>
      </c>
      <c r="H5407" s="28">
        <v>0</v>
      </c>
      <c r="J5407" s="92"/>
    </row>
    <row r="5408" spans="1:10" ht="15.75" customHeight="1">
      <c r="A5408" s="28">
        <v>23183</v>
      </c>
      <c r="B5408" s="91">
        <v>45396.635439814818</v>
      </c>
      <c r="C5408" s="28" t="s">
        <v>0</v>
      </c>
      <c r="D5408" s="28" t="s">
        <v>2012</v>
      </c>
      <c r="E5408" s="28" t="s">
        <v>2010</v>
      </c>
      <c r="F5408" s="28">
        <v>35</v>
      </c>
      <c r="G5408" s="28" t="s">
        <v>1443</v>
      </c>
      <c r="H5408" s="28">
        <v>0</v>
      </c>
      <c r="J5408" s="92"/>
    </row>
    <row r="5409" spans="1:10" ht="15.75" customHeight="1">
      <c r="A5409" s="28">
        <v>23184</v>
      </c>
      <c r="B5409" s="91">
        <v>45396.74858796296</v>
      </c>
      <c r="C5409" s="28" t="s">
        <v>51</v>
      </c>
      <c r="D5409" s="28" t="s">
        <v>2013</v>
      </c>
      <c r="E5409" s="28" t="s">
        <v>2010</v>
      </c>
      <c r="F5409" s="28">
        <v>22</v>
      </c>
      <c r="G5409" s="28" t="s">
        <v>1535</v>
      </c>
      <c r="H5409" s="28">
        <v>0</v>
      </c>
      <c r="J5409" s="92"/>
    </row>
    <row r="5410" spans="1:10" ht="15.75" customHeight="1">
      <c r="A5410" s="28">
        <v>23185</v>
      </c>
      <c r="B5410" s="91">
        <v>45398.410578703704</v>
      </c>
      <c r="C5410" s="28" t="s">
        <v>0</v>
      </c>
      <c r="D5410" s="28" t="s">
        <v>2014</v>
      </c>
      <c r="E5410" s="28" t="s">
        <v>85</v>
      </c>
      <c r="F5410" s="28">
        <v>35</v>
      </c>
      <c r="G5410" s="28" t="s">
        <v>1443</v>
      </c>
      <c r="H5410" s="28">
        <v>0</v>
      </c>
      <c r="J5410" s="92"/>
    </row>
    <row r="5411" spans="1:10" ht="15.75" customHeight="1">
      <c r="A5411" s="28">
        <v>23185</v>
      </c>
      <c r="B5411" s="91">
        <v>45398.410578703704</v>
      </c>
      <c r="C5411" s="28" t="s">
        <v>0</v>
      </c>
      <c r="D5411" s="28" t="s">
        <v>2014</v>
      </c>
      <c r="E5411" s="28" t="s">
        <v>85</v>
      </c>
      <c r="F5411" s="28">
        <v>22</v>
      </c>
      <c r="G5411" s="28" t="s">
        <v>1459</v>
      </c>
      <c r="H5411" s="28">
        <v>0</v>
      </c>
      <c r="J5411" s="92"/>
    </row>
    <row r="5412" spans="1:10" ht="15.75" customHeight="1">
      <c r="A5412" s="28">
        <v>23186</v>
      </c>
      <c r="B5412" s="91">
        <v>45398.643645833334</v>
      </c>
      <c r="C5412" s="28" t="s">
        <v>0</v>
      </c>
      <c r="D5412" s="28" t="s">
        <v>931</v>
      </c>
      <c r="E5412" s="28" t="s">
        <v>1907</v>
      </c>
      <c r="F5412" s="28">
        <v>0</v>
      </c>
      <c r="G5412" s="28" t="s">
        <v>141</v>
      </c>
      <c r="H5412" s="28">
        <v>0</v>
      </c>
      <c r="J5412" s="92"/>
    </row>
    <row r="5413" spans="1:10" ht="15.75" customHeight="1">
      <c r="A5413" s="28">
        <v>23186</v>
      </c>
      <c r="B5413" s="91">
        <v>45398.643645833334</v>
      </c>
      <c r="C5413" s="28" t="s">
        <v>0</v>
      </c>
      <c r="D5413" s="28" t="s">
        <v>931</v>
      </c>
      <c r="E5413" s="28" t="s">
        <v>1907</v>
      </c>
      <c r="F5413" s="28">
        <v>20</v>
      </c>
      <c r="G5413" s="28"/>
      <c r="H5413" s="28">
        <v>0</v>
      </c>
      <c r="J5413" s="92"/>
    </row>
    <row r="5414" spans="1:10" ht="15.75" customHeight="1">
      <c r="A5414" s="28">
        <v>23186</v>
      </c>
      <c r="B5414" s="91">
        <v>45398.643645833334</v>
      </c>
      <c r="C5414" s="28" t="s">
        <v>0</v>
      </c>
      <c r="D5414" s="28" t="s">
        <v>931</v>
      </c>
      <c r="E5414" s="28" t="s">
        <v>1907</v>
      </c>
      <c r="F5414" s="28">
        <v>25</v>
      </c>
      <c r="G5414" s="28" t="s">
        <v>1446</v>
      </c>
      <c r="H5414" s="28">
        <v>0</v>
      </c>
      <c r="J5414" s="92"/>
    </row>
    <row r="5415" spans="1:10" ht="15.75" customHeight="1">
      <c r="A5415" s="28">
        <v>23187</v>
      </c>
      <c r="B5415" s="91">
        <v>45398.645462962966</v>
      </c>
      <c r="C5415" s="28" t="s">
        <v>0</v>
      </c>
      <c r="D5415" s="28" t="s">
        <v>926</v>
      </c>
      <c r="E5415" s="28" t="s">
        <v>1907</v>
      </c>
      <c r="F5415" s="28">
        <v>25</v>
      </c>
      <c r="G5415" s="28" t="s">
        <v>1446</v>
      </c>
      <c r="H5415" s="28">
        <v>0</v>
      </c>
      <c r="J5415" s="92"/>
    </row>
    <row r="5416" spans="1:10" ht="15.75" customHeight="1">
      <c r="A5416" s="28">
        <v>23187</v>
      </c>
      <c r="B5416" s="91">
        <v>45398.645462962966</v>
      </c>
      <c r="C5416" s="28" t="s">
        <v>0</v>
      </c>
      <c r="D5416" s="28" t="s">
        <v>926</v>
      </c>
      <c r="E5416" s="28" t="s">
        <v>1907</v>
      </c>
      <c r="F5416" s="28">
        <v>0</v>
      </c>
      <c r="G5416" s="28" t="s">
        <v>141</v>
      </c>
      <c r="H5416" s="28">
        <v>0</v>
      </c>
      <c r="J5416" s="92"/>
    </row>
    <row r="5417" spans="1:10" ht="15.75" customHeight="1">
      <c r="A5417" s="28">
        <v>23188</v>
      </c>
      <c r="B5417" s="91">
        <v>45399.746724537035</v>
      </c>
      <c r="C5417" s="28" t="s">
        <v>0</v>
      </c>
      <c r="D5417" s="28" t="s">
        <v>2015</v>
      </c>
      <c r="E5417" s="28" t="s">
        <v>85</v>
      </c>
      <c r="F5417" s="28">
        <v>26</v>
      </c>
      <c r="G5417" s="28" t="s">
        <v>1455</v>
      </c>
      <c r="H5417" s="28">
        <v>0</v>
      </c>
      <c r="J5417" s="92"/>
    </row>
    <row r="5418" spans="1:10" ht="15.75" customHeight="1">
      <c r="A5418" s="28">
        <v>23189</v>
      </c>
      <c r="B5418" s="91">
        <v>45400.485543981478</v>
      </c>
      <c r="C5418" s="28" t="s">
        <v>0</v>
      </c>
      <c r="D5418" s="28" t="s">
        <v>2016</v>
      </c>
      <c r="E5418" s="28" t="s">
        <v>85</v>
      </c>
      <c r="F5418" s="28">
        <v>25</v>
      </c>
      <c r="G5418" s="28" t="s">
        <v>1446</v>
      </c>
      <c r="H5418" s="28">
        <v>0</v>
      </c>
      <c r="J5418" s="92"/>
    </row>
    <row r="5419" spans="1:10" ht="15.75" customHeight="1">
      <c r="A5419" s="28">
        <v>23189</v>
      </c>
      <c r="B5419" s="91">
        <v>45400.485543981478</v>
      </c>
      <c r="C5419" s="28" t="s">
        <v>0</v>
      </c>
      <c r="D5419" s="28" t="s">
        <v>2016</v>
      </c>
      <c r="E5419" s="28" t="s">
        <v>85</v>
      </c>
      <c r="F5419" s="28">
        <v>28</v>
      </c>
      <c r="G5419" s="28" t="s">
        <v>1448</v>
      </c>
      <c r="H5419" s="28">
        <v>0</v>
      </c>
      <c r="J5419" s="92"/>
    </row>
    <row r="5420" spans="1:10" ht="15.75" customHeight="1">
      <c r="A5420" s="28">
        <v>23193</v>
      </c>
      <c r="B5420" s="91">
        <v>45401.3830787037</v>
      </c>
      <c r="C5420" s="28" t="s">
        <v>0</v>
      </c>
      <c r="D5420" s="28" t="s">
        <v>2017</v>
      </c>
      <c r="E5420" s="28" t="s">
        <v>85</v>
      </c>
      <c r="F5420" s="28">
        <v>22</v>
      </c>
      <c r="G5420" s="28" t="s">
        <v>1535</v>
      </c>
      <c r="H5420" s="28">
        <v>0</v>
      </c>
      <c r="J5420" s="92"/>
    </row>
    <row r="5421" spans="1:10" ht="15.75" customHeight="1">
      <c r="A5421" s="28">
        <v>23194</v>
      </c>
      <c r="B5421" s="91">
        <v>45402.334050925929</v>
      </c>
      <c r="C5421" s="28" t="s">
        <v>0</v>
      </c>
      <c r="D5421" s="28" t="s">
        <v>2018</v>
      </c>
      <c r="E5421" s="28" t="s">
        <v>85</v>
      </c>
      <c r="F5421" s="28">
        <v>35</v>
      </c>
      <c r="G5421" s="28" t="s">
        <v>1443</v>
      </c>
      <c r="H5421" s="28">
        <v>0</v>
      </c>
      <c r="J5421" s="92"/>
    </row>
    <row r="5422" spans="1:10" ht="15.75" customHeight="1">
      <c r="A5422" s="28">
        <v>23195</v>
      </c>
      <c r="B5422" s="91">
        <v>45402.700381944444</v>
      </c>
      <c r="C5422" s="28" t="s">
        <v>0</v>
      </c>
      <c r="D5422" s="28" t="s">
        <v>2019</v>
      </c>
      <c r="E5422" s="28" t="s">
        <v>85</v>
      </c>
      <c r="F5422" s="28">
        <v>26</v>
      </c>
      <c r="G5422" s="28" t="s">
        <v>1455</v>
      </c>
      <c r="H5422" s="28">
        <v>0</v>
      </c>
      <c r="J5422" s="92"/>
    </row>
    <row r="5423" spans="1:10" ht="15.75" customHeight="1">
      <c r="A5423" s="28">
        <v>23195</v>
      </c>
      <c r="B5423" s="91">
        <v>45402.700381944444</v>
      </c>
      <c r="C5423" s="28" t="s">
        <v>0</v>
      </c>
      <c r="D5423" s="28" t="s">
        <v>2019</v>
      </c>
      <c r="E5423" s="28" t="s">
        <v>85</v>
      </c>
      <c r="F5423" s="28">
        <v>15</v>
      </c>
      <c r="G5423" s="28" t="s">
        <v>1467</v>
      </c>
      <c r="H5423" s="28">
        <v>0</v>
      </c>
      <c r="J5423" s="92"/>
    </row>
    <row r="5424" spans="1:10" ht="15.75" customHeight="1">
      <c r="A5424" s="28">
        <v>23208</v>
      </c>
      <c r="B5424" s="91">
        <v>45404.333379629628</v>
      </c>
      <c r="C5424" s="28" t="s">
        <v>0</v>
      </c>
      <c r="D5424" s="28" t="s">
        <v>2020</v>
      </c>
      <c r="E5424" s="28" t="s">
        <v>85</v>
      </c>
      <c r="F5424" s="28">
        <v>28</v>
      </c>
      <c r="G5424" s="28" t="s">
        <v>1448</v>
      </c>
      <c r="H5424" s="28">
        <v>0</v>
      </c>
      <c r="J5424" s="92"/>
    </row>
    <row r="5425" spans="1:10" ht="15.75" customHeight="1">
      <c r="A5425" s="28">
        <v>23209</v>
      </c>
      <c r="B5425" s="91">
        <v>45404.549814814818</v>
      </c>
      <c r="C5425" s="28" t="s">
        <v>0</v>
      </c>
      <c r="D5425" s="28" t="s">
        <v>2021</v>
      </c>
      <c r="E5425" s="28" t="s">
        <v>85</v>
      </c>
      <c r="F5425" s="28">
        <v>0</v>
      </c>
      <c r="G5425" s="28" t="s">
        <v>141</v>
      </c>
      <c r="H5425" s="28">
        <v>0</v>
      </c>
      <c r="J5425" s="92"/>
    </row>
    <row r="5426" spans="1:10" ht="15.75" customHeight="1">
      <c r="A5426" s="28">
        <v>23209</v>
      </c>
      <c r="B5426" s="91">
        <v>45404.549814814818</v>
      </c>
      <c r="C5426" s="28" t="s">
        <v>0</v>
      </c>
      <c r="D5426" s="28" t="s">
        <v>2021</v>
      </c>
      <c r="E5426" s="28" t="s">
        <v>85</v>
      </c>
      <c r="F5426" s="28">
        <v>22</v>
      </c>
      <c r="G5426" s="28" t="s">
        <v>1459</v>
      </c>
      <c r="H5426" s="28">
        <v>0</v>
      </c>
      <c r="J5426" s="92"/>
    </row>
    <row r="5427" spans="1:10" ht="15.75" customHeight="1">
      <c r="A5427" s="28">
        <v>23209</v>
      </c>
      <c r="B5427" s="91">
        <v>45404.549814814818</v>
      </c>
      <c r="C5427" s="28" t="s">
        <v>0</v>
      </c>
      <c r="D5427" s="28" t="s">
        <v>2021</v>
      </c>
      <c r="E5427" s="28" t="s">
        <v>85</v>
      </c>
      <c r="F5427" s="28">
        <v>25</v>
      </c>
      <c r="G5427" s="28" t="s">
        <v>1446</v>
      </c>
      <c r="H5427" s="28">
        <v>0</v>
      </c>
      <c r="J5427" s="92"/>
    </row>
    <row r="5428" spans="1:10" ht="15.75" customHeight="1">
      <c r="A5428" s="28">
        <v>23210</v>
      </c>
      <c r="B5428" s="91">
        <v>45404.551689814813</v>
      </c>
      <c r="C5428" s="28" t="s">
        <v>0</v>
      </c>
      <c r="D5428" s="28" t="s">
        <v>2022</v>
      </c>
      <c r="E5428" s="28" t="s">
        <v>85</v>
      </c>
      <c r="F5428" s="28">
        <v>25</v>
      </c>
      <c r="G5428" s="28" t="s">
        <v>1446</v>
      </c>
      <c r="H5428" s="28">
        <v>0</v>
      </c>
      <c r="J5428" s="92"/>
    </row>
    <row r="5429" spans="1:10" ht="15.75" customHeight="1">
      <c r="A5429" s="28">
        <v>23210</v>
      </c>
      <c r="B5429" s="91">
        <v>45404.551689814813</v>
      </c>
      <c r="C5429" s="28" t="s">
        <v>0</v>
      </c>
      <c r="D5429" s="28" t="s">
        <v>2022</v>
      </c>
      <c r="E5429" s="28" t="s">
        <v>85</v>
      </c>
      <c r="F5429" s="28">
        <v>0</v>
      </c>
      <c r="G5429" s="28" t="s">
        <v>141</v>
      </c>
      <c r="H5429" s="28">
        <v>0</v>
      </c>
      <c r="J5429" s="92"/>
    </row>
    <row r="5430" spans="1:10" ht="15.75" customHeight="1">
      <c r="A5430" s="28">
        <v>23210</v>
      </c>
      <c r="B5430" s="91">
        <v>45404.551689814813</v>
      </c>
      <c r="C5430" s="28" t="s">
        <v>0</v>
      </c>
      <c r="D5430" s="28" t="s">
        <v>2022</v>
      </c>
      <c r="E5430" s="28" t="s">
        <v>85</v>
      </c>
      <c r="F5430" s="28">
        <v>22</v>
      </c>
      <c r="G5430" s="28" t="s">
        <v>1459</v>
      </c>
      <c r="H5430" s="28">
        <v>0</v>
      </c>
      <c r="J5430" s="92"/>
    </row>
    <row r="5431" spans="1:10" ht="15.75" customHeight="1">
      <c r="A5431" s="28">
        <v>23211</v>
      </c>
      <c r="B5431" s="91">
        <v>45404.913159722222</v>
      </c>
      <c r="C5431" s="28" t="s">
        <v>0</v>
      </c>
      <c r="D5431" s="28" t="s">
        <v>2023</v>
      </c>
      <c r="E5431" s="28" t="s">
        <v>2010</v>
      </c>
      <c r="F5431" s="28">
        <v>55</v>
      </c>
      <c r="G5431" s="28" t="s">
        <v>1457</v>
      </c>
      <c r="H5431" s="28">
        <v>0</v>
      </c>
      <c r="J5431" s="92"/>
    </row>
    <row r="5432" spans="1:10" ht="15.75" customHeight="1">
      <c r="A5432" s="28">
        <v>23212</v>
      </c>
      <c r="B5432" s="91">
        <v>45405.428668981483</v>
      </c>
      <c r="C5432" s="28" t="s">
        <v>0</v>
      </c>
      <c r="D5432" s="28" t="s">
        <v>2024</v>
      </c>
      <c r="E5432" s="28" t="s">
        <v>85</v>
      </c>
      <c r="F5432" s="28">
        <v>35</v>
      </c>
      <c r="G5432" s="28" t="s">
        <v>1443</v>
      </c>
      <c r="H5432" s="28">
        <v>0</v>
      </c>
      <c r="J5432" s="92"/>
    </row>
    <row r="5433" spans="1:10" ht="15.75" customHeight="1">
      <c r="A5433" s="28">
        <v>23218</v>
      </c>
      <c r="B5433" s="91">
        <v>45408.913287037038</v>
      </c>
      <c r="C5433" s="28" t="s">
        <v>0</v>
      </c>
      <c r="D5433" s="28" t="s">
        <v>2025</v>
      </c>
      <c r="E5433" s="28" t="s">
        <v>85</v>
      </c>
      <c r="F5433" s="28">
        <v>28</v>
      </c>
      <c r="G5433" s="28" t="s">
        <v>1448</v>
      </c>
      <c r="H5433" s="28">
        <v>0</v>
      </c>
      <c r="J5433" s="92"/>
    </row>
    <row r="5434" spans="1:10" ht="15.75" customHeight="1">
      <c r="A5434" s="28">
        <v>23218</v>
      </c>
      <c r="B5434" s="91">
        <v>45408.913287037038</v>
      </c>
      <c r="C5434" s="28" t="s">
        <v>0</v>
      </c>
      <c r="D5434" s="28" t="s">
        <v>2025</v>
      </c>
      <c r="E5434" s="28" t="s">
        <v>85</v>
      </c>
      <c r="F5434" s="28">
        <v>26</v>
      </c>
      <c r="G5434" s="28" t="s">
        <v>1455</v>
      </c>
      <c r="H5434" s="28">
        <v>0</v>
      </c>
      <c r="J5434" s="92"/>
    </row>
    <row r="5435" spans="1:10" ht="15.75" customHeight="1">
      <c r="A5435" s="28">
        <v>23218</v>
      </c>
      <c r="B5435" s="91">
        <v>45408.913287037038</v>
      </c>
      <c r="C5435" s="28" t="s">
        <v>0</v>
      </c>
      <c r="D5435" s="28" t="s">
        <v>2025</v>
      </c>
      <c r="E5435" s="28" t="s">
        <v>85</v>
      </c>
      <c r="F5435" s="28">
        <v>0</v>
      </c>
      <c r="G5435" s="28" t="s">
        <v>141</v>
      </c>
      <c r="H5435" s="28">
        <v>0</v>
      </c>
      <c r="J5435" s="92"/>
    </row>
    <row r="5436" spans="1:10" ht="15.75" customHeight="1">
      <c r="A5436" s="28">
        <v>23228</v>
      </c>
      <c r="B5436" s="91">
        <v>45411.493587962963</v>
      </c>
      <c r="C5436" s="28" t="s">
        <v>0</v>
      </c>
      <c r="D5436" s="28" t="s">
        <v>918</v>
      </c>
      <c r="E5436" s="28" t="s">
        <v>1907</v>
      </c>
      <c r="F5436" s="28">
        <v>22</v>
      </c>
      <c r="G5436" s="28" t="s">
        <v>1459</v>
      </c>
      <c r="H5436" s="28">
        <v>0</v>
      </c>
      <c r="J5436" s="92"/>
    </row>
    <row r="5437" spans="1:10" ht="15.75" customHeight="1">
      <c r="A5437" s="28">
        <v>23229</v>
      </c>
      <c r="B5437" s="91">
        <v>45411.495520833334</v>
      </c>
      <c r="C5437" s="28" t="s">
        <v>0</v>
      </c>
      <c r="D5437" s="28" t="s">
        <v>919</v>
      </c>
      <c r="E5437" s="28" t="s">
        <v>1907</v>
      </c>
      <c r="F5437" s="28">
        <v>22</v>
      </c>
      <c r="G5437" s="28" t="s">
        <v>1459</v>
      </c>
      <c r="H5437" s="28">
        <v>0</v>
      </c>
      <c r="J5437" s="92"/>
    </row>
    <row r="5438" spans="1:10" ht="15.75" customHeight="1">
      <c r="A5438" s="28">
        <v>23230</v>
      </c>
      <c r="B5438" s="91">
        <v>45411.537245370368</v>
      </c>
      <c r="C5438" s="28" t="s">
        <v>0</v>
      </c>
      <c r="D5438" s="28" t="s">
        <v>2026</v>
      </c>
      <c r="E5438" s="28" t="s">
        <v>85</v>
      </c>
      <c r="F5438" s="28">
        <v>20</v>
      </c>
      <c r="G5438" s="28" t="s">
        <v>1475</v>
      </c>
      <c r="H5438" s="28">
        <v>0</v>
      </c>
      <c r="J5438" s="92"/>
    </row>
    <row r="5439" spans="1:10" ht="15.75" customHeight="1">
      <c r="A5439" s="28">
        <v>23230</v>
      </c>
      <c r="B5439" s="91">
        <v>45411.537245370368</v>
      </c>
      <c r="C5439" s="28" t="s">
        <v>0</v>
      </c>
      <c r="D5439" s="28" t="s">
        <v>2026</v>
      </c>
      <c r="E5439" s="28" t="s">
        <v>85</v>
      </c>
      <c r="F5439" s="28">
        <v>15</v>
      </c>
      <c r="G5439" s="28" t="s">
        <v>1453</v>
      </c>
      <c r="H5439" s="28">
        <v>0</v>
      </c>
      <c r="J5439" s="92"/>
    </row>
    <row r="5440" spans="1:10" ht="15.75" customHeight="1">
      <c r="A5440" s="28">
        <v>23233</v>
      </c>
      <c r="B5440" s="91">
        <v>45413.862384259257</v>
      </c>
      <c r="C5440" s="28" t="s">
        <v>0</v>
      </c>
      <c r="D5440" s="28" t="s">
        <v>2027</v>
      </c>
      <c r="E5440" s="28" t="s">
        <v>2010</v>
      </c>
      <c r="F5440" s="28">
        <v>28</v>
      </c>
      <c r="G5440" s="28" t="s">
        <v>1448</v>
      </c>
      <c r="H5440" s="28">
        <v>0</v>
      </c>
      <c r="J5440" s="92"/>
    </row>
    <row r="5441" spans="1:10" ht="15.75" customHeight="1">
      <c r="A5441" s="28">
        <v>23234</v>
      </c>
      <c r="B5441" s="91">
        <v>45413.877858796295</v>
      </c>
      <c r="C5441" s="28" t="s">
        <v>0</v>
      </c>
      <c r="D5441" s="28" t="s">
        <v>2028</v>
      </c>
      <c r="E5441" s="28" t="s">
        <v>85</v>
      </c>
      <c r="F5441" s="28">
        <v>35</v>
      </c>
      <c r="G5441" s="28" t="s">
        <v>1443</v>
      </c>
      <c r="H5441" s="28">
        <v>0</v>
      </c>
      <c r="J5441" s="92"/>
    </row>
    <row r="5442" spans="1:10" ht="15.75" customHeight="1">
      <c r="A5442" s="28">
        <v>23234</v>
      </c>
      <c r="B5442" s="91">
        <v>45413.877858796295</v>
      </c>
      <c r="C5442" s="28" t="s">
        <v>0</v>
      </c>
      <c r="D5442" s="28" t="s">
        <v>2028</v>
      </c>
      <c r="E5442" s="28" t="s">
        <v>85</v>
      </c>
      <c r="F5442" s="28">
        <v>15</v>
      </c>
      <c r="G5442" s="28" t="s">
        <v>1467</v>
      </c>
      <c r="H5442" s="28">
        <v>0</v>
      </c>
      <c r="J5442" s="92"/>
    </row>
    <row r="5443" spans="1:10" ht="15.75" customHeight="1">
      <c r="A5443" s="28">
        <v>23235</v>
      </c>
      <c r="B5443" s="91">
        <v>45413.940451388888</v>
      </c>
      <c r="C5443" s="28" t="s">
        <v>0</v>
      </c>
      <c r="D5443" s="28" t="s">
        <v>436</v>
      </c>
      <c r="E5443" s="28" t="s">
        <v>85</v>
      </c>
      <c r="F5443" s="28">
        <v>26</v>
      </c>
      <c r="G5443" s="28" t="s">
        <v>1455</v>
      </c>
      <c r="H5443" s="28">
        <v>0</v>
      </c>
      <c r="J5443" s="92"/>
    </row>
  </sheetData>
  <autoFilter ref="A1:H3975"/>
  <customSheetViews>
    <customSheetView guid="{5135A060-DEBC-4A23-B096-6F5DC7F9F3A7}" filter="1" showAutoFilter="1">
      <pageMargins left="0.7" right="0.7" top="0.75" bottom="0.75" header="0.3" footer="0.3"/>
      <autoFilter ref="A1:H3975"/>
    </customSheetView>
  </customSheetView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000"/>
  <sheetViews>
    <sheetView workbookViewId="0"/>
  </sheetViews>
  <sheetFormatPr defaultColWidth="12.5703125" defaultRowHeight="15" customHeight="1"/>
  <cols>
    <col min="1" max="1" width="17.42578125" customWidth="1"/>
    <col min="2" max="6" width="12.5703125" customWidth="1"/>
  </cols>
  <sheetData>
    <row r="1" spans="1:1" ht="15.75" customHeight="1">
      <c r="A1" s="1" t="s">
        <v>2029</v>
      </c>
    </row>
    <row r="2" spans="1:1" ht="15.75" customHeight="1">
      <c r="A2" s="2">
        <v>45430.104862268519</v>
      </c>
    </row>
    <row r="3" spans="1:1" ht="15.75" customHeight="1"/>
    <row r="4" spans="1:1" ht="15.75" customHeight="1"/>
    <row r="5" spans="1:1" ht="15.75" customHeight="1"/>
    <row r="6" spans="1:1" ht="15.75" customHeight="1"/>
    <row r="7" spans="1:1" ht="15.75" customHeight="1"/>
    <row r="8" spans="1:1" ht="15.75" customHeight="1"/>
    <row r="9" spans="1:1" ht="15.75" customHeight="1"/>
    <row r="10" spans="1:1" ht="15.75" customHeight="1"/>
    <row r="11" spans="1:1" ht="15.75" customHeight="1"/>
    <row r="12" spans="1:1" ht="15.75" customHeight="1"/>
    <row r="13" spans="1:1" ht="15.75" customHeight="1"/>
    <row r="14" spans="1:1" ht="15.75" customHeight="1"/>
    <row r="15" spans="1:1" ht="15.75" customHeight="1"/>
    <row r="16" spans="1: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FF"/>
    <outlinePr summaryBelow="0" summaryRight="0"/>
  </sheetPr>
  <dimension ref="A1:N1000"/>
  <sheetViews>
    <sheetView showGridLines="0" workbookViewId="0"/>
  </sheetViews>
  <sheetFormatPr defaultColWidth="12.5703125" defaultRowHeight="15" customHeight="1"/>
  <cols>
    <col min="1" max="6" width="12.5703125" customWidth="1"/>
  </cols>
  <sheetData>
    <row r="1" spans="1:14" ht="15.75" customHeight="1">
      <c r="A1" s="107" t="s">
        <v>2030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100"/>
    </row>
    <row r="2" spans="1:14" ht="15.75" customHeight="1">
      <c r="A2" s="108"/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10"/>
    </row>
    <row r="3" spans="1:14" ht="15.75" customHeight="1">
      <c r="A3" s="111"/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3"/>
    </row>
    <row r="4" spans="1:14" ht="11.25" customHeight="1">
      <c r="A4" s="114"/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05"/>
    </row>
    <row r="5" spans="1:14" ht="15.75" customHeight="1">
      <c r="A5" s="32" t="str">
        <f ca="1">IFERROR(__xludf.DUMMYFUNCTION("QUERY('Profit by League'!B5:G20, ""SELECT B, E WHERE B &lt;&gt; 'Select Option' ORDER BY G DESC"")
"),"#REF!")</f>
        <v>#REF!</v>
      </c>
      <c r="B5" s="94"/>
    </row>
    <row r="6" spans="1:14" ht="15.75" customHeight="1">
      <c r="A6" s="32"/>
      <c r="B6" s="94"/>
    </row>
    <row r="7" spans="1:14" ht="15.75" customHeight="1">
      <c r="A7" s="32"/>
      <c r="B7" s="94"/>
    </row>
    <row r="8" spans="1:14" ht="15.75" customHeight="1">
      <c r="A8" s="32"/>
      <c r="B8" s="94"/>
    </row>
    <row r="9" spans="1:14" ht="15.75" customHeight="1">
      <c r="A9" s="32"/>
      <c r="B9" s="94"/>
    </row>
    <row r="10" spans="1:14" ht="15.75" customHeight="1">
      <c r="A10" s="32"/>
      <c r="B10" s="94"/>
    </row>
    <row r="11" spans="1:14" ht="15.75" customHeight="1">
      <c r="A11" s="32"/>
      <c r="B11" s="94"/>
    </row>
    <row r="12" spans="1:14" ht="15.75" customHeight="1">
      <c r="A12" s="32"/>
      <c r="B12" s="94"/>
    </row>
    <row r="13" spans="1:14" ht="15.75" customHeight="1">
      <c r="A13" s="32"/>
      <c r="B13" s="94"/>
    </row>
    <row r="14" spans="1:14" ht="15.75" customHeight="1">
      <c r="A14" s="32"/>
      <c r="B14" s="94"/>
    </row>
    <row r="15" spans="1:14" ht="15.75" customHeight="1">
      <c r="A15" s="32"/>
      <c r="B15" s="94"/>
    </row>
    <row r="16" spans="1:14" ht="15.75" customHeight="1">
      <c r="A16" s="32"/>
      <c r="B16" s="94"/>
    </row>
    <row r="17" spans="1:2" ht="15.75" customHeight="1">
      <c r="A17" s="32"/>
      <c r="B17" s="94"/>
    </row>
    <row r="18" spans="1:2" ht="15.75" customHeight="1">
      <c r="A18" s="32"/>
      <c r="B18" s="94"/>
    </row>
    <row r="19" spans="1:2" ht="15.75" customHeight="1">
      <c r="A19" s="32"/>
      <c r="B19" s="94"/>
    </row>
    <row r="20" spans="1:2" ht="15.75" customHeight="1">
      <c r="A20" s="32"/>
      <c r="B20" s="94"/>
    </row>
    <row r="21" spans="1:2" ht="15.75" customHeight="1"/>
    <row r="22" spans="1:2" ht="15.75" customHeight="1"/>
    <row r="23" spans="1:2" ht="15.75" customHeight="1"/>
    <row r="24" spans="1:2" ht="15.75" customHeight="1"/>
    <row r="25" spans="1:2" ht="15.75" customHeight="1"/>
    <row r="26" spans="1:2" ht="15.75" customHeight="1"/>
    <row r="27" spans="1:2" ht="15.75" customHeight="1"/>
    <row r="28" spans="1:2" ht="15.75" customHeight="1"/>
    <row r="29" spans="1:2" ht="15.75" customHeight="1"/>
    <row r="30" spans="1:2" ht="15.75" customHeight="1"/>
    <row r="31" spans="1:2" ht="15.75" customHeight="1"/>
    <row r="32" spans="1: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N3"/>
    <mergeCell ref="A4:N4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000"/>
  <sheetViews>
    <sheetView workbookViewId="0"/>
  </sheetViews>
  <sheetFormatPr defaultColWidth="12.5703125" defaultRowHeight="15" customHeight="1"/>
  <cols>
    <col min="1" max="1" width="27.42578125" customWidth="1"/>
    <col min="2" max="2" width="27" customWidth="1"/>
    <col min="3" max="6" width="12.5703125" customWidth="1"/>
  </cols>
  <sheetData>
    <row r="1" spans="1:4" ht="15.75" customHeight="1"/>
    <row r="2" spans="1:4" ht="15.75" customHeight="1">
      <c r="A2" s="87" t="str">
        <f ca="1">IFERROR(__xludf.DUMMYFUNCTION("ARRAYFORMULA(
  UNIQUE(
    FILTER(
      {
        'From Woocommerce Micro'!E2:E1000, 
        SWITCH(
          'From Woocommerce Micro'!E2:E1000, 
          ""LSSC"", ""Lasalle Stompers"",
          ""Trophy Boys"", ""Lasalle Stompers"",
          ""Ho"&amp;"useleague"", ""Lasalle Stompers"",
          ""Lasalle Turbo Blasters"", ""Lasalle Stompers"",
          ""Lasalle Stompers Timbits"", ""Lasalle Stompers"",
          ""LMHA"", ""Lasalle Stompers"",
          ""Harrow Minor Baseball"", ""Harrow Baseball"""&amp;",
          ""HMBA"", ""Harrow Baseball"",
          ""HCSMBA"", ""Harrow Baseball"",
          ""Harrow"", ""Harrow Baseball"",
          ""Harrow Baseball"", ""Harrow Baseball"",
          ""Harrow and Colchester South minor Baseball Association"", ""Ha"&amp;"rrow Baseball"",
          ""Harrow T-Ball"", ""Harrow Baseball"",
          ""Harrow Blues"", ""Harrow Baseball"",
          ""Kingsville Minor Baseball"", ""Kingsville Baseball"",
          ""KMBA"", ""Kingsville Baseball"",
          ""Kingsville Knigh"&amp;"ts"", ""Kingsville Baseball"",
          ""Kingsville"", ""Kingsville Baseball"",
          ""Kingsville Fast pitch"", ""Kingsville Baseball"",
          ""Sunparlour Baseball"", ""Kingsville Baseball"",
          ""Kingsville minir basrball"", ""Kingsvil"&amp;"le Baseball"", 
          ""kingsville pixie"", ""Kingsville Baseball"",
          ""Kingsville soccer"", ""Kingsville Soccer"",
          ""Kingsville soccer association"", ""Kingsville Soccer"",
          ""KSA"", ""Kingsville Soccer"",
          ""Ens"&amp;""", ""ENS"",
          ""Erie North Shore"", ""ENS"",
          ""bluewater"", ""ENS"",
          ""omha"", ""ENS"",
          ""local league"", ""ENS"",
          'From Woocommerce Micro'!E2:E1000
        )
      }, 
      'From Woocommerce Micro'!E2:E10"&amp;"00 &lt;&gt; """"
    )
  )
)"),"Wmha1")</f>
        <v>Wmha1</v>
      </c>
      <c r="B2" s="1" t="str">
        <f ca="1">IFERROR(__xludf.DUMMYFUNCTION("""COMPUTED_VALUE"""),"Wmha1")</f>
        <v>Wmha1</v>
      </c>
      <c r="C2" s="1" t="e">
        <f t="shared" ref="C2:C24" ca="1" si="0">SUMIF(#REF!,A2,#REF!)</f>
        <v>#REF!</v>
      </c>
      <c r="D2" s="1" t="e">
        <f t="shared" ref="D2:D24" ca="1" si="1">SUMIF(#REF!,A2,#REF!)</f>
        <v>#REF!</v>
      </c>
    </row>
    <row r="3" spans="1:4" ht="15.75" customHeight="1">
      <c r="A3" s="1" t="str">
        <f ca="1">IFERROR(__xludf.DUMMYFUNCTION("""COMPUTED_VALUE"""),"W.M.F.A Football")</f>
        <v>W.M.F.A Football</v>
      </c>
      <c r="B3" s="1" t="str">
        <f ca="1">IFERROR(__xludf.DUMMYFUNCTION("""COMPUTED_VALUE"""),"W.M.F.A Football")</f>
        <v>W.M.F.A Football</v>
      </c>
      <c r="C3" s="1" t="e">
        <f t="shared" ca="1" si="0"/>
        <v>#REF!</v>
      </c>
      <c r="D3" s="1" t="e">
        <f t="shared" ca="1" si="1"/>
        <v>#REF!</v>
      </c>
    </row>
    <row r="4" spans="1:4" ht="15.75" customHeight="1">
      <c r="A4" s="1" t="str">
        <f ca="1">IFERROR(__xludf.DUMMYFUNCTION("""COMPUTED_VALUE"""),"Lakeshore Lightning Hockey")</f>
        <v>Lakeshore Lightning Hockey</v>
      </c>
      <c r="B4" s="1" t="str">
        <f ca="1">IFERROR(__xludf.DUMMYFUNCTION("""COMPUTED_VALUE"""),"Lakeshore Lightning Hockey")</f>
        <v>Lakeshore Lightning Hockey</v>
      </c>
      <c r="C4" s="1" t="e">
        <f t="shared" ca="1" si="0"/>
        <v>#REF!</v>
      </c>
      <c r="D4" s="1" t="e">
        <f t="shared" ca="1" si="1"/>
        <v>#REF!</v>
      </c>
    </row>
    <row r="5" spans="1:4" ht="15.75" customHeight="1">
      <c r="A5" s="1" t="str">
        <f ca="1">IFERROR(__xludf.DUMMYFUNCTION("""COMPUTED_VALUE"""),"W.M.H.A")</f>
        <v>W.M.H.A</v>
      </c>
      <c r="B5" s="1" t="str">
        <f ca="1">IFERROR(__xludf.DUMMYFUNCTION("""COMPUTED_VALUE"""),"W.M.H.A")</f>
        <v>W.M.H.A</v>
      </c>
      <c r="C5" s="1" t="e">
        <f t="shared" ca="1" si="0"/>
        <v>#REF!</v>
      </c>
      <c r="D5" s="1" t="e">
        <f t="shared" ca="1" si="1"/>
        <v>#REF!</v>
      </c>
    </row>
    <row r="6" spans="1:4" ht="15.75" customHeight="1">
      <c r="A6" s="1" t="str">
        <f ca="1">IFERROR(__xludf.DUMMYFUNCTION("""COMPUTED_VALUE"""),"Sun County Panthers Hockey")</f>
        <v>Sun County Panthers Hockey</v>
      </c>
      <c r="B6" s="1" t="str">
        <f ca="1">IFERROR(__xludf.DUMMYFUNCTION("""COMPUTED_VALUE"""),"Sun County Panthers Hockey")</f>
        <v>Sun County Panthers Hockey</v>
      </c>
      <c r="C6" s="1" t="e">
        <f t="shared" ca="1" si="0"/>
        <v>#REF!</v>
      </c>
      <c r="D6" s="1" t="e">
        <f t="shared" ca="1" si="1"/>
        <v>#REF!</v>
      </c>
    </row>
    <row r="7" spans="1:4" ht="15.75" customHeight="1">
      <c r="A7" s="1" t="str">
        <f ca="1">IFERROR(__xludf.DUMMYFUNCTION("""COMPUTED_VALUE"""),"South Point Stars")</f>
        <v>South Point Stars</v>
      </c>
      <c r="B7" s="1" t="str">
        <f ca="1">IFERROR(__xludf.DUMMYFUNCTION("""COMPUTED_VALUE"""),"South Point Stars")</f>
        <v>South Point Stars</v>
      </c>
      <c r="C7" s="1" t="e">
        <f t="shared" ca="1" si="0"/>
        <v>#REF!</v>
      </c>
      <c r="D7" s="1" t="e">
        <f t="shared" ca="1" si="1"/>
        <v>#REF!</v>
      </c>
    </row>
    <row r="8" spans="1:4" ht="15.75" customHeight="1">
      <c r="A8" s="1"/>
      <c r="B8" s="1"/>
      <c r="C8" s="1" t="e">
        <f t="shared" si="0"/>
        <v>#REF!</v>
      </c>
      <c r="D8" s="1" t="e">
        <f t="shared" si="1"/>
        <v>#REF!</v>
      </c>
    </row>
    <row r="9" spans="1:4" ht="15.75" customHeight="1">
      <c r="A9" s="1"/>
      <c r="B9" s="1"/>
      <c r="C9" s="1" t="e">
        <f t="shared" si="0"/>
        <v>#REF!</v>
      </c>
      <c r="D9" s="1" t="e">
        <f t="shared" si="1"/>
        <v>#REF!</v>
      </c>
    </row>
    <row r="10" spans="1:4" ht="15.75" customHeight="1">
      <c r="A10" s="1"/>
      <c r="B10" s="1"/>
      <c r="C10" s="1" t="e">
        <f t="shared" si="0"/>
        <v>#REF!</v>
      </c>
      <c r="D10" s="1" t="e">
        <f t="shared" si="1"/>
        <v>#REF!</v>
      </c>
    </row>
    <row r="11" spans="1:4" ht="15.75" customHeight="1">
      <c r="A11" s="1"/>
      <c r="B11" s="1"/>
      <c r="C11" s="1" t="e">
        <f t="shared" si="0"/>
        <v>#REF!</v>
      </c>
      <c r="D11" s="1" t="e">
        <f t="shared" si="1"/>
        <v>#REF!</v>
      </c>
    </row>
    <row r="12" spans="1:4" ht="15.75" customHeight="1">
      <c r="A12" s="1"/>
      <c r="B12" s="1"/>
      <c r="C12" s="1" t="e">
        <f t="shared" si="0"/>
        <v>#REF!</v>
      </c>
      <c r="D12" s="1" t="e">
        <f t="shared" si="1"/>
        <v>#REF!</v>
      </c>
    </row>
    <row r="13" spans="1:4" ht="15.75" customHeight="1">
      <c r="A13" s="1"/>
      <c r="B13" s="1"/>
      <c r="C13" s="1" t="e">
        <f t="shared" si="0"/>
        <v>#REF!</v>
      </c>
      <c r="D13" s="1" t="e">
        <f t="shared" si="1"/>
        <v>#REF!</v>
      </c>
    </row>
    <row r="14" spans="1:4" ht="15.75" customHeight="1">
      <c r="A14" s="1"/>
      <c r="B14" s="1"/>
      <c r="C14" s="1" t="e">
        <f t="shared" si="0"/>
        <v>#REF!</v>
      </c>
      <c r="D14" s="1" t="e">
        <f t="shared" si="1"/>
        <v>#REF!</v>
      </c>
    </row>
    <row r="15" spans="1:4" ht="15.75" customHeight="1">
      <c r="A15" s="1"/>
      <c r="B15" s="1"/>
      <c r="C15" s="1" t="e">
        <f t="shared" si="0"/>
        <v>#REF!</v>
      </c>
      <c r="D15" s="1" t="e">
        <f t="shared" si="1"/>
        <v>#REF!</v>
      </c>
    </row>
    <row r="16" spans="1:4" ht="15.75" customHeight="1">
      <c r="A16" s="1"/>
      <c r="B16" s="1"/>
      <c r="C16" s="1" t="e">
        <f t="shared" si="0"/>
        <v>#REF!</v>
      </c>
      <c r="D16" s="1" t="e">
        <f t="shared" si="1"/>
        <v>#REF!</v>
      </c>
    </row>
    <row r="17" spans="1:4" ht="15.75" customHeight="1">
      <c r="A17" s="1"/>
      <c r="B17" s="1"/>
      <c r="C17" s="1" t="e">
        <f t="shared" si="0"/>
        <v>#REF!</v>
      </c>
      <c r="D17" s="1" t="e">
        <f t="shared" si="1"/>
        <v>#REF!</v>
      </c>
    </row>
    <row r="18" spans="1:4" ht="15.75" customHeight="1">
      <c r="A18" s="1"/>
      <c r="B18" s="1"/>
      <c r="C18" s="1" t="e">
        <f t="shared" si="0"/>
        <v>#REF!</v>
      </c>
      <c r="D18" s="1" t="e">
        <f t="shared" si="1"/>
        <v>#REF!</v>
      </c>
    </row>
    <row r="19" spans="1:4" ht="15.75" customHeight="1">
      <c r="A19" s="1"/>
      <c r="B19" s="1"/>
      <c r="C19" s="1" t="e">
        <f t="shared" si="0"/>
        <v>#REF!</v>
      </c>
      <c r="D19" s="1" t="e">
        <f t="shared" si="1"/>
        <v>#REF!</v>
      </c>
    </row>
    <row r="20" spans="1:4" ht="15.75" customHeight="1">
      <c r="A20" s="1"/>
      <c r="B20" s="1"/>
      <c r="C20" s="1" t="e">
        <f t="shared" si="0"/>
        <v>#REF!</v>
      </c>
      <c r="D20" s="1" t="e">
        <f t="shared" si="1"/>
        <v>#REF!</v>
      </c>
    </row>
    <row r="21" spans="1:4" ht="15.75" customHeight="1">
      <c r="A21" s="1"/>
      <c r="B21" s="1"/>
      <c r="C21" s="1" t="e">
        <f t="shared" si="0"/>
        <v>#REF!</v>
      </c>
      <c r="D21" s="1" t="e">
        <f t="shared" si="1"/>
        <v>#REF!</v>
      </c>
    </row>
    <row r="22" spans="1:4" ht="15.75" customHeight="1">
      <c r="A22" s="1"/>
      <c r="B22" s="1"/>
      <c r="C22" s="1" t="e">
        <f t="shared" si="0"/>
        <v>#REF!</v>
      </c>
      <c r="D22" s="1" t="e">
        <f t="shared" si="1"/>
        <v>#REF!</v>
      </c>
    </row>
    <row r="23" spans="1:4" ht="15.75" customHeight="1">
      <c r="A23" s="1"/>
      <c r="B23" s="1"/>
      <c r="C23" s="1" t="e">
        <f t="shared" si="0"/>
        <v>#REF!</v>
      </c>
      <c r="D23" s="1" t="e">
        <f t="shared" si="1"/>
        <v>#REF!</v>
      </c>
    </row>
    <row r="24" spans="1:4" ht="15.75" customHeight="1">
      <c r="A24" s="1"/>
      <c r="B24" s="1"/>
      <c r="C24" s="1" t="e">
        <f t="shared" si="0"/>
        <v>#REF!</v>
      </c>
      <c r="D24" s="1" t="e">
        <f t="shared" si="1"/>
        <v>#REF!</v>
      </c>
    </row>
    <row r="25" spans="1:4" ht="15.75" customHeight="1">
      <c r="A25" s="1"/>
      <c r="B25" s="1"/>
    </row>
    <row r="26" spans="1:4" ht="15.75" customHeight="1">
      <c r="A26" s="1"/>
      <c r="B26" s="1"/>
    </row>
    <row r="27" spans="1:4" ht="15.75" customHeight="1">
      <c r="A27" s="1"/>
      <c r="B27" s="1"/>
    </row>
    <row r="28" spans="1:4" ht="15.75" customHeight="1">
      <c r="A28" s="1"/>
      <c r="B28" s="1"/>
    </row>
    <row r="29" spans="1:4" ht="15.75" customHeight="1">
      <c r="A29" s="1"/>
      <c r="B29" s="1"/>
    </row>
    <row r="30" spans="1:4" ht="15.75" customHeight="1">
      <c r="A30" s="1"/>
      <c r="B30" s="1"/>
    </row>
    <row r="31" spans="1:4" ht="15.75" customHeight="1">
      <c r="A31" s="1"/>
      <c r="B31" s="1"/>
    </row>
    <row r="32" spans="1:4" ht="15.75" customHeight="1">
      <c r="A32" s="1"/>
      <c r="B32" s="1"/>
    </row>
    <row r="33" spans="1:2" ht="15.75" customHeight="1">
      <c r="A33" s="1"/>
      <c r="B33" s="1"/>
    </row>
    <row r="34" spans="1:2" ht="15.75" customHeight="1">
      <c r="A34" s="1"/>
      <c r="B34" s="1"/>
    </row>
    <row r="35" spans="1:2" ht="15.75" customHeight="1"/>
    <row r="36" spans="1:2" ht="15.75" customHeight="1"/>
    <row r="37" spans="1:2" ht="15.75" customHeight="1"/>
    <row r="38" spans="1:2" ht="15.75" customHeight="1"/>
    <row r="39" spans="1:2" ht="15.75" customHeight="1"/>
    <row r="40" spans="1:2" ht="15.75" customHeight="1"/>
    <row r="41" spans="1:2" ht="15.75" customHeight="1"/>
    <row r="42" spans="1:2" ht="15.75" customHeight="1"/>
    <row r="43" spans="1:2" ht="15.75" customHeight="1"/>
    <row r="44" spans="1:2" ht="15.75" customHeight="1"/>
    <row r="45" spans="1:2" ht="15.75" customHeight="1"/>
    <row r="46" spans="1:2" ht="15.75" customHeight="1"/>
    <row r="47" spans="1:2" ht="15.75" customHeight="1"/>
    <row r="48" spans="1:2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C1:E1000"/>
  <sheetViews>
    <sheetView workbookViewId="0"/>
  </sheetViews>
  <sheetFormatPr defaultColWidth="12.5703125" defaultRowHeight="15" customHeight="1"/>
  <cols>
    <col min="1" max="2" width="12.5703125" customWidth="1"/>
    <col min="3" max="3" width="28.42578125" customWidth="1"/>
    <col min="4" max="4" width="26.42578125" customWidth="1"/>
    <col min="5" max="6" width="19.5703125" customWidth="1"/>
  </cols>
  <sheetData>
    <row r="1" spans="3:5" ht="15.75" customHeight="1">
      <c r="C1" s="26"/>
    </row>
    <row r="2" spans="3:5" ht="15.75" customHeight="1">
      <c r="D2" s="85"/>
      <c r="E2" s="85"/>
    </row>
    <row r="3" spans="3:5" ht="15.75" customHeight="1">
      <c r="C3" s="1" t="s">
        <v>64</v>
      </c>
      <c r="D3" s="95">
        <v>45115</v>
      </c>
      <c r="E3" s="85"/>
    </row>
    <row r="4" spans="3:5" ht="15.75" customHeight="1">
      <c r="C4" s="1" t="s">
        <v>2031</v>
      </c>
      <c r="D4" s="95">
        <v>45114</v>
      </c>
      <c r="E4" s="85"/>
    </row>
    <row r="5" spans="3:5" ht="15.75" customHeight="1">
      <c r="C5" s="1" t="s">
        <v>2032</v>
      </c>
      <c r="D5" s="96" t="s">
        <v>2033</v>
      </c>
      <c r="E5" s="85"/>
    </row>
    <row r="6" spans="3:5" ht="15.75" customHeight="1">
      <c r="C6" s="1" t="s">
        <v>2034</v>
      </c>
      <c r="D6" s="96" t="s">
        <v>2035</v>
      </c>
      <c r="E6" s="85"/>
    </row>
    <row r="7" spans="3:5" ht="15.75" customHeight="1">
      <c r="C7" s="1" t="s">
        <v>2036</v>
      </c>
      <c r="D7" s="96" t="s">
        <v>2037</v>
      </c>
      <c r="E7" s="85"/>
    </row>
    <row r="8" spans="3:5" ht="15.75" customHeight="1">
      <c r="C8" s="1" t="s">
        <v>2038</v>
      </c>
      <c r="D8" s="1" t="s">
        <v>2039</v>
      </c>
      <c r="E8" s="85"/>
    </row>
    <row r="9" spans="3:5" ht="15.75" customHeight="1">
      <c r="C9" s="1" t="s">
        <v>2040</v>
      </c>
      <c r="D9" s="96" t="s">
        <v>2041</v>
      </c>
      <c r="E9" s="85"/>
    </row>
    <row r="10" spans="3:5" ht="15.75" customHeight="1">
      <c r="C10" s="1" t="s">
        <v>2042</v>
      </c>
      <c r="D10" s="1" t="s">
        <v>2041</v>
      </c>
      <c r="E10" s="85"/>
    </row>
    <row r="11" spans="3:5" ht="15.75" customHeight="1">
      <c r="C11" s="1" t="s">
        <v>2043</v>
      </c>
      <c r="D11" s="96" t="s">
        <v>2044</v>
      </c>
      <c r="E11" s="85"/>
    </row>
    <row r="12" spans="3:5" ht="15.75" customHeight="1">
      <c r="C12" s="1" t="s">
        <v>72</v>
      </c>
      <c r="D12" s="1" t="s">
        <v>2045</v>
      </c>
    </row>
    <row r="13" spans="3:5" ht="15.75" customHeight="1">
      <c r="C13" s="1" t="s">
        <v>2046</v>
      </c>
      <c r="D13" s="1" t="s">
        <v>2041</v>
      </c>
    </row>
    <row r="14" spans="3:5" ht="15.75" customHeight="1">
      <c r="C14" s="28" t="s">
        <v>2047</v>
      </c>
      <c r="D14" s="1" t="s">
        <v>2048</v>
      </c>
    </row>
    <row r="15" spans="3:5" ht="15.75" customHeight="1">
      <c r="C15" s="26"/>
    </row>
    <row r="16" spans="3:5" ht="15.75" customHeight="1">
      <c r="C16" s="26"/>
    </row>
    <row r="17" spans="3:3" ht="15.75" customHeight="1">
      <c r="C17" s="26"/>
    </row>
    <row r="18" spans="3:3" ht="15.75" customHeight="1">
      <c r="C18" s="26"/>
    </row>
    <row r="19" spans="3:3" ht="15.75" customHeight="1">
      <c r="C19" s="26"/>
    </row>
    <row r="20" spans="3:3" ht="15.75" customHeight="1">
      <c r="C20" s="26"/>
    </row>
    <row r="21" spans="3:3" ht="15.75" customHeight="1">
      <c r="C21" s="26"/>
    </row>
    <row r="22" spans="3:3" ht="15.75" customHeight="1">
      <c r="C22" s="26"/>
    </row>
    <row r="23" spans="3:3" ht="15.75" customHeight="1">
      <c r="C23" s="26"/>
    </row>
    <row r="24" spans="3:3" ht="15.75" customHeight="1">
      <c r="C24" s="26"/>
    </row>
    <row r="25" spans="3:3" ht="15.75" customHeight="1">
      <c r="C25" s="26"/>
    </row>
    <row r="26" spans="3:3" ht="15.75" customHeight="1">
      <c r="C26" s="26"/>
    </row>
    <row r="27" spans="3:3" ht="15.75" customHeight="1">
      <c r="C27" s="26"/>
    </row>
    <row r="28" spans="3:3" ht="15.75" customHeight="1">
      <c r="C28" s="26"/>
    </row>
    <row r="29" spans="3:3" ht="15.75" customHeight="1">
      <c r="C29" s="26"/>
    </row>
    <row r="30" spans="3:3" ht="15.75" customHeight="1">
      <c r="C30" s="26"/>
    </row>
    <row r="31" spans="3:3" ht="15.75" customHeight="1">
      <c r="C31" s="26"/>
    </row>
    <row r="32" spans="3:3" ht="15.75" customHeight="1">
      <c r="C32" s="26"/>
    </row>
    <row r="33" spans="3:3" ht="15.75" customHeight="1">
      <c r="C33" s="26"/>
    </row>
    <row r="34" spans="3:3" ht="15.75" customHeight="1">
      <c r="C34" s="26"/>
    </row>
    <row r="35" spans="3:3" ht="15.75" customHeight="1">
      <c r="C35" s="26"/>
    </row>
    <row r="36" spans="3:3" ht="15.75" customHeight="1">
      <c r="C36" s="26"/>
    </row>
    <row r="37" spans="3:3" ht="15.75" customHeight="1">
      <c r="C37" s="26"/>
    </row>
    <row r="38" spans="3:3" ht="15.75" customHeight="1">
      <c r="C38" s="26"/>
    </row>
    <row r="39" spans="3:3" ht="15.75" customHeight="1">
      <c r="C39" s="26"/>
    </row>
    <row r="40" spans="3:3" ht="15.75" customHeight="1">
      <c r="C40" s="26"/>
    </row>
    <row r="41" spans="3:3" ht="15.75" customHeight="1">
      <c r="C41" s="26"/>
    </row>
    <row r="42" spans="3:3" ht="15.75" customHeight="1">
      <c r="C42" s="26"/>
    </row>
    <row r="43" spans="3:3" ht="15.75" customHeight="1">
      <c r="C43" s="26"/>
    </row>
    <row r="44" spans="3:3" ht="15.75" customHeight="1">
      <c r="C44" s="26"/>
    </row>
    <row r="45" spans="3:3" ht="15.75" customHeight="1">
      <c r="C45" s="26"/>
    </row>
    <row r="46" spans="3:3" ht="15.75" customHeight="1">
      <c r="C46" s="26"/>
    </row>
    <row r="47" spans="3:3" ht="15.75" customHeight="1">
      <c r="C47" s="26"/>
    </row>
    <row r="48" spans="3:3" ht="15.75" customHeight="1">
      <c r="C48" s="26"/>
    </row>
    <row r="49" spans="3:3" ht="15.75" customHeight="1">
      <c r="C49" s="26"/>
    </row>
    <row r="50" spans="3:3" ht="15.75" customHeight="1">
      <c r="C50" s="26"/>
    </row>
    <row r="51" spans="3:3" ht="15.75" customHeight="1">
      <c r="C51" s="26"/>
    </row>
    <row r="52" spans="3:3" ht="15.75" customHeight="1">
      <c r="C52" s="26"/>
    </row>
    <row r="53" spans="3:3" ht="15.75" customHeight="1">
      <c r="C53" s="26"/>
    </row>
    <row r="54" spans="3:3" ht="15.75" customHeight="1">
      <c r="C54" s="26"/>
    </row>
    <row r="55" spans="3:3" ht="15.75" customHeight="1">
      <c r="C55" s="26"/>
    </row>
    <row r="56" spans="3:3" ht="15.75" customHeight="1">
      <c r="C56" s="26"/>
    </row>
    <row r="57" spans="3:3" ht="15.75" customHeight="1">
      <c r="C57" s="26"/>
    </row>
    <row r="58" spans="3:3" ht="15.75" customHeight="1">
      <c r="C58" s="26"/>
    </row>
    <row r="59" spans="3:3" ht="15.75" customHeight="1">
      <c r="C59" s="26"/>
    </row>
    <row r="60" spans="3:3" ht="15.75" customHeight="1">
      <c r="C60" s="26"/>
    </row>
    <row r="61" spans="3:3" ht="15.75" customHeight="1">
      <c r="C61" s="26"/>
    </row>
    <row r="62" spans="3:3" ht="15.75" customHeight="1">
      <c r="C62" s="26"/>
    </row>
    <row r="63" spans="3:3" ht="15.75" customHeight="1">
      <c r="C63" s="26"/>
    </row>
    <row r="64" spans="3:3" ht="15.75" customHeight="1">
      <c r="C64" s="26"/>
    </row>
    <row r="65" spans="3:3" ht="15.75" customHeight="1">
      <c r="C65" s="26"/>
    </row>
    <row r="66" spans="3:3" ht="15.75" customHeight="1">
      <c r="C66" s="26"/>
    </row>
    <row r="67" spans="3:3" ht="15.75" customHeight="1">
      <c r="C67" s="26"/>
    </row>
    <row r="68" spans="3:3" ht="15.75" customHeight="1">
      <c r="C68" s="26"/>
    </row>
    <row r="69" spans="3:3" ht="15.75" customHeight="1">
      <c r="C69" s="26"/>
    </row>
    <row r="70" spans="3:3" ht="15.75" customHeight="1">
      <c r="C70" s="26"/>
    </row>
    <row r="71" spans="3:3" ht="15.75" customHeight="1">
      <c r="C71" s="26"/>
    </row>
    <row r="72" spans="3:3" ht="15.75" customHeight="1">
      <c r="C72" s="26"/>
    </row>
    <row r="73" spans="3:3" ht="15.75" customHeight="1">
      <c r="C73" s="26"/>
    </row>
    <row r="74" spans="3:3" ht="15.75" customHeight="1">
      <c r="C74" s="26"/>
    </row>
    <row r="75" spans="3:3" ht="15.75" customHeight="1">
      <c r="C75" s="26"/>
    </row>
    <row r="76" spans="3:3" ht="15.75" customHeight="1">
      <c r="C76" s="26"/>
    </row>
    <row r="77" spans="3:3" ht="15.75" customHeight="1">
      <c r="C77" s="26"/>
    </row>
    <row r="78" spans="3:3" ht="15.75" customHeight="1">
      <c r="C78" s="26"/>
    </row>
    <row r="79" spans="3:3" ht="15.75" customHeight="1">
      <c r="C79" s="26"/>
    </row>
    <row r="80" spans="3:3" ht="15.75" customHeight="1">
      <c r="C80" s="26"/>
    </row>
    <row r="81" spans="3:3" ht="15.75" customHeight="1">
      <c r="C81" s="26"/>
    </row>
    <row r="82" spans="3:3" ht="15.75" customHeight="1">
      <c r="C82" s="26"/>
    </row>
    <row r="83" spans="3:3" ht="15.75" customHeight="1">
      <c r="C83" s="26"/>
    </row>
    <row r="84" spans="3:3" ht="15.75" customHeight="1">
      <c r="C84" s="26"/>
    </row>
    <row r="85" spans="3:3" ht="15.75" customHeight="1">
      <c r="C85" s="26"/>
    </row>
    <row r="86" spans="3:3" ht="15.75" customHeight="1">
      <c r="C86" s="26"/>
    </row>
    <row r="87" spans="3:3" ht="15.75" customHeight="1">
      <c r="C87" s="26"/>
    </row>
    <row r="88" spans="3:3" ht="15.75" customHeight="1">
      <c r="C88" s="26"/>
    </row>
    <row r="89" spans="3:3" ht="15.75" customHeight="1">
      <c r="C89" s="26"/>
    </row>
    <row r="90" spans="3:3" ht="15.75" customHeight="1">
      <c r="C90" s="26"/>
    </row>
    <row r="91" spans="3:3" ht="15.75" customHeight="1">
      <c r="C91" s="26"/>
    </row>
    <row r="92" spans="3:3" ht="15.75" customHeight="1">
      <c r="C92" s="26"/>
    </row>
    <row r="93" spans="3:3" ht="15.75" customHeight="1">
      <c r="C93" s="26"/>
    </row>
    <row r="94" spans="3:3" ht="15.75" customHeight="1">
      <c r="C94" s="26"/>
    </row>
    <row r="95" spans="3:3" ht="15.75" customHeight="1">
      <c r="C95" s="26"/>
    </row>
    <row r="96" spans="3:3" ht="15.75" customHeight="1">
      <c r="C96" s="26"/>
    </row>
    <row r="97" spans="3:3" ht="15.75" customHeight="1">
      <c r="C97" s="26"/>
    </row>
    <row r="98" spans="3:3" ht="15.75" customHeight="1">
      <c r="C98" s="26"/>
    </row>
    <row r="99" spans="3:3" ht="15.75" customHeight="1">
      <c r="C99" s="26"/>
    </row>
    <row r="100" spans="3:3" ht="15.75" customHeight="1">
      <c r="C100" s="26"/>
    </row>
    <row r="101" spans="3:3" ht="15.75" customHeight="1">
      <c r="C101" s="26"/>
    </row>
    <row r="102" spans="3:3" ht="15.75" customHeight="1">
      <c r="C102" s="26"/>
    </row>
    <row r="103" spans="3:3" ht="15.75" customHeight="1">
      <c r="C103" s="26"/>
    </row>
    <row r="104" spans="3:3" ht="15.75" customHeight="1">
      <c r="C104" s="26"/>
    </row>
    <row r="105" spans="3:3" ht="15.75" customHeight="1">
      <c r="C105" s="26"/>
    </row>
    <row r="106" spans="3:3" ht="15.75" customHeight="1">
      <c r="C106" s="26"/>
    </row>
    <row r="107" spans="3:3" ht="15.75" customHeight="1">
      <c r="C107" s="26"/>
    </row>
    <row r="108" spans="3:3" ht="15.75" customHeight="1">
      <c r="C108" s="26"/>
    </row>
    <row r="109" spans="3:3" ht="15.75" customHeight="1">
      <c r="C109" s="26"/>
    </row>
    <row r="110" spans="3:3" ht="15.75" customHeight="1">
      <c r="C110" s="26"/>
    </row>
    <row r="111" spans="3:3" ht="15.75" customHeight="1">
      <c r="C111" s="26"/>
    </row>
    <row r="112" spans="3:3" ht="15.75" customHeight="1">
      <c r="C112" s="26"/>
    </row>
    <row r="113" spans="3:3" ht="15.75" customHeight="1">
      <c r="C113" s="26"/>
    </row>
    <row r="114" spans="3:3" ht="15.75" customHeight="1">
      <c r="C114" s="26"/>
    </row>
    <row r="115" spans="3:3" ht="15.75" customHeight="1">
      <c r="C115" s="26"/>
    </row>
    <row r="116" spans="3:3" ht="15.75" customHeight="1">
      <c r="C116" s="26"/>
    </row>
    <row r="117" spans="3:3" ht="15.75" customHeight="1">
      <c r="C117" s="26"/>
    </row>
    <row r="118" spans="3:3" ht="15.75" customHeight="1">
      <c r="C118" s="26"/>
    </row>
    <row r="119" spans="3:3" ht="15.75" customHeight="1">
      <c r="C119" s="26"/>
    </row>
    <row r="120" spans="3:3" ht="15.75" customHeight="1">
      <c r="C120" s="26"/>
    </row>
    <row r="121" spans="3:3" ht="15.75" customHeight="1">
      <c r="C121" s="26"/>
    </row>
    <row r="122" spans="3:3" ht="15.75" customHeight="1">
      <c r="C122" s="26"/>
    </row>
    <row r="123" spans="3:3" ht="15.75" customHeight="1">
      <c r="C123" s="26"/>
    </row>
    <row r="124" spans="3:3" ht="15.75" customHeight="1">
      <c r="C124" s="26"/>
    </row>
    <row r="125" spans="3:3" ht="15.75" customHeight="1">
      <c r="C125" s="26"/>
    </row>
    <row r="126" spans="3:3" ht="15.75" customHeight="1">
      <c r="C126" s="26"/>
    </row>
    <row r="127" spans="3:3" ht="15.75" customHeight="1">
      <c r="C127" s="26"/>
    </row>
    <row r="128" spans="3:3" ht="15.75" customHeight="1">
      <c r="C128" s="26"/>
    </row>
    <row r="129" spans="3:3" ht="15.75" customHeight="1">
      <c r="C129" s="26"/>
    </row>
    <row r="130" spans="3:3" ht="15.75" customHeight="1">
      <c r="C130" s="26"/>
    </row>
    <row r="131" spans="3:3" ht="15.75" customHeight="1">
      <c r="C131" s="26"/>
    </row>
    <row r="132" spans="3:3" ht="15.75" customHeight="1">
      <c r="C132" s="26"/>
    </row>
    <row r="133" spans="3:3" ht="15.75" customHeight="1">
      <c r="C133" s="26"/>
    </row>
    <row r="134" spans="3:3" ht="15.75" customHeight="1">
      <c r="C134" s="26"/>
    </row>
    <row r="135" spans="3:3" ht="15.75" customHeight="1">
      <c r="C135" s="26"/>
    </row>
    <row r="136" spans="3:3" ht="15.75" customHeight="1">
      <c r="C136" s="26"/>
    </row>
    <row r="137" spans="3:3" ht="15.75" customHeight="1">
      <c r="C137" s="26"/>
    </row>
    <row r="138" spans="3:3" ht="15.75" customHeight="1">
      <c r="C138" s="26"/>
    </row>
    <row r="139" spans="3:3" ht="15.75" customHeight="1">
      <c r="C139" s="26"/>
    </row>
    <row r="140" spans="3:3" ht="15.75" customHeight="1">
      <c r="C140" s="26"/>
    </row>
    <row r="141" spans="3:3" ht="15.75" customHeight="1">
      <c r="C141" s="26"/>
    </row>
    <row r="142" spans="3:3" ht="15.75" customHeight="1">
      <c r="C142" s="26"/>
    </row>
    <row r="143" spans="3:3" ht="15.75" customHeight="1">
      <c r="C143" s="26"/>
    </row>
    <row r="144" spans="3:3" ht="15.75" customHeight="1">
      <c r="C144" s="26"/>
    </row>
    <row r="145" spans="3:3" ht="15.75" customHeight="1">
      <c r="C145" s="26"/>
    </row>
    <row r="146" spans="3:3" ht="15.75" customHeight="1">
      <c r="C146" s="26"/>
    </row>
    <row r="147" spans="3:3" ht="15.75" customHeight="1">
      <c r="C147" s="26"/>
    </row>
    <row r="148" spans="3:3" ht="15.75" customHeight="1">
      <c r="C148" s="26"/>
    </row>
    <row r="149" spans="3:3" ht="15.75" customHeight="1">
      <c r="C149" s="26"/>
    </row>
    <row r="150" spans="3:3" ht="15.75" customHeight="1">
      <c r="C150" s="26"/>
    </row>
    <row r="151" spans="3:3" ht="15.75" customHeight="1">
      <c r="C151" s="26"/>
    </row>
    <row r="152" spans="3:3" ht="15.75" customHeight="1">
      <c r="C152" s="26"/>
    </row>
    <row r="153" spans="3:3" ht="15.75" customHeight="1">
      <c r="C153" s="26"/>
    </row>
    <row r="154" spans="3:3" ht="15.75" customHeight="1">
      <c r="C154" s="26"/>
    </row>
    <row r="155" spans="3:3" ht="15.75" customHeight="1">
      <c r="C155" s="26"/>
    </row>
    <row r="156" spans="3:3" ht="15.75" customHeight="1">
      <c r="C156" s="26"/>
    </row>
    <row r="157" spans="3:3" ht="15.75" customHeight="1">
      <c r="C157" s="26"/>
    </row>
    <row r="158" spans="3:3" ht="15.75" customHeight="1">
      <c r="C158" s="26"/>
    </row>
    <row r="159" spans="3:3" ht="15.75" customHeight="1">
      <c r="C159" s="26"/>
    </row>
    <row r="160" spans="3:3" ht="15.75" customHeight="1">
      <c r="C160" s="26"/>
    </row>
    <row r="161" spans="3:3" ht="15.75" customHeight="1">
      <c r="C161" s="26"/>
    </row>
    <row r="162" spans="3:3" ht="15.75" customHeight="1">
      <c r="C162" s="26"/>
    </row>
    <row r="163" spans="3:3" ht="15.75" customHeight="1">
      <c r="C163" s="26"/>
    </row>
    <row r="164" spans="3:3" ht="15.75" customHeight="1">
      <c r="C164" s="26"/>
    </row>
    <row r="165" spans="3:3" ht="15.75" customHeight="1">
      <c r="C165" s="26"/>
    </row>
    <row r="166" spans="3:3" ht="15.75" customHeight="1">
      <c r="C166" s="26"/>
    </row>
    <row r="167" spans="3:3" ht="15.75" customHeight="1">
      <c r="C167" s="26"/>
    </row>
    <row r="168" spans="3:3" ht="15.75" customHeight="1">
      <c r="C168" s="26"/>
    </row>
    <row r="169" spans="3:3" ht="15.75" customHeight="1">
      <c r="C169" s="26"/>
    </row>
    <row r="170" spans="3:3" ht="15.75" customHeight="1">
      <c r="C170" s="26"/>
    </row>
    <row r="171" spans="3:3" ht="15.75" customHeight="1">
      <c r="C171" s="26"/>
    </row>
    <row r="172" spans="3:3" ht="15.75" customHeight="1">
      <c r="C172" s="26"/>
    </row>
    <row r="173" spans="3:3" ht="15.75" customHeight="1">
      <c r="C173" s="26"/>
    </row>
    <row r="174" spans="3:3" ht="15.75" customHeight="1">
      <c r="C174" s="26"/>
    </row>
    <row r="175" spans="3:3" ht="15.75" customHeight="1">
      <c r="C175" s="26"/>
    </row>
    <row r="176" spans="3:3" ht="15.75" customHeight="1">
      <c r="C176" s="26"/>
    </row>
    <row r="177" spans="3:3" ht="15.75" customHeight="1">
      <c r="C177" s="26"/>
    </row>
    <row r="178" spans="3:3" ht="15.75" customHeight="1">
      <c r="C178" s="26"/>
    </row>
    <row r="179" spans="3:3" ht="15.75" customHeight="1">
      <c r="C179" s="26"/>
    </row>
    <row r="180" spans="3:3" ht="15.75" customHeight="1">
      <c r="C180" s="26"/>
    </row>
    <row r="181" spans="3:3" ht="15.75" customHeight="1">
      <c r="C181" s="26"/>
    </row>
    <row r="182" spans="3:3" ht="15.75" customHeight="1">
      <c r="C182" s="26"/>
    </row>
    <row r="183" spans="3:3" ht="15.75" customHeight="1">
      <c r="C183" s="26"/>
    </row>
    <row r="184" spans="3:3" ht="15.75" customHeight="1">
      <c r="C184" s="26"/>
    </row>
    <row r="185" spans="3:3" ht="15.75" customHeight="1">
      <c r="C185" s="26"/>
    </row>
    <row r="186" spans="3:3" ht="15.75" customHeight="1">
      <c r="C186" s="26"/>
    </row>
    <row r="187" spans="3:3" ht="15.75" customHeight="1">
      <c r="C187" s="26"/>
    </row>
    <row r="188" spans="3:3" ht="15.75" customHeight="1">
      <c r="C188" s="26"/>
    </row>
    <row r="189" spans="3:3" ht="15.75" customHeight="1">
      <c r="C189" s="26"/>
    </row>
    <row r="190" spans="3:3" ht="15.75" customHeight="1">
      <c r="C190" s="26"/>
    </row>
    <row r="191" spans="3:3" ht="15.75" customHeight="1">
      <c r="C191" s="26"/>
    </row>
    <row r="192" spans="3:3" ht="15.75" customHeight="1">
      <c r="C192" s="26"/>
    </row>
    <row r="193" spans="3:3" ht="15.75" customHeight="1">
      <c r="C193" s="26"/>
    </row>
    <row r="194" spans="3:3" ht="15.75" customHeight="1">
      <c r="C194" s="26"/>
    </row>
    <row r="195" spans="3:3" ht="15.75" customHeight="1">
      <c r="C195" s="26"/>
    </row>
    <row r="196" spans="3:3" ht="15.75" customHeight="1">
      <c r="C196" s="26"/>
    </row>
    <row r="197" spans="3:3" ht="15.75" customHeight="1">
      <c r="C197" s="26"/>
    </row>
    <row r="198" spans="3:3" ht="15.75" customHeight="1">
      <c r="C198" s="26"/>
    </row>
    <row r="199" spans="3:3" ht="15.75" customHeight="1">
      <c r="C199" s="26"/>
    </row>
    <row r="200" spans="3:3" ht="15.75" customHeight="1">
      <c r="C200" s="26"/>
    </row>
    <row r="201" spans="3:3" ht="15.75" customHeight="1">
      <c r="C201" s="26"/>
    </row>
    <row r="202" spans="3:3" ht="15.75" customHeight="1">
      <c r="C202" s="26"/>
    </row>
    <row r="203" spans="3:3" ht="15.75" customHeight="1">
      <c r="C203" s="26"/>
    </row>
    <row r="204" spans="3:3" ht="15.75" customHeight="1">
      <c r="C204" s="26"/>
    </row>
    <row r="205" spans="3:3" ht="15.75" customHeight="1">
      <c r="C205" s="26"/>
    </row>
    <row r="206" spans="3:3" ht="15.75" customHeight="1">
      <c r="C206" s="26"/>
    </row>
    <row r="207" spans="3:3" ht="15.75" customHeight="1">
      <c r="C207" s="26"/>
    </row>
    <row r="208" spans="3:3" ht="15.75" customHeight="1">
      <c r="C208" s="26"/>
    </row>
    <row r="209" spans="3:3" ht="15.75" customHeight="1">
      <c r="C209" s="26"/>
    </row>
    <row r="210" spans="3:3" ht="15.75" customHeight="1">
      <c r="C210" s="26"/>
    </row>
    <row r="211" spans="3:3" ht="15.75" customHeight="1">
      <c r="C211" s="26"/>
    </row>
    <row r="212" spans="3:3" ht="15.75" customHeight="1">
      <c r="C212" s="26"/>
    </row>
    <row r="213" spans="3:3" ht="15.75" customHeight="1">
      <c r="C213" s="26"/>
    </row>
    <row r="214" spans="3:3" ht="15.75" customHeight="1">
      <c r="C214" s="26"/>
    </row>
    <row r="215" spans="3:3" ht="15.75" customHeight="1">
      <c r="C215" s="26"/>
    </row>
    <row r="216" spans="3:3" ht="15.75" customHeight="1">
      <c r="C216" s="26"/>
    </row>
    <row r="217" spans="3:3" ht="15.75" customHeight="1">
      <c r="C217" s="26"/>
    </row>
    <row r="218" spans="3:3" ht="15.75" customHeight="1">
      <c r="C218" s="26"/>
    </row>
    <row r="219" spans="3:3" ht="15.75" customHeight="1">
      <c r="C219" s="26"/>
    </row>
    <row r="220" spans="3:3" ht="15.75" customHeight="1">
      <c r="C220" s="26"/>
    </row>
    <row r="221" spans="3:3" ht="15.75" customHeight="1"/>
    <row r="222" spans="3:3" ht="15.75" customHeight="1"/>
    <row r="223" spans="3:3" ht="15.75" customHeight="1"/>
    <row r="224" spans="3:3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/>
  </sheetViews>
  <sheetFormatPr defaultColWidth="12.5703125" defaultRowHeight="15" customHeight="1"/>
  <cols>
    <col min="1" max="1" width="13.42578125" customWidth="1"/>
    <col min="2" max="2" width="20.5703125" customWidth="1"/>
    <col min="3" max="3" width="33.42578125" customWidth="1"/>
    <col min="4" max="4" width="27.7109375" customWidth="1"/>
    <col min="5" max="5" width="35.140625" customWidth="1"/>
    <col min="6" max="6" width="14.7109375" customWidth="1"/>
    <col min="7" max="7" width="23.42578125" customWidth="1"/>
  </cols>
  <sheetData>
    <row r="1" spans="1:7" ht="15.75" customHeight="1">
      <c r="A1" s="81" t="s">
        <v>41</v>
      </c>
      <c r="B1" s="81" t="s">
        <v>42</v>
      </c>
      <c r="C1" s="83" t="s">
        <v>43</v>
      </c>
      <c r="D1" s="83" t="s">
        <v>44</v>
      </c>
      <c r="E1" s="81" t="s">
        <v>1</v>
      </c>
      <c r="G1" s="1"/>
    </row>
    <row r="2" spans="1:7" ht="15.75" customHeight="1">
      <c r="A2" s="1">
        <v>19278</v>
      </c>
      <c r="B2" s="2">
        <v>45113.519814814819</v>
      </c>
      <c r="C2" s="26" t="s">
        <v>0</v>
      </c>
      <c r="D2" s="26">
        <v>25</v>
      </c>
      <c r="E2" s="1" t="s">
        <v>28</v>
      </c>
      <c r="G2" s="1"/>
    </row>
    <row r="3" spans="1:7" ht="15.75" customHeight="1">
      <c r="A3" s="1">
        <v>19277</v>
      </c>
      <c r="B3" s="2">
        <v>45113.020254629635</v>
      </c>
      <c r="C3" s="26" t="s">
        <v>0</v>
      </c>
      <c r="D3" s="26">
        <v>18</v>
      </c>
      <c r="E3" s="1" t="s">
        <v>28</v>
      </c>
      <c r="G3" s="1" t="s">
        <v>28</v>
      </c>
    </row>
    <row r="4" spans="1:7" ht="15.75" customHeight="1">
      <c r="A4" s="1">
        <v>19276</v>
      </c>
      <c r="B4" s="2">
        <v>45113.014930555553</v>
      </c>
      <c r="C4" s="26" t="s">
        <v>0</v>
      </c>
      <c r="D4" s="26">
        <v>25</v>
      </c>
      <c r="E4" s="1" t="s">
        <v>28</v>
      </c>
      <c r="G4" s="1" t="s">
        <v>81</v>
      </c>
    </row>
    <row r="5" spans="1:7" ht="15.75" customHeight="1">
      <c r="A5" s="1">
        <v>19275</v>
      </c>
      <c r="B5" s="2">
        <v>45112.944328703699</v>
      </c>
      <c r="C5" s="26" t="s">
        <v>0</v>
      </c>
      <c r="D5" s="26">
        <v>25</v>
      </c>
      <c r="E5" s="1" t="s">
        <v>81</v>
      </c>
      <c r="G5" s="1" t="s">
        <v>82</v>
      </c>
    </row>
    <row r="6" spans="1:7" ht="15.75" customHeight="1">
      <c r="A6" s="1">
        <v>19274</v>
      </c>
      <c r="B6" s="2">
        <v>45112.881354166668</v>
      </c>
      <c r="C6" s="26" t="s">
        <v>0</v>
      </c>
      <c r="D6" s="26">
        <v>25</v>
      </c>
      <c r="E6" s="1" t="s">
        <v>28</v>
      </c>
      <c r="G6" s="1" t="s">
        <v>83</v>
      </c>
    </row>
    <row r="7" spans="1:7" ht="15.75" customHeight="1">
      <c r="A7" s="1">
        <v>19267</v>
      </c>
      <c r="B7" s="2">
        <v>45112.810717592598</v>
      </c>
      <c r="C7" s="26" t="s">
        <v>0</v>
      </c>
      <c r="D7" s="26">
        <v>28</v>
      </c>
      <c r="E7" s="1" t="s">
        <v>28</v>
      </c>
      <c r="G7" s="1" t="s">
        <v>84</v>
      </c>
    </row>
    <row r="8" spans="1:7" ht="15.75" customHeight="1">
      <c r="A8" s="1">
        <v>19266</v>
      </c>
      <c r="B8" s="2">
        <v>45112.809444444443</v>
      </c>
      <c r="C8" s="26" t="s">
        <v>0</v>
      </c>
      <c r="D8" s="26">
        <v>28</v>
      </c>
      <c r="E8" s="1" t="s">
        <v>28</v>
      </c>
      <c r="G8" s="1" t="s">
        <v>59</v>
      </c>
    </row>
    <row r="9" spans="1:7" ht="15.75" customHeight="1">
      <c r="A9" s="1">
        <v>19265</v>
      </c>
      <c r="B9" s="2">
        <v>45112.682974537034</v>
      </c>
      <c r="C9" s="26" t="s">
        <v>0</v>
      </c>
      <c r="D9" s="26">
        <v>43</v>
      </c>
      <c r="E9" s="1" t="s">
        <v>28</v>
      </c>
      <c r="G9" s="1" t="s">
        <v>85</v>
      </c>
    </row>
    <row r="10" spans="1:7" ht="15.75" customHeight="1">
      <c r="A10" s="1">
        <v>19264</v>
      </c>
      <c r="B10" s="2">
        <v>45112.677256944444</v>
      </c>
      <c r="C10" s="26" t="s">
        <v>0</v>
      </c>
      <c r="D10" s="26">
        <v>18</v>
      </c>
      <c r="E10" s="1" t="s">
        <v>28</v>
      </c>
      <c r="G10" s="1" t="s">
        <v>15</v>
      </c>
    </row>
    <row r="11" spans="1:7" ht="15.75" customHeight="1">
      <c r="A11" s="1">
        <v>19263</v>
      </c>
      <c r="B11" s="2">
        <v>45112.675104166672</v>
      </c>
      <c r="C11" s="26" t="s">
        <v>0</v>
      </c>
      <c r="D11" s="26">
        <v>18</v>
      </c>
      <c r="E11" s="1" t="s">
        <v>28</v>
      </c>
      <c r="G11" s="1" t="s">
        <v>39</v>
      </c>
    </row>
    <row r="12" spans="1:7" ht="15.75" customHeight="1">
      <c r="A12" s="1">
        <v>19261</v>
      </c>
      <c r="B12" s="2">
        <v>45111.988877314812</v>
      </c>
      <c r="C12" s="26" t="s">
        <v>0</v>
      </c>
      <c r="D12" s="26">
        <v>15</v>
      </c>
      <c r="E12" s="1" t="s">
        <v>28</v>
      </c>
      <c r="G12" s="1" t="s">
        <v>50</v>
      </c>
    </row>
    <row r="13" spans="1:7" ht="15.75" customHeight="1">
      <c r="A13" s="1">
        <v>19260</v>
      </c>
      <c r="B13" s="2">
        <v>45110.9144212963</v>
      </c>
      <c r="C13" s="26" t="s">
        <v>0</v>
      </c>
      <c r="D13" s="26">
        <v>28</v>
      </c>
      <c r="E13" s="1" t="s">
        <v>28</v>
      </c>
      <c r="G13" s="1" t="s">
        <v>34</v>
      </c>
    </row>
    <row r="14" spans="1:7" ht="15.75" customHeight="1">
      <c r="A14" s="1">
        <v>19259</v>
      </c>
      <c r="B14" s="2">
        <v>45110.912870370375</v>
      </c>
      <c r="C14" s="26" t="s">
        <v>0</v>
      </c>
      <c r="D14" s="26">
        <v>28</v>
      </c>
      <c r="E14" s="1" t="s">
        <v>28</v>
      </c>
      <c r="F14" s="1"/>
      <c r="G14" s="1" t="s">
        <v>87</v>
      </c>
    </row>
    <row r="15" spans="1:7" ht="15.75" customHeight="1">
      <c r="A15" s="1">
        <v>19258</v>
      </c>
      <c r="B15" s="2">
        <v>45110.846539351856</v>
      </c>
      <c r="C15" s="26" t="s">
        <v>0</v>
      </c>
      <c r="D15" s="26">
        <v>51</v>
      </c>
      <c r="E15" s="1" t="s">
        <v>28</v>
      </c>
      <c r="F15" s="1"/>
      <c r="G15" s="1" t="s">
        <v>88</v>
      </c>
    </row>
    <row r="16" spans="1:7" ht="15.75" customHeight="1">
      <c r="A16" s="1">
        <v>19257</v>
      </c>
      <c r="B16" s="2">
        <v>45110.800775462965</v>
      </c>
      <c r="C16" s="26" t="s">
        <v>0</v>
      </c>
      <c r="D16" s="26">
        <v>25</v>
      </c>
      <c r="E16" s="1" t="s">
        <v>28</v>
      </c>
      <c r="F16" s="1"/>
      <c r="G16" s="1" t="s">
        <v>89</v>
      </c>
    </row>
    <row r="17" spans="1:7" ht="15.75" customHeight="1">
      <c r="A17" s="1">
        <v>19256</v>
      </c>
      <c r="B17" s="2">
        <v>45110.736898148149</v>
      </c>
      <c r="C17" s="26" t="s">
        <v>0</v>
      </c>
      <c r="D17" s="26">
        <v>15</v>
      </c>
      <c r="E17" s="1" t="s">
        <v>28</v>
      </c>
      <c r="F17" s="1"/>
      <c r="G17" s="1" t="s">
        <v>45</v>
      </c>
    </row>
    <row r="18" spans="1:7" ht="15.75" customHeight="1">
      <c r="A18" s="1">
        <v>19255</v>
      </c>
      <c r="B18" s="2">
        <v>45110.600949074069</v>
      </c>
      <c r="C18" s="26" t="s">
        <v>0</v>
      </c>
      <c r="D18" s="26">
        <v>0</v>
      </c>
      <c r="E18" s="1" t="s">
        <v>82</v>
      </c>
      <c r="F18" s="1"/>
    </row>
    <row r="19" spans="1:7" ht="15.75" customHeight="1">
      <c r="A19" s="1">
        <v>19254</v>
      </c>
      <c r="B19" s="2">
        <v>45110.599108796298</v>
      </c>
      <c r="C19" s="26" t="s">
        <v>0</v>
      </c>
      <c r="D19" s="26">
        <v>0</v>
      </c>
      <c r="E19" s="1" t="s">
        <v>82</v>
      </c>
      <c r="F19" s="1"/>
    </row>
    <row r="20" spans="1:7" ht="15.75" customHeight="1">
      <c r="A20" s="1">
        <v>19253</v>
      </c>
      <c r="B20" s="2">
        <v>45110.571122685185</v>
      </c>
      <c r="C20" s="26" t="s">
        <v>8</v>
      </c>
      <c r="D20" s="26">
        <v>25</v>
      </c>
      <c r="E20" s="1" t="s">
        <v>83</v>
      </c>
      <c r="F20" s="1"/>
    </row>
    <row r="21" spans="1:7" ht="15.75" customHeight="1">
      <c r="A21" s="1">
        <v>19252</v>
      </c>
      <c r="B21" s="2">
        <v>45110.149849537032</v>
      </c>
      <c r="C21" s="26" t="s">
        <v>8</v>
      </c>
      <c r="D21" s="26">
        <v>18</v>
      </c>
      <c r="E21" s="1" t="s">
        <v>84</v>
      </c>
      <c r="F21" s="1"/>
    </row>
    <row r="22" spans="1:7" ht="15.75" customHeight="1">
      <c r="A22" s="1">
        <v>19251</v>
      </c>
      <c r="B22" s="2">
        <v>45110.096805555557</v>
      </c>
      <c r="C22" s="26" t="s">
        <v>8</v>
      </c>
      <c r="D22" s="26">
        <v>25</v>
      </c>
      <c r="E22" s="1" t="s">
        <v>84</v>
      </c>
      <c r="F22" s="1"/>
    </row>
    <row r="23" spans="1:7" ht="15.75" customHeight="1">
      <c r="A23" s="1">
        <v>19250</v>
      </c>
      <c r="B23" s="2">
        <v>45109.179548611108</v>
      </c>
      <c r="C23" s="26" t="s">
        <v>0</v>
      </c>
      <c r="D23" s="26">
        <v>18</v>
      </c>
      <c r="E23" s="1" t="s">
        <v>28</v>
      </c>
      <c r="F23" s="3"/>
    </row>
    <row r="24" spans="1:7" ht="15.75" customHeight="1">
      <c r="A24" s="1">
        <v>19249</v>
      </c>
      <c r="B24" s="2">
        <v>45109.177650462967</v>
      </c>
      <c r="C24" s="26" t="s">
        <v>0</v>
      </c>
      <c r="D24" s="26">
        <v>18</v>
      </c>
      <c r="E24" s="1" t="s">
        <v>28</v>
      </c>
      <c r="F24" s="3"/>
    </row>
    <row r="25" spans="1:7" ht="15.75" customHeight="1">
      <c r="A25" s="1">
        <v>19248</v>
      </c>
      <c r="B25" s="2">
        <v>45109.073263888888</v>
      </c>
      <c r="C25" s="26" t="s">
        <v>5</v>
      </c>
      <c r="D25" s="26">
        <v>26</v>
      </c>
      <c r="E25" s="1" t="s">
        <v>59</v>
      </c>
      <c r="F25" s="3"/>
    </row>
    <row r="26" spans="1:7" ht="15.75" customHeight="1">
      <c r="A26" s="1">
        <v>19247</v>
      </c>
      <c r="B26" s="2">
        <v>45108.912395833337</v>
      </c>
      <c r="C26" s="26" t="s">
        <v>8</v>
      </c>
      <c r="D26" s="26">
        <v>26</v>
      </c>
      <c r="E26" s="1" t="s">
        <v>85</v>
      </c>
      <c r="F26" s="3"/>
    </row>
    <row r="27" spans="1:7" ht="15.75" customHeight="1">
      <c r="A27" s="1">
        <v>19246</v>
      </c>
      <c r="B27" s="2">
        <v>45108.83315972222</v>
      </c>
      <c r="C27" s="26" t="s">
        <v>0</v>
      </c>
      <c r="D27" s="26">
        <v>20</v>
      </c>
      <c r="E27" s="1" t="s">
        <v>28</v>
      </c>
      <c r="F27" s="3"/>
    </row>
    <row r="28" spans="1:7" ht="15.75" customHeight="1">
      <c r="A28" s="1">
        <v>19245</v>
      </c>
      <c r="B28" s="2">
        <v>45108.732777777783</v>
      </c>
      <c r="C28" s="26" t="s">
        <v>0</v>
      </c>
      <c r="D28" s="26">
        <v>18</v>
      </c>
      <c r="E28" s="1" t="s">
        <v>28</v>
      </c>
      <c r="F28" s="3"/>
    </row>
    <row r="29" spans="1:7" ht="15.75" customHeight="1">
      <c r="A29" s="1">
        <v>19244</v>
      </c>
      <c r="B29" s="2">
        <v>45108.573159722218</v>
      </c>
      <c r="C29" s="26" t="s">
        <v>16</v>
      </c>
      <c r="D29" s="26">
        <v>25</v>
      </c>
      <c r="E29" s="1" t="s">
        <v>15</v>
      </c>
      <c r="F29" s="3"/>
    </row>
    <row r="30" spans="1:7" ht="15.75" customHeight="1">
      <c r="A30" s="1">
        <v>19243</v>
      </c>
      <c r="B30" s="2">
        <v>45108.555439814816</v>
      </c>
      <c r="C30" s="26" t="s">
        <v>0</v>
      </c>
      <c r="D30" s="26">
        <v>15</v>
      </c>
      <c r="E30" s="1" t="s">
        <v>28</v>
      </c>
      <c r="F30" s="3"/>
    </row>
    <row r="31" spans="1:7" ht="15.75" customHeight="1">
      <c r="A31" s="1">
        <v>19242</v>
      </c>
      <c r="B31" s="2">
        <v>45108.121111111112</v>
      </c>
      <c r="C31" s="26" t="s">
        <v>0</v>
      </c>
      <c r="D31" s="26">
        <v>70</v>
      </c>
      <c r="E31" s="1" t="s">
        <v>39</v>
      </c>
      <c r="F31" s="3"/>
    </row>
    <row r="32" spans="1:7" ht="15.75" customHeight="1">
      <c r="A32" s="1">
        <v>19241</v>
      </c>
      <c r="B32" s="2">
        <v>45108.10291666667</v>
      </c>
      <c r="C32" s="26" t="s">
        <v>5</v>
      </c>
      <c r="D32" s="26">
        <v>40</v>
      </c>
      <c r="E32" s="1" t="s">
        <v>50</v>
      </c>
      <c r="F32" s="3"/>
    </row>
    <row r="33" spans="1:6" ht="15.75" customHeight="1">
      <c r="A33" s="1">
        <v>19240</v>
      </c>
      <c r="B33" s="2">
        <v>45107.822592592594</v>
      </c>
      <c r="C33" s="26" t="s">
        <v>0</v>
      </c>
      <c r="D33" s="26">
        <v>18</v>
      </c>
      <c r="E33" s="1" t="s">
        <v>28</v>
      </c>
      <c r="F33" s="3"/>
    </row>
    <row r="34" spans="1:6" ht="15.75" customHeight="1">
      <c r="A34" s="1">
        <v>19239</v>
      </c>
      <c r="B34" s="2">
        <v>45107.71230324074</v>
      </c>
      <c r="C34" s="26" t="s">
        <v>0</v>
      </c>
      <c r="D34" s="26">
        <v>25</v>
      </c>
      <c r="E34" s="1" t="s">
        <v>28</v>
      </c>
      <c r="F34" s="3"/>
    </row>
    <row r="35" spans="1:6" ht="15.75" customHeight="1">
      <c r="A35" s="1">
        <v>19238</v>
      </c>
      <c r="B35" s="2">
        <v>45107.710775462961</v>
      </c>
      <c r="C35" s="26" t="s">
        <v>0</v>
      </c>
      <c r="D35" s="26">
        <v>25</v>
      </c>
      <c r="E35" s="1" t="s">
        <v>28</v>
      </c>
      <c r="F35" s="3"/>
    </row>
    <row r="36" spans="1:6" ht="15.75" customHeight="1">
      <c r="A36" s="1">
        <v>19237</v>
      </c>
      <c r="B36" s="2">
        <v>45107.68241898148</v>
      </c>
      <c r="C36" s="26" t="s">
        <v>0</v>
      </c>
      <c r="D36" s="26">
        <v>30</v>
      </c>
      <c r="E36" s="1" t="s">
        <v>28</v>
      </c>
      <c r="F36" s="3"/>
    </row>
    <row r="37" spans="1:6" ht="15.75" customHeight="1">
      <c r="A37" s="1">
        <v>19236</v>
      </c>
      <c r="B37" s="2">
        <v>45106.850138888884</v>
      </c>
      <c r="C37" s="26" t="s">
        <v>0</v>
      </c>
      <c r="D37" s="26">
        <v>26</v>
      </c>
      <c r="E37" s="1" t="s">
        <v>28</v>
      </c>
      <c r="F37" s="3"/>
    </row>
    <row r="38" spans="1:6" ht="15.75" customHeight="1">
      <c r="A38" s="1">
        <v>19235</v>
      </c>
      <c r="B38" s="2">
        <v>45106.84679398148</v>
      </c>
      <c r="C38" s="26" t="s">
        <v>0</v>
      </c>
      <c r="D38" s="26">
        <v>26</v>
      </c>
      <c r="E38" s="1" t="s">
        <v>28</v>
      </c>
      <c r="F38" s="3"/>
    </row>
    <row r="39" spans="1:6" ht="15.75" customHeight="1">
      <c r="A39" s="1">
        <v>19234</v>
      </c>
      <c r="B39" s="2">
        <v>45106.575138888889</v>
      </c>
      <c r="C39" s="26" t="s">
        <v>0</v>
      </c>
      <c r="D39" s="26">
        <v>26</v>
      </c>
      <c r="E39" s="1" t="s">
        <v>28</v>
      </c>
      <c r="F39" s="3"/>
    </row>
    <row r="40" spans="1:6" ht="15.75" customHeight="1">
      <c r="A40" s="1">
        <v>19233</v>
      </c>
      <c r="B40" s="2">
        <v>45106.572847222225</v>
      </c>
      <c r="C40" s="26" t="s">
        <v>0</v>
      </c>
      <c r="D40" s="26">
        <v>26</v>
      </c>
      <c r="E40" s="1" t="s">
        <v>28</v>
      </c>
      <c r="F40" s="3"/>
    </row>
    <row r="41" spans="1:6" ht="15.75" customHeight="1">
      <c r="A41" s="1">
        <v>19232</v>
      </c>
      <c r="B41" s="2">
        <v>45106.511111111111</v>
      </c>
      <c r="C41" s="26" t="s">
        <v>0</v>
      </c>
      <c r="D41" s="26">
        <v>25</v>
      </c>
      <c r="E41" s="1" t="s">
        <v>28</v>
      </c>
      <c r="F41" s="3"/>
    </row>
    <row r="42" spans="1:6" ht="15.75" customHeight="1">
      <c r="A42" s="1">
        <v>19231</v>
      </c>
      <c r="B42" s="2">
        <v>45106.005740740744</v>
      </c>
      <c r="C42" s="26" t="s">
        <v>8</v>
      </c>
      <c r="D42" s="26">
        <v>25</v>
      </c>
      <c r="E42" s="1" t="s">
        <v>59</v>
      </c>
      <c r="F42" s="3"/>
    </row>
    <row r="43" spans="1:6" ht="15.75" customHeight="1">
      <c r="A43" s="1">
        <v>19230</v>
      </c>
      <c r="B43" s="2">
        <v>45105.967511574076</v>
      </c>
      <c r="C43" s="26" t="s">
        <v>0</v>
      </c>
      <c r="D43" s="26">
        <v>0</v>
      </c>
      <c r="E43" s="1" t="s">
        <v>28</v>
      </c>
      <c r="F43" s="3"/>
    </row>
    <row r="44" spans="1:6" ht="15.75" customHeight="1">
      <c r="A44" s="1">
        <v>19229</v>
      </c>
      <c r="B44" s="2">
        <v>45105.965983796297</v>
      </c>
      <c r="C44" s="26" t="s">
        <v>0</v>
      </c>
      <c r="D44" s="26">
        <v>65</v>
      </c>
      <c r="E44" s="1" t="s">
        <v>28</v>
      </c>
      <c r="F44" s="3"/>
    </row>
    <row r="45" spans="1:6" ht="15.75" customHeight="1">
      <c r="A45" s="1">
        <v>19228</v>
      </c>
      <c r="B45" s="2">
        <v>45105.955590277779</v>
      </c>
      <c r="C45" s="26" t="s">
        <v>0</v>
      </c>
      <c r="D45" s="26">
        <v>25</v>
      </c>
      <c r="E45" s="1" t="s">
        <v>39</v>
      </c>
      <c r="F45" s="3"/>
    </row>
    <row r="46" spans="1:6" ht="15.75" customHeight="1">
      <c r="A46" s="1">
        <v>19227</v>
      </c>
      <c r="B46" s="2">
        <v>45105.823136574079</v>
      </c>
      <c r="C46" s="26" t="s">
        <v>0</v>
      </c>
      <c r="D46" s="26">
        <v>53</v>
      </c>
      <c r="E46" s="1" t="s">
        <v>28</v>
      </c>
      <c r="F46" s="3"/>
    </row>
    <row r="47" spans="1:6" ht="15.75" customHeight="1">
      <c r="A47" s="1">
        <v>19226</v>
      </c>
      <c r="B47" s="2">
        <v>45105.58965277778</v>
      </c>
      <c r="C47" s="26" t="s">
        <v>0</v>
      </c>
      <c r="D47" s="26">
        <v>0</v>
      </c>
      <c r="E47" s="1" t="s">
        <v>28</v>
      </c>
      <c r="F47" s="3"/>
    </row>
    <row r="48" spans="1:6" ht="15.75" customHeight="1">
      <c r="A48" s="1">
        <v>19225</v>
      </c>
      <c r="B48" s="2">
        <v>45105.588310185187</v>
      </c>
      <c r="C48" s="26" t="s">
        <v>0</v>
      </c>
      <c r="D48" s="26">
        <v>81</v>
      </c>
      <c r="E48" s="1" t="s">
        <v>28</v>
      </c>
      <c r="F48" s="3"/>
    </row>
    <row r="49" spans="1:6" ht="15.75" customHeight="1">
      <c r="A49" s="1">
        <v>19224</v>
      </c>
      <c r="B49" s="2">
        <v>45105.579618055555</v>
      </c>
      <c r="C49" s="26" t="s">
        <v>0</v>
      </c>
      <c r="D49" s="26">
        <v>134</v>
      </c>
      <c r="E49" s="1" t="s">
        <v>28</v>
      </c>
      <c r="F49" s="3"/>
    </row>
    <row r="50" spans="1:6" ht="15.75" customHeight="1">
      <c r="A50" s="1">
        <v>19223</v>
      </c>
      <c r="B50" s="2">
        <v>45105.515798611115</v>
      </c>
      <c r="C50" s="26" t="s">
        <v>0</v>
      </c>
      <c r="D50" s="26">
        <v>25</v>
      </c>
      <c r="E50" s="1" t="s">
        <v>28</v>
      </c>
      <c r="F50" s="3"/>
    </row>
    <row r="51" spans="1:6" ht="15.75" customHeight="1">
      <c r="A51" s="1">
        <v>19222</v>
      </c>
      <c r="B51" s="2">
        <v>45105.155416666668</v>
      </c>
      <c r="C51" s="26" t="s">
        <v>0</v>
      </c>
      <c r="D51" s="26">
        <v>20</v>
      </c>
      <c r="E51" s="1" t="s">
        <v>34</v>
      </c>
      <c r="F51" s="3"/>
    </row>
    <row r="52" spans="1:6" ht="15.75" customHeight="1">
      <c r="A52" s="1">
        <v>19221</v>
      </c>
      <c r="B52" s="2">
        <v>45105.058738425927</v>
      </c>
      <c r="C52" s="26" t="s">
        <v>0</v>
      </c>
      <c r="D52" s="26">
        <v>15</v>
      </c>
      <c r="E52" s="1" t="s">
        <v>28</v>
      </c>
      <c r="F52" s="3"/>
    </row>
    <row r="53" spans="1:6" ht="15.75" customHeight="1">
      <c r="A53" s="1">
        <v>19220</v>
      </c>
      <c r="B53" s="2">
        <v>45104.862615740742</v>
      </c>
      <c r="C53" s="26" t="s">
        <v>0</v>
      </c>
      <c r="D53" s="26">
        <v>25</v>
      </c>
      <c r="E53" s="1" t="s">
        <v>28</v>
      </c>
      <c r="F53" s="3"/>
    </row>
    <row r="54" spans="1:6" ht="15.75" customHeight="1">
      <c r="A54" s="1">
        <v>19219</v>
      </c>
      <c r="B54" s="2">
        <v>45104.830231481479</v>
      </c>
      <c r="C54" s="26" t="s">
        <v>0</v>
      </c>
      <c r="D54" s="26">
        <v>18</v>
      </c>
      <c r="E54" s="1" t="s">
        <v>28</v>
      </c>
      <c r="F54" s="3"/>
    </row>
    <row r="55" spans="1:6" ht="15.75" customHeight="1">
      <c r="A55" s="1">
        <v>19218</v>
      </c>
      <c r="B55" s="2">
        <v>45104.743321759262</v>
      </c>
      <c r="C55" s="26" t="s">
        <v>0</v>
      </c>
      <c r="D55" s="26">
        <v>25</v>
      </c>
      <c r="E55" s="1" t="s">
        <v>28</v>
      </c>
      <c r="F55" s="3"/>
    </row>
    <row r="56" spans="1:6" ht="15.75" customHeight="1">
      <c r="A56" s="1">
        <v>19217</v>
      </c>
      <c r="B56" s="2">
        <v>45104.729108796295</v>
      </c>
      <c r="C56" s="26" t="s">
        <v>5</v>
      </c>
      <c r="D56" s="26">
        <v>35</v>
      </c>
      <c r="E56" s="1" t="s">
        <v>28</v>
      </c>
      <c r="F56" s="3"/>
    </row>
    <row r="57" spans="1:6" ht="15.75" customHeight="1">
      <c r="A57" s="1">
        <v>19216</v>
      </c>
      <c r="B57" s="2">
        <v>45104.61100694444</v>
      </c>
      <c r="C57" s="26" t="s">
        <v>0</v>
      </c>
      <c r="D57" s="26">
        <v>26</v>
      </c>
      <c r="E57" s="1" t="s">
        <v>28</v>
      </c>
      <c r="F57" s="3"/>
    </row>
    <row r="58" spans="1:6" ht="15.75" customHeight="1">
      <c r="A58" s="1">
        <v>19215</v>
      </c>
      <c r="B58" s="2">
        <v>45104.46774305556</v>
      </c>
      <c r="C58" s="26" t="s">
        <v>0</v>
      </c>
      <c r="D58" s="26">
        <v>53</v>
      </c>
      <c r="E58" s="1" t="s">
        <v>28</v>
      </c>
      <c r="F58" s="3"/>
    </row>
    <row r="59" spans="1:6" ht="15.75" customHeight="1">
      <c r="A59" s="1">
        <v>19214</v>
      </c>
      <c r="B59" s="2">
        <v>45104.141932870371</v>
      </c>
      <c r="C59" s="26" t="s">
        <v>0</v>
      </c>
      <c r="D59" s="26">
        <v>25</v>
      </c>
      <c r="E59" s="1" t="s">
        <v>28</v>
      </c>
      <c r="F59" s="3"/>
    </row>
    <row r="60" spans="1:6" ht="15.75" customHeight="1">
      <c r="A60" s="1">
        <v>19213</v>
      </c>
      <c r="B60" s="2">
        <v>45104.023356481484</v>
      </c>
      <c r="C60" s="26" t="s">
        <v>0</v>
      </c>
      <c r="D60" s="26">
        <v>0</v>
      </c>
      <c r="E60" s="1" t="s">
        <v>28</v>
      </c>
      <c r="F60" s="3"/>
    </row>
    <row r="61" spans="1:6" ht="15.75" customHeight="1">
      <c r="A61" s="1">
        <v>19212</v>
      </c>
      <c r="B61" s="2">
        <v>45104.007847222223</v>
      </c>
      <c r="C61" s="26" t="s">
        <v>0</v>
      </c>
      <c r="D61" s="26">
        <v>20</v>
      </c>
      <c r="E61" s="1" t="s">
        <v>28</v>
      </c>
      <c r="F61" s="3"/>
    </row>
    <row r="62" spans="1:6" ht="15.75" customHeight="1">
      <c r="A62" s="1">
        <v>19211</v>
      </c>
      <c r="B62" s="2">
        <v>45103.975520833337</v>
      </c>
      <c r="C62" s="26" t="s">
        <v>0</v>
      </c>
      <c r="D62" s="26">
        <v>22</v>
      </c>
      <c r="E62" s="1" t="s">
        <v>28</v>
      </c>
      <c r="F62" s="3"/>
    </row>
    <row r="63" spans="1:6" ht="15.75" customHeight="1">
      <c r="A63" s="1">
        <v>19210</v>
      </c>
      <c r="B63" s="2">
        <v>45103.95275462963</v>
      </c>
      <c r="C63" s="26" t="s">
        <v>0</v>
      </c>
      <c r="D63" s="26">
        <v>78</v>
      </c>
      <c r="E63" s="1" t="s">
        <v>28</v>
      </c>
      <c r="F63" s="3"/>
    </row>
    <row r="64" spans="1:6" ht="15.75" customHeight="1">
      <c r="A64" s="1">
        <v>19209</v>
      </c>
      <c r="B64" s="2">
        <v>45103.873460648145</v>
      </c>
      <c r="C64" s="26" t="s">
        <v>0</v>
      </c>
      <c r="D64" s="26">
        <v>25</v>
      </c>
      <c r="E64" s="1" t="s">
        <v>28</v>
      </c>
      <c r="F64" s="3"/>
    </row>
    <row r="65" spans="1:6" ht="15.75" customHeight="1">
      <c r="A65" s="1">
        <v>19208</v>
      </c>
      <c r="B65" s="2">
        <v>45103.869456018518</v>
      </c>
      <c r="C65" s="26" t="s">
        <v>5</v>
      </c>
      <c r="D65" s="26">
        <v>25</v>
      </c>
      <c r="E65" s="1" t="s">
        <v>28</v>
      </c>
      <c r="F65" s="3"/>
    </row>
    <row r="66" spans="1:6" ht="15.75" customHeight="1">
      <c r="A66" s="1">
        <v>19207</v>
      </c>
      <c r="B66" s="2">
        <v>45103.808854166666</v>
      </c>
      <c r="C66" s="26" t="s">
        <v>0</v>
      </c>
      <c r="D66" s="26">
        <v>26</v>
      </c>
      <c r="E66" s="1" t="s">
        <v>28</v>
      </c>
      <c r="F66" s="3"/>
    </row>
    <row r="67" spans="1:6" ht="15.75" customHeight="1">
      <c r="A67" s="1">
        <v>19206</v>
      </c>
      <c r="B67" s="2">
        <v>45103.703321759254</v>
      </c>
      <c r="C67" s="26" t="s">
        <v>10</v>
      </c>
      <c r="D67" s="26">
        <v>15</v>
      </c>
      <c r="E67" s="1" t="s">
        <v>84</v>
      </c>
      <c r="F67" s="3"/>
    </row>
    <row r="68" spans="1:6" ht="15.75" customHeight="1">
      <c r="A68" s="1">
        <v>19205</v>
      </c>
      <c r="B68" s="2">
        <v>45103.657118055555</v>
      </c>
      <c r="C68" s="26" t="s">
        <v>0</v>
      </c>
      <c r="D68" s="26">
        <v>20</v>
      </c>
      <c r="E68" s="1" t="s">
        <v>28</v>
      </c>
      <c r="F68" s="3"/>
    </row>
    <row r="69" spans="1:6" ht="15.75" customHeight="1">
      <c r="A69" s="1">
        <v>19204</v>
      </c>
      <c r="B69" s="2">
        <v>45103.649976851855</v>
      </c>
      <c r="C69" s="26" t="s">
        <v>0</v>
      </c>
      <c r="D69" s="26">
        <v>25</v>
      </c>
      <c r="E69" s="1" t="s">
        <v>28</v>
      </c>
      <c r="F69" s="3"/>
    </row>
    <row r="70" spans="1:6" ht="15.75" customHeight="1">
      <c r="A70" s="1">
        <v>19203</v>
      </c>
      <c r="B70" s="2">
        <v>45103.559212962966</v>
      </c>
      <c r="C70" s="26" t="s">
        <v>0</v>
      </c>
      <c r="D70" s="26">
        <v>0</v>
      </c>
      <c r="E70" s="1" t="s">
        <v>28</v>
      </c>
      <c r="F70" s="3"/>
    </row>
    <row r="71" spans="1:6" ht="15.75" customHeight="1">
      <c r="A71" s="1">
        <v>19202</v>
      </c>
      <c r="B71" s="2">
        <v>45103.557789351849</v>
      </c>
      <c r="C71" s="26" t="s">
        <v>0</v>
      </c>
      <c r="D71" s="26">
        <v>18</v>
      </c>
      <c r="E71" s="1" t="s">
        <v>28</v>
      </c>
      <c r="F71" s="3"/>
    </row>
    <row r="72" spans="1:6" ht="15.75" customHeight="1">
      <c r="A72" s="1">
        <v>19201</v>
      </c>
      <c r="B72" s="2">
        <v>45103.063819444447</v>
      </c>
      <c r="C72" s="26" t="s">
        <v>0</v>
      </c>
      <c r="D72" s="26">
        <v>15</v>
      </c>
      <c r="E72" s="1" t="s">
        <v>28</v>
      </c>
      <c r="F72" s="3"/>
    </row>
    <row r="73" spans="1:6" ht="15.75" customHeight="1">
      <c r="A73" s="1">
        <v>19200</v>
      </c>
      <c r="B73" s="2">
        <v>45103.034618055557</v>
      </c>
      <c r="C73" s="26" t="s">
        <v>0</v>
      </c>
      <c r="D73" s="26">
        <v>25</v>
      </c>
      <c r="E73" s="1" t="s">
        <v>28</v>
      </c>
      <c r="F73" s="3"/>
    </row>
    <row r="74" spans="1:6" ht="15.75" customHeight="1">
      <c r="A74" s="1">
        <v>19199</v>
      </c>
      <c r="B74" s="2">
        <v>45102.990740740745</v>
      </c>
      <c r="C74" s="26" t="s">
        <v>0</v>
      </c>
      <c r="D74" s="26">
        <v>52</v>
      </c>
      <c r="E74" s="1" t="s">
        <v>28</v>
      </c>
      <c r="F74" s="3"/>
    </row>
    <row r="75" spans="1:6" ht="15.75" customHeight="1">
      <c r="A75" s="1">
        <v>19198</v>
      </c>
      <c r="B75" s="2">
        <v>45102.989282407405</v>
      </c>
      <c r="C75" s="26" t="s">
        <v>0</v>
      </c>
      <c r="D75" s="26">
        <v>35</v>
      </c>
      <c r="E75" s="1" t="s">
        <v>28</v>
      </c>
      <c r="F75" s="3"/>
    </row>
    <row r="76" spans="1:6" ht="15.75" customHeight="1">
      <c r="A76" s="1">
        <v>19197</v>
      </c>
      <c r="B76" s="2">
        <v>45102.874652777777</v>
      </c>
      <c r="C76" s="26" t="s">
        <v>0</v>
      </c>
      <c r="D76" s="26">
        <v>53</v>
      </c>
      <c r="E76" s="1" t="s">
        <v>28</v>
      </c>
      <c r="F76" s="3"/>
    </row>
    <row r="77" spans="1:6" ht="15.75" customHeight="1">
      <c r="A77" s="1">
        <v>19196</v>
      </c>
      <c r="B77" s="2">
        <v>45102.872731481482</v>
      </c>
      <c r="C77" s="26" t="s">
        <v>0</v>
      </c>
      <c r="D77" s="26">
        <v>15</v>
      </c>
      <c r="E77" s="1" t="s">
        <v>28</v>
      </c>
      <c r="F77" s="3"/>
    </row>
    <row r="78" spans="1:6" ht="15.75" customHeight="1">
      <c r="A78" s="1">
        <v>19195</v>
      </c>
      <c r="B78" s="2">
        <v>45102.870659722219</v>
      </c>
      <c r="C78" s="26" t="s">
        <v>0</v>
      </c>
      <c r="D78" s="26">
        <v>15</v>
      </c>
      <c r="E78" s="1" t="s">
        <v>28</v>
      </c>
      <c r="F78" s="3"/>
    </row>
    <row r="79" spans="1:6" ht="15.75" customHeight="1">
      <c r="A79" s="1">
        <v>19194</v>
      </c>
      <c r="B79" s="2">
        <v>45102.799293981487</v>
      </c>
      <c r="C79" s="26" t="s">
        <v>0</v>
      </c>
      <c r="D79" s="26">
        <v>28</v>
      </c>
      <c r="E79" s="1" t="s">
        <v>28</v>
      </c>
      <c r="F79" s="3"/>
    </row>
    <row r="80" spans="1:6" ht="15.75" customHeight="1">
      <c r="A80" s="1">
        <v>19193</v>
      </c>
      <c r="B80" s="2">
        <v>45102.631261574075</v>
      </c>
      <c r="C80" s="26" t="s">
        <v>0</v>
      </c>
      <c r="D80" s="26">
        <v>26</v>
      </c>
      <c r="E80" s="1" t="s">
        <v>28</v>
      </c>
      <c r="F80" s="3"/>
    </row>
    <row r="81" spans="1:6" ht="15.75" customHeight="1">
      <c r="A81" s="1">
        <v>19192</v>
      </c>
      <c r="B81" s="2">
        <v>45102.60869212963</v>
      </c>
      <c r="C81" s="26" t="s">
        <v>0</v>
      </c>
      <c r="D81" s="26">
        <v>15</v>
      </c>
      <c r="E81" s="1" t="s">
        <v>28</v>
      </c>
      <c r="F81" s="3"/>
    </row>
    <row r="82" spans="1:6" ht="15.75" customHeight="1">
      <c r="A82" s="1">
        <v>19191</v>
      </c>
      <c r="B82" s="2">
        <v>45102.608113425929</v>
      </c>
      <c r="C82" s="26" t="s">
        <v>0</v>
      </c>
      <c r="D82" s="26">
        <v>28</v>
      </c>
      <c r="E82" s="1" t="s">
        <v>28</v>
      </c>
      <c r="F82" s="3"/>
    </row>
    <row r="83" spans="1:6" ht="15.75" customHeight="1">
      <c r="A83" s="1">
        <v>19190</v>
      </c>
      <c r="B83" s="2">
        <v>45102.607210648144</v>
      </c>
      <c r="C83" s="26" t="s">
        <v>0</v>
      </c>
      <c r="D83" s="26">
        <v>25</v>
      </c>
      <c r="E83" s="1" t="s">
        <v>28</v>
      </c>
      <c r="F83" s="3"/>
    </row>
    <row r="84" spans="1:6" ht="15.75" customHeight="1">
      <c r="A84" s="1">
        <v>19189</v>
      </c>
      <c r="B84" s="2">
        <v>45102.597893518519</v>
      </c>
      <c r="C84" s="26" t="s">
        <v>0</v>
      </c>
      <c r="D84" s="26">
        <v>26</v>
      </c>
      <c r="E84" s="1" t="s">
        <v>28</v>
      </c>
      <c r="F84" s="3"/>
    </row>
    <row r="85" spans="1:6" ht="15.75" customHeight="1">
      <c r="A85" s="1">
        <v>19188</v>
      </c>
      <c r="B85" s="2">
        <v>45102.595138888893</v>
      </c>
      <c r="C85" s="26" t="s">
        <v>0</v>
      </c>
      <c r="D85" s="26">
        <v>35</v>
      </c>
      <c r="E85" s="1" t="s">
        <v>87</v>
      </c>
      <c r="F85" s="3"/>
    </row>
    <row r="86" spans="1:6" ht="15.75" customHeight="1">
      <c r="A86" s="1">
        <v>19187</v>
      </c>
      <c r="B86" s="2">
        <v>45102.586817129632</v>
      </c>
      <c r="C86" s="26" t="s">
        <v>0</v>
      </c>
      <c r="D86" s="26">
        <v>35</v>
      </c>
      <c r="E86" s="1" t="s">
        <v>28</v>
      </c>
      <c r="F86" s="3"/>
    </row>
    <row r="87" spans="1:6" ht="15.75" customHeight="1">
      <c r="A87" s="1">
        <v>19186</v>
      </c>
      <c r="B87" s="2">
        <v>45102.585497685184</v>
      </c>
      <c r="C87" s="26" t="s">
        <v>0</v>
      </c>
      <c r="D87" s="26">
        <v>35</v>
      </c>
      <c r="E87" s="1" t="s">
        <v>28</v>
      </c>
      <c r="F87" s="3"/>
    </row>
    <row r="88" spans="1:6" ht="15.75" customHeight="1">
      <c r="A88" s="1">
        <v>19185</v>
      </c>
      <c r="B88" s="2">
        <v>45102.584664351853</v>
      </c>
      <c r="C88" s="26" t="s">
        <v>0</v>
      </c>
      <c r="D88" s="26">
        <v>15</v>
      </c>
      <c r="E88" s="1" t="s">
        <v>28</v>
      </c>
      <c r="F88" s="3"/>
    </row>
    <row r="89" spans="1:6" ht="15.75" customHeight="1">
      <c r="A89" s="1">
        <v>19184</v>
      </c>
      <c r="B89" s="2">
        <v>45102.583333333328</v>
      </c>
      <c r="C89" s="26" t="s">
        <v>0</v>
      </c>
      <c r="D89" s="26">
        <v>35</v>
      </c>
      <c r="E89" s="1" t="s">
        <v>28</v>
      </c>
      <c r="F89" s="3"/>
    </row>
    <row r="90" spans="1:6" ht="15.75" customHeight="1">
      <c r="A90" s="1">
        <v>19183</v>
      </c>
      <c r="B90" s="2">
        <v>45102.573680555557</v>
      </c>
      <c r="C90" s="26" t="s">
        <v>0</v>
      </c>
      <c r="D90" s="26">
        <v>25</v>
      </c>
      <c r="E90" s="1" t="s">
        <v>28</v>
      </c>
      <c r="F90" s="3"/>
    </row>
    <row r="91" spans="1:6" ht="15.75" customHeight="1">
      <c r="A91" s="1">
        <v>19182</v>
      </c>
      <c r="B91" s="2">
        <v>45102.555543981478</v>
      </c>
      <c r="C91" s="26" t="s">
        <v>0</v>
      </c>
      <c r="D91" s="26">
        <v>25</v>
      </c>
      <c r="E91" s="1" t="s">
        <v>28</v>
      </c>
      <c r="F91" s="3"/>
    </row>
    <row r="92" spans="1:6" ht="15.75" customHeight="1">
      <c r="A92" s="1">
        <v>19181</v>
      </c>
      <c r="B92" s="2">
        <v>45102.554224537038</v>
      </c>
      <c r="C92" s="26" t="s">
        <v>0</v>
      </c>
      <c r="D92" s="26">
        <v>25</v>
      </c>
      <c r="E92" s="1" t="s">
        <v>28</v>
      </c>
      <c r="F92" s="3"/>
    </row>
    <row r="93" spans="1:6" ht="15.75" customHeight="1">
      <c r="A93" s="1">
        <v>19180</v>
      </c>
      <c r="B93" s="2">
        <v>45102.550983796296</v>
      </c>
      <c r="C93" s="26" t="s">
        <v>0</v>
      </c>
      <c r="D93" s="26">
        <v>28</v>
      </c>
      <c r="E93" s="1" t="s">
        <v>28</v>
      </c>
      <c r="F93" s="3"/>
    </row>
    <row r="94" spans="1:6" ht="15.75" customHeight="1">
      <c r="A94" s="1">
        <v>19179</v>
      </c>
      <c r="B94" s="2">
        <v>45102.549780092595</v>
      </c>
      <c r="C94" s="26" t="s">
        <v>0</v>
      </c>
      <c r="D94" s="26">
        <v>55</v>
      </c>
      <c r="E94" s="1" t="s">
        <v>28</v>
      </c>
      <c r="F94" s="3"/>
    </row>
    <row r="95" spans="1:6" ht="15.75" customHeight="1">
      <c r="A95" s="1">
        <v>19178</v>
      </c>
      <c r="B95" s="2">
        <v>45102.527800925927</v>
      </c>
      <c r="C95" s="26" t="s">
        <v>0</v>
      </c>
      <c r="D95" s="26">
        <v>20</v>
      </c>
      <c r="E95" s="1" t="s">
        <v>28</v>
      </c>
      <c r="F95" s="3"/>
    </row>
    <row r="96" spans="1:6" ht="15.75" customHeight="1">
      <c r="A96" s="1">
        <v>19177</v>
      </c>
      <c r="B96" s="2">
        <v>45102.526539351849</v>
      </c>
      <c r="C96" s="26" t="s">
        <v>0</v>
      </c>
      <c r="D96" s="26">
        <v>20</v>
      </c>
      <c r="E96" s="1" t="s">
        <v>28</v>
      </c>
      <c r="F96" s="3"/>
    </row>
    <row r="97" spans="1:6" ht="15.75" customHeight="1">
      <c r="A97" s="1">
        <v>19176</v>
      </c>
      <c r="B97" s="2">
        <v>45102.522060185191</v>
      </c>
      <c r="C97" s="26" t="s">
        <v>0</v>
      </c>
      <c r="D97" s="26">
        <v>35</v>
      </c>
      <c r="E97" s="1" t="s">
        <v>28</v>
      </c>
      <c r="F97" s="3"/>
    </row>
    <row r="98" spans="1:6" ht="15.75" customHeight="1">
      <c r="A98" s="1">
        <v>19175</v>
      </c>
      <c r="B98" s="2">
        <v>45102.505277777775</v>
      </c>
      <c r="C98" s="26" t="s">
        <v>0</v>
      </c>
      <c r="D98" s="26">
        <v>18</v>
      </c>
      <c r="E98" s="1" t="s">
        <v>28</v>
      </c>
      <c r="F98" s="3"/>
    </row>
    <row r="99" spans="1:6" ht="15.75" customHeight="1">
      <c r="A99" s="1">
        <v>19174</v>
      </c>
      <c r="B99" s="2">
        <v>45102.267754629633</v>
      </c>
      <c r="C99" s="26" t="s">
        <v>0</v>
      </c>
      <c r="D99" s="26">
        <v>80</v>
      </c>
      <c r="E99" s="1" t="s">
        <v>28</v>
      </c>
      <c r="F99" s="3"/>
    </row>
    <row r="100" spans="1:6" ht="15.75" customHeight="1">
      <c r="A100" s="1">
        <v>19173</v>
      </c>
      <c r="B100" s="2">
        <v>45102.22625</v>
      </c>
      <c r="C100" s="26" t="s">
        <v>0</v>
      </c>
      <c r="D100" s="26">
        <v>28</v>
      </c>
      <c r="E100" s="1" t="s">
        <v>39</v>
      </c>
      <c r="F100" s="3"/>
    </row>
    <row r="101" spans="1:6" ht="15.75" customHeight="1">
      <c r="A101" s="1">
        <v>19172</v>
      </c>
      <c r="B101" s="2">
        <v>45102.13548611111</v>
      </c>
      <c r="C101" s="26" t="s">
        <v>0</v>
      </c>
      <c r="D101" s="26">
        <v>20</v>
      </c>
      <c r="E101" s="1" t="s">
        <v>28</v>
      </c>
      <c r="F101" s="3"/>
    </row>
    <row r="102" spans="1:6" ht="15.75" customHeight="1">
      <c r="A102" s="1">
        <v>19171</v>
      </c>
      <c r="B102" s="2">
        <v>45102.133703703701</v>
      </c>
      <c r="C102" s="26" t="s">
        <v>0</v>
      </c>
      <c r="D102" s="26">
        <v>20</v>
      </c>
      <c r="E102" s="1" t="s">
        <v>28</v>
      </c>
      <c r="F102" s="3"/>
    </row>
    <row r="103" spans="1:6" ht="15.75" customHeight="1">
      <c r="A103" s="1">
        <v>19170</v>
      </c>
      <c r="B103" s="2">
        <v>45102.132569444446</v>
      </c>
      <c r="C103" s="26" t="s">
        <v>0</v>
      </c>
      <c r="D103" s="26">
        <v>20</v>
      </c>
      <c r="E103" s="1" t="s">
        <v>28</v>
      </c>
      <c r="F103" s="3"/>
    </row>
    <row r="104" spans="1:6" ht="15.75" customHeight="1">
      <c r="A104" s="1">
        <v>19169</v>
      </c>
      <c r="B104" s="2">
        <v>45102.032048611116</v>
      </c>
      <c r="C104" s="26" t="s">
        <v>0</v>
      </c>
      <c r="D104" s="26">
        <v>25</v>
      </c>
      <c r="E104" s="1" t="s">
        <v>88</v>
      </c>
      <c r="F104" s="3"/>
    </row>
    <row r="105" spans="1:6" ht="15.75" customHeight="1">
      <c r="A105" s="1">
        <v>19168</v>
      </c>
      <c r="B105" s="2">
        <v>45101.852870370371</v>
      </c>
      <c r="C105" s="26" t="s">
        <v>0</v>
      </c>
      <c r="D105" s="26">
        <v>26</v>
      </c>
      <c r="E105" s="1" t="s">
        <v>28</v>
      </c>
      <c r="F105" s="3"/>
    </row>
    <row r="106" spans="1:6" ht="15.75" customHeight="1">
      <c r="A106" s="1">
        <v>19167</v>
      </c>
      <c r="B106" s="2">
        <v>45101.848043981481</v>
      </c>
      <c r="C106" s="26" t="s">
        <v>0</v>
      </c>
      <c r="D106" s="26">
        <v>26</v>
      </c>
      <c r="E106" s="1" t="s">
        <v>28</v>
      </c>
      <c r="F106" s="3"/>
    </row>
    <row r="107" spans="1:6" ht="15.75" customHeight="1">
      <c r="A107" s="1">
        <v>19166</v>
      </c>
      <c r="B107" s="2">
        <v>45101.814317129625</v>
      </c>
      <c r="C107" s="26" t="s">
        <v>0</v>
      </c>
      <c r="D107" s="26">
        <v>18</v>
      </c>
      <c r="E107" s="1" t="s">
        <v>28</v>
      </c>
      <c r="F107" s="3"/>
    </row>
    <row r="108" spans="1:6" ht="15.75" customHeight="1">
      <c r="A108" s="1">
        <v>19165</v>
      </c>
      <c r="B108" s="2">
        <v>45101.811412037037</v>
      </c>
      <c r="C108" s="26" t="s">
        <v>0</v>
      </c>
      <c r="D108" s="26">
        <v>33</v>
      </c>
      <c r="E108" s="1" t="s">
        <v>28</v>
      </c>
      <c r="F108" s="3"/>
    </row>
    <row r="109" spans="1:6" ht="15.75" customHeight="1">
      <c r="A109" s="1">
        <v>19164</v>
      </c>
      <c r="B109" s="2">
        <v>45101.774537037039</v>
      </c>
      <c r="C109" s="26" t="s">
        <v>0</v>
      </c>
      <c r="D109" s="26">
        <v>18</v>
      </c>
      <c r="E109" s="1" t="s">
        <v>28</v>
      </c>
      <c r="F109" s="3"/>
    </row>
    <row r="110" spans="1:6" ht="15.75" customHeight="1">
      <c r="A110" s="1">
        <v>19163</v>
      </c>
      <c r="B110" s="2">
        <v>45101.71402777778</v>
      </c>
      <c r="C110" s="26" t="s">
        <v>0</v>
      </c>
      <c r="D110" s="26">
        <v>26</v>
      </c>
      <c r="E110" s="1" t="s">
        <v>28</v>
      </c>
      <c r="F110" s="3"/>
    </row>
    <row r="111" spans="1:6" ht="15.75" customHeight="1">
      <c r="A111" s="1">
        <v>19162</v>
      </c>
      <c r="B111" s="2">
        <v>45101.713090277779</v>
      </c>
      <c r="C111" s="26" t="s">
        <v>5</v>
      </c>
      <c r="D111" s="26">
        <v>25</v>
      </c>
      <c r="E111" s="1" t="s">
        <v>28</v>
      </c>
      <c r="F111" s="3"/>
    </row>
    <row r="112" spans="1:6" ht="15.75" customHeight="1">
      <c r="A112" s="1">
        <v>19161</v>
      </c>
      <c r="B112" s="2">
        <v>45101.689328703702</v>
      </c>
      <c r="C112" s="26" t="s">
        <v>0</v>
      </c>
      <c r="D112" s="26">
        <v>35</v>
      </c>
      <c r="E112" s="1" t="s">
        <v>28</v>
      </c>
      <c r="F112" s="3"/>
    </row>
    <row r="113" spans="1:6" ht="15.75" customHeight="1">
      <c r="A113" s="1">
        <v>19160</v>
      </c>
      <c r="B113" s="2">
        <v>45101.688055555554</v>
      </c>
      <c r="C113" s="26" t="s">
        <v>0</v>
      </c>
      <c r="D113" s="26">
        <v>25</v>
      </c>
      <c r="E113" s="1" t="s">
        <v>28</v>
      </c>
      <c r="F113" s="3"/>
    </row>
    <row r="114" spans="1:6" ht="15.75" customHeight="1">
      <c r="A114" s="1">
        <v>19159</v>
      </c>
      <c r="B114" s="2">
        <v>45101.684224537035</v>
      </c>
      <c r="C114" s="26" t="s">
        <v>0</v>
      </c>
      <c r="D114" s="26">
        <v>20</v>
      </c>
      <c r="E114" s="1" t="s">
        <v>28</v>
      </c>
      <c r="F114" s="3"/>
    </row>
    <row r="115" spans="1:6" ht="15.75" customHeight="1">
      <c r="A115" s="1">
        <v>19158</v>
      </c>
      <c r="B115" s="2">
        <v>45101.681400462963</v>
      </c>
      <c r="C115" s="26" t="s">
        <v>0</v>
      </c>
      <c r="D115" s="26">
        <v>40</v>
      </c>
      <c r="E115" s="1" t="s">
        <v>28</v>
      </c>
      <c r="F115" s="3"/>
    </row>
    <row r="116" spans="1:6" ht="15.75" customHeight="1">
      <c r="A116" s="1">
        <v>19157</v>
      </c>
      <c r="B116" s="2">
        <v>45101.680555555555</v>
      </c>
      <c r="C116" s="26" t="s">
        <v>0</v>
      </c>
      <c r="D116" s="26">
        <v>18</v>
      </c>
      <c r="E116" s="1" t="s">
        <v>89</v>
      </c>
      <c r="F116" s="3"/>
    </row>
    <row r="117" spans="1:6" ht="15.75" customHeight="1">
      <c r="A117" s="1">
        <v>19156</v>
      </c>
      <c r="B117" s="2">
        <v>45101.6799537037</v>
      </c>
      <c r="C117" s="26" t="s">
        <v>0</v>
      </c>
      <c r="D117" s="26">
        <v>25</v>
      </c>
      <c r="E117" s="1" t="s">
        <v>28</v>
      </c>
      <c r="F117" s="3"/>
    </row>
    <row r="118" spans="1:6" ht="15.75" customHeight="1">
      <c r="A118" s="1">
        <v>19155</v>
      </c>
      <c r="B118" s="2">
        <v>45101.674062499995</v>
      </c>
      <c r="C118" s="26" t="s">
        <v>0</v>
      </c>
      <c r="D118" s="26">
        <v>25</v>
      </c>
      <c r="E118" s="1" t="s">
        <v>28</v>
      </c>
      <c r="F118" s="3"/>
    </row>
    <row r="119" spans="1:6" ht="15.75" customHeight="1">
      <c r="A119" s="1">
        <v>19154</v>
      </c>
      <c r="B119" s="2">
        <v>45101.666620370372</v>
      </c>
      <c r="C119" s="26" t="s">
        <v>0</v>
      </c>
      <c r="D119" s="26">
        <v>15</v>
      </c>
      <c r="E119" s="1" t="s">
        <v>28</v>
      </c>
      <c r="F119" s="3"/>
    </row>
    <row r="120" spans="1:6" ht="15.75" customHeight="1">
      <c r="A120" s="1">
        <v>19153</v>
      </c>
      <c r="B120" s="2">
        <v>45101.666446759264</v>
      </c>
      <c r="C120" s="26" t="s">
        <v>0</v>
      </c>
      <c r="D120" s="26">
        <v>25</v>
      </c>
      <c r="E120" s="1" t="s">
        <v>28</v>
      </c>
      <c r="F120" s="3"/>
    </row>
    <row r="121" spans="1:6" ht="15.75" customHeight="1">
      <c r="A121" s="1">
        <v>19152</v>
      </c>
      <c r="B121" s="2">
        <v>45101.663634259261</v>
      </c>
      <c r="C121" s="26" t="s">
        <v>0</v>
      </c>
      <c r="D121" s="26">
        <v>48</v>
      </c>
      <c r="E121" s="1" t="s">
        <v>28</v>
      </c>
      <c r="F121" s="3"/>
    </row>
    <row r="122" spans="1:6" ht="15.75" customHeight="1">
      <c r="A122" s="1">
        <v>19151</v>
      </c>
      <c r="B122" s="2">
        <v>45101.65042824074</v>
      </c>
      <c r="C122" s="26" t="s">
        <v>0</v>
      </c>
      <c r="D122" s="26">
        <v>18</v>
      </c>
      <c r="E122" s="1" t="s">
        <v>28</v>
      </c>
      <c r="F122" s="3"/>
    </row>
    <row r="123" spans="1:6" ht="15.75" customHeight="1">
      <c r="A123" s="1">
        <v>19150</v>
      </c>
      <c r="B123" s="2">
        <v>45101.648680555554</v>
      </c>
      <c r="C123" s="26" t="s">
        <v>0</v>
      </c>
      <c r="D123" s="26">
        <v>48</v>
      </c>
      <c r="E123" s="1" t="s">
        <v>28</v>
      </c>
      <c r="F123" s="3"/>
    </row>
    <row r="124" spans="1:6" ht="15.75" customHeight="1">
      <c r="A124" s="1">
        <v>19149</v>
      </c>
      <c r="B124" s="2">
        <v>45101.648483796293</v>
      </c>
      <c r="C124" s="26" t="s">
        <v>0</v>
      </c>
      <c r="D124" s="26">
        <v>18</v>
      </c>
      <c r="E124" s="1" t="s">
        <v>28</v>
      </c>
      <c r="F124" s="3"/>
    </row>
    <row r="125" spans="1:6" ht="15.75" customHeight="1">
      <c r="A125" s="1">
        <v>19148</v>
      </c>
      <c r="B125" s="2">
        <v>45101.647187499999</v>
      </c>
      <c r="C125" s="26" t="s">
        <v>0</v>
      </c>
      <c r="D125" s="26">
        <v>18</v>
      </c>
      <c r="E125" s="1" t="s">
        <v>28</v>
      </c>
      <c r="F125" s="3"/>
    </row>
    <row r="126" spans="1:6" ht="15.75" customHeight="1">
      <c r="A126" s="1">
        <v>19147</v>
      </c>
      <c r="B126" s="2">
        <v>45101.643842592588</v>
      </c>
      <c r="C126" s="26" t="s">
        <v>0</v>
      </c>
      <c r="D126" s="26">
        <v>0</v>
      </c>
      <c r="E126" s="1" t="s">
        <v>28</v>
      </c>
      <c r="F126" s="3"/>
    </row>
    <row r="127" spans="1:6" ht="15.75" customHeight="1">
      <c r="A127" s="1">
        <v>19146</v>
      </c>
      <c r="B127" s="2">
        <v>45101.642268518517</v>
      </c>
      <c r="C127" s="26" t="s">
        <v>0</v>
      </c>
      <c r="D127" s="26">
        <v>30</v>
      </c>
      <c r="E127" s="1" t="s">
        <v>28</v>
      </c>
      <c r="F127" s="3"/>
    </row>
    <row r="128" spans="1:6" ht="15.75" customHeight="1">
      <c r="A128" s="1">
        <v>19145</v>
      </c>
      <c r="B128" s="2">
        <v>45101.638668981483</v>
      </c>
      <c r="C128" s="26" t="s">
        <v>0</v>
      </c>
      <c r="D128" s="26">
        <v>22</v>
      </c>
      <c r="E128" s="1" t="s">
        <v>28</v>
      </c>
      <c r="F128" s="3"/>
    </row>
    <row r="129" spans="1:6" ht="15.75" customHeight="1">
      <c r="A129" s="1">
        <v>19144</v>
      </c>
      <c r="B129" s="2">
        <v>45101.633263888885</v>
      </c>
      <c r="C129" s="26" t="s">
        <v>0</v>
      </c>
      <c r="D129" s="26">
        <v>22</v>
      </c>
      <c r="E129" s="1" t="s">
        <v>28</v>
      </c>
      <c r="F129" s="3"/>
    </row>
    <row r="130" spans="1:6" ht="15.75" customHeight="1">
      <c r="A130" s="1">
        <v>19143</v>
      </c>
      <c r="B130" s="2">
        <v>45101.6330787037</v>
      </c>
      <c r="C130" s="26" t="s">
        <v>0</v>
      </c>
      <c r="D130" s="26">
        <v>25</v>
      </c>
      <c r="E130" s="1" t="s">
        <v>28</v>
      </c>
      <c r="F130" s="3"/>
    </row>
    <row r="131" spans="1:6" ht="15.75" customHeight="1">
      <c r="A131" s="1">
        <v>19142</v>
      </c>
      <c r="B131" s="2">
        <v>45101.629537037035</v>
      </c>
      <c r="C131" s="26" t="s">
        <v>0</v>
      </c>
      <c r="D131" s="26">
        <v>25</v>
      </c>
      <c r="E131" s="1" t="s">
        <v>28</v>
      </c>
      <c r="F131" s="3"/>
    </row>
    <row r="132" spans="1:6" ht="15.75" customHeight="1">
      <c r="A132" s="1">
        <v>19141</v>
      </c>
      <c r="B132" s="2">
        <v>45101.628553240742</v>
      </c>
      <c r="C132" s="26" t="s">
        <v>0</v>
      </c>
      <c r="D132" s="26">
        <v>25</v>
      </c>
      <c r="E132" s="1" t="s">
        <v>28</v>
      </c>
      <c r="F132" s="3"/>
    </row>
    <row r="133" spans="1:6" ht="15.75" customHeight="1">
      <c r="A133" s="1">
        <v>19140</v>
      </c>
      <c r="B133" s="2">
        <v>45101.618425925924</v>
      </c>
      <c r="C133" s="26" t="s">
        <v>10</v>
      </c>
      <c r="D133" s="26">
        <v>0</v>
      </c>
      <c r="E133" s="1" t="s">
        <v>28</v>
      </c>
      <c r="F133" s="3"/>
    </row>
    <row r="134" spans="1:6" ht="15.75" customHeight="1">
      <c r="A134" s="1">
        <v>19139</v>
      </c>
      <c r="B134" s="2">
        <v>45101.614328703705</v>
      </c>
      <c r="C134" s="26" t="s">
        <v>0</v>
      </c>
      <c r="D134" s="26">
        <v>25</v>
      </c>
      <c r="E134" s="1" t="s">
        <v>28</v>
      </c>
      <c r="F134" s="3"/>
    </row>
    <row r="135" spans="1:6" ht="15.75" customHeight="1">
      <c r="A135" s="1">
        <v>19138</v>
      </c>
      <c r="B135" s="2">
        <v>45101.607824074075</v>
      </c>
      <c r="C135" s="26" t="s">
        <v>0</v>
      </c>
      <c r="D135" s="26">
        <v>28</v>
      </c>
      <c r="E135" s="1" t="s">
        <v>28</v>
      </c>
      <c r="F135" s="3"/>
    </row>
    <row r="136" spans="1:6" ht="15.75" customHeight="1">
      <c r="A136" s="1">
        <v>19137</v>
      </c>
      <c r="B136" s="2">
        <v>45101.595613425925</v>
      </c>
      <c r="C136" s="26" t="s">
        <v>0</v>
      </c>
      <c r="D136" s="26">
        <v>25</v>
      </c>
      <c r="E136" s="1" t="s">
        <v>28</v>
      </c>
      <c r="F136" s="3"/>
    </row>
    <row r="137" spans="1:6" ht="15.75" customHeight="1">
      <c r="A137" s="1">
        <v>19136</v>
      </c>
      <c r="B137" s="2">
        <v>45101.56930555556</v>
      </c>
      <c r="C137" s="26" t="s">
        <v>0</v>
      </c>
      <c r="D137" s="26">
        <v>20</v>
      </c>
      <c r="E137" s="1" t="s">
        <v>28</v>
      </c>
      <c r="F137" s="3"/>
    </row>
    <row r="138" spans="1:6" ht="15.75" customHeight="1">
      <c r="A138" s="1">
        <v>19135</v>
      </c>
      <c r="B138" s="2">
        <v>45101.566469907411</v>
      </c>
      <c r="C138" s="26" t="s">
        <v>0</v>
      </c>
      <c r="D138" s="26">
        <v>20</v>
      </c>
      <c r="E138" s="1" t="s">
        <v>28</v>
      </c>
      <c r="F138" s="3"/>
    </row>
    <row r="139" spans="1:6" ht="15.75" customHeight="1">
      <c r="A139" s="1">
        <v>19134</v>
      </c>
      <c r="B139" s="2">
        <v>45101.548148148147</v>
      </c>
      <c r="C139" s="26" t="s">
        <v>5</v>
      </c>
      <c r="D139" s="26">
        <v>25</v>
      </c>
      <c r="E139" s="1" t="s">
        <v>28</v>
      </c>
      <c r="F139" s="3"/>
    </row>
    <row r="140" spans="1:6" ht="15.75" customHeight="1">
      <c r="A140" s="1">
        <v>19133</v>
      </c>
      <c r="B140" s="2">
        <v>45101.539837962962</v>
      </c>
      <c r="C140" s="26" t="s">
        <v>0</v>
      </c>
      <c r="D140" s="26">
        <v>25</v>
      </c>
      <c r="E140" s="1" t="s">
        <v>28</v>
      </c>
      <c r="F140" s="3"/>
    </row>
    <row r="141" spans="1:6" ht="15.75" customHeight="1">
      <c r="A141" s="1">
        <v>19132</v>
      </c>
      <c r="B141" s="2">
        <v>45101.538923611108</v>
      </c>
      <c r="C141" s="26" t="s">
        <v>0</v>
      </c>
      <c r="D141" s="26">
        <v>25</v>
      </c>
      <c r="E141" s="1" t="s">
        <v>39</v>
      </c>
      <c r="F141" s="3"/>
    </row>
    <row r="142" spans="1:6" ht="15.75" customHeight="1">
      <c r="A142" s="1">
        <v>19131</v>
      </c>
      <c r="B142" s="2">
        <v>45101.538761574076</v>
      </c>
      <c r="C142" s="26" t="s">
        <v>0</v>
      </c>
      <c r="D142" s="26">
        <v>33</v>
      </c>
      <c r="E142" s="1" t="s">
        <v>39</v>
      </c>
      <c r="F142" s="3"/>
    </row>
    <row r="143" spans="1:6" ht="15.75" customHeight="1">
      <c r="A143" s="1">
        <v>19130</v>
      </c>
      <c r="B143" s="2">
        <v>45101.536296296297</v>
      </c>
      <c r="C143" s="26" t="s">
        <v>0</v>
      </c>
      <c r="D143" s="26">
        <v>20</v>
      </c>
      <c r="E143" s="1" t="s">
        <v>28</v>
      </c>
      <c r="F143" s="3"/>
    </row>
    <row r="144" spans="1:6" ht="15.75" customHeight="1">
      <c r="A144" s="1">
        <v>19129</v>
      </c>
      <c r="B144" s="2">
        <v>45101.534131944441</v>
      </c>
      <c r="C144" s="26" t="s">
        <v>0</v>
      </c>
      <c r="D144" s="26">
        <v>25</v>
      </c>
      <c r="E144" s="1" t="s">
        <v>28</v>
      </c>
      <c r="F144" s="3"/>
    </row>
    <row r="145" spans="1:6" ht="15.75" customHeight="1">
      <c r="A145" s="1">
        <v>19128</v>
      </c>
      <c r="B145" s="2">
        <v>45101.533425925925</v>
      </c>
      <c r="C145" s="26" t="s">
        <v>0</v>
      </c>
      <c r="D145" s="26">
        <v>35</v>
      </c>
      <c r="E145" s="1" t="s">
        <v>28</v>
      </c>
      <c r="F145" s="3"/>
    </row>
    <row r="146" spans="1:6" ht="15.75" customHeight="1">
      <c r="A146" s="1">
        <v>19127</v>
      </c>
      <c r="B146" s="2">
        <v>45101.531180555554</v>
      </c>
      <c r="C146" s="26" t="s">
        <v>0</v>
      </c>
      <c r="D146" s="26">
        <v>25</v>
      </c>
      <c r="E146" s="1" t="s">
        <v>28</v>
      </c>
      <c r="F146" s="3"/>
    </row>
    <row r="147" spans="1:6" ht="15.75" customHeight="1">
      <c r="A147" s="1">
        <v>19126</v>
      </c>
      <c r="B147" s="2">
        <v>45101.529548611114</v>
      </c>
      <c r="C147" s="26" t="s">
        <v>0</v>
      </c>
      <c r="D147" s="26">
        <v>25</v>
      </c>
      <c r="E147" s="1" t="s">
        <v>28</v>
      </c>
      <c r="F147" s="3"/>
    </row>
    <row r="148" spans="1:6" ht="15.75" customHeight="1">
      <c r="A148" s="1">
        <v>19125</v>
      </c>
      <c r="B148" s="2">
        <v>45101.527743055558</v>
      </c>
      <c r="C148" s="26" t="s">
        <v>0</v>
      </c>
      <c r="D148" s="26">
        <v>48</v>
      </c>
      <c r="E148" s="1" t="s">
        <v>28</v>
      </c>
      <c r="F148" s="3"/>
    </row>
    <row r="149" spans="1:6" ht="15.75" customHeight="1">
      <c r="A149" s="1">
        <v>19124</v>
      </c>
      <c r="B149" s="2">
        <v>45101.52643518518</v>
      </c>
      <c r="C149" s="26" t="s">
        <v>0</v>
      </c>
      <c r="D149" s="26">
        <v>18</v>
      </c>
      <c r="E149" s="1" t="s">
        <v>28</v>
      </c>
      <c r="F149" s="3"/>
    </row>
    <row r="150" spans="1:6" ht="15.75" customHeight="1">
      <c r="A150" s="1">
        <v>19123</v>
      </c>
      <c r="B150" s="2">
        <v>45101.524340277778</v>
      </c>
      <c r="C150" s="26" t="s">
        <v>0</v>
      </c>
      <c r="D150" s="26">
        <v>25</v>
      </c>
      <c r="E150" s="1" t="s">
        <v>28</v>
      </c>
      <c r="F150" s="3"/>
    </row>
    <row r="151" spans="1:6" ht="15.75" customHeight="1">
      <c r="A151" s="1">
        <v>19122</v>
      </c>
      <c r="B151" s="2">
        <v>45101.521226851852</v>
      </c>
      <c r="C151" s="26" t="s">
        <v>0</v>
      </c>
      <c r="D151" s="26">
        <v>20</v>
      </c>
      <c r="E151" s="1" t="s">
        <v>28</v>
      </c>
      <c r="F151" s="3"/>
    </row>
    <row r="152" spans="1:6" ht="15.75" customHeight="1">
      <c r="A152" s="1">
        <v>19121</v>
      </c>
      <c r="B152" s="2">
        <v>45101.515717592592</v>
      </c>
      <c r="C152" s="26" t="s">
        <v>18</v>
      </c>
      <c r="D152" s="26">
        <v>18</v>
      </c>
      <c r="E152" s="1" t="s">
        <v>28</v>
      </c>
      <c r="F152" s="3"/>
    </row>
    <row r="153" spans="1:6" ht="15.75" customHeight="1">
      <c r="A153" s="1">
        <v>19120</v>
      </c>
      <c r="B153" s="2">
        <v>45101.515162037038</v>
      </c>
      <c r="C153" s="26" t="s">
        <v>0</v>
      </c>
      <c r="D153" s="26">
        <v>28</v>
      </c>
      <c r="E153" s="1" t="s">
        <v>28</v>
      </c>
      <c r="F153" s="3"/>
    </row>
    <row r="154" spans="1:6" ht="15.75" customHeight="1">
      <c r="A154" s="1">
        <v>19119</v>
      </c>
      <c r="B154" s="2">
        <v>45101.512824074074</v>
      </c>
      <c r="C154" s="26" t="s">
        <v>0</v>
      </c>
      <c r="D154" s="26">
        <v>28</v>
      </c>
      <c r="E154" s="1" t="s">
        <v>28</v>
      </c>
      <c r="F154" s="3"/>
    </row>
    <row r="155" spans="1:6" ht="15.75" customHeight="1">
      <c r="A155" s="1">
        <v>19118</v>
      </c>
      <c r="B155" s="2">
        <v>45101.502986111111</v>
      </c>
      <c r="C155" s="26" t="s">
        <v>0</v>
      </c>
      <c r="D155" s="26">
        <v>0</v>
      </c>
      <c r="E155" s="1" t="s">
        <v>28</v>
      </c>
      <c r="F155" s="3"/>
    </row>
    <row r="156" spans="1:6" ht="15.75" customHeight="1">
      <c r="A156" s="1">
        <v>19117</v>
      </c>
      <c r="B156" s="2">
        <v>45101.491608796292</v>
      </c>
      <c r="C156" s="26" t="s">
        <v>0</v>
      </c>
      <c r="D156" s="26">
        <v>25</v>
      </c>
      <c r="E156" s="1" t="s">
        <v>28</v>
      </c>
      <c r="F156" s="3"/>
    </row>
    <row r="157" spans="1:6" ht="15.75" customHeight="1">
      <c r="A157" s="1">
        <v>19116</v>
      </c>
      <c r="B157" s="2">
        <v>45101.486597222218</v>
      </c>
      <c r="C157" s="26" t="s">
        <v>5</v>
      </c>
      <c r="D157" s="26">
        <v>25</v>
      </c>
      <c r="E157" s="1" t="s">
        <v>28</v>
      </c>
      <c r="F157" s="3"/>
    </row>
    <row r="158" spans="1:6" ht="15.75" customHeight="1">
      <c r="A158" s="1">
        <v>19115</v>
      </c>
      <c r="B158" s="2">
        <v>45101.081678240742</v>
      </c>
      <c r="C158" s="26" t="s">
        <v>0</v>
      </c>
      <c r="D158" s="26">
        <v>68</v>
      </c>
      <c r="E158" s="1" t="s">
        <v>28</v>
      </c>
      <c r="F158" s="3"/>
    </row>
    <row r="159" spans="1:6" ht="15.75" customHeight="1">
      <c r="A159" s="1">
        <v>19110</v>
      </c>
      <c r="B159" s="2">
        <v>45100.999513888892</v>
      </c>
      <c r="C159" s="26" t="s">
        <v>0</v>
      </c>
      <c r="D159" s="26">
        <v>15</v>
      </c>
      <c r="E159" s="1" t="s">
        <v>28</v>
      </c>
      <c r="F159" s="3"/>
    </row>
    <row r="160" spans="1:6" ht="15.75" customHeight="1">
      <c r="A160" s="1">
        <v>19109</v>
      </c>
      <c r="B160" s="2">
        <v>45100.971250000002</v>
      </c>
      <c r="C160" s="26" t="s">
        <v>0</v>
      </c>
      <c r="D160" s="26">
        <v>26</v>
      </c>
      <c r="E160" s="1" t="s">
        <v>28</v>
      </c>
      <c r="F160" s="3"/>
    </row>
    <row r="161" spans="1:6" ht="15.75" customHeight="1">
      <c r="A161" s="1">
        <v>19108</v>
      </c>
      <c r="B161" s="2">
        <v>45100.872557870374</v>
      </c>
      <c r="C161" s="26" t="s">
        <v>0</v>
      </c>
      <c r="D161" s="26">
        <v>25</v>
      </c>
      <c r="E161" s="1" t="s">
        <v>28</v>
      </c>
      <c r="F161" s="3"/>
    </row>
    <row r="162" spans="1:6" ht="15.75" customHeight="1">
      <c r="A162" s="1">
        <v>19105</v>
      </c>
      <c r="B162" s="2">
        <v>45100.706759259258</v>
      </c>
      <c r="C162" s="26" t="s">
        <v>0</v>
      </c>
      <c r="D162" s="26">
        <v>20</v>
      </c>
      <c r="E162" s="1" t="s">
        <v>28</v>
      </c>
      <c r="F162" s="3"/>
    </row>
    <row r="163" spans="1:6" ht="15.75" customHeight="1">
      <c r="A163" s="1">
        <v>19104</v>
      </c>
      <c r="B163" s="2">
        <v>45100.693796296298</v>
      </c>
      <c r="C163" s="26" t="s">
        <v>0</v>
      </c>
      <c r="D163" s="26">
        <v>15</v>
      </c>
      <c r="E163" s="1" t="s">
        <v>28</v>
      </c>
      <c r="F163" s="3"/>
    </row>
    <row r="164" spans="1:6" ht="15.75" customHeight="1">
      <c r="A164" s="1">
        <v>19103</v>
      </c>
      <c r="B164" s="2">
        <v>45100.60869212963</v>
      </c>
      <c r="C164" s="26" t="s">
        <v>0</v>
      </c>
      <c r="D164" s="26">
        <v>26</v>
      </c>
      <c r="E164" s="1" t="s">
        <v>28</v>
      </c>
      <c r="F164" s="3"/>
    </row>
    <row r="165" spans="1:6" ht="15.75" customHeight="1">
      <c r="A165" s="1">
        <v>19102</v>
      </c>
      <c r="B165" s="2">
        <v>45100.553240740745</v>
      </c>
      <c r="C165" s="26" t="s">
        <v>0</v>
      </c>
      <c r="D165" s="26">
        <v>25</v>
      </c>
      <c r="E165" s="1" t="s">
        <v>39</v>
      </c>
      <c r="F165" s="3"/>
    </row>
    <row r="166" spans="1:6" ht="15.75" customHeight="1">
      <c r="A166" s="1">
        <v>19101</v>
      </c>
      <c r="B166" s="2">
        <v>45100.527731481481</v>
      </c>
      <c r="C166" s="26" t="s">
        <v>0</v>
      </c>
      <c r="D166" s="26">
        <v>18</v>
      </c>
      <c r="E166" s="1" t="s">
        <v>28</v>
      </c>
      <c r="F166" s="3"/>
    </row>
    <row r="167" spans="1:6" ht="15.75" customHeight="1">
      <c r="A167" s="1">
        <v>19100</v>
      </c>
      <c r="B167" s="2">
        <v>45100.114386574074</v>
      </c>
      <c r="C167" s="26" t="s">
        <v>0</v>
      </c>
      <c r="D167" s="26">
        <v>55</v>
      </c>
      <c r="E167" s="1" t="s">
        <v>28</v>
      </c>
      <c r="F167" s="3"/>
    </row>
    <row r="168" spans="1:6" ht="15.75" customHeight="1">
      <c r="A168" s="1">
        <v>19099</v>
      </c>
      <c r="B168" s="2">
        <v>45100.061678240745</v>
      </c>
      <c r="C168" s="26" t="s">
        <v>0</v>
      </c>
      <c r="D168" s="26">
        <v>43</v>
      </c>
      <c r="E168" s="1" t="s">
        <v>28</v>
      </c>
      <c r="F168" s="3"/>
    </row>
    <row r="169" spans="1:6" ht="15.75" customHeight="1">
      <c r="A169" s="1">
        <v>19098</v>
      </c>
      <c r="B169" s="2">
        <v>45100.003611111111</v>
      </c>
      <c r="C169" s="26" t="s">
        <v>0</v>
      </c>
      <c r="D169" s="26">
        <v>15</v>
      </c>
      <c r="E169" s="1" t="s">
        <v>28</v>
      </c>
      <c r="F169" s="3"/>
    </row>
    <row r="170" spans="1:6" ht="15.75" customHeight="1">
      <c r="A170" s="1">
        <v>19097</v>
      </c>
      <c r="B170" s="2">
        <v>45099.93954861111</v>
      </c>
      <c r="C170" s="26" t="s">
        <v>0</v>
      </c>
      <c r="D170" s="26">
        <v>15</v>
      </c>
      <c r="E170" s="1" t="s">
        <v>28</v>
      </c>
      <c r="F170" s="3"/>
    </row>
    <row r="171" spans="1:6" ht="15.75" customHeight="1">
      <c r="A171" s="1">
        <v>19096</v>
      </c>
      <c r="B171" s="2">
        <v>45099.93545138889</v>
      </c>
      <c r="C171" s="26" t="s">
        <v>0</v>
      </c>
      <c r="D171" s="26">
        <v>0</v>
      </c>
      <c r="E171" s="1" t="s">
        <v>28</v>
      </c>
      <c r="F171" s="3"/>
    </row>
    <row r="172" spans="1:6" ht="15.75" customHeight="1">
      <c r="A172" s="1">
        <v>19095</v>
      </c>
      <c r="B172" s="2">
        <v>45099.932071759264</v>
      </c>
      <c r="C172" s="26" t="s">
        <v>0</v>
      </c>
      <c r="D172" s="26">
        <v>26</v>
      </c>
      <c r="E172" s="1" t="s">
        <v>28</v>
      </c>
      <c r="F172" s="3"/>
    </row>
    <row r="173" spans="1:6" ht="15.75" customHeight="1">
      <c r="A173" s="1">
        <v>19094</v>
      </c>
      <c r="B173" s="2">
        <v>45099.92350694444</v>
      </c>
      <c r="C173" s="26" t="s">
        <v>0</v>
      </c>
      <c r="D173" s="26">
        <v>45</v>
      </c>
      <c r="E173" s="1" t="s">
        <v>28</v>
      </c>
      <c r="F173" s="3"/>
    </row>
    <row r="174" spans="1:6" ht="15.75" customHeight="1">
      <c r="A174" s="1">
        <v>19093</v>
      </c>
      <c r="B174" s="2">
        <v>45099.916770833333</v>
      </c>
      <c r="C174" s="26" t="s">
        <v>0</v>
      </c>
      <c r="D174" s="26">
        <v>35</v>
      </c>
      <c r="E174" s="1" t="s">
        <v>28</v>
      </c>
      <c r="F174" s="3"/>
    </row>
    <row r="175" spans="1:6" ht="15.75" customHeight="1">
      <c r="A175" s="1">
        <v>19092</v>
      </c>
      <c r="B175" s="2">
        <v>45099.87872685185</v>
      </c>
      <c r="C175" s="26" t="s">
        <v>0</v>
      </c>
      <c r="D175" s="26">
        <v>28</v>
      </c>
      <c r="E175" s="1" t="s">
        <v>28</v>
      </c>
      <c r="F175" s="3"/>
    </row>
    <row r="176" spans="1:6" ht="15.75" customHeight="1">
      <c r="A176" s="1">
        <v>19091</v>
      </c>
      <c r="B176" s="2">
        <v>45099.869988425926</v>
      </c>
      <c r="C176" s="26" t="s">
        <v>16</v>
      </c>
      <c r="D176" s="26">
        <v>25</v>
      </c>
      <c r="E176" s="1" t="s">
        <v>28</v>
      </c>
      <c r="F176" s="3"/>
    </row>
    <row r="177" spans="1:6" ht="15.75" customHeight="1">
      <c r="A177" s="1">
        <v>19090</v>
      </c>
      <c r="B177" s="2">
        <v>45099.834872685184</v>
      </c>
      <c r="C177" s="26" t="s">
        <v>0</v>
      </c>
      <c r="D177" s="26">
        <v>25</v>
      </c>
      <c r="E177" s="1" t="s">
        <v>84</v>
      </c>
      <c r="F177" s="3"/>
    </row>
    <row r="178" spans="1:6" ht="15.75" customHeight="1">
      <c r="A178" s="1">
        <v>19089</v>
      </c>
      <c r="B178" s="2">
        <v>45099.783101851848</v>
      </c>
      <c r="C178" s="26" t="s">
        <v>0</v>
      </c>
      <c r="D178" s="26">
        <v>18</v>
      </c>
      <c r="E178" s="1" t="s">
        <v>28</v>
      </c>
      <c r="F178" s="3"/>
    </row>
    <row r="179" spans="1:6" ht="15.75" customHeight="1">
      <c r="A179" s="1">
        <v>19088</v>
      </c>
      <c r="B179" s="2">
        <v>45099.738715277781</v>
      </c>
      <c r="C179" s="26" t="s">
        <v>0</v>
      </c>
      <c r="D179" s="26">
        <v>25</v>
      </c>
      <c r="E179" s="1" t="s">
        <v>28</v>
      </c>
      <c r="F179" s="3"/>
    </row>
    <row r="180" spans="1:6" ht="15.75" customHeight="1">
      <c r="A180" s="1">
        <v>19087</v>
      </c>
      <c r="B180" s="2">
        <v>45099.702326388884</v>
      </c>
      <c r="C180" s="26" t="s">
        <v>0</v>
      </c>
      <c r="D180" s="26">
        <v>26</v>
      </c>
      <c r="E180" s="1" t="s">
        <v>28</v>
      </c>
      <c r="F180" s="3"/>
    </row>
    <row r="181" spans="1:6" ht="15.75" customHeight="1">
      <c r="A181" s="1">
        <v>19086</v>
      </c>
      <c r="B181" s="2">
        <v>45099.692106481481</v>
      </c>
      <c r="C181" s="26" t="s">
        <v>0</v>
      </c>
      <c r="D181" s="26">
        <v>28</v>
      </c>
      <c r="E181" s="1" t="s">
        <v>39</v>
      </c>
      <c r="F181" s="3"/>
    </row>
    <row r="182" spans="1:6" ht="15.75" customHeight="1">
      <c r="A182" s="1">
        <v>19085</v>
      </c>
      <c r="B182" s="2">
        <v>45099.663078703699</v>
      </c>
      <c r="C182" s="26" t="s">
        <v>0</v>
      </c>
      <c r="D182" s="26">
        <v>28</v>
      </c>
      <c r="E182" s="1" t="s">
        <v>28</v>
      </c>
      <c r="F182" s="3"/>
    </row>
    <row r="183" spans="1:6" ht="15.75" customHeight="1">
      <c r="A183" s="1">
        <v>19084</v>
      </c>
      <c r="B183" s="2">
        <v>45099.661712962959</v>
      </c>
      <c r="C183" s="26" t="s">
        <v>0</v>
      </c>
      <c r="D183" s="26">
        <v>28</v>
      </c>
      <c r="E183" s="1" t="s">
        <v>28</v>
      </c>
      <c r="F183" s="3"/>
    </row>
    <row r="184" spans="1:6" ht="15.75" customHeight="1">
      <c r="A184" s="1">
        <v>19083</v>
      </c>
      <c r="B184" s="2">
        <v>45099.614930555559</v>
      </c>
      <c r="C184" s="26" t="s">
        <v>0</v>
      </c>
      <c r="D184" s="26">
        <v>25</v>
      </c>
      <c r="E184" s="1" t="s">
        <v>28</v>
      </c>
      <c r="F184" s="3"/>
    </row>
    <row r="185" spans="1:6" ht="15.75" customHeight="1">
      <c r="A185" s="1">
        <v>19082</v>
      </c>
      <c r="B185" s="2">
        <v>45099.601643518516</v>
      </c>
      <c r="C185" s="26" t="s">
        <v>0</v>
      </c>
      <c r="D185" s="26">
        <v>35</v>
      </c>
      <c r="E185" s="1" t="s">
        <v>28</v>
      </c>
      <c r="F185" s="3"/>
    </row>
    <row r="186" spans="1:6" ht="15.75" customHeight="1">
      <c r="A186" s="1">
        <v>19081</v>
      </c>
      <c r="B186" s="2">
        <v>45099.576828703706</v>
      </c>
      <c r="C186" s="26" t="s">
        <v>0</v>
      </c>
      <c r="D186" s="26">
        <v>50</v>
      </c>
      <c r="E186" s="1" t="s">
        <v>28</v>
      </c>
      <c r="F186" s="3"/>
    </row>
    <row r="187" spans="1:6" ht="15.75" customHeight="1">
      <c r="A187" s="1">
        <v>19080</v>
      </c>
      <c r="B187" s="2">
        <v>45099.573252314818</v>
      </c>
      <c r="C187" s="26" t="s">
        <v>0</v>
      </c>
      <c r="D187" s="26">
        <v>53</v>
      </c>
      <c r="E187" s="1" t="s">
        <v>28</v>
      </c>
      <c r="F187" s="3"/>
    </row>
    <row r="188" spans="1:6" ht="15.75" customHeight="1">
      <c r="A188" s="1">
        <v>19079</v>
      </c>
      <c r="B188" s="2">
        <v>45099.56559027778</v>
      </c>
      <c r="C188" s="26" t="s">
        <v>0</v>
      </c>
      <c r="D188" s="26">
        <v>15</v>
      </c>
      <c r="E188" s="1" t="s">
        <v>28</v>
      </c>
      <c r="F188" s="3"/>
    </row>
    <row r="189" spans="1:6" ht="15.75" customHeight="1">
      <c r="A189" s="1">
        <v>19078</v>
      </c>
      <c r="B189" s="2">
        <v>45099.555243055554</v>
      </c>
      <c r="C189" s="26" t="s">
        <v>0</v>
      </c>
      <c r="D189" s="26">
        <v>20</v>
      </c>
      <c r="E189" s="1" t="s">
        <v>28</v>
      </c>
      <c r="F189" s="3"/>
    </row>
    <row r="190" spans="1:6" ht="15.75" customHeight="1">
      <c r="A190" s="1">
        <v>19077</v>
      </c>
      <c r="B190" s="2">
        <v>45099.547164351854</v>
      </c>
      <c r="C190" s="26" t="s">
        <v>0</v>
      </c>
      <c r="D190" s="26">
        <v>35</v>
      </c>
      <c r="E190" s="1" t="s">
        <v>28</v>
      </c>
      <c r="F190" s="3"/>
    </row>
    <row r="191" spans="1:6" ht="15.75" customHeight="1">
      <c r="A191" s="1">
        <v>19076</v>
      </c>
      <c r="B191" s="2">
        <v>45099.542650462958</v>
      </c>
      <c r="C191" s="26" t="s">
        <v>0</v>
      </c>
      <c r="D191" s="26">
        <v>0</v>
      </c>
      <c r="E191" s="1" t="s">
        <v>28</v>
      </c>
      <c r="F191" s="3"/>
    </row>
    <row r="192" spans="1:6" ht="15.75" customHeight="1">
      <c r="A192" s="1">
        <v>19075</v>
      </c>
      <c r="B192" s="2">
        <v>45099.519895833335</v>
      </c>
      <c r="C192" s="26" t="s">
        <v>0</v>
      </c>
      <c r="D192" s="26">
        <v>28</v>
      </c>
      <c r="E192" s="1" t="s">
        <v>28</v>
      </c>
      <c r="F192" s="3"/>
    </row>
    <row r="193" spans="1:6" ht="15.75" customHeight="1">
      <c r="A193" s="1">
        <v>19074</v>
      </c>
      <c r="B193" s="2">
        <v>45099.519780092596</v>
      </c>
      <c r="C193" s="26" t="s">
        <v>0</v>
      </c>
      <c r="D193" s="26">
        <v>28</v>
      </c>
      <c r="E193" s="1" t="s">
        <v>28</v>
      </c>
      <c r="F193" s="3"/>
    </row>
    <row r="194" spans="1:6" ht="15.75" customHeight="1">
      <c r="A194" s="1">
        <v>19073</v>
      </c>
      <c r="B194" s="2">
        <v>45099.070740740739</v>
      </c>
      <c r="C194" s="26" t="s">
        <v>0</v>
      </c>
      <c r="D194" s="26">
        <v>30</v>
      </c>
      <c r="E194" s="1" t="s">
        <v>28</v>
      </c>
      <c r="F194" s="3"/>
    </row>
    <row r="195" spans="1:6" ht="15.75" customHeight="1">
      <c r="A195" s="1">
        <v>19072</v>
      </c>
      <c r="B195" s="2">
        <v>45099.028217592597</v>
      </c>
      <c r="C195" s="26" t="s">
        <v>0</v>
      </c>
      <c r="D195" s="26">
        <v>30</v>
      </c>
      <c r="E195" s="1" t="s">
        <v>28</v>
      </c>
      <c r="F195" s="3"/>
    </row>
    <row r="196" spans="1:6" ht="15.75" customHeight="1">
      <c r="A196" s="1">
        <v>19071</v>
      </c>
      <c r="B196" s="2">
        <v>45098.966736111106</v>
      </c>
      <c r="C196" s="26" t="s">
        <v>0</v>
      </c>
      <c r="D196" s="26">
        <v>25</v>
      </c>
      <c r="E196" s="1" t="s">
        <v>28</v>
      </c>
      <c r="F196" s="3"/>
    </row>
    <row r="197" spans="1:6" ht="15.75" customHeight="1">
      <c r="A197" s="1">
        <v>19070</v>
      </c>
      <c r="B197" s="2">
        <v>45098.956261574072</v>
      </c>
      <c r="C197" s="26" t="s">
        <v>0</v>
      </c>
      <c r="D197" s="26">
        <v>25</v>
      </c>
      <c r="E197" s="1" t="s">
        <v>28</v>
      </c>
      <c r="F197" s="3"/>
    </row>
    <row r="198" spans="1:6" ht="15.75" customHeight="1">
      <c r="A198" s="1">
        <v>19069</v>
      </c>
      <c r="B198" s="2">
        <v>45098.95385416667</v>
      </c>
      <c r="C198" s="26" t="s">
        <v>0</v>
      </c>
      <c r="D198" s="26">
        <v>56</v>
      </c>
      <c r="E198" s="1" t="s">
        <v>28</v>
      </c>
      <c r="F198" s="3"/>
    </row>
    <row r="199" spans="1:6" ht="15.75" customHeight="1">
      <c r="A199" s="1">
        <v>19068</v>
      </c>
      <c r="B199" s="2">
        <v>45098.921944444446</v>
      </c>
      <c r="C199" s="26" t="s">
        <v>0</v>
      </c>
      <c r="D199" s="26">
        <v>25</v>
      </c>
      <c r="E199" s="1" t="s">
        <v>28</v>
      </c>
      <c r="F199" s="3"/>
    </row>
    <row r="200" spans="1:6" ht="15.75" customHeight="1">
      <c r="A200" s="1">
        <v>19067</v>
      </c>
      <c r="B200" s="2">
        <v>45098.910578703704</v>
      </c>
      <c r="C200" s="26" t="s">
        <v>0</v>
      </c>
      <c r="D200" s="26">
        <v>25</v>
      </c>
      <c r="E200" s="1" t="s">
        <v>28</v>
      </c>
      <c r="F200" s="3"/>
    </row>
    <row r="201" spans="1:6" ht="15.75" customHeight="1">
      <c r="A201" s="1">
        <v>19066</v>
      </c>
      <c r="B201" s="2">
        <v>45098.699571759258</v>
      </c>
      <c r="C201" s="26" t="s">
        <v>0</v>
      </c>
      <c r="D201" s="26">
        <v>0</v>
      </c>
      <c r="E201" s="1" t="s">
        <v>15</v>
      </c>
      <c r="F201" s="3"/>
    </row>
    <row r="202" spans="1:6" ht="15.75" customHeight="1">
      <c r="A202" s="1">
        <v>19065</v>
      </c>
      <c r="B202" s="2">
        <v>45098.100370370375</v>
      </c>
      <c r="C202" s="26" t="s">
        <v>0</v>
      </c>
      <c r="D202" s="26">
        <v>20</v>
      </c>
      <c r="E202" s="1" t="s">
        <v>28</v>
      </c>
      <c r="F202" s="3"/>
    </row>
    <row r="203" spans="1:6" ht="15.75" customHeight="1">
      <c r="A203" s="1">
        <v>19064</v>
      </c>
      <c r="B203" s="2">
        <v>45098.098993055552</v>
      </c>
      <c r="C203" s="26" t="s">
        <v>0</v>
      </c>
      <c r="D203" s="26">
        <v>20</v>
      </c>
      <c r="E203" s="1" t="s">
        <v>28</v>
      </c>
      <c r="F203" s="3"/>
    </row>
    <row r="204" spans="1:6" ht="15.75" customHeight="1">
      <c r="A204" s="1">
        <v>19063</v>
      </c>
      <c r="B204" s="2">
        <v>45098.078252314815</v>
      </c>
      <c r="C204" s="26" t="s">
        <v>0</v>
      </c>
      <c r="D204" s="26">
        <v>15</v>
      </c>
      <c r="E204" s="1" t="s">
        <v>28</v>
      </c>
      <c r="F204" s="3"/>
    </row>
    <row r="205" spans="1:6" ht="15.75" customHeight="1">
      <c r="A205" s="1">
        <v>19062</v>
      </c>
      <c r="B205" s="2">
        <v>45097.918344907404</v>
      </c>
      <c r="C205" s="26" t="s">
        <v>0</v>
      </c>
      <c r="D205" s="26">
        <v>28</v>
      </c>
      <c r="E205" s="1" t="s">
        <v>28</v>
      </c>
      <c r="F205" s="3"/>
    </row>
    <row r="206" spans="1:6" ht="15.75" customHeight="1">
      <c r="A206" s="1">
        <v>19061</v>
      </c>
      <c r="B206" s="2">
        <v>45097.904317129629</v>
      </c>
      <c r="C206" s="26" t="s">
        <v>0</v>
      </c>
      <c r="D206" s="26">
        <v>15</v>
      </c>
      <c r="E206" s="1" t="s">
        <v>28</v>
      </c>
      <c r="F206" s="3"/>
    </row>
    <row r="207" spans="1:6" ht="15.75" customHeight="1">
      <c r="A207" s="1">
        <v>19060</v>
      </c>
      <c r="B207" s="2">
        <v>45097.882407407407</v>
      </c>
      <c r="C207" s="26" t="s">
        <v>0</v>
      </c>
      <c r="D207" s="26">
        <v>53</v>
      </c>
      <c r="E207" s="1" t="s">
        <v>28</v>
      </c>
      <c r="F207" s="3"/>
    </row>
    <row r="208" spans="1:6" ht="15.75" customHeight="1">
      <c r="A208" s="1">
        <v>19057</v>
      </c>
      <c r="B208" s="2">
        <v>45097.655104166668</v>
      </c>
      <c r="C208" s="26" t="s">
        <v>0</v>
      </c>
      <c r="D208" s="26">
        <v>18</v>
      </c>
      <c r="E208" s="1" t="s">
        <v>84</v>
      </c>
      <c r="F208" s="3"/>
    </row>
    <row r="209" spans="1:6" ht="15.75" customHeight="1">
      <c r="A209" s="1">
        <v>19052</v>
      </c>
      <c r="B209" s="2">
        <v>45097.629259259258</v>
      </c>
      <c r="C209" s="26" t="s">
        <v>0</v>
      </c>
      <c r="D209" s="26">
        <v>25</v>
      </c>
      <c r="E209" s="1" t="s">
        <v>45</v>
      </c>
      <c r="F209" s="3"/>
    </row>
    <row r="210" spans="1:6" ht="15.75" customHeight="1">
      <c r="A210" s="1">
        <v>19049</v>
      </c>
      <c r="B210" s="2">
        <v>45097.514340277776</v>
      </c>
      <c r="C210" s="26" t="s">
        <v>0</v>
      </c>
      <c r="D210" s="26">
        <v>25</v>
      </c>
      <c r="E210" s="1" t="s">
        <v>28</v>
      </c>
      <c r="F210" s="3"/>
    </row>
    <row r="211" spans="1:6" ht="15.75" customHeight="1">
      <c r="A211" s="1">
        <v>19048</v>
      </c>
      <c r="B211" s="2">
        <v>45097.261458333334</v>
      </c>
      <c r="C211" s="26" t="s">
        <v>0</v>
      </c>
      <c r="D211" s="26">
        <v>30</v>
      </c>
      <c r="E211" s="1" t="s">
        <v>15</v>
      </c>
      <c r="F211" s="3"/>
    </row>
    <row r="212" spans="1:6" ht="15.75" customHeight="1">
      <c r="A212" s="1">
        <v>19047</v>
      </c>
      <c r="B212" s="2">
        <v>45097.258564814816</v>
      </c>
      <c r="C212" s="26" t="s">
        <v>0</v>
      </c>
      <c r="D212" s="26">
        <v>25</v>
      </c>
      <c r="E212" s="1" t="s">
        <v>15</v>
      </c>
      <c r="F212" s="3"/>
    </row>
    <row r="213" spans="1:6" ht="15.75" customHeight="1">
      <c r="A213" s="1">
        <v>19046</v>
      </c>
      <c r="B213" s="2">
        <v>45097.256400462968</v>
      </c>
      <c r="C213" s="26" t="s">
        <v>0</v>
      </c>
      <c r="D213" s="26">
        <v>25</v>
      </c>
      <c r="E213" s="1" t="s">
        <v>15</v>
      </c>
      <c r="F213" s="3"/>
    </row>
    <row r="214" spans="1:6" ht="15.75" customHeight="1">
      <c r="A214" s="1">
        <v>19045</v>
      </c>
      <c r="B214" s="2">
        <v>45097.137337962966</v>
      </c>
      <c r="C214" s="26" t="s">
        <v>0</v>
      </c>
      <c r="D214" s="26">
        <v>55</v>
      </c>
      <c r="E214" s="1" t="s">
        <v>28</v>
      </c>
      <c r="F214" s="3"/>
    </row>
    <row r="215" spans="1:6" ht="15.75" customHeight="1">
      <c r="A215" s="1">
        <v>19044</v>
      </c>
      <c r="B215" s="2">
        <v>45097.03707175926</v>
      </c>
      <c r="C215" s="26" t="s">
        <v>0</v>
      </c>
      <c r="D215" s="26">
        <v>25</v>
      </c>
      <c r="E215" s="1" t="s">
        <v>28</v>
      </c>
      <c r="F215" s="3"/>
    </row>
    <row r="216" spans="1:6" ht="15.75" customHeight="1">
      <c r="A216" s="1">
        <v>19043</v>
      </c>
      <c r="B216" s="2">
        <v>45097.009652777779</v>
      </c>
      <c r="C216" s="26" t="s">
        <v>0</v>
      </c>
      <c r="D216" s="26">
        <v>25</v>
      </c>
      <c r="E216" s="1" t="s">
        <v>39</v>
      </c>
      <c r="F216" s="3"/>
    </row>
    <row r="217" spans="1:6" ht="15.75" customHeight="1">
      <c r="A217" s="1">
        <v>19042</v>
      </c>
      <c r="B217" s="2">
        <v>45097.003252314811</v>
      </c>
      <c r="C217" s="26" t="s">
        <v>0</v>
      </c>
      <c r="D217" s="26">
        <v>15</v>
      </c>
      <c r="E217" s="1" t="s">
        <v>28</v>
      </c>
      <c r="F217" s="3"/>
    </row>
    <row r="218" spans="1:6" ht="15.75" customHeight="1">
      <c r="A218" s="1">
        <v>19041</v>
      </c>
      <c r="B218" s="2">
        <v>45097.002453703702</v>
      </c>
      <c r="C218" s="26" t="s">
        <v>0</v>
      </c>
      <c r="D218" s="26">
        <v>25</v>
      </c>
      <c r="E218" s="1" t="s">
        <v>28</v>
      </c>
      <c r="F218" s="3"/>
    </row>
    <row r="219" spans="1:6" ht="15.75" customHeight="1">
      <c r="A219" s="1">
        <v>19040</v>
      </c>
      <c r="B219" s="2">
        <v>45096.976944444439</v>
      </c>
      <c r="C219" s="26" t="s">
        <v>0</v>
      </c>
      <c r="D219" s="26">
        <v>53</v>
      </c>
      <c r="E219" s="1" t="s">
        <v>28</v>
      </c>
      <c r="F219" s="3"/>
    </row>
    <row r="220" spans="1:6" ht="15.75" customHeight="1">
      <c r="A220" s="1">
        <v>19039</v>
      </c>
      <c r="B220" s="2">
        <v>45096.975347222222</v>
      </c>
      <c r="C220" s="26" t="s">
        <v>0</v>
      </c>
      <c r="D220" s="26">
        <v>25</v>
      </c>
      <c r="E220" s="1" t="s">
        <v>28</v>
      </c>
      <c r="F220" s="3"/>
    </row>
    <row r="221" spans="1:6" ht="15.75" customHeight="1">
      <c r="A221" s="1">
        <v>19038</v>
      </c>
      <c r="B221" s="2">
        <v>45096.975254629629</v>
      </c>
      <c r="C221" s="26" t="s">
        <v>0</v>
      </c>
      <c r="D221" s="26">
        <v>15</v>
      </c>
      <c r="E221" s="1" t="s">
        <v>28</v>
      </c>
      <c r="F221" s="3"/>
    </row>
    <row r="222" spans="1:6" ht="15.75" customHeight="1">
      <c r="A222" s="1">
        <v>19037</v>
      </c>
      <c r="B222" s="2">
        <v>45096.972199074073</v>
      </c>
      <c r="C222" s="26" t="s">
        <v>0</v>
      </c>
      <c r="D222" s="26">
        <v>35</v>
      </c>
      <c r="E222" s="1" t="s">
        <v>28</v>
      </c>
      <c r="F222" s="3"/>
    </row>
    <row r="223" spans="1:6" ht="15.75" customHeight="1">
      <c r="A223" s="1">
        <v>19036</v>
      </c>
      <c r="B223" s="2">
        <v>45096.970393518517</v>
      </c>
      <c r="C223" s="26" t="s">
        <v>0</v>
      </c>
      <c r="D223" s="26">
        <v>25</v>
      </c>
      <c r="E223" s="1" t="s">
        <v>28</v>
      </c>
      <c r="F223" s="3"/>
    </row>
    <row r="224" spans="1:6" ht="15.75" customHeight="1">
      <c r="A224" s="1">
        <v>19035</v>
      </c>
      <c r="B224" s="2">
        <v>45096.963587962964</v>
      </c>
      <c r="C224" s="26" t="s">
        <v>0</v>
      </c>
      <c r="D224" s="26">
        <v>45</v>
      </c>
      <c r="E224" s="1" t="s">
        <v>28</v>
      </c>
      <c r="F224" s="3"/>
    </row>
    <row r="225" spans="1:6" ht="15.75" customHeight="1">
      <c r="A225" s="1">
        <v>19034</v>
      </c>
      <c r="B225" s="2">
        <v>45096.960381944446</v>
      </c>
      <c r="C225" s="26" t="s">
        <v>0</v>
      </c>
      <c r="D225" s="26">
        <v>25</v>
      </c>
      <c r="E225" s="1" t="s">
        <v>28</v>
      </c>
      <c r="F225" s="3"/>
    </row>
    <row r="226" spans="1:6" ht="15.75" customHeight="1">
      <c r="A226" s="1">
        <v>19033</v>
      </c>
      <c r="B226" s="2">
        <v>45096.959999999999</v>
      </c>
      <c r="C226" s="26" t="s">
        <v>0</v>
      </c>
      <c r="D226" s="26">
        <v>25</v>
      </c>
      <c r="E226" s="1" t="s">
        <v>28</v>
      </c>
      <c r="F226" s="3"/>
    </row>
    <row r="227" spans="1:6" ht="15.75" customHeight="1">
      <c r="A227" s="1">
        <v>19032</v>
      </c>
      <c r="B227" s="2">
        <v>45096.959502314814</v>
      </c>
      <c r="C227" s="26" t="s">
        <v>0</v>
      </c>
      <c r="D227" s="26">
        <v>28</v>
      </c>
      <c r="E227" s="1" t="s">
        <v>28</v>
      </c>
      <c r="F227" s="3"/>
    </row>
    <row r="228" spans="1:6" ht="15.75" customHeight="1">
      <c r="A228" s="1">
        <v>19031</v>
      </c>
      <c r="B228" s="2">
        <v>45096.957789351851</v>
      </c>
      <c r="C228" s="26" t="s">
        <v>0</v>
      </c>
      <c r="D228" s="26">
        <v>25</v>
      </c>
      <c r="E228" s="1" t="s">
        <v>28</v>
      </c>
      <c r="F228" s="3"/>
    </row>
    <row r="229" spans="1:6" ht="15.75" customHeight="1">
      <c r="A229" s="1">
        <v>19030</v>
      </c>
      <c r="B229" s="2">
        <v>45096.927291666667</v>
      </c>
      <c r="C229" s="26" t="s">
        <v>0</v>
      </c>
      <c r="D229" s="26">
        <v>26</v>
      </c>
      <c r="E229" s="1" t="s">
        <v>28</v>
      </c>
      <c r="F229" s="3"/>
    </row>
    <row r="230" spans="1:6" ht="15.75" customHeight="1">
      <c r="A230" s="1">
        <v>19029</v>
      </c>
      <c r="B230" s="2">
        <v>45096.925821759258</v>
      </c>
      <c r="C230" s="26" t="s">
        <v>0</v>
      </c>
      <c r="D230" s="26">
        <v>15</v>
      </c>
      <c r="E230" s="1" t="s">
        <v>28</v>
      </c>
      <c r="F230" s="3"/>
    </row>
    <row r="231" spans="1:6" ht="15.75" customHeight="1">
      <c r="A231" s="1">
        <v>19028</v>
      </c>
      <c r="B231" s="2">
        <v>45096.920775462961</v>
      </c>
      <c r="C231" s="26" t="s">
        <v>0</v>
      </c>
      <c r="D231" s="26">
        <v>25</v>
      </c>
      <c r="E231" s="1" t="s">
        <v>28</v>
      </c>
      <c r="F231" s="3"/>
    </row>
    <row r="232" spans="1:6" ht="15.75" customHeight="1">
      <c r="B232" s="2"/>
      <c r="C232" s="26"/>
      <c r="D232" s="26"/>
      <c r="F232" s="3"/>
    </row>
    <row r="233" spans="1:6" ht="15.75" customHeight="1">
      <c r="B233" s="2"/>
      <c r="C233" s="26"/>
      <c r="D233" s="26"/>
      <c r="F233" s="3"/>
    </row>
    <row r="234" spans="1:6" ht="15.75" customHeight="1">
      <c r="B234" s="2"/>
      <c r="C234" s="26"/>
      <c r="D234" s="26"/>
      <c r="F234" s="3"/>
    </row>
    <row r="235" spans="1:6" ht="15.75" customHeight="1">
      <c r="B235" s="2"/>
      <c r="C235" s="26"/>
      <c r="D235" s="26"/>
      <c r="F235" s="3"/>
    </row>
    <row r="236" spans="1:6" ht="15.75" customHeight="1">
      <c r="B236" s="2"/>
      <c r="C236" s="26"/>
      <c r="D236" s="26"/>
      <c r="F236" s="3"/>
    </row>
    <row r="237" spans="1:6" ht="15.75" customHeight="1">
      <c r="B237" s="2"/>
      <c r="C237" s="26"/>
      <c r="D237" s="26"/>
      <c r="F237" s="3"/>
    </row>
    <row r="238" spans="1:6" ht="15.75" customHeight="1">
      <c r="B238" s="2"/>
      <c r="C238" s="26"/>
      <c r="D238" s="26"/>
      <c r="F238" s="3"/>
    </row>
    <row r="239" spans="1:6" ht="15.75" customHeight="1">
      <c r="B239" s="2"/>
      <c r="C239" s="26"/>
      <c r="D239" s="26"/>
      <c r="F239" s="3"/>
    </row>
    <row r="240" spans="1:6" ht="15.75" customHeight="1">
      <c r="B240" s="2"/>
      <c r="C240" s="26"/>
      <c r="D240" s="26"/>
      <c r="F240" s="3"/>
    </row>
    <row r="241" spans="2:6" ht="15.75" customHeight="1">
      <c r="B241" s="2"/>
      <c r="C241" s="26"/>
      <c r="D241" s="26"/>
      <c r="F241" s="3"/>
    </row>
    <row r="242" spans="2:6" ht="15.75" customHeight="1">
      <c r="B242" s="2"/>
      <c r="C242" s="26"/>
      <c r="D242" s="26"/>
      <c r="F242" s="3"/>
    </row>
    <row r="243" spans="2:6" ht="15.75" customHeight="1">
      <c r="B243" s="2"/>
      <c r="C243" s="26"/>
      <c r="D243" s="26"/>
      <c r="F243" s="3"/>
    </row>
    <row r="244" spans="2:6" ht="15.75" customHeight="1">
      <c r="B244" s="2"/>
      <c r="C244" s="26"/>
      <c r="D244" s="26"/>
      <c r="F244" s="3"/>
    </row>
    <row r="245" spans="2:6" ht="15.75" customHeight="1">
      <c r="B245" s="2"/>
      <c r="C245" s="26"/>
      <c r="D245" s="26"/>
      <c r="F245" s="3"/>
    </row>
    <row r="246" spans="2:6" ht="15.75" customHeight="1">
      <c r="B246" s="2"/>
      <c r="C246" s="26"/>
      <c r="D246" s="26"/>
      <c r="F246" s="3"/>
    </row>
    <row r="247" spans="2:6" ht="15.75" customHeight="1">
      <c r="B247" s="2"/>
      <c r="C247" s="26"/>
      <c r="D247" s="26"/>
      <c r="F247" s="3"/>
    </row>
    <row r="248" spans="2:6" ht="15.75" customHeight="1">
      <c r="B248" s="2"/>
      <c r="C248" s="26"/>
      <c r="D248" s="26"/>
      <c r="F248" s="3"/>
    </row>
    <row r="249" spans="2:6" ht="15.75" customHeight="1">
      <c r="B249" s="2"/>
      <c r="C249" s="26"/>
      <c r="D249" s="26"/>
      <c r="F249" s="3"/>
    </row>
    <row r="250" spans="2:6" ht="15.75" customHeight="1">
      <c r="B250" s="2"/>
      <c r="C250" s="26"/>
      <c r="D250" s="26"/>
      <c r="F250" s="3"/>
    </row>
    <row r="251" spans="2:6" ht="15.75" customHeight="1">
      <c r="B251" s="2"/>
      <c r="C251" s="26"/>
      <c r="D251" s="26"/>
      <c r="F251" s="3"/>
    </row>
    <row r="252" spans="2:6" ht="15.75" customHeight="1">
      <c r="B252" s="2"/>
      <c r="C252" s="26"/>
      <c r="D252" s="26"/>
      <c r="F252" s="3"/>
    </row>
    <row r="253" spans="2:6" ht="15.75" customHeight="1">
      <c r="B253" s="2"/>
      <c r="C253" s="26"/>
      <c r="D253" s="26"/>
      <c r="F253" s="3"/>
    </row>
    <row r="254" spans="2:6" ht="15.75" customHeight="1">
      <c r="B254" s="2"/>
      <c r="C254" s="26"/>
      <c r="D254" s="26"/>
      <c r="F254" s="3"/>
    </row>
    <row r="255" spans="2:6" ht="15.75" customHeight="1">
      <c r="B255" s="2"/>
      <c r="C255" s="26"/>
      <c r="D255" s="26"/>
      <c r="F255" s="3"/>
    </row>
    <row r="256" spans="2:6" ht="15.75" customHeight="1">
      <c r="B256" s="2"/>
      <c r="C256" s="26"/>
      <c r="D256" s="26"/>
      <c r="F256" s="3"/>
    </row>
    <row r="257" spans="2:6" ht="15.75" customHeight="1">
      <c r="B257" s="2"/>
      <c r="C257" s="26"/>
      <c r="D257" s="26"/>
      <c r="F257" s="3"/>
    </row>
    <row r="258" spans="2:6" ht="15.75" customHeight="1">
      <c r="B258" s="2"/>
      <c r="C258" s="26"/>
      <c r="D258" s="26"/>
      <c r="F258" s="3"/>
    </row>
    <row r="259" spans="2:6" ht="15.75" customHeight="1">
      <c r="B259" s="2"/>
      <c r="C259" s="26"/>
      <c r="D259" s="26"/>
      <c r="F259" s="3"/>
    </row>
    <row r="260" spans="2:6" ht="15.75" customHeight="1">
      <c r="B260" s="2"/>
      <c r="C260" s="26"/>
      <c r="D260" s="26"/>
      <c r="F260" s="3"/>
    </row>
    <row r="261" spans="2:6" ht="15.75" customHeight="1">
      <c r="B261" s="2"/>
      <c r="C261" s="26"/>
      <c r="D261" s="26"/>
      <c r="F261" s="3"/>
    </row>
    <row r="262" spans="2:6" ht="15.75" customHeight="1">
      <c r="B262" s="2"/>
      <c r="C262" s="26"/>
      <c r="D262" s="26"/>
      <c r="F262" s="3"/>
    </row>
    <row r="263" spans="2:6" ht="15.75" customHeight="1">
      <c r="B263" s="2"/>
      <c r="C263" s="26"/>
      <c r="D263" s="26"/>
      <c r="F263" s="3"/>
    </row>
    <row r="264" spans="2:6" ht="15.75" customHeight="1">
      <c r="B264" s="2"/>
      <c r="C264" s="26"/>
      <c r="D264" s="26"/>
      <c r="F264" s="3"/>
    </row>
    <row r="265" spans="2:6" ht="15.75" customHeight="1">
      <c r="B265" s="2"/>
      <c r="C265" s="26"/>
      <c r="D265" s="26"/>
      <c r="F265" s="3"/>
    </row>
    <row r="266" spans="2:6" ht="15.75" customHeight="1">
      <c r="B266" s="2"/>
      <c r="C266" s="26"/>
      <c r="D266" s="26"/>
      <c r="F266" s="3"/>
    </row>
    <row r="267" spans="2:6" ht="15.75" customHeight="1">
      <c r="B267" s="2"/>
      <c r="C267" s="26"/>
      <c r="D267" s="26"/>
      <c r="F267" s="3"/>
    </row>
    <row r="268" spans="2:6" ht="15.75" customHeight="1">
      <c r="B268" s="2"/>
      <c r="C268" s="26"/>
      <c r="D268" s="26"/>
      <c r="F268" s="3"/>
    </row>
    <row r="269" spans="2:6" ht="15.75" customHeight="1">
      <c r="B269" s="2"/>
      <c r="C269" s="26"/>
      <c r="D269" s="26"/>
      <c r="F269" s="3"/>
    </row>
    <row r="270" spans="2:6" ht="15.75" customHeight="1">
      <c r="B270" s="2"/>
      <c r="C270" s="26"/>
      <c r="D270" s="26"/>
      <c r="F270" s="3"/>
    </row>
    <row r="271" spans="2:6" ht="15.75" customHeight="1">
      <c r="B271" s="2"/>
      <c r="C271" s="26"/>
      <c r="D271" s="26"/>
      <c r="F271" s="3"/>
    </row>
    <row r="272" spans="2:6" ht="15.75" customHeight="1">
      <c r="B272" s="2"/>
      <c r="C272" s="26"/>
      <c r="D272" s="26"/>
      <c r="F272" s="3"/>
    </row>
    <row r="273" spans="2:6" ht="15.75" customHeight="1">
      <c r="B273" s="2"/>
      <c r="C273" s="26"/>
      <c r="D273" s="26"/>
      <c r="F273" s="3"/>
    </row>
    <row r="274" spans="2:6" ht="15.75" customHeight="1">
      <c r="B274" s="2"/>
      <c r="C274" s="26"/>
      <c r="D274" s="26"/>
      <c r="F274" s="3"/>
    </row>
    <row r="275" spans="2:6" ht="15.75" customHeight="1">
      <c r="B275" s="2"/>
      <c r="C275" s="26"/>
      <c r="D275" s="26"/>
      <c r="F275" s="3"/>
    </row>
    <row r="276" spans="2:6" ht="15.75" customHeight="1">
      <c r="B276" s="2"/>
      <c r="C276" s="26"/>
      <c r="D276" s="26"/>
      <c r="F276" s="3"/>
    </row>
    <row r="277" spans="2:6" ht="15.75" customHeight="1">
      <c r="B277" s="2"/>
      <c r="C277" s="26"/>
      <c r="D277" s="26"/>
      <c r="F277" s="3"/>
    </row>
    <row r="278" spans="2:6" ht="15.75" customHeight="1">
      <c r="B278" s="2"/>
      <c r="C278" s="26"/>
      <c r="D278" s="26"/>
      <c r="F278" s="3"/>
    </row>
    <row r="279" spans="2:6" ht="15.75" customHeight="1">
      <c r="B279" s="2"/>
      <c r="C279" s="26"/>
      <c r="D279" s="26"/>
      <c r="F279" s="3"/>
    </row>
    <row r="280" spans="2:6" ht="15.75" customHeight="1">
      <c r="B280" s="2"/>
      <c r="C280" s="26"/>
      <c r="D280" s="26"/>
      <c r="F280" s="3"/>
    </row>
    <row r="281" spans="2:6" ht="15.75" customHeight="1">
      <c r="B281" s="2"/>
      <c r="C281" s="26"/>
      <c r="D281" s="26"/>
      <c r="F281" s="3"/>
    </row>
    <row r="282" spans="2:6" ht="15.75" customHeight="1">
      <c r="B282" s="2"/>
      <c r="C282" s="26"/>
      <c r="D282" s="26"/>
      <c r="F282" s="3"/>
    </row>
    <row r="283" spans="2:6" ht="15.75" customHeight="1">
      <c r="B283" s="2"/>
      <c r="C283" s="26"/>
      <c r="D283" s="26"/>
      <c r="F283" s="3"/>
    </row>
    <row r="284" spans="2:6" ht="15.75" customHeight="1">
      <c r="B284" s="2"/>
      <c r="C284" s="26"/>
      <c r="D284" s="26"/>
      <c r="F284" s="3"/>
    </row>
    <row r="285" spans="2:6" ht="15.75" customHeight="1">
      <c r="B285" s="2"/>
      <c r="C285" s="26"/>
      <c r="D285" s="26"/>
      <c r="F285" s="3"/>
    </row>
    <row r="286" spans="2:6" ht="15.75" customHeight="1">
      <c r="B286" s="2"/>
      <c r="C286" s="26"/>
      <c r="D286" s="26"/>
      <c r="F286" s="3"/>
    </row>
    <row r="287" spans="2:6" ht="15.75" customHeight="1">
      <c r="B287" s="2"/>
      <c r="C287" s="26"/>
      <c r="D287" s="26"/>
      <c r="F287" s="3"/>
    </row>
    <row r="288" spans="2:6" ht="15.75" customHeight="1">
      <c r="B288" s="2"/>
      <c r="C288" s="26"/>
      <c r="D288" s="26"/>
      <c r="F288" s="3"/>
    </row>
    <row r="289" spans="2:6" ht="15.75" customHeight="1">
      <c r="B289" s="2"/>
      <c r="C289" s="26"/>
      <c r="D289" s="26"/>
      <c r="F289" s="3"/>
    </row>
    <row r="290" spans="2:6" ht="15.75" customHeight="1">
      <c r="B290" s="2"/>
      <c r="C290" s="26"/>
      <c r="D290" s="26"/>
      <c r="F290" s="3"/>
    </row>
    <row r="291" spans="2:6" ht="15.75" customHeight="1">
      <c r="B291" s="2"/>
      <c r="C291" s="26"/>
      <c r="D291" s="26"/>
      <c r="F291" s="3"/>
    </row>
    <row r="292" spans="2:6" ht="15.75" customHeight="1">
      <c r="B292" s="2"/>
      <c r="C292" s="26"/>
      <c r="D292" s="26"/>
      <c r="F292" s="3"/>
    </row>
    <row r="293" spans="2:6" ht="15.75" customHeight="1">
      <c r="B293" s="2"/>
      <c r="C293" s="26"/>
      <c r="D293" s="26"/>
      <c r="F293" s="3"/>
    </row>
    <row r="294" spans="2:6" ht="15.75" customHeight="1">
      <c r="B294" s="2"/>
      <c r="C294" s="26"/>
      <c r="D294" s="26"/>
      <c r="F294" s="3"/>
    </row>
    <row r="295" spans="2:6" ht="15.75" customHeight="1">
      <c r="B295" s="2"/>
      <c r="C295" s="26"/>
      <c r="D295" s="26"/>
      <c r="F295" s="3"/>
    </row>
    <row r="296" spans="2:6" ht="15.75" customHeight="1">
      <c r="B296" s="2"/>
      <c r="C296" s="26"/>
      <c r="D296" s="26"/>
      <c r="F296" s="3"/>
    </row>
    <row r="297" spans="2:6" ht="15.75" customHeight="1">
      <c r="B297" s="2"/>
      <c r="C297" s="26"/>
      <c r="D297" s="26"/>
      <c r="F297" s="3"/>
    </row>
    <row r="298" spans="2:6" ht="15.75" customHeight="1">
      <c r="B298" s="2"/>
      <c r="C298" s="26"/>
      <c r="D298" s="26"/>
      <c r="F298" s="3"/>
    </row>
    <row r="299" spans="2:6" ht="15.75" customHeight="1">
      <c r="B299" s="2"/>
      <c r="C299" s="26"/>
      <c r="D299" s="26"/>
      <c r="F299" s="3"/>
    </row>
    <row r="300" spans="2:6" ht="15.75" customHeight="1">
      <c r="B300" s="2"/>
      <c r="C300" s="26"/>
      <c r="D300" s="26"/>
      <c r="F300" s="3"/>
    </row>
    <row r="301" spans="2:6" ht="15.75" customHeight="1">
      <c r="B301" s="2"/>
      <c r="C301" s="26"/>
      <c r="D301" s="26"/>
      <c r="F301" s="3"/>
    </row>
    <row r="302" spans="2:6" ht="15.75" customHeight="1">
      <c r="B302" s="2"/>
      <c r="C302" s="26"/>
      <c r="D302" s="26"/>
      <c r="F302" s="3"/>
    </row>
    <row r="303" spans="2:6" ht="15.75" customHeight="1">
      <c r="B303" s="2"/>
      <c r="C303" s="26"/>
      <c r="D303" s="26"/>
      <c r="F303" s="3"/>
    </row>
    <row r="304" spans="2:6" ht="15.75" customHeight="1">
      <c r="B304" s="2"/>
      <c r="C304" s="26"/>
      <c r="D304" s="26"/>
      <c r="F304" s="3"/>
    </row>
    <row r="305" spans="2:6" ht="15.75" customHeight="1">
      <c r="B305" s="2"/>
      <c r="C305" s="26"/>
      <c r="D305" s="26"/>
      <c r="F305" s="3"/>
    </row>
    <row r="306" spans="2:6" ht="15.75" customHeight="1">
      <c r="B306" s="2"/>
      <c r="C306" s="26"/>
      <c r="D306" s="26"/>
      <c r="F306" s="3"/>
    </row>
    <row r="307" spans="2:6" ht="15.75" customHeight="1">
      <c r="B307" s="2"/>
      <c r="C307" s="26"/>
      <c r="D307" s="26"/>
      <c r="F307" s="3"/>
    </row>
    <row r="308" spans="2:6" ht="15.75" customHeight="1">
      <c r="B308" s="2"/>
      <c r="C308" s="26"/>
      <c r="D308" s="26"/>
      <c r="F308" s="3"/>
    </row>
    <row r="309" spans="2:6" ht="15.75" customHeight="1">
      <c r="B309" s="2"/>
      <c r="C309" s="26"/>
      <c r="D309" s="26"/>
      <c r="F309" s="3"/>
    </row>
    <row r="310" spans="2:6" ht="15.75" customHeight="1">
      <c r="B310" s="2"/>
      <c r="C310" s="26"/>
      <c r="D310" s="26"/>
      <c r="F310" s="3"/>
    </row>
    <row r="311" spans="2:6" ht="15.75" customHeight="1">
      <c r="B311" s="2"/>
      <c r="C311" s="26"/>
      <c r="D311" s="26"/>
      <c r="F311" s="3"/>
    </row>
    <row r="312" spans="2:6" ht="15.75" customHeight="1">
      <c r="B312" s="2"/>
      <c r="C312" s="26"/>
      <c r="D312" s="26"/>
      <c r="F312" s="3"/>
    </row>
    <row r="313" spans="2:6" ht="15.75" customHeight="1">
      <c r="B313" s="2"/>
      <c r="C313" s="26"/>
      <c r="D313" s="26"/>
      <c r="F313" s="3"/>
    </row>
    <row r="314" spans="2:6" ht="15.75" customHeight="1">
      <c r="B314" s="2"/>
      <c r="C314" s="26"/>
      <c r="D314" s="26"/>
      <c r="F314" s="3"/>
    </row>
    <row r="315" spans="2:6" ht="15.75" customHeight="1">
      <c r="B315" s="2"/>
      <c r="C315" s="26"/>
      <c r="D315" s="26"/>
      <c r="F315" s="3"/>
    </row>
    <row r="316" spans="2:6" ht="15.75" customHeight="1">
      <c r="B316" s="2"/>
      <c r="C316" s="26"/>
      <c r="D316" s="26"/>
      <c r="F316" s="3"/>
    </row>
    <row r="317" spans="2:6" ht="15.75" customHeight="1">
      <c r="B317" s="2"/>
      <c r="C317" s="26"/>
      <c r="D317" s="26"/>
      <c r="F317" s="3"/>
    </row>
    <row r="318" spans="2:6" ht="15.75" customHeight="1">
      <c r="B318" s="2"/>
      <c r="C318" s="26"/>
      <c r="D318" s="26"/>
      <c r="F318" s="3"/>
    </row>
    <row r="319" spans="2:6" ht="15.75" customHeight="1">
      <c r="B319" s="2"/>
      <c r="C319" s="26"/>
      <c r="D319" s="26"/>
      <c r="F319" s="3"/>
    </row>
    <row r="320" spans="2:6" ht="15.75" customHeight="1">
      <c r="B320" s="2"/>
      <c r="C320" s="26"/>
      <c r="D320" s="26"/>
      <c r="F320" s="3"/>
    </row>
    <row r="321" spans="2:6" ht="15.75" customHeight="1">
      <c r="B321" s="2"/>
      <c r="C321" s="26"/>
      <c r="D321" s="26"/>
      <c r="F321" s="3"/>
    </row>
    <row r="322" spans="2:6" ht="15.75" customHeight="1">
      <c r="B322" s="2"/>
      <c r="C322" s="26"/>
      <c r="D322" s="26"/>
      <c r="F322" s="3"/>
    </row>
    <row r="323" spans="2:6" ht="15.75" customHeight="1">
      <c r="B323" s="2"/>
      <c r="C323" s="26"/>
      <c r="D323" s="26"/>
      <c r="F323" s="3"/>
    </row>
    <row r="324" spans="2:6" ht="15.75" customHeight="1">
      <c r="B324" s="2"/>
      <c r="C324" s="26"/>
      <c r="D324" s="26"/>
      <c r="F324" s="3"/>
    </row>
    <row r="325" spans="2:6" ht="15.75" customHeight="1">
      <c r="B325" s="2"/>
      <c r="C325" s="26"/>
      <c r="D325" s="26"/>
      <c r="F325" s="3"/>
    </row>
    <row r="326" spans="2:6" ht="15.75" customHeight="1">
      <c r="B326" s="2"/>
      <c r="C326" s="26"/>
      <c r="D326" s="26"/>
      <c r="F326" s="3"/>
    </row>
    <row r="327" spans="2:6" ht="15.75" customHeight="1">
      <c r="B327" s="2"/>
      <c r="C327" s="26"/>
      <c r="D327" s="26"/>
      <c r="F327" s="3"/>
    </row>
    <row r="328" spans="2:6" ht="15.75" customHeight="1">
      <c r="B328" s="2"/>
      <c r="C328" s="26"/>
      <c r="D328" s="26"/>
      <c r="F328" s="3"/>
    </row>
    <row r="329" spans="2:6" ht="15.75" customHeight="1">
      <c r="B329" s="2"/>
      <c r="C329" s="26"/>
      <c r="D329" s="26"/>
      <c r="F329" s="3"/>
    </row>
    <row r="330" spans="2:6" ht="15.75" customHeight="1">
      <c r="B330" s="2"/>
      <c r="C330" s="26"/>
      <c r="D330" s="26"/>
      <c r="F330" s="3"/>
    </row>
    <row r="331" spans="2:6" ht="15.75" customHeight="1">
      <c r="B331" s="2"/>
      <c r="C331" s="26"/>
      <c r="D331" s="26"/>
      <c r="F331" s="3"/>
    </row>
    <row r="332" spans="2:6" ht="15.75" customHeight="1">
      <c r="B332" s="2"/>
      <c r="C332" s="26"/>
      <c r="D332" s="26"/>
      <c r="F332" s="3"/>
    </row>
    <row r="333" spans="2:6" ht="15.75" customHeight="1">
      <c r="B333" s="2"/>
      <c r="C333" s="26"/>
      <c r="D333" s="26"/>
      <c r="F333" s="3"/>
    </row>
    <row r="334" spans="2:6" ht="15.75" customHeight="1">
      <c r="B334" s="2"/>
      <c r="C334" s="26"/>
      <c r="D334" s="26"/>
      <c r="F334" s="3"/>
    </row>
    <row r="335" spans="2:6" ht="15.75" customHeight="1">
      <c r="B335" s="2"/>
      <c r="C335" s="26"/>
      <c r="D335" s="26"/>
      <c r="F335" s="3"/>
    </row>
    <row r="336" spans="2:6" ht="15.75" customHeight="1">
      <c r="B336" s="2"/>
      <c r="C336" s="26"/>
      <c r="D336" s="26"/>
      <c r="F336" s="3"/>
    </row>
    <row r="337" spans="2:6" ht="15.75" customHeight="1">
      <c r="B337" s="2"/>
      <c r="C337" s="26"/>
      <c r="D337" s="26"/>
      <c r="F337" s="3"/>
    </row>
    <row r="338" spans="2:6" ht="15.75" customHeight="1">
      <c r="B338" s="2"/>
      <c r="C338" s="26"/>
      <c r="D338" s="26"/>
      <c r="F338" s="3"/>
    </row>
    <row r="339" spans="2:6" ht="15.75" customHeight="1">
      <c r="B339" s="2"/>
      <c r="C339" s="26"/>
      <c r="D339" s="26"/>
      <c r="F339" s="3"/>
    </row>
    <row r="340" spans="2:6" ht="15.75" customHeight="1">
      <c r="B340" s="2"/>
      <c r="C340" s="26"/>
      <c r="D340" s="26"/>
      <c r="F340" s="3"/>
    </row>
    <row r="341" spans="2:6" ht="15.75" customHeight="1">
      <c r="B341" s="2"/>
      <c r="C341" s="26"/>
      <c r="D341" s="26"/>
      <c r="F341" s="3"/>
    </row>
    <row r="342" spans="2:6" ht="15.75" customHeight="1">
      <c r="B342" s="2"/>
      <c r="C342" s="26"/>
      <c r="D342" s="26"/>
      <c r="F342" s="3"/>
    </row>
    <row r="343" spans="2:6" ht="15.75" customHeight="1">
      <c r="B343" s="2"/>
      <c r="C343" s="26"/>
      <c r="D343" s="26"/>
      <c r="F343" s="3"/>
    </row>
    <row r="344" spans="2:6" ht="15.75" customHeight="1">
      <c r="B344" s="2"/>
      <c r="C344" s="26"/>
      <c r="D344" s="26"/>
      <c r="F344" s="3"/>
    </row>
    <row r="345" spans="2:6" ht="15.75" customHeight="1">
      <c r="B345" s="2"/>
      <c r="C345" s="26"/>
      <c r="D345" s="26"/>
      <c r="F345" s="3"/>
    </row>
    <row r="346" spans="2:6" ht="15.75" customHeight="1">
      <c r="B346" s="2"/>
      <c r="C346" s="26"/>
      <c r="D346" s="26"/>
      <c r="F346" s="3"/>
    </row>
    <row r="347" spans="2:6" ht="15.75" customHeight="1">
      <c r="B347" s="2"/>
      <c r="C347" s="26"/>
      <c r="D347" s="26"/>
      <c r="F347" s="3"/>
    </row>
    <row r="348" spans="2:6" ht="15.75" customHeight="1">
      <c r="B348" s="2"/>
      <c r="C348" s="26"/>
      <c r="D348" s="26"/>
      <c r="F348" s="3"/>
    </row>
    <row r="349" spans="2:6" ht="15.75" customHeight="1">
      <c r="B349" s="2"/>
      <c r="C349" s="26"/>
      <c r="D349" s="26"/>
      <c r="F349" s="3"/>
    </row>
    <row r="350" spans="2:6" ht="15.75" customHeight="1">
      <c r="B350" s="2"/>
      <c r="C350" s="26"/>
      <c r="D350" s="26"/>
      <c r="F350" s="3"/>
    </row>
    <row r="351" spans="2:6" ht="15.75" customHeight="1">
      <c r="B351" s="2"/>
      <c r="C351" s="26"/>
      <c r="D351" s="26"/>
      <c r="F351" s="3"/>
    </row>
    <row r="352" spans="2:6" ht="15.75" customHeight="1">
      <c r="B352" s="2"/>
      <c r="C352" s="26"/>
      <c r="D352" s="26"/>
      <c r="F352" s="3"/>
    </row>
    <row r="353" spans="2:6" ht="15.75" customHeight="1">
      <c r="B353" s="2"/>
      <c r="C353" s="26"/>
      <c r="D353" s="26"/>
      <c r="F353" s="3"/>
    </row>
    <row r="354" spans="2:6" ht="15.75" customHeight="1">
      <c r="B354" s="2"/>
      <c r="C354" s="26"/>
      <c r="D354" s="26"/>
      <c r="F354" s="3"/>
    </row>
    <row r="355" spans="2:6" ht="15.75" customHeight="1">
      <c r="B355" s="2"/>
      <c r="C355" s="26"/>
      <c r="D355" s="26"/>
      <c r="F355" s="3"/>
    </row>
    <row r="356" spans="2:6" ht="15.75" customHeight="1">
      <c r="B356" s="2"/>
      <c r="C356" s="26"/>
      <c r="D356" s="26"/>
      <c r="F356" s="3"/>
    </row>
    <row r="357" spans="2:6" ht="15.75" customHeight="1">
      <c r="B357" s="2"/>
      <c r="C357" s="26"/>
      <c r="D357" s="26"/>
      <c r="F357" s="3"/>
    </row>
    <row r="358" spans="2:6" ht="15.75" customHeight="1">
      <c r="B358" s="2"/>
      <c r="C358" s="26"/>
      <c r="D358" s="26"/>
      <c r="F358" s="3"/>
    </row>
    <row r="359" spans="2:6" ht="15.75" customHeight="1">
      <c r="B359" s="2"/>
      <c r="C359" s="26"/>
      <c r="D359" s="26"/>
      <c r="F359" s="3"/>
    </row>
    <row r="360" spans="2:6" ht="15.75" customHeight="1">
      <c r="B360" s="2"/>
      <c r="C360" s="26"/>
      <c r="D360" s="26"/>
      <c r="F360" s="3"/>
    </row>
    <row r="361" spans="2:6" ht="15.75" customHeight="1">
      <c r="B361" s="2"/>
      <c r="C361" s="26"/>
      <c r="D361" s="26"/>
      <c r="F361" s="3"/>
    </row>
    <row r="362" spans="2:6" ht="15.75" customHeight="1">
      <c r="B362" s="2"/>
      <c r="C362" s="26"/>
      <c r="D362" s="26"/>
      <c r="F362" s="3"/>
    </row>
    <row r="363" spans="2:6" ht="15.75" customHeight="1">
      <c r="B363" s="2"/>
      <c r="C363" s="26"/>
      <c r="D363" s="26"/>
      <c r="F363" s="3"/>
    </row>
    <row r="364" spans="2:6" ht="15.75" customHeight="1">
      <c r="B364" s="2"/>
      <c r="C364" s="26"/>
      <c r="D364" s="26"/>
      <c r="F364" s="3"/>
    </row>
    <row r="365" spans="2:6" ht="15.75" customHeight="1">
      <c r="B365" s="2"/>
      <c r="C365" s="26"/>
      <c r="D365" s="26"/>
      <c r="F365" s="3"/>
    </row>
    <row r="366" spans="2:6" ht="15.75" customHeight="1">
      <c r="B366" s="2"/>
      <c r="C366" s="26"/>
      <c r="D366" s="26"/>
      <c r="F366" s="3"/>
    </row>
    <row r="367" spans="2:6" ht="15.75" customHeight="1">
      <c r="B367" s="2"/>
      <c r="C367" s="26"/>
      <c r="D367" s="26"/>
      <c r="F367" s="3"/>
    </row>
    <row r="368" spans="2:6" ht="15.75" customHeight="1">
      <c r="B368" s="2"/>
      <c r="C368" s="26"/>
      <c r="D368" s="26"/>
      <c r="F368" s="3"/>
    </row>
    <row r="369" spans="2:6" ht="15.75" customHeight="1">
      <c r="B369" s="2"/>
      <c r="C369" s="26"/>
      <c r="D369" s="26"/>
      <c r="F369" s="3"/>
    </row>
    <row r="370" spans="2:6" ht="15.75" customHeight="1">
      <c r="B370" s="2"/>
      <c r="C370" s="26"/>
      <c r="D370" s="26"/>
      <c r="F370" s="3"/>
    </row>
    <row r="371" spans="2:6" ht="15.75" customHeight="1">
      <c r="B371" s="2"/>
      <c r="C371" s="26"/>
      <c r="D371" s="26"/>
      <c r="F371" s="3"/>
    </row>
    <row r="372" spans="2:6" ht="15.75" customHeight="1">
      <c r="B372" s="2"/>
      <c r="C372" s="26"/>
      <c r="D372" s="26"/>
      <c r="F372" s="3"/>
    </row>
    <row r="373" spans="2:6" ht="15.75" customHeight="1">
      <c r="B373" s="2"/>
      <c r="C373" s="26"/>
      <c r="D373" s="26"/>
      <c r="F373" s="3"/>
    </row>
    <row r="374" spans="2:6" ht="15.75" customHeight="1">
      <c r="B374" s="2"/>
      <c r="C374" s="26"/>
      <c r="D374" s="26"/>
      <c r="F374" s="3"/>
    </row>
    <row r="375" spans="2:6" ht="15.75" customHeight="1">
      <c r="B375" s="2"/>
      <c r="C375" s="26"/>
      <c r="D375" s="26"/>
      <c r="F375" s="3"/>
    </row>
    <row r="376" spans="2:6" ht="15.75" customHeight="1">
      <c r="B376" s="2"/>
      <c r="C376" s="26"/>
      <c r="D376" s="26"/>
      <c r="F376" s="3"/>
    </row>
    <row r="377" spans="2:6" ht="15.75" customHeight="1">
      <c r="B377" s="2"/>
      <c r="C377" s="26"/>
      <c r="D377" s="26"/>
      <c r="F377" s="3"/>
    </row>
    <row r="378" spans="2:6" ht="15.75" customHeight="1">
      <c r="B378" s="2"/>
      <c r="C378" s="26"/>
      <c r="D378" s="26"/>
      <c r="F378" s="3"/>
    </row>
    <row r="379" spans="2:6" ht="15.75" customHeight="1">
      <c r="B379" s="2"/>
      <c r="C379" s="26"/>
      <c r="D379" s="26"/>
      <c r="F379" s="3"/>
    </row>
    <row r="380" spans="2:6" ht="15.75" customHeight="1">
      <c r="B380" s="2"/>
      <c r="C380" s="26"/>
      <c r="D380" s="26"/>
      <c r="F380" s="3"/>
    </row>
    <row r="381" spans="2:6" ht="15.75" customHeight="1">
      <c r="B381" s="2"/>
      <c r="C381" s="26"/>
      <c r="D381" s="26"/>
      <c r="F381" s="3"/>
    </row>
    <row r="382" spans="2:6" ht="15.75" customHeight="1">
      <c r="B382" s="2"/>
      <c r="C382" s="26"/>
      <c r="D382" s="26"/>
      <c r="F382" s="3"/>
    </row>
    <row r="383" spans="2:6" ht="15.75" customHeight="1">
      <c r="B383" s="2"/>
      <c r="C383" s="26"/>
      <c r="D383" s="26"/>
      <c r="F383" s="3"/>
    </row>
    <row r="384" spans="2:6" ht="15.75" customHeight="1">
      <c r="B384" s="2"/>
      <c r="C384" s="26"/>
      <c r="D384" s="26"/>
      <c r="F384" s="3"/>
    </row>
    <row r="385" spans="2:6" ht="15.75" customHeight="1">
      <c r="B385" s="2"/>
      <c r="C385" s="26"/>
      <c r="D385" s="26"/>
      <c r="F385" s="3"/>
    </row>
    <row r="386" spans="2:6" ht="15.75" customHeight="1">
      <c r="B386" s="2"/>
      <c r="C386" s="26"/>
      <c r="D386" s="26"/>
      <c r="F386" s="3"/>
    </row>
    <row r="387" spans="2:6" ht="15.75" customHeight="1">
      <c r="B387" s="2"/>
      <c r="C387" s="26"/>
      <c r="D387" s="26"/>
      <c r="F387" s="3"/>
    </row>
    <row r="388" spans="2:6" ht="15.75" customHeight="1">
      <c r="B388" s="2"/>
      <c r="C388" s="26"/>
      <c r="D388" s="26"/>
      <c r="F388" s="3"/>
    </row>
    <row r="389" spans="2:6" ht="15.75" customHeight="1">
      <c r="B389" s="2"/>
      <c r="C389" s="26"/>
      <c r="D389" s="26"/>
      <c r="F389" s="3"/>
    </row>
    <row r="390" spans="2:6" ht="15.75" customHeight="1">
      <c r="B390" s="2"/>
      <c r="C390" s="26"/>
      <c r="D390" s="26"/>
      <c r="F390" s="3"/>
    </row>
    <row r="391" spans="2:6" ht="15.75" customHeight="1">
      <c r="B391" s="2"/>
      <c r="C391" s="26"/>
      <c r="D391" s="26"/>
      <c r="F391" s="3"/>
    </row>
    <row r="392" spans="2:6" ht="15.75" customHeight="1">
      <c r="B392" s="2"/>
      <c r="C392" s="26"/>
      <c r="D392" s="26"/>
      <c r="F392" s="3"/>
    </row>
    <row r="393" spans="2:6" ht="15.75" customHeight="1">
      <c r="B393" s="2"/>
      <c r="C393" s="26"/>
      <c r="D393" s="26"/>
      <c r="F393" s="3"/>
    </row>
    <row r="394" spans="2:6" ht="15.75" customHeight="1">
      <c r="B394" s="2"/>
      <c r="C394" s="26"/>
      <c r="D394" s="26"/>
      <c r="F394" s="3"/>
    </row>
    <row r="395" spans="2:6" ht="15.75" customHeight="1">
      <c r="B395" s="2"/>
      <c r="C395" s="26"/>
      <c r="D395" s="26"/>
      <c r="F395" s="3"/>
    </row>
    <row r="396" spans="2:6" ht="15.75" customHeight="1">
      <c r="B396" s="2"/>
      <c r="C396" s="26"/>
      <c r="D396" s="26"/>
      <c r="F396" s="3"/>
    </row>
    <row r="397" spans="2:6" ht="15.75" customHeight="1">
      <c r="B397" s="2"/>
      <c r="C397" s="26"/>
      <c r="D397" s="26"/>
      <c r="F397" s="3"/>
    </row>
    <row r="398" spans="2:6" ht="15.75" customHeight="1">
      <c r="B398" s="2"/>
      <c r="C398" s="26"/>
      <c r="D398" s="26"/>
      <c r="F398" s="3"/>
    </row>
    <row r="399" spans="2:6" ht="15.75" customHeight="1">
      <c r="B399" s="2"/>
      <c r="C399" s="26"/>
      <c r="D399" s="26"/>
      <c r="F399" s="3"/>
    </row>
    <row r="400" spans="2:6" ht="15.75" customHeight="1">
      <c r="B400" s="2"/>
      <c r="C400" s="26"/>
      <c r="D400" s="26"/>
      <c r="F400" s="3"/>
    </row>
    <row r="401" spans="2:6" ht="15.75" customHeight="1">
      <c r="B401" s="2"/>
      <c r="C401" s="26"/>
      <c r="D401" s="26"/>
      <c r="F401" s="3"/>
    </row>
    <row r="402" spans="2:6" ht="15.75" customHeight="1">
      <c r="B402" s="2"/>
      <c r="C402" s="26"/>
      <c r="D402" s="26"/>
      <c r="F402" s="3"/>
    </row>
    <row r="403" spans="2:6" ht="15.75" customHeight="1">
      <c r="B403" s="2"/>
      <c r="C403" s="26"/>
      <c r="D403" s="26"/>
      <c r="F403" s="3"/>
    </row>
    <row r="404" spans="2:6" ht="15.75" customHeight="1">
      <c r="B404" s="2"/>
      <c r="C404" s="26"/>
      <c r="D404" s="26"/>
      <c r="F404" s="3"/>
    </row>
    <row r="405" spans="2:6" ht="15.75" customHeight="1">
      <c r="B405" s="2"/>
      <c r="C405" s="26"/>
      <c r="D405" s="26"/>
      <c r="F405" s="3"/>
    </row>
    <row r="406" spans="2:6" ht="15.75" customHeight="1">
      <c r="B406" s="2"/>
      <c r="C406" s="26"/>
      <c r="D406" s="26"/>
      <c r="F406" s="3"/>
    </row>
    <row r="407" spans="2:6" ht="15.75" customHeight="1">
      <c r="B407" s="2"/>
      <c r="C407" s="26"/>
      <c r="D407" s="26"/>
      <c r="F407" s="3"/>
    </row>
    <row r="408" spans="2:6" ht="15.75" customHeight="1">
      <c r="B408" s="2"/>
      <c r="C408" s="26"/>
      <c r="D408" s="26"/>
      <c r="F408" s="3"/>
    </row>
    <row r="409" spans="2:6" ht="15.75" customHeight="1">
      <c r="B409" s="2"/>
      <c r="C409" s="26"/>
      <c r="D409" s="26"/>
      <c r="F409" s="3"/>
    </row>
    <row r="410" spans="2:6" ht="15.75" customHeight="1">
      <c r="B410" s="2"/>
      <c r="C410" s="26"/>
      <c r="D410" s="26"/>
      <c r="F410" s="3"/>
    </row>
    <row r="411" spans="2:6" ht="15.75" customHeight="1">
      <c r="B411" s="2"/>
      <c r="C411" s="26"/>
      <c r="D411" s="26"/>
      <c r="F411" s="3"/>
    </row>
    <row r="412" spans="2:6" ht="15.75" customHeight="1">
      <c r="B412" s="2"/>
      <c r="C412" s="26"/>
      <c r="D412" s="26"/>
      <c r="F412" s="3"/>
    </row>
    <row r="413" spans="2:6" ht="15.75" customHeight="1">
      <c r="B413" s="2"/>
      <c r="C413" s="26"/>
      <c r="D413" s="26"/>
      <c r="F413" s="3"/>
    </row>
    <row r="414" spans="2:6" ht="15.75" customHeight="1">
      <c r="B414" s="2"/>
      <c r="C414" s="26"/>
      <c r="D414" s="26"/>
      <c r="F414" s="3"/>
    </row>
    <row r="415" spans="2:6" ht="15.75" customHeight="1">
      <c r="B415" s="2"/>
      <c r="C415" s="26"/>
      <c r="D415" s="26"/>
      <c r="F415" s="3"/>
    </row>
    <row r="416" spans="2:6" ht="15.75" customHeight="1">
      <c r="B416" s="2"/>
      <c r="C416" s="26"/>
      <c r="D416" s="26"/>
      <c r="F416" s="3"/>
    </row>
    <row r="417" spans="2:6" ht="15.75" customHeight="1">
      <c r="B417" s="2"/>
      <c r="C417" s="26"/>
      <c r="D417" s="26"/>
      <c r="F417" s="3"/>
    </row>
    <row r="418" spans="2:6" ht="15.75" customHeight="1">
      <c r="B418" s="2"/>
      <c r="C418" s="26"/>
      <c r="D418" s="26"/>
      <c r="F418" s="3"/>
    </row>
    <row r="419" spans="2:6" ht="15.75" customHeight="1">
      <c r="B419" s="2"/>
      <c r="C419" s="26"/>
      <c r="D419" s="26"/>
      <c r="F419" s="3"/>
    </row>
    <row r="420" spans="2:6" ht="15.75" customHeight="1">
      <c r="B420" s="2"/>
      <c r="C420" s="26"/>
      <c r="D420" s="26"/>
      <c r="F420" s="3"/>
    </row>
    <row r="421" spans="2:6" ht="15.75" customHeight="1">
      <c r="B421" s="2"/>
      <c r="C421" s="26"/>
      <c r="D421" s="26"/>
      <c r="F421" s="3"/>
    </row>
    <row r="422" spans="2:6" ht="15.75" customHeight="1">
      <c r="B422" s="2"/>
      <c r="C422" s="26"/>
      <c r="D422" s="26"/>
      <c r="F422" s="3"/>
    </row>
    <row r="423" spans="2:6" ht="15.75" customHeight="1">
      <c r="B423" s="2"/>
      <c r="C423" s="26"/>
      <c r="D423" s="26"/>
      <c r="F423" s="3"/>
    </row>
    <row r="424" spans="2:6" ht="15.75" customHeight="1">
      <c r="B424" s="2"/>
      <c r="C424" s="26"/>
      <c r="D424" s="26"/>
      <c r="F424" s="3"/>
    </row>
    <row r="425" spans="2:6" ht="15.75" customHeight="1">
      <c r="B425" s="2"/>
      <c r="C425" s="26"/>
      <c r="D425" s="26"/>
      <c r="F425" s="3"/>
    </row>
    <row r="426" spans="2:6" ht="15.75" customHeight="1">
      <c r="B426" s="2"/>
      <c r="C426" s="26"/>
      <c r="D426" s="26"/>
      <c r="F426" s="3"/>
    </row>
    <row r="427" spans="2:6" ht="15.75" customHeight="1">
      <c r="B427" s="2"/>
      <c r="C427" s="26"/>
      <c r="D427" s="26"/>
      <c r="F427" s="3"/>
    </row>
    <row r="428" spans="2:6" ht="15.75" customHeight="1">
      <c r="B428" s="2"/>
      <c r="C428" s="26"/>
      <c r="D428" s="26"/>
      <c r="F428" s="3"/>
    </row>
    <row r="429" spans="2:6" ht="15.75" customHeight="1">
      <c r="B429" s="2"/>
      <c r="C429" s="26"/>
      <c r="D429" s="26"/>
      <c r="F429" s="3"/>
    </row>
    <row r="430" spans="2:6" ht="15.75" customHeight="1">
      <c r="B430" s="2"/>
      <c r="C430" s="26"/>
      <c r="D430" s="26"/>
      <c r="F430" s="3"/>
    </row>
    <row r="431" spans="2:6" ht="15.75" customHeight="1">
      <c r="B431" s="2"/>
      <c r="C431" s="26"/>
      <c r="D431" s="26"/>
      <c r="F431" s="3"/>
    </row>
    <row r="432" spans="2:6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E1:F1000"/>
  <sheetViews>
    <sheetView workbookViewId="0"/>
  </sheetViews>
  <sheetFormatPr defaultColWidth="12.5703125" defaultRowHeight="15" customHeight="1"/>
  <cols>
    <col min="1" max="4" width="12.5703125" customWidth="1"/>
    <col min="5" max="5" width="36.5703125" customWidth="1"/>
    <col min="6" max="6" width="31.140625" customWidth="1"/>
  </cols>
  <sheetData>
    <row r="1" spans="5:6" ht="15.75" customHeight="1"/>
    <row r="2" spans="5:6" ht="15.75" customHeight="1">
      <c r="E2" s="97" t="s">
        <v>2049</v>
      </c>
      <c r="F2" s="97" t="s">
        <v>2050</v>
      </c>
    </row>
    <row r="3" spans="5:6" ht="15.75" customHeight="1">
      <c r="E3" s="1" t="s">
        <v>27</v>
      </c>
      <c r="F3" s="1" t="s">
        <v>28</v>
      </c>
    </row>
    <row r="4" spans="5:6" ht="15.75" customHeight="1">
      <c r="E4" s="1" t="s">
        <v>49</v>
      </c>
      <c r="F4" s="1" t="s">
        <v>81</v>
      </c>
    </row>
    <row r="5" spans="5:6" ht="15.75" customHeight="1">
      <c r="E5" s="1" t="s">
        <v>47</v>
      </c>
      <c r="F5" s="1" t="s">
        <v>28</v>
      </c>
    </row>
    <row r="6" spans="5:6" ht="15.75" customHeight="1">
      <c r="E6" s="1" t="s">
        <v>29</v>
      </c>
      <c r="F6" s="1" t="s">
        <v>28</v>
      </c>
    </row>
    <row r="7" spans="5:6" ht="15.75" customHeight="1">
      <c r="E7" s="1" t="s">
        <v>32</v>
      </c>
      <c r="F7" s="1" t="s">
        <v>28</v>
      </c>
    </row>
    <row r="8" spans="5:6" ht="15.75" customHeight="1">
      <c r="E8" s="1" t="s">
        <v>2</v>
      </c>
      <c r="F8" s="1" t="s">
        <v>82</v>
      </c>
    </row>
    <row r="9" spans="5:6" ht="15.75" customHeight="1">
      <c r="E9" s="1" t="s">
        <v>2051</v>
      </c>
      <c r="F9" s="1" t="s">
        <v>82</v>
      </c>
    </row>
    <row r="10" spans="5:6" ht="15.75" customHeight="1">
      <c r="E10" s="1" t="s">
        <v>13</v>
      </c>
      <c r="F10" s="1" t="s">
        <v>83</v>
      </c>
    </row>
    <row r="11" spans="5:6" ht="15.75" customHeight="1">
      <c r="E11" s="1" t="s">
        <v>9</v>
      </c>
      <c r="F11" s="1" t="s">
        <v>84</v>
      </c>
    </row>
    <row r="12" spans="5:6" ht="15.75" customHeight="1">
      <c r="E12" s="1" t="s">
        <v>15</v>
      </c>
      <c r="F12" s="1" t="s">
        <v>84</v>
      </c>
    </row>
    <row r="13" spans="5:6" ht="15.75" customHeight="1">
      <c r="E13" s="1" t="s">
        <v>26</v>
      </c>
      <c r="F13" s="1" t="s">
        <v>28</v>
      </c>
    </row>
    <row r="14" spans="5:6" ht="15.75" customHeight="1">
      <c r="E14" s="1" t="s">
        <v>12</v>
      </c>
      <c r="F14" s="1" t="s">
        <v>59</v>
      </c>
    </row>
    <row r="15" spans="5:6" ht="15.75" customHeight="1">
      <c r="E15" s="1" t="s">
        <v>48</v>
      </c>
      <c r="F15" s="1" t="s">
        <v>85</v>
      </c>
    </row>
    <row r="16" spans="5:6" ht="15.75" customHeight="1">
      <c r="E16" s="1" t="s">
        <v>38</v>
      </c>
      <c r="F16" s="1" t="s">
        <v>28</v>
      </c>
    </row>
    <row r="17" spans="5:6" ht="15.75" customHeight="1">
      <c r="E17" s="1" t="s">
        <v>50</v>
      </c>
      <c r="F17" s="1" t="s">
        <v>50</v>
      </c>
    </row>
    <row r="18" spans="5:6" ht="15.75" customHeight="1">
      <c r="E18" s="1" t="s">
        <v>34</v>
      </c>
      <c r="F18" s="1" t="s">
        <v>34</v>
      </c>
    </row>
    <row r="19" spans="5:6" ht="15.75" customHeight="1">
      <c r="E19" s="1" t="s">
        <v>20</v>
      </c>
      <c r="F19" s="1" t="s">
        <v>28</v>
      </c>
    </row>
    <row r="20" spans="5:6" ht="15.75" customHeight="1">
      <c r="E20" s="1" t="s">
        <v>11</v>
      </c>
      <c r="F20" s="1" t="s">
        <v>84</v>
      </c>
    </row>
    <row r="21" spans="5:6" ht="15.75" customHeight="1">
      <c r="E21" s="1" t="s">
        <v>4</v>
      </c>
      <c r="F21" s="1" t="s">
        <v>87</v>
      </c>
    </row>
    <row r="22" spans="5:6" ht="15.75" customHeight="1">
      <c r="E22" s="1" t="s">
        <v>31</v>
      </c>
      <c r="F22" s="1" t="s">
        <v>28</v>
      </c>
    </row>
    <row r="23" spans="5:6" ht="15.75" customHeight="1">
      <c r="E23" s="1" t="s">
        <v>33</v>
      </c>
      <c r="F23" s="1" t="s">
        <v>88</v>
      </c>
    </row>
    <row r="24" spans="5:6" ht="15.75" customHeight="1">
      <c r="E24" s="1" t="s">
        <v>25</v>
      </c>
      <c r="F24" s="1" t="s">
        <v>28</v>
      </c>
    </row>
    <row r="25" spans="5:6" ht="15.75" customHeight="1">
      <c r="E25" s="1" t="s">
        <v>36</v>
      </c>
      <c r="F25" s="1" t="s">
        <v>89</v>
      </c>
    </row>
    <row r="26" spans="5:6" ht="15.75" customHeight="1">
      <c r="E26" s="1" t="s">
        <v>46</v>
      </c>
      <c r="F26" s="1" t="s">
        <v>28</v>
      </c>
    </row>
    <row r="27" spans="5:6" ht="15.75" customHeight="1">
      <c r="E27" s="1" t="s">
        <v>22</v>
      </c>
      <c r="F27" s="1" t="s">
        <v>28</v>
      </c>
    </row>
    <row r="28" spans="5:6" ht="15.75" customHeight="1">
      <c r="E28" s="1" t="s">
        <v>37</v>
      </c>
      <c r="F28" s="1" t="s">
        <v>28</v>
      </c>
    </row>
    <row r="29" spans="5:6" ht="15.75" customHeight="1">
      <c r="E29" s="1" t="s">
        <v>40</v>
      </c>
      <c r="F29" s="1" t="s">
        <v>28</v>
      </c>
    </row>
    <row r="30" spans="5:6" ht="15.75" customHeight="1">
      <c r="E30" s="1" t="s">
        <v>21</v>
      </c>
      <c r="F30" s="1" t="s">
        <v>28</v>
      </c>
    </row>
    <row r="31" spans="5:6" ht="15.75" customHeight="1">
      <c r="E31" s="1" t="s">
        <v>23</v>
      </c>
      <c r="F31" s="1" t="s">
        <v>28</v>
      </c>
    </row>
    <row r="32" spans="5:6" ht="15.75" customHeight="1">
      <c r="E32" s="1" t="s">
        <v>24</v>
      </c>
      <c r="F32" s="1" t="s">
        <v>28</v>
      </c>
    </row>
    <row r="33" spans="5:6" ht="15.75" customHeight="1">
      <c r="E33" s="1" t="s">
        <v>30</v>
      </c>
      <c r="F33" s="1" t="s">
        <v>28</v>
      </c>
    </row>
    <row r="34" spans="5:6" ht="15.75" customHeight="1">
      <c r="E34" s="1" t="s">
        <v>45</v>
      </c>
      <c r="F34" s="1" t="s">
        <v>45</v>
      </c>
    </row>
    <row r="35" spans="5:6" ht="15.75" customHeight="1">
      <c r="E35" s="1" t="s">
        <v>3</v>
      </c>
      <c r="F35" s="1" t="s">
        <v>28</v>
      </c>
    </row>
    <row r="36" spans="5:6" ht="15.75" customHeight="1">
      <c r="E36" s="1" t="s">
        <v>35</v>
      </c>
      <c r="F36" s="1" t="s">
        <v>28</v>
      </c>
    </row>
    <row r="37" spans="5:6" ht="15.75" customHeight="1">
      <c r="E37" s="1" t="s">
        <v>14</v>
      </c>
      <c r="F37" s="1" t="s">
        <v>84</v>
      </c>
    </row>
    <row r="38" spans="5:6" ht="15.75" customHeight="1">
      <c r="E38" s="1" t="s">
        <v>19</v>
      </c>
      <c r="F38" s="1" t="s">
        <v>59</v>
      </c>
    </row>
    <row r="39" spans="5:6" ht="15.75" customHeight="1">
      <c r="E39" s="1" t="s">
        <v>7</v>
      </c>
      <c r="F39" s="1" t="s">
        <v>59</v>
      </c>
    </row>
    <row r="40" spans="5:6" ht="15.75" customHeight="1">
      <c r="E40" s="1" t="s">
        <v>6</v>
      </c>
      <c r="F40" s="1" t="s">
        <v>59</v>
      </c>
    </row>
    <row r="41" spans="5:6" ht="15.75" customHeight="1">
      <c r="E41" s="1" t="s">
        <v>17</v>
      </c>
      <c r="F41" s="1" t="s">
        <v>84</v>
      </c>
    </row>
    <row r="42" spans="5:6" ht="15.75" customHeight="1"/>
    <row r="43" spans="5:6" ht="15.75" customHeight="1"/>
    <row r="44" spans="5:6" ht="15.75" customHeight="1"/>
    <row r="45" spans="5:6" ht="15.75" customHeight="1"/>
    <row r="46" spans="5:6" ht="15.75" customHeight="1"/>
    <row r="47" spans="5:6" ht="15.75" customHeight="1"/>
    <row r="48" spans="5: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Copy of Insights</vt:lpstr>
      <vt:lpstr>From Woocommerce</vt:lpstr>
      <vt:lpstr>Insights</vt:lpstr>
      <vt:lpstr>Insights (Completed)</vt:lpstr>
      <vt:lpstr>Insights (Created)</vt:lpstr>
      <vt:lpstr>Insights (Processing)</vt:lpstr>
      <vt:lpstr>Insights (Refund)</vt:lpstr>
      <vt:lpstr>From Woocommerce 1 - BU 181223</vt:lpstr>
      <vt:lpstr>5-Sep-23 From Woocommerce 1</vt:lpstr>
      <vt:lpstr>For Insights Old</vt:lpstr>
      <vt:lpstr>Copy of For Insights</vt:lpstr>
      <vt:lpstr>Copy of From Woocommerce Micro</vt:lpstr>
      <vt:lpstr>From Woocommerce Micro</vt:lpstr>
      <vt:lpstr>Settings</vt:lpstr>
      <vt:lpstr>Profit By League Graph</vt:lpstr>
      <vt:lpstr>Micro Helper Sheet</vt:lpstr>
      <vt:lpstr>Data Validation</vt:lpstr>
      <vt:lpstr>Copy of Copy of From Woocommerc</vt:lpstr>
      <vt:lpstr>Name Troubleshooting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Aftab Hussain</cp:lastModifiedBy>
  <dcterms:modified xsi:type="dcterms:W3CDTF">2024-05-18T20:30:53Z</dcterms:modified>
</cp:coreProperties>
</file>